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3.xml" ContentType="application/vnd.ms-excel.documenttask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4.xml" ContentType="application/vnd.ms-excel.documenttask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ocumenttasks/documenttask5.xml" ContentType="application/vnd.ms-excel.documenttask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ocumenttasks/documenttask6.xml" ContentType="application/vnd.ms-excel.documenttask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ocumenttasks/documenttask7.xml" ContentType="application/vnd.ms-excel.documenttasks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ocumenttasks/documenttask8.xml" ContentType="application/vnd.ms-excel.documenttasks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fizer.sharepoint.com/sites/EPTS/Shared Documents/General/LE Reports/"/>
    </mc:Choice>
  </mc:AlternateContent>
  <xr:revisionPtr revIDLastSave="0" documentId="8_{6F60CC4E-B664-4148-83C6-C15ED279EE6B}" xr6:coauthVersionLast="47" xr6:coauthVersionMax="47" xr10:uidLastSave="{00000000-0000-0000-0000-000000000000}"/>
  <bookViews>
    <workbookView xWindow="-110" yWindow="-110" windowWidth="19420" windowHeight="11500" firstSheet="1" activeTab="1" xr2:uid="{96640A0D-34FA-4DF0-9D16-DFC8BE93B9D2}"/>
  </bookViews>
  <sheets>
    <sheet name="Interim2 Pvt" sheetId="16" state="hidden" r:id="rId1"/>
    <sheet name="ERP" sheetId="26" r:id="rId2"/>
    <sheet name="Sheet1" sheetId="27" r:id="rId3"/>
    <sheet name="ERP_AP7 Macro Failed" sheetId="5" state="hidden" r:id="rId4"/>
    <sheet name="ERP Consol For Discussion" sheetId="21" r:id="rId5"/>
    <sheet name="CHW" sheetId="25" state="hidden" r:id="rId6"/>
    <sheet name="Pullforwards" sheetId="24" r:id="rId7"/>
    <sheet name="ERP (2)" sheetId="19" state="hidden" r:id="rId8"/>
    <sheet name="ERP Interim (2)" sheetId="15" state="hidden" r:id="rId9"/>
    <sheet name="Duplicated Values" sheetId="18" state="hidden" r:id="rId10"/>
    <sheet name="Duplicates" sheetId="17" state="hidden" r:id="rId11"/>
    <sheet name="Sheet4" sheetId="22" state="hidden" r:id="rId12"/>
    <sheet name="Summary_Historical" sheetId="9" state="hidden" r:id="rId13"/>
    <sheet name="ERP_Historical" sheetId="8" state="hidden" r:id="rId14"/>
    <sheet name="Summary (2)" sheetId="12" state="hidden" r:id="rId15"/>
    <sheet name="ERP Interim" sheetId="13" state="hidden" r:id="rId16"/>
    <sheet name="Summary" sheetId="7" state="hidden" r:id="rId17"/>
    <sheet name="Lookups" sheetId="10" state="hidden" r:id="rId18"/>
    <sheet name="LE2 Lines Removed" sheetId="3" state="hidden" r:id="rId19"/>
    <sheet name="YTD Variance Analysis" sheetId="11" state="hidden" r:id="rId20"/>
    <sheet name="Duplicate Disposition" sheetId="20" r:id="rId21"/>
  </sheets>
  <definedNames>
    <definedName name="_xlnm._FilterDatabase" localSheetId="20" hidden="1">'Duplicate Disposition'!$A$2:$BT$167</definedName>
    <definedName name="_xlnm._FilterDatabase" localSheetId="1" hidden="1">ERP!$U$2:$AR$3</definedName>
    <definedName name="_xlnm._FilterDatabase" localSheetId="7" hidden="1">'ERP (2)'!$Q$2:$AN$3</definedName>
    <definedName name="_xlnm._FilterDatabase" localSheetId="4" hidden="1">'ERP Consol For Discussion'!$V$2:$AS$3</definedName>
    <definedName name="_xlnm._FilterDatabase" localSheetId="15" hidden="1">'ERP Interim'!$V$2:$AS$3</definedName>
    <definedName name="_xlnm._FilterDatabase" localSheetId="8" hidden="1">'ERP Interim (2)'!$U$2:$AR$3</definedName>
    <definedName name="_xlnm._FilterDatabase" localSheetId="3" hidden="1">'ERP_AP7 Macro Failed'!$Q$2:$AN$3</definedName>
    <definedName name="_xlnm._FilterDatabase" localSheetId="13" hidden="1">ERP_Historical!$A$1:$BO$6</definedName>
    <definedName name="_xlnm._FilterDatabase" localSheetId="0" hidden="1">'Interim2 Pvt'!$A$2:$V$607</definedName>
    <definedName name="_xlnm._FilterDatabase" localSheetId="19" hidden="1">'YTD Variance Analysis'!$A$5:$G$105</definedName>
    <definedName name="_xlnm.Print_Area" localSheetId="1">ERP!$A$1:$Y$599</definedName>
    <definedName name="_xlnm.Print_Area" localSheetId="7">'ERP (2)'!$A$1:$U$623</definedName>
    <definedName name="_xlnm.Print_Area" localSheetId="4">'ERP Consol For Discussion'!$A$1:$Z$583</definedName>
    <definedName name="_xlnm.Print_Area" localSheetId="15">'ERP Interim'!$A$1:$Z$623</definedName>
    <definedName name="_xlnm.Print_Area" localSheetId="8">'ERP Interim (2)'!$A$1:$Y$523</definedName>
    <definedName name="_xlnm.Print_Area" localSheetId="3">'ERP_AP7 Macro Failed'!$A$1:$U$623</definedName>
    <definedName name="_xlnm.Print_Area" localSheetId="13">ERP_Historical!$A$1:$U$623</definedName>
    <definedName name="_xlnm.Print_Titles" localSheetId="1">ERP!$7:$7,ERP!$A:$J</definedName>
    <definedName name="_xlnm.Print_Titles" localSheetId="7">'ERP (2)'!$7:$7,'ERP (2)'!$A:$F</definedName>
    <definedName name="_xlnm.Print_Titles" localSheetId="4">'ERP Consol For Discussion'!$7:$7,'ERP Consol For Discussion'!$A:$K</definedName>
    <definedName name="_xlnm.Print_Titles" localSheetId="15">'ERP Interim'!$7:$7,'ERP Interim'!$A:$K</definedName>
    <definedName name="_xlnm.Print_Titles" localSheetId="8">'ERP Interim (2)'!$7:$7,'ERP Interim (2)'!$A:$J</definedName>
    <definedName name="_xlnm.Print_Titles" localSheetId="3">'ERP_AP7 Macro Failed'!$7:$7,'ERP_AP7 Macro Failed'!$A:$F</definedName>
    <definedName name="_xlnm.Print_Titles" localSheetId="13">ERP_Historical!$7:$7,ERP_Historical!$A:$F</definedName>
  </definedNames>
  <calcPr calcId="191028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6" l="1"/>
  <c r="AP19" i="27"/>
  <c r="AO19" i="27"/>
  <c r="AL19" i="27"/>
  <c r="D19" i="27"/>
  <c r="AP18" i="27"/>
  <c r="AO18" i="27"/>
  <c r="AL18" i="27"/>
  <c r="D18" i="27"/>
  <c r="AP17" i="27"/>
  <c r="AO17" i="27"/>
  <c r="AL17" i="27"/>
  <c r="D17" i="27"/>
  <c r="AP16" i="27"/>
  <c r="AO16" i="27"/>
  <c r="AL16" i="27"/>
  <c r="D16" i="27"/>
  <c r="AP15" i="27"/>
  <c r="AO15" i="27"/>
  <c r="AL15" i="27"/>
  <c r="D15" i="27"/>
  <c r="AP14" i="27"/>
  <c r="AO14" i="27"/>
  <c r="AL14" i="27"/>
  <c r="D14" i="27"/>
  <c r="AP13" i="27"/>
  <c r="AO13" i="27"/>
  <c r="AL13" i="27"/>
  <c r="D13" i="27"/>
  <c r="AP12" i="27"/>
  <c r="AO12" i="27"/>
  <c r="AL12" i="27"/>
  <c r="D12" i="27"/>
  <c r="AP11" i="27"/>
  <c r="AO11" i="27"/>
  <c r="AL11" i="27"/>
  <c r="D11" i="27"/>
  <c r="AP10" i="27"/>
  <c r="AO10" i="27"/>
  <c r="AL10" i="27"/>
  <c r="D10" i="27"/>
  <c r="AP9" i="27"/>
  <c r="AO9" i="27"/>
  <c r="AL9" i="27"/>
  <c r="D9" i="27"/>
  <c r="AP8" i="27"/>
  <c r="AO8" i="27"/>
  <c r="AL8" i="27"/>
  <c r="D8" i="27"/>
  <c r="AR7" i="27"/>
  <c r="AP7" i="27"/>
  <c r="AO7" i="27"/>
  <c r="AM7" i="27"/>
  <c r="AL7" i="27"/>
  <c r="D7" i="27"/>
  <c r="AR6" i="27"/>
  <c r="AP6" i="27"/>
  <c r="AO6" i="27"/>
  <c r="AM6" i="27"/>
  <c r="AL6" i="27"/>
  <c r="D6" i="27"/>
  <c r="AR5" i="27"/>
  <c r="AP5" i="27"/>
  <c r="AO5" i="27"/>
  <c r="AM5" i="27"/>
  <c r="AL5" i="27"/>
  <c r="D5" i="27"/>
  <c r="AR4" i="27"/>
  <c r="AP4" i="27"/>
  <c r="AO4" i="27"/>
  <c r="AM4" i="27"/>
  <c r="AL4" i="27"/>
  <c r="D4" i="27"/>
  <c r="AR3" i="27"/>
  <c r="AP3" i="27"/>
  <c r="AO3" i="27"/>
  <c r="AM3" i="27"/>
  <c r="AL3" i="27"/>
  <c r="D3" i="27"/>
  <c r="AR2" i="27"/>
  <c r="AP2" i="27"/>
  <c r="AO2" i="27"/>
  <c r="AM2" i="27"/>
  <c r="AL2" i="27"/>
  <c r="D2" i="27"/>
  <c r="D660" i="26" l="1"/>
  <c r="AL660" i="26"/>
  <c r="AM660" i="26" s="1"/>
  <c r="AR660" i="26" s="1"/>
  <c r="AO660" i="26"/>
  <c r="AP660" i="26"/>
  <c r="D659" i="26"/>
  <c r="AL659" i="26"/>
  <c r="AM659" i="26" s="1"/>
  <c r="AR659" i="26" s="1"/>
  <c r="AO659" i="26"/>
  <c r="AP659" i="26"/>
  <c r="D658" i="26"/>
  <c r="AL658" i="26"/>
  <c r="AM658" i="26" s="1"/>
  <c r="AR658" i="26" s="1"/>
  <c r="AO658" i="26"/>
  <c r="AP658" i="26"/>
  <c r="D657" i="26"/>
  <c r="AL657" i="26"/>
  <c r="AM657" i="26" s="1"/>
  <c r="AR657" i="26" s="1"/>
  <c r="AO657" i="26"/>
  <c r="AP657" i="26"/>
  <c r="AH303" i="26" l="1"/>
  <c r="AI303" i="26"/>
  <c r="AJ303" i="26"/>
  <c r="AK303" i="26"/>
  <c r="AG303" i="26"/>
  <c r="AG132" i="26" l="1"/>
  <c r="AG131" i="26"/>
  <c r="AF131" i="26"/>
  <c r="AF132" i="26"/>
  <c r="AE131" i="26"/>
  <c r="AE132" i="26"/>
  <c r="AK136" i="26" l="1"/>
  <c r="AL14" i="26" l="1"/>
  <c r="AM14" i="27" s="1"/>
  <c r="AH130" i="26" l="1"/>
  <c r="AI130" i="26"/>
  <c r="AJ130" i="26"/>
  <c r="AK130" i="26"/>
  <c r="AG130" i="26"/>
  <c r="AH124" i="26"/>
  <c r="AI124" i="26"/>
  <c r="AJ124" i="26"/>
  <c r="AK124" i="26"/>
  <c r="AH125" i="26"/>
  <c r="AI125" i="26"/>
  <c r="AJ125" i="26"/>
  <c r="AK125" i="26"/>
  <c r="AG125" i="26"/>
  <c r="AG124" i="26"/>
  <c r="AI578" i="26"/>
  <c r="AI565" i="26" l="1"/>
  <c r="AJ526" i="26"/>
  <c r="AI526" i="26"/>
  <c r="D131" i="26"/>
  <c r="D151" i="26"/>
  <c r="D117" i="26"/>
  <c r="D88" i="26"/>
  <c r="D89" i="26"/>
  <c r="D160" i="26"/>
  <c r="D161" i="26"/>
  <c r="D164" i="26"/>
  <c r="D172" i="26"/>
  <c r="D194" i="26"/>
  <c r="D200" i="26"/>
  <c r="D201" i="26"/>
  <c r="D203" i="26"/>
  <c r="D345" i="26"/>
  <c r="D352" i="26"/>
  <c r="D354" i="26"/>
  <c r="D332" i="26"/>
  <c r="D295" i="26"/>
  <c r="D254" i="26"/>
  <c r="D358" i="26"/>
  <c r="D360" i="26"/>
  <c r="D362" i="26"/>
  <c r="D274" i="26"/>
  <c r="D365" i="26"/>
  <c r="D368" i="26"/>
  <c r="D385" i="26"/>
  <c r="D388" i="26"/>
  <c r="D390" i="26"/>
  <c r="D393" i="26"/>
  <c r="D394" i="26"/>
  <c r="D397" i="26"/>
  <c r="D399" i="26"/>
  <c r="D400" i="26"/>
  <c r="D630" i="26"/>
  <c r="D635" i="26"/>
  <c r="D427" i="26"/>
  <c r="D638" i="26"/>
  <c r="D639" i="26"/>
  <c r="D641" i="26"/>
  <c r="D443" i="26"/>
  <c r="D643" i="26"/>
  <c r="D645" i="26"/>
  <c r="D646" i="26"/>
  <c r="D647" i="26"/>
  <c r="D593" i="26"/>
  <c r="D648" i="26"/>
  <c r="D666" i="26"/>
  <c r="D668" i="26"/>
  <c r="D675" i="26"/>
  <c r="D676" i="26"/>
  <c r="D677" i="26"/>
  <c r="D679" i="26"/>
  <c r="D10" i="26"/>
  <c r="D15" i="26"/>
  <c r="D20" i="26"/>
  <c r="D21" i="26"/>
  <c r="D22" i="26"/>
  <c r="D23" i="26"/>
  <c r="D24" i="26"/>
  <c r="D25" i="26"/>
  <c r="D26" i="26"/>
  <c r="D27" i="26"/>
  <c r="D30" i="26"/>
  <c r="D31" i="26"/>
  <c r="D32" i="26"/>
  <c r="D33" i="26"/>
  <c r="D34" i="26"/>
  <c r="D35" i="26"/>
  <c r="D36" i="26"/>
  <c r="D37" i="26"/>
  <c r="D38" i="26"/>
  <c r="D40" i="26"/>
  <c r="D41" i="26"/>
  <c r="D42" i="26"/>
  <c r="D46" i="26"/>
  <c r="D58" i="26"/>
  <c r="D60" i="26"/>
  <c r="D65" i="26"/>
  <c r="D184" i="26"/>
  <c r="D185" i="26"/>
  <c r="D186" i="26"/>
  <c r="D192" i="26"/>
  <c r="D215" i="26"/>
  <c r="D220" i="26"/>
  <c r="D221" i="26"/>
  <c r="D222" i="26"/>
  <c r="D238" i="26"/>
  <c r="D243" i="26"/>
  <c r="D246" i="26"/>
  <c r="D256" i="26"/>
  <c r="D260" i="26"/>
  <c r="D268" i="26"/>
  <c r="D273" i="26"/>
  <c r="D276" i="26"/>
  <c r="D279" i="26"/>
  <c r="D374" i="26"/>
  <c r="D376" i="26"/>
  <c r="D401" i="26"/>
  <c r="D402" i="26"/>
  <c r="D403" i="26"/>
  <c r="D404" i="26"/>
  <c r="D405" i="26"/>
  <c r="D406" i="26"/>
  <c r="D415" i="26"/>
  <c r="D416" i="26"/>
  <c r="D422" i="26"/>
  <c r="D428" i="26"/>
  <c r="D431" i="26"/>
  <c r="D435" i="26"/>
  <c r="D438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503" i="26"/>
  <c r="D504" i="26"/>
  <c r="D505" i="26"/>
  <c r="D506" i="26"/>
  <c r="D512" i="26"/>
  <c r="D513" i="26"/>
  <c r="D514" i="26"/>
  <c r="D515" i="26"/>
  <c r="D516" i="26"/>
  <c r="D517" i="26"/>
  <c r="D518" i="26"/>
  <c r="D519" i="26"/>
  <c r="D520" i="26"/>
  <c r="D521" i="26"/>
  <c r="D522" i="26"/>
  <c r="D526" i="26"/>
  <c r="D528" i="26"/>
  <c r="D536" i="26"/>
  <c r="D537" i="26"/>
  <c r="D538" i="26"/>
  <c r="D542" i="26"/>
  <c r="D543" i="26"/>
  <c r="D544" i="26"/>
  <c r="D545" i="26"/>
  <c r="D549" i="26"/>
  <c r="D550" i="26"/>
  <c r="D551" i="26"/>
  <c r="D552" i="26"/>
  <c r="D661" i="26"/>
  <c r="D671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90" i="26"/>
  <c r="D91" i="26"/>
  <c r="D92" i="26"/>
  <c r="D171" i="26"/>
  <c r="D284" i="26"/>
  <c r="D285" i="26"/>
  <c r="D286" i="26"/>
  <c r="D287" i="26"/>
  <c r="D288" i="26"/>
  <c r="D289" i="26"/>
  <c r="D290" i="26"/>
  <c r="D291" i="26"/>
  <c r="D292" i="26"/>
  <c r="D293" i="26"/>
  <c r="D294" i="26"/>
  <c r="D296" i="26"/>
  <c r="D297" i="26"/>
  <c r="D298" i="26"/>
  <c r="D299" i="26"/>
  <c r="D379" i="26"/>
  <c r="D392" i="26"/>
  <c r="D578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663" i="26"/>
  <c r="D673" i="26"/>
  <c r="D93" i="26"/>
  <c r="D94" i="26"/>
  <c r="D95" i="26"/>
  <c r="D97" i="26"/>
  <c r="D98" i="26"/>
  <c r="D305" i="26"/>
  <c r="D306" i="26"/>
  <c r="D307" i="26"/>
  <c r="D309" i="26"/>
  <c r="D310" i="26"/>
  <c r="D312" i="26"/>
  <c r="D314" i="26"/>
  <c r="D317" i="26"/>
  <c r="D318" i="26"/>
  <c r="D380" i="26"/>
  <c r="D580" i="26"/>
  <c r="D581" i="26"/>
  <c r="D582" i="26"/>
  <c r="D583" i="26"/>
  <c r="D585" i="26"/>
  <c r="D589" i="26"/>
  <c r="D591" i="26"/>
  <c r="D596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320" i="26"/>
  <c r="D321" i="26"/>
  <c r="D322" i="26"/>
  <c r="D323" i="26"/>
  <c r="D324" i="26"/>
  <c r="D325" i="26"/>
  <c r="D598" i="26"/>
  <c r="D599" i="26"/>
  <c r="D600" i="26"/>
  <c r="D116" i="26"/>
  <c r="D120" i="26"/>
  <c r="D326" i="26"/>
  <c r="D327" i="26"/>
  <c r="D328" i="26"/>
  <c r="D330" i="26"/>
  <c r="D331" i="26"/>
  <c r="D333" i="26"/>
  <c r="D334" i="26"/>
  <c r="D335" i="26"/>
  <c r="D337" i="26"/>
  <c r="D382" i="26"/>
  <c r="D601" i="26"/>
  <c r="D602" i="26"/>
  <c r="D603" i="26"/>
  <c r="D604" i="26"/>
  <c r="D605" i="26"/>
  <c r="D606" i="26"/>
  <c r="D608" i="26"/>
  <c r="D609" i="26"/>
  <c r="D610" i="26"/>
  <c r="D611" i="26"/>
  <c r="D612" i="26"/>
  <c r="D618" i="26"/>
  <c r="D122" i="26"/>
  <c r="D123" i="26"/>
  <c r="D124" i="26"/>
  <c r="D125" i="26"/>
  <c r="D126" i="26"/>
  <c r="D127" i="26"/>
  <c r="D128" i="26"/>
  <c r="D129" i="26"/>
  <c r="D130" i="26"/>
  <c r="D132" i="26"/>
  <c r="D133" i="26"/>
  <c r="D134" i="26"/>
  <c r="D135" i="26"/>
  <c r="D136" i="26"/>
  <c r="D137" i="26"/>
  <c r="D138" i="26"/>
  <c r="D139" i="26"/>
  <c r="D140" i="26"/>
  <c r="D339" i="26"/>
  <c r="D340" i="26"/>
  <c r="D341" i="26"/>
  <c r="D342" i="26"/>
  <c r="D343" i="26"/>
  <c r="D383" i="26"/>
  <c r="D395" i="26"/>
  <c r="D396" i="26"/>
  <c r="D620" i="26"/>
  <c r="D621" i="26"/>
  <c r="D622" i="26"/>
  <c r="D623" i="26"/>
  <c r="D624" i="26"/>
  <c r="D625" i="26"/>
  <c r="D664" i="26"/>
  <c r="D674" i="26"/>
  <c r="D303" i="26"/>
  <c r="D18" i="26"/>
  <c r="D47" i="26"/>
  <c r="D61" i="26"/>
  <c r="D170" i="26"/>
  <c r="D178" i="26"/>
  <c r="D179" i="26"/>
  <c r="D180" i="26"/>
  <c r="D181" i="26"/>
  <c r="D182" i="26"/>
  <c r="D183" i="26"/>
  <c r="D187" i="26"/>
  <c r="D193" i="26"/>
  <c r="D214" i="26"/>
  <c r="D216" i="26"/>
  <c r="D218" i="26"/>
  <c r="D219" i="26"/>
  <c r="D223" i="26"/>
  <c r="D233" i="26"/>
  <c r="D242" i="26"/>
  <c r="D257" i="26"/>
  <c r="D261" i="26"/>
  <c r="D280" i="26"/>
  <c r="D377" i="26"/>
  <c r="D409" i="26"/>
  <c r="D410" i="26"/>
  <c r="D411" i="26"/>
  <c r="D412" i="26"/>
  <c r="D413" i="26"/>
  <c r="D414" i="26"/>
  <c r="D417" i="26"/>
  <c r="D432" i="26"/>
  <c r="D436" i="26"/>
  <c r="D439" i="26"/>
  <c r="D497" i="26"/>
  <c r="D498" i="26"/>
  <c r="D507" i="26"/>
  <c r="D553" i="26"/>
  <c r="D662" i="26"/>
  <c r="D672" i="26"/>
  <c r="D44" i="26"/>
  <c r="D9" i="26"/>
  <c r="D11" i="26"/>
  <c r="D19" i="26"/>
  <c r="D29" i="26"/>
  <c r="D45" i="26"/>
  <c r="D49" i="26"/>
  <c r="D56" i="26"/>
  <c r="D57" i="26"/>
  <c r="D62" i="26"/>
  <c r="D175" i="26"/>
  <c r="D176" i="26"/>
  <c r="D177" i="26"/>
  <c r="D188" i="26"/>
  <c r="D189" i="26"/>
  <c r="D190" i="26"/>
  <c r="D191" i="26"/>
  <c r="D212" i="26"/>
  <c r="D213" i="26"/>
  <c r="D224" i="26"/>
  <c r="D247" i="26"/>
  <c r="D258" i="26"/>
  <c r="D262" i="26"/>
  <c r="D266" i="26"/>
  <c r="D267" i="26"/>
  <c r="D277" i="26"/>
  <c r="D281" i="26"/>
  <c r="D375" i="26"/>
  <c r="D378" i="26"/>
  <c r="D418" i="26"/>
  <c r="D423" i="26"/>
  <c r="D429" i="26"/>
  <c r="D437" i="26"/>
  <c r="D440" i="26"/>
  <c r="D449" i="26"/>
  <c r="D450" i="26"/>
  <c r="D451" i="26"/>
  <c r="D501" i="26"/>
  <c r="D502" i="26"/>
  <c r="D508" i="26"/>
  <c r="D523" i="26"/>
  <c r="D524" i="26"/>
  <c r="D525" i="26"/>
  <c r="D527" i="26"/>
  <c r="D529" i="26"/>
  <c r="D530" i="26"/>
  <c r="D531" i="26"/>
  <c r="D532" i="26"/>
  <c r="D533" i="26"/>
  <c r="D534" i="26"/>
  <c r="D535" i="26"/>
  <c r="D539" i="26"/>
  <c r="D540" i="26"/>
  <c r="D541" i="26"/>
  <c r="D546" i="26"/>
  <c r="D554" i="26"/>
  <c r="D141" i="26"/>
  <c r="D142" i="26"/>
  <c r="D143" i="26"/>
  <c r="D144" i="26"/>
  <c r="D145" i="26"/>
  <c r="D146" i="26"/>
  <c r="D147" i="26"/>
  <c r="D148" i="26"/>
  <c r="D149" i="26"/>
  <c r="D150" i="26"/>
  <c r="D152" i="26"/>
  <c r="D153" i="26"/>
  <c r="D154" i="26"/>
  <c r="D155" i="26"/>
  <c r="D156" i="26"/>
  <c r="D157" i="26"/>
  <c r="D158" i="26"/>
  <c r="D159" i="26"/>
  <c r="D162" i="26"/>
  <c r="D163" i="26"/>
  <c r="D173" i="26"/>
  <c r="D174" i="26"/>
  <c r="D195" i="26"/>
  <c r="D196" i="26"/>
  <c r="D197" i="26"/>
  <c r="D198" i="26"/>
  <c r="D204" i="26"/>
  <c r="D344" i="26"/>
  <c r="D346" i="26"/>
  <c r="D347" i="26"/>
  <c r="D348" i="26"/>
  <c r="D349" i="26"/>
  <c r="D350" i="26"/>
  <c r="D351" i="26"/>
  <c r="D353" i="26"/>
  <c r="D356" i="26"/>
  <c r="D357" i="26"/>
  <c r="D359" i="26"/>
  <c r="D361" i="26"/>
  <c r="D363" i="26"/>
  <c r="D366" i="26"/>
  <c r="D367" i="26"/>
  <c r="D384" i="26"/>
  <c r="D386" i="26"/>
  <c r="D389" i="26"/>
  <c r="D398" i="26"/>
  <c r="D626" i="26"/>
  <c r="D627" i="26"/>
  <c r="D628" i="26"/>
  <c r="D629" i="26"/>
  <c r="D631" i="26"/>
  <c r="D632" i="26"/>
  <c r="D633" i="26"/>
  <c r="D634" i="26"/>
  <c r="D636" i="26"/>
  <c r="D637" i="26"/>
  <c r="D640" i="26"/>
  <c r="D642" i="26"/>
  <c r="D644" i="26"/>
  <c r="D649" i="26"/>
  <c r="D665" i="26"/>
  <c r="D669" i="26"/>
  <c r="D680" i="26"/>
  <c r="D681" i="26"/>
  <c r="D12" i="26"/>
  <c r="D17" i="26"/>
  <c r="D28" i="26"/>
  <c r="D39" i="26"/>
  <c r="D53" i="26"/>
  <c r="D54" i="26"/>
  <c r="D55" i="26"/>
  <c r="D63" i="26"/>
  <c r="D66" i="26"/>
  <c r="D227" i="26"/>
  <c r="D230" i="26"/>
  <c r="D235" i="26"/>
  <c r="D253" i="26"/>
  <c r="D263" i="26"/>
  <c r="D282" i="26"/>
  <c r="D408" i="26"/>
  <c r="D434" i="26"/>
  <c r="D499" i="26"/>
  <c r="D500" i="26"/>
  <c r="D509" i="26"/>
  <c r="D555" i="26"/>
  <c r="D199" i="26"/>
  <c r="D202" i="26"/>
  <c r="D355" i="26"/>
  <c r="D364" i="26"/>
  <c r="D387" i="26"/>
  <c r="D667" i="26"/>
  <c r="D678" i="26"/>
  <c r="D13" i="26"/>
  <c r="D264" i="26"/>
  <c r="D421" i="26"/>
  <c r="D448" i="26"/>
  <c r="D495" i="26"/>
  <c r="D496" i="26"/>
  <c r="D510" i="26"/>
  <c r="D556" i="26"/>
  <c r="D165" i="26"/>
  <c r="D166" i="26"/>
  <c r="D167" i="26"/>
  <c r="D168" i="26"/>
  <c r="D169" i="26"/>
  <c r="D205" i="26"/>
  <c r="D206" i="26"/>
  <c r="D207" i="26"/>
  <c r="D369" i="26"/>
  <c r="D370" i="26"/>
  <c r="D371" i="26"/>
  <c r="D372" i="26"/>
  <c r="D373" i="26"/>
  <c r="D391" i="26"/>
  <c r="D650" i="26"/>
  <c r="D651" i="26"/>
  <c r="D652" i="26"/>
  <c r="D653" i="26"/>
  <c r="D654" i="26"/>
  <c r="D655" i="26"/>
  <c r="D656" i="26"/>
  <c r="D670" i="26"/>
  <c r="D682" i="26"/>
  <c r="D14" i="26"/>
  <c r="D16" i="26"/>
  <c r="D43" i="26"/>
  <c r="D48" i="26"/>
  <c r="D59" i="26"/>
  <c r="D50" i="26"/>
  <c r="D51" i="26"/>
  <c r="D52" i="26"/>
  <c r="D64" i="26"/>
  <c r="D208" i="26"/>
  <c r="D209" i="26"/>
  <c r="D210" i="26"/>
  <c r="D211" i="26"/>
  <c r="D217" i="26"/>
  <c r="D225" i="26"/>
  <c r="D226" i="26"/>
  <c r="D228" i="26"/>
  <c r="D229" i="26"/>
  <c r="D231" i="26"/>
  <c r="D232" i="26"/>
  <c r="D234" i="26"/>
  <c r="D236" i="26"/>
  <c r="D237" i="26"/>
  <c r="D239" i="26"/>
  <c r="D240" i="26"/>
  <c r="D241" i="26"/>
  <c r="D244" i="26"/>
  <c r="D245" i="26"/>
  <c r="D248" i="26"/>
  <c r="D249" i="26"/>
  <c r="D250" i="26"/>
  <c r="D251" i="26"/>
  <c r="D252" i="26"/>
  <c r="D255" i="26"/>
  <c r="D259" i="26"/>
  <c r="D265" i="26"/>
  <c r="D269" i="26"/>
  <c r="D270" i="26"/>
  <c r="D271" i="26"/>
  <c r="D272" i="26"/>
  <c r="D275" i="26"/>
  <c r="D278" i="26"/>
  <c r="D283" i="26"/>
  <c r="D407" i="26"/>
  <c r="D419" i="26"/>
  <c r="D420" i="26"/>
  <c r="D424" i="26"/>
  <c r="D425" i="26"/>
  <c r="D426" i="26"/>
  <c r="D430" i="26"/>
  <c r="D433" i="26"/>
  <c r="D441" i="26"/>
  <c r="D442" i="26"/>
  <c r="D444" i="26"/>
  <c r="D445" i="26"/>
  <c r="D446" i="26"/>
  <c r="D447" i="26"/>
  <c r="D511" i="26"/>
  <c r="D547" i="26"/>
  <c r="D548" i="26"/>
  <c r="D557" i="26"/>
  <c r="D114" i="26"/>
  <c r="D115" i="26"/>
  <c r="D118" i="26"/>
  <c r="D119" i="26"/>
  <c r="D121" i="26"/>
  <c r="D329" i="26"/>
  <c r="D336" i="26"/>
  <c r="D338" i="26"/>
  <c r="D381" i="26"/>
  <c r="D607" i="26"/>
  <c r="D613" i="26"/>
  <c r="D614" i="26"/>
  <c r="D615" i="26"/>
  <c r="D616" i="26"/>
  <c r="D617" i="26"/>
  <c r="D619" i="26"/>
  <c r="D96" i="26"/>
  <c r="D99" i="26"/>
  <c r="D100" i="26"/>
  <c r="D300" i="26"/>
  <c r="D301" i="26"/>
  <c r="D302" i="26"/>
  <c r="D304" i="26"/>
  <c r="D308" i="26"/>
  <c r="D311" i="26"/>
  <c r="D313" i="26"/>
  <c r="D315" i="26"/>
  <c r="D316" i="26"/>
  <c r="D319" i="26"/>
  <c r="D579" i="26"/>
  <c r="D584" i="26"/>
  <c r="D586" i="26"/>
  <c r="D587" i="26"/>
  <c r="D588" i="26"/>
  <c r="D590" i="26"/>
  <c r="D592" i="26"/>
  <c r="D594" i="26"/>
  <c r="D595" i="26"/>
  <c r="D597" i="26"/>
  <c r="AH148" i="26" l="1"/>
  <c r="AG148" i="26"/>
  <c r="AH95" i="26" l="1"/>
  <c r="AG95" i="26"/>
  <c r="AG268" i="26" l="1"/>
  <c r="AG146" i="26"/>
  <c r="AG21" i="26"/>
  <c r="AG272" i="26"/>
  <c r="AG250" i="26"/>
  <c r="AG249" i="26"/>
  <c r="AG232" i="26"/>
  <c r="AG231" i="26"/>
  <c r="AG225" i="26"/>
  <c r="AI384" i="26" l="1"/>
  <c r="AJ384" i="26"/>
  <c r="AK384" i="26"/>
  <c r="AH384" i="26"/>
  <c r="AL44" i="26"/>
  <c r="AM44" i="26" s="1"/>
  <c r="AR44" i="26" s="1"/>
  <c r="AO44" i="26"/>
  <c r="AP44" i="26"/>
  <c r="AL93" i="26"/>
  <c r="AM93" i="26" s="1"/>
  <c r="AR93" i="26" s="1"/>
  <c r="AO93" i="26"/>
  <c r="AP93" i="26"/>
  <c r="AH49" i="26"/>
  <c r="AL158" i="26" l="1"/>
  <c r="AM158" i="26" s="1"/>
  <c r="AR158" i="26" s="1"/>
  <c r="AO158" i="26"/>
  <c r="AP158" i="26"/>
  <c r="AL420" i="26"/>
  <c r="AM420" i="26" s="1"/>
  <c r="AR420" i="26" s="1"/>
  <c r="AO420" i="26"/>
  <c r="AP420" i="26"/>
  <c r="AL434" i="26"/>
  <c r="AM434" i="26" s="1"/>
  <c r="AR434" i="26" s="1"/>
  <c r="AO434" i="26"/>
  <c r="AP434" i="26"/>
  <c r="AL392" i="26"/>
  <c r="AM392" i="26" s="1"/>
  <c r="AR392" i="26" s="1"/>
  <c r="AO392" i="26"/>
  <c r="AP392" i="26"/>
  <c r="AP678" i="26"/>
  <c r="AO678" i="26"/>
  <c r="AL678" i="26"/>
  <c r="AM678" i="26" s="1"/>
  <c r="AR678" i="26" s="1"/>
  <c r="AP667" i="26"/>
  <c r="AO667" i="26"/>
  <c r="AL667" i="26"/>
  <c r="AM667" i="26" s="1"/>
  <c r="AR667" i="26" s="1"/>
  <c r="AP387" i="26"/>
  <c r="AO387" i="26"/>
  <c r="AL387" i="26"/>
  <c r="AM387" i="26" s="1"/>
  <c r="AR387" i="26" s="1"/>
  <c r="AP364" i="26"/>
  <c r="AO364" i="26"/>
  <c r="AL364" i="26"/>
  <c r="AM364" i="26" s="1"/>
  <c r="AR364" i="26" s="1"/>
  <c r="AP355" i="26"/>
  <c r="AO355" i="26"/>
  <c r="AL355" i="26"/>
  <c r="AM355" i="26" s="1"/>
  <c r="AR355" i="26" s="1"/>
  <c r="AP202" i="26"/>
  <c r="AO202" i="26"/>
  <c r="AL202" i="26"/>
  <c r="AM202" i="26" s="1"/>
  <c r="AR202" i="26" s="1"/>
  <c r="AP199" i="26"/>
  <c r="AO199" i="26"/>
  <c r="AL199" i="26"/>
  <c r="AM199" i="26" s="1"/>
  <c r="AR199" i="26" s="1"/>
  <c r="AP59" i="26"/>
  <c r="AO59" i="26"/>
  <c r="AL59" i="26"/>
  <c r="AM59" i="26" s="1"/>
  <c r="AR59" i="26" s="1"/>
  <c r="AP592" i="26"/>
  <c r="AO592" i="26"/>
  <c r="AL592" i="26"/>
  <c r="AM592" i="26" s="1"/>
  <c r="AR592" i="26" s="1"/>
  <c r="AP401" i="26"/>
  <c r="AO401" i="26"/>
  <c r="AL401" i="26"/>
  <c r="AM401" i="26" s="1"/>
  <c r="AR401" i="26" s="1"/>
  <c r="AP672" i="26"/>
  <c r="AO672" i="26"/>
  <c r="AL672" i="26"/>
  <c r="AM672" i="26" s="1"/>
  <c r="AR672" i="26" s="1"/>
  <c r="AP304" i="26"/>
  <c r="AO304" i="26"/>
  <c r="AL304" i="26"/>
  <c r="AM304" i="26" s="1"/>
  <c r="AR304" i="26" s="1"/>
  <c r="AP671" i="26"/>
  <c r="AO671" i="26"/>
  <c r="AL671" i="26"/>
  <c r="AM671" i="26" s="1"/>
  <c r="AR671" i="26" s="1"/>
  <c r="AP160" i="26"/>
  <c r="AO160" i="26"/>
  <c r="AL160" i="26"/>
  <c r="AM160" i="26" s="1"/>
  <c r="AR160" i="26" s="1"/>
  <c r="AP151" i="26"/>
  <c r="AO151" i="26"/>
  <c r="AL151" i="26"/>
  <c r="AM151" i="26" s="1"/>
  <c r="AR151" i="26" s="1"/>
  <c r="AP384" i="26"/>
  <c r="AO384" i="26"/>
  <c r="AL384" i="26"/>
  <c r="AM384" i="26" s="1"/>
  <c r="AR384" i="26" s="1"/>
  <c r="AP662" i="26"/>
  <c r="AO662" i="26"/>
  <c r="AL662" i="26"/>
  <c r="AM662" i="26" s="1"/>
  <c r="AR662" i="26" s="1"/>
  <c r="AP578" i="26"/>
  <c r="AO578" i="26"/>
  <c r="AL578" i="26"/>
  <c r="AM578" i="26" s="1"/>
  <c r="AR578" i="26" s="1"/>
  <c r="AP681" i="26"/>
  <c r="AO681" i="26"/>
  <c r="AL681" i="26"/>
  <c r="AM681" i="26" s="1"/>
  <c r="AR681" i="26" s="1"/>
  <c r="AP682" i="26"/>
  <c r="AO682" i="26"/>
  <c r="AL682" i="26"/>
  <c r="AM682" i="26" s="1"/>
  <c r="AR682" i="26" s="1"/>
  <c r="AP680" i="26"/>
  <c r="AO680" i="26"/>
  <c r="AL680" i="26"/>
  <c r="AM680" i="26" s="1"/>
  <c r="AR680" i="26" s="1"/>
  <c r="AP661" i="26"/>
  <c r="AO661" i="26"/>
  <c r="AL661" i="26"/>
  <c r="AM661" i="26" s="1"/>
  <c r="AR661" i="26" s="1"/>
  <c r="AP674" i="26"/>
  <c r="AO674" i="26"/>
  <c r="AL674" i="26"/>
  <c r="AM674" i="26" s="1"/>
  <c r="AR674" i="26" s="1"/>
  <c r="AP673" i="26"/>
  <c r="AO673" i="26"/>
  <c r="AL673" i="26"/>
  <c r="AM673" i="26" s="1"/>
  <c r="AR673" i="26" s="1"/>
  <c r="AP66" i="26"/>
  <c r="AO66" i="26"/>
  <c r="AL66" i="26"/>
  <c r="AM66" i="26" s="1"/>
  <c r="AR66" i="26" s="1"/>
  <c r="AP679" i="26"/>
  <c r="AO679" i="26"/>
  <c r="AL679" i="26"/>
  <c r="AM679" i="26" s="1"/>
  <c r="AR679" i="26" s="1"/>
  <c r="AP670" i="26"/>
  <c r="AO670" i="26"/>
  <c r="AL670" i="26"/>
  <c r="AM670" i="26" s="1"/>
  <c r="AR670" i="26" s="1"/>
  <c r="AP669" i="26"/>
  <c r="AO669" i="26"/>
  <c r="AL669" i="26"/>
  <c r="AM669" i="26" s="1"/>
  <c r="AR669" i="26" s="1"/>
  <c r="AP65" i="26"/>
  <c r="AO65" i="26"/>
  <c r="AL65" i="26"/>
  <c r="AM65" i="26" s="1"/>
  <c r="AR65" i="26" s="1"/>
  <c r="AP664" i="26"/>
  <c r="AO664" i="26"/>
  <c r="AL664" i="26"/>
  <c r="AM664" i="26" s="1"/>
  <c r="AR664" i="26" s="1"/>
  <c r="AP663" i="26"/>
  <c r="AO663" i="26"/>
  <c r="AL663" i="26"/>
  <c r="AM663" i="26" s="1"/>
  <c r="AR663" i="26" s="1"/>
  <c r="AP377" i="26"/>
  <c r="AO377" i="26"/>
  <c r="AL377" i="26"/>
  <c r="AM377" i="26" s="1"/>
  <c r="AR377" i="26" s="1"/>
  <c r="AP668" i="26"/>
  <c r="AO668" i="26"/>
  <c r="AL668" i="26"/>
  <c r="AM668" i="26" s="1"/>
  <c r="AR668" i="26" s="1"/>
  <c r="AP677" i="26"/>
  <c r="AO677" i="26"/>
  <c r="AL677" i="26"/>
  <c r="AM677" i="26" s="1"/>
  <c r="AR677" i="26" s="1"/>
  <c r="AP400" i="26"/>
  <c r="AO400" i="26"/>
  <c r="AL400" i="26"/>
  <c r="AM400" i="26" s="1"/>
  <c r="AR400" i="26" s="1"/>
  <c r="AP394" i="26"/>
  <c r="AO394" i="26"/>
  <c r="AL394" i="26"/>
  <c r="AM394" i="26" s="1"/>
  <c r="AR394" i="26" s="1"/>
  <c r="AP390" i="26"/>
  <c r="AO390" i="26"/>
  <c r="AL390" i="26"/>
  <c r="AM390" i="26" s="1"/>
  <c r="AR390" i="26" s="1"/>
  <c r="AP368" i="26"/>
  <c r="AO368" i="26"/>
  <c r="AL368" i="26"/>
  <c r="AM368" i="26" s="1"/>
  <c r="AR368" i="26" s="1"/>
  <c r="AP164" i="26"/>
  <c r="AO164" i="26"/>
  <c r="AL164" i="26"/>
  <c r="AM164" i="26" s="1"/>
  <c r="AR164" i="26" s="1"/>
  <c r="AP666" i="26"/>
  <c r="AO666" i="26"/>
  <c r="AL666" i="26"/>
  <c r="AM666" i="26" s="1"/>
  <c r="AR666" i="26" s="1"/>
  <c r="AP399" i="26"/>
  <c r="AO399" i="26"/>
  <c r="AL399" i="26"/>
  <c r="AM399" i="26" s="1"/>
  <c r="AR399" i="26" s="1"/>
  <c r="AP163" i="26"/>
  <c r="AO163" i="26"/>
  <c r="AL163" i="26"/>
  <c r="AM163" i="26" s="1"/>
  <c r="AR163" i="26" s="1"/>
  <c r="AP665" i="26"/>
  <c r="AO665" i="26"/>
  <c r="AL665" i="26"/>
  <c r="AM665" i="26" s="1"/>
  <c r="AR665" i="26" s="1"/>
  <c r="AP299" i="26"/>
  <c r="AO299" i="26"/>
  <c r="AL299" i="26"/>
  <c r="AM299" i="26" s="1"/>
  <c r="AR299" i="26" s="1"/>
  <c r="AP100" i="26"/>
  <c r="AO100" i="26"/>
  <c r="AL100" i="26"/>
  <c r="AM100" i="26" s="1"/>
  <c r="AR100" i="26" s="1"/>
  <c r="AP376" i="26"/>
  <c r="AO376" i="26"/>
  <c r="AL376" i="26"/>
  <c r="AM376" i="26" s="1"/>
  <c r="AR376" i="26" s="1"/>
  <c r="AP140" i="26"/>
  <c r="AO140" i="26"/>
  <c r="AL140" i="26"/>
  <c r="AM140" i="26" s="1"/>
  <c r="AR140" i="26" s="1"/>
  <c r="AP113" i="26"/>
  <c r="AO113" i="26"/>
  <c r="AL113" i="26"/>
  <c r="AM113" i="26" s="1"/>
  <c r="AR113" i="26" s="1"/>
  <c r="AP92" i="26"/>
  <c r="AO92" i="26"/>
  <c r="AL92" i="26"/>
  <c r="AM92" i="26" s="1"/>
  <c r="AR92" i="26" s="1"/>
  <c r="AP378" i="26"/>
  <c r="AO378" i="26"/>
  <c r="AL378" i="26"/>
  <c r="AM378" i="26" s="1"/>
  <c r="AR378" i="26" s="1"/>
  <c r="AP391" i="26"/>
  <c r="AO391" i="26"/>
  <c r="AL391" i="26"/>
  <c r="AM391" i="26" s="1"/>
  <c r="AR391" i="26" s="1"/>
  <c r="AP389" i="26"/>
  <c r="AO389" i="26"/>
  <c r="AL389" i="26"/>
  <c r="AM389" i="26" s="1"/>
  <c r="AR389" i="26" s="1"/>
  <c r="AP557" i="26"/>
  <c r="AO557" i="26"/>
  <c r="AL557" i="26"/>
  <c r="AM557" i="26" s="1"/>
  <c r="AR557" i="26" s="1"/>
  <c r="AP383" i="26"/>
  <c r="AO383" i="26"/>
  <c r="AL383" i="26"/>
  <c r="AM383" i="26" s="1"/>
  <c r="AR383" i="26" s="1"/>
  <c r="AP380" i="26"/>
  <c r="AO380" i="26"/>
  <c r="AL380" i="26"/>
  <c r="AM380" i="26" s="1"/>
  <c r="AR380" i="26" s="1"/>
  <c r="AP379" i="26"/>
  <c r="AO379" i="26"/>
  <c r="AL379" i="26"/>
  <c r="AM379" i="26" s="1"/>
  <c r="AR379" i="26" s="1"/>
  <c r="AP283" i="26"/>
  <c r="AO283" i="26"/>
  <c r="AL283" i="26"/>
  <c r="AM283" i="26" s="1"/>
  <c r="AR283" i="26" s="1"/>
  <c r="AP393" i="26"/>
  <c r="AO393" i="26"/>
  <c r="AL393" i="26"/>
  <c r="AM393" i="26" s="1"/>
  <c r="AR393" i="26" s="1"/>
  <c r="AP388" i="26"/>
  <c r="AO388" i="26"/>
  <c r="AL388" i="26"/>
  <c r="AM388" i="26" s="1"/>
  <c r="AR388" i="26" s="1"/>
  <c r="AP64" i="26"/>
  <c r="AO64" i="26"/>
  <c r="AL64" i="26"/>
  <c r="AM64" i="26" s="1"/>
  <c r="AR64" i="26" s="1"/>
  <c r="AP382" i="26"/>
  <c r="AO382" i="26"/>
  <c r="AL382" i="26"/>
  <c r="AM382" i="26" s="1"/>
  <c r="AR382" i="26" s="1"/>
  <c r="AP367" i="26"/>
  <c r="AO367" i="26"/>
  <c r="AL367" i="26"/>
  <c r="AM367" i="26" s="1"/>
  <c r="AR367" i="26" s="1"/>
  <c r="AP386" i="26"/>
  <c r="AO386" i="26"/>
  <c r="AL386" i="26"/>
  <c r="AM386" i="26" s="1"/>
  <c r="AR386" i="26" s="1"/>
  <c r="AP385" i="26"/>
  <c r="AO385" i="26"/>
  <c r="AL385" i="26"/>
  <c r="AM385" i="26" s="1"/>
  <c r="AR385" i="26" s="1"/>
  <c r="AP597" i="26"/>
  <c r="AO597" i="26"/>
  <c r="AL597" i="26"/>
  <c r="AM597" i="26" s="1"/>
  <c r="AR597" i="26" s="1"/>
  <c r="AP319" i="26"/>
  <c r="AO319" i="26"/>
  <c r="AL319" i="26"/>
  <c r="AM319" i="26" s="1"/>
  <c r="AR319" i="26" s="1"/>
  <c r="AP99" i="26"/>
  <c r="AO99" i="26"/>
  <c r="AL99" i="26"/>
  <c r="AM99" i="26" s="1"/>
  <c r="AR99" i="26" s="1"/>
  <c r="AP619" i="26"/>
  <c r="AO619" i="26"/>
  <c r="AL619" i="26"/>
  <c r="AM619" i="26" s="1"/>
  <c r="AR619" i="26" s="1"/>
  <c r="AP121" i="26"/>
  <c r="AO121" i="26"/>
  <c r="AL121" i="26"/>
  <c r="AM121" i="26" s="1"/>
  <c r="AR121" i="26" s="1"/>
  <c r="AP556" i="26"/>
  <c r="AO556" i="26"/>
  <c r="AL556" i="26"/>
  <c r="AM556" i="26" s="1"/>
  <c r="AR556" i="26" s="1"/>
  <c r="AP555" i="26"/>
  <c r="AO555" i="26"/>
  <c r="AL555" i="26"/>
  <c r="AM555" i="26" s="1"/>
  <c r="AR555" i="26" s="1"/>
  <c r="AP282" i="26"/>
  <c r="AO282" i="26"/>
  <c r="AL282" i="26"/>
  <c r="AM282" i="26" s="1"/>
  <c r="AR282" i="26" s="1"/>
  <c r="AP656" i="26"/>
  <c r="AO656" i="26"/>
  <c r="AL656" i="26"/>
  <c r="AM656" i="26" s="1"/>
  <c r="AR656" i="26" s="1"/>
  <c r="AP373" i="26"/>
  <c r="AO373" i="26"/>
  <c r="AL373" i="26"/>
  <c r="AM373" i="26" s="1"/>
  <c r="AR373" i="26" s="1"/>
  <c r="AP207" i="26"/>
  <c r="AO207" i="26"/>
  <c r="AL207" i="26"/>
  <c r="AM207" i="26" s="1"/>
  <c r="AR207" i="26" s="1"/>
  <c r="AO169" i="26"/>
  <c r="AB169" i="26"/>
  <c r="AP169" i="26" s="1"/>
  <c r="AP63" i="26"/>
  <c r="AO63" i="26"/>
  <c r="AL63" i="26"/>
  <c r="AM63" i="26" s="1"/>
  <c r="AR63" i="26" s="1"/>
  <c r="AP554" i="26"/>
  <c r="AO554" i="26"/>
  <c r="AL554" i="26"/>
  <c r="AM554" i="26" s="1"/>
  <c r="AR554" i="26" s="1"/>
  <c r="AP281" i="26"/>
  <c r="AO281" i="26"/>
  <c r="AL281" i="26"/>
  <c r="AM281" i="26" s="1"/>
  <c r="AR281" i="26" s="1"/>
  <c r="AP62" i="26"/>
  <c r="AO62" i="26"/>
  <c r="AL62" i="26"/>
  <c r="AM62" i="26" s="1"/>
  <c r="AR62" i="26" s="1"/>
  <c r="AP366" i="26"/>
  <c r="AO366" i="26"/>
  <c r="AL366" i="26"/>
  <c r="AM366" i="26" s="1"/>
  <c r="AR366" i="26" s="1"/>
  <c r="AP204" i="26"/>
  <c r="AO204" i="26"/>
  <c r="AL204" i="26"/>
  <c r="AM204" i="26" s="1"/>
  <c r="AR204" i="26" s="1"/>
  <c r="AP649" i="26"/>
  <c r="AO649" i="26"/>
  <c r="AL649" i="26"/>
  <c r="AM649" i="26" s="1"/>
  <c r="AR649" i="26" s="1"/>
  <c r="AP162" i="26"/>
  <c r="AO162" i="26"/>
  <c r="AL162" i="26"/>
  <c r="AM162" i="26" s="1"/>
  <c r="AR162" i="26" s="1"/>
  <c r="AP553" i="26"/>
  <c r="AO553" i="26"/>
  <c r="AL553" i="26"/>
  <c r="AM553" i="26" s="1"/>
  <c r="AR553" i="26" s="1"/>
  <c r="AP280" i="26"/>
  <c r="AO280" i="26"/>
  <c r="AL280" i="26"/>
  <c r="AM280" i="26" s="1"/>
  <c r="AR280" i="26" s="1"/>
  <c r="AP193" i="26"/>
  <c r="AO193" i="26"/>
  <c r="AL193" i="26"/>
  <c r="AM193" i="26" s="1"/>
  <c r="AR193" i="26" s="1"/>
  <c r="AP61" i="26"/>
  <c r="AO61" i="26"/>
  <c r="AL61" i="26"/>
  <c r="AM61" i="26" s="1"/>
  <c r="AR61" i="26" s="1"/>
  <c r="AP552" i="26"/>
  <c r="AO552" i="26"/>
  <c r="AL552" i="26"/>
  <c r="AM552" i="26" s="1"/>
  <c r="AR552" i="26" s="1"/>
  <c r="AP279" i="26"/>
  <c r="AO279" i="26"/>
  <c r="AL279" i="26"/>
  <c r="AM279" i="26" s="1"/>
  <c r="AR279" i="26" s="1"/>
  <c r="AP60" i="26"/>
  <c r="AO60" i="26"/>
  <c r="AL60" i="26"/>
  <c r="AM60" i="26" s="1"/>
  <c r="AR60" i="26" s="1"/>
  <c r="AP625" i="26"/>
  <c r="AO625" i="26"/>
  <c r="AL625" i="26"/>
  <c r="AM625" i="26" s="1"/>
  <c r="AR625" i="26" s="1"/>
  <c r="AP396" i="26"/>
  <c r="AO396" i="26"/>
  <c r="AL396" i="26"/>
  <c r="AM396" i="26" s="1"/>
  <c r="AR396" i="26" s="1"/>
  <c r="AP139" i="26"/>
  <c r="AO139" i="26"/>
  <c r="AL139" i="26"/>
  <c r="AM139" i="26" s="1"/>
  <c r="AR139" i="26" s="1"/>
  <c r="AP618" i="26"/>
  <c r="AO618" i="26"/>
  <c r="AL618" i="26"/>
  <c r="AM618" i="26" s="1"/>
  <c r="AR618" i="26" s="1"/>
  <c r="AP337" i="26"/>
  <c r="AO337" i="26"/>
  <c r="AL337" i="26"/>
  <c r="AM337" i="26" s="1"/>
  <c r="AR337" i="26" s="1"/>
  <c r="AP600" i="26"/>
  <c r="AO600" i="26"/>
  <c r="AL600" i="26"/>
  <c r="AM600" i="26" s="1"/>
  <c r="AR600" i="26" s="1"/>
  <c r="AP325" i="26"/>
  <c r="AO325" i="26"/>
  <c r="AL325" i="26"/>
  <c r="AM325" i="26" s="1"/>
  <c r="AR325" i="26" s="1"/>
  <c r="AP112" i="26"/>
  <c r="AO112" i="26"/>
  <c r="AL112" i="26"/>
  <c r="AM112" i="26" s="1"/>
  <c r="AR112" i="26" s="1"/>
  <c r="AP596" i="26"/>
  <c r="AO596" i="26"/>
  <c r="AL596" i="26"/>
  <c r="AM596" i="26" s="1"/>
  <c r="AR596" i="26" s="1"/>
  <c r="AP318" i="26"/>
  <c r="AO318" i="26"/>
  <c r="AL318" i="26"/>
  <c r="AM318" i="26" s="1"/>
  <c r="AR318" i="26" s="1"/>
  <c r="AP577" i="26"/>
  <c r="AO577" i="26"/>
  <c r="AL577" i="26"/>
  <c r="AM577" i="26" s="1"/>
  <c r="AR577" i="26" s="1"/>
  <c r="AP298" i="26"/>
  <c r="AO298" i="26"/>
  <c r="AL298" i="26"/>
  <c r="AM298" i="26" s="1"/>
  <c r="AR298" i="26" s="1"/>
  <c r="AP91" i="26"/>
  <c r="AO91" i="26"/>
  <c r="AL91" i="26"/>
  <c r="AM91" i="26" s="1"/>
  <c r="AR91" i="26" s="1"/>
  <c r="AP192" i="26"/>
  <c r="AO192" i="26"/>
  <c r="AL192" i="26"/>
  <c r="AM192" i="26" s="1"/>
  <c r="AR192" i="26" s="1"/>
  <c r="BS551" i="26"/>
  <c r="AP551" i="26"/>
  <c r="AO551" i="26"/>
  <c r="AL551" i="26"/>
  <c r="AM551" i="26" s="1"/>
  <c r="AR551" i="26" s="1"/>
  <c r="BS550" i="26"/>
  <c r="AP550" i="26"/>
  <c r="AO550" i="26"/>
  <c r="AL550" i="26"/>
  <c r="AM550" i="26" s="1"/>
  <c r="AR550" i="26" s="1"/>
  <c r="AP648" i="26"/>
  <c r="AO648" i="26"/>
  <c r="AL648" i="26"/>
  <c r="AM648" i="26" s="1"/>
  <c r="AR648" i="26" s="1"/>
  <c r="AP397" i="26"/>
  <c r="AO397" i="26"/>
  <c r="AL397" i="26"/>
  <c r="AM397" i="26" s="1"/>
  <c r="AR397" i="26" s="1"/>
  <c r="AP365" i="26"/>
  <c r="AO365" i="26"/>
  <c r="AL365" i="26"/>
  <c r="AM365" i="26" s="1"/>
  <c r="AR365" i="26" s="1"/>
  <c r="AP203" i="26"/>
  <c r="AO203" i="26"/>
  <c r="AL203" i="26"/>
  <c r="AM203" i="26" s="1"/>
  <c r="AR203" i="26" s="1"/>
  <c r="AP161" i="26"/>
  <c r="AO161" i="26"/>
  <c r="AL161" i="26"/>
  <c r="AM161" i="26" s="1"/>
  <c r="AR161" i="26" s="1"/>
  <c r="AP549" i="26"/>
  <c r="AO549" i="26"/>
  <c r="AL549" i="26"/>
  <c r="AM549" i="26" s="1"/>
  <c r="AR549" i="26" s="1"/>
  <c r="AP338" i="26"/>
  <c r="AO338" i="26"/>
  <c r="AL338" i="26"/>
  <c r="AM338" i="26" s="1"/>
  <c r="AR338" i="26" s="1"/>
  <c r="AP398" i="26"/>
  <c r="AO398" i="26"/>
  <c r="AL398" i="26"/>
  <c r="AM398" i="26" s="1"/>
  <c r="AR398" i="26" s="1"/>
  <c r="AP120" i="26"/>
  <c r="AO120" i="26"/>
  <c r="AL120" i="26"/>
  <c r="AM120" i="26" s="1"/>
  <c r="AR120" i="26" s="1"/>
  <c r="AP98" i="26"/>
  <c r="AO98" i="26"/>
  <c r="AL98" i="26"/>
  <c r="AM98" i="26" s="1"/>
  <c r="AR98" i="26" s="1"/>
  <c r="AP395" i="26"/>
  <c r="AO395" i="26"/>
  <c r="AL395" i="26"/>
  <c r="AM395" i="26" s="1"/>
  <c r="AR395" i="26" s="1"/>
  <c r="BS617" i="26"/>
  <c r="AP617" i="26"/>
  <c r="AO617" i="26"/>
  <c r="AK617" i="26"/>
  <c r="AJ617" i="26"/>
  <c r="AI617" i="26"/>
  <c r="AH617" i="26"/>
  <c r="AG617" i="26"/>
  <c r="AP616" i="26"/>
  <c r="AO616" i="26"/>
  <c r="AL616" i="26"/>
  <c r="AM616" i="26" s="1"/>
  <c r="AR616" i="26" s="1"/>
  <c r="AP615" i="26"/>
  <c r="AO615" i="26"/>
  <c r="AL615" i="26"/>
  <c r="AM615" i="26" s="1"/>
  <c r="AR615" i="26" s="1"/>
  <c r="AP119" i="26"/>
  <c r="AO119" i="26"/>
  <c r="AL119" i="26"/>
  <c r="AM119" i="26" s="1"/>
  <c r="AR119" i="26" s="1"/>
  <c r="AP614" i="26"/>
  <c r="AO614" i="26"/>
  <c r="AL614" i="26"/>
  <c r="AM614" i="26" s="1"/>
  <c r="AR614" i="26" s="1"/>
  <c r="AP118" i="26"/>
  <c r="AO118" i="26"/>
  <c r="AL118" i="26"/>
  <c r="AM118" i="26" s="1"/>
  <c r="AR118" i="26" s="1"/>
  <c r="AP548" i="26"/>
  <c r="AO548" i="26"/>
  <c r="AL548" i="26"/>
  <c r="AM548" i="26" s="1"/>
  <c r="AR548" i="26" s="1"/>
  <c r="AP547" i="26"/>
  <c r="AO547" i="26"/>
  <c r="AL547" i="26"/>
  <c r="AM547" i="26" s="1"/>
  <c r="AR547" i="26" s="1"/>
  <c r="AP655" i="26"/>
  <c r="AO655" i="26"/>
  <c r="AL655" i="26"/>
  <c r="AM655" i="26" s="1"/>
  <c r="AR655" i="26" s="1"/>
  <c r="BS595" i="26"/>
  <c r="AP595" i="26"/>
  <c r="AO595" i="26"/>
  <c r="AL595" i="26"/>
  <c r="AM595" i="26" s="1"/>
  <c r="AR595" i="26" s="1"/>
  <c r="BS594" i="26"/>
  <c r="AP594" i="26"/>
  <c r="AO594" i="26"/>
  <c r="AL594" i="26"/>
  <c r="AM594" i="26" s="1"/>
  <c r="AR594" i="26" s="1"/>
  <c r="AP278" i="26"/>
  <c r="AO278" i="26"/>
  <c r="AL278" i="26"/>
  <c r="AM278" i="26" s="1"/>
  <c r="AR278" i="26" s="1"/>
  <c r="AP363" i="26"/>
  <c r="AO363" i="26"/>
  <c r="AL363" i="26"/>
  <c r="AM363" i="26" s="1"/>
  <c r="AR363" i="26" s="1"/>
  <c r="AP546" i="26"/>
  <c r="AO546" i="26"/>
  <c r="AL546" i="26"/>
  <c r="AM546" i="26" s="1"/>
  <c r="AR546" i="26" s="1"/>
  <c r="AP317" i="26"/>
  <c r="AO317" i="26"/>
  <c r="AL317" i="26"/>
  <c r="AM317" i="26" s="1"/>
  <c r="AR317" i="26" s="1"/>
  <c r="AP545" i="26"/>
  <c r="AO545" i="26"/>
  <c r="AL545" i="26"/>
  <c r="AM545" i="26" s="1"/>
  <c r="AR545" i="26" s="1"/>
  <c r="BS544" i="26"/>
  <c r="AP544" i="26"/>
  <c r="AO544" i="26"/>
  <c r="AL544" i="26"/>
  <c r="AM544" i="26" s="1"/>
  <c r="AR544" i="26" s="1"/>
  <c r="BS543" i="26"/>
  <c r="AP543" i="26"/>
  <c r="AO543" i="26"/>
  <c r="AL543" i="26"/>
  <c r="AM543" i="26" s="1"/>
  <c r="AR543" i="26" s="1"/>
  <c r="AP542" i="26"/>
  <c r="AO542" i="26"/>
  <c r="AL542" i="26"/>
  <c r="AM542" i="26" s="1"/>
  <c r="AR542" i="26" s="1"/>
  <c r="AP541" i="26"/>
  <c r="AO541" i="26"/>
  <c r="AL541" i="26"/>
  <c r="AM541" i="26" s="1"/>
  <c r="AR541" i="26" s="1"/>
  <c r="BS540" i="26"/>
  <c r="AP540" i="26"/>
  <c r="AO540" i="26"/>
  <c r="AL540" i="26"/>
  <c r="AM540" i="26" s="1"/>
  <c r="AR540" i="26" s="1"/>
  <c r="AP539" i="26"/>
  <c r="AO539" i="26"/>
  <c r="AL539" i="26"/>
  <c r="AM539" i="26" s="1"/>
  <c r="AR539" i="26" s="1"/>
  <c r="AP538" i="26"/>
  <c r="AO538" i="26"/>
  <c r="AL538" i="26"/>
  <c r="AM538" i="26" s="1"/>
  <c r="AR538" i="26" s="1"/>
  <c r="AP537" i="26"/>
  <c r="AO537" i="26"/>
  <c r="AL537" i="26"/>
  <c r="AM537" i="26" s="1"/>
  <c r="AR537" i="26" s="1"/>
  <c r="AP536" i="26"/>
  <c r="AO536" i="26"/>
  <c r="AL536" i="26"/>
  <c r="AM536" i="26" s="1"/>
  <c r="AR536" i="26" s="1"/>
  <c r="BS535" i="26"/>
  <c r="AP535" i="26"/>
  <c r="AO535" i="26"/>
  <c r="AL535" i="26"/>
  <c r="AM535" i="26" s="1"/>
  <c r="AR535" i="26" s="1"/>
  <c r="BS534" i="26"/>
  <c r="AP534" i="26"/>
  <c r="AO534" i="26"/>
  <c r="AL534" i="26"/>
  <c r="AM534" i="26" s="1"/>
  <c r="AR534" i="26" s="1"/>
  <c r="BS533" i="26"/>
  <c r="AP533" i="26"/>
  <c r="AO533" i="26"/>
  <c r="AL533" i="26"/>
  <c r="AM533" i="26" s="1"/>
  <c r="AR533" i="26" s="1"/>
  <c r="BS532" i="26"/>
  <c r="AP532" i="26"/>
  <c r="AO532" i="26"/>
  <c r="AL532" i="26"/>
  <c r="AM532" i="26" s="1"/>
  <c r="AR532" i="26" s="1"/>
  <c r="BS531" i="26"/>
  <c r="AP531" i="26"/>
  <c r="AO531" i="26"/>
  <c r="AL531" i="26"/>
  <c r="AM531" i="26" s="1"/>
  <c r="AR531" i="26" s="1"/>
  <c r="AP593" i="26"/>
  <c r="AO593" i="26"/>
  <c r="AL593" i="26"/>
  <c r="AM593" i="26" s="1"/>
  <c r="AR593" i="26" s="1"/>
  <c r="AP647" i="26"/>
  <c r="AO647" i="26"/>
  <c r="AL647" i="26"/>
  <c r="AM647" i="26" s="1"/>
  <c r="AR647" i="26" s="1"/>
  <c r="AP646" i="26"/>
  <c r="AO646" i="26"/>
  <c r="AL646" i="26"/>
  <c r="AM646" i="26" s="1"/>
  <c r="AR646" i="26" s="1"/>
  <c r="BS530" i="26"/>
  <c r="AP530" i="26"/>
  <c r="AO530" i="26"/>
  <c r="AL530" i="26"/>
  <c r="AM530" i="26" s="1"/>
  <c r="AR530" i="26" s="1"/>
  <c r="AP529" i="26"/>
  <c r="AO529" i="26"/>
  <c r="AL529" i="26"/>
  <c r="AM529" i="26" s="1"/>
  <c r="AR529" i="26" s="1"/>
  <c r="AP277" i="26"/>
  <c r="AO277" i="26"/>
  <c r="AL277" i="26"/>
  <c r="AM277" i="26" s="1"/>
  <c r="AR277" i="26" s="1"/>
  <c r="AP528" i="26"/>
  <c r="AO528" i="26"/>
  <c r="AL528" i="26"/>
  <c r="AM528" i="26" s="1"/>
  <c r="AR528" i="26" s="1"/>
  <c r="AP276" i="26"/>
  <c r="AO276" i="26"/>
  <c r="AL276" i="26"/>
  <c r="AM276" i="26" s="1"/>
  <c r="AR276" i="26" s="1"/>
  <c r="AP527" i="26"/>
  <c r="AO527" i="26"/>
  <c r="AL527" i="26"/>
  <c r="AM527" i="26" s="1"/>
  <c r="AR527" i="26" s="1"/>
  <c r="AP526" i="26"/>
  <c r="AO526" i="26"/>
  <c r="AL526" i="26"/>
  <c r="AM526" i="26" s="1"/>
  <c r="AR526" i="26" s="1"/>
  <c r="AP525" i="26"/>
  <c r="AO525" i="26"/>
  <c r="AL525" i="26"/>
  <c r="AM525" i="26" s="1"/>
  <c r="AR525" i="26" s="1"/>
  <c r="AP576" i="26"/>
  <c r="AO576" i="26"/>
  <c r="AL576" i="26"/>
  <c r="AM576" i="26" s="1"/>
  <c r="AR576" i="26" s="1"/>
  <c r="BS524" i="26"/>
  <c r="AP524" i="26"/>
  <c r="AO524" i="26"/>
  <c r="AL524" i="26"/>
  <c r="AM524" i="26" s="1"/>
  <c r="AR524" i="26" s="1"/>
  <c r="BS523" i="26"/>
  <c r="AP523" i="26"/>
  <c r="AO523" i="26"/>
  <c r="AL523" i="26"/>
  <c r="AM523" i="26" s="1"/>
  <c r="AR523" i="26" s="1"/>
  <c r="BS575" i="26"/>
  <c r="AP575" i="26"/>
  <c r="AO575" i="26"/>
  <c r="AI575" i="26"/>
  <c r="AL575" i="26" s="1"/>
  <c r="AM575" i="26" s="1"/>
  <c r="AR575" i="26" s="1"/>
  <c r="BS574" i="26"/>
  <c r="AP574" i="26"/>
  <c r="AO574" i="26"/>
  <c r="AI574" i="26"/>
  <c r="AL574" i="26" s="1"/>
  <c r="AM574" i="26" s="1"/>
  <c r="AR574" i="26" s="1"/>
  <c r="AP573" i="26"/>
  <c r="AO573" i="26"/>
  <c r="AL573" i="26"/>
  <c r="AM573" i="26" s="1"/>
  <c r="AR573" i="26" s="1"/>
  <c r="AP572" i="26"/>
  <c r="AO572" i="26"/>
  <c r="AL572" i="26"/>
  <c r="AM572" i="26" s="1"/>
  <c r="AR572" i="26" s="1"/>
  <c r="BS571" i="26"/>
  <c r="AP571" i="26"/>
  <c r="AO571" i="26"/>
  <c r="AL571" i="26"/>
  <c r="AM571" i="26" s="1"/>
  <c r="AR571" i="26" s="1"/>
  <c r="AP375" i="26"/>
  <c r="AO375" i="26"/>
  <c r="AL375" i="26"/>
  <c r="AM375" i="26" s="1"/>
  <c r="AR375" i="26" s="1"/>
  <c r="AP522" i="26"/>
  <c r="AO522" i="26"/>
  <c r="AJ522" i="26"/>
  <c r="AI522" i="26"/>
  <c r="AG522" i="26"/>
  <c r="AP521" i="26"/>
  <c r="AO521" i="26"/>
  <c r="AJ521" i="26"/>
  <c r="AI521" i="26"/>
  <c r="AG521" i="26"/>
  <c r="AP520" i="26"/>
  <c r="AO520" i="26"/>
  <c r="AL520" i="26"/>
  <c r="AM520" i="26" s="1"/>
  <c r="AR520" i="26" s="1"/>
  <c r="BS519" i="26"/>
  <c r="AP519" i="26"/>
  <c r="AO519" i="26"/>
  <c r="AL519" i="26"/>
  <c r="AM519" i="26" s="1"/>
  <c r="AR519" i="26" s="1"/>
  <c r="BS518" i="26"/>
  <c r="AP518" i="26"/>
  <c r="AO518" i="26"/>
  <c r="AL518" i="26"/>
  <c r="AM518" i="26" s="1"/>
  <c r="AR518" i="26" s="1"/>
  <c r="BS517" i="26"/>
  <c r="AP517" i="26"/>
  <c r="AO517" i="26"/>
  <c r="AL517" i="26"/>
  <c r="AM517" i="26" s="1"/>
  <c r="AR517" i="26" s="1"/>
  <c r="BS516" i="26"/>
  <c r="AP516" i="26"/>
  <c r="AO516" i="26"/>
  <c r="AL516" i="26"/>
  <c r="AM516" i="26" s="1"/>
  <c r="AR516" i="26" s="1"/>
  <c r="BS515" i="26"/>
  <c r="AP515" i="26"/>
  <c r="AO515" i="26"/>
  <c r="AL515" i="26"/>
  <c r="AM515" i="26" s="1"/>
  <c r="AR515" i="26" s="1"/>
  <c r="BS514" i="26"/>
  <c r="AP514" i="26"/>
  <c r="AO514" i="26"/>
  <c r="AL514" i="26"/>
  <c r="AM514" i="26" s="1"/>
  <c r="AR514" i="26" s="1"/>
  <c r="AP513" i="26"/>
  <c r="AO513" i="26"/>
  <c r="AL513" i="26"/>
  <c r="AM513" i="26" s="1"/>
  <c r="AR513" i="26" s="1"/>
  <c r="AP512" i="26"/>
  <c r="AO512" i="26"/>
  <c r="AL512" i="26"/>
  <c r="AM512" i="26" s="1"/>
  <c r="AR512" i="26" s="1"/>
  <c r="AP511" i="26"/>
  <c r="AO511" i="26"/>
  <c r="AL511" i="26"/>
  <c r="AM511" i="26" s="1"/>
  <c r="AR511" i="26" s="1"/>
  <c r="AP510" i="26"/>
  <c r="AO510" i="26"/>
  <c r="AL510" i="26"/>
  <c r="AM510" i="26" s="1"/>
  <c r="AR510" i="26" s="1"/>
  <c r="BS570" i="26"/>
  <c r="AP570" i="26"/>
  <c r="AO570" i="26"/>
  <c r="AL570" i="26"/>
  <c r="AM570" i="26" s="1"/>
  <c r="AR570" i="26" s="1"/>
  <c r="AP645" i="26"/>
  <c r="AO645" i="26"/>
  <c r="AL645" i="26"/>
  <c r="AM645" i="26" s="1"/>
  <c r="AR645" i="26" s="1"/>
  <c r="AP509" i="26"/>
  <c r="AO509" i="26"/>
  <c r="AL509" i="26"/>
  <c r="AM509" i="26" s="1"/>
  <c r="AR509" i="26" s="1"/>
  <c r="AP569" i="26"/>
  <c r="AO569" i="26"/>
  <c r="AL569" i="26"/>
  <c r="AM569" i="26" s="1"/>
  <c r="AR569" i="26" s="1"/>
  <c r="AP90" i="26"/>
  <c r="AO90" i="26"/>
  <c r="AL90" i="26"/>
  <c r="AM90" i="26" s="1"/>
  <c r="AR90" i="26" s="1"/>
  <c r="AP613" i="26"/>
  <c r="AO613" i="26"/>
  <c r="AL613" i="26"/>
  <c r="AM613" i="26" s="1"/>
  <c r="AR613" i="26" s="1"/>
  <c r="AP508" i="26"/>
  <c r="AO508" i="26"/>
  <c r="AL508" i="26"/>
  <c r="AM508" i="26" s="1"/>
  <c r="AR508" i="26" s="1"/>
  <c r="AP654" i="26"/>
  <c r="AO654" i="26"/>
  <c r="AL654" i="26"/>
  <c r="AM654" i="26" s="1"/>
  <c r="AR654" i="26" s="1"/>
  <c r="AP507" i="26"/>
  <c r="AO507" i="26"/>
  <c r="AL507" i="26"/>
  <c r="AM507" i="26" s="1"/>
  <c r="AR507" i="26" s="1"/>
  <c r="AP506" i="26"/>
  <c r="AO506" i="26"/>
  <c r="AL506" i="26"/>
  <c r="AM506" i="26" s="1"/>
  <c r="AR506" i="26" s="1"/>
  <c r="AP644" i="26"/>
  <c r="AO644" i="26"/>
  <c r="AL644" i="26"/>
  <c r="AM644" i="26" s="1"/>
  <c r="AR644" i="26" s="1"/>
  <c r="AP505" i="26"/>
  <c r="AO505" i="26"/>
  <c r="AL505" i="26"/>
  <c r="AM505" i="26" s="1"/>
  <c r="AR505" i="26" s="1"/>
  <c r="AP504" i="26"/>
  <c r="AO504" i="26"/>
  <c r="AI504" i="26"/>
  <c r="AL504" i="26" s="1"/>
  <c r="AM504" i="26" s="1"/>
  <c r="AR504" i="26" s="1"/>
  <c r="AP624" i="26"/>
  <c r="AO624" i="26"/>
  <c r="AL624" i="26"/>
  <c r="AM624" i="26" s="1"/>
  <c r="AR624" i="26" s="1"/>
  <c r="AP612" i="26"/>
  <c r="AO612" i="26"/>
  <c r="AL612" i="26"/>
  <c r="AM612" i="26" s="1"/>
  <c r="AR612" i="26" s="1"/>
  <c r="AP599" i="26"/>
  <c r="AO599" i="26"/>
  <c r="AL599" i="26"/>
  <c r="AM599" i="26" s="1"/>
  <c r="AR599" i="26" s="1"/>
  <c r="AP591" i="26"/>
  <c r="AO591" i="26"/>
  <c r="AL591" i="26"/>
  <c r="AM591" i="26" s="1"/>
  <c r="AR591" i="26" s="1"/>
  <c r="AP568" i="26"/>
  <c r="AO568" i="26"/>
  <c r="AL568" i="26"/>
  <c r="AM568" i="26" s="1"/>
  <c r="AR568" i="26" s="1"/>
  <c r="AP503" i="26"/>
  <c r="AO503" i="26"/>
  <c r="AJ503" i="26"/>
  <c r="AI503" i="26"/>
  <c r="AG503" i="26"/>
  <c r="AP643" i="26"/>
  <c r="AO643" i="26"/>
  <c r="AL643" i="26"/>
  <c r="AM643" i="26" s="1"/>
  <c r="AR643" i="26" s="1"/>
  <c r="BS502" i="26"/>
  <c r="AP502" i="26"/>
  <c r="AO502" i="26"/>
  <c r="AL502" i="26"/>
  <c r="AM502" i="26" s="1"/>
  <c r="AR502" i="26" s="1"/>
  <c r="BS501" i="26"/>
  <c r="AP501" i="26"/>
  <c r="AO501" i="26"/>
  <c r="AL501" i="26"/>
  <c r="AM501" i="26" s="1"/>
  <c r="AR501" i="26" s="1"/>
  <c r="BS500" i="26"/>
  <c r="AP500" i="26"/>
  <c r="AO500" i="26"/>
  <c r="AL500" i="26"/>
  <c r="AM500" i="26" s="1"/>
  <c r="AR500" i="26" s="1"/>
  <c r="BS499" i="26"/>
  <c r="AP499" i="26"/>
  <c r="AO499" i="26"/>
  <c r="AL499" i="26"/>
  <c r="AM499" i="26" s="1"/>
  <c r="AR499" i="26" s="1"/>
  <c r="AP498" i="26"/>
  <c r="AO498" i="26"/>
  <c r="AL498" i="26"/>
  <c r="AM498" i="26" s="1"/>
  <c r="AR498" i="26" s="1"/>
  <c r="AP497" i="26"/>
  <c r="AO497" i="26"/>
  <c r="AL497" i="26"/>
  <c r="AM497" i="26" s="1"/>
  <c r="AR497" i="26" s="1"/>
  <c r="BS496" i="26"/>
  <c r="AP496" i="26"/>
  <c r="AO496" i="26"/>
  <c r="AL496" i="26"/>
  <c r="AM496" i="26" s="1"/>
  <c r="AR496" i="26" s="1"/>
  <c r="AP590" i="26"/>
  <c r="AO590" i="26"/>
  <c r="AJ590" i="26"/>
  <c r="AI590" i="26"/>
  <c r="AG590" i="26"/>
  <c r="AP567" i="26"/>
  <c r="AO567" i="26"/>
  <c r="AL567" i="26"/>
  <c r="AM567" i="26" s="1"/>
  <c r="AR567" i="26" s="1"/>
  <c r="BS495" i="26"/>
  <c r="AP495" i="26"/>
  <c r="AO495" i="26"/>
  <c r="AL495" i="26"/>
  <c r="AM495" i="26" s="1"/>
  <c r="AR495" i="26" s="1"/>
  <c r="AP494" i="26"/>
  <c r="AO494" i="26"/>
  <c r="AL494" i="26"/>
  <c r="AM494" i="26" s="1"/>
  <c r="AR494" i="26" s="1"/>
  <c r="AP566" i="26"/>
  <c r="AO566" i="26"/>
  <c r="AL566" i="26"/>
  <c r="AM566" i="26" s="1"/>
  <c r="AR566" i="26" s="1"/>
  <c r="BS611" i="26"/>
  <c r="AP611" i="26"/>
  <c r="AO611" i="26"/>
  <c r="AL611" i="26"/>
  <c r="AM611" i="26" s="1"/>
  <c r="AR611" i="26" s="1"/>
  <c r="BS610" i="26"/>
  <c r="AP610" i="26"/>
  <c r="AO610" i="26"/>
  <c r="AL610" i="26"/>
  <c r="AM610" i="26" s="1"/>
  <c r="AR610" i="26" s="1"/>
  <c r="AP493" i="26"/>
  <c r="AO493" i="26"/>
  <c r="AJ493" i="26"/>
  <c r="AI493" i="26"/>
  <c r="AG493" i="26"/>
  <c r="AP374" i="26"/>
  <c r="AO374" i="26"/>
  <c r="AL374" i="26"/>
  <c r="AM374" i="26" s="1"/>
  <c r="AR374" i="26" s="1"/>
  <c r="AP492" i="26"/>
  <c r="AO492" i="26"/>
  <c r="AL492" i="26"/>
  <c r="AM492" i="26" s="1"/>
  <c r="AR492" i="26" s="1"/>
  <c r="BS491" i="26"/>
  <c r="AP491" i="26"/>
  <c r="AO491" i="26"/>
  <c r="AL491" i="26"/>
  <c r="AM491" i="26" s="1"/>
  <c r="AR491" i="26" s="1"/>
  <c r="BS490" i="26"/>
  <c r="AP490" i="26"/>
  <c r="AO490" i="26"/>
  <c r="AL490" i="26"/>
  <c r="AM490" i="26" s="1"/>
  <c r="AR490" i="26" s="1"/>
  <c r="BS489" i="26"/>
  <c r="AP489" i="26"/>
  <c r="AO489" i="26"/>
  <c r="AL489" i="26"/>
  <c r="AM489" i="26" s="1"/>
  <c r="AR489" i="26" s="1"/>
  <c r="BS488" i="26"/>
  <c r="AP488" i="26"/>
  <c r="AO488" i="26"/>
  <c r="AL488" i="26"/>
  <c r="AM488" i="26" s="1"/>
  <c r="AR488" i="26" s="1"/>
  <c r="BS487" i="26"/>
  <c r="AP487" i="26"/>
  <c r="AO487" i="26"/>
  <c r="AL487" i="26"/>
  <c r="AM487" i="26" s="1"/>
  <c r="AR487" i="26" s="1"/>
  <c r="BS486" i="26"/>
  <c r="AP486" i="26"/>
  <c r="AO486" i="26"/>
  <c r="AL486" i="26"/>
  <c r="AM486" i="26" s="1"/>
  <c r="AR486" i="26" s="1"/>
  <c r="BS485" i="26"/>
  <c r="AP485" i="26"/>
  <c r="AO485" i="26"/>
  <c r="AL485" i="26"/>
  <c r="AM485" i="26" s="1"/>
  <c r="AR485" i="26" s="1"/>
  <c r="BS484" i="26"/>
  <c r="AP484" i="26"/>
  <c r="AO484" i="26"/>
  <c r="AL484" i="26"/>
  <c r="AM484" i="26" s="1"/>
  <c r="AR484" i="26" s="1"/>
  <c r="BS483" i="26"/>
  <c r="AP483" i="26"/>
  <c r="AO483" i="26"/>
  <c r="AL483" i="26"/>
  <c r="AM483" i="26" s="1"/>
  <c r="AR483" i="26" s="1"/>
  <c r="BS482" i="26"/>
  <c r="AP482" i="26"/>
  <c r="AO482" i="26"/>
  <c r="AL482" i="26"/>
  <c r="AM482" i="26" s="1"/>
  <c r="AR482" i="26" s="1"/>
  <c r="BS481" i="26"/>
  <c r="AP481" i="26"/>
  <c r="AO481" i="26"/>
  <c r="AL481" i="26"/>
  <c r="AM481" i="26" s="1"/>
  <c r="AR481" i="26" s="1"/>
  <c r="BS480" i="26"/>
  <c r="AP480" i="26"/>
  <c r="AO480" i="26"/>
  <c r="AL480" i="26"/>
  <c r="AM480" i="26" s="1"/>
  <c r="AR480" i="26" s="1"/>
  <c r="AP479" i="26"/>
  <c r="AO479" i="26"/>
  <c r="AJ479" i="26"/>
  <c r="AI479" i="26"/>
  <c r="AG479" i="26"/>
  <c r="BS478" i="26"/>
  <c r="AP478" i="26"/>
  <c r="AO478" i="26"/>
  <c r="AL478" i="26"/>
  <c r="AM478" i="26" s="1"/>
  <c r="AR478" i="26" s="1"/>
  <c r="BS477" i="26"/>
  <c r="AP477" i="26"/>
  <c r="AO477" i="26"/>
  <c r="AL477" i="26"/>
  <c r="AM477" i="26" s="1"/>
  <c r="AR477" i="26" s="1"/>
  <c r="BS476" i="26"/>
  <c r="AP476" i="26"/>
  <c r="AO476" i="26"/>
  <c r="AL476" i="26"/>
  <c r="AM476" i="26" s="1"/>
  <c r="AR476" i="26" s="1"/>
  <c r="BS475" i="26"/>
  <c r="AP475" i="26"/>
  <c r="AO475" i="26"/>
  <c r="AL475" i="26"/>
  <c r="AM475" i="26" s="1"/>
  <c r="AR475" i="26" s="1"/>
  <c r="BS474" i="26"/>
  <c r="AP474" i="26"/>
  <c r="AO474" i="26"/>
  <c r="AL474" i="26"/>
  <c r="AM474" i="26" s="1"/>
  <c r="AR474" i="26" s="1"/>
  <c r="BS473" i="26"/>
  <c r="AP473" i="26"/>
  <c r="AO473" i="26"/>
  <c r="AL473" i="26"/>
  <c r="AM473" i="26" s="1"/>
  <c r="AR473" i="26" s="1"/>
  <c r="BS472" i="26"/>
  <c r="AP472" i="26"/>
  <c r="AO472" i="26"/>
  <c r="AL472" i="26"/>
  <c r="AM472" i="26" s="1"/>
  <c r="AR472" i="26" s="1"/>
  <c r="BS471" i="26"/>
  <c r="AP471" i="26"/>
  <c r="AO471" i="26"/>
  <c r="AL471" i="26"/>
  <c r="AM471" i="26" s="1"/>
  <c r="AR471" i="26" s="1"/>
  <c r="BS470" i="26"/>
  <c r="AP470" i="26"/>
  <c r="AO470" i="26"/>
  <c r="AL470" i="26"/>
  <c r="AM470" i="26" s="1"/>
  <c r="AR470" i="26" s="1"/>
  <c r="BS469" i="26"/>
  <c r="AP469" i="26"/>
  <c r="AO469" i="26"/>
  <c r="AL469" i="26"/>
  <c r="AM469" i="26" s="1"/>
  <c r="AR469" i="26" s="1"/>
  <c r="BS468" i="26"/>
  <c r="AP468" i="26"/>
  <c r="AO468" i="26"/>
  <c r="AL468" i="26"/>
  <c r="AM468" i="26" s="1"/>
  <c r="AR468" i="26" s="1"/>
  <c r="BS467" i="26"/>
  <c r="AP467" i="26"/>
  <c r="AO467" i="26"/>
  <c r="AL467" i="26"/>
  <c r="AM467" i="26" s="1"/>
  <c r="AR467" i="26" s="1"/>
  <c r="BS466" i="26"/>
  <c r="AP466" i="26"/>
  <c r="AO466" i="26"/>
  <c r="AL466" i="26"/>
  <c r="AM466" i="26" s="1"/>
  <c r="AR466" i="26" s="1"/>
  <c r="BS465" i="26"/>
  <c r="AP465" i="26"/>
  <c r="AO465" i="26"/>
  <c r="AL465" i="26"/>
  <c r="AM465" i="26" s="1"/>
  <c r="AR465" i="26" s="1"/>
  <c r="BS464" i="26"/>
  <c r="AP464" i="26"/>
  <c r="AO464" i="26"/>
  <c r="AL464" i="26"/>
  <c r="AM464" i="26" s="1"/>
  <c r="AR464" i="26" s="1"/>
  <c r="BS463" i="26"/>
  <c r="AP463" i="26"/>
  <c r="AO463" i="26"/>
  <c r="AL463" i="26"/>
  <c r="AM463" i="26" s="1"/>
  <c r="AR463" i="26" s="1"/>
  <c r="BS462" i="26"/>
  <c r="AP462" i="26"/>
  <c r="AO462" i="26"/>
  <c r="AL462" i="26"/>
  <c r="AM462" i="26" s="1"/>
  <c r="AR462" i="26" s="1"/>
  <c r="BS461" i="26"/>
  <c r="AP461" i="26"/>
  <c r="AO461" i="26"/>
  <c r="AL461" i="26"/>
  <c r="AM461" i="26" s="1"/>
  <c r="AR461" i="26" s="1"/>
  <c r="BS460" i="26"/>
  <c r="AP460" i="26"/>
  <c r="AO460" i="26"/>
  <c r="AL460" i="26"/>
  <c r="AM460" i="26" s="1"/>
  <c r="AR460" i="26" s="1"/>
  <c r="BS459" i="26"/>
  <c r="AP459" i="26"/>
  <c r="AO459" i="26"/>
  <c r="AL459" i="26"/>
  <c r="AM459" i="26" s="1"/>
  <c r="AR459" i="26" s="1"/>
  <c r="BS458" i="26"/>
  <c r="AP458" i="26"/>
  <c r="AO458" i="26"/>
  <c r="AL458" i="26"/>
  <c r="AM458" i="26" s="1"/>
  <c r="AR458" i="26" s="1"/>
  <c r="BS457" i="26"/>
  <c r="AP457" i="26"/>
  <c r="AO457" i="26"/>
  <c r="AL457" i="26"/>
  <c r="AM457" i="26" s="1"/>
  <c r="AR457" i="26" s="1"/>
  <c r="BS456" i="26"/>
  <c r="AP456" i="26"/>
  <c r="AO456" i="26"/>
  <c r="AL456" i="26"/>
  <c r="AM456" i="26" s="1"/>
  <c r="AR456" i="26" s="1"/>
  <c r="BS455" i="26"/>
  <c r="AP455" i="26"/>
  <c r="AO455" i="26"/>
  <c r="AL455" i="26"/>
  <c r="AM455" i="26" s="1"/>
  <c r="AR455" i="26" s="1"/>
  <c r="BS454" i="26"/>
  <c r="AP454" i="26"/>
  <c r="AO454" i="26"/>
  <c r="AL454" i="26"/>
  <c r="AM454" i="26" s="1"/>
  <c r="AR454" i="26" s="1"/>
  <c r="BS453" i="26"/>
  <c r="AP453" i="26"/>
  <c r="AO453" i="26"/>
  <c r="AL453" i="26"/>
  <c r="AM453" i="26" s="1"/>
  <c r="AR453" i="26" s="1"/>
  <c r="AP452" i="26"/>
  <c r="AO452" i="26"/>
  <c r="AJ452" i="26"/>
  <c r="AI452" i="26"/>
  <c r="AG452" i="26"/>
  <c r="AP451" i="26"/>
  <c r="AO451" i="26"/>
  <c r="AL451" i="26"/>
  <c r="AM451" i="26" s="1"/>
  <c r="AR451" i="26" s="1"/>
  <c r="BS450" i="26"/>
  <c r="AP450" i="26"/>
  <c r="AO450" i="26"/>
  <c r="AL450" i="26"/>
  <c r="AM450" i="26" s="1"/>
  <c r="AR450" i="26" s="1"/>
  <c r="BS449" i="26"/>
  <c r="AP449" i="26"/>
  <c r="AO449" i="26"/>
  <c r="AL449" i="26"/>
  <c r="AM449" i="26" s="1"/>
  <c r="AR449" i="26" s="1"/>
  <c r="AP448" i="26"/>
  <c r="AO448" i="26"/>
  <c r="AL448" i="26"/>
  <c r="AM448" i="26" s="1"/>
  <c r="AR448" i="26" s="1"/>
  <c r="BS447" i="26"/>
  <c r="AP447" i="26"/>
  <c r="AO447" i="26"/>
  <c r="AL447" i="26"/>
  <c r="AM447" i="26" s="1"/>
  <c r="AR447" i="26" s="1"/>
  <c r="BS446" i="26"/>
  <c r="AP446" i="26"/>
  <c r="AO446" i="26"/>
  <c r="AL446" i="26"/>
  <c r="AM446" i="26" s="1"/>
  <c r="AR446" i="26" s="1"/>
  <c r="BS445" i="26"/>
  <c r="AP445" i="26"/>
  <c r="AO445" i="26"/>
  <c r="AL445" i="26"/>
  <c r="AM445" i="26" s="1"/>
  <c r="AR445" i="26" s="1"/>
  <c r="AP565" i="26"/>
  <c r="AO565" i="26"/>
  <c r="AL565" i="26"/>
  <c r="AM565" i="26" s="1"/>
  <c r="AR565" i="26" s="1"/>
  <c r="AO444" i="26"/>
  <c r="AA444" i="26"/>
  <c r="AL444" i="26" s="1"/>
  <c r="AM444" i="26" s="1"/>
  <c r="AR444" i="26" s="1"/>
  <c r="AP275" i="26"/>
  <c r="AO275" i="26"/>
  <c r="AL275" i="26"/>
  <c r="AM275" i="26" s="1"/>
  <c r="AR275" i="26" s="1"/>
  <c r="AP273" i="26"/>
  <c r="AO273" i="26"/>
  <c r="AL273" i="26"/>
  <c r="AM273" i="26" s="1"/>
  <c r="AR273" i="26" s="1"/>
  <c r="AP272" i="26"/>
  <c r="AO272" i="26"/>
  <c r="AL272" i="26"/>
  <c r="AM272" i="26" s="1"/>
  <c r="AR272" i="26" s="1"/>
  <c r="AP676" i="26"/>
  <c r="AO676" i="26"/>
  <c r="AL676" i="26"/>
  <c r="AM676" i="26" s="1"/>
  <c r="AR676" i="26" s="1"/>
  <c r="AP89" i="26"/>
  <c r="AO89" i="26"/>
  <c r="AL89" i="26"/>
  <c r="AM89" i="26" s="1"/>
  <c r="AR89" i="26" s="1"/>
  <c r="AP88" i="26"/>
  <c r="AO88" i="26"/>
  <c r="AL88" i="26"/>
  <c r="AM88" i="26" s="1"/>
  <c r="AR88" i="26" s="1"/>
  <c r="AP111" i="26"/>
  <c r="AO111" i="26"/>
  <c r="AL111" i="26"/>
  <c r="AM111" i="26" s="1"/>
  <c r="AR111" i="26" s="1"/>
  <c r="AP110" i="26"/>
  <c r="AO110" i="26"/>
  <c r="AL110" i="26"/>
  <c r="AM110" i="26" s="1"/>
  <c r="AR110" i="26" s="1"/>
  <c r="AP381" i="26"/>
  <c r="AO381" i="26"/>
  <c r="AL381" i="26"/>
  <c r="AM381" i="26" s="1"/>
  <c r="AR381" i="26" s="1"/>
  <c r="AP316" i="26"/>
  <c r="AO316" i="26"/>
  <c r="AL316" i="26"/>
  <c r="AM316" i="26" s="1"/>
  <c r="AR316" i="26" s="1"/>
  <c r="AP271" i="26"/>
  <c r="AO271" i="26"/>
  <c r="AL271" i="26"/>
  <c r="AM271" i="26" s="1"/>
  <c r="AR271" i="26" s="1"/>
  <c r="AP443" i="26"/>
  <c r="AO443" i="26"/>
  <c r="AL443" i="26"/>
  <c r="AM443" i="26" s="1"/>
  <c r="AR443" i="26" s="1"/>
  <c r="AP274" i="26"/>
  <c r="AO274" i="26"/>
  <c r="AL274" i="26"/>
  <c r="AM274" i="26" s="1"/>
  <c r="AR274" i="26" s="1"/>
  <c r="AP270" i="26"/>
  <c r="AO270" i="26"/>
  <c r="AL270" i="26"/>
  <c r="AM270" i="26" s="1"/>
  <c r="AR270" i="26" s="1"/>
  <c r="AP269" i="26"/>
  <c r="AO269" i="26"/>
  <c r="AG269" i="26"/>
  <c r="AL269" i="26" s="1"/>
  <c r="AM269" i="26" s="1"/>
  <c r="AR269" i="26" s="1"/>
  <c r="AP442" i="26"/>
  <c r="AO442" i="26"/>
  <c r="AL442" i="26"/>
  <c r="AM442" i="26" s="1"/>
  <c r="AR442" i="26" s="1"/>
  <c r="BS58" i="26"/>
  <c r="AP58" i="26"/>
  <c r="AO58" i="26"/>
  <c r="AK58" i="26"/>
  <c r="AJ58" i="26"/>
  <c r="AI58" i="26"/>
  <c r="AH58" i="26"/>
  <c r="AG58" i="26"/>
  <c r="AP268" i="26"/>
  <c r="AO268" i="26"/>
  <c r="AL268" i="26"/>
  <c r="AM268" i="26" s="1"/>
  <c r="AR268" i="26" s="1"/>
  <c r="AP267" i="26"/>
  <c r="AO267" i="26"/>
  <c r="AL267" i="26"/>
  <c r="AM267" i="26" s="1"/>
  <c r="AR267" i="26" s="1"/>
  <c r="AP266" i="26"/>
  <c r="AO266" i="26"/>
  <c r="AL266" i="26"/>
  <c r="AM266" i="26" s="1"/>
  <c r="AR266" i="26" s="1"/>
  <c r="BS191" i="26"/>
  <c r="AP191" i="26"/>
  <c r="AO191" i="26"/>
  <c r="AL191" i="26"/>
  <c r="AM191" i="26" s="1"/>
  <c r="AR191" i="26" s="1"/>
  <c r="BS653" i="26"/>
  <c r="AP653" i="26"/>
  <c r="AO653" i="26"/>
  <c r="AL653" i="26"/>
  <c r="AM653" i="26" s="1"/>
  <c r="AR653" i="26" s="1"/>
  <c r="AP372" i="26"/>
  <c r="AO372" i="26"/>
  <c r="AL372" i="26"/>
  <c r="AM372" i="26" s="1"/>
  <c r="AR372" i="26" s="1"/>
  <c r="AP362" i="26"/>
  <c r="AO362" i="26"/>
  <c r="AL362" i="26"/>
  <c r="AM362" i="26" s="1"/>
  <c r="AR362" i="26" s="1"/>
  <c r="AP201" i="26"/>
  <c r="AO201" i="26"/>
  <c r="AL201" i="26"/>
  <c r="AM201" i="26" s="1"/>
  <c r="AR201" i="26" s="1"/>
  <c r="BS190" i="26"/>
  <c r="AP190" i="26"/>
  <c r="AO190" i="26"/>
  <c r="AL190" i="26"/>
  <c r="AM190" i="26" s="1"/>
  <c r="AR190" i="26" s="1"/>
  <c r="BS189" i="26"/>
  <c r="AP189" i="26"/>
  <c r="AO189" i="26"/>
  <c r="AL189" i="26"/>
  <c r="AM189" i="26" s="1"/>
  <c r="AR189" i="26" s="1"/>
  <c r="BS188" i="26"/>
  <c r="AP188" i="26"/>
  <c r="AO188" i="26"/>
  <c r="AL188" i="26"/>
  <c r="AM188" i="26" s="1"/>
  <c r="AR188" i="26" s="1"/>
  <c r="AP441" i="26"/>
  <c r="AO441" i="26"/>
  <c r="AL441" i="26"/>
  <c r="AM441" i="26" s="1"/>
  <c r="AR441" i="26" s="1"/>
  <c r="AP440" i="26"/>
  <c r="AO440" i="26"/>
  <c r="AL440" i="26"/>
  <c r="AM440" i="26" s="1"/>
  <c r="AR440" i="26" s="1"/>
  <c r="AP439" i="26"/>
  <c r="AO439" i="26"/>
  <c r="AL439" i="26"/>
  <c r="AM439" i="26" s="1"/>
  <c r="AR439" i="26" s="1"/>
  <c r="AP438" i="26"/>
  <c r="AO438" i="26"/>
  <c r="AL438" i="26"/>
  <c r="AM438" i="26" s="1"/>
  <c r="AR438" i="26" s="1"/>
  <c r="AP652" i="26"/>
  <c r="AO652" i="26"/>
  <c r="AL652" i="26"/>
  <c r="AM652" i="26" s="1"/>
  <c r="AR652" i="26" s="1"/>
  <c r="AP642" i="26"/>
  <c r="AO642" i="26"/>
  <c r="AL642" i="26"/>
  <c r="AM642" i="26" s="1"/>
  <c r="AR642" i="26" s="1"/>
  <c r="AP265" i="26"/>
  <c r="AO265" i="26"/>
  <c r="AL265" i="26"/>
  <c r="AM265" i="26" s="1"/>
  <c r="AR265" i="26" s="1"/>
  <c r="AP264" i="26"/>
  <c r="AO264" i="26"/>
  <c r="AL264" i="26"/>
  <c r="AM264" i="26" s="1"/>
  <c r="AR264" i="26" s="1"/>
  <c r="AP609" i="26"/>
  <c r="AO609" i="26"/>
  <c r="AL609" i="26"/>
  <c r="AM609" i="26" s="1"/>
  <c r="AR609" i="26" s="1"/>
  <c r="AP564" i="26"/>
  <c r="AO564" i="26"/>
  <c r="AL564" i="26"/>
  <c r="AM564" i="26" s="1"/>
  <c r="AR564" i="26" s="1"/>
  <c r="AP263" i="26"/>
  <c r="AO263" i="26"/>
  <c r="AL263" i="26"/>
  <c r="AM263" i="26" s="1"/>
  <c r="AR263" i="26" s="1"/>
  <c r="AP641" i="26"/>
  <c r="AO641" i="26"/>
  <c r="AL641" i="26"/>
  <c r="AM641" i="26" s="1"/>
  <c r="AR641" i="26" s="1"/>
  <c r="AP623" i="26"/>
  <c r="AO623" i="26"/>
  <c r="AL623" i="26"/>
  <c r="AM623" i="26" s="1"/>
  <c r="AR623" i="26" s="1"/>
  <c r="AP315" i="26"/>
  <c r="AO315" i="26"/>
  <c r="AL315" i="26"/>
  <c r="AM315" i="26" s="1"/>
  <c r="AR315" i="26" s="1"/>
  <c r="AP336" i="26"/>
  <c r="AO336" i="26"/>
  <c r="AL336" i="26"/>
  <c r="AM336" i="26" s="1"/>
  <c r="AR336" i="26" s="1"/>
  <c r="AP262" i="26"/>
  <c r="AO262" i="26"/>
  <c r="AL262" i="26"/>
  <c r="AM262" i="26" s="1"/>
  <c r="AR262" i="26" s="1"/>
  <c r="AP371" i="26"/>
  <c r="AO371" i="26"/>
  <c r="AL371" i="26"/>
  <c r="AM371" i="26" s="1"/>
  <c r="AR371" i="26" s="1"/>
  <c r="AP261" i="26"/>
  <c r="AO261" i="26"/>
  <c r="AL261" i="26"/>
  <c r="AM261" i="26" s="1"/>
  <c r="AR261" i="26" s="1"/>
  <c r="AP260" i="26"/>
  <c r="AO260" i="26"/>
  <c r="AL260" i="26"/>
  <c r="AM260" i="26" s="1"/>
  <c r="AR260" i="26" s="1"/>
  <c r="AP361" i="26"/>
  <c r="AO361" i="26"/>
  <c r="AL361" i="26"/>
  <c r="AM361" i="26" s="1"/>
  <c r="AR361" i="26" s="1"/>
  <c r="AP437" i="26"/>
  <c r="AO437" i="26"/>
  <c r="AL437" i="26"/>
  <c r="AM437" i="26" s="1"/>
  <c r="AR437" i="26" s="1"/>
  <c r="AP436" i="26"/>
  <c r="AO436" i="26"/>
  <c r="AL436" i="26"/>
  <c r="AM436" i="26" s="1"/>
  <c r="AR436" i="26" s="1"/>
  <c r="AP343" i="26"/>
  <c r="AO343" i="26"/>
  <c r="AL343" i="26"/>
  <c r="AM343" i="26" s="1"/>
  <c r="AR343" i="26" s="1"/>
  <c r="AP335" i="26"/>
  <c r="AO335" i="26"/>
  <c r="AL335" i="26"/>
  <c r="AM335" i="26" s="1"/>
  <c r="AR335" i="26" s="1"/>
  <c r="AP324" i="26"/>
  <c r="AO324" i="26"/>
  <c r="AL324" i="26"/>
  <c r="AM324" i="26" s="1"/>
  <c r="AR324" i="26" s="1"/>
  <c r="AP314" i="26"/>
  <c r="AO314" i="26"/>
  <c r="AL314" i="26"/>
  <c r="AM314" i="26" s="1"/>
  <c r="AR314" i="26" s="1"/>
  <c r="AP297" i="26"/>
  <c r="AO297" i="26"/>
  <c r="AL297" i="26"/>
  <c r="AM297" i="26" s="1"/>
  <c r="AR297" i="26" s="1"/>
  <c r="AP435" i="26"/>
  <c r="AO435" i="26"/>
  <c r="AL435" i="26"/>
  <c r="AM435" i="26" s="1"/>
  <c r="AR435" i="26" s="1"/>
  <c r="AP360" i="26"/>
  <c r="AO360" i="26"/>
  <c r="AL360" i="26"/>
  <c r="AM360" i="26" s="1"/>
  <c r="AR360" i="26" s="1"/>
  <c r="AP651" i="26"/>
  <c r="AO651" i="26"/>
  <c r="AL651" i="26"/>
  <c r="AM651" i="26" s="1"/>
  <c r="AR651" i="26" s="1"/>
  <c r="AP640" i="26"/>
  <c r="AO640" i="26"/>
  <c r="AL640" i="26"/>
  <c r="AM640" i="26" s="1"/>
  <c r="AR640" i="26" s="1"/>
  <c r="AP432" i="26"/>
  <c r="AO432" i="26"/>
  <c r="AL432" i="26"/>
  <c r="AM432" i="26" s="1"/>
  <c r="AR432" i="26" s="1"/>
  <c r="AP433" i="26"/>
  <c r="AO433" i="26"/>
  <c r="AL433" i="26"/>
  <c r="AM433" i="26" s="1"/>
  <c r="AR433" i="26" s="1"/>
  <c r="AP622" i="26"/>
  <c r="AO622" i="26"/>
  <c r="AL622" i="26"/>
  <c r="AM622" i="26" s="1"/>
  <c r="AR622" i="26" s="1"/>
  <c r="AP608" i="26"/>
  <c r="AO608" i="26"/>
  <c r="AL608" i="26"/>
  <c r="AM608" i="26" s="1"/>
  <c r="AR608" i="26" s="1"/>
  <c r="AP589" i="26"/>
  <c r="AO589" i="26"/>
  <c r="AL589" i="26"/>
  <c r="AM589" i="26" s="1"/>
  <c r="AR589" i="26" s="1"/>
  <c r="AP259" i="26"/>
  <c r="AO259" i="26"/>
  <c r="AL259" i="26"/>
  <c r="AM259" i="26" s="1"/>
  <c r="AR259" i="26" s="1"/>
  <c r="AP639" i="26"/>
  <c r="AO639" i="26"/>
  <c r="AL639" i="26"/>
  <c r="AM639" i="26" s="1"/>
  <c r="AR639" i="26" s="1"/>
  <c r="AP563" i="26"/>
  <c r="AO563" i="26"/>
  <c r="AL563" i="26"/>
  <c r="AM563" i="26" s="1"/>
  <c r="AR563" i="26" s="1"/>
  <c r="AP313" i="26"/>
  <c r="AO313" i="26"/>
  <c r="AL313" i="26"/>
  <c r="AM313" i="26" s="1"/>
  <c r="AR313" i="26" s="1"/>
  <c r="AP258" i="26"/>
  <c r="AO258" i="26"/>
  <c r="AL258" i="26"/>
  <c r="AM258" i="26" s="1"/>
  <c r="AR258" i="26" s="1"/>
  <c r="AP257" i="26"/>
  <c r="AO257" i="26"/>
  <c r="AL257" i="26"/>
  <c r="AM257" i="26" s="1"/>
  <c r="AR257" i="26" s="1"/>
  <c r="AP206" i="26"/>
  <c r="AO206" i="26"/>
  <c r="AL206" i="26"/>
  <c r="AM206" i="26" s="1"/>
  <c r="AR206" i="26" s="1"/>
  <c r="AP359" i="26"/>
  <c r="AO359" i="26"/>
  <c r="AL359" i="26"/>
  <c r="AM359" i="26" s="1"/>
  <c r="AR359" i="26" s="1"/>
  <c r="AP187" i="26"/>
  <c r="AO187" i="26"/>
  <c r="AL187" i="26"/>
  <c r="AM187" i="26" s="1"/>
  <c r="AR187" i="26" s="1"/>
  <c r="AP431" i="26"/>
  <c r="AO431" i="26"/>
  <c r="AL431" i="26"/>
  <c r="AM431" i="26" s="1"/>
  <c r="AR431" i="26" s="1"/>
  <c r="AP256" i="26"/>
  <c r="AO256" i="26"/>
  <c r="AL256" i="26"/>
  <c r="AM256" i="26" s="1"/>
  <c r="AR256" i="26" s="1"/>
  <c r="AP323" i="26"/>
  <c r="AO323" i="26"/>
  <c r="AL323" i="26"/>
  <c r="AM323" i="26" s="1"/>
  <c r="AR323" i="26" s="1"/>
  <c r="AP186" i="26"/>
  <c r="AO186" i="26"/>
  <c r="AL186" i="26"/>
  <c r="AM186" i="26" s="1"/>
  <c r="AR186" i="26" s="1"/>
  <c r="AP428" i="26"/>
  <c r="AO428" i="26"/>
  <c r="AL428" i="26"/>
  <c r="AM428" i="26" s="1"/>
  <c r="AR428" i="26" s="1"/>
  <c r="AP430" i="26"/>
  <c r="AO430" i="26"/>
  <c r="AL430" i="26"/>
  <c r="AM430" i="26" s="1"/>
  <c r="AR430" i="26" s="1"/>
  <c r="AP358" i="26"/>
  <c r="AO358" i="26"/>
  <c r="AL358" i="26"/>
  <c r="AM358" i="26" s="1"/>
  <c r="AR358" i="26" s="1"/>
  <c r="AP200" i="26"/>
  <c r="AO200" i="26"/>
  <c r="AL200" i="26"/>
  <c r="AM200" i="26" s="1"/>
  <c r="AR200" i="26" s="1"/>
  <c r="AP638" i="26"/>
  <c r="AO638" i="26"/>
  <c r="AL638" i="26"/>
  <c r="AM638" i="26" s="1"/>
  <c r="AR638" i="26" s="1"/>
  <c r="AP588" i="26"/>
  <c r="AO588" i="26"/>
  <c r="AL588" i="26"/>
  <c r="AM588" i="26" s="1"/>
  <c r="AR588" i="26" s="1"/>
  <c r="AP429" i="26"/>
  <c r="AO429" i="26"/>
  <c r="AL429" i="26"/>
  <c r="AM429" i="26" s="1"/>
  <c r="AR429" i="26" s="1"/>
  <c r="AP255" i="26"/>
  <c r="AO255" i="26"/>
  <c r="AL255" i="26"/>
  <c r="AM255" i="26" s="1"/>
  <c r="AR255" i="26" s="1"/>
  <c r="AP57" i="26"/>
  <c r="AO57" i="26"/>
  <c r="AL57" i="26"/>
  <c r="AM57" i="26" s="1"/>
  <c r="AR57" i="26" s="1"/>
  <c r="AP117" i="26"/>
  <c r="AO117" i="26"/>
  <c r="AL117" i="26"/>
  <c r="AM117" i="26" s="1"/>
  <c r="AR117" i="26" s="1"/>
  <c r="AP159" i="26"/>
  <c r="AO159" i="26"/>
  <c r="AL159" i="26"/>
  <c r="AM159" i="26" s="1"/>
  <c r="AR159" i="26" s="1"/>
  <c r="BS157" i="26"/>
  <c r="AP157" i="26"/>
  <c r="AO157" i="26"/>
  <c r="AL157" i="26"/>
  <c r="AM157" i="26" s="1"/>
  <c r="AR157" i="26" s="1"/>
  <c r="AP357" i="26"/>
  <c r="AO357" i="26"/>
  <c r="AL357" i="26"/>
  <c r="AM357" i="26" s="1"/>
  <c r="AR357" i="26" s="1"/>
  <c r="BS156" i="26"/>
  <c r="AP156" i="26"/>
  <c r="AO156" i="26"/>
  <c r="AL156" i="26"/>
  <c r="AM156" i="26" s="1"/>
  <c r="AR156" i="26" s="1"/>
  <c r="AP427" i="26"/>
  <c r="AO427" i="26"/>
  <c r="AL427" i="26"/>
  <c r="AM427" i="26" s="1"/>
  <c r="AR427" i="26" s="1"/>
  <c r="AP254" i="26"/>
  <c r="AO254" i="26"/>
  <c r="AL254" i="26"/>
  <c r="AM254" i="26" s="1"/>
  <c r="AR254" i="26" s="1"/>
  <c r="AP155" i="26"/>
  <c r="AO155" i="26"/>
  <c r="AL155" i="26"/>
  <c r="AM155" i="26" s="1"/>
  <c r="AR155" i="26" s="1"/>
  <c r="AP56" i="26"/>
  <c r="AO56" i="26"/>
  <c r="AL56" i="26"/>
  <c r="AM56" i="26" s="1"/>
  <c r="AR56" i="26" s="1"/>
  <c r="AP55" i="26"/>
  <c r="AO55" i="26"/>
  <c r="AL55" i="26"/>
  <c r="AM55" i="26" s="1"/>
  <c r="AR55" i="26" s="1"/>
  <c r="AP356" i="26"/>
  <c r="AO356" i="26"/>
  <c r="AL356" i="26"/>
  <c r="AM356" i="26" s="1"/>
  <c r="AR356" i="26" s="1"/>
  <c r="AP54" i="26"/>
  <c r="AO54" i="26"/>
  <c r="AL54" i="26"/>
  <c r="AM54" i="26" s="1"/>
  <c r="AR54" i="26" s="1"/>
  <c r="AP312" i="26"/>
  <c r="AO312" i="26"/>
  <c r="AL312" i="26"/>
  <c r="AM312" i="26" s="1"/>
  <c r="AP334" i="26"/>
  <c r="AO334" i="26"/>
  <c r="AI334" i="26"/>
  <c r="AL334" i="26" s="1"/>
  <c r="AM334" i="26" s="1"/>
  <c r="AR334" i="26" s="1"/>
  <c r="AP53" i="26"/>
  <c r="AO53" i="26"/>
  <c r="AL53" i="26"/>
  <c r="AM53" i="26" s="1"/>
  <c r="AR53" i="26" s="1"/>
  <c r="AP296" i="26"/>
  <c r="AO296" i="26"/>
  <c r="AL296" i="26"/>
  <c r="AM296" i="26" s="1"/>
  <c r="AR296" i="26" s="1"/>
  <c r="AP294" i="26"/>
  <c r="AO294" i="26"/>
  <c r="AL294" i="26"/>
  <c r="AM294" i="26" s="1"/>
  <c r="AR294" i="26" s="1"/>
  <c r="AP295" i="26"/>
  <c r="AO295" i="26"/>
  <c r="AL295" i="26"/>
  <c r="AM295" i="26" s="1"/>
  <c r="AR295" i="26" s="1"/>
  <c r="BS293" i="26"/>
  <c r="AP293" i="26"/>
  <c r="AO293" i="26"/>
  <c r="AL293" i="26"/>
  <c r="AM293" i="26" s="1"/>
  <c r="AR293" i="26" s="1"/>
  <c r="BS292" i="26"/>
  <c r="AP292" i="26"/>
  <c r="AO292" i="26"/>
  <c r="AL292" i="26"/>
  <c r="AM292" i="26" s="1"/>
  <c r="AR292" i="26" s="1"/>
  <c r="AP87" i="26"/>
  <c r="AO87" i="26"/>
  <c r="AL87" i="26"/>
  <c r="AM87" i="26" s="1"/>
  <c r="AR87" i="26" s="1"/>
  <c r="AP138" i="26"/>
  <c r="AO138" i="26"/>
  <c r="AL138" i="26"/>
  <c r="AM138" i="26" s="1"/>
  <c r="AR138" i="26" s="1"/>
  <c r="AP562" i="26"/>
  <c r="AO562" i="26"/>
  <c r="AL562" i="26"/>
  <c r="AM562" i="26" s="1"/>
  <c r="AR562" i="26" s="1"/>
  <c r="AP86" i="26"/>
  <c r="AO86" i="26"/>
  <c r="AL86" i="26"/>
  <c r="AM86" i="26" s="1"/>
  <c r="AR86" i="26" s="1"/>
  <c r="AP253" i="26"/>
  <c r="AO253" i="26"/>
  <c r="AL253" i="26"/>
  <c r="AM253" i="26" s="1"/>
  <c r="AR253" i="26" s="1"/>
  <c r="AP252" i="26"/>
  <c r="AO252" i="26"/>
  <c r="AL252" i="26"/>
  <c r="AM252" i="26" s="1"/>
  <c r="AR252" i="26" s="1"/>
  <c r="AP109" i="26"/>
  <c r="AO109" i="26"/>
  <c r="AL109" i="26"/>
  <c r="AM109" i="26" s="1"/>
  <c r="AR109" i="26" s="1"/>
  <c r="AP291" i="26"/>
  <c r="AO291" i="26"/>
  <c r="AL291" i="26"/>
  <c r="AM291" i="26" s="1"/>
  <c r="AR291" i="26" s="1"/>
  <c r="AP290" i="26"/>
  <c r="AO290" i="26"/>
  <c r="AL290" i="26"/>
  <c r="AM290" i="26" s="1"/>
  <c r="AR290" i="26" s="1"/>
  <c r="AP85" i="26"/>
  <c r="AO85" i="26"/>
  <c r="AK85" i="26"/>
  <c r="AJ85" i="26"/>
  <c r="AI85" i="26"/>
  <c r="AH85" i="26"/>
  <c r="AG85" i="26"/>
  <c r="AP342" i="26"/>
  <c r="AO342" i="26"/>
  <c r="AL342" i="26"/>
  <c r="AM342" i="26" s="1"/>
  <c r="AR342" i="26" s="1"/>
  <c r="AP137" i="26"/>
  <c r="AO137" i="26"/>
  <c r="AL137" i="26"/>
  <c r="AM137" i="26" s="1"/>
  <c r="AR137" i="26" s="1"/>
  <c r="AP52" i="26"/>
  <c r="AO52" i="26"/>
  <c r="AL52" i="26"/>
  <c r="AM52" i="26" s="1"/>
  <c r="AR52" i="26" s="1"/>
  <c r="AP251" i="26"/>
  <c r="AO251" i="26"/>
  <c r="AL251" i="26"/>
  <c r="AM251" i="26" s="1"/>
  <c r="AR251" i="26" s="1"/>
  <c r="AP311" i="26"/>
  <c r="AO311" i="26"/>
  <c r="AL311" i="26"/>
  <c r="AM311" i="26" s="1"/>
  <c r="AR311" i="26" s="1"/>
  <c r="AP250" i="26"/>
  <c r="AO250" i="26"/>
  <c r="AL250" i="26"/>
  <c r="AM250" i="26" s="1"/>
  <c r="AR250" i="26" s="1"/>
  <c r="AP136" i="26"/>
  <c r="AO136" i="26"/>
  <c r="AL136" i="26"/>
  <c r="AM136" i="26" s="1"/>
  <c r="AR136" i="26" s="1"/>
  <c r="AP249" i="26"/>
  <c r="AO249" i="26"/>
  <c r="AL249" i="26"/>
  <c r="AM249" i="26" s="1"/>
  <c r="AR249" i="26" s="1"/>
  <c r="AP154" i="26"/>
  <c r="AO154" i="26"/>
  <c r="AL154" i="26"/>
  <c r="AM154" i="26" s="1"/>
  <c r="AR154" i="26" s="1"/>
  <c r="AP108" i="26"/>
  <c r="AO108" i="26"/>
  <c r="AL108" i="26"/>
  <c r="AM108" i="26" s="1"/>
  <c r="AR108" i="26" s="1"/>
  <c r="AP248" i="26"/>
  <c r="AO248" i="26"/>
  <c r="AL248" i="26"/>
  <c r="AM248" i="26" s="1"/>
  <c r="AR248" i="26" s="1"/>
  <c r="AP247" i="26"/>
  <c r="AO247" i="26"/>
  <c r="AL247" i="26"/>
  <c r="AM247" i="26" s="1"/>
  <c r="AR247" i="26" s="1"/>
  <c r="AP246" i="26"/>
  <c r="AO246" i="26"/>
  <c r="AL246" i="26"/>
  <c r="AM246" i="26" s="1"/>
  <c r="AR246" i="26" s="1"/>
  <c r="AP426" i="26"/>
  <c r="AO426" i="26"/>
  <c r="AL426" i="26"/>
  <c r="AM426" i="26" s="1"/>
  <c r="AR426" i="26" s="1"/>
  <c r="AP245" i="26"/>
  <c r="AO245" i="26"/>
  <c r="AL245" i="26"/>
  <c r="AM245" i="26" s="1"/>
  <c r="AR245" i="26" s="1"/>
  <c r="AP425" i="26"/>
  <c r="AO425" i="26"/>
  <c r="AL425" i="26"/>
  <c r="AM425" i="26" s="1"/>
  <c r="AR425" i="26" s="1"/>
  <c r="AP244" i="26"/>
  <c r="AO244" i="26"/>
  <c r="AL244" i="26"/>
  <c r="AM244" i="26" s="1"/>
  <c r="AR244" i="26" s="1"/>
  <c r="AP243" i="26"/>
  <c r="AO243" i="26"/>
  <c r="AL243" i="26"/>
  <c r="AM243" i="26" s="1"/>
  <c r="AR243" i="26" s="1"/>
  <c r="BS242" i="26"/>
  <c r="AP242" i="26"/>
  <c r="AO242" i="26"/>
  <c r="AL242" i="26"/>
  <c r="AM242" i="26" s="1"/>
  <c r="AR242" i="26" s="1"/>
  <c r="AP289" i="26"/>
  <c r="AO289" i="26"/>
  <c r="AL289" i="26"/>
  <c r="AM289" i="26" s="1"/>
  <c r="AR289" i="26" s="1"/>
  <c r="AP84" i="26"/>
  <c r="AO84" i="26"/>
  <c r="AL84" i="26"/>
  <c r="AM84" i="26" s="1"/>
  <c r="AR84" i="26" s="1"/>
  <c r="AP341" i="26"/>
  <c r="AO341" i="26"/>
  <c r="AL341" i="26"/>
  <c r="AM341" i="26" s="1"/>
  <c r="AR341" i="26" s="1"/>
  <c r="AP288" i="26"/>
  <c r="AO288" i="26"/>
  <c r="AL288" i="26"/>
  <c r="AM288" i="26" s="1"/>
  <c r="AR288" i="26" s="1"/>
  <c r="AP340" i="26"/>
  <c r="AO340" i="26"/>
  <c r="AL340" i="26"/>
  <c r="AM340" i="26" s="1"/>
  <c r="AR340" i="26" s="1"/>
  <c r="AP287" i="26"/>
  <c r="AO287" i="26"/>
  <c r="AL287" i="26"/>
  <c r="AM287" i="26" s="1"/>
  <c r="AR287" i="26" s="1"/>
  <c r="AP561" i="26"/>
  <c r="AO561" i="26"/>
  <c r="AL561" i="26"/>
  <c r="AM561" i="26" s="1"/>
  <c r="AR561" i="26" s="1"/>
  <c r="AP286" i="26"/>
  <c r="AO286" i="26"/>
  <c r="AL286" i="26"/>
  <c r="AM286" i="26" s="1"/>
  <c r="AR286" i="26" s="1"/>
  <c r="AP83" i="26"/>
  <c r="AO83" i="26"/>
  <c r="AL83" i="26"/>
  <c r="AM83" i="26" s="1"/>
  <c r="AR83" i="26" s="1"/>
  <c r="AP241" i="26"/>
  <c r="AO241" i="26"/>
  <c r="AL241" i="26"/>
  <c r="AM241" i="26" s="1"/>
  <c r="AR241" i="26" s="1"/>
  <c r="AP51" i="26"/>
  <c r="AO51" i="26"/>
  <c r="AL51" i="26"/>
  <c r="AM51" i="26" s="1"/>
  <c r="AR51" i="26" s="1"/>
  <c r="AP50" i="26"/>
  <c r="AO50" i="26"/>
  <c r="AL50" i="26"/>
  <c r="AM50" i="26" s="1"/>
  <c r="AR50" i="26" s="1"/>
  <c r="AP240" i="26"/>
  <c r="AO240" i="26"/>
  <c r="AL240" i="26"/>
  <c r="AM240" i="26" s="1"/>
  <c r="AR240" i="26" s="1"/>
  <c r="AP239" i="26"/>
  <c r="AO239" i="26"/>
  <c r="AL239" i="26"/>
  <c r="AM239" i="26" s="1"/>
  <c r="AR239" i="26" s="1"/>
  <c r="AP238" i="26"/>
  <c r="AO238" i="26"/>
  <c r="AL238" i="26"/>
  <c r="AM238" i="26" s="1"/>
  <c r="AR238" i="26" s="1"/>
  <c r="AP237" i="26"/>
  <c r="AO237" i="26"/>
  <c r="AL237" i="26"/>
  <c r="AM237" i="26" s="1"/>
  <c r="AR237" i="26" s="1"/>
  <c r="AP370" i="26"/>
  <c r="AO370" i="26"/>
  <c r="AL370" i="26"/>
  <c r="AM370" i="26" s="1"/>
  <c r="AR370" i="26" s="1"/>
  <c r="AP369" i="26"/>
  <c r="AO369" i="26"/>
  <c r="AL369" i="26"/>
  <c r="AM369" i="26" s="1"/>
  <c r="AR369" i="26" s="1"/>
  <c r="AP168" i="26"/>
  <c r="AO168" i="26"/>
  <c r="AL168" i="26"/>
  <c r="AM168" i="26" s="1"/>
  <c r="AR168" i="26" s="1"/>
  <c r="AP167" i="26"/>
  <c r="AO167" i="26"/>
  <c r="AL167" i="26"/>
  <c r="AM167" i="26" s="1"/>
  <c r="AR167" i="26" s="1"/>
  <c r="AP82" i="26"/>
  <c r="AO82" i="26"/>
  <c r="AL82" i="26"/>
  <c r="AM82" i="26" s="1"/>
  <c r="AR82" i="26" s="1"/>
  <c r="AP81" i="26"/>
  <c r="AO81" i="26"/>
  <c r="AL81" i="26"/>
  <c r="AM81" i="26" s="1"/>
  <c r="AR81" i="26" s="1"/>
  <c r="AP80" i="26"/>
  <c r="AO80" i="26"/>
  <c r="AL80" i="26"/>
  <c r="AM80" i="26" s="1"/>
  <c r="AR80" i="26" s="1"/>
  <c r="AP322" i="26"/>
  <c r="AO322" i="26"/>
  <c r="AL322" i="26"/>
  <c r="AM322" i="26" s="1"/>
  <c r="AR322" i="26" s="1"/>
  <c r="AP107" i="26"/>
  <c r="AO107" i="26"/>
  <c r="AL107" i="26"/>
  <c r="AM107" i="26" s="1"/>
  <c r="AR107" i="26" s="1"/>
  <c r="AP236" i="26"/>
  <c r="AO236" i="26"/>
  <c r="AL236" i="26"/>
  <c r="AM236" i="26" s="1"/>
  <c r="AR236" i="26" s="1"/>
  <c r="AP235" i="26"/>
  <c r="AO235" i="26"/>
  <c r="AL235" i="26"/>
  <c r="AM235" i="26" s="1"/>
  <c r="AR235" i="26" s="1"/>
  <c r="AP49" i="26"/>
  <c r="AO49" i="26"/>
  <c r="AG49" i="26"/>
  <c r="AL49" i="26" s="1"/>
  <c r="AM49" i="26" s="1"/>
  <c r="AR49" i="26" s="1"/>
  <c r="AP234" i="26"/>
  <c r="AO234" i="26"/>
  <c r="AL234" i="26"/>
  <c r="AM234" i="26" s="1"/>
  <c r="AR234" i="26" s="1"/>
  <c r="AP333" i="26"/>
  <c r="AO333" i="26"/>
  <c r="AL333" i="26"/>
  <c r="AM333" i="26" s="1"/>
  <c r="AR333" i="26" s="1"/>
  <c r="AP116" i="26"/>
  <c r="AO116" i="26"/>
  <c r="AL116" i="26"/>
  <c r="AM116" i="26" s="1"/>
  <c r="AR116" i="26" s="1"/>
  <c r="AP310" i="26"/>
  <c r="AO310" i="26"/>
  <c r="AL310" i="26"/>
  <c r="AM310" i="26" s="1"/>
  <c r="AR310" i="26" s="1"/>
  <c r="AP97" i="26"/>
  <c r="AO97" i="26"/>
  <c r="AL97" i="26"/>
  <c r="AM97" i="26" s="1"/>
  <c r="AR97" i="26" s="1"/>
  <c r="AP233" i="26"/>
  <c r="AO233" i="26"/>
  <c r="AL233" i="26"/>
  <c r="AM233" i="26" s="1"/>
  <c r="AR233" i="26" s="1"/>
  <c r="AP232" i="26"/>
  <c r="AO232" i="26"/>
  <c r="AL232" i="26"/>
  <c r="AM232" i="26" s="1"/>
  <c r="AR232" i="26" s="1"/>
  <c r="AP332" i="26"/>
  <c r="AO332" i="26"/>
  <c r="AL332" i="26"/>
  <c r="AM332" i="26" s="1"/>
  <c r="AR332" i="26" s="1"/>
  <c r="BS354" i="26"/>
  <c r="AP354" i="26"/>
  <c r="AO354" i="26"/>
  <c r="AL354" i="26"/>
  <c r="AM354" i="26" s="1"/>
  <c r="AR354" i="26" s="1"/>
  <c r="AP231" i="26"/>
  <c r="AO231" i="26"/>
  <c r="AL231" i="26"/>
  <c r="AM231" i="26" s="1"/>
  <c r="AR231" i="26" s="1"/>
  <c r="AP48" i="26"/>
  <c r="AO48" i="26"/>
  <c r="AL48" i="26"/>
  <c r="AM48" i="26" s="1"/>
  <c r="AR48" i="26" s="1"/>
  <c r="AP321" i="26"/>
  <c r="AO321" i="26"/>
  <c r="AL321" i="26"/>
  <c r="AM321" i="26" s="1"/>
  <c r="AR321" i="26" s="1"/>
  <c r="AP106" i="26"/>
  <c r="AO106" i="26"/>
  <c r="AL106" i="26"/>
  <c r="AM106" i="26" s="1"/>
  <c r="AR106" i="26" s="1"/>
  <c r="AP47" i="26"/>
  <c r="AO47" i="26"/>
  <c r="AL47" i="26"/>
  <c r="AM47" i="26" s="1"/>
  <c r="AR47" i="26" s="1"/>
  <c r="AP46" i="26"/>
  <c r="AO46" i="26"/>
  <c r="AL46" i="26"/>
  <c r="AM46" i="26" s="1"/>
  <c r="AR46" i="26" s="1"/>
  <c r="AP45" i="26"/>
  <c r="AO45" i="26"/>
  <c r="AL45" i="26"/>
  <c r="AM45" i="26" s="1"/>
  <c r="AR45" i="26" s="1"/>
  <c r="AP230" i="26"/>
  <c r="AO230" i="26"/>
  <c r="AL230" i="26"/>
  <c r="AM230" i="26" s="1"/>
  <c r="AR230" i="26" s="1"/>
  <c r="AP229" i="26"/>
  <c r="AO229" i="26"/>
  <c r="AL229" i="26"/>
  <c r="AM229" i="26" s="1"/>
  <c r="AR229" i="26" s="1"/>
  <c r="AP331" i="26"/>
  <c r="AO331" i="26"/>
  <c r="AK331" i="26"/>
  <c r="AJ331" i="26"/>
  <c r="AI331" i="26"/>
  <c r="AH331" i="26"/>
  <c r="AG331" i="26"/>
  <c r="AP309" i="26"/>
  <c r="AO309" i="26"/>
  <c r="AK309" i="26"/>
  <c r="AJ309" i="26"/>
  <c r="AI309" i="26"/>
  <c r="AH309" i="26"/>
  <c r="AG309" i="26"/>
  <c r="AP43" i="26"/>
  <c r="AO43" i="26"/>
  <c r="AL43" i="26"/>
  <c r="AM43" i="26" s="1"/>
  <c r="AR43" i="26" s="1"/>
  <c r="AP42" i="26"/>
  <c r="AO42" i="26"/>
  <c r="AL42" i="26"/>
  <c r="AM42" i="26" s="1"/>
  <c r="AR42" i="26" s="1"/>
  <c r="AP587" i="26"/>
  <c r="AO587" i="26"/>
  <c r="AL587" i="26"/>
  <c r="AM587" i="26" s="1"/>
  <c r="AR587" i="26" s="1"/>
  <c r="AP79" i="26"/>
  <c r="AO79" i="26"/>
  <c r="AL79" i="26"/>
  <c r="AM79" i="26" s="1"/>
  <c r="AR79" i="26" s="1"/>
  <c r="AP115" i="26"/>
  <c r="AO115" i="26"/>
  <c r="AL115" i="26"/>
  <c r="AM115" i="26" s="1"/>
  <c r="AR115" i="26" s="1"/>
  <c r="AP41" i="26"/>
  <c r="AO41" i="26"/>
  <c r="AL41" i="26"/>
  <c r="AM41" i="26" s="1"/>
  <c r="AR41" i="26" s="1"/>
  <c r="AP78" i="26"/>
  <c r="AO78" i="26"/>
  <c r="AL78" i="26"/>
  <c r="AM78" i="26" s="1"/>
  <c r="AR78" i="26" s="1"/>
  <c r="AP40" i="26"/>
  <c r="AO40" i="26"/>
  <c r="AL40" i="26"/>
  <c r="AM40" i="26" s="1"/>
  <c r="AR40" i="26" s="1"/>
  <c r="BS39" i="26"/>
  <c r="AP39" i="26"/>
  <c r="AO39" i="26"/>
  <c r="AL39" i="26"/>
  <c r="AM39" i="26" s="1"/>
  <c r="AR39" i="26" s="1"/>
  <c r="AP38" i="26"/>
  <c r="AO38" i="26"/>
  <c r="AL38" i="26"/>
  <c r="AM38" i="26" s="1"/>
  <c r="AR38" i="26" s="1"/>
  <c r="AP37" i="26"/>
  <c r="AO37" i="26"/>
  <c r="AL37" i="26"/>
  <c r="AM37" i="26" s="1"/>
  <c r="AR37" i="26" s="1"/>
  <c r="AP36" i="26"/>
  <c r="AO36" i="26"/>
  <c r="AL36" i="26"/>
  <c r="AM36" i="26" s="1"/>
  <c r="AR36" i="26" s="1"/>
  <c r="AP35" i="26"/>
  <c r="AO35" i="26"/>
  <c r="AL35" i="26"/>
  <c r="AM35" i="26" s="1"/>
  <c r="AR35" i="26" s="1"/>
  <c r="BS34" i="26"/>
  <c r="AP34" i="26"/>
  <c r="AO34" i="26"/>
  <c r="AL34" i="26"/>
  <c r="AM34" i="26" s="1"/>
  <c r="AR34" i="26" s="1"/>
  <c r="V34" i="26"/>
  <c r="BS33" i="26"/>
  <c r="AP33" i="26"/>
  <c r="AO33" i="26"/>
  <c r="AL33" i="26"/>
  <c r="AM33" i="26" s="1"/>
  <c r="AR33" i="26" s="1"/>
  <c r="V33" i="26"/>
  <c r="BS32" i="26"/>
  <c r="AP32" i="26"/>
  <c r="AO32" i="26"/>
  <c r="AL32" i="26"/>
  <c r="AM32" i="26" s="1"/>
  <c r="AR32" i="26" s="1"/>
  <c r="V32" i="26"/>
  <c r="BS31" i="26"/>
  <c r="AP31" i="26"/>
  <c r="AO31" i="26"/>
  <c r="AL31" i="26"/>
  <c r="AM31" i="26" s="1"/>
  <c r="AR31" i="26" s="1"/>
  <c r="V31" i="26"/>
  <c r="AP30" i="26"/>
  <c r="AO30" i="26"/>
  <c r="AK30" i="26"/>
  <c r="AJ30" i="26"/>
  <c r="AI30" i="26"/>
  <c r="AH30" i="26"/>
  <c r="AG30" i="26"/>
  <c r="AP29" i="26"/>
  <c r="AO29" i="26"/>
  <c r="AL29" i="26"/>
  <c r="AM29" i="26" s="1"/>
  <c r="AR29" i="26" s="1"/>
  <c r="AP28" i="26"/>
  <c r="AO28" i="26"/>
  <c r="AL28" i="26"/>
  <c r="AM28" i="26" s="1"/>
  <c r="AR28" i="26" s="1"/>
  <c r="AP153" i="26"/>
  <c r="AO153" i="26"/>
  <c r="AL153" i="26"/>
  <c r="AM153" i="26" s="1"/>
  <c r="AR153" i="26" s="1"/>
  <c r="AP27" i="26"/>
  <c r="AO27" i="26"/>
  <c r="AL27" i="26"/>
  <c r="AM27" i="26" s="1"/>
  <c r="AR27" i="26" s="1"/>
  <c r="AP26" i="26"/>
  <c r="AO26" i="26"/>
  <c r="AL26" i="26"/>
  <c r="AM26" i="26" s="1"/>
  <c r="AR26" i="26" s="1"/>
  <c r="AP25" i="26"/>
  <c r="AO25" i="26"/>
  <c r="AL25" i="26"/>
  <c r="AM25" i="26" s="1"/>
  <c r="AP24" i="26"/>
  <c r="AO24" i="26"/>
  <c r="AL24" i="26"/>
  <c r="AM24" i="26" s="1"/>
  <c r="AP23" i="26"/>
  <c r="AO23" i="26"/>
  <c r="AL23" i="26"/>
  <c r="AM23" i="26" s="1"/>
  <c r="AP22" i="26"/>
  <c r="AO22" i="26"/>
  <c r="AL22" i="26"/>
  <c r="AM22" i="26" s="1"/>
  <c r="AP21" i="26"/>
  <c r="AO21" i="26"/>
  <c r="AL21" i="26"/>
  <c r="AM21" i="26" s="1"/>
  <c r="AP20" i="26"/>
  <c r="AO20" i="26"/>
  <c r="AL20" i="26"/>
  <c r="AM20" i="26" s="1"/>
  <c r="AP19" i="26"/>
  <c r="AO19" i="26"/>
  <c r="AL19" i="26"/>
  <c r="AP18" i="26"/>
  <c r="AO18" i="26"/>
  <c r="AL18" i="26"/>
  <c r="AP135" i="26"/>
  <c r="AO135" i="26"/>
  <c r="AL135" i="26"/>
  <c r="AM135" i="26" s="1"/>
  <c r="AR135" i="26" s="1"/>
  <c r="AP152" i="26"/>
  <c r="AO152" i="26"/>
  <c r="AL152" i="26"/>
  <c r="AM152" i="26" s="1"/>
  <c r="AR152" i="26" s="1"/>
  <c r="AP77" i="26"/>
  <c r="AO77" i="26"/>
  <c r="AL77" i="26"/>
  <c r="AM77" i="26" s="1"/>
  <c r="AR77" i="26" s="1"/>
  <c r="AP76" i="26"/>
  <c r="AO76" i="26"/>
  <c r="AL76" i="26"/>
  <c r="AM76" i="26" s="1"/>
  <c r="AR76" i="26" s="1"/>
  <c r="AP75" i="26"/>
  <c r="AO75" i="26"/>
  <c r="AL75" i="26"/>
  <c r="AM75" i="26" s="1"/>
  <c r="AR75" i="26" s="1"/>
  <c r="AP17" i="26"/>
  <c r="AO17" i="26"/>
  <c r="AH17" i="26"/>
  <c r="AL17" i="26" s="1"/>
  <c r="AP74" i="26"/>
  <c r="AO74" i="26"/>
  <c r="AL74" i="26"/>
  <c r="AM74" i="26" s="1"/>
  <c r="AR74" i="26" s="1"/>
  <c r="AP105" i="26"/>
  <c r="AO105" i="26"/>
  <c r="AL105" i="26"/>
  <c r="AM105" i="26" s="1"/>
  <c r="AR105" i="26" s="1"/>
  <c r="AP134" i="26"/>
  <c r="AO134" i="26"/>
  <c r="AL134" i="26"/>
  <c r="AM134" i="26" s="1"/>
  <c r="AR134" i="26" s="1"/>
  <c r="AP73" i="26"/>
  <c r="AO73" i="26"/>
  <c r="AL73" i="26"/>
  <c r="AM73" i="26" s="1"/>
  <c r="AR73" i="26" s="1"/>
  <c r="AP227" i="26"/>
  <c r="AO227" i="26"/>
  <c r="AL227" i="26"/>
  <c r="AM227" i="26" s="1"/>
  <c r="AR227" i="26" s="1"/>
  <c r="AP228" i="26"/>
  <c r="AO228" i="26"/>
  <c r="AL228" i="26"/>
  <c r="AM228" i="26" s="1"/>
  <c r="AR228" i="26" s="1"/>
  <c r="AP226" i="26"/>
  <c r="AO226" i="26"/>
  <c r="AL226" i="26"/>
  <c r="AM226" i="26" s="1"/>
  <c r="AR226" i="26" s="1"/>
  <c r="AP133" i="26"/>
  <c r="AO133" i="26"/>
  <c r="AL133" i="26"/>
  <c r="AM133" i="26" s="1"/>
  <c r="AR133" i="26" s="1"/>
  <c r="AP72" i="26"/>
  <c r="AO72" i="26"/>
  <c r="AL72" i="26"/>
  <c r="AM72" i="26" s="1"/>
  <c r="AR72" i="26" s="1"/>
  <c r="AP104" i="26"/>
  <c r="AO104" i="26"/>
  <c r="AL104" i="26"/>
  <c r="AM104" i="26" s="1"/>
  <c r="AR104" i="26" s="1"/>
  <c r="AP103" i="26"/>
  <c r="AO103" i="26"/>
  <c r="AL103" i="26"/>
  <c r="AM103" i="26" s="1"/>
  <c r="AR103" i="26" s="1"/>
  <c r="AP132" i="26"/>
  <c r="AO132" i="26"/>
  <c r="AL132" i="26"/>
  <c r="AM132" i="26" s="1"/>
  <c r="AR132" i="26" s="1"/>
  <c r="AP131" i="26"/>
  <c r="AO131" i="26"/>
  <c r="AL131" i="26"/>
  <c r="AM131" i="26" s="1"/>
  <c r="AR131" i="26" s="1"/>
  <c r="BS130" i="26"/>
  <c r="AP130" i="26"/>
  <c r="AO130" i="26"/>
  <c r="AL130" i="26"/>
  <c r="AM130" i="26" s="1"/>
  <c r="AR130" i="26" s="1"/>
  <c r="AP129" i="26"/>
  <c r="AO129" i="26"/>
  <c r="AL129" i="26"/>
  <c r="AM129" i="26" s="1"/>
  <c r="AR129" i="26" s="1"/>
  <c r="AP128" i="26"/>
  <c r="AO128" i="26"/>
  <c r="AL128" i="26"/>
  <c r="AM128" i="26" s="1"/>
  <c r="AR128" i="26" s="1"/>
  <c r="AP102" i="26"/>
  <c r="AO102" i="26"/>
  <c r="AL102" i="26"/>
  <c r="AM102" i="26" s="1"/>
  <c r="AR102" i="26" s="1"/>
  <c r="AP127" i="26"/>
  <c r="AO127" i="26"/>
  <c r="AL127" i="26"/>
  <c r="AM127" i="26" s="1"/>
  <c r="AR127" i="26" s="1"/>
  <c r="AP170" i="26"/>
  <c r="AO170" i="26"/>
  <c r="AL170" i="26"/>
  <c r="AM170" i="26" s="1"/>
  <c r="AR170" i="26" s="1"/>
  <c r="AP150" i="26"/>
  <c r="AO150" i="26"/>
  <c r="AK150" i="26"/>
  <c r="AJ150" i="26"/>
  <c r="AI150" i="26"/>
  <c r="AH150" i="26"/>
  <c r="AG150" i="26"/>
  <c r="AP149" i="26"/>
  <c r="AO149" i="26"/>
  <c r="AL149" i="26"/>
  <c r="AM149" i="26" s="1"/>
  <c r="AR149" i="26" s="1"/>
  <c r="AP148" i="26"/>
  <c r="AO148" i="26"/>
  <c r="AL148" i="26"/>
  <c r="AM148" i="26" s="1"/>
  <c r="AR148" i="26" s="1"/>
  <c r="AP174" i="26"/>
  <c r="AO174" i="26"/>
  <c r="AL174" i="26"/>
  <c r="AM174" i="26" s="1"/>
  <c r="AR174" i="26" s="1"/>
  <c r="AP173" i="26"/>
  <c r="AO173" i="26"/>
  <c r="AL173" i="26"/>
  <c r="AM173" i="26" s="1"/>
  <c r="AR173" i="26" s="1"/>
  <c r="AP424" i="26"/>
  <c r="AO424" i="26"/>
  <c r="AL424" i="26"/>
  <c r="AM424" i="26" s="1"/>
  <c r="AR424" i="26" s="1"/>
  <c r="AP171" i="26"/>
  <c r="AO171" i="26"/>
  <c r="AL171" i="26"/>
  <c r="AM171" i="26" s="1"/>
  <c r="AR171" i="26" s="1"/>
  <c r="AP172" i="26"/>
  <c r="AO172" i="26"/>
  <c r="AL172" i="26"/>
  <c r="AM172" i="26" s="1"/>
  <c r="AR172" i="26" s="1"/>
  <c r="AP637" i="26"/>
  <c r="AO637" i="26"/>
  <c r="AL637" i="26"/>
  <c r="AM637" i="26" s="1"/>
  <c r="AR637" i="26" s="1"/>
  <c r="AP586" i="26"/>
  <c r="AO586" i="26"/>
  <c r="AL586" i="26"/>
  <c r="AM586" i="26" s="1"/>
  <c r="AR586" i="26" s="1"/>
  <c r="AP308" i="26"/>
  <c r="AO308" i="26"/>
  <c r="AL308" i="26"/>
  <c r="AM308" i="26" s="1"/>
  <c r="AR308" i="26" s="1"/>
  <c r="AP96" i="26"/>
  <c r="AO96" i="26"/>
  <c r="AL96" i="26"/>
  <c r="AM96" i="26" s="1"/>
  <c r="AR96" i="26" s="1"/>
  <c r="AP225" i="26"/>
  <c r="AO225" i="26"/>
  <c r="AL225" i="26"/>
  <c r="AM225" i="26" s="1"/>
  <c r="AR225" i="26" s="1"/>
  <c r="AP16" i="26"/>
  <c r="AO16" i="26"/>
  <c r="AL16" i="26"/>
  <c r="AP423" i="26"/>
  <c r="AO423" i="26"/>
  <c r="AL423" i="26"/>
  <c r="AM423" i="26" s="1"/>
  <c r="AR423" i="26" s="1"/>
  <c r="AP205" i="26"/>
  <c r="AO205" i="26"/>
  <c r="AL205" i="26"/>
  <c r="AM205" i="26" s="1"/>
  <c r="AR205" i="26" s="1"/>
  <c r="AP166" i="26"/>
  <c r="AO166" i="26"/>
  <c r="AL166" i="26"/>
  <c r="AM166" i="26" s="1"/>
  <c r="AR166" i="26" s="1"/>
  <c r="AP353" i="26"/>
  <c r="AO353" i="26"/>
  <c r="AL353" i="26"/>
  <c r="AM353" i="26" s="1"/>
  <c r="AR353" i="26" s="1"/>
  <c r="AP147" i="26"/>
  <c r="AO147" i="26"/>
  <c r="AL147" i="26"/>
  <c r="AM147" i="26" s="1"/>
  <c r="AR147" i="26" s="1"/>
  <c r="AP224" i="26"/>
  <c r="AO224" i="26"/>
  <c r="AL224" i="26"/>
  <c r="AM224" i="26" s="1"/>
  <c r="AR224" i="26" s="1"/>
  <c r="AP223" i="26"/>
  <c r="AO223" i="26"/>
  <c r="AL223" i="26"/>
  <c r="AM223" i="26" s="1"/>
  <c r="AR223" i="26" s="1"/>
  <c r="AP422" i="26"/>
  <c r="AO422" i="26"/>
  <c r="AL422" i="26"/>
  <c r="AM422" i="26" s="1"/>
  <c r="AR422" i="26" s="1"/>
  <c r="AP330" i="26"/>
  <c r="AO330" i="26"/>
  <c r="AL330" i="26"/>
  <c r="AM330" i="26" s="1"/>
  <c r="AR330" i="26" s="1"/>
  <c r="AP320" i="26"/>
  <c r="AO320" i="26"/>
  <c r="AL320" i="26"/>
  <c r="AM320" i="26" s="1"/>
  <c r="AR320" i="26" s="1"/>
  <c r="AP101" i="26"/>
  <c r="AO101" i="26"/>
  <c r="AL101" i="26"/>
  <c r="AM101" i="26" s="1"/>
  <c r="AR101" i="26" s="1"/>
  <c r="AP307" i="26"/>
  <c r="AO307" i="26"/>
  <c r="AL307" i="26"/>
  <c r="AM307" i="26" s="1"/>
  <c r="AR307" i="26" s="1"/>
  <c r="AP560" i="26"/>
  <c r="AO560" i="26"/>
  <c r="AL560" i="26"/>
  <c r="AM560" i="26" s="1"/>
  <c r="AR560" i="26" s="1"/>
  <c r="AP285" i="26"/>
  <c r="AO285" i="26"/>
  <c r="AL285" i="26"/>
  <c r="AM285" i="26" s="1"/>
  <c r="AR285" i="26" s="1"/>
  <c r="AP222" i="26"/>
  <c r="AO222" i="26"/>
  <c r="AL222" i="26"/>
  <c r="AM222" i="26" s="1"/>
  <c r="AR222" i="26" s="1"/>
  <c r="AP185" i="26"/>
  <c r="AO185" i="26"/>
  <c r="AL185" i="26"/>
  <c r="AM185" i="26" s="1"/>
  <c r="AR185" i="26" s="1"/>
  <c r="AP15" i="26"/>
  <c r="AO15" i="26"/>
  <c r="AL15" i="26"/>
  <c r="AP352" i="26"/>
  <c r="AO352" i="26"/>
  <c r="AL352" i="26"/>
  <c r="AM352" i="26" s="1"/>
  <c r="AR352" i="26" s="1"/>
  <c r="AP421" i="26"/>
  <c r="AO421" i="26"/>
  <c r="AL421" i="26"/>
  <c r="AM421" i="26" s="1"/>
  <c r="AR421" i="26" s="1"/>
  <c r="AP607" i="26"/>
  <c r="AO607" i="26"/>
  <c r="AL607" i="26"/>
  <c r="AM607" i="26" s="1"/>
  <c r="AR607" i="26" s="1"/>
  <c r="AP329" i="26"/>
  <c r="AO329" i="26"/>
  <c r="AL329" i="26"/>
  <c r="AM329" i="26" s="1"/>
  <c r="AR329" i="26" s="1"/>
  <c r="AP114" i="26"/>
  <c r="AO114" i="26"/>
  <c r="AL114" i="26"/>
  <c r="AM114" i="26" s="1"/>
  <c r="AR114" i="26" s="1"/>
  <c r="AO165" i="26"/>
  <c r="AB165" i="26"/>
  <c r="AB3" i="26" s="1"/>
  <c r="AP13" i="26"/>
  <c r="AO13" i="26"/>
  <c r="AL13" i="26"/>
  <c r="AP12" i="26"/>
  <c r="AO12" i="26"/>
  <c r="AL12" i="26"/>
  <c r="AP11" i="26"/>
  <c r="AO11" i="26"/>
  <c r="AL11" i="26"/>
  <c r="AP221" i="26"/>
  <c r="AO221" i="26"/>
  <c r="AL221" i="26"/>
  <c r="AM221" i="26" s="1"/>
  <c r="AR221" i="26" s="1"/>
  <c r="AP339" i="26"/>
  <c r="AO339" i="26"/>
  <c r="AL339" i="26"/>
  <c r="AM339" i="26" s="1"/>
  <c r="AR339" i="26" s="1"/>
  <c r="AP126" i="26"/>
  <c r="AO126" i="26"/>
  <c r="AL126" i="26"/>
  <c r="AM126" i="26" s="1"/>
  <c r="AR126" i="26" s="1"/>
  <c r="AP306" i="26"/>
  <c r="AO306" i="26"/>
  <c r="AL306" i="26"/>
  <c r="AM306" i="26" s="1"/>
  <c r="AR306" i="26" s="1"/>
  <c r="AP95" i="26"/>
  <c r="AO95" i="26"/>
  <c r="AL95" i="26"/>
  <c r="AM95" i="26" s="1"/>
  <c r="AR95" i="26" s="1"/>
  <c r="AP284" i="26"/>
  <c r="AO284" i="26"/>
  <c r="AL284" i="26"/>
  <c r="AM284" i="26" s="1"/>
  <c r="AR284" i="26" s="1"/>
  <c r="AP71" i="26"/>
  <c r="AO71" i="26"/>
  <c r="AL71" i="26"/>
  <c r="AM71" i="26" s="1"/>
  <c r="AR71" i="26" s="1"/>
  <c r="AP10" i="26"/>
  <c r="AO10" i="26"/>
  <c r="AL10" i="26"/>
  <c r="AP14" i="26"/>
  <c r="AO14" i="26"/>
  <c r="AM14" i="26"/>
  <c r="AP585" i="26"/>
  <c r="AO585" i="26"/>
  <c r="AL585" i="26"/>
  <c r="AM585" i="26" s="1"/>
  <c r="AR585" i="26" s="1"/>
  <c r="AP621" i="26"/>
  <c r="AO621" i="26"/>
  <c r="AL621" i="26"/>
  <c r="AM621" i="26" s="1"/>
  <c r="AR621" i="26" s="1"/>
  <c r="AP559" i="26"/>
  <c r="AO559" i="26"/>
  <c r="AL559" i="26"/>
  <c r="AM559" i="26" s="1"/>
  <c r="AR559" i="26" s="1"/>
  <c r="AP419" i="26"/>
  <c r="AO419" i="26"/>
  <c r="AL419" i="26"/>
  <c r="AM419" i="26" s="1"/>
  <c r="AR419" i="26" s="1"/>
  <c r="BS94" i="26"/>
  <c r="AP94" i="26"/>
  <c r="AO94" i="26"/>
  <c r="AL94" i="26"/>
  <c r="AM94" i="26" s="1"/>
  <c r="AR94" i="26" s="1"/>
  <c r="AP584" i="26"/>
  <c r="AO584" i="26"/>
  <c r="AL584" i="26"/>
  <c r="AM584" i="26" s="1"/>
  <c r="AR584" i="26" s="1"/>
  <c r="AP418" i="26"/>
  <c r="AO418" i="26"/>
  <c r="AL418" i="26"/>
  <c r="AM418" i="26" s="1"/>
  <c r="AR418" i="26" s="1"/>
  <c r="AP650" i="26"/>
  <c r="AO650" i="26"/>
  <c r="AL650" i="26"/>
  <c r="AM650" i="26" s="1"/>
  <c r="AR650" i="26" s="1"/>
  <c r="AP636" i="26"/>
  <c r="AO636" i="26"/>
  <c r="AL636" i="26"/>
  <c r="AM636" i="26" s="1"/>
  <c r="AR636" i="26" s="1"/>
  <c r="AP9" i="26"/>
  <c r="AO9" i="26"/>
  <c r="AL9" i="26"/>
  <c r="AP417" i="26"/>
  <c r="AO417" i="26"/>
  <c r="AL417" i="26"/>
  <c r="AM417" i="26" s="1"/>
  <c r="AR417" i="26" s="1"/>
  <c r="AP8" i="26"/>
  <c r="AO8" i="26"/>
  <c r="AL8" i="26"/>
  <c r="AP416" i="26"/>
  <c r="AO416" i="26"/>
  <c r="AL416" i="26"/>
  <c r="AM416" i="26" s="1"/>
  <c r="AR416" i="26" s="1"/>
  <c r="AP598" i="26"/>
  <c r="AO598" i="26"/>
  <c r="AL598" i="26"/>
  <c r="AM598" i="26" s="1"/>
  <c r="AR598" i="26" s="1"/>
  <c r="AP583" i="26"/>
  <c r="AO583" i="26"/>
  <c r="AL583" i="26"/>
  <c r="AM583" i="26" s="1"/>
  <c r="AR583" i="26" s="1"/>
  <c r="AP558" i="26"/>
  <c r="AO558" i="26"/>
  <c r="AL558" i="26"/>
  <c r="AM558" i="26" s="1"/>
  <c r="AR558" i="26" s="1"/>
  <c r="AP415" i="26"/>
  <c r="AO415" i="26"/>
  <c r="AL415" i="26"/>
  <c r="AM415" i="26" s="1"/>
  <c r="AR415" i="26" s="1"/>
  <c r="AP635" i="26"/>
  <c r="AO635" i="26"/>
  <c r="AL635" i="26"/>
  <c r="AM635" i="26" s="1"/>
  <c r="AR635" i="26" s="1"/>
  <c r="AP675" i="26"/>
  <c r="AO675" i="26"/>
  <c r="AL675" i="26"/>
  <c r="AM675" i="26" s="1"/>
  <c r="AR675" i="26" s="1"/>
  <c r="AP146" i="26"/>
  <c r="AO146" i="26"/>
  <c r="AL146" i="26"/>
  <c r="AM146" i="26" s="1"/>
  <c r="AR146" i="26" s="1"/>
  <c r="AP145" i="26"/>
  <c r="AO145" i="26"/>
  <c r="AL145" i="26"/>
  <c r="AM145" i="26" s="1"/>
  <c r="AR145" i="26" s="1"/>
  <c r="AP351" i="26"/>
  <c r="AO351" i="26"/>
  <c r="AL351" i="26"/>
  <c r="AM351" i="26" s="1"/>
  <c r="AR351" i="26" s="1"/>
  <c r="BS144" i="26"/>
  <c r="AP144" i="26"/>
  <c r="AO144" i="26"/>
  <c r="AL144" i="26"/>
  <c r="AM144" i="26" s="1"/>
  <c r="AR144" i="26" s="1"/>
  <c r="AP143" i="26"/>
  <c r="AO143" i="26"/>
  <c r="AL143" i="26"/>
  <c r="AM143" i="26" s="1"/>
  <c r="AR143" i="26" s="1"/>
  <c r="AP142" i="26"/>
  <c r="AO142" i="26"/>
  <c r="AL142" i="26"/>
  <c r="AM142" i="26" s="1"/>
  <c r="AR142" i="26" s="1"/>
  <c r="AP350" i="26"/>
  <c r="AO350" i="26"/>
  <c r="AL350" i="26"/>
  <c r="AM350" i="26" s="1"/>
  <c r="AR350" i="26" s="1"/>
  <c r="AP305" i="26"/>
  <c r="AO305" i="26"/>
  <c r="AL305" i="26"/>
  <c r="AM305" i="26" s="1"/>
  <c r="AR305" i="26" s="1"/>
  <c r="AP634" i="26"/>
  <c r="AO634" i="26"/>
  <c r="AL634" i="26"/>
  <c r="AM634" i="26" s="1"/>
  <c r="AR634" i="26" s="1"/>
  <c r="AP141" i="26"/>
  <c r="AO141" i="26"/>
  <c r="AL141" i="26"/>
  <c r="AM141" i="26" s="1"/>
  <c r="AR141" i="26" s="1"/>
  <c r="AP349" i="26"/>
  <c r="AO349" i="26"/>
  <c r="AL349" i="26"/>
  <c r="AM349" i="26" s="1"/>
  <c r="AR349" i="26" s="1"/>
  <c r="AP633" i="26"/>
  <c r="AO633" i="26"/>
  <c r="AL633" i="26"/>
  <c r="AM633" i="26" s="1"/>
  <c r="AR633" i="26" s="1"/>
  <c r="AP220" i="26"/>
  <c r="AO220" i="26"/>
  <c r="AL220" i="26"/>
  <c r="AM220" i="26" s="1"/>
  <c r="AR220" i="26" s="1"/>
  <c r="AP348" i="26"/>
  <c r="AO348" i="26"/>
  <c r="AL348" i="26"/>
  <c r="AM348" i="26" s="1"/>
  <c r="AR348" i="26" s="1"/>
  <c r="AP184" i="26"/>
  <c r="AO184" i="26"/>
  <c r="AL184" i="26"/>
  <c r="AM184" i="26" s="1"/>
  <c r="AR184" i="26" s="1"/>
  <c r="AP198" i="26"/>
  <c r="AO198" i="26"/>
  <c r="AL198" i="26"/>
  <c r="AM198" i="26" s="1"/>
  <c r="AR198" i="26" s="1"/>
  <c r="AP219" i="26"/>
  <c r="AO219" i="26"/>
  <c r="AL219" i="26"/>
  <c r="AM219" i="26" s="1"/>
  <c r="AR219" i="26" s="1"/>
  <c r="AP347" i="26"/>
  <c r="AO347" i="26"/>
  <c r="AL347" i="26"/>
  <c r="AM347" i="26" s="1"/>
  <c r="AR347" i="26" s="1"/>
  <c r="AP414" i="26"/>
  <c r="AO414" i="26"/>
  <c r="AL414" i="26"/>
  <c r="AM414" i="26" s="1"/>
  <c r="AR414" i="26" s="1"/>
  <c r="AP183" i="26"/>
  <c r="AO183" i="26"/>
  <c r="AL183" i="26"/>
  <c r="AM183" i="26" s="1"/>
  <c r="AR183" i="26" s="1"/>
  <c r="AP632" i="26"/>
  <c r="AO632" i="26"/>
  <c r="AL632" i="26"/>
  <c r="AM632" i="26" s="1"/>
  <c r="AR632" i="26" s="1"/>
  <c r="AP182" i="26"/>
  <c r="AO182" i="26"/>
  <c r="AL182" i="26"/>
  <c r="AM182" i="26" s="1"/>
  <c r="AR182" i="26" s="1"/>
  <c r="AP197" i="26"/>
  <c r="AO197" i="26"/>
  <c r="AL197" i="26"/>
  <c r="AM197" i="26" s="1"/>
  <c r="AR197" i="26" s="1"/>
  <c r="AP181" i="26"/>
  <c r="AO181" i="26"/>
  <c r="AL181" i="26"/>
  <c r="AM181" i="26" s="1"/>
  <c r="AR181" i="26" s="1"/>
  <c r="AP196" i="26"/>
  <c r="AO196" i="26"/>
  <c r="AL196" i="26"/>
  <c r="AM196" i="26" s="1"/>
  <c r="AR196" i="26" s="1"/>
  <c r="AP180" i="26"/>
  <c r="AO180" i="26"/>
  <c r="AL180" i="26"/>
  <c r="AM180" i="26" s="1"/>
  <c r="AR180" i="26" s="1"/>
  <c r="AP218" i="26"/>
  <c r="AO218" i="26"/>
  <c r="AL218" i="26"/>
  <c r="AM218" i="26" s="1"/>
  <c r="AR218" i="26" s="1"/>
  <c r="AP346" i="26"/>
  <c r="AO346" i="26"/>
  <c r="AL346" i="26"/>
  <c r="AM346" i="26" s="1"/>
  <c r="AR346" i="26" s="1"/>
  <c r="AP195" i="26"/>
  <c r="AO195" i="26"/>
  <c r="AL195" i="26"/>
  <c r="AM195" i="26" s="1"/>
  <c r="AR195" i="26" s="1"/>
  <c r="AP179" i="26"/>
  <c r="AO179" i="26"/>
  <c r="AL179" i="26"/>
  <c r="AM179" i="26" s="1"/>
  <c r="AR179" i="26" s="1"/>
  <c r="AP217" i="26"/>
  <c r="AO217" i="26"/>
  <c r="AL217" i="26"/>
  <c r="AM217" i="26" s="1"/>
  <c r="AR217" i="26" s="1"/>
  <c r="AP631" i="26"/>
  <c r="AO631" i="26"/>
  <c r="AL631" i="26"/>
  <c r="AM631" i="26" s="1"/>
  <c r="AR631" i="26" s="1"/>
  <c r="AP413" i="26"/>
  <c r="AO413" i="26"/>
  <c r="AL413" i="26"/>
  <c r="AM413" i="26" s="1"/>
  <c r="AR413" i="26" s="1"/>
  <c r="AP216" i="26"/>
  <c r="AO216" i="26"/>
  <c r="AL216" i="26"/>
  <c r="AM216" i="26" s="1"/>
  <c r="AR216" i="26" s="1"/>
  <c r="AP178" i="26"/>
  <c r="AO178" i="26"/>
  <c r="AL178" i="26"/>
  <c r="AM178" i="26" s="1"/>
  <c r="AR178" i="26" s="1"/>
  <c r="AP630" i="26"/>
  <c r="AO630" i="26"/>
  <c r="AL630" i="26"/>
  <c r="AM630" i="26" s="1"/>
  <c r="AR630" i="26" s="1"/>
  <c r="AP345" i="26"/>
  <c r="AO345" i="26"/>
  <c r="AL345" i="26"/>
  <c r="AM345" i="26" s="1"/>
  <c r="AR345" i="26" s="1"/>
  <c r="AP194" i="26"/>
  <c r="AO194" i="26"/>
  <c r="AL194" i="26"/>
  <c r="AM194" i="26" s="1"/>
  <c r="AR194" i="26" s="1"/>
  <c r="AP629" i="26"/>
  <c r="AO629" i="26"/>
  <c r="AL629" i="26"/>
  <c r="AM629" i="26" s="1"/>
  <c r="AR629" i="26" s="1"/>
  <c r="AP412" i="26"/>
  <c r="AO412" i="26"/>
  <c r="AL412" i="26"/>
  <c r="AM412" i="26" s="1"/>
  <c r="AR412" i="26" s="1"/>
  <c r="AP628" i="26"/>
  <c r="AO628" i="26"/>
  <c r="AL628" i="26"/>
  <c r="AM628" i="26" s="1"/>
  <c r="AR628" i="26" s="1"/>
  <c r="AP411" i="26"/>
  <c r="AO411" i="26"/>
  <c r="AL411" i="26"/>
  <c r="AM411" i="26" s="1"/>
  <c r="AR411" i="26" s="1"/>
  <c r="BS215" i="26"/>
  <c r="AP215" i="26"/>
  <c r="AO215" i="26"/>
  <c r="AL215" i="26"/>
  <c r="AM215" i="26" s="1"/>
  <c r="AR215" i="26" s="1"/>
  <c r="AP410" i="26"/>
  <c r="AO410" i="26"/>
  <c r="AL410" i="26"/>
  <c r="AM410" i="26" s="1"/>
  <c r="AR410" i="26" s="1"/>
  <c r="AP627" i="26"/>
  <c r="AO627" i="26"/>
  <c r="AL627" i="26"/>
  <c r="AM627" i="26" s="1"/>
  <c r="AR627" i="26" s="1"/>
  <c r="AP409" i="26"/>
  <c r="AO409" i="26"/>
  <c r="AL409" i="26"/>
  <c r="AM409" i="26" s="1"/>
  <c r="AR409" i="26" s="1"/>
  <c r="AP626" i="26"/>
  <c r="AO626" i="26"/>
  <c r="AL626" i="26"/>
  <c r="AM626" i="26" s="1"/>
  <c r="AR626" i="26" s="1"/>
  <c r="AP344" i="26"/>
  <c r="AO344" i="26"/>
  <c r="AL344" i="26"/>
  <c r="AM344" i="26" s="1"/>
  <c r="AR344" i="26" s="1"/>
  <c r="AP214" i="26"/>
  <c r="AO214" i="26"/>
  <c r="AL214" i="26"/>
  <c r="AM214" i="26" s="1"/>
  <c r="AR214" i="26" s="1"/>
  <c r="AP213" i="26"/>
  <c r="AO213" i="26"/>
  <c r="AL213" i="26"/>
  <c r="AM213" i="26" s="1"/>
  <c r="AR213" i="26" s="1"/>
  <c r="AP212" i="26"/>
  <c r="AO212" i="26"/>
  <c r="AL212" i="26"/>
  <c r="AM212" i="26" s="1"/>
  <c r="AR212" i="26" s="1"/>
  <c r="AP177" i="26"/>
  <c r="AO177" i="26"/>
  <c r="AL177" i="26"/>
  <c r="AM177" i="26" s="1"/>
  <c r="AR177" i="26" s="1"/>
  <c r="AP176" i="26"/>
  <c r="AO176" i="26"/>
  <c r="AL176" i="26"/>
  <c r="AM176" i="26" s="1"/>
  <c r="AR176" i="26" s="1"/>
  <c r="AP175" i="26"/>
  <c r="AO175" i="26"/>
  <c r="AL175" i="26"/>
  <c r="AM175" i="26" s="1"/>
  <c r="AR175" i="26" s="1"/>
  <c r="AP582" i="26"/>
  <c r="AO582" i="26"/>
  <c r="AK582" i="26"/>
  <c r="AJ582" i="26"/>
  <c r="AI582" i="26"/>
  <c r="AH582" i="26"/>
  <c r="AG582" i="26"/>
  <c r="AP606" i="26"/>
  <c r="AO606" i="26"/>
  <c r="AK606" i="26"/>
  <c r="AJ606" i="26"/>
  <c r="AI606" i="26"/>
  <c r="AH606" i="26"/>
  <c r="AG606" i="26"/>
  <c r="AP581" i="26"/>
  <c r="AO581" i="26"/>
  <c r="AK581" i="26"/>
  <c r="AJ581" i="26"/>
  <c r="AI581" i="26"/>
  <c r="AH581" i="26"/>
  <c r="AG581" i="26"/>
  <c r="AP605" i="26"/>
  <c r="AO605" i="26"/>
  <c r="AK605" i="26"/>
  <c r="AJ605" i="26"/>
  <c r="AI605" i="26"/>
  <c r="BS408" i="26"/>
  <c r="AP408" i="26"/>
  <c r="AO408" i="26"/>
  <c r="AL408" i="26"/>
  <c r="AM408" i="26" s="1"/>
  <c r="AR408" i="26" s="1"/>
  <c r="AP303" i="26"/>
  <c r="AO303" i="26"/>
  <c r="AL303" i="26"/>
  <c r="AM303" i="26" s="1"/>
  <c r="AR303" i="26" s="1"/>
  <c r="AP604" i="26"/>
  <c r="AO604" i="26"/>
  <c r="AL604" i="26"/>
  <c r="AM604" i="26" s="1"/>
  <c r="AR604" i="26" s="1"/>
  <c r="BS125" i="26"/>
  <c r="AP125" i="26"/>
  <c r="AO125" i="26"/>
  <c r="AL125" i="26"/>
  <c r="AM125" i="26" s="1"/>
  <c r="AR125" i="26" s="1"/>
  <c r="BS124" i="26"/>
  <c r="AP124" i="26"/>
  <c r="AO124" i="26"/>
  <c r="AL124" i="26"/>
  <c r="AM124" i="26" s="1"/>
  <c r="AR124" i="26" s="1"/>
  <c r="BS70" i="26"/>
  <c r="AP70" i="26"/>
  <c r="AO70" i="26"/>
  <c r="AL70" i="26"/>
  <c r="AM70" i="26" s="1"/>
  <c r="AR70" i="26" s="1"/>
  <c r="AP123" i="26"/>
  <c r="AO123" i="26"/>
  <c r="AL123" i="26"/>
  <c r="AM123" i="26" s="1"/>
  <c r="AR123" i="26" s="1"/>
  <c r="BS69" i="26"/>
  <c r="AP69" i="26"/>
  <c r="AO69" i="26"/>
  <c r="AL69" i="26"/>
  <c r="AM69" i="26" s="1"/>
  <c r="AR69" i="26" s="1"/>
  <c r="AP407" i="26"/>
  <c r="AO407" i="26"/>
  <c r="AL407" i="26"/>
  <c r="AM407" i="26" s="1"/>
  <c r="AR407" i="26" s="1"/>
  <c r="AP302" i="26"/>
  <c r="AO302" i="26"/>
  <c r="AL302" i="26"/>
  <c r="AM302" i="26" s="1"/>
  <c r="AR302" i="26" s="1"/>
  <c r="BS603" i="26"/>
  <c r="AP603" i="26"/>
  <c r="AO603" i="26"/>
  <c r="AK603" i="26"/>
  <c r="AJ603" i="26"/>
  <c r="AI603" i="26"/>
  <c r="AH603" i="26"/>
  <c r="AG603" i="26"/>
  <c r="AP406" i="26"/>
  <c r="AO406" i="26"/>
  <c r="AL406" i="26"/>
  <c r="AM406" i="26" s="1"/>
  <c r="AR406" i="26" s="1"/>
  <c r="AP301" i="26"/>
  <c r="AO301" i="26"/>
  <c r="AL301" i="26"/>
  <c r="AM301" i="26" s="1"/>
  <c r="AR301" i="26" s="1"/>
  <c r="AP620" i="26"/>
  <c r="AO620" i="26"/>
  <c r="AL620" i="26"/>
  <c r="AM620" i="26" s="1"/>
  <c r="AR620" i="26" s="1"/>
  <c r="BS122" i="26"/>
  <c r="AP122" i="26"/>
  <c r="AO122" i="26"/>
  <c r="AL122" i="26"/>
  <c r="AM122" i="26" s="1"/>
  <c r="AR122" i="26" s="1"/>
  <c r="BS68" i="26"/>
  <c r="AP68" i="26"/>
  <c r="AO68" i="26"/>
  <c r="AL68" i="26"/>
  <c r="AM68" i="26" s="1"/>
  <c r="AR68" i="26" s="1"/>
  <c r="BS67" i="26"/>
  <c r="AP67" i="26"/>
  <c r="AO67" i="26"/>
  <c r="AL67" i="26"/>
  <c r="AM67" i="26" s="1"/>
  <c r="AR67" i="26" s="1"/>
  <c r="BS328" i="26"/>
  <c r="AP328" i="26"/>
  <c r="AO328" i="26"/>
  <c r="AK328" i="26"/>
  <c r="AJ328" i="26"/>
  <c r="AI328" i="26"/>
  <c r="AH328" i="26"/>
  <c r="AG328" i="26"/>
  <c r="AP211" i="26"/>
  <c r="AO211" i="26"/>
  <c r="AL211" i="26"/>
  <c r="AM211" i="26" s="1"/>
  <c r="AR211" i="26" s="1"/>
  <c r="BS327" i="26"/>
  <c r="AP327" i="26"/>
  <c r="AO327" i="26"/>
  <c r="AK327" i="26"/>
  <c r="AJ327" i="26"/>
  <c r="AI327" i="26"/>
  <c r="AH327" i="26"/>
  <c r="AG327" i="26"/>
  <c r="AP210" i="26"/>
  <c r="AO210" i="26"/>
  <c r="AL210" i="26"/>
  <c r="AM210" i="26" s="1"/>
  <c r="AR210" i="26" s="1"/>
  <c r="BS326" i="26"/>
  <c r="AP326" i="26"/>
  <c r="AO326" i="26"/>
  <c r="AK326" i="26"/>
  <c r="AJ326" i="26"/>
  <c r="AI326" i="26"/>
  <c r="AH326" i="26"/>
  <c r="AG326" i="26"/>
  <c r="AP209" i="26"/>
  <c r="AO209" i="26"/>
  <c r="AL209" i="26"/>
  <c r="AM209" i="26" s="1"/>
  <c r="AR209" i="26" s="1"/>
  <c r="BS602" i="26"/>
  <c r="AP602" i="26"/>
  <c r="AO602" i="26"/>
  <c r="AL602" i="26"/>
  <c r="AM602" i="26" s="1"/>
  <c r="AR602" i="26" s="1"/>
  <c r="AP405" i="26"/>
  <c r="AO405" i="26"/>
  <c r="AL405" i="26"/>
  <c r="AM405" i="26" s="1"/>
  <c r="AR405" i="26" s="1"/>
  <c r="BS601" i="26"/>
  <c r="AP601" i="26"/>
  <c r="AO601" i="26"/>
  <c r="AL601" i="26"/>
  <c r="AM601" i="26" s="1"/>
  <c r="AR601" i="26" s="1"/>
  <c r="AP404" i="26"/>
  <c r="AO404" i="26"/>
  <c r="AL404" i="26"/>
  <c r="AM404" i="26" s="1"/>
  <c r="AR404" i="26" s="1"/>
  <c r="AP580" i="26"/>
  <c r="AO580" i="26"/>
  <c r="AL580" i="26"/>
  <c r="AM580" i="26" s="1"/>
  <c r="AR580" i="26" s="1"/>
  <c r="AP579" i="26"/>
  <c r="AO579" i="26"/>
  <c r="AL579" i="26"/>
  <c r="AM579" i="26" s="1"/>
  <c r="AR579" i="26" s="1"/>
  <c r="AP300" i="26"/>
  <c r="AO300" i="26"/>
  <c r="AM300" i="26"/>
  <c r="AR300" i="26" s="1"/>
  <c r="AP403" i="26"/>
  <c r="AO403" i="26"/>
  <c r="AK403" i="26"/>
  <c r="AJ403" i="26"/>
  <c r="AI403" i="26"/>
  <c r="AH403" i="26"/>
  <c r="AG403" i="26"/>
  <c r="BS208" i="26"/>
  <c r="AP208" i="26"/>
  <c r="AO208" i="26"/>
  <c r="AL208" i="26"/>
  <c r="AM208" i="26" s="1"/>
  <c r="AR208" i="26" s="1"/>
  <c r="AP402" i="26"/>
  <c r="AO402" i="26"/>
  <c r="AL402" i="26"/>
  <c r="AM402" i="26" s="1"/>
  <c r="BR3" i="26"/>
  <c r="BQ3" i="26"/>
  <c r="BP3" i="26"/>
  <c r="BO3" i="26"/>
  <c r="BN3" i="26"/>
  <c r="BM3" i="26"/>
  <c r="BL3" i="26"/>
  <c r="BK3" i="26"/>
  <c r="BJ3" i="26"/>
  <c r="BI3" i="26"/>
  <c r="BH3" i="26"/>
  <c r="BG3" i="26"/>
  <c r="BF3" i="26"/>
  <c r="BE3" i="26"/>
  <c r="BD3" i="26"/>
  <c r="BC3" i="26"/>
  <c r="BB3" i="26"/>
  <c r="BA3" i="26"/>
  <c r="AZ3" i="26"/>
  <c r="AY3" i="26"/>
  <c r="AX3" i="26"/>
  <c r="AW3" i="26"/>
  <c r="AV3" i="26"/>
  <c r="AU3" i="26"/>
  <c r="AT3" i="26"/>
  <c r="AQ3" i="26"/>
  <c r="AN3" i="26"/>
  <c r="AF3" i="26"/>
  <c r="AE3" i="26"/>
  <c r="AD3" i="26"/>
  <c r="AC3" i="26"/>
  <c r="Z3" i="26"/>
  <c r="Y3" i="26"/>
  <c r="X3" i="26"/>
  <c r="W3" i="26"/>
  <c r="AK8" i="5"/>
  <c r="AR25" i="26" l="1"/>
  <c r="AR22" i="26"/>
  <c r="AR14" i="26"/>
  <c r="AR14" i="27"/>
  <c r="AM16" i="26"/>
  <c r="AM16" i="27"/>
  <c r="AM17" i="26"/>
  <c r="AM17" i="27"/>
  <c r="AR20" i="26"/>
  <c r="AM9" i="26"/>
  <c r="AM9" i="27"/>
  <c r="AM13" i="26"/>
  <c r="AM13" i="27"/>
  <c r="AR23" i="26"/>
  <c r="AM18" i="26"/>
  <c r="AM18" i="27"/>
  <c r="AM8" i="26"/>
  <c r="AR8" i="26" s="1"/>
  <c r="AM8" i="27"/>
  <c r="AM10" i="26"/>
  <c r="AM10" i="27"/>
  <c r="AM11" i="26"/>
  <c r="AM11" i="27"/>
  <c r="AR21" i="26"/>
  <c r="AR24" i="26"/>
  <c r="AM15" i="26"/>
  <c r="AM15" i="27"/>
  <c r="AM19" i="26"/>
  <c r="AM19" i="27"/>
  <c r="AM12" i="26"/>
  <c r="AM12" i="27"/>
  <c r="AL30" i="26"/>
  <c r="AM30" i="26" s="1"/>
  <c r="AR30" i="26" s="1"/>
  <c r="AL590" i="26"/>
  <c r="AM590" i="26" s="1"/>
  <c r="AR590" i="26" s="1"/>
  <c r="AL328" i="26"/>
  <c r="AM328" i="26" s="1"/>
  <c r="AR328" i="26" s="1"/>
  <c r="AL150" i="26"/>
  <c r="AM150" i="26" s="1"/>
  <c r="AR150" i="26" s="1"/>
  <c r="AL522" i="26"/>
  <c r="AM522" i="26" s="1"/>
  <c r="AR522" i="26" s="1"/>
  <c r="AL85" i="26"/>
  <c r="AM85" i="26" s="1"/>
  <c r="AR85" i="26" s="1"/>
  <c r="AL581" i="26"/>
  <c r="AM581" i="26" s="1"/>
  <c r="AR581" i="26" s="1"/>
  <c r="AL493" i="26"/>
  <c r="AM493" i="26" s="1"/>
  <c r="AR493" i="26" s="1"/>
  <c r="AL521" i="26"/>
  <c r="AM521" i="26" s="1"/>
  <c r="AR521" i="26" s="1"/>
  <c r="AL617" i="26"/>
  <c r="AM617" i="26" s="1"/>
  <c r="AR617" i="26" s="1"/>
  <c r="AL169" i="26"/>
  <c r="AM169" i="26" s="1"/>
  <c r="AR169" i="26" s="1"/>
  <c r="AO3" i="26"/>
  <c r="AL603" i="26"/>
  <c r="AM603" i="26" s="1"/>
  <c r="AR603" i="26" s="1"/>
  <c r="AP444" i="26"/>
  <c r="AA3" i="26"/>
  <c r="AL326" i="26"/>
  <c r="AM326" i="26" s="1"/>
  <c r="AR326" i="26" s="1"/>
  <c r="AL403" i="26"/>
  <c r="AM403" i="26" s="1"/>
  <c r="AR403" i="26" s="1"/>
  <c r="AK3" i="26"/>
  <c r="AL582" i="26"/>
  <c r="AM582" i="26" s="1"/>
  <c r="AR582" i="26" s="1"/>
  <c r="AL479" i="26"/>
  <c r="AM479" i="26" s="1"/>
  <c r="AR479" i="26" s="1"/>
  <c r="AL331" i="26"/>
  <c r="AM331" i="26" s="1"/>
  <c r="AR331" i="26" s="1"/>
  <c r="AL452" i="26"/>
  <c r="AM452" i="26" s="1"/>
  <c r="AR452" i="26" s="1"/>
  <c r="AL58" i="26"/>
  <c r="AM58" i="26" s="1"/>
  <c r="AR58" i="26" s="1"/>
  <c r="AL309" i="26"/>
  <c r="AM309" i="26" s="1"/>
  <c r="AL327" i="26"/>
  <c r="AM327" i="26" s="1"/>
  <c r="AR327" i="26" s="1"/>
  <c r="AL606" i="26"/>
  <c r="AM606" i="26" s="1"/>
  <c r="AR606" i="26" s="1"/>
  <c r="AG3" i="26"/>
  <c r="AI3" i="26"/>
  <c r="AJ3" i="26"/>
  <c r="AP165" i="26"/>
  <c r="AL165" i="26"/>
  <c r="AM165" i="26" s="1"/>
  <c r="AR165" i="26" s="1"/>
  <c r="AR402" i="26"/>
  <c r="BS3" i="26"/>
  <c r="AH3" i="26"/>
  <c r="V3" i="26"/>
  <c r="AL503" i="26"/>
  <c r="AM503" i="26" s="1"/>
  <c r="AR503" i="26" s="1"/>
  <c r="AL605" i="26"/>
  <c r="AM605" i="26" s="1"/>
  <c r="AR605" i="26" s="1"/>
  <c r="E6" i="25"/>
  <c r="G6" i="25"/>
  <c r="E2" i="25"/>
  <c r="AR15" i="26" l="1"/>
  <c r="AR15" i="27"/>
  <c r="AR10" i="26"/>
  <c r="AR10" i="27"/>
  <c r="AR13" i="26"/>
  <c r="AR13" i="27"/>
  <c r="AR16" i="26"/>
  <c r="AR16" i="27"/>
  <c r="AR8" i="27"/>
  <c r="AR9" i="26"/>
  <c r="AR9" i="27"/>
  <c r="AR12" i="26"/>
  <c r="AR12" i="27"/>
  <c r="AR18" i="26"/>
  <c r="AR18" i="27"/>
  <c r="AR19" i="26"/>
  <c r="AR19" i="27"/>
  <c r="AR11" i="26"/>
  <c r="AR11" i="27"/>
  <c r="AR17" i="26"/>
  <c r="AR17" i="27"/>
  <c r="AP3" i="26"/>
  <c r="AL3" i="26"/>
  <c r="V2" i="26" s="1"/>
  <c r="U3" i="26"/>
  <c r="AM3" i="26"/>
  <c r="AH689" i="5"/>
  <c r="AI689" i="5" s="1"/>
  <c r="AN689" i="5" s="1"/>
  <c r="AH690" i="5"/>
  <c r="AI690" i="5" s="1"/>
  <c r="AN690" i="5" s="1"/>
  <c r="AH691" i="5"/>
  <c r="AI691" i="5" s="1"/>
  <c r="AN691" i="5" s="1"/>
  <c r="AH692" i="5"/>
  <c r="AI692" i="5" s="1"/>
  <c r="AN692" i="5" s="1"/>
  <c r="AH693" i="5"/>
  <c r="AI693" i="5" s="1"/>
  <c r="AN693" i="5" s="1"/>
  <c r="AH694" i="5"/>
  <c r="AI694" i="5" s="1"/>
  <c r="AN694" i="5" s="1"/>
  <c r="AH695" i="5"/>
  <c r="AI695" i="5" s="1"/>
  <c r="AN695" i="5" s="1"/>
  <c r="AH696" i="5"/>
  <c r="AI696" i="5" s="1"/>
  <c r="AN696" i="5" s="1"/>
  <c r="AK689" i="5"/>
  <c r="AK690" i="5"/>
  <c r="AK691" i="5"/>
  <c r="AK692" i="5"/>
  <c r="AK693" i="5"/>
  <c r="AK694" i="5"/>
  <c r="AK695" i="5"/>
  <c r="AK696" i="5"/>
  <c r="AL689" i="5"/>
  <c r="AL690" i="5"/>
  <c r="AL691" i="5"/>
  <c r="AL692" i="5"/>
  <c r="AL693" i="5"/>
  <c r="AL694" i="5"/>
  <c r="AL695" i="5"/>
  <c r="AL696" i="5"/>
  <c r="AM9" i="21"/>
  <c r="AN9" i="21" s="1"/>
  <c r="AS9" i="21" s="1"/>
  <c r="AM12" i="21"/>
  <c r="AN12" i="21" s="1"/>
  <c r="AS12" i="21" s="1"/>
  <c r="AM8" i="21"/>
  <c r="AN8" i="21" s="1"/>
  <c r="AS8" i="21" s="1"/>
  <c r="AM11" i="21"/>
  <c r="AN11" i="21" s="1"/>
  <c r="AS11" i="21" s="1"/>
  <c r="AM10" i="21"/>
  <c r="AN10" i="21" s="1"/>
  <c r="AS10" i="21" s="1"/>
  <c r="AM15" i="21"/>
  <c r="AN15" i="21" s="1"/>
  <c r="AS15" i="21" s="1"/>
  <c r="AM14" i="21"/>
  <c r="AN14" i="21" s="1"/>
  <c r="AS14" i="21" s="1"/>
  <c r="AM13" i="21"/>
  <c r="AN13" i="21" s="1"/>
  <c r="AS13" i="21" s="1"/>
  <c r="AP9" i="21"/>
  <c r="AP12" i="21"/>
  <c r="AP8" i="21"/>
  <c r="AP11" i="21"/>
  <c r="AP10" i="21"/>
  <c r="AP15" i="21"/>
  <c r="AP14" i="21"/>
  <c r="AP13" i="21"/>
  <c r="AQ9" i="21"/>
  <c r="AQ12" i="21"/>
  <c r="AQ8" i="21"/>
  <c r="AQ11" i="21"/>
  <c r="AQ10" i="21"/>
  <c r="AQ15" i="21"/>
  <c r="AQ14" i="21"/>
  <c r="AQ13" i="21"/>
  <c r="AR3" i="26" l="1"/>
  <c r="AM1" i="20"/>
  <c r="AM277" i="21" l="1"/>
  <c r="AN277" i="21" s="1"/>
  <c r="V1" i="20"/>
  <c r="W1" i="20"/>
  <c r="X1" i="20"/>
  <c r="Y1" i="20"/>
  <c r="Z1" i="20"/>
  <c r="AB1" i="20"/>
  <c r="AC1" i="20"/>
  <c r="AD1" i="20"/>
  <c r="AE1" i="20"/>
  <c r="AF1" i="20"/>
  <c r="AG1" i="20"/>
  <c r="AH1" i="20"/>
  <c r="AI1" i="20"/>
  <c r="AJ1" i="20"/>
  <c r="AK1" i="20"/>
  <c r="AL1" i="20"/>
  <c r="AN1" i="20"/>
  <c r="AO1" i="20"/>
  <c r="AP1" i="20"/>
  <c r="AQ1" i="20"/>
  <c r="AR1" i="20"/>
  <c r="AS1" i="20"/>
  <c r="AT1" i="20"/>
  <c r="AU1" i="20"/>
  <c r="AV1" i="20"/>
  <c r="AW1" i="20"/>
  <c r="AX1" i="20"/>
  <c r="AY1" i="20"/>
  <c r="AZ1" i="20"/>
  <c r="BA1" i="20"/>
  <c r="BB1" i="20"/>
  <c r="BC1" i="20"/>
  <c r="BD1" i="20"/>
  <c r="BE1" i="20"/>
  <c r="BF1" i="20"/>
  <c r="BG1" i="20"/>
  <c r="BH1" i="20"/>
  <c r="BI1" i="20"/>
  <c r="BJ1" i="20"/>
  <c r="BK1" i="20"/>
  <c r="BL1" i="20"/>
  <c r="BM1" i="20"/>
  <c r="BN1" i="20"/>
  <c r="BO1" i="20"/>
  <c r="BP1" i="20"/>
  <c r="BQ1" i="20"/>
  <c r="BR1" i="20"/>
  <c r="BS1" i="20"/>
  <c r="BT1" i="20"/>
  <c r="AA1" i="20"/>
  <c r="AQ431" i="21"/>
  <c r="AP431" i="21"/>
  <c r="AM431" i="21"/>
  <c r="AN431" i="21" s="1"/>
  <c r="AS431" i="21" s="1"/>
  <c r="AQ260" i="21"/>
  <c r="AP260" i="21"/>
  <c r="AM260" i="21"/>
  <c r="AN260" i="21" s="1"/>
  <c r="AS260" i="21" s="1"/>
  <c r="AQ466" i="21"/>
  <c r="AP466" i="21"/>
  <c r="AM466" i="21"/>
  <c r="AN466" i="21" s="1"/>
  <c r="AS466" i="21" s="1"/>
  <c r="AQ401" i="21"/>
  <c r="AP401" i="21"/>
  <c r="AM401" i="21"/>
  <c r="AN401" i="21" s="1"/>
  <c r="AS401" i="21" s="1"/>
  <c r="BT89" i="21"/>
  <c r="AQ89" i="21"/>
  <c r="AP89" i="21"/>
  <c r="AM89" i="21"/>
  <c r="AN89" i="21" s="1"/>
  <c r="AS89" i="21" s="1"/>
  <c r="AQ353" i="21"/>
  <c r="AP353" i="21"/>
  <c r="AM353" i="21"/>
  <c r="AN353" i="21" s="1"/>
  <c r="AS353" i="21" s="1"/>
  <c r="AQ315" i="21"/>
  <c r="AP315" i="21"/>
  <c r="AM315" i="21"/>
  <c r="AN315" i="21" s="1"/>
  <c r="AS315" i="21" s="1"/>
  <c r="AQ255" i="21"/>
  <c r="AP255" i="21"/>
  <c r="AM255" i="21"/>
  <c r="AN255" i="21" s="1"/>
  <c r="AS255" i="21" s="1"/>
  <c r="AQ247" i="21"/>
  <c r="AP247" i="21"/>
  <c r="AM247" i="21"/>
  <c r="AN247" i="21" s="1"/>
  <c r="AS247" i="21" s="1"/>
  <c r="AQ492" i="21"/>
  <c r="AP492" i="21"/>
  <c r="AM492" i="21"/>
  <c r="AN492" i="21" s="1"/>
  <c r="AS492" i="21" s="1"/>
  <c r="AQ88" i="21"/>
  <c r="AP88" i="21"/>
  <c r="AM88" i="21"/>
  <c r="AN88" i="21" s="1"/>
  <c r="AS88" i="21" s="1"/>
  <c r="AQ367" i="21"/>
  <c r="AP367" i="21"/>
  <c r="AM367" i="21"/>
  <c r="AN367" i="21" s="1"/>
  <c r="AS367" i="21" s="1"/>
  <c r="AQ87" i="21"/>
  <c r="AP87" i="21"/>
  <c r="AM87" i="21"/>
  <c r="AN87" i="21" s="1"/>
  <c r="AS87" i="21" s="1"/>
  <c r="AQ517" i="21"/>
  <c r="AP517" i="21"/>
  <c r="AM517" i="21"/>
  <c r="AN517" i="21" s="1"/>
  <c r="AS517" i="21" s="1"/>
  <c r="AQ273" i="21"/>
  <c r="AP273" i="21"/>
  <c r="AM273" i="21"/>
  <c r="AN273" i="21" s="1"/>
  <c r="AS273" i="21" s="1"/>
  <c r="AQ319" i="21"/>
  <c r="AP319" i="21"/>
  <c r="AM319" i="21"/>
  <c r="AN319" i="21" s="1"/>
  <c r="AS319" i="21" s="1"/>
  <c r="AQ292" i="21"/>
  <c r="AP292" i="21"/>
  <c r="AM292" i="21"/>
  <c r="AN292" i="21" s="1"/>
  <c r="AS292" i="21" s="1"/>
  <c r="AP183" i="21"/>
  <c r="AC183" i="21"/>
  <c r="AQ183" i="21" s="1"/>
  <c r="AQ456" i="21"/>
  <c r="AP456" i="21"/>
  <c r="AM456" i="21"/>
  <c r="AN456" i="21" s="1"/>
  <c r="AS456" i="21" s="1"/>
  <c r="AQ403" i="21"/>
  <c r="AP403" i="21"/>
  <c r="AM403" i="21"/>
  <c r="AN403" i="21" s="1"/>
  <c r="AS403" i="21" s="1"/>
  <c r="AQ270" i="21"/>
  <c r="AP270" i="21"/>
  <c r="AM270" i="21"/>
  <c r="AN270" i="21" s="1"/>
  <c r="AS270" i="21" s="1"/>
  <c r="AP203" i="21"/>
  <c r="AC203" i="21"/>
  <c r="AM203" i="21" s="1"/>
  <c r="AN203" i="21" s="1"/>
  <c r="AS203" i="21" s="1"/>
  <c r="AQ366" i="21"/>
  <c r="AP366" i="21"/>
  <c r="AM366" i="21"/>
  <c r="AN366" i="21" s="1"/>
  <c r="AS366" i="21" s="1"/>
  <c r="AQ86" i="21"/>
  <c r="AP86" i="21"/>
  <c r="AM86" i="21"/>
  <c r="AN86" i="21" s="1"/>
  <c r="AS86" i="21" s="1"/>
  <c r="AQ17" i="21"/>
  <c r="AP17" i="21"/>
  <c r="AM17" i="21"/>
  <c r="AN17" i="21" s="1"/>
  <c r="AS17" i="21" s="1"/>
  <c r="AQ278" i="21"/>
  <c r="AP278" i="21"/>
  <c r="AM278" i="21"/>
  <c r="AN278" i="21" s="1"/>
  <c r="AS278" i="21" s="1"/>
  <c r="AQ301" i="21"/>
  <c r="AP301" i="21"/>
  <c r="AM301" i="21"/>
  <c r="AN301" i="21" s="1"/>
  <c r="AS301" i="21" s="1"/>
  <c r="AQ298" i="21"/>
  <c r="AP298" i="21"/>
  <c r="AM298" i="21"/>
  <c r="AN298" i="21" s="1"/>
  <c r="AS298" i="21" s="1"/>
  <c r="AQ274" i="21"/>
  <c r="AP274" i="21"/>
  <c r="AM274" i="21"/>
  <c r="AN274" i="21" s="1"/>
  <c r="AS274" i="21" s="1"/>
  <c r="AQ251" i="21"/>
  <c r="AP251" i="21"/>
  <c r="AM251" i="21"/>
  <c r="AN251" i="21" s="1"/>
  <c r="AS251" i="21" s="1"/>
  <c r="AQ531" i="21"/>
  <c r="AP531" i="21"/>
  <c r="AM531" i="21"/>
  <c r="AN531" i="21" s="1"/>
  <c r="AS531" i="21" s="1"/>
  <c r="AQ265" i="21"/>
  <c r="AP265" i="21"/>
  <c r="AM265" i="21"/>
  <c r="AN265" i="21" s="1"/>
  <c r="AS265" i="21" s="1"/>
  <c r="AQ16" i="21"/>
  <c r="AP16" i="21"/>
  <c r="AM16" i="21"/>
  <c r="AN16" i="21" s="1"/>
  <c r="AS16" i="21" s="1"/>
  <c r="AQ210" i="21"/>
  <c r="AP210" i="21"/>
  <c r="AM210" i="21"/>
  <c r="AN210" i="21" s="1"/>
  <c r="AS210" i="21" s="1"/>
  <c r="AQ212" i="21"/>
  <c r="AP212" i="21"/>
  <c r="AM212" i="21"/>
  <c r="AN212" i="21" s="1"/>
  <c r="AS212" i="21" s="1"/>
  <c r="AQ229" i="21"/>
  <c r="AP229" i="21"/>
  <c r="AM229" i="21"/>
  <c r="AN229" i="21" s="1"/>
  <c r="AS229" i="21" s="1"/>
  <c r="AQ228" i="21"/>
  <c r="AP228" i="21"/>
  <c r="AM228" i="21"/>
  <c r="AN228" i="21" s="1"/>
  <c r="AS228" i="21" s="1"/>
  <c r="AQ530" i="21"/>
  <c r="AP530" i="21"/>
  <c r="AM530" i="21"/>
  <c r="AN530" i="21" s="1"/>
  <c r="AS530" i="21" s="1"/>
  <c r="AQ191" i="21"/>
  <c r="AP191" i="21"/>
  <c r="AM191" i="21"/>
  <c r="AN191" i="21" s="1"/>
  <c r="AS191" i="21" s="1"/>
  <c r="AQ207" i="21"/>
  <c r="AP207" i="21"/>
  <c r="AM207" i="21"/>
  <c r="AN207" i="21" s="1"/>
  <c r="AS207" i="21" s="1"/>
  <c r="AQ300" i="21"/>
  <c r="AP300" i="21"/>
  <c r="AM300" i="21"/>
  <c r="AN300" i="21" s="1"/>
  <c r="AS300" i="21" s="1"/>
  <c r="AQ289" i="21"/>
  <c r="AP289" i="21"/>
  <c r="AM289" i="21"/>
  <c r="AN289" i="21" s="1"/>
  <c r="AS289" i="21" s="1"/>
  <c r="AQ259" i="21"/>
  <c r="AP259" i="21"/>
  <c r="AM259" i="21"/>
  <c r="AN259" i="21" s="1"/>
  <c r="AS259" i="21" s="1"/>
  <c r="AQ167" i="21"/>
  <c r="AP167" i="21"/>
  <c r="AM167" i="21"/>
  <c r="AN167" i="21" s="1"/>
  <c r="AS167" i="21" s="1"/>
  <c r="AQ268" i="21"/>
  <c r="AP268" i="21"/>
  <c r="AM268" i="21"/>
  <c r="AN268" i="21" s="1"/>
  <c r="AS268" i="21" s="1"/>
  <c r="AQ170" i="21"/>
  <c r="AP170" i="21"/>
  <c r="AM170" i="21"/>
  <c r="AN170" i="21" s="1"/>
  <c r="AS170" i="21" s="1"/>
  <c r="AQ241" i="21"/>
  <c r="AP241" i="21"/>
  <c r="AM241" i="21"/>
  <c r="AN241" i="21" s="1"/>
  <c r="AS241" i="21" s="1"/>
  <c r="AQ378" i="21"/>
  <c r="AP378" i="21"/>
  <c r="AM378" i="21"/>
  <c r="AN378" i="21" s="1"/>
  <c r="AS378" i="21" s="1"/>
  <c r="AQ304" i="21"/>
  <c r="AP304" i="21"/>
  <c r="AM304" i="21"/>
  <c r="AN304" i="21" s="1"/>
  <c r="AS304" i="21" s="1"/>
  <c r="AQ344" i="21"/>
  <c r="AP344" i="21"/>
  <c r="AM344" i="21"/>
  <c r="AN344" i="21" s="1"/>
  <c r="AS344" i="21" s="1"/>
  <c r="AQ352" i="21"/>
  <c r="AP352" i="21"/>
  <c r="AM352" i="21"/>
  <c r="AN352" i="21" s="1"/>
  <c r="AS352" i="21" s="1"/>
  <c r="AQ307" i="21"/>
  <c r="AP307" i="21"/>
  <c r="AM307" i="21"/>
  <c r="AN307" i="21" s="1"/>
  <c r="AS307" i="21" s="1"/>
  <c r="AQ339" i="21"/>
  <c r="AP339" i="21"/>
  <c r="AM339" i="21"/>
  <c r="AN339" i="21" s="1"/>
  <c r="AS339" i="21" s="1"/>
  <c r="AQ399" i="21"/>
  <c r="AP399" i="21"/>
  <c r="AM399" i="21"/>
  <c r="AN399" i="21" s="1"/>
  <c r="AS399" i="21" s="1"/>
  <c r="BT85" i="21"/>
  <c r="AQ85" i="21"/>
  <c r="AP85" i="21"/>
  <c r="AM85" i="21"/>
  <c r="AN85" i="21" s="1"/>
  <c r="AS85" i="21" s="1"/>
  <c r="AQ189" i="21"/>
  <c r="AP189" i="21"/>
  <c r="AM189" i="21"/>
  <c r="AN189" i="21" s="1"/>
  <c r="AS189" i="21" s="1"/>
  <c r="AQ389" i="21"/>
  <c r="AP389" i="21"/>
  <c r="AM389" i="21"/>
  <c r="AN389" i="21" s="1"/>
  <c r="AS389" i="21" s="1"/>
  <c r="AQ285" i="21"/>
  <c r="AP285" i="21"/>
  <c r="AM285" i="21"/>
  <c r="AN285" i="21" s="1"/>
  <c r="AS285" i="21" s="1"/>
  <c r="AQ84" i="21"/>
  <c r="AP84" i="21"/>
  <c r="AM84" i="21"/>
  <c r="AN84" i="21" s="1"/>
  <c r="AS84" i="21" s="1"/>
  <c r="AQ195" i="21"/>
  <c r="AP195" i="21"/>
  <c r="AM195" i="21"/>
  <c r="AN195" i="21" s="1"/>
  <c r="AS195" i="21" s="1"/>
  <c r="AQ83" i="21"/>
  <c r="AP83" i="21"/>
  <c r="AM83" i="21"/>
  <c r="AN83" i="21" s="1"/>
  <c r="AS83" i="21" s="1"/>
  <c r="AQ248" i="21"/>
  <c r="AP248" i="21"/>
  <c r="AM248" i="21"/>
  <c r="AN248" i="21" s="1"/>
  <c r="AS248" i="21" s="1"/>
  <c r="AQ215" i="21"/>
  <c r="AP215" i="21"/>
  <c r="AM215" i="21"/>
  <c r="AN215" i="21" s="1"/>
  <c r="AS215" i="21" s="1"/>
  <c r="AQ284" i="21"/>
  <c r="AP284" i="21"/>
  <c r="AM284" i="21"/>
  <c r="AN284" i="21" s="1"/>
  <c r="AS284" i="21" s="1"/>
  <c r="AQ347" i="21"/>
  <c r="AP347" i="21"/>
  <c r="AM347" i="21"/>
  <c r="AN347" i="21" s="1"/>
  <c r="AS347" i="21" s="1"/>
  <c r="AQ82" i="21"/>
  <c r="AP82" i="21"/>
  <c r="AM82" i="21"/>
  <c r="AN82" i="21" s="1"/>
  <c r="AS82" i="21" s="1"/>
  <c r="AQ206" i="21"/>
  <c r="AP206" i="21"/>
  <c r="AM206" i="21"/>
  <c r="AN206" i="21" s="1"/>
  <c r="AS206" i="21" s="1"/>
  <c r="AQ81" i="21"/>
  <c r="AP81" i="21"/>
  <c r="AM81" i="21"/>
  <c r="AN81" i="21" s="1"/>
  <c r="AS81" i="21" s="1"/>
  <c r="AQ187" i="21"/>
  <c r="AP187" i="21"/>
  <c r="AM187" i="21"/>
  <c r="AN187" i="21" s="1"/>
  <c r="AS187" i="21" s="1"/>
  <c r="AQ287" i="21"/>
  <c r="AP287" i="21"/>
  <c r="AM287" i="21"/>
  <c r="AN287" i="21" s="1"/>
  <c r="AS287" i="21" s="1"/>
  <c r="AQ250" i="21"/>
  <c r="AP250" i="21"/>
  <c r="AM250" i="21"/>
  <c r="AN250" i="21" s="1"/>
  <c r="AS250" i="21" s="1"/>
  <c r="AQ341" i="21"/>
  <c r="AP341" i="21"/>
  <c r="AM341" i="21"/>
  <c r="AN341" i="21" s="1"/>
  <c r="AS341" i="21" s="1"/>
  <c r="AQ375" i="21"/>
  <c r="AP375" i="21"/>
  <c r="AM375" i="21"/>
  <c r="AN375" i="21" s="1"/>
  <c r="AS375" i="21" s="1"/>
  <c r="AQ363" i="21"/>
  <c r="AP363" i="21"/>
  <c r="AM363" i="21"/>
  <c r="AN363" i="21" s="1"/>
  <c r="AS363" i="21" s="1"/>
  <c r="AQ205" i="21"/>
  <c r="AP205" i="21"/>
  <c r="AM205" i="21"/>
  <c r="AN205" i="21" s="1"/>
  <c r="AS205" i="21" s="1"/>
  <c r="AQ227" i="21"/>
  <c r="AP227" i="21"/>
  <c r="AM227" i="21"/>
  <c r="AN227" i="21" s="1"/>
  <c r="AS227" i="21" s="1"/>
  <c r="AQ231" i="21"/>
  <c r="AP231" i="21"/>
  <c r="AM231" i="21"/>
  <c r="AN231" i="21" s="1"/>
  <c r="AS231" i="21" s="1"/>
  <c r="AQ411" i="21"/>
  <c r="AP411" i="21"/>
  <c r="AM411" i="21"/>
  <c r="AN411" i="21" s="1"/>
  <c r="AS411" i="21" s="1"/>
  <c r="AQ180" i="21"/>
  <c r="AP180" i="21"/>
  <c r="AM180" i="21"/>
  <c r="AN180" i="21" s="1"/>
  <c r="AS180" i="21" s="1"/>
  <c r="BT80" i="21"/>
  <c r="AQ80" i="21"/>
  <c r="AP80" i="21"/>
  <c r="AM80" i="21"/>
  <c r="AN80" i="21" s="1"/>
  <c r="AS80" i="21" s="1"/>
  <c r="BT79" i="21"/>
  <c r="AQ79" i="21"/>
  <c r="AP79" i="21"/>
  <c r="AM79" i="21"/>
  <c r="AN79" i="21" s="1"/>
  <c r="AS79" i="21" s="1"/>
  <c r="AQ202" i="21"/>
  <c r="AP202" i="21"/>
  <c r="AM202" i="21"/>
  <c r="AN202" i="21" s="1"/>
  <c r="AS202" i="21" s="1"/>
  <c r="AQ168" i="21"/>
  <c r="AP168" i="21"/>
  <c r="AM168" i="21"/>
  <c r="AN168" i="21" s="1"/>
  <c r="AS168" i="21" s="1"/>
  <c r="AQ436" i="21"/>
  <c r="AP436" i="21"/>
  <c r="AM436" i="21"/>
  <c r="AN436" i="21" s="1"/>
  <c r="AS436" i="21" s="1"/>
  <c r="AQ226" i="21"/>
  <c r="AP226" i="21"/>
  <c r="AM226" i="21"/>
  <c r="AN226" i="21" s="1"/>
  <c r="AS226" i="21" s="1"/>
  <c r="AQ443" i="21"/>
  <c r="AP443" i="21"/>
  <c r="AM443" i="21"/>
  <c r="AN443" i="21" s="1"/>
  <c r="AS443" i="21" s="1"/>
  <c r="AQ78" i="21"/>
  <c r="AP78" i="21"/>
  <c r="AL78" i="21"/>
  <c r="AK78" i="21"/>
  <c r="AJ78" i="21"/>
  <c r="AI78" i="21"/>
  <c r="AH78" i="21"/>
  <c r="AG78" i="21"/>
  <c r="AQ394" i="21"/>
  <c r="AP394" i="21"/>
  <c r="AM394" i="21"/>
  <c r="AN394" i="21" s="1"/>
  <c r="AS394" i="21" s="1"/>
  <c r="AQ441" i="21"/>
  <c r="AP441" i="21"/>
  <c r="AM441" i="21"/>
  <c r="AN441" i="21" s="1"/>
  <c r="AS441" i="21" s="1"/>
  <c r="AQ396" i="21"/>
  <c r="AP396" i="21"/>
  <c r="AM396" i="21"/>
  <c r="AN396" i="21" s="1"/>
  <c r="AS396" i="21" s="1"/>
  <c r="AQ408" i="21"/>
  <c r="AP408" i="21"/>
  <c r="AM408" i="21"/>
  <c r="AN408" i="21" s="1"/>
  <c r="AS408" i="21" s="1"/>
  <c r="AQ451" i="21"/>
  <c r="AP451" i="21"/>
  <c r="AM451" i="21"/>
  <c r="AN451" i="21" s="1"/>
  <c r="AS451" i="21" s="1"/>
  <c r="BT77" i="21"/>
  <c r="AQ77" i="21"/>
  <c r="AP77" i="21"/>
  <c r="AM77" i="21"/>
  <c r="AN77" i="21" s="1"/>
  <c r="AS77" i="21" s="1"/>
  <c r="AQ524" i="21"/>
  <c r="AP524" i="21"/>
  <c r="AM524" i="21"/>
  <c r="AN524" i="21" s="1"/>
  <c r="AS524" i="21" s="1"/>
  <c r="AQ76" i="21"/>
  <c r="AP76" i="21"/>
  <c r="AM76" i="21"/>
  <c r="AN76" i="21" s="1"/>
  <c r="AS76" i="21" s="1"/>
  <c r="AQ75" i="21"/>
  <c r="AP75" i="21"/>
  <c r="AM75" i="21"/>
  <c r="AN75" i="21" s="1"/>
  <c r="AS75" i="21" s="1"/>
  <c r="AQ453" i="21"/>
  <c r="AP453" i="21"/>
  <c r="AM453" i="21"/>
  <c r="AN453" i="21" s="1"/>
  <c r="AS453" i="21" s="1"/>
  <c r="AQ515" i="21"/>
  <c r="AP515" i="21"/>
  <c r="AM515" i="21"/>
  <c r="AN515" i="21" s="1"/>
  <c r="AS515" i="21" s="1"/>
  <c r="AQ511" i="21"/>
  <c r="AP511" i="21"/>
  <c r="AM511" i="21"/>
  <c r="AN511" i="21" s="1"/>
  <c r="AS511" i="21" s="1"/>
  <c r="AQ233" i="21"/>
  <c r="AP233" i="21"/>
  <c r="AM233" i="21"/>
  <c r="AN233" i="21" s="1"/>
  <c r="AS233" i="21" s="1"/>
  <c r="AQ384" i="21"/>
  <c r="AP384" i="21"/>
  <c r="AM384" i="21"/>
  <c r="AN384" i="21" s="1"/>
  <c r="AS384" i="21" s="1"/>
  <c r="AQ272" i="21"/>
  <c r="AP272" i="21"/>
  <c r="AM272" i="21"/>
  <c r="AN272" i="21" s="1"/>
  <c r="AS272" i="21" s="1"/>
  <c r="AQ258" i="21"/>
  <c r="AP258" i="21"/>
  <c r="AM258" i="21"/>
  <c r="AN258" i="21" s="1"/>
  <c r="AS258" i="21" s="1"/>
  <c r="AQ264" i="21"/>
  <c r="AP264" i="21"/>
  <c r="AM264" i="21"/>
  <c r="AN264" i="21" s="1"/>
  <c r="AS264" i="21" s="1"/>
  <c r="AQ350" i="21"/>
  <c r="AP350" i="21"/>
  <c r="AM350" i="21"/>
  <c r="AN350" i="21" s="1"/>
  <c r="AS350" i="21" s="1"/>
  <c r="AQ323" i="21"/>
  <c r="AP323" i="21"/>
  <c r="AM323" i="21"/>
  <c r="AN323" i="21" s="1"/>
  <c r="AS323" i="21" s="1"/>
  <c r="AQ359" i="21"/>
  <c r="AP359" i="21"/>
  <c r="AM359" i="21"/>
  <c r="AN359" i="21" s="1"/>
  <c r="AS359" i="21" s="1"/>
  <c r="AQ271" i="21"/>
  <c r="AP271" i="21"/>
  <c r="AM271" i="21"/>
  <c r="AN271" i="21" s="1"/>
  <c r="AS271" i="21" s="1"/>
  <c r="AQ321" i="21"/>
  <c r="AP321" i="21"/>
  <c r="AM321" i="21"/>
  <c r="AN321" i="21" s="1"/>
  <c r="AS321" i="21" s="1"/>
  <c r="AQ355" i="21"/>
  <c r="AP355" i="21"/>
  <c r="AM355" i="21"/>
  <c r="AN355" i="21" s="1"/>
  <c r="AS355" i="21" s="1"/>
  <c r="AQ309" i="21"/>
  <c r="AP309" i="21"/>
  <c r="AM309" i="21"/>
  <c r="AN309" i="21" s="1"/>
  <c r="AS309" i="21" s="1"/>
  <c r="AQ312" i="21"/>
  <c r="AP312" i="21"/>
  <c r="AM312" i="21"/>
  <c r="AN312" i="21" s="1"/>
  <c r="AS312" i="21" s="1"/>
  <c r="AQ214" i="21"/>
  <c r="AP214" i="21"/>
  <c r="AM214" i="21"/>
  <c r="AN214" i="21" s="1"/>
  <c r="AS214" i="21" s="1"/>
  <c r="AQ179" i="21"/>
  <c r="AP179" i="21"/>
  <c r="AM179" i="21"/>
  <c r="AN179" i="21" s="1"/>
  <c r="AS179" i="21" s="1"/>
  <c r="AQ216" i="21"/>
  <c r="AP216" i="21"/>
  <c r="AM216" i="21"/>
  <c r="AN216" i="21" s="1"/>
  <c r="AS216" i="21" s="1"/>
  <c r="AQ498" i="21"/>
  <c r="AP498" i="21"/>
  <c r="AM498" i="21"/>
  <c r="AN498" i="21" s="1"/>
  <c r="AS498" i="21" s="1"/>
  <c r="AQ388" i="21"/>
  <c r="AP388" i="21"/>
  <c r="AM388" i="21"/>
  <c r="AN388" i="21" s="1"/>
  <c r="AS388" i="21" s="1"/>
  <c r="AQ503" i="21"/>
  <c r="AP503" i="21"/>
  <c r="AM503" i="21"/>
  <c r="AN503" i="21" s="1"/>
  <c r="AS503" i="21" s="1"/>
  <c r="AQ335" i="21"/>
  <c r="AP335" i="21"/>
  <c r="AM335" i="21"/>
  <c r="AN335" i="21" s="1"/>
  <c r="AS335" i="21" s="1"/>
  <c r="AQ416" i="21"/>
  <c r="AP416" i="21"/>
  <c r="AM416" i="21"/>
  <c r="AN416" i="21" s="1"/>
  <c r="AS416" i="21" s="1"/>
  <c r="AQ504" i="21"/>
  <c r="AP504" i="21"/>
  <c r="AM504" i="21"/>
  <c r="AN504" i="21" s="1"/>
  <c r="AS504" i="21" s="1"/>
  <c r="AQ497" i="21"/>
  <c r="AP497" i="21"/>
  <c r="AM497" i="21"/>
  <c r="AN497" i="21" s="1"/>
  <c r="AS497" i="21" s="1"/>
  <c r="BT479" i="21"/>
  <c r="AQ479" i="21"/>
  <c r="AP479" i="21"/>
  <c r="AM479" i="21"/>
  <c r="AN479" i="21" s="1"/>
  <c r="AS479" i="21" s="1"/>
  <c r="AQ481" i="21"/>
  <c r="AP481" i="21"/>
  <c r="AM481" i="21"/>
  <c r="AN481" i="21" s="1"/>
  <c r="AS481" i="21" s="1"/>
  <c r="AQ505" i="21"/>
  <c r="AP505" i="21"/>
  <c r="AM505" i="21"/>
  <c r="AN505" i="21" s="1"/>
  <c r="AS505" i="21" s="1"/>
  <c r="AQ194" i="21"/>
  <c r="AP194" i="21"/>
  <c r="AM194" i="21"/>
  <c r="AN194" i="21" s="1"/>
  <c r="AS194" i="21" s="1"/>
  <c r="AQ174" i="21"/>
  <c r="AP174" i="21"/>
  <c r="AM174" i="21"/>
  <c r="AN174" i="21" s="1"/>
  <c r="AS174" i="21" s="1"/>
  <c r="AQ462" i="21"/>
  <c r="AP462" i="21"/>
  <c r="AM462" i="21"/>
  <c r="AN462" i="21" s="1"/>
  <c r="AS462" i="21" s="1"/>
  <c r="AQ433" i="21"/>
  <c r="AP433" i="21"/>
  <c r="AM433" i="21"/>
  <c r="AN433" i="21" s="1"/>
  <c r="AS433" i="21" s="1"/>
  <c r="AQ235" i="21"/>
  <c r="AP235" i="21"/>
  <c r="AM235" i="21"/>
  <c r="AN235" i="21" s="1"/>
  <c r="AS235" i="21" s="1"/>
  <c r="BT172" i="21"/>
  <c r="AQ172" i="21"/>
  <c r="AP172" i="21"/>
  <c r="AM172" i="21"/>
  <c r="AN172" i="21" s="1"/>
  <c r="AS172" i="21" s="1"/>
  <c r="BT176" i="21"/>
  <c r="AQ176" i="21"/>
  <c r="AP176" i="21"/>
  <c r="AM176" i="21"/>
  <c r="AN176" i="21" s="1"/>
  <c r="AS176" i="21" s="1"/>
  <c r="AQ74" i="21"/>
  <c r="AP74" i="21"/>
  <c r="AM74" i="21"/>
  <c r="AN74" i="21" s="1"/>
  <c r="AS74" i="21" s="1"/>
  <c r="BT73" i="21"/>
  <c r="AQ73" i="21"/>
  <c r="AP73" i="21"/>
  <c r="AM73" i="21"/>
  <c r="AN73" i="21" s="1"/>
  <c r="AS73" i="21" s="1"/>
  <c r="BT72" i="21"/>
  <c r="AQ72" i="21"/>
  <c r="AP72" i="21"/>
  <c r="AL72" i="21"/>
  <c r="AK72" i="21"/>
  <c r="AJ72" i="21"/>
  <c r="AI72" i="21"/>
  <c r="AH72" i="21"/>
  <c r="AG72" i="21"/>
  <c r="AQ71" i="21"/>
  <c r="AP71" i="21"/>
  <c r="AM71" i="21"/>
  <c r="AN71" i="21" s="1"/>
  <c r="AS71" i="21" s="1"/>
  <c r="AQ493" i="21"/>
  <c r="AP493" i="21"/>
  <c r="AM493" i="21"/>
  <c r="AN493" i="21" s="1"/>
  <c r="AS493" i="21" s="1"/>
  <c r="AQ495" i="21"/>
  <c r="AP495" i="21"/>
  <c r="AM495" i="21"/>
  <c r="AN495" i="21" s="1"/>
  <c r="AS495" i="21" s="1"/>
  <c r="BT164" i="21"/>
  <c r="AQ164" i="21"/>
  <c r="AP164" i="21"/>
  <c r="AM164" i="21"/>
  <c r="AN164" i="21" s="1"/>
  <c r="AS164" i="21" s="1"/>
  <c r="BT163" i="21"/>
  <c r="AQ163" i="21"/>
  <c r="AP163" i="21"/>
  <c r="AM163" i="21"/>
  <c r="AN163" i="21" s="1"/>
  <c r="AS163" i="21" s="1"/>
  <c r="AQ70" i="21"/>
  <c r="AP70" i="21"/>
  <c r="AM70" i="21"/>
  <c r="AN70" i="21" s="1"/>
  <c r="AS70" i="21" s="1"/>
  <c r="AQ279" i="21"/>
  <c r="AP279" i="21"/>
  <c r="AM279" i="21"/>
  <c r="AN279" i="21" s="1"/>
  <c r="AS279" i="21" s="1"/>
  <c r="AQ296" i="21"/>
  <c r="AP296" i="21"/>
  <c r="AM296" i="21"/>
  <c r="AN296" i="21" s="1"/>
  <c r="AS296" i="21" s="1"/>
  <c r="AQ69" i="21"/>
  <c r="AP69" i="21"/>
  <c r="AL69" i="21"/>
  <c r="AK69" i="21"/>
  <c r="AJ69" i="21"/>
  <c r="AI69" i="21"/>
  <c r="AH69" i="21"/>
  <c r="AG69" i="21"/>
  <c r="AQ68" i="21"/>
  <c r="AP68" i="21"/>
  <c r="AL68" i="21"/>
  <c r="AK68" i="21"/>
  <c r="AJ68" i="21"/>
  <c r="AQ348" i="21"/>
  <c r="AP348" i="21"/>
  <c r="AM348" i="21"/>
  <c r="AN348" i="21" s="1"/>
  <c r="AS348" i="21" s="1"/>
  <c r="BT67" i="21"/>
  <c r="AQ67" i="21"/>
  <c r="AP67" i="21"/>
  <c r="AL67" i="21"/>
  <c r="AK67" i="21"/>
  <c r="AJ67" i="21"/>
  <c r="AI67" i="21"/>
  <c r="AH67" i="21"/>
  <c r="AG67" i="21"/>
  <c r="BT66" i="21"/>
  <c r="AQ66" i="21"/>
  <c r="AP66" i="21"/>
  <c r="AM66" i="21"/>
  <c r="AN66" i="21" s="1"/>
  <c r="AS66" i="21" s="1"/>
  <c r="BT65" i="21"/>
  <c r="AQ65" i="21"/>
  <c r="AP65" i="21"/>
  <c r="AM65" i="21"/>
  <c r="AN65" i="21" s="1"/>
  <c r="AS65" i="21" s="1"/>
  <c r="AQ282" i="21"/>
  <c r="AP282" i="21"/>
  <c r="AM282" i="21"/>
  <c r="AN282" i="21" s="1"/>
  <c r="AS282" i="21" s="1"/>
  <c r="AQ412" i="21"/>
  <c r="AP412" i="21"/>
  <c r="AM412" i="21"/>
  <c r="AN412" i="21" s="1"/>
  <c r="AS412" i="21" s="1"/>
  <c r="AQ458" i="21"/>
  <c r="AP458" i="21"/>
  <c r="AM458" i="21"/>
  <c r="AN458" i="21" s="1"/>
  <c r="AS458" i="21" s="1"/>
  <c r="AQ510" i="21"/>
  <c r="AP510" i="21"/>
  <c r="AM510" i="21"/>
  <c r="AN510" i="21" s="1"/>
  <c r="AS510" i="21" s="1"/>
  <c r="AQ440" i="21"/>
  <c r="AP440" i="21"/>
  <c r="AM440" i="21"/>
  <c r="AN440" i="21" s="1"/>
  <c r="AS440" i="21" s="1"/>
  <c r="AQ64" i="21"/>
  <c r="AP64" i="21"/>
  <c r="AJ64" i="21"/>
  <c r="AM64" i="21" s="1"/>
  <c r="AN64" i="21" s="1"/>
  <c r="AS64" i="21" s="1"/>
  <c r="AQ63" i="21"/>
  <c r="AP63" i="21"/>
  <c r="AM63" i="21"/>
  <c r="AN63" i="21" s="1"/>
  <c r="AS63" i="21" s="1"/>
  <c r="AQ185" i="21"/>
  <c r="AP185" i="21"/>
  <c r="AL185" i="21"/>
  <c r="AK185" i="21"/>
  <c r="AJ185" i="21"/>
  <c r="AI185" i="21"/>
  <c r="AH185" i="21"/>
  <c r="AG185" i="21"/>
  <c r="AQ415" i="21"/>
  <c r="AP415" i="21"/>
  <c r="AM415" i="21"/>
  <c r="AN415" i="21" s="1"/>
  <c r="AS415" i="21" s="1"/>
  <c r="AQ316" i="21"/>
  <c r="AP316" i="21"/>
  <c r="AM316" i="21"/>
  <c r="AN316" i="21" s="1"/>
  <c r="AS316" i="21" s="1"/>
  <c r="BT62" i="21"/>
  <c r="AQ62" i="21"/>
  <c r="AP62" i="21"/>
  <c r="AL62" i="21"/>
  <c r="AK62" i="21"/>
  <c r="AJ62" i="21"/>
  <c r="AI62" i="21"/>
  <c r="AH62" i="21"/>
  <c r="AG62" i="21"/>
  <c r="BT61" i="21"/>
  <c r="AQ61" i="21"/>
  <c r="AP61" i="21"/>
  <c r="AL61" i="21"/>
  <c r="AK61" i="21"/>
  <c r="AJ61" i="21"/>
  <c r="AI61" i="21"/>
  <c r="AH61" i="21"/>
  <c r="AG61" i="21"/>
  <c r="BT60" i="21"/>
  <c r="AQ60" i="21"/>
  <c r="AP60" i="21"/>
  <c r="AL60" i="21"/>
  <c r="AK60" i="21"/>
  <c r="AJ60" i="21"/>
  <c r="AI60" i="21"/>
  <c r="AH60" i="21"/>
  <c r="AG60" i="21"/>
  <c r="AQ354" i="21"/>
  <c r="AP354" i="21"/>
  <c r="AM354" i="21"/>
  <c r="AN354" i="21" s="1"/>
  <c r="AS354" i="21" s="1"/>
  <c r="AQ225" i="21"/>
  <c r="AP225" i="21"/>
  <c r="AM225" i="21"/>
  <c r="AN225" i="21" s="1"/>
  <c r="AS225" i="21" s="1"/>
  <c r="AQ224" i="21"/>
  <c r="AP224" i="21"/>
  <c r="AM224" i="21"/>
  <c r="AN224" i="21" s="1"/>
  <c r="AS224" i="21" s="1"/>
  <c r="AQ464" i="21"/>
  <c r="AP464" i="21"/>
  <c r="AM464" i="21"/>
  <c r="AN464" i="21" s="1"/>
  <c r="AS464" i="21" s="1"/>
  <c r="AQ471" i="21"/>
  <c r="AP471" i="21"/>
  <c r="AM471" i="21"/>
  <c r="AN471" i="21" s="1"/>
  <c r="AS471" i="21" s="1"/>
  <c r="AQ232" i="21"/>
  <c r="AP232" i="21"/>
  <c r="AM232" i="21"/>
  <c r="AN232" i="21" s="1"/>
  <c r="AS232" i="21" s="1"/>
  <c r="AQ409" i="21"/>
  <c r="AP409" i="21"/>
  <c r="AM409" i="21"/>
  <c r="AN409" i="21" s="1"/>
  <c r="AS409" i="21" s="1"/>
  <c r="AQ275" i="21"/>
  <c r="AP275" i="21"/>
  <c r="AM275" i="21"/>
  <c r="AN275" i="21" s="1"/>
  <c r="AS275" i="21" s="1"/>
  <c r="AQ218" i="21"/>
  <c r="AP218" i="21"/>
  <c r="AM218" i="21"/>
  <c r="AN218" i="21" s="1"/>
  <c r="AS218" i="21" s="1"/>
  <c r="AQ395" i="21"/>
  <c r="AP395" i="21"/>
  <c r="AM395" i="21"/>
  <c r="AN395" i="21" s="1"/>
  <c r="AS395" i="21" s="1"/>
  <c r="AQ342" i="21"/>
  <c r="AP342" i="21"/>
  <c r="AM342" i="21"/>
  <c r="AN342" i="21" s="1"/>
  <c r="AS342" i="21" s="1"/>
  <c r="AQ370" i="21"/>
  <c r="AP370" i="21"/>
  <c r="AM370" i="21"/>
  <c r="AN370" i="21" s="1"/>
  <c r="AS370" i="21" s="1"/>
  <c r="AQ398" i="21"/>
  <c r="AP398" i="21"/>
  <c r="AM398" i="21"/>
  <c r="AN398" i="21" s="1"/>
  <c r="AS398" i="21" s="1"/>
  <c r="AQ371" i="21"/>
  <c r="AP371" i="21"/>
  <c r="AM371" i="21"/>
  <c r="AN371" i="21" s="1"/>
  <c r="AS371" i="21" s="1"/>
  <c r="AQ198" i="21"/>
  <c r="AP198" i="21"/>
  <c r="AM198" i="21"/>
  <c r="AN198" i="21" s="1"/>
  <c r="AS198" i="21" s="1"/>
  <c r="AQ217" i="21"/>
  <c r="AP217" i="21"/>
  <c r="AM217" i="21"/>
  <c r="AN217" i="21" s="1"/>
  <c r="AS217" i="21" s="1"/>
  <c r="AQ438" i="21"/>
  <c r="AP438" i="21"/>
  <c r="AM438" i="21"/>
  <c r="AN438" i="21" s="1"/>
  <c r="AS438" i="21" s="1"/>
  <c r="AQ448" i="21"/>
  <c r="AP448" i="21"/>
  <c r="AM448" i="21"/>
  <c r="AN448" i="21" s="1"/>
  <c r="AS448" i="21" s="1"/>
  <c r="AQ372" i="21"/>
  <c r="AP372" i="21"/>
  <c r="AM372" i="21"/>
  <c r="AN372" i="21" s="1"/>
  <c r="AS372" i="21" s="1"/>
  <c r="AQ417" i="21"/>
  <c r="AP417" i="21"/>
  <c r="AM417" i="21"/>
  <c r="AN417" i="21" s="1"/>
  <c r="AS417" i="21" s="1"/>
  <c r="AQ245" i="21"/>
  <c r="AP245" i="21"/>
  <c r="AM245" i="21"/>
  <c r="AN245" i="21" s="1"/>
  <c r="AS245" i="21" s="1"/>
  <c r="AQ59" i="21"/>
  <c r="AP59" i="21"/>
  <c r="AM59" i="21"/>
  <c r="AN59" i="21" s="1"/>
  <c r="AS59" i="21" s="1"/>
  <c r="AQ418" i="21"/>
  <c r="AP418" i="21"/>
  <c r="AM418" i="21"/>
  <c r="AN418" i="21" s="1"/>
  <c r="AS418" i="21" s="1"/>
  <c r="AQ435" i="21"/>
  <c r="AP435" i="21"/>
  <c r="AM435" i="21"/>
  <c r="AN435" i="21" s="1"/>
  <c r="AS435" i="21" s="1"/>
  <c r="AQ473" i="21"/>
  <c r="AP473" i="21"/>
  <c r="AM473" i="21"/>
  <c r="AN473" i="21" s="1"/>
  <c r="AS473" i="21" s="1"/>
  <c r="AQ484" i="21"/>
  <c r="AP484" i="21"/>
  <c r="AM484" i="21"/>
  <c r="AN484" i="21" s="1"/>
  <c r="AS484" i="21" s="1"/>
  <c r="AQ329" i="21"/>
  <c r="AP329" i="21"/>
  <c r="AM329" i="21"/>
  <c r="AN329" i="21" s="1"/>
  <c r="AS329" i="21" s="1"/>
  <c r="BT162" i="21"/>
  <c r="AQ162" i="21"/>
  <c r="AP162" i="21"/>
  <c r="AM162" i="21"/>
  <c r="AN162" i="21" s="1"/>
  <c r="AS162" i="21" s="1"/>
  <c r="BT161" i="21"/>
  <c r="AQ161" i="21"/>
  <c r="AP161" i="21"/>
  <c r="AM161" i="21"/>
  <c r="AN161" i="21" s="1"/>
  <c r="AS161" i="21" s="1"/>
  <c r="AQ528" i="21"/>
  <c r="AP528" i="21"/>
  <c r="AK528" i="21"/>
  <c r="AJ528" i="21"/>
  <c r="AH528" i="21"/>
  <c r="AG528" i="21"/>
  <c r="AM528" i="21" s="1"/>
  <c r="AN528" i="21" s="1"/>
  <c r="AS528" i="21" s="1"/>
  <c r="AQ263" i="21"/>
  <c r="AP263" i="21"/>
  <c r="AM263" i="21"/>
  <c r="AN263" i="21" s="1"/>
  <c r="AS263" i="21" s="1"/>
  <c r="AQ369" i="21"/>
  <c r="AP369" i="21"/>
  <c r="AM369" i="21"/>
  <c r="AN369" i="21" s="1"/>
  <c r="AS369" i="21" s="1"/>
  <c r="AQ293" i="21"/>
  <c r="AP293" i="21"/>
  <c r="AM293" i="21"/>
  <c r="AN293" i="21" s="1"/>
  <c r="AS293" i="21" s="1"/>
  <c r="AQ392" i="21"/>
  <c r="AP392" i="21"/>
  <c r="AM392" i="21"/>
  <c r="AN392" i="21" s="1"/>
  <c r="AS392" i="21" s="1"/>
  <c r="AQ58" i="21"/>
  <c r="AP58" i="21"/>
  <c r="AM58" i="21"/>
  <c r="AN58" i="21" s="1"/>
  <c r="AS58" i="21" s="1"/>
  <c r="AQ57" i="21"/>
  <c r="AP57" i="21"/>
  <c r="AL57" i="21"/>
  <c r="AK57" i="21"/>
  <c r="AJ57" i="21"/>
  <c r="AI57" i="21"/>
  <c r="AH57" i="21"/>
  <c r="AG57" i="21"/>
  <c r="AQ56" i="21"/>
  <c r="AP56" i="21"/>
  <c r="AL56" i="21"/>
  <c r="AK56" i="21"/>
  <c r="AJ56" i="21"/>
  <c r="AI56" i="21"/>
  <c r="AH56" i="21"/>
  <c r="AG56" i="21"/>
  <c r="AQ223" i="21"/>
  <c r="AP223" i="21"/>
  <c r="AM223" i="21"/>
  <c r="AN223" i="21" s="1"/>
  <c r="AS223" i="21" s="1"/>
  <c r="AQ55" i="21"/>
  <c r="AP55" i="21"/>
  <c r="AM55" i="21"/>
  <c r="AN55" i="21" s="1"/>
  <c r="AS55" i="21" s="1"/>
  <c r="AQ244" i="21"/>
  <c r="AP244" i="21"/>
  <c r="AM244" i="21"/>
  <c r="AN244" i="21" s="1"/>
  <c r="AS244" i="21" s="1"/>
  <c r="AQ349" i="21"/>
  <c r="AP349" i="21"/>
  <c r="AM349" i="21"/>
  <c r="AN349" i="21" s="1"/>
  <c r="AS349" i="21" s="1"/>
  <c r="AQ328" i="21"/>
  <c r="AP328" i="21"/>
  <c r="AM328" i="21"/>
  <c r="AN328" i="21" s="1"/>
  <c r="AS328" i="21" s="1"/>
  <c r="AQ400" i="21"/>
  <c r="AP400" i="21"/>
  <c r="AM400" i="21"/>
  <c r="AN400" i="21" s="1"/>
  <c r="AS400" i="21" s="1"/>
  <c r="AQ361" i="21"/>
  <c r="AP361" i="21"/>
  <c r="AM361" i="21"/>
  <c r="AN361" i="21" s="1"/>
  <c r="AQ291" i="21"/>
  <c r="AP291" i="21"/>
  <c r="AM291" i="21"/>
  <c r="AN291" i="21" s="1"/>
  <c r="AS291" i="21" s="1"/>
  <c r="AQ422" i="21"/>
  <c r="AP422" i="21"/>
  <c r="AM422" i="21"/>
  <c r="AN422" i="21" s="1"/>
  <c r="AS422" i="21" s="1"/>
  <c r="AQ413" i="21"/>
  <c r="AP413" i="21"/>
  <c r="AL413" i="21"/>
  <c r="AK413" i="21"/>
  <c r="AJ413" i="21"/>
  <c r="AI413" i="21"/>
  <c r="AH413" i="21"/>
  <c r="AG413" i="21"/>
  <c r="AQ381" i="21"/>
  <c r="AP381" i="21"/>
  <c r="AM381" i="21"/>
  <c r="AN381" i="21" s="1"/>
  <c r="AS381" i="21" s="1"/>
  <c r="AQ313" i="21"/>
  <c r="AP313" i="21"/>
  <c r="AM313" i="21"/>
  <c r="AN313" i="21" s="1"/>
  <c r="AS313" i="21" s="1"/>
  <c r="AQ201" i="21"/>
  <c r="AP201" i="21"/>
  <c r="AM201" i="21"/>
  <c r="AN201" i="21" s="1"/>
  <c r="AS201" i="21" s="1"/>
  <c r="AQ410" i="21"/>
  <c r="AP410" i="21"/>
  <c r="AM410" i="21"/>
  <c r="AN410" i="21" s="1"/>
  <c r="AS410" i="21" s="1"/>
  <c r="AQ430" i="21"/>
  <c r="AP430" i="21"/>
  <c r="AM430" i="21"/>
  <c r="AN430" i="21" s="1"/>
  <c r="AS430" i="21" s="1"/>
  <c r="AQ18" i="21"/>
  <c r="AP18" i="21"/>
  <c r="AN18" i="21"/>
  <c r="AS18" i="21" s="1"/>
  <c r="AQ199" i="21"/>
  <c r="AP199" i="21"/>
  <c r="AM199" i="21"/>
  <c r="AN199" i="21" s="1"/>
  <c r="AS199" i="21" s="1"/>
  <c r="AQ465" i="21"/>
  <c r="AP465" i="21"/>
  <c r="AM465" i="21"/>
  <c r="AN465" i="21" s="1"/>
  <c r="AS465" i="21" s="1"/>
  <c r="AQ360" i="21"/>
  <c r="AP360" i="21"/>
  <c r="AM360" i="21"/>
  <c r="AN360" i="21" s="1"/>
  <c r="AS360" i="21" s="1"/>
  <c r="AQ377" i="21"/>
  <c r="AP377" i="21"/>
  <c r="AM377" i="21"/>
  <c r="AN377" i="21" s="1"/>
  <c r="AS377" i="21" s="1"/>
  <c r="BT54" i="21"/>
  <c r="AQ54" i="21"/>
  <c r="AP54" i="21"/>
  <c r="AM54" i="21"/>
  <c r="AN54" i="21" s="1"/>
  <c r="AS54" i="21" s="1"/>
  <c r="AQ242" i="21"/>
  <c r="AP242" i="21"/>
  <c r="AM242" i="21"/>
  <c r="AN242" i="21" s="1"/>
  <c r="AS242" i="21" s="1"/>
  <c r="AQ262" i="21"/>
  <c r="AP262" i="21"/>
  <c r="AM262" i="21"/>
  <c r="AN262" i="21" s="1"/>
  <c r="AS262" i="21" s="1"/>
  <c r="BT160" i="21"/>
  <c r="AQ160" i="21"/>
  <c r="AP160" i="21"/>
  <c r="AJ160" i="21"/>
  <c r="AM160" i="21" s="1"/>
  <c r="AN160" i="21" s="1"/>
  <c r="AS160" i="21" s="1"/>
  <c r="BT159" i="21"/>
  <c r="AQ159" i="21"/>
  <c r="AP159" i="21"/>
  <c r="AJ159" i="21"/>
  <c r="AM159" i="21" s="1"/>
  <c r="AN159" i="21" s="1"/>
  <c r="AS159" i="21" s="1"/>
  <c r="AQ333" i="21"/>
  <c r="AP333" i="21"/>
  <c r="AM333" i="21"/>
  <c r="AN333" i="21" s="1"/>
  <c r="AS333" i="21" s="1"/>
  <c r="AQ331" i="21"/>
  <c r="AP331" i="21"/>
  <c r="AM331" i="21"/>
  <c r="AN331" i="21" s="1"/>
  <c r="AS331" i="21" s="1"/>
  <c r="BT397" i="21"/>
  <c r="AQ397" i="21"/>
  <c r="AP397" i="21"/>
  <c r="AM397" i="21"/>
  <c r="AN397" i="21" s="1"/>
  <c r="AS397" i="21" s="1"/>
  <c r="BT434" i="21"/>
  <c r="AQ434" i="21"/>
  <c r="AP434" i="21"/>
  <c r="AM434" i="21"/>
  <c r="AN434" i="21" s="1"/>
  <c r="AS434" i="21" s="1"/>
  <c r="AQ374" i="21"/>
  <c r="AP374" i="21"/>
  <c r="AM374" i="21"/>
  <c r="AN374" i="21" s="1"/>
  <c r="AS374" i="21" s="1"/>
  <c r="AQ376" i="21"/>
  <c r="AP376" i="21"/>
  <c r="AM376" i="21"/>
  <c r="AN376" i="21" s="1"/>
  <c r="AS376" i="21" s="1"/>
  <c r="AQ387" i="21"/>
  <c r="AP387" i="21"/>
  <c r="AM387" i="21"/>
  <c r="AN387" i="21" s="1"/>
  <c r="AS387" i="21" s="1"/>
  <c r="AQ330" i="21"/>
  <c r="AP330" i="21"/>
  <c r="AM330" i="21"/>
  <c r="AN330" i="21" s="1"/>
  <c r="AS330" i="21" s="1"/>
  <c r="AQ421" i="21"/>
  <c r="AP421" i="21"/>
  <c r="AM421" i="21"/>
  <c r="AN421" i="21" s="1"/>
  <c r="AS421" i="21" s="1"/>
  <c r="AQ325" i="21"/>
  <c r="AP325" i="21"/>
  <c r="AM325" i="21"/>
  <c r="AN325" i="21" s="1"/>
  <c r="AS325" i="21" s="1"/>
  <c r="AQ288" i="21"/>
  <c r="AP288" i="21"/>
  <c r="AM288" i="21"/>
  <c r="AN288" i="21" s="1"/>
  <c r="AS288" i="21" s="1"/>
  <c r="AQ266" i="21"/>
  <c r="AP266" i="21"/>
  <c r="AM266" i="21"/>
  <c r="AN266" i="21" s="1"/>
  <c r="AS266" i="21" s="1"/>
  <c r="AQ322" i="21"/>
  <c r="AP322" i="21"/>
  <c r="AM322" i="21"/>
  <c r="AN322" i="21" s="1"/>
  <c r="AS322" i="21" s="1"/>
  <c r="AQ379" i="21"/>
  <c r="AP379" i="21"/>
  <c r="AM379" i="21"/>
  <c r="AN379" i="21" s="1"/>
  <c r="AS379" i="21" s="1"/>
  <c r="AQ318" i="21"/>
  <c r="AP318" i="21"/>
  <c r="AM318" i="21"/>
  <c r="AN318" i="21" s="1"/>
  <c r="AS318" i="21" s="1"/>
  <c r="AQ246" i="21"/>
  <c r="AP246" i="21"/>
  <c r="AM246" i="21"/>
  <c r="AN246" i="21" s="1"/>
  <c r="AS246" i="21" s="1"/>
  <c r="AQ308" i="21"/>
  <c r="AP308" i="21"/>
  <c r="AM308" i="21"/>
  <c r="AN308" i="21" s="1"/>
  <c r="AS308" i="21" s="1"/>
  <c r="AQ463" i="21"/>
  <c r="AP463" i="21"/>
  <c r="AM463" i="21"/>
  <c r="AN463" i="21" s="1"/>
  <c r="AS463" i="21" s="1"/>
  <c r="AQ256" i="21"/>
  <c r="AP256" i="21"/>
  <c r="AM256" i="21"/>
  <c r="AN256" i="21" s="1"/>
  <c r="AS256" i="21" s="1"/>
  <c r="AQ267" i="21"/>
  <c r="AP267" i="21"/>
  <c r="AM267" i="21"/>
  <c r="AN267" i="21" s="1"/>
  <c r="AS267" i="21" s="1"/>
  <c r="AQ302" i="21"/>
  <c r="AP302" i="21"/>
  <c r="AM302" i="21"/>
  <c r="AN302" i="21" s="1"/>
  <c r="AS302" i="21" s="1"/>
  <c r="AQ391" i="21"/>
  <c r="AP391" i="21"/>
  <c r="AM391" i="21"/>
  <c r="AN391" i="21" s="1"/>
  <c r="AS391" i="21" s="1"/>
  <c r="AQ295" i="21"/>
  <c r="AP295" i="21"/>
  <c r="AM295" i="21"/>
  <c r="AN295" i="21" s="1"/>
  <c r="AS295" i="21" s="1"/>
  <c r="AQ340" i="21"/>
  <c r="AP340" i="21"/>
  <c r="AM340" i="21"/>
  <c r="AN340" i="21" s="1"/>
  <c r="AS340" i="21" s="1"/>
  <c r="BT53" i="21"/>
  <c r="AQ53" i="21"/>
  <c r="AP53" i="21"/>
  <c r="AM53" i="21"/>
  <c r="AN53" i="21" s="1"/>
  <c r="AS53" i="21" s="1"/>
  <c r="BT52" i="21"/>
  <c r="AQ52" i="21"/>
  <c r="AP52" i="21"/>
  <c r="AM52" i="21"/>
  <c r="AN52" i="21" s="1"/>
  <c r="AS52" i="21" s="1"/>
  <c r="AQ365" i="21"/>
  <c r="AP365" i="21"/>
  <c r="AM365" i="21"/>
  <c r="AN365" i="21" s="1"/>
  <c r="AS365" i="21" s="1"/>
  <c r="AQ380" i="21"/>
  <c r="AP380" i="21"/>
  <c r="AM380" i="21"/>
  <c r="AN380" i="21" s="1"/>
  <c r="AS380" i="21" s="1"/>
  <c r="AQ249" i="21"/>
  <c r="AP249" i="21"/>
  <c r="AM249" i="21"/>
  <c r="AN249" i="21" s="1"/>
  <c r="AS249" i="21" s="1"/>
  <c r="AQ283" i="21"/>
  <c r="AP283" i="21"/>
  <c r="AM283" i="21"/>
  <c r="AN283" i="21" s="1"/>
  <c r="AS283" i="21" s="1"/>
  <c r="AQ297" i="21"/>
  <c r="AP297" i="21"/>
  <c r="AM297" i="21"/>
  <c r="AN297" i="21" s="1"/>
  <c r="AS297" i="21" s="1"/>
  <c r="AQ346" i="21"/>
  <c r="AP346" i="21"/>
  <c r="AM346" i="21"/>
  <c r="AN346" i="21" s="1"/>
  <c r="AS346" i="21" s="1"/>
  <c r="AQ362" i="21"/>
  <c r="AP362" i="21"/>
  <c r="AM362" i="21"/>
  <c r="AN362" i="21" s="1"/>
  <c r="AS362" i="21" s="1"/>
  <c r="AQ286" i="21"/>
  <c r="AP286" i="21"/>
  <c r="AM286" i="21"/>
  <c r="AN286" i="21" s="1"/>
  <c r="AS286" i="21" s="1"/>
  <c r="AQ303" i="21"/>
  <c r="AP303" i="21"/>
  <c r="AM303" i="21"/>
  <c r="AN303" i="21" s="1"/>
  <c r="AS303" i="21" s="1"/>
  <c r="AQ269" i="21"/>
  <c r="AP269" i="21"/>
  <c r="AM269" i="21"/>
  <c r="AN269" i="21" s="1"/>
  <c r="AS269" i="21" s="1"/>
  <c r="AQ190" i="21"/>
  <c r="AP190" i="21"/>
  <c r="AM190" i="21"/>
  <c r="AN190" i="21" s="1"/>
  <c r="AS190" i="21" s="1"/>
  <c r="AQ230" i="21"/>
  <c r="AP230" i="21"/>
  <c r="AM230" i="21"/>
  <c r="AN230" i="21" s="1"/>
  <c r="AS230" i="21" s="1"/>
  <c r="AQ324" i="21"/>
  <c r="AP324" i="21"/>
  <c r="AM324" i="21"/>
  <c r="AN324" i="21" s="1"/>
  <c r="AS324" i="21" s="1"/>
  <c r="AQ500" i="21"/>
  <c r="AP500" i="21"/>
  <c r="AM500" i="21"/>
  <c r="AN500" i="21" s="1"/>
  <c r="AS500" i="21" s="1"/>
  <c r="AQ512" i="21"/>
  <c r="AP512" i="21"/>
  <c r="AM512" i="21"/>
  <c r="AN512" i="21" s="1"/>
  <c r="AS512" i="21" s="1"/>
  <c r="AQ51" i="21"/>
  <c r="AP51" i="21"/>
  <c r="AL51" i="21"/>
  <c r="AK51" i="21"/>
  <c r="AJ51" i="21"/>
  <c r="AI51" i="21"/>
  <c r="AH51" i="21"/>
  <c r="AG51" i="21"/>
  <c r="AQ407" i="21"/>
  <c r="AP407" i="21"/>
  <c r="AM407" i="21"/>
  <c r="AN407" i="21" s="1"/>
  <c r="AS407" i="21" s="1"/>
  <c r="AQ386" i="21"/>
  <c r="AP386" i="21"/>
  <c r="AM386" i="21"/>
  <c r="AN386" i="21" s="1"/>
  <c r="AS386" i="21" s="1"/>
  <c r="AQ420" i="21"/>
  <c r="AP420" i="21"/>
  <c r="AM420" i="21"/>
  <c r="AN420" i="21" s="1"/>
  <c r="AS420" i="21" s="1"/>
  <c r="AQ502" i="21"/>
  <c r="AP502" i="21"/>
  <c r="AM502" i="21"/>
  <c r="AN502" i="21" s="1"/>
  <c r="AS502" i="21" s="1"/>
  <c r="AQ518" i="21"/>
  <c r="AP518" i="21"/>
  <c r="AM518" i="21"/>
  <c r="AN518" i="21" s="1"/>
  <c r="AS518" i="21" s="1"/>
  <c r="AQ50" i="21"/>
  <c r="AP50" i="21"/>
  <c r="AM50" i="21"/>
  <c r="AN50" i="21" s="1"/>
  <c r="AS50" i="21" s="1"/>
  <c r="AQ490" i="21"/>
  <c r="AP490" i="21"/>
  <c r="AM490" i="21"/>
  <c r="AN490" i="21" s="1"/>
  <c r="AS490" i="21" s="1"/>
  <c r="AQ414" i="21"/>
  <c r="AP414" i="21"/>
  <c r="AM414" i="21"/>
  <c r="AN414" i="21" s="1"/>
  <c r="AS414" i="21" s="1"/>
  <c r="AQ337" i="21"/>
  <c r="AP337" i="21"/>
  <c r="AM337" i="21"/>
  <c r="AN337" i="21" s="1"/>
  <c r="AS337" i="21" s="1"/>
  <c r="AQ336" i="21"/>
  <c r="AP336" i="21"/>
  <c r="AM336" i="21"/>
  <c r="AN336" i="21" s="1"/>
  <c r="AS336" i="21" s="1"/>
  <c r="AQ419" i="21"/>
  <c r="AP419" i="21"/>
  <c r="AM419" i="21"/>
  <c r="AN419" i="21" s="1"/>
  <c r="AS419" i="21" s="1"/>
  <c r="AQ320" i="21"/>
  <c r="AP320" i="21"/>
  <c r="AM320" i="21"/>
  <c r="AN320" i="21" s="1"/>
  <c r="AS320" i="21" s="1"/>
  <c r="AQ343" i="21"/>
  <c r="AP343" i="21"/>
  <c r="AM343" i="21"/>
  <c r="AN343" i="21" s="1"/>
  <c r="AS343" i="21" s="1"/>
  <c r="AQ480" i="21"/>
  <c r="AP480" i="21"/>
  <c r="AM480" i="21"/>
  <c r="AN480" i="21" s="1"/>
  <c r="AS480" i="21" s="1"/>
  <c r="BT49" i="21"/>
  <c r="AQ49" i="21"/>
  <c r="AP49" i="21"/>
  <c r="AM49" i="21"/>
  <c r="AN49" i="21" s="1"/>
  <c r="AS49" i="21" s="1"/>
  <c r="BT48" i="21"/>
  <c r="AQ48" i="21"/>
  <c r="AP48" i="21"/>
  <c r="AM48" i="21"/>
  <c r="AN48" i="21" s="1"/>
  <c r="AS48" i="21" s="1"/>
  <c r="BT47" i="21"/>
  <c r="AQ47" i="21"/>
  <c r="AP47" i="21"/>
  <c r="AM47" i="21"/>
  <c r="AN47" i="21" s="1"/>
  <c r="AS47" i="21" s="1"/>
  <c r="BT46" i="21"/>
  <c r="AQ46" i="21"/>
  <c r="AP46" i="21"/>
  <c r="AM46" i="21"/>
  <c r="AN46" i="21" s="1"/>
  <c r="AS46" i="21" s="1"/>
  <c r="AQ364" i="21"/>
  <c r="AP364" i="21"/>
  <c r="AM364" i="21"/>
  <c r="AN364" i="21" s="1"/>
  <c r="AS364" i="21" s="1"/>
  <c r="AQ45" i="21"/>
  <c r="AP45" i="21"/>
  <c r="AM45" i="21"/>
  <c r="AN45" i="21" s="1"/>
  <c r="AS45" i="21" s="1"/>
  <c r="AQ44" i="21"/>
  <c r="AP44" i="21"/>
  <c r="AM44" i="21"/>
  <c r="AN44" i="21" s="1"/>
  <c r="AS44" i="21" s="1"/>
  <c r="BT158" i="21"/>
  <c r="AQ158" i="21"/>
  <c r="AP158" i="21"/>
  <c r="AM158" i="21"/>
  <c r="AN158" i="21" s="1"/>
  <c r="AS158" i="21" s="1"/>
  <c r="BT157" i="21"/>
  <c r="AQ157" i="21"/>
  <c r="AP157" i="21"/>
  <c r="AM157" i="21"/>
  <c r="AN157" i="21" s="1"/>
  <c r="AS157" i="21" s="1"/>
  <c r="AQ393" i="21"/>
  <c r="AP393" i="21"/>
  <c r="AM393" i="21"/>
  <c r="AN393" i="21" s="1"/>
  <c r="AS393" i="21" s="1"/>
  <c r="AQ402" i="21"/>
  <c r="AP402" i="21"/>
  <c r="AM402" i="21"/>
  <c r="AN402" i="21" s="1"/>
  <c r="AS402" i="21" s="1"/>
  <c r="AQ373" i="21"/>
  <c r="AP373" i="21"/>
  <c r="AM373" i="21"/>
  <c r="AN373" i="21" s="1"/>
  <c r="AS373" i="21" s="1"/>
  <c r="AQ43" i="21"/>
  <c r="AP43" i="21"/>
  <c r="AM43" i="21"/>
  <c r="AN43" i="21" s="1"/>
  <c r="AS43" i="21" s="1"/>
  <c r="AQ332" i="21"/>
  <c r="AP332" i="21"/>
  <c r="AM332" i="21"/>
  <c r="AN332" i="21" s="1"/>
  <c r="AS332" i="21" s="1"/>
  <c r="BT156" i="21"/>
  <c r="AQ156" i="21"/>
  <c r="AP156" i="21"/>
  <c r="AM156" i="21"/>
  <c r="AN156" i="21" s="1"/>
  <c r="AS156" i="21" s="1"/>
  <c r="BT155" i="21"/>
  <c r="AQ155" i="21"/>
  <c r="AP155" i="21"/>
  <c r="AM155" i="21"/>
  <c r="AN155" i="21" s="1"/>
  <c r="AS155" i="21" s="1"/>
  <c r="AQ468" i="21"/>
  <c r="AP468" i="21"/>
  <c r="AM468" i="21"/>
  <c r="AN468" i="21" s="1"/>
  <c r="AS468" i="21" s="1"/>
  <c r="AQ326" i="21"/>
  <c r="AP326" i="21"/>
  <c r="AM326" i="21"/>
  <c r="AN326" i="21" s="1"/>
  <c r="AS326" i="21" s="1"/>
  <c r="BT165" i="21"/>
  <c r="AQ165" i="21"/>
  <c r="AP165" i="21"/>
  <c r="AM165" i="21"/>
  <c r="AN165" i="21" s="1"/>
  <c r="AS165" i="21" s="1"/>
  <c r="AQ91" i="21"/>
  <c r="AP91" i="21"/>
  <c r="AM91" i="21"/>
  <c r="AN91" i="21" s="1"/>
  <c r="AS91" i="21" s="1"/>
  <c r="AQ385" i="21"/>
  <c r="AP385" i="21"/>
  <c r="AM385" i="21"/>
  <c r="AN385" i="21" s="1"/>
  <c r="AS385" i="21" s="1"/>
  <c r="AQ406" i="21"/>
  <c r="AP406" i="21"/>
  <c r="AM406" i="21"/>
  <c r="AN406" i="21" s="1"/>
  <c r="AS406" i="21" s="1"/>
  <c r="AQ472" i="21"/>
  <c r="AP472" i="21"/>
  <c r="AM472" i="21"/>
  <c r="AN472" i="21" s="1"/>
  <c r="AS472" i="21" s="1"/>
  <c r="BT154" i="21"/>
  <c r="AQ154" i="21"/>
  <c r="AP154" i="21"/>
  <c r="AM154" i="21"/>
  <c r="AN154" i="21" s="1"/>
  <c r="AS154" i="21" s="1"/>
  <c r="BT153" i="21"/>
  <c r="AQ153" i="21"/>
  <c r="AP153" i="21"/>
  <c r="AM153" i="21"/>
  <c r="AN153" i="21" s="1"/>
  <c r="AS153" i="21" s="1"/>
  <c r="BT152" i="21"/>
  <c r="AQ152" i="21"/>
  <c r="AP152" i="21"/>
  <c r="AM152" i="21"/>
  <c r="AN152" i="21" s="1"/>
  <c r="AS152" i="21" s="1"/>
  <c r="BT151" i="21"/>
  <c r="AQ151" i="21"/>
  <c r="AP151" i="21"/>
  <c r="AM151" i="21"/>
  <c r="AN151" i="21" s="1"/>
  <c r="AS151" i="21" s="1"/>
  <c r="BT150" i="21"/>
  <c r="AQ150" i="21"/>
  <c r="AP150" i="21"/>
  <c r="AM150" i="21"/>
  <c r="AN150" i="21" s="1"/>
  <c r="AS150" i="21" s="1"/>
  <c r="BT149" i="21"/>
  <c r="AQ149" i="21"/>
  <c r="AP149" i="21"/>
  <c r="AM149" i="21"/>
  <c r="AN149" i="21" s="1"/>
  <c r="AS149" i="21" s="1"/>
  <c r="AQ488" i="21"/>
  <c r="AP488" i="21"/>
  <c r="AM488" i="21"/>
  <c r="AN488" i="21" s="1"/>
  <c r="AS488" i="21" s="1"/>
  <c r="BT148" i="21"/>
  <c r="AQ148" i="21"/>
  <c r="AP148" i="21"/>
  <c r="AM148" i="21"/>
  <c r="AN148" i="21" s="1"/>
  <c r="AS148" i="21" s="1"/>
  <c r="BT147" i="21"/>
  <c r="AQ147" i="21"/>
  <c r="AP147" i="21"/>
  <c r="AM147" i="21"/>
  <c r="AN147" i="21" s="1"/>
  <c r="AS147" i="21" s="1"/>
  <c r="AQ523" i="21"/>
  <c r="AP523" i="21"/>
  <c r="AK523" i="21"/>
  <c r="AJ523" i="21"/>
  <c r="AH523" i="21"/>
  <c r="AG523" i="21"/>
  <c r="AQ516" i="21"/>
  <c r="AP516" i="21"/>
  <c r="AK516" i="21"/>
  <c r="AJ516" i="21"/>
  <c r="AH516" i="21"/>
  <c r="AG516" i="21"/>
  <c r="AQ42" i="21"/>
  <c r="AP42" i="21"/>
  <c r="AM42" i="21"/>
  <c r="AN42" i="21" s="1"/>
  <c r="AS42" i="21" s="1"/>
  <c r="BT146" i="21"/>
  <c r="AQ146" i="21"/>
  <c r="AP146" i="21"/>
  <c r="AM146" i="21"/>
  <c r="AN146" i="21" s="1"/>
  <c r="AS146" i="21" s="1"/>
  <c r="BT145" i="21"/>
  <c r="AQ145" i="21"/>
  <c r="AP145" i="21"/>
  <c r="AM145" i="21"/>
  <c r="AN145" i="21" s="1"/>
  <c r="AS145" i="21" s="1"/>
  <c r="BT144" i="21"/>
  <c r="AQ144" i="21"/>
  <c r="AP144" i="21"/>
  <c r="AM144" i="21"/>
  <c r="AN144" i="21" s="1"/>
  <c r="AS144" i="21" s="1"/>
  <c r="BT143" i="21"/>
  <c r="AQ143" i="21"/>
  <c r="AP143" i="21"/>
  <c r="AM143" i="21"/>
  <c r="AN143" i="21" s="1"/>
  <c r="AS143" i="21" s="1"/>
  <c r="BT142" i="21"/>
  <c r="AQ142" i="21"/>
  <c r="AP142" i="21"/>
  <c r="AM142" i="21"/>
  <c r="AN142" i="21" s="1"/>
  <c r="AS142" i="21" s="1"/>
  <c r="BT141" i="21"/>
  <c r="AQ141" i="21"/>
  <c r="AP141" i="21"/>
  <c r="AM141" i="21"/>
  <c r="AN141" i="21" s="1"/>
  <c r="AS141" i="21" s="1"/>
  <c r="AQ508" i="21"/>
  <c r="AP508" i="21"/>
  <c r="AM508" i="21"/>
  <c r="AN508" i="21" s="1"/>
  <c r="AS508" i="21" s="1"/>
  <c r="AQ487" i="21"/>
  <c r="AP487" i="21"/>
  <c r="AM487" i="21"/>
  <c r="AN487" i="21" s="1"/>
  <c r="AS487" i="21" s="1"/>
  <c r="AQ427" i="21"/>
  <c r="AP427" i="21"/>
  <c r="AM427" i="21"/>
  <c r="AN427" i="21" s="1"/>
  <c r="AS427" i="21" s="1"/>
  <c r="AQ483" i="21"/>
  <c r="AP483" i="21"/>
  <c r="AJ483" i="21"/>
  <c r="AM483" i="21" s="1"/>
  <c r="AN483" i="21" s="1"/>
  <c r="AS483" i="21" s="1"/>
  <c r="AQ514" i="21"/>
  <c r="AP514" i="21"/>
  <c r="AK514" i="21"/>
  <c r="AJ514" i="21"/>
  <c r="AH514" i="21"/>
  <c r="AG514" i="21"/>
  <c r="BT140" i="21"/>
  <c r="AQ140" i="21"/>
  <c r="AP140" i="21"/>
  <c r="AM140" i="21"/>
  <c r="AN140" i="21" s="1"/>
  <c r="AS140" i="21" s="1"/>
  <c r="BT139" i="21"/>
  <c r="AQ139" i="21"/>
  <c r="AP139" i="21"/>
  <c r="AM139" i="21"/>
  <c r="AN139" i="21" s="1"/>
  <c r="AS139" i="21" s="1"/>
  <c r="BT138" i="21"/>
  <c r="AQ138" i="21"/>
  <c r="AP138" i="21"/>
  <c r="AM138" i="21"/>
  <c r="AN138" i="21" s="1"/>
  <c r="AS138" i="21" s="1"/>
  <c r="BT137" i="21"/>
  <c r="AQ137" i="21"/>
  <c r="AP137" i="21"/>
  <c r="AM137" i="21"/>
  <c r="AN137" i="21" s="1"/>
  <c r="AS137" i="21" s="1"/>
  <c r="AQ281" i="21"/>
  <c r="AP281" i="21"/>
  <c r="AM281" i="21"/>
  <c r="AN281" i="21" s="1"/>
  <c r="AS281" i="21" s="1"/>
  <c r="AQ280" i="21"/>
  <c r="AP280" i="21"/>
  <c r="AM280" i="21"/>
  <c r="AN280" i="21" s="1"/>
  <c r="AS280" i="21" s="1"/>
  <c r="BT136" i="21"/>
  <c r="AQ136" i="21"/>
  <c r="AP136" i="21"/>
  <c r="AM136" i="21"/>
  <c r="AN136" i="21" s="1"/>
  <c r="AS136" i="21" s="1"/>
  <c r="BT135" i="21"/>
  <c r="AQ135" i="21"/>
  <c r="AP135" i="21"/>
  <c r="AM135" i="21"/>
  <c r="AN135" i="21" s="1"/>
  <c r="AS135" i="21" s="1"/>
  <c r="AQ311" i="21"/>
  <c r="AP311" i="21"/>
  <c r="AM311" i="21"/>
  <c r="AN311" i="21" s="1"/>
  <c r="AS311" i="21" s="1"/>
  <c r="AQ525" i="21"/>
  <c r="AP525" i="21"/>
  <c r="AK525" i="21"/>
  <c r="AJ525" i="21"/>
  <c r="AH525" i="21"/>
  <c r="AG525" i="21"/>
  <c r="AQ169" i="21"/>
  <c r="AP169" i="21"/>
  <c r="AM169" i="21"/>
  <c r="AN169" i="21" s="1"/>
  <c r="AS169" i="21" s="1"/>
  <c r="BT134" i="21"/>
  <c r="AQ134" i="21"/>
  <c r="AP134" i="21"/>
  <c r="AM134" i="21"/>
  <c r="AN134" i="21" s="1"/>
  <c r="AS134" i="21" s="1"/>
  <c r="BT133" i="21"/>
  <c r="AQ133" i="21"/>
  <c r="AP133" i="21"/>
  <c r="AM133" i="21"/>
  <c r="AN133" i="21" s="1"/>
  <c r="AS133" i="21" s="1"/>
  <c r="BT132" i="21"/>
  <c r="AQ132" i="21"/>
  <c r="AP132" i="21"/>
  <c r="AM132" i="21"/>
  <c r="AN132" i="21" s="1"/>
  <c r="AS132" i="21" s="1"/>
  <c r="BT131" i="21"/>
  <c r="AQ131" i="21"/>
  <c r="AP131" i="21"/>
  <c r="AM131" i="21"/>
  <c r="AN131" i="21" s="1"/>
  <c r="AS131" i="21" s="1"/>
  <c r="AQ529" i="21"/>
  <c r="AP529" i="21"/>
  <c r="AM529" i="21"/>
  <c r="AN529" i="21" s="1"/>
  <c r="AS529" i="21" s="1"/>
  <c r="BT130" i="21"/>
  <c r="AQ130" i="21"/>
  <c r="AP130" i="21"/>
  <c r="AM130" i="21"/>
  <c r="AN130" i="21" s="1"/>
  <c r="AS130" i="21" s="1"/>
  <c r="BT129" i="21"/>
  <c r="AQ129" i="21"/>
  <c r="AP129" i="21"/>
  <c r="AM129" i="21"/>
  <c r="AN129" i="21" s="1"/>
  <c r="AS129" i="21" s="1"/>
  <c r="BT128" i="21"/>
  <c r="AQ128" i="21"/>
  <c r="AP128" i="21"/>
  <c r="AM128" i="21"/>
  <c r="AN128" i="21" s="1"/>
  <c r="AS128" i="21" s="1"/>
  <c r="BT127" i="21"/>
  <c r="AQ127" i="21"/>
  <c r="AP127" i="21"/>
  <c r="AM127" i="21"/>
  <c r="AN127" i="21" s="1"/>
  <c r="AS127" i="21" s="1"/>
  <c r="BT126" i="21"/>
  <c r="AQ126" i="21"/>
  <c r="AP126" i="21"/>
  <c r="AM126" i="21"/>
  <c r="AN126" i="21" s="1"/>
  <c r="AS126" i="21" s="1"/>
  <c r="BT125" i="21"/>
  <c r="AQ125" i="21"/>
  <c r="AP125" i="21"/>
  <c r="AM125" i="21"/>
  <c r="AN125" i="21" s="1"/>
  <c r="AS125" i="21" s="1"/>
  <c r="BT124" i="21"/>
  <c r="AQ124" i="21"/>
  <c r="AP124" i="21"/>
  <c r="AM124" i="21"/>
  <c r="AN124" i="21" s="1"/>
  <c r="AS124" i="21" s="1"/>
  <c r="AQ290" i="21"/>
  <c r="AP290" i="21"/>
  <c r="AM290" i="21"/>
  <c r="AN290" i="21" s="1"/>
  <c r="AS290" i="21" s="1"/>
  <c r="AQ252" i="21"/>
  <c r="AP252" i="21"/>
  <c r="AM252" i="21"/>
  <c r="AN252" i="21" s="1"/>
  <c r="AS252" i="21" s="1"/>
  <c r="BT123" i="21"/>
  <c r="AQ123" i="21"/>
  <c r="AP123" i="21"/>
  <c r="AM123" i="21"/>
  <c r="AN123" i="21" s="1"/>
  <c r="AS123" i="21" s="1"/>
  <c r="AQ521" i="21"/>
  <c r="AP521" i="21"/>
  <c r="AK521" i="21"/>
  <c r="AJ521" i="21"/>
  <c r="AH521" i="21"/>
  <c r="AG521" i="21"/>
  <c r="BT122" i="21"/>
  <c r="AQ122" i="21"/>
  <c r="AP122" i="21"/>
  <c r="AM122" i="21"/>
  <c r="AN122" i="21" s="1"/>
  <c r="AS122" i="21" s="1"/>
  <c r="BT121" i="21"/>
  <c r="AQ121" i="21"/>
  <c r="AP121" i="21"/>
  <c r="AM121" i="21"/>
  <c r="AN121" i="21" s="1"/>
  <c r="AS121" i="21" s="1"/>
  <c r="BT120" i="21"/>
  <c r="AQ120" i="21"/>
  <c r="AP120" i="21"/>
  <c r="AM120" i="21"/>
  <c r="AN120" i="21" s="1"/>
  <c r="AS120" i="21" s="1"/>
  <c r="BT119" i="21"/>
  <c r="AQ119" i="21"/>
  <c r="AP119" i="21"/>
  <c r="AM119" i="21"/>
  <c r="AN119" i="21" s="1"/>
  <c r="AS119" i="21" s="1"/>
  <c r="BT118" i="21"/>
  <c r="AQ118" i="21"/>
  <c r="AP118" i="21"/>
  <c r="AM118" i="21"/>
  <c r="AN118" i="21" s="1"/>
  <c r="AS118" i="21" s="1"/>
  <c r="BT117" i="21"/>
  <c r="AQ117" i="21"/>
  <c r="AP117" i="21"/>
  <c r="AM117" i="21"/>
  <c r="AN117" i="21" s="1"/>
  <c r="AS117" i="21" s="1"/>
  <c r="BT116" i="21"/>
  <c r="AQ116" i="21"/>
  <c r="AP116" i="21"/>
  <c r="AM116" i="21"/>
  <c r="AN116" i="21" s="1"/>
  <c r="AS116" i="21" s="1"/>
  <c r="BT115" i="21"/>
  <c r="AQ115" i="21"/>
  <c r="AP115" i="21"/>
  <c r="AM115" i="21"/>
  <c r="AN115" i="21" s="1"/>
  <c r="AS115" i="21" s="1"/>
  <c r="BT114" i="21"/>
  <c r="AQ114" i="21"/>
  <c r="AP114" i="21"/>
  <c r="AM114" i="21"/>
  <c r="AN114" i="21" s="1"/>
  <c r="AS114" i="21" s="1"/>
  <c r="BT113" i="21"/>
  <c r="AQ113" i="21"/>
  <c r="AP113" i="21"/>
  <c r="AM113" i="21"/>
  <c r="AN113" i="21" s="1"/>
  <c r="AS113" i="21" s="1"/>
  <c r="BT112" i="21"/>
  <c r="AQ112" i="21"/>
  <c r="AP112" i="21"/>
  <c r="AM112" i="21"/>
  <c r="AN112" i="21" s="1"/>
  <c r="AS112" i="21" s="1"/>
  <c r="BT111" i="21"/>
  <c r="AQ111" i="21"/>
  <c r="AP111" i="21"/>
  <c r="AM111" i="21"/>
  <c r="AN111" i="21" s="1"/>
  <c r="AS111" i="21" s="1"/>
  <c r="BT110" i="21"/>
  <c r="AQ110" i="21"/>
  <c r="AP110" i="21"/>
  <c r="AM110" i="21"/>
  <c r="AN110" i="21" s="1"/>
  <c r="AS110" i="21" s="1"/>
  <c r="BT109" i="21"/>
  <c r="AQ109" i="21"/>
  <c r="AP109" i="21"/>
  <c r="AM109" i="21"/>
  <c r="AN109" i="21" s="1"/>
  <c r="AS109" i="21" s="1"/>
  <c r="BT108" i="21"/>
  <c r="AQ108" i="21"/>
  <c r="AP108" i="21"/>
  <c r="AM108" i="21"/>
  <c r="AN108" i="21" s="1"/>
  <c r="AS108" i="21" s="1"/>
  <c r="BT107" i="21"/>
  <c r="AQ107" i="21"/>
  <c r="AP107" i="21"/>
  <c r="AM107" i="21"/>
  <c r="AN107" i="21" s="1"/>
  <c r="AS107" i="21" s="1"/>
  <c r="BT106" i="21"/>
  <c r="AQ106" i="21"/>
  <c r="AP106" i="21"/>
  <c r="AM106" i="21"/>
  <c r="AN106" i="21" s="1"/>
  <c r="AS106" i="21" s="1"/>
  <c r="BT105" i="21"/>
  <c r="AQ105" i="21"/>
  <c r="AP105" i="21"/>
  <c r="AM105" i="21"/>
  <c r="AN105" i="21" s="1"/>
  <c r="AS105" i="21" s="1"/>
  <c r="BT104" i="21"/>
  <c r="AQ104" i="21"/>
  <c r="AP104" i="21"/>
  <c r="AM104" i="21"/>
  <c r="AN104" i="21" s="1"/>
  <c r="AS104" i="21" s="1"/>
  <c r="BT103" i="21"/>
  <c r="AQ103" i="21"/>
  <c r="AP103" i="21"/>
  <c r="AM103" i="21"/>
  <c r="AN103" i="21" s="1"/>
  <c r="AS103" i="21" s="1"/>
  <c r="BT102" i="21"/>
  <c r="AQ102" i="21"/>
  <c r="AP102" i="21"/>
  <c r="AM102" i="21"/>
  <c r="AN102" i="21" s="1"/>
  <c r="AS102" i="21" s="1"/>
  <c r="BT101" i="21"/>
  <c r="AQ101" i="21"/>
  <c r="AP101" i="21"/>
  <c r="AM101" i="21"/>
  <c r="AN101" i="21" s="1"/>
  <c r="AS101" i="21" s="1"/>
  <c r="BT100" i="21"/>
  <c r="AQ100" i="21"/>
  <c r="AP100" i="21"/>
  <c r="AM100" i="21"/>
  <c r="AN100" i="21" s="1"/>
  <c r="AS100" i="21" s="1"/>
  <c r="BT99" i="21"/>
  <c r="AQ99" i="21"/>
  <c r="AP99" i="21"/>
  <c r="AM99" i="21"/>
  <c r="AN99" i="21" s="1"/>
  <c r="AS99" i="21" s="1"/>
  <c r="BT98" i="21"/>
  <c r="AQ98" i="21"/>
  <c r="AP98" i="21"/>
  <c r="AM98" i="21"/>
  <c r="AN98" i="21" s="1"/>
  <c r="AS98" i="21" s="1"/>
  <c r="BT97" i="21"/>
  <c r="AQ97" i="21"/>
  <c r="AP97" i="21"/>
  <c r="AM97" i="21"/>
  <c r="AN97" i="21" s="1"/>
  <c r="AS97" i="21" s="1"/>
  <c r="AQ526" i="21"/>
  <c r="AP526" i="21"/>
  <c r="AK526" i="21"/>
  <c r="AJ526" i="21"/>
  <c r="AH526" i="21"/>
  <c r="AG526" i="21"/>
  <c r="AQ425" i="21"/>
  <c r="AP425" i="21"/>
  <c r="AM425" i="21"/>
  <c r="AN425" i="21" s="1"/>
  <c r="AS425" i="21" s="1"/>
  <c r="BT96" i="21"/>
  <c r="AQ96" i="21"/>
  <c r="AP96" i="21"/>
  <c r="AM96" i="21"/>
  <c r="AN96" i="21" s="1"/>
  <c r="AS96" i="21" s="1"/>
  <c r="BT95" i="21"/>
  <c r="AQ95" i="21"/>
  <c r="AP95" i="21"/>
  <c r="AM95" i="21"/>
  <c r="AN95" i="21" s="1"/>
  <c r="AS95" i="21" s="1"/>
  <c r="AQ357" i="21"/>
  <c r="AP357" i="21"/>
  <c r="AM357" i="21"/>
  <c r="AN357" i="21" s="1"/>
  <c r="AS357" i="21" s="1"/>
  <c r="BT94" i="21"/>
  <c r="AQ94" i="21"/>
  <c r="AP94" i="21"/>
  <c r="AM94" i="21"/>
  <c r="AN94" i="21" s="1"/>
  <c r="AS94" i="21" s="1"/>
  <c r="BT93" i="21"/>
  <c r="AQ93" i="21"/>
  <c r="AP93" i="21"/>
  <c r="AM93" i="21"/>
  <c r="AN93" i="21" s="1"/>
  <c r="AS93" i="21" s="1"/>
  <c r="BT166" i="21"/>
  <c r="AQ166" i="21"/>
  <c r="AP166" i="21"/>
  <c r="AM166" i="21"/>
  <c r="AN166" i="21" s="1"/>
  <c r="AS166" i="21" s="1"/>
  <c r="AP90" i="21"/>
  <c r="AB90" i="21"/>
  <c r="AM90" i="21" s="1"/>
  <c r="AN90" i="21" s="1"/>
  <c r="AS90" i="21" s="1"/>
  <c r="AQ460" i="21"/>
  <c r="AP460" i="21"/>
  <c r="AM460" i="21"/>
  <c r="AN460" i="21" s="1"/>
  <c r="AS460" i="21" s="1"/>
  <c r="AQ338" i="21"/>
  <c r="AP338" i="21"/>
  <c r="AM338" i="21"/>
  <c r="AN338" i="21" s="1"/>
  <c r="AS338" i="21" s="1"/>
  <c r="AQ305" i="21"/>
  <c r="AP305" i="21"/>
  <c r="AM305" i="21"/>
  <c r="AN305" i="21" s="1"/>
  <c r="AS305" i="21" s="1"/>
  <c r="AQ294" i="21"/>
  <c r="AP294" i="21"/>
  <c r="AM294" i="21"/>
  <c r="AN294" i="21" s="1"/>
  <c r="AS294" i="21" s="1"/>
  <c r="AQ358" i="21"/>
  <c r="AP358" i="21"/>
  <c r="AM358" i="21"/>
  <c r="AN358" i="21" s="1"/>
  <c r="AS358" i="21" s="1"/>
  <c r="AQ41" i="21"/>
  <c r="AP41" i="21"/>
  <c r="AM41" i="21"/>
  <c r="AN41" i="21" s="1"/>
  <c r="AS41" i="21" s="1"/>
  <c r="AQ40" i="21"/>
  <c r="AP40" i="21"/>
  <c r="AM40" i="21"/>
  <c r="AN40" i="21" s="1"/>
  <c r="AS40" i="21" s="1"/>
  <c r="AQ261" i="21"/>
  <c r="AP261" i="21"/>
  <c r="AM261" i="21"/>
  <c r="AN261" i="21" s="1"/>
  <c r="AS261" i="21" s="1"/>
  <c r="AQ39" i="21"/>
  <c r="AP39" i="21"/>
  <c r="AM39" i="21"/>
  <c r="AN39" i="21" s="1"/>
  <c r="AS39" i="21" s="1"/>
  <c r="AQ181" i="21"/>
  <c r="AP181" i="21"/>
  <c r="AM181" i="21"/>
  <c r="AN181" i="21" s="1"/>
  <c r="AS181" i="21" s="1"/>
  <c r="AQ222" i="21"/>
  <c r="AP222" i="21"/>
  <c r="AM222" i="21"/>
  <c r="AN222" i="21" s="1"/>
  <c r="AS222" i="21" s="1"/>
  <c r="AQ221" i="21"/>
  <c r="AP221" i="21"/>
  <c r="AM221" i="21"/>
  <c r="AN221" i="21" s="1"/>
  <c r="AS221" i="21" s="1"/>
  <c r="AQ220" i="21"/>
  <c r="AP220" i="21"/>
  <c r="AM220" i="21"/>
  <c r="AN220" i="21" s="1"/>
  <c r="AS220" i="21" s="1"/>
  <c r="AQ182" i="21"/>
  <c r="AP182" i="21"/>
  <c r="AM182" i="21"/>
  <c r="AN182" i="21" s="1"/>
  <c r="AS182" i="21" s="1"/>
  <c r="AQ197" i="21"/>
  <c r="AP197" i="21"/>
  <c r="AM197" i="21"/>
  <c r="AN197" i="21" s="1"/>
  <c r="AS197" i="21" s="1"/>
  <c r="BT38" i="21"/>
  <c r="AQ38" i="21"/>
  <c r="AP38" i="21"/>
  <c r="AM38" i="21"/>
  <c r="AN38" i="21" s="1"/>
  <c r="AS38" i="21" s="1"/>
  <c r="AQ175" i="21"/>
  <c r="AP175" i="21"/>
  <c r="AM175" i="21"/>
  <c r="AN175" i="21" s="1"/>
  <c r="AS175" i="21" s="1"/>
  <c r="AQ310" i="21"/>
  <c r="AP310" i="21"/>
  <c r="AM310" i="21"/>
  <c r="AN310" i="21" s="1"/>
  <c r="AS310" i="21" s="1"/>
  <c r="AQ485" i="21"/>
  <c r="AP485" i="21"/>
  <c r="AM485" i="21"/>
  <c r="AN485" i="21" s="1"/>
  <c r="AS485" i="21" s="1"/>
  <c r="AQ509" i="21"/>
  <c r="AP509" i="21"/>
  <c r="AM509" i="21"/>
  <c r="AN509" i="21" s="1"/>
  <c r="AS509" i="21" s="1"/>
  <c r="AQ475" i="21"/>
  <c r="AP475" i="21"/>
  <c r="AL475" i="21"/>
  <c r="AK475" i="21"/>
  <c r="AJ475" i="21"/>
  <c r="AI475" i="21"/>
  <c r="AH475" i="21"/>
  <c r="AG475" i="21"/>
  <c r="AQ454" i="21"/>
  <c r="AP454" i="21"/>
  <c r="AM454" i="21"/>
  <c r="AN454" i="21" s="1"/>
  <c r="AS454" i="21" s="1"/>
  <c r="AQ507" i="21"/>
  <c r="AP507" i="21"/>
  <c r="AM507" i="21"/>
  <c r="AN507" i="21" s="1"/>
  <c r="AS507" i="21" s="1"/>
  <c r="AQ92" i="21"/>
  <c r="AP92" i="21"/>
  <c r="AM92" i="21"/>
  <c r="AN92" i="21" s="1"/>
  <c r="AS92" i="21" s="1"/>
  <c r="AQ219" i="21"/>
  <c r="AP219" i="21"/>
  <c r="AM219" i="21"/>
  <c r="AN219" i="21" s="1"/>
  <c r="AS219" i="21" s="1"/>
  <c r="AQ334" i="21"/>
  <c r="AP334" i="21"/>
  <c r="AM334" i="21"/>
  <c r="AN334" i="21" s="1"/>
  <c r="AS334" i="21" s="1"/>
  <c r="AQ314" i="21"/>
  <c r="AP314" i="21"/>
  <c r="AM314" i="21"/>
  <c r="AN314" i="21" s="1"/>
  <c r="AS314" i="21" s="1"/>
  <c r="AQ184" i="21"/>
  <c r="AP184" i="21"/>
  <c r="AM184" i="21"/>
  <c r="AN184" i="21" s="1"/>
  <c r="AS184" i="21" s="1"/>
  <c r="AQ491" i="21"/>
  <c r="AP491" i="21"/>
  <c r="AM491" i="21"/>
  <c r="AN491" i="21" s="1"/>
  <c r="AS491" i="21" s="1"/>
  <c r="AQ404" i="21"/>
  <c r="AP404" i="21"/>
  <c r="AM404" i="21"/>
  <c r="AN404" i="21" s="1"/>
  <c r="AS404" i="21" s="1"/>
  <c r="AQ37" i="21"/>
  <c r="AP37" i="21"/>
  <c r="AM37" i="21"/>
  <c r="AN37" i="21" s="1"/>
  <c r="AS37" i="21" s="1"/>
  <c r="AQ36" i="21"/>
  <c r="AP36" i="21"/>
  <c r="AH36" i="21"/>
  <c r="AM36" i="21" s="1"/>
  <c r="AN36" i="21" s="1"/>
  <c r="AS36" i="21" s="1"/>
  <c r="AQ519" i="21"/>
  <c r="AP519" i="21"/>
  <c r="AM519" i="21"/>
  <c r="AN519" i="21" s="1"/>
  <c r="AS519" i="21" s="1"/>
  <c r="AQ482" i="21"/>
  <c r="AP482" i="21"/>
  <c r="AM482" i="21"/>
  <c r="AN482" i="21" s="1"/>
  <c r="AS482" i="21" s="1"/>
  <c r="AQ486" i="21"/>
  <c r="AP486" i="21"/>
  <c r="AM486" i="21"/>
  <c r="AN486" i="21" s="1"/>
  <c r="AS486" i="21" s="1"/>
  <c r="AQ237" i="21"/>
  <c r="AP237" i="21"/>
  <c r="AM237" i="21"/>
  <c r="AN237" i="21" s="1"/>
  <c r="AS237" i="21" s="1"/>
  <c r="AQ469" i="21"/>
  <c r="AP469" i="21"/>
  <c r="AM469" i="21"/>
  <c r="AN469" i="21" s="1"/>
  <c r="AS469" i="21" s="1"/>
  <c r="AQ254" i="21"/>
  <c r="AP254" i="21"/>
  <c r="AM254" i="21"/>
  <c r="AN254" i="21" s="1"/>
  <c r="AS254" i="21" s="1"/>
  <c r="AQ276" i="21"/>
  <c r="AP276" i="21"/>
  <c r="AM276" i="21"/>
  <c r="AN276" i="21" s="1"/>
  <c r="AS276" i="21" s="1"/>
  <c r="AQ489" i="21"/>
  <c r="AP489" i="21"/>
  <c r="AM489" i="21"/>
  <c r="AN489" i="21" s="1"/>
  <c r="AS489" i="21" s="1"/>
  <c r="AQ499" i="21"/>
  <c r="AP499" i="21"/>
  <c r="AM499" i="21"/>
  <c r="AN499" i="21" s="1"/>
  <c r="AS499" i="21" s="1"/>
  <c r="AQ382" i="21"/>
  <c r="AP382" i="21"/>
  <c r="AM382" i="21"/>
  <c r="AN382" i="21" s="1"/>
  <c r="AS382" i="21" s="1"/>
  <c r="BT317" i="21"/>
  <c r="AQ317" i="21"/>
  <c r="AP317" i="21"/>
  <c r="AM317" i="21"/>
  <c r="AN317" i="21" s="1"/>
  <c r="AS317" i="21" s="1"/>
  <c r="AQ459" i="21"/>
  <c r="AP459" i="21"/>
  <c r="AM459" i="21"/>
  <c r="AN459" i="21" s="1"/>
  <c r="AS459" i="21" s="1"/>
  <c r="AQ356" i="21"/>
  <c r="AP356" i="21"/>
  <c r="AM356" i="21"/>
  <c r="AN356" i="21" s="1"/>
  <c r="AS356" i="21" s="1"/>
  <c r="AQ423" i="21"/>
  <c r="AP423" i="21"/>
  <c r="AM423" i="21"/>
  <c r="AN423" i="21" s="1"/>
  <c r="AS423" i="21" s="1"/>
  <c r="AQ432" i="21"/>
  <c r="AP432" i="21"/>
  <c r="AM432" i="21"/>
  <c r="AN432" i="21" s="1"/>
  <c r="AS432" i="21" s="1"/>
  <c r="AQ368" i="21"/>
  <c r="AP368" i="21"/>
  <c r="AM368" i="21"/>
  <c r="AN368" i="21" s="1"/>
  <c r="AS368" i="21" s="1"/>
  <c r="AQ522" i="21"/>
  <c r="AP522" i="21"/>
  <c r="AM522" i="21"/>
  <c r="AN522" i="21" s="1"/>
  <c r="AS522" i="21" s="1"/>
  <c r="AQ527" i="21"/>
  <c r="AP527" i="21"/>
  <c r="AM527" i="21"/>
  <c r="AN527" i="21" s="1"/>
  <c r="AS527" i="21" s="1"/>
  <c r="AQ506" i="21"/>
  <c r="AP506" i="21"/>
  <c r="AM506" i="21"/>
  <c r="AN506" i="21" s="1"/>
  <c r="AS506" i="21" s="1"/>
  <c r="AQ428" i="21"/>
  <c r="AP428" i="21"/>
  <c r="AM428" i="21"/>
  <c r="AN428" i="21" s="1"/>
  <c r="AS428" i="21" s="1"/>
  <c r="AQ345" i="21"/>
  <c r="AP345" i="21"/>
  <c r="AM345" i="21"/>
  <c r="AN345" i="21" s="1"/>
  <c r="AS345" i="21" s="1"/>
  <c r="AQ327" i="21"/>
  <c r="AP327" i="21"/>
  <c r="AM327" i="21"/>
  <c r="AN327" i="21" s="1"/>
  <c r="AS327" i="21" s="1"/>
  <c r="AQ35" i="21"/>
  <c r="AP35" i="21"/>
  <c r="AM35" i="21"/>
  <c r="AN35" i="21" s="1"/>
  <c r="AS35" i="21" s="1"/>
  <c r="AQ188" i="21"/>
  <c r="AP188" i="21"/>
  <c r="AM188" i="21"/>
  <c r="AN188" i="21" s="1"/>
  <c r="AS188" i="21" s="1"/>
  <c r="AQ34" i="21"/>
  <c r="AP34" i="21"/>
  <c r="AM34" i="21"/>
  <c r="AN34" i="21" s="1"/>
  <c r="AS34" i="21" s="1"/>
  <c r="AQ211" i="21"/>
  <c r="AP211" i="21"/>
  <c r="AM211" i="21"/>
  <c r="AN211" i="21" s="1"/>
  <c r="AS211" i="21" s="1"/>
  <c r="AQ213" i="21"/>
  <c r="AP213" i="21"/>
  <c r="AM213" i="21"/>
  <c r="AN213" i="21" s="1"/>
  <c r="AS213" i="21" s="1"/>
  <c r="BT196" i="21"/>
  <c r="AQ196" i="21"/>
  <c r="AP196" i="21"/>
  <c r="AM196" i="21"/>
  <c r="AN196" i="21" s="1"/>
  <c r="AS196" i="21" s="1"/>
  <c r="AQ204" i="21"/>
  <c r="AP204" i="21"/>
  <c r="AM204" i="21"/>
  <c r="AN204" i="21" s="1"/>
  <c r="AS204" i="21" s="1"/>
  <c r="AQ253" i="21"/>
  <c r="AP253" i="21"/>
  <c r="AM253" i="21"/>
  <c r="AN253" i="21" s="1"/>
  <c r="AS253" i="21" s="1"/>
  <c r="AQ238" i="21"/>
  <c r="AP238" i="21"/>
  <c r="AM238" i="21"/>
  <c r="AN238" i="21" s="1"/>
  <c r="AS238" i="21" s="1"/>
  <c r="AQ426" i="21"/>
  <c r="AP426" i="21"/>
  <c r="AM426" i="21"/>
  <c r="AN426" i="21" s="1"/>
  <c r="AS426" i="21" s="1"/>
  <c r="AQ447" i="21"/>
  <c r="AP447" i="21"/>
  <c r="AM447" i="21"/>
  <c r="AN447" i="21" s="1"/>
  <c r="AS447" i="21" s="1"/>
  <c r="AQ455" i="21"/>
  <c r="AP455" i="21"/>
  <c r="AM455" i="21"/>
  <c r="AN455" i="21" s="1"/>
  <c r="AS455" i="21" s="1"/>
  <c r="BT33" i="21"/>
  <c r="AQ33" i="21"/>
  <c r="AP33" i="21"/>
  <c r="AM33" i="21"/>
  <c r="AN33" i="21" s="1"/>
  <c r="AS33" i="21" s="1"/>
  <c r="BT22" i="21"/>
  <c r="AQ22" i="21"/>
  <c r="AP22" i="21"/>
  <c r="AM22" i="21"/>
  <c r="AN22" i="21" s="1"/>
  <c r="AS22" i="21" s="1"/>
  <c r="BT21" i="21"/>
  <c r="AQ21" i="21"/>
  <c r="AP21" i="21"/>
  <c r="AM21" i="21"/>
  <c r="AN21" i="21" s="1"/>
  <c r="AS21" i="21" s="1"/>
  <c r="BT20" i="21"/>
  <c r="AQ20" i="21"/>
  <c r="AP20" i="21"/>
  <c r="AM20" i="21"/>
  <c r="AN20" i="21" s="1"/>
  <c r="AS20" i="21" s="1"/>
  <c r="BT19" i="21"/>
  <c r="AQ19" i="21"/>
  <c r="AP19" i="21"/>
  <c r="AM19" i="21"/>
  <c r="AN19" i="21" s="1"/>
  <c r="AS19" i="21" s="1"/>
  <c r="AQ306" i="21"/>
  <c r="AP306" i="21"/>
  <c r="AM306" i="21"/>
  <c r="AN306" i="21" s="1"/>
  <c r="AS306" i="21" s="1"/>
  <c r="AQ32" i="21"/>
  <c r="AP32" i="21"/>
  <c r="AM32" i="21"/>
  <c r="AN32" i="21" s="1"/>
  <c r="AS32" i="21" s="1"/>
  <c r="AQ31" i="21"/>
  <c r="AP31" i="21"/>
  <c r="AM31" i="21"/>
  <c r="AN31" i="21" s="1"/>
  <c r="AS31" i="21" s="1"/>
  <c r="AQ209" i="21"/>
  <c r="AP209" i="21"/>
  <c r="AM209" i="21"/>
  <c r="AN209" i="21" s="1"/>
  <c r="AS209" i="21" s="1"/>
  <c r="AQ200" i="21"/>
  <c r="AP200" i="21"/>
  <c r="AM200" i="21"/>
  <c r="AN200" i="21" s="1"/>
  <c r="AS200" i="21" s="1"/>
  <c r="AQ30" i="21"/>
  <c r="AP30" i="21"/>
  <c r="AM30" i="21"/>
  <c r="AN30" i="21" s="1"/>
  <c r="AS30" i="21" s="1"/>
  <c r="AQ186" i="21"/>
  <c r="AP186" i="21"/>
  <c r="AM186" i="21"/>
  <c r="AN186" i="21" s="1"/>
  <c r="AS186" i="21" s="1"/>
  <c r="AQ208" i="21"/>
  <c r="AP208" i="21"/>
  <c r="AM208" i="21"/>
  <c r="AN208" i="21" s="1"/>
  <c r="AS208" i="21" s="1"/>
  <c r="AQ193" i="21"/>
  <c r="AP193" i="21"/>
  <c r="AM193" i="21"/>
  <c r="AN193" i="21" s="1"/>
  <c r="AS193" i="21" s="1"/>
  <c r="AQ192" i="21"/>
  <c r="AP192" i="21"/>
  <c r="AM192" i="21"/>
  <c r="AN192" i="21" s="1"/>
  <c r="AS192" i="21" s="1"/>
  <c r="AQ390" i="21"/>
  <c r="AP390" i="21"/>
  <c r="AM390" i="21"/>
  <c r="AN390" i="21" s="1"/>
  <c r="AS390" i="21" s="1"/>
  <c r="BT29" i="21"/>
  <c r="AQ29" i="21"/>
  <c r="AP29" i="21"/>
  <c r="AL29" i="21"/>
  <c r="AK29" i="21"/>
  <c r="AJ29" i="21"/>
  <c r="AI29" i="21"/>
  <c r="AH29" i="21"/>
  <c r="AG29" i="21"/>
  <c r="AQ383" i="21"/>
  <c r="AP383" i="21"/>
  <c r="AM383" i="21"/>
  <c r="AN383" i="21" s="1"/>
  <c r="AS383" i="21" s="1"/>
  <c r="AQ424" i="21"/>
  <c r="AP424" i="21"/>
  <c r="AM424" i="21"/>
  <c r="AN424" i="21" s="1"/>
  <c r="AS424" i="21" s="1"/>
  <c r="AQ450" i="21"/>
  <c r="AP450" i="21"/>
  <c r="AM450" i="21"/>
  <c r="AN450" i="21" s="1"/>
  <c r="AS450" i="21" s="1"/>
  <c r="AQ461" i="21"/>
  <c r="AP461" i="21"/>
  <c r="AM461" i="21"/>
  <c r="AN461" i="21" s="1"/>
  <c r="AS461" i="21" s="1"/>
  <c r="AQ476" i="21"/>
  <c r="AP476" i="21"/>
  <c r="AM476" i="21"/>
  <c r="AN476" i="21" s="1"/>
  <c r="AS476" i="21" s="1"/>
  <c r="AQ240" i="21"/>
  <c r="AP240" i="21"/>
  <c r="AM240" i="21"/>
  <c r="AN240" i="21" s="1"/>
  <c r="AS240" i="21" s="1"/>
  <c r="AQ351" i="21"/>
  <c r="AP351" i="21"/>
  <c r="AM351" i="21"/>
  <c r="AN351" i="21" s="1"/>
  <c r="AS351" i="21" s="1"/>
  <c r="AQ437" i="21"/>
  <c r="AP437" i="21"/>
  <c r="AM437" i="21"/>
  <c r="AN437" i="21" s="1"/>
  <c r="AS437" i="21" s="1"/>
  <c r="AQ445" i="21"/>
  <c r="AP445" i="21"/>
  <c r="AH445" i="21"/>
  <c r="AG445" i="21"/>
  <c r="AM445" i="21" s="1"/>
  <c r="AN445" i="21" s="1"/>
  <c r="AS445" i="21" s="1"/>
  <c r="AQ243" i="21"/>
  <c r="AP243" i="21"/>
  <c r="AM243" i="21"/>
  <c r="AN243" i="21" s="1"/>
  <c r="AS243" i="21" s="1"/>
  <c r="AQ429" i="21"/>
  <c r="AP429" i="21"/>
  <c r="AM429" i="21"/>
  <c r="AN429" i="21" s="1"/>
  <c r="AS429" i="21" s="1"/>
  <c r="AQ234" i="21"/>
  <c r="AP234" i="21"/>
  <c r="AM234" i="21"/>
  <c r="AN234" i="21" s="1"/>
  <c r="AS234" i="21" s="1"/>
  <c r="AQ439" i="21"/>
  <c r="AP439" i="21"/>
  <c r="AM439" i="21"/>
  <c r="AN439" i="21" s="1"/>
  <c r="AS439" i="21" s="1"/>
  <c r="AQ236" i="21"/>
  <c r="AP236" i="21"/>
  <c r="AM236" i="21"/>
  <c r="AN236" i="21" s="1"/>
  <c r="AS236" i="21" s="1"/>
  <c r="AQ513" i="21"/>
  <c r="AP513" i="21"/>
  <c r="AL513" i="21"/>
  <c r="AM513" i="21" s="1"/>
  <c r="AN513" i="21" s="1"/>
  <c r="AS513" i="21" s="1"/>
  <c r="AQ239" i="21"/>
  <c r="AP239" i="21"/>
  <c r="AM239" i="21"/>
  <c r="AN239" i="21" s="1"/>
  <c r="AS239" i="21" s="1"/>
  <c r="AQ405" i="21"/>
  <c r="AP405" i="21"/>
  <c r="AM405" i="21"/>
  <c r="AN405" i="21" s="1"/>
  <c r="AS405" i="21" s="1"/>
  <c r="AQ446" i="21"/>
  <c r="AP446" i="21"/>
  <c r="AM446" i="21"/>
  <c r="AN446" i="21" s="1"/>
  <c r="AS446" i="21" s="1"/>
  <c r="AQ467" i="21"/>
  <c r="AP467" i="21"/>
  <c r="AM467" i="21"/>
  <c r="AN467" i="21" s="1"/>
  <c r="AS467" i="21" s="1"/>
  <c r="AQ442" i="21"/>
  <c r="AP442" i="21"/>
  <c r="AM442" i="21"/>
  <c r="AN442" i="21" s="1"/>
  <c r="AS442" i="21" s="1"/>
  <c r="BT28" i="21"/>
  <c r="AQ28" i="21"/>
  <c r="AP28" i="21"/>
  <c r="AM28" i="21"/>
  <c r="AN28" i="21" s="1"/>
  <c r="AS28" i="21" s="1"/>
  <c r="AQ171" i="21"/>
  <c r="AP171" i="21"/>
  <c r="AM171" i="21"/>
  <c r="AN171" i="21" s="1"/>
  <c r="AS171" i="21" s="1"/>
  <c r="AQ177" i="21"/>
  <c r="AP177" i="21"/>
  <c r="AM177" i="21"/>
  <c r="AN177" i="21" s="1"/>
  <c r="AS177" i="21" s="1"/>
  <c r="AQ173" i="21"/>
  <c r="AP173" i="21"/>
  <c r="AM173" i="21"/>
  <c r="AN173" i="21" s="1"/>
  <c r="AS173" i="21" s="1"/>
  <c r="AQ178" i="21"/>
  <c r="AP178" i="21"/>
  <c r="AM178" i="21"/>
  <c r="AN178" i="21" s="1"/>
  <c r="AS178" i="21" s="1"/>
  <c r="BT27" i="21"/>
  <c r="AQ27" i="21"/>
  <c r="AP27" i="21"/>
  <c r="AM27" i="21"/>
  <c r="AN27" i="21" s="1"/>
  <c r="AS27" i="21" s="1"/>
  <c r="W27" i="21"/>
  <c r="BT26" i="21"/>
  <c r="AQ26" i="21"/>
  <c r="AP26" i="21"/>
  <c r="AM26" i="21"/>
  <c r="AN26" i="21" s="1"/>
  <c r="AS26" i="21" s="1"/>
  <c r="W26" i="21"/>
  <c r="BT25" i="21"/>
  <c r="AQ25" i="21"/>
  <c r="AP25" i="21"/>
  <c r="AM25" i="21"/>
  <c r="AN25" i="21" s="1"/>
  <c r="AS25" i="21" s="1"/>
  <c r="W25" i="21"/>
  <c r="AQ299" i="21"/>
  <c r="AP299" i="21"/>
  <c r="AM299" i="21"/>
  <c r="AN299" i="21" s="1"/>
  <c r="AS299" i="21" s="1"/>
  <c r="BT24" i="21"/>
  <c r="AQ24" i="21"/>
  <c r="AP24" i="21"/>
  <c r="AM24" i="21"/>
  <c r="AN24" i="21" s="1"/>
  <c r="AS24" i="21" s="1"/>
  <c r="W24" i="21"/>
  <c r="AQ520" i="21"/>
  <c r="AP520" i="21"/>
  <c r="AL520" i="21"/>
  <c r="AK520" i="21"/>
  <c r="AJ520" i="21"/>
  <c r="AI520" i="21"/>
  <c r="AH520" i="21"/>
  <c r="AG520" i="21"/>
  <c r="AQ496" i="21"/>
  <c r="AP496" i="21"/>
  <c r="AI496" i="21"/>
  <c r="AM496" i="21" s="1"/>
  <c r="AN496" i="21" s="1"/>
  <c r="AS496" i="21" s="1"/>
  <c r="AQ23" i="21"/>
  <c r="AP23" i="21"/>
  <c r="AM23" i="21"/>
  <c r="AN23" i="21" s="1"/>
  <c r="AS23" i="21" s="1"/>
  <c r="AQ444" i="21"/>
  <c r="AP444" i="21"/>
  <c r="AM444" i="21"/>
  <c r="AN444" i="21" s="1"/>
  <c r="AS444" i="21" s="1"/>
  <c r="AQ452" i="21"/>
  <c r="AP452" i="21"/>
  <c r="AM452" i="21"/>
  <c r="AN452" i="21" s="1"/>
  <c r="AS452" i="21" s="1"/>
  <c r="AQ449" i="21"/>
  <c r="AP449" i="21"/>
  <c r="AM449" i="21"/>
  <c r="AN449" i="21" s="1"/>
  <c r="AS449" i="21" s="1"/>
  <c r="AQ457" i="21"/>
  <c r="AP457" i="21"/>
  <c r="AM457" i="21"/>
  <c r="AN457" i="21" s="1"/>
  <c r="AS457" i="21" s="1"/>
  <c r="AQ477" i="21"/>
  <c r="AP477" i="21"/>
  <c r="AM477" i="21"/>
  <c r="AN477" i="21" s="1"/>
  <c r="AS477" i="21" s="1"/>
  <c r="AQ470" i="21"/>
  <c r="AP470" i="21"/>
  <c r="AM470" i="21"/>
  <c r="AN470" i="21" s="1"/>
  <c r="AS470" i="21" s="1"/>
  <c r="AQ478" i="21"/>
  <c r="AP478" i="21"/>
  <c r="AM478" i="21"/>
  <c r="AN478" i="21" s="1"/>
  <c r="AS478" i="21" s="1"/>
  <c r="AQ474" i="21"/>
  <c r="AP474" i="21"/>
  <c r="AM474" i="21"/>
  <c r="AN474" i="21" s="1"/>
  <c r="AS474" i="21" s="1"/>
  <c r="AQ494" i="21"/>
  <c r="AP494" i="21"/>
  <c r="AM494" i="21"/>
  <c r="AN494" i="21" s="1"/>
  <c r="AS494" i="21" s="1"/>
  <c r="AQ257" i="21"/>
  <c r="AP257" i="21"/>
  <c r="AM257" i="21"/>
  <c r="AN257" i="21" s="1"/>
  <c r="AS257" i="21" s="1"/>
  <c r="AQ501" i="21"/>
  <c r="AP501" i="21"/>
  <c r="AI501" i="21"/>
  <c r="AQ277" i="21"/>
  <c r="AP277" i="21"/>
  <c r="AL688" i="19"/>
  <c r="AK688" i="19"/>
  <c r="AH688" i="19"/>
  <c r="AI688" i="19" s="1"/>
  <c r="AN688" i="19" s="1"/>
  <c r="AL687" i="19"/>
  <c r="AK687" i="19"/>
  <c r="AI687" i="19"/>
  <c r="AN687" i="19" s="1"/>
  <c r="AH687" i="19"/>
  <c r="AL686" i="19"/>
  <c r="AK686" i="19"/>
  <c r="AI686" i="19"/>
  <c r="AN686" i="19" s="1"/>
  <c r="AH686" i="19"/>
  <c r="AL685" i="19"/>
  <c r="AK685" i="19"/>
  <c r="AI685" i="19"/>
  <c r="AN685" i="19" s="1"/>
  <c r="AH685" i="19"/>
  <c r="AL684" i="19"/>
  <c r="AK684" i="19"/>
  <c r="AH684" i="19"/>
  <c r="AI684" i="19" s="1"/>
  <c r="AN684" i="19" s="1"/>
  <c r="AL683" i="19"/>
  <c r="AK683" i="19"/>
  <c r="AH683" i="19"/>
  <c r="AI683" i="19" s="1"/>
  <c r="AN683" i="19" s="1"/>
  <c r="AL682" i="19"/>
  <c r="AK682" i="19"/>
  <c r="AH682" i="19"/>
  <c r="AI682" i="19" s="1"/>
  <c r="AN682" i="19" s="1"/>
  <c r="AL681" i="19"/>
  <c r="AK681" i="19"/>
  <c r="AH681" i="19"/>
  <c r="AI681" i="19" s="1"/>
  <c r="AN681" i="19" s="1"/>
  <c r="AL680" i="19"/>
  <c r="AK680" i="19"/>
  <c r="AH680" i="19"/>
  <c r="AI680" i="19" s="1"/>
  <c r="AN680" i="19" s="1"/>
  <c r="AN679" i="19"/>
  <c r="AL679" i="19"/>
  <c r="AK679" i="19"/>
  <c r="AI679" i="19"/>
  <c r="AH679" i="19"/>
  <c r="AL678" i="19"/>
  <c r="AK678" i="19"/>
  <c r="AI678" i="19"/>
  <c r="AN678" i="19" s="1"/>
  <c r="AH678" i="19"/>
  <c r="AL677" i="19"/>
  <c r="AK677" i="19"/>
  <c r="AI677" i="19"/>
  <c r="AN677" i="19" s="1"/>
  <c r="AH677" i="19"/>
  <c r="AL676" i="19"/>
  <c r="AK676" i="19"/>
  <c r="AH676" i="19"/>
  <c r="AI676" i="19" s="1"/>
  <c r="AN676" i="19" s="1"/>
  <c r="AL675" i="19"/>
  <c r="AK675" i="19"/>
  <c r="AH675" i="19"/>
  <c r="AI675" i="19" s="1"/>
  <c r="AN675" i="19" s="1"/>
  <c r="AL674" i="19"/>
  <c r="AK674" i="19"/>
  <c r="AH674" i="19"/>
  <c r="AI674" i="19" s="1"/>
  <c r="AN674" i="19" s="1"/>
  <c r="AL673" i="19"/>
  <c r="AK673" i="19"/>
  <c r="AH673" i="19"/>
  <c r="AI673" i="19" s="1"/>
  <c r="AN673" i="19" s="1"/>
  <c r="AL672" i="19"/>
  <c r="AK672" i="19"/>
  <c r="AH672" i="19"/>
  <c r="AI672" i="19" s="1"/>
  <c r="AN672" i="19" s="1"/>
  <c r="AN671" i="19"/>
  <c r="AL671" i="19"/>
  <c r="AK671" i="19"/>
  <c r="AI671" i="19"/>
  <c r="AH671" i="19"/>
  <c r="AL670" i="19"/>
  <c r="AK670" i="19"/>
  <c r="AI670" i="19"/>
  <c r="AN670" i="19" s="1"/>
  <c r="AH670" i="19"/>
  <c r="AL669" i="19"/>
  <c r="AK669" i="19"/>
  <c r="AI669" i="19"/>
  <c r="AN669" i="19" s="1"/>
  <c r="AH669" i="19"/>
  <c r="AL668" i="19"/>
  <c r="AK668" i="19"/>
  <c r="AH668" i="19"/>
  <c r="AI668" i="19" s="1"/>
  <c r="AN668" i="19" s="1"/>
  <c r="AL667" i="19"/>
  <c r="AK667" i="19"/>
  <c r="AH667" i="19"/>
  <c r="AI667" i="19" s="1"/>
  <c r="AN667" i="19" s="1"/>
  <c r="AL666" i="19"/>
  <c r="AK666" i="19"/>
  <c r="AH666" i="19"/>
  <c r="AI666" i="19" s="1"/>
  <c r="AN666" i="19" s="1"/>
  <c r="AL665" i="19"/>
  <c r="AK665" i="19"/>
  <c r="AH665" i="19"/>
  <c r="AI665" i="19" s="1"/>
  <c r="AN665" i="19" s="1"/>
  <c r="AL664" i="19"/>
  <c r="AK664" i="19"/>
  <c r="AH664" i="19"/>
  <c r="AI664" i="19" s="1"/>
  <c r="AN664" i="19" s="1"/>
  <c r="AN663" i="19"/>
  <c r="AL663" i="19"/>
  <c r="AK663" i="19"/>
  <c r="AI663" i="19"/>
  <c r="AH663" i="19"/>
  <c r="AN662" i="19"/>
  <c r="AL662" i="19"/>
  <c r="AK662" i="19"/>
  <c r="AI662" i="19"/>
  <c r="AH662" i="19"/>
  <c r="AL661" i="19"/>
  <c r="AK661" i="19"/>
  <c r="AI661" i="19"/>
  <c r="AN661" i="19" s="1"/>
  <c r="AH661" i="19"/>
  <c r="AL660" i="19"/>
  <c r="AK660" i="19"/>
  <c r="AH660" i="19"/>
  <c r="AI660" i="19" s="1"/>
  <c r="AN660" i="19" s="1"/>
  <c r="AL659" i="19"/>
  <c r="AK659" i="19"/>
  <c r="AH659" i="19"/>
  <c r="AI659" i="19" s="1"/>
  <c r="AN659" i="19" s="1"/>
  <c r="AL658" i="19"/>
  <c r="AK658" i="19"/>
  <c r="AH658" i="19"/>
  <c r="AI658" i="19" s="1"/>
  <c r="AN658" i="19" s="1"/>
  <c r="AL657" i="19"/>
  <c r="AK657" i="19"/>
  <c r="AH657" i="19"/>
  <c r="AI657" i="19" s="1"/>
  <c r="AN657" i="19" s="1"/>
  <c r="AL656" i="19"/>
  <c r="AK656" i="19"/>
  <c r="AH656" i="19"/>
  <c r="AI656" i="19" s="1"/>
  <c r="AN656" i="19" s="1"/>
  <c r="AN655" i="19"/>
  <c r="AL655" i="19"/>
  <c r="AK655" i="19"/>
  <c r="AI655" i="19"/>
  <c r="AH655" i="19"/>
  <c r="AL654" i="19"/>
  <c r="AK654" i="19"/>
  <c r="AI654" i="19"/>
  <c r="AN654" i="19" s="1"/>
  <c r="AH654" i="19"/>
  <c r="AL653" i="19"/>
  <c r="AK653" i="19"/>
  <c r="AI653" i="19"/>
  <c r="AN653" i="19" s="1"/>
  <c r="AH653" i="19"/>
  <c r="AL652" i="19"/>
  <c r="AK652" i="19"/>
  <c r="AH652" i="19"/>
  <c r="AI652" i="19" s="1"/>
  <c r="AN652" i="19" s="1"/>
  <c r="AL651" i="19"/>
  <c r="AK651" i="19"/>
  <c r="AH651" i="19"/>
  <c r="AI651" i="19" s="1"/>
  <c r="AN651" i="19" s="1"/>
  <c r="AL650" i="19"/>
  <c r="AK650" i="19"/>
  <c r="AH650" i="19"/>
  <c r="AI650" i="19" s="1"/>
  <c r="AN650" i="19" s="1"/>
  <c r="AL649" i="19"/>
  <c r="AK649" i="19"/>
  <c r="AH649" i="19"/>
  <c r="AI649" i="19" s="1"/>
  <c r="AN649" i="19" s="1"/>
  <c r="AL648" i="19"/>
  <c r="AK648" i="19"/>
  <c r="AH648" i="19"/>
  <c r="AI648" i="19" s="1"/>
  <c r="AN648" i="19" s="1"/>
  <c r="AN647" i="19"/>
  <c r="AL647" i="19"/>
  <c r="AK647" i="19"/>
  <c r="AI647" i="19"/>
  <c r="AH647" i="19"/>
  <c r="AN646" i="19"/>
  <c r="AL646" i="19"/>
  <c r="AK646" i="19"/>
  <c r="AI646" i="19"/>
  <c r="AH646" i="19"/>
  <c r="AL645" i="19"/>
  <c r="AK645" i="19"/>
  <c r="AI645" i="19"/>
  <c r="AN645" i="19" s="1"/>
  <c r="AH645" i="19"/>
  <c r="AL644" i="19"/>
  <c r="AK644" i="19"/>
  <c r="AH644" i="19"/>
  <c r="AI644" i="19" s="1"/>
  <c r="AN644" i="19" s="1"/>
  <c r="AL643" i="19"/>
  <c r="AK643" i="19"/>
  <c r="AH643" i="19"/>
  <c r="AI643" i="19" s="1"/>
  <c r="AN643" i="19" s="1"/>
  <c r="AL642" i="19"/>
  <c r="AK642" i="19"/>
  <c r="AH642" i="19"/>
  <c r="AI642" i="19" s="1"/>
  <c r="AN642" i="19" s="1"/>
  <c r="AL641" i="19"/>
  <c r="AK641" i="19"/>
  <c r="AH641" i="19"/>
  <c r="AI641" i="19" s="1"/>
  <c r="AN641" i="19" s="1"/>
  <c r="AL640" i="19"/>
  <c r="AK640" i="19"/>
  <c r="AH640" i="19"/>
  <c r="AI640" i="19" s="1"/>
  <c r="AN640" i="19" s="1"/>
  <c r="AN639" i="19"/>
  <c r="AL639" i="19"/>
  <c r="AK639" i="19"/>
  <c r="AI639" i="19"/>
  <c r="AH639" i="19"/>
  <c r="AL638" i="19"/>
  <c r="AK638" i="19"/>
  <c r="AI638" i="19"/>
  <c r="AN638" i="19" s="1"/>
  <c r="AH638" i="19"/>
  <c r="AL637" i="19"/>
  <c r="AK637" i="19"/>
  <c r="AI637" i="19"/>
  <c r="AN637" i="19" s="1"/>
  <c r="AH637" i="19"/>
  <c r="AL636" i="19"/>
  <c r="AK636" i="19"/>
  <c r="AH636" i="19"/>
  <c r="AI636" i="19" s="1"/>
  <c r="AN636" i="19" s="1"/>
  <c r="AL635" i="19"/>
  <c r="AK635" i="19"/>
  <c r="AH635" i="19"/>
  <c r="AI635" i="19" s="1"/>
  <c r="AN635" i="19" s="1"/>
  <c r="AL634" i="19"/>
  <c r="AK634" i="19"/>
  <c r="AH634" i="19"/>
  <c r="AI634" i="19" s="1"/>
  <c r="AN634" i="19" s="1"/>
  <c r="AL633" i="19"/>
  <c r="AK633" i="19"/>
  <c r="AH633" i="19"/>
  <c r="AI633" i="19" s="1"/>
  <c r="AN633" i="19" s="1"/>
  <c r="AL632" i="19"/>
  <c r="AK632" i="19"/>
  <c r="AH632" i="19"/>
  <c r="AI632" i="19" s="1"/>
  <c r="AN632" i="19" s="1"/>
  <c r="AN631" i="19"/>
  <c r="AL631" i="19"/>
  <c r="AK631" i="19"/>
  <c r="AI631" i="19"/>
  <c r="AH631" i="19"/>
  <c r="AL630" i="19"/>
  <c r="AK630" i="19"/>
  <c r="AI630" i="19"/>
  <c r="AN630" i="19" s="1"/>
  <c r="AH630" i="19"/>
  <c r="AL629" i="19"/>
  <c r="AK629" i="19"/>
  <c r="AI629" i="19"/>
  <c r="AN629" i="19" s="1"/>
  <c r="AH629" i="19"/>
  <c r="AL628" i="19"/>
  <c r="AK628" i="19"/>
  <c r="AH628" i="19"/>
  <c r="AI628" i="19" s="1"/>
  <c r="AN628" i="19" s="1"/>
  <c r="AL627" i="19"/>
  <c r="AK627" i="19"/>
  <c r="AH627" i="19"/>
  <c r="AI627" i="19" s="1"/>
  <c r="AN627" i="19" s="1"/>
  <c r="AL626" i="19"/>
  <c r="AK626" i="19"/>
  <c r="AH626" i="19"/>
  <c r="AI626" i="19" s="1"/>
  <c r="AN626" i="19" s="1"/>
  <c r="AL625" i="19"/>
  <c r="AK625" i="19"/>
  <c r="AH625" i="19"/>
  <c r="AI625" i="19" s="1"/>
  <c r="AN625" i="19" s="1"/>
  <c r="AN624" i="19"/>
  <c r="AL624" i="19"/>
  <c r="AK624" i="19"/>
  <c r="AH624" i="19"/>
  <c r="AI624" i="19" s="1"/>
  <c r="AL623" i="19"/>
  <c r="AK623" i="19"/>
  <c r="AI623" i="19"/>
  <c r="AN623" i="19" s="1"/>
  <c r="AH623" i="19"/>
  <c r="AL622" i="19"/>
  <c r="AK622" i="19"/>
  <c r="AI622" i="19"/>
  <c r="AN622" i="19" s="1"/>
  <c r="AH622" i="19"/>
  <c r="AL621" i="19"/>
  <c r="AK621" i="19"/>
  <c r="AI621" i="19"/>
  <c r="AN621" i="19" s="1"/>
  <c r="AH621" i="19"/>
  <c r="AL620" i="19"/>
  <c r="AK620" i="19"/>
  <c r="AH620" i="19"/>
  <c r="AI620" i="19" s="1"/>
  <c r="AN620" i="19" s="1"/>
  <c r="AL619" i="19"/>
  <c r="AK619" i="19"/>
  <c r="AH619" i="19"/>
  <c r="AI619" i="19" s="1"/>
  <c r="AN619" i="19" s="1"/>
  <c r="X619" i="19"/>
  <c r="AL618" i="19"/>
  <c r="AK618" i="19"/>
  <c r="AI618" i="19"/>
  <c r="AN618" i="19" s="1"/>
  <c r="AH618" i="19"/>
  <c r="AL617" i="19"/>
  <c r="AK617" i="19"/>
  <c r="AH617" i="19"/>
  <c r="AI617" i="19" s="1"/>
  <c r="AN617" i="19" s="1"/>
  <c r="AL616" i="19"/>
  <c r="AK616" i="19"/>
  <c r="AH616" i="19"/>
  <c r="AI616" i="19" s="1"/>
  <c r="AN616" i="19" s="1"/>
  <c r="AL615" i="19"/>
  <c r="AK615" i="19"/>
  <c r="AH615" i="19"/>
  <c r="AI615" i="19" s="1"/>
  <c r="AN615" i="19" s="1"/>
  <c r="AL614" i="19"/>
  <c r="AK614" i="19"/>
  <c r="AH614" i="19"/>
  <c r="AI614" i="19" s="1"/>
  <c r="AN614" i="19" s="1"/>
  <c r="AL613" i="19"/>
  <c r="AK613" i="19"/>
  <c r="AH613" i="19"/>
  <c r="AI613" i="19" s="1"/>
  <c r="AN613" i="19" s="1"/>
  <c r="AL612" i="19"/>
  <c r="AK612" i="19"/>
  <c r="AI612" i="19"/>
  <c r="AN612" i="19" s="1"/>
  <c r="AH612" i="19"/>
  <c r="AL611" i="19"/>
  <c r="AK611" i="19"/>
  <c r="AI611" i="19"/>
  <c r="AN611" i="19" s="1"/>
  <c r="AH611" i="19"/>
  <c r="AL610" i="19"/>
  <c r="AK610" i="19"/>
  <c r="AI610" i="19"/>
  <c r="AN610" i="19" s="1"/>
  <c r="AH610" i="19"/>
  <c r="AL609" i="19"/>
  <c r="AK609" i="19"/>
  <c r="AH609" i="19"/>
  <c r="AI609" i="19" s="1"/>
  <c r="AN609" i="19" s="1"/>
  <c r="AL608" i="19"/>
  <c r="AK608" i="19"/>
  <c r="AH608" i="19"/>
  <c r="AI608" i="19" s="1"/>
  <c r="AN608" i="19" s="1"/>
  <c r="AL607" i="19"/>
  <c r="AK607" i="19"/>
  <c r="AH607" i="19"/>
  <c r="AI607" i="19" s="1"/>
  <c r="AN607" i="19" s="1"/>
  <c r="AL606" i="19"/>
  <c r="AK606" i="19"/>
  <c r="AH606" i="19"/>
  <c r="AI606" i="19" s="1"/>
  <c r="AN606" i="19" s="1"/>
  <c r="AN605" i="19"/>
  <c r="AL605" i="19"/>
  <c r="AK605" i="19"/>
  <c r="AH605" i="19"/>
  <c r="AI605" i="19" s="1"/>
  <c r="AL604" i="19"/>
  <c r="AK604" i="19"/>
  <c r="AI604" i="19"/>
  <c r="AN604" i="19" s="1"/>
  <c r="AH604" i="19"/>
  <c r="AN603" i="19"/>
  <c r="AL603" i="19"/>
  <c r="AK603" i="19"/>
  <c r="AI603" i="19"/>
  <c r="AH603" i="19"/>
  <c r="AL602" i="19"/>
  <c r="AK602" i="19"/>
  <c r="AI602" i="19"/>
  <c r="AN602" i="19" s="1"/>
  <c r="AH602" i="19"/>
  <c r="AL601" i="19"/>
  <c r="AK601" i="19"/>
  <c r="AH601" i="19"/>
  <c r="AI601" i="19" s="1"/>
  <c r="AN601" i="19" s="1"/>
  <c r="AL600" i="19"/>
  <c r="AK600" i="19"/>
  <c r="AH600" i="19"/>
  <c r="AI600" i="19" s="1"/>
  <c r="AN600" i="19" s="1"/>
  <c r="AL599" i="19"/>
  <c r="AK599" i="19"/>
  <c r="AH599" i="19"/>
  <c r="AI599" i="19" s="1"/>
  <c r="AN599" i="19" s="1"/>
  <c r="AL598" i="19"/>
  <c r="AK598" i="19"/>
  <c r="AH598" i="19"/>
  <c r="AI598" i="19" s="1"/>
  <c r="AN598" i="19" s="1"/>
  <c r="AL597" i="19"/>
  <c r="AK597" i="19"/>
  <c r="AH597" i="19"/>
  <c r="AI597" i="19" s="1"/>
  <c r="AN597" i="19" s="1"/>
  <c r="AL596" i="19"/>
  <c r="AK596" i="19"/>
  <c r="AI596" i="19"/>
  <c r="AN596" i="19" s="1"/>
  <c r="AH596" i="19"/>
  <c r="AN595" i="19"/>
  <c r="AL595" i="19"/>
  <c r="AK595" i="19"/>
  <c r="AI595" i="19"/>
  <c r="AH595" i="19"/>
  <c r="AL594" i="19"/>
  <c r="AK594" i="19"/>
  <c r="AI594" i="19"/>
  <c r="AN594" i="19" s="1"/>
  <c r="AH594" i="19"/>
  <c r="AL593" i="19"/>
  <c r="AK593" i="19"/>
  <c r="AH593" i="19"/>
  <c r="AI593" i="19" s="1"/>
  <c r="AN593" i="19" s="1"/>
  <c r="AL592" i="19"/>
  <c r="AK592" i="19"/>
  <c r="AH592" i="19"/>
  <c r="AI592" i="19" s="1"/>
  <c r="AN592" i="19" s="1"/>
  <c r="AL591" i="19"/>
  <c r="AK591" i="19"/>
  <c r="AH591" i="19"/>
  <c r="AI591" i="19" s="1"/>
  <c r="AN591" i="19" s="1"/>
  <c r="AL590" i="19"/>
  <c r="AK590" i="19"/>
  <c r="AH590" i="19"/>
  <c r="AI590" i="19" s="1"/>
  <c r="AN590" i="19" s="1"/>
  <c r="BO589" i="19"/>
  <c r="AL589" i="19"/>
  <c r="AK589" i="19"/>
  <c r="AH589" i="19"/>
  <c r="AI589" i="19" s="1"/>
  <c r="AN589" i="19" s="1"/>
  <c r="BO588" i="19"/>
  <c r="AL588" i="19"/>
  <c r="AK588" i="19"/>
  <c r="AI588" i="19"/>
  <c r="AN588" i="19" s="1"/>
  <c r="AH588" i="19"/>
  <c r="AL587" i="19"/>
  <c r="AK587" i="19"/>
  <c r="AH587" i="19"/>
  <c r="AI587" i="19" s="1"/>
  <c r="AN587" i="19" s="1"/>
  <c r="AL586" i="19"/>
  <c r="AK586" i="19"/>
  <c r="AH586" i="19"/>
  <c r="AI586" i="19" s="1"/>
  <c r="AN586" i="19" s="1"/>
  <c r="AL585" i="19"/>
  <c r="AK585" i="19"/>
  <c r="AH585" i="19"/>
  <c r="AI585" i="19" s="1"/>
  <c r="AN585" i="19" s="1"/>
  <c r="AL584" i="19"/>
  <c r="AK584" i="19"/>
  <c r="AH584" i="19"/>
  <c r="AI584" i="19" s="1"/>
  <c r="AN584" i="19" s="1"/>
  <c r="AN583" i="19"/>
  <c r="AL583" i="19"/>
  <c r="AK583" i="19"/>
  <c r="AH583" i="19"/>
  <c r="AI583" i="19" s="1"/>
  <c r="AL582" i="19"/>
  <c r="AK582" i="19"/>
  <c r="AI582" i="19"/>
  <c r="AN582" i="19" s="1"/>
  <c r="AH582" i="19"/>
  <c r="AL581" i="19"/>
  <c r="AK581" i="19"/>
  <c r="AI581" i="19"/>
  <c r="AN581" i="19" s="1"/>
  <c r="AH581" i="19"/>
  <c r="AL580" i="19"/>
  <c r="AK580" i="19"/>
  <c r="AI580" i="19"/>
  <c r="AN580" i="19" s="1"/>
  <c r="AH580" i="19"/>
  <c r="AL579" i="19"/>
  <c r="AK579" i="19"/>
  <c r="AH579" i="19"/>
  <c r="AI579" i="19" s="1"/>
  <c r="AN579" i="19" s="1"/>
  <c r="AL578" i="19"/>
  <c r="AK578" i="19"/>
  <c r="AH578" i="19"/>
  <c r="AI578" i="19" s="1"/>
  <c r="AN578" i="19" s="1"/>
  <c r="AL577" i="19"/>
  <c r="AK577" i="19"/>
  <c r="AH577" i="19"/>
  <c r="AI577" i="19" s="1"/>
  <c r="AN577" i="19" s="1"/>
  <c r="BO576" i="19"/>
  <c r="AL576" i="19"/>
  <c r="AK576" i="19"/>
  <c r="AG576" i="19"/>
  <c r="AF576" i="19"/>
  <c r="AH576" i="19" s="1"/>
  <c r="AI576" i="19" s="1"/>
  <c r="AN576" i="19" s="1"/>
  <c r="AE576" i="19"/>
  <c r="AD576" i="19"/>
  <c r="AC576" i="19"/>
  <c r="AB576" i="19"/>
  <c r="AL575" i="19"/>
  <c r="AK575" i="19"/>
  <c r="AI575" i="19"/>
  <c r="AN575" i="19" s="1"/>
  <c r="AH575" i="19"/>
  <c r="AL574" i="19"/>
  <c r="AK574" i="19"/>
  <c r="AH574" i="19"/>
  <c r="AI574" i="19" s="1"/>
  <c r="AN574" i="19" s="1"/>
  <c r="AL573" i="19"/>
  <c r="AK573" i="19"/>
  <c r="AH573" i="19"/>
  <c r="AI573" i="19" s="1"/>
  <c r="AN573" i="19" s="1"/>
  <c r="AL572" i="19"/>
  <c r="AK572" i="19"/>
  <c r="AH572" i="19"/>
  <c r="AI572" i="19" s="1"/>
  <c r="AN572" i="19" s="1"/>
  <c r="AL571" i="19"/>
  <c r="AK571" i="19"/>
  <c r="AH571" i="19"/>
  <c r="AI571" i="19" s="1"/>
  <c r="AN571" i="19" s="1"/>
  <c r="AL570" i="19"/>
  <c r="AK570" i="19"/>
  <c r="AH570" i="19"/>
  <c r="AI570" i="19" s="1"/>
  <c r="AN570" i="19" s="1"/>
  <c r="AL569" i="19"/>
  <c r="AK569" i="19"/>
  <c r="AI569" i="19"/>
  <c r="AN569" i="19" s="1"/>
  <c r="AH569" i="19"/>
  <c r="AN568" i="19"/>
  <c r="AL568" i="19"/>
  <c r="AK568" i="19"/>
  <c r="AI568" i="19"/>
  <c r="AH568" i="19"/>
  <c r="BO567" i="19"/>
  <c r="AL567" i="19"/>
  <c r="AK567" i="19"/>
  <c r="AH567" i="19"/>
  <c r="AI567" i="19" s="1"/>
  <c r="AN567" i="19" s="1"/>
  <c r="BO566" i="19"/>
  <c r="AL566" i="19"/>
  <c r="AK566" i="19"/>
  <c r="AH566" i="19"/>
  <c r="AI566" i="19" s="1"/>
  <c r="AN566" i="19" s="1"/>
  <c r="AL565" i="19"/>
  <c r="AK565" i="19"/>
  <c r="AH565" i="19"/>
  <c r="AI565" i="19" s="1"/>
  <c r="AN565" i="19" s="1"/>
  <c r="AN564" i="19"/>
  <c r="AL564" i="19"/>
  <c r="AK564" i="19"/>
  <c r="AH564" i="19"/>
  <c r="AI564" i="19" s="1"/>
  <c r="AL563" i="19"/>
  <c r="AK563" i="19"/>
  <c r="AI563" i="19"/>
  <c r="AN563" i="19" s="1"/>
  <c r="AH563" i="19"/>
  <c r="AN562" i="19"/>
  <c r="AL562" i="19"/>
  <c r="AK562" i="19"/>
  <c r="AI562" i="19"/>
  <c r="AH562" i="19"/>
  <c r="AL561" i="19"/>
  <c r="AK561" i="19"/>
  <c r="AI561" i="19"/>
  <c r="AN561" i="19" s="1"/>
  <c r="AH561" i="19"/>
  <c r="BO560" i="19"/>
  <c r="AL560" i="19"/>
  <c r="AK560" i="19"/>
  <c r="AI560" i="19"/>
  <c r="AN560" i="19" s="1"/>
  <c r="AH560" i="19"/>
  <c r="BO559" i="19"/>
  <c r="AL559" i="19"/>
  <c r="AK559" i="19"/>
  <c r="AH559" i="19"/>
  <c r="AI559" i="19" s="1"/>
  <c r="AN559" i="19" s="1"/>
  <c r="AL558" i="19"/>
  <c r="AK558" i="19"/>
  <c r="AH558" i="19"/>
  <c r="AI558" i="19" s="1"/>
  <c r="AN558" i="19" s="1"/>
  <c r="AN557" i="19"/>
  <c r="AL557" i="19"/>
  <c r="AK557" i="19"/>
  <c r="AI557" i="19"/>
  <c r="AH557" i="19"/>
  <c r="BO556" i="19"/>
  <c r="AN556" i="19"/>
  <c r="AL556" i="19"/>
  <c r="AK556" i="19"/>
  <c r="AI556" i="19"/>
  <c r="AH556" i="19"/>
  <c r="AL555" i="19"/>
  <c r="AK555" i="19"/>
  <c r="AH555" i="19"/>
  <c r="AI555" i="19" s="1"/>
  <c r="AN555" i="19" s="1"/>
  <c r="AN554" i="19"/>
  <c r="AL554" i="19"/>
  <c r="AK554" i="19"/>
  <c r="AI554" i="19"/>
  <c r="AH554" i="19"/>
  <c r="AL553" i="19"/>
  <c r="AK553" i="19"/>
  <c r="AI553" i="19"/>
  <c r="AN553" i="19" s="1"/>
  <c r="AH553" i="19"/>
  <c r="AL552" i="19"/>
  <c r="AK552" i="19"/>
  <c r="AI552" i="19"/>
  <c r="AN552" i="19" s="1"/>
  <c r="AH552" i="19"/>
  <c r="BO551" i="19"/>
  <c r="AL551" i="19"/>
  <c r="AK551" i="19"/>
  <c r="AI551" i="19"/>
  <c r="AN551" i="19" s="1"/>
  <c r="AH551" i="19"/>
  <c r="BO550" i="19"/>
  <c r="AN550" i="19"/>
  <c r="AL550" i="19"/>
  <c r="AK550" i="19"/>
  <c r="AI550" i="19"/>
  <c r="AH550" i="19"/>
  <c r="BO549" i="19"/>
  <c r="AL549" i="19"/>
  <c r="AK549" i="19"/>
  <c r="AH549" i="19"/>
  <c r="AI549" i="19" s="1"/>
  <c r="AN549" i="19" s="1"/>
  <c r="BO548" i="19"/>
  <c r="AL548" i="19"/>
  <c r="AK548" i="19"/>
  <c r="AI548" i="19"/>
  <c r="AN548" i="19" s="1"/>
  <c r="AH548" i="19"/>
  <c r="BO547" i="19"/>
  <c r="AL547" i="19"/>
  <c r="AK547" i="19"/>
  <c r="AI547" i="19"/>
  <c r="AN547" i="19" s="1"/>
  <c r="AH547" i="19"/>
  <c r="AN546" i="19"/>
  <c r="AL546" i="19"/>
  <c r="AK546" i="19"/>
  <c r="AI546" i="19"/>
  <c r="AH546" i="19"/>
  <c r="AL545" i="19"/>
  <c r="AK545" i="19"/>
  <c r="AI545" i="19"/>
  <c r="AN545" i="19" s="1"/>
  <c r="AH545" i="19"/>
  <c r="AL544" i="19"/>
  <c r="AK544" i="19"/>
  <c r="AH544" i="19"/>
  <c r="AI544" i="19" s="1"/>
  <c r="AN544" i="19" s="1"/>
  <c r="BO543" i="19"/>
  <c r="AL543" i="19"/>
  <c r="AK543" i="19"/>
  <c r="AI543" i="19"/>
  <c r="AN543" i="19" s="1"/>
  <c r="AH543" i="19"/>
  <c r="AL542" i="19"/>
  <c r="AK542" i="19"/>
  <c r="AI542" i="19"/>
  <c r="AN542" i="19" s="1"/>
  <c r="AH542" i="19"/>
  <c r="AL541" i="19"/>
  <c r="AK541" i="19"/>
  <c r="AH541" i="19"/>
  <c r="AI541" i="19" s="1"/>
  <c r="AN541" i="19" s="1"/>
  <c r="AL540" i="19"/>
  <c r="AK540" i="19"/>
  <c r="AH540" i="19"/>
  <c r="AI540" i="19" s="1"/>
  <c r="AN540" i="19" s="1"/>
  <c r="AL539" i="19"/>
  <c r="AK539" i="19"/>
  <c r="AH539" i="19"/>
  <c r="AI539" i="19" s="1"/>
  <c r="AN539" i="19" s="1"/>
  <c r="AN538" i="19"/>
  <c r="AL538" i="19"/>
  <c r="AK538" i="19"/>
  <c r="AI538" i="19"/>
  <c r="AH538" i="19"/>
  <c r="AN537" i="19"/>
  <c r="AL537" i="19"/>
  <c r="AK537" i="19"/>
  <c r="AI537" i="19"/>
  <c r="AH537" i="19"/>
  <c r="AN536" i="19"/>
  <c r="AL536" i="19"/>
  <c r="AK536" i="19"/>
  <c r="AI536" i="19"/>
  <c r="AH536" i="19"/>
  <c r="AL535" i="19"/>
  <c r="AK535" i="19"/>
  <c r="AI535" i="19"/>
  <c r="AN535" i="19" s="1"/>
  <c r="AH535" i="19"/>
  <c r="BO534" i="19"/>
  <c r="AN534" i="19"/>
  <c r="AL534" i="19"/>
  <c r="AK534" i="19"/>
  <c r="AI534" i="19"/>
  <c r="AH534" i="19"/>
  <c r="BO533" i="19"/>
  <c r="AL533" i="19"/>
  <c r="AK533" i="19"/>
  <c r="AH533" i="19"/>
  <c r="AI533" i="19" s="1"/>
  <c r="AN533" i="19" s="1"/>
  <c r="BO532" i="19"/>
  <c r="AL532" i="19"/>
  <c r="AK532" i="19"/>
  <c r="AH532" i="19"/>
  <c r="AI532" i="19" s="1"/>
  <c r="AN532" i="19" s="1"/>
  <c r="AE532" i="19"/>
  <c r="BO531" i="19"/>
  <c r="AL531" i="19"/>
  <c r="AK531" i="19"/>
  <c r="AE531" i="19"/>
  <c r="AH531" i="19" s="1"/>
  <c r="AI531" i="19" s="1"/>
  <c r="AN531" i="19" s="1"/>
  <c r="AL530" i="19"/>
  <c r="AK530" i="19"/>
  <c r="AH530" i="19"/>
  <c r="AI530" i="19" s="1"/>
  <c r="AN530" i="19" s="1"/>
  <c r="AL529" i="19"/>
  <c r="AK529" i="19"/>
  <c r="AH529" i="19"/>
  <c r="AI529" i="19" s="1"/>
  <c r="AN529" i="19" s="1"/>
  <c r="BO528" i="19"/>
  <c r="AL528" i="19"/>
  <c r="AK528" i="19"/>
  <c r="AH528" i="19"/>
  <c r="AI528" i="19" s="1"/>
  <c r="AN528" i="19" s="1"/>
  <c r="AL527" i="19"/>
  <c r="AK527" i="19"/>
  <c r="AH527" i="19"/>
  <c r="AI527" i="19" s="1"/>
  <c r="AN527" i="19" s="1"/>
  <c r="AL526" i="19"/>
  <c r="AK526" i="19"/>
  <c r="AF526" i="19"/>
  <c r="AE526" i="19"/>
  <c r="AC526" i="19"/>
  <c r="AH526" i="19" s="1"/>
  <c r="AI526" i="19" s="1"/>
  <c r="AN526" i="19" s="1"/>
  <c r="AB526" i="19"/>
  <c r="AL525" i="19"/>
  <c r="AK525" i="19"/>
  <c r="AF525" i="19"/>
  <c r="AE525" i="19"/>
  <c r="AH525" i="19" s="1"/>
  <c r="AI525" i="19" s="1"/>
  <c r="AN525" i="19" s="1"/>
  <c r="AC525" i="19"/>
  <c r="AB525" i="19"/>
  <c r="AN524" i="19"/>
  <c r="AL524" i="19"/>
  <c r="AK524" i="19"/>
  <c r="AI524" i="19"/>
  <c r="AH524" i="19"/>
  <c r="BO523" i="19"/>
  <c r="AL523" i="19"/>
  <c r="AK523" i="19"/>
  <c r="AH523" i="19"/>
  <c r="AI523" i="19" s="1"/>
  <c r="AN523" i="19" s="1"/>
  <c r="BO522" i="19"/>
  <c r="AL522" i="19"/>
  <c r="AK522" i="19"/>
  <c r="AH522" i="19"/>
  <c r="AI522" i="19" s="1"/>
  <c r="AN522" i="19" s="1"/>
  <c r="BO521" i="19"/>
  <c r="AN521" i="19"/>
  <c r="AL521" i="19"/>
  <c r="AK521" i="19"/>
  <c r="AI521" i="19"/>
  <c r="AH521" i="19"/>
  <c r="BO520" i="19"/>
  <c r="AN520" i="19"/>
  <c r="AL520" i="19"/>
  <c r="AK520" i="19"/>
  <c r="AI520" i="19"/>
  <c r="AH520" i="19"/>
  <c r="BO519" i="19"/>
  <c r="AL519" i="19"/>
  <c r="AK519" i="19"/>
  <c r="AH519" i="19"/>
  <c r="AI519" i="19" s="1"/>
  <c r="AN519" i="19" s="1"/>
  <c r="BO518" i="19"/>
  <c r="AL518" i="19"/>
  <c r="AK518" i="19"/>
  <c r="AH518" i="19"/>
  <c r="AI518" i="19" s="1"/>
  <c r="AN518" i="19" s="1"/>
  <c r="AL517" i="19"/>
  <c r="AK517" i="19"/>
  <c r="AH517" i="19"/>
  <c r="AI517" i="19" s="1"/>
  <c r="AN517" i="19" s="1"/>
  <c r="AL516" i="19"/>
  <c r="AK516" i="19"/>
  <c r="AH516" i="19"/>
  <c r="AI516" i="19" s="1"/>
  <c r="AN516" i="19" s="1"/>
  <c r="AL515" i="19"/>
  <c r="AK515" i="19"/>
  <c r="AH515" i="19"/>
  <c r="AI515" i="19" s="1"/>
  <c r="AN515" i="19" s="1"/>
  <c r="AN514" i="19"/>
  <c r="AL514" i="19"/>
  <c r="AK514" i="19"/>
  <c r="AI514" i="19"/>
  <c r="AH514" i="19"/>
  <c r="BO513" i="19"/>
  <c r="AL513" i="19"/>
  <c r="AK513" i="19"/>
  <c r="AH513" i="19"/>
  <c r="AI513" i="19" s="1"/>
  <c r="AN513" i="19" s="1"/>
  <c r="AL512" i="19"/>
  <c r="AK512" i="19"/>
  <c r="AH512" i="19"/>
  <c r="AI512" i="19" s="1"/>
  <c r="AN512" i="19" s="1"/>
  <c r="AN511" i="19"/>
  <c r="AL511" i="19"/>
  <c r="AK511" i="19"/>
  <c r="AI511" i="19"/>
  <c r="AH511" i="19"/>
  <c r="AL510" i="19"/>
  <c r="AK510" i="19"/>
  <c r="AI510" i="19"/>
  <c r="AN510" i="19" s="1"/>
  <c r="AH510" i="19"/>
  <c r="AN509" i="19"/>
  <c r="AL509" i="19"/>
  <c r="AK509" i="19"/>
  <c r="AI509" i="19"/>
  <c r="AH509" i="19"/>
  <c r="AL508" i="19"/>
  <c r="AK508" i="19"/>
  <c r="AI508" i="19"/>
  <c r="AN508" i="19" s="1"/>
  <c r="AH508" i="19"/>
  <c r="AL507" i="19"/>
  <c r="AK507" i="19"/>
  <c r="AH507" i="19"/>
  <c r="AI507" i="19" s="1"/>
  <c r="AN507" i="19" s="1"/>
  <c r="AL506" i="19"/>
  <c r="AK506" i="19"/>
  <c r="AH506" i="19"/>
  <c r="AI506" i="19" s="1"/>
  <c r="AN506" i="19" s="1"/>
  <c r="AL505" i="19"/>
  <c r="AK505" i="19"/>
  <c r="AH505" i="19"/>
  <c r="AI505" i="19" s="1"/>
  <c r="AN505" i="19" s="1"/>
  <c r="AL504" i="19"/>
  <c r="AK504" i="19"/>
  <c r="AH504" i="19"/>
  <c r="AI504" i="19" s="1"/>
  <c r="AN504" i="19" s="1"/>
  <c r="AN503" i="19"/>
  <c r="AL503" i="19"/>
  <c r="AK503" i="19"/>
  <c r="AI503" i="19"/>
  <c r="AH503" i="19"/>
  <c r="AL502" i="19"/>
  <c r="AK502" i="19"/>
  <c r="AI502" i="19"/>
  <c r="AN502" i="19" s="1"/>
  <c r="AH502" i="19"/>
  <c r="AL501" i="19"/>
  <c r="AK501" i="19"/>
  <c r="AE501" i="19"/>
  <c r="AH501" i="19" s="1"/>
  <c r="AI501" i="19" s="1"/>
  <c r="AN501" i="19" s="1"/>
  <c r="AN500" i="19"/>
  <c r="AL500" i="19"/>
  <c r="AK500" i="19"/>
  <c r="AI500" i="19"/>
  <c r="AH500" i="19"/>
  <c r="AL499" i="19"/>
  <c r="AK499" i="19"/>
  <c r="AI499" i="19"/>
  <c r="AN499" i="19" s="1"/>
  <c r="AH499" i="19"/>
  <c r="AN498" i="19"/>
  <c r="AL498" i="19"/>
  <c r="AK498" i="19"/>
  <c r="AI498" i="19"/>
  <c r="AH498" i="19"/>
  <c r="AL497" i="19"/>
  <c r="AK497" i="19"/>
  <c r="AI497" i="19"/>
  <c r="AN497" i="19" s="1"/>
  <c r="AH497" i="19"/>
  <c r="AL496" i="19"/>
  <c r="AK496" i="19"/>
  <c r="AH496" i="19"/>
  <c r="AI496" i="19" s="1"/>
  <c r="AN496" i="19" s="1"/>
  <c r="AL495" i="19"/>
  <c r="AK495" i="19"/>
  <c r="AF495" i="19"/>
  <c r="AE495" i="19"/>
  <c r="AC495" i="19"/>
  <c r="AH495" i="19" s="1"/>
  <c r="AI495" i="19" s="1"/>
  <c r="AN495" i="19" s="1"/>
  <c r="AB495" i="19"/>
  <c r="AL494" i="19"/>
  <c r="AK494" i="19"/>
  <c r="AI494" i="19"/>
  <c r="AN494" i="19" s="1"/>
  <c r="AH494" i="19"/>
  <c r="BO493" i="19"/>
  <c r="AN493" i="19"/>
  <c r="AL493" i="19"/>
  <c r="AK493" i="19"/>
  <c r="AI493" i="19"/>
  <c r="AH493" i="19"/>
  <c r="BO492" i="19"/>
  <c r="AL492" i="19"/>
  <c r="AK492" i="19"/>
  <c r="AH492" i="19"/>
  <c r="AI492" i="19" s="1"/>
  <c r="AN492" i="19" s="1"/>
  <c r="BO491" i="19"/>
  <c r="AL491" i="19"/>
  <c r="AK491" i="19"/>
  <c r="AH491" i="19"/>
  <c r="AI491" i="19" s="1"/>
  <c r="AN491" i="19" s="1"/>
  <c r="BO490" i="19"/>
  <c r="AL490" i="19"/>
  <c r="AK490" i="19"/>
  <c r="AI490" i="19"/>
  <c r="AN490" i="19" s="1"/>
  <c r="AH490" i="19"/>
  <c r="AL489" i="19"/>
  <c r="AK489" i="19"/>
  <c r="AI489" i="19"/>
  <c r="AN489" i="19" s="1"/>
  <c r="AH489" i="19"/>
  <c r="AL488" i="19"/>
  <c r="AK488" i="19"/>
  <c r="AH488" i="19"/>
  <c r="AI488" i="19" s="1"/>
  <c r="AN488" i="19" s="1"/>
  <c r="BO487" i="19"/>
  <c r="AL487" i="19"/>
  <c r="AK487" i="19"/>
  <c r="AI487" i="19"/>
  <c r="AN487" i="19" s="1"/>
  <c r="AH487" i="19"/>
  <c r="AL486" i="19"/>
  <c r="AK486" i="19"/>
  <c r="AI486" i="19"/>
  <c r="AN486" i="19" s="1"/>
  <c r="AF486" i="19"/>
  <c r="AE486" i="19"/>
  <c r="AH486" i="19" s="1"/>
  <c r="AC486" i="19"/>
  <c r="AB486" i="19"/>
  <c r="AN485" i="19"/>
  <c r="AL485" i="19"/>
  <c r="AK485" i="19"/>
  <c r="AI485" i="19"/>
  <c r="AH485" i="19"/>
  <c r="BO484" i="19"/>
  <c r="AL484" i="19"/>
  <c r="AK484" i="19"/>
  <c r="AH484" i="19"/>
  <c r="AI484" i="19" s="1"/>
  <c r="AN484" i="19" s="1"/>
  <c r="AL483" i="19"/>
  <c r="AK483" i="19"/>
  <c r="AH483" i="19"/>
  <c r="AI483" i="19" s="1"/>
  <c r="AN483" i="19" s="1"/>
  <c r="AN482" i="19"/>
  <c r="AL482" i="19"/>
  <c r="AK482" i="19"/>
  <c r="AI482" i="19"/>
  <c r="AH482" i="19"/>
  <c r="BO481" i="19"/>
  <c r="AL481" i="19"/>
  <c r="AK481" i="19"/>
  <c r="AH481" i="19"/>
  <c r="AI481" i="19" s="1"/>
  <c r="AN481" i="19" s="1"/>
  <c r="BO480" i="19"/>
  <c r="AL480" i="19"/>
  <c r="AK480" i="19"/>
  <c r="AH480" i="19"/>
  <c r="AI480" i="19" s="1"/>
  <c r="AN480" i="19" s="1"/>
  <c r="AL479" i="19"/>
  <c r="AK479" i="19"/>
  <c r="AH479" i="19"/>
  <c r="AI479" i="19" s="1"/>
  <c r="AN479" i="19" s="1"/>
  <c r="AF479" i="19"/>
  <c r="AE479" i="19"/>
  <c r="AC479" i="19"/>
  <c r="AB479" i="19"/>
  <c r="AN478" i="19"/>
  <c r="AL478" i="19"/>
  <c r="AK478" i="19"/>
  <c r="AI478" i="19"/>
  <c r="AH478" i="19"/>
  <c r="AL477" i="19"/>
  <c r="AK477" i="19"/>
  <c r="AI477" i="19"/>
  <c r="AN477" i="19" s="1"/>
  <c r="AH477" i="19"/>
  <c r="BO476" i="19"/>
  <c r="AN476" i="19"/>
  <c r="AL476" i="19"/>
  <c r="AK476" i="19"/>
  <c r="AI476" i="19"/>
  <c r="AH476" i="19"/>
  <c r="BO475" i="19"/>
  <c r="AL475" i="19"/>
  <c r="AK475" i="19"/>
  <c r="AH475" i="19"/>
  <c r="AI475" i="19" s="1"/>
  <c r="AN475" i="19" s="1"/>
  <c r="BO474" i="19"/>
  <c r="AL474" i="19"/>
  <c r="AK474" i="19"/>
  <c r="AH474" i="19"/>
  <c r="AI474" i="19" s="1"/>
  <c r="AN474" i="19" s="1"/>
  <c r="BO473" i="19"/>
  <c r="AL473" i="19"/>
  <c r="AK473" i="19"/>
  <c r="AI473" i="19"/>
  <c r="AN473" i="19" s="1"/>
  <c r="AH473" i="19"/>
  <c r="BO472" i="19"/>
  <c r="AL472" i="19"/>
  <c r="AK472" i="19"/>
  <c r="AI472" i="19"/>
  <c r="AN472" i="19" s="1"/>
  <c r="AH472" i="19"/>
  <c r="BO471" i="19"/>
  <c r="AL471" i="19"/>
  <c r="AK471" i="19"/>
  <c r="AH471" i="19"/>
  <c r="AI471" i="19" s="1"/>
  <c r="AN471" i="19" s="1"/>
  <c r="BO470" i="19"/>
  <c r="AL470" i="19"/>
  <c r="AK470" i="19"/>
  <c r="AH470" i="19"/>
  <c r="AI470" i="19" s="1"/>
  <c r="AN470" i="19" s="1"/>
  <c r="BO469" i="19"/>
  <c r="AL469" i="19"/>
  <c r="AK469" i="19"/>
  <c r="AI469" i="19"/>
  <c r="AN469" i="19" s="1"/>
  <c r="AH469" i="19"/>
  <c r="BO468" i="19"/>
  <c r="AN468" i="19"/>
  <c r="AL468" i="19"/>
  <c r="AK468" i="19"/>
  <c r="AI468" i="19"/>
  <c r="AH468" i="19"/>
  <c r="BO467" i="19"/>
  <c r="AL467" i="19"/>
  <c r="AK467" i="19"/>
  <c r="AH467" i="19"/>
  <c r="AI467" i="19" s="1"/>
  <c r="AN467" i="19" s="1"/>
  <c r="BO466" i="19"/>
  <c r="AL466" i="19"/>
  <c r="AK466" i="19"/>
  <c r="AH466" i="19"/>
  <c r="AI466" i="19" s="1"/>
  <c r="AN466" i="19" s="1"/>
  <c r="BO465" i="19"/>
  <c r="AL465" i="19"/>
  <c r="AK465" i="19"/>
  <c r="AI465" i="19"/>
  <c r="AN465" i="19" s="1"/>
  <c r="AH465" i="19"/>
  <c r="AL464" i="19"/>
  <c r="AK464" i="19"/>
  <c r="AF464" i="19"/>
  <c r="AE464" i="19"/>
  <c r="AH464" i="19" s="1"/>
  <c r="AI464" i="19" s="1"/>
  <c r="AN464" i="19" s="1"/>
  <c r="AC464" i="19"/>
  <c r="AB464" i="19"/>
  <c r="BO463" i="19"/>
  <c r="AL463" i="19"/>
  <c r="AK463" i="19"/>
  <c r="AH463" i="19"/>
  <c r="AI463" i="19" s="1"/>
  <c r="AN463" i="19" s="1"/>
  <c r="BO462" i="19"/>
  <c r="AL462" i="19"/>
  <c r="AK462" i="19"/>
  <c r="AH462" i="19"/>
  <c r="AI462" i="19" s="1"/>
  <c r="AN462" i="19" s="1"/>
  <c r="BO461" i="19"/>
  <c r="AN461" i="19"/>
  <c r="AL461" i="19"/>
  <c r="AK461" i="19"/>
  <c r="AI461" i="19"/>
  <c r="AH461" i="19"/>
  <c r="BO460" i="19"/>
  <c r="AN460" i="19"/>
  <c r="AL460" i="19"/>
  <c r="AK460" i="19"/>
  <c r="AI460" i="19"/>
  <c r="AH460" i="19"/>
  <c r="BO459" i="19"/>
  <c r="AL459" i="19"/>
  <c r="AK459" i="19"/>
  <c r="AH459" i="19"/>
  <c r="AI459" i="19" s="1"/>
  <c r="AN459" i="19" s="1"/>
  <c r="BO458" i="19"/>
  <c r="AL458" i="19"/>
  <c r="AK458" i="19"/>
  <c r="AH458" i="19"/>
  <c r="AI458" i="19" s="1"/>
  <c r="AN458" i="19" s="1"/>
  <c r="BO457" i="19"/>
  <c r="AL457" i="19"/>
  <c r="AK457" i="19"/>
  <c r="AI457" i="19"/>
  <c r="AN457" i="19" s="1"/>
  <c r="AH457" i="19"/>
  <c r="BO456" i="19"/>
  <c r="AN456" i="19"/>
  <c r="AL456" i="19"/>
  <c r="AK456" i="19"/>
  <c r="AI456" i="19"/>
  <c r="AH456" i="19"/>
  <c r="BO455" i="19"/>
  <c r="AN455" i="19"/>
  <c r="AL455" i="19"/>
  <c r="AK455" i="19"/>
  <c r="AH455" i="19"/>
  <c r="AI455" i="19" s="1"/>
  <c r="BO454" i="19"/>
  <c r="AL454" i="19"/>
  <c r="AK454" i="19"/>
  <c r="AH454" i="19"/>
  <c r="AI454" i="19" s="1"/>
  <c r="AN454" i="19" s="1"/>
  <c r="BO453" i="19"/>
  <c r="AL453" i="19"/>
  <c r="AK453" i="19"/>
  <c r="AH453" i="19"/>
  <c r="AI453" i="19" s="1"/>
  <c r="AN453" i="19" s="1"/>
  <c r="BO452" i="19"/>
  <c r="AN452" i="19"/>
  <c r="AL452" i="19"/>
  <c r="AK452" i="19"/>
  <c r="AI452" i="19"/>
  <c r="AH452" i="19"/>
  <c r="BO451" i="19"/>
  <c r="AN451" i="19"/>
  <c r="AL451" i="19"/>
  <c r="AK451" i="19"/>
  <c r="AH451" i="19"/>
  <c r="AI451" i="19" s="1"/>
  <c r="BO450" i="19"/>
  <c r="AL450" i="19"/>
  <c r="AK450" i="19"/>
  <c r="AH450" i="19"/>
  <c r="AI450" i="19" s="1"/>
  <c r="AN450" i="19" s="1"/>
  <c r="BO449" i="19"/>
  <c r="AL449" i="19"/>
  <c r="AK449" i="19"/>
  <c r="AH449" i="19"/>
  <c r="AI449" i="19" s="1"/>
  <c r="AN449" i="19" s="1"/>
  <c r="BO448" i="19"/>
  <c r="AN448" i="19"/>
  <c r="AL448" i="19"/>
  <c r="AK448" i="19"/>
  <c r="AI448" i="19"/>
  <c r="AH448" i="19"/>
  <c r="BO447" i="19"/>
  <c r="AL447" i="19"/>
  <c r="AK447" i="19"/>
  <c r="AH447" i="19"/>
  <c r="AI447" i="19" s="1"/>
  <c r="AN447" i="19" s="1"/>
  <c r="BO446" i="19"/>
  <c r="AL446" i="19"/>
  <c r="AK446" i="19"/>
  <c r="AH446" i="19"/>
  <c r="AI446" i="19" s="1"/>
  <c r="AN446" i="19" s="1"/>
  <c r="BO445" i="19"/>
  <c r="AL445" i="19"/>
  <c r="AK445" i="19"/>
  <c r="AH445" i="19"/>
  <c r="AI445" i="19" s="1"/>
  <c r="AN445" i="19" s="1"/>
  <c r="BO444" i="19"/>
  <c r="AN444" i="19"/>
  <c r="AL444" i="19"/>
  <c r="AK444" i="19"/>
  <c r="AI444" i="19"/>
  <c r="AH444" i="19"/>
  <c r="BO443" i="19"/>
  <c r="AN443" i="19"/>
  <c r="AL443" i="19"/>
  <c r="AK443" i="19"/>
  <c r="AH443" i="19"/>
  <c r="AI443" i="19" s="1"/>
  <c r="BO442" i="19"/>
  <c r="AL442" i="19"/>
  <c r="AK442" i="19"/>
  <c r="AH442" i="19"/>
  <c r="AI442" i="19" s="1"/>
  <c r="AN442" i="19" s="1"/>
  <c r="BO441" i="19"/>
  <c r="AL441" i="19"/>
  <c r="AK441" i="19"/>
  <c r="AI441" i="19"/>
  <c r="AN441" i="19" s="1"/>
  <c r="AH441" i="19"/>
  <c r="BO440" i="19"/>
  <c r="AN440" i="19"/>
  <c r="AL440" i="19"/>
  <c r="AK440" i="19"/>
  <c r="AI440" i="19"/>
  <c r="AH440" i="19"/>
  <c r="BO439" i="19"/>
  <c r="AL439" i="19"/>
  <c r="AK439" i="19"/>
  <c r="AH439" i="19"/>
  <c r="AI439" i="19" s="1"/>
  <c r="AN439" i="19" s="1"/>
  <c r="BO438" i="19"/>
  <c r="AL438" i="19"/>
  <c r="AK438" i="19"/>
  <c r="AH438" i="19"/>
  <c r="AI438" i="19" s="1"/>
  <c r="AN438" i="19" s="1"/>
  <c r="AL437" i="19"/>
  <c r="AK437" i="19"/>
  <c r="AF437" i="19"/>
  <c r="AH437" i="19" s="1"/>
  <c r="AI437" i="19" s="1"/>
  <c r="AN437" i="19" s="1"/>
  <c r="AE437" i="19"/>
  <c r="AC437" i="19"/>
  <c r="AB437" i="19"/>
  <c r="AL436" i="19"/>
  <c r="AK436" i="19"/>
  <c r="AH436" i="19"/>
  <c r="AI436" i="19" s="1"/>
  <c r="AN436" i="19" s="1"/>
  <c r="BO435" i="19"/>
  <c r="AN435" i="19"/>
  <c r="AL435" i="19"/>
  <c r="AK435" i="19"/>
  <c r="AI435" i="19"/>
  <c r="AH435" i="19"/>
  <c r="BO434" i="19"/>
  <c r="AN434" i="19"/>
  <c r="AL434" i="19"/>
  <c r="AK434" i="19"/>
  <c r="AH434" i="19"/>
  <c r="AI434" i="19" s="1"/>
  <c r="AL433" i="19"/>
  <c r="AK433" i="19"/>
  <c r="AI433" i="19"/>
  <c r="AN433" i="19" s="1"/>
  <c r="AH433" i="19"/>
  <c r="BO432" i="19"/>
  <c r="AL432" i="19"/>
  <c r="AK432" i="19"/>
  <c r="AH432" i="19"/>
  <c r="AI432" i="19" s="1"/>
  <c r="AN432" i="19" s="1"/>
  <c r="BO431" i="19"/>
  <c r="AL431" i="19"/>
  <c r="AK431" i="19"/>
  <c r="AI431" i="19"/>
  <c r="AN431" i="19" s="1"/>
  <c r="AH431" i="19"/>
  <c r="BO430" i="19"/>
  <c r="AN430" i="19"/>
  <c r="AL430" i="19"/>
  <c r="AK430" i="19"/>
  <c r="AI430" i="19"/>
  <c r="AH430" i="19"/>
  <c r="AL429" i="19"/>
  <c r="AK429" i="19"/>
  <c r="AH429" i="19"/>
  <c r="AI429" i="19" s="1"/>
  <c r="AN429" i="19" s="1"/>
  <c r="AL428" i="19"/>
  <c r="AK428" i="19"/>
  <c r="AI428" i="19"/>
  <c r="AN428" i="19" s="1"/>
  <c r="AH428" i="19"/>
  <c r="W428" i="19"/>
  <c r="AL427" i="19"/>
  <c r="AK427" i="19"/>
  <c r="AI427" i="19"/>
  <c r="AN427" i="19" s="1"/>
  <c r="AH427" i="19"/>
  <c r="AL426" i="19"/>
  <c r="AK426" i="19"/>
  <c r="AH426" i="19"/>
  <c r="AI426" i="19" s="1"/>
  <c r="AN426" i="19" s="1"/>
  <c r="AL425" i="19"/>
  <c r="AK425" i="19"/>
  <c r="AI425" i="19"/>
  <c r="AN425" i="19" s="1"/>
  <c r="AH425" i="19"/>
  <c r="AL424" i="19"/>
  <c r="AK424" i="19"/>
  <c r="AH424" i="19"/>
  <c r="AI424" i="19" s="1"/>
  <c r="AN424" i="19" s="1"/>
  <c r="AL423" i="19"/>
  <c r="AK423" i="19"/>
  <c r="AH423" i="19"/>
  <c r="AI423" i="19" s="1"/>
  <c r="AN423" i="19" s="1"/>
  <c r="AL422" i="19"/>
  <c r="AK422" i="19"/>
  <c r="AH422" i="19"/>
  <c r="AI422" i="19" s="1"/>
  <c r="AN422" i="19" s="1"/>
  <c r="AL421" i="19"/>
  <c r="AK421" i="19"/>
  <c r="AI421" i="19"/>
  <c r="AN421" i="19" s="1"/>
  <c r="AH421" i="19"/>
  <c r="AN420" i="19"/>
  <c r="AL420" i="19"/>
  <c r="AK420" i="19"/>
  <c r="AI420" i="19"/>
  <c r="AH420" i="19"/>
  <c r="AN419" i="19"/>
  <c r="AL419" i="19"/>
  <c r="AK419" i="19"/>
  <c r="AI419" i="19"/>
  <c r="AH419" i="19"/>
  <c r="AL418" i="19"/>
  <c r="AK418" i="19"/>
  <c r="AH418" i="19"/>
  <c r="AI418" i="19" s="1"/>
  <c r="AN418" i="19" s="1"/>
  <c r="AL417" i="19"/>
  <c r="AK417" i="19"/>
  <c r="AH417" i="19"/>
  <c r="AI417" i="19" s="1"/>
  <c r="AN417" i="19" s="1"/>
  <c r="AL416" i="19"/>
  <c r="AK416" i="19"/>
  <c r="AH416" i="19"/>
  <c r="AI416" i="19" s="1"/>
  <c r="AN416" i="19" s="1"/>
  <c r="AL415" i="19"/>
  <c r="AK415" i="19"/>
  <c r="AH415" i="19"/>
  <c r="AI415" i="19" s="1"/>
  <c r="AN415" i="19" s="1"/>
  <c r="AN414" i="19"/>
  <c r="AL414" i="19"/>
  <c r="AK414" i="19"/>
  <c r="AH414" i="19"/>
  <c r="AI414" i="19" s="1"/>
  <c r="AL413" i="19"/>
  <c r="AK413" i="19"/>
  <c r="AC413" i="19"/>
  <c r="AH413" i="19" s="1"/>
  <c r="AI413" i="19" s="1"/>
  <c r="AN413" i="19" s="1"/>
  <c r="AL412" i="19"/>
  <c r="AK412" i="19"/>
  <c r="AH412" i="19"/>
  <c r="AI412" i="19" s="1"/>
  <c r="AN412" i="19" s="1"/>
  <c r="BO411" i="19"/>
  <c r="AL411" i="19"/>
  <c r="AK411" i="19"/>
  <c r="AG411" i="19"/>
  <c r="AF411" i="19"/>
  <c r="AH411" i="19" s="1"/>
  <c r="AI411" i="19" s="1"/>
  <c r="AN411" i="19" s="1"/>
  <c r="AE411" i="19"/>
  <c r="AD411" i="19"/>
  <c r="AC411" i="19"/>
  <c r="AB411" i="19"/>
  <c r="AL410" i="19"/>
  <c r="AK410" i="19"/>
  <c r="AI410" i="19"/>
  <c r="AN410" i="19" s="1"/>
  <c r="AH410" i="19"/>
  <c r="AL409" i="19"/>
  <c r="AK409" i="19"/>
  <c r="AI409" i="19"/>
  <c r="AN409" i="19" s="1"/>
  <c r="AH409" i="19"/>
  <c r="AL408" i="19"/>
  <c r="AK408" i="19"/>
  <c r="AH408" i="19"/>
  <c r="AI408" i="19" s="1"/>
  <c r="AN408" i="19" s="1"/>
  <c r="BO407" i="19"/>
  <c r="AL407" i="19"/>
  <c r="AK407" i="19"/>
  <c r="AH407" i="19"/>
  <c r="AI407" i="19" s="1"/>
  <c r="AN407" i="19" s="1"/>
  <c r="BO406" i="19"/>
  <c r="AN406" i="19"/>
  <c r="AL406" i="19"/>
  <c r="AK406" i="19"/>
  <c r="AI406" i="19"/>
  <c r="AH406" i="19"/>
  <c r="AL405" i="19"/>
  <c r="AK405" i="19"/>
  <c r="AI405" i="19"/>
  <c r="AN405" i="19" s="1"/>
  <c r="AH405" i="19"/>
  <c r="AL404" i="19"/>
  <c r="AK404" i="19"/>
  <c r="AH404" i="19"/>
  <c r="AI404" i="19" s="1"/>
  <c r="AN404" i="19" s="1"/>
  <c r="AL403" i="19"/>
  <c r="AK403" i="19"/>
  <c r="AH403" i="19"/>
  <c r="AI403" i="19" s="1"/>
  <c r="AN403" i="19" s="1"/>
  <c r="BO402" i="19"/>
  <c r="AL402" i="19"/>
  <c r="AK402" i="19"/>
  <c r="AI402" i="19"/>
  <c r="AN402" i="19" s="1"/>
  <c r="AH402" i="19"/>
  <c r="BO401" i="19"/>
  <c r="AN401" i="19"/>
  <c r="AL401" i="19"/>
  <c r="AK401" i="19"/>
  <c r="AI401" i="19"/>
  <c r="AH401" i="19"/>
  <c r="BO400" i="19"/>
  <c r="AL400" i="19"/>
  <c r="AK400" i="19"/>
  <c r="AH400" i="19"/>
  <c r="AI400" i="19" s="1"/>
  <c r="AN400" i="19" s="1"/>
  <c r="AL399" i="19"/>
  <c r="AK399" i="19"/>
  <c r="AH399" i="19"/>
  <c r="AI399" i="19" s="1"/>
  <c r="AN399" i="19" s="1"/>
  <c r="AL398" i="19"/>
  <c r="AK398" i="19"/>
  <c r="AI398" i="19"/>
  <c r="AN398" i="19" s="1"/>
  <c r="AH398" i="19"/>
  <c r="AL397" i="19"/>
  <c r="AK397" i="19"/>
  <c r="AI397" i="19"/>
  <c r="AN397" i="19" s="1"/>
  <c r="AH397" i="19"/>
  <c r="AL396" i="19"/>
  <c r="AK396" i="19"/>
  <c r="AI396" i="19"/>
  <c r="AN396" i="19" s="1"/>
  <c r="AH396" i="19"/>
  <c r="AL395" i="19"/>
  <c r="AK395" i="19"/>
  <c r="AH395" i="19"/>
  <c r="AI395" i="19" s="1"/>
  <c r="AN395" i="19" s="1"/>
  <c r="AL394" i="19"/>
  <c r="AK394" i="19"/>
  <c r="AH394" i="19"/>
  <c r="AI394" i="19" s="1"/>
  <c r="AN394" i="19" s="1"/>
  <c r="AL393" i="19"/>
  <c r="AK393" i="19"/>
  <c r="AH393" i="19"/>
  <c r="AI393" i="19" s="1"/>
  <c r="AN393" i="19" s="1"/>
  <c r="AL392" i="19"/>
  <c r="AK392" i="19"/>
  <c r="AH392" i="19"/>
  <c r="AI392" i="19" s="1"/>
  <c r="AN392" i="19" s="1"/>
  <c r="AL391" i="19"/>
  <c r="AK391" i="19"/>
  <c r="AH391" i="19"/>
  <c r="AI391" i="19" s="1"/>
  <c r="AN391" i="19" s="1"/>
  <c r="AL390" i="19"/>
  <c r="AK390" i="19"/>
  <c r="AI390" i="19"/>
  <c r="AN390" i="19" s="1"/>
  <c r="AH390" i="19"/>
  <c r="AN389" i="19"/>
  <c r="AL389" i="19"/>
  <c r="AK389" i="19"/>
  <c r="AI389" i="19"/>
  <c r="AH389" i="19"/>
  <c r="AL388" i="19"/>
  <c r="AK388" i="19"/>
  <c r="AI388" i="19"/>
  <c r="AN388" i="19" s="1"/>
  <c r="AH388" i="19"/>
  <c r="AN387" i="19"/>
  <c r="AL387" i="19"/>
  <c r="AK387" i="19"/>
  <c r="AI387" i="19"/>
  <c r="AH387" i="19"/>
  <c r="AL386" i="19"/>
  <c r="AK386" i="19"/>
  <c r="AH386" i="19"/>
  <c r="AI386" i="19" s="1"/>
  <c r="AN386" i="19" s="1"/>
  <c r="AL385" i="19"/>
  <c r="AK385" i="19"/>
  <c r="AH385" i="19"/>
  <c r="AI385" i="19" s="1"/>
  <c r="AN385" i="19" s="1"/>
  <c r="AL384" i="19"/>
  <c r="AK384" i="19"/>
  <c r="AH384" i="19"/>
  <c r="AI384" i="19" s="1"/>
  <c r="AN384" i="19" s="1"/>
  <c r="AL383" i="19"/>
  <c r="AK383" i="19"/>
  <c r="AH383" i="19"/>
  <c r="AI383" i="19" s="1"/>
  <c r="AN383" i="19" s="1"/>
  <c r="AL382" i="19"/>
  <c r="AK382" i="19"/>
  <c r="AI382" i="19"/>
  <c r="AN382" i="19" s="1"/>
  <c r="AH382" i="19"/>
  <c r="AN381" i="19"/>
  <c r="AL381" i="19"/>
  <c r="AK381" i="19"/>
  <c r="AI381" i="19"/>
  <c r="AH381" i="19"/>
  <c r="AL380" i="19"/>
  <c r="AK380" i="19"/>
  <c r="AI380" i="19"/>
  <c r="AN380" i="19" s="1"/>
  <c r="AH380" i="19"/>
  <c r="AL379" i="19"/>
  <c r="AK379" i="19"/>
  <c r="AH379" i="19"/>
  <c r="AI379" i="19" s="1"/>
  <c r="AN379" i="19" s="1"/>
  <c r="AL378" i="19"/>
  <c r="AK378" i="19"/>
  <c r="AH378" i="19"/>
  <c r="AI378" i="19" s="1"/>
  <c r="AN378" i="19" s="1"/>
  <c r="AL377" i="19"/>
  <c r="AK377" i="19"/>
  <c r="AH377" i="19"/>
  <c r="AI377" i="19" s="1"/>
  <c r="AN377" i="19" s="1"/>
  <c r="AL376" i="19"/>
  <c r="AK376" i="19"/>
  <c r="AH376" i="19"/>
  <c r="AI376" i="19" s="1"/>
  <c r="AN376" i="19" s="1"/>
  <c r="AL375" i="19"/>
  <c r="AK375" i="19"/>
  <c r="AH375" i="19"/>
  <c r="AI375" i="19" s="1"/>
  <c r="AN375" i="19" s="1"/>
  <c r="AL374" i="19"/>
  <c r="AK374" i="19"/>
  <c r="AI374" i="19"/>
  <c r="AN374" i="19" s="1"/>
  <c r="AH374" i="19"/>
  <c r="AN373" i="19"/>
  <c r="AL373" i="19"/>
  <c r="AK373" i="19"/>
  <c r="AI373" i="19"/>
  <c r="AH373" i="19"/>
  <c r="AL372" i="19"/>
  <c r="AK372" i="19"/>
  <c r="AI372" i="19"/>
  <c r="AN372" i="19" s="1"/>
  <c r="AH372" i="19"/>
  <c r="AL371" i="19"/>
  <c r="AK371" i="19"/>
  <c r="AH371" i="19"/>
  <c r="AI371" i="19" s="1"/>
  <c r="AN371" i="19" s="1"/>
  <c r="AL370" i="19"/>
  <c r="AK370" i="19"/>
  <c r="AI370" i="19"/>
  <c r="AN370" i="19" s="1"/>
  <c r="AH370" i="19"/>
  <c r="AL369" i="19"/>
  <c r="AK369" i="19"/>
  <c r="AH369" i="19"/>
  <c r="AI369" i="19" s="1"/>
  <c r="AN369" i="19" s="1"/>
  <c r="AL368" i="19"/>
  <c r="AK368" i="19"/>
  <c r="AH368" i="19"/>
  <c r="AI368" i="19" s="1"/>
  <c r="AN368" i="19" s="1"/>
  <c r="AL367" i="19"/>
  <c r="AK367" i="19"/>
  <c r="AH367" i="19"/>
  <c r="AI367" i="19" s="1"/>
  <c r="AN367" i="19" s="1"/>
  <c r="AN366" i="19"/>
  <c r="AL366" i="19"/>
  <c r="AK366" i="19"/>
  <c r="AI366" i="19"/>
  <c r="AH366" i="19"/>
  <c r="AL365" i="19"/>
  <c r="AK365" i="19"/>
  <c r="AI365" i="19"/>
  <c r="AN365" i="19" s="1"/>
  <c r="AH365" i="19"/>
  <c r="AN364" i="19"/>
  <c r="AL364" i="19"/>
  <c r="AK364" i="19"/>
  <c r="AI364" i="19"/>
  <c r="AH364" i="19"/>
  <c r="AL363" i="19"/>
  <c r="AK363" i="19"/>
  <c r="AH363" i="19"/>
  <c r="AI363" i="19" s="1"/>
  <c r="AN363" i="19" s="1"/>
  <c r="AL362" i="19"/>
  <c r="AK362" i="19"/>
  <c r="AH362" i="19"/>
  <c r="AI362" i="19" s="1"/>
  <c r="AN362" i="19" s="1"/>
  <c r="AL361" i="19"/>
  <c r="AK361" i="19"/>
  <c r="AI361" i="19"/>
  <c r="AN361" i="19" s="1"/>
  <c r="AH361" i="19"/>
  <c r="AL360" i="19"/>
  <c r="AK360" i="19"/>
  <c r="AH360" i="19"/>
  <c r="AI360" i="19" s="1"/>
  <c r="AN360" i="19" s="1"/>
  <c r="AN359" i="19"/>
  <c r="AL359" i="19"/>
  <c r="AK359" i="19"/>
  <c r="AI359" i="19"/>
  <c r="AH359" i="19"/>
  <c r="AL358" i="19"/>
  <c r="AK358" i="19"/>
  <c r="AI358" i="19"/>
  <c r="AN358" i="19" s="1"/>
  <c r="AH358" i="19"/>
  <c r="AL357" i="19"/>
  <c r="AK357" i="19"/>
  <c r="AH357" i="19"/>
  <c r="AI357" i="19" s="1"/>
  <c r="AN357" i="19" s="1"/>
  <c r="AL356" i="19"/>
  <c r="AK356" i="19"/>
  <c r="AH356" i="19"/>
  <c r="AI356" i="19" s="1"/>
  <c r="AN356" i="19" s="1"/>
  <c r="AL355" i="19"/>
  <c r="AK355" i="19"/>
  <c r="AH355" i="19"/>
  <c r="AI355" i="19" s="1"/>
  <c r="AN355" i="19" s="1"/>
  <c r="AL354" i="19"/>
  <c r="AK354" i="19"/>
  <c r="AH354" i="19"/>
  <c r="AI354" i="19" s="1"/>
  <c r="AN354" i="19" s="1"/>
  <c r="AL353" i="19"/>
  <c r="AK353" i="19"/>
  <c r="AH353" i="19"/>
  <c r="AI353" i="19" s="1"/>
  <c r="AN353" i="19" s="1"/>
  <c r="AL352" i="19"/>
  <c r="AK352" i="19"/>
  <c r="AH352" i="19"/>
  <c r="AI352" i="19" s="1"/>
  <c r="AN352" i="19" s="1"/>
  <c r="AN351" i="19"/>
  <c r="AL351" i="19"/>
  <c r="AK351" i="19"/>
  <c r="AI351" i="19"/>
  <c r="AH351" i="19"/>
  <c r="AL350" i="19"/>
  <c r="AK350" i="19"/>
  <c r="AI350" i="19"/>
  <c r="AN350" i="19" s="1"/>
  <c r="AH350" i="19"/>
  <c r="AL349" i="19"/>
  <c r="AK349" i="19"/>
  <c r="AH349" i="19"/>
  <c r="AI349" i="19" s="1"/>
  <c r="AN349" i="19" s="1"/>
  <c r="AL348" i="19"/>
  <c r="AK348" i="19"/>
  <c r="AH348" i="19"/>
  <c r="AI348" i="19" s="1"/>
  <c r="AN348" i="19" s="1"/>
  <c r="AL347" i="19"/>
  <c r="AK347" i="19"/>
  <c r="AH347" i="19"/>
  <c r="AI347" i="19" s="1"/>
  <c r="AN347" i="19" s="1"/>
  <c r="AL346" i="19"/>
  <c r="AK346" i="19"/>
  <c r="AH346" i="19"/>
  <c r="AI346" i="19" s="1"/>
  <c r="AN346" i="19" s="1"/>
  <c r="AL345" i="19"/>
  <c r="AK345" i="19"/>
  <c r="AH345" i="19"/>
  <c r="AI345" i="19" s="1"/>
  <c r="AN345" i="19" s="1"/>
  <c r="AL344" i="19"/>
  <c r="AK344" i="19"/>
  <c r="AH344" i="19"/>
  <c r="AI344" i="19" s="1"/>
  <c r="AN344" i="19" s="1"/>
  <c r="AN343" i="19"/>
  <c r="AL343" i="19"/>
  <c r="AK343" i="19"/>
  <c r="AI343" i="19"/>
  <c r="AH343" i="19"/>
  <c r="AL342" i="19"/>
  <c r="AK342" i="19"/>
  <c r="AI342" i="19"/>
  <c r="AN342" i="19" s="1"/>
  <c r="AH342" i="19"/>
  <c r="AL341" i="19"/>
  <c r="AK341" i="19"/>
  <c r="AH341" i="19"/>
  <c r="AI341" i="19" s="1"/>
  <c r="AN341" i="19" s="1"/>
  <c r="AL340" i="19"/>
  <c r="AK340" i="19"/>
  <c r="AH340" i="19"/>
  <c r="AI340" i="19" s="1"/>
  <c r="AN340" i="19" s="1"/>
  <c r="BO339" i="19"/>
  <c r="AL339" i="19"/>
  <c r="AK339" i="19"/>
  <c r="AI339" i="19"/>
  <c r="AN339" i="19" s="1"/>
  <c r="AH339" i="19"/>
  <c r="AL338" i="19"/>
  <c r="AK338" i="19"/>
  <c r="AH338" i="19"/>
  <c r="AI338" i="19" s="1"/>
  <c r="AN338" i="19" s="1"/>
  <c r="BO337" i="19"/>
  <c r="AN337" i="19"/>
  <c r="AL337" i="19"/>
  <c r="AK337" i="19"/>
  <c r="AI337" i="19"/>
  <c r="AH337" i="19"/>
  <c r="AL336" i="19"/>
  <c r="AK336" i="19"/>
  <c r="AI336" i="19"/>
  <c r="AN336" i="19" s="1"/>
  <c r="AH336" i="19"/>
  <c r="AL335" i="19"/>
  <c r="AK335" i="19"/>
  <c r="AH335" i="19"/>
  <c r="AI335" i="19" s="1"/>
  <c r="AN335" i="19" s="1"/>
  <c r="AL334" i="19"/>
  <c r="AK334" i="19"/>
  <c r="AH334" i="19"/>
  <c r="AI334" i="19" s="1"/>
  <c r="AN334" i="19" s="1"/>
  <c r="AL333" i="19"/>
  <c r="AK333" i="19"/>
  <c r="AH333" i="19"/>
  <c r="AI333" i="19" s="1"/>
  <c r="AN333" i="19" s="1"/>
  <c r="AL332" i="19"/>
  <c r="AK332" i="19"/>
  <c r="AH332" i="19"/>
  <c r="AI332" i="19" s="1"/>
  <c r="AN332" i="19" s="1"/>
  <c r="AL331" i="19"/>
  <c r="AK331" i="19"/>
  <c r="AH331" i="19"/>
  <c r="AI331" i="19" s="1"/>
  <c r="AN331" i="19" s="1"/>
  <c r="AN330" i="19"/>
  <c r="AL330" i="19"/>
  <c r="AK330" i="19"/>
  <c r="AI330" i="19"/>
  <c r="AH330" i="19"/>
  <c r="AL329" i="19"/>
  <c r="AK329" i="19"/>
  <c r="AH329" i="19"/>
  <c r="AI329" i="19" s="1"/>
  <c r="AL328" i="19"/>
  <c r="AK328" i="19"/>
  <c r="AH328" i="19"/>
  <c r="AI328" i="19" s="1"/>
  <c r="AN328" i="19" s="1"/>
  <c r="AE328" i="19"/>
  <c r="AL327" i="19"/>
  <c r="AK327" i="19"/>
  <c r="AH327" i="19"/>
  <c r="AI327" i="19" s="1"/>
  <c r="AN327" i="19" s="1"/>
  <c r="AL326" i="19"/>
  <c r="AK326" i="19"/>
  <c r="AH326" i="19"/>
  <c r="AI326" i="19" s="1"/>
  <c r="AN326" i="19" s="1"/>
  <c r="AL325" i="19"/>
  <c r="AK325" i="19"/>
  <c r="AH325" i="19"/>
  <c r="AI325" i="19" s="1"/>
  <c r="AN325" i="19" s="1"/>
  <c r="AL324" i="19"/>
  <c r="AK324" i="19"/>
  <c r="AH324" i="19"/>
  <c r="AI324" i="19" s="1"/>
  <c r="AN324" i="19" s="1"/>
  <c r="BO323" i="19"/>
  <c r="AL323" i="19"/>
  <c r="AK323" i="19"/>
  <c r="AH323" i="19"/>
  <c r="AI323" i="19" s="1"/>
  <c r="AN323" i="19" s="1"/>
  <c r="BO322" i="19"/>
  <c r="AL322" i="19"/>
  <c r="AK322" i="19"/>
  <c r="AI322" i="19"/>
  <c r="AN322" i="19" s="1"/>
  <c r="AH322" i="19"/>
  <c r="AL321" i="19"/>
  <c r="AK321" i="19"/>
  <c r="AH321" i="19"/>
  <c r="AI321" i="19" s="1"/>
  <c r="AN321" i="19" s="1"/>
  <c r="AL320" i="19"/>
  <c r="AK320" i="19"/>
  <c r="AH320" i="19"/>
  <c r="AI320" i="19" s="1"/>
  <c r="AN320" i="19" s="1"/>
  <c r="AL319" i="19"/>
  <c r="AK319" i="19"/>
  <c r="AH319" i="19"/>
  <c r="AI319" i="19" s="1"/>
  <c r="AN319" i="19" s="1"/>
  <c r="AL318" i="19"/>
  <c r="AK318" i="19"/>
  <c r="AH318" i="19"/>
  <c r="AI318" i="19" s="1"/>
  <c r="AN318" i="19" s="1"/>
  <c r="AL317" i="19"/>
  <c r="AK317" i="19"/>
  <c r="AH317" i="19"/>
  <c r="AI317" i="19" s="1"/>
  <c r="AN317" i="19" s="1"/>
  <c r="AN316" i="19"/>
  <c r="AL316" i="19"/>
  <c r="AK316" i="19"/>
  <c r="AI316" i="19"/>
  <c r="AH316" i="19"/>
  <c r="AN315" i="19"/>
  <c r="AL315" i="19"/>
  <c r="AK315" i="19"/>
  <c r="AI315" i="19"/>
  <c r="AH315" i="19"/>
  <c r="AL314" i="19"/>
  <c r="AK314" i="19"/>
  <c r="AI314" i="19"/>
  <c r="AN314" i="19" s="1"/>
  <c r="AH314" i="19"/>
  <c r="AL313" i="19"/>
  <c r="AK313" i="19"/>
  <c r="AH313" i="19"/>
  <c r="AI313" i="19" s="1"/>
  <c r="AN313" i="19" s="1"/>
  <c r="AL312" i="19"/>
  <c r="AK312" i="19"/>
  <c r="AG312" i="19"/>
  <c r="AF312" i="19"/>
  <c r="AE312" i="19"/>
  <c r="AD312" i="19"/>
  <c r="AC312" i="19"/>
  <c r="AH312" i="19" s="1"/>
  <c r="AI312" i="19" s="1"/>
  <c r="AN312" i="19" s="1"/>
  <c r="AB312" i="19"/>
  <c r="AL311" i="19"/>
  <c r="AK311" i="19"/>
  <c r="AH311" i="19"/>
  <c r="AI311" i="19" s="1"/>
  <c r="AN311" i="19" s="1"/>
  <c r="AL310" i="19"/>
  <c r="AK310" i="19"/>
  <c r="AH310" i="19"/>
  <c r="AI310" i="19" s="1"/>
  <c r="AN310" i="19" s="1"/>
  <c r="AL309" i="19"/>
  <c r="AK309" i="19"/>
  <c r="AH309" i="19"/>
  <c r="AI309" i="19" s="1"/>
  <c r="AN309" i="19" s="1"/>
  <c r="AL308" i="19"/>
  <c r="AK308" i="19"/>
  <c r="AH308" i="19"/>
  <c r="AI308" i="19" s="1"/>
  <c r="AN308" i="19" s="1"/>
  <c r="AL307" i="19"/>
  <c r="AK307" i="19"/>
  <c r="AH307" i="19"/>
  <c r="AI307" i="19" s="1"/>
  <c r="AN307" i="19" s="1"/>
  <c r="AN306" i="19"/>
  <c r="AL306" i="19"/>
  <c r="AK306" i="19"/>
  <c r="AI306" i="19"/>
  <c r="AH306" i="19"/>
  <c r="AN305" i="19"/>
  <c r="AL305" i="19"/>
  <c r="AK305" i="19"/>
  <c r="AI305" i="19"/>
  <c r="AH305" i="19"/>
  <c r="AL304" i="19"/>
  <c r="AK304" i="19"/>
  <c r="AI304" i="19"/>
  <c r="AN304" i="19" s="1"/>
  <c r="AH304" i="19"/>
  <c r="AL303" i="19"/>
  <c r="AK303" i="19"/>
  <c r="AH303" i="19"/>
  <c r="AI303" i="19" s="1"/>
  <c r="AN303" i="19" s="1"/>
  <c r="AL302" i="19"/>
  <c r="AK302" i="19"/>
  <c r="AH302" i="19"/>
  <c r="AI302" i="19" s="1"/>
  <c r="AN302" i="19" s="1"/>
  <c r="AL301" i="19"/>
  <c r="AK301" i="19"/>
  <c r="AH301" i="19"/>
  <c r="AI301" i="19" s="1"/>
  <c r="AN301" i="19" s="1"/>
  <c r="AL300" i="19"/>
  <c r="AK300" i="19"/>
  <c r="AH300" i="19"/>
  <c r="AI300" i="19" s="1"/>
  <c r="AN300" i="19" s="1"/>
  <c r="AL299" i="19"/>
  <c r="AK299" i="19"/>
  <c r="AH299" i="19"/>
  <c r="AI299" i="19" s="1"/>
  <c r="AN299" i="19" s="1"/>
  <c r="AN298" i="19"/>
  <c r="AL298" i="19"/>
  <c r="AK298" i="19"/>
  <c r="AI298" i="19"/>
  <c r="AH298" i="19"/>
  <c r="AN297" i="19"/>
  <c r="AL297" i="19"/>
  <c r="AK297" i="19"/>
  <c r="AI297" i="19"/>
  <c r="AH297" i="19"/>
  <c r="AL296" i="19"/>
  <c r="AK296" i="19"/>
  <c r="AI296" i="19"/>
  <c r="AN296" i="19" s="1"/>
  <c r="AH296" i="19"/>
  <c r="AL295" i="19"/>
  <c r="AK295" i="19"/>
  <c r="AH295" i="19"/>
  <c r="AI295" i="19" s="1"/>
  <c r="AN295" i="19" s="1"/>
  <c r="AL294" i="19"/>
  <c r="AK294" i="19"/>
  <c r="AH294" i="19"/>
  <c r="AI294" i="19" s="1"/>
  <c r="AN294" i="19" s="1"/>
  <c r="BO293" i="19"/>
  <c r="AL293" i="19"/>
  <c r="AK293" i="19"/>
  <c r="AI293" i="19"/>
  <c r="AN293" i="19" s="1"/>
  <c r="AH293" i="19"/>
  <c r="AL292" i="19"/>
  <c r="AK292" i="19"/>
  <c r="AH292" i="19"/>
  <c r="AI292" i="19" s="1"/>
  <c r="AN292" i="19" s="1"/>
  <c r="AL291" i="19"/>
  <c r="AK291" i="19"/>
  <c r="AH291" i="19"/>
  <c r="AI291" i="19" s="1"/>
  <c r="AN291" i="19" s="1"/>
  <c r="AL290" i="19"/>
  <c r="AK290" i="19"/>
  <c r="AH290" i="19"/>
  <c r="AI290" i="19" s="1"/>
  <c r="AN290" i="19" s="1"/>
  <c r="AL289" i="19"/>
  <c r="AK289" i="19"/>
  <c r="AH289" i="19"/>
  <c r="AI289" i="19" s="1"/>
  <c r="AN289" i="19" s="1"/>
  <c r="AL288" i="19"/>
  <c r="AK288" i="19"/>
  <c r="AH288" i="19"/>
  <c r="AI288" i="19" s="1"/>
  <c r="AN288" i="19" s="1"/>
  <c r="AN287" i="19"/>
  <c r="AL287" i="19"/>
  <c r="AK287" i="19"/>
  <c r="AI287" i="19"/>
  <c r="AH287" i="19"/>
  <c r="AN286" i="19"/>
  <c r="AL286" i="19"/>
  <c r="AK286" i="19"/>
  <c r="AI286" i="19"/>
  <c r="AH286" i="19"/>
  <c r="AL285" i="19"/>
  <c r="AK285" i="19"/>
  <c r="AI285" i="19"/>
  <c r="AN285" i="19" s="1"/>
  <c r="AH285" i="19"/>
  <c r="AL284" i="19"/>
  <c r="AK284" i="19"/>
  <c r="AH284" i="19"/>
  <c r="AI284" i="19" s="1"/>
  <c r="AN284" i="19" s="1"/>
  <c r="AL283" i="19"/>
  <c r="AK283" i="19"/>
  <c r="AH283" i="19"/>
  <c r="AI283" i="19" s="1"/>
  <c r="AN283" i="19" s="1"/>
  <c r="AL282" i="19"/>
  <c r="AK282" i="19"/>
  <c r="AH282" i="19"/>
  <c r="AI282" i="19" s="1"/>
  <c r="AN282" i="19" s="1"/>
  <c r="AL281" i="19"/>
  <c r="AK281" i="19"/>
  <c r="AH281" i="19"/>
  <c r="AI281" i="19" s="1"/>
  <c r="AN281" i="19" s="1"/>
  <c r="AL280" i="19"/>
  <c r="AK280" i="19"/>
  <c r="AH280" i="19"/>
  <c r="AI280" i="19" s="1"/>
  <c r="AN280" i="19" s="1"/>
  <c r="AN279" i="19"/>
  <c r="AL279" i="19"/>
  <c r="AK279" i="19"/>
  <c r="AI279" i="19"/>
  <c r="AH279" i="19"/>
  <c r="AN278" i="19"/>
  <c r="AL278" i="19"/>
  <c r="AK278" i="19"/>
  <c r="AI278" i="19"/>
  <c r="AH278" i="19"/>
  <c r="AL277" i="19"/>
  <c r="AK277" i="19"/>
  <c r="AI277" i="19"/>
  <c r="AN277" i="19" s="1"/>
  <c r="AH277" i="19"/>
  <c r="AL276" i="19"/>
  <c r="AK276" i="19"/>
  <c r="AH276" i="19"/>
  <c r="AI276" i="19" s="1"/>
  <c r="AN276" i="19" s="1"/>
  <c r="AL275" i="19"/>
  <c r="AK275" i="19"/>
  <c r="AH275" i="19"/>
  <c r="AI275" i="19" s="1"/>
  <c r="AN275" i="19" s="1"/>
  <c r="AL274" i="19"/>
  <c r="AK274" i="19"/>
  <c r="AH274" i="19"/>
  <c r="AI274" i="19" s="1"/>
  <c r="AN274" i="19" s="1"/>
  <c r="AL273" i="19"/>
  <c r="AK273" i="19"/>
  <c r="AH273" i="19"/>
  <c r="AI273" i="19" s="1"/>
  <c r="AN273" i="19" s="1"/>
  <c r="AL272" i="19"/>
  <c r="AK272" i="19"/>
  <c r="AH272" i="19"/>
  <c r="AI272" i="19" s="1"/>
  <c r="AN272" i="19" s="1"/>
  <c r="AN271" i="19"/>
  <c r="AL271" i="19"/>
  <c r="AK271" i="19"/>
  <c r="AI271" i="19"/>
  <c r="AH271" i="19"/>
  <c r="AN270" i="19"/>
  <c r="AL270" i="19"/>
  <c r="AK270" i="19"/>
  <c r="AI270" i="19"/>
  <c r="AH270" i="19"/>
  <c r="AL269" i="19"/>
  <c r="AK269" i="19"/>
  <c r="AI269" i="19"/>
  <c r="AN269" i="19" s="1"/>
  <c r="AH269" i="19"/>
  <c r="AL268" i="19"/>
  <c r="AK268" i="19"/>
  <c r="AH268" i="19"/>
  <c r="AI268" i="19" s="1"/>
  <c r="AN268" i="19" s="1"/>
  <c r="AL267" i="19"/>
  <c r="AK267" i="19"/>
  <c r="AH267" i="19"/>
  <c r="AI267" i="19" s="1"/>
  <c r="AN267" i="19" s="1"/>
  <c r="AL266" i="19"/>
  <c r="AK266" i="19"/>
  <c r="AH266" i="19"/>
  <c r="AI266" i="19" s="1"/>
  <c r="AN266" i="19" s="1"/>
  <c r="AL265" i="19"/>
  <c r="AK265" i="19"/>
  <c r="AC265" i="19"/>
  <c r="AH265" i="19" s="1"/>
  <c r="AI265" i="19" s="1"/>
  <c r="AN265" i="19" s="1"/>
  <c r="AB265" i="19"/>
  <c r="AN264" i="19"/>
  <c r="AL264" i="19"/>
  <c r="AK264" i="19"/>
  <c r="AI264" i="19"/>
  <c r="AH264" i="19"/>
  <c r="AL263" i="19"/>
  <c r="AK263" i="19"/>
  <c r="AI263" i="19"/>
  <c r="AN263" i="19" s="1"/>
  <c r="AH263" i="19"/>
  <c r="AL262" i="19"/>
  <c r="AK262" i="19"/>
  <c r="AH262" i="19"/>
  <c r="AI262" i="19" s="1"/>
  <c r="AN262" i="19" s="1"/>
  <c r="AL261" i="19"/>
  <c r="AK261" i="19"/>
  <c r="AH261" i="19"/>
  <c r="AI261" i="19" s="1"/>
  <c r="AN261" i="19" s="1"/>
  <c r="AL260" i="19"/>
  <c r="AK260" i="19"/>
  <c r="AH260" i="19"/>
  <c r="AI260" i="19" s="1"/>
  <c r="AN260" i="19" s="1"/>
  <c r="AL259" i="19"/>
  <c r="AK259" i="19"/>
  <c r="AH259" i="19"/>
  <c r="AI259" i="19" s="1"/>
  <c r="AN259" i="19" s="1"/>
  <c r="AL258" i="19"/>
  <c r="AK258" i="19"/>
  <c r="AH258" i="19"/>
  <c r="AI258" i="19" s="1"/>
  <c r="AN258" i="19" s="1"/>
  <c r="AN257" i="19"/>
  <c r="AL257" i="19"/>
  <c r="AK257" i="19"/>
  <c r="AI257" i="19"/>
  <c r="AH257" i="19"/>
  <c r="BO256" i="19"/>
  <c r="AL256" i="19"/>
  <c r="AK256" i="19"/>
  <c r="AH256" i="19"/>
  <c r="AI256" i="19" s="1"/>
  <c r="AN256" i="19" s="1"/>
  <c r="AL255" i="19"/>
  <c r="AK255" i="19"/>
  <c r="AH255" i="19"/>
  <c r="AI255" i="19" s="1"/>
  <c r="AN255" i="19" s="1"/>
  <c r="AL254" i="19"/>
  <c r="AK254" i="19"/>
  <c r="AI254" i="19"/>
  <c r="AN254" i="19" s="1"/>
  <c r="AH254" i="19"/>
  <c r="AN253" i="19"/>
  <c r="AL253" i="19"/>
  <c r="AK253" i="19"/>
  <c r="AI253" i="19"/>
  <c r="AH253" i="19"/>
  <c r="AL252" i="19"/>
  <c r="AK252" i="19"/>
  <c r="AI252" i="19"/>
  <c r="AN252" i="19" s="1"/>
  <c r="AH252" i="19"/>
  <c r="AL251" i="19"/>
  <c r="AK251" i="19"/>
  <c r="AH251" i="19"/>
  <c r="AI251" i="19" s="1"/>
  <c r="AN251" i="19" s="1"/>
  <c r="AL250" i="19"/>
  <c r="AK250" i="19"/>
  <c r="AH250" i="19"/>
  <c r="AI250" i="19" s="1"/>
  <c r="AN250" i="19" s="1"/>
  <c r="AL249" i="19"/>
  <c r="AK249" i="19"/>
  <c r="AH249" i="19"/>
  <c r="AI249" i="19" s="1"/>
  <c r="AN249" i="19" s="1"/>
  <c r="AG249" i="19"/>
  <c r="AL248" i="19"/>
  <c r="AK248" i="19"/>
  <c r="AH248" i="19"/>
  <c r="AI248" i="19" s="1"/>
  <c r="AN248" i="19" s="1"/>
  <c r="AL247" i="19"/>
  <c r="AK247" i="19"/>
  <c r="AH247" i="19"/>
  <c r="AI247" i="19" s="1"/>
  <c r="AN247" i="19" s="1"/>
  <c r="AL246" i="19"/>
  <c r="AK246" i="19"/>
  <c r="AH246" i="19"/>
  <c r="AI246" i="19" s="1"/>
  <c r="AN246" i="19" s="1"/>
  <c r="AG246" i="19"/>
  <c r="AF246" i="19"/>
  <c r="AE246" i="19"/>
  <c r="AD246" i="19"/>
  <c r="AC246" i="19"/>
  <c r="AB246" i="19"/>
  <c r="AL245" i="19"/>
  <c r="AK245" i="19"/>
  <c r="AG245" i="19"/>
  <c r="AF245" i="19"/>
  <c r="AE245" i="19"/>
  <c r="AD245" i="19"/>
  <c r="AC245" i="19"/>
  <c r="AB245" i="19"/>
  <c r="AH245" i="19" s="1"/>
  <c r="AI245" i="19" s="1"/>
  <c r="AL244" i="19"/>
  <c r="AK244" i="19"/>
  <c r="AH244" i="19"/>
  <c r="AI244" i="19" s="1"/>
  <c r="AN244" i="19" s="1"/>
  <c r="AL243" i="19"/>
  <c r="AK243" i="19"/>
  <c r="AH243" i="19"/>
  <c r="AI243" i="19" s="1"/>
  <c r="AN243" i="19" s="1"/>
  <c r="AN242" i="19"/>
  <c r="AL242" i="19"/>
  <c r="AK242" i="19"/>
  <c r="AI242" i="19"/>
  <c r="AH242" i="19"/>
  <c r="AN241" i="19"/>
  <c r="AL241" i="19"/>
  <c r="AK241" i="19"/>
  <c r="AI241" i="19"/>
  <c r="AH241" i="19"/>
  <c r="AL240" i="19"/>
  <c r="AK240" i="19"/>
  <c r="AI240" i="19"/>
  <c r="AN240" i="19" s="1"/>
  <c r="AH240" i="19"/>
  <c r="AL239" i="19"/>
  <c r="AK239" i="19"/>
  <c r="AH239" i="19"/>
  <c r="AI239" i="19" s="1"/>
  <c r="AN239" i="19" s="1"/>
  <c r="AL238" i="19"/>
  <c r="AK238" i="19"/>
  <c r="AH238" i="19"/>
  <c r="AI238" i="19" s="1"/>
  <c r="AN238" i="19" s="1"/>
  <c r="AL237" i="19"/>
  <c r="AK237" i="19"/>
  <c r="AH237" i="19"/>
  <c r="AI237" i="19" s="1"/>
  <c r="AN237" i="19" s="1"/>
  <c r="BO236" i="19"/>
  <c r="AL236" i="19"/>
  <c r="AK236" i="19"/>
  <c r="AI236" i="19"/>
  <c r="AN236" i="19" s="1"/>
  <c r="AH236" i="19"/>
  <c r="AL235" i="19"/>
  <c r="AK235" i="19"/>
  <c r="AH235" i="19"/>
  <c r="AI235" i="19" s="1"/>
  <c r="AN235" i="19" s="1"/>
  <c r="AL234" i="19"/>
  <c r="AK234" i="19"/>
  <c r="AH234" i="19"/>
  <c r="AI234" i="19" s="1"/>
  <c r="AN234" i="19" s="1"/>
  <c r="AL233" i="19"/>
  <c r="AK233" i="19"/>
  <c r="AH233" i="19"/>
  <c r="AI233" i="19" s="1"/>
  <c r="AN233" i="19" s="1"/>
  <c r="AL232" i="19"/>
  <c r="AK232" i="19"/>
  <c r="AH232" i="19"/>
  <c r="AI232" i="19" s="1"/>
  <c r="AN232" i="19" s="1"/>
  <c r="BO231" i="19"/>
  <c r="AL231" i="19"/>
  <c r="AK231" i="19"/>
  <c r="AH231" i="19"/>
  <c r="AI231" i="19" s="1"/>
  <c r="AN231" i="19" s="1"/>
  <c r="R231" i="19"/>
  <c r="BO230" i="19"/>
  <c r="AN230" i="19"/>
  <c r="AL230" i="19"/>
  <c r="AK230" i="19"/>
  <c r="AI230" i="19"/>
  <c r="AH230" i="19"/>
  <c r="R230" i="19"/>
  <c r="BO229" i="19"/>
  <c r="AL229" i="19"/>
  <c r="AK229" i="19"/>
  <c r="AI229" i="19"/>
  <c r="AN229" i="19" s="1"/>
  <c r="AH229" i="19"/>
  <c r="R229" i="19"/>
  <c r="BO228" i="19"/>
  <c r="AL228" i="19"/>
  <c r="AK228" i="19"/>
  <c r="AH228" i="19"/>
  <c r="AI228" i="19" s="1"/>
  <c r="AN228" i="19" s="1"/>
  <c r="R228" i="19"/>
  <c r="AL227" i="19"/>
  <c r="AK227" i="19"/>
  <c r="AG227" i="19"/>
  <c r="AF227" i="19"/>
  <c r="AE227" i="19"/>
  <c r="AD227" i="19"/>
  <c r="AC227" i="19"/>
  <c r="AH227" i="19" s="1"/>
  <c r="AI227" i="19" s="1"/>
  <c r="AN227" i="19" s="1"/>
  <c r="AB227" i="19"/>
  <c r="AL226" i="19"/>
  <c r="AK226" i="19"/>
  <c r="AI226" i="19"/>
  <c r="AN226" i="19" s="1"/>
  <c r="AH226" i="19"/>
  <c r="AD226" i="19"/>
  <c r="AN225" i="19"/>
  <c r="AL225" i="19"/>
  <c r="AK225" i="19"/>
  <c r="AI225" i="19"/>
  <c r="AH225" i="19"/>
  <c r="AL224" i="19"/>
  <c r="AK224" i="19"/>
  <c r="AI224" i="19"/>
  <c r="AN224" i="19" s="1"/>
  <c r="AH224" i="19"/>
  <c r="AL223" i="19"/>
  <c r="AK223" i="19"/>
  <c r="AI223" i="19"/>
  <c r="AN223" i="19" s="1"/>
  <c r="AH223" i="19"/>
  <c r="AL222" i="19"/>
  <c r="AK222" i="19"/>
  <c r="AH222" i="19"/>
  <c r="AI222" i="19" s="1"/>
  <c r="AN222" i="19" s="1"/>
  <c r="AL221" i="19"/>
  <c r="AK221" i="19"/>
  <c r="AH221" i="19"/>
  <c r="AI221" i="19" s="1"/>
  <c r="AN221" i="19" s="1"/>
  <c r="AL220" i="19"/>
  <c r="AK220" i="19"/>
  <c r="AH220" i="19"/>
  <c r="AI220" i="19" s="1"/>
  <c r="AN220" i="19" s="1"/>
  <c r="AL219" i="19"/>
  <c r="AK219" i="19"/>
  <c r="AH219" i="19"/>
  <c r="AI219" i="19" s="1"/>
  <c r="AN219" i="19" s="1"/>
  <c r="AN218" i="19"/>
  <c r="AL218" i="19"/>
  <c r="AK218" i="19"/>
  <c r="AI218" i="19"/>
  <c r="AH218" i="19"/>
  <c r="AN217" i="19"/>
  <c r="AL217" i="19"/>
  <c r="AK217" i="19"/>
  <c r="AI217" i="19"/>
  <c r="AH217" i="19"/>
  <c r="AL216" i="19"/>
  <c r="AK216" i="19"/>
  <c r="AI216" i="19"/>
  <c r="AN216" i="19" s="1"/>
  <c r="AH216" i="19"/>
  <c r="AL215" i="19"/>
  <c r="AK215" i="19"/>
  <c r="AI215" i="19"/>
  <c r="AN215" i="19" s="1"/>
  <c r="AH215" i="19"/>
  <c r="AL214" i="19"/>
  <c r="AK214" i="19"/>
  <c r="AH214" i="19"/>
  <c r="AI214" i="19" s="1"/>
  <c r="AN214" i="19" s="1"/>
  <c r="AL213" i="19"/>
  <c r="AK213" i="19"/>
  <c r="AH213" i="19"/>
  <c r="AI213" i="19" s="1"/>
  <c r="AN213" i="19" s="1"/>
  <c r="AL212" i="19"/>
  <c r="AK212" i="19"/>
  <c r="AH212" i="19"/>
  <c r="AI212" i="19" s="1"/>
  <c r="AN212" i="19" s="1"/>
  <c r="AL211" i="19"/>
  <c r="AK211" i="19"/>
  <c r="AH211" i="19"/>
  <c r="AI211" i="19" s="1"/>
  <c r="AN211" i="19" s="1"/>
  <c r="AN210" i="19"/>
  <c r="AL210" i="19"/>
  <c r="AK210" i="19"/>
  <c r="AI210" i="19"/>
  <c r="AH210" i="19"/>
  <c r="AN209" i="19"/>
  <c r="AL209" i="19"/>
  <c r="AK209" i="19"/>
  <c r="AI209" i="19"/>
  <c r="AH209" i="19"/>
  <c r="AL208" i="19"/>
  <c r="AK208" i="19"/>
  <c r="AI208" i="19"/>
  <c r="AN208" i="19" s="1"/>
  <c r="AD208" i="19"/>
  <c r="AH208" i="19" s="1"/>
  <c r="AN207" i="19"/>
  <c r="AL207" i="19"/>
  <c r="AK207" i="19"/>
  <c r="AI207" i="19"/>
  <c r="AH207" i="19"/>
  <c r="AN206" i="19"/>
  <c r="AL206" i="19"/>
  <c r="AK206" i="19"/>
  <c r="AI206" i="19"/>
  <c r="AH206" i="19"/>
  <c r="AL205" i="19"/>
  <c r="AK205" i="19"/>
  <c r="AI205" i="19"/>
  <c r="AN205" i="19" s="1"/>
  <c r="AH205" i="19"/>
  <c r="AN204" i="19"/>
  <c r="AL204" i="19"/>
  <c r="AK204" i="19"/>
  <c r="AI204" i="19"/>
  <c r="AH204" i="19"/>
  <c r="AL203" i="19"/>
  <c r="AK203" i="19"/>
  <c r="AI203" i="19"/>
  <c r="AN203" i="19" s="1"/>
  <c r="AH203" i="19"/>
  <c r="AL202" i="19"/>
  <c r="AK202" i="19"/>
  <c r="AH202" i="19"/>
  <c r="AI202" i="19" s="1"/>
  <c r="AN202" i="19" s="1"/>
  <c r="AL201" i="19"/>
  <c r="AK201" i="19"/>
  <c r="AH201" i="19"/>
  <c r="AI201" i="19" s="1"/>
  <c r="AN201" i="19" s="1"/>
  <c r="AL200" i="19"/>
  <c r="AK200" i="19"/>
  <c r="AH200" i="19"/>
  <c r="AI200" i="19" s="1"/>
  <c r="AN200" i="19" s="1"/>
  <c r="AL199" i="19"/>
  <c r="AK199" i="19"/>
  <c r="AI199" i="19"/>
  <c r="AN199" i="19" s="1"/>
  <c r="AH199" i="19"/>
  <c r="AN198" i="19"/>
  <c r="AL198" i="19"/>
  <c r="AK198" i="19"/>
  <c r="AI198" i="19"/>
  <c r="AH198" i="19"/>
  <c r="AL197" i="19"/>
  <c r="AK197" i="19"/>
  <c r="AI197" i="19"/>
  <c r="AN197" i="19" s="1"/>
  <c r="AH197" i="19"/>
  <c r="AL196" i="19"/>
  <c r="AK196" i="19"/>
  <c r="AH196" i="19"/>
  <c r="AI196" i="19" s="1"/>
  <c r="AN196" i="19" s="1"/>
  <c r="AL195" i="19"/>
  <c r="AK195" i="19"/>
  <c r="AI195" i="19"/>
  <c r="AN195" i="19" s="1"/>
  <c r="AH195" i="19"/>
  <c r="BO194" i="19"/>
  <c r="AL194" i="19"/>
  <c r="AK194" i="19"/>
  <c r="AI194" i="19"/>
  <c r="AN194" i="19" s="1"/>
  <c r="AH194" i="19"/>
  <c r="AL193" i="19"/>
  <c r="AK193" i="19"/>
  <c r="AH193" i="19"/>
  <c r="AI193" i="19" s="1"/>
  <c r="AN193" i="19" s="1"/>
  <c r="AL192" i="19"/>
  <c r="AK192" i="19"/>
  <c r="AI192" i="19"/>
  <c r="AN192" i="19" s="1"/>
  <c r="AH192" i="19"/>
  <c r="AL191" i="19"/>
  <c r="AK191" i="19"/>
  <c r="AH191" i="19"/>
  <c r="AI191" i="19" s="1"/>
  <c r="AN191" i="19" s="1"/>
  <c r="AL190" i="19"/>
  <c r="AK190" i="19"/>
  <c r="AH190" i="19"/>
  <c r="AI190" i="19" s="1"/>
  <c r="AN190" i="19" s="1"/>
  <c r="AL189" i="19"/>
  <c r="AK189" i="19"/>
  <c r="AH189" i="19"/>
  <c r="AI189" i="19" s="1"/>
  <c r="AN189" i="19" s="1"/>
  <c r="AL188" i="19"/>
  <c r="AK188" i="19"/>
  <c r="AG188" i="19"/>
  <c r="AF188" i="19"/>
  <c r="AE188" i="19"/>
  <c r="AD188" i="19"/>
  <c r="AC188" i="19"/>
  <c r="AB188" i="19"/>
  <c r="AH188" i="19" s="1"/>
  <c r="AI188" i="19" s="1"/>
  <c r="AN188" i="19" s="1"/>
  <c r="AL187" i="19"/>
  <c r="AK187" i="19"/>
  <c r="AH187" i="19"/>
  <c r="AI187" i="19" s="1"/>
  <c r="AN187" i="19" s="1"/>
  <c r="AL186" i="19"/>
  <c r="AK186" i="19"/>
  <c r="AI186" i="19"/>
  <c r="AN186" i="19" s="1"/>
  <c r="AH186" i="19"/>
  <c r="AN185" i="19"/>
  <c r="AL185" i="19"/>
  <c r="AK185" i="19"/>
  <c r="AI185" i="19"/>
  <c r="AH185" i="19"/>
  <c r="AL184" i="19"/>
  <c r="AK184" i="19"/>
  <c r="AI184" i="19"/>
  <c r="AN184" i="19" s="1"/>
  <c r="AH184" i="19"/>
  <c r="AL183" i="19"/>
  <c r="AK183" i="19"/>
  <c r="AH183" i="19"/>
  <c r="AI183" i="19" s="1"/>
  <c r="AN183" i="19" s="1"/>
  <c r="AL182" i="19"/>
  <c r="AK182" i="19"/>
  <c r="AI182" i="19"/>
  <c r="AN182" i="19" s="1"/>
  <c r="AH182" i="19"/>
  <c r="AL181" i="19"/>
  <c r="AK181" i="19"/>
  <c r="AH181" i="19"/>
  <c r="AI181" i="19" s="1"/>
  <c r="AN181" i="19" s="1"/>
  <c r="AL180" i="19"/>
  <c r="AK180" i="19"/>
  <c r="AH180" i="19"/>
  <c r="AI180" i="19" s="1"/>
  <c r="AN180" i="19" s="1"/>
  <c r="AL179" i="19"/>
  <c r="AK179" i="19"/>
  <c r="AH179" i="19"/>
  <c r="AI179" i="19" s="1"/>
  <c r="AN179" i="19" s="1"/>
  <c r="AL178" i="19"/>
  <c r="AK178" i="19"/>
  <c r="AI178" i="19"/>
  <c r="AN178" i="19" s="1"/>
  <c r="AH178" i="19"/>
  <c r="AN177" i="19"/>
  <c r="AL177" i="19"/>
  <c r="AK177" i="19"/>
  <c r="AI177" i="19"/>
  <c r="AH177" i="19"/>
  <c r="AL176" i="19"/>
  <c r="AK176" i="19"/>
  <c r="AI176" i="19"/>
  <c r="AN176" i="19" s="1"/>
  <c r="AH176" i="19"/>
  <c r="AL175" i="19"/>
  <c r="AK175" i="19"/>
  <c r="AH175" i="19"/>
  <c r="AI175" i="19" s="1"/>
  <c r="AN175" i="19" s="1"/>
  <c r="AL174" i="19"/>
  <c r="AK174" i="19"/>
  <c r="AI174" i="19"/>
  <c r="AN174" i="19" s="1"/>
  <c r="AH174" i="19"/>
  <c r="AL173" i="19"/>
  <c r="AK173" i="19"/>
  <c r="AH173" i="19"/>
  <c r="AI173" i="19" s="1"/>
  <c r="AN173" i="19" s="1"/>
  <c r="AL172" i="19"/>
  <c r="AK172" i="19"/>
  <c r="AH172" i="19"/>
  <c r="AI172" i="19" s="1"/>
  <c r="AN172" i="19" s="1"/>
  <c r="AL171" i="19"/>
  <c r="AK171" i="19"/>
  <c r="AH171" i="19"/>
  <c r="AI171" i="19" s="1"/>
  <c r="AN171" i="19" s="1"/>
  <c r="AL170" i="19"/>
  <c r="AK170" i="19"/>
  <c r="AI170" i="19"/>
  <c r="AN170" i="19" s="1"/>
  <c r="AH170" i="19"/>
  <c r="AN169" i="19"/>
  <c r="AL169" i="19"/>
  <c r="AK169" i="19"/>
  <c r="AI169" i="19"/>
  <c r="AH169" i="19"/>
  <c r="AL168" i="19"/>
  <c r="AK168" i="19"/>
  <c r="AI168" i="19"/>
  <c r="AN168" i="19" s="1"/>
  <c r="AH168" i="19"/>
  <c r="AL167" i="19"/>
  <c r="AK167" i="19"/>
  <c r="AH167" i="19"/>
  <c r="AI167" i="19" s="1"/>
  <c r="AN167" i="19" s="1"/>
  <c r="AL166" i="19"/>
  <c r="AK166" i="19"/>
  <c r="AI166" i="19"/>
  <c r="AN166" i="19" s="1"/>
  <c r="AH166" i="19"/>
  <c r="AL165" i="19"/>
  <c r="AK165" i="19"/>
  <c r="AH165" i="19"/>
  <c r="AI165" i="19" s="1"/>
  <c r="AN165" i="19" s="1"/>
  <c r="AL164" i="19"/>
  <c r="AK164" i="19"/>
  <c r="AH164" i="19"/>
  <c r="AI164" i="19" s="1"/>
  <c r="AN164" i="19" s="1"/>
  <c r="AL163" i="19"/>
  <c r="AK163" i="19"/>
  <c r="AH163" i="19"/>
  <c r="AI163" i="19" s="1"/>
  <c r="AN163" i="19" s="1"/>
  <c r="AL162" i="19"/>
  <c r="AK162" i="19"/>
  <c r="AI162" i="19"/>
  <c r="AN162" i="19" s="1"/>
  <c r="AH162" i="19"/>
  <c r="AN161" i="19"/>
  <c r="AL161" i="19"/>
  <c r="AK161" i="19"/>
  <c r="AI161" i="19"/>
  <c r="AH161" i="19"/>
  <c r="AL160" i="19"/>
  <c r="AK160" i="19"/>
  <c r="AI160" i="19"/>
  <c r="AN160" i="19" s="1"/>
  <c r="AH160" i="19"/>
  <c r="AL159" i="19"/>
  <c r="AK159" i="19"/>
  <c r="AH159" i="19"/>
  <c r="AI159" i="19" s="1"/>
  <c r="AN159" i="19" s="1"/>
  <c r="AL158" i="19"/>
  <c r="AK158" i="19"/>
  <c r="AI158" i="19"/>
  <c r="AN158" i="19" s="1"/>
  <c r="AH158" i="19"/>
  <c r="AL157" i="19"/>
  <c r="AK157" i="19"/>
  <c r="AH157" i="19"/>
  <c r="AI157" i="19" s="1"/>
  <c r="AN157" i="19" s="1"/>
  <c r="AL156" i="19"/>
  <c r="AK156" i="19"/>
  <c r="AH156" i="19"/>
  <c r="AI156" i="19" s="1"/>
  <c r="AN156" i="19" s="1"/>
  <c r="AL155" i="19"/>
  <c r="AK155" i="19"/>
  <c r="AH155" i="19"/>
  <c r="AI155" i="19" s="1"/>
  <c r="AN155" i="19" s="1"/>
  <c r="AL154" i="19"/>
  <c r="AK154" i="19"/>
  <c r="AI154" i="19"/>
  <c r="AN154" i="19" s="1"/>
  <c r="AH154" i="19"/>
  <c r="AN153" i="19"/>
  <c r="AL153" i="19"/>
  <c r="AK153" i="19"/>
  <c r="AI153" i="19"/>
  <c r="AH153" i="19"/>
  <c r="AK152" i="19"/>
  <c r="X152" i="19"/>
  <c r="AH152" i="19" s="1"/>
  <c r="AI152" i="19" s="1"/>
  <c r="AN152" i="19" s="1"/>
  <c r="AL151" i="19"/>
  <c r="AK151" i="19"/>
  <c r="AI151" i="19"/>
  <c r="AN151" i="19" s="1"/>
  <c r="AH151" i="19"/>
  <c r="AN150" i="19"/>
  <c r="AL150" i="19"/>
  <c r="AK150" i="19"/>
  <c r="AI150" i="19"/>
  <c r="AH150" i="19"/>
  <c r="AL149" i="19"/>
  <c r="AK149" i="19"/>
  <c r="AI149" i="19"/>
  <c r="AN149" i="19" s="1"/>
  <c r="AH149" i="19"/>
  <c r="AL148" i="19"/>
  <c r="AK148" i="19"/>
  <c r="AH148" i="19"/>
  <c r="AI148" i="19" s="1"/>
  <c r="AN148" i="19" s="1"/>
  <c r="AL147" i="19"/>
  <c r="AK147" i="19"/>
  <c r="AI147" i="19"/>
  <c r="AN147" i="19" s="1"/>
  <c r="AH147" i="19"/>
  <c r="AL146" i="19"/>
  <c r="AK146" i="19"/>
  <c r="AH146" i="19"/>
  <c r="AI146" i="19" s="1"/>
  <c r="AN146" i="19" s="1"/>
  <c r="AL145" i="19"/>
  <c r="AK145" i="19"/>
  <c r="AH145" i="19"/>
  <c r="AI145" i="19" s="1"/>
  <c r="AN145" i="19" s="1"/>
  <c r="AL144" i="19"/>
  <c r="AK144" i="19"/>
  <c r="AH144" i="19"/>
  <c r="AI144" i="19" s="1"/>
  <c r="AN144" i="19" s="1"/>
  <c r="AL143" i="19"/>
  <c r="AK143" i="19"/>
  <c r="AI143" i="19"/>
  <c r="AN143" i="19" s="1"/>
  <c r="AH143" i="19"/>
  <c r="AN142" i="19"/>
  <c r="AL142" i="19"/>
  <c r="AK142" i="19"/>
  <c r="AI142" i="19"/>
  <c r="AH142" i="19"/>
  <c r="AL141" i="19"/>
  <c r="AK141" i="19"/>
  <c r="AI141" i="19"/>
  <c r="AN141" i="19" s="1"/>
  <c r="AH141" i="19"/>
  <c r="AL140" i="19"/>
  <c r="AK140" i="19"/>
  <c r="AH140" i="19"/>
  <c r="AI140" i="19" s="1"/>
  <c r="AN140" i="19" s="1"/>
  <c r="AL139" i="19"/>
  <c r="AK139" i="19"/>
  <c r="AI139" i="19"/>
  <c r="AN139" i="19" s="1"/>
  <c r="AH139" i="19"/>
  <c r="AL138" i="19"/>
  <c r="AK138" i="19"/>
  <c r="AH138" i="19"/>
  <c r="AI138" i="19" s="1"/>
  <c r="AN138" i="19" s="1"/>
  <c r="AL137" i="19"/>
  <c r="AK137" i="19"/>
  <c r="AH137" i="19"/>
  <c r="AI137" i="19" s="1"/>
  <c r="AN137" i="19" s="1"/>
  <c r="AL136" i="19"/>
  <c r="AK136" i="19"/>
  <c r="AH136" i="19"/>
  <c r="AI136" i="19" s="1"/>
  <c r="AN136" i="19" s="1"/>
  <c r="AL135" i="19"/>
  <c r="AK135" i="19"/>
  <c r="AI135" i="19"/>
  <c r="AN135" i="19" s="1"/>
  <c r="AH135" i="19"/>
  <c r="AN134" i="19"/>
  <c r="AL134" i="19"/>
  <c r="AK134" i="19"/>
  <c r="AI134" i="19"/>
  <c r="AH134" i="19"/>
  <c r="AL133" i="19"/>
  <c r="AK133" i="19"/>
  <c r="AI133" i="19"/>
  <c r="AN133" i="19" s="1"/>
  <c r="AH133" i="19"/>
  <c r="AL132" i="19"/>
  <c r="AK132" i="19"/>
  <c r="AH132" i="19"/>
  <c r="AI132" i="19" s="1"/>
  <c r="AN132" i="19" s="1"/>
  <c r="AL131" i="19"/>
  <c r="AK131" i="19"/>
  <c r="AI131" i="19"/>
  <c r="AN131" i="19" s="1"/>
  <c r="AH131" i="19"/>
  <c r="AL130" i="19"/>
  <c r="AK130" i="19"/>
  <c r="AH130" i="19"/>
  <c r="AI130" i="19" s="1"/>
  <c r="AN130" i="19" s="1"/>
  <c r="AL129" i="19"/>
  <c r="AK129" i="19"/>
  <c r="AH129" i="19"/>
  <c r="AI129" i="19" s="1"/>
  <c r="AN129" i="19" s="1"/>
  <c r="AL128" i="19"/>
  <c r="AK128" i="19"/>
  <c r="AH128" i="19"/>
  <c r="AI128" i="19" s="1"/>
  <c r="AN128" i="19" s="1"/>
  <c r="AL127" i="19"/>
  <c r="AK127" i="19"/>
  <c r="AI127" i="19"/>
  <c r="AN127" i="19" s="1"/>
  <c r="AH127" i="19"/>
  <c r="AN126" i="19"/>
  <c r="AL126" i="19"/>
  <c r="AK126" i="19"/>
  <c r="AI126" i="19"/>
  <c r="AH126" i="19"/>
  <c r="AL125" i="19"/>
  <c r="AK125" i="19"/>
  <c r="AI125" i="19"/>
  <c r="AN125" i="19" s="1"/>
  <c r="AH125" i="19"/>
  <c r="AL124" i="19"/>
  <c r="AK124" i="19"/>
  <c r="AH124" i="19"/>
  <c r="AI124" i="19" s="1"/>
  <c r="AN124" i="19" s="1"/>
  <c r="AL123" i="19"/>
  <c r="AK123" i="19"/>
  <c r="AI123" i="19"/>
  <c r="AN123" i="19" s="1"/>
  <c r="AH123" i="19"/>
  <c r="AL122" i="19"/>
  <c r="AK122" i="19"/>
  <c r="AH122" i="19"/>
  <c r="AI122" i="19" s="1"/>
  <c r="AN122" i="19" s="1"/>
  <c r="AL121" i="19"/>
  <c r="AK121" i="19"/>
  <c r="AH121" i="19"/>
  <c r="AI121" i="19" s="1"/>
  <c r="AN121" i="19" s="1"/>
  <c r="AN120" i="19"/>
  <c r="AL120" i="19"/>
  <c r="AK120" i="19"/>
  <c r="AH120" i="19"/>
  <c r="AI120" i="19" s="1"/>
  <c r="AL119" i="19"/>
  <c r="AK119" i="19"/>
  <c r="AI119" i="19"/>
  <c r="AN119" i="19" s="1"/>
  <c r="AH119" i="19"/>
  <c r="AN118" i="19"/>
  <c r="AL118" i="19"/>
  <c r="AK118" i="19"/>
  <c r="AI118" i="19"/>
  <c r="AH118" i="19"/>
  <c r="AL117" i="19"/>
  <c r="AK117" i="19"/>
  <c r="AI117" i="19"/>
  <c r="AN117" i="19" s="1"/>
  <c r="AH117" i="19"/>
  <c r="AL116" i="19"/>
  <c r="AK116" i="19"/>
  <c r="AH116" i="19"/>
  <c r="AI116" i="19" s="1"/>
  <c r="AN116" i="19" s="1"/>
  <c r="AL115" i="19"/>
  <c r="AK115" i="19"/>
  <c r="AI115" i="19"/>
  <c r="AN115" i="19" s="1"/>
  <c r="AH115" i="19"/>
  <c r="AL114" i="19"/>
  <c r="AK114" i="19"/>
  <c r="AH114" i="19"/>
  <c r="AI114" i="19" s="1"/>
  <c r="AN114" i="19" s="1"/>
  <c r="BO113" i="19"/>
  <c r="AL113" i="19"/>
  <c r="AK113" i="19"/>
  <c r="AH113" i="19"/>
  <c r="AI113" i="19" s="1"/>
  <c r="AN113" i="19" s="1"/>
  <c r="AL112" i="19"/>
  <c r="AK112" i="19"/>
  <c r="AI112" i="19"/>
  <c r="AN112" i="19" s="1"/>
  <c r="AH112" i="19"/>
  <c r="AL111" i="19"/>
  <c r="AK111" i="19"/>
  <c r="AH111" i="19"/>
  <c r="AI111" i="19" s="1"/>
  <c r="AN111" i="19" s="1"/>
  <c r="AL110" i="19"/>
  <c r="AK110" i="19"/>
  <c r="AH110" i="19"/>
  <c r="AI110" i="19" s="1"/>
  <c r="AN110" i="19" s="1"/>
  <c r="AL109" i="19"/>
  <c r="AK109" i="19"/>
  <c r="AH109" i="19"/>
  <c r="AI109" i="19" s="1"/>
  <c r="AN109" i="19" s="1"/>
  <c r="AL108" i="19"/>
  <c r="AK108" i="19"/>
  <c r="AH108" i="19"/>
  <c r="AI108" i="19" s="1"/>
  <c r="AN108" i="19" s="1"/>
  <c r="AL107" i="19"/>
  <c r="AK107" i="19"/>
  <c r="AH107" i="19"/>
  <c r="AI107" i="19" s="1"/>
  <c r="AN107" i="19" s="1"/>
  <c r="AL106" i="19"/>
  <c r="AK106" i="19"/>
  <c r="AI106" i="19"/>
  <c r="AN106" i="19" s="1"/>
  <c r="AH106" i="19"/>
  <c r="AL105" i="19"/>
  <c r="AK105" i="19"/>
  <c r="AI105" i="19"/>
  <c r="AN105" i="19" s="1"/>
  <c r="AH105" i="19"/>
  <c r="AN104" i="19"/>
  <c r="AL104" i="19"/>
  <c r="AK104" i="19"/>
  <c r="AI104" i="19"/>
  <c r="AH104" i="19"/>
  <c r="AL103" i="19"/>
  <c r="AK103" i="19"/>
  <c r="AH103" i="19"/>
  <c r="AI103" i="19" s="1"/>
  <c r="AN103" i="19" s="1"/>
  <c r="AL102" i="19"/>
  <c r="AK102" i="19"/>
  <c r="AH102" i="19"/>
  <c r="AI102" i="19" s="1"/>
  <c r="AN102" i="19" s="1"/>
  <c r="AL101" i="19"/>
  <c r="AK101" i="19"/>
  <c r="AH101" i="19"/>
  <c r="AI101" i="19" s="1"/>
  <c r="AN101" i="19" s="1"/>
  <c r="AL100" i="19"/>
  <c r="AK100" i="19"/>
  <c r="AH100" i="19"/>
  <c r="AI100" i="19" s="1"/>
  <c r="AN100" i="19" s="1"/>
  <c r="AL99" i="19"/>
  <c r="AK99" i="19"/>
  <c r="AH99" i="19"/>
  <c r="AI99" i="19" s="1"/>
  <c r="AN99" i="19" s="1"/>
  <c r="AL98" i="19"/>
  <c r="AK98" i="19"/>
  <c r="AI98" i="19"/>
  <c r="AN98" i="19" s="1"/>
  <c r="AH98" i="19"/>
  <c r="AL97" i="19"/>
  <c r="AK97" i="19"/>
  <c r="AI97" i="19"/>
  <c r="AN97" i="19" s="1"/>
  <c r="AH97" i="19"/>
  <c r="AN96" i="19"/>
  <c r="AL96" i="19"/>
  <c r="AK96" i="19"/>
  <c r="AI96" i="19"/>
  <c r="AH96" i="19"/>
  <c r="BO95" i="19"/>
  <c r="AL95" i="19"/>
  <c r="AK95" i="19"/>
  <c r="AI95" i="19"/>
  <c r="AN95" i="19" s="1"/>
  <c r="AH95" i="19"/>
  <c r="AL94" i="19"/>
  <c r="AK94" i="19"/>
  <c r="AI94" i="19"/>
  <c r="AN94" i="19" s="1"/>
  <c r="AH94" i="19"/>
  <c r="AN93" i="19"/>
  <c r="AL93" i="19"/>
  <c r="AK93" i="19"/>
  <c r="AI93" i="19"/>
  <c r="AH93" i="19"/>
  <c r="AL92" i="19"/>
  <c r="AK92" i="19"/>
  <c r="AH92" i="19"/>
  <c r="AI92" i="19" s="1"/>
  <c r="AN92" i="19" s="1"/>
  <c r="AL91" i="19"/>
  <c r="AK91" i="19"/>
  <c r="AH91" i="19"/>
  <c r="AI91" i="19" s="1"/>
  <c r="AN91" i="19" s="1"/>
  <c r="AL90" i="19"/>
  <c r="AK90" i="19"/>
  <c r="AH90" i="19"/>
  <c r="AI90" i="19" s="1"/>
  <c r="AN90" i="19" s="1"/>
  <c r="AL89" i="19"/>
  <c r="AK89" i="19"/>
  <c r="AH89" i="19"/>
  <c r="AI89" i="19" s="1"/>
  <c r="AN89" i="19" s="1"/>
  <c r="AL88" i="19"/>
  <c r="AK88" i="19"/>
  <c r="AH88" i="19"/>
  <c r="AI88" i="19" s="1"/>
  <c r="AN88" i="19" s="1"/>
  <c r="AL87" i="19"/>
  <c r="AK87" i="19"/>
  <c r="AI87" i="19"/>
  <c r="AN87" i="19" s="1"/>
  <c r="AH87" i="19"/>
  <c r="AL86" i="19"/>
  <c r="AK86" i="19"/>
  <c r="AI86" i="19"/>
  <c r="AN86" i="19" s="1"/>
  <c r="AH86" i="19"/>
  <c r="AN85" i="19"/>
  <c r="AL85" i="19"/>
  <c r="AK85" i="19"/>
  <c r="AI85" i="19"/>
  <c r="AH85" i="19"/>
  <c r="AL84" i="19"/>
  <c r="AK84" i="19"/>
  <c r="AH84" i="19"/>
  <c r="AI84" i="19" s="1"/>
  <c r="AN84" i="19" s="1"/>
  <c r="AL83" i="19"/>
  <c r="AK83" i="19"/>
  <c r="AH83" i="19"/>
  <c r="AI83" i="19" s="1"/>
  <c r="AN83" i="19" s="1"/>
  <c r="AL82" i="19"/>
  <c r="AK82" i="19"/>
  <c r="AH82" i="19"/>
  <c r="AI82" i="19" s="1"/>
  <c r="AN82" i="19" s="1"/>
  <c r="AL81" i="19"/>
  <c r="AK81" i="19"/>
  <c r="AH81" i="19"/>
  <c r="AI81" i="19" s="1"/>
  <c r="AN81" i="19" s="1"/>
  <c r="AL80" i="19"/>
  <c r="AK80" i="19"/>
  <c r="AH80" i="19"/>
  <c r="AI80" i="19" s="1"/>
  <c r="AN80" i="19" s="1"/>
  <c r="AL79" i="19"/>
  <c r="AK79" i="19"/>
  <c r="AI79" i="19"/>
  <c r="AN79" i="19" s="1"/>
  <c r="AH79" i="19"/>
  <c r="AL78" i="19"/>
  <c r="AK78" i="19"/>
  <c r="AI78" i="19"/>
  <c r="AN78" i="19" s="1"/>
  <c r="AH78" i="19"/>
  <c r="AN77" i="19"/>
  <c r="AL77" i="19"/>
  <c r="AK77" i="19"/>
  <c r="AI77" i="19"/>
  <c r="AH77" i="19"/>
  <c r="AL76" i="19"/>
  <c r="AK76" i="19"/>
  <c r="AH76" i="19"/>
  <c r="AI76" i="19" s="1"/>
  <c r="AN76" i="19" s="1"/>
  <c r="AL75" i="19"/>
  <c r="AK75" i="19"/>
  <c r="AH75" i="19"/>
  <c r="AI75" i="19" s="1"/>
  <c r="AN75" i="19" s="1"/>
  <c r="AL74" i="19"/>
  <c r="AK74" i="19"/>
  <c r="AH74" i="19"/>
  <c r="AI74" i="19" s="1"/>
  <c r="AN74" i="19" s="1"/>
  <c r="AL73" i="19"/>
  <c r="AK73" i="19"/>
  <c r="AH73" i="19"/>
  <c r="AI73" i="19" s="1"/>
  <c r="AN73" i="19" s="1"/>
  <c r="AL72" i="19"/>
  <c r="AK72" i="19"/>
  <c r="AH72" i="19"/>
  <c r="AI72" i="19" s="1"/>
  <c r="AN72" i="19" s="1"/>
  <c r="AL71" i="19"/>
  <c r="AK71" i="19"/>
  <c r="AI71" i="19"/>
  <c r="AN71" i="19" s="1"/>
  <c r="AH71" i="19"/>
  <c r="AL70" i="19"/>
  <c r="AK70" i="19"/>
  <c r="AI70" i="19"/>
  <c r="AN70" i="19" s="1"/>
  <c r="AH70" i="19"/>
  <c r="AN69" i="19"/>
  <c r="AL69" i="19"/>
  <c r="AK69" i="19"/>
  <c r="AI69" i="19"/>
  <c r="AH69" i="19"/>
  <c r="AL68" i="19"/>
  <c r="AK68" i="19"/>
  <c r="AH68" i="19"/>
  <c r="AI68" i="19" s="1"/>
  <c r="AN68" i="19" s="1"/>
  <c r="AL67" i="19"/>
  <c r="AK67" i="19"/>
  <c r="AH67" i="19"/>
  <c r="AI67" i="19" s="1"/>
  <c r="AN67" i="19" s="1"/>
  <c r="AL66" i="19"/>
  <c r="AK66" i="19"/>
  <c r="AH66" i="19"/>
  <c r="AI66" i="19" s="1"/>
  <c r="AN66" i="19" s="1"/>
  <c r="AL65" i="19"/>
  <c r="AK65" i="19"/>
  <c r="AH65" i="19"/>
  <c r="AI65" i="19" s="1"/>
  <c r="AN65" i="19" s="1"/>
  <c r="AL64" i="19"/>
  <c r="AK64" i="19"/>
  <c r="AH64" i="19"/>
  <c r="AI64" i="19" s="1"/>
  <c r="AN64" i="19" s="1"/>
  <c r="AL63" i="19"/>
  <c r="AK63" i="19"/>
  <c r="AI63" i="19"/>
  <c r="AN63" i="19" s="1"/>
  <c r="AH63" i="19"/>
  <c r="AL62" i="19"/>
  <c r="AK62" i="19"/>
  <c r="AI62" i="19"/>
  <c r="AN62" i="19" s="1"/>
  <c r="AH62" i="19"/>
  <c r="AN61" i="19"/>
  <c r="AL61" i="19"/>
  <c r="AK61" i="19"/>
  <c r="AI61" i="19"/>
  <c r="AH61" i="19"/>
  <c r="AL60" i="19"/>
  <c r="AK60" i="19"/>
  <c r="AH60" i="19"/>
  <c r="AI60" i="19" s="1"/>
  <c r="AN60" i="19" s="1"/>
  <c r="AL59" i="19"/>
  <c r="AK59" i="19"/>
  <c r="AH59" i="19"/>
  <c r="AI59" i="19" s="1"/>
  <c r="AN59" i="19" s="1"/>
  <c r="AL58" i="19"/>
  <c r="AK58" i="19"/>
  <c r="AH58" i="19"/>
  <c r="AI58" i="19" s="1"/>
  <c r="AN58" i="19" s="1"/>
  <c r="AL57" i="19"/>
  <c r="AK57" i="19"/>
  <c r="AH57" i="19"/>
  <c r="AI57" i="19" s="1"/>
  <c r="AN57" i="19" s="1"/>
  <c r="BO56" i="19"/>
  <c r="AL56" i="19"/>
  <c r="AK56" i="19"/>
  <c r="AH56" i="19"/>
  <c r="AI56" i="19" s="1"/>
  <c r="AN56" i="19" s="1"/>
  <c r="AL55" i="19"/>
  <c r="AK55" i="19"/>
  <c r="AH55" i="19"/>
  <c r="AI55" i="19" s="1"/>
  <c r="AN55" i="19" s="1"/>
  <c r="AL54" i="19"/>
  <c r="AK54" i="19"/>
  <c r="AH54" i="19"/>
  <c r="AI54" i="19" s="1"/>
  <c r="AN54" i="19" s="1"/>
  <c r="AL53" i="19"/>
  <c r="AK53" i="19"/>
  <c r="AH53" i="19"/>
  <c r="AI53" i="19" s="1"/>
  <c r="AN53" i="19" s="1"/>
  <c r="AL52" i="19"/>
  <c r="AK52" i="19"/>
  <c r="AI52" i="19"/>
  <c r="AN52" i="19" s="1"/>
  <c r="AH52" i="19"/>
  <c r="AL51" i="19"/>
  <c r="AK51" i="19"/>
  <c r="AI51" i="19"/>
  <c r="AN51" i="19" s="1"/>
  <c r="AH51" i="19"/>
  <c r="AN50" i="19"/>
  <c r="AL50" i="19"/>
  <c r="AK50" i="19"/>
  <c r="AI50" i="19"/>
  <c r="AH50" i="19"/>
  <c r="AL49" i="19"/>
  <c r="AK49" i="19"/>
  <c r="AH49" i="19"/>
  <c r="AI49" i="19" s="1"/>
  <c r="AN49" i="19" s="1"/>
  <c r="AL48" i="19"/>
  <c r="AK48" i="19"/>
  <c r="AH48" i="19"/>
  <c r="AI48" i="19" s="1"/>
  <c r="AN48" i="19" s="1"/>
  <c r="AL47" i="19"/>
  <c r="AK47" i="19"/>
  <c r="AH47" i="19"/>
  <c r="AI47" i="19" s="1"/>
  <c r="AN47" i="19" s="1"/>
  <c r="AL46" i="19"/>
  <c r="AK46" i="19"/>
  <c r="AH46" i="19"/>
  <c r="AI46" i="19" s="1"/>
  <c r="AN46" i="19" s="1"/>
  <c r="AL45" i="19"/>
  <c r="AK45" i="19"/>
  <c r="AH45" i="19"/>
  <c r="AI45" i="19" s="1"/>
  <c r="AN45" i="19" s="1"/>
  <c r="AL44" i="19"/>
  <c r="AK44" i="19"/>
  <c r="AG44" i="19"/>
  <c r="AF44" i="19"/>
  <c r="AE44" i="19"/>
  <c r="AD44" i="19"/>
  <c r="AC44" i="19"/>
  <c r="AB44" i="19"/>
  <c r="AH44" i="19" s="1"/>
  <c r="AI44" i="19" s="1"/>
  <c r="AN44" i="19" s="1"/>
  <c r="AL43" i="19"/>
  <c r="AK43" i="19"/>
  <c r="AG43" i="19"/>
  <c r="AF43" i="19"/>
  <c r="AE43" i="19"/>
  <c r="AD43" i="19"/>
  <c r="AC43" i="19"/>
  <c r="AB43" i="19"/>
  <c r="AH43" i="19" s="1"/>
  <c r="AI43" i="19" s="1"/>
  <c r="AN43" i="19" s="1"/>
  <c r="AL42" i="19"/>
  <c r="AK42" i="19"/>
  <c r="AG42" i="19"/>
  <c r="AH42" i="19" s="1"/>
  <c r="AI42" i="19" s="1"/>
  <c r="AN42" i="19" s="1"/>
  <c r="AF42" i="19"/>
  <c r="AE42" i="19"/>
  <c r="AD42" i="19"/>
  <c r="AC42" i="19"/>
  <c r="AB42" i="19"/>
  <c r="AL41" i="19"/>
  <c r="AK41" i="19"/>
  <c r="AG41" i="19"/>
  <c r="AF41" i="19"/>
  <c r="AE41" i="19"/>
  <c r="AH41" i="19" s="1"/>
  <c r="AI41" i="19" s="1"/>
  <c r="AN41" i="19" s="1"/>
  <c r="BO40" i="19"/>
  <c r="AN40" i="19"/>
  <c r="AL40" i="19"/>
  <c r="AK40" i="19"/>
  <c r="AI40" i="19"/>
  <c r="AH40" i="19"/>
  <c r="AL39" i="19"/>
  <c r="AK39" i="19"/>
  <c r="AH39" i="19"/>
  <c r="AI39" i="19" s="1"/>
  <c r="AN39" i="19" s="1"/>
  <c r="AL38" i="19"/>
  <c r="AK38" i="19"/>
  <c r="AH38" i="19"/>
  <c r="AI38" i="19" s="1"/>
  <c r="AN38" i="19" s="1"/>
  <c r="BO37" i="19"/>
  <c r="AN37" i="19"/>
  <c r="AL37" i="19"/>
  <c r="AK37" i="19"/>
  <c r="AI37" i="19"/>
  <c r="AH37" i="19"/>
  <c r="BO36" i="19"/>
  <c r="AL36" i="19"/>
  <c r="AK36" i="19"/>
  <c r="AI36" i="19"/>
  <c r="AN36" i="19" s="1"/>
  <c r="AH36" i="19"/>
  <c r="BO35" i="19"/>
  <c r="AL35" i="19"/>
  <c r="AK35" i="19"/>
  <c r="AH35" i="19"/>
  <c r="AI35" i="19" s="1"/>
  <c r="AN35" i="19" s="1"/>
  <c r="AL34" i="19"/>
  <c r="AK34" i="19"/>
  <c r="AH34" i="19"/>
  <c r="AI34" i="19" s="1"/>
  <c r="AN34" i="19" s="1"/>
  <c r="BO33" i="19"/>
  <c r="AL33" i="19"/>
  <c r="AK33" i="19"/>
  <c r="AH33" i="19"/>
  <c r="AI33" i="19" s="1"/>
  <c r="AN33" i="19" s="1"/>
  <c r="AL32" i="19"/>
  <c r="AK32" i="19"/>
  <c r="AH32" i="19"/>
  <c r="AI32" i="19" s="1"/>
  <c r="AN32" i="19" s="1"/>
  <c r="AL31" i="19"/>
  <c r="AK31" i="19"/>
  <c r="AH31" i="19"/>
  <c r="AI31" i="19" s="1"/>
  <c r="AN31" i="19" s="1"/>
  <c r="BO30" i="19"/>
  <c r="AL30" i="19"/>
  <c r="AK30" i="19"/>
  <c r="AG30" i="19"/>
  <c r="AF30" i="19"/>
  <c r="AE30" i="19"/>
  <c r="AD30" i="19"/>
  <c r="AC30" i="19"/>
  <c r="AB30" i="19"/>
  <c r="AH30" i="19" s="1"/>
  <c r="AI30" i="19" s="1"/>
  <c r="AN30" i="19" s="1"/>
  <c r="AL29" i="19"/>
  <c r="AK29" i="19"/>
  <c r="AH29" i="19"/>
  <c r="AI29" i="19" s="1"/>
  <c r="AN29" i="19" s="1"/>
  <c r="AL28" i="19"/>
  <c r="AK28" i="19"/>
  <c r="AH28" i="19"/>
  <c r="AI28" i="19" s="1"/>
  <c r="AN28" i="19" s="1"/>
  <c r="AL27" i="19"/>
  <c r="AK27" i="19"/>
  <c r="AH27" i="19"/>
  <c r="AI27" i="19" s="1"/>
  <c r="AN27" i="19" s="1"/>
  <c r="BO26" i="19"/>
  <c r="AL26" i="19"/>
  <c r="AK26" i="19"/>
  <c r="AH26" i="19"/>
  <c r="AI26" i="19" s="1"/>
  <c r="AN26" i="19" s="1"/>
  <c r="BO25" i="19"/>
  <c r="AN25" i="19"/>
  <c r="AL25" i="19"/>
  <c r="AK25" i="19"/>
  <c r="AI25" i="19"/>
  <c r="AH25" i="19"/>
  <c r="BO24" i="19"/>
  <c r="AL24" i="19"/>
  <c r="AK24" i="19"/>
  <c r="AI24" i="19"/>
  <c r="AN24" i="19" s="1"/>
  <c r="AH24" i="19"/>
  <c r="BO23" i="19"/>
  <c r="AL23" i="19"/>
  <c r="AK23" i="19"/>
  <c r="AG23" i="19"/>
  <c r="AH23" i="19" s="1"/>
  <c r="AI23" i="19" s="1"/>
  <c r="AN23" i="19" s="1"/>
  <c r="AF23" i="19"/>
  <c r="AE23" i="19"/>
  <c r="AD23" i="19"/>
  <c r="AC23" i="19"/>
  <c r="AB23" i="19"/>
  <c r="AL22" i="19"/>
  <c r="AK22" i="19"/>
  <c r="AH22" i="19"/>
  <c r="AI22" i="19" s="1"/>
  <c r="AN22" i="19" s="1"/>
  <c r="BO21" i="19"/>
  <c r="AL21" i="19"/>
  <c r="AK21" i="19"/>
  <c r="AH21" i="19"/>
  <c r="AI21" i="19" s="1"/>
  <c r="AN21" i="19" s="1"/>
  <c r="AG21" i="19"/>
  <c r="AF21" i="19"/>
  <c r="AE21" i="19"/>
  <c r="AD21" i="19"/>
  <c r="AC21" i="19"/>
  <c r="AB21" i="19"/>
  <c r="AN20" i="19"/>
  <c r="AL20" i="19"/>
  <c r="AK20" i="19"/>
  <c r="AI20" i="19"/>
  <c r="AH20" i="19"/>
  <c r="BO19" i="19"/>
  <c r="AL19" i="19"/>
  <c r="AK19" i="19"/>
  <c r="AG19" i="19"/>
  <c r="AF19" i="19"/>
  <c r="AE19" i="19"/>
  <c r="AD19" i="19"/>
  <c r="AC19" i="19"/>
  <c r="AB19" i="19"/>
  <c r="AH19" i="19" s="1"/>
  <c r="AI19" i="19" s="1"/>
  <c r="AN19" i="19" s="1"/>
  <c r="AL18" i="19"/>
  <c r="AK18" i="19"/>
  <c r="AH18" i="19"/>
  <c r="AI18" i="19" s="1"/>
  <c r="AN18" i="19" s="1"/>
  <c r="BO17" i="19"/>
  <c r="AL17" i="19"/>
  <c r="AK17" i="19"/>
  <c r="AH17" i="19"/>
  <c r="AI17" i="19" s="1"/>
  <c r="AN17" i="19" s="1"/>
  <c r="AL16" i="19"/>
  <c r="AK16" i="19"/>
  <c r="AH16" i="19"/>
  <c r="AI16" i="19" s="1"/>
  <c r="AN16" i="19" s="1"/>
  <c r="BO15" i="19"/>
  <c r="AL15" i="19"/>
  <c r="AK15" i="19"/>
  <c r="AH15" i="19"/>
  <c r="AI15" i="19" s="1"/>
  <c r="AN15" i="19" s="1"/>
  <c r="AL14" i="19"/>
  <c r="AK14" i="19"/>
  <c r="AH14" i="19"/>
  <c r="AI14" i="19" s="1"/>
  <c r="AN14" i="19" s="1"/>
  <c r="AL13" i="19"/>
  <c r="AK13" i="19"/>
  <c r="AH13" i="19"/>
  <c r="AI13" i="19" s="1"/>
  <c r="AN13" i="19" s="1"/>
  <c r="AL12" i="19"/>
  <c r="AK12" i="19"/>
  <c r="AH12" i="19"/>
  <c r="AI12" i="19" s="1"/>
  <c r="AN12" i="19" s="1"/>
  <c r="AL11" i="19"/>
  <c r="AK11" i="19"/>
  <c r="AI11" i="19"/>
  <c r="AN11" i="19" s="1"/>
  <c r="AL10" i="19"/>
  <c r="AK10" i="19"/>
  <c r="AG10" i="19"/>
  <c r="AF10" i="19"/>
  <c r="AE10" i="19"/>
  <c r="AD10" i="19"/>
  <c r="AC10" i="19"/>
  <c r="AH10" i="19" s="1"/>
  <c r="AB10" i="19"/>
  <c r="BO9" i="19"/>
  <c r="AL9" i="19"/>
  <c r="AK9" i="19"/>
  <c r="AI9" i="19"/>
  <c r="AN9" i="19" s="1"/>
  <c r="AH9" i="19"/>
  <c r="AN8" i="19"/>
  <c r="AL8" i="19"/>
  <c r="AK8" i="19"/>
  <c r="AI8" i="19"/>
  <c r="AH8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M3" i="19"/>
  <c r="AK3" i="19"/>
  <c r="AJ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 s="1"/>
  <c r="AQ535" i="15"/>
  <c r="AP535" i="15"/>
  <c r="AM535" i="15"/>
  <c r="AN535" i="15" s="1"/>
  <c r="AS535" i="15" s="1"/>
  <c r="AQ534" i="15"/>
  <c r="AP534" i="15"/>
  <c r="AM534" i="15"/>
  <c r="AN534" i="15" s="1"/>
  <c r="AS534" i="15" s="1"/>
  <c r="AQ533" i="15"/>
  <c r="AP533" i="15"/>
  <c r="AM533" i="15"/>
  <c r="AN533" i="15" s="1"/>
  <c r="AS533" i="15" s="1"/>
  <c r="BT532" i="15"/>
  <c r="AQ532" i="15"/>
  <c r="AP532" i="15"/>
  <c r="AM532" i="15"/>
  <c r="AN532" i="15" s="1"/>
  <c r="AS532" i="15" s="1"/>
  <c r="AQ531" i="15"/>
  <c r="AP531" i="15"/>
  <c r="AM531" i="15"/>
  <c r="AN531" i="15" s="1"/>
  <c r="AS531" i="15" s="1"/>
  <c r="AQ530" i="15"/>
  <c r="AP530" i="15"/>
  <c r="AM530" i="15"/>
  <c r="AN530" i="15" s="1"/>
  <c r="AS530" i="15" s="1"/>
  <c r="AQ529" i="15"/>
  <c r="AP529" i="15"/>
  <c r="AM529" i="15"/>
  <c r="AN529" i="15" s="1"/>
  <c r="AS529" i="15" s="1"/>
  <c r="AQ528" i="15"/>
  <c r="AP528" i="15"/>
  <c r="AM528" i="15"/>
  <c r="AN528" i="15" s="1"/>
  <c r="AS528" i="15" s="1"/>
  <c r="AQ527" i="15"/>
  <c r="AP527" i="15"/>
  <c r="AM527" i="15"/>
  <c r="AN527" i="15" s="1"/>
  <c r="AS527" i="15" s="1"/>
  <c r="AQ526" i="15"/>
  <c r="AP526" i="15"/>
  <c r="AM526" i="15"/>
  <c r="AN526" i="15" s="1"/>
  <c r="AS526" i="15" s="1"/>
  <c r="AQ525" i="15"/>
  <c r="AP525" i="15"/>
  <c r="AM525" i="15"/>
  <c r="AN525" i="15" s="1"/>
  <c r="AS525" i="15" s="1"/>
  <c r="AQ524" i="15"/>
  <c r="AP524" i="15"/>
  <c r="AM524" i="15"/>
  <c r="AN524" i="15" s="1"/>
  <c r="AS524" i="15" s="1"/>
  <c r="AQ523" i="15"/>
  <c r="AP523" i="15"/>
  <c r="AM523" i="15"/>
  <c r="AN523" i="15" s="1"/>
  <c r="AS523" i="15" s="1"/>
  <c r="AQ522" i="15"/>
  <c r="AP522" i="15"/>
  <c r="AM522" i="15"/>
  <c r="AN522" i="15" s="1"/>
  <c r="AS522" i="15" s="1"/>
  <c r="AQ521" i="15"/>
  <c r="AP521" i="15"/>
  <c r="AM521" i="15"/>
  <c r="AN521" i="15" s="1"/>
  <c r="AS521" i="15" s="1"/>
  <c r="AQ520" i="15"/>
  <c r="AP520" i="15"/>
  <c r="AM520" i="15"/>
  <c r="AN520" i="15" s="1"/>
  <c r="AS520" i="15" s="1"/>
  <c r="AP519" i="15"/>
  <c r="AC519" i="15"/>
  <c r="AQ519" i="15" s="1"/>
  <c r="AQ518" i="15"/>
  <c r="AP518" i="15"/>
  <c r="AM518" i="15"/>
  <c r="AN518" i="15" s="1"/>
  <c r="AS518" i="15" s="1"/>
  <c r="AQ517" i="15"/>
  <c r="AP517" i="15"/>
  <c r="AM517" i="15"/>
  <c r="AN517" i="15" s="1"/>
  <c r="AS517" i="15" s="1"/>
  <c r="AQ516" i="15"/>
  <c r="AP516" i="15"/>
  <c r="AM516" i="15"/>
  <c r="AN516" i="15" s="1"/>
  <c r="AS516" i="15" s="1"/>
  <c r="AP515" i="15"/>
  <c r="AC515" i="15"/>
  <c r="AM515" i="15" s="1"/>
  <c r="AN515" i="15" s="1"/>
  <c r="AS515" i="15" s="1"/>
  <c r="AQ511" i="15"/>
  <c r="AP511" i="15"/>
  <c r="AM511" i="15"/>
  <c r="AN511" i="15" s="1"/>
  <c r="AS511" i="15" s="1"/>
  <c r="AQ504" i="15"/>
  <c r="AP504" i="15"/>
  <c r="AM504" i="15"/>
  <c r="AN504" i="15" s="1"/>
  <c r="AS504" i="15" s="1"/>
  <c r="AQ503" i="15"/>
  <c r="AP503" i="15"/>
  <c r="AM503" i="15"/>
  <c r="AN503" i="15" s="1"/>
  <c r="AS503" i="15" s="1"/>
  <c r="AQ502" i="15"/>
  <c r="AP502" i="15"/>
  <c r="AM502" i="15"/>
  <c r="AN502" i="15" s="1"/>
  <c r="AS502" i="15" s="1"/>
  <c r="AQ501" i="15"/>
  <c r="AP501" i="15"/>
  <c r="AM501" i="15"/>
  <c r="AN501" i="15" s="1"/>
  <c r="AS501" i="15" s="1"/>
  <c r="AQ500" i="15"/>
  <c r="AP500" i="15"/>
  <c r="AM500" i="15"/>
  <c r="AN500" i="15" s="1"/>
  <c r="AS500" i="15" s="1"/>
  <c r="AQ499" i="15"/>
  <c r="AP499" i="15"/>
  <c r="AM499" i="15"/>
  <c r="AN499" i="15" s="1"/>
  <c r="AS499" i="15" s="1"/>
  <c r="AQ498" i="15"/>
  <c r="AP498" i="15"/>
  <c r="AM498" i="15"/>
  <c r="AN498" i="15" s="1"/>
  <c r="AS498" i="15" s="1"/>
  <c r="AQ497" i="15"/>
  <c r="AP497" i="15"/>
  <c r="AM497" i="15"/>
  <c r="AN497" i="15" s="1"/>
  <c r="AS497" i="15" s="1"/>
  <c r="AQ496" i="15"/>
  <c r="AP496" i="15"/>
  <c r="AM496" i="15"/>
  <c r="AN496" i="15" s="1"/>
  <c r="AS496" i="15" s="1"/>
  <c r="AQ495" i="15"/>
  <c r="AP495" i="15"/>
  <c r="AM495" i="15"/>
  <c r="AN495" i="15" s="1"/>
  <c r="AS495" i="15" s="1"/>
  <c r="AQ494" i="15"/>
  <c r="AP494" i="15"/>
  <c r="AM494" i="15"/>
  <c r="AN494" i="15" s="1"/>
  <c r="AS494" i="15" s="1"/>
  <c r="AQ493" i="15"/>
  <c r="AP493" i="15"/>
  <c r="AM493" i="15"/>
  <c r="AN493" i="15" s="1"/>
  <c r="AS493" i="15" s="1"/>
  <c r="AQ492" i="15"/>
  <c r="AP492" i="15"/>
  <c r="AM492" i="15"/>
  <c r="AN492" i="15" s="1"/>
  <c r="AS492" i="15" s="1"/>
  <c r="AQ491" i="15"/>
  <c r="AP491" i="15"/>
  <c r="AM491" i="15"/>
  <c r="AN491" i="15" s="1"/>
  <c r="AS491" i="15" s="1"/>
  <c r="AQ490" i="15"/>
  <c r="AP490" i="15"/>
  <c r="AM490" i="15"/>
  <c r="AN490" i="15" s="1"/>
  <c r="AS490" i="15" s="1"/>
  <c r="AQ489" i="15"/>
  <c r="AP489" i="15"/>
  <c r="AM489" i="15"/>
  <c r="AN489" i="15" s="1"/>
  <c r="AS489" i="15" s="1"/>
  <c r="AQ488" i="15"/>
  <c r="AP488" i="15"/>
  <c r="AM488" i="15"/>
  <c r="AN488" i="15" s="1"/>
  <c r="AS488" i="15" s="1"/>
  <c r="AQ487" i="15"/>
  <c r="AP487" i="15"/>
  <c r="AM487" i="15"/>
  <c r="AN487" i="15" s="1"/>
  <c r="AS487" i="15" s="1"/>
  <c r="AQ486" i="15"/>
  <c r="AP486" i="15"/>
  <c r="AM486" i="15"/>
  <c r="AN486" i="15" s="1"/>
  <c r="AS486" i="15" s="1"/>
  <c r="AQ485" i="15"/>
  <c r="AP485" i="15"/>
  <c r="AM485" i="15"/>
  <c r="AN485" i="15" s="1"/>
  <c r="AS485" i="15" s="1"/>
  <c r="AQ484" i="15"/>
  <c r="AP484" i="15"/>
  <c r="AM484" i="15"/>
  <c r="AN484" i="15" s="1"/>
  <c r="AS484" i="15" s="1"/>
  <c r="AQ481" i="15"/>
  <c r="AP481" i="15"/>
  <c r="AM481" i="15"/>
  <c r="AN481" i="15" s="1"/>
  <c r="AS481" i="15" s="1"/>
  <c r="AQ480" i="15"/>
  <c r="AP480" i="15"/>
  <c r="AM480" i="15"/>
  <c r="AN480" i="15" s="1"/>
  <c r="AS480" i="15" s="1"/>
  <c r="AQ479" i="15"/>
  <c r="AP479" i="15"/>
  <c r="AM479" i="15"/>
  <c r="AN479" i="15" s="1"/>
  <c r="AS479" i="15" s="1"/>
  <c r="AQ478" i="15"/>
  <c r="AP478" i="15"/>
  <c r="AM478" i="15"/>
  <c r="AN478" i="15" s="1"/>
  <c r="AS478" i="15" s="1"/>
  <c r="AQ477" i="15"/>
  <c r="AP477" i="15"/>
  <c r="AM477" i="15"/>
  <c r="AN477" i="15" s="1"/>
  <c r="AS477" i="15" s="1"/>
  <c r="AQ476" i="15"/>
  <c r="AP476" i="15"/>
  <c r="AM476" i="15"/>
  <c r="AN476" i="15" s="1"/>
  <c r="AS476" i="15" s="1"/>
  <c r="AQ475" i="15"/>
  <c r="AP475" i="15"/>
  <c r="AM475" i="15"/>
  <c r="AN475" i="15" s="1"/>
  <c r="AS475" i="15" s="1"/>
  <c r="AQ474" i="15"/>
  <c r="AP474" i="15"/>
  <c r="AM474" i="15"/>
  <c r="AN474" i="15" s="1"/>
  <c r="AS474" i="15" s="1"/>
  <c r="AQ473" i="15"/>
  <c r="AP473" i="15"/>
  <c r="AM473" i="15"/>
  <c r="AN473" i="15" s="1"/>
  <c r="AS473" i="15" s="1"/>
  <c r="AQ472" i="15"/>
  <c r="AP472" i="15"/>
  <c r="AM472" i="15"/>
  <c r="AN472" i="15" s="1"/>
  <c r="AS472" i="15" s="1"/>
  <c r="AQ471" i="15"/>
  <c r="AP471" i="15"/>
  <c r="AM471" i="15"/>
  <c r="AN471" i="15" s="1"/>
  <c r="AS471" i="15" s="1"/>
  <c r="AQ470" i="15"/>
  <c r="AP470" i="15"/>
  <c r="AM470" i="15"/>
  <c r="AN470" i="15" s="1"/>
  <c r="AS470" i="15" s="1"/>
  <c r="AQ469" i="15"/>
  <c r="AP469" i="15"/>
  <c r="AM469" i="15"/>
  <c r="AN469" i="15" s="1"/>
  <c r="AS469" i="15" s="1"/>
  <c r="AQ468" i="15"/>
  <c r="AP468" i="15"/>
  <c r="AM468" i="15"/>
  <c r="AN468" i="15" s="1"/>
  <c r="AS468" i="15" s="1"/>
  <c r="BT467" i="15"/>
  <c r="AQ467" i="15"/>
  <c r="AP467" i="15"/>
  <c r="AM467" i="15"/>
  <c r="AN467" i="15" s="1"/>
  <c r="AS467" i="15" s="1"/>
  <c r="AQ576" i="15"/>
  <c r="AP576" i="15"/>
  <c r="AM576" i="15"/>
  <c r="AN576" i="15" s="1"/>
  <c r="AS576" i="15" s="1"/>
  <c r="AQ575" i="15"/>
  <c r="AP575" i="15"/>
  <c r="AM575" i="15"/>
  <c r="AN575" i="15" s="1"/>
  <c r="AS575" i="15" s="1"/>
  <c r="AQ466" i="15"/>
  <c r="AP466" i="15"/>
  <c r="AM466" i="15"/>
  <c r="AN466" i="15" s="1"/>
  <c r="AS466" i="15" s="1"/>
  <c r="AQ465" i="15"/>
  <c r="AP465" i="15"/>
  <c r="AM465" i="15"/>
  <c r="AN465" i="15" s="1"/>
  <c r="AS465" i="15" s="1"/>
  <c r="AQ464" i="15"/>
  <c r="AP464" i="15"/>
  <c r="AM464" i="15"/>
  <c r="AN464" i="15" s="1"/>
  <c r="AS464" i="15" s="1"/>
  <c r="AQ463" i="15"/>
  <c r="AP463" i="15"/>
  <c r="AM463" i="15"/>
  <c r="AN463" i="15" s="1"/>
  <c r="AS463" i="15" s="1"/>
  <c r="AQ462" i="15"/>
  <c r="AP462" i="15"/>
  <c r="AM462" i="15"/>
  <c r="AN462" i="15" s="1"/>
  <c r="AS462" i="15" s="1"/>
  <c r="AQ461" i="15"/>
  <c r="AP461" i="15"/>
  <c r="AM461" i="15"/>
  <c r="AN461" i="15" s="1"/>
  <c r="AS461" i="15" s="1"/>
  <c r="AQ460" i="15"/>
  <c r="AP460" i="15"/>
  <c r="AM460" i="15"/>
  <c r="AN460" i="15" s="1"/>
  <c r="AS460" i="15" s="1"/>
  <c r="AQ459" i="15"/>
  <c r="AP459" i="15"/>
  <c r="AM459" i="15"/>
  <c r="AN459" i="15" s="1"/>
  <c r="AS459" i="15" s="1"/>
  <c r="AQ458" i="15"/>
  <c r="AP458" i="15"/>
  <c r="AM458" i="15"/>
  <c r="AN458" i="15" s="1"/>
  <c r="AS458" i="15" s="1"/>
  <c r="AQ457" i="15"/>
  <c r="AP457" i="15"/>
  <c r="AM457" i="15"/>
  <c r="AN457" i="15" s="1"/>
  <c r="AS457" i="15" s="1"/>
  <c r="AQ456" i="15"/>
  <c r="AP456" i="15"/>
  <c r="AM456" i="15"/>
  <c r="AN456" i="15" s="1"/>
  <c r="AS456" i="15" s="1"/>
  <c r="AQ455" i="15"/>
  <c r="AP455" i="15"/>
  <c r="AM455" i="15"/>
  <c r="AN455" i="15" s="1"/>
  <c r="AS455" i="15" s="1"/>
  <c r="AQ454" i="15"/>
  <c r="AP454" i="15"/>
  <c r="AM454" i="15"/>
  <c r="AN454" i="15" s="1"/>
  <c r="AS454" i="15" s="1"/>
  <c r="AQ453" i="15"/>
  <c r="AP453" i="15"/>
  <c r="AM453" i="15"/>
  <c r="AN453" i="15" s="1"/>
  <c r="AS453" i="15" s="1"/>
  <c r="AQ452" i="15"/>
  <c r="AP452" i="15"/>
  <c r="AM452" i="15"/>
  <c r="AN452" i="15" s="1"/>
  <c r="AS452" i="15" s="1"/>
  <c r="AQ450" i="15"/>
  <c r="AP450" i="15"/>
  <c r="AM450" i="15"/>
  <c r="AN450" i="15" s="1"/>
  <c r="AS450" i="15" s="1"/>
  <c r="AQ449" i="15"/>
  <c r="AP449" i="15"/>
  <c r="AM449" i="15"/>
  <c r="AN449" i="15" s="1"/>
  <c r="AS449" i="15" s="1"/>
  <c r="AQ537" i="15"/>
  <c r="AP537" i="15"/>
  <c r="AM537" i="15"/>
  <c r="AN537" i="15" s="1"/>
  <c r="AS537" i="15" s="1"/>
  <c r="AQ536" i="15"/>
  <c r="AP536" i="15"/>
  <c r="AM536" i="15"/>
  <c r="AN536" i="15" s="1"/>
  <c r="AS536" i="15" s="1"/>
  <c r="AQ448" i="15"/>
  <c r="AP448" i="15"/>
  <c r="AM448" i="15"/>
  <c r="AN448" i="15" s="1"/>
  <c r="AS448" i="15" s="1"/>
  <c r="AQ447" i="15"/>
  <c r="AP447" i="15"/>
  <c r="AM447" i="15"/>
  <c r="AN447" i="15" s="1"/>
  <c r="AS447" i="15" s="1"/>
  <c r="AQ446" i="15"/>
  <c r="AP446" i="15"/>
  <c r="AM446" i="15"/>
  <c r="AN446" i="15" s="1"/>
  <c r="AS446" i="15" s="1"/>
  <c r="AQ445" i="15"/>
  <c r="AP445" i="15"/>
  <c r="AM445" i="15"/>
  <c r="AN445" i="15" s="1"/>
  <c r="AS445" i="15" s="1"/>
  <c r="AQ444" i="15"/>
  <c r="AP444" i="15"/>
  <c r="AM444" i="15"/>
  <c r="AN444" i="15" s="1"/>
  <c r="AS444" i="15" s="1"/>
  <c r="BT443" i="15"/>
  <c r="AQ443" i="15"/>
  <c r="AP443" i="15"/>
  <c r="AM443" i="15"/>
  <c r="AN443" i="15" s="1"/>
  <c r="AS443" i="15" s="1"/>
  <c r="BT442" i="15"/>
  <c r="AQ442" i="15"/>
  <c r="AP442" i="15"/>
  <c r="AM442" i="15"/>
  <c r="AN442" i="15" s="1"/>
  <c r="AS442" i="15" s="1"/>
  <c r="AQ441" i="15"/>
  <c r="AP441" i="15"/>
  <c r="AM441" i="15"/>
  <c r="AN441" i="15" s="1"/>
  <c r="AS441" i="15" s="1"/>
  <c r="AQ440" i="15"/>
  <c r="AP440" i="15"/>
  <c r="AM440" i="15"/>
  <c r="AN440" i="15" s="1"/>
  <c r="AS440" i="15" s="1"/>
  <c r="AQ439" i="15"/>
  <c r="AP439" i="15"/>
  <c r="AM439" i="15"/>
  <c r="AN439" i="15" s="1"/>
  <c r="AS439" i="15" s="1"/>
  <c r="AQ438" i="15"/>
  <c r="AP438" i="15"/>
  <c r="AM438" i="15"/>
  <c r="AN438" i="15" s="1"/>
  <c r="AS438" i="15" s="1"/>
  <c r="AQ437" i="15"/>
  <c r="AP437" i="15"/>
  <c r="AM437" i="15"/>
  <c r="AN437" i="15" s="1"/>
  <c r="AS437" i="15" s="1"/>
  <c r="AQ572" i="15"/>
  <c r="AP572" i="15"/>
  <c r="AM572" i="15"/>
  <c r="AN572" i="15" s="1"/>
  <c r="AS572" i="15" s="1"/>
  <c r="AQ436" i="15"/>
  <c r="AP436" i="15"/>
  <c r="AL436" i="15"/>
  <c r="AK436" i="15"/>
  <c r="AJ436" i="15"/>
  <c r="AI436" i="15"/>
  <c r="AH436" i="15"/>
  <c r="AG436" i="15"/>
  <c r="AQ435" i="15"/>
  <c r="AP435" i="15"/>
  <c r="AM435" i="15"/>
  <c r="AN435" i="15" s="1"/>
  <c r="AS435" i="15" s="1"/>
  <c r="AQ434" i="15"/>
  <c r="AP434" i="15"/>
  <c r="AM434" i="15"/>
  <c r="AN434" i="15" s="1"/>
  <c r="AS434" i="15" s="1"/>
  <c r="AQ433" i="15"/>
  <c r="AP433" i="15"/>
  <c r="AM433" i="15"/>
  <c r="AN433" i="15" s="1"/>
  <c r="AS433" i="15" s="1"/>
  <c r="AQ432" i="15"/>
  <c r="AP432" i="15"/>
  <c r="AM432" i="15"/>
  <c r="AN432" i="15" s="1"/>
  <c r="AS432" i="15" s="1"/>
  <c r="AQ431" i="15"/>
  <c r="AP431" i="15"/>
  <c r="AM431" i="15"/>
  <c r="AN431" i="15" s="1"/>
  <c r="AS431" i="15" s="1"/>
  <c r="BT430" i="15"/>
  <c r="AQ430" i="15"/>
  <c r="AP430" i="15"/>
  <c r="AM430" i="15"/>
  <c r="AN430" i="15" s="1"/>
  <c r="AS430" i="15" s="1"/>
  <c r="AQ514" i="15"/>
  <c r="AP514" i="15"/>
  <c r="AM514" i="15"/>
  <c r="AN514" i="15" s="1"/>
  <c r="AS514" i="15" s="1"/>
  <c r="AQ513" i="15"/>
  <c r="AP513" i="15"/>
  <c r="AM513" i="15"/>
  <c r="AN513" i="15" s="1"/>
  <c r="AS513" i="15" s="1"/>
  <c r="AQ512" i="15"/>
  <c r="AP512" i="15"/>
  <c r="AM512" i="15"/>
  <c r="AN512" i="15" s="1"/>
  <c r="AS512" i="15" s="1"/>
  <c r="AQ429" i="15"/>
  <c r="AP429" i="15"/>
  <c r="AM429" i="15"/>
  <c r="AN429" i="15" s="1"/>
  <c r="AS429" i="15" s="1"/>
  <c r="AQ428" i="15"/>
  <c r="AP428" i="15"/>
  <c r="AM428" i="15"/>
  <c r="AN428" i="15" s="1"/>
  <c r="AS428" i="15" s="1"/>
  <c r="AQ427" i="15"/>
  <c r="AP427" i="15"/>
  <c r="AM427" i="15"/>
  <c r="AN427" i="15" s="1"/>
  <c r="AS427" i="15" s="1"/>
  <c r="AQ421" i="15"/>
  <c r="AP421" i="15"/>
  <c r="AM421" i="15"/>
  <c r="AN421" i="15" s="1"/>
  <c r="AS421" i="15" s="1"/>
  <c r="AQ420" i="15"/>
  <c r="AP420" i="15"/>
  <c r="AM420" i="15"/>
  <c r="AN420" i="15" s="1"/>
  <c r="AS420" i="15" s="1"/>
  <c r="AQ419" i="15"/>
  <c r="AP419" i="15"/>
  <c r="AM419" i="15"/>
  <c r="AN419" i="15" s="1"/>
  <c r="AS419" i="15" s="1"/>
  <c r="AQ418" i="15"/>
  <c r="AP418" i="15"/>
  <c r="AM418" i="15"/>
  <c r="AN418" i="15" s="1"/>
  <c r="AS418" i="15" s="1"/>
  <c r="AQ417" i="15"/>
  <c r="AP417" i="15"/>
  <c r="AM417" i="15"/>
  <c r="AN417" i="15" s="1"/>
  <c r="AS417" i="15" s="1"/>
  <c r="AQ416" i="15"/>
  <c r="AP416" i="15"/>
  <c r="AM416" i="15"/>
  <c r="AN416" i="15" s="1"/>
  <c r="AS416" i="15" s="1"/>
  <c r="AQ415" i="15"/>
  <c r="AP415" i="15"/>
  <c r="AM415" i="15"/>
  <c r="AN415" i="15" s="1"/>
  <c r="AS415" i="15" s="1"/>
  <c r="AQ414" i="15"/>
  <c r="AP414" i="15"/>
  <c r="AM414" i="15"/>
  <c r="AN414" i="15" s="1"/>
  <c r="AS414" i="15" s="1"/>
  <c r="AQ413" i="15"/>
  <c r="AP413" i="15"/>
  <c r="AM413" i="15"/>
  <c r="AN413" i="15" s="1"/>
  <c r="AS413" i="15" s="1"/>
  <c r="AQ412" i="15"/>
  <c r="AP412" i="15"/>
  <c r="AM412" i="15"/>
  <c r="AN412" i="15" s="1"/>
  <c r="AS412" i="15" s="1"/>
  <c r="AQ411" i="15"/>
  <c r="AP411" i="15"/>
  <c r="AM411" i="15"/>
  <c r="AN411" i="15" s="1"/>
  <c r="AS411" i="15" s="1"/>
  <c r="AQ410" i="15"/>
  <c r="AP410" i="15"/>
  <c r="AM410" i="15"/>
  <c r="AN410" i="15" s="1"/>
  <c r="AS410" i="15" s="1"/>
  <c r="AQ409" i="15"/>
  <c r="AP409" i="15"/>
  <c r="AM409" i="15"/>
  <c r="AN409" i="15" s="1"/>
  <c r="AS409" i="15" s="1"/>
  <c r="AQ408" i="15"/>
  <c r="AP408" i="15"/>
  <c r="AM408" i="15"/>
  <c r="AN408" i="15" s="1"/>
  <c r="AS408" i="15" s="1"/>
  <c r="AQ407" i="15"/>
  <c r="AP407" i="15"/>
  <c r="AM407" i="15"/>
  <c r="AN407" i="15" s="1"/>
  <c r="AS407" i="15" s="1"/>
  <c r="AQ406" i="15"/>
  <c r="AP406" i="15"/>
  <c r="AM406" i="15"/>
  <c r="AN406" i="15" s="1"/>
  <c r="AS406" i="15" s="1"/>
  <c r="AQ405" i="15"/>
  <c r="AP405" i="15"/>
  <c r="AM405" i="15"/>
  <c r="AN405" i="15" s="1"/>
  <c r="AS405" i="15" s="1"/>
  <c r="AQ404" i="15"/>
  <c r="AP404" i="15"/>
  <c r="AM404" i="15"/>
  <c r="AN404" i="15" s="1"/>
  <c r="AS404" i="15" s="1"/>
  <c r="AQ403" i="15"/>
  <c r="AP403" i="15"/>
  <c r="AM403" i="15"/>
  <c r="AN403" i="15" s="1"/>
  <c r="AS403" i="15" s="1"/>
  <c r="AQ402" i="15"/>
  <c r="AP402" i="15"/>
  <c r="AM402" i="15"/>
  <c r="AN402" i="15" s="1"/>
  <c r="AS402" i="15" s="1"/>
  <c r="AQ401" i="15"/>
  <c r="AP401" i="15"/>
  <c r="AM401" i="15"/>
  <c r="AN401" i="15" s="1"/>
  <c r="AS401" i="15" s="1"/>
  <c r="AQ400" i="15"/>
  <c r="AP400" i="15"/>
  <c r="AM400" i="15"/>
  <c r="AN400" i="15" s="1"/>
  <c r="AS400" i="15" s="1"/>
  <c r="AQ399" i="15"/>
  <c r="AP399" i="15"/>
  <c r="AM399" i="15"/>
  <c r="AN399" i="15" s="1"/>
  <c r="AS399" i="15" s="1"/>
  <c r="BT398" i="15"/>
  <c r="AQ398" i="15"/>
  <c r="AP398" i="15"/>
  <c r="AM398" i="15"/>
  <c r="AN398" i="15" s="1"/>
  <c r="AS398" i="15" s="1"/>
  <c r="AQ397" i="15"/>
  <c r="AP397" i="15"/>
  <c r="AM397" i="15"/>
  <c r="AN397" i="15" s="1"/>
  <c r="AS397" i="15" s="1"/>
  <c r="AQ396" i="15"/>
  <c r="AP396" i="15"/>
  <c r="AM396" i="15"/>
  <c r="AN396" i="15" s="1"/>
  <c r="AS396" i="15" s="1"/>
  <c r="AQ395" i="15"/>
  <c r="AP395" i="15"/>
  <c r="AM395" i="15"/>
  <c r="AN395" i="15" s="1"/>
  <c r="AS395" i="15" s="1"/>
  <c r="AQ426" i="15"/>
  <c r="AP426" i="15"/>
  <c r="AM426" i="15"/>
  <c r="AN426" i="15" s="1"/>
  <c r="AS426" i="15" s="1"/>
  <c r="AQ510" i="15"/>
  <c r="AP510" i="15"/>
  <c r="AM510" i="15"/>
  <c r="AN510" i="15" s="1"/>
  <c r="AS510" i="15" s="1"/>
  <c r="AQ577" i="15"/>
  <c r="AP577" i="15"/>
  <c r="AM577" i="15"/>
  <c r="AN577" i="15" s="1"/>
  <c r="AS577" i="15" s="1"/>
  <c r="AQ394" i="15"/>
  <c r="AP394" i="15"/>
  <c r="AM394" i="15"/>
  <c r="AN394" i="15" s="1"/>
  <c r="AS394" i="15" s="1"/>
  <c r="AQ505" i="15"/>
  <c r="AP505" i="15"/>
  <c r="AM505" i="15"/>
  <c r="AN505" i="15" s="1"/>
  <c r="AS505" i="15" s="1"/>
  <c r="BT393" i="15"/>
  <c r="AQ393" i="15"/>
  <c r="AP393" i="15"/>
  <c r="AM393" i="15"/>
  <c r="AN393" i="15" s="1"/>
  <c r="AS393" i="15" s="1"/>
  <c r="BT392" i="15"/>
  <c r="AQ392" i="15"/>
  <c r="AP392" i="15"/>
  <c r="AM392" i="15"/>
  <c r="AN392" i="15" s="1"/>
  <c r="AS392" i="15" s="1"/>
  <c r="AQ391" i="15"/>
  <c r="AP391" i="15"/>
  <c r="AM391" i="15"/>
  <c r="AN391" i="15" s="1"/>
  <c r="AS391" i="15" s="1"/>
  <c r="BT390" i="15"/>
  <c r="AQ390" i="15"/>
  <c r="AP390" i="15"/>
  <c r="AM390" i="15"/>
  <c r="AN390" i="15" s="1"/>
  <c r="AS390" i="15" s="1"/>
  <c r="BT386" i="15"/>
  <c r="AQ386" i="15"/>
  <c r="AP386" i="15"/>
  <c r="AL386" i="15"/>
  <c r="AK386" i="15"/>
  <c r="AJ386" i="15"/>
  <c r="AI386" i="15"/>
  <c r="AH386" i="15"/>
  <c r="AG386" i="15"/>
  <c r="AQ385" i="15"/>
  <c r="AP385" i="15"/>
  <c r="AM385" i="15"/>
  <c r="AN385" i="15" s="1"/>
  <c r="AS385" i="15" s="1"/>
  <c r="AQ384" i="15"/>
  <c r="AP384" i="15"/>
  <c r="AM384" i="15"/>
  <c r="AN384" i="15" s="1"/>
  <c r="AS384" i="15" s="1"/>
  <c r="AQ383" i="15"/>
  <c r="AP383" i="15"/>
  <c r="AM383" i="15"/>
  <c r="AN383" i="15" s="1"/>
  <c r="AS383" i="15" s="1"/>
  <c r="AQ570" i="15"/>
  <c r="AP570" i="15"/>
  <c r="AM570" i="15"/>
  <c r="AN570" i="15" s="1"/>
  <c r="AS570" i="15" s="1"/>
  <c r="AQ571" i="15"/>
  <c r="AP571" i="15"/>
  <c r="AM571" i="15"/>
  <c r="AN571" i="15" s="1"/>
  <c r="AS571" i="15" s="1"/>
  <c r="BT382" i="15"/>
  <c r="AQ382" i="15"/>
  <c r="AP382" i="15"/>
  <c r="AM382" i="15"/>
  <c r="AN382" i="15" s="1"/>
  <c r="AS382" i="15" s="1"/>
  <c r="BT381" i="15"/>
  <c r="AQ381" i="15"/>
  <c r="AP381" i="15"/>
  <c r="AM381" i="15"/>
  <c r="AN381" i="15" s="1"/>
  <c r="AS381" i="15" s="1"/>
  <c r="AQ380" i="15"/>
  <c r="AP380" i="15"/>
  <c r="AM380" i="15"/>
  <c r="AN380" i="15" s="1"/>
  <c r="AS380" i="15" s="1"/>
  <c r="AQ379" i="15"/>
  <c r="AP379" i="15"/>
  <c r="AM379" i="15"/>
  <c r="AN379" i="15" s="1"/>
  <c r="AS379" i="15" s="1"/>
  <c r="AQ378" i="15"/>
  <c r="AP378" i="15"/>
  <c r="AM378" i="15"/>
  <c r="AN378" i="15" s="1"/>
  <c r="AS378" i="15" s="1"/>
  <c r="AQ377" i="15"/>
  <c r="AP377" i="15"/>
  <c r="AL377" i="15"/>
  <c r="AK377" i="15"/>
  <c r="AJ377" i="15"/>
  <c r="AI377" i="15"/>
  <c r="AH377" i="15"/>
  <c r="AG377" i="15"/>
  <c r="AQ376" i="15"/>
  <c r="AP376" i="15"/>
  <c r="AL376" i="15"/>
  <c r="AK376" i="15"/>
  <c r="AJ376" i="15"/>
  <c r="AQ375" i="15"/>
  <c r="AP375" i="15"/>
  <c r="AM375" i="15"/>
  <c r="AN375" i="15" s="1"/>
  <c r="AS375" i="15" s="1"/>
  <c r="BT374" i="15"/>
  <c r="AQ374" i="15"/>
  <c r="AP374" i="15"/>
  <c r="AL374" i="15"/>
  <c r="AK374" i="15"/>
  <c r="AJ374" i="15"/>
  <c r="AI374" i="15"/>
  <c r="AH374" i="15"/>
  <c r="AG374" i="15"/>
  <c r="BT373" i="15"/>
  <c r="AQ373" i="15"/>
  <c r="AP373" i="15"/>
  <c r="AM373" i="15"/>
  <c r="AN373" i="15" s="1"/>
  <c r="AS373" i="15" s="1"/>
  <c r="BT372" i="15"/>
  <c r="AQ372" i="15"/>
  <c r="AP372" i="15"/>
  <c r="AM372" i="15"/>
  <c r="AN372" i="15" s="1"/>
  <c r="AS372" i="15" s="1"/>
  <c r="AQ371" i="15"/>
  <c r="AP371" i="15"/>
  <c r="AM371" i="15"/>
  <c r="AN371" i="15" s="1"/>
  <c r="AS371" i="15" s="1"/>
  <c r="AQ370" i="15"/>
  <c r="AP370" i="15"/>
  <c r="AM370" i="15"/>
  <c r="AN370" i="15" s="1"/>
  <c r="AS370" i="15" s="1"/>
  <c r="AQ451" i="15"/>
  <c r="AP451" i="15"/>
  <c r="AM451" i="15"/>
  <c r="AN451" i="15" s="1"/>
  <c r="AS451" i="15" s="1"/>
  <c r="AQ574" i="15"/>
  <c r="AP574" i="15"/>
  <c r="AM574" i="15"/>
  <c r="AN574" i="15" s="1"/>
  <c r="AS574" i="15" s="1"/>
  <c r="AQ568" i="15"/>
  <c r="AP568" i="15"/>
  <c r="AM568" i="15"/>
  <c r="AN568" i="15" s="1"/>
  <c r="AS568" i="15" s="1"/>
  <c r="AQ569" i="15"/>
  <c r="AP569" i="15"/>
  <c r="AM569" i="15"/>
  <c r="AN569" i="15" s="1"/>
  <c r="AS569" i="15" s="1"/>
  <c r="AQ425" i="15"/>
  <c r="AP425" i="15"/>
  <c r="AM425" i="15"/>
  <c r="AN425" i="15" s="1"/>
  <c r="AS425" i="15" s="1"/>
  <c r="AQ424" i="15"/>
  <c r="AP424" i="15"/>
  <c r="AM424" i="15"/>
  <c r="AN424" i="15" s="1"/>
  <c r="AS424" i="15" s="1"/>
  <c r="AQ369" i="15"/>
  <c r="AP369" i="15"/>
  <c r="AJ369" i="15"/>
  <c r="AM369" i="15" s="1"/>
  <c r="AN369" i="15" s="1"/>
  <c r="AS369" i="15" s="1"/>
  <c r="AQ368" i="15"/>
  <c r="AP368" i="15"/>
  <c r="AM368" i="15"/>
  <c r="AN368" i="15" s="1"/>
  <c r="AS368" i="15" s="1"/>
  <c r="AQ367" i="15"/>
  <c r="AP367" i="15"/>
  <c r="AL367" i="15"/>
  <c r="AK367" i="15"/>
  <c r="AJ367" i="15"/>
  <c r="AI367" i="15"/>
  <c r="AH367" i="15"/>
  <c r="AG367" i="15"/>
  <c r="AQ366" i="15"/>
  <c r="AP366" i="15"/>
  <c r="AM366" i="15"/>
  <c r="AN366" i="15" s="1"/>
  <c r="AS366" i="15" s="1"/>
  <c r="AQ365" i="15"/>
  <c r="AP365" i="15"/>
  <c r="AM365" i="15"/>
  <c r="AN365" i="15" s="1"/>
  <c r="AS365" i="15" s="1"/>
  <c r="BT364" i="15"/>
  <c r="AQ364" i="15"/>
  <c r="AP364" i="15"/>
  <c r="AL364" i="15"/>
  <c r="AK364" i="15"/>
  <c r="AJ364" i="15"/>
  <c r="AI364" i="15"/>
  <c r="AH364" i="15"/>
  <c r="AG364" i="15"/>
  <c r="BT363" i="15"/>
  <c r="AQ363" i="15"/>
  <c r="AP363" i="15"/>
  <c r="AL363" i="15"/>
  <c r="AK363" i="15"/>
  <c r="AJ363" i="15"/>
  <c r="AI363" i="15"/>
  <c r="AH363" i="15"/>
  <c r="AG363" i="15"/>
  <c r="BT362" i="15"/>
  <c r="AQ362" i="15"/>
  <c r="AP362" i="15"/>
  <c r="AL362" i="15"/>
  <c r="AK362" i="15"/>
  <c r="AJ362" i="15"/>
  <c r="AI362" i="15"/>
  <c r="AH362" i="15"/>
  <c r="AG362" i="15"/>
  <c r="AQ361" i="15"/>
  <c r="AP361" i="15"/>
  <c r="AM361" i="15"/>
  <c r="AN361" i="15" s="1"/>
  <c r="AS361" i="15" s="1"/>
  <c r="AQ360" i="15"/>
  <c r="AP360" i="15"/>
  <c r="AM360" i="15"/>
  <c r="AN360" i="15" s="1"/>
  <c r="AS360" i="15" s="1"/>
  <c r="AQ359" i="15"/>
  <c r="AP359" i="15"/>
  <c r="AM359" i="15"/>
  <c r="AN359" i="15" s="1"/>
  <c r="AS359" i="15" s="1"/>
  <c r="AQ358" i="15"/>
  <c r="AP358" i="15"/>
  <c r="AM358" i="15"/>
  <c r="AN358" i="15" s="1"/>
  <c r="AS358" i="15" s="1"/>
  <c r="AQ357" i="15"/>
  <c r="AP357" i="15"/>
  <c r="AM357" i="15"/>
  <c r="AN357" i="15" s="1"/>
  <c r="AS357" i="15" s="1"/>
  <c r="AQ356" i="15"/>
  <c r="AP356" i="15"/>
  <c r="AM356" i="15"/>
  <c r="AN356" i="15" s="1"/>
  <c r="AS356" i="15" s="1"/>
  <c r="AQ355" i="15"/>
  <c r="AP355" i="15"/>
  <c r="AM355" i="15"/>
  <c r="AN355" i="15" s="1"/>
  <c r="AS355" i="15" s="1"/>
  <c r="AQ354" i="15"/>
  <c r="AP354" i="15"/>
  <c r="AM354" i="15"/>
  <c r="AN354" i="15" s="1"/>
  <c r="AS354" i="15" s="1"/>
  <c r="AQ353" i="15"/>
  <c r="AP353" i="15"/>
  <c r="AM353" i="15"/>
  <c r="AN353" i="15" s="1"/>
  <c r="AS353" i="15" s="1"/>
  <c r="AQ352" i="15"/>
  <c r="AP352" i="15"/>
  <c r="AM352" i="15"/>
  <c r="AN352" i="15" s="1"/>
  <c r="AS352" i="15" s="1"/>
  <c r="AQ351" i="15"/>
  <c r="AP351" i="15"/>
  <c r="AM351" i="15"/>
  <c r="AN351" i="15" s="1"/>
  <c r="AS351" i="15" s="1"/>
  <c r="AQ350" i="15"/>
  <c r="AP350" i="15"/>
  <c r="AM350" i="15"/>
  <c r="AN350" i="15" s="1"/>
  <c r="AS350" i="15" s="1"/>
  <c r="AQ349" i="15"/>
  <c r="AP349" i="15"/>
  <c r="AM349" i="15"/>
  <c r="AN349" i="15" s="1"/>
  <c r="AS349" i="15" s="1"/>
  <c r="AQ348" i="15"/>
  <c r="AP348" i="15"/>
  <c r="AM348" i="15"/>
  <c r="AN348" i="15" s="1"/>
  <c r="AS348" i="15" s="1"/>
  <c r="AQ347" i="15"/>
  <c r="AP347" i="15"/>
  <c r="AM347" i="15"/>
  <c r="AN347" i="15" s="1"/>
  <c r="AS347" i="15" s="1"/>
  <c r="AQ346" i="15"/>
  <c r="AP346" i="15"/>
  <c r="AM346" i="15"/>
  <c r="AN346" i="15" s="1"/>
  <c r="AS346" i="15" s="1"/>
  <c r="AQ345" i="15"/>
  <c r="AP345" i="15"/>
  <c r="AM345" i="15"/>
  <c r="AN345" i="15" s="1"/>
  <c r="AS345" i="15" s="1"/>
  <c r="AQ344" i="15"/>
  <c r="AP344" i="15"/>
  <c r="AM344" i="15"/>
  <c r="AN344" i="15" s="1"/>
  <c r="AS344" i="15" s="1"/>
  <c r="AQ343" i="15"/>
  <c r="AP343" i="15"/>
  <c r="AM343" i="15"/>
  <c r="AN343" i="15" s="1"/>
  <c r="AS343" i="15" s="1"/>
  <c r="AQ342" i="15"/>
  <c r="AP342" i="15"/>
  <c r="AM342" i="15"/>
  <c r="AN342" i="15" s="1"/>
  <c r="AS342" i="15" s="1"/>
  <c r="AQ341" i="15"/>
  <c r="AP341" i="15"/>
  <c r="AM341" i="15"/>
  <c r="AN341" i="15" s="1"/>
  <c r="AS341" i="15" s="1"/>
  <c r="AQ340" i="15"/>
  <c r="AP340" i="15"/>
  <c r="AM340" i="15"/>
  <c r="AN340" i="15" s="1"/>
  <c r="AS340" i="15" s="1"/>
  <c r="AQ339" i="15"/>
  <c r="AP339" i="15"/>
  <c r="AM339" i="15"/>
  <c r="AN339" i="15" s="1"/>
  <c r="AS339" i="15" s="1"/>
  <c r="AQ338" i="15"/>
  <c r="AP338" i="15"/>
  <c r="AM338" i="15"/>
  <c r="AN338" i="15" s="1"/>
  <c r="AS338" i="15" s="1"/>
  <c r="AQ337" i="15"/>
  <c r="AP337" i="15"/>
  <c r="AM337" i="15"/>
  <c r="AN337" i="15" s="1"/>
  <c r="AS337" i="15" s="1"/>
  <c r="AQ336" i="15"/>
  <c r="AP336" i="15"/>
  <c r="AM336" i="15"/>
  <c r="AN336" i="15" s="1"/>
  <c r="AS336" i="15" s="1"/>
  <c r="AQ335" i="15"/>
  <c r="AP335" i="15"/>
  <c r="AM335" i="15"/>
  <c r="AN335" i="15" s="1"/>
  <c r="AS335" i="15" s="1"/>
  <c r="BT334" i="15"/>
  <c r="AQ334" i="15"/>
  <c r="AP334" i="15"/>
  <c r="AM334" i="15"/>
  <c r="AN334" i="15" s="1"/>
  <c r="AS334" i="15" s="1"/>
  <c r="BT333" i="15"/>
  <c r="AQ333" i="15"/>
  <c r="AP333" i="15"/>
  <c r="AM333" i="15"/>
  <c r="AN333" i="15" s="1"/>
  <c r="AS333" i="15" s="1"/>
  <c r="AQ332" i="15"/>
  <c r="AP332" i="15"/>
  <c r="AM332" i="15"/>
  <c r="AN332" i="15" s="1"/>
  <c r="AS332" i="15" s="1"/>
  <c r="AQ331" i="15"/>
  <c r="AP331" i="15"/>
  <c r="AK331" i="15"/>
  <c r="AJ331" i="15"/>
  <c r="AH331" i="15"/>
  <c r="AG331" i="15"/>
  <c r="AQ330" i="15"/>
  <c r="AP330" i="15"/>
  <c r="AM330" i="15"/>
  <c r="AN330" i="15" s="1"/>
  <c r="AS330" i="15" s="1"/>
  <c r="AQ329" i="15"/>
  <c r="AP329" i="15"/>
  <c r="AM329" i="15"/>
  <c r="AN329" i="15" s="1"/>
  <c r="AS329" i="15" s="1"/>
  <c r="AQ328" i="15"/>
  <c r="AP328" i="15"/>
  <c r="AM328" i="15"/>
  <c r="AN328" i="15" s="1"/>
  <c r="AS328" i="15" s="1"/>
  <c r="AQ327" i="15"/>
  <c r="AP327" i="15"/>
  <c r="AM327" i="15"/>
  <c r="AN327" i="15" s="1"/>
  <c r="AS327" i="15" s="1"/>
  <c r="AQ326" i="15"/>
  <c r="AP326" i="15"/>
  <c r="AM326" i="15"/>
  <c r="AN326" i="15" s="1"/>
  <c r="AS326" i="15" s="1"/>
  <c r="AQ325" i="15"/>
  <c r="AP325" i="15"/>
  <c r="AL325" i="15"/>
  <c r="AK325" i="15"/>
  <c r="AJ325" i="15"/>
  <c r="AI325" i="15"/>
  <c r="AH325" i="15"/>
  <c r="AG325" i="15"/>
  <c r="AQ324" i="15"/>
  <c r="AP324" i="15"/>
  <c r="AL324" i="15"/>
  <c r="AK324" i="15"/>
  <c r="AJ324" i="15"/>
  <c r="AI324" i="15"/>
  <c r="AH324" i="15"/>
  <c r="AG324" i="15"/>
  <c r="AQ323" i="15"/>
  <c r="AP323" i="15"/>
  <c r="AM323" i="15"/>
  <c r="AN323" i="15" s="1"/>
  <c r="AS323" i="15" s="1"/>
  <c r="AQ322" i="15"/>
  <c r="AP322" i="15"/>
  <c r="AM322" i="15"/>
  <c r="AN322" i="15" s="1"/>
  <c r="AS322" i="15" s="1"/>
  <c r="AQ321" i="15"/>
  <c r="AP321" i="15"/>
  <c r="AM321" i="15"/>
  <c r="AN321" i="15" s="1"/>
  <c r="AS321" i="15" s="1"/>
  <c r="AQ320" i="15"/>
  <c r="AP320" i="15"/>
  <c r="AM320" i="15"/>
  <c r="AN320" i="15" s="1"/>
  <c r="AS320" i="15" s="1"/>
  <c r="AQ319" i="15"/>
  <c r="AP319" i="15"/>
  <c r="AM319" i="15"/>
  <c r="AN319" i="15" s="1"/>
  <c r="AS319" i="15" s="1"/>
  <c r="AQ566" i="15"/>
  <c r="AP566" i="15"/>
  <c r="AM566" i="15"/>
  <c r="AN566" i="15" s="1"/>
  <c r="AS566" i="15" s="1"/>
  <c r="AQ567" i="15"/>
  <c r="AP567" i="15"/>
  <c r="AM567" i="15"/>
  <c r="AN567" i="15" s="1"/>
  <c r="AS567" i="15" s="1"/>
  <c r="AQ318" i="15"/>
  <c r="AP318" i="15"/>
  <c r="AM318" i="15"/>
  <c r="AN318" i="15" s="1"/>
  <c r="AS318" i="15" s="1"/>
  <c r="AQ317" i="15"/>
  <c r="AP317" i="15"/>
  <c r="AM317" i="15"/>
  <c r="AN317" i="15" s="1"/>
  <c r="AQ316" i="15"/>
  <c r="AP316" i="15"/>
  <c r="AM316" i="15"/>
  <c r="AN316" i="15" s="1"/>
  <c r="AS316" i="15" s="1"/>
  <c r="AQ315" i="15"/>
  <c r="AP315" i="15"/>
  <c r="AM315" i="15"/>
  <c r="AN315" i="15" s="1"/>
  <c r="AS315" i="15" s="1"/>
  <c r="AQ314" i="15"/>
  <c r="AP314" i="15"/>
  <c r="AL314" i="15"/>
  <c r="AK314" i="15"/>
  <c r="AJ314" i="15"/>
  <c r="AI314" i="15"/>
  <c r="AH314" i="15"/>
  <c r="AG314" i="15"/>
  <c r="AQ565" i="15"/>
  <c r="AP565" i="15"/>
  <c r="AM565" i="15"/>
  <c r="AN565" i="15" s="1"/>
  <c r="AS565" i="15" s="1"/>
  <c r="AQ564" i="15"/>
  <c r="AP564" i="15"/>
  <c r="AM564" i="15"/>
  <c r="AN564" i="15" s="1"/>
  <c r="AS564" i="15" s="1"/>
  <c r="AQ313" i="15"/>
  <c r="AP313" i="15"/>
  <c r="AM313" i="15"/>
  <c r="AN313" i="15" s="1"/>
  <c r="AS313" i="15" s="1"/>
  <c r="AQ312" i="15"/>
  <c r="AP312" i="15"/>
  <c r="AM312" i="15"/>
  <c r="AN312" i="15" s="1"/>
  <c r="AS312" i="15" s="1"/>
  <c r="AQ311" i="15"/>
  <c r="AP311" i="15"/>
  <c r="AM311" i="15"/>
  <c r="AN311" i="15" s="1"/>
  <c r="AS311" i="15" s="1"/>
  <c r="AQ310" i="15"/>
  <c r="AP310" i="15"/>
  <c r="AM310" i="15"/>
  <c r="AN310" i="15" s="1"/>
  <c r="AS310" i="15" s="1"/>
  <c r="AQ309" i="15"/>
  <c r="AP309" i="15"/>
  <c r="AM309" i="15"/>
  <c r="AN309" i="15" s="1"/>
  <c r="AS309" i="15" s="1"/>
  <c r="AQ308" i="15"/>
  <c r="AP308" i="15"/>
  <c r="AN308" i="15"/>
  <c r="AS308" i="15" s="1"/>
  <c r="AQ307" i="15"/>
  <c r="AP307" i="15"/>
  <c r="AM307" i="15"/>
  <c r="AN307" i="15" s="1"/>
  <c r="AS307" i="15" s="1"/>
  <c r="AQ306" i="15"/>
  <c r="AP306" i="15"/>
  <c r="AM306" i="15"/>
  <c r="AN306" i="15" s="1"/>
  <c r="AS306" i="15" s="1"/>
  <c r="AQ305" i="15"/>
  <c r="AP305" i="15"/>
  <c r="AM305" i="15"/>
  <c r="AN305" i="15" s="1"/>
  <c r="AS305" i="15" s="1"/>
  <c r="AQ304" i="15"/>
  <c r="AP304" i="15"/>
  <c r="AM304" i="15"/>
  <c r="AN304" i="15" s="1"/>
  <c r="AS304" i="15" s="1"/>
  <c r="AQ234" i="15"/>
  <c r="AP234" i="15"/>
  <c r="AM234" i="15"/>
  <c r="AN234" i="15" s="1"/>
  <c r="AS234" i="15" s="1"/>
  <c r="BT303" i="15"/>
  <c r="AQ303" i="15"/>
  <c r="AP303" i="15"/>
  <c r="AM303" i="15"/>
  <c r="AN303" i="15" s="1"/>
  <c r="AS303" i="15" s="1"/>
  <c r="AQ299" i="15"/>
  <c r="AP299" i="15"/>
  <c r="AM299" i="15"/>
  <c r="AN299" i="15" s="1"/>
  <c r="AS299" i="15" s="1"/>
  <c r="AQ298" i="15"/>
  <c r="AP298" i="15"/>
  <c r="AM298" i="15"/>
  <c r="AN298" i="15" s="1"/>
  <c r="AS298" i="15" s="1"/>
  <c r="BT297" i="15"/>
  <c r="AQ297" i="15"/>
  <c r="AP297" i="15"/>
  <c r="AJ297" i="15"/>
  <c r="AM297" i="15" s="1"/>
  <c r="AN297" i="15" s="1"/>
  <c r="AS297" i="15" s="1"/>
  <c r="BT296" i="15"/>
  <c r="AQ296" i="15"/>
  <c r="AP296" i="15"/>
  <c r="AJ296" i="15"/>
  <c r="AM296" i="15" s="1"/>
  <c r="AN296" i="15" s="1"/>
  <c r="AS296" i="15" s="1"/>
  <c r="AQ295" i="15"/>
  <c r="AP295" i="15"/>
  <c r="AM295" i="15"/>
  <c r="AN295" i="15" s="1"/>
  <c r="AS295" i="15" s="1"/>
  <c r="AQ294" i="15"/>
  <c r="AP294" i="15"/>
  <c r="AM294" i="15"/>
  <c r="AN294" i="15" s="1"/>
  <c r="AS294" i="15" s="1"/>
  <c r="BT293" i="15"/>
  <c r="AQ293" i="15"/>
  <c r="AP293" i="15"/>
  <c r="AM293" i="15"/>
  <c r="AN293" i="15" s="1"/>
  <c r="AS293" i="15" s="1"/>
  <c r="BT292" i="15"/>
  <c r="AQ292" i="15"/>
  <c r="AP292" i="15"/>
  <c r="AM292" i="15"/>
  <c r="AN292" i="15" s="1"/>
  <c r="AS292" i="15" s="1"/>
  <c r="AQ291" i="15"/>
  <c r="AP291" i="15"/>
  <c r="AM291" i="15"/>
  <c r="AN291" i="15" s="1"/>
  <c r="AS291" i="15" s="1"/>
  <c r="AQ290" i="15"/>
  <c r="AP290" i="15"/>
  <c r="AM290" i="15"/>
  <c r="AN290" i="15" s="1"/>
  <c r="AS290" i="15" s="1"/>
  <c r="AQ289" i="15"/>
  <c r="AP289" i="15"/>
  <c r="AM289" i="15"/>
  <c r="AN289" i="15" s="1"/>
  <c r="AS289" i="15" s="1"/>
  <c r="AQ288" i="15"/>
  <c r="AP288" i="15"/>
  <c r="AM288" i="15"/>
  <c r="AN288" i="15" s="1"/>
  <c r="AS288" i="15" s="1"/>
  <c r="AQ287" i="15"/>
  <c r="AP287" i="15"/>
  <c r="AM287" i="15"/>
  <c r="AN287" i="15" s="1"/>
  <c r="AS287" i="15" s="1"/>
  <c r="AQ286" i="15"/>
  <c r="AP286" i="15"/>
  <c r="AM286" i="15"/>
  <c r="AN286" i="15" s="1"/>
  <c r="AS286" i="15" s="1"/>
  <c r="AQ285" i="15"/>
  <c r="AP285" i="15"/>
  <c r="AM285" i="15"/>
  <c r="AN285" i="15" s="1"/>
  <c r="AS285" i="15" s="1"/>
  <c r="AQ284" i="15"/>
  <c r="AP284" i="15"/>
  <c r="AM284" i="15"/>
  <c r="AN284" i="15" s="1"/>
  <c r="AS284" i="15" s="1"/>
  <c r="AQ283" i="15"/>
  <c r="AP283" i="15"/>
  <c r="AM283" i="15"/>
  <c r="AN283" i="15" s="1"/>
  <c r="AS283" i="15" s="1"/>
  <c r="AQ51" i="15"/>
  <c r="AP51" i="15"/>
  <c r="AM51" i="15"/>
  <c r="AN51" i="15" s="1"/>
  <c r="AS51" i="15" s="1"/>
  <c r="AQ282" i="15"/>
  <c r="AP282" i="15"/>
  <c r="AM282" i="15"/>
  <c r="AN282" i="15" s="1"/>
  <c r="AS282" i="15" s="1"/>
  <c r="AQ8" i="15"/>
  <c r="AP8" i="15"/>
  <c r="AM8" i="15"/>
  <c r="AN8" i="15" s="1"/>
  <c r="AS8" i="15" s="1"/>
  <c r="AQ281" i="15"/>
  <c r="AP281" i="15"/>
  <c r="AM281" i="15"/>
  <c r="AN281" i="15" s="1"/>
  <c r="AS281" i="15" s="1"/>
  <c r="AQ280" i="15"/>
  <c r="AP280" i="15"/>
  <c r="AM280" i="15"/>
  <c r="AN280" i="15" s="1"/>
  <c r="AS280" i="15" s="1"/>
  <c r="AQ279" i="15"/>
  <c r="AP279" i="15"/>
  <c r="AM279" i="15"/>
  <c r="AN279" i="15" s="1"/>
  <c r="AS279" i="15" s="1"/>
  <c r="AQ278" i="15"/>
  <c r="AP278" i="15"/>
  <c r="AM278" i="15"/>
  <c r="AN278" i="15" s="1"/>
  <c r="AS278" i="15" s="1"/>
  <c r="AQ277" i="15"/>
  <c r="AP277" i="15"/>
  <c r="AM277" i="15"/>
  <c r="AN277" i="15" s="1"/>
  <c r="AS277" i="15" s="1"/>
  <c r="AQ276" i="15"/>
  <c r="AP276" i="15"/>
  <c r="AM276" i="15"/>
  <c r="AN276" i="15" s="1"/>
  <c r="AS276" i="15" s="1"/>
  <c r="AQ275" i="15"/>
  <c r="AP275" i="15"/>
  <c r="AM275" i="15"/>
  <c r="AN275" i="15" s="1"/>
  <c r="AS275" i="15" s="1"/>
  <c r="AQ274" i="15"/>
  <c r="AP274" i="15"/>
  <c r="AM274" i="15"/>
  <c r="AN274" i="15" s="1"/>
  <c r="AS274" i="15" s="1"/>
  <c r="AQ273" i="15"/>
  <c r="AP273" i="15"/>
  <c r="AM273" i="15"/>
  <c r="AN273" i="15" s="1"/>
  <c r="AS273" i="15" s="1"/>
  <c r="BT272" i="15"/>
  <c r="AQ272" i="15"/>
  <c r="AP272" i="15"/>
  <c r="AM272" i="15"/>
  <c r="AN272" i="15" s="1"/>
  <c r="AS272" i="15" s="1"/>
  <c r="BT271" i="15"/>
  <c r="AQ271" i="15"/>
  <c r="AP271" i="15"/>
  <c r="AM271" i="15"/>
  <c r="AN271" i="15" s="1"/>
  <c r="AS271" i="15" s="1"/>
  <c r="AQ270" i="15"/>
  <c r="AP270" i="15"/>
  <c r="AM270" i="15"/>
  <c r="AN270" i="15" s="1"/>
  <c r="AS270" i="15" s="1"/>
  <c r="AQ269" i="15"/>
  <c r="AP269" i="15"/>
  <c r="AM269" i="15"/>
  <c r="AN269" i="15" s="1"/>
  <c r="AS269" i="15" s="1"/>
  <c r="AQ268" i="15"/>
  <c r="AP268" i="15"/>
  <c r="AM268" i="15"/>
  <c r="AN268" i="15" s="1"/>
  <c r="AS268" i="15" s="1"/>
  <c r="AQ267" i="15"/>
  <c r="AP267" i="15"/>
  <c r="AM267" i="15"/>
  <c r="AN267" i="15" s="1"/>
  <c r="AS267" i="15" s="1"/>
  <c r="AQ266" i="15"/>
  <c r="AP266" i="15"/>
  <c r="AM266" i="15"/>
  <c r="AN266" i="15" s="1"/>
  <c r="AS266" i="15" s="1"/>
  <c r="AQ265" i="15"/>
  <c r="AP265" i="15"/>
  <c r="AM265" i="15"/>
  <c r="AN265" i="15" s="1"/>
  <c r="AS265" i="15" s="1"/>
  <c r="AQ264" i="15"/>
  <c r="AP264" i="15"/>
  <c r="AM264" i="15"/>
  <c r="AN264" i="15" s="1"/>
  <c r="AS264" i="15" s="1"/>
  <c r="AQ263" i="15"/>
  <c r="AP263" i="15"/>
  <c r="AM263" i="15"/>
  <c r="AN263" i="15" s="1"/>
  <c r="AS263" i="15" s="1"/>
  <c r="AQ423" i="15"/>
  <c r="AP423" i="15"/>
  <c r="AM423" i="15"/>
  <c r="AN423" i="15" s="1"/>
  <c r="AS423" i="15" s="1"/>
  <c r="AQ422" i="15"/>
  <c r="AP422" i="15"/>
  <c r="AM422" i="15"/>
  <c r="AN422" i="15" s="1"/>
  <c r="AS422" i="15" s="1"/>
  <c r="AQ261" i="15"/>
  <c r="AP261" i="15"/>
  <c r="AM261" i="15"/>
  <c r="AN261" i="15" s="1"/>
  <c r="AS261" i="15" s="1"/>
  <c r="AQ260" i="15"/>
  <c r="AP260" i="15"/>
  <c r="AM260" i="15"/>
  <c r="AN260" i="15" s="1"/>
  <c r="AS260" i="15" s="1"/>
  <c r="AQ259" i="15"/>
  <c r="AP259" i="15"/>
  <c r="AM259" i="15"/>
  <c r="AN259" i="15" s="1"/>
  <c r="AS259" i="15" s="1"/>
  <c r="AQ258" i="15"/>
  <c r="AP258" i="15"/>
  <c r="AM258" i="15"/>
  <c r="AN258" i="15" s="1"/>
  <c r="AS258" i="15" s="1"/>
  <c r="AQ257" i="15"/>
  <c r="AP257" i="15"/>
  <c r="AM257" i="15"/>
  <c r="AN257" i="15" s="1"/>
  <c r="AS257" i="15" s="1"/>
  <c r="AQ256" i="15"/>
  <c r="AP256" i="15"/>
  <c r="AL256" i="15"/>
  <c r="AK256" i="15"/>
  <c r="AJ256" i="15"/>
  <c r="AI256" i="15"/>
  <c r="AH256" i="15"/>
  <c r="AG256" i="15"/>
  <c r="AQ255" i="15"/>
  <c r="AP255" i="15"/>
  <c r="AM255" i="15"/>
  <c r="AN255" i="15" s="1"/>
  <c r="AS255" i="15" s="1"/>
  <c r="AQ254" i="15"/>
  <c r="AP254" i="15"/>
  <c r="AM254" i="15"/>
  <c r="AN254" i="15" s="1"/>
  <c r="AS254" i="15" s="1"/>
  <c r="AQ253" i="15"/>
  <c r="AP253" i="15"/>
  <c r="AM253" i="15"/>
  <c r="AN253" i="15" s="1"/>
  <c r="AS253" i="15" s="1"/>
  <c r="AQ252" i="15"/>
  <c r="AP252" i="15"/>
  <c r="AM252" i="15"/>
  <c r="AN252" i="15" s="1"/>
  <c r="AS252" i="15" s="1"/>
  <c r="AQ251" i="15"/>
  <c r="AP251" i="15"/>
  <c r="AM251" i="15"/>
  <c r="AN251" i="15" s="1"/>
  <c r="AS251" i="15" s="1"/>
  <c r="AQ250" i="15"/>
  <c r="AP250" i="15"/>
  <c r="AM250" i="15"/>
  <c r="AN250" i="15" s="1"/>
  <c r="AS250" i="15" s="1"/>
  <c r="AQ249" i="15"/>
  <c r="AP249" i="15"/>
  <c r="AM249" i="15"/>
  <c r="AN249" i="15" s="1"/>
  <c r="AS249" i="15" s="1"/>
  <c r="AQ248" i="15"/>
  <c r="AP248" i="15"/>
  <c r="AM248" i="15"/>
  <c r="AN248" i="15" s="1"/>
  <c r="AS248" i="15" s="1"/>
  <c r="AQ247" i="15"/>
  <c r="AP247" i="15"/>
  <c r="AM247" i="15"/>
  <c r="AN247" i="15" s="1"/>
  <c r="AS247" i="15" s="1"/>
  <c r="AQ246" i="15"/>
  <c r="AP246" i="15"/>
  <c r="AM246" i="15"/>
  <c r="AN246" i="15" s="1"/>
  <c r="AS246" i="15" s="1"/>
  <c r="AQ245" i="15"/>
  <c r="AP245" i="15"/>
  <c r="AM245" i="15"/>
  <c r="AN245" i="15" s="1"/>
  <c r="AS245" i="15" s="1"/>
  <c r="AQ244" i="15"/>
  <c r="AP244" i="15"/>
  <c r="AM244" i="15"/>
  <c r="AN244" i="15" s="1"/>
  <c r="AS244" i="15" s="1"/>
  <c r="AQ243" i="15"/>
  <c r="AP243" i="15"/>
  <c r="AM243" i="15"/>
  <c r="AN243" i="15" s="1"/>
  <c r="AS243" i="15" s="1"/>
  <c r="AQ242" i="15"/>
  <c r="AP242" i="15"/>
  <c r="AM242" i="15"/>
  <c r="AN242" i="15" s="1"/>
  <c r="AS242" i="15" s="1"/>
  <c r="BT241" i="15"/>
  <c r="AQ241" i="15"/>
  <c r="AP241" i="15"/>
  <c r="AM241" i="15"/>
  <c r="AN241" i="15" s="1"/>
  <c r="AS241" i="15" s="1"/>
  <c r="BT240" i="15"/>
  <c r="AQ240" i="15"/>
  <c r="AP240" i="15"/>
  <c r="AM240" i="15"/>
  <c r="AN240" i="15" s="1"/>
  <c r="AS240" i="15" s="1"/>
  <c r="BT239" i="15"/>
  <c r="AQ239" i="15"/>
  <c r="AP239" i="15"/>
  <c r="AM239" i="15"/>
  <c r="AN239" i="15" s="1"/>
  <c r="AS239" i="15" s="1"/>
  <c r="BT238" i="15"/>
  <c r="AQ238" i="15"/>
  <c r="AP238" i="15"/>
  <c r="AM238" i="15"/>
  <c r="AN238" i="15" s="1"/>
  <c r="AS238" i="15" s="1"/>
  <c r="AQ389" i="15"/>
  <c r="AP389" i="15"/>
  <c r="AM389" i="15"/>
  <c r="AN389" i="15" s="1"/>
  <c r="AS389" i="15" s="1"/>
  <c r="AQ388" i="15"/>
  <c r="AP388" i="15"/>
  <c r="AM388" i="15"/>
  <c r="AN388" i="15" s="1"/>
  <c r="AS388" i="15" s="1"/>
  <c r="AQ387" i="15"/>
  <c r="AP387" i="15"/>
  <c r="AM387" i="15"/>
  <c r="AN387" i="15" s="1"/>
  <c r="AS387" i="15" s="1"/>
  <c r="BT233" i="15"/>
  <c r="AQ233" i="15"/>
  <c r="AP233" i="15"/>
  <c r="AM233" i="15"/>
  <c r="AN233" i="15" s="1"/>
  <c r="AS233" i="15" s="1"/>
  <c r="BT232" i="15"/>
  <c r="AQ232" i="15"/>
  <c r="AP232" i="15"/>
  <c r="AM232" i="15"/>
  <c r="AN232" i="15" s="1"/>
  <c r="AS232" i="15" s="1"/>
  <c r="AQ231" i="15"/>
  <c r="AP231" i="15"/>
  <c r="AM231" i="15"/>
  <c r="AN231" i="15" s="1"/>
  <c r="AS231" i="15" s="1"/>
  <c r="AQ230" i="15"/>
  <c r="AP230" i="15"/>
  <c r="AM230" i="15"/>
  <c r="AN230" i="15" s="1"/>
  <c r="AS230" i="15" s="1"/>
  <c r="AQ229" i="15"/>
  <c r="AP229" i="15"/>
  <c r="AM229" i="15"/>
  <c r="AN229" i="15" s="1"/>
  <c r="AS229" i="15" s="1"/>
  <c r="AQ228" i="15"/>
  <c r="AP228" i="15"/>
  <c r="AM228" i="15"/>
  <c r="AN228" i="15" s="1"/>
  <c r="AS228" i="15" s="1"/>
  <c r="AQ227" i="15"/>
  <c r="AP227" i="15"/>
  <c r="AM227" i="15"/>
  <c r="AN227" i="15" s="1"/>
  <c r="AS227" i="15" s="1"/>
  <c r="BT226" i="15"/>
  <c r="AQ226" i="15"/>
  <c r="AP226" i="15"/>
  <c r="AM226" i="15"/>
  <c r="AN226" i="15" s="1"/>
  <c r="AS226" i="15" s="1"/>
  <c r="BT225" i="15"/>
  <c r="AQ225" i="15"/>
  <c r="AP225" i="15"/>
  <c r="AM225" i="15"/>
  <c r="AN225" i="15" s="1"/>
  <c r="AS225" i="15" s="1"/>
  <c r="AQ224" i="15"/>
  <c r="AP224" i="15"/>
  <c r="AM224" i="15"/>
  <c r="AN224" i="15" s="1"/>
  <c r="AS224" i="15" s="1"/>
  <c r="AQ223" i="15"/>
  <c r="AP223" i="15"/>
  <c r="AM223" i="15"/>
  <c r="AN223" i="15" s="1"/>
  <c r="AS223" i="15" s="1"/>
  <c r="BT222" i="15"/>
  <c r="AQ222" i="15"/>
  <c r="AP222" i="15"/>
  <c r="AM222" i="15"/>
  <c r="AN222" i="15" s="1"/>
  <c r="AS222" i="15" s="1"/>
  <c r="AQ221" i="15"/>
  <c r="AP221" i="15"/>
  <c r="AM221" i="15"/>
  <c r="AN221" i="15" s="1"/>
  <c r="AS221" i="15" s="1"/>
  <c r="AQ220" i="15"/>
  <c r="AP220" i="15"/>
  <c r="AM220" i="15"/>
  <c r="AN220" i="15" s="1"/>
  <c r="AS220" i="15" s="1"/>
  <c r="AQ219" i="15"/>
  <c r="AP219" i="15"/>
  <c r="AM219" i="15"/>
  <c r="AN219" i="15" s="1"/>
  <c r="AS219" i="15" s="1"/>
  <c r="AQ218" i="15"/>
  <c r="AP218" i="15"/>
  <c r="AM218" i="15"/>
  <c r="AN218" i="15" s="1"/>
  <c r="AS218" i="15" s="1"/>
  <c r="BT217" i="15"/>
  <c r="AQ217" i="15"/>
  <c r="AP217" i="15"/>
  <c r="AM217" i="15"/>
  <c r="AN217" i="15" s="1"/>
  <c r="AS217" i="15" s="1"/>
  <c r="BT216" i="15"/>
  <c r="AQ216" i="15"/>
  <c r="AP216" i="15"/>
  <c r="AM216" i="15"/>
  <c r="AN216" i="15" s="1"/>
  <c r="AS216" i="15" s="1"/>
  <c r="BT215" i="15"/>
  <c r="AQ215" i="15"/>
  <c r="AP215" i="15"/>
  <c r="AM215" i="15"/>
  <c r="AN215" i="15" s="1"/>
  <c r="AS215" i="15" s="1"/>
  <c r="BT214" i="15"/>
  <c r="AQ214" i="15"/>
  <c r="AP214" i="15"/>
  <c r="AM214" i="15"/>
  <c r="AN214" i="15" s="1"/>
  <c r="AS214" i="15" s="1"/>
  <c r="BT213" i="15"/>
  <c r="AQ213" i="15"/>
  <c r="AP213" i="15"/>
  <c r="AM213" i="15"/>
  <c r="AN213" i="15" s="1"/>
  <c r="AS213" i="15" s="1"/>
  <c r="BT212" i="15"/>
  <c r="AQ212" i="15"/>
  <c r="AP212" i="15"/>
  <c r="AM212" i="15"/>
  <c r="AN212" i="15" s="1"/>
  <c r="AS212" i="15" s="1"/>
  <c r="AQ211" i="15"/>
  <c r="AP211" i="15"/>
  <c r="AM211" i="15"/>
  <c r="AN211" i="15" s="1"/>
  <c r="AS211" i="15" s="1"/>
  <c r="AQ210" i="15"/>
  <c r="AP210" i="15"/>
  <c r="AM210" i="15"/>
  <c r="AN210" i="15" s="1"/>
  <c r="AS210" i="15" s="1"/>
  <c r="AQ209" i="15"/>
  <c r="AP209" i="15"/>
  <c r="AM209" i="15"/>
  <c r="AN209" i="15" s="1"/>
  <c r="AS209" i="15" s="1"/>
  <c r="BT208" i="15"/>
  <c r="AQ208" i="15"/>
  <c r="AP208" i="15"/>
  <c r="AM208" i="15"/>
  <c r="AN208" i="15" s="1"/>
  <c r="AS208" i="15" s="1"/>
  <c r="BT207" i="15"/>
  <c r="AQ207" i="15"/>
  <c r="AP207" i="15"/>
  <c r="AM207" i="15"/>
  <c r="AN207" i="15" s="1"/>
  <c r="AS207" i="15" s="1"/>
  <c r="AQ206" i="15"/>
  <c r="AP206" i="15"/>
  <c r="AK206" i="15"/>
  <c r="AJ206" i="15"/>
  <c r="AH206" i="15"/>
  <c r="AG206" i="15"/>
  <c r="AQ205" i="15"/>
  <c r="AP205" i="15"/>
  <c r="AK205" i="15"/>
  <c r="AJ205" i="15"/>
  <c r="AH205" i="15"/>
  <c r="AG205" i="15"/>
  <c r="AQ204" i="15"/>
  <c r="AP204" i="15"/>
  <c r="AM204" i="15"/>
  <c r="AN204" i="15" s="1"/>
  <c r="AS204" i="15" s="1"/>
  <c r="BT203" i="15"/>
  <c r="AQ203" i="15"/>
  <c r="AP203" i="15"/>
  <c r="AM203" i="15"/>
  <c r="AN203" i="15" s="1"/>
  <c r="AS203" i="15" s="1"/>
  <c r="BT202" i="15"/>
  <c r="AQ202" i="15"/>
  <c r="AP202" i="15"/>
  <c r="AM202" i="15"/>
  <c r="AN202" i="15" s="1"/>
  <c r="AS202" i="15" s="1"/>
  <c r="BT201" i="15"/>
  <c r="AQ201" i="15"/>
  <c r="AP201" i="15"/>
  <c r="AM201" i="15"/>
  <c r="AN201" i="15" s="1"/>
  <c r="AS201" i="15" s="1"/>
  <c r="BT200" i="15"/>
  <c r="AQ200" i="15"/>
  <c r="AP200" i="15"/>
  <c r="AM200" i="15"/>
  <c r="AN200" i="15" s="1"/>
  <c r="AS200" i="15" s="1"/>
  <c r="BT199" i="15"/>
  <c r="AQ199" i="15"/>
  <c r="AP199" i="15"/>
  <c r="AM199" i="15"/>
  <c r="AN199" i="15" s="1"/>
  <c r="AS199" i="15" s="1"/>
  <c r="BT198" i="15"/>
  <c r="AQ198" i="15"/>
  <c r="AP198" i="15"/>
  <c r="AM198" i="15"/>
  <c r="AN198" i="15" s="1"/>
  <c r="AS198" i="15" s="1"/>
  <c r="AQ197" i="15"/>
  <c r="AP197" i="15"/>
  <c r="AM197" i="15"/>
  <c r="AN197" i="15" s="1"/>
  <c r="AS197" i="15" s="1"/>
  <c r="AQ196" i="15"/>
  <c r="AP196" i="15"/>
  <c r="AM196" i="15"/>
  <c r="AN196" i="15" s="1"/>
  <c r="AS196" i="15" s="1"/>
  <c r="AQ562" i="15"/>
  <c r="AP562" i="15"/>
  <c r="AM562" i="15"/>
  <c r="AN562" i="15" s="1"/>
  <c r="AS562" i="15" s="1"/>
  <c r="AQ559" i="15"/>
  <c r="AP559" i="15"/>
  <c r="AM559" i="15"/>
  <c r="AN559" i="15" s="1"/>
  <c r="AS559" i="15" s="1"/>
  <c r="AQ560" i="15"/>
  <c r="AP560" i="15"/>
  <c r="AM560" i="15"/>
  <c r="AN560" i="15" s="1"/>
  <c r="AS560" i="15" s="1"/>
  <c r="AQ561" i="15"/>
  <c r="AP561" i="15"/>
  <c r="AM561" i="15"/>
  <c r="AN561" i="15" s="1"/>
  <c r="AS561" i="15" s="1"/>
  <c r="AQ563" i="15"/>
  <c r="AP563" i="15"/>
  <c r="AM563" i="15"/>
  <c r="AN563" i="15" s="1"/>
  <c r="AS563" i="15" s="1"/>
  <c r="AQ195" i="15"/>
  <c r="AP195" i="15"/>
  <c r="AM195" i="15"/>
  <c r="AN195" i="15" s="1"/>
  <c r="AS195" i="15" s="1"/>
  <c r="AQ194" i="15"/>
  <c r="AP194" i="15"/>
  <c r="AJ194" i="15"/>
  <c r="AM194" i="15" s="1"/>
  <c r="AN194" i="15" s="1"/>
  <c r="AS194" i="15" s="1"/>
  <c r="AQ193" i="15"/>
  <c r="AP193" i="15"/>
  <c r="AK193" i="15"/>
  <c r="AJ193" i="15"/>
  <c r="AH193" i="15"/>
  <c r="AG193" i="15"/>
  <c r="BT192" i="15"/>
  <c r="AQ192" i="15"/>
  <c r="AP192" i="15"/>
  <c r="AM192" i="15"/>
  <c r="AN192" i="15" s="1"/>
  <c r="AS192" i="15" s="1"/>
  <c r="BT191" i="15"/>
  <c r="AQ191" i="15"/>
  <c r="AP191" i="15"/>
  <c r="AM191" i="15"/>
  <c r="AN191" i="15" s="1"/>
  <c r="AS191" i="15" s="1"/>
  <c r="BT190" i="15"/>
  <c r="AQ190" i="15"/>
  <c r="AP190" i="15"/>
  <c r="AM190" i="15"/>
  <c r="AN190" i="15" s="1"/>
  <c r="AS190" i="15" s="1"/>
  <c r="BT189" i="15"/>
  <c r="AQ189" i="15"/>
  <c r="AP189" i="15"/>
  <c r="AM189" i="15"/>
  <c r="AN189" i="15" s="1"/>
  <c r="AS189" i="15" s="1"/>
  <c r="AQ188" i="15"/>
  <c r="AP188" i="15"/>
  <c r="AM188" i="15"/>
  <c r="AN188" i="15" s="1"/>
  <c r="AS188" i="15" s="1"/>
  <c r="AQ187" i="15"/>
  <c r="AP187" i="15"/>
  <c r="AM187" i="15"/>
  <c r="AN187" i="15" s="1"/>
  <c r="AS187" i="15" s="1"/>
  <c r="BT186" i="15"/>
  <c r="AQ186" i="15"/>
  <c r="AP186" i="15"/>
  <c r="AM186" i="15"/>
  <c r="AN186" i="15" s="1"/>
  <c r="AS186" i="15" s="1"/>
  <c r="BT185" i="15"/>
  <c r="AQ185" i="15"/>
  <c r="AP185" i="15"/>
  <c r="AM185" i="15"/>
  <c r="AN185" i="15" s="1"/>
  <c r="AS185" i="15" s="1"/>
  <c r="AQ184" i="15"/>
  <c r="AP184" i="15"/>
  <c r="AM184" i="15"/>
  <c r="AN184" i="15" s="1"/>
  <c r="AS184" i="15" s="1"/>
  <c r="AQ183" i="15"/>
  <c r="AP183" i="15"/>
  <c r="AK183" i="15"/>
  <c r="AJ183" i="15"/>
  <c r="AH183" i="15"/>
  <c r="AG183" i="15"/>
  <c r="AQ182" i="15"/>
  <c r="AP182" i="15"/>
  <c r="AM182" i="15"/>
  <c r="AN182" i="15" s="1"/>
  <c r="AS182" i="15" s="1"/>
  <c r="BT181" i="15"/>
  <c r="AQ181" i="15"/>
  <c r="AP181" i="15"/>
  <c r="AM181" i="15"/>
  <c r="AN181" i="15" s="1"/>
  <c r="AS181" i="15" s="1"/>
  <c r="BT180" i="15"/>
  <c r="AQ180" i="15"/>
  <c r="AP180" i="15"/>
  <c r="AM180" i="15"/>
  <c r="AN180" i="15" s="1"/>
  <c r="AS180" i="15" s="1"/>
  <c r="BT179" i="15"/>
  <c r="AQ179" i="15"/>
  <c r="AP179" i="15"/>
  <c r="AM179" i="15"/>
  <c r="AN179" i="15" s="1"/>
  <c r="AS179" i="15" s="1"/>
  <c r="BT178" i="15"/>
  <c r="AQ178" i="15"/>
  <c r="AP178" i="15"/>
  <c r="AM178" i="15"/>
  <c r="AN178" i="15" s="1"/>
  <c r="AS178" i="15" s="1"/>
  <c r="AQ302" i="15"/>
  <c r="AP302" i="15"/>
  <c r="AM302" i="15"/>
  <c r="AN302" i="15" s="1"/>
  <c r="AS302" i="15" s="1"/>
  <c r="BT177" i="15"/>
  <c r="AQ177" i="15"/>
  <c r="AP177" i="15"/>
  <c r="AM177" i="15"/>
  <c r="AN177" i="15" s="1"/>
  <c r="AS177" i="15" s="1"/>
  <c r="BT176" i="15"/>
  <c r="AQ176" i="15"/>
  <c r="AP176" i="15"/>
  <c r="AM176" i="15"/>
  <c r="AN176" i="15" s="1"/>
  <c r="AS176" i="15" s="1"/>
  <c r="BT175" i="15"/>
  <c r="AQ175" i="15"/>
  <c r="AP175" i="15"/>
  <c r="AM175" i="15"/>
  <c r="AN175" i="15" s="1"/>
  <c r="AS175" i="15" s="1"/>
  <c r="BT174" i="15"/>
  <c r="AQ174" i="15"/>
  <c r="AP174" i="15"/>
  <c r="AM174" i="15"/>
  <c r="AN174" i="15" s="1"/>
  <c r="AS174" i="15" s="1"/>
  <c r="BT173" i="15"/>
  <c r="AQ173" i="15"/>
  <c r="AP173" i="15"/>
  <c r="AM173" i="15"/>
  <c r="AN173" i="15" s="1"/>
  <c r="AS173" i="15" s="1"/>
  <c r="BT172" i="15"/>
  <c r="AQ172" i="15"/>
  <c r="AP172" i="15"/>
  <c r="AM172" i="15"/>
  <c r="AN172" i="15" s="1"/>
  <c r="AS172" i="15" s="1"/>
  <c r="BT171" i="15"/>
  <c r="AQ171" i="15"/>
  <c r="AP171" i="15"/>
  <c r="AM171" i="15"/>
  <c r="AN171" i="15" s="1"/>
  <c r="AS171" i="15" s="1"/>
  <c r="AQ301" i="15"/>
  <c r="AP301" i="15"/>
  <c r="AM301" i="15"/>
  <c r="AN301" i="15" s="1"/>
  <c r="AS301" i="15" s="1"/>
  <c r="AQ300" i="15"/>
  <c r="AP300" i="15"/>
  <c r="AM300" i="15"/>
  <c r="AN300" i="15" s="1"/>
  <c r="AS300" i="15" s="1"/>
  <c r="BT170" i="15"/>
  <c r="AQ170" i="15"/>
  <c r="AP170" i="15"/>
  <c r="AM170" i="15"/>
  <c r="AN170" i="15" s="1"/>
  <c r="AS170" i="15" s="1"/>
  <c r="AQ169" i="15"/>
  <c r="AP169" i="15"/>
  <c r="AK169" i="15"/>
  <c r="AJ169" i="15"/>
  <c r="AH169" i="15"/>
  <c r="AG169" i="15"/>
  <c r="AM169" i="15" s="1"/>
  <c r="AN169" i="15" s="1"/>
  <c r="AS169" i="15" s="1"/>
  <c r="BT168" i="15"/>
  <c r="AQ168" i="15"/>
  <c r="AP168" i="15"/>
  <c r="AM168" i="15"/>
  <c r="AN168" i="15" s="1"/>
  <c r="AS168" i="15" s="1"/>
  <c r="BT167" i="15"/>
  <c r="AQ167" i="15"/>
  <c r="AP167" i="15"/>
  <c r="AM167" i="15"/>
  <c r="AN167" i="15" s="1"/>
  <c r="AS167" i="15" s="1"/>
  <c r="BT166" i="15"/>
  <c r="AQ166" i="15"/>
  <c r="AP166" i="15"/>
  <c r="AM166" i="15"/>
  <c r="AN166" i="15" s="1"/>
  <c r="AS166" i="15" s="1"/>
  <c r="BT165" i="15"/>
  <c r="AQ165" i="15"/>
  <c r="AP165" i="15"/>
  <c r="AM165" i="15"/>
  <c r="AN165" i="15" s="1"/>
  <c r="AS165" i="15" s="1"/>
  <c r="BT164" i="15"/>
  <c r="AQ164" i="15"/>
  <c r="AP164" i="15"/>
  <c r="AM164" i="15"/>
  <c r="AN164" i="15" s="1"/>
  <c r="AS164" i="15" s="1"/>
  <c r="BT163" i="15"/>
  <c r="AQ163" i="15"/>
  <c r="AP163" i="15"/>
  <c r="AM163" i="15"/>
  <c r="AN163" i="15" s="1"/>
  <c r="AS163" i="15" s="1"/>
  <c r="BT162" i="15"/>
  <c r="AQ162" i="15"/>
  <c r="AP162" i="15"/>
  <c r="AM162" i="15"/>
  <c r="AN162" i="15" s="1"/>
  <c r="AS162" i="15" s="1"/>
  <c r="BT161" i="15"/>
  <c r="AQ161" i="15"/>
  <c r="AP161" i="15"/>
  <c r="AM161" i="15"/>
  <c r="AN161" i="15" s="1"/>
  <c r="AS161" i="15" s="1"/>
  <c r="BT160" i="15"/>
  <c r="AQ160" i="15"/>
  <c r="AP160" i="15"/>
  <c r="AM160" i="15"/>
  <c r="AN160" i="15" s="1"/>
  <c r="AS160" i="15" s="1"/>
  <c r="BT159" i="15"/>
  <c r="AQ159" i="15"/>
  <c r="AP159" i="15"/>
  <c r="AM159" i="15"/>
  <c r="AN159" i="15" s="1"/>
  <c r="AS159" i="15" s="1"/>
  <c r="BT158" i="15"/>
  <c r="AQ158" i="15"/>
  <c r="AP158" i="15"/>
  <c r="AM158" i="15"/>
  <c r="AN158" i="15" s="1"/>
  <c r="AS158" i="15" s="1"/>
  <c r="BT157" i="15"/>
  <c r="AQ157" i="15"/>
  <c r="AP157" i="15"/>
  <c r="AM157" i="15"/>
  <c r="AN157" i="15" s="1"/>
  <c r="AS157" i="15" s="1"/>
  <c r="BT156" i="15"/>
  <c r="AQ156" i="15"/>
  <c r="AP156" i="15"/>
  <c r="AM156" i="15"/>
  <c r="AN156" i="15" s="1"/>
  <c r="AS156" i="15" s="1"/>
  <c r="BT155" i="15"/>
  <c r="AQ155" i="15"/>
  <c r="AP155" i="15"/>
  <c r="AM155" i="15"/>
  <c r="AN155" i="15" s="1"/>
  <c r="AS155" i="15" s="1"/>
  <c r="BT154" i="15"/>
  <c r="AQ154" i="15"/>
  <c r="AP154" i="15"/>
  <c r="AM154" i="15"/>
  <c r="AN154" i="15" s="1"/>
  <c r="AS154" i="15" s="1"/>
  <c r="BT153" i="15"/>
  <c r="AQ153" i="15"/>
  <c r="AP153" i="15"/>
  <c r="AM153" i="15"/>
  <c r="AN153" i="15" s="1"/>
  <c r="AS153" i="15" s="1"/>
  <c r="BT152" i="15"/>
  <c r="AQ152" i="15"/>
  <c r="AP152" i="15"/>
  <c r="AM152" i="15"/>
  <c r="AN152" i="15" s="1"/>
  <c r="AS152" i="15" s="1"/>
  <c r="BT151" i="15"/>
  <c r="AQ151" i="15"/>
  <c r="AP151" i="15"/>
  <c r="AM151" i="15"/>
  <c r="AN151" i="15" s="1"/>
  <c r="AS151" i="15" s="1"/>
  <c r="BT150" i="15"/>
  <c r="AQ150" i="15"/>
  <c r="AP150" i="15"/>
  <c r="AM150" i="15"/>
  <c r="AN150" i="15" s="1"/>
  <c r="AS150" i="15" s="1"/>
  <c r="BT149" i="15"/>
  <c r="AQ149" i="15"/>
  <c r="AP149" i="15"/>
  <c r="AM149" i="15"/>
  <c r="AN149" i="15" s="1"/>
  <c r="AS149" i="15" s="1"/>
  <c r="BT148" i="15"/>
  <c r="AQ148" i="15"/>
  <c r="AP148" i="15"/>
  <c r="AM148" i="15"/>
  <c r="AN148" i="15" s="1"/>
  <c r="AS148" i="15" s="1"/>
  <c r="BT147" i="15"/>
  <c r="AQ147" i="15"/>
  <c r="AP147" i="15"/>
  <c r="AM147" i="15"/>
  <c r="AN147" i="15" s="1"/>
  <c r="AS147" i="15" s="1"/>
  <c r="BT146" i="15"/>
  <c r="AQ146" i="15"/>
  <c r="AP146" i="15"/>
  <c r="AM146" i="15"/>
  <c r="AN146" i="15" s="1"/>
  <c r="AS146" i="15" s="1"/>
  <c r="BT145" i="15"/>
  <c r="AQ145" i="15"/>
  <c r="AP145" i="15"/>
  <c r="AM145" i="15"/>
  <c r="AN145" i="15" s="1"/>
  <c r="AS145" i="15" s="1"/>
  <c r="BT144" i="15"/>
  <c r="AQ144" i="15"/>
  <c r="AP144" i="15"/>
  <c r="AM144" i="15"/>
  <c r="AN144" i="15" s="1"/>
  <c r="AS144" i="15" s="1"/>
  <c r="BT143" i="15"/>
  <c r="AQ143" i="15"/>
  <c r="AP143" i="15"/>
  <c r="AM143" i="15"/>
  <c r="AN143" i="15" s="1"/>
  <c r="AS143" i="15" s="1"/>
  <c r="AQ142" i="15"/>
  <c r="AP142" i="15"/>
  <c r="AK142" i="15"/>
  <c r="AJ142" i="15"/>
  <c r="AH142" i="15"/>
  <c r="AG142" i="15"/>
  <c r="AQ141" i="15"/>
  <c r="AP141" i="15"/>
  <c r="AM141" i="15"/>
  <c r="AN141" i="15" s="1"/>
  <c r="AS141" i="15" s="1"/>
  <c r="BT140" i="15"/>
  <c r="AQ140" i="15"/>
  <c r="AP140" i="15"/>
  <c r="AM140" i="15"/>
  <c r="AN140" i="15" s="1"/>
  <c r="AS140" i="15" s="1"/>
  <c r="BT139" i="15"/>
  <c r="AQ139" i="15"/>
  <c r="AP139" i="15"/>
  <c r="AM139" i="15"/>
  <c r="AN139" i="15" s="1"/>
  <c r="AS139" i="15" s="1"/>
  <c r="AQ138" i="15"/>
  <c r="AP138" i="15"/>
  <c r="AM138" i="15"/>
  <c r="AN138" i="15" s="1"/>
  <c r="AS138" i="15" s="1"/>
  <c r="BT137" i="15"/>
  <c r="AQ137" i="15"/>
  <c r="AP137" i="15"/>
  <c r="AM137" i="15"/>
  <c r="AN137" i="15" s="1"/>
  <c r="AS137" i="15" s="1"/>
  <c r="BT136" i="15"/>
  <c r="AQ136" i="15"/>
  <c r="AP136" i="15"/>
  <c r="AM136" i="15"/>
  <c r="AN136" i="15" s="1"/>
  <c r="AS136" i="15" s="1"/>
  <c r="BT135" i="15"/>
  <c r="AQ135" i="15"/>
  <c r="AP135" i="15"/>
  <c r="AM135" i="15"/>
  <c r="AN135" i="15" s="1"/>
  <c r="AS135" i="15" s="1"/>
  <c r="AP134" i="15"/>
  <c r="AB134" i="15"/>
  <c r="AA3" i="15" s="1"/>
  <c r="AQ133" i="15"/>
  <c r="AP133" i="15"/>
  <c r="AM133" i="15"/>
  <c r="AN133" i="15" s="1"/>
  <c r="AS133" i="15" s="1"/>
  <c r="AQ557" i="15"/>
  <c r="AP557" i="15"/>
  <c r="AM557" i="15"/>
  <c r="AN557" i="15" s="1"/>
  <c r="AS557" i="15" s="1"/>
  <c r="AQ558" i="15"/>
  <c r="AP558" i="15"/>
  <c r="AM558" i="15"/>
  <c r="AN558" i="15" s="1"/>
  <c r="AS558" i="15" s="1"/>
  <c r="AQ555" i="15"/>
  <c r="AP555" i="15"/>
  <c r="AM555" i="15"/>
  <c r="AN555" i="15" s="1"/>
  <c r="AS555" i="15" s="1"/>
  <c r="AQ556" i="15"/>
  <c r="AP556" i="15"/>
  <c r="AM556" i="15"/>
  <c r="AN556" i="15" s="1"/>
  <c r="AS556" i="15" s="1"/>
  <c r="AQ132" i="15"/>
  <c r="AP132" i="15"/>
  <c r="AM132" i="15"/>
  <c r="AN132" i="15" s="1"/>
  <c r="AS132" i="15" s="1"/>
  <c r="AQ262" i="15"/>
  <c r="AP262" i="15"/>
  <c r="AM262" i="15"/>
  <c r="AN262" i="15" s="1"/>
  <c r="AS262" i="15" s="1"/>
  <c r="AQ131" i="15"/>
  <c r="AP131" i="15"/>
  <c r="AM131" i="15"/>
  <c r="AN131" i="15" s="1"/>
  <c r="AS131" i="15" s="1"/>
  <c r="AQ130" i="15"/>
  <c r="AP130" i="15"/>
  <c r="AM130" i="15"/>
  <c r="AN130" i="15" s="1"/>
  <c r="AS130" i="15" s="1"/>
  <c r="AQ553" i="15"/>
  <c r="AP553" i="15"/>
  <c r="AM553" i="15"/>
  <c r="AN553" i="15" s="1"/>
  <c r="AS553" i="15" s="1"/>
  <c r="AQ554" i="15"/>
  <c r="AP554" i="15"/>
  <c r="AM554" i="15"/>
  <c r="AN554" i="15" s="1"/>
  <c r="AS554" i="15" s="1"/>
  <c r="AQ237" i="15"/>
  <c r="AP237" i="15"/>
  <c r="AM237" i="15"/>
  <c r="AN237" i="15" s="1"/>
  <c r="AS237" i="15" s="1"/>
  <c r="AQ236" i="15"/>
  <c r="AP236" i="15"/>
  <c r="AM236" i="15"/>
  <c r="AN236" i="15" s="1"/>
  <c r="AS236" i="15" s="1"/>
  <c r="AQ235" i="15"/>
  <c r="AP235" i="15"/>
  <c r="AM235" i="15"/>
  <c r="AN235" i="15" s="1"/>
  <c r="AS235" i="15" s="1"/>
  <c r="AQ552" i="15"/>
  <c r="AP552" i="15"/>
  <c r="AM552" i="15"/>
  <c r="AN552" i="15" s="1"/>
  <c r="AS552" i="15" s="1"/>
  <c r="AQ129" i="15"/>
  <c r="AP129" i="15"/>
  <c r="AM129" i="15"/>
  <c r="AN129" i="15" s="1"/>
  <c r="AS129" i="15" s="1"/>
  <c r="AQ128" i="15"/>
  <c r="AP128" i="15"/>
  <c r="AM128" i="15"/>
  <c r="AN128" i="15" s="1"/>
  <c r="AS128" i="15" s="1"/>
  <c r="AQ127" i="15"/>
  <c r="AP127" i="15"/>
  <c r="AM127" i="15"/>
  <c r="AN127" i="15" s="1"/>
  <c r="AS127" i="15" s="1"/>
  <c r="AQ126" i="15"/>
  <c r="AP126" i="15"/>
  <c r="AM126" i="15"/>
  <c r="AN126" i="15" s="1"/>
  <c r="AS126" i="15" s="1"/>
  <c r="AQ125" i="15"/>
  <c r="AP125" i="15"/>
  <c r="AM125" i="15"/>
  <c r="AN125" i="15" s="1"/>
  <c r="AS125" i="15" s="1"/>
  <c r="AQ124" i="15"/>
  <c r="AP124" i="15"/>
  <c r="AM124" i="15"/>
  <c r="AN124" i="15" s="1"/>
  <c r="AS124" i="15" s="1"/>
  <c r="AQ123" i="15"/>
  <c r="AP123" i="15"/>
  <c r="AM123" i="15"/>
  <c r="AN123" i="15" s="1"/>
  <c r="AS123" i="15" s="1"/>
  <c r="AQ122" i="15"/>
  <c r="AP122" i="15"/>
  <c r="AM122" i="15"/>
  <c r="AN122" i="15" s="1"/>
  <c r="AS122" i="15" s="1"/>
  <c r="BT121" i="15"/>
  <c r="AQ121" i="15"/>
  <c r="AP121" i="15"/>
  <c r="AM121" i="15"/>
  <c r="AN121" i="15" s="1"/>
  <c r="AS121" i="15" s="1"/>
  <c r="AQ120" i="15"/>
  <c r="AP120" i="15"/>
  <c r="AM120" i="15"/>
  <c r="AN120" i="15" s="1"/>
  <c r="AS120" i="15" s="1"/>
  <c r="AQ119" i="15"/>
  <c r="AP119" i="15"/>
  <c r="AM119" i="15"/>
  <c r="AN119" i="15" s="1"/>
  <c r="AS119" i="15" s="1"/>
  <c r="AQ118" i="15"/>
  <c r="AP118" i="15"/>
  <c r="AM118" i="15"/>
  <c r="AN118" i="15" s="1"/>
  <c r="AS118" i="15" s="1"/>
  <c r="AQ117" i="15"/>
  <c r="AP117" i="15"/>
  <c r="AM117" i="15"/>
  <c r="AN117" i="15" s="1"/>
  <c r="AS117" i="15" s="1"/>
  <c r="AQ116" i="15"/>
  <c r="AP116" i="15"/>
  <c r="AL116" i="15"/>
  <c r="AK116" i="15"/>
  <c r="AJ116" i="15"/>
  <c r="AI116" i="15"/>
  <c r="AH116" i="15"/>
  <c r="AG116" i="15"/>
  <c r="AQ115" i="15"/>
  <c r="AP115" i="15"/>
  <c r="AM115" i="15"/>
  <c r="AN115" i="15" s="1"/>
  <c r="AS115" i="15" s="1"/>
  <c r="AQ114" i="15"/>
  <c r="AP114" i="15"/>
  <c r="AM114" i="15"/>
  <c r="AN114" i="15" s="1"/>
  <c r="AS114" i="15" s="1"/>
  <c r="AQ113" i="15"/>
  <c r="AP113" i="15"/>
  <c r="AM113" i="15"/>
  <c r="AN113" i="15" s="1"/>
  <c r="AS113" i="15" s="1"/>
  <c r="AQ112" i="15"/>
  <c r="AP112" i="15"/>
  <c r="AM112" i="15"/>
  <c r="AN112" i="15" s="1"/>
  <c r="AS112" i="15" s="1"/>
  <c r="AQ111" i="15"/>
  <c r="AP111" i="15"/>
  <c r="AM111" i="15"/>
  <c r="AN111" i="15" s="1"/>
  <c r="AS111" i="15" s="1"/>
  <c r="AQ110" i="15"/>
  <c r="AP110" i="15"/>
  <c r="AM110" i="15"/>
  <c r="AN110" i="15" s="1"/>
  <c r="AS110" i="15" s="1"/>
  <c r="AQ109" i="15"/>
  <c r="AP109" i="15"/>
  <c r="AM109" i="15"/>
  <c r="AN109" i="15" s="1"/>
  <c r="AS109" i="15" s="1"/>
  <c r="AQ108" i="15"/>
  <c r="AP108" i="15"/>
  <c r="AM108" i="15"/>
  <c r="AN108" i="15" s="1"/>
  <c r="AS108" i="15" s="1"/>
  <c r="AQ107" i="15"/>
  <c r="AP107" i="15"/>
  <c r="AM107" i="15"/>
  <c r="AN107" i="15" s="1"/>
  <c r="AS107" i="15" s="1"/>
  <c r="AQ106" i="15"/>
  <c r="AP106" i="15"/>
  <c r="AM106" i="15"/>
  <c r="AN106" i="15" s="1"/>
  <c r="AS106" i="15" s="1"/>
  <c r="AQ105" i="15"/>
  <c r="AP105" i="15"/>
  <c r="AM105" i="15"/>
  <c r="AN105" i="15" s="1"/>
  <c r="AS105" i="15" s="1"/>
  <c r="AQ104" i="15"/>
  <c r="AP104" i="15"/>
  <c r="AH104" i="15"/>
  <c r="AM104" i="15" s="1"/>
  <c r="AN104" i="15" s="1"/>
  <c r="AS104" i="15" s="1"/>
  <c r="AQ103" i="15"/>
  <c r="AP103" i="15"/>
  <c r="AM103" i="15"/>
  <c r="AN103" i="15" s="1"/>
  <c r="AS103" i="15" s="1"/>
  <c r="AQ102" i="15"/>
  <c r="AP102" i="15"/>
  <c r="AM102" i="15"/>
  <c r="AN102" i="15" s="1"/>
  <c r="AS102" i="15" s="1"/>
  <c r="AQ101" i="15"/>
  <c r="AP101" i="15"/>
  <c r="AM101" i="15"/>
  <c r="AN101" i="15" s="1"/>
  <c r="AS101" i="15" s="1"/>
  <c r="AQ550" i="15"/>
  <c r="AP550" i="15"/>
  <c r="AM550" i="15"/>
  <c r="AN550" i="15" s="1"/>
  <c r="AS550" i="15" s="1"/>
  <c r="AQ549" i="15"/>
  <c r="AP549" i="15"/>
  <c r="AM549" i="15"/>
  <c r="AN549" i="15" s="1"/>
  <c r="AS549" i="15" s="1"/>
  <c r="AQ548" i="15"/>
  <c r="AP548" i="15"/>
  <c r="AM548" i="15"/>
  <c r="AN548" i="15" s="1"/>
  <c r="AS548" i="15" s="1"/>
  <c r="AQ551" i="15"/>
  <c r="AP551" i="15"/>
  <c r="AM551" i="15"/>
  <c r="AN551" i="15" s="1"/>
  <c r="AS551" i="15" s="1"/>
  <c r="AQ546" i="15"/>
  <c r="AP546" i="15"/>
  <c r="AM546" i="15"/>
  <c r="AN546" i="15" s="1"/>
  <c r="AS546" i="15" s="1"/>
  <c r="AQ547" i="15"/>
  <c r="AP547" i="15"/>
  <c r="AM547" i="15"/>
  <c r="AN547" i="15" s="1"/>
  <c r="AS547" i="15" s="1"/>
  <c r="AQ100" i="15"/>
  <c r="AP100" i="15"/>
  <c r="AM100" i="15"/>
  <c r="AN100" i="15" s="1"/>
  <c r="AS100" i="15" s="1"/>
  <c r="AQ99" i="15"/>
  <c r="AP99" i="15"/>
  <c r="AM99" i="15"/>
  <c r="AN99" i="15" s="1"/>
  <c r="AS99" i="15" s="1"/>
  <c r="AQ98" i="15"/>
  <c r="AP98" i="15"/>
  <c r="AM98" i="15"/>
  <c r="AN98" i="15" s="1"/>
  <c r="AS98" i="15" s="1"/>
  <c r="AQ97" i="15"/>
  <c r="AP97" i="15"/>
  <c r="AM97" i="15"/>
  <c r="AN97" i="15" s="1"/>
  <c r="AS97" i="15" s="1"/>
  <c r="AQ96" i="15"/>
  <c r="AP96" i="15"/>
  <c r="AM96" i="15"/>
  <c r="AN96" i="15" s="1"/>
  <c r="AS96" i="15" s="1"/>
  <c r="AQ95" i="15"/>
  <c r="AP95" i="15"/>
  <c r="AM95" i="15"/>
  <c r="AN95" i="15" s="1"/>
  <c r="AS95" i="15" s="1"/>
  <c r="AQ544" i="15"/>
  <c r="AP544" i="15"/>
  <c r="AM544" i="15"/>
  <c r="AN544" i="15" s="1"/>
  <c r="AS544" i="15" s="1"/>
  <c r="AQ545" i="15"/>
  <c r="AP545" i="15"/>
  <c r="AM545" i="15"/>
  <c r="AN545" i="15" s="1"/>
  <c r="AS545" i="15" s="1"/>
  <c r="AQ94" i="15"/>
  <c r="AP94" i="15"/>
  <c r="AM94" i="15"/>
  <c r="AN94" i="15" s="1"/>
  <c r="AS94" i="15" s="1"/>
  <c r="AQ542" i="15"/>
  <c r="AP542" i="15"/>
  <c r="AM542" i="15"/>
  <c r="AN542" i="15" s="1"/>
  <c r="AS542" i="15" s="1"/>
  <c r="AQ543" i="15"/>
  <c r="AP543" i="15"/>
  <c r="AM543" i="15"/>
  <c r="AN543" i="15" s="1"/>
  <c r="AS543" i="15" s="1"/>
  <c r="BT93" i="15"/>
  <c r="AQ93" i="15"/>
  <c r="AP93" i="15"/>
  <c r="AM93" i="15"/>
  <c r="AN93" i="15" s="1"/>
  <c r="AS93" i="15" s="1"/>
  <c r="AQ92" i="15"/>
  <c r="AP92" i="15"/>
  <c r="AM92" i="15"/>
  <c r="AN92" i="15" s="1"/>
  <c r="AS92" i="15" s="1"/>
  <c r="AQ91" i="15"/>
  <c r="AP91" i="15"/>
  <c r="AM91" i="15"/>
  <c r="AN91" i="15" s="1"/>
  <c r="AS91" i="15" s="1"/>
  <c r="AQ90" i="15"/>
  <c r="AP90" i="15"/>
  <c r="AM90" i="15"/>
  <c r="AN90" i="15" s="1"/>
  <c r="AS90" i="15" s="1"/>
  <c r="AQ89" i="15"/>
  <c r="AP89" i="15"/>
  <c r="AM89" i="15"/>
  <c r="AN89" i="15" s="1"/>
  <c r="AS89" i="15" s="1"/>
  <c r="AQ88" i="15"/>
  <c r="AP88" i="15"/>
  <c r="AM88" i="15"/>
  <c r="AN88" i="15" s="1"/>
  <c r="AS88" i="15" s="1"/>
  <c r="AQ87" i="15"/>
  <c r="AP87" i="15"/>
  <c r="AM87" i="15"/>
  <c r="AN87" i="15" s="1"/>
  <c r="AS87" i="15" s="1"/>
  <c r="AQ86" i="15"/>
  <c r="AP86" i="15"/>
  <c r="AM86" i="15"/>
  <c r="AN86" i="15" s="1"/>
  <c r="AS86" i="15" s="1"/>
  <c r="AQ85" i="15"/>
  <c r="AP85" i="15"/>
  <c r="AM85" i="15"/>
  <c r="AN85" i="15" s="1"/>
  <c r="AS85" i="15" s="1"/>
  <c r="AQ84" i="15"/>
  <c r="AP84" i="15"/>
  <c r="AM84" i="15"/>
  <c r="AN84" i="15" s="1"/>
  <c r="AS84" i="15" s="1"/>
  <c r="AQ83" i="15"/>
  <c r="AP83" i="15"/>
  <c r="AM83" i="15"/>
  <c r="AN83" i="15" s="1"/>
  <c r="AS83" i="15" s="1"/>
  <c r="AQ82" i="15"/>
  <c r="AP82" i="15"/>
  <c r="AM82" i="15"/>
  <c r="AN82" i="15" s="1"/>
  <c r="AS82" i="15" s="1"/>
  <c r="AQ81" i="15"/>
  <c r="AP81" i="15"/>
  <c r="AM81" i="15"/>
  <c r="AN81" i="15" s="1"/>
  <c r="AS81" i="15" s="1"/>
  <c r="AQ541" i="15"/>
  <c r="AP541" i="15"/>
  <c r="AM541" i="15"/>
  <c r="AN541" i="15" s="1"/>
  <c r="AS541" i="15" s="1"/>
  <c r="AQ540" i="15"/>
  <c r="AP540" i="15"/>
  <c r="AM540" i="15"/>
  <c r="AN540" i="15" s="1"/>
  <c r="AS540" i="15" s="1"/>
  <c r="AQ539" i="15"/>
  <c r="AP539" i="15"/>
  <c r="AM539" i="15"/>
  <c r="AN539" i="15" s="1"/>
  <c r="AS539" i="15" s="1"/>
  <c r="AQ80" i="15"/>
  <c r="AP80" i="15"/>
  <c r="AM80" i="15"/>
  <c r="AN80" i="15" s="1"/>
  <c r="AS80" i="15" s="1"/>
  <c r="AQ79" i="15"/>
  <c r="AP79" i="15"/>
  <c r="AM79" i="15"/>
  <c r="AN79" i="15" s="1"/>
  <c r="AS79" i="15" s="1"/>
  <c r="AQ78" i="15"/>
  <c r="AP78" i="15"/>
  <c r="AM78" i="15"/>
  <c r="AN78" i="15" s="1"/>
  <c r="AS78" i="15" s="1"/>
  <c r="AQ77" i="15"/>
  <c r="AP77" i="15"/>
  <c r="AM77" i="15"/>
  <c r="AN77" i="15" s="1"/>
  <c r="AS77" i="15" s="1"/>
  <c r="AQ76" i="15"/>
  <c r="AP76" i="15"/>
  <c r="AM76" i="15"/>
  <c r="AN76" i="15" s="1"/>
  <c r="AS76" i="15" s="1"/>
  <c r="AQ75" i="15"/>
  <c r="AP75" i="15"/>
  <c r="AM75" i="15"/>
  <c r="AN75" i="15" s="1"/>
  <c r="AS75" i="15" s="1"/>
  <c r="BT74" i="15"/>
  <c r="AQ74" i="15"/>
  <c r="AP74" i="15"/>
  <c r="AM74" i="15"/>
  <c r="AN74" i="15" s="1"/>
  <c r="AS74" i="15" s="1"/>
  <c r="AQ73" i="15"/>
  <c r="AP73" i="15"/>
  <c r="AM73" i="15"/>
  <c r="AN73" i="15" s="1"/>
  <c r="AS73" i="15" s="1"/>
  <c r="AQ72" i="15"/>
  <c r="AP72" i="15"/>
  <c r="AM72" i="15"/>
  <c r="AN72" i="15" s="1"/>
  <c r="AS72" i="15" s="1"/>
  <c r="AQ71" i="15"/>
  <c r="AP71" i="15"/>
  <c r="AM71" i="15"/>
  <c r="AN71" i="15" s="1"/>
  <c r="AS71" i="15" s="1"/>
  <c r="AQ70" i="15"/>
  <c r="AP70" i="15"/>
  <c r="AM70" i="15"/>
  <c r="AN70" i="15" s="1"/>
  <c r="AS70" i="15" s="1"/>
  <c r="AQ69" i="15"/>
  <c r="AP69" i="15"/>
  <c r="AM69" i="15"/>
  <c r="AN69" i="15" s="1"/>
  <c r="AS69" i="15" s="1"/>
  <c r="AQ68" i="15"/>
  <c r="AP68" i="15"/>
  <c r="AM68" i="15"/>
  <c r="AN68" i="15" s="1"/>
  <c r="AS68" i="15" s="1"/>
  <c r="BT67" i="15"/>
  <c r="AQ67" i="15"/>
  <c r="AP67" i="15"/>
  <c r="AM67" i="15"/>
  <c r="AN67" i="15" s="1"/>
  <c r="AS67" i="15" s="1"/>
  <c r="BT66" i="15"/>
  <c r="AQ66" i="15"/>
  <c r="AP66" i="15"/>
  <c r="AM66" i="15"/>
  <c r="AN66" i="15" s="1"/>
  <c r="AS66" i="15" s="1"/>
  <c r="BT65" i="15"/>
  <c r="AQ65" i="15"/>
  <c r="AP65" i="15"/>
  <c r="AM65" i="15"/>
  <c r="AN65" i="15" s="1"/>
  <c r="AS65" i="15" s="1"/>
  <c r="BT64" i="15"/>
  <c r="AQ64" i="15"/>
  <c r="AP64" i="15"/>
  <c r="AM64" i="15"/>
  <c r="AN64" i="15" s="1"/>
  <c r="AS64" i="15" s="1"/>
  <c r="BT63" i="15"/>
  <c r="AQ63" i="15"/>
  <c r="AP63" i="15"/>
  <c r="AM63" i="15"/>
  <c r="AN63" i="15" s="1"/>
  <c r="AS63" i="15" s="1"/>
  <c r="AQ62" i="15"/>
  <c r="AP62" i="15"/>
  <c r="AM62" i="15"/>
  <c r="AN62" i="15" s="1"/>
  <c r="AS62" i="15" s="1"/>
  <c r="AQ61" i="15"/>
  <c r="AP61" i="15"/>
  <c r="AM61" i="15"/>
  <c r="AN61" i="15" s="1"/>
  <c r="AS61" i="15" s="1"/>
  <c r="AQ60" i="15"/>
  <c r="AP60" i="15"/>
  <c r="AM60" i="15"/>
  <c r="AN60" i="15" s="1"/>
  <c r="AS60" i="15" s="1"/>
  <c r="AQ59" i="15"/>
  <c r="AP59" i="15"/>
  <c r="AM59" i="15"/>
  <c r="AN59" i="15" s="1"/>
  <c r="AS59" i="15" s="1"/>
  <c r="AQ58" i="15"/>
  <c r="AP58" i="15"/>
  <c r="AM58" i="15"/>
  <c r="AN58" i="15" s="1"/>
  <c r="AS58" i="15" s="1"/>
  <c r="AQ57" i="15"/>
  <c r="AP57" i="15"/>
  <c r="AM57" i="15"/>
  <c r="AN57" i="15" s="1"/>
  <c r="AS57" i="15" s="1"/>
  <c r="AQ56" i="15"/>
  <c r="AP56" i="15"/>
  <c r="AM56" i="15"/>
  <c r="AN56" i="15" s="1"/>
  <c r="AS56" i="15" s="1"/>
  <c r="AQ55" i="15"/>
  <c r="AP55" i="15"/>
  <c r="AM55" i="15"/>
  <c r="AN55" i="15" s="1"/>
  <c r="AS55" i="15" s="1"/>
  <c r="AQ54" i="15"/>
  <c r="AP54" i="15"/>
  <c r="AM54" i="15"/>
  <c r="AN54" i="15" s="1"/>
  <c r="AS54" i="15" s="1"/>
  <c r="AQ53" i="15"/>
  <c r="AP53" i="15"/>
  <c r="AM53" i="15"/>
  <c r="AN53" i="15" s="1"/>
  <c r="AS53" i="15" s="1"/>
  <c r="AQ52" i="15"/>
  <c r="AP52" i="15"/>
  <c r="AM52" i="15"/>
  <c r="AN52" i="15" s="1"/>
  <c r="AS52" i="15" s="1"/>
  <c r="BT50" i="15"/>
  <c r="AQ50" i="15"/>
  <c r="AP50" i="15"/>
  <c r="AL50" i="15"/>
  <c r="AK50" i="15"/>
  <c r="AJ50" i="15"/>
  <c r="AI50" i="15"/>
  <c r="AH50" i="15"/>
  <c r="AG50" i="15"/>
  <c r="AQ49" i="15"/>
  <c r="AP49" i="15"/>
  <c r="AM49" i="15"/>
  <c r="AN49" i="15" s="1"/>
  <c r="AS49" i="15" s="1"/>
  <c r="AQ48" i="15"/>
  <c r="AP48" i="15"/>
  <c r="AM48" i="15"/>
  <c r="AN48" i="15" s="1"/>
  <c r="AS48" i="15" s="1"/>
  <c r="AQ47" i="15"/>
  <c r="AP47" i="15"/>
  <c r="AM47" i="15"/>
  <c r="AN47" i="15" s="1"/>
  <c r="AS47" i="15" s="1"/>
  <c r="AQ46" i="15"/>
  <c r="AP46" i="15"/>
  <c r="AM46" i="15"/>
  <c r="AN46" i="15" s="1"/>
  <c r="AS46" i="15" s="1"/>
  <c r="AQ45" i="15"/>
  <c r="AP45" i="15"/>
  <c r="AM45" i="15"/>
  <c r="AN45" i="15" s="1"/>
  <c r="AS45" i="15" s="1"/>
  <c r="AQ44" i="15"/>
  <c r="AP44" i="15"/>
  <c r="AM44" i="15"/>
  <c r="AN44" i="15" s="1"/>
  <c r="AS44" i="15" s="1"/>
  <c r="AQ43" i="15"/>
  <c r="AP43" i="15"/>
  <c r="AM43" i="15"/>
  <c r="AN43" i="15" s="1"/>
  <c r="AS43" i="15" s="1"/>
  <c r="AQ42" i="15"/>
  <c r="AP42" i="15"/>
  <c r="AM42" i="15"/>
  <c r="AN42" i="15" s="1"/>
  <c r="AS42" i="15" s="1"/>
  <c r="AQ41" i="15"/>
  <c r="AP41" i="15"/>
  <c r="AH41" i="15"/>
  <c r="AG41" i="15"/>
  <c r="AQ578" i="15"/>
  <c r="AP578" i="15"/>
  <c r="AM578" i="15"/>
  <c r="AN578" i="15" s="1"/>
  <c r="AS578" i="15" s="1"/>
  <c r="AQ509" i="15"/>
  <c r="AP509" i="15"/>
  <c r="AM509" i="15"/>
  <c r="AN509" i="15" s="1"/>
  <c r="AS509" i="15" s="1"/>
  <c r="AQ40" i="15"/>
  <c r="AP40" i="15"/>
  <c r="AM40" i="15"/>
  <c r="AN40" i="15" s="1"/>
  <c r="AS40" i="15" s="1"/>
  <c r="AQ483" i="15"/>
  <c r="AP483" i="15"/>
  <c r="AM483" i="15"/>
  <c r="AN483" i="15" s="1"/>
  <c r="AS483" i="15" s="1"/>
  <c r="AQ39" i="15"/>
  <c r="AP39" i="15"/>
  <c r="AM39" i="15"/>
  <c r="AN39" i="15" s="1"/>
  <c r="AS39" i="15" s="1"/>
  <c r="AQ38" i="15"/>
  <c r="AP38" i="15"/>
  <c r="AM38" i="15"/>
  <c r="AN38" i="15" s="1"/>
  <c r="AS38" i="15" s="1"/>
  <c r="AQ506" i="15"/>
  <c r="AP506" i="15"/>
  <c r="AM506" i="15"/>
  <c r="AN506" i="15" s="1"/>
  <c r="AS506" i="15" s="1"/>
  <c r="AQ37" i="15"/>
  <c r="AP37" i="15"/>
  <c r="AL37" i="15"/>
  <c r="AM37" i="15" s="1"/>
  <c r="AN37" i="15" s="1"/>
  <c r="AS37" i="15" s="1"/>
  <c r="AQ482" i="15"/>
  <c r="AP482" i="15"/>
  <c r="AM482" i="15"/>
  <c r="AN482" i="15" s="1"/>
  <c r="AS482" i="15" s="1"/>
  <c r="AQ36" i="15"/>
  <c r="AP36" i="15"/>
  <c r="AM36" i="15"/>
  <c r="AN36" i="15" s="1"/>
  <c r="AS36" i="15" s="1"/>
  <c r="AQ35" i="15"/>
  <c r="AP35" i="15"/>
  <c r="AM35" i="15"/>
  <c r="AN35" i="15" s="1"/>
  <c r="AS35" i="15" s="1"/>
  <c r="AQ34" i="15"/>
  <c r="AP34" i="15"/>
  <c r="AM34" i="15"/>
  <c r="AN34" i="15" s="1"/>
  <c r="AS34" i="15" s="1"/>
  <c r="AQ33" i="15"/>
  <c r="AP33" i="15"/>
  <c r="AM33" i="15"/>
  <c r="AN33" i="15" s="1"/>
  <c r="AS33" i="15" s="1"/>
  <c r="BT32" i="15"/>
  <c r="AQ32" i="15"/>
  <c r="AP32" i="15"/>
  <c r="AM32" i="15"/>
  <c r="AN32" i="15" s="1"/>
  <c r="AS32" i="15" s="1"/>
  <c r="AQ31" i="15"/>
  <c r="AP31" i="15"/>
  <c r="AM31" i="15"/>
  <c r="AN31" i="15" s="1"/>
  <c r="AS31" i="15" s="1"/>
  <c r="AQ30" i="15"/>
  <c r="AP30" i="15"/>
  <c r="AM30" i="15"/>
  <c r="AN30" i="15" s="1"/>
  <c r="AS30" i="15" s="1"/>
  <c r="AQ29" i="15"/>
  <c r="AP29" i="15"/>
  <c r="AM29" i="15"/>
  <c r="AN29" i="15" s="1"/>
  <c r="AS29" i="15" s="1"/>
  <c r="AQ28" i="15"/>
  <c r="AP28" i="15"/>
  <c r="AM28" i="15"/>
  <c r="AN28" i="15" s="1"/>
  <c r="AS28" i="15" s="1"/>
  <c r="BT27" i="15"/>
  <c r="AQ27" i="15"/>
  <c r="AP27" i="15"/>
  <c r="AM27" i="15"/>
  <c r="AN27" i="15" s="1"/>
  <c r="AS27" i="15" s="1"/>
  <c r="W27" i="15"/>
  <c r="BT26" i="15"/>
  <c r="AQ26" i="15"/>
  <c r="AP26" i="15"/>
  <c r="AM26" i="15"/>
  <c r="AN26" i="15" s="1"/>
  <c r="AS26" i="15" s="1"/>
  <c r="W26" i="15"/>
  <c r="BT25" i="15"/>
  <c r="AQ25" i="15"/>
  <c r="AP25" i="15"/>
  <c r="AM25" i="15"/>
  <c r="AN25" i="15" s="1"/>
  <c r="AS25" i="15" s="1"/>
  <c r="W25" i="15"/>
  <c r="AQ508" i="15"/>
  <c r="AP508" i="15"/>
  <c r="AM508" i="15"/>
  <c r="AN508" i="15" s="1"/>
  <c r="AS508" i="15" s="1"/>
  <c r="BT24" i="15"/>
  <c r="AQ24" i="15"/>
  <c r="AP24" i="15"/>
  <c r="AM24" i="15"/>
  <c r="AN24" i="15" s="1"/>
  <c r="AS24" i="15" s="1"/>
  <c r="W24" i="15"/>
  <c r="AQ23" i="15"/>
  <c r="AP23" i="15"/>
  <c r="AL23" i="15"/>
  <c r="AK23" i="15"/>
  <c r="AJ23" i="15"/>
  <c r="AI23" i="15"/>
  <c r="AH23" i="15"/>
  <c r="AG23" i="15"/>
  <c r="AQ22" i="15"/>
  <c r="AP22" i="15"/>
  <c r="AI22" i="15"/>
  <c r="AM22" i="15" s="1"/>
  <c r="AN22" i="15" s="1"/>
  <c r="AS22" i="15" s="1"/>
  <c r="AQ21" i="15"/>
  <c r="AP21" i="15"/>
  <c r="AM21" i="15"/>
  <c r="AN21" i="15" s="1"/>
  <c r="AS21" i="15" s="1"/>
  <c r="AQ20" i="15"/>
  <c r="AP20" i="15"/>
  <c r="AM20" i="15"/>
  <c r="AN20" i="15" s="1"/>
  <c r="AS20" i="15" s="1"/>
  <c r="AQ19" i="15"/>
  <c r="AP19" i="15"/>
  <c r="AM19" i="15"/>
  <c r="AN19" i="15" s="1"/>
  <c r="AS19" i="15" s="1"/>
  <c r="AQ18" i="15"/>
  <c r="AP18" i="15"/>
  <c r="AM18" i="15"/>
  <c r="AN18" i="15" s="1"/>
  <c r="AS18" i="15" s="1"/>
  <c r="AQ17" i="15"/>
  <c r="AP17" i="15"/>
  <c r="AM17" i="15"/>
  <c r="AN17" i="15" s="1"/>
  <c r="AS17" i="15" s="1"/>
  <c r="AQ16" i="15"/>
  <c r="AP16" i="15"/>
  <c r="AM16" i="15"/>
  <c r="AN16" i="15" s="1"/>
  <c r="AS16" i="15" s="1"/>
  <c r="AQ15" i="15"/>
  <c r="AP15" i="15"/>
  <c r="AM15" i="15"/>
  <c r="AN15" i="15" s="1"/>
  <c r="AS15" i="15" s="1"/>
  <c r="AQ14" i="15"/>
  <c r="AP14" i="15"/>
  <c r="AM14" i="15"/>
  <c r="AN14" i="15" s="1"/>
  <c r="AS14" i="15" s="1"/>
  <c r="AQ13" i="15"/>
  <c r="AP13" i="15"/>
  <c r="AM13" i="15"/>
  <c r="AN13" i="15" s="1"/>
  <c r="AS13" i="15" s="1"/>
  <c r="AQ12" i="15"/>
  <c r="AP12" i="15"/>
  <c r="AM12" i="15"/>
  <c r="AN12" i="15" s="1"/>
  <c r="AS12" i="15" s="1"/>
  <c r="AQ11" i="15"/>
  <c r="AP11" i="15"/>
  <c r="AM11" i="15"/>
  <c r="AN11" i="15" s="1"/>
  <c r="AS11" i="15" s="1"/>
  <c r="AQ10" i="15"/>
  <c r="AP10" i="15"/>
  <c r="AI10" i="15"/>
  <c r="AM10" i="15" s="1"/>
  <c r="AN10" i="15" s="1"/>
  <c r="AS10" i="15" s="1"/>
  <c r="AQ573" i="15"/>
  <c r="AP573" i="15"/>
  <c r="AM573" i="15"/>
  <c r="AN573" i="15" s="1"/>
  <c r="AS573" i="15" s="1"/>
  <c r="AQ538" i="15"/>
  <c r="AP538" i="15"/>
  <c r="AM538" i="15"/>
  <c r="AN538" i="15" s="1"/>
  <c r="AS538" i="15" s="1"/>
  <c r="AQ507" i="15"/>
  <c r="AP507" i="15"/>
  <c r="AM507" i="15"/>
  <c r="AN507" i="15" s="1"/>
  <c r="AS507" i="15" s="1"/>
  <c r="AQ9" i="15"/>
  <c r="AP9" i="15"/>
  <c r="AM9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Q3" i="15"/>
  <c r="AN3" i="15"/>
  <c r="AE3" i="15"/>
  <c r="AD3" i="15"/>
  <c r="AC3" i="15"/>
  <c r="Z3" i="15"/>
  <c r="Y3" i="15"/>
  <c r="X3" i="15"/>
  <c r="W3" i="15"/>
  <c r="AQ42" i="13"/>
  <c r="AP42" i="13"/>
  <c r="AM42" i="13"/>
  <c r="AN42" i="13" s="1"/>
  <c r="AS42" i="13" s="1"/>
  <c r="AQ665" i="13"/>
  <c r="AP665" i="13"/>
  <c r="AM665" i="13"/>
  <c r="AN665" i="13" s="1"/>
  <c r="AS665" i="13" s="1"/>
  <c r="AQ113" i="13"/>
  <c r="AP113" i="13"/>
  <c r="AM113" i="13"/>
  <c r="AN113" i="13" s="1"/>
  <c r="AS113" i="13" s="1"/>
  <c r="AQ659" i="13"/>
  <c r="AP659" i="13"/>
  <c r="AM659" i="13"/>
  <c r="AN659" i="13" s="1"/>
  <c r="AS659" i="13" s="1"/>
  <c r="AQ312" i="13"/>
  <c r="AP312" i="13"/>
  <c r="AM312" i="13"/>
  <c r="AN312" i="13" s="1"/>
  <c r="AS312" i="13" s="1"/>
  <c r="AQ543" i="13"/>
  <c r="AP543" i="13"/>
  <c r="AM543" i="13"/>
  <c r="AN543" i="13" s="1"/>
  <c r="AS543" i="13" s="1"/>
  <c r="AQ449" i="13"/>
  <c r="AP449" i="13"/>
  <c r="AM449" i="13"/>
  <c r="AN449" i="13" s="1"/>
  <c r="AS449" i="13" s="1"/>
  <c r="AQ438" i="13"/>
  <c r="AP438" i="13"/>
  <c r="AM438" i="13"/>
  <c r="AN438" i="13" s="1"/>
  <c r="AS438" i="13" s="1"/>
  <c r="AQ480" i="13"/>
  <c r="AP480" i="13"/>
  <c r="AM480" i="13"/>
  <c r="AN480" i="13" s="1"/>
  <c r="AS480" i="13" s="1"/>
  <c r="AQ658" i="13"/>
  <c r="AP658" i="13"/>
  <c r="AM658" i="13"/>
  <c r="AN658" i="13" s="1"/>
  <c r="AS658" i="13" s="1"/>
  <c r="AQ282" i="13"/>
  <c r="AP282" i="13"/>
  <c r="AM282" i="13"/>
  <c r="AN282" i="13" s="1"/>
  <c r="AS282" i="13" s="1"/>
  <c r="AQ397" i="13"/>
  <c r="AP397" i="13"/>
  <c r="AM397" i="13"/>
  <c r="AN397" i="13" s="1"/>
  <c r="AS397" i="13" s="1"/>
  <c r="AQ396" i="13"/>
  <c r="AP396" i="13"/>
  <c r="AM396" i="13"/>
  <c r="AN396" i="13" s="1"/>
  <c r="AS396" i="13" s="1"/>
  <c r="AQ451" i="13"/>
  <c r="AP451" i="13"/>
  <c r="AM451" i="13"/>
  <c r="AN451" i="13" s="1"/>
  <c r="AS451" i="13" s="1"/>
  <c r="AQ569" i="13"/>
  <c r="AP569" i="13"/>
  <c r="AM569" i="13"/>
  <c r="AN569" i="13" s="1"/>
  <c r="AS569" i="13" s="1"/>
  <c r="AQ542" i="13"/>
  <c r="AP542" i="13"/>
  <c r="AM542" i="13"/>
  <c r="AN542" i="13" s="1"/>
  <c r="AS542" i="13" s="1"/>
  <c r="AQ265" i="13"/>
  <c r="AP265" i="13"/>
  <c r="AM265" i="13"/>
  <c r="AN265" i="13" s="1"/>
  <c r="AS265" i="13" s="1"/>
  <c r="AQ174" i="13"/>
  <c r="AP174" i="13"/>
  <c r="AM174" i="13"/>
  <c r="AN174" i="13" s="1"/>
  <c r="AS174" i="13" s="1"/>
  <c r="AQ603" i="13"/>
  <c r="AP603" i="13"/>
  <c r="AM603" i="13"/>
  <c r="AN603" i="13" s="1"/>
  <c r="AS603" i="13" s="1"/>
  <c r="AQ595" i="13"/>
  <c r="AP595" i="13"/>
  <c r="AM595" i="13"/>
  <c r="AN595" i="13" s="1"/>
  <c r="AS595" i="13" s="1"/>
  <c r="AQ450" i="13"/>
  <c r="AP450" i="13"/>
  <c r="AM450" i="13"/>
  <c r="AN450" i="13" s="1"/>
  <c r="AS450" i="13" s="1"/>
  <c r="AQ568" i="13"/>
  <c r="AP568" i="13"/>
  <c r="AM568" i="13"/>
  <c r="AN568" i="13" s="1"/>
  <c r="AS568" i="13" s="1"/>
  <c r="AQ528" i="13"/>
  <c r="AP528" i="13"/>
  <c r="AM528" i="13"/>
  <c r="AN528" i="13" s="1"/>
  <c r="AS528" i="13" s="1"/>
  <c r="AQ264" i="13"/>
  <c r="AP264" i="13"/>
  <c r="AM264" i="13"/>
  <c r="AN264" i="13" s="1"/>
  <c r="AS264" i="13" s="1"/>
  <c r="AQ173" i="13"/>
  <c r="AP173" i="13"/>
  <c r="AM173" i="13"/>
  <c r="AN173" i="13" s="1"/>
  <c r="AS173" i="13" s="1"/>
  <c r="AQ628" i="13"/>
  <c r="AP628" i="13"/>
  <c r="AM628" i="13"/>
  <c r="AN628" i="13" s="1"/>
  <c r="AS628" i="13" s="1"/>
  <c r="AQ594" i="13"/>
  <c r="AP594" i="13"/>
  <c r="AM594" i="13"/>
  <c r="AN594" i="13" s="1"/>
  <c r="AS594" i="13" s="1"/>
  <c r="AQ43" i="13"/>
  <c r="AP43" i="13"/>
  <c r="AM43" i="13"/>
  <c r="AN43" i="13" s="1"/>
  <c r="AS43" i="13" s="1"/>
  <c r="AQ483" i="13"/>
  <c r="AP483" i="13"/>
  <c r="AM483" i="13"/>
  <c r="AN483" i="13" s="1"/>
  <c r="AS483" i="13" s="1"/>
  <c r="AQ41" i="13"/>
  <c r="AP41" i="13"/>
  <c r="AM41" i="13"/>
  <c r="AN41" i="13" s="1"/>
  <c r="AS41" i="13" s="1"/>
  <c r="AQ481" i="13"/>
  <c r="AP481" i="13"/>
  <c r="AM481" i="13"/>
  <c r="AN481" i="13" s="1"/>
  <c r="AS481" i="13" s="1"/>
  <c r="AQ479" i="13"/>
  <c r="AP479" i="13"/>
  <c r="AM479" i="13"/>
  <c r="AN479" i="13" s="1"/>
  <c r="AS479" i="13" s="1"/>
  <c r="AQ453" i="13"/>
  <c r="AP453" i="13"/>
  <c r="AM453" i="13"/>
  <c r="AN453" i="13" s="1"/>
  <c r="AS453" i="13" s="1"/>
  <c r="AQ39" i="13"/>
  <c r="AP39" i="13"/>
  <c r="AM39" i="13"/>
  <c r="AN39" i="13" s="1"/>
  <c r="AS39" i="13" s="1"/>
  <c r="AQ482" i="13"/>
  <c r="AP482" i="13"/>
  <c r="AM482" i="13"/>
  <c r="AN482" i="13" s="1"/>
  <c r="AS482" i="13" s="1"/>
  <c r="AQ452" i="13"/>
  <c r="AP452" i="13"/>
  <c r="AM452" i="13"/>
  <c r="AN452" i="13" s="1"/>
  <c r="AS452" i="13" s="1"/>
  <c r="AQ394" i="13"/>
  <c r="AP394" i="13"/>
  <c r="AM394" i="13"/>
  <c r="AN394" i="13" s="1"/>
  <c r="AS394" i="13" s="1"/>
  <c r="AQ280" i="13"/>
  <c r="AP280" i="13"/>
  <c r="AM280" i="13"/>
  <c r="AN280" i="13" s="1"/>
  <c r="AS280" i="13" s="1"/>
  <c r="AQ308" i="13"/>
  <c r="AP308" i="13"/>
  <c r="AM308" i="13"/>
  <c r="AN308" i="13" s="1"/>
  <c r="AS308" i="13" s="1"/>
  <c r="AQ541" i="13"/>
  <c r="AP541" i="13"/>
  <c r="AM541" i="13"/>
  <c r="AN541" i="13" s="1"/>
  <c r="AS541" i="13" s="1"/>
  <c r="AQ410" i="13"/>
  <c r="AP410" i="13"/>
  <c r="AM410" i="13"/>
  <c r="AN410" i="13" s="1"/>
  <c r="AS410" i="13" s="1"/>
  <c r="AQ347" i="13"/>
  <c r="AP347" i="13"/>
  <c r="AM347" i="13"/>
  <c r="AN347" i="13" s="1"/>
  <c r="AS347" i="13" s="1"/>
  <c r="AQ263" i="13"/>
  <c r="AP263" i="13"/>
  <c r="AM263" i="13"/>
  <c r="AN263" i="13" s="1"/>
  <c r="AS263" i="13" s="1"/>
  <c r="AQ629" i="13"/>
  <c r="AP629" i="13"/>
  <c r="AM629" i="13"/>
  <c r="AN629" i="13" s="1"/>
  <c r="AS629" i="13" s="1"/>
  <c r="AQ515" i="13"/>
  <c r="AP515" i="13"/>
  <c r="AM515" i="13"/>
  <c r="AN515" i="13" s="1"/>
  <c r="AS515" i="13" s="1"/>
  <c r="AQ681" i="13"/>
  <c r="AP681" i="13"/>
  <c r="AM681" i="13"/>
  <c r="AN681" i="13" s="1"/>
  <c r="AS681" i="13" s="1"/>
  <c r="AQ655" i="13"/>
  <c r="AP655" i="13"/>
  <c r="AM655" i="13"/>
  <c r="AN655" i="13" s="1"/>
  <c r="AS655" i="13" s="1"/>
  <c r="AQ416" i="13"/>
  <c r="AP416" i="13"/>
  <c r="AM416" i="13"/>
  <c r="AN416" i="13" s="1"/>
  <c r="AS416" i="13" s="1"/>
  <c r="AQ322" i="13"/>
  <c r="AP322" i="13"/>
  <c r="AM322" i="13"/>
  <c r="AN322" i="13" s="1"/>
  <c r="AS322" i="13" s="1"/>
  <c r="AQ281" i="13"/>
  <c r="AP281" i="13"/>
  <c r="AM281" i="13"/>
  <c r="AN281" i="13" s="1"/>
  <c r="AS281" i="13" s="1"/>
  <c r="AQ540" i="13"/>
  <c r="AP540" i="13"/>
  <c r="AM540" i="13"/>
  <c r="AN540" i="13" s="1"/>
  <c r="AS540" i="13" s="1"/>
  <c r="AQ37" i="13"/>
  <c r="AP37" i="13"/>
  <c r="AM37" i="13"/>
  <c r="AN37" i="13" s="1"/>
  <c r="AS37" i="13" s="1"/>
  <c r="AQ577" i="13"/>
  <c r="AP577" i="13"/>
  <c r="AM577" i="13"/>
  <c r="AN577" i="13" s="1"/>
  <c r="AS577" i="13" s="1"/>
  <c r="AQ602" i="13"/>
  <c r="AP602" i="13"/>
  <c r="AM602" i="13"/>
  <c r="AN602" i="13" s="1"/>
  <c r="AS602" i="13" s="1"/>
  <c r="AQ374" i="13"/>
  <c r="AP374" i="13"/>
  <c r="AM374" i="13"/>
  <c r="AN374" i="13" s="1"/>
  <c r="AS374" i="13" s="1"/>
  <c r="AQ478" i="13"/>
  <c r="AP478" i="13"/>
  <c r="AM478" i="13"/>
  <c r="AN478" i="13" s="1"/>
  <c r="AS478" i="13" s="1"/>
  <c r="AQ576" i="13"/>
  <c r="AP576" i="13"/>
  <c r="AM576" i="13"/>
  <c r="AN576" i="13" s="1"/>
  <c r="AS576" i="13" s="1"/>
  <c r="AQ680" i="13"/>
  <c r="AP680" i="13"/>
  <c r="AM680" i="13"/>
  <c r="AN680" i="13" s="1"/>
  <c r="AS680" i="13" s="1"/>
  <c r="AQ666" i="13"/>
  <c r="AP666" i="13"/>
  <c r="AM666" i="13"/>
  <c r="AN666" i="13" s="1"/>
  <c r="AS666" i="13" s="1"/>
  <c r="AQ663" i="13"/>
  <c r="AP663" i="13"/>
  <c r="AM663" i="13"/>
  <c r="AN663" i="13" s="1"/>
  <c r="AS663" i="13" s="1"/>
  <c r="AQ660" i="13"/>
  <c r="AP660" i="13"/>
  <c r="AM660" i="13"/>
  <c r="AN660" i="13" s="1"/>
  <c r="AS660" i="13" s="1"/>
  <c r="AQ673" i="13"/>
  <c r="AP673" i="13"/>
  <c r="AM673" i="13"/>
  <c r="AN673" i="13" s="1"/>
  <c r="AS673" i="13" s="1"/>
  <c r="AQ667" i="13"/>
  <c r="AP667" i="13"/>
  <c r="AM667" i="13"/>
  <c r="AN667" i="13" s="1"/>
  <c r="AS667" i="13" s="1"/>
  <c r="AQ654" i="13"/>
  <c r="AP654" i="13"/>
  <c r="AM654" i="13"/>
  <c r="AN654" i="13" s="1"/>
  <c r="AS654" i="13" s="1"/>
  <c r="AQ653" i="13"/>
  <c r="AP653" i="13"/>
  <c r="AM653" i="13"/>
  <c r="AN653" i="13" s="1"/>
  <c r="AS653" i="13" s="1"/>
  <c r="AQ627" i="13"/>
  <c r="AP627" i="13"/>
  <c r="AM627" i="13"/>
  <c r="AN627" i="13" s="1"/>
  <c r="AS627" i="13" s="1"/>
  <c r="AQ522" i="13"/>
  <c r="AP522" i="13"/>
  <c r="AM522" i="13"/>
  <c r="AN522" i="13" s="1"/>
  <c r="AS522" i="13" s="1"/>
  <c r="AQ514" i="13"/>
  <c r="AP514" i="13"/>
  <c r="AM514" i="13"/>
  <c r="AN514" i="13" s="1"/>
  <c r="AS514" i="13" s="1"/>
  <c r="AQ509" i="13"/>
  <c r="AP509" i="13"/>
  <c r="AM509" i="13"/>
  <c r="AN509" i="13" s="1"/>
  <c r="AS509" i="13" s="1"/>
  <c r="AP506" i="13"/>
  <c r="AC506" i="13"/>
  <c r="AQ506" i="13" s="1"/>
  <c r="AQ601" i="13"/>
  <c r="AP601" i="13"/>
  <c r="AM601" i="13"/>
  <c r="AN601" i="13" s="1"/>
  <c r="AS601" i="13" s="1"/>
  <c r="AQ652" i="13"/>
  <c r="AP652" i="13"/>
  <c r="AM652" i="13"/>
  <c r="AN652" i="13" s="1"/>
  <c r="AS652" i="13" s="1"/>
  <c r="AQ626" i="13"/>
  <c r="AP626" i="13"/>
  <c r="AM626" i="13"/>
  <c r="AN626" i="13" s="1"/>
  <c r="AS626" i="13" s="1"/>
  <c r="AQ600" i="13"/>
  <c r="AP600" i="13"/>
  <c r="AM600" i="13"/>
  <c r="AN600" i="13" s="1"/>
  <c r="AS600" i="13" s="1"/>
  <c r="AQ575" i="13"/>
  <c r="AP575" i="13"/>
  <c r="AM575" i="13"/>
  <c r="AN575" i="13" s="1"/>
  <c r="AS575" i="13" s="1"/>
  <c r="AQ675" i="13"/>
  <c r="AP675" i="13"/>
  <c r="AM675" i="13"/>
  <c r="AN675" i="13" s="1"/>
  <c r="AS675" i="13" s="1"/>
  <c r="AQ687" i="13"/>
  <c r="AP687" i="13"/>
  <c r="AM687" i="13"/>
  <c r="AN687" i="13" s="1"/>
  <c r="AS687" i="13" s="1"/>
  <c r="AQ570" i="13"/>
  <c r="AP570" i="13"/>
  <c r="AM570" i="13"/>
  <c r="AN570" i="13" s="1"/>
  <c r="AS570" i="13" s="1"/>
  <c r="AQ651" i="13"/>
  <c r="AP651" i="13"/>
  <c r="AM651" i="13"/>
  <c r="AN651" i="13" s="1"/>
  <c r="AS651" i="13" s="1"/>
  <c r="AQ625" i="13"/>
  <c r="AP625" i="13"/>
  <c r="AM625" i="13"/>
  <c r="AN625" i="13" s="1"/>
  <c r="AS625" i="13" s="1"/>
  <c r="AQ605" i="13"/>
  <c r="AP605" i="13"/>
  <c r="AM605" i="13"/>
  <c r="AN605" i="13" s="1"/>
  <c r="AS605" i="13" s="1"/>
  <c r="AQ596" i="13"/>
  <c r="AP596" i="13"/>
  <c r="AM596" i="13"/>
  <c r="AN596" i="13" s="1"/>
  <c r="AS596" i="13" s="1"/>
  <c r="AQ553" i="13"/>
  <c r="AP553" i="13"/>
  <c r="AM553" i="13"/>
  <c r="AN553" i="13" s="1"/>
  <c r="AS553" i="13" s="1"/>
  <c r="AQ624" i="13"/>
  <c r="AP624" i="13"/>
  <c r="AM624" i="13"/>
  <c r="AN624" i="13" s="1"/>
  <c r="AS624" i="13" s="1"/>
  <c r="AQ527" i="13"/>
  <c r="AP527" i="13"/>
  <c r="AM527" i="13"/>
  <c r="AN527" i="13" s="1"/>
  <c r="AS527" i="13" s="1"/>
  <c r="AQ424" i="13"/>
  <c r="AP424" i="13"/>
  <c r="AM424" i="13"/>
  <c r="AN424" i="13" s="1"/>
  <c r="AS424" i="13" s="1"/>
  <c r="AQ418" i="13"/>
  <c r="AP418" i="13"/>
  <c r="AM418" i="13"/>
  <c r="AN418" i="13" s="1"/>
  <c r="AS418" i="13" s="1"/>
  <c r="AQ409" i="13"/>
  <c r="AP409" i="13"/>
  <c r="AM409" i="13"/>
  <c r="AN409" i="13" s="1"/>
  <c r="AS409" i="13" s="1"/>
  <c r="AQ567" i="13"/>
  <c r="AP567" i="13"/>
  <c r="AM567" i="13"/>
  <c r="AN567" i="13" s="1"/>
  <c r="AS567" i="13" s="1"/>
  <c r="AQ564" i="13"/>
  <c r="AP564" i="13"/>
  <c r="AM564" i="13"/>
  <c r="AN564" i="13" s="1"/>
  <c r="AS564" i="13" s="1"/>
  <c r="AQ356" i="13"/>
  <c r="AP356" i="13"/>
  <c r="AM356" i="13"/>
  <c r="AN356" i="13" s="1"/>
  <c r="AS356" i="13" s="1"/>
  <c r="AQ353" i="13"/>
  <c r="AP353" i="13"/>
  <c r="AM353" i="13"/>
  <c r="AN353" i="13" s="1"/>
  <c r="AS353" i="13" s="1"/>
  <c r="AQ346" i="13"/>
  <c r="AP346" i="13"/>
  <c r="AM346" i="13"/>
  <c r="AN346" i="13" s="1"/>
  <c r="AS346" i="13" s="1"/>
  <c r="AQ561" i="13"/>
  <c r="AP561" i="13"/>
  <c r="AM561" i="13"/>
  <c r="AN561" i="13" s="1"/>
  <c r="AS561" i="13" s="1"/>
  <c r="AQ558" i="13"/>
  <c r="AP558" i="13"/>
  <c r="AM558" i="13"/>
  <c r="AN558" i="13" s="1"/>
  <c r="AS558" i="13" s="1"/>
  <c r="AQ303" i="13"/>
  <c r="AP303" i="13"/>
  <c r="AM303" i="13"/>
  <c r="AN303" i="13" s="1"/>
  <c r="AS303" i="13" s="1"/>
  <c r="AQ279" i="13"/>
  <c r="AP279" i="13"/>
  <c r="AM279" i="13"/>
  <c r="AN279" i="13" s="1"/>
  <c r="AS279" i="13" s="1"/>
  <c r="AQ262" i="13"/>
  <c r="AP262" i="13"/>
  <c r="AM262" i="13"/>
  <c r="AN262" i="13" s="1"/>
  <c r="AS262" i="13" s="1"/>
  <c r="AQ530" i="13"/>
  <c r="AP530" i="13"/>
  <c r="AM530" i="13"/>
  <c r="AN530" i="13" s="1"/>
  <c r="AS530" i="13" s="1"/>
  <c r="BT236" i="13"/>
  <c r="AQ236" i="13"/>
  <c r="AP236" i="13"/>
  <c r="AM236" i="13"/>
  <c r="AN236" i="13" s="1"/>
  <c r="AS236" i="13" s="1"/>
  <c r="BT235" i="13"/>
  <c r="AQ235" i="13"/>
  <c r="AP235" i="13"/>
  <c r="AM235" i="13"/>
  <c r="AN235" i="13" s="1"/>
  <c r="AS235" i="13" s="1"/>
  <c r="AQ583" i="13"/>
  <c r="AP583" i="13"/>
  <c r="AM583" i="13"/>
  <c r="AN583" i="13" s="1"/>
  <c r="AS583" i="13" s="1"/>
  <c r="AQ682" i="13"/>
  <c r="AP682" i="13"/>
  <c r="AM682" i="13"/>
  <c r="AN682" i="13" s="1"/>
  <c r="AS682" i="13" s="1"/>
  <c r="AQ679" i="13"/>
  <c r="AP679" i="13"/>
  <c r="AM679" i="13"/>
  <c r="AN679" i="13" s="1"/>
  <c r="AS679" i="13" s="1"/>
  <c r="AQ571" i="13"/>
  <c r="AP571" i="13"/>
  <c r="AM571" i="13"/>
  <c r="AN571" i="13" s="1"/>
  <c r="AS571" i="13" s="1"/>
  <c r="AQ674" i="13"/>
  <c r="AP674" i="13"/>
  <c r="AM674" i="13"/>
  <c r="AN674" i="13" s="1"/>
  <c r="AS674" i="13" s="1"/>
  <c r="AQ234" i="13"/>
  <c r="AP234" i="13"/>
  <c r="AM234" i="13"/>
  <c r="AN234" i="13" s="1"/>
  <c r="AS234" i="13" s="1"/>
  <c r="AQ671" i="13"/>
  <c r="AP671" i="13"/>
  <c r="AM671" i="13"/>
  <c r="AN671" i="13" s="1"/>
  <c r="AS671" i="13" s="1"/>
  <c r="AQ578" i="13"/>
  <c r="AP578" i="13"/>
  <c r="AM578" i="13"/>
  <c r="AN578" i="13" s="1"/>
  <c r="AS578" i="13" s="1"/>
  <c r="AQ562" i="13"/>
  <c r="AP562" i="13"/>
  <c r="AM562" i="13"/>
  <c r="AN562" i="13" s="1"/>
  <c r="AS562" i="13" s="1"/>
  <c r="AQ555" i="13"/>
  <c r="AP555" i="13"/>
  <c r="AM555" i="13"/>
  <c r="AN555" i="13" s="1"/>
  <c r="AS555" i="13" s="1"/>
  <c r="AQ417" i="13"/>
  <c r="AP417" i="13"/>
  <c r="AM417" i="13"/>
  <c r="AN417" i="13" s="1"/>
  <c r="AS417" i="13" s="1"/>
  <c r="BT389" i="13"/>
  <c r="AQ389" i="13"/>
  <c r="AP389" i="13"/>
  <c r="AL389" i="13"/>
  <c r="AK389" i="13"/>
  <c r="AJ389" i="13"/>
  <c r="AI389" i="13"/>
  <c r="AH389" i="13"/>
  <c r="AG389" i="13"/>
  <c r="AQ388" i="13"/>
  <c r="AP388" i="13"/>
  <c r="AM388" i="13"/>
  <c r="AN388" i="13" s="1"/>
  <c r="AS388" i="13" s="1"/>
  <c r="AQ387" i="13"/>
  <c r="AP387" i="13"/>
  <c r="AM387" i="13"/>
  <c r="AN387" i="13" s="1"/>
  <c r="AS387" i="13" s="1"/>
  <c r="AQ361" i="13"/>
  <c r="AP361" i="13"/>
  <c r="AM361" i="13"/>
  <c r="AN361" i="13" s="1"/>
  <c r="AS361" i="13" s="1"/>
  <c r="AQ386" i="13"/>
  <c r="AP386" i="13"/>
  <c r="AM386" i="13"/>
  <c r="AN386" i="13" s="1"/>
  <c r="AS386" i="13" s="1"/>
  <c r="AQ360" i="13"/>
  <c r="AP360" i="13"/>
  <c r="AM360" i="13"/>
  <c r="AN360" i="13" s="1"/>
  <c r="AS360" i="13" s="1"/>
  <c r="AQ233" i="13"/>
  <c r="AP233" i="13"/>
  <c r="AM233" i="13"/>
  <c r="AN233" i="13" s="1"/>
  <c r="AS233" i="13" s="1"/>
  <c r="AQ232" i="13"/>
  <c r="AP232" i="13"/>
  <c r="AM232" i="13"/>
  <c r="AN232" i="13" s="1"/>
  <c r="AS232" i="13" s="1"/>
  <c r="AQ521" i="13"/>
  <c r="AP521" i="13"/>
  <c r="AM521" i="13"/>
  <c r="AN521" i="13" s="1"/>
  <c r="AS521" i="13" s="1"/>
  <c r="BT334" i="13"/>
  <c r="AQ334" i="13"/>
  <c r="AP334" i="13"/>
  <c r="AM334" i="13"/>
  <c r="AN334" i="13" s="1"/>
  <c r="AS334" i="13" s="1"/>
  <c r="BT333" i="13"/>
  <c r="AQ333" i="13"/>
  <c r="AP333" i="13"/>
  <c r="AM333" i="13"/>
  <c r="AN333" i="13" s="1"/>
  <c r="AS333" i="13" s="1"/>
  <c r="AQ110" i="13"/>
  <c r="AP110" i="13"/>
  <c r="AM110" i="13"/>
  <c r="AN110" i="13" s="1"/>
  <c r="AS110" i="13" s="1"/>
  <c r="AQ477" i="13"/>
  <c r="AP477" i="13"/>
  <c r="AM477" i="13"/>
  <c r="AN477" i="13" s="1"/>
  <c r="AS477" i="13" s="1"/>
  <c r="AQ231" i="13"/>
  <c r="AP231" i="13"/>
  <c r="AM231" i="13"/>
  <c r="AN231" i="13" s="1"/>
  <c r="AS231" i="13" s="1"/>
  <c r="AQ321" i="13"/>
  <c r="AP321" i="13"/>
  <c r="AM321" i="13"/>
  <c r="AN321" i="13" s="1"/>
  <c r="AS321" i="13" s="1"/>
  <c r="AQ230" i="13"/>
  <c r="AP230" i="13"/>
  <c r="AM230" i="13"/>
  <c r="AN230" i="13" s="1"/>
  <c r="AS230" i="13" s="1"/>
  <c r="BT229" i="13"/>
  <c r="AQ229" i="13"/>
  <c r="AP229" i="13"/>
  <c r="AM229" i="13"/>
  <c r="AN229" i="13" s="1"/>
  <c r="AS229" i="13" s="1"/>
  <c r="BT228" i="13"/>
  <c r="AQ228" i="13"/>
  <c r="AP228" i="13"/>
  <c r="AM228" i="13"/>
  <c r="AN228" i="13" s="1"/>
  <c r="AS228" i="13" s="1"/>
  <c r="AQ227" i="13"/>
  <c r="AP227" i="13"/>
  <c r="AM227" i="13"/>
  <c r="AN227" i="13" s="1"/>
  <c r="AS227" i="13" s="1"/>
  <c r="AQ226" i="13"/>
  <c r="AP226" i="13"/>
  <c r="AM226" i="13"/>
  <c r="AN226" i="13" s="1"/>
  <c r="AS226" i="13" s="1"/>
  <c r="BT225" i="13"/>
  <c r="AQ225" i="13"/>
  <c r="AP225" i="13"/>
  <c r="AM225" i="13"/>
  <c r="AN225" i="13" s="1"/>
  <c r="AS225" i="13" s="1"/>
  <c r="AQ224" i="13"/>
  <c r="AP224" i="13"/>
  <c r="AM224" i="13"/>
  <c r="AN224" i="13" s="1"/>
  <c r="AS224" i="13" s="1"/>
  <c r="AQ223" i="13"/>
  <c r="AP223" i="13"/>
  <c r="AM223" i="13"/>
  <c r="AN223" i="13" s="1"/>
  <c r="AS223" i="13" s="1"/>
  <c r="AQ222" i="13"/>
  <c r="AP222" i="13"/>
  <c r="AM222" i="13"/>
  <c r="AN222" i="13" s="1"/>
  <c r="AS222" i="13" s="1"/>
  <c r="AQ221" i="13"/>
  <c r="AP221" i="13"/>
  <c r="AM221" i="13"/>
  <c r="AN221" i="13" s="1"/>
  <c r="AS221" i="13" s="1"/>
  <c r="BT220" i="13"/>
  <c r="AQ220" i="13"/>
  <c r="AP220" i="13"/>
  <c r="AM220" i="13"/>
  <c r="AN220" i="13" s="1"/>
  <c r="AS220" i="13" s="1"/>
  <c r="BT219" i="13"/>
  <c r="AQ219" i="13"/>
  <c r="AP219" i="13"/>
  <c r="AM219" i="13"/>
  <c r="AN219" i="13" s="1"/>
  <c r="AS219" i="13" s="1"/>
  <c r="BT218" i="13"/>
  <c r="AQ218" i="13"/>
  <c r="AP218" i="13"/>
  <c r="AM218" i="13"/>
  <c r="AN218" i="13" s="1"/>
  <c r="AS218" i="13" s="1"/>
  <c r="BT217" i="13"/>
  <c r="AQ217" i="13"/>
  <c r="AP217" i="13"/>
  <c r="AM217" i="13"/>
  <c r="AN217" i="13" s="1"/>
  <c r="AS217" i="13" s="1"/>
  <c r="BT216" i="13"/>
  <c r="AQ216" i="13"/>
  <c r="AP216" i="13"/>
  <c r="AM216" i="13"/>
  <c r="AN216" i="13" s="1"/>
  <c r="AS216" i="13" s="1"/>
  <c r="AQ500" i="13"/>
  <c r="AP500" i="13"/>
  <c r="AM500" i="13"/>
  <c r="AN500" i="13" s="1"/>
  <c r="AS500" i="13" s="1"/>
  <c r="AQ499" i="13"/>
  <c r="AP499" i="13"/>
  <c r="AM499" i="13"/>
  <c r="AN499" i="13" s="1"/>
  <c r="AS499" i="13" s="1"/>
  <c r="AQ498" i="13"/>
  <c r="AP498" i="13"/>
  <c r="AM498" i="13"/>
  <c r="AN498" i="13" s="1"/>
  <c r="AS498" i="13" s="1"/>
  <c r="BT215" i="13"/>
  <c r="AQ215" i="13"/>
  <c r="AP215" i="13"/>
  <c r="AM215" i="13"/>
  <c r="AN215" i="13" s="1"/>
  <c r="AS215" i="13" s="1"/>
  <c r="AQ650" i="13"/>
  <c r="AP650" i="13"/>
  <c r="AM650" i="13"/>
  <c r="AN650" i="13" s="1"/>
  <c r="AS650" i="13" s="1"/>
  <c r="AQ623" i="13"/>
  <c r="AP623" i="13"/>
  <c r="AM623" i="13"/>
  <c r="AN623" i="13" s="1"/>
  <c r="AS623" i="13" s="1"/>
  <c r="AQ552" i="13"/>
  <c r="AP552" i="13"/>
  <c r="AM552" i="13"/>
  <c r="AN552" i="13" s="1"/>
  <c r="AS552" i="13" s="1"/>
  <c r="AQ539" i="13"/>
  <c r="AP539" i="13"/>
  <c r="AM539" i="13"/>
  <c r="AN539" i="13" s="1"/>
  <c r="AS539" i="13" s="1"/>
  <c r="AQ649" i="13"/>
  <c r="AP649" i="13"/>
  <c r="AM649" i="13"/>
  <c r="AN649" i="13" s="1"/>
  <c r="AS649" i="13" s="1"/>
  <c r="AQ551" i="13"/>
  <c r="AP551" i="13"/>
  <c r="AM551" i="13"/>
  <c r="AN551" i="13" s="1"/>
  <c r="AS551" i="13" s="1"/>
  <c r="AQ214" i="13"/>
  <c r="AP214" i="13"/>
  <c r="AM214" i="13"/>
  <c r="AN214" i="13" s="1"/>
  <c r="AS214" i="13" s="1"/>
  <c r="AQ302" i="13"/>
  <c r="AP302" i="13"/>
  <c r="AM302" i="13"/>
  <c r="AN302" i="13" s="1"/>
  <c r="AS302" i="13" s="1"/>
  <c r="BT213" i="13"/>
  <c r="AQ213" i="13"/>
  <c r="AP213" i="13"/>
  <c r="AM213" i="13"/>
  <c r="AN213" i="13" s="1"/>
  <c r="AS213" i="13" s="1"/>
  <c r="BT212" i="13"/>
  <c r="AQ212" i="13"/>
  <c r="AP212" i="13"/>
  <c r="AM212" i="13"/>
  <c r="AN212" i="13" s="1"/>
  <c r="AS212" i="13" s="1"/>
  <c r="BT301" i="13"/>
  <c r="AQ301" i="13"/>
  <c r="AP301" i="13"/>
  <c r="AJ301" i="13"/>
  <c r="AM301" i="13" s="1"/>
  <c r="AN301" i="13" s="1"/>
  <c r="AS301" i="13" s="1"/>
  <c r="BT300" i="13"/>
  <c r="AQ300" i="13"/>
  <c r="AP300" i="13"/>
  <c r="AJ300" i="13"/>
  <c r="AM300" i="13" s="1"/>
  <c r="AN300" i="13" s="1"/>
  <c r="AS300" i="13" s="1"/>
  <c r="AQ299" i="13"/>
  <c r="AP299" i="13"/>
  <c r="AM299" i="13"/>
  <c r="AN299" i="13" s="1"/>
  <c r="AS299" i="13" s="1"/>
  <c r="AQ298" i="13"/>
  <c r="AP298" i="13"/>
  <c r="AM298" i="13"/>
  <c r="AN298" i="13" s="1"/>
  <c r="AS298" i="13" s="1"/>
  <c r="BT297" i="13"/>
  <c r="AQ297" i="13"/>
  <c r="AP297" i="13"/>
  <c r="AM297" i="13"/>
  <c r="AN297" i="13" s="1"/>
  <c r="AS297" i="13" s="1"/>
  <c r="AQ112" i="13"/>
  <c r="AP112" i="13"/>
  <c r="AM112" i="13"/>
  <c r="AN112" i="13" s="1"/>
  <c r="AS112" i="13" s="1"/>
  <c r="AQ211" i="13"/>
  <c r="AP211" i="13"/>
  <c r="AK211" i="13"/>
  <c r="AJ211" i="13"/>
  <c r="AH211" i="13"/>
  <c r="AG211" i="13"/>
  <c r="AQ210" i="13"/>
  <c r="AP210" i="13"/>
  <c r="AK210" i="13"/>
  <c r="AJ210" i="13"/>
  <c r="AH210" i="13"/>
  <c r="AG210" i="13"/>
  <c r="AQ209" i="13"/>
  <c r="AP209" i="13"/>
  <c r="AM209" i="13"/>
  <c r="AN209" i="13" s="1"/>
  <c r="AS209" i="13" s="1"/>
  <c r="BT208" i="13"/>
  <c r="AQ208" i="13"/>
  <c r="AP208" i="13"/>
  <c r="AM208" i="13"/>
  <c r="AN208" i="13" s="1"/>
  <c r="AS208" i="13" s="1"/>
  <c r="BT207" i="13"/>
  <c r="AQ207" i="13"/>
  <c r="AP207" i="13"/>
  <c r="AM207" i="13"/>
  <c r="AN207" i="13" s="1"/>
  <c r="AS207" i="13" s="1"/>
  <c r="BT206" i="13"/>
  <c r="AQ206" i="13"/>
  <c r="AP206" i="13"/>
  <c r="AM206" i="13"/>
  <c r="AN206" i="13" s="1"/>
  <c r="AS206" i="13" s="1"/>
  <c r="BT205" i="13"/>
  <c r="AQ205" i="13"/>
  <c r="AP205" i="13"/>
  <c r="AM205" i="13"/>
  <c r="AN205" i="13" s="1"/>
  <c r="AS205" i="13" s="1"/>
  <c r="BT204" i="13"/>
  <c r="AQ204" i="13"/>
  <c r="AP204" i="13"/>
  <c r="AM204" i="13"/>
  <c r="AN204" i="13" s="1"/>
  <c r="AS204" i="13" s="1"/>
  <c r="BT203" i="13"/>
  <c r="AQ203" i="13"/>
  <c r="AP203" i="13"/>
  <c r="AM203" i="13"/>
  <c r="AN203" i="13" s="1"/>
  <c r="AS203" i="13" s="1"/>
  <c r="AQ202" i="13"/>
  <c r="AP202" i="13"/>
  <c r="AM202" i="13"/>
  <c r="AN202" i="13" s="1"/>
  <c r="AS202" i="13" s="1"/>
  <c r="AQ201" i="13"/>
  <c r="AP201" i="13"/>
  <c r="AM201" i="13"/>
  <c r="AN201" i="13" s="1"/>
  <c r="AS201" i="13" s="1"/>
  <c r="AQ648" i="13"/>
  <c r="AP648" i="13"/>
  <c r="AM648" i="13"/>
  <c r="AN648" i="13" s="1"/>
  <c r="AS648" i="13" s="1"/>
  <c r="AQ647" i="13"/>
  <c r="AP647" i="13"/>
  <c r="AM647" i="13"/>
  <c r="AN647" i="13" s="1"/>
  <c r="AS647" i="13" s="1"/>
  <c r="BT296" i="13"/>
  <c r="AQ296" i="13"/>
  <c r="AP296" i="13"/>
  <c r="AM296" i="13"/>
  <c r="AN296" i="13" s="1"/>
  <c r="AS296" i="13" s="1"/>
  <c r="AQ497" i="13"/>
  <c r="AP497" i="13"/>
  <c r="AM497" i="13"/>
  <c r="AN497" i="13" s="1"/>
  <c r="AS497" i="13" s="1"/>
  <c r="AQ646" i="13"/>
  <c r="AP646" i="13"/>
  <c r="AM646" i="13"/>
  <c r="AN646" i="13" s="1"/>
  <c r="AS646" i="13" s="1"/>
  <c r="AQ295" i="13"/>
  <c r="AP295" i="13"/>
  <c r="AM295" i="13"/>
  <c r="AN295" i="13" s="1"/>
  <c r="AS295" i="13" s="1"/>
  <c r="AQ261" i="13"/>
  <c r="AP261" i="13"/>
  <c r="AM261" i="13"/>
  <c r="AN261" i="13" s="1"/>
  <c r="AS261" i="13" s="1"/>
  <c r="AQ672" i="13"/>
  <c r="AP672" i="13"/>
  <c r="AM672" i="13"/>
  <c r="AN672" i="13" s="1"/>
  <c r="AS672" i="13" s="1"/>
  <c r="AQ645" i="13"/>
  <c r="AP645" i="13"/>
  <c r="AM645" i="13"/>
  <c r="AN645" i="13" s="1"/>
  <c r="AS645" i="13" s="1"/>
  <c r="AQ520" i="13"/>
  <c r="AP520" i="13"/>
  <c r="AM520" i="13"/>
  <c r="AN520" i="13" s="1"/>
  <c r="AS520" i="13" s="1"/>
  <c r="AQ644" i="13"/>
  <c r="AP644" i="13"/>
  <c r="AM644" i="13"/>
  <c r="AN644" i="13" s="1"/>
  <c r="AS644" i="13" s="1"/>
  <c r="AQ550" i="13"/>
  <c r="AP550" i="13"/>
  <c r="AM550" i="13"/>
  <c r="AN550" i="13" s="1"/>
  <c r="AS550" i="13" s="1"/>
  <c r="AQ686" i="13"/>
  <c r="AP686" i="13"/>
  <c r="AM686" i="13"/>
  <c r="AN686" i="13" s="1"/>
  <c r="AS686" i="13" s="1"/>
  <c r="AQ200" i="13"/>
  <c r="AP200" i="13"/>
  <c r="AM200" i="13"/>
  <c r="AN200" i="13" s="1"/>
  <c r="AS200" i="13" s="1"/>
  <c r="AQ199" i="13"/>
  <c r="AP199" i="13"/>
  <c r="AJ199" i="13"/>
  <c r="AM199" i="13" s="1"/>
  <c r="AN199" i="13" s="1"/>
  <c r="AS199" i="13" s="1"/>
  <c r="AQ423" i="13"/>
  <c r="AP423" i="13"/>
  <c r="AM423" i="13"/>
  <c r="AN423" i="13" s="1"/>
  <c r="AS423" i="13" s="1"/>
  <c r="AQ566" i="13"/>
  <c r="AP566" i="13"/>
  <c r="AM566" i="13"/>
  <c r="AN566" i="13" s="1"/>
  <c r="AS566" i="13" s="1"/>
  <c r="AQ355" i="13"/>
  <c r="AP355" i="13"/>
  <c r="AM355" i="13"/>
  <c r="AN355" i="13" s="1"/>
  <c r="AS355" i="13" s="1"/>
  <c r="AQ560" i="13"/>
  <c r="AP560" i="13"/>
  <c r="AM560" i="13"/>
  <c r="AN560" i="13" s="1"/>
  <c r="AS560" i="13" s="1"/>
  <c r="AQ294" i="13"/>
  <c r="AP294" i="13"/>
  <c r="AM294" i="13"/>
  <c r="AN294" i="13" s="1"/>
  <c r="AS294" i="13" s="1"/>
  <c r="AQ198" i="13"/>
  <c r="AP198" i="13"/>
  <c r="AK198" i="13"/>
  <c r="AJ198" i="13"/>
  <c r="AH198" i="13"/>
  <c r="AG198" i="13"/>
  <c r="AQ582" i="13"/>
  <c r="AP582" i="13"/>
  <c r="AM582" i="13"/>
  <c r="AN582" i="13" s="1"/>
  <c r="AS582" i="13" s="1"/>
  <c r="BT197" i="13"/>
  <c r="AQ197" i="13"/>
  <c r="AP197" i="13"/>
  <c r="AM197" i="13"/>
  <c r="AN197" i="13" s="1"/>
  <c r="AS197" i="13" s="1"/>
  <c r="BT196" i="13"/>
  <c r="AQ196" i="13"/>
  <c r="AP196" i="13"/>
  <c r="AM196" i="13"/>
  <c r="AN196" i="13" s="1"/>
  <c r="AS196" i="13" s="1"/>
  <c r="BT195" i="13"/>
  <c r="AQ195" i="13"/>
  <c r="AP195" i="13"/>
  <c r="AM195" i="13"/>
  <c r="AN195" i="13" s="1"/>
  <c r="AS195" i="13" s="1"/>
  <c r="BT194" i="13"/>
  <c r="AQ194" i="13"/>
  <c r="AP194" i="13"/>
  <c r="AM194" i="13"/>
  <c r="AN194" i="13" s="1"/>
  <c r="AS194" i="13" s="1"/>
  <c r="AQ193" i="13"/>
  <c r="AP193" i="13"/>
  <c r="AM193" i="13"/>
  <c r="AN193" i="13" s="1"/>
  <c r="AS193" i="13" s="1"/>
  <c r="AQ192" i="13"/>
  <c r="AP192" i="13"/>
  <c r="AM192" i="13"/>
  <c r="AN192" i="13" s="1"/>
  <c r="AS192" i="13" s="1"/>
  <c r="BT191" i="13"/>
  <c r="AQ191" i="13"/>
  <c r="AP191" i="13"/>
  <c r="AM191" i="13"/>
  <c r="AN191" i="13" s="1"/>
  <c r="AS191" i="13" s="1"/>
  <c r="AQ332" i="13"/>
  <c r="AP332" i="13"/>
  <c r="AK332" i="13"/>
  <c r="AJ332" i="13"/>
  <c r="AH332" i="13"/>
  <c r="AG332" i="13"/>
  <c r="AQ293" i="13"/>
  <c r="AP293" i="13"/>
  <c r="AM293" i="13"/>
  <c r="AN293" i="13" s="1"/>
  <c r="AS293" i="13" s="1"/>
  <c r="BT190" i="13"/>
  <c r="AQ190" i="13"/>
  <c r="AP190" i="13"/>
  <c r="AM190" i="13"/>
  <c r="AN190" i="13" s="1"/>
  <c r="AS190" i="13" s="1"/>
  <c r="AQ189" i="13"/>
  <c r="AP189" i="13"/>
  <c r="AM189" i="13"/>
  <c r="AN189" i="13" s="1"/>
  <c r="AS189" i="13" s="1"/>
  <c r="AQ292" i="13"/>
  <c r="AP292" i="13"/>
  <c r="AM292" i="13"/>
  <c r="AN292" i="13" s="1"/>
  <c r="AS292" i="13" s="1"/>
  <c r="BT385" i="13"/>
  <c r="AQ385" i="13"/>
  <c r="AP385" i="13"/>
  <c r="AM385" i="13"/>
  <c r="AN385" i="13" s="1"/>
  <c r="AS385" i="13" s="1"/>
  <c r="BT384" i="13"/>
  <c r="AQ384" i="13"/>
  <c r="AP384" i="13"/>
  <c r="AM384" i="13"/>
  <c r="AN384" i="13" s="1"/>
  <c r="AS384" i="13" s="1"/>
  <c r="AQ188" i="13"/>
  <c r="AP188" i="13"/>
  <c r="AK188" i="13"/>
  <c r="AJ188" i="13"/>
  <c r="AH188" i="13"/>
  <c r="AG188" i="13"/>
  <c r="AQ111" i="13"/>
  <c r="AP111" i="13"/>
  <c r="AM111" i="13"/>
  <c r="AN111" i="13" s="1"/>
  <c r="AS111" i="13" s="1"/>
  <c r="AQ187" i="13"/>
  <c r="AP187" i="13"/>
  <c r="AM187" i="13"/>
  <c r="AN187" i="13" s="1"/>
  <c r="AS187" i="13" s="1"/>
  <c r="BT186" i="13"/>
  <c r="AQ186" i="13"/>
  <c r="AP186" i="13"/>
  <c r="AM186" i="13"/>
  <c r="AN186" i="13" s="1"/>
  <c r="AS186" i="13" s="1"/>
  <c r="BT185" i="13"/>
  <c r="AQ185" i="13"/>
  <c r="AP185" i="13"/>
  <c r="AM185" i="13"/>
  <c r="AN185" i="13" s="1"/>
  <c r="AS185" i="13" s="1"/>
  <c r="BT184" i="13"/>
  <c r="AQ184" i="13"/>
  <c r="AP184" i="13"/>
  <c r="AM184" i="13"/>
  <c r="AN184" i="13" s="1"/>
  <c r="AS184" i="13" s="1"/>
  <c r="BT183" i="13"/>
  <c r="AQ183" i="13"/>
  <c r="AP183" i="13"/>
  <c r="AM183" i="13"/>
  <c r="AN183" i="13" s="1"/>
  <c r="AS183" i="13" s="1"/>
  <c r="BT181" i="13"/>
  <c r="AQ181" i="13"/>
  <c r="AP181" i="13"/>
  <c r="AM181" i="13"/>
  <c r="AN181" i="13" s="1"/>
  <c r="AS181" i="13" s="1"/>
  <c r="BT180" i="13"/>
  <c r="AQ180" i="13"/>
  <c r="AP180" i="13"/>
  <c r="AM180" i="13"/>
  <c r="AN180" i="13" s="1"/>
  <c r="AS180" i="13" s="1"/>
  <c r="BT179" i="13"/>
  <c r="AQ179" i="13"/>
  <c r="AP179" i="13"/>
  <c r="AM179" i="13"/>
  <c r="AN179" i="13" s="1"/>
  <c r="AS179" i="13" s="1"/>
  <c r="BT178" i="13"/>
  <c r="AQ178" i="13"/>
  <c r="AP178" i="13"/>
  <c r="AM178" i="13"/>
  <c r="AN178" i="13" s="1"/>
  <c r="AS178" i="13" s="1"/>
  <c r="BT177" i="13"/>
  <c r="AQ177" i="13"/>
  <c r="AP177" i="13"/>
  <c r="AM177" i="13"/>
  <c r="AN177" i="13" s="1"/>
  <c r="AS177" i="13" s="1"/>
  <c r="BT176" i="13"/>
  <c r="AQ176" i="13"/>
  <c r="AP176" i="13"/>
  <c r="AM176" i="13"/>
  <c r="AN176" i="13" s="1"/>
  <c r="AS176" i="13" s="1"/>
  <c r="BT175" i="13"/>
  <c r="AQ175" i="13"/>
  <c r="AP175" i="13"/>
  <c r="AM175" i="13"/>
  <c r="AN175" i="13" s="1"/>
  <c r="AS175" i="13" s="1"/>
  <c r="BT172" i="13"/>
  <c r="AQ172" i="13"/>
  <c r="AP172" i="13"/>
  <c r="AM172" i="13"/>
  <c r="AN172" i="13" s="1"/>
  <c r="AS172" i="13" s="1"/>
  <c r="AQ171" i="13"/>
  <c r="AP171" i="13"/>
  <c r="AK171" i="13"/>
  <c r="AJ171" i="13"/>
  <c r="AH171" i="13"/>
  <c r="AG171" i="13"/>
  <c r="BT170" i="13"/>
  <c r="AQ170" i="13"/>
  <c r="AP170" i="13"/>
  <c r="AM170" i="13"/>
  <c r="AN170" i="13" s="1"/>
  <c r="AS170" i="13" s="1"/>
  <c r="BT169" i="13"/>
  <c r="AQ169" i="13"/>
  <c r="AP169" i="13"/>
  <c r="AM169" i="13"/>
  <c r="AN169" i="13" s="1"/>
  <c r="AS169" i="13" s="1"/>
  <c r="BT168" i="13"/>
  <c r="AQ168" i="13"/>
  <c r="AP168" i="13"/>
  <c r="AM168" i="13"/>
  <c r="AN168" i="13" s="1"/>
  <c r="AS168" i="13" s="1"/>
  <c r="BT167" i="13"/>
  <c r="AQ167" i="13"/>
  <c r="AP167" i="13"/>
  <c r="AM167" i="13"/>
  <c r="AN167" i="13" s="1"/>
  <c r="AS167" i="13" s="1"/>
  <c r="BT166" i="13"/>
  <c r="AQ166" i="13"/>
  <c r="AP166" i="13"/>
  <c r="AM166" i="13"/>
  <c r="AN166" i="13" s="1"/>
  <c r="AS166" i="13" s="1"/>
  <c r="BT165" i="13"/>
  <c r="AQ165" i="13"/>
  <c r="AP165" i="13"/>
  <c r="AM165" i="13"/>
  <c r="AN165" i="13" s="1"/>
  <c r="AS165" i="13" s="1"/>
  <c r="BT164" i="13"/>
  <c r="AQ164" i="13"/>
  <c r="AP164" i="13"/>
  <c r="AM164" i="13"/>
  <c r="AN164" i="13" s="1"/>
  <c r="AS164" i="13" s="1"/>
  <c r="BT163" i="13"/>
  <c r="AQ163" i="13"/>
  <c r="AP163" i="13"/>
  <c r="AM163" i="13"/>
  <c r="AN163" i="13" s="1"/>
  <c r="AS163" i="13" s="1"/>
  <c r="BT162" i="13"/>
  <c r="AQ162" i="13"/>
  <c r="AP162" i="13"/>
  <c r="AM162" i="13"/>
  <c r="AN162" i="13" s="1"/>
  <c r="AS162" i="13" s="1"/>
  <c r="BT161" i="13"/>
  <c r="AQ161" i="13"/>
  <c r="AP161" i="13"/>
  <c r="AM161" i="13"/>
  <c r="AN161" i="13" s="1"/>
  <c r="AS161" i="13" s="1"/>
  <c r="BT160" i="13"/>
  <c r="AQ160" i="13"/>
  <c r="AP160" i="13"/>
  <c r="AM160" i="13"/>
  <c r="AN160" i="13" s="1"/>
  <c r="AS160" i="13" s="1"/>
  <c r="BT159" i="13"/>
  <c r="AQ159" i="13"/>
  <c r="AP159" i="13"/>
  <c r="AM159" i="13"/>
  <c r="AN159" i="13" s="1"/>
  <c r="AS159" i="13" s="1"/>
  <c r="BT158" i="13"/>
  <c r="AQ158" i="13"/>
  <c r="AP158" i="13"/>
  <c r="AM158" i="13"/>
  <c r="AN158" i="13" s="1"/>
  <c r="AS158" i="13" s="1"/>
  <c r="BT157" i="13"/>
  <c r="AQ157" i="13"/>
  <c r="AP157" i="13"/>
  <c r="AM157" i="13"/>
  <c r="AN157" i="13" s="1"/>
  <c r="AS157" i="13" s="1"/>
  <c r="BT156" i="13"/>
  <c r="AQ156" i="13"/>
  <c r="AP156" i="13"/>
  <c r="AM156" i="13"/>
  <c r="AN156" i="13" s="1"/>
  <c r="AS156" i="13" s="1"/>
  <c r="BT155" i="13"/>
  <c r="AQ155" i="13"/>
  <c r="AP155" i="13"/>
  <c r="AM155" i="13"/>
  <c r="AN155" i="13" s="1"/>
  <c r="AS155" i="13" s="1"/>
  <c r="BT154" i="13"/>
  <c r="AQ154" i="13"/>
  <c r="AP154" i="13"/>
  <c r="AM154" i="13"/>
  <c r="AN154" i="13" s="1"/>
  <c r="AS154" i="13" s="1"/>
  <c r="BT153" i="13"/>
  <c r="AQ153" i="13"/>
  <c r="AP153" i="13"/>
  <c r="AM153" i="13"/>
  <c r="AN153" i="13" s="1"/>
  <c r="AS153" i="13" s="1"/>
  <c r="BT152" i="13"/>
  <c r="AQ152" i="13"/>
  <c r="AP152" i="13"/>
  <c r="AM152" i="13"/>
  <c r="AN152" i="13" s="1"/>
  <c r="AS152" i="13" s="1"/>
  <c r="BT151" i="13"/>
  <c r="AQ151" i="13"/>
  <c r="AP151" i="13"/>
  <c r="AM151" i="13"/>
  <c r="AN151" i="13" s="1"/>
  <c r="AS151" i="13" s="1"/>
  <c r="BT150" i="13"/>
  <c r="AQ150" i="13"/>
  <c r="AP150" i="13"/>
  <c r="AM150" i="13"/>
  <c r="AN150" i="13" s="1"/>
  <c r="AS150" i="13" s="1"/>
  <c r="BT149" i="13"/>
  <c r="AQ149" i="13"/>
  <c r="AP149" i="13"/>
  <c r="AM149" i="13"/>
  <c r="AN149" i="13" s="1"/>
  <c r="AS149" i="13" s="1"/>
  <c r="BT148" i="13"/>
  <c r="AQ148" i="13"/>
  <c r="AP148" i="13"/>
  <c r="AM148" i="13"/>
  <c r="AN148" i="13" s="1"/>
  <c r="AS148" i="13" s="1"/>
  <c r="BT147" i="13"/>
  <c r="AQ147" i="13"/>
  <c r="AP147" i="13"/>
  <c r="AM147" i="13"/>
  <c r="AN147" i="13" s="1"/>
  <c r="AS147" i="13" s="1"/>
  <c r="BT146" i="13"/>
  <c r="AQ146" i="13"/>
  <c r="AP146" i="13"/>
  <c r="AM146" i="13"/>
  <c r="AN146" i="13" s="1"/>
  <c r="AS146" i="13" s="1"/>
  <c r="BT145" i="13"/>
  <c r="AQ145" i="13"/>
  <c r="AP145" i="13"/>
  <c r="AM145" i="13"/>
  <c r="AN145" i="13" s="1"/>
  <c r="AS145" i="13" s="1"/>
  <c r="AQ144" i="13"/>
  <c r="AP144" i="13"/>
  <c r="AK144" i="13"/>
  <c r="AJ144" i="13"/>
  <c r="AH144" i="13"/>
  <c r="AG144" i="13"/>
  <c r="AQ143" i="13"/>
  <c r="AP143" i="13"/>
  <c r="AM143" i="13"/>
  <c r="AN143" i="13" s="1"/>
  <c r="AS143" i="13" s="1"/>
  <c r="BT142" i="13"/>
  <c r="AQ142" i="13"/>
  <c r="AP142" i="13"/>
  <c r="AM142" i="13"/>
  <c r="AN142" i="13" s="1"/>
  <c r="AS142" i="13" s="1"/>
  <c r="BT141" i="13"/>
  <c r="AQ141" i="13"/>
  <c r="AP141" i="13"/>
  <c r="AM141" i="13"/>
  <c r="AN141" i="13" s="1"/>
  <c r="AS141" i="13" s="1"/>
  <c r="AQ140" i="13"/>
  <c r="AP140" i="13"/>
  <c r="AM140" i="13"/>
  <c r="AN140" i="13" s="1"/>
  <c r="AS140" i="13" s="1"/>
  <c r="BT139" i="13"/>
  <c r="AQ139" i="13"/>
  <c r="AP139" i="13"/>
  <c r="AM139" i="13"/>
  <c r="AN139" i="13" s="1"/>
  <c r="AS139" i="13" s="1"/>
  <c r="BT138" i="13"/>
  <c r="AQ138" i="13"/>
  <c r="AP138" i="13"/>
  <c r="AM138" i="13"/>
  <c r="AN138" i="13" s="1"/>
  <c r="AS138" i="13" s="1"/>
  <c r="BT137" i="13"/>
  <c r="AQ137" i="13"/>
  <c r="AP137" i="13"/>
  <c r="AM137" i="13"/>
  <c r="AN137" i="13" s="1"/>
  <c r="AS137" i="13" s="1"/>
  <c r="AQ291" i="13"/>
  <c r="AP291" i="13"/>
  <c r="AM291" i="13"/>
  <c r="AN291" i="13" s="1"/>
  <c r="AS291" i="13" s="1"/>
  <c r="AP136" i="13"/>
  <c r="AB136" i="13"/>
  <c r="AM136" i="13" s="1"/>
  <c r="AN136" i="13" s="1"/>
  <c r="AS136" i="13" s="1"/>
  <c r="AQ109" i="13"/>
  <c r="AP109" i="13"/>
  <c r="AM109" i="13"/>
  <c r="AN109" i="13" s="1"/>
  <c r="AS109" i="13" s="1"/>
  <c r="AQ108" i="13"/>
  <c r="AP108" i="13"/>
  <c r="AM108" i="13"/>
  <c r="AN108" i="13" s="1"/>
  <c r="AS108" i="13" s="1"/>
  <c r="AQ107" i="13"/>
  <c r="AP107" i="13"/>
  <c r="AM107" i="13"/>
  <c r="AN107" i="13" s="1"/>
  <c r="AS107" i="13" s="1"/>
  <c r="AQ24" i="13"/>
  <c r="AP24" i="13"/>
  <c r="AM24" i="13"/>
  <c r="AN24" i="13" s="1"/>
  <c r="AS24" i="13" s="1"/>
  <c r="AQ448" i="13"/>
  <c r="AP448" i="13"/>
  <c r="AM448" i="13"/>
  <c r="AN448" i="13" s="1"/>
  <c r="AS448" i="13" s="1"/>
  <c r="AQ447" i="13"/>
  <c r="AP447" i="13"/>
  <c r="AM447" i="13"/>
  <c r="AN447" i="13" s="1"/>
  <c r="AS447" i="13" s="1"/>
  <c r="AQ345" i="13"/>
  <c r="AP345" i="13"/>
  <c r="AM345" i="13"/>
  <c r="AN345" i="13" s="1"/>
  <c r="AS345" i="13" s="1"/>
  <c r="AQ344" i="13"/>
  <c r="AP344" i="13"/>
  <c r="AM344" i="13"/>
  <c r="AN344" i="13" s="1"/>
  <c r="AS344" i="13" s="1"/>
  <c r="AQ373" i="13"/>
  <c r="AP373" i="13"/>
  <c r="AM373" i="13"/>
  <c r="AN373" i="13" s="1"/>
  <c r="AS373" i="13" s="1"/>
  <c r="AQ320" i="13"/>
  <c r="AP320" i="13"/>
  <c r="AM320" i="13"/>
  <c r="AN320" i="13" s="1"/>
  <c r="AS320" i="13" s="1"/>
  <c r="AQ106" i="13"/>
  <c r="AP106" i="13"/>
  <c r="AM106" i="13"/>
  <c r="AN106" i="13" s="1"/>
  <c r="AS106" i="13" s="1"/>
  <c r="AQ496" i="13"/>
  <c r="AP496" i="13"/>
  <c r="AM496" i="13"/>
  <c r="AN496" i="13" s="1"/>
  <c r="AS496" i="13" s="1"/>
  <c r="AQ476" i="13"/>
  <c r="AP476" i="13"/>
  <c r="AM476" i="13"/>
  <c r="AN476" i="13" s="1"/>
  <c r="AS476" i="13" s="1"/>
  <c r="AQ105" i="13"/>
  <c r="AP105" i="13"/>
  <c r="AM105" i="13"/>
  <c r="AN105" i="13" s="1"/>
  <c r="AS105" i="13" s="1"/>
  <c r="AQ104" i="13"/>
  <c r="AP104" i="13"/>
  <c r="AH104" i="13"/>
  <c r="AM104" i="13" s="1"/>
  <c r="AN104" i="13" s="1"/>
  <c r="AS104" i="13" s="1"/>
  <c r="AQ135" i="13"/>
  <c r="AP135" i="13"/>
  <c r="AM135" i="13"/>
  <c r="AN135" i="13" s="1"/>
  <c r="AS135" i="13" s="1"/>
  <c r="BT53" i="13"/>
  <c r="AQ53" i="13"/>
  <c r="AP53" i="13"/>
  <c r="AL53" i="13"/>
  <c r="AK53" i="13"/>
  <c r="AJ53" i="13"/>
  <c r="AI53" i="13"/>
  <c r="AH53" i="13"/>
  <c r="AG53" i="13"/>
  <c r="AQ103" i="13"/>
  <c r="AP103" i="13"/>
  <c r="AM103" i="13"/>
  <c r="AN103" i="13" s="1"/>
  <c r="AS103" i="13" s="1"/>
  <c r="AQ102" i="13"/>
  <c r="AP102" i="13"/>
  <c r="AM102" i="13"/>
  <c r="AN102" i="13" s="1"/>
  <c r="AS102" i="13" s="1"/>
  <c r="AQ101" i="13"/>
  <c r="AP101" i="13"/>
  <c r="AM101" i="13"/>
  <c r="AN101" i="13" s="1"/>
  <c r="AS101" i="13" s="1"/>
  <c r="BT68" i="13"/>
  <c r="AQ68" i="13"/>
  <c r="AP68" i="13"/>
  <c r="AM68" i="13"/>
  <c r="AN68" i="13" s="1"/>
  <c r="AS68" i="13" s="1"/>
  <c r="BT519" i="13"/>
  <c r="AQ519" i="13"/>
  <c r="AP519" i="13"/>
  <c r="AM519" i="13"/>
  <c r="AN519" i="13" s="1"/>
  <c r="AS519" i="13" s="1"/>
  <c r="AQ513" i="13"/>
  <c r="AP513" i="13"/>
  <c r="AM513" i="13"/>
  <c r="AN513" i="13" s="1"/>
  <c r="AS513" i="13" s="1"/>
  <c r="AQ475" i="13"/>
  <c r="AP475" i="13"/>
  <c r="AM475" i="13"/>
  <c r="AN475" i="13" s="1"/>
  <c r="AS475" i="13" s="1"/>
  <c r="AQ460" i="13"/>
  <c r="AP460" i="13"/>
  <c r="AM460" i="13"/>
  <c r="AN460" i="13" s="1"/>
  <c r="AS460" i="13" s="1"/>
  <c r="BT67" i="13"/>
  <c r="AQ67" i="13"/>
  <c r="AP67" i="13"/>
  <c r="AM67" i="13"/>
  <c r="AN67" i="13" s="1"/>
  <c r="AS67" i="13" s="1"/>
  <c r="BT66" i="13"/>
  <c r="AQ66" i="13"/>
  <c r="AP66" i="13"/>
  <c r="AM66" i="13"/>
  <c r="AN66" i="13" s="1"/>
  <c r="AS66" i="13" s="1"/>
  <c r="BT65" i="13"/>
  <c r="AQ65" i="13"/>
  <c r="AP65" i="13"/>
  <c r="AM65" i="13"/>
  <c r="AN65" i="13" s="1"/>
  <c r="AS65" i="13" s="1"/>
  <c r="AQ643" i="13"/>
  <c r="AP643" i="13"/>
  <c r="AM643" i="13"/>
  <c r="AN643" i="13" s="1"/>
  <c r="AS643" i="13" s="1"/>
  <c r="AQ642" i="13"/>
  <c r="AP642" i="13"/>
  <c r="AM642" i="13"/>
  <c r="AN642" i="13" s="1"/>
  <c r="AS642" i="13" s="1"/>
  <c r="AQ641" i="13"/>
  <c r="AP641" i="13"/>
  <c r="AM641" i="13"/>
  <c r="AN641" i="13" s="1"/>
  <c r="AS641" i="13" s="1"/>
  <c r="AQ549" i="13"/>
  <c r="AP549" i="13"/>
  <c r="AM549" i="13"/>
  <c r="AN549" i="13" s="1"/>
  <c r="AS549" i="13" s="1"/>
  <c r="AQ518" i="13"/>
  <c r="AP518" i="13"/>
  <c r="AM518" i="13"/>
  <c r="AN518" i="13" s="1"/>
  <c r="AS518" i="13" s="1"/>
  <c r="AQ685" i="13"/>
  <c r="AP685" i="13"/>
  <c r="AM685" i="13"/>
  <c r="AN685" i="13" s="1"/>
  <c r="AS685" i="13" s="1"/>
  <c r="AQ622" i="13"/>
  <c r="AP622" i="13"/>
  <c r="AM622" i="13"/>
  <c r="AN622" i="13" s="1"/>
  <c r="AS622" i="13" s="1"/>
  <c r="AQ621" i="13"/>
  <c r="AP621" i="13"/>
  <c r="AM621" i="13"/>
  <c r="AN621" i="13" s="1"/>
  <c r="AS621" i="13" s="1"/>
  <c r="AQ383" i="13"/>
  <c r="AP383" i="13"/>
  <c r="AM383" i="13"/>
  <c r="AN383" i="13" s="1"/>
  <c r="AS383" i="13" s="1"/>
  <c r="AQ290" i="13"/>
  <c r="AP290" i="13"/>
  <c r="AM290" i="13"/>
  <c r="AN290" i="13" s="1"/>
  <c r="AS290" i="13" s="1"/>
  <c r="AQ620" i="13"/>
  <c r="AP620" i="13"/>
  <c r="AM620" i="13"/>
  <c r="AN620" i="13" s="1"/>
  <c r="AS620" i="13" s="1"/>
  <c r="AQ581" i="13"/>
  <c r="AP581" i="13"/>
  <c r="AM581" i="13"/>
  <c r="AN581" i="13" s="1"/>
  <c r="AS581" i="13" s="1"/>
  <c r="AQ422" i="13"/>
  <c r="AP422" i="13"/>
  <c r="AM422" i="13"/>
  <c r="AN422" i="13" s="1"/>
  <c r="AS422" i="13" s="1"/>
  <c r="AQ662" i="13"/>
  <c r="AP662" i="13"/>
  <c r="AM662" i="13"/>
  <c r="AN662" i="13" s="1"/>
  <c r="AS662" i="13" s="1"/>
  <c r="AQ670" i="13"/>
  <c r="AP670" i="13"/>
  <c r="AM670" i="13"/>
  <c r="AN670" i="13" s="1"/>
  <c r="AS670" i="13" s="1"/>
  <c r="AQ619" i="13"/>
  <c r="AP619" i="13"/>
  <c r="AM619" i="13"/>
  <c r="AN619" i="13" s="1"/>
  <c r="AS619" i="13" s="1"/>
  <c r="AQ512" i="13"/>
  <c r="AP512" i="13"/>
  <c r="AM512" i="13"/>
  <c r="AN512" i="13" s="1"/>
  <c r="AS512" i="13" s="1"/>
  <c r="AQ618" i="13"/>
  <c r="AP618" i="13"/>
  <c r="AM618" i="13"/>
  <c r="AN618" i="13" s="1"/>
  <c r="AS618" i="13" s="1"/>
  <c r="AQ538" i="13"/>
  <c r="AP538" i="13"/>
  <c r="AM538" i="13"/>
  <c r="AN538" i="13" s="1"/>
  <c r="AS538" i="13" s="1"/>
  <c r="AQ574" i="13"/>
  <c r="AP574" i="13"/>
  <c r="AM574" i="13"/>
  <c r="AN574" i="13" s="1"/>
  <c r="AS574" i="13" s="1"/>
  <c r="AQ640" i="13"/>
  <c r="AP640" i="13"/>
  <c r="AM640" i="13"/>
  <c r="AN640" i="13" s="1"/>
  <c r="AS640" i="13" s="1"/>
  <c r="AQ639" i="13"/>
  <c r="AP639" i="13"/>
  <c r="AM639" i="13"/>
  <c r="AN639" i="13" s="1"/>
  <c r="AS639" i="13" s="1"/>
  <c r="AQ415" i="13"/>
  <c r="AP415" i="13"/>
  <c r="AM415" i="13"/>
  <c r="AN415" i="13" s="1"/>
  <c r="AS415" i="13" s="1"/>
  <c r="AQ563" i="13"/>
  <c r="AP563" i="13"/>
  <c r="AM563" i="13"/>
  <c r="AN563" i="13" s="1"/>
  <c r="AS563" i="13" s="1"/>
  <c r="AQ352" i="13"/>
  <c r="AP352" i="13"/>
  <c r="AM352" i="13"/>
  <c r="AN352" i="13" s="1"/>
  <c r="AS352" i="13" s="1"/>
  <c r="AQ557" i="13"/>
  <c r="AP557" i="13"/>
  <c r="AM557" i="13"/>
  <c r="AN557" i="13" s="1"/>
  <c r="AS557" i="13" s="1"/>
  <c r="AQ278" i="13"/>
  <c r="AP278" i="13"/>
  <c r="AM278" i="13"/>
  <c r="AN278" i="13" s="1"/>
  <c r="AS278" i="13" s="1"/>
  <c r="AQ548" i="13"/>
  <c r="AP548" i="13"/>
  <c r="AM548" i="13"/>
  <c r="AN548" i="13" s="1"/>
  <c r="AS548" i="13" s="1"/>
  <c r="AQ678" i="13"/>
  <c r="AP678" i="13"/>
  <c r="AM678" i="13"/>
  <c r="AN678" i="13" s="1"/>
  <c r="AS678" i="13" s="1"/>
  <c r="AQ517" i="13"/>
  <c r="AP517" i="13"/>
  <c r="AM517" i="13"/>
  <c r="AN517" i="13" s="1"/>
  <c r="AS517" i="13" s="1"/>
  <c r="AQ580" i="13"/>
  <c r="AP580" i="13"/>
  <c r="AM580" i="13"/>
  <c r="AN580" i="13" s="1"/>
  <c r="AS580" i="13" s="1"/>
  <c r="AQ547" i="13"/>
  <c r="AP547" i="13"/>
  <c r="AM547" i="13"/>
  <c r="AN547" i="13" s="1"/>
  <c r="AS547" i="13" s="1"/>
  <c r="AQ638" i="13"/>
  <c r="AP638" i="13"/>
  <c r="AM638" i="13"/>
  <c r="AN638" i="13" s="1"/>
  <c r="AS638" i="13" s="1"/>
  <c r="AQ421" i="13"/>
  <c r="AP421" i="13"/>
  <c r="AM421" i="13"/>
  <c r="AN421" i="13" s="1"/>
  <c r="AS421" i="13" s="1"/>
  <c r="AQ382" i="13"/>
  <c r="AP382" i="13"/>
  <c r="AM382" i="13"/>
  <c r="AN382" i="13" s="1"/>
  <c r="AS382" i="13" s="1"/>
  <c r="AQ331" i="13"/>
  <c r="AP331" i="13"/>
  <c r="AM331" i="13"/>
  <c r="AN331" i="13" s="1"/>
  <c r="AS331" i="13" s="1"/>
  <c r="AQ617" i="13"/>
  <c r="AP617" i="13"/>
  <c r="AM617" i="13"/>
  <c r="AN617" i="13" s="1"/>
  <c r="AS617" i="13" s="1"/>
  <c r="AQ684" i="13"/>
  <c r="AP684" i="13"/>
  <c r="AM684" i="13"/>
  <c r="AN684" i="13" s="1"/>
  <c r="AS684" i="13" s="1"/>
  <c r="AQ289" i="13"/>
  <c r="AP289" i="13"/>
  <c r="AM289" i="13"/>
  <c r="AN289" i="13" s="1"/>
  <c r="AS289" i="13" s="1"/>
  <c r="AQ319" i="13"/>
  <c r="AP319" i="13"/>
  <c r="AM319" i="13"/>
  <c r="AN319" i="13" s="1"/>
  <c r="AS319" i="13" s="1"/>
  <c r="AQ537" i="13"/>
  <c r="AP537" i="13"/>
  <c r="AM537" i="13"/>
  <c r="AN537" i="13" s="1"/>
  <c r="AS537" i="13" s="1"/>
  <c r="AQ616" i="13"/>
  <c r="AP616" i="13"/>
  <c r="AM616" i="13"/>
  <c r="AN616" i="13" s="1"/>
  <c r="AS616" i="13" s="1"/>
  <c r="AQ508" i="13"/>
  <c r="AP508" i="13"/>
  <c r="AM508" i="13"/>
  <c r="AN508" i="13" s="1"/>
  <c r="AS508" i="13" s="1"/>
  <c r="AQ573" i="13"/>
  <c r="AP573" i="13"/>
  <c r="AM573" i="13"/>
  <c r="AN573" i="13" s="1"/>
  <c r="AS573" i="13" s="1"/>
  <c r="AQ529" i="13"/>
  <c r="AP529" i="13"/>
  <c r="AM529" i="13"/>
  <c r="AN529" i="13" s="1"/>
  <c r="AS529" i="13" s="1"/>
  <c r="AQ637" i="13"/>
  <c r="AP637" i="13"/>
  <c r="AM637" i="13"/>
  <c r="AN637" i="13" s="1"/>
  <c r="AS637" i="13" s="1"/>
  <c r="AQ615" i="13"/>
  <c r="AP615" i="13"/>
  <c r="AM615" i="13"/>
  <c r="AN615" i="13" s="1"/>
  <c r="AS615" i="13" s="1"/>
  <c r="AQ351" i="13"/>
  <c r="AP351" i="13"/>
  <c r="AM351" i="13"/>
  <c r="AN351" i="13" s="1"/>
  <c r="AS351" i="13" s="1"/>
  <c r="AQ604" i="13"/>
  <c r="AP604" i="13"/>
  <c r="AM604" i="13"/>
  <c r="AN604" i="13" s="1"/>
  <c r="AS604" i="13" s="1"/>
  <c r="AQ635" i="13"/>
  <c r="AP635" i="13"/>
  <c r="AM635" i="13"/>
  <c r="AN635" i="13" s="1"/>
  <c r="AS635" i="13" s="1"/>
  <c r="AQ546" i="13"/>
  <c r="AP546" i="13"/>
  <c r="AM546" i="13"/>
  <c r="AN546" i="13" s="1"/>
  <c r="AS546" i="13" s="1"/>
  <c r="AQ677" i="13"/>
  <c r="AP677" i="13"/>
  <c r="AM677" i="13"/>
  <c r="AN677" i="13" s="1"/>
  <c r="AS677" i="13" s="1"/>
  <c r="AQ459" i="13"/>
  <c r="AP459" i="13"/>
  <c r="AM459" i="13"/>
  <c r="AN459" i="13" s="1"/>
  <c r="AS459" i="13" s="1"/>
  <c r="AQ495" i="13"/>
  <c r="AP495" i="13"/>
  <c r="AM495" i="13"/>
  <c r="AN495" i="13" s="1"/>
  <c r="AS495" i="13" s="1"/>
  <c r="AQ330" i="13"/>
  <c r="AP330" i="13"/>
  <c r="AM330" i="13"/>
  <c r="AN330" i="13" s="1"/>
  <c r="AS330" i="13" s="1"/>
  <c r="AQ636" i="13"/>
  <c r="AP636" i="13"/>
  <c r="AM636" i="13"/>
  <c r="AN636" i="13" s="1"/>
  <c r="AS636" i="13" s="1"/>
  <c r="AQ100" i="13"/>
  <c r="AP100" i="13"/>
  <c r="AM100" i="13"/>
  <c r="AN100" i="13" s="1"/>
  <c r="AS100" i="13" s="1"/>
  <c r="AQ52" i="13"/>
  <c r="AP52" i="13"/>
  <c r="AM52" i="13"/>
  <c r="AN52" i="13" s="1"/>
  <c r="AS52" i="13" s="1"/>
  <c r="AQ446" i="13"/>
  <c r="AP446" i="13"/>
  <c r="AM446" i="13"/>
  <c r="AN446" i="13" s="1"/>
  <c r="AS446" i="13" s="1"/>
  <c r="AQ445" i="13"/>
  <c r="AP445" i="13"/>
  <c r="AM445" i="13"/>
  <c r="AN445" i="13" s="1"/>
  <c r="AS445" i="13" s="1"/>
  <c r="BT444" i="13"/>
  <c r="AQ444" i="13"/>
  <c r="AP444" i="13"/>
  <c r="AM444" i="13"/>
  <c r="AN444" i="13" s="1"/>
  <c r="AS444" i="13" s="1"/>
  <c r="AQ474" i="13"/>
  <c r="AP474" i="13"/>
  <c r="AM474" i="13"/>
  <c r="AN474" i="13" s="1"/>
  <c r="AS474" i="13" s="1"/>
  <c r="BT443" i="13"/>
  <c r="AQ443" i="13"/>
  <c r="AP443" i="13"/>
  <c r="AM443" i="13"/>
  <c r="AN443" i="13" s="1"/>
  <c r="AS443" i="13" s="1"/>
  <c r="AQ494" i="13"/>
  <c r="AP494" i="13"/>
  <c r="AM494" i="13"/>
  <c r="AN494" i="13" s="1"/>
  <c r="AS494" i="13" s="1"/>
  <c r="AQ473" i="13"/>
  <c r="AP473" i="13"/>
  <c r="AM473" i="13"/>
  <c r="AN473" i="13" s="1"/>
  <c r="AS473" i="13" s="1"/>
  <c r="AQ442" i="13"/>
  <c r="AP442" i="13"/>
  <c r="AM442" i="13"/>
  <c r="AN442" i="13" s="1"/>
  <c r="AS442" i="13" s="1"/>
  <c r="AQ51" i="13"/>
  <c r="AP51" i="13"/>
  <c r="AM51" i="13"/>
  <c r="AN51" i="13" s="1"/>
  <c r="AS51" i="13" s="1"/>
  <c r="AQ50" i="13"/>
  <c r="AP50" i="13"/>
  <c r="AM50" i="13"/>
  <c r="AN50" i="13" s="1"/>
  <c r="AS50" i="13" s="1"/>
  <c r="AQ472" i="13"/>
  <c r="AP472" i="13"/>
  <c r="AM472" i="13"/>
  <c r="AN472" i="13" s="1"/>
  <c r="AS472" i="13" s="1"/>
  <c r="AQ49" i="13"/>
  <c r="AP49" i="13"/>
  <c r="AM49" i="13"/>
  <c r="AN49" i="13" s="1"/>
  <c r="AS49" i="13" s="1"/>
  <c r="AQ318" i="13"/>
  <c r="AP318" i="13"/>
  <c r="AM318" i="13"/>
  <c r="AN318" i="13" s="1"/>
  <c r="AQ369" i="13"/>
  <c r="AP369" i="13"/>
  <c r="AJ369" i="13"/>
  <c r="AM369" i="13" s="1"/>
  <c r="AN369" i="13" s="1"/>
  <c r="AS369" i="13" s="1"/>
  <c r="AQ48" i="13"/>
  <c r="AP48" i="13"/>
  <c r="AM48" i="13"/>
  <c r="AN48" i="13" s="1"/>
  <c r="AS48" i="13" s="1"/>
  <c r="AQ277" i="13"/>
  <c r="AP277" i="13"/>
  <c r="AM277" i="13"/>
  <c r="AN277" i="13" s="1"/>
  <c r="AS277" i="13" s="1"/>
  <c r="AQ276" i="13"/>
  <c r="AP276" i="13"/>
  <c r="AM276" i="13"/>
  <c r="AN276" i="13" s="1"/>
  <c r="AS276" i="13" s="1"/>
  <c r="AQ471" i="13"/>
  <c r="AP471" i="13"/>
  <c r="AM471" i="13"/>
  <c r="AN471" i="13" s="1"/>
  <c r="AS471" i="13" s="1"/>
  <c r="BT275" i="13"/>
  <c r="AQ275" i="13"/>
  <c r="AP275" i="13"/>
  <c r="AM275" i="13"/>
  <c r="AN275" i="13" s="1"/>
  <c r="AS275" i="13" s="1"/>
  <c r="BT274" i="13"/>
  <c r="AQ274" i="13"/>
  <c r="AP274" i="13"/>
  <c r="AM274" i="13"/>
  <c r="AN274" i="13" s="1"/>
  <c r="AS274" i="13" s="1"/>
  <c r="AQ260" i="13"/>
  <c r="AP260" i="13"/>
  <c r="AM260" i="13"/>
  <c r="AN260" i="13" s="1"/>
  <c r="AS260" i="13" s="1"/>
  <c r="AQ408" i="13"/>
  <c r="AP408" i="13"/>
  <c r="AM408" i="13"/>
  <c r="AN408" i="13" s="1"/>
  <c r="AS408" i="13" s="1"/>
  <c r="AQ288" i="13"/>
  <c r="AP288" i="13"/>
  <c r="AM288" i="13"/>
  <c r="AN288" i="13" s="1"/>
  <c r="AS288" i="13" s="1"/>
  <c r="AQ259" i="13"/>
  <c r="AP259" i="13"/>
  <c r="AM259" i="13"/>
  <c r="AN259" i="13" s="1"/>
  <c r="AS259" i="13" s="1"/>
  <c r="AQ99" i="13"/>
  <c r="AP99" i="13"/>
  <c r="AM99" i="13"/>
  <c r="AN99" i="13" s="1"/>
  <c r="AS99" i="13" s="1"/>
  <c r="AQ98" i="13"/>
  <c r="AP98" i="13"/>
  <c r="AM98" i="13"/>
  <c r="AN98" i="13" s="1"/>
  <c r="AS98" i="13" s="1"/>
  <c r="AQ343" i="13"/>
  <c r="AP343" i="13"/>
  <c r="AM343" i="13"/>
  <c r="AN343" i="13" s="1"/>
  <c r="AS343" i="13" s="1"/>
  <c r="AQ273" i="13"/>
  <c r="AP273" i="13"/>
  <c r="AM273" i="13"/>
  <c r="AN273" i="13" s="1"/>
  <c r="AS273" i="13" s="1"/>
  <c r="AQ272" i="13"/>
  <c r="AP272" i="13"/>
  <c r="AM272" i="13"/>
  <c r="AN272" i="13" s="1"/>
  <c r="AS272" i="13" s="1"/>
  <c r="AQ258" i="13"/>
  <c r="AP258" i="13"/>
  <c r="AL258" i="13"/>
  <c r="AK258" i="13"/>
  <c r="AJ258" i="13"/>
  <c r="AI258" i="13"/>
  <c r="AH258" i="13"/>
  <c r="AG258" i="13"/>
  <c r="AQ414" i="13"/>
  <c r="AP414" i="13"/>
  <c r="AM414" i="13"/>
  <c r="AN414" i="13" s="1"/>
  <c r="AS414" i="13" s="1"/>
  <c r="AQ407" i="13"/>
  <c r="AP407" i="13"/>
  <c r="AM407" i="13"/>
  <c r="AN407" i="13" s="1"/>
  <c r="AS407" i="13" s="1"/>
  <c r="AQ47" i="13"/>
  <c r="AP47" i="13"/>
  <c r="AM47" i="13"/>
  <c r="AN47" i="13" s="1"/>
  <c r="AS47" i="13" s="1"/>
  <c r="AQ97" i="13"/>
  <c r="AP97" i="13"/>
  <c r="AM97" i="13"/>
  <c r="AN97" i="13" s="1"/>
  <c r="AS97" i="13" s="1"/>
  <c r="AQ317" i="13"/>
  <c r="AP317" i="13"/>
  <c r="AM317" i="13"/>
  <c r="AN317" i="13" s="1"/>
  <c r="AS317" i="13" s="1"/>
  <c r="AQ96" i="13"/>
  <c r="AP96" i="13"/>
  <c r="AM96" i="13"/>
  <c r="AN96" i="13" s="1"/>
  <c r="AS96" i="13" s="1"/>
  <c r="AQ406" i="13"/>
  <c r="AP406" i="13"/>
  <c r="AM406" i="13"/>
  <c r="AN406" i="13" s="1"/>
  <c r="AS406" i="13" s="1"/>
  <c r="AQ95" i="13"/>
  <c r="AP95" i="13"/>
  <c r="AM95" i="13"/>
  <c r="AN95" i="13" s="1"/>
  <c r="AS95" i="13" s="1"/>
  <c r="AQ441" i="13"/>
  <c r="AP441" i="13"/>
  <c r="AM441" i="13"/>
  <c r="AN441" i="13" s="1"/>
  <c r="AS441" i="13" s="1"/>
  <c r="AQ342" i="13"/>
  <c r="AP342" i="13"/>
  <c r="AM342" i="13"/>
  <c r="AN342" i="13" s="1"/>
  <c r="AS342" i="13" s="1"/>
  <c r="AQ614" i="13"/>
  <c r="AP614" i="13"/>
  <c r="AM614" i="13"/>
  <c r="AN614" i="13" s="1"/>
  <c r="AS614" i="13" s="1"/>
  <c r="AQ613" i="13"/>
  <c r="AP613" i="13"/>
  <c r="AM613" i="13"/>
  <c r="AN613" i="13" s="1"/>
  <c r="AS613" i="13" s="1"/>
  <c r="AQ536" i="13"/>
  <c r="AP536" i="13"/>
  <c r="AM536" i="13"/>
  <c r="AN536" i="13" s="1"/>
  <c r="AS536" i="13" s="1"/>
  <c r="AQ133" i="13"/>
  <c r="AP133" i="13"/>
  <c r="AM133" i="13"/>
  <c r="AN133" i="13" s="1"/>
  <c r="AS133" i="13" s="1"/>
  <c r="AQ94" i="13"/>
  <c r="AP94" i="13"/>
  <c r="AM94" i="13"/>
  <c r="AN94" i="13" s="1"/>
  <c r="AS94" i="13" s="1"/>
  <c r="AQ132" i="13"/>
  <c r="AP132" i="13"/>
  <c r="AM132" i="13"/>
  <c r="AN132" i="13" s="1"/>
  <c r="AS132" i="13" s="1"/>
  <c r="AQ612" i="13"/>
  <c r="AP612" i="13"/>
  <c r="AM612" i="13"/>
  <c r="AN612" i="13" s="1"/>
  <c r="AS612" i="13" s="1"/>
  <c r="AQ535" i="13"/>
  <c r="AP535" i="13"/>
  <c r="AM535" i="13"/>
  <c r="AN535" i="13" s="1"/>
  <c r="AS535" i="13" s="1"/>
  <c r="BT93" i="13"/>
  <c r="AQ93" i="13"/>
  <c r="AP93" i="13"/>
  <c r="AM93" i="13"/>
  <c r="AN93" i="13" s="1"/>
  <c r="AS93" i="13" s="1"/>
  <c r="AQ271" i="13"/>
  <c r="AP271" i="13"/>
  <c r="AM271" i="13"/>
  <c r="AN271" i="13" s="1"/>
  <c r="AS271" i="13" s="1"/>
  <c r="AQ257" i="13"/>
  <c r="AP257" i="13"/>
  <c r="AM257" i="13"/>
  <c r="AN257" i="13" s="1"/>
  <c r="AS257" i="13" s="1"/>
  <c r="AQ413" i="13"/>
  <c r="AP413" i="13"/>
  <c r="AM413" i="13"/>
  <c r="AN413" i="13" s="1"/>
  <c r="AS413" i="13" s="1"/>
  <c r="AQ270" i="13"/>
  <c r="AP270" i="13"/>
  <c r="AM270" i="13"/>
  <c r="AN270" i="13" s="1"/>
  <c r="AS270" i="13" s="1"/>
  <c r="AQ412" i="13"/>
  <c r="AP412" i="13"/>
  <c r="AM412" i="13"/>
  <c r="AN412" i="13" s="1"/>
  <c r="AS412" i="13" s="1"/>
  <c r="AQ269" i="13"/>
  <c r="AP269" i="13"/>
  <c r="AM269" i="13"/>
  <c r="AN269" i="13" s="1"/>
  <c r="AS269" i="13" s="1"/>
  <c r="AQ287" i="13"/>
  <c r="AP287" i="13"/>
  <c r="AM287" i="13"/>
  <c r="AN287" i="13" s="1"/>
  <c r="AS287" i="13" s="1"/>
  <c r="AQ268" i="13"/>
  <c r="AP268" i="13"/>
  <c r="AM268" i="13"/>
  <c r="AN268" i="13" s="1"/>
  <c r="AS268" i="13" s="1"/>
  <c r="AQ256" i="13"/>
  <c r="AP256" i="13"/>
  <c r="AM256" i="13"/>
  <c r="AN256" i="13" s="1"/>
  <c r="AS256" i="13" s="1"/>
  <c r="AQ92" i="13"/>
  <c r="AP92" i="13"/>
  <c r="AM92" i="13"/>
  <c r="AN92" i="13" s="1"/>
  <c r="AS92" i="13" s="1"/>
  <c r="AQ46" i="13"/>
  <c r="AP46" i="13"/>
  <c r="AM46" i="13"/>
  <c r="AN46" i="13" s="1"/>
  <c r="AS46" i="13" s="1"/>
  <c r="AQ45" i="13"/>
  <c r="AP45" i="13"/>
  <c r="AM45" i="13"/>
  <c r="AN45" i="13" s="1"/>
  <c r="AS45" i="13" s="1"/>
  <c r="AQ91" i="13"/>
  <c r="AP91" i="13"/>
  <c r="AM91" i="13"/>
  <c r="AN91" i="13" s="1"/>
  <c r="AS91" i="13" s="1"/>
  <c r="AQ611" i="13"/>
  <c r="AP611" i="13"/>
  <c r="AM611" i="13"/>
  <c r="AN611" i="13" s="1"/>
  <c r="AS611" i="13" s="1"/>
  <c r="AQ534" i="13"/>
  <c r="AP534" i="13"/>
  <c r="AM534" i="13"/>
  <c r="AN534" i="13" s="1"/>
  <c r="AS534" i="13" s="1"/>
  <c r="AQ90" i="13"/>
  <c r="AP90" i="13"/>
  <c r="AM90" i="13"/>
  <c r="AN90" i="13" s="1"/>
  <c r="AS90" i="13" s="1"/>
  <c r="AQ511" i="13"/>
  <c r="AP511" i="13"/>
  <c r="AM511" i="13"/>
  <c r="AN511" i="13" s="1"/>
  <c r="AS511" i="13" s="1"/>
  <c r="AQ510" i="13"/>
  <c r="AP510" i="13"/>
  <c r="AM510" i="13"/>
  <c r="AN510" i="13" s="1"/>
  <c r="AS510" i="13" s="1"/>
  <c r="AQ505" i="13"/>
  <c r="AP505" i="13"/>
  <c r="AM505" i="13"/>
  <c r="AN505" i="13" s="1"/>
  <c r="AS505" i="13" s="1"/>
  <c r="AQ504" i="13"/>
  <c r="AP504" i="13"/>
  <c r="AM504" i="13"/>
  <c r="AN504" i="13" s="1"/>
  <c r="AS504" i="13" s="1"/>
  <c r="AQ255" i="13"/>
  <c r="AP255" i="13"/>
  <c r="AM255" i="13"/>
  <c r="AN255" i="13" s="1"/>
  <c r="AS255" i="13" s="1"/>
  <c r="AQ254" i="13"/>
  <c r="AP254" i="13"/>
  <c r="AM254" i="13"/>
  <c r="AN254" i="13" s="1"/>
  <c r="AS254" i="13" s="1"/>
  <c r="AQ253" i="13"/>
  <c r="AP253" i="13"/>
  <c r="AM253" i="13"/>
  <c r="AN253" i="13" s="1"/>
  <c r="AS253" i="13" s="1"/>
  <c r="AQ350" i="13"/>
  <c r="AP350" i="13"/>
  <c r="AM350" i="13"/>
  <c r="AN350" i="13" s="1"/>
  <c r="AS350" i="13" s="1"/>
  <c r="AQ341" i="13"/>
  <c r="AP341" i="13"/>
  <c r="AM341" i="13"/>
  <c r="AN341" i="13" s="1"/>
  <c r="AS341" i="13" s="1"/>
  <c r="AQ610" i="13"/>
  <c r="AP610" i="13"/>
  <c r="AM610" i="13"/>
  <c r="AN610" i="13" s="1"/>
  <c r="AS610" i="13" s="1"/>
  <c r="AQ533" i="13"/>
  <c r="AP533" i="13"/>
  <c r="AM533" i="13"/>
  <c r="AN533" i="13" s="1"/>
  <c r="AS533" i="13" s="1"/>
  <c r="AQ44" i="13"/>
  <c r="AP44" i="13"/>
  <c r="AH44" i="13"/>
  <c r="AG44" i="13"/>
  <c r="AQ89" i="13"/>
  <c r="AP89" i="13"/>
  <c r="AM89" i="13"/>
  <c r="AN89" i="13" s="1"/>
  <c r="AS89" i="13" s="1"/>
  <c r="AQ368" i="13"/>
  <c r="AP368" i="13"/>
  <c r="AM368" i="13"/>
  <c r="AN368" i="13" s="1"/>
  <c r="AS368" i="13" s="1"/>
  <c r="AQ359" i="13"/>
  <c r="AP359" i="13"/>
  <c r="AM359" i="13"/>
  <c r="AN359" i="13" s="1"/>
  <c r="AS359" i="13" s="1"/>
  <c r="AQ316" i="13"/>
  <c r="AP316" i="13"/>
  <c r="AM316" i="13"/>
  <c r="AN316" i="13" s="1"/>
  <c r="AS316" i="13" s="1"/>
  <c r="AQ307" i="13"/>
  <c r="AP307" i="13"/>
  <c r="AM307" i="13"/>
  <c r="AN307" i="13" s="1"/>
  <c r="AS307" i="13" s="1"/>
  <c r="AQ88" i="13"/>
  <c r="AP88" i="13"/>
  <c r="AM88" i="13"/>
  <c r="AN88" i="13" s="1"/>
  <c r="AS88" i="13" s="1"/>
  <c r="AQ87" i="13"/>
  <c r="AP87" i="13"/>
  <c r="AM87" i="13"/>
  <c r="AN87" i="13" s="1"/>
  <c r="AS87" i="13" s="1"/>
  <c r="AQ470" i="13"/>
  <c r="AP470" i="13"/>
  <c r="AM470" i="13"/>
  <c r="AN470" i="13" s="1"/>
  <c r="AS470" i="13" s="1"/>
  <c r="BT469" i="13"/>
  <c r="AQ469" i="13"/>
  <c r="AP469" i="13"/>
  <c r="AM469" i="13"/>
  <c r="AN469" i="13" s="1"/>
  <c r="AS469" i="13" s="1"/>
  <c r="AQ86" i="13"/>
  <c r="AP86" i="13"/>
  <c r="AM86" i="13"/>
  <c r="AN86" i="13" s="1"/>
  <c r="AS86" i="13" s="1"/>
  <c r="AQ526" i="13"/>
  <c r="AP526" i="13"/>
  <c r="AM526" i="13"/>
  <c r="AN526" i="13" s="1"/>
  <c r="AS526" i="13" s="1"/>
  <c r="AQ349" i="13"/>
  <c r="AP349" i="13"/>
  <c r="AM349" i="13"/>
  <c r="AN349" i="13" s="1"/>
  <c r="AS349" i="13" s="1"/>
  <c r="AQ340" i="13"/>
  <c r="AP340" i="13"/>
  <c r="AM340" i="13"/>
  <c r="AN340" i="13" s="1"/>
  <c r="AS340" i="13" s="1"/>
  <c r="AQ593" i="13"/>
  <c r="AP593" i="13"/>
  <c r="AM593" i="13"/>
  <c r="AN593" i="13" s="1"/>
  <c r="AS593" i="13" s="1"/>
  <c r="AQ40" i="13"/>
  <c r="AP40" i="13"/>
  <c r="AM40" i="13"/>
  <c r="AN40" i="13" s="1"/>
  <c r="AS40" i="13" s="1"/>
  <c r="AQ38" i="13"/>
  <c r="AP38" i="13"/>
  <c r="AL38" i="13"/>
  <c r="AM38" i="13" s="1"/>
  <c r="AN38" i="13" s="1"/>
  <c r="AS38" i="13" s="1"/>
  <c r="AQ85" i="13"/>
  <c r="AP85" i="13"/>
  <c r="AM85" i="13"/>
  <c r="AN85" i="13" s="1"/>
  <c r="AS85" i="13" s="1"/>
  <c r="AQ84" i="13"/>
  <c r="AP84" i="13"/>
  <c r="AM84" i="13"/>
  <c r="AN84" i="13" s="1"/>
  <c r="AS84" i="13" s="1"/>
  <c r="AQ367" i="13"/>
  <c r="AP367" i="13"/>
  <c r="AL367" i="13"/>
  <c r="AK367" i="13"/>
  <c r="AJ367" i="13"/>
  <c r="AI367" i="13"/>
  <c r="AH367" i="13"/>
  <c r="AG367" i="13"/>
  <c r="AQ315" i="13"/>
  <c r="AP315" i="13"/>
  <c r="AL315" i="13"/>
  <c r="AK315" i="13"/>
  <c r="AJ315" i="13"/>
  <c r="AI315" i="13"/>
  <c r="AH315" i="13"/>
  <c r="AG315" i="13"/>
  <c r="AQ36" i="13"/>
  <c r="AP36" i="13"/>
  <c r="AM36" i="13"/>
  <c r="AN36" i="13" s="1"/>
  <c r="AS36" i="13" s="1"/>
  <c r="AQ35" i="13"/>
  <c r="AP35" i="13"/>
  <c r="AM35" i="13"/>
  <c r="AN35" i="13" s="1"/>
  <c r="AS35" i="13" s="1"/>
  <c r="AQ329" i="13"/>
  <c r="AP329" i="13"/>
  <c r="AM329" i="13"/>
  <c r="AN329" i="13" s="1"/>
  <c r="AS329" i="13" s="1"/>
  <c r="AQ252" i="13"/>
  <c r="AP252" i="13"/>
  <c r="AM252" i="13"/>
  <c r="AN252" i="13" s="1"/>
  <c r="AS252" i="13" s="1"/>
  <c r="AQ358" i="13"/>
  <c r="AP358" i="13"/>
  <c r="AM358" i="13"/>
  <c r="AN358" i="13" s="1"/>
  <c r="AS358" i="13" s="1"/>
  <c r="AQ34" i="13"/>
  <c r="AP34" i="13"/>
  <c r="AM34" i="13"/>
  <c r="AN34" i="13" s="1"/>
  <c r="AS34" i="13" s="1"/>
  <c r="AQ251" i="13"/>
  <c r="AP251" i="13"/>
  <c r="AM251" i="13"/>
  <c r="AN251" i="13" s="1"/>
  <c r="AS251" i="13" s="1"/>
  <c r="AQ33" i="13"/>
  <c r="AP33" i="13"/>
  <c r="AM33" i="13"/>
  <c r="AN33" i="13" s="1"/>
  <c r="AS33" i="13" s="1"/>
  <c r="BT32" i="13"/>
  <c r="AQ32" i="13"/>
  <c r="AP32" i="13"/>
  <c r="AM32" i="13"/>
  <c r="AN32" i="13" s="1"/>
  <c r="AS32" i="13" s="1"/>
  <c r="AQ31" i="13"/>
  <c r="AP31" i="13"/>
  <c r="AM31" i="13"/>
  <c r="AN31" i="13" s="1"/>
  <c r="AS31" i="13" s="1"/>
  <c r="AQ30" i="13"/>
  <c r="AP30" i="13"/>
  <c r="AM30" i="13"/>
  <c r="AN30" i="13" s="1"/>
  <c r="AS30" i="13" s="1"/>
  <c r="AQ29" i="13"/>
  <c r="AP29" i="13"/>
  <c r="AM29" i="13"/>
  <c r="AN29" i="13" s="1"/>
  <c r="AS29" i="13" s="1"/>
  <c r="AQ28" i="13"/>
  <c r="AP28" i="13"/>
  <c r="AM28" i="13"/>
  <c r="AN28" i="13" s="1"/>
  <c r="AS28" i="13" s="1"/>
  <c r="BT27" i="13"/>
  <c r="AQ27" i="13"/>
  <c r="AP27" i="13"/>
  <c r="AM27" i="13"/>
  <c r="AN27" i="13" s="1"/>
  <c r="AS27" i="13" s="1"/>
  <c r="W27" i="13"/>
  <c r="BT26" i="13"/>
  <c r="AQ26" i="13"/>
  <c r="AP26" i="13"/>
  <c r="AM26" i="13"/>
  <c r="AN26" i="13" s="1"/>
  <c r="AS26" i="13" s="1"/>
  <c r="W26" i="13"/>
  <c r="BT25" i="13"/>
  <c r="AQ25" i="13"/>
  <c r="AP25" i="13"/>
  <c r="AM25" i="13"/>
  <c r="AN25" i="13" s="1"/>
  <c r="AS25" i="13" s="1"/>
  <c r="W25" i="13"/>
  <c r="BT23" i="13"/>
  <c r="AQ23" i="13"/>
  <c r="AP23" i="13"/>
  <c r="AM23" i="13"/>
  <c r="AN23" i="13" s="1"/>
  <c r="AS23" i="13" s="1"/>
  <c r="W23" i="13"/>
  <c r="AQ22" i="13"/>
  <c r="AP22" i="13"/>
  <c r="AL22" i="13"/>
  <c r="AK22" i="13"/>
  <c r="AJ22" i="13"/>
  <c r="AI22" i="13"/>
  <c r="AH22" i="13"/>
  <c r="AG22" i="13"/>
  <c r="AQ21" i="13"/>
  <c r="AP21" i="13"/>
  <c r="AI21" i="13"/>
  <c r="AM21" i="13" s="1"/>
  <c r="AN21" i="13" s="1"/>
  <c r="AS21" i="13" s="1"/>
  <c r="AQ20" i="13"/>
  <c r="AP20" i="13"/>
  <c r="AM20" i="13"/>
  <c r="AN20" i="13" s="1"/>
  <c r="AS20" i="13" s="1"/>
  <c r="AQ440" i="13"/>
  <c r="AP440" i="13"/>
  <c r="AM440" i="13"/>
  <c r="AN440" i="13" s="1"/>
  <c r="AS440" i="13" s="1"/>
  <c r="AQ19" i="13"/>
  <c r="AP19" i="13"/>
  <c r="AM19" i="13"/>
  <c r="AN19" i="13" s="1"/>
  <c r="AS19" i="13" s="1"/>
  <c r="AQ18" i="13"/>
  <c r="AP18" i="13"/>
  <c r="AM18" i="13"/>
  <c r="AN18" i="13" s="1"/>
  <c r="AS18" i="13" s="1"/>
  <c r="AQ17" i="13"/>
  <c r="AP17" i="13"/>
  <c r="AM17" i="13"/>
  <c r="AN17" i="13" s="1"/>
  <c r="AS17" i="13" s="1"/>
  <c r="AQ16" i="13"/>
  <c r="AP16" i="13"/>
  <c r="AM16" i="13"/>
  <c r="AN16" i="13" s="1"/>
  <c r="AS16" i="13" s="1"/>
  <c r="AQ15" i="13"/>
  <c r="AP15" i="13"/>
  <c r="AM15" i="13"/>
  <c r="AN15" i="13" s="1"/>
  <c r="AS15" i="13" s="1"/>
  <c r="AQ14" i="13"/>
  <c r="AP14" i="13"/>
  <c r="AM14" i="13"/>
  <c r="AN14" i="13" s="1"/>
  <c r="AS14" i="13" s="1"/>
  <c r="AQ13" i="13"/>
  <c r="AP13" i="13"/>
  <c r="AM13" i="13"/>
  <c r="AN13" i="13" s="1"/>
  <c r="AS13" i="13" s="1"/>
  <c r="AQ12" i="13"/>
  <c r="AP12" i="13"/>
  <c r="AM12" i="13"/>
  <c r="AN12" i="13" s="1"/>
  <c r="AS12" i="13" s="1"/>
  <c r="AQ11" i="13"/>
  <c r="AP11" i="13"/>
  <c r="AM11" i="13"/>
  <c r="AN11" i="13" s="1"/>
  <c r="AS11" i="13" s="1"/>
  <c r="AQ10" i="13"/>
  <c r="AP10" i="13"/>
  <c r="AM10" i="13"/>
  <c r="AN10" i="13" s="1"/>
  <c r="AS10" i="13" s="1"/>
  <c r="AQ405" i="13"/>
  <c r="AP405" i="13"/>
  <c r="AM405" i="13"/>
  <c r="AN405" i="13" s="1"/>
  <c r="AS405" i="13" s="1"/>
  <c r="AQ439" i="13"/>
  <c r="AP439" i="13"/>
  <c r="AM439" i="13"/>
  <c r="AN439" i="13" s="1"/>
  <c r="AS439" i="13" s="1"/>
  <c r="AQ250" i="13"/>
  <c r="AP250" i="13"/>
  <c r="AM250" i="13"/>
  <c r="AN250" i="13" s="1"/>
  <c r="AS250" i="13" s="1"/>
  <c r="AQ249" i="13"/>
  <c r="AP249" i="13"/>
  <c r="AM249" i="13"/>
  <c r="AN249" i="13" s="1"/>
  <c r="AS249" i="13" s="1"/>
  <c r="AQ248" i="13"/>
  <c r="AP248" i="13"/>
  <c r="AM248" i="13"/>
  <c r="AN248" i="13" s="1"/>
  <c r="AS248" i="13" s="1"/>
  <c r="AQ9" i="13"/>
  <c r="AP9" i="13"/>
  <c r="AI9" i="13"/>
  <c r="AM9" i="13" s="1"/>
  <c r="AN9" i="13" s="1"/>
  <c r="AS9" i="13" s="1"/>
  <c r="AQ247" i="13"/>
  <c r="AP247" i="13"/>
  <c r="AM247" i="13"/>
  <c r="AN247" i="13" s="1"/>
  <c r="AS247" i="13" s="1"/>
  <c r="AQ339" i="13"/>
  <c r="AP339" i="13"/>
  <c r="AM339" i="13"/>
  <c r="AN339" i="13" s="1"/>
  <c r="AS339" i="13" s="1"/>
  <c r="AQ404" i="13"/>
  <c r="AP404" i="13"/>
  <c r="AM404" i="13"/>
  <c r="AN404" i="13" s="1"/>
  <c r="AS404" i="13" s="1"/>
  <c r="AQ246" i="13"/>
  <c r="AP246" i="13"/>
  <c r="AM246" i="13"/>
  <c r="AN246" i="13" s="1"/>
  <c r="AS246" i="13" s="1"/>
  <c r="AQ532" i="13"/>
  <c r="AP532" i="13"/>
  <c r="AM532" i="13"/>
  <c r="AN532" i="13" s="1"/>
  <c r="AS532" i="13" s="1"/>
  <c r="AQ609" i="13"/>
  <c r="AP609" i="13"/>
  <c r="AM609" i="13"/>
  <c r="AN609" i="13" s="1"/>
  <c r="AS609" i="13" s="1"/>
  <c r="AQ83" i="13"/>
  <c r="AP83" i="13"/>
  <c r="AM83" i="13"/>
  <c r="AN83" i="13" s="1"/>
  <c r="AS83" i="13" s="1"/>
  <c r="AQ403" i="13"/>
  <c r="AP403" i="13"/>
  <c r="AM403" i="13"/>
  <c r="AN403" i="13" s="1"/>
  <c r="AS403" i="13" s="1"/>
  <c r="AQ245" i="13"/>
  <c r="AP245" i="13"/>
  <c r="AM245" i="13"/>
  <c r="AN245" i="13" s="1"/>
  <c r="AS245" i="13" s="1"/>
  <c r="AQ338" i="13"/>
  <c r="AP338" i="13"/>
  <c r="AM338" i="13"/>
  <c r="AN338" i="13" s="1"/>
  <c r="AS338" i="13" s="1"/>
  <c r="AQ337" i="13"/>
  <c r="AP337" i="13"/>
  <c r="AM337" i="13"/>
  <c r="AN337" i="13" s="1"/>
  <c r="AS337" i="13" s="1"/>
  <c r="AQ402" i="13"/>
  <c r="AP402" i="13"/>
  <c r="AM402" i="13"/>
  <c r="AN402" i="13" s="1"/>
  <c r="AS402" i="13" s="1"/>
  <c r="AQ688" i="13"/>
  <c r="AP688" i="13"/>
  <c r="AM688" i="13"/>
  <c r="AN688" i="13" s="1"/>
  <c r="AS688" i="13" s="1"/>
  <c r="BT401" i="13"/>
  <c r="AQ401" i="13"/>
  <c r="AP401" i="13"/>
  <c r="AM401" i="13"/>
  <c r="AN401" i="13" s="1"/>
  <c r="AS401" i="13" s="1"/>
  <c r="AQ400" i="13"/>
  <c r="AP400" i="13"/>
  <c r="AM400" i="13"/>
  <c r="AN400" i="13" s="1"/>
  <c r="AS400" i="13" s="1"/>
  <c r="AQ399" i="13"/>
  <c r="AP399" i="13"/>
  <c r="AM399" i="13"/>
  <c r="AN399" i="13" s="1"/>
  <c r="AS399" i="13" s="1"/>
  <c r="AQ336" i="13"/>
  <c r="AP336" i="13"/>
  <c r="AM336" i="13"/>
  <c r="AN336" i="13" s="1"/>
  <c r="AS336" i="13" s="1"/>
  <c r="AQ398" i="13"/>
  <c r="AP398" i="13"/>
  <c r="AM398" i="13"/>
  <c r="AN398" i="13" s="1"/>
  <c r="AS398" i="13" s="1"/>
  <c r="AQ286" i="13"/>
  <c r="AP286" i="13"/>
  <c r="AM286" i="13"/>
  <c r="AN286" i="13" s="1"/>
  <c r="AS286" i="13" s="1"/>
  <c r="AQ437" i="13"/>
  <c r="AP437" i="13"/>
  <c r="AL437" i="13"/>
  <c r="AK437" i="13"/>
  <c r="AJ437" i="13"/>
  <c r="AI437" i="13"/>
  <c r="AH437" i="13"/>
  <c r="AG437" i="13"/>
  <c r="AQ436" i="13"/>
  <c r="AP436" i="13"/>
  <c r="AM436" i="13"/>
  <c r="AN436" i="13" s="1"/>
  <c r="AS436" i="13" s="1"/>
  <c r="AQ435" i="13"/>
  <c r="AP435" i="13"/>
  <c r="AM435" i="13"/>
  <c r="AN435" i="13" s="1"/>
  <c r="AS435" i="13" s="1"/>
  <c r="AQ372" i="13"/>
  <c r="AP372" i="13"/>
  <c r="AM372" i="13"/>
  <c r="AN372" i="13" s="1"/>
  <c r="AS372" i="13" s="1"/>
  <c r="AQ565" i="13"/>
  <c r="AP565" i="13"/>
  <c r="AM565" i="13"/>
  <c r="AN565" i="13" s="1"/>
  <c r="AS565" i="13" s="1"/>
  <c r="AQ634" i="13"/>
  <c r="AP634" i="13"/>
  <c r="AM634" i="13"/>
  <c r="AN634" i="13" s="1"/>
  <c r="AS634" i="13" s="1"/>
  <c r="AQ134" i="13"/>
  <c r="AP134" i="13"/>
  <c r="AM134" i="13"/>
  <c r="AN134" i="13" s="1"/>
  <c r="AS134" i="13" s="1"/>
  <c r="AQ589" i="13"/>
  <c r="AP589" i="13"/>
  <c r="AM589" i="13"/>
  <c r="AN589" i="13" s="1"/>
  <c r="AS589" i="13" s="1"/>
  <c r="AQ493" i="13"/>
  <c r="AP493" i="13"/>
  <c r="AM493" i="13"/>
  <c r="AN493" i="13" s="1"/>
  <c r="AS493" i="13" s="1"/>
  <c r="AQ328" i="13"/>
  <c r="AP328" i="13"/>
  <c r="AM328" i="13"/>
  <c r="AN328" i="13" s="1"/>
  <c r="AS328" i="13" s="1"/>
  <c r="AQ556" i="13"/>
  <c r="AP556" i="13"/>
  <c r="AM556" i="13"/>
  <c r="AN556" i="13" s="1"/>
  <c r="AS556" i="13" s="1"/>
  <c r="AQ306" i="13"/>
  <c r="AP306" i="13"/>
  <c r="AM306" i="13"/>
  <c r="AN306" i="13" s="1"/>
  <c r="AS306" i="13" s="1"/>
  <c r="AQ531" i="13"/>
  <c r="AP531" i="13"/>
  <c r="AM531" i="13"/>
  <c r="AN531" i="13" s="1"/>
  <c r="AS531" i="13" s="1"/>
  <c r="AQ592" i="13"/>
  <c r="AP592" i="13"/>
  <c r="AM592" i="13"/>
  <c r="AN592" i="13" s="1"/>
  <c r="AS592" i="13" s="1"/>
  <c r="AQ545" i="13"/>
  <c r="AP545" i="13"/>
  <c r="AM545" i="13"/>
  <c r="AN545" i="13" s="1"/>
  <c r="AS545" i="13" s="1"/>
  <c r="AQ507" i="13"/>
  <c r="AP507" i="13"/>
  <c r="AM507" i="13"/>
  <c r="AN507" i="13" s="1"/>
  <c r="AS507" i="13" s="1"/>
  <c r="AQ503" i="13"/>
  <c r="AP503" i="13"/>
  <c r="AM503" i="13"/>
  <c r="AN503" i="13" s="1"/>
  <c r="AS503" i="13" s="1"/>
  <c r="AQ572" i="13"/>
  <c r="AP572" i="13"/>
  <c r="AM572" i="13"/>
  <c r="AN572" i="13" s="1"/>
  <c r="AS572" i="13" s="1"/>
  <c r="AQ434" i="13"/>
  <c r="AP434" i="13"/>
  <c r="AM434" i="13"/>
  <c r="AN434" i="13" s="1"/>
  <c r="AS434" i="13" s="1"/>
  <c r="AQ608" i="13"/>
  <c r="AP608" i="13"/>
  <c r="AM608" i="13"/>
  <c r="AN608" i="13" s="1"/>
  <c r="AS608" i="13" s="1"/>
  <c r="AQ607" i="13"/>
  <c r="AP607" i="13"/>
  <c r="AM607" i="13"/>
  <c r="AN607" i="13" s="1"/>
  <c r="AS607" i="13" s="1"/>
  <c r="AQ633" i="13"/>
  <c r="AP633" i="13"/>
  <c r="AM633" i="13"/>
  <c r="AN633" i="13" s="1"/>
  <c r="AS633" i="13" s="1"/>
  <c r="AQ366" i="13"/>
  <c r="AP366" i="13"/>
  <c r="AM366" i="13"/>
  <c r="AN366" i="13" s="1"/>
  <c r="AS366" i="13" s="1"/>
  <c r="AQ348" i="13"/>
  <c r="AP348" i="13"/>
  <c r="AM348" i="13"/>
  <c r="AN348" i="13" s="1"/>
  <c r="AS348" i="13" s="1"/>
  <c r="AQ335" i="13"/>
  <c r="AP335" i="13"/>
  <c r="AM335" i="13"/>
  <c r="AN335" i="13" s="1"/>
  <c r="AS335" i="13" s="1"/>
  <c r="AQ661" i="13"/>
  <c r="AP661" i="13"/>
  <c r="AM661" i="13"/>
  <c r="AN661" i="13" s="1"/>
  <c r="AS661" i="13" s="1"/>
  <c r="AQ285" i="13"/>
  <c r="AP285" i="13"/>
  <c r="AM285" i="13"/>
  <c r="AN285" i="13" s="1"/>
  <c r="AS285" i="13" s="1"/>
  <c r="AQ267" i="13"/>
  <c r="AP267" i="13"/>
  <c r="AM267" i="13"/>
  <c r="AN267" i="13" s="1"/>
  <c r="AS267" i="13" s="1"/>
  <c r="AQ606" i="13"/>
  <c r="AP606" i="13"/>
  <c r="AM606" i="13"/>
  <c r="AN606" i="13" s="1"/>
  <c r="AS606" i="13" s="1"/>
  <c r="AQ64" i="13"/>
  <c r="AP64" i="13"/>
  <c r="AM64" i="13"/>
  <c r="AN64" i="13" s="1"/>
  <c r="AS64" i="13" s="1"/>
  <c r="AQ525" i="13"/>
  <c r="AP525" i="13"/>
  <c r="AM525" i="13"/>
  <c r="AN525" i="13" s="1"/>
  <c r="AS525" i="13" s="1"/>
  <c r="AQ676" i="13"/>
  <c r="AP676" i="13"/>
  <c r="AM676" i="13"/>
  <c r="AN676" i="13" s="1"/>
  <c r="AS676" i="13" s="1"/>
  <c r="AQ128" i="13"/>
  <c r="AP128" i="13"/>
  <c r="AM128" i="13"/>
  <c r="AN128" i="13" s="1"/>
  <c r="AS128" i="13" s="1"/>
  <c r="AQ381" i="13"/>
  <c r="AP381" i="13"/>
  <c r="AM381" i="13"/>
  <c r="AN381" i="13" s="1"/>
  <c r="AS381" i="13" s="1"/>
  <c r="AQ365" i="13"/>
  <c r="AP365" i="13"/>
  <c r="AM365" i="13"/>
  <c r="AN365" i="13" s="1"/>
  <c r="AS365" i="13" s="1"/>
  <c r="AQ357" i="13"/>
  <c r="AP357" i="13"/>
  <c r="AM357" i="13"/>
  <c r="AN357" i="13" s="1"/>
  <c r="AS357" i="13" s="1"/>
  <c r="AP502" i="13"/>
  <c r="AC502" i="13"/>
  <c r="AQ502" i="13" s="1"/>
  <c r="AQ590" i="13"/>
  <c r="AP590" i="13"/>
  <c r="AM590" i="13"/>
  <c r="AN590" i="13" s="1"/>
  <c r="AS590" i="13" s="1"/>
  <c r="AQ588" i="13"/>
  <c r="AP588" i="13"/>
  <c r="AM588" i="13"/>
  <c r="AN588" i="13" s="1"/>
  <c r="AS588" i="13" s="1"/>
  <c r="AQ524" i="13"/>
  <c r="AP524" i="13"/>
  <c r="AM524" i="13"/>
  <c r="AN524" i="13" s="1"/>
  <c r="AS524" i="13" s="1"/>
  <c r="AQ82" i="13"/>
  <c r="AP82" i="13"/>
  <c r="AM82" i="13"/>
  <c r="AN82" i="13" s="1"/>
  <c r="AS82" i="13" s="1"/>
  <c r="AQ411" i="13"/>
  <c r="AP411" i="13"/>
  <c r="AM411" i="13"/>
  <c r="AN411" i="13" s="1"/>
  <c r="AS411" i="13" s="1"/>
  <c r="AQ395" i="13"/>
  <c r="AP395" i="13"/>
  <c r="AM395" i="13"/>
  <c r="AN395" i="13" s="1"/>
  <c r="AS395" i="13" s="1"/>
  <c r="AQ314" i="13"/>
  <c r="AP314" i="13"/>
  <c r="AM314" i="13"/>
  <c r="AN314" i="13" s="1"/>
  <c r="AS314" i="13" s="1"/>
  <c r="AQ305" i="13"/>
  <c r="AP305" i="13"/>
  <c r="AM305" i="13"/>
  <c r="AN305" i="13" s="1"/>
  <c r="AS305" i="13" s="1"/>
  <c r="AQ266" i="13"/>
  <c r="AP266" i="13"/>
  <c r="AM266" i="13"/>
  <c r="AN266" i="13" s="1"/>
  <c r="AS266" i="13" s="1"/>
  <c r="AQ244" i="13"/>
  <c r="AP244" i="13"/>
  <c r="AM244" i="13"/>
  <c r="AN244" i="13" s="1"/>
  <c r="AS244" i="13" s="1"/>
  <c r="AQ585" i="13"/>
  <c r="AP585" i="13"/>
  <c r="AM585" i="13"/>
  <c r="AN585" i="13" s="1"/>
  <c r="AS585" i="13" s="1"/>
  <c r="AQ591" i="13"/>
  <c r="AP591" i="13"/>
  <c r="AM591" i="13"/>
  <c r="AN591" i="13" s="1"/>
  <c r="AS591" i="13" s="1"/>
  <c r="AQ327" i="13"/>
  <c r="AP327" i="13"/>
  <c r="AM327" i="13"/>
  <c r="AN327" i="13" s="1"/>
  <c r="AS327" i="13" s="1"/>
  <c r="AQ420" i="13"/>
  <c r="AP420" i="13"/>
  <c r="AM420" i="13"/>
  <c r="AN420" i="13" s="1"/>
  <c r="AS420" i="13" s="1"/>
  <c r="AQ284" i="13"/>
  <c r="AP284" i="13"/>
  <c r="AM284" i="13"/>
  <c r="AN284" i="13" s="1"/>
  <c r="AS284" i="13" s="1"/>
  <c r="AQ554" i="13"/>
  <c r="AP554" i="13"/>
  <c r="AM554" i="13"/>
  <c r="AN554" i="13" s="1"/>
  <c r="AS554" i="13" s="1"/>
  <c r="AQ430" i="13"/>
  <c r="AP430" i="13"/>
  <c r="AM430" i="13"/>
  <c r="AN430" i="13" s="1"/>
  <c r="AS430" i="13" s="1"/>
  <c r="AQ371" i="13"/>
  <c r="AP371" i="13"/>
  <c r="AM371" i="13"/>
  <c r="AN371" i="13" s="1"/>
  <c r="AS371" i="13" s="1"/>
  <c r="AQ599" i="13"/>
  <c r="AP599" i="13"/>
  <c r="AM599" i="13"/>
  <c r="AN599" i="13" s="1"/>
  <c r="AS599" i="13" s="1"/>
  <c r="AQ239" i="13"/>
  <c r="AP239" i="13"/>
  <c r="AM239" i="13"/>
  <c r="AN239" i="13" s="1"/>
  <c r="AS239" i="13" s="1"/>
  <c r="AQ131" i="13"/>
  <c r="AP131" i="13"/>
  <c r="AM131" i="13"/>
  <c r="AN131" i="13" s="1"/>
  <c r="AS131" i="13" s="1"/>
  <c r="AQ657" i="13"/>
  <c r="AP657" i="13"/>
  <c r="AM657" i="13"/>
  <c r="AN657" i="13" s="1"/>
  <c r="AS657" i="13" s="1"/>
  <c r="AQ182" i="13"/>
  <c r="AP182" i="13"/>
  <c r="AM182" i="13"/>
  <c r="AN182" i="13" s="1"/>
  <c r="AS182" i="13" s="1"/>
  <c r="AQ429" i="13"/>
  <c r="AP429" i="13"/>
  <c r="AM429" i="13"/>
  <c r="AN429" i="13" s="1"/>
  <c r="AS429" i="13" s="1"/>
  <c r="AQ669" i="13"/>
  <c r="AP669" i="13"/>
  <c r="AM669" i="13"/>
  <c r="AN669" i="13" s="1"/>
  <c r="AS669" i="13" s="1"/>
  <c r="AQ598" i="13"/>
  <c r="AP598" i="13"/>
  <c r="AM598" i="13"/>
  <c r="AN598" i="13" s="1"/>
  <c r="AS598" i="13" s="1"/>
  <c r="AQ238" i="13"/>
  <c r="AP238" i="13"/>
  <c r="AM238" i="13"/>
  <c r="AN238" i="13" s="1"/>
  <c r="AS238" i="13" s="1"/>
  <c r="AQ130" i="13"/>
  <c r="AP130" i="13"/>
  <c r="AM130" i="13"/>
  <c r="AN130" i="13" s="1"/>
  <c r="AS130" i="13" s="1"/>
  <c r="AQ656" i="13"/>
  <c r="AP656" i="13"/>
  <c r="AM656" i="13"/>
  <c r="AN656" i="13" s="1"/>
  <c r="AS656" i="13" s="1"/>
  <c r="AQ587" i="13"/>
  <c r="AP587" i="13"/>
  <c r="AM587" i="13"/>
  <c r="AN587" i="13" s="1"/>
  <c r="AS587" i="13" s="1"/>
  <c r="AQ370" i="13"/>
  <c r="AP370" i="13"/>
  <c r="AM370" i="13"/>
  <c r="AN370" i="13" s="1"/>
  <c r="AS370" i="13" s="1"/>
  <c r="AQ428" i="13"/>
  <c r="AP428" i="13"/>
  <c r="AM428" i="13"/>
  <c r="AN428" i="13" s="1"/>
  <c r="AS428" i="13" s="1"/>
  <c r="AQ668" i="13"/>
  <c r="AP668" i="13"/>
  <c r="AM668" i="13"/>
  <c r="AN668" i="13" s="1"/>
  <c r="AS668" i="13" s="1"/>
  <c r="AQ597" i="13"/>
  <c r="AP597" i="13"/>
  <c r="AM597" i="13"/>
  <c r="AN597" i="13" s="1"/>
  <c r="AS597" i="13" s="1"/>
  <c r="AQ237" i="13"/>
  <c r="AP237" i="13"/>
  <c r="AM237" i="13"/>
  <c r="AN237" i="13" s="1"/>
  <c r="AS237" i="13" s="1"/>
  <c r="AQ129" i="13"/>
  <c r="AP129" i="13"/>
  <c r="AM129" i="13"/>
  <c r="AN129" i="13" s="1"/>
  <c r="AS129" i="13" s="1"/>
  <c r="AQ632" i="13"/>
  <c r="AP632" i="13"/>
  <c r="AM632" i="13"/>
  <c r="AN632" i="13" s="1"/>
  <c r="AS632" i="13" s="1"/>
  <c r="AQ586" i="13"/>
  <c r="AP586" i="13"/>
  <c r="AM586" i="13"/>
  <c r="AN586" i="13" s="1"/>
  <c r="AS586" i="13" s="1"/>
  <c r="BT304" i="13"/>
  <c r="AQ304" i="13"/>
  <c r="AP304" i="13"/>
  <c r="AM304" i="13"/>
  <c r="AN304" i="13" s="1"/>
  <c r="AS304" i="13" s="1"/>
  <c r="AQ664" i="13"/>
  <c r="AP664" i="13"/>
  <c r="AM664" i="13"/>
  <c r="AN664" i="13" s="1"/>
  <c r="AS664" i="13" s="1"/>
  <c r="AQ631" i="13"/>
  <c r="AP631" i="13"/>
  <c r="AM631" i="13"/>
  <c r="AN631" i="13" s="1"/>
  <c r="AS631" i="13" s="1"/>
  <c r="AQ516" i="13"/>
  <c r="AP516" i="13"/>
  <c r="AM516" i="13"/>
  <c r="AN516" i="13" s="1"/>
  <c r="AS516" i="13" s="1"/>
  <c r="AQ683" i="13"/>
  <c r="AP683" i="13"/>
  <c r="AM683" i="13"/>
  <c r="AN683" i="13" s="1"/>
  <c r="AS683" i="13" s="1"/>
  <c r="AQ584" i="13"/>
  <c r="AP584" i="13"/>
  <c r="AM584" i="13"/>
  <c r="AN584" i="13" s="1"/>
  <c r="AS584" i="13" s="1"/>
  <c r="AQ630" i="13"/>
  <c r="AP630" i="13"/>
  <c r="AM630" i="13"/>
  <c r="AN630" i="13" s="1"/>
  <c r="AS630" i="13" s="1"/>
  <c r="AQ523" i="13"/>
  <c r="AP523" i="13"/>
  <c r="AM523" i="13"/>
  <c r="AN523" i="13" s="1"/>
  <c r="AS523" i="13" s="1"/>
  <c r="AQ544" i="13"/>
  <c r="AP544" i="13"/>
  <c r="AM544" i="13"/>
  <c r="AN544" i="13" s="1"/>
  <c r="AS544" i="13" s="1"/>
  <c r="AQ354" i="13"/>
  <c r="AP354" i="13"/>
  <c r="AM354" i="13"/>
  <c r="AN354" i="13" s="1"/>
  <c r="AS354" i="13" s="1"/>
  <c r="AQ559" i="13"/>
  <c r="AP559" i="13"/>
  <c r="AM559" i="13"/>
  <c r="AN559" i="13" s="1"/>
  <c r="AS559" i="13" s="1"/>
  <c r="AQ283" i="13"/>
  <c r="AP283" i="13"/>
  <c r="AM283" i="13"/>
  <c r="AN283" i="13" s="1"/>
  <c r="AS283" i="13" s="1"/>
  <c r="AQ127" i="13"/>
  <c r="AP127" i="13"/>
  <c r="AM127" i="13"/>
  <c r="AN127" i="13" s="1"/>
  <c r="AS127" i="13" s="1"/>
  <c r="AQ579" i="13"/>
  <c r="AP579" i="13"/>
  <c r="AM579" i="13"/>
  <c r="AN579" i="13" s="1"/>
  <c r="AS579" i="13" s="1"/>
  <c r="AQ8" i="13"/>
  <c r="AP8" i="13"/>
  <c r="AM8" i="13"/>
  <c r="AN8" i="13" s="1"/>
  <c r="AS8" i="13" s="1"/>
  <c r="AQ433" i="13"/>
  <c r="AP433" i="13"/>
  <c r="AM433" i="13"/>
  <c r="AN433" i="13" s="1"/>
  <c r="AS433" i="13" s="1"/>
  <c r="AQ432" i="13"/>
  <c r="AP432" i="13"/>
  <c r="AM432" i="13"/>
  <c r="AN432" i="13" s="1"/>
  <c r="AS432" i="13" s="1"/>
  <c r="AQ468" i="13"/>
  <c r="AP468" i="13"/>
  <c r="AM468" i="13"/>
  <c r="AN468" i="13" s="1"/>
  <c r="AS468" i="13" s="1"/>
  <c r="BT431" i="13"/>
  <c r="AQ431" i="13"/>
  <c r="AP431" i="13"/>
  <c r="AM431" i="13"/>
  <c r="AN431" i="13" s="1"/>
  <c r="AS431" i="13" s="1"/>
  <c r="AQ427" i="13"/>
  <c r="AP427" i="13"/>
  <c r="AM427" i="13"/>
  <c r="AN427" i="13" s="1"/>
  <c r="AS427" i="13" s="1"/>
  <c r="AQ426" i="13"/>
  <c r="AP426" i="13"/>
  <c r="AM426" i="13"/>
  <c r="AN426" i="13" s="1"/>
  <c r="AS426" i="13" s="1"/>
  <c r="AQ467" i="13"/>
  <c r="AP467" i="13"/>
  <c r="AM467" i="13"/>
  <c r="AN467" i="13" s="1"/>
  <c r="AS467" i="13" s="1"/>
  <c r="AQ313" i="13"/>
  <c r="AP313" i="13"/>
  <c r="AM313" i="13"/>
  <c r="AN313" i="13" s="1"/>
  <c r="AS313" i="13" s="1"/>
  <c r="AQ492" i="13"/>
  <c r="AP492" i="13"/>
  <c r="AM492" i="13"/>
  <c r="AN492" i="13" s="1"/>
  <c r="AS492" i="13" s="1"/>
  <c r="AQ425" i="13"/>
  <c r="AP425" i="13"/>
  <c r="AM425" i="13"/>
  <c r="AN425" i="13" s="1"/>
  <c r="AS425" i="13" s="1"/>
  <c r="AQ466" i="13"/>
  <c r="AP466" i="13"/>
  <c r="AM466" i="13"/>
  <c r="AN466" i="13" s="1"/>
  <c r="AS466" i="13" s="1"/>
  <c r="AQ491" i="13"/>
  <c r="AP491" i="13"/>
  <c r="AM491" i="13"/>
  <c r="AN491" i="13" s="1"/>
  <c r="AS491" i="13" s="1"/>
  <c r="AQ81" i="13"/>
  <c r="AP81" i="13"/>
  <c r="AM81" i="13"/>
  <c r="AN81" i="13" s="1"/>
  <c r="AS81" i="13" s="1"/>
  <c r="AQ465" i="13"/>
  <c r="AP465" i="13"/>
  <c r="AM465" i="13"/>
  <c r="AN465" i="13" s="1"/>
  <c r="AS465" i="13" s="1"/>
  <c r="AQ63" i="13"/>
  <c r="AP63" i="13"/>
  <c r="AM63" i="13"/>
  <c r="AN63" i="13" s="1"/>
  <c r="AS63" i="13" s="1"/>
  <c r="AQ458" i="13"/>
  <c r="AP458" i="13"/>
  <c r="AM458" i="13"/>
  <c r="AN458" i="13" s="1"/>
  <c r="AS458" i="13" s="1"/>
  <c r="AQ80" i="13"/>
  <c r="AP80" i="13"/>
  <c r="AM80" i="13"/>
  <c r="AN80" i="13" s="1"/>
  <c r="AS80" i="13" s="1"/>
  <c r="AQ464" i="13"/>
  <c r="AP464" i="13"/>
  <c r="AM464" i="13"/>
  <c r="AN464" i="13" s="1"/>
  <c r="AS464" i="13" s="1"/>
  <c r="AQ126" i="13"/>
  <c r="AP126" i="13"/>
  <c r="AM126" i="13"/>
  <c r="AN126" i="13" s="1"/>
  <c r="AS126" i="13" s="1"/>
  <c r="AQ62" i="13"/>
  <c r="AP62" i="13"/>
  <c r="AM62" i="13"/>
  <c r="AN62" i="13" s="1"/>
  <c r="AS62" i="13" s="1"/>
  <c r="AQ490" i="13"/>
  <c r="AP490" i="13"/>
  <c r="AM490" i="13"/>
  <c r="AN490" i="13" s="1"/>
  <c r="AS490" i="13" s="1"/>
  <c r="AQ61" i="13"/>
  <c r="AP61" i="13"/>
  <c r="AM61" i="13"/>
  <c r="AN61" i="13" s="1"/>
  <c r="AS61" i="13" s="1"/>
  <c r="AQ457" i="13"/>
  <c r="AP457" i="13"/>
  <c r="AM457" i="13"/>
  <c r="AN457" i="13" s="1"/>
  <c r="AS457" i="13" s="1"/>
  <c r="AQ60" i="13"/>
  <c r="AP60" i="13"/>
  <c r="AM60" i="13"/>
  <c r="AN60" i="13" s="1"/>
  <c r="AS60" i="13" s="1"/>
  <c r="AQ456" i="13"/>
  <c r="AP456" i="13"/>
  <c r="AM456" i="13"/>
  <c r="AN456" i="13" s="1"/>
  <c r="AS456" i="13" s="1"/>
  <c r="AQ59" i="13"/>
  <c r="AP59" i="13"/>
  <c r="AM59" i="13"/>
  <c r="AN59" i="13" s="1"/>
  <c r="AS59" i="13" s="1"/>
  <c r="AQ79" i="13"/>
  <c r="AP79" i="13"/>
  <c r="AM79" i="13"/>
  <c r="AN79" i="13" s="1"/>
  <c r="AS79" i="13" s="1"/>
  <c r="AQ463" i="13"/>
  <c r="AP463" i="13"/>
  <c r="AM463" i="13"/>
  <c r="AN463" i="13" s="1"/>
  <c r="AS463" i="13" s="1"/>
  <c r="AQ455" i="13"/>
  <c r="AP455" i="13"/>
  <c r="AM455" i="13"/>
  <c r="AN455" i="13" s="1"/>
  <c r="AS455" i="13" s="1"/>
  <c r="AQ58" i="13"/>
  <c r="AP58" i="13"/>
  <c r="AM58" i="13"/>
  <c r="AN58" i="13" s="1"/>
  <c r="AS58" i="13" s="1"/>
  <c r="AQ78" i="13"/>
  <c r="AP78" i="13"/>
  <c r="AM78" i="13"/>
  <c r="AN78" i="13" s="1"/>
  <c r="AS78" i="13" s="1"/>
  <c r="AQ489" i="13"/>
  <c r="AP489" i="13"/>
  <c r="AM489" i="13"/>
  <c r="AN489" i="13" s="1"/>
  <c r="AS489" i="13" s="1"/>
  <c r="AQ125" i="13"/>
  <c r="AP125" i="13"/>
  <c r="AM125" i="13"/>
  <c r="AN125" i="13" s="1"/>
  <c r="AS125" i="13" s="1"/>
  <c r="AQ77" i="13"/>
  <c r="AP77" i="13"/>
  <c r="AM77" i="13"/>
  <c r="AN77" i="13" s="1"/>
  <c r="AS77" i="13" s="1"/>
  <c r="AQ57" i="13"/>
  <c r="AP57" i="13"/>
  <c r="AM57" i="13"/>
  <c r="AN57" i="13" s="1"/>
  <c r="AS57" i="13" s="1"/>
  <c r="AQ488" i="13"/>
  <c r="AP488" i="13"/>
  <c r="AM488" i="13"/>
  <c r="AN488" i="13" s="1"/>
  <c r="AS488" i="13" s="1"/>
  <c r="AQ462" i="13"/>
  <c r="AP462" i="13"/>
  <c r="AM462" i="13"/>
  <c r="AN462" i="13" s="1"/>
  <c r="AS462" i="13" s="1"/>
  <c r="AQ454" i="13"/>
  <c r="AP454" i="13"/>
  <c r="AM454" i="13"/>
  <c r="AN454" i="13" s="1"/>
  <c r="AS454" i="13" s="1"/>
  <c r="AQ487" i="13"/>
  <c r="AP487" i="13"/>
  <c r="AM487" i="13"/>
  <c r="AN487" i="13" s="1"/>
  <c r="AS487" i="13" s="1"/>
  <c r="AQ124" i="13"/>
  <c r="AP124" i="13"/>
  <c r="AM124" i="13"/>
  <c r="AN124" i="13" s="1"/>
  <c r="AS124" i="13" s="1"/>
  <c r="AQ486" i="13"/>
  <c r="AP486" i="13"/>
  <c r="AM486" i="13"/>
  <c r="AN486" i="13" s="1"/>
  <c r="AS486" i="13" s="1"/>
  <c r="AQ123" i="13"/>
  <c r="AP123" i="13"/>
  <c r="AM123" i="13"/>
  <c r="AN123" i="13" s="1"/>
  <c r="AS123" i="13" s="1"/>
  <c r="BT76" i="13"/>
  <c r="AQ76" i="13"/>
  <c r="AP76" i="13"/>
  <c r="AM76" i="13"/>
  <c r="AN76" i="13" s="1"/>
  <c r="AS76" i="13" s="1"/>
  <c r="AQ122" i="13"/>
  <c r="AP122" i="13"/>
  <c r="AM122" i="13"/>
  <c r="AN122" i="13" s="1"/>
  <c r="AS122" i="13" s="1"/>
  <c r="AQ485" i="13"/>
  <c r="AP485" i="13"/>
  <c r="AM485" i="13"/>
  <c r="AN485" i="13" s="1"/>
  <c r="AS485" i="13" s="1"/>
  <c r="AQ121" i="13"/>
  <c r="AP121" i="13"/>
  <c r="AM121" i="13"/>
  <c r="AN121" i="13" s="1"/>
  <c r="AS121" i="13" s="1"/>
  <c r="AQ484" i="13"/>
  <c r="AP484" i="13"/>
  <c r="AM484" i="13"/>
  <c r="AN484" i="13" s="1"/>
  <c r="AS484" i="13" s="1"/>
  <c r="AQ461" i="13"/>
  <c r="AP461" i="13"/>
  <c r="AM461" i="13"/>
  <c r="AN461" i="13" s="1"/>
  <c r="AS461" i="13" s="1"/>
  <c r="AQ75" i="13"/>
  <c r="AP75" i="13"/>
  <c r="AM75" i="13"/>
  <c r="AN75" i="13" s="1"/>
  <c r="AS75" i="13" s="1"/>
  <c r="AQ74" i="13"/>
  <c r="AP74" i="13"/>
  <c r="AM74" i="13"/>
  <c r="AN74" i="13" s="1"/>
  <c r="AS74" i="13" s="1"/>
  <c r="AQ73" i="13"/>
  <c r="AP73" i="13"/>
  <c r="AM73" i="13"/>
  <c r="AN73" i="13" s="1"/>
  <c r="AS73" i="13" s="1"/>
  <c r="AQ56" i="13"/>
  <c r="AP56" i="13"/>
  <c r="AM56" i="13"/>
  <c r="AN56" i="13" s="1"/>
  <c r="AS56" i="13" s="1"/>
  <c r="AQ55" i="13"/>
  <c r="AP55" i="13"/>
  <c r="AM55" i="13"/>
  <c r="AN55" i="13" s="1"/>
  <c r="AS55" i="13" s="1"/>
  <c r="AQ54" i="13"/>
  <c r="AP54" i="13"/>
  <c r="AM54" i="13"/>
  <c r="AN54" i="13" s="1"/>
  <c r="AS54" i="13" s="1"/>
  <c r="AQ326" i="13"/>
  <c r="AP326" i="13"/>
  <c r="AL326" i="13"/>
  <c r="AK326" i="13"/>
  <c r="AJ326" i="13"/>
  <c r="AI326" i="13"/>
  <c r="AH326" i="13"/>
  <c r="AG326" i="13"/>
  <c r="AQ380" i="13"/>
  <c r="AP380" i="13"/>
  <c r="AL380" i="13"/>
  <c r="AK380" i="13"/>
  <c r="AJ380" i="13"/>
  <c r="AI380" i="13"/>
  <c r="AH380" i="13"/>
  <c r="AG380" i="13"/>
  <c r="AQ325" i="13"/>
  <c r="AP325" i="13"/>
  <c r="AL325" i="13"/>
  <c r="AK325" i="13"/>
  <c r="AJ325" i="13"/>
  <c r="AI325" i="13"/>
  <c r="AH325" i="13"/>
  <c r="AG325" i="13"/>
  <c r="AQ379" i="13"/>
  <c r="AP379" i="13"/>
  <c r="AL379" i="13"/>
  <c r="AK379" i="13"/>
  <c r="AJ379" i="13"/>
  <c r="BT120" i="13"/>
  <c r="AQ120" i="13"/>
  <c r="AP120" i="13"/>
  <c r="AM120" i="13"/>
  <c r="AN120" i="13" s="1"/>
  <c r="AS120" i="13" s="1"/>
  <c r="AQ501" i="13"/>
  <c r="AP501" i="13"/>
  <c r="AM501" i="13"/>
  <c r="AN501" i="13" s="1"/>
  <c r="AS501" i="13" s="1"/>
  <c r="AQ378" i="13"/>
  <c r="AP378" i="13"/>
  <c r="AM378" i="13"/>
  <c r="AN378" i="13" s="1"/>
  <c r="AS378" i="13" s="1"/>
  <c r="BT393" i="13"/>
  <c r="AQ393" i="13"/>
  <c r="AP393" i="13"/>
  <c r="AM393" i="13"/>
  <c r="AN393" i="13" s="1"/>
  <c r="AS393" i="13" s="1"/>
  <c r="BT392" i="13"/>
  <c r="AQ392" i="13"/>
  <c r="AP392" i="13"/>
  <c r="AM392" i="13"/>
  <c r="AN392" i="13" s="1"/>
  <c r="AS392" i="13" s="1"/>
  <c r="BT243" i="13"/>
  <c r="AQ243" i="13"/>
  <c r="AP243" i="13"/>
  <c r="AM243" i="13"/>
  <c r="AN243" i="13" s="1"/>
  <c r="AS243" i="13" s="1"/>
  <c r="AQ391" i="13"/>
  <c r="AP391" i="13"/>
  <c r="AM391" i="13"/>
  <c r="AN391" i="13" s="1"/>
  <c r="AS391" i="13" s="1"/>
  <c r="BT242" i="13"/>
  <c r="AQ242" i="13"/>
  <c r="AP242" i="13"/>
  <c r="AM242" i="13"/>
  <c r="AN242" i="13" s="1"/>
  <c r="AS242" i="13" s="1"/>
  <c r="AQ119" i="13"/>
  <c r="AP119" i="13"/>
  <c r="AM119" i="13"/>
  <c r="AN119" i="13" s="1"/>
  <c r="AS119" i="13" s="1"/>
  <c r="AQ311" i="13"/>
  <c r="AP311" i="13"/>
  <c r="AM311" i="13"/>
  <c r="AN311" i="13" s="1"/>
  <c r="AS311" i="13" s="1"/>
  <c r="BT377" i="13"/>
  <c r="AQ377" i="13"/>
  <c r="AP377" i="13"/>
  <c r="AL377" i="13"/>
  <c r="AK377" i="13"/>
  <c r="AJ377" i="13"/>
  <c r="AI377" i="13"/>
  <c r="AH377" i="13"/>
  <c r="AG377" i="13"/>
  <c r="AQ118" i="13"/>
  <c r="AP118" i="13"/>
  <c r="AM118" i="13"/>
  <c r="AN118" i="13" s="1"/>
  <c r="AS118" i="13" s="1"/>
  <c r="AQ310" i="13"/>
  <c r="AP310" i="13"/>
  <c r="AM310" i="13"/>
  <c r="AN310" i="13" s="1"/>
  <c r="AS310" i="13" s="1"/>
  <c r="AQ419" i="13"/>
  <c r="AP419" i="13"/>
  <c r="AM419" i="13"/>
  <c r="AN419" i="13" s="1"/>
  <c r="AS419" i="13" s="1"/>
  <c r="BT390" i="13"/>
  <c r="AQ390" i="13"/>
  <c r="AP390" i="13"/>
  <c r="AM390" i="13"/>
  <c r="AN390" i="13" s="1"/>
  <c r="AS390" i="13" s="1"/>
  <c r="BT241" i="13"/>
  <c r="AQ241" i="13"/>
  <c r="AP241" i="13"/>
  <c r="AM241" i="13"/>
  <c r="AN241" i="13" s="1"/>
  <c r="AS241" i="13" s="1"/>
  <c r="BT240" i="13"/>
  <c r="AQ240" i="13"/>
  <c r="AP240" i="13"/>
  <c r="AM240" i="13"/>
  <c r="AN240" i="13" s="1"/>
  <c r="AS240" i="13" s="1"/>
  <c r="BT364" i="13"/>
  <c r="AQ364" i="13"/>
  <c r="AP364" i="13"/>
  <c r="AL364" i="13"/>
  <c r="AK364" i="13"/>
  <c r="AJ364" i="13"/>
  <c r="AI364" i="13"/>
  <c r="AH364" i="13"/>
  <c r="AG364" i="13"/>
  <c r="AQ72" i="13"/>
  <c r="AP72" i="13"/>
  <c r="AM72" i="13"/>
  <c r="AN72" i="13" s="1"/>
  <c r="AS72" i="13" s="1"/>
  <c r="BT363" i="13"/>
  <c r="AQ363" i="13"/>
  <c r="AP363" i="13"/>
  <c r="AL363" i="13"/>
  <c r="AK363" i="13"/>
  <c r="AJ363" i="13"/>
  <c r="AI363" i="13"/>
  <c r="AH363" i="13"/>
  <c r="AG363" i="13"/>
  <c r="AQ71" i="13"/>
  <c r="AP71" i="13"/>
  <c r="AM71" i="13"/>
  <c r="AN71" i="13" s="1"/>
  <c r="AS71" i="13" s="1"/>
  <c r="BT362" i="13"/>
  <c r="AQ362" i="13"/>
  <c r="AP362" i="13"/>
  <c r="AL362" i="13"/>
  <c r="AK362" i="13"/>
  <c r="AJ362" i="13"/>
  <c r="AI362" i="13"/>
  <c r="AH362" i="13"/>
  <c r="AG362" i="13"/>
  <c r="AQ70" i="13"/>
  <c r="AP70" i="13"/>
  <c r="AM70" i="13"/>
  <c r="AN70" i="13" s="1"/>
  <c r="AS70" i="13" s="1"/>
  <c r="BT376" i="13"/>
  <c r="AQ376" i="13"/>
  <c r="AP376" i="13"/>
  <c r="AM376" i="13"/>
  <c r="AN376" i="13" s="1"/>
  <c r="AS376" i="13" s="1"/>
  <c r="AQ117" i="13"/>
  <c r="AP117" i="13"/>
  <c r="AM117" i="13"/>
  <c r="AN117" i="13" s="1"/>
  <c r="AS117" i="13" s="1"/>
  <c r="BT375" i="13"/>
  <c r="AQ375" i="13"/>
  <c r="AP375" i="13"/>
  <c r="AM375" i="13"/>
  <c r="AN375" i="13" s="1"/>
  <c r="AS375" i="13" s="1"/>
  <c r="AQ116" i="13"/>
  <c r="AP116" i="13"/>
  <c r="AM116" i="13"/>
  <c r="AN116" i="13" s="1"/>
  <c r="AS116" i="13" s="1"/>
  <c r="AQ324" i="13"/>
  <c r="AP324" i="13"/>
  <c r="AM324" i="13"/>
  <c r="AN324" i="13" s="1"/>
  <c r="AS324" i="13" s="1"/>
  <c r="AQ323" i="13"/>
  <c r="AP323" i="13"/>
  <c r="AM323" i="13"/>
  <c r="AN323" i="13" s="1"/>
  <c r="AS323" i="13" s="1"/>
  <c r="AQ309" i="13"/>
  <c r="AP309" i="13"/>
  <c r="AN309" i="13"/>
  <c r="AS309" i="13" s="1"/>
  <c r="AQ115" i="13"/>
  <c r="AP115" i="13"/>
  <c r="AL115" i="13"/>
  <c r="AK115" i="13"/>
  <c r="AJ115" i="13"/>
  <c r="AI115" i="13"/>
  <c r="AH115" i="13"/>
  <c r="AG115" i="13"/>
  <c r="BT69" i="13"/>
  <c r="AQ69" i="13"/>
  <c r="AP69" i="13"/>
  <c r="AM69" i="13"/>
  <c r="AQ114" i="13"/>
  <c r="AP114" i="13"/>
  <c r="AM114" i="13"/>
  <c r="AN114" i="13" s="1"/>
  <c r="BS3" i="13"/>
  <c r="BR3" i="13"/>
  <c r="BQ3" i="13"/>
  <c r="BP3" i="13"/>
  <c r="BO3" i="13"/>
  <c r="BN3" i="13"/>
  <c r="BM3" i="13"/>
  <c r="BL3" i="13"/>
  <c r="BK3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R3" i="13"/>
  <c r="AO3" i="13"/>
  <c r="AF3" i="13"/>
  <c r="AE3" i="13"/>
  <c r="AD3" i="13"/>
  <c r="AA3" i="13"/>
  <c r="Z3" i="13"/>
  <c r="Y3" i="13"/>
  <c r="X3" i="13"/>
  <c r="AQ90" i="21" l="1"/>
  <c r="AV545" i="21"/>
  <c r="BH543" i="21"/>
  <c r="AR552" i="21"/>
  <c r="AA548" i="21"/>
  <c r="BD576" i="21"/>
  <c r="BA533" i="21"/>
  <c r="BI568" i="21"/>
  <c r="BB582" i="21"/>
  <c r="AH560" i="21"/>
  <c r="Y569" i="21"/>
  <c r="BJ541" i="21"/>
  <c r="AU535" i="21"/>
  <c r="Z562" i="21"/>
  <c r="BM555" i="21"/>
  <c r="AC591" i="21"/>
  <c r="BQ539" i="21"/>
  <c r="AE584" i="21"/>
  <c r="AJ553" i="21"/>
  <c r="X544" i="21"/>
  <c r="BL538" i="21"/>
  <c r="X575" i="21"/>
  <c r="W566" i="21"/>
  <c r="BL585" i="21"/>
  <c r="AG570" i="21"/>
  <c r="BJ592" i="21"/>
  <c r="AC561" i="21"/>
  <c r="AA580" i="21"/>
  <c r="Z577" i="21"/>
  <c r="BF586" i="21"/>
  <c r="AS537" i="21"/>
  <c r="BK572" i="21"/>
  <c r="AB581" i="21"/>
  <c r="AA554" i="21"/>
  <c r="AM69" i="21"/>
  <c r="AN69" i="21" s="1"/>
  <c r="AS69" i="21" s="1"/>
  <c r="AM183" i="21"/>
  <c r="AN183" i="21" s="1"/>
  <c r="AS183" i="21" s="1"/>
  <c r="AB3" i="15"/>
  <c r="AM525" i="21"/>
  <c r="AN525" i="21" s="1"/>
  <c r="AS525" i="21" s="1"/>
  <c r="AM185" i="21"/>
  <c r="AN185" i="21" s="1"/>
  <c r="AS185" i="21" s="1"/>
  <c r="AM363" i="15"/>
  <c r="AN363" i="15" s="1"/>
  <c r="AS363" i="15" s="1"/>
  <c r="AC589" i="21"/>
  <c r="AK589" i="21"/>
  <c r="AU589" i="21"/>
  <c r="BC589" i="21"/>
  <c r="BK589" i="21"/>
  <c r="BS589" i="21"/>
  <c r="Y589" i="21"/>
  <c r="AG589" i="21"/>
  <c r="AQ589" i="21"/>
  <c r="AY589" i="21"/>
  <c r="BG589" i="21"/>
  <c r="BO589" i="21"/>
  <c r="Z589" i="21"/>
  <c r="AJ589" i="21"/>
  <c r="AW589" i="21"/>
  <c r="BH589" i="21"/>
  <c r="BR589" i="21"/>
  <c r="AD589" i="21"/>
  <c r="AP589" i="21"/>
  <c r="BA589" i="21"/>
  <c r="BL589" i="21"/>
  <c r="AE589" i="21"/>
  <c r="AR589" i="21"/>
  <c r="BB589" i="21"/>
  <c r="BM589" i="21"/>
  <c r="W589" i="21"/>
  <c r="AO589" i="21"/>
  <c r="BF589" i="21"/>
  <c r="AA589" i="21"/>
  <c r="AT589" i="21"/>
  <c r="BJ589" i="21"/>
  <c r="AB589" i="21"/>
  <c r="AV589" i="21"/>
  <c r="BN589" i="21"/>
  <c r="AF589" i="21"/>
  <c r="AX589" i="21"/>
  <c r="BP589" i="21"/>
  <c r="AH589" i="21"/>
  <c r="AZ589" i="21"/>
  <c r="BQ589" i="21"/>
  <c r="BI589" i="21"/>
  <c r="BD589" i="21"/>
  <c r="BE589" i="21"/>
  <c r="BT589" i="21"/>
  <c r="X589" i="21"/>
  <c r="AL589" i="21"/>
  <c r="AS589" i="21"/>
  <c r="W534" i="21"/>
  <c r="AE534" i="21"/>
  <c r="AO534" i="21"/>
  <c r="AW534" i="21"/>
  <c r="BE534" i="21"/>
  <c r="BM534" i="21"/>
  <c r="Z534" i="21"/>
  <c r="AH534" i="21"/>
  <c r="AR534" i="21"/>
  <c r="AZ534" i="21"/>
  <c r="BH534" i="21"/>
  <c r="BP534" i="21"/>
  <c r="AA534" i="21"/>
  <c r="AI534" i="21"/>
  <c r="AS534" i="21"/>
  <c r="BA534" i="21"/>
  <c r="BI534" i="21"/>
  <c r="BQ534" i="21"/>
  <c r="AF534" i="21"/>
  <c r="AU534" i="21"/>
  <c r="BG534" i="21"/>
  <c r="BT534" i="21"/>
  <c r="AJ534" i="21"/>
  <c r="AX534" i="21"/>
  <c r="BK534" i="21"/>
  <c r="X534" i="21"/>
  <c r="AK534" i="21"/>
  <c r="AY534" i="21"/>
  <c r="BL534" i="21"/>
  <c r="Y534" i="21"/>
  <c r="AL534" i="21"/>
  <c r="BB534" i="21"/>
  <c r="BN534" i="21"/>
  <c r="AB534" i="21"/>
  <c r="AP534" i="21"/>
  <c r="BC534" i="21"/>
  <c r="BO534" i="21"/>
  <c r="AC534" i="21"/>
  <c r="BJ534" i="21"/>
  <c r="BF534" i="21"/>
  <c r="BR534" i="21"/>
  <c r="AD534" i="21"/>
  <c r="BS534" i="21"/>
  <c r="AG534" i="21"/>
  <c r="AQ534" i="21"/>
  <c r="AV534" i="21"/>
  <c r="BD534" i="21"/>
  <c r="AT534" i="21"/>
  <c r="AC546" i="21"/>
  <c r="AK546" i="21"/>
  <c r="AU546" i="21"/>
  <c r="BC546" i="21"/>
  <c r="BK546" i="21"/>
  <c r="Z546" i="21"/>
  <c r="AH546" i="21"/>
  <c r="AR546" i="21"/>
  <c r="AZ546" i="21"/>
  <c r="BH546" i="21"/>
  <c r="BP546" i="21"/>
  <c r="AD546" i="21"/>
  <c r="AP546" i="21"/>
  <c r="BA546" i="21"/>
  <c r="BL546" i="21"/>
  <c r="AF546" i="21"/>
  <c r="AT546" i="21"/>
  <c r="BF546" i="21"/>
  <c r="BR546" i="21"/>
  <c r="AG546" i="21"/>
  <c r="AV546" i="21"/>
  <c r="BG546" i="21"/>
  <c r="BS546" i="21"/>
  <c r="W546" i="21"/>
  <c r="AI546" i="21"/>
  <c r="AW546" i="21"/>
  <c r="BI546" i="21"/>
  <c r="BT546" i="21"/>
  <c r="X546" i="21"/>
  <c r="AJ546" i="21"/>
  <c r="AX546" i="21"/>
  <c r="BJ546" i="21"/>
  <c r="Y546" i="21"/>
  <c r="AL546" i="21"/>
  <c r="AY546" i="21"/>
  <c r="BM546" i="21"/>
  <c r="AB546" i="21"/>
  <c r="AQ546" i="21"/>
  <c r="BD546" i="21"/>
  <c r="BO546" i="21"/>
  <c r="BB546" i="21"/>
  <c r="BE546" i="21"/>
  <c r="BQ546" i="21"/>
  <c r="AA546" i="21"/>
  <c r="AE546" i="21"/>
  <c r="AS546" i="21"/>
  <c r="BN546" i="21"/>
  <c r="X540" i="21"/>
  <c r="AF540" i="21"/>
  <c r="AP540" i="21"/>
  <c r="AX540" i="21"/>
  <c r="BF540" i="21"/>
  <c r="BN540" i="21"/>
  <c r="AD540" i="21"/>
  <c r="AO540" i="21"/>
  <c r="AY540" i="21"/>
  <c r="BH540" i="21"/>
  <c r="BQ540" i="21"/>
  <c r="AE540" i="21"/>
  <c r="AQ540" i="21"/>
  <c r="AZ540" i="21"/>
  <c r="BI540" i="21"/>
  <c r="BR540" i="21"/>
  <c r="W540" i="21"/>
  <c r="AG540" i="21"/>
  <c r="AR540" i="21"/>
  <c r="BA540" i="21"/>
  <c r="BJ540" i="21"/>
  <c r="BS540" i="21"/>
  <c r="Y540" i="21"/>
  <c r="AH540" i="21"/>
  <c r="AS540" i="21"/>
  <c r="BB540" i="21"/>
  <c r="BK540" i="21"/>
  <c r="AB540" i="21"/>
  <c r="AK540" i="21"/>
  <c r="AV540" i="21"/>
  <c r="BE540" i="21"/>
  <c r="BO540" i="21"/>
  <c r="AJ540" i="21"/>
  <c r="BL540" i="21"/>
  <c r="AL540" i="21"/>
  <c r="BM540" i="21"/>
  <c r="AU540" i="21"/>
  <c r="BT540" i="21"/>
  <c r="AA540" i="21"/>
  <c r="BP540" i="21"/>
  <c r="AC540" i="21"/>
  <c r="AT540" i="21"/>
  <c r="AW540" i="21"/>
  <c r="BD540" i="21"/>
  <c r="BG540" i="21"/>
  <c r="Z540" i="21"/>
  <c r="X571" i="21"/>
  <c r="AF571" i="21"/>
  <c r="AP571" i="21"/>
  <c r="AX571" i="21"/>
  <c r="BF571" i="21"/>
  <c r="BN571" i="21"/>
  <c r="AC571" i="21"/>
  <c r="AL571" i="21"/>
  <c r="AW571" i="21"/>
  <c r="BG571" i="21"/>
  <c r="BP571" i="21"/>
  <c r="W571" i="21"/>
  <c r="AG571" i="21"/>
  <c r="AR571" i="21"/>
  <c r="BA571" i="21"/>
  <c r="BJ571" i="21"/>
  <c r="BS571" i="21"/>
  <c r="AA571" i="21"/>
  <c r="AO571" i="21"/>
  <c r="BB571" i="21"/>
  <c r="BM571" i="21"/>
  <c r="AB571" i="21"/>
  <c r="AQ571" i="21"/>
  <c r="BC571" i="21"/>
  <c r="BO571" i="21"/>
  <c r="AE571" i="21"/>
  <c r="AT571" i="21"/>
  <c r="BE571" i="21"/>
  <c r="BR571" i="21"/>
  <c r="AJ571" i="21"/>
  <c r="BH571" i="21"/>
  <c r="AS571" i="21"/>
  <c r="BK571" i="21"/>
  <c r="Y571" i="21"/>
  <c r="AU571" i="21"/>
  <c r="BL571" i="21"/>
  <c r="Z571" i="21"/>
  <c r="AV571" i="21"/>
  <c r="BQ571" i="21"/>
  <c r="AH571" i="21"/>
  <c r="AZ571" i="21"/>
  <c r="AA549" i="21"/>
  <c r="AI549" i="21"/>
  <c r="AS549" i="21"/>
  <c r="BA549" i="21"/>
  <c r="AB549" i="21"/>
  <c r="AJ549" i="21"/>
  <c r="AT549" i="21"/>
  <c r="BB549" i="21"/>
  <c r="BJ549" i="21"/>
  <c r="BR549" i="21"/>
  <c r="AD549" i="21"/>
  <c r="AL549" i="21"/>
  <c r="AV549" i="21"/>
  <c r="BD549" i="21"/>
  <c r="BL549" i="21"/>
  <c r="BT549" i="21"/>
  <c r="W549" i="21"/>
  <c r="AH549" i="21"/>
  <c r="AX549" i="21"/>
  <c r="BI549" i="21"/>
  <c r="Y549" i="21"/>
  <c r="AO549" i="21"/>
  <c r="AZ549" i="21"/>
  <c r="BM549" i="21"/>
  <c r="Z549" i="21"/>
  <c r="AP549" i="21"/>
  <c r="BC549" i="21"/>
  <c r="BN549" i="21"/>
  <c r="AC549" i="21"/>
  <c r="AQ549" i="21"/>
  <c r="BE549" i="21"/>
  <c r="BO549" i="21"/>
  <c r="AF549" i="21"/>
  <c r="AU549" i="21"/>
  <c r="BG549" i="21"/>
  <c r="BQ549" i="21"/>
  <c r="AA550" i="21"/>
  <c r="AI550" i="21"/>
  <c r="AS550" i="21"/>
  <c r="BA550" i="21"/>
  <c r="AC550" i="21"/>
  <c r="AK550" i="21"/>
  <c r="AU550" i="21"/>
  <c r="Y550" i="21"/>
  <c r="AG550" i="21"/>
  <c r="AQ550" i="21"/>
  <c r="AY550" i="21"/>
  <c r="BG550" i="21"/>
  <c r="BO550" i="21"/>
  <c r="BN544" i="21"/>
  <c r="BE544" i="21"/>
  <c r="AW544" i="21"/>
  <c r="AO544" i="21"/>
  <c r="AE544" i="21"/>
  <c r="BG544" i="21"/>
  <c r="BP548" i="21"/>
  <c r="BH548" i="21"/>
  <c r="AZ548" i="21"/>
  <c r="AR548" i="21"/>
  <c r="AH548" i="21"/>
  <c r="Z548" i="21"/>
  <c r="BP554" i="21"/>
  <c r="BH554" i="21"/>
  <c r="AZ554" i="21"/>
  <c r="AR554" i="21"/>
  <c r="AH554" i="21"/>
  <c r="Z554" i="21"/>
  <c r="BP580" i="21"/>
  <c r="BH580" i="21"/>
  <c r="AZ580" i="21"/>
  <c r="AR580" i="21"/>
  <c r="AH580" i="21"/>
  <c r="Z580" i="21"/>
  <c r="BP566" i="21"/>
  <c r="BH566" i="21"/>
  <c r="AZ566" i="21"/>
  <c r="AR566" i="21"/>
  <c r="AF566" i="21"/>
  <c r="BL550" i="21"/>
  <c r="BC550" i="21"/>
  <c r="AP550" i="21"/>
  <c r="AB550" i="21"/>
  <c r="BM553" i="21"/>
  <c r="AX553" i="21"/>
  <c r="AF553" i="21"/>
  <c r="BJ562" i="21"/>
  <c r="AP562" i="21"/>
  <c r="BP560" i="21"/>
  <c r="AT560" i="21"/>
  <c r="X560" i="21"/>
  <c r="AZ552" i="21"/>
  <c r="AB552" i="21"/>
  <c r="BF581" i="21"/>
  <c r="AH581" i="21"/>
  <c r="BJ561" i="21"/>
  <c r="AH561" i="21"/>
  <c r="BC575" i="21"/>
  <c r="AR549" i="21"/>
  <c r="BF584" i="21"/>
  <c r="BR535" i="21"/>
  <c r="AE535" i="21"/>
  <c r="AB582" i="21"/>
  <c r="Y543" i="21"/>
  <c r="W572" i="21"/>
  <c r="BI571" i="21"/>
  <c r="BE539" i="21"/>
  <c r="AO541" i="21"/>
  <c r="BT545" i="21"/>
  <c r="BH537" i="21"/>
  <c r="AC532" i="21"/>
  <c r="AK532" i="21"/>
  <c r="AU532" i="21"/>
  <c r="BC532" i="21"/>
  <c r="BK532" i="21"/>
  <c r="BS532" i="21"/>
  <c r="Y532" i="21"/>
  <c r="AG532" i="21"/>
  <c r="AQ532" i="21"/>
  <c r="AY532" i="21"/>
  <c r="BG532" i="21"/>
  <c r="BO532" i="21"/>
  <c r="AE532" i="21"/>
  <c r="AR532" i="21"/>
  <c r="BB532" i="21"/>
  <c r="BM532" i="21"/>
  <c r="X532" i="21"/>
  <c r="AI532" i="21"/>
  <c r="AV532" i="21"/>
  <c r="BF532" i="21"/>
  <c r="BQ532" i="21"/>
  <c r="Z532" i="21"/>
  <c r="AJ532" i="21"/>
  <c r="AW532" i="21"/>
  <c r="BH532" i="21"/>
  <c r="BR532" i="21"/>
  <c r="AH532" i="21"/>
  <c r="BA532" i="21"/>
  <c r="BT532" i="21"/>
  <c r="AO532" i="21"/>
  <c r="BE532" i="21"/>
  <c r="W532" i="21"/>
  <c r="AP532" i="21"/>
  <c r="BI532" i="21"/>
  <c r="AA532" i="21"/>
  <c r="AS532" i="21"/>
  <c r="BJ532" i="21"/>
  <c r="AB532" i="21"/>
  <c r="AT532" i="21"/>
  <c r="BL532" i="21"/>
  <c r="BD532" i="21"/>
  <c r="AD532" i="21"/>
  <c r="AF532" i="21"/>
  <c r="AL532" i="21"/>
  <c r="AX532" i="21"/>
  <c r="BN532" i="21"/>
  <c r="AZ532" i="21"/>
  <c r="BP532" i="21"/>
  <c r="AC573" i="21"/>
  <c r="AK573" i="21"/>
  <c r="AU573" i="21"/>
  <c r="BC573" i="21"/>
  <c r="BK573" i="21"/>
  <c r="BS573" i="21"/>
  <c r="Y573" i="21"/>
  <c r="AG573" i="21"/>
  <c r="AQ573" i="21"/>
  <c r="AY573" i="21"/>
  <c r="BG573" i="21"/>
  <c r="BO573" i="21"/>
  <c r="AE573" i="21"/>
  <c r="AR573" i="21"/>
  <c r="BB573" i="21"/>
  <c r="BM573" i="21"/>
  <c r="X573" i="21"/>
  <c r="AI573" i="21"/>
  <c r="AV573" i="21"/>
  <c r="BF573" i="21"/>
  <c r="BQ573" i="21"/>
  <c r="Z573" i="21"/>
  <c r="AJ573" i="21"/>
  <c r="AW573" i="21"/>
  <c r="BH573" i="21"/>
  <c r="BR573" i="21"/>
  <c r="AA573" i="21"/>
  <c r="AS573" i="21"/>
  <c r="BJ573" i="21"/>
  <c r="AD573" i="21"/>
  <c r="AX573" i="21"/>
  <c r="BN573" i="21"/>
  <c r="AF573" i="21"/>
  <c r="AZ573" i="21"/>
  <c r="BP573" i="21"/>
  <c r="AH573" i="21"/>
  <c r="BA573" i="21"/>
  <c r="BT573" i="21"/>
  <c r="AL573" i="21"/>
  <c r="BD573" i="21"/>
  <c r="BI573" i="21"/>
  <c r="BE573" i="21"/>
  <c r="BL573" i="21"/>
  <c r="W573" i="21"/>
  <c r="AB573" i="21"/>
  <c r="AP573" i="21"/>
  <c r="AT573" i="21"/>
  <c r="W579" i="21"/>
  <c r="AE579" i="21"/>
  <c r="AO579" i="21"/>
  <c r="AW579" i="21"/>
  <c r="BE579" i="21"/>
  <c r="BM579" i="21"/>
  <c r="Z579" i="21"/>
  <c r="AH579" i="21"/>
  <c r="AR579" i="21"/>
  <c r="AZ579" i="21"/>
  <c r="BH579" i="21"/>
  <c r="BP579" i="21"/>
  <c r="AA579" i="21"/>
  <c r="AI579" i="21"/>
  <c r="AS579" i="21"/>
  <c r="BA579" i="21"/>
  <c r="BI579" i="21"/>
  <c r="BQ579" i="21"/>
  <c r="AJ579" i="21"/>
  <c r="AX579" i="21"/>
  <c r="BK579" i="21"/>
  <c r="Y579" i="21"/>
  <c r="AL579" i="21"/>
  <c r="BB579" i="21"/>
  <c r="BN579" i="21"/>
  <c r="AB579" i="21"/>
  <c r="AP579" i="21"/>
  <c r="BC579" i="21"/>
  <c r="BO579" i="21"/>
  <c r="AD579" i="21"/>
  <c r="AT579" i="21"/>
  <c r="BF579" i="21"/>
  <c r="BS579" i="21"/>
  <c r="AQ579" i="21"/>
  <c r="BR579" i="21"/>
  <c r="AU579" i="21"/>
  <c r="AV579" i="21"/>
  <c r="AY579" i="21"/>
  <c r="X579" i="21"/>
  <c r="BD579" i="21"/>
  <c r="AC579" i="21"/>
  <c r="BG579" i="21"/>
  <c r="AG579" i="21"/>
  <c r="BL579" i="21"/>
  <c r="BJ579" i="21"/>
  <c r="BT579" i="21"/>
  <c r="AF579" i="21"/>
  <c r="Z567" i="21"/>
  <c r="AH567" i="21"/>
  <c r="AR567" i="21"/>
  <c r="AZ567" i="21"/>
  <c r="BH567" i="21"/>
  <c r="BP567" i="21"/>
  <c r="W567" i="21"/>
  <c r="AF567" i="21"/>
  <c r="AQ567" i="21"/>
  <c r="BA567" i="21"/>
  <c r="BJ567" i="21"/>
  <c r="BS567" i="21"/>
  <c r="AD567" i="21"/>
  <c r="AP567" i="21"/>
  <c r="BB567" i="21"/>
  <c r="BL567" i="21"/>
  <c r="AE567" i="21"/>
  <c r="AS567" i="21"/>
  <c r="BC567" i="21"/>
  <c r="BM567" i="21"/>
  <c r="AG567" i="21"/>
  <c r="AT567" i="21"/>
  <c r="BD567" i="21"/>
  <c r="BN567" i="21"/>
  <c r="X567" i="21"/>
  <c r="AI567" i="21"/>
  <c r="AU567" i="21"/>
  <c r="BE567" i="21"/>
  <c r="BO567" i="21"/>
  <c r="Y567" i="21"/>
  <c r="AJ567" i="21"/>
  <c r="AV567" i="21"/>
  <c r="BF567" i="21"/>
  <c r="BQ567" i="21"/>
  <c r="AB567" i="21"/>
  <c r="AL567" i="21"/>
  <c r="AX567" i="21"/>
  <c r="BI567" i="21"/>
  <c r="BT567" i="21"/>
  <c r="AW567" i="21"/>
  <c r="AY567" i="21"/>
  <c r="BK567" i="21"/>
  <c r="AA567" i="21"/>
  <c r="AC567" i="21"/>
  <c r="AO567" i="21"/>
  <c r="AK567" i="21"/>
  <c r="BR567" i="21"/>
  <c r="X578" i="21"/>
  <c r="AF578" i="21"/>
  <c r="AP578" i="21"/>
  <c r="AX578" i="21"/>
  <c r="BF578" i="21"/>
  <c r="BN578" i="21"/>
  <c r="AB578" i="21"/>
  <c r="AK578" i="21"/>
  <c r="AV578" i="21"/>
  <c r="BE578" i="21"/>
  <c r="BO578" i="21"/>
  <c r="AC578" i="21"/>
  <c r="AL578" i="21"/>
  <c r="AW578" i="21"/>
  <c r="BG578" i="21"/>
  <c r="BP578" i="21"/>
  <c r="AD578" i="21"/>
  <c r="AO578" i="21"/>
  <c r="AY578" i="21"/>
  <c r="BH578" i="21"/>
  <c r="BQ578" i="21"/>
  <c r="Z578" i="21"/>
  <c r="AI578" i="21"/>
  <c r="AG578" i="21"/>
  <c r="AZ578" i="21"/>
  <c r="BL578" i="21"/>
  <c r="AH578" i="21"/>
  <c r="BA578" i="21"/>
  <c r="BM578" i="21"/>
  <c r="AQ578" i="21"/>
  <c r="BC578" i="21"/>
  <c r="BS578" i="21"/>
  <c r="AT578" i="21"/>
  <c r="BT578" i="21"/>
  <c r="W578" i="21"/>
  <c r="AU578" i="21"/>
  <c r="AA578" i="21"/>
  <c r="BD578" i="21"/>
  <c r="AS578" i="21"/>
  <c r="BI578" i="21"/>
  <c r="BJ578" i="21"/>
  <c r="Y578" i="21"/>
  <c r="BK578" i="21"/>
  <c r="AJ578" i="21"/>
  <c r="X538" i="21"/>
  <c r="AF538" i="21"/>
  <c r="AP538" i="21"/>
  <c r="AX538" i="21"/>
  <c r="BF538" i="21"/>
  <c r="BN538" i="21"/>
  <c r="AA538" i="21"/>
  <c r="AJ538" i="21"/>
  <c r="AU538" i="21"/>
  <c r="BD538" i="21"/>
  <c r="BM538" i="21"/>
  <c r="AD538" i="21"/>
  <c r="AO538" i="21"/>
  <c r="AY538" i="21"/>
  <c r="BH538" i="21"/>
  <c r="BQ538" i="21"/>
  <c r="AB538" i="21"/>
  <c r="AQ538" i="21"/>
  <c r="BB538" i="21"/>
  <c r="BO538" i="21"/>
  <c r="AC538" i="21"/>
  <c r="AR538" i="21"/>
  <c r="BC538" i="21"/>
  <c r="BP538" i="21"/>
  <c r="AG538" i="21"/>
  <c r="AT538" i="21"/>
  <c r="BG538" i="21"/>
  <c r="BS538" i="21"/>
  <c r="Z538" i="21"/>
  <c r="AW538" i="21"/>
  <c r="BR538" i="21"/>
  <c r="AH538" i="21"/>
  <c r="BA538" i="21"/>
  <c r="AI538" i="21"/>
  <c r="BE538" i="21"/>
  <c r="AK538" i="21"/>
  <c r="BI538" i="21"/>
  <c r="W538" i="21"/>
  <c r="AS538" i="21"/>
  <c r="BK538" i="21"/>
  <c r="AB575" i="21"/>
  <c r="AJ575" i="21"/>
  <c r="AT575" i="21"/>
  <c r="BB575" i="21"/>
  <c r="BJ575" i="21"/>
  <c r="BR575" i="21"/>
  <c r="AD575" i="21"/>
  <c r="AL575" i="21"/>
  <c r="AV575" i="21"/>
  <c r="BD575" i="21"/>
  <c r="BL575" i="21"/>
  <c r="BT575" i="21"/>
  <c r="W575" i="21"/>
  <c r="AG575" i="21"/>
  <c r="AS575" i="21"/>
  <c r="BE575" i="21"/>
  <c r="BO575" i="21"/>
  <c r="Y575" i="21"/>
  <c r="AI575" i="21"/>
  <c r="AW575" i="21"/>
  <c r="BG575" i="21"/>
  <c r="BQ575" i="21"/>
  <c r="Z575" i="21"/>
  <c r="AK575" i="21"/>
  <c r="AX575" i="21"/>
  <c r="BH575" i="21"/>
  <c r="BS575" i="21"/>
  <c r="AA575" i="21"/>
  <c r="AO575" i="21"/>
  <c r="AY575" i="21"/>
  <c r="BI575" i="21"/>
  <c r="AE575" i="21"/>
  <c r="AQ575" i="21"/>
  <c r="BA575" i="21"/>
  <c r="BM575" i="21"/>
  <c r="Y566" i="21"/>
  <c r="AG566" i="21"/>
  <c r="AQ566" i="21"/>
  <c r="W544" i="21"/>
  <c r="BM544" i="21"/>
  <c r="BD544" i="21"/>
  <c r="AV544" i="21"/>
  <c r="AL544" i="21"/>
  <c r="AD544" i="21"/>
  <c r="BO548" i="21"/>
  <c r="BG548" i="21"/>
  <c r="AY548" i="21"/>
  <c r="AQ548" i="21"/>
  <c r="AG548" i="21"/>
  <c r="Y548" i="21"/>
  <c r="BO554" i="21"/>
  <c r="BG554" i="21"/>
  <c r="AY554" i="21"/>
  <c r="AQ554" i="21"/>
  <c r="AG554" i="21"/>
  <c r="Y554" i="21"/>
  <c r="BO580" i="21"/>
  <c r="BG580" i="21"/>
  <c r="AY580" i="21"/>
  <c r="AQ580" i="21"/>
  <c r="AG580" i="21"/>
  <c r="Y580" i="21"/>
  <c r="BO566" i="21"/>
  <c r="BG566" i="21"/>
  <c r="AY566" i="21"/>
  <c r="AP566" i="21"/>
  <c r="AE566" i="21"/>
  <c r="BT550" i="21"/>
  <c r="BK550" i="21"/>
  <c r="BB550" i="21"/>
  <c r="AO550" i="21"/>
  <c r="Z550" i="21"/>
  <c r="BL553" i="21"/>
  <c r="AW553" i="21"/>
  <c r="AE553" i="21"/>
  <c r="BH562" i="21"/>
  <c r="AJ562" i="21"/>
  <c r="BN560" i="21"/>
  <c r="AR560" i="21"/>
  <c r="BR552" i="21"/>
  <c r="AX552" i="21"/>
  <c r="Z552" i="21"/>
  <c r="BB581" i="21"/>
  <c r="AF581" i="21"/>
  <c r="BH561" i="21"/>
  <c r="AZ575" i="21"/>
  <c r="BS549" i="21"/>
  <c r="AK549" i="21"/>
  <c r="BC584" i="21"/>
  <c r="BM535" i="21"/>
  <c r="W535" i="21"/>
  <c r="Y582" i="21"/>
  <c r="BO572" i="21"/>
  <c r="BJ538" i="21"/>
  <c r="BD571" i="21"/>
  <c r="AS539" i="21"/>
  <c r="AE541" i="21"/>
  <c r="BO545" i="21"/>
  <c r="AV537" i="21"/>
  <c r="BR578" i="21"/>
  <c r="BT569" i="21"/>
  <c r="AK579" i="21"/>
  <c r="AC547" i="21"/>
  <c r="AK547" i="21"/>
  <c r="AU547" i="21"/>
  <c r="BC547" i="21"/>
  <c r="BK547" i="21"/>
  <c r="BS547" i="21"/>
  <c r="Y547" i="21"/>
  <c r="AG547" i="21"/>
  <c r="AQ547" i="21"/>
  <c r="AY547" i="21"/>
  <c r="BG547" i="21"/>
  <c r="BO547" i="21"/>
  <c r="Z547" i="21"/>
  <c r="AJ547" i="21"/>
  <c r="AW547" i="21"/>
  <c r="BH547" i="21"/>
  <c r="BR547" i="21"/>
  <c r="AD547" i="21"/>
  <c r="AP547" i="21"/>
  <c r="BA547" i="21"/>
  <c r="BL547" i="21"/>
  <c r="AE547" i="21"/>
  <c r="AR547" i="21"/>
  <c r="BB547" i="21"/>
  <c r="BM547" i="21"/>
  <c r="AL547" i="21"/>
  <c r="BE547" i="21"/>
  <c r="X547" i="21"/>
  <c r="AS547" i="21"/>
  <c r="BI547" i="21"/>
  <c r="AA547" i="21"/>
  <c r="AT547" i="21"/>
  <c r="BJ547" i="21"/>
  <c r="AB547" i="21"/>
  <c r="AV547" i="21"/>
  <c r="BN547" i="21"/>
  <c r="AF547" i="21"/>
  <c r="AX547" i="21"/>
  <c r="BP547" i="21"/>
  <c r="AH547" i="21"/>
  <c r="W547" i="21"/>
  <c r="AI547" i="21"/>
  <c r="AO547" i="21"/>
  <c r="AZ547" i="21"/>
  <c r="BD547" i="21"/>
  <c r="BQ547" i="21"/>
  <c r="BT547" i="21"/>
  <c r="BF547" i="21"/>
  <c r="AC551" i="21"/>
  <c r="AK551" i="21"/>
  <c r="AU551" i="21"/>
  <c r="BC551" i="21"/>
  <c r="BK551" i="21"/>
  <c r="BS551" i="21"/>
  <c r="Y551" i="21"/>
  <c r="AG551" i="21"/>
  <c r="AQ551" i="21"/>
  <c r="AY551" i="21"/>
  <c r="BG551" i="21"/>
  <c r="BO551" i="21"/>
  <c r="Z551" i="21"/>
  <c r="AJ551" i="21"/>
  <c r="AW551" i="21"/>
  <c r="BH551" i="21"/>
  <c r="BR551" i="21"/>
  <c r="AD551" i="21"/>
  <c r="AP551" i="21"/>
  <c r="BA551" i="21"/>
  <c r="BL551" i="21"/>
  <c r="AE551" i="21"/>
  <c r="AR551" i="21"/>
  <c r="BB551" i="21"/>
  <c r="BM551" i="21"/>
  <c r="AB551" i="21"/>
  <c r="AV551" i="21"/>
  <c r="BN551" i="21"/>
  <c r="AH551" i="21"/>
  <c r="AZ551" i="21"/>
  <c r="BQ551" i="21"/>
  <c r="AI551" i="21"/>
  <c r="BD551" i="21"/>
  <c r="BT551" i="21"/>
  <c r="AL551" i="21"/>
  <c r="BE551" i="21"/>
  <c r="W551" i="21"/>
  <c r="AO551" i="21"/>
  <c r="BF551" i="21"/>
  <c r="BI551" i="21"/>
  <c r="BJ551" i="21"/>
  <c r="BP551" i="21"/>
  <c r="X551" i="21"/>
  <c r="AA551" i="21"/>
  <c r="AF551" i="21"/>
  <c r="AT551" i="21"/>
  <c r="AS551" i="21"/>
  <c r="AX551" i="21"/>
  <c r="W556" i="21"/>
  <c r="AE556" i="21"/>
  <c r="AO556" i="21"/>
  <c r="AW556" i="21"/>
  <c r="BE556" i="21"/>
  <c r="BM556" i="21"/>
  <c r="Z556" i="21"/>
  <c r="AH556" i="21"/>
  <c r="AR556" i="21"/>
  <c r="AZ556" i="21"/>
  <c r="AA556" i="21"/>
  <c r="AI556" i="21"/>
  <c r="AS556" i="21"/>
  <c r="BA556" i="21"/>
  <c r="BI556" i="21"/>
  <c r="BQ556" i="21"/>
  <c r="Y556" i="21"/>
  <c r="AL556" i="21"/>
  <c r="BB556" i="21"/>
  <c r="BL556" i="21"/>
  <c r="AC556" i="21"/>
  <c r="AQ556" i="21"/>
  <c r="BD556" i="21"/>
  <c r="BO556" i="21"/>
  <c r="AD556" i="21"/>
  <c r="AT556" i="21"/>
  <c r="BF556" i="21"/>
  <c r="BP556" i="21"/>
  <c r="AG556" i="21"/>
  <c r="AV556" i="21"/>
  <c r="BH556" i="21"/>
  <c r="BS556" i="21"/>
  <c r="AU556" i="21"/>
  <c r="BR556" i="21"/>
  <c r="X556" i="21"/>
  <c r="BC556" i="21"/>
  <c r="AB556" i="21"/>
  <c r="BG556" i="21"/>
  <c r="AF556" i="21"/>
  <c r="BJ556" i="21"/>
  <c r="AJ556" i="21"/>
  <c r="BK556" i="21"/>
  <c r="AK556" i="21"/>
  <c r="BN556" i="21"/>
  <c r="AX556" i="21"/>
  <c r="AY556" i="21"/>
  <c r="AP556" i="21"/>
  <c r="BT556" i="21"/>
  <c r="Z585" i="21"/>
  <c r="AH585" i="21"/>
  <c r="AR585" i="21"/>
  <c r="AZ585" i="21"/>
  <c r="BH585" i="21"/>
  <c r="BP585" i="21"/>
  <c r="AD585" i="21"/>
  <c r="AO585" i="21"/>
  <c r="AX585" i="21"/>
  <c r="BG585" i="21"/>
  <c r="BQ585" i="21"/>
  <c r="X585" i="21"/>
  <c r="AI585" i="21"/>
  <c r="AU585" i="21"/>
  <c r="BE585" i="21"/>
  <c r="BO585" i="21"/>
  <c r="Y585" i="21"/>
  <c r="AJ585" i="21"/>
  <c r="AV585" i="21"/>
  <c r="BF585" i="21"/>
  <c r="BR585" i="21"/>
  <c r="AA585" i="21"/>
  <c r="AK585" i="21"/>
  <c r="AW585" i="21"/>
  <c r="BI585" i="21"/>
  <c r="BS585" i="21"/>
  <c r="AB585" i="21"/>
  <c r="AL585" i="21"/>
  <c r="AY585" i="21"/>
  <c r="BJ585" i="21"/>
  <c r="BT585" i="21"/>
  <c r="AC585" i="21"/>
  <c r="AP585" i="21"/>
  <c r="BA585" i="21"/>
  <c r="BK585" i="21"/>
  <c r="AF585" i="21"/>
  <c r="AS585" i="21"/>
  <c r="BC585" i="21"/>
  <c r="BM585" i="21"/>
  <c r="AQ585" i="21"/>
  <c r="AT585" i="21"/>
  <c r="BD585" i="21"/>
  <c r="AG585" i="21"/>
  <c r="BB585" i="21"/>
  <c r="BN585" i="21"/>
  <c r="AE585" i="21"/>
  <c r="X570" i="21"/>
  <c r="AF570" i="21"/>
  <c r="AP570" i="21"/>
  <c r="AX570" i="21"/>
  <c r="BF570" i="21"/>
  <c r="BN570" i="21"/>
  <c r="Z570" i="21"/>
  <c r="AI570" i="21"/>
  <c r="AT570" i="21"/>
  <c r="BC570" i="21"/>
  <c r="BL570" i="21"/>
  <c r="AA570" i="21"/>
  <c r="AJ570" i="21"/>
  <c r="AU570" i="21"/>
  <c r="BD570" i="21"/>
  <c r="BM570" i="21"/>
  <c r="AB570" i="21"/>
  <c r="AD570" i="21"/>
  <c r="AR570" i="21"/>
  <c r="BE570" i="21"/>
  <c r="BQ570" i="21"/>
  <c r="AE570" i="21"/>
  <c r="AS570" i="21"/>
  <c r="BG570" i="21"/>
  <c r="BR570" i="21"/>
  <c r="AH570" i="21"/>
  <c r="AW570" i="21"/>
  <c r="BI570" i="21"/>
  <c r="BT570" i="21"/>
  <c r="AQ570" i="21"/>
  <c r="BK570" i="21"/>
  <c r="W570" i="21"/>
  <c r="AV570" i="21"/>
  <c r="BO570" i="21"/>
  <c r="AC570" i="21"/>
  <c r="AZ570" i="21"/>
  <c r="BS570" i="21"/>
  <c r="AK570" i="21"/>
  <c r="BP570" i="21"/>
  <c r="AO570" i="21"/>
  <c r="AY570" i="21"/>
  <c r="BA570" i="21"/>
  <c r="Y570" i="21"/>
  <c r="BH570" i="21"/>
  <c r="X592" i="21"/>
  <c r="AF592" i="21"/>
  <c r="AP592" i="21"/>
  <c r="AX592" i="21"/>
  <c r="BF592" i="21"/>
  <c r="BN592" i="21"/>
  <c r="Y592" i="21"/>
  <c r="AH592" i="21"/>
  <c r="AS592" i="21"/>
  <c r="BB592" i="21"/>
  <c r="BK592" i="21"/>
  <c r="BT592" i="21"/>
  <c r="AB592" i="21"/>
  <c r="AK592" i="21"/>
  <c r="AV592" i="21"/>
  <c r="BE592" i="21"/>
  <c r="BO592" i="21"/>
  <c r="AC592" i="21"/>
  <c r="AQ592" i="21"/>
  <c r="BC592" i="21"/>
  <c r="BP592" i="21"/>
  <c r="AD592" i="21"/>
  <c r="AR592" i="21"/>
  <c r="BD592" i="21"/>
  <c r="BQ592" i="21"/>
  <c r="AG592" i="21"/>
  <c r="AU592" i="21"/>
  <c r="BH592" i="21"/>
  <c r="BS592" i="21"/>
  <c r="AL592" i="21"/>
  <c r="BI592" i="21"/>
  <c r="W592" i="21"/>
  <c r="AT592" i="21"/>
  <c r="BL592" i="21"/>
  <c r="Z592" i="21"/>
  <c r="AW592" i="21"/>
  <c r="BM592" i="21"/>
  <c r="AA592" i="21"/>
  <c r="AY592" i="21"/>
  <c r="BR592" i="21"/>
  <c r="AI592" i="21"/>
  <c r="BA592" i="21"/>
  <c r="AB561" i="21"/>
  <c r="AJ561" i="21"/>
  <c r="AT561" i="21"/>
  <c r="BB561" i="21"/>
  <c r="AD561" i="21"/>
  <c r="AL561" i="21"/>
  <c r="AV561" i="21"/>
  <c r="BD561" i="21"/>
  <c r="AA561" i="21"/>
  <c r="AO561" i="21"/>
  <c r="AY561" i="21"/>
  <c r="BI561" i="21"/>
  <c r="BQ561" i="21"/>
  <c r="AE561" i="21"/>
  <c r="AQ561" i="21"/>
  <c r="BA561" i="21"/>
  <c r="BK561" i="21"/>
  <c r="BS561" i="21"/>
  <c r="AF561" i="21"/>
  <c r="AR561" i="21"/>
  <c r="BC561" i="21"/>
  <c r="BL561" i="21"/>
  <c r="BT561" i="21"/>
  <c r="W561" i="21"/>
  <c r="AG561" i="21"/>
  <c r="AS561" i="21"/>
  <c r="BE561" i="21"/>
  <c r="BM561" i="21"/>
  <c r="Y561" i="21"/>
  <c r="AI561" i="21"/>
  <c r="AW561" i="21"/>
  <c r="BG561" i="21"/>
  <c r="BO561" i="21"/>
  <c r="BT544" i="21"/>
  <c r="BL544" i="21"/>
  <c r="BC544" i="21"/>
  <c r="AU544" i="21"/>
  <c r="AK544" i="21"/>
  <c r="AC544" i="21"/>
  <c r="BN548" i="21"/>
  <c r="BF548" i="21"/>
  <c r="AX548" i="21"/>
  <c r="AP548" i="21"/>
  <c r="AF548" i="21"/>
  <c r="X548" i="21"/>
  <c r="BN554" i="21"/>
  <c r="BF554" i="21"/>
  <c r="AX554" i="21"/>
  <c r="AP554" i="21"/>
  <c r="AF554" i="21"/>
  <c r="X554" i="21"/>
  <c r="BN580" i="21"/>
  <c r="BF580" i="21"/>
  <c r="AX580" i="21"/>
  <c r="AP580" i="21"/>
  <c r="AF580" i="21"/>
  <c r="X580" i="21"/>
  <c r="BN566" i="21"/>
  <c r="BF566" i="21"/>
  <c r="AX566" i="21"/>
  <c r="AO566" i="21"/>
  <c r="AD566" i="21"/>
  <c r="BS550" i="21"/>
  <c r="BJ550" i="21"/>
  <c r="AZ550" i="21"/>
  <c r="AL550" i="21"/>
  <c r="X550" i="21"/>
  <c r="BJ553" i="21"/>
  <c r="AT553" i="21"/>
  <c r="AB553" i="21"/>
  <c r="BF562" i="21"/>
  <c r="AH562" i="21"/>
  <c r="BJ560" i="21"/>
  <c r="AP560" i="21"/>
  <c r="BP552" i="21"/>
  <c r="AT552" i="21"/>
  <c r="X552" i="21"/>
  <c r="AZ581" i="21"/>
  <c r="BF561" i="21"/>
  <c r="Z561" i="21"/>
  <c r="AU575" i="21"/>
  <c r="BP549" i="21"/>
  <c r="AG549" i="21"/>
  <c r="AW584" i="21"/>
  <c r="BK535" i="21"/>
  <c r="BO582" i="21"/>
  <c r="BL543" i="21"/>
  <c r="BG592" i="21"/>
  <c r="AZ538" i="21"/>
  <c r="AY571" i="21"/>
  <c r="AL539" i="21"/>
  <c r="BR568" i="21"/>
  <c r="BE545" i="21"/>
  <c r="BB578" i="21"/>
  <c r="BB569" i="21"/>
  <c r="W585" i="21"/>
  <c r="AC583" i="21"/>
  <c r="AK583" i="21"/>
  <c r="AU583" i="21"/>
  <c r="BC583" i="21"/>
  <c r="BK583" i="21"/>
  <c r="BS583" i="21"/>
  <c r="Y583" i="21"/>
  <c r="AG583" i="21"/>
  <c r="AQ583" i="21"/>
  <c r="AY583" i="21"/>
  <c r="BG583" i="21"/>
  <c r="BO583" i="21"/>
  <c r="AE583" i="21"/>
  <c r="AR583" i="21"/>
  <c r="BB583" i="21"/>
  <c r="BM583" i="21"/>
  <c r="X583" i="21"/>
  <c r="AI583" i="21"/>
  <c r="AV583" i="21"/>
  <c r="BF583" i="21"/>
  <c r="BQ583" i="21"/>
  <c r="Z583" i="21"/>
  <c r="AJ583" i="21"/>
  <c r="AW583" i="21"/>
  <c r="BH583" i="21"/>
  <c r="BR583" i="21"/>
  <c r="W583" i="21"/>
  <c r="AP583" i="21"/>
  <c r="BI583" i="21"/>
  <c r="AB583" i="21"/>
  <c r="AT583" i="21"/>
  <c r="BL583" i="21"/>
  <c r="AD583" i="21"/>
  <c r="AX583" i="21"/>
  <c r="BN583" i="21"/>
  <c r="AF583" i="21"/>
  <c r="AZ583" i="21"/>
  <c r="BP583" i="21"/>
  <c r="AH583" i="21"/>
  <c r="BA583" i="21"/>
  <c r="BT583" i="21"/>
  <c r="AA583" i="21"/>
  <c r="AL583" i="21"/>
  <c r="AO583" i="21"/>
  <c r="AS583" i="21"/>
  <c r="BD583" i="21"/>
  <c r="BE583" i="21"/>
  <c r="BJ583" i="21"/>
  <c r="AC557" i="21"/>
  <c r="AK557" i="21"/>
  <c r="AU557" i="21"/>
  <c r="BC557" i="21"/>
  <c r="BK557" i="21"/>
  <c r="BS557" i="21"/>
  <c r="Y557" i="21"/>
  <c r="AG557" i="21"/>
  <c r="AQ557" i="21"/>
  <c r="AY557" i="21"/>
  <c r="BG557" i="21"/>
  <c r="BO557" i="21"/>
  <c r="AE557" i="21"/>
  <c r="AR557" i="21"/>
  <c r="BB557" i="21"/>
  <c r="BM557" i="21"/>
  <c r="X557" i="21"/>
  <c r="AI557" i="21"/>
  <c r="AV557" i="21"/>
  <c r="BF557" i="21"/>
  <c r="BQ557" i="21"/>
  <c r="Z557" i="21"/>
  <c r="AJ557" i="21"/>
  <c r="AW557" i="21"/>
  <c r="BH557" i="21"/>
  <c r="BR557" i="21"/>
  <c r="AF557" i="21"/>
  <c r="AZ557" i="21"/>
  <c r="BP557" i="21"/>
  <c r="AL557" i="21"/>
  <c r="BD557" i="21"/>
  <c r="AO557" i="21"/>
  <c r="BE557" i="21"/>
  <c r="W557" i="21"/>
  <c r="AP557" i="21"/>
  <c r="BI557" i="21"/>
  <c r="AA557" i="21"/>
  <c r="AS557" i="21"/>
  <c r="BJ557" i="21"/>
  <c r="BA557" i="21"/>
  <c r="BN557" i="21"/>
  <c r="BT557" i="21"/>
  <c r="AB557" i="21"/>
  <c r="AD557" i="21"/>
  <c r="AH557" i="21"/>
  <c r="AX557" i="21"/>
  <c r="BL557" i="21"/>
  <c r="AT557" i="21"/>
  <c r="W577" i="21"/>
  <c r="AE577" i="21"/>
  <c r="AO577" i="21"/>
  <c r="AW577" i="21"/>
  <c r="BE577" i="21"/>
  <c r="BM577" i="21"/>
  <c r="AA577" i="21"/>
  <c r="AI577" i="21"/>
  <c r="AS577" i="21"/>
  <c r="BA577" i="21"/>
  <c r="BI577" i="21"/>
  <c r="BQ577" i="21"/>
  <c r="Y577" i="21"/>
  <c r="AJ577" i="21"/>
  <c r="AV577" i="21"/>
  <c r="BG577" i="21"/>
  <c r="BR577" i="21"/>
  <c r="AB577" i="21"/>
  <c r="AL577" i="21"/>
  <c r="AY577" i="21"/>
  <c r="BJ577" i="21"/>
  <c r="BT577" i="21"/>
  <c r="AC577" i="21"/>
  <c r="AP577" i="21"/>
  <c r="AZ577" i="21"/>
  <c r="BK577" i="21"/>
  <c r="AF577" i="21"/>
  <c r="AR577" i="21"/>
  <c r="BC577" i="21"/>
  <c r="BN577" i="21"/>
  <c r="AQ577" i="21"/>
  <c r="BL577" i="21"/>
  <c r="AD577" i="21"/>
  <c r="BD577" i="21"/>
  <c r="AG577" i="21"/>
  <c r="BF577" i="21"/>
  <c r="AH577" i="21"/>
  <c r="BH577" i="21"/>
  <c r="AK577" i="21"/>
  <c r="BO577" i="21"/>
  <c r="AT577" i="21"/>
  <c r="BP577" i="21"/>
  <c r="X577" i="21"/>
  <c r="AX577" i="21"/>
  <c r="BS577" i="21"/>
  <c r="AU577" i="21"/>
  <c r="Z586" i="21"/>
  <c r="AH586" i="21"/>
  <c r="AR586" i="21"/>
  <c r="AZ586" i="21"/>
  <c r="BH586" i="21"/>
  <c r="AB586" i="21"/>
  <c r="AK586" i="21"/>
  <c r="AV586" i="21"/>
  <c r="BE586" i="21"/>
  <c r="BN586" i="21"/>
  <c r="AC586" i="21"/>
  <c r="AO586" i="21"/>
  <c r="AY586" i="21"/>
  <c r="BJ586" i="21"/>
  <c r="BS586" i="21"/>
  <c r="AD586" i="21"/>
  <c r="AP586" i="21"/>
  <c r="BA586" i="21"/>
  <c r="BK586" i="21"/>
  <c r="BT586" i="21"/>
  <c r="AE586" i="21"/>
  <c r="AQ586" i="21"/>
  <c r="BB586" i="21"/>
  <c r="BL586" i="21"/>
  <c r="AF586" i="21"/>
  <c r="AS586" i="21"/>
  <c r="BC586" i="21"/>
  <c r="BM586" i="21"/>
  <c r="W586" i="21"/>
  <c r="AG586" i="21"/>
  <c r="AT586" i="21"/>
  <c r="BD586" i="21"/>
  <c r="BO586" i="21"/>
  <c r="Y586" i="21"/>
  <c r="AJ586" i="21"/>
  <c r="AW586" i="21"/>
  <c r="BG586" i="21"/>
  <c r="BQ586" i="21"/>
  <c r="AI586" i="21"/>
  <c r="AL586" i="21"/>
  <c r="AX586" i="21"/>
  <c r="BI586" i="21"/>
  <c r="BP586" i="21"/>
  <c r="X586" i="21"/>
  <c r="AA586" i="21"/>
  <c r="AU586" i="21"/>
  <c r="BR586" i="21"/>
  <c r="X537" i="21"/>
  <c r="AF537" i="21"/>
  <c r="AP537" i="21"/>
  <c r="AX537" i="21"/>
  <c r="BF537" i="21"/>
  <c r="BN537" i="21"/>
  <c r="W537" i="21"/>
  <c r="Y537" i="21"/>
  <c r="AH537" i="21"/>
  <c r="AD537" i="21"/>
  <c r="AQ537" i="21"/>
  <c r="AZ537" i="21"/>
  <c r="BI537" i="21"/>
  <c r="BR537" i="21"/>
  <c r="AE537" i="21"/>
  <c r="AR537" i="21"/>
  <c r="BA537" i="21"/>
  <c r="BJ537" i="21"/>
  <c r="BS537" i="21"/>
  <c r="AI537" i="21"/>
  <c r="AT537" i="21"/>
  <c r="BC537" i="21"/>
  <c r="BL537" i="21"/>
  <c r="AG537" i="21"/>
  <c r="AW537" i="21"/>
  <c r="BM537" i="21"/>
  <c r="AJ537" i="21"/>
  <c r="AY537" i="21"/>
  <c r="BO537" i="21"/>
  <c r="AL537" i="21"/>
  <c r="BD537" i="21"/>
  <c r="BQ537" i="21"/>
  <c r="AU537" i="21"/>
  <c r="BT537" i="21"/>
  <c r="AA537" i="21"/>
  <c r="BB537" i="21"/>
  <c r="AB537" i="21"/>
  <c r="BE537" i="21"/>
  <c r="AC537" i="21"/>
  <c r="BG537" i="21"/>
  <c r="AO537" i="21"/>
  <c r="BK537" i="21"/>
  <c r="X572" i="21"/>
  <c r="AF572" i="21"/>
  <c r="AP572" i="21"/>
  <c r="AX572" i="21"/>
  <c r="BF572" i="21"/>
  <c r="BN572" i="21"/>
  <c r="AE572" i="21"/>
  <c r="AQ572" i="21"/>
  <c r="AZ572" i="21"/>
  <c r="BI572" i="21"/>
  <c r="BR572" i="21"/>
  <c r="Z572" i="21"/>
  <c r="AI572" i="21"/>
  <c r="AT572" i="21"/>
  <c r="BC572" i="21"/>
  <c r="BL572" i="21"/>
  <c r="AC572" i="21"/>
  <c r="AR572" i="21"/>
  <c r="BD572" i="21"/>
  <c r="BP572" i="21"/>
  <c r="AD572" i="21"/>
  <c r="AS572" i="21"/>
  <c r="BE572" i="21"/>
  <c r="BQ572" i="21"/>
  <c r="AH572" i="21"/>
  <c r="AV572" i="21"/>
  <c r="BH572" i="21"/>
  <c r="BT572" i="21"/>
  <c r="AB572" i="21"/>
  <c r="AY572" i="21"/>
  <c r="BS572" i="21"/>
  <c r="AJ572" i="21"/>
  <c r="BB572" i="21"/>
  <c r="AK572" i="21"/>
  <c r="BG572" i="21"/>
  <c r="AL572" i="21"/>
  <c r="BJ572" i="21"/>
  <c r="Y572" i="21"/>
  <c r="AU572" i="21"/>
  <c r="BM572" i="21"/>
  <c r="AA581" i="21"/>
  <c r="AI581" i="21"/>
  <c r="AS581" i="21"/>
  <c r="BA581" i="21"/>
  <c r="BI581" i="21"/>
  <c r="BQ581" i="21"/>
  <c r="AC581" i="21"/>
  <c r="AK581" i="21"/>
  <c r="AU581" i="21"/>
  <c r="BC581" i="21"/>
  <c r="BK581" i="21"/>
  <c r="BS581" i="21"/>
  <c r="AD581" i="21"/>
  <c r="AL581" i="21"/>
  <c r="AV581" i="21"/>
  <c r="BD581" i="21"/>
  <c r="BL581" i="21"/>
  <c r="BT581" i="21"/>
  <c r="W581" i="21"/>
  <c r="AE581" i="21"/>
  <c r="AO581" i="21"/>
  <c r="AW581" i="21"/>
  <c r="BE581" i="21"/>
  <c r="BM581" i="21"/>
  <c r="Y581" i="21"/>
  <c r="AG581" i="21"/>
  <c r="AQ581" i="21"/>
  <c r="AY581" i="21"/>
  <c r="BG581" i="21"/>
  <c r="BO581" i="21"/>
  <c r="BS544" i="21"/>
  <c r="BK544" i="21"/>
  <c r="BB544" i="21"/>
  <c r="AT544" i="21"/>
  <c r="AJ544" i="21"/>
  <c r="AB544" i="21"/>
  <c r="BM548" i="21"/>
  <c r="BE548" i="21"/>
  <c r="AW548" i="21"/>
  <c r="AO548" i="21"/>
  <c r="AE548" i="21"/>
  <c r="W548" i="21"/>
  <c r="BM554" i="21"/>
  <c r="BE554" i="21"/>
  <c r="AW554" i="21"/>
  <c r="AO554" i="21"/>
  <c r="AE554" i="21"/>
  <c r="W554" i="21"/>
  <c r="BM580" i="21"/>
  <c r="BE580" i="21"/>
  <c r="AW580" i="21"/>
  <c r="AO580" i="21"/>
  <c r="AE580" i="21"/>
  <c r="W580" i="21"/>
  <c r="BM566" i="21"/>
  <c r="BE566" i="21"/>
  <c r="AW566" i="21"/>
  <c r="AL566" i="21"/>
  <c r="AC566" i="21"/>
  <c r="BR550" i="21"/>
  <c r="BI550" i="21"/>
  <c r="AX550" i="21"/>
  <c r="AJ550" i="21"/>
  <c r="W550" i="21"/>
  <c r="BH553" i="21"/>
  <c r="AR553" i="21"/>
  <c r="Z553" i="21"/>
  <c r="BB562" i="21"/>
  <c r="AF562" i="21"/>
  <c r="BH560" i="21"/>
  <c r="AJ560" i="21"/>
  <c r="BN552" i="21"/>
  <c r="BR581" i="21"/>
  <c r="AX581" i="21"/>
  <c r="Z581" i="21"/>
  <c r="AZ561" i="21"/>
  <c r="X561" i="21"/>
  <c r="AR575" i="21"/>
  <c r="BK549" i="21"/>
  <c r="AE549" i="21"/>
  <c r="AR584" i="21"/>
  <c r="BC535" i="21"/>
  <c r="BL582" i="21"/>
  <c r="BA572" i="21"/>
  <c r="AZ592" i="21"/>
  <c r="AV538" i="21"/>
  <c r="AK571" i="21"/>
  <c r="AC539" i="21"/>
  <c r="BL568" i="21"/>
  <c r="AK537" i="21"/>
  <c r="AR578" i="21"/>
  <c r="BG567" i="21"/>
  <c r="AO573" i="21"/>
  <c r="AC563" i="21"/>
  <c r="AK563" i="21"/>
  <c r="AU563" i="21"/>
  <c r="BC563" i="21"/>
  <c r="BK563" i="21"/>
  <c r="BS563" i="21"/>
  <c r="Y563" i="21"/>
  <c r="AG563" i="21"/>
  <c r="AQ563" i="21"/>
  <c r="AY563" i="21"/>
  <c r="BG563" i="21"/>
  <c r="BO563" i="21"/>
  <c r="Z563" i="21"/>
  <c r="AJ563" i="21"/>
  <c r="AW563" i="21"/>
  <c r="BH563" i="21"/>
  <c r="BR563" i="21"/>
  <c r="AD563" i="21"/>
  <c r="AP563" i="21"/>
  <c r="BA563" i="21"/>
  <c r="BL563" i="21"/>
  <c r="AE563" i="21"/>
  <c r="AR563" i="21"/>
  <c r="BB563" i="21"/>
  <c r="BM563" i="21"/>
  <c r="AA563" i="21"/>
  <c r="AT563" i="21"/>
  <c r="BJ563" i="21"/>
  <c r="AF563" i="21"/>
  <c r="AX563" i="21"/>
  <c r="BP563" i="21"/>
  <c r="AH563" i="21"/>
  <c r="AZ563" i="21"/>
  <c r="BQ563" i="21"/>
  <c r="AI563" i="21"/>
  <c r="BD563" i="21"/>
  <c r="BT563" i="21"/>
  <c r="AL563" i="21"/>
  <c r="BE563" i="21"/>
  <c r="X563" i="21"/>
  <c r="AO563" i="21"/>
  <c r="AS563" i="21"/>
  <c r="AV563" i="21"/>
  <c r="BF563" i="21"/>
  <c r="BI563" i="21"/>
  <c r="W563" i="21"/>
  <c r="AB563" i="21"/>
  <c r="BN563" i="21"/>
  <c r="AC564" i="21"/>
  <c r="AK564" i="21"/>
  <c r="AU564" i="21"/>
  <c r="BC564" i="21"/>
  <c r="BK564" i="21"/>
  <c r="BS564" i="21"/>
  <c r="Y564" i="21"/>
  <c r="AG564" i="21"/>
  <c r="AQ564" i="21"/>
  <c r="AY564" i="21"/>
  <c r="BG564" i="21"/>
  <c r="BO564" i="21"/>
  <c r="Z564" i="21"/>
  <c r="AJ564" i="21"/>
  <c r="AW564" i="21"/>
  <c r="BH564" i="21"/>
  <c r="BR564" i="21"/>
  <c r="AD564" i="21"/>
  <c r="AP564" i="21"/>
  <c r="BA564" i="21"/>
  <c r="BL564" i="21"/>
  <c r="AE564" i="21"/>
  <c r="AR564" i="21"/>
  <c r="BB564" i="21"/>
  <c r="BM564" i="21"/>
  <c r="AI564" i="21"/>
  <c r="BD564" i="21"/>
  <c r="BT564" i="21"/>
  <c r="W564" i="21"/>
  <c r="AO564" i="21"/>
  <c r="BF564" i="21"/>
  <c r="X564" i="21"/>
  <c r="AS564" i="21"/>
  <c r="BI564" i="21"/>
  <c r="AA564" i="21"/>
  <c r="AT564" i="21"/>
  <c r="BJ564" i="21"/>
  <c r="AB564" i="21"/>
  <c r="AV564" i="21"/>
  <c r="BN564" i="21"/>
  <c r="AZ564" i="21"/>
  <c r="BQ564" i="21"/>
  <c r="AF564" i="21"/>
  <c r="AH564" i="21"/>
  <c r="AL564" i="21"/>
  <c r="BE564" i="21"/>
  <c r="BP564" i="21"/>
  <c r="AX564" i="21"/>
  <c r="W565" i="21"/>
  <c r="AE565" i="21"/>
  <c r="AO565" i="21"/>
  <c r="AW565" i="21"/>
  <c r="BE565" i="21"/>
  <c r="BM565" i="21"/>
  <c r="AA565" i="21"/>
  <c r="AI565" i="21"/>
  <c r="AS565" i="21"/>
  <c r="BA565" i="21"/>
  <c r="BI565" i="21"/>
  <c r="BQ565" i="21"/>
  <c r="AD565" i="21"/>
  <c r="AQ565" i="21"/>
  <c r="BB565" i="21"/>
  <c r="BL565" i="21"/>
  <c r="AG565" i="21"/>
  <c r="AT565" i="21"/>
  <c r="BD565" i="21"/>
  <c r="BO565" i="21"/>
  <c r="X565" i="21"/>
  <c r="AH565" i="21"/>
  <c r="AU565" i="21"/>
  <c r="BF565" i="21"/>
  <c r="BP565" i="21"/>
  <c r="Z565" i="21"/>
  <c r="AK565" i="21"/>
  <c r="AX565" i="21"/>
  <c r="BH565" i="21"/>
  <c r="BS565" i="21"/>
  <c r="AJ565" i="21"/>
  <c r="BG565" i="21"/>
  <c r="AC565" i="21"/>
  <c r="BC565" i="21"/>
  <c r="AF565" i="21"/>
  <c r="BJ565" i="21"/>
  <c r="AL565" i="21"/>
  <c r="BK565" i="21"/>
  <c r="AP565" i="21"/>
  <c r="BN565" i="21"/>
  <c r="AR565" i="21"/>
  <c r="BR565" i="21"/>
  <c r="Y565" i="21"/>
  <c r="AY565" i="21"/>
  <c r="AB565" i="21"/>
  <c r="AZ565" i="21"/>
  <c r="AV565" i="21"/>
  <c r="BT565" i="21"/>
  <c r="X590" i="21"/>
  <c r="AF590" i="21"/>
  <c r="AP590" i="21"/>
  <c r="AX590" i="21"/>
  <c r="BF590" i="21"/>
  <c r="BN590" i="21"/>
  <c r="AD590" i="21"/>
  <c r="AO590" i="21"/>
  <c r="AY590" i="21"/>
  <c r="BH590" i="21"/>
  <c r="BQ590" i="21"/>
  <c r="AE590" i="21"/>
  <c r="AQ590" i="21"/>
  <c r="AZ590" i="21"/>
  <c r="BI590" i="21"/>
  <c r="BR590" i="21"/>
  <c r="W590" i="21"/>
  <c r="AG590" i="21"/>
  <c r="AR590" i="21"/>
  <c r="BA590" i="21"/>
  <c r="BJ590" i="21"/>
  <c r="BS590" i="21"/>
  <c r="Y590" i="21"/>
  <c r="AH590" i="21"/>
  <c r="AS590" i="21"/>
  <c r="BB590" i="21"/>
  <c r="BK590" i="21"/>
  <c r="BT590" i="21"/>
  <c r="Z590" i="21"/>
  <c r="AI590" i="21"/>
  <c r="AT590" i="21"/>
  <c r="AB590" i="21"/>
  <c r="AK590" i="21"/>
  <c r="AV590" i="21"/>
  <c r="BE590" i="21"/>
  <c r="BO590" i="21"/>
  <c r="AA590" i="21"/>
  <c r="BG590" i="21"/>
  <c r="AC590" i="21"/>
  <c r="BL590" i="21"/>
  <c r="AL590" i="21"/>
  <c r="BP590" i="21"/>
  <c r="BM590" i="21"/>
  <c r="AJ590" i="21"/>
  <c r="AW590" i="21"/>
  <c r="BD590" i="21"/>
  <c r="X545" i="21"/>
  <c r="AF545" i="21"/>
  <c r="AP545" i="21"/>
  <c r="AX545" i="21"/>
  <c r="BF545" i="21"/>
  <c r="BN545" i="21"/>
  <c r="AC545" i="21"/>
  <c r="AL545" i="21"/>
  <c r="AW545" i="21"/>
  <c r="BG545" i="21"/>
  <c r="BP545" i="21"/>
  <c r="AD545" i="21"/>
  <c r="AO545" i="21"/>
  <c r="AY545" i="21"/>
  <c r="BH545" i="21"/>
  <c r="BQ545" i="21"/>
  <c r="W545" i="21"/>
  <c r="AG545" i="21"/>
  <c r="AR545" i="21"/>
  <c r="BA545" i="21"/>
  <c r="BJ545" i="21"/>
  <c r="BS545" i="21"/>
  <c r="AB545" i="21"/>
  <c r="AT545" i="21"/>
  <c r="BI545" i="21"/>
  <c r="AE545" i="21"/>
  <c r="AU545" i="21"/>
  <c r="BK545" i="21"/>
  <c r="AI545" i="21"/>
  <c r="AZ545" i="21"/>
  <c r="BM545" i="21"/>
  <c r="AS545" i="21"/>
  <c r="BR545" i="21"/>
  <c r="Z545" i="21"/>
  <c r="BB545" i="21"/>
  <c r="AA545" i="21"/>
  <c r="BC545" i="21"/>
  <c r="AH545" i="21"/>
  <c r="BD545" i="21"/>
  <c r="AK545" i="21"/>
  <c r="BL545" i="21"/>
  <c r="X543" i="21"/>
  <c r="AF543" i="21"/>
  <c r="AP543" i="21"/>
  <c r="AX543" i="21"/>
  <c r="BF543" i="21"/>
  <c r="BN543" i="21"/>
  <c r="AC543" i="21"/>
  <c r="AL543" i="21"/>
  <c r="AW543" i="21"/>
  <c r="BG543" i="21"/>
  <c r="BP543" i="21"/>
  <c r="W543" i="21"/>
  <c r="AG543" i="21"/>
  <c r="AR543" i="21"/>
  <c r="BA543" i="21"/>
  <c r="BJ543" i="21"/>
  <c r="BS543" i="21"/>
  <c r="AD543" i="21"/>
  <c r="AS543" i="21"/>
  <c r="BD543" i="21"/>
  <c r="BQ543" i="21"/>
  <c r="AE543" i="21"/>
  <c r="AT543" i="21"/>
  <c r="BE543" i="21"/>
  <c r="BR543" i="21"/>
  <c r="AI543" i="21"/>
  <c r="AV543" i="21"/>
  <c r="BI543" i="21"/>
  <c r="AO543" i="21"/>
  <c r="BK543" i="21"/>
  <c r="Z543" i="21"/>
  <c r="AU543" i="21"/>
  <c r="BM543" i="21"/>
  <c r="AA543" i="21"/>
  <c r="AY543" i="21"/>
  <c r="BO543" i="21"/>
  <c r="AB543" i="21"/>
  <c r="AZ543" i="21"/>
  <c r="BT543" i="21"/>
  <c r="AJ543" i="21"/>
  <c r="BC543" i="21"/>
  <c r="AA552" i="21"/>
  <c r="AI552" i="21"/>
  <c r="AS552" i="21"/>
  <c r="BA552" i="21"/>
  <c r="BI552" i="21"/>
  <c r="BQ552" i="21"/>
  <c r="AC552" i="21"/>
  <c r="AK552" i="21"/>
  <c r="AU552" i="21"/>
  <c r="BC552" i="21"/>
  <c r="BK552" i="21"/>
  <c r="BS552" i="21"/>
  <c r="AD552" i="21"/>
  <c r="AL552" i="21"/>
  <c r="AV552" i="21"/>
  <c r="BD552" i="21"/>
  <c r="BL552" i="21"/>
  <c r="BT552" i="21"/>
  <c r="W552" i="21"/>
  <c r="AE552" i="21"/>
  <c r="AO552" i="21"/>
  <c r="AW552" i="21"/>
  <c r="BE552" i="21"/>
  <c r="BM552" i="21"/>
  <c r="Y552" i="21"/>
  <c r="AG552" i="21"/>
  <c r="AQ552" i="21"/>
  <c r="AY552" i="21"/>
  <c r="BG552" i="21"/>
  <c r="BO552" i="21"/>
  <c r="BR544" i="21"/>
  <c r="BJ544" i="21"/>
  <c r="BA544" i="21"/>
  <c r="AS544" i="21"/>
  <c r="AI544" i="21"/>
  <c r="AA544" i="21"/>
  <c r="BT548" i="21"/>
  <c r="BL548" i="21"/>
  <c r="BD548" i="21"/>
  <c r="AV548" i="21"/>
  <c r="AL548" i="21"/>
  <c r="AD548" i="21"/>
  <c r="BT554" i="21"/>
  <c r="BL554" i="21"/>
  <c r="BD554" i="21"/>
  <c r="AV554" i="21"/>
  <c r="AL554" i="21"/>
  <c r="AD554" i="21"/>
  <c r="BT580" i="21"/>
  <c r="BL580" i="21"/>
  <c r="BD580" i="21"/>
  <c r="AV580" i="21"/>
  <c r="AL580" i="21"/>
  <c r="AD580" i="21"/>
  <c r="BT566" i="21"/>
  <c r="BL566" i="21"/>
  <c r="BD566" i="21"/>
  <c r="AV566" i="21"/>
  <c r="AK566" i="21"/>
  <c r="AB566" i="21"/>
  <c r="BQ550" i="21"/>
  <c r="BH550" i="21"/>
  <c r="AW550" i="21"/>
  <c r="AH550" i="21"/>
  <c r="BT553" i="21"/>
  <c r="BF553" i="21"/>
  <c r="AP553" i="21"/>
  <c r="X553" i="21"/>
  <c r="AZ562" i="21"/>
  <c r="AB562" i="21"/>
  <c r="BF560" i="21"/>
  <c r="BJ552" i="21"/>
  <c r="AP552" i="21"/>
  <c r="BP581" i="21"/>
  <c r="AT581" i="21"/>
  <c r="X581" i="21"/>
  <c r="AX561" i="21"/>
  <c r="BP575" i="21"/>
  <c r="AP575" i="21"/>
  <c r="BH549" i="21"/>
  <c r="X549" i="21"/>
  <c r="AP584" i="21"/>
  <c r="AZ535" i="21"/>
  <c r="BB543" i="21"/>
  <c r="AW572" i="21"/>
  <c r="AO592" i="21"/>
  <c r="AL538" i="21"/>
  <c r="AI571" i="21"/>
  <c r="BR541" i="21"/>
  <c r="AQ545" i="21"/>
  <c r="Z537" i="21"/>
  <c r="AE578" i="21"/>
  <c r="AO546" i="21"/>
  <c r="AI589" i="21"/>
  <c r="AC536" i="21"/>
  <c r="AK536" i="21"/>
  <c r="AU536" i="21"/>
  <c r="BC536" i="21"/>
  <c r="BK536" i="21"/>
  <c r="BS536" i="21"/>
  <c r="Y536" i="21"/>
  <c r="AG536" i="21"/>
  <c r="AQ536" i="21"/>
  <c r="AY536" i="21"/>
  <c r="BG536" i="21"/>
  <c r="BO536" i="21"/>
  <c r="AE536" i="21"/>
  <c r="AR536" i="21"/>
  <c r="BB536" i="21"/>
  <c r="BM536" i="21"/>
  <c r="X536" i="21"/>
  <c r="AI536" i="21"/>
  <c r="AV536" i="21"/>
  <c r="BF536" i="21"/>
  <c r="BQ536" i="21"/>
  <c r="Z536" i="21"/>
  <c r="AJ536" i="21"/>
  <c r="AW536" i="21"/>
  <c r="BH536" i="21"/>
  <c r="BR536" i="21"/>
  <c r="AD536" i="21"/>
  <c r="AX536" i="21"/>
  <c r="BN536" i="21"/>
  <c r="AH536" i="21"/>
  <c r="BA536" i="21"/>
  <c r="BT536" i="21"/>
  <c r="AL536" i="21"/>
  <c r="BD536" i="21"/>
  <c r="AO536" i="21"/>
  <c r="BE536" i="21"/>
  <c r="W536" i="21"/>
  <c r="AP536" i="21"/>
  <c r="BI536" i="21"/>
  <c r="AA536" i="21"/>
  <c r="BP536" i="21"/>
  <c r="AS536" i="21"/>
  <c r="AT536" i="21"/>
  <c r="AZ536" i="21"/>
  <c r="BJ536" i="21"/>
  <c r="BL536" i="21"/>
  <c r="AB536" i="21"/>
  <c r="AF536" i="21"/>
  <c r="AC576" i="21"/>
  <c r="AK576" i="21"/>
  <c r="AU576" i="21"/>
  <c r="BC576" i="21"/>
  <c r="BK576" i="21"/>
  <c r="BS576" i="21"/>
  <c r="Y576" i="21"/>
  <c r="AG576" i="21"/>
  <c r="AQ576" i="21"/>
  <c r="AY576" i="21"/>
  <c r="BG576" i="21"/>
  <c r="BO576" i="21"/>
  <c r="AE576" i="21"/>
  <c r="AR576" i="21"/>
  <c r="BB576" i="21"/>
  <c r="BM576" i="21"/>
  <c r="X576" i="21"/>
  <c r="AI576" i="21"/>
  <c r="AV576" i="21"/>
  <c r="BF576" i="21"/>
  <c r="BQ576" i="21"/>
  <c r="Z576" i="21"/>
  <c r="AJ576" i="21"/>
  <c r="AW576" i="21"/>
  <c r="BH576" i="21"/>
  <c r="BR576" i="21"/>
  <c r="AO576" i="21"/>
  <c r="BE576" i="21"/>
  <c r="AA576" i="21"/>
  <c r="AS576" i="21"/>
  <c r="BJ576" i="21"/>
  <c r="AB576" i="21"/>
  <c r="AT576" i="21"/>
  <c r="BL576" i="21"/>
  <c r="AD576" i="21"/>
  <c r="AX576" i="21"/>
  <c r="BN576" i="21"/>
  <c r="AF576" i="21"/>
  <c r="AZ576" i="21"/>
  <c r="BP576" i="21"/>
  <c r="BA576" i="21"/>
  <c r="W576" i="21"/>
  <c r="AH576" i="21"/>
  <c r="AL576" i="21"/>
  <c r="AP576" i="21"/>
  <c r="BI576" i="21"/>
  <c r="BT576" i="21"/>
  <c r="W558" i="21"/>
  <c r="AE558" i="21"/>
  <c r="AO558" i="21"/>
  <c r="AW558" i="21"/>
  <c r="BE558" i="21"/>
  <c r="BM558" i="21"/>
  <c r="AA558" i="21"/>
  <c r="AI558" i="21"/>
  <c r="AS558" i="21"/>
  <c r="Y558" i="21"/>
  <c r="AJ558" i="21"/>
  <c r="AV558" i="21"/>
  <c r="BF558" i="21"/>
  <c r="BO558" i="21"/>
  <c r="AB558" i="21"/>
  <c r="AL558" i="21"/>
  <c r="AY558" i="21"/>
  <c r="BH558" i="21"/>
  <c r="BQ558" i="21"/>
  <c r="AC558" i="21"/>
  <c r="AP558" i="21"/>
  <c r="AZ558" i="21"/>
  <c r="BI558" i="21"/>
  <c r="BR558" i="21"/>
  <c r="AF558" i="21"/>
  <c r="AR558" i="21"/>
  <c r="BB558" i="21"/>
  <c r="BK558" i="21"/>
  <c r="BT558" i="21"/>
  <c r="AD558" i="21"/>
  <c r="BA558" i="21"/>
  <c r="BS558" i="21"/>
  <c r="AG558" i="21"/>
  <c r="BD558" i="21"/>
  <c r="AH558" i="21"/>
  <c r="BG558" i="21"/>
  <c r="AK558" i="21"/>
  <c r="BJ558" i="21"/>
  <c r="AQ558" i="21"/>
  <c r="BL558" i="21"/>
  <c r="AT558" i="21"/>
  <c r="BN558" i="21"/>
  <c r="X558" i="21"/>
  <c r="AX558" i="21"/>
  <c r="BP558" i="21"/>
  <c r="AU558" i="21"/>
  <c r="Z558" i="21"/>
  <c r="BC558" i="21"/>
  <c r="X533" i="21"/>
  <c r="AF533" i="21"/>
  <c r="AP533" i="21"/>
  <c r="AX533" i="21"/>
  <c r="BF533" i="21"/>
  <c r="BN533" i="21"/>
  <c r="AB533" i="21"/>
  <c r="AK533" i="21"/>
  <c r="AV533" i="21"/>
  <c r="BE533" i="21"/>
  <c r="BO533" i="21"/>
  <c r="AC533" i="21"/>
  <c r="AL533" i="21"/>
  <c r="AW533" i="21"/>
  <c r="BG533" i="21"/>
  <c r="BP533" i="21"/>
  <c r="AD533" i="21"/>
  <c r="AO533" i="21"/>
  <c r="AY533" i="21"/>
  <c r="BH533" i="21"/>
  <c r="BQ533" i="21"/>
  <c r="AE533" i="21"/>
  <c r="AQ533" i="21"/>
  <c r="AZ533" i="21"/>
  <c r="BI533" i="21"/>
  <c r="BR533" i="21"/>
  <c r="Z533" i="21"/>
  <c r="AI533" i="21"/>
  <c r="AT533" i="21"/>
  <c r="BC533" i="21"/>
  <c r="BL533" i="21"/>
  <c r="AH533" i="21"/>
  <c r="BJ533" i="21"/>
  <c r="AJ533" i="21"/>
  <c r="BK533" i="21"/>
  <c r="AS533" i="21"/>
  <c r="BS533" i="21"/>
  <c r="BB533" i="21"/>
  <c r="W533" i="21"/>
  <c r="BD533" i="21"/>
  <c r="AA533" i="21"/>
  <c r="BT533" i="21"/>
  <c r="BM533" i="21"/>
  <c r="Y533" i="21"/>
  <c r="AG533" i="21"/>
  <c r="AU533" i="21"/>
  <c r="X568" i="21"/>
  <c r="AF568" i="21"/>
  <c r="AP568" i="21"/>
  <c r="AX568" i="21"/>
  <c r="BF568" i="21"/>
  <c r="BN568" i="21"/>
  <c r="AA568" i="21"/>
  <c r="AJ568" i="21"/>
  <c r="AU568" i="21"/>
  <c r="BD568" i="21"/>
  <c r="BM568" i="21"/>
  <c r="AB568" i="21"/>
  <c r="AK568" i="21"/>
  <c r="AV568" i="21"/>
  <c r="BE568" i="21"/>
  <c r="BO568" i="21"/>
  <c r="AD568" i="21"/>
  <c r="AO568" i="21"/>
  <c r="AY568" i="21"/>
  <c r="BH568" i="21"/>
  <c r="BQ568" i="21"/>
  <c r="Y568" i="21"/>
  <c r="AQ568" i="21"/>
  <c r="BC568" i="21"/>
  <c r="BS568" i="21"/>
  <c r="Z568" i="21"/>
  <c r="AR568" i="21"/>
  <c r="BG568" i="21"/>
  <c r="BT568" i="21"/>
  <c r="AE568" i="21"/>
  <c r="AT568" i="21"/>
  <c r="BJ568" i="21"/>
  <c r="AS568" i="21"/>
  <c r="BP568" i="21"/>
  <c r="W568" i="21"/>
  <c r="AZ568" i="21"/>
  <c r="AC568" i="21"/>
  <c r="BA568" i="21"/>
  <c r="AG568" i="21"/>
  <c r="BB568" i="21"/>
  <c r="AI568" i="21"/>
  <c r="BK568" i="21"/>
  <c r="X582" i="21"/>
  <c r="AF582" i="21"/>
  <c r="AP582" i="21"/>
  <c r="AX582" i="21"/>
  <c r="BF582" i="21"/>
  <c r="BN582" i="21"/>
  <c r="AA582" i="21"/>
  <c r="AJ582" i="21"/>
  <c r="AU582" i="21"/>
  <c r="BD582" i="21"/>
  <c r="AD582" i="21"/>
  <c r="AO582" i="21"/>
  <c r="AY582" i="21"/>
  <c r="BH582" i="21"/>
  <c r="BQ582" i="21"/>
  <c r="AE582" i="21"/>
  <c r="AS582" i="21"/>
  <c r="BE582" i="21"/>
  <c r="BP582" i="21"/>
  <c r="AG582" i="21"/>
  <c r="AT582" i="21"/>
  <c r="BG582" i="21"/>
  <c r="BR582" i="21"/>
  <c r="W582" i="21"/>
  <c r="AI582" i="21"/>
  <c r="AW582" i="21"/>
  <c r="BJ582" i="21"/>
  <c r="BT582" i="21"/>
  <c r="AC582" i="21"/>
  <c r="BA582" i="21"/>
  <c r="BS582" i="21"/>
  <c r="AK582" i="21"/>
  <c r="BC582" i="21"/>
  <c r="AL582" i="21"/>
  <c r="BI582" i="21"/>
  <c r="AQ582" i="21"/>
  <c r="BK582" i="21"/>
  <c r="Z582" i="21"/>
  <c r="AV582" i="21"/>
  <c r="BM582" i="21"/>
  <c r="AA560" i="21"/>
  <c r="AI560" i="21"/>
  <c r="AS560" i="21"/>
  <c r="BA560" i="21"/>
  <c r="BI560" i="21"/>
  <c r="BQ560" i="21"/>
  <c r="AC560" i="21"/>
  <c r="AK560" i="21"/>
  <c r="AU560" i="21"/>
  <c r="BC560" i="21"/>
  <c r="BK560" i="21"/>
  <c r="BS560" i="21"/>
  <c r="AD560" i="21"/>
  <c r="AL560" i="21"/>
  <c r="AV560" i="21"/>
  <c r="BD560" i="21"/>
  <c r="BL560" i="21"/>
  <c r="BT560" i="21"/>
  <c r="W560" i="21"/>
  <c r="AE560" i="21"/>
  <c r="AO560" i="21"/>
  <c r="AW560" i="21"/>
  <c r="BE560" i="21"/>
  <c r="BM560" i="21"/>
  <c r="Y560" i="21"/>
  <c r="AG560" i="21"/>
  <c r="AQ560" i="21"/>
  <c r="AY560" i="21"/>
  <c r="BG560" i="21"/>
  <c r="BO560" i="21"/>
  <c r="BQ544" i="21"/>
  <c r="BI544" i="21"/>
  <c r="AZ544" i="21"/>
  <c r="AR544" i="21"/>
  <c r="AH544" i="21"/>
  <c r="Z544" i="21"/>
  <c r="BS548" i="21"/>
  <c r="BK548" i="21"/>
  <c r="BC548" i="21"/>
  <c r="AU548" i="21"/>
  <c r="AK548" i="21"/>
  <c r="AC548" i="21"/>
  <c r="BS554" i="21"/>
  <c r="BK554" i="21"/>
  <c r="BC554" i="21"/>
  <c r="AU554" i="21"/>
  <c r="AK554" i="21"/>
  <c r="AC554" i="21"/>
  <c r="BS580" i="21"/>
  <c r="BK580" i="21"/>
  <c r="BC580" i="21"/>
  <c r="AU580" i="21"/>
  <c r="AK580" i="21"/>
  <c r="AC580" i="21"/>
  <c r="BS566" i="21"/>
  <c r="BK566" i="21"/>
  <c r="BC566" i="21"/>
  <c r="AU566" i="21"/>
  <c r="AJ566" i="21"/>
  <c r="AA566" i="21"/>
  <c r="BP550" i="21"/>
  <c r="BF550" i="21"/>
  <c r="AV550" i="21"/>
  <c r="AF550" i="21"/>
  <c r="BR553" i="21"/>
  <c r="BE553" i="21"/>
  <c r="AO553" i="21"/>
  <c r="BR562" i="21"/>
  <c r="AX562" i="21"/>
  <c r="BB560" i="21"/>
  <c r="AF560" i="21"/>
  <c r="BH552" i="21"/>
  <c r="AJ552" i="21"/>
  <c r="BN581" i="21"/>
  <c r="AR581" i="21"/>
  <c r="BR561" i="21"/>
  <c r="AU561" i="21"/>
  <c r="BN575" i="21"/>
  <c r="AH575" i="21"/>
  <c r="BF549" i="21"/>
  <c r="BS584" i="21"/>
  <c r="AG584" i="21"/>
  <c r="AZ582" i="21"/>
  <c r="AQ543" i="21"/>
  <c r="AO572" i="21"/>
  <c r="AJ592" i="21"/>
  <c r="AE538" i="21"/>
  <c r="AD571" i="21"/>
  <c r="AW568" i="21"/>
  <c r="AJ545" i="21"/>
  <c r="BJ570" i="21"/>
  <c r="BC540" i="21"/>
  <c r="AR533" i="21"/>
  <c r="AC559" i="21"/>
  <c r="AK559" i="21"/>
  <c r="AU559" i="21"/>
  <c r="BC559" i="21"/>
  <c r="BK559" i="21"/>
  <c r="BS559" i="21"/>
  <c r="Y559" i="21"/>
  <c r="AG559" i="21"/>
  <c r="AQ559" i="21"/>
  <c r="AY559" i="21"/>
  <c r="BG559" i="21"/>
  <c r="BO559" i="21"/>
  <c r="Z559" i="21"/>
  <c r="AJ559" i="21"/>
  <c r="AW559" i="21"/>
  <c r="BH559" i="21"/>
  <c r="BR559" i="21"/>
  <c r="AD559" i="21"/>
  <c r="AP559" i="21"/>
  <c r="BA559" i="21"/>
  <c r="BL559" i="21"/>
  <c r="AE559" i="21"/>
  <c r="AR559" i="21"/>
  <c r="BB559" i="21"/>
  <c r="BM559" i="21"/>
  <c r="AH559" i="21"/>
  <c r="AZ559" i="21"/>
  <c r="BQ559" i="21"/>
  <c r="AL559" i="21"/>
  <c r="BE559" i="21"/>
  <c r="W559" i="21"/>
  <c r="AO559" i="21"/>
  <c r="BF559" i="21"/>
  <c r="X559" i="21"/>
  <c r="AS559" i="21"/>
  <c r="BI559" i="21"/>
  <c r="AA559" i="21"/>
  <c r="AT559" i="21"/>
  <c r="BJ559" i="21"/>
  <c r="BP559" i="21"/>
  <c r="AV559" i="21"/>
  <c r="AX559" i="21"/>
  <c r="BD559" i="21"/>
  <c r="BN559" i="21"/>
  <c r="BT559" i="21"/>
  <c r="AF559" i="21"/>
  <c r="AB559" i="21"/>
  <c r="AI559" i="21"/>
  <c r="AC587" i="21"/>
  <c r="AK587" i="21"/>
  <c r="AU587" i="21"/>
  <c r="BC587" i="21"/>
  <c r="BK587" i="21"/>
  <c r="BS587" i="21"/>
  <c r="Y587" i="21"/>
  <c r="AG587" i="21"/>
  <c r="AQ587" i="21"/>
  <c r="AY587" i="21"/>
  <c r="BG587" i="21"/>
  <c r="BO587" i="21"/>
  <c r="Z587" i="21"/>
  <c r="AJ587" i="21"/>
  <c r="AW587" i="21"/>
  <c r="BH587" i="21"/>
  <c r="BR587" i="21"/>
  <c r="AD587" i="21"/>
  <c r="AP587" i="21"/>
  <c r="BA587" i="21"/>
  <c r="BL587" i="21"/>
  <c r="AE587" i="21"/>
  <c r="AR587" i="21"/>
  <c r="BB587" i="21"/>
  <c r="BM587" i="21"/>
  <c r="X587" i="21"/>
  <c r="AS587" i="21"/>
  <c r="BI587" i="21"/>
  <c r="AB587" i="21"/>
  <c r="AV587" i="21"/>
  <c r="BN587" i="21"/>
  <c r="AF587" i="21"/>
  <c r="AX587" i="21"/>
  <c r="BP587" i="21"/>
  <c r="AH587" i="21"/>
  <c r="AZ587" i="21"/>
  <c r="BQ587" i="21"/>
  <c r="AI587" i="21"/>
  <c r="BD587" i="21"/>
  <c r="BT587" i="21"/>
  <c r="AT587" i="21"/>
  <c r="W587" i="21"/>
  <c r="AA587" i="21"/>
  <c r="AL587" i="21"/>
  <c r="AO587" i="21"/>
  <c r="BE587" i="21"/>
  <c r="BJ587" i="21"/>
  <c r="BF587" i="21"/>
  <c r="W574" i="21"/>
  <c r="AE574" i="21"/>
  <c r="AO574" i="21"/>
  <c r="AW574" i="21"/>
  <c r="Z574" i="21"/>
  <c r="AI574" i="21"/>
  <c r="AT574" i="21"/>
  <c r="BC574" i="21"/>
  <c r="BK574" i="21"/>
  <c r="BS574" i="21"/>
  <c r="AB574" i="21"/>
  <c r="AK574" i="21"/>
  <c r="AV574" i="21"/>
  <c r="BE574" i="21"/>
  <c r="BM574" i="21"/>
  <c r="AC574" i="21"/>
  <c r="AL574" i="21"/>
  <c r="AX574" i="21"/>
  <c r="BF574" i="21"/>
  <c r="BN574" i="21"/>
  <c r="AF574" i="21"/>
  <c r="AQ574" i="21"/>
  <c r="AZ574" i="21"/>
  <c r="BH574" i="21"/>
  <c r="BP574" i="21"/>
  <c r="AP574" i="21"/>
  <c r="BG574" i="21"/>
  <c r="AA574" i="21"/>
  <c r="AY574" i="21"/>
  <c r="BQ574" i="21"/>
  <c r="AD574" i="21"/>
  <c r="BA574" i="21"/>
  <c r="BR574" i="21"/>
  <c r="AG574" i="21"/>
  <c r="BB574" i="21"/>
  <c r="BT574" i="21"/>
  <c r="AH574" i="21"/>
  <c r="BD574" i="21"/>
  <c r="AJ574" i="21"/>
  <c r="BI574" i="21"/>
  <c r="X574" i="21"/>
  <c r="AS574" i="21"/>
  <c r="BL574" i="21"/>
  <c r="Y574" i="21"/>
  <c r="AU574" i="21"/>
  <c r="AR574" i="21"/>
  <c r="BO574" i="21"/>
  <c r="X569" i="21"/>
  <c r="AF569" i="21"/>
  <c r="AP569" i="21"/>
  <c r="AX569" i="21"/>
  <c r="BF569" i="21"/>
  <c r="BN569" i="21"/>
  <c r="Z569" i="21"/>
  <c r="AI569" i="21"/>
  <c r="AT569" i="21"/>
  <c r="BC569" i="21"/>
  <c r="BL569" i="21"/>
  <c r="AA569" i="21"/>
  <c r="AJ569" i="21"/>
  <c r="AU569" i="21"/>
  <c r="BD569" i="21"/>
  <c r="BM569" i="21"/>
  <c r="AB569" i="21"/>
  <c r="AK569" i="21"/>
  <c r="AV569" i="21"/>
  <c r="BE569" i="21"/>
  <c r="BO569" i="21"/>
  <c r="AC569" i="21"/>
  <c r="AL569" i="21"/>
  <c r="AW569" i="21"/>
  <c r="BG569" i="21"/>
  <c r="BP569" i="21"/>
  <c r="W569" i="21"/>
  <c r="AG569" i="21"/>
  <c r="AR569" i="21"/>
  <c r="BA569" i="21"/>
  <c r="BJ569" i="21"/>
  <c r="BS569" i="21"/>
  <c r="AH569" i="21"/>
  <c r="BI569" i="21"/>
  <c r="AO569" i="21"/>
  <c r="BK569" i="21"/>
  <c r="AS569" i="21"/>
  <c r="BR569" i="21"/>
  <c r="AY569" i="21"/>
  <c r="AZ569" i="21"/>
  <c r="BH569" i="21"/>
  <c r="AD569" i="21"/>
  <c r="AE569" i="21"/>
  <c r="AQ569" i="21"/>
  <c r="BQ569" i="21"/>
  <c r="X541" i="21"/>
  <c r="AF541" i="21"/>
  <c r="AP541" i="21"/>
  <c r="AX541" i="21"/>
  <c r="BF541" i="21"/>
  <c r="BN541" i="21"/>
  <c r="Y541" i="21"/>
  <c r="AH541" i="21"/>
  <c r="AS541" i="21"/>
  <c r="BB541" i="21"/>
  <c r="BK541" i="21"/>
  <c r="BT541" i="21"/>
  <c r="Z541" i="21"/>
  <c r="AI541" i="21"/>
  <c r="AT541" i="21"/>
  <c r="BC541" i="21"/>
  <c r="BL541" i="21"/>
  <c r="AB541" i="21"/>
  <c r="AK541" i="21"/>
  <c r="AV541" i="21"/>
  <c r="BE541" i="21"/>
  <c r="BO541" i="21"/>
  <c r="AJ541" i="21"/>
  <c r="AZ541" i="21"/>
  <c r="BP541" i="21"/>
  <c r="AL541" i="21"/>
  <c r="BA541" i="21"/>
  <c r="BQ541" i="21"/>
  <c r="AA541" i="21"/>
  <c r="AQ541" i="21"/>
  <c r="BG541" i="21"/>
  <c r="BS541" i="21"/>
  <c r="AR541" i="21"/>
  <c r="BM541" i="21"/>
  <c r="W541" i="21"/>
  <c r="AW541" i="21"/>
  <c r="AC541" i="21"/>
  <c r="AY541" i="21"/>
  <c r="AD541" i="21"/>
  <c r="BD541" i="21"/>
  <c r="AG541" i="21"/>
  <c r="BI541" i="21"/>
  <c r="X535" i="21"/>
  <c r="AF535" i="21"/>
  <c r="AP535" i="21"/>
  <c r="AX535" i="21"/>
  <c r="BF535" i="21"/>
  <c r="BN535" i="21"/>
  <c r="AB535" i="21"/>
  <c r="AC535" i="21"/>
  <c r="AL535" i="21"/>
  <c r="AW535" i="21"/>
  <c r="BG535" i="21"/>
  <c r="BP535" i="21"/>
  <c r="AD535" i="21"/>
  <c r="AO535" i="21"/>
  <c r="AY535" i="21"/>
  <c r="BH535" i="21"/>
  <c r="BQ535" i="21"/>
  <c r="AG535" i="21"/>
  <c r="AR535" i="21"/>
  <c r="BA535" i="21"/>
  <c r="BJ535" i="21"/>
  <c r="BS535" i="21"/>
  <c r="AJ535" i="21"/>
  <c r="BB535" i="21"/>
  <c r="BO535" i="21"/>
  <c r="Y535" i="21"/>
  <c r="AQ535" i="21"/>
  <c r="BD535" i="21"/>
  <c r="BT535" i="21"/>
  <c r="Z535" i="21"/>
  <c r="AS535" i="21"/>
  <c r="BE535" i="21"/>
  <c r="AA535" i="21"/>
  <c r="AT535" i="21"/>
  <c r="BI535" i="21"/>
  <c r="AH535" i="21"/>
  <c r="AV535" i="21"/>
  <c r="BL535" i="21"/>
  <c r="AA562" i="21"/>
  <c r="AI562" i="21"/>
  <c r="AS562" i="21"/>
  <c r="BA562" i="21"/>
  <c r="BI562" i="21"/>
  <c r="BQ562" i="21"/>
  <c r="AC562" i="21"/>
  <c r="AK562" i="21"/>
  <c r="AU562" i="21"/>
  <c r="BC562" i="21"/>
  <c r="BK562" i="21"/>
  <c r="BS562" i="21"/>
  <c r="AD562" i="21"/>
  <c r="AL562" i="21"/>
  <c r="AV562" i="21"/>
  <c r="BD562" i="21"/>
  <c r="BL562" i="21"/>
  <c r="BT562" i="21"/>
  <c r="W562" i="21"/>
  <c r="AE562" i="21"/>
  <c r="AO562" i="21"/>
  <c r="AW562" i="21"/>
  <c r="BE562" i="21"/>
  <c r="BM562" i="21"/>
  <c r="Y562" i="21"/>
  <c r="AG562" i="21"/>
  <c r="AQ562" i="21"/>
  <c r="AY562" i="21"/>
  <c r="BG562" i="21"/>
  <c r="BO562" i="21"/>
  <c r="BP544" i="21"/>
  <c r="BH544" i="21"/>
  <c r="AY544" i="21"/>
  <c r="AQ544" i="21"/>
  <c r="AG544" i="21"/>
  <c r="Y544" i="21"/>
  <c r="BR548" i="21"/>
  <c r="BJ548" i="21"/>
  <c r="BB548" i="21"/>
  <c r="AT548" i="21"/>
  <c r="AJ548" i="21"/>
  <c r="AB548" i="21"/>
  <c r="BR554" i="21"/>
  <c r="BJ554" i="21"/>
  <c r="BB554" i="21"/>
  <c r="AT554" i="21"/>
  <c r="AJ554" i="21"/>
  <c r="AB554" i="21"/>
  <c r="BR580" i="21"/>
  <c r="BJ580" i="21"/>
  <c r="BB580" i="21"/>
  <c r="AT580" i="21"/>
  <c r="AJ580" i="21"/>
  <c r="AB580" i="21"/>
  <c r="BR566" i="21"/>
  <c r="BJ566" i="21"/>
  <c r="BB566" i="21"/>
  <c r="AT566" i="21"/>
  <c r="AI566" i="21"/>
  <c r="Z566" i="21"/>
  <c r="BN550" i="21"/>
  <c r="BE550" i="21"/>
  <c r="AT550" i="21"/>
  <c r="AE550" i="21"/>
  <c r="BP553" i="21"/>
  <c r="BB553" i="21"/>
  <c r="BP562" i="21"/>
  <c r="AT562" i="21"/>
  <c r="X562" i="21"/>
  <c r="AZ560" i="21"/>
  <c r="AB560" i="21"/>
  <c r="BF552" i="21"/>
  <c r="AH552" i="21"/>
  <c r="BJ581" i="21"/>
  <c r="AP581" i="21"/>
  <c r="BP561" i="21"/>
  <c r="AP561" i="21"/>
  <c r="BK575" i="21"/>
  <c r="AF575" i="21"/>
  <c r="AY549" i="21"/>
  <c r="BO584" i="21"/>
  <c r="AK535" i="21"/>
  <c r="AR582" i="21"/>
  <c r="AK543" i="21"/>
  <c r="AG572" i="21"/>
  <c r="AE592" i="21"/>
  <c r="Y538" i="21"/>
  <c r="BH541" i="21"/>
  <c r="AL568" i="21"/>
  <c r="Y545" i="21"/>
  <c r="BB570" i="21"/>
  <c r="AI540" i="21"/>
  <c r="BC590" i="21"/>
  <c r="BJ574" i="21"/>
  <c r="AC542" i="21"/>
  <c r="AK542" i="21"/>
  <c r="AU542" i="21"/>
  <c r="BC542" i="21"/>
  <c r="BK542" i="21"/>
  <c r="BS542" i="21"/>
  <c r="Y542" i="21"/>
  <c r="AG542" i="21"/>
  <c r="AQ542" i="21"/>
  <c r="AY542" i="21"/>
  <c r="BG542" i="21"/>
  <c r="BO542" i="21"/>
  <c r="AE542" i="21"/>
  <c r="AR542" i="21"/>
  <c r="BB542" i="21"/>
  <c r="BM542" i="21"/>
  <c r="X542" i="21"/>
  <c r="AI542" i="21"/>
  <c r="AV542" i="21"/>
  <c r="BF542" i="21"/>
  <c r="BQ542" i="21"/>
  <c r="Z542" i="21"/>
  <c r="AJ542" i="21"/>
  <c r="AW542" i="21"/>
  <c r="BH542" i="21"/>
  <c r="BR542" i="21"/>
  <c r="AL542" i="21"/>
  <c r="BD542" i="21"/>
  <c r="W542" i="21"/>
  <c r="AP542" i="21"/>
  <c r="BI542" i="21"/>
  <c r="AA542" i="21"/>
  <c r="AS542" i="21"/>
  <c r="BJ542" i="21"/>
  <c r="AB542" i="21"/>
  <c r="AT542" i="21"/>
  <c r="BL542" i="21"/>
  <c r="AD542" i="21"/>
  <c r="AX542" i="21"/>
  <c r="BN542" i="21"/>
  <c r="BP542" i="21"/>
  <c r="AZ542" i="21"/>
  <c r="BA542" i="21"/>
  <c r="BE542" i="21"/>
  <c r="BT542" i="21"/>
  <c r="AH542" i="21"/>
  <c r="AO542" i="21"/>
  <c r="AF542" i="21"/>
  <c r="AC588" i="21"/>
  <c r="Y588" i="21"/>
  <c r="AE588" i="21"/>
  <c r="AO588" i="21"/>
  <c r="AW588" i="21"/>
  <c r="BE588" i="21"/>
  <c r="BM588" i="21"/>
  <c r="X588" i="21"/>
  <c r="AH588" i="21"/>
  <c r="AR588" i="21"/>
  <c r="AZ588" i="21"/>
  <c r="BH588" i="21"/>
  <c r="BP588" i="21"/>
  <c r="Z588" i="21"/>
  <c r="AI588" i="21"/>
  <c r="AS588" i="21"/>
  <c r="BA588" i="21"/>
  <c r="BI588" i="21"/>
  <c r="BQ588" i="21"/>
  <c r="AB588" i="21"/>
  <c r="AQ588" i="21"/>
  <c r="BD588" i="21"/>
  <c r="BR588" i="21"/>
  <c r="AF588" i="21"/>
  <c r="AU588" i="21"/>
  <c r="BG588" i="21"/>
  <c r="BT588" i="21"/>
  <c r="AG588" i="21"/>
  <c r="AV588" i="21"/>
  <c r="BJ588" i="21"/>
  <c r="AJ588" i="21"/>
  <c r="AX588" i="21"/>
  <c r="BK588" i="21"/>
  <c r="AK588" i="21"/>
  <c r="AY588" i="21"/>
  <c r="BL588" i="21"/>
  <c r="AP588" i="21"/>
  <c r="AA588" i="21"/>
  <c r="BO588" i="21"/>
  <c r="AD588" i="21"/>
  <c r="BS588" i="21"/>
  <c r="AL588" i="21"/>
  <c r="AT588" i="21"/>
  <c r="BB588" i="21"/>
  <c r="BF588" i="21"/>
  <c r="W588" i="21"/>
  <c r="BN588" i="21"/>
  <c r="BC588" i="21"/>
  <c r="AC555" i="21"/>
  <c r="AK555" i="21"/>
  <c r="AU555" i="21"/>
  <c r="BC555" i="21"/>
  <c r="BK555" i="21"/>
  <c r="BS555" i="21"/>
  <c r="W555" i="21"/>
  <c r="AE555" i="21"/>
  <c r="AO555" i="21"/>
  <c r="AW555" i="21"/>
  <c r="BE555" i="21"/>
  <c r="X555" i="21"/>
  <c r="AF555" i="21"/>
  <c r="AP555" i="21"/>
  <c r="AX555" i="21"/>
  <c r="Z555" i="21"/>
  <c r="AH555" i="21"/>
  <c r="AR555" i="21"/>
  <c r="AZ555" i="21"/>
  <c r="BH555" i="21"/>
  <c r="BP555" i="21"/>
  <c r="Y555" i="21"/>
  <c r="AQ555" i="21"/>
  <c r="BF555" i="21"/>
  <c r="BQ555" i="21"/>
  <c r="AJ555" i="21"/>
  <c r="BD555" i="21"/>
  <c r="BR555" i="21"/>
  <c r="AL555" i="21"/>
  <c r="BG555" i="21"/>
  <c r="BT555" i="21"/>
  <c r="AS555" i="21"/>
  <c r="BI555" i="21"/>
  <c r="AA555" i="21"/>
  <c r="AT555" i="21"/>
  <c r="BJ555" i="21"/>
  <c r="AB555" i="21"/>
  <c r="AV555" i="21"/>
  <c r="BL555" i="21"/>
  <c r="AG555" i="21"/>
  <c r="BA555" i="21"/>
  <c r="BN555" i="21"/>
  <c r="AY555" i="21"/>
  <c r="BB555" i="21"/>
  <c r="BO555" i="21"/>
  <c r="AD555" i="21"/>
  <c r="AI555" i="21"/>
  <c r="X591" i="21"/>
  <c r="AF591" i="21"/>
  <c r="AP591" i="21"/>
  <c r="AX591" i="21"/>
  <c r="BF591" i="21"/>
  <c r="BN591" i="21"/>
  <c r="W591" i="21"/>
  <c r="AG591" i="21"/>
  <c r="AR591" i="21"/>
  <c r="BA591" i="21"/>
  <c r="BJ591" i="21"/>
  <c r="BS591" i="21"/>
  <c r="Y591" i="21"/>
  <c r="AH591" i="21"/>
  <c r="AS591" i="21"/>
  <c r="BB591" i="21"/>
  <c r="BK591" i="21"/>
  <c r="BT591" i="21"/>
  <c r="Z591" i="21"/>
  <c r="AI591" i="21"/>
  <c r="AT591" i="21"/>
  <c r="BC591" i="21"/>
  <c r="BL591" i="21"/>
  <c r="AA591" i="21"/>
  <c r="AJ591" i="21"/>
  <c r="AU591" i="21"/>
  <c r="BD591" i="21"/>
  <c r="BM591" i="21"/>
  <c r="AD591" i="21"/>
  <c r="AO591" i="21"/>
  <c r="AY591" i="21"/>
  <c r="BH591" i="21"/>
  <c r="BQ591" i="21"/>
  <c r="AK591" i="21"/>
  <c r="BI591" i="21"/>
  <c r="AL591" i="21"/>
  <c r="BO591" i="21"/>
  <c r="AV591" i="21"/>
  <c r="BR591" i="21"/>
  <c r="AE591" i="21"/>
  <c r="AQ591" i="21"/>
  <c r="AZ591" i="21"/>
  <c r="AB591" i="21"/>
  <c r="AW591" i="21"/>
  <c r="BE591" i="21"/>
  <c r="BG591" i="21"/>
  <c r="X539" i="21"/>
  <c r="AF539" i="21"/>
  <c r="AP539" i="21"/>
  <c r="AX539" i="21"/>
  <c r="BF539" i="21"/>
  <c r="BN539" i="21"/>
  <c r="AE539" i="21"/>
  <c r="AQ539" i="21"/>
  <c r="AZ539" i="21"/>
  <c r="BI539" i="21"/>
  <c r="BR539" i="21"/>
  <c r="W539" i="21"/>
  <c r="AG539" i="21"/>
  <c r="AR539" i="21"/>
  <c r="BA539" i="21"/>
  <c r="BJ539" i="21"/>
  <c r="BS539" i="21"/>
  <c r="Z539" i="21"/>
  <c r="AI539" i="21"/>
  <c r="AT539" i="21"/>
  <c r="BC539" i="21"/>
  <c r="BL539" i="21"/>
  <c r="AD539" i="21"/>
  <c r="AV539" i="21"/>
  <c r="BK539" i="21"/>
  <c r="AH539" i="21"/>
  <c r="AW539" i="21"/>
  <c r="BM539" i="21"/>
  <c r="AK539" i="21"/>
  <c r="BB539" i="21"/>
  <c r="BP539" i="21"/>
  <c r="AO539" i="21"/>
  <c r="BO539" i="21"/>
  <c r="Y539" i="21"/>
  <c r="AU539" i="21"/>
  <c r="BT539" i="21"/>
  <c r="AA539" i="21"/>
  <c r="AY539" i="21"/>
  <c r="AB539" i="21"/>
  <c r="BD539" i="21"/>
  <c r="AJ539" i="21"/>
  <c r="BG539" i="21"/>
  <c r="X584" i="21"/>
  <c r="AA584" i="21"/>
  <c r="AI584" i="21"/>
  <c r="AS584" i="21"/>
  <c r="BA584" i="21"/>
  <c r="BI584" i="21"/>
  <c r="BQ584" i="21"/>
  <c r="AB584" i="21"/>
  <c r="AJ584" i="21"/>
  <c r="AT584" i="21"/>
  <c r="BB584" i="21"/>
  <c r="BJ584" i="21"/>
  <c r="BR584" i="21"/>
  <c r="AD584" i="21"/>
  <c r="AL584" i="21"/>
  <c r="AV584" i="21"/>
  <c r="BD584" i="21"/>
  <c r="BL584" i="21"/>
  <c r="BT584" i="21"/>
  <c r="AF584" i="21"/>
  <c r="AU584" i="21"/>
  <c r="BG584" i="21"/>
  <c r="AH584" i="21"/>
  <c r="AX584" i="21"/>
  <c r="BK584" i="21"/>
  <c r="W584" i="21"/>
  <c r="AK584" i="21"/>
  <c r="AY584" i="21"/>
  <c r="BM584" i="21"/>
  <c r="Y584" i="21"/>
  <c r="AO584" i="21"/>
  <c r="AZ584" i="21"/>
  <c r="BN584" i="21"/>
  <c r="AC584" i="21"/>
  <c r="AQ584" i="21"/>
  <c r="BE584" i="21"/>
  <c r="BP584" i="21"/>
  <c r="AA553" i="21"/>
  <c r="AI553" i="21"/>
  <c r="AS553" i="21"/>
  <c r="BA553" i="21"/>
  <c r="BI553" i="21"/>
  <c r="BQ553" i="21"/>
  <c r="AC553" i="21"/>
  <c r="AK553" i="21"/>
  <c r="AU553" i="21"/>
  <c r="BC553" i="21"/>
  <c r="BK553" i="21"/>
  <c r="BS553" i="21"/>
  <c r="AD553" i="21"/>
  <c r="AL553" i="21"/>
  <c r="AV553" i="21"/>
  <c r="BD553" i="21"/>
  <c r="W553" i="21"/>
  <c r="Y553" i="21"/>
  <c r="AG553" i="21"/>
  <c r="AQ553" i="21"/>
  <c r="AY553" i="21"/>
  <c r="BG553" i="21"/>
  <c r="BO553" i="21"/>
  <c r="BO544" i="21"/>
  <c r="BF544" i="21"/>
  <c r="AX544" i="21"/>
  <c r="AP544" i="21"/>
  <c r="AF544" i="21"/>
  <c r="BQ548" i="21"/>
  <c r="BI548" i="21"/>
  <c r="BA548" i="21"/>
  <c r="AS548" i="21"/>
  <c r="AI548" i="21"/>
  <c r="BQ554" i="21"/>
  <c r="BI554" i="21"/>
  <c r="BA554" i="21"/>
  <c r="AS554" i="21"/>
  <c r="AI554" i="21"/>
  <c r="BQ580" i="21"/>
  <c r="BI580" i="21"/>
  <c r="BA580" i="21"/>
  <c r="AS580" i="21"/>
  <c r="AI580" i="21"/>
  <c r="BQ566" i="21"/>
  <c r="BI566" i="21"/>
  <c r="BA566" i="21"/>
  <c r="AS566" i="21"/>
  <c r="AH566" i="21"/>
  <c r="X566" i="21"/>
  <c r="BM550" i="21"/>
  <c r="BD550" i="21"/>
  <c r="AR550" i="21"/>
  <c r="AD550" i="21"/>
  <c r="BN553" i="21"/>
  <c r="AZ553" i="21"/>
  <c r="AH553" i="21"/>
  <c r="BN562" i="21"/>
  <c r="AR562" i="21"/>
  <c r="BR560" i="21"/>
  <c r="AX560" i="21"/>
  <c r="Z560" i="21"/>
  <c r="BB552" i="21"/>
  <c r="AF552" i="21"/>
  <c r="BH581" i="21"/>
  <c r="AJ581" i="21"/>
  <c r="BN561" i="21"/>
  <c r="AK561" i="21"/>
  <c r="BF575" i="21"/>
  <c r="AC575" i="21"/>
  <c r="AW549" i="21"/>
  <c r="BH584" i="21"/>
  <c r="Z584" i="21"/>
  <c r="AI535" i="21"/>
  <c r="AH582" i="21"/>
  <c r="AH543" i="21"/>
  <c r="AA572" i="21"/>
  <c r="BT538" i="21"/>
  <c r="BT571" i="21"/>
  <c r="BH539" i="21"/>
  <c r="AU541" i="21"/>
  <c r="AH568" i="21"/>
  <c r="BP537" i="21"/>
  <c r="AL570" i="21"/>
  <c r="BP591" i="21"/>
  <c r="AU590" i="21"/>
  <c r="BB577" i="21"/>
  <c r="AM475" i="21"/>
  <c r="AN475" i="21" s="1"/>
  <c r="AS475" i="21" s="1"/>
  <c r="AM521" i="21"/>
  <c r="AN521" i="21" s="1"/>
  <c r="AS521" i="21" s="1"/>
  <c r="AM72" i="21"/>
  <c r="AN72" i="21" s="1"/>
  <c r="AS72" i="21" s="1"/>
  <c r="AM526" i="21"/>
  <c r="AN526" i="21" s="1"/>
  <c r="AS526" i="21" s="1"/>
  <c r="AM514" i="21"/>
  <c r="AN514" i="21" s="1"/>
  <c r="AS514" i="21" s="1"/>
  <c r="AM68" i="21"/>
  <c r="AN68" i="21" s="1"/>
  <c r="AS68" i="21" s="1"/>
  <c r="AM67" i="21"/>
  <c r="AN67" i="21" s="1"/>
  <c r="AS67" i="21" s="1"/>
  <c r="AM51" i="21"/>
  <c r="AN51" i="21" s="1"/>
  <c r="AS51" i="21" s="1"/>
  <c r="AM520" i="21"/>
  <c r="AN520" i="21" s="1"/>
  <c r="AS520" i="21" s="1"/>
  <c r="AM516" i="21"/>
  <c r="AN516" i="21" s="1"/>
  <c r="AS516" i="21" s="1"/>
  <c r="AM523" i="21"/>
  <c r="AN523" i="21" s="1"/>
  <c r="AS523" i="21" s="1"/>
  <c r="AM29" i="21"/>
  <c r="AN29" i="21" s="1"/>
  <c r="AS29" i="21" s="1"/>
  <c r="AM57" i="21"/>
  <c r="AN57" i="21" s="1"/>
  <c r="AS57" i="21" s="1"/>
  <c r="AM60" i="21"/>
  <c r="AN60" i="21" s="1"/>
  <c r="AS60" i="21" s="1"/>
  <c r="AM62" i="21"/>
  <c r="AN62" i="21" s="1"/>
  <c r="AS62" i="21" s="1"/>
  <c r="AM61" i="21"/>
  <c r="AN61" i="21" s="1"/>
  <c r="AS61" i="21" s="1"/>
  <c r="AS277" i="21"/>
  <c r="AM501" i="21"/>
  <c r="AM413" i="21"/>
  <c r="AN413" i="21" s="1"/>
  <c r="AM56" i="21"/>
  <c r="AN56" i="21" s="1"/>
  <c r="AS56" i="21" s="1"/>
  <c r="AQ203" i="21"/>
  <c r="AM78" i="21"/>
  <c r="AN78" i="21" s="1"/>
  <c r="AS78" i="21" s="1"/>
  <c r="AI10" i="19"/>
  <c r="AH3" i="19"/>
  <c r="R2" i="19" s="1"/>
  <c r="AL152" i="19"/>
  <c r="AL3" i="19" s="1"/>
  <c r="AG3" i="15"/>
  <c r="AM377" i="15"/>
  <c r="AN377" i="15" s="1"/>
  <c r="AS377" i="15" s="1"/>
  <c r="AQ515" i="15"/>
  <c r="AM142" i="15"/>
  <c r="AN142" i="15" s="1"/>
  <c r="AS142" i="15" s="1"/>
  <c r="AI3" i="15"/>
  <c r="AM325" i="15"/>
  <c r="AN325" i="15" s="1"/>
  <c r="AS325" i="15" s="1"/>
  <c r="AM374" i="15"/>
  <c r="AN374" i="15" s="1"/>
  <c r="AS374" i="15" s="1"/>
  <c r="AM41" i="15"/>
  <c r="AN41" i="15" s="1"/>
  <c r="AS41" i="15" s="1"/>
  <c r="V3" i="15"/>
  <c r="U3" i="15" s="1"/>
  <c r="AM367" i="15"/>
  <c r="AN367" i="15" s="1"/>
  <c r="AS367" i="15" s="1"/>
  <c r="AM23" i="15"/>
  <c r="AN23" i="15" s="1"/>
  <c r="AS23" i="15" s="1"/>
  <c r="AK3" i="15"/>
  <c r="BS3" i="15"/>
  <c r="AJ3" i="15"/>
  <c r="AM331" i="15"/>
  <c r="AN331" i="15" s="1"/>
  <c r="AS331" i="15" s="1"/>
  <c r="AM205" i="15"/>
  <c r="AN205" i="15" s="1"/>
  <c r="AS205" i="15" s="1"/>
  <c r="AO3" i="15"/>
  <c r="AF3" i="15"/>
  <c r="AM50" i="15"/>
  <c r="AN50" i="15" s="1"/>
  <c r="AS50" i="15" s="1"/>
  <c r="AM193" i="15"/>
  <c r="AN193" i="15" s="1"/>
  <c r="AS193" i="15" s="1"/>
  <c r="AM436" i="15"/>
  <c r="AN436" i="15" s="1"/>
  <c r="AS436" i="15" s="1"/>
  <c r="AM376" i="15"/>
  <c r="AN376" i="15" s="1"/>
  <c r="AS376" i="15" s="1"/>
  <c r="AM206" i="15"/>
  <c r="AN206" i="15" s="1"/>
  <c r="AS206" i="15" s="1"/>
  <c r="AN9" i="15"/>
  <c r="AH3" i="15"/>
  <c r="AQ134" i="15"/>
  <c r="AM134" i="15"/>
  <c r="AN134" i="15" s="1"/>
  <c r="AS134" i="15" s="1"/>
  <c r="AM116" i="15"/>
  <c r="AN116" i="15" s="1"/>
  <c r="AS116" i="15" s="1"/>
  <c r="AM364" i="15"/>
  <c r="AN364" i="15" s="1"/>
  <c r="AS364" i="15" s="1"/>
  <c r="AM183" i="15"/>
  <c r="AN183" i="15" s="1"/>
  <c r="AS183" i="15" s="1"/>
  <c r="AM256" i="15"/>
  <c r="AN256" i="15" s="1"/>
  <c r="AS256" i="15" s="1"/>
  <c r="AM314" i="15"/>
  <c r="AN314" i="15" s="1"/>
  <c r="AM386" i="15"/>
  <c r="AN386" i="15" s="1"/>
  <c r="AS386" i="15" s="1"/>
  <c r="AM362" i="15"/>
  <c r="AN362" i="15" s="1"/>
  <c r="AS362" i="15" s="1"/>
  <c r="AM324" i="15"/>
  <c r="AN324" i="15" s="1"/>
  <c r="AS324" i="15" s="1"/>
  <c r="AM519" i="15"/>
  <c r="AN519" i="15" s="1"/>
  <c r="AS519" i="15" s="1"/>
  <c r="AM44" i="13"/>
  <c r="AN44" i="13" s="1"/>
  <c r="AS44" i="13" s="1"/>
  <c r="W3" i="13"/>
  <c r="V3" i="13" s="1"/>
  <c r="AM315" i="13"/>
  <c r="AN315" i="13" s="1"/>
  <c r="AM506" i="13"/>
  <c r="AN506" i="13" s="1"/>
  <c r="AS506" i="13" s="1"/>
  <c r="AM437" i="13"/>
  <c r="AN437" i="13" s="1"/>
  <c r="AS437" i="13" s="1"/>
  <c r="AH3" i="13"/>
  <c r="AB3" i="13"/>
  <c r="AM377" i="13"/>
  <c r="AN377" i="13" s="1"/>
  <c r="AS377" i="13" s="1"/>
  <c r="AM379" i="13"/>
  <c r="AN379" i="13" s="1"/>
  <c r="AS379" i="13" s="1"/>
  <c r="AJ3" i="13"/>
  <c r="AM115" i="13"/>
  <c r="AN115" i="13" s="1"/>
  <c r="AS115" i="13" s="1"/>
  <c r="AM325" i="13"/>
  <c r="AN325" i="13" s="1"/>
  <c r="AS325" i="13" s="1"/>
  <c r="AM380" i="13"/>
  <c r="AN380" i="13" s="1"/>
  <c r="AS380" i="13" s="1"/>
  <c r="AI3" i="13"/>
  <c r="AQ136" i="13"/>
  <c r="AQ3" i="13" s="1"/>
  <c r="AM144" i="13"/>
  <c r="AN144" i="13" s="1"/>
  <c r="AS144" i="13" s="1"/>
  <c r="AM188" i="13"/>
  <c r="AN188" i="13" s="1"/>
  <c r="AS188" i="13" s="1"/>
  <c r="AM332" i="13"/>
  <c r="AN332" i="13" s="1"/>
  <c r="AS332" i="13" s="1"/>
  <c r="BT3" i="13"/>
  <c r="AM363" i="13"/>
  <c r="AN363" i="13" s="1"/>
  <c r="AS363" i="13" s="1"/>
  <c r="AM364" i="13"/>
  <c r="AN364" i="13" s="1"/>
  <c r="AS364" i="13" s="1"/>
  <c r="AM171" i="13"/>
  <c r="AN171" i="13" s="1"/>
  <c r="AS171" i="13" s="1"/>
  <c r="AM198" i="13"/>
  <c r="AN198" i="13" s="1"/>
  <c r="AS198" i="13" s="1"/>
  <c r="AP3" i="13"/>
  <c r="AM326" i="13"/>
  <c r="AN326" i="13" s="1"/>
  <c r="AS326" i="13" s="1"/>
  <c r="AL3" i="13"/>
  <c r="AS114" i="13"/>
  <c r="AC3" i="13"/>
  <c r="AK3" i="13"/>
  <c r="AM362" i="13"/>
  <c r="AN362" i="13" s="1"/>
  <c r="AS362" i="13" s="1"/>
  <c r="AM502" i="13"/>
  <c r="AN502" i="13" s="1"/>
  <c r="AS502" i="13" s="1"/>
  <c r="AN69" i="13"/>
  <c r="AS69" i="13" s="1"/>
  <c r="AM367" i="13"/>
  <c r="AN367" i="13" s="1"/>
  <c r="AS367" i="13" s="1"/>
  <c r="AM258" i="13"/>
  <c r="AN258" i="13" s="1"/>
  <c r="AS258" i="13" s="1"/>
  <c r="AG3" i="13"/>
  <c r="AM22" i="13"/>
  <c r="AN22" i="13" s="1"/>
  <c r="AS22" i="13" s="1"/>
  <c r="AM389" i="13"/>
  <c r="AN389" i="13" s="1"/>
  <c r="AS389" i="13" s="1"/>
  <c r="AM53" i="13"/>
  <c r="AN53" i="13" s="1"/>
  <c r="AS53" i="13" s="1"/>
  <c r="AM210" i="13"/>
  <c r="AN210" i="13" s="1"/>
  <c r="AS210" i="13" s="1"/>
  <c r="AM211" i="13"/>
  <c r="AN211" i="13" s="1"/>
  <c r="AS211" i="13" s="1"/>
  <c r="A1" i="25" l="1"/>
  <c r="AP3" i="15"/>
  <c r="AQ3" i="21"/>
  <c r="AA3" i="21"/>
  <c r="AA1" i="21" s="1"/>
  <c r="Z3" i="21"/>
  <c r="AI3" i="21"/>
  <c r="AX3" i="21"/>
  <c r="AU3" i="21"/>
  <c r="BT3" i="21"/>
  <c r="AD3" i="21"/>
  <c r="AD1" i="21" s="1"/>
  <c r="BK3" i="21"/>
  <c r="AP3" i="21"/>
  <c r="W3" i="21"/>
  <c r="V3" i="21" s="1"/>
  <c r="BD3" i="21"/>
  <c r="AF3" i="21"/>
  <c r="AF1" i="21" s="1"/>
  <c r="AJ3" i="21"/>
  <c r="AL3" i="21"/>
  <c r="BB3" i="21"/>
  <c r="AB3" i="21"/>
  <c r="AB1" i="21" s="1"/>
  <c r="AV3" i="21"/>
  <c r="AK3" i="21"/>
  <c r="BS3" i="21"/>
  <c r="AG3" i="21"/>
  <c r="BF3" i="21"/>
  <c r="BC3" i="21"/>
  <c r="AM560" i="21"/>
  <c r="AN560" i="21" s="1"/>
  <c r="AM533" i="21"/>
  <c r="AN533" i="21" s="1"/>
  <c r="AM581" i="21"/>
  <c r="AN581" i="21" s="1"/>
  <c r="AM544" i="21"/>
  <c r="AN544" i="21" s="1"/>
  <c r="AM575" i="21"/>
  <c r="AN575" i="21" s="1"/>
  <c r="BN3" i="21"/>
  <c r="BE3" i="21"/>
  <c r="BL3" i="21"/>
  <c r="BQ3" i="21"/>
  <c r="AZ3" i="21"/>
  <c r="AY3" i="21"/>
  <c r="AR3" i="21"/>
  <c r="AW3" i="21"/>
  <c r="AH3" i="21"/>
  <c r="AC3" i="21"/>
  <c r="AC1" i="21" s="1"/>
  <c r="BR3" i="21"/>
  <c r="BG3" i="21"/>
  <c r="BP3" i="21"/>
  <c r="BI3" i="21"/>
  <c r="Y3" i="21"/>
  <c r="BM3" i="21"/>
  <c r="AE3" i="21"/>
  <c r="AE1" i="21" s="1"/>
  <c r="BA3" i="21"/>
  <c r="AO3" i="21"/>
  <c r="BO3" i="21"/>
  <c r="AM548" i="21"/>
  <c r="AN548" i="21" s="1"/>
  <c r="BJ3" i="21"/>
  <c r="X3" i="21"/>
  <c r="BH3" i="21"/>
  <c r="AM591" i="21"/>
  <c r="AN591" i="21" s="1"/>
  <c r="AM574" i="21"/>
  <c r="AN574" i="21" s="1"/>
  <c r="AM590" i="21"/>
  <c r="AN590" i="21" s="1"/>
  <c r="AM572" i="21"/>
  <c r="AN572" i="21" s="1"/>
  <c r="AM561" i="21"/>
  <c r="AN561" i="21" s="1"/>
  <c r="AM556" i="21"/>
  <c r="AN556" i="21" s="1"/>
  <c r="AM579" i="21"/>
  <c r="AN579" i="21" s="1"/>
  <c r="AM549" i="21"/>
  <c r="AN549" i="21" s="1"/>
  <c r="AM571" i="21"/>
  <c r="AN571" i="21" s="1"/>
  <c r="AM588" i="21"/>
  <c r="AN588" i="21" s="1"/>
  <c r="AM542" i="21"/>
  <c r="AN542" i="21" s="1"/>
  <c r="AM580" i="21"/>
  <c r="AN580" i="21" s="1"/>
  <c r="AM582" i="21"/>
  <c r="AN582" i="21" s="1"/>
  <c r="AM558" i="21"/>
  <c r="AN558" i="21" s="1"/>
  <c r="AM573" i="21"/>
  <c r="AN573" i="21" s="1"/>
  <c r="AM532" i="21"/>
  <c r="AN532" i="21" s="1"/>
  <c r="AM540" i="21"/>
  <c r="AN540" i="21" s="1"/>
  <c r="AM589" i="21"/>
  <c r="AN589" i="21" s="1"/>
  <c r="AM539" i="21"/>
  <c r="AN539" i="21" s="1"/>
  <c r="AM576" i="21"/>
  <c r="AN576" i="21" s="1"/>
  <c r="AM564" i="21"/>
  <c r="AN564" i="21" s="1"/>
  <c r="AM537" i="21"/>
  <c r="AN537" i="21" s="1"/>
  <c r="AM586" i="21"/>
  <c r="AN586" i="21" s="1"/>
  <c r="AM585" i="21"/>
  <c r="AN585" i="21" s="1"/>
  <c r="AM578" i="21"/>
  <c r="AN578" i="21" s="1"/>
  <c r="AM534" i="21"/>
  <c r="AN534" i="21" s="1"/>
  <c r="AM536" i="21"/>
  <c r="AN536" i="21" s="1"/>
  <c r="AM562" i="21"/>
  <c r="AN562" i="21" s="1"/>
  <c r="AM569" i="21"/>
  <c r="AN569" i="21" s="1"/>
  <c r="AM568" i="21"/>
  <c r="AN568" i="21" s="1"/>
  <c r="AM545" i="21"/>
  <c r="AN545" i="21" s="1"/>
  <c r="AM563" i="21"/>
  <c r="AN563" i="21" s="1"/>
  <c r="AM551" i="21"/>
  <c r="AN551" i="21" s="1"/>
  <c r="AM547" i="21"/>
  <c r="AN547" i="21" s="1"/>
  <c r="AM567" i="21"/>
  <c r="AN567" i="21" s="1"/>
  <c r="AM546" i="21"/>
  <c r="AN546" i="21" s="1"/>
  <c r="AM559" i="21"/>
  <c r="AN559" i="21" s="1"/>
  <c r="AM566" i="21"/>
  <c r="AN566" i="21" s="1"/>
  <c r="AM552" i="21"/>
  <c r="AN552" i="21" s="1"/>
  <c r="AM543" i="21"/>
  <c r="AN543" i="21" s="1"/>
  <c r="AM538" i="21"/>
  <c r="AN538" i="21" s="1"/>
  <c r="AM553" i="21"/>
  <c r="AN553" i="21" s="1"/>
  <c r="AM550" i="21"/>
  <c r="AN550" i="21" s="1"/>
  <c r="AM554" i="21"/>
  <c r="AN554" i="21" s="1"/>
  <c r="AM555" i="21"/>
  <c r="AN555" i="21" s="1"/>
  <c r="AM541" i="21"/>
  <c r="AN541" i="21" s="1"/>
  <c r="AM583" i="21"/>
  <c r="AN583" i="21" s="1"/>
  <c r="AM584" i="21"/>
  <c r="AN584" i="21" s="1"/>
  <c r="AM535" i="21"/>
  <c r="AN535" i="21" s="1"/>
  <c r="AM587" i="21"/>
  <c r="AN587" i="21" s="1"/>
  <c r="AM565" i="21"/>
  <c r="AN565" i="21" s="1"/>
  <c r="AM577" i="21"/>
  <c r="AN577" i="21" s="1"/>
  <c r="AM557" i="21"/>
  <c r="AN557" i="21" s="1"/>
  <c r="AM592" i="21"/>
  <c r="AN592" i="21" s="1"/>
  <c r="AM570" i="21"/>
  <c r="AN570" i="21" s="1"/>
  <c r="AN501" i="21"/>
  <c r="AN10" i="19"/>
  <c r="AN3" i="19" s="1"/>
  <c r="AI3" i="19"/>
  <c r="AM3" i="15"/>
  <c r="AS9" i="15"/>
  <c r="AR3" i="15" s="1"/>
  <c r="AL3" i="15"/>
  <c r="V2" i="15" s="1"/>
  <c r="AM3" i="13"/>
  <c r="W2" i="13" s="1"/>
  <c r="AS3" i="13"/>
  <c r="AN3" i="13"/>
  <c r="G1" i="25" l="1"/>
  <c r="A6" i="25"/>
  <c r="AM3" i="21"/>
  <c r="AS501" i="21"/>
  <c r="AS3" i="21" s="1"/>
  <c r="AN3" i="21"/>
  <c r="AH688" i="5"/>
  <c r="AI688" i="5" s="1"/>
  <c r="AN688" i="5" s="1"/>
  <c r="AK688" i="5"/>
  <c r="AL688" i="5"/>
  <c r="AH20" i="5"/>
  <c r="AH687" i="5"/>
  <c r="AI687" i="5" s="1"/>
  <c r="AN687" i="5" s="1"/>
  <c r="AK687" i="5"/>
  <c r="AL687" i="5"/>
  <c r="AH368" i="5"/>
  <c r="AI368" i="5" s="1"/>
  <c r="AN368" i="5" s="1"/>
  <c r="AK368" i="5"/>
  <c r="AL368" i="5"/>
  <c r="AH350" i="5"/>
  <c r="AI350" i="5" s="1"/>
  <c r="AN350" i="5" s="1"/>
  <c r="AK350" i="5"/>
  <c r="AL350" i="5"/>
  <c r="AH684" i="5"/>
  <c r="AI684" i="5" s="1"/>
  <c r="AN684" i="5" s="1"/>
  <c r="AK684" i="5"/>
  <c r="AL684" i="5"/>
  <c r="AH68" i="5"/>
  <c r="AI68" i="5" s="1"/>
  <c r="AN68" i="5" s="1"/>
  <c r="AK68" i="5"/>
  <c r="AL68" i="5"/>
  <c r="AH682" i="5"/>
  <c r="AI682" i="5" s="1"/>
  <c r="AN682" i="5" s="1"/>
  <c r="AK682" i="5"/>
  <c r="AL682" i="5"/>
  <c r="AH681" i="5"/>
  <c r="AI681" i="5" s="1"/>
  <c r="AN681" i="5" s="1"/>
  <c r="AK681" i="5"/>
  <c r="AL681" i="5"/>
  <c r="W2" i="21" l="1"/>
  <c r="AM1" i="21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9" i="5"/>
  <c r="AL72" i="5"/>
  <c r="AL70" i="5"/>
  <c r="AL71" i="5"/>
  <c r="AL73" i="5"/>
  <c r="AL75" i="5"/>
  <c r="AL74" i="5"/>
  <c r="AL77" i="5"/>
  <c r="AL76" i="5"/>
  <c r="AL79" i="5"/>
  <c r="AL78" i="5"/>
  <c r="AL80" i="5"/>
  <c r="AL82" i="5"/>
  <c r="AL81" i="5"/>
  <c r="AL84" i="5"/>
  <c r="AL83" i="5"/>
  <c r="AL86" i="5"/>
  <c r="AL85" i="5"/>
  <c r="AL101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5" i="5"/>
  <c r="AL102" i="5"/>
  <c r="AL103" i="5"/>
  <c r="AL104" i="5"/>
  <c r="AL106" i="5"/>
  <c r="AL107" i="5"/>
  <c r="AL108" i="5"/>
  <c r="AL111" i="5"/>
  <c r="AL109" i="5"/>
  <c r="AL110" i="5"/>
  <c r="AL115" i="5"/>
  <c r="AL112" i="5"/>
  <c r="AL113" i="5"/>
  <c r="AL114" i="5"/>
  <c r="AL118" i="5"/>
  <c r="AL116" i="5"/>
  <c r="AL117" i="5"/>
  <c r="AL123" i="5"/>
  <c r="AL119" i="5"/>
  <c r="AL120" i="5"/>
  <c r="AL121" i="5"/>
  <c r="AL122" i="5"/>
  <c r="AL126" i="5"/>
  <c r="AL124" i="5"/>
  <c r="AL125" i="5"/>
  <c r="AL130" i="5"/>
  <c r="AL127" i="5"/>
  <c r="AL128" i="5"/>
  <c r="AL129" i="5"/>
  <c r="AL133" i="5"/>
  <c r="AL131" i="5"/>
  <c r="AL132" i="5"/>
  <c r="AL136" i="5"/>
  <c r="AL134" i="5"/>
  <c r="AL135" i="5"/>
  <c r="AL140" i="5"/>
  <c r="AL137" i="5"/>
  <c r="AL138" i="5"/>
  <c r="AL139" i="5"/>
  <c r="AL141" i="5"/>
  <c r="AL148" i="5"/>
  <c r="AL142" i="5"/>
  <c r="AL143" i="5"/>
  <c r="AL144" i="5"/>
  <c r="AL145" i="5"/>
  <c r="AL146" i="5"/>
  <c r="AL147" i="5"/>
  <c r="AL149" i="5"/>
  <c r="AL150" i="5"/>
  <c r="AL151" i="5"/>
  <c r="AL156" i="5"/>
  <c r="AL153" i="5"/>
  <c r="AL154" i="5"/>
  <c r="AL155" i="5"/>
  <c r="AL158" i="5"/>
  <c r="AL157" i="5"/>
  <c r="AL159" i="5"/>
  <c r="AL160" i="5"/>
  <c r="AL167" i="5"/>
  <c r="AL161" i="5"/>
  <c r="AL162" i="5"/>
  <c r="AL163" i="5"/>
  <c r="AL164" i="5"/>
  <c r="AL165" i="5"/>
  <c r="AL166" i="5"/>
  <c r="AL168" i="5"/>
  <c r="AL169" i="5"/>
  <c r="AL174" i="5"/>
  <c r="AL170" i="5"/>
  <c r="AL171" i="5"/>
  <c r="AL172" i="5"/>
  <c r="AL173" i="5"/>
  <c r="AL175" i="5"/>
  <c r="AL176" i="5"/>
  <c r="AL183" i="5"/>
  <c r="AL177" i="5"/>
  <c r="AL178" i="5"/>
  <c r="AL179" i="5"/>
  <c r="AL180" i="5"/>
  <c r="AL181" i="5"/>
  <c r="AL182" i="5"/>
  <c r="AL189" i="5"/>
  <c r="AL184" i="5"/>
  <c r="AL185" i="5"/>
  <c r="AL186" i="5"/>
  <c r="AL187" i="5"/>
  <c r="AL188" i="5"/>
  <c r="AL201" i="5"/>
  <c r="AL190" i="5"/>
  <c r="AL191" i="5"/>
  <c r="AL192" i="5"/>
  <c r="AL193" i="5"/>
  <c r="AL194" i="5"/>
  <c r="AL195" i="5"/>
  <c r="AL196" i="5"/>
  <c r="AL197" i="5"/>
  <c r="AL198" i="5"/>
  <c r="AL199" i="5"/>
  <c r="AL200" i="5"/>
  <c r="AL202" i="5"/>
  <c r="AL203" i="5"/>
  <c r="AL208" i="5"/>
  <c r="AL204" i="5"/>
  <c r="AL205" i="5"/>
  <c r="AL206" i="5"/>
  <c r="AL207" i="5"/>
  <c r="AL214" i="5"/>
  <c r="AL209" i="5"/>
  <c r="AL210" i="5"/>
  <c r="AL211" i="5"/>
  <c r="AL212" i="5"/>
  <c r="AL213" i="5"/>
  <c r="AL215" i="5"/>
  <c r="AL216" i="5"/>
  <c r="AL217" i="5"/>
  <c r="AL218" i="5"/>
  <c r="AL219" i="5"/>
  <c r="AL220" i="5"/>
  <c r="AL221" i="5"/>
  <c r="AL222" i="5"/>
  <c r="AL223" i="5"/>
  <c r="AL225" i="5"/>
  <c r="AL224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9" i="5"/>
  <c r="AL238" i="5"/>
  <c r="AL243" i="5"/>
  <c r="AL240" i="5"/>
  <c r="AL241" i="5"/>
  <c r="AL242" i="5"/>
  <c r="AL244" i="5"/>
  <c r="AL247" i="5"/>
  <c r="AL245" i="5"/>
  <c r="AL246" i="5"/>
  <c r="AL248" i="5"/>
  <c r="AL249" i="5"/>
  <c r="AL250" i="5"/>
  <c r="AL251" i="5"/>
  <c r="AL254" i="5"/>
  <c r="AL252" i="5"/>
  <c r="AL253" i="5"/>
  <c r="AL255" i="5"/>
  <c r="AL258" i="5"/>
  <c r="AL256" i="5"/>
  <c r="AL257" i="5"/>
  <c r="AL259" i="5"/>
  <c r="AL264" i="5"/>
  <c r="AL260" i="5"/>
  <c r="AL261" i="5"/>
  <c r="AL262" i="5"/>
  <c r="AL263" i="5"/>
  <c r="AL265" i="5"/>
  <c r="AL266" i="5"/>
  <c r="AL267" i="5"/>
  <c r="AL277" i="5"/>
  <c r="AL268" i="5"/>
  <c r="AL269" i="5"/>
  <c r="AL270" i="5"/>
  <c r="AL271" i="5"/>
  <c r="AL272" i="5"/>
  <c r="AL273" i="5"/>
  <c r="AL274" i="5"/>
  <c r="AL275" i="5"/>
  <c r="AL276" i="5"/>
  <c r="AL278" i="5"/>
  <c r="AL279" i="5"/>
  <c r="AL280" i="5"/>
  <c r="AL281" i="5"/>
  <c r="AL282" i="5"/>
  <c r="AL283" i="5"/>
  <c r="AL293" i="5"/>
  <c r="AL284" i="5"/>
  <c r="AL285" i="5"/>
  <c r="AL286" i="5"/>
  <c r="AL287" i="5"/>
  <c r="AL288" i="5"/>
  <c r="AL289" i="5"/>
  <c r="AL290" i="5"/>
  <c r="AL291" i="5"/>
  <c r="AL292" i="5"/>
  <c r="AL294" i="5"/>
  <c r="AL295" i="5"/>
  <c r="AL296" i="5"/>
  <c r="AL297" i="5"/>
  <c r="AL298" i="5"/>
  <c r="AL299" i="5"/>
  <c r="AL300" i="5"/>
  <c r="AL301" i="5"/>
  <c r="AL304" i="5"/>
  <c r="AL302" i="5"/>
  <c r="AL303" i="5"/>
  <c r="AL306" i="5"/>
  <c r="AL305" i="5"/>
  <c r="AL308" i="5"/>
  <c r="AL307" i="5"/>
  <c r="AL309" i="5"/>
  <c r="AL316" i="5"/>
  <c r="AL310" i="5"/>
  <c r="AL311" i="5"/>
  <c r="AL312" i="5"/>
  <c r="AL313" i="5"/>
  <c r="AL314" i="5"/>
  <c r="AL315" i="5"/>
  <c r="AL317" i="5"/>
  <c r="AL327" i="5"/>
  <c r="AL318" i="5"/>
  <c r="AL319" i="5"/>
  <c r="AL320" i="5"/>
  <c r="AL321" i="5"/>
  <c r="AL322" i="5"/>
  <c r="AL323" i="5"/>
  <c r="AL324" i="5"/>
  <c r="AL325" i="5"/>
  <c r="AL326" i="5"/>
  <c r="AL330" i="5"/>
  <c r="AL328" i="5"/>
  <c r="AL329" i="5"/>
  <c r="AL332" i="5"/>
  <c r="AL331" i="5"/>
  <c r="AL333" i="5"/>
  <c r="AL342" i="5"/>
  <c r="AL334" i="5"/>
  <c r="AL335" i="5"/>
  <c r="AL336" i="5"/>
  <c r="AL337" i="5"/>
  <c r="AL338" i="5"/>
  <c r="AL339" i="5"/>
  <c r="AL340" i="5"/>
  <c r="AL341" i="5"/>
  <c r="AL343" i="5"/>
  <c r="AL344" i="5"/>
  <c r="AL349" i="5"/>
  <c r="AL345" i="5"/>
  <c r="AL346" i="5"/>
  <c r="AL347" i="5"/>
  <c r="AL348" i="5"/>
  <c r="AL351" i="5"/>
  <c r="AL353" i="5"/>
  <c r="AL354" i="5"/>
  <c r="AL352" i="5"/>
  <c r="AL355" i="5"/>
  <c r="AL358" i="5"/>
  <c r="AL359" i="5"/>
  <c r="AL356" i="5"/>
  <c r="AL357" i="5"/>
  <c r="AL363" i="5"/>
  <c r="AL367" i="5"/>
  <c r="AL360" i="5"/>
  <c r="AL361" i="5"/>
  <c r="AL362" i="5"/>
  <c r="AL372" i="5"/>
  <c r="AL364" i="5"/>
  <c r="AL365" i="5"/>
  <c r="AL366" i="5"/>
  <c r="AL378" i="5"/>
  <c r="AL379" i="5"/>
  <c r="AL369" i="5"/>
  <c r="AL370" i="5"/>
  <c r="AL371" i="5"/>
  <c r="AL381" i="5"/>
  <c r="AL373" i="5"/>
  <c r="AL374" i="5"/>
  <c r="AL375" i="5"/>
  <c r="AL376" i="5"/>
  <c r="AL377" i="5"/>
  <c r="AL382" i="5"/>
  <c r="AL384" i="5"/>
  <c r="AL380" i="5"/>
  <c r="AL389" i="5"/>
  <c r="AL392" i="5"/>
  <c r="AL383" i="5"/>
  <c r="AL393" i="5"/>
  <c r="AL385" i="5"/>
  <c r="AL386" i="5"/>
  <c r="AL387" i="5"/>
  <c r="AL388" i="5"/>
  <c r="AL396" i="5"/>
  <c r="AL390" i="5"/>
  <c r="AL391" i="5"/>
  <c r="AL397" i="5"/>
  <c r="AL398" i="5"/>
  <c r="AL394" i="5"/>
  <c r="AL395" i="5"/>
  <c r="AL399" i="5"/>
  <c r="AL400" i="5"/>
  <c r="AL401" i="5"/>
  <c r="AL402" i="5"/>
  <c r="AL407" i="5"/>
  <c r="AL408" i="5"/>
  <c r="AL409" i="5"/>
  <c r="AL403" i="5"/>
  <c r="AL404" i="5"/>
  <c r="AL405" i="5"/>
  <c r="AL406" i="5"/>
  <c r="AL410" i="5"/>
  <c r="AL411" i="5"/>
  <c r="AL412" i="5"/>
  <c r="AL413" i="5"/>
  <c r="AL414" i="5"/>
  <c r="AL417" i="5"/>
  <c r="AL425" i="5"/>
  <c r="AL426" i="5"/>
  <c r="AL415" i="5"/>
  <c r="AL416" i="5"/>
  <c r="AL427" i="5"/>
  <c r="AL418" i="5"/>
  <c r="AL419" i="5"/>
  <c r="AL420" i="5"/>
  <c r="AL421" i="5"/>
  <c r="AL422" i="5"/>
  <c r="AL423" i="5"/>
  <c r="AL424" i="5"/>
  <c r="AL430" i="5"/>
  <c r="AL431" i="5"/>
  <c r="AL432" i="5"/>
  <c r="AL429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459" i="5"/>
  <c r="AL460" i="5"/>
  <c r="AL461" i="5"/>
  <c r="AL462" i="5"/>
  <c r="AL463" i="5"/>
  <c r="AL464" i="5"/>
  <c r="AL465" i="5"/>
  <c r="AL466" i="5"/>
  <c r="AL467" i="5"/>
  <c r="AL468" i="5"/>
  <c r="AL469" i="5"/>
  <c r="AL470" i="5"/>
  <c r="AL471" i="5"/>
  <c r="AL472" i="5"/>
  <c r="AL473" i="5"/>
  <c r="AL474" i="5"/>
  <c r="AL475" i="5"/>
  <c r="AL476" i="5"/>
  <c r="AL477" i="5"/>
  <c r="AL478" i="5"/>
  <c r="AL479" i="5"/>
  <c r="AL483" i="5"/>
  <c r="AL484" i="5"/>
  <c r="AL487" i="5"/>
  <c r="AL480" i="5"/>
  <c r="AL481" i="5"/>
  <c r="AL482" i="5"/>
  <c r="AL488" i="5"/>
  <c r="AL489" i="5"/>
  <c r="AL485" i="5"/>
  <c r="AL486" i="5"/>
  <c r="AL490" i="5"/>
  <c r="AL491" i="5"/>
  <c r="AL492" i="5"/>
  <c r="AL493" i="5"/>
  <c r="AL495" i="5"/>
  <c r="AL501" i="5"/>
  <c r="AL502" i="5"/>
  <c r="AL494" i="5"/>
  <c r="AL504" i="5"/>
  <c r="AL496" i="5"/>
  <c r="AL497" i="5"/>
  <c r="AL498" i="5"/>
  <c r="AL499" i="5"/>
  <c r="AL500" i="5"/>
  <c r="AL505" i="5"/>
  <c r="AL507" i="5"/>
  <c r="AL503" i="5"/>
  <c r="AL511" i="5"/>
  <c r="AL514" i="5"/>
  <c r="AL506" i="5"/>
  <c r="AL515" i="5"/>
  <c r="AL508" i="5"/>
  <c r="AL509" i="5"/>
  <c r="AL510" i="5"/>
  <c r="AL516" i="5"/>
  <c r="AL512" i="5"/>
  <c r="AL513" i="5"/>
  <c r="AL517" i="5"/>
  <c r="AL518" i="5"/>
  <c r="AL519" i="5"/>
  <c r="AL520" i="5"/>
  <c r="AL521" i="5"/>
  <c r="AL522" i="5"/>
  <c r="AL523" i="5"/>
  <c r="AL524" i="5"/>
  <c r="AL525" i="5"/>
  <c r="AL526" i="5"/>
  <c r="AL527" i="5"/>
  <c r="AL533" i="5"/>
  <c r="AL534" i="5"/>
  <c r="AL536" i="5"/>
  <c r="AL528" i="5"/>
  <c r="AL529" i="5"/>
  <c r="AL530" i="5"/>
  <c r="AL531" i="5"/>
  <c r="AL532" i="5"/>
  <c r="AL537" i="5"/>
  <c r="AL538" i="5"/>
  <c r="AL535" i="5"/>
  <c r="AL539" i="5"/>
  <c r="AL540" i="5"/>
  <c r="AL541" i="5"/>
  <c r="AL542" i="5"/>
  <c r="AL543" i="5"/>
  <c r="AL547" i="5"/>
  <c r="AL548" i="5"/>
  <c r="AL549" i="5"/>
  <c r="AL544" i="5"/>
  <c r="AL545" i="5"/>
  <c r="AL546" i="5"/>
  <c r="AL550" i="5"/>
  <c r="AL551" i="5"/>
  <c r="AL552" i="5"/>
  <c r="AL553" i="5"/>
  <c r="AL554" i="5"/>
  <c r="AL555" i="5"/>
  <c r="AL556" i="5"/>
  <c r="AL557" i="5"/>
  <c r="AL558" i="5"/>
  <c r="AL559" i="5"/>
  <c r="AL560" i="5"/>
  <c r="AL561" i="5"/>
  <c r="AL563" i="5"/>
  <c r="AL565" i="5"/>
  <c r="AL569" i="5"/>
  <c r="AL562" i="5"/>
  <c r="AL570" i="5"/>
  <c r="AL564" i="5"/>
  <c r="AL582" i="5"/>
  <c r="AL566" i="5"/>
  <c r="AL567" i="5"/>
  <c r="AL568" i="5"/>
  <c r="AL588" i="5"/>
  <c r="AL589" i="5"/>
  <c r="AL571" i="5"/>
  <c r="AL572" i="5"/>
  <c r="AL573" i="5"/>
  <c r="AL574" i="5"/>
  <c r="AL575" i="5"/>
  <c r="AL576" i="5"/>
  <c r="AL577" i="5"/>
  <c r="AL578" i="5"/>
  <c r="AL579" i="5"/>
  <c r="AL580" i="5"/>
  <c r="AL581" i="5"/>
  <c r="AL590" i="5"/>
  <c r="AL583" i="5"/>
  <c r="AL584" i="5"/>
  <c r="AL585" i="5"/>
  <c r="AL586" i="5"/>
  <c r="AL587" i="5"/>
  <c r="AL604" i="5"/>
  <c r="AL605" i="5"/>
  <c r="AL606" i="5"/>
  <c r="AL591" i="5"/>
  <c r="AL592" i="5"/>
  <c r="AL593" i="5"/>
  <c r="AL594" i="5"/>
  <c r="AL595" i="5"/>
  <c r="AL596" i="5"/>
  <c r="AL597" i="5"/>
  <c r="AL598" i="5"/>
  <c r="AL599" i="5"/>
  <c r="AL600" i="5"/>
  <c r="AL601" i="5"/>
  <c r="AL602" i="5"/>
  <c r="AL603" i="5"/>
  <c r="AL607" i="5"/>
  <c r="AL608" i="5"/>
  <c r="AL609" i="5"/>
  <c r="AL610" i="5"/>
  <c r="AL615" i="5"/>
  <c r="AL616" i="5"/>
  <c r="AL617" i="5"/>
  <c r="AL611" i="5"/>
  <c r="AL612" i="5"/>
  <c r="AL613" i="5"/>
  <c r="AL614" i="5"/>
  <c r="AL618" i="5"/>
  <c r="AL623" i="5"/>
  <c r="AL624" i="5"/>
  <c r="AL625" i="5"/>
  <c r="AL620" i="5"/>
  <c r="AL621" i="5"/>
  <c r="AL622" i="5"/>
  <c r="AL635" i="5"/>
  <c r="AL638" i="5"/>
  <c r="AL642" i="5"/>
  <c r="AL626" i="5"/>
  <c r="AL627" i="5"/>
  <c r="AL628" i="5"/>
  <c r="AL629" i="5"/>
  <c r="AL630" i="5"/>
  <c r="AL631" i="5"/>
  <c r="AL632" i="5"/>
  <c r="AL633" i="5"/>
  <c r="AL634" i="5"/>
  <c r="AL645" i="5"/>
  <c r="AL636" i="5"/>
  <c r="AL637" i="5"/>
  <c r="AL649" i="5"/>
  <c r="AL639" i="5"/>
  <c r="AL640" i="5"/>
  <c r="AL641" i="5"/>
  <c r="AL663" i="5"/>
  <c r="AL643" i="5"/>
  <c r="AL644" i="5"/>
  <c r="AL666" i="5"/>
  <c r="AL646" i="5"/>
  <c r="AL647" i="5"/>
  <c r="AL648" i="5"/>
  <c r="AL670" i="5"/>
  <c r="AL650" i="5"/>
  <c r="AL651" i="5"/>
  <c r="AL652" i="5"/>
  <c r="AL653" i="5"/>
  <c r="AL654" i="5"/>
  <c r="AL655" i="5"/>
  <c r="AL656" i="5"/>
  <c r="AL657" i="5"/>
  <c r="AL658" i="5"/>
  <c r="AL659" i="5"/>
  <c r="AL660" i="5"/>
  <c r="AL661" i="5"/>
  <c r="AL662" i="5"/>
  <c r="AL673" i="5"/>
  <c r="AL664" i="5"/>
  <c r="AL665" i="5"/>
  <c r="AL679" i="5"/>
  <c r="AL667" i="5"/>
  <c r="AL668" i="5"/>
  <c r="AL669" i="5"/>
  <c r="AL683" i="5"/>
  <c r="AL671" i="5"/>
  <c r="AL672" i="5"/>
  <c r="AL685" i="5"/>
  <c r="AL674" i="5"/>
  <c r="AL675" i="5"/>
  <c r="AL676" i="5"/>
  <c r="AL677" i="5"/>
  <c r="AL678" i="5"/>
  <c r="AL686" i="5"/>
  <c r="AL680" i="5"/>
  <c r="AL8" i="5"/>
  <c r="AA3" i="5" l="1"/>
  <c r="AK18" i="5"/>
  <c r="AK30" i="5"/>
  <c r="AK42" i="5"/>
  <c r="AK54" i="5"/>
  <c r="AK66" i="5"/>
  <c r="AK78" i="5"/>
  <c r="AK90" i="5"/>
  <c r="AK102" i="5"/>
  <c r="AK114" i="5"/>
  <c r="AK130" i="5"/>
  <c r="AK138" i="5"/>
  <c r="AK151" i="5"/>
  <c r="AK162" i="5"/>
  <c r="AK175" i="5"/>
  <c r="AK186" i="5"/>
  <c r="AK198" i="5"/>
  <c r="AK200" i="5"/>
  <c r="AK202" i="5"/>
  <c r="AK209" i="5"/>
  <c r="AK211" i="5"/>
  <c r="AK212" i="5"/>
  <c r="AK218" i="5"/>
  <c r="AK222" i="5"/>
  <c r="AK223" i="5"/>
  <c r="AK227" i="5"/>
  <c r="AK234" i="5"/>
  <c r="AK235" i="5"/>
  <c r="AK240" i="5"/>
  <c r="AK247" i="5"/>
  <c r="AK245" i="5"/>
  <c r="AK248" i="5"/>
  <c r="AK249" i="5"/>
  <c r="AK257" i="5"/>
  <c r="AK259" i="5"/>
  <c r="AK265" i="5"/>
  <c r="AK266" i="5"/>
  <c r="AK268" i="5"/>
  <c r="AK269" i="5"/>
  <c r="AK271" i="5"/>
  <c r="AK275" i="5"/>
  <c r="AK276" i="5"/>
  <c r="AK282" i="5"/>
  <c r="AK286" i="5"/>
  <c r="AK287" i="5"/>
  <c r="AK292" i="5"/>
  <c r="AK294" i="5"/>
  <c r="AK296" i="5"/>
  <c r="AK301" i="5"/>
  <c r="AK304" i="5"/>
  <c r="AK303" i="5"/>
  <c r="AK306" i="5"/>
  <c r="AK322" i="5"/>
  <c r="AK323" i="5"/>
  <c r="AK324" i="5"/>
  <c r="AK330" i="5"/>
  <c r="AK328" i="5"/>
  <c r="AK329" i="5"/>
  <c r="AK331" i="5"/>
  <c r="AK336" i="5"/>
  <c r="AK339" i="5"/>
  <c r="AK341" i="5"/>
  <c r="AK344" i="5"/>
  <c r="AK355" i="5"/>
  <c r="AK358" i="5"/>
  <c r="AK359" i="5"/>
  <c r="AK363" i="5"/>
  <c r="AK367" i="5"/>
  <c r="AK360" i="5"/>
  <c r="AK365" i="5"/>
  <c r="AK378" i="5"/>
  <c r="AK371" i="5"/>
  <c r="AK381" i="5"/>
  <c r="AK376" i="5"/>
  <c r="AK377" i="5"/>
  <c r="AK384" i="5"/>
  <c r="AK380" i="5"/>
  <c r="AK388" i="5"/>
  <c r="AK396" i="5"/>
  <c r="AK391" i="5"/>
  <c r="AK408" i="5"/>
  <c r="AK409" i="5"/>
  <c r="AK403" i="5"/>
  <c r="AK404" i="5"/>
  <c r="AK417" i="5"/>
  <c r="AK425" i="5"/>
  <c r="AK415" i="5"/>
  <c r="AK427" i="5"/>
  <c r="AK418" i="5"/>
  <c r="AK420" i="5"/>
  <c r="AK423" i="5"/>
  <c r="AK424" i="5"/>
  <c r="AK428" i="5"/>
  <c r="AK435" i="5"/>
  <c r="AK436" i="5"/>
  <c r="AK438" i="5"/>
  <c r="AK440" i="5"/>
  <c r="AK442" i="5"/>
  <c r="AK447" i="5"/>
  <c r="AK452" i="5"/>
  <c r="AK453" i="5"/>
  <c r="AK454" i="5"/>
  <c r="AK458" i="5"/>
  <c r="AK459" i="5"/>
  <c r="AK460" i="5"/>
  <c r="AK464" i="5"/>
  <c r="AK466" i="5"/>
  <c r="AK471" i="5"/>
  <c r="AK476" i="5"/>
  <c r="AK478" i="5"/>
  <c r="AK487" i="5"/>
  <c r="AK480" i="5"/>
  <c r="AK489" i="5"/>
  <c r="AK485" i="5"/>
  <c r="AK491" i="5"/>
  <c r="AK492" i="5"/>
  <c r="AK501" i="5"/>
  <c r="AK497" i="5"/>
  <c r="AK499" i="5"/>
  <c r="AK507" i="5"/>
  <c r="AK503" i="5"/>
  <c r="AK511" i="5"/>
  <c r="AK509" i="5"/>
  <c r="AK516" i="5"/>
  <c r="AK524" i="5"/>
  <c r="AK526" i="5"/>
  <c r="AK528" i="5"/>
  <c r="AK529" i="5"/>
  <c r="AK535" i="5"/>
  <c r="AK542" i="5"/>
  <c r="AK543" i="5"/>
  <c r="AK545" i="5"/>
  <c r="AK546" i="5"/>
  <c r="AK550" i="5"/>
  <c r="AK555" i="5"/>
  <c r="AK559" i="5"/>
  <c r="AK560" i="5"/>
  <c r="AK561" i="5"/>
  <c r="AK563" i="5"/>
  <c r="AK564" i="5"/>
  <c r="AK582" i="5"/>
  <c r="AK588" i="5"/>
  <c r="AK589" i="5"/>
  <c r="AK575" i="5"/>
  <c r="AK576" i="5"/>
  <c r="AK580" i="5"/>
  <c r="AK581" i="5"/>
  <c r="AK583" i="5"/>
  <c r="AK604" i="5"/>
  <c r="AK592" i="5"/>
  <c r="AK593" i="5"/>
  <c r="AK594" i="5"/>
  <c r="AK595" i="5"/>
  <c r="AK599" i="5"/>
  <c r="AK600" i="5"/>
  <c r="AK601" i="5"/>
  <c r="AK608" i="5"/>
  <c r="AK609" i="5"/>
  <c r="AK610" i="5"/>
  <c r="AK612" i="5"/>
  <c r="AK624" i="5"/>
  <c r="AK625" i="5"/>
  <c r="AK619" i="5"/>
  <c r="AK635" i="5"/>
  <c r="AK638" i="5"/>
  <c r="AK628" i="5"/>
  <c r="AK629" i="5"/>
  <c r="AK630" i="5"/>
  <c r="AK636" i="5"/>
  <c r="AK641" i="5"/>
  <c r="AK643" i="5"/>
  <c r="AK666" i="5"/>
  <c r="AK646" i="5"/>
  <c r="AK648" i="5"/>
  <c r="AK670" i="5"/>
  <c r="AK654" i="5"/>
  <c r="AK655" i="5"/>
  <c r="AK657" i="5"/>
  <c r="AK660" i="5"/>
  <c r="AK661" i="5"/>
  <c r="AK665" i="5"/>
  <c r="AK679" i="5"/>
  <c r="AK667" i="5"/>
  <c r="AK672" i="5"/>
  <c r="AK677" i="5"/>
  <c r="AK678" i="5"/>
  <c r="AK201" i="5"/>
  <c r="AK190" i="5"/>
  <c r="AK192" i="5"/>
  <c r="AK196" i="5"/>
  <c r="AK197" i="5"/>
  <c r="AK203" i="5"/>
  <c r="AK208" i="5"/>
  <c r="AK204" i="5"/>
  <c r="AK210" i="5"/>
  <c r="AK213" i="5"/>
  <c r="AK215" i="5"/>
  <c r="AK216" i="5"/>
  <c r="AK217" i="5"/>
  <c r="AK219" i="5"/>
  <c r="AK228" i="5"/>
  <c r="AK229" i="5"/>
  <c r="AK230" i="5"/>
  <c r="AK231" i="5"/>
  <c r="AK232" i="5"/>
  <c r="AK233" i="5"/>
  <c r="AK241" i="5"/>
  <c r="AK242" i="5"/>
  <c r="AK244" i="5"/>
  <c r="AK246" i="5"/>
  <c r="AK255" i="5"/>
  <c r="AK258" i="5"/>
  <c r="AK256" i="5"/>
  <c r="AK270" i="5"/>
  <c r="AK272" i="5"/>
  <c r="AK273" i="5"/>
  <c r="AK274" i="5"/>
  <c r="AK283" i="5"/>
  <c r="AK285" i="5"/>
  <c r="AK288" i="5"/>
  <c r="AK289" i="5"/>
  <c r="AK290" i="5"/>
  <c r="AK295" i="5"/>
  <c r="AK299" i="5"/>
  <c r="AK300" i="5"/>
  <c r="AK302" i="5"/>
  <c r="AK305" i="5"/>
  <c r="AK308" i="5"/>
  <c r="AK312" i="5"/>
  <c r="AK313" i="5"/>
  <c r="AK314" i="5"/>
  <c r="AK315" i="5"/>
  <c r="AK317" i="5"/>
  <c r="AK327" i="5"/>
  <c r="AK318" i="5"/>
  <c r="AK326" i="5"/>
  <c r="AK332" i="5"/>
  <c r="AK340" i="5"/>
  <c r="AK343" i="5"/>
  <c r="AK349" i="5"/>
  <c r="AK345" i="5"/>
  <c r="AK346" i="5"/>
  <c r="AK347" i="5"/>
  <c r="AK348" i="5"/>
  <c r="AK357" i="5"/>
  <c r="AK361" i="5"/>
  <c r="AK362" i="5"/>
  <c r="AK372" i="5"/>
  <c r="AK366" i="5"/>
  <c r="AK370" i="5"/>
  <c r="AK373" i="5"/>
  <c r="AK374" i="5"/>
  <c r="AK375" i="5"/>
  <c r="AK382" i="5"/>
  <c r="AK393" i="5"/>
  <c r="AK385" i="5"/>
  <c r="AK386" i="5"/>
  <c r="AK387" i="5"/>
  <c r="AK390" i="5"/>
  <c r="AK401" i="5"/>
  <c r="AK402" i="5"/>
  <c r="AK407" i="5"/>
  <c r="AK426" i="5"/>
  <c r="AK416" i="5"/>
  <c r="AK419" i="5"/>
  <c r="AK430" i="5"/>
  <c r="AK429" i="5"/>
  <c r="AK433" i="5"/>
  <c r="AK434" i="5"/>
  <c r="AK437" i="5"/>
  <c r="AK441" i="5"/>
  <c r="AK445" i="5"/>
  <c r="AK446" i="5"/>
  <c r="AK448" i="5"/>
  <c r="AK449" i="5"/>
  <c r="AK450" i="5"/>
  <c r="AK451" i="5"/>
  <c r="AK461" i="5"/>
  <c r="AK462" i="5"/>
  <c r="AK463" i="5"/>
  <c r="AK465" i="5"/>
  <c r="AK473" i="5"/>
  <c r="AK474" i="5"/>
  <c r="AK475" i="5"/>
  <c r="AK477" i="5"/>
  <c r="AK486" i="5"/>
  <c r="AK493" i="5"/>
  <c r="AK495" i="5"/>
  <c r="AK494" i="5"/>
  <c r="AK498" i="5"/>
  <c r="AK505" i="5"/>
  <c r="AK514" i="5"/>
  <c r="AK506" i="5"/>
  <c r="AK515" i="5"/>
  <c r="AK510" i="5"/>
  <c r="AK517" i="5"/>
  <c r="AK518" i="5"/>
  <c r="AK519" i="5"/>
  <c r="AK520" i="5"/>
  <c r="AK521" i="5"/>
  <c r="AK522" i="5"/>
  <c r="AK523" i="5"/>
  <c r="AK525" i="5"/>
  <c r="AK530" i="5"/>
  <c r="AK531" i="5"/>
  <c r="AK532" i="5"/>
  <c r="AK537" i="5"/>
  <c r="AK538" i="5"/>
  <c r="AK548" i="5"/>
  <c r="AK549" i="5"/>
  <c r="AK544" i="5"/>
  <c r="AK565" i="5"/>
  <c r="AK569" i="5"/>
  <c r="AK562" i="5"/>
  <c r="AK570" i="5"/>
  <c r="AK566" i="5"/>
  <c r="AK573" i="5"/>
  <c r="AK574" i="5"/>
  <c r="AK577" i="5"/>
  <c r="AK578" i="5"/>
  <c r="AK579" i="5"/>
  <c r="AK590" i="5"/>
  <c r="AK586" i="5"/>
  <c r="AK587" i="5"/>
  <c r="AK605" i="5"/>
  <c r="AK606" i="5"/>
  <c r="AK591" i="5"/>
  <c r="AK602" i="5"/>
  <c r="AK603" i="5"/>
  <c r="AK607" i="5"/>
  <c r="AK614" i="5"/>
  <c r="AK618" i="5"/>
  <c r="AK623" i="5"/>
  <c r="AK632" i="5"/>
  <c r="AK633" i="5"/>
  <c r="AK634" i="5"/>
  <c r="AK645" i="5"/>
  <c r="AK637" i="5"/>
  <c r="AK649" i="5"/>
  <c r="AK663" i="5"/>
  <c r="AK647" i="5"/>
  <c r="AK650" i="5"/>
  <c r="AK651" i="5"/>
  <c r="AK652" i="5"/>
  <c r="AK653" i="5"/>
  <c r="AK658" i="5"/>
  <c r="AK659" i="5"/>
  <c r="AK662" i="5"/>
  <c r="AK673" i="5"/>
  <c r="AK664" i="5"/>
  <c r="AK685" i="5"/>
  <c r="AK674" i="5"/>
  <c r="AK675" i="5"/>
  <c r="AK676" i="5"/>
  <c r="AK9" i="5"/>
  <c r="AK10" i="5"/>
  <c r="AK11" i="5"/>
  <c r="AK12" i="5"/>
  <c r="AK13" i="5"/>
  <c r="AK14" i="5"/>
  <c r="AK15" i="5"/>
  <c r="AK16" i="5"/>
  <c r="AK17" i="5"/>
  <c r="AK19" i="5"/>
  <c r="AK20" i="5"/>
  <c r="AK21" i="5"/>
  <c r="AK22" i="5"/>
  <c r="AK23" i="5"/>
  <c r="AK24" i="5"/>
  <c r="AK25" i="5"/>
  <c r="AK26" i="5"/>
  <c r="AK27" i="5"/>
  <c r="AK28" i="5"/>
  <c r="AK29" i="5"/>
  <c r="AK31" i="5"/>
  <c r="AK32" i="5"/>
  <c r="AK33" i="5"/>
  <c r="AK34" i="5"/>
  <c r="AK35" i="5"/>
  <c r="AK36" i="5"/>
  <c r="AK37" i="5"/>
  <c r="AK38" i="5"/>
  <c r="AK39" i="5"/>
  <c r="AK40" i="5"/>
  <c r="AK41" i="5"/>
  <c r="AK43" i="5"/>
  <c r="AK44" i="5"/>
  <c r="AK45" i="5"/>
  <c r="AK46" i="5"/>
  <c r="AK47" i="5"/>
  <c r="AK48" i="5"/>
  <c r="AK49" i="5"/>
  <c r="AK50" i="5"/>
  <c r="AK51" i="5"/>
  <c r="AK52" i="5"/>
  <c r="AK53" i="5"/>
  <c r="AK55" i="5"/>
  <c r="AK56" i="5"/>
  <c r="AK57" i="5"/>
  <c r="AK58" i="5"/>
  <c r="AK59" i="5"/>
  <c r="AK60" i="5"/>
  <c r="AK61" i="5"/>
  <c r="AK62" i="5"/>
  <c r="AK63" i="5"/>
  <c r="AK64" i="5"/>
  <c r="AK65" i="5"/>
  <c r="AK67" i="5"/>
  <c r="AK69" i="5"/>
  <c r="AK72" i="5"/>
  <c r="AK70" i="5"/>
  <c r="AK71" i="5"/>
  <c r="AK73" i="5"/>
  <c r="AK75" i="5"/>
  <c r="AK74" i="5"/>
  <c r="AK77" i="5"/>
  <c r="AK76" i="5"/>
  <c r="AK79" i="5"/>
  <c r="AK80" i="5"/>
  <c r="AK82" i="5"/>
  <c r="AK81" i="5"/>
  <c r="AK84" i="5"/>
  <c r="AK83" i="5"/>
  <c r="AK86" i="5"/>
  <c r="AK85" i="5"/>
  <c r="AK101" i="5"/>
  <c r="AK87" i="5"/>
  <c r="AK88" i="5"/>
  <c r="AK89" i="5"/>
  <c r="AK91" i="5"/>
  <c r="AK92" i="5"/>
  <c r="AK93" i="5"/>
  <c r="AK94" i="5"/>
  <c r="AK95" i="5"/>
  <c r="AK96" i="5"/>
  <c r="AK97" i="5"/>
  <c r="AK98" i="5"/>
  <c r="AK99" i="5"/>
  <c r="AK100" i="5"/>
  <c r="AK105" i="5"/>
  <c r="AK103" i="5"/>
  <c r="AK104" i="5"/>
  <c r="AK106" i="5"/>
  <c r="AK107" i="5"/>
  <c r="AK108" i="5"/>
  <c r="AK111" i="5"/>
  <c r="AK109" i="5"/>
  <c r="AK110" i="5"/>
  <c r="AK115" i="5"/>
  <c r="AK112" i="5"/>
  <c r="AK113" i="5"/>
  <c r="AK118" i="5"/>
  <c r="AK116" i="5"/>
  <c r="AK117" i="5"/>
  <c r="AK123" i="5"/>
  <c r="AK119" i="5"/>
  <c r="AK120" i="5"/>
  <c r="AK121" i="5"/>
  <c r="AK122" i="5"/>
  <c r="AK126" i="5"/>
  <c r="AK124" i="5"/>
  <c r="AK125" i="5"/>
  <c r="AK127" i="5"/>
  <c r="AK128" i="5"/>
  <c r="AK129" i="5"/>
  <c r="AK133" i="5"/>
  <c r="AK131" i="5"/>
  <c r="AK132" i="5"/>
  <c r="AK136" i="5"/>
  <c r="AK134" i="5"/>
  <c r="AK135" i="5"/>
  <c r="AK140" i="5"/>
  <c r="AK137" i="5"/>
  <c r="AK139" i="5"/>
  <c r="AK141" i="5"/>
  <c r="AK148" i="5"/>
  <c r="AK142" i="5"/>
  <c r="AK143" i="5"/>
  <c r="AK144" i="5"/>
  <c r="AK145" i="5"/>
  <c r="AK146" i="5"/>
  <c r="AK147" i="5"/>
  <c r="AK149" i="5"/>
  <c r="AK150" i="5"/>
  <c r="AK156" i="5"/>
  <c r="AK152" i="5"/>
  <c r="AK153" i="5"/>
  <c r="AK154" i="5"/>
  <c r="AK155" i="5"/>
  <c r="AK158" i="5"/>
  <c r="AK157" i="5"/>
  <c r="AK159" i="5"/>
  <c r="AK160" i="5"/>
  <c r="AK167" i="5"/>
  <c r="AK161" i="5"/>
  <c r="AK163" i="5"/>
  <c r="AK164" i="5"/>
  <c r="AK165" i="5"/>
  <c r="AK166" i="5"/>
  <c r="AK168" i="5"/>
  <c r="AK169" i="5"/>
  <c r="AK174" i="5"/>
  <c r="AK170" i="5"/>
  <c r="AK171" i="5"/>
  <c r="AK172" i="5"/>
  <c r="AK173" i="5"/>
  <c r="AK176" i="5"/>
  <c r="AK183" i="5"/>
  <c r="AK177" i="5"/>
  <c r="AK178" i="5"/>
  <c r="AK179" i="5"/>
  <c r="AK180" i="5"/>
  <c r="AK181" i="5"/>
  <c r="AK182" i="5"/>
  <c r="AK189" i="5"/>
  <c r="AK184" i="5"/>
  <c r="AK185" i="5"/>
  <c r="AK187" i="5"/>
  <c r="AK188" i="5"/>
  <c r="AK191" i="5"/>
  <c r="AK193" i="5"/>
  <c r="AK194" i="5"/>
  <c r="AK195" i="5"/>
  <c r="AK199" i="5"/>
  <c r="AK205" i="5"/>
  <c r="AK206" i="5"/>
  <c r="AK207" i="5"/>
  <c r="AK214" i="5"/>
  <c r="AK220" i="5"/>
  <c r="AK221" i="5"/>
  <c r="AK225" i="5"/>
  <c r="AK224" i="5"/>
  <c r="AK226" i="5"/>
  <c r="AK236" i="5"/>
  <c r="AK237" i="5"/>
  <c r="AK239" i="5"/>
  <c r="AK238" i="5"/>
  <c r="AK243" i="5"/>
  <c r="AK250" i="5"/>
  <c r="AK251" i="5"/>
  <c r="AK254" i="5"/>
  <c r="AK252" i="5"/>
  <c r="AK253" i="5"/>
  <c r="AK264" i="5"/>
  <c r="AK260" i="5"/>
  <c r="AK261" i="5"/>
  <c r="AK262" i="5"/>
  <c r="AK263" i="5"/>
  <c r="AK267" i="5"/>
  <c r="AK277" i="5"/>
  <c r="AK278" i="5"/>
  <c r="AK279" i="5"/>
  <c r="AK280" i="5"/>
  <c r="AK281" i="5"/>
  <c r="AK293" i="5"/>
  <c r="AK284" i="5"/>
  <c r="AK291" i="5"/>
  <c r="AK297" i="5"/>
  <c r="AK298" i="5"/>
  <c r="AK307" i="5"/>
  <c r="AK309" i="5"/>
  <c r="AK316" i="5"/>
  <c r="AK310" i="5"/>
  <c r="AK311" i="5"/>
  <c r="AK319" i="5"/>
  <c r="AK320" i="5"/>
  <c r="AK321" i="5"/>
  <c r="AK325" i="5"/>
  <c r="AK333" i="5"/>
  <c r="AK342" i="5"/>
  <c r="AK334" i="5"/>
  <c r="AK335" i="5"/>
  <c r="AK337" i="5"/>
  <c r="AK338" i="5"/>
  <c r="AK351" i="5"/>
  <c r="AK353" i="5"/>
  <c r="AK354" i="5"/>
  <c r="AK352" i="5"/>
  <c r="AK356" i="5"/>
  <c r="AK364" i="5"/>
  <c r="AK379" i="5"/>
  <c r="AK369" i="5"/>
  <c r="AK389" i="5"/>
  <c r="AK392" i="5"/>
  <c r="AK383" i="5"/>
  <c r="AK397" i="5"/>
  <c r="AK398" i="5"/>
  <c r="AK394" i="5"/>
  <c r="AK395" i="5"/>
  <c r="AK399" i="5"/>
  <c r="AK400" i="5"/>
  <c r="AK405" i="5"/>
  <c r="AK406" i="5"/>
  <c r="AK410" i="5"/>
  <c r="AK411" i="5"/>
  <c r="AK412" i="5"/>
  <c r="AK413" i="5"/>
  <c r="AK414" i="5"/>
  <c r="AK421" i="5"/>
  <c r="AK422" i="5"/>
  <c r="AK431" i="5"/>
  <c r="AK432" i="5"/>
  <c r="AK439" i="5"/>
  <c r="AK443" i="5"/>
  <c r="AK444" i="5"/>
  <c r="AK455" i="5"/>
  <c r="AK456" i="5"/>
  <c r="AK457" i="5"/>
  <c r="AK467" i="5"/>
  <c r="AK468" i="5"/>
  <c r="AK469" i="5"/>
  <c r="AK470" i="5"/>
  <c r="AK472" i="5"/>
  <c r="AK479" i="5"/>
  <c r="AK483" i="5"/>
  <c r="AK484" i="5"/>
  <c r="AK481" i="5"/>
  <c r="AK482" i="5"/>
  <c r="AK488" i="5"/>
  <c r="AK490" i="5"/>
  <c r="AK502" i="5"/>
  <c r="AK504" i="5"/>
  <c r="AK496" i="5"/>
  <c r="AK500" i="5"/>
  <c r="AK508" i="5"/>
  <c r="AK512" i="5"/>
  <c r="AK513" i="5"/>
  <c r="AK527" i="5"/>
  <c r="AK533" i="5"/>
  <c r="AK534" i="5"/>
  <c r="AK536" i="5"/>
  <c r="AK539" i="5"/>
  <c r="AK540" i="5"/>
  <c r="AK541" i="5"/>
  <c r="AK547" i="5"/>
  <c r="AK551" i="5"/>
  <c r="AK552" i="5"/>
  <c r="AK553" i="5"/>
  <c r="AK554" i="5"/>
  <c r="AK556" i="5"/>
  <c r="AK557" i="5"/>
  <c r="AK558" i="5"/>
  <c r="AK567" i="5"/>
  <c r="AK568" i="5"/>
  <c r="AK571" i="5"/>
  <c r="AK572" i="5"/>
  <c r="AK584" i="5"/>
  <c r="AK585" i="5"/>
  <c r="AK596" i="5"/>
  <c r="AK597" i="5"/>
  <c r="AK598" i="5"/>
  <c r="AK615" i="5"/>
  <c r="AK616" i="5"/>
  <c r="AK617" i="5"/>
  <c r="AK611" i="5"/>
  <c r="AK613" i="5"/>
  <c r="AK620" i="5"/>
  <c r="AK621" i="5"/>
  <c r="AK622" i="5"/>
  <c r="AK642" i="5"/>
  <c r="AK626" i="5"/>
  <c r="AK627" i="5"/>
  <c r="AK631" i="5"/>
  <c r="AK639" i="5"/>
  <c r="AK640" i="5"/>
  <c r="AK644" i="5"/>
  <c r="AK656" i="5"/>
  <c r="AK668" i="5"/>
  <c r="AK669" i="5"/>
  <c r="AK683" i="5"/>
  <c r="AK671" i="5"/>
  <c r="AK686" i="5"/>
  <c r="AK680" i="5"/>
  <c r="AH243" i="5" l="1"/>
  <c r="AH220" i="5"/>
  <c r="AC265" i="5"/>
  <c r="AG249" i="5"/>
  <c r="AD226" i="5"/>
  <c r="AD208" i="5" l="1"/>
  <c r="AH139" i="5"/>
  <c r="AH191" i="5" l="1"/>
  <c r="A631" i="11"/>
  <c r="B631" i="11"/>
  <c r="C631" i="11"/>
  <c r="D631" i="11"/>
  <c r="E631" i="11"/>
  <c r="F631" i="11"/>
  <c r="G631" i="11"/>
  <c r="A632" i="11"/>
  <c r="I632" i="11" s="1" a="1"/>
  <c r="I632" i="11" s="1"/>
  <c r="B632" i="11"/>
  <c r="C632" i="11"/>
  <c r="D632" i="11"/>
  <c r="E632" i="11"/>
  <c r="F632" i="11"/>
  <c r="G632" i="11"/>
  <c r="A633" i="11"/>
  <c r="I633" i="11" s="1" a="1"/>
  <c r="I633" i="11" s="1"/>
  <c r="B633" i="11"/>
  <c r="C633" i="11"/>
  <c r="D633" i="11"/>
  <c r="E633" i="11"/>
  <c r="F633" i="11"/>
  <c r="G633" i="11"/>
  <c r="A634" i="11"/>
  <c r="I634" i="11" s="1" a="1"/>
  <c r="I634" i="11" s="1"/>
  <c r="B634" i="11"/>
  <c r="C634" i="11"/>
  <c r="D634" i="11"/>
  <c r="E634" i="11"/>
  <c r="F634" i="11"/>
  <c r="G634" i="11"/>
  <c r="A635" i="11"/>
  <c r="B635" i="11"/>
  <c r="C635" i="11"/>
  <c r="D635" i="11"/>
  <c r="E635" i="11"/>
  <c r="F635" i="11"/>
  <c r="G635" i="11"/>
  <c r="A636" i="11"/>
  <c r="B636" i="11"/>
  <c r="C636" i="11"/>
  <c r="D636" i="11"/>
  <c r="E636" i="11"/>
  <c r="F636" i="11"/>
  <c r="G636" i="11"/>
  <c r="A637" i="11"/>
  <c r="B637" i="11"/>
  <c r="C637" i="11"/>
  <c r="D637" i="11"/>
  <c r="E637" i="11"/>
  <c r="F637" i="11"/>
  <c r="G637" i="11"/>
  <c r="A638" i="11"/>
  <c r="B638" i="11"/>
  <c r="C638" i="11"/>
  <c r="D638" i="11"/>
  <c r="E638" i="11"/>
  <c r="F638" i="11"/>
  <c r="G638" i="11"/>
  <c r="A639" i="11"/>
  <c r="B639" i="11"/>
  <c r="C639" i="11"/>
  <c r="D639" i="11"/>
  <c r="E639" i="11"/>
  <c r="F639" i="11"/>
  <c r="G639" i="11"/>
  <c r="A640" i="11"/>
  <c r="B640" i="11"/>
  <c r="C640" i="11"/>
  <c r="D640" i="11"/>
  <c r="E640" i="11"/>
  <c r="F640" i="11"/>
  <c r="G640" i="11"/>
  <c r="A641" i="11"/>
  <c r="B641" i="11"/>
  <c r="C641" i="11"/>
  <c r="D641" i="11"/>
  <c r="E641" i="11"/>
  <c r="F641" i="11"/>
  <c r="G641" i="11"/>
  <c r="A642" i="11"/>
  <c r="B642" i="11"/>
  <c r="C642" i="11"/>
  <c r="D642" i="11"/>
  <c r="E642" i="11"/>
  <c r="F642" i="11"/>
  <c r="G642" i="11"/>
  <c r="A643" i="11"/>
  <c r="B643" i="11"/>
  <c r="C643" i="11"/>
  <c r="D643" i="11"/>
  <c r="E643" i="11"/>
  <c r="F643" i="11"/>
  <c r="G643" i="11"/>
  <c r="A644" i="11"/>
  <c r="B644" i="11"/>
  <c r="C644" i="11"/>
  <c r="D644" i="11"/>
  <c r="E644" i="11"/>
  <c r="F644" i="11"/>
  <c r="G644" i="11"/>
  <c r="A645" i="11"/>
  <c r="B645" i="11"/>
  <c r="C645" i="11"/>
  <c r="D645" i="11"/>
  <c r="E645" i="11"/>
  <c r="F645" i="11"/>
  <c r="G645" i="11"/>
  <c r="A646" i="11"/>
  <c r="B646" i="11"/>
  <c r="C646" i="11"/>
  <c r="D646" i="11"/>
  <c r="E646" i="11"/>
  <c r="F646" i="11"/>
  <c r="G646" i="11"/>
  <c r="A647" i="11"/>
  <c r="B647" i="11"/>
  <c r="C647" i="11"/>
  <c r="D647" i="11"/>
  <c r="E647" i="11"/>
  <c r="F647" i="11"/>
  <c r="G647" i="11"/>
  <c r="A648" i="11"/>
  <c r="B648" i="11"/>
  <c r="C648" i="11"/>
  <c r="D648" i="11"/>
  <c r="E648" i="11"/>
  <c r="F648" i="11"/>
  <c r="G648" i="11"/>
  <c r="A649" i="11"/>
  <c r="B649" i="11"/>
  <c r="C649" i="11"/>
  <c r="D649" i="11"/>
  <c r="E649" i="11"/>
  <c r="F649" i="11"/>
  <c r="G649" i="11"/>
  <c r="A650" i="11"/>
  <c r="B650" i="11"/>
  <c r="C650" i="11"/>
  <c r="D650" i="11"/>
  <c r="E650" i="11"/>
  <c r="F650" i="11"/>
  <c r="G650" i="11"/>
  <c r="A651" i="11"/>
  <c r="B651" i="11"/>
  <c r="C651" i="11"/>
  <c r="D651" i="11"/>
  <c r="E651" i="11"/>
  <c r="F651" i="11"/>
  <c r="G651" i="11"/>
  <c r="A652" i="11"/>
  <c r="B652" i="11"/>
  <c r="C652" i="11"/>
  <c r="D652" i="11"/>
  <c r="E652" i="11"/>
  <c r="F652" i="11"/>
  <c r="G652" i="11"/>
  <c r="A653" i="11"/>
  <c r="B653" i="11"/>
  <c r="C653" i="11"/>
  <c r="D653" i="11"/>
  <c r="E653" i="11"/>
  <c r="F653" i="11"/>
  <c r="G653" i="11"/>
  <c r="A654" i="11"/>
  <c r="B654" i="11"/>
  <c r="C654" i="11"/>
  <c r="D654" i="11"/>
  <c r="E654" i="11"/>
  <c r="F654" i="11"/>
  <c r="G654" i="11"/>
  <c r="A655" i="11"/>
  <c r="I655" i="11" s="1" a="1"/>
  <c r="I655" i="11" s="1"/>
  <c r="B655" i="11"/>
  <c r="C655" i="11"/>
  <c r="D655" i="11"/>
  <c r="E655" i="11"/>
  <c r="F655" i="11"/>
  <c r="G655" i="11"/>
  <c r="A656" i="11"/>
  <c r="B656" i="11"/>
  <c r="C656" i="11"/>
  <c r="D656" i="11"/>
  <c r="E656" i="11"/>
  <c r="F656" i="11"/>
  <c r="G656" i="11"/>
  <c r="A657" i="11"/>
  <c r="B657" i="11"/>
  <c r="C657" i="11"/>
  <c r="D657" i="11"/>
  <c r="E657" i="11"/>
  <c r="F657" i="11"/>
  <c r="G657" i="11"/>
  <c r="A658" i="11"/>
  <c r="B658" i="11"/>
  <c r="C658" i="11"/>
  <c r="D658" i="11"/>
  <c r="E658" i="11"/>
  <c r="F658" i="11"/>
  <c r="G658" i="11"/>
  <c r="A659" i="11"/>
  <c r="B659" i="11"/>
  <c r="C659" i="11"/>
  <c r="D659" i="11"/>
  <c r="E659" i="11"/>
  <c r="F659" i="11"/>
  <c r="G659" i="11"/>
  <c r="A660" i="11"/>
  <c r="B660" i="11"/>
  <c r="C660" i="11"/>
  <c r="D660" i="11"/>
  <c r="E660" i="11"/>
  <c r="F660" i="11"/>
  <c r="G660" i="11"/>
  <c r="A661" i="11"/>
  <c r="B661" i="11"/>
  <c r="C661" i="11"/>
  <c r="D661" i="11"/>
  <c r="E661" i="11"/>
  <c r="F661" i="11"/>
  <c r="G661" i="11"/>
  <c r="A662" i="11"/>
  <c r="B662" i="11"/>
  <c r="C662" i="11"/>
  <c r="D662" i="11"/>
  <c r="E662" i="11"/>
  <c r="F662" i="11"/>
  <c r="G662" i="11"/>
  <c r="A663" i="11"/>
  <c r="B663" i="11"/>
  <c r="C663" i="11"/>
  <c r="D663" i="11"/>
  <c r="E663" i="11"/>
  <c r="F663" i="11"/>
  <c r="G663" i="11"/>
  <c r="A664" i="11"/>
  <c r="B664" i="11"/>
  <c r="C664" i="11"/>
  <c r="D664" i="11"/>
  <c r="E664" i="11"/>
  <c r="F664" i="11"/>
  <c r="G664" i="11"/>
  <c r="A665" i="11"/>
  <c r="B665" i="11"/>
  <c r="C665" i="11"/>
  <c r="D665" i="11"/>
  <c r="E665" i="11"/>
  <c r="F665" i="11"/>
  <c r="G665" i="11"/>
  <c r="A666" i="11"/>
  <c r="I666" i="11" s="1" a="1"/>
  <c r="I666" i="11" s="1"/>
  <c r="B666" i="11"/>
  <c r="C666" i="11"/>
  <c r="D666" i="11"/>
  <c r="E666" i="11"/>
  <c r="F666" i="11"/>
  <c r="G666" i="11"/>
  <c r="A667" i="11"/>
  <c r="B667" i="11"/>
  <c r="C667" i="11"/>
  <c r="D667" i="11"/>
  <c r="E667" i="11"/>
  <c r="F667" i="11"/>
  <c r="G667" i="11"/>
  <c r="A668" i="11"/>
  <c r="B668" i="11"/>
  <c r="C668" i="11"/>
  <c r="D668" i="11"/>
  <c r="E668" i="11"/>
  <c r="F668" i="11"/>
  <c r="G668" i="11"/>
  <c r="A669" i="11"/>
  <c r="B669" i="11"/>
  <c r="C669" i="11"/>
  <c r="D669" i="11"/>
  <c r="E669" i="11"/>
  <c r="F669" i="11"/>
  <c r="G669" i="11"/>
  <c r="A670" i="11"/>
  <c r="B670" i="11"/>
  <c r="C670" i="11"/>
  <c r="D670" i="11"/>
  <c r="E670" i="11"/>
  <c r="F670" i="11"/>
  <c r="G670" i="11"/>
  <c r="A671" i="11"/>
  <c r="B671" i="11"/>
  <c r="C671" i="11"/>
  <c r="D671" i="11"/>
  <c r="E671" i="11"/>
  <c r="F671" i="11"/>
  <c r="G671" i="11"/>
  <c r="A672" i="11"/>
  <c r="B672" i="11"/>
  <c r="C672" i="11"/>
  <c r="D672" i="11"/>
  <c r="E672" i="11"/>
  <c r="F672" i="11"/>
  <c r="G672" i="11"/>
  <c r="A673" i="11"/>
  <c r="B673" i="11"/>
  <c r="C673" i="11"/>
  <c r="D673" i="11"/>
  <c r="E673" i="11"/>
  <c r="F673" i="11"/>
  <c r="G673" i="11"/>
  <c r="A674" i="11"/>
  <c r="B674" i="11"/>
  <c r="C674" i="11"/>
  <c r="D674" i="11"/>
  <c r="E674" i="11"/>
  <c r="F674" i="11"/>
  <c r="G674" i="11"/>
  <c r="A675" i="11"/>
  <c r="B675" i="11"/>
  <c r="C675" i="11"/>
  <c r="D675" i="11"/>
  <c r="E675" i="11"/>
  <c r="F675" i="11"/>
  <c r="G675" i="11"/>
  <c r="A676" i="11"/>
  <c r="B676" i="11"/>
  <c r="C676" i="11"/>
  <c r="D676" i="11"/>
  <c r="E676" i="11"/>
  <c r="F676" i="11"/>
  <c r="G676" i="11"/>
  <c r="A677" i="11"/>
  <c r="B677" i="11"/>
  <c r="C677" i="11"/>
  <c r="D677" i="11"/>
  <c r="E677" i="11"/>
  <c r="F677" i="11"/>
  <c r="G677" i="11"/>
  <c r="A678" i="11"/>
  <c r="B678" i="11"/>
  <c r="C678" i="11"/>
  <c r="D678" i="11"/>
  <c r="E678" i="11"/>
  <c r="F678" i="11"/>
  <c r="G678" i="11"/>
  <c r="A506" i="11"/>
  <c r="B506" i="11"/>
  <c r="C506" i="11"/>
  <c r="D506" i="11"/>
  <c r="E506" i="11"/>
  <c r="F506" i="11"/>
  <c r="G506" i="11"/>
  <c r="A507" i="11"/>
  <c r="B507" i="11"/>
  <c r="C507" i="11"/>
  <c r="D507" i="11"/>
  <c r="E507" i="11"/>
  <c r="F507" i="11"/>
  <c r="G507" i="11"/>
  <c r="A508" i="11"/>
  <c r="B508" i="11"/>
  <c r="C508" i="11"/>
  <c r="D508" i="11"/>
  <c r="E508" i="11"/>
  <c r="F508" i="11"/>
  <c r="G508" i="11"/>
  <c r="A509" i="11"/>
  <c r="B509" i="11"/>
  <c r="C509" i="11"/>
  <c r="D509" i="11"/>
  <c r="E509" i="11"/>
  <c r="F509" i="11"/>
  <c r="G509" i="11"/>
  <c r="A510" i="11"/>
  <c r="B510" i="11"/>
  <c r="C510" i="11"/>
  <c r="D510" i="11"/>
  <c r="E510" i="11"/>
  <c r="F510" i="11"/>
  <c r="G510" i="11"/>
  <c r="A511" i="11"/>
  <c r="B511" i="11"/>
  <c r="C511" i="11"/>
  <c r="D511" i="11"/>
  <c r="E511" i="11"/>
  <c r="F511" i="11"/>
  <c r="G511" i="11"/>
  <c r="A512" i="11"/>
  <c r="B512" i="11"/>
  <c r="C512" i="11"/>
  <c r="D512" i="11"/>
  <c r="E512" i="11"/>
  <c r="F512" i="11"/>
  <c r="G512" i="11"/>
  <c r="A513" i="11"/>
  <c r="B513" i="11"/>
  <c r="C513" i="11"/>
  <c r="D513" i="11"/>
  <c r="E513" i="11"/>
  <c r="F513" i="11"/>
  <c r="G513" i="11"/>
  <c r="A514" i="11"/>
  <c r="B514" i="11"/>
  <c r="C514" i="11"/>
  <c r="D514" i="11"/>
  <c r="E514" i="11"/>
  <c r="F514" i="11"/>
  <c r="G514" i="11"/>
  <c r="A515" i="11"/>
  <c r="B515" i="11"/>
  <c r="C515" i="11"/>
  <c r="D515" i="11"/>
  <c r="E515" i="11"/>
  <c r="F515" i="11"/>
  <c r="G515" i="11"/>
  <c r="A516" i="11"/>
  <c r="B516" i="11"/>
  <c r="C516" i="11"/>
  <c r="D516" i="11"/>
  <c r="E516" i="11"/>
  <c r="F516" i="11"/>
  <c r="G516" i="11"/>
  <c r="A517" i="11"/>
  <c r="B517" i="11"/>
  <c r="C517" i="11"/>
  <c r="D517" i="11"/>
  <c r="E517" i="11"/>
  <c r="F517" i="11"/>
  <c r="G517" i="11"/>
  <c r="A518" i="11"/>
  <c r="B518" i="11"/>
  <c r="C518" i="11"/>
  <c r="D518" i="11"/>
  <c r="E518" i="11"/>
  <c r="F518" i="11"/>
  <c r="G518" i="11"/>
  <c r="A519" i="11"/>
  <c r="B519" i="11"/>
  <c r="C519" i="11"/>
  <c r="D519" i="11"/>
  <c r="E519" i="11"/>
  <c r="F519" i="11"/>
  <c r="G519" i="11"/>
  <c r="A520" i="11"/>
  <c r="B520" i="11"/>
  <c r="C520" i="11"/>
  <c r="D520" i="11"/>
  <c r="E520" i="11"/>
  <c r="F520" i="11"/>
  <c r="G520" i="11"/>
  <c r="A521" i="11"/>
  <c r="B521" i="11"/>
  <c r="C521" i="11"/>
  <c r="D521" i="11"/>
  <c r="E521" i="11"/>
  <c r="F521" i="11"/>
  <c r="G521" i="11"/>
  <c r="A522" i="11"/>
  <c r="B522" i="11"/>
  <c r="C522" i="11"/>
  <c r="D522" i="11"/>
  <c r="E522" i="11"/>
  <c r="F522" i="11"/>
  <c r="G522" i="11"/>
  <c r="A523" i="11"/>
  <c r="B523" i="11"/>
  <c r="C523" i="11"/>
  <c r="D523" i="11"/>
  <c r="E523" i="11"/>
  <c r="F523" i="11"/>
  <c r="G523" i="11"/>
  <c r="A524" i="11"/>
  <c r="B524" i="11"/>
  <c r="C524" i="11"/>
  <c r="D524" i="11"/>
  <c r="E524" i="11"/>
  <c r="F524" i="11"/>
  <c r="G524" i="11"/>
  <c r="A525" i="11"/>
  <c r="B525" i="11"/>
  <c r="C525" i="11"/>
  <c r="D525" i="11"/>
  <c r="E525" i="11"/>
  <c r="F525" i="11"/>
  <c r="G525" i="11"/>
  <c r="A526" i="11"/>
  <c r="B526" i="11"/>
  <c r="C526" i="11"/>
  <c r="D526" i="11"/>
  <c r="E526" i="11"/>
  <c r="F526" i="11"/>
  <c r="G526" i="11"/>
  <c r="A527" i="11"/>
  <c r="B527" i="11"/>
  <c r="C527" i="11"/>
  <c r="D527" i="11"/>
  <c r="E527" i="11"/>
  <c r="F527" i="11"/>
  <c r="G527" i="11"/>
  <c r="A528" i="11"/>
  <c r="B528" i="11"/>
  <c r="C528" i="11"/>
  <c r="D528" i="11"/>
  <c r="E528" i="11"/>
  <c r="F528" i="11"/>
  <c r="G528" i="11"/>
  <c r="A529" i="11"/>
  <c r="B529" i="11"/>
  <c r="C529" i="11"/>
  <c r="D529" i="11"/>
  <c r="E529" i="11"/>
  <c r="F529" i="11"/>
  <c r="G529" i="11"/>
  <c r="A530" i="11"/>
  <c r="I530" i="11" s="1" a="1"/>
  <c r="I530" i="11" s="1"/>
  <c r="B530" i="11"/>
  <c r="C530" i="11"/>
  <c r="D530" i="11"/>
  <c r="E530" i="11"/>
  <c r="F530" i="11"/>
  <c r="G530" i="11"/>
  <c r="A531" i="11"/>
  <c r="B531" i="11"/>
  <c r="C531" i="11"/>
  <c r="D531" i="11"/>
  <c r="E531" i="11"/>
  <c r="F531" i="11"/>
  <c r="G531" i="11"/>
  <c r="A532" i="11"/>
  <c r="B532" i="11"/>
  <c r="C532" i="11"/>
  <c r="D532" i="11"/>
  <c r="E532" i="11"/>
  <c r="F532" i="11"/>
  <c r="G532" i="11"/>
  <c r="A533" i="11"/>
  <c r="B533" i="11"/>
  <c r="C533" i="11"/>
  <c r="D533" i="11"/>
  <c r="E533" i="11"/>
  <c r="F533" i="11"/>
  <c r="G533" i="11"/>
  <c r="A534" i="11"/>
  <c r="B534" i="11"/>
  <c r="C534" i="11"/>
  <c r="D534" i="11"/>
  <c r="E534" i="11"/>
  <c r="F534" i="11"/>
  <c r="G534" i="11"/>
  <c r="A535" i="11"/>
  <c r="B535" i="11"/>
  <c r="C535" i="11"/>
  <c r="D535" i="11"/>
  <c r="E535" i="11"/>
  <c r="F535" i="11"/>
  <c r="G535" i="11"/>
  <c r="A536" i="11"/>
  <c r="B536" i="11"/>
  <c r="C536" i="11"/>
  <c r="D536" i="11"/>
  <c r="E536" i="11"/>
  <c r="F536" i="11"/>
  <c r="G536" i="11"/>
  <c r="A537" i="11"/>
  <c r="B537" i="11"/>
  <c r="C537" i="11"/>
  <c r="D537" i="11"/>
  <c r="E537" i="11"/>
  <c r="F537" i="11"/>
  <c r="G537" i="11"/>
  <c r="A538" i="11"/>
  <c r="B538" i="11"/>
  <c r="C538" i="11"/>
  <c r="D538" i="11"/>
  <c r="E538" i="11"/>
  <c r="F538" i="11"/>
  <c r="G538" i="11"/>
  <c r="A539" i="11"/>
  <c r="B539" i="11"/>
  <c r="C539" i="11"/>
  <c r="D539" i="11"/>
  <c r="E539" i="11"/>
  <c r="F539" i="11"/>
  <c r="G539" i="11"/>
  <c r="A540" i="11"/>
  <c r="B540" i="11"/>
  <c r="C540" i="11"/>
  <c r="D540" i="11"/>
  <c r="E540" i="11"/>
  <c r="F540" i="11"/>
  <c r="G540" i="11"/>
  <c r="A541" i="11"/>
  <c r="B541" i="11"/>
  <c r="C541" i="11"/>
  <c r="D541" i="11"/>
  <c r="E541" i="11"/>
  <c r="F541" i="11"/>
  <c r="G541" i="11"/>
  <c r="A542" i="11"/>
  <c r="B542" i="11"/>
  <c r="C542" i="11"/>
  <c r="D542" i="11"/>
  <c r="E542" i="11"/>
  <c r="F542" i="11"/>
  <c r="G542" i="11"/>
  <c r="A543" i="11"/>
  <c r="B543" i="11"/>
  <c r="C543" i="11"/>
  <c r="D543" i="11"/>
  <c r="E543" i="11"/>
  <c r="F543" i="11"/>
  <c r="G543" i="11"/>
  <c r="A544" i="11"/>
  <c r="B544" i="11"/>
  <c r="C544" i="11"/>
  <c r="D544" i="11"/>
  <c r="E544" i="11"/>
  <c r="F544" i="11"/>
  <c r="G544" i="11"/>
  <c r="A545" i="11"/>
  <c r="B545" i="11"/>
  <c r="C545" i="11"/>
  <c r="D545" i="11"/>
  <c r="E545" i="11"/>
  <c r="F545" i="11"/>
  <c r="G545" i="11"/>
  <c r="A546" i="11"/>
  <c r="B546" i="11"/>
  <c r="C546" i="11"/>
  <c r="D546" i="11"/>
  <c r="E546" i="11"/>
  <c r="F546" i="11"/>
  <c r="G546" i="11"/>
  <c r="A547" i="11"/>
  <c r="B547" i="11"/>
  <c r="C547" i="11"/>
  <c r="D547" i="11"/>
  <c r="E547" i="11"/>
  <c r="F547" i="11"/>
  <c r="G547" i="11"/>
  <c r="A548" i="11"/>
  <c r="B548" i="11"/>
  <c r="C548" i="11"/>
  <c r="D548" i="11"/>
  <c r="E548" i="11"/>
  <c r="F548" i="11"/>
  <c r="G548" i="11"/>
  <c r="A549" i="11"/>
  <c r="B549" i="11"/>
  <c r="C549" i="11"/>
  <c r="D549" i="11"/>
  <c r="E549" i="11"/>
  <c r="F549" i="11"/>
  <c r="G549" i="11"/>
  <c r="A550" i="11"/>
  <c r="B550" i="11"/>
  <c r="C550" i="11"/>
  <c r="D550" i="11"/>
  <c r="E550" i="11"/>
  <c r="F550" i="11"/>
  <c r="G550" i="11"/>
  <c r="A551" i="11"/>
  <c r="B551" i="11"/>
  <c r="C551" i="11"/>
  <c r="D551" i="11"/>
  <c r="E551" i="11"/>
  <c r="F551" i="11"/>
  <c r="G551" i="11"/>
  <c r="A552" i="11"/>
  <c r="B552" i="11"/>
  <c r="C552" i="11"/>
  <c r="D552" i="11"/>
  <c r="E552" i="11"/>
  <c r="F552" i="11"/>
  <c r="G552" i="11"/>
  <c r="A553" i="11"/>
  <c r="B553" i="11"/>
  <c r="C553" i="11"/>
  <c r="D553" i="11"/>
  <c r="E553" i="11"/>
  <c r="F553" i="11"/>
  <c r="G553" i="11"/>
  <c r="A554" i="11"/>
  <c r="B554" i="11"/>
  <c r="C554" i="11"/>
  <c r="D554" i="11"/>
  <c r="E554" i="11"/>
  <c r="F554" i="11"/>
  <c r="G554" i="11"/>
  <c r="A555" i="11"/>
  <c r="B555" i="11"/>
  <c r="C555" i="11"/>
  <c r="D555" i="11"/>
  <c r="E555" i="11"/>
  <c r="F555" i="11"/>
  <c r="G555" i="11"/>
  <c r="A556" i="11"/>
  <c r="B556" i="11"/>
  <c r="C556" i="11"/>
  <c r="D556" i="11"/>
  <c r="E556" i="11"/>
  <c r="F556" i="11"/>
  <c r="G556" i="11"/>
  <c r="A557" i="11"/>
  <c r="B557" i="11"/>
  <c r="C557" i="11"/>
  <c r="D557" i="11"/>
  <c r="E557" i="11"/>
  <c r="F557" i="11"/>
  <c r="G557" i="11"/>
  <c r="A558" i="11"/>
  <c r="B558" i="11"/>
  <c r="C558" i="11"/>
  <c r="D558" i="11"/>
  <c r="E558" i="11"/>
  <c r="F558" i="11"/>
  <c r="G558" i="11"/>
  <c r="A559" i="11"/>
  <c r="B559" i="11"/>
  <c r="C559" i="11"/>
  <c r="D559" i="11"/>
  <c r="E559" i="11"/>
  <c r="F559" i="11"/>
  <c r="G559" i="11"/>
  <c r="A560" i="11"/>
  <c r="B560" i="11"/>
  <c r="C560" i="11"/>
  <c r="D560" i="11"/>
  <c r="E560" i="11"/>
  <c r="F560" i="11"/>
  <c r="G560" i="11"/>
  <c r="A561" i="11"/>
  <c r="B561" i="11"/>
  <c r="C561" i="11"/>
  <c r="D561" i="11"/>
  <c r="E561" i="11"/>
  <c r="F561" i="11"/>
  <c r="G561" i="11"/>
  <c r="A562" i="11"/>
  <c r="I562" i="11" s="1" a="1"/>
  <c r="I562" i="11" s="1"/>
  <c r="B562" i="11"/>
  <c r="C562" i="11"/>
  <c r="D562" i="11"/>
  <c r="E562" i="11"/>
  <c r="F562" i="11"/>
  <c r="G562" i="11"/>
  <c r="A563" i="11"/>
  <c r="B563" i="11"/>
  <c r="C563" i="11"/>
  <c r="D563" i="11"/>
  <c r="E563" i="11"/>
  <c r="F563" i="11"/>
  <c r="G563" i="11"/>
  <c r="A564" i="11"/>
  <c r="B564" i="11"/>
  <c r="C564" i="11"/>
  <c r="D564" i="11"/>
  <c r="E564" i="11"/>
  <c r="F564" i="11"/>
  <c r="G564" i="11"/>
  <c r="A565" i="11"/>
  <c r="B565" i="11"/>
  <c r="C565" i="11"/>
  <c r="D565" i="11"/>
  <c r="E565" i="11"/>
  <c r="F565" i="11"/>
  <c r="G565" i="11"/>
  <c r="A566" i="11"/>
  <c r="B566" i="11"/>
  <c r="C566" i="11"/>
  <c r="D566" i="11"/>
  <c r="E566" i="11"/>
  <c r="F566" i="11"/>
  <c r="G566" i="11"/>
  <c r="A567" i="11"/>
  <c r="B567" i="11"/>
  <c r="C567" i="11"/>
  <c r="D567" i="11"/>
  <c r="E567" i="11"/>
  <c r="F567" i="11"/>
  <c r="G567" i="11"/>
  <c r="A568" i="11"/>
  <c r="B568" i="11"/>
  <c r="C568" i="11"/>
  <c r="D568" i="11"/>
  <c r="E568" i="11"/>
  <c r="F568" i="11"/>
  <c r="G568" i="11"/>
  <c r="A569" i="11"/>
  <c r="B569" i="11"/>
  <c r="C569" i="11"/>
  <c r="D569" i="11"/>
  <c r="E569" i="11"/>
  <c r="F569" i="11"/>
  <c r="G569" i="11"/>
  <c r="A570" i="11"/>
  <c r="B570" i="11"/>
  <c r="C570" i="11"/>
  <c r="D570" i="11"/>
  <c r="E570" i="11"/>
  <c r="F570" i="11"/>
  <c r="G570" i="11"/>
  <c r="A571" i="11"/>
  <c r="B571" i="11"/>
  <c r="C571" i="11"/>
  <c r="D571" i="11"/>
  <c r="E571" i="11"/>
  <c r="F571" i="11"/>
  <c r="G571" i="11"/>
  <c r="A572" i="11"/>
  <c r="B572" i="11"/>
  <c r="C572" i="11"/>
  <c r="D572" i="11"/>
  <c r="E572" i="11"/>
  <c r="F572" i="11"/>
  <c r="G572" i="11"/>
  <c r="A573" i="11"/>
  <c r="B573" i="11"/>
  <c r="C573" i="11"/>
  <c r="D573" i="11"/>
  <c r="E573" i="11"/>
  <c r="F573" i="11"/>
  <c r="G573" i="11"/>
  <c r="A574" i="11"/>
  <c r="B574" i="11"/>
  <c r="C574" i="11"/>
  <c r="D574" i="11"/>
  <c r="E574" i="11"/>
  <c r="F574" i="11"/>
  <c r="G574" i="11"/>
  <c r="A575" i="11"/>
  <c r="B575" i="11"/>
  <c r="C575" i="11"/>
  <c r="D575" i="11"/>
  <c r="E575" i="11"/>
  <c r="F575" i="11"/>
  <c r="G575" i="11"/>
  <c r="A576" i="11"/>
  <c r="B576" i="11"/>
  <c r="C576" i="11"/>
  <c r="D576" i="11"/>
  <c r="E576" i="11"/>
  <c r="F576" i="11"/>
  <c r="G576" i="11"/>
  <c r="A577" i="11"/>
  <c r="B577" i="11"/>
  <c r="C577" i="11"/>
  <c r="D577" i="11"/>
  <c r="E577" i="11"/>
  <c r="F577" i="11"/>
  <c r="G577" i="11"/>
  <c r="A578" i="11"/>
  <c r="B578" i="11"/>
  <c r="C578" i="11"/>
  <c r="D578" i="11"/>
  <c r="E578" i="11"/>
  <c r="F578" i="11"/>
  <c r="G578" i="11"/>
  <c r="A579" i="11"/>
  <c r="B579" i="11"/>
  <c r="C579" i="11"/>
  <c r="D579" i="11"/>
  <c r="E579" i="11"/>
  <c r="F579" i="11"/>
  <c r="G579" i="11"/>
  <c r="A580" i="11"/>
  <c r="B580" i="11"/>
  <c r="C580" i="11"/>
  <c r="D580" i="11"/>
  <c r="E580" i="11"/>
  <c r="F580" i="11"/>
  <c r="G580" i="11"/>
  <c r="A581" i="11"/>
  <c r="B581" i="11"/>
  <c r="C581" i="11"/>
  <c r="D581" i="11"/>
  <c r="E581" i="11"/>
  <c r="F581" i="11"/>
  <c r="G581" i="11"/>
  <c r="A582" i="11"/>
  <c r="B582" i="11"/>
  <c r="C582" i="11"/>
  <c r="D582" i="11"/>
  <c r="E582" i="11"/>
  <c r="F582" i="11"/>
  <c r="G582" i="11"/>
  <c r="A583" i="11"/>
  <c r="B583" i="11"/>
  <c r="C583" i="11"/>
  <c r="D583" i="11"/>
  <c r="E583" i="11"/>
  <c r="F583" i="11"/>
  <c r="G583" i="11"/>
  <c r="A584" i="11"/>
  <c r="B584" i="11"/>
  <c r="C584" i="11"/>
  <c r="D584" i="11"/>
  <c r="E584" i="11"/>
  <c r="F584" i="11"/>
  <c r="G584" i="11"/>
  <c r="A585" i="11"/>
  <c r="B585" i="11"/>
  <c r="C585" i="11"/>
  <c r="D585" i="11"/>
  <c r="E585" i="11"/>
  <c r="F585" i="11"/>
  <c r="G585" i="11"/>
  <c r="A586" i="11"/>
  <c r="B586" i="11"/>
  <c r="C586" i="11"/>
  <c r="D586" i="11"/>
  <c r="E586" i="11"/>
  <c r="F586" i="11"/>
  <c r="G586" i="11"/>
  <c r="A587" i="11"/>
  <c r="B587" i="11"/>
  <c r="C587" i="11"/>
  <c r="D587" i="11"/>
  <c r="E587" i="11"/>
  <c r="F587" i="11"/>
  <c r="G587" i="11"/>
  <c r="A588" i="11"/>
  <c r="B588" i="11"/>
  <c r="C588" i="11"/>
  <c r="D588" i="11"/>
  <c r="E588" i="11"/>
  <c r="F588" i="11"/>
  <c r="G588" i="11"/>
  <c r="A589" i="11"/>
  <c r="B589" i="11"/>
  <c r="C589" i="11"/>
  <c r="D589" i="11"/>
  <c r="E589" i="11"/>
  <c r="F589" i="11"/>
  <c r="G589" i="11"/>
  <c r="A590" i="11"/>
  <c r="B590" i="11"/>
  <c r="C590" i="11"/>
  <c r="D590" i="11"/>
  <c r="E590" i="11"/>
  <c r="F590" i="11"/>
  <c r="G590" i="11"/>
  <c r="A591" i="11"/>
  <c r="B591" i="11"/>
  <c r="C591" i="11"/>
  <c r="D591" i="11"/>
  <c r="E591" i="11"/>
  <c r="F591" i="11"/>
  <c r="G591" i="11"/>
  <c r="A592" i="11"/>
  <c r="B592" i="11"/>
  <c r="C592" i="11"/>
  <c r="D592" i="11"/>
  <c r="E592" i="11"/>
  <c r="F592" i="11"/>
  <c r="G592" i="11"/>
  <c r="A593" i="11"/>
  <c r="B593" i="11"/>
  <c r="C593" i="11"/>
  <c r="D593" i="11"/>
  <c r="E593" i="11"/>
  <c r="F593" i="11"/>
  <c r="G593" i="11"/>
  <c r="A594" i="11"/>
  <c r="B594" i="11"/>
  <c r="C594" i="11"/>
  <c r="D594" i="11"/>
  <c r="E594" i="11"/>
  <c r="F594" i="11"/>
  <c r="G594" i="11"/>
  <c r="A595" i="11"/>
  <c r="B595" i="11"/>
  <c r="C595" i="11"/>
  <c r="D595" i="11"/>
  <c r="E595" i="11"/>
  <c r="F595" i="11"/>
  <c r="G595" i="11"/>
  <c r="A596" i="11"/>
  <c r="B596" i="11"/>
  <c r="C596" i="11"/>
  <c r="D596" i="11"/>
  <c r="E596" i="11"/>
  <c r="F596" i="11"/>
  <c r="G596" i="11"/>
  <c r="A597" i="11"/>
  <c r="B597" i="11"/>
  <c r="C597" i="11"/>
  <c r="D597" i="11"/>
  <c r="E597" i="11"/>
  <c r="F597" i="11"/>
  <c r="G597" i="11"/>
  <c r="A598" i="11"/>
  <c r="B598" i="11"/>
  <c r="C598" i="11"/>
  <c r="D598" i="11"/>
  <c r="E598" i="11"/>
  <c r="F598" i="11"/>
  <c r="G598" i="11"/>
  <c r="A599" i="11"/>
  <c r="B599" i="11"/>
  <c r="C599" i="11"/>
  <c r="D599" i="11"/>
  <c r="E599" i="11"/>
  <c r="F599" i="11"/>
  <c r="G599" i="11"/>
  <c r="A600" i="11"/>
  <c r="B600" i="11"/>
  <c r="C600" i="11"/>
  <c r="D600" i="11"/>
  <c r="E600" i="11"/>
  <c r="F600" i="11"/>
  <c r="G600" i="11"/>
  <c r="A601" i="11"/>
  <c r="B601" i="11"/>
  <c r="C601" i="11"/>
  <c r="D601" i="11"/>
  <c r="E601" i="11"/>
  <c r="F601" i="11"/>
  <c r="G601" i="11"/>
  <c r="A602" i="11"/>
  <c r="B602" i="11"/>
  <c r="C602" i="11"/>
  <c r="D602" i="11"/>
  <c r="E602" i="11"/>
  <c r="F602" i="11"/>
  <c r="G602" i="11"/>
  <c r="A603" i="11"/>
  <c r="B603" i="11"/>
  <c r="C603" i="11"/>
  <c r="D603" i="11"/>
  <c r="E603" i="11"/>
  <c r="F603" i="11"/>
  <c r="G603" i="11"/>
  <c r="A604" i="11"/>
  <c r="B604" i="11"/>
  <c r="C604" i="11"/>
  <c r="D604" i="11"/>
  <c r="E604" i="11"/>
  <c r="F604" i="11"/>
  <c r="G604" i="11"/>
  <c r="A605" i="11"/>
  <c r="B605" i="11"/>
  <c r="C605" i="11"/>
  <c r="D605" i="11"/>
  <c r="E605" i="11"/>
  <c r="F605" i="11"/>
  <c r="G605" i="11"/>
  <c r="A606" i="11"/>
  <c r="B606" i="11"/>
  <c r="C606" i="11"/>
  <c r="D606" i="11"/>
  <c r="E606" i="11"/>
  <c r="F606" i="11"/>
  <c r="G606" i="11"/>
  <c r="A607" i="11"/>
  <c r="B607" i="11"/>
  <c r="C607" i="11"/>
  <c r="D607" i="11"/>
  <c r="E607" i="11"/>
  <c r="F607" i="11"/>
  <c r="G607" i="11"/>
  <c r="A608" i="11"/>
  <c r="B608" i="11"/>
  <c r="C608" i="11"/>
  <c r="D608" i="11"/>
  <c r="E608" i="11"/>
  <c r="F608" i="11"/>
  <c r="G608" i="11"/>
  <c r="A609" i="11"/>
  <c r="B609" i="11"/>
  <c r="C609" i="11"/>
  <c r="D609" i="11"/>
  <c r="E609" i="11"/>
  <c r="F609" i="11"/>
  <c r="G609" i="11"/>
  <c r="A610" i="11"/>
  <c r="B610" i="11"/>
  <c r="C610" i="11"/>
  <c r="D610" i="11"/>
  <c r="E610" i="11"/>
  <c r="F610" i="11"/>
  <c r="G610" i="11"/>
  <c r="A611" i="11"/>
  <c r="B611" i="11"/>
  <c r="C611" i="11"/>
  <c r="D611" i="11"/>
  <c r="E611" i="11"/>
  <c r="F611" i="11"/>
  <c r="G611" i="11"/>
  <c r="A612" i="11"/>
  <c r="B612" i="11"/>
  <c r="C612" i="11"/>
  <c r="D612" i="11"/>
  <c r="E612" i="11"/>
  <c r="F612" i="11"/>
  <c r="G612" i="11"/>
  <c r="A613" i="11"/>
  <c r="B613" i="11"/>
  <c r="C613" i="11"/>
  <c r="D613" i="11"/>
  <c r="E613" i="11"/>
  <c r="F613" i="11"/>
  <c r="G613" i="11"/>
  <c r="A614" i="11"/>
  <c r="B614" i="11"/>
  <c r="C614" i="11"/>
  <c r="D614" i="11"/>
  <c r="E614" i="11"/>
  <c r="F614" i="11"/>
  <c r="G614" i="11"/>
  <c r="A615" i="11"/>
  <c r="B615" i="11"/>
  <c r="C615" i="11"/>
  <c r="D615" i="11"/>
  <c r="E615" i="11"/>
  <c r="F615" i="11"/>
  <c r="G615" i="11"/>
  <c r="A616" i="11"/>
  <c r="B616" i="11"/>
  <c r="C616" i="11"/>
  <c r="D616" i="11"/>
  <c r="E616" i="11"/>
  <c r="F616" i="11"/>
  <c r="G616" i="11"/>
  <c r="A617" i="11"/>
  <c r="B617" i="11"/>
  <c r="C617" i="11"/>
  <c r="D617" i="11"/>
  <c r="E617" i="11"/>
  <c r="F617" i="11"/>
  <c r="G617" i="11"/>
  <c r="A618" i="11"/>
  <c r="B618" i="11"/>
  <c r="C618" i="11"/>
  <c r="D618" i="11"/>
  <c r="E618" i="11"/>
  <c r="F618" i="11"/>
  <c r="G618" i="11"/>
  <c r="A619" i="11"/>
  <c r="B619" i="11"/>
  <c r="C619" i="11"/>
  <c r="D619" i="11"/>
  <c r="E619" i="11"/>
  <c r="F619" i="11"/>
  <c r="G619" i="11"/>
  <c r="A620" i="11"/>
  <c r="B620" i="11"/>
  <c r="C620" i="11"/>
  <c r="D620" i="11"/>
  <c r="E620" i="11"/>
  <c r="F620" i="11"/>
  <c r="G620" i="11"/>
  <c r="A621" i="11"/>
  <c r="B621" i="11"/>
  <c r="C621" i="11"/>
  <c r="D621" i="11"/>
  <c r="E621" i="11"/>
  <c r="F621" i="11"/>
  <c r="G621" i="11"/>
  <c r="A622" i="11"/>
  <c r="B622" i="11"/>
  <c r="C622" i="11"/>
  <c r="D622" i="11"/>
  <c r="E622" i="11"/>
  <c r="F622" i="11"/>
  <c r="G622" i="11"/>
  <c r="A623" i="11"/>
  <c r="B623" i="11"/>
  <c r="C623" i="11"/>
  <c r="D623" i="11"/>
  <c r="E623" i="11"/>
  <c r="F623" i="11"/>
  <c r="G623" i="11"/>
  <c r="A624" i="11"/>
  <c r="B624" i="11"/>
  <c r="C624" i="11"/>
  <c r="D624" i="11"/>
  <c r="E624" i="11"/>
  <c r="F624" i="11"/>
  <c r="G624" i="11"/>
  <c r="A625" i="11"/>
  <c r="B625" i="11"/>
  <c r="C625" i="11"/>
  <c r="D625" i="11"/>
  <c r="E625" i="11"/>
  <c r="F625" i="11"/>
  <c r="G625" i="11"/>
  <c r="A626" i="11"/>
  <c r="B626" i="11"/>
  <c r="C626" i="11"/>
  <c r="D626" i="11"/>
  <c r="E626" i="11"/>
  <c r="F626" i="11"/>
  <c r="G626" i="11"/>
  <c r="A627" i="11"/>
  <c r="B627" i="11"/>
  <c r="C627" i="11"/>
  <c r="D627" i="11"/>
  <c r="E627" i="11"/>
  <c r="F627" i="11"/>
  <c r="G627" i="11"/>
  <c r="A628" i="11"/>
  <c r="B628" i="11"/>
  <c r="C628" i="11"/>
  <c r="D628" i="11"/>
  <c r="E628" i="11"/>
  <c r="F628" i="11"/>
  <c r="G628" i="11"/>
  <c r="A629" i="11"/>
  <c r="B629" i="11"/>
  <c r="C629" i="11"/>
  <c r="D629" i="11"/>
  <c r="E629" i="11"/>
  <c r="F629" i="11"/>
  <c r="G629" i="11"/>
  <c r="A630" i="11"/>
  <c r="B630" i="11"/>
  <c r="C630" i="11"/>
  <c r="D630" i="11"/>
  <c r="E630" i="11"/>
  <c r="F630" i="11"/>
  <c r="G630" i="11"/>
  <c r="A381" i="11"/>
  <c r="B381" i="11"/>
  <c r="C381" i="11"/>
  <c r="D381" i="11"/>
  <c r="E381" i="11"/>
  <c r="F381" i="11"/>
  <c r="G381" i="11"/>
  <c r="A382" i="11"/>
  <c r="B382" i="11"/>
  <c r="C382" i="11"/>
  <c r="D382" i="11"/>
  <c r="E382" i="11"/>
  <c r="F382" i="11"/>
  <c r="G382" i="11"/>
  <c r="A383" i="11"/>
  <c r="B383" i="11"/>
  <c r="C383" i="11"/>
  <c r="D383" i="11"/>
  <c r="E383" i="11"/>
  <c r="F383" i="11"/>
  <c r="G383" i="11"/>
  <c r="A384" i="11"/>
  <c r="B384" i="11"/>
  <c r="C384" i="11"/>
  <c r="D384" i="11"/>
  <c r="E384" i="11"/>
  <c r="F384" i="11"/>
  <c r="G384" i="11"/>
  <c r="A385" i="11"/>
  <c r="B385" i="11"/>
  <c r="C385" i="11"/>
  <c r="D385" i="11"/>
  <c r="E385" i="11"/>
  <c r="F385" i="11"/>
  <c r="G385" i="11"/>
  <c r="A386" i="11"/>
  <c r="B386" i="11"/>
  <c r="C386" i="11"/>
  <c r="D386" i="11"/>
  <c r="E386" i="11"/>
  <c r="F386" i="11"/>
  <c r="G386" i="11"/>
  <c r="A387" i="11"/>
  <c r="B387" i="11"/>
  <c r="C387" i="11"/>
  <c r="D387" i="11"/>
  <c r="E387" i="11"/>
  <c r="F387" i="11"/>
  <c r="G387" i="11"/>
  <c r="A388" i="11"/>
  <c r="B388" i="11"/>
  <c r="C388" i="11"/>
  <c r="D388" i="11"/>
  <c r="E388" i="11"/>
  <c r="F388" i="11"/>
  <c r="G388" i="11"/>
  <c r="A389" i="11"/>
  <c r="B389" i="11"/>
  <c r="C389" i="11"/>
  <c r="D389" i="11"/>
  <c r="E389" i="11"/>
  <c r="F389" i="11"/>
  <c r="G389" i="11"/>
  <c r="A390" i="11"/>
  <c r="B390" i="11"/>
  <c r="C390" i="11"/>
  <c r="D390" i="11"/>
  <c r="E390" i="11"/>
  <c r="F390" i="11"/>
  <c r="G390" i="11"/>
  <c r="A391" i="11"/>
  <c r="B391" i="11"/>
  <c r="C391" i="11"/>
  <c r="D391" i="11"/>
  <c r="E391" i="11"/>
  <c r="F391" i="11"/>
  <c r="G391" i="11"/>
  <c r="A392" i="11"/>
  <c r="B392" i="11"/>
  <c r="C392" i="11"/>
  <c r="D392" i="11"/>
  <c r="E392" i="11"/>
  <c r="F392" i="11"/>
  <c r="G392" i="11"/>
  <c r="A393" i="11"/>
  <c r="B393" i="11"/>
  <c r="C393" i="11"/>
  <c r="D393" i="11"/>
  <c r="E393" i="11"/>
  <c r="F393" i="11"/>
  <c r="G393" i="11"/>
  <c r="A394" i="11"/>
  <c r="B394" i="11"/>
  <c r="C394" i="11"/>
  <c r="D394" i="11"/>
  <c r="E394" i="11"/>
  <c r="F394" i="11"/>
  <c r="G394" i="11"/>
  <c r="A395" i="11"/>
  <c r="B395" i="11"/>
  <c r="C395" i="11"/>
  <c r="D395" i="11"/>
  <c r="E395" i="11"/>
  <c r="F395" i="11"/>
  <c r="G395" i="11"/>
  <c r="A396" i="11"/>
  <c r="B396" i="11"/>
  <c r="C396" i="11"/>
  <c r="D396" i="11"/>
  <c r="E396" i="11"/>
  <c r="F396" i="11"/>
  <c r="G396" i="11"/>
  <c r="A397" i="11"/>
  <c r="B397" i="11"/>
  <c r="C397" i="11"/>
  <c r="D397" i="11"/>
  <c r="E397" i="11"/>
  <c r="F397" i="11"/>
  <c r="G397" i="11"/>
  <c r="A398" i="11"/>
  <c r="B398" i="11"/>
  <c r="C398" i="11"/>
  <c r="D398" i="11"/>
  <c r="E398" i="11"/>
  <c r="F398" i="11"/>
  <c r="G398" i="11"/>
  <c r="A399" i="11"/>
  <c r="B399" i="11"/>
  <c r="C399" i="11"/>
  <c r="D399" i="11"/>
  <c r="E399" i="11"/>
  <c r="F399" i="11"/>
  <c r="G399" i="11"/>
  <c r="A400" i="11"/>
  <c r="B400" i="11"/>
  <c r="C400" i="11"/>
  <c r="D400" i="11"/>
  <c r="E400" i="11"/>
  <c r="F400" i="11"/>
  <c r="G400" i="11"/>
  <c r="A401" i="11"/>
  <c r="B401" i="11"/>
  <c r="C401" i="11"/>
  <c r="D401" i="11"/>
  <c r="E401" i="11"/>
  <c r="F401" i="11"/>
  <c r="G401" i="11"/>
  <c r="A402" i="11"/>
  <c r="B402" i="11"/>
  <c r="C402" i="11"/>
  <c r="D402" i="11"/>
  <c r="E402" i="11"/>
  <c r="F402" i="11"/>
  <c r="G402" i="11"/>
  <c r="A403" i="11"/>
  <c r="B403" i="11"/>
  <c r="C403" i="11"/>
  <c r="D403" i="11"/>
  <c r="E403" i="11"/>
  <c r="F403" i="11"/>
  <c r="G403" i="11"/>
  <c r="A404" i="11"/>
  <c r="B404" i="11"/>
  <c r="C404" i="11"/>
  <c r="D404" i="11"/>
  <c r="E404" i="11"/>
  <c r="F404" i="11"/>
  <c r="G404" i="11"/>
  <c r="A405" i="11"/>
  <c r="B405" i="11"/>
  <c r="C405" i="11"/>
  <c r="D405" i="11"/>
  <c r="E405" i="11"/>
  <c r="F405" i="11"/>
  <c r="G405" i="11"/>
  <c r="A406" i="11"/>
  <c r="B406" i="11"/>
  <c r="C406" i="11"/>
  <c r="D406" i="11"/>
  <c r="E406" i="11"/>
  <c r="F406" i="11"/>
  <c r="G406" i="11"/>
  <c r="A407" i="11"/>
  <c r="B407" i="11"/>
  <c r="C407" i="11"/>
  <c r="D407" i="11"/>
  <c r="E407" i="11"/>
  <c r="F407" i="11"/>
  <c r="G407" i="11"/>
  <c r="A408" i="11"/>
  <c r="B408" i="11"/>
  <c r="C408" i="11"/>
  <c r="D408" i="11"/>
  <c r="E408" i="11"/>
  <c r="F408" i="11"/>
  <c r="G408" i="11"/>
  <c r="A409" i="11"/>
  <c r="B409" i="11"/>
  <c r="C409" i="11"/>
  <c r="D409" i="11"/>
  <c r="E409" i="11"/>
  <c r="F409" i="11"/>
  <c r="G409" i="11"/>
  <c r="A410" i="11"/>
  <c r="B410" i="11"/>
  <c r="C410" i="11"/>
  <c r="D410" i="11"/>
  <c r="E410" i="11"/>
  <c r="F410" i="11"/>
  <c r="G410" i="11"/>
  <c r="A411" i="11"/>
  <c r="B411" i="11"/>
  <c r="C411" i="11"/>
  <c r="D411" i="11"/>
  <c r="E411" i="11"/>
  <c r="F411" i="11"/>
  <c r="G411" i="11"/>
  <c r="A412" i="11"/>
  <c r="B412" i="11"/>
  <c r="C412" i="11"/>
  <c r="D412" i="11"/>
  <c r="E412" i="11"/>
  <c r="F412" i="11"/>
  <c r="G412" i="11"/>
  <c r="A413" i="11"/>
  <c r="B413" i="11"/>
  <c r="C413" i="11"/>
  <c r="D413" i="11"/>
  <c r="E413" i="11"/>
  <c r="F413" i="11"/>
  <c r="G413" i="11"/>
  <c r="A414" i="11"/>
  <c r="B414" i="11"/>
  <c r="C414" i="11"/>
  <c r="D414" i="11"/>
  <c r="E414" i="11"/>
  <c r="F414" i="11"/>
  <c r="G414" i="11"/>
  <c r="A415" i="11"/>
  <c r="B415" i="11"/>
  <c r="C415" i="11"/>
  <c r="D415" i="11"/>
  <c r="E415" i="11"/>
  <c r="F415" i="11"/>
  <c r="G415" i="11"/>
  <c r="A416" i="11"/>
  <c r="B416" i="11"/>
  <c r="C416" i="11"/>
  <c r="D416" i="11"/>
  <c r="E416" i="11"/>
  <c r="F416" i="11"/>
  <c r="G416" i="11"/>
  <c r="A417" i="11"/>
  <c r="B417" i="11"/>
  <c r="C417" i="11"/>
  <c r="D417" i="11"/>
  <c r="E417" i="11"/>
  <c r="F417" i="11"/>
  <c r="G417" i="11"/>
  <c r="A418" i="11"/>
  <c r="B418" i="11"/>
  <c r="C418" i="11"/>
  <c r="D418" i="11"/>
  <c r="E418" i="11"/>
  <c r="F418" i="11"/>
  <c r="G418" i="11"/>
  <c r="A419" i="11"/>
  <c r="B419" i="11"/>
  <c r="C419" i="11"/>
  <c r="D419" i="11"/>
  <c r="E419" i="11"/>
  <c r="F419" i="11"/>
  <c r="G419" i="11"/>
  <c r="A420" i="11"/>
  <c r="B420" i="11"/>
  <c r="C420" i="11"/>
  <c r="D420" i="11"/>
  <c r="E420" i="11"/>
  <c r="F420" i="11"/>
  <c r="G420" i="11"/>
  <c r="A421" i="11"/>
  <c r="B421" i="11"/>
  <c r="C421" i="11"/>
  <c r="D421" i="11"/>
  <c r="E421" i="11"/>
  <c r="F421" i="11"/>
  <c r="G421" i="11"/>
  <c r="A422" i="11"/>
  <c r="B422" i="11"/>
  <c r="C422" i="11"/>
  <c r="D422" i="11"/>
  <c r="E422" i="11"/>
  <c r="F422" i="11"/>
  <c r="G422" i="11"/>
  <c r="A423" i="11"/>
  <c r="B423" i="11"/>
  <c r="C423" i="11"/>
  <c r="D423" i="11"/>
  <c r="E423" i="11"/>
  <c r="F423" i="11"/>
  <c r="G423" i="11"/>
  <c r="A424" i="11"/>
  <c r="B424" i="11"/>
  <c r="C424" i="11"/>
  <c r="D424" i="11"/>
  <c r="E424" i="11"/>
  <c r="F424" i="11"/>
  <c r="G424" i="11"/>
  <c r="A425" i="11"/>
  <c r="B425" i="11"/>
  <c r="C425" i="11"/>
  <c r="D425" i="11"/>
  <c r="E425" i="11"/>
  <c r="F425" i="11"/>
  <c r="G425" i="11"/>
  <c r="A426" i="11"/>
  <c r="B426" i="11"/>
  <c r="C426" i="11"/>
  <c r="D426" i="11"/>
  <c r="E426" i="11"/>
  <c r="F426" i="11"/>
  <c r="G426" i="11"/>
  <c r="A427" i="11"/>
  <c r="B427" i="11"/>
  <c r="C427" i="11"/>
  <c r="D427" i="11"/>
  <c r="E427" i="11"/>
  <c r="F427" i="11"/>
  <c r="G427" i="11"/>
  <c r="A428" i="11"/>
  <c r="B428" i="11"/>
  <c r="C428" i="11"/>
  <c r="D428" i="11"/>
  <c r="E428" i="11"/>
  <c r="F428" i="11"/>
  <c r="G428" i="11"/>
  <c r="A429" i="11"/>
  <c r="B429" i="11"/>
  <c r="C429" i="11"/>
  <c r="D429" i="11"/>
  <c r="E429" i="11"/>
  <c r="F429" i="11"/>
  <c r="G429" i="11"/>
  <c r="A430" i="11"/>
  <c r="B430" i="11"/>
  <c r="C430" i="11"/>
  <c r="D430" i="11"/>
  <c r="E430" i="11"/>
  <c r="F430" i="11"/>
  <c r="G430" i="11"/>
  <c r="A431" i="11"/>
  <c r="B431" i="11"/>
  <c r="C431" i="11"/>
  <c r="D431" i="11"/>
  <c r="E431" i="11"/>
  <c r="F431" i="11"/>
  <c r="G431" i="11"/>
  <c r="A432" i="11"/>
  <c r="B432" i="11"/>
  <c r="C432" i="11"/>
  <c r="D432" i="11"/>
  <c r="E432" i="11"/>
  <c r="F432" i="11"/>
  <c r="G432" i="11"/>
  <c r="A433" i="11"/>
  <c r="B433" i="11"/>
  <c r="C433" i="11"/>
  <c r="D433" i="11"/>
  <c r="E433" i="11"/>
  <c r="F433" i="11"/>
  <c r="G433" i="11"/>
  <c r="A434" i="11"/>
  <c r="B434" i="11"/>
  <c r="C434" i="11"/>
  <c r="D434" i="11"/>
  <c r="E434" i="11"/>
  <c r="F434" i="11"/>
  <c r="G434" i="11"/>
  <c r="A435" i="11"/>
  <c r="B435" i="11"/>
  <c r="C435" i="11"/>
  <c r="D435" i="11"/>
  <c r="E435" i="11"/>
  <c r="F435" i="11"/>
  <c r="G435" i="11"/>
  <c r="A436" i="11"/>
  <c r="B436" i="11"/>
  <c r="C436" i="11"/>
  <c r="D436" i="11"/>
  <c r="E436" i="11"/>
  <c r="F436" i="11"/>
  <c r="G436" i="11"/>
  <c r="A437" i="11"/>
  <c r="B437" i="11"/>
  <c r="C437" i="11"/>
  <c r="D437" i="11"/>
  <c r="E437" i="11"/>
  <c r="F437" i="11"/>
  <c r="G437" i="11"/>
  <c r="A438" i="11"/>
  <c r="B438" i="11"/>
  <c r="C438" i="11"/>
  <c r="D438" i="11"/>
  <c r="E438" i="11"/>
  <c r="F438" i="11"/>
  <c r="G438" i="11"/>
  <c r="A439" i="11"/>
  <c r="B439" i="11"/>
  <c r="C439" i="11"/>
  <c r="D439" i="11"/>
  <c r="E439" i="11"/>
  <c r="F439" i="11"/>
  <c r="G439" i="11"/>
  <c r="A440" i="11"/>
  <c r="B440" i="11"/>
  <c r="C440" i="11"/>
  <c r="D440" i="11"/>
  <c r="E440" i="11"/>
  <c r="F440" i="11"/>
  <c r="G440" i="11"/>
  <c r="A441" i="11"/>
  <c r="B441" i="11"/>
  <c r="C441" i="11"/>
  <c r="D441" i="11"/>
  <c r="E441" i="11"/>
  <c r="F441" i="11"/>
  <c r="G441" i="11"/>
  <c r="A442" i="11"/>
  <c r="B442" i="11"/>
  <c r="C442" i="11"/>
  <c r="D442" i="11"/>
  <c r="E442" i="11"/>
  <c r="F442" i="11"/>
  <c r="G442" i="11"/>
  <c r="A443" i="11"/>
  <c r="B443" i="11"/>
  <c r="C443" i="11"/>
  <c r="D443" i="11"/>
  <c r="E443" i="11"/>
  <c r="F443" i="11"/>
  <c r="G443" i="11"/>
  <c r="A444" i="11"/>
  <c r="B444" i="11"/>
  <c r="C444" i="11"/>
  <c r="D444" i="11"/>
  <c r="E444" i="11"/>
  <c r="F444" i="11"/>
  <c r="G444" i="11"/>
  <c r="A445" i="11"/>
  <c r="B445" i="11"/>
  <c r="C445" i="11"/>
  <c r="D445" i="11"/>
  <c r="E445" i="11"/>
  <c r="F445" i="11"/>
  <c r="G445" i="11"/>
  <c r="A446" i="11"/>
  <c r="B446" i="11"/>
  <c r="C446" i="11"/>
  <c r="D446" i="11"/>
  <c r="E446" i="11"/>
  <c r="F446" i="11"/>
  <c r="G446" i="11"/>
  <c r="A447" i="11"/>
  <c r="B447" i="11"/>
  <c r="C447" i="11"/>
  <c r="D447" i="11"/>
  <c r="E447" i="11"/>
  <c r="F447" i="11"/>
  <c r="G447" i="11"/>
  <c r="A448" i="11"/>
  <c r="B448" i="11"/>
  <c r="C448" i="11"/>
  <c r="D448" i="11"/>
  <c r="E448" i="11"/>
  <c r="F448" i="11"/>
  <c r="G448" i="11"/>
  <c r="A449" i="11"/>
  <c r="B449" i="11"/>
  <c r="C449" i="11"/>
  <c r="D449" i="11"/>
  <c r="E449" i="11"/>
  <c r="F449" i="11"/>
  <c r="G449" i="11"/>
  <c r="A450" i="11"/>
  <c r="B450" i="11"/>
  <c r="C450" i="11"/>
  <c r="D450" i="11"/>
  <c r="E450" i="11"/>
  <c r="F450" i="11"/>
  <c r="G450" i="11"/>
  <c r="A451" i="11"/>
  <c r="B451" i="11"/>
  <c r="C451" i="11"/>
  <c r="D451" i="11"/>
  <c r="E451" i="11"/>
  <c r="F451" i="11"/>
  <c r="G451" i="11"/>
  <c r="A452" i="11"/>
  <c r="B452" i="11"/>
  <c r="C452" i="11"/>
  <c r="D452" i="11"/>
  <c r="E452" i="11"/>
  <c r="F452" i="11"/>
  <c r="G452" i="11"/>
  <c r="A453" i="11"/>
  <c r="B453" i="11"/>
  <c r="C453" i="11"/>
  <c r="D453" i="11"/>
  <c r="E453" i="11"/>
  <c r="F453" i="11"/>
  <c r="G453" i="11"/>
  <c r="A454" i="11"/>
  <c r="B454" i="11"/>
  <c r="C454" i="11"/>
  <c r="D454" i="11"/>
  <c r="E454" i="11"/>
  <c r="F454" i="11"/>
  <c r="G454" i="11"/>
  <c r="A455" i="11"/>
  <c r="B455" i="11"/>
  <c r="C455" i="11"/>
  <c r="D455" i="11"/>
  <c r="E455" i="11"/>
  <c r="F455" i="11"/>
  <c r="G455" i="11"/>
  <c r="A456" i="11"/>
  <c r="B456" i="11"/>
  <c r="C456" i="11"/>
  <c r="D456" i="11"/>
  <c r="E456" i="11"/>
  <c r="F456" i="11"/>
  <c r="G456" i="11"/>
  <c r="A457" i="11"/>
  <c r="B457" i="11"/>
  <c r="C457" i="11"/>
  <c r="D457" i="11"/>
  <c r="E457" i="11"/>
  <c r="F457" i="11"/>
  <c r="G457" i="11"/>
  <c r="A458" i="11"/>
  <c r="B458" i="11"/>
  <c r="C458" i="11"/>
  <c r="D458" i="11"/>
  <c r="E458" i="11"/>
  <c r="F458" i="11"/>
  <c r="G458" i="11"/>
  <c r="A459" i="11"/>
  <c r="B459" i="11"/>
  <c r="C459" i="11"/>
  <c r="D459" i="11"/>
  <c r="E459" i="11"/>
  <c r="F459" i="11"/>
  <c r="G459" i="11"/>
  <c r="A460" i="11"/>
  <c r="B460" i="11"/>
  <c r="C460" i="11"/>
  <c r="D460" i="11"/>
  <c r="E460" i="11"/>
  <c r="F460" i="11"/>
  <c r="G460" i="11"/>
  <c r="A461" i="11"/>
  <c r="B461" i="11"/>
  <c r="C461" i="11"/>
  <c r="D461" i="11"/>
  <c r="E461" i="11"/>
  <c r="F461" i="11"/>
  <c r="G461" i="11"/>
  <c r="A462" i="11"/>
  <c r="B462" i="11"/>
  <c r="C462" i="11"/>
  <c r="D462" i="11"/>
  <c r="E462" i="11"/>
  <c r="F462" i="11"/>
  <c r="G462" i="11"/>
  <c r="A463" i="11"/>
  <c r="B463" i="11"/>
  <c r="C463" i="11"/>
  <c r="D463" i="11"/>
  <c r="E463" i="11"/>
  <c r="F463" i="11"/>
  <c r="G463" i="11"/>
  <c r="A464" i="11"/>
  <c r="B464" i="11"/>
  <c r="C464" i="11"/>
  <c r="D464" i="11"/>
  <c r="E464" i="11"/>
  <c r="F464" i="11"/>
  <c r="G464" i="11"/>
  <c r="A465" i="11"/>
  <c r="B465" i="11"/>
  <c r="C465" i="11"/>
  <c r="D465" i="11"/>
  <c r="E465" i="11"/>
  <c r="F465" i="11"/>
  <c r="G465" i="11"/>
  <c r="A466" i="11"/>
  <c r="B466" i="11"/>
  <c r="C466" i="11"/>
  <c r="D466" i="11"/>
  <c r="E466" i="11"/>
  <c r="F466" i="11"/>
  <c r="G466" i="11"/>
  <c r="A467" i="11"/>
  <c r="B467" i="11"/>
  <c r="C467" i="11"/>
  <c r="D467" i="11"/>
  <c r="E467" i="11"/>
  <c r="F467" i="11"/>
  <c r="G467" i="11"/>
  <c r="A468" i="11"/>
  <c r="B468" i="11"/>
  <c r="C468" i="11"/>
  <c r="D468" i="11"/>
  <c r="E468" i="11"/>
  <c r="F468" i="11"/>
  <c r="G468" i="11"/>
  <c r="A469" i="11"/>
  <c r="B469" i="11"/>
  <c r="C469" i="11"/>
  <c r="D469" i="11"/>
  <c r="E469" i="11"/>
  <c r="F469" i="11"/>
  <c r="G469" i="11"/>
  <c r="A470" i="11"/>
  <c r="B470" i="11"/>
  <c r="C470" i="11"/>
  <c r="D470" i="11"/>
  <c r="E470" i="11"/>
  <c r="F470" i="11"/>
  <c r="G470" i="11"/>
  <c r="A471" i="11"/>
  <c r="B471" i="11"/>
  <c r="C471" i="11"/>
  <c r="D471" i="11"/>
  <c r="E471" i="11"/>
  <c r="F471" i="11"/>
  <c r="G471" i="11"/>
  <c r="A472" i="11"/>
  <c r="B472" i="11"/>
  <c r="C472" i="11"/>
  <c r="D472" i="11"/>
  <c r="E472" i="11"/>
  <c r="F472" i="11"/>
  <c r="G472" i="11"/>
  <c r="A473" i="11"/>
  <c r="B473" i="11"/>
  <c r="C473" i="11"/>
  <c r="D473" i="11"/>
  <c r="E473" i="11"/>
  <c r="F473" i="11"/>
  <c r="G473" i="11"/>
  <c r="A474" i="11"/>
  <c r="B474" i="11"/>
  <c r="C474" i="11"/>
  <c r="D474" i="11"/>
  <c r="E474" i="11"/>
  <c r="F474" i="11"/>
  <c r="G474" i="11"/>
  <c r="A475" i="11"/>
  <c r="B475" i="11"/>
  <c r="C475" i="11"/>
  <c r="D475" i="11"/>
  <c r="E475" i="11"/>
  <c r="F475" i="11"/>
  <c r="G475" i="11"/>
  <c r="A476" i="11"/>
  <c r="B476" i="11"/>
  <c r="C476" i="11"/>
  <c r="D476" i="11"/>
  <c r="E476" i="11"/>
  <c r="F476" i="11"/>
  <c r="G476" i="11"/>
  <c r="A477" i="11"/>
  <c r="B477" i="11"/>
  <c r="C477" i="11"/>
  <c r="D477" i="11"/>
  <c r="E477" i="11"/>
  <c r="F477" i="11"/>
  <c r="G477" i="11"/>
  <c r="A478" i="11"/>
  <c r="B478" i="11"/>
  <c r="C478" i="11"/>
  <c r="D478" i="11"/>
  <c r="E478" i="11"/>
  <c r="F478" i="11"/>
  <c r="G478" i="11"/>
  <c r="A479" i="11"/>
  <c r="B479" i="11"/>
  <c r="C479" i="11"/>
  <c r="D479" i="11"/>
  <c r="E479" i="11"/>
  <c r="F479" i="11"/>
  <c r="G479" i="11"/>
  <c r="A480" i="11"/>
  <c r="B480" i="11"/>
  <c r="C480" i="11"/>
  <c r="D480" i="11"/>
  <c r="E480" i="11"/>
  <c r="F480" i="11"/>
  <c r="G480" i="11"/>
  <c r="A481" i="11"/>
  <c r="B481" i="11"/>
  <c r="C481" i="11"/>
  <c r="D481" i="11"/>
  <c r="E481" i="11"/>
  <c r="F481" i="11"/>
  <c r="G481" i="11"/>
  <c r="A482" i="11"/>
  <c r="B482" i="11"/>
  <c r="C482" i="11"/>
  <c r="D482" i="11"/>
  <c r="E482" i="11"/>
  <c r="F482" i="11"/>
  <c r="G482" i="11"/>
  <c r="A483" i="11"/>
  <c r="B483" i="11"/>
  <c r="C483" i="11"/>
  <c r="D483" i="11"/>
  <c r="E483" i="11"/>
  <c r="F483" i="11"/>
  <c r="G483" i="11"/>
  <c r="A484" i="11"/>
  <c r="B484" i="11"/>
  <c r="C484" i="11"/>
  <c r="D484" i="11"/>
  <c r="E484" i="11"/>
  <c r="F484" i="11"/>
  <c r="G484" i="11"/>
  <c r="A485" i="11"/>
  <c r="B485" i="11"/>
  <c r="C485" i="11"/>
  <c r="D485" i="11"/>
  <c r="E485" i="11"/>
  <c r="F485" i="11"/>
  <c r="G485" i="11"/>
  <c r="A486" i="11"/>
  <c r="B486" i="11"/>
  <c r="C486" i="11"/>
  <c r="D486" i="11"/>
  <c r="E486" i="11"/>
  <c r="F486" i="11"/>
  <c r="G486" i="11"/>
  <c r="A487" i="11"/>
  <c r="B487" i="11"/>
  <c r="C487" i="11"/>
  <c r="D487" i="11"/>
  <c r="E487" i="11"/>
  <c r="F487" i="11"/>
  <c r="G487" i="11"/>
  <c r="A488" i="11"/>
  <c r="B488" i="11"/>
  <c r="C488" i="11"/>
  <c r="D488" i="11"/>
  <c r="E488" i="11"/>
  <c r="F488" i="11"/>
  <c r="G488" i="11"/>
  <c r="A489" i="11"/>
  <c r="B489" i="11"/>
  <c r="C489" i="11"/>
  <c r="D489" i="11"/>
  <c r="E489" i="11"/>
  <c r="F489" i="11"/>
  <c r="G489" i="11"/>
  <c r="A490" i="11"/>
  <c r="B490" i="11"/>
  <c r="C490" i="11"/>
  <c r="D490" i="11"/>
  <c r="E490" i="11"/>
  <c r="F490" i="11"/>
  <c r="G490" i="11"/>
  <c r="A491" i="11"/>
  <c r="B491" i="11"/>
  <c r="C491" i="11"/>
  <c r="D491" i="11"/>
  <c r="E491" i="11"/>
  <c r="F491" i="11"/>
  <c r="G491" i="11"/>
  <c r="A492" i="11"/>
  <c r="B492" i="11"/>
  <c r="C492" i="11"/>
  <c r="D492" i="11"/>
  <c r="E492" i="11"/>
  <c r="F492" i="11"/>
  <c r="G492" i="11"/>
  <c r="A493" i="11"/>
  <c r="B493" i="11"/>
  <c r="C493" i="11"/>
  <c r="D493" i="11"/>
  <c r="E493" i="11"/>
  <c r="F493" i="11"/>
  <c r="G493" i="11"/>
  <c r="A494" i="11"/>
  <c r="B494" i="11"/>
  <c r="C494" i="11"/>
  <c r="D494" i="11"/>
  <c r="E494" i="11"/>
  <c r="F494" i="11"/>
  <c r="G494" i="11"/>
  <c r="A495" i="11"/>
  <c r="B495" i="11"/>
  <c r="C495" i="11"/>
  <c r="D495" i="11"/>
  <c r="E495" i="11"/>
  <c r="F495" i="11"/>
  <c r="G495" i="11"/>
  <c r="A496" i="11"/>
  <c r="B496" i="11"/>
  <c r="C496" i="11"/>
  <c r="D496" i="11"/>
  <c r="E496" i="11"/>
  <c r="F496" i="11"/>
  <c r="G496" i="11"/>
  <c r="A497" i="11"/>
  <c r="B497" i="11"/>
  <c r="C497" i="11"/>
  <c r="D497" i="11"/>
  <c r="E497" i="11"/>
  <c r="F497" i="11"/>
  <c r="G497" i="11"/>
  <c r="A498" i="11"/>
  <c r="B498" i="11"/>
  <c r="C498" i="11"/>
  <c r="D498" i="11"/>
  <c r="E498" i="11"/>
  <c r="F498" i="11"/>
  <c r="G498" i="11"/>
  <c r="A499" i="11"/>
  <c r="B499" i="11"/>
  <c r="C499" i="11"/>
  <c r="D499" i="11"/>
  <c r="E499" i="11"/>
  <c r="F499" i="11"/>
  <c r="G499" i="11"/>
  <c r="A500" i="11"/>
  <c r="B500" i="11"/>
  <c r="C500" i="11"/>
  <c r="D500" i="11"/>
  <c r="E500" i="11"/>
  <c r="F500" i="11"/>
  <c r="G500" i="11"/>
  <c r="A501" i="11"/>
  <c r="B501" i="11"/>
  <c r="C501" i="11"/>
  <c r="D501" i="11"/>
  <c r="E501" i="11"/>
  <c r="F501" i="11"/>
  <c r="G501" i="11"/>
  <c r="A502" i="11"/>
  <c r="B502" i="11"/>
  <c r="C502" i="11"/>
  <c r="D502" i="11"/>
  <c r="E502" i="11"/>
  <c r="F502" i="11"/>
  <c r="G502" i="11"/>
  <c r="A503" i="11"/>
  <c r="B503" i="11"/>
  <c r="C503" i="11"/>
  <c r="D503" i="11"/>
  <c r="E503" i="11"/>
  <c r="F503" i="11"/>
  <c r="G503" i="11"/>
  <c r="A504" i="11"/>
  <c r="B504" i="11"/>
  <c r="C504" i="11"/>
  <c r="D504" i="11"/>
  <c r="E504" i="11"/>
  <c r="F504" i="11"/>
  <c r="G504" i="11"/>
  <c r="A505" i="11"/>
  <c r="B505" i="11"/>
  <c r="C505" i="11"/>
  <c r="D505" i="11"/>
  <c r="E505" i="11"/>
  <c r="F505" i="11"/>
  <c r="G505" i="11"/>
  <c r="A256" i="11"/>
  <c r="B256" i="11"/>
  <c r="C256" i="11"/>
  <c r="D256" i="11"/>
  <c r="E256" i="11"/>
  <c r="F256" i="11"/>
  <c r="G256" i="11"/>
  <c r="A257" i="11"/>
  <c r="B257" i="11"/>
  <c r="C257" i="11"/>
  <c r="D257" i="11"/>
  <c r="E257" i="11"/>
  <c r="F257" i="11"/>
  <c r="G257" i="11"/>
  <c r="A258" i="11"/>
  <c r="B258" i="11"/>
  <c r="C258" i="11"/>
  <c r="D258" i="11"/>
  <c r="E258" i="11"/>
  <c r="F258" i="11"/>
  <c r="G258" i="11"/>
  <c r="A259" i="11"/>
  <c r="B259" i="11"/>
  <c r="C259" i="11"/>
  <c r="D259" i="11"/>
  <c r="E259" i="11"/>
  <c r="F259" i="11"/>
  <c r="G259" i="11"/>
  <c r="A260" i="11"/>
  <c r="B260" i="11"/>
  <c r="C260" i="11"/>
  <c r="D260" i="11"/>
  <c r="E260" i="11"/>
  <c r="F260" i="11"/>
  <c r="G260" i="11"/>
  <c r="A261" i="11"/>
  <c r="B261" i="11"/>
  <c r="C261" i="11"/>
  <c r="D261" i="11"/>
  <c r="E261" i="11"/>
  <c r="F261" i="11"/>
  <c r="G261" i="11"/>
  <c r="A262" i="11"/>
  <c r="B262" i="11"/>
  <c r="C262" i="11"/>
  <c r="D262" i="11"/>
  <c r="E262" i="11"/>
  <c r="F262" i="11"/>
  <c r="G262" i="11"/>
  <c r="A263" i="11"/>
  <c r="B263" i="11"/>
  <c r="C263" i="11"/>
  <c r="D263" i="11"/>
  <c r="E263" i="11"/>
  <c r="F263" i="11"/>
  <c r="G263" i="11"/>
  <c r="A264" i="11"/>
  <c r="B264" i="11"/>
  <c r="C264" i="11"/>
  <c r="D264" i="11"/>
  <c r="E264" i="11"/>
  <c r="F264" i="11"/>
  <c r="G264" i="11"/>
  <c r="A265" i="11"/>
  <c r="B265" i="11"/>
  <c r="C265" i="11"/>
  <c r="D265" i="11"/>
  <c r="E265" i="11"/>
  <c r="F265" i="11"/>
  <c r="G265" i="11"/>
  <c r="A266" i="11"/>
  <c r="B266" i="11"/>
  <c r="C266" i="11"/>
  <c r="D266" i="11"/>
  <c r="E266" i="11"/>
  <c r="F266" i="11"/>
  <c r="G266" i="11"/>
  <c r="A267" i="11"/>
  <c r="B267" i="11"/>
  <c r="C267" i="11"/>
  <c r="D267" i="11"/>
  <c r="E267" i="11"/>
  <c r="F267" i="11"/>
  <c r="G267" i="11"/>
  <c r="A268" i="11"/>
  <c r="B268" i="11"/>
  <c r="C268" i="11"/>
  <c r="D268" i="11"/>
  <c r="E268" i="11"/>
  <c r="F268" i="11"/>
  <c r="G268" i="11"/>
  <c r="A269" i="11"/>
  <c r="B269" i="11"/>
  <c r="C269" i="11"/>
  <c r="D269" i="11"/>
  <c r="E269" i="11"/>
  <c r="F269" i="11"/>
  <c r="G269" i="11"/>
  <c r="A270" i="11"/>
  <c r="B270" i="11"/>
  <c r="C270" i="11"/>
  <c r="D270" i="11"/>
  <c r="E270" i="11"/>
  <c r="F270" i="11"/>
  <c r="G270" i="11"/>
  <c r="A271" i="11"/>
  <c r="B271" i="11"/>
  <c r="C271" i="11"/>
  <c r="D271" i="11"/>
  <c r="E271" i="11"/>
  <c r="F271" i="11"/>
  <c r="G271" i="11"/>
  <c r="A272" i="11"/>
  <c r="B272" i="11"/>
  <c r="C272" i="11"/>
  <c r="D272" i="11"/>
  <c r="E272" i="11"/>
  <c r="F272" i="11"/>
  <c r="G272" i="11"/>
  <c r="A273" i="11"/>
  <c r="B273" i="11"/>
  <c r="C273" i="11"/>
  <c r="D273" i="11"/>
  <c r="E273" i="11"/>
  <c r="F273" i="11"/>
  <c r="G273" i="11"/>
  <c r="A274" i="11"/>
  <c r="B274" i="11"/>
  <c r="C274" i="11"/>
  <c r="D274" i="11"/>
  <c r="E274" i="11"/>
  <c r="F274" i="11"/>
  <c r="G274" i="11"/>
  <c r="A275" i="11"/>
  <c r="B275" i="11"/>
  <c r="C275" i="11"/>
  <c r="D275" i="11"/>
  <c r="E275" i="11"/>
  <c r="F275" i="11"/>
  <c r="G275" i="11"/>
  <c r="A276" i="11"/>
  <c r="B276" i="11"/>
  <c r="C276" i="11"/>
  <c r="D276" i="11"/>
  <c r="E276" i="11"/>
  <c r="F276" i="11"/>
  <c r="G276" i="11"/>
  <c r="A277" i="11"/>
  <c r="B277" i="11"/>
  <c r="C277" i="11"/>
  <c r="D277" i="11"/>
  <c r="E277" i="11"/>
  <c r="F277" i="11"/>
  <c r="G277" i="11"/>
  <c r="A278" i="11"/>
  <c r="B278" i="11"/>
  <c r="C278" i="11"/>
  <c r="D278" i="11"/>
  <c r="E278" i="11"/>
  <c r="F278" i="11"/>
  <c r="G278" i="11"/>
  <c r="A279" i="11"/>
  <c r="B279" i="11"/>
  <c r="C279" i="11"/>
  <c r="D279" i="11"/>
  <c r="E279" i="11"/>
  <c r="F279" i="11"/>
  <c r="G279" i="11"/>
  <c r="A280" i="11"/>
  <c r="B280" i="11"/>
  <c r="C280" i="11"/>
  <c r="D280" i="11"/>
  <c r="E280" i="11"/>
  <c r="F280" i="11"/>
  <c r="G280" i="11"/>
  <c r="A281" i="11"/>
  <c r="B281" i="11"/>
  <c r="C281" i="11"/>
  <c r="D281" i="11"/>
  <c r="E281" i="11"/>
  <c r="F281" i="11"/>
  <c r="G281" i="11"/>
  <c r="A282" i="11"/>
  <c r="B282" i="11"/>
  <c r="C282" i="11"/>
  <c r="D282" i="11"/>
  <c r="E282" i="11"/>
  <c r="F282" i="11"/>
  <c r="G282" i="11"/>
  <c r="A283" i="11"/>
  <c r="B283" i="11"/>
  <c r="C283" i="11"/>
  <c r="D283" i="11"/>
  <c r="E283" i="11"/>
  <c r="F283" i="11"/>
  <c r="G283" i="11"/>
  <c r="A284" i="11"/>
  <c r="B284" i="11"/>
  <c r="C284" i="11"/>
  <c r="D284" i="11"/>
  <c r="E284" i="11"/>
  <c r="F284" i="11"/>
  <c r="G284" i="11"/>
  <c r="A285" i="11"/>
  <c r="B285" i="11"/>
  <c r="C285" i="11"/>
  <c r="D285" i="11"/>
  <c r="E285" i="11"/>
  <c r="F285" i="11"/>
  <c r="G285" i="11"/>
  <c r="A286" i="11"/>
  <c r="B286" i="11"/>
  <c r="C286" i="11"/>
  <c r="D286" i="11"/>
  <c r="E286" i="11"/>
  <c r="F286" i="11"/>
  <c r="G286" i="11"/>
  <c r="A287" i="11"/>
  <c r="B287" i="11"/>
  <c r="C287" i="11"/>
  <c r="D287" i="11"/>
  <c r="E287" i="11"/>
  <c r="F287" i="11"/>
  <c r="G287" i="11"/>
  <c r="A288" i="11"/>
  <c r="B288" i="11"/>
  <c r="C288" i="11"/>
  <c r="D288" i="11"/>
  <c r="E288" i="11"/>
  <c r="F288" i="11"/>
  <c r="G288" i="11"/>
  <c r="A289" i="11"/>
  <c r="B289" i="11"/>
  <c r="C289" i="11"/>
  <c r="D289" i="11"/>
  <c r="E289" i="11"/>
  <c r="F289" i="11"/>
  <c r="G289" i="11"/>
  <c r="A290" i="11"/>
  <c r="B290" i="11"/>
  <c r="C290" i="11"/>
  <c r="D290" i="11"/>
  <c r="E290" i="11"/>
  <c r="F290" i="11"/>
  <c r="G290" i="11"/>
  <c r="A291" i="11"/>
  <c r="B291" i="11"/>
  <c r="C291" i="11"/>
  <c r="D291" i="11"/>
  <c r="E291" i="11"/>
  <c r="F291" i="11"/>
  <c r="G291" i="11"/>
  <c r="A292" i="11"/>
  <c r="B292" i="11"/>
  <c r="C292" i="11"/>
  <c r="D292" i="11"/>
  <c r="E292" i="11"/>
  <c r="F292" i="11"/>
  <c r="G292" i="11"/>
  <c r="A293" i="11"/>
  <c r="B293" i="11"/>
  <c r="C293" i="11"/>
  <c r="D293" i="11"/>
  <c r="E293" i="11"/>
  <c r="F293" i="11"/>
  <c r="G293" i="11"/>
  <c r="A294" i="11"/>
  <c r="B294" i="11"/>
  <c r="C294" i="11"/>
  <c r="D294" i="11"/>
  <c r="E294" i="11"/>
  <c r="F294" i="11"/>
  <c r="G294" i="11"/>
  <c r="A295" i="11"/>
  <c r="B295" i="11"/>
  <c r="C295" i="11"/>
  <c r="D295" i="11"/>
  <c r="E295" i="11"/>
  <c r="F295" i="11"/>
  <c r="G295" i="11"/>
  <c r="A296" i="11"/>
  <c r="B296" i="11"/>
  <c r="C296" i="11"/>
  <c r="D296" i="11"/>
  <c r="E296" i="11"/>
  <c r="F296" i="11"/>
  <c r="G296" i="11"/>
  <c r="A297" i="11"/>
  <c r="B297" i="11"/>
  <c r="C297" i="11"/>
  <c r="D297" i="11"/>
  <c r="E297" i="11"/>
  <c r="F297" i="11"/>
  <c r="G297" i="11"/>
  <c r="A298" i="11"/>
  <c r="B298" i="11"/>
  <c r="C298" i="11"/>
  <c r="D298" i="11"/>
  <c r="E298" i="11"/>
  <c r="F298" i="11"/>
  <c r="G298" i="11"/>
  <c r="A299" i="11"/>
  <c r="B299" i="11"/>
  <c r="C299" i="11"/>
  <c r="D299" i="11"/>
  <c r="E299" i="11"/>
  <c r="F299" i="11"/>
  <c r="G299" i="11"/>
  <c r="A300" i="11"/>
  <c r="B300" i="11"/>
  <c r="C300" i="11"/>
  <c r="D300" i="11"/>
  <c r="E300" i="11"/>
  <c r="F300" i="11"/>
  <c r="G300" i="11"/>
  <c r="A301" i="11"/>
  <c r="B301" i="11"/>
  <c r="C301" i="11"/>
  <c r="D301" i="11"/>
  <c r="E301" i="11"/>
  <c r="F301" i="11"/>
  <c r="G301" i="11"/>
  <c r="A302" i="11"/>
  <c r="B302" i="11"/>
  <c r="C302" i="11"/>
  <c r="D302" i="11"/>
  <c r="E302" i="11"/>
  <c r="F302" i="11"/>
  <c r="G302" i="11"/>
  <c r="A303" i="11"/>
  <c r="B303" i="11"/>
  <c r="C303" i="11"/>
  <c r="D303" i="11"/>
  <c r="E303" i="11"/>
  <c r="F303" i="11"/>
  <c r="G303" i="11"/>
  <c r="A304" i="11"/>
  <c r="B304" i="11"/>
  <c r="C304" i="11"/>
  <c r="D304" i="11"/>
  <c r="E304" i="11"/>
  <c r="F304" i="11"/>
  <c r="G304" i="11"/>
  <c r="A305" i="11"/>
  <c r="B305" i="11"/>
  <c r="C305" i="11"/>
  <c r="D305" i="11"/>
  <c r="E305" i="11"/>
  <c r="F305" i="11"/>
  <c r="G305" i="11"/>
  <c r="A306" i="11"/>
  <c r="B306" i="11"/>
  <c r="C306" i="11"/>
  <c r="D306" i="11"/>
  <c r="E306" i="11"/>
  <c r="F306" i="11"/>
  <c r="G306" i="11"/>
  <c r="A307" i="11"/>
  <c r="B307" i="11"/>
  <c r="C307" i="11"/>
  <c r="D307" i="11"/>
  <c r="E307" i="11"/>
  <c r="F307" i="11"/>
  <c r="G307" i="11"/>
  <c r="A308" i="11"/>
  <c r="B308" i="11"/>
  <c r="C308" i="11"/>
  <c r="D308" i="11"/>
  <c r="E308" i="11"/>
  <c r="F308" i="11"/>
  <c r="G308" i="11"/>
  <c r="A309" i="11"/>
  <c r="B309" i="11"/>
  <c r="C309" i="11"/>
  <c r="D309" i="11"/>
  <c r="E309" i="11"/>
  <c r="F309" i="11"/>
  <c r="G309" i="11"/>
  <c r="A310" i="11"/>
  <c r="B310" i="11"/>
  <c r="C310" i="11"/>
  <c r="D310" i="11"/>
  <c r="E310" i="11"/>
  <c r="F310" i="11"/>
  <c r="G310" i="11"/>
  <c r="A311" i="11"/>
  <c r="B311" i="11"/>
  <c r="C311" i="11"/>
  <c r="D311" i="11"/>
  <c r="E311" i="11"/>
  <c r="F311" i="11"/>
  <c r="G311" i="11"/>
  <c r="A312" i="11"/>
  <c r="B312" i="11"/>
  <c r="C312" i="11"/>
  <c r="D312" i="11"/>
  <c r="E312" i="11"/>
  <c r="F312" i="11"/>
  <c r="G312" i="11"/>
  <c r="A313" i="11"/>
  <c r="B313" i="11"/>
  <c r="C313" i="11"/>
  <c r="D313" i="11"/>
  <c r="E313" i="11"/>
  <c r="F313" i="11"/>
  <c r="G313" i="11"/>
  <c r="A314" i="11"/>
  <c r="B314" i="11"/>
  <c r="C314" i="11"/>
  <c r="D314" i="11"/>
  <c r="E314" i="11"/>
  <c r="F314" i="11"/>
  <c r="G314" i="11"/>
  <c r="A315" i="11"/>
  <c r="B315" i="11"/>
  <c r="C315" i="11"/>
  <c r="D315" i="11"/>
  <c r="E315" i="11"/>
  <c r="F315" i="11"/>
  <c r="G315" i="11"/>
  <c r="A316" i="11"/>
  <c r="B316" i="11"/>
  <c r="C316" i="11"/>
  <c r="D316" i="11"/>
  <c r="E316" i="11"/>
  <c r="F316" i="11"/>
  <c r="G316" i="11"/>
  <c r="A317" i="11"/>
  <c r="B317" i="11"/>
  <c r="C317" i="11"/>
  <c r="D317" i="11"/>
  <c r="E317" i="11"/>
  <c r="F317" i="11"/>
  <c r="G317" i="11"/>
  <c r="A318" i="11"/>
  <c r="B318" i="11"/>
  <c r="C318" i="11"/>
  <c r="D318" i="11"/>
  <c r="E318" i="11"/>
  <c r="F318" i="11"/>
  <c r="G318" i="11"/>
  <c r="A319" i="11"/>
  <c r="B319" i="11"/>
  <c r="C319" i="11"/>
  <c r="D319" i="11"/>
  <c r="E319" i="11"/>
  <c r="F319" i="11"/>
  <c r="G319" i="11"/>
  <c r="A320" i="11"/>
  <c r="B320" i="11"/>
  <c r="C320" i="11"/>
  <c r="D320" i="11"/>
  <c r="E320" i="11"/>
  <c r="F320" i="11"/>
  <c r="G320" i="11"/>
  <c r="A321" i="11"/>
  <c r="B321" i="11"/>
  <c r="C321" i="11"/>
  <c r="D321" i="11"/>
  <c r="E321" i="11"/>
  <c r="F321" i="11"/>
  <c r="G321" i="11"/>
  <c r="A322" i="11"/>
  <c r="B322" i="11"/>
  <c r="C322" i="11"/>
  <c r="D322" i="11"/>
  <c r="E322" i="11"/>
  <c r="F322" i="11"/>
  <c r="G322" i="11"/>
  <c r="A323" i="11"/>
  <c r="B323" i="11"/>
  <c r="C323" i="11"/>
  <c r="D323" i="11"/>
  <c r="E323" i="11"/>
  <c r="F323" i="11"/>
  <c r="G323" i="11"/>
  <c r="A324" i="11"/>
  <c r="B324" i="11"/>
  <c r="C324" i="11"/>
  <c r="D324" i="11"/>
  <c r="E324" i="11"/>
  <c r="F324" i="11"/>
  <c r="G324" i="11"/>
  <c r="A325" i="11"/>
  <c r="B325" i="11"/>
  <c r="C325" i="11"/>
  <c r="D325" i="11"/>
  <c r="E325" i="11"/>
  <c r="F325" i="11"/>
  <c r="G325" i="11"/>
  <c r="A326" i="11"/>
  <c r="B326" i="11"/>
  <c r="C326" i="11"/>
  <c r="D326" i="11"/>
  <c r="E326" i="11"/>
  <c r="F326" i="11"/>
  <c r="G326" i="11"/>
  <c r="A327" i="11"/>
  <c r="B327" i="11"/>
  <c r="C327" i="11"/>
  <c r="D327" i="11"/>
  <c r="E327" i="11"/>
  <c r="F327" i="11"/>
  <c r="G327" i="11"/>
  <c r="A328" i="11"/>
  <c r="B328" i="11"/>
  <c r="C328" i="11"/>
  <c r="D328" i="11"/>
  <c r="E328" i="11"/>
  <c r="F328" i="11"/>
  <c r="G328" i="11"/>
  <c r="A329" i="11"/>
  <c r="B329" i="11"/>
  <c r="C329" i="11"/>
  <c r="D329" i="11"/>
  <c r="E329" i="11"/>
  <c r="F329" i="11"/>
  <c r="G329" i="11"/>
  <c r="A330" i="11"/>
  <c r="B330" i="11"/>
  <c r="C330" i="11"/>
  <c r="D330" i="11"/>
  <c r="E330" i="11"/>
  <c r="F330" i="11"/>
  <c r="G330" i="11"/>
  <c r="A331" i="11"/>
  <c r="B331" i="11"/>
  <c r="C331" i="11"/>
  <c r="D331" i="11"/>
  <c r="E331" i="11"/>
  <c r="F331" i="11"/>
  <c r="G331" i="11"/>
  <c r="A332" i="11"/>
  <c r="B332" i="11"/>
  <c r="C332" i="11"/>
  <c r="D332" i="11"/>
  <c r="E332" i="11"/>
  <c r="F332" i="11"/>
  <c r="G332" i="11"/>
  <c r="A333" i="11"/>
  <c r="B333" i="11"/>
  <c r="C333" i="11"/>
  <c r="D333" i="11"/>
  <c r="E333" i="11"/>
  <c r="F333" i="11"/>
  <c r="G333" i="11"/>
  <c r="A334" i="11"/>
  <c r="B334" i="11"/>
  <c r="C334" i="11"/>
  <c r="D334" i="11"/>
  <c r="E334" i="11"/>
  <c r="F334" i="11"/>
  <c r="G334" i="11"/>
  <c r="A335" i="11"/>
  <c r="B335" i="11"/>
  <c r="C335" i="11"/>
  <c r="D335" i="11"/>
  <c r="E335" i="11"/>
  <c r="F335" i="11"/>
  <c r="G335" i="11"/>
  <c r="A336" i="11"/>
  <c r="B336" i="11"/>
  <c r="C336" i="11"/>
  <c r="D336" i="11"/>
  <c r="E336" i="11"/>
  <c r="F336" i="11"/>
  <c r="G336" i="11"/>
  <c r="A337" i="11"/>
  <c r="B337" i="11"/>
  <c r="C337" i="11"/>
  <c r="D337" i="11"/>
  <c r="E337" i="11"/>
  <c r="F337" i="11"/>
  <c r="G337" i="11"/>
  <c r="A338" i="11"/>
  <c r="B338" i="11"/>
  <c r="C338" i="11"/>
  <c r="D338" i="11"/>
  <c r="E338" i="11"/>
  <c r="F338" i="11"/>
  <c r="G338" i="11"/>
  <c r="A339" i="11"/>
  <c r="B339" i="11"/>
  <c r="C339" i="11"/>
  <c r="D339" i="11"/>
  <c r="E339" i="11"/>
  <c r="F339" i="11"/>
  <c r="G339" i="11"/>
  <c r="A340" i="11"/>
  <c r="B340" i="11"/>
  <c r="C340" i="11"/>
  <c r="D340" i="11"/>
  <c r="E340" i="11"/>
  <c r="F340" i="11"/>
  <c r="G340" i="11"/>
  <c r="A341" i="11"/>
  <c r="B341" i="11"/>
  <c r="C341" i="11"/>
  <c r="D341" i="11"/>
  <c r="E341" i="11"/>
  <c r="F341" i="11"/>
  <c r="G341" i="11"/>
  <c r="A342" i="11"/>
  <c r="B342" i="11"/>
  <c r="C342" i="11"/>
  <c r="D342" i="11"/>
  <c r="E342" i="11"/>
  <c r="F342" i="11"/>
  <c r="G342" i="11"/>
  <c r="A343" i="11"/>
  <c r="B343" i="11"/>
  <c r="C343" i="11"/>
  <c r="D343" i="11"/>
  <c r="E343" i="11"/>
  <c r="F343" i="11"/>
  <c r="G343" i="11"/>
  <c r="A344" i="11"/>
  <c r="B344" i="11"/>
  <c r="C344" i="11"/>
  <c r="D344" i="11"/>
  <c r="E344" i="11"/>
  <c r="F344" i="11"/>
  <c r="G344" i="11"/>
  <c r="A345" i="11"/>
  <c r="B345" i="11"/>
  <c r="C345" i="11"/>
  <c r="D345" i="11"/>
  <c r="E345" i="11"/>
  <c r="F345" i="11"/>
  <c r="G345" i="11"/>
  <c r="A346" i="11"/>
  <c r="B346" i="11"/>
  <c r="C346" i="11"/>
  <c r="D346" i="11"/>
  <c r="E346" i="11"/>
  <c r="F346" i="11"/>
  <c r="G346" i="11"/>
  <c r="A347" i="11"/>
  <c r="B347" i="11"/>
  <c r="C347" i="11"/>
  <c r="D347" i="11"/>
  <c r="E347" i="11"/>
  <c r="F347" i="11"/>
  <c r="G347" i="11"/>
  <c r="A348" i="11"/>
  <c r="B348" i="11"/>
  <c r="C348" i="11"/>
  <c r="D348" i="11"/>
  <c r="E348" i="11"/>
  <c r="F348" i="11"/>
  <c r="G348" i="11"/>
  <c r="A349" i="11"/>
  <c r="B349" i="11"/>
  <c r="C349" i="11"/>
  <c r="D349" i="11"/>
  <c r="E349" i="11"/>
  <c r="F349" i="11"/>
  <c r="G349" i="11"/>
  <c r="A350" i="11"/>
  <c r="B350" i="11"/>
  <c r="C350" i="11"/>
  <c r="D350" i="11"/>
  <c r="E350" i="11"/>
  <c r="F350" i="11"/>
  <c r="G350" i="11"/>
  <c r="A351" i="11"/>
  <c r="B351" i="11"/>
  <c r="C351" i="11"/>
  <c r="D351" i="11"/>
  <c r="E351" i="11"/>
  <c r="F351" i="11"/>
  <c r="G351" i="11"/>
  <c r="A352" i="11"/>
  <c r="B352" i="11"/>
  <c r="C352" i="11"/>
  <c r="D352" i="11"/>
  <c r="E352" i="11"/>
  <c r="F352" i="11"/>
  <c r="G352" i="11"/>
  <c r="A353" i="11"/>
  <c r="B353" i="11"/>
  <c r="C353" i="11"/>
  <c r="D353" i="11"/>
  <c r="E353" i="11"/>
  <c r="F353" i="11"/>
  <c r="G353" i="11"/>
  <c r="A354" i="11"/>
  <c r="B354" i="11"/>
  <c r="C354" i="11"/>
  <c r="D354" i="11"/>
  <c r="E354" i="11"/>
  <c r="F354" i="11"/>
  <c r="G354" i="11"/>
  <c r="A355" i="11"/>
  <c r="B355" i="11"/>
  <c r="C355" i="11"/>
  <c r="D355" i="11"/>
  <c r="E355" i="11"/>
  <c r="F355" i="11"/>
  <c r="G355" i="11"/>
  <c r="A356" i="11"/>
  <c r="B356" i="11"/>
  <c r="C356" i="11"/>
  <c r="D356" i="11"/>
  <c r="E356" i="11"/>
  <c r="F356" i="11"/>
  <c r="G356" i="11"/>
  <c r="A357" i="11"/>
  <c r="B357" i="11"/>
  <c r="C357" i="11"/>
  <c r="D357" i="11"/>
  <c r="E357" i="11"/>
  <c r="F357" i="11"/>
  <c r="G357" i="11"/>
  <c r="A358" i="11"/>
  <c r="B358" i="11"/>
  <c r="C358" i="11"/>
  <c r="D358" i="11"/>
  <c r="E358" i="11"/>
  <c r="F358" i="11"/>
  <c r="G358" i="11"/>
  <c r="A359" i="11"/>
  <c r="B359" i="11"/>
  <c r="C359" i="11"/>
  <c r="D359" i="11"/>
  <c r="E359" i="11"/>
  <c r="F359" i="11"/>
  <c r="G359" i="11"/>
  <c r="A360" i="11"/>
  <c r="B360" i="11"/>
  <c r="C360" i="11"/>
  <c r="D360" i="11"/>
  <c r="E360" i="11"/>
  <c r="F360" i="11"/>
  <c r="G360" i="11"/>
  <c r="A361" i="11"/>
  <c r="B361" i="11"/>
  <c r="C361" i="11"/>
  <c r="D361" i="11"/>
  <c r="E361" i="11"/>
  <c r="F361" i="11"/>
  <c r="G361" i="11"/>
  <c r="A362" i="11"/>
  <c r="B362" i="11"/>
  <c r="C362" i="11"/>
  <c r="D362" i="11"/>
  <c r="E362" i="11"/>
  <c r="F362" i="11"/>
  <c r="G362" i="11"/>
  <c r="A363" i="11"/>
  <c r="B363" i="11"/>
  <c r="C363" i="11"/>
  <c r="D363" i="11"/>
  <c r="E363" i="11"/>
  <c r="F363" i="11"/>
  <c r="G363" i="11"/>
  <c r="A364" i="11"/>
  <c r="B364" i="11"/>
  <c r="C364" i="11"/>
  <c r="D364" i="11"/>
  <c r="E364" i="11"/>
  <c r="F364" i="11"/>
  <c r="G364" i="11"/>
  <c r="A365" i="11"/>
  <c r="B365" i="11"/>
  <c r="C365" i="11"/>
  <c r="D365" i="11"/>
  <c r="E365" i="11"/>
  <c r="F365" i="11"/>
  <c r="G365" i="11"/>
  <c r="A366" i="11"/>
  <c r="B366" i="11"/>
  <c r="C366" i="11"/>
  <c r="D366" i="11"/>
  <c r="E366" i="11"/>
  <c r="F366" i="11"/>
  <c r="G366" i="11"/>
  <c r="A367" i="11"/>
  <c r="B367" i="11"/>
  <c r="C367" i="11"/>
  <c r="D367" i="11"/>
  <c r="E367" i="11"/>
  <c r="F367" i="11"/>
  <c r="G367" i="11"/>
  <c r="A368" i="11"/>
  <c r="B368" i="11"/>
  <c r="C368" i="11"/>
  <c r="D368" i="11"/>
  <c r="E368" i="11"/>
  <c r="F368" i="11"/>
  <c r="G368" i="11"/>
  <c r="A369" i="11"/>
  <c r="B369" i="11"/>
  <c r="C369" i="11"/>
  <c r="D369" i="11"/>
  <c r="E369" i="11"/>
  <c r="F369" i="11"/>
  <c r="G369" i="11"/>
  <c r="A370" i="11"/>
  <c r="B370" i="11"/>
  <c r="C370" i="11"/>
  <c r="D370" i="11"/>
  <c r="E370" i="11"/>
  <c r="F370" i="11"/>
  <c r="G370" i="11"/>
  <c r="A371" i="11"/>
  <c r="B371" i="11"/>
  <c r="C371" i="11"/>
  <c r="D371" i="11"/>
  <c r="E371" i="11"/>
  <c r="F371" i="11"/>
  <c r="G371" i="11"/>
  <c r="A372" i="11"/>
  <c r="B372" i="11"/>
  <c r="C372" i="11"/>
  <c r="D372" i="11"/>
  <c r="E372" i="11"/>
  <c r="F372" i="11"/>
  <c r="G372" i="11"/>
  <c r="A373" i="11"/>
  <c r="B373" i="11"/>
  <c r="C373" i="11"/>
  <c r="D373" i="11"/>
  <c r="E373" i="11"/>
  <c r="F373" i="11"/>
  <c r="G373" i="11"/>
  <c r="A374" i="11"/>
  <c r="B374" i="11"/>
  <c r="C374" i="11"/>
  <c r="D374" i="11"/>
  <c r="E374" i="11"/>
  <c r="F374" i="11"/>
  <c r="G374" i="11"/>
  <c r="A375" i="11"/>
  <c r="B375" i="11"/>
  <c r="C375" i="11"/>
  <c r="D375" i="11"/>
  <c r="E375" i="11"/>
  <c r="F375" i="11"/>
  <c r="G375" i="11"/>
  <c r="A376" i="11"/>
  <c r="B376" i="11"/>
  <c r="C376" i="11"/>
  <c r="D376" i="11"/>
  <c r="E376" i="11"/>
  <c r="F376" i="11"/>
  <c r="G376" i="11"/>
  <c r="A377" i="11"/>
  <c r="B377" i="11"/>
  <c r="C377" i="11"/>
  <c r="D377" i="11"/>
  <c r="E377" i="11"/>
  <c r="F377" i="11"/>
  <c r="G377" i="11"/>
  <c r="A378" i="11"/>
  <c r="B378" i="11"/>
  <c r="C378" i="11"/>
  <c r="D378" i="11"/>
  <c r="E378" i="11"/>
  <c r="F378" i="11"/>
  <c r="G378" i="11"/>
  <c r="A379" i="11"/>
  <c r="B379" i="11"/>
  <c r="C379" i="11"/>
  <c r="D379" i="11"/>
  <c r="E379" i="11"/>
  <c r="F379" i="11"/>
  <c r="G379" i="11"/>
  <c r="A380" i="11"/>
  <c r="B380" i="11"/>
  <c r="C380" i="11"/>
  <c r="D380" i="11"/>
  <c r="E380" i="11"/>
  <c r="F380" i="11"/>
  <c r="G380" i="11"/>
  <c r="A131" i="11"/>
  <c r="B131" i="11"/>
  <c r="C131" i="11"/>
  <c r="D131" i="11"/>
  <c r="E131" i="11"/>
  <c r="F131" i="11"/>
  <c r="G131" i="11"/>
  <c r="A132" i="11"/>
  <c r="B132" i="11"/>
  <c r="C132" i="11"/>
  <c r="D132" i="11"/>
  <c r="E132" i="11"/>
  <c r="F132" i="11"/>
  <c r="G132" i="11"/>
  <c r="A133" i="11"/>
  <c r="B133" i="11"/>
  <c r="C133" i="11"/>
  <c r="D133" i="11"/>
  <c r="E133" i="11"/>
  <c r="F133" i="11"/>
  <c r="G133" i="11"/>
  <c r="A134" i="11"/>
  <c r="B134" i="11"/>
  <c r="C134" i="11"/>
  <c r="D134" i="11"/>
  <c r="E134" i="11"/>
  <c r="F134" i="11"/>
  <c r="G134" i="11"/>
  <c r="A135" i="11"/>
  <c r="B135" i="11"/>
  <c r="C135" i="11"/>
  <c r="D135" i="11"/>
  <c r="E135" i="11"/>
  <c r="F135" i="11"/>
  <c r="G135" i="11"/>
  <c r="A136" i="11"/>
  <c r="B136" i="11"/>
  <c r="C136" i="11"/>
  <c r="D136" i="11"/>
  <c r="E136" i="11"/>
  <c r="F136" i="11"/>
  <c r="G136" i="11"/>
  <c r="A137" i="11"/>
  <c r="B137" i="11"/>
  <c r="C137" i="11"/>
  <c r="D137" i="11"/>
  <c r="E137" i="11"/>
  <c r="F137" i="11"/>
  <c r="G137" i="11"/>
  <c r="A138" i="11"/>
  <c r="B138" i="11"/>
  <c r="C138" i="11"/>
  <c r="D138" i="11"/>
  <c r="E138" i="11"/>
  <c r="F138" i="11"/>
  <c r="G138" i="11"/>
  <c r="A139" i="11"/>
  <c r="B139" i="11"/>
  <c r="C139" i="11"/>
  <c r="D139" i="11"/>
  <c r="E139" i="11"/>
  <c r="F139" i="11"/>
  <c r="G139" i="11"/>
  <c r="A140" i="11"/>
  <c r="B140" i="11"/>
  <c r="C140" i="11"/>
  <c r="D140" i="11"/>
  <c r="E140" i="11"/>
  <c r="F140" i="11"/>
  <c r="G140" i="11"/>
  <c r="A141" i="11"/>
  <c r="B141" i="11"/>
  <c r="C141" i="11"/>
  <c r="D141" i="11"/>
  <c r="E141" i="11"/>
  <c r="F141" i="11"/>
  <c r="G141" i="11"/>
  <c r="A142" i="11"/>
  <c r="B142" i="11"/>
  <c r="C142" i="11"/>
  <c r="D142" i="11"/>
  <c r="E142" i="11"/>
  <c r="F142" i="11"/>
  <c r="G142" i="11"/>
  <c r="A143" i="11"/>
  <c r="B143" i="11"/>
  <c r="C143" i="11"/>
  <c r="D143" i="11"/>
  <c r="E143" i="11"/>
  <c r="F143" i="11"/>
  <c r="G143" i="11"/>
  <c r="A144" i="11"/>
  <c r="B144" i="11"/>
  <c r="C144" i="11"/>
  <c r="D144" i="11"/>
  <c r="E144" i="11"/>
  <c r="F144" i="11"/>
  <c r="G144" i="11"/>
  <c r="A145" i="11"/>
  <c r="B145" i="11"/>
  <c r="C145" i="11"/>
  <c r="D145" i="11"/>
  <c r="E145" i="11"/>
  <c r="F145" i="11"/>
  <c r="G145" i="11"/>
  <c r="A146" i="11"/>
  <c r="B146" i="11"/>
  <c r="C146" i="11"/>
  <c r="D146" i="11"/>
  <c r="E146" i="11"/>
  <c r="F146" i="11"/>
  <c r="G146" i="11"/>
  <c r="A147" i="11"/>
  <c r="B147" i="11"/>
  <c r="C147" i="11"/>
  <c r="D147" i="11"/>
  <c r="E147" i="11"/>
  <c r="F147" i="11"/>
  <c r="G147" i="11"/>
  <c r="A148" i="11"/>
  <c r="B148" i="11"/>
  <c r="C148" i="11"/>
  <c r="D148" i="11"/>
  <c r="E148" i="11"/>
  <c r="F148" i="11"/>
  <c r="G148" i="11"/>
  <c r="A149" i="11"/>
  <c r="B149" i="11"/>
  <c r="C149" i="11"/>
  <c r="D149" i="11"/>
  <c r="E149" i="11"/>
  <c r="F149" i="11"/>
  <c r="G149" i="11"/>
  <c r="A150" i="11"/>
  <c r="B150" i="11"/>
  <c r="C150" i="11"/>
  <c r="D150" i="11"/>
  <c r="E150" i="11"/>
  <c r="F150" i="11"/>
  <c r="G150" i="11"/>
  <c r="A151" i="11"/>
  <c r="B151" i="11"/>
  <c r="C151" i="11"/>
  <c r="D151" i="11"/>
  <c r="E151" i="11"/>
  <c r="F151" i="11"/>
  <c r="G151" i="11"/>
  <c r="A152" i="11"/>
  <c r="B152" i="11"/>
  <c r="C152" i="11"/>
  <c r="D152" i="11"/>
  <c r="E152" i="11"/>
  <c r="F152" i="11"/>
  <c r="G152" i="11"/>
  <c r="A153" i="11"/>
  <c r="B153" i="11"/>
  <c r="C153" i="11"/>
  <c r="D153" i="11"/>
  <c r="E153" i="11"/>
  <c r="F153" i="11"/>
  <c r="G153" i="11"/>
  <c r="A154" i="11"/>
  <c r="B154" i="11"/>
  <c r="C154" i="11"/>
  <c r="D154" i="11"/>
  <c r="E154" i="11"/>
  <c r="F154" i="11"/>
  <c r="G154" i="11"/>
  <c r="A155" i="11"/>
  <c r="B155" i="11"/>
  <c r="C155" i="11"/>
  <c r="D155" i="11"/>
  <c r="E155" i="11"/>
  <c r="F155" i="11"/>
  <c r="G155" i="11"/>
  <c r="A156" i="11"/>
  <c r="B156" i="11"/>
  <c r="C156" i="11"/>
  <c r="D156" i="11"/>
  <c r="E156" i="11"/>
  <c r="F156" i="11"/>
  <c r="G156" i="11"/>
  <c r="A157" i="11"/>
  <c r="B157" i="11"/>
  <c r="C157" i="11"/>
  <c r="D157" i="11"/>
  <c r="E157" i="11"/>
  <c r="F157" i="11"/>
  <c r="G157" i="11"/>
  <c r="A158" i="11"/>
  <c r="B158" i="11"/>
  <c r="C158" i="11"/>
  <c r="D158" i="11"/>
  <c r="E158" i="11"/>
  <c r="F158" i="11"/>
  <c r="G158" i="11"/>
  <c r="A159" i="11"/>
  <c r="B159" i="11"/>
  <c r="C159" i="11"/>
  <c r="D159" i="11"/>
  <c r="E159" i="11"/>
  <c r="F159" i="11"/>
  <c r="G159" i="11"/>
  <c r="A160" i="11"/>
  <c r="B160" i="11"/>
  <c r="C160" i="11"/>
  <c r="D160" i="11"/>
  <c r="E160" i="11"/>
  <c r="F160" i="11"/>
  <c r="G160" i="11"/>
  <c r="A161" i="11"/>
  <c r="B161" i="11"/>
  <c r="C161" i="11"/>
  <c r="D161" i="11"/>
  <c r="E161" i="11"/>
  <c r="F161" i="11"/>
  <c r="G161" i="11"/>
  <c r="A162" i="11"/>
  <c r="B162" i="11"/>
  <c r="C162" i="11"/>
  <c r="D162" i="11"/>
  <c r="E162" i="11"/>
  <c r="F162" i="11"/>
  <c r="G162" i="11"/>
  <c r="A163" i="11"/>
  <c r="B163" i="11"/>
  <c r="C163" i="11"/>
  <c r="D163" i="11"/>
  <c r="E163" i="11"/>
  <c r="F163" i="11"/>
  <c r="G163" i="11"/>
  <c r="A164" i="11"/>
  <c r="B164" i="11"/>
  <c r="C164" i="11"/>
  <c r="D164" i="11"/>
  <c r="E164" i="11"/>
  <c r="F164" i="11"/>
  <c r="G164" i="11"/>
  <c r="A165" i="11"/>
  <c r="B165" i="11"/>
  <c r="C165" i="11"/>
  <c r="D165" i="11"/>
  <c r="E165" i="11"/>
  <c r="F165" i="11"/>
  <c r="G165" i="11"/>
  <c r="A166" i="11"/>
  <c r="B166" i="11"/>
  <c r="C166" i="11"/>
  <c r="D166" i="11"/>
  <c r="E166" i="11"/>
  <c r="F166" i="11"/>
  <c r="G166" i="11"/>
  <c r="A167" i="11"/>
  <c r="B167" i="11"/>
  <c r="C167" i="11"/>
  <c r="D167" i="11"/>
  <c r="E167" i="11"/>
  <c r="F167" i="11"/>
  <c r="G167" i="11"/>
  <c r="A168" i="11"/>
  <c r="B168" i="11"/>
  <c r="C168" i="11"/>
  <c r="D168" i="11"/>
  <c r="E168" i="11"/>
  <c r="F168" i="11"/>
  <c r="G168" i="11"/>
  <c r="A169" i="11"/>
  <c r="B169" i="11"/>
  <c r="C169" i="11"/>
  <c r="D169" i="11"/>
  <c r="E169" i="11"/>
  <c r="F169" i="11"/>
  <c r="G169" i="11"/>
  <c r="A170" i="11"/>
  <c r="B170" i="11"/>
  <c r="C170" i="11"/>
  <c r="D170" i="11"/>
  <c r="E170" i="11"/>
  <c r="F170" i="11"/>
  <c r="G170" i="11"/>
  <c r="A171" i="11"/>
  <c r="B171" i="11"/>
  <c r="C171" i="11"/>
  <c r="D171" i="11"/>
  <c r="E171" i="11"/>
  <c r="F171" i="11"/>
  <c r="G171" i="11"/>
  <c r="A172" i="11"/>
  <c r="B172" i="11"/>
  <c r="C172" i="11"/>
  <c r="D172" i="11"/>
  <c r="E172" i="11"/>
  <c r="F172" i="11"/>
  <c r="G172" i="11"/>
  <c r="A173" i="11"/>
  <c r="B173" i="11"/>
  <c r="C173" i="11"/>
  <c r="D173" i="11"/>
  <c r="E173" i="11"/>
  <c r="F173" i="11"/>
  <c r="G173" i="11"/>
  <c r="A174" i="11"/>
  <c r="B174" i="11"/>
  <c r="C174" i="11"/>
  <c r="D174" i="11"/>
  <c r="E174" i="11"/>
  <c r="F174" i="11"/>
  <c r="G174" i="11"/>
  <c r="A175" i="11"/>
  <c r="B175" i="11"/>
  <c r="C175" i="11"/>
  <c r="D175" i="11"/>
  <c r="E175" i="11"/>
  <c r="F175" i="11"/>
  <c r="G175" i="11"/>
  <c r="A176" i="11"/>
  <c r="B176" i="11"/>
  <c r="C176" i="11"/>
  <c r="D176" i="11"/>
  <c r="E176" i="11"/>
  <c r="F176" i="11"/>
  <c r="G176" i="11"/>
  <c r="A177" i="11"/>
  <c r="B177" i="11"/>
  <c r="C177" i="11"/>
  <c r="D177" i="11"/>
  <c r="E177" i="11"/>
  <c r="F177" i="11"/>
  <c r="G177" i="11"/>
  <c r="A178" i="11"/>
  <c r="B178" i="11"/>
  <c r="C178" i="11"/>
  <c r="D178" i="11"/>
  <c r="E178" i="11"/>
  <c r="F178" i="11"/>
  <c r="G178" i="11"/>
  <c r="A179" i="11"/>
  <c r="B179" i="11"/>
  <c r="C179" i="11"/>
  <c r="D179" i="11"/>
  <c r="E179" i="11"/>
  <c r="F179" i="11"/>
  <c r="G179" i="11"/>
  <c r="A180" i="11"/>
  <c r="B180" i="11"/>
  <c r="C180" i="11"/>
  <c r="D180" i="11"/>
  <c r="E180" i="11"/>
  <c r="F180" i="11"/>
  <c r="G180" i="11"/>
  <c r="A181" i="11"/>
  <c r="B181" i="11"/>
  <c r="C181" i="11"/>
  <c r="D181" i="11"/>
  <c r="E181" i="11"/>
  <c r="F181" i="11"/>
  <c r="G181" i="11"/>
  <c r="A182" i="11"/>
  <c r="B182" i="11"/>
  <c r="C182" i="11"/>
  <c r="D182" i="11"/>
  <c r="E182" i="11"/>
  <c r="F182" i="11"/>
  <c r="G182" i="11"/>
  <c r="A183" i="11"/>
  <c r="B183" i="11"/>
  <c r="C183" i="11"/>
  <c r="D183" i="11"/>
  <c r="E183" i="11"/>
  <c r="F183" i="11"/>
  <c r="G183" i="11"/>
  <c r="A184" i="11"/>
  <c r="B184" i="11"/>
  <c r="C184" i="11"/>
  <c r="D184" i="11"/>
  <c r="E184" i="11"/>
  <c r="F184" i="11"/>
  <c r="G184" i="11"/>
  <c r="A185" i="11"/>
  <c r="B185" i="11"/>
  <c r="C185" i="11"/>
  <c r="D185" i="11"/>
  <c r="E185" i="11"/>
  <c r="F185" i="11"/>
  <c r="G185" i="11"/>
  <c r="A186" i="11"/>
  <c r="B186" i="11"/>
  <c r="C186" i="11"/>
  <c r="D186" i="11"/>
  <c r="E186" i="11"/>
  <c r="F186" i="11"/>
  <c r="G186" i="11"/>
  <c r="A187" i="11"/>
  <c r="B187" i="11"/>
  <c r="C187" i="11"/>
  <c r="D187" i="11"/>
  <c r="E187" i="11"/>
  <c r="F187" i="11"/>
  <c r="G187" i="11"/>
  <c r="A188" i="11"/>
  <c r="B188" i="11"/>
  <c r="C188" i="11"/>
  <c r="D188" i="11"/>
  <c r="E188" i="11"/>
  <c r="F188" i="11"/>
  <c r="G188" i="11"/>
  <c r="A189" i="11"/>
  <c r="B189" i="11"/>
  <c r="C189" i="11"/>
  <c r="D189" i="11"/>
  <c r="E189" i="11"/>
  <c r="F189" i="11"/>
  <c r="G189" i="11"/>
  <c r="A190" i="11"/>
  <c r="B190" i="11"/>
  <c r="C190" i="11"/>
  <c r="D190" i="11"/>
  <c r="E190" i="11"/>
  <c r="F190" i="11"/>
  <c r="G190" i="11"/>
  <c r="A191" i="11"/>
  <c r="B191" i="11"/>
  <c r="C191" i="11"/>
  <c r="D191" i="11"/>
  <c r="E191" i="11"/>
  <c r="F191" i="11"/>
  <c r="G191" i="11"/>
  <c r="A192" i="11"/>
  <c r="B192" i="11"/>
  <c r="C192" i="11"/>
  <c r="D192" i="11"/>
  <c r="E192" i="11"/>
  <c r="F192" i="11"/>
  <c r="G192" i="11"/>
  <c r="A193" i="11"/>
  <c r="B193" i="11"/>
  <c r="C193" i="11"/>
  <c r="D193" i="11"/>
  <c r="E193" i="11"/>
  <c r="F193" i="11"/>
  <c r="G193" i="11"/>
  <c r="A194" i="11"/>
  <c r="B194" i="11"/>
  <c r="C194" i="11"/>
  <c r="D194" i="11"/>
  <c r="E194" i="11"/>
  <c r="F194" i="11"/>
  <c r="G194" i="11"/>
  <c r="A195" i="11"/>
  <c r="B195" i="11"/>
  <c r="C195" i="11"/>
  <c r="D195" i="11"/>
  <c r="E195" i="11"/>
  <c r="F195" i="11"/>
  <c r="G195" i="11"/>
  <c r="A196" i="11"/>
  <c r="B196" i="11"/>
  <c r="C196" i="11"/>
  <c r="D196" i="11"/>
  <c r="E196" i="11"/>
  <c r="F196" i="11"/>
  <c r="G196" i="11"/>
  <c r="A197" i="11"/>
  <c r="B197" i="11"/>
  <c r="C197" i="11"/>
  <c r="D197" i="11"/>
  <c r="E197" i="11"/>
  <c r="F197" i="11"/>
  <c r="G197" i="11"/>
  <c r="A198" i="11"/>
  <c r="B198" i="11"/>
  <c r="C198" i="11"/>
  <c r="D198" i="11"/>
  <c r="E198" i="11"/>
  <c r="F198" i="11"/>
  <c r="G198" i="11"/>
  <c r="A199" i="11"/>
  <c r="B199" i="11"/>
  <c r="C199" i="11"/>
  <c r="D199" i="11"/>
  <c r="E199" i="11"/>
  <c r="F199" i="11"/>
  <c r="G199" i="11"/>
  <c r="A200" i="11"/>
  <c r="B200" i="11"/>
  <c r="C200" i="11"/>
  <c r="D200" i="11"/>
  <c r="E200" i="11"/>
  <c r="F200" i="11"/>
  <c r="G200" i="11"/>
  <c r="A201" i="11"/>
  <c r="B201" i="11"/>
  <c r="C201" i="11"/>
  <c r="D201" i="11"/>
  <c r="E201" i="11"/>
  <c r="F201" i="11"/>
  <c r="G201" i="11"/>
  <c r="A202" i="11"/>
  <c r="B202" i="11"/>
  <c r="C202" i="11"/>
  <c r="D202" i="11"/>
  <c r="E202" i="11"/>
  <c r="F202" i="11"/>
  <c r="G202" i="11"/>
  <c r="A203" i="11"/>
  <c r="B203" i="11"/>
  <c r="C203" i="11"/>
  <c r="D203" i="11"/>
  <c r="E203" i="11"/>
  <c r="F203" i="11"/>
  <c r="G203" i="11"/>
  <c r="A204" i="11"/>
  <c r="B204" i="11"/>
  <c r="C204" i="11"/>
  <c r="D204" i="11"/>
  <c r="E204" i="11"/>
  <c r="F204" i="11"/>
  <c r="G204" i="11"/>
  <c r="A205" i="11"/>
  <c r="B205" i="11"/>
  <c r="C205" i="11"/>
  <c r="D205" i="11"/>
  <c r="E205" i="11"/>
  <c r="F205" i="11"/>
  <c r="G205" i="11"/>
  <c r="A206" i="11"/>
  <c r="B206" i="11"/>
  <c r="C206" i="11"/>
  <c r="D206" i="11"/>
  <c r="E206" i="11"/>
  <c r="F206" i="11"/>
  <c r="G206" i="11"/>
  <c r="A207" i="11"/>
  <c r="B207" i="11"/>
  <c r="C207" i="11"/>
  <c r="D207" i="11"/>
  <c r="E207" i="11"/>
  <c r="F207" i="11"/>
  <c r="G207" i="11"/>
  <c r="A208" i="11"/>
  <c r="B208" i="11"/>
  <c r="C208" i="11"/>
  <c r="D208" i="11"/>
  <c r="E208" i="11"/>
  <c r="F208" i="11"/>
  <c r="G208" i="11"/>
  <c r="A209" i="11"/>
  <c r="B209" i="11"/>
  <c r="C209" i="11"/>
  <c r="D209" i="11"/>
  <c r="E209" i="11"/>
  <c r="F209" i="11"/>
  <c r="G209" i="11"/>
  <c r="A210" i="11"/>
  <c r="B210" i="11"/>
  <c r="C210" i="11"/>
  <c r="D210" i="11"/>
  <c r="E210" i="11"/>
  <c r="F210" i="11"/>
  <c r="G210" i="11"/>
  <c r="A211" i="11"/>
  <c r="B211" i="11"/>
  <c r="C211" i="11"/>
  <c r="D211" i="11"/>
  <c r="E211" i="11"/>
  <c r="F211" i="11"/>
  <c r="G211" i="11"/>
  <c r="A212" i="11"/>
  <c r="B212" i="11"/>
  <c r="C212" i="11"/>
  <c r="D212" i="11"/>
  <c r="E212" i="11"/>
  <c r="F212" i="11"/>
  <c r="G212" i="11"/>
  <c r="A213" i="11"/>
  <c r="B213" i="11"/>
  <c r="C213" i="11"/>
  <c r="D213" i="11"/>
  <c r="E213" i="11"/>
  <c r="F213" i="11"/>
  <c r="G213" i="11"/>
  <c r="A214" i="11"/>
  <c r="B214" i="11"/>
  <c r="C214" i="11"/>
  <c r="D214" i="11"/>
  <c r="E214" i="11"/>
  <c r="F214" i="11"/>
  <c r="G214" i="11"/>
  <c r="A215" i="11"/>
  <c r="B215" i="11"/>
  <c r="C215" i="11"/>
  <c r="D215" i="11"/>
  <c r="E215" i="11"/>
  <c r="F215" i="11"/>
  <c r="G215" i="11"/>
  <c r="A216" i="11"/>
  <c r="B216" i="11"/>
  <c r="C216" i="11"/>
  <c r="D216" i="11"/>
  <c r="E216" i="11"/>
  <c r="F216" i="11"/>
  <c r="G216" i="11"/>
  <c r="A217" i="11"/>
  <c r="B217" i="11"/>
  <c r="C217" i="11"/>
  <c r="D217" i="11"/>
  <c r="E217" i="11"/>
  <c r="F217" i="11"/>
  <c r="G217" i="11"/>
  <c r="A218" i="11"/>
  <c r="B218" i="11"/>
  <c r="C218" i="11"/>
  <c r="D218" i="11"/>
  <c r="E218" i="11"/>
  <c r="F218" i="11"/>
  <c r="G218" i="11"/>
  <c r="A219" i="11"/>
  <c r="B219" i="11"/>
  <c r="C219" i="11"/>
  <c r="D219" i="11"/>
  <c r="E219" i="11"/>
  <c r="F219" i="11"/>
  <c r="G219" i="11"/>
  <c r="A220" i="11"/>
  <c r="B220" i="11"/>
  <c r="C220" i="11"/>
  <c r="D220" i="11"/>
  <c r="E220" i="11"/>
  <c r="F220" i="11"/>
  <c r="G220" i="11"/>
  <c r="A221" i="11"/>
  <c r="B221" i="11"/>
  <c r="C221" i="11"/>
  <c r="D221" i="11"/>
  <c r="E221" i="11"/>
  <c r="F221" i="11"/>
  <c r="G221" i="11"/>
  <c r="A222" i="11"/>
  <c r="B222" i="11"/>
  <c r="C222" i="11"/>
  <c r="D222" i="11"/>
  <c r="E222" i="11"/>
  <c r="F222" i="11"/>
  <c r="G222" i="11"/>
  <c r="A223" i="11"/>
  <c r="B223" i="11"/>
  <c r="C223" i="11"/>
  <c r="D223" i="11"/>
  <c r="E223" i="11"/>
  <c r="F223" i="11"/>
  <c r="G223" i="11"/>
  <c r="A224" i="11"/>
  <c r="B224" i="11"/>
  <c r="C224" i="11"/>
  <c r="D224" i="11"/>
  <c r="E224" i="11"/>
  <c r="F224" i="11"/>
  <c r="G224" i="11"/>
  <c r="A225" i="11"/>
  <c r="B225" i="11"/>
  <c r="C225" i="11"/>
  <c r="D225" i="11"/>
  <c r="E225" i="11"/>
  <c r="F225" i="11"/>
  <c r="G225" i="11"/>
  <c r="A226" i="11"/>
  <c r="B226" i="11"/>
  <c r="C226" i="11"/>
  <c r="D226" i="11"/>
  <c r="E226" i="11"/>
  <c r="F226" i="11"/>
  <c r="G226" i="11"/>
  <c r="A227" i="11"/>
  <c r="B227" i="11"/>
  <c r="C227" i="11"/>
  <c r="D227" i="11"/>
  <c r="E227" i="11"/>
  <c r="F227" i="11"/>
  <c r="G227" i="11"/>
  <c r="A228" i="11"/>
  <c r="B228" i="11"/>
  <c r="C228" i="11"/>
  <c r="D228" i="11"/>
  <c r="E228" i="11"/>
  <c r="F228" i="11"/>
  <c r="G228" i="11"/>
  <c r="A229" i="11"/>
  <c r="B229" i="11"/>
  <c r="C229" i="11"/>
  <c r="D229" i="11"/>
  <c r="E229" i="11"/>
  <c r="F229" i="11"/>
  <c r="G229" i="11"/>
  <c r="A230" i="11"/>
  <c r="B230" i="11"/>
  <c r="C230" i="11"/>
  <c r="D230" i="11"/>
  <c r="E230" i="11"/>
  <c r="F230" i="11"/>
  <c r="G230" i="11"/>
  <c r="A231" i="11"/>
  <c r="B231" i="11"/>
  <c r="C231" i="11"/>
  <c r="D231" i="11"/>
  <c r="E231" i="11"/>
  <c r="F231" i="11"/>
  <c r="G231" i="11"/>
  <c r="A232" i="11"/>
  <c r="B232" i="11"/>
  <c r="C232" i="11"/>
  <c r="D232" i="11"/>
  <c r="E232" i="11"/>
  <c r="F232" i="11"/>
  <c r="G232" i="11"/>
  <c r="A233" i="11"/>
  <c r="B233" i="11"/>
  <c r="C233" i="11"/>
  <c r="D233" i="11"/>
  <c r="E233" i="11"/>
  <c r="F233" i="11"/>
  <c r="G233" i="11"/>
  <c r="A234" i="11"/>
  <c r="B234" i="11"/>
  <c r="C234" i="11"/>
  <c r="D234" i="11"/>
  <c r="E234" i="11"/>
  <c r="F234" i="11"/>
  <c r="G234" i="11"/>
  <c r="A235" i="11"/>
  <c r="B235" i="11"/>
  <c r="C235" i="11"/>
  <c r="D235" i="11"/>
  <c r="E235" i="11"/>
  <c r="F235" i="11"/>
  <c r="G235" i="11"/>
  <c r="A236" i="11"/>
  <c r="B236" i="11"/>
  <c r="C236" i="11"/>
  <c r="D236" i="11"/>
  <c r="E236" i="11"/>
  <c r="F236" i="11"/>
  <c r="G236" i="11"/>
  <c r="A237" i="11"/>
  <c r="B237" i="11"/>
  <c r="C237" i="11"/>
  <c r="D237" i="11"/>
  <c r="E237" i="11"/>
  <c r="F237" i="11"/>
  <c r="G237" i="11"/>
  <c r="A238" i="11"/>
  <c r="B238" i="11"/>
  <c r="C238" i="11"/>
  <c r="D238" i="11"/>
  <c r="E238" i="11"/>
  <c r="F238" i="11"/>
  <c r="G238" i="11"/>
  <c r="A239" i="11"/>
  <c r="B239" i="11"/>
  <c r="C239" i="11"/>
  <c r="D239" i="11"/>
  <c r="E239" i="11"/>
  <c r="F239" i="11"/>
  <c r="G239" i="11"/>
  <c r="A240" i="11"/>
  <c r="B240" i="11"/>
  <c r="C240" i="11"/>
  <c r="D240" i="11"/>
  <c r="E240" i="11"/>
  <c r="F240" i="11"/>
  <c r="G240" i="11"/>
  <c r="A241" i="11"/>
  <c r="B241" i="11"/>
  <c r="C241" i="11"/>
  <c r="D241" i="11"/>
  <c r="E241" i="11"/>
  <c r="F241" i="11"/>
  <c r="G241" i="11"/>
  <c r="A242" i="11"/>
  <c r="B242" i="11"/>
  <c r="C242" i="11"/>
  <c r="D242" i="11"/>
  <c r="E242" i="11"/>
  <c r="F242" i="11"/>
  <c r="G242" i="11"/>
  <c r="A243" i="11"/>
  <c r="B243" i="11"/>
  <c r="C243" i="11"/>
  <c r="D243" i="11"/>
  <c r="E243" i="11"/>
  <c r="F243" i="11"/>
  <c r="G243" i="11"/>
  <c r="A244" i="11"/>
  <c r="B244" i="11"/>
  <c r="C244" i="11"/>
  <c r="D244" i="11"/>
  <c r="E244" i="11"/>
  <c r="F244" i="11"/>
  <c r="G244" i="11"/>
  <c r="A245" i="11"/>
  <c r="B245" i="11"/>
  <c r="C245" i="11"/>
  <c r="D245" i="11"/>
  <c r="E245" i="11"/>
  <c r="F245" i="11"/>
  <c r="G245" i="11"/>
  <c r="A246" i="11"/>
  <c r="B246" i="11"/>
  <c r="C246" i="11"/>
  <c r="D246" i="11"/>
  <c r="E246" i="11"/>
  <c r="F246" i="11"/>
  <c r="G246" i="11"/>
  <c r="A247" i="11"/>
  <c r="B247" i="11"/>
  <c r="C247" i="11"/>
  <c r="D247" i="11"/>
  <c r="E247" i="11"/>
  <c r="F247" i="11"/>
  <c r="G247" i="11"/>
  <c r="A248" i="11"/>
  <c r="B248" i="11"/>
  <c r="C248" i="11"/>
  <c r="D248" i="11"/>
  <c r="E248" i="11"/>
  <c r="F248" i="11"/>
  <c r="G248" i="11"/>
  <c r="A249" i="11"/>
  <c r="B249" i="11"/>
  <c r="C249" i="11"/>
  <c r="D249" i="11"/>
  <c r="E249" i="11"/>
  <c r="F249" i="11"/>
  <c r="G249" i="11"/>
  <c r="A250" i="11"/>
  <c r="B250" i="11"/>
  <c r="C250" i="11"/>
  <c r="D250" i="11"/>
  <c r="E250" i="11"/>
  <c r="F250" i="11"/>
  <c r="G250" i="11"/>
  <c r="A251" i="11"/>
  <c r="B251" i="11"/>
  <c r="C251" i="11"/>
  <c r="D251" i="11"/>
  <c r="E251" i="11"/>
  <c r="F251" i="11"/>
  <c r="G251" i="11"/>
  <c r="A252" i="11"/>
  <c r="B252" i="11"/>
  <c r="C252" i="11"/>
  <c r="D252" i="11"/>
  <c r="E252" i="11"/>
  <c r="F252" i="11"/>
  <c r="G252" i="11"/>
  <c r="A253" i="11"/>
  <c r="B253" i="11"/>
  <c r="C253" i="11"/>
  <c r="D253" i="11"/>
  <c r="E253" i="11"/>
  <c r="F253" i="11"/>
  <c r="G253" i="11"/>
  <c r="A254" i="11"/>
  <c r="B254" i="11"/>
  <c r="C254" i="11"/>
  <c r="D254" i="11"/>
  <c r="E254" i="11"/>
  <c r="F254" i="11"/>
  <c r="G254" i="11"/>
  <c r="A255" i="11"/>
  <c r="B255" i="11"/>
  <c r="C255" i="11"/>
  <c r="D255" i="11"/>
  <c r="E255" i="11"/>
  <c r="F255" i="11"/>
  <c r="G255" i="11"/>
  <c r="A6" i="11"/>
  <c r="B6" i="11"/>
  <c r="C6" i="11"/>
  <c r="D6" i="11"/>
  <c r="E6" i="11"/>
  <c r="F6" i="11"/>
  <c r="G6" i="11"/>
  <c r="A7" i="11"/>
  <c r="B7" i="11"/>
  <c r="C7" i="11"/>
  <c r="D7" i="11"/>
  <c r="E7" i="11"/>
  <c r="F7" i="11"/>
  <c r="G7" i="11"/>
  <c r="A8" i="11"/>
  <c r="B8" i="11"/>
  <c r="C8" i="11"/>
  <c r="D8" i="11"/>
  <c r="E8" i="11"/>
  <c r="F8" i="11"/>
  <c r="G8" i="11"/>
  <c r="A9" i="11"/>
  <c r="B9" i="11"/>
  <c r="C9" i="11"/>
  <c r="D9" i="11"/>
  <c r="E9" i="11"/>
  <c r="F9" i="11"/>
  <c r="G9" i="11"/>
  <c r="A10" i="11"/>
  <c r="B10" i="11"/>
  <c r="C10" i="11"/>
  <c r="D10" i="11"/>
  <c r="E10" i="11"/>
  <c r="F10" i="11"/>
  <c r="G10" i="11"/>
  <c r="A11" i="11"/>
  <c r="B11" i="11"/>
  <c r="C11" i="11"/>
  <c r="D11" i="11"/>
  <c r="E11" i="11"/>
  <c r="F11" i="11"/>
  <c r="G11" i="11"/>
  <c r="A12" i="11"/>
  <c r="B12" i="11"/>
  <c r="C12" i="11"/>
  <c r="D12" i="11"/>
  <c r="E12" i="11"/>
  <c r="F12" i="11"/>
  <c r="G12" i="11"/>
  <c r="A13" i="11"/>
  <c r="B13" i="11"/>
  <c r="C13" i="11"/>
  <c r="D13" i="11"/>
  <c r="E13" i="11"/>
  <c r="F13" i="11"/>
  <c r="G13" i="11"/>
  <c r="A14" i="11"/>
  <c r="B14" i="11"/>
  <c r="C14" i="11"/>
  <c r="D14" i="11"/>
  <c r="E14" i="11"/>
  <c r="F14" i="11"/>
  <c r="G14" i="11"/>
  <c r="A15" i="11"/>
  <c r="B15" i="11"/>
  <c r="C15" i="11"/>
  <c r="D15" i="11"/>
  <c r="E15" i="11"/>
  <c r="F15" i="11"/>
  <c r="G15" i="11"/>
  <c r="A16" i="11"/>
  <c r="B16" i="11"/>
  <c r="C16" i="11"/>
  <c r="D16" i="11"/>
  <c r="E16" i="11"/>
  <c r="F16" i="11"/>
  <c r="G16" i="11"/>
  <c r="A17" i="11"/>
  <c r="B17" i="11"/>
  <c r="C17" i="11"/>
  <c r="D17" i="11"/>
  <c r="E17" i="11"/>
  <c r="F17" i="11"/>
  <c r="G17" i="11"/>
  <c r="A18" i="11"/>
  <c r="B18" i="11"/>
  <c r="C18" i="11"/>
  <c r="D18" i="11"/>
  <c r="E18" i="11"/>
  <c r="F18" i="11"/>
  <c r="G18" i="11"/>
  <c r="A19" i="11"/>
  <c r="B19" i="11"/>
  <c r="C19" i="11"/>
  <c r="D19" i="11"/>
  <c r="E19" i="11"/>
  <c r="F19" i="11"/>
  <c r="G19" i="11"/>
  <c r="A20" i="11"/>
  <c r="B20" i="11"/>
  <c r="C20" i="11"/>
  <c r="D20" i="11"/>
  <c r="E20" i="11"/>
  <c r="F20" i="11"/>
  <c r="G20" i="11"/>
  <c r="A21" i="11"/>
  <c r="B21" i="11"/>
  <c r="C21" i="11"/>
  <c r="D21" i="11"/>
  <c r="E21" i="11"/>
  <c r="F21" i="11"/>
  <c r="G21" i="11"/>
  <c r="A22" i="11"/>
  <c r="B22" i="11"/>
  <c r="C22" i="11"/>
  <c r="D22" i="11"/>
  <c r="E22" i="11"/>
  <c r="F22" i="11"/>
  <c r="G22" i="11"/>
  <c r="A23" i="11"/>
  <c r="B23" i="11"/>
  <c r="C23" i="11"/>
  <c r="D23" i="11"/>
  <c r="E23" i="11"/>
  <c r="F23" i="11"/>
  <c r="G23" i="11"/>
  <c r="A24" i="11"/>
  <c r="B24" i="11"/>
  <c r="C24" i="11"/>
  <c r="D24" i="11"/>
  <c r="E24" i="11"/>
  <c r="F24" i="11"/>
  <c r="G24" i="11"/>
  <c r="A25" i="11"/>
  <c r="B25" i="11"/>
  <c r="C25" i="11"/>
  <c r="D25" i="11"/>
  <c r="E25" i="11"/>
  <c r="F25" i="11"/>
  <c r="G25" i="11"/>
  <c r="A26" i="11"/>
  <c r="B26" i="11"/>
  <c r="C26" i="11"/>
  <c r="D26" i="11"/>
  <c r="E26" i="11"/>
  <c r="F26" i="11"/>
  <c r="G26" i="11"/>
  <c r="A27" i="11"/>
  <c r="B27" i="11"/>
  <c r="C27" i="11"/>
  <c r="D27" i="11"/>
  <c r="E27" i="11"/>
  <c r="F27" i="11"/>
  <c r="G27" i="11"/>
  <c r="A28" i="11"/>
  <c r="B28" i="11"/>
  <c r="C28" i="11"/>
  <c r="D28" i="11"/>
  <c r="E28" i="11"/>
  <c r="F28" i="11"/>
  <c r="G28" i="11"/>
  <c r="A29" i="11"/>
  <c r="B29" i="11"/>
  <c r="C29" i="11"/>
  <c r="D29" i="11"/>
  <c r="E29" i="11"/>
  <c r="F29" i="11"/>
  <c r="G29" i="11"/>
  <c r="A30" i="11"/>
  <c r="B30" i="11"/>
  <c r="C30" i="11"/>
  <c r="D30" i="11"/>
  <c r="E30" i="11"/>
  <c r="F30" i="11"/>
  <c r="G30" i="11"/>
  <c r="A31" i="11"/>
  <c r="B31" i="11"/>
  <c r="C31" i="11"/>
  <c r="D31" i="11"/>
  <c r="E31" i="11"/>
  <c r="F31" i="11"/>
  <c r="G31" i="11"/>
  <c r="A32" i="11"/>
  <c r="B32" i="11"/>
  <c r="C32" i="11"/>
  <c r="D32" i="11"/>
  <c r="E32" i="11"/>
  <c r="F32" i="11"/>
  <c r="G32" i="11"/>
  <c r="A33" i="11"/>
  <c r="B33" i="11"/>
  <c r="C33" i="11"/>
  <c r="D33" i="11"/>
  <c r="E33" i="11"/>
  <c r="F33" i="11"/>
  <c r="G33" i="11"/>
  <c r="A34" i="11"/>
  <c r="B34" i="11"/>
  <c r="C34" i="11"/>
  <c r="D34" i="11"/>
  <c r="E34" i="11"/>
  <c r="F34" i="11"/>
  <c r="G34" i="11"/>
  <c r="A35" i="11"/>
  <c r="B35" i="11"/>
  <c r="C35" i="11"/>
  <c r="D35" i="11"/>
  <c r="E35" i="11"/>
  <c r="F35" i="11"/>
  <c r="G35" i="11"/>
  <c r="A36" i="11"/>
  <c r="B36" i="11"/>
  <c r="C36" i="11"/>
  <c r="D36" i="11"/>
  <c r="E36" i="11"/>
  <c r="F36" i="11"/>
  <c r="G36" i="11"/>
  <c r="A37" i="11"/>
  <c r="B37" i="11"/>
  <c r="C37" i="11"/>
  <c r="D37" i="11"/>
  <c r="E37" i="11"/>
  <c r="F37" i="11"/>
  <c r="G37" i="11"/>
  <c r="A38" i="11"/>
  <c r="B38" i="11"/>
  <c r="C38" i="11"/>
  <c r="D38" i="11"/>
  <c r="E38" i="11"/>
  <c r="F38" i="11"/>
  <c r="G38" i="11"/>
  <c r="A39" i="11"/>
  <c r="B39" i="11"/>
  <c r="C39" i="11"/>
  <c r="D39" i="11"/>
  <c r="E39" i="11"/>
  <c r="F39" i="11"/>
  <c r="G39" i="11"/>
  <c r="A40" i="11"/>
  <c r="B40" i="11"/>
  <c r="C40" i="11"/>
  <c r="D40" i="11"/>
  <c r="E40" i="11"/>
  <c r="F40" i="11"/>
  <c r="G40" i="11"/>
  <c r="A41" i="11"/>
  <c r="B41" i="11"/>
  <c r="C41" i="11"/>
  <c r="D41" i="11"/>
  <c r="E41" i="11"/>
  <c r="F41" i="11"/>
  <c r="G41" i="11"/>
  <c r="A42" i="11"/>
  <c r="B42" i="11"/>
  <c r="C42" i="11"/>
  <c r="D42" i="11"/>
  <c r="E42" i="11"/>
  <c r="F42" i="11"/>
  <c r="G42" i="11"/>
  <c r="A43" i="11"/>
  <c r="B43" i="11"/>
  <c r="C43" i="11"/>
  <c r="D43" i="11"/>
  <c r="E43" i="11"/>
  <c r="F43" i="11"/>
  <c r="G43" i="11"/>
  <c r="A44" i="11"/>
  <c r="B44" i="11"/>
  <c r="C44" i="11"/>
  <c r="D44" i="11"/>
  <c r="E44" i="11"/>
  <c r="F44" i="11"/>
  <c r="G44" i="11"/>
  <c r="A45" i="11"/>
  <c r="B45" i="11"/>
  <c r="C45" i="11"/>
  <c r="D45" i="11"/>
  <c r="E45" i="11"/>
  <c r="F45" i="11"/>
  <c r="G45" i="11"/>
  <c r="A46" i="11"/>
  <c r="B46" i="11"/>
  <c r="C46" i="11"/>
  <c r="D46" i="11"/>
  <c r="E46" i="11"/>
  <c r="F46" i="11"/>
  <c r="G46" i="11"/>
  <c r="A47" i="11"/>
  <c r="B47" i="11"/>
  <c r="C47" i="11"/>
  <c r="D47" i="11"/>
  <c r="E47" i="11"/>
  <c r="F47" i="11"/>
  <c r="G47" i="11"/>
  <c r="A48" i="11"/>
  <c r="B48" i="11"/>
  <c r="C48" i="11"/>
  <c r="D48" i="11"/>
  <c r="E48" i="11"/>
  <c r="F48" i="11"/>
  <c r="G48" i="11"/>
  <c r="A49" i="11"/>
  <c r="B49" i="11"/>
  <c r="C49" i="11"/>
  <c r="D49" i="11"/>
  <c r="E49" i="11"/>
  <c r="F49" i="11"/>
  <c r="G49" i="11"/>
  <c r="A50" i="11"/>
  <c r="B50" i="11"/>
  <c r="C50" i="11"/>
  <c r="D50" i="11"/>
  <c r="E50" i="11"/>
  <c r="F50" i="11"/>
  <c r="G50" i="11"/>
  <c r="A51" i="11"/>
  <c r="B51" i="11"/>
  <c r="C51" i="11"/>
  <c r="D51" i="11"/>
  <c r="E51" i="11"/>
  <c r="F51" i="11"/>
  <c r="G51" i="11"/>
  <c r="A52" i="11"/>
  <c r="B52" i="11"/>
  <c r="C52" i="11"/>
  <c r="D52" i="11"/>
  <c r="E52" i="11"/>
  <c r="F52" i="11"/>
  <c r="G52" i="11"/>
  <c r="A53" i="11"/>
  <c r="B53" i="11"/>
  <c r="C53" i="11"/>
  <c r="D53" i="11"/>
  <c r="E53" i="11"/>
  <c r="F53" i="11"/>
  <c r="G53" i="11"/>
  <c r="A54" i="11"/>
  <c r="B54" i="11"/>
  <c r="C54" i="11"/>
  <c r="D54" i="11"/>
  <c r="E54" i="11"/>
  <c r="F54" i="11"/>
  <c r="G54" i="11"/>
  <c r="A55" i="11"/>
  <c r="B55" i="11"/>
  <c r="C55" i="11"/>
  <c r="D55" i="11"/>
  <c r="E55" i="11"/>
  <c r="F55" i="11"/>
  <c r="G55" i="11"/>
  <c r="A56" i="11"/>
  <c r="B56" i="11"/>
  <c r="C56" i="11"/>
  <c r="D56" i="11"/>
  <c r="E56" i="11"/>
  <c r="F56" i="11"/>
  <c r="G56" i="11"/>
  <c r="A57" i="11"/>
  <c r="B57" i="11"/>
  <c r="C57" i="11"/>
  <c r="D57" i="11"/>
  <c r="E57" i="11"/>
  <c r="F57" i="11"/>
  <c r="G57" i="11"/>
  <c r="A58" i="11"/>
  <c r="B58" i="11"/>
  <c r="C58" i="11"/>
  <c r="D58" i="11"/>
  <c r="E58" i="11"/>
  <c r="F58" i="11"/>
  <c r="G58" i="11"/>
  <c r="A59" i="11"/>
  <c r="B59" i="11"/>
  <c r="C59" i="11"/>
  <c r="D59" i="11"/>
  <c r="E59" i="11"/>
  <c r="F59" i="11"/>
  <c r="G59" i="11"/>
  <c r="A60" i="11"/>
  <c r="B60" i="11"/>
  <c r="C60" i="11"/>
  <c r="D60" i="11"/>
  <c r="E60" i="11"/>
  <c r="F60" i="11"/>
  <c r="G60" i="11"/>
  <c r="A61" i="11"/>
  <c r="B61" i="11"/>
  <c r="C61" i="11"/>
  <c r="D61" i="11"/>
  <c r="E61" i="11"/>
  <c r="F61" i="11"/>
  <c r="G61" i="11"/>
  <c r="A62" i="11"/>
  <c r="B62" i="11"/>
  <c r="C62" i="11"/>
  <c r="D62" i="11"/>
  <c r="E62" i="11"/>
  <c r="F62" i="11"/>
  <c r="G62" i="11"/>
  <c r="A63" i="11"/>
  <c r="B63" i="11"/>
  <c r="C63" i="11"/>
  <c r="D63" i="11"/>
  <c r="E63" i="11"/>
  <c r="F63" i="11"/>
  <c r="G63" i="11"/>
  <c r="A64" i="11"/>
  <c r="B64" i="11"/>
  <c r="C64" i="11"/>
  <c r="D64" i="11"/>
  <c r="E64" i="11"/>
  <c r="F64" i="11"/>
  <c r="G64" i="11"/>
  <c r="A65" i="11"/>
  <c r="B65" i="11"/>
  <c r="C65" i="11"/>
  <c r="D65" i="11"/>
  <c r="E65" i="11"/>
  <c r="F65" i="11"/>
  <c r="G65" i="11"/>
  <c r="A66" i="11"/>
  <c r="B66" i="11"/>
  <c r="C66" i="11"/>
  <c r="D66" i="11"/>
  <c r="E66" i="11"/>
  <c r="F66" i="11"/>
  <c r="G66" i="11"/>
  <c r="A67" i="11"/>
  <c r="B67" i="11"/>
  <c r="C67" i="11"/>
  <c r="D67" i="11"/>
  <c r="E67" i="11"/>
  <c r="F67" i="11"/>
  <c r="G67" i="11"/>
  <c r="A68" i="11"/>
  <c r="B68" i="11"/>
  <c r="C68" i="11"/>
  <c r="D68" i="11"/>
  <c r="E68" i="11"/>
  <c r="F68" i="11"/>
  <c r="G68" i="11"/>
  <c r="A69" i="11"/>
  <c r="B69" i="11"/>
  <c r="C69" i="11"/>
  <c r="D69" i="11"/>
  <c r="E69" i="11"/>
  <c r="F69" i="11"/>
  <c r="G69" i="11"/>
  <c r="A70" i="11"/>
  <c r="B70" i="11"/>
  <c r="C70" i="11"/>
  <c r="D70" i="11"/>
  <c r="E70" i="11"/>
  <c r="F70" i="11"/>
  <c r="G70" i="11"/>
  <c r="A71" i="11"/>
  <c r="B71" i="11"/>
  <c r="C71" i="11"/>
  <c r="D71" i="11"/>
  <c r="E71" i="11"/>
  <c r="F71" i="11"/>
  <c r="G71" i="11"/>
  <c r="A72" i="11"/>
  <c r="B72" i="11"/>
  <c r="C72" i="11"/>
  <c r="D72" i="11"/>
  <c r="E72" i="11"/>
  <c r="F72" i="11"/>
  <c r="G72" i="11"/>
  <c r="A73" i="11"/>
  <c r="B73" i="11"/>
  <c r="C73" i="11"/>
  <c r="D73" i="11"/>
  <c r="E73" i="11"/>
  <c r="F73" i="11"/>
  <c r="G73" i="11"/>
  <c r="A74" i="11"/>
  <c r="B74" i="11"/>
  <c r="C74" i="11"/>
  <c r="D74" i="11"/>
  <c r="E74" i="11"/>
  <c r="F74" i="11"/>
  <c r="G74" i="11"/>
  <c r="A75" i="11"/>
  <c r="B75" i="11"/>
  <c r="C75" i="11"/>
  <c r="D75" i="11"/>
  <c r="E75" i="11"/>
  <c r="F75" i="11"/>
  <c r="G75" i="11"/>
  <c r="A76" i="11"/>
  <c r="B76" i="11"/>
  <c r="C76" i="11"/>
  <c r="D76" i="11"/>
  <c r="E76" i="11"/>
  <c r="F76" i="11"/>
  <c r="G76" i="11"/>
  <c r="A77" i="11"/>
  <c r="B77" i="11"/>
  <c r="C77" i="11"/>
  <c r="D77" i="11"/>
  <c r="E77" i="11"/>
  <c r="F77" i="11"/>
  <c r="G77" i="11"/>
  <c r="A78" i="11"/>
  <c r="B78" i="11"/>
  <c r="C78" i="11"/>
  <c r="D78" i="11"/>
  <c r="E78" i="11"/>
  <c r="F78" i="11"/>
  <c r="G78" i="11"/>
  <c r="A79" i="11"/>
  <c r="B79" i="11"/>
  <c r="C79" i="11"/>
  <c r="D79" i="11"/>
  <c r="E79" i="11"/>
  <c r="F79" i="11"/>
  <c r="G79" i="11"/>
  <c r="A80" i="11"/>
  <c r="B80" i="11"/>
  <c r="C80" i="11"/>
  <c r="D80" i="11"/>
  <c r="E80" i="11"/>
  <c r="F80" i="11"/>
  <c r="G80" i="11"/>
  <c r="A81" i="11"/>
  <c r="B81" i="11"/>
  <c r="C81" i="11"/>
  <c r="D81" i="11"/>
  <c r="E81" i="11"/>
  <c r="F81" i="11"/>
  <c r="G81" i="11"/>
  <c r="A82" i="11"/>
  <c r="B82" i="11"/>
  <c r="C82" i="11"/>
  <c r="D82" i="11"/>
  <c r="E82" i="11"/>
  <c r="F82" i="11"/>
  <c r="G82" i="11"/>
  <c r="A83" i="11"/>
  <c r="B83" i="11"/>
  <c r="C83" i="11"/>
  <c r="D83" i="11"/>
  <c r="E83" i="11"/>
  <c r="F83" i="11"/>
  <c r="G83" i="11"/>
  <c r="A84" i="11"/>
  <c r="B84" i="11"/>
  <c r="C84" i="11"/>
  <c r="D84" i="11"/>
  <c r="E84" i="11"/>
  <c r="F84" i="11"/>
  <c r="G84" i="11"/>
  <c r="A85" i="11"/>
  <c r="B85" i="11"/>
  <c r="C85" i="11"/>
  <c r="D85" i="11"/>
  <c r="E85" i="11"/>
  <c r="F85" i="11"/>
  <c r="G85" i="11"/>
  <c r="A86" i="11"/>
  <c r="B86" i="11"/>
  <c r="C86" i="11"/>
  <c r="D86" i="11"/>
  <c r="E86" i="11"/>
  <c r="F86" i="11"/>
  <c r="G86" i="11"/>
  <c r="A87" i="11"/>
  <c r="B87" i="11"/>
  <c r="C87" i="11"/>
  <c r="D87" i="11"/>
  <c r="E87" i="11"/>
  <c r="F87" i="11"/>
  <c r="G87" i="11"/>
  <c r="A88" i="11"/>
  <c r="B88" i="11"/>
  <c r="C88" i="11"/>
  <c r="D88" i="11"/>
  <c r="E88" i="11"/>
  <c r="F88" i="11"/>
  <c r="G88" i="11"/>
  <c r="A89" i="11"/>
  <c r="B89" i="11"/>
  <c r="C89" i="11"/>
  <c r="D89" i="11"/>
  <c r="E89" i="11"/>
  <c r="F89" i="11"/>
  <c r="G89" i="11"/>
  <c r="A90" i="11"/>
  <c r="B90" i="11"/>
  <c r="C90" i="11"/>
  <c r="D90" i="11"/>
  <c r="E90" i="11"/>
  <c r="F90" i="11"/>
  <c r="G90" i="11"/>
  <c r="A91" i="11"/>
  <c r="B91" i="11"/>
  <c r="C91" i="11"/>
  <c r="D91" i="11"/>
  <c r="E91" i="11"/>
  <c r="F91" i="11"/>
  <c r="G91" i="11"/>
  <c r="A92" i="11"/>
  <c r="B92" i="11"/>
  <c r="C92" i="11"/>
  <c r="D92" i="11"/>
  <c r="E92" i="11"/>
  <c r="F92" i="11"/>
  <c r="G92" i="11"/>
  <c r="A93" i="11"/>
  <c r="B93" i="11"/>
  <c r="C93" i="11"/>
  <c r="D93" i="11"/>
  <c r="E93" i="11"/>
  <c r="F93" i="11"/>
  <c r="G93" i="11"/>
  <c r="A94" i="11"/>
  <c r="B94" i="11"/>
  <c r="C94" i="11"/>
  <c r="D94" i="11"/>
  <c r="E94" i="11"/>
  <c r="F94" i="11"/>
  <c r="G94" i="11"/>
  <c r="A95" i="11"/>
  <c r="B95" i="11"/>
  <c r="C95" i="11"/>
  <c r="D95" i="11"/>
  <c r="E95" i="11"/>
  <c r="F95" i="11"/>
  <c r="G95" i="11"/>
  <c r="A96" i="11"/>
  <c r="B96" i="11"/>
  <c r="C96" i="11"/>
  <c r="D96" i="11"/>
  <c r="E96" i="11"/>
  <c r="F96" i="11"/>
  <c r="G96" i="11"/>
  <c r="A97" i="11"/>
  <c r="B97" i="11"/>
  <c r="C97" i="11"/>
  <c r="D97" i="11"/>
  <c r="E97" i="11"/>
  <c r="F97" i="11"/>
  <c r="G97" i="11"/>
  <c r="A98" i="11"/>
  <c r="B98" i="11"/>
  <c r="C98" i="11"/>
  <c r="D98" i="11"/>
  <c r="E98" i="11"/>
  <c r="F98" i="11"/>
  <c r="G98" i="11"/>
  <c r="A99" i="11"/>
  <c r="B99" i="11"/>
  <c r="C99" i="11"/>
  <c r="D99" i="11"/>
  <c r="E99" i="11"/>
  <c r="F99" i="11"/>
  <c r="G99" i="11"/>
  <c r="A100" i="11"/>
  <c r="B100" i="11"/>
  <c r="C100" i="11"/>
  <c r="D100" i="11"/>
  <c r="E100" i="11"/>
  <c r="F100" i="11"/>
  <c r="G100" i="11"/>
  <c r="A101" i="11"/>
  <c r="B101" i="11"/>
  <c r="C101" i="11"/>
  <c r="D101" i="11"/>
  <c r="E101" i="11"/>
  <c r="F101" i="11"/>
  <c r="G101" i="11"/>
  <c r="A102" i="11"/>
  <c r="B102" i="11"/>
  <c r="C102" i="11"/>
  <c r="D102" i="11"/>
  <c r="E102" i="11"/>
  <c r="F102" i="11"/>
  <c r="G102" i="11"/>
  <c r="A103" i="11"/>
  <c r="B103" i="11"/>
  <c r="C103" i="11"/>
  <c r="D103" i="11"/>
  <c r="E103" i="11"/>
  <c r="F103" i="11"/>
  <c r="G103" i="11"/>
  <c r="A104" i="11"/>
  <c r="B104" i="11"/>
  <c r="C104" i="11"/>
  <c r="D104" i="11"/>
  <c r="E104" i="11"/>
  <c r="F104" i="11"/>
  <c r="G104" i="11"/>
  <c r="A105" i="11"/>
  <c r="B105" i="11"/>
  <c r="C105" i="11"/>
  <c r="D105" i="11"/>
  <c r="E105" i="11"/>
  <c r="F105" i="11"/>
  <c r="G105" i="11"/>
  <c r="A106" i="11"/>
  <c r="B106" i="11"/>
  <c r="C106" i="11"/>
  <c r="D106" i="11"/>
  <c r="E106" i="11"/>
  <c r="F106" i="11"/>
  <c r="G106" i="11"/>
  <c r="A107" i="11"/>
  <c r="B107" i="11"/>
  <c r="C107" i="11"/>
  <c r="D107" i="11"/>
  <c r="E107" i="11"/>
  <c r="F107" i="11"/>
  <c r="G107" i="11"/>
  <c r="A108" i="11"/>
  <c r="B108" i="11"/>
  <c r="C108" i="11"/>
  <c r="D108" i="11"/>
  <c r="E108" i="11"/>
  <c r="F108" i="11"/>
  <c r="G108" i="11"/>
  <c r="A109" i="11"/>
  <c r="B109" i="11"/>
  <c r="C109" i="11"/>
  <c r="D109" i="11"/>
  <c r="E109" i="11"/>
  <c r="F109" i="11"/>
  <c r="G109" i="11"/>
  <c r="A110" i="11"/>
  <c r="B110" i="11"/>
  <c r="C110" i="11"/>
  <c r="D110" i="11"/>
  <c r="E110" i="11"/>
  <c r="F110" i="11"/>
  <c r="G110" i="11"/>
  <c r="A111" i="11"/>
  <c r="B111" i="11"/>
  <c r="C111" i="11"/>
  <c r="D111" i="11"/>
  <c r="E111" i="11"/>
  <c r="F111" i="11"/>
  <c r="G111" i="11"/>
  <c r="A112" i="11"/>
  <c r="B112" i="11"/>
  <c r="C112" i="11"/>
  <c r="D112" i="11"/>
  <c r="E112" i="11"/>
  <c r="F112" i="11"/>
  <c r="G112" i="11"/>
  <c r="A113" i="11"/>
  <c r="B113" i="11"/>
  <c r="C113" i="11"/>
  <c r="D113" i="11"/>
  <c r="E113" i="11"/>
  <c r="F113" i="11"/>
  <c r="G113" i="11"/>
  <c r="A114" i="11"/>
  <c r="B114" i="11"/>
  <c r="C114" i="11"/>
  <c r="D114" i="11"/>
  <c r="E114" i="11"/>
  <c r="F114" i="11"/>
  <c r="G114" i="11"/>
  <c r="A115" i="11"/>
  <c r="B115" i="11"/>
  <c r="C115" i="11"/>
  <c r="D115" i="11"/>
  <c r="E115" i="11"/>
  <c r="F115" i="11"/>
  <c r="G115" i="11"/>
  <c r="A116" i="11"/>
  <c r="B116" i="11"/>
  <c r="C116" i="11"/>
  <c r="D116" i="11"/>
  <c r="E116" i="11"/>
  <c r="F116" i="11"/>
  <c r="G116" i="11"/>
  <c r="A117" i="11"/>
  <c r="B117" i="11"/>
  <c r="C117" i="11"/>
  <c r="D117" i="11"/>
  <c r="E117" i="11"/>
  <c r="F117" i="11"/>
  <c r="G117" i="11"/>
  <c r="A118" i="11"/>
  <c r="B118" i="11"/>
  <c r="C118" i="11"/>
  <c r="D118" i="11"/>
  <c r="E118" i="11"/>
  <c r="F118" i="11"/>
  <c r="G118" i="11"/>
  <c r="A119" i="11"/>
  <c r="B119" i="11"/>
  <c r="C119" i="11"/>
  <c r="D119" i="11"/>
  <c r="E119" i="11"/>
  <c r="F119" i="11"/>
  <c r="G119" i="11"/>
  <c r="A120" i="11"/>
  <c r="B120" i="11"/>
  <c r="C120" i="11"/>
  <c r="D120" i="11"/>
  <c r="E120" i="11"/>
  <c r="F120" i="11"/>
  <c r="G120" i="11"/>
  <c r="A121" i="11"/>
  <c r="B121" i="11"/>
  <c r="C121" i="11"/>
  <c r="D121" i="11"/>
  <c r="E121" i="11"/>
  <c r="F121" i="11"/>
  <c r="G121" i="11"/>
  <c r="A122" i="11"/>
  <c r="B122" i="11"/>
  <c r="C122" i="11"/>
  <c r="D122" i="11"/>
  <c r="E122" i="11"/>
  <c r="F122" i="11"/>
  <c r="G122" i="11"/>
  <c r="A123" i="11"/>
  <c r="B123" i="11"/>
  <c r="C123" i="11"/>
  <c r="D123" i="11"/>
  <c r="E123" i="11"/>
  <c r="F123" i="11"/>
  <c r="G123" i="11"/>
  <c r="A124" i="11"/>
  <c r="B124" i="11"/>
  <c r="C124" i="11"/>
  <c r="D124" i="11"/>
  <c r="E124" i="11"/>
  <c r="F124" i="11"/>
  <c r="G124" i="11"/>
  <c r="A125" i="11"/>
  <c r="B125" i="11"/>
  <c r="C125" i="11"/>
  <c r="D125" i="11"/>
  <c r="E125" i="11"/>
  <c r="F125" i="11"/>
  <c r="G125" i="11"/>
  <c r="A126" i="11"/>
  <c r="B126" i="11"/>
  <c r="C126" i="11"/>
  <c r="D126" i="11"/>
  <c r="E126" i="11"/>
  <c r="F126" i="11"/>
  <c r="G126" i="11"/>
  <c r="A127" i="11"/>
  <c r="B127" i="11"/>
  <c r="C127" i="11"/>
  <c r="D127" i="11"/>
  <c r="E127" i="11"/>
  <c r="F127" i="11"/>
  <c r="G127" i="11"/>
  <c r="A128" i="11"/>
  <c r="B128" i="11"/>
  <c r="C128" i="11"/>
  <c r="D128" i="11"/>
  <c r="E128" i="11"/>
  <c r="F128" i="11"/>
  <c r="G128" i="11"/>
  <c r="A129" i="11"/>
  <c r="B129" i="11"/>
  <c r="C129" i="11"/>
  <c r="D129" i="11"/>
  <c r="E129" i="11"/>
  <c r="F129" i="11"/>
  <c r="G129" i="11"/>
  <c r="A130" i="11"/>
  <c r="B130" i="11"/>
  <c r="C130" i="11"/>
  <c r="D130" i="11"/>
  <c r="E130" i="11"/>
  <c r="F130" i="11"/>
  <c r="G130" i="11"/>
  <c r="J339" i="11"/>
  <c r="J46" i="11"/>
  <c r="K46" i="11" s="1"/>
  <c r="J47" i="11"/>
  <c r="J50" i="11"/>
  <c r="K50" i="11" s="1"/>
  <c r="J52" i="11"/>
  <c r="J86" i="11"/>
  <c r="K86" i="11" s="1"/>
  <c r="J134" i="11"/>
  <c r="J199" i="11"/>
  <c r="K199" i="11" s="1"/>
  <c r="J340" i="11"/>
  <c r="J51" i="11"/>
  <c r="J53" i="11"/>
  <c r="J77" i="11"/>
  <c r="J135" i="11"/>
  <c r="K135" i="11" s="1"/>
  <c r="J359" i="11"/>
  <c r="K359" i="11" s="1"/>
  <c r="J193" i="11"/>
  <c r="K193" i="11" s="1"/>
  <c r="J154" i="11"/>
  <c r="J632" i="11"/>
  <c r="J136" i="11"/>
  <c r="K136" i="11" s="1"/>
  <c r="J385" i="11"/>
  <c r="K385" i="11" s="1"/>
  <c r="J338" i="11"/>
  <c r="J200" i="11"/>
  <c r="J314" i="11"/>
  <c r="J306" i="11"/>
  <c r="J580" i="11"/>
  <c r="AH195" i="5"/>
  <c r="AI195" i="5" s="1"/>
  <c r="AN195" i="5" s="1"/>
  <c r="H666" i="11" l="1" a="1"/>
  <c r="H666" i="11" s="1"/>
  <c r="H530" i="11" a="1"/>
  <c r="H530" i="11" s="1"/>
  <c r="K154" i="11"/>
  <c r="L154" i="11"/>
  <c r="I62" i="11" a="1"/>
  <c r="I62" i="11" s="1"/>
  <c r="H62" i="11" a="1"/>
  <c r="H62" i="11" s="1"/>
  <c r="I17" i="11" a="1"/>
  <c r="I17" i="11" s="1"/>
  <c r="H17" i="11" a="1"/>
  <c r="H17" i="11" s="1"/>
  <c r="I16" i="11" a="1"/>
  <c r="I16" i="11" s="1"/>
  <c r="H16" i="11" a="1"/>
  <c r="H16" i="11" s="1"/>
  <c r="I166" i="11" a="1"/>
  <c r="I166" i="11" s="1"/>
  <c r="H166" i="11" a="1"/>
  <c r="H166" i="11" s="1"/>
  <c r="K77" i="11"/>
  <c r="L77" i="11"/>
  <c r="H66" i="11" a="1"/>
  <c r="H66" i="11" s="1"/>
  <c r="I66" i="11" a="1"/>
  <c r="I66" i="11" s="1"/>
  <c r="I34" i="11" a="1"/>
  <c r="I34" i="11" s="1"/>
  <c r="H34" i="11" a="1"/>
  <c r="H34" i="11" s="1"/>
  <c r="H167" i="11" a="1"/>
  <c r="H167" i="11" s="1"/>
  <c r="I167" i="11" a="1"/>
  <c r="I167" i="11" s="1"/>
  <c r="I152" i="11" a="1"/>
  <c r="I152" i="11" s="1"/>
  <c r="H152" i="11" a="1"/>
  <c r="H152" i="11" s="1"/>
  <c r="I151" i="11" a="1"/>
  <c r="I151" i="11" s="1"/>
  <c r="H151" i="11" a="1"/>
  <c r="H151" i="11" s="1"/>
  <c r="I150" i="11" a="1"/>
  <c r="I150" i="11" s="1"/>
  <c r="H150" i="11" a="1"/>
  <c r="H150" i="11" s="1"/>
  <c r="I146" i="11" a="1"/>
  <c r="I146" i="11" s="1"/>
  <c r="H146" i="11" a="1"/>
  <c r="H146" i="11" s="1"/>
  <c r="I145" i="11" a="1"/>
  <c r="I145" i="11" s="1"/>
  <c r="H145" i="11" a="1"/>
  <c r="H145" i="11" s="1"/>
  <c r="I331" i="11" a="1"/>
  <c r="I331" i="11" s="1"/>
  <c r="H331" i="11" a="1"/>
  <c r="H331" i="11" s="1"/>
  <c r="I70" i="11" a="1"/>
  <c r="I70" i="11" s="1"/>
  <c r="H70" i="11" a="1"/>
  <c r="H70" i="11" s="1"/>
  <c r="I7" i="11" a="1"/>
  <c r="I7" i="11" s="1"/>
  <c r="H7" i="11" a="1"/>
  <c r="H7" i="11" s="1"/>
  <c r="I168" i="11" a="1"/>
  <c r="I168" i="11" s="1"/>
  <c r="H168" i="11" a="1"/>
  <c r="H168" i="11" s="1"/>
  <c r="I157" i="11" a="1"/>
  <c r="I157" i="11" s="1"/>
  <c r="H157" i="11" a="1"/>
  <c r="H157" i="11" s="1"/>
  <c r="K200" i="11"/>
  <c r="L200" i="11"/>
  <c r="I74" i="11" a="1"/>
  <c r="I74" i="11" s="1"/>
  <c r="H74" i="11" a="1"/>
  <c r="H74" i="11" s="1"/>
  <c r="I42" i="11" a="1"/>
  <c r="I42" i="11" s="1"/>
  <c r="H42" i="11" a="1"/>
  <c r="H42" i="11" s="1"/>
  <c r="I333" i="11" a="1"/>
  <c r="I333" i="11" s="1"/>
  <c r="H333" i="11" a="1"/>
  <c r="H333" i="11" s="1"/>
  <c r="K53" i="11"/>
  <c r="L53" i="11"/>
  <c r="K339" i="11"/>
  <c r="L339" i="11"/>
  <c r="H123" i="11" a="1"/>
  <c r="H123" i="11" s="1"/>
  <c r="I123" i="11" a="1"/>
  <c r="I123" i="11" s="1"/>
  <c r="I119" i="11" a="1"/>
  <c r="I119" i="11" s="1"/>
  <c r="H119" i="11" a="1"/>
  <c r="H119" i="11" s="1"/>
  <c r="I115" i="11" a="1"/>
  <c r="I115" i="11" s="1"/>
  <c r="H115" i="11" a="1"/>
  <c r="H115" i="11" s="1"/>
  <c r="I111" i="11" a="1"/>
  <c r="I111" i="11" s="1"/>
  <c r="H111" i="11" a="1"/>
  <c r="H111" i="11" s="1"/>
  <c r="I107" i="11" a="1"/>
  <c r="I107" i="11" s="1"/>
  <c r="H107" i="11" a="1"/>
  <c r="H107" i="11" s="1"/>
  <c r="H103" i="11" a="1"/>
  <c r="H103" i="11" s="1"/>
  <c r="I103" i="11" a="1"/>
  <c r="I103" i="11" s="1"/>
  <c r="I99" i="11" a="1"/>
  <c r="I99" i="11" s="1"/>
  <c r="H99" i="11" a="1"/>
  <c r="H99" i="11" s="1"/>
  <c r="I95" i="11" a="1"/>
  <c r="I95" i="11" s="1"/>
  <c r="H95" i="11" a="1"/>
  <c r="H95" i="11" s="1"/>
  <c r="I91" i="11" a="1"/>
  <c r="I91" i="11" s="1"/>
  <c r="H91" i="11" a="1"/>
  <c r="H91" i="11" s="1"/>
  <c r="I87" i="11" a="1"/>
  <c r="I87" i="11" s="1"/>
  <c r="H87" i="11" a="1"/>
  <c r="H87" i="11" s="1"/>
  <c r="H83" i="11" a="1"/>
  <c r="H83" i="11" s="1"/>
  <c r="I83" i="11" a="1"/>
  <c r="I83" i="11" s="1"/>
  <c r="I78" i="11" a="1"/>
  <c r="I78" i="11" s="1"/>
  <c r="H78" i="11" a="1"/>
  <c r="H78" i="11" s="1"/>
  <c r="K47" i="11"/>
  <c r="L47" i="11"/>
  <c r="L46" i="11"/>
  <c r="I46" i="11" a="1"/>
  <c r="I46" i="11" s="1"/>
  <c r="H46" i="11" a="1"/>
  <c r="H46" i="11" s="1"/>
  <c r="I181" i="11" a="1"/>
  <c r="I181" i="11" s="1"/>
  <c r="H181" i="11" a="1"/>
  <c r="H181" i="11" s="1"/>
  <c r="K314" i="11"/>
  <c r="L314" i="11"/>
  <c r="I594" i="11" a="1"/>
  <c r="I594" i="11" s="1"/>
  <c r="H594" i="11" a="1"/>
  <c r="H594" i="11" s="1"/>
  <c r="I537" i="11" a="1"/>
  <c r="I537" i="11" s="1"/>
  <c r="H537" i="11" a="1"/>
  <c r="H537" i="11" s="1"/>
  <c r="H6" i="11" a="1"/>
  <c r="H6" i="11" s="1"/>
  <c r="I6" i="11" a="1"/>
  <c r="I6" i="11" s="1"/>
  <c r="L340" i="11"/>
  <c r="K340" i="11"/>
  <c r="I127" i="11" a="1"/>
  <c r="I127" i="11" s="1"/>
  <c r="H127" i="11" a="1"/>
  <c r="H127" i="11" s="1"/>
  <c r="I130" i="11" a="1"/>
  <c r="I130" i="11" s="1"/>
  <c r="H130" i="11" a="1"/>
  <c r="H130" i="11" s="1"/>
  <c r="I126" i="11" a="1"/>
  <c r="I126" i="11" s="1"/>
  <c r="H126" i="11" a="1"/>
  <c r="H126" i="11" s="1"/>
  <c r="I122" i="11" a="1"/>
  <c r="I122" i="11" s="1"/>
  <c r="H122" i="11" a="1"/>
  <c r="H122" i="11" s="1"/>
  <c r="I118" i="11" a="1"/>
  <c r="I118" i="11" s="1"/>
  <c r="H118" i="11" a="1"/>
  <c r="H118" i="11" s="1"/>
  <c r="I114" i="11" a="1"/>
  <c r="I114" i="11" s="1"/>
  <c r="H114" i="11" a="1"/>
  <c r="H114" i="11" s="1"/>
  <c r="H110" i="11" a="1"/>
  <c r="H110" i="11" s="1"/>
  <c r="I110" i="11" a="1"/>
  <c r="I110" i="11" s="1"/>
  <c r="I106" i="11" a="1"/>
  <c r="I106" i="11" s="1"/>
  <c r="H106" i="11" a="1"/>
  <c r="H106" i="11" s="1"/>
  <c r="I102" i="11" a="1"/>
  <c r="I102" i="11" s="1"/>
  <c r="H102" i="11" a="1"/>
  <c r="H102" i="11" s="1"/>
  <c r="I98" i="11" a="1"/>
  <c r="I98" i="11" s="1"/>
  <c r="H98" i="11" a="1"/>
  <c r="H98" i="11" s="1"/>
  <c r="I94" i="11" a="1"/>
  <c r="I94" i="11" s="1"/>
  <c r="H94" i="11" a="1"/>
  <c r="H94" i="11" s="1"/>
  <c r="H90" i="11" a="1"/>
  <c r="H90" i="11" s="1"/>
  <c r="I90" i="11" a="1"/>
  <c r="I90" i="11" s="1"/>
  <c r="L86" i="11"/>
  <c r="I86" i="11" a="1"/>
  <c r="I86" i="11" s="1"/>
  <c r="H86" i="11" a="1"/>
  <c r="H86" i="11" s="1"/>
  <c r="I82" i="11" a="1"/>
  <c r="I82" i="11" s="1"/>
  <c r="H82" i="11" a="1"/>
  <c r="H82" i="11" s="1"/>
  <c r="K51" i="11"/>
  <c r="L51" i="11"/>
  <c r="L50" i="11"/>
  <c r="I50" i="11" a="1"/>
  <c r="I50" i="11" s="1"/>
  <c r="H50" i="11" a="1"/>
  <c r="H50" i="11" s="1"/>
  <c r="I27" i="11" a="1"/>
  <c r="I27" i="11" s="1"/>
  <c r="H27" i="11" a="1"/>
  <c r="H27" i="11" s="1"/>
  <c r="I26" i="11" a="1"/>
  <c r="I26" i="11" s="1"/>
  <c r="H26" i="11" a="1"/>
  <c r="H26" i="11" s="1"/>
  <c r="I141" i="11" a="1"/>
  <c r="I141" i="11" s="1"/>
  <c r="H141" i="11" a="1"/>
  <c r="H141" i="11" s="1"/>
  <c r="I288" i="11" a="1"/>
  <c r="I288" i="11" s="1"/>
  <c r="H288" i="11" a="1"/>
  <c r="H288" i="11" s="1"/>
  <c r="I38" i="11" a="1"/>
  <c r="I38" i="11" s="1"/>
  <c r="H38" i="11" a="1"/>
  <c r="H38" i="11" s="1"/>
  <c r="I255" i="11" a="1"/>
  <c r="I255" i="11" s="1"/>
  <c r="H255" i="11" a="1"/>
  <c r="H255" i="11" s="1"/>
  <c r="I394" i="11" a="1"/>
  <c r="I394" i="11" s="1"/>
  <c r="H394" i="11" a="1"/>
  <c r="H394" i="11" s="1"/>
  <c r="I54" i="11" a="1"/>
  <c r="I54" i="11" s="1"/>
  <c r="H54" i="11" a="1"/>
  <c r="H54" i="11" s="1"/>
  <c r="I161" i="11" a="1"/>
  <c r="I161" i="11" s="1"/>
  <c r="H161" i="11" a="1"/>
  <c r="H161" i="11" s="1"/>
  <c r="K52" i="11"/>
  <c r="L52" i="11"/>
  <c r="I254" i="11" a="1"/>
  <c r="I254" i="11" s="1"/>
  <c r="H254" i="11" a="1"/>
  <c r="H254" i="11" s="1"/>
  <c r="K338" i="11"/>
  <c r="L338" i="11"/>
  <c r="K134" i="11"/>
  <c r="L134" i="11"/>
  <c r="I58" i="11" a="1"/>
  <c r="I58" i="11" s="1"/>
  <c r="H58" i="11" a="1"/>
  <c r="H58" i="11" s="1"/>
  <c r="I165" i="11" a="1"/>
  <c r="I165" i="11" s="1"/>
  <c r="H165" i="11" a="1"/>
  <c r="H165" i="11" s="1"/>
  <c r="I162" i="11" a="1"/>
  <c r="I162" i="11" s="1"/>
  <c r="H162" i="11" a="1"/>
  <c r="H162" i="11" s="1"/>
  <c r="I143" i="11" a="1"/>
  <c r="I143" i="11" s="1"/>
  <c r="H143" i="11" a="1"/>
  <c r="H143" i="11" s="1"/>
  <c r="I349" i="11" a="1"/>
  <c r="I349" i="11" s="1"/>
  <c r="H349" i="11" a="1"/>
  <c r="H349" i="11" s="1"/>
  <c r="I293" i="11" a="1"/>
  <c r="I293" i="11" s="1"/>
  <c r="H293" i="11" a="1"/>
  <c r="H293" i="11" s="1"/>
  <c r="I595" i="11" a="1"/>
  <c r="I595" i="11" s="1"/>
  <c r="H595" i="11" a="1"/>
  <c r="H595" i="11" s="1"/>
  <c r="I33" i="11" a="1"/>
  <c r="I33" i="11" s="1"/>
  <c r="H33" i="11" a="1"/>
  <c r="H33" i="11" s="1"/>
  <c r="I25" i="11" a="1"/>
  <c r="I25" i="11" s="1"/>
  <c r="H25" i="11" a="1"/>
  <c r="H25" i="11" s="1"/>
  <c r="I15" i="11" a="1"/>
  <c r="I15" i="11" s="1"/>
  <c r="H15" i="11" a="1"/>
  <c r="H15" i="11" s="1"/>
  <c r="H197" i="11" a="1"/>
  <c r="H197" i="11" s="1"/>
  <c r="I197" i="11" a="1"/>
  <c r="I197" i="11" s="1"/>
  <c r="I184" i="11" a="1"/>
  <c r="I184" i="11" s="1"/>
  <c r="H184" i="11" a="1"/>
  <c r="H184" i="11" s="1"/>
  <c r="I183" i="11" a="1"/>
  <c r="I183" i="11" s="1"/>
  <c r="H183" i="11" a="1"/>
  <c r="H183" i="11" s="1"/>
  <c r="I182" i="11" a="1"/>
  <c r="I182" i="11" s="1"/>
  <c r="H182" i="11" a="1"/>
  <c r="H182" i="11" s="1"/>
  <c r="I178" i="11" a="1"/>
  <c r="I178" i="11" s="1"/>
  <c r="H178" i="11" a="1"/>
  <c r="H178" i="11" s="1"/>
  <c r="I177" i="11" a="1"/>
  <c r="I177" i="11" s="1"/>
  <c r="H177" i="11" a="1"/>
  <c r="H177" i="11" s="1"/>
  <c r="I173" i="11" a="1"/>
  <c r="I173" i="11" s="1"/>
  <c r="H173" i="11" a="1"/>
  <c r="H173" i="11" s="1"/>
  <c r="I160" i="11" a="1"/>
  <c r="I160" i="11" s="1"/>
  <c r="H160" i="11" a="1"/>
  <c r="H160" i="11" s="1"/>
  <c r="I159" i="11" a="1"/>
  <c r="I159" i="11" s="1"/>
  <c r="H159" i="11" a="1"/>
  <c r="H159" i="11" s="1"/>
  <c r="I158" i="11" a="1"/>
  <c r="I158" i="11" s="1"/>
  <c r="H158" i="11" a="1"/>
  <c r="H158" i="11" s="1"/>
  <c r="I350" i="11" a="1"/>
  <c r="I350" i="11" s="1"/>
  <c r="H350" i="11" a="1"/>
  <c r="H350" i="11" s="1"/>
  <c r="I294" i="11" a="1"/>
  <c r="I294" i="11" s="1"/>
  <c r="H294" i="11" a="1"/>
  <c r="H294" i="11" s="1"/>
  <c r="I423" i="11" a="1"/>
  <c r="I423" i="11" s="1"/>
  <c r="H423" i="11" a="1"/>
  <c r="H423" i="11" s="1"/>
  <c r="I596" i="11" a="1"/>
  <c r="I596" i="11" s="1"/>
  <c r="H596" i="11" a="1"/>
  <c r="H596" i="11" s="1"/>
  <c r="I551" i="11" a="1"/>
  <c r="I551" i="11" s="1"/>
  <c r="H551" i="11" a="1"/>
  <c r="H551" i="11" s="1"/>
  <c r="I668" i="11" a="1"/>
  <c r="I668" i="11" s="1"/>
  <c r="H668" i="11" a="1"/>
  <c r="H668" i="11" s="1"/>
  <c r="I142" i="11" a="1"/>
  <c r="I142" i="11" s="1"/>
  <c r="H142" i="11" a="1"/>
  <c r="H142" i="11" s="1"/>
  <c r="I541" i="11" a="1"/>
  <c r="I541" i="11" s="1"/>
  <c r="H541" i="11" a="1"/>
  <c r="H541" i="11" s="1"/>
  <c r="L580" i="11"/>
  <c r="K580" i="11"/>
  <c r="I129" i="11" a="1"/>
  <c r="I129" i="11" s="1"/>
  <c r="H129" i="11" a="1"/>
  <c r="H129" i="11" s="1"/>
  <c r="I125" i="11" a="1"/>
  <c r="I125" i="11" s="1"/>
  <c r="H125" i="11" a="1"/>
  <c r="H125" i="11" s="1"/>
  <c r="I121" i="11" a="1"/>
  <c r="I121" i="11" s="1"/>
  <c r="H121" i="11" a="1"/>
  <c r="H121" i="11" s="1"/>
  <c r="I117" i="11" a="1"/>
  <c r="I117" i="11" s="1"/>
  <c r="H117" i="11" a="1"/>
  <c r="H117" i="11" s="1"/>
  <c r="I113" i="11" a="1"/>
  <c r="I113" i="11" s="1"/>
  <c r="H113" i="11" a="1"/>
  <c r="H113" i="11" s="1"/>
  <c r="I109" i="11" a="1"/>
  <c r="I109" i="11" s="1"/>
  <c r="H109" i="11" a="1"/>
  <c r="H109" i="11" s="1"/>
  <c r="I105" i="11" a="1"/>
  <c r="I105" i="11" s="1"/>
  <c r="H105" i="11" a="1"/>
  <c r="H105" i="11" s="1"/>
  <c r="I101" i="11" a="1"/>
  <c r="I101" i="11" s="1"/>
  <c r="H101" i="11" a="1"/>
  <c r="H101" i="11" s="1"/>
  <c r="H97" i="11" a="1"/>
  <c r="H97" i="11" s="1"/>
  <c r="I97" i="11" a="1"/>
  <c r="I97" i="11" s="1"/>
  <c r="H93" i="11" a="1"/>
  <c r="H93" i="11" s="1"/>
  <c r="I93" i="11" a="1"/>
  <c r="I93" i="11" s="1"/>
  <c r="I89" i="11" a="1"/>
  <c r="I89" i="11" s="1"/>
  <c r="H89" i="11" a="1"/>
  <c r="H89" i="11" s="1"/>
  <c r="I85" i="11" a="1"/>
  <c r="I85" i="11" s="1"/>
  <c r="H85" i="11" a="1"/>
  <c r="H85" i="11" s="1"/>
  <c r="I81" i="11" a="1"/>
  <c r="I81" i="11" s="1"/>
  <c r="H81" i="11" a="1"/>
  <c r="H81" i="11" s="1"/>
  <c r="I77" i="11" a="1"/>
  <c r="I77" i="11" s="1"/>
  <c r="H77" i="11" a="1"/>
  <c r="H77" i="11" s="1"/>
  <c r="I73" i="11" a="1"/>
  <c r="I73" i="11" s="1"/>
  <c r="H73" i="11" a="1"/>
  <c r="H73" i="11" s="1"/>
  <c r="H69" i="11" a="1"/>
  <c r="H69" i="11" s="1"/>
  <c r="I69" i="11" a="1"/>
  <c r="I69" i="11" s="1"/>
  <c r="I65" i="11" a="1"/>
  <c r="I65" i="11" s="1"/>
  <c r="H65" i="11" a="1"/>
  <c r="H65" i="11" s="1"/>
  <c r="I61" i="11" a="1"/>
  <c r="I61" i="11" s="1"/>
  <c r="H61" i="11" a="1"/>
  <c r="H61" i="11" s="1"/>
  <c r="I57" i="11" a="1"/>
  <c r="I57" i="11" s="1"/>
  <c r="H57" i="11" a="1"/>
  <c r="H57" i="11" s="1"/>
  <c r="I53" i="11" a="1"/>
  <c r="I53" i="11" s="1"/>
  <c r="H53" i="11" a="1"/>
  <c r="H53" i="11" s="1"/>
  <c r="I49" i="11" a="1"/>
  <c r="I49" i="11" s="1"/>
  <c r="H49" i="11" a="1"/>
  <c r="H49" i="11" s="1"/>
  <c r="I45" i="11" a="1"/>
  <c r="I45" i="11" s="1"/>
  <c r="H45" i="11" a="1"/>
  <c r="H45" i="11" s="1"/>
  <c r="I41" i="11" a="1"/>
  <c r="I41" i="11" s="1"/>
  <c r="H41" i="11" a="1"/>
  <c r="H41" i="11" s="1"/>
  <c r="I37" i="11" a="1"/>
  <c r="I37" i="11" s="1"/>
  <c r="H37" i="11" a="1"/>
  <c r="H37" i="11" s="1"/>
  <c r="I32" i="11" a="1"/>
  <c r="I32" i="11" s="1"/>
  <c r="H32" i="11" a="1"/>
  <c r="H32" i="11" s="1"/>
  <c r="I24" i="11" a="1"/>
  <c r="I24" i="11" s="1"/>
  <c r="H24" i="11" a="1"/>
  <c r="H24" i="11" s="1"/>
  <c r="I13" i="11" a="1"/>
  <c r="I13" i="11" s="1"/>
  <c r="H13" i="11" a="1"/>
  <c r="H13" i="11" s="1"/>
  <c r="I213" i="11" a="1"/>
  <c r="I213" i="11" s="1"/>
  <c r="H213" i="11" a="1"/>
  <c r="H213" i="11" s="1"/>
  <c r="I200" i="11" a="1"/>
  <c r="I200" i="11" s="1"/>
  <c r="H200" i="11" a="1"/>
  <c r="H200" i="11" s="1"/>
  <c r="I199" i="11" a="1"/>
  <c r="I199" i="11" s="1"/>
  <c r="H199" i="11" a="1"/>
  <c r="H199" i="11" s="1"/>
  <c r="I198" i="11" a="1"/>
  <c r="I198" i="11" s="1"/>
  <c r="H198" i="11" a="1"/>
  <c r="H198" i="11" s="1"/>
  <c r="I194" i="11" a="1"/>
  <c r="I194" i="11" s="1"/>
  <c r="H194" i="11" a="1"/>
  <c r="H194" i="11" s="1"/>
  <c r="I193" i="11" a="1"/>
  <c r="I193" i="11" s="1"/>
  <c r="H193" i="11" a="1"/>
  <c r="H193" i="11" s="1"/>
  <c r="I189" i="11" a="1"/>
  <c r="I189" i="11" s="1"/>
  <c r="H189" i="11" a="1"/>
  <c r="H189" i="11" s="1"/>
  <c r="I176" i="11" a="1"/>
  <c r="I176" i="11" s="1"/>
  <c r="H176" i="11" a="1"/>
  <c r="H176" i="11" s="1"/>
  <c r="I175" i="11" a="1"/>
  <c r="I175" i="11" s="1"/>
  <c r="H175" i="11" a="1"/>
  <c r="H175" i="11" s="1"/>
  <c r="H174" i="11" a="1"/>
  <c r="H174" i="11" s="1"/>
  <c r="I174" i="11" a="1"/>
  <c r="I174" i="11" s="1"/>
  <c r="I356" i="11" a="1"/>
  <c r="I356" i="11" s="1"/>
  <c r="H356" i="11" a="1"/>
  <c r="H356" i="11" s="1"/>
  <c r="I280" i="11" a="1"/>
  <c r="I280" i="11" s="1"/>
  <c r="H280" i="11" a="1"/>
  <c r="H280" i="11" s="1"/>
  <c r="I260" i="11" a="1"/>
  <c r="I260" i="11" s="1"/>
  <c r="H260" i="11" a="1"/>
  <c r="H260" i="11" s="1"/>
  <c r="I462" i="11" a="1"/>
  <c r="I462" i="11" s="1"/>
  <c r="H462" i="11" a="1"/>
  <c r="H462" i="11" s="1"/>
  <c r="H425" i="11" a="1"/>
  <c r="H425" i="11" s="1"/>
  <c r="I425" i="11" a="1"/>
  <c r="I425" i="11" s="1"/>
  <c r="I598" i="11" a="1"/>
  <c r="I598" i="11" s="1"/>
  <c r="H598" i="11" a="1"/>
  <c r="H598" i="11" s="1"/>
  <c r="I544" i="11" a="1"/>
  <c r="I544" i="11" s="1"/>
  <c r="H544" i="11" a="1"/>
  <c r="H544" i="11" s="1"/>
  <c r="I144" i="11" a="1"/>
  <c r="I144" i="11" s="1"/>
  <c r="H144" i="11" a="1"/>
  <c r="H144" i="11" s="1"/>
  <c r="I334" i="11" a="1"/>
  <c r="I334" i="11" s="1"/>
  <c r="H334" i="11" a="1"/>
  <c r="H334" i="11" s="1"/>
  <c r="K306" i="11"/>
  <c r="L306" i="11"/>
  <c r="I31" i="11" a="1"/>
  <c r="I31" i="11" s="1"/>
  <c r="H31" i="11" a="1"/>
  <c r="H31" i="11" s="1"/>
  <c r="I23" i="11" a="1"/>
  <c r="I23" i="11" s="1"/>
  <c r="H23" i="11" a="1"/>
  <c r="H23" i="11" s="1"/>
  <c r="I12" i="11" a="1"/>
  <c r="I12" i="11" s="1"/>
  <c r="H12" i="11" a="1"/>
  <c r="H12" i="11" s="1"/>
  <c r="I229" i="11" a="1"/>
  <c r="I229" i="11" s="1"/>
  <c r="H229" i="11" a="1"/>
  <c r="H229" i="11" s="1"/>
  <c r="I216" i="11" a="1"/>
  <c r="I216" i="11" s="1"/>
  <c r="H216" i="11" a="1"/>
  <c r="H216" i="11" s="1"/>
  <c r="I215" i="11" a="1"/>
  <c r="I215" i="11" s="1"/>
  <c r="H215" i="11" a="1"/>
  <c r="H215" i="11" s="1"/>
  <c r="H214" i="11" a="1"/>
  <c r="H214" i="11" s="1"/>
  <c r="I214" i="11" a="1"/>
  <c r="I214" i="11" s="1"/>
  <c r="I210" i="11" a="1"/>
  <c r="I210" i="11" s="1"/>
  <c r="H210" i="11" a="1"/>
  <c r="H210" i="11" s="1"/>
  <c r="I209" i="11" a="1"/>
  <c r="I209" i="11" s="1"/>
  <c r="H209" i="11" a="1"/>
  <c r="H209" i="11" s="1"/>
  <c r="I205" i="11" a="1"/>
  <c r="I205" i="11" s="1"/>
  <c r="H205" i="11" a="1"/>
  <c r="H205" i="11" s="1"/>
  <c r="I192" i="11" a="1"/>
  <c r="I192" i="11" s="1"/>
  <c r="H192" i="11" a="1"/>
  <c r="H192" i="11" s="1"/>
  <c r="H191" i="11" a="1"/>
  <c r="H191" i="11" s="1"/>
  <c r="I191" i="11" a="1"/>
  <c r="I191" i="11" s="1"/>
  <c r="I190" i="11" a="1"/>
  <c r="I190" i="11" s="1"/>
  <c r="H190" i="11" a="1"/>
  <c r="H190" i="11" s="1"/>
  <c r="I324" i="11" a="1"/>
  <c r="I324" i="11" s="1"/>
  <c r="H324" i="11" a="1"/>
  <c r="H324" i="11" s="1"/>
  <c r="I261" i="11" a="1"/>
  <c r="I261" i="11" s="1"/>
  <c r="H261" i="11" a="1"/>
  <c r="H261" i="11" s="1"/>
  <c r="I488" i="11" a="1"/>
  <c r="I488" i="11" s="1"/>
  <c r="H488" i="11" a="1"/>
  <c r="H488" i="11" s="1"/>
  <c r="I463" i="11" a="1"/>
  <c r="I463" i="11" s="1"/>
  <c r="H463" i="11" a="1"/>
  <c r="H463" i="11" s="1"/>
  <c r="I426" i="11" a="1"/>
  <c r="I426" i="11" s="1"/>
  <c r="H426" i="11" a="1"/>
  <c r="H426" i="11" s="1"/>
  <c r="I124" i="11" a="1"/>
  <c r="I124" i="11" s="1"/>
  <c r="H124" i="11" a="1"/>
  <c r="H124" i="11" s="1"/>
  <c r="I104" i="11" a="1"/>
  <c r="I104" i="11" s="1"/>
  <c r="H104" i="11" a="1"/>
  <c r="H104" i="11" s="1"/>
  <c r="I100" i="11" a="1"/>
  <c r="I100" i="11" s="1"/>
  <c r="H100" i="11" a="1"/>
  <c r="H100" i="11" s="1"/>
  <c r="I96" i="11" a="1"/>
  <c r="I96" i="11" s="1"/>
  <c r="H96" i="11" a="1"/>
  <c r="H96" i="11" s="1"/>
  <c r="I88" i="11" a="1"/>
  <c r="I88" i="11" s="1"/>
  <c r="H88" i="11" a="1"/>
  <c r="H88" i="11" s="1"/>
  <c r="H76" i="11" a="1"/>
  <c r="H76" i="11" s="1"/>
  <c r="I76" i="11" a="1"/>
  <c r="I76" i="11" s="1"/>
  <c r="I72" i="11" a="1"/>
  <c r="I72" i="11" s="1"/>
  <c r="H72" i="11" a="1"/>
  <c r="H72" i="11" s="1"/>
  <c r="I36" i="11" a="1"/>
  <c r="I36" i="11" s="1"/>
  <c r="H36" i="11" a="1"/>
  <c r="H36" i="11" s="1"/>
  <c r="I245" i="11" a="1"/>
  <c r="I245" i="11" s="1"/>
  <c r="H245" i="11" a="1"/>
  <c r="H245" i="11" s="1"/>
  <c r="I232" i="11" a="1"/>
  <c r="I232" i="11" s="1"/>
  <c r="H232" i="11" a="1"/>
  <c r="H232" i="11" s="1"/>
  <c r="I230" i="11" a="1"/>
  <c r="I230" i="11" s="1"/>
  <c r="H230" i="11" a="1"/>
  <c r="H230" i="11" s="1"/>
  <c r="I226" i="11" a="1"/>
  <c r="I226" i="11" s="1"/>
  <c r="H226" i="11" a="1"/>
  <c r="H226" i="11" s="1"/>
  <c r="H225" i="11" a="1"/>
  <c r="H225" i="11" s="1"/>
  <c r="I225" i="11" a="1"/>
  <c r="I225" i="11" s="1"/>
  <c r="I221" i="11" a="1"/>
  <c r="I221" i="11" s="1"/>
  <c r="H221" i="11" a="1"/>
  <c r="H221" i="11" s="1"/>
  <c r="I208" i="11" a="1"/>
  <c r="I208" i="11" s="1"/>
  <c r="H208" i="11" a="1"/>
  <c r="H208" i="11" s="1"/>
  <c r="I207" i="11" a="1"/>
  <c r="I207" i="11" s="1"/>
  <c r="H207" i="11" a="1"/>
  <c r="H207" i="11" s="1"/>
  <c r="I206" i="11" a="1"/>
  <c r="I206" i="11" s="1"/>
  <c r="H206" i="11" a="1"/>
  <c r="H206" i="11" s="1"/>
  <c r="I135" i="11" a="1"/>
  <c r="I135" i="11" s="1"/>
  <c r="H135" i="11" a="1"/>
  <c r="H135" i="11" s="1"/>
  <c r="I464" i="11" a="1"/>
  <c r="I464" i="11" s="1"/>
  <c r="H464" i="11" a="1"/>
  <c r="H464" i="11" s="1"/>
  <c r="L632" i="11"/>
  <c r="K632" i="11"/>
  <c r="I128" i="11" a="1"/>
  <c r="I128" i="11" s="1"/>
  <c r="H128" i="11" a="1"/>
  <c r="H128" i="11" s="1"/>
  <c r="I120" i="11" a="1"/>
  <c r="I120" i="11" s="1"/>
  <c r="H120" i="11" a="1"/>
  <c r="H120" i="11" s="1"/>
  <c r="H116" i="11" a="1"/>
  <c r="H116" i="11" s="1"/>
  <c r="I116" i="11" a="1"/>
  <c r="I116" i="11" s="1"/>
  <c r="I112" i="11" a="1"/>
  <c r="I112" i="11" s="1"/>
  <c r="H112" i="11" a="1"/>
  <c r="H112" i="11" s="1"/>
  <c r="I108" i="11" a="1"/>
  <c r="I108" i="11" s="1"/>
  <c r="H108" i="11" a="1"/>
  <c r="H108" i="11" s="1"/>
  <c r="I92" i="11" a="1"/>
  <c r="I92" i="11" s="1"/>
  <c r="H92" i="11" a="1"/>
  <c r="H92" i="11" s="1"/>
  <c r="I84" i="11" a="1"/>
  <c r="I84" i="11" s="1"/>
  <c r="H84" i="11" a="1"/>
  <c r="H84" i="11" s="1"/>
  <c r="I80" i="11" a="1"/>
  <c r="I80" i="11" s="1"/>
  <c r="H80" i="11" a="1"/>
  <c r="H80" i="11" s="1"/>
  <c r="I68" i="11" a="1"/>
  <c r="I68" i="11" s="1"/>
  <c r="H68" i="11" a="1"/>
  <c r="H68" i="11" s="1"/>
  <c r="I64" i="11" a="1"/>
  <c r="I64" i="11" s="1"/>
  <c r="H64" i="11" a="1"/>
  <c r="H64" i="11" s="1"/>
  <c r="I60" i="11" a="1"/>
  <c r="I60" i="11" s="1"/>
  <c r="H60" i="11" a="1"/>
  <c r="H60" i="11" s="1"/>
  <c r="H56" i="11" a="1"/>
  <c r="H56" i="11" s="1"/>
  <c r="I56" i="11" a="1"/>
  <c r="I56" i="11" s="1"/>
  <c r="I52" i="11" a="1"/>
  <c r="I52" i="11" s="1"/>
  <c r="H52" i="11" a="1"/>
  <c r="H52" i="11" s="1"/>
  <c r="I48" i="11" a="1"/>
  <c r="I48" i="11" s="1"/>
  <c r="H48" i="11" a="1"/>
  <c r="H48" i="11" s="1"/>
  <c r="I44" i="11" a="1"/>
  <c r="I44" i="11" s="1"/>
  <c r="H44" i="11" a="1"/>
  <c r="H44" i="11" s="1"/>
  <c r="I40" i="11" a="1"/>
  <c r="I40" i="11" s="1"/>
  <c r="H40" i="11" a="1"/>
  <c r="H40" i="11" s="1"/>
  <c r="I30" i="11" a="1"/>
  <c r="I30" i="11" s="1"/>
  <c r="H30" i="11" a="1"/>
  <c r="H30" i="11" s="1"/>
  <c r="I21" i="11" a="1"/>
  <c r="I21" i="11" s="1"/>
  <c r="H21" i="11" a="1"/>
  <c r="H21" i="11" s="1"/>
  <c r="I11" i="11" a="1"/>
  <c r="I11" i="11" s="1"/>
  <c r="H11" i="11" a="1"/>
  <c r="H11" i="11" s="1"/>
  <c r="D689" i="11"/>
  <c r="D694" i="11"/>
  <c r="D691" i="11"/>
  <c r="D687" i="11"/>
  <c r="D692" i="11"/>
  <c r="D684" i="11"/>
  <c r="D685" i="11"/>
  <c r="D690" i="11"/>
  <c r="D688" i="11"/>
  <c r="D693" i="11"/>
  <c r="D686" i="11"/>
  <c r="I231" i="11" a="1"/>
  <c r="I231" i="11" s="1"/>
  <c r="H231" i="11" a="1"/>
  <c r="H231" i="11" s="1"/>
  <c r="I29" i="11" a="1"/>
  <c r="I29" i="11" s="1"/>
  <c r="H29" i="11" a="1"/>
  <c r="H29" i="11" s="1"/>
  <c r="I20" i="11" a="1"/>
  <c r="I20" i="11" s="1"/>
  <c r="H20" i="11" a="1"/>
  <c r="H20" i="11" s="1"/>
  <c r="I9" i="11" a="1"/>
  <c r="I9" i="11" s="1"/>
  <c r="H9" i="11" a="1"/>
  <c r="H9" i="11" s="1"/>
  <c r="I248" i="11" a="1"/>
  <c r="I248" i="11" s="1"/>
  <c r="H248" i="11" a="1"/>
  <c r="H248" i="11" s="1"/>
  <c r="I247" i="11" a="1"/>
  <c r="I247" i="11" s="1"/>
  <c r="H247" i="11" a="1"/>
  <c r="H247" i="11" s="1"/>
  <c r="I246" i="11" a="1"/>
  <c r="I246" i="11" s="1"/>
  <c r="H246" i="11" a="1"/>
  <c r="H246" i="11" s="1"/>
  <c r="I242" i="11" a="1"/>
  <c r="I242" i="11" s="1"/>
  <c r="H242" i="11" a="1"/>
  <c r="H242" i="11" s="1"/>
  <c r="I241" i="11" a="1"/>
  <c r="I241" i="11" s="1"/>
  <c r="H241" i="11" a="1"/>
  <c r="H241" i="11" s="1"/>
  <c r="I237" i="11" a="1"/>
  <c r="I237" i="11" s="1"/>
  <c r="H237" i="11" a="1"/>
  <c r="H237" i="11" s="1"/>
  <c r="I224" i="11" a="1"/>
  <c r="I224" i="11" s="1"/>
  <c r="H224" i="11" a="1"/>
  <c r="H224" i="11" s="1"/>
  <c r="I223" i="11" a="1"/>
  <c r="I223" i="11" s="1"/>
  <c r="H223" i="11" a="1"/>
  <c r="H223" i="11" s="1"/>
  <c r="I222" i="11" a="1"/>
  <c r="I222" i="11" s="1"/>
  <c r="H222" i="11" a="1"/>
  <c r="H222" i="11" s="1"/>
  <c r="I136" i="11" a="1"/>
  <c r="I136" i="11" s="1"/>
  <c r="H136" i="11" a="1"/>
  <c r="H136" i="11" s="1"/>
  <c r="L359" i="11"/>
  <c r="I340" i="11" a="1"/>
  <c r="I340" i="11" s="1"/>
  <c r="H340" i="11" a="1"/>
  <c r="H340" i="11" s="1"/>
  <c r="I389" i="11" a="1"/>
  <c r="I389" i="11" s="1"/>
  <c r="H389" i="11" a="1"/>
  <c r="H389" i="11" s="1"/>
  <c r="I515" i="11" a="1"/>
  <c r="I515" i="11" s="1"/>
  <c r="H515" i="11" a="1"/>
  <c r="H515" i="11" s="1"/>
  <c r="I79" i="11" a="1"/>
  <c r="I79" i="11" s="1"/>
  <c r="H79" i="11" a="1"/>
  <c r="H79" i="11" s="1"/>
  <c r="I75" i="11" a="1"/>
  <c r="I75" i="11" s="1"/>
  <c r="H75" i="11" a="1"/>
  <c r="H75" i="11" s="1"/>
  <c r="I71" i="11" a="1"/>
  <c r="I71" i="11" s="1"/>
  <c r="H71" i="11" a="1"/>
  <c r="H71" i="11" s="1"/>
  <c r="I67" i="11" a="1"/>
  <c r="I67" i="11" s="1"/>
  <c r="H67" i="11" a="1"/>
  <c r="H67" i="11" s="1"/>
  <c r="I63" i="11" a="1"/>
  <c r="I63" i="11" s="1"/>
  <c r="H63" i="11" a="1"/>
  <c r="H63" i="11" s="1"/>
  <c r="H59" i="11" a="1"/>
  <c r="H59" i="11" s="1"/>
  <c r="I59" i="11" a="1"/>
  <c r="I59" i="11" s="1"/>
  <c r="I55" i="11" a="1"/>
  <c r="I55" i="11" s="1"/>
  <c r="H55" i="11" a="1"/>
  <c r="H55" i="11" s="1"/>
  <c r="I51" i="11" a="1"/>
  <c r="I51" i="11" s="1"/>
  <c r="H51" i="11" a="1"/>
  <c r="H51" i="11" s="1"/>
  <c r="I47" i="11" a="1"/>
  <c r="I47" i="11" s="1"/>
  <c r="H47" i="11" a="1"/>
  <c r="H47" i="11" s="1"/>
  <c r="I43" i="11" a="1"/>
  <c r="I43" i="11" s="1"/>
  <c r="H43" i="11" a="1"/>
  <c r="H43" i="11" s="1"/>
  <c r="H39" i="11" a="1"/>
  <c r="H39" i="11" s="1"/>
  <c r="I39" i="11" a="1"/>
  <c r="I39" i="11" s="1"/>
  <c r="I35" i="11" a="1"/>
  <c r="I35" i="11" s="1"/>
  <c r="H35" i="11" a="1"/>
  <c r="H35" i="11" s="1"/>
  <c r="I28" i="11" a="1"/>
  <c r="I28" i="11" s="1"/>
  <c r="H28" i="11" a="1"/>
  <c r="H28" i="11" s="1"/>
  <c r="I19" i="11" a="1"/>
  <c r="I19" i="11" s="1"/>
  <c r="H19" i="11" a="1"/>
  <c r="H19" i="11" s="1"/>
  <c r="I8" i="11" a="1"/>
  <c r="I8" i="11" s="1"/>
  <c r="H8" i="11" a="1"/>
  <c r="H8" i="11" s="1"/>
  <c r="I253" i="11" a="1"/>
  <c r="I253" i="11" s="1"/>
  <c r="H253" i="11" a="1"/>
  <c r="H253" i="11" s="1"/>
  <c r="I240" i="11" a="1"/>
  <c r="I240" i="11" s="1"/>
  <c r="H240" i="11" a="1"/>
  <c r="H240" i="11" s="1"/>
  <c r="I239" i="11" a="1"/>
  <c r="I239" i="11" s="1"/>
  <c r="H239" i="11" a="1"/>
  <c r="H239" i="11" s="1"/>
  <c r="I238" i="11" a="1"/>
  <c r="I238" i="11" s="1"/>
  <c r="H238" i="11" a="1"/>
  <c r="H238" i="11" s="1"/>
  <c r="I149" i="11" a="1"/>
  <c r="I149" i="11" s="1"/>
  <c r="H149" i="11" a="1"/>
  <c r="H149" i="11" s="1"/>
  <c r="L136" i="11"/>
  <c r="I315" i="11" a="1"/>
  <c r="I315" i="11" s="1"/>
  <c r="H315" i="11" a="1"/>
  <c r="H315" i="11" s="1"/>
  <c r="I284" i="11" a="1"/>
  <c r="I284" i="11" s="1"/>
  <c r="H284" i="11" a="1"/>
  <c r="H284" i="11" s="1"/>
  <c r="I393" i="11" a="1"/>
  <c r="I393" i="11" s="1"/>
  <c r="H393" i="11" a="1"/>
  <c r="H393" i="11" s="1"/>
  <c r="I576" i="11" a="1"/>
  <c r="I576" i="11" s="1"/>
  <c r="H576" i="11" a="1"/>
  <c r="H576" i="11" s="1"/>
  <c r="I536" i="11" a="1"/>
  <c r="I536" i="11" s="1"/>
  <c r="H536" i="11" a="1"/>
  <c r="H536" i="11" s="1"/>
  <c r="I380" i="11" a="1"/>
  <c r="I380" i="11" s="1"/>
  <c r="H380" i="11" a="1"/>
  <c r="H380" i="11" s="1"/>
  <c r="I376" i="11" a="1"/>
  <c r="I376" i="11" s="1"/>
  <c r="H376" i="11" a="1"/>
  <c r="H376" i="11" s="1"/>
  <c r="I372" i="11" a="1"/>
  <c r="I372" i="11" s="1"/>
  <c r="H372" i="11" a="1"/>
  <c r="H372" i="11" s="1"/>
  <c r="I368" i="11" a="1"/>
  <c r="I368" i="11" s="1"/>
  <c r="H368" i="11" a="1"/>
  <c r="H368" i="11" s="1"/>
  <c r="I364" i="11" a="1"/>
  <c r="I364" i="11" s="1"/>
  <c r="H364" i="11" a="1"/>
  <c r="H364" i="11" s="1"/>
  <c r="I360" i="11" a="1"/>
  <c r="I360" i="11" s="1"/>
  <c r="H360" i="11" a="1"/>
  <c r="H360" i="11" s="1"/>
  <c r="I342" i="11" a="1"/>
  <c r="I342" i="11" s="1"/>
  <c r="H342" i="11" a="1"/>
  <c r="H342" i="11" s="1"/>
  <c r="I341" i="11" a="1"/>
  <c r="I341" i="11" s="1"/>
  <c r="H341" i="11" a="1"/>
  <c r="H341" i="11" s="1"/>
  <c r="I332" i="11" a="1"/>
  <c r="I332" i="11" s="1"/>
  <c r="H332" i="11" a="1"/>
  <c r="H332" i="11" s="1"/>
  <c r="I323" i="11" a="1"/>
  <c r="I323" i="11" s="1"/>
  <c r="H323" i="11" a="1"/>
  <c r="H323" i="11" s="1"/>
  <c r="I313" i="11" a="1"/>
  <c r="I313" i="11" s="1"/>
  <c r="H313" i="11" a="1"/>
  <c r="H313" i="11" s="1"/>
  <c r="H312" i="11" a="1"/>
  <c r="H312" i="11" s="1"/>
  <c r="I312" i="11" a="1"/>
  <c r="I312" i="11" s="1"/>
  <c r="I289" i="11" a="1"/>
  <c r="I289" i="11" s="1"/>
  <c r="H289" i="11" a="1"/>
  <c r="H289" i="11" s="1"/>
  <c r="H285" i="11" a="1"/>
  <c r="H285" i="11" s="1"/>
  <c r="I285" i="11" a="1"/>
  <c r="I285" i="11" s="1"/>
  <c r="I490" i="11" a="1"/>
  <c r="I490" i="11" s="1"/>
  <c r="H490" i="11" a="1"/>
  <c r="H490" i="11" s="1"/>
  <c r="I489" i="11" a="1"/>
  <c r="I489" i="11" s="1"/>
  <c r="H489" i="11" a="1"/>
  <c r="H489" i="11" s="1"/>
  <c r="I487" i="11" a="1"/>
  <c r="I487" i="11" s="1"/>
  <c r="H487" i="11" a="1"/>
  <c r="H487" i="11" s="1"/>
  <c r="I424" i="11" a="1"/>
  <c r="I424" i="11" s="1"/>
  <c r="H424" i="11" a="1"/>
  <c r="H424" i="11" s="1"/>
  <c r="I392" i="11" a="1"/>
  <c r="I392" i="11" s="1"/>
  <c r="H392" i="11" a="1"/>
  <c r="H392" i="11" s="1"/>
  <c r="I391" i="11" a="1"/>
  <c r="I391" i="11" s="1"/>
  <c r="H391" i="11" a="1"/>
  <c r="H391" i="11" s="1"/>
  <c r="I390" i="11" a="1"/>
  <c r="I390" i="11" s="1"/>
  <c r="H390" i="11" a="1"/>
  <c r="H390" i="11" s="1"/>
  <c r="I575" i="11" a="1"/>
  <c r="I575" i="11" s="1"/>
  <c r="H575" i="11" a="1"/>
  <c r="H575" i="11" s="1"/>
  <c r="I574" i="11" a="1"/>
  <c r="I574" i="11" s="1"/>
  <c r="H574" i="11" a="1"/>
  <c r="H574" i="11" s="1"/>
  <c r="I572" i="11" a="1"/>
  <c r="I572" i="11" s="1"/>
  <c r="H572" i="11" a="1"/>
  <c r="H572" i="11" s="1"/>
  <c r="I571" i="11" a="1"/>
  <c r="I571" i="11" s="1"/>
  <c r="H571" i="11" a="1"/>
  <c r="H571" i="11" s="1"/>
  <c r="I570" i="11" a="1"/>
  <c r="I570" i="11" s="1"/>
  <c r="H570" i="11" a="1"/>
  <c r="H570" i="11" s="1"/>
  <c r="I543" i="11" a="1"/>
  <c r="I543" i="11" s="1"/>
  <c r="H543" i="11" a="1"/>
  <c r="H543" i="11" s="1"/>
  <c r="I542" i="11" a="1"/>
  <c r="I542" i="11" s="1"/>
  <c r="H542" i="11" a="1"/>
  <c r="H542" i="11" s="1"/>
  <c r="I540" i="11" a="1"/>
  <c r="I540" i="11" s="1"/>
  <c r="H540" i="11" a="1"/>
  <c r="H540" i="11" s="1"/>
  <c r="I539" i="11" a="1"/>
  <c r="I539" i="11" s="1"/>
  <c r="H539" i="11" a="1"/>
  <c r="H539" i="11" s="1"/>
  <c r="I538" i="11" a="1"/>
  <c r="I538" i="11" s="1"/>
  <c r="H538" i="11" a="1"/>
  <c r="H538" i="11" s="1"/>
  <c r="I667" i="11" a="1"/>
  <c r="I667" i="11" s="1"/>
  <c r="H667" i="11" a="1"/>
  <c r="H667" i="11" s="1"/>
  <c r="I252" i="11" a="1"/>
  <c r="I252" i="11" s="1"/>
  <c r="H252" i="11" a="1"/>
  <c r="H252" i="11" s="1"/>
  <c r="I251" i="11" a="1"/>
  <c r="I251" i="11" s="1"/>
  <c r="H251" i="11" a="1"/>
  <c r="H251" i="11" s="1"/>
  <c r="I236" i="11" a="1"/>
  <c r="I236" i="11" s="1"/>
  <c r="H236" i="11" a="1"/>
  <c r="H236" i="11" s="1"/>
  <c r="I235" i="11" a="1"/>
  <c r="I235" i="11" s="1"/>
  <c r="H235" i="11" a="1"/>
  <c r="H235" i="11" s="1"/>
  <c r="I220" i="11" a="1"/>
  <c r="I220" i="11" s="1"/>
  <c r="H220" i="11" a="1"/>
  <c r="H220" i="11" s="1"/>
  <c r="I219" i="11" a="1"/>
  <c r="I219" i="11" s="1"/>
  <c r="H219" i="11" a="1"/>
  <c r="H219" i="11" s="1"/>
  <c r="H204" i="11" a="1"/>
  <c r="H204" i="11" s="1"/>
  <c r="I204" i="11" a="1"/>
  <c r="I204" i="11" s="1"/>
  <c r="I203" i="11" a="1"/>
  <c r="I203" i="11" s="1"/>
  <c r="H203" i="11" a="1"/>
  <c r="H203" i="11" s="1"/>
  <c r="I188" i="11" a="1"/>
  <c r="I188" i="11" s="1"/>
  <c r="H188" i="11" a="1"/>
  <c r="H188" i="11" s="1"/>
  <c r="I187" i="11" a="1"/>
  <c r="I187" i="11" s="1"/>
  <c r="H187" i="11" a="1"/>
  <c r="H187" i="11" s="1"/>
  <c r="I172" i="11" a="1"/>
  <c r="I172" i="11" s="1"/>
  <c r="H172" i="11" a="1"/>
  <c r="H172" i="11" s="1"/>
  <c r="I171" i="11" a="1"/>
  <c r="I171" i="11" s="1"/>
  <c r="H171" i="11" a="1"/>
  <c r="H171" i="11" s="1"/>
  <c r="I156" i="11" a="1"/>
  <c r="I156" i="11" s="1"/>
  <c r="H156" i="11" a="1"/>
  <c r="H156" i="11" s="1"/>
  <c r="I155" i="11" a="1"/>
  <c r="I155" i="11" s="1"/>
  <c r="H155" i="11" a="1"/>
  <c r="H155" i="11" s="1"/>
  <c r="H140" i="11" a="1"/>
  <c r="H140" i="11" s="1"/>
  <c r="I140" i="11" a="1"/>
  <c r="I140" i="11" s="1"/>
  <c r="I139" i="11" a="1"/>
  <c r="I139" i="11" s="1"/>
  <c r="H139" i="11" a="1"/>
  <c r="H139" i="11" s="1"/>
  <c r="I379" i="11" a="1"/>
  <c r="I379" i="11" s="1"/>
  <c r="H379" i="11" a="1"/>
  <c r="H379" i="11" s="1"/>
  <c r="I375" i="11" a="1"/>
  <c r="I375" i="11" s="1"/>
  <c r="H375" i="11" a="1"/>
  <c r="H375" i="11" s="1"/>
  <c r="I371" i="11" a="1"/>
  <c r="I371" i="11" s="1"/>
  <c r="H371" i="11" a="1"/>
  <c r="H371" i="11" s="1"/>
  <c r="I367" i="11" a="1"/>
  <c r="I367" i="11" s="1"/>
  <c r="H367" i="11" a="1"/>
  <c r="H367" i="11" s="1"/>
  <c r="I363" i="11" a="1"/>
  <c r="I363" i="11" s="1"/>
  <c r="H363" i="11" a="1"/>
  <c r="H363" i="11" s="1"/>
  <c r="I354" i="11" a="1"/>
  <c r="I354" i="11" s="1"/>
  <c r="H354" i="11" a="1"/>
  <c r="H354" i="11" s="1"/>
  <c r="I348" i="11" a="1"/>
  <c r="I348" i="11" s="1"/>
  <c r="H348" i="11" a="1"/>
  <c r="H348" i="11" s="1"/>
  <c r="I339" i="11" a="1"/>
  <c r="I339" i="11" s="1"/>
  <c r="H339" i="11" a="1"/>
  <c r="H339" i="11" s="1"/>
  <c r="I321" i="11" a="1"/>
  <c r="I321" i="11" s="1"/>
  <c r="H321" i="11" a="1"/>
  <c r="H321" i="11" s="1"/>
  <c r="I310" i="11" a="1"/>
  <c r="I310" i="11" s="1"/>
  <c r="H310" i="11" a="1"/>
  <c r="H310" i="11" s="1"/>
  <c r="I309" i="11" a="1"/>
  <c r="I309" i="11" s="1"/>
  <c r="H309" i="11" a="1"/>
  <c r="H309" i="11" s="1"/>
  <c r="I308" i="11" a="1"/>
  <c r="I308" i="11" s="1"/>
  <c r="H308" i="11" a="1"/>
  <c r="H308" i="11" s="1"/>
  <c r="I283" i="11" a="1"/>
  <c r="I283" i="11" s="1"/>
  <c r="H283" i="11" a="1"/>
  <c r="H283" i="11" s="1"/>
  <c r="I450" i="11" a="1"/>
  <c r="I450" i="11" s="1"/>
  <c r="H450" i="11" a="1"/>
  <c r="H450" i="11" s="1"/>
  <c r="I449" i="11" a="1"/>
  <c r="I449" i="11" s="1"/>
  <c r="H449" i="11" a="1"/>
  <c r="H449" i="11" s="1"/>
  <c r="I414" i="11" a="1"/>
  <c r="I414" i="11" s="1"/>
  <c r="H414" i="11" a="1"/>
  <c r="H414" i="11" s="1"/>
  <c r="I412" i="11" a="1"/>
  <c r="I412" i="11" s="1"/>
  <c r="H412" i="11" a="1"/>
  <c r="H412" i="11" s="1"/>
  <c r="I411" i="11" a="1"/>
  <c r="I411" i="11" s="1"/>
  <c r="H411" i="11" a="1"/>
  <c r="H411" i="11" s="1"/>
  <c r="I409" i="11" a="1"/>
  <c r="I409" i="11" s="1"/>
  <c r="H409" i="11" a="1"/>
  <c r="H409" i="11" s="1"/>
  <c r="I587" i="11" a="1"/>
  <c r="I587" i="11" s="1"/>
  <c r="H587" i="11" a="1"/>
  <c r="H587" i="11" s="1"/>
  <c r="I577" i="11" a="1"/>
  <c r="I577" i="11" s="1"/>
  <c r="H577" i="11" a="1"/>
  <c r="H577" i="11" s="1"/>
  <c r="I545" i="11" a="1"/>
  <c r="I545" i="11" s="1"/>
  <c r="H545" i="11" a="1"/>
  <c r="H545" i="11" s="1"/>
  <c r="I673" i="11" a="1"/>
  <c r="I673" i="11" s="1"/>
  <c r="H673" i="11" a="1"/>
  <c r="H673" i="11" s="1"/>
  <c r="H637" i="11" a="1"/>
  <c r="H637" i="11" s="1"/>
  <c r="I637" i="11" a="1"/>
  <c r="I637" i="11" s="1"/>
  <c r="I22" i="11" a="1"/>
  <c r="I22" i="11" s="1"/>
  <c r="H22" i="11" a="1"/>
  <c r="H22" i="11" s="1"/>
  <c r="I18" i="11" a="1"/>
  <c r="I18" i="11" s="1"/>
  <c r="H18" i="11" a="1"/>
  <c r="H18" i="11" s="1"/>
  <c r="I14" i="11" a="1"/>
  <c r="I14" i="11" s="1"/>
  <c r="H14" i="11" a="1"/>
  <c r="H14" i="11" s="1"/>
  <c r="I10" i="11" a="1"/>
  <c r="I10" i="11" s="1"/>
  <c r="H10" i="11" a="1"/>
  <c r="H10" i="11" s="1"/>
  <c r="I250" i="11" a="1"/>
  <c r="I250" i="11" s="1"/>
  <c r="H250" i="11" a="1"/>
  <c r="H250" i="11" s="1"/>
  <c r="I249" i="11" a="1"/>
  <c r="I249" i="11" s="1"/>
  <c r="H249" i="11" a="1"/>
  <c r="H249" i="11" s="1"/>
  <c r="I234" i="11" a="1"/>
  <c r="I234" i="11" s="1"/>
  <c r="H234" i="11" a="1"/>
  <c r="H234" i="11" s="1"/>
  <c r="I233" i="11" a="1"/>
  <c r="I233" i="11" s="1"/>
  <c r="H233" i="11" a="1"/>
  <c r="H233" i="11" s="1"/>
  <c r="I218" i="11" a="1"/>
  <c r="I218" i="11" s="1"/>
  <c r="H218" i="11" a="1"/>
  <c r="H218" i="11" s="1"/>
  <c r="I217" i="11" a="1"/>
  <c r="I217" i="11" s="1"/>
  <c r="H217" i="11" a="1"/>
  <c r="H217" i="11" s="1"/>
  <c r="I202" i="11" a="1"/>
  <c r="I202" i="11" s="1"/>
  <c r="H202" i="11" a="1"/>
  <c r="H202" i="11" s="1"/>
  <c r="H201" i="11" a="1"/>
  <c r="H201" i="11" s="1"/>
  <c r="I201" i="11" a="1"/>
  <c r="I201" i="11" s="1"/>
  <c r="I186" i="11" a="1"/>
  <c r="I186" i="11" s="1"/>
  <c r="H186" i="11" a="1"/>
  <c r="H186" i="11" s="1"/>
  <c r="I185" i="11" a="1"/>
  <c r="I185" i="11" s="1"/>
  <c r="H185" i="11" a="1"/>
  <c r="H185" i="11" s="1"/>
  <c r="I170" i="11" a="1"/>
  <c r="I170" i="11" s="1"/>
  <c r="H170" i="11" a="1"/>
  <c r="H170" i="11" s="1"/>
  <c r="I169" i="11" a="1"/>
  <c r="I169" i="11" s="1"/>
  <c r="H169" i="11" a="1"/>
  <c r="H169" i="11" s="1"/>
  <c r="I154" i="11" a="1"/>
  <c r="I154" i="11" s="1"/>
  <c r="H154" i="11" a="1"/>
  <c r="H154" i="11" s="1"/>
  <c r="I153" i="11" a="1"/>
  <c r="I153" i="11" s="1"/>
  <c r="H153" i="11" a="1"/>
  <c r="H153" i="11" s="1"/>
  <c r="I138" i="11" a="1"/>
  <c r="I138" i="11" s="1"/>
  <c r="H138" i="11" a="1"/>
  <c r="H138" i="11" s="1"/>
  <c r="I137" i="11" a="1"/>
  <c r="I137" i="11" s="1"/>
  <c r="H137" i="11" a="1"/>
  <c r="H137" i="11" s="1"/>
  <c r="I358" i="11" a="1"/>
  <c r="I358" i="11" s="1"/>
  <c r="H358" i="11" a="1"/>
  <c r="H358" i="11" s="1"/>
  <c r="I347" i="11" a="1"/>
  <c r="I347" i="11" s="1"/>
  <c r="H347" i="11" a="1"/>
  <c r="H347" i="11" s="1"/>
  <c r="I329" i="11" a="1"/>
  <c r="I329" i="11" s="1"/>
  <c r="H329" i="11" a="1"/>
  <c r="H329" i="11" s="1"/>
  <c r="I320" i="11" a="1"/>
  <c r="I320" i="11" s="1"/>
  <c r="H320" i="11" a="1"/>
  <c r="H320" i="11" s="1"/>
  <c r="H278" i="11" a="1"/>
  <c r="H278" i="11" s="1"/>
  <c r="I278" i="11" a="1"/>
  <c r="I278" i="11" s="1"/>
  <c r="I277" i="11" a="1"/>
  <c r="I277" i="11" s="1"/>
  <c r="H277" i="11" a="1"/>
  <c r="H277" i="11" s="1"/>
  <c r="I478" i="11" a="1"/>
  <c r="I478" i="11" s="1"/>
  <c r="H478" i="11" a="1"/>
  <c r="H478" i="11" s="1"/>
  <c r="I476" i="11" a="1"/>
  <c r="I476" i="11" s="1"/>
  <c r="H476" i="11" a="1"/>
  <c r="H476" i="11" s="1"/>
  <c r="I475" i="11" a="1"/>
  <c r="I475" i="11" s="1"/>
  <c r="H475" i="11" a="1"/>
  <c r="H475" i="11" s="1"/>
  <c r="I473" i="11" a="1"/>
  <c r="I473" i="11" s="1"/>
  <c r="H473" i="11" a="1"/>
  <c r="H473" i="11" s="1"/>
  <c r="I410" i="11" a="1"/>
  <c r="I410" i="11" s="1"/>
  <c r="H410" i="11" a="1"/>
  <c r="H410" i="11" s="1"/>
  <c r="I589" i="11" a="1"/>
  <c r="I589" i="11" s="1"/>
  <c r="H589" i="11" a="1"/>
  <c r="H589" i="11" s="1"/>
  <c r="I588" i="11" a="1"/>
  <c r="I588" i="11" s="1"/>
  <c r="H588" i="11" a="1"/>
  <c r="H588" i="11" s="1"/>
  <c r="I518" i="11" a="1"/>
  <c r="I518" i="11" s="1"/>
  <c r="H518" i="11" a="1"/>
  <c r="H518" i="11" s="1"/>
  <c r="I378" i="11" a="1"/>
  <c r="I378" i="11" s="1"/>
  <c r="H378" i="11" a="1"/>
  <c r="H378" i="11" s="1"/>
  <c r="I374" i="11" a="1"/>
  <c r="I374" i="11" s="1"/>
  <c r="H374" i="11" a="1"/>
  <c r="H374" i="11" s="1"/>
  <c r="I370" i="11" a="1"/>
  <c r="I370" i="11" s="1"/>
  <c r="H370" i="11" a="1"/>
  <c r="H370" i="11" s="1"/>
  <c r="I366" i="11" a="1"/>
  <c r="I366" i="11" s="1"/>
  <c r="H366" i="11" a="1"/>
  <c r="H366" i="11" s="1"/>
  <c r="I362" i="11" a="1"/>
  <c r="I362" i="11" s="1"/>
  <c r="H362" i="11" a="1"/>
  <c r="H362" i="11" s="1"/>
  <c r="I353" i="11" a="1"/>
  <c r="I353" i="11" s="1"/>
  <c r="H353" i="11" a="1"/>
  <c r="H353" i="11" s="1"/>
  <c r="H337" i="11" a="1"/>
  <c r="H337" i="11" s="1"/>
  <c r="I337" i="11" a="1"/>
  <c r="I337" i="11" s="1"/>
  <c r="I328" i="11" a="1"/>
  <c r="I328" i="11" s="1"/>
  <c r="H328" i="11" a="1"/>
  <c r="H328" i="11" s="1"/>
  <c r="I305" i="11" a="1"/>
  <c r="I305" i="11" s="1"/>
  <c r="H305" i="11" a="1"/>
  <c r="H305" i="11" s="1"/>
  <c r="I301" i="11" a="1"/>
  <c r="I301" i="11" s="1"/>
  <c r="H301" i="11" a="1"/>
  <c r="H301" i="11" s="1"/>
  <c r="I273" i="11" a="1"/>
  <c r="I273" i="11" s="1"/>
  <c r="H273" i="11" a="1"/>
  <c r="H273" i="11" s="1"/>
  <c r="I269" i="11" a="1"/>
  <c r="I269" i="11" s="1"/>
  <c r="H269" i="11" a="1"/>
  <c r="H269" i="11" s="1"/>
  <c r="I505" i="11" a="1"/>
  <c r="I505" i="11" s="1"/>
  <c r="H505" i="11" a="1"/>
  <c r="H505" i="11" s="1"/>
  <c r="I474" i="11" a="1"/>
  <c r="I474" i="11" s="1"/>
  <c r="H474" i="11" a="1"/>
  <c r="H474" i="11" s="1"/>
  <c r="I440" i="11" a="1"/>
  <c r="I440" i="11" s="1"/>
  <c r="H440" i="11" a="1"/>
  <c r="H440" i="11" s="1"/>
  <c r="I439" i="11" a="1"/>
  <c r="I439" i="11" s="1"/>
  <c r="H439" i="11" a="1"/>
  <c r="H439" i="11" s="1"/>
  <c r="I437" i="11" a="1"/>
  <c r="I437" i="11" s="1"/>
  <c r="H437" i="11" a="1"/>
  <c r="H437" i="11" s="1"/>
  <c r="I383" i="11" a="1"/>
  <c r="I383" i="11" s="1"/>
  <c r="H383" i="11" a="1"/>
  <c r="H383" i="11" s="1"/>
  <c r="I590" i="11" a="1"/>
  <c r="I590" i="11" s="1"/>
  <c r="H590" i="11" a="1"/>
  <c r="H590" i="11" s="1"/>
  <c r="I547" i="11" a="1"/>
  <c r="I547" i="11" s="1"/>
  <c r="H547" i="11" a="1"/>
  <c r="H547" i="11" s="1"/>
  <c r="I675" i="11" a="1"/>
  <c r="I675" i="11" s="1"/>
  <c r="H675" i="11" a="1"/>
  <c r="H675" i="11" s="1"/>
  <c r="I663" i="11" a="1"/>
  <c r="I663" i="11" s="1"/>
  <c r="H663" i="11" a="1"/>
  <c r="H663" i="11" s="1"/>
  <c r="I134" i="11" a="1"/>
  <c r="I134" i="11" s="1"/>
  <c r="H134" i="11" a="1"/>
  <c r="H134" i="11" s="1"/>
  <c r="I133" i="11" a="1"/>
  <c r="I133" i="11" s="1"/>
  <c r="H133" i="11" a="1"/>
  <c r="H133" i="11" s="1"/>
  <c r="I357" i="11" a="1"/>
  <c r="I357" i="11" s="1"/>
  <c r="H357" i="11" a="1"/>
  <c r="H357" i="11" s="1"/>
  <c r="I345" i="11" a="1"/>
  <c r="I345" i="11" s="1"/>
  <c r="H345" i="11" a="1"/>
  <c r="H345" i="11" s="1"/>
  <c r="I336" i="11" a="1"/>
  <c r="I336" i="11" s="1"/>
  <c r="H336" i="11" a="1"/>
  <c r="H336" i="11" s="1"/>
  <c r="I318" i="11" a="1"/>
  <c r="I318" i="11" s="1"/>
  <c r="H318" i="11" a="1"/>
  <c r="H318" i="11" s="1"/>
  <c r="I317" i="11" a="1"/>
  <c r="I317" i="11" s="1"/>
  <c r="H317" i="11" a="1"/>
  <c r="H317" i="11" s="1"/>
  <c r="I304" i="11" a="1"/>
  <c r="I304" i="11" s="1"/>
  <c r="H304" i="11" a="1"/>
  <c r="H304" i="11" s="1"/>
  <c r="I300" i="11" a="1"/>
  <c r="I300" i="11" s="1"/>
  <c r="H300" i="11" a="1"/>
  <c r="H300" i="11" s="1"/>
  <c r="I296" i="11" a="1"/>
  <c r="I296" i="11" s="1"/>
  <c r="H296" i="11" a="1"/>
  <c r="H296" i="11" s="1"/>
  <c r="I272" i="11" a="1"/>
  <c r="I272" i="11" s="1"/>
  <c r="H272" i="11" a="1"/>
  <c r="H272" i="11" s="1"/>
  <c r="I268" i="11" a="1"/>
  <c r="I268" i="11" s="1"/>
  <c r="H268" i="11" a="1"/>
  <c r="H268" i="11" s="1"/>
  <c r="I264" i="11" a="1"/>
  <c r="I264" i="11" s="1"/>
  <c r="H264" i="11" a="1"/>
  <c r="H264" i="11" s="1"/>
  <c r="I256" i="11" a="1"/>
  <c r="I256" i="11" s="1"/>
  <c r="H256" i="11" a="1"/>
  <c r="H256" i="11" s="1"/>
  <c r="I504" i="11" a="1"/>
  <c r="I504" i="11" s="1"/>
  <c r="H504" i="11" a="1"/>
  <c r="H504" i="11" s="1"/>
  <c r="I503" i="11" a="1"/>
  <c r="I503" i="11" s="1"/>
  <c r="H503" i="11" a="1"/>
  <c r="H503" i="11" s="1"/>
  <c r="I501" i="11" a="1"/>
  <c r="I501" i="11" s="1"/>
  <c r="H501" i="11" a="1"/>
  <c r="H501" i="11" s="1"/>
  <c r="I459" i="11" a="1"/>
  <c r="I459" i="11" s="1"/>
  <c r="H459" i="11" a="1"/>
  <c r="H459" i="11" s="1"/>
  <c r="I438" i="11" a="1"/>
  <c r="I438" i="11" s="1"/>
  <c r="H438" i="11" a="1"/>
  <c r="H438" i="11" s="1"/>
  <c r="I436" i="11" a="1"/>
  <c r="I436" i="11" s="1"/>
  <c r="H436" i="11" a="1"/>
  <c r="H436" i="11" s="1"/>
  <c r="I435" i="11" a="1"/>
  <c r="I435" i="11" s="1"/>
  <c r="H435" i="11" a="1"/>
  <c r="H435" i="11" s="1"/>
  <c r="I421" i="11" a="1"/>
  <c r="I421" i="11" s="1"/>
  <c r="H421" i="11" a="1"/>
  <c r="H421" i="11" s="1"/>
  <c r="I387" i="11" a="1"/>
  <c r="I387" i="11" s="1"/>
  <c r="H387" i="11" a="1"/>
  <c r="H387" i="11" s="1"/>
  <c r="I384" i="11" a="1"/>
  <c r="I384" i="11" s="1"/>
  <c r="H384" i="11" a="1"/>
  <c r="H384" i="11" s="1"/>
  <c r="I591" i="11" a="1"/>
  <c r="I591" i="11" s="1"/>
  <c r="H591" i="11" a="1"/>
  <c r="H591" i="11" s="1"/>
  <c r="I549" i="11" a="1"/>
  <c r="I549" i="11" s="1"/>
  <c r="H549" i="11" a="1"/>
  <c r="H549" i="11" s="1"/>
  <c r="I548" i="11" a="1"/>
  <c r="I548" i="11" s="1"/>
  <c r="H548" i="11" a="1"/>
  <c r="H548" i="11" s="1"/>
  <c r="I244" i="11" a="1"/>
  <c r="I244" i="11" s="1"/>
  <c r="H244" i="11" a="1"/>
  <c r="H244" i="11" s="1"/>
  <c r="I243" i="11" a="1"/>
  <c r="I243" i="11" s="1"/>
  <c r="H243" i="11" a="1"/>
  <c r="H243" i="11" s="1"/>
  <c r="I228" i="11" a="1"/>
  <c r="I228" i="11" s="1"/>
  <c r="H228" i="11" a="1"/>
  <c r="H228" i="11" s="1"/>
  <c r="I227" i="11" a="1"/>
  <c r="I227" i="11" s="1"/>
  <c r="H227" i="11" a="1"/>
  <c r="H227" i="11" s="1"/>
  <c r="I212" i="11" a="1"/>
  <c r="I212" i="11" s="1"/>
  <c r="H212" i="11" a="1"/>
  <c r="H212" i="11" s="1"/>
  <c r="I211" i="11" a="1"/>
  <c r="I211" i="11" s="1"/>
  <c r="H211" i="11" a="1"/>
  <c r="H211" i="11" s="1"/>
  <c r="I196" i="11" a="1"/>
  <c r="I196" i="11" s="1"/>
  <c r="H196" i="11" a="1"/>
  <c r="H196" i="11" s="1"/>
  <c r="I195" i="11" a="1"/>
  <c r="I195" i="11" s="1"/>
  <c r="H195" i="11" a="1"/>
  <c r="H195" i="11" s="1"/>
  <c r="I180" i="11" a="1"/>
  <c r="I180" i="11" s="1"/>
  <c r="H180" i="11" a="1"/>
  <c r="H180" i="11" s="1"/>
  <c r="I179" i="11" a="1"/>
  <c r="I179" i="11" s="1"/>
  <c r="H179" i="11" a="1"/>
  <c r="H179" i="11" s="1"/>
  <c r="I164" i="11" a="1"/>
  <c r="I164" i="11" s="1"/>
  <c r="H164" i="11" a="1"/>
  <c r="H164" i="11" s="1"/>
  <c r="I163" i="11" a="1"/>
  <c r="I163" i="11" s="1"/>
  <c r="H163" i="11" a="1"/>
  <c r="H163" i="11" s="1"/>
  <c r="I148" i="11" a="1"/>
  <c r="I148" i="11" s="1"/>
  <c r="H148" i="11" a="1"/>
  <c r="H148" i="11" s="1"/>
  <c r="H147" i="11" a="1"/>
  <c r="H147" i="11" s="1"/>
  <c r="I147" i="11" a="1"/>
  <c r="I147" i="11" s="1"/>
  <c r="I132" i="11" a="1"/>
  <c r="I132" i="11" s="1"/>
  <c r="H132" i="11" a="1"/>
  <c r="H132" i="11" s="1"/>
  <c r="I131" i="11" a="1"/>
  <c r="I131" i="11" s="1"/>
  <c r="H131" i="11" a="1"/>
  <c r="H131" i="11" s="1"/>
  <c r="I377" i="11" a="1"/>
  <c r="I377" i="11" s="1"/>
  <c r="H377" i="11" a="1"/>
  <c r="H377" i="11" s="1"/>
  <c r="I373" i="11" a="1"/>
  <c r="I373" i="11" s="1"/>
  <c r="H373" i="11" a="1"/>
  <c r="H373" i="11" s="1"/>
  <c r="I369" i="11" a="1"/>
  <c r="I369" i="11" s="1"/>
  <c r="H369" i="11" a="1"/>
  <c r="H369" i="11" s="1"/>
  <c r="I365" i="11" a="1"/>
  <c r="I365" i="11" s="1"/>
  <c r="H365" i="11" a="1"/>
  <c r="H365" i="11" s="1"/>
  <c r="I361" i="11" a="1"/>
  <c r="I361" i="11" s="1"/>
  <c r="H361" i="11" a="1"/>
  <c r="H361" i="11" s="1"/>
  <c r="I352" i="11" a="1"/>
  <c r="I352" i="11" s="1"/>
  <c r="H352" i="11" a="1"/>
  <c r="H352" i="11" s="1"/>
  <c r="I344" i="11" a="1"/>
  <c r="I344" i="11" s="1"/>
  <c r="H344" i="11" a="1"/>
  <c r="H344" i="11" s="1"/>
  <c r="I326" i="11" a="1"/>
  <c r="I326" i="11" s="1"/>
  <c r="H326" i="11" a="1"/>
  <c r="H326" i="11" s="1"/>
  <c r="I325" i="11" a="1"/>
  <c r="I325" i="11" s="1"/>
  <c r="H325" i="11" a="1"/>
  <c r="H325" i="11" s="1"/>
  <c r="I316" i="11" a="1"/>
  <c r="I316" i="11" s="1"/>
  <c r="H316" i="11" a="1"/>
  <c r="H316" i="11" s="1"/>
  <c r="I299" i="11" a="1"/>
  <c r="I299" i="11" s="1"/>
  <c r="H299" i="11" a="1"/>
  <c r="H299" i="11" s="1"/>
  <c r="I267" i="11" a="1"/>
  <c r="I267" i="11" s="1"/>
  <c r="H267" i="11" a="1"/>
  <c r="H267" i="11" s="1"/>
  <c r="I262" i="11" a="1"/>
  <c r="I262" i="11" s="1"/>
  <c r="H262" i="11" a="1"/>
  <c r="H262" i="11" s="1"/>
  <c r="I502" i="11" a="1"/>
  <c r="I502" i="11" s="1"/>
  <c r="H502" i="11" a="1"/>
  <c r="H502" i="11" s="1"/>
  <c r="I500" i="11" a="1"/>
  <c r="I500" i="11" s="1"/>
  <c r="H500" i="11" a="1"/>
  <c r="H500" i="11" s="1"/>
  <c r="I499" i="11" a="1"/>
  <c r="I499" i="11" s="1"/>
  <c r="H499" i="11" a="1"/>
  <c r="H499" i="11" s="1"/>
  <c r="I485" i="11" a="1"/>
  <c r="I485" i="11" s="1"/>
  <c r="H485" i="11" a="1"/>
  <c r="H485" i="11" s="1"/>
  <c r="I461" i="11" a="1"/>
  <c r="I461" i="11" s="1"/>
  <c r="H461" i="11" a="1"/>
  <c r="H461" i="11" s="1"/>
  <c r="I460" i="11" a="1"/>
  <c r="I460" i="11" s="1"/>
  <c r="H460" i="11" a="1"/>
  <c r="H460" i="11" s="1"/>
  <c r="I388" i="11" a="1"/>
  <c r="I388" i="11" s="1"/>
  <c r="H388" i="11" a="1"/>
  <c r="H388" i="11" s="1"/>
  <c r="I602" i="11" a="1"/>
  <c r="I602" i="11" s="1"/>
  <c r="H602" i="11" a="1"/>
  <c r="H602" i="11" s="1"/>
  <c r="I600" i="11" a="1"/>
  <c r="I600" i="11" s="1"/>
  <c r="H600" i="11" a="1"/>
  <c r="H600" i="11" s="1"/>
  <c r="I599" i="11" a="1"/>
  <c r="I599" i="11" s="1"/>
  <c r="H599" i="11" a="1"/>
  <c r="H599" i="11" s="1"/>
  <c r="H597" i="11" a="1"/>
  <c r="H597" i="11" s="1"/>
  <c r="I597" i="11" a="1"/>
  <c r="I597" i="11" s="1"/>
  <c r="I593" i="11" a="1"/>
  <c r="I593" i="11" s="1"/>
  <c r="H593" i="11" a="1"/>
  <c r="H593" i="11" s="1"/>
  <c r="I592" i="11" a="1"/>
  <c r="I592" i="11" s="1"/>
  <c r="H592" i="11" a="1"/>
  <c r="H592" i="11" s="1"/>
  <c r="I550" i="11" a="1"/>
  <c r="I550" i="11" s="1"/>
  <c r="H550" i="11" a="1"/>
  <c r="H550" i="11" s="1"/>
  <c r="I535" i="11" a="1"/>
  <c r="I535" i="11" s="1"/>
  <c r="H535" i="11" a="1"/>
  <c r="H535" i="11" s="1"/>
  <c r="I534" i="11" a="1"/>
  <c r="I534" i="11" s="1"/>
  <c r="H534" i="11" a="1"/>
  <c r="H534" i="11" s="1"/>
  <c r="I532" i="11" a="1"/>
  <c r="I532" i="11" s="1"/>
  <c r="H532" i="11" a="1"/>
  <c r="H532" i="11" s="1"/>
  <c r="I531" i="11" a="1"/>
  <c r="I531" i="11" s="1"/>
  <c r="H531" i="11" a="1"/>
  <c r="H531" i="11" s="1"/>
  <c r="I529" i="11" a="1"/>
  <c r="I529" i="11" s="1"/>
  <c r="H529" i="11" a="1"/>
  <c r="H529" i="11" s="1"/>
  <c r="I677" i="11" a="1"/>
  <c r="I677" i="11" s="1"/>
  <c r="H677" i="11" a="1"/>
  <c r="H677" i="11" s="1"/>
  <c r="I665" i="11" a="1"/>
  <c r="I665" i="11" s="1"/>
  <c r="H665" i="11" a="1"/>
  <c r="H665" i="11" s="1"/>
  <c r="I359" i="11" a="1"/>
  <c r="I359" i="11" s="1"/>
  <c r="H359" i="11" a="1"/>
  <c r="H359" i="11" s="1"/>
  <c r="I355" i="11" a="1"/>
  <c r="I355" i="11" s="1"/>
  <c r="H355" i="11" a="1"/>
  <c r="H355" i="11" s="1"/>
  <c r="I351" i="11" a="1"/>
  <c r="I351" i="11" s="1"/>
  <c r="H351" i="11" a="1"/>
  <c r="H351" i="11" s="1"/>
  <c r="I346" i="11" a="1"/>
  <c r="I346" i="11" s="1"/>
  <c r="H346" i="11" a="1"/>
  <c r="H346" i="11" s="1"/>
  <c r="I335" i="11" a="1"/>
  <c r="I335" i="11" s="1"/>
  <c r="H335" i="11" a="1"/>
  <c r="H335" i="11" s="1"/>
  <c r="I330" i="11" a="1"/>
  <c r="I330" i="11" s="1"/>
  <c r="H330" i="11" a="1"/>
  <c r="H330" i="11" s="1"/>
  <c r="I319" i="11" a="1"/>
  <c r="I319" i="11" s="1"/>
  <c r="H319" i="11" a="1"/>
  <c r="H319" i="11" s="1"/>
  <c r="I314" i="11" a="1"/>
  <c r="I314" i="11" s="1"/>
  <c r="H314" i="11" a="1"/>
  <c r="H314" i="11" s="1"/>
  <c r="I303" i="11" a="1"/>
  <c r="I303" i="11" s="1"/>
  <c r="H303" i="11" a="1"/>
  <c r="H303" i="11" s="1"/>
  <c r="I298" i="11" a="1"/>
  <c r="I298" i="11" s="1"/>
  <c r="H298" i="11" a="1"/>
  <c r="H298" i="11" s="1"/>
  <c r="I287" i="11" a="1"/>
  <c r="I287" i="11" s="1"/>
  <c r="H287" i="11" a="1"/>
  <c r="H287" i="11" s="1"/>
  <c r="I282" i="11" a="1"/>
  <c r="I282" i="11" s="1"/>
  <c r="H282" i="11" a="1"/>
  <c r="H282" i="11" s="1"/>
  <c r="I271" i="11" a="1"/>
  <c r="I271" i="11" s="1"/>
  <c r="H271" i="11" a="1"/>
  <c r="H271" i="11" s="1"/>
  <c r="I266" i="11" a="1"/>
  <c r="I266" i="11" s="1"/>
  <c r="H266" i="11" a="1"/>
  <c r="H266" i="11" s="1"/>
  <c r="I259" i="11" a="1"/>
  <c r="I259" i="11" s="1"/>
  <c r="H259" i="11" a="1"/>
  <c r="H259" i="11" s="1"/>
  <c r="I498" i="11" a="1"/>
  <c r="I498" i="11" s="1"/>
  <c r="H498" i="11" a="1"/>
  <c r="H498" i="11" s="1"/>
  <c r="I497" i="11" a="1"/>
  <c r="I497" i="11" s="1"/>
  <c r="H497" i="11" a="1"/>
  <c r="H497" i="11" s="1"/>
  <c r="I486" i="11" a="1"/>
  <c r="I486" i="11" s="1"/>
  <c r="H486" i="11" a="1"/>
  <c r="H486" i="11" s="1"/>
  <c r="I484" i="11" a="1"/>
  <c r="I484" i="11" s="1"/>
  <c r="H484" i="11" a="1"/>
  <c r="H484" i="11" s="1"/>
  <c r="I483" i="11" a="1"/>
  <c r="I483" i="11" s="1"/>
  <c r="H483" i="11" a="1"/>
  <c r="H483" i="11" s="1"/>
  <c r="I448" i="11" a="1"/>
  <c r="I448" i="11" s="1"/>
  <c r="H448" i="11" a="1"/>
  <c r="H448" i="11" s="1"/>
  <c r="I447" i="11" a="1"/>
  <c r="I447" i="11" s="1"/>
  <c r="H447" i="11" a="1"/>
  <c r="H447" i="11" s="1"/>
  <c r="I445" i="11" a="1"/>
  <c r="I445" i="11" s="1"/>
  <c r="H445" i="11" a="1"/>
  <c r="H445" i="11" s="1"/>
  <c r="I434" i="11" a="1"/>
  <c r="I434" i="11" s="1"/>
  <c r="H434" i="11" a="1"/>
  <c r="H434" i="11" s="1"/>
  <c r="I433" i="11" a="1"/>
  <c r="I433" i="11" s="1"/>
  <c r="H433" i="11" a="1"/>
  <c r="H433" i="11" s="1"/>
  <c r="I422" i="11" a="1"/>
  <c r="I422" i="11" s="1"/>
  <c r="H422" i="11" a="1"/>
  <c r="H422" i="11" s="1"/>
  <c r="I420" i="11" a="1"/>
  <c r="I420" i="11" s="1"/>
  <c r="H420" i="11" a="1"/>
  <c r="H420" i="11" s="1"/>
  <c r="I419" i="11" a="1"/>
  <c r="I419" i="11" s="1"/>
  <c r="H419" i="11" a="1"/>
  <c r="H419" i="11" s="1"/>
  <c r="H382" i="11" a="1"/>
  <c r="H382" i="11" s="1"/>
  <c r="I382" i="11" a="1"/>
  <c r="I382" i="11" s="1"/>
  <c r="I381" i="11" a="1"/>
  <c r="I381" i="11" s="1"/>
  <c r="H381" i="11" a="1"/>
  <c r="H381" i="11" s="1"/>
  <c r="H579" i="11" a="1"/>
  <c r="H579" i="11" s="1"/>
  <c r="I579" i="11" a="1"/>
  <c r="I579" i="11" s="1"/>
  <c r="I557" i="11" a="1"/>
  <c r="I557" i="11" s="1"/>
  <c r="H557" i="11" a="1"/>
  <c r="H557" i="11" s="1"/>
  <c r="H553" i="11" a="1"/>
  <c r="H553" i="11" s="1"/>
  <c r="I553" i="11" a="1"/>
  <c r="I553" i="11" s="1"/>
  <c r="H552" i="11" a="1"/>
  <c r="H552" i="11" s="1"/>
  <c r="I552" i="11" a="1"/>
  <c r="I552" i="11" s="1"/>
  <c r="I546" i="11" a="1"/>
  <c r="I546" i="11" s="1"/>
  <c r="H546" i="11" a="1"/>
  <c r="H546" i="11" s="1"/>
  <c r="I519" i="11" a="1"/>
  <c r="I519" i="11" s="1"/>
  <c r="H519" i="11" a="1"/>
  <c r="H519" i="11" s="1"/>
  <c r="I678" i="11" a="1"/>
  <c r="I678" i="11" s="1"/>
  <c r="H678" i="11" a="1"/>
  <c r="H678" i="11" s="1"/>
  <c r="I645" i="11" a="1"/>
  <c r="I645" i="11" s="1"/>
  <c r="H645" i="11" a="1"/>
  <c r="H645" i="11" s="1"/>
  <c r="I640" i="11" a="1"/>
  <c r="I640" i="11" s="1"/>
  <c r="H640" i="11" a="1"/>
  <c r="H640" i="11" s="1"/>
  <c r="I297" i="11" a="1"/>
  <c r="I297" i="11" s="1"/>
  <c r="H297" i="11" a="1"/>
  <c r="H297" i="11" s="1"/>
  <c r="I292" i="11" a="1"/>
  <c r="I292" i="11" s="1"/>
  <c r="H292" i="11" a="1"/>
  <c r="H292" i="11" s="1"/>
  <c r="I281" i="11" a="1"/>
  <c r="I281" i="11" s="1"/>
  <c r="H281" i="11" a="1"/>
  <c r="H281" i="11" s="1"/>
  <c r="I276" i="11" a="1"/>
  <c r="I276" i="11" s="1"/>
  <c r="H276" i="11" a="1"/>
  <c r="H276" i="11" s="1"/>
  <c r="I265" i="11" a="1"/>
  <c r="I265" i="11" s="1"/>
  <c r="H265" i="11" a="1"/>
  <c r="H265" i="11" s="1"/>
  <c r="I258" i="11" a="1"/>
  <c r="I258" i="11" s="1"/>
  <c r="H258" i="11" a="1"/>
  <c r="H258" i="11" s="1"/>
  <c r="I472" i="11" a="1"/>
  <c r="I472" i="11" s="1"/>
  <c r="H472" i="11" a="1"/>
  <c r="H472" i="11" s="1"/>
  <c r="I471" i="11" a="1"/>
  <c r="I471" i="11" s="1"/>
  <c r="H471" i="11" a="1"/>
  <c r="H471" i="11" s="1"/>
  <c r="I469" i="11" a="1"/>
  <c r="I469" i="11" s="1"/>
  <c r="H469" i="11" a="1"/>
  <c r="H469" i="11" s="1"/>
  <c r="I458" i="11" a="1"/>
  <c r="I458" i="11" s="1"/>
  <c r="H458" i="11" a="1"/>
  <c r="H458" i="11" s="1"/>
  <c r="I457" i="11" a="1"/>
  <c r="I457" i="11" s="1"/>
  <c r="H457" i="11" a="1"/>
  <c r="H457" i="11" s="1"/>
  <c r="I446" i="11" a="1"/>
  <c r="I446" i="11" s="1"/>
  <c r="H446" i="11" a="1"/>
  <c r="H446" i="11" s="1"/>
  <c r="I444" i="11" a="1"/>
  <c r="I444" i="11" s="1"/>
  <c r="H444" i="11" a="1"/>
  <c r="H444" i="11" s="1"/>
  <c r="I443" i="11" a="1"/>
  <c r="I443" i="11" s="1"/>
  <c r="H443" i="11" a="1"/>
  <c r="H443" i="11" s="1"/>
  <c r="I408" i="11" a="1"/>
  <c r="I408" i="11" s="1"/>
  <c r="H408" i="11" a="1"/>
  <c r="H408" i="11" s="1"/>
  <c r="I407" i="11" a="1"/>
  <c r="I407" i="11" s="1"/>
  <c r="H407" i="11" a="1"/>
  <c r="H407" i="11" s="1"/>
  <c r="I403" i="11" a="1"/>
  <c r="I403" i="11" s="1"/>
  <c r="H403" i="11" a="1"/>
  <c r="H403" i="11" s="1"/>
  <c r="I617" i="11" a="1"/>
  <c r="I617" i="11" s="1"/>
  <c r="H617" i="11" a="1"/>
  <c r="H617" i="11" s="1"/>
  <c r="I581" i="11" a="1"/>
  <c r="I581" i="11" s="1"/>
  <c r="H581" i="11" a="1"/>
  <c r="H581" i="11" s="1"/>
  <c r="I580" i="11" a="1"/>
  <c r="I580" i="11" s="1"/>
  <c r="H580" i="11" a="1"/>
  <c r="H580" i="11" s="1"/>
  <c r="I559" i="11" a="1"/>
  <c r="I559" i="11" s="1"/>
  <c r="H559" i="11" a="1"/>
  <c r="H559" i="11" s="1"/>
  <c r="I558" i="11" a="1"/>
  <c r="I558" i="11" s="1"/>
  <c r="H558" i="11" a="1"/>
  <c r="H558" i="11" s="1"/>
  <c r="I556" i="11" a="1"/>
  <c r="I556" i="11" s="1"/>
  <c r="H556" i="11" a="1"/>
  <c r="H556" i="11" s="1"/>
  <c r="I555" i="11" a="1"/>
  <c r="I555" i="11" s="1"/>
  <c r="H555" i="11" a="1"/>
  <c r="H555" i="11" s="1"/>
  <c r="I554" i="11" a="1"/>
  <c r="I554" i="11" s="1"/>
  <c r="H554" i="11" a="1"/>
  <c r="H554" i="11" s="1"/>
  <c r="I509" i="11" a="1"/>
  <c r="I509" i="11" s="1"/>
  <c r="H509" i="11" a="1"/>
  <c r="H509" i="11" s="1"/>
  <c r="I506" i="11" a="1"/>
  <c r="I506" i="11" s="1"/>
  <c r="H506" i="11" a="1"/>
  <c r="H506" i="11" s="1"/>
  <c r="I657" i="11" a="1"/>
  <c r="I657" i="11" s="1"/>
  <c r="H657" i="11" a="1"/>
  <c r="H657" i="11" s="1"/>
  <c r="I646" i="11" a="1"/>
  <c r="I646" i="11" s="1"/>
  <c r="H646" i="11" a="1"/>
  <c r="H646" i="11" s="1"/>
  <c r="I307" i="11" a="1"/>
  <c r="I307" i="11" s="1"/>
  <c r="H307" i="11" a="1"/>
  <c r="H307" i="11" s="1"/>
  <c r="I302" i="11" a="1"/>
  <c r="I302" i="11" s="1"/>
  <c r="H302" i="11" a="1"/>
  <c r="H302" i="11" s="1"/>
  <c r="I291" i="11" a="1"/>
  <c r="I291" i="11" s="1"/>
  <c r="H291" i="11" a="1"/>
  <c r="H291" i="11" s="1"/>
  <c r="I286" i="11" a="1"/>
  <c r="I286" i="11" s="1"/>
  <c r="H286" i="11" a="1"/>
  <c r="H286" i="11" s="1"/>
  <c r="I275" i="11" a="1"/>
  <c r="I275" i="11" s="1"/>
  <c r="H275" i="11" a="1"/>
  <c r="H275" i="11" s="1"/>
  <c r="I270" i="11" a="1"/>
  <c r="I270" i="11" s="1"/>
  <c r="H270" i="11" a="1"/>
  <c r="H270" i="11" s="1"/>
  <c r="I257" i="11" a="1"/>
  <c r="I257" i="11" s="1"/>
  <c r="H257" i="11" a="1"/>
  <c r="H257" i="11" s="1"/>
  <c r="I496" i="11" a="1"/>
  <c r="I496" i="11" s="1"/>
  <c r="H496" i="11" a="1"/>
  <c r="H496" i="11" s="1"/>
  <c r="I495" i="11" a="1"/>
  <c r="I495" i="11" s="1"/>
  <c r="H495" i="11" a="1"/>
  <c r="H495" i="11" s="1"/>
  <c r="I493" i="11" a="1"/>
  <c r="I493" i="11" s="1"/>
  <c r="H493" i="11" a="1"/>
  <c r="H493" i="11" s="1"/>
  <c r="I482" i="11" a="1"/>
  <c r="I482" i="11" s="1"/>
  <c r="H482" i="11" a="1"/>
  <c r="H482" i="11" s="1"/>
  <c r="I481" i="11" a="1"/>
  <c r="I481" i="11" s="1"/>
  <c r="H481" i="11" a="1"/>
  <c r="H481" i="11" s="1"/>
  <c r="I470" i="11" a="1"/>
  <c r="I470" i="11" s="1"/>
  <c r="H470" i="11" a="1"/>
  <c r="H470" i="11" s="1"/>
  <c r="I468" i="11" a="1"/>
  <c r="I468" i="11" s="1"/>
  <c r="H468" i="11" a="1"/>
  <c r="H468" i="11" s="1"/>
  <c r="I467" i="11" a="1"/>
  <c r="I467" i="11" s="1"/>
  <c r="H467" i="11" a="1"/>
  <c r="H467" i="11" s="1"/>
  <c r="H432" i="11" a="1"/>
  <c r="H432" i="11" s="1"/>
  <c r="I432" i="11" a="1"/>
  <c r="I432" i="11" s="1"/>
  <c r="I431" i="11" a="1"/>
  <c r="I431" i="11" s="1"/>
  <c r="H431" i="11" a="1"/>
  <c r="H431" i="11" s="1"/>
  <c r="I429" i="11" a="1"/>
  <c r="I429" i="11" s="1"/>
  <c r="H429" i="11" a="1"/>
  <c r="H429" i="11" s="1"/>
  <c r="I418" i="11" a="1"/>
  <c r="I418" i="11" s="1"/>
  <c r="H418" i="11" a="1"/>
  <c r="H418" i="11" s="1"/>
  <c r="I417" i="11" a="1"/>
  <c r="I417" i="11" s="1"/>
  <c r="H417" i="11" a="1"/>
  <c r="H417" i="11" s="1"/>
  <c r="I406" i="11" a="1"/>
  <c r="I406" i="11" s="1"/>
  <c r="H406" i="11" a="1"/>
  <c r="H406" i="11" s="1"/>
  <c r="I405" i="11" a="1"/>
  <c r="I405" i="11" s="1"/>
  <c r="H405" i="11" a="1"/>
  <c r="H405" i="11" s="1"/>
  <c r="I404" i="11" a="1"/>
  <c r="I404" i="11" s="1"/>
  <c r="H404" i="11" a="1"/>
  <c r="H404" i="11" s="1"/>
  <c r="H400" i="11" a="1"/>
  <c r="H400" i="11" s="1"/>
  <c r="I400" i="11" a="1"/>
  <c r="I400" i="11" s="1"/>
  <c r="I399" i="11" a="1"/>
  <c r="I399" i="11" s="1"/>
  <c r="H399" i="11" a="1"/>
  <c r="H399" i="11" s="1"/>
  <c r="I630" i="11" a="1"/>
  <c r="I630" i="11" s="1"/>
  <c r="H630" i="11" a="1"/>
  <c r="H630" i="11" s="1"/>
  <c r="H629" i="11" a="1"/>
  <c r="H629" i="11" s="1"/>
  <c r="I629" i="11" a="1"/>
  <c r="I629" i="11" s="1"/>
  <c r="I619" i="11" a="1"/>
  <c r="I619" i="11" s="1"/>
  <c r="H619" i="11" a="1"/>
  <c r="H619" i="11" s="1"/>
  <c r="I614" i="11" a="1"/>
  <c r="I614" i="11" s="1"/>
  <c r="H614" i="11" a="1"/>
  <c r="H614" i="11" s="1"/>
  <c r="I612" i="11" a="1"/>
  <c r="I612" i="11" s="1"/>
  <c r="H612" i="11" a="1"/>
  <c r="H612" i="11" s="1"/>
  <c r="H611" i="11" a="1"/>
  <c r="H611" i="11" s="1"/>
  <c r="I611" i="11" a="1"/>
  <c r="I611" i="11" s="1"/>
  <c r="I609" i="11" a="1"/>
  <c r="I609" i="11" s="1"/>
  <c r="H609" i="11" a="1"/>
  <c r="H609" i="11" s="1"/>
  <c r="I582" i="11" a="1"/>
  <c r="I582" i="11" s="1"/>
  <c r="H582" i="11" a="1"/>
  <c r="H582" i="11" s="1"/>
  <c r="I565" i="11" a="1"/>
  <c r="I565" i="11" s="1"/>
  <c r="H565" i="11" a="1"/>
  <c r="H565" i="11" s="1"/>
  <c r="H560" i="11" a="1"/>
  <c r="H560" i="11" s="1"/>
  <c r="I560" i="11" a="1"/>
  <c r="I560" i="11" s="1"/>
  <c r="I525" i="11" a="1"/>
  <c r="I525" i="11" s="1"/>
  <c r="H525" i="11" a="1"/>
  <c r="H525" i="11" s="1"/>
  <c r="I522" i="11" a="1"/>
  <c r="I522" i="11" s="1"/>
  <c r="H522" i="11" a="1"/>
  <c r="H522" i="11" s="1"/>
  <c r="I658" i="11" a="1"/>
  <c r="I658" i="11" s="1"/>
  <c r="H658" i="11" a="1"/>
  <c r="H658" i="11" s="1"/>
  <c r="I654" i="11" a="1"/>
  <c r="I654" i="11" s="1"/>
  <c r="H654" i="11" a="1"/>
  <c r="H654" i="11" s="1"/>
  <c r="I653" i="11" a="1"/>
  <c r="I653" i="11" s="1"/>
  <c r="H653" i="11" a="1"/>
  <c r="H653" i="11" s="1"/>
  <c r="I494" i="11" a="1"/>
  <c r="I494" i="11" s="1"/>
  <c r="H494" i="11" a="1"/>
  <c r="H494" i="11" s="1"/>
  <c r="I492" i="11" a="1"/>
  <c r="I492" i="11" s="1"/>
  <c r="H492" i="11" a="1"/>
  <c r="H492" i="11" s="1"/>
  <c r="I491" i="11" a="1"/>
  <c r="I491" i="11" s="1"/>
  <c r="H491" i="11" a="1"/>
  <c r="H491" i="11" s="1"/>
  <c r="I456" i="11" a="1"/>
  <c r="I456" i="11" s="1"/>
  <c r="H456" i="11" a="1"/>
  <c r="H456" i="11" s="1"/>
  <c r="I455" i="11" a="1"/>
  <c r="I455" i="11" s="1"/>
  <c r="H455" i="11" a="1"/>
  <c r="H455" i="11" s="1"/>
  <c r="I453" i="11" a="1"/>
  <c r="I453" i="11" s="1"/>
  <c r="H453" i="11" a="1"/>
  <c r="H453" i="11" s="1"/>
  <c r="I442" i="11" a="1"/>
  <c r="I442" i="11" s="1"/>
  <c r="H442" i="11" a="1"/>
  <c r="H442" i="11" s="1"/>
  <c r="I441" i="11" a="1"/>
  <c r="I441" i="11" s="1"/>
  <c r="H441" i="11" a="1"/>
  <c r="H441" i="11" s="1"/>
  <c r="I430" i="11" a="1"/>
  <c r="I430" i="11" s="1"/>
  <c r="H430" i="11" a="1"/>
  <c r="H430" i="11" s="1"/>
  <c r="I428" i="11" a="1"/>
  <c r="I428" i="11" s="1"/>
  <c r="H428" i="11" a="1"/>
  <c r="H428" i="11" s="1"/>
  <c r="I427" i="11" a="1"/>
  <c r="I427" i="11" s="1"/>
  <c r="H427" i="11" a="1"/>
  <c r="H427" i="11" s="1"/>
  <c r="I398" i="11" a="1"/>
  <c r="I398" i="11" s="1"/>
  <c r="H398" i="11" a="1"/>
  <c r="H398" i="11" s="1"/>
  <c r="I397" i="11" a="1"/>
  <c r="I397" i="11" s="1"/>
  <c r="H397" i="11" a="1"/>
  <c r="H397" i="11" s="1"/>
  <c r="I628" i="11" a="1"/>
  <c r="I628" i="11" s="1"/>
  <c r="H628" i="11" a="1"/>
  <c r="H628" i="11" s="1"/>
  <c r="I627" i="11" a="1"/>
  <c r="I627" i="11" s="1"/>
  <c r="H627" i="11" a="1"/>
  <c r="H627" i="11" s="1"/>
  <c r="I625" i="11" a="1"/>
  <c r="I625" i="11" s="1"/>
  <c r="H625" i="11" a="1"/>
  <c r="H625" i="11" s="1"/>
  <c r="I621" i="11" a="1"/>
  <c r="I621" i="11" s="1"/>
  <c r="H621" i="11" a="1"/>
  <c r="H621" i="11" s="1"/>
  <c r="I620" i="11" a="1"/>
  <c r="I620" i="11" s="1"/>
  <c r="H620" i="11" a="1"/>
  <c r="H620" i="11" s="1"/>
  <c r="I610" i="11" a="1"/>
  <c r="I610" i="11" s="1"/>
  <c r="H610" i="11" a="1"/>
  <c r="H610" i="11" s="1"/>
  <c r="I608" i="11" a="1"/>
  <c r="I608" i="11" s="1"/>
  <c r="H608" i="11" a="1"/>
  <c r="H608" i="11" s="1"/>
  <c r="I607" i="11" a="1"/>
  <c r="I607" i="11" s="1"/>
  <c r="H607" i="11" a="1"/>
  <c r="H607" i="11" s="1"/>
  <c r="H605" i="11" a="1"/>
  <c r="H605" i="11" s="1"/>
  <c r="I605" i="11" a="1"/>
  <c r="I605" i="11" s="1"/>
  <c r="I583" i="11" a="1"/>
  <c r="I583" i="11" s="1"/>
  <c r="H583" i="11" a="1"/>
  <c r="H583" i="11" s="1"/>
  <c r="I567" i="11" a="1"/>
  <c r="I567" i="11" s="1"/>
  <c r="H567" i="11" a="1"/>
  <c r="H567" i="11" s="1"/>
  <c r="I566" i="11" a="1"/>
  <c r="I566" i="11" s="1"/>
  <c r="H566" i="11" a="1"/>
  <c r="H566" i="11" s="1"/>
  <c r="I564" i="11" a="1"/>
  <c r="I564" i="11" s="1"/>
  <c r="H564" i="11" a="1"/>
  <c r="H564" i="11" s="1"/>
  <c r="I563" i="11" a="1"/>
  <c r="I563" i="11" s="1"/>
  <c r="H563" i="11" a="1"/>
  <c r="H563" i="11" s="1"/>
  <c r="I561" i="11" a="1"/>
  <c r="I561" i="11" s="1"/>
  <c r="H561" i="11" a="1"/>
  <c r="H561" i="11" s="1"/>
  <c r="I512" i="11" a="1"/>
  <c r="I512" i="11" s="1"/>
  <c r="H512" i="11" a="1"/>
  <c r="H512" i="11" s="1"/>
  <c r="I661" i="11" a="1"/>
  <c r="I661" i="11" s="1"/>
  <c r="H661" i="11" a="1"/>
  <c r="H661" i="11" s="1"/>
  <c r="I659" i="11" a="1"/>
  <c r="I659" i="11" s="1"/>
  <c r="H659" i="11" a="1"/>
  <c r="H659" i="11" s="1"/>
  <c r="I652" i="11" a="1"/>
  <c r="I652" i="11" s="1"/>
  <c r="H652" i="11" a="1"/>
  <c r="H652" i="11" s="1"/>
  <c r="I650" i="11" a="1"/>
  <c r="I650" i="11" s="1"/>
  <c r="H650" i="11" a="1"/>
  <c r="H650" i="11" s="1"/>
  <c r="I649" i="11" a="1"/>
  <c r="I649" i="11" s="1"/>
  <c r="H649" i="11" a="1"/>
  <c r="H649" i="11" s="1"/>
  <c r="I648" i="11" a="1"/>
  <c r="I648" i="11" s="1"/>
  <c r="H648" i="11" a="1"/>
  <c r="H648" i="11" s="1"/>
  <c r="I343" i="11" a="1"/>
  <c r="I343" i="11" s="1"/>
  <c r="H343" i="11" a="1"/>
  <c r="H343" i="11" s="1"/>
  <c r="I338" i="11" a="1"/>
  <c r="I338" i="11" s="1"/>
  <c r="H338" i="11" a="1"/>
  <c r="H338" i="11" s="1"/>
  <c r="I327" i="11" a="1"/>
  <c r="I327" i="11" s="1"/>
  <c r="H327" i="11" a="1"/>
  <c r="H327" i="11" s="1"/>
  <c r="I322" i="11" a="1"/>
  <c r="I322" i="11" s="1"/>
  <c r="H322" i="11" a="1"/>
  <c r="H322" i="11" s="1"/>
  <c r="I311" i="11" a="1"/>
  <c r="I311" i="11" s="1"/>
  <c r="H311" i="11" a="1"/>
  <c r="H311" i="11" s="1"/>
  <c r="I306" i="11" a="1"/>
  <c r="I306" i="11" s="1"/>
  <c r="H306" i="11" a="1"/>
  <c r="H306" i="11" s="1"/>
  <c r="I295" i="11" a="1"/>
  <c r="I295" i="11" s="1"/>
  <c r="H295" i="11" a="1"/>
  <c r="H295" i="11" s="1"/>
  <c r="I290" i="11" a="1"/>
  <c r="I290" i="11" s="1"/>
  <c r="H290" i="11" a="1"/>
  <c r="H290" i="11" s="1"/>
  <c r="I279" i="11" a="1"/>
  <c r="I279" i="11" s="1"/>
  <c r="H279" i="11" a="1"/>
  <c r="H279" i="11" s="1"/>
  <c r="I274" i="11" a="1"/>
  <c r="I274" i="11" s="1"/>
  <c r="H274" i="11" a="1"/>
  <c r="H274" i="11" s="1"/>
  <c r="I263" i="11" a="1"/>
  <c r="I263" i="11" s="1"/>
  <c r="H263" i="11" a="1"/>
  <c r="H263" i="11" s="1"/>
  <c r="I480" i="11" a="1"/>
  <c r="I480" i="11" s="1"/>
  <c r="H480" i="11" a="1"/>
  <c r="H480" i="11" s="1"/>
  <c r="I479" i="11" a="1"/>
  <c r="I479" i="11" s="1"/>
  <c r="H479" i="11" a="1"/>
  <c r="H479" i="11" s="1"/>
  <c r="I477" i="11" a="1"/>
  <c r="I477" i="11" s="1"/>
  <c r="H477" i="11" a="1"/>
  <c r="H477" i="11" s="1"/>
  <c r="I466" i="11" a="1"/>
  <c r="I466" i="11" s="1"/>
  <c r="H466" i="11" a="1"/>
  <c r="H466" i="11" s="1"/>
  <c r="I465" i="11" a="1"/>
  <c r="I465" i="11" s="1"/>
  <c r="H465" i="11" a="1"/>
  <c r="H465" i="11" s="1"/>
  <c r="I454" i="11" a="1"/>
  <c r="I454" i="11" s="1"/>
  <c r="H454" i="11" a="1"/>
  <c r="H454" i="11" s="1"/>
  <c r="I452" i="11" a="1"/>
  <c r="I452" i="11" s="1"/>
  <c r="H452" i="11" a="1"/>
  <c r="H452" i="11" s="1"/>
  <c r="I451" i="11" a="1"/>
  <c r="I451" i="11" s="1"/>
  <c r="H451" i="11" a="1"/>
  <c r="H451" i="11" s="1"/>
  <c r="I416" i="11" a="1"/>
  <c r="I416" i="11" s="1"/>
  <c r="H416" i="11" a="1"/>
  <c r="H416" i="11" s="1"/>
  <c r="I415" i="11" a="1"/>
  <c r="I415" i="11" s="1"/>
  <c r="H415" i="11" a="1"/>
  <c r="H415" i="11" s="1"/>
  <c r="I413" i="11" a="1"/>
  <c r="I413" i="11" s="1"/>
  <c r="H413" i="11" a="1"/>
  <c r="H413" i="11" s="1"/>
  <c r="I396" i="11" a="1"/>
  <c r="I396" i="11" s="1"/>
  <c r="H396" i="11" a="1"/>
  <c r="H396" i="11" s="1"/>
  <c r="I395" i="11" a="1"/>
  <c r="I395" i="11" s="1"/>
  <c r="H395" i="11" a="1"/>
  <c r="H395" i="11" s="1"/>
  <c r="I626" i="11" a="1"/>
  <c r="I626" i="11" s="1"/>
  <c r="H626" i="11" a="1"/>
  <c r="H626" i="11" s="1"/>
  <c r="I624" i="11" a="1"/>
  <c r="I624" i="11" s="1"/>
  <c r="H624" i="11" a="1"/>
  <c r="H624" i="11" s="1"/>
  <c r="I623" i="11" a="1"/>
  <c r="I623" i="11" s="1"/>
  <c r="H623" i="11" a="1"/>
  <c r="H623" i="11" s="1"/>
  <c r="I622" i="11" a="1"/>
  <c r="I622" i="11" s="1"/>
  <c r="H622" i="11" a="1"/>
  <c r="H622" i="11" s="1"/>
  <c r="I606" i="11" a="1"/>
  <c r="I606" i="11" s="1"/>
  <c r="H606" i="11" a="1"/>
  <c r="H606" i="11" s="1"/>
  <c r="I604" i="11" a="1"/>
  <c r="I604" i="11" s="1"/>
  <c r="H604" i="11" a="1"/>
  <c r="H604" i="11" s="1"/>
  <c r="I603" i="11" a="1"/>
  <c r="I603" i="11" s="1"/>
  <c r="H603" i="11" a="1"/>
  <c r="H603" i="11" s="1"/>
  <c r="I601" i="11" a="1"/>
  <c r="I601" i="11" s="1"/>
  <c r="H601" i="11" a="1"/>
  <c r="H601" i="11" s="1"/>
  <c r="I585" i="11" a="1"/>
  <c r="I585" i="11" s="1"/>
  <c r="H585" i="11" a="1"/>
  <c r="H585" i="11" s="1"/>
  <c r="H573" i="11" a="1"/>
  <c r="H573" i="11" s="1"/>
  <c r="I573" i="11" a="1"/>
  <c r="I573" i="11" s="1"/>
  <c r="I569" i="11" a="1"/>
  <c r="I569" i="11" s="1"/>
  <c r="H569" i="11" a="1"/>
  <c r="H569" i="11" s="1"/>
  <c r="I568" i="11" a="1"/>
  <c r="I568" i="11" s="1"/>
  <c r="H568" i="11" a="1"/>
  <c r="H568" i="11" s="1"/>
  <c r="I528" i="11" a="1"/>
  <c r="I528" i="11" s="1"/>
  <c r="H528" i="11" a="1"/>
  <c r="H528" i="11" s="1"/>
  <c r="I513" i="11" a="1"/>
  <c r="I513" i="11" s="1"/>
  <c r="H513" i="11" a="1"/>
  <c r="H513" i="11" s="1"/>
  <c r="I662" i="11" a="1"/>
  <c r="I662" i="11" s="1"/>
  <c r="H662" i="11" a="1"/>
  <c r="H662" i="11" s="1"/>
  <c r="I516" i="11" a="1"/>
  <c r="I516" i="11" s="1"/>
  <c r="H516" i="11" a="1"/>
  <c r="H516" i="11" s="1"/>
  <c r="I674" i="11" a="1"/>
  <c r="I674" i="11" s="1"/>
  <c r="H674" i="11" a="1"/>
  <c r="H674" i="11" s="1"/>
  <c r="I671" i="11" a="1"/>
  <c r="I671" i="11" s="1"/>
  <c r="H671" i="11" a="1"/>
  <c r="H671" i="11" s="1"/>
  <c r="I670" i="11" a="1"/>
  <c r="I670" i="11" s="1"/>
  <c r="H670" i="11" a="1"/>
  <c r="H670" i="11" s="1"/>
  <c r="I669" i="11" a="1"/>
  <c r="I669" i="11" s="1"/>
  <c r="H669" i="11" a="1"/>
  <c r="H669" i="11" s="1"/>
  <c r="I638" i="11" a="1"/>
  <c r="I638" i="11" s="1"/>
  <c r="H638" i="11" a="1"/>
  <c r="H638" i="11" s="1"/>
  <c r="I672" i="11" a="1"/>
  <c r="I672" i="11" s="1"/>
  <c r="H672" i="11" a="1"/>
  <c r="H672" i="11" s="1"/>
  <c r="H656" i="11" a="1"/>
  <c r="H656" i="11" s="1"/>
  <c r="I656" i="11" a="1"/>
  <c r="I656" i="11" s="1"/>
  <c r="I517" i="11" a="1"/>
  <c r="I517" i="11" s="1"/>
  <c r="H517" i="11" a="1"/>
  <c r="H517" i="11" s="1"/>
  <c r="I511" i="11" a="1"/>
  <c r="I511" i="11" s="1"/>
  <c r="H511" i="11" a="1"/>
  <c r="H511" i="11" s="1"/>
  <c r="I510" i="11" a="1"/>
  <c r="I510" i="11" s="1"/>
  <c r="H510" i="11" a="1"/>
  <c r="H510" i="11" s="1"/>
  <c r="I508" i="11" a="1"/>
  <c r="I508" i="11" s="1"/>
  <c r="H508" i="11" a="1"/>
  <c r="H508" i="11" s="1"/>
  <c r="I507" i="11" a="1"/>
  <c r="I507" i="11" s="1"/>
  <c r="H507" i="11" a="1"/>
  <c r="H507" i="11" s="1"/>
  <c r="H664" i="11" a="1"/>
  <c r="H664" i="11" s="1"/>
  <c r="I664" i="11" a="1"/>
  <c r="I664" i="11" s="1"/>
  <c r="I644" i="11" a="1"/>
  <c r="I644" i="11" s="1"/>
  <c r="H644" i="11" a="1"/>
  <c r="H644" i="11" s="1"/>
  <c r="I642" i="11" a="1"/>
  <c r="I642" i="11" s="1"/>
  <c r="H642" i="11" a="1"/>
  <c r="H642" i="11" s="1"/>
  <c r="I641" i="11" a="1"/>
  <c r="I641" i="11" s="1"/>
  <c r="H641" i="11" a="1"/>
  <c r="H641" i="11" s="1"/>
  <c r="I402" i="11" a="1"/>
  <c r="I402" i="11" s="1"/>
  <c r="H402" i="11" a="1"/>
  <c r="H402" i="11" s="1"/>
  <c r="I401" i="11" a="1"/>
  <c r="I401" i="11" s="1"/>
  <c r="H401" i="11" a="1"/>
  <c r="H401" i="11" s="1"/>
  <c r="I386" i="11" a="1"/>
  <c r="I386" i="11" s="1"/>
  <c r="H386" i="11" a="1"/>
  <c r="H386" i="11" s="1"/>
  <c r="I385" i="11" a="1"/>
  <c r="I385" i="11" s="1"/>
  <c r="H385" i="11" a="1"/>
  <c r="H385" i="11" s="1"/>
  <c r="I618" i="11" a="1"/>
  <c r="I618" i="11" s="1"/>
  <c r="H618" i="11" a="1"/>
  <c r="H618" i="11" s="1"/>
  <c r="I616" i="11" a="1"/>
  <c r="I616" i="11" s="1"/>
  <c r="H616" i="11" a="1"/>
  <c r="H616" i="11" s="1"/>
  <c r="I615" i="11" a="1"/>
  <c r="I615" i="11" s="1"/>
  <c r="H615" i="11" a="1"/>
  <c r="H615" i="11" s="1"/>
  <c r="I613" i="11" a="1"/>
  <c r="I613" i="11" s="1"/>
  <c r="H613" i="11" a="1"/>
  <c r="H613" i="11" s="1"/>
  <c r="I586" i="11" a="1"/>
  <c r="I586" i="11" s="1"/>
  <c r="H586" i="11" a="1"/>
  <c r="H586" i="11" s="1"/>
  <c r="H584" i="11" a="1"/>
  <c r="H584" i="11" s="1"/>
  <c r="I584" i="11" a="1"/>
  <c r="I584" i="11" s="1"/>
  <c r="I578" i="11" a="1"/>
  <c r="I578" i="11" s="1"/>
  <c r="H578" i="11" a="1"/>
  <c r="H578" i="11" s="1"/>
  <c r="I533" i="11" a="1"/>
  <c r="I533" i="11" s="1"/>
  <c r="H533" i="11" a="1"/>
  <c r="H533" i="11" s="1"/>
  <c r="I527" i="11" a="1"/>
  <c r="I527" i="11" s="1"/>
  <c r="H527" i="11" a="1"/>
  <c r="H527" i="11" s="1"/>
  <c r="I526" i="11" a="1"/>
  <c r="I526" i="11" s="1"/>
  <c r="H526" i="11" a="1"/>
  <c r="H526" i="11" s="1"/>
  <c r="I524" i="11" a="1"/>
  <c r="I524" i="11" s="1"/>
  <c r="H524" i="11" a="1"/>
  <c r="H524" i="11" s="1"/>
  <c r="I523" i="11" a="1"/>
  <c r="I523" i="11" s="1"/>
  <c r="H523" i="11" a="1"/>
  <c r="H523" i="11" s="1"/>
  <c r="I521" i="11" a="1"/>
  <c r="I521" i="11" s="1"/>
  <c r="H521" i="11" a="1"/>
  <c r="H521" i="11" s="1"/>
  <c r="I520" i="11" a="1"/>
  <c r="I520" i="11" s="1"/>
  <c r="H520" i="11" a="1"/>
  <c r="H520" i="11" s="1"/>
  <c r="I514" i="11" a="1"/>
  <c r="I514" i="11" s="1"/>
  <c r="H514" i="11" a="1"/>
  <c r="H514" i="11" s="1"/>
  <c r="I676" i="11" a="1"/>
  <c r="I676" i="11" s="1"/>
  <c r="H676" i="11" a="1"/>
  <c r="H676" i="11" s="1"/>
  <c r="I660" i="11" a="1"/>
  <c r="I660" i="11" s="1"/>
  <c r="H660" i="11" a="1"/>
  <c r="H660" i="11" s="1"/>
  <c r="I636" i="11" a="1"/>
  <c r="I636" i="11" s="1"/>
  <c r="H636" i="11" a="1"/>
  <c r="H636" i="11" s="1"/>
  <c r="H562" i="11" a="1"/>
  <c r="H562" i="11" s="1"/>
  <c r="H633" i="11" a="1"/>
  <c r="H633" i="11" s="1"/>
  <c r="H632" i="11" a="1"/>
  <c r="H632" i="11" s="1"/>
  <c r="I651" i="11" a="1"/>
  <c r="I651" i="11" s="1"/>
  <c r="H651" i="11" a="1"/>
  <c r="H651" i="11" s="1"/>
  <c r="I647" i="11" a="1"/>
  <c r="I647" i="11" s="1"/>
  <c r="H647" i="11" a="1"/>
  <c r="H647" i="11" s="1"/>
  <c r="I643" i="11" a="1"/>
  <c r="I643" i="11" s="1"/>
  <c r="H643" i="11" a="1"/>
  <c r="H643" i="11" s="1"/>
  <c r="I639" i="11" a="1"/>
  <c r="I639" i="11" s="1"/>
  <c r="H639" i="11" a="1"/>
  <c r="H639" i="11" s="1"/>
  <c r="I635" i="11" a="1"/>
  <c r="I635" i="11" s="1"/>
  <c r="H635" i="11" a="1"/>
  <c r="H635" i="11" s="1"/>
  <c r="I631" i="11" a="1"/>
  <c r="I631" i="11" s="1"/>
  <c r="H631" i="11" a="1"/>
  <c r="H631" i="11" s="1"/>
  <c r="H655" i="11" a="1"/>
  <c r="H655" i="11" s="1"/>
  <c r="H634" i="11" a="1"/>
  <c r="H634" i="11" s="1"/>
  <c r="L385" i="11"/>
  <c r="L199" i="11"/>
  <c r="L193" i="11"/>
  <c r="L135" i="11"/>
  <c r="AH158" i="5"/>
  <c r="AI158" i="5" s="1"/>
  <c r="AN158" i="5" s="1"/>
  <c r="AH340" i="5"/>
  <c r="AI340" i="5" s="1"/>
  <c r="AN340" i="5" s="1"/>
  <c r="AH387" i="5"/>
  <c r="AI387" i="5" s="1"/>
  <c r="AN387" i="5" s="1"/>
  <c r="AH309" i="5"/>
  <c r="AI309" i="5" s="1"/>
  <c r="AN309" i="5" s="1"/>
  <c r="AH590" i="5"/>
  <c r="AI590" i="5" s="1"/>
  <c r="AN590" i="5" s="1"/>
  <c r="AH138" i="5"/>
  <c r="AI138" i="5" s="1"/>
  <c r="AN138" i="5" s="1"/>
  <c r="AH203" i="5"/>
  <c r="AI203" i="5" s="1"/>
  <c r="AN203" i="5" s="1"/>
  <c r="AH634" i="5"/>
  <c r="AI634" i="5" s="1"/>
  <c r="AN634" i="5" s="1"/>
  <c r="AH317" i="5"/>
  <c r="AI317" i="5" s="1"/>
  <c r="AN317" i="5" s="1"/>
  <c r="AH581" i="5"/>
  <c r="AI581" i="5" s="1"/>
  <c r="AN581" i="5" s="1"/>
  <c r="J579" i="11"/>
  <c r="K579" i="11" s="1"/>
  <c r="AH580" i="5"/>
  <c r="AI580" i="5" s="1"/>
  <c r="AN580" i="5" s="1"/>
  <c r="J578" i="11"/>
  <c r="AH96" i="5"/>
  <c r="AI96" i="5" s="1"/>
  <c r="AN96" i="5" s="1"/>
  <c r="J94" i="11"/>
  <c r="AH260" i="5"/>
  <c r="AI260" i="5" s="1"/>
  <c r="AN260" i="5" s="1"/>
  <c r="J258" i="11"/>
  <c r="AH578" i="5"/>
  <c r="AI578" i="5" s="1"/>
  <c r="AN578" i="5" s="1"/>
  <c r="J576" i="11"/>
  <c r="AH645" i="5"/>
  <c r="AI645" i="5" s="1"/>
  <c r="AN645" i="5" s="1"/>
  <c r="J633" i="11"/>
  <c r="AH346" i="5"/>
  <c r="AI346" i="5" s="1"/>
  <c r="AN346" i="5" s="1"/>
  <c r="J344" i="11"/>
  <c r="J88" i="11"/>
  <c r="J577" i="11"/>
  <c r="K577" i="11" s="1"/>
  <c r="J73" i="11"/>
  <c r="J76" i="11"/>
  <c r="AH579" i="5"/>
  <c r="AI579" i="5" s="1"/>
  <c r="AN579" i="5" s="1"/>
  <c r="AH90" i="5"/>
  <c r="AI90" i="5" s="1"/>
  <c r="AN90" i="5" s="1"/>
  <c r="AH140" i="5"/>
  <c r="AI140" i="5" s="1"/>
  <c r="AN140" i="5" s="1"/>
  <c r="AH202" i="5"/>
  <c r="AI202" i="5" s="1"/>
  <c r="AN202" i="5" s="1"/>
  <c r="AH343" i="5"/>
  <c r="AI343" i="5" s="1"/>
  <c r="AN343" i="5" s="1"/>
  <c r="AH53" i="5"/>
  <c r="AI53" i="5" s="1"/>
  <c r="AN53" i="5" s="1"/>
  <c r="AH55" i="5"/>
  <c r="AI55" i="5" s="1"/>
  <c r="AN55" i="5" s="1"/>
  <c r="AH80" i="5"/>
  <c r="AI80" i="5" s="1"/>
  <c r="AN80" i="5" s="1"/>
  <c r="AH77" i="5"/>
  <c r="AI77" i="5" s="1"/>
  <c r="AN77" i="5" s="1"/>
  <c r="AH137" i="5"/>
  <c r="AI137" i="5" s="1"/>
  <c r="AN137" i="5" s="1"/>
  <c r="AH361" i="5"/>
  <c r="AI361" i="5" s="1"/>
  <c r="AN361" i="5" s="1"/>
  <c r="AH88" i="5"/>
  <c r="AI88" i="5" s="1"/>
  <c r="AN88" i="5" s="1"/>
  <c r="AH78" i="5"/>
  <c r="AI78" i="5" s="1"/>
  <c r="AN78" i="5" s="1"/>
  <c r="AH54" i="5"/>
  <c r="AI54" i="5" s="1"/>
  <c r="AN54" i="5" s="1"/>
  <c r="AH52" i="5"/>
  <c r="AI52" i="5" s="1"/>
  <c r="AN52" i="5" s="1"/>
  <c r="AH49" i="5"/>
  <c r="AI49" i="5" s="1"/>
  <c r="AN49" i="5" s="1"/>
  <c r="AH48" i="5"/>
  <c r="AI48" i="5" s="1"/>
  <c r="AN48" i="5" s="1"/>
  <c r="L577" i="11" l="1"/>
  <c r="L579" i="11"/>
  <c r="K88" i="11"/>
  <c r="L88" i="11"/>
  <c r="L258" i="11"/>
  <c r="K258" i="11"/>
  <c r="K76" i="11"/>
  <c r="L76" i="11"/>
  <c r="L344" i="11"/>
  <c r="K344" i="11"/>
  <c r="K94" i="11"/>
  <c r="L94" i="11"/>
  <c r="K73" i="11"/>
  <c r="L73" i="11"/>
  <c r="L633" i="11"/>
  <c r="K633" i="11"/>
  <c r="L578" i="11"/>
  <c r="K578" i="11"/>
  <c r="L576" i="11"/>
  <c r="K576" i="11"/>
  <c r="AH341" i="5"/>
  <c r="AI341" i="5" s="1"/>
  <c r="AN341" i="5" s="1"/>
  <c r="J327" i="11" l="1"/>
  <c r="J80" i="11"/>
  <c r="J243" i="11"/>
  <c r="AL649" i="8"/>
  <c r="AI649" i="8"/>
  <c r="AN649" i="8" s="1"/>
  <c r="AH649" i="8"/>
  <c r="U649" i="8"/>
  <c r="Q649" i="8"/>
  <c r="B649" i="8"/>
  <c r="AL648" i="8"/>
  <c r="AH648" i="8"/>
  <c r="AI648" i="8" s="1"/>
  <c r="AN648" i="8" s="1"/>
  <c r="U648" i="8"/>
  <c r="Q648" i="8"/>
  <c r="B648" i="8"/>
  <c r="AN647" i="8"/>
  <c r="AL647" i="8"/>
  <c r="AI647" i="8"/>
  <c r="AH647" i="8"/>
  <c r="U647" i="8"/>
  <c r="Q647" i="8"/>
  <c r="B647" i="8"/>
  <c r="AL646" i="8"/>
  <c r="AI646" i="8"/>
  <c r="AN646" i="8" s="1"/>
  <c r="AH646" i="8"/>
  <c r="U646" i="8"/>
  <c r="Q646" i="8"/>
  <c r="B646" i="8"/>
  <c r="AN645" i="8"/>
  <c r="AL645" i="8"/>
  <c r="AI645" i="8"/>
  <c r="AH645" i="8"/>
  <c r="U645" i="8"/>
  <c r="Q645" i="8"/>
  <c r="B645" i="8"/>
  <c r="AN644" i="8"/>
  <c r="AL644" i="8"/>
  <c r="AI644" i="8"/>
  <c r="AH644" i="8"/>
  <c r="U644" i="8"/>
  <c r="Q644" i="8"/>
  <c r="B644" i="8"/>
  <c r="AL643" i="8"/>
  <c r="AH643" i="8"/>
  <c r="AI643" i="8" s="1"/>
  <c r="AN643" i="8" s="1"/>
  <c r="U643" i="8"/>
  <c r="Q643" i="8"/>
  <c r="AL642" i="8"/>
  <c r="AH642" i="8"/>
  <c r="AI642" i="8" s="1"/>
  <c r="AN642" i="8" s="1"/>
  <c r="U642" i="8"/>
  <c r="Q642" i="8"/>
  <c r="B642" i="8"/>
  <c r="AL641" i="8"/>
  <c r="AH641" i="8"/>
  <c r="AI641" i="8" s="1"/>
  <c r="AN641" i="8" s="1"/>
  <c r="U641" i="8"/>
  <c r="Q641" i="8"/>
  <c r="B641" i="8"/>
  <c r="AN640" i="8"/>
  <c r="AL640" i="8"/>
  <c r="AI640" i="8"/>
  <c r="AH640" i="8"/>
  <c r="U640" i="8"/>
  <c r="Q640" i="8"/>
  <c r="B640" i="8"/>
  <c r="AL639" i="8"/>
  <c r="AI639" i="8"/>
  <c r="AN639" i="8" s="1"/>
  <c r="AH639" i="8"/>
  <c r="U639" i="8"/>
  <c r="Q639" i="8"/>
  <c r="B639" i="8"/>
  <c r="AL638" i="8"/>
  <c r="AI638" i="8"/>
  <c r="AN638" i="8" s="1"/>
  <c r="AH638" i="8"/>
  <c r="U638" i="8"/>
  <c r="Q638" i="8"/>
  <c r="B638" i="8"/>
  <c r="AN637" i="8"/>
  <c r="AL637" i="8"/>
  <c r="AI637" i="8"/>
  <c r="AH637" i="8"/>
  <c r="U637" i="8"/>
  <c r="Q637" i="8"/>
  <c r="B637" i="8"/>
  <c r="AL636" i="8"/>
  <c r="AH636" i="8"/>
  <c r="AI636" i="8" s="1"/>
  <c r="AN636" i="8" s="1"/>
  <c r="U636" i="8"/>
  <c r="Q636" i="8"/>
  <c r="B636" i="8"/>
  <c r="AL635" i="8"/>
  <c r="AH635" i="8"/>
  <c r="AI635" i="8" s="1"/>
  <c r="AN635" i="8" s="1"/>
  <c r="U635" i="8"/>
  <c r="Q635" i="8"/>
  <c r="B635" i="8"/>
  <c r="AL634" i="8"/>
  <c r="AI634" i="8"/>
  <c r="AN634" i="8" s="1"/>
  <c r="AH634" i="8"/>
  <c r="U634" i="8"/>
  <c r="B634" i="8"/>
  <c r="AL633" i="8"/>
  <c r="AI633" i="8"/>
  <c r="AN633" i="8" s="1"/>
  <c r="AH633" i="8"/>
  <c r="U633" i="8"/>
  <c r="B633" i="8"/>
  <c r="AL632" i="8"/>
  <c r="AH632" i="8"/>
  <c r="AI632" i="8" s="1"/>
  <c r="AN632" i="8" s="1"/>
  <c r="U632" i="8"/>
  <c r="B632" i="8"/>
  <c r="AL631" i="8"/>
  <c r="AI631" i="8"/>
  <c r="AN631" i="8" s="1"/>
  <c r="AH631" i="8"/>
  <c r="U631" i="8"/>
  <c r="B631" i="8"/>
  <c r="AL630" i="8"/>
  <c r="AI630" i="8"/>
  <c r="AN630" i="8" s="1"/>
  <c r="AH630" i="8"/>
  <c r="U630" i="8"/>
  <c r="B630" i="8"/>
  <c r="AL629" i="8"/>
  <c r="AI629" i="8"/>
  <c r="AN629" i="8" s="1"/>
  <c r="AH629" i="8"/>
  <c r="U629" i="8"/>
  <c r="B629" i="8"/>
  <c r="AL628" i="8"/>
  <c r="AI628" i="8"/>
  <c r="AN628" i="8" s="1"/>
  <c r="AH628" i="8"/>
  <c r="U628" i="8"/>
  <c r="B628" i="8"/>
  <c r="AL627" i="8"/>
  <c r="AI627" i="8"/>
  <c r="AN627" i="8" s="1"/>
  <c r="AH627" i="8"/>
  <c r="U627" i="8"/>
  <c r="B627" i="8"/>
  <c r="AL626" i="8"/>
  <c r="AH626" i="8"/>
  <c r="AI626" i="8" s="1"/>
  <c r="AN626" i="8" s="1"/>
  <c r="U626" i="8"/>
  <c r="B626" i="8"/>
  <c r="AL625" i="8"/>
  <c r="AI625" i="8"/>
  <c r="AN625" i="8" s="1"/>
  <c r="AH625" i="8"/>
  <c r="U625" i="8"/>
  <c r="B625" i="8"/>
  <c r="AL624" i="8"/>
  <c r="AH624" i="8"/>
  <c r="AI624" i="8" s="1"/>
  <c r="AN624" i="8" s="1"/>
  <c r="U624" i="8"/>
  <c r="B624" i="8"/>
  <c r="AL623" i="8"/>
  <c r="AI623" i="8"/>
  <c r="AN623" i="8" s="1"/>
  <c r="AH623" i="8"/>
  <c r="U623" i="8"/>
  <c r="B623" i="8"/>
  <c r="AL622" i="8"/>
  <c r="AI622" i="8"/>
  <c r="AN622" i="8" s="1"/>
  <c r="AH622" i="8"/>
  <c r="U622" i="8"/>
  <c r="B622" i="8"/>
  <c r="AL621" i="8"/>
  <c r="AI621" i="8"/>
  <c r="AN621" i="8" s="1"/>
  <c r="AH621" i="8"/>
  <c r="U621" i="8"/>
  <c r="B621" i="8"/>
  <c r="AL620" i="8"/>
  <c r="AH620" i="8"/>
  <c r="AI620" i="8" s="1"/>
  <c r="AN620" i="8" s="1"/>
  <c r="U620" i="8"/>
  <c r="B620" i="8"/>
  <c r="AL619" i="8"/>
  <c r="AI619" i="8"/>
  <c r="AN619" i="8" s="1"/>
  <c r="AH619" i="8"/>
  <c r="U619" i="8"/>
  <c r="B619" i="8"/>
  <c r="AL618" i="8"/>
  <c r="AH618" i="8"/>
  <c r="AI618" i="8" s="1"/>
  <c r="AN618" i="8" s="1"/>
  <c r="U618" i="8"/>
  <c r="B618" i="8"/>
  <c r="AL617" i="8"/>
  <c r="AI617" i="8"/>
  <c r="AN617" i="8" s="1"/>
  <c r="AH617" i="8"/>
  <c r="U617" i="8"/>
  <c r="B617" i="8"/>
  <c r="AL616" i="8"/>
  <c r="AI616" i="8"/>
  <c r="AN616" i="8" s="1"/>
  <c r="AH616" i="8"/>
  <c r="U616" i="8"/>
  <c r="B616" i="8"/>
  <c r="AL615" i="8"/>
  <c r="AI615" i="8"/>
  <c r="AN615" i="8" s="1"/>
  <c r="AH615" i="8"/>
  <c r="U615" i="8"/>
  <c r="B615" i="8"/>
  <c r="AL614" i="8"/>
  <c r="AH614" i="8"/>
  <c r="AI614" i="8" s="1"/>
  <c r="AN614" i="8" s="1"/>
  <c r="U614" i="8"/>
  <c r="B614" i="8"/>
  <c r="AL613" i="8"/>
  <c r="AI613" i="8"/>
  <c r="AN613" i="8" s="1"/>
  <c r="AH613" i="8"/>
  <c r="U613" i="8"/>
  <c r="B613" i="8"/>
  <c r="AL612" i="8"/>
  <c r="AH612" i="8"/>
  <c r="AI612" i="8" s="1"/>
  <c r="AN612" i="8" s="1"/>
  <c r="U612" i="8"/>
  <c r="B612" i="8"/>
  <c r="AL611" i="8"/>
  <c r="AI611" i="8"/>
  <c r="AN611" i="8" s="1"/>
  <c r="AH611" i="8"/>
  <c r="U611" i="8"/>
  <c r="B611" i="8"/>
  <c r="AL610" i="8"/>
  <c r="AI610" i="8"/>
  <c r="AN610" i="8" s="1"/>
  <c r="AH610" i="8"/>
  <c r="U610" i="8"/>
  <c r="B610" i="8"/>
  <c r="AL609" i="8"/>
  <c r="AI609" i="8"/>
  <c r="AN609" i="8" s="1"/>
  <c r="AH609" i="8"/>
  <c r="U609" i="8"/>
  <c r="B609" i="8"/>
  <c r="AL608" i="8"/>
  <c r="AH608" i="8"/>
  <c r="AI608" i="8" s="1"/>
  <c r="AN608" i="8" s="1"/>
  <c r="U608" i="8"/>
  <c r="B608" i="8"/>
  <c r="AL607" i="8"/>
  <c r="AI607" i="8"/>
  <c r="AN607" i="8" s="1"/>
  <c r="AH607" i="8"/>
  <c r="U607" i="8"/>
  <c r="B607" i="8"/>
  <c r="AL606" i="8"/>
  <c r="AH606" i="8"/>
  <c r="AI606" i="8" s="1"/>
  <c r="AN606" i="8" s="1"/>
  <c r="U606" i="8"/>
  <c r="B606" i="8"/>
  <c r="AL605" i="8"/>
  <c r="AI605" i="8"/>
  <c r="AN605" i="8" s="1"/>
  <c r="AH605" i="8"/>
  <c r="U605" i="8"/>
  <c r="B605" i="8"/>
  <c r="AL604" i="8"/>
  <c r="AI604" i="8"/>
  <c r="AN604" i="8" s="1"/>
  <c r="AH604" i="8"/>
  <c r="U604" i="8"/>
  <c r="B604" i="8"/>
  <c r="AL603" i="8"/>
  <c r="AI603" i="8"/>
  <c r="AN603" i="8" s="1"/>
  <c r="AH603" i="8"/>
  <c r="U603" i="8"/>
  <c r="B603" i="8"/>
  <c r="AL602" i="8"/>
  <c r="AH602" i="8"/>
  <c r="AI602" i="8" s="1"/>
  <c r="AN602" i="8" s="1"/>
  <c r="U602" i="8"/>
  <c r="B602" i="8"/>
  <c r="AL601" i="8"/>
  <c r="AI601" i="8"/>
  <c r="AN601" i="8" s="1"/>
  <c r="AH601" i="8"/>
  <c r="U601" i="8"/>
  <c r="B601" i="8"/>
  <c r="AL600" i="8"/>
  <c r="AH600" i="8"/>
  <c r="AI600" i="8" s="1"/>
  <c r="AN600" i="8" s="1"/>
  <c r="U600" i="8"/>
  <c r="B600" i="8"/>
  <c r="AL599" i="8"/>
  <c r="AI599" i="8"/>
  <c r="AN599" i="8" s="1"/>
  <c r="AH599" i="8"/>
  <c r="U599" i="8"/>
  <c r="B599" i="8"/>
  <c r="AL598" i="8"/>
  <c r="AI598" i="8"/>
  <c r="AN598" i="8" s="1"/>
  <c r="AH598" i="8"/>
  <c r="U598" i="8"/>
  <c r="B598" i="8"/>
  <c r="AL597" i="8"/>
  <c r="AI597" i="8"/>
  <c r="AN597" i="8" s="1"/>
  <c r="AH597" i="8"/>
  <c r="U597" i="8"/>
  <c r="B597" i="8"/>
  <c r="AL596" i="8"/>
  <c r="AH596" i="8"/>
  <c r="AI596" i="8" s="1"/>
  <c r="AN596" i="8" s="1"/>
  <c r="U596" i="8"/>
  <c r="B596" i="8"/>
  <c r="AL595" i="8"/>
  <c r="AI595" i="8"/>
  <c r="AN595" i="8" s="1"/>
  <c r="AH595" i="8"/>
  <c r="U595" i="8"/>
  <c r="B595" i="8"/>
  <c r="AL594" i="8"/>
  <c r="AH594" i="8"/>
  <c r="AI594" i="8" s="1"/>
  <c r="AN594" i="8" s="1"/>
  <c r="U594" i="8"/>
  <c r="B594" i="8"/>
  <c r="AL593" i="8"/>
  <c r="AI593" i="8"/>
  <c r="AN593" i="8" s="1"/>
  <c r="AH593" i="8"/>
  <c r="U593" i="8"/>
  <c r="B593" i="8"/>
  <c r="AL592" i="8"/>
  <c r="AI592" i="8"/>
  <c r="AN592" i="8" s="1"/>
  <c r="AH592" i="8"/>
  <c r="U592" i="8"/>
  <c r="B592" i="8"/>
  <c r="AL591" i="8"/>
  <c r="AI591" i="8"/>
  <c r="AN591" i="8" s="1"/>
  <c r="AH591" i="8"/>
  <c r="U591" i="8"/>
  <c r="B591" i="8"/>
  <c r="AL590" i="8"/>
  <c r="AH590" i="8"/>
  <c r="AI590" i="8" s="1"/>
  <c r="AN590" i="8" s="1"/>
  <c r="U590" i="8"/>
  <c r="B590" i="8"/>
  <c r="AL589" i="8"/>
  <c r="AI589" i="8"/>
  <c r="AN589" i="8" s="1"/>
  <c r="AH589" i="8"/>
  <c r="U589" i="8"/>
  <c r="B589" i="8"/>
  <c r="AL588" i="8"/>
  <c r="AH588" i="8"/>
  <c r="AI588" i="8" s="1"/>
  <c r="AN588" i="8" s="1"/>
  <c r="U588" i="8"/>
  <c r="B588" i="8"/>
  <c r="AL587" i="8"/>
  <c r="AI587" i="8"/>
  <c r="AN587" i="8" s="1"/>
  <c r="AH587" i="8"/>
  <c r="U587" i="8"/>
  <c r="B587" i="8"/>
  <c r="AL586" i="8"/>
  <c r="AI586" i="8"/>
  <c r="AN586" i="8" s="1"/>
  <c r="AH586" i="8"/>
  <c r="X586" i="8"/>
  <c r="U586" i="8"/>
  <c r="B586" i="8"/>
  <c r="AL585" i="8"/>
  <c r="AH585" i="8"/>
  <c r="AI585" i="8" s="1"/>
  <c r="AN585" i="8" s="1"/>
  <c r="U585" i="8"/>
  <c r="B585" i="8"/>
  <c r="AL584" i="8"/>
  <c r="AI584" i="8"/>
  <c r="AN584" i="8" s="1"/>
  <c r="AH584" i="8"/>
  <c r="U584" i="8"/>
  <c r="B584" i="8"/>
  <c r="AN583" i="8"/>
  <c r="AL583" i="8"/>
  <c r="AI583" i="8"/>
  <c r="AH583" i="8"/>
  <c r="U583" i="8"/>
  <c r="B583" i="8"/>
  <c r="AL582" i="8"/>
  <c r="AI582" i="8"/>
  <c r="AN582" i="8" s="1"/>
  <c r="AH582" i="8"/>
  <c r="U582" i="8"/>
  <c r="B582" i="8"/>
  <c r="AN581" i="8"/>
  <c r="AL581" i="8"/>
  <c r="AI581" i="8"/>
  <c r="AH581" i="8"/>
  <c r="U581" i="8"/>
  <c r="B581" i="8"/>
  <c r="AL580" i="8"/>
  <c r="AI580" i="8"/>
  <c r="AN580" i="8" s="1"/>
  <c r="AH580" i="8"/>
  <c r="U580" i="8"/>
  <c r="B580" i="8"/>
  <c r="AN579" i="8"/>
  <c r="AL579" i="8"/>
  <c r="AI579" i="8"/>
  <c r="AH579" i="8"/>
  <c r="U579" i="8"/>
  <c r="B579" i="8"/>
  <c r="AL578" i="8"/>
  <c r="AI578" i="8"/>
  <c r="AN578" i="8" s="1"/>
  <c r="AH578" i="8"/>
  <c r="U578" i="8"/>
  <c r="B578" i="8"/>
  <c r="AN577" i="8"/>
  <c r="AL577" i="8"/>
  <c r="AI577" i="8"/>
  <c r="AH577" i="8"/>
  <c r="U577" i="8"/>
  <c r="B577" i="8"/>
  <c r="AL576" i="8"/>
  <c r="AI576" i="8"/>
  <c r="AN576" i="8" s="1"/>
  <c r="AH576" i="8"/>
  <c r="U576" i="8"/>
  <c r="B576" i="8"/>
  <c r="AL575" i="8"/>
  <c r="AH575" i="8"/>
  <c r="AI575" i="8" s="1"/>
  <c r="AN575" i="8" s="1"/>
  <c r="U575" i="8"/>
  <c r="B575" i="8"/>
  <c r="AL574" i="8"/>
  <c r="AI574" i="8"/>
  <c r="AN574" i="8" s="1"/>
  <c r="AH574" i="8"/>
  <c r="U574" i="8"/>
  <c r="B574" i="8"/>
  <c r="AL573" i="8"/>
  <c r="AH573" i="8"/>
  <c r="AI573" i="8" s="1"/>
  <c r="AN573" i="8" s="1"/>
  <c r="U573" i="8"/>
  <c r="B573" i="8"/>
  <c r="AL572" i="8"/>
  <c r="AI572" i="8"/>
  <c r="AN572" i="8" s="1"/>
  <c r="AH572" i="8"/>
  <c r="U572" i="8"/>
  <c r="B572" i="8"/>
  <c r="AN571" i="8"/>
  <c r="AL571" i="8"/>
  <c r="AI571" i="8"/>
  <c r="AH571" i="8"/>
  <c r="U571" i="8"/>
  <c r="B571" i="8"/>
  <c r="AL570" i="8"/>
  <c r="AI570" i="8"/>
  <c r="AN570" i="8" s="1"/>
  <c r="AH570" i="8"/>
  <c r="U570" i="8"/>
  <c r="B570" i="8"/>
  <c r="AN569" i="8"/>
  <c r="AL569" i="8"/>
  <c r="AI569" i="8"/>
  <c r="AH569" i="8"/>
  <c r="U569" i="8"/>
  <c r="B569" i="8"/>
  <c r="AL568" i="8"/>
  <c r="AI568" i="8"/>
  <c r="AN568" i="8" s="1"/>
  <c r="AH568" i="8"/>
  <c r="U568" i="8"/>
  <c r="B568" i="8"/>
  <c r="AL567" i="8"/>
  <c r="AH567" i="8"/>
  <c r="AI567" i="8" s="1"/>
  <c r="AN567" i="8" s="1"/>
  <c r="U567" i="8"/>
  <c r="B567" i="8"/>
  <c r="AL566" i="8"/>
  <c r="AI566" i="8"/>
  <c r="AN566" i="8" s="1"/>
  <c r="AH566" i="8"/>
  <c r="U566" i="8"/>
  <c r="B566" i="8"/>
  <c r="AL565" i="8"/>
  <c r="AH565" i="8"/>
  <c r="AI565" i="8" s="1"/>
  <c r="AN565" i="8" s="1"/>
  <c r="U565" i="8"/>
  <c r="B565" i="8"/>
  <c r="AL564" i="8"/>
  <c r="AI564" i="8"/>
  <c r="AN564" i="8" s="1"/>
  <c r="AH564" i="8"/>
  <c r="U564" i="8"/>
  <c r="B564" i="8"/>
  <c r="AN563" i="8"/>
  <c r="AL563" i="8"/>
  <c r="AI563" i="8"/>
  <c r="AH563" i="8"/>
  <c r="U563" i="8"/>
  <c r="B563" i="8"/>
  <c r="AL562" i="8"/>
  <c r="AI562" i="8"/>
  <c r="AN562" i="8" s="1"/>
  <c r="AH562" i="8"/>
  <c r="U562" i="8"/>
  <c r="B562" i="8"/>
  <c r="AN561" i="8"/>
  <c r="AL561" i="8"/>
  <c r="AI561" i="8"/>
  <c r="AH561" i="8"/>
  <c r="U561" i="8"/>
  <c r="B561" i="8"/>
  <c r="AL560" i="8"/>
  <c r="AI560" i="8"/>
  <c r="AN560" i="8" s="1"/>
  <c r="AH560" i="8"/>
  <c r="U560" i="8"/>
  <c r="B560" i="8"/>
  <c r="AN559" i="8"/>
  <c r="AL559" i="8"/>
  <c r="AI559" i="8"/>
  <c r="AH559" i="8"/>
  <c r="U559" i="8"/>
  <c r="B559" i="8"/>
  <c r="AL558" i="8"/>
  <c r="AI558" i="8"/>
  <c r="AN558" i="8" s="1"/>
  <c r="AH558" i="8"/>
  <c r="U558" i="8"/>
  <c r="B558" i="8"/>
  <c r="AN557" i="8"/>
  <c r="AL557" i="8"/>
  <c r="AI557" i="8"/>
  <c r="AH557" i="8"/>
  <c r="U557" i="8"/>
  <c r="B557" i="8"/>
  <c r="AL556" i="8"/>
  <c r="AI556" i="8"/>
  <c r="AN556" i="8" s="1"/>
  <c r="AH556" i="8"/>
  <c r="U556" i="8"/>
  <c r="B556" i="8"/>
  <c r="AN555" i="8"/>
  <c r="AL555" i="8"/>
  <c r="AI555" i="8"/>
  <c r="AH555" i="8"/>
  <c r="U555" i="8"/>
  <c r="B555" i="8"/>
  <c r="AL554" i="8"/>
  <c r="AI554" i="8"/>
  <c r="AN554" i="8" s="1"/>
  <c r="AH554" i="8"/>
  <c r="U554" i="8"/>
  <c r="B554" i="8"/>
  <c r="AN553" i="8"/>
  <c r="AL553" i="8"/>
  <c r="AI553" i="8"/>
  <c r="AH553" i="8"/>
  <c r="U553" i="8"/>
  <c r="B553" i="8"/>
  <c r="AL552" i="8"/>
  <c r="AI552" i="8"/>
  <c r="AN552" i="8" s="1"/>
  <c r="AH552" i="8"/>
  <c r="U552" i="8"/>
  <c r="B552" i="8"/>
  <c r="AN551" i="8"/>
  <c r="AL551" i="8"/>
  <c r="AI551" i="8"/>
  <c r="AH551" i="8"/>
  <c r="U551" i="8"/>
  <c r="B551" i="8"/>
  <c r="AL550" i="8"/>
  <c r="AI550" i="8"/>
  <c r="AN550" i="8" s="1"/>
  <c r="AH550" i="8"/>
  <c r="U550" i="8"/>
  <c r="B550" i="8"/>
  <c r="AL549" i="8"/>
  <c r="AH549" i="8"/>
  <c r="AI549" i="8" s="1"/>
  <c r="AN549" i="8" s="1"/>
  <c r="U549" i="8"/>
  <c r="B549" i="8"/>
  <c r="AL548" i="8"/>
  <c r="AI548" i="8"/>
  <c r="AN548" i="8" s="1"/>
  <c r="AH548" i="8"/>
  <c r="U548" i="8"/>
  <c r="B548" i="8"/>
  <c r="AL547" i="8"/>
  <c r="AH547" i="8"/>
  <c r="AI547" i="8" s="1"/>
  <c r="AN547" i="8" s="1"/>
  <c r="U547" i="8"/>
  <c r="B547" i="8"/>
  <c r="AL546" i="8"/>
  <c r="AI546" i="8"/>
  <c r="AN546" i="8" s="1"/>
  <c r="AH546" i="8"/>
  <c r="U546" i="8"/>
  <c r="B546" i="8"/>
  <c r="AN545" i="8"/>
  <c r="AL545" i="8"/>
  <c r="AI545" i="8"/>
  <c r="AH545" i="8"/>
  <c r="U545" i="8"/>
  <c r="B545" i="8"/>
  <c r="AL544" i="8"/>
  <c r="AI544" i="8"/>
  <c r="AN544" i="8" s="1"/>
  <c r="AH544" i="8"/>
  <c r="U544" i="8"/>
  <c r="B544" i="8"/>
  <c r="AL543" i="8"/>
  <c r="AH543" i="8"/>
  <c r="AI543" i="8" s="1"/>
  <c r="AN543" i="8" s="1"/>
  <c r="U543" i="8"/>
  <c r="B543" i="8"/>
  <c r="AL542" i="8"/>
  <c r="AI542" i="8"/>
  <c r="AN542" i="8" s="1"/>
  <c r="AH542" i="8"/>
  <c r="U542" i="8"/>
  <c r="B542" i="8"/>
  <c r="AL541" i="8"/>
  <c r="AH541" i="8"/>
  <c r="AI541" i="8" s="1"/>
  <c r="AN541" i="8" s="1"/>
  <c r="U541" i="8"/>
  <c r="B541" i="8"/>
  <c r="BO540" i="8"/>
  <c r="AL540" i="8"/>
  <c r="AG540" i="8"/>
  <c r="AF540" i="8"/>
  <c r="AE540" i="8"/>
  <c r="AH540" i="8" s="1"/>
  <c r="AI540" i="8" s="1"/>
  <c r="AN540" i="8" s="1"/>
  <c r="AD540" i="8"/>
  <c r="AC540" i="8"/>
  <c r="AB540" i="8"/>
  <c r="U540" i="8"/>
  <c r="B540" i="8"/>
  <c r="AN539" i="8"/>
  <c r="AL539" i="8"/>
  <c r="AH539" i="8"/>
  <c r="AI539" i="8" s="1"/>
  <c r="U539" i="8"/>
  <c r="B539" i="8"/>
  <c r="AL538" i="8"/>
  <c r="AH538" i="8"/>
  <c r="AI538" i="8" s="1"/>
  <c r="AN538" i="8" s="1"/>
  <c r="U538" i="8"/>
  <c r="B538" i="8"/>
  <c r="AL537" i="8"/>
  <c r="AH537" i="8"/>
  <c r="AI537" i="8" s="1"/>
  <c r="AN537" i="8" s="1"/>
  <c r="U537" i="8"/>
  <c r="B537" i="8"/>
  <c r="AL536" i="8"/>
  <c r="AH536" i="8"/>
  <c r="AI536" i="8" s="1"/>
  <c r="AN536" i="8" s="1"/>
  <c r="U536" i="8"/>
  <c r="B536" i="8"/>
  <c r="AN535" i="8"/>
  <c r="AL535" i="8"/>
  <c r="AH535" i="8"/>
  <c r="AI535" i="8" s="1"/>
  <c r="U535" i="8"/>
  <c r="B535" i="8"/>
  <c r="BO534" i="8"/>
  <c r="AL534" i="8"/>
  <c r="AH534" i="8"/>
  <c r="AI534" i="8" s="1"/>
  <c r="AN534" i="8" s="1"/>
  <c r="U534" i="8"/>
  <c r="B534" i="8"/>
  <c r="BO533" i="8"/>
  <c r="AL533" i="8"/>
  <c r="AH533" i="8"/>
  <c r="AI533" i="8" s="1"/>
  <c r="AN533" i="8" s="1"/>
  <c r="U533" i="8"/>
  <c r="B533" i="8"/>
  <c r="AL532" i="8"/>
  <c r="AH532" i="8"/>
  <c r="AI532" i="8" s="1"/>
  <c r="AN532" i="8" s="1"/>
  <c r="U532" i="8"/>
  <c r="B532" i="8"/>
  <c r="BO531" i="8"/>
  <c r="AL531" i="8"/>
  <c r="AI531" i="8"/>
  <c r="AN531" i="8" s="1"/>
  <c r="AH531" i="8"/>
  <c r="U531" i="8"/>
  <c r="B531" i="8"/>
  <c r="BO530" i="8"/>
  <c r="AL530" i="8"/>
  <c r="AH530" i="8"/>
  <c r="AI530" i="8" s="1"/>
  <c r="AN530" i="8" s="1"/>
  <c r="U530" i="8"/>
  <c r="B530" i="8"/>
  <c r="AL529" i="8"/>
  <c r="AI529" i="8"/>
  <c r="AN529" i="8" s="1"/>
  <c r="AH529" i="8"/>
  <c r="U529" i="8"/>
  <c r="B529" i="8"/>
  <c r="AL528" i="8"/>
  <c r="AH528" i="8"/>
  <c r="AI528" i="8" s="1"/>
  <c r="AN528" i="8" s="1"/>
  <c r="U528" i="8"/>
  <c r="B528" i="8"/>
  <c r="AL527" i="8"/>
  <c r="AI527" i="8"/>
  <c r="AN527" i="8" s="1"/>
  <c r="AH527" i="8"/>
  <c r="U527" i="8"/>
  <c r="B527" i="8"/>
  <c r="AL526" i="8"/>
  <c r="AH526" i="8"/>
  <c r="AI526" i="8" s="1"/>
  <c r="AN526" i="8" s="1"/>
  <c r="U526" i="8"/>
  <c r="B526" i="8"/>
  <c r="AL525" i="8"/>
  <c r="AI525" i="8"/>
  <c r="AN525" i="8" s="1"/>
  <c r="AH525" i="8"/>
  <c r="U525" i="8"/>
  <c r="B525" i="8"/>
  <c r="AL524" i="8"/>
  <c r="AI524" i="8"/>
  <c r="AN524" i="8" s="1"/>
  <c r="AH524" i="8"/>
  <c r="U524" i="8"/>
  <c r="B524" i="8"/>
  <c r="AL523" i="8"/>
  <c r="AI523" i="8"/>
  <c r="AN523" i="8" s="1"/>
  <c r="AH523" i="8"/>
  <c r="U523" i="8"/>
  <c r="B523" i="8"/>
  <c r="AL522" i="8"/>
  <c r="AH522" i="8"/>
  <c r="AI522" i="8" s="1"/>
  <c r="AN522" i="8" s="1"/>
  <c r="U522" i="8"/>
  <c r="B522" i="8"/>
  <c r="BO521" i="8"/>
  <c r="AL521" i="8"/>
  <c r="AH521" i="8"/>
  <c r="AI521" i="8" s="1"/>
  <c r="AN521" i="8" s="1"/>
  <c r="U521" i="8"/>
  <c r="B521" i="8"/>
  <c r="BO520" i="8"/>
  <c r="AN520" i="8"/>
  <c r="AL520" i="8"/>
  <c r="AH520" i="8"/>
  <c r="AI520" i="8" s="1"/>
  <c r="U520" i="8"/>
  <c r="B520" i="8"/>
  <c r="AL519" i="8"/>
  <c r="AH519" i="8"/>
  <c r="AI519" i="8" s="1"/>
  <c r="AN519" i="8" s="1"/>
  <c r="U519" i="8"/>
  <c r="B519" i="8"/>
  <c r="AL518" i="8"/>
  <c r="AH518" i="8"/>
  <c r="AI518" i="8" s="1"/>
  <c r="AN518" i="8" s="1"/>
  <c r="U518" i="8"/>
  <c r="B518" i="8"/>
  <c r="BO517" i="8"/>
  <c r="AL517" i="8"/>
  <c r="AH517" i="8"/>
  <c r="AI517" i="8" s="1"/>
  <c r="AN517" i="8" s="1"/>
  <c r="U517" i="8"/>
  <c r="B517" i="8"/>
  <c r="AN516" i="8"/>
  <c r="AL516" i="8"/>
  <c r="AI516" i="8"/>
  <c r="AH516" i="8"/>
  <c r="U516" i="8"/>
  <c r="B516" i="8"/>
  <c r="AL515" i="8"/>
  <c r="AH515" i="8"/>
  <c r="AI515" i="8" s="1"/>
  <c r="AN515" i="8" s="1"/>
  <c r="U515" i="8"/>
  <c r="B515" i="8"/>
  <c r="AN514" i="8"/>
  <c r="AL514" i="8"/>
  <c r="AI514" i="8"/>
  <c r="AH514" i="8"/>
  <c r="U514" i="8"/>
  <c r="B514" i="8"/>
  <c r="AL513" i="8"/>
  <c r="AH513" i="8"/>
  <c r="AI513" i="8" s="1"/>
  <c r="AN513" i="8" s="1"/>
  <c r="U513" i="8"/>
  <c r="B513" i="8"/>
  <c r="BO512" i="8"/>
  <c r="AL512" i="8"/>
  <c r="AH512" i="8"/>
  <c r="AI512" i="8" s="1"/>
  <c r="AN512" i="8" s="1"/>
  <c r="U512" i="8"/>
  <c r="B512" i="8"/>
  <c r="BO511" i="8"/>
  <c r="AL511" i="8"/>
  <c r="AH511" i="8"/>
  <c r="AI511" i="8" s="1"/>
  <c r="AN511" i="8" s="1"/>
  <c r="U511" i="8"/>
  <c r="B511" i="8"/>
  <c r="AL510" i="8"/>
  <c r="AI510" i="8"/>
  <c r="AN510" i="8" s="1"/>
  <c r="AH510" i="8"/>
  <c r="U510" i="8"/>
  <c r="B510" i="8"/>
  <c r="AL509" i="8"/>
  <c r="AH509" i="8"/>
  <c r="AI509" i="8" s="1"/>
  <c r="AN509" i="8" s="1"/>
  <c r="U509" i="8"/>
  <c r="B509" i="8"/>
  <c r="AL508" i="8"/>
  <c r="AI508" i="8"/>
  <c r="AN508" i="8" s="1"/>
  <c r="AH508" i="8"/>
  <c r="U508" i="8"/>
  <c r="B508" i="8"/>
  <c r="BO507" i="8"/>
  <c r="AL507" i="8"/>
  <c r="AH507" i="8"/>
  <c r="AI507" i="8" s="1"/>
  <c r="AN507" i="8" s="1"/>
  <c r="U507" i="8"/>
  <c r="B507" i="8"/>
  <c r="BO506" i="8"/>
  <c r="AL506" i="8"/>
  <c r="AH506" i="8"/>
  <c r="AI506" i="8" s="1"/>
  <c r="AN506" i="8" s="1"/>
  <c r="U506" i="8"/>
  <c r="B506" i="8"/>
  <c r="BO505" i="8"/>
  <c r="AL505" i="8"/>
  <c r="AH505" i="8"/>
  <c r="AI505" i="8" s="1"/>
  <c r="AN505" i="8" s="1"/>
  <c r="U505" i="8"/>
  <c r="B505" i="8"/>
  <c r="BO504" i="8"/>
  <c r="AL504" i="8"/>
  <c r="AH504" i="8"/>
  <c r="AI504" i="8" s="1"/>
  <c r="AN504" i="8" s="1"/>
  <c r="U504" i="8"/>
  <c r="B504" i="8"/>
  <c r="AN503" i="8"/>
  <c r="AL503" i="8"/>
  <c r="AI503" i="8"/>
  <c r="AH503" i="8"/>
  <c r="U503" i="8"/>
  <c r="B503" i="8"/>
  <c r="AL502" i="8"/>
  <c r="AH502" i="8"/>
  <c r="AI502" i="8" s="1"/>
  <c r="AN502" i="8" s="1"/>
  <c r="U502" i="8"/>
  <c r="B502" i="8"/>
  <c r="AN501" i="8"/>
  <c r="AL501" i="8"/>
  <c r="AI501" i="8"/>
  <c r="AH501" i="8"/>
  <c r="U501" i="8"/>
  <c r="B501" i="8"/>
  <c r="AL500" i="8"/>
  <c r="AH500" i="8"/>
  <c r="AI500" i="8" s="1"/>
  <c r="AN500" i="8" s="1"/>
  <c r="U500" i="8"/>
  <c r="B500" i="8"/>
  <c r="AN499" i="8"/>
  <c r="AL499" i="8"/>
  <c r="AI499" i="8"/>
  <c r="AH499" i="8"/>
  <c r="U499" i="8"/>
  <c r="B499" i="8"/>
  <c r="AL498" i="8"/>
  <c r="AH498" i="8"/>
  <c r="AI498" i="8" s="1"/>
  <c r="AN498" i="8" s="1"/>
  <c r="U498" i="8"/>
  <c r="B498" i="8"/>
  <c r="AN497" i="8"/>
  <c r="AL497" i="8"/>
  <c r="AI497" i="8"/>
  <c r="AH497" i="8"/>
  <c r="U497" i="8"/>
  <c r="B497" i="8"/>
  <c r="BO496" i="8"/>
  <c r="AL496" i="8"/>
  <c r="AE496" i="8"/>
  <c r="AH496" i="8" s="1"/>
  <c r="AI496" i="8" s="1"/>
  <c r="AN496" i="8" s="1"/>
  <c r="U496" i="8"/>
  <c r="B496" i="8"/>
  <c r="BO495" i="8"/>
  <c r="AL495" i="8"/>
  <c r="AE495" i="8"/>
  <c r="AH495" i="8" s="1"/>
  <c r="AI495" i="8" s="1"/>
  <c r="AN495" i="8" s="1"/>
  <c r="U495" i="8"/>
  <c r="B495" i="8"/>
  <c r="AL494" i="8"/>
  <c r="AI494" i="8"/>
  <c r="AN494" i="8" s="1"/>
  <c r="AH494" i="8"/>
  <c r="U494" i="8"/>
  <c r="B494" i="8"/>
  <c r="AN493" i="8"/>
  <c r="AL493" i="8"/>
  <c r="AI493" i="8"/>
  <c r="AH493" i="8"/>
  <c r="U493" i="8"/>
  <c r="B493" i="8"/>
  <c r="BO492" i="8"/>
  <c r="AN492" i="8"/>
  <c r="AL492" i="8"/>
  <c r="AH492" i="8"/>
  <c r="AI492" i="8" s="1"/>
  <c r="U492" i="8"/>
  <c r="B492" i="8"/>
  <c r="AL491" i="8"/>
  <c r="AH491" i="8"/>
  <c r="AI491" i="8" s="1"/>
  <c r="AN491" i="8" s="1"/>
  <c r="U491" i="8"/>
  <c r="B491" i="8"/>
  <c r="BO490" i="8"/>
  <c r="AN490" i="8"/>
  <c r="AL490" i="8"/>
  <c r="AI490" i="8"/>
  <c r="AH490" i="8"/>
  <c r="U490" i="8"/>
  <c r="B490" i="8"/>
  <c r="BO489" i="8"/>
  <c r="AL489" i="8"/>
  <c r="AH489" i="8"/>
  <c r="AI489" i="8" s="1"/>
  <c r="AN489" i="8" s="1"/>
  <c r="U489" i="8"/>
  <c r="B489" i="8"/>
  <c r="AL488" i="8"/>
  <c r="AH488" i="8"/>
  <c r="AI488" i="8" s="1"/>
  <c r="AN488" i="8" s="1"/>
  <c r="U488" i="8"/>
  <c r="B488" i="8"/>
  <c r="AF487" i="8"/>
  <c r="AE487" i="8"/>
  <c r="AC487" i="8"/>
  <c r="AB487" i="8"/>
  <c r="Z487" i="8"/>
  <c r="Y487" i="8"/>
  <c r="AL487" i="8" s="1"/>
  <c r="U487" i="8"/>
  <c r="B487" i="8"/>
  <c r="AF486" i="8"/>
  <c r="AE486" i="8"/>
  <c r="AC486" i="8"/>
  <c r="AB486" i="8"/>
  <c r="Z486" i="8"/>
  <c r="Y486" i="8"/>
  <c r="AL486" i="8" s="1"/>
  <c r="U486" i="8"/>
  <c r="B486" i="8"/>
  <c r="AL485" i="8"/>
  <c r="AH485" i="8"/>
  <c r="AI485" i="8" s="1"/>
  <c r="AN485" i="8" s="1"/>
  <c r="U485" i="8"/>
  <c r="B485" i="8"/>
  <c r="BO484" i="8"/>
  <c r="AL484" i="8"/>
  <c r="AI484" i="8"/>
  <c r="AN484" i="8" s="1"/>
  <c r="AH484" i="8"/>
  <c r="U484" i="8"/>
  <c r="B484" i="8"/>
  <c r="BO483" i="8"/>
  <c r="AL483" i="8"/>
  <c r="AI483" i="8"/>
  <c r="AN483" i="8" s="1"/>
  <c r="AH483" i="8"/>
  <c r="U483" i="8"/>
  <c r="B483" i="8"/>
  <c r="BO482" i="8"/>
  <c r="AN482" i="8"/>
  <c r="AL482" i="8"/>
  <c r="AI482" i="8"/>
  <c r="AH482" i="8"/>
  <c r="U482" i="8"/>
  <c r="B482" i="8"/>
  <c r="BO481" i="8"/>
  <c r="AN481" i="8"/>
  <c r="AL481" i="8"/>
  <c r="AH481" i="8"/>
  <c r="AI481" i="8" s="1"/>
  <c r="U481" i="8"/>
  <c r="B481" i="8"/>
  <c r="BO480" i="8"/>
  <c r="AL480" i="8"/>
  <c r="AH480" i="8"/>
  <c r="AI480" i="8" s="1"/>
  <c r="AN480" i="8" s="1"/>
  <c r="U480" i="8"/>
  <c r="B480" i="8"/>
  <c r="BO479" i="8"/>
  <c r="AL479" i="8"/>
  <c r="AH479" i="8"/>
  <c r="AI479" i="8" s="1"/>
  <c r="AN479" i="8" s="1"/>
  <c r="U479" i="8"/>
  <c r="B479" i="8"/>
  <c r="AL478" i="8"/>
  <c r="AH478" i="8"/>
  <c r="AI478" i="8" s="1"/>
  <c r="AN478" i="8" s="1"/>
  <c r="U478" i="8"/>
  <c r="B478" i="8"/>
  <c r="BO477" i="8"/>
  <c r="AL477" i="8"/>
  <c r="AI477" i="8"/>
  <c r="AN477" i="8" s="1"/>
  <c r="AH477" i="8"/>
  <c r="U477" i="8"/>
  <c r="B477" i="8"/>
  <c r="AL476" i="8"/>
  <c r="AH476" i="8"/>
  <c r="AI476" i="8" s="1"/>
  <c r="AN476" i="8" s="1"/>
  <c r="U476" i="8"/>
  <c r="B476" i="8"/>
  <c r="AL475" i="8"/>
  <c r="AI475" i="8"/>
  <c r="AN475" i="8" s="1"/>
  <c r="AH475" i="8"/>
  <c r="U475" i="8"/>
  <c r="B475" i="8"/>
  <c r="AL474" i="8"/>
  <c r="AH474" i="8"/>
  <c r="AI474" i="8" s="1"/>
  <c r="AN474" i="8" s="1"/>
  <c r="U474" i="8"/>
  <c r="B474" i="8"/>
  <c r="AL473" i="8"/>
  <c r="AI473" i="8"/>
  <c r="AN473" i="8" s="1"/>
  <c r="AH473" i="8"/>
  <c r="U473" i="8"/>
  <c r="B473" i="8"/>
  <c r="AL472" i="8"/>
  <c r="AH472" i="8"/>
  <c r="AI472" i="8" s="1"/>
  <c r="AN472" i="8" s="1"/>
  <c r="U472" i="8"/>
  <c r="B472" i="8"/>
  <c r="AL471" i="8"/>
  <c r="AI471" i="8"/>
  <c r="AN471" i="8" s="1"/>
  <c r="AH471" i="8"/>
  <c r="U471" i="8"/>
  <c r="B471" i="8"/>
  <c r="AL470" i="8"/>
  <c r="AH470" i="8"/>
  <c r="AI470" i="8" s="1"/>
  <c r="AN470" i="8" s="1"/>
  <c r="U470" i="8"/>
  <c r="B470" i="8"/>
  <c r="AL469" i="8"/>
  <c r="AI469" i="8"/>
  <c r="AN469" i="8" s="1"/>
  <c r="AH469" i="8"/>
  <c r="U469" i="8"/>
  <c r="B469" i="8"/>
  <c r="AL468" i="8"/>
  <c r="AH468" i="8"/>
  <c r="AI468" i="8" s="1"/>
  <c r="AN468" i="8" s="1"/>
  <c r="U468" i="8"/>
  <c r="B468" i="8"/>
  <c r="AL467" i="8"/>
  <c r="AI467" i="8"/>
  <c r="AN467" i="8" s="1"/>
  <c r="AH467" i="8"/>
  <c r="U467" i="8"/>
  <c r="B467" i="8"/>
  <c r="AL466" i="8"/>
  <c r="AH466" i="8"/>
  <c r="AI466" i="8" s="1"/>
  <c r="AN466" i="8" s="1"/>
  <c r="U466" i="8"/>
  <c r="B466" i="8"/>
  <c r="AL465" i="8"/>
  <c r="AI465" i="8"/>
  <c r="AN465" i="8" s="1"/>
  <c r="AH465" i="8"/>
  <c r="U465" i="8"/>
  <c r="B465" i="8"/>
  <c r="AL464" i="8"/>
  <c r="AH464" i="8"/>
  <c r="AI464" i="8" s="1"/>
  <c r="AN464" i="8" s="1"/>
  <c r="U464" i="8"/>
  <c r="B464" i="8"/>
  <c r="AL463" i="8"/>
  <c r="AI463" i="8"/>
  <c r="AN463" i="8" s="1"/>
  <c r="AH463" i="8"/>
  <c r="U463" i="8"/>
  <c r="B463" i="8"/>
  <c r="AL462" i="8"/>
  <c r="AH462" i="8"/>
  <c r="AI462" i="8" s="1"/>
  <c r="AN462" i="8" s="1"/>
  <c r="U462" i="8"/>
  <c r="B462" i="8"/>
  <c r="AL461" i="8"/>
  <c r="AI461" i="8"/>
  <c r="AN461" i="8" s="1"/>
  <c r="AH461" i="8"/>
  <c r="U461" i="8"/>
  <c r="B461" i="8"/>
  <c r="AL460" i="8"/>
  <c r="AH460" i="8"/>
  <c r="AI460" i="8" s="1"/>
  <c r="AN460" i="8" s="1"/>
  <c r="U460" i="8"/>
  <c r="B460" i="8"/>
  <c r="AL459" i="8"/>
  <c r="AI459" i="8"/>
  <c r="AN459" i="8" s="1"/>
  <c r="AH459" i="8"/>
  <c r="U459" i="8"/>
  <c r="B459" i="8"/>
  <c r="AL458" i="8"/>
  <c r="AH458" i="8"/>
  <c r="AI458" i="8" s="1"/>
  <c r="AN458" i="8" s="1"/>
  <c r="U458" i="8"/>
  <c r="B458" i="8"/>
  <c r="AL457" i="8"/>
  <c r="AI457" i="8"/>
  <c r="AN457" i="8" s="1"/>
  <c r="AH457" i="8"/>
  <c r="U457" i="8"/>
  <c r="B457" i="8"/>
  <c r="AL456" i="8"/>
  <c r="AH456" i="8"/>
  <c r="AI456" i="8" s="1"/>
  <c r="AN456" i="8" s="1"/>
  <c r="AE456" i="8"/>
  <c r="U456" i="8"/>
  <c r="B456" i="8"/>
  <c r="AF455" i="8"/>
  <c r="AE455" i="8"/>
  <c r="AC455" i="8"/>
  <c r="AB455" i="8"/>
  <c r="Z455" i="8"/>
  <c r="Y455" i="8"/>
  <c r="U455" i="8"/>
  <c r="B455" i="8"/>
  <c r="BO454" i="8"/>
  <c r="AL454" i="8"/>
  <c r="AH454" i="8"/>
  <c r="AI454" i="8" s="1"/>
  <c r="AN454" i="8" s="1"/>
  <c r="U454" i="8"/>
  <c r="B454" i="8"/>
  <c r="BO453" i="8"/>
  <c r="AN453" i="8"/>
  <c r="AL453" i="8"/>
  <c r="AI453" i="8"/>
  <c r="AH453" i="8"/>
  <c r="U453" i="8"/>
  <c r="B453" i="8"/>
  <c r="BO452" i="8"/>
  <c r="AL452" i="8"/>
  <c r="AH452" i="8"/>
  <c r="AI452" i="8" s="1"/>
  <c r="AN452" i="8" s="1"/>
  <c r="U452" i="8"/>
  <c r="B452" i="8"/>
  <c r="BO451" i="8"/>
  <c r="AL451" i="8"/>
  <c r="AH451" i="8"/>
  <c r="AI451" i="8" s="1"/>
  <c r="AN451" i="8" s="1"/>
  <c r="U451" i="8"/>
  <c r="B451" i="8"/>
  <c r="AF450" i="8"/>
  <c r="AE450" i="8"/>
  <c r="AC450" i="8"/>
  <c r="AB450" i="8"/>
  <c r="Z450" i="8"/>
  <c r="Y450" i="8"/>
  <c r="AL450" i="8" s="1"/>
  <c r="U450" i="8"/>
  <c r="B450" i="8"/>
  <c r="AL449" i="8"/>
  <c r="AH449" i="8"/>
  <c r="AI449" i="8" s="1"/>
  <c r="AN449" i="8" s="1"/>
  <c r="U449" i="8"/>
  <c r="B449" i="8"/>
  <c r="AL448" i="8"/>
  <c r="AH448" i="8"/>
  <c r="AI448" i="8" s="1"/>
  <c r="AN448" i="8" s="1"/>
  <c r="U448" i="8"/>
  <c r="B448" i="8"/>
  <c r="AL447" i="8"/>
  <c r="AH447" i="8"/>
  <c r="AI447" i="8" s="1"/>
  <c r="AN447" i="8" s="1"/>
  <c r="U447" i="8"/>
  <c r="B447" i="8"/>
  <c r="AL446" i="8"/>
  <c r="AH446" i="8"/>
  <c r="AI446" i="8" s="1"/>
  <c r="AN446" i="8" s="1"/>
  <c r="U446" i="8"/>
  <c r="B446" i="8"/>
  <c r="BO445" i="8"/>
  <c r="AL445" i="8"/>
  <c r="AH445" i="8"/>
  <c r="AI445" i="8" s="1"/>
  <c r="AN445" i="8" s="1"/>
  <c r="U445" i="8"/>
  <c r="B445" i="8"/>
  <c r="BO444" i="8"/>
  <c r="AL444" i="8"/>
  <c r="AI444" i="8"/>
  <c r="AN444" i="8" s="1"/>
  <c r="AH444" i="8"/>
  <c r="U444" i="8"/>
  <c r="B444" i="8"/>
  <c r="BO443" i="8"/>
  <c r="AL443" i="8"/>
  <c r="AI443" i="8"/>
  <c r="AN443" i="8" s="1"/>
  <c r="AH443" i="8"/>
  <c r="U443" i="8"/>
  <c r="B443" i="8"/>
  <c r="BO442" i="8"/>
  <c r="AN442" i="8"/>
  <c r="AL442" i="8"/>
  <c r="AI442" i="8"/>
  <c r="AH442" i="8"/>
  <c r="U442" i="8"/>
  <c r="B442" i="8"/>
  <c r="AN441" i="8"/>
  <c r="AL441" i="8"/>
  <c r="AI441" i="8"/>
  <c r="AH441" i="8"/>
  <c r="U441" i="8"/>
  <c r="B441" i="8"/>
  <c r="AF440" i="8"/>
  <c r="AE440" i="8"/>
  <c r="AC440" i="8"/>
  <c r="AB440" i="8"/>
  <c r="Z440" i="8"/>
  <c r="Y440" i="8"/>
  <c r="AL440" i="8" s="1"/>
  <c r="U440" i="8"/>
  <c r="B440" i="8"/>
  <c r="AN439" i="8"/>
  <c r="AL439" i="8"/>
  <c r="AI439" i="8"/>
  <c r="AH439" i="8"/>
  <c r="U439" i="8"/>
  <c r="B439" i="8"/>
  <c r="AN438" i="8"/>
  <c r="AL438" i="8"/>
  <c r="AI438" i="8"/>
  <c r="AH438" i="8"/>
  <c r="U438" i="8"/>
  <c r="B438" i="8"/>
  <c r="BO437" i="8"/>
  <c r="AL437" i="8"/>
  <c r="AH437" i="8"/>
  <c r="AI437" i="8" s="1"/>
  <c r="AN437" i="8" s="1"/>
  <c r="U437" i="8"/>
  <c r="B437" i="8"/>
  <c r="BO436" i="8"/>
  <c r="AL436" i="8"/>
  <c r="AH436" i="8"/>
  <c r="AI436" i="8" s="1"/>
  <c r="AN436" i="8" s="1"/>
  <c r="U436" i="8"/>
  <c r="B436" i="8"/>
  <c r="BO435" i="8"/>
  <c r="AL435" i="8"/>
  <c r="AH435" i="8"/>
  <c r="AI435" i="8" s="1"/>
  <c r="AN435" i="8" s="1"/>
  <c r="U435" i="8"/>
  <c r="B435" i="8"/>
  <c r="BO434" i="8"/>
  <c r="AL434" i="8"/>
  <c r="AI434" i="8"/>
  <c r="AN434" i="8" s="1"/>
  <c r="AH434" i="8"/>
  <c r="U434" i="8"/>
  <c r="B434" i="8"/>
  <c r="BO433" i="8"/>
  <c r="AL433" i="8"/>
  <c r="AI433" i="8"/>
  <c r="AN433" i="8" s="1"/>
  <c r="AH433" i="8"/>
  <c r="U433" i="8"/>
  <c r="B433" i="8"/>
  <c r="BO432" i="8"/>
  <c r="AN432" i="8"/>
  <c r="AL432" i="8"/>
  <c r="AI432" i="8"/>
  <c r="AH432" i="8"/>
  <c r="U432" i="8"/>
  <c r="B432" i="8"/>
  <c r="BO431" i="8"/>
  <c r="AN431" i="8"/>
  <c r="AL431" i="8"/>
  <c r="AH431" i="8"/>
  <c r="AI431" i="8" s="1"/>
  <c r="U431" i="8"/>
  <c r="B431" i="8"/>
  <c r="BO430" i="8"/>
  <c r="AL430" i="8"/>
  <c r="AH430" i="8"/>
  <c r="AI430" i="8" s="1"/>
  <c r="AN430" i="8" s="1"/>
  <c r="U430" i="8"/>
  <c r="B430" i="8"/>
  <c r="BO429" i="8"/>
  <c r="AL429" i="8"/>
  <c r="AI429" i="8"/>
  <c r="AN429" i="8" s="1"/>
  <c r="AH429" i="8"/>
  <c r="U429" i="8"/>
  <c r="B429" i="8"/>
  <c r="BO428" i="8"/>
  <c r="AL428" i="8"/>
  <c r="AI428" i="8"/>
  <c r="AN428" i="8" s="1"/>
  <c r="AH428" i="8"/>
  <c r="U428" i="8"/>
  <c r="B428" i="8"/>
  <c r="BO427" i="8"/>
  <c r="AN427" i="8"/>
  <c r="AL427" i="8"/>
  <c r="AI427" i="8"/>
  <c r="AH427" i="8"/>
  <c r="U427" i="8"/>
  <c r="B427" i="8"/>
  <c r="BO426" i="8"/>
  <c r="AN426" i="8"/>
  <c r="AL426" i="8"/>
  <c r="AI426" i="8"/>
  <c r="AH426" i="8"/>
  <c r="U426" i="8"/>
  <c r="B426" i="8"/>
  <c r="AF425" i="8"/>
  <c r="AE425" i="8"/>
  <c r="AC425" i="8"/>
  <c r="AB425" i="8"/>
  <c r="Z425" i="8"/>
  <c r="Y425" i="8"/>
  <c r="AL425" i="8" s="1"/>
  <c r="U425" i="8"/>
  <c r="B425" i="8"/>
  <c r="BO424" i="8"/>
  <c r="AL424" i="8"/>
  <c r="AH424" i="8"/>
  <c r="AI424" i="8" s="1"/>
  <c r="AN424" i="8" s="1"/>
  <c r="U424" i="8"/>
  <c r="B424" i="8"/>
  <c r="BO423" i="8"/>
  <c r="AL423" i="8"/>
  <c r="AH423" i="8"/>
  <c r="AI423" i="8" s="1"/>
  <c r="AN423" i="8" s="1"/>
  <c r="U423" i="8"/>
  <c r="B423" i="8"/>
  <c r="BO422" i="8"/>
  <c r="AL422" i="8"/>
  <c r="AH422" i="8"/>
  <c r="AI422" i="8" s="1"/>
  <c r="AN422" i="8" s="1"/>
  <c r="U422" i="8"/>
  <c r="B422" i="8"/>
  <c r="BO421" i="8"/>
  <c r="AL421" i="8"/>
  <c r="AI421" i="8"/>
  <c r="AN421" i="8" s="1"/>
  <c r="AH421" i="8"/>
  <c r="U421" i="8"/>
  <c r="B421" i="8"/>
  <c r="BO420" i="8"/>
  <c r="AL420" i="8"/>
  <c r="AI420" i="8"/>
  <c r="AN420" i="8" s="1"/>
  <c r="AH420" i="8"/>
  <c r="U420" i="8"/>
  <c r="B420" i="8"/>
  <c r="BO419" i="8"/>
  <c r="AN419" i="8"/>
  <c r="AL419" i="8"/>
  <c r="AI419" i="8"/>
  <c r="AH419" i="8"/>
  <c r="U419" i="8"/>
  <c r="B419" i="8"/>
  <c r="BO418" i="8"/>
  <c r="AN418" i="8"/>
  <c r="AL418" i="8"/>
  <c r="AH418" i="8"/>
  <c r="AI418" i="8" s="1"/>
  <c r="U418" i="8"/>
  <c r="B418" i="8"/>
  <c r="BO417" i="8"/>
  <c r="AL417" i="8"/>
  <c r="AH417" i="8"/>
  <c r="AI417" i="8" s="1"/>
  <c r="AN417" i="8" s="1"/>
  <c r="U417" i="8"/>
  <c r="B417" i="8"/>
  <c r="BO416" i="8"/>
  <c r="AL416" i="8"/>
  <c r="AI416" i="8"/>
  <c r="AN416" i="8" s="1"/>
  <c r="AH416" i="8"/>
  <c r="U416" i="8"/>
  <c r="B416" i="8"/>
  <c r="BO415" i="8"/>
  <c r="AL415" i="8"/>
  <c r="AI415" i="8"/>
  <c r="AN415" i="8" s="1"/>
  <c r="AH415" i="8"/>
  <c r="U415" i="8"/>
  <c r="B415" i="8"/>
  <c r="BO414" i="8"/>
  <c r="AN414" i="8"/>
  <c r="AL414" i="8"/>
  <c r="AI414" i="8"/>
  <c r="AH414" i="8"/>
  <c r="U414" i="8"/>
  <c r="B414" i="8"/>
  <c r="BO413" i="8"/>
  <c r="AN413" i="8"/>
  <c r="AL413" i="8"/>
  <c r="AI413" i="8"/>
  <c r="AH413" i="8"/>
  <c r="U413" i="8"/>
  <c r="B413" i="8"/>
  <c r="BO412" i="8"/>
  <c r="AL412" i="8"/>
  <c r="AH412" i="8"/>
  <c r="AI412" i="8" s="1"/>
  <c r="AN412" i="8" s="1"/>
  <c r="U412" i="8"/>
  <c r="B412" i="8"/>
  <c r="BO411" i="8"/>
  <c r="AL411" i="8"/>
  <c r="AH411" i="8"/>
  <c r="AI411" i="8" s="1"/>
  <c r="AN411" i="8" s="1"/>
  <c r="U411" i="8"/>
  <c r="B411" i="8"/>
  <c r="BO410" i="8"/>
  <c r="AL410" i="8"/>
  <c r="AH410" i="8"/>
  <c r="AI410" i="8" s="1"/>
  <c r="AN410" i="8" s="1"/>
  <c r="U410" i="8"/>
  <c r="B410" i="8"/>
  <c r="BO409" i="8"/>
  <c r="AL409" i="8"/>
  <c r="AI409" i="8"/>
  <c r="AN409" i="8" s="1"/>
  <c r="AH409" i="8"/>
  <c r="U409" i="8"/>
  <c r="B409" i="8"/>
  <c r="BO408" i="8"/>
  <c r="AL408" i="8"/>
  <c r="AI408" i="8"/>
  <c r="AN408" i="8" s="1"/>
  <c r="AH408" i="8"/>
  <c r="U408" i="8"/>
  <c r="B408" i="8"/>
  <c r="BO407" i="8"/>
  <c r="AL407" i="8"/>
  <c r="AH407" i="8"/>
  <c r="AI407" i="8" s="1"/>
  <c r="AN407" i="8" s="1"/>
  <c r="U407" i="8"/>
  <c r="B407" i="8"/>
  <c r="BO406" i="8"/>
  <c r="AL406" i="8"/>
  <c r="AH406" i="8"/>
  <c r="AI406" i="8" s="1"/>
  <c r="AN406" i="8" s="1"/>
  <c r="U406" i="8"/>
  <c r="B406" i="8"/>
  <c r="BO405" i="8"/>
  <c r="AL405" i="8"/>
  <c r="AH405" i="8"/>
  <c r="AI405" i="8" s="1"/>
  <c r="AN405" i="8" s="1"/>
  <c r="U405" i="8"/>
  <c r="B405" i="8"/>
  <c r="BO404" i="8"/>
  <c r="AL404" i="8"/>
  <c r="AI404" i="8"/>
  <c r="AN404" i="8" s="1"/>
  <c r="AH404" i="8"/>
  <c r="U404" i="8"/>
  <c r="B404" i="8"/>
  <c r="BO403" i="8"/>
  <c r="AL403" i="8"/>
  <c r="AH403" i="8"/>
  <c r="AI403" i="8" s="1"/>
  <c r="AN403" i="8" s="1"/>
  <c r="U403" i="8"/>
  <c r="B403" i="8"/>
  <c r="BO402" i="8"/>
  <c r="AL402" i="8"/>
  <c r="AH402" i="8"/>
  <c r="AI402" i="8" s="1"/>
  <c r="AN402" i="8" s="1"/>
  <c r="U402" i="8"/>
  <c r="B402" i="8"/>
  <c r="BO401" i="8"/>
  <c r="AN401" i="8"/>
  <c r="AL401" i="8"/>
  <c r="AI401" i="8"/>
  <c r="AH401" i="8"/>
  <c r="U401" i="8"/>
  <c r="B401" i="8"/>
  <c r="BO400" i="8"/>
  <c r="AL400" i="8"/>
  <c r="AH400" i="8"/>
  <c r="AI400" i="8" s="1"/>
  <c r="AN400" i="8" s="1"/>
  <c r="U400" i="8"/>
  <c r="B400" i="8"/>
  <c r="BO399" i="8"/>
  <c r="AL399" i="8"/>
  <c r="AH399" i="8"/>
  <c r="AI399" i="8" s="1"/>
  <c r="AN399" i="8" s="1"/>
  <c r="U399" i="8"/>
  <c r="B399" i="8"/>
  <c r="AF398" i="8"/>
  <c r="AE398" i="8"/>
  <c r="AC398" i="8"/>
  <c r="AB398" i="8"/>
  <c r="Z398" i="8"/>
  <c r="Y398" i="8"/>
  <c r="AL398" i="8" s="1"/>
  <c r="U398" i="8"/>
  <c r="B398" i="8"/>
  <c r="AL397" i="8"/>
  <c r="AH397" i="8"/>
  <c r="AI397" i="8" s="1"/>
  <c r="AN397" i="8" s="1"/>
  <c r="U397" i="8"/>
  <c r="B397" i="8"/>
  <c r="BO396" i="8"/>
  <c r="AL396" i="8"/>
  <c r="AI396" i="8"/>
  <c r="AN396" i="8" s="1"/>
  <c r="AH396" i="8"/>
  <c r="U396" i="8"/>
  <c r="B396" i="8"/>
  <c r="BO395" i="8"/>
  <c r="AL395" i="8"/>
  <c r="AI395" i="8"/>
  <c r="AN395" i="8" s="1"/>
  <c r="AH395" i="8"/>
  <c r="U395" i="8"/>
  <c r="B395" i="8"/>
  <c r="AL394" i="8"/>
  <c r="AI394" i="8"/>
  <c r="AN394" i="8" s="1"/>
  <c r="AH394" i="8"/>
  <c r="U394" i="8"/>
  <c r="B394" i="8"/>
  <c r="AL393" i="8"/>
  <c r="AI393" i="8"/>
  <c r="AN393" i="8" s="1"/>
  <c r="AH393" i="8"/>
  <c r="U393" i="8"/>
  <c r="B393" i="8"/>
  <c r="BO392" i="8"/>
  <c r="AN392" i="8"/>
  <c r="AL392" i="8"/>
  <c r="AI392" i="8"/>
  <c r="AH392" i="8"/>
  <c r="U392" i="8"/>
  <c r="B392" i="8"/>
  <c r="BO391" i="8"/>
  <c r="AN391" i="8"/>
  <c r="AL391" i="8"/>
  <c r="AI391" i="8"/>
  <c r="AH391" i="8"/>
  <c r="U391" i="8"/>
  <c r="B391" i="8"/>
  <c r="BO390" i="8"/>
  <c r="AL390" i="8"/>
  <c r="AH390" i="8"/>
  <c r="AI390" i="8" s="1"/>
  <c r="AN390" i="8" s="1"/>
  <c r="U390" i="8"/>
  <c r="B390" i="8"/>
  <c r="W389" i="8"/>
  <c r="AL389" i="8" s="1"/>
  <c r="U389" i="8"/>
  <c r="B389" i="8"/>
  <c r="AL388" i="8"/>
  <c r="AH388" i="8"/>
  <c r="AI388" i="8" s="1"/>
  <c r="AN388" i="8" s="1"/>
  <c r="U388" i="8"/>
  <c r="B388" i="8"/>
  <c r="AL387" i="8"/>
  <c r="AH387" i="8"/>
  <c r="AI387" i="8" s="1"/>
  <c r="AN387" i="8" s="1"/>
  <c r="U387" i="8"/>
  <c r="B387" i="8"/>
  <c r="AL386" i="8"/>
  <c r="AH386" i="8"/>
  <c r="AI386" i="8" s="1"/>
  <c r="AN386" i="8" s="1"/>
  <c r="U386" i="8"/>
  <c r="B386" i="8"/>
  <c r="AL385" i="8"/>
  <c r="AH385" i="8"/>
  <c r="AI385" i="8" s="1"/>
  <c r="AN385" i="8" s="1"/>
  <c r="U385" i="8"/>
  <c r="B385" i="8"/>
  <c r="AL384" i="8"/>
  <c r="AH384" i="8"/>
  <c r="AI384" i="8" s="1"/>
  <c r="AN384" i="8" s="1"/>
  <c r="U384" i="8"/>
  <c r="B384" i="8"/>
  <c r="AL383" i="8"/>
  <c r="AH383" i="8"/>
  <c r="AI383" i="8" s="1"/>
  <c r="AN383" i="8" s="1"/>
  <c r="U383" i="8"/>
  <c r="B383" i="8"/>
  <c r="AL382" i="8"/>
  <c r="AH382" i="8"/>
  <c r="AI382" i="8" s="1"/>
  <c r="AN382" i="8" s="1"/>
  <c r="U382" i="8"/>
  <c r="B382" i="8"/>
  <c r="AL381" i="8"/>
  <c r="AH381" i="8"/>
  <c r="AI381" i="8" s="1"/>
  <c r="AN381" i="8" s="1"/>
  <c r="U381" i="8"/>
  <c r="B381" i="8"/>
  <c r="AL380" i="8"/>
  <c r="AH380" i="8"/>
  <c r="AI380" i="8" s="1"/>
  <c r="AN380" i="8" s="1"/>
  <c r="U380" i="8"/>
  <c r="B380" i="8"/>
  <c r="AL379" i="8"/>
  <c r="AH379" i="8"/>
  <c r="AI379" i="8" s="1"/>
  <c r="AN379" i="8" s="1"/>
  <c r="U379" i="8"/>
  <c r="B379" i="8"/>
  <c r="AL378" i="8"/>
  <c r="AH378" i="8"/>
  <c r="AI378" i="8" s="1"/>
  <c r="AN378" i="8" s="1"/>
  <c r="U378" i="8"/>
  <c r="B378" i="8"/>
  <c r="AL377" i="8"/>
  <c r="AH377" i="8"/>
  <c r="AI377" i="8" s="1"/>
  <c r="AN377" i="8" s="1"/>
  <c r="U377" i="8"/>
  <c r="B377" i="8"/>
  <c r="AL376" i="8"/>
  <c r="AH376" i="8"/>
  <c r="AI376" i="8" s="1"/>
  <c r="AN376" i="8" s="1"/>
  <c r="U376" i="8"/>
  <c r="B376" i="8"/>
  <c r="AL375" i="8"/>
  <c r="AH375" i="8"/>
  <c r="AI375" i="8" s="1"/>
  <c r="AN375" i="8" s="1"/>
  <c r="U375" i="8"/>
  <c r="B375" i="8"/>
  <c r="AL374" i="8"/>
  <c r="AC374" i="8"/>
  <c r="AH374" i="8" s="1"/>
  <c r="AI374" i="8" s="1"/>
  <c r="AN374" i="8" s="1"/>
  <c r="U374" i="8"/>
  <c r="B374" i="8"/>
  <c r="BO373" i="8"/>
  <c r="AL373" i="8"/>
  <c r="AG373" i="8"/>
  <c r="AF373" i="8"/>
  <c r="AE373" i="8"/>
  <c r="AD373" i="8"/>
  <c r="AC373" i="8"/>
  <c r="AB373" i="8"/>
  <c r="AA373" i="8"/>
  <c r="Z373" i="8"/>
  <c r="Y373" i="8"/>
  <c r="AH373" i="8" s="1"/>
  <c r="AI373" i="8" s="1"/>
  <c r="AN373" i="8" s="1"/>
  <c r="U373" i="8"/>
  <c r="B373" i="8"/>
  <c r="AL372" i="8"/>
  <c r="AH372" i="8"/>
  <c r="AI372" i="8" s="1"/>
  <c r="AN372" i="8" s="1"/>
  <c r="U372" i="8"/>
  <c r="B372" i="8"/>
  <c r="BO371" i="8"/>
  <c r="AL371" i="8"/>
  <c r="AH371" i="8"/>
  <c r="AI371" i="8" s="1"/>
  <c r="AN371" i="8" s="1"/>
  <c r="U371" i="8"/>
  <c r="B371" i="8"/>
  <c r="AL370" i="8"/>
  <c r="AH370" i="8"/>
  <c r="AI370" i="8" s="1"/>
  <c r="AN370" i="8" s="1"/>
  <c r="U370" i="8"/>
  <c r="B370" i="8"/>
  <c r="AL369" i="8"/>
  <c r="AH369" i="8"/>
  <c r="AI369" i="8" s="1"/>
  <c r="AN369" i="8" s="1"/>
  <c r="U369" i="8"/>
  <c r="B369" i="8"/>
  <c r="AL368" i="8"/>
  <c r="AH368" i="8"/>
  <c r="AI368" i="8" s="1"/>
  <c r="AN368" i="8" s="1"/>
  <c r="U368" i="8"/>
  <c r="B368" i="8"/>
  <c r="AL367" i="8"/>
  <c r="AH367" i="8"/>
  <c r="AI367" i="8" s="1"/>
  <c r="AN367" i="8" s="1"/>
  <c r="U367" i="8"/>
  <c r="B367" i="8"/>
  <c r="AL366" i="8"/>
  <c r="AH366" i="8"/>
  <c r="AI366" i="8" s="1"/>
  <c r="AN366" i="8" s="1"/>
  <c r="U366" i="8"/>
  <c r="B366" i="8"/>
  <c r="BO365" i="8"/>
  <c r="AL365" i="8"/>
  <c r="AI365" i="8"/>
  <c r="AN365" i="8" s="1"/>
  <c r="AH365" i="8"/>
  <c r="U365" i="8"/>
  <c r="B365" i="8"/>
  <c r="BO364" i="8"/>
  <c r="AL364" i="8"/>
  <c r="AH364" i="8"/>
  <c r="AI364" i="8" s="1"/>
  <c r="AN364" i="8" s="1"/>
  <c r="U364" i="8"/>
  <c r="B364" i="8"/>
  <c r="BO363" i="8"/>
  <c r="AN363" i="8"/>
  <c r="AL363" i="8"/>
  <c r="AI363" i="8"/>
  <c r="AH363" i="8"/>
  <c r="U363" i="8"/>
  <c r="B363" i="8"/>
  <c r="BO362" i="8"/>
  <c r="AL362" i="8"/>
  <c r="AH362" i="8"/>
  <c r="AI362" i="8" s="1"/>
  <c r="AN362" i="8" s="1"/>
  <c r="U362" i="8"/>
  <c r="B362" i="8"/>
  <c r="AL361" i="8"/>
  <c r="AH361" i="8"/>
  <c r="AI361" i="8" s="1"/>
  <c r="AN361" i="8" s="1"/>
  <c r="U361" i="8"/>
  <c r="B361" i="8"/>
  <c r="AN360" i="8"/>
  <c r="AL360" i="8"/>
  <c r="AH360" i="8"/>
  <c r="AI360" i="8" s="1"/>
  <c r="U360" i="8"/>
  <c r="B360" i="8"/>
  <c r="AL359" i="8"/>
  <c r="AH359" i="8"/>
  <c r="AI359" i="8" s="1"/>
  <c r="AN359" i="8" s="1"/>
  <c r="U359" i="8"/>
  <c r="B359" i="8"/>
  <c r="AN358" i="8"/>
  <c r="AL358" i="8"/>
  <c r="AH358" i="8"/>
  <c r="AI358" i="8" s="1"/>
  <c r="U358" i="8"/>
  <c r="B358" i="8"/>
  <c r="AN357" i="8"/>
  <c r="AL357" i="8"/>
  <c r="AI357" i="8"/>
  <c r="AH357" i="8"/>
  <c r="U357" i="8"/>
  <c r="B357" i="8"/>
  <c r="AL356" i="8"/>
  <c r="AH356" i="8"/>
  <c r="AI356" i="8" s="1"/>
  <c r="AN356" i="8" s="1"/>
  <c r="U356" i="8"/>
  <c r="B356" i="8"/>
  <c r="AN355" i="8"/>
  <c r="AL355" i="8"/>
  <c r="AI355" i="8"/>
  <c r="AH355" i="8"/>
  <c r="U355" i="8"/>
  <c r="B355" i="8"/>
  <c r="AL354" i="8"/>
  <c r="AH354" i="8"/>
  <c r="AI354" i="8" s="1"/>
  <c r="AN354" i="8" s="1"/>
  <c r="U354" i="8"/>
  <c r="B354" i="8"/>
  <c r="AL353" i="8"/>
  <c r="AH353" i="8"/>
  <c r="AI353" i="8" s="1"/>
  <c r="AN353" i="8" s="1"/>
  <c r="U353" i="8"/>
  <c r="B353" i="8"/>
  <c r="AN352" i="8"/>
  <c r="AL352" i="8"/>
  <c r="AH352" i="8"/>
  <c r="AI352" i="8" s="1"/>
  <c r="U352" i="8"/>
  <c r="B352" i="8"/>
  <c r="AL351" i="8"/>
  <c r="AH351" i="8"/>
  <c r="AI351" i="8" s="1"/>
  <c r="AN351" i="8" s="1"/>
  <c r="U351" i="8"/>
  <c r="B351" i="8"/>
  <c r="AL350" i="8"/>
  <c r="AH350" i="8"/>
  <c r="AI350" i="8" s="1"/>
  <c r="AN350" i="8" s="1"/>
  <c r="U350" i="8"/>
  <c r="B350" i="8"/>
  <c r="AL349" i="8"/>
  <c r="AH349" i="8"/>
  <c r="AI349" i="8" s="1"/>
  <c r="AN349" i="8" s="1"/>
  <c r="U349" i="8"/>
  <c r="B349" i="8"/>
  <c r="AL348" i="8"/>
  <c r="AH348" i="8"/>
  <c r="AI348" i="8" s="1"/>
  <c r="AN348" i="8" s="1"/>
  <c r="U348" i="8"/>
  <c r="B348" i="8"/>
  <c r="AL347" i="8"/>
  <c r="AH347" i="8"/>
  <c r="AI347" i="8" s="1"/>
  <c r="AN347" i="8" s="1"/>
  <c r="U347" i="8"/>
  <c r="B347" i="8"/>
  <c r="AL346" i="8"/>
  <c r="AH346" i="8"/>
  <c r="AI346" i="8" s="1"/>
  <c r="AN346" i="8" s="1"/>
  <c r="U346" i="8"/>
  <c r="B346" i="8"/>
  <c r="AL345" i="8"/>
  <c r="AH345" i="8"/>
  <c r="AI345" i="8" s="1"/>
  <c r="AN345" i="8" s="1"/>
  <c r="U345" i="8"/>
  <c r="B345" i="8"/>
  <c r="AN344" i="8"/>
  <c r="AL344" i="8"/>
  <c r="AH344" i="8"/>
  <c r="AI344" i="8" s="1"/>
  <c r="U344" i="8"/>
  <c r="B344" i="8"/>
  <c r="AL343" i="8"/>
  <c r="AH343" i="8"/>
  <c r="AI343" i="8" s="1"/>
  <c r="AN343" i="8" s="1"/>
  <c r="U343" i="8"/>
  <c r="B343" i="8"/>
  <c r="AL342" i="8"/>
  <c r="AH342" i="8"/>
  <c r="AI342" i="8" s="1"/>
  <c r="AN342" i="8" s="1"/>
  <c r="U342" i="8"/>
  <c r="B342" i="8"/>
  <c r="AL341" i="8"/>
  <c r="AH341" i="8"/>
  <c r="AI341" i="8" s="1"/>
  <c r="AN341" i="8" s="1"/>
  <c r="U341" i="8"/>
  <c r="B341" i="8"/>
  <c r="AL340" i="8"/>
  <c r="AH340" i="8"/>
  <c r="AI340" i="8" s="1"/>
  <c r="AN340" i="8" s="1"/>
  <c r="U340" i="8"/>
  <c r="B340" i="8"/>
  <c r="AL339" i="8"/>
  <c r="AH339" i="8"/>
  <c r="AI339" i="8" s="1"/>
  <c r="AN339" i="8" s="1"/>
  <c r="U339" i="8"/>
  <c r="B339" i="8"/>
  <c r="AL338" i="8"/>
  <c r="AH338" i="8"/>
  <c r="AI338" i="8" s="1"/>
  <c r="AN338" i="8" s="1"/>
  <c r="U338" i="8"/>
  <c r="B338" i="8"/>
  <c r="AL337" i="8"/>
  <c r="AH337" i="8"/>
  <c r="AI337" i="8" s="1"/>
  <c r="AN337" i="8" s="1"/>
  <c r="U337" i="8"/>
  <c r="B337" i="8"/>
  <c r="AN336" i="8"/>
  <c r="AL336" i="8"/>
  <c r="AH336" i="8"/>
  <c r="AI336" i="8" s="1"/>
  <c r="U336" i="8"/>
  <c r="B336" i="8"/>
  <c r="AL335" i="8"/>
  <c r="AH335" i="8"/>
  <c r="AI335" i="8" s="1"/>
  <c r="AN335" i="8" s="1"/>
  <c r="U335" i="8"/>
  <c r="B335" i="8"/>
  <c r="AL334" i="8"/>
  <c r="AH334" i="8"/>
  <c r="AI334" i="8" s="1"/>
  <c r="AN334" i="8" s="1"/>
  <c r="U334" i="8"/>
  <c r="B334" i="8"/>
  <c r="AL333" i="8"/>
  <c r="AH333" i="8"/>
  <c r="AI333" i="8" s="1"/>
  <c r="AN333" i="8" s="1"/>
  <c r="U333" i="8"/>
  <c r="B333" i="8"/>
  <c r="AL332" i="8"/>
  <c r="AH332" i="8"/>
  <c r="AI332" i="8" s="1"/>
  <c r="AN332" i="8" s="1"/>
  <c r="U332" i="8"/>
  <c r="B332" i="8"/>
  <c r="AL331" i="8"/>
  <c r="AH331" i="8"/>
  <c r="AI331" i="8" s="1"/>
  <c r="AN331" i="8" s="1"/>
  <c r="U331" i="8"/>
  <c r="B331" i="8"/>
  <c r="AL330" i="8"/>
  <c r="AH330" i="8"/>
  <c r="AI330" i="8" s="1"/>
  <c r="AN330" i="8" s="1"/>
  <c r="U330" i="8"/>
  <c r="B330" i="8"/>
  <c r="AL329" i="8"/>
  <c r="AH329" i="8"/>
  <c r="AI329" i="8" s="1"/>
  <c r="AN329" i="8" s="1"/>
  <c r="U329" i="8"/>
  <c r="B329" i="8"/>
  <c r="AN328" i="8"/>
  <c r="AL328" i="8"/>
  <c r="AH328" i="8"/>
  <c r="AI328" i="8" s="1"/>
  <c r="U328" i="8"/>
  <c r="B328" i="8"/>
  <c r="AL327" i="8"/>
  <c r="AH327" i="8"/>
  <c r="AI327" i="8" s="1"/>
  <c r="AN327" i="8" s="1"/>
  <c r="U327" i="8"/>
  <c r="B327" i="8"/>
  <c r="AL326" i="8"/>
  <c r="AH326" i="8"/>
  <c r="AI326" i="8" s="1"/>
  <c r="AN326" i="8" s="1"/>
  <c r="U326" i="8"/>
  <c r="B326" i="8"/>
  <c r="AL325" i="8"/>
  <c r="AH325" i="8"/>
  <c r="AI325" i="8" s="1"/>
  <c r="AN325" i="8" s="1"/>
  <c r="U325" i="8"/>
  <c r="B325" i="8"/>
  <c r="AL324" i="8"/>
  <c r="AH324" i="8"/>
  <c r="AI324" i="8" s="1"/>
  <c r="AN324" i="8" s="1"/>
  <c r="U324" i="8"/>
  <c r="B324" i="8"/>
  <c r="AL323" i="8"/>
  <c r="AH323" i="8"/>
  <c r="AI323" i="8" s="1"/>
  <c r="AN323" i="8" s="1"/>
  <c r="U323" i="8"/>
  <c r="B323" i="8"/>
  <c r="AL322" i="8"/>
  <c r="AH322" i="8"/>
  <c r="AI322" i="8" s="1"/>
  <c r="AN322" i="8" s="1"/>
  <c r="U322" i="8"/>
  <c r="B322" i="8"/>
  <c r="AL321" i="8"/>
  <c r="AH321" i="8"/>
  <c r="AI321" i="8" s="1"/>
  <c r="AN321" i="8" s="1"/>
  <c r="U321" i="8"/>
  <c r="B321" i="8"/>
  <c r="AN320" i="8"/>
  <c r="AL320" i="8"/>
  <c r="AH320" i="8"/>
  <c r="AI320" i="8" s="1"/>
  <c r="U320" i="8"/>
  <c r="B320" i="8"/>
  <c r="AL319" i="8"/>
  <c r="AH319" i="8"/>
  <c r="AI319" i="8" s="1"/>
  <c r="AN319" i="8" s="1"/>
  <c r="U319" i="8"/>
  <c r="B319" i="8"/>
  <c r="AL318" i="8"/>
  <c r="AH318" i="8"/>
  <c r="AI318" i="8" s="1"/>
  <c r="AN318" i="8" s="1"/>
  <c r="U318" i="8"/>
  <c r="B318" i="8"/>
  <c r="AL317" i="8"/>
  <c r="AH317" i="8"/>
  <c r="AI317" i="8" s="1"/>
  <c r="AN317" i="8" s="1"/>
  <c r="U317" i="8"/>
  <c r="B317" i="8"/>
  <c r="AL316" i="8"/>
  <c r="AH316" i="8"/>
  <c r="AI316" i="8" s="1"/>
  <c r="AN316" i="8" s="1"/>
  <c r="U316" i="8"/>
  <c r="B316" i="8"/>
  <c r="AL315" i="8"/>
  <c r="AH315" i="8"/>
  <c r="AI315" i="8" s="1"/>
  <c r="AN315" i="8" s="1"/>
  <c r="U315" i="8"/>
  <c r="B315" i="8"/>
  <c r="AL314" i="8"/>
  <c r="AH314" i="8"/>
  <c r="AI314" i="8" s="1"/>
  <c r="AN314" i="8" s="1"/>
  <c r="U314" i="8"/>
  <c r="B314" i="8"/>
  <c r="AL313" i="8"/>
  <c r="AH313" i="8"/>
  <c r="AI313" i="8" s="1"/>
  <c r="AN313" i="8" s="1"/>
  <c r="U313" i="8"/>
  <c r="B313" i="8"/>
  <c r="AN312" i="8"/>
  <c r="AL312" i="8"/>
  <c r="AH312" i="8"/>
  <c r="AI312" i="8" s="1"/>
  <c r="U312" i="8"/>
  <c r="B312" i="8"/>
  <c r="AN311" i="8"/>
  <c r="AL311" i="8"/>
  <c r="AI311" i="8"/>
  <c r="AH311" i="8"/>
  <c r="U311" i="8"/>
  <c r="B311" i="8"/>
  <c r="BO310" i="8"/>
  <c r="AN310" i="8"/>
  <c r="AL310" i="8"/>
  <c r="AI310" i="8"/>
  <c r="AH310" i="8"/>
  <c r="U310" i="8"/>
  <c r="B310" i="8"/>
  <c r="AL309" i="8"/>
  <c r="AH309" i="8"/>
  <c r="AI309" i="8" s="1"/>
  <c r="AN309" i="8" s="1"/>
  <c r="U309" i="8"/>
  <c r="B309" i="8"/>
  <c r="BO308" i="8"/>
  <c r="AL308" i="8"/>
  <c r="AH308" i="8"/>
  <c r="AI308" i="8" s="1"/>
  <c r="AN308" i="8" s="1"/>
  <c r="U308" i="8"/>
  <c r="B308" i="8"/>
  <c r="AL307" i="8"/>
  <c r="AH307" i="8"/>
  <c r="AI307" i="8" s="1"/>
  <c r="AN307" i="8" s="1"/>
  <c r="U307" i="8"/>
  <c r="B307" i="8"/>
  <c r="AL306" i="8"/>
  <c r="AH306" i="8"/>
  <c r="AI306" i="8" s="1"/>
  <c r="AN306" i="8" s="1"/>
  <c r="U306" i="8"/>
  <c r="B306" i="8"/>
  <c r="AL305" i="8"/>
  <c r="AH305" i="8"/>
  <c r="AI305" i="8" s="1"/>
  <c r="AN305" i="8" s="1"/>
  <c r="U305" i="8"/>
  <c r="B305" i="8"/>
  <c r="AL304" i="8"/>
  <c r="AH304" i="8"/>
  <c r="AI304" i="8" s="1"/>
  <c r="AN304" i="8" s="1"/>
  <c r="U304" i="8"/>
  <c r="B304" i="8"/>
  <c r="AL303" i="8"/>
  <c r="AH303" i="8"/>
  <c r="AI303" i="8" s="1"/>
  <c r="AN303" i="8" s="1"/>
  <c r="U303" i="8"/>
  <c r="B303" i="8"/>
  <c r="AL302" i="8"/>
  <c r="AH302" i="8"/>
  <c r="AI302" i="8" s="1"/>
  <c r="AN302" i="8" s="1"/>
  <c r="U302" i="8"/>
  <c r="B302" i="8"/>
  <c r="AL301" i="8"/>
  <c r="AH301" i="8"/>
  <c r="AI301" i="8" s="1"/>
  <c r="AN301" i="8" s="1"/>
  <c r="U301" i="8"/>
  <c r="B301" i="8"/>
  <c r="AL300" i="8"/>
  <c r="AH300" i="8"/>
  <c r="AI300" i="8" s="1"/>
  <c r="AN300" i="8" s="1"/>
  <c r="AE300" i="8"/>
  <c r="Z300" i="8"/>
  <c r="U300" i="8"/>
  <c r="B300" i="8"/>
  <c r="AL299" i="8"/>
  <c r="AI299" i="8"/>
  <c r="AH299" i="8"/>
  <c r="AL298" i="8"/>
  <c r="Z298" i="8"/>
  <c r="AH298" i="8" s="1"/>
  <c r="AI298" i="8" s="1"/>
  <c r="AN298" i="8" s="1"/>
  <c r="U298" i="8"/>
  <c r="B298" i="8"/>
  <c r="AL297" i="8"/>
  <c r="AH297" i="8"/>
  <c r="AI297" i="8" s="1"/>
  <c r="AN297" i="8" s="1"/>
  <c r="U297" i="8"/>
  <c r="B297" i="8"/>
  <c r="AL296" i="8"/>
  <c r="AH296" i="8"/>
  <c r="AI296" i="8" s="1"/>
  <c r="AN296" i="8" s="1"/>
  <c r="U296" i="8"/>
  <c r="B296" i="8"/>
  <c r="AL295" i="8"/>
  <c r="AH295" i="8"/>
  <c r="AI295" i="8" s="1"/>
  <c r="AN295" i="8" s="1"/>
  <c r="U295" i="8"/>
  <c r="B295" i="8"/>
  <c r="BO294" i="8"/>
  <c r="AL294" i="8"/>
  <c r="AI294" i="8"/>
  <c r="AN294" i="8" s="1"/>
  <c r="AH294" i="8"/>
  <c r="U294" i="8"/>
  <c r="B294" i="8"/>
  <c r="BO293" i="8"/>
  <c r="AL293" i="8"/>
  <c r="AH293" i="8"/>
  <c r="AI293" i="8" s="1"/>
  <c r="AN293" i="8" s="1"/>
  <c r="U293" i="8"/>
  <c r="B293" i="8"/>
  <c r="AL292" i="8"/>
  <c r="AH292" i="8"/>
  <c r="AI292" i="8" s="1"/>
  <c r="AN292" i="8" s="1"/>
  <c r="U292" i="8"/>
  <c r="B292" i="8"/>
  <c r="AL291" i="8"/>
  <c r="AI291" i="8"/>
  <c r="AN291" i="8" s="1"/>
  <c r="AH291" i="8"/>
  <c r="U291" i="8"/>
  <c r="B291" i="8"/>
  <c r="AL290" i="8"/>
  <c r="AH290" i="8"/>
  <c r="AI290" i="8" s="1"/>
  <c r="AN290" i="8" s="1"/>
  <c r="U290" i="8"/>
  <c r="B290" i="8"/>
  <c r="AL289" i="8"/>
  <c r="AH289" i="8"/>
  <c r="AI289" i="8" s="1"/>
  <c r="AN289" i="8" s="1"/>
  <c r="U289" i="8"/>
  <c r="B289" i="8"/>
  <c r="AL288" i="8"/>
  <c r="AH288" i="8"/>
  <c r="AI288" i="8" s="1"/>
  <c r="AN288" i="8" s="1"/>
  <c r="U288" i="8"/>
  <c r="B288" i="8"/>
  <c r="AL287" i="8"/>
  <c r="AI287" i="8"/>
  <c r="AN287" i="8" s="1"/>
  <c r="AH287" i="8"/>
  <c r="U287" i="8"/>
  <c r="B287" i="8"/>
  <c r="AL286" i="8"/>
  <c r="AH286" i="8"/>
  <c r="AI286" i="8" s="1"/>
  <c r="AN286" i="8" s="1"/>
  <c r="U286" i="8"/>
  <c r="B286" i="8"/>
  <c r="AL285" i="8"/>
  <c r="AH285" i="8"/>
  <c r="AI285" i="8" s="1"/>
  <c r="AN285" i="8" s="1"/>
  <c r="U285" i="8"/>
  <c r="B285" i="8"/>
  <c r="AL284" i="8"/>
  <c r="AG284" i="8"/>
  <c r="AF284" i="8"/>
  <c r="AE284" i="8"/>
  <c r="AD284" i="8"/>
  <c r="AC284" i="8"/>
  <c r="AB284" i="8"/>
  <c r="AA284" i="8"/>
  <c r="Z284" i="8"/>
  <c r="Y284" i="8"/>
  <c r="U284" i="8"/>
  <c r="B284" i="8"/>
  <c r="AN283" i="8"/>
  <c r="AL283" i="8"/>
  <c r="AI283" i="8"/>
  <c r="AH283" i="8"/>
  <c r="U283" i="8"/>
  <c r="B283" i="8"/>
  <c r="AN282" i="8"/>
  <c r="AL282" i="8"/>
  <c r="AI282" i="8"/>
  <c r="AH282" i="8"/>
  <c r="U282" i="8"/>
  <c r="B282" i="8"/>
  <c r="AN281" i="8"/>
  <c r="AL281" i="8"/>
  <c r="AI281" i="8"/>
  <c r="AH281" i="8"/>
  <c r="U281" i="8"/>
  <c r="B281" i="8"/>
  <c r="AL280" i="8"/>
  <c r="AI280" i="8"/>
  <c r="AN280" i="8" s="1"/>
  <c r="AH280" i="8"/>
  <c r="U280" i="8"/>
  <c r="B280" i="8"/>
  <c r="AN279" i="8"/>
  <c r="AL279" i="8"/>
  <c r="AI279" i="8"/>
  <c r="AH279" i="8"/>
  <c r="U279" i="8"/>
  <c r="B279" i="8"/>
  <c r="AL278" i="8"/>
  <c r="AI278" i="8"/>
  <c r="AN278" i="8" s="1"/>
  <c r="AH278" i="8"/>
  <c r="U278" i="8"/>
  <c r="B278" i="8"/>
  <c r="AN277" i="8"/>
  <c r="AL277" i="8"/>
  <c r="AI277" i="8"/>
  <c r="AH277" i="8"/>
  <c r="U277" i="8"/>
  <c r="B277" i="8"/>
  <c r="AL276" i="8"/>
  <c r="AI276" i="8"/>
  <c r="AN276" i="8" s="1"/>
  <c r="AH276" i="8"/>
  <c r="U276" i="8"/>
  <c r="B276" i="8"/>
  <c r="Y275" i="8"/>
  <c r="U275" i="8"/>
  <c r="B275" i="8"/>
  <c r="AL274" i="8"/>
  <c r="AH274" i="8"/>
  <c r="AI274" i="8" s="1"/>
  <c r="AN274" i="8" s="1"/>
  <c r="U274" i="8"/>
  <c r="B274" i="8"/>
  <c r="AL273" i="8"/>
  <c r="AH273" i="8"/>
  <c r="AI273" i="8" s="1"/>
  <c r="AN273" i="8" s="1"/>
  <c r="U273" i="8"/>
  <c r="B273" i="8"/>
  <c r="AL272" i="8"/>
  <c r="AH272" i="8"/>
  <c r="AI272" i="8" s="1"/>
  <c r="AN272" i="8" s="1"/>
  <c r="U272" i="8"/>
  <c r="B272" i="8"/>
  <c r="AL271" i="8"/>
  <c r="AH271" i="8"/>
  <c r="AI271" i="8" s="1"/>
  <c r="AN271" i="8" s="1"/>
  <c r="U271" i="8"/>
  <c r="B271" i="8"/>
  <c r="AL270" i="8"/>
  <c r="AH270" i="8"/>
  <c r="AI270" i="8" s="1"/>
  <c r="AN270" i="8" s="1"/>
  <c r="U270" i="8"/>
  <c r="B270" i="8"/>
  <c r="AL269" i="8"/>
  <c r="AH269" i="8"/>
  <c r="AI269" i="8" s="1"/>
  <c r="AN269" i="8" s="1"/>
  <c r="U269" i="8"/>
  <c r="B269" i="8"/>
  <c r="AL268" i="8"/>
  <c r="AH268" i="8"/>
  <c r="AI268" i="8" s="1"/>
  <c r="AN268" i="8" s="1"/>
  <c r="U268" i="8"/>
  <c r="B268" i="8"/>
  <c r="AL267" i="8"/>
  <c r="AH267" i="8"/>
  <c r="AI267" i="8" s="1"/>
  <c r="AN267" i="8" s="1"/>
  <c r="U267" i="8"/>
  <c r="B267" i="8"/>
  <c r="AL266" i="8"/>
  <c r="AH266" i="8"/>
  <c r="AI266" i="8" s="1"/>
  <c r="AN266" i="8" s="1"/>
  <c r="U266" i="8"/>
  <c r="B266" i="8"/>
  <c r="AL265" i="8"/>
  <c r="AH265" i="8"/>
  <c r="AI265" i="8" s="1"/>
  <c r="AN265" i="8" s="1"/>
  <c r="U265" i="8"/>
  <c r="B265" i="8"/>
  <c r="AL264" i="8"/>
  <c r="AH264" i="8"/>
  <c r="AI264" i="8" s="1"/>
  <c r="AN264" i="8" s="1"/>
  <c r="Y264" i="8"/>
  <c r="U264" i="8"/>
  <c r="B264" i="8"/>
  <c r="AL263" i="8"/>
  <c r="AH263" i="8"/>
  <c r="AI263" i="8" s="1"/>
  <c r="AN263" i="8" s="1"/>
  <c r="U263" i="8"/>
  <c r="B263" i="8"/>
  <c r="AL262" i="8"/>
  <c r="AH262" i="8"/>
  <c r="AI262" i="8" s="1"/>
  <c r="AN262" i="8" s="1"/>
  <c r="U262" i="8"/>
  <c r="B262" i="8"/>
  <c r="AL261" i="8"/>
  <c r="AH261" i="8"/>
  <c r="AI261" i="8" s="1"/>
  <c r="AN261" i="8" s="1"/>
  <c r="U261" i="8"/>
  <c r="B261" i="8"/>
  <c r="AL260" i="8"/>
  <c r="AH260" i="8"/>
  <c r="AI260" i="8" s="1"/>
  <c r="AN260" i="8" s="1"/>
  <c r="U260" i="8"/>
  <c r="B260" i="8"/>
  <c r="AL259" i="8"/>
  <c r="AH259" i="8"/>
  <c r="AI259" i="8" s="1"/>
  <c r="AN259" i="8" s="1"/>
  <c r="U259" i="8"/>
  <c r="B259" i="8"/>
  <c r="AL258" i="8"/>
  <c r="AH258" i="8"/>
  <c r="AI258" i="8" s="1"/>
  <c r="AN258" i="8" s="1"/>
  <c r="U258" i="8"/>
  <c r="B258" i="8"/>
  <c r="AL257" i="8"/>
  <c r="AI257" i="8"/>
  <c r="AN257" i="8" s="1"/>
  <c r="AH257" i="8"/>
  <c r="U257" i="8"/>
  <c r="B257" i="8"/>
  <c r="BO256" i="8"/>
  <c r="AL256" i="8"/>
  <c r="AI256" i="8"/>
  <c r="AN256" i="8" s="1"/>
  <c r="AH256" i="8"/>
  <c r="U256" i="8"/>
  <c r="B256" i="8"/>
  <c r="AL255" i="8"/>
  <c r="AH255" i="8"/>
  <c r="AI255" i="8" s="1"/>
  <c r="AN255" i="8" s="1"/>
  <c r="U255" i="8"/>
  <c r="B255" i="8"/>
  <c r="AL254" i="8"/>
  <c r="AH254" i="8"/>
  <c r="AI254" i="8" s="1"/>
  <c r="AN254" i="8" s="1"/>
  <c r="U254" i="8"/>
  <c r="B254" i="8"/>
  <c r="AL253" i="8"/>
  <c r="AH253" i="8"/>
  <c r="AI253" i="8" s="1"/>
  <c r="AN253" i="8" s="1"/>
  <c r="U253" i="8"/>
  <c r="B253" i="8"/>
  <c r="AL252" i="8"/>
  <c r="AH252" i="8"/>
  <c r="AI252" i="8" s="1"/>
  <c r="AN252" i="8" s="1"/>
  <c r="U252" i="8"/>
  <c r="B252" i="8"/>
  <c r="AL251" i="8"/>
  <c r="AH251" i="8"/>
  <c r="AI251" i="8" s="1"/>
  <c r="AN251" i="8" s="1"/>
  <c r="U251" i="8"/>
  <c r="B251" i="8"/>
  <c r="AL250" i="8"/>
  <c r="AH250" i="8"/>
  <c r="AI250" i="8" s="1"/>
  <c r="AN250" i="8" s="1"/>
  <c r="U250" i="8"/>
  <c r="B250" i="8"/>
  <c r="AL249" i="8"/>
  <c r="AH249" i="8"/>
  <c r="AI249" i="8" s="1"/>
  <c r="AN249" i="8" s="1"/>
  <c r="U249" i="8"/>
  <c r="B249" i="8"/>
  <c r="AL248" i="8"/>
  <c r="AH248" i="8"/>
  <c r="AI248" i="8" s="1"/>
  <c r="AN248" i="8" s="1"/>
  <c r="U248" i="8"/>
  <c r="B248" i="8"/>
  <c r="AL247" i="8"/>
  <c r="AH247" i="8"/>
  <c r="AI247" i="8" s="1"/>
  <c r="AN247" i="8" s="1"/>
  <c r="U247" i="8"/>
  <c r="B247" i="8"/>
  <c r="AL246" i="8"/>
  <c r="AH246" i="8"/>
  <c r="AI246" i="8" s="1"/>
  <c r="AN246" i="8" s="1"/>
  <c r="U246" i="8"/>
  <c r="B246" i="8"/>
  <c r="AL245" i="8"/>
  <c r="AH245" i="8"/>
  <c r="AI245" i="8" s="1"/>
  <c r="AN245" i="8" s="1"/>
  <c r="U245" i="8"/>
  <c r="B245" i="8"/>
  <c r="AL244" i="8"/>
  <c r="AH244" i="8"/>
  <c r="AI244" i="8" s="1"/>
  <c r="AN244" i="8" s="1"/>
  <c r="U244" i="8"/>
  <c r="B244" i="8"/>
  <c r="AL243" i="8"/>
  <c r="AH243" i="8"/>
  <c r="AI243" i="8" s="1"/>
  <c r="AN243" i="8" s="1"/>
  <c r="U243" i="8"/>
  <c r="B243" i="8"/>
  <c r="AL242" i="8"/>
  <c r="AH242" i="8"/>
  <c r="AI242" i="8" s="1"/>
  <c r="AN242" i="8" s="1"/>
  <c r="U242" i="8"/>
  <c r="B242" i="8"/>
  <c r="AL241" i="8"/>
  <c r="AH241" i="8"/>
  <c r="AI241" i="8" s="1"/>
  <c r="AN241" i="8" s="1"/>
  <c r="U241" i="8"/>
  <c r="B241" i="8"/>
  <c r="AL240" i="8"/>
  <c r="AH240" i="8"/>
  <c r="AI240" i="8" s="1"/>
  <c r="AN240" i="8" s="1"/>
  <c r="U240" i="8"/>
  <c r="B240" i="8"/>
  <c r="AL239" i="8"/>
  <c r="AH239" i="8"/>
  <c r="AI239" i="8" s="1"/>
  <c r="AN239" i="8" s="1"/>
  <c r="U239" i="8"/>
  <c r="B239" i="8"/>
  <c r="AL238" i="8"/>
  <c r="AH238" i="8"/>
  <c r="AI238" i="8" s="1"/>
  <c r="AN238" i="8" s="1"/>
  <c r="U238" i="8"/>
  <c r="B238" i="8"/>
  <c r="AL237" i="8"/>
  <c r="AH237" i="8"/>
  <c r="AI237" i="8" s="1"/>
  <c r="AN237" i="8" s="1"/>
  <c r="U237" i="8"/>
  <c r="B237" i="8"/>
  <c r="AL236" i="8"/>
  <c r="AH236" i="8"/>
  <c r="AI236" i="8" s="1"/>
  <c r="AN236" i="8" s="1"/>
  <c r="U236" i="8"/>
  <c r="B236" i="8"/>
  <c r="AL235" i="8"/>
  <c r="AH235" i="8"/>
  <c r="AI235" i="8" s="1"/>
  <c r="AN235" i="8" s="1"/>
  <c r="U235" i="8"/>
  <c r="B235" i="8"/>
  <c r="AL234" i="8"/>
  <c r="AH234" i="8"/>
  <c r="AI234" i="8" s="1"/>
  <c r="AN234" i="8" s="1"/>
  <c r="U234" i="8"/>
  <c r="B234" i="8"/>
  <c r="AL233" i="8"/>
  <c r="AH233" i="8"/>
  <c r="AI233" i="8" s="1"/>
  <c r="AN233" i="8" s="1"/>
  <c r="U233" i="8"/>
  <c r="B233" i="8"/>
  <c r="AL232" i="8"/>
  <c r="AH232" i="8"/>
  <c r="AI232" i="8" s="1"/>
  <c r="AN232" i="8" s="1"/>
  <c r="U232" i="8"/>
  <c r="B232" i="8"/>
  <c r="AL231" i="8"/>
  <c r="AH231" i="8"/>
  <c r="AI231" i="8" s="1"/>
  <c r="AN231" i="8" s="1"/>
  <c r="U231" i="8"/>
  <c r="B231" i="8"/>
  <c r="BO230" i="8"/>
  <c r="AL230" i="8"/>
  <c r="AH230" i="8"/>
  <c r="AI230" i="8" s="1"/>
  <c r="AN230" i="8" s="1"/>
  <c r="U230" i="8"/>
  <c r="B230" i="8"/>
  <c r="AL229" i="8"/>
  <c r="AH229" i="8"/>
  <c r="AI229" i="8" s="1"/>
  <c r="AN229" i="8" s="1"/>
  <c r="U229" i="8"/>
  <c r="B229" i="8"/>
  <c r="AL228" i="8"/>
  <c r="AH228" i="8"/>
  <c r="AI228" i="8" s="1"/>
  <c r="AN228" i="8" s="1"/>
  <c r="U228" i="8"/>
  <c r="B228" i="8"/>
  <c r="AL227" i="8"/>
  <c r="AH227" i="8"/>
  <c r="AI227" i="8" s="1"/>
  <c r="AN227" i="8" s="1"/>
  <c r="U227" i="8"/>
  <c r="B227" i="8"/>
  <c r="AL226" i="8"/>
  <c r="AH226" i="8"/>
  <c r="AI226" i="8" s="1"/>
  <c r="AN226" i="8" s="1"/>
  <c r="U226" i="8"/>
  <c r="B226" i="8"/>
  <c r="AL225" i="8"/>
  <c r="AH225" i="8"/>
  <c r="AI225" i="8" s="1"/>
  <c r="AN225" i="8" s="1"/>
  <c r="U225" i="8"/>
  <c r="B225" i="8"/>
  <c r="AL224" i="8"/>
  <c r="AH224" i="8"/>
  <c r="AI224" i="8" s="1"/>
  <c r="AN224" i="8" s="1"/>
  <c r="U224" i="8"/>
  <c r="B224" i="8"/>
  <c r="AL223" i="8"/>
  <c r="AH223" i="8"/>
  <c r="AI223" i="8" s="1"/>
  <c r="AN223" i="8" s="1"/>
  <c r="U223" i="8"/>
  <c r="B223" i="8"/>
  <c r="AL222" i="8"/>
  <c r="AH222" i="8"/>
  <c r="AI222" i="8" s="1"/>
  <c r="AN222" i="8" s="1"/>
  <c r="U222" i="8"/>
  <c r="B222" i="8"/>
  <c r="AL221" i="8"/>
  <c r="AH221" i="8"/>
  <c r="AI221" i="8" s="1"/>
  <c r="AN221" i="8" s="1"/>
  <c r="U221" i="8"/>
  <c r="B221" i="8"/>
  <c r="AL220" i="8"/>
  <c r="AG220" i="8"/>
  <c r="AF220" i="8"/>
  <c r="AE220" i="8"/>
  <c r="AD220" i="8"/>
  <c r="AC220" i="8"/>
  <c r="AB220" i="8"/>
  <c r="AA220" i="8"/>
  <c r="Z220" i="8"/>
  <c r="AH220" i="8" s="1"/>
  <c r="AI220" i="8" s="1"/>
  <c r="AN220" i="8" s="1"/>
  <c r="Y220" i="8"/>
  <c r="U220" i="8"/>
  <c r="B220" i="8"/>
  <c r="AL219" i="8"/>
  <c r="AG219" i="8"/>
  <c r="AF219" i="8"/>
  <c r="AE219" i="8"/>
  <c r="AD219" i="8"/>
  <c r="AC219" i="8"/>
  <c r="AB219" i="8"/>
  <c r="AH219" i="8" s="1"/>
  <c r="AI219" i="8" s="1"/>
  <c r="AA219" i="8"/>
  <c r="Z219" i="8"/>
  <c r="Y219" i="8"/>
  <c r="AN218" i="8"/>
  <c r="AL218" i="8"/>
  <c r="AI218" i="8"/>
  <c r="AH218" i="8"/>
  <c r="U218" i="8"/>
  <c r="B218" i="8"/>
  <c r="AL217" i="8"/>
  <c r="AI217" i="8"/>
  <c r="AN217" i="8" s="1"/>
  <c r="AH217" i="8"/>
  <c r="U217" i="8"/>
  <c r="B217" i="8"/>
  <c r="AN216" i="8"/>
  <c r="AL216" i="8"/>
  <c r="AI216" i="8"/>
  <c r="AH216" i="8"/>
  <c r="U216" i="8"/>
  <c r="B216" i="8"/>
  <c r="AL215" i="8"/>
  <c r="AI215" i="8"/>
  <c r="AN215" i="8" s="1"/>
  <c r="AH215" i="8"/>
  <c r="U215" i="8"/>
  <c r="B215" i="8"/>
  <c r="AN214" i="8"/>
  <c r="AL214" i="8"/>
  <c r="AI214" i="8"/>
  <c r="AH214" i="8"/>
  <c r="U214" i="8"/>
  <c r="B214" i="8"/>
  <c r="AL213" i="8"/>
  <c r="AI213" i="8"/>
  <c r="AN213" i="8" s="1"/>
  <c r="AH213" i="8"/>
  <c r="U213" i="8"/>
  <c r="B213" i="8"/>
  <c r="AN212" i="8"/>
  <c r="AL212" i="8"/>
  <c r="AI212" i="8"/>
  <c r="AH212" i="8"/>
  <c r="U212" i="8"/>
  <c r="B212" i="8"/>
  <c r="AL211" i="8"/>
  <c r="Z211" i="8"/>
  <c r="AH211" i="8" s="1"/>
  <c r="AI211" i="8" s="1"/>
  <c r="AN211" i="8" s="1"/>
  <c r="U211" i="8"/>
  <c r="B211" i="8"/>
  <c r="AL210" i="8"/>
  <c r="AH210" i="8"/>
  <c r="AI210" i="8" s="1"/>
  <c r="AN210" i="8" s="1"/>
  <c r="U210" i="8"/>
  <c r="B210" i="8"/>
  <c r="BO209" i="8"/>
  <c r="AL209" i="8"/>
  <c r="AH209" i="8"/>
  <c r="AI209" i="8" s="1"/>
  <c r="AN209" i="8" s="1"/>
  <c r="U209" i="8"/>
  <c r="B209" i="8"/>
  <c r="AL208" i="8"/>
  <c r="AH208" i="8"/>
  <c r="AI208" i="8" s="1"/>
  <c r="AN208" i="8" s="1"/>
  <c r="U208" i="8"/>
  <c r="B208" i="8"/>
  <c r="AL207" i="8"/>
  <c r="AH207" i="8"/>
  <c r="AI207" i="8" s="1"/>
  <c r="AN207" i="8" s="1"/>
  <c r="U207" i="8"/>
  <c r="B207" i="8"/>
  <c r="AL206" i="8"/>
  <c r="AH206" i="8"/>
  <c r="AI206" i="8" s="1"/>
  <c r="AN206" i="8" s="1"/>
  <c r="U206" i="8"/>
  <c r="B206" i="8"/>
  <c r="AL205" i="8"/>
  <c r="AH205" i="8"/>
  <c r="AI205" i="8" s="1"/>
  <c r="AN205" i="8" s="1"/>
  <c r="U205" i="8"/>
  <c r="B205" i="8"/>
  <c r="BO204" i="8"/>
  <c r="AL204" i="8"/>
  <c r="AA204" i="8"/>
  <c r="AH204" i="8" s="1"/>
  <c r="AI204" i="8" s="1"/>
  <c r="AN204" i="8" s="1"/>
  <c r="U204" i="8"/>
  <c r="R204" i="8"/>
  <c r="B204" i="8"/>
  <c r="BO203" i="8"/>
  <c r="AL203" i="8"/>
  <c r="AA203" i="8"/>
  <c r="AH203" i="8" s="1"/>
  <c r="AI203" i="8" s="1"/>
  <c r="AN203" i="8" s="1"/>
  <c r="U203" i="8"/>
  <c r="R203" i="8"/>
  <c r="B203" i="8"/>
  <c r="BO202" i="8"/>
  <c r="AL202" i="8"/>
  <c r="AA202" i="8"/>
  <c r="AH202" i="8" s="1"/>
  <c r="AI202" i="8" s="1"/>
  <c r="AN202" i="8" s="1"/>
  <c r="U202" i="8"/>
  <c r="R202" i="8"/>
  <c r="B202" i="8"/>
  <c r="BO201" i="8"/>
  <c r="AL201" i="8"/>
  <c r="AA201" i="8"/>
  <c r="AH201" i="8" s="1"/>
  <c r="AI201" i="8" s="1"/>
  <c r="AN201" i="8" s="1"/>
  <c r="U201" i="8"/>
  <c r="R201" i="8"/>
  <c r="B201" i="8"/>
  <c r="AG200" i="8"/>
  <c r="AF200" i="8"/>
  <c r="AE200" i="8"/>
  <c r="AD200" i="8"/>
  <c r="AC200" i="8"/>
  <c r="AB200" i="8"/>
  <c r="AA200" i="8"/>
  <c r="Z200" i="8"/>
  <c r="Y200" i="8"/>
  <c r="AL200" i="8" s="1"/>
  <c r="U200" i="8"/>
  <c r="B200" i="8"/>
  <c r="AL199" i="8"/>
  <c r="AH199" i="8"/>
  <c r="AI199" i="8" s="1"/>
  <c r="AN199" i="8" s="1"/>
  <c r="U199" i="8"/>
  <c r="B199" i="8"/>
  <c r="AL198" i="8"/>
  <c r="AI198" i="8"/>
  <c r="AN198" i="8" s="1"/>
  <c r="AH198" i="8"/>
  <c r="U198" i="8"/>
  <c r="B198" i="8"/>
  <c r="AL197" i="8"/>
  <c r="AH197" i="8"/>
  <c r="AI197" i="8" s="1"/>
  <c r="AN197" i="8" s="1"/>
  <c r="U197" i="8"/>
  <c r="B197" i="8"/>
  <c r="AL196" i="8"/>
  <c r="AI196" i="8"/>
  <c r="AN196" i="8" s="1"/>
  <c r="AH196" i="8"/>
  <c r="U196" i="8"/>
  <c r="B196" i="8"/>
  <c r="AL195" i="8"/>
  <c r="AH195" i="8"/>
  <c r="AI195" i="8" s="1"/>
  <c r="AN195" i="8" s="1"/>
  <c r="U195" i="8"/>
  <c r="B195" i="8"/>
  <c r="AL194" i="8"/>
  <c r="AI194" i="8"/>
  <c r="AN194" i="8" s="1"/>
  <c r="AH194" i="8"/>
  <c r="U194" i="8"/>
  <c r="B194" i="8"/>
  <c r="AL193" i="8"/>
  <c r="AH193" i="8"/>
  <c r="AI193" i="8" s="1"/>
  <c r="AN193" i="8" s="1"/>
  <c r="AG193" i="8"/>
  <c r="AF193" i="8"/>
  <c r="AE193" i="8"/>
  <c r="AD193" i="8"/>
  <c r="AC193" i="8"/>
  <c r="AB193" i="8"/>
  <c r="AA193" i="8"/>
  <c r="Z193" i="8"/>
  <c r="Y193" i="8"/>
  <c r="U193" i="8"/>
  <c r="B193" i="8"/>
  <c r="AN192" i="8"/>
  <c r="AL192" i="8"/>
  <c r="AI192" i="8"/>
  <c r="AH192" i="8"/>
  <c r="U192" i="8"/>
  <c r="B192" i="8"/>
  <c r="AN191" i="8"/>
  <c r="AL191" i="8"/>
  <c r="AI191" i="8"/>
  <c r="AH191" i="8"/>
  <c r="U191" i="8"/>
  <c r="B191" i="8"/>
  <c r="AN190" i="8"/>
  <c r="AL190" i="8"/>
  <c r="AI190" i="8"/>
  <c r="AH190" i="8"/>
  <c r="U190" i="8"/>
  <c r="B190" i="8"/>
  <c r="AN189" i="8"/>
  <c r="AL189" i="8"/>
  <c r="AI189" i="8"/>
  <c r="AH189" i="8"/>
  <c r="U189" i="8"/>
  <c r="B189" i="8"/>
  <c r="AN188" i="8"/>
  <c r="AL188" i="8"/>
  <c r="AI188" i="8"/>
  <c r="AH188" i="8"/>
  <c r="U188" i="8"/>
  <c r="B188" i="8"/>
  <c r="AN187" i="8"/>
  <c r="AL187" i="8"/>
  <c r="AI187" i="8"/>
  <c r="AH187" i="8"/>
  <c r="U187" i="8"/>
  <c r="B187" i="8"/>
  <c r="AN186" i="8"/>
  <c r="AL186" i="8"/>
  <c r="AI186" i="8"/>
  <c r="AH186" i="8"/>
  <c r="U186" i="8"/>
  <c r="B186" i="8"/>
  <c r="AN185" i="8"/>
  <c r="AL185" i="8"/>
  <c r="AI185" i="8"/>
  <c r="AH185" i="8"/>
  <c r="U185" i="8"/>
  <c r="B185" i="8"/>
  <c r="AN184" i="8"/>
  <c r="AL184" i="8"/>
  <c r="AI184" i="8"/>
  <c r="AH184" i="8"/>
  <c r="U184" i="8"/>
  <c r="B184" i="8"/>
  <c r="AN183" i="8"/>
  <c r="AL183" i="8"/>
  <c r="AI183" i="8"/>
  <c r="AH183" i="8"/>
  <c r="U183" i="8"/>
  <c r="B183" i="8"/>
  <c r="AN182" i="8"/>
  <c r="AL182" i="8"/>
  <c r="AI182" i="8"/>
  <c r="AH182" i="8"/>
  <c r="U182" i="8"/>
  <c r="B182" i="8"/>
  <c r="AN181" i="8"/>
  <c r="AL181" i="8"/>
  <c r="AI181" i="8"/>
  <c r="AH181" i="8"/>
  <c r="U181" i="8"/>
  <c r="B181" i="8"/>
  <c r="AN180" i="8"/>
  <c r="AL180" i="8"/>
  <c r="AI180" i="8"/>
  <c r="AH180" i="8"/>
  <c r="U180" i="8"/>
  <c r="B180" i="8"/>
  <c r="Z179" i="8"/>
  <c r="Y179" i="8"/>
  <c r="AL179" i="8" s="1"/>
  <c r="U179" i="8"/>
  <c r="B179" i="8"/>
  <c r="AL178" i="8"/>
  <c r="AH178" i="8"/>
  <c r="AI178" i="8" s="1"/>
  <c r="AN178" i="8" s="1"/>
  <c r="U178" i="8"/>
  <c r="B178" i="8"/>
  <c r="AL177" i="8"/>
  <c r="AH177" i="8"/>
  <c r="AI177" i="8" s="1"/>
  <c r="AN177" i="8" s="1"/>
  <c r="U177" i="8"/>
  <c r="B177" i="8"/>
  <c r="AL176" i="8"/>
  <c r="AH176" i="8"/>
  <c r="AI176" i="8" s="1"/>
  <c r="AN176" i="8" s="1"/>
  <c r="U176" i="8"/>
  <c r="B176" i="8"/>
  <c r="AL175" i="8"/>
  <c r="AH175" i="8"/>
  <c r="AI175" i="8" s="1"/>
  <c r="AN175" i="8" s="1"/>
  <c r="U175" i="8"/>
  <c r="B175" i="8"/>
  <c r="AL174" i="8"/>
  <c r="AH174" i="8"/>
  <c r="AI174" i="8" s="1"/>
  <c r="AN174" i="8" s="1"/>
  <c r="U174" i="8"/>
  <c r="B174" i="8"/>
  <c r="AL173" i="8"/>
  <c r="AH173" i="8"/>
  <c r="AI173" i="8" s="1"/>
  <c r="AN173" i="8" s="1"/>
  <c r="U173" i="8"/>
  <c r="B173" i="8"/>
  <c r="AL172" i="8"/>
  <c r="AH172" i="8"/>
  <c r="AI172" i="8" s="1"/>
  <c r="AN172" i="8" s="1"/>
  <c r="U172" i="8"/>
  <c r="B172" i="8"/>
  <c r="BO171" i="8"/>
  <c r="AL171" i="8"/>
  <c r="AH171" i="8"/>
  <c r="AI171" i="8" s="1"/>
  <c r="AN171" i="8" s="1"/>
  <c r="U171" i="8"/>
  <c r="B171" i="8"/>
  <c r="AL170" i="8"/>
  <c r="AI170" i="8"/>
  <c r="AN170" i="8" s="1"/>
  <c r="AH170" i="8"/>
  <c r="U170" i="8"/>
  <c r="B170" i="8"/>
  <c r="AL169" i="8"/>
  <c r="AH169" i="8"/>
  <c r="AI169" i="8" s="1"/>
  <c r="AN169" i="8" s="1"/>
  <c r="U169" i="8"/>
  <c r="B169" i="8"/>
  <c r="AL168" i="8"/>
  <c r="AI168" i="8"/>
  <c r="AN168" i="8" s="1"/>
  <c r="AH168" i="8"/>
  <c r="U168" i="8"/>
  <c r="B168" i="8"/>
  <c r="AL167" i="8"/>
  <c r="AH167" i="8"/>
  <c r="AI167" i="8" s="1"/>
  <c r="AN167" i="8" s="1"/>
  <c r="U167" i="8"/>
  <c r="B167" i="8"/>
  <c r="AL166" i="8"/>
  <c r="AI166" i="8"/>
  <c r="AN166" i="8" s="1"/>
  <c r="AH166" i="8"/>
  <c r="U166" i="8"/>
  <c r="B166" i="8"/>
  <c r="AL165" i="8"/>
  <c r="AH165" i="8"/>
  <c r="AI165" i="8" s="1"/>
  <c r="AN165" i="8" s="1"/>
  <c r="AG165" i="8"/>
  <c r="AF165" i="8"/>
  <c r="AE165" i="8"/>
  <c r="AD165" i="8"/>
  <c r="AC165" i="8"/>
  <c r="AB165" i="8"/>
  <c r="U165" i="8"/>
  <c r="B165" i="8"/>
  <c r="AL164" i="8"/>
  <c r="AH164" i="8"/>
  <c r="AI164" i="8" s="1"/>
  <c r="AN164" i="8" s="1"/>
  <c r="U164" i="8"/>
  <c r="B164" i="8"/>
  <c r="AL163" i="8"/>
  <c r="AI163" i="8"/>
  <c r="AN163" i="8" s="1"/>
  <c r="AH163" i="8"/>
  <c r="U163" i="8"/>
  <c r="B163" i="8"/>
  <c r="AL162" i="8"/>
  <c r="AH162" i="8"/>
  <c r="AI162" i="8" s="1"/>
  <c r="AN162" i="8" s="1"/>
  <c r="U162" i="8"/>
  <c r="B162" i="8"/>
  <c r="AL161" i="8"/>
  <c r="AI161" i="8"/>
  <c r="AN161" i="8" s="1"/>
  <c r="AH161" i="8"/>
  <c r="U161" i="8"/>
  <c r="B161" i="8"/>
  <c r="AL160" i="8"/>
  <c r="AH160" i="8"/>
  <c r="AI160" i="8" s="1"/>
  <c r="AN160" i="8" s="1"/>
  <c r="U160" i="8"/>
  <c r="B160" i="8"/>
  <c r="AL159" i="8"/>
  <c r="AI159" i="8"/>
  <c r="AN159" i="8" s="1"/>
  <c r="AH159" i="8"/>
  <c r="U159" i="8"/>
  <c r="B159" i="8"/>
  <c r="AL158" i="8"/>
  <c r="AH158" i="8"/>
  <c r="AI158" i="8" s="1"/>
  <c r="AN158" i="8" s="1"/>
  <c r="U158" i="8"/>
  <c r="B158" i="8"/>
  <c r="AL157" i="8"/>
  <c r="AI157" i="8"/>
  <c r="AN157" i="8" s="1"/>
  <c r="AH157" i="8"/>
  <c r="U157" i="8"/>
  <c r="B157" i="8"/>
  <c r="AL156" i="8"/>
  <c r="AH156" i="8"/>
  <c r="AI156" i="8" s="1"/>
  <c r="AN156" i="8" s="1"/>
  <c r="U156" i="8"/>
  <c r="B156" i="8"/>
  <c r="AL155" i="8"/>
  <c r="AI155" i="8"/>
  <c r="AN155" i="8" s="1"/>
  <c r="AH155" i="8"/>
  <c r="U155" i="8"/>
  <c r="B155" i="8"/>
  <c r="AL154" i="8"/>
  <c r="AH154" i="8"/>
  <c r="AI154" i="8" s="1"/>
  <c r="AN154" i="8" s="1"/>
  <c r="U154" i="8"/>
  <c r="B154" i="8"/>
  <c r="AL153" i="8"/>
  <c r="AI153" i="8"/>
  <c r="AN153" i="8" s="1"/>
  <c r="AH153" i="8"/>
  <c r="U153" i="8"/>
  <c r="B153" i="8"/>
  <c r="AL152" i="8"/>
  <c r="AH152" i="8"/>
  <c r="AI152" i="8" s="1"/>
  <c r="AN152" i="8" s="1"/>
  <c r="U152" i="8"/>
  <c r="B152" i="8"/>
  <c r="AL151" i="8"/>
  <c r="AI151" i="8"/>
  <c r="AN151" i="8" s="1"/>
  <c r="AH151" i="8"/>
  <c r="U151" i="8"/>
  <c r="B151" i="8"/>
  <c r="AL150" i="8"/>
  <c r="AH150" i="8"/>
  <c r="AI150" i="8" s="1"/>
  <c r="AN150" i="8" s="1"/>
  <c r="U150" i="8"/>
  <c r="B150" i="8"/>
  <c r="AL149" i="8"/>
  <c r="AI149" i="8"/>
  <c r="AN149" i="8" s="1"/>
  <c r="AH149" i="8"/>
  <c r="U149" i="8"/>
  <c r="B149" i="8"/>
  <c r="AL148" i="8"/>
  <c r="AH148" i="8"/>
  <c r="AI148" i="8" s="1"/>
  <c r="AN148" i="8" s="1"/>
  <c r="U148" i="8"/>
  <c r="B148" i="8"/>
  <c r="AL147" i="8"/>
  <c r="AI147" i="8"/>
  <c r="AN147" i="8" s="1"/>
  <c r="AH147" i="8"/>
  <c r="U147" i="8"/>
  <c r="B147" i="8"/>
  <c r="AL146" i="8"/>
  <c r="AH146" i="8"/>
  <c r="AI146" i="8" s="1"/>
  <c r="AN146" i="8" s="1"/>
  <c r="U146" i="8"/>
  <c r="B146" i="8"/>
  <c r="AL145" i="8"/>
  <c r="AI145" i="8"/>
  <c r="AN145" i="8" s="1"/>
  <c r="AH145" i="8"/>
  <c r="U145" i="8"/>
  <c r="B145" i="8"/>
  <c r="AL144" i="8"/>
  <c r="AH144" i="8"/>
  <c r="AI144" i="8" s="1"/>
  <c r="AN144" i="8" s="1"/>
  <c r="U144" i="8"/>
  <c r="B144" i="8"/>
  <c r="AL143" i="8"/>
  <c r="AI143" i="8"/>
  <c r="AN143" i="8" s="1"/>
  <c r="AH143" i="8"/>
  <c r="U143" i="8"/>
  <c r="B143" i="8"/>
  <c r="AL142" i="8"/>
  <c r="AH142" i="8"/>
  <c r="AI142" i="8" s="1"/>
  <c r="AN142" i="8" s="1"/>
  <c r="U142" i="8"/>
  <c r="B142" i="8"/>
  <c r="AL141" i="8"/>
  <c r="AI141" i="8"/>
  <c r="AN141" i="8" s="1"/>
  <c r="AH141" i="8"/>
  <c r="U141" i="8"/>
  <c r="B141" i="8"/>
  <c r="AL140" i="8"/>
  <c r="AH140" i="8"/>
  <c r="AI140" i="8" s="1"/>
  <c r="AN140" i="8" s="1"/>
  <c r="U140" i="8"/>
  <c r="B140" i="8"/>
  <c r="AL139" i="8"/>
  <c r="AI139" i="8"/>
  <c r="AN139" i="8" s="1"/>
  <c r="AH139" i="8"/>
  <c r="U139" i="8"/>
  <c r="B139" i="8"/>
  <c r="AL138" i="8"/>
  <c r="AH138" i="8"/>
  <c r="AI138" i="8" s="1"/>
  <c r="AN138" i="8" s="1"/>
  <c r="U138" i="8"/>
  <c r="B138" i="8"/>
  <c r="AL137" i="8"/>
  <c r="AI137" i="8"/>
  <c r="AN137" i="8" s="1"/>
  <c r="AH137" i="8"/>
  <c r="U137" i="8"/>
  <c r="B137" i="8"/>
  <c r="AL136" i="8"/>
  <c r="AH136" i="8"/>
  <c r="AI136" i="8" s="1"/>
  <c r="AN136" i="8" s="1"/>
  <c r="U136" i="8"/>
  <c r="B136" i="8"/>
  <c r="AL135" i="8"/>
  <c r="AI135" i="8"/>
  <c r="AN135" i="8" s="1"/>
  <c r="AH135" i="8"/>
  <c r="U135" i="8"/>
  <c r="B135" i="8"/>
  <c r="AL134" i="8"/>
  <c r="AH134" i="8"/>
  <c r="AI134" i="8" s="1"/>
  <c r="AN134" i="8" s="1"/>
  <c r="U134" i="8"/>
  <c r="B134" i="8"/>
  <c r="AL133" i="8"/>
  <c r="AI133" i="8"/>
  <c r="AN133" i="8" s="1"/>
  <c r="AH133" i="8"/>
  <c r="X133" i="8"/>
  <c r="U133" i="8"/>
  <c r="B133" i="8"/>
  <c r="AL132" i="8"/>
  <c r="AI132" i="8"/>
  <c r="AN132" i="8" s="1"/>
  <c r="AH132" i="8"/>
  <c r="U132" i="8"/>
  <c r="B132" i="8"/>
  <c r="AN131" i="8"/>
  <c r="AL131" i="8"/>
  <c r="AI131" i="8"/>
  <c r="AH131" i="8"/>
  <c r="U131" i="8"/>
  <c r="B131" i="8"/>
  <c r="AL130" i="8"/>
  <c r="AI130" i="8"/>
  <c r="AN130" i="8" s="1"/>
  <c r="AH130" i="8"/>
  <c r="U130" i="8"/>
  <c r="B130" i="8"/>
  <c r="AN129" i="8"/>
  <c r="AL129" i="8"/>
  <c r="AI129" i="8"/>
  <c r="AH129" i="8"/>
  <c r="U129" i="8"/>
  <c r="B129" i="8"/>
  <c r="AL128" i="8"/>
  <c r="AI128" i="8"/>
  <c r="AN128" i="8" s="1"/>
  <c r="AH128" i="8"/>
  <c r="U128" i="8"/>
  <c r="B128" i="8"/>
  <c r="AL127" i="8"/>
  <c r="Z127" i="8"/>
  <c r="AH127" i="8" s="1"/>
  <c r="AI127" i="8" s="1"/>
  <c r="AN127" i="8" s="1"/>
  <c r="U127" i="8"/>
  <c r="B127" i="8"/>
  <c r="AL126" i="8"/>
  <c r="AH126" i="8"/>
  <c r="AI126" i="8" s="1"/>
  <c r="AN126" i="8" s="1"/>
  <c r="U126" i="8"/>
  <c r="B126" i="8"/>
  <c r="AL125" i="8"/>
  <c r="AH125" i="8"/>
  <c r="AI125" i="8" s="1"/>
  <c r="AN125" i="8" s="1"/>
  <c r="U125" i="8"/>
  <c r="B125" i="8"/>
  <c r="AL124" i="8"/>
  <c r="AH124" i="8"/>
  <c r="AI124" i="8" s="1"/>
  <c r="AN124" i="8" s="1"/>
  <c r="U124" i="8"/>
  <c r="B124" i="8"/>
  <c r="AL123" i="8"/>
  <c r="AH123" i="8"/>
  <c r="AI123" i="8" s="1"/>
  <c r="AN123" i="8" s="1"/>
  <c r="U123" i="8"/>
  <c r="B123" i="8"/>
  <c r="AL122" i="8"/>
  <c r="AH122" i="8"/>
  <c r="AI122" i="8" s="1"/>
  <c r="AN122" i="8" s="1"/>
  <c r="U122" i="8"/>
  <c r="B122" i="8"/>
  <c r="AL121" i="8"/>
  <c r="AH121" i="8"/>
  <c r="AI121" i="8" s="1"/>
  <c r="AN121" i="8" s="1"/>
  <c r="U121" i="8"/>
  <c r="B121" i="8"/>
  <c r="AL120" i="8"/>
  <c r="AH120" i="8"/>
  <c r="AI120" i="8" s="1"/>
  <c r="AN120" i="8" s="1"/>
  <c r="U120" i="8"/>
  <c r="B120" i="8"/>
  <c r="AL119" i="8"/>
  <c r="AH119" i="8"/>
  <c r="AI119" i="8" s="1"/>
  <c r="AN119" i="8" s="1"/>
  <c r="U119" i="8"/>
  <c r="B119" i="8"/>
  <c r="AL118" i="8"/>
  <c r="AH118" i="8"/>
  <c r="AI118" i="8" s="1"/>
  <c r="AN118" i="8" s="1"/>
  <c r="U118" i="8"/>
  <c r="B118" i="8"/>
  <c r="AL117" i="8"/>
  <c r="AH117" i="8"/>
  <c r="AI117" i="8" s="1"/>
  <c r="AN117" i="8" s="1"/>
  <c r="U117" i="8"/>
  <c r="B117" i="8"/>
  <c r="AL116" i="8"/>
  <c r="AH116" i="8"/>
  <c r="AI116" i="8" s="1"/>
  <c r="AN116" i="8" s="1"/>
  <c r="U116" i="8"/>
  <c r="B116" i="8"/>
  <c r="AL115" i="8"/>
  <c r="AH115" i="8"/>
  <c r="AI115" i="8" s="1"/>
  <c r="AN115" i="8" s="1"/>
  <c r="U115" i="8"/>
  <c r="B115" i="8"/>
  <c r="AL114" i="8"/>
  <c r="AH114" i="8"/>
  <c r="AI114" i="8" s="1"/>
  <c r="AN114" i="8" s="1"/>
  <c r="U114" i="8"/>
  <c r="B114" i="8"/>
  <c r="AL113" i="8"/>
  <c r="AH113" i="8"/>
  <c r="AI113" i="8" s="1"/>
  <c r="AN113" i="8" s="1"/>
  <c r="U113" i="8"/>
  <c r="B113" i="8"/>
  <c r="AL112" i="8"/>
  <c r="AH112" i="8"/>
  <c r="AI112" i="8" s="1"/>
  <c r="AN112" i="8" s="1"/>
  <c r="U112" i="8"/>
  <c r="B112" i="8"/>
  <c r="AL111" i="8"/>
  <c r="AH111" i="8"/>
  <c r="AI111" i="8" s="1"/>
  <c r="AN111" i="8" s="1"/>
  <c r="U111" i="8"/>
  <c r="B111" i="8"/>
  <c r="AL110" i="8"/>
  <c r="AH110" i="8"/>
  <c r="AI110" i="8" s="1"/>
  <c r="AN110" i="8" s="1"/>
  <c r="U110" i="8"/>
  <c r="B110" i="8"/>
  <c r="AL109" i="8"/>
  <c r="AH109" i="8"/>
  <c r="AI109" i="8" s="1"/>
  <c r="AN109" i="8" s="1"/>
  <c r="U109" i="8"/>
  <c r="B109" i="8"/>
  <c r="AL108" i="8"/>
  <c r="AH108" i="8"/>
  <c r="AI108" i="8" s="1"/>
  <c r="AN108" i="8" s="1"/>
  <c r="U108" i="8"/>
  <c r="B108" i="8"/>
  <c r="AL107" i="8"/>
  <c r="AH107" i="8"/>
  <c r="AI107" i="8" s="1"/>
  <c r="AN107" i="8" s="1"/>
  <c r="U107" i="8"/>
  <c r="B107" i="8"/>
  <c r="AL106" i="8"/>
  <c r="AH106" i="8"/>
  <c r="AI106" i="8" s="1"/>
  <c r="AN106" i="8" s="1"/>
  <c r="U106" i="8"/>
  <c r="B106" i="8"/>
  <c r="AL105" i="8"/>
  <c r="AH105" i="8"/>
  <c r="AI105" i="8" s="1"/>
  <c r="AN105" i="8" s="1"/>
  <c r="U105" i="8"/>
  <c r="B105" i="8"/>
  <c r="AL104" i="8"/>
  <c r="AH104" i="8"/>
  <c r="AI104" i="8" s="1"/>
  <c r="AN104" i="8" s="1"/>
  <c r="U104" i="8"/>
  <c r="B104" i="8"/>
  <c r="AL103" i="8"/>
  <c r="AH103" i="8"/>
  <c r="AI103" i="8" s="1"/>
  <c r="AN103" i="8" s="1"/>
  <c r="U103" i="8"/>
  <c r="B103" i="8"/>
  <c r="AL102" i="8"/>
  <c r="AH102" i="8"/>
  <c r="AI102" i="8" s="1"/>
  <c r="AN102" i="8" s="1"/>
  <c r="U102" i="8"/>
  <c r="B102" i="8"/>
  <c r="AL101" i="8"/>
  <c r="AH101" i="8"/>
  <c r="AI101" i="8" s="1"/>
  <c r="AN101" i="8" s="1"/>
  <c r="U101" i="8"/>
  <c r="B101" i="8"/>
  <c r="AL100" i="8"/>
  <c r="AH100" i="8"/>
  <c r="AI100" i="8" s="1"/>
  <c r="AN100" i="8" s="1"/>
  <c r="U100" i="8"/>
  <c r="B100" i="8"/>
  <c r="AL99" i="8"/>
  <c r="AH99" i="8"/>
  <c r="AI99" i="8" s="1"/>
  <c r="AN99" i="8" s="1"/>
  <c r="U99" i="8"/>
  <c r="B99" i="8"/>
  <c r="AL98" i="8"/>
  <c r="AH98" i="8"/>
  <c r="AI98" i="8" s="1"/>
  <c r="AN98" i="8" s="1"/>
  <c r="U98" i="8"/>
  <c r="B98" i="8"/>
  <c r="AL97" i="8"/>
  <c r="AH97" i="8"/>
  <c r="AI97" i="8" s="1"/>
  <c r="AN97" i="8" s="1"/>
  <c r="U97" i="8"/>
  <c r="B97" i="8"/>
  <c r="AL96" i="8"/>
  <c r="AH96" i="8"/>
  <c r="AI96" i="8" s="1"/>
  <c r="AN96" i="8" s="1"/>
  <c r="U96" i="8"/>
  <c r="B96" i="8"/>
  <c r="BO95" i="8"/>
  <c r="AN95" i="8"/>
  <c r="AL95" i="8"/>
  <c r="AI95" i="8"/>
  <c r="AH95" i="8"/>
  <c r="U95" i="8"/>
  <c r="B95" i="8"/>
  <c r="AN94" i="8"/>
  <c r="AL94" i="8"/>
  <c r="AI94" i="8"/>
  <c r="AH94" i="8"/>
  <c r="U94" i="8"/>
  <c r="B94" i="8"/>
  <c r="AN93" i="8"/>
  <c r="AL93" i="8"/>
  <c r="AI93" i="8"/>
  <c r="AH93" i="8"/>
  <c r="U93" i="8"/>
  <c r="B93" i="8"/>
  <c r="AN92" i="8"/>
  <c r="AL92" i="8"/>
  <c r="AI92" i="8"/>
  <c r="AH92" i="8"/>
  <c r="U92" i="8"/>
  <c r="B92" i="8"/>
  <c r="AN91" i="8"/>
  <c r="AL91" i="8"/>
  <c r="AI91" i="8"/>
  <c r="AH91" i="8"/>
  <c r="U91" i="8"/>
  <c r="B91" i="8"/>
  <c r="AN90" i="8"/>
  <c r="AL90" i="8"/>
  <c r="AI90" i="8"/>
  <c r="AH90" i="8"/>
  <c r="U90" i="8"/>
  <c r="B90" i="8"/>
  <c r="AN89" i="8"/>
  <c r="AL89" i="8"/>
  <c r="AI89" i="8"/>
  <c r="AH89" i="8"/>
  <c r="U89" i="8"/>
  <c r="B89" i="8"/>
  <c r="AN88" i="8"/>
  <c r="AL88" i="8"/>
  <c r="AI88" i="8"/>
  <c r="AH88" i="8"/>
  <c r="U88" i="8"/>
  <c r="B88" i="8"/>
  <c r="AN87" i="8"/>
  <c r="AL87" i="8"/>
  <c r="AI87" i="8"/>
  <c r="AH87" i="8"/>
  <c r="U87" i="8"/>
  <c r="B87" i="8"/>
  <c r="AN86" i="8"/>
  <c r="AL86" i="8"/>
  <c r="AI86" i="8"/>
  <c r="AH86" i="8"/>
  <c r="U86" i="8"/>
  <c r="B86" i="8"/>
  <c r="AN85" i="8"/>
  <c r="AL85" i="8"/>
  <c r="AI85" i="8"/>
  <c r="AH85" i="8"/>
  <c r="U85" i="8"/>
  <c r="B85" i="8"/>
  <c r="AN84" i="8"/>
  <c r="AL84" i="8"/>
  <c r="AI84" i="8"/>
  <c r="AH84" i="8"/>
  <c r="U84" i="8"/>
  <c r="B84" i="8"/>
  <c r="AN83" i="8"/>
  <c r="AL83" i="8"/>
  <c r="AI83" i="8"/>
  <c r="AH83" i="8"/>
  <c r="U83" i="8"/>
  <c r="B83" i="8"/>
  <c r="AN82" i="8"/>
  <c r="AL82" i="8"/>
  <c r="AI82" i="8"/>
  <c r="AH82" i="8"/>
  <c r="U82" i="8"/>
  <c r="B82" i="8"/>
  <c r="AN81" i="8"/>
  <c r="AL81" i="8"/>
  <c r="AI81" i="8"/>
  <c r="AH81" i="8"/>
  <c r="U81" i="8"/>
  <c r="B81" i="8"/>
  <c r="AN80" i="8"/>
  <c r="AL80" i="8"/>
  <c r="AI80" i="8"/>
  <c r="AH80" i="8"/>
  <c r="U80" i="8"/>
  <c r="B80" i="8"/>
  <c r="AN79" i="8"/>
  <c r="AL79" i="8"/>
  <c r="AI79" i="8"/>
  <c r="AH79" i="8"/>
  <c r="U79" i="8"/>
  <c r="B79" i="8"/>
  <c r="BO78" i="8"/>
  <c r="AL78" i="8"/>
  <c r="AH78" i="8"/>
  <c r="AI78" i="8" s="1"/>
  <c r="AN78" i="8" s="1"/>
  <c r="U78" i="8"/>
  <c r="B78" i="8"/>
  <c r="AL77" i="8"/>
  <c r="AH77" i="8"/>
  <c r="AI77" i="8" s="1"/>
  <c r="AN77" i="8" s="1"/>
  <c r="U77" i="8"/>
  <c r="B77" i="8"/>
  <c r="AL76" i="8"/>
  <c r="AH76" i="8"/>
  <c r="AI76" i="8" s="1"/>
  <c r="AN76" i="8" s="1"/>
  <c r="U76" i="8"/>
  <c r="B76" i="8"/>
  <c r="AL75" i="8"/>
  <c r="AH75" i="8"/>
  <c r="AI75" i="8" s="1"/>
  <c r="AN75" i="8" s="1"/>
  <c r="U75" i="8"/>
  <c r="B75" i="8"/>
  <c r="AL74" i="8"/>
  <c r="AH74" i="8"/>
  <c r="AI74" i="8" s="1"/>
  <c r="AN74" i="8" s="1"/>
  <c r="U74" i="8"/>
  <c r="B74" i="8"/>
  <c r="AL73" i="8"/>
  <c r="AG73" i="8"/>
  <c r="AF73" i="8"/>
  <c r="AF3" i="8" s="1"/>
  <c r="AE73" i="8"/>
  <c r="AD73" i="8"/>
  <c r="AC73" i="8"/>
  <c r="AB73" i="8"/>
  <c r="AA73" i="8"/>
  <c r="AH73" i="8" s="1"/>
  <c r="AI73" i="8" s="1"/>
  <c r="AN73" i="8" s="1"/>
  <c r="Z73" i="8"/>
  <c r="Y73" i="8"/>
  <c r="U73" i="8"/>
  <c r="B73" i="8"/>
  <c r="AL72" i="8"/>
  <c r="AI72" i="8"/>
  <c r="AN72" i="8" s="1"/>
  <c r="AH72" i="8"/>
  <c r="U72" i="8"/>
  <c r="B72" i="8"/>
  <c r="AN71" i="8"/>
  <c r="AL71" i="8"/>
  <c r="AI71" i="8"/>
  <c r="AH71" i="8"/>
  <c r="U71" i="8"/>
  <c r="B71" i="8"/>
  <c r="AL70" i="8"/>
  <c r="AI70" i="8"/>
  <c r="AN70" i="8" s="1"/>
  <c r="AH70" i="8"/>
  <c r="U70" i="8"/>
  <c r="B70" i="8"/>
  <c r="AN69" i="8"/>
  <c r="AL69" i="8"/>
  <c r="AI69" i="8"/>
  <c r="AH69" i="8"/>
  <c r="U69" i="8"/>
  <c r="B69" i="8"/>
  <c r="AL68" i="8"/>
  <c r="AI68" i="8"/>
  <c r="AN68" i="8" s="1"/>
  <c r="AH68" i="8"/>
  <c r="U68" i="8"/>
  <c r="B68" i="8"/>
  <c r="AN67" i="8"/>
  <c r="AL67" i="8"/>
  <c r="AI67" i="8"/>
  <c r="AH67" i="8"/>
  <c r="U67" i="8"/>
  <c r="B67" i="8"/>
  <c r="AL66" i="8"/>
  <c r="AI66" i="8"/>
  <c r="AN66" i="8" s="1"/>
  <c r="AH66" i="8"/>
  <c r="U66" i="8"/>
  <c r="B66" i="8"/>
  <c r="AN65" i="8"/>
  <c r="AL65" i="8"/>
  <c r="AI65" i="8"/>
  <c r="AH65" i="8"/>
  <c r="U65" i="8"/>
  <c r="B65" i="8"/>
  <c r="AL64" i="8"/>
  <c r="AI64" i="8"/>
  <c r="AN64" i="8" s="1"/>
  <c r="AH64" i="8"/>
  <c r="U64" i="8"/>
  <c r="B64" i="8"/>
  <c r="AN63" i="8"/>
  <c r="AL63" i="8"/>
  <c r="AI63" i="8"/>
  <c r="AH63" i="8"/>
  <c r="U63" i="8"/>
  <c r="B63" i="8"/>
  <c r="AL62" i="8"/>
  <c r="AI62" i="8"/>
  <c r="AN62" i="8" s="1"/>
  <c r="AH62" i="8"/>
  <c r="U62" i="8"/>
  <c r="B62" i="8"/>
  <c r="AN61" i="8"/>
  <c r="AL61" i="8"/>
  <c r="AI61" i="8"/>
  <c r="AH61" i="8"/>
  <c r="U61" i="8"/>
  <c r="B61" i="8"/>
  <c r="AL60" i="8"/>
  <c r="AI60" i="8"/>
  <c r="AN60" i="8" s="1"/>
  <c r="AH60" i="8"/>
  <c r="U60" i="8"/>
  <c r="B60" i="8"/>
  <c r="AN59" i="8"/>
  <c r="AL59" i="8"/>
  <c r="AI59" i="8"/>
  <c r="AH59" i="8"/>
  <c r="U59" i="8"/>
  <c r="B59" i="8"/>
  <c r="AL58" i="8"/>
  <c r="AI58" i="8"/>
  <c r="AN58" i="8" s="1"/>
  <c r="AH58" i="8"/>
  <c r="U58" i="8"/>
  <c r="B58" i="8"/>
  <c r="AN57" i="8"/>
  <c r="AL57" i="8"/>
  <c r="AI57" i="8"/>
  <c r="AH57" i="8"/>
  <c r="U57" i="8"/>
  <c r="B57" i="8"/>
  <c r="AL56" i="8"/>
  <c r="AI56" i="8"/>
  <c r="AN56" i="8" s="1"/>
  <c r="AH56" i="8"/>
  <c r="U56" i="8"/>
  <c r="B56" i="8"/>
  <c r="AN55" i="8"/>
  <c r="AL55" i="8"/>
  <c r="AI55" i="8"/>
  <c r="AH55" i="8"/>
  <c r="U55" i="8"/>
  <c r="B55" i="8"/>
  <c r="AL54" i="8"/>
  <c r="AI54" i="8"/>
  <c r="AN54" i="8" s="1"/>
  <c r="AH54" i="8"/>
  <c r="U54" i="8"/>
  <c r="B54" i="8"/>
  <c r="AN53" i="8"/>
  <c r="AL53" i="8"/>
  <c r="AI53" i="8"/>
  <c r="AH53" i="8"/>
  <c r="U53" i="8"/>
  <c r="B53" i="8"/>
  <c r="AL52" i="8"/>
  <c r="AI52" i="8"/>
  <c r="AN52" i="8" s="1"/>
  <c r="AH52" i="8"/>
  <c r="U52" i="8"/>
  <c r="B52" i="8"/>
  <c r="AN51" i="8"/>
  <c r="AL51" i="8"/>
  <c r="AI51" i="8"/>
  <c r="AH51" i="8"/>
  <c r="U51" i="8"/>
  <c r="B51" i="8"/>
  <c r="BO50" i="8"/>
  <c r="AL50" i="8"/>
  <c r="AH50" i="8"/>
  <c r="AI50" i="8" s="1"/>
  <c r="AN50" i="8" s="1"/>
  <c r="U50" i="8"/>
  <c r="B50" i="8"/>
  <c r="AL49" i="8"/>
  <c r="AH49" i="8"/>
  <c r="AI49" i="8" s="1"/>
  <c r="AN49" i="8" s="1"/>
  <c r="U49" i="8"/>
  <c r="B49" i="8"/>
  <c r="AL48" i="8"/>
  <c r="AH48" i="8"/>
  <c r="AI48" i="8" s="1"/>
  <c r="AN48" i="8" s="1"/>
  <c r="U48" i="8"/>
  <c r="B48" i="8"/>
  <c r="AL47" i="8"/>
  <c r="AH47" i="8"/>
  <c r="AI47" i="8" s="1"/>
  <c r="AN47" i="8" s="1"/>
  <c r="U47" i="8"/>
  <c r="B47" i="8"/>
  <c r="AL46" i="8"/>
  <c r="AH46" i="8"/>
  <c r="AI46" i="8" s="1"/>
  <c r="AN46" i="8" s="1"/>
  <c r="U46" i="8"/>
  <c r="B46" i="8"/>
  <c r="AL45" i="8"/>
  <c r="AH45" i="8"/>
  <c r="AI45" i="8" s="1"/>
  <c r="AN45" i="8" s="1"/>
  <c r="U45" i="8"/>
  <c r="B45" i="8"/>
  <c r="AL44" i="8"/>
  <c r="AG44" i="8"/>
  <c r="AF44" i="8"/>
  <c r="AE44" i="8"/>
  <c r="AD44" i="8"/>
  <c r="AC44" i="8"/>
  <c r="AB44" i="8"/>
  <c r="AA44" i="8"/>
  <c r="Z44" i="8"/>
  <c r="Y44" i="8"/>
  <c r="AH44" i="8" s="1"/>
  <c r="AI44" i="8" s="1"/>
  <c r="AN44" i="8" s="1"/>
  <c r="U44" i="8"/>
  <c r="B44" i="8"/>
  <c r="AG43" i="8"/>
  <c r="AF43" i="8"/>
  <c r="AE43" i="8"/>
  <c r="AD43" i="8"/>
  <c r="AC43" i="8"/>
  <c r="AB43" i="8"/>
  <c r="AA43" i="8"/>
  <c r="AH43" i="8" s="1"/>
  <c r="AI43" i="8" s="1"/>
  <c r="AN43" i="8" s="1"/>
  <c r="Z43" i="8"/>
  <c r="Y43" i="8"/>
  <c r="AL43" i="8" s="1"/>
  <c r="U43" i="8"/>
  <c r="B43" i="8"/>
  <c r="AG42" i="8"/>
  <c r="AF42" i="8"/>
  <c r="AE42" i="8"/>
  <c r="AD42" i="8"/>
  <c r="AC42" i="8"/>
  <c r="AB42" i="8"/>
  <c r="AA42" i="8"/>
  <c r="Z42" i="8"/>
  <c r="Y42" i="8"/>
  <c r="AH42" i="8" s="1"/>
  <c r="AI42" i="8" s="1"/>
  <c r="AN42" i="8" s="1"/>
  <c r="U42" i="8"/>
  <c r="B42" i="8"/>
  <c r="AL41" i="8"/>
  <c r="AG41" i="8"/>
  <c r="AF41" i="8"/>
  <c r="AE41" i="8"/>
  <c r="AH41" i="8" s="1"/>
  <c r="AI41" i="8" s="1"/>
  <c r="AN41" i="8" s="1"/>
  <c r="U41" i="8"/>
  <c r="B41" i="8"/>
  <c r="BO40" i="8"/>
  <c r="AL40" i="8"/>
  <c r="AH40" i="8"/>
  <c r="AI40" i="8" s="1"/>
  <c r="AN40" i="8" s="1"/>
  <c r="U40" i="8"/>
  <c r="B40" i="8"/>
  <c r="AN39" i="8"/>
  <c r="AL39" i="8"/>
  <c r="AI39" i="8"/>
  <c r="AH39" i="8"/>
  <c r="U39" i="8"/>
  <c r="B39" i="8"/>
  <c r="AL38" i="8"/>
  <c r="AH38" i="8"/>
  <c r="AI38" i="8" s="1"/>
  <c r="AN38" i="8" s="1"/>
  <c r="U38" i="8"/>
  <c r="B38" i="8"/>
  <c r="BO37" i="8"/>
  <c r="AL37" i="8"/>
  <c r="AH37" i="8"/>
  <c r="AI37" i="8" s="1"/>
  <c r="AN37" i="8" s="1"/>
  <c r="U37" i="8"/>
  <c r="B37" i="8"/>
  <c r="BO36" i="8"/>
  <c r="AL36" i="8"/>
  <c r="AI36" i="8"/>
  <c r="AN36" i="8" s="1"/>
  <c r="AH36" i="8"/>
  <c r="U36" i="8"/>
  <c r="B36" i="8"/>
  <c r="BO35" i="8"/>
  <c r="AL35" i="8"/>
  <c r="AI35" i="8"/>
  <c r="AN35" i="8" s="1"/>
  <c r="AH35" i="8"/>
  <c r="U35" i="8"/>
  <c r="B35" i="8"/>
  <c r="AL34" i="8"/>
  <c r="AH34" i="8"/>
  <c r="AI34" i="8" s="1"/>
  <c r="AN34" i="8" s="1"/>
  <c r="U34" i="8"/>
  <c r="B34" i="8"/>
  <c r="BO33" i="8"/>
  <c r="AN33" i="8"/>
  <c r="AL33" i="8"/>
  <c r="AI33" i="8"/>
  <c r="AH33" i="8"/>
  <c r="U33" i="8"/>
  <c r="B33" i="8"/>
  <c r="AL32" i="8"/>
  <c r="AI32" i="8"/>
  <c r="AN32" i="8" s="1"/>
  <c r="AH32" i="8"/>
  <c r="U32" i="8"/>
  <c r="B32" i="8"/>
  <c r="AN31" i="8"/>
  <c r="AL31" i="8"/>
  <c r="AI31" i="8"/>
  <c r="AH31" i="8"/>
  <c r="U31" i="8"/>
  <c r="B31" i="8"/>
  <c r="BO30" i="8"/>
  <c r="AL30" i="8"/>
  <c r="AG30" i="8"/>
  <c r="AF30" i="8"/>
  <c r="AE30" i="8"/>
  <c r="AD30" i="8"/>
  <c r="AC30" i="8"/>
  <c r="AB30" i="8"/>
  <c r="AA30" i="8"/>
  <c r="Z30" i="8"/>
  <c r="AH30" i="8" s="1"/>
  <c r="AI30" i="8" s="1"/>
  <c r="AN30" i="8" s="1"/>
  <c r="Y30" i="8"/>
  <c r="U30" i="8"/>
  <c r="B30" i="8"/>
  <c r="AL29" i="8"/>
  <c r="AH29" i="8"/>
  <c r="AI29" i="8" s="1"/>
  <c r="AN29" i="8" s="1"/>
  <c r="U29" i="8"/>
  <c r="B29" i="8"/>
  <c r="AL28" i="8"/>
  <c r="AI28" i="8"/>
  <c r="AN28" i="8" s="1"/>
  <c r="AH28" i="8"/>
  <c r="U28" i="8"/>
  <c r="B28" i="8"/>
  <c r="AL27" i="8"/>
  <c r="AH27" i="8"/>
  <c r="AI27" i="8" s="1"/>
  <c r="AN27" i="8" s="1"/>
  <c r="U27" i="8"/>
  <c r="B27" i="8"/>
  <c r="BO26" i="8"/>
  <c r="AL26" i="8"/>
  <c r="AH26" i="8"/>
  <c r="AI26" i="8" s="1"/>
  <c r="AN26" i="8" s="1"/>
  <c r="U26" i="8"/>
  <c r="B26" i="8"/>
  <c r="BO25" i="8"/>
  <c r="AN25" i="8"/>
  <c r="AL25" i="8"/>
  <c r="AI25" i="8"/>
  <c r="AH25" i="8"/>
  <c r="U25" i="8"/>
  <c r="B25" i="8"/>
  <c r="BO24" i="8"/>
  <c r="AL24" i="8"/>
  <c r="AH24" i="8"/>
  <c r="AI24" i="8" s="1"/>
  <c r="AN24" i="8" s="1"/>
  <c r="U24" i="8"/>
  <c r="B24" i="8"/>
  <c r="BO23" i="8"/>
  <c r="AG23" i="8"/>
  <c r="AF23" i="8"/>
  <c r="AE23" i="8"/>
  <c r="AE3" i="8" s="1"/>
  <c r="AD23" i="8"/>
  <c r="AC23" i="8"/>
  <c r="AB23" i="8"/>
  <c r="AA23" i="8"/>
  <c r="Z23" i="8"/>
  <c r="Y23" i="8"/>
  <c r="AL23" i="8" s="1"/>
  <c r="U23" i="8"/>
  <c r="B23" i="8"/>
  <c r="AL22" i="8"/>
  <c r="AH22" i="8"/>
  <c r="AI22" i="8" s="1"/>
  <c r="AN22" i="8" s="1"/>
  <c r="U22" i="8"/>
  <c r="B22" i="8"/>
  <c r="BO21" i="8"/>
  <c r="AL21" i="8"/>
  <c r="AG21" i="8"/>
  <c r="AF21" i="8"/>
  <c r="AE21" i="8"/>
  <c r="AD21" i="8"/>
  <c r="AC21" i="8"/>
  <c r="AB21" i="8"/>
  <c r="AA21" i="8"/>
  <c r="Z21" i="8"/>
  <c r="Y21" i="8"/>
  <c r="AH21" i="8" s="1"/>
  <c r="AI21" i="8" s="1"/>
  <c r="AN21" i="8" s="1"/>
  <c r="U21" i="8"/>
  <c r="B21" i="8"/>
  <c r="AL20" i="8"/>
  <c r="AH20" i="8"/>
  <c r="AI20" i="8" s="1"/>
  <c r="AN20" i="8" s="1"/>
  <c r="U20" i="8"/>
  <c r="B20" i="8"/>
  <c r="BO19" i="8"/>
  <c r="AG19" i="8"/>
  <c r="AF19" i="8"/>
  <c r="AE19" i="8"/>
  <c r="AD19" i="8"/>
  <c r="AC19" i="8"/>
  <c r="AB19" i="8"/>
  <c r="AA19" i="8"/>
  <c r="AH19" i="8" s="1"/>
  <c r="AI19" i="8" s="1"/>
  <c r="AN19" i="8" s="1"/>
  <c r="Z19" i="8"/>
  <c r="Y19" i="8"/>
  <c r="AL19" i="8" s="1"/>
  <c r="U19" i="8"/>
  <c r="B19" i="8"/>
  <c r="AL18" i="8"/>
  <c r="AH18" i="8"/>
  <c r="AI18" i="8" s="1"/>
  <c r="AN18" i="8" s="1"/>
  <c r="U18" i="8"/>
  <c r="B18" i="8"/>
  <c r="BO17" i="8"/>
  <c r="AL17" i="8"/>
  <c r="AA17" i="8"/>
  <c r="AH17" i="8" s="1"/>
  <c r="AI17" i="8" s="1"/>
  <c r="AN17" i="8" s="1"/>
  <c r="U17" i="8"/>
  <c r="B17" i="8"/>
  <c r="AL16" i="8"/>
  <c r="AH16" i="8"/>
  <c r="AI16" i="8" s="1"/>
  <c r="AN16" i="8" s="1"/>
  <c r="U16" i="8"/>
  <c r="B16" i="8"/>
  <c r="BO15" i="8"/>
  <c r="AL15" i="8"/>
  <c r="AH15" i="8"/>
  <c r="AI15" i="8" s="1"/>
  <c r="AN15" i="8" s="1"/>
  <c r="AA15" i="8"/>
  <c r="U15" i="8"/>
  <c r="B15" i="8"/>
  <c r="AL14" i="8"/>
  <c r="AH14" i="8"/>
  <c r="AI14" i="8" s="1"/>
  <c r="AN14" i="8" s="1"/>
  <c r="U14" i="8"/>
  <c r="B14" i="8"/>
  <c r="AL13" i="8"/>
  <c r="AI13" i="8"/>
  <c r="AN13" i="8" s="1"/>
  <c r="AH13" i="8"/>
  <c r="U13" i="8"/>
  <c r="B13" i="8"/>
  <c r="AL12" i="8"/>
  <c r="AH12" i="8"/>
  <c r="AI12" i="8" s="1"/>
  <c r="AN12" i="8" s="1"/>
  <c r="U12" i="8"/>
  <c r="B12" i="8"/>
  <c r="AL11" i="8"/>
  <c r="AI11" i="8"/>
  <c r="AN11" i="8" s="1"/>
  <c r="U11" i="8"/>
  <c r="B11" i="8"/>
  <c r="AG10" i="8"/>
  <c r="AG3" i="8" s="1"/>
  <c r="AF10" i="8"/>
  <c r="AE10" i="8"/>
  <c r="AD10" i="8"/>
  <c r="AC10" i="8"/>
  <c r="AC3" i="8" s="1"/>
  <c r="AB10" i="8"/>
  <c r="AB3" i="8" s="1"/>
  <c r="AA10" i="8"/>
  <c r="AH10" i="8" s="1"/>
  <c r="Z10" i="8"/>
  <c r="Y10" i="8"/>
  <c r="AL10" i="8" s="1"/>
  <c r="U10" i="8"/>
  <c r="B10" i="8"/>
  <c r="BO9" i="8"/>
  <c r="AN9" i="8"/>
  <c r="AL9" i="8"/>
  <c r="AI9" i="8"/>
  <c r="AH9" i="8"/>
  <c r="U9" i="8"/>
  <c r="U3" i="8" s="1"/>
  <c r="B9" i="8"/>
  <c r="AL8" i="8"/>
  <c r="AH8" i="8"/>
  <c r="AI8" i="8" s="1"/>
  <c r="U8" i="8"/>
  <c r="B8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M3" i="8"/>
  <c r="AK3" i="8"/>
  <c r="AJ3" i="8"/>
  <c r="AD3" i="8"/>
  <c r="Y3" i="8"/>
  <c r="X3" i="8"/>
  <c r="W3" i="8"/>
  <c r="V3" i="8"/>
  <c r="T3" i="8"/>
  <c r="S3" i="8"/>
  <c r="R3" i="8"/>
  <c r="Q3" i="8" s="1"/>
  <c r="K327" i="11" l="1"/>
  <c r="L327" i="11"/>
  <c r="K243" i="11"/>
  <c r="L243" i="11"/>
  <c r="K80" i="11"/>
  <c r="L80" i="11"/>
  <c r="J581" i="11"/>
  <c r="AN8" i="8"/>
  <c r="AI10" i="8"/>
  <c r="AN10" i="8" s="1"/>
  <c r="AL42" i="8"/>
  <c r="AL3" i="8" s="1"/>
  <c r="Z3" i="8"/>
  <c r="AA3" i="8"/>
  <c r="AL275" i="8"/>
  <c r="AH275" i="8"/>
  <c r="AI275" i="8" s="1"/>
  <c r="AN275" i="8" s="1"/>
  <c r="AL455" i="8"/>
  <c r="AH455" i="8"/>
  <c r="AI455" i="8" s="1"/>
  <c r="AN455" i="8" s="1"/>
  <c r="AH23" i="8"/>
  <c r="AI23" i="8" s="1"/>
  <c r="AN23" i="8" s="1"/>
  <c r="AH179" i="8"/>
  <c r="AI179" i="8" s="1"/>
  <c r="AN179" i="8" s="1"/>
  <c r="AH200" i="8"/>
  <c r="AI200" i="8" s="1"/>
  <c r="AN200" i="8" s="1"/>
  <c r="AH284" i="8"/>
  <c r="AI284" i="8" s="1"/>
  <c r="AN284" i="8" s="1"/>
  <c r="AH398" i="8"/>
  <c r="AI398" i="8" s="1"/>
  <c r="AN398" i="8" s="1"/>
  <c r="AH450" i="8"/>
  <c r="AI450" i="8" s="1"/>
  <c r="AN450" i="8" s="1"/>
  <c r="AH486" i="8"/>
  <c r="AI486" i="8" s="1"/>
  <c r="AN486" i="8" s="1"/>
  <c r="AH487" i="8"/>
  <c r="AI487" i="8" s="1"/>
  <c r="AN487" i="8" s="1"/>
  <c r="AH425" i="8"/>
  <c r="AI425" i="8" s="1"/>
  <c r="AN425" i="8" s="1"/>
  <c r="AH440" i="8"/>
  <c r="AI440" i="8" s="1"/>
  <c r="AN440" i="8" s="1"/>
  <c r="AH389" i="8"/>
  <c r="AI389" i="8" s="1"/>
  <c r="AN389" i="8" s="1"/>
  <c r="K581" i="11" l="1"/>
  <c r="L581" i="11"/>
  <c r="AI3" i="8"/>
  <c r="AH3" i="8"/>
  <c r="R2" i="8" s="1"/>
  <c r="AN3" i="8"/>
  <c r="AI11" i="5" l="1"/>
  <c r="AN11" i="5" s="1"/>
  <c r="AP3" i="5"/>
  <c r="BB3" i="5"/>
  <c r="BA3" i="5"/>
  <c r="AZ3" i="5"/>
  <c r="AY3" i="5"/>
  <c r="AX3" i="5"/>
  <c r="AW3" i="5"/>
  <c r="AV3" i="5"/>
  <c r="AU3" i="5"/>
  <c r="AT3" i="5"/>
  <c r="AS3" i="5"/>
  <c r="AR3" i="5"/>
  <c r="AQ3" i="5"/>
  <c r="AH680" i="5"/>
  <c r="AH86" i="5"/>
  <c r="AH84" i="5"/>
  <c r="AI139" i="5"/>
  <c r="AH686" i="5"/>
  <c r="AH678" i="5"/>
  <c r="AI678" i="5" s="1"/>
  <c r="AH677" i="5"/>
  <c r="AH675" i="5"/>
  <c r="AI675" i="5" s="1"/>
  <c r="AH674" i="5"/>
  <c r="AI674" i="5" s="1"/>
  <c r="AH669" i="5"/>
  <c r="AI669" i="5" s="1"/>
  <c r="AH667" i="5"/>
  <c r="AI667" i="5" s="1"/>
  <c r="AH679" i="5"/>
  <c r="AH659" i="5"/>
  <c r="AH655" i="5"/>
  <c r="AH651" i="5"/>
  <c r="AI651" i="5" s="1"/>
  <c r="AH646" i="5"/>
  <c r="X619" i="5"/>
  <c r="AL619" i="5" s="1"/>
  <c r="AH583" i="5"/>
  <c r="AI583" i="5" s="1"/>
  <c r="AH642" i="5"/>
  <c r="AH625" i="5"/>
  <c r="AH624" i="5"/>
  <c r="AH617" i="5"/>
  <c r="AH610" i="5"/>
  <c r="AH606" i="5"/>
  <c r="AH638" i="5"/>
  <c r="AH623" i="5"/>
  <c r="AI623" i="5" s="1"/>
  <c r="AH616" i="5"/>
  <c r="AH609" i="5"/>
  <c r="AH605" i="5"/>
  <c r="AH608" i="5"/>
  <c r="AH635" i="5"/>
  <c r="AH618" i="5"/>
  <c r="AH615" i="5"/>
  <c r="AI615" i="5" s="1"/>
  <c r="AH607" i="5"/>
  <c r="AI607" i="5" s="1"/>
  <c r="AH604" i="5"/>
  <c r="AH577" i="5"/>
  <c r="BO576" i="5"/>
  <c r="AG576" i="5"/>
  <c r="AF576" i="5"/>
  <c r="AE576" i="5"/>
  <c r="AD576" i="5"/>
  <c r="AC576" i="5"/>
  <c r="AH575" i="5"/>
  <c r="AH574" i="5"/>
  <c r="AH573" i="5"/>
  <c r="AH572" i="5"/>
  <c r="AH571" i="5"/>
  <c r="AI571" i="5" s="1"/>
  <c r="BO589" i="5"/>
  <c r="BO588" i="5"/>
  <c r="AH588" i="5"/>
  <c r="AH568" i="5"/>
  <c r="BO567" i="5"/>
  <c r="BO566" i="5"/>
  <c r="AH566" i="5"/>
  <c r="AH582" i="5"/>
  <c r="AH564" i="5"/>
  <c r="AH570" i="5"/>
  <c r="AI570" i="5" s="1"/>
  <c r="AH562" i="5"/>
  <c r="AH569" i="5"/>
  <c r="AH563" i="5"/>
  <c r="AH561" i="5"/>
  <c r="BO560" i="5"/>
  <c r="BO559" i="5"/>
  <c r="AH559" i="5"/>
  <c r="AH558" i="5"/>
  <c r="AI558" i="5" s="1"/>
  <c r="AH557" i="5"/>
  <c r="BO556" i="5"/>
  <c r="BO551" i="5"/>
  <c r="AH551" i="5"/>
  <c r="BO550" i="5"/>
  <c r="BO549" i="5"/>
  <c r="BO548" i="5"/>
  <c r="BO547" i="5"/>
  <c r="AH547" i="5"/>
  <c r="BO543" i="5"/>
  <c r="AH543" i="5"/>
  <c r="AI543" i="5" s="1"/>
  <c r="AH537" i="5"/>
  <c r="BO532" i="5"/>
  <c r="AE532" i="5"/>
  <c r="BO531" i="5"/>
  <c r="AE531" i="5"/>
  <c r="AH530" i="5"/>
  <c r="BO528" i="5"/>
  <c r="AH528" i="5"/>
  <c r="BO534" i="5"/>
  <c r="BO533" i="5"/>
  <c r="AH533" i="5"/>
  <c r="AF526" i="5"/>
  <c r="AE526" i="5"/>
  <c r="AC526" i="5"/>
  <c r="AF525" i="5"/>
  <c r="AE525" i="5"/>
  <c r="AC525" i="5"/>
  <c r="AH524" i="5"/>
  <c r="BO523" i="5"/>
  <c r="BO522" i="5"/>
  <c r="AH522" i="5"/>
  <c r="BO521" i="5"/>
  <c r="AH521" i="5"/>
  <c r="BO520" i="5"/>
  <c r="AH520" i="5"/>
  <c r="BO519" i="5"/>
  <c r="AH519" i="5"/>
  <c r="AI519" i="5" s="1"/>
  <c r="BO518" i="5"/>
  <c r="AH518" i="5"/>
  <c r="AI518" i="5" s="1"/>
  <c r="BO513" i="5"/>
  <c r="AH513" i="5"/>
  <c r="AH512" i="5"/>
  <c r="AH510" i="5"/>
  <c r="AH509" i="5"/>
  <c r="AH500" i="5"/>
  <c r="AH499" i="5"/>
  <c r="AH494" i="5"/>
  <c r="AI494" i="5" s="1"/>
  <c r="AH514" i="5"/>
  <c r="AE501" i="5"/>
  <c r="AF495" i="5"/>
  <c r="AE495" i="5"/>
  <c r="AC495" i="5"/>
  <c r="BO493" i="5"/>
  <c r="BO492" i="5"/>
  <c r="AH492" i="5"/>
  <c r="BO491" i="5"/>
  <c r="BO490" i="5"/>
  <c r="AH490" i="5"/>
  <c r="AF486" i="5"/>
  <c r="AE486" i="5"/>
  <c r="AC486" i="5"/>
  <c r="AH482" i="5"/>
  <c r="BO481" i="5"/>
  <c r="AH481" i="5"/>
  <c r="BO480" i="5"/>
  <c r="BO487" i="5"/>
  <c r="BO484" i="5"/>
  <c r="AH483" i="5"/>
  <c r="AF479" i="5"/>
  <c r="AE479" i="5"/>
  <c r="AC479" i="5"/>
  <c r="BO476" i="5"/>
  <c r="BO475" i="5"/>
  <c r="BO474" i="5"/>
  <c r="AH474" i="5"/>
  <c r="BO473" i="5"/>
  <c r="AH473" i="5"/>
  <c r="BO472" i="5"/>
  <c r="AH472" i="5"/>
  <c r="BO471" i="5"/>
  <c r="AH471" i="5"/>
  <c r="BO470" i="5"/>
  <c r="BO469" i="5"/>
  <c r="AH469" i="5"/>
  <c r="BO468" i="5"/>
  <c r="BO467" i="5"/>
  <c r="AH467" i="5"/>
  <c r="BO466" i="5"/>
  <c r="BO465" i="5"/>
  <c r="AH465" i="5"/>
  <c r="AF464" i="5"/>
  <c r="AE464" i="5"/>
  <c r="AC464" i="5"/>
  <c r="BO463" i="5"/>
  <c r="AH463" i="5"/>
  <c r="BO462" i="5"/>
  <c r="BO461" i="5"/>
  <c r="AH461" i="5"/>
  <c r="BO460" i="5"/>
  <c r="BO459" i="5"/>
  <c r="AH459" i="5"/>
  <c r="BO458" i="5"/>
  <c r="AH458" i="5"/>
  <c r="BO457" i="5"/>
  <c r="AH457" i="5"/>
  <c r="BO456" i="5"/>
  <c r="AH456" i="5"/>
  <c r="BO455" i="5"/>
  <c r="AH455" i="5"/>
  <c r="AI455" i="5" s="1"/>
  <c r="BO454" i="5"/>
  <c r="BO453" i="5"/>
  <c r="BO452" i="5"/>
  <c r="BO451" i="5"/>
  <c r="AH451" i="5"/>
  <c r="BO450" i="5"/>
  <c r="BO449" i="5"/>
  <c r="BO448" i="5"/>
  <c r="BO447" i="5"/>
  <c r="AH447" i="5"/>
  <c r="AI447" i="5" s="1"/>
  <c r="BO446" i="5"/>
  <c r="AH446" i="5"/>
  <c r="AI446" i="5" s="1"/>
  <c r="BO445" i="5"/>
  <c r="AH445" i="5"/>
  <c r="BO444" i="5"/>
  <c r="BO443" i="5"/>
  <c r="AH443" i="5"/>
  <c r="BO442" i="5"/>
  <c r="AH442" i="5"/>
  <c r="BO441" i="5"/>
  <c r="AH441" i="5"/>
  <c r="BO440" i="5"/>
  <c r="BO439" i="5"/>
  <c r="AH439" i="5"/>
  <c r="BO438" i="5"/>
  <c r="AF437" i="5"/>
  <c r="AE437" i="5"/>
  <c r="AC437" i="5"/>
  <c r="BO435" i="5"/>
  <c r="AH435" i="5"/>
  <c r="BO434" i="5"/>
  <c r="AH434" i="5"/>
  <c r="AH429" i="5"/>
  <c r="BO432" i="5"/>
  <c r="AH432" i="5"/>
  <c r="BO431" i="5"/>
  <c r="BO430" i="5"/>
  <c r="AH430" i="5"/>
  <c r="W428" i="5"/>
  <c r="AL428" i="5" s="1"/>
  <c r="AH422" i="5"/>
  <c r="AH419" i="5"/>
  <c r="AI419" i="5" s="1"/>
  <c r="AH427" i="5"/>
  <c r="AH425" i="5"/>
  <c r="AH414" i="5"/>
  <c r="AI414" i="5" s="1"/>
  <c r="AC413" i="5"/>
  <c r="BO411" i="5"/>
  <c r="AG411" i="5"/>
  <c r="AF411" i="5"/>
  <c r="AE411" i="5"/>
  <c r="AD411" i="5"/>
  <c r="AC411" i="5"/>
  <c r="AH410" i="5"/>
  <c r="BO406" i="5"/>
  <c r="AH406" i="5"/>
  <c r="AH405" i="5"/>
  <c r="AH404" i="5"/>
  <c r="AH409" i="5"/>
  <c r="AI409" i="5" s="1"/>
  <c r="BO407" i="5"/>
  <c r="AH407" i="5"/>
  <c r="BO402" i="5"/>
  <c r="BO401" i="5"/>
  <c r="AH401" i="5"/>
  <c r="BO400" i="5"/>
  <c r="AH395" i="5"/>
  <c r="AH394" i="5"/>
  <c r="AH388" i="5"/>
  <c r="AH383" i="5"/>
  <c r="AI383" i="5" s="1"/>
  <c r="AH380" i="5"/>
  <c r="AI380" i="5" s="1"/>
  <c r="AH377" i="5"/>
  <c r="AH376" i="5"/>
  <c r="AH371" i="5"/>
  <c r="AI371" i="5" s="1"/>
  <c r="AH384" i="5"/>
  <c r="AH381" i="5"/>
  <c r="AH365" i="5"/>
  <c r="AH378" i="5"/>
  <c r="AH372" i="5"/>
  <c r="AH357" i="5"/>
  <c r="AI357" i="5" s="1"/>
  <c r="AH360" i="5"/>
  <c r="AH354" i="5"/>
  <c r="AI354" i="5" s="1"/>
  <c r="AH363" i="5"/>
  <c r="AI363" i="5" s="1"/>
  <c r="AH353" i="5"/>
  <c r="AH345" i="5"/>
  <c r="BO339" i="5"/>
  <c r="BO337" i="5"/>
  <c r="AH337" i="5"/>
  <c r="AH331" i="5"/>
  <c r="AH332" i="5"/>
  <c r="AE328" i="5"/>
  <c r="AH329" i="5"/>
  <c r="AI329" i="5" s="1"/>
  <c r="AH330" i="5"/>
  <c r="AH324" i="5"/>
  <c r="AI324" i="5" s="1"/>
  <c r="BO323" i="5"/>
  <c r="AH323" i="5"/>
  <c r="BO322" i="5"/>
  <c r="AH321" i="5"/>
  <c r="AH320" i="5"/>
  <c r="AH327" i="5"/>
  <c r="AI327" i="5" s="1"/>
  <c r="AG312" i="5"/>
  <c r="AF312" i="5"/>
  <c r="AE312" i="5"/>
  <c r="AD312" i="5"/>
  <c r="AC312" i="5"/>
  <c r="AH311" i="5"/>
  <c r="AH308" i="5"/>
  <c r="AI308" i="5" s="1"/>
  <c r="AH305" i="5"/>
  <c r="AH302" i="5"/>
  <c r="AH299" i="5"/>
  <c r="AI299" i="5" s="1"/>
  <c r="AH298" i="5"/>
  <c r="AH295" i="5"/>
  <c r="AH290" i="5"/>
  <c r="AI290" i="5" s="1"/>
  <c r="AH286" i="5"/>
  <c r="BO293" i="5"/>
  <c r="AH293" i="5"/>
  <c r="AI293" i="5" s="1"/>
  <c r="AH276" i="5"/>
  <c r="AH275" i="5"/>
  <c r="AI275" i="5" s="1"/>
  <c r="AH273" i="5"/>
  <c r="AH272" i="5"/>
  <c r="AH269" i="5"/>
  <c r="AH268" i="5"/>
  <c r="AH277" i="5"/>
  <c r="AI277" i="5" s="1"/>
  <c r="AH265" i="5"/>
  <c r="AH263" i="5"/>
  <c r="AH262" i="5"/>
  <c r="AH264" i="5"/>
  <c r="AH259" i="5"/>
  <c r="BO256" i="5"/>
  <c r="AH256" i="5"/>
  <c r="AH258" i="5"/>
  <c r="AH255" i="5"/>
  <c r="AH253" i="5"/>
  <c r="AH252" i="5"/>
  <c r="AH254" i="5"/>
  <c r="AH251" i="5"/>
  <c r="AI251" i="5" s="1"/>
  <c r="AH250" i="5"/>
  <c r="AI250" i="5" s="1"/>
  <c r="AH249" i="5"/>
  <c r="AH248" i="5"/>
  <c r="AG246" i="5"/>
  <c r="AF246" i="5"/>
  <c r="AE246" i="5"/>
  <c r="AD246" i="5"/>
  <c r="AC246" i="5"/>
  <c r="AG245" i="5"/>
  <c r="AF245" i="5"/>
  <c r="AE245" i="5"/>
  <c r="AD245" i="5"/>
  <c r="AC245" i="5"/>
  <c r="AH247" i="5"/>
  <c r="AH242" i="5"/>
  <c r="AI242" i="5" s="1"/>
  <c r="AH241" i="5"/>
  <c r="AI241" i="5" s="1"/>
  <c r="AH240" i="5"/>
  <c r="BO236" i="5"/>
  <c r="AH235" i="5"/>
  <c r="AI235" i="5" s="1"/>
  <c r="AH234" i="5"/>
  <c r="AI234" i="5" s="1"/>
  <c r="AH233" i="5"/>
  <c r="AH232" i="5"/>
  <c r="BO231" i="5"/>
  <c r="R231" i="5"/>
  <c r="BO230" i="5"/>
  <c r="R230" i="5"/>
  <c r="BO229" i="5"/>
  <c r="R229" i="5"/>
  <c r="BO228" i="5"/>
  <c r="R228" i="5"/>
  <c r="AG227" i="5"/>
  <c r="AF227" i="5"/>
  <c r="AE227" i="5"/>
  <c r="AD227" i="5"/>
  <c r="AC227" i="5"/>
  <c r="AH226" i="5"/>
  <c r="AI226" i="5" s="1"/>
  <c r="AH224" i="5"/>
  <c r="AH225" i="5"/>
  <c r="AH223" i="5"/>
  <c r="AH222" i="5"/>
  <c r="AH221" i="5"/>
  <c r="AH219" i="5"/>
  <c r="AI219" i="5" s="1"/>
  <c r="AH217" i="5"/>
  <c r="AH216" i="5"/>
  <c r="AH215" i="5"/>
  <c r="AH213" i="5"/>
  <c r="AH212" i="5"/>
  <c r="AH211" i="5"/>
  <c r="AH210" i="5"/>
  <c r="AI210" i="5" s="1"/>
  <c r="AH214" i="5"/>
  <c r="AH207" i="5"/>
  <c r="AH206" i="5"/>
  <c r="AH198" i="5"/>
  <c r="AH197" i="5"/>
  <c r="AH196" i="5"/>
  <c r="BO194" i="5"/>
  <c r="AH194" i="5"/>
  <c r="AH190" i="5"/>
  <c r="AI190" i="5" s="1"/>
  <c r="AG188" i="5"/>
  <c r="AF188" i="5"/>
  <c r="AE188" i="5"/>
  <c r="AD188" i="5"/>
  <c r="AC188" i="5"/>
  <c r="AH187" i="5"/>
  <c r="AH186" i="5"/>
  <c r="AH185" i="5"/>
  <c r="AH184" i="5"/>
  <c r="AH182" i="5"/>
  <c r="AI182" i="5" s="1"/>
  <c r="AH189" i="5"/>
  <c r="AH173" i="5"/>
  <c r="AH171" i="5"/>
  <c r="AH170" i="5"/>
  <c r="AH179" i="5"/>
  <c r="AI179" i="5" s="1"/>
  <c r="AH178" i="5"/>
  <c r="AH165" i="5"/>
  <c r="AH161" i="5"/>
  <c r="AH157" i="5"/>
  <c r="AH177" i="5"/>
  <c r="AI177" i="5" s="1"/>
  <c r="AH174" i="5"/>
  <c r="AH167" i="5"/>
  <c r="AH168" i="5"/>
  <c r="AH160" i="5"/>
  <c r="X152" i="5"/>
  <c r="AH155" i="5"/>
  <c r="AH143" i="5"/>
  <c r="AI143" i="5" s="1"/>
  <c r="AH142" i="5"/>
  <c r="AH151" i="5"/>
  <c r="AH150" i="5"/>
  <c r="AI150" i="5" s="1"/>
  <c r="AH135" i="5"/>
  <c r="AH134" i="5"/>
  <c r="AH129" i="5"/>
  <c r="AH136" i="5"/>
  <c r="AI136" i="5" s="1"/>
  <c r="AH127" i="5"/>
  <c r="AH125" i="5"/>
  <c r="AH126" i="5"/>
  <c r="AH117" i="5"/>
  <c r="AH123" i="5"/>
  <c r="AH118" i="5"/>
  <c r="AI118" i="5" s="1"/>
  <c r="BO113" i="5"/>
  <c r="AH113" i="5"/>
  <c r="AI113" i="5" s="1"/>
  <c r="AH110" i="5"/>
  <c r="AH109" i="5"/>
  <c r="AH112" i="5"/>
  <c r="AH104" i="5"/>
  <c r="AH103" i="5"/>
  <c r="AH100" i="5"/>
  <c r="AI100" i="5" s="1"/>
  <c r="AH115" i="5"/>
  <c r="AI115" i="5" s="1"/>
  <c r="AH111" i="5"/>
  <c r="AH105" i="5"/>
  <c r="AH108" i="5"/>
  <c r="AH106" i="5"/>
  <c r="AH98" i="5"/>
  <c r="AI98" i="5" s="1"/>
  <c r="AH97" i="5"/>
  <c r="AI97" i="5" s="1"/>
  <c r="BO95" i="5"/>
  <c r="AH95" i="5"/>
  <c r="AH94" i="5"/>
  <c r="AH91" i="5"/>
  <c r="AH81" i="5"/>
  <c r="AH74" i="5"/>
  <c r="AH70" i="5"/>
  <c r="AI70" i="5" s="1"/>
  <c r="AH67" i="5"/>
  <c r="AH66" i="5"/>
  <c r="AH61" i="5"/>
  <c r="AH65" i="5"/>
  <c r="AI65" i="5" s="1"/>
  <c r="AH59" i="5"/>
  <c r="AH58" i="5"/>
  <c r="BO56" i="5"/>
  <c r="AH56" i="5"/>
  <c r="AH51" i="5"/>
  <c r="AH50" i="5"/>
  <c r="AH47" i="5"/>
  <c r="AI47" i="5" s="1"/>
  <c r="AH46" i="5"/>
  <c r="AG44" i="5"/>
  <c r="AF44" i="5"/>
  <c r="AE44" i="5"/>
  <c r="AD44" i="5"/>
  <c r="AC44" i="5"/>
  <c r="AG43" i="5"/>
  <c r="AF43" i="5"/>
  <c r="AE43" i="5"/>
  <c r="AD43" i="5"/>
  <c r="AC43" i="5"/>
  <c r="AG42" i="5"/>
  <c r="AF42" i="5"/>
  <c r="AE42" i="5"/>
  <c r="AD42" i="5"/>
  <c r="AC42" i="5"/>
  <c r="AG41" i="5"/>
  <c r="AF41" i="5"/>
  <c r="AE41" i="5"/>
  <c r="BO40" i="5"/>
  <c r="AH40" i="5"/>
  <c r="AH39" i="5"/>
  <c r="AI39" i="5" s="1"/>
  <c r="BO37" i="5"/>
  <c r="AH37" i="5"/>
  <c r="BO36" i="5"/>
  <c r="AH36" i="5"/>
  <c r="BO35" i="5"/>
  <c r="AH35" i="5"/>
  <c r="AH34" i="5"/>
  <c r="BO33" i="5"/>
  <c r="AH33" i="5"/>
  <c r="BO30" i="5"/>
  <c r="AG30" i="5"/>
  <c r="AF30" i="5"/>
  <c r="AE30" i="5"/>
  <c r="AD30" i="5"/>
  <c r="AC30" i="5"/>
  <c r="AH28" i="5"/>
  <c r="AH27" i="5"/>
  <c r="BO26" i="5"/>
  <c r="AH26" i="5"/>
  <c r="BO25" i="5"/>
  <c r="AH25" i="5"/>
  <c r="BO24" i="5"/>
  <c r="BO23" i="5"/>
  <c r="AG23" i="5"/>
  <c r="AF23" i="5"/>
  <c r="AE23" i="5"/>
  <c r="AD23" i="5"/>
  <c r="AC23" i="5"/>
  <c r="AH22" i="5"/>
  <c r="BO21" i="5"/>
  <c r="AG21" i="5"/>
  <c r="AF21" i="5"/>
  <c r="AE21" i="5"/>
  <c r="AD21" i="5"/>
  <c r="AC21" i="5"/>
  <c r="BO19" i="5"/>
  <c r="AG19" i="5"/>
  <c r="AF19" i="5"/>
  <c r="AE19" i="5"/>
  <c r="AD19" i="5"/>
  <c r="AC19" i="5"/>
  <c r="AH18" i="5"/>
  <c r="BO17" i="5"/>
  <c r="BO15" i="5"/>
  <c r="AH14" i="5"/>
  <c r="AH13" i="5"/>
  <c r="AI13" i="5" s="1"/>
  <c r="AH12" i="5"/>
  <c r="AG10" i="5"/>
  <c r="AF10" i="5"/>
  <c r="AE10" i="5"/>
  <c r="AD10" i="5"/>
  <c r="AC10" i="5"/>
  <c r="BO9" i="5"/>
  <c r="AH8" i="5"/>
  <c r="BN3" i="5"/>
  <c r="BM3" i="5"/>
  <c r="BL3" i="5"/>
  <c r="BK3" i="5"/>
  <c r="BJ3" i="5"/>
  <c r="BI3" i="5"/>
  <c r="BH3" i="5"/>
  <c r="BG3" i="5"/>
  <c r="BF3" i="5"/>
  <c r="BE3" i="5"/>
  <c r="BD3" i="5"/>
  <c r="BC3" i="5"/>
  <c r="AM3" i="5"/>
  <c r="AJ3" i="5"/>
  <c r="V3" i="5"/>
  <c r="T3" i="5"/>
  <c r="AL152" i="5" l="1"/>
  <c r="AH152" i="5"/>
  <c r="AH17" i="5"/>
  <c r="AH413" i="5"/>
  <c r="AI413" i="5" s="1"/>
  <c r="AN413" i="5" s="1"/>
  <c r="AH15" i="5"/>
  <c r="AI15" i="5" s="1"/>
  <c r="AN15" i="5" s="1"/>
  <c r="AH532" i="5"/>
  <c r="AI532" i="5" s="1"/>
  <c r="AN532" i="5" s="1"/>
  <c r="J7" i="11"/>
  <c r="J43" i="11"/>
  <c r="J279" i="11"/>
  <c r="J312" i="11"/>
  <c r="J350" i="11"/>
  <c r="J397" i="11"/>
  <c r="J482" i="11"/>
  <c r="AH489" i="5"/>
  <c r="AI489" i="5" s="1"/>
  <c r="AN489" i="5" s="1"/>
  <c r="J525" i="11"/>
  <c r="J619" i="11"/>
  <c r="AH621" i="5"/>
  <c r="AI621" i="5" s="1"/>
  <c r="AN621" i="5" s="1"/>
  <c r="J74" i="11"/>
  <c r="J124" i="11"/>
  <c r="J143" i="11"/>
  <c r="J178" i="11"/>
  <c r="J215" i="11"/>
  <c r="J233" i="11"/>
  <c r="J341" i="11"/>
  <c r="AH352" i="5"/>
  <c r="AI352" i="5" s="1"/>
  <c r="AN352" i="5" s="1"/>
  <c r="J410" i="11"/>
  <c r="AH417" i="5"/>
  <c r="AI417" i="5" s="1"/>
  <c r="AN417" i="5" s="1"/>
  <c r="J449" i="11"/>
  <c r="J488" i="11"/>
  <c r="J512" i="11"/>
  <c r="AH536" i="5"/>
  <c r="AI536" i="5" s="1"/>
  <c r="AN536" i="5" s="1"/>
  <c r="J565" i="11"/>
  <c r="J27" i="11"/>
  <c r="J104" i="11"/>
  <c r="J191" i="11"/>
  <c r="J287" i="11"/>
  <c r="J308" i="11"/>
  <c r="J334" i="11"/>
  <c r="AH336" i="5"/>
  <c r="AI336" i="5" s="1"/>
  <c r="AN336" i="5" s="1"/>
  <c r="J414" i="11"/>
  <c r="AH416" i="5"/>
  <c r="AI416" i="5" s="1"/>
  <c r="AN416" i="5" s="1"/>
  <c r="J470" i="11"/>
  <c r="AH29" i="5"/>
  <c r="AI29" i="5" s="1"/>
  <c r="AN29" i="5" s="1"/>
  <c r="J69" i="11"/>
  <c r="J117" i="11"/>
  <c r="J142" i="11"/>
  <c r="J164" i="11"/>
  <c r="J207" i="11"/>
  <c r="J227" i="11"/>
  <c r="J275" i="11"/>
  <c r="AH289" i="5"/>
  <c r="AI289" i="5" s="1"/>
  <c r="AN289" i="5" s="1"/>
  <c r="AH314" i="5"/>
  <c r="AI314" i="5" s="1"/>
  <c r="AN314" i="5" s="1"/>
  <c r="J376" i="11"/>
  <c r="AH382" i="5"/>
  <c r="AI382" i="5" s="1"/>
  <c r="AN382" i="5" s="1"/>
  <c r="J435" i="11"/>
  <c r="J483" i="11"/>
  <c r="J494" i="11"/>
  <c r="J529" i="11"/>
  <c r="J541" i="11"/>
  <c r="J550" i="11"/>
  <c r="AH555" i="5"/>
  <c r="AI555" i="5" s="1"/>
  <c r="AN555" i="5" s="1"/>
  <c r="J568" i="11"/>
  <c r="J583" i="11"/>
  <c r="AH585" i="5"/>
  <c r="AI585" i="5" s="1"/>
  <c r="AN585" i="5" s="1"/>
  <c r="J585" i="11"/>
  <c r="AH587" i="5"/>
  <c r="AI587" i="5" s="1"/>
  <c r="AN587" i="5" s="1"/>
  <c r="J609" i="11"/>
  <c r="AH611" i="5"/>
  <c r="AI611" i="5" s="1"/>
  <c r="AN611" i="5" s="1"/>
  <c r="J13" i="11"/>
  <c r="J16" i="11"/>
  <c r="J21" i="11"/>
  <c r="J28" i="11"/>
  <c r="J32" i="11"/>
  <c r="J35" i="11"/>
  <c r="J44" i="11"/>
  <c r="J54" i="11"/>
  <c r="AH71" i="5"/>
  <c r="AI71" i="5" s="1"/>
  <c r="AN71" i="5" s="1"/>
  <c r="AH76" i="5"/>
  <c r="AI76" i="5" s="1"/>
  <c r="AN76" i="5" s="1"/>
  <c r="J103" i="11"/>
  <c r="J106" i="11"/>
  <c r="J101" i="11"/>
  <c r="J108" i="11"/>
  <c r="AH119" i="5"/>
  <c r="AI119" i="5" s="1"/>
  <c r="AN119" i="5" s="1"/>
  <c r="AH130" i="5"/>
  <c r="AI130" i="5" s="1"/>
  <c r="AN130" i="5" s="1"/>
  <c r="AH144" i="5"/>
  <c r="AI144" i="5" s="1"/>
  <c r="AN144" i="5" s="1"/>
  <c r="AH145" i="5"/>
  <c r="AI145" i="5" s="1"/>
  <c r="AN145" i="5" s="1"/>
  <c r="AH166" i="5"/>
  <c r="AI166" i="5" s="1"/>
  <c r="AN166" i="5" s="1"/>
  <c r="AH180" i="5"/>
  <c r="AI180" i="5" s="1"/>
  <c r="AN180" i="5" s="1"/>
  <c r="J188" i="11"/>
  <c r="J192" i="11"/>
  <c r="J203" i="11"/>
  <c r="AH209" i="5"/>
  <c r="AI209" i="5" s="1"/>
  <c r="AN209" i="5" s="1"/>
  <c r="AH218" i="5"/>
  <c r="AI218" i="5" s="1"/>
  <c r="AN218" i="5" s="1"/>
  <c r="AH236" i="5"/>
  <c r="AI236" i="5" s="1"/>
  <c r="AN236" i="5" s="1"/>
  <c r="J237" i="11"/>
  <c r="AI243" i="5"/>
  <c r="AN243" i="5" s="1"/>
  <c r="J242" i="11"/>
  <c r="J262" i="11"/>
  <c r="J271" i="11"/>
  <c r="AH278" i="5"/>
  <c r="AI278" i="5" s="1"/>
  <c r="AN278" i="5" s="1"/>
  <c r="J280" i="11"/>
  <c r="AH283" i="5"/>
  <c r="AI283" i="5" s="1"/>
  <c r="AN283" i="5" s="1"/>
  <c r="J331" i="11"/>
  <c r="AH344" i="5"/>
  <c r="AI344" i="5" s="1"/>
  <c r="AN344" i="5" s="1"/>
  <c r="J348" i="11"/>
  <c r="J358" i="11"/>
  <c r="J364" i="11"/>
  <c r="AH366" i="5"/>
  <c r="AI366" i="5" s="1"/>
  <c r="AN366" i="5" s="1"/>
  <c r="J377" i="11"/>
  <c r="J375" i="11"/>
  <c r="J386" i="11"/>
  <c r="J401" i="11"/>
  <c r="AH403" i="5"/>
  <c r="AI403" i="5" s="1"/>
  <c r="AN403" i="5" s="1"/>
  <c r="J411" i="11"/>
  <c r="J420" i="11"/>
  <c r="J427" i="11"/>
  <c r="AH440" i="5"/>
  <c r="AI440" i="5" s="1"/>
  <c r="AN440" i="5" s="1"/>
  <c r="J438" i="11"/>
  <c r="J441" i="11"/>
  <c r="AH454" i="5"/>
  <c r="AI454" i="5" s="1"/>
  <c r="AN454" i="5" s="1"/>
  <c r="J452" i="11"/>
  <c r="J465" i="11"/>
  <c r="AH470" i="5"/>
  <c r="AI470" i="5" s="1"/>
  <c r="AN470" i="5" s="1"/>
  <c r="AH485" i="5"/>
  <c r="AI485" i="5" s="1"/>
  <c r="AN485" i="5" s="1"/>
  <c r="AH493" i="5"/>
  <c r="AI493" i="5" s="1"/>
  <c r="AN493" i="5" s="1"/>
  <c r="AH501" i="5"/>
  <c r="AI501" i="5" s="1"/>
  <c r="AN501" i="5" s="1"/>
  <c r="J502" i="11"/>
  <c r="AH496" i="5"/>
  <c r="AI496" i="5" s="1"/>
  <c r="AN496" i="5" s="1"/>
  <c r="J506" i="11"/>
  <c r="AH517" i="5"/>
  <c r="AI517" i="5" s="1"/>
  <c r="AN517" i="5" s="1"/>
  <c r="J518" i="11"/>
  <c r="AH523" i="5"/>
  <c r="AI523" i="5" s="1"/>
  <c r="AN523" i="5" s="1"/>
  <c r="J533" i="11"/>
  <c r="AH535" i="5"/>
  <c r="AI535" i="5" s="1"/>
  <c r="AN535" i="5" s="1"/>
  <c r="AH549" i="5"/>
  <c r="AI549" i="5" s="1"/>
  <c r="AN549" i="5" s="1"/>
  <c r="J551" i="11"/>
  <c r="J558" i="11"/>
  <c r="J562" i="11"/>
  <c r="AH567" i="5"/>
  <c r="AI567" i="5" s="1"/>
  <c r="AN567" i="5" s="1"/>
  <c r="AH589" i="5"/>
  <c r="AI589" i="5" s="1"/>
  <c r="AN589" i="5" s="1"/>
  <c r="J572" i="11"/>
  <c r="J590" i="11"/>
  <c r="AH592" i="5"/>
  <c r="AI592" i="5" s="1"/>
  <c r="AN592" i="5" s="1"/>
  <c r="J591" i="11"/>
  <c r="AH593" i="5"/>
  <c r="AI593" i="5" s="1"/>
  <c r="AN593" i="5" s="1"/>
  <c r="J611" i="11"/>
  <c r="AH613" i="5"/>
  <c r="AI613" i="5" s="1"/>
  <c r="AN613" i="5" s="1"/>
  <c r="J629" i="11"/>
  <c r="AH631" i="5"/>
  <c r="AI631" i="5" s="1"/>
  <c r="AN631" i="5" s="1"/>
  <c r="J29" i="11"/>
  <c r="J58" i="11"/>
  <c r="J60" i="11"/>
  <c r="J66" i="11"/>
  <c r="J70" i="11"/>
  <c r="J75" i="11"/>
  <c r="J91" i="11"/>
  <c r="J112" i="11"/>
  <c r="J118" i="11"/>
  <c r="J120" i="11"/>
  <c r="J126" i="11"/>
  <c r="J129" i="11"/>
  <c r="J138" i="11"/>
  <c r="J139" i="11"/>
  <c r="J144" i="11"/>
  <c r="J145" i="11"/>
  <c r="J172" i="11"/>
  <c r="J166" i="11"/>
  <c r="J174" i="11"/>
  <c r="J159" i="11"/>
  <c r="J176" i="11"/>
  <c r="J169" i="11"/>
  <c r="J181" i="11"/>
  <c r="J183" i="11"/>
  <c r="J197" i="11"/>
  <c r="AH199" i="5"/>
  <c r="AI199" i="5" s="1"/>
  <c r="AN199" i="5" s="1"/>
  <c r="J238" i="11"/>
  <c r="J244" i="11"/>
  <c r="J245" i="11"/>
  <c r="J249" i="11"/>
  <c r="J253" i="11"/>
  <c r="J257" i="11"/>
  <c r="J267" i="11"/>
  <c r="J276" i="11"/>
  <c r="AH279" i="5"/>
  <c r="AI279" i="5" s="1"/>
  <c r="AN279" i="5" s="1"/>
  <c r="J281" i="11"/>
  <c r="J326" i="11"/>
  <c r="AH342" i="5"/>
  <c r="AI342" i="5" s="1"/>
  <c r="AN342" i="5" s="1"/>
  <c r="J342" i="11"/>
  <c r="J357" i="11"/>
  <c r="J366" i="11"/>
  <c r="AH379" i="5"/>
  <c r="AI379" i="5" s="1"/>
  <c r="AN379" i="5" s="1"/>
  <c r="J367" i="11"/>
  <c r="J371" i="11"/>
  <c r="J387" i="11"/>
  <c r="J395" i="11"/>
  <c r="AH400" i="5"/>
  <c r="AI400" i="5" s="1"/>
  <c r="AN400" i="5" s="1"/>
  <c r="J402" i="11"/>
  <c r="J416" i="11"/>
  <c r="J433" i="11"/>
  <c r="J444" i="11"/>
  <c r="J455" i="11"/>
  <c r="AH460" i="5"/>
  <c r="AI460" i="5" s="1"/>
  <c r="AN460" i="5" s="1"/>
  <c r="J471" i="11"/>
  <c r="J477" i="11"/>
  <c r="J484" i="11"/>
  <c r="J486" i="11"/>
  <c r="J491" i="11"/>
  <c r="AH511" i="5"/>
  <c r="AI511" i="5" s="1"/>
  <c r="AN511" i="5" s="1"/>
  <c r="J495" i="11"/>
  <c r="AH508" i="5"/>
  <c r="AI508" i="5" s="1"/>
  <c r="AN508" i="5" s="1"/>
  <c r="J509" i="11"/>
  <c r="AH516" i="5"/>
  <c r="AI516" i="5" s="1"/>
  <c r="AN516" i="5" s="1"/>
  <c r="J521" i="11"/>
  <c r="J534" i="11"/>
  <c r="AH556" i="5"/>
  <c r="AI556" i="5" s="1"/>
  <c r="AN556" i="5" s="1"/>
  <c r="AH565" i="5"/>
  <c r="AI565" i="5" s="1"/>
  <c r="AN565" i="5" s="1"/>
  <c r="J589" i="11"/>
  <c r="AH591" i="5"/>
  <c r="AI591" i="5" s="1"/>
  <c r="AN591" i="5" s="1"/>
  <c r="J592" i="11"/>
  <c r="AH594" i="5"/>
  <c r="AI594" i="5" s="1"/>
  <c r="AN594" i="5" s="1"/>
  <c r="J593" i="11"/>
  <c r="AH595" i="5"/>
  <c r="AI595" i="5" s="1"/>
  <c r="AN595" i="5" s="1"/>
  <c r="J612" i="11"/>
  <c r="AH614" i="5"/>
  <c r="AI614" i="5" s="1"/>
  <c r="AN614" i="5" s="1"/>
  <c r="J630" i="11"/>
  <c r="AH632" i="5"/>
  <c r="AI632" i="5" s="1"/>
  <c r="AN632" i="5" s="1"/>
  <c r="J41" i="11"/>
  <c r="J100" i="11"/>
  <c r="J187" i="11"/>
  <c r="J283" i="11"/>
  <c r="J299" i="11"/>
  <c r="J351" i="11"/>
  <c r="J394" i="11"/>
  <c r="J454" i="11"/>
  <c r="J500" i="11"/>
  <c r="J549" i="11"/>
  <c r="AH554" i="5"/>
  <c r="AI554" i="5" s="1"/>
  <c r="AN554" i="5" s="1"/>
  <c r="J637" i="11"/>
  <c r="AH639" i="5"/>
  <c r="AI639" i="5" s="1"/>
  <c r="AN639" i="5" s="1"/>
  <c r="J38" i="11"/>
  <c r="AH45" i="5"/>
  <c r="AI45" i="5" s="1"/>
  <c r="AN45" i="5" s="1"/>
  <c r="J93" i="11"/>
  <c r="J125" i="11"/>
  <c r="J165" i="11"/>
  <c r="J168" i="11"/>
  <c r="AH201" i="5"/>
  <c r="AI201" i="5" s="1"/>
  <c r="AN201" i="5" s="1"/>
  <c r="J220" i="11"/>
  <c r="J241" i="11"/>
  <c r="AH244" i="5"/>
  <c r="AI244" i="5" s="1"/>
  <c r="AN244" i="5" s="1"/>
  <c r="J335" i="11"/>
  <c r="J369" i="11"/>
  <c r="AH399" i="5"/>
  <c r="AI399" i="5" s="1"/>
  <c r="AN399" i="5" s="1"/>
  <c r="J424" i="11"/>
  <c r="J476" i="11"/>
  <c r="AH484" i="5"/>
  <c r="AI484" i="5" s="1"/>
  <c r="AN484" i="5" s="1"/>
  <c r="J508" i="11"/>
  <c r="J8" i="11"/>
  <c r="J9" i="11"/>
  <c r="J22" i="11"/>
  <c r="J10" i="11"/>
  <c r="J17" i="11"/>
  <c r="AH24" i="5"/>
  <c r="AI24" i="5" s="1"/>
  <c r="AN24" i="5" s="1"/>
  <c r="J25" i="11"/>
  <c r="AH31" i="5"/>
  <c r="AI31" i="5" s="1"/>
  <c r="AN31" i="5" s="1"/>
  <c r="J33" i="11"/>
  <c r="J39" i="11"/>
  <c r="J45" i="11"/>
  <c r="AH60" i="5"/>
  <c r="AI60" i="5" s="1"/>
  <c r="AN60" i="5" s="1"/>
  <c r="AH62" i="5"/>
  <c r="AI62" i="5" s="1"/>
  <c r="AN62" i="5" s="1"/>
  <c r="AH69" i="5"/>
  <c r="AI69" i="5" s="1"/>
  <c r="AN69" i="5" s="1"/>
  <c r="AH73" i="5"/>
  <c r="AI73" i="5" s="1"/>
  <c r="AN73" i="5" s="1"/>
  <c r="AH79" i="5"/>
  <c r="AI79" i="5" s="1"/>
  <c r="AN79" i="5" s="1"/>
  <c r="AH93" i="5"/>
  <c r="AI93" i="5" s="1"/>
  <c r="AN93" i="5" s="1"/>
  <c r="J95" i="11"/>
  <c r="J105" i="11"/>
  <c r="J109" i="11"/>
  <c r="J102" i="11"/>
  <c r="J111" i="11"/>
  <c r="AH114" i="5"/>
  <c r="AI114" i="5" s="1"/>
  <c r="AN114" i="5" s="1"/>
  <c r="AH120" i="5"/>
  <c r="AI120" i="5" s="1"/>
  <c r="AN120" i="5" s="1"/>
  <c r="AH122" i="5"/>
  <c r="AI122" i="5" s="1"/>
  <c r="AN122" i="5" s="1"/>
  <c r="AH128" i="5"/>
  <c r="AI128" i="5" s="1"/>
  <c r="AN128" i="5" s="1"/>
  <c r="AH131" i="5"/>
  <c r="AI131" i="5" s="1"/>
  <c r="AN131" i="5" s="1"/>
  <c r="AH141" i="5"/>
  <c r="AI141" i="5" s="1"/>
  <c r="AN141" i="5" s="1"/>
  <c r="AH148" i="5"/>
  <c r="AI148" i="5" s="1"/>
  <c r="AN148" i="5" s="1"/>
  <c r="AH146" i="5"/>
  <c r="AI146" i="5" s="1"/>
  <c r="AN146" i="5" s="1"/>
  <c r="AH147" i="5"/>
  <c r="AI147" i="5" s="1"/>
  <c r="AN147" i="5" s="1"/>
  <c r="AH175" i="5"/>
  <c r="AI175" i="5" s="1"/>
  <c r="AN175" i="5" s="1"/>
  <c r="AH169" i="5"/>
  <c r="AI169" i="5" s="1"/>
  <c r="AN169" i="5" s="1"/>
  <c r="AH183" i="5"/>
  <c r="AI183" i="5" s="1"/>
  <c r="AN183" i="5" s="1"/>
  <c r="J189" i="11"/>
  <c r="J198" i="11"/>
  <c r="J234" i="11"/>
  <c r="J263" i="11"/>
  <c r="J272" i="11"/>
  <c r="AH274" i="5"/>
  <c r="AI274" i="5" s="1"/>
  <c r="AN274" i="5" s="1"/>
  <c r="J277" i="11"/>
  <c r="J285" i="11"/>
  <c r="J289" i="11"/>
  <c r="J293" i="11"/>
  <c r="J297" i="11"/>
  <c r="J301" i="11"/>
  <c r="J305" i="11"/>
  <c r="J310" i="11"/>
  <c r="J311" i="11"/>
  <c r="J316" i="11"/>
  <c r="J320" i="11"/>
  <c r="J323" i="11"/>
  <c r="J332" i="11"/>
  <c r="J336" i="11"/>
  <c r="AH349" i="5"/>
  <c r="AI349" i="5" s="1"/>
  <c r="AN349" i="5" s="1"/>
  <c r="J352" i="11"/>
  <c r="AH367" i="5"/>
  <c r="AI367" i="5" s="1"/>
  <c r="AN367" i="5" s="1"/>
  <c r="J354" i="11"/>
  <c r="AH356" i="5"/>
  <c r="AI356" i="5" s="1"/>
  <c r="AN356" i="5" s="1"/>
  <c r="J360" i="11"/>
  <c r="AH369" i="5"/>
  <c r="AI369" i="5" s="1"/>
  <c r="AN369" i="5" s="1"/>
  <c r="J379" i="11"/>
  <c r="AH373" i="5"/>
  <c r="AI373" i="5" s="1"/>
  <c r="AN373" i="5" s="1"/>
  <c r="J383" i="11"/>
  <c r="AH396" i="5"/>
  <c r="AI396" i="5" s="1"/>
  <c r="AN396" i="5" s="1"/>
  <c r="J388" i="11"/>
  <c r="AH390" i="5"/>
  <c r="AI390" i="5" s="1"/>
  <c r="AN390" i="5" s="1"/>
  <c r="J406" i="11"/>
  <c r="J412" i="11"/>
  <c r="AH418" i="5"/>
  <c r="AI418" i="5" s="1"/>
  <c r="AN418" i="5" s="1"/>
  <c r="J421" i="11"/>
  <c r="J425" i="11"/>
  <c r="J428" i="11"/>
  <c r="J431" i="11"/>
  <c r="AH438" i="5"/>
  <c r="AI438" i="5" s="1"/>
  <c r="AN438" i="5" s="1"/>
  <c r="J436" i="11"/>
  <c r="AH449" i="5"/>
  <c r="AI449" i="5" s="1"/>
  <c r="AN449" i="5" s="1"/>
  <c r="J447" i="11"/>
  <c r="AH452" i="5"/>
  <c r="AI452" i="5" s="1"/>
  <c r="AN452" i="5" s="1"/>
  <c r="J463" i="11"/>
  <c r="J466" i="11"/>
  <c r="AH476" i="5"/>
  <c r="AI476" i="5" s="1"/>
  <c r="AN476" i="5" s="1"/>
  <c r="AH487" i="5"/>
  <c r="AI487" i="5" s="1"/>
  <c r="AN487" i="5" s="1"/>
  <c r="J480" i="11"/>
  <c r="AH491" i="5"/>
  <c r="AI491" i="5" s="1"/>
  <c r="AN491" i="5" s="1"/>
  <c r="J489" i="11"/>
  <c r="AH502" i="5"/>
  <c r="AI502" i="5" s="1"/>
  <c r="AN502" i="5" s="1"/>
  <c r="J503" i="11"/>
  <c r="AH497" i="5"/>
  <c r="AI497" i="5" s="1"/>
  <c r="AN497" i="5" s="1"/>
  <c r="J501" i="11"/>
  <c r="AH503" i="5"/>
  <c r="AI503" i="5" s="1"/>
  <c r="AN503" i="5" s="1"/>
  <c r="J510" i="11"/>
  <c r="J516" i="11"/>
  <c r="J519" i="11"/>
  <c r="AH539" i="5"/>
  <c r="AI539" i="5" s="1"/>
  <c r="AN539" i="5" s="1"/>
  <c r="J542" i="11"/>
  <c r="AH544" i="5"/>
  <c r="AI544" i="5" s="1"/>
  <c r="AN544" i="5" s="1"/>
  <c r="J555" i="11"/>
  <c r="AH560" i="5"/>
  <c r="AI560" i="5" s="1"/>
  <c r="AN560" i="5" s="1"/>
  <c r="J594" i="11"/>
  <c r="AH596" i="5"/>
  <c r="AI596" i="5" s="1"/>
  <c r="AN596" i="5" s="1"/>
  <c r="J595" i="11"/>
  <c r="AH597" i="5"/>
  <c r="AI597" i="5" s="1"/>
  <c r="AN597" i="5" s="1"/>
  <c r="J631" i="11"/>
  <c r="AH633" i="5"/>
  <c r="AI633" i="5" s="1"/>
  <c r="AN633" i="5" s="1"/>
  <c r="J641" i="11"/>
  <c r="AH643" i="5"/>
  <c r="AI643" i="5" s="1"/>
  <c r="AN643" i="5" s="1"/>
  <c r="J40" i="11"/>
  <c r="J97" i="11"/>
  <c r="J202" i="11"/>
  <c r="J255" i="11"/>
  <c r="AH257" i="5"/>
  <c r="AI257" i="5" s="1"/>
  <c r="AN257" i="5" s="1"/>
  <c r="J291" i="11"/>
  <c r="J318" i="11"/>
  <c r="J374" i="11"/>
  <c r="J419" i="11"/>
  <c r="J473" i="11"/>
  <c r="J522" i="11"/>
  <c r="J59" i="11"/>
  <c r="J89" i="11"/>
  <c r="AH107" i="5"/>
  <c r="AI107" i="5" s="1"/>
  <c r="AN107" i="5" s="1"/>
  <c r="J133" i="11"/>
  <c r="J167" i="11"/>
  <c r="J186" i="11"/>
  <c r="AH193" i="5"/>
  <c r="AI193" i="5" s="1"/>
  <c r="AN193" i="5" s="1"/>
  <c r="AH204" i="5"/>
  <c r="AI204" i="5" s="1"/>
  <c r="AN204" i="5" s="1"/>
  <c r="J225" i="11"/>
  <c r="J256" i="11"/>
  <c r="AH282" i="5"/>
  <c r="AI282" i="5" s="1"/>
  <c r="AN282" i="5" s="1"/>
  <c r="AH294" i="5"/>
  <c r="AI294" i="5" s="1"/>
  <c r="AN294" i="5" s="1"/>
  <c r="AH304" i="5"/>
  <c r="AI304" i="5" s="1"/>
  <c r="AN304" i="5" s="1"/>
  <c r="AH310" i="5"/>
  <c r="AI310" i="5" s="1"/>
  <c r="AN310" i="5" s="1"/>
  <c r="J365" i="11"/>
  <c r="J415" i="11"/>
  <c r="AH421" i="5"/>
  <c r="AI421" i="5" s="1"/>
  <c r="AN421" i="5" s="1"/>
  <c r="J462" i="11"/>
  <c r="AH475" i="5"/>
  <c r="AI475" i="5" s="1"/>
  <c r="AN475" i="5" s="1"/>
  <c r="J490" i="11"/>
  <c r="J515" i="11"/>
  <c r="AH527" i="5"/>
  <c r="AI527" i="5" s="1"/>
  <c r="AN527" i="5" s="1"/>
  <c r="J532" i="11"/>
  <c r="AH538" i="5"/>
  <c r="AI538" i="5" s="1"/>
  <c r="AN538" i="5" s="1"/>
  <c r="J18" i="11"/>
  <c r="J30" i="11"/>
  <c r="J36" i="11"/>
  <c r="J55" i="11"/>
  <c r="J62" i="11"/>
  <c r="J61" i="11"/>
  <c r="J67" i="11"/>
  <c r="J71" i="11"/>
  <c r="J78" i="11"/>
  <c r="J90" i="11"/>
  <c r="J114" i="11"/>
  <c r="J119" i="11"/>
  <c r="J122" i="11"/>
  <c r="J128" i="11"/>
  <c r="J130" i="11"/>
  <c r="J146" i="11"/>
  <c r="J149" i="11"/>
  <c r="J151" i="11"/>
  <c r="J152" i="11"/>
  <c r="J156" i="11"/>
  <c r="J173" i="11"/>
  <c r="J162" i="11"/>
  <c r="J161" i="11"/>
  <c r="J160" i="11"/>
  <c r="J170" i="11"/>
  <c r="J179" i="11"/>
  <c r="J184" i="11"/>
  <c r="AI191" i="5"/>
  <c r="AN191" i="5" s="1"/>
  <c r="J194" i="11"/>
  <c r="AH200" i="5"/>
  <c r="AI200" i="5" s="1"/>
  <c r="AN200" i="5" s="1"/>
  <c r="J205" i="11"/>
  <c r="J209" i="11"/>
  <c r="J213" i="11"/>
  <c r="J217" i="11"/>
  <c r="J218" i="11"/>
  <c r="J222" i="11"/>
  <c r="J226" i="11"/>
  <c r="J228" i="11"/>
  <c r="J231" i="11"/>
  <c r="AH237" i="5"/>
  <c r="AI237" i="5" s="1"/>
  <c r="AN237" i="5" s="1"/>
  <c r="J239" i="11"/>
  <c r="J246" i="11"/>
  <c r="J250" i="11"/>
  <c r="J254" i="11"/>
  <c r="J260" i="11"/>
  <c r="AH266" i="5"/>
  <c r="AI266" i="5" s="1"/>
  <c r="AN266" i="5" s="1"/>
  <c r="J268" i="11"/>
  <c r="AH270" i="5"/>
  <c r="AI270" i="5" s="1"/>
  <c r="AN270" i="5" s="1"/>
  <c r="J273" i="11"/>
  <c r="AH280" i="5"/>
  <c r="AI280" i="5" s="1"/>
  <c r="AN280" i="5" s="1"/>
  <c r="AH287" i="5"/>
  <c r="AI287" i="5" s="1"/>
  <c r="AN287" i="5" s="1"/>
  <c r="AH291" i="5"/>
  <c r="AI291" i="5" s="1"/>
  <c r="AN291" i="5" s="1"/>
  <c r="AH296" i="5"/>
  <c r="AI296" i="5" s="1"/>
  <c r="AN296" i="5" s="1"/>
  <c r="AH300" i="5"/>
  <c r="AI300" i="5" s="1"/>
  <c r="AN300" i="5" s="1"/>
  <c r="AH303" i="5"/>
  <c r="AI303" i="5" s="1"/>
  <c r="AN303" i="5" s="1"/>
  <c r="AH307" i="5"/>
  <c r="AI307" i="5" s="1"/>
  <c r="AN307" i="5" s="1"/>
  <c r="AH313" i="5"/>
  <c r="AI313" i="5" s="1"/>
  <c r="AN313" i="5" s="1"/>
  <c r="AH318" i="5"/>
  <c r="AI318" i="5" s="1"/>
  <c r="AN318" i="5" s="1"/>
  <c r="AH322" i="5"/>
  <c r="AI322" i="5" s="1"/>
  <c r="AN322" i="5" s="1"/>
  <c r="AH325" i="5"/>
  <c r="AI325" i="5" s="1"/>
  <c r="AN325" i="5" s="1"/>
  <c r="J328" i="11"/>
  <c r="AH334" i="5"/>
  <c r="AI334" i="5" s="1"/>
  <c r="AN334" i="5" s="1"/>
  <c r="AH338" i="5"/>
  <c r="AI338" i="5" s="1"/>
  <c r="AN338" i="5" s="1"/>
  <c r="J343" i="11"/>
  <c r="AH358" i="5"/>
  <c r="AI358" i="5" s="1"/>
  <c r="AN358" i="5" s="1"/>
  <c r="J345" i="11"/>
  <c r="AH347" i="5"/>
  <c r="AI347" i="5" s="1"/>
  <c r="AN347" i="5" s="1"/>
  <c r="J355" i="11"/>
  <c r="AH362" i="5"/>
  <c r="AI362" i="5" s="1"/>
  <c r="AN362" i="5" s="1"/>
  <c r="J368" i="11"/>
  <c r="AH389" i="5"/>
  <c r="AI389" i="5" s="1"/>
  <c r="AN389" i="5" s="1"/>
  <c r="J372" i="11"/>
  <c r="AH385" i="5"/>
  <c r="AI385" i="5" s="1"/>
  <c r="AN385" i="5" s="1"/>
  <c r="J390" i="11"/>
  <c r="AH397" i="5"/>
  <c r="AI397" i="5" s="1"/>
  <c r="AN397" i="5" s="1"/>
  <c r="J389" i="11"/>
  <c r="J396" i="11"/>
  <c r="J403" i="11"/>
  <c r="J408" i="11"/>
  <c r="AH426" i="5"/>
  <c r="AI426" i="5" s="1"/>
  <c r="AN426" i="5" s="1"/>
  <c r="J417" i="11"/>
  <c r="AH423" i="5"/>
  <c r="AI423" i="5" s="1"/>
  <c r="AN423" i="5" s="1"/>
  <c r="AH431" i="5"/>
  <c r="AI431" i="5" s="1"/>
  <c r="AN431" i="5" s="1"/>
  <c r="AH433" i="5"/>
  <c r="AI433" i="5" s="1"/>
  <c r="AN433" i="5" s="1"/>
  <c r="AH436" i="5"/>
  <c r="AI436" i="5" s="1"/>
  <c r="AN436" i="5" s="1"/>
  <c r="J439" i="11"/>
  <c r="AH444" i="5"/>
  <c r="AI444" i="5" s="1"/>
  <c r="AN444" i="5" s="1"/>
  <c r="J453" i="11"/>
  <c r="J456" i="11"/>
  <c r="AH468" i="5"/>
  <c r="AI468" i="5" s="1"/>
  <c r="AN468" i="5" s="1"/>
  <c r="J469" i="11"/>
  <c r="J493" i="11"/>
  <c r="J496" i="11"/>
  <c r="AH498" i="5"/>
  <c r="AI498" i="5" s="1"/>
  <c r="AN498" i="5" s="1"/>
  <c r="J504" i="11"/>
  <c r="J524" i="11"/>
  <c r="J527" i="11"/>
  <c r="J536" i="11"/>
  <c r="J543" i="11"/>
  <c r="AH545" i="5"/>
  <c r="AI545" i="5" s="1"/>
  <c r="AN545" i="5" s="1"/>
  <c r="J547" i="11"/>
  <c r="J599" i="11"/>
  <c r="AH601" i="5"/>
  <c r="AI601" i="5" s="1"/>
  <c r="AN601" i="5" s="1"/>
  <c r="J597" i="11"/>
  <c r="AH599" i="5"/>
  <c r="AI599" i="5" s="1"/>
  <c r="AN599" i="5" s="1"/>
  <c r="J598" i="11"/>
  <c r="AH600" i="5"/>
  <c r="AI600" i="5" s="1"/>
  <c r="AN600" i="5" s="1"/>
  <c r="J617" i="11"/>
  <c r="J12" i="11"/>
  <c r="J42" i="11"/>
  <c r="J107" i="11"/>
  <c r="J261" i="11"/>
  <c r="J303" i="11"/>
  <c r="J363" i="11"/>
  <c r="J400" i="11"/>
  <c r="J457" i="11"/>
  <c r="J537" i="11"/>
  <c r="AH542" i="5"/>
  <c r="AI542" i="5" s="1"/>
  <c r="AN542" i="5" s="1"/>
  <c r="J582" i="11"/>
  <c r="AH584" i="5"/>
  <c r="AI584" i="5" s="1"/>
  <c r="AN584" i="5" s="1"/>
  <c r="J24" i="11"/>
  <c r="J65" i="11"/>
  <c r="J116" i="11"/>
  <c r="J148" i="11"/>
  <c r="J155" i="11"/>
  <c r="J196" i="11"/>
  <c r="J224" i="11"/>
  <c r="J266" i="11"/>
  <c r="J330" i="11"/>
  <c r="AH333" i="5"/>
  <c r="AI333" i="5" s="1"/>
  <c r="AN333" i="5" s="1"/>
  <c r="AH355" i="5"/>
  <c r="AI355" i="5" s="1"/>
  <c r="AN355" i="5" s="1"/>
  <c r="J381" i="11"/>
  <c r="AH402" i="5"/>
  <c r="AI402" i="5" s="1"/>
  <c r="AN402" i="5" s="1"/>
  <c r="J446" i="11"/>
  <c r="AH462" i="5"/>
  <c r="AI462" i="5" s="1"/>
  <c r="AN462" i="5" s="1"/>
  <c r="AH478" i="5"/>
  <c r="AI478" i="5" s="1"/>
  <c r="AN478" i="5" s="1"/>
  <c r="J538" i="11"/>
  <c r="J14" i="11"/>
  <c r="J6" i="11"/>
  <c r="J11" i="11"/>
  <c r="AH16" i="5"/>
  <c r="AI16" i="5" s="1"/>
  <c r="AN16" i="5" s="1"/>
  <c r="AI20" i="5"/>
  <c r="AN20" i="5" s="1"/>
  <c r="J23" i="11"/>
  <c r="J26" i="11"/>
  <c r="AH32" i="5"/>
  <c r="AI32" i="5" s="1"/>
  <c r="AN32" i="5" s="1"/>
  <c r="AH38" i="5"/>
  <c r="AI38" i="5" s="1"/>
  <c r="AN38" i="5" s="1"/>
  <c r="J48" i="11"/>
  <c r="AH57" i="5"/>
  <c r="AI57" i="5" s="1"/>
  <c r="AN57" i="5" s="1"/>
  <c r="AH64" i="5"/>
  <c r="AI64" i="5" s="1"/>
  <c r="AN64" i="5" s="1"/>
  <c r="AH63" i="5"/>
  <c r="AI63" i="5" s="1"/>
  <c r="AN63" i="5" s="1"/>
  <c r="AH72" i="5"/>
  <c r="AI72" i="5" s="1"/>
  <c r="AN72" i="5" s="1"/>
  <c r="AH75" i="5"/>
  <c r="AI75" i="5" s="1"/>
  <c r="AN75" i="5" s="1"/>
  <c r="AH82" i="5"/>
  <c r="AI82" i="5" s="1"/>
  <c r="AN82" i="5" s="1"/>
  <c r="AH92" i="5"/>
  <c r="AI92" i="5" s="1"/>
  <c r="AN92" i="5" s="1"/>
  <c r="J96" i="11"/>
  <c r="J99" i="11"/>
  <c r="J98" i="11"/>
  <c r="J110" i="11"/>
  <c r="AH116" i="5"/>
  <c r="AI116" i="5" s="1"/>
  <c r="AN116" i="5" s="1"/>
  <c r="AH121" i="5"/>
  <c r="AI121" i="5" s="1"/>
  <c r="AN121" i="5" s="1"/>
  <c r="AH124" i="5"/>
  <c r="AI124" i="5" s="1"/>
  <c r="AN124" i="5" s="1"/>
  <c r="AH133" i="5"/>
  <c r="AI133" i="5" s="1"/>
  <c r="AN133" i="5" s="1"/>
  <c r="AH132" i="5"/>
  <c r="AI132" i="5" s="1"/>
  <c r="AN132" i="5" s="1"/>
  <c r="AH149" i="5"/>
  <c r="AI149" i="5" s="1"/>
  <c r="AN149" i="5" s="1"/>
  <c r="AH156" i="5"/>
  <c r="AI156" i="5" s="1"/>
  <c r="AN156" i="5" s="1"/>
  <c r="AH153" i="5"/>
  <c r="AI153" i="5" s="1"/>
  <c r="AN153" i="5" s="1"/>
  <c r="AH154" i="5"/>
  <c r="AI154" i="5" s="1"/>
  <c r="AN154" i="5" s="1"/>
  <c r="AH159" i="5"/>
  <c r="AI159" i="5" s="1"/>
  <c r="AN159" i="5" s="1"/>
  <c r="AH176" i="5"/>
  <c r="AI176" i="5" s="1"/>
  <c r="AN176" i="5" s="1"/>
  <c r="AH164" i="5"/>
  <c r="AI164" i="5" s="1"/>
  <c r="AN164" i="5" s="1"/>
  <c r="AH163" i="5"/>
  <c r="AI163" i="5" s="1"/>
  <c r="AN163" i="5" s="1"/>
  <c r="AH162" i="5"/>
  <c r="AI162" i="5" s="1"/>
  <c r="AN162" i="5" s="1"/>
  <c r="AH172" i="5"/>
  <c r="AI172" i="5" s="1"/>
  <c r="AN172" i="5" s="1"/>
  <c r="AH181" i="5"/>
  <c r="AI181" i="5" s="1"/>
  <c r="AN181" i="5" s="1"/>
  <c r="J190" i="11"/>
  <c r="J201" i="11"/>
  <c r="J235" i="11"/>
  <c r="J264" i="11"/>
  <c r="AH267" i="5"/>
  <c r="AI267" i="5" s="1"/>
  <c r="AN267" i="5" s="1"/>
  <c r="J269" i="11"/>
  <c r="J278" i="11"/>
  <c r="J282" i="11"/>
  <c r="J286" i="11"/>
  <c r="J290" i="11"/>
  <c r="J294" i="11"/>
  <c r="J298" i="11"/>
  <c r="J302" i="11"/>
  <c r="J307" i="11"/>
  <c r="J313" i="11"/>
  <c r="J317" i="11"/>
  <c r="J324" i="11"/>
  <c r="J333" i="11"/>
  <c r="J337" i="11"/>
  <c r="J353" i="11"/>
  <c r="AH359" i="5"/>
  <c r="AI359" i="5" s="1"/>
  <c r="AN359" i="5" s="1"/>
  <c r="J346" i="11"/>
  <c r="J362" i="11"/>
  <c r="AH370" i="5"/>
  <c r="AI370" i="5" s="1"/>
  <c r="AN370" i="5" s="1"/>
  <c r="J380" i="11"/>
  <c r="AH374" i="5"/>
  <c r="AI374" i="5" s="1"/>
  <c r="AN374" i="5" s="1"/>
  <c r="J384" i="11"/>
  <c r="AH386" i="5"/>
  <c r="AI386" i="5" s="1"/>
  <c r="AN386" i="5" s="1"/>
  <c r="J391" i="11"/>
  <c r="AH391" i="5"/>
  <c r="AI391" i="5" s="1"/>
  <c r="AN391" i="5" s="1"/>
  <c r="J399" i="11"/>
  <c r="J413" i="11"/>
  <c r="J422" i="11"/>
  <c r="AH424" i="5"/>
  <c r="AI424" i="5" s="1"/>
  <c r="AN424" i="5" s="1"/>
  <c r="J445" i="11"/>
  <c r="J448" i="11"/>
  <c r="J459" i="11"/>
  <c r="J461" i="11"/>
  <c r="J472" i="11"/>
  <c r="J478" i="11"/>
  <c r="J481" i="11"/>
  <c r="J487" i="11"/>
  <c r="AH504" i="5"/>
  <c r="AI504" i="5" s="1"/>
  <c r="AN504" i="5" s="1"/>
  <c r="J505" i="11"/>
  <c r="AH515" i="5"/>
  <c r="AI515" i="5" s="1"/>
  <c r="AN515" i="5" s="1"/>
  <c r="J497" i="11"/>
  <c r="AH506" i="5"/>
  <c r="AI506" i="5" s="1"/>
  <c r="AN506" i="5" s="1"/>
  <c r="J511" i="11"/>
  <c r="J514" i="11"/>
  <c r="J520" i="11"/>
  <c r="AH534" i="5"/>
  <c r="AI534" i="5" s="1"/>
  <c r="AN534" i="5" s="1"/>
  <c r="AH529" i="5"/>
  <c r="AI529" i="5" s="1"/>
  <c r="AN529" i="5" s="1"/>
  <c r="AH541" i="5"/>
  <c r="AI541" i="5" s="1"/>
  <c r="AN541" i="5" s="1"/>
  <c r="J544" i="11"/>
  <c r="AH552" i="5"/>
  <c r="AI552" i="5" s="1"/>
  <c r="AN552" i="5" s="1"/>
  <c r="J624" i="11"/>
  <c r="AH626" i="5"/>
  <c r="AI626" i="5" s="1"/>
  <c r="AN626" i="5" s="1"/>
  <c r="J627" i="11"/>
  <c r="AH629" i="5"/>
  <c r="AI629" i="5" s="1"/>
  <c r="AN629" i="5" s="1"/>
  <c r="J601" i="11"/>
  <c r="AH603" i="5"/>
  <c r="AI603" i="5" s="1"/>
  <c r="AN603" i="5" s="1"/>
  <c r="J20" i="11"/>
  <c r="J49" i="11"/>
  <c r="J236" i="11"/>
  <c r="J270" i="11"/>
  <c r="J295" i="11"/>
  <c r="J325" i="11"/>
  <c r="J382" i="11"/>
  <c r="AH393" i="5"/>
  <c r="AI393" i="5" s="1"/>
  <c r="AN393" i="5" s="1"/>
  <c r="J443" i="11"/>
  <c r="J498" i="11"/>
  <c r="J545" i="11"/>
  <c r="AH550" i="5"/>
  <c r="AI550" i="5" s="1"/>
  <c r="AN550" i="5" s="1"/>
  <c r="J600" i="11"/>
  <c r="AH602" i="5"/>
  <c r="AI602" i="5" s="1"/>
  <c r="AN602" i="5" s="1"/>
  <c r="AH9" i="5"/>
  <c r="AI9" i="5" s="1"/>
  <c r="AN9" i="5" s="1"/>
  <c r="J57" i="11"/>
  <c r="J87" i="11"/>
  <c r="AH99" i="5"/>
  <c r="AI99" i="5" s="1"/>
  <c r="AN99" i="5" s="1"/>
  <c r="AH102" i="5"/>
  <c r="AI102" i="5" s="1"/>
  <c r="AN102" i="5" s="1"/>
  <c r="J127" i="11"/>
  <c r="J150" i="11"/>
  <c r="J182" i="11"/>
  <c r="J211" i="11"/>
  <c r="J229" i="11"/>
  <c r="AH238" i="5"/>
  <c r="AI238" i="5" s="1"/>
  <c r="AN238" i="5" s="1"/>
  <c r="AH285" i="5"/>
  <c r="AI285" i="5" s="1"/>
  <c r="AN285" i="5" s="1"/>
  <c r="J349" i="11"/>
  <c r="J393" i="11"/>
  <c r="J430" i="11"/>
  <c r="AH448" i="5"/>
  <c r="AI448" i="5" s="1"/>
  <c r="AN448" i="5" s="1"/>
  <c r="AH507" i="5"/>
  <c r="AI507" i="5" s="1"/>
  <c r="AN507" i="5" s="1"/>
  <c r="J15" i="11"/>
  <c r="J19" i="11"/>
  <c r="J31" i="11"/>
  <c r="J34" i="11"/>
  <c r="J37" i="11"/>
  <c r="J56" i="11"/>
  <c r="J63" i="11"/>
  <c r="J64" i="11"/>
  <c r="J68" i="11"/>
  <c r="J72" i="11"/>
  <c r="J79" i="11"/>
  <c r="J92" i="11"/>
  <c r="J113" i="11"/>
  <c r="J115" i="11"/>
  <c r="J121" i="11"/>
  <c r="J123" i="11"/>
  <c r="J131" i="11"/>
  <c r="J132" i="11"/>
  <c r="J147" i="11"/>
  <c r="J140" i="11"/>
  <c r="J141" i="11"/>
  <c r="J153" i="11"/>
  <c r="J157" i="11"/>
  <c r="J158" i="11"/>
  <c r="J175" i="11"/>
  <c r="J163" i="11"/>
  <c r="J177" i="11"/>
  <c r="J171" i="11"/>
  <c r="J180" i="11"/>
  <c r="J185" i="11"/>
  <c r="AH192" i="5"/>
  <c r="AI192" i="5" s="1"/>
  <c r="AN192" i="5" s="1"/>
  <c r="J195" i="11"/>
  <c r="AH208" i="5"/>
  <c r="J206" i="11"/>
  <c r="J210" i="11"/>
  <c r="J214" i="11"/>
  <c r="J219" i="11"/>
  <c r="J223" i="11"/>
  <c r="AH229" i="5"/>
  <c r="AI229" i="5" s="1"/>
  <c r="AN229" i="5" s="1"/>
  <c r="AH231" i="5"/>
  <c r="AI231" i="5" s="1"/>
  <c r="AN231" i="5" s="1"/>
  <c r="J232" i="11"/>
  <c r="AH239" i="5"/>
  <c r="AI239" i="5" s="1"/>
  <c r="AN239" i="5" s="1"/>
  <c r="J240" i="11"/>
  <c r="J247" i="11"/>
  <c r="J251" i="11"/>
  <c r="J259" i="11"/>
  <c r="AH261" i="5"/>
  <c r="AI261" i="5" s="1"/>
  <c r="AN261" i="5" s="1"/>
  <c r="J265" i="11"/>
  <c r="AH271" i="5"/>
  <c r="AI271" i="5" s="1"/>
  <c r="AN271" i="5" s="1"/>
  <c r="J274" i="11"/>
  <c r="AH281" i="5"/>
  <c r="AI281" i="5" s="1"/>
  <c r="AN281" i="5" s="1"/>
  <c r="AH284" i="5"/>
  <c r="AI284" i="5" s="1"/>
  <c r="AN284" i="5" s="1"/>
  <c r="AH288" i="5"/>
  <c r="AI288" i="5" s="1"/>
  <c r="AN288" i="5" s="1"/>
  <c r="AH292" i="5"/>
  <c r="AI292" i="5" s="1"/>
  <c r="AN292" i="5" s="1"/>
  <c r="AH297" i="5"/>
  <c r="AI297" i="5" s="1"/>
  <c r="AN297" i="5" s="1"/>
  <c r="AH301" i="5"/>
  <c r="AI301" i="5" s="1"/>
  <c r="AN301" i="5" s="1"/>
  <c r="AH306" i="5"/>
  <c r="AI306" i="5" s="1"/>
  <c r="AN306" i="5" s="1"/>
  <c r="AH316" i="5"/>
  <c r="AI316" i="5" s="1"/>
  <c r="AN316" i="5" s="1"/>
  <c r="AH315" i="5"/>
  <c r="AI315" i="5" s="1"/>
  <c r="AN315" i="5" s="1"/>
  <c r="AH319" i="5"/>
  <c r="AI319" i="5" s="1"/>
  <c r="AN319" i="5" s="1"/>
  <c r="J321" i="11"/>
  <c r="AH326" i="5"/>
  <c r="AI326" i="5" s="1"/>
  <c r="AN326" i="5" s="1"/>
  <c r="J329" i="11"/>
  <c r="AH335" i="5"/>
  <c r="AI335" i="5" s="1"/>
  <c r="AN335" i="5" s="1"/>
  <c r="AH339" i="5"/>
  <c r="AI339" i="5" s="1"/>
  <c r="AN339" i="5" s="1"/>
  <c r="J347" i="11"/>
  <c r="AH351" i="5"/>
  <c r="AI351" i="5" s="1"/>
  <c r="AN351" i="5" s="1"/>
  <c r="J356" i="11"/>
  <c r="AH348" i="5"/>
  <c r="AI348" i="5" s="1"/>
  <c r="AN348" i="5" s="1"/>
  <c r="J361" i="11"/>
  <c r="AH364" i="5"/>
  <c r="AI364" i="5" s="1"/>
  <c r="AN364" i="5" s="1"/>
  <c r="J370" i="11"/>
  <c r="AH392" i="5"/>
  <c r="AI392" i="5" s="1"/>
  <c r="AN392" i="5" s="1"/>
  <c r="J373" i="11"/>
  <c r="AH375" i="5"/>
  <c r="AI375" i="5" s="1"/>
  <c r="AN375" i="5" s="1"/>
  <c r="J378" i="11"/>
  <c r="AH398" i="5"/>
  <c r="AI398" i="5" s="1"/>
  <c r="AN398" i="5" s="1"/>
  <c r="J392" i="11"/>
  <c r="AH408" i="5"/>
  <c r="AI408" i="5" s="1"/>
  <c r="AN408" i="5" s="1"/>
  <c r="J404" i="11"/>
  <c r="J409" i="11"/>
  <c r="AH415" i="5"/>
  <c r="AI415" i="5" s="1"/>
  <c r="AN415" i="5" s="1"/>
  <c r="J418" i="11"/>
  <c r="AH420" i="5"/>
  <c r="AI420" i="5" s="1"/>
  <c r="AN420" i="5" s="1"/>
  <c r="J423" i="11"/>
  <c r="J426" i="11"/>
  <c r="J437" i="11"/>
  <c r="J440" i="11"/>
  <c r="AH450" i="5"/>
  <c r="AI450" i="5" s="1"/>
  <c r="AN450" i="5" s="1"/>
  <c r="AH453" i="5"/>
  <c r="AI453" i="5" s="1"/>
  <c r="AN453" i="5" s="1"/>
  <c r="J451" i="11"/>
  <c r="AH466" i="5"/>
  <c r="AI466" i="5" s="1"/>
  <c r="AN466" i="5" s="1"/>
  <c r="J464" i="11"/>
  <c r="J467" i="11"/>
  <c r="AH477" i="5"/>
  <c r="AI477" i="5" s="1"/>
  <c r="AN477" i="5" s="1"/>
  <c r="J475" i="11"/>
  <c r="AH480" i="5"/>
  <c r="AI480" i="5" s="1"/>
  <c r="AN480" i="5" s="1"/>
  <c r="AH488" i="5"/>
  <c r="AI488" i="5" s="1"/>
  <c r="AN488" i="5" s="1"/>
  <c r="J499" i="11"/>
  <c r="AH505" i="5"/>
  <c r="AI505" i="5" s="1"/>
  <c r="AN505" i="5" s="1"/>
  <c r="J492" i="11"/>
  <c r="J507" i="11"/>
  <c r="J517" i="11"/>
  <c r="J528" i="11"/>
  <c r="J531" i="11"/>
  <c r="J535" i="11"/>
  <c r="AH540" i="5"/>
  <c r="AI540" i="5" s="1"/>
  <c r="AN540" i="5" s="1"/>
  <c r="J540" i="11"/>
  <c r="AH548" i="5"/>
  <c r="AI548" i="5" s="1"/>
  <c r="AN548" i="5" s="1"/>
  <c r="AH546" i="5"/>
  <c r="AI546" i="5" s="1"/>
  <c r="AN546" i="5" s="1"/>
  <c r="J548" i="11"/>
  <c r="AH553" i="5"/>
  <c r="AI553" i="5" s="1"/>
  <c r="AN553" i="5" s="1"/>
  <c r="J626" i="11"/>
  <c r="AH628" i="5"/>
  <c r="AI628" i="5" s="1"/>
  <c r="AN628" i="5" s="1"/>
  <c r="J584" i="11"/>
  <c r="AH586" i="5"/>
  <c r="AI586" i="5" s="1"/>
  <c r="AN586" i="5" s="1"/>
  <c r="J625" i="11"/>
  <c r="AH627" i="5"/>
  <c r="AI627" i="5" s="1"/>
  <c r="AN627" i="5" s="1"/>
  <c r="J618" i="11"/>
  <c r="AH620" i="5"/>
  <c r="AI620" i="5" s="1"/>
  <c r="AN620" i="5" s="1"/>
  <c r="J634" i="11"/>
  <c r="AH636" i="5"/>
  <c r="AI636" i="5" s="1"/>
  <c r="AN636" i="5" s="1"/>
  <c r="J539" i="11"/>
  <c r="J552" i="11"/>
  <c r="J559" i="11"/>
  <c r="J563" i="11"/>
  <c r="J566" i="11"/>
  <c r="J569" i="11"/>
  <c r="J573" i="11"/>
  <c r="J606" i="11"/>
  <c r="J587" i="11"/>
  <c r="J622" i="11"/>
  <c r="J615" i="11"/>
  <c r="J82" i="11"/>
  <c r="J678" i="11"/>
  <c r="J596" i="11"/>
  <c r="J628" i="11"/>
  <c r="J610" i="11"/>
  <c r="J620" i="11"/>
  <c r="J636" i="11"/>
  <c r="J638" i="11"/>
  <c r="J642" i="11"/>
  <c r="J645" i="11"/>
  <c r="J651" i="11"/>
  <c r="J654" i="11"/>
  <c r="J658" i="11"/>
  <c r="J660" i="11"/>
  <c r="J666" i="11"/>
  <c r="J669" i="11"/>
  <c r="J674" i="11"/>
  <c r="J407" i="11"/>
  <c r="J204" i="11"/>
  <c r="J208" i="11"/>
  <c r="J212" i="11"/>
  <c r="J216" i="11"/>
  <c r="J221" i="11"/>
  <c r="AH228" i="5"/>
  <c r="AI228" i="5" s="1"/>
  <c r="AN228" i="5" s="1"/>
  <c r="AH230" i="5"/>
  <c r="AI230" i="5" s="1"/>
  <c r="AN230" i="5" s="1"/>
  <c r="J230" i="11"/>
  <c r="J248" i="11"/>
  <c r="J252" i="11"/>
  <c r="J284" i="11"/>
  <c r="J288" i="11"/>
  <c r="J292" i="11"/>
  <c r="J296" i="11"/>
  <c r="J300" i="11"/>
  <c r="J304" i="11"/>
  <c r="J309" i="11"/>
  <c r="J315" i="11"/>
  <c r="J319" i="11"/>
  <c r="J322" i="11"/>
  <c r="J398" i="11"/>
  <c r="J405" i="11"/>
  <c r="J429" i="11"/>
  <c r="J432" i="11"/>
  <c r="J434" i="11"/>
  <c r="J442" i="11"/>
  <c r="J450" i="11"/>
  <c r="J458" i="11"/>
  <c r="J460" i="11"/>
  <c r="J468" i="11"/>
  <c r="J474" i="11"/>
  <c r="J479" i="11"/>
  <c r="J485" i="11"/>
  <c r="J513" i="11"/>
  <c r="J523" i="11"/>
  <c r="J526" i="11"/>
  <c r="AH531" i="5"/>
  <c r="AI531" i="5" s="1"/>
  <c r="AN531" i="5" s="1"/>
  <c r="J546" i="11"/>
  <c r="J553" i="11"/>
  <c r="J556" i="11"/>
  <c r="J560" i="11"/>
  <c r="J564" i="11"/>
  <c r="J567" i="11"/>
  <c r="J570" i="11"/>
  <c r="J574" i="11"/>
  <c r="J575" i="11"/>
  <c r="J613" i="11"/>
  <c r="J604" i="11"/>
  <c r="J588" i="11"/>
  <c r="J616" i="11"/>
  <c r="AH598" i="5"/>
  <c r="AI598" i="5" s="1"/>
  <c r="AN598" i="5" s="1"/>
  <c r="AH630" i="5"/>
  <c r="AI630" i="5" s="1"/>
  <c r="AN630" i="5" s="1"/>
  <c r="AH612" i="5"/>
  <c r="AI612" i="5" s="1"/>
  <c r="AN612" i="5" s="1"/>
  <c r="AH622" i="5"/>
  <c r="AI622" i="5" s="1"/>
  <c r="AN622" i="5" s="1"/>
  <c r="AH649" i="5"/>
  <c r="AI649" i="5" s="1"/>
  <c r="AN649" i="5" s="1"/>
  <c r="AH640" i="5"/>
  <c r="AI640" i="5" s="1"/>
  <c r="AN640" i="5" s="1"/>
  <c r="AH644" i="5"/>
  <c r="AI644" i="5" s="1"/>
  <c r="AN644" i="5" s="1"/>
  <c r="AH647" i="5"/>
  <c r="AI647" i="5" s="1"/>
  <c r="AN647" i="5" s="1"/>
  <c r="AH653" i="5"/>
  <c r="AI653" i="5" s="1"/>
  <c r="AN653" i="5" s="1"/>
  <c r="AH656" i="5"/>
  <c r="AI656" i="5" s="1"/>
  <c r="AN656" i="5" s="1"/>
  <c r="AH660" i="5"/>
  <c r="AI660" i="5" s="1"/>
  <c r="AN660" i="5" s="1"/>
  <c r="AH662" i="5"/>
  <c r="AI662" i="5" s="1"/>
  <c r="AN662" i="5" s="1"/>
  <c r="AH668" i="5"/>
  <c r="AI668" i="5" s="1"/>
  <c r="AN668" i="5" s="1"/>
  <c r="AH671" i="5"/>
  <c r="AI671" i="5" s="1"/>
  <c r="AN671" i="5" s="1"/>
  <c r="AH676" i="5"/>
  <c r="AI676" i="5" s="1"/>
  <c r="AN676" i="5" s="1"/>
  <c r="AH412" i="5"/>
  <c r="AI412" i="5" s="1"/>
  <c r="AN412" i="5" s="1"/>
  <c r="J83" i="11"/>
  <c r="J640" i="11"/>
  <c r="J639" i="11"/>
  <c r="J643" i="11"/>
  <c r="J646" i="11"/>
  <c r="J650" i="11"/>
  <c r="J655" i="11"/>
  <c r="J659" i="11"/>
  <c r="J662" i="11"/>
  <c r="J668" i="11"/>
  <c r="J670" i="11"/>
  <c r="J675" i="11"/>
  <c r="J137" i="11"/>
  <c r="AH85" i="5"/>
  <c r="AI85" i="5" s="1"/>
  <c r="AN85" i="5" s="1"/>
  <c r="J530" i="11"/>
  <c r="J554" i="11"/>
  <c r="J557" i="11"/>
  <c r="J561" i="11"/>
  <c r="J571" i="11"/>
  <c r="J586" i="11"/>
  <c r="J621" i="11"/>
  <c r="J607" i="11"/>
  <c r="J605" i="11"/>
  <c r="J623" i="11"/>
  <c r="AH663" i="5"/>
  <c r="AI663" i="5" s="1"/>
  <c r="AN663" i="5" s="1"/>
  <c r="AH641" i="5"/>
  <c r="AI641" i="5" s="1"/>
  <c r="AN641" i="5" s="1"/>
  <c r="AH666" i="5"/>
  <c r="AI666" i="5" s="1"/>
  <c r="AN666" i="5" s="1"/>
  <c r="AH648" i="5"/>
  <c r="AI648" i="5" s="1"/>
  <c r="AN648" i="5" s="1"/>
  <c r="AH652" i="5"/>
  <c r="AI652" i="5" s="1"/>
  <c r="AN652" i="5" s="1"/>
  <c r="AH657" i="5"/>
  <c r="AI657" i="5" s="1"/>
  <c r="AN657" i="5" s="1"/>
  <c r="AH661" i="5"/>
  <c r="AI661" i="5" s="1"/>
  <c r="AN661" i="5" s="1"/>
  <c r="AH664" i="5"/>
  <c r="AI664" i="5" s="1"/>
  <c r="AN664" i="5" s="1"/>
  <c r="AH683" i="5"/>
  <c r="AI683" i="5" s="1"/>
  <c r="AN683" i="5" s="1"/>
  <c r="AH672" i="5"/>
  <c r="AI672" i="5" s="1"/>
  <c r="AN672" i="5" s="1"/>
  <c r="J84" i="11"/>
  <c r="J635" i="11"/>
  <c r="J647" i="11"/>
  <c r="J648" i="11"/>
  <c r="J652" i="11"/>
  <c r="J656" i="11"/>
  <c r="J661" i="11"/>
  <c r="J663" i="11"/>
  <c r="J671" i="11"/>
  <c r="J672" i="11"/>
  <c r="J676" i="11"/>
  <c r="AH101" i="5"/>
  <c r="AI101" i="5" s="1"/>
  <c r="AN101" i="5" s="1"/>
  <c r="J602" i="11"/>
  <c r="J603" i="11"/>
  <c r="J614" i="11"/>
  <c r="J608" i="11"/>
  <c r="AH637" i="5"/>
  <c r="AI637" i="5" s="1"/>
  <c r="AN637" i="5" s="1"/>
  <c r="AH670" i="5"/>
  <c r="AI670" i="5" s="1"/>
  <c r="AN670" i="5" s="1"/>
  <c r="AH650" i="5"/>
  <c r="AI650" i="5" s="1"/>
  <c r="AN650" i="5" s="1"/>
  <c r="AH654" i="5"/>
  <c r="AI654" i="5" s="1"/>
  <c r="AN654" i="5" s="1"/>
  <c r="AH658" i="5"/>
  <c r="AI658" i="5" s="1"/>
  <c r="AN658" i="5" s="1"/>
  <c r="AH673" i="5"/>
  <c r="AI673" i="5" s="1"/>
  <c r="AN673" i="5" s="1"/>
  <c r="AH665" i="5"/>
  <c r="AI665" i="5" s="1"/>
  <c r="AN665" i="5" s="1"/>
  <c r="AH685" i="5"/>
  <c r="AI685" i="5" s="1"/>
  <c r="AN685" i="5" s="1"/>
  <c r="J81" i="11"/>
  <c r="J85" i="11"/>
  <c r="J644" i="11"/>
  <c r="J649" i="11"/>
  <c r="J653" i="11"/>
  <c r="J657" i="11"/>
  <c r="J664" i="11"/>
  <c r="J665" i="11"/>
  <c r="J667" i="11"/>
  <c r="J673" i="11"/>
  <c r="J677" i="11"/>
  <c r="AH83" i="5"/>
  <c r="AI83" i="5" s="1"/>
  <c r="AN83" i="5" s="1"/>
  <c r="AH87" i="5"/>
  <c r="AI87" i="5" s="1"/>
  <c r="AN87" i="5" s="1"/>
  <c r="AI152" i="5"/>
  <c r="AN152" i="5" s="1"/>
  <c r="AH619" i="5"/>
  <c r="AI619" i="5" s="1"/>
  <c r="AN619" i="5" s="1"/>
  <c r="AH428" i="5"/>
  <c r="AI428" i="5" s="1"/>
  <c r="AN428" i="5" s="1"/>
  <c r="AI254" i="5"/>
  <c r="AN254" i="5" s="1"/>
  <c r="AI91" i="5"/>
  <c r="AN91" i="5" s="1"/>
  <c r="AI95" i="5"/>
  <c r="AN95" i="5" s="1"/>
  <c r="AI123" i="5"/>
  <c r="AN123" i="5" s="1"/>
  <c r="AI127" i="5"/>
  <c r="AN127" i="5" s="1"/>
  <c r="AI129" i="5"/>
  <c r="AN129" i="5" s="1"/>
  <c r="AI135" i="5"/>
  <c r="AN135" i="5" s="1"/>
  <c r="AI151" i="5"/>
  <c r="AN151" i="5" s="1"/>
  <c r="AI168" i="5"/>
  <c r="AN168" i="5" s="1"/>
  <c r="AI174" i="5"/>
  <c r="AN174" i="5" s="1"/>
  <c r="AI157" i="5"/>
  <c r="AN157" i="5" s="1"/>
  <c r="AI170" i="5"/>
  <c r="AN170" i="5" s="1"/>
  <c r="AI184" i="5"/>
  <c r="AN184" i="5" s="1"/>
  <c r="AI198" i="5"/>
  <c r="AN198" i="5" s="1"/>
  <c r="AI264" i="5"/>
  <c r="AN264" i="5" s="1"/>
  <c r="AI265" i="5"/>
  <c r="AN265" i="5" s="1"/>
  <c r="AI268" i="5"/>
  <c r="AN268" i="5" s="1"/>
  <c r="AI272" i="5"/>
  <c r="AN272" i="5" s="1"/>
  <c r="AI276" i="5"/>
  <c r="AN276" i="5" s="1"/>
  <c r="AI407" i="5"/>
  <c r="AN407" i="5" s="1"/>
  <c r="AI410" i="5"/>
  <c r="AN410" i="5" s="1"/>
  <c r="AI443" i="5"/>
  <c r="AN443" i="5" s="1"/>
  <c r="AI451" i="5"/>
  <c r="AN451" i="5" s="1"/>
  <c r="AI459" i="5"/>
  <c r="AN459" i="5" s="1"/>
  <c r="AI481" i="5"/>
  <c r="AN481" i="5" s="1"/>
  <c r="AI492" i="5"/>
  <c r="AN492" i="5" s="1"/>
  <c r="AI522" i="5"/>
  <c r="AN522" i="5" s="1"/>
  <c r="AI533" i="5"/>
  <c r="AN533" i="5" s="1"/>
  <c r="AI528" i="5"/>
  <c r="AN528" i="5" s="1"/>
  <c r="AN558" i="5"/>
  <c r="AI561" i="5"/>
  <c r="AN561" i="5" s="1"/>
  <c r="AI562" i="5"/>
  <c r="AN562" i="5" s="1"/>
  <c r="AI566" i="5"/>
  <c r="AN566" i="5" s="1"/>
  <c r="AI588" i="5"/>
  <c r="AN588" i="5" s="1"/>
  <c r="AI577" i="5"/>
  <c r="AN577" i="5" s="1"/>
  <c r="AI618" i="5"/>
  <c r="AN618" i="5" s="1"/>
  <c r="AI609" i="5"/>
  <c r="AN609" i="5" s="1"/>
  <c r="AI606" i="5"/>
  <c r="AN606" i="5" s="1"/>
  <c r="AI625" i="5"/>
  <c r="AN625" i="5" s="1"/>
  <c r="AI686" i="5"/>
  <c r="AN686" i="5" s="1"/>
  <c r="AI551" i="5"/>
  <c r="AN551" i="5" s="1"/>
  <c r="AI14" i="5"/>
  <c r="AN14" i="5" s="1"/>
  <c r="AI216" i="5"/>
  <c r="AN216" i="5" s="1"/>
  <c r="AI258" i="5"/>
  <c r="AN258" i="5" s="1"/>
  <c r="AI456" i="5"/>
  <c r="AN456" i="5" s="1"/>
  <c r="AI103" i="5"/>
  <c r="AN103" i="5" s="1"/>
  <c r="AI214" i="5"/>
  <c r="AN214" i="5" s="1"/>
  <c r="AI376" i="5"/>
  <c r="AN376" i="5" s="1"/>
  <c r="AI8" i="5"/>
  <c r="AN8" i="5" s="1"/>
  <c r="AI161" i="5"/>
  <c r="AN161" i="5" s="1"/>
  <c r="AI178" i="5"/>
  <c r="AN178" i="5" s="1"/>
  <c r="AI171" i="5"/>
  <c r="AN171" i="5" s="1"/>
  <c r="AI189" i="5"/>
  <c r="AN189" i="5" s="1"/>
  <c r="AI185" i="5"/>
  <c r="AN185" i="5" s="1"/>
  <c r="AI240" i="5"/>
  <c r="AN240" i="5" s="1"/>
  <c r="AI247" i="5"/>
  <c r="AN247" i="5" s="1"/>
  <c r="AI262" i="5"/>
  <c r="AN262" i="5" s="1"/>
  <c r="AI269" i="5"/>
  <c r="AN269" i="5" s="1"/>
  <c r="AI273" i="5"/>
  <c r="AN273" i="5" s="1"/>
  <c r="AI401" i="5"/>
  <c r="AN401" i="5" s="1"/>
  <c r="AI434" i="5"/>
  <c r="AN434" i="5" s="1"/>
  <c r="AI441" i="5"/>
  <c r="AN441" i="5" s="1"/>
  <c r="AI457" i="5"/>
  <c r="AN457" i="5" s="1"/>
  <c r="AI469" i="5"/>
  <c r="AN469" i="5" s="1"/>
  <c r="AI490" i="5"/>
  <c r="AN490" i="5" s="1"/>
  <c r="AI520" i="5"/>
  <c r="AN520" i="5" s="1"/>
  <c r="AI563" i="5"/>
  <c r="AN563" i="5" s="1"/>
  <c r="AI573" i="5"/>
  <c r="AN573" i="5" s="1"/>
  <c r="AI604" i="5"/>
  <c r="AN604" i="5" s="1"/>
  <c r="AI635" i="5"/>
  <c r="AN635" i="5" s="1"/>
  <c r="AI616" i="5"/>
  <c r="AN616" i="5" s="1"/>
  <c r="AI610" i="5"/>
  <c r="AN610" i="5" s="1"/>
  <c r="AI642" i="5"/>
  <c r="AN642" i="5" s="1"/>
  <c r="AI572" i="5"/>
  <c r="AN572" i="5" s="1"/>
  <c r="AI56" i="5"/>
  <c r="AN56" i="5" s="1"/>
  <c r="AI109" i="5"/>
  <c r="AN109" i="5" s="1"/>
  <c r="AI207" i="5"/>
  <c r="AN207" i="5" s="1"/>
  <c r="AI248" i="5"/>
  <c r="AN248" i="5" s="1"/>
  <c r="AN327" i="5"/>
  <c r="AI34" i="5"/>
  <c r="AN34" i="5" s="1"/>
  <c r="AI106" i="5"/>
  <c r="AN106" i="5" s="1"/>
  <c r="AI221" i="5"/>
  <c r="AN221" i="5" s="1"/>
  <c r="AI233" i="5"/>
  <c r="AN233" i="5" s="1"/>
  <c r="AI249" i="5"/>
  <c r="AN249" i="5" s="1"/>
  <c r="AI474" i="5"/>
  <c r="AN474" i="5" s="1"/>
  <c r="AI514" i="5"/>
  <c r="AN514" i="5" s="1"/>
  <c r="AI12" i="5"/>
  <c r="AN12" i="5" s="1"/>
  <c r="AI22" i="5"/>
  <c r="AN22" i="5" s="1"/>
  <c r="AI25" i="5"/>
  <c r="AN25" i="5" s="1"/>
  <c r="AI28" i="5"/>
  <c r="AN28" i="5" s="1"/>
  <c r="AI35" i="5"/>
  <c r="AN35" i="5" s="1"/>
  <c r="AI108" i="5"/>
  <c r="AN108" i="5" s="1"/>
  <c r="AI104" i="5"/>
  <c r="AN104" i="5" s="1"/>
  <c r="AI213" i="5"/>
  <c r="AN213" i="5" s="1"/>
  <c r="AI222" i="5"/>
  <c r="AN222" i="5" s="1"/>
  <c r="AI253" i="5"/>
  <c r="AN253" i="5" s="1"/>
  <c r="AI298" i="5"/>
  <c r="AN298" i="5" s="1"/>
  <c r="AI305" i="5"/>
  <c r="AN305" i="5" s="1"/>
  <c r="AI332" i="5"/>
  <c r="AN332" i="5" s="1"/>
  <c r="AI353" i="5"/>
  <c r="AN353" i="5" s="1"/>
  <c r="AN354" i="5"/>
  <c r="AI377" i="5"/>
  <c r="AN377" i="5" s="1"/>
  <c r="AN383" i="5"/>
  <c r="AI405" i="5"/>
  <c r="AN405" i="5" s="1"/>
  <c r="AI425" i="5"/>
  <c r="AN425" i="5" s="1"/>
  <c r="AI427" i="5"/>
  <c r="AN427" i="5" s="1"/>
  <c r="AI472" i="5"/>
  <c r="AN472" i="5" s="1"/>
  <c r="AI482" i="5"/>
  <c r="AN482" i="5" s="1"/>
  <c r="AN543" i="5"/>
  <c r="AI46" i="5"/>
  <c r="AN46" i="5" s="1"/>
  <c r="AI211" i="5"/>
  <c r="AN211" i="5" s="1"/>
  <c r="AI232" i="5"/>
  <c r="AN232" i="5" s="1"/>
  <c r="AI509" i="5"/>
  <c r="AN509" i="5" s="1"/>
  <c r="AI513" i="5"/>
  <c r="AN513" i="5" s="1"/>
  <c r="AI18" i="5"/>
  <c r="AN18" i="5" s="1"/>
  <c r="AI37" i="5"/>
  <c r="AN37" i="5" s="1"/>
  <c r="AI111" i="5"/>
  <c r="AN111" i="5" s="1"/>
  <c r="AI110" i="5"/>
  <c r="AN110" i="5" s="1"/>
  <c r="AI212" i="5"/>
  <c r="AN212" i="5" s="1"/>
  <c r="AI337" i="5"/>
  <c r="AN337" i="5" s="1"/>
  <c r="AI384" i="5"/>
  <c r="AN384" i="5" s="1"/>
  <c r="AI404" i="5"/>
  <c r="AN404" i="5" s="1"/>
  <c r="AI510" i="5"/>
  <c r="AN510" i="5" s="1"/>
  <c r="AI58" i="5"/>
  <c r="AN58" i="5" s="1"/>
  <c r="AN65" i="5"/>
  <c r="AI66" i="5"/>
  <c r="AN66" i="5" s="1"/>
  <c r="AN70" i="5"/>
  <c r="AI74" i="5"/>
  <c r="AN74" i="5" s="1"/>
  <c r="AI186" i="5"/>
  <c r="AN186" i="5" s="1"/>
  <c r="AI196" i="5"/>
  <c r="AN196" i="5" s="1"/>
  <c r="AI323" i="5"/>
  <c r="AN323" i="5" s="1"/>
  <c r="AN447" i="5"/>
  <c r="AN455" i="5"/>
  <c r="AI467" i="5"/>
  <c r="AN467" i="5" s="1"/>
  <c r="AI574" i="5"/>
  <c r="AN574" i="5" s="1"/>
  <c r="AI608" i="5"/>
  <c r="AN608" i="5" s="1"/>
  <c r="AI617" i="5"/>
  <c r="AN617" i="5" s="1"/>
  <c r="AI564" i="5"/>
  <c r="AN564" i="5" s="1"/>
  <c r="AI471" i="5"/>
  <c r="AN471" i="5" s="1"/>
  <c r="AI439" i="5"/>
  <c r="AN439" i="5" s="1"/>
  <c r="AI50" i="5"/>
  <c r="AN50" i="5" s="1"/>
  <c r="AI225" i="5"/>
  <c r="AN225" i="5" s="1"/>
  <c r="AI224" i="5"/>
  <c r="AN224" i="5" s="1"/>
  <c r="AI252" i="5"/>
  <c r="AN252" i="5" s="1"/>
  <c r="AI51" i="5"/>
  <c r="AN51" i="5" s="1"/>
  <c r="AN98" i="5"/>
  <c r="AI105" i="5"/>
  <c r="AN105" i="5" s="1"/>
  <c r="AN100" i="5"/>
  <c r="AI112" i="5"/>
  <c r="AN112" i="5" s="1"/>
  <c r="AI206" i="5"/>
  <c r="AN206" i="5" s="1"/>
  <c r="AN210" i="5"/>
  <c r="AI215" i="5"/>
  <c r="AN215" i="5" s="1"/>
  <c r="AN219" i="5"/>
  <c r="AI223" i="5"/>
  <c r="AN223" i="5" s="1"/>
  <c r="AN235" i="5"/>
  <c r="AN251" i="5"/>
  <c r="AI255" i="5"/>
  <c r="AN255" i="5" s="1"/>
  <c r="AI286" i="5"/>
  <c r="AN286" i="5" s="1"/>
  <c r="AI295" i="5"/>
  <c r="AN295" i="5" s="1"/>
  <c r="AI302" i="5"/>
  <c r="AN302" i="5" s="1"/>
  <c r="AI311" i="5"/>
  <c r="AN311" i="5" s="1"/>
  <c r="AI320" i="5"/>
  <c r="AN320" i="5" s="1"/>
  <c r="AI330" i="5"/>
  <c r="AN330" i="5" s="1"/>
  <c r="AI331" i="5"/>
  <c r="AN331" i="5" s="1"/>
  <c r="AI345" i="5"/>
  <c r="AN345" i="5" s="1"/>
  <c r="AI360" i="5"/>
  <c r="AN360" i="5" s="1"/>
  <c r="AI378" i="5"/>
  <c r="AN378" i="5" s="1"/>
  <c r="AI365" i="5"/>
  <c r="AN365" i="5" s="1"/>
  <c r="AI381" i="5"/>
  <c r="AN381" i="5" s="1"/>
  <c r="AI388" i="5"/>
  <c r="AN388" i="5" s="1"/>
  <c r="AI395" i="5"/>
  <c r="AN395" i="5" s="1"/>
  <c r="AI406" i="5"/>
  <c r="AN406" i="5" s="1"/>
  <c r="AI422" i="5"/>
  <c r="AN422" i="5" s="1"/>
  <c r="AI430" i="5"/>
  <c r="AN430" i="5" s="1"/>
  <c r="AI435" i="5"/>
  <c r="AN435" i="5" s="1"/>
  <c r="AI442" i="5"/>
  <c r="AN442" i="5" s="1"/>
  <c r="AI458" i="5"/>
  <c r="AN458" i="5" s="1"/>
  <c r="AI483" i="5"/>
  <c r="AN483" i="5" s="1"/>
  <c r="AN494" i="5"/>
  <c r="AI499" i="5"/>
  <c r="AN499" i="5" s="1"/>
  <c r="AI512" i="5"/>
  <c r="AN512" i="5" s="1"/>
  <c r="AI521" i="5"/>
  <c r="AN521" i="5" s="1"/>
  <c r="AI530" i="5"/>
  <c r="AN530" i="5" s="1"/>
  <c r="AI537" i="5"/>
  <c r="AN537" i="5" s="1"/>
  <c r="AI321" i="5"/>
  <c r="AN321" i="5" s="1"/>
  <c r="AI500" i="5"/>
  <c r="AN500" i="5" s="1"/>
  <c r="AN519" i="5"/>
  <c r="AI27" i="5"/>
  <c r="AN27" i="5" s="1"/>
  <c r="AI194" i="5"/>
  <c r="AN194" i="5" s="1"/>
  <c r="AI217" i="5"/>
  <c r="AN217" i="5" s="1"/>
  <c r="AI256" i="5"/>
  <c r="AN256" i="5" s="1"/>
  <c r="AI17" i="5"/>
  <c r="AN17" i="5" s="1"/>
  <c r="AI26" i="5"/>
  <c r="AN26" i="5" s="1"/>
  <c r="AI33" i="5"/>
  <c r="AN33" i="5" s="1"/>
  <c r="AI36" i="5"/>
  <c r="AN36" i="5" s="1"/>
  <c r="AI59" i="5"/>
  <c r="AN59" i="5" s="1"/>
  <c r="AI61" i="5"/>
  <c r="AN61" i="5" s="1"/>
  <c r="AI67" i="5"/>
  <c r="AN67" i="5" s="1"/>
  <c r="AI94" i="5"/>
  <c r="AN94" i="5" s="1"/>
  <c r="AN118" i="5"/>
  <c r="AI117" i="5"/>
  <c r="AN117" i="5" s="1"/>
  <c r="AI125" i="5"/>
  <c r="AN125" i="5" s="1"/>
  <c r="AN136" i="5"/>
  <c r="AI134" i="5"/>
  <c r="AN134" i="5" s="1"/>
  <c r="AN150" i="5"/>
  <c r="AI142" i="5"/>
  <c r="AN142" i="5" s="1"/>
  <c r="AN143" i="5"/>
  <c r="AI155" i="5"/>
  <c r="AN155" i="5" s="1"/>
  <c r="AI167" i="5"/>
  <c r="AN167" i="5" s="1"/>
  <c r="AN177" i="5"/>
  <c r="AI165" i="5"/>
  <c r="AN165" i="5" s="1"/>
  <c r="AN179" i="5"/>
  <c r="AI173" i="5"/>
  <c r="AN173" i="5" s="1"/>
  <c r="AN182" i="5"/>
  <c r="AI187" i="5"/>
  <c r="AN187" i="5" s="1"/>
  <c r="AI197" i="5"/>
  <c r="AN197" i="5" s="1"/>
  <c r="AN242" i="5"/>
  <c r="AI263" i="5"/>
  <c r="AN263" i="5" s="1"/>
  <c r="AN277" i="5"/>
  <c r="AN275" i="5"/>
  <c r="AN293" i="5"/>
  <c r="AI429" i="5"/>
  <c r="AN429" i="5" s="1"/>
  <c r="AI445" i="5"/>
  <c r="AN445" i="5" s="1"/>
  <c r="AI461" i="5"/>
  <c r="AN461" i="5" s="1"/>
  <c r="AI465" i="5"/>
  <c r="AN465" i="5" s="1"/>
  <c r="AI473" i="5"/>
  <c r="AN473" i="5" s="1"/>
  <c r="AI524" i="5"/>
  <c r="AN524" i="5" s="1"/>
  <c r="AI547" i="5"/>
  <c r="AN547" i="5" s="1"/>
  <c r="AI557" i="5"/>
  <c r="AN557" i="5" s="1"/>
  <c r="AI569" i="5"/>
  <c r="AN569" i="5" s="1"/>
  <c r="AI582" i="5"/>
  <c r="AN582" i="5" s="1"/>
  <c r="AI568" i="5"/>
  <c r="AN568" i="5" s="1"/>
  <c r="AI575" i="5"/>
  <c r="AN575" i="5" s="1"/>
  <c r="AN615" i="5"/>
  <c r="AI605" i="5"/>
  <c r="AN605" i="5" s="1"/>
  <c r="AI624" i="5"/>
  <c r="AN624" i="5" s="1"/>
  <c r="AI646" i="5"/>
  <c r="AN646" i="5" s="1"/>
  <c r="AN651" i="5"/>
  <c r="AI655" i="5"/>
  <c r="AN655" i="5" s="1"/>
  <c r="AI679" i="5"/>
  <c r="AN679" i="5" s="1"/>
  <c r="AN667" i="5"/>
  <c r="AI659" i="5"/>
  <c r="AN659" i="5" s="1"/>
  <c r="AI638" i="5"/>
  <c r="AN638" i="5" s="1"/>
  <c r="AI559" i="5"/>
  <c r="AN559" i="5" s="1"/>
  <c r="AI463" i="5"/>
  <c r="AN463" i="5" s="1"/>
  <c r="AI432" i="5"/>
  <c r="AN432" i="5" s="1"/>
  <c r="AI394" i="5"/>
  <c r="AN394" i="5" s="1"/>
  <c r="AI372" i="5"/>
  <c r="AN372" i="5" s="1"/>
  <c r="AI259" i="5"/>
  <c r="AN259" i="5" s="1"/>
  <c r="AI160" i="5"/>
  <c r="AN160" i="5" s="1"/>
  <c r="AI126" i="5"/>
  <c r="AN126" i="5" s="1"/>
  <c r="AI81" i="5"/>
  <c r="AN81" i="5" s="1"/>
  <c r="AI40" i="5"/>
  <c r="AN40" i="5" s="1"/>
  <c r="AI86" i="5"/>
  <c r="AN86" i="5" s="1"/>
  <c r="AI84" i="5"/>
  <c r="AN84" i="5" s="1"/>
  <c r="AN678" i="5"/>
  <c r="AI677" i="5"/>
  <c r="AN677" i="5" s="1"/>
  <c r="AN669" i="5"/>
  <c r="AN675" i="5"/>
  <c r="AI680" i="5"/>
  <c r="AN680" i="5" s="1"/>
  <c r="AN13" i="5"/>
  <c r="AN47" i="5"/>
  <c r="AN190" i="5"/>
  <c r="AN363" i="5"/>
  <c r="AN357" i="5"/>
  <c r="AN371" i="5"/>
  <c r="AN380" i="5"/>
  <c r="AN446" i="5"/>
  <c r="AN570" i="5"/>
  <c r="AN139" i="5"/>
  <c r="AN97" i="5"/>
  <c r="AN115" i="5"/>
  <c r="AN113" i="5"/>
  <c r="AN226" i="5"/>
  <c r="AN234" i="5"/>
  <c r="AN250" i="5"/>
  <c r="AN241" i="5"/>
  <c r="AN518" i="5"/>
  <c r="AN607" i="5"/>
  <c r="AN623" i="5"/>
  <c r="AN583" i="5"/>
  <c r="AN674" i="5"/>
  <c r="AN290" i="5"/>
  <c r="AN299" i="5"/>
  <c r="AN308" i="5"/>
  <c r="AN409" i="5"/>
  <c r="AN39" i="5"/>
  <c r="AN571" i="5"/>
  <c r="AN324" i="5"/>
  <c r="AN414" i="5"/>
  <c r="AN419" i="5"/>
  <c r="X3" i="5"/>
  <c r="R3" i="5"/>
  <c r="Q3" i="5" s="1"/>
  <c r="AH205" i="5"/>
  <c r="AH89" i="5"/>
  <c r="AC3" i="5"/>
  <c r="AH576" i="5"/>
  <c r="AE3" i="5"/>
  <c r="W3" i="5"/>
  <c r="AH188" i="5"/>
  <c r="AH328" i="5"/>
  <c r="AH42" i="5"/>
  <c r="S3" i="5"/>
  <c r="AF3" i="5"/>
  <c r="AH227" i="5"/>
  <c r="AG3" i="5"/>
  <c r="AH21" i="5"/>
  <c r="AH44" i="5"/>
  <c r="AH19" i="5"/>
  <c r="AH486" i="5"/>
  <c r="AH526" i="5"/>
  <c r="AH23" i="5"/>
  <c r="AH30" i="5"/>
  <c r="AH495" i="5"/>
  <c r="AH10" i="5"/>
  <c r="Z3" i="5"/>
  <c r="AH43" i="5"/>
  <c r="AH525" i="5"/>
  <c r="AB3" i="5"/>
  <c r="AH41" i="5"/>
  <c r="AD3" i="5"/>
  <c r="BO3" i="5"/>
  <c r="U3" i="5"/>
  <c r="Y3" i="5"/>
  <c r="AH245" i="5"/>
  <c r="AI245" i="5" s="1"/>
  <c r="AH246" i="5"/>
  <c r="AH411" i="5"/>
  <c r="AH312" i="5"/>
  <c r="AH479" i="5"/>
  <c r="AH437" i="5"/>
  <c r="AH464" i="5"/>
  <c r="AI208" i="5" l="1"/>
  <c r="AN208" i="5" s="1"/>
  <c r="AH3" i="5"/>
  <c r="K485" i="11"/>
  <c r="L485" i="11"/>
  <c r="L398" i="11"/>
  <c r="K398" i="11"/>
  <c r="K216" i="11"/>
  <c r="L216" i="11"/>
  <c r="K539" i="11"/>
  <c r="L539" i="11"/>
  <c r="L657" i="11"/>
  <c r="K657" i="11"/>
  <c r="L650" i="11"/>
  <c r="K650" i="11"/>
  <c r="B693" i="11"/>
  <c r="L604" i="11"/>
  <c r="K604" i="11"/>
  <c r="L492" i="11"/>
  <c r="K492" i="11"/>
  <c r="K177" i="11"/>
  <c r="L177" i="11"/>
  <c r="K79" i="11"/>
  <c r="L79" i="11"/>
  <c r="L127" i="11"/>
  <c r="K127" i="11"/>
  <c r="K497" i="11"/>
  <c r="L497" i="11"/>
  <c r="K557" i="11"/>
  <c r="L557" i="11"/>
  <c r="L564" i="11"/>
  <c r="K564" i="11"/>
  <c r="L468" i="11"/>
  <c r="K468" i="11"/>
  <c r="K315" i="11"/>
  <c r="L315" i="11"/>
  <c r="K252" i="11"/>
  <c r="L252" i="11"/>
  <c r="K204" i="11"/>
  <c r="L204" i="11"/>
  <c r="L666" i="11"/>
  <c r="K666" i="11"/>
  <c r="L596" i="11"/>
  <c r="K596" i="11"/>
  <c r="K569" i="11"/>
  <c r="L569" i="11"/>
  <c r="L618" i="11"/>
  <c r="K618" i="11"/>
  <c r="L440" i="11"/>
  <c r="K440" i="11"/>
  <c r="L356" i="11"/>
  <c r="K356" i="11"/>
  <c r="K223" i="11"/>
  <c r="L223" i="11"/>
  <c r="K15" i="11"/>
  <c r="L15" i="11"/>
  <c r="K182" i="11"/>
  <c r="L182" i="11"/>
  <c r="K601" i="11"/>
  <c r="L601" i="11"/>
  <c r="K505" i="11"/>
  <c r="L505" i="11"/>
  <c r="K445" i="11"/>
  <c r="L445" i="11"/>
  <c r="K399" i="11"/>
  <c r="L399" i="11"/>
  <c r="K380" i="11"/>
  <c r="L380" i="11"/>
  <c r="K298" i="11"/>
  <c r="L298" i="11"/>
  <c r="L264" i="11"/>
  <c r="K264" i="11"/>
  <c r="K110" i="11"/>
  <c r="L110" i="11"/>
  <c r="K196" i="11"/>
  <c r="L196" i="11"/>
  <c r="K65" i="11"/>
  <c r="L65" i="11"/>
  <c r="K537" i="11"/>
  <c r="L537" i="11"/>
  <c r="K303" i="11"/>
  <c r="L303" i="11"/>
  <c r="L12" i="11"/>
  <c r="K12" i="11"/>
  <c r="K597" i="11"/>
  <c r="L597" i="11"/>
  <c r="K543" i="11"/>
  <c r="L543" i="11"/>
  <c r="L504" i="11"/>
  <c r="K504" i="11"/>
  <c r="K408" i="11"/>
  <c r="L408" i="11"/>
  <c r="K343" i="11"/>
  <c r="L343" i="11"/>
  <c r="K222" i="11"/>
  <c r="L222" i="11"/>
  <c r="K209" i="11"/>
  <c r="L209" i="11"/>
  <c r="K184" i="11"/>
  <c r="L184" i="11"/>
  <c r="K161" i="11"/>
  <c r="L161" i="11"/>
  <c r="K152" i="11"/>
  <c r="L152" i="11"/>
  <c r="K130" i="11"/>
  <c r="L130" i="11"/>
  <c r="K114" i="11"/>
  <c r="L114" i="11"/>
  <c r="K36" i="11"/>
  <c r="L36" i="11"/>
  <c r="K186" i="11"/>
  <c r="L186" i="11"/>
  <c r="K255" i="11"/>
  <c r="L255" i="11"/>
  <c r="L542" i="11"/>
  <c r="K542" i="11"/>
  <c r="K489" i="11"/>
  <c r="L489" i="11"/>
  <c r="K463" i="11"/>
  <c r="L463" i="11"/>
  <c r="K421" i="11"/>
  <c r="L421" i="11"/>
  <c r="L388" i="11"/>
  <c r="K388" i="11"/>
  <c r="K320" i="11"/>
  <c r="L320" i="11"/>
  <c r="K305" i="11"/>
  <c r="L305" i="11"/>
  <c r="K289" i="11"/>
  <c r="L289" i="11"/>
  <c r="K33" i="11"/>
  <c r="L33" i="11"/>
  <c r="L508" i="11"/>
  <c r="K508" i="11"/>
  <c r="L394" i="11"/>
  <c r="K394" i="11"/>
  <c r="K187" i="11"/>
  <c r="L187" i="11"/>
  <c r="L592" i="11"/>
  <c r="K592" i="11"/>
  <c r="K477" i="11"/>
  <c r="L477" i="11"/>
  <c r="K433" i="11"/>
  <c r="L433" i="11"/>
  <c r="K395" i="11"/>
  <c r="L395" i="11"/>
  <c r="K326" i="11"/>
  <c r="L326" i="11"/>
  <c r="K257" i="11"/>
  <c r="L257" i="11"/>
  <c r="K183" i="11"/>
  <c r="L183" i="11"/>
  <c r="K159" i="11"/>
  <c r="L159" i="11"/>
  <c r="K129" i="11"/>
  <c r="L129" i="11"/>
  <c r="K112" i="11"/>
  <c r="L112" i="11"/>
  <c r="B684" i="11"/>
  <c r="L562" i="11"/>
  <c r="K562" i="11"/>
  <c r="K533" i="11"/>
  <c r="L533" i="11"/>
  <c r="K401" i="11"/>
  <c r="L401" i="11"/>
  <c r="K331" i="11"/>
  <c r="L331" i="11"/>
  <c r="L262" i="11"/>
  <c r="K262" i="11"/>
  <c r="K101" i="11"/>
  <c r="L101" i="11"/>
  <c r="K54" i="11"/>
  <c r="L54" i="11"/>
  <c r="L28" i="11"/>
  <c r="K28" i="11"/>
  <c r="K529" i="11"/>
  <c r="L529" i="11"/>
  <c r="K69" i="11"/>
  <c r="L69" i="11"/>
  <c r="K191" i="11"/>
  <c r="L191" i="11"/>
  <c r="K410" i="11"/>
  <c r="L410" i="11"/>
  <c r="K647" i="11"/>
  <c r="L647" i="11"/>
  <c r="K248" i="11"/>
  <c r="L248" i="11"/>
  <c r="L645" i="11"/>
  <c r="K645" i="11"/>
  <c r="K370" i="11"/>
  <c r="L370" i="11"/>
  <c r="K446" i="11"/>
  <c r="L446" i="11"/>
  <c r="L556" i="11"/>
  <c r="K556" i="11"/>
  <c r="L634" i="11"/>
  <c r="K634" i="11"/>
  <c r="K232" i="11"/>
  <c r="L232" i="11"/>
  <c r="K157" i="11"/>
  <c r="L157" i="11"/>
  <c r="K430" i="11"/>
  <c r="L430" i="11"/>
  <c r="L608" i="11"/>
  <c r="K608" i="11"/>
  <c r="K663" i="11"/>
  <c r="L663" i="11"/>
  <c r="K621" i="11"/>
  <c r="L621" i="11"/>
  <c r="K513" i="11"/>
  <c r="L513" i="11"/>
  <c r="K442" i="11"/>
  <c r="L442" i="11"/>
  <c r="K405" i="11"/>
  <c r="L405" i="11"/>
  <c r="L296" i="11"/>
  <c r="K296" i="11"/>
  <c r="K221" i="11"/>
  <c r="L221" i="11"/>
  <c r="K651" i="11"/>
  <c r="L651" i="11"/>
  <c r="L636" i="11"/>
  <c r="K636" i="11"/>
  <c r="K622" i="11"/>
  <c r="L622" i="11"/>
  <c r="L552" i="11"/>
  <c r="K552" i="11"/>
  <c r="K499" i="11"/>
  <c r="L499" i="11"/>
  <c r="K418" i="11"/>
  <c r="L418" i="11"/>
  <c r="K247" i="11"/>
  <c r="L247" i="11"/>
  <c r="K236" i="11"/>
  <c r="L236" i="11"/>
  <c r="L514" i="11"/>
  <c r="K514" i="11"/>
  <c r="L665" i="11"/>
  <c r="K665" i="11"/>
  <c r="L649" i="11"/>
  <c r="K649" i="11"/>
  <c r="L661" i="11"/>
  <c r="K661" i="11"/>
  <c r="K675" i="11"/>
  <c r="L675" i="11"/>
  <c r="K659" i="11"/>
  <c r="L659" i="11"/>
  <c r="K643" i="11"/>
  <c r="L643" i="11"/>
  <c r="L616" i="11"/>
  <c r="K616" i="11"/>
  <c r="K575" i="11"/>
  <c r="L575" i="11"/>
  <c r="B691" i="11"/>
  <c r="K546" i="11"/>
  <c r="L546" i="11"/>
  <c r="L660" i="11"/>
  <c r="K660" i="11"/>
  <c r="L626" i="11"/>
  <c r="K626" i="11"/>
  <c r="K517" i="11"/>
  <c r="L517" i="11"/>
  <c r="L464" i="11"/>
  <c r="K464" i="11"/>
  <c r="L392" i="11"/>
  <c r="K392" i="11"/>
  <c r="K265" i="11"/>
  <c r="L265" i="11"/>
  <c r="K206" i="11"/>
  <c r="L206" i="11"/>
  <c r="K180" i="11"/>
  <c r="L180" i="11"/>
  <c r="K175" i="11"/>
  <c r="L175" i="11"/>
  <c r="K141" i="11"/>
  <c r="L141" i="11"/>
  <c r="K131" i="11"/>
  <c r="L131" i="11"/>
  <c r="K113" i="11"/>
  <c r="L113" i="11"/>
  <c r="K68" i="11"/>
  <c r="L68" i="11"/>
  <c r="K37" i="11"/>
  <c r="L37" i="11"/>
  <c r="K349" i="11"/>
  <c r="L349" i="11"/>
  <c r="L87" i="11"/>
  <c r="K87" i="11"/>
  <c r="L382" i="11"/>
  <c r="K382" i="11"/>
  <c r="L544" i="11"/>
  <c r="K544" i="11"/>
  <c r="K472" i="11"/>
  <c r="L472" i="11"/>
  <c r="K353" i="11"/>
  <c r="L353" i="11"/>
  <c r="K317" i="11"/>
  <c r="L317" i="11"/>
  <c r="K282" i="11"/>
  <c r="L282" i="11"/>
  <c r="K11" i="11"/>
  <c r="L11" i="11"/>
  <c r="L390" i="11"/>
  <c r="K390" i="11"/>
  <c r="K355" i="11"/>
  <c r="L355" i="11"/>
  <c r="K273" i="11"/>
  <c r="L273" i="11"/>
  <c r="K254" i="11"/>
  <c r="L254" i="11"/>
  <c r="K59" i="11"/>
  <c r="L59" i="11"/>
  <c r="K374" i="11"/>
  <c r="L374" i="11"/>
  <c r="L641" i="11"/>
  <c r="K641" i="11"/>
  <c r="K360" i="11"/>
  <c r="L360" i="11"/>
  <c r="L316" i="11"/>
  <c r="K316" i="11"/>
  <c r="K263" i="11"/>
  <c r="L263" i="11"/>
  <c r="K109" i="11"/>
  <c r="L109" i="11"/>
  <c r="K10" i="11"/>
  <c r="L10" i="11"/>
  <c r="K369" i="11"/>
  <c r="L369" i="11"/>
  <c r="K93" i="11"/>
  <c r="L93" i="11"/>
  <c r="K521" i="11"/>
  <c r="L521" i="11"/>
  <c r="K471" i="11"/>
  <c r="L471" i="11"/>
  <c r="K366" i="11"/>
  <c r="L366" i="11"/>
  <c r="K244" i="11"/>
  <c r="L244" i="11"/>
  <c r="K174" i="11"/>
  <c r="L174" i="11"/>
  <c r="K126" i="11"/>
  <c r="L126" i="11"/>
  <c r="K629" i="11"/>
  <c r="L629" i="11"/>
  <c r="L502" i="11"/>
  <c r="K502" i="11"/>
  <c r="L452" i="11"/>
  <c r="K452" i="11"/>
  <c r="K427" i="11"/>
  <c r="L427" i="11"/>
  <c r="K364" i="11"/>
  <c r="L364" i="11"/>
  <c r="K21" i="11"/>
  <c r="L21" i="11"/>
  <c r="K609" i="11"/>
  <c r="L609" i="11"/>
  <c r="L568" i="11"/>
  <c r="K568" i="11"/>
  <c r="K376" i="11"/>
  <c r="L376" i="11"/>
  <c r="K207" i="11"/>
  <c r="L207" i="11"/>
  <c r="L512" i="11"/>
  <c r="K512" i="11"/>
  <c r="K178" i="11"/>
  <c r="L178" i="11"/>
  <c r="K397" i="11"/>
  <c r="L397" i="11"/>
  <c r="K43" i="11"/>
  <c r="L43" i="11"/>
  <c r="B687" i="11"/>
  <c r="L460" i="11"/>
  <c r="K460" i="11"/>
  <c r="L620" i="11"/>
  <c r="K620" i="11"/>
  <c r="K437" i="11"/>
  <c r="L437" i="11"/>
  <c r="K92" i="11"/>
  <c r="L92" i="11"/>
  <c r="K511" i="11"/>
  <c r="L511" i="11"/>
  <c r="K235" i="11"/>
  <c r="L235" i="11"/>
  <c r="L24" i="11"/>
  <c r="K24" i="11"/>
  <c r="K261" i="11"/>
  <c r="L261" i="11"/>
  <c r="L536" i="11"/>
  <c r="K536" i="11"/>
  <c r="K218" i="11"/>
  <c r="L218" i="11"/>
  <c r="K61" i="11"/>
  <c r="L61" i="11"/>
  <c r="K515" i="11"/>
  <c r="L515" i="11"/>
  <c r="L256" i="11"/>
  <c r="K256" i="11"/>
  <c r="K202" i="11"/>
  <c r="L202" i="11"/>
  <c r="K501" i="11"/>
  <c r="L501" i="11"/>
  <c r="K431" i="11"/>
  <c r="L431" i="11"/>
  <c r="K285" i="11"/>
  <c r="L285" i="11"/>
  <c r="K351" i="11"/>
  <c r="L351" i="11"/>
  <c r="L612" i="11"/>
  <c r="K612" i="11"/>
  <c r="K416" i="11"/>
  <c r="L416" i="11"/>
  <c r="K238" i="11"/>
  <c r="L238" i="11"/>
  <c r="K181" i="11"/>
  <c r="L181" i="11"/>
  <c r="K144" i="11"/>
  <c r="L144" i="11"/>
  <c r="K60" i="11"/>
  <c r="L60" i="11"/>
  <c r="K590" i="11"/>
  <c r="L590" i="11"/>
  <c r="K242" i="11"/>
  <c r="L242" i="11"/>
  <c r="K44" i="11"/>
  <c r="L44" i="11"/>
  <c r="L334" i="11"/>
  <c r="K334" i="11"/>
  <c r="K341" i="11"/>
  <c r="L341" i="11"/>
  <c r="L677" i="11"/>
  <c r="K677" i="11"/>
  <c r="L664" i="11"/>
  <c r="K664" i="11"/>
  <c r="L644" i="11"/>
  <c r="K644" i="11"/>
  <c r="K614" i="11"/>
  <c r="L614" i="11"/>
  <c r="L672" i="11"/>
  <c r="K672" i="11"/>
  <c r="L670" i="11"/>
  <c r="K670" i="11"/>
  <c r="K655" i="11"/>
  <c r="L655" i="11"/>
  <c r="K639" i="11"/>
  <c r="L639" i="11"/>
  <c r="L588" i="11"/>
  <c r="K588" i="11"/>
  <c r="L574" i="11"/>
  <c r="K574" i="11"/>
  <c r="L560" i="11"/>
  <c r="K560" i="11"/>
  <c r="K479" i="11"/>
  <c r="L479" i="11"/>
  <c r="K610" i="11"/>
  <c r="L610" i="11"/>
  <c r="K625" i="11"/>
  <c r="L625" i="11"/>
  <c r="K535" i="11"/>
  <c r="L535" i="11"/>
  <c r="K507" i="11"/>
  <c r="L507" i="11"/>
  <c r="K451" i="11"/>
  <c r="L451" i="11"/>
  <c r="K409" i="11"/>
  <c r="L409" i="11"/>
  <c r="L378" i="11"/>
  <c r="K378" i="11"/>
  <c r="K347" i="11"/>
  <c r="L347" i="11"/>
  <c r="K219" i="11"/>
  <c r="L219" i="11"/>
  <c r="K171" i="11"/>
  <c r="L171" i="11"/>
  <c r="K158" i="11"/>
  <c r="L158" i="11"/>
  <c r="K140" i="11"/>
  <c r="L140" i="11"/>
  <c r="L123" i="11"/>
  <c r="K123" i="11"/>
  <c r="K64" i="11"/>
  <c r="L64" i="11"/>
  <c r="K150" i="11"/>
  <c r="L150" i="11"/>
  <c r="K57" i="11"/>
  <c r="L57" i="11"/>
  <c r="K325" i="11"/>
  <c r="L325" i="11"/>
  <c r="K49" i="11"/>
  <c r="L49" i="11"/>
  <c r="K627" i="11"/>
  <c r="L627" i="11"/>
  <c r="K487" i="11"/>
  <c r="L487" i="11"/>
  <c r="K461" i="11"/>
  <c r="L461" i="11"/>
  <c r="K391" i="11"/>
  <c r="L391" i="11"/>
  <c r="K337" i="11"/>
  <c r="L337" i="11"/>
  <c r="K313" i="11"/>
  <c r="L313" i="11"/>
  <c r="L294" i="11"/>
  <c r="K294" i="11"/>
  <c r="K278" i="11"/>
  <c r="L278" i="11"/>
  <c r="L26" i="11"/>
  <c r="K26" i="11"/>
  <c r="K6" i="11"/>
  <c r="L6" i="11"/>
  <c r="B692" i="11"/>
  <c r="K599" i="11"/>
  <c r="L599" i="11"/>
  <c r="K527" i="11"/>
  <c r="L527" i="11"/>
  <c r="K496" i="11"/>
  <c r="L496" i="11"/>
  <c r="K328" i="11"/>
  <c r="L328" i="11"/>
  <c r="K250" i="11"/>
  <c r="L250" i="11"/>
  <c r="K522" i="11"/>
  <c r="L522" i="11"/>
  <c r="K318" i="11"/>
  <c r="L318" i="11"/>
  <c r="K480" i="11"/>
  <c r="L480" i="11"/>
  <c r="K447" i="11"/>
  <c r="L447" i="11"/>
  <c r="L412" i="11"/>
  <c r="K412" i="11"/>
  <c r="K383" i="11"/>
  <c r="L383" i="11"/>
  <c r="K234" i="11"/>
  <c r="L234" i="11"/>
  <c r="K105" i="11"/>
  <c r="L105" i="11"/>
  <c r="K25" i="11"/>
  <c r="L25" i="11"/>
  <c r="K22" i="11"/>
  <c r="L22" i="11"/>
  <c r="B685" i="11"/>
  <c r="K335" i="11"/>
  <c r="L335" i="11"/>
  <c r="K168" i="11"/>
  <c r="L168" i="11"/>
  <c r="L500" i="11"/>
  <c r="K500" i="11"/>
  <c r="K589" i="11"/>
  <c r="L589" i="11"/>
  <c r="K509" i="11"/>
  <c r="L509" i="11"/>
  <c r="K357" i="11"/>
  <c r="L357" i="11"/>
  <c r="K253" i="11"/>
  <c r="L253" i="11"/>
  <c r="L58" i="11"/>
  <c r="K58" i="11"/>
  <c r="L518" i="11"/>
  <c r="K518" i="11"/>
  <c r="L420" i="11"/>
  <c r="K420" i="11"/>
  <c r="K358" i="11"/>
  <c r="L358" i="11"/>
  <c r="L280" i="11"/>
  <c r="K280" i="11"/>
  <c r="L16" i="11"/>
  <c r="K16" i="11"/>
  <c r="K164" i="11"/>
  <c r="L164" i="11"/>
  <c r="K488" i="11"/>
  <c r="L488" i="11"/>
  <c r="K143" i="11"/>
  <c r="L143" i="11"/>
  <c r="L350" i="11"/>
  <c r="K350" i="11"/>
  <c r="K7" i="11"/>
  <c r="L7" i="11"/>
  <c r="B688" i="11"/>
  <c r="K623" i="11"/>
  <c r="L623" i="11"/>
  <c r="K434" i="11"/>
  <c r="L434" i="11"/>
  <c r="K407" i="11"/>
  <c r="L407" i="11"/>
  <c r="K587" i="11"/>
  <c r="L587" i="11"/>
  <c r="K98" i="11"/>
  <c r="L98" i="11"/>
  <c r="K457" i="11"/>
  <c r="L457" i="11"/>
  <c r="K617" i="11"/>
  <c r="L617" i="11"/>
  <c r="K456" i="11"/>
  <c r="L456" i="11"/>
  <c r="K403" i="11"/>
  <c r="L403" i="11"/>
  <c r="K231" i="11"/>
  <c r="L231" i="11"/>
  <c r="K205" i="11"/>
  <c r="L205" i="11"/>
  <c r="K179" i="11"/>
  <c r="B686" i="11"/>
  <c r="L179" i="11"/>
  <c r="K162" i="11"/>
  <c r="L162" i="11"/>
  <c r="K151" i="11"/>
  <c r="L151" i="11"/>
  <c r="K128" i="11"/>
  <c r="L128" i="11"/>
  <c r="K90" i="11"/>
  <c r="L90" i="11"/>
  <c r="L30" i="11"/>
  <c r="K30" i="11"/>
  <c r="K415" i="11"/>
  <c r="L415" i="11"/>
  <c r="K167" i="11"/>
  <c r="L167" i="11"/>
  <c r="K594" i="11"/>
  <c r="L594" i="11"/>
  <c r="K519" i="11"/>
  <c r="L519" i="11"/>
  <c r="K336" i="11"/>
  <c r="L336" i="11"/>
  <c r="K301" i="11"/>
  <c r="L301" i="11"/>
  <c r="K549" i="11"/>
  <c r="L549" i="11"/>
  <c r="K100" i="11"/>
  <c r="L100" i="11"/>
  <c r="K491" i="11"/>
  <c r="L491" i="11"/>
  <c r="K387" i="11"/>
  <c r="L387" i="11"/>
  <c r="K281" i="11"/>
  <c r="L281" i="11"/>
  <c r="L91" i="11"/>
  <c r="K91" i="11"/>
  <c r="L558" i="11"/>
  <c r="K558" i="11"/>
  <c r="L386" i="11"/>
  <c r="K386" i="11"/>
  <c r="K203" i="11"/>
  <c r="L203" i="11"/>
  <c r="K106" i="11"/>
  <c r="L106" i="11"/>
  <c r="K494" i="11"/>
  <c r="L494" i="11"/>
  <c r="K104" i="11"/>
  <c r="L104" i="11"/>
  <c r="K619" i="11"/>
  <c r="L619" i="11"/>
  <c r="L673" i="11"/>
  <c r="K673" i="11"/>
  <c r="L656" i="11"/>
  <c r="K656" i="11"/>
  <c r="K635" i="11"/>
  <c r="L635" i="11"/>
  <c r="B690" i="11"/>
  <c r="K605" i="11"/>
  <c r="L605" i="11"/>
  <c r="K571" i="11"/>
  <c r="L571" i="11"/>
  <c r="K530" i="11"/>
  <c r="L530" i="11"/>
  <c r="L640" i="11"/>
  <c r="K640" i="11"/>
  <c r="L526" i="11"/>
  <c r="K526" i="11"/>
  <c r="K458" i="11"/>
  <c r="L458" i="11"/>
  <c r="K432" i="11"/>
  <c r="L432" i="11"/>
  <c r="K322" i="11"/>
  <c r="L322" i="11"/>
  <c r="K304" i="11"/>
  <c r="L304" i="11"/>
  <c r="K288" i="11"/>
  <c r="L288" i="11"/>
  <c r="K230" i="11"/>
  <c r="L230" i="11"/>
  <c r="K212" i="11"/>
  <c r="L212" i="11"/>
  <c r="L674" i="11"/>
  <c r="K674" i="11"/>
  <c r="L658" i="11"/>
  <c r="K658" i="11"/>
  <c r="L642" i="11"/>
  <c r="K642" i="11"/>
  <c r="K82" i="11"/>
  <c r="L82" i="11"/>
  <c r="L606" i="11"/>
  <c r="K606" i="11"/>
  <c r="K563" i="11"/>
  <c r="L563" i="11"/>
  <c r="L548" i="11"/>
  <c r="K548" i="11"/>
  <c r="K475" i="11"/>
  <c r="L475" i="11"/>
  <c r="L426" i="11"/>
  <c r="K426" i="11"/>
  <c r="K259" i="11"/>
  <c r="L259" i="11"/>
  <c r="K195" i="11"/>
  <c r="L195" i="11"/>
  <c r="K498" i="11"/>
  <c r="L498" i="11"/>
  <c r="K422" i="11"/>
  <c r="L422" i="11"/>
  <c r="K362" i="11"/>
  <c r="L362" i="11"/>
  <c r="K201" i="11"/>
  <c r="L201" i="11"/>
  <c r="L99" i="11"/>
  <c r="K99" i="11"/>
  <c r="K266" i="11"/>
  <c r="L266" i="11"/>
  <c r="K148" i="11"/>
  <c r="L148" i="11"/>
  <c r="L400" i="11"/>
  <c r="K400" i="11"/>
  <c r="L107" i="11"/>
  <c r="K107" i="11"/>
  <c r="K453" i="11"/>
  <c r="L453" i="11"/>
  <c r="L396" i="11"/>
  <c r="K396" i="11"/>
  <c r="K372" i="11"/>
  <c r="L372" i="11"/>
  <c r="L268" i="11"/>
  <c r="K268" i="11"/>
  <c r="K228" i="11"/>
  <c r="L228" i="11"/>
  <c r="K217" i="11"/>
  <c r="L217" i="11"/>
  <c r="K170" i="11"/>
  <c r="L170" i="11"/>
  <c r="K173" i="11"/>
  <c r="L173" i="11"/>
  <c r="K149" i="11"/>
  <c r="L149" i="11"/>
  <c r="K122" i="11"/>
  <c r="L122" i="11"/>
  <c r="K78" i="11"/>
  <c r="L78" i="11"/>
  <c r="K62" i="11"/>
  <c r="L62" i="11"/>
  <c r="K18" i="11"/>
  <c r="L18" i="11"/>
  <c r="L490" i="11"/>
  <c r="K490" i="11"/>
  <c r="K365" i="11"/>
  <c r="L365" i="11"/>
  <c r="K225" i="11"/>
  <c r="L225" i="11"/>
  <c r="K133" i="11"/>
  <c r="L133" i="11"/>
  <c r="K97" i="11"/>
  <c r="L97" i="11"/>
  <c r="B694" i="11"/>
  <c r="K631" i="11"/>
  <c r="L631" i="11"/>
  <c r="L428" i="11"/>
  <c r="K428" i="11"/>
  <c r="K354" i="11"/>
  <c r="L354" i="11"/>
  <c r="L332" i="11"/>
  <c r="K332" i="11"/>
  <c r="K311" i="11"/>
  <c r="L311" i="11"/>
  <c r="K297" i="11"/>
  <c r="L297" i="11"/>
  <c r="K277" i="11"/>
  <c r="L277" i="11"/>
  <c r="K198" i="11"/>
  <c r="L198" i="11"/>
  <c r="L111" i="11"/>
  <c r="K111" i="11"/>
  <c r="K45" i="11"/>
  <c r="L45" i="11"/>
  <c r="L476" i="11"/>
  <c r="K476" i="11"/>
  <c r="L38" i="11"/>
  <c r="K38" i="11"/>
  <c r="K299" i="11"/>
  <c r="L299" i="11"/>
  <c r="K41" i="11"/>
  <c r="L41" i="11"/>
  <c r="K486" i="11"/>
  <c r="L486" i="11"/>
  <c r="K455" i="11"/>
  <c r="L455" i="11"/>
  <c r="K371" i="11"/>
  <c r="L371" i="11"/>
  <c r="K169" i="11"/>
  <c r="L169" i="11"/>
  <c r="K166" i="11"/>
  <c r="L166" i="11"/>
  <c r="K139" i="11"/>
  <c r="L139" i="11"/>
  <c r="K120" i="11"/>
  <c r="L120" i="11"/>
  <c r="K75" i="11"/>
  <c r="L75" i="11"/>
  <c r="K611" i="11"/>
  <c r="L611" i="11"/>
  <c r="L572" i="11"/>
  <c r="K572" i="11"/>
  <c r="K551" i="11"/>
  <c r="L551" i="11"/>
  <c r="K441" i="11"/>
  <c r="L441" i="11"/>
  <c r="K375" i="11"/>
  <c r="L375" i="11"/>
  <c r="K192" i="11"/>
  <c r="L192" i="11"/>
  <c r="L103" i="11"/>
  <c r="K103" i="11"/>
  <c r="K35" i="11"/>
  <c r="L35" i="11"/>
  <c r="K585" i="11"/>
  <c r="L585" i="11"/>
  <c r="L550" i="11"/>
  <c r="K550" i="11"/>
  <c r="K483" i="11"/>
  <c r="L483" i="11"/>
  <c r="K470" i="11"/>
  <c r="L470" i="11"/>
  <c r="L308" i="11"/>
  <c r="K308" i="11"/>
  <c r="K27" i="11"/>
  <c r="L27" i="11"/>
  <c r="K449" i="11"/>
  <c r="L449" i="11"/>
  <c r="K233" i="11"/>
  <c r="L233" i="11"/>
  <c r="K124" i="11"/>
  <c r="L124" i="11"/>
  <c r="K525" i="11"/>
  <c r="L525" i="11"/>
  <c r="K459" i="11"/>
  <c r="L459" i="11"/>
  <c r="K333" i="11"/>
  <c r="L333" i="11"/>
  <c r="K307" i="11"/>
  <c r="L307" i="11"/>
  <c r="K290" i="11"/>
  <c r="L290" i="11"/>
  <c r="K269" i="11"/>
  <c r="L269" i="11"/>
  <c r="K23" i="11"/>
  <c r="L23" i="11"/>
  <c r="K14" i="11"/>
  <c r="L14" i="11"/>
  <c r="L582" i="11"/>
  <c r="K582" i="11"/>
  <c r="K598" i="11"/>
  <c r="L598" i="11"/>
  <c r="K547" i="11"/>
  <c r="L547" i="11"/>
  <c r="K493" i="11"/>
  <c r="L493" i="11"/>
  <c r="K417" i="11"/>
  <c r="L417" i="11"/>
  <c r="B689" i="11"/>
  <c r="K345" i="11"/>
  <c r="L345" i="11"/>
  <c r="K246" i="11"/>
  <c r="L246" i="11"/>
  <c r="K194" i="11"/>
  <c r="L194" i="11"/>
  <c r="K160" i="11"/>
  <c r="L160" i="11"/>
  <c r="K473" i="11"/>
  <c r="L473" i="11"/>
  <c r="K291" i="11"/>
  <c r="L291" i="11"/>
  <c r="K40" i="11"/>
  <c r="L40" i="11"/>
  <c r="K555" i="11"/>
  <c r="L555" i="11"/>
  <c r="L516" i="11"/>
  <c r="K516" i="11"/>
  <c r="K503" i="11"/>
  <c r="L503" i="11"/>
  <c r="L406" i="11"/>
  <c r="K406" i="11"/>
  <c r="K379" i="11"/>
  <c r="L379" i="11"/>
  <c r="K323" i="11"/>
  <c r="L323" i="11"/>
  <c r="L95" i="11"/>
  <c r="K95" i="11"/>
  <c r="K9" i="11"/>
  <c r="L9" i="11"/>
  <c r="L424" i="11"/>
  <c r="K424" i="11"/>
  <c r="K165" i="11"/>
  <c r="L165" i="11"/>
  <c r="K283" i="11"/>
  <c r="L283" i="11"/>
  <c r="K593" i="11"/>
  <c r="L593" i="11"/>
  <c r="L402" i="11"/>
  <c r="K402" i="11"/>
  <c r="K342" i="11"/>
  <c r="L342" i="11"/>
  <c r="K276" i="11"/>
  <c r="L276" i="11"/>
  <c r="K249" i="11"/>
  <c r="L249" i="11"/>
  <c r="K506" i="11"/>
  <c r="L506" i="11"/>
  <c r="K411" i="11"/>
  <c r="L411" i="11"/>
  <c r="K377" i="11"/>
  <c r="L377" i="11"/>
  <c r="L348" i="11"/>
  <c r="K348" i="11"/>
  <c r="K237" i="11"/>
  <c r="L237" i="11"/>
  <c r="K108" i="11"/>
  <c r="L108" i="11"/>
  <c r="K275" i="11"/>
  <c r="L275" i="11"/>
  <c r="K142" i="11"/>
  <c r="L142" i="11"/>
  <c r="L312" i="11"/>
  <c r="K312" i="11"/>
  <c r="L586" i="11"/>
  <c r="K586" i="11"/>
  <c r="K292" i="11"/>
  <c r="L292" i="11"/>
  <c r="L678" i="11"/>
  <c r="K678" i="11"/>
  <c r="K321" i="11"/>
  <c r="L321" i="11"/>
  <c r="K545" i="11"/>
  <c r="L545" i="11"/>
  <c r="K155" i="11"/>
  <c r="L155" i="11"/>
  <c r="K85" i="11"/>
  <c r="L85" i="11"/>
  <c r="L668" i="11"/>
  <c r="K668" i="11"/>
  <c r="K570" i="11"/>
  <c r="L570" i="11"/>
  <c r="K531" i="11"/>
  <c r="L531" i="11"/>
  <c r="K214" i="11"/>
  <c r="L214" i="11"/>
  <c r="K147" i="11"/>
  <c r="L147" i="11"/>
  <c r="K63" i="11"/>
  <c r="L63" i="11"/>
  <c r="K295" i="11"/>
  <c r="L295" i="11"/>
  <c r="L652" i="11"/>
  <c r="K652" i="11"/>
  <c r="K607" i="11"/>
  <c r="L607" i="11"/>
  <c r="K553" i="11"/>
  <c r="L553" i="11"/>
  <c r="K523" i="11"/>
  <c r="L523" i="11"/>
  <c r="K474" i="11"/>
  <c r="L474" i="11"/>
  <c r="K429" i="11"/>
  <c r="L429" i="11"/>
  <c r="K319" i="11"/>
  <c r="L319" i="11"/>
  <c r="L300" i="11"/>
  <c r="K300" i="11"/>
  <c r="L284" i="11"/>
  <c r="K284" i="11"/>
  <c r="K208" i="11"/>
  <c r="L208" i="11"/>
  <c r="L669" i="11"/>
  <c r="K669" i="11"/>
  <c r="L654" i="11"/>
  <c r="K654" i="11"/>
  <c r="L638" i="11"/>
  <c r="K638" i="11"/>
  <c r="L628" i="11"/>
  <c r="K628" i="11"/>
  <c r="K615" i="11"/>
  <c r="L615" i="11"/>
  <c r="K573" i="11"/>
  <c r="L573" i="11"/>
  <c r="K559" i="11"/>
  <c r="L559" i="11"/>
  <c r="L584" i="11"/>
  <c r="K584" i="11"/>
  <c r="K423" i="11"/>
  <c r="L423" i="11"/>
  <c r="L404" i="11"/>
  <c r="K404" i="11"/>
  <c r="K373" i="11"/>
  <c r="L373" i="11"/>
  <c r="K274" i="11"/>
  <c r="L274" i="11"/>
  <c r="K251" i="11"/>
  <c r="L251" i="11"/>
  <c r="K210" i="11"/>
  <c r="L210" i="11"/>
  <c r="K443" i="11"/>
  <c r="L443" i="11"/>
  <c r="L624" i="11"/>
  <c r="K624" i="11"/>
  <c r="L520" i="11"/>
  <c r="K520" i="11"/>
  <c r="K413" i="11"/>
  <c r="L413" i="11"/>
  <c r="L384" i="11"/>
  <c r="K384" i="11"/>
  <c r="K346" i="11"/>
  <c r="L346" i="11"/>
  <c r="K190" i="11"/>
  <c r="L190" i="11"/>
  <c r="K96" i="11"/>
  <c r="L96" i="11"/>
  <c r="K381" i="11"/>
  <c r="L381" i="11"/>
  <c r="K224" i="11"/>
  <c r="L224" i="11"/>
  <c r="K116" i="11"/>
  <c r="L116" i="11"/>
  <c r="K363" i="11"/>
  <c r="L363" i="11"/>
  <c r="K42" i="11"/>
  <c r="L42" i="11"/>
  <c r="L524" i="11"/>
  <c r="K524" i="11"/>
  <c r="K389" i="11"/>
  <c r="L389" i="11"/>
  <c r="K226" i="11"/>
  <c r="L226" i="11"/>
  <c r="K213" i="11"/>
  <c r="L213" i="11"/>
  <c r="K156" i="11"/>
  <c r="L156" i="11"/>
  <c r="K146" i="11"/>
  <c r="L146" i="11"/>
  <c r="L119" i="11"/>
  <c r="K119" i="11"/>
  <c r="K71" i="11"/>
  <c r="L71" i="11"/>
  <c r="K55" i="11"/>
  <c r="L55" i="11"/>
  <c r="K425" i="11"/>
  <c r="L425" i="11"/>
  <c r="K310" i="11"/>
  <c r="L310" i="11"/>
  <c r="K293" i="11"/>
  <c r="L293" i="11"/>
  <c r="K189" i="11"/>
  <c r="L189" i="11"/>
  <c r="K241" i="11"/>
  <c r="L241" i="11"/>
  <c r="K125" i="11"/>
  <c r="L125" i="11"/>
  <c r="L454" i="11"/>
  <c r="K454" i="11"/>
  <c r="L484" i="11"/>
  <c r="K484" i="11"/>
  <c r="L444" i="11"/>
  <c r="K444" i="11"/>
  <c r="K367" i="11"/>
  <c r="L367" i="11"/>
  <c r="K197" i="11"/>
  <c r="L197" i="11"/>
  <c r="K176" i="11"/>
  <c r="L176" i="11"/>
  <c r="K172" i="11"/>
  <c r="L172" i="11"/>
  <c r="K138" i="11"/>
  <c r="L138" i="11"/>
  <c r="K118" i="11"/>
  <c r="L118" i="11"/>
  <c r="L70" i="11"/>
  <c r="K70" i="11"/>
  <c r="K29" i="11"/>
  <c r="L29" i="11"/>
  <c r="K591" i="11"/>
  <c r="L591" i="11"/>
  <c r="K438" i="11"/>
  <c r="L438" i="11"/>
  <c r="K271" i="11"/>
  <c r="L271" i="11"/>
  <c r="K188" i="11"/>
  <c r="L188" i="11"/>
  <c r="L32" i="11"/>
  <c r="K32" i="11"/>
  <c r="K13" i="11"/>
  <c r="L13" i="11"/>
  <c r="K541" i="11"/>
  <c r="L541" i="11"/>
  <c r="K435" i="11"/>
  <c r="L435" i="11"/>
  <c r="K287" i="11"/>
  <c r="L287" i="11"/>
  <c r="K565" i="11"/>
  <c r="L565" i="11"/>
  <c r="K482" i="11"/>
  <c r="L482" i="11"/>
  <c r="L676" i="11"/>
  <c r="K676" i="11"/>
  <c r="K554" i="11"/>
  <c r="L554" i="11"/>
  <c r="K309" i="11"/>
  <c r="L309" i="11"/>
  <c r="L566" i="11"/>
  <c r="K566" i="11"/>
  <c r="K240" i="11"/>
  <c r="L240" i="11"/>
  <c r="K34" i="11"/>
  <c r="L34" i="11"/>
  <c r="K330" i="11"/>
  <c r="L330" i="11"/>
  <c r="K603" i="11"/>
  <c r="L603" i="11"/>
  <c r="K450" i="11"/>
  <c r="L450" i="11"/>
  <c r="K361" i="11"/>
  <c r="L361" i="11"/>
  <c r="K121" i="11"/>
  <c r="L121" i="11"/>
  <c r="K31" i="11"/>
  <c r="L31" i="11"/>
  <c r="K229" i="11"/>
  <c r="L229" i="11"/>
  <c r="L20" i="11"/>
  <c r="K20" i="11"/>
  <c r="K481" i="11"/>
  <c r="L481" i="11"/>
  <c r="L671" i="11"/>
  <c r="K671" i="11"/>
  <c r="K84" i="11"/>
  <c r="L84" i="11"/>
  <c r="K561" i="11"/>
  <c r="L561" i="11"/>
  <c r="K667" i="11"/>
  <c r="L667" i="11"/>
  <c r="L653" i="11"/>
  <c r="K653" i="11"/>
  <c r="K81" i="11"/>
  <c r="L81" i="11"/>
  <c r="L602" i="11"/>
  <c r="K602" i="11"/>
  <c r="L648" i="11"/>
  <c r="K648" i="11"/>
  <c r="K137" i="11"/>
  <c r="L137" i="11"/>
  <c r="L662" i="11"/>
  <c r="K662" i="11"/>
  <c r="L646" i="11"/>
  <c r="K646" i="11"/>
  <c r="L83" i="11"/>
  <c r="K83" i="11"/>
  <c r="K613" i="11"/>
  <c r="L613" i="11"/>
  <c r="K567" i="11"/>
  <c r="L567" i="11"/>
  <c r="L540" i="11"/>
  <c r="K540" i="11"/>
  <c r="L528" i="11"/>
  <c r="K528" i="11"/>
  <c r="K467" i="11"/>
  <c r="L467" i="11"/>
  <c r="K329" i="11"/>
  <c r="L329" i="11"/>
  <c r="K185" i="11"/>
  <c r="L185" i="11"/>
  <c r="K163" i="11"/>
  <c r="L163" i="11"/>
  <c r="K153" i="11"/>
  <c r="L153" i="11"/>
  <c r="K132" i="11"/>
  <c r="L132" i="11"/>
  <c r="L115" i="11"/>
  <c r="K115" i="11"/>
  <c r="K72" i="11"/>
  <c r="L72" i="11"/>
  <c r="K56" i="11"/>
  <c r="L56" i="11"/>
  <c r="L19" i="11"/>
  <c r="K19" i="11"/>
  <c r="K393" i="11"/>
  <c r="L393" i="11"/>
  <c r="K211" i="11"/>
  <c r="L211" i="11"/>
  <c r="L600" i="11"/>
  <c r="K600" i="11"/>
  <c r="K270" i="11"/>
  <c r="L270" i="11"/>
  <c r="K478" i="11"/>
  <c r="L478" i="11"/>
  <c r="K448" i="11"/>
  <c r="L448" i="11"/>
  <c r="L324" i="11"/>
  <c r="K324" i="11"/>
  <c r="K302" i="11"/>
  <c r="L302" i="11"/>
  <c r="K286" i="11"/>
  <c r="L286" i="11"/>
  <c r="K48" i="11"/>
  <c r="L48" i="11"/>
  <c r="K538" i="11"/>
  <c r="L538" i="11"/>
  <c r="K469" i="11"/>
  <c r="L469" i="11"/>
  <c r="K439" i="11"/>
  <c r="L439" i="11"/>
  <c r="K368" i="11"/>
  <c r="L368" i="11"/>
  <c r="L260" i="11"/>
  <c r="K260" i="11"/>
  <c r="K239" i="11"/>
  <c r="L239" i="11"/>
  <c r="K67" i="11"/>
  <c r="L67" i="11"/>
  <c r="L532" i="11"/>
  <c r="K532" i="11"/>
  <c r="K462" i="11"/>
  <c r="L462" i="11"/>
  <c r="K89" i="11"/>
  <c r="L89" i="11"/>
  <c r="K419" i="11"/>
  <c r="L419" i="11"/>
  <c r="K595" i="11"/>
  <c r="L595" i="11"/>
  <c r="L510" i="11"/>
  <c r="K510" i="11"/>
  <c r="K466" i="11"/>
  <c r="L466" i="11"/>
  <c r="L436" i="11"/>
  <c r="K436" i="11"/>
  <c r="K352" i="11"/>
  <c r="L352" i="11"/>
  <c r="K272" i="11"/>
  <c r="L272" i="11"/>
  <c r="K102" i="11"/>
  <c r="L102" i="11"/>
  <c r="K39" i="11"/>
  <c r="L39" i="11"/>
  <c r="K17" i="11"/>
  <c r="L17" i="11"/>
  <c r="L8" i="11"/>
  <c r="K8" i="11"/>
  <c r="K220" i="11"/>
  <c r="L220" i="11"/>
  <c r="L637" i="11"/>
  <c r="K637" i="11"/>
  <c r="K630" i="11"/>
  <c r="L630" i="11"/>
  <c r="L534" i="11"/>
  <c r="K534" i="11"/>
  <c r="K495" i="11"/>
  <c r="L495" i="11"/>
  <c r="K267" i="11"/>
  <c r="L267" i="11"/>
  <c r="K245" i="11"/>
  <c r="L245" i="11"/>
  <c r="K145" i="11"/>
  <c r="L145" i="11"/>
  <c r="K66" i="11"/>
  <c r="L66" i="11"/>
  <c r="K465" i="11"/>
  <c r="L465" i="11"/>
  <c r="K583" i="11"/>
  <c r="L583" i="11"/>
  <c r="K227" i="11"/>
  <c r="L227" i="11"/>
  <c r="K117" i="11"/>
  <c r="L117" i="11"/>
  <c r="K414" i="11"/>
  <c r="L414" i="11"/>
  <c r="K215" i="11"/>
  <c r="L215" i="11"/>
  <c r="K74" i="11"/>
  <c r="L74" i="11"/>
  <c r="K279" i="11"/>
  <c r="L279" i="11"/>
  <c r="AK3" i="5"/>
  <c r="AL3" i="5"/>
  <c r="AI41" i="5"/>
  <c r="AN41" i="5" s="1"/>
  <c r="AI23" i="5"/>
  <c r="AN23" i="5" s="1"/>
  <c r="AI246" i="5"/>
  <c r="AN246" i="5" s="1"/>
  <c r="AI576" i="5"/>
  <c r="AN576" i="5" s="1"/>
  <c r="AI525" i="5"/>
  <c r="AN525" i="5" s="1"/>
  <c r="AI526" i="5"/>
  <c r="AN526" i="5" s="1"/>
  <c r="AI464" i="5"/>
  <c r="AN464" i="5" s="1"/>
  <c r="AI43" i="5"/>
  <c r="AN43" i="5" s="1"/>
  <c r="AI486" i="5"/>
  <c r="AN486" i="5" s="1"/>
  <c r="AI42" i="5"/>
  <c r="AN42" i="5" s="1"/>
  <c r="AI89" i="5"/>
  <c r="AN89" i="5" s="1"/>
  <c r="AI227" i="5"/>
  <c r="AN227" i="5" s="1"/>
  <c r="AI437" i="5"/>
  <c r="AN437" i="5" s="1"/>
  <c r="AI19" i="5"/>
  <c r="AN19" i="5" s="1"/>
  <c r="AI479" i="5"/>
  <c r="AN479" i="5" s="1"/>
  <c r="AI10" i="5"/>
  <c r="AN10" i="5" s="1"/>
  <c r="AI44" i="5"/>
  <c r="AN44" i="5" s="1"/>
  <c r="AI328" i="5"/>
  <c r="AN328" i="5" s="1"/>
  <c r="AI205" i="5"/>
  <c r="AN205" i="5" s="1"/>
  <c r="AI495" i="5"/>
  <c r="AN495" i="5" s="1"/>
  <c r="AI21" i="5"/>
  <c r="AN21" i="5" s="1"/>
  <c r="AI188" i="5"/>
  <c r="AN188" i="5" s="1"/>
  <c r="AI30" i="5"/>
  <c r="AN30" i="5" s="1"/>
  <c r="AI312" i="5"/>
  <c r="AN312" i="5" s="1"/>
  <c r="AI411" i="5"/>
  <c r="AN411" i="5" s="1"/>
  <c r="AI220" i="5"/>
  <c r="AN220" i="5" s="1"/>
  <c r="R2" i="5"/>
  <c r="C690" i="11" l="1"/>
  <c r="E690" i="11" s="1"/>
  <c r="C686" i="11"/>
  <c r="E686" i="11" s="1"/>
  <c r="C685" i="11"/>
  <c r="E685" i="11" s="1"/>
  <c r="C688" i="11"/>
  <c r="E688" i="11" s="1"/>
  <c r="C693" i="11"/>
  <c r="E693" i="11" s="1"/>
  <c r="C689" i="11"/>
  <c r="E689" i="11" s="1"/>
  <c r="C687" i="11"/>
  <c r="E687" i="11" s="1"/>
  <c r="C694" i="11"/>
  <c r="E694" i="11" s="1"/>
  <c r="C684" i="11"/>
  <c r="E684" i="11" s="1"/>
  <c r="C692" i="11"/>
  <c r="E692" i="11" s="1"/>
  <c r="C691" i="11"/>
  <c r="E691" i="11" s="1"/>
  <c r="AN3" i="5"/>
  <c r="AI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tc={CFFFE537-00FE-4D6E-AEB0-CD739DEFE2BE}</author>
    <author>tc={D4504775-1300-43ED-9DE5-BA6D49885994}</author>
    <author>tc={A49EA651-8BC2-4841-BCC5-552BFB4FFE3F}</author>
    <author>tc={BB7976F2-EDAF-4AF7-B8A4-F43F20C86DA3}</author>
    <author>tc={AE8F57FE-8A90-4C32-95DA-06E5D368279D}</author>
    <author>tc={3B74B120-8E06-4069-AC17-1F720B643788}</author>
    <author>tc={D7952798-68B3-49E1-8D66-6ECE21A3B53F}</author>
    <author>tc={31D78BF6-74CC-43B2-92E5-E143B3F59D6D}</author>
    <author>tc={54758BDB-FA0A-4FC0-A7A6-CC21F5DE3B14}</author>
    <author>tc={991EA23A-4744-4CCE-B034-64096EC1997B}</author>
    <author>tc={409939C2-9339-4239-9415-95AA46FD3062}</author>
    <author>tc={5A54B565-6FE6-45A0-BB26-0F27925044F7}</author>
    <author>tc={9560A99A-3022-4D4F-B573-F734139BD69D}</author>
    <author>tc={9BEC8348-C22E-4AD3-8311-093FB4A17FEE}</author>
    <author>tc={6D412DA3-DC12-4C1C-8EC8-900BB8991231}</author>
    <author>tc={605FA935-71CD-491D-A16E-DB0AC497D1A1}</author>
    <author>tc={8510F8D9-51D3-4FA7-A871-9A6F2FBF5E63}</author>
    <author>tc={EB0111B6-D673-4D25-8109-D6D293F00B15}</author>
    <author>tc={DB7593D5-EA94-4C9A-A62D-E761DFCA4535}</author>
    <author>tc={6AB483F1-1E4D-4ACF-93DA-BCCF62388B0D}</author>
    <author>tc={AB11D2E0-173C-4D94-B995-BB4EFD01E76B}</author>
    <author>tc={13C7B340-30B8-464B-98EF-C581A064FBD4}</author>
    <author>tc={5F01E9F8-04E8-4FDA-B8D5-F23E4A006C4C}</author>
    <author>tc={927E55D3-8F22-4B2F-9C51-32C6176D6704}</author>
    <author>tc={B4EB6C2A-40CF-483A-B265-E936995B317D}</author>
    <author>tc={F8E683DF-57D9-44E2-BBDE-F4493CEE8D64}</author>
    <author>tc={941E2610-EB7A-4DF1-A11E-E37D6CE4CA63}</author>
    <author>tc={BCCA6D19-61A3-4172-8BBF-16E28A0D378C}</author>
    <author>tc={8E9A2A07-A693-4782-9C68-C231E0607274}</author>
    <author>tc={F64DE604-B8EC-4553-8677-69245376EFBD}</author>
    <author>tc={D797F400-CAC8-4F4D-8A8C-E6072E9A2683}</author>
    <author>tc={5A58CD53-C376-4B58-B670-C0E6535EEADC}</author>
    <author>tc={527461FD-B1D5-4E0C-B845-EDC2DB5B3B09}</author>
    <author>tc={9D1624A0-135A-459A-B02F-C278C6CBF4F8}</author>
    <author>tc={97271986-8043-4DD2-948C-360226B99783}</author>
    <author>tc={65676348-46B0-4533-BC3A-8EA6E51682DB}</author>
    <author>tc={69DB3670-6B79-4994-A870-BF01EB06CA33}</author>
    <author>tc={E66B0905-9BDF-461D-BB13-E69810CBA80F}</author>
    <author>tc={20FCFDE4-0BB2-4893-8982-CE87D6AECB5A}</author>
    <author>Rose, Shalisa</author>
    <author>tc={58532A22-7F31-48C8-A0D0-82160821B82B}</author>
    <author>tc={D2BEF0B3-D36D-4673-96DF-5D8E95EF8D59}</author>
    <author>tc={27BA0B7F-EC46-4644-980A-461D2DC68503}</author>
    <author>tc={E8224E46-F8FB-4447-AED5-E68DAB7B9043}</author>
    <author>tc={6E9596F8-D94E-44B9-B6AB-9879AA98F1BE}</author>
    <author>McCormick, Peter Michael</author>
    <author>tc={BA0F887F-A00E-48E3-8534-08E7E58458AA}</author>
    <author>tc={CC8C0B41-AD43-4600-B43A-BD2BD3929386}</author>
    <author>tc={ECF6FFC6-CD02-4332-84F5-0F27E8A81E45}</author>
    <author>tc={2FF30909-E9C8-407D-AC3E-536909AC682C}</author>
    <author>tc={79E75E69-6D83-4AD1-B514-9E6BA0267236}</author>
    <author>tc={8E4566F0-2F65-4EC0-97E1-8F489F0C66D4}</author>
    <author>tc={3F0A9929-606C-41F7-83DC-7F7EE4C8C9BC}</author>
    <author>tc={2688A094-D3EB-421D-BF2F-7DA0B8AF95F0}</author>
    <author>tc={6C775F10-133F-4C9B-8347-4A14FB4C408B}</author>
    <author>tc={BE7299B2-37E9-4422-8EF0-36F6931CD80B}</author>
    <author>tc={3C970CAB-669C-4DD5-A541-3001A3A093A9}</author>
    <author>tc={FC895424-B6FB-4380-8D7C-3CCDA2379FAA}</author>
    <author>tc={4882A9BC-37CE-494B-ACC6-25BC8063597F}</author>
    <author>tc={9812CB67-5021-450E-8610-A0E238361F44}</author>
    <author>tc={C6E8497C-65C4-4A3D-A0EB-F8C8EF839FEE}</author>
    <author>tc={CDBECE75-F4F8-4CAA-9033-A49E34E0507A}</author>
    <author>tc={5094145F-366A-4E6A-B234-655E54CB3156}</author>
    <author>tc={E12C240F-753D-4913-87EC-0CD601E006FD}</author>
    <author>tc={C463EA63-9A09-4259-A613-BA3C637EA1B6}</author>
    <author>tc={FC06342E-983E-42EE-950F-6097C8C765E5}</author>
    <author>tc={813B0994-31C9-4B68-A9C2-8D646620322A}</author>
    <author>tc={BC3AAEA2-DAED-4458-9672-24C968D80114}</author>
    <author>tc={273D3E99-F0AD-4B56-87EE-C0213A13260F}</author>
    <author>tc={B4A2D926-7589-45DB-B232-A1DB396CB27D}</author>
    <author>tc={0CE18774-34BA-40A5-9F2C-F7DF65FF528E}</author>
    <author>tc={8FE56CCB-8E46-4C67-B577-290711B66B3C}</author>
    <author>tc={3EFC2EAD-9900-41F6-BE7F-3FD88D47AADF}</author>
    <author>tc={F88F5C96-2CF2-46E4-A5F0-644E8E9123EA}</author>
    <author>Wilkins, Tanya</author>
    <author>tc={3E74060E-05DF-4C70-B99B-4FCAFA965FA9}</author>
    <author>tc={7099BD8D-43E7-4685-B310-047FCCBEA96D}</author>
    <author>tc={7AAE004F-F0AE-495C-A27C-6C4F32B3E81A}</author>
    <author>tc={8FFC269C-DFE2-47C1-B404-75AA1BDB3667}</author>
    <author>tc={29117ABD-5355-49CB-9771-4F6146AC2C18}</author>
    <author>tc={16BB8696-74D0-4127-8AF6-84BC3869CB96}</author>
    <author>tc={F5D4D048-C765-43AA-ABB0-C36555B63041}</author>
    <author>tc={C79572BF-7825-43AD-ACB5-CD2800858710}</author>
    <author>tc={92CE48AA-B1E5-4815-881D-39DC4A0F043B}</author>
    <author>tc={BE4B93C3-2479-4C5F-AC8F-68FFC8154B19}</author>
    <author>tc={BFD0C633-326D-4872-BD15-AEE63CACEC5E}</author>
    <author>tc={715F97BA-EE00-4116-BF56-97972507BA05}</author>
    <author>tc={F09C5FA1-D7F1-4F91-9B3E-8E6EFA823B44}</author>
    <author>tc={7FBBA2CE-604C-4786-98EB-FF69ECDC6162}</author>
    <author>tc={713B289C-51AF-4394-AFCD-C6D3C9458BF8}</author>
    <author>tc={F04ED0CC-C03D-42CB-AED0-FDDFE399765B}</author>
    <author>tc={DF7A76D8-DC10-47F0-B72B-125238C832C4}</author>
    <author>tc={C11A5FA3-24C2-4C0A-85A9-95E714196962}</author>
    <author>tc={AC74527C-CAB3-4B2C-AAE5-3BE0C5A3C80D}</author>
    <author>tc={FA88CF33-4CBE-4B25-8AFD-892B6CC25AA7}</author>
    <author>tc={9715EF3E-5D55-406C-BBBE-BF81C24DED25}</author>
    <author>tc={FAF61189-E829-42EC-8C65-85C5E5276B82}</author>
    <author>tc={7A4FF359-C1B1-4F6D-BF74-25C16D7DEA9B}</author>
    <author>tc={2852F47C-4170-4A6D-9D19-7307EE27EB60}</author>
    <author>tc={677324F4-09B7-48C3-849D-74217CE8E624}</author>
    <author>tc={4621009F-5047-4B2B-80EC-5BAC86E1A6EC}</author>
    <author>tc={DC3B6009-42D6-4F44-9B85-B4DE2E928188}</author>
    <author>tc={C63D0640-CB30-4EA5-9A37-213AE38E1768}</author>
    <author>tc={592B2046-0CB5-4DD9-BBB4-7C932C909497}</author>
    <author>tc={1F0A342C-28D6-4DDE-BD44-226C43B9D11B}</author>
    <author>Panchal, Kinjal (Contractor)</author>
    <author>tc={62C374B4-17DD-43DB-A38A-4522E2AE86DE}</author>
    <author>tc={34162A02-B986-4A69-BE3C-838009A1CEB8}</author>
    <author>tc={85DBE1F6-7D14-4F8B-9B06-07E9DFC34273}</author>
  </authors>
  <commentList>
    <comment ref="O10" authorId="0" shapeId="0" xr:uid="{CFFFE537-00FE-4D6E-AEB0-CD739DEFE2B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May i please get more details on actuals. @Wilkins, Tanya
Reply:
    It's related to CCC PO9501234927 This is related to WBS IT-CTR0150-OG-US-00</t>
      </text>
    </comment>
    <comment ref="AM11" authorId="1" shapeId="0" xr:uid="{D4504775-1300-43ED-9DE5-BA6D4988599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actuals for AP4-AP7; offsetting lines are in FBT0213</t>
      </text>
    </comment>
    <comment ref="O12" authorId="2" shapeId="0" xr:uid="{A49EA651-8BC2-4841-BCC5-552BFB4FFE3F}">
      <text>
        <t>[Threaded comment]
Your version of Excel allows you to read this threaded comment; however, any edits to it will get removed if the file is opened in a newer version of Excel. Learn more: https://go.microsoft.com/fwlink/?linkid=870924
Comment:
    ER90410 - GBS/EF - SUPPORT - TESTING COE in AP02 @Meadows, Leslie
Reply:
    ER97452 - GBS/EF - SUPPORT - TESTING COE</t>
      </text>
    </comment>
    <comment ref="O13" authorId="3" shapeId="0" xr:uid="{BB7976F2-EDAF-4AF7-B8A4-F43F20C86D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Where would i be able to get more details on this? Please advise. thank you </t>
      </text>
    </comment>
    <comment ref="O14" authorId="4" shapeId="0" xr:uid="{AE8F57FE-8A90-4C32-95DA-06E5D36827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is Nik's - shouldn't be in Ram's. Its Nik's CC. @White, Charlotte Hilliard @Wilkins, Tanya @Hoffman, Kerry</t>
      </text>
    </comment>
    <comment ref="O17" authorId="5" shapeId="0" xr:uid="{3B74B120-8E06-4069-AC17-1F720B6437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AE22" authorId="6" shapeId="0" xr:uid="{D7952798-68B3-49E1-8D66-6ECE21A3B5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AL24" authorId="7" shapeId="0" xr:uid="{31D78BF6-74CC-43B2-92E5-E143B3F59D6D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L25" authorId="8" shapeId="0" xr:uid="{54758BDB-FA0A-4FC0-A7A6-CC21F5DE3B14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O26" authorId="9" shapeId="0" xr:uid="{991EA23A-4744-4CCE-B034-64096EC1997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Srini - The replacement IBM resource is scheduled to be onboarded next week. I’ll then process a negative change order and close the PO later in AUG. we will have a new IBM PO from Aug.</t>
      </text>
    </comment>
    <comment ref="T29" authorId="10" shapeId="0" xr:uid="{409939C2-9339-4239-9415-95AA46FD306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E41" authorId="11" shapeId="0" xr:uid="{5A54B565-6FE6-45A0-BB26-0F27925044F7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L41" authorId="12" shapeId="0" xr:uid="{9560A99A-3022-4D4F-B573-F734139BD6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O43" authorId="13" shapeId="0" xr:uid="{9BEC8348-C22E-4AD3-8311-093FB4A17FEE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O44" authorId="14" shapeId="0" xr:uid="{6D412DA3-DC12-4C1C-8EC8-900BB899123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WBS code to this new line item</t>
      </text>
    </comment>
    <comment ref="AJ44" authorId="15" shapeId="0" xr:uid="{605FA935-71CD-491D-A16E-DB0AC497D1A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reclass to 2026 ERP LC project</t>
      </text>
    </comment>
    <comment ref="AK44" authorId="16" shapeId="0" xr:uid="{8510F8D9-51D3-4FA7-A871-9A6F2FBF5E63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reclass to 2026 ERP LC project</t>
      </text>
    </comment>
    <comment ref="O45" authorId="17" shapeId="0" xr:uid="{EB0111B6-D673-4D25-8109-D6D293F00B1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T45" authorId="18" shapeId="0" xr:uid="{DB7593D5-EA94-4C9A-A62D-E761DFCA453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M45" authorId="19" shapeId="0" xr:uid="{6AB483F1-1E4D-4ACF-93DA-BCCF62388B0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actuals for AP4-AP7; offsetting lines are in EnhanceChargeout001</t>
      </text>
    </comment>
    <comment ref="O49" authorId="20" shapeId="0" xr:uid="{AB11D2E0-173C-4D94-B995-BB4EFD01E76B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O53" authorId="21" shapeId="0" xr:uid="{13C7B340-30B8-464B-98EF-C581A064FBD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
Reply:
    @Meadows, Leslie</t>
      </text>
    </comment>
    <comment ref="T54" authorId="22" shapeId="0" xr:uid="{5F01E9F8-04E8-4FDA-B8D5-F23E4A006C4C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spent is $198,771.00. Budget was $216K but spent is $198,771.00 due Accenture 10% savings. ($17K).</t>
      </text>
    </comment>
    <comment ref="AE54" authorId="23" shapeId="0" xr:uid="{927E55D3-8F22-4B2F-9C51-32C6176D6704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L54" authorId="24" shapeId="0" xr:uid="{B4EB6C2A-40CF-483A-B265-E936995B31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 $17K</t>
      </text>
    </comment>
    <comment ref="O56" authorId="25" shapeId="0" xr:uid="{F8E683DF-57D9-44E2-BBDE-F4493CEE8D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O57" authorId="26" shapeId="0" xr:uid="{941E2610-EB7A-4DF1-A11E-E37D6CE4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O59" authorId="27" shapeId="0" xr:uid="{BCCA6D19-61A3-4172-8BBF-16E28A0D378C}">
      <text>
        <t>[Threaded comment]
Your version of Excel allows you to read this threaded comment; however, any edits to it will get removed if the file is opened in a newer version of Excel. Learn more: https://go.microsoft.com/fwlink/?linkid=870924
Comment:
    IT-FBT0393-OG-JP-00 replaced by new WBS code</t>
      </text>
    </comment>
    <comment ref="O66" authorId="28" shapeId="0" xr:uid="{8E9A2A07-A693-4782-9C68-C231E060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  <comment ref="AL71" authorId="29" shapeId="0" xr:uid="{F64DE604-B8EC-4553-8677-69245376EF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Moumita to update</t>
      </text>
    </comment>
    <comment ref="Q72" authorId="30" shapeId="0" xr:uid="{D797F400-CAC8-4F4D-8A8C-E6072E9A2683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Q78" authorId="31" shapeId="0" xr:uid="{5A58CD53-C376-4B58-B670-C0E6535EEAD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Q97" authorId="32" shapeId="0" xr:uid="{527461FD-B1D5-4E0C-B845-EDC2DB5B3B0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AL115" authorId="33" shapeId="0" xr:uid="{9D1624A0-135A-459A-B02F-C278C6CBF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SV to close this PO to end 2WM but 124K is the FY total</t>
      </text>
    </comment>
    <comment ref="Q117" authorId="34" shapeId="0" xr:uid="{97271986-8043-4DD2-948C-360226B99783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Q131" authorId="35" shapeId="0" xr:uid="{65676348-46B0-4533-BC3A-8EA6E51682DB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  <comment ref="AG131" authorId="36" shapeId="0" xr:uid="{69DB3670-6B79-4994-A870-BF01EB06CA3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reclass to be performed by team for invoices that hit Raj’s cost center</t>
      </text>
    </comment>
    <comment ref="AD132" authorId="37" shapeId="0" xr:uid="{E66B0905-9BDF-461D-BB13-E69810CBA8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- I am not sure where this actual number came. This is leading to some discrepancy in calculations</t>
      </text>
    </comment>
    <comment ref="AL141" authorId="38" shapeId="0" xr:uid="{20FCFDE4-0BB2-4893-8982-CE87D6AECB5A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O144" authorId="39" shapeId="0" xr:uid="{674CF2A3-7A1C-4979-BA1D-777A180D7DB8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O146" authorId="39" shapeId="0" xr:uid="{CA6227E1-E40C-4F8E-A7C9-8C146D67BB0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AD155" authorId="39" shapeId="0" xr:uid="{F36A4710-A8FC-4154-AFC1-185C1434904B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O156" authorId="39" shapeId="0" xr:uid="{BC4AAD54-B079-4E23-9890-6B6F12102998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O157" authorId="39" shapeId="0" xr:uid="{2D16EF3C-5A60-4F42-81A3-185A372DF78B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O208" authorId="40" shapeId="0" xr:uid="{58532A22-7F31-48C8-A0D0-82160821B82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O209" authorId="41" shapeId="0" xr:uid="{D2BEF0B3-D36D-4673-96DF-5D8E95EF8D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
Reply:
    forecast added. Need new WBS to create PO.</t>
      </text>
    </comment>
    <comment ref="O210" authorId="42" shapeId="0" xr:uid="{27BA0B7F-EC46-4644-980A-461D2DC6850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
Reply:
    forecast added. Need new WBS to create PO.</t>
      </text>
    </comment>
    <comment ref="K211" authorId="43" shapeId="0" xr:uid="{E8224E46-F8FB-4447-AED5-E68DAB7B9043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O221" authorId="44" shapeId="0" xr:uid="{6E9596F8-D94E-44B9-B6AB-9879AA98F1B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AE224" authorId="45" shapeId="0" xr:uid="{DBE0B92C-1645-40A3-8D34-625AB964F3B3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AH224" authorId="46" shapeId="0" xr:uid="{BA0F887F-A00E-48E3-8534-08E7E5845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AP09-12 from $56k to $45k based on AVG AP01-07</t>
      </text>
    </comment>
    <comment ref="O226" authorId="47" shapeId="0" xr:uid="{CC8C0B41-AD43-4600-B43A-BD2BD392938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O227" authorId="48" shapeId="0" xr:uid="{ECF6FFC6-CD02-4332-84F5-0F27E8A81E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Q228" authorId="49" shapeId="0" xr:uid="{2FF30909-E9C8-407D-AC3E-536909AC6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
Reply:
    Moved to Leslie.</t>
      </text>
    </comment>
    <comment ref="O229" authorId="50" shapeId="0" xr:uid="{79E75E69-6D83-4AD1-B514-9E6BA02672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O231" authorId="51" shapeId="0" xr:uid="{8E4566F0-2F65-4EC0-97E1-8F489F0C66D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T231" authorId="52" shapeId="0" xr:uid="{3F0A9929-606C-41F7-83DC-7F7EE4C8C9B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M231" authorId="53" shapeId="0" xr:uid="{2688A094-D3EB-421D-BF2F-7DA0B8AF95F0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O232" authorId="54" shapeId="0" xr:uid="{6C775F10-133F-4C9B-8347-4A14FB4C408B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W232" authorId="55" shapeId="0" xr:uid="{BE7299B2-37E9-4422-8EF0-36F6931CD80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B234" authorId="56" shapeId="0" xr:uid="{3C970CAB-669C-4DD5-A541-3001A3A09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O234" authorId="57" shapeId="0" xr:uid="{FC895424-B6FB-4380-8D7C-3CCDA2379FAA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Q234" authorId="58" shapeId="0" xr:uid="{4882A9BC-37CE-494B-ACC6-25BC8063597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AM237" authorId="59" shapeId="0" xr:uid="{9812CB67-5021-450E-8610-A0E238361F44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O238" authorId="60" shapeId="0" xr:uid="{C6E8497C-65C4-4A3D-A0EB-F8C8EF839FE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O241" authorId="61" shapeId="0" xr:uid="{CDBECE75-F4F8-4CAA-9033-A49E34E0507A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L243" authorId="62" shapeId="0" xr:uid="{5094145F-366A-4E6A-B234-655E54CB31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O243" authorId="63" shapeId="0" xr:uid="{E12C240F-753D-4913-87EC-0CD601E006F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O247" authorId="64" shapeId="0" xr:uid="{C463EA63-9A09-4259-A613-BA3C637E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O253" authorId="65" shapeId="0" xr:uid="{FC06342E-983E-42EE-950F-6097C8C765E5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O254" authorId="39" shapeId="0" xr:uid="{254CB28E-8B0D-4284-898C-89F99F79FEF3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AE258" authorId="45" shapeId="0" xr:uid="{2E8362AD-AF64-47C4-A773-25C05FC8F85B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K260" authorId="66" shapeId="0" xr:uid="{813B0994-31C9-4B68-A9C2-8D646620322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AE262" authorId="45" shapeId="0" xr:uid="{A5DE10BA-2EA2-4941-9707-B1F7978C9687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T266" authorId="67" shapeId="0" xr:uid="{BC3AAEA2-DAED-4458-9672-24C968D8011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O269" authorId="68" shapeId="0" xr:uid="{273D3E99-F0AD-4B56-87EE-C0213A13260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O270" authorId="69" shapeId="0" xr:uid="{B4A2D926-7589-45DB-B232-A1DB396CB2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AM278" authorId="70" shapeId="0" xr:uid="{0CE18774-34BA-40A5-9F2C-F7DF65FF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O283" authorId="71" shapeId="0" xr:uid="{8FE56CCB-8E46-4C67-B577-290711B66B3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Q310" authorId="72" shapeId="0" xr:uid="{3EFC2EAD-9900-41F6-BE7F-3FD88D47AAD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R375" authorId="73" shapeId="0" xr:uid="{F88F5C96-2CF2-46E4-A5F0-644E8E912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AD382" authorId="74" shapeId="0" xr:uid="{D19B2D68-0D5B-4332-8F52-0F010CDD4861}">
      <text>
        <r>
          <rPr>
            <b/>
            <sz val="9"/>
            <color indexed="81"/>
            <rFont val="Tahoma"/>
            <family val="2"/>
          </rPr>
          <t>Wilkins, Tanya:</t>
        </r>
        <r>
          <rPr>
            <sz val="9"/>
            <color indexed="81"/>
            <rFont val="Tahoma"/>
            <family val="2"/>
          </rPr>
          <t xml:space="preserve">
Related to DevSecOps</t>
        </r>
      </text>
    </comment>
    <comment ref="W401" authorId="75" shapeId="0" xr:uid="{3E74060E-05DF-4C70-B99B-4FCAFA965F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  <comment ref="AK401" authorId="76" shapeId="0" xr:uid="{7099BD8D-43E7-4685-B310-047FCCBEA9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@Hoffman, Kerry @Panchal, Kinjal (Contractor) - Is this placeholder still needed? Have we aligned SAP charges for the remainder of the year?</t>
      </text>
    </comment>
    <comment ref="O402" authorId="77" shapeId="0" xr:uid="{7AAE004F-F0AE-495C-A27C-6C4F32B3E81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O403" authorId="78" shapeId="0" xr:uid="{8FFC269C-DFE2-47C1-B404-75AA1BDB366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O404" authorId="79" shapeId="0" xr:uid="{29117ABD-5355-49CB-9771-4F6146AC2C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O405" authorId="80" shapeId="0" xr:uid="{16BB8696-74D0-4127-8AF6-84BC3869CB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Reply:
    New code created - IT-PGS0055-OG-US-00</t>
      </text>
    </comment>
    <comment ref="O407" authorId="81" shapeId="0" xr:uid="{F5D4D048-C765-43AA-ABB0-C36555B63041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O408" authorId="82" shapeId="0" xr:uid="{C79572BF-7825-43AD-ACB5-CD280085871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O416" authorId="83" shapeId="0" xr:uid="{92CE48AA-B1E5-4815-881D-39DC4A0F043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O420" authorId="84" shapeId="0" xr:uid="{BE4B93C3-2479-4C5F-AC8F-68FFC8154B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What project code is this for?</t>
      </text>
    </comment>
    <comment ref="O421" authorId="85" shapeId="0" xr:uid="{BFD0C633-326D-4872-BD15-AEE63CACEC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O427" authorId="39" shapeId="0" xr:uid="{CAA9AE85-A30F-4F2A-9E7E-0A25983BC851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O434" authorId="86" shapeId="0" xr:uid="{715F97BA-EE00-4116-BF56-97972507BA05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please have more details about the charges?</t>
      </text>
    </comment>
    <comment ref="O442" authorId="87" shapeId="0" xr:uid="{F09C5FA1-D7F1-4F91-9B3E-8E6EFA823B4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R444" authorId="88" shapeId="0" xr:uid="{7FBBA2CE-604C-4786-98EB-FF69ECDC6162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AM452" authorId="89" shapeId="0" xr:uid="{713B289C-51AF-4394-AFCD-C6D3C9458BF8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M479" authorId="90" shapeId="0" xr:uid="{F04ED0CC-C03D-42CB-AED0-FDDFE399765B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M492" authorId="91" shapeId="0" xr:uid="{DF7A76D8-DC10-47F0-B72B-125238C832C4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O494" authorId="92" shapeId="0" xr:uid="{C11A5FA3-24C2-4C0A-85A9-95E71419696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O499" authorId="93" shapeId="0" xr:uid="{AC74527C-CAB3-4B2C-AAE5-3BE0C5A3C8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has Ram's CC - Need to know if its Leslie's or Ram's.
</t>
      </text>
    </comment>
    <comment ref="O509" authorId="94" shapeId="0" xr:uid="{FA88CF33-4CBE-4B25-8AFD-892B6CC25AA7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AD512" authorId="95" shapeId="0" xr:uid="{9715EF3E-5D55-406C-BBBE-BF81C24DE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E512" authorId="96" shapeId="0" xr:uid="{FAF61189-E829-42EC-8C65-85C5E5276B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K520" authorId="97" shapeId="0" xr:uid="{7A4FF359-C1B1-4F6D-BF74-25C16D7DEA9B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AM522" authorId="98" shapeId="0" xr:uid="{2852F47C-4170-4A6D-9D19-7307EE27EB60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I525" authorId="99" shapeId="0" xr:uid="{677324F4-09B7-48C3-849D-74217CE8E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AP10 and AP12 to $33,703 each so FY Total matches the totals for the 2 PO’s ($313.4k)</t>
      </text>
    </comment>
    <comment ref="L536" authorId="100" shapeId="0" xr:uid="{4621009F-5047-4B2B-80EC-5BAC86E1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R539" authorId="101" shapeId="0" xr:uid="{DC3B6009-42D6-4F44-9B85-B4DE2E928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K542" authorId="102" shapeId="0" xr:uid="{C63D0640-CB30-4EA5-9A37-213AE38E176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E542" authorId="103" shapeId="0" xr:uid="{592B2046-0CB5-4DD9-BBB4-7C932C909497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L545" authorId="104" shapeId="0" xr:uid="{1F0A342C-28D6-4DDE-BD44-226C43B9D1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O548" authorId="105" shapeId="0" xr:uid="{22CB8685-98ED-4456-8EF0-E4F4D7DC4277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AG580" authorId="106" shapeId="0" xr:uid="{62C374B4-17DD-43DB-A38A-4522E2AE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Follow/up with Kerry et al on PO &amp; Reclass</t>
      </text>
    </comment>
    <comment ref="O604" authorId="107" shapeId="0" xr:uid="{34162A02-B986-4A69-BE3C-838009A1CEB8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AL614" authorId="108" shapeId="0" xr:uid="{85DBE1F6-7D14-4F8B-9B06-07E9DFC3427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MH 48K will indeed happen and eventually this will move to Chris D</t>
      </text>
    </comment>
    <comment ref="AA618" authorId="74" shapeId="0" xr:uid="{252ED7D0-73A1-4E8A-BE89-D6BDA7735D60}">
      <text>
        <r>
          <rPr>
            <b/>
            <sz val="9"/>
            <color indexed="81"/>
            <rFont val="Tahoma"/>
            <family val="2"/>
          </rPr>
          <t>Wilkins, Tanya:</t>
        </r>
        <r>
          <rPr>
            <sz val="9"/>
            <color indexed="81"/>
            <rFont val="Tahoma"/>
            <family val="2"/>
          </rPr>
          <t xml:space="preserve">
9501173448 - CLOUD SERVICE FEES - ORACLE PAAS AND IAA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tc={63C94BC3-E11A-4B62-ADB4-3CA1EB0BC7B3}</author>
    <author>tc={2373C840-2B1B-4E7C-A162-B17BA926FD22}</author>
    <author>tc={D8591E2F-EDC0-4C6A-85D1-0807B67383C7}</author>
    <author>tc={0B7F3A37-1475-4FAC-8C14-FC4D0B48240C}</author>
    <author>tc={D297AFEE-D4BE-473C-983B-D15F92B92C2D}</author>
    <author>tc={D02ADEB0-46D7-4E60-9AD9-6BAF155D02F9}</author>
    <author>tc={D93E6A86-CFF8-44DE-AF74-076932932D75}</author>
    <author>tc={FCF8306B-2858-4F04-A587-8BE12B9B65AA}</author>
    <author>tc={526F8909-D662-48CC-82F9-DA548C67C75E}</author>
    <author>tc={8B31F18A-DDF8-4661-9B33-4224D1822BA2}</author>
    <author>tc={869533BF-0C8C-4675-8F90-6AAEBC82C7A7}</author>
    <author>tc={CA0A034B-B11E-4F0A-962B-2F1C20B430F1}</author>
    <author>Rose, Shalisa</author>
    <author>tc={39BA5EBE-CE33-4D67-A520-E4E155F905B5}</author>
    <author>tc={353E6FC6-CC57-4B09-A482-8BFB83DE73DE}</author>
    <author>tc={FAD9A70F-2C9B-439F-BF59-4AE126A42F0D}</author>
    <author>tc={349D7BC4-0977-4FF9-9B68-214BE089703C}</author>
    <author>tc={ABBAA6C9-8880-4CED-8766-A42E7675D31A}</author>
    <author>tc={F9468849-9146-445A-923B-E7A4FB72B255}</author>
    <author>McCormick, Peter Michael</author>
    <author>tc={AAFF155E-76F0-456C-A2CC-0C800E91AD4E}</author>
    <author>tc={9D39E2AE-ACF4-433F-8800-4263BC0B0E50}</author>
    <author>tc={E761596C-CAF8-4A71-94D7-2648328CF044}</author>
    <author>tc={79DBDEC2-F94E-474D-A630-114098A8D949}</author>
    <author>tc={0BE834A2-E6D5-474C-A1BE-2AE83CF68598}</author>
    <author>tc={A7235683-8874-4E9E-B076-FD2B75C03F89}</author>
    <author>tc={0900F3E6-24D4-4353-A4BD-495A695B0D5F}</author>
    <author>tc={88D8371B-74C2-4633-93FE-CC36E0DD648D}</author>
    <author>tc={6B76B7F2-B6A6-4741-A970-10F00E4AF4F9}</author>
    <author>tc={D7D29C2A-E4C9-4F5E-9A1F-75EAD5843ABE}</author>
    <author>tc={7D8DAE4E-384B-4ACB-9770-16634A8CA708}</author>
    <author>tc={0EF580F3-B0E6-4B5B-8466-4822017CEDA6}</author>
    <author>tc={D8E56A3B-E4F9-436F-811B-311C35055A73}</author>
    <author>tc={2804E719-5A36-4408-A767-302C706ECB5D}</author>
    <author>tc={5739401E-B91D-4292-8A5B-F051D4F45FF3}</author>
    <author>tc={3091D42F-D56F-4768-9EEB-97904EB860B7}</author>
    <author>tc={8D02D816-AF6C-4669-AC01-C91091AD5FF1}</author>
    <author>tc={DB28EB7C-FD9F-4BDB-B127-020DAC895009}</author>
    <author>tc={2E965694-3043-44AB-B839-5395AB67B4AB}</author>
    <author>tc={6C4DEB83-11CF-4C86-BA33-519F5D1C402A}</author>
    <author>tc={C40E555B-546D-487F-99BF-FBD3516DD358}</author>
    <author>tc={A064E479-F358-4D7B-BD4E-B3323AE13365}</author>
    <author>tc={61561F10-CDD4-4B61-87A5-99C8188957F9}</author>
    <author>tc={C4A72FA0-59ED-49A4-B6C4-7B1DFEBC8D92}</author>
    <author>tc={97B12145-466C-449D-A8AF-802484B32EBD}</author>
    <author>tc={45C03244-5384-4236-A621-4A26FC56E2BF}</author>
    <author>tc={2A5E3CA4-6D5F-4C09-BB57-DB03637919EC}</author>
    <author>tc={1F39CCB3-B2EA-4CAF-97E4-E4047630FB10}</author>
    <author>tc={05E5850F-C2C0-47A9-9AF4-EFF00B3FA7EF}</author>
    <author>tc={6772BF5C-72DD-4604-ACCB-E07BDB64C450}</author>
    <author>tc={6F02FB29-09FD-4689-B14B-55E0805101A0}</author>
    <author>tc={C8B25DC8-5573-4A8F-8A0A-1FADB0F31D96}</author>
    <author>tc={2089C1E4-6BA5-464F-ABEE-A347658473D2}</author>
    <author>tc={0C67D78C-D903-40D2-872C-5892EAA6EF81}</author>
    <author>tc={FBE8E873-636E-4769-82C0-92911B60EACA}</author>
    <author>tc={1D9B5227-B918-4B88-B6D2-33313C8F6AC3}</author>
    <author>tc={9CB4EDFB-A789-42CA-B036-8AFC95D355D0}</author>
    <author>tc={046B5412-AFD6-4F10-A614-84A88E1D865C}</author>
    <author>tc={CC9200BC-7D3A-41AE-81FC-1ACB02B0CBF4}</author>
    <author>tc={0F4D1DDD-FEAC-4BC4-B058-E237A8250CB8}</author>
    <author>tc={83A6CD0C-472B-4E0D-9C7E-010985D6D38F}</author>
    <author>tc={9A17C35D-FE06-45DF-AE23-0E7DD19F322A}</author>
    <author>tc={2B1068B2-597D-4B32-A76B-BA0E8BC419C3}</author>
    <author>tc={B669A908-4FA1-4135-A1C0-7AE9ABEA0A68}</author>
    <author>tc={CBC8F441-1EEE-4B03-B330-877BE9AF9AE9}</author>
    <author>tc={B93AFB86-8987-4B75-8F1F-081FB968E1FF}</author>
    <author>tc={E2B66BE3-599A-490F-84A9-F042E4FCC4B4}</author>
    <author>tc={4D116A0A-DFFB-47F4-9410-52E3591B3ECD}</author>
    <author>tc={B9E8120D-1C17-484F-B850-D0BC60869C1C}</author>
    <author>tc={870BF799-B018-4181-9F2E-5E454121BF86}</author>
    <author>tc={274FF82E-82B8-4D88-994F-32AA4E6B8AF1}</author>
    <author>tc={F097BE76-6D5D-4513-B421-E489CDC6AEFB}</author>
    <author>tc={5B2103E6-27E7-43AD-9C21-11A31369FA8C}</author>
    <author>tc={D2597E73-00CB-4652-947F-AE02E766B84F}</author>
    <author>tc={79A3A5BF-576A-41CA-9840-491E133301C5}</author>
    <author>tc={C0BBD518-9FCB-42E2-BDFD-691DADC61FD4}</author>
    <author>tc={37809BCA-9B16-462A-ADF1-92397133EB37}</author>
    <author>tc={77D48C9E-03DD-45F3-A1D1-366139990976}</author>
    <author>tc={730C6E01-249F-4A67-995F-22EF66278C5C}</author>
    <author>tc={A0F47547-AB08-4E47-953D-99674D8116EA}</author>
    <author>tc={C5EFCEC3-BE8F-4662-841B-25C68D9F616C}</author>
    <author>tc={4C49FA90-D57C-4F32-945C-90682A77753B}</author>
    <author>Panchal, Kinjal (Contractor)</author>
    <author>tc={E5A1034B-65D2-4CBF-AD93-5218537F5514}</author>
    <author>tc={C6E957CA-8E92-42FE-98F3-86E4714F8072}</author>
    <author>tc={5FDA0B83-1BD2-4E80-B316-B818090242A9}</author>
  </authors>
  <commentList>
    <comment ref="K8" authorId="0" shapeId="0" xr:uid="{63C94BC3-E11A-4B62-ADB4-3CA1EB0BC7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K9" authorId="1" shapeId="0" xr:uid="{2373C840-2B1B-4E7C-A162-B17BA926FD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K10" authorId="2" shapeId="0" xr:uid="{D8591E2F-EDC0-4C6A-85D1-0807B67383C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K14" authorId="3" shapeId="0" xr:uid="{0B7F3A37-1475-4FAC-8C14-FC4D0B4824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K16" authorId="4" shapeId="0" xr:uid="{D297AFEE-D4BE-473C-983B-D15F92B92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</t>
      </text>
    </comment>
    <comment ref="K18" authorId="5" shapeId="0" xr:uid="{D02ADEB0-46D7-4E60-9AD9-6BAF155D02F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</t>
      </text>
    </comment>
    <comment ref="K20" authorId="6" shapeId="0" xr:uid="{D93E6A86-CFF8-44DE-AF74-076932932D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</t>
      </text>
    </comment>
    <comment ref="G22" authorId="7" shapeId="0" xr:uid="{FCF8306B-2858-4F04-A587-8BE12B9B65AA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K32" authorId="8" shapeId="0" xr:uid="{526F8909-D662-48CC-82F9-DA548C67C75E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K38" authorId="9" shapeId="0" xr:uid="{8B31F18A-DDF8-4661-9B33-4224D1822BA2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K40" authorId="10" shapeId="0" xr:uid="{869533BF-0C8C-4675-8F90-6AAEBC82C7A7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AH89" authorId="11" shapeId="0" xr:uid="{CA0A034B-B11E-4F0A-962B-2F1C20B430F1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K95" authorId="12" shapeId="0" xr:uid="{EFB45B68-B6FB-4C2A-94EC-0B0824263B6C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K98" authorId="12" shapeId="0" xr:uid="{D1EEDB69-841D-402F-9834-4D46C2B8752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K105" authorId="13" shapeId="0" xr:uid="{39BA5EBE-CE33-4D67-A520-E4E155F905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K141" authorId="14" shapeId="0" xr:uid="{353E6FC6-CC57-4B09-A482-8BFB83DE73D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May i please get more details on actuals. @Wilkins, Tanya</t>
      </text>
    </comment>
    <comment ref="K148" authorId="15" shapeId="0" xr:uid="{FAD9A70F-2C9B-439F-BF59-4AE126A42F0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K150" authorId="16" shapeId="0" xr:uid="{349D7BC4-0977-4FF9-9B68-214BE089703C}">
      <text>
        <t>[Threaded comment]
Your version of Excel allows you to read this threaded comment; however, any edits to it will get removed if the file is opened in a newer version of Excel. Learn more: https://go.microsoft.com/fwlink/?linkid=870924
Comment:
    ER90410 - GBS/EF - SUPPORT - TESTING COE in AP02 @Meadows, Leslie
Reply:
    ER97452 - GBS/EF - SUPPORT - TESTING COE</t>
      </text>
    </comment>
    <comment ref="K151" authorId="17" shapeId="0" xr:uid="{ABBAA6C9-8880-4CED-8766-A42E7675D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Where would i be able to get more details on this? Please advise. thank you </t>
      </text>
    </comment>
    <comment ref="K156" authorId="18" shapeId="0" xr:uid="{F9468849-9146-445A-923B-E7A4FB72B2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AA169" authorId="19" shapeId="0" xr:uid="{DD6422FB-5940-4DA4-B171-480826BEA13F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M195" authorId="20" shapeId="0" xr:uid="{AAFF155E-76F0-456C-A2CC-0C800E91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  <comment ref="M199" authorId="21" shapeId="0" xr:uid="{9D39E2AE-ACF4-433F-8800-4263BC0B0E50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K201" authorId="22" shapeId="0" xr:uid="{E761596C-CAF8-4A71-94D7-2648328CF0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M202" authorId="23" shapeId="0" xr:uid="{79DBDEC2-F94E-474D-A630-114098A8D94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
Reply:
    Moved to Leslie.</t>
      </text>
    </comment>
    <comment ref="K203" authorId="24" shapeId="0" xr:uid="{0BE834A2-E6D5-474C-A1BE-2AE83CF68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K208" authorId="25" shapeId="0" xr:uid="{A7235683-8874-4E9E-B076-FD2B75C03F8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AA218" authorId="26" shapeId="0" xr:uid="{0900F3E6-24D4-4353-A4BD-495A695B0D5F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AH220" authorId="27" shapeId="0" xr:uid="{88D8371B-74C2-4633-93FE-CC36E0DD648D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H221" authorId="28" shapeId="0" xr:uid="{6B76B7F2-B6A6-4741-A970-10F00E4AF4F9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P226" authorId="29" shapeId="0" xr:uid="{D7D29C2A-E4C9-4F5E-9A1F-75EAD5843AB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D226" authorId="19" shapeId="0" xr:uid="{F2FA32D4-D0E3-444C-901D-70F5FB1F5467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Added $7.3k to match full year Pototal ($357k).</t>
        </r>
      </text>
    </comment>
    <comment ref="M238" authorId="30" shapeId="0" xr:uid="{7D8DAE4E-384B-4ACB-9770-16634A8C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AA239" authorId="31" shapeId="0" xr:uid="{0EF580F3-B0E6-4B5B-8466-4822017C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H239" authorId="32" shapeId="0" xr:uid="{D8E56A3B-E4F9-436F-811B-311C35055A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K244" authorId="33" shapeId="0" xr:uid="{2804E719-5A36-4408-A767-302C706EC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K247" authorId="34" shapeId="0" xr:uid="{5739401E-B91D-4292-8A5B-F051D4F45F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K249" authorId="35" shapeId="0" xr:uid="{3091D42F-D56F-4768-9EEB-97904EB860B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249" authorId="36" shapeId="0" xr:uid="{8D02D816-AF6C-4669-AC01-C91091AD5F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K255" authorId="37" shapeId="0" xr:uid="{DB28EB7C-FD9F-4BDB-B127-020DAC89500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P255" authorId="38" shapeId="0" xr:uid="{2E965694-3043-44AB-B839-5395AB67B4A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I255" authorId="39" shapeId="0" xr:uid="{6C4DEB83-11CF-4C86-BA33-519F5D1C402A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K258" authorId="40" shapeId="0" xr:uid="{C40E555B-546D-487F-99BF-FBD3516DD358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S258" authorId="41" shapeId="0" xr:uid="{A064E479-F358-4D7B-BD4E-B3323AE1336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M260" authorId="42" shapeId="0" xr:uid="{61561F10-CDD4-4B61-87A5-99C8188957F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B264" authorId="43" shapeId="0" xr:uid="{C4A72FA0-59ED-49A4-B6C4-7B1DFEBC8D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K264" authorId="44" shapeId="0" xr:uid="{97B12145-466C-449D-A8AF-802484B32EBD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M264" authorId="45" shapeId="0" xr:uid="{45C03244-5384-4236-A621-4A26FC56E2BF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K265" authorId="46" shapeId="0" xr:uid="{2A5E3CA4-6D5F-4C09-BB57-DB03637919EC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AI277" authorId="47" shapeId="0" xr:uid="{1F39CCB3-B2EA-4CAF-97E4-E4047630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K278" authorId="48" shapeId="0" xr:uid="{05E5850F-C2C0-47A9-9AF4-EFF00B3FA7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K283" authorId="49" shapeId="0" xr:uid="{6772BF5C-72DD-4604-ACCB-E07BDB64C450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H294" authorId="50" shapeId="0" xr:uid="{6F02FB29-09FD-4689-B14B-55E0805101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K294" authorId="51" shapeId="0" xr:uid="{C8B25DC8-5573-4A8F-8A0A-1FADB0F3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K300" authorId="52" shapeId="0" xr:uid="{2089C1E4-6BA5-464F-ABEE-A347658473D2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K317" authorId="53" shapeId="0" xr:uid="{0C67D78C-D903-40D2-872C-5892EAA6EF81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K327" authorId="54" shapeId="0" xr:uid="{FBE8E873-636E-4769-82C0-92911B60EAC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</t>
      </text>
    </comment>
    <comment ref="AA330" authorId="55" shapeId="0" xr:uid="{1D9B5227-B918-4B88-B6D2-33313C8F6AC3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H330" authorId="56" shapeId="0" xr:uid="{9CB4EDFB-A789-42CA-B036-8AFC95D355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K333" authorId="57" shapeId="0" xr:uid="{046B5412-AFD6-4F10-A614-84A88E1D86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Z334" authorId="12" shapeId="0" xr:uid="{30D3EEAF-8ED8-47CE-94A9-6402AB574966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K335" authorId="12" shapeId="0" xr:uid="{775DDE4B-99BB-450A-B251-513A415DB2D9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K336" authorId="12" shapeId="0" xr:uid="{A88F4F69-1329-4A0E-85D3-EF5F71A9D1B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K337" authorId="12" shapeId="0" xr:uid="{703EC9CD-6DB0-4B95-94D4-49017DDE617B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K339" authorId="12" shapeId="0" xr:uid="{7714D84A-A5DD-438B-B72D-B023B9B1E70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M341" authorId="58" shapeId="0" xr:uid="{CC9200BC-7D3A-41AE-81FC-1ACB02B0CBF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K342" authorId="59" shapeId="0" xr:uid="{0F4D1DDD-FEAC-4BC4-B058-E237A825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AA359" authorId="19" shapeId="0" xr:uid="{2CB2451B-E3BC-4C69-B597-8FFE2A3DABE8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G381" authorId="60" shapeId="0" xr:uid="{83A6CD0C-472B-4E0D-9C7E-010985D6D38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AA384" authorId="19" shapeId="0" xr:uid="{1121AA8C-4A0C-498A-950A-48405E5FCB82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P408" authorId="61" shapeId="0" xr:uid="{9A17C35D-FE06-45DF-AE23-0E7DD19F322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K412" authorId="62" shapeId="0" xr:uid="{2B1068B2-597D-4B32-A76B-BA0E8BC419C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K413" authorId="63" shapeId="0" xr:uid="{B669A908-4FA1-4135-A1C0-7AE9ABEA0A6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K414" authorId="64" shapeId="0" xr:uid="{CBC8F441-1EEE-4B03-B330-877BE9AF9A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N428" authorId="65" shapeId="0" xr:uid="{B93AFB86-8987-4B75-8F1F-081FB968E1FF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AI437" authorId="66" shapeId="0" xr:uid="{E2B66BE3-599A-490F-84A9-F042E4FCC4B4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I464" authorId="67" shapeId="0" xr:uid="{4D116A0A-DFFB-47F4-9410-52E3591B3ECD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I477" authorId="68" shapeId="0" xr:uid="{B9E8120D-1C17-484F-B850-D0BC60869C1C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K483" authorId="69" shapeId="0" xr:uid="{870BF799-B018-4181-9F2E-5E454121BF86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K511" authorId="70" shapeId="0" xr:uid="{274FF82E-82B8-4D88-994F-32AA4E6B8AF1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Z516" authorId="71" shapeId="0" xr:uid="{F097BE76-6D5D-4513-B421-E489CDC6AEF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A516" authorId="72" shapeId="0" xr:uid="{5B2103E6-27E7-43AD-9C21-11A31369FA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G524" authorId="73" shapeId="0" xr:uid="{D2597E73-00CB-4652-947F-AE02E766B84F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AI526" authorId="74" shapeId="0" xr:uid="{79A3A5BF-576A-41CA-9840-491E133301C5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N527" authorId="75" shapeId="0" xr:uid="{C0BBD518-9FCB-42E2-BDFD-691DADC61FD4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H552" authorId="76" shapeId="0" xr:uid="{37809BCA-9B16-462A-ADF1-92397133EB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N555" authorId="77" shapeId="0" xr:uid="{77D48C9E-03DD-45F3-A1D1-366139990976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G558" authorId="78" shapeId="0" xr:uid="{730C6E01-249F-4A67-995F-22EF66278C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A558" authorId="79" shapeId="0" xr:uid="{A0F47547-AB08-4E47-953D-99674D8116EA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H561" authorId="80" shapeId="0" xr:uid="{C5EFCEC3-BE8F-4662-841B-25C68D9F6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AI565" authorId="81" shapeId="0" xr:uid="{4C49FA90-D57C-4F32-945C-90682A7775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K570" authorId="82" shapeId="0" xr:uid="{1C2F605E-D64E-43FB-BD88-33737EA741AA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K638" authorId="83" shapeId="0" xr:uid="{E5A1034B-65D2-4CBF-AD93-5218537F551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K670" authorId="84" shapeId="0" xr:uid="{C6E957CA-8E92-42FE-98F3-86E4714F8072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  <comment ref="S686" authorId="85" shapeId="0" xr:uid="{5FDA0B83-1BD2-4E80-B316-B818090242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tc={416D1D55-185C-4EAE-B674-93E3407E7E18}</author>
    <author>tc={65A9D50D-9FEA-4231-BAF6-B715FEBAEDBA}</author>
    <author>tc={54200976-E54A-4AF2-AAFC-37C5FD256279}</author>
    <author>tc={BF243B40-3C90-4CD9-BAD9-89268BD29278}</author>
    <author>tc={D0E0DEB2-9B56-4908-AAD4-38C240F38B94}</author>
    <author>Rose, Shalisa</author>
    <author>tc={7D598365-30C5-4B8C-8243-84195A99DD3E}</author>
    <author>tc={50D046B7-3494-46B9-BB5B-C9CC0C2C48D4}</author>
    <author>tc={ABF87D91-89B2-4A65-85FF-23BCFA5B4454}</author>
    <author>tc={878B6BB3-A748-46C2-A734-567858515684}</author>
    <author>tc={10661F78-8856-4D9A-8E83-AA0DBCD95251}</author>
    <author>tc={537307E5-4DB3-49A5-8649-6273073C82EA}</author>
    <author>tc={6D2B3187-283F-41A4-8FD2-CC99307810E3}</author>
    <author>tc={130CA48C-CDD6-41FD-A7B4-E68ACEC81B74}</author>
    <author>tc={1C633AA0-10B4-4BDE-A46B-FCDB1E674A2A}</author>
    <author>tc={3A6AD35D-D80D-45B2-BA51-0C3171251A74}</author>
    <author>tc={D4A52B78-E512-451A-A85E-B2404465EDDA}</author>
    <author>tc={AA59013A-F96B-48F1-A117-9DFD6D6DD03F}</author>
    <author>tc={E42462BF-A573-41FC-8383-59E103F521D2}</author>
    <author>tc={29267C54-D96C-4ACE-810E-6B6E1D948356}</author>
    <author>Panchal, Kinjal (Contractor)</author>
    <author>tc={409FE27B-122D-4A1C-AD07-C3E43A29380C}</author>
    <author>tc={9462D3DC-18AA-4B01-A8AA-8B96DBD181FA}</author>
    <author>tc={9040C291-0D03-440A-BB38-15C3AD9E9BB4}</author>
    <author>tc={9799359A-33C4-4546-A815-A932F944A9AC}</author>
    <author>tc={C2CCA5E1-2743-4689-823C-49A1C6F73C37}</author>
    <author>tc={B533C2A9-E050-4B24-950D-07B2102E408E}</author>
    <author>tc={BE035D37-1234-4930-896B-887E3C748159}</author>
    <author>tc={62F5CF0F-0239-4657-A577-F0E0D0FF8084}</author>
    <author>tc={90B30933-B23B-4BD9-B477-C23C03AC4DA7}</author>
    <author>tc={47118562-CCD2-4CF4-BEDF-6F1BBE167F43}</author>
    <author>tc={3EF00418-7398-4A61-8C05-FF0A24D30B45}</author>
    <author>tc={AB241259-D62A-4ED2-BC80-1BDB861FA249}</author>
    <author>tc={2F9085E6-C536-466F-B7EA-88935ECFCD13}</author>
    <author>tc={36687A84-327D-400B-B8EB-A9CC97037FCD}</author>
    <author>tc={8A60C8C2-7B04-4F11-B118-89A2EA352415}</author>
    <author>tc={1E1F3EB6-6075-4A6F-8324-2E0E3CE0C5A0}</author>
    <author>tc={7B946035-F8B6-464C-86BA-4AF136A87C4E}</author>
    <author>tc={5E1ABEAE-C803-4B8A-BE5F-797E72788E42}</author>
    <author>tc={01062866-2A3E-4C7B-BA2B-69E311D97E91}</author>
    <author>tc={44681F1C-ADFE-44DC-A1ED-6FFD53EAE37E}</author>
    <author>tc={F76CF0CC-5D68-48AF-B717-7266129C4C67}</author>
    <author>tc={8E199E4F-20B0-40EC-BF2F-C6C1501F0B5C}</author>
    <author>tc={66F2901A-E47A-4CC3-8D2B-73FCFF1905E8}</author>
    <author>tc={6AE834DA-FBA9-4A80-B004-C46E47F5D74D}</author>
    <author>tc={97B382CC-FD69-4ABB-92F9-F97D0E8E2239}</author>
    <author>tc={4B6BD60A-6D66-440A-95F8-8D0AFD7A3040}</author>
    <author>tc={9CDF2AB8-C0A4-4C39-85E3-D790586AD951}</author>
    <author>tc={D58DEAA9-B657-4B02-B1DA-86A4A588E0A6}</author>
    <author>tc={C9A0D1C2-629C-4C53-98C1-2A6FE0888A6C}</author>
    <author>tc={B1C3200B-A013-4BA0-96DA-63868D9956FE}</author>
    <author>tc={6E938C6E-30E2-4C6D-941F-8310862FEA77}</author>
    <author>tc={F1B71CCE-08C0-413E-9BD7-FD962F6A48F3}</author>
    <author>tc={FCB38033-AC99-4FDE-AB16-9BF6359537D5}</author>
    <author>tc={24459A56-AC92-4AAC-9E3D-384DA53C50A8}</author>
    <author>tc={A39126C7-3496-4CC0-8B97-B60C2545735B}</author>
    <author>tc={D3EFC11A-F8F5-4184-B16D-B7041E01ADD9}</author>
    <author>McCormick, Peter Michael</author>
    <author>tc={D79813BB-FCC3-4E0A-9945-D44AF116368C}</author>
    <author>tc={E8DB1415-DDFC-426E-817A-76E97686A2FC}</author>
    <author>tc={4E140FDC-E01E-4A80-920F-45F37B66F99D}</author>
    <author>tc={C74AC1AC-450E-4FA4-895B-6A897B3390B2}</author>
    <author>tc={15408FF6-BDC9-4DAA-A5A7-57BE110B6729}</author>
    <author>tc={9E29631A-F2E8-4C36-A6CC-4B4F5F6D48EB}</author>
    <author>tc={C440C967-A301-4185-A665-2E4FC630107D}</author>
    <author>tc={77253ACD-D028-4530-87C0-01014D809345}</author>
    <author>tc={2BDBAD01-39A5-4AA4-A6C1-A6FAD56FC396}</author>
    <author>tc={8CDFE32A-CFD2-4D06-AC36-4A1E1EB902DD}</author>
    <author>tc={14CA70F1-C063-42C8-A2E5-AD4179D0FC37}</author>
    <author>tc={C47F8952-2053-4574-9412-48368B48C22F}</author>
    <author>tc={8F4AFDA9-10E8-4946-BA7C-92E59619E585}</author>
    <author>tc={D088015F-CCE3-46EE-89D4-8C8FD966B788}</author>
    <author>tc={FABCA567-BED1-4334-96DB-20510AEDE67D}</author>
    <author>tc={F37AA49E-5D05-416E-9F83-3727B64194CF}</author>
    <author>tc={7014838C-F623-4E47-A79F-6DAB7C0AC1DA}</author>
    <author>tc={846EBA99-9A72-4D2C-B043-547C17F397D1}</author>
    <author>tc={065F5504-120B-4B86-AC19-F5094E7A44A4}</author>
    <author>tc={7EFC45A4-F043-428F-8083-E50672D5EB86}</author>
    <author>tc={54CAE408-FB50-45AB-92B1-97D0E4D4AB17}</author>
  </authors>
  <commentList>
    <comment ref="P33" authorId="0" shapeId="0" xr:uid="{416D1D55-185C-4EAE-B674-93E3407E7E1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P36" authorId="1" shapeId="0" xr:uid="{65A9D50D-9FEA-4231-BAF6-B715FEBAEDB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P37" authorId="2" shapeId="0" xr:uid="{54200976-E54A-4AF2-AAFC-37C5FD2562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P38" authorId="3" shapeId="0" xr:uid="{BF243B40-3C90-4CD9-BAD9-89268BD29278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L42" authorId="4" shapeId="0" xr:uid="{D0E0DEB2-9B56-4908-AAD4-38C240F38B9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P77" authorId="5" shapeId="0" xr:uid="{B5C7503B-D66C-4A08-AB0A-A9DF5A6A139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P79" authorId="5" shapeId="0" xr:uid="{134CA646-44BA-4D2A-ACBA-A9403DDC1772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P80" authorId="5" shapeId="0" xr:uid="{740F3DB9-8481-4669-8A93-2D597E881C2E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S90" authorId="6" shapeId="0" xr:uid="{7D598365-30C5-4B8C-8243-84195A99DD3E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S91" authorId="7" shapeId="0" xr:uid="{50D046B7-3494-46B9-BB5B-C9CC0C2C48D4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S92" authorId="8" shapeId="0" xr:uid="{ABF87D91-89B2-4A65-85FF-23BCFA5B4454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AN169" authorId="9" shapeId="0" xr:uid="{878B6BB3-A748-46C2-A734-567858515684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P175" authorId="10" shapeId="0" xr:uid="{10661F78-8856-4D9A-8E83-AA0DBCD95251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AE202" authorId="5" shapeId="0" xr:uid="{1B46B3B9-9DB1-413A-9952-F32AE7C416F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P251" authorId="5" shapeId="0" xr:uid="{4BA138BD-0708-4C8F-AE7B-16A5570E28AE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P261" authorId="11" shapeId="0" xr:uid="{537307E5-4DB3-49A5-8649-6273073C82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P311" authorId="12" shapeId="0" xr:uid="{6D2B3187-283F-41A4-8FD2-CC99307810E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P327" authorId="13" shapeId="0" xr:uid="{130CA48C-CDD6-41FD-A7B4-E68ACEC81B7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M332" authorId="14" shapeId="0" xr:uid="{1C633AA0-10B4-4BDE-A46B-FCDB1E674A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AN334" authorId="15" shapeId="0" xr:uid="{3A6AD35D-D80D-45B2-BA51-0C3171251A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R343" authorId="16" shapeId="0" xr:uid="{D4A52B78-E512-451A-A85E-B2404465EDDA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P345" authorId="17" shapeId="0" xr:uid="{AA59013A-F96B-48F1-A117-9DFD6D6DD0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P348" authorId="18" shapeId="0" xr:uid="{E42462BF-A573-41FC-8383-59E103F521D2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P352" authorId="5" shapeId="0" xr:uid="{3C25A017-D264-4AA7-BCAB-AD024CB7542E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P383" authorId="19" shapeId="0" xr:uid="{29267C54-D96C-4ACE-810E-6B6E1D9483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402" authorId="20" shapeId="0" xr:uid="{486FBFB1-4687-4B9A-B846-7115E6DBDE6E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P405" authorId="21" shapeId="0" xr:uid="{409FE27B-122D-4A1C-AD07-C3E43A29380C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P408" authorId="5" shapeId="0" xr:uid="{1CA98C4E-C00F-4D14-B9B7-E7D947A06647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R411" authorId="22" shapeId="0" xr:uid="{9462D3DC-18AA-4B01-A8AA-8B96DBD181FA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AN423" authorId="23" shapeId="0" xr:uid="{9040C291-0D03-440A-BB38-15C3AD9E9B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P424" authorId="24" shapeId="0" xr:uid="{9799359A-33C4-4546-A815-A932F944A9A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L426" authorId="25" shapeId="0" xr:uid="{C2CCA5E1-2743-4689-823C-49A1C6F73C3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P428" authorId="26" shapeId="0" xr:uid="{B533C2A9-E050-4B24-950D-07B2102E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R431" authorId="27" shapeId="0" xr:uid="{BE035D37-1234-4930-896B-887E3C748159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  <comment ref="D432" authorId="28" shapeId="0" xr:uid="{62F5CF0F-0239-4657-A577-F0E0D0FF80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P432" authorId="29" shapeId="0" xr:uid="{90B30933-B23B-4BD9-B477-C23C03AC4DA7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R432" authorId="30" shapeId="0" xr:uid="{47118562-CCD2-4CF4-BEDF-6F1BBE167F43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P445" authorId="31" shapeId="0" xr:uid="{3EF00418-7398-4A61-8C05-FF0A24D30B45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P447" authorId="32" shapeId="0" xr:uid="{AB241259-D62A-4ED2-BC80-1BDB861FA2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</t>
      </text>
    </comment>
    <comment ref="M449" authorId="33" shapeId="0" xr:uid="{2F9085E6-C536-466F-B7EA-88935ECFCD13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P454" authorId="34" shapeId="0" xr:uid="{36687A84-327D-400B-B8EB-A9CC97037FC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P455" authorId="35" shapeId="0" xr:uid="{8A60C8C2-7B04-4F11-B118-89A2EA3524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</t>
      </text>
    </comment>
    <comment ref="AM457" authorId="36" shapeId="0" xr:uid="{1E1F3EB6-6075-4A6F-8324-2E0E3CE0C5A0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P459" authorId="37" shapeId="0" xr:uid="{7B946035-F8B6-464C-86BA-4AF136A87C4E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P460" authorId="38" shapeId="0" xr:uid="{5E1ABEAE-C803-4B8A-BE5F-797E72788E4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AF461" authorId="39" shapeId="0" xr:uid="{01062866-2A3E-4C7B-BA2B-69E311D97E91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M461" authorId="40" shapeId="0" xr:uid="{44681F1C-ADFE-44DC-A1ED-6FFD53EAE37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R465" authorId="41" shapeId="0" xr:uid="{F76CF0CC-5D68-48AF-B717-7266129C4C67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AF467" authorId="42" shapeId="0" xr:uid="{8E199E4F-20B0-40EC-BF2F-C6C1501F0B5C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M467" authorId="43" shapeId="0" xr:uid="{66F2901A-E47A-4CC3-8D2B-73FCFF1905E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L468" authorId="44" shapeId="0" xr:uid="{6AE834DA-FBA9-4A80-B004-C46E47F5D7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F468" authorId="45" shapeId="0" xr:uid="{97B382CC-FD69-4ABB-92F9-F97D0E8E2239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P469" authorId="46" shapeId="0" xr:uid="{4B6BD60A-6D66-440A-95F8-8D0AFD7A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AF470" authorId="47" shapeId="0" xr:uid="{9CDF2AB8-C0A4-4C39-85E3-D790586AD9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M472" authorId="48" shapeId="0" xr:uid="{D58DEAA9-B657-4B02-B1DA-86A4A588E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P475" authorId="49" shapeId="0" xr:uid="{C9A0D1C2-629C-4C53-98C1-2A6FE0888A6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P476" authorId="50" shapeId="0" xr:uid="{B1C3200B-A013-4BA0-96DA-63868D9956F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</t>
      </text>
    </comment>
    <comment ref="P485" authorId="51" shapeId="0" xr:uid="{6E938C6E-30E2-4C6D-941F-8310862FEA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</t>
      </text>
    </comment>
    <comment ref="U486" authorId="52" shapeId="0" xr:uid="{F1B71CCE-08C0-413E-9BD7-FD962F6A48F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E487" authorId="53" shapeId="0" xr:uid="{FCB38033-AC99-4FDE-AB16-9BF6359537D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F487" authorId="54" shapeId="0" xr:uid="{24459A56-AC92-4AAC-9E3D-384DA53C5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R490" authorId="55" shapeId="0" xr:uid="{A39126C7-3496-4CC0-8B97-B60C2545735B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U496" authorId="56" shapeId="0" xr:uid="{D3EFC11A-F8F5-4184-B16D-B7041E01ADD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I496" authorId="57" shapeId="0" xr:uid="{5E76B55B-7902-4A08-9BBC-86C6898F06C7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Added $7.3k to match full year Pototal ($357k).</t>
        </r>
      </text>
    </comment>
    <comment ref="P501" authorId="58" shapeId="0" xr:uid="{D79813BB-FCC3-4E0A-9945-D44AF116368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X507" authorId="59" shapeId="0" xr:uid="{E8DB1415-DDFC-426E-817A-76E97686A2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  <comment ref="P509" authorId="60" shapeId="0" xr:uid="{4E140FDC-E01E-4A80-920F-45F37B66F9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AM511" authorId="61" shapeId="0" xr:uid="{C74AC1AC-450E-4FA4-895B-6A897B3390B2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P513" authorId="62" shapeId="0" xr:uid="{15408FF6-BDC9-4DAA-A5A7-57BE110B672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U513" authorId="63" shapeId="0" xr:uid="{9E29631A-F2E8-4C36-A6CC-4B4F5F6D48E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N521" authorId="64" shapeId="0" xr:uid="{C440C967-A301-4185-A665-2E4FC630107D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P522" authorId="65" shapeId="0" xr:uid="{77253ACD-D028-4530-87C0-01014D809345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X522" authorId="66" shapeId="0" xr:uid="{2BDBAD01-39A5-4AA4-A6C1-A6FAD56FC39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AN523" authorId="67" shapeId="0" xr:uid="{8CDFE32A-CFD2-4D06-AC36-4A1E1EB902DD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N526" authorId="68" shapeId="0" xr:uid="{14CA70F1-C063-42C8-A2E5-AD4179D0FC37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P527" authorId="69" shapeId="0" xr:uid="{C47F8952-2053-4574-9412-48368B48C22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U527" authorId="70" shapeId="0" xr:uid="{8F4AFDA9-10E8-4946-BA7C-92E59619E58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N527" authorId="71" shapeId="0" xr:uid="{D088015F-CCE3-46EE-89D4-8C8FD966B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P557" authorId="72" shapeId="0" xr:uid="{FABCA567-BED1-4334-96DB-20510AEDE67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P558" authorId="73" shapeId="0" xr:uid="{F37AA49E-5D05-416E-9F83-3727B64194C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M564" authorId="74" shapeId="0" xr:uid="{7014838C-F623-4E47-A79F-6DAB7C0AC1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P564" authorId="75" shapeId="0" xr:uid="{846EBA99-9A72-4D2C-B043-547C17F3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P573" authorId="76" shapeId="0" xr:uid="{065F5504-120B-4B86-AC19-F5094E7A44A4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P579" authorId="77" shapeId="0" xr:uid="{7EFC45A4-F043-428F-8083-E50672D5EB8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AF587" authorId="57" shapeId="0" xr:uid="{C73D4E70-55FC-4A5A-9A59-1B1D8764740D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L588" authorId="78" shapeId="0" xr:uid="{54CAE408-FB50-45AB-92B1-97D0E4D4AB1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tc={ABCDD63C-DD76-4F8C-A054-A45DC4F491AF}</author>
    <author>tc={677F6075-218F-4E97-BE91-869C960CA7A3}</author>
    <author>tc={BEBE7EA8-F68D-4F96-9744-E72124300C80}</author>
    <author>tc={7E920481-55C7-4794-87C7-C31CB6F8A21B}</author>
    <author>tc={8CD98C13-0B68-4D55-A06F-7A9995C19FFD}</author>
    <author>tc={26BBCB77-C86D-42A3-9858-1962AC7220A0}</author>
    <author>tc={73218A01-EEE4-4ADA-A21C-99FC589302C3}</author>
    <author>tc={E4B5B87E-8261-49BD-8CB0-5D2C08D18CAE}</author>
    <author>tc={06A6CA3E-70E7-47DE-B952-F850AC337928}</author>
    <author>tc={9D2D6494-4090-4D9A-8806-278F6B529ED6}</author>
    <author>tc={CE39DD41-B1DD-4C2F-96C7-7DE856CF32C8}</author>
    <author>tc={007663BE-D25C-465B-99A3-B3F8976D9EFB}</author>
    <author>Rose, Shalisa</author>
    <author>tc={90BD8C05-5157-449B-ABB2-05C36CE92FA9}</author>
    <author>tc={3AA90881-B3F6-4059-915F-7D5DB0E4EAED}</author>
    <author>tc={5C1BABDA-B098-43EB-A766-09151C40B8C7}</author>
    <author>tc={13E911B9-9A54-4D67-8A05-7DAA99050C2A}</author>
    <author>tc={81C052EC-C9CE-4251-8D3B-DD1B8C78279E}</author>
    <author>tc={C216382E-084D-40B5-827F-EBB9403052BC}</author>
    <author>McCormick, Peter Michael</author>
    <author>tc={B1258BC4-2ABB-40AE-9B5C-53A4256A3262}</author>
    <author>tc={E93E981F-1208-4CF0-A3DB-DE57900BE1B6}</author>
    <author>tc={0D1A52AF-EF08-4F7E-A0CB-EA64E73EC757}</author>
    <author>tc={B9836931-ADA5-4CC1-8DDB-127D8E8D9D4A}</author>
    <author>tc={DDC3E4C3-C3DC-47B6-B9C8-4C102BE88F14}</author>
    <author>tc={D815120F-3B89-4431-9CC9-F7103E033A4D}</author>
    <author>tc={E556F297-F6F0-4D58-B798-E29FD25022C2}</author>
    <author>tc={C39CD28A-CFF3-447E-B849-4FADCB2219FE}</author>
    <author>tc={0E3E03E7-3821-41FC-AB3A-CF9FE49E9D18}</author>
    <author>tc={7EB1C972-123B-4123-BB2C-6977986D8308}</author>
    <author>tc={D9E9B02B-F8B5-4040-88B9-605FFF360687}</author>
    <author>tc={7EAAA9F8-0012-4A2E-AF15-C41757926C37}</author>
    <author>tc={21BE9EB1-AC52-45B2-A7CB-E7F7ABD353E5}</author>
    <author>tc={8B33D042-E1A3-43A2-A0C2-F6A212AE9C0B}</author>
    <author>tc={D579D5AC-FCF7-4904-B634-4F269575D8A3}</author>
    <author>tc={38CBE4DD-1F6A-46BE-A13C-D246F8DF3489}</author>
    <author>tc={6F4E849E-FF24-4D57-BA41-223B8858166F}</author>
    <author>tc={CFCD8DAB-0BD7-4121-9366-14B3023A1266}</author>
    <author>tc={D48AC44B-9CA1-46EC-AE75-E3403E4AC636}</author>
    <author>tc={28F3BD09-5269-4DDB-B945-710427763714}</author>
    <author>tc={A3365C1C-8DFB-4580-A162-63F13301F939}</author>
    <author>tc={C5219780-0837-40FD-AFFA-295977CC1CFF}</author>
    <author>tc={47B1AA4F-4949-4763-AD5E-409EDFA35A99}</author>
    <author>tc={415AB132-1D13-4E29-ADD6-BCFD04A12710}</author>
    <author>tc={2A2E99A3-A37A-490C-B6B0-67CF8E1138B5}</author>
    <author>tc={563BE330-CA0C-4ECC-BCC1-443DC74C3CAC}</author>
    <author>tc={1DE9994B-CEA9-4FD1-9C08-C01730D3AEA4}</author>
    <author>tc={9EE4A135-841B-40CD-9629-1A1CA7D8D774}</author>
    <author>tc={A0C6228A-C308-498A-A9DC-0A5A22FEC124}</author>
    <author>tc={80B7722E-9344-46EA-BD7D-4DC88E122060}</author>
    <author>tc={73D26880-9D0A-49A8-91F3-583EBE2684A4}</author>
    <author>tc={F5FB230E-FA9F-4062-9F77-32B6E4B267DB}</author>
    <author>tc={EEAE9858-C6BC-4674-82AD-7A51F94D358A}</author>
    <author>tc={C7F6931F-2BFB-41FA-8456-B5975FAA4A92}</author>
    <author>tc={EAB1AD31-ED7D-43BF-879C-6E19ECF9828E}</author>
    <author>tc={8AF8C711-805C-4EE0-9EDA-863774A807F7}</author>
    <author>tc={B80B2E5A-6E4A-4F9B-BFA9-8B590F9B66F8}</author>
    <author>tc={F95FF2FF-C91D-493F-9DBE-254F9B1D5825}</author>
    <author>tc={0C400324-AD6D-4C9B-829C-5B53EA3A19D4}</author>
    <author>tc={BEAAF303-9DFD-421F-A349-0B25A457EF39}</author>
    <author>tc={D5250F64-B546-4CC1-A1C1-9763B2298E2F}</author>
    <author>tc={BBF6F4CE-F07D-41D3-8372-50652AE1CFEF}</author>
    <author>tc={1D2ED1C2-562A-4B5F-A161-B7FF26D2D9F4}</author>
    <author>tc={8E0FDCC8-88BE-4DB1-AA1F-51CC9D2F7501}</author>
    <author>tc={0B583ECC-A15D-4E13-A796-0186DCDFE2A6}</author>
    <author>tc={95D6AB03-B85D-4DFA-B15F-0E4900BC423A}</author>
    <author>tc={1746A5F0-D8AA-49A5-A643-4715792356F8}</author>
    <author>tc={2A3D63C2-0C67-457D-ADB2-4CA4511C3847}</author>
    <author>tc={D4749DE4-C923-4057-A4A2-4FC8C85AC300}</author>
    <author>tc={8DF9361A-6F20-4C58-A53B-CEB613C17ADF}</author>
    <author>tc={C0F20B19-87ED-498A-82B5-62428034A29D}</author>
    <author>tc={E224B7DD-0B6F-42CF-8701-A7C95FEADF63}</author>
    <author>tc={E436FC25-D9C8-4FBE-9723-705C99D8847D}</author>
    <author>tc={AC5A4E21-B88F-4410-A703-F07ACA0CB247}</author>
    <author>tc={5C5A95CF-3A30-4CFA-981E-DF69A67C3ABC}</author>
    <author>tc={5574116C-F95D-4C48-9154-B79E846AD188}</author>
    <author>tc={74E37466-8D39-46FE-B742-1E4EB867F81B}</author>
    <author>tc={B2648116-1470-46C8-8B58-D09849A9FF18}</author>
    <author>tc={CF75F5F8-1221-4C75-B94C-210FB44ED177}</author>
    <author>tc={AC703897-CAE0-49EE-BDCA-5B0A1FF09DE1}</author>
    <author>tc={F0906D42-2803-4EBD-B1DA-EE83583461A0}</author>
    <author>tc={83C00369-958C-482D-B244-31BDA0A64422}</author>
    <author>Panchal, Kinjal (Contractor)</author>
    <author>tc={EDF03E7B-4AA3-4C60-8776-03A3C9EBB7EF}</author>
    <author>tc={587D1524-392D-45F1-9011-ACFA674C835A}</author>
    <author>tc={8649BAD5-F8F5-4F68-B4BB-1CBE00CC1831}</author>
  </authors>
  <commentList>
    <comment ref="K8" authorId="0" shapeId="0" xr:uid="{ABCDD63C-DD76-4F8C-A054-A45DC4F491A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K9" authorId="1" shapeId="0" xr:uid="{677F6075-218F-4E97-BE91-869C960CA7A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K10" authorId="2" shapeId="0" xr:uid="{BEBE7EA8-F68D-4F96-9744-E72124300C8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K14" authorId="3" shapeId="0" xr:uid="{7E920481-55C7-4794-87C7-C31CB6F8A2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K16" authorId="4" shapeId="0" xr:uid="{8CD98C13-0B68-4D55-A06F-7A9995C19F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</t>
      </text>
    </comment>
    <comment ref="K18" authorId="5" shapeId="0" xr:uid="{26BBCB77-C86D-42A3-9858-1962AC7220A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</t>
      </text>
    </comment>
    <comment ref="K20" authorId="6" shapeId="0" xr:uid="{73218A01-EEE4-4ADA-A21C-99FC589302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</t>
      </text>
    </comment>
    <comment ref="G22" authorId="7" shapeId="0" xr:uid="{E4B5B87E-8261-49BD-8CB0-5D2C08D18CAE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K32" authorId="8" shapeId="0" xr:uid="{06A6CA3E-70E7-47DE-B952-F850AC337928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K38" authorId="9" shapeId="0" xr:uid="{9D2D6494-4090-4D9A-8806-278F6B529ED6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K40" authorId="10" shapeId="0" xr:uid="{CE39DD41-B1DD-4C2F-96C7-7DE856CF32C8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AH89" authorId="11" shapeId="0" xr:uid="{007663BE-D25C-465B-99A3-B3F8976D9EFB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K95" authorId="12" shapeId="0" xr:uid="{F294B5FC-9B9E-4985-ADF3-77B757F24653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K98" authorId="12" shapeId="0" xr:uid="{8126B8D8-942A-46B7-BBAF-1CF5EEC2657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K105" authorId="13" shapeId="0" xr:uid="{90BD8C05-5157-449B-ABB2-05C36CE92FA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K141" authorId="14" shapeId="0" xr:uid="{3AA90881-B3F6-4059-915F-7D5DB0E4EAE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May i please get more details on actuals. @Wilkins, Tanya</t>
      </text>
    </comment>
    <comment ref="K148" authorId="15" shapeId="0" xr:uid="{5C1BABDA-B098-43EB-A766-09151C40B8C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K150" authorId="16" shapeId="0" xr:uid="{13E911B9-9A54-4D67-8A05-7DAA99050C2A}">
      <text>
        <t>[Threaded comment]
Your version of Excel allows you to read this threaded comment; however, any edits to it will get removed if the file is opened in a newer version of Excel. Learn more: https://go.microsoft.com/fwlink/?linkid=870924
Comment:
    ER90410 - GBS/EF - SUPPORT - TESTING COE in AP02 @Meadows, Leslie
Reply:
    ER97452 - GBS/EF - SUPPORT - TESTING COE</t>
      </text>
    </comment>
    <comment ref="K151" authorId="17" shapeId="0" xr:uid="{81C052EC-C9CE-4251-8D3B-DD1B8C7827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Where would i be able to get more details on this? Please advise. thank you </t>
      </text>
    </comment>
    <comment ref="K156" authorId="18" shapeId="0" xr:uid="{C216382E-084D-40B5-827F-EBB9403052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AA169" authorId="19" shapeId="0" xr:uid="{36A290A1-20BF-4151-B450-8BC4CEE85499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M195" authorId="20" shapeId="0" xr:uid="{B1258BC4-2ABB-40AE-9B5C-53A4256A3262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  <comment ref="M199" authorId="21" shapeId="0" xr:uid="{E93E981F-1208-4CF0-A3DB-DE57900BE1B6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K201" authorId="22" shapeId="0" xr:uid="{0D1A52AF-EF08-4F7E-A0CB-EA64E73EC75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M202" authorId="23" shapeId="0" xr:uid="{B9836931-ADA5-4CC1-8DDB-127D8E8D9D4A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
Reply:
    Moved to Leslie.</t>
      </text>
    </comment>
    <comment ref="K203" authorId="24" shapeId="0" xr:uid="{DDC3E4C3-C3DC-47B6-B9C8-4C102BE88F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K208" authorId="25" shapeId="0" xr:uid="{D815120F-3B89-4431-9CC9-F7103E033A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AA218" authorId="26" shapeId="0" xr:uid="{E556F297-F6F0-4D58-B798-E29FD25022C2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AH220" authorId="27" shapeId="0" xr:uid="{C39CD28A-CFF3-447E-B849-4FADCB2219FE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H221" authorId="28" shapeId="0" xr:uid="{0E3E03E7-3821-41FC-AB3A-CF9FE49E9D18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P226" authorId="29" shapeId="0" xr:uid="{7EB1C972-123B-4123-BB2C-6977986D830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D226" authorId="19" shapeId="0" xr:uid="{18149B17-621F-4CC5-8373-E3609C79C1C7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Added $7.3k to match full year Pototal ($357k).</t>
        </r>
      </text>
    </comment>
    <comment ref="M238" authorId="30" shapeId="0" xr:uid="{D9E9B02B-F8B5-4040-88B9-605FFF360687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AA239" authorId="31" shapeId="0" xr:uid="{7EAAA9F8-0012-4A2E-AF15-C41757926C37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H239" authorId="32" shapeId="0" xr:uid="{21BE9EB1-AC52-45B2-A7CB-E7F7ABD353E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K244" authorId="33" shapeId="0" xr:uid="{8B33D042-E1A3-43A2-A0C2-F6A212AE9C0B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K247" authorId="34" shapeId="0" xr:uid="{D579D5AC-FCF7-4904-B634-4F269575D8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K249" authorId="35" shapeId="0" xr:uid="{38CBE4DD-1F6A-46BE-A13C-D246F8DF34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249" authorId="36" shapeId="0" xr:uid="{6F4E849E-FF24-4D57-BA41-223B8858166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K255" authorId="37" shapeId="0" xr:uid="{CFCD8DAB-0BD7-4121-9366-14B3023A126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P255" authorId="38" shapeId="0" xr:uid="{D48AC44B-9CA1-46EC-AE75-E3403E4AC63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I255" authorId="39" shapeId="0" xr:uid="{28F3BD09-5269-4DDB-B945-710427763714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K258" authorId="40" shapeId="0" xr:uid="{A3365C1C-8DFB-4580-A162-63F13301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S258" authorId="41" shapeId="0" xr:uid="{C5219780-0837-40FD-AFFA-295977CC1CF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M260" authorId="42" shapeId="0" xr:uid="{47B1AA4F-4949-4763-AD5E-409EDFA35A99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B264" authorId="43" shapeId="0" xr:uid="{415AB132-1D13-4E29-ADD6-BCFD04A127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K264" authorId="44" shapeId="0" xr:uid="{2A2E99A3-A37A-490C-B6B0-67CF8E1138B5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M264" authorId="45" shapeId="0" xr:uid="{563BE330-CA0C-4ECC-BCC1-443DC74C3C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K265" authorId="46" shapeId="0" xr:uid="{1DE9994B-CEA9-4FD1-9C08-C01730D3AEA4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AI277" authorId="47" shapeId="0" xr:uid="{9EE4A135-841B-40CD-9629-1A1CA7D8D774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K278" authorId="48" shapeId="0" xr:uid="{A0C6228A-C308-498A-A9DC-0A5A22FEC1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K283" authorId="49" shapeId="0" xr:uid="{80B7722E-9344-46EA-BD7D-4DC88E122060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H294" authorId="50" shapeId="0" xr:uid="{73D26880-9D0A-49A8-91F3-583EBE2684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K294" authorId="51" shapeId="0" xr:uid="{F5FB230E-FA9F-4062-9F77-32B6E4B267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K300" authorId="52" shapeId="0" xr:uid="{EEAE9858-C6BC-4674-82AD-7A51F94D358A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K317" authorId="53" shapeId="0" xr:uid="{C7F6931F-2BFB-41FA-8456-B5975FAA4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K327" authorId="54" shapeId="0" xr:uid="{EAB1AD31-ED7D-43BF-879C-6E19ECF982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</t>
      </text>
    </comment>
    <comment ref="AA330" authorId="55" shapeId="0" xr:uid="{8AF8C711-805C-4EE0-9EDA-863774A807F7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H330" authorId="56" shapeId="0" xr:uid="{B80B2E5A-6E4A-4F9B-BFA9-8B590F9B66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K333" authorId="57" shapeId="0" xr:uid="{F95FF2FF-C91D-493F-9DBE-254F9B1D58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Z334" authorId="12" shapeId="0" xr:uid="{89CE6995-A04C-400E-B5A9-5FEABB24A4A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K335" authorId="12" shapeId="0" xr:uid="{05A70B7C-312B-4491-9A4F-DA7E48C1BB76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K336" authorId="12" shapeId="0" xr:uid="{AB517C86-38C6-4C51-BF3C-3A08A266C593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K337" authorId="12" shapeId="0" xr:uid="{22D4DAAB-E430-4267-973C-433BE3541ACE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K339" authorId="12" shapeId="0" xr:uid="{EDE6AEAB-6B47-4DF4-A3D7-5978F5BE919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M341" authorId="58" shapeId="0" xr:uid="{0C400324-AD6D-4C9B-829C-5B53EA3A19D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K342" authorId="59" shapeId="0" xr:uid="{BEAAF303-9DFD-421F-A349-0B25A457EF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AA359" authorId="19" shapeId="0" xr:uid="{BE9026D3-B0F8-4E2D-B0E8-2EEA054B7646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G381" authorId="60" shapeId="0" xr:uid="{D5250F64-B546-4CC1-A1C1-9763B2298E2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AA384" authorId="19" shapeId="0" xr:uid="{AFE46AA1-0259-4EB9-AAA2-499F23A7E6CF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P408" authorId="61" shapeId="0" xr:uid="{BBF6F4CE-F07D-41D3-8372-50652AE1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K412" authorId="62" shapeId="0" xr:uid="{1D2ED1C2-562A-4B5F-A161-B7FF26D2D9F4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K413" authorId="63" shapeId="0" xr:uid="{8E0FDCC8-88BE-4DB1-AA1F-51CC9D2F750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K414" authorId="64" shapeId="0" xr:uid="{0B583ECC-A15D-4E13-A796-0186DCDFE2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N428" authorId="65" shapeId="0" xr:uid="{95D6AB03-B85D-4DFA-B15F-0E4900BC4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AI437" authorId="66" shapeId="0" xr:uid="{1746A5F0-D8AA-49A5-A643-4715792356F8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I464" authorId="67" shapeId="0" xr:uid="{2A3D63C2-0C67-457D-ADB2-4CA4511C3847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I477" authorId="68" shapeId="0" xr:uid="{D4749DE4-C923-4057-A4A2-4FC8C85AC300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K483" authorId="69" shapeId="0" xr:uid="{8DF9361A-6F20-4C58-A53B-CEB613C17AD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K511" authorId="70" shapeId="0" xr:uid="{C0F20B19-87ED-498A-82B5-62428034A29D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Z516" authorId="71" shapeId="0" xr:uid="{E224B7DD-0B6F-42CF-8701-A7C95FEADF6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A516" authorId="72" shapeId="0" xr:uid="{E436FC25-D9C8-4FBE-9723-705C99D884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G524" authorId="73" shapeId="0" xr:uid="{AC5A4E21-B88F-4410-A703-F07ACA0CB24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AI526" authorId="74" shapeId="0" xr:uid="{5C5A95CF-3A30-4CFA-981E-DF69A67C3ABC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N527" authorId="75" shapeId="0" xr:uid="{5574116C-F95D-4C48-9154-B79E846AD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H552" authorId="76" shapeId="0" xr:uid="{74E37466-8D39-46FE-B742-1E4EB867F8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N555" authorId="77" shapeId="0" xr:uid="{B2648116-1470-46C8-8B58-D09849A9FF18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G558" authorId="78" shapeId="0" xr:uid="{CF75F5F8-1221-4C75-B94C-210FB44ED17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A558" authorId="79" shapeId="0" xr:uid="{AC703897-CAE0-49EE-BDCA-5B0A1FF09DE1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H561" authorId="80" shapeId="0" xr:uid="{F0906D42-2803-4EBD-B1DA-EE8358346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AI565" authorId="81" shapeId="0" xr:uid="{83C00369-958C-482D-B244-31BDA0A6442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K570" authorId="82" shapeId="0" xr:uid="{D776A4ED-D2B3-4E8C-9576-0636129F3D45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K638" authorId="83" shapeId="0" xr:uid="{EDF03E7B-4AA3-4C60-8776-03A3C9EBB7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K670" authorId="84" shapeId="0" xr:uid="{587D1524-392D-45F1-9011-ACFA674C835A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  <comment ref="S686" authorId="85" shapeId="0" xr:uid="{8649BAD5-F8F5-4F68-B4BB-1CBE00CC18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tc={DBED9B2F-09BA-4EB4-B624-96B765FBAE03}</author>
    <author>tc={4AD78B89-4549-4860-BC70-ECC62F7348E4}</author>
    <author>tc={706BF3A2-1CA6-409F-8BC2-3E94963E2EFD}</author>
    <author>tc={15AEDEF2-F0B6-4899-9E0E-ED678B09818A}</author>
    <author>tc={88B6F381-278D-4592-A0F3-8370D562940F}</author>
    <author>McCormick, Peter Michael</author>
    <author>tc={CF916E21-8103-4D7E-8412-059B295ABE69}</author>
    <author>tc={CCCF83F5-2F69-4C07-A342-CFD1DD7B4D37}</author>
    <author>tc={642518E7-A666-4F26-92A4-0823252E2673}</author>
    <author>tc={97C48B21-0A86-44C6-8251-285E493CDAE8}</author>
    <author>tc={487D3BA8-2175-4C88-82F0-1625A49D06EF}</author>
    <author>tc={B026BB56-E8A1-4A1C-8759-389942EC9EBA}</author>
    <author>tc={F7F64683-4797-499A-AEE4-F2B336484CED}</author>
    <author>tc={342882A4-330D-4E89-A56F-B8608A82AD74}</author>
    <author>tc={50FF2F0D-28B5-4048-AD7F-A995DFC59090}</author>
    <author>tc={60C9DA2E-413D-400A-9B05-8B16684385E1}</author>
    <author>tc={B7C7F162-D990-4122-BB6E-45BA0B1278B3}</author>
    <author>tc={5CB0B81F-4873-4F85-94BF-00F9C1676B69}</author>
    <author>tc={1AD07C3C-563B-43E9-BDF5-457C9A027E4F}</author>
    <author>tc={8B671C33-96AE-4016-81C7-503E78663C20}</author>
    <author>tc={8422A05E-BB75-486D-BB3C-7CDB4F3C8327}</author>
    <author>tc={7F39EF51-A9FE-45DC-8601-6388C3773F0D}</author>
    <author>tc={70EDA3E5-EC0C-4749-8A63-E7886796E62F}</author>
    <author>tc={3688A09D-0A14-4B58-B29D-0267AB8304D8}</author>
    <author>tc={2426E45E-21B8-41AB-996F-6C8080217D26}</author>
    <author>tc={BEAF9DB4-9930-4758-909F-6A194C4629EB}</author>
    <author>tc={9491CC10-89A3-4DDF-A451-3CA3F6FB43D1}</author>
    <author>tc={CC3226B6-214B-46DE-B3B9-C4E7D3634BA4}</author>
    <author>tc={0B90C634-0341-47A4-A6F9-333AEF222CE8}</author>
    <author>tc={9FCD7568-168A-4381-A5D4-19A8DA8B9B4B}</author>
    <author>tc={9E93F001-39A5-49FB-90A2-F149EBB1D4E7}</author>
    <author>tc={6DCD32BC-72CD-49AB-93D1-17FDAC157A07}</author>
    <author>tc={5039260F-DF21-4951-85D5-2CB4DF8D7B93}</author>
    <author>tc={6CA05D8B-A2A4-4E3D-85BE-721D75A2A5C2}</author>
    <author>tc={B670355E-B3CC-4934-A9CA-E86B3868CE1C}</author>
    <author>tc={9200B160-6EBB-4BC8-B121-54F6B000724E}</author>
    <author>tc={AD9FB9F6-15E4-4EF3-AA68-AB284F2FC6D5}</author>
    <author>tc={4485289B-DCB8-4AED-89F9-3D9519337A1E}</author>
    <author>tc={E70F0F74-4839-45E8-A802-8DDB1AAC76FD}</author>
    <author>tc={4FD4B1EF-1F69-4749-82A4-8E6EFDE2F5AD}</author>
    <author>tc={8DC36408-20DE-4168-A52A-2272CB17491A}</author>
    <author>tc={B1E6B2BF-F741-4839-AAF3-445A258FE82C}</author>
    <author>tc={760F2587-541F-42BB-876B-47EA142CD3E6}</author>
    <author>tc={A2D2459E-756C-4FDB-9E25-7FD880365BE5}</author>
    <author>tc={3B17FEDB-DAA8-4262-8783-5946E4EA6F87}</author>
    <author>tc={5BB0CB87-EC8F-45B6-862C-F2CC625AD459}</author>
    <author>tc={A8D7468C-E13C-4123-B1C2-CE0453399548}</author>
    <author>tc={D466E726-D857-4280-80FA-CF78728E58B8}</author>
    <author>tc={591E66C2-2D33-46AF-AD03-66453009C4AF}</author>
    <author>tc={589BB113-F764-42EF-8F43-F648040AB019}</author>
    <author>tc={985E6735-FA4E-4010-BB50-2DD2608E5DB9}</author>
    <author>tc={30BA9B79-41DA-4B8E-ABF7-0AF634E2B7BE}</author>
    <author>tc={6D64F887-E5BC-4836-BEA4-451E444136B6}</author>
    <author>tc={2C0C27F0-DB03-4A79-96AE-A20A8DA36E2F}</author>
    <author>tc={43B84416-FAEF-41AD-9AF2-D81EE4850DF2}</author>
    <author>tc={A0D8D884-7B30-4ACE-A3D6-85454DFF08DA}</author>
    <author>tc={F51A4C56-C7E0-4C02-A824-09CA2C2C1615}</author>
    <author>tc={BE9D567E-DF3C-4847-B1D5-C73770751771}</author>
    <author>tc={34077754-CAEE-4B4D-8DFC-87C7D5D75C6C}</author>
    <author>tc={B09AB8D7-2A63-4AF9-8592-4B3F5137F9BD}</author>
    <author>tc={3976CD09-813D-4C15-A60B-23971E597BA2}</author>
    <author>tc={8E689BF7-80CB-4455-87B5-B4822A1EACD0}</author>
    <author>tc={B2771DF8-A8E2-4A41-B551-0F363614D2B7}</author>
    <author>tc={F377CDF0-DC07-4F8C-9C0B-B86788043BC3}</author>
    <author>Panchal, Kinjal (Contractor)</author>
    <author>tc={D228A8FA-F5DB-48D4-A661-6F56971629D0}</author>
    <author>tc={4709805A-A896-42FF-A2A2-D82B4F6FF8BE}</author>
    <author>tc={6A0A6ACB-513D-4D88-8709-245296532CFF}</author>
    <author>tc={A9020808-2B32-46D7-8744-8462DB8D09E6}</author>
    <author>tc={00F6F271-54BE-4B7C-9A97-424E5603490D}</author>
    <author>Rose, Shalisa</author>
    <author>tc={AA8AB50F-AA35-4590-B4B1-7ECDF3287721}</author>
    <author>tc={8ED8AC5D-AB49-440F-9D2D-3F3CCE6E1A68}</author>
    <author>tc={400570AA-440F-4150-BE52-15F5DA94D0EC}</author>
    <author>tc={602CA239-B568-4AEB-A187-70B8F5BE844E}</author>
    <author>tc={60E47E40-8C31-4714-9E68-2631D16679C3}</author>
    <author>tc={7EAF779F-C94D-46E5-AE99-83FFC6557038}</author>
  </authors>
  <commentList>
    <comment ref="P10" authorId="0" shapeId="0" xr:uid="{DBED9B2F-09BA-4EB4-B624-96B765FBAE0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AF15" authorId="1" shapeId="0" xr:uid="{4AD78B89-4549-4860-BC70-ECC62F7348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AM17" authorId="2" shapeId="0" xr:uid="{706BF3A2-1CA6-409F-8BC2-3E94963E2EFD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M18" authorId="3" shapeId="0" xr:uid="{15AEDEF2-F0B6-4899-9E0E-ED678B09818A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U22" authorId="4" shapeId="0" xr:uid="{88B6F381-278D-4592-A0F3-8370D562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I22" authorId="5" shapeId="0" xr:uid="{D5EDFBA4-65F6-4022-92F6-58A887319167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Added $7.3k to match full year Pototal ($357k).</t>
        </r>
      </text>
    </comment>
    <comment ref="AF34" authorId="6" shapeId="0" xr:uid="{CF916E21-8103-4D7E-8412-059B295ABE69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M34" authorId="7" shapeId="0" xr:uid="{CCCF83F5-2F69-4C07-A342-CFD1DD7B4D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P36" authorId="8" shapeId="0" xr:uid="{642518E7-A666-4F26-92A4-0823252E2673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P37" authorId="9" shapeId="0" xr:uid="{97C48B21-0A86-44C6-8251-285E493CDA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U37" authorId="10" shapeId="0" xr:uid="{487D3BA8-2175-4C88-82F0-1625A49D06E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P41" authorId="11" shapeId="0" xr:uid="{B026BB56-E8A1-4A1C-8759-389942EC9EBA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P45" authorId="12" shapeId="0" xr:uid="{F7F64683-4797-499A-AEE4-F2B336484CE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</t>
      </text>
    </comment>
    <comment ref="AF46" authorId="13" shapeId="0" xr:uid="{342882A4-330D-4E89-A56F-B8608A82AD74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M46" authorId="14" shapeId="0" xr:uid="{50FF2F0D-28B5-4048-AD7F-A995DFC590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P48" authorId="15" shapeId="0" xr:uid="{60C9DA2E-413D-400A-9B05-8B16684385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49" authorId="16" shapeId="0" xr:uid="{B7C7F162-D990-4122-BB6E-45BA0B1278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67" authorId="17" shapeId="0" xr:uid="{5CB0B81F-4873-4F85-94BF-00F9C1676B6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P68" authorId="18" shapeId="0" xr:uid="{1AD07C3C-563B-43E9-BDF5-457C9A027E4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</t>
      </text>
    </comment>
    <comment ref="P69" authorId="19" shapeId="0" xr:uid="{8B671C33-96AE-4016-81C7-503E78663C2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</t>
      </text>
    </comment>
    <comment ref="L70" authorId="20" shapeId="0" xr:uid="{8422A05E-BB75-486D-BB3C-7CDB4F3C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P80" authorId="21" shapeId="0" xr:uid="{7F39EF51-A9FE-45DC-8601-6388C3773F0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P81" authorId="22" shapeId="0" xr:uid="{70EDA3E5-EC0C-4749-8A63-E7886796E62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P82" authorId="23" shapeId="0" xr:uid="{3688A09D-0A14-4B58-B29D-0267AB8304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P84" authorId="24" shapeId="0" xr:uid="{2426E45E-21B8-41AB-996F-6C808021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U84" authorId="25" shapeId="0" xr:uid="{BEAF9DB4-9930-4758-909F-6A194C4629E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N84" authorId="26" shapeId="0" xr:uid="{9491CC10-89A3-4DDF-A451-3CA3F6FB43D1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P85" authorId="27" shapeId="0" xr:uid="{CC3226B6-214B-46DE-B3B9-C4E7D3634BA4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X85" authorId="28" shapeId="0" xr:uid="{0B90C634-0341-47A4-A6F9-333AEF222CE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D87" authorId="29" shapeId="0" xr:uid="{9FCD7568-168A-4381-A5D4-19A8DA8B9B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P87" authorId="30" shapeId="0" xr:uid="{9E93F001-39A5-49FB-90A2-F149EBB1D4E7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R87" authorId="31" shapeId="0" xr:uid="{6DCD32BC-72CD-49AB-93D1-17FDAC157A07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AN89" authorId="32" shapeId="0" xr:uid="{5039260F-DF21-4951-85D5-2CB4DF8D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P90" authorId="33" shapeId="0" xr:uid="{6CA05D8B-A2A4-4E3D-85BE-721D75A2A5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P92" authorId="34" shapeId="0" xr:uid="{B670355E-B3CC-4934-A9CA-E86B3868CE1C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P99" authorId="35" shapeId="0" xr:uid="{9200B160-6EBB-4BC8-B121-54F6B0007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U101" authorId="36" shapeId="0" xr:uid="{AD9FB9F6-15E4-4EF3-AA68-AB284F2FC6D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P104" authorId="37" shapeId="0" xr:uid="{4485289B-DCB8-4AED-89F9-3D9519337A1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P105" authorId="38" shapeId="0" xr:uid="{E70F0F74-4839-45E8-A802-8DDB1AAC76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AN111" authorId="39" shapeId="0" xr:uid="{4FD4B1EF-1F69-4749-82A4-8E6EFDE2F5A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S113" authorId="40" shapeId="0" xr:uid="{8DC36408-20DE-4168-A52A-2272CB17491A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X114" authorId="41" shapeId="0" xr:uid="{B1E6B2BF-F741-4839-AAF3-445A258FE8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  <comment ref="P115" authorId="42" shapeId="0" xr:uid="{760F2587-541F-42BB-876B-47EA142CD3E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P116" authorId="43" shapeId="0" xr:uid="{A2D2459E-756C-4FDB-9E25-7FD880365BE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P117" authorId="44" shapeId="0" xr:uid="{3B17FEDB-DAA8-4262-8783-5946E4EA6F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P118" authorId="45" shapeId="0" xr:uid="{5BB0CB87-EC8F-45B6-862C-F2CC625AD4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</t>
      </text>
    </comment>
    <comment ref="P120" authorId="46" shapeId="0" xr:uid="{A8D7468C-E13C-4123-B1C2-CE0453399548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P121" authorId="47" shapeId="0" xr:uid="{D466E726-D857-4280-80FA-CF78728E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P129" authorId="48" shapeId="0" xr:uid="{591E66C2-2D33-46AF-AD03-66453009C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P133" authorId="49" shapeId="0" xr:uid="{589BB113-F764-42EF-8F43-F648040AB01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S134" authorId="50" shapeId="0" xr:uid="{985E6735-FA4E-4010-BB50-2DD2608E5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AN142" authorId="51" shapeId="0" xr:uid="{30BA9B79-41DA-4B8E-ABF7-0AF634E2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N169" authorId="52" shapeId="0" xr:uid="{6D64F887-E5BC-4836-BEA4-451E444136B6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N182" authorId="53" shapeId="0" xr:uid="{2C0C27F0-DB03-4A79-96AE-A20A8DA36E2F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P184" authorId="54" shapeId="0" xr:uid="{43B84416-FAEF-41AD-9AF2-D81EE4850DF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AE196" authorId="55" shapeId="0" xr:uid="{A0D8D884-7B30-4ACE-A3D6-85454DFF08D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F196" authorId="56" shapeId="0" xr:uid="{F51A4C56-C7E0-4C02-A824-09CA2C2C16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L204" authorId="57" shapeId="0" xr:uid="{BE9D567E-DF3C-4847-B1D5-C7377075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AN206" authorId="58" shapeId="0" xr:uid="{34077754-CAEE-4B4D-8DFC-87C7D5D75C6C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M218" authorId="59" shapeId="0" xr:uid="{B09AB8D7-2A63-4AF9-8592-4B3F5137F9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S221" authorId="60" shapeId="0" xr:uid="{3976CD09-813D-4C15-A60B-23971E59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L224" authorId="61" shapeId="0" xr:uid="{8E689BF7-80CB-4455-87B5-B4822A1EAC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F224" authorId="62" shapeId="0" xr:uid="{B2771DF8-A8E2-4A41-B551-0F363614D2B7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M227" authorId="63" shapeId="0" xr:uid="{F377CDF0-DC07-4F8C-9C0B-B86788043BC3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P230" authorId="64" shapeId="0" xr:uid="{56B3789D-9820-40CA-920D-C6FFA99DCC26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R243" authorId="65" shapeId="0" xr:uid="{D228A8FA-F5DB-48D4-A661-6F56971629D0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R249" authorId="66" shapeId="0" xr:uid="{4709805A-A896-42FF-A2A2-D82B4F6FF8BE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R306" authorId="67" shapeId="0" xr:uid="{6A0A6ACB-513D-4D88-8709-245296532CFF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P375" authorId="68" shapeId="0" xr:uid="{A9020808-2B32-46D7-8744-8462DB8D09E6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AM427" authorId="69" shapeId="0" xr:uid="{00F6F271-54BE-4B7C-9A97-424E5603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P430" authorId="70" shapeId="0" xr:uid="{7545ACEE-8511-413A-A4FE-A9AE5C3EF83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P432" authorId="70" shapeId="0" xr:uid="{7F3F77E2-04C2-4751-9A00-A41425338246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AE441" authorId="70" shapeId="0" xr:uid="{10CA50F8-C3DE-4941-8D7F-F564F57DC83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P442" authorId="70" shapeId="0" xr:uid="{0E7194D0-FCFF-4874-BF0B-1346D2A5D979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P443" authorId="70" shapeId="0" xr:uid="{73A96DF9-7A01-4891-A0C2-5A283822ACEC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R445" authorId="71" shapeId="0" xr:uid="{AA8AB50F-AA35-4590-B4B1-7ECDF3287721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P471" authorId="70" shapeId="0" xr:uid="{7AD58556-C8DB-4F84-B745-66B8505A78B7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P496" authorId="70" shapeId="0" xr:uid="{FB3186E9-E972-4BDD-8050-BF1DCE0CD21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AF540" authorId="5" shapeId="0" xr:uid="{F9AFB14B-8DED-47F1-975E-B5D877AE1F60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M543" authorId="72" shapeId="0" xr:uid="{8ED8AC5D-AB49-440F-9D2D-3F3CCE6E1A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P543" authorId="73" shapeId="0" xr:uid="{400570AA-440F-4150-BE52-15F5DA94D0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AF547" authorId="5" shapeId="0" xr:uid="{3F7F6BE4-5794-4B93-B26F-FE91D5BD5BA9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AF549" authorId="5" shapeId="0" xr:uid="{7637B1F5-9A3E-477E-B59A-174DD49B269F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L551" authorId="74" shapeId="0" xr:uid="{602CA239-B568-4AEB-A187-70B8F5BE844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P560" authorId="75" shapeId="0" xr:uid="{60E47E40-8C31-4714-9E68-2631D16679C3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R572" authorId="76" shapeId="0" xr:uid="{7EAF779F-C94D-46E5-AE99-83FFC6557038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tc={A496D44D-8CBE-43BF-930A-2B0D60C8F20D}</author>
    <author>tc={DEC09C4D-CF6B-46F2-BAC9-1520B96E6F84}</author>
    <author>tc={4FA16A44-B316-46B7-9083-8B1EAFB77636}</author>
    <author>tc={79033FA7-6A99-42C1-B95E-EE3DBA0E44CE}</author>
    <author>McCormick, Peter Michael</author>
    <author>tc={2B79DA0C-04EC-44CC-AE9A-F42D494B712D}</author>
    <author>tc={E22E5A1C-2F7A-4000-A115-82FD773582C3}</author>
    <author>tc={7DF2291B-0331-47D7-AC7A-F809977AB40F}</author>
    <author>tc={A21294C1-D382-4CA5-B0C9-494B5B37D508}</author>
    <author>tc={52128C75-4BB7-43A6-B002-55C9A192A756}</author>
    <author>tc={A9816A4F-E38F-47D4-9FB4-487581BE1030}</author>
    <author>tc={10A00D30-AAB0-474A-A616-2982EC77D1DA}</author>
    <author>tc={2600D21B-92AC-4BD6-9F55-84F9B841DC08}</author>
    <author>tc={249F15B0-AB30-4517-8571-55086DC6581D}</author>
    <author>tc={F026523C-8682-46DB-8F77-D4F6E2D57D5F}</author>
  </authors>
  <commentList>
    <comment ref="O4" authorId="0" shapeId="0" xr:uid="{A496D44D-8CBE-43BF-930A-2B0D60C8F20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May i please get more details on actuals. @Wilkins, Tanya</t>
      </text>
    </comment>
    <comment ref="O8" authorId="1" shapeId="0" xr:uid="{DEC09C4D-CF6B-46F2-BAC9-1520B96E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ER90410 - GBS/EF - SUPPORT - TESTING COE in AP02 @Meadows, Leslie
Reply:
    ER97452 - GBS/EF - SUPPORT - TESTING COE</t>
      </text>
    </comment>
    <comment ref="O10" authorId="2" shapeId="0" xr:uid="{4FA16A44-B316-46B7-9083-8B1EAFB776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Where would i be able to get more details on this? Please advise. thank you </t>
      </text>
    </comment>
    <comment ref="O27" authorId="3" shapeId="0" xr:uid="{79033FA7-6A99-42C1-B95E-EE3DBA0E44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  <comment ref="AE34" authorId="4" shapeId="0" xr:uid="{FC4C22E3-83FD-410D-BC71-09F8465F418C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O36" authorId="5" shapeId="0" xr:uid="{2B79DA0C-04EC-44CC-AE9A-F42D494B71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Q37" authorId="6" shapeId="0" xr:uid="{E22E5A1C-2F7A-4000-A115-82FD773582C3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
Reply:
    Moved to Leslie.</t>
      </text>
    </comment>
    <comment ref="O40" authorId="7" shapeId="0" xr:uid="{7DF2291B-0331-47D7-AC7A-F809977AB4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L42" authorId="8" shapeId="0" xr:uid="{A21294C1-D382-4CA5-B0C9-494B5B37D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O42" authorId="9" shapeId="0" xr:uid="{52128C75-4BB7-43A6-B002-55C9A192A7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O45" authorId="10" shapeId="0" xr:uid="{A9816A4F-E38F-47D4-9FB4-487581BE1030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AE49" authorId="4" shapeId="0" xr:uid="{FA3AAA3E-AEB1-4A0E-B4F4-F6E40D863056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K51" authorId="11" shapeId="0" xr:uid="{10A00D30-AAB0-474A-A616-2982EC77D1D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AE53" authorId="4" shapeId="0" xr:uid="{D9997011-3488-4005-8A38-E3C625352768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O63" authorId="12" shapeId="0" xr:uid="{2600D21B-92AC-4BD6-9F55-84F9B841DC0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O69" authorId="13" shapeId="0" xr:uid="{249F15B0-AB30-4517-8571-55086DC658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O92" authorId="14" shapeId="0" xr:uid="{F026523C-8682-46DB-8F77-D4F6E2D57D5F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tc={0E6CBC14-B3CD-43F2-B633-150CD8F85828}</author>
    <author>tc={5C2B52F2-F76C-4F75-BFF8-F4A2E2513CF6}</author>
    <author>tc={0DE261A9-8B03-4FAE-BE5D-C39C6B94CDA8}</author>
    <author>Rose, Shalisa</author>
    <author>tc={6F20DABD-C66E-4B1B-B055-FEFE657DB948}</author>
    <author>tc={CDCD34F5-5165-4D69-8F12-C2EC89E0A173}</author>
    <author>tc={83417AA7-28F4-45A0-B62F-44AC517EC145}</author>
    <author>tc={1C0EDECC-C178-48D9-966E-7715B604DA6C}</author>
    <author>tc={ABE5F31E-8D4F-4C5E-A655-E5128F299FD0}</author>
    <author>tc={E6589EF5-93FA-41D6-B000-D4607E47451B}</author>
    <author>tc={A5F46057-A61B-4DC4-82BA-156662E67101}</author>
    <author>tc={D2EEABD7-7A81-4F9B-B38B-214884BF2FE0}</author>
    <author>tc={0DD2CC13-32A9-4964-B337-236FE8000466}</author>
    <author>tc={74D35650-9874-42C1-98E3-EB948CE90996}</author>
    <author>tc={872BF77E-71C2-44FD-813F-6A383F69D809}</author>
    <author>tc={7B34D555-7B6F-474B-B36C-377172758FD5}</author>
    <author>tc={A492A495-5138-418B-8F84-0FF0B7B7B8E6}</author>
    <author>tc={79D0BC40-B0C9-473E-B095-FBFB2151C803}</author>
    <author>tc={628E0581-B6D7-43DC-8863-4BDF372F8B40}</author>
    <author>tc={B6034955-6EB0-4108-9313-BC48396AF307}</author>
    <author>tc={9FE7A35F-FEF9-4161-8A0F-EF9F72E4C006}</author>
    <author>tc={59EBF210-D798-4FE0-9C44-E813B9D8E4EB}</author>
    <author>tc={54009D15-FEB3-49B7-B3D9-9690F87B4FE8}</author>
    <author>tc={971B23F0-23D1-449E-9A7F-A3BFF1B823F5}</author>
    <author>tc={D038F795-4C50-4B50-848B-D80035932A47}</author>
    <author>tc={0DA15821-98F9-4C94-8843-605E852DEB09}</author>
    <author>tc={A6FD7807-5241-4982-9DFE-080201BECE6D}</author>
    <author>tc={0367CD72-62B0-4306-BB7C-EBF9C8DBEB73}</author>
    <author>tc={CE36106A-FEE8-4A09-9B42-9C33FC37287E}</author>
    <author>tc={8AA4A1EB-AD64-44AB-987A-E5D041D171FD}</author>
    <author>tc={7B1C7ABD-41C7-4650-BD48-0906B3CBE40D}</author>
    <author>tc={1BDF3D31-559B-4F6E-A6BB-7CD9AED2C4C7}</author>
    <author>tc={754C85F6-E5DE-4387-B0C7-97DBC42FFD88}</author>
    <author>tc={3F809F7B-3E0D-4997-ACF8-0975AC1B7D71}</author>
    <author>tc={D3CC9BB5-D9E4-4A38-8F3A-1FD4E8892FC2}</author>
    <author>tc={705D7ED0-08F1-498F-BA16-4E8E9449EFC2}</author>
    <author>tc={AA13F47C-3666-4FD5-AB39-E34C81738292}</author>
    <author>tc={C4A6496A-5C66-4270-91E5-3443C8C90E00}</author>
    <author>Panchal, Kinjal (Contractor)</author>
    <author>tc={74A9B3D8-E386-46DF-9A05-2FBF754427DD}</author>
  </authors>
  <commentList>
    <comment ref="K9" authorId="0" shapeId="0" xr:uid="{0E6CBC14-B3CD-43F2-B633-150CD8F8582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</t>
      </text>
    </comment>
    <comment ref="K40" authorId="1" shapeId="0" xr:uid="{5C2B52F2-F76C-4F75-BFF8-F4A2E2513CF6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</t>
      </text>
    </comment>
    <comment ref="AH73" authorId="2" shapeId="0" xr:uid="{0DE261A9-8B03-4FAE-BE5D-C39C6B94CDA8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K78" authorId="3" shapeId="0" xr:uid="{05750DDC-6389-4A83-9608-B14F8DF9714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K80" authorId="3" shapeId="0" xr:uid="{E29BA008-65C6-44D3-AF2E-D6655DA3DEDC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K136" authorId="4" shapeId="0" xr:uid="{6F20DABD-C66E-4B1B-B055-FEFE657DB94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K140" authorId="5" shapeId="0" xr:uid="{CDCD34F5-5165-4D69-8F12-C2EC89E0A17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K166" authorId="6" shapeId="0" xr:uid="{83417AA7-28F4-45A0-B62F-44AC517EC14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</t>
      </text>
    </comment>
    <comment ref="K177" authorId="7" shapeId="0" xr:uid="{1C0EDECC-C178-48D9-966E-7715B604DA6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 already reduced by $400K as compared to LE0, given to Chris.</t>
      </text>
    </comment>
    <comment ref="AH193" authorId="8" shapeId="0" xr:uid="{ABE5F31E-8D4F-4C5E-A655-E5128F299FD0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Apr-Dec.</t>
      </text>
    </comment>
    <comment ref="H194" authorId="9" shapeId="0" xr:uid="{E6589EF5-93FA-41D6-B000-D4607E47451B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AH211" authorId="10" shapeId="0" xr:uid="{A5F46057-A61B-4DC4-82BA-156662E671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K218" authorId="11" shapeId="0" xr:uid="{D2EEABD7-7A81-4F9B-B38B-214884BF2F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K228" authorId="12" shapeId="0" xr:uid="{0DD2CC13-32A9-4964-B337-236FE800046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P228" authorId="13" shapeId="0" xr:uid="{74D35650-9874-42C1-98E3-EB948CE909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K229" authorId="14" shapeId="0" xr:uid="{872BF77E-71C2-44FD-813F-6A383F69D809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K233" authorId="15" shapeId="0" xr:uid="{7B34D555-7B6F-474B-B36C-377172758F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</t>
      </text>
    </comment>
    <comment ref="K238" authorId="16" shapeId="0" xr:uid="{A492A495-5138-418B-8F84-0FF0B7B7B8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Awaiting on Jen and Jon to confirm.
Reply:
    Ram paid for 1st 3 months and now its under Leslie from April-Dec 2026. 
Reply:
    @Panchal, Kinjal (Contractor) </t>
      </text>
    </comment>
    <comment ref="K239" authorId="17" shapeId="0" xr:uid="{79D0BC40-B0C9-473E-B095-FBFB2151C80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- line item moved to Leslie</t>
      </text>
    </comment>
    <comment ref="K250" authorId="18" shapeId="0" xr:uid="{628E0581-B6D7-43DC-8863-4BDF372F8B4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</t>
      </text>
    </comment>
    <comment ref="H266" authorId="19" shapeId="0" xr:uid="{B6034955-6EB0-4108-9313-BC48396AF3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K266" authorId="20" shapeId="0" xr:uid="{9FE7A35F-FEF9-4161-8A0F-EF9F72E4C0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K288" authorId="21" shapeId="0" xr:uid="{59EBF210-D798-4FE0-9C44-E813B9D8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are 4 PO's - 1 PO9501143554 was incorrectly coded. Added to forecast. 9501143554, 9501157382, 9501158432, 9501157088</t>
      </text>
    </comment>
    <comment ref="AH298" authorId="22" shapeId="0" xr:uid="{54009D15-FEB3-49B7-B3D9-9690F87B4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Z305" authorId="3" shapeId="0" xr:uid="{F5F274E9-B9F2-44D1-9189-0D6F0DB2202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K306" authorId="3" shapeId="0" xr:uid="{91DE1135-DF0F-418F-B4BB-24B9ECBB3CD1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K307" authorId="3" shapeId="0" xr:uid="{F42B2A27-3CAD-4BF0-904A-4726229A3ED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K308" authorId="3" shapeId="0" xr:uid="{A56735BE-F582-488B-81D6-4DF066D561C6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K310" authorId="3" shapeId="0" xr:uid="{7346511D-CDF6-4F90-BABF-75CA65A83324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K340" authorId="23" shapeId="0" xr:uid="{971B23F0-23D1-449E-9A7F-A3BFF1B8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Kinjal to ask Ashish about quarterly charges</t>
      </text>
    </comment>
    <comment ref="K372" authorId="24" shapeId="0" xr:uid="{D038F795-4C50-4B50-848B-D80035932A4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K373" authorId="25" shapeId="0" xr:uid="{0DA15821-98F9-4C94-8843-605E852DEB0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N389" authorId="26" shapeId="0" xr:uid="{A6FD7807-5241-4982-9DFE-080201BEC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K441" authorId="27" shapeId="0" xr:uid="{0367CD72-62B0-4306-BB7C-EBF9C8DBEB73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K461" authorId="28" shapeId="0" xr:uid="{CE36106A-FEE8-4A09-9B42-9C33FC37287E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Z475" authorId="29" shapeId="0" xr:uid="{8AA4A1EB-AD64-44AB-987A-E5D041D171F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Got it. Credit of $76K applied to PO9501258249. Other PO9501258100</t>
      </text>
    </comment>
    <comment ref="N488" authorId="30" shapeId="0" xr:uid="{7B1C7ABD-41C7-4650-BD48-0906B3CBE40D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K497" authorId="31" shapeId="0" xr:uid="{1BDF3D31-559B-4F6E-A6BB-7CD9AED2C4C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K500" authorId="32" shapeId="0" xr:uid="{754C85F6-E5DE-4387-B0C7-97DBC42FFD8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by kinjal</t>
      </text>
    </comment>
    <comment ref="K502" authorId="33" shapeId="0" xr:uid="{3F809F7B-3E0D-4997-ACF8-0975AC1B7D71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monitoring each month - contact Srini. - Kinjal</t>
      </text>
    </comment>
    <comment ref="H513" authorId="34" shapeId="0" xr:uid="{D3CC9BB5-D9E4-4A38-8F3A-1FD4E8892F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N516" authorId="35" shapeId="0" xr:uid="{705D7ED0-08F1-498F-BA16-4E8E9449EFC2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H519" authorId="36" shapeId="0" xr:uid="{AA13F47C-3666-4FD5-AB39-E34C81738292}">
      <text>
        <t>[Threaded comment]
Your version of Excel allows you to read this threaded comment; however, any edits to it will get removed if the file is opened in a newer version of Excel. Learn more: https://go.microsoft.com/fwlink/?linkid=870924
Comment:
    Paul Peterson will be submitting Reclass - Kinjal to contact if not posted as per Srini.
Reply:
    PO?</t>
      </text>
    </comment>
    <comment ref="H522" authorId="37" shapeId="0" xr:uid="{C4A6496A-5C66-4270-91E5-3443C8C90E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PO?</t>
      </text>
    </comment>
    <comment ref="K527" authorId="38" shapeId="0" xr:uid="{B27BF935-73CC-4D99-AEC9-8C203D44C9C1}">
      <text>
        <r>
          <rPr>
            <sz val="11"/>
            <color theme="1"/>
            <rFont val="Aptos Narrow"/>
            <family val="2"/>
            <scheme val="minor"/>
          </rPr>
          <t>Panchal, Kinjal (Contractor):
Leslie</t>
        </r>
      </text>
    </comment>
    <comment ref="K603" authorId="39" shapeId="0" xr:uid="{74A9B3D8-E386-46DF-9A05-2FBF754427DD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tc={6DAAF355-1D0F-4C25-AE58-997BA9C26B8C}</author>
    <author>tc={6BBB9BA2-A361-44DA-83BF-73B37A7121F8}</author>
    <author>tc={90F1D51A-07BD-40FC-8AAC-4201BD8049DF}</author>
    <author>tc={82FD12FC-6207-4570-BEA1-6F2A3B4E4FD3}</author>
    <author>tc={695A2635-1C64-4D6E-BDCD-647E11B63B17}</author>
    <author>McCormick, Peter Michael</author>
    <author>tc={67D32B82-E3C1-41AB-89FB-CDB79109B710}</author>
    <author>tc={DBE21031-7637-4DD8-95CD-8508ED1BE5E5}</author>
    <author>tc={7062AD22-5781-4391-A279-FFF34ED4EF98}</author>
    <author>tc={35FDAE15-AD28-430D-B455-2F1B552F1422}</author>
    <author>tc={50BBD70A-AB6C-4140-83B5-F583A448C2C0}</author>
    <author>tc={070AFBB7-2801-4A00-B9CA-5680C9AA0CA8}</author>
    <author>tc={D3CA0591-5385-4DD2-AC9F-8E88DFE238B0}</author>
    <author>tc={0BC09B4B-C5B4-4766-974E-DC77A844273E}</author>
    <author>tc={5BB6D9C7-3CBE-4ECB-9CF2-4CB625ABF895}</author>
    <author>tc={7BE768B9-B210-48E6-8BA3-CA8CAB44BD27}</author>
    <author>tc={8AE8239E-B9E7-4FEA-A0D7-C2E50ECA1149}</author>
    <author>tc={D4CE80BE-234F-457A-9FCA-8C3F489BAD78}</author>
    <author>tc={7BB506A8-3DDF-4FA1-BF02-CB0BF63CCE1A}</author>
    <author>tc={572D9BBB-EA6A-4F91-8DE8-F838C70881FD}</author>
    <author>tc={FEBED403-2813-40F2-8297-DCAB39B3ABA7}</author>
    <author>tc={4CAED1E9-62C2-4E56-877D-B3D6DF893D86}</author>
    <author>tc={9ACD8285-D9F9-4113-AF32-5BF96811A1A5}</author>
    <author>tc={9AEFDAFB-8C6F-4A96-9F5E-95A7437A978D}</author>
    <author>tc={BB4080D4-8C30-494A-BFB7-4650118A2ED4}</author>
    <author>tc={4F933EDD-D6EA-4720-B30C-56887C114496}</author>
    <author>tc={CD537252-B61D-427E-8B4A-A2540C2BBBED}</author>
    <author>tc={3410B9F3-D19A-4352-8D96-A5C4711CC931}</author>
    <author>tc={2F260CCC-31F3-46B7-B837-011B55325438}</author>
    <author>tc={DF6E5461-3DF5-49DF-82A9-ABEE61B1679A}</author>
    <author>tc={C319B16F-D83D-45A9-8491-BC79D7EA5CD7}</author>
    <author>tc={E52D8A82-225F-4092-A1EA-ECB9946401D9}</author>
    <author>tc={56104B4F-76FE-47F2-97A9-93920449E45D}</author>
    <author>tc={6BAE788A-B5DB-48BA-BBC7-D0E7EC4EC3FE}</author>
    <author>tc={F633B1EC-FF31-4734-8D09-5C86AA656FC4}</author>
    <author>tc={7188CDB5-D970-4112-AF05-1151A2FEBB6F}</author>
    <author>tc={28576F43-30B4-4288-B107-F4659CA32BE9}</author>
    <author>tc={E05E28A2-C200-42C1-A098-78B5FC1BDA78}</author>
    <author>tc={3C3E8037-FAD0-49C1-88AC-22FECCE8A0E8}</author>
    <author>tc={85E1CB5C-A7F0-4D27-AE59-001342D9ACB0}</author>
    <author>tc={A4179622-A99E-4E3F-856B-777CAB1B153C}</author>
    <author>tc={EB025C82-AAAC-46A9-BD3F-52CDEE8E4163}</author>
    <author>tc={711C2FAC-A879-4A1F-99FE-FD501F218A08}</author>
    <author>tc={03E459D7-D326-4738-803D-987632D0708C}</author>
    <author>tc={285537E0-5A3C-4ACF-90F6-5F87F192EE44}</author>
    <author>tc={2106C50C-8737-4EDE-806D-2AC3963DACCF}</author>
    <author>tc={72A212AA-E446-4EF6-B19D-F0DEC836B272}</author>
    <author>tc={1B98DE75-A920-4D91-8CBE-C255E6761FA0}</author>
    <author>tc={384A2C49-84EE-49A0-9141-91D3DE6C0A2C}</author>
    <author>tc={1E327B23-A656-431B-96DF-E0EA99AB9C97}</author>
    <author>tc={FA5E9375-6C23-49CC-BFE9-BB80B4D9AC57}</author>
    <author>tc={132B2BCC-D4EE-46F9-997B-609240576B63}</author>
    <author>tc={A8E84C00-C71B-4398-9630-E88696EF1098}</author>
    <author>tc={44BA5EDE-B5BB-495A-8325-627D5120716F}</author>
    <author>tc={A706CD06-8943-4BBB-AD77-90B6AED266A5}</author>
    <author>tc={F628E277-4197-4285-927E-9E0B33E466C3}</author>
    <author>tc={17D2C959-EA80-48FF-B07D-49EF040EBCE0}</author>
    <author>tc={EA8948F7-C4C3-4B3C-A99E-9BD3D357E60F}</author>
    <author>tc={5ACBFFFE-A204-4AD0-9184-B114061F7D9A}</author>
    <author>tc={303DFE23-965B-4ADC-9833-BD898B73290C}</author>
    <author>tc={160BC4D2-221F-4594-A833-C26DDF19CC68}</author>
    <author>tc={AE4BABE4-7838-4B0E-B2DD-9D824C2FF32E}</author>
    <author>tc={C8DC5228-4003-4994-B205-BF5083586391}</author>
    <author>Panchal, Kinjal (Contractor)</author>
    <author>tc={FD027595-A549-4592-8BA7-E0B2C1A7C14E}</author>
    <author>tc={9B6A9872-AEF6-49EA-9E16-93BEE16F0061}</author>
    <author>tc={C0939CA1-EF87-49AA-99F4-0CE3806CC095}</author>
    <author>tc={4C7C57B9-FF8D-4F1E-8276-601DB2DF554B}</author>
    <author>tc={3F10D5EF-C594-4CAF-8659-D18B122B4CF9}</author>
    <author>Rose, Shalisa</author>
    <author>tc={B1D87BC2-1EEB-4D0D-B42B-EB658F41214F}</author>
    <author>tc={7A0A2E0C-092B-49A9-9A78-9EB4FF8CCBD6}</author>
    <author>tc={55C377C3-DB96-4F99-9A1A-553781D9CF07}</author>
    <author>tc={D411D419-8280-4C2D-9E47-C5592E02F817}</author>
    <author>tc={CC7D6C59-4776-4912-AA5E-4945F52FE9BF}</author>
    <author>tc={2ECF00ED-E0D5-448A-9FFA-388871D1CA17}</author>
    <author>tc={59A7F609-E0E9-4DAB-8796-AE56460F89DD}</author>
    <author>tc={8D5FB9F0-FFB2-440E-81A3-5DA1053726E9}</author>
    <author>tc={F7B13AE2-B64B-406F-B0D3-39E6C47D5852}</author>
    <author>tc={129AB683-11D7-4E48-BC51-5548329B99C6}</author>
    <author>tc={C1D1509F-6AE5-4AF7-BCFE-326BBFF9E446}</author>
    <author>tc={C8241D9B-5E15-45DF-B3B4-2DFAC8DE7B44}</author>
    <author>tc={BF61F92C-56F7-4C2F-83F3-9192E200C6E8}</author>
    <author>tc={2D701043-AA2C-4BEE-B589-3ABB8D03B137}</author>
    <author>tc={4866BDEA-4694-474A-92C5-113AAB2F319D}</author>
    <author>tc={BC2B0B54-ACEF-402D-BBD6-43495404A9BF}</author>
  </authors>
  <commentList>
    <comment ref="P9" authorId="0" shapeId="0" xr:uid="{6DAAF355-1D0F-4C25-AE58-997BA9C26B8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Forecast already reduced by $400K as compared to LE0, given to Chris.</t>
      </text>
    </comment>
    <comment ref="AF14" authorId="1" shapeId="0" xr:uid="{6BBB9BA2-A361-44DA-83BF-73B37A7121F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Initially had $17,440.00, Role transitioned to IBM from Judge - awaiting on new candidate to finalize. Zeroing it out.</t>
      </text>
    </comment>
    <comment ref="AM16" authorId="2" shapeId="0" xr:uid="{90F1D51A-07BD-40FC-8AAC-4201BD8049DF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Jun-Dec.</t>
      </text>
    </comment>
    <comment ref="M17" authorId="3" shapeId="0" xr:uid="{82FD12FC-6207-4570-BEA1-6F2A3B4E4FD3}">
      <text>
        <t>[Threaded comment]
Your version of Excel allows you to read this threaded comment; however, any edits to it will get removed if the file is opened in a newer version of Excel. Learn more: https://go.microsoft.com/fwlink/?linkid=870924
Comment:
    Srinivasan.S.Venkataramanan@pfizer.co - For all BPAI</t>
      </text>
    </comment>
    <comment ref="U21" authorId="4" shapeId="0" xr:uid="{695A2635-1C64-4D6E-BDCD-647E11B63B1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AI21" authorId="5" shapeId="0" xr:uid="{81E376B3-89F8-4E0A-9772-506694EF4F02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Added $7.3k to match full year Pototal ($357k).</t>
        </r>
      </text>
    </comment>
    <comment ref="AF34" authorId="6" shapeId="0" xr:uid="{67D32B82-E3C1-41AB-89FB-CDB79109B710}">
      <text>
        <t>[Threaded comment]
Your version of Excel allows you to read this threaded comment; however, any edits to it will get removed if the file is opened in a newer version of Excel. Learn more: https://go.microsoft.com/fwlink/?linkid=870924
Comment:
    AP05 Accrual reversals on 2 POs</t>
      </text>
    </comment>
    <comment ref="AM34" authorId="7" shapeId="0" xr:uid="{DBE21031-7637-4DD8-95CD-8508ED1B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for April.</t>
      </text>
    </comment>
    <comment ref="P36" authorId="8" shapeId="0" xr:uid="{7062AD22-5781-4391-A279-FFF34ED4EF98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International PO, Currency conversion fluctuates the invoice amounts every month.</t>
      </text>
    </comment>
    <comment ref="P38" authorId="9" shapeId="0" xr:uid="{35FDAE15-AD28-430D-B455-2F1B552F14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U38" authorId="10" shapeId="0" xr:uid="{50BBD70A-AB6C-4140-83B5-F583A448C2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P44" authorId="11" shapeId="0" xr:uid="{070AFBB7-2801-4A00-B9CA-5680C9AA0CA8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P48" authorId="12" shapeId="0" xr:uid="{D3CA0591-5385-4DD2-AC9F-8E88DFE238B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There are 4 PO's - 1 PO9501143554 was incorrectly coded. Added to forecast. 9501143554, 9501157382, 9501158432, 9501157088
Reply:
    @Meadows, Leslie Savings from IBM S2 PO9501158432 for about $80K.</t>
      </text>
    </comment>
    <comment ref="AF49" authorId="13" shapeId="0" xr:uid="{0BC09B4B-C5B4-4766-974E-DC77A844273E}">
      <text>
        <t>[Threaded comment]
Your version of Excel allows you to read this threaded comment; however, any edits to it will get removed if the file is opened in a newer version of Excel. Learn more: https://go.microsoft.com/fwlink/?linkid=870924
Comment:
    $37K Reclass was planned in S2, but as per Leslie getting done it in S1 to keep S2 clean. (Fieldglass PO9501134668 incorrect coding).</t>
      </text>
    </comment>
    <comment ref="AM49" authorId="14" shapeId="0" xr:uid="{5BB6D9C7-3CBE-4ECB-9CF2-4CB625ABF8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Accenture 10% savings added in May.</t>
      </text>
    </comment>
    <comment ref="P51" authorId="15" shapeId="0" xr:uid="{7BE768B9-B210-48E6-8BA3-CA8CAB44BD2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52" authorId="16" shapeId="0" xr:uid="{8AE8239E-B9E7-4FEA-A0D7-C2E50ECA114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WBS got pulled in CC/WBS report.</t>
      </text>
    </comment>
    <comment ref="P69" authorId="17" shapeId="0" xr:uid="{D4CE80BE-234F-457A-9FCA-8C3F489BAD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@Orth, Susan @White, Charlotte Hilliard This should be under Ram from 2027 as the current PO9501062399 is under cc 2335671. Please take this off from Ram's in 2026. thank you 
Reply:
    Forecast zeroed out on 5/1/26 - Give back $183K.
Reply:
    Per Leslie - Fieldglass, no payment is due in 2026 for support under IBM. It will resume in 2027 @ $169,020</t>
      </text>
    </comment>
    <comment ref="P70" authorId="18" shapeId="0" xr:uid="{7BB506A8-3DDF-4FA1-BF02-CB0BF63CCE1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Hello @Meadows, Leslie Do you know who should we reach out to for this line item?
Reply:
    To be discussed with Ram 1:1.</t>
      </text>
    </comment>
    <comment ref="P71" authorId="19" shapeId="0" xr:uid="{572D9BBB-EA6A-4F91-8DE8-F838C70881F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Please advise who should we reach out for this line item? Nothing hit until now.
Reply:
    to be discussed with Ram 1:1</t>
      </text>
    </comment>
    <comment ref="L72" authorId="20" shapeId="0" xr:uid="{FEBED403-2813-40F2-8297-DCAB39B3ABA7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Working with Ram</t>
      </text>
    </comment>
    <comment ref="P82" authorId="21" shapeId="0" xr:uid="{4CAED1E9-62C2-4E56-877D-B3D6DF893D8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May I please get more details on these charges as i couldn't find this in the actuals file. @Wilkins, Tanya</t>
      </text>
    </comment>
    <comment ref="P83" authorId="22" shapeId="0" xr:uid="{9ACD8285-D9F9-4113-AF32-5BF96811A1A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 Please 
change the description to DIGITAL-CLOUD-AWS-CHARGES
Reply:
    Previously FBO BT SUN &amp; Oracle Archival Project</t>
      </text>
    </comment>
    <comment ref="P84" authorId="23" shapeId="0" xr:uid="{9AEFDAFB-8C6F-4A96-9F5E-95A7437A97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Reforecasted from June until EOY as per Ram.</t>
      </text>
    </comment>
    <comment ref="P86" authorId="24" shapeId="0" xr:uid="{BB4080D4-8C30-494A-BFB7-4650118A2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
Reply:
    We have 2 PO's - 9501166164 $4,651,600.00 AND 9501190667 $62,500.00</t>
      </text>
    </comment>
    <comment ref="U86" authorId="25" shapeId="0" xr:uid="{4F933EDD-D6EA-4720-B30C-56887C1144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Leslie's chat, for $245K - $200k is under 1009/46 &amp; 45k is under 'IT-FBT0281-OG-US-00" IBM AMS support agreement </t>
      </text>
    </comment>
    <comment ref="AN86" authorId="26" shapeId="0" xr:uid="{CD537252-B61D-427E-8B4A-A2540C2BBBED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AP05 Auto Accrual</t>
      </text>
    </comment>
    <comment ref="P87" authorId="27" shapeId="0" xr:uid="{3410B9F3-D19A-4352-8D96-A5C4711CC931}">
      <text>
        <t>[Threaded comment]
Your version of Excel allows you to read this threaded comment; however, any edits to it will get removed if the file is opened in a newer version of Excel. Learn more: https://go.microsoft.com/fwlink/?linkid=870924
Comment:
    AMS Support Contract was updated -  (Additional Resource was added)
Reply:
    9501199822, 9501199827 9501196824</t>
      </text>
    </comment>
    <comment ref="X87" authorId="28" shapeId="0" xr:uid="{2F260CCC-31F3-46B7-B837-011B5532543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There seems to be an issue in LE2 &amp; LE3. LE0 already had this forecast in full, so LE2 should as well, but the data is now showing something different. Was it a glitch? Please advise.</t>
      </text>
    </comment>
    <comment ref="D89" authorId="29" shapeId="0" xr:uid="{DF6E5461-3DF5-49DF-82A9-ABEE61B167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Expense category was updated from Managed Services to Contractors </t>
      </text>
    </comment>
    <comment ref="P89" authorId="30" shapeId="0" xr:uid="{C319B16F-D83D-45A9-8491-BC79D7EA5CD7}">
      <text>
        <t>[Threaded comment]
Your version of Excel allows you to read this threaded comment; however, any edits to it will get removed if the file is opened in a newer version of Excel. Learn more: https://go.microsoft.com/fwlink/?linkid=870924
Comment:
    Its a 5 month PO - Removing forecast from July-Dec. thank you 
Reply:
    Leslie opened up IBM PO9501275938, so added forecast from June-Dec to capture the spend.
Reply:
    Created new line under Contractors and moved the forecast for July-December there</t>
      </text>
    </comment>
    <comment ref="R89" authorId="31" shapeId="0" xr:uid="{E52D8A82-225F-4092-A1EA-ECB9946401D9}">
      <text>
        <t>[Threaded comment]
Your version of Excel allows you to read this threaded comment; however, any edits to it will get removed if the file is opened in a newer version of Excel. Learn more: https://go.microsoft.com/fwlink/?linkid=870924
Comment:
    12/2025-5/2026</t>
      </text>
    </comment>
    <comment ref="AN90" authorId="32" shapeId="0" xr:uid="{56104B4F-76FE-47F2-97A9-93920449E45D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Variance because of over auto accruals/reversals.</t>
      </text>
    </comment>
    <comment ref="P92" authorId="33" shapeId="0" xr:uid="{6BAE788A-B5DB-48BA-BBC7-D0E7EC4EC3FE}">
      <text>
        <t>[Threaded comment]
Your version of Excel allows you to read this threaded comment; however, any edits to it will get removed if the file is opened in a newer version of Excel. Learn more: https://go.microsoft.com/fwlink/?linkid=870924
Comment:
    Japan PO - Currency conversion keeps fluctuating actuals every month.</t>
      </text>
    </comment>
    <comment ref="P99" authorId="34" shapeId="0" xr:uid="{F633B1EC-FF31-4734-8D09-5C86AA656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PO9501143554 - Coding needs to be changed, so we don't need to Reclass every month.
Reply:
    Kerry working with Natasha in order to get it corrected.</t>
      </text>
    </comment>
    <comment ref="U101" authorId="35" shapeId="0" xr:uid="{7188CDB5-D970-4112-AF05-1151A2FEBB6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comment</t>
      </text>
    </comment>
    <comment ref="P104" authorId="36" shapeId="0" xr:uid="{28576F43-30B4-4288-B107-F4659CA32BE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P105" authorId="37" shapeId="0" xr:uid="{E05E28A2-C200-42C1-A098-78B5FC1BDA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It was a give back for $26,400.00 in AP04 - I couldnt find any notes or amounts in LE3 - Please advise. thank you 
Reply:
    I see it added in Column "AM" now. thanks </t>
      </text>
    </comment>
    <comment ref="AN110" authorId="38" shapeId="0" xr:uid="{3C3E8037-FAD0-49C1-88AC-22FECCE8A0E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Charges came over in AP04/AP05 than the forecast.</t>
      </text>
    </comment>
    <comment ref="S112" authorId="39" shapeId="0" xr:uid="{85E1CB5C-A7F0-4D27-AE59-001342D9A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(11,125)</t>
      </text>
    </comment>
    <comment ref="X113" authorId="40" shapeId="0" xr:uid="{A4179622-A99E-4E3F-856B-777CAB1B15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@Meadows, Leslie Hello Charlotte, what is this in regards too? Please advise. thank you </t>
      </text>
    </comment>
    <comment ref="P114" authorId="41" shapeId="0" xr:uid="{EB025C82-AAAC-46A9-BD3F-52CDEE8E416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ok to you?</t>
      </text>
    </comment>
    <comment ref="P115" authorId="42" shapeId="0" xr:uid="{711C2FAC-A879-4A1F-99FE-FD501F218A0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@Meadows, Leslie Does this look good?</t>
      </text>
    </comment>
    <comment ref="P116" authorId="43" shapeId="0" xr:uid="{03E459D7-D326-4738-803D-987632D07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>
      </text>
    </comment>
    <comment ref="P117" authorId="44" shapeId="0" xr:uid="{285537E0-5A3C-4ACF-90F6-5F87F192EE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MH - 0017-B: Middleware Integration (~$300K) [CJD] I believe this was a transfer from Lynne DH MH – Yes, this is from the same budget transfer and is recurring.
</t>
      </text>
    </comment>
    <comment ref="P119" authorId="45" shapeId="0" xr:uid="{2106C50C-8737-4EDE-806D-2AC3963DACCF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IT-MGS0202-OG-US-00</t>
      </text>
    </comment>
    <comment ref="P120" authorId="46" shapeId="0" xr:uid="{72A212AA-E446-4EF6-B19D-F0DEC836B272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back.
Reply:
    5/15 CHW - Syniti paid thru 12/30/2027; 2026 Budget Transfer</t>
      </text>
    </comment>
    <comment ref="P128" authorId="47" shapeId="0" xr:uid="{1B98DE75-A920-4D91-8CBE-C255E6761F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@White, Charlotte Hilliard Where would i be able to get more details on this? Please advise. thank you </t>
      </text>
    </comment>
    <comment ref="P135" authorId="48" shapeId="0" xr:uid="{384A2C49-84EE-49A0-9141-91D3DE6C0A2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2026-XFR-0036-A</t>
      </text>
    </comment>
    <comment ref="S136" authorId="49" shapeId="0" xr:uid="{1E327B23-A656-431B-96DF-E0EA99AB9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(146,492.83) - PO9501159633</t>
      </text>
    </comment>
    <comment ref="AN144" authorId="50" shapeId="0" xr:uid="{FA5E9375-6C23-49CC-BFE9-BB80B4D9AC57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N171" authorId="51" shapeId="0" xr:uid="{132B2BCC-D4EE-46F9-997B-609240576B63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AN187" authorId="52" shapeId="0" xr:uid="{A8E84C00-C71B-4398-9630-E88696EF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P189" authorId="53" shapeId="0" xr:uid="{44BA5EDE-B5BB-495A-8325-627D5120716F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11/19/2025 invoiced in full for March 26-27 $2561.61 - PO9501071587</t>
      </text>
    </comment>
    <comment ref="AE201" authorId="54" shapeId="0" xr:uid="{A706CD06-8943-4BBB-AD77-90B6AED266A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- credit applied
Reply:
    @Meadows, Leslie  Credit applied meaning is anyone going to submit Reclass in May? If yes then this amount must have a minus sign so that it is considered as an credit. Please clarify. Thank you 
Reply:
    Credit of $76K applied to PO9501258249. 
PO9501258100</t>
      </text>
    </comment>
    <comment ref="AF201" authorId="55" shapeId="0" xr:uid="{F628E277-4197-4285-927E-9E0B33E466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AP05 Accruals will be reversed and $76K credit will be posted. </t>
      </text>
    </comment>
    <comment ref="L209" authorId="56" shapeId="0" xr:uid="{17D2C959-EA80-48FF-B07D-49EF040EBCE0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Discuss with Kerry
Reply:
    added to June until get more details from Leslie/Kerry.
Reply:
    @Meadows, Leslie @Hoffman, Kerry Do we know what this charges are for Karla? Please advise.</t>
      </text>
    </comment>
    <comment ref="AN211" authorId="57" shapeId="0" xr:uid="{EA8948F7-C4C3-4B3C-A99E-9BD3D357E60F}">
      <text>
        <t>[Threaded comment]
Your version of Excel allows you to read this threaded comment; however, any edits to it will get removed if the file is opened in a newer version of Excel. Learn more: https://go.microsoft.com/fwlink/?linkid=870924
Comment:
    @Wilkins, Tanya @White, Charlotte Hilliard While reconciling - Please consider all 4 WBS's:- IT-SFT1009-86-OG-US   IT-SFT1009-86-OG-US/35   IT-SFT1009-86-OG-US-CB   IT-SFT1247-86-OG-US</t>
      </text>
    </comment>
    <comment ref="M221" authorId="58" shapeId="0" xr:uid="{5ACBFFFE-A204-4AD0-9184-B114061F7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PO9500996366</t>
      </text>
    </comment>
    <comment ref="S224" authorId="59" shapeId="0" xr:uid="{303DFE23-965B-4ADC-9833-BD898B73290C}">
      <text>
        <t>[Threaded comment]
Your version of Excel allows you to read this threaded comment; however, any edits to it will get removed if the file is opened in a newer version of Excel. Learn more: https://go.microsoft.com/fwlink/?linkid=870924
Comment:
    PF: (14,353.40) - PO9501116519</t>
      </text>
    </comment>
    <comment ref="L227" authorId="60" shapeId="0" xr:uid="{160BC4D2-221F-4594-A833-C26DDF19CC6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Paul Peterson will be submitting Reclass - Kinjal to contact if not posted as per Srini. - Moved charges to June.
Reply:
    Awaiting on email reply.
Reply:
    As per Paul, @Meadows, Leslie For reference, $144K was the 2025 renewal amount and $159K was the 2026 renewal amount (10% year-over-year uplift on legacy IBM S&amp;S). For planning, would factor in another 10% or $175,232.64 for 2027
Reply:
    Peterson, Paul D &lt;Paul.Peterson@pfizer.com&gt;</t>
      </text>
    </comment>
    <comment ref="AF227" authorId="61" shapeId="0" xr:uid="{AE4BABE4-7838-4B0E-B2DD-9D824C2FF32E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uplift added to $144,819.00</t>
      </text>
    </comment>
    <comment ref="M230" authorId="62" shapeId="0" xr:uid="{C8DC5228-4003-4994-B205-BF50835863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PO?
Reply:
    PO9501196586</t>
      </text>
    </comment>
    <comment ref="P233" authorId="63" shapeId="0" xr:uid="{3578796A-2EFF-458E-9C70-39D02FE7D699}">
      <text>
        <r>
          <rPr>
            <sz val="11"/>
            <color theme="1"/>
            <rFont val="Aptos Narrow"/>
            <family val="2"/>
            <scheme val="minor"/>
          </rPr>
          <t xml:space="preserve">Panchal, Kinjal (Contractor):
Old PO9501026187 </t>
        </r>
      </text>
    </comment>
    <comment ref="R245" authorId="64" shapeId="0" xr:uid="{FD027595-A549-4592-8BA7-E0B2C1A7C14E}">
      <text>
        <t>[Threaded comment]
Your version of Excel allows you to read this threaded comment; however, any edits to it will get removed if the file is opened in a newer version of Excel. Learn more: https://go.microsoft.com/fwlink/?linkid=870924
Comment:
    2/1/2026-6/30/2026</t>
      </text>
    </comment>
    <comment ref="R251" authorId="65" shapeId="0" xr:uid="{9B6A9872-AEF6-49EA-9E16-93BEE16F0061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</t>
      </text>
    </comment>
    <comment ref="R307" authorId="66" shapeId="0" xr:uid="{C0939CA1-EF87-49AA-99F4-0CE3806CC095}">
      <text>
        <t>[Threaded comment]
Your version of Excel allows you to read this threaded comment; however, any edits to it will get removed if the file is opened in a newer version of Excel. Learn more: https://go.microsoft.com/fwlink/?linkid=870924
Comment:
    1/2026-12/2026</t>
      </text>
    </comment>
    <comment ref="P378" authorId="67" shapeId="0" xr:uid="{4C7C57B9-FF8D-4F1E-8276-601DB2DF554B}">
      <text>
        <t>[Threaded comment]
Your version of Excel allows you to read this threaded comment; however, any edits to it will get removed if the file is opened in a newer version of Excel. Learn more: https://go.microsoft.com/fwlink/?linkid=870924
Comment:
    IT-MGS0203-OG-US-00</t>
      </text>
    </comment>
    <comment ref="AM425" authorId="68" shapeId="0" xr:uid="{3F10D5EF-C594-4CAF-8659-D18B122B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10% Accenture savings added from Apr-Dec</t>
      </text>
    </comment>
    <comment ref="P431" authorId="69" shapeId="0" xr:uid="{27C3615D-887C-4A60-B053-97E85216D658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Reclassed</t>
        </r>
      </text>
    </comment>
    <comment ref="P433" authorId="69" shapeId="0" xr:uid="{C34F6458-85C3-4C65-9B9C-5C99B17138DC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Added WBS</t>
        </r>
      </text>
    </comment>
    <comment ref="AE442" authorId="69" shapeId="0" xr:uid="{AD5E8518-70CF-4675-A7DF-2D823D6349F6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Powerskills credit. Needs to be on a new line</t>
        </r>
      </text>
    </comment>
    <comment ref="P443" authorId="69" shapeId="0" xr:uid="{2F920356-614A-4A00-A963-8388E471FE8B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Replaced with CC-BTF25001-02-EX</t>
        </r>
      </text>
    </comment>
    <comment ref="P444" authorId="69" shapeId="0" xr:uid="{B23D7444-8560-4D9A-B868-58C9479DEA15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Planned in managed services</t>
        </r>
      </text>
    </comment>
    <comment ref="R446" authorId="70" shapeId="0" xr:uid="{B1D87BC2-1EEB-4D0D-B42B-EB658F41214F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4/1/2026-9/30/2026</t>
      </text>
    </comment>
    <comment ref="P473" authorId="69" shapeId="0" xr:uid="{3D1D207F-3FE5-4D3C-910D-B3532414CF7D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'IT-MGS0208-OG-US-00 (managed services)</t>
        </r>
      </text>
    </comment>
    <comment ref="P494" authorId="69" shapeId="0" xr:uid="{36DC4266-0E8A-419E-994D-4190D053C98F}">
      <text>
        <r>
          <rPr>
            <b/>
            <sz val="9"/>
            <color indexed="81"/>
            <rFont val="Tahoma"/>
            <family val="2"/>
          </rPr>
          <t>Rose, Shalisa:</t>
        </r>
        <r>
          <rPr>
            <sz val="9"/>
            <color indexed="81"/>
            <rFont val="Tahoma"/>
            <family val="2"/>
          </rPr>
          <t xml:space="preserve">
Forecast moved to IT-MGS0208-OG-US-00 (software)</t>
        </r>
      </text>
    </comment>
    <comment ref="P532" authorId="71" shapeId="0" xr:uid="{7A0A2E0C-092B-49A9-9A78-9EB4FF8CC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PO9501250402 $55K @Meadows, Leslie
Reply:
    9501250402 coding change to Leslie in May from Ram's, so it's the variance.
Reply:
    9501258229, 9501258235, 9501271398 &amp; Dynatrace/Splunk Reclass</t>
      </text>
    </comment>
    <comment ref="P534" authorId="72" shapeId="0" xr:uid="{55C377C3-DB96-4F99-9A1A-553781D9CF0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@Panchal, Kinjal (Contractor)  to talk to Ram about this spent.
Reply:
    Contacted Ram
Reply:
    It has been moved from Ram to Chris - Task Completed.</t>
      </text>
    </comment>
    <comment ref="M535" authorId="73" shapeId="0" xr:uid="{D411D419-8280-4C2D-9E47-C5592E02F8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Reviewed with Heather in chat.</t>
      </text>
    </comment>
    <comment ref="P535" authorId="74" shapeId="0" xr:uid="{CC7D6C59-4776-4912-AA5E-4945F52FE9B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Contacted Jim &amp; Heather - Kinjal</t>
      </text>
    </comment>
    <comment ref="AF537" authorId="5" shapeId="0" xr:uid="{D331F3A6-326D-4BBB-909C-D285FDF0CAAF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$20k to $19k/month.
</t>
        </r>
      </text>
    </comment>
    <comment ref="L538" authorId="75" shapeId="0" xr:uid="{2ECF00ED-E0D5-448A-9FFA-388871D1CA1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@Hoffman, Kerry Seems like we need to forecast more from June-Dec, seeing the average spent in past 5 months of about $16K per month. (As per LE0, Chris only has $120K budget on this WBS) Please advise.</t>
      </text>
    </comment>
    <comment ref="P540" authorId="76" shapeId="0" xr:uid="{59A7F609-E0E9-4DAB-8796-AE56460F89D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@White, Charlotte Hilliard May i please get more details on this actual? Can't find it in the actuals file.</t>
      </text>
    </comment>
    <comment ref="P544" authorId="77" shapeId="0" xr:uid="{8D5FB9F0-FFB2-440E-81A3-5DA1053726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@Wilkins, Tanya May i please get more details on actuals.</t>
      </text>
    </comment>
    <comment ref="P585" authorId="78" shapeId="0" xr:uid="{F7B13AE2-B64B-406F-B0D3-39E6C47D585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May i please get more details on actuals. @Wilkins, Tanya</t>
      </text>
    </comment>
    <comment ref="P588" authorId="79" shapeId="0" xr:uid="{129AB683-11D7-4E48-BC51-5548329B99C6}">
      <text>
        <t>[Threaded comment]
Your version of Excel allows you to read this threaded comment; however, any edits to it will get removed if the file is opened in a newer version of Excel. Learn more: https://go.microsoft.com/fwlink/?linkid=870924
Comment:
    ER90410 - GBS/EF - SUPPORT - TESTING COE in AP02 @Meadows, Leslie
Reply:
    ER97452 - GBS/EF - SUPPORT - TESTING COE</t>
      </text>
    </comment>
    <comment ref="P590" authorId="80" shapeId="0" xr:uid="{C1D1509F-6AE5-4AF7-BCFE-326BBFF9E4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@White, Charlotte Hilliard Where would i be able to get more details on this? Please advise. thank you </t>
      </text>
    </comment>
    <comment ref="P603" authorId="81" shapeId="0" xr:uid="{C8241D9B-5E15-45DF-B3B4-2DFAC8DE7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AP02 Accrual Reversal - Resource offboarded.</t>
      </text>
    </comment>
    <comment ref="AF608" authorId="5" shapeId="0" xr:uid="{08477A08-F3BC-4E8C-9EC7-7E48CFCE0595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AP06-08 from $56k to $43,318 (avg across AP01-05).</t>
        </r>
      </text>
    </comment>
    <comment ref="R609" authorId="82" shapeId="0" xr:uid="{BF61F92C-56F7-4C2F-83F3-9192E200C6E8}">
      <text>
        <t>[Threaded comment]
Your version of Excel allows you to read this threaded comment; however, any edits to it will get removed if the file is opened in a newer version of Excel. Learn more: https://go.microsoft.com/fwlink/?linkid=870924
Comment:
    1/1/2026-6/30/2026
Reply:
    Moved to Leslie.</t>
      </text>
    </comment>
    <comment ref="P613" authorId="83" shapeId="0" xr:uid="{2D701043-AA2C-4BEE-B589-3ABB8D03B137}">
      <text>
        <t>[Threaded comment]
Your version of Excel allows you to read this threaded comment; however, any edits to it will get removed if the file is opened in a newer version of Excel. Learn more: https://go.microsoft.com/fwlink/?linkid=870924
Comment:
    Dint got pulled in CC/WBS Report</t>
      </text>
    </comment>
    <comment ref="AF619" authorId="5" shapeId="0" xr:uid="{8F50072B-697B-492B-9DF5-1B680ED27295}">
      <text>
        <r>
          <rPr>
            <b/>
            <sz val="9"/>
            <color indexed="81"/>
            <rFont val="Tahoma"/>
            <family val="2"/>
          </rPr>
          <t>McCormick, Peter Michael:</t>
        </r>
        <r>
          <rPr>
            <sz val="9"/>
            <color indexed="81"/>
            <rFont val="Tahoma"/>
            <family val="2"/>
          </rPr>
          <t xml:space="preserve">
Reduced AP06-AP12 from $2,807 to $2,458 bsaed on last 2 months actuals.
</t>
        </r>
      </text>
    </comment>
    <comment ref="P646" authorId="84" shapeId="0" xr:uid="{4866BDEA-4694-474A-92C5-113AAB2F319D}">
      <text>
        <t>[Threaded comment]
Your version of Excel allows you to read this threaded comment; however, any edits to it will get removed if the file is opened in a newer version of Excel. Learn more: https://go.microsoft.com/fwlink/?linkid=870924
Comment:
    @Orth, Susan Increase is due to increase in Licensing fees by DevSecOps.</t>
      </text>
    </comment>
    <comment ref="R688" authorId="85" shapeId="0" xr:uid="{BC2B0B54-ACEF-402D-BBD6-43495404A9BF}">
      <text>
        <t>[Threaded comment]
Your version of Excel allows you to read this threaded comment; however, any edits to it will get removed if the file is opened in a newer version of Excel. Learn more: https://go.microsoft.com/fwlink/?linkid=870924
Comment:
    4/1/2026-6/30/2026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<sst xmlns="http://schemas.openxmlformats.org/spreadsheetml/2006/main" count="76657" uniqueCount="3012">
  <si>
    <t>Expense Category</t>
  </si>
  <si>
    <t>Match</t>
  </si>
  <si>
    <t>Project Code*</t>
  </si>
  <si>
    <t>Grouping</t>
  </si>
  <si>
    <t>Sum of 2026 LE0</t>
  </si>
  <si>
    <t>Sum of LE2 Final Submission</t>
  </si>
  <si>
    <t>Sum of LE3 Final Submission</t>
  </si>
  <si>
    <t>Sum of LE4 Final Submission</t>
  </si>
  <si>
    <t>Sum of AP01</t>
  </si>
  <si>
    <t>Sum of AP02</t>
  </si>
  <si>
    <t>Sum of AP03</t>
  </si>
  <si>
    <t>Sum of AP04</t>
  </si>
  <si>
    <t>Sum of AP05</t>
  </si>
  <si>
    <t>Sum of AP06</t>
  </si>
  <si>
    <t>Sum of AP07</t>
  </si>
  <si>
    <t>Sum of AP08</t>
  </si>
  <si>
    <t>Sum of AP09</t>
  </si>
  <si>
    <t>Sum of AP10</t>
  </si>
  <si>
    <t>Sum of AP11</t>
  </si>
  <si>
    <t>Sum of AP12</t>
  </si>
  <si>
    <t>Sum of 2026 Working Total</t>
  </si>
  <si>
    <t>Sum of 2026 Working Total to Budget/LE</t>
  </si>
  <si>
    <t>COMPENSATION</t>
  </si>
  <si>
    <t>Dougherty, Chris_COMPENSATION_CompBenefits001</t>
  </si>
  <si>
    <t>CompBenefits001</t>
  </si>
  <si>
    <t>None</t>
  </si>
  <si>
    <t>Dougherty, Chris_COMPENSATION_CompBonus001</t>
  </si>
  <si>
    <t>CompBonus001</t>
  </si>
  <si>
    <t>Dougherty, Chris_COMPENSATION_CompSalary001</t>
  </si>
  <si>
    <t>CompSalary001</t>
  </si>
  <si>
    <t>Ganesan, Srinivasan_COMPENSATION_CompBenefits001</t>
  </si>
  <si>
    <t>Ganesan, Srinivasan_COMPENSATION_CompBonus001</t>
  </si>
  <si>
    <t>Ganesan, Srinivasan_COMPENSATION_CompSalary001</t>
  </si>
  <si>
    <t>Hase, Raj_COMPENSATION_CompSalary001</t>
  </si>
  <si>
    <t>Jajodia, Amit_COMPENSATION_CompBenefits001</t>
  </si>
  <si>
    <t>Jajodia, Amit_COMPENSATION_CompBonus001</t>
  </si>
  <si>
    <t>Jajodia, Amit_COMPENSATION_CompSalary001</t>
  </si>
  <si>
    <t>Patel, Apurva_COMPENSATION_CompBenefits001</t>
  </si>
  <si>
    <t>Patel, Apurva_COMPENSATION_CompBenefitsCar001</t>
  </si>
  <si>
    <t>CompBenefitsCar001</t>
  </si>
  <si>
    <t>Patel, Apurva_COMPENSATION_CompBonus001</t>
  </si>
  <si>
    <t>Patel, Apurva_COMPENSATION_CompSalary001</t>
  </si>
  <si>
    <t>Patel, Apurva_COMPENSATION_VacancyFactor001</t>
  </si>
  <si>
    <t>VacancyFactor001</t>
  </si>
  <si>
    <t>Reserve</t>
  </si>
  <si>
    <t>Robertson, Jerome_COMPENSATION_CompBenefits001</t>
  </si>
  <si>
    <t>Robertson, Jerome_COMPENSATION_CompBonus001</t>
  </si>
  <si>
    <t>Robertson, Jerome_COMPENSATION_CompSalary001</t>
  </si>
  <si>
    <t>COMPENSATION Total</t>
  </si>
  <si>
    <t>CONTRACTORS</t>
  </si>
  <si>
    <t>Dougherty, Chris_CONTRACTORS_ColleagueSolutions001</t>
  </si>
  <si>
    <t>ColleagueSolutions001</t>
  </si>
  <si>
    <t>Dougherty, Chris_CONTRACTORS_EnhanceChargeout001</t>
  </si>
  <si>
    <t>EnhanceChargeout001</t>
  </si>
  <si>
    <t>(blank)</t>
  </si>
  <si>
    <t>Dougherty, Chris_CONTRACTORS_EP&amp;SCharges001</t>
  </si>
  <si>
    <t>EP&amp;SCharges001</t>
  </si>
  <si>
    <t>EP&amp;S</t>
  </si>
  <si>
    <t>Dougherty, Chris_CONTRACTORS_IT-CTR0044-OG-US-00</t>
  </si>
  <si>
    <t>IT-CTR0044-OG-US-00</t>
  </si>
  <si>
    <t>Dougherty, Chris_CONTRACTORS_IT-CTR0067-OG-CR-00</t>
  </si>
  <si>
    <t>IT-CTR0067-OG-CR-00</t>
  </si>
  <si>
    <t>Dougherty, Chris_CONTRACTORS_IT-CTR0093-OG-US-00</t>
  </si>
  <si>
    <t>IT-CTR0093-OG-US-00</t>
  </si>
  <si>
    <t>2024 Transfer</t>
  </si>
  <si>
    <t>Dougherty, Chris_CONTRACTORS_IT-CTR0094-OG-US-00</t>
  </si>
  <si>
    <t>IT-CTR0094-OG-US-00</t>
  </si>
  <si>
    <t>SAP</t>
  </si>
  <si>
    <t>Dougherty, Chris_CONTRACTORS_IT-CTR0096-OG-US-00</t>
  </si>
  <si>
    <t>IT-CTR0096-OG-US-00</t>
  </si>
  <si>
    <t>Dougherty, Chris_CONTRACTORS_IT-CTR0097-OG-US-00</t>
  </si>
  <si>
    <t>IT-CTR0097-OG-US-00</t>
  </si>
  <si>
    <t>Dougherty, Chris_CONTRACTORS_IT-CTR0098-OG-US-00</t>
  </si>
  <si>
    <t>IT-CTR0098-OG-US-00</t>
  </si>
  <si>
    <t>Dougherty, Chris_CONTRACTORS_IT-CTR0099-OG-US-00</t>
  </si>
  <si>
    <t>IT-CTR0099-OG-US-00</t>
  </si>
  <si>
    <t>Dougherty, Chris_CONTRACTORS_IT-CTR0101-OG-US-00</t>
  </si>
  <si>
    <t>IT-CTR0101-OG-US-00</t>
  </si>
  <si>
    <t>Dougherty, Chris_CONTRACTORS_IT-CTR0102-OG-US-00</t>
  </si>
  <si>
    <t>IT-CTR0102-OG-US-00</t>
  </si>
  <si>
    <t>Dougherty, Chris_CONTRACTORS_IT-CTR0103-OG-US-00</t>
  </si>
  <si>
    <t>IT-CTR0103-OG-US-00</t>
  </si>
  <si>
    <t>Dougherty, Chris_CONTRACTORS_IT-CTR0105-OG-US-00</t>
  </si>
  <si>
    <t>IT-CTR0105-OG-US-00</t>
  </si>
  <si>
    <t>Dougherty, Chris_CONTRACTORS_IT-CTR0130-OG-US-00</t>
  </si>
  <si>
    <t>IT-CTR0130-OG-US-00</t>
  </si>
  <si>
    <t>Dougherty, Chris_CONTRACTORS_IT-CTR0132-OT-US-00</t>
  </si>
  <si>
    <t>IT-CTR0132-OT-US-00</t>
  </si>
  <si>
    <t>Dougherty, Chris_CONTRACTORS_IT-CTR0132-OT-US-00/BDC</t>
  </si>
  <si>
    <t>IT-CTR0132-OT-US-00/BDC</t>
  </si>
  <si>
    <t>Dougherty, Chris_CONTRACTORS_IT-CTR0132-OT-US-00/Colalborate 360</t>
  </si>
  <si>
    <t>IT-CTR0132-OT-US-00/Colalborate 360</t>
  </si>
  <si>
    <t>Dougherty, Chris_CONTRACTORS_IT-CTR0132-OT-US-00/iERP</t>
  </si>
  <si>
    <t>IT-CTR0132-OT-US-00/iERP</t>
  </si>
  <si>
    <t>Dougherty, Chris_CONTRACTORS_IT-CTR0132-OT-US-00/S4 Innovation</t>
  </si>
  <si>
    <t>IT-CTR0132-OT-US-00/S4 Innovation</t>
  </si>
  <si>
    <t>Dougherty, Chris_CONTRACTORS_IT-CTR0132-OT-US-01</t>
  </si>
  <si>
    <t>IT-CTR0132-OT-US-01</t>
  </si>
  <si>
    <t>Dougherty, Chris_CONTRACTORS_IT-CTR0132-OT-US-02</t>
  </si>
  <si>
    <t>IT-CTR0132-OT-US-02</t>
  </si>
  <si>
    <t>Dougherty, Chris_CONTRACTORS_IT-CTR0132-OT-US-03</t>
  </si>
  <si>
    <t>IT-CTR0132-OT-US-03</t>
  </si>
  <si>
    <t>Dougherty, Chris_CONTRACTORS_IT-CTR0132-OT-US-04</t>
  </si>
  <si>
    <t>IT-CTR0132-OT-US-04</t>
  </si>
  <si>
    <t>Dougherty, Chris_CONTRACTORS_IT-CTR0140-OT-US-00</t>
  </si>
  <si>
    <t>IT-CTR0140-OT-US-00</t>
  </si>
  <si>
    <t>Dougherty, Chris_CONTRACTORS_IT-CTR0147-OG-US-00</t>
  </si>
  <si>
    <t>IT-CTR0147-OG-US-00</t>
  </si>
  <si>
    <t>Dougherty, Chris_CONTRACTORS_IT-CTR0148-OG-US-00</t>
  </si>
  <si>
    <t>IT-CTR0148-OG-US-00</t>
  </si>
  <si>
    <t>Dougherty, Chris_CONTRACTORS_IT-CTR0150-OG-US-00</t>
  </si>
  <si>
    <t>IT-CTR0150-OG-US-00</t>
  </si>
  <si>
    <t>Dougherty, Chris_CONTRACTORS_IT-FBT0066-OG-IN-00</t>
  </si>
  <si>
    <t>IT-FBT0066-OG-IN-00</t>
  </si>
  <si>
    <t>India</t>
  </si>
  <si>
    <t>Dougherty, Chris_CONTRACTORS_IT-FBT0213-OG-US-00</t>
  </si>
  <si>
    <t>IT-FBT0213-OG-US-00</t>
  </si>
  <si>
    <t>Dougherty, Chris_CONTRACTORS_IT-FBT0219-OG-US-00</t>
  </si>
  <si>
    <t>IT-FBT0219-OG-US-00</t>
  </si>
  <si>
    <t>MuleSoft</t>
  </si>
  <si>
    <t>Dougherty, Chris_CONTRACTORS_IT-FBT0245-OG-US-00</t>
  </si>
  <si>
    <t>IT-FBT0245-OG-US-00</t>
  </si>
  <si>
    <t>EIH</t>
  </si>
  <si>
    <t>Dougherty, Chris_CONTRACTORS_IT-FBT0393-OG-JP-00</t>
  </si>
  <si>
    <t>IT-FBT0393-OG-JP-00</t>
  </si>
  <si>
    <t>Dougherty, Chris_CONTRACTORS_IT-FBT0509-OG-US-00</t>
  </si>
  <si>
    <t>IT-FBT0509-OG-US-00</t>
  </si>
  <si>
    <t>BlueBoot</t>
  </si>
  <si>
    <t>Dougherty, Chris_CONTRACTORS_IT-FBT0636-OG-IN-00</t>
  </si>
  <si>
    <t>IT-FBT0636-OG-IN-00</t>
  </si>
  <si>
    <t>Dougherty, Chris_CONTRACTORS_IT-FBT0637-OG-IN-00</t>
  </si>
  <si>
    <t>IT-FBT0637-OG-IN-00</t>
  </si>
  <si>
    <t>Dougherty, Chris_CONTRACTORS_IT-FBT0770-OT-US-00</t>
  </si>
  <si>
    <t>IT-FBT0770-OT-US-00</t>
  </si>
  <si>
    <t>Dougherty, Chris_CONTRACTORS_IT-FBT0780-OT-US-00</t>
  </si>
  <si>
    <t>IT-FBT0780-OT-US-00</t>
  </si>
  <si>
    <t>Dougherty, Chris_CONTRACTORS_IT-FBT0801-OG-US-00</t>
  </si>
  <si>
    <t>IT-FBT0801-OG-US-00</t>
  </si>
  <si>
    <t>Dougherty, Chris_CONTRACTORS_IT-FBT0826-OG-US-00</t>
  </si>
  <si>
    <t>IT-FBT0826-OG-US-00</t>
  </si>
  <si>
    <t>Dougherty, Chris_CONTRACTORS_IT-FBT0831-OT-US-00</t>
  </si>
  <si>
    <t>IT-FBT0831-OT-US-00</t>
  </si>
  <si>
    <t>Dougherty, Chris_CONTRACTORS_IT-FBT0832-OT-US-00</t>
  </si>
  <si>
    <t>IT-FBT0832-OT-US-00</t>
  </si>
  <si>
    <t>Dougherty, Chris_CONTRACTORS_IT-MGS0168-OG-US-00</t>
  </si>
  <si>
    <t>IT-MGS0168-OG-US-00</t>
  </si>
  <si>
    <t>Dougherty, Chris_CONTRACTORS_MISC001</t>
  </si>
  <si>
    <t>MISC001</t>
  </si>
  <si>
    <t>Dougherty, Chris_CONTRACTORS_POClosure001</t>
  </si>
  <si>
    <t>POClosure001</t>
  </si>
  <si>
    <t>Ganesan, Srinivasan_CONTRACTORS_2026-XFR-0023-A</t>
  </si>
  <si>
    <t>2026-XFR-0023-A</t>
  </si>
  <si>
    <t>2026 Budget Transfer</t>
  </si>
  <si>
    <t>Ganesan, Srinivasan_CONTRACTORS_2026-XFR-0024-A</t>
  </si>
  <si>
    <t>2026-XFR-0024-A</t>
  </si>
  <si>
    <t>Ganesan, Srinivasan_CONTRACTORS_2026-XFR-0043-A</t>
  </si>
  <si>
    <t>2026-XFR-0043-A</t>
  </si>
  <si>
    <t>Ganesan, Srinivasan_CONTRACTORS_2026-XFR-0051-A</t>
  </si>
  <si>
    <t>2026-XFR-0051-A</t>
  </si>
  <si>
    <t>Ganesan, Srinivasan_CONTRACTORS_EnhanceChargeout001</t>
  </si>
  <si>
    <t>Ganesan, Srinivasan_CONTRACTORS_IT-CTR0040-OG-US-00</t>
  </si>
  <si>
    <t>IT-CTR0040-OG-US-00</t>
  </si>
  <si>
    <t>Ganesan, Srinivasan_CONTRACTORS_IT-CTR0045-OG-US-00</t>
  </si>
  <si>
    <t>IT-CTR0045-OG-US-00</t>
  </si>
  <si>
    <t>Ganesan, Srinivasan_CONTRACTORS_IT-CTR0049-OG-US-00</t>
  </si>
  <si>
    <t>IT-CTR0049-OG-US-00</t>
  </si>
  <si>
    <t>Ganesan, Srinivasan_CONTRACTORS_IT-CTR0075-OG-MX-00</t>
  </si>
  <si>
    <t>IT-CTR0075-OG-MX-00</t>
  </si>
  <si>
    <t>Ganesan, Srinivasan_CONTRACTORS_IT-CTR0076-OG-MX-00</t>
  </si>
  <si>
    <t>IT-CTR0076-OG-MX-00</t>
  </si>
  <si>
    <t>Ganesan, Srinivasan_CONTRACTORS_IT-CTR0077-OG-MX-00</t>
  </si>
  <si>
    <t>IT-CTR0077-OG-MX-00</t>
  </si>
  <si>
    <t>Ganesan, Srinivasan_CONTRACTORS_IT-CTR0149-OG-US-00</t>
  </si>
  <si>
    <t>IT-CTR0149-OG-US-00</t>
  </si>
  <si>
    <t>Ganesan, Srinivasan_CONTRACTORS_IT-CTR0153-OG-US-00</t>
  </si>
  <si>
    <t>IT-CTR0153-OG-US-00</t>
  </si>
  <si>
    <t>Ganesan, Srinivasan_CONTRACTORS_IT-FBT0544-OG-US-00</t>
  </si>
  <si>
    <t>IT-FBT0544-OG-US-00</t>
  </si>
  <si>
    <t>Ganesan, Srinivasan_CONTRACTORS_IT-FBT0545-OG-US-00</t>
  </si>
  <si>
    <t>IT-FBT0545-OG-US-00</t>
  </si>
  <si>
    <t>Ganesan, Srinivasan_CONTRACTORS_IT-FBT0546-OG-US-00</t>
  </si>
  <si>
    <t>IT-FBT0546-OG-US-00</t>
  </si>
  <si>
    <t>Ganesan, Srinivasan_CONTRACTORS_IT-FBT0657-OG-US-00</t>
  </si>
  <si>
    <t>IT-FBT0657-OG-US-00</t>
  </si>
  <si>
    <t>Ganesan, Srinivasan_CONTRACTORS_IT-FBT0661-OG-US-00</t>
  </si>
  <si>
    <t>IT-FBT0661-OG-US-00</t>
  </si>
  <si>
    <t>Ganesan, Srinivasan_CONTRACTORS_IT-FBT0778-OT-US-00</t>
  </si>
  <si>
    <t>IT-FBT0778-OT-US-00</t>
  </si>
  <si>
    <t>Metastorm</t>
  </si>
  <si>
    <t>Ganesan, Srinivasan_CONTRACTORS_IT-FBT0784-OG-US-00</t>
  </si>
  <si>
    <t>IT-FBT0784-OG-US-00</t>
  </si>
  <si>
    <t>Ganesan, Srinivasan_CONTRACTORS_IT-FBT0790-OG-US-00</t>
  </si>
  <si>
    <t>IT-FBT0790-OG-US-00</t>
  </si>
  <si>
    <t>Ganesan, Srinivasan_CONTRACTORS_IT-SFT1205-86-OG-US</t>
  </si>
  <si>
    <t>IT-SFT1205-86-OG-US</t>
  </si>
  <si>
    <t>Ganesan, Srinivasan_CONTRACTORS_MISC001</t>
  </si>
  <si>
    <t>Ganesan, Srinivasan_CONTRACTORS_POClosure001</t>
  </si>
  <si>
    <t>Hase, Raj_CONTRACTORS_ColleagueSolutions001</t>
  </si>
  <si>
    <t>Hase, Raj_CONTRACTORS_EnhanceChargeout001</t>
  </si>
  <si>
    <t>Hase, Raj_CONTRACTORS_EP&amp;SCharges001</t>
  </si>
  <si>
    <t>Hase, Raj_CONTRACTORS_IT-FBT0450-OG-US-00</t>
  </si>
  <si>
    <t>IT-FBT0450-OG-US-00</t>
  </si>
  <si>
    <t>Hase, Raj_CONTRACTORS_MISC001</t>
  </si>
  <si>
    <t>Hase, Raj_CONTRACTORS_POClosure001</t>
  </si>
  <si>
    <t>Herman, Shaun_CONTRACTORS_EP&amp;SCharges001</t>
  </si>
  <si>
    <t>Herman, Shaun_CONTRACTORS_IT-CTR0024-OG-US-00</t>
  </si>
  <si>
    <t>IT-CTR0024-OG-US-00</t>
  </si>
  <si>
    <t>Herman, Shaun_CONTRACTORS_IT-CTR0037-OG-US-00</t>
  </si>
  <si>
    <t>IT-CTR0037-OG-US-00</t>
  </si>
  <si>
    <t>Herman, Shaun_CONTRACTORS_IT-CTR0039-OG-US-00</t>
  </si>
  <si>
    <t>IT-CTR0039-OG-US-00</t>
  </si>
  <si>
    <t>Herman, Shaun_CONTRACTORS_IT-CTR0046-OG-US-00</t>
  </si>
  <si>
    <t>IT-CTR0046-OG-US-00</t>
  </si>
  <si>
    <t>Herman, Shaun_CONTRACTORS_IT-FBT0262-OG-US-00</t>
  </si>
  <si>
    <t>IT-FBT0262-OG-US-00</t>
  </si>
  <si>
    <t>Herman, Shaun_CONTRACTORS_IT-FBT0541-OG-US-00</t>
  </si>
  <si>
    <t>IT-FBT0541-OG-US-00</t>
  </si>
  <si>
    <t>Ariba / EP&amp;S</t>
  </si>
  <si>
    <t>Herman, Shaun_CONTRACTORS_IT-FBT0702-OG-US-00</t>
  </si>
  <si>
    <t>IT-FBT0702-OG-US-00</t>
  </si>
  <si>
    <t>Herman, Shaun_CONTRACTORS_IT-FBT0779-OT-US-00</t>
  </si>
  <si>
    <t>IT-FBT0779-OT-US-00</t>
  </si>
  <si>
    <t>Herman, Shaun_CONTRACTORS_IT-OTH0063-OG-US-00</t>
  </si>
  <si>
    <t>IT-OTH0063-OG-US-00</t>
  </si>
  <si>
    <t>Herman, Shaun_CONTRACTORS_IT-PBS0936-OT-US-00</t>
  </si>
  <si>
    <t>IT-PBS0936-OT-US-00</t>
  </si>
  <si>
    <t>Herman, Shaun_CONTRACTORS_MISC001</t>
  </si>
  <si>
    <t>Herman, Shaun_CONTRACTORS_POClosure001</t>
  </si>
  <si>
    <t>Hovanyetz, Mike_CONTRACTORS_EnhanceChargeout001</t>
  </si>
  <si>
    <t>Hovanyetz, Mike_CONTRACTORS_IT-CTR0151-OG-US-00</t>
  </si>
  <si>
    <t>IT-CTR0151-OG-US-00</t>
  </si>
  <si>
    <t>Hovanyetz, Mike_CONTRACTORS_IT-FBT0450-OG-US-00</t>
  </si>
  <si>
    <t>CLD</t>
  </si>
  <si>
    <t>Hovanyetz, Mike_CONTRACTORS_IT-SFT1458-OG-US-00</t>
  </si>
  <si>
    <t>IT-SFT1458-OG-US-00</t>
  </si>
  <si>
    <t>Hovanyetz, Mike_CONTRACTORS_IT-SFT1459-OG-US-00</t>
  </si>
  <si>
    <t>IT-SFT1459-OG-US-00</t>
  </si>
  <si>
    <t>Hovanyetz, Mike_CONTRACTORS_MISC001</t>
  </si>
  <si>
    <t>Jajodia, Amit_CONTRACTORS_2026-XFR-0028-A</t>
  </si>
  <si>
    <t>2026-XFR-0028-A</t>
  </si>
  <si>
    <t>Jajodia, Amit_CONTRACTORS_2026-XFR-0050-A</t>
  </si>
  <si>
    <t>2026-XFR-0050-A</t>
  </si>
  <si>
    <t>Jajodia, Amit_CONTRACTORS_2026-XFR-0053-A</t>
  </si>
  <si>
    <t>2026-XFR-0053-A</t>
  </si>
  <si>
    <t>Jajodia, Amit_CONTRACTORS_2026-XFR-0054-A</t>
  </si>
  <si>
    <t>2026-XFR-0054-A</t>
  </si>
  <si>
    <t>Jajodia, Amit_CONTRACTORS_EnhanceChargeout001</t>
  </si>
  <si>
    <t>Jajodia, Amit_CONTRACTORS_IT-CTR0023-OG-US-00</t>
  </si>
  <si>
    <t>IT-CTR0023-OG-US-00</t>
  </si>
  <si>
    <t>Jajodia, Amit_CONTRACTORS_IT-CTR0027-OG-US-00</t>
  </si>
  <si>
    <t>IT-CTR0027-OG-US-00</t>
  </si>
  <si>
    <t>Jajodia, Amit_CONTRACTORS_IT-CTR0030-OG-US-00</t>
  </si>
  <si>
    <t>IT-CTR0030-OG-US-00</t>
  </si>
  <si>
    <t>Jajodia, Amit_CONTRACTORS_IT-CTR0031-OG-US-00</t>
  </si>
  <si>
    <t>IT-CTR0031-OG-US-00</t>
  </si>
  <si>
    <t>Jajodia, Amit_CONTRACTORS_IT-CTR0034-OG-US-00</t>
  </si>
  <si>
    <t>IT-CTR0034-OG-US-00</t>
  </si>
  <si>
    <t>Jajodia, Amit_CONTRACTORS_IT-CTR0041-OG-US-00</t>
  </si>
  <si>
    <t>IT-CTR0041-OG-US-00</t>
  </si>
  <si>
    <t>Jajodia, Amit_CONTRACTORS_IT-CTR0045-OG-US-00</t>
  </si>
  <si>
    <t>Jajodia, Amit_CONTRACTORS_IT-CTR0090-OG-US-00</t>
  </si>
  <si>
    <t>IT-CTR0090-OG-US-00</t>
  </si>
  <si>
    <t>Jajodia, Amit_CONTRACTORS_IT-FBT0757-OG-US-00</t>
  </si>
  <si>
    <t>IT-FBT0757-OG-US-00</t>
  </si>
  <si>
    <t>Jajodia, Amit_CONTRACTORS_IT-FBT0771-OG-US-00</t>
  </si>
  <si>
    <t>IT-FBT0771-OG-US-00</t>
  </si>
  <si>
    <t>Jajodia, Amit_CONTRACTORS_IT-FBT0785-OG-US-00</t>
  </si>
  <si>
    <t>IT-FBT0785-OG-US-00</t>
  </si>
  <si>
    <t>Jajodia, Amit_CONTRACTORS_MISC001</t>
  </si>
  <si>
    <t>Jajodia, Amit_CONTRACTORS_POClosure001</t>
  </si>
  <si>
    <t>Patel, Apurva_CONTRACTORS_CC-BTF25001-02-EX</t>
  </si>
  <si>
    <t>CC-BTF25001-02-EX</t>
  </si>
  <si>
    <t>Digital Funded Project</t>
  </si>
  <si>
    <t>Patel, Apurva_CONTRACTORS_CE-BTF22001-02-EX</t>
  </si>
  <si>
    <t>CE-BTF22001-02-EX</t>
  </si>
  <si>
    <t>Digital Funded Project; 2023 Carry-over project</t>
  </si>
  <si>
    <t>Patel, Apurva_CONTRACTORS_CE-BTF24000-02-EX</t>
  </si>
  <si>
    <t>CE-BTF24000-02-EX</t>
  </si>
  <si>
    <t>Patel, Apurva_CONTRACTORS_CE-BTF24002-02-EX</t>
  </si>
  <si>
    <t>CE-BTF24002-02-EX</t>
  </si>
  <si>
    <t>Patel, Apurva_CONTRACTORS_CE-BTF24003-02-EX</t>
  </si>
  <si>
    <t>CE-BTF24003-02-EX</t>
  </si>
  <si>
    <t>Patel, Apurva_CONTRACTORS_CE-BTF26000-02-EX</t>
  </si>
  <si>
    <t>CE-BTF26000-02-EX</t>
  </si>
  <si>
    <t>Patel, Apurva_CONTRACTORS_EP&amp;SCharges001</t>
  </si>
  <si>
    <t>Patel, Apurva_CONTRACTORS_ERP_Digital Funded Project_002</t>
  </si>
  <si>
    <t>ERP_Digital Funded Project_002</t>
  </si>
  <si>
    <t>Patel, Apurva_CONTRACTORS_ERP_DigitalFundedProject001</t>
  </si>
  <si>
    <t>ERP_DigitalFundedProject001</t>
  </si>
  <si>
    <t>Patel, Apurva_CONTRACTORS_ERP_ProjectQuantaME001</t>
  </si>
  <si>
    <t>ERP_ProjectQuantaME001</t>
  </si>
  <si>
    <t>ME</t>
  </si>
  <si>
    <t>Patel, Apurva_CONTRACTORS_IT-CTR0034-OG-US-00</t>
  </si>
  <si>
    <t>Patel, Apurva_CONTRACTORS_IT-CTR0041-OG-US-00</t>
  </si>
  <si>
    <t>Patel, Apurva_CONTRACTORS_IT-CTR0089-OG-US-00</t>
  </si>
  <si>
    <t>IT-CTR0089-OG-US-00</t>
  </si>
  <si>
    <t>Billing Related - Datacenter Hosting Products</t>
  </si>
  <si>
    <t>Patel, Apurva_CONTRACTORS_IT-CTR0124-OT-US-00</t>
  </si>
  <si>
    <t>IT-CTR0124-OT-US-00</t>
  </si>
  <si>
    <t>Patel, Apurva_CONTRACTORS_IT-FBT0748-OT-US-00</t>
  </si>
  <si>
    <t>IT-FBT0748-OT-US-00</t>
  </si>
  <si>
    <t>Patel, Apurva_CONTRACTORS_IT-FBT0934-OT-US-00</t>
  </si>
  <si>
    <t>IT-FBT0934-OT-US-00</t>
  </si>
  <si>
    <t>Digital Funded Project (2025 One-time project)</t>
  </si>
  <si>
    <t>Patel, Apurva_CONTRACTORS_IT-FBT0992-OT-US-00</t>
  </si>
  <si>
    <t>IT-FBT0992-OT-US-00</t>
  </si>
  <si>
    <t>Patel, Apurva_CONTRACTORS_IT-FBT1017-OT-US-00</t>
  </si>
  <si>
    <t>IT-FBT1017-OT-US-00</t>
  </si>
  <si>
    <t>Patel, Apurva_CONTRACTORS_IT-FBU0828-OT-US-00</t>
  </si>
  <si>
    <t>IT-FBU0828-OT-US-00</t>
  </si>
  <si>
    <t>Digital Funded Projects</t>
  </si>
  <si>
    <t>Patel, Apurva_CONTRACTORS_IT-FBU0966-OT-US-00</t>
  </si>
  <si>
    <t>IT-FBU0966-OT-US-00</t>
  </si>
  <si>
    <t>Patel, Apurva_CONTRACTORS_IT-PBU0901-OT-US-00</t>
  </si>
  <si>
    <t>IT-PBU0901-OT-US-00</t>
  </si>
  <si>
    <t>Patel, Apurva_CONTRACTORS_IT-PBU1059-OT-US-00</t>
  </si>
  <si>
    <t>IT-PBU1059-OT-US-00</t>
  </si>
  <si>
    <t>Patel, Apurva_CONTRACTORS_IT-PBU1070-OT-IE-00</t>
  </si>
  <si>
    <t>IT-PBU1070-OT-IE-00</t>
  </si>
  <si>
    <t>Patel, Apurva_CONTRACTORS_MISC001</t>
  </si>
  <si>
    <t>Patel, Apurva_CONTRACTORS_PR-320001-0000007901</t>
  </si>
  <si>
    <t>PR-320001-0000007901</t>
  </si>
  <si>
    <t>Patel, Apurva_CONTRACTORS_PR-587101-0000007986</t>
  </si>
  <si>
    <t>PR-587101-0000007986</t>
  </si>
  <si>
    <t>Robertson, Jerome_CONTRACTORS_EnhanceChargeout001</t>
  </si>
  <si>
    <t>Robertson, Jerome_CONTRACTORS_EP&amp;SCharges001</t>
  </si>
  <si>
    <t>Robertson, Jerome_CONTRACTORS_IT-FBT0572-OG-US-00</t>
  </si>
  <si>
    <t>IT-FBT0572-OG-US-00</t>
  </si>
  <si>
    <t>Dev Factory</t>
  </si>
  <si>
    <t>Robertson, Jerome_CONTRACTORS_IT-FBT0573-OG-US-00</t>
  </si>
  <si>
    <t>IT-FBT0573-OG-US-00</t>
  </si>
  <si>
    <t>Robertson, Jerome_CONTRACTORS_MISC001</t>
  </si>
  <si>
    <t>CONTRACTORS Total</t>
  </si>
  <si>
    <t>DEPRECIATION</t>
  </si>
  <si>
    <t>Dougherty, Chris_DEPRECIATION_ERP_Depre001</t>
  </si>
  <si>
    <t>Ganesan, Srinivasan_DEPRECIATION_ERP_Depre001</t>
  </si>
  <si>
    <t>ERP_Depre001</t>
  </si>
  <si>
    <t>Patel, Apurva_DEPRECIATION_ERP_Depre001</t>
  </si>
  <si>
    <t>Patel, Apurva_DEPRECIATION_ERP_DepreAUC001</t>
  </si>
  <si>
    <t>ERP_DepreAUC001</t>
  </si>
  <si>
    <t>AUC</t>
  </si>
  <si>
    <t>DEPRECIATION Total</t>
  </si>
  <si>
    <t>HW MAINTENANCE</t>
  </si>
  <si>
    <t>Dougherty, Chris_HW MAINTENANCE_2026-XFR-ML001</t>
  </si>
  <si>
    <t>2026-XFR-ML001</t>
  </si>
  <si>
    <t>Dougherty, Chris_HW MAINTENANCE_2026-XFR-ML002</t>
  </si>
  <si>
    <t>2026-XFR-ML002</t>
  </si>
  <si>
    <t>Dougherty, Chris_HW MAINTENANCE_2026-XFR-ML003</t>
  </si>
  <si>
    <t>2026-XFR-ML003</t>
  </si>
  <si>
    <t>Dougherty, Chris_HW MAINTENANCE_BILLINGSWEEP005</t>
  </si>
  <si>
    <t>BillingSweep005</t>
  </si>
  <si>
    <t>Dougherty, Chris_HW MAINTENANCE_BILLINGSWEEP011</t>
  </si>
  <si>
    <t>BillingSweep011</t>
  </si>
  <si>
    <t>Dougherty, Chris_HW MAINTENANCE_BILLINGSWEEP012</t>
  </si>
  <si>
    <t>BillingSweep012</t>
  </si>
  <si>
    <t>Dougherty, Chris_HW MAINTENANCE_BILLINGSWEEP016</t>
  </si>
  <si>
    <t>BillingSweep016</t>
  </si>
  <si>
    <t>Dougherty, Chris_HW MAINTENANCE_BILLINGSWEEP017</t>
  </si>
  <si>
    <t>BILLINGSWEEP017</t>
  </si>
  <si>
    <t>Dougherty, Chris_HW MAINTENANCE_BILLINGSWEEP019</t>
  </si>
  <si>
    <t>BillingSweep019</t>
  </si>
  <si>
    <t>Dougherty, Chris_HW MAINTENANCE_BillSweepMisc</t>
  </si>
  <si>
    <t>BillSweepMisc</t>
  </si>
  <si>
    <t>Dougherty, Chris_HW MAINTENANCE_EP&amp;SCharges001</t>
  </si>
  <si>
    <t>Dougherty, Chris_HW MAINTENANCE_IT-FGS0299-OG-US-00</t>
  </si>
  <si>
    <t>IT-FGS0299-OG-US-00</t>
  </si>
  <si>
    <t>Dougherty, Chris_HW MAINTENANCE_IT-HRD0003-OG-US-DH</t>
  </si>
  <si>
    <t>IT-HRD0003-OG-US-DH</t>
  </si>
  <si>
    <t>Power 10s; 2026 Pullforward</t>
  </si>
  <si>
    <t>Dougherty, Chris_HW MAINTENANCE_IT-HRD0003-OG-US-DH/PF</t>
  </si>
  <si>
    <t>IT-HRD0003-OG-US-DH/PF</t>
  </si>
  <si>
    <t>Dougherty, Chris_HW MAINTENANCE_IT-HRD0004-OG-US-SS</t>
  </si>
  <si>
    <t>IT-HRD0004-OG-US-SS</t>
  </si>
  <si>
    <t>Dougherty, Chris_HW MAINTENANCE_IT-HRD0004-OG-US-SS/PF</t>
  </si>
  <si>
    <t>IT-HRD0004-OG-US-SS/PF</t>
  </si>
  <si>
    <t>Dougherty, Chris_HW MAINTENANCE_MISC001</t>
  </si>
  <si>
    <t>Patel, Apurva_HW MAINTENANCE_BillingSweep005</t>
  </si>
  <si>
    <t>Patel, Apurva_HW MAINTENANCE_BILLINGSWEEP011</t>
  </si>
  <si>
    <t>Patel, Apurva_HW MAINTENANCE_BILLINGSWEEP016</t>
  </si>
  <si>
    <t>Patel, Apurva_HW MAINTENANCE_BILLINGSWEEP017</t>
  </si>
  <si>
    <t>Patel, Apurva_HW MAINTENANCE_BillSweepMisc</t>
  </si>
  <si>
    <t>Patel, Apurva_HW MAINTENANCE_IT-FGS0299-OG-US-00</t>
  </si>
  <si>
    <t>Patel, Apurva_HW MAINTENANCE_IT-HRD0058-OG-US-00</t>
  </si>
  <si>
    <t>IT-HRD0058-OG-US-00</t>
  </si>
  <si>
    <t>Patel, Apurva_HW MAINTENANCE_MISC001</t>
  </si>
  <si>
    <t>Robertson, Jerome_HW MAINTENANCE_EP&amp;SCharges001</t>
  </si>
  <si>
    <t>Robertson, Jerome_HW MAINTENANCE_IT-FGS0299-OG-US-00</t>
  </si>
  <si>
    <t>Robertson, Jerome_HW MAINTENANCE_MISC001</t>
  </si>
  <si>
    <t>HW MAINTENANCE Total</t>
  </si>
  <si>
    <t>MANAGED SERVICES</t>
  </si>
  <si>
    <t>Dougherty, Chris_MANAGED SERVICES_2026-XFR-0008-B</t>
  </si>
  <si>
    <t>2026-XFR-0008-B</t>
  </si>
  <si>
    <t>Dougherty, Chris_MANAGED SERVICES_2026-XFR-0017-C</t>
  </si>
  <si>
    <t>2026-XFR-0017-C</t>
  </si>
  <si>
    <t>Dougherty, Chris_MANAGED SERVICES_2026-XFR-0017-D</t>
  </si>
  <si>
    <t>2026-XFR-0017-D</t>
  </si>
  <si>
    <t>Dougherty, Chris_MANAGED SERVICES_2026-XFR-0020-A</t>
  </si>
  <si>
    <t>2026-XFR-0020-A</t>
  </si>
  <si>
    <t>2026 Budget Transfer; AMS</t>
  </si>
  <si>
    <t>Dougherty, Chris_MANAGED SERVICES_AD-RAOCBINT3-PD-15-US-00</t>
  </si>
  <si>
    <t>AD-RAOCBINT3-PD-15-US-00</t>
  </si>
  <si>
    <t>Dougherty, Chris_MANAGED SERVICES_AR-700001184-1400</t>
  </si>
  <si>
    <t>AR-700001184-1400</t>
  </si>
  <si>
    <t>Dougherty, Chris_MANAGED SERVICES_BILLINGREV001</t>
  </si>
  <si>
    <t>BillingRev001</t>
  </si>
  <si>
    <t>Billing Related - Cloud Brokerage</t>
  </si>
  <si>
    <t>Dougherty, Chris_MANAGED SERVICES_BillingRev019</t>
  </si>
  <si>
    <t>BillingRev019</t>
  </si>
  <si>
    <t>Billing Related - UC4 Automic</t>
  </si>
  <si>
    <t>Dougherty, Chris_MANAGED SERVICES_BILLINGSWEEP005</t>
  </si>
  <si>
    <t>Dougherty, Chris_MANAGED SERVICES_BILLINGSWEEP006</t>
  </si>
  <si>
    <t>BILLINGSWEEP006</t>
  </si>
  <si>
    <t>Dougherty, Chris_MANAGED SERVICES_BILLINGSWEEP011</t>
  </si>
  <si>
    <t>Dougherty, Chris_MANAGED SERVICES_BILLINGSWEEP021</t>
  </si>
  <si>
    <t>BillingSweep021</t>
  </si>
  <si>
    <t>Dougherty, Chris_MANAGED SERVICES_BillSweepMisc</t>
  </si>
  <si>
    <t>Dougherty, Chris_MANAGED SERVICES_EnhanceChargeout001</t>
  </si>
  <si>
    <t>Dougherty, Chris_MANAGED SERVICES_EP&amp;SCharges001</t>
  </si>
  <si>
    <t>Dougherty, Chris_MANAGED SERVICES_IT-17BTF01-01</t>
  </si>
  <si>
    <t>IT-17BTF01-01</t>
  </si>
  <si>
    <t>Dougherty, Chris_MANAGED SERVICES_IT-CTR0044-OG-US-00</t>
  </si>
  <si>
    <t>Dougherty, Chris_MANAGED SERVICES_IT-FBT0074-OG-US-00</t>
  </si>
  <si>
    <t>IT-FBT0074-OG-US-00</t>
  </si>
  <si>
    <t>Dougherty, Chris_MANAGED SERVICES_IT-FBT0210-OG-US-00</t>
  </si>
  <si>
    <t>IT-FBT0210-OG-US-00</t>
  </si>
  <si>
    <t>Dougherty, Chris_MANAGED SERVICES_IT-FBT0281-OG-US-00</t>
  </si>
  <si>
    <t>IT-FBT0281-OG-US-00</t>
  </si>
  <si>
    <t>BTAMS</t>
  </si>
  <si>
    <t>Dougherty, Chris_MANAGED SERVICES_IT-FBT0282-OG-US-00</t>
  </si>
  <si>
    <t>IT-FBT0282-OG-US-00</t>
  </si>
  <si>
    <t>Dougherty, Chris_MANAGED SERVICES_IT-FBT0288-OG-BE-00</t>
  </si>
  <si>
    <t>IT-FBT0288-OG-BE-00</t>
  </si>
  <si>
    <t>Car</t>
  </si>
  <si>
    <t>Dougherty, Chris_MANAGED SERVICES_IT-FBT0393-OG-JP-00</t>
  </si>
  <si>
    <t>Japan</t>
  </si>
  <si>
    <t>Dougherty, Chris_MANAGED SERVICES_IT-FBT0524-OG-US-00</t>
  </si>
  <si>
    <t>IT-FBT0524-OG-US-00</t>
  </si>
  <si>
    <t>Dougherty, Chris_MANAGED SERVICES_IT-FBT0528-OG-US-00</t>
  </si>
  <si>
    <t>IT-FBT0528-OG-US-00</t>
  </si>
  <si>
    <t>Ariba</t>
  </si>
  <si>
    <t>Dougherty, Chris_MANAGED SERVICES_IT-FBT0587-OG-US-00</t>
  </si>
  <si>
    <t>IT-FBT0587-OG-US-00</t>
  </si>
  <si>
    <t>Dougherty, Chris_MANAGED SERVICES_IT-FBT0588-OG-US-00</t>
  </si>
  <si>
    <t>IT-FBT0588-OG-US-00</t>
  </si>
  <si>
    <t>Dougherty, Chris_MANAGED SERVICES_IT-FBT0638-OG-JP-00</t>
  </si>
  <si>
    <t>IT-FBT0638-OG-JP-00</t>
  </si>
  <si>
    <t>Dougherty, Chris_MANAGED SERVICES_IT-FBT0651-OG-US-00</t>
  </si>
  <si>
    <t>IT-FBT0651-OG-US-00</t>
  </si>
  <si>
    <t>Dougherty, Chris_MANAGED SERVICES_IT-FBT0665-OG-US-00</t>
  </si>
  <si>
    <t>IT-FBT0665-OG-US-00</t>
  </si>
  <si>
    <t>Dougherty, Chris_MANAGED SERVICES_IT-FBT0675-OG-US-00</t>
  </si>
  <si>
    <t>IT-FBT0675-OG-US-00</t>
  </si>
  <si>
    <t>Dougherty, Chris_MANAGED SERVICES_IT-FBT0693-OG-US-00</t>
  </si>
  <si>
    <t>IT-FBT0693-OG-US-00</t>
  </si>
  <si>
    <t>Dougherty, Chris_MANAGED SERVICES_IT-FBT0700-OG-US-00</t>
  </si>
  <si>
    <t>IT-FBT0700-OG-US-00</t>
  </si>
  <si>
    <t>Dougherty, Chris_MANAGED SERVICES_IT-FBT0753-OT-US-00</t>
  </si>
  <si>
    <t>IT-FBT0753-OT-US-00</t>
  </si>
  <si>
    <t>Dougherty, Chris_MANAGED SERVICES_IT-FBT0769-OT-US-00</t>
  </si>
  <si>
    <t>IT-FBT0769-OT-US-00</t>
  </si>
  <si>
    <t>Dougherty, Chris_MANAGED SERVICES_IT-FBT0770-OT-US-00</t>
  </si>
  <si>
    <t>Dougherty, Chris_MANAGED SERVICES_IT-FBT0780-OT-US-00</t>
  </si>
  <si>
    <t>Dougherty, Chris_MANAGED SERVICES_IT-FGS0296-OG-US-00</t>
  </si>
  <si>
    <t>IT-FGS0296-OG-US-00</t>
  </si>
  <si>
    <t>Dougherty, Chris_MANAGED SERVICES_IT-FGS0299-OG-US-00</t>
  </si>
  <si>
    <t>Dougherty, Chris_MANAGED SERVICES_IT-FGS0301-OG-US-00</t>
  </si>
  <si>
    <t>IT-FGS0301-OG-US-00</t>
  </si>
  <si>
    <t>Dougherty, Chris_MANAGED SERVICES_IT-HRD0005-OG-US-SS</t>
  </si>
  <si>
    <t>IT-HRD0005-OG-US-SS</t>
  </si>
  <si>
    <t>Dougherty, Chris_MANAGED SERVICES_IT-HRD0006-OG-US-DH</t>
  </si>
  <si>
    <t>IT-HRD0006-OG-US-DH</t>
  </si>
  <si>
    <t>Dougherty, Chris_MANAGED SERVICES_IT-MGS0168-OG-US-00</t>
  </si>
  <si>
    <t>Dougherty, Chris_MANAGED SERVICES_IT-MGS0202-OG-US-00</t>
  </si>
  <si>
    <t>IT-MGS0202-OG-US-00</t>
  </si>
  <si>
    <t>Dougherty, Chris_MANAGED SERVICES_IT-MGS0203-OG-US-00</t>
  </si>
  <si>
    <t>IT-MGS0203-OG-US-00</t>
  </si>
  <si>
    <t>Dougherty, Chris_MANAGED SERVICES_IT-MGS0204-OG-US-00</t>
  </si>
  <si>
    <t>IT-MGS0204-OG-US-00</t>
  </si>
  <si>
    <t>AMS</t>
  </si>
  <si>
    <t>Dougherty, Chris_MANAGED SERVICES_IT-MGS0205-OG-US-00</t>
  </si>
  <si>
    <t>IT-MGS0205-OG-US-00</t>
  </si>
  <si>
    <t>Dougherty, Chris_MANAGED SERVICES_IT-MGS0207-OG-US-00</t>
  </si>
  <si>
    <t>IT-MGS0207-OG-US-00</t>
  </si>
  <si>
    <t>Dougherty, Chris_MANAGED SERVICES_IT-MGS0209-OG-US-00</t>
  </si>
  <si>
    <t>IT-MGS0209-OG-US-00</t>
  </si>
  <si>
    <t>Dougherty, Chris_MANAGED SERVICES_IT-SFT1282-86-OG-US</t>
  </si>
  <si>
    <t>IT-SFT1282-86-OG-US</t>
  </si>
  <si>
    <t>Billing Related - File Transfer/Autosys Cloud</t>
  </si>
  <si>
    <t>Dougherty, Chris_MANAGED SERVICES_IT-SFT1434-OG-US-00</t>
  </si>
  <si>
    <t>IT-SFT1434-OG-US-00</t>
  </si>
  <si>
    <t>AIOPS</t>
  </si>
  <si>
    <t>Dougherty, Chris_MANAGED SERVICES_MISC001</t>
  </si>
  <si>
    <t>Ganesan, Srinivasan_MANAGED SERVICES_EnhanceChargeout001</t>
  </si>
  <si>
    <t>Ganesan, Srinivasan_MANAGED SERVICES_EP&amp;SCharges001</t>
  </si>
  <si>
    <t>Ganesan, Srinivasan_MANAGED SERVICES_IT-FBT0658-OG-US-00</t>
  </si>
  <si>
    <t>IT-FBT0658-OG-US-00</t>
  </si>
  <si>
    <t>Ganesan, Srinivasan_MANAGED SERVICES_IT-FBT0659-OG-US-00</t>
  </si>
  <si>
    <t>IT-FBT0659-OG-US-00</t>
  </si>
  <si>
    <t>Ganesan, Srinivasan_MANAGED SERVICES_IT-FBT0660-OG-US-00</t>
  </si>
  <si>
    <t>IT-FBT0660-OG-US-00</t>
  </si>
  <si>
    <t>Ganesan, Srinivasan_MANAGED SERVICES_IT-FBT0661-OG-US-00</t>
  </si>
  <si>
    <t>Ganesan, Srinivasan_MANAGED SERVICES_IT-FBT0778-OT-US-00</t>
  </si>
  <si>
    <t>Ganesan, Srinivasan_MANAGED SERVICES_IT-FBT0779-OT-US-00</t>
  </si>
  <si>
    <t>Ganesan, Srinivasan_MANAGED SERVICES_IT-FBT0793-OG-US-00</t>
  </si>
  <si>
    <t>IT-FBT0793-OG-US-00</t>
  </si>
  <si>
    <t>Ganesan, Srinivasan_MANAGED SERVICES_IT-FBT0793-OG-US-00/CB</t>
  </si>
  <si>
    <t>IT-FBT0793-OG-US-00/CB</t>
  </si>
  <si>
    <t>Ganesan, Srinivasan_MANAGED SERVICES_IT-FBT0798-OG-BE-00</t>
  </si>
  <si>
    <t>IT-FBT0798-OG-BE-00</t>
  </si>
  <si>
    <t>Ganesan, Srinivasan_MANAGED SERVICES_IT-FBT0799-OG-MX-00</t>
  </si>
  <si>
    <t>IT-FBT0799-OG-MX-00</t>
  </si>
  <si>
    <t>Ganesan, Srinivasan_MANAGED SERVICES_IT-FGS0301-OG-US-00</t>
  </si>
  <si>
    <t>Ganesan, Srinivasan_MANAGED SERVICES_MISC001</t>
  </si>
  <si>
    <t>Ganesan, Srinivasan_MANAGED SERVICES_PR-252001-0000007901</t>
  </si>
  <si>
    <t>PR-252001-0000007901</t>
  </si>
  <si>
    <t>Hase, Raj_MANAGED SERVICES_2026-XFR-0014-A</t>
  </si>
  <si>
    <t>2026-XFR-0014-A</t>
  </si>
  <si>
    <t>Hase, Raj_MANAGED SERVICES_2026-XFR-0033-A</t>
  </si>
  <si>
    <t>2026-XFR-0033-A</t>
  </si>
  <si>
    <t>Hase, Raj_MANAGED SERVICES_2026-XFR-0035-A</t>
  </si>
  <si>
    <t>2026-XFR-0035-A</t>
  </si>
  <si>
    <t>Hase, Raj_MANAGED SERVICES_BILLINGSWEEP006</t>
  </si>
  <si>
    <t>Hase, Raj_MANAGED SERVICES_CE-BTF22001-02-EX</t>
  </si>
  <si>
    <t>Hase, Raj_MANAGED SERVICES_EnhanceChargeout001</t>
  </si>
  <si>
    <t>Hase, Raj_MANAGED SERVICES_EP&amp;SCharges001</t>
  </si>
  <si>
    <t>Hase, Raj_MANAGED SERVICES_IT-FBT0157-OG-US-00</t>
  </si>
  <si>
    <t>IT-FBT0157-OG-US-00</t>
  </si>
  <si>
    <t>Hase, Raj_MANAGED SERVICES_IT-FBT0450-OG-US-00</t>
  </si>
  <si>
    <t>Hase, Raj_MANAGED SERVICES_IT-FBT0769-OT-US-00</t>
  </si>
  <si>
    <t>Hase, Raj_MANAGED SERVICES_IT-FBT0824-OT-US-00</t>
  </si>
  <si>
    <t>IT-FBT0824-OT-US-00</t>
  </si>
  <si>
    <t>Snowflake</t>
  </si>
  <si>
    <t>Hase, Raj_MANAGED SERVICES_IT-FGS0299-OG-US-00</t>
  </si>
  <si>
    <t>Hase, Raj_MANAGED SERVICES_IT-FGS0301-OG-US-00</t>
  </si>
  <si>
    <t>Hase, Raj_MANAGED SERVICES_IT-MGS0210-OG-US-00</t>
  </si>
  <si>
    <t>IT-MGS0210-OG-US-00</t>
  </si>
  <si>
    <t>Hase, Raj_MANAGED SERVICES_IT-SFT1436-OG-US-00</t>
  </si>
  <si>
    <t>IT-SFT1436-OG-US-00</t>
  </si>
  <si>
    <t>Hase, Raj_MANAGED SERVICES_MISC001</t>
  </si>
  <si>
    <t>Herman, Shaun_MANAGED SERVICES_EP&amp;SCharges001</t>
  </si>
  <si>
    <t>Herman, Shaun_MANAGED SERVICES_IT-FBT0262-OG-US-00</t>
  </si>
  <si>
    <t>Herman, Shaun_MANAGED SERVICES_IT-FBT0541-OG-US-00</t>
  </si>
  <si>
    <t>Herman, Shaun_MANAGED SERVICES_IT-FGS0299-OG-US-00</t>
  </si>
  <si>
    <t>Herman, Shaun_MANAGED SERVICES_IT-FGS0301-OG-US-00</t>
  </si>
  <si>
    <t>Herman, Shaun_MANAGED SERVICES_MISC001</t>
  </si>
  <si>
    <t>Hovanyetz, Mike_MANAGED SERVICES_2026-XFR-0017-C</t>
  </si>
  <si>
    <t>Hovanyetz, Mike_MANAGED SERVICES_2026-XFR-0017-D</t>
  </si>
  <si>
    <t>Hovanyetz, Mike_MANAGED SERVICES_2026-XFR-0020-A</t>
  </si>
  <si>
    <t>Hovanyetz, Mike_MANAGED SERVICES_EnhanceChargeout001</t>
  </si>
  <si>
    <t>Hovanyetz, Mike_MANAGED SERVICES_EP&amp;SCharges001</t>
  </si>
  <si>
    <t>Hovanyetz, Mike_MANAGED SERVICES_IT-FBT0157-OG-US-00</t>
  </si>
  <si>
    <t>Hovanyetz, Mike_MANAGED SERVICES_IT-FBT0450-OG-US-00</t>
  </si>
  <si>
    <t>Hovanyetz, Mike_MANAGED SERVICES_IT-FBT0824-OT-US-00</t>
  </si>
  <si>
    <t>Hovanyetz, Mike_MANAGED SERVICES_IT-FGS0301-OG-US-00</t>
  </si>
  <si>
    <t>Hovanyetz, Mike_MANAGED SERVICES_MISC001</t>
  </si>
  <si>
    <t>Jajodia, Amit_MANAGED SERVICES_EnhanceChargeout001</t>
  </si>
  <si>
    <t>Jajodia, Amit_MANAGED SERVICES_IT-FBT0659-OG-US-00</t>
  </si>
  <si>
    <t>Jajodia, Amit_MANAGED SERVICES_IT-FBT0660-OG-US-00</t>
  </si>
  <si>
    <t>Jajodia, Amit_MANAGED SERVICES_IT-FBT0772-OG-US-00</t>
  </si>
  <si>
    <t>IT-FBT0772-OG-US-00</t>
  </si>
  <si>
    <t>Jajodia, Amit_MANAGED SERVICES_IT-FGS0301-OG-US-00</t>
  </si>
  <si>
    <t>Patel, Apurva_MANAGED SERVICES_BILLINGREV001</t>
  </si>
  <si>
    <t>Patel, Apurva_MANAGED SERVICES_BillingSweep005</t>
  </si>
  <si>
    <t>Patel, Apurva_MANAGED SERVICES_BILLINGSWEEP011</t>
  </si>
  <si>
    <t>Patel, Apurva_MANAGED SERVICES_BILLINGSWEEP021</t>
  </si>
  <si>
    <t>Patel, Apurva_MANAGED SERVICES_BillSweepMisc</t>
  </si>
  <si>
    <t>Patel, Apurva_MANAGED SERVICES_CC-BTF25001-02-EX</t>
  </si>
  <si>
    <t>Patel, Apurva_MANAGED SERVICES_CE-BTF22001-02-EX</t>
  </si>
  <si>
    <t>Patel, Apurva_MANAGED SERVICES_CE-BTF24003-02-EX</t>
  </si>
  <si>
    <t>Patel, Apurva_MANAGED SERVICES_EP&amp;SCharges001</t>
  </si>
  <si>
    <t>Patel, Apurva_MANAGED SERVICES_IT-FBT0285-OG-ES-00</t>
  </si>
  <si>
    <t>IT-FBT0285-OG-ES-00</t>
  </si>
  <si>
    <t>Patel, Apurva_MANAGED SERVICES_IT-FBT0286-OG-BE-00</t>
  </si>
  <si>
    <t>IT-FBT0286-OG-BE-00</t>
  </si>
  <si>
    <t>Patel, Apurva_MANAGED SERVICES_IT-FBT0798-OG-BE-00</t>
  </si>
  <si>
    <t>Patel, Apurva_MANAGED SERVICES_IT-FBT0830-OT-US-00</t>
  </si>
  <si>
    <t>IT-FBT0830-OT-US-00</t>
  </si>
  <si>
    <t>Patel, Apurva_MANAGED SERVICES_IT-FBT0980-OT-US-00</t>
  </si>
  <si>
    <t>IT-FBT0980-OT-US-00</t>
  </si>
  <si>
    <t>Patel, Apurva_MANAGED SERVICES_IT-FBT1017-OT-US-00</t>
  </si>
  <si>
    <t>Patel, Apurva_MANAGED SERVICES_IT-FGS0299-OG-US-00</t>
  </si>
  <si>
    <t>Patel, Apurva_MANAGED SERVICES_IT-FGS0301-OG-US-00</t>
  </si>
  <si>
    <t>Patel, Apurva_MANAGED SERVICES_IT-MGS0158-OG-US-00</t>
  </si>
  <si>
    <t>IT-MGS0158-OG-US-00</t>
  </si>
  <si>
    <t>Patel, Apurva_MANAGED SERVICES_IT-MGS0208-OG-US-00</t>
  </si>
  <si>
    <t>IT-MGS0208-OG-US-00</t>
  </si>
  <si>
    <t>Patel, Apurva_MANAGED SERVICES_IT-SFT1442-OG-US-00</t>
  </si>
  <si>
    <t>IT-SFT1442-OG-US-00</t>
  </si>
  <si>
    <t>Patel, Apurva_MANAGED SERVICES_MISC001</t>
  </si>
  <si>
    <t>Patel, Apurva_MANAGED SERVICES_OnetimeCredit002</t>
  </si>
  <si>
    <t>OnetimeCredit002</t>
  </si>
  <si>
    <t>Patel, Apurva_MANAGED SERVICES_PR-587101-0000007986</t>
  </si>
  <si>
    <t>Raj/Paul/Lynn_MANAGED SERVICES_2026-XFR-0063-A</t>
  </si>
  <si>
    <t>2026-XFR-0063-A</t>
  </si>
  <si>
    <t>Robertson, Jerome_MANAGED SERVICES_IT-FBT0573-OG-US-00</t>
  </si>
  <si>
    <t>Robertson, Jerome_MANAGED SERVICES_IT-FBT0573-OG-US-00-CB</t>
  </si>
  <si>
    <t>IT-FBT0573-OG-US-00-CB</t>
  </si>
  <si>
    <t>Robertson, Jerome_MANAGED SERVICES_IT-FGS0301-OG-US-00</t>
  </si>
  <si>
    <t>Robertson, Jerome_MANAGED SERVICES_IT-MGS0165-OG-US-00</t>
  </si>
  <si>
    <t>IT-MGS0165-OG-US-00</t>
  </si>
  <si>
    <t>Robertson, Jerome_MANAGED SERVICES_MISC001</t>
  </si>
  <si>
    <t>MANAGED SERVICES Total</t>
  </si>
  <si>
    <t>OTHER</t>
  </si>
  <si>
    <t>Dougherty, Chris_OTHER_IT-SFT1010-86-OG-US</t>
  </si>
  <si>
    <t>IT-SFT1010-86-OG-US</t>
  </si>
  <si>
    <t>SAP SaaS</t>
  </si>
  <si>
    <t>Dougherty, Chris_OTHER_IT-SFT1249-86-OG-US</t>
  </si>
  <si>
    <t>IT-SFT1249-86-OG-US</t>
  </si>
  <si>
    <t>SAP; 2026 Pullforward</t>
  </si>
  <si>
    <t>Dougherty, Chris_OTHER_Others001</t>
  </si>
  <si>
    <t>Others001</t>
  </si>
  <si>
    <t>Other</t>
  </si>
  <si>
    <t>Ganesan, Srinivasan_OTHER_Others001</t>
  </si>
  <si>
    <t>Hase, Raj_OTHER_Others001</t>
  </si>
  <si>
    <t>Hovanyetz, Mike_OTHER_IT-OTH0062-OG-US-00</t>
  </si>
  <si>
    <t>IT-OTH0062-OG-US-00</t>
  </si>
  <si>
    <t>Hovanyetz, Mike_OTHER_Others001</t>
  </si>
  <si>
    <t>Jajodia, Amit_OTHER_Others001</t>
  </si>
  <si>
    <t>Patel, Apurva_OTHER_</t>
  </si>
  <si>
    <t>Patel, Apurva_OTHER_NondigitalCatering001</t>
  </si>
  <si>
    <t>NondigitalCatering001</t>
  </si>
  <si>
    <t>Patel, Apurva_OTHER_Others001</t>
  </si>
  <si>
    <t>Patel, Apurva_OTHER_PR-587101-0000007986</t>
  </si>
  <si>
    <t>Robertson, Jerome_OTHER_Others001</t>
  </si>
  <si>
    <t>OTHER Total</t>
  </si>
  <si>
    <t>OUTSIDE COUNSEL</t>
  </si>
  <si>
    <t>Patel, Apurva_OUTSIDE COUNSEL_Others001</t>
  </si>
  <si>
    <t>Patel, Apurva_OUTSIDE COUNSEL_PR-587101-0000007986</t>
  </si>
  <si>
    <t>OUTSIDE COUNSEL Total</t>
  </si>
  <si>
    <t>RENT AND UTILITIES</t>
  </si>
  <si>
    <t>Jajodia, Amit_RENT AND UTILITIES_KM_CompanyCar001</t>
  </si>
  <si>
    <t>KM_CompanyCar001</t>
  </si>
  <si>
    <t>Other / Car</t>
  </si>
  <si>
    <t>Jajodia, Amit_RENT AND UTILITIES_MISC001</t>
  </si>
  <si>
    <t>Patel, Apurva_RENT AND UTILITIES_MISC001</t>
  </si>
  <si>
    <t>Patel, Apurva_RENT AND UTILITIES_PR-320001-0000007986</t>
  </si>
  <si>
    <t>PR-320001-0000007986</t>
  </si>
  <si>
    <t>Patel, Apurva_RENT AND UTILITIES_PR-587101-0000007986</t>
  </si>
  <si>
    <t>RENT AND UTILITIES Total</t>
  </si>
  <si>
    <t>SOFTWARE</t>
  </si>
  <si>
    <t>Dougherty, Chris_SOFTWARE_</t>
  </si>
  <si>
    <t>Dougherty, Chris_SOFTWARE_2026-XFR-0007-A</t>
  </si>
  <si>
    <t>2026-XFR-0007-A</t>
  </si>
  <si>
    <t>Dougherty, Chris_SOFTWARE_2026-XFR-0013-A</t>
  </si>
  <si>
    <t>2026-XFR-0013-A</t>
  </si>
  <si>
    <t>Dougherty, Chris_SOFTWARE_2026-XFR-0017-A</t>
  </si>
  <si>
    <t>2026-XFR-0017-A</t>
  </si>
  <si>
    <t>Dougherty, Chris_SOFTWARE_2026-XFR-0017-B</t>
  </si>
  <si>
    <t>2026-XFR-0017-B</t>
  </si>
  <si>
    <t>Dougherty, Chris_SOFTWARE_2026-XFR-0034-A</t>
  </si>
  <si>
    <t>2026-XFR-0034-A</t>
  </si>
  <si>
    <t>Dougherty, Chris_SOFTWARE_2026-XFR-0036-A</t>
  </si>
  <si>
    <t>2026-XFR-0036-A</t>
  </si>
  <si>
    <t>Dougherty, Chris_SOFTWARE_2026-XFR-KM001</t>
  </si>
  <si>
    <t>2026-XFR-KM001</t>
  </si>
  <si>
    <t>5/15 CHW - Syniti paid thru 12/30/2027; 2026 Budget Transfer</t>
  </si>
  <si>
    <t>Dougherty, Chris_SOFTWARE_BILLINGREV001CN</t>
  </si>
  <si>
    <t>BILLINGREV001CN</t>
  </si>
  <si>
    <t>Dougherty, Chris_SOFTWARE_BILLINGREV009B</t>
  </si>
  <si>
    <t>BILLINGREV009B</t>
  </si>
  <si>
    <t>Dougherty, Chris_SOFTWARE_BillingSweep001</t>
  </si>
  <si>
    <t>BillingSweep001</t>
  </si>
  <si>
    <t>Dougherty, Chris_SOFTWARE_BillingSweep002</t>
  </si>
  <si>
    <t>BillingSweep002</t>
  </si>
  <si>
    <t>Dougherty, Chris_SOFTWARE_BILLINGSWEEP006</t>
  </si>
  <si>
    <t>Dougherty, Chris_SOFTWARE_BILLINGSWEEP021</t>
  </si>
  <si>
    <t>Dougherty, Chris_SOFTWARE_BillSweepMisc</t>
  </si>
  <si>
    <t>Dougherty, Chris_SOFTWARE_ColleagueSolutions001</t>
  </si>
  <si>
    <t>Dougherty, Chris_SOFTWARE_EnhanceChargeout001</t>
  </si>
  <si>
    <t>Dougherty, Chris_SOFTWARE_EP&amp;SCharges001</t>
  </si>
  <si>
    <t>Dougherty, Chris_SOFTWARE_IT-FBT0665-OG-US-00</t>
  </si>
  <si>
    <t>Dougherty, Chris_SOFTWARE_IT-FBT0675-OG-US-00</t>
  </si>
  <si>
    <t>Dougherty, Chris_SOFTWARE_IT-FGS0298-SW-US-00</t>
  </si>
  <si>
    <t>IT-FGS0298-SW-US-00</t>
  </si>
  <si>
    <t>Dougherty, Chris_SOFTWARE_IT-FGS0299-OG-US-00</t>
  </si>
  <si>
    <t>Dougherty, Chris_SOFTWARE_IT-FGS0300-SW-US-00</t>
  </si>
  <si>
    <t>IT-FGS0300-SW-US-00</t>
  </si>
  <si>
    <t>Copilot</t>
  </si>
  <si>
    <t>Dougherty, Chris_SOFTWARE_IT-FGS0302-SW-US-00</t>
  </si>
  <si>
    <t>IT-FGS0302-SW-US-00</t>
  </si>
  <si>
    <t>M365 / O365</t>
  </si>
  <si>
    <t>Dougherty, Chris_SOFTWARE_IT-MGS0202-OG-US-00</t>
  </si>
  <si>
    <t>Dougherty, Chris_SOFTWARE_IT-SFT0159-86-OG-US</t>
  </si>
  <si>
    <t>IT-SFT0159-86-OG-US</t>
  </si>
  <si>
    <t>E1; 2026 Pullforward</t>
  </si>
  <si>
    <t>Dougherty, Chris_SOFTWARE_IT-SFT0159-86-OG-US/PF</t>
  </si>
  <si>
    <t>IT-SFT0159-86-OG-US/PF</t>
  </si>
  <si>
    <t>Dougherty, Chris_SOFTWARE_IT-SFT0170-86-OG-US</t>
  </si>
  <si>
    <t>IT-SFT0170-86-OG-US</t>
  </si>
  <si>
    <t>Broadcom; 2026 Pullforward</t>
  </si>
  <si>
    <t>Dougherty, Chris_SOFTWARE_IT-SFT0170-86-OG-US/PF</t>
  </si>
  <si>
    <t>IT-SFT0170-86-OG-US/PF</t>
  </si>
  <si>
    <t>Dougherty, Chris_SOFTWARE_IT-SFT0673-86-OG-US</t>
  </si>
  <si>
    <t>IT-SFT0673-86-OG-US</t>
  </si>
  <si>
    <t>Dougherty, Chris_SOFTWARE_IT-SFT1003-86-OG-US</t>
  </si>
  <si>
    <t>IT-SFT1003-86-OG-US</t>
  </si>
  <si>
    <t>Security Bridge; 2026 Pullforward</t>
  </si>
  <si>
    <t>Dougherty, Chris_SOFTWARE_IT-SFT1003-86-OG-US/PF</t>
  </si>
  <si>
    <t>IT-SFT1003-86-OG-US/PF</t>
  </si>
  <si>
    <t>Dougherty, Chris_SOFTWARE_IT-SFT1006-86-OG-US</t>
  </si>
  <si>
    <t>IT-SFT1006-86-OG-US</t>
  </si>
  <si>
    <t>Onapsis</t>
  </si>
  <si>
    <t>Dougherty, Chris_SOFTWARE_IT-SFT1009-86-OG-US</t>
  </si>
  <si>
    <t>IT-SFT1009-86-OG-US</t>
  </si>
  <si>
    <t>SAP on Prem</t>
  </si>
  <si>
    <t>Dougherty, Chris_SOFTWARE_IT-SFT1009-86-OG-US/02</t>
  </si>
  <si>
    <t>IT-SFT1009-86-OG-US/02</t>
  </si>
  <si>
    <t>SAP on Prem; 2026 Pullforward</t>
  </si>
  <si>
    <t>Dougherty, Chris_SOFTWARE_IT-SFT1009-86-OG-US/02/PF</t>
  </si>
  <si>
    <t>IT-SFT1009-86-OG-US/02/PF</t>
  </si>
  <si>
    <t>Dougherty, Chris_SOFTWARE_IT-SFT1009-86-OG-US/04</t>
  </si>
  <si>
    <t>IT-SFT1009-86-OG-US/04</t>
  </si>
  <si>
    <t>Dougherty, Chris_SOFTWARE_IT-SFT1009-86-OG-US/04/PF</t>
  </si>
  <si>
    <t>IT-SFT1009-86-OG-US/04/PF</t>
  </si>
  <si>
    <t>Dougherty, Chris_SOFTWARE_IT-SFT1009-86-OG-US/05</t>
  </si>
  <si>
    <t>IT-SFT1009-86-OG-US/05</t>
  </si>
  <si>
    <t>Dougherty, Chris_SOFTWARE_IT-SFT1009-86-OG-US/05/PF</t>
  </si>
  <si>
    <t>IT-SFT1009-86-OG-US/05/PF</t>
  </si>
  <si>
    <t>Dougherty, Chris_SOFTWARE_IT-SFT1009-86-OG-US/07</t>
  </si>
  <si>
    <t>IT-SFT1009-86-OG-US/07</t>
  </si>
  <si>
    <t>Dougherty, Chris_SOFTWARE_IT-SFT1009-86-OG-US/07/PF</t>
  </si>
  <si>
    <t>IT-SFT1009-86-OG-US/07/PF</t>
  </si>
  <si>
    <t>Dougherty, Chris_SOFTWARE_IT-SFT1009-86-OG-US/08</t>
  </si>
  <si>
    <t>IT-SFT1009-86-OG-US/08</t>
  </si>
  <si>
    <t>Dougherty, Chris_SOFTWARE_IT-SFT1009-86-OG-US/08/PF</t>
  </si>
  <si>
    <t>IT-SFT1009-86-OG-US/08/PF</t>
  </si>
  <si>
    <t>Dougherty, Chris_SOFTWARE_IT-SFT1009-86-OG-US/13</t>
  </si>
  <si>
    <t>IT-SFT1009-86-OG-US/13</t>
  </si>
  <si>
    <t>Dougherty, Chris_SOFTWARE_IT-SFT1009-86-OG-US/13/PF</t>
  </si>
  <si>
    <t>IT-SFT1009-86-OG-US/13/PF</t>
  </si>
  <si>
    <t>Dougherty, Chris_SOFTWARE_IT-SFT1009-86-OG-US/17</t>
  </si>
  <si>
    <t>IT-SFT1009-86-OG-US/17</t>
  </si>
  <si>
    <t>Dougherty, Chris_SOFTWARE_IT-SFT1009-86-OG-US/17/PF</t>
  </si>
  <si>
    <t>IT-SFT1009-86-OG-US/17/PF</t>
  </si>
  <si>
    <t>Dougherty, Chris_SOFTWARE_IT-SFT1009-86-OG-US/19</t>
  </si>
  <si>
    <t>IT-SFT1009-86-OG-US/19</t>
  </si>
  <si>
    <t>Dougherty, Chris_SOFTWARE_IT-SFT1009-86-OG-US/19/PF</t>
  </si>
  <si>
    <t>IT-SFT1009-86-OG-US/19/PF</t>
  </si>
  <si>
    <t>Dougherty, Chris_SOFTWARE_IT-SFT1009-86-OG-US/23</t>
  </si>
  <si>
    <t>IT-SFT1009-86-OG-US/23</t>
  </si>
  <si>
    <t>Dougherty, Chris_SOFTWARE_IT-SFT1009-86-OG-US/23/PF</t>
  </si>
  <si>
    <t>IT-SFT1009-86-OG-US/23/PF</t>
  </si>
  <si>
    <t>Dougherty, Chris_SOFTWARE_IT-SFT1009-86-OG-US/25</t>
  </si>
  <si>
    <t>IT-SFT1009-86-OG-US/25</t>
  </si>
  <si>
    <t>Dougherty, Chris_SOFTWARE_IT-SFT1009-86-OG-US/25/PF</t>
  </si>
  <si>
    <t>IT-SFT1009-86-OG-US/25/PF</t>
  </si>
  <si>
    <t>Dougherty, Chris_SOFTWARE_IT-SFT1009-86-OG-US/29</t>
  </si>
  <si>
    <t>IT-SFT1009-86-OG-US/29</t>
  </si>
  <si>
    <t>Dougherty, Chris_SOFTWARE_IT-SFT1009-86-OG-US/29/PF</t>
  </si>
  <si>
    <t>IT-SFT1009-86-OG-US/29/PF</t>
  </si>
  <si>
    <t>Dougherty, Chris_SOFTWARE_IT-SFT1009-86-OG-US/30</t>
  </si>
  <si>
    <t>IT-SFT1009-86-OG-US/30</t>
  </si>
  <si>
    <t>Dougherty, Chris_SOFTWARE_IT-SFT1009-86-OG-US/30/PF</t>
  </si>
  <si>
    <t>IT-SFT1009-86-OG-US/30/PF</t>
  </si>
  <si>
    <t>Dougherty, Chris_SOFTWARE_IT-SFT1009-86-OG-US/32</t>
  </si>
  <si>
    <t>IT-SFT1009-86-OG-US/32</t>
  </si>
  <si>
    <t>Dougherty, Chris_SOFTWARE_IT-SFT1009-86-OG-US/32/PF</t>
  </si>
  <si>
    <t>IT-SFT1009-86-OG-US/32/PF</t>
  </si>
  <si>
    <t>Dougherty, Chris_SOFTWARE_IT-SFT1009-86-OG-US/35</t>
  </si>
  <si>
    <t>IT-SFT1009-86-OG-US/35</t>
  </si>
  <si>
    <t>Dougherty, Chris_SOFTWARE_IT-SFT1009-86-OG-US/37</t>
  </si>
  <si>
    <t>IT-SFT1009-86-OG-US/37</t>
  </si>
  <si>
    <t>Dougherty, Chris_SOFTWARE_IT-SFT1009-86-OG-US/37/PF</t>
  </si>
  <si>
    <t>IT-SFT1009-86-OG-US/37/PF</t>
  </si>
  <si>
    <t>Dougherty, Chris_SOFTWARE_IT-SFT1009-86-OG-US/38</t>
  </si>
  <si>
    <t>IT-SFT1009-86-OG-US/38</t>
  </si>
  <si>
    <t>Dougherty, Chris_SOFTWARE_IT-SFT1009-86-OG-US/38/PF</t>
  </si>
  <si>
    <t>IT-SFT1009-86-OG-US/38/PF</t>
  </si>
  <si>
    <t>Dougherty, Chris_SOFTWARE_IT-SFT1009-86-OG-US/41</t>
  </si>
  <si>
    <t>IT-SFT1009-86-OG-US/41</t>
  </si>
  <si>
    <t>Dougherty, Chris_SOFTWARE_IT-SFT1009-86-OG-US/41/PF</t>
  </si>
  <si>
    <t>IT-SFT1009-86-OG-US/41/PF</t>
  </si>
  <si>
    <t>Dougherty, Chris_SOFTWARE_IT-SFT1009-86-OG-US/45</t>
  </si>
  <si>
    <t>IT-SFT1009-86-OG-US/45</t>
  </si>
  <si>
    <t>Dougherty, Chris_SOFTWARE_IT-SFT1009-86-OG-US/45/PF</t>
  </si>
  <si>
    <t>IT-SFT1009-86-OG-US/45/PF</t>
  </si>
  <si>
    <t>Dougherty, Chris_SOFTWARE_IT-SFT1009-86-OG-US/46</t>
  </si>
  <si>
    <t>IT-SFT1009-86-OG-US/46</t>
  </si>
  <si>
    <t>Dougherty, Chris_SOFTWARE_IT-SFT1009-86-OG-US/46/PF</t>
  </si>
  <si>
    <t>IT-SFT1009-86-OG-US/46/PF</t>
  </si>
  <si>
    <t>Dougherty, Chris_SOFTWARE_IT-SFT1009-86-OG-US/FV</t>
  </si>
  <si>
    <t>IT-SFT1009-86-OG-US/FV</t>
  </si>
  <si>
    <t>Dougherty, Chris_SOFTWARE_IT-SFT1009-86-OG-US/FV/PF</t>
  </si>
  <si>
    <t>IT-SFT1009-86-OG-US/FV/PF</t>
  </si>
  <si>
    <t>Dougherty, Chris_SOFTWARE_IT-SFT1009-86-OG-US-CB</t>
  </si>
  <si>
    <t>IT-SFT1009-86-OG-US-CB</t>
  </si>
  <si>
    <t>Dougherty, Chris_SOFTWARE_IT-SFT1010-86-OG-US</t>
  </si>
  <si>
    <t>Dougherty, Chris_SOFTWARE_IT-SFT1012-86-OG-US</t>
  </si>
  <si>
    <t>IT-SFT1012-86-OG-US</t>
  </si>
  <si>
    <t>Seal</t>
  </si>
  <si>
    <t>Dougherty, Chris_SOFTWARE_IT-SFT1023-86-OG-US</t>
  </si>
  <si>
    <t>IT-SFT1023-86-OG-US</t>
  </si>
  <si>
    <t>Markov; 2026 Pullforward</t>
  </si>
  <si>
    <t>Dougherty, Chris_SOFTWARE_IT-SFT1023-86-OG-US/PF</t>
  </si>
  <si>
    <t>IT-SFT1023-86-OG-US/PF</t>
  </si>
  <si>
    <t>Dougherty, Chris_SOFTWARE_IT-SFT1119-86-OG-US</t>
  </si>
  <si>
    <t>IT-SFT1119-86-OG-US</t>
  </si>
  <si>
    <t>Dougherty, Chris_SOFTWARE_IT-SFT1121-86-OG-US</t>
  </si>
  <si>
    <t>IT-SFT1121-86-OG-US</t>
  </si>
  <si>
    <t>Dougherty, Chris_SOFTWARE_IT-SFT1147-86-OG-US</t>
  </si>
  <si>
    <t>IT-SFT1147-86-OG-US</t>
  </si>
  <si>
    <t>SAP Tosca Automation</t>
  </si>
  <si>
    <t>Dougherty, Chris_SOFTWARE_IT-SFT1147-86-OG-US/PF</t>
  </si>
  <si>
    <t>IT-SFT1147-86-OG-US/PF</t>
  </si>
  <si>
    <t>Dougherty, Chris_SOFTWARE_IT-SFT1172-86-OG-US</t>
  </si>
  <si>
    <t>IT-SFT1172-86-OG-US</t>
  </si>
  <si>
    <t>Radio Freq devices; 2026 Budget Transfer; 2026 Pullforward</t>
  </si>
  <si>
    <t>Dougherty, Chris_SOFTWARE_IT-SFT1172-86-OG-US/PF</t>
  </si>
  <si>
    <t>IT-SFT1172-86-OG-US/PF</t>
  </si>
  <si>
    <t>Dougherty, Chris_SOFTWARE_IT-SFT1185-86-OG-US</t>
  </si>
  <si>
    <t>IT-SFT1185-86-OG-US</t>
  </si>
  <si>
    <t>SAP SaaS; 2026 Budget Transfer</t>
  </si>
  <si>
    <t>Dougherty, Chris_SOFTWARE_IT-SFT1185-86-OG-US/01</t>
  </si>
  <si>
    <t>IT-SFT1185-86-OG-US/01</t>
  </si>
  <si>
    <t>Dougherty, Chris_SOFTWARE_IT-SFT1186-86-OG-US</t>
  </si>
  <si>
    <t>IT-SFT1186-86-OG-US</t>
  </si>
  <si>
    <t>Dougherty, Chris_SOFTWARE_IT-SFT1194-86-OG-US</t>
  </si>
  <si>
    <t>IT-SFT1194-86-OG-US</t>
  </si>
  <si>
    <t>DevSecOps</t>
  </si>
  <si>
    <t>Dougherty, Chris_SOFTWARE_IT-SFT1208-86-OG-US</t>
  </si>
  <si>
    <t>IT-SFT1208-86-OG-US</t>
  </si>
  <si>
    <t>S4 HANA</t>
  </si>
  <si>
    <t>Dougherty, Chris_SOFTWARE_IT-SFT1235-86-OG-US</t>
  </si>
  <si>
    <t>IT-SFT1235-86-OG-US</t>
  </si>
  <si>
    <t>Dougherty, Chris_SOFTWARE_IT-SFT1236-86-OG-US</t>
  </si>
  <si>
    <t>IT-SFT1236-86-OG-US</t>
  </si>
  <si>
    <t>SAP SaaS; 2026 Pullforward</t>
  </si>
  <si>
    <t>Dougherty, Chris_SOFTWARE_IT-SFT1236-86-OG-US/PF</t>
  </si>
  <si>
    <t>IT-SFT1236-86-OG-US/PF</t>
  </si>
  <si>
    <t>Dougherty, Chris_SOFTWARE_IT-SFT1237-86-US-00</t>
  </si>
  <si>
    <t>IT-SFT1237-86-US-00</t>
  </si>
  <si>
    <t>Dougherty, Chris_SOFTWARE_IT-SFT1237-86-US-00/PF</t>
  </si>
  <si>
    <t>IT-SFT1237-86-US-00/PF</t>
  </si>
  <si>
    <t>Dougherty, Chris_SOFTWARE_IT-SFT1238-86-OG-US</t>
  </si>
  <si>
    <t>IT-SFT1238-86-OG-US</t>
  </si>
  <si>
    <t>Dougherty, Chris_SOFTWARE_IT-SFT1238-86-OG-US/PF</t>
  </si>
  <si>
    <t>IT-SFT1238-86-OG-US/PF</t>
  </si>
  <si>
    <t>Dougherty, Chris_SOFTWARE_IT-SFT1239-86-OG-US</t>
  </si>
  <si>
    <t>IT-SFT1239-86-OG-US</t>
  </si>
  <si>
    <t>Dougherty, Chris_SOFTWARE_IT-SFT1240-86-OG-US</t>
  </si>
  <si>
    <t>IT-SFT1240-86-OG-US</t>
  </si>
  <si>
    <t>Dougherty, Chris_SOFTWARE_IT-SFT1247-86-OG-US</t>
  </si>
  <si>
    <t>IT-SFT1247-86-OG-US</t>
  </si>
  <si>
    <t>SAP on Prem/SAP S/4</t>
  </si>
  <si>
    <t>Dougherty, Chris_SOFTWARE_IT-SFT1249-86-OG-US</t>
  </si>
  <si>
    <t>Dougherty, Chris_SOFTWARE_IT-SFT1249-86-OG-US/PF</t>
  </si>
  <si>
    <t>IT-SFT1249-86-OG-US/PF</t>
  </si>
  <si>
    <t>Dougherty, Chris_SOFTWARE_IT-SFT1257-86-OG-US</t>
  </si>
  <si>
    <t>IT-SFT1257-86-OG-US</t>
  </si>
  <si>
    <t>Power 10s</t>
  </si>
  <si>
    <t>Dougherty, Chris_SOFTWARE_IT-SFT1270-86-OG-US</t>
  </si>
  <si>
    <t>IT-SFT1270-86-OG-US</t>
  </si>
  <si>
    <t>Dougherty, Chris_SOFTWARE_IT-SFT1282-86-OG-US</t>
  </si>
  <si>
    <t>Dougherty, Chris_SOFTWARE_IT-SFT1283-86-OG-US</t>
  </si>
  <si>
    <t>IT-SFT1283-86-OG-US</t>
  </si>
  <si>
    <t>Dougherty, Chris_SOFTWARE_IT-SFT1283-86-OG-US/PF</t>
  </si>
  <si>
    <t>IT-SFT1283-86-OG-US/PF</t>
  </si>
  <si>
    <t>Dougherty, Chris_SOFTWARE_IT-SFT1284-86-OG-US</t>
  </si>
  <si>
    <t>IT-SFT1284-86-OG-US</t>
  </si>
  <si>
    <t>Dougherty, Chris_SOFTWARE_IT-SFT1284-86-OG-US/PF</t>
  </si>
  <si>
    <t>IT-SFT1284-86-OG-US/PF</t>
  </si>
  <si>
    <t>Dougherty, Chris_SOFTWARE_IT-SFT1401-OG-US-00</t>
  </si>
  <si>
    <t>IT-SFT1401-OG-US-00</t>
  </si>
  <si>
    <t>2026 Pullforward</t>
  </si>
  <si>
    <t>Dougherty, Chris_SOFTWARE_IT-SFT1401-OG-US-00/PF</t>
  </si>
  <si>
    <t>IT-SFT1401-OG-US-00/PF</t>
  </si>
  <si>
    <t>Dougherty, Chris_SOFTWARE_IT-SFT1402-OG-US-00</t>
  </si>
  <si>
    <t>IT-SFT1402-OG-US-00</t>
  </si>
  <si>
    <t>Dougherty, Chris_SOFTWARE_IT-SFT1406-OG-US-00</t>
  </si>
  <si>
    <t>IT-SFT1406-OG-US-00</t>
  </si>
  <si>
    <t>Dougherty, Chris_SOFTWARE_IT-SFT1408-OG-US-00</t>
  </si>
  <si>
    <t>IT-SFT1408-OG-US-00</t>
  </si>
  <si>
    <t>Dougherty, Chris_SOFTWARE_IT-SFT1410-OG-US-00</t>
  </si>
  <si>
    <t>IT-SFT1410-OG-US-00</t>
  </si>
  <si>
    <t>New Power 10s; 2026 Pullforward</t>
  </si>
  <si>
    <t>Dougherty, Chris_SOFTWARE_IT-SFT1410-OG-US-00/PF</t>
  </si>
  <si>
    <t>IT-SFT1410-OG-US-00/PF</t>
  </si>
  <si>
    <t>Dougherty, Chris_SOFTWARE_IT-SFT1412-OG-US-00</t>
  </si>
  <si>
    <t>IT-SFT1412-OG-US-00</t>
  </si>
  <si>
    <t>Dougherty, Chris_SOFTWARE_IT-SFT1413-OG-US-00</t>
  </si>
  <si>
    <t>IT-SFT1413-OG-US-00</t>
  </si>
  <si>
    <t>Dougherty, Chris_SOFTWARE_IT-SFT1414-OG-US-00</t>
  </si>
  <si>
    <t>IT-SFT1414-OG-US-00</t>
  </si>
  <si>
    <t>2024 Transfer; 2026 Pullforward</t>
  </si>
  <si>
    <t>Dougherty, Chris_SOFTWARE_IT-SFT1414-OG-US-00/PF</t>
  </si>
  <si>
    <t>IT-SFT1414-OG-US-00/PF</t>
  </si>
  <si>
    <t>Dougherty, Chris_SOFTWARE_IT-SFT1415-OG-US-00</t>
  </si>
  <si>
    <t>IT-SFT1415-OG-US-00</t>
  </si>
  <si>
    <t>Dougherty, Chris_SOFTWARE_IT-SFT1416-OG-US-00</t>
  </si>
  <si>
    <t>IT-SFT1416-OG-US-00</t>
  </si>
  <si>
    <t>Dougherty, Chris_SOFTWARE_IT-SFT1434-OG-US-00</t>
  </si>
  <si>
    <t>Dougherty, Chris_SOFTWARE_IT-SFT1441-OG-US-00</t>
  </si>
  <si>
    <t>IT-SFT1441-OG-US-00</t>
  </si>
  <si>
    <t>Dougherty, Chris_SOFTWARE_IT-SFT1445-OG-US-00</t>
  </si>
  <si>
    <t>IT-SFT1445-OG-US-00</t>
  </si>
  <si>
    <t>Dougherty, Chris_SOFTWARE_IT-SFT1457-OG-US-00</t>
  </si>
  <si>
    <t>IT-SFT1457-OG-US-00</t>
  </si>
  <si>
    <t>Dougherty, Chris_SOFTWARE_IT-SFT1457-OG-US-00/PF</t>
  </si>
  <si>
    <t>IT-SFT1457-OG-US-00/PF</t>
  </si>
  <si>
    <t>Dougherty, Chris_SOFTWARE_MISC001</t>
  </si>
  <si>
    <t>Ganesan, Srinivasan_SOFTWARE_</t>
  </si>
  <si>
    <t>Ganesan, Srinivasan_SOFTWARE_ColleagueSolutions001</t>
  </si>
  <si>
    <t>Ganesan, Srinivasan_SOFTWARE_EnhanceChargeout001</t>
  </si>
  <si>
    <t>Ganesan, Srinivasan_SOFTWARE_EP&amp;SCharges001</t>
  </si>
  <si>
    <t>Ganesan, Srinivasan_SOFTWARE_IT-FBT0658-OG-US-00</t>
  </si>
  <si>
    <t>Ganesan, Srinivasan_SOFTWARE_IT-FBT0784-OG-US-00</t>
  </si>
  <si>
    <t>Ganesan, Srinivasan_SOFTWARE_IT-FGS0300-SW-US-00</t>
  </si>
  <si>
    <t>Ganesan, Srinivasan_SOFTWARE_IT-FGS0302-SW-US-00</t>
  </si>
  <si>
    <t>Ganesan, Srinivasan_SOFTWARE_IT-SFT0486-86-OG-MX</t>
  </si>
  <si>
    <t>IT-SFT0486-86-OG-MX</t>
  </si>
  <si>
    <t>Stocklin</t>
  </si>
  <si>
    <t>Ganesan, Srinivasan_SOFTWARE_IT-SFT1042-02-OG-US</t>
  </si>
  <si>
    <t>IT-SFT1042-02-OG-US</t>
  </si>
  <si>
    <t>Ganesan, Srinivasan_SOFTWARE_IT-SFT1126-86-OG-US</t>
  </si>
  <si>
    <t>IT-SFT1126-86-OG-US</t>
  </si>
  <si>
    <t>Ganesan, Srinivasan_SOFTWARE_IT-SFT1194-86-OG-US</t>
  </si>
  <si>
    <t>Ganesan, Srinivasan_SOFTWARE_IT-SFT1205-86-OG-US</t>
  </si>
  <si>
    <t>Ganesan, Srinivasan_SOFTWARE_IT-SFT1224-86-OG-US</t>
  </si>
  <si>
    <t>IT-SFT1224-86-OG-US</t>
  </si>
  <si>
    <t>Ganesan, Srinivasan_SOFTWARE_IT-SFT1262-86-OG-US</t>
  </si>
  <si>
    <t>IT-SFT1262-86-OG-US</t>
  </si>
  <si>
    <t>Ganesan, Srinivasan_SOFTWARE_IT-SFT1266-86-OG-US</t>
  </si>
  <si>
    <t>IT-SFT1266-86-OG-US</t>
  </si>
  <si>
    <t>Ganesan, Srinivasan_SOFTWARE_IT-SFT1267-86-OG-US</t>
  </si>
  <si>
    <t>IT-SFT1267-86-OG-US</t>
  </si>
  <si>
    <t>Ganesan, Srinivasan_SOFTWARE_IT-SFT1269-86-OG-US</t>
  </si>
  <si>
    <t>IT-SFT1269-86-OG-US</t>
  </si>
  <si>
    <t>Ganesan, Srinivasan_SOFTWARE_IT-SFT1269-86-OG-US/PF</t>
  </si>
  <si>
    <t>IT-SFT1269-86-OG-US/PF</t>
  </si>
  <si>
    <t>Ganesan, Srinivasan_SOFTWARE_IT-SFT1281-86-OG-US</t>
  </si>
  <si>
    <t>IT-SFT1281-86-OG-US</t>
  </si>
  <si>
    <t>Ganesan, Srinivasan_SOFTWARE_MISC001</t>
  </si>
  <si>
    <t>Hase, Raj_SOFTWARE_2026-XFR-0014-B</t>
  </si>
  <si>
    <t>2026-XFR-0014-B</t>
  </si>
  <si>
    <t>Hase, Raj_SOFTWARE_2026-XFR-0015-A</t>
  </si>
  <si>
    <t>2026-XFR-0015-A</t>
  </si>
  <si>
    <t>Hase, Raj_SOFTWARE_2026-XFR-LD001</t>
  </si>
  <si>
    <t>2026-XFR-LD001</t>
  </si>
  <si>
    <t>Hase, Raj_SOFTWARE_2026-XFR-LD002</t>
  </si>
  <si>
    <t>2026-XFR-LD002</t>
  </si>
  <si>
    <t>Hase, Raj_SOFTWARE_ColleagueSolutions001</t>
  </si>
  <si>
    <t>Hase, Raj_SOFTWARE_EnhanceChargeout001</t>
  </si>
  <si>
    <t>Hase, Raj_SOFTWARE_EP&amp;SCharges001</t>
  </si>
  <si>
    <t>Hase, Raj_SOFTWARE_IT-DATAIKU-01</t>
  </si>
  <si>
    <t>IT-DATAIKU-01</t>
  </si>
  <si>
    <t>Hase, Raj_SOFTWARE_IT-FGS0298-SW-US-00</t>
  </si>
  <si>
    <t>Hase, Raj_SOFTWARE_IT-FGS0300-SW-US-00</t>
  </si>
  <si>
    <t>Hase, Raj_SOFTWARE_IT-SFT1139-86-OG-US</t>
  </si>
  <si>
    <t>IT-SFT1139-86-OG-US</t>
  </si>
  <si>
    <t>Celonis</t>
  </si>
  <si>
    <t>Hase, Raj_SOFTWARE_IT-SFT1194-86-OG-US</t>
  </si>
  <si>
    <t>Hase, Raj_SOFTWARE_IT-SFT1449-OG-US-00</t>
  </si>
  <si>
    <t>IT-SFT1449-OG-US-00</t>
  </si>
  <si>
    <t>Hase, Raj_SOFTWARE_IT-SFT1449-OG-US-00/PF</t>
  </si>
  <si>
    <t>IT-SFT1449-OG-US-00/PF</t>
  </si>
  <si>
    <t>Hase, Raj_SOFTWARE_MISC001</t>
  </si>
  <si>
    <t>Herman, Shaun_SOFTWARE_ColleagueSolutions001</t>
  </si>
  <si>
    <t>Herman, Shaun_SOFTWARE_IT-SFT1194-86-OG-US</t>
  </si>
  <si>
    <t>Herman, Shaun_SOFTWARE_MISC001</t>
  </si>
  <si>
    <t>Hovanyetz, Mike_SOFTWARE_2026-XFR-0017-A</t>
  </si>
  <si>
    <t>Hovanyetz, Mike_SOFTWARE_2026-XFR-0017-B</t>
  </si>
  <si>
    <t>Hovanyetz, Mike_SOFTWARE_2026-XFR-0034-A</t>
  </si>
  <si>
    <t>Hovanyetz, Mike_SOFTWARE_2026-XFR-0059-A</t>
  </si>
  <si>
    <t>2026-XFR-0059-A</t>
  </si>
  <si>
    <t>Hovanyetz, Mike_SOFTWARE_2026-XFR-LD001</t>
  </si>
  <si>
    <t>Hovanyetz, Mike_SOFTWARE_2026-XFR-LD002</t>
  </si>
  <si>
    <t>Hovanyetz, Mike_SOFTWARE_EnhanceChargeout001</t>
  </si>
  <si>
    <t>Hovanyetz, Mike_SOFTWARE_IT-FGS0300-SW-US-00</t>
  </si>
  <si>
    <t>Hovanyetz, Mike_SOFTWARE_IT-FGS0302-SW-US-00</t>
  </si>
  <si>
    <t>Hovanyetz, Mike_SOFTWARE_IT-SFT1040-02-OG-US</t>
  </si>
  <si>
    <t>IT-SFT1040-02-OG-US</t>
  </si>
  <si>
    <t>Hovanyetz, Mike_SOFTWARE_IT-SFT1040-02-OG-US/PF</t>
  </si>
  <si>
    <t>IT-SFT1040-02-OG-US/PF</t>
  </si>
  <si>
    <t>Hovanyetz, Mike_SOFTWARE_IT-SFT1194-86-OG-US</t>
  </si>
  <si>
    <t>Hovanyetz, Mike_SOFTWARE_IT-SFT1458-OG-US-00</t>
  </si>
  <si>
    <t>Hovanyetz, Mike_SOFTWARE_IT-SFT1459-OG-US-00</t>
  </si>
  <si>
    <t>Hovanyetz, Mike_SOFTWARE_IT-SFT1461-OG-US-00</t>
  </si>
  <si>
    <t>IT-SFT1461-OG-US-00</t>
  </si>
  <si>
    <t>Hovanyetz, Mike_SOFTWARE_IT-SFT1462-OG-US-00</t>
  </si>
  <si>
    <t>IT-SFT1462-OG-US-00</t>
  </si>
  <si>
    <t>Hovanyetz, Mike_SOFTWARE_MISC001</t>
  </si>
  <si>
    <t>Jajodia, Amit_SOFTWARE_2026-XFR-0032-A</t>
  </si>
  <si>
    <t>2026-XFR-0032-A</t>
  </si>
  <si>
    <t>Jajodia, Amit_SOFTWARE_EnhanceChargeout001</t>
  </si>
  <si>
    <t>Jajodia, Amit_SOFTWARE_IT-FGS0300-SW-US-00</t>
  </si>
  <si>
    <t>Jajodia, Amit_SOFTWARE_IT-FGS0302-SW-US-00</t>
  </si>
  <si>
    <t>Jajodia, Amit_SOFTWARE_IT-SFT1194-86-OG-US</t>
  </si>
  <si>
    <t>Jajodia, Amit_SOFTWARE_MISC001</t>
  </si>
  <si>
    <t>Patel, Apurva_SOFTWARE_BILLINGREV001CN</t>
  </si>
  <si>
    <t>Patel, Apurva_SOFTWARE_BILLINGREV009B</t>
  </si>
  <si>
    <t>Patel, Apurva_SOFTWARE_BillingSweep001</t>
  </si>
  <si>
    <t>Patel, Apurva_SOFTWARE_BillingSweep002</t>
  </si>
  <si>
    <t>Patel, Apurva_SOFTWARE_BILLINGSWEEP005</t>
  </si>
  <si>
    <t>Patel, Apurva_SOFTWARE_BILLINGSWEEP006</t>
  </si>
  <si>
    <t>Patel, Apurva_SOFTWARE_BILLINGSWEEP021</t>
  </si>
  <si>
    <t>Patel, Apurva_SOFTWARE_BillSweepMisc</t>
  </si>
  <si>
    <t>Patel, Apurva_SOFTWARE_CE-BTF22001-02-EX</t>
  </si>
  <si>
    <t>Patel, Apurva_SOFTWARE_ColleagueSolutions001</t>
  </si>
  <si>
    <t>Patel, Apurva_SOFTWARE_ERP_Amort001</t>
  </si>
  <si>
    <t>ERP_Amort001</t>
  </si>
  <si>
    <t>Celonis / CCA</t>
  </si>
  <si>
    <t>Patel, Apurva_SOFTWARE_IT-FBT0980-OT-US-00</t>
  </si>
  <si>
    <t>Patel, Apurva_SOFTWARE_IT-FGS0299-OG-US-00</t>
  </si>
  <si>
    <t>Patel, Apurva_SOFTWARE_IT-FGS0300-SW-US-00</t>
  </si>
  <si>
    <t>Patel, Apurva_SOFTWARE_IT-FGS0302-SW-US-00</t>
  </si>
  <si>
    <t>Patel, Apurva_SOFTWARE_IT-MGS0208-OG-US-00</t>
  </si>
  <si>
    <t>Patel, Apurva_SOFTWARE_IT-SFT1194-86-OG-US</t>
  </si>
  <si>
    <t>Patel, Apurva_SOFTWARE_IT-SFT1220-86-OG-US</t>
  </si>
  <si>
    <t>IT-SFT1220-86-OG-US</t>
  </si>
  <si>
    <t>Patel, Apurva_SOFTWARE_IT-SFT1346-OG-US-00</t>
  </si>
  <si>
    <t>IT-SFT1346-OG-US-00</t>
  </si>
  <si>
    <t>Patel, Apurva_SOFTWARE_IT-SFT1347-OG-US-00</t>
  </si>
  <si>
    <t>IT-SFT1347-OG-US-00</t>
  </si>
  <si>
    <t>Patel, Apurva_SOFTWARE_IT-SFT1398-OG-US-00</t>
  </si>
  <si>
    <t>IT-SFT1398-OG-US-00</t>
  </si>
  <si>
    <t>Patel, Apurva_SOFTWARE_MISC001</t>
  </si>
  <si>
    <t>Robertson, Jerome_SOFTWARE_ColleagueSolutions001</t>
  </si>
  <si>
    <t>Robertson, Jerome_SOFTWARE_IT-FGS0300-SW-US-00</t>
  </si>
  <si>
    <t>Robertson, Jerome_SOFTWARE_IT-FGS0302-SW-US-00</t>
  </si>
  <si>
    <t>Robertson, Jerome_SOFTWARE_IT-MGS0167-OG-US-00</t>
  </si>
  <si>
    <t>IT-MGS0167-OG-US-00</t>
  </si>
  <si>
    <t>iERP</t>
  </si>
  <si>
    <t>Robertson, Jerome_SOFTWARE_IT-SFT1194-86-OG-US</t>
  </si>
  <si>
    <t>Robertson, Jerome_SOFTWARE_IT-SFT1453-OG-US-00</t>
  </si>
  <si>
    <t>IT-SFT1453-OG-US-00</t>
  </si>
  <si>
    <t>Robertson, Jerome_SOFTWARE_MISC001</t>
  </si>
  <si>
    <t>SOFTWARE Total</t>
  </si>
  <si>
    <t>TELECOMMUNICATIONS</t>
  </si>
  <si>
    <t>Dougherty, Chris_TELECOMMUNICATIONS_Telecom001</t>
  </si>
  <si>
    <t>Telecom001</t>
  </si>
  <si>
    <t>Ganesan, Srinivasan_TELECOMMUNICATIONS_Telecom001</t>
  </si>
  <si>
    <t>Jajodia, Amit_TELECOMMUNICATIONS_Telecom001</t>
  </si>
  <si>
    <t>Patel, Apurva_TELECOMMUNICATIONS_PR-320001-0000007901</t>
  </si>
  <si>
    <t>Patel, Apurva_TELECOMMUNICATIONS_PR-320001-0000007986</t>
  </si>
  <si>
    <t>Patel, Apurva_TELECOMMUNICATIONS_Telecom001</t>
  </si>
  <si>
    <t>Robertson, Jerome_TELECOMMUNICATIONS_Telecom001</t>
  </si>
  <si>
    <t>TELECOMMUNICATIONS Total</t>
  </si>
  <si>
    <t>TRAVEL &amp; ENTERTAINMENT</t>
  </si>
  <si>
    <t>Dougherty, Chris_TRAVEL &amp; ENTERTAINMENT_TravelEnt001</t>
  </si>
  <si>
    <t>TravelEnt001</t>
  </si>
  <si>
    <t>T&amp;E</t>
  </si>
  <si>
    <t>Ganesan, Srinivasan_TRAVEL &amp; ENTERTAINMENT_TravelEnt001</t>
  </si>
  <si>
    <t>Jajodia, Amit_TRAVEL &amp; ENTERTAINMENT_TravelEnt001</t>
  </si>
  <si>
    <t>Patel, Apurva_TRAVEL &amp; ENTERTAINMENT_CE-BTS23000-02-EX-GR</t>
  </si>
  <si>
    <t>CE-BTS23000-02-EX-GR</t>
  </si>
  <si>
    <t>Patel, Apurva_TRAVEL &amp; ENTERTAINMENT_IT-PBU1070-OT-IE-00</t>
  </si>
  <si>
    <t>Patel, Apurva_TRAVEL &amp; ENTERTAINMENT_PR-587101-0000007986</t>
  </si>
  <si>
    <t>Patel, Apurva_TRAVEL &amp; ENTERTAINMENT_TravelEnt001</t>
  </si>
  <si>
    <t>Patel, Apurva_TRAVEL &amp; ENTERTAINMENT_TravelEnt001_Reserve</t>
  </si>
  <si>
    <t>TravelEnt001_Reserve</t>
  </si>
  <si>
    <t>Robertson, Jerome_TRAVEL &amp; ENTERTAINMENT_TravelEnt001</t>
  </si>
  <si>
    <t>TRAVEL &amp; ENTERTAINMENT Total</t>
  </si>
  <si>
    <t>Grand Total</t>
  </si>
  <si>
    <t>Submissions</t>
  </si>
  <si>
    <t>Pre LE2 from Planful</t>
  </si>
  <si>
    <t>Working Forecast</t>
  </si>
  <si>
    <t>Variance &amp; Giveback Analysis</t>
  </si>
  <si>
    <t>Prior Submission</t>
  </si>
  <si>
    <t>0223 Extract</t>
  </si>
  <si>
    <t>Actual</t>
  </si>
  <si>
    <t>Forecast</t>
  </si>
  <si>
    <t>AP07</t>
  </si>
  <si>
    <t>YTD Variance</t>
  </si>
  <si>
    <t>(Input)</t>
  </si>
  <si>
    <t>(Calculated)</t>
  </si>
  <si>
    <t>LE2</t>
  </si>
  <si>
    <t>0223 Planful</t>
  </si>
  <si>
    <t>UID</t>
  </si>
  <si>
    <t>UID2</t>
  </si>
  <si>
    <t>NM</t>
  </si>
  <si>
    <t>NLT</t>
  </si>
  <si>
    <t>NPOC</t>
  </si>
  <si>
    <t>CCL3</t>
  </si>
  <si>
    <t>LT Member*</t>
  </si>
  <si>
    <t>LT Member -1*</t>
  </si>
  <si>
    <t>Point of Contact</t>
  </si>
  <si>
    <t>Description*</t>
  </si>
  <si>
    <t>Vendor*</t>
  </si>
  <si>
    <t>Cost Center*</t>
  </si>
  <si>
    <t>Prior Year PO</t>
  </si>
  <si>
    <t>2026  Purchase Order</t>
  </si>
  <si>
    <t>Pullforward</t>
  </si>
  <si>
    <t>2026 Budget Comment</t>
  </si>
  <si>
    <t>2026 Transfers</t>
  </si>
  <si>
    <t>2026 LE0</t>
  </si>
  <si>
    <t>LE2 Final Submission</t>
  </si>
  <si>
    <t>LE3 Final Submission</t>
  </si>
  <si>
    <t>LE4 Final Submission</t>
  </si>
  <si>
    <t>AP01</t>
  </si>
  <si>
    <t>AP02</t>
  </si>
  <si>
    <t>AP03</t>
  </si>
  <si>
    <t>AP04</t>
  </si>
  <si>
    <t>AP05</t>
  </si>
  <si>
    <t>AP06</t>
  </si>
  <si>
    <t>AP08</t>
  </si>
  <si>
    <t>AP09</t>
  </si>
  <si>
    <t>AP10</t>
  </si>
  <si>
    <t>AP11</t>
  </si>
  <si>
    <t>AP12</t>
  </si>
  <si>
    <t>2026 Working Total</t>
  </si>
  <si>
    <t>2026 Working Total to Budget/LE</t>
  </si>
  <si>
    <t>Latest AP Snapshot</t>
  </si>
  <si>
    <t>Latest AP Variance to Snapshot</t>
  </si>
  <si>
    <t>YTD Act to Bud/LE</t>
  </si>
  <si>
    <t>Giveback</t>
  </si>
  <si>
    <t>Other Allocation</t>
  </si>
  <si>
    <t>Giveback Comments</t>
  </si>
  <si>
    <t>AP01 LE2</t>
  </si>
  <si>
    <t>AP02 LE2</t>
  </si>
  <si>
    <t>AP03 LE2</t>
  </si>
  <si>
    <t>AP04 LE2</t>
  </si>
  <si>
    <t>AP05 LE2</t>
  </si>
  <si>
    <t>AP06 LE2</t>
  </si>
  <si>
    <t>AP07 LE2</t>
  </si>
  <si>
    <t>AP08 LE2</t>
  </si>
  <si>
    <t>AP09 LE2</t>
  </si>
  <si>
    <t>AP10 LE2</t>
  </si>
  <si>
    <t>AP11 LE2</t>
  </si>
  <si>
    <t>AP12 LE2</t>
  </si>
  <si>
    <t>2026 LE2 Working Total</t>
  </si>
  <si>
    <t>2026 AP01</t>
  </si>
  <si>
    <t>2026 AP02</t>
  </si>
  <si>
    <t>2026 AP03</t>
  </si>
  <si>
    <t>2026 AP04</t>
  </si>
  <si>
    <t>2026 AP05</t>
  </si>
  <si>
    <t>2026 AP06</t>
  </si>
  <si>
    <t>2026 AP07</t>
  </si>
  <si>
    <t>2026 AP08</t>
  </si>
  <si>
    <t>2026 AP09</t>
  </si>
  <si>
    <t>2026 AP10</t>
  </si>
  <si>
    <t>2026 AP11</t>
  </si>
  <si>
    <t>2026 AP12</t>
  </si>
  <si>
    <t>2026 LE0 Submission</t>
  </si>
  <si>
    <t>L-ERP-324</t>
  </si>
  <si>
    <t>Maguire, Karla_CONTRACTORS_ColleagueSolutions001</t>
  </si>
  <si>
    <t>Dougherty, Chris</t>
  </si>
  <si>
    <t>ERP</t>
  </si>
  <si>
    <t>Maguire, Karla</t>
  </si>
  <si>
    <t>Colleague Solutions Delivery Chargebacks</t>
  </si>
  <si>
    <t>CHW - Ok</t>
  </si>
  <si>
    <t>N/A</t>
  </si>
  <si>
    <t>KP- Could you confirm who this line was transferred to?</t>
  </si>
  <si>
    <t/>
  </si>
  <si>
    <t>L-ERP-369</t>
  </si>
  <si>
    <t>McCormick, Pete_CONTRACTORS_ColleagueSolutions001</t>
  </si>
  <si>
    <t>McCormick, Pete</t>
  </si>
  <si>
    <t>L-ERP-092</t>
  </si>
  <si>
    <t>Enhance Chargeout Cost Centers</t>
  </si>
  <si>
    <t>2329946; 2329949</t>
  </si>
  <si>
    <t>CHW - Ok ~9500</t>
  </si>
  <si>
    <t>L-ERP-370</t>
  </si>
  <si>
    <t>McCormick, Pete_CONTRACTORS_EnhanceChargeout001</t>
  </si>
  <si>
    <t>2329947</t>
  </si>
  <si>
    <t>CHW - F/U</t>
  </si>
  <si>
    <t>L-ERP-444</t>
  </si>
  <si>
    <t>Meadows, Leslie_CONTRACTORS_EnhanceChargeout001</t>
  </si>
  <si>
    <t>Meadows, Leslie</t>
  </si>
  <si>
    <t>2329948</t>
  </si>
  <si>
    <t>KP - ER #'s in Project Code comments</t>
  </si>
  <si>
    <t>L-ERP-473</t>
  </si>
  <si>
    <t>Patel, Nikunj Rohitkumar_CONTRACTORS_EnhanceChargeout001</t>
  </si>
  <si>
    <t>Patel, Nikunj Rohitkumar</t>
  </si>
  <si>
    <t>KP - Where would i be able to get more details on this? Please advise. thank you</t>
  </si>
  <si>
    <t>ERP-026</t>
  </si>
  <si>
    <t>Tamavada, Ram_CONTRACTORS_EnhanceChargeout001</t>
  </si>
  <si>
    <t>Tamavada, Ram</t>
  </si>
  <si>
    <t>SAP SECURITY CLIENT PROJECTS-IBM</t>
  </si>
  <si>
    <t>IBM</t>
  </si>
  <si>
    <t>2339537</t>
  </si>
  <si>
    <t>ERP-037</t>
  </si>
  <si>
    <t>DIGITAL-CITRIX-APPSTREAMING</t>
  </si>
  <si>
    <t>2321402</t>
  </si>
  <si>
    <t>L-ERP-518</t>
  </si>
  <si>
    <t>Tamavada, Ram_CONTRACTORS_EP&amp;SCharges001</t>
  </si>
  <si>
    <t>Infrastructure Billing Charges</t>
  </si>
  <si>
    <t>2320843;2321403</t>
  </si>
  <si>
    <t>L-ERP-439</t>
  </si>
  <si>
    <t>Meadows, Leslie_CONTRACTORS_IT-CTR0044-OG-US-00</t>
  </si>
  <si>
    <t>SSCS Services (Karla)_XFR0954 &amp; XFR0934 &amp; XFR0932 &amp; XFR0913 &amp; XFR0940 &amp; XFR0941</t>
  </si>
  <si>
    <t>testing factory adjustment</t>
  </si>
  <si>
    <t>L-ERP-323</t>
  </si>
  <si>
    <t>Maguire, Karla_CONTRACTORS_IT-CTR0067-OG-CR-00</t>
  </si>
  <si>
    <t>*RonMendler*_EPS203076 - Edicom CR Recepcion Enero-Diciembre 2025</t>
  </si>
  <si>
    <t>L-ERP-348</t>
  </si>
  <si>
    <t>McCormick, Pete_CONTRACTORS_IT-CTR0093-OG-US-00</t>
  </si>
  <si>
    <t>SAP Platform Engineers (Judge)</t>
  </si>
  <si>
    <t>2329614</t>
  </si>
  <si>
    <t>Multiple</t>
  </si>
  <si>
    <t>L-ERP-108</t>
  </si>
  <si>
    <t>BPAI Axway B2Bi - L4 Engineer (ML-0024)</t>
  </si>
  <si>
    <t>JUDGE TECHNICAL STAFFING</t>
  </si>
  <si>
    <t>2137469</t>
  </si>
  <si>
    <t>9501146792</t>
  </si>
  <si>
    <t>L-ERP-109</t>
  </si>
  <si>
    <t>SAP PI L4 Engineer</t>
  </si>
  <si>
    <t>MPHASIS CORPORATION</t>
  </si>
  <si>
    <t>9501172399</t>
  </si>
  <si>
    <t>L-ERP-050</t>
  </si>
  <si>
    <t>BPAI IBM B2Bi - GMFT L4 Engineer (ML-0738)</t>
  </si>
  <si>
    <t>9501146194</t>
  </si>
  <si>
    <t>L-ERP-051</t>
  </si>
  <si>
    <t>BPAI IBM B2Bi - EDI L4 Engineer (ML-0728)</t>
  </si>
  <si>
    <t>COMBINED COMPUTER RESOURCES INC</t>
  </si>
  <si>
    <t>9501146188</t>
  </si>
  <si>
    <t>L-ERP-052</t>
  </si>
  <si>
    <t>BPAI MQ/MB - L4 Engineer (ML-0730)</t>
  </si>
  <si>
    <t>ACCENTURE LLP</t>
  </si>
  <si>
    <t>9501155447</t>
  </si>
  <si>
    <t>L-ERP-081</t>
  </si>
  <si>
    <t>BPAI IBM B2Bi - GMFT L4 Engineer (ML-0732)</t>
  </si>
  <si>
    <t>INFOSYS LIMITED</t>
  </si>
  <si>
    <t>9501140303</t>
  </si>
  <si>
    <t>L-ERP-082</t>
  </si>
  <si>
    <t>BPAI AutoSys/UC4 - L4 Engineer (ML-0733)</t>
  </si>
  <si>
    <t>9501145077</t>
  </si>
  <si>
    <t>L-ERP-083</t>
  </si>
  <si>
    <t>BPAI Cross-Functional Audit Specialist (ML-0735)</t>
  </si>
  <si>
    <t>9501145076</t>
  </si>
  <si>
    <t>L-ERP-440</t>
  </si>
  <si>
    <t>Meadows, Leslie_CONTRACTORS_IT-CTR0105-OG-US-00</t>
  </si>
  <si>
    <t>Chargeback / ERP Change Management Solution PA APP</t>
  </si>
  <si>
    <t>N</t>
  </si>
  <si>
    <t>KP - 'Services Discontinued as per Leslie.</t>
  </si>
  <si>
    <t>Services Discontinued as per Leslie - Kinjal</t>
  </si>
  <si>
    <t>L-ERP-366</t>
  </si>
  <si>
    <t>McCormick, Pete_CONTRACTORS_IT-CTR0130-OG-US-00</t>
  </si>
  <si>
    <t>SAP Basis Engineering Projects (IBM)</t>
  </si>
  <si>
    <t>9501143253</t>
  </si>
  <si>
    <t>PO 9501143253 ($357k)</t>
  </si>
  <si>
    <t>L-ERP-084</t>
  </si>
  <si>
    <t>2026 SAP Max Attention Days</t>
  </si>
  <si>
    <t>Prepaid - SAP AMERICA INC</t>
  </si>
  <si>
    <t>9501158603</t>
  </si>
  <si>
    <t>5/7 CHW - Updated for soft close on prepaid at 137,279 monthly or AP03 1,647,350 Invoice</t>
  </si>
  <si>
    <t>5/7 CHW - Diff is prepaid amort on invoiced amt</t>
  </si>
  <si>
    <t>N-ERP-503</t>
  </si>
  <si>
    <t>BDC Reclass - 2026 SAP Max Attention Days</t>
  </si>
  <si>
    <t>N-ERP-504</t>
  </si>
  <si>
    <t>Colalborate 360 Reclass - 2026 SAP Max Attention Days</t>
  </si>
  <si>
    <t>N-ERP-505</t>
  </si>
  <si>
    <t>iERP Reclass - 2026 SAP Max Attention Days</t>
  </si>
  <si>
    <t>N-ERP-506</t>
  </si>
  <si>
    <t>S4 Innovation Reclass - 2026 SAP Max Attention Days</t>
  </si>
  <si>
    <t>L-ERP-085</t>
  </si>
  <si>
    <t>6/4 CHW - Removed AP06 Forecast as items hit in AP05</t>
  </si>
  <si>
    <t>L-ERP-086</t>
  </si>
  <si>
    <t>L-ERP-087</t>
  </si>
  <si>
    <t>L-ERP-088</t>
  </si>
  <si>
    <t>N-ERP-606</t>
  </si>
  <si>
    <t>Meadows, Leslie_CONTRACTORS_IT-CTR0140-OT-US-00</t>
  </si>
  <si>
    <t>Tricentis Tosca Professional Services</t>
  </si>
  <si>
    <t>TRICENTIS USA CORP</t>
  </si>
  <si>
    <t>2321403</t>
  </si>
  <si>
    <t>9501021870</t>
  </si>
  <si>
    <t>4/28/26 CHW New add to tie-out 0223 to 0317 Planful Extracts 2026 Tricentis Tosca Professional Services has been reduced from $8,000 to $0 by deferring upgrade/optimization work and will be revisited in 2027</t>
  </si>
  <si>
    <t>L-ERP-089</t>
  </si>
  <si>
    <t>Accenture: eWM Integration</t>
  </si>
  <si>
    <t>9501182158</t>
  </si>
  <si>
    <t>L-ERP-090</t>
  </si>
  <si>
    <t>Accenture: Technical Development Support</t>
  </si>
  <si>
    <t>9501235860</t>
  </si>
  <si>
    <t>L-ERP-091</t>
  </si>
  <si>
    <t>Syniti Knowledge Platform Support</t>
  </si>
  <si>
    <t>BACKOFFICE ASSOCIATES LLC</t>
  </si>
  <si>
    <t>2329946</t>
  </si>
  <si>
    <t>9501234927</t>
  </si>
  <si>
    <t>L-ERP-535</t>
  </si>
  <si>
    <t>Tamavada, Ram_CONTRACTORS_IT-FBT0066-OG-IN-00</t>
  </si>
  <si>
    <t>India Sales Order Management Support (SAP SME Support)</t>
  </si>
  <si>
    <t>ERP-071</t>
  </si>
  <si>
    <t>2026 IBM SAP SVO Basis Staff Augmentation</t>
  </si>
  <si>
    <t>ForD</t>
  </si>
  <si>
    <t>8/3:  actuals on line with WBS code FBT0213</t>
  </si>
  <si>
    <t>L-ERP-381</t>
  </si>
  <si>
    <t>McCormick, Pete_CONTRACTORS_IT-FBT0213-OG-US-00</t>
  </si>
  <si>
    <t>SAP Basis Engineering Projects (Compucom)</t>
  </si>
  <si>
    <t>PO 9501164195, 9501158807, 9501164196 ($948k)</t>
  </si>
  <si>
    <t>L-ERP-080</t>
  </si>
  <si>
    <t>ESC/AIS APP &amp; Platform Support: ESC/AIS Mulesoft M</t>
  </si>
  <si>
    <t>L-ERP-315</t>
  </si>
  <si>
    <t>Maguire, Karla_CONTRACTORS_IT-FBT0245-OG-US-00</t>
  </si>
  <si>
    <t>Enterprise Integration Hub (EIH) - Code repository, DevOps and API</t>
  </si>
  <si>
    <t>L-ERP-517</t>
  </si>
  <si>
    <t>Tamavada, Ram_CONTRACTORS_IT-FBT0245-OG-US-00</t>
  </si>
  <si>
    <t>2320843</t>
  </si>
  <si>
    <t>L-ERP-355</t>
  </si>
  <si>
    <t>McCormick, Pete_CONTRACTORS_IT-FBT0509-OG-US-00</t>
  </si>
  <si>
    <t>SAP BTP Level 4 Engineer</t>
  </si>
  <si>
    <t>L-ERP-536</t>
  </si>
  <si>
    <t>Tamavada, Ram_CONTRACTORS_IT-FBT0636-OG-IN-00</t>
  </si>
  <si>
    <t>India SAP Helpdesk Support / Team Computers L1/L1.5</t>
  </si>
  <si>
    <t>L-ERP-537</t>
  </si>
  <si>
    <t>Tamavada, Ram_CONTRACTORS_IT-FBT0637-OG-IN-00</t>
  </si>
  <si>
    <t>India Prime Solution Maintenance</t>
  </si>
  <si>
    <t>ERP-051</t>
  </si>
  <si>
    <t>Tamavada, Ram_CONTRACTORS_IT-FBT0770-OT-US-00</t>
  </si>
  <si>
    <t>DIGITAL-APPHOSTING-DATABASE-PROJECT</t>
  </si>
  <si>
    <t>L-ERP-441</t>
  </si>
  <si>
    <t>Meadows, Leslie_CONTRACTORS_IT-FBT0780-OT-US-00</t>
  </si>
  <si>
    <t>SSCS Operational Support</t>
  </si>
  <si>
    <t>9501157382 9501158432
9501157088</t>
  </si>
  <si>
    <t xml:space="preserve">AP06 - Accrual Reversal for PO 9500800241(44,938)
</t>
  </si>
  <si>
    <t>L-ERP-442</t>
  </si>
  <si>
    <t>Meadows, Leslie_CONTRACTORS_IT-FBT0801-OG-US-00</t>
  </si>
  <si>
    <t>SSCS - Functional Support (ACN Testing, IBM testing)</t>
  </si>
  <si>
    <t>AP07 have extra auto accrual for $54,481.00 will be reversed in AP08</t>
  </si>
  <si>
    <t>L-ERP-443</t>
  </si>
  <si>
    <t>Meadows, Leslie_CONTRACTORS_IT-FBT0826-OG-US-00</t>
  </si>
  <si>
    <t>Insight GlobaL: SAP Support Services</t>
  </si>
  <si>
    <t>KP - 9501160146</t>
  </si>
  <si>
    <t>L-ERP-367</t>
  </si>
  <si>
    <t>McCormick, Pete_CONTRACTORS_IT-FBT0831-OT-US-00</t>
  </si>
  <si>
    <t>SAP Platform- IBM Power Lab Consulting</t>
  </si>
  <si>
    <t>9501155336</t>
  </si>
  <si>
    <t>L-ERP-368</t>
  </si>
  <si>
    <t>McCormick, Pete_CONTRACTORS_IT-FBT0832-OT-US-00</t>
  </si>
  <si>
    <t>SAP Platform- IBM Power Breakfix Consulting</t>
  </si>
  <si>
    <t>9501153160</t>
  </si>
  <si>
    <t>N-ERP-507</t>
  </si>
  <si>
    <t>IBM BPAI AMS (ML-0726)</t>
  </si>
  <si>
    <t>4/28/26 CHW New add to tie-out 0223 to 0317 Planful Extracts Account Movement - IBM AMS forecast is recorded under Contractors, while actuals are posted to Managed Services. Zeroed remaining forecast as forecasted under Managed Services</t>
  </si>
  <si>
    <t>ERP-061</t>
  </si>
  <si>
    <t>Tamavada, Ram_CONTRACTORS_IT-FBT0393-OG-JP-00</t>
  </si>
  <si>
    <t>SAP Finance (FI) Level 2 application support / IT-FBT0393-OG-JP-00 / June 01, 2026 - December 31, 2</t>
  </si>
  <si>
    <t>IBM Corp</t>
  </si>
  <si>
    <t>IT-PGS0057-OG-US-00</t>
  </si>
  <si>
    <t>L-ERP-093</t>
  </si>
  <si>
    <t>Miscellaneous Charges</t>
  </si>
  <si>
    <t>L-ERP-325</t>
  </si>
  <si>
    <t>Maguire, Karla_CONTRACTORS_MISC001</t>
  </si>
  <si>
    <t>L-ERP-371</t>
  </si>
  <si>
    <t>McCormick, Pete_CONTRACTORS_MISC001</t>
  </si>
  <si>
    <t>L-ERP-445</t>
  </si>
  <si>
    <t>Meadows, Leslie_CONTRACTORS_MISC001</t>
  </si>
  <si>
    <t>KP - Not sure what this are. Please advise.</t>
  </si>
  <si>
    <t>L-ERP-541</t>
  </si>
  <si>
    <t>Tamavada, Ram_CONTRACTORS_MISC001</t>
  </si>
  <si>
    <t>2320843;2321403;2662855</t>
  </si>
  <si>
    <t>KP - May i please get more details on this actual? Can't find it in the actuals file.</t>
  </si>
  <si>
    <t>L-ERP-094</t>
  </si>
  <si>
    <t>PO Closure Credit</t>
  </si>
  <si>
    <t>L-ERP-446</t>
  </si>
  <si>
    <t>Meadows, Leslie_CONTRACTORS_POClosure001</t>
  </si>
  <si>
    <t>N-ERP-557</t>
  </si>
  <si>
    <t>Ganesan, Srinivasan</t>
  </si>
  <si>
    <t>Hase, Raj</t>
  </si>
  <si>
    <t>DeHart, Lynn</t>
  </si>
  <si>
    <t>GSC AMER - Last Mile Strategy - Delivery Milestones &amp; Dashboards - 50% One offshore contractor; New Global Capability. Only 0.5FTE requested for support. Eventually, will be transferred to BTAMS</t>
  </si>
  <si>
    <t>4/28/26 CHW New add to tie-out 0223 to 0317 Planful Extracts</t>
  </si>
  <si>
    <t>XFRs not needed in 2026</t>
  </si>
  <si>
    <t>N-ERP-558</t>
  </si>
  <si>
    <t>GSC AMER: MIRT Replacement - Phase II and deploy to other markets - 1 Offshore contractor. New capability for Late repackaging. This is a solution resource.</t>
  </si>
  <si>
    <t>4/28/26 CHW New add to tie-out 0223 to 0317 Planful Extracts 2/20 Updated per RG - able to leverate existing contractors</t>
  </si>
  <si>
    <t>N-ERP-559</t>
  </si>
  <si>
    <t>GSC GLNS ALC Redressing - 50% One offshore contractor; New Global Capability. Only 0.5FTE requested for support. Eventually, will be transferred to BTAMS</t>
  </si>
  <si>
    <t>N-ERP-560</t>
  </si>
  <si>
    <t>GSC Comirnaty Launch 2025 - One offshore contractor to support new capabilities are built as part of this initiative, including new interfaces and Fiori Apps and dashboards</t>
  </si>
  <si>
    <t>L-ERP-154</t>
  </si>
  <si>
    <t>2340697</t>
  </si>
  <si>
    <t>4/30 - CHW Team to F/U as thinks these should be reclassed elsewhere in AP05</t>
  </si>
  <si>
    <t xml:space="preserve">Needs to be investigated. </t>
  </si>
  <si>
    <t>L-ERP-141</t>
  </si>
  <si>
    <t>GLNS IERP Budget Tool ABAP_XFR0948</t>
  </si>
  <si>
    <t>2320521</t>
  </si>
  <si>
    <t>9501226983</t>
  </si>
  <si>
    <t xml:space="preserve">IERP Support costs. Incorrectly transferred to Karla's cost center. This should have been transferred to Jerome. </t>
  </si>
  <si>
    <t>L-ERP-142</t>
  </si>
  <si>
    <t>Planning Pfizer Connect Specialist Support_XFR0670 &amp; XFR0955</t>
  </si>
  <si>
    <t>Don't know what this is. - This is Glenn White's PO 9500912136</t>
  </si>
  <si>
    <t>L-ERP-123</t>
  </si>
  <si>
    <t>GLNS Ingestion of IOT to UDH-CDM_XFR0962</t>
  </si>
  <si>
    <t>9501015433</t>
  </si>
  <si>
    <t>L-ERP-143</t>
  </si>
  <si>
    <t>Logistics Cyclical Counting Calendar Mexico</t>
  </si>
  <si>
    <t>L-ERP-144</t>
  </si>
  <si>
    <t>Logistics Financial Reserve in Mexico</t>
  </si>
  <si>
    <t>L-ERP-145</t>
  </si>
  <si>
    <t>Logistics LATAM Support</t>
  </si>
  <si>
    <t>L-ERP-146</t>
  </si>
  <si>
    <t>GLNS - E2E Functional Support</t>
  </si>
  <si>
    <t>9501178401</t>
  </si>
  <si>
    <t>Combination of XFR 0027A, 0038A, 0039A, 0042A.  Reduced to $335K</t>
  </si>
  <si>
    <t>L-ERP-147</t>
  </si>
  <si>
    <t>Global Supply Chain Market Logistics 2026 XFERs-0023,0043,0051</t>
  </si>
  <si>
    <t>0043, 0051)</t>
  </si>
  <si>
    <t>L-ERP-148</t>
  </si>
  <si>
    <t>Market Logistics Functional Support</t>
  </si>
  <si>
    <t>IBM CORP</t>
  </si>
  <si>
    <t>9501181803</t>
  </si>
  <si>
    <t>Reduce BAU contractors, Move contractors to offshore.Move contractors to Project funding.</t>
  </si>
  <si>
    <t>L-ERP-149</t>
  </si>
  <si>
    <t>GLNS Functional Support</t>
  </si>
  <si>
    <t>9501178403</t>
  </si>
  <si>
    <t>Leverage existing contractors.</t>
  </si>
  <si>
    <t>L-ERP-138</t>
  </si>
  <si>
    <t>MuleSoft - GLNS (Contractors)_XFR0786</t>
  </si>
  <si>
    <t>L-ERP-139</t>
  </si>
  <si>
    <t>Mulesoft - Logistics (Contractors)</t>
  </si>
  <si>
    <t>L-ERP-150</t>
  </si>
  <si>
    <t>GLNS Process Optimization &amp; Compliance Contractor</t>
  </si>
  <si>
    <t>4/30 - Team to reclass btwn MG &amp; Contractors</t>
  </si>
  <si>
    <t>L-ERP-135</t>
  </si>
  <si>
    <t>MetaStorm - Import Manager Contractor Support</t>
  </si>
  <si>
    <t>4/30 CHW - duplicate lines moved to match actuals</t>
  </si>
  <si>
    <t>L-ERP-151</t>
  </si>
  <si>
    <t>GLNS Analytics Resources</t>
  </si>
  <si>
    <t>9501171323</t>
  </si>
  <si>
    <t>4/30 - CHW follow-up with Sashi M on XFR and LE2 status</t>
  </si>
  <si>
    <t>$770K to be transferred to Sashi in 2027</t>
  </si>
  <si>
    <t>L-ERP-152</t>
  </si>
  <si>
    <t>GLNS Functional Support_XFR0974 &amp; XFR0929 &amp; XFR0906 &amp; XFR0959</t>
  </si>
  <si>
    <t>Giveback is the portain earmarked for colleague vacant position that was already accounted for in Compensation.</t>
  </si>
  <si>
    <t>L-ERP-016</t>
  </si>
  <si>
    <t>DeHart, Lynn_CONTRACTORS_IT-PBU0901-OT-US-00</t>
  </si>
  <si>
    <t>P324-0013439-GSC EMEA: Dx Sub-cluster –</t>
  </si>
  <si>
    <t>2351818</t>
  </si>
  <si>
    <t>9501182061</t>
  </si>
  <si>
    <t>8/3 - Move LT Member-1  to Srinivasan Ganesan (RG)</t>
  </si>
  <si>
    <t>L-ERP-017</t>
  </si>
  <si>
    <t>DeHart, Lynn_CONTRACTORS_IT-PBU1059-OT-US-00</t>
  </si>
  <si>
    <t>P325-0016309-2026 GSC Regions: Logistics</t>
  </si>
  <si>
    <t xml:space="preserve">Multiple </t>
  </si>
  <si>
    <t>L-ERP-153</t>
  </si>
  <si>
    <t>Logistics E2Open Software Support</t>
  </si>
  <si>
    <t xml:space="preserve">Need to be cross charged to projects. </t>
  </si>
  <si>
    <t>L-ERP-155</t>
  </si>
  <si>
    <t>L-ERP-156</t>
  </si>
  <si>
    <t>ERP-070</t>
  </si>
  <si>
    <t>Hase, Raj_CONTRACTORS</t>
  </si>
  <si>
    <t>SAP RISE</t>
  </si>
  <si>
    <t>P326-0017566 - SAP RISE (pending CPA approval)</t>
  </si>
  <si>
    <t>N-ERP-567</t>
  </si>
  <si>
    <t>L-ERP-186</t>
  </si>
  <si>
    <t>2340693</t>
  </si>
  <si>
    <t>6/15 - balance to zero</t>
  </si>
  <si>
    <t>L-ERP-570</t>
  </si>
  <si>
    <t>Yeluri, Durga_CONTRACTORS_EP&amp;SCharges001</t>
  </si>
  <si>
    <t>Yeluri, Durga</t>
  </si>
  <si>
    <t>2329612</t>
  </si>
  <si>
    <t>ERP-038</t>
  </si>
  <si>
    <t>CLD Retrieval Servic - RC03-RC05--MEDICAID CLAIMS LEVEL DETAIL (CLD) QUA</t>
  </si>
  <si>
    <t>2329609</t>
  </si>
  <si>
    <t>9501148914</t>
  </si>
  <si>
    <t>8/11 TW: submitted reclass form 000690 to move charges from contractors to MS. Zeroed out AP10 forecast and in contractors and added to AP10 forecast for MS. '8/5 $50k remaining on this PO.  Actuals reported on both lines total to $150k.  Total forecast $200k.
'6/15 Forecast moved from Managed Services L-ERP-180 to Contractors line ERP-038 to align with PO Actuals
Forecast moved from Mike H to Raj H</t>
  </si>
  <si>
    <t>ERP-039</t>
  </si>
  <si>
    <t>L-ERP-578</t>
  </si>
  <si>
    <t>Yeluri, Durga_CONTRACTORS_MISC001</t>
  </si>
  <si>
    <t>L-ERP-579</t>
  </si>
  <si>
    <t>Yeluri, Durga_CONTRACTORS_POClosure001</t>
  </si>
  <si>
    <t>L-ERP-197</t>
  </si>
  <si>
    <t>Herman, Shaun</t>
  </si>
  <si>
    <t>2329611</t>
  </si>
  <si>
    <t>L-ERP-204</t>
  </si>
  <si>
    <t>Master Data BAU support_XFR0672 &amp; XFR0938 &amp; XFR0934 &amp; XFR0932 &amp; XFR0846 &amp; XFR0913</t>
  </si>
  <si>
    <t>9501157539</t>
  </si>
  <si>
    <t>Onshore/Offshore Mix Adjustment</t>
  </si>
  <si>
    <t>L-ERP-205</t>
  </si>
  <si>
    <t>MD Packaging Support_XFR0934</t>
  </si>
  <si>
    <t>9501242577</t>
  </si>
  <si>
    <t>L-ERP-206</t>
  </si>
  <si>
    <t>MD ABAP NPL Integration_XFR0849</t>
  </si>
  <si>
    <t>L-ERP-207</t>
  </si>
  <si>
    <t>MD TINS Support_XFR1020</t>
  </si>
  <si>
    <t>L-ERP-201</t>
  </si>
  <si>
    <t>Metastorm Platform - PAL Application Support</t>
  </si>
  <si>
    <t>Moved to Managed Services</t>
  </si>
  <si>
    <t>L-ERP-194</t>
  </si>
  <si>
    <t>Infrastructure Charges - Ariba Server Superclusters Support</t>
  </si>
  <si>
    <t>L-ERP-214</t>
  </si>
  <si>
    <t>SAP CIG Annual Upgrade Support</t>
  </si>
  <si>
    <t>L-ERP-202</t>
  </si>
  <si>
    <t>MetaStorm - MD eSponsor Application Support &amp; Maintenance</t>
  </si>
  <si>
    <t>L-ERP-193</t>
  </si>
  <si>
    <t>Strategic Sourcing Solution Phase 1 - 60% 1 offshore contractor - New Product Application to Support Global Strategic Sourcing; Assumes MetaStorm $40,000 offshore contractor to cover the entire year</t>
  </si>
  <si>
    <t>L-ERP-208</t>
  </si>
  <si>
    <t>P324-0014105-Strategic Sourcing Solution</t>
  </si>
  <si>
    <t>L-ERP-209</t>
  </si>
  <si>
    <t>L-ERP-210</t>
  </si>
  <si>
    <t>L-ERP-556</t>
  </si>
  <si>
    <t>Vaidya, Sachin_CONTRACTORS_EnhanceChargeout001</t>
  </si>
  <si>
    <t>Hovanyetz, Mike</t>
  </si>
  <si>
    <t>Vaidya, Sachin</t>
  </si>
  <si>
    <t>2340696</t>
  </si>
  <si>
    <t>Sachin (4/30): OK</t>
  </si>
  <si>
    <t>L-ERP-553</t>
  </si>
  <si>
    <t>Vaidya, Sachin_CONTRACTORS_IT-CTR0151-OG-US-00</t>
  </si>
  <si>
    <t>SAP Intelligent Service Cloud - IBM BTAMS support costs (1 FTE)</t>
  </si>
  <si>
    <t>2329610</t>
  </si>
  <si>
    <t>9501237041</t>
  </si>
  <si>
    <t>4/29 CHW  Looks like duplicate; Review UID N-ERP-617
Sachin (4/30): OK</t>
  </si>
  <si>
    <t>Acct Mvmnt - IT-CTR0151-OG-US-00/IT-SFT1462-OG-US-00</t>
  </si>
  <si>
    <t>L-ERP-216</t>
  </si>
  <si>
    <t>Claim Level Detail (CLD) Retrieval Service</t>
  </si>
  <si>
    <t>2321347</t>
  </si>
  <si>
    <t>CHW 4/30 - Added AP04 actuals and AP05 reclass as PO updated to move to Raj H</t>
  </si>
  <si>
    <t>ERP-019</t>
  </si>
  <si>
    <t>DeHart, Lynn_CONTRACTORS_IT-FBU0966-OT-US-00</t>
  </si>
  <si>
    <t>PRIME AUTOMATION TEST LEAD - COMPETE _ R</t>
  </si>
  <si>
    <t>TATA CONSULTANCY SERVICES</t>
  </si>
  <si>
    <t>2321399</t>
  </si>
  <si>
    <t>9501226595</t>
  </si>
  <si>
    <t>8/5: Transfer to Mike Hovanyetz</t>
  </si>
  <si>
    <t>L-ERP-554</t>
  </si>
  <si>
    <t>Vaidya, Sachin_CONTRACTORS_IT-SFT1458-OG-US-00</t>
  </si>
  <si>
    <t>SAP Intelligent Service Cloud (ISC) Software and AI cost</t>
  </si>
  <si>
    <t>Sachin (4/30): This WBS was created with the wrong expense category hence the charge was reversed. This row can be removed. Its replaced by row 422.</t>
  </si>
  <si>
    <t>L-ERP-555</t>
  </si>
  <si>
    <t>Vaidya, Sachin_CONTRACTORS_IT-SFT1459-OG-US-00</t>
  </si>
  <si>
    <t>Conexiom Software and Support cost</t>
  </si>
  <si>
    <t>Sachin (4/30): This WBS was created with the wrong expense category hence the charge was reversed. This row can be removed. Its replaced by row 423.</t>
  </si>
  <si>
    <t>ERP-040</t>
  </si>
  <si>
    <t>L-ERP-557</t>
  </si>
  <si>
    <t>Vaidya, Sachin_CONTRACTORS_MISC001</t>
  </si>
  <si>
    <t>Sachin (4/30): Not managed by me</t>
  </si>
  <si>
    <t>N-ERP-576</t>
  </si>
  <si>
    <t>Jajodia, Amit</t>
  </si>
  <si>
    <t>External Supply 2025 SCC Supply Chain Collaboration - DP &amp; SCC Solutions / Sustaining lifecycle Resources - Consultants. Deferred from 2025 to 2026, agreed with Susan - XFR0953</t>
  </si>
  <si>
    <t>4/28/26 CHW New add to tie-out 0223 to 0317 Planful Extracts Funding would go back to business. Want to combine this into IT-FBT0785
' XfR-0028-A had a transfer for 266K. This transfer is being merged in the WBS FBT0785 (original 325K). The forecast has been reduced to 378K, effectively reducing the forecast by $210K - AJ - 05/01</t>
  </si>
  <si>
    <t>Acct Mvmnt -'IT-FBT0785-OG-US-00/2026-XFR-0028-A Merged</t>
  </si>
  <si>
    <t>L-ERP-227</t>
  </si>
  <si>
    <t>2024 BRM - Quality Q Ship Project - New project going live in Nov 2025. Support costs for new solution and fine tuning</t>
  </si>
  <si>
    <t xml:space="preserve"> XfR-0050-A had a transfer for 150K. This transfer is being merged wth WBS  CTR0041 (original 824K). The forecast has been reduced to 592K, effectively reducing the forecast by $362K, XFR-0050 will 0 - AJ - 05/01</t>
  </si>
  <si>
    <t>N-ERP-577</t>
  </si>
  <si>
    <t>2024 External Supply Portfolio Lifecycle - Sustain &amp; Grow - External Supply - Solutions functional support</t>
  </si>
  <si>
    <t>8/10 CHW Removed credits from XFR lines</t>
  </si>
  <si>
    <t>N-ERP-578</t>
  </si>
  <si>
    <t>External Supply Portfolio Lifecycle - Service Now - External Supply - Solutions functional support</t>
  </si>
  <si>
    <t>L-ERP-244</t>
  </si>
  <si>
    <t>2340694;2329901;2340695</t>
  </si>
  <si>
    <t>L-ERP-235</t>
  </si>
  <si>
    <t>Manufacturing ABAP support_XFR0942</t>
  </si>
  <si>
    <t>2321216</t>
  </si>
  <si>
    <t>L-ERP-236</t>
  </si>
  <si>
    <t>Manufacturing EWM ASRS &amp; ZDI Support_XFR1023</t>
  </si>
  <si>
    <t>9501228166</t>
  </si>
  <si>
    <t>L-ERP-237</t>
  </si>
  <si>
    <t>Planning IBP Demand &amp; Forecasting Support_XFR0933 &amp; XFR0957</t>
  </si>
  <si>
    <t>9501163821</t>
  </si>
  <si>
    <t>N-ERP-579</t>
  </si>
  <si>
    <t>ES Lifecycle Solutions Support_XFR0933 &amp; XFR0936</t>
  </si>
  <si>
    <t>4/28/26 CHW New add to tie-out 0223 to 0317 Planful Extracts Timing - ES Lifecycle Solutions Support_XFR0933 &amp; XFR0936 delay spending</t>
  </si>
  <si>
    <t>ERP-035</t>
  </si>
  <si>
    <t>DeHart, Lynn_CONTRACTORS_IT-CTR0034-OG-US-00</t>
  </si>
  <si>
    <t xml:space="preserve">Quality audit - SAP QM Offshore Consultant </t>
  </si>
  <si>
    <t>9501273936:9501276524;9501286159</t>
  </si>
  <si>
    <t>8/3 - Move LT Member-1 to Amit Jajodia; 8/10 CHW - Added reclass to move spend to Amit</t>
  </si>
  <si>
    <t>L-ERP-238</t>
  </si>
  <si>
    <t>Quality Audit, Investigations, SMS &amp; Fiori_XFR0910</t>
  </si>
  <si>
    <t>9501173617;9501004482;9501174772;9501296040;9501296406;9501296042</t>
  </si>
  <si>
    <t>L-ERP-239</t>
  </si>
  <si>
    <t>Quality SAP QC, Quadra, BRM &amp; MR_XFR0667 &amp; XFR0964 &amp; XFR0857</t>
  </si>
  <si>
    <t>L-ERP-240</t>
  </si>
  <si>
    <t>L-ERP-241</t>
  </si>
  <si>
    <t>Enterprise Integration MTES</t>
  </si>
  <si>
    <t>L-ERP-242</t>
  </si>
  <si>
    <t>Planning nGPS Support</t>
  </si>
  <si>
    <t>9501184649</t>
  </si>
  <si>
    <t>L-ERP-234</t>
  </si>
  <si>
    <t>Mulesoft - Quality Mulesoft (Contractors)</t>
  </si>
  <si>
    <t>L-ERP-243</t>
  </si>
  <si>
    <t>ES SCC &amp; CMO Support_XFR0923 &amp; XFR0862 &amp; XFR0924</t>
  </si>
  <si>
    <t xml:space="preserve"> XfR-0028-A had a transfer for 266K. This transfer is being merged in the WBS FBT0785 (original 325K). The forecast has been reduced to 378K, effectively reducing the forecast by $210K - AJ - 05/01</t>
  </si>
  <si>
    <t>L-ERP-245</t>
  </si>
  <si>
    <t>L-ERP-246</t>
  </si>
  <si>
    <t>L-ERP-433</t>
  </si>
  <si>
    <t>McGettigan, David_CONTRACTORS_CC-BTF25001-02-EX</t>
  </si>
  <si>
    <t>Patel, Apurva</t>
  </si>
  <si>
    <t>McGettigan, David</t>
  </si>
  <si>
    <t>Jerome Robertson</t>
  </si>
  <si>
    <t>P323-0011535 - SAP BW/4HANA Upgrade</t>
  </si>
  <si>
    <t>9501157002</t>
  </si>
  <si>
    <t>P323-0011535 - SAP BW</t>
  </si>
  <si>
    <t>L-ERP-434</t>
  </si>
  <si>
    <t>McGettigan, David_CONTRACTORS_CE-BTF22001-02-EX</t>
  </si>
  <si>
    <t>SAP / S4 HANA</t>
  </si>
  <si>
    <t>P321-0006710 - SAP S/4</t>
  </si>
  <si>
    <t>L-ERP-429</t>
  </si>
  <si>
    <t>McGettigan, David_CONTRACTORS_CE-BTF24000-02-EX</t>
  </si>
  <si>
    <t>SAP ERP - 2024 Lifecycle Management Projects (P323-0010999)</t>
  </si>
  <si>
    <t>P323-0010999 - 2024 SAP LC</t>
  </si>
  <si>
    <t>N-ERP-603</t>
  </si>
  <si>
    <t>McGettigan, David_CONTRACTORS_CE-BTF24002-02-EX</t>
  </si>
  <si>
    <t>SAP GTS Upgrade</t>
  </si>
  <si>
    <t>L-ERP-424</t>
  </si>
  <si>
    <t>McGettigan, David_CONTRACTORS_CE-BTF24003-02-EX</t>
  </si>
  <si>
    <t>SAP ERP - 2025 Lifecycle Management Projects (P324-0013058)</t>
  </si>
  <si>
    <t>P324-0013058 - SAP LC 2025</t>
  </si>
  <si>
    <t>L-ERP-420</t>
  </si>
  <si>
    <t>McGettigan, David_CONTRACTORS_CE-BTF26000-02-EX</t>
  </si>
  <si>
    <t>SAP ERP - 2026 Lifecycle Management</t>
  </si>
  <si>
    <t>P325-0015419 - 2026 SAP LC</t>
  </si>
  <si>
    <t>L-ERP-418</t>
  </si>
  <si>
    <t>McGettigan, David_CONTRACTORS_EP&amp;SCharges001</t>
  </si>
  <si>
    <t>2321210</t>
  </si>
  <si>
    <t>L-ERP-425</t>
  </si>
  <si>
    <t>McGettigan, David_CONTRACTORS_ERP_Digital Funded Project_002</t>
  </si>
  <si>
    <t>Accord Remediation - Access Certification in SailPoint</t>
  </si>
  <si>
    <t>LZ: Project on Hold in P3</t>
  </si>
  <si>
    <t>L-ERP-421</t>
  </si>
  <si>
    <t>McGettigan, David_CONTRACTORS_ERP_DigitalFundedProject001</t>
  </si>
  <si>
    <t>VOX Remediation</t>
  </si>
  <si>
    <t>P325-0016886 - VOX</t>
  </si>
  <si>
    <t>L-ERP-387</t>
  </si>
  <si>
    <t>McGettigan, David_CONTRACTORS_ERP_ProjectQuantaME001</t>
  </si>
  <si>
    <t>Project Quanta ME</t>
  </si>
  <si>
    <t>5/13/26 CHW - Removed this ME as reduction S/B covered across LT</t>
  </si>
  <si>
    <t>ERP-054</t>
  </si>
  <si>
    <t>DeHart, Lynn_CONTRACTORS_IT-CTR0041-OG-US-00</t>
  </si>
  <si>
    <t>L-ERP-394</t>
  </si>
  <si>
    <t>McGettigan, David_CONTRACTORS_IT-CTR0089-OG-US-00</t>
  </si>
  <si>
    <t>EPS200126_Accrual reversal as result Dell/EMC buyout 2321210 DM</t>
  </si>
  <si>
    <t>L-ERP-423</t>
  </si>
  <si>
    <t>McGettigan, David_CONTRACTORS_IT-CTR0124-OT-US-00</t>
  </si>
  <si>
    <t>Executive Coaching for LT</t>
  </si>
  <si>
    <t>L-ERP-383</t>
  </si>
  <si>
    <t>McGettigan, David_CONTRACTORS_IT-FBT0748-OT-US-00</t>
  </si>
  <si>
    <t>SAP / S4 HANA - reclass to Lidia</t>
  </si>
  <si>
    <t>L-ERP-389</t>
  </si>
  <si>
    <t>McGettigan, David_CONTRACTORS_IT-FBT0934-OT-US-00</t>
  </si>
  <si>
    <t>Digital C-TIES Marketing (2025)</t>
  </si>
  <si>
    <t>P324-0014205 - CTIES Digital Marketing</t>
  </si>
  <si>
    <t>N-ERP-604</t>
  </si>
  <si>
    <t>McGettigan, David_CONTRACTORS_IT-FBT0992-OT-US-00</t>
  </si>
  <si>
    <t>P323-0011535-SAP BW4HANA Program</t>
  </si>
  <si>
    <t>N-ERP-605</t>
  </si>
  <si>
    <t>McGettigan, David_CONTRACTORS_IT-FBT1017-OT-US-00</t>
  </si>
  <si>
    <t>xECM Functional Review &amp; Upgrade Assessment</t>
  </si>
  <si>
    <t>P325-0016901 - xECM Functional Review &amp; Upgrade Assessment; 4/28/26 CHW New add to tie-out 0223 to 0317 Planful Extracts</t>
  </si>
  <si>
    <t>ERP-073</t>
  </si>
  <si>
    <t>McGettigan, David_CONTRACTORS_IT-FBT1035-OT-US-00</t>
  </si>
  <si>
    <t>IT-FBT1035-OT-US-00</t>
  </si>
  <si>
    <t>ERP-045</t>
  </si>
  <si>
    <t>McGettigan, David_CONTRACTORS_IT-FBU0828-OT-US-00</t>
  </si>
  <si>
    <t>DFP RECLASS-P324-0013734-PFIZER DIGITAL POWER SKIL</t>
  </si>
  <si>
    <t>2329955</t>
  </si>
  <si>
    <t>9500724675</t>
  </si>
  <si>
    <t>P324-0013734 - Powerskills</t>
  </si>
  <si>
    <t>ERP-055</t>
  </si>
  <si>
    <t>DeHart, Lynn_CONTRACTORS_IT-PBU1070-OT-IE-00</t>
  </si>
  <si>
    <t>L-ERP-019</t>
  </si>
  <si>
    <t>DeHart, Lynn_CONTRACTORS_MISC001</t>
  </si>
  <si>
    <t>L-ERP-390</t>
  </si>
  <si>
    <t>McGettigan, David_CONTRACTORS_MISC001</t>
  </si>
  <si>
    <t>L-ERP-416</t>
  </si>
  <si>
    <t>McGettigan, David_CONTRACTORS_PR-320001-0000007901</t>
  </si>
  <si>
    <t>Default</t>
  </si>
  <si>
    <t>L-ERP-018</t>
  </si>
  <si>
    <t>DeHart, Lynn_CONTRACTORS_PR-587101-0000007986</t>
  </si>
  <si>
    <t>WBS Override Project</t>
  </si>
  <si>
    <t>L-ERP-485</t>
  </si>
  <si>
    <t>Robertson, Jerome</t>
  </si>
  <si>
    <t>2323135</t>
  </si>
  <si>
    <t xml:space="preserve">4/28 - (JAR) updated to $0 since factory contract has been terminated no scheduled chargebacks are expected. </t>
  </si>
  <si>
    <t>L-ERP-480</t>
  </si>
  <si>
    <t>L-ERP-478</t>
  </si>
  <si>
    <t>SAP BI (ERP BI Development Factory) (IBM)</t>
  </si>
  <si>
    <t xml:space="preserve">4/28 - (JAR) Reduced to $0 from 4/1 as we have terminated the contract for the factory model team with IBM. </t>
  </si>
  <si>
    <t>L-ERP-498</t>
  </si>
  <si>
    <t>SAP BI Support</t>
  </si>
  <si>
    <t>L-ERP-486</t>
  </si>
  <si>
    <t>1696680;2668941</t>
  </si>
  <si>
    <t>L-ERP-345</t>
  </si>
  <si>
    <t>Maguire, Karla_DEPRECIATION_ERP_Depre001</t>
  </si>
  <si>
    <t>ERP Activated Assets</t>
  </si>
  <si>
    <t xml:space="preserve">KP - Would you mind to provide more details please - thank you '5/18/26 CHW - Updated </t>
  </si>
  <si>
    <t>L-ERP-173</t>
  </si>
  <si>
    <t xml:space="preserve">5/18/26 CHW - Updated </t>
  </si>
  <si>
    <t>L-ERP-046</t>
  </si>
  <si>
    <t>DeHart, Lynn_DEPRECIATION_ERP_Depre001</t>
  </si>
  <si>
    <t>L-ERP-435</t>
  </si>
  <si>
    <t>McGettigan, David_DEPRECIATION_ERP_Depre001</t>
  </si>
  <si>
    <t>L-ERP-430</t>
  </si>
  <si>
    <t>McGettigan, David_DEPRECIATION_ERP_DepreAUC001</t>
  </si>
  <si>
    <t>ERP AUC - New Projects</t>
  </si>
  <si>
    <t>L-ERP-350</t>
  </si>
  <si>
    <t>McCormick, Pete_HW MAINTENANCE_2026-XFR-ML001</t>
  </si>
  <si>
    <t>SAP ERP - 2025 Lifecycle Management Projects - Citrix Servers - Production AWS</t>
  </si>
  <si>
    <t>L-ERP-351</t>
  </si>
  <si>
    <t>McCormick, Pete_HW MAINTENANCE_2026-XFR-ML002</t>
  </si>
  <si>
    <t>SAP ERP - 2025 Lifecycle Management Projects - Citrix Servers - On Prem - Durham</t>
  </si>
  <si>
    <t>L-ERP-352</t>
  </si>
  <si>
    <t>McCormick, Pete_HW MAINTENANCE_2026-XFR-ML003</t>
  </si>
  <si>
    <t>SAP ERP - 2025 Lifecycle Management Projects - Citrix Servers - On Prem - Somerset</t>
  </si>
  <si>
    <t>L-ERP-326</t>
  </si>
  <si>
    <t>Maguire, Karla_HW MAINTENANCE_BillingSweep005</t>
  </si>
  <si>
    <t>Billing Sweep</t>
  </si>
  <si>
    <t>L-ERP-327</t>
  </si>
  <si>
    <t>Maguire, Karla_HW MAINTENANCE_BillingSweep011</t>
  </si>
  <si>
    <t>L-ERP-328</t>
  </si>
  <si>
    <t>Maguire, Karla_HW MAINTENANCE_BillingSweep012</t>
  </si>
  <si>
    <t>L-ERP-329</t>
  </si>
  <si>
    <t>Maguire, Karla_HW MAINTENANCE_BillingSweep016</t>
  </si>
  <si>
    <t>ERP-032</t>
  </si>
  <si>
    <t>Maguire, Karla_HW MAINTENANCE_BILLINGSWEEP017</t>
  </si>
  <si>
    <t>ITFM-DIGITAL-CS232234-ITONBOARD</t>
  </si>
  <si>
    <t>2661893</t>
  </si>
  <si>
    <t>L-ERP-330</t>
  </si>
  <si>
    <t>Maguire, Karla_HW MAINTENANCE_BillingSweep019</t>
  </si>
  <si>
    <t>ERP-012</t>
  </si>
  <si>
    <t>Billing Sweep AP04 Tie-Out</t>
  </si>
  <si>
    <t>5/17 CHW - Added Enhance Tie-out to match AP04 Actuals</t>
  </si>
  <si>
    <t>L-ERP-070</t>
  </si>
  <si>
    <t>L-ERP-069</t>
  </si>
  <si>
    <t>Others (Vending, Meeting event, Devices Unreturned, Applecare, Mac-mgmt, IT Onboard, etc.)</t>
  </si>
  <si>
    <t>L-ERP-316</t>
  </si>
  <si>
    <t>Maguire, Karla_HW MAINTENANCE_IT-FGS0299-OG-US-00</t>
  </si>
  <si>
    <t>N-ERP-586</t>
  </si>
  <si>
    <t>McCormick, Pete_HW MAINTENANCE_IT-HRD0003-OG-US-DH</t>
  </si>
  <si>
    <t>DELL PowerMax &amp; CISCO San Switches HW Maintenance - Durham (Pullforward Debit)</t>
  </si>
  <si>
    <t>9501140551</t>
  </si>
  <si>
    <t>Yes</t>
  </si>
  <si>
    <t>N-ERP-587</t>
  </si>
  <si>
    <t>McCormick, Pete_HW MAINTENANCE_IT-HRD0003-OG-US-DH/PF</t>
  </si>
  <si>
    <t>DELL PowerMax &amp; CISCO San Switches HW Maintenance - Durham (Pullforward Credit)</t>
  </si>
  <si>
    <t>N-ERP-588</t>
  </si>
  <si>
    <t>McCormick, Pete_HW MAINTENANCE_IT-HRD0004-OG-US-SS</t>
  </si>
  <si>
    <t>DELL PowerMax &amp; CISCO San Switches HW Maintenance - Somerset (Pullforward Debit)</t>
  </si>
  <si>
    <t>9501140459</t>
  </si>
  <si>
    <t>N-ERP-589</t>
  </si>
  <si>
    <t>McCormick, Pete_HW MAINTENANCE_IT-HRD0004-OG-US-SS/PF</t>
  </si>
  <si>
    <t>DELL PowerMax &amp; CISCO San Switches HW Maintenance - Somerset (Pullforward Credit)</t>
  </si>
  <si>
    <t>ERP-053</t>
  </si>
  <si>
    <t>L-ERP-331</t>
  </si>
  <si>
    <t>Maguire, Karla_HW MAINTENANCE_MISC001</t>
  </si>
  <si>
    <t>L-ERP-021</t>
  </si>
  <si>
    <t>DeHart, Lynn_HW MAINTENANCE_BillingSweep005</t>
  </si>
  <si>
    <t>L-ERP-396</t>
  </si>
  <si>
    <t>McGettigan, David_HW MAINTENANCE_BillingSweep011</t>
  </si>
  <si>
    <t>L-ERP-397</t>
  </si>
  <si>
    <t>McGettigan, David_HW MAINTENANCE_BillingSweep016</t>
  </si>
  <si>
    <t>L-ERP-398</t>
  </si>
  <si>
    <t>McGettigan, David_HW MAINTENANCE_BillingSweep017</t>
  </si>
  <si>
    <t>BillingSweep017</t>
  </si>
  <si>
    <t>ERP-013</t>
  </si>
  <si>
    <t>McGettigan, David_HW MAINTENANCE_BillSweepMisc</t>
  </si>
  <si>
    <t>ERP-063</t>
  </si>
  <si>
    <t>CC 2578633 - Remapped to CISO</t>
  </si>
  <si>
    <t>7/20/26 CHW - Adjusted actuals for this cost center mistakenly labelled as Chris D</t>
  </si>
  <si>
    <t>L-ERP-008</t>
  </si>
  <si>
    <t>DeHart, Lynn_HW MAINTENANCE_IT-FGS0299-OG-US-00</t>
  </si>
  <si>
    <t>L-ERP-020</t>
  </si>
  <si>
    <t>DeHart, Lynn_HW MAINTENANCE_IT-HRD0058-OG-US-00</t>
  </si>
  <si>
    <t>Hardware Maintenance</t>
  </si>
  <si>
    <t>ERP-064</t>
  </si>
  <si>
    <t>L-ERP-022</t>
  </si>
  <si>
    <t>DeHart, Lynn_HW MAINTENANCE_MISC001</t>
  </si>
  <si>
    <t>L-ERP-392</t>
  </si>
  <si>
    <t>McGettigan, David_HW MAINTENANCE_MISC001</t>
  </si>
  <si>
    <t>L-ERP-482</t>
  </si>
  <si>
    <t>L-ERP-481</t>
  </si>
  <si>
    <t>L-ERP-487</t>
  </si>
  <si>
    <t>N-ERP-613</t>
  </si>
  <si>
    <t>Tamavada, Ram_MANAGED SERVICES_2026-XFR-0008-B</t>
  </si>
  <si>
    <t>SAP Fieldglass Vendor Management System Implementation: - Application/Platform support and maintenance</t>
  </si>
  <si>
    <t>4/28/26 CHW New add to tie-out 0223 to 0317 Planful Extracts DS - Ram already took actions to optimize cost to $200k, doesn't believe there is further opportunity. 2027 goes down to $169k.</t>
  </si>
  <si>
    <t>Per Leslie - Fieldglass, no payment is due in 2026 for support under IBM. It will resume in 2027 @ $169,020</t>
  </si>
  <si>
    <t>L-ERP-502</t>
  </si>
  <si>
    <t>Tamavada, Ram_MANAGED SERVICES_2026-XFR-0017-C</t>
  </si>
  <si>
    <t>Dedicated US PRIME Commerce Cloud - US Prime Cloud Support</t>
  </si>
  <si>
    <t>L-ERP-503</t>
  </si>
  <si>
    <t>Tamavada, Ram_MANAGED SERVICES_2026-XFR-0017-D</t>
  </si>
  <si>
    <t>Dedicated US PRIME Commerce Cloud - ACES/Inmar Support</t>
  </si>
  <si>
    <t>8/11 TW: IT-PGS0059-OG-US-00</t>
  </si>
  <si>
    <t>L-ERP-505</t>
  </si>
  <si>
    <t>Tamavada, Ram_MANAGED SERVICES_2026-XFR-0020-A</t>
  </si>
  <si>
    <t>IBM: SAP Prime Global Customer Experience - IBM AMS support costs - SAP Commerce Cloud Prime GCx</t>
  </si>
  <si>
    <t>8/11 TW: IT-PGS0060-OG-US-00</t>
  </si>
  <si>
    <t>ERP-020</t>
  </si>
  <si>
    <t>McCormick, Pete_MANAGED SERVICES_AD-RAOCBINT3-PD-15-US-00</t>
  </si>
  <si>
    <t>DIGITAL-DATAPROTECTION-2026-003</t>
  </si>
  <si>
    <t>ERP-021</t>
  </si>
  <si>
    <t>McCormick, Pete_MANAGED SERVICES_AR-700001184-1400</t>
  </si>
  <si>
    <t>MS BT SUST - DIGITAL-DATAPROTECTION</t>
  </si>
  <si>
    <t>L-ERP-311</t>
  </si>
  <si>
    <t>Maguire, Karla_MANAGED SERVICES_BillingRev001</t>
  </si>
  <si>
    <t>Billing Forecast - Cloud Brokerage</t>
  </si>
  <si>
    <t>2320494;2661893</t>
  </si>
  <si>
    <t>N-ERP-508</t>
  </si>
  <si>
    <t>Billing Forecast - UC4 Automic</t>
  </si>
  <si>
    <t>4/28/26 CHW New add to tie-out 0223 to 0317 Planful Extracts 0</t>
  </si>
  <si>
    <t>L-ERP-332</t>
  </si>
  <si>
    <t>Maguire, Karla_MANAGED SERVICES_BillingSweep005</t>
  </si>
  <si>
    <t>ERP-056</t>
  </si>
  <si>
    <t>Tamavada, Ram_MANAGED SERVICES_BILLINGSWEEP006</t>
  </si>
  <si>
    <t>L-ERP-333</t>
  </si>
  <si>
    <t>Maguire, Karla_MANAGED SERVICES_BillingSweep011</t>
  </si>
  <si>
    <t>L-ERP-334</t>
  </si>
  <si>
    <t>Maguire, Karla_MANAGED SERVICES_BillingSweep021</t>
  </si>
  <si>
    <t>ERP-014</t>
  </si>
  <si>
    <t>L-ERP-096</t>
  </si>
  <si>
    <t>L-ERP-076</t>
  </si>
  <si>
    <t>L-ERP-319</t>
  </si>
  <si>
    <t>Maguire, Karla_MANAGED SERVICES_EP&amp;SCharges001</t>
  </si>
  <si>
    <t>2523640;2661893</t>
  </si>
  <si>
    <t>L-ERP-361</t>
  </si>
  <si>
    <t>McCormick, Pete_MANAGED SERVICES_EP&amp;SCharges001</t>
  </si>
  <si>
    <t>L-ERP-529</t>
  </si>
  <si>
    <t>Tamavada, Ram_MANAGED SERVICES_EP&amp;SCharges001</t>
  </si>
  <si>
    <t>L-ERP-542</t>
  </si>
  <si>
    <t>Tamavada, Ram_MANAGED SERVICES_IT-17BTF01-01</t>
  </si>
  <si>
    <t>DIGITAL-CLOUD-AWS-CHARGES</t>
  </si>
  <si>
    <t>ERP-049</t>
  </si>
  <si>
    <t>Meadows, Leslie_MANAGED SERVICES_IT-CTR0044-OG-US-00</t>
  </si>
  <si>
    <t>Launch Agility - ATTP ADDITIONAL SUPPORT - JAN TO JUNE'20</t>
  </si>
  <si>
    <t>2321511</t>
  </si>
  <si>
    <t>9501250402</t>
  </si>
  <si>
    <t>KP - 9501250402
9501258229
9501258235
Reclass Dynatrace
9501271398</t>
  </si>
  <si>
    <t>ERP-027</t>
  </si>
  <si>
    <t>Tamavada, Ram_MANAGED SERVICES_IT-CTR0044-OG-US-00</t>
  </si>
  <si>
    <t>Launch Agility - IBM ATTP additional Support</t>
  </si>
  <si>
    <t>Line item moved to Leslie.</t>
  </si>
  <si>
    <t>L-ERP-543</t>
  </si>
  <si>
    <t>Tamavada, Ram_MANAGED SERVICES_IT-FBT0074-OG-US-00</t>
  </si>
  <si>
    <t>Oracle E-Business Suite Archive Solutions</t>
  </si>
  <si>
    <t>Per Kinjal - reforecasted from June until EOY as per Ram.</t>
  </si>
  <si>
    <t>L-ERP-449</t>
  </si>
  <si>
    <t>Meadows, Leslie_MANAGED SERVICES_IT-FBT0210-OG-US-00</t>
  </si>
  <si>
    <t>Compucom: SAP and EOM Support</t>
  </si>
  <si>
    <t>L-ERP-512</t>
  </si>
  <si>
    <t>Tamavada, Ram_MANAGED SERVICES_IT-FBT0281-OG-US-00</t>
  </si>
  <si>
    <t>IBM: SAP AMS (CORE) &amp; PCR 01(Collaboration360 Support)</t>
  </si>
  <si>
    <t xml:space="preserve">KP - We have 2 PO's - 9501166164 $4,651,600.00 AND 9501190667 $62,500.00 'As per Leslie's chat, for $245K - $200k is under 1009/46 &amp; 45k is under 'IT-FBT0281-OG-US-00" IBM AMS support agreement </t>
  </si>
  <si>
    <t>L-ERP-513</t>
  </si>
  <si>
    <t>Tamavada, Ram_MANAGED SERVICES_IT-FBT0282-OG-US-00</t>
  </si>
  <si>
    <t>IBM - SAP Ariba BOD; On Prem; Concur (T&amp;E); FBO Apps (GBS BTAMS Debit)</t>
  </si>
  <si>
    <t xml:space="preserve">KP - There seems to be an issue in LE2 &amp; LE3 File. LE0 already had this forecast in full, Not sure why LE3 file is showing variance. It shouldnt. thanks </t>
  </si>
  <si>
    <t>L-ERP-312</t>
  </si>
  <si>
    <t>Maguire, Karla_MANAGED SERVICES_IT-FBT0288-OG-BE-00</t>
  </si>
  <si>
    <t>Company car related expenses and other charges</t>
  </si>
  <si>
    <t>L-ERP-538</t>
  </si>
  <si>
    <t>Tamavada, Ram_MANAGED SERVICES_IT-FBT0393-OG-JP-00</t>
  </si>
  <si>
    <t>Infosys: Japan L1/L2 SAP FICO L2 Support</t>
  </si>
  <si>
    <t>Infosys LTD</t>
  </si>
  <si>
    <t>L-ERP-437</t>
  </si>
  <si>
    <t>Meadows, Leslie_MANAGED SERVICES_IT-FBT0524-OG-US-00</t>
  </si>
  <si>
    <t>&amp;#39;Infrastructure Charges - TRICENTIS TOSCA (ERP) - Cloud AWS &amp; Data Protection</t>
  </si>
  <si>
    <t>KP - It belongs to Leslie but hits Ram CC - Will Reclass in AP11</t>
  </si>
  <si>
    <t>L-ERP-519</t>
  </si>
  <si>
    <t>Tamavada, Ram_MANAGED SERVICES_IT-FBT0524-OG-US-00</t>
  </si>
  <si>
    <t>KP - It belongs to Leslie.</t>
  </si>
  <si>
    <t>L-ERP-511</t>
  </si>
  <si>
    <t>Tamavada, Ram_MANAGED SERVICES_IT-FBT0528-OG-US-00</t>
  </si>
  <si>
    <t>SAP: Ariba Offshore Technical Consultant (Ariba/SAP Product Vendor)</t>
  </si>
  <si>
    <t>L-ERP-071</t>
  </si>
  <si>
    <t>Infrastructure Charges - Oracle EPM Cloud FastConnect MPLS circuit</t>
  </si>
  <si>
    <t>L-ERP-520</t>
  </si>
  <si>
    <t>Tamavada, Ram_MANAGED SERVICES_IT-FBT0587-OG-US-00</t>
  </si>
  <si>
    <t>L-ERP-521</t>
  </si>
  <si>
    <t>Tamavada, Ram_MANAGED SERVICES_IT-FBT0588-OG-US-00</t>
  </si>
  <si>
    <t>Infrastructure Charges - SAP AG iVPN site-to-site</t>
  </si>
  <si>
    <t>L-ERP-539</t>
  </si>
  <si>
    <t>Tamavada, Ram_MANAGED SERVICES_IT-FBT0638-OG-JP-00</t>
  </si>
  <si>
    <t>Japan SAP BI &amp; SD Support</t>
  </si>
  <si>
    <t>N-ERP-585</t>
  </si>
  <si>
    <t>Maguire, Karla_MANAGED SERVICES_IT-FBT0651-OG-US-00</t>
  </si>
  <si>
    <t>Desktop on Demand (VDS)</t>
  </si>
  <si>
    <t>KP- Could you confirm who this line was transferred to? '4/28/26 CHW New add to tie-out 0223 to 0317 Planful Extracts</t>
  </si>
  <si>
    <t>L-ERP-072</t>
  </si>
  <si>
    <t>Syniti: Infrastructure Charges - SAP Backoffice - Cloud AWS</t>
  </si>
  <si>
    <t>L-ERP-522</t>
  </si>
  <si>
    <t>Tamavada, Ram_MANAGED SERVICES_IT-FBT0665-OG-US-00</t>
  </si>
  <si>
    <t>L-ERP-523</t>
  </si>
  <si>
    <t>Tamavada, Ram_MANAGED SERVICES_IT-FBT0675-OG-US-00</t>
  </si>
  <si>
    <t>Infrastructure charges</t>
  </si>
  <si>
    <t>L-ERP-073</t>
  </si>
  <si>
    <t>L-ERP-358</t>
  </si>
  <si>
    <t>McCormick, Pete_MANAGED SERVICES_IT-FBT0693-OG-US-00</t>
  </si>
  <si>
    <t>L-ERP-524</t>
  </si>
  <si>
    <t>Tamavada, Ram_MANAGED SERVICES_IT-FBT0693-OG-US-00</t>
  </si>
  <si>
    <t>L-ERP-514</t>
  </si>
  <si>
    <t>Tamavada, Ram_MANAGED SERVICES_IT-FBT0700-OG-US-00</t>
  </si>
  <si>
    <t>IBM: SAP Application Managed Service - Celonis</t>
  </si>
  <si>
    <t>L-ERP-544</t>
  </si>
  <si>
    <t>Tamavada, Ram_MANAGED SERVICES_IT-FBT0753-OT-US-00</t>
  </si>
  <si>
    <t>IBM: SAP Application Managed Service - Delta Applications - FBO Scope</t>
  </si>
  <si>
    <t>2321403;2320843</t>
  </si>
  <si>
    <t>L-ERP-525</t>
  </si>
  <si>
    <t>Tamavada, Ram_MANAGED SERVICES_IT-FBT0769-OT-US-00</t>
  </si>
  <si>
    <t>PFIZER APPS related charges (Cloud AWS, Data Protection)</t>
  </si>
  <si>
    <t>L-ERP-545</t>
  </si>
  <si>
    <t>Tamavada, Ram_MANAGED SERVICES_IT-FBT0770-OT-US-00</t>
  </si>
  <si>
    <t>Legacy PS HR &amp; GRW Related charges</t>
  </si>
  <si>
    <t>ERP-050</t>
  </si>
  <si>
    <t>Meadows, Leslie_MANAGED SERVICES_IT-FBT0780-OT-US-00</t>
  </si>
  <si>
    <t>SSCS Operational Sup</t>
  </si>
  <si>
    <t>ALLEGIS GLOBAL SOLUTIONS INC</t>
  </si>
  <si>
    <t>9501143554</t>
  </si>
  <si>
    <t>L-ERP-005</t>
  </si>
  <si>
    <t>DeHart, Lynn_MANAGED SERVICES_IT-FBT0980-OT-US-00</t>
  </si>
  <si>
    <t>P324-0014646-Pfizer Apps - App &amp; DB Upgrade</t>
  </si>
  <si>
    <t>8/3 - Move LT Member-1 to Phani Emani or Chris Dougherty</t>
  </si>
  <si>
    <t>ERP-028</t>
  </si>
  <si>
    <t>Tamavada, Ram_MANAGED SERVICES_IT-FGS0296-OG-US-00</t>
  </si>
  <si>
    <t>Opex WBS code for EP - DIGITAL-DATAPROTECTION</t>
  </si>
  <si>
    <t>L-ERP-074</t>
  </si>
  <si>
    <t>L-ERP-317</t>
  </si>
  <si>
    <t>Maguire, Karla_MANAGED SERVICES_IT-FGS0299-OG-US-00</t>
  </si>
  <si>
    <t>L-ERP-359</t>
  </si>
  <si>
    <t>McCormick, Pete_MANAGED SERVICES_IT-FGS0299-OG-US-00</t>
  </si>
  <si>
    <t>L-ERP-526</t>
  </si>
  <si>
    <t>Tamavada, Ram_MANAGED SERVICES_IT-FGS0299-OG-US-00</t>
  </si>
  <si>
    <t>L-ERP-075</t>
  </si>
  <si>
    <t>2321402;2329622</t>
  </si>
  <si>
    <t>L-ERP-318</t>
  </si>
  <si>
    <t>Maguire, Karla_MANAGED SERVICES_IT-FGS0301-OG-US-00</t>
  </si>
  <si>
    <t>1426305;2320494;2661893;2668940;2698004;8986736</t>
  </si>
  <si>
    <t>L-ERP-360</t>
  </si>
  <si>
    <t>McCormick, Pete_MANAGED SERVICES_IT-FGS0301-OG-US-00</t>
  </si>
  <si>
    <t>L-ERP-438</t>
  </si>
  <si>
    <t>Meadows, Leslie_MANAGED SERVICES_IT-FGS0301-OG-US-00</t>
  </si>
  <si>
    <t>L-ERP-472</t>
  </si>
  <si>
    <t>Patel, Nikunj Rohitkumar_MANAGED SERVICES_IT-FGS0301-OG-US-00</t>
  </si>
  <si>
    <t>L-ERP-527</t>
  </si>
  <si>
    <t>Tamavada, Ram_MANAGED SERVICES_IT-FGS0301-OG-US-00</t>
  </si>
  <si>
    <t>L-ERP-372</t>
  </si>
  <si>
    <t>McCormick, Pete_MANAGED SERVICES_IT-HRD0005-OG-US-SS</t>
  </si>
  <si>
    <t>SAP Platform - IBM Power10 HWMA and HMC - SOMERSET</t>
  </si>
  <si>
    <t>9501133010</t>
  </si>
  <si>
    <t>PO 9501133010 ($282k+$18.7k tax = $301k total)</t>
  </si>
  <si>
    <t>L-ERP-373</t>
  </si>
  <si>
    <t>McCormick, Pete_MANAGED SERVICES_IT-HRD0006-OG-US-DH</t>
  </si>
  <si>
    <t>SAP Platform - IBM Power10 HWMA and HMC - DURHAM</t>
  </si>
  <si>
    <t>9501133994</t>
  </si>
  <si>
    <t>PO 9501133994 ($262k+$19.7k taxes = $282k total)</t>
  </si>
  <si>
    <t>L-ERP-095</t>
  </si>
  <si>
    <t>L-ERP-546</t>
  </si>
  <si>
    <t>Tamavada, Ram_MANAGED SERVICES_IT-MGS0202-OG-US-00</t>
  </si>
  <si>
    <t>Oracle EBS Software Licenses</t>
  </si>
  <si>
    <t>5/12 CHW - Zeroed line per Kinjal and added new software item</t>
  </si>
  <si>
    <t>Acct Mvmt - Mgd Services to Software IT-MGS0202-OG-US-00</t>
  </si>
  <si>
    <t>L-ERP-547</t>
  </si>
  <si>
    <t>Tamavada, Ram_MANAGED SERVICES_IT-MGS0203-OG-US-00</t>
  </si>
  <si>
    <t>Oracle OCI Software Usage</t>
  </si>
  <si>
    <t>L-ERP-509</t>
  </si>
  <si>
    <t>Tamavada, Ram_MANAGED SERVICES_IT-MGS0204-OG-US-00</t>
  </si>
  <si>
    <t>IBM: SAP Application Managed Service - Seagen_Oracle (long term support)</t>
  </si>
  <si>
    <t>L-ERP-510</t>
  </si>
  <si>
    <t>Tamavada, Ram_MANAGED SERVICES_IT-MGS0205-OG-US-00</t>
  </si>
  <si>
    <t>IBM: GLNS AMS Support</t>
  </si>
  <si>
    <t>L-ERP-066</t>
  </si>
  <si>
    <t>L-ERP-011</t>
  </si>
  <si>
    <t>DeHart, Lynn_MANAGED SERVICES_IT-MGS0208-OG-US-00</t>
  </si>
  <si>
    <t>Pfizer Apps - Digital Billing</t>
  </si>
  <si>
    <t>L-ERP-528</t>
  </si>
  <si>
    <t>Tamavada, Ram_MANAGED SERVICES_IT-MGS0209-OG-US-00</t>
  </si>
  <si>
    <t>RingFence Modfac (AWS, DP)</t>
  </si>
  <si>
    <t>L-ERP-064</t>
  </si>
  <si>
    <t>BPAI File Transfer &amp; Workload Automation Services - Monthly Libra reclasses (ML-0726)</t>
  </si>
  <si>
    <t>L-ERP-353</t>
  </si>
  <si>
    <t>McCormick, Pete_MANAGED SERVICES_IT-SFT1282-86-OG-US</t>
  </si>
  <si>
    <t>L-ERP-506</t>
  </si>
  <si>
    <t>Tamavada, Ram_MANAGED SERVICES_IT-SFT1434-OG-US-00</t>
  </si>
  <si>
    <t>Infrastructure: Pfizer Pfynix AIOPS solution</t>
  </si>
  <si>
    <t>L-ERP-097</t>
  </si>
  <si>
    <t>L-ERP-335</t>
  </si>
  <si>
    <t>Maguire, Karla_MANAGED SERVICES_MISC001</t>
  </si>
  <si>
    <t>1426305;2320494;2523640;2661893;2668940;2698004;8986736</t>
  </si>
  <si>
    <t>L-ERP-374</t>
  </si>
  <si>
    <t>McCormick, Pete_MANAGED SERVICES_MISC001</t>
  </si>
  <si>
    <t>L-ERP-447</t>
  </si>
  <si>
    <t>Meadows, Leslie_MANAGED SERVICES_MISC001</t>
  </si>
  <si>
    <t>L-ERP-548</t>
  </si>
  <si>
    <t>Tamavada, Ram_MANAGED SERVICES_MISC001</t>
  </si>
  <si>
    <t>L-ERP-160</t>
  </si>
  <si>
    <t>L-ERP-131</t>
  </si>
  <si>
    <t>2320521;2687857</t>
  </si>
  <si>
    <t>L-ERP-128</t>
  </si>
  <si>
    <t>Logistics LMS &amp; Manhattan IoD</t>
  </si>
  <si>
    <t>L-ERP-157</t>
  </si>
  <si>
    <t>Infrastructure Charges - ES Collaborative Manufacturing - IoD</t>
  </si>
  <si>
    <t>L-ERP-129</t>
  </si>
  <si>
    <t>Planning Excel Citrix Server - IoD Infrastructure (Server)</t>
  </si>
  <si>
    <t>L-ERP-158</t>
  </si>
  <si>
    <t>L-ERP-136</t>
  </si>
  <si>
    <t>L-ERP-137</t>
  </si>
  <si>
    <t>N-ERP-561</t>
  </si>
  <si>
    <t>GLNS Trade Collaborator</t>
  </si>
  <si>
    <t>N-ERP-562</t>
  </si>
  <si>
    <t>L-ERP-124</t>
  </si>
  <si>
    <t>Company Car - Belgium (LE5923) - Maria Gkountouva Plate 2CBY846</t>
  </si>
  <si>
    <t>L-ERP-002</t>
  </si>
  <si>
    <t>DeHart, Lynn_MANAGED SERVICES_IT-FBT0798-OG-BE-00</t>
  </si>
  <si>
    <t>2570961</t>
  </si>
  <si>
    <t>8/3 - Move LT Member-1 to Srinivasan Ganesan (RG)</t>
  </si>
  <si>
    <t>L-ERP-125</t>
  </si>
  <si>
    <t>Company Car - Mexico LE 2520 - David Ortiz</t>
  </si>
  <si>
    <t>L-ERP-130</t>
  </si>
  <si>
    <t>L-ERP-161</t>
  </si>
  <si>
    <t>L-ERP-159</t>
  </si>
  <si>
    <t>L-ERP-565</t>
  </si>
  <si>
    <t>Yeluri, Durga_MANAGED SERVICES_2026-XFR-0014-A</t>
  </si>
  <si>
    <t>Cash Flow Automation Project - Cash Flow Functionality for: SAP S/4 HANA ($51,120); Celonis ($35,000)</t>
  </si>
  <si>
    <t>5/4 CHW - Giveback</t>
  </si>
  <si>
    <t>We will cover with existing colleagues and AMS contract.</t>
  </si>
  <si>
    <t>L-ERP-566</t>
  </si>
  <si>
    <t>Yeluri, Durga_MANAGED SERVICES_2026-XFR-0033-A</t>
  </si>
  <si>
    <t>GSC Cx: Cost to Serve - Cost to Transport - BTAMS support costs</t>
  </si>
  <si>
    <t>5/4 CHW - Intentional giveback as decom discussion on-going</t>
  </si>
  <si>
    <t>Removed Q2 coverage until a decision is made on Celonis BAU / Replatforming</t>
  </si>
  <si>
    <t>L-ERP-567</t>
  </si>
  <si>
    <t>Yeluri, Durga_MANAGED SERVICES_2026-XFR-0035-A</t>
  </si>
  <si>
    <t>ESG: Migration of GLNS Calculations from Tableau - BTAMS support costs</t>
  </si>
  <si>
    <t>L-ERP-258</t>
  </si>
  <si>
    <t>Johnson, Paul_MANAGED SERVICES_2026-XFR-0063-A</t>
  </si>
  <si>
    <t>Johnson, Paul</t>
  </si>
  <si>
    <t>Regulatory Intelligence - 2026 Annual amount as $2,630/mo * 12 months = $31,560</t>
  </si>
  <si>
    <t>8/12 CHW - Moved this line to Orth file</t>
  </si>
  <si>
    <t>ERP-057</t>
  </si>
  <si>
    <t>Yeluri, Durga_MANAGED SERVICES_BILLINGSWEEP006</t>
  </si>
  <si>
    <t>L-ERP-183</t>
  </si>
  <si>
    <t>L-ERP-188</t>
  </si>
  <si>
    <t>L-ERP-185</t>
  </si>
  <si>
    <t>L-ERP-575</t>
  </si>
  <si>
    <t>Yeluri, Durga_MANAGED SERVICES_EP&amp;SCharges001</t>
  </si>
  <si>
    <t>ERP-005</t>
  </si>
  <si>
    <t>8/3 Forecast kept as Actuals are still hitting Mike H's line item L-ERP-220
'LZ 4/27 - Move forecast from Mike H to Raj H</t>
  </si>
  <si>
    <t>L-ERP-180</t>
  </si>
  <si>
    <t>L-ERP-571</t>
  </si>
  <si>
    <t>Yeluri, Durga_MANAGED SERVICES_IT-FBT0769-OT-US-00</t>
  </si>
  <si>
    <t>L-ERP-584</t>
  </si>
  <si>
    <t>FUDH Snowflake for Nexus &amp; Infrastructure Costs</t>
  </si>
  <si>
    <t>LZ 4/27 - Move forecast from Mike H to Raj H</t>
  </si>
  <si>
    <t>L-ERP-572</t>
  </si>
  <si>
    <t>Yeluri, Durga_MANAGED SERVICES_IT-FGS0299-OG-US-00</t>
  </si>
  <si>
    <t>L-ERP-184</t>
  </si>
  <si>
    <t>L-ERP-573</t>
  </si>
  <si>
    <t>Yeluri, Durga_MANAGED SERVICES_IT-FGS0301-OG-US-00</t>
  </si>
  <si>
    <t>L-ERP-574</t>
  </si>
  <si>
    <t>Yeluri, Durga_MANAGED SERVICES_IT-MGS0210-OG-US-00</t>
  </si>
  <si>
    <t>RingFence Modfac (AWS, DATABASE)</t>
  </si>
  <si>
    <t>L-ERP-187</t>
  </si>
  <si>
    <t>DIGITAL-CLOUD-AZURE-ARENA DYNAMICS 365</t>
  </si>
  <si>
    <t>L-ERP-189</t>
  </si>
  <si>
    <t>L-ERP-580</t>
  </si>
  <si>
    <t>Yeluri, Durga_MANAGED SERVICES_MISC001</t>
  </si>
  <si>
    <t>L-ERP-200</t>
  </si>
  <si>
    <t>L-ERP-203</t>
  </si>
  <si>
    <t>Moved from Contractors</t>
  </si>
  <si>
    <t>L-ERP-195</t>
  </si>
  <si>
    <t>L-ERP-198</t>
  </si>
  <si>
    <t>L-ERP-199</t>
  </si>
  <si>
    <t>L-ERP-211</t>
  </si>
  <si>
    <t>N-ERP-568</t>
  </si>
  <si>
    <t>4/28/26 CHW New add to tie-out 0223 to 0317 Planful Extracts Transferred from Mike H to Chris Dougherty; zero forecast as moved to Chris</t>
  </si>
  <si>
    <t>N-ERP-569</t>
  </si>
  <si>
    <t>N-ERP-570</t>
  </si>
  <si>
    <t>SAP Prime Global Customer Experience - IBM BTAMS support costs - SAP Commerce Cloud Prime GCx</t>
  </si>
  <si>
    <t>L-ERP-558</t>
  </si>
  <si>
    <t>Vaidya, Sachin_MANAGED SERVICES_EnhanceChargeout001</t>
  </si>
  <si>
    <t>L-ERP-222</t>
  </si>
  <si>
    <t>CHW 4/30 - Tie-back to Planful transaction details</t>
  </si>
  <si>
    <t>L-ERP-220</t>
  </si>
  <si>
    <t>L-ERP-001</t>
  </si>
  <si>
    <t>DeHart, Lynn_MANAGED SERVICES_IT-FBT0286-OG-BE-00</t>
  </si>
  <si>
    <t>Company Car -Belgium - Fabrice Mathy, Thierry Briglia and Rik Vermeir</t>
  </si>
  <si>
    <t>8/3 - Move LT Member-1 to Mike Hovanyetz</t>
  </si>
  <si>
    <t>L-ERP-217</t>
  </si>
  <si>
    <t>Forecast moved from Mike H to Raj H</t>
  </si>
  <si>
    <t>L-ERP-226</t>
  </si>
  <si>
    <t>L-ERP-221</t>
  </si>
  <si>
    <t>2321347;2329615</t>
  </si>
  <si>
    <t>L-ERP-552</t>
  </si>
  <si>
    <t>Vaidya, Sachin_MANAGED SERVICES_IT-FGS0301-OG-US-00</t>
  </si>
  <si>
    <t>L-ERP-224</t>
  </si>
  <si>
    <t>ERP-052</t>
  </si>
  <si>
    <t>Vaidya, Sachin_MANAGED SERVICES_MISC001</t>
  </si>
  <si>
    <t>L-ERP-248</t>
  </si>
  <si>
    <t>2340694</t>
  </si>
  <si>
    <t>L-ERP-247</t>
  </si>
  <si>
    <t>L-ERP-231</t>
  </si>
  <si>
    <t>L-ERP-232</t>
  </si>
  <si>
    <t>Manufacturing MarKov - IoD and Ring Fencing</t>
  </si>
  <si>
    <t>L-ERP-233</t>
  </si>
  <si>
    <t>1639002;2321216</t>
  </si>
  <si>
    <t>L-ERP-393</t>
  </si>
  <si>
    <t>McGettigan, David_MANAGED SERVICES_BillingRev001</t>
  </si>
  <si>
    <t>2321210;2635052</t>
  </si>
  <si>
    <t>L-ERP-025</t>
  </si>
  <si>
    <t>DeHart, Lynn_MANAGED SERVICES_BillingSweep005</t>
  </si>
  <si>
    <t>L-ERP-399</t>
  </si>
  <si>
    <t>McGettigan, David_MANAGED SERVICES_BillingSweep011</t>
  </si>
  <si>
    <t>L-ERP-400</t>
  </si>
  <si>
    <t>McGettigan, David_MANAGED SERVICES_BillingSweep021</t>
  </si>
  <si>
    <t>ERP-015</t>
  </si>
  <si>
    <t>McGettigan, David_MANAGED SERVICES_BillSweepMisc</t>
  </si>
  <si>
    <t>ERP-025</t>
  </si>
  <si>
    <t>McGettigan, David_MANAGED SERVICES_CC-BTF25001-02-EX</t>
  </si>
  <si>
    <t>DIGITAL-CLOUD-AWS-DATAPROTECTION</t>
  </si>
  <si>
    <t>L-ERP-414</t>
  </si>
  <si>
    <t>McGettigan, David_MANAGED SERVICES_CE-BTF22001-02-EX</t>
  </si>
  <si>
    <t>ERP-046</t>
  </si>
  <si>
    <t>McGettigan, David_MANAGED SERVICES_CE-BTF24003-02-EX</t>
  </si>
  <si>
    <t>DFP RECLASS-P324-0013058-SAP ERP - 2025 LIFECYCLE</t>
  </si>
  <si>
    <t>9501054188</t>
  </si>
  <si>
    <t>L-ERP-012</t>
  </si>
  <si>
    <t>DeHart, Lynn_MANAGED SERVICES_EP&amp;SCharges001</t>
  </si>
  <si>
    <t>L-ERP-422</t>
  </si>
  <si>
    <t>McGettigan, David_MANAGED SERVICES_EP&amp;SCharges001</t>
  </si>
  <si>
    <t>2329955;2321210</t>
  </si>
  <si>
    <t>N-ERP-502</t>
  </si>
  <si>
    <t>DeHart, Lynn_MANAGED SERVICES_IT-FBT0285-OG-ES-00</t>
  </si>
  <si>
    <t>Company Car - Spain - Agusti Miralves</t>
  </si>
  <si>
    <t>4/28/26 CHW New add to tie-out 0223 to 0317 Planful Extracts Agusti on a wave and leaves Pfizer Feb 28</t>
  </si>
  <si>
    <t>ERP-065</t>
  </si>
  <si>
    <t>Patel, Apurva_MANAGED SERVICES_IT-FBT0288-OG-BE-00</t>
  </si>
  <si>
    <t>L-ERP-388</t>
  </si>
  <si>
    <t>McGettigan, David_MANAGED SERVICES_IT-FBT0830-OT-US-00</t>
  </si>
  <si>
    <t>P324-0013837 Enhance SharePoint site upgrade</t>
  </si>
  <si>
    <t>P324-0013837 - Enhance Enhancements</t>
  </si>
  <si>
    <t>L-ERP-412</t>
  </si>
  <si>
    <t>McGettigan, David_MANAGED SERVICES_IT-FBT1017-OT-US-00</t>
  </si>
  <si>
    <t>P325-0016901 - xECM Functional Review &amp; Upgrade Assessment</t>
  </si>
  <si>
    <t>L-ERP-009</t>
  </si>
  <si>
    <t>DeHart, Lynn_MANAGED SERVICES_IT-FGS0299-OG-US-00</t>
  </si>
  <si>
    <t>2186007;2321399</t>
  </si>
  <si>
    <t>L-ERP-419</t>
  </si>
  <si>
    <t>McGettigan, David_MANAGED SERVICES_IT-FGS0299-OG-US-00</t>
  </si>
  <si>
    <t>L-ERP-010</t>
  </si>
  <si>
    <t>DeHart, Lynn_MANAGED SERVICES_IT-FGS0301-OG-US-00</t>
  </si>
  <si>
    <t>2112070;2321399;2329095;2523636</t>
  </si>
  <si>
    <t>L-ERP-409</t>
  </si>
  <si>
    <t>McGettigan, David_MANAGED SERVICES_IT-FGS0301-OG-US-00</t>
  </si>
  <si>
    <t>L-ERP-023</t>
  </si>
  <si>
    <t>DeHart, Lynn_MANAGED SERVICES_IT-MGS0158-OG-US-00</t>
  </si>
  <si>
    <t>Database</t>
  </si>
  <si>
    <t>L-ERP-406</t>
  </si>
  <si>
    <t>McGettigan, David_MANAGED SERVICES_IT-SFT1442-OG-US-00</t>
  </si>
  <si>
    <t>C-TIES Copilot Studio</t>
  </si>
  <si>
    <t>ERP-066</t>
  </si>
  <si>
    <t>L-ERP-026</t>
  </si>
  <si>
    <t>DeHart, Lynn_MANAGED SERVICES_MISC001</t>
  </si>
  <si>
    <t>L-ERP-411</t>
  </si>
  <si>
    <t>McGettigan, David_MANAGED SERVICES_MISC001</t>
  </si>
  <si>
    <t>2321210;2329009;2329955;2635052</t>
  </si>
  <si>
    <t>L-ERP-385</t>
  </si>
  <si>
    <t>McGettigan, David_MANAGED SERVICES_OnetimeCredit002</t>
  </si>
  <si>
    <t>Credit for SAP BW through AWS</t>
  </si>
  <si>
    <t>L-ERP-024</t>
  </si>
  <si>
    <t>DeHart, Lynn_MANAGED SERVICES_PR-587101-0000007986</t>
  </si>
  <si>
    <t>L-ERP-499</t>
  </si>
  <si>
    <t>L-ERP-500</t>
  </si>
  <si>
    <t>L-ERP-483</t>
  </si>
  <si>
    <t>1696680;2662942</t>
  </si>
  <si>
    <t>L-ERP-488</t>
  </si>
  <si>
    <t>SAP BW Oracle Landing Zone</t>
  </si>
  <si>
    <t>L-ERP-489</t>
  </si>
  <si>
    <t>1696680;2662942;2668941</t>
  </si>
  <si>
    <t>Chargeback in AP06 for RD/AI JUN0097 DATAIKU DSS ERP/SAP was originally forecasted for AP08 under IT-MGS0167-OG-US-00 in Software</t>
  </si>
  <si>
    <t>L-ERP-115</t>
  </si>
  <si>
    <t>SAP SaaS Software Maintenance (IBP #3061986150)</t>
  </si>
  <si>
    <t>8/5 TW -  Why is this not under the account Software?</t>
  </si>
  <si>
    <t>L-ERP-382</t>
  </si>
  <si>
    <t>McCormick, Pete_OTHER_IT-SFT1249-86-OG-US</t>
  </si>
  <si>
    <t>SAP User Group Yearly Membership (ASUG) (Pullforward Debit)</t>
  </si>
  <si>
    <t>9501114816</t>
  </si>
  <si>
    <t>L-ERP-106</t>
  </si>
  <si>
    <t>L-ERP-346</t>
  </si>
  <si>
    <t>Maguire, Karla_OTHER_Others001</t>
  </si>
  <si>
    <t>ERP-044</t>
  </si>
  <si>
    <t>McCormick, Pete_OTHER_Others001</t>
  </si>
  <si>
    <t>FEDERAL EXPRESS CORP</t>
  </si>
  <si>
    <t>L-ERP-174</t>
  </si>
  <si>
    <t>L-ERP-192</t>
  </si>
  <si>
    <t>L-ERP-559</t>
  </si>
  <si>
    <t>Vaidya, Sachin_OTHER_IT-OTH0062-OG-US-00</t>
  </si>
  <si>
    <t>Intelligent Service Cloud (ISC) Maintenance and BTP cost</t>
  </si>
  <si>
    <t>Sachin (4/30): Underspend projected for 2026 (could go back up to $80K in 2027)</t>
  </si>
  <si>
    <t>ERP-041</t>
  </si>
  <si>
    <t>NON-DIGITAL-CATERING-VAIDYS05</t>
  </si>
  <si>
    <t>L-ERP-255</t>
  </si>
  <si>
    <t>ERP-018</t>
  </si>
  <si>
    <t>McGettigan, David_OTHER</t>
  </si>
  <si>
    <t>LE2 ME</t>
  </si>
  <si>
    <t>5/18/26 CHW - Added LE2 ME to adjust to Target</t>
  </si>
  <si>
    <t>L-ERP-028</t>
  </si>
  <si>
    <t>DeHart, Lynn_OTHER_NondigitalCatering001</t>
  </si>
  <si>
    <t>Non-digital catering charges</t>
  </si>
  <si>
    <t>L-ERP-417</t>
  </si>
  <si>
    <t>McGettigan, David_OTHER_NondigitalCatering001</t>
  </si>
  <si>
    <t>ERP-067</t>
  </si>
  <si>
    <t>L-ERP-047</t>
  </si>
  <si>
    <t>DeHart, Lynn_OTHER_Others001</t>
  </si>
  <si>
    <t>L-ERP-405</t>
  </si>
  <si>
    <t>McGettigan, David_OTHER_Others001</t>
  </si>
  <si>
    <t>L-ERP-027</t>
  </si>
  <si>
    <t>DeHart, Lynn_OTHER_PR-587101-0000007986</t>
  </si>
  <si>
    <t>L-ERP-497</t>
  </si>
  <si>
    <t>Ganesan, Srinivasan_OUTSIDE COUNSEL_MISC001</t>
  </si>
  <si>
    <t>L-ERP-048</t>
  </si>
  <si>
    <t>DeHart, Lynn_OUTSIDE COUNSEL_Others001</t>
  </si>
  <si>
    <t>L-ERP-029</t>
  </si>
  <si>
    <t>DeHart, Lynn_OUTSIDE COUNSEL_PR-587101-0000007986</t>
  </si>
  <si>
    <t>L-ERP-256</t>
  </si>
  <si>
    <t>Company Car - Canada - Jean Francois Bouthillier (vehicle number on Fleet Billing) 23227</t>
  </si>
  <si>
    <t>L-ERP-249</t>
  </si>
  <si>
    <t>L-ERP-032</t>
  </si>
  <si>
    <t>DeHart, Lynn_RENT AND UTILITIES_MISC001</t>
  </si>
  <si>
    <t>ERP-047</t>
  </si>
  <si>
    <t>McGettigan, David_RENT AND UTILITIES_MISC001</t>
  </si>
  <si>
    <t>L-ERP-030</t>
  </si>
  <si>
    <t>DeHart, Lynn_RENT AND UTILITIES_PR-320001-0000007986</t>
  </si>
  <si>
    <t>L-ERP-031</t>
  </si>
  <si>
    <t>DeHart, Lynn_RENT AND UTILITIES_PR-587101-0000007986</t>
  </si>
  <si>
    <t>ERP-002</t>
  </si>
  <si>
    <t>Dougherty, Chris_SOFTWARE</t>
  </si>
  <si>
    <t>SAP ME - Review at LE3</t>
  </si>
  <si>
    <t>0</t>
  </si>
  <si>
    <t>5/12 CHW - New added based on May Prepaid emails for review at LE3</t>
  </si>
  <si>
    <t>L-ERP-059</t>
  </si>
  <si>
    <t>Serialization - SAP ATTP License - Software maintenance (on-premise)</t>
  </si>
  <si>
    <t>L-ERP-060</t>
  </si>
  <si>
    <t>Serialization - SAP ICH License - SAP ICH regulatory collaboration and Regulatory reporting services</t>
  </si>
  <si>
    <t xml:space="preserve">5/12 CHW - added back 51K to reflect 204K XFR total &amp; shifted forecast to OTC </t>
  </si>
  <si>
    <t>L-ERP-061</t>
  </si>
  <si>
    <t>Dedicated US PRIME Commerce Cloud - SAP Licenses</t>
  </si>
  <si>
    <t>8/11 TW: IT-SFT1503-OG-US-00</t>
  </si>
  <si>
    <t xml:space="preserve">Acct Movement from Mike Hovanyetz to Chris Dougherty </t>
  </si>
  <si>
    <t>L-ERP-062</t>
  </si>
  <si>
    <t>Dedicated US PRIME Commerce Cloud - Middleware</t>
  </si>
  <si>
    <t>8/11 TW: IT-PGS0055-OG-US-00</t>
  </si>
  <si>
    <t>L-ERP-063</t>
  </si>
  <si>
    <t>GLNS E2E Global Import Broker Integration - OpenText server storage costs for archived documents added to OpenText every year</t>
  </si>
  <si>
    <t>L-ERP-504</t>
  </si>
  <si>
    <t>Tamavada, Ram_SOFTWARE_2026-XFR-0036-A</t>
  </si>
  <si>
    <t>2026 L-SGN Budget Transfer for incremental ERP Costs - Budget transfer for Oracle EBS Software License Costs</t>
  </si>
  <si>
    <t>N-ERP-607</t>
  </si>
  <si>
    <t>Meadows, Leslie_SOFTWARE_2026-XFR-KM001</t>
  </si>
  <si>
    <t>Syniti DSP Upgrade to Cloud SKP (Syniti Knowledge Platform) - TBD</t>
  </si>
  <si>
    <t>KP-'Give Back</t>
  </si>
  <si>
    <t>Syniti paid thru 12/30/2027</t>
  </si>
  <si>
    <t>ERP-029</t>
  </si>
  <si>
    <t>Maguire, Karla_SOFTWARE_BILLINGREV001CN</t>
  </si>
  <si>
    <t>ITFM-DIGITAL-COPILOT</t>
  </si>
  <si>
    <t>ERP-030</t>
  </si>
  <si>
    <t>Maguire, Karla_SOFTWARE_BILLINGREV009B</t>
  </si>
  <si>
    <t>ITFM-DIGITAL-M365-LICENSE</t>
  </si>
  <si>
    <t>L-ERP-336</t>
  </si>
  <si>
    <t>Maguire, Karla_SOFTWARE_BillingSweep001</t>
  </si>
  <si>
    <t>L-ERP-337</t>
  </si>
  <si>
    <t>Maguire, Karla_SOFTWARE_BillingSweep002</t>
  </si>
  <si>
    <t>L-ERP-338</t>
  </si>
  <si>
    <t>Maguire, Karla_SOFTWARE_BillingSweep006</t>
  </si>
  <si>
    <t>BillingSweep006</t>
  </si>
  <si>
    <t>ERP-031</t>
  </si>
  <si>
    <t>Maguire, Karla_SOFTWARE_BILLINGSWEEP021</t>
  </si>
  <si>
    <t>ITFM-DIGITAL-DEVSECOPS</t>
  </si>
  <si>
    <t>BILLINGSWEEP021</t>
  </si>
  <si>
    <t>ERP-016</t>
  </si>
  <si>
    <t>L-ERP-100</t>
  </si>
  <si>
    <t>L-ERP-339</t>
  </si>
  <si>
    <t>Maguire, Karla_SOFTWARE_ColleagueSolutions001</t>
  </si>
  <si>
    <t>L-ERP-376</t>
  </si>
  <si>
    <t>McCormick, Pete_SOFTWARE_ColleagueSolutions001</t>
  </si>
  <si>
    <t>L-ERP-549</t>
  </si>
  <si>
    <t>Tamavada, Ram_SOFTWARE_ColleagueSolutions001</t>
  </si>
  <si>
    <t>ERP-072</t>
  </si>
  <si>
    <t>Tamavada, Ram_SOFTWARE_EnhanceChargeout001</t>
  </si>
  <si>
    <t>L-ERP-475</t>
  </si>
  <si>
    <t>Patel, Nikunj Rohitkumar_SOFTWARE_EnhanceChargeout001</t>
  </si>
  <si>
    <t>KP - 'Where would i be able to get more details on this? Please advise. thank you</t>
  </si>
  <si>
    <t>L-ERP-078</t>
  </si>
  <si>
    <t>L-ERP-363</t>
  </si>
  <si>
    <t>McCormick, Pete_SOFTWARE_EP&amp;SCharges001</t>
  </si>
  <si>
    <t>L-ERP-534</t>
  </si>
  <si>
    <t>Tamavada, Ram_SOFTWARE_EP&amp;SCharges001</t>
  </si>
  <si>
    <t>L-ERP-530</t>
  </si>
  <si>
    <t>Tamavada, Ram_SOFTWARE_IT-FBT0665-OG-US-00</t>
  </si>
  <si>
    <t>L-ERP-531</t>
  </si>
  <si>
    <t>Tamavada, Ram_SOFTWARE_IT-FBT0675-OG-US-00</t>
  </si>
  <si>
    <t>L-ERP-006</t>
  </si>
  <si>
    <t>DeHart, Lynn_SOFTWARE_IT-FBT0980-OT-US-00</t>
  </si>
  <si>
    <t>ERP-058</t>
  </si>
  <si>
    <t>L-ERP-362</t>
  </si>
  <si>
    <t>McCormick, Pete_SOFTWARE_IT-FGS0298-SW-US-00</t>
  </si>
  <si>
    <t>JFrog Artifactory Repository Monthly Charge</t>
  </si>
  <si>
    <t>L-ERP-532</t>
  </si>
  <si>
    <t>Tamavada, Ram_SOFTWARE_IT-FGS0298-SW-US-00</t>
  </si>
  <si>
    <t>L-ERP-077</t>
  </si>
  <si>
    <t>ERP-059</t>
  </si>
  <si>
    <t>Maguire, Karla_SOFTWARE_IT-FGS0299-OG-US-00</t>
  </si>
  <si>
    <t>L-ERP-533</t>
  </si>
  <si>
    <t>Tamavada, Ram_SOFTWARE_IT-FGS0299-OG-US-00</t>
  </si>
  <si>
    <t>Meadows, Leslie_SOFTWARE_IT-FGS0300-SW-US-00</t>
  </si>
  <si>
    <t>KP - This WBS got added in AP07? Please advise.</t>
  </si>
  <si>
    <t>L-ERP-067</t>
  </si>
  <si>
    <t>Microsoft Copilot Licenses</t>
  </si>
  <si>
    <t>L-ERP-313</t>
  </si>
  <si>
    <t>Maguire, Karla_SOFTWARE_IT-FGS0300-SW-US-00</t>
  </si>
  <si>
    <t>L-ERP-356</t>
  </si>
  <si>
    <t>McCormick, Pete_SOFTWARE_IT-FGS0300-SW-US-00</t>
  </si>
  <si>
    <t>L-ERP-079</t>
  </si>
  <si>
    <t>Microsoft O365/M365 Licenses</t>
  </si>
  <si>
    <t>L-ERP-320</t>
  </si>
  <si>
    <t>Maguire, Karla_SOFTWARE_IT-FGS0302-SW-US-00</t>
  </si>
  <si>
    <t>L-ERP-364</t>
  </si>
  <si>
    <t>McCormick, Pete_SOFTWARE_IT-FGS0302-SW-US-00</t>
  </si>
  <si>
    <t>L-ERP-540</t>
  </si>
  <si>
    <t>Tamavada, Ram_SOFTWARE_IT-FGS0302-SW-US-00</t>
  </si>
  <si>
    <t>ERP-006</t>
  </si>
  <si>
    <t>Tamavada, Ram_SOFTWARE_IT-MGS0202-OG-US-00</t>
  </si>
  <si>
    <t>L-ERP-013</t>
  </si>
  <si>
    <t>DeHart, Lynn_SOFTWARE_IT-MGS0208-OG-US-00</t>
  </si>
  <si>
    <t>L-ERP-516</t>
  </si>
  <si>
    <t>Tamavada, Ram_SOFTWARE_IT-SFT0159-86-OG-US</t>
  </si>
  <si>
    <t>E1 Oracle Hosting and Maintenance - OCI</t>
  </si>
  <si>
    <t>ORACLE CORP</t>
  </si>
  <si>
    <t>9501159633</t>
  </si>
  <si>
    <t>N-ERP-614</t>
  </si>
  <si>
    <t>Tamavada, Ram_SOFTWARE_IT-SFT0159-86-OG-US/PF</t>
  </si>
  <si>
    <t>E1 Oracle Hosting and Maintenance - OCI (Pullforward Credit)</t>
  </si>
  <si>
    <t xml:space="preserve">Yes </t>
  </si>
  <si>
    <t>N-ERP-615</t>
  </si>
  <si>
    <t>Tamavada, Ram_SOFTWARE_IT-SFT0170-86-OG-US</t>
  </si>
  <si>
    <t>Broadcom (Job Scheduler)</t>
  </si>
  <si>
    <t>WORLD WIDE TECHNOLOGY LLC</t>
  </si>
  <si>
    <t>9500579215</t>
  </si>
  <si>
    <t>N-ERP-616</t>
  </si>
  <si>
    <t>Tamavada, Ram_SOFTWARE_IT-SFT0170-86-OG-US/PF</t>
  </si>
  <si>
    <t>Broadcom (Job Scheduler) (Pullforward Credit)</t>
  </si>
  <si>
    <t>L-ERP-474</t>
  </si>
  <si>
    <t>Patel, Nikunj Rohitkumar_SOFTWARE_IT-SFT0673-86-OG-US</t>
  </si>
  <si>
    <t>Gate Software ALLOut Security</t>
  </si>
  <si>
    <t>GATE SOFTWARE LLC</t>
  </si>
  <si>
    <t>9501113089</t>
  </si>
  <si>
    <t>KP-Need new PO by Nov from Dec 26-Dec 27</t>
  </si>
  <si>
    <t>N-ERP-590</t>
  </si>
  <si>
    <t>McCormick, Pete_SOFTWARE_IT-SFT1003-86-OG-US</t>
  </si>
  <si>
    <t>Security Bridge (Pullforward Debit)</t>
  </si>
  <si>
    <t>AXWAY INC</t>
  </si>
  <si>
    <t>9501158822</t>
  </si>
  <si>
    <t>N-ERP-591</t>
  </si>
  <si>
    <t>McCormick, Pete_SOFTWARE_IT-SFT1003-86-OG-US/PF</t>
  </si>
  <si>
    <t>Security Bridge (Pullforward Credit)</t>
  </si>
  <si>
    <t>L-ERP-378</t>
  </si>
  <si>
    <t>McCormick, Pete_SOFTWARE_IT-SFT1006-86-OG-US</t>
  </si>
  <si>
    <t>Oracle Diagnostics Pack</t>
  </si>
  <si>
    <t>9501159599</t>
  </si>
  <si>
    <t>L-ERP-112</t>
  </si>
  <si>
    <t>SAP on Premise Software Maintenance (Appendix 1)</t>
  </si>
  <si>
    <t>9501133254</t>
  </si>
  <si>
    <t>5/7 CHW - Adj to match prepaid schedule</t>
  </si>
  <si>
    <t>N-ERP-509</t>
  </si>
  <si>
    <t>SAP on Premise Software Maintenance (Appendix 2) (Pullforward Debit)</t>
  </si>
  <si>
    <t xml:space="preserve"> SAP AMERICA INC</t>
  </si>
  <si>
    <t>7/15 - KP - as per Leslie - Update on WBS IT-SFT1009-86-OG US &amp; IT-SFT1247-86 OG-US, be reducing WBS IT SFT1009 86 OG US and IT SFT1247 86 OG US by a combined total of $580,664.66.	'4/28/26 CHW New add to tie-out 0223 to 0317 Planful Extracts</t>
  </si>
  <si>
    <t>N-ERP-510</t>
  </si>
  <si>
    <t>SAP on Premise Software Maintenance (Appendix 2) (Pullforward Credit)</t>
  </si>
  <si>
    <t>N-ERP-511</t>
  </si>
  <si>
    <t>SAP on Premise Software Maintenance (Appendix 4) (Pullforward Debit)</t>
  </si>
  <si>
    <t>N-ERP-512</t>
  </si>
  <si>
    <t>SAP on Premise Software Maintenance (Appendix 4) (Pullforward Credit)</t>
  </si>
  <si>
    <t>N-ERP-513</t>
  </si>
  <si>
    <t>SAP on Premise Software Maintenance (Appendix 5) (Pullforward Debit)</t>
  </si>
  <si>
    <t>N-ERP-514</t>
  </si>
  <si>
    <t>SAP on Premise Software Maintenance (Appendix 5) (Pullforward Credit)</t>
  </si>
  <si>
    <t>N-ERP-515</t>
  </si>
  <si>
    <t>SAP on Premise Software Maintenance (Appendix 7) (Pullforward Debit)</t>
  </si>
  <si>
    <t>N-ERP-516</t>
  </si>
  <si>
    <t>SAP on Premise Software Maintenance (Appendix 7) (Pullforward Credit)</t>
  </si>
  <si>
    <t>N-ERP-517</t>
  </si>
  <si>
    <t>SAP on Premise Software Maintenance (Appendix 8) (Pullforward Debit)</t>
  </si>
  <si>
    <t>N-ERP-518</t>
  </si>
  <si>
    <t>SAP on Premise Software Maintenance (Appendix 8) (Pullforward Credit)</t>
  </si>
  <si>
    <t>N-ERP-519</t>
  </si>
  <si>
    <t>SAP on Premise Software Maintenance (Appendix 13) (Pullforward Debit)</t>
  </si>
  <si>
    <t>N-ERP-520</t>
  </si>
  <si>
    <t>SAP on Premise Software Maintenance (Appendix 13) (Pullforward Credit)</t>
  </si>
  <si>
    <t>N-ERP-521</t>
  </si>
  <si>
    <t>SAP on Premise Software Maintenance (Appendix 17) (Pullforward Debit)</t>
  </si>
  <si>
    <t>N-ERP-522</t>
  </si>
  <si>
    <t>SAP on Premise Software Maintenance (Appendix 17) (Pullforward Credit)</t>
  </si>
  <si>
    <t>N-ERP-523</t>
  </si>
  <si>
    <t>SAP on Premise Software Maintenance (Appendix 19) (Pullforward Debit)</t>
  </si>
  <si>
    <t>N-ERP-524</t>
  </si>
  <si>
    <t>SAP on Premise Software Maintenance (Appendix 19) (Pullforward Credit)</t>
  </si>
  <si>
    <t>N-ERP-525</t>
  </si>
  <si>
    <t>SAP on Premise Software Maintenance (Order Form No. 23) (Pullforward Debit)</t>
  </si>
  <si>
    <t>N-ERP-526</t>
  </si>
  <si>
    <t>SAP on Premise Software Maintenance (Order Form No. 23) (Pullforward Credit)</t>
  </si>
  <si>
    <t>N-ERP-527</t>
  </si>
  <si>
    <t>SAP on Premise Software Maintenance (Order Form No. 25) (Pullforward Debit)</t>
  </si>
  <si>
    <t>N-ERP-528</t>
  </si>
  <si>
    <t>SAP on Premise Software Maintenance (Order Form No. 25) (Pullforward Credit)</t>
  </si>
  <si>
    <t>N-ERP-529</t>
  </si>
  <si>
    <t>SAP on Premise Software Maintenance (Order Form No. 29) (Pullforward Debit)</t>
  </si>
  <si>
    <t>N-ERP-530</t>
  </si>
  <si>
    <t>SAP on Premise Software Maintenance (Order Form No. 29) (Pullforward Credit)</t>
  </si>
  <si>
    <t>N-ERP-531</t>
  </si>
  <si>
    <t>SAP on Premise Software Maintenance (Order Form No. 30) (Pullforward Debit)</t>
  </si>
  <si>
    <t>N-ERP-532</t>
  </si>
  <si>
    <t>SAP on Premise Software Maintenance (Order Form No. 30) (Pullforward Credit)</t>
  </si>
  <si>
    <t>N-ERP-533</t>
  </si>
  <si>
    <t>SAP on Premise Software Maintenance (Order Form No. 32) (Pullforward Debit)</t>
  </si>
  <si>
    <t>N-ERP-534</t>
  </si>
  <si>
    <t>SAP on Premise Software Maintenance (Order Form No. 32) (Pullforward Credit)</t>
  </si>
  <si>
    <t>L-ERP-113</t>
  </si>
  <si>
    <t>SAP on Premise Software Maintenance (Order Form No. 35)</t>
  </si>
  <si>
    <t>N-ERP-535</t>
  </si>
  <si>
    <t>SAP on Premise Software Maintenance (Order Form No. 37 A&amp;B) (Pullforward Debit)</t>
  </si>
  <si>
    <t>N-ERP-536</t>
  </si>
  <si>
    <t>SAP on Premise Software Maintenance (Order Form No. 37 A&amp;B) (Pullforward Credit)</t>
  </si>
  <si>
    <t>N-ERP-537</t>
  </si>
  <si>
    <t>SAP on Premise Software Maintenance (Order Form No. 38) (Pullforward Debit)</t>
  </si>
  <si>
    <t>N-ERP-538</t>
  </si>
  <si>
    <t>SAP on Premise Software Maintenance (Order Form No. 38) (Pullforward Credit)</t>
  </si>
  <si>
    <t>N-ERP-539</t>
  </si>
  <si>
    <t>SAP on Premise Software Maintenance (Order Form No. 41) (Pullforward Debit)</t>
  </si>
  <si>
    <t>N-ERP-540</t>
  </si>
  <si>
    <t>SAP on Premise Software Maintenance (Order Form No. 41) (Pullforward Credit)</t>
  </si>
  <si>
    <t>N-ERP-541</t>
  </si>
  <si>
    <t>SAP on Premise Software Maintenance (Order Form No. 45) (Pullforward Debit)</t>
  </si>
  <si>
    <t>N-ERP-542</t>
  </si>
  <si>
    <t>SAP on Premise Software Maintenance (Order Form No. 45) (Pullforward Credit)</t>
  </si>
  <si>
    <t>N-ERP-543</t>
  </si>
  <si>
    <t>SAP GTS Licenses for HANA (Order 46) (Pullforward Debit)</t>
  </si>
  <si>
    <t>N-ERP-544</t>
  </si>
  <si>
    <t>SAP GTS Licenses for HANA (Order 46) (Pullforward Credit)</t>
  </si>
  <si>
    <t>N-ERP-545</t>
  </si>
  <si>
    <t>SAP on Premise Software Maintenance (Firefighter / Virsa) (Pullforward Debit)</t>
  </si>
  <si>
    <t>N-ERP-546</t>
  </si>
  <si>
    <t>SAP on Premise Software Maintenance (Firefighter / Virsa) (Pullforward Credit)</t>
  </si>
  <si>
    <t>L-ERP-111</t>
  </si>
  <si>
    <t>SAP on Premise Chargeback</t>
  </si>
  <si>
    <t>L-ERP-116</t>
  </si>
  <si>
    <t>9501147739</t>
  </si>
  <si>
    <t>5/7 CHW - Updated to reflect prepaid schedule</t>
  </si>
  <si>
    <t>L-ERP-121</t>
  </si>
  <si>
    <t>Seal Systems</t>
  </si>
  <si>
    <t>SEAL SYSTEMS INC</t>
  </si>
  <si>
    <t>N-ERP-610</t>
  </si>
  <si>
    <t>Patel, Nikunj Rohitkumar_SOFTWARE_IT-SFT1023-86-OG-US</t>
  </si>
  <si>
    <t>Markov (Mainteannce Renewal) (Pullforward Debit)</t>
  </si>
  <si>
    <t>MarKov</t>
  </si>
  <si>
    <t>9501113130</t>
  </si>
  <si>
    <t>7/9 - KP-3 years paid from 1/1/26 - 12/31/28 PAID IN FULL.
2026 Year 1 $53,688.88
2027 Year 2 $56,352.45
2028 Year 3 $59,169.97                                                                                   '4/28/26 CHW New add to tie-out 0223 to 0317 Planful Extracts</t>
  </si>
  <si>
    <t>N-ERP-611</t>
  </si>
  <si>
    <t>Patel, Nikunj Rohitkumar_SOFTWARE_IT-SFT1023-86-OG-US/PF</t>
  </si>
  <si>
    <t>Markov (Mainteannce Renewal) (Pullforward Credit)</t>
  </si>
  <si>
    <t>7/9 - KP-3 years paid from 1/1/26 - 12/31/28 PAID IN FULL.
2026 Year 1 $53,688.88
2027 Year 2 $56,352.45
2028 Year 3 $59,169.97                       '4/28/26 CHW New add to tie-out 0223 to 0317 Planful Extracts</t>
  </si>
  <si>
    <t>L-ERP-321</t>
  </si>
  <si>
    <t>Maguire, Karla_SOFTWARE_IT-SFT1119-86-OG-US</t>
  </si>
  <si>
    <t>Visio O365 Licenses</t>
  </si>
  <si>
    <t>L-ERP-322</t>
  </si>
  <si>
    <t>Maguire, Karla_SOFTWARE_IT-SFT1121-86-OG-US</t>
  </si>
  <si>
    <t>Project O365 Licenses</t>
  </si>
  <si>
    <t>N-ERP-608</t>
  </si>
  <si>
    <t>Meadows, Leslie_SOFTWARE_IT-SFT1147-86-OG-US</t>
  </si>
  <si>
    <t>Tricentis Tosca, Connect &amp; Execution Licenses (Pullforward Debit)</t>
  </si>
  <si>
    <t>9500837875</t>
  </si>
  <si>
    <t>8/12 - This has Ram's CC - Need to know if its Leslie's or Ram's.
5/13/26 CHW - For review as not sure this hit in 2025</t>
  </si>
  <si>
    <t>N-ERP-609</t>
  </si>
  <si>
    <t>Meadows, Leslie_SOFTWARE_IT-SFT1147-86-OG-US/PF</t>
  </si>
  <si>
    <t>Tricentis Tosca, Connect &amp; Execution Licenses (Pullforward Credit)</t>
  </si>
  <si>
    <t>5/13/26 CHW - For review as not sure this hit in 2025</t>
  </si>
  <si>
    <t>N-ERP-592</t>
  </si>
  <si>
    <t>McCormick, Pete_SOFTWARE_IT-SFT1172-86-OG-US</t>
  </si>
  <si>
    <t>Radio Frequency device licenses at plants - 42Gears - SureMDM Suite license (Pullforward Debit)</t>
  </si>
  <si>
    <t>Avalon</t>
  </si>
  <si>
    <t>9501143257</t>
  </si>
  <si>
    <t>N-ERP-593</t>
  </si>
  <si>
    <t>McCormick, Pete_SOFTWARE_IT-SFT1172-86-OG-US/PF</t>
  </si>
  <si>
    <t>Radio Frequency device licenses at plants - 42Gears - SureMDM Suite license (Pullforward Credit)</t>
  </si>
  <si>
    <t>L-ERP-120</t>
  </si>
  <si>
    <t>Serialization - SAP ICH License- Software subscription (SaaS) - (Contract #3061804516)</t>
  </si>
  <si>
    <t>5/7 CHW - Adj to match prepaid schedule which run 10/1/2025 to 9/30/2026; 3% increase added to renewal</t>
  </si>
  <si>
    <t>L-ERP-053</t>
  </si>
  <si>
    <t>SAP ICH incremental cost for GLN/Non-GLN portal- Additional Licenses (Contract#3062358011)</t>
  </si>
  <si>
    <t>5/7 CHW - Add 3% renewal</t>
  </si>
  <si>
    <t>L-ERP-110</t>
  </si>
  <si>
    <t>SAP on Premise Software Maintenance - JDNet Connector</t>
  </si>
  <si>
    <t>L-ERP-068</t>
  </si>
  <si>
    <t>L-ERP-314</t>
  </si>
  <si>
    <t>Maguire, Karla_SOFTWARE_IT-SFT1194-86-OG-US</t>
  </si>
  <si>
    <t>L-ERP-357</t>
  </si>
  <si>
    <t>McCormick, Pete_SOFTWARE_IT-SFT1194-86-OG-US</t>
  </si>
  <si>
    <t>L-ERP-436</t>
  </si>
  <si>
    <t>Meadows, Leslie_SOFTWARE_IT-SFT1194-86-OG-US</t>
  </si>
  <si>
    <t>KP - increase is due to increase in Licensing fees by DevSecOps.</t>
  </si>
  <si>
    <t>L-ERP-471</t>
  </si>
  <si>
    <t>Patel, Nikunj Rohitkumar_SOFTWARE_IT-SFT1194-86-OG-US</t>
  </si>
  <si>
    <t>L-ERP-515</t>
  </si>
  <si>
    <t>Tamavada, Ram_SOFTWARE_IT-SFT1194-86-OG-US</t>
  </si>
  <si>
    <t>L-ERP-107</t>
  </si>
  <si>
    <t>Enable Now &amp; WalkMe Cloud Subscription Fee for S/4 HANA Order #3061964355</t>
  </si>
  <si>
    <t>SAP AMERICA INC</t>
  </si>
  <si>
    <t>Carry forward credit: $76,107.06 from prior agreement</t>
  </si>
  <si>
    <t>L-ERP-117</t>
  </si>
  <si>
    <t>SAP SaaS Software License (CCv2 Contract) Order #3061700877</t>
  </si>
  <si>
    <t>N-ERP-547</t>
  </si>
  <si>
    <t>SAP SaaS Software Maintenance (CCv1 - C4C Contract &amp; Add&amp;#39;l licenses ) - Order #3061810212</t>
  </si>
  <si>
    <t>9501165170</t>
  </si>
  <si>
    <t>N-ERP-548</t>
  </si>
  <si>
    <t>SAP SaaS Software Maintenance (CCv1 - C4C Contract &amp; Add&amp;#39;l licenses ) - Order #3061810212 (Pullforward Credit)</t>
  </si>
  <si>
    <t>N-ERP-549</t>
  </si>
  <si>
    <t>SAP SaaS Software Maintenance (SCP Analytics #3062255314) (Pullforward Debit)</t>
  </si>
  <si>
    <t>9501150254</t>
  </si>
  <si>
    <t xml:space="preserve">4/28/26 CHW New add to tie-out 0223 to 0317 Planful Extracts See PF Comment </t>
  </si>
  <si>
    <t>N-ERP-550</t>
  </si>
  <si>
    <t>SAP SaaS Software Maintenance (SCP Analytics #3062255314) (Pullforward Credit)</t>
  </si>
  <si>
    <t>4/28/26 CHW New add to tie-out 0223 to 0317 Planful Extracts should credit be included in LE2 submission?; AP2 comment: missing PF credit</t>
  </si>
  <si>
    <t>N-ERP-551</t>
  </si>
  <si>
    <t>SAP SaaS Software Maintenance (CPEA #3062117959/old# 2212499928 ) (Pullforward Debit)</t>
  </si>
  <si>
    <t>9501149103</t>
  </si>
  <si>
    <t>N-ERP-552</t>
  </si>
  <si>
    <t>SAP SaaS Software Maintenance (CPEA #3062117959/old# 2212499928 ) (Pullforward Credit)</t>
  </si>
  <si>
    <t>L-ERP-118</t>
  </si>
  <si>
    <t>SAP SaaS Software Maint (SCP Integration/Enterprise Edition #3061467781)</t>
  </si>
  <si>
    <t>L-ERP-119</t>
  </si>
  <si>
    <t>SAP Supply Chain Collaboration (SCC) &amp; Quality Add On Contract #3072512098_XFR0956</t>
  </si>
  <si>
    <t>9501145874</t>
  </si>
  <si>
    <t>L-ERP-114</t>
  </si>
  <si>
    <t>SAP S/4 HANA Software Yearly Maint. (Order 43)</t>
  </si>
  <si>
    <t>N-ERP-594</t>
  </si>
  <si>
    <t>McCormick, Pete_SOFTWARE_IT-SFT1249-86-OG-US</t>
  </si>
  <si>
    <t>SAP User Group Yearly Membership (ASUG)</t>
  </si>
  <si>
    <t>N-ERP-595</t>
  </si>
  <si>
    <t>McCormick, Pete_SOFTWARE_IT-SFT1249-86-OG-US/PF</t>
  </si>
  <si>
    <t>SAP User Group Yearly Membership (ASUG) (Pullforward Credit)</t>
  </si>
  <si>
    <t>L-ERP-379</t>
  </si>
  <si>
    <t>McCormick, Pete_SOFTWARE_IT-SFT1257-86-OG-US</t>
  </si>
  <si>
    <t>SAP Platform - Power10 and PowerHA S/W Maint - Somerset &amp; Durham</t>
  </si>
  <si>
    <t>PO 9501131788, 9501132561 (both 2026) total $313.4k</t>
  </si>
  <si>
    <t>L-ERP-054</t>
  </si>
  <si>
    <t>BPAI S/W - Broadcom Autosys/Automic (ML-0714)</t>
  </si>
  <si>
    <t>L-ERP-349</t>
  </si>
  <si>
    <t>McCormick, Pete_SOFTWARE_IT-SFT1270-86-OG-US</t>
  </si>
  <si>
    <t>L-ERP-065</t>
  </si>
  <si>
    <t>L-ERP-354</t>
  </si>
  <si>
    <t>McCormick, Pete_SOFTWARE_IT-SFT1282-86-OG-US</t>
  </si>
  <si>
    <t>N-ERP-596</t>
  </si>
  <si>
    <t>McCormick, Pete_SOFTWARE_IT-SFT1283-86-OG-US</t>
  </si>
  <si>
    <t>DELL PowerMax &amp; CISCO San Switches SW Maintenance - Somerset (Pullforward Debit)</t>
  </si>
  <si>
    <t>WORLD WIDE TECHNOLOGY</t>
  </si>
  <si>
    <t>N-ERP-597</t>
  </si>
  <si>
    <t>McCormick, Pete_SOFTWARE_IT-SFT1283-86-OG-US/PF</t>
  </si>
  <si>
    <t>DELL PowerMax &amp; CISCO San Switches SW Maintenance - Somerset (Pullforward Credit)</t>
  </si>
  <si>
    <t>N-ERP-598</t>
  </si>
  <si>
    <t>McCormick, Pete_SOFTWARE_IT-SFT1284-86-OG-US</t>
  </si>
  <si>
    <t>DELL PowerMax &amp; CISCO San Switches SW Maintenance - Durham (Pullforward Debit)</t>
  </si>
  <si>
    <t>N-ERP-599</t>
  </si>
  <si>
    <t>McCormick, Pete_SOFTWARE_IT-SFT1284-86-OG-US/PF</t>
  </si>
  <si>
    <t>DELL PowerMax &amp; CISCO San Switches SW Maintenance - Durham (Pullforward Credit)</t>
  </si>
  <si>
    <t>N-ERP-600</t>
  </si>
  <si>
    <t>McCormick, Pete_SOFTWARE_IT-SFT1401-OG-US-00</t>
  </si>
  <si>
    <t>Storix Linux Storage Licenses</t>
  </si>
  <si>
    <t>SIRIUS COMPUTER SOLUTIONS</t>
  </si>
  <si>
    <t>9501130232</t>
  </si>
  <si>
    <t>N-ERP-601</t>
  </si>
  <si>
    <t>McCormick, Pete_SOFTWARE_IT-SFT1401-OG-US-00/PF</t>
  </si>
  <si>
    <t>Storix Linux Storage Licenses (Pullforward Credit)</t>
  </si>
  <si>
    <t>L-ERP-055</t>
  </si>
  <si>
    <t>BPAI S/W - IBM Value Added Network (VAN) (ML-0729)</t>
  </si>
  <si>
    <t>9500996366</t>
  </si>
  <si>
    <t>L-ERP-058</t>
  </si>
  <si>
    <t>SAP ICH Quality Add-on Contract #3062678905_XFR0707</t>
  </si>
  <si>
    <t>L-ERP-098</t>
  </si>
  <si>
    <t>SAP license &amp; support costs for SAP at Sanford North(P323-0010203)_2025-XFR-0036-A</t>
  </si>
  <si>
    <t>L-ERP-365</t>
  </si>
  <si>
    <t>McCormick, Pete_SOFTWARE_IT-SFT1410-OG-US-00</t>
  </si>
  <si>
    <t>Power 10 AIX 7.1 Extended Support (for APO, GIS, PPM, SAP PI 7.1, MQ, BOBJ, VPSX)</t>
  </si>
  <si>
    <t>9501116519</t>
  </si>
  <si>
    <t>N-ERP-602</t>
  </si>
  <si>
    <t>McCormick, Pete_SOFTWARE_IT-SFT1410-OG-US-00/PF</t>
  </si>
  <si>
    <t>Power 10 AIX 7.1 Extended Support (for APO, GIS, PPM, SAP PI 7.1, MQ, BOBJ, VPSX) (Pullforward Credit)</t>
  </si>
  <si>
    <t>L-ERP-380</t>
  </si>
  <si>
    <t>McCormick, Pete_SOFTWARE_IT-SFT1412-OG-US-00</t>
  </si>
  <si>
    <t>PEP 2.0 Credits</t>
  </si>
  <si>
    <t>L-ERP-056</t>
  </si>
  <si>
    <t>BPAI S/W - IBM B2B Integrator (ML-0731)</t>
  </si>
  <si>
    <t xml:space="preserve">9501163151 </t>
  </si>
  <si>
    <t>N-ERP-553</t>
  </si>
  <si>
    <t>BPAI S/W - Axway B2Bi (ML-0736)</t>
  </si>
  <si>
    <t>AXWAY Inc.</t>
  </si>
  <si>
    <t>N-ERP-554</t>
  </si>
  <si>
    <t>BPAI S/W - Axway B2Bi (ML-0736) (Pullforward Credit)</t>
  </si>
  <si>
    <t>L-ERP-057</t>
  </si>
  <si>
    <t>BPAI S/W - EDIFECS SpecBuilder (ML-0737)</t>
  </si>
  <si>
    <t>EDIFECS INC</t>
  </si>
  <si>
    <t>9501196586</t>
  </si>
  <si>
    <t>L-ERP-375</t>
  </si>
  <si>
    <t>McCormick, Pete_SOFTWARE_IT-SFT1416-OG-US-00</t>
  </si>
  <si>
    <t>M&amp;S Pro Renewal</t>
  </si>
  <si>
    <t>L-ERP-507</t>
  </si>
  <si>
    <t>Tamavada, Ram_SOFTWARE_IT-SFT1434-OG-US-00</t>
  </si>
  <si>
    <t>L-ERP-508</t>
  </si>
  <si>
    <t>Tamavada, Ram_SOFTWARE_IT-SFT1441-OG-US-00</t>
  </si>
  <si>
    <t>IBM: Pfynix AIOps - IBM Process Automation Manager</t>
  </si>
  <si>
    <t>L-ERP-099</t>
  </si>
  <si>
    <t>ESC/AIS APP &amp; Platform Support: Software</t>
  </si>
  <si>
    <t>N-ERP-555</t>
  </si>
  <si>
    <t>SAP DI New Contract</t>
  </si>
  <si>
    <t>9501147826</t>
  </si>
  <si>
    <t>N-ERP-556</t>
  </si>
  <si>
    <t>SAP DI New Contract (Pullforward Credit)</t>
  </si>
  <si>
    <t>L-ERP-101</t>
  </si>
  <si>
    <t>L-ERP-340</t>
  </si>
  <si>
    <t>Maguire, Karla_SOFTWARE_MISC001</t>
  </si>
  <si>
    <t>L-ERP-377</t>
  </si>
  <si>
    <t>McCormick, Pete_SOFTWARE_MISC001</t>
  </si>
  <si>
    <t>L-ERP-448</t>
  </si>
  <si>
    <t>Meadows, Leslie_SOFTWARE_MISC001</t>
  </si>
  <si>
    <t>L-ERP-476</t>
  </si>
  <si>
    <t>Patel, Nikunj Rohitkumar_SOFTWARE_MISC001</t>
  </si>
  <si>
    <t>L-ERP-550</t>
  </si>
  <si>
    <t>Tamavada, Ram_SOFTWARE_MISC001</t>
  </si>
  <si>
    <t>L-ERP-167</t>
  </si>
  <si>
    <t>ERP-033</t>
  </si>
  <si>
    <t>DIGITAL-MICROSOFTEA</t>
  </si>
  <si>
    <t>L-ERP-133</t>
  </si>
  <si>
    <t>L-ERP-132</t>
  </si>
  <si>
    <t>Related to Manhattan software. Don't know why this is being separated.</t>
  </si>
  <si>
    <t>L-ERP-162</t>
  </si>
  <si>
    <t>Jira License for GLNS Analytics. Budget availabile under IT-SFT1267-xx</t>
  </si>
  <si>
    <t>ERP-034</t>
  </si>
  <si>
    <t>DIGITAL-COPILOT</t>
  </si>
  <si>
    <t>L-ERP-134</t>
  </si>
  <si>
    <t>L-ERP-175</t>
  </si>
  <si>
    <t>Logistics Lakos WMS Software (Stocklin)_XFR1019</t>
  </si>
  <si>
    <t>L-ERP-163</t>
  </si>
  <si>
    <t>GLNS Visual Compliance</t>
  </si>
  <si>
    <t>Visual Compliance</t>
  </si>
  <si>
    <t>L-ERP-140</t>
  </si>
  <si>
    <t>Mulesoft - License Maintenance_XFR0926</t>
  </si>
  <si>
    <t>L-ERP-127</t>
  </si>
  <si>
    <t>L-ERP-164</t>
  </si>
  <si>
    <t>N-ERP-563</t>
  </si>
  <si>
    <t>GLNS Analytics - Snowflake Compute Software</t>
  </si>
  <si>
    <t>N-ERP-564</t>
  </si>
  <si>
    <t>Logistics Ship It Control Tower</t>
  </si>
  <si>
    <t xml:space="preserve">4/28/26 CHW New add to tie-out 0223 to 0317 Planful Extracts replaced by ShipERP </t>
  </si>
  <si>
    <t>ShipItControl Tower</t>
  </si>
  <si>
    <t>L-ERP-165</t>
  </si>
  <si>
    <t>GLNS Cloud Orchestration Airflow license for BI</t>
  </si>
  <si>
    <t>L-ERP-166</t>
  </si>
  <si>
    <t>GLNS Annual Jira licenses</t>
  </si>
  <si>
    <t>N-ERP-565</t>
  </si>
  <si>
    <t>Logistics LMS Manhattan Maintenance Support</t>
  </si>
  <si>
    <t>MANHATTAN ASSOCIATES</t>
  </si>
  <si>
    <t>9501147319</t>
  </si>
  <si>
    <t>5/12/26 CHW - Current PO covers 1/1 to 12/31 2026 Removed forecast</t>
  </si>
  <si>
    <t>Manhatan LMS - Need to discuss plan for 2027</t>
  </si>
  <si>
    <t>N-ERP-566</t>
  </si>
  <si>
    <t>Logistics LMS Manhattan Maintenance Support (Pullforward Credit)</t>
  </si>
  <si>
    <t>5/12/26 CHW - Current PO covers 1/1 to 12/31 2026</t>
  </si>
  <si>
    <t>L-ERP-126</t>
  </si>
  <si>
    <t>CoPilot Licenses</t>
  </si>
  <si>
    <t>L-ERP-168</t>
  </si>
  <si>
    <t>ERP-001</t>
  </si>
  <si>
    <t>Ganesan, Srinivasan_SOFTWARE</t>
  </si>
  <si>
    <t>ShipERP</t>
  </si>
  <si>
    <t>PR12483352</t>
  </si>
  <si>
    <t>8/10 CHW - Adjusted timing due to PR and invoice</t>
  </si>
  <si>
    <t>L-ERP-568</t>
  </si>
  <si>
    <t>Yeluri, Durga_SOFTWARE_2026-XFR-0014-B</t>
  </si>
  <si>
    <t>Cash Flow Automation Project - Software License cost for SAP Analytics on Cloud (included as part of SAP S/4 HANA FSA)</t>
  </si>
  <si>
    <t>SAC license is not needed. Forecast removed.</t>
  </si>
  <si>
    <t>L-ERP-177</t>
  </si>
  <si>
    <t>Brazil Tax Reform and SAP GRC Replacement - SAP Document and Risk Compliance Cloud Subscription</t>
  </si>
  <si>
    <t>Reclass to business, SAP annual invoice $81,120 expected 8/15</t>
  </si>
  <si>
    <t>L-ERP-178</t>
  </si>
  <si>
    <t>SAP Global Trade Services Upgrade: offshore support - Offshore ERP support cost</t>
  </si>
  <si>
    <t>LZ 4/27 - Move forecast from Raj H to Mike H</t>
  </si>
  <si>
    <t>L-ERP-179</t>
  </si>
  <si>
    <t>SAP Global Trade Services Upgrade: software maintenance - SAP annual software maintenance</t>
  </si>
  <si>
    <t>L-ERP-190</t>
  </si>
  <si>
    <t>L-ERP-582</t>
  </si>
  <si>
    <t>Yeluri, Durga_SOFTWARE_ColleagueSolutions001</t>
  </si>
  <si>
    <t>ERP-011</t>
  </si>
  <si>
    <t>EnhanceChargeout001 AP04 Tie-Out</t>
  </si>
  <si>
    <t>L-ERP-577</t>
  </si>
  <si>
    <t>Yeluri, Durga_SOFTWARE_EP&amp;SCharges001</t>
  </si>
  <si>
    <t>L-ERP-581</t>
  </si>
  <si>
    <t>Yeluri, Durga_SOFTWARE_IT-DATAIKU-01</t>
  </si>
  <si>
    <t>Dataiku</t>
  </si>
  <si>
    <t>SYSDIG INC</t>
  </si>
  <si>
    <t>2320611</t>
  </si>
  <si>
    <t>9501152538</t>
  </si>
  <si>
    <t>L-ERP-576</t>
  </si>
  <si>
    <t>Yeluri, Durga_SOFTWARE_IT-FGS0298-SW-US-00</t>
  </si>
  <si>
    <t>L-ERP-181</t>
  </si>
  <si>
    <t>L-ERP-569</t>
  </si>
  <si>
    <t>Yeluri, Durga_SOFTWARE_IT-SFT1139-86-OG-US</t>
  </si>
  <si>
    <t>Celonis Monthly Fee for IBC access + Action Engine Licenses</t>
  </si>
  <si>
    <t>9501082709</t>
  </si>
  <si>
    <t>5/4 CHW adjusted prepaid schedule</t>
  </si>
  <si>
    <t>L-ERP-182</t>
  </si>
  <si>
    <t>ERP-060</t>
  </si>
  <si>
    <t>Yeluri, Durga_SOFTWARE_IT-SFT1194-86-OG-US</t>
  </si>
  <si>
    <t>L-ERP-035</t>
  </si>
  <si>
    <t>DeHart, Lynn_SOFTWARE_IT-SFT1398-OG-US-00</t>
  </si>
  <si>
    <t>Celonis Climatiq License for 10M shipments annually_XFR0921</t>
  </si>
  <si>
    <t>8/3 - Move LT Member-1 to Raj.  PO 9501323802 for Climatiq License by Celonis (12 Month subscription)</t>
  </si>
  <si>
    <t>N-ERP-618</t>
  </si>
  <si>
    <t>Yeluri, Durga_SOFTWARE_IT-SFT1449-OG-US-00</t>
  </si>
  <si>
    <t>Celonis AI/ML Workbench License</t>
  </si>
  <si>
    <t>9501131787</t>
  </si>
  <si>
    <t>N-ERP-619</t>
  </si>
  <si>
    <t>Yeluri, Durga_SOFTWARE_IT-SFT1449-OG-US-00/PF</t>
  </si>
  <si>
    <t>Celonis AI/ML Workbench License (Pullforward Credit)</t>
  </si>
  <si>
    <t>L-ERP-191</t>
  </si>
  <si>
    <t>L-ERP-583</t>
  </si>
  <si>
    <t>Yeluri, Durga_SOFTWARE_MISC001</t>
  </si>
  <si>
    <t>L-ERP-212</t>
  </si>
  <si>
    <t>L-ERP-196</t>
  </si>
  <si>
    <t>L-ERP-213</t>
  </si>
  <si>
    <t>N-ERP-571</t>
  </si>
  <si>
    <t>4/28/26 CHW New add to tie-out 0223 to 0317 Planful Extracts Cost center change from Mike Hovanyetz to Chris Dougherty &amp; removed forecast</t>
  </si>
  <si>
    <t>N-ERP-572</t>
  </si>
  <si>
    <t>N-ERP-573</t>
  </si>
  <si>
    <t>L-ERP-215</t>
  </si>
  <si>
    <t>2026 L-SGN Budget Transfer for incremental ERP Costs - Budget transfer for Oracle OCI Software Usage Costs</t>
  </si>
  <si>
    <t>ERP-003</t>
  </si>
  <si>
    <t>CHW 5/5 - removed forecast as covered in IT-FBT0281-OG-US-00 per Leslie; LZ 4/27 - Move forecast from Raj H to Mike H</t>
  </si>
  <si>
    <t>ERP-004</t>
  </si>
  <si>
    <t>CHW 5/5 - removed forecast as covered in IT-SFT1009-46 per Leslie; 'LZ 4/27 - Move forecast from Raj H to Mike H</t>
  </si>
  <si>
    <t>L-ERP-563</t>
  </si>
  <si>
    <t>Vaidya, Sachin_SOFTWARE_EnhanceChargeout001</t>
  </si>
  <si>
    <t>L-ERP-218</t>
  </si>
  <si>
    <t>L-ERP-223</t>
  </si>
  <si>
    <t>N-ERP-574</t>
  </si>
  <si>
    <t>ERP Ancillary Software Maintenance - GTS Denied Party Screening</t>
  </si>
  <si>
    <t>Descartes</t>
  </si>
  <si>
    <t>9501157278</t>
  </si>
  <si>
    <t>N-ERP-575</t>
  </si>
  <si>
    <t>ERP Ancillary Software Maintenance - GTS Denied Party Screening (Pullforward Credit)</t>
  </si>
  <si>
    <t>L-ERP-219</t>
  </si>
  <si>
    <t>L-ERP-551</t>
  </si>
  <si>
    <t>Vaidya, Sachin_SOFTWARE_IT-SFT1194-86-OG-US</t>
  </si>
  <si>
    <t>L-ERP-560</t>
  </si>
  <si>
    <t>Vaidya, Sachin_SOFTWARE_IT-SFT1458-OG-US-00</t>
  </si>
  <si>
    <t>L-ERP-561</t>
  </si>
  <si>
    <t>Vaidya, Sachin_SOFTWARE_IT-SFT1459-OG-US-00</t>
  </si>
  <si>
    <t>L-ERP-562</t>
  </si>
  <si>
    <t>Vaidya, Sachin_SOFTWARE_IT-SFT1461-OG-US-00</t>
  </si>
  <si>
    <t>Kazakhstan Legal Entity in SAP - Edicom Connection Fees</t>
  </si>
  <si>
    <t>Sachin (4/30): This funding is no longer needed (8/6): Lisa confirmed with Commercial Finance that reclass for $15K needs to be performed. For 2027 this money needs to be transferred back to the business</t>
  </si>
  <si>
    <t>N-ERP-617</t>
  </si>
  <si>
    <t>Vaidya, Sachin_SOFTWARE_IT-SFT1462-OG-US-00</t>
  </si>
  <si>
    <t>4/28/26 CHW New add to tie-out 0223 to 0317 Planful Extracts
Sachin (4/30): This row can be removed. Its duplicate of row 284</t>
  </si>
  <si>
    <t>Acct Mvmnt - IT-CTR0151-OG-US-00/IT-SFT1462-OG-US-00; Sachin (4/30): This row can be removed. Its duplicate of row 284</t>
  </si>
  <si>
    <t>L-ERP-225</t>
  </si>
  <si>
    <t>L-ERP-564</t>
  </si>
  <si>
    <t>Vaidya, Sachin_SOFTWARE_MISC001</t>
  </si>
  <si>
    <t>L-ERP-228</t>
  </si>
  <si>
    <t>SAP Extended Warehouse Management for Vizag - SAP EWM (advanced Licenses) Need starting 2026</t>
  </si>
  <si>
    <t>ERP-042</t>
  </si>
  <si>
    <t>2329901</t>
  </si>
  <si>
    <t>L-ERP-229</t>
  </si>
  <si>
    <t>ERP-043</t>
  </si>
  <si>
    <t>DIGITAL-M365</t>
  </si>
  <si>
    <t>1639002</t>
  </si>
  <si>
    <t>L-ERP-230</t>
  </si>
  <si>
    <t>L-ERP-250</t>
  </si>
  <si>
    <t>ERP-022</t>
  </si>
  <si>
    <t>McGettigan, David_SOFTWARE_BILLINGREV001CN</t>
  </si>
  <si>
    <t>2635052</t>
  </si>
  <si>
    <t>ERP-023</t>
  </si>
  <si>
    <t>McGettigan, David_SOFTWARE_BILLINGREV009B</t>
  </si>
  <si>
    <t>ITFM-DIGITAL-M365-LICENSE-2025</t>
  </si>
  <si>
    <t>L-ERP-401</t>
  </si>
  <si>
    <t>McGettigan, David_SOFTWARE_BillingSweep001</t>
  </si>
  <si>
    <t>L-ERP-402</t>
  </si>
  <si>
    <t>McGettigan, David_SOFTWARE_BillingSweep002</t>
  </si>
  <si>
    <t>L-ERP-036</t>
  </si>
  <si>
    <t>DeHart, Lynn_SOFTWARE_BillingSweep005</t>
  </si>
  <si>
    <t>L-ERP-403</t>
  </si>
  <si>
    <t>McGettigan, David_SOFTWARE_BillingSweep006</t>
  </si>
  <si>
    <t>ERP-024</t>
  </si>
  <si>
    <t>McGettigan, David_SOFTWARE_BILLINGSWEEP021</t>
  </si>
  <si>
    <t>ERP-017</t>
  </si>
  <si>
    <t>McGettigan, David_SOFTWARE_BillSweepMisc</t>
  </si>
  <si>
    <t>ERP-048</t>
  </si>
  <si>
    <t>McGettigan, David_SOFTWARE_CE-BTF22001-02-EX</t>
  </si>
  <si>
    <t>P321-0006710 SAP S4 - DIGITAL-COPILOT</t>
  </si>
  <si>
    <t>L-ERP-037</t>
  </si>
  <si>
    <t>DeHart, Lynn_SOFTWARE_ColleagueSolutions001</t>
  </si>
  <si>
    <t>L-ERP-408</t>
  </si>
  <si>
    <t>McGettigan, David_SOFTWARE_ColleagueSolutions001</t>
  </si>
  <si>
    <t>L-ERP-395</t>
  </si>
  <si>
    <t>McGettigan, David_SOFTWARE_ERP_Amort001</t>
  </si>
  <si>
    <t>CCA - Process Mining Celonis-EMEA/US/PGS- Amortization</t>
  </si>
  <si>
    <t>ERP-036</t>
  </si>
  <si>
    <t>DeHart, Lynn_SOFTWARE_IT-FGS0299-OG-US-00</t>
  </si>
  <si>
    <t>DIGITAL-MAC</t>
  </si>
  <si>
    <t>L-ERP-003</t>
  </si>
  <si>
    <t>DeHart, Lynn_SOFTWARE_IT-FGS0300-SW-US-00</t>
  </si>
  <si>
    <t>L-ERP-410</t>
  </si>
  <si>
    <t>McGettigan, David_SOFTWARE_IT-FGS0300-SW-US-00</t>
  </si>
  <si>
    <t>L-ERP-015</t>
  </si>
  <si>
    <t>DeHart, Lynn_SOFTWARE_IT-FGS0302-SW-US-00</t>
  </si>
  <si>
    <t>L-ERP-413</t>
  </si>
  <si>
    <t>McGettigan, David_SOFTWARE_IT-FGS0302-SW-US-00</t>
  </si>
  <si>
    <t>L-ERP-004</t>
  </si>
  <si>
    <t>DeHart, Lynn_SOFTWARE_IT-SFT1194-86-OG-US</t>
  </si>
  <si>
    <t>L-ERP-407</t>
  </si>
  <si>
    <t>McGettigan, David_SOFTWARE_IT-SFT1194-86-OG-US</t>
  </si>
  <si>
    <t>L-ERP-014</t>
  </si>
  <si>
    <t>DeHart, Lynn_SOFTWARE_IT-SFT1220-86-OG-US</t>
  </si>
  <si>
    <t>Infrastructure Charges - Cloud AWS - RHEL</t>
  </si>
  <si>
    <t>L-ERP-033</t>
  </si>
  <si>
    <t>DeHart, Lynn_SOFTWARE_IT-SFT1346-OG-US-00</t>
  </si>
  <si>
    <t>Office Timeline Pro Plus</t>
  </si>
  <si>
    <t>L-ERP-034</t>
  </si>
  <si>
    <t>DeHart, Lynn_SOFTWARE_IT-SFT1347-OG-US-00</t>
  </si>
  <si>
    <t>Power Automate Licenses</t>
  </si>
  <si>
    <t>L-ERP-038</t>
  </si>
  <si>
    <t>DeHart, Lynn_SOFTWARE_MISC001</t>
  </si>
  <si>
    <t>L-ERP-391</t>
  </si>
  <si>
    <t>McGettigan, David_SOFTWARE_MISC001</t>
  </si>
  <si>
    <t>L-ERP-491</t>
  </si>
  <si>
    <t>L-ERP-477</t>
  </si>
  <si>
    <t>L-ERP-484</t>
  </si>
  <si>
    <t>N-ERP-612</t>
  </si>
  <si>
    <t>2329547_Virtual Analytics Workbench (VAW) DSS - Data Science Studio Tools</t>
  </si>
  <si>
    <t>4/28/26 CHW New add to tie-out 0223 to 0317 Planful Extracts; 7/14 TW zeroed out this line - actuals pulled in under  MISC001 Managed Services in AP06</t>
  </si>
  <si>
    <t>L-ERP-479</t>
  </si>
  <si>
    <t>4/28 - (JAR) updated subsequent months with $8224</t>
  </si>
  <si>
    <t>L-ERP-490</t>
  </si>
  <si>
    <t>SAP BDC License</t>
  </si>
  <si>
    <t>L-ERP-492</t>
  </si>
  <si>
    <t>2026-XFR-0007-A _Serialization - SAP ATTP License - Software maintenance (on-premise)</t>
  </si>
  <si>
    <t>8/12 TW: reclass scheduled for AP08 for transfer that should have gone to CISO</t>
  </si>
  <si>
    <t>2026-XFR-0019-A_Serialization - SAP ICH License- Software subscription (SaaS) - (Contract #3061804516)</t>
  </si>
  <si>
    <t>2026-XFR-0019-A</t>
  </si>
  <si>
    <t>Ganessan, Srinivasan</t>
  </si>
  <si>
    <t>2026-XFR-0011-A_SAP ICH incremental cost for GLN (200 customers) and Non-GLN portal (50,000 customers)</t>
  </si>
  <si>
    <t>2026-XFR-0011-A</t>
  </si>
  <si>
    <t>2026-XFR-0062-A_42 Gears SureMDM Suite License</t>
  </si>
  <si>
    <t>2026-XFR-0062-A</t>
  </si>
  <si>
    <t>L-ERP-102</t>
  </si>
  <si>
    <t>Telecommunications</t>
  </si>
  <si>
    <t>L-ERP-341</t>
  </si>
  <si>
    <t>Maguire, Karla_TELECOMMUNICATIONS_Telecom001</t>
  </si>
  <si>
    <t>L-ERP-169</t>
  </si>
  <si>
    <t>L-ERP-251</t>
  </si>
  <si>
    <t>L-ERP-404</t>
  </si>
  <si>
    <t>McGettigan, David_TELECOMMUNICATIONS_PR-320001-0000007901</t>
  </si>
  <si>
    <t>L-ERP-039</t>
  </si>
  <si>
    <t>DeHart, Lynn_TELECOMMUNICATIONS_PR-320001-0000007986</t>
  </si>
  <si>
    <t>ERP-068</t>
  </si>
  <si>
    <t>L-ERP-040</t>
  </si>
  <si>
    <t>DeHart, Lynn_TELECOMMUNICATIONS_Telecom001</t>
  </si>
  <si>
    <t>L-ERP-415</t>
  </si>
  <si>
    <t>McGettigan, David_TELECOMMUNICATIONS_Telecom001</t>
  </si>
  <si>
    <t>L-ERP-493</t>
  </si>
  <si>
    <t>L-ERP-122</t>
  </si>
  <si>
    <t>Travel and Entertainment</t>
  </si>
  <si>
    <t>L-ERP-347</t>
  </si>
  <si>
    <t>Maguire, Karla_TRAVEL &amp; ENTERTAINMENT_TravelEnt001</t>
  </si>
  <si>
    <t>L-ERP-176</t>
  </si>
  <si>
    <t>L-ERP-257</t>
  </si>
  <si>
    <t>L-ERP-007</t>
  </si>
  <si>
    <t>DeHart, Lynn_TRAVEL &amp; ENTERTAINMENT_CE-BTS23000-02-EX-GR</t>
  </si>
  <si>
    <t>P322-0008813 - Next Gen Planning &amp; Sched</t>
  </si>
  <si>
    <t>L-ERP-041</t>
  </si>
  <si>
    <t>DeHart, Lynn_TRAVEL &amp; ENTERTAINMENT_IT-PBU1070-OT-IE-00</t>
  </si>
  <si>
    <t>P325-0016287-Customer Screening Expansio</t>
  </si>
  <si>
    <t>L-ERP-042</t>
  </si>
  <si>
    <t>DeHart, Lynn_TRAVEL &amp; ENTERTAINMENT_PR-587101-0000007986</t>
  </si>
  <si>
    <t>ERP-069</t>
  </si>
  <si>
    <t>L-ERP-049</t>
  </si>
  <si>
    <t>DeHart, Lynn_TRAVEL &amp; ENTERTAINMENT_TravelEnt001</t>
  </si>
  <si>
    <t>L-ERP-384</t>
  </si>
  <si>
    <t>McGettigan, David_TRAVEL &amp; ENTERTAINMENT_TravelEnt001</t>
  </si>
  <si>
    <t>L-ERP-427</t>
  </si>
  <si>
    <t>McGettigan, David_TRAVEL &amp; ENTERTAINMENT_TravelEnt001_Reserve</t>
  </si>
  <si>
    <t>L-ERP-501</t>
  </si>
  <si>
    <t>L-ERP-170</t>
  </si>
  <si>
    <t>Benefits</t>
  </si>
  <si>
    <t>L-ERP-171</t>
  </si>
  <si>
    <t>Bonus</t>
  </si>
  <si>
    <t>L-ERP-172</t>
  </si>
  <si>
    <t>Salary</t>
  </si>
  <si>
    <t>L-ERP-045</t>
  </si>
  <si>
    <t>4/23 SMO: AP05 has severance reversals</t>
  </si>
  <si>
    <t>L-ERP-252</t>
  </si>
  <si>
    <t>L-ERP-253</t>
  </si>
  <si>
    <t>L-ERP-254</t>
  </si>
  <si>
    <t>L-ERP-043</t>
  </si>
  <si>
    <t>DeHart, Lynn_COMPENSATION_CompBenefits001</t>
  </si>
  <si>
    <t>L-ERP-431</t>
  </si>
  <si>
    <t>McGettigan, David_COMPENSATION_CompBenefits001</t>
  </si>
  <si>
    <t>L-ERP-426</t>
  </si>
  <si>
    <t>McGettigan, David_COMPENSATION_CompBenefitsCar001</t>
  </si>
  <si>
    <t>Car Allowance</t>
  </si>
  <si>
    <t>L-ERP-044</t>
  </si>
  <si>
    <t>DeHart, Lynn_COMPENSATION_CompBonus001</t>
  </si>
  <si>
    <t>L-ERP-428</t>
  </si>
  <si>
    <t>McGettigan, David_COMPENSATION_CompBonus001</t>
  </si>
  <si>
    <t>ERP-062</t>
  </si>
  <si>
    <t>L-ERP-432</t>
  </si>
  <si>
    <t>McGettigan, David_COMPENSATION_CompSalary001</t>
  </si>
  <si>
    <t>5/3 SMO: AP05 has GPP ex-US credit</t>
  </si>
  <si>
    <t>L-ERP-386</t>
  </si>
  <si>
    <t>McGettigan, David_COMPENSATION_VacancyFactor001</t>
  </si>
  <si>
    <t>Vacancy Factor</t>
  </si>
  <si>
    <t>L-ERP-494</t>
  </si>
  <si>
    <t>L-ERP-495</t>
  </si>
  <si>
    <t>L-ERP-496</t>
  </si>
  <si>
    <t>L-ERP-103</t>
  </si>
  <si>
    <t>L-ERP-342</t>
  </si>
  <si>
    <t>Maguire, Karla_COMPENSATION_CompBenefits001</t>
  </si>
  <si>
    <t>L-ERP-104</t>
  </si>
  <si>
    <t>L-ERP-343</t>
  </si>
  <si>
    <t>Maguire, Karla_COMPENSATION_CompBonus001</t>
  </si>
  <si>
    <t>L-ERP-105</t>
  </si>
  <si>
    <t>L-ERP-344</t>
  </si>
  <si>
    <t>Maguire, Karla_COMPENSATION_CompSalary001</t>
  </si>
  <si>
    <t>9501273936</t>
  </si>
  <si>
    <t>9501173617</t>
  </si>
  <si>
    <t>åŒ—äº¬å¾®ç§‘ç§‘æŠ€æœ‰é™å…¬å¸</t>
  </si>
  <si>
    <t>6/15 Forecast moved from Managed Services L-ERP-180 to Contractors line ERP-038 to align with PO Actuals
Forecast moved from Mike H to Raj H</t>
  </si>
  <si>
    <t>KP - Trying to figure out if it belongs to Ram OR Leslie.</t>
  </si>
  <si>
    <t>Transfer to Durga Y</t>
  </si>
  <si>
    <t>Sachin (4/30): This funding is no longer needed</t>
  </si>
  <si>
    <t>4/30 - New add with Team</t>
  </si>
  <si>
    <t>Finance</t>
  </si>
  <si>
    <t>Duplicate Disposition</t>
  </si>
  <si>
    <t>Previous Match</t>
  </si>
  <si>
    <t>LT Apurva</t>
  </si>
  <si>
    <t xml:space="preserve">LT1 Apurva </t>
  </si>
  <si>
    <t>LT2Apurva</t>
  </si>
  <si>
    <t>2578633</t>
  </si>
  <si>
    <t>Dougherty, Chris_HW MAINTENANCE_BillingSweep012</t>
  </si>
  <si>
    <t>Dougherty, Chris_HW MAINTENANCE_BillingSweep019</t>
  </si>
  <si>
    <t>Dougherty, Chris_MANAGED SERVICES_BillingSweep011</t>
  </si>
  <si>
    <t>Patel, Apurva_HW MAINTENANCE_BillingSweep016</t>
  </si>
  <si>
    <t>Patel, Apurva_MANAGED SERVICES_BillingSweep011</t>
  </si>
  <si>
    <t>Patel, Apurva_OTHER_ME</t>
  </si>
  <si>
    <t>Dougherty, Chris_HW MAINTENANCE_BillingSweep011</t>
  </si>
  <si>
    <t>Patel, Apurva_HW MAINTENANCE_BillingSweep011</t>
  </si>
  <si>
    <t>Dougherty, Chris_MANAGED SERVICES_BillingSweep021</t>
  </si>
  <si>
    <t>Patel, Apurva_MANAGED SERVICES_BillingSweep021</t>
  </si>
  <si>
    <t>Dougherty, Chris_HW MAINTENANCE_BillingSweep016</t>
  </si>
  <si>
    <t>Dougherty, Chris_MANAGED SERVICES_BillingRev001</t>
  </si>
  <si>
    <t>Patel, Apurva_HW MAINTENANCE_BillingSweep017</t>
  </si>
  <si>
    <t>Dougherty, Chris_HW MAINTENANCE_BillingSweep005</t>
  </si>
  <si>
    <t>Patel, Apurva_SOFTWARE_BillingSweep006</t>
  </si>
  <si>
    <t>Dougherty, Chris_MANAGED SERVICES_BillingSweep005</t>
  </si>
  <si>
    <t>Patel, Apurva_MANAGED SERVICES_BillingRev001</t>
  </si>
  <si>
    <t>Dougherty, Chris_SOFTWARE_BillingSweep006</t>
  </si>
  <si>
    <t>Patel, Apurva_SOFTWARE_BillingSweep005</t>
  </si>
  <si>
    <t>Raj/Paul/Lynn</t>
  </si>
  <si>
    <t>Keep</t>
  </si>
  <si>
    <t>keep</t>
  </si>
  <si>
    <t>LE2 Final per LE3 Working</t>
  </si>
  <si>
    <t>Per LE2 Submission</t>
  </si>
  <si>
    <t>CISO CC Remapping</t>
  </si>
  <si>
    <t>to PGSD</t>
  </si>
  <si>
    <t>Consol Logic</t>
  </si>
  <si>
    <t>Consolidation Line</t>
  </si>
  <si>
    <t>Consolidation Line Deleted</t>
  </si>
  <si>
    <t>Removed after Consol</t>
  </si>
  <si>
    <t>remove</t>
  </si>
  <si>
    <t>(All)</t>
  </si>
  <si>
    <t>Row Labels</t>
  </si>
  <si>
    <t>Sum of 2026 Transfers</t>
  </si>
  <si>
    <t>D</t>
  </si>
  <si>
    <t>LE0</t>
  </si>
  <si>
    <t>ERP-N</t>
  </si>
  <si>
    <t>Investigate LE2</t>
  </si>
  <si>
    <t>Check with LZ</t>
  </si>
  <si>
    <t>FBO BT SUN &amp; Oracle Archival Project</t>
  </si>
  <si>
    <t>5/4 CHW- Team to confirm phasing on this line item as AP04 actuls is$ 93K</t>
  </si>
  <si>
    <t>Prepaid</t>
  </si>
  <si>
    <t>4/28 CHW - Max attention day reclasses</t>
  </si>
  <si>
    <t xml:space="preserve">As per Leslie's chat, for $245K - $200k is under 1009/46 &amp; 45k is under 'IT-FBT0281-OG-US-00" IBM AMS support agreement </t>
  </si>
  <si>
    <t>5/4 CHW - shifted forecast based on AP04 actuals</t>
  </si>
  <si>
    <t>5/4 CHW - Team to confirm phasing as no actuals for AP04</t>
  </si>
  <si>
    <t>9501133254 -F</t>
  </si>
  <si>
    <t>9500800236</t>
  </si>
  <si>
    <t>9501133254-CB</t>
  </si>
  <si>
    <t>9501102909</t>
  </si>
  <si>
    <t>9501102905</t>
  </si>
  <si>
    <t>ERP-007</t>
  </si>
  <si>
    <t>ERP-008</t>
  </si>
  <si>
    <t>ERP-009</t>
  </si>
  <si>
    <t>ERP-010</t>
  </si>
  <si>
    <t>Sum of AP01 LE2</t>
  </si>
  <si>
    <t>Sum of AP02 LE2</t>
  </si>
  <si>
    <t>Sum of AP03 LE2</t>
  </si>
  <si>
    <t>Sum of AP04 LE2</t>
  </si>
  <si>
    <t>Sum of AP05 LE2</t>
  </si>
  <si>
    <t>YTD Actuals to Forecast Variance Analysis - ERP</t>
  </si>
  <si>
    <t>Analysis Date: 6/4/2026 | YTD Period: AP01-AP05 (Jan-May 2026)</t>
  </si>
  <si>
    <t>Materiality Threshold: Variances &gt;= $10,000 (absolute value) require follow-up</t>
  </si>
  <si>
    <t>YTD Actuals</t>
  </si>
  <si>
    <t>YTD LE2</t>
  </si>
  <si>
    <t>Materiality Flag</t>
  </si>
  <si>
    <t>Follow-Up Required</t>
  </si>
  <si>
    <t>SUMMARY BY EXPENSE CATEGORY</t>
  </si>
  <si>
    <t>Total YTD Variance</t>
  </si>
  <si>
    <t># Material Items</t>
  </si>
  <si>
    <t># Total Items</t>
  </si>
  <si>
    <t>Follow-Up Priority</t>
  </si>
  <si>
    <t>"COMPENSATION"</t>
  </si>
  <si>
    <t>"CONTRACTORS"</t>
  </si>
  <si>
    <t>"DEPRECIATION"</t>
  </si>
  <si>
    <t>"HW MAINTENANCE"</t>
  </si>
  <si>
    <t>"MANAGED SERVICES"</t>
  </si>
  <si>
    <t>"OTHER"</t>
  </si>
  <si>
    <t>"OUTSIDE COUNSEL"</t>
  </si>
  <si>
    <t>"RENT AND UTILITIES"</t>
  </si>
  <si>
    <t>"SOFTWARE"</t>
  </si>
  <si>
    <t>"TELECOMMUNICATIONS"</t>
  </si>
  <si>
    <t>"TRAVEL &amp; ENTERTAINMENT"</t>
  </si>
  <si>
    <t>RECOMMENDED THRESHOLD &amp; FOLLOW-UP CRITERIA</t>
  </si>
  <si>
    <t>1. Material Variance Threshold: $10,000 (absolute value)</t>
  </si>
  <si>
    <t>2. Items flagged 'MATERIAL' require LT-1 commentary explanation</t>
  </si>
  <si>
    <t>3. Categories with 3+ material items are HIGH priority for review</t>
  </si>
  <si>
    <t>4. Favorable variances (negative) may indicate timing differences or givebacks</t>
  </si>
  <si>
    <t>5. Unfavorable variances (positive) require explanation for budget overruns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</si>
</sst>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(* #,##0_);_(* \(#,##0\);_(* &quot;-&quot;??_);_(@_)"/>
    <numFmt numFmtId="165" formatCode="_(* #,##0.00_);[Red]_(* \(#,##0.00\);_(* &quot;-&quot;_);_(@_)"/>
    <numFmt numFmtId="166" formatCode="_(* #,##0.00_);_(* \(#,##0.00\);_(* &quot;-&quot;_);_(@_)"/>
    <numFmt numFmtId="167" formatCode="_(* #,##0_);[Red]_(* \(#,##0\);_(* &quot;-&quot;_);_(@_)"/>
    <numFmt numFmtId="168" formatCode="&quot;$&quot;#,##0"/>
  </numFmts>
  <fonts count="4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i/>
      <sz val="9"/>
      <color rgb="FF006400"/>
      <name val="Aptos Narrow"/>
      <family val="2"/>
      <scheme val="minor"/>
    </font>
    <font>
      <b/>
      <i/>
      <sz val="9"/>
      <color rgb="FFC65911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b/>
      <sz val="9"/>
      <color theme="3" tint="0.249977111117893"/>
      <name val="Arial"/>
      <family val="2"/>
    </font>
    <font>
      <sz val="9"/>
      <color rgb="FF222222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222222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242424"/>
      <name val="Cascadia Mono"/>
      <family val="3"/>
    </font>
    <font>
      <b/>
      <sz val="9"/>
      <color rgb="FFC00000"/>
      <name val="Arial"/>
      <family val="2"/>
    </font>
    <font>
      <b/>
      <strike/>
      <sz val="9"/>
      <color rgb="FF222222"/>
      <name val="Arial"/>
      <family val="2"/>
    </font>
    <font>
      <sz val="9"/>
      <color theme="1"/>
      <name val="Segoe UI"/>
      <family val="2"/>
    </font>
    <font>
      <b/>
      <sz val="9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trike/>
      <sz val="9"/>
      <color rgb="FF222222"/>
      <name val="Arial"/>
      <family val="2"/>
    </font>
    <font>
      <sz val="9"/>
      <color rgb="FFC0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8"/>
      <color rgb="FF333333"/>
      <name val="Arial"/>
      <family val="2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8"/>
      <color rgb="FFFF0000"/>
      <name val="Arial"/>
      <family val="2"/>
    </font>
    <font>
      <sz val="10.5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EDEDE"/>
        <bgColor rgb="FFFFFFFF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rgb="FFBFBFBF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BFBFBF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9" tint="0.39997558519241921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rgb="FFBFBFBF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6" fillId="0" borderId="0"/>
    <xf numFmtId="0" fontId="26" fillId="0" borderId="0"/>
    <xf numFmtId="0" fontId="41" fillId="0" borderId="0" applyNumberFormat="0" applyFill="0" applyBorder="0" applyAlignment="0" applyProtection="0"/>
    <xf numFmtId="0" fontId="43" fillId="0" borderId="0"/>
  </cellStyleXfs>
  <cellXfs count="89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164" fontId="2" fillId="0" borderId="0" xfId="1" applyNumberFormat="1" applyFont="1" applyProtection="1"/>
    <xf numFmtId="164" fontId="2" fillId="0" borderId="0" xfId="1" applyNumberFormat="1" applyFont="1" applyProtection="1">
      <protection locked="0"/>
    </xf>
    <xf numFmtId="164" fontId="2" fillId="0" borderId="0" xfId="1" applyNumberFormat="1" applyFont="1" applyAlignment="1" applyProtection="1">
      <alignment horizontal="left" vertical="top" wrapText="1"/>
      <protection locked="0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Alignment="1" applyProtection="1">
      <alignment wrapText="1"/>
      <protection locked="0"/>
    </xf>
    <xf numFmtId="0" fontId="2" fillId="0" borderId="0" xfId="0" applyFont="1"/>
    <xf numFmtId="164" fontId="3" fillId="0" borderId="0" xfId="1" applyNumberFormat="1" applyFont="1" applyFill="1" applyAlignment="1" applyProtection="1">
      <alignment wrapText="1"/>
    </xf>
    <xf numFmtId="164" fontId="2" fillId="0" borderId="0" xfId="1" applyNumberFormat="1" applyFont="1" applyFill="1" applyAlignment="1" applyProtection="1">
      <alignment wrapText="1"/>
    </xf>
    <xf numFmtId="164" fontId="2" fillId="2" borderId="0" xfId="1" applyNumberFormat="1" applyFont="1" applyFill="1" applyAlignment="1" applyProtection="1">
      <alignment wrapText="1"/>
    </xf>
    <xf numFmtId="164" fontId="2" fillId="0" borderId="0" xfId="1" applyNumberFormat="1" applyFont="1" applyFill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0" borderId="0" xfId="0" applyAlignment="1" applyProtection="1">
      <alignment horizontal="left" vertical="top"/>
      <protection locked="0"/>
    </xf>
    <xf numFmtId="164" fontId="0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5" fillId="4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 applyProtection="1">
      <alignment vertical="center"/>
      <protection locked="0"/>
    </xf>
    <xf numFmtId="0" fontId="5" fillId="3" borderId="3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 wrapText="1"/>
      <protection locked="0"/>
    </xf>
    <xf numFmtId="0" fontId="5" fillId="4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49" fontId="10" fillId="6" borderId="4" xfId="0" quotePrefix="1" applyNumberFormat="1" applyFont="1" applyFill="1" applyBorder="1" applyAlignment="1">
      <alignment horizontal="center" vertical="center" wrapText="1"/>
    </xf>
    <xf numFmtId="49" fontId="10" fillId="6" borderId="5" xfId="0" quotePrefix="1" applyNumberFormat="1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vertical="center" wrapText="1"/>
    </xf>
    <xf numFmtId="49" fontId="10" fillId="6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10" fillId="6" borderId="6" xfId="0" applyFont="1" applyFill="1" applyBorder="1" applyAlignment="1">
      <alignment horizontal="left" vertical="top" wrapText="1"/>
    </xf>
    <xf numFmtId="49" fontId="10" fillId="6" borderId="7" xfId="0" quotePrefix="1" applyNumberFormat="1" applyFont="1" applyFill="1" applyBorder="1" applyAlignment="1">
      <alignment horizontal="center" vertical="center" wrapText="1"/>
    </xf>
    <xf numFmtId="49" fontId="11" fillId="6" borderId="7" xfId="0" quotePrefix="1" applyNumberFormat="1" applyFont="1" applyFill="1" applyBorder="1" applyAlignment="1">
      <alignment horizontal="center" vertical="center" wrapText="1"/>
    </xf>
    <xf numFmtId="49" fontId="12" fillId="6" borderId="7" xfId="0" quotePrefix="1" applyNumberFormat="1" applyFont="1" applyFill="1" applyBorder="1" applyAlignment="1">
      <alignment horizontal="center" vertical="center" wrapText="1"/>
    </xf>
    <xf numFmtId="49" fontId="10" fillId="7" borderId="8" xfId="0" quotePrefix="1" applyNumberFormat="1" applyFont="1" applyFill="1" applyBorder="1" applyAlignment="1">
      <alignment horizontal="center" vertical="center" wrapText="1"/>
    </xf>
    <xf numFmtId="49" fontId="10" fillId="7" borderId="9" xfId="0" quotePrefix="1" applyNumberFormat="1" applyFont="1" applyFill="1" applyBorder="1" applyAlignment="1">
      <alignment horizontal="center" vertical="center" wrapText="1"/>
    </xf>
    <xf numFmtId="49" fontId="10" fillId="6" borderId="9" xfId="0" quotePrefix="1" applyNumberFormat="1" applyFont="1" applyFill="1" applyBorder="1" applyAlignment="1">
      <alignment horizontal="center" vertical="center" wrapText="1"/>
    </xf>
    <xf numFmtId="49" fontId="10" fillId="6" borderId="10" xfId="0" quotePrefix="1" applyNumberFormat="1" applyFont="1" applyFill="1" applyBorder="1" applyAlignment="1">
      <alignment horizontal="center" vertical="center" wrapText="1"/>
    </xf>
    <xf numFmtId="49" fontId="10" fillId="6" borderId="11" xfId="0" quotePrefix="1" applyNumberFormat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49" fontId="10" fillId="8" borderId="4" xfId="0" applyNumberFormat="1" applyFont="1" applyFill="1" applyBorder="1" applyAlignment="1">
      <alignment horizontal="center" vertical="center" wrapText="1"/>
    </xf>
    <xf numFmtId="49" fontId="10" fillId="8" borderId="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4" xfId="0" applyNumberFormat="1" applyFont="1" applyFill="1" applyBorder="1" applyAlignment="1">
      <alignment horizontal="center" vertical="center" wrapText="1"/>
    </xf>
    <xf numFmtId="165" fontId="13" fillId="0" borderId="0" xfId="0" quotePrefix="1" applyNumberFormat="1" applyFont="1"/>
    <xf numFmtId="49" fontId="14" fillId="0" borderId="0" xfId="0" quotePrefix="1" applyNumberFormat="1" applyFont="1" applyProtection="1">
      <protection locked="0"/>
    </xf>
    <xf numFmtId="0" fontId="14" fillId="0" borderId="0" xfId="0" quotePrefix="1" applyFont="1" applyProtection="1">
      <protection locked="0"/>
    </xf>
    <xf numFmtId="0" fontId="15" fillId="2" borderId="12" xfId="0" quotePrefix="1" applyFont="1" applyFill="1" applyBorder="1" applyAlignment="1" applyProtection="1">
      <alignment horizontal="left" vertical="top" wrapText="1"/>
      <protection locked="0"/>
    </xf>
    <xf numFmtId="49" fontId="16" fillId="0" borderId="0" xfId="0" quotePrefix="1" applyNumberFormat="1" applyFont="1" applyProtection="1">
      <protection locked="0"/>
    </xf>
    <xf numFmtId="166" fontId="17" fillId="9" borderId="13" xfId="0" applyNumberFormat="1" applyFont="1" applyFill="1" applyBorder="1" applyAlignment="1">
      <alignment horizontal="left"/>
    </xf>
    <xf numFmtId="166" fontId="17" fillId="9" borderId="14" xfId="0" applyNumberFormat="1" applyFont="1" applyFill="1" applyBorder="1" applyAlignment="1">
      <alignment horizontal="left"/>
    </xf>
    <xf numFmtId="166" fontId="17" fillId="9" borderId="13" xfId="0" applyNumberFormat="1" applyFont="1" applyFill="1" applyBorder="1" applyAlignment="1" applyProtection="1">
      <alignment horizontal="left"/>
      <protection locked="0"/>
    </xf>
    <xf numFmtId="166" fontId="13" fillId="10" borderId="13" xfId="0" applyNumberFormat="1" applyFont="1" applyFill="1" applyBorder="1"/>
    <xf numFmtId="166" fontId="13" fillId="10" borderId="0" xfId="0" applyNumberFormat="1" applyFont="1" applyFill="1"/>
    <xf numFmtId="166" fontId="13" fillId="0" borderId="0" xfId="0" applyNumberFormat="1" applyFont="1" applyProtection="1">
      <protection locked="0"/>
    </xf>
    <xf numFmtId="165" fontId="13" fillId="11" borderId="0" xfId="0" applyNumberFormat="1" applyFont="1" applyFill="1" applyProtection="1">
      <protection locked="0"/>
    </xf>
    <xf numFmtId="167" fontId="15" fillId="2" borderId="15" xfId="0" applyNumberFormat="1" applyFont="1" applyFill="1" applyBorder="1" applyAlignment="1">
      <alignment wrapText="1"/>
    </xf>
    <xf numFmtId="167" fontId="13" fillId="0" borderId="0" xfId="0" applyNumberFormat="1" applyFont="1"/>
    <xf numFmtId="167" fontId="13" fillId="0" borderId="0" xfId="0" applyNumberFormat="1" applyFont="1" applyProtection="1">
      <protection locked="0"/>
    </xf>
    <xf numFmtId="167" fontId="13" fillId="0" borderId="0" xfId="0" applyNumberFormat="1" applyFont="1" applyAlignment="1" applyProtection="1">
      <alignment vertical="top" wrapText="1"/>
      <protection locked="0"/>
    </xf>
    <xf numFmtId="167" fontId="13" fillId="2" borderId="0" xfId="0" applyNumberFormat="1" applyFont="1" applyFill="1"/>
    <xf numFmtId="165" fontId="13" fillId="2" borderId="0" xfId="0" applyNumberFormat="1" applyFont="1" applyFill="1"/>
    <xf numFmtId="49" fontId="14" fillId="0" borderId="0" xfId="0" applyNumberFormat="1" applyFont="1" applyProtection="1">
      <protection locked="0"/>
    </xf>
    <xf numFmtId="49" fontId="14" fillId="0" borderId="0" xfId="0" quotePrefix="1" applyNumberFormat="1" applyFont="1" applyAlignment="1" applyProtection="1">
      <alignment horizontal="left" vertical="center"/>
      <protection locked="0"/>
    </xf>
    <xf numFmtId="0" fontId="14" fillId="0" borderId="0" xfId="0" applyFont="1" applyProtection="1">
      <protection locked="0"/>
    </xf>
    <xf numFmtId="49" fontId="14" fillId="12" borderId="12" xfId="0" quotePrefix="1" applyNumberFormat="1" applyFont="1" applyFill="1" applyBorder="1" applyAlignment="1" applyProtection="1">
      <alignment horizontal="left" vertical="top" wrapText="1"/>
      <protection locked="0"/>
    </xf>
    <xf numFmtId="49" fontId="16" fillId="5" borderId="0" xfId="0" quotePrefix="1" applyNumberFormat="1" applyFont="1" applyFill="1" applyAlignment="1" applyProtection="1">
      <alignment horizontal="left" vertical="center"/>
      <protection locked="0"/>
    </xf>
    <xf numFmtId="0" fontId="16" fillId="0" borderId="0" xfId="0" applyFont="1" applyProtection="1">
      <protection locked="0"/>
    </xf>
    <xf numFmtId="49" fontId="16" fillId="0" borderId="0" xfId="0" applyNumberFormat="1" applyFont="1" applyProtection="1">
      <protection locked="0"/>
    </xf>
    <xf numFmtId="49" fontId="16" fillId="0" borderId="0" xfId="0" quotePrefix="1" applyNumberFormat="1" applyFont="1" applyAlignment="1" applyProtection="1">
      <alignment horizontal="left" vertical="center"/>
      <protection locked="0"/>
    </xf>
    <xf numFmtId="49" fontId="16" fillId="0" borderId="0" xfId="0" quotePrefix="1" applyNumberFormat="1" applyFont="1" applyAlignment="1" applyProtection="1">
      <alignment wrapText="1"/>
      <protection locked="0"/>
    </xf>
    <xf numFmtId="49" fontId="16" fillId="0" borderId="13" xfId="0" quotePrefix="1" applyNumberFormat="1" applyFont="1" applyBorder="1"/>
    <xf numFmtId="164" fontId="16" fillId="0" borderId="14" xfId="1" applyNumberFormat="1" applyFont="1" applyBorder="1" applyProtection="1"/>
    <xf numFmtId="166" fontId="16" fillId="0" borderId="13" xfId="1" quotePrefix="1" applyNumberFormat="1" applyFont="1" applyBorder="1" applyProtection="1">
      <protection locked="0"/>
    </xf>
    <xf numFmtId="166" fontId="16" fillId="13" borderId="13" xfId="1" applyNumberFormat="1" applyFont="1" applyFill="1" applyBorder="1" applyProtection="1">
      <protection locked="0"/>
    </xf>
    <xf numFmtId="166" fontId="16" fillId="13" borderId="13" xfId="1" applyNumberFormat="1" applyFont="1" applyFill="1" applyBorder="1" applyProtection="1"/>
    <xf numFmtId="167" fontId="13" fillId="11" borderId="13" xfId="0" applyNumberFormat="1" applyFont="1" applyFill="1" applyBorder="1" applyAlignment="1">
      <alignment vertical="center"/>
    </xf>
    <xf numFmtId="167" fontId="13" fillId="11" borderId="0" xfId="0" applyNumberFormat="1" applyFont="1" applyFill="1" applyAlignment="1">
      <alignment vertical="center"/>
    </xf>
    <xf numFmtId="167" fontId="13" fillId="0" borderId="0" xfId="0" applyNumberFormat="1" applyFont="1" applyAlignment="1" applyProtection="1">
      <alignment vertical="center"/>
      <protection locked="0"/>
    </xf>
    <xf numFmtId="165" fontId="16" fillId="11" borderId="0" xfId="0" applyNumberFormat="1" applyFont="1" applyFill="1" applyProtection="1">
      <protection locked="0"/>
    </xf>
    <xf numFmtId="167" fontId="15" fillId="14" borderId="16" xfId="0" applyNumberFormat="1" applyFont="1" applyFill="1" applyBorder="1" applyAlignment="1">
      <alignment wrapText="1"/>
    </xf>
    <xf numFmtId="167" fontId="13" fillId="0" borderId="0" xfId="0" applyNumberFormat="1" applyFont="1" applyAlignment="1">
      <alignment vertical="center"/>
    </xf>
    <xf numFmtId="165" fontId="13" fillId="4" borderId="0" xfId="0" applyNumberFormat="1" applyFont="1" applyFill="1" applyProtection="1">
      <protection locked="0"/>
    </xf>
    <xf numFmtId="167" fontId="15" fillId="4" borderId="16" xfId="0" applyNumberFormat="1" applyFont="1" applyFill="1" applyBorder="1" applyAlignment="1">
      <alignment wrapText="1"/>
    </xf>
    <xf numFmtId="0" fontId="15" fillId="0" borderId="12" xfId="0" quotePrefix="1" applyFont="1" applyBorder="1" applyAlignment="1" applyProtection="1">
      <alignment horizontal="left" vertical="top" wrapText="1"/>
      <protection locked="0"/>
    </xf>
    <xf numFmtId="167" fontId="15" fillId="5" borderId="16" xfId="0" applyNumberFormat="1" applyFont="1" applyFill="1" applyBorder="1" applyAlignment="1">
      <alignment wrapText="1"/>
    </xf>
    <xf numFmtId="167" fontId="15" fillId="11" borderId="16" xfId="0" applyNumberFormat="1" applyFont="1" applyFill="1" applyBorder="1" applyAlignment="1">
      <alignment wrapText="1"/>
    </xf>
    <xf numFmtId="165" fontId="13" fillId="0" borderId="0" xfId="0" applyNumberFormat="1" applyFont="1" applyProtection="1">
      <protection locked="0"/>
    </xf>
    <xf numFmtId="49" fontId="14" fillId="0" borderId="12" xfId="0" quotePrefix="1" applyNumberFormat="1" applyFont="1" applyBorder="1" applyAlignment="1" applyProtection="1">
      <alignment horizontal="left" vertical="top" wrapText="1"/>
      <protection locked="0"/>
    </xf>
    <xf numFmtId="0" fontId="16" fillId="0" borderId="0" xfId="0" quotePrefix="1" applyFont="1" applyProtection="1">
      <protection locked="0"/>
    </xf>
    <xf numFmtId="166" fontId="16" fillId="13" borderId="13" xfId="1" quotePrefix="1" applyNumberFormat="1" applyFont="1" applyFill="1" applyBorder="1" applyProtection="1">
      <protection locked="0"/>
    </xf>
    <xf numFmtId="166" fontId="16" fillId="13" borderId="13" xfId="1" quotePrefix="1" applyNumberFormat="1" applyFont="1" applyFill="1" applyBorder="1" applyProtection="1"/>
    <xf numFmtId="49" fontId="16" fillId="5" borderId="0" xfId="0" quotePrefix="1" applyNumberFormat="1" applyFont="1" applyFill="1" applyProtection="1">
      <protection locked="0"/>
    </xf>
    <xf numFmtId="167" fontId="15" fillId="2" borderId="16" xfId="0" applyNumberFormat="1" applyFont="1" applyFill="1" applyBorder="1" applyAlignment="1">
      <alignment wrapText="1"/>
    </xf>
    <xf numFmtId="49" fontId="14" fillId="2" borderId="12" xfId="0" quotePrefix="1" applyNumberFormat="1" applyFont="1" applyFill="1" applyBorder="1" applyAlignment="1" applyProtection="1">
      <alignment horizontal="left" vertical="top" wrapText="1"/>
      <protection locked="0"/>
    </xf>
    <xf numFmtId="49" fontId="16" fillId="3" borderId="0" xfId="0" quotePrefix="1" applyNumberFormat="1" applyFont="1" applyFill="1" applyAlignment="1" applyProtection="1">
      <alignment horizontal="left" vertical="center"/>
      <protection locked="0"/>
    </xf>
    <xf numFmtId="49" fontId="18" fillId="0" borderId="0" xfId="0" quotePrefix="1" applyNumberFormat="1" applyFont="1" applyAlignment="1" applyProtection="1">
      <alignment wrapText="1"/>
      <protection locked="0"/>
    </xf>
    <xf numFmtId="49" fontId="16" fillId="0" borderId="0" xfId="0" quotePrefix="1" applyNumberFormat="1" applyFont="1" applyAlignment="1" applyProtection="1">
      <alignment vertical="top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49" fontId="14" fillId="0" borderId="12" xfId="0" applyNumberFormat="1" applyFont="1" applyBorder="1" applyAlignment="1" applyProtection="1">
      <alignment horizontal="left" vertical="top" wrapText="1"/>
      <protection locked="0"/>
    </xf>
    <xf numFmtId="49" fontId="16" fillId="0" borderId="0" xfId="0" applyNumberFormat="1" applyFont="1" applyAlignment="1" applyProtection="1">
      <alignment horizontal="left" vertical="center"/>
      <protection locked="0"/>
    </xf>
    <xf numFmtId="165" fontId="13" fillId="15" borderId="0" xfId="0" quotePrefix="1" applyNumberFormat="1" applyFont="1" applyFill="1"/>
    <xf numFmtId="165" fontId="13" fillId="10" borderId="0" xfId="0" applyNumberFormat="1" applyFont="1" applyFill="1"/>
    <xf numFmtId="167" fontId="13" fillId="2" borderId="0" xfId="0" applyNumberFormat="1" applyFont="1" applyFill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167" fontId="15" fillId="16" borderId="16" xfId="0" applyNumberFormat="1" applyFont="1" applyFill="1" applyBorder="1" applyAlignment="1">
      <alignment wrapText="1"/>
    </xf>
    <xf numFmtId="167" fontId="13" fillId="0" borderId="0" xfId="0" quotePrefix="1" applyNumberFormat="1" applyFont="1" applyAlignment="1" applyProtection="1">
      <alignment vertical="top" wrapText="1"/>
      <protection locked="0"/>
    </xf>
    <xf numFmtId="167" fontId="13" fillId="0" borderId="0" xfId="0" quotePrefix="1" applyNumberFormat="1" applyFont="1"/>
    <xf numFmtId="49" fontId="16" fillId="9" borderId="13" xfId="0" applyNumberFormat="1" applyFont="1" applyFill="1" applyBorder="1" applyAlignment="1">
      <alignment horizontal="left"/>
    </xf>
    <xf numFmtId="164" fontId="16" fillId="9" borderId="14" xfId="1" applyNumberFormat="1" applyFont="1" applyFill="1" applyBorder="1" applyAlignment="1" applyProtection="1">
      <alignment horizontal="left"/>
    </xf>
    <xf numFmtId="166" fontId="16" fillId="9" borderId="13" xfId="1" applyNumberFormat="1" applyFont="1" applyFill="1" applyBorder="1" applyAlignment="1" applyProtection="1">
      <alignment horizontal="left"/>
      <protection locked="0"/>
    </xf>
    <xf numFmtId="166" fontId="16" fillId="9" borderId="13" xfId="0" applyNumberFormat="1" applyFont="1" applyFill="1" applyBorder="1" applyAlignment="1" applyProtection="1">
      <alignment horizontal="left"/>
      <protection locked="0"/>
    </xf>
    <xf numFmtId="166" fontId="16" fillId="9" borderId="13" xfId="0" applyNumberFormat="1" applyFont="1" applyFill="1" applyBorder="1" applyAlignment="1">
      <alignment horizontal="left"/>
    </xf>
    <xf numFmtId="49" fontId="14" fillId="3" borderId="0" xfId="0" quotePrefix="1" applyNumberFormat="1" applyFont="1" applyFill="1" applyProtection="1">
      <protection locked="0"/>
    </xf>
    <xf numFmtId="166" fontId="13" fillId="2" borderId="0" xfId="0" applyNumberFormat="1" applyFont="1" applyFill="1" applyProtection="1">
      <protection locked="0"/>
    </xf>
    <xf numFmtId="165" fontId="17" fillId="9" borderId="13" xfId="0" applyNumberFormat="1" applyFont="1" applyFill="1" applyBorder="1" applyAlignment="1">
      <alignment horizontal="left"/>
    </xf>
    <xf numFmtId="165" fontId="17" fillId="9" borderId="14" xfId="0" applyNumberFormat="1" applyFont="1" applyFill="1" applyBorder="1" applyAlignment="1">
      <alignment horizontal="left"/>
    </xf>
    <xf numFmtId="165" fontId="17" fillId="9" borderId="13" xfId="0" applyNumberFormat="1" applyFont="1" applyFill="1" applyBorder="1" applyAlignment="1" applyProtection="1">
      <alignment horizontal="left"/>
      <protection locked="0"/>
    </xf>
    <xf numFmtId="49" fontId="16" fillId="5" borderId="0" xfId="0" applyNumberFormat="1" applyFont="1" applyFill="1" applyAlignment="1" applyProtection="1">
      <alignment horizontal="left" vertical="center"/>
      <protection locked="0"/>
    </xf>
    <xf numFmtId="49" fontId="16" fillId="3" borderId="0" xfId="0" quotePrefix="1" applyNumberFormat="1" applyFont="1" applyFill="1" applyProtection="1">
      <protection locked="0"/>
    </xf>
    <xf numFmtId="165" fontId="13" fillId="2" borderId="0" xfId="0" applyNumberFormat="1" applyFont="1" applyFill="1" applyProtection="1">
      <protection locked="0"/>
    </xf>
    <xf numFmtId="165" fontId="13" fillId="17" borderId="0" xfId="0" applyNumberFormat="1" applyFont="1" applyFill="1" applyProtection="1">
      <protection locked="0"/>
    </xf>
    <xf numFmtId="167" fontId="15" fillId="17" borderId="16" xfId="0" applyNumberFormat="1" applyFont="1" applyFill="1" applyBorder="1" applyAlignment="1">
      <alignment wrapText="1"/>
    </xf>
    <xf numFmtId="166" fontId="16" fillId="0" borderId="13" xfId="1" quotePrefix="1" applyNumberFormat="1" applyFont="1" applyFill="1" applyBorder="1" applyProtection="1">
      <protection locked="0"/>
    </xf>
    <xf numFmtId="166" fontId="16" fillId="0" borderId="13" xfId="1" quotePrefix="1" applyNumberFormat="1" applyFont="1" applyFill="1" applyBorder="1" applyProtection="1"/>
    <xf numFmtId="165" fontId="16" fillId="17" borderId="0" xfId="0" applyNumberFormat="1" applyFont="1" applyFill="1" applyProtection="1">
      <protection locked="0"/>
    </xf>
    <xf numFmtId="0" fontId="15" fillId="0" borderId="17" xfId="0" quotePrefix="1" applyFont="1" applyBorder="1" applyAlignment="1" applyProtection="1">
      <alignment horizontal="left" vertical="top" wrapText="1"/>
      <protection locked="0"/>
    </xf>
    <xf numFmtId="167" fontId="15" fillId="11" borderId="16" xfId="0" quotePrefix="1" applyNumberFormat="1" applyFont="1" applyFill="1" applyBorder="1" applyAlignment="1">
      <alignment wrapText="1"/>
    </xf>
    <xf numFmtId="49" fontId="15" fillId="0" borderId="0" xfId="0" quotePrefix="1" applyNumberFormat="1" applyFont="1" applyProtection="1">
      <protection locked="0"/>
    </xf>
    <xf numFmtId="49" fontId="14" fillId="13" borderId="0" xfId="0" quotePrefix="1" applyNumberFormat="1" applyFont="1" applyFill="1" applyProtection="1">
      <protection locked="0"/>
    </xf>
    <xf numFmtId="166" fontId="13" fillId="2" borderId="13" xfId="0" applyNumberFormat="1" applyFont="1" applyFill="1" applyBorder="1"/>
    <xf numFmtId="166" fontId="13" fillId="2" borderId="0" xfId="0" applyNumberFormat="1" applyFont="1" applyFill="1"/>
    <xf numFmtId="165" fontId="13" fillId="13" borderId="0" xfId="0" applyNumberFormat="1" applyFont="1" applyFill="1" applyProtection="1">
      <protection locked="0"/>
    </xf>
    <xf numFmtId="167" fontId="13" fillId="2" borderId="0" xfId="0" applyNumberFormat="1" applyFont="1" applyFill="1" applyAlignment="1" applyProtection="1">
      <alignment vertical="top" wrapText="1"/>
      <protection locked="0"/>
    </xf>
    <xf numFmtId="165" fontId="13" fillId="18" borderId="0" xfId="0" applyNumberFormat="1" applyFont="1" applyFill="1" applyProtection="1">
      <protection locked="0"/>
    </xf>
    <xf numFmtId="49" fontId="16" fillId="2" borderId="0" xfId="0" quotePrefix="1" applyNumberFormat="1" applyFont="1" applyFill="1" applyProtection="1">
      <protection locked="0"/>
    </xf>
    <xf numFmtId="49" fontId="20" fillId="2" borderId="0" xfId="0" quotePrefix="1" applyNumberFormat="1" applyFont="1" applyFill="1" applyProtection="1">
      <protection locked="0"/>
    </xf>
    <xf numFmtId="0" fontId="15" fillId="19" borderId="12" xfId="0" quotePrefix="1" applyFont="1" applyFill="1" applyBorder="1" applyAlignment="1" applyProtection="1">
      <alignment horizontal="left" vertical="top" wrapText="1"/>
      <protection locked="0"/>
    </xf>
    <xf numFmtId="49" fontId="14" fillId="2" borderId="0" xfId="0" quotePrefix="1" applyNumberFormat="1" applyFont="1" applyFill="1" applyProtection="1">
      <protection locked="0"/>
    </xf>
    <xf numFmtId="166" fontId="17" fillId="2" borderId="14" xfId="0" applyNumberFormat="1" applyFont="1" applyFill="1" applyBorder="1" applyAlignment="1">
      <alignment horizontal="left"/>
    </xf>
    <xf numFmtId="165" fontId="13" fillId="0" borderId="0" xfId="0" quotePrefix="1" applyNumberFormat="1" applyFont="1" applyAlignment="1">
      <alignment wrapText="1"/>
    </xf>
    <xf numFmtId="49" fontId="14" fillId="0" borderId="0" xfId="0" quotePrefix="1" applyNumberFormat="1" applyFont="1" applyAlignment="1" applyProtection="1">
      <alignment wrapText="1"/>
      <protection locked="0"/>
    </xf>
    <xf numFmtId="0" fontId="14" fillId="0" borderId="0" xfId="0" quotePrefix="1" applyFont="1" applyAlignment="1" applyProtection="1">
      <alignment wrapText="1"/>
      <protection locked="0"/>
    </xf>
    <xf numFmtId="166" fontId="17" fillId="9" borderId="13" xfId="0" applyNumberFormat="1" applyFont="1" applyFill="1" applyBorder="1" applyAlignment="1">
      <alignment horizontal="left" wrapText="1"/>
    </xf>
    <xf numFmtId="166" fontId="17" fillId="9" borderId="14" xfId="0" applyNumberFormat="1" applyFont="1" applyFill="1" applyBorder="1" applyAlignment="1">
      <alignment horizontal="left" wrapText="1"/>
    </xf>
    <xf numFmtId="166" fontId="17" fillId="9" borderId="13" xfId="0" applyNumberFormat="1" applyFont="1" applyFill="1" applyBorder="1" applyAlignment="1" applyProtection="1">
      <alignment horizontal="left" wrapText="1"/>
      <protection locked="0"/>
    </xf>
    <xf numFmtId="166" fontId="13" fillId="10" borderId="13" xfId="0" applyNumberFormat="1" applyFont="1" applyFill="1" applyBorder="1" applyAlignment="1">
      <alignment wrapText="1"/>
    </xf>
    <xf numFmtId="165" fontId="13" fillId="10" borderId="0" xfId="0" applyNumberFormat="1" applyFont="1" applyFill="1" applyAlignment="1">
      <alignment wrapText="1"/>
    </xf>
    <xf numFmtId="165" fontId="13" fillId="0" borderId="0" xfId="0" applyNumberFormat="1" applyFont="1" applyAlignment="1" applyProtection="1">
      <alignment wrapText="1"/>
      <protection locked="0"/>
    </xf>
    <xf numFmtId="165" fontId="13" fillId="11" borderId="0" xfId="0" applyNumberFormat="1" applyFont="1" applyFill="1" applyAlignment="1" applyProtection="1">
      <alignment wrapText="1"/>
      <protection locked="0"/>
    </xf>
    <xf numFmtId="167" fontId="13" fillId="0" borderId="0" xfId="0" applyNumberFormat="1" applyFont="1" applyAlignment="1">
      <alignment wrapText="1"/>
    </xf>
    <xf numFmtId="167" fontId="13" fillId="0" borderId="0" xfId="0" applyNumberFormat="1" applyFont="1" applyAlignment="1" applyProtection="1">
      <alignment wrapText="1"/>
      <protection locked="0"/>
    </xf>
    <xf numFmtId="165" fontId="13" fillId="20" borderId="0" xfId="0" applyNumberFormat="1" applyFont="1" applyFill="1" applyProtection="1">
      <protection locked="0"/>
    </xf>
    <xf numFmtId="166" fontId="13" fillId="21" borderId="0" xfId="0" applyNumberFormat="1" applyFont="1" applyFill="1" applyProtection="1">
      <protection locked="0"/>
    </xf>
    <xf numFmtId="165" fontId="13" fillId="21" borderId="0" xfId="0" applyNumberFormat="1" applyFont="1" applyFill="1" applyProtection="1">
      <protection locked="0"/>
    </xf>
    <xf numFmtId="167" fontId="15" fillId="0" borderId="16" xfId="0" applyNumberFormat="1" applyFont="1" applyBorder="1" applyAlignment="1">
      <alignment wrapText="1"/>
    </xf>
    <xf numFmtId="49" fontId="21" fillId="0" borderId="0" xfId="0" applyNumberFormat="1" applyFont="1" applyProtection="1">
      <protection locked="0"/>
    </xf>
    <xf numFmtId="164" fontId="16" fillId="0" borderId="14" xfId="1" applyNumberFormat="1" applyFont="1" applyFill="1" applyBorder="1" applyProtection="1"/>
    <xf numFmtId="166" fontId="17" fillId="0" borderId="13" xfId="0" applyNumberFormat="1" applyFont="1" applyBorder="1" applyAlignment="1">
      <alignment horizontal="left"/>
    </xf>
    <xf numFmtId="166" fontId="17" fillId="18" borderId="13" xfId="0" applyNumberFormat="1" applyFont="1" applyFill="1" applyBorder="1" applyAlignment="1">
      <alignment horizontal="left"/>
    </xf>
    <xf numFmtId="165" fontId="13" fillId="5" borderId="0" xfId="0" applyNumberFormat="1" applyFont="1" applyFill="1" applyProtection="1">
      <protection locked="0"/>
    </xf>
    <xf numFmtId="0" fontId="22" fillId="0" borderId="0" xfId="0" applyFont="1"/>
    <xf numFmtId="49" fontId="15" fillId="0" borderId="0" xfId="0" quotePrefix="1" applyNumberFormat="1" applyFont="1" applyAlignment="1" applyProtection="1">
      <alignment wrapText="1"/>
      <protection locked="0"/>
    </xf>
    <xf numFmtId="167" fontId="15" fillId="3" borderId="16" xfId="0" applyNumberFormat="1" applyFont="1" applyFill="1" applyBorder="1" applyAlignment="1">
      <alignment wrapText="1"/>
    </xf>
    <xf numFmtId="166" fontId="13" fillId="10" borderId="0" xfId="0" applyNumberFormat="1" applyFont="1" applyFill="1" applyProtection="1">
      <protection locked="0"/>
    </xf>
    <xf numFmtId="0" fontId="15" fillId="5" borderId="12" xfId="0" quotePrefix="1" applyFont="1" applyFill="1" applyBorder="1" applyAlignment="1" applyProtection="1">
      <alignment horizontal="left" vertical="top" wrapText="1"/>
      <protection locked="0"/>
    </xf>
    <xf numFmtId="166" fontId="23" fillId="9" borderId="14" xfId="0" applyNumberFormat="1" applyFont="1" applyFill="1" applyBorder="1" applyAlignment="1">
      <alignment horizontal="left"/>
    </xf>
    <xf numFmtId="49" fontId="16" fillId="5" borderId="0" xfId="0" quotePrefix="1" applyNumberFormat="1" applyFont="1" applyFill="1" applyAlignment="1" applyProtection="1">
      <alignment vertical="top"/>
      <protection locked="0"/>
    </xf>
    <xf numFmtId="166" fontId="16" fillId="22" borderId="13" xfId="1" quotePrefix="1" applyNumberFormat="1" applyFont="1" applyFill="1" applyBorder="1" applyProtection="1">
      <protection locked="0"/>
    </xf>
    <xf numFmtId="166" fontId="16" fillId="22" borderId="13" xfId="1" quotePrefix="1" applyNumberFormat="1" applyFont="1" applyFill="1" applyBorder="1" applyProtection="1"/>
    <xf numFmtId="166" fontId="16" fillId="0" borderId="13" xfId="1" applyNumberFormat="1" applyFont="1" applyFill="1" applyBorder="1" applyProtection="1">
      <protection locked="0"/>
    </xf>
    <xf numFmtId="166" fontId="16" fillId="0" borderId="13" xfId="1" applyNumberFormat="1" applyFont="1" applyFill="1" applyBorder="1" applyProtection="1"/>
    <xf numFmtId="165" fontId="13" fillId="11" borderId="18" xfId="0" applyNumberFormat="1" applyFont="1" applyFill="1" applyBorder="1" applyProtection="1">
      <protection locked="0"/>
    </xf>
    <xf numFmtId="49" fontId="16" fillId="0" borderId="13" xfId="1" quotePrefix="1" applyNumberFormat="1" applyFont="1" applyBorder="1"/>
    <xf numFmtId="164" fontId="16" fillId="2" borderId="14" xfId="1" applyNumberFormat="1" applyFont="1" applyFill="1" applyBorder="1" applyProtection="1"/>
    <xf numFmtId="166" fontId="16" fillId="21" borderId="13" xfId="1" quotePrefix="1" applyNumberFormat="1" applyFont="1" applyFill="1" applyBorder="1" applyProtection="1">
      <protection locked="0"/>
    </xf>
    <xf numFmtId="166" fontId="16" fillId="21" borderId="13" xfId="1" quotePrefix="1" applyNumberFormat="1" applyFont="1" applyFill="1" applyBorder="1" applyProtection="1"/>
    <xf numFmtId="49" fontId="0" fillId="0" borderId="0" xfId="0" quotePrefix="1" applyNumberFormat="1" applyProtection="1">
      <protection locked="0"/>
    </xf>
    <xf numFmtId="49" fontId="15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16" fillId="4" borderId="0" xfId="0" applyNumberFormat="1" applyFont="1" applyFill="1" applyProtection="1">
      <protection locked="0"/>
    </xf>
    <xf numFmtId="166" fontId="16" fillId="22" borderId="13" xfId="1" applyNumberFormat="1" applyFont="1" applyFill="1" applyBorder="1" applyProtection="1">
      <protection locked="0"/>
    </xf>
    <xf numFmtId="166" fontId="16" fillId="22" borderId="13" xfId="1" applyNumberFormat="1" applyFont="1" applyFill="1" applyBorder="1" applyProtection="1"/>
    <xf numFmtId="166" fontId="17" fillId="18" borderId="14" xfId="0" applyNumberFormat="1" applyFont="1" applyFill="1" applyBorder="1" applyAlignment="1">
      <alignment horizontal="left"/>
    </xf>
    <xf numFmtId="166" fontId="13" fillId="3" borderId="0" xfId="0" applyNumberFormat="1" applyFont="1" applyFill="1"/>
    <xf numFmtId="165" fontId="18" fillId="21" borderId="0" xfId="0" applyNumberFormat="1" applyFont="1" applyFill="1" applyProtection="1">
      <protection locked="0"/>
    </xf>
    <xf numFmtId="167" fontId="14" fillId="12" borderId="16" xfId="0" applyNumberFormat="1" applyFont="1" applyFill="1" applyBorder="1" applyAlignment="1">
      <alignment wrapText="1"/>
    </xf>
    <xf numFmtId="164" fontId="16" fillId="18" borderId="14" xfId="1" applyNumberFormat="1" applyFont="1" applyFill="1" applyBorder="1" applyProtection="1"/>
    <xf numFmtId="166" fontId="18" fillId="12" borderId="0" xfId="0" applyNumberFormat="1" applyFont="1" applyFill="1" applyProtection="1">
      <protection locked="0"/>
    </xf>
    <xf numFmtId="165" fontId="13" fillId="12" borderId="0" xfId="0" applyNumberFormat="1" applyFont="1" applyFill="1" applyProtection="1">
      <protection locked="0"/>
    </xf>
    <xf numFmtId="0" fontId="15" fillId="0" borderId="12" xfId="0" quotePrefix="1" applyFont="1" applyBorder="1" applyAlignment="1" applyProtection="1">
      <alignment horizontal="left" wrapText="1"/>
      <protection locked="0"/>
    </xf>
    <xf numFmtId="49" fontId="14" fillId="0" borderId="0" xfId="0" quotePrefix="1" applyNumberFormat="1" applyFont="1" applyAlignment="1" applyProtection="1">
      <alignment horizontal="left"/>
      <protection locked="0"/>
    </xf>
    <xf numFmtId="0" fontId="0" fillId="0" borderId="0" xfId="0" quotePrefix="1"/>
    <xf numFmtId="0" fontId="0" fillId="0" borderId="0" xfId="0" quotePrefix="1" applyProtection="1">
      <protection locked="0"/>
    </xf>
    <xf numFmtId="165" fontId="13" fillId="0" borderId="19" xfId="0" quotePrefix="1" applyNumberFormat="1" applyFont="1" applyBorder="1"/>
    <xf numFmtId="49" fontId="14" fillId="0" borderId="19" xfId="0" quotePrefix="1" applyNumberFormat="1" applyFont="1" applyBorder="1" applyProtection="1">
      <protection locked="0"/>
    </xf>
    <xf numFmtId="0" fontId="14" fillId="0" borderId="19" xfId="0" quotePrefix="1" applyFont="1" applyBorder="1" applyProtection="1">
      <protection locked="0"/>
    </xf>
    <xf numFmtId="0" fontId="15" fillId="0" borderId="20" xfId="0" quotePrefix="1" applyFont="1" applyBorder="1" applyAlignment="1" applyProtection="1">
      <alignment horizontal="left" vertical="top" wrapText="1"/>
      <protection locked="0"/>
    </xf>
    <xf numFmtId="49" fontId="16" fillId="0" borderId="19" xfId="0" quotePrefix="1" applyNumberFormat="1" applyFont="1" applyBorder="1" applyProtection="1">
      <protection locked="0"/>
    </xf>
    <xf numFmtId="49" fontId="16" fillId="5" borderId="19" xfId="0" quotePrefix="1" applyNumberFormat="1" applyFont="1" applyFill="1" applyBorder="1" applyProtection="1">
      <protection locked="0"/>
    </xf>
    <xf numFmtId="49" fontId="14" fillId="0" borderId="21" xfId="0" quotePrefix="1" applyNumberFormat="1" applyFont="1" applyBorder="1" applyProtection="1">
      <protection locked="0"/>
    </xf>
    <xf numFmtId="166" fontId="17" fillId="9" borderId="22" xfId="0" applyNumberFormat="1" applyFont="1" applyFill="1" applyBorder="1" applyAlignment="1">
      <alignment horizontal="left"/>
    </xf>
    <xf numFmtId="166" fontId="17" fillId="9" borderId="14" xfId="0" applyNumberFormat="1" applyFont="1" applyFill="1" applyBorder="1" applyAlignment="1" applyProtection="1">
      <alignment horizontal="left"/>
      <protection locked="0"/>
    </xf>
    <xf numFmtId="166" fontId="13" fillId="10" borderId="22" xfId="0" applyNumberFormat="1" applyFont="1" applyFill="1" applyBorder="1"/>
    <xf numFmtId="166" fontId="13" fillId="10" borderId="19" xfId="0" applyNumberFormat="1" applyFont="1" applyFill="1" applyBorder="1"/>
    <xf numFmtId="165" fontId="13" fillId="0" borderId="19" xfId="0" applyNumberFormat="1" applyFont="1" applyBorder="1" applyProtection="1">
      <protection locked="0"/>
    </xf>
    <xf numFmtId="167" fontId="13" fillId="0" borderId="19" xfId="0" applyNumberFormat="1" applyFont="1" applyBorder="1"/>
    <xf numFmtId="166" fontId="13" fillId="0" borderId="19" xfId="0" applyNumberFormat="1" applyFont="1" applyBorder="1" applyProtection="1">
      <protection locked="0"/>
    </xf>
    <xf numFmtId="167" fontId="13" fillId="2" borderId="19" xfId="0" applyNumberFormat="1" applyFont="1" applyFill="1" applyBorder="1"/>
    <xf numFmtId="165" fontId="13" fillId="2" borderId="19" xfId="0" applyNumberFormat="1" applyFont="1" applyFill="1" applyBorder="1"/>
    <xf numFmtId="49" fontId="14" fillId="0" borderId="19" xfId="0" applyNumberFormat="1" applyFont="1" applyBorder="1" applyProtection="1">
      <protection locked="0"/>
    </xf>
    <xf numFmtId="49" fontId="14" fillId="0" borderId="19" xfId="0" quotePrefix="1" applyNumberFormat="1" applyFont="1" applyBorder="1" applyAlignment="1" applyProtection="1">
      <alignment horizontal="left" vertical="center"/>
      <protection locked="0"/>
    </xf>
    <xf numFmtId="0" fontId="14" fillId="0" borderId="19" xfId="0" applyFont="1" applyBorder="1" applyProtection="1">
      <protection locked="0"/>
    </xf>
    <xf numFmtId="49" fontId="14" fillId="0" borderId="20" xfId="0" quotePrefix="1" applyNumberFormat="1" applyFont="1" applyBorder="1" applyAlignment="1" applyProtection="1">
      <alignment horizontal="left" vertical="top" wrapText="1"/>
      <protection locked="0"/>
    </xf>
    <xf numFmtId="49" fontId="16" fillId="0" borderId="19" xfId="0" quotePrefix="1" applyNumberFormat="1" applyFont="1" applyBorder="1" applyAlignment="1" applyProtection="1">
      <alignment horizontal="left" vertical="center"/>
      <protection locked="0"/>
    </xf>
    <xf numFmtId="0" fontId="16" fillId="0" borderId="19" xfId="0" applyFont="1" applyBorder="1" applyProtection="1">
      <protection locked="0"/>
    </xf>
    <xf numFmtId="49" fontId="16" fillId="0" borderId="19" xfId="0" applyNumberFormat="1" applyFont="1" applyBorder="1" applyProtection="1">
      <protection locked="0"/>
    </xf>
    <xf numFmtId="49" fontId="16" fillId="0" borderId="21" xfId="0" quotePrefix="1" applyNumberFormat="1" applyFont="1" applyBorder="1" applyProtection="1">
      <protection locked="0"/>
    </xf>
    <xf numFmtId="49" fontId="16" fillId="0" borderId="22" xfId="1" quotePrefix="1" applyNumberFormat="1" applyFont="1" applyBorder="1"/>
    <xf numFmtId="164" fontId="16" fillId="0" borderId="13" xfId="1" applyNumberFormat="1" applyFont="1" applyBorder="1" applyProtection="1"/>
    <xf numFmtId="166" fontId="16" fillId="22" borderId="14" xfId="1" applyNumberFormat="1" applyFont="1" applyFill="1" applyBorder="1" applyProtection="1">
      <protection locked="0"/>
    </xf>
    <xf numFmtId="167" fontId="13" fillId="11" borderId="22" xfId="0" applyNumberFormat="1" applyFont="1" applyFill="1" applyBorder="1" applyAlignment="1">
      <alignment vertical="center"/>
    </xf>
    <xf numFmtId="167" fontId="13" fillId="11" borderId="19" xfId="0" applyNumberFormat="1" applyFont="1" applyFill="1" applyBorder="1" applyAlignment="1">
      <alignment vertical="center"/>
    </xf>
    <xf numFmtId="167" fontId="13" fillId="0" borderId="19" xfId="0" applyNumberFormat="1" applyFont="1" applyBorder="1" applyAlignment="1" applyProtection="1">
      <alignment vertical="center"/>
      <protection locked="0"/>
    </xf>
    <xf numFmtId="165" fontId="16" fillId="11" borderId="18" xfId="0" applyNumberFormat="1" applyFont="1" applyFill="1" applyBorder="1" applyProtection="1">
      <protection locked="0"/>
    </xf>
    <xf numFmtId="167" fontId="13" fillId="0" borderId="19" xfId="0" applyNumberFormat="1" applyFont="1" applyBorder="1" applyAlignment="1">
      <alignment vertical="center"/>
    </xf>
    <xf numFmtId="165" fontId="13" fillId="10" borderId="19" xfId="0" applyNumberFormat="1" applyFont="1" applyFill="1" applyBorder="1"/>
    <xf numFmtId="49" fontId="16" fillId="5" borderId="19" xfId="0" quotePrefix="1" applyNumberFormat="1" applyFont="1" applyFill="1" applyBorder="1" applyAlignment="1" applyProtection="1">
      <alignment horizontal="left" vertical="center"/>
      <protection locked="0"/>
    </xf>
    <xf numFmtId="0" fontId="16" fillId="0" borderId="19" xfId="0" quotePrefix="1" applyFont="1" applyBorder="1" applyProtection="1">
      <protection locked="0"/>
    </xf>
    <xf numFmtId="166" fontId="16" fillId="22" borderId="14" xfId="1" quotePrefix="1" applyNumberFormat="1" applyFont="1" applyFill="1" applyBorder="1" applyProtection="1">
      <protection locked="0"/>
    </xf>
    <xf numFmtId="49" fontId="14" fillId="0" borderId="19" xfId="0" applyNumberFormat="1" applyFont="1" applyBorder="1" applyAlignment="1" applyProtection="1">
      <alignment horizontal="left" vertical="center"/>
      <protection locked="0"/>
    </xf>
    <xf numFmtId="49" fontId="14" fillId="0" borderId="20" xfId="0" applyNumberFormat="1" applyFont="1" applyBorder="1" applyAlignment="1" applyProtection="1">
      <alignment horizontal="left" vertical="top" wrapText="1"/>
      <protection locked="0"/>
    </xf>
    <xf numFmtId="49" fontId="16" fillId="0" borderId="19" xfId="0" applyNumberFormat="1" applyFont="1" applyBorder="1" applyAlignment="1" applyProtection="1">
      <alignment horizontal="left" vertical="center"/>
      <protection locked="0"/>
    </xf>
    <xf numFmtId="49" fontId="14" fillId="9" borderId="21" xfId="0" quotePrefix="1" applyNumberFormat="1" applyFont="1" applyFill="1" applyBorder="1" applyAlignment="1" applyProtection="1">
      <alignment wrapText="1"/>
      <protection locked="0"/>
    </xf>
    <xf numFmtId="165" fontId="17" fillId="9" borderId="22" xfId="0" applyNumberFormat="1" applyFont="1" applyFill="1" applyBorder="1" applyAlignment="1">
      <alignment horizontal="left"/>
    </xf>
    <xf numFmtId="165" fontId="17" fillId="9" borderId="14" xfId="0" applyNumberFormat="1" applyFont="1" applyFill="1" applyBorder="1" applyAlignment="1" applyProtection="1">
      <alignment horizontal="left"/>
      <protection locked="0"/>
    </xf>
    <xf numFmtId="165" fontId="13" fillId="5" borderId="18" xfId="0" applyNumberFormat="1" applyFont="1" applyFill="1" applyBorder="1" applyProtection="1">
      <protection locked="0"/>
    </xf>
    <xf numFmtId="49" fontId="16" fillId="9" borderId="21" xfId="0" quotePrefix="1" applyNumberFormat="1" applyFont="1" applyFill="1" applyBorder="1" applyAlignment="1" applyProtection="1">
      <alignment wrapText="1"/>
      <protection locked="0"/>
    </xf>
    <xf numFmtId="49" fontId="16" fillId="0" borderId="22" xfId="0" quotePrefix="1" applyNumberFormat="1" applyFont="1" applyBorder="1"/>
    <xf numFmtId="166" fontId="16" fillId="13" borderId="14" xfId="1" applyNumberFormat="1" applyFont="1" applyFill="1" applyBorder="1" applyProtection="1">
      <protection locked="0"/>
    </xf>
    <xf numFmtId="165" fontId="16" fillId="5" borderId="18" xfId="0" applyNumberFormat="1" applyFont="1" applyFill="1" applyBorder="1" applyProtection="1">
      <protection locked="0"/>
    </xf>
    <xf numFmtId="49" fontId="20" fillId="0" borderId="21" xfId="0" quotePrefix="1" applyNumberFormat="1" applyFont="1" applyBorder="1" applyProtection="1">
      <protection locked="0"/>
    </xf>
    <xf numFmtId="49" fontId="20" fillId="2" borderId="21" xfId="0" quotePrefix="1" applyNumberFormat="1" applyFont="1" applyFill="1" applyBorder="1" applyProtection="1">
      <protection locked="0"/>
    </xf>
    <xf numFmtId="165" fontId="13" fillId="0" borderId="23" xfId="0" quotePrefix="1" applyNumberFormat="1" applyFont="1" applyBorder="1"/>
    <xf numFmtId="49" fontId="14" fillId="0" borderId="24" xfId="0" quotePrefix="1" applyNumberFormat="1" applyFont="1" applyBorder="1" applyProtection="1">
      <protection locked="0"/>
    </xf>
    <xf numFmtId="49" fontId="14" fillId="0" borderId="25" xfId="0" quotePrefix="1" applyNumberFormat="1" applyFont="1" applyBorder="1" applyProtection="1">
      <protection locked="0"/>
    </xf>
    <xf numFmtId="0" fontId="14" fillId="0" borderId="25" xfId="0" quotePrefix="1" applyFont="1" applyBorder="1" applyProtection="1">
      <protection locked="0"/>
    </xf>
    <xf numFmtId="0" fontId="15" fillId="0" borderId="25" xfId="0" quotePrefix="1" applyFont="1" applyBorder="1" applyAlignment="1" applyProtection="1">
      <alignment horizontal="left" vertical="top" wrapText="1"/>
      <protection locked="0"/>
    </xf>
    <xf numFmtId="49" fontId="16" fillId="0" borderId="25" xfId="0" quotePrefix="1" applyNumberFormat="1" applyFont="1" applyBorder="1" applyProtection="1">
      <protection locked="0"/>
    </xf>
    <xf numFmtId="166" fontId="17" fillId="9" borderId="21" xfId="0" applyNumberFormat="1" applyFont="1" applyFill="1" applyBorder="1" applyAlignment="1">
      <alignment horizontal="left"/>
    </xf>
    <xf numFmtId="166" fontId="17" fillId="9" borderId="21" xfId="0" applyNumberFormat="1" applyFont="1" applyFill="1" applyBorder="1" applyAlignment="1" applyProtection="1">
      <alignment horizontal="left"/>
      <protection locked="0"/>
    </xf>
    <xf numFmtId="166" fontId="17" fillId="9" borderId="19" xfId="0" applyNumberFormat="1" applyFont="1" applyFill="1" applyBorder="1" applyAlignment="1" applyProtection="1">
      <alignment horizontal="left"/>
      <protection locked="0"/>
    </xf>
    <xf numFmtId="166" fontId="17" fillId="9" borderId="19" xfId="0" applyNumberFormat="1" applyFont="1" applyFill="1" applyBorder="1" applyAlignment="1">
      <alignment horizontal="left"/>
    </xf>
    <xf numFmtId="166" fontId="13" fillId="10" borderId="25" xfId="0" applyNumberFormat="1" applyFont="1" applyFill="1" applyBorder="1"/>
    <xf numFmtId="165" fontId="13" fillId="0" borderId="25" xfId="0" applyNumberFormat="1" applyFont="1" applyBorder="1" applyProtection="1">
      <protection locked="0"/>
    </xf>
    <xf numFmtId="167" fontId="13" fillId="0" borderId="25" xfId="0" applyNumberFormat="1" applyFont="1" applyBorder="1"/>
    <xf numFmtId="165" fontId="13" fillId="10" borderId="25" xfId="0" applyNumberFormat="1" applyFont="1" applyFill="1" applyBorder="1"/>
    <xf numFmtId="166" fontId="13" fillId="0" borderId="25" xfId="0" applyNumberFormat="1" applyFont="1" applyBorder="1" applyProtection="1">
      <protection locked="0"/>
    </xf>
    <xf numFmtId="165" fontId="13" fillId="0" borderId="26" xfId="0" quotePrefix="1" applyNumberFormat="1" applyFont="1" applyBorder="1"/>
    <xf numFmtId="49" fontId="14" fillId="0" borderId="27" xfId="0" quotePrefix="1" applyNumberFormat="1" applyFont="1" applyBorder="1" applyProtection="1">
      <protection locked="0"/>
    </xf>
    <xf numFmtId="49" fontId="14" fillId="0" borderId="17" xfId="0" quotePrefix="1" applyNumberFormat="1" applyFont="1" applyBorder="1" applyProtection="1">
      <protection locked="0"/>
    </xf>
    <xf numFmtId="49" fontId="14" fillId="0" borderId="26" xfId="0" quotePrefix="1" applyNumberFormat="1" applyFont="1" applyBorder="1" applyProtection="1">
      <protection locked="0"/>
    </xf>
    <xf numFmtId="0" fontId="14" fillId="0" borderId="17" xfId="0" quotePrefix="1" applyFont="1" applyBorder="1" applyProtection="1">
      <protection locked="0"/>
    </xf>
    <xf numFmtId="49" fontId="16" fillId="0" borderId="26" xfId="0" quotePrefix="1" applyNumberFormat="1" applyFont="1" applyBorder="1" applyProtection="1">
      <protection locked="0"/>
    </xf>
    <xf numFmtId="49" fontId="16" fillId="0" borderId="17" xfId="0" quotePrefix="1" applyNumberFormat="1" applyFont="1" applyBorder="1" applyProtection="1">
      <protection locked="0"/>
    </xf>
    <xf numFmtId="49" fontId="14" fillId="0" borderId="28" xfId="0" quotePrefix="1" applyNumberFormat="1" applyFont="1" applyBorder="1" applyProtection="1">
      <protection locked="0"/>
    </xf>
    <xf numFmtId="166" fontId="17" fillId="9" borderId="29" xfId="0" applyNumberFormat="1" applyFont="1" applyFill="1" applyBorder="1" applyAlignment="1">
      <alignment horizontal="left"/>
    </xf>
    <xf numFmtId="166" fontId="17" fillId="9" borderId="28" xfId="0" applyNumberFormat="1" applyFont="1" applyFill="1" applyBorder="1" applyAlignment="1">
      <alignment horizontal="left"/>
    </xf>
    <xf numFmtId="166" fontId="17" fillId="9" borderId="28" xfId="0" applyNumberFormat="1" applyFont="1" applyFill="1" applyBorder="1" applyAlignment="1" applyProtection="1">
      <alignment horizontal="left"/>
      <protection locked="0"/>
    </xf>
    <xf numFmtId="166" fontId="17" fillId="9" borderId="26" xfId="0" applyNumberFormat="1" applyFont="1" applyFill="1" applyBorder="1" applyAlignment="1" applyProtection="1">
      <alignment horizontal="left"/>
      <protection locked="0"/>
    </xf>
    <xf numFmtId="166" fontId="17" fillId="9" borderId="26" xfId="0" applyNumberFormat="1" applyFont="1" applyFill="1" applyBorder="1" applyAlignment="1">
      <alignment horizontal="left"/>
    </xf>
    <xf numFmtId="166" fontId="13" fillId="10" borderId="17" xfId="0" applyNumberFormat="1" applyFont="1" applyFill="1" applyBorder="1"/>
    <xf numFmtId="166" fontId="13" fillId="0" borderId="17" xfId="0" applyNumberFormat="1" applyFont="1" applyBorder="1" applyProtection="1">
      <protection locked="0"/>
    </xf>
    <xf numFmtId="167" fontId="13" fillId="0" borderId="26" xfId="0" applyNumberFormat="1" applyFont="1" applyBorder="1"/>
    <xf numFmtId="167" fontId="13" fillId="0" borderId="17" xfId="0" applyNumberFormat="1" applyFont="1" applyBorder="1"/>
    <xf numFmtId="165" fontId="13" fillId="0" borderId="0" xfId="0" applyNumberFormat="1" applyFont="1"/>
    <xf numFmtId="49" fontId="14" fillId="0" borderId="26" xfId="0" applyNumberFormat="1" applyFont="1" applyBorder="1" applyProtection="1">
      <protection locked="0"/>
    </xf>
    <xf numFmtId="0" fontId="14" fillId="0" borderId="26" xfId="0" quotePrefix="1" applyFont="1" applyBorder="1" applyProtection="1">
      <protection locked="0"/>
    </xf>
    <xf numFmtId="49" fontId="14" fillId="0" borderId="0" xfId="0" applyNumberFormat="1" applyFont="1" applyAlignment="1" applyProtection="1">
      <alignment horizontal="left" vertical="top" wrapText="1"/>
      <protection locked="0"/>
    </xf>
    <xf numFmtId="49" fontId="16" fillId="2" borderId="0" xfId="0" applyNumberFormat="1" applyFont="1" applyFill="1" applyProtection="1">
      <protection locked="0"/>
    </xf>
    <xf numFmtId="49" fontId="16" fillId="23" borderId="0" xfId="0" applyNumberFormat="1" applyFont="1" applyFill="1" applyProtection="1">
      <protection locked="0"/>
    </xf>
    <xf numFmtId="164" fontId="16" fillId="0" borderId="0" xfId="1" applyNumberFormat="1" applyFont="1" applyBorder="1" applyProtection="1"/>
    <xf numFmtId="166" fontId="16" fillId="0" borderId="0" xfId="1" applyNumberFormat="1" applyFont="1" applyBorder="1" applyProtection="1">
      <protection locked="0"/>
    </xf>
    <xf numFmtId="166" fontId="16" fillId="0" borderId="0" xfId="0" applyNumberFormat="1" applyFont="1" applyProtection="1">
      <protection locked="0"/>
    </xf>
    <xf numFmtId="166" fontId="16" fillId="0" borderId="0" xfId="0" applyNumberFormat="1" applyFont="1"/>
    <xf numFmtId="167" fontId="13" fillId="11" borderId="0" xfId="0" applyNumberFormat="1" applyFont="1" applyFill="1"/>
    <xf numFmtId="49" fontId="16" fillId="0" borderId="0" xfId="0" applyNumberFormat="1" applyFont="1"/>
    <xf numFmtId="165" fontId="16" fillId="0" borderId="18" xfId="0" applyNumberFormat="1" applyFont="1" applyBorder="1" applyProtection="1">
      <protection locked="0"/>
    </xf>
    <xf numFmtId="167" fontId="16" fillId="11" borderId="0" xfId="0" applyNumberFormat="1" applyFont="1" applyFill="1" applyAlignment="1">
      <alignment wrapText="1"/>
    </xf>
    <xf numFmtId="164" fontId="16" fillId="0" borderId="0" xfId="1" applyNumberFormat="1" applyFont="1" applyProtection="1"/>
    <xf numFmtId="166" fontId="16" fillId="0" borderId="0" xfId="1" applyNumberFormat="1" applyFont="1" applyProtection="1">
      <protection locked="0"/>
    </xf>
    <xf numFmtId="165" fontId="16" fillId="4" borderId="18" xfId="0" applyNumberFormat="1" applyFont="1" applyFill="1" applyBorder="1" applyProtection="1">
      <protection locked="0"/>
    </xf>
    <xf numFmtId="167" fontId="16" fillId="4" borderId="0" xfId="0" applyNumberFormat="1" applyFont="1" applyFill="1" applyAlignment="1">
      <alignment wrapText="1"/>
    </xf>
    <xf numFmtId="49" fontId="15" fillId="0" borderId="0" xfId="0" applyNumberFormat="1" applyFont="1" applyAlignment="1" applyProtection="1">
      <alignment horizontal="left" vertical="top" wrapText="1"/>
      <protection locked="0"/>
    </xf>
    <xf numFmtId="43" fontId="0" fillId="0" borderId="0" xfId="1" applyFont="1"/>
    <xf numFmtId="43" fontId="0" fillId="0" borderId="0" xfId="0" applyNumberFormat="1"/>
    <xf numFmtId="49" fontId="14" fillId="0" borderId="19" xfId="0" applyNumberFormat="1" applyFont="1" applyBorder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1" applyNumberFormat="1" applyFont="1" applyProtection="1">
      <protection locked="0"/>
    </xf>
    <xf numFmtId="0" fontId="10" fillId="6" borderId="7" xfId="0" quotePrefix="1" applyFont="1" applyFill="1" applyBorder="1" applyAlignment="1">
      <alignment horizontal="center" vertical="center" wrapText="1"/>
    </xf>
    <xf numFmtId="0" fontId="10" fillId="6" borderId="4" xfId="0" quotePrefix="1" applyFont="1" applyFill="1" applyBorder="1" applyAlignment="1">
      <alignment horizontal="center" vertical="center" wrapText="1"/>
    </xf>
    <xf numFmtId="164" fontId="2" fillId="0" borderId="0" xfId="1" applyNumberFormat="1" applyFont="1" applyAlignment="1" applyProtection="1">
      <alignment wrapText="1"/>
    </xf>
    <xf numFmtId="0" fontId="5" fillId="5" borderId="2" xfId="0" applyFont="1" applyFill="1" applyBorder="1" applyAlignment="1">
      <alignment vertical="center" wrapText="1"/>
    </xf>
    <xf numFmtId="164" fontId="5" fillId="5" borderId="1" xfId="1" applyNumberFormat="1" applyFont="1" applyFill="1" applyBorder="1" applyAlignment="1">
      <alignment horizontal="left" vertical="center" indent="1"/>
    </xf>
    <xf numFmtId="164" fontId="5" fillId="0" borderId="0" xfId="1" applyNumberFormat="1" applyFont="1" applyAlignment="1">
      <alignment horizontal="center" vertical="center"/>
    </xf>
    <xf numFmtId="164" fontId="10" fillId="8" borderId="4" xfId="1" applyNumberFormat="1" applyFont="1" applyFill="1" applyBorder="1" applyAlignment="1">
      <alignment horizontal="center" vertical="center" wrapText="1"/>
    </xf>
    <xf numFmtId="165" fontId="13" fillId="0" borderId="19" xfId="0" applyNumberFormat="1" applyFont="1" applyBorder="1"/>
    <xf numFmtId="0" fontId="15" fillId="0" borderId="0" xfId="0" quotePrefix="1" applyFont="1" applyProtection="1">
      <protection locked="0"/>
    </xf>
    <xf numFmtId="49" fontId="15" fillId="0" borderId="0" xfId="0" applyNumberFormat="1" applyFont="1" applyProtection="1">
      <protection locked="0"/>
    </xf>
    <xf numFmtId="0" fontId="15" fillId="0" borderId="0" xfId="0" applyFont="1" applyProtection="1">
      <protection locked="0"/>
    </xf>
    <xf numFmtId="49" fontId="15" fillId="0" borderId="19" xfId="0" quotePrefix="1" applyNumberFormat="1" applyFont="1" applyBorder="1" applyProtection="1">
      <protection locked="0"/>
    </xf>
    <xf numFmtId="0" fontId="15" fillId="0" borderId="19" xfId="0" quotePrefix="1" applyFont="1" applyBorder="1" applyProtection="1">
      <protection locked="0"/>
    </xf>
    <xf numFmtId="49" fontId="15" fillId="0" borderId="19" xfId="0" applyNumberFormat="1" applyFont="1" applyBorder="1" applyProtection="1">
      <protection locked="0"/>
    </xf>
    <xf numFmtId="49" fontId="15" fillId="0" borderId="19" xfId="0" applyNumberFormat="1" applyFont="1" applyBorder="1" applyAlignment="1" applyProtection="1">
      <alignment horizontal="left" vertical="center"/>
      <protection locked="0"/>
    </xf>
    <xf numFmtId="49" fontId="15" fillId="0" borderId="19" xfId="0" quotePrefix="1" applyNumberFormat="1" applyFont="1" applyBorder="1" applyAlignment="1" applyProtection="1">
      <alignment horizontal="left" vertical="center"/>
      <protection locked="0"/>
    </xf>
    <xf numFmtId="0" fontId="15" fillId="0" borderId="19" xfId="0" applyFont="1" applyBorder="1" applyProtection="1">
      <protection locked="0"/>
    </xf>
    <xf numFmtId="49" fontId="15" fillId="0" borderId="24" xfId="0" quotePrefix="1" applyNumberFormat="1" applyFont="1" applyBorder="1" applyProtection="1">
      <protection locked="0"/>
    </xf>
    <xf numFmtId="49" fontId="15" fillId="0" borderId="25" xfId="0" quotePrefix="1" applyNumberFormat="1" applyFont="1" applyBorder="1" applyProtection="1">
      <protection locked="0"/>
    </xf>
    <xf numFmtId="49" fontId="15" fillId="0" borderId="26" xfId="0" quotePrefix="1" applyNumberFormat="1" applyFont="1" applyBorder="1" applyProtection="1">
      <protection locked="0"/>
    </xf>
    <xf numFmtId="0" fontId="13" fillId="0" borderId="0" xfId="0" quotePrefix="1" applyFont="1" applyProtection="1">
      <protection locked="0"/>
    </xf>
    <xf numFmtId="0" fontId="13" fillId="0" borderId="19" xfId="0" quotePrefix="1" applyFont="1" applyBorder="1" applyProtection="1">
      <protection locked="0"/>
    </xf>
    <xf numFmtId="49" fontId="2" fillId="0" borderId="0" xfId="0" quotePrefix="1" applyNumberFormat="1" applyFont="1" applyProtection="1">
      <protection locked="0"/>
    </xf>
    <xf numFmtId="49" fontId="13" fillId="0" borderId="0" xfId="0" quotePrefix="1" applyNumberFormat="1" applyFont="1" applyProtection="1">
      <protection locked="0"/>
    </xf>
    <xf numFmtId="0" fontId="13" fillId="0" borderId="0" xfId="0" applyFont="1" applyProtection="1">
      <protection locked="0"/>
    </xf>
    <xf numFmtId="49" fontId="13" fillId="0" borderId="0" xfId="0" applyNumberFormat="1" applyFont="1" applyProtection="1">
      <protection locked="0"/>
    </xf>
    <xf numFmtId="49" fontId="13" fillId="0" borderId="19" xfId="0" quotePrefix="1" applyNumberFormat="1" applyFont="1" applyBorder="1" applyProtection="1">
      <protection locked="0"/>
    </xf>
    <xf numFmtId="49" fontId="13" fillId="0" borderId="19" xfId="0" applyNumberFormat="1" applyFont="1" applyBorder="1" applyAlignment="1" applyProtection="1">
      <alignment horizontal="left" vertical="center"/>
      <protection locked="0"/>
    </xf>
    <xf numFmtId="0" fontId="13" fillId="0" borderId="19" xfId="0" applyFont="1" applyBorder="1" applyProtection="1">
      <protection locked="0"/>
    </xf>
    <xf numFmtId="49" fontId="13" fillId="0" borderId="19" xfId="0" quotePrefix="1" applyNumberFormat="1" applyFont="1" applyBorder="1" applyAlignment="1" applyProtection="1">
      <alignment horizontal="left" vertical="center"/>
      <protection locked="0"/>
    </xf>
    <xf numFmtId="49" fontId="13" fillId="0" borderId="19" xfId="0" applyNumberFormat="1" applyFont="1" applyBorder="1" applyProtection="1">
      <protection locked="0"/>
    </xf>
    <xf numFmtId="49" fontId="15" fillId="0" borderId="31" xfId="0" quotePrefix="1" applyNumberFormat="1" applyFont="1" applyBorder="1" applyProtection="1">
      <protection locked="0"/>
    </xf>
    <xf numFmtId="49" fontId="13" fillId="0" borderId="31" xfId="0" quotePrefix="1" applyNumberFormat="1" applyFont="1" applyBorder="1" applyProtection="1">
      <protection locked="0"/>
    </xf>
    <xf numFmtId="49" fontId="13" fillId="0" borderId="31" xfId="0" quotePrefix="1" applyNumberFormat="1" applyFont="1" applyBorder="1" applyAlignment="1" applyProtection="1">
      <alignment wrapText="1"/>
      <protection locked="0"/>
    </xf>
    <xf numFmtId="49" fontId="15" fillId="0" borderId="31" xfId="0" quotePrefix="1" applyNumberFormat="1" applyFont="1" applyBorder="1" applyAlignment="1" applyProtection="1">
      <alignment wrapText="1"/>
      <protection locked="0"/>
    </xf>
    <xf numFmtId="164" fontId="16" fillId="25" borderId="30" xfId="1" applyNumberFormat="1" applyFont="1" applyFill="1" applyBorder="1" applyProtection="1"/>
    <xf numFmtId="164" fontId="16" fillId="25" borderId="30" xfId="1" applyNumberFormat="1" applyFont="1" applyFill="1" applyBorder="1" applyAlignment="1" applyProtection="1">
      <alignment horizontal="left"/>
    </xf>
    <xf numFmtId="165" fontId="31" fillId="0" borderId="0" xfId="0" applyNumberFormat="1" applyFont="1" applyProtection="1">
      <protection locked="0"/>
    </xf>
    <xf numFmtId="167" fontId="31" fillId="0" borderId="15" xfId="0" applyNumberFormat="1" applyFont="1" applyBorder="1" applyAlignment="1">
      <alignment wrapText="1"/>
    </xf>
    <xf numFmtId="167" fontId="31" fillId="0" borderId="16" xfId="0" applyNumberFormat="1" applyFont="1" applyBorder="1" applyAlignment="1">
      <alignment wrapText="1"/>
    </xf>
    <xf numFmtId="166" fontId="31" fillId="0" borderId="0" xfId="0" applyNumberFormat="1" applyFont="1" applyProtection="1">
      <protection locked="0"/>
    </xf>
    <xf numFmtId="167" fontId="31" fillId="0" borderId="0" xfId="0" applyNumberFormat="1" applyFont="1" applyProtection="1">
      <protection locked="0"/>
    </xf>
    <xf numFmtId="167" fontId="31" fillId="0" borderId="16" xfId="0" quotePrefix="1" applyNumberFormat="1" applyFont="1" applyBorder="1" applyAlignment="1">
      <alignment wrapText="1"/>
    </xf>
    <xf numFmtId="165" fontId="31" fillId="0" borderId="0" xfId="0" applyNumberFormat="1" applyFont="1" applyAlignment="1" applyProtection="1">
      <alignment wrapText="1"/>
      <protection locked="0"/>
    </xf>
    <xf numFmtId="165" fontId="31" fillId="0" borderId="18" xfId="0" applyNumberFormat="1" applyFont="1" applyBorder="1" applyProtection="1">
      <protection locked="0"/>
    </xf>
    <xf numFmtId="165" fontId="31" fillId="0" borderId="19" xfId="0" applyNumberFormat="1" applyFont="1" applyBorder="1" applyProtection="1">
      <protection locked="0"/>
    </xf>
    <xf numFmtId="166" fontId="31" fillId="0" borderId="19" xfId="0" applyNumberFormat="1" applyFont="1" applyBorder="1" applyProtection="1">
      <protection locked="0"/>
    </xf>
    <xf numFmtId="167" fontId="31" fillId="0" borderId="19" xfId="0" applyNumberFormat="1" applyFont="1" applyBorder="1" applyAlignment="1" applyProtection="1">
      <alignment vertical="center"/>
      <protection locked="0"/>
    </xf>
    <xf numFmtId="167" fontId="31" fillId="0" borderId="19" xfId="0" applyNumberFormat="1" applyFont="1" applyBorder="1" applyProtection="1">
      <protection locked="0"/>
    </xf>
    <xf numFmtId="165" fontId="31" fillId="0" borderId="25" xfId="0" applyNumberFormat="1" applyFont="1" applyBorder="1" applyProtection="1">
      <protection locked="0"/>
    </xf>
    <xf numFmtId="166" fontId="31" fillId="0" borderId="25" xfId="0" applyNumberFormat="1" applyFont="1" applyBorder="1" applyProtection="1">
      <protection locked="0"/>
    </xf>
    <xf numFmtId="164" fontId="13" fillId="0" borderId="0" xfId="1" applyNumberFormat="1" applyFont="1" applyFill="1"/>
    <xf numFmtId="167" fontId="13" fillId="0" borderId="0" xfId="0" applyNumberFormat="1" applyFont="1" applyAlignment="1">
      <alignment vertical="top" wrapText="1"/>
    </xf>
    <xf numFmtId="167" fontId="13" fillId="0" borderId="0" xfId="0" quotePrefix="1" applyNumberFormat="1" applyFont="1" applyAlignment="1">
      <alignment vertical="top" wrapText="1"/>
    </xf>
    <xf numFmtId="49" fontId="16" fillId="0" borderId="0" xfId="0" quotePrefix="1" applyNumberFormat="1" applyFont="1" applyAlignment="1">
      <alignment vertical="top"/>
    </xf>
    <xf numFmtId="166" fontId="16" fillId="25" borderId="30" xfId="1" quotePrefix="1" applyNumberFormat="1" applyFont="1" applyFill="1" applyBorder="1" applyProtection="1"/>
    <xf numFmtId="166" fontId="16" fillId="25" borderId="30" xfId="1" applyNumberFormat="1" applyFont="1" applyFill="1" applyBorder="1" applyProtection="1"/>
    <xf numFmtId="166" fontId="16" fillId="25" borderId="30" xfId="1" applyNumberFormat="1" applyFont="1" applyFill="1" applyBorder="1" applyAlignment="1" applyProtection="1">
      <alignment horizontal="left"/>
    </xf>
    <xf numFmtId="164" fontId="0" fillId="0" borderId="0" xfId="0" applyNumberFormat="1"/>
    <xf numFmtId="49" fontId="15" fillId="0" borderId="0" xfId="0" applyNumberFormat="1" applyFont="1" applyAlignment="1" applyProtection="1">
      <alignment horizontal="left" vertical="center"/>
      <protection locked="0"/>
    </xf>
    <xf numFmtId="49" fontId="15" fillId="0" borderId="0" xfId="0" quotePrefix="1" applyNumberFormat="1" applyFont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49" fontId="15" fillId="0" borderId="0" xfId="0" quotePrefix="1" applyNumberFormat="1" applyFont="1" applyAlignment="1" applyProtection="1">
      <alignment horizontal="left"/>
      <protection locked="0"/>
    </xf>
    <xf numFmtId="49" fontId="13" fillId="0" borderId="0" xfId="0" quotePrefix="1" applyNumberFormat="1" applyFont="1" applyAlignment="1" applyProtection="1">
      <alignment horizontal="left" vertical="center"/>
      <protection locked="0"/>
    </xf>
    <xf numFmtId="49" fontId="13" fillId="0" borderId="0" xfId="0" quotePrefix="1" applyNumberFormat="1" applyFont="1" applyAlignment="1" applyProtection="1">
      <alignment wrapText="1"/>
      <protection locked="0"/>
    </xf>
    <xf numFmtId="167" fontId="31" fillId="0" borderId="0" xfId="0" applyNumberFormat="1" applyFont="1" applyAlignment="1" applyProtection="1">
      <alignment vertical="center"/>
      <protection locked="0"/>
    </xf>
    <xf numFmtId="49" fontId="30" fillId="0" borderId="0" xfId="0" quotePrefix="1" applyNumberFormat="1" applyFont="1" applyAlignment="1" applyProtection="1">
      <alignment wrapText="1"/>
      <protection locked="0"/>
    </xf>
    <xf numFmtId="49" fontId="29" fillId="0" borderId="31" xfId="0" quotePrefix="1" applyNumberFormat="1" applyFont="1" applyBorder="1" applyProtection="1">
      <protection locked="0"/>
    </xf>
    <xf numFmtId="164" fontId="13" fillId="0" borderId="0" xfId="1" applyNumberFormat="1" applyFont="1" applyFill="1" applyBorder="1"/>
    <xf numFmtId="0" fontId="15" fillId="0" borderId="12" xfId="0" quotePrefix="1" applyFont="1" applyBorder="1" applyAlignment="1" applyProtection="1">
      <alignment horizontal="left" vertical="top"/>
      <protection locked="0"/>
    </xf>
    <xf numFmtId="49" fontId="15" fillId="0" borderId="12" xfId="0" quotePrefix="1" applyNumberFormat="1" applyFont="1" applyBorder="1" applyAlignment="1" applyProtection="1">
      <alignment horizontal="left" vertical="top"/>
      <protection locked="0"/>
    </xf>
    <xf numFmtId="49" fontId="15" fillId="0" borderId="12" xfId="0" applyNumberFormat="1" applyFont="1" applyBorder="1" applyAlignment="1" applyProtection="1">
      <alignment horizontal="left" vertical="top"/>
      <protection locked="0"/>
    </xf>
    <xf numFmtId="0" fontId="0" fillId="0" borderId="12" xfId="0" applyBorder="1"/>
    <xf numFmtId="0" fontId="15" fillId="0" borderId="12" xfId="0" quotePrefix="1" applyFont="1" applyBorder="1" applyAlignment="1" applyProtection="1">
      <alignment horizontal="left"/>
      <protection locked="0"/>
    </xf>
    <xf numFmtId="49" fontId="15" fillId="0" borderId="20" xfId="0" applyNumberFormat="1" applyFont="1" applyBorder="1" applyAlignment="1" applyProtection="1">
      <alignment horizontal="left" vertical="top"/>
      <protection locked="0"/>
    </xf>
    <xf numFmtId="0" fontId="15" fillId="0" borderId="20" xfId="0" quotePrefix="1" applyFont="1" applyBorder="1" applyAlignment="1" applyProtection="1">
      <alignment horizontal="left" vertical="top"/>
      <protection locked="0"/>
    </xf>
    <xf numFmtId="49" fontId="15" fillId="0" borderId="20" xfId="0" quotePrefix="1" applyNumberFormat="1" applyFont="1" applyBorder="1" applyAlignment="1" applyProtection="1">
      <alignment horizontal="left" vertical="top"/>
      <protection locked="0"/>
    </xf>
    <xf numFmtId="0" fontId="15" fillId="0" borderId="25" xfId="0" quotePrefix="1" applyFont="1" applyBorder="1" applyAlignment="1" applyProtection="1">
      <alignment horizontal="left" vertical="top"/>
      <protection locked="0"/>
    </xf>
    <xf numFmtId="49" fontId="15" fillId="0" borderId="0" xfId="0" applyNumberFormat="1" applyFont="1" applyAlignment="1" applyProtection="1">
      <alignment horizontal="left" vertical="top"/>
      <protection locked="0"/>
    </xf>
    <xf numFmtId="49" fontId="16" fillId="25" borderId="30" xfId="0" applyNumberFormat="1" applyFont="1" applyFill="1" applyBorder="1"/>
    <xf numFmtId="166" fontId="17" fillId="25" borderId="30" xfId="0" applyNumberFormat="1" applyFont="1" applyFill="1" applyBorder="1" applyAlignment="1">
      <alignment horizontal="left"/>
    </xf>
    <xf numFmtId="165" fontId="17" fillId="25" borderId="30" xfId="0" applyNumberFormat="1" applyFont="1" applyFill="1" applyBorder="1" applyAlignment="1">
      <alignment horizontal="left"/>
    </xf>
    <xf numFmtId="49" fontId="16" fillId="25" borderId="30" xfId="0" applyNumberFormat="1" applyFont="1" applyFill="1" applyBorder="1" applyAlignment="1">
      <alignment horizontal="left"/>
    </xf>
    <xf numFmtId="166" fontId="23" fillId="25" borderId="30" xfId="0" applyNumberFormat="1" applyFont="1" applyFill="1" applyBorder="1" applyAlignment="1">
      <alignment horizontal="left"/>
    </xf>
    <xf numFmtId="165" fontId="23" fillId="25" borderId="30" xfId="0" applyNumberFormat="1" applyFont="1" applyFill="1" applyBorder="1" applyAlignment="1">
      <alignment horizontal="left"/>
    </xf>
    <xf numFmtId="166" fontId="16" fillId="24" borderId="22" xfId="0" applyNumberFormat="1" applyFont="1" applyFill="1" applyBorder="1"/>
    <xf numFmtId="167" fontId="16" fillId="24" borderId="22" xfId="0" applyNumberFormat="1" applyFont="1" applyFill="1" applyBorder="1" applyAlignment="1">
      <alignment vertical="center"/>
    </xf>
    <xf numFmtId="166" fontId="16" fillId="24" borderId="19" xfId="0" applyNumberFormat="1" applyFont="1" applyFill="1" applyBorder="1"/>
    <xf numFmtId="167" fontId="16" fillId="24" borderId="19" xfId="0" applyNumberFormat="1" applyFont="1" applyFill="1" applyBorder="1" applyAlignment="1">
      <alignment vertical="center"/>
    </xf>
    <xf numFmtId="165" fontId="16" fillId="24" borderId="19" xfId="0" applyNumberFormat="1" applyFont="1" applyFill="1" applyBorder="1"/>
    <xf numFmtId="167" fontId="16" fillId="24" borderId="22" xfId="0" applyNumberFormat="1" applyFont="1" applyFill="1" applyBorder="1"/>
    <xf numFmtId="167" fontId="16" fillId="24" borderId="19" xfId="0" applyNumberFormat="1" applyFont="1" applyFill="1" applyBorder="1"/>
    <xf numFmtId="166" fontId="17" fillId="25" borderId="30" xfId="0" applyNumberFormat="1" applyFont="1" applyFill="1" applyBorder="1" applyAlignment="1">
      <alignment horizontal="left" wrapText="1"/>
    </xf>
    <xf numFmtId="166" fontId="23" fillId="25" borderId="30" xfId="0" applyNumberFormat="1" applyFont="1" applyFill="1" applyBorder="1" applyAlignment="1">
      <alignment horizontal="left" wrapText="1"/>
    </xf>
    <xf numFmtId="166" fontId="16" fillId="24" borderId="25" xfId="0" applyNumberFormat="1" applyFont="1" applyFill="1" applyBorder="1"/>
    <xf numFmtId="165" fontId="16" fillId="24" borderId="25" xfId="0" applyNumberFormat="1" applyFont="1" applyFill="1" applyBorder="1"/>
    <xf numFmtId="164" fontId="0" fillId="0" borderId="0" xfId="1" applyNumberFormat="1" applyFont="1" applyProtection="1"/>
    <xf numFmtId="164" fontId="5" fillId="3" borderId="2" xfId="1" applyNumberFormat="1" applyFont="1" applyFill="1" applyBorder="1" applyAlignment="1" applyProtection="1">
      <alignment vertical="center"/>
    </xf>
    <xf numFmtId="164" fontId="7" fillId="0" borderId="0" xfId="1" applyNumberFormat="1" applyFont="1" applyAlignment="1" applyProtection="1">
      <alignment horizontal="center" vertical="center"/>
    </xf>
    <xf numFmtId="49" fontId="10" fillId="6" borderId="0" xfId="0" quotePrefix="1" applyNumberFormat="1" applyFont="1" applyFill="1" applyAlignment="1">
      <alignment horizontal="center" vertical="center" wrapText="1"/>
    </xf>
    <xf numFmtId="49" fontId="11" fillId="6" borderId="0" xfId="0" quotePrefix="1" applyNumberFormat="1" applyFont="1" applyFill="1" applyAlignment="1">
      <alignment horizontal="center" vertical="center" wrapText="1"/>
    </xf>
    <xf numFmtId="164" fontId="10" fillId="7" borderId="9" xfId="1" quotePrefix="1" applyNumberFormat="1" applyFont="1" applyFill="1" applyBorder="1" applyAlignment="1" applyProtection="1">
      <alignment horizontal="center" vertical="center" wrapText="1"/>
    </xf>
    <xf numFmtId="166" fontId="17" fillId="9" borderId="0" xfId="0" applyNumberFormat="1" applyFont="1" applyFill="1" applyAlignment="1">
      <alignment horizontal="left"/>
    </xf>
    <xf numFmtId="166" fontId="16" fillId="24" borderId="13" xfId="0" applyNumberFormat="1" applyFont="1" applyFill="1" applyBorder="1"/>
    <xf numFmtId="166" fontId="16" fillId="24" borderId="0" xfId="0" applyNumberFormat="1" applyFont="1" applyFill="1"/>
    <xf numFmtId="164" fontId="16" fillId="24" borderId="0" xfId="1" applyNumberFormat="1" applyFont="1" applyFill="1" applyProtection="1"/>
    <xf numFmtId="164" fontId="16" fillId="24" borderId="0" xfId="1" applyNumberFormat="1" applyFont="1" applyFill="1" applyBorder="1" applyProtection="1"/>
    <xf numFmtId="165" fontId="17" fillId="9" borderId="0" xfId="0" applyNumberFormat="1" applyFont="1" applyFill="1" applyAlignment="1">
      <alignment horizontal="left"/>
    </xf>
    <xf numFmtId="165" fontId="16" fillId="24" borderId="0" xfId="0" applyNumberFormat="1" applyFont="1" applyFill="1"/>
    <xf numFmtId="49" fontId="16" fillId="25" borderId="30" xfId="0" quotePrefix="1" applyNumberFormat="1" applyFont="1" applyFill="1" applyBorder="1"/>
    <xf numFmtId="167" fontId="16" fillId="24" borderId="13" xfId="0" applyNumberFormat="1" applyFont="1" applyFill="1" applyBorder="1" applyAlignment="1">
      <alignment vertical="center"/>
    </xf>
    <xf numFmtId="167" fontId="16" fillId="24" borderId="0" xfId="0" applyNumberFormat="1" applyFont="1" applyFill="1" applyAlignment="1">
      <alignment vertical="center"/>
    </xf>
    <xf numFmtId="167" fontId="16" fillId="24" borderId="13" xfId="0" applyNumberFormat="1" applyFont="1" applyFill="1" applyBorder="1"/>
    <xf numFmtId="167" fontId="16" fillId="24" borderId="0" xfId="0" applyNumberFormat="1" applyFont="1" applyFill="1"/>
    <xf numFmtId="49" fontId="16" fillId="25" borderId="30" xfId="1" quotePrefix="1" applyNumberFormat="1" applyFont="1" applyFill="1" applyBorder="1" applyProtection="1"/>
    <xf numFmtId="166" fontId="16" fillId="24" borderId="13" xfId="0" applyNumberFormat="1" applyFont="1" applyFill="1" applyBorder="1" applyAlignment="1">
      <alignment wrapText="1"/>
    </xf>
    <xf numFmtId="165" fontId="16" fillId="24" borderId="0" xfId="0" applyNumberFormat="1" applyFont="1" applyFill="1" applyAlignment="1">
      <alignment wrapText="1"/>
    </xf>
    <xf numFmtId="49" fontId="16" fillId="25" borderId="35" xfId="0" applyNumberFormat="1" applyFont="1" applyFill="1" applyBorder="1"/>
    <xf numFmtId="49" fontId="32" fillId="5" borderId="7" xfId="0" quotePrefix="1" applyNumberFormat="1" applyFont="1" applyFill="1" applyBorder="1" applyAlignment="1">
      <alignment horizontal="center" vertical="center" wrapText="1"/>
    </xf>
    <xf numFmtId="49" fontId="32" fillId="5" borderId="4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/>
    </xf>
    <xf numFmtId="49" fontId="10" fillId="6" borderId="6" xfId="0" applyNumberFormat="1" applyFont="1" applyFill="1" applyBorder="1" applyAlignment="1">
      <alignment vertical="center" wrapText="1"/>
    </xf>
    <xf numFmtId="165" fontId="13" fillId="0" borderId="0" xfId="0" applyNumberFormat="1" applyFont="1" applyAlignment="1">
      <alignment wrapText="1"/>
    </xf>
    <xf numFmtId="49" fontId="15" fillId="0" borderId="0" xfId="0" applyNumberFormat="1" applyFont="1" applyAlignment="1" applyProtection="1">
      <alignment wrapText="1"/>
      <protection locked="0"/>
    </xf>
    <xf numFmtId="49" fontId="16" fillId="0" borderId="0" xfId="0" applyNumberFormat="1" applyFont="1" applyAlignment="1" applyProtection="1">
      <alignment wrapText="1"/>
      <protection locked="0"/>
    </xf>
    <xf numFmtId="0" fontId="13" fillId="0" borderId="0" xfId="0" applyFont="1" applyAlignment="1" applyProtection="1">
      <alignment wrapText="1"/>
      <protection locked="0"/>
    </xf>
    <xf numFmtId="49" fontId="13" fillId="0" borderId="0" xfId="0" applyNumberFormat="1" applyFont="1" applyAlignment="1" applyProtection="1">
      <alignment wrapText="1"/>
      <protection locked="0"/>
    </xf>
    <xf numFmtId="167" fontId="31" fillId="0" borderId="0" xfId="0" applyNumberFormat="1" applyFont="1" applyAlignment="1" applyProtection="1">
      <alignment wrapText="1"/>
      <protection locked="0"/>
    </xf>
    <xf numFmtId="0" fontId="15" fillId="0" borderId="0" xfId="0" quotePrefix="1" applyFont="1" applyAlignment="1" applyProtection="1">
      <alignment horizontal="left" vertical="top"/>
      <protection locked="0"/>
    </xf>
    <xf numFmtId="49" fontId="13" fillId="0" borderId="31" xfId="0" applyNumberFormat="1" applyFont="1" applyBorder="1" applyProtection="1">
      <protection locked="0"/>
    </xf>
    <xf numFmtId="166" fontId="17" fillId="25" borderId="35" xfId="0" applyNumberFormat="1" applyFont="1" applyFill="1" applyBorder="1" applyAlignment="1">
      <alignment horizontal="left"/>
    </xf>
    <xf numFmtId="164" fontId="16" fillId="25" borderId="35" xfId="1" applyNumberFormat="1" applyFont="1" applyFill="1" applyBorder="1" applyProtection="1"/>
    <xf numFmtId="167" fontId="31" fillId="0" borderId="0" xfId="0" applyNumberFormat="1" applyFont="1" applyAlignment="1">
      <alignment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left" indent="1"/>
    </xf>
    <xf numFmtId="165" fontId="13" fillId="0" borderId="23" xfId="0" applyNumberFormat="1" applyFont="1" applyBorder="1"/>
    <xf numFmtId="49" fontId="15" fillId="0" borderId="27" xfId="0" applyNumberFormat="1" applyFont="1" applyBorder="1" applyProtection="1">
      <protection locked="0"/>
    </xf>
    <xf numFmtId="49" fontId="15" fillId="0" borderId="26" xfId="0" applyNumberFormat="1" applyFont="1" applyBorder="1" applyProtection="1">
      <protection locked="0"/>
    </xf>
    <xf numFmtId="49" fontId="13" fillId="0" borderId="26" xfId="0" applyNumberFormat="1" applyFont="1" applyBorder="1" applyProtection="1">
      <protection locked="0"/>
    </xf>
    <xf numFmtId="165" fontId="13" fillId="0" borderId="34" xfId="0" quotePrefix="1" applyNumberFormat="1" applyFont="1" applyBorder="1"/>
    <xf numFmtId="49" fontId="15" fillId="0" borderId="17" xfId="0" applyNumberFormat="1" applyFont="1" applyBorder="1" applyProtection="1">
      <protection locked="0"/>
    </xf>
    <xf numFmtId="0" fontId="15" fillId="0" borderId="26" xfId="0" applyFont="1" applyBorder="1" applyProtection="1">
      <protection locked="0"/>
    </xf>
    <xf numFmtId="49" fontId="15" fillId="0" borderId="0" xfId="0" applyNumberFormat="1" applyFont="1" applyAlignment="1" applyProtection="1">
      <alignment horizontal="left"/>
      <protection locked="0"/>
    </xf>
    <xf numFmtId="49" fontId="15" fillId="0" borderId="17" xfId="0" applyNumberFormat="1" applyFont="1" applyBorder="1" applyAlignment="1" applyProtection="1">
      <alignment horizontal="left" vertical="top"/>
      <protection locked="0"/>
    </xf>
    <xf numFmtId="49" fontId="16" fillId="0" borderId="17" xfId="0" applyNumberFormat="1" applyFont="1" applyBorder="1" applyProtection="1">
      <protection locked="0"/>
    </xf>
    <xf numFmtId="0" fontId="13" fillId="0" borderId="26" xfId="0" applyFont="1" applyBorder="1" applyProtection="1">
      <protection locked="0"/>
    </xf>
    <xf numFmtId="49" fontId="28" fillId="0" borderId="0" xfId="0" applyNumberFormat="1" applyFont="1" applyProtection="1">
      <protection locked="0"/>
    </xf>
    <xf numFmtId="49" fontId="13" fillId="0" borderId="17" xfId="0" applyNumberFormat="1" applyFont="1" applyBorder="1" applyProtection="1">
      <protection locked="0"/>
    </xf>
    <xf numFmtId="49" fontId="29" fillId="0" borderId="0" xfId="0" quotePrefix="1" applyNumberFormat="1" applyFont="1" applyProtection="1">
      <protection locked="0"/>
    </xf>
    <xf numFmtId="49" fontId="13" fillId="0" borderId="32" xfId="0" applyNumberFormat="1" applyFont="1" applyBorder="1" applyProtection="1">
      <protection locked="0"/>
    </xf>
    <xf numFmtId="166" fontId="17" fillId="25" borderId="33" xfId="0" applyNumberFormat="1" applyFont="1" applyFill="1" applyBorder="1" applyAlignment="1">
      <alignment horizontal="left"/>
    </xf>
    <xf numFmtId="166" fontId="16" fillId="25" borderId="35" xfId="1" applyNumberFormat="1" applyFont="1" applyFill="1" applyBorder="1" applyProtection="1"/>
    <xf numFmtId="167" fontId="16" fillId="24" borderId="17" xfId="0" applyNumberFormat="1" applyFont="1" applyFill="1" applyBorder="1"/>
    <xf numFmtId="167" fontId="31" fillId="0" borderId="17" xfId="0" applyNumberFormat="1" applyFont="1" applyBorder="1" applyProtection="1">
      <protection locked="0"/>
    </xf>
    <xf numFmtId="165" fontId="31" fillId="0" borderId="18" xfId="0" applyNumberFormat="1" applyFont="1" applyBorder="1" applyAlignment="1" applyProtection="1">
      <alignment wrapText="1"/>
      <protection locked="0"/>
    </xf>
    <xf numFmtId="164" fontId="16" fillId="2" borderId="0" xfId="1" applyNumberFormat="1" applyFont="1" applyFill="1" applyProtection="1"/>
    <xf numFmtId="164" fontId="16" fillId="2" borderId="0" xfId="1" applyNumberFormat="1" applyFont="1" applyFill="1" applyBorder="1" applyProtection="1"/>
    <xf numFmtId="49" fontId="15" fillId="2" borderId="0" xfId="0" quotePrefix="1" applyNumberFormat="1" applyFont="1" applyFill="1" applyProtection="1">
      <protection locked="0"/>
    </xf>
    <xf numFmtId="49" fontId="35" fillId="26" borderId="36" xfId="0" applyNumberFormat="1" applyFont="1" applyFill="1" applyBorder="1" applyAlignment="1">
      <alignment horizontal="left"/>
    </xf>
    <xf numFmtId="0" fontId="36" fillId="0" borderId="0" xfId="0" applyFont="1"/>
    <xf numFmtId="0" fontId="37" fillId="0" borderId="0" xfId="0" applyFont="1"/>
    <xf numFmtId="0" fontId="38" fillId="27" borderId="0" xfId="0" applyFont="1" applyFill="1"/>
    <xf numFmtId="168" fontId="0" fillId="0" borderId="0" xfId="0" applyNumberFormat="1"/>
    <xf numFmtId="0" fontId="39" fillId="0" borderId="0" xfId="0" applyFont="1"/>
    <xf numFmtId="0" fontId="40" fillId="0" borderId="0" xfId="0" applyFont="1"/>
    <xf numFmtId="0" fontId="15" fillId="2" borderId="0" xfId="0" quotePrefix="1" applyFont="1" applyFill="1" applyProtection="1">
      <protection locked="0"/>
    </xf>
    <xf numFmtId="49" fontId="15" fillId="2" borderId="12" xfId="0" applyNumberFormat="1" applyFont="1" applyFill="1" applyBorder="1" applyAlignment="1" applyProtection="1">
      <alignment horizontal="left" vertical="top"/>
      <protection locked="0"/>
    </xf>
    <xf numFmtId="0" fontId="15" fillId="2" borderId="0" xfId="0" applyFont="1" applyFill="1" applyProtection="1">
      <protection locked="0"/>
    </xf>
    <xf numFmtId="49" fontId="13" fillId="2" borderId="0" xfId="0" applyNumberFormat="1" applyFont="1" applyFill="1" applyProtection="1">
      <protection locked="0"/>
    </xf>
    <xf numFmtId="166" fontId="23" fillId="2" borderId="30" xfId="0" applyNumberFormat="1" applyFont="1" applyFill="1" applyBorder="1" applyAlignment="1">
      <alignment horizontal="left"/>
    </xf>
    <xf numFmtId="167" fontId="16" fillId="2" borderId="13" xfId="0" applyNumberFormat="1" applyFont="1" applyFill="1" applyBorder="1"/>
    <xf numFmtId="167" fontId="16" fillId="2" borderId="0" xfId="0" applyNumberFormat="1" applyFont="1" applyFill="1"/>
    <xf numFmtId="167" fontId="31" fillId="2" borderId="0" xfId="0" applyNumberFormat="1" applyFont="1" applyFill="1" applyProtection="1">
      <protection locked="0"/>
    </xf>
    <xf numFmtId="165" fontId="31" fillId="2" borderId="0" xfId="0" applyNumberFormat="1" applyFont="1" applyFill="1" applyProtection="1">
      <protection locked="0"/>
    </xf>
    <xf numFmtId="167" fontId="31" fillId="2" borderId="16" xfId="0" applyNumberFormat="1" applyFont="1" applyFill="1" applyBorder="1" applyAlignment="1">
      <alignment wrapText="1"/>
    </xf>
    <xf numFmtId="167" fontId="13" fillId="2" borderId="0" xfId="0" applyNumberFormat="1" applyFont="1" applyFill="1" applyAlignment="1">
      <alignment vertical="top" wrapText="1"/>
    </xf>
    <xf numFmtId="0" fontId="0" fillId="2" borderId="0" xfId="0" applyFill="1"/>
    <xf numFmtId="166" fontId="31" fillId="0" borderId="0" xfId="0" applyNumberFormat="1" applyFont="1"/>
    <xf numFmtId="49" fontId="15" fillId="0" borderId="0" xfId="0" quotePrefix="1" applyNumberFormat="1" applyFont="1" applyAlignment="1" applyProtection="1">
      <alignment vertical="top" wrapText="1"/>
      <protection locked="0"/>
    </xf>
    <xf numFmtId="167" fontId="31" fillId="5" borderId="16" xfId="0" applyNumberFormat="1" applyFont="1" applyFill="1" applyBorder="1" applyAlignment="1">
      <alignment wrapText="1"/>
    </xf>
    <xf numFmtId="49" fontId="15" fillId="28" borderId="0" xfId="0" quotePrefix="1" applyNumberFormat="1" applyFont="1" applyFill="1" applyProtection="1">
      <protection locked="0"/>
    </xf>
    <xf numFmtId="49" fontId="13" fillId="28" borderId="0" xfId="0" applyNumberFormat="1" applyFont="1" applyFill="1" applyProtection="1">
      <protection locked="0"/>
    </xf>
    <xf numFmtId="49" fontId="13" fillId="28" borderId="0" xfId="0" applyNumberFormat="1" applyFont="1" applyFill="1" applyAlignment="1" applyProtection="1">
      <alignment horizontal="left" vertical="center"/>
      <protection locked="0"/>
    </xf>
    <xf numFmtId="167" fontId="31" fillId="5" borderId="0" xfId="0" applyNumberFormat="1" applyFont="1" applyFill="1" applyAlignment="1" applyProtection="1">
      <alignment vertical="center"/>
      <protection locked="0"/>
    </xf>
    <xf numFmtId="166" fontId="16" fillId="25" borderId="38" xfId="1" applyNumberFormat="1" applyFont="1" applyFill="1" applyBorder="1" applyProtection="1"/>
    <xf numFmtId="164" fontId="2" fillId="0" borderId="0" xfId="1" applyNumberFormat="1" applyFont="1" applyFill="1" applyProtection="1">
      <protection locked="0"/>
    </xf>
    <xf numFmtId="0" fontId="15" fillId="0" borderId="0" xfId="0" quotePrefix="1" applyFont="1"/>
    <xf numFmtId="49" fontId="15" fillId="0" borderId="0" xfId="0" quotePrefix="1" applyNumberFormat="1" applyFont="1" applyAlignment="1">
      <alignment horizontal="left" vertical="center"/>
    </xf>
    <xf numFmtId="49" fontId="15" fillId="0" borderId="0" xfId="0" quotePrefix="1" applyNumberFormat="1" applyFont="1"/>
    <xf numFmtId="49" fontId="15" fillId="0" borderId="0" xfId="0" applyNumberFormat="1" applyFont="1"/>
    <xf numFmtId="0" fontId="15" fillId="0" borderId="0" xfId="0" quotePrefix="1" applyFont="1" applyAlignment="1">
      <alignment wrapText="1"/>
    </xf>
    <xf numFmtId="0" fontId="15" fillId="0" borderId="19" xfId="0" quotePrefix="1" applyFont="1" applyBorder="1"/>
    <xf numFmtId="49" fontId="15" fillId="0" borderId="19" xfId="0" quotePrefix="1" applyNumberFormat="1" applyFont="1" applyBorder="1" applyAlignment="1">
      <alignment horizontal="left" vertical="center"/>
    </xf>
    <xf numFmtId="49" fontId="15" fillId="0" borderId="19" xfId="0" applyNumberFormat="1" applyFont="1" applyBorder="1"/>
    <xf numFmtId="0" fontId="15" fillId="0" borderId="25" xfId="0" quotePrefix="1" applyFont="1" applyBorder="1"/>
    <xf numFmtId="49" fontId="15" fillId="0" borderId="17" xfId="0" applyNumberFormat="1" applyFont="1" applyBorder="1"/>
    <xf numFmtId="0" fontId="15" fillId="0" borderId="26" xfId="0" quotePrefix="1" applyFont="1" applyBorder="1"/>
    <xf numFmtId="0" fontId="13" fillId="0" borderId="0" xfId="0" quotePrefix="1" applyFont="1" applyAlignment="1" applyProtection="1">
      <alignment wrapText="1"/>
      <protection locked="0"/>
    </xf>
    <xf numFmtId="0" fontId="15" fillId="0" borderId="0" xfId="0" applyFont="1" applyAlignment="1" applyProtection="1">
      <alignment wrapText="1"/>
      <protection locked="0"/>
    </xf>
    <xf numFmtId="49" fontId="15" fillId="0" borderId="0" xfId="0" applyNumberFormat="1" applyFont="1" applyAlignment="1">
      <alignment wrapText="1"/>
    </xf>
    <xf numFmtId="0" fontId="0" fillId="0" borderId="31" xfId="0" applyBorder="1" applyProtection="1">
      <protection locked="0"/>
    </xf>
    <xf numFmtId="0" fontId="42" fillId="0" borderId="0" xfId="4" applyFont="1" applyBorder="1" applyAlignment="1" applyProtection="1">
      <alignment wrapText="1"/>
      <protection locked="0"/>
    </xf>
    <xf numFmtId="49" fontId="15" fillId="0" borderId="36" xfId="0" quotePrefix="1" applyNumberFormat="1" applyFont="1" applyBorder="1" applyProtection="1">
      <protection locked="0"/>
    </xf>
    <xf numFmtId="166" fontId="23" fillId="25" borderId="35" xfId="0" applyNumberFormat="1" applyFont="1" applyFill="1" applyBorder="1" applyAlignment="1">
      <alignment horizontal="left"/>
    </xf>
    <xf numFmtId="166" fontId="23" fillId="25" borderId="38" xfId="0" applyNumberFormat="1" applyFont="1" applyFill="1" applyBorder="1" applyAlignment="1">
      <alignment horizontal="left"/>
    </xf>
    <xf numFmtId="166" fontId="16" fillId="24" borderId="17" xfId="0" applyNumberFormat="1" applyFont="1" applyFill="1" applyBorder="1"/>
    <xf numFmtId="164" fontId="16" fillId="24" borderId="17" xfId="1" applyNumberFormat="1" applyFont="1" applyFill="1" applyBorder="1" applyProtection="1"/>
    <xf numFmtId="3" fontId="0" fillId="0" borderId="0" xfId="0" applyNumberFormat="1" applyProtection="1">
      <protection locked="0"/>
    </xf>
    <xf numFmtId="165" fontId="31" fillId="0" borderId="37" xfId="0" applyNumberFormat="1" applyFont="1" applyBorder="1" applyProtection="1">
      <protection locked="0"/>
    </xf>
    <xf numFmtId="0" fontId="0" fillId="0" borderId="19" xfId="0" applyBorder="1"/>
    <xf numFmtId="49" fontId="15" fillId="0" borderId="23" xfId="0" quotePrefix="1" applyNumberFormat="1" applyFont="1" applyBorder="1" applyProtection="1">
      <protection locked="0"/>
    </xf>
    <xf numFmtId="165" fontId="15" fillId="0" borderId="0" xfId="0" quotePrefix="1" applyNumberFormat="1" applyFont="1" applyProtection="1">
      <protection locked="0"/>
    </xf>
    <xf numFmtId="165" fontId="15" fillId="0" borderId="19" xfId="0" quotePrefix="1" applyNumberFormat="1" applyFont="1" applyBorder="1" applyProtection="1">
      <protection locked="0"/>
    </xf>
    <xf numFmtId="0" fontId="2" fillId="29" borderId="39" xfId="0" applyFont="1" applyFill="1" applyBorder="1"/>
    <xf numFmtId="49" fontId="10" fillId="6" borderId="8" xfId="0" quotePrefix="1" applyNumberFormat="1" applyFont="1" applyFill="1" applyBorder="1" applyAlignment="1">
      <alignment horizontal="center" vertical="center" wrapText="1"/>
    </xf>
    <xf numFmtId="49" fontId="15" fillId="0" borderId="27" xfId="0" quotePrefix="1" applyNumberFormat="1" applyFont="1" applyBorder="1" applyProtection="1">
      <protection locked="0"/>
    </xf>
    <xf numFmtId="49" fontId="15" fillId="0" borderId="17" xfId="0" quotePrefix="1" applyNumberFormat="1" applyFont="1" applyBorder="1" applyProtection="1">
      <protection locked="0"/>
    </xf>
    <xf numFmtId="0" fontId="15" fillId="0" borderId="17" xfId="0" quotePrefix="1" applyFont="1" applyBorder="1"/>
    <xf numFmtId="49" fontId="15" fillId="0" borderId="12" xfId="0" applyNumberFormat="1" applyFont="1" applyBorder="1" applyAlignment="1" applyProtection="1">
      <alignment horizontal="left"/>
      <protection locked="0"/>
    </xf>
    <xf numFmtId="0" fontId="15" fillId="0" borderId="17" xfId="0" quotePrefix="1" applyFont="1" applyBorder="1" applyAlignment="1" applyProtection="1">
      <alignment horizontal="left" vertical="top"/>
      <protection locked="0"/>
    </xf>
    <xf numFmtId="49" fontId="13" fillId="0" borderId="26" xfId="0" quotePrefix="1" applyNumberFormat="1" applyFont="1" applyBorder="1" applyProtection="1">
      <protection locked="0"/>
    </xf>
    <xf numFmtId="49" fontId="15" fillId="0" borderId="32" xfId="0" quotePrefix="1" applyNumberFormat="1" applyFont="1" applyBorder="1" applyProtection="1">
      <protection locked="0"/>
    </xf>
    <xf numFmtId="165" fontId="31" fillId="0" borderId="17" xfId="0" applyNumberFormat="1" applyFont="1" applyBorder="1" applyProtection="1">
      <protection locked="0"/>
    </xf>
    <xf numFmtId="167" fontId="31" fillId="0" borderId="37" xfId="0" applyNumberFormat="1" applyFont="1" applyBorder="1" applyAlignment="1" applyProtection="1">
      <alignment vertical="center"/>
      <protection locked="0"/>
    </xf>
    <xf numFmtId="167" fontId="13" fillId="0" borderId="23" xfId="0" applyNumberFormat="1" applyFont="1" applyBorder="1"/>
    <xf numFmtId="0" fontId="13" fillId="0" borderId="26" xfId="0" quotePrefix="1" applyFont="1" applyBorder="1" applyProtection="1">
      <protection locked="0"/>
    </xf>
    <xf numFmtId="165" fontId="17" fillId="25" borderId="35" xfId="0" applyNumberFormat="1" applyFont="1" applyFill="1" applyBorder="1" applyAlignment="1">
      <alignment horizontal="left"/>
    </xf>
    <xf numFmtId="167" fontId="16" fillId="24" borderId="25" xfId="0" applyNumberFormat="1" applyFont="1" applyFill="1" applyBorder="1"/>
    <xf numFmtId="49" fontId="15" fillId="2" borderId="19" xfId="0" quotePrefix="1" applyNumberFormat="1" applyFont="1" applyFill="1" applyBorder="1" applyProtection="1">
      <protection locked="0"/>
    </xf>
    <xf numFmtId="49" fontId="15" fillId="2" borderId="26" xfId="0" quotePrefix="1" applyNumberFormat="1" applyFont="1" applyFill="1" applyBorder="1" applyProtection="1">
      <protection locked="0"/>
    </xf>
    <xf numFmtId="49" fontId="15" fillId="2" borderId="25" xfId="0" quotePrefix="1" applyNumberFormat="1" applyFont="1" applyFill="1" applyBorder="1" applyProtection="1">
      <protection locked="0"/>
    </xf>
    <xf numFmtId="165" fontId="16" fillId="24" borderId="17" xfId="0" applyNumberFormat="1" applyFont="1" applyFill="1" applyBorder="1"/>
    <xf numFmtId="167" fontId="0" fillId="0" borderId="0" xfId="0" applyNumberFormat="1"/>
    <xf numFmtId="164" fontId="2" fillId="29" borderId="39" xfId="0" applyNumberFormat="1" applyFont="1" applyFill="1" applyBorder="1"/>
    <xf numFmtId="165" fontId="13" fillId="21" borderId="0" xfId="0" quotePrefix="1" applyNumberFormat="1" applyFont="1" applyFill="1"/>
    <xf numFmtId="165" fontId="31" fillId="21" borderId="0" xfId="0" applyNumberFormat="1" applyFont="1" applyFill="1" applyProtection="1">
      <protection locked="0"/>
    </xf>
    <xf numFmtId="165" fontId="15" fillId="2" borderId="0" xfId="0" quotePrefix="1" applyNumberFormat="1" applyFont="1" applyFill="1" applyProtection="1">
      <protection locked="0"/>
    </xf>
    <xf numFmtId="49" fontId="13" fillId="0" borderId="19" xfId="0" applyNumberFormat="1" applyFont="1" applyBorder="1" applyAlignment="1" applyProtection="1">
      <alignment wrapText="1"/>
      <protection locked="0"/>
    </xf>
    <xf numFmtId="49" fontId="15" fillId="0" borderId="19" xfId="0" applyNumberFormat="1" applyFont="1" applyBorder="1" applyAlignment="1" applyProtection="1">
      <alignment wrapText="1"/>
      <protection locked="0"/>
    </xf>
    <xf numFmtId="0" fontId="15" fillId="0" borderId="19" xfId="0" applyFont="1" applyBorder="1" applyAlignment="1" applyProtection="1">
      <alignment wrapText="1"/>
      <protection locked="0"/>
    </xf>
    <xf numFmtId="0" fontId="13" fillId="0" borderId="19" xfId="0" applyFont="1" applyBorder="1" applyAlignment="1" applyProtection="1">
      <alignment wrapText="1"/>
      <protection locked="0"/>
    </xf>
    <xf numFmtId="0" fontId="0" fillId="3" borderId="0" xfId="0" applyFill="1"/>
    <xf numFmtId="49" fontId="15" fillId="2" borderId="23" xfId="0" quotePrefix="1" applyNumberFormat="1" applyFont="1" applyFill="1" applyBorder="1" applyProtection="1">
      <protection locked="0"/>
    </xf>
    <xf numFmtId="49" fontId="15" fillId="2" borderId="0" xfId="0" applyNumberFormat="1" applyFont="1" applyFill="1" applyAlignment="1" applyProtection="1">
      <alignment horizontal="left" vertical="top"/>
      <protection locked="0"/>
    </xf>
    <xf numFmtId="49" fontId="13" fillId="0" borderId="36" xfId="0" quotePrefix="1" applyNumberFormat="1" applyFont="1" applyBorder="1" applyProtection="1">
      <protection locked="0"/>
    </xf>
    <xf numFmtId="166" fontId="23" fillId="2" borderId="38" xfId="0" applyNumberFormat="1" applyFont="1" applyFill="1" applyBorder="1" applyAlignment="1">
      <alignment horizontal="left"/>
    </xf>
    <xf numFmtId="167" fontId="31" fillId="2" borderId="0" xfId="0" applyNumberFormat="1" applyFont="1" applyFill="1" applyAlignment="1">
      <alignment wrapText="1"/>
    </xf>
    <xf numFmtId="165" fontId="15" fillId="0" borderId="23" xfId="0" quotePrefix="1" applyNumberFormat="1" applyFont="1" applyBorder="1" applyProtection="1">
      <protection locked="0"/>
    </xf>
    <xf numFmtId="165" fontId="13" fillId="0" borderId="23" xfId="0" applyNumberFormat="1" applyFont="1" applyBorder="1" applyAlignment="1">
      <alignment wrapText="1"/>
    </xf>
    <xf numFmtId="49" fontId="15" fillId="0" borderId="25" xfId="0" applyNumberFormat="1" applyFont="1" applyBorder="1" applyAlignment="1" applyProtection="1">
      <alignment wrapText="1"/>
      <protection locked="0"/>
    </xf>
    <xf numFmtId="49" fontId="15" fillId="0" borderId="24" xfId="0" applyNumberFormat="1" applyFont="1" applyBorder="1" applyAlignment="1" applyProtection="1">
      <alignment wrapText="1"/>
      <protection locked="0"/>
    </xf>
    <xf numFmtId="49" fontId="15" fillId="0" borderId="26" xfId="0" applyNumberFormat="1" applyFont="1" applyBorder="1"/>
    <xf numFmtId="49" fontId="15" fillId="0" borderId="25" xfId="0" applyNumberFormat="1" applyFont="1" applyBorder="1" applyAlignment="1">
      <alignment wrapText="1"/>
    </xf>
    <xf numFmtId="49" fontId="15" fillId="0" borderId="25" xfId="0" applyNumberFormat="1" applyFont="1" applyBorder="1" applyAlignment="1" applyProtection="1">
      <alignment horizontal="left"/>
      <protection locked="0"/>
    </xf>
    <xf numFmtId="49" fontId="16" fillId="0" borderId="25" xfId="0" applyNumberFormat="1" applyFont="1" applyBorder="1" applyAlignment="1" applyProtection="1">
      <alignment wrapText="1"/>
      <protection locked="0"/>
    </xf>
    <xf numFmtId="49" fontId="16" fillId="2" borderId="19" xfId="0" quotePrefix="1" applyNumberFormat="1" applyFont="1" applyFill="1" applyBorder="1" applyProtection="1">
      <protection locked="0"/>
    </xf>
    <xf numFmtId="49" fontId="13" fillId="0" borderId="25" xfId="0" applyNumberFormat="1" applyFont="1" applyBorder="1" applyAlignment="1" applyProtection="1">
      <alignment wrapText="1"/>
      <protection locked="0"/>
    </xf>
    <xf numFmtId="49" fontId="15" fillId="2" borderId="31" xfId="0" quotePrefix="1" applyNumberFormat="1" applyFont="1" applyFill="1" applyBorder="1" applyProtection="1">
      <protection locked="0"/>
    </xf>
    <xf numFmtId="0" fontId="42" fillId="0" borderId="31" xfId="4" applyFont="1" applyBorder="1" applyAlignment="1" applyProtection="1">
      <alignment wrapText="1"/>
      <protection locked="0"/>
    </xf>
    <xf numFmtId="49" fontId="13" fillId="0" borderId="31" xfId="0" applyNumberFormat="1" applyFont="1" applyBorder="1" applyAlignment="1" applyProtection="1">
      <alignment wrapText="1"/>
      <protection locked="0"/>
    </xf>
    <xf numFmtId="166" fontId="31" fillId="0" borderId="17" xfId="0" applyNumberFormat="1" applyFont="1" applyBorder="1" applyProtection="1">
      <protection locked="0"/>
    </xf>
    <xf numFmtId="167" fontId="31" fillId="0" borderId="25" xfId="0" applyNumberFormat="1" applyFont="1" applyBorder="1" applyAlignment="1" applyProtection="1">
      <alignment wrapText="1"/>
      <protection locked="0"/>
    </xf>
    <xf numFmtId="167" fontId="13" fillId="0" borderId="19" xfId="0" applyNumberFormat="1" applyFont="1" applyBorder="1" applyAlignment="1">
      <alignment wrapText="1"/>
    </xf>
    <xf numFmtId="164" fontId="16" fillId="25" borderId="33" xfId="1" applyNumberFormat="1" applyFont="1" applyFill="1" applyBorder="1" applyProtection="1"/>
    <xf numFmtId="166" fontId="16" fillId="25" borderId="40" xfId="1" applyNumberFormat="1" applyFont="1" applyFill="1" applyBorder="1" applyProtection="1"/>
    <xf numFmtId="0" fontId="15" fillId="0" borderId="0" xfId="0" applyFont="1" applyAlignment="1" applyProtection="1">
      <alignment horizontal="left" vertical="top"/>
      <protection locked="0"/>
    </xf>
    <xf numFmtId="49" fontId="16" fillId="0" borderId="0" xfId="0" applyNumberFormat="1" applyFont="1" applyAlignment="1" applyProtection="1">
      <alignment horizontal="left" vertical="top"/>
      <protection locked="0"/>
    </xf>
    <xf numFmtId="49" fontId="13" fillId="0" borderId="33" xfId="0" applyNumberFormat="1" applyFont="1" applyBorder="1" applyProtection="1">
      <protection locked="0"/>
    </xf>
    <xf numFmtId="49" fontId="13" fillId="0" borderId="35" xfId="0" applyNumberFormat="1" applyFont="1" applyBorder="1" applyProtection="1">
      <protection locked="0"/>
    </xf>
    <xf numFmtId="49" fontId="16" fillId="25" borderId="33" xfId="1" applyNumberFormat="1" applyFont="1" applyFill="1" applyBorder="1" applyProtection="1"/>
    <xf numFmtId="49" fontId="16" fillId="25" borderId="35" xfId="1" applyNumberFormat="1" applyFont="1" applyFill="1" applyBorder="1" applyProtection="1"/>
    <xf numFmtId="166" fontId="16" fillId="24" borderId="33" xfId="0" applyNumberFormat="1" applyFont="1" applyFill="1" applyBorder="1"/>
    <xf numFmtId="166" fontId="16" fillId="24" borderId="35" xfId="0" applyNumberFormat="1" applyFont="1" applyFill="1" applyBorder="1"/>
    <xf numFmtId="166" fontId="16" fillId="24" borderId="33" xfId="1" applyNumberFormat="1" applyFont="1" applyFill="1" applyBorder="1" applyProtection="1"/>
    <xf numFmtId="166" fontId="16" fillId="24" borderId="35" xfId="1" applyNumberFormat="1" applyFont="1" applyFill="1" applyBorder="1" applyProtection="1"/>
    <xf numFmtId="164" fontId="16" fillId="24" borderId="30" xfId="1" applyNumberFormat="1" applyFont="1" applyFill="1" applyBorder="1" applyProtection="1"/>
    <xf numFmtId="164" fontId="13" fillId="0" borderId="30" xfId="1" applyNumberFormat="1" applyFont="1" applyFill="1" applyBorder="1"/>
    <xf numFmtId="164" fontId="16" fillId="24" borderId="19" xfId="1" applyNumberFormat="1" applyFont="1" applyFill="1" applyBorder="1" applyProtection="1"/>
    <xf numFmtId="0" fontId="15" fillId="0" borderId="19" xfId="0" applyFont="1" applyBorder="1"/>
    <xf numFmtId="167" fontId="13" fillId="3" borderId="19" xfId="0" applyNumberFormat="1" applyFont="1" applyFill="1" applyBorder="1"/>
    <xf numFmtId="49" fontId="10" fillId="32" borderId="8" xfId="0" quotePrefix="1" applyNumberFormat="1" applyFont="1" applyFill="1" applyBorder="1" applyAlignment="1">
      <alignment horizontal="center" vertical="center" wrapText="1"/>
    </xf>
    <xf numFmtId="43" fontId="0" fillId="0" borderId="0" xfId="1" applyFont="1" applyProtection="1"/>
    <xf numFmtId="164" fontId="0" fillId="0" borderId="0" xfId="1" applyNumberFormat="1" applyFont="1" applyAlignment="1" applyProtection="1">
      <alignment wrapText="1"/>
      <protection locked="0"/>
    </xf>
    <xf numFmtId="164" fontId="0" fillId="0" borderId="0" xfId="1" applyNumberFormat="1" applyFont="1" applyAlignment="1">
      <alignment wrapText="1"/>
    </xf>
    <xf numFmtId="164" fontId="5" fillId="4" borderId="1" xfId="1" applyNumberFormat="1" applyFont="1" applyFill="1" applyBorder="1" applyAlignment="1">
      <alignment horizontal="left" vertical="center" indent="1"/>
    </xf>
    <xf numFmtId="164" fontId="5" fillId="4" borderId="2" xfId="1" applyNumberFormat="1" applyFont="1" applyFill="1" applyBorder="1" applyAlignment="1">
      <alignment vertical="center"/>
    </xf>
    <xf numFmtId="164" fontId="5" fillId="3" borderId="1" xfId="1" applyNumberFormat="1" applyFont="1" applyFill="1" applyBorder="1" applyAlignment="1">
      <alignment horizontal="left" vertical="center" indent="1"/>
    </xf>
    <xf numFmtId="164" fontId="5" fillId="3" borderId="2" xfId="1" applyNumberFormat="1" applyFont="1" applyFill="1" applyBorder="1" applyAlignment="1">
      <alignment vertical="center"/>
    </xf>
    <xf numFmtId="164" fontId="5" fillId="3" borderId="2" xfId="1" applyNumberFormat="1" applyFont="1" applyFill="1" applyBorder="1" applyAlignment="1" applyProtection="1">
      <alignment vertical="center"/>
      <protection locked="0"/>
    </xf>
    <xf numFmtId="164" fontId="5" fillId="3" borderId="3" xfId="1" applyNumberFormat="1" applyFont="1" applyFill="1" applyBorder="1" applyAlignment="1">
      <alignment vertical="center"/>
    </xf>
    <xf numFmtId="164" fontId="5" fillId="5" borderId="2" xfId="1" applyNumberFormat="1" applyFont="1" applyFill="1" applyBorder="1" applyAlignment="1">
      <alignment vertical="center"/>
    </xf>
    <xf numFmtId="164" fontId="5" fillId="5" borderId="2" xfId="1" applyNumberFormat="1" applyFont="1" applyFill="1" applyBorder="1" applyAlignment="1" applyProtection="1">
      <alignment vertical="center"/>
      <protection locked="0"/>
    </xf>
    <xf numFmtId="164" fontId="5" fillId="5" borderId="2" xfId="1" applyNumberFormat="1" applyFont="1" applyFill="1" applyBorder="1" applyAlignment="1" applyProtection="1">
      <alignment vertical="center" wrapText="1"/>
      <protection locked="0"/>
    </xf>
    <xf numFmtId="164" fontId="5" fillId="5" borderId="2" xfId="1" applyNumberFormat="1" applyFont="1" applyFill="1" applyBorder="1" applyAlignment="1">
      <alignment vertical="center" wrapText="1"/>
    </xf>
    <xf numFmtId="164" fontId="5" fillId="4" borderId="2" xfId="1" applyNumberFormat="1" applyFont="1" applyFill="1" applyBorder="1" applyAlignment="1">
      <alignment horizontal="left" vertical="center" indent="1"/>
    </xf>
    <xf numFmtId="164" fontId="5" fillId="5" borderId="3" xfId="1" applyNumberFormat="1" applyFont="1" applyFill="1" applyBorder="1" applyAlignment="1">
      <alignment vertical="center"/>
    </xf>
    <xf numFmtId="164" fontId="33" fillId="0" borderId="0" xfId="1" applyNumberFormat="1" applyFont="1" applyAlignment="1">
      <alignment horizontal="center" vertical="center"/>
    </xf>
    <xf numFmtId="164" fontId="34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4" fontId="7" fillId="0" borderId="0" xfId="1" applyNumberFormat="1" applyFont="1" applyAlignment="1" applyProtection="1">
      <alignment horizontal="center" vertical="center"/>
      <protection locked="0"/>
    </xf>
    <xf numFmtId="164" fontId="5" fillId="0" borderId="0" xfId="1" applyNumberFormat="1" applyFont="1" applyAlignment="1">
      <alignment horizontal="centerContinuous" vertical="center"/>
    </xf>
    <xf numFmtId="164" fontId="8" fillId="0" borderId="0" xfId="1" applyNumberFormat="1" applyFont="1" applyAlignment="1" applyProtection="1">
      <alignment horizontal="center" vertical="center"/>
      <protection locked="0"/>
    </xf>
    <xf numFmtId="164" fontId="9" fillId="0" borderId="0" xfId="1" applyNumberFormat="1" applyFont="1" applyAlignment="1">
      <alignment horizontal="center" vertical="center"/>
    </xf>
    <xf numFmtId="164" fontId="5" fillId="0" borderId="0" xfId="1" applyNumberFormat="1" applyFont="1" applyAlignment="1" applyProtection="1">
      <alignment horizontal="center" vertical="center" wrapText="1"/>
      <protection locked="0"/>
    </xf>
    <xf numFmtId="164" fontId="10" fillId="6" borderId="0" xfId="1" quotePrefix="1" applyNumberFormat="1" applyFont="1" applyFill="1" applyAlignment="1">
      <alignment horizontal="center" vertical="center" wrapText="1"/>
    </xf>
    <xf numFmtId="164" fontId="11" fillId="6" borderId="0" xfId="1" quotePrefix="1" applyNumberFormat="1" applyFont="1" applyFill="1" applyAlignment="1">
      <alignment horizontal="center" vertical="center" wrapText="1"/>
    </xf>
    <xf numFmtId="164" fontId="11" fillId="6" borderId="7" xfId="1" quotePrefix="1" applyNumberFormat="1" applyFont="1" applyFill="1" applyBorder="1" applyAlignment="1">
      <alignment horizontal="center" vertical="center" wrapText="1"/>
    </xf>
    <xf numFmtId="164" fontId="10" fillId="7" borderId="8" xfId="1" quotePrefix="1" applyNumberFormat="1" applyFont="1" applyFill="1" applyBorder="1" applyAlignment="1">
      <alignment horizontal="center" vertical="center" wrapText="1"/>
    </xf>
    <xf numFmtId="164" fontId="10" fillId="6" borderId="4" xfId="1" quotePrefix="1" applyNumberFormat="1" applyFont="1" applyFill="1" applyBorder="1" applyAlignment="1">
      <alignment horizontal="center" vertical="center" wrapText="1"/>
    </xf>
    <xf numFmtId="164" fontId="10" fillId="6" borderId="9" xfId="1" quotePrefix="1" applyNumberFormat="1" applyFont="1" applyFill="1" applyBorder="1" applyAlignment="1">
      <alignment horizontal="center" vertical="center" wrapText="1"/>
    </xf>
    <xf numFmtId="164" fontId="10" fillId="7" borderId="9" xfId="1" quotePrefix="1" applyNumberFormat="1" applyFont="1" applyFill="1" applyBorder="1" applyAlignment="1">
      <alignment horizontal="center" vertical="center" wrapText="1"/>
    </xf>
    <xf numFmtId="164" fontId="10" fillId="6" borderId="10" xfId="1" quotePrefix="1" applyNumberFormat="1" applyFont="1" applyFill="1" applyBorder="1" applyAlignment="1">
      <alignment horizontal="center" vertical="center" wrapText="1"/>
    </xf>
    <xf numFmtId="164" fontId="10" fillId="6" borderId="11" xfId="1" quotePrefix="1" applyNumberFormat="1" applyFont="1" applyFill="1" applyBorder="1" applyAlignment="1">
      <alignment horizontal="center" vertical="center" wrapText="1"/>
    </xf>
    <xf numFmtId="164" fontId="10" fillId="6" borderId="7" xfId="1" applyNumberFormat="1" applyFont="1" applyFill="1" applyBorder="1" applyAlignment="1">
      <alignment horizontal="center" vertical="center" wrapText="1"/>
    </xf>
    <xf numFmtId="164" fontId="10" fillId="8" borderId="4" xfId="1" applyNumberFormat="1" applyFont="1" applyFill="1" applyBorder="1" applyAlignment="1" applyProtection="1">
      <alignment horizontal="center" vertical="center" wrapText="1"/>
      <protection locked="0"/>
    </xf>
    <xf numFmtId="164" fontId="32" fillId="5" borderId="7" xfId="1" quotePrefix="1" applyNumberFormat="1" applyFont="1" applyFill="1" applyBorder="1" applyAlignment="1">
      <alignment horizontal="center" vertical="center" wrapText="1"/>
    </xf>
    <xf numFmtId="164" fontId="32" fillId="5" borderId="4" xfId="1" applyNumberFormat="1" applyFont="1" applyFill="1" applyBorder="1" applyAlignment="1">
      <alignment horizontal="center" vertical="center" wrapText="1"/>
    </xf>
    <xf numFmtId="164" fontId="17" fillId="25" borderId="30" xfId="1" applyNumberFormat="1" applyFont="1" applyFill="1" applyBorder="1" applyAlignment="1">
      <alignment horizontal="left"/>
    </xf>
    <xf numFmtId="164" fontId="31" fillId="2" borderId="0" xfId="1" applyNumberFormat="1" applyFont="1" applyFill="1" applyProtection="1">
      <protection locked="0"/>
    </xf>
    <xf numFmtId="164" fontId="31" fillId="2" borderId="16" xfId="1" applyNumberFormat="1" applyFont="1" applyFill="1" applyBorder="1" applyAlignment="1">
      <alignment wrapText="1"/>
    </xf>
    <xf numFmtId="164" fontId="16" fillId="25" borderId="30" xfId="1" applyNumberFormat="1" applyFont="1" applyFill="1" applyBorder="1"/>
    <xf numFmtId="164" fontId="16" fillId="0" borderId="0" xfId="1" applyNumberFormat="1" applyFont="1"/>
    <xf numFmtId="164" fontId="16" fillId="0" borderId="13" xfId="1" applyNumberFormat="1" applyFont="1" applyBorder="1"/>
    <xf numFmtId="164" fontId="31" fillId="0" borderId="0" xfId="1" applyNumberFormat="1" applyFont="1" applyProtection="1">
      <protection locked="0"/>
    </xf>
    <xf numFmtId="164" fontId="31" fillId="31" borderId="0" xfId="1" applyNumberFormat="1" applyFont="1" applyFill="1" applyProtection="1">
      <protection locked="0"/>
    </xf>
    <xf numFmtId="164" fontId="31" fillId="0" borderId="16" xfId="1" applyNumberFormat="1" applyFont="1" applyBorder="1" applyAlignment="1">
      <alignment wrapText="1"/>
    </xf>
    <xf numFmtId="164" fontId="13" fillId="0" borderId="0" xfId="1" applyNumberFormat="1" applyFont="1"/>
    <xf numFmtId="164" fontId="13" fillId="0" borderId="0" xfId="1" applyNumberFormat="1" applyFont="1" applyProtection="1">
      <protection locked="0"/>
    </xf>
    <xf numFmtId="164" fontId="13" fillId="0" borderId="0" xfId="1" applyNumberFormat="1" applyFont="1" applyAlignment="1" applyProtection="1">
      <alignment vertical="top" wrapText="1"/>
      <protection locked="0"/>
    </xf>
    <xf numFmtId="164" fontId="13" fillId="0" borderId="0" xfId="1" applyNumberFormat="1" applyFont="1" applyAlignment="1">
      <alignment vertical="top" wrapText="1"/>
    </xf>
    <xf numFmtId="164" fontId="17" fillId="9" borderId="0" xfId="1" applyNumberFormat="1" applyFont="1" applyFill="1" applyAlignment="1">
      <alignment horizontal="left"/>
    </xf>
    <xf numFmtId="164" fontId="17" fillId="9" borderId="13" xfId="1" applyNumberFormat="1" applyFont="1" applyFill="1" applyBorder="1" applyAlignment="1">
      <alignment horizontal="left"/>
    </xf>
    <xf numFmtId="164" fontId="31" fillId="31" borderId="16" xfId="1" applyNumberFormat="1" applyFont="1" applyFill="1" applyBorder="1" applyAlignment="1">
      <alignment wrapText="1"/>
    </xf>
    <xf numFmtId="164" fontId="23" fillId="25" borderId="30" xfId="1" applyNumberFormat="1" applyFont="1" applyFill="1" applyBorder="1" applyAlignment="1">
      <alignment horizontal="left"/>
    </xf>
    <xf numFmtId="164" fontId="16" fillId="25" borderId="30" xfId="1" quotePrefix="1" applyNumberFormat="1" applyFont="1" applyFill="1" applyBorder="1" applyProtection="1"/>
    <xf numFmtId="164" fontId="31" fillId="0" borderId="0" xfId="1" applyNumberFormat="1" applyFont="1" applyAlignment="1" applyProtection="1">
      <alignment vertical="center"/>
      <protection locked="0"/>
    </xf>
    <xf numFmtId="164" fontId="13" fillId="0" borderId="0" xfId="1" applyNumberFormat="1" applyFont="1" applyAlignment="1">
      <alignment vertical="center"/>
    </xf>
    <xf numFmtId="164" fontId="31" fillId="0" borderId="0" xfId="1" applyNumberFormat="1" applyFont="1" applyBorder="1" applyAlignment="1" applyProtection="1">
      <alignment vertical="center"/>
      <protection locked="0"/>
    </xf>
    <xf numFmtId="164" fontId="31" fillId="31" borderId="0" xfId="1" applyNumberFormat="1" applyFont="1" applyFill="1" applyBorder="1" applyProtection="1">
      <protection locked="0"/>
    </xf>
    <xf numFmtId="164" fontId="13" fillId="0" borderId="0" xfId="1" applyNumberFormat="1" applyFont="1" applyBorder="1"/>
    <xf numFmtId="164" fontId="13" fillId="0" borderId="0" xfId="1" applyNumberFormat="1" applyFont="1" applyBorder="1" applyAlignment="1">
      <alignment vertical="center"/>
    </xf>
    <xf numFmtId="164" fontId="31" fillId="0" borderId="0" xfId="1" applyNumberFormat="1" applyFont="1" applyBorder="1" applyProtection="1">
      <protection locked="0"/>
    </xf>
    <xf numFmtId="164" fontId="16" fillId="25" borderId="30" xfId="1" quotePrefix="1" applyNumberFormat="1" applyFont="1" applyFill="1" applyBorder="1"/>
    <xf numFmtId="164" fontId="17" fillId="9" borderId="0" xfId="1" applyNumberFormat="1" applyFont="1" applyFill="1" applyBorder="1" applyAlignment="1">
      <alignment horizontal="left"/>
    </xf>
    <xf numFmtId="164" fontId="13" fillId="0" borderId="0" xfId="1" applyNumberFormat="1" applyFont="1" applyBorder="1" applyProtection="1">
      <protection locked="0"/>
    </xf>
    <xf numFmtId="164" fontId="13" fillId="0" borderId="0" xfId="1" applyNumberFormat="1" applyFont="1" applyBorder="1" applyAlignment="1" applyProtection="1">
      <alignment vertical="top" wrapText="1"/>
      <protection locked="0"/>
    </xf>
    <xf numFmtId="164" fontId="13" fillId="0" borderId="0" xfId="1" applyNumberFormat="1" applyFont="1" applyBorder="1" applyAlignment="1">
      <alignment vertical="top" wrapText="1"/>
    </xf>
    <xf numFmtId="164" fontId="13" fillId="0" borderId="0" xfId="1" quotePrefix="1" applyNumberFormat="1" applyFont="1" applyBorder="1" applyAlignment="1" applyProtection="1">
      <alignment vertical="top" wrapText="1"/>
      <protection locked="0"/>
    </xf>
    <xf numFmtId="164" fontId="13" fillId="0" borderId="0" xfId="1" quotePrefix="1" applyNumberFormat="1" applyFont="1" applyBorder="1" applyAlignment="1">
      <alignment vertical="top" wrapText="1"/>
    </xf>
    <xf numFmtId="164" fontId="31" fillId="14" borderId="0" xfId="1" applyNumberFormat="1" applyFont="1" applyFill="1" applyBorder="1" applyProtection="1">
      <protection locked="0"/>
    </xf>
    <xf numFmtId="164" fontId="31" fillId="0" borderId="16" xfId="1" applyNumberFormat="1" applyFont="1" applyFill="1" applyBorder="1" applyAlignment="1">
      <alignment wrapText="1"/>
    </xf>
    <xf numFmtId="164" fontId="16" fillId="25" borderId="30" xfId="1" applyNumberFormat="1" applyFont="1" applyFill="1" applyBorder="1" applyAlignment="1">
      <alignment horizontal="left"/>
    </xf>
    <xf numFmtId="164" fontId="16" fillId="0" borderId="0" xfId="1" quotePrefix="1" applyNumberFormat="1" applyFont="1" applyBorder="1" applyAlignment="1" applyProtection="1">
      <alignment vertical="top"/>
      <protection locked="0"/>
    </xf>
    <xf numFmtId="164" fontId="16" fillId="0" borderId="0" xfId="1" quotePrefix="1" applyNumberFormat="1" applyFont="1" applyBorder="1" applyAlignment="1">
      <alignment vertical="top"/>
    </xf>
    <xf numFmtId="164" fontId="31" fillId="14" borderId="0" xfId="1" applyNumberFormat="1" applyFont="1" applyFill="1" applyProtection="1">
      <protection locked="0"/>
    </xf>
    <xf numFmtId="164" fontId="31" fillId="5" borderId="0" xfId="1" applyNumberFormat="1" applyFont="1" applyFill="1" applyAlignment="1" applyProtection="1">
      <alignment vertical="center"/>
      <protection locked="0"/>
    </xf>
    <xf numFmtId="164" fontId="31" fillId="4" borderId="0" xfId="1" applyNumberFormat="1" applyFont="1" applyFill="1" applyProtection="1">
      <protection locked="0"/>
    </xf>
    <xf numFmtId="164" fontId="31" fillId="0" borderId="37" xfId="1" applyNumberFormat="1" applyFont="1" applyBorder="1" applyProtection="1">
      <protection locked="0"/>
    </xf>
    <xf numFmtId="164" fontId="31" fillId="0" borderId="18" xfId="1" applyNumberFormat="1" applyFont="1" applyBorder="1" applyProtection="1">
      <protection locked="0"/>
    </xf>
    <xf numFmtId="164" fontId="17" fillId="25" borderId="30" xfId="1" applyNumberFormat="1" applyFont="1" applyFill="1" applyBorder="1" applyAlignment="1">
      <alignment horizontal="left" wrapText="1"/>
    </xf>
    <xf numFmtId="164" fontId="23" fillId="25" borderId="30" xfId="1" applyNumberFormat="1" applyFont="1" applyFill="1" applyBorder="1" applyAlignment="1">
      <alignment horizontal="left" wrapText="1"/>
    </xf>
    <xf numFmtId="164" fontId="31" fillId="0" borderId="0" xfId="1" applyNumberFormat="1" applyFont="1" applyAlignment="1" applyProtection="1">
      <alignment wrapText="1"/>
      <protection locked="0"/>
    </xf>
    <xf numFmtId="164" fontId="13" fillId="0" borderId="0" xfId="1" applyNumberFormat="1" applyFont="1" applyAlignment="1">
      <alignment wrapText="1"/>
    </xf>
    <xf numFmtId="164" fontId="13" fillId="0" borderId="0" xfId="1" applyNumberFormat="1" applyFont="1" applyAlignment="1" applyProtection="1">
      <alignment wrapText="1"/>
      <protection locked="0"/>
    </xf>
    <xf numFmtId="164" fontId="13" fillId="2" borderId="0" xfId="1" applyNumberFormat="1" applyFont="1" applyFill="1" applyAlignment="1" applyProtection="1">
      <alignment vertical="top" wrapText="1"/>
      <protection locked="0"/>
    </xf>
    <xf numFmtId="164" fontId="22" fillId="0" borderId="0" xfId="1" applyNumberFormat="1" applyFont="1"/>
    <xf numFmtId="164" fontId="23" fillId="2" borderId="30" xfId="1" applyNumberFormat="1" applyFont="1" applyFill="1" applyBorder="1" applyAlignment="1">
      <alignment horizontal="left"/>
    </xf>
    <xf numFmtId="164" fontId="13" fillId="2" borderId="0" xfId="1" applyNumberFormat="1" applyFont="1" applyFill="1"/>
    <xf numFmtId="164" fontId="13" fillId="2" borderId="0" xfId="1" applyNumberFormat="1" applyFont="1" applyFill="1" applyAlignment="1">
      <alignment vertical="top" wrapText="1"/>
    </xf>
    <xf numFmtId="164" fontId="31" fillId="0" borderId="19" xfId="1" applyNumberFormat="1" applyFont="1" applyBorder="1" applyProtection="1">
      <protection locked="0"/>
    </xf>
    <xf numFmtId="164" fontId="13" fillId="0" borderId="19" xfId="1" applyNumberFormat="1" applyFont="1" applyBorder="1"/>
    <xf numFmtId="164" fontId="17" fillId="9" borderId="30" xfId="1" applyNumberFormat="1" applyFont="1" applyFill="1" applyBorder="1" applyAlignment="1">
      <alignment horizontal="left"/>
    </xf>
    <xf numFmtId="164" fontId="31" fillId="0" borderId="30" xfId="1" applyNumberFormat="1" applyFont="1" applyBorder="1" applyProtection="1">
      <protection locked="0"/>
    </xf>
    <xf numFmtId="164" fontId="13" fillId="0" borderId="30" xfId="1" applyNumberFormat="1" applyFont="1" applyBorder="1"/>
    <xf numFmtId="164" fontId="13" fillId="0" borderId="30" xfId="1" applyNumberFormat="1" applyFont="1" applyBorder="1" applyProtection="1">
      <protection locked="0"/>
    </xf>
    <xf numFmtId="164" fontId="13" fillId="0" borderId="30" xfId="1" applyNumberFormat="1" applyFont="1" applyBorder="1" applyAlignment="1" applyProtection="1">
      <alignment vertical="top" wrapText="1"/>
      <protection locked="0"/>
    </xf>
    <xf numFmtId="164" fontId="13" fillId="0" borderId="30" xfId="1" applyNumberFormat="1" applyFont="1" applyBorder="1" applyAlignment="1">
      <alignment vertical="top" wrapText="1"/>
    </xf>
    <xf numFmtId="164" fontId="31" fillId="5" borderId="16" xfId="1" applyNumberFormat="1" applyFont="1" applyFill="1" applyBorder="1" applyAlignment="1">
      <alignment wrapText="1"/>
    </xf>
    <xf numFmtId="164" fontId="17" fillId="25" borderId="30" xfId="1" applyNumberFormat="1" applyFont="1" applyFill="1" applyBorder="1" applyAlignment="1" applyProtection="1">
      <alignment horizontal="left"/>
    </xf>
    <xf numFmtId="164" fontId="23" fillId="3" borderId="30" xfId="1" applyNumberFormat="1" applyFont="1" applyFill="1" applyBorder="1" applyAlignment="1" applyProtection="1">
      <alignment horizontal="left"/>
    </xf>
    <xf numFmtId="164" fontId="16" fillId="24" borderId="22" xfId="1" applyNumberFormat="1" applyFont="1" applyFill="1" applyBorder="1" applyProtection="1"/>
    <xf numFmtId="43" fontId="10" fillId="7" borderId="8" xfId="0" quotePrefix="1" applyNumberFormat="1" applyFont="1" applyFill="1" applyBorder="1" applyAlignment="1">
      <alignment horizontal="center" vertical="center" wrapText="1"/>
    </xf>
    <xf numFmtId="164" fontId="10" fillId="8" borderId="4" xfId="1" applyNumberFormat="1" applyFont="1" applyFill="1" applyBorder="1" applyAlignment="1" applyProtection="1">
      <alignment horizontal="center" vertical="center" wrapText="1"/>
    </xf>
    <xf numFmtId="164" fontId="31" fillId="0" borderId="18" xfId="1" applyNumberFormat="1" applyFont="1" applyFill="1" applyBorder="1" applyProtection="1">
      <protection locked="0"/>
    </xf>
    <xf numFmtId="164" fontId="31" fillId="0" borderId="15" xfId="1" applyNumberFormat="1" applyFont="1" applyBorder="1" applyAlignment="1">
      <alignment wrapText="1"/>
    </xf>
    <xf numFmtId="164" fontId="13" fillId="2" borderId="0" xfId="1" applyNumberFormat="1" applyFont="1" applyFill="1" applyBorder="1" applyAlignment="1" applyProtection="1">
      <alignment vertical="top" wrapText="1"/>
      <protection locked="0"/>
    </xf>
    <xf numFmtId="164" fontId="16" fillId="5" borderId="0" xfId="1" quotePrefix="1" applyNumberFormat="1" applyFont="1" applyFill="1" applyBorder="1" applyAlignment="1" applyProtection="1">
      <alignment vertical="top"/>
      <protection locked="0"/>
    </xf>
    <xf numFmtId="164" fontId="23" fillId="30" borderId="30" xfId="1" applyNumberFormat="1" applyFont="1" applyFill="1" applyBorder="1" applyAlignment="1" applyProtection="1">
      <alignment horizontal="left"/>
    </xf>
    <xf numFmtId="164" fontId="16" fillId="24" borderId="13" xfId="1" applyNumberFormat="1" applyFont="1" applyFill="1" applyBorder="1" applyProtection="1"/>
    <xf numFmtId="164" fontId="31" fillId="0" borderId="0" xfId="1" applyNumberFormat="1" applyFont="1" applyProtection="1"/>
    <xf numFmtId="164" fontId="16" fillId="24" borderId="13" xfId="1" applyNumberFormat="1" applyFont="1" applyFill="1" applyBorder="1" applyAlignment="1" applyProtection="1">
      <alignment vertical="center"/>
    </xf>
    <xf numFmtId="164" fontId="16" fillId="24" borderId="0" xfId="1" applyNumberFormat="1" applyFont="1" applyFill="1" applyAlignment="1" applyProtection="1">
      <alignment vertical="center"/>
    </xf>
    <xf numFmtId="164" fontId="16" fillId="24" borderId="0" xfId="1" applyNumberFormat="1" applyFont="1" applyFill="1" applyBorder="1" applyAlignment="1" applyProtection="1">
      <alignment vertical="center"/>
    </xf>
    <xf numFmtId="164" fontId="18" fillId="24" borderId="0" xfId="1" applyNumberFormat="1" applyFont="1" applyFill="1" applyProtection="1"/>
    <xf numFmtId="164" fontId="16" fillId="24" borderId="13" xfId="1" applyNumberFormat="1" applyFont="1" applyFill="1" applyBorder="1" applyAlignment="1" applyProtection="1">
      <alignment wrapText="1"/>
    </xf>
    <xf numFmtId="164" fontId="16" fillId="24" borderId="0" xfId="1" applyNumberFormat="1" applyFont="1" applyFill="1" applyAlignment="1" applyProtection="1">
      <alignment wrapText="1"/>
    </xf>
    <xf numFmtId="164" fontId="16" fillId="2" borderId="13" xfId="1" applyNumberFormat="1" applyFont="1" applyFill="1" applyBorder="1" applyProtection="1"/>
    <xf numFmtId="164" fontId="23" fillId="3" borderId="0" xfId="1" applyNumberFormat="1" applyFont="1" applyFill="1" applyBorder="1" applyAlignment="1" applyProtection="1">
      <alignment horizontal="left"/>
    </xf>
    <xf numFmtId="164" fontId="23" fillId="3" borderId="0" xfId="1" applyNumberFormat="1" applyFont="1" applyFill="1" applyAlignment="1" applyProtection="1">
      <alignment horizontal="left"/>
    </xf>
    <xf numFmtId="165" fontId="13" fillId="3" borderId="19" xfId="0" quotePrefix="1" applyNumberFormat="1" applyFont="1" applyFill="1" applyBorder="1"/>
    <xf numFmtId="49" fontId="15" fillId="2" borderId="0" xfId="0" quotePrefix="1" applyNumberFormat="1" applyFont="1" applyFill="1"/>
    <xf numFmtId="49" fontId="15" fillId="0" borderId="19" xfId="0" quotePrefix="1" applyNumberFormat="1" applyFont="1" applyBorder="1"/>
    <xf numFmtId="0" fontId="15" fillId="0" borderId="20" xfId="0" quotePrefix="1" applyFont="1" applyBorder="1" applyAlignment="1">
      <alignment horizontal="left" vertical="top"/>
    </xf>
    <xf numFmtId="0" fontId="13" fillId="0" borderId="0" xfId="0" quotePrefix="1" applyFont="1"/>
    <xf numFmtId="0" fontId="13" fillId="0" borderId="19" xfId="0" quotePrefix="1" applyFont="1" applyBorder="1"/>
    <xf numFmtId="49" fontId="16" fillId="0" borderId="19" xfId="0" quotePrefix="1" applyNumberFormat="1" applyFont="1" applyBorder="1"/>
    <xf numFmtId="49" fontId="13" fillId="0" borderId="19" xfId="0" quotePrefix="1" applyNumberFormat="1" applyFont="1" applyBorder="1"/>
    <xf numFmtId="49" fontId="15" fillId="0" borderId="31" xfId="0" quotePrefix="1" applyNumberFormat="1" applyFont="1" applyBorder="1"/>
    <xf numFmtId="164" fontId="31" fillId="2" borderId="18" xfId="1" applyNumberFormat="1" applyFont="1" applyFill="1" applyBorder="1" applyProtection="1"/>
    <xf numFmtId="164" fontId="31" fillId="2" borderId="16" xfId="1" applyNumberFormat="1" applyFont="1" applyFill="1" applyBorder="1" applyAlignment="1" applyProtection="1">
      <alignment wrapText="1"/>
    </xf>
    <xf numFmtId="49" fontId="16" fillId="0" borderId="0" xfId="0" quotePrefix="1" applyNumberFormat="1" applyFont="1"/>
    <xf numFmtId="49" fontId="13" fillId="0" borderId="0" xfId="0" quotePrefix="1" applyNumberFormat="1" applyFont="1"/>
    <xf numFmtId="49" fontId="15" fillId="3" borderId="19" xfId="0" quotePrefix="1" applyNumberFormat="1" applyFont="1" applyFill="1" applyBorder="1"/>
    <xf numFmtId="165" fontId="15" fillId="0" borderId="19" xfId="0" quotePrefix="1" applyNumberFormat="1" applyFont="1" applyBorder="1"/>
    <xf numFmtId="49" fontId="15" fillId="0" borderId="20" xfId="0" applyNumberFormat="1" applyFont="1" applyBorder="1" applyAlignment="1">
      <alignment horizontal="left" vertical="top"/>
    </xf>
    <xf numFmtId="0" fontId="15" fillId="0" borderId="0" xfId="0" applyFont="1"/>
    <xf numFmtId="49" fontId="16" fillId="0" borderId="19" xfId="0" applyNumberFormat="1" applyFont="1" applyBorder="1"/>
    <xf numFmtId="0" fontId="13" fillId="0" borderId="19" xfId="0" applyFont="1" applyBorder="1"/>
    <xf numFmtId="0" fontId="13" fillId="0" borderId="0" xfId="0" applyFont="1"/>
    <xf numFmtId="49" fontId="13" fillId="0" borderId="19" xfId="0" applyNumberFormat="1" applyFont="1" applyBorder="1"/>
    <xf numFmtId="49" fontId="13" fillId="0" borderId="31" xfId="0" applyNumberFormat="1" applyFont="1" applyBorder="1"/>
    <xf numFmtId="0" fontId="0" fillId="0" borderId="31" xfId="0" applyBorder="1"/>
    <xf numFmtId="49" fontId="15" fillId="2" borderId="19" xfId="0" quotePrefix="1" applyNumberFormat="1" applyFont="1" applyFill="1" applyBorder="1"/>
    <xf numFmtId="49" fontId="13" fillId="0" borderId="0" xfId="0" applyNumberFormat="1" applyFont="1"/>
    <xf numFmtId="49" fontId="13" fillId="0" borderId="31" xfId="0" applyNumberFormat="1" applyFont="1" applyBorder="1" applyAlignment="1">
      <alignment wrapText="1"/>
    </xf>
    <xf numFmtId="49" fontId="15" fillId="2" borderId="31" xfId="0" quotePrefix="1" applyNumberFormat="1" applyFont="1" applyFill="1" applyBorder="1"/>
    <xf numFmtId="165" fontId="13" fillId="3" borderId="0" xfId="0" quotePrefix="1" applyNumberFormat="1" applyFont="1" applyFill="1"/>
    <xf numFmtId="0" fontId="15" fillId="0" borderId="0" xfId="0" quotePrefix="1" applyFont="1" applyAlignment="1">
      <alignment horizontal="left" vertical="top"/>
    </xf>
    <xf numFmtId="164" fontId="17" fillId="25" borderId="35" xfId="1" applyNumberFormat="1" applyFont="1" applyFill="1" applyBorder="1" applyAlignment="1" applyProtection="1">
      <alignment horizontal="left"/>
    </xf>
    <xf numFmtId="164" fontId="17" fillId="25" borderId="33" xfId="1" applyNumberFormat="1" applyFont="1" applyFill="1" applyBorder="1" applyAlignment="1" applyProtection="1">
      <alignment horizontal="left"/>
    </xf>
    <xf numFmtId="164" fontId="23" fillId="3" borderId="33" xfId="1" applyNumberFormat="1" applyFont="1" applyFill="1" applyBorder="1" applyAlignment="1" applyProtection="1">
      <alignment horizontal="left"/>
    </xf>
    <xf numFmtId="164" fontId="23" fillId="3" borderId="40" xfId="1" applyNumberFormat="1" applyFont="1" applyFill="1" applyBorder="1" applyAlignment="1" applyProtection="1">
      <alignment horizontal="left"/>
    </xf>
    <xf numFmtId="164" fontId="31" fillId="2" borderId="0" xfId="1" applyNumberFormat="1" applyFont="1" applyFill="1" applyBorder="1" applyProtection="1"/>
    <xf numFmtId="164" fontId="31" fillId="2" borderId="0" xfId="1" applyNumberFormat="1" applyFont="1" applyFill="1" applyBorder="1" applyAlignment="1" applyProtection="1">
      <alignment wrapText="1"/>
    </xf>
    <xf numFmtId="164" fontId="23" fillId="30" borderId="0" xfId="1" applyNumberFormat="1" applyFont="1" applyFill="1" applyBorder="1" applyAlignment="1" applyProtection="1">
      <alignment horizontal="left"/>
    </xf>
    <xf numFmtId="164" fontId="31" fillId="2" borderId="0" xfId="1" applyNumberFormat="1" applyFont="1" applyFill="1" applyProtection="1"/>
    <xf numFmtId="164" fontId="23" fillId="30" borderId="0" xfId="1" applyNumberFormat="1" applyFont="1" applyFill="1" applyAlignment="1" applyProtection="1">
      <alignment horizontal="left"/>
    </xf>
    <xf numFmtId="164" fontId="23" fillId="3" borderId="35" xfId="1" applyNumberFormat="1" applyFont="1" applyFill="1" applyBorder="1" applyAlignment="1" applyProtection="1">
      <alignment horizontal="left"/>
    </xf>
    <xf numFmtId="164" fontId="23" fillId="3" borderId="38" xfId="1" applyNumberFormat="1" applyFont="1" applyFill="1" applyBorder="1" applyAlignment="1" applyProtection="1">
      <alignment horizontal="left"/>
    </xf>
    <xf numFmtId="164" fontId="2" fillId="21" borderId="0" xfId="1" applyNumberFormat="1" applyFont="1" applyFill="1" applyProtection="1"/>
    <xf numFmtId="164" fontId="2" fillId="21" borderId="0" xfId="1" applyNumberFormat="1" applyFont="1" applyFill="1" applyProtection="1">
      <protection locked="0"/>
    </xf>
    <xf numFmtId="164" fontId="44" fillId="33" borderId="36" xfId="1" applyNumberFormat="1" applyFont="1" applyFill="1" applyBorder="1" applyAlignment="1">
      <alignment horizontal="right" vertical="center"/>
    </xf>
    <xf numFmtId="49" fontId="0" fillId="0" borderId="0" xfId="0" applyNumberFormat="1"/>
    <xf numFmtId="49" fontId="13" fillId="0" borderId="23" xfId="0" quotePrefix="1" applyNumberFormat="1" applyFont="1" applyBorder="1"/>
    <xf numFmtId="49" fontId="13" fillId="0" borderId="0" xfId="0" applyNumberFormat="1" applyFont="1" applyAlignment="1">
      <alignment wrapText="1"/>
    </xf>
    <xf numFmtId="49" fontId="15" fillId="0" borderId="33" xfId="0" quotePrefix="1" applyNumberFormat="1" applyFont="1" applyBorder="1" applyProtection="1">
      <protection locked="0"/>
    </xf>
    <xf numFmtId="49" fontId="15" fillId="0" borderId="40" xfId="0" quotePrefix="1" applyNumberFormat="1" applyFont="1" applyBorder="1" applyProtection="1">
      <protection locked="0"/>
    </xf>
    <xf numFmtId="49" fontId="16" fillId="25" borderId="35" xfId="0" quotePrefix="1" applyNumberFormat="1" applyFont="1" applyFill="1" applyBorder="1"/>
    <xf numFmtId="166" fontId="23" fillId="25" borderId="33" xfId="0" applyNumberFormat="1" applyFont="1" applyFill="1" applyBorder="1" applyAlignment="1">
      <alignment horizontal="left"/>
    </xf>
    <xf numFmtId="166" fontId="23" fillId="25" borderId="40" xfId="0" applyNumberFormat="1" applyFont="1" applyFill="1" applyBorder="1" applyAlignment="1">
      <alignment horizontal="left"/>
    </xf>
    <xf numFmtId="166" fontId="17" fillId="9" borderId="33" xfId="0" applyNumberFormat="1" applyFont="1" applyFill="1" applyBorder="1" applyAlignment="1">
      <alignment horizontal="left"/>
    </xf>
    <xf numFmtId="49" fontId="13" fillId="0" borderId="0" xfId="0" quotePrefix="1" applyNumberFormat="1" applyFont="1" applyAlignment="1" applyProtection="1">
      <alignment vertical="top" wrapText="1"/>
      <protection locked="0"/>
    </xf>
    <xf numFmtId="0" fontId="15" fillId="21" borderId="12" xfId="0" quotePrefix="1" applyFont="1" applyFill="1" applyBorder="1" applyAlignment="1" applyProtection="1">
      <alignment horizontal="left" vertical="top"/>
      <protection locked="0"/>
    </xf>
    <xf numFmtId="49" fontId="16" fillId="25" borderId="30" xfId="1" applyNumberFormat="1" applyFont="1" applyFill="1" applyBorder="1" applyProtection="1"/>
    <xf numFmtId="164" fontId="16" fillId="24" borderId="0" xfId="1" applyNumberFormat="1" applyFont="1" applyFill="1"/>
    <xf numFmtId="164" fontId="16" fillId="24" borderId="0" xfId="1" applyNumberFormat="1" applyFont="1" applyFill="1" applyAlignment="1">
      <alignment vertical="center"/>
    </xf>
    <xf numFmtId="164" fontId="16" fillId="24" borderId="0" xfId="1" applyNumberFormat="1" applyFont="1" applyFill="1" applyAlignment="1">
      <alignment wrapText="1"/>
    </xf>
    <xf numFmtId="164" fontId="16" fillId="24" borderId="13" xfId="1" applyNumberFormat="1" applyFont="1" applyFill="1" applyBorder="1" applyAlignment="1">
      <alignment vertical="center"/>
    </xf>
    <xf numFmtId="164" fontId="16" fillId="24" borderId="13" xfId="1" applyNumberFormat="1" applyFont="1" applyFill="1" applyBorder="1"/>
    <xf numFmtId="164" fontId="16" fillId="24" borderId="19" xfId="1" applyNumberFormat="1" applyFont="1" applyFill="1" applyBorder="1"/>
    <xf numFmtId="164" fontId="16" fillId="24" borderId="19" xfId="1" applyNumberFormat="1" applyFont="1" applyFill="1" applyBorder="1" applyAlignment="1">
      <alignment vertical="center"/>
    </xf>
    <xf numFmtId="164" fontId="16" fillId="24" borderId="25" xfId="1" applyNumberFormat="1" applyFont="1" applyFill="1" applyBorder="1"/>
    <xf numFmtId="164" fontId="16" fillId="24" borderId="13" xfId="1" applyNumberFormat="1" applyFont="1" applyFill="1" applyBorder="1" applyAlignment="1">
      <alignment wrapText="1"/>
    </xf>
    <xf numFmtId="164" fontId="16" fillId="24" borderId="22" xfId="1" applyNumberFormat="1" applyFont="1" applyFill="1" applyBorder="1"/>
    <xf numFmtId="164" fontId="16" fillId="24" borderId="22" xfId="1" applyNumberFormat="1" applyFont="1" applyFill="1" applyBorder="1" applyAlignment="1">
      <alignment vertical="center"/>
    </xf>
    <xf numFmtId="0" fontId="0" fillId="0" borderId="0" xfId="0" applyAlignment="1" applyProtection="1">
      <alignment horizontal="left"/>
      <protection locked="0"/>
    </xf>
    <xf numFmtId="164" fontId="31" fillId="0" borderId="0" xfId="1" applyNumberFormat="1" applyFont="1" applyFill="1" applyProtection="1">
      <protection locked="0"/>
    </xf>
    <xf numFmtId="49" fontId="15" fillId="0" borderId="35" xfId="0" quotePrefix="1" applyNumberFormat="1" applyFont="1" applyBorder="1" applyProtection="1">
      <protection locked="0"/>
    </xf>
    <xf numFmtId="164" fontId="16" fillId="24" borderId="0" xfId="1" applyNumberFormat="1" applyFont="1" applyFill="1" applyBorder="1"/>
    <xf numFmtId="164" fontId="16" fillId="24" borderId="0" xfId="1" applyNumberFormat="1" applyFont="1" applyFill="1" applyBorder="1" applyAlignment="1">
      <alignment vertical="center"/>
    </xf>
    <xf numFmtId="0" fontId="2" fillId="0" borderId="0" xfId="1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49" fontId="10" fillId="6" borderId="6" xfId="0" applyNumberFormat="1" applyFont="1" applyFill="1" applyBorder="1" applyAlignment="1">
      <alignment horizontal="left" vertical="center" wrapText="1"/>
    </xf>
    <xf numFmtId="0" fontId="13" fillId="0" borderId="0" xfId="0" quotePrefix="1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49" fontId="13" fillId="0" borderId="0" xfId="0" quotePrefix="1" applyNumberFormat="1" applyFont="1" applyAlignment="1" applyProtection="1">
      <alignment horizontal="left"/>
      <protection locked="0"/>
    </xf>
    <xf numFmtId="0" fontId="15" fillId="0" borderId="0" xfId="0" quotePrefix="1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49" fontId="15" fillId="0" borderId="0" xfId="0" applyNumberFormat="1" applyFont="1" applyAlignment="1" applyProtection="1">
      <alignment horizontal="left" wrapText="1"/>
      <protection locked="0"/>
    </xf>
    <xf numFmtId="49" fontId="15" fillId="0" borderId="19" xfId="0" applyNumberFormat="1" applyFont="1" applyBorder="1" applyAlignment="1" applyProtection="1">
      <alignment horizontal="left"/>
      <protection locked="0"/>
    </xf>
    <xf numFmtId="0" fontId="13" fillId="0" borderId="19" xfId="0" quotePrefix="1" applyFont="1" applyBorder="1" applyAlignment="1" applyProtection="1">
      <alignment horizontal="left"/>
      <protection locked="0"/>
    </xf>
    <xf numFmtId="0" fontId="15" fillId="0" borderId="19" xfId="0" applyFont="1" applyBorder="1" applyAlignment="1" applyProtection="1">
      <alignment horizontal="left"/>
      <protection locked="0"/>
    </xf>
    <xf numFmtId="0" fontId="13" fillId="0" borderId="19" xfId="0" applyFont="1" applyBorder="1" applyAlignment="1" applyProtection="1">
      <alignment horizontal="left"/>
      <protection locked="0"/>
    </xf>
    <xf numFmtId="49" fontId="13" fillId="0" borderId="19" xfId="0" quotePrefix="1" applyNumberFormat="1" applyFont="1" applyBorder="1" applyAlignment="1" applyProtection="1">
      <alignment horizontal="left"/>
      <protection locked="0"/>
    </xf>
    <xf numFmtId="49" fontId="15" fillId="21" borderId="12" xfId="0" quotePrefix="1" applyNumberFormat="1" applyFont="1" applyFill="1" applyBorder="1" applyAlignment="1" applyProtection="1">
      <alignment horizontal="left" vertical="top"/>
      <protection locked="0"/>
    </xf>
    <xf numFmtId="49" fontId="15" fillId="21" borderId="12" xfId="0" applyNumberFormat="1" applyFont="1" applyFill="1" applyBorder="1" applyAlignment="1" applyProtection="1">
      <alignment horizontal="left" vertical="top"/>
      <protection locked="0"/>
    </xf>
    <xf numFmtId="49" fontId="15" fillId="21" borderId="12" xfId="0" applyNumberFormat="1" applyFont="1" applyFill="1" applyBorder="1" applyAlignment="1" applyProtection="1">
      <alignment horizontal="left"/>
      <protection locked="0"/>
    </xf>
    <xf numFmtId="166" fontId="31" fillId="3" borderId="0" xfId="0" applyNumberFormat="1" applyFont="1" applyFill="1" applyProtection="1">
      <protection locked="0"/>
    </xf>
    <xf numFmtId="165" fontId="31" fillId="3" borderId="0" xfId="0" applyNumberFormat="1" applyFont="1" applyFill="1" applyProtection="1">
      <protection locked="0"/>
    </xf>
    <xf numFmtId="49" fontId="15" fillId="0" borderId="24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65" fontId="13" fillId="0" borderId="0" xfId="0" quotePrefix="1" applyNumberFormat="1" applyFont="1" applyProtection="1">
      <protection locked="0"/>
    </xf>
    <xf numFmtId="0" fontId="13" fillId="2" borderId="0" xfId="0" applyFont="1" applyFill="1" applyProtection="1">
      <protection locked="0"/>
    </xf>
    <xf numFmtId="0" fontId="10" fillId="6" borderId="8" xfId="0" quotePrefix="1" applyFont="1" applyFill="1" applyBorder="1" applyAlignment="1">
      <alignment horizontal="center" vertical="center" wrapText="1"/>
    </xf>
    <xf numFmtId="49" fontId="13" fillId="0" borderId="23" xfId="0" applyNumberFormat="1" applyFont="1" applyBorder="1"/>
    <xf numFmtId="0" fontId="15" fillId="0" borderId="19" xfId="0" quotePrefix="1" applyFont="1" applyBorder="1" applyAlignment="1" applyProtection="1">
      <alignment horizontal="left"/>
      <protection locked="0"/>
    </xf>
    <xf numFmtId="0" fontId="13" fillId="2" borderId="0" xfId="0" quotePrefix="1" applyFont="1" applyFill="1" applyAlignment="1" applyProtection="1">
      <alignment horizontal="left"/>
      <protection locked="0"/>
    </xf>
    <xf numFmtId="49" fontId="16" fillId="28" borderId="0" xfId="0" applyNumberFormat="1" applyFont="1" applyFill="1" applyProtection="1">
      <protection locked="0"/>
    </xf>
    <xf numFmtId="49" fontId="16" fillId="28" borderId="0" xfId="0" quotePrefix="1" applyNumberFormat="1" applyFont="1" applyFill="1" applyProtection="1">
      <protection locked="0"/>
    </xf>
    <xf numFmtId="166" fontId="16" fillId="25" borderId="0" xfId="1" applyNumberFormat="1" applyFont="1" applyFill="1" applyBorder="1" applyProtection="1"/>
    <xf numFmtId="165" fontId="31" fillId="28" borderId="0" xfId="0" applyNumberFormat="1" applyFont="1" applyFill="1" applyProtection="1">
      <protection locked="0"/>
    </xf>
    <xf numFmtId="165" fontId="31" fillId="18" borderId="0" xfId="0" applyNumberFormat="1" applyFont="1" applyFill="1" applyProtection="1">
      <protection locked="0"/>
    </xf>
    <xf numFmtId="167" fontId="31" fillId="18" borderId="0" xfId="0" applyNumberFormat="1" applyFont="1" applyFill="1" applyProtection="1">
      <protection locked="0"/>
    </xf>
    <xf numFmtId="167" fontId="31" fillId="18" borderId="16" xfId="0" applyNumberFormat="1" applyFont="1" applyFill="1" applyBorder="1" applyAlignment="1">
      <alignment wrapText="1"/>
    </xf>
    <xf numFmtId="166" fontId="31" fillId="22" borderId="0" xfId="0" applyNumberFormat="1" applyFont="1" applyFill="1" applyProtection="1">
      <protection locked="0"/>
    </xf>
    <xf numFmtId="167" fontId="31" fillId="22" borderId="0" xfId="0" applyNumberFormat="1" applyFont="1" applyFill="1" applyProtection="1">
      <protection locked="0"/>
    </xf>
    <xf numFmtId="165" fontId="31" fillId="22" borderId="0" xfId="0" applyNumberFormat="1" applyFont="1" applyFill="1" applyProtection="1">
      <protection locked="0"/>
    </xf>
    <xf numFmtId="49" fontId="15" fillId="22" borderId="0" xfId="0" quotePrefix="1" applyNumberFormat="1" applyFont="1" applyFill="1" applyProtection="1">
      <protection locked="0"/>
    </xf>
    <xf numFmtId="49" fontId="15" fillId="3" borderId="0" xfId="0" quotePrefix="1" applyNumberFormat="1" applyFont="1" applyFill="1" applyProtection="1">
      <protection locked="0"/>
    </xf>
    <xf numFmtId="49" fontId="13" fillId="3" borderId="0" xfId="0" applyNumberFormat="1" applyFont="1" applyFill="1" applyProtection="1">
      <protection locked="0"/>
    </xf>
    <xf numFmtId="164" fontId="16" fillId="22" borderId="0" xfId="1" applyNumberFormat="1" applyFont="1" applyFill="1" applyBorder="1" applyProtection="1"/>
    <xf numFmtId="164" fontId="16" fillId="22" borderId="0" xfId="1" applyNumberFormat="1" applyFont="1" applyFill="1"/>
    <xf numFmtId="164" fontId="16" fillId="24" borderId="25" xfId="1" applyNumberFormat="1" applyFont="1" applyFill="1" applyBorder="1" applyAlignment="1">
      <alignment vertical="center"/>
    </xf>
    <xf numFmtId="0" fontId="45" fillId="0" borderId="0" xfId="0" applyFont="1" applyAlignment="1" applyProtection="1">
      <alignment vertical="center"/>
      <protection locked="0"/>
    </xf>
    <xf numFmtId="49" fontId="13" fillId="0" borderId="34" xfId="0" quotePrefix="1" applyNumberFormat="1" applyFont="1" applyBorder="1"/>
    <xf numFmtId="49" fontId="16" fillId="25" borderId="33" xfId="0" applyNumberFormat="1" applyFont="1" applyFill="1" applyBorder="1"/>
    <xf numFmtId="164" fontId="16" fillId="22" borderId="0" xfId="1" applyNumberFormat="1" applyFont="1" applyFill="1" applyBorder="1"/>
    <xf numFmtId="0" fontId="0" fillId="0" borderId="19" xfId="0" applyBorder="1" applyProtection="1">
      <protection locked="0"/>
    </xf>
    <xf numFmtId="166" fontId="31" fillId="22" borderId="19" xfId="0" applyNumberFormat="1" applyFont="1" applyFill="1" applyBorder="1" applyProtection="1">
      <protection locked="0"/>
    </xf>
    <xf numFmtId="167" fontId="13" fillId="0" borderId="19" xfId="0" quotePrefix="1" applyNumberFormat="1" applyFont="1" applyBorder="1"/>
    <xf numFmtId="49" fontId="13" fillId="2" borderId="0" xfId="0" applyNumberFormat="1" applyFont="1" applyFill="1"/>
    <xf numFmtId="49" fontId="15" fillId="0" borderId="25" xfId="0" quotePrefix="1" applyNumberFormat="1" applyFont="1" applyBorder="1" applyAlignment="1" applyProtection="1">
      <alignment horizontal="left" vertical="center"/>
      <protection locked="0"/>
    </xf>
    <xf numFmtId="49" fontId="15" fillId="0" borderId="26" xfId="0" quotePrefix="1" applyNumberFormat="1" applyFont="1" applyBorder="1" applyAlignment="1" applyProtection="1">
      <alignment horizontal="left" vertical="center"/>
      <protection locked="0"/>
    </xf>
    <xf numFmtId="49" fontId="15" fillId="0" borderId="17" xfId="0" quotePrefix="1" applyNumberFormat="1" applyFont="1" applyBorder="1" applyAlignment="1" applyProtection="1">
      <alignment horizontal="left" vertical="center"/>
      <protection locked="0"/>
    </xf>
    <xf numFmtId="49" fontId="15" fillId="0" borderId="25" xfId="0" applyNumberFormat="1" applyFont="1" applyBorder="1" applyAlignment="1" applyProtection="1">
      <alignment horizontal="left" vertical="center"/>
      <protection locked="0"/>
    </xf>
    <xf numFmtId="0" fontId="15" fillId="0" borderId="26" xfId="0" quotePrefix="1" applyFont="1" applyBorder="1" applyProtection="1">
      <protection locked="0"/>
    </xf>
    <xf numFmtId="49" fontId="15" fillId="0" borderId="25" xfId="0" quotePrefix="1" applyNumberFormat="1" applyFont="1" applyBorder="1" applyAlignment="1">
      <alignment horizontal="left" vertical="center"/>
    </xf>
    <xf numFmtId="49" fontId="15" fillId="0" borderId="26" xfId="0" quotePrefix="1" applyNumberFormat="1" applyFont="1" applyBorder="1" applyAlignment="1">
      <alignment horizontal="left" vertical="center"/>
    </xf>
    <xf numFmtId="49" fontId="15" fillId="0" borderId="25" xfId="0" quotePrefix="1" applyNumberFormat="1" applyFont="1" applyBorder="1"/>
    <xf numFmtId="49" fontId="15" fillId="0" borderId="17" xfId="0" quotePrefix="1" applyNumberFormat="1" applyFont="1" applyBorder="1" applyAlignment="1">
      <alignment horizontal="left" vertical="center"/>
    </xf>
    <xf numFmtId="0" fontId="15" fillId="21" borderId="20" xfId="0" quotePrefix="1" applyFont="1" applyFill="1" applyBorder="1" applyAlignment="1" applyProtection="1">
      <alignment horizontal="left" vertical="top"/>
      <protection locked="0"/>
    </xf>
    <xf numFmtId="49" fontId="16" fillId="0" borderId="12" xfId="0" applyNumberFormat="1" applyFont="1" applyBorder="1" applyAlignment="1" applyProtection="1">
      <alignment horizontal="left" vertical="top"/>
      <protection locked="0"/>
    </xf>
    <xf numFmtId="49" fontId="15" fillId="0" borderId="25" xfId="0" quotePrefix="1" applyNumberFormat="1" applyFont="1" applyBorder="1" applyAlignment="1" applyProtection="1">
      <alignment horizontal="left" vertical="top"/>
      <protection locked="0"/>
    </xf>
    <xf numFmtId="49" fontId="15" fillId="21" borderId="20" xfId="0" quotePrefix="1" applyNumberFormat="1" applyFont="1" applyFill="1" applyBorder="1" applyAlignment="1" applyProtection="1">
      <alignment horizontal="left" vertical="top"/>
      <protection locked="0"/>
    </xf>
    <xf numFmtId="0" fontId="15" fillId="0" borderId="20" xfId="0" quotePrefix="1" applyFont="1" applyBorder="1" applyAlignment="1" applyProtection="1">
      <alignment horizontal="left"/>
      <protection locked="0"/>
    </xf>
    <xf numFmtId="49" fontId="15" fillId="0" borderId="0" xfId="0" quotePrefix="1" applyNumberFormat="1" applyFont="1" applyAlignment="1" applyProtection="1">
      <alignment horizontal="left" vertical="top"/>
      <protection locked="0"/>
    </xf>
    <xf numFmtId="49" fontId="15" fillId="0" borderId="17" xfId="0" quotePrefix="1" applyNumberFormat="1" applyFont="1" applyBorder="1" applyAlignment="1" applyProtection="1">
      <alignment horizontal="left" vertical="top"/>
      <protection locked="0"/>
    </xf>
    <xf numFmtId="49" fontId="15" fillId="0" borderId="25" xfId="0" applyNumberFormat="1" applyFont="1" applyBorder="1" applyAlignment="1" applyProtection="1">
      <alignment horizontal="left" vertical="top"/>
      <protection locked="0"/>
    </xf>
    <xf numFmtId="49" fontId="15" fillId="0" borderId="19" xfId="0" quotePrefix="1" applyNumberFormat="1" applyFont="1" applyBorder="1" applyAlignment="1" applyProtection="1">
      <alignment horizontal="left"/>
      <protection locked="0"/>
    </xf>
    <xf numFmtId="49" fontId="15" fillId="0" borderId="26" xfId="0" quotePrefix="1" applyNumberFormat="1" applyFont="1" applyBorder="1" applyAlignment="1" applyProtection="1">
      <alignment horizontal="left"/>
      <protection locked="0"/>
    </xf>
    <xf numFmtId="49" fontId="16" fillId="0" borderId="25" xfId="0" quotePrefix="1" applyNumberFormat="1" applyFont="1" applyBorder="1" applyAlignment="1" applyProtection="1">
      <alignment horizontal="left" vertical="center"/>
      <protection locked="0"/>
    </xf>
    <xf numFmtId="49" fontId="16" fillId="34" borderId="0" xfId="0" applyNumberFormat="1" applyFont="1" applyFill="1" applyProtection="1">
      <protection locked="0"/>
    </xf>
    <xf numFmtId="49" fontId="16" fillId="18" borderId="0" xfId="0" quotePrefix="1" applyNumberFormat="1" applyFont="1" applyFill="1" applyAlignment="1" applyProtection="1">
      <alignment horizontal="left" vertical="center"/>
      <protection locked="0"/>
    </xf>
    <xf numFmtId="49" fontId="16" fillId="18" borderId="0" xfId="0" quotePrefix="1" applyNumberFormat="1" applyFont="1" applyFill="1" applyProtection="1">
      <protection locked="0"/>
    </xf>
    <xf numFmtId="49" fontId="16" fillId="0" borderId="17" xfId="0" quotePrefix="1" applyNumberFormat="1" applyFont="1" applyBorder="1" applyAlignment="1" applyProtection="1">
      <alignment horizontal="left" vertical="center"/>
      <protection locked="0"/>
    </xf>
    <xf numFmtId="49" fontId="16" fillId="0" borderId="25" xfId="0" applyNumberFormat="1" applyFont="1" applyBorder="1" applyAlignment="1" applyProtection="1">
      <alignment horizontal="left" vertical="center"/>
      <protection locked="0"/>
    </xf>
    <xf numFmtId="49" fontId="13" fillId="0" borderId="25" xfId="0" quotePrefix="1" applyNumberFormat="1" applyFont="1" applyBorder="1" applyAlignment="1" applyProtection="1">
      <alignment horizontal="left" vertical="center"/>
      <protection locked="0"/>
    </xf>
    <xf numFmtId="49" fontId="13" fillId="0" borderId="17" xfId="0" quotePrefix="1" applyNumberFormat="1" applyFont="1" applyBorder="1" applyAlignment="1" applyProtection="1">
      <alignment horizontal="left" vertical="center"/>
      <protection locked="0"/>
    </xf>
    <xf numFmtId="49" fontId="13" fillId="0" borderId="25" xfId="0" applyNumberFormat="1" applyFont="1" applyBorder="1" applyAlignment="1" applyProtection="1">
      <alignment horizontal="left" vertical="center"/>
      <protection locked="0"/>
    </xf>
    <xf numFmtId="0" fontId="0" fillId="0" borderId="38" xfId="0" applyBorder="1" applyProtection="1">
      <protection locked="0"/>
    </xf>
    <xf numFmtId="49" fontId="15" fillId="0" borderId="31" xfId="0" quotePrefix="1" applyNumberFormat="1" applyFont="1" applyBorder="1" applyAlignment="1" applyProtection="1">
      <alignment vertical="top" wrapText="1"/>
      <protection locked="0"/>
    </xf>
    <xf numFmtId="49" fontId="30" fillId="0" borderId="36" xfId="0" quotePrefix="1" applyNumberFormat="1" applyFont="1" applyBorder="1" applyAlignment="1" applyProtection="1">
      <alignment wrapText="1"/>
      <protection locked="0"/>
    </xf>
    <xf numFmtId="49" fontId="13" fillId="0" borderId="32" xfId="0" quotePrefix="1" applyNumberFormat="1" applyFont="1" applyBorder="1" applyProtection="1">
      <protection locked="0"/>
    </xf>
    <xf numFmtId="166" fontId="17" fillId="25" borderId="0" xfId="0" applyNumberFormat="1" applyFont="1" applyFill="1" applyAlignment="1">
      <alignment horizontal="left"/>
    </xf>
    <xf numFmtId="49" fontId="16" fillId="25" borderId="0" xfId="0" applyNumberFormat="1" applyFont="1" applyFill="1"/>
    <xf numFmtId="165" fontId="17" fillId="25" borderId="33" xfId="0" applyNumberFormat="1" applyFont="1" applyFill="1" applyBorder="1" applyAlignment="1">
      <alignment horizontal="left"/>
    </xf>
    <xf numFmtId="166" fontId="23" fillId="25" borderId="0" xfId="0" applyNumberFormat="1" applyFont="1" applyFill="1" applyAlignment="1">
      <alignment horizontal="left"/>
    </xf>
    <xf numFmtId="165" fontId="17" fillId="9" borderId="33" xfId="0" applyNumberFormat="1" applyFont="1" applyFill="1" applyBorder="1" applyAlignment="1">
      <alignment horizontal="left"/>
    </xf>
    <xf numFmtId="164" fontId="16" fillId="24" borderId="17" xfId="1" applyNumberFormat="1" applyFont="1" applyFill="1" applyBorder="1" applyAlignment="1">
      <alignment vertical="center"/>
    </xf>
    <xf numFmtId="164" fontId="16" fillId="2" borderId="13" xfId="1" applyNumberFormat="1" applyFont="1" applyFill="1" applyBorder="1"/>
    <xf numFmtId="164" fontId="16" fillId="2" borderId="0" xfId="1" applyNumberFormat="1" applyFont="1" applyFill="1" applyBorder="1"/>
    <xf numFmtId="166" fontId="31" fillId="3" borderId="19" xfId="0" applyNumberFormat="1" applyFont="1" applyFill="1" applyBorder="1" applyProtection="1">
      <protection locked="0"/>
    </xf>
    <xf numFmtId="167" fontId="31" fillId="0" borderId="25" xfId="0" applyNumberFormat="1" applyFont="1" applyBorder="1" applyAlignment="1" applyProtection="1">
      <alignment vertical="center"/>
      <protection locked="0"/>
    </xf>
    <xf numFmtId="165" fontId="31" fillId="18" borderId="19" xfId="0" applyNumberFormat="1" applyFont="1" applyFill="1" applyBorder="1" applyProtection="1">
      <protection locked="0"/>
    </xf>
    <xf numFmtId="167" fontId="31" fillId="0" borderId="17" xfId="0" applyNumberFormat="1" applyFont="1" applyBorder="1" applyAlignment="1" applyProtection="1">
      <alignment vertical="center"/>
      <protection locked="0"/>
    </xf>
    <xf numFmtId="166" fontId="31" fillId="2" borderId="19" xfId="0" applyNumberFormat="1" applyFont="1" applyFill="1" applyBorder="1" applyProtection="1">
      <protection locked="0"/>
    </xf>
    <xf numFmtId="165" fontId="31" fillId="22" borderId="18" xfId="0" applyNumberFormat="1" applyFont="1" applyFill="1" applyBorder="1" applyProtection="1">
      <protection locked="0"/>
    </xf>
    <xf numFmtId="167" fontId="13" fillId="0" borderId="25" xfId="0" applyNumberFormat="1" applyFont="1" applyBorder="1" applyAlignment="1">
      <alignment vertical="center"/>
    </xf>
    <xf numFmtId="167" fontId="13" fillId="0" borderId="17" xfId="0" applyNumberFormat="1" applyFont="1" applyBorder="1" applyAlignment="1">
      <alignment vertical="center"/>
    </xf>
  </cellXfs>
  <cellStyles count="6">
    <cellStyle name="Comma" xfId="1" builtinId="3"/>
    <cellStyle name="Hyperlink" xfId="4" builtinId="8"/>
    <cellStyle name="Normal" xfId="0" builtinId="0"/>
    <cellStyle name="Normal 2" xfId="2" xr:uid="{780695D6-97F2-4A51-AA7E-7010FDF274B9}"/>
    <cellStyle name="Normal 3" xfId="3" xr:uid="{296FA15B-2781-494F-B31F-77AE1C15C72C}"/>
    <cellStyle name="Normal 5" xfId="5" xr:uid="{A8A249DD-BD43-4B2C-A65F-A6BA929BD27E}"/>
  </cellStyles>
  <dxfs count="9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fill>
        <patternFill>
          <fgColor indexed="64"/>
          <bgColor theme="2" tint="-9.9978637043366805E-2"/>
        </patternFill>
      </fill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theme="0" tint="-4.9989318521683403E-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0" tint="-4.9989318521683403E-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fill>
        <patternFill>
          <fgColor indexed="64"/>
          <bgColor theme="2" tint="-9.9978637043366805E-2"/>
        </patternFill>
      </fill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border diagonalUp="0" diagonalDown="0" outline="0">
        <left/>
        <right style="thin">
          <color theme="2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theme="2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theme="2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fill>
        <patternFill>
          <fgColor indexed="64"/>
          <bgColor theme="2" tint="-9.9978637043366805E-2"/>
        </patternFill>
      </fill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 outline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 outline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 outline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ill>
        <patternFill patternType="solid">
          <fgColor rgb="FFF2CEEF"/>
          <bgColor rgb="FF000000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fill>
        <patternFill>
          <fgColor indexed="64"/>
          <bgColor theme="2" tint="-9.9978637043366805E-2"/>
        </patternFill>
      </fill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_(* #,##0.00_);_(* \(#,##0.00\);_(* &quot;-&quot;_);_(@_)"/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6" formatCode="_(* #,##0.00_);_(* \(#,##0.00\);_(* &quot;-&quot;_);_(@_)"/>
      <fill>
        <patternFill>
          <fgColor indexed="64"/>
          <bgColor theme="2" tint="-9.9978637043366805E-2"/>
        </patternFill>
      </fill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4" formatCode="_(* #,##0_);_(* \(#,##0\);_(* &quot;-&quot;??_);_(@_)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>
          <fgColor indexed="64"/>
          <bgColor theme="2" tint="-9.9978637043366805E-2"/>
        </patternFill>
      </fill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left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5" formatCode="_(* #,##0.00_);[Red]_(* \(#,##0.00\);_(* &quot;-&quot;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  <numFmt numFmtId="167" formatCode="_(* #,##0_);[Red]_(* \(#,##0\);_(* &quot;-&quot;_);_(@_)"/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215C9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TableStyleMedium2" defaultPivotStyle="PivotStyleLight16">
    <tableStyle name="Table Style 2" pivot="0" count="1" xr9:uid="{CE8E3837-2EE7-46B4-AED8-50B32BBE02F8}">
      <tableStyleElement type="wholeTable" dxfId="922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FC9E3706-A73F-44EC-910B-17BA8F217244}">
    <Anchor>
      <Comment id="{27BA0B7F-EC46-4644-980A-461D2DC68503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27BA0B7F-EC46-4644-980A-461D2DC68503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27BA0B7F-EC46-4644-980A-461D2DC68503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27BA0B7F-EC46-4644-980A-461D2DC68503}"/>
        </Anchor>
        <SetTitle title="@Meadows, Leslie Please advise who should we reach out for this line item? Nothing hit until now."/>
      </Event>
    </History>
  </Task>
  <Task id="{A2E2C709-D913-4A2E-BA6A-E3C5BCAC8DDD}">
    <Anchor>
      <Comment id="{3B74B120-8E06-4069-AC17-1F720B643788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1FA57C2A-FEC1-48C3-B179-CEEBB120BF29}">
    <Anchor>
      <Comment id="{7AAE004F-F0AE-495C-A27C-6C4F32B3E81A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7AAE004F-F0AE-495C-A27C-6C4F32B3E81A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7AAE004F-F0AE-495C-A27C-6C4F32B3E81A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7AAE004F-F0AE-495C-A27C-6C4F32B3E81A}"/>
        </Anchor>
        <SetTitle title="@Meadows, Leslie Does this look ok to you?"/>
      </Event>
    </History>
  </Task>
  <Task id="{5BD9332D-E341-4B7E-855F-C9A34E371F79}">
    <Anchor>
      <Comment id="{8FE56CCB-8E46-4C67-B577-290711B66B3C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8FE56CCB-8E46-4C67-B577-290711B66B3C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8FE56CCB-8E46-4C67-B577-290711B66B3C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8FE56CCB-8E46-4C67-B577-290711B66B3C}"/>
        </Anchor>
        <SetTitle title="@Wilkins, Tanya @White, Charlotte Hilliard May i please get more details on this actual? Can't find it in the actuals file."/>
      </Event>
    </History>
  </Task>
  <Task id="{37F5A164-FD7E-484C-A366-A04AC54933D8}">
    <Anchor>
      <Comment id="{CFFFE537-00FE-4D6E-AEB0-CD739DEFE2BE}"/>
    </Anchor>
    <History>
      <Event time="2026-06-25T22:13:07.11" id="{29E6CB1E-ED6D-4CB2-8C43-8D430EB83F93}">
        <Attribution userId="S::panchk05@pfizer.com::bcc2b1c8-003d-4898-94f4-5a97a7698693" userName="Panchal, Kinjal (Contractor)" userProvider="AD"/>
        <Anchor>
          <Comment id="{CFFFE537-00FE-4D6E-AEB0-CD739DEFE2BE}"/>
        </Anchor>
        <Create/>
      </Event>
      <Event time="2026-06-25T22:13:07.11" id="{600CD611-915A-4AA3-A989-ABD94AFB848C}">
        <Attribution userId="S::panchk05@pfizer.com::bcc2b1c8-003d-4898-94f4-5a97a7698693" userName="Panchal, Kinjal (Contractor)" userProvider="AD"/>
        <Anchor>
          <Comment id="{CFFFE537-00FE-4D6E-AEB0-CD739DEFE2BE}"/>
        </Anchor>
        <Assign userId="S::WILKIT14@pfizer.com::e5ce3dba-744e-4dd6-ac31-b60f0da2f748" userName="Wilkins, Tanya" userProvider="AD"/>
      </Event>
      <Event time="2026-06-25T22:13:07.11" id="{F9F530E5-337C-41C8-B926-8A07FF7425E5}">
        <Attribution userId="S::panchk05@pfizer.com::bcc2b1c8-003d-4898-94f4-5a97a7698693" userName="Panchal, Kinjal (Contractor)" userProvider="AD"/>
        <Anchor>
          <Comment id="{CFFFE537-00FE-4D6E-AEB0-CD739DEFE2BE}"/>
        </Anchor>
        <SetTitle title="May i please get more details on actuals. @Wilkins, Tanya"/>
      </Event>
    </History>
  </Task>
  <Task id="{26492165-FAF9-47D4-A1ED-0228AEAA4959}">
    <Anchor>
      <Comment id="{C6E8497C-65C4-4A3D-A0EB-F8C8EF839FEE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C6E8497C-65C4-4A3D-A0EB-F8C8EF839FEE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C6E8497C-65C4-4A3D-A0EB-F8C8EF839FEE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C6E8497C-65C4-4A3D-A0EB-F8C8EF839FEE}"/>
        </Anchor>
        <SetTitle title="@Panchal, Kinjal (Contractor) to talk to Ram about this spent."/>
      </Event>
    </History>
  </Task>
  <Task id="{31FB016E-F2DD-4AED-A59C-8C32C7951FBB}">
    <Anchor>
      <Comment id="{D2BEF0B3-D36D-4673-96DF-5D8E95EF8D59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D2BEF0B3-D36D-4673-96DF-5D8E95EF8D59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D2BEF0B3-D36D-4673-96DF-5D8E95EF8D59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D2BEF0B3-D36D-4673-96DF-5D8E95EF8D59}"/>
        </Anchor>
        <SetTitle title="@Meadows, Leslie Hello @Meadows, Leslie Do you know who should we reach out to for this line item?"/>
      </Event>
    </History>
  </Task>
  <Task id="{D363EB77-062F-49F8-8BAA-8B582BA23BE8}">
    <Anchor>
      <Comment id="{BB7976F2-EDAF-4AF7-B8A4-F43F20C86DA3}"/>
    </Anchor>
    <History>
      <Event time="2026-06-18T19:51:13.05" id="{0BAB1FE4-B658-4D32-9D03-E2E52E62B814}">
        <Attribution userId="S::panchk05@pfizer.com::bcc2b1c8-003d-4898-94f4-5a97a7698693" userName="Panchal, Kinjal (Contractor)" userProvider="AD"/>
        <Anchor>
          <Comment id="{BB7976F2-EDAF-4AF7-B8A4-F43F20C86DA3}"/>
        </Anchor>
        <Create/>
      </Event>
      <Event time="2026-06-18T19:51:13.05" id="{3BF70A4C-98FC-461D-8396-258FE85F6F0F}">
        <Attribution userId="S::panchk05@pfizer.com::bcc2b1c8-003d-4898-94f4-5a97a7698693" userName="Panchal, Kinjal (Contractor)" userProvider="AD"/>
        <Anchor>
          <Comment id="{BB7976F2-EDAF-4AF7-B8A4-F43F20C86DA3}"/>
        </Anchor>
        <Assign userId="S::HILLIC01@pfizer.com::b9505e5c-92d6-4cbf-ba5f-576cb543db00" userName="White, Charlotte Hilliard" userProvider="AD"/>
      </Event>
      <Event time="2026-06-18T19:51:13.05" id="{CAAD13E2-E45D-448D-A2D3-84B240BCC338}">
        <Attribution userId="S::panchk05@pfizer.com::bcc2b1c8-003d-4898-94f4-5a97a7698693" userName="Panchal, Kinjal (Contractor)" userProvider="AD"/>
        <Anchor>
          <Comment id="{BB7976F2-EDAF-4AF7-B8A4-F43F20C86DA3}"/>
        </Anchor>
        <SetTitle title="@White, Charlotte Hilliard Where would i be able to get more details on this? Please advise. thank you"/>
      </Event>
    </History>
  </Task>
  <Task id="{3E6EF87A-4594-45CE-B6F6-0B1967B4F088}">
    <Anchor>
      <Comment id="{E66B0905-9BDF-461D-BB13-E69810CBA80F}"/>
    </Anchor>
    <History>
      <Event time="2026-08-10T19:29:25.23" id="{056A81AF-F0FF-4813-9AC7-53F9D6206AB3}">
        <Attribution userId="S::ATTARR@pfizer.com::58870e44-5582-4fed-9209-f3c2b888f3d7" userName="Attarde, Rahul" userProvider="AD"/>
        <Anchor>
          <Comment id="{E66B0905-9BDF-461D-BB13-E69810CBA80F}"/>
        </Anchor>
        <Create/>
      </Event>
      <Event time="2026-08-10T19:29:25.23" id="{C568EB8E-6669-46EE-9C79-F825B07AA95E}">
        <Attribution userId="S::ATTARR@pfizer.com::58870e44-5582-4fed-9209-f3c2b888f3d7" userName="Attarde, Rahul" userProvider="AD"/>
        <Anchor>
          <Comment id="{E66B0905-9BDF-461D-BB13-E69810CBA80F}"/>
        </Anchor>
        <Assign userId="S::HILLIC01@pfizer.com::b9505e5c-92d6-4cbf-ba5f-576cb543db00" userName="White, Charlotte Hilliard" userProvider="AD"/>
      </Event>
      <Event time="2026-08-10T19:29:25.23" id="{63EBA82C-F23C-449B-8099-4A03671F4425}">
        <Attribution userId="S::ATTARR@pfizer.com::58870e44-5582-4fed-9209-f3c2b888f3d7" userName="Attarde, Rahul" userProvider="AD"/>
        <Anchor>
          <Comment id="{E66B0905-9BDF-461D-BB13-E69810CBA80F}"/>
        </Anchor>
        <SetTitle title="@White, Charlotte Hilliard - I am not sure where this actual number came. This is leading to some discrepancy in calculations"/>
      </Event>
    </History>
  </Task>
  <Task id="{C4E4997D-9387-4F8B-A2D0-29A3FD98B6D5}">
    <Anchor>
      <Comment id="{813B0994-31C9-4B68-A9C2-8D646620322A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813B0994-31C9-4B68-A9C2-8D646620322A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813B0994-31C9-4B68-A9C2-8D646620322A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813B0994-31C9-4B68-A9C2-8D646620322A}"/>
        </Anchor>
        <SetTitle title="@Hoffman, Kerry Seems like we need to forecast more from June-Dec, seeing the average spent in past 5 months of about $16K per month."/>
      </Event>
    </History>
  </Task>
  <Task id="{82A0CF88-1FEA-4118-A50A-DD870ED6F2F6}">
    <Anchor>
      <Comment id="{9715EF3E-5D55-406C-BBBE-BF81C24DED25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716CE25E-C996-4CB7-B108-0241D798E4BF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716CE25E-C996-4CB7-B108-0241D798E4BF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716CE25E-C996-4CB7-B108-0241D798E4BF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BDB19B98-255A-467D-8A07-9D55298BAFF0}">
    <Anchor>
      <Comment id="{3E74060E-05DF-4C70-B99B-4FCAFA965FA9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3E74060E-05DF-4C70-B99B-4FCAFA965FA9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3E74060E-05DF-4C70-B99B-4FCAFA965FA9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3E74060E-05DF-4C70-B99B-4FCAFA965FA9}"/>
        </Anchor>
        <SetTitle title="@White, Charlotte Hilliard @Meadows, Leslie Hello Charlotte, what is this in regards too? Please advise. thank you"/>
      </Event>
    </History>
  </Task>
  <Task id="{2DF2E399-16FF-4A5B-A88B-4D05CEDF5BAE}">
    <Anchor>
      <Comment id="{92CE48AA-B1E5-4815-881D-39DC4A0F043B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92CE48AA-B1E5-4815-881D-39DC4A0F043B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92CE48AA-B1E5-4815-881D-39DC4A0F043B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92CE48AA-B1E5-4815-881D-39DC4A0F043B}"/>
        </Anchor>
        <SetTitle title="@Wilkins, Tanya May i please get more details on actuls."/>
      </Event>
    </History>
  </Task>
  <Task id="{849401A1-F5D6-4004-9A22-8CAC98615BDE}">
    <Anchor>
      <Comment id="{CC8C0B41-AD43-4600-B43A-BD2BD3929386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CC8C0B41-AD43-4600-B43A-BD2BD3929386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CC8C0B41-AD43-4600-B43A-BD2BD3929386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CC8C0B41-AD43-4600-B43A-BD2BD3929386}"/>
        </Anchor>
        <SetTitle title="@White, Charlotte Hilliard Please change the description to DIGITAL-CLOUD-AWS-CHARGES"/>
      </Event>
    </History>
  </Task>
  <Task id="{B0C8F8A1-B78B-47D4-8A69-C5DE1617E9FD}">
    <Anchor>
      <Comment id="{BE4B93C3-2479-4C5F-AC8F-68FFC8154B19}"/>
    </Anchor>
    <History>
      <Event time="2026-08-04T14:29:09.45" id="{C9899915-8C37-42EE-AA65-686269B73970}">
        <Attribution userId="S::panchk05@pfizer.com::bcc2b1c8-003d-4898-94f4-5a97a7698693" userName="Panchal, Kinjal (Contractor)" userProvider="AD"/>
        <Anchor>
          <Comment id="{BE4B93C3-2479-4C5F-AC8F-68FFC8154B19}"/>
        </Anchor>
        <Create/>
      </Event>
      <Event time="2026-08-04T14:29:09.45" id="{323F49E7-8794-4C4F-91A5-E29D14BA7F27}">
        <Attribution userId="S::panchk05@pfizer.com::bcc2b1c8-003d-4898-94f4-5a97a7698693" userName="Panchal, Kinjal (Contractor)" userProvider="AD"/>
        <Anchor>
          <Comment id="{BE4B93C3-2479-4C5F-AC8F-68FFC8154B19}"/>
        </Anchor>
        <Assign userId="S::WILKIT14@pfizer.com::e5ce3dba-744e-4dd6-ac31-b60f0da2f748" userName="Wilkins, Tanya" userProvider="AD"/>
      </Event>
      <Event time="2026-08-04T14:29:09.45" id="{3FA92D07-41CE-4B75-B58A-867FCFC63B13}">
        <Attribution userId="S::panchk05@pfizer.com::bcc2b1c8-003d-4898-94f4-5a97a7698693" userName="Panchal, Kinjal (Contractor)" userProvider="AD"/>
        <Anchor>
          <Comment id="{BE4B93C3-2479-4C5F-AC8F-68FFC8154B19}"/>
        </Anchor>
        <SetTitle title="@Wilkins, Tanya What project code is this for?"/>
      </Event>
    </History>
  </Task>
  <Task id="{2241C5AE-2C13-41B4-9CAD-DDB0C2B8D0EE}">
    <Anchor>
      <Comment id="{7099BD8D-43E7-4685-B310-047FCCBEA96D}"/>
    </Anchor>
    <History>
      <Event time="2026-08-10T14:26:23.58" id="{9CF61F6D-A14B-42A7-BF8A-8493958EDF46}">
        <Attribution userId="S::HILLIC01@pfizer.com::b9505e5c-92d6-4cbf-ba5f-576cb543db00" userName="White, Charlotte Hilliard" userProvider="AD"/>
        <Anchor>
          <Comment id="{7099BD8D-43E7-4685-B310-047FCCBEA96D}"/>
        </Anchor>
        <Create/>
      </Event>
      <Event time="2026-08-10T14:26:23.58" id="{96418285-A0D6-45B9-9582-BB07ED6C45AD}">
        <Attribution userId="S::HILLIC01@pfizer.com::b9505e5c-92d6-4cbf-ba5f-576cb543db00" userName="White, Charlotte Hilliard" userProvider="AD"/>
        <Anchor>
          <Comment id="{7099BD8D-43E7-4685-B310-047FCCBEA96D}"/>
        </Anchor>
        <Assign userId="S::MEADOWL@pfizer.com::9b881be9-36ee-4c64-b3d1-bb3f8443fa25" userName="Meadows, Leslie" userProvider="AD"/>
      </Event>
      <Event time="2026-08-10T14:26:23.58" id="{1A710503-F897-4918-B3D5-F8F6259890DB}">
        <Attribution userId="S::HILLIC01@pfizer.com::b9505e5c-92d6-4cbf-ba5f-576cb543db00" userName="White, Charlotte Hilliard" userProvider="AD"/>
        <Anchor>
          <Comment id="{7099BD8D-43E7-4685-B310-047FCCBEA96D}"/>
        </Anchor>
        <SetTitle title="@Meadows, Leslie @Hoffman, Kerry @Panchal, Kinjal (Contractor) - Is this placeholder still needed? Have we aligned SAP charges for the remainder of the year?"/>
      </Event>
    </History>
  </Task>
  <Task id="{2871BAB0-0895-4D09-B653-C5549732A8B6}">
    <Anchor>
      <Comment id="{58532A22-7F31-48C8-A0D0-82160821B82B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58532A22-7F31-48C8-A0D0-82160821B82B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58532A22-7F31-48C8-A0D0-82160821B82B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58532A22-7F31-48C8-A0D0-82160821B82B}"/>
        </Anchor>
        <SetTitle title="@Orth, Susan @White, Charlotte Hilliard This should be under Ram from 2027 as the current PO9501062399 is under cc 2335671. Please take this off from Ram's in 2026. thank you"/>
      </Event>
    </History>
  </Task>
  <Task id="{7F2AC3C5-7BAB-40BF-86A7-9E87009AD09F}">
    <Anchor>
      <Comment id="{8FFC269C-DFE2-47C1-B404-75AA1BDB3667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8FFC269C-DFE2-47C1-B404-75AA1BDB3667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8FFC269C-DFE2-47C1-B404-75AA1BDB3667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8FFC269C-DFE2-47C1-B404-75AA1BDB3667}"/>
        </Anchor>
        <SetTitle title="@Meadows, Leslie Does this look good?"/>
      </Event>
    </History>
  </Task>
  <Task id="{0C83C6CD-8081-44D5-985A-27273922E326}">
    <Anchor>
      <Comment id="{13C7B340-30B8-464B-98EF-C581A064FBD4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0E94EE20-2E53-4E98-9FA6-3D9A626AEC95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0E94EE20-2E53-4E98-9FA6-3D9A626AEC95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0E94EE20-2E53-4E98-9FA6-3D9A626AEC95}"/>
        </Anchor>
        <SetTitle title="@Meadows, Leslie Savings from IBM S2 PO9501158432 for about $80K."/>
      </Event>
    </History>
  </Task>
  <Task id="{F58C05D7-DC86-4139-B7EE-1F448D26175E}">
    <Anchor>
      <Comment id="{BE7299B2-37E9-4422-8EF0-36F6931CD80B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BE7299B2-37E9-4422-8EF0-36F6931CD80B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BE7299B2-37E9-4422-8EF0-36F6931CD80B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BE7299B2-37E9-4422-8EF0-36F6931CD80B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EC3006D7-F3AE-4ED0-9C2F-9DCB52C51AC6}">
    <Anchor>
      <Comment id="{C63D0640-CB30-4EA5-9A37-213AE38E1768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5B6CDE4C-F95C-459E-98AE-D3EB140FEB31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5B6CDE4C-F95C-459E-98AE-D3EB140FEB31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5B6CDE4C-F95C-459E-98AE-D3EB140FEB31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  <Task id="{46C67ADC-CBCD-41E7-B021-4E46773F4B4A}">
    <Anchor>
      <Comment id="{6E9596F8-D94E-44B9-B6AB-9879AA98F1BE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6E9596F8-D94E-44B9-B6AB-9879AA98F1BE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6E9596F8-D94E-44B9-B6AB-9879AA98F1BE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6E9596F8-D94E-44B9-B6AB-9879AA98F1BE}"/>
        </Anchor>
        <SetTitle title="@White, Charlotte Hilliard May I please get more details on these charges as i couldn't find this in the actuals file. @Wilkins, Tanya"/>
      </Event>
    </History>
  </Task>
  <Task id="{F442C8DC-1C05-4753-9841-7EF90CD86C7D}">
    <Anchor>
      <Comment id="{B4A2D926-7589-45DB-B232-A1DB396CB27D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B4A2D926-7589-45DB-B232-A1DB396CB27D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B4A2D926-7589-45DB-B232-A1DB396CB27D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B4A2D926-7589-45DB-B232-A1DB396CB27D}"/>
        </Anchor>
        <SetTitle title="@White, Charlotte Hilliard IT was a give back for $26,400.00 in AP04 - I couldnt find any notes or amounts in LE3 - Please advise. thank you"/>
      </Event>
    </History>
  </Task>
  <Task id="{00B9DDFE-DD71-4C0F-9C40-EBE2546EEB04}">
    <Anchor>
      <Comment id="{AE8F57FE-8A90-4C32-95DA-06E5D368279D}"/>
    </Anchor>
    <History>
      <Event time="2026-08-04T13:40:16.35" id="{5F21E60B-577C-4830-9046-643C40D1504A}">
        <Attribution userId="S::panchk05@pfizer.com::bcc2b1c8-003d-4898-94f4-5a97a7698693" userName="Panchal, Kinjal (Contractor)" userProvider="AD"/>
        <Anchor>
          <Comment id="{AE8F57FE-8A90-4C32-95DA-06E5D368279D}"/>
        </Anchor>
        <Create/>
      </Event>
      <Event time="2026-08-04T13:40:16.35" id="{FD323739-488E-4E2A-B68E-99D38BDEFFCB}">
        <Attribution userId="S::panchk05@pfizer.com::bcc2b1c8-003d-4898-94f4-5a97a7698693" userName="Panchal, Kinjal (Contractor)" userProvider="AD"/>
        <Anchor>
          <Comment id="{AE8F57FE-8A90-4C32-95DA-06E5D368279D}"/>
        </Anchor>
        <Assign userId="S::HILLIC01@pfizer.com::b9505e5c-92d6-4cbf-ba5f-576cb543db00" userName="White, Charlotte Hilliard" userProvider="AD"/>
      </Event>
      <Event time="2026-08-04T13:40:16.35" id="{854CB4B8-7066-46C3-982C-B396D9EE7232}">
        <Attribution userId="S::panchk05@pfizer.com::bcc2b1c8-003d-4898-94f4-5a97a7698693" userName="Panchal, Kinjal (Contractor)" userProvider="AD"/>
        <Anchor>
          <Comment id="{AE8F57FE-8A90-4C32-95DA-06E5D368279D}"/>
        </Anchor>
        <SetTitle title="This is Nik's - shouldn't be in Ram's. Its Nik's CC. @White, Charlotte Hilliard @Wilkins, Tanya @Hoffman, Kerry"/>
      </Event>
    </History>
  </Task>
</Tasks>
</file>

<file path=xl/documenttasks/documenttask2.xml><?xml version="1.0" encoding="utf-8"?>
<Tasks xmlns="http://schemas.microsoft.com/office/tasks/2019/documenttasks">
  <Task id="{4EB9FC0D-C64E-4EED-BE11-289BBEDBF8B0}">
    <Anchor>
      <Comment id="{F097BE76-6D5D-4513-B421-E489CDC6AEFB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B356EE78-6A0A-41EB-AF53-EF26BF6B5969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B356EE78-6A0A-41EB-AF53-EF26BF6B5969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B356EE78-6A0A-41EB-AF53-EF26BF6B5969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B457A513-45BD-461A-ABAB-9734A178EA53}">
    <Anchor>
      <Comment id="{39BA5EBE-CE33-4D67-A520-E4E155F905B5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39BA5EBE-CE33-4D67-A520-E4E155F905B5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39BA5EBE-CE33-4D67-A520-E4E155F905B5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39BA5EBE-CE33-4D67-A520-E4E155F905B5}"/>
        </Anchor>
        <SetTitle title="@Wilkins, Tanya May i please get more details on actuls."/>
      </Event>
    </History>
  </Task>
  <Task id="{D3726C22-8CF1-40A2-BDF9-EDB91D0DB001}">
    <Anchor>
      <Comment id="{FAD9A70F-2C9B-439F-BF59-4AE126A42F0D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FAD9A70F-2C9B-439F-BF59-4AE126A42F0D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FAD9A70F-2C9B-439F-BF59-4AE126A42F0D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FAD9A70F-2C9B-439F-BF59-4AE126A42F0D}"/>
        </Anchor>
        <SetTitle title="@White, Charlotte Hilliard May I please get more details on these charges as i couldn't find this in the actuals file. @Wilkins, Tanya"/>
      </Event>
    </History>
  </Task>
  <Task id="{4537673F-9CC1-406A-80ED-C58D19E00A96}">
    <Anchor>
      <Comment id="{2373C840-2B1B-4E7C-A162-B17BA926FD22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2373C840-2B1B-4E7C-A162-B17BA926FD22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2373C840-2B1B-4E7C-A162-B17BA926FD22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2373C840-2B1B-4E7C-A162-B17BA926FD22}"/>
        </Anchor>
        <SetTitle title="@Orth, Susan @White, Charlotte Hilliard This should be under Ram from 2027 as the current PO9501062399 is under cc 2335671. Please take this off from Ram's in 2026. thank you"/>
      </Event>
    </History>
  </Task>
  <Task id="{2371267F-CF2F-4A11-9026-D576CF2144A4}">
    <Anchor>
      <Comment id="{A064E479-F358-4D7B-BD4E-B3323AE13365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A064E479-F358-4D7B-BD4E-B3323AE13365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A064E479-F358-4D7B-BD4E-B3323AE13365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A064E479-F358-4D7B-BD4E-B3323AE13365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4610598F-58E5-4DDB-800E-68DF95EEECDA}">
    <Anchor>
      <Comment id="{353E6FC6-CC57-4B09-A482-8BFB83DE73DE}"/>
    </Anchor>
    <History>
      <Event time="2026-06-25T22:13:07.11" id="{29E6CB1E-ED6D-4CB2-8C43-8D430EB83F93}">
        <Attribution userId="S::panchk05@pfizer.com::bcc2b1c8-003d-4898-94f4-5a97a7698693" userName="Panchal, Kinjal (Contractor)" userProvider="AD"/>
        <Anchor>
          <Comment id="{353E6FC6-CC57-4B09-A482-8BFB83DE73DE}"/>
        </Anchor>
        <Create/>
      </Event>
      <Event time="2026-06-25T22:13:07.11" id="{600CD611-915A-4AA3-A989-ABD94AFB848C}">
        <Attribution userId="S::panchk05@pfizer.com::bcc2b1c8-003d-4898-94f4-5a97a7698693" userName="Panchal, Kinjal (Contractor)" userProvider="AD"/>
        <Anchor>
          <Comment id="{353E6FC6-CC57-4B09-A482-8BFB83DE73DE}"/>
        </Anchor>
        <Assign userId="S::WILKIT14@pfizer.com::e5ce3dba-744e-4dd6-ac31-b60f0da2f748" userName="Wilkins, Tanya" userProvider="AD"/>
      </Event>
      <Event time="2026-06-25T22:13:07.11" id="{F9F530E5-337C-41C8-B926-8A07FF7425E5}">
        <Attribution userId="S::panchk05@pfizer.com::bcc2b1c8-003d-4898-94f4-5a97a7698693" userName="Panchal, Kinjal (Contractor)" userProvider="AD"/>
        <Anchor>
          <Comment id="{353E6FC6-CC57-4B09-A482-8BFB83DE73DE}"/>
        </Anchor>
        <SetTitle title="May i please get more details on actuals. @Wilkins, Tanya"/>
      </Event>
    </History>
  </Task>
  <Task id="{7414BC91-C16A-458F-B66B-367BD24159F1}">
    <Anchor>
      <Comment id="{05E5850F-C2C0-47A9-9AF4-EFF00B3FA7EF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05E5850F-C2C0-47A9-9AF4-EFF00B3FA7EF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05E5850F-C2C0-47A9-9AF4-EFF00B3FA7EF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05E5850F-C2C0-47A9-9AF4-EFF00B3FA7EF}"/>
        </Anchor>
        <SetTitle title="@Panchal, Kinjal (Contractor) to talk to Ram about this spent."/>
      </Event>
    </History>
  </Task>
  <Task id="{ACBFEA96-49DB-4B5B-9103-14D15FC29F7E}">
    <Anchor>
      <Comment id="{730C6E01-249F-4A67-995F-22EF66278C5C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161351D4-2270-4620-B0C5-1731C028FF61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161351D4-2270-4620-B0C5-1731C028FF61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161351D4-2270-4620-B0C5-1731C028FF61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  <Task id="{A45902A1-FF58-45F6-8C8A-DA234C93F7AF}">
    <Anchor>
      <Comment id="{83A6CD0C-472B-4E0D-9C7E-010985D6D38F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83A6CD0C-472B-4E0D-9C7E-010985D6D38F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83A6CD0C-472B-4E0D-9C7E-010985D6D38F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83A6CD0C-472B-4E0D-9C7E-010985D6D38F}"/>
        </Anchor>
        <SetTitle title="@Hoffman, Kerry Seems like we need to forecast more from June-Dec, seeing the average spent in past 5 months of about $16K per month."/>
      </Event>
    </History>
  </Task>
  <Task id="{FF346EAD-E1C8-4744-89EE-4E750E3A2EDE}">
    <Anchor>
      <Comment id="{CBC8F441-1EEE-4B03-B330-877BE9AF9AE9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CBC8F441-1EEE-4B03-B330-877BE9AF9AE9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CBC8F441-1EEE-4B03-B330-877BE9AF9AE9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CBC8F441-1EEE-4B03-B330-877BE9AF9AE9}"/>
        </Anchor>
        <SetTitle title="@White, Charlotte Hilliard IT was a give back for $26,400.00 in AP04 - I couldnt find any notes or amounts in LE3 - Please advise. thank you"/>
      </Event>
    </History>
  </Task>
  <Task id="{93F7EFAD-9806-4921-85FB-385D5CE0E740}">
    <Anchor>
      <Comment id="{D93E6A86-CFF8-44DE-AF74-076932932D75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D93E6A86-CFF8-44DE-AF74-076932932D75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D93E6A86-CFF8-44DE-AF74-076932932D75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D93E6A86-CFF8-44DE-AF74-076932932D75}"/>
        </Anchor>
        <SetTitle title="@Meadows, Leslie Please advise who should we reach out for this line item? Nothing hit until now."/>
      </Event>
    </History>
  </Task>
  <Task id="{D89793B6-73C5-4BFB-8A5C-3BC88A092D74}">
    <Anchor>
      <Comment id="{FBE8E873-636E-4769-82C0-92911B60EACA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D901185F-02B4-4780-9DBE-936BDE9AEBF7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D901185F-02B4-4780-9DBE-936BDE9AEBF7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D901185F-02B4-4780-9DBE-936BDE9AEBF7}"/>
        </Anchor>
        <SetTitle title="@Meadows, Leslie Savings from IBM S2 PO9501158432 for about $80K."/>
      </Event>
    </History>
  </Task>
  <Task id="{E03D33C4-7CC3-4ECC-A6E4-3CF9291F6608}">
    <Anchor>
      <Comment id="{E761596C-CAF8-4A71-94D7-2648328CF044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E761596C-CAF8-4A71-94D7-2648328CF044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E761596C-CAF8-4A71-94D7-2648328CF044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E761596C-CAF8-4A71-94D7-2648328CF044}"/>
        </Anchor>
        <SetTitle title="@White, Charlotte Hilliard Please change the description to DIGITAL-CLOUD-AWS-CHARGES"/>
      </Event>
    </History>
  </Task>
  <Task id="{EF0656C7-2EEB-49A8-A13A-58F9EF1D4E97}">
    <Anchor>
      <Comment id="{5FDA0B83-1BD2-4E80-B316-B818090242A9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5FDA0B83-1BD2-4E80-B316-B818090242A9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5FDA0B83-1BD2-4E80-B316-B818090242A9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5FDA0B83-1BD2-4E80-B316-B818090242A9}"/>
        </Anchor>
        <SetTitle title="@White, Charlotte Hilliard @Meadows, Leslie Hello Charlotte, what is this in regards too? Please advise. thank you"/>
      </Event>
    </History>
  </Task>
  <Task id="{5488D9D0-6507-4062-8152-496EE9186768}">
    <Anchor>
      <Comment id="{E5A1034B-65D2-4CBF-AD93-5218537F5514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E5A1034B-65D2-4CBF-AD93-5218537F5514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E5A1034B-65D2-4CBF-AD93-5218537F5514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E5A1034B-65D2-4CBF-AD93-5218537F5514}"/>
        </Anchor>
        <SetTitle title="@Wilkins, Tanya @White, Charlotte Hilliard May i please get more details on this actual? Can't find it in the actuals file."/>
      </Event>
    </History>
  </Task>
  <Task id="{B2C079D2-3FF9-4065-A14D-D046E21DB4C3}">
    <Anchor>
      <Comment id="{ABBAA6C9-8880-4CED-8766-A42E7675D31A}"/>
    </Anchor>
    <History>
      <Event time="2026-06-18T19:51:13.05" id="{0BAB1FE4-B658-4D32-9D03-E2E52E62B814}">
        <Attribution userId="S::panchk05@pfizer.com::bcc2b1c8-003d-4898-94f4-5a97a7698693" userName="Panchal, Kinjal (Contractor)" userProvider="AD"/>
        <Anchor>
          <Comment id="{ABBAA6C9-8880-4CED-8766-A42E7675D31A}"/>
        </Anchor>
        <Create/>
      </Event>
      <Event time="2026-06-18T19:51:13.05" id="{3BF70A4C-98FC-461D-8396-258FE85F6F0F}">
        <Attribution userId="S::panchk05@pfizer.com::bcc2b1c8-003d-4898-94f4-5a97a7698693" userName="Panchal, Kinjal (Contractor)" userProvider="AD"/>
        <Anchor>
          <Comment id="{ABBAA6C9-8880-4CED-8766-A42E7675D31A}"/>
        </Anchor>
        <Assign userId="S::HILLIC01@pfizer.com::b9505e5c-92d6-4cbf-ba5f-576cb543db00" userName="White, Charlotte Hilliard" userProvider="AD"/>
      </Event>
      <Event time="2026-06-18T19:51:13.05" id="{CAAD13E2-E45D-448D-A2D3-84B240BCC338}">
        <Attribution userId="S::panchk05@pfizer.com::bcc2b1c8-003d-4898-94f4-5a97a7698693" userName="Panchal, Kinjal (Contractor)" userProvider="AD"/>
        <Anchor>
          <Comment id="{ABBAA6C9-8880-4CED-8766-A42E7675D31A}"/>
        </Anchor>
        <SetTitle title="@White, Charlotte Hilliard Where would i be able to get more details on this? Please advise. thank you"/>
      </Event>
    </History>
  </Task>
  <Task id="{0ED274D4-E7E8-426B-8E58-4413BAAAEC38}">
    <Anchor>
      <Comment id="{D8591E2F-EDC0-4C6A-85D1-0807B67383C7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D8591E2F-EDC0-4C6A-85D1-0807B67383C7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D8591E2F-EDC0-4C6A-85D1-0807B67383C7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D8591E2F-EDC0-4C6A-85D1-0807B67383C7}"/>
        </Anchor>
        <SetTitle title="@Meadows, Leslie Does this look good?"/>
      </Event>
    </History>
  </Task>
  <Task id="{2DB6EEE4-6304-4E03-B36D-002C30A8D405}">
    <Anchor>
      <Comment id="{D02ADEB0-46D7-4E60-9AD9-6BAF155D02F9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D02ADEB0-46D7-4E60-9AD9-6BAF155D02F9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D02ADEB0-46D7-4E60-9AD9-6BAF155D02F9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D02ADEB0-46D7-4E60-9AD9-6BAF155D02F9}"/>
        </Anchor>
        <SetTitle title="@Meadows, Leslie Hello @Meadows, Leslie Do you know who should we reach out to for this line item?"/>
      </Event>
    </History>
  </Task>
  <Task id="{DF2D78EF-2E3B-43EE-A5E0-CDB2B23AACFE}">
    <Anchor>
      <Comment id="{A7235683-8874-4E9E-B076-FD2B75C03F89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F9E957F2-F9C5-4A7D-BB31-255A8782DF2F}">
    <Anchor>
      <Comment id="{63C94BC3-E11A-4B62-ADB4-3CA1EB0BC7B3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63C94BC3-E11A-4B62-ADB4-3CA1EB0BC7B3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63C94BC3-E11A-4B62-ADB4-3CA1EB0BC7B3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63C94BC3-E11A-4B62-ADB4-3CA1EB0BC7B3}"/>
        </Anchor>
        <SetTitle title="@Meadows, Leslie Does this look ok to you?"/>
      </Event>
    </History>
  </Task>
</Tasks>
</file>

<file path=xl/documenttasks/documenttask3.xml><?xml version="1.0" encoding="utf-8"?>
<Tasks xmlns="http://schemas.microsoft.com/office/tasks/2019/documenttasks">
  <Task id="{A3593A01-48C4-448D-B390-2EB6D9A08C0F}">
    <Anchor>
      <Comment id="{36687A84-327D-400B-B8EB-A9CC97037FCD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36687A84-327D-400B-B8EB-A9CC97037FCD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36687A84-327D-400B-B8EB-A9CC97037FCD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36687A84-327D-400B-B8EB-A9CC97037FCD}"/>
        </Anchor>
        <SetTitle title="@Meadows, Leslie Does this look ok to you?"/>
      </Event>
    </History>
  </Task>
  <Task id="{ACF3F204-FE6E-402B-975B-E5D1A86A849C}">
    <Anchor>
      <Comment id="{F37AA49E-5D05-416E-9F83-3727B64194CF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F37AA49E-5D05-416E-9F83-3727B64194CF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F37AA49E-5D05-416E-9F83-3727B64194CF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F37AA49E-5D05-416E-9F83-3727B64194CF}"/>
        </Anchor>
        <SetTitle title="@Wilkins, Tanya May i please get more details on actuls."/>
      </Event>
    </History>
  </Task>
  <Task id="{9D54D905-3868-4D92-9434-A78E06CEBC4B}">
    <Anchor>
      <Comment id="{FABCA567-BED1-4334-96DB-20510AEDE67D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FABCA567-BED1-4334-96DB-20510AEDE67D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FABCA567-BED1-4334-96DB-20510AEDE67D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FABCA567-BED1-4334-96DB-20510AEDE67D}"/>
        </Anchor>
        <SetTitle title="@Panchal, Kinjal (Contractor) to talk to Ram about this spent."/>
      </Event>
    </History>
  </Task>
  <Task id="{60B8280E-E155-42AD-91B7-0EA1F0007517}">
    <Anchor>
      <Comment id="{8A60C8C2-7B04-4F11-B118-89A2EA352415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8A60C8C2-7B04-4F11-B118-89A2EA352415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8A60C8C2-7B04-4F11-B118-89A2EA352415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8A60C8C2-7B04-4F11-B118-89A2EA352415}"/>
        </Anchor>
        <SetTitle title="@Meadows, Leslie Hello @Meadows, Leslie Do you know who should we reach out to for this line item?"/>
      </Event>
    </History>
  </Task>
  <Task id="{D9671D4E-688A-4967-BD59-65060B0CFD49}">
    <Anchor>
      <Comment id="{54200976-E54A-4AF2-AAFC-37C5FD256279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54200976-E54A-4AF2-AAFC-37C5FD256279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54200976-E54A-4AF2-AAFC-37C5FD256279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54200976-E54A-4AF2-AAFC-37C5FD256279}"/>
        </Anchor>
        <SetTitle title="@White, Charlotte Hilliard IT was a give back for $26,400.00 in AP04 - I couldnt find any notes or amounts in LE3 - Please advise. thank you"/>
      </Event>
    </History>
  </Task>
  <Task id="{ACB8D252-9362-4199-A017-DD2093DC82E1}">
    <Anchor>
      <Comment id="{7EFC45A4-F043-428F-8083-E50672D5EB86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7EFC45A4-F043-428F-8083-E50672D5EB86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7EFC45A4-F043-428F-8083-E50672D5EB86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7EFC45A4-F043-428F-8083-E50672D5EB86}"/>
        </Anchor>
        <SetTitle title="@Wilkins, Tanya @White, Charlotte Hilliard May i please get more details on this actual? Can't find it in the actuals file."/>
      </Event>
    </History>
  </Task>
  <Task id="{7D34315B-299D-406B-95A1-FC5387A5DEB7}">
    <Anchor>
      <Comment id="{2BDBAD01-39A5-4AA4-A6C1-A6FAD56FC396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2BDBAD01-39A5-4AA4-A6C1-A6FAD56FC396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2BDBAD01-39A5-4AA4-A6C1-A6FAD56FC396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2BDBAD01-39A5-4AA4-A6C1-A6FAD56FC396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A842C663-6DC4-4F30-B46F-F00D9CE5FE46}">
    <Anchor>
      <Comment id="{B1C3200B-A013-4BA0-96DA-63868D9956FE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692A26E5-13D7-4BFA-8204-29F70FCA644E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692A26E5-13D7-4BFA-8204-29F70FCA644E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692A26E5-13D7-4BFA-8204-29F70FCA644E}"/>
        </Anchor>
        <SetTitle title="@Meadows, Leslie Savings from IBM S2 PO9501158432 for about $80K."/>
      </Event>
    </History>
  </Task>
  <Task id="{B8D54D66-7BF4-474D-956F-474BF8D36036}">
    <Anchor>
      <Comment id="{416D1D55-185C-4EAE-B674-93E3407E7E18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416D1D55-185C-4EAE-B674-93E3407E7E18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416D1D55-185C-4EAE-B674-93E3407E7E18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416D1D55-185C-4EAE-B674-93E3407E7E18}"/>
        </Anchor>
        <SetTitle title="@Orth, Susan @White, Charlotte Hilliard This should be under Ram from 2027 as the current PO9501062399 is under cc 2335671. Please take this off from Ram's in 2026. thank you"/>
      </Event>
    </History>
  </Task>
  <Task id="{64AC737D-AF1B-432D-8778-F8A8713FE253}">
    <Anchor>
      <Comment id="{FCB38033-AC99-4FDE-AB16-9BF6359537D5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F8E78246-CCE4-45E5-92AD-06430ED5C8D9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F8E78246-CCE4-45E5-92AD-06430ED5C8D9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F8E78246-CCE4-45E5-92AD-06430ED5C8D9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0F4A567F-E3EA-4949-BE86-FD0F19200BBF}">
    <Anchor>
      <Comment id="{E8DB1415-DDFC-426E-817A-76E97686A2FC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E8DB1415-DDFC-426E-817A-76E97686A2FC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E8DB1415-DDFC-426E-817A-76E97686A2FC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E8DB1415-DDFC-426E-817A-76E97686A2FC}"/>
        </Anchor>
        <SetTitle title="@White, Charlotte Hilliard @Meadows, Leslie Hello Charlotte, what is this in regards too? Please advise. thank you"/>
      </Event>
    </History>
  </Task>
  <Task id="{C5D2928E-3ED7-4B01-9628-35DFAF81E752}">
    <Anchor>
      <Comment id="{C9A0D1C2-629C-4C53-98C1-2A6FE0888A6C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C9A0D1C2-629C-4C53-98C1-2A6FE0888A6C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C9A0D1C2-629C-4C53-98C1-2A6FE0888A6C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C9A0D1C2-629C-4C53-98C1-2A6FE0888A6C}"/>
        </Anchor>
        <SetTitle title="@Meadows, Leslie Does this look good?"/>
      </Event>
    </History>
  </Task>
  <Task id="{A95462AE-B8BB-462A-952D-8D642F4F9CFB}">
    <Anchor>
      <Comment id="{130CA48C-CDD6-41FD-A7B4-E68ACEC81B74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130CA48C-CDD6-41FD-A7B4-E68ACEC81B74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130CA48C-CDD6-41FD-A7B4-E68ACEC81B74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130CA48C-CDD6-41FD-A7B4-E68ACEC81B74}"/>
        </Anchor>
        <SetTitle title="@White, Charlotte Hilliard May I please get more details on these charges as i couldn't find this in the actuals file. @Wilkins, Tanya"/>
      </Event>
    </History>
  </Task>
  <Task id="{817AF1B2-9D88-415A-A800-A213A7218FCC}">
    <Anchor>
      <Comment id="{54CAE408-FB50-45AB-92B1-97D0E4D4AB17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54CAE408-FB50-45AB-92B1-97D0E4D4AB17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54CAE408-FB50-45AB-92B1-97D0E4D4AB17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54CAE408-FB50-45AB-92B1-97D0E4D4AB17}"/>
        </Anchor>
        <SetTitle title="@Hoffman, Kerry Seems like we need to forecast more from June-Dec, seeing the average spent in past 5 months of about $16K per month."/>
      </Event>
    </History>
  </Task>
  <Task id="{143E8FB3-9A1A-4F3D-AFFB-21A945CAD684}">
    <Anchor>
      <Comment id="{AB241259-D62A-4ED2-BC80-1BDB861FA249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AB241259-D62A-4ED2-BC80-1BDB861FA249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AB241259-D62A-4ED2-BC80-1BDB861FA249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AB241259-D62A-4ED2-BC80-1BDB861FA249}"/>
        </Anchor>
        <SetTitle title="@Meadows, Leslie Please advise who should we reach out for this line item? Nothing hit until now."/>
      </Event>
    </History>
  </Task>
  <Task id="{AFFC59B9-109F-486B-BAD8-CAEFFD5E0EA3}">
    <Anchor>
      <Comment id="{AA59013A-F96B-48F1-A117-9DFD6D6DD03F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AA59013A-F96B-48F1-A117-9DFD6D6DD03F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AA59013A-F96B-48F1-A117-9DFD6D6DD03F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AA59013A-F96B-48F1-A117-9DFD6D6DD03F}"/>
        </Anchor>
        <SetTitle title="@White, Charlotte Hilliard Please change the description to DIGITAL-CLOUD-AWS-CHARGES"/>
      </Event>
    </History>
  </Task>
  <Task id="{87BD36BB-9450-4BC0-9C1C-D2014704B9E5}">
    <Anchor>
      <Comment id="{D79813BB-FCC3-4E0A-9945-D44AF116368C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B87718CA-3A29-4A1E-A2CD-693DB856D101}">
    <Anchor>
      <Comment id="{6AE834DA-FBA9-4A80-B004-C46E47F5D74D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044BA9A8-3EBF-4097-8FD1-50B292A5FF11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044BA9A8-3EBF-4097-8FD1-50B292A5FF11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044BA9A8-3EBF-4097-8FD1-50B292A5FF11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</Tasks>
</file>

<file path=xl/documenttasks/documenttask4.xml><?xml version="1.0" encoding="utf-8"?>
<Tasks xmlns="http://schemas.microsoft.com/office/tasks/2019/documenttasks">
  <Task id="{BBDB3807-D18D-4F50-88A0-04DE21F12C6B}">
    <Anchor>
      <Comment id="{D5250F64-B546-4CC1-A1C1-9763B2298E2F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D5250F64-B546-4CC1-A1C1-9763B2298E2F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D5250F64-B546-4CC1-A1C1-9763B2298E2F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D5250F64-B546-4CC1-A1C1-9763B2298E2F}"/>
        </Anchor>
        <SetTitle title="@Hoffman, Kerry Seems like we need to forecast more from June-Dec, seeing the average spent in past 5 months of about $16K per month."/>
      </Event>
    </History>
  </Task>
  <Task id="{5A88B212-37F9-4EF7-A39F-6C9E30E86860}">
    <Anchor>
      <Comment id="{5C1BABDA-B098-43EB-A766-09151C40B8C7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5C1BABDA-B098-43EB-A766-09151C40B8C7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5C1BABDA-B098-43EB-A766-09151C40B8C7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5C1BABDA-B098-43EB-A766-09151C40B8C7}"/>
        </Anchor>
        <SetTitle title="@White, Charlotte Hilliard May I please get more details on these charges as i couldn't find this in the actuals file. @Wilkins, Tanya"/>
      </Event>
    </History>
  </Task>
  <Task id="{D10C9628-F901-4CC8-95E1-0A54EE278DE7}">
    <Anchor>
      <Comment id="{73218A01-EEE4-4ADA-A21C-99FC589302C3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73218A01-EEE4-4ADA-A21C-99FC589302C3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73218A01-EEE4-4ADA-A21C-99FC589302C3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73218A01-EEE4-4ADA-A21C-99FC589302C3}"/>
        </Anchor>
        <SetTitle title="@Meadows, Leslie Please advise who should we reach out for this line item? Nothing hit until now."/>
      </Event>
    </History>
  </Task>
  <Task id="{8C47DD5A-980F-4FC9-A6BE-9C1962B91714}">
    <Anchor>
      <Comment id="{E224B7DD-0B6F-42CF-8701-A7C95FEADF63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29662290-7E04-442D-AA20-6C734E7E6C75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29662290-7E04-442D-AA20-6C734E7E6C75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29662290-7E04-442D-AA20-6C734E7E6C75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E499EF77-A220-4B32-9C2E-FB51BBF8D5CF}">
    <Anchor>
      <Comment id="{A0C6228A-C308-498A-A9DC-0A5A22FEC124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A0C6228A-C308-498A-A9DC-0A5A22FEC124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A0C6228A-C308-498A-A9DC-0A5A22FEC124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A0C6228A-C308-498A-A9DC-0A5A22FEC124}"/>
        </Anchor>
        <SetTitle title="@Panchal, Kinjal (Contractor) to talk to Ram about this spent."/>
      </Event>
    </History>
  </Task>
  <Task id="{A26AA187-A1FD-4436-B0B0-5EDD2A3C4C99}">
    <Anchor>
      <Comment id="{81C052EC-C9CE-4251-8D3B-DD1B8C78279E}"/>
    </Anchor>
    <History>
      <Event time="2026-06-18T19:51:13.05" id="{0BAB1FE4-B658-4D32-9D03-E2E52E62B814}">
        <Attribution userId="S::panchk05@pfizer.com::bcc2b1c8-003d-4898-94f4-5a97a7698693" userName="Panchal, Kinjal (Contractor)" userProvider="AD"/>
        <Anchor>
          <Comment id="{81C052EC-C9CE-4251-8D3B-DD1B8C78279E}"/>
        </Anchor>
        <Create/>
      </Event>
      <Event time="2026-06-18T19:51:13.05" id="{3BF70A4C-98FC-461D-8396-258FE85F6F0F}">
        <Attribution userId="S::panchk05@pfizer.com::bcc2b1c8-003d-4898-94f4-5a97a7698693" userName="Panchal, Kinjal (Contractor)" userProvider="AD"/>
        <Anchor>
          <Comment id="{81C052EC-C9CE-4251-8D3B-DD1B8C78279E}"/>
        </Anchor>
        <Assign userId="S::HILLIC01@pfizer.com::b9505e5c-92d6-4cbf-ba5f-576cb543db00" userName="White, Charlotte Hilliard" userProvider="AD"/>
      </Event>
      <Event time="2026-06-18T19:51:13.05" id="{CAAD13E2-E45D-448D-A2D3-84B240BCC338}">
        <Attribution userId="S::panchk05@pfizer.com::bcc2b1c8-003d-4898-94f4-5a97a7698693" userName="Panchal, Kinjal (Contractor)" userProvider="AD"/>
        <Anchor>
          <Comment id="{81C052EC-C9CE-4251-8D3B-DD1B8C78279E}"/>
        </Anchor>
        <SetTitle title="@White, Charlotte Hilliard Where would i be able to get more details on this? Please advise. thank you"/>
      </Event>
    </History>
  </Task>
  <Task id="{4B43558B-6A59-4C42-A716-61F1261F6E8F}">
    <Anchor>
      <Comment id="{0D1A52AF-EF08-4F7E-A0CB-EA64E73EC757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0D1A52AF-EF08-4F7E-A0CB-EA64E73EC757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0D1A52AF-EF08-4F7E-A0CB-EA64E73EC757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0D1A52AF-EF08-4F7E-A0CB-EA64E73EC757}"/>
        </Anchor>
        <SetTitle title="@White, Charlotte Hilliard Please change the description to DIGITAL-CLOUD-AWS-CHARGES"/>
      </Event>
    </History>
  </Task>
  <Task id="{DF435C8E-C5F2-496A-B75D-05D28D640F1E}">
    <Anchor>
      <Comment id="{EAB1AD31-ED7D-43BF-879C-6E19ECF9828E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388D4262-1410-482E-92FD-3DDA7FA1E991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388D4262-1410-482E-92FD-3DDA7FA1E991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388D4262-1410-482E-92FD-3DDA7FA1E991}"/>
        </Anchor>
        <SetTitle title="@Meadows, Leslie Savings from IBM S2 PO9501158432 for about $80K."/>
      </Event>
    </History>
  </Task>
  <Task id="{60D60A95-00FE-4886-9C2D-5628AC802EFF}">
    <Anchor>
      <Comment id="{BEBE7EA8-F68D-4F96-9744-E72124300C80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BEBE7EA8-F68D-4F96-9744-E72124300C80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BEBE7EA8-F68D-4F96-9744-E72124300C80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BEBE7EA8-F68D-4F96-9744-E72124300C80}"/>
        </Anchor>
        <SetTitle title="@Meadows, Leslie Does this look good?"/>
      </Event>
    </History>
  </Task>
  <Task id="{185FFC9C-5082-4219-A5BB-9CF6E0497E27}">
    <Anchor>
      <Comment id="{3AA90881-B3F6-4059-915F-7D5DB0E4EAED}"/>
    </Anchor>
    <History>
      <Event time="2026-06-25T22:13:07.11" id="{29E6CB1E-ED6D-4CB2-8C43-8D430EB83F93}">
        <Attribution userId="S::panchk05@pfizer.com::bcc2b1c8-003d-4898-94f4-5a97a7698693" userName="Panchal, Kinjal (Contractor)" userProvider="AD"/>
        <Anchor>
          <Comment id="{3AA90881-B3F6-4059-915F-7D5DB0E4EAED}"/>
        </Anchor>
        <Create/>
      </Event>
      <Event time="2026-06-25T22:13:07.11" id="{600CD611-915A-4AA3-A989-ABD94AFB848C}">
        <Attribution userId="S::panchk05@pfizer.com::bcc2b1c8-003d-4898-94f4-5a97a7698693" userName="Panchal, Kinjal (Contractor)" userProvider="AD"/>
        <Anchor>
          <Comment id="{3AA90881-B3F6-4059-915F-7D5DB0E4EAED}"/>
        </Anchor>
        <Assign userId="S::WILKIT14@pfizer.com::e5ce3dba-744e-4dd6-ac31-b60f0da2f748" userName="Wilkins, Tanya" userProvider="AD"/>
      </Event>
      <Event time="2026-06-25T22:13:07.11" id="{F9F530E5-337C-41C8-B926-8A07FF7425E5}">
        <Attribution userId="S::panchk05@pfizer.com::bcc2b1c8-003d-4898-94f4-5a97a7698693" userName="Panchal, Kinjal (Contractor)" userProvider="AD"/>
        <Anchor>
          <Comment id="{3AA90881-B3F6-4059-915F-7D5DB0E4EAED}"/>
        </Anchor>
        <SetTitle title="May i please get more details on actuals. @Wilkins, Tanya"/>
      </Event>
    </History>
  </Task>
  <Task id="{555757A6-16E0-47F7-B3BD-0B458F9D76F8}">
    <Anchor>
      <Comment id="{0B583ECC-A15D-4E13-A796-0186DCDFE2A6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0B583ECC-A15D-4E13-A796-0186DCDFE2A6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0B583ECC-A15D-4E13-A796-0186DCDFE2A6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0B583ECC-A15D-4E13-A796-0186DCDFE2A6}"/>
        </Anchor>
        <SetTitle title="@White, Charlotte Hilliard IT was a give back for $26,400.00 in AP04 - I couldnt find any notes or amounts in LE3 - Please advise. thank you"/>
      </Event>
    </History>
  </Task>
  <Task id="{02C5DFB8-AF4A-48DB-B089-9BABA6770856}">
    <Anchor>
      <Comment id="{677F6075-218F-4E97-BE91-869C960CA7A3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677F6075-218F-4E97-BE91-869C960CA7A3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677F6075-218F-4E97-BE91-869C960CA7A3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677F6075-218F-4E97-BE91-869C960CA7A3}"/>
        </Anchor>
        <SetTitle title="@Orth, Susan @White, Charlotte Hilliard This should be under Ram from 2027 as the current PO9501062399 is under cc 2335671. Please take this off from Ram's in 2026. thank you"/>
      </Event>
    </History>
  </Task>
  <Task id="{1C4327B9-3C1D-4E74-B095-BD8F4EEFBABF}">
    <Anchor>
      <Comment id="{8649BAD5-F8F5-4F68-B4BB-1CBE00CC1831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8649BAD5-F8F5-4F68-B4BB-1CBE00CC1831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8649BAD5-F8F5-4F68-B4BB-1CBE00CC1831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8649BAD5-F8F5-4F68-B4BB-1CBE00CC1831}"/>
        </Anchor>
        <SetTitle title="@White, Charlotte Hilliard @Meadows, Leslie Hello Charlotte, what is this in regards too? Please advise. thank you"/>
      </Event>
    </History>
  </Task>
  <Task id="{658983BD-B7AD-4211-A896-0207AFC003E9}">
    <Anchor>
      <Comment id="{EDF03E7B-4AA3-4C60-8776-03A3C9EBB7EF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EDF03E7B-4AA3-4C60-8776-03A3C9EBB7EF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EDF03E7B-4AA3-4C60-8776-03A3C9EBB7EF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EDF03E7B-4AA3-4C60-8776-03A3C9EBB7EF}"/>
        </Anchor>
        <SetTitle title="@Wilkins, Tanya @White, Charlotte Hilliard May i please get more details on this actual? Can't find it in the actuals file."/>
      </Event>
    </History>
  </Task>
  <Task id="{92A68ABF-0A01-4A09-A099-4ECAE09C1A92}">
    <Anchor>
      <Comment id="{D815120F-3B89-4431-9CC9-F7103E033A4D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97FE66CC-ACDE-4F31-BCBC-2A935E336AA3}">
    <Anchor>
      <Comment id="{26BBCB77-C86D-42A3-9858-1962AC7220A0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26BBCB77-C86D-42A3-9858-1962AC7220A0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26BBCB77-C86D-42A3-9858-1962AC7220A0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26BBCB77-C86D-42A3-9858-1962AC7220A0}"/>
        </Anchor>
        <SetTitle title="@Meadows, Leslie Hello @Meadows, Leslie Do you know who should we reach out to for this line item?"/>
      </Event>
    </History>
  </Task>
  <Task id="{796682D0-56C5-4443-A22B-805CE722DF5B}">
    <Anchor>
      <Comment id="{CF75F5F8-1221-4C75-B94C-210FB44ED177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E671B8FA-1101-4F7A-871F-671D45052BC1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E671B8FA-1101-4F7A-871F-671D45052BC1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E671B8FA-1101-4F7A-871F-671D45052BC1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  <Task id="{EB99E8DE-BDF9-4A20-A831-90B52B2D4C40}">
    <Anchor>
      <Comment id="{C5219780-0837-40FD-AFFA-295977CC1CFF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C5219780-0837-40FD-AFFA-295977CC1CFF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C5219780-0837-40FD-AFFA-295977CC1CFF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C5219780-0837-40FD-AFFA-295977CC1CFF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137E5BEF-1F9A-41A3-8285-02824E007202}">
    <Anchor>
      <Comment id="{90BD8C05-5157-449B-ABB2-05C36CE92FA9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90BD8C05-5157-449B-ABB2-05C36CE92FA9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90BD8C05-5157-449B-ABB2-05C36CE92FA9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90BD8C05-5157-449B-ABB2-05C36CE92FA9}"/>
        </Anchor>
        <SetTitle title="@Wilkins, Tanya May i please get more details on actuls."/>
      </Event>
    </History>
  </Task>
  <Task id="{C64A10F3-F2FC-460D-AB3D-114181D057A9}">
    <Anchor>
      <Comment id="{ABCDD63C-DD76-4F8C-A054-A45DC4F491AF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ABCDD63C-DD76-4F8C-A054-A45DC4F491AF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ABCDD63C-DD76-4F8C-A054-A45DC4F491AF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ABCDD63C-DD76-4F8C-A054-A45DC4F491AF}"/>
        </Anchor>
        <SetTitle title="@Meadows, Leslie Does this look ok to you?"/>
      </Event>
    </History>
  </Task>
</Tasks>
</file>

<file path=xl/documenttasks/documenttask5.xml><?xml version="1.0" encoding="utf-8"?>
<Tasks xmlns="http://schemas.microsoft.com/office/tasks/2019/documenttasks">
  <Task id="{44F2BB0A-5070-4D41-AC31-8131EEB15D6E}">
    <Anchor>
      <Comment id="{DBED9B2F-09BA-4EB4-B624-96B765FBAE03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D863D822-C171-4A79-9DFB-49D978C93C1D}">
    <Anchor>
      <Comment id="{8E689BF7-80CB-4455-87B5-B4822A1EACD0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7C3637F0-6715-4126-98EF-DCBCF1FB6158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7C3637F0-6715-4126-98EF-DCBCF1FB6158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7C3637F0-6715-4126-98EF-DCBCF1FB6158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  <Task id="{5279E826-9377-4395-90D4-80E9B6355B83}">
    <Anchor>
      <Comment id="{0B90C634-0341-47A4-A6F9-333AEF222CE8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0B90C634-0341-47A4-A6F9-333AEF222CE8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0B90C634-0341-47A4-A6F9-333AEF222CE8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0B90C634-0341-47A4-A6F9-333AEF222CE8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803CED4B-0A8C-40F5-B2A1-F841E720E9AD}">
    <Anchor>
      <Comment id="{8B671C33-96AE-4016-81C7-503E78663C20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8B671C33-96AE-4016-81C7-503E78663C20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8B671C33-96AE-4016-81C7-503E78663C20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8B671C33-96AE-4016-81C7-503E78663C20}"/>
        </Anchor>
        <SetTitle title="@Meadows, Leslie Please advise who should we reach out for this line item? Nothing hit until now."/>
      </Event>
    </History>
  </Task>
  <Task id="{1683CE50-ADC5-45E6-8366-F2D6D93C5A1B}">
    <Anchor>
      <Comment id="{602CA239-B568-4AEB-A187-70B8F5BE844E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602CA239-B568-4AEB-A187-70B8F5BE844E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602CA239-B568-4AEB-A187-70B8F5BE844E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602CA239-B568-4AEB-A187-70B8F5BE844E}"/>
        </Anchor>
        <SetTitle title="@Hoffman, Kerry Seems like we need to forecast more from June-Dec, seeing the average spent in past 5 months of about $16K per month."/>
      </Event>
    </History>
  </Task>
  <Task id="{234BF052-56AD-4569-8C36-5481A5E1AAF8}">
    <Anchor>
      <Comment id="{70EDA3E5-EC0C-4749-8A63-E7886796E62F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70EDA3E5-EC0C-4749-8A63-E7886796E62F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70EDA3E5-EC0C-4749-8A63-E7886796E62F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70EDA3E5-EC0C-4749-8A63-E7886796E62F}"/>
        </Anchor>
        <SetTitle title="@White, Charlotte Hilliard Please change the description to DIGITAL-CLOUD-AWS-CHARGES"/>
      </Event>
    </History>
  </Task>
  <Task id="{9E808C8C-74A7-4F8B-A0A5-DBB153284A39}">
    <Anchor>
      <Comment id="{760F2587-541F-42BB-876B-47EA142CD3E6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760F2587-541F-42BB-876B-47EA142CD3E6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760F2587-541F-42BB-876B-47EA142CD3E6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760F2587-541F-42BB-876B-47EA142CD3E6}"/>
        </Anchor>
        <SetTitle title="@Meadows, Leslie Does this look ok to you?"/>
      </Event>
    </History>
  </Task>
  <Task id="{76C52F8D-DB4A-45E2-AC56-7C2875187537}">
    <Anchor>
      <Comment id="{1AD07C3C-563B-43E9-BDF5-457C9A027E4F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1AD07C3C-563B-43E9-BDF5-457C9A027E4F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1AD07C3C-563B-43E9-BDF5-457C9A027E4F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1AD07C3C-563B-43E9-BDF5-457C9A027E4F}"/>
        </Anchor>
        <SetTitle title="@Meadows, Leslie Hello @Meadows, Leslie Do you know who should we reach out to for this line item?"/>
      </Event>
    </History>
  </Task>
  <Task id="{669DFEA1-30B2-4FA2-82BD-75B03AE76BE1}">
    <Anchor>
      <Comment id="{A2D2459E-756C-4FDB-9E25-7FD880365BE5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A2D2459E-756C-4FDB-9E25-7FD880365BE5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A2D2459E-756C-4FDB-9E25-7FD880365BE5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A2D2459E-756C-4FDB-9E25-7FD880365BE5}"/>
        </Anchor>
        <SetTitle title="@Meadows, Leslie Does this look good?"/>
      </Event>
    </History>
  </Task>
  <Task id="{2258F3A4-CB23-430A-AEDB-C68B0A6C2694}">
    <Anchor>
      <Comment id="{F7F64683-4797-499A-AEE4-F2B336484CED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C7586166-F419-4A44-B08B-FA8E31EED7AE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C7586166-F419-4A44-B08B-FA8E31EED7AE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C7586166-F419-4A44-B08B-FA8E31EED7AE}"/>
        </Anchor>
        <SetTitle title="@Meadows, Leslie Savings from IBM S2 PO9501158432 for about $80K."/>
      </Event>
    </History>
  </Task>
  <Task id="{240B4EAD-DA70-4BCD-B6EB-12C8D4EF2581}">
    <Anchor>
      <Comment id="{7F39EF51-A9FE-45DC-8601-6388C3773F0D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7F39EF51-A9FE-45DC-8601-6388C3773F0D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7F39EF51-A9FE-45DC-8601-6388C3773F0D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7F39EF51-A9FE-45DC-8601-6388C3773F0D}"/>
        </Anchor>
        <SetTitle title="@White, Charlotte Hilliard May I please get more details on these charges as i couldn't find this in the actuals file. @Wilkins, Tanya"/>
      </Event>
    </History>
  </Task>
  <Task id="{E5DF7FBA-B7E5-4E98-9EA2-7A762F0B87B9}">
    <Anchor>
      <Comment id="{E70F0F74-4839-45E8-A802-8DDB1AAC76FD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E70F0F74-4839-45E8-A802-8DDB1AAC76FD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E70F0F74-4839-45E8-A802-8DDB1AAC76FD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E70F0F74-4839-45E8-A802-8DDB1AAC76FD}"/>
        </Anchor>
        <SetTitle title="@White, Charlotte Hilliard IT was a give back for $26,400.00 in AP04 - I couldnt find any notes or amounts in LE3 - Please advise. thank you"/>
      </Event>
    </History>
  </Task>
  <Task id="{B18E1DCC-9328-468B-BDE9-E1D9B8ECEA85}">
    <Anchor>
      <Comment id="{6CA05D8B-A2A4-4E3D-85BE-721D75A2A5C2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6CA05D8B-A2A4-4E3D-85BE-721D75A2A5C2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6CA05D8B-A2A4-4E3D-85BE-721D75A2A5C2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6CA05D8B-A2A4-4E3D-85BE-721D75A2A5C2}"/>
        </Anchor>
        <SetTitle title="@Panchal, Kinjal (Contractor) to talk to Ram about this spent."/>
      </Event>
    </History>
  </Task>
  <Task id="{3F3925D5-CD4E-4C89-AD3E-16B8D1759364}">
    <Anchor>
      <Comment id="{5CB0B81F-4873-4F85-94BF-00F9C1676B69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5CB0B81F-4873-4F85-94BF-00F9C1676B69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5CB0B81F-4873-4F85-94BF-00F9C1676B69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5CB0B81F-4873-4F85-94BF-00F9C1676B69}"/>
        </Anchor>
        <SetTitle title="@Orth, Susan @White, Charlotte Hilliard This should be under Ram from 2027 as the current PO9501062399 is under cc 2335671. Please take this off from Ram's in 2026. thank you"/>
      </Event>
    </History>
  </Task>
  <Task id="{3F034AF1-7DB6-477C-A490-DB0157F98D4F}">
    <Anchor>
      <Comment id="{B1E6B2BF-F741-4839-AAF3-445A258FE82C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B1E6B2BF-F741-4839-AAF3-445A258FE82C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B1E6B2BF-F741-4839-AAF3-445A258FE82C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B1E6B2BF-F741-4839-AAF3-445A258FE82C}"/>
        </Anchor>
        <SetTitle title="@White, Charlotte Hilliard @Meadows, Leslie Hello Charlotte, what is this in regards too? Please advise. thank you"/>
      </Event>
    </History>
  </Task>
  <Task id="{263815F2-CF2A-4928-A25C-E52132DFCA01}">
    <Anchor>
      <Comment id="{A0D8D884-7B30-4ACE-A3D6-85454DFF08DA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A36F7BC7-FC2E-4B38-A16C-F25E1BA2AB26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A36F7BC7-FC2E-4B38-A16C-F25E1BA2AB26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A36F7BC7-FC2E-4B38-A16C-F25E1BA2AB26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</Tasks>
</file>

<file path=xl/documenttasks/documenttask6.xml><?xml version="1.0" encoding="utf-8"?>
<Tasks xmlns="http://schemas.microsoft.com/office/tasks/2019/documenttasks">
  <Task id="{85488B2A-7C4F-4E10-BFD3-2525558A8668}">
    <Anchor>
      <Comment id="{2600D21B-92AC-4BD6-9F55-84F9B841DC08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2600D21B-92AC-4BD6-9F55-84F9B841DC08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2600D21B-92AC-4BD6-9F55-84F9B841DC08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2600D21B-92AC-4BD6-9F55-84F9B841DC08}"/>
        </Anchor>
        <SetTitle title="@Wilkins, Tanya @White, Charlotte Hilliard May i please get more details on this actual? Can't find it in the actuals file."/>
      </Event>
    </History>
  </Task>
  <Task id="{BF6E0C3A-4631-4209-AC9B-B02E28FAA012}">
    <Anchor>
      <Comment id="{249F15B0-AB30-4517-8571-55086DC6581D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249F15B0-AB30-4517-8571-55086DC6581D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249F15B0-AB30-4517-8571-55086DC6581D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249F15B0-AB30-4517-8571-55086DC6581D}"/>
        </Anchor>
        <SetTitle title="@Wilkins, Tanya May i please get more details on actuls."/>
      </Event>
    </History>
  </Task>
  <Task id="{87060C43-712B-4292-836E-F102DE47E9A0}">
    <Anchor>
      <Comment id="{4FA16A44-B316-46B7-9083-8B1EAFB77636}"/>
    </Anchor>
    <History>
      <Event time="2026-06-18T19:51:13.05" id="{0BAB1FE4-B658-4D32-9D03-E2E52E62B814}">
        <Attribution userId="S::panchk05@pfizer.com::bcc2b1c8-003d-4898-94f4-5a97a7698693" userName="Panchal, Kinjal (Contractor)" userProvider="AD"/>
        <Anchor>
          <Comment id="{4FA16A44-B316-46B7-9083-8B1EAFB77636}"/>
        </Anchor>
        <Create/>
      </Event>
      <Event time="2026-06-18T19:51:13.05" id="{3BF70A4C-98FC-461D-8396-258FE85F6F0F}">
        <Attribution userId="S::panchk05@pfizer.com::bcc2b1c8-003d-4898-94f4-5a97a7698693" userName="Panchal, Kinjal (Contractor)" userProvider="AD"/>
        <Anchor>
          <Comment id="{4FA16A44-B316-46B7-9083-8B1EAFB77636}"/>
        </Anchor>
        <Assign userId="S::HILLIC01@pfizer.com::b9505e5c-92d6-4cbf-ba5f-576cb543db00" userName="White, Charlotte Hilliard" userProvider="AD"/>
      </Event>
      <Event time="2026-06-18T19:51:13.05" id="{CAAD13E2-E45D-448D-A2D3-84B240BCC338}">
        <Attribution userId="S::panchk05@pfizer.com::bcc2b1c8-003d-4898-94f4-5a97a7698693" userName="Panchal, Kinjal (Contractor)" userProvider="AD"/>
        <Anchor>
          <Comment id="{4FA16A44-B316-46B7-9083-8B1EAFB77636}"/>
        </Anchor>
        <SetTitle title="@White, Charlotte Hilliard Where would i be able to get more details on this? Please advise. thank you"/>
      </Event>
    </History>
  </Task>
  <Task id="{EC9304A5-FE3D-4F97-BE98-CEF4D9858EFC}">
    <Anchor>
      <Comment id="{A496D44D-8CBE-43BF-930A-2B0D60C8F20D}"/>
    </Anchor>
    <History>
      <Event time="2026-06-25T22:13:07.11" id="{29E6CB1E-ED6D-4CB2-8C43-8D430EB83F93}">
        <Attribution userId="S::panchk05@pfizer.com::bcc2b1c8-003d-4898-94f4-5a97a7698693" userName="Panchal, Kinjal (Contractor)" userProvider="AD"/>
        <Anchor>
          <Comment id="{A496D44D-8CBE-43BF-930A-2B0D60C8F20D}"/>
        </Anchor>
        <Create/>
      </Event>
      <Event time="2026-06-25T22:13:07.11" id="{600CD611-915A-4AA3-A989-ABD94AFB848C}">
        <Attribution userId="S::panchk05@pfizer.com::bcc2b1c8-003d-4898-94f4-5a97a7698693" userName="Panchal, Kinjal (Contractor)" userProvider="AD"/>
        <Anchor>
          <Comment id="{A496D44D-8CBE-43BF-930A-2B0D60C8F20D}"/>
        </Anchor>
        <Assign userId="S::WILKIT14@pfizer.com::e5ce3dba-744e-4dd6-ac31-b60f0da2f748" userName="Wilkins, Tanya" userProvider="AD"/>
      </Event>
      <Event time="2026-06-25T22:13:07.11" id="{F9F530E5-337C-41C8-B926-8A07FF7425E5}">
        <Attribution userId="S::panchk05@pfizer.com::bcc2b1c8-003d-4898-94f4-5a97a7698693" userName="Panchal, Kinjal (Contractor)" userProvider="AD"/>
        <Anchor>
          <Comment id="{A496D44D-8CBE-43BF-930A-2B0D60C8F20D}"/>
        </Anchor>
        <SetTitle title="May i please get more details on actuals. @Wilkins, Tanya"/>
      </Event>
    </History>
  </Task>
  <Task id="{6E05D1BF-2255-4191-BEAE-DD5062FC05D8}">
    <Anchor>
      <Comment id="{7DF2291B-0331-47D7-AC7A-F809977AB40F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7DF2291B-0331-47D7-AC7A-F809977AB40F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7DF2291B-0331-47D7-AC7A-F809977AB40F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7DF2291B-0331-47D7-AC7A-F809977AB40F}"/>
        </Anchor>
        <SetTitle title="@Panchal, Kinjal (Contractor) to talk to Ram about this spent."/>
      </Event>
    </History>
  </Task>
  <Task id="{B01BEFC9-FE4E-4CAD-BBBE-130C4235F098}">
    <Anchor>
      <Comment id="{10A00D30-AAB0-474A-A616-2982EC77D1DA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10A00D30-AAB0-474A-A616-2982EC77D1DA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10A00D30-AAB0-474A-A616-2982EC77D1DA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10A00D30-AAB0-474A-A616-2982EC77D1DA}"/>
        </Anchor>
        <SetTitle title="@Hoffman, Kerry Seems like we need to forecast more from June-Dec, seeing the average spent in past 5 months of about $16K per month."/>
      </Event>
    </History>
  </Task>
</Tasks>
</file>

<file path=xl/documenttasks/documenttask7.xml><?xml version="1.0" encoding="utf-8"?>
<Tasks xmlns="http://schemas.microsoft.com/office/tasks/2019/documenttasks">
  <Task id="{EB61844C-1B2C-43A3-AA4D-0050D5543160}">
    <Anchor>
      <Comment id="{0E6CBC14-B3CD-43F2-B633-150CD8F85828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0E6CBC14-B3CD-43F2-B633-150CD8F85828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0E6CBC14-B3CD-43F2-B633-150CD8F85828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0E6CBC14-B3CD-43F2-B633-150CD8F85828}"/>
        </Anchor>
        <SetTitle title="@Orth, Susan @White, Charlotte Hilliard This should be under Ram from 2027 as the current PO9501062399 is under cc 2335671. Please take this off from Ram's in 2026. thank you"/>
      </Event>
    </History>
  </Task>
  <Task id="{FDF9D859-660E-401A-9866-889F83C40518}">
    <Anchor>
      <Comment id="{628E0581-B6D7-43DC-8863-4BDF372F8B40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628E0581-B6D7-43DC-8863-4BDF372F8B40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628E0581-B6D7-43DC-8863-4BDF372F8B40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628E0581-B6D7-43DC-8863-4BDF372F8B40}"/>
        </Anchor>
        <SetTitle title="@Panchal, Kinjal (Contractor) to talk to Ram about this spent."/>
      </Event>
    </History>
  </Task>
  <Task id="{E0467775-635C-4891-A41E-35D3B9D1F370}">
    <Anchor>
      <Comment id="{79D0BC40-B0C9-473E-B095-FBFB2151C803}"/>
    </Anchor>
    <History>
      <Event time="2026-05-01T13:13:24.51" id="{7700B1F6-8BA7-4E44-863C-F389C215ED68}">
        <Attribution userId="S::MEADOWL@pfizer.com::9b881be9-36ee-4c64-b3d1-bb3f8443fa25" userName="Meadows, Leslie" userProvider="AD"/>
        <Anchor>
          <Comment id="{79D0BC40-B0C9-473E-B095-FBFB2151C803}"/>
        </Anchor>
        <Create/>
      </Event>
      <Event time="2026-05-01T13:13:24.51" id="{0DADCF95-1F35-422D-8761-40B894F521DF}">
        <Attribution userId="S::MEADOWL@pfizer.com::9b881be9-36ee-4c64-b3d1-bb3f8443fa25" userName="Meadows, Leslie" userProvider="AD"/>
        <Anchor>
          <Comment id="{79D0BC40-B0C9-473E-B095-FBFB2151C803}"/>
        </Anchor>
        <Assign userId="S::panchk05@pfizer.com::bcc2b1c8-003d-4898-94f4-5a97a7698693" userName="Panchal, Kinjal (Contractor)" userProvider="AD"/>
      </Event>
      <Event time="2026-05-01T13:13:24.51" id="{1A105237-6887-4381-9644-76DC2A302324}">
        <Attribution userId="S::MEADOWL@pfizer.com::9b881be9-36ee-4c64-b3d1-bb3f8443fa25" userName="Meadows, Leslie" userProvider="AD"/>
        <Anchor>
          <Comment id="{79D0BC40-B0C9-473E-B095-FBFB2151C803}"/>
        </Anchor>
        <SetTitle title="@Panchal, Kinjal (Contractor) - line item moved to Leslie"/>
      </Event>
    </History>
  </Task>
  <Task id="{F768D192-F03C-4267-B2E0-1BF38863A000}">
    <Anchor>
      <Comment id="{8AA4A1EB-AD64-44AB-987A-E5D041D171FD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452EBE26-2CD5-4480-B194-7A521DBF3BED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452EBE26-2CD5-4480-B194-7A521DBF3BED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452EBE26-2CD5-4480-B194-7A521DBF3BED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CD470CF4-052D-49AA-94D0-2407746FFBED}">
    <Anchor>
      <Comment id="{83417AA7-28F4-45A0-B62F-44AC517EC145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83417AA7-28F4-45A0-B62F-44AC517EC145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83417AA7-28F4-45A0-B62F-44AC517EC145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83417AA7-28F4-45A0-B62F-44AC517EC145}"/>
        </Anchor>
        <SetTitle title="@White, Charlotte Hilliard Please change the description to DIGITAL-CLOUD-AWS-CHARGES"/>
      </Event>
    </History>
  </Task>
</Tasks>
</file>

<file path=xl/documenttasks/documenttask8.xml><?xml version="1.0" encoding="utf-8"?>
<Tasks xmlns="http://schemas.microsoft.com/office/tasks/2019/documenttasks">
  <Task id="{EBB76902-C4C4-47FD-8BBD-7B1D8497998F}">
    <Anchor>
      <Comment id="{F7B13AE2-B64B-406F-B0D3-39E6C47D5852}"/>
    </Anchor>
    <History>
      <Event time="2026-06-25T22:13:07.11" id="{29E6CB1E-ED6D-4CB2-8C43-8D430EB83F93}">
        <Attribution userId="S::panchk05@pfizer.com::bcc2b1c8-003d-4898-94f4-5a97a7698693" userName="Panchal, Kinjal (Contractor)" userProvider="AD"/>
        <Anchor>
          <Comment id="{F7B13AE2-B64B-406F-B0D3-39E6C47D5852}"/>
        </Anchor>
        <Create/>
      </Event>
      <Event time="2026-06-25T22:13:07.11" id="{600CD611-915A-4AA3-A989-ABD94AFB848C}">
        <Attribution userId="S::panchk05@pfizer.com::bcc2b1c8-003d-4898-94f4-5a97a7698693" userName="Panchal, Kinjal (Contractor)" userProvider="AD"/>
        <Anchor>
          <Comment id="{F7B13AE2-B64B-406F-B0D3-39E6C47D5852}"/>
        </Anchor>
        <Assign userId="S::WILKIT14@pfizer.com::e5ce3dba-744e-4dd6-ac31-b60f0da2f748" userName="Wilkins, Tanya" userProvider="AD"/>
      </Event>
      <Event time="2026-06-25T22:13:07.11" id="{F9F530E5-337C-41C8-B926-8A07FF7425E5}">
        <Attribution userId="S::panchk05@pfizer.com::bcc2b1c8-003d-4898-94f4-5a97a7698693" userName="Panchal, Kinjal (Contractor)" userProvider="AD"/>
        <Anchor>
          <Comment id="{F7B13AE2-B64B-406F-B0D3-39E6C47D5852}"/>
        </Anchor>
        <SetTitle title="May i please get more details on actuals. @Wilkins, Tanya"/>
      </Event>
    </History>
  </Task>
  <Task id="{9A368009-9331-4A88-8B30-CC684441A455}">
    <Anchor>
      <Comment id="{711C2FAC-A879-4A1F-99FE-FD501F218A08}"/>
    </Anchor>
    <History>
      <Event time="2026-06-24T19:03:30.30" id="{7D2FB60A-1F01-4393-B500-DFC53AC20EF8}">
        <Attribution userId="S::panchk05@pfizer.com::bcc2b1c8-003d-4898-94f4-5a97a7698693" userName="Panchal, Kinjal (Contractor)" userProvider="AD"/>
        <Anchor>
          <Comment id="{711C2FAC-A879-4A1F-99FE-FD501F218A08}"/>
        </Anchor>
        <Create/>
      </Event>
      <Event time="2026-06-24T19:03:30.30" id="{F5A9E5A5-2C16-4C7B-8B24-3DAE906C2300}">
        <Attribution userId="S::panchk05@pfizer.com::bcc2b1c8-003d-4898-94f4-5a97a7698693" userName="Panchal, Kinjal (Contractor)" userProvider="AD"/>
        <Anchor>
          <Comment id="{711C2FAC-A879-4A1F-99FE-FD501F218A08}"/>
        </Anchor>
        <Assign userId="S::MEADOWL@pfizer.com::9b881be9-36ee-4c64-b3d1-bb3f8443fa25" userName="Meadows, Leslie" userProvider="AD"/>
      </Event>
      <Event time="2026-06-24T19:03:30.30" id="{1DC2ABC5-1B82-4F2D-9A8E-127F74366A62}">
        <Attribution userId="S::panchk05@pfizer.com::bcc2b1c8-003d-4898-94f4-5a97a7698693" userName="Panchal, Kinjal (Contractor)" userProvider="AD"/>
        <Anchor>
          <Comment id="{711C2FAC-A879-4A1F-99FE-FD501F218A08}"/>
        </Anchor>
        <SetTitle title="@Meadows, Leslie Does this look good?"/>
      </Event>
    </History>
  </Task>
  <Task id="{B418F00B-F31C-43CD-89C5-D915BDCE4896}">
    <Anchor>
      <Comment id="{D4CE80BE-234F-457A-9FCA-8C3F489BAD78}"/>
    </Anchor>
    <History>
      <Event time="2026-04-29T15:24:19.88" id="{D99CD7B7-5ED2-448A-AC44-00B5DF95A938}">
        <Attribution userId="S::panchk05@pfizer.com::bcc2b1c8-003d-4898-94f4-5a97a7698693" userName="Panchal, Kinjal (Contractor)" userProvider="AD"/>
        <Anchor>
          <Comment id="{D4CE80BE-234F-457A-9FCA-8C3F489BAD78}"/>
        </Anchor>
        <Create/>
      </Event>
      <Event time="2026-04-29T15:24:19.88" id="{447CC51C-E2D3-4581-853E-076C046CF0C6}">
        <Attribution userId="S::panchk05@pfizer.com::bcc2b1c8-003d-4898-94f4-5a97a7698693" userName="Panchal, Kinjal (Contractor)" userProvider="AD"/>
        <Anchor>
          <Comment id="{D4CE80BE-234F-457A-9FCA-8C3F489BAD78}"/>
        </Anchor>
        <Assign userId="S::HILLIC01@pfizer.com::b9505e5c-92d6-4cbf-ba5f-576cb543db00" userName="White, Charlotte Hilliard" userProvider="AD"/>
      </Event>
      <Event time="2026-04-29T15:24:19.88" id="{2FB1D1F4-CB71-46FC-BBE9-D0A9EF948FEC}">
        <Attribution userId="S::panchk05@pfizer.com::bcc2b1c8-003d-4898-94f4-5a97a7698693" userName="Panchal, Kinjal (Contractor)" userProvider="AD"/>
        <Anchor>
          <Comment id="{D4CE80BE-234F-457A-9FCA-8C3F489BAD78}"/>
        </Anchor>
        <SetTitle title="@Orth, Susan @White, Charlotte Hilliard This should be under Ram from 2027 as the current PO9501062399 is under cc 2335671. Please take this off from Ram's in 2026. thank you"/>
      </Event>
    </History>
  </Task>
  <Task id="{86B7E025-BDC3-4559-9780-0447B9E968DF}">
    <Anchor>
      <Comment id="{A706CD06-8943-4BBB-AD77-90B6AED266A5}"/>
    </Anchor>
    <History>
      <Event time="2026-05-04T14:42:23.67" id="{4ABAF6A2-3DCC-468F-8943-30EA54211F1F}">
        <Attribution userId="S::panchk05@pfizer.com::bcc2b1c8-003d-4898-94f4-5a97a7698693" userName="Panchal, Kinjal (Contractor)" userProvider="AD"/>
        <Anchor>
          <Comment id="{098B3242-57D0-443E-A18B-A929DC1ED86D}"/>
        </Anchor>
        <Create/>
      </Event>
      <Event time="2026-05-04T14:42:23.67" id="{B568A4D0-9103-464F-9CAB-6B1EB023F80B}">
        <Attribution userId="S::panchk05@pfizer.com::bcc2b1c8-003d-4898-94f4-5a97a7698693" userName="Panchal, Kinjal (Contractor)" userProvider="AD"/>
        <Anchor>
          <Comment id="{098B3242-57D0-443E-A18B-A929DC1ED86D}"/>
        </Anchor>
        <Assign userId="S::MEADOWL@pfizer.com::9b881be9-36ee-4c64-b3d1-bb3f8443fa25" userName="Meadows, Leslie" userProvider="AD"/>
      </Event>
      <Event time="2026-05-04T14:42:23.67" id="{85FC8A7D-D245-4FF2-B3CF-CC74A3689DE6}">
        <Attribution userId="S::panchk05@pfizer.com::bcc2b1c8-003d-4898-94f4-5a97a7698693" userName="Panchal, Kinjal (Contractor)" userProvider="AD"/>
        <Anchor>
          <Comment id="{098B3242-57D0-443E-A18B-A929DC1ED86D}"/>
        </Anchor>
        <SetTitle title="@Meadows, Leslie Credit applied meaning is anyone going to submit Reclass in May? If yes then this amount must have a minus sign so that it is considered as an credit. Please clarify. Thank you "/>
      </Event>
    </History>
  </Task>
  <Task id="{40445530-AE68-4F29-9906-73D001521FF8}">
    <Anchor>
      <Comment id="{9ACD8285-D9F9-4113-AF32-5BF96811A1A5}"/>
    </Anchor>
    <History>
      <Event time="2026-04-29T21:19:21.33" id="{9B7A783E-5C66-4325-ABA2-1D6D17FEB2E1}">
        <Attribution userId="S::panchk05@pfizer.com::bcc2b1c8-003d-4898-94f4-5a97a7698693" userName="Panchal, Kinjal (Contractor)" userProvider="AD"/>
        <Anchor>
          <Comment id="{9ACD8285-D9F9-4113-AF32-5BF96811A1A5}"/>
        </Anchor>
        <Create/>
      </Event>
      <Event time="2026-04-29T21:19:21.33" id="{D65A7143-343A-4F5C-8E58-685773D1EA1F}">
        <Attribution userId="S::panchk05@pfizer.com::bcc2b1c8-003d-4898-94f4-5a97a7698693" userName="Panchal, Kinjal (Contractor)" userProvider="AD"/>
        <Anchor>
          <Comment id="{9ACD8285-D9F9-4113-AF32-5BF96811A1A5}"/>
        </Anchor>
        <Assign userId="S::HILLIC01@pfizer.com::b9505e5c-92d6-4cbf-ba5f-576cb543db00" userName="White, Charlotte Hilliard" userProvider="AD"/>
      </Event>
      <Event time="2026-04-29T21:19:21.33" id="{C4FAB171-9100-44B0-9FF8-4CA2E52CFBA1}">
        <Attribution userId="S::panchk05@pfizer.com::bcc2b1c8-003d-4898-94f4-5a97a7698693" userName="Panchal, Kinjal (Contractor)" userProvider="AD"/>
        <Anchor>
          <Comment id="{9ACD8285-D9F9-4113-AF32-5BF96811A1A5}"/>
        </Anchor>
        <SetTitle title="@White, Charlotte Hilliard Please change the description to DIGITAL-CLOUD-AWS-CHARGES"/>
      </Event>
    </History>
  </Task>
  <Task id="{91CA6033-3BA4-42B0-B789-1086A65D687F}">
    <Anchor>
      <Comment id="{EB025C82-AAAC-46A9-BD3F-52CDEE8E4163}"/>
    </Anchor>
    <History>
      <Event time="2026-06-24T19:04:01.42" id="{E34640EC-6B0E-4034-8523-2103BB853EEC}">
        <Attribution userId="S::panchk05@pfizer.com::bcc2b1c8-003d-4898-94f4-5a97a7698693" userName="Panchal, Kinjal (Contractor)" userProvider="AD"/>
        <Anchor>
          <Comment id="{EB025C82-AAAC-46A9-BD3F-52CDEE8E4163}"/>
        </Anchor>
        <Create/>
      </Event>
      <Event time="2026-06-24T19:04:01.42" id="{D52E9335-0531-4A97-AC10-EFCF782AD06F}">
        <Attribution userId="S::panchk05@pfizer.com::bcc2b1c8-003d-4898-94f4-5a97a7698693" userName="Panchal, Kinjal (Contractor)" userProvider="AD"/>
        <Anchor>
          <Comment id="{EB025C82-AAAC-46A9-BD3F-52CDEE8E4163}"/>
        </Anchor>
        <Assign userId="S::MEADOWL@pfizer.com::9b881be9-36ee-4c64-b3d1-bb3f8443fa25" userName="Meadows, Leslie" userProvider="AD"/>
      </Event>
      <Event time="2026-06-24T19:04:01.42" id="{FBEA32CB-C319-497A-BC5D-A325DDB3B034}">
        <Attribution userId="S::panchk05@pfizer.com::bcc2b1c8-003d-4898-94f4-5a97a7698693" userName="Panchal, Kinjal (Contractor)" userProvider="AD"/>
        <Anchor>
          <Comment id="{EB025C82-AAAC-46A9-BD3F-52CDEE8E4163}"/>
        </Anchor>
        <SetTitle title="@Meadows, Leslie Does this look ok to you?"/>
      </Event>
    </History>
  </Task>
  <Task id="{151C933B-D22E-4BAA-816A-30E53B46D2E8}">
    <Anchor>
      <Comment id="{160BC4D2-221F-4594-A833-C26DDF19CC68}"/>
    </Anchor>
    <History>
      <Event time="2026-06-30T20:50:40.76" id="{97D9E68A-19E7-4DF1-9136-9EB71E547D2C}">
        <Attribution userId="S::panchk05@pfizer.com::bcc2b1c8-003d-4898-94f4-5a97a7698693" userName="Panchal, Kinjal (Contractor)" userProvider="AD"/>
        <Anchor>
          <Comment id="{FA35BCDF-5C45-4D46-99B3-9BD11A7FD453}"/>
        </Anchor>
        <Create/>
      </Event>
      <Event time="2026-06-30T20:50:40.76" id="{6E00796C-C1D9-4418-AD9B-D3C0B8E9AAC5}">
        <Attribution userId="S::panchk05@pfizer.com::bcc2b1c8-003d-4898-94f4-5a97a7698693" userName="Panchal, Kinjal (Contractor)" userProvider="AD"/>
        <Anchor>
          <Comment id="{FA35BCDF-5C45-4D46-99B3-9BD11A7FD453}"/>
        </Anchor>
        <Assign userId="S::MEADOWL@pfizer.com::9b881be9-36ee-4c64-b3d1-bb3f8443fa25" userName="Meadows, Leslie" userProvider="AD"/>
      </Event>
      <Event time="2026-06-30T20:50:40.76" id="{8921B79E-C4B4-44AA-89AB-9FC5D1914C38}">
        <Attribution userId="S::panchk05@pfizer.com::bcc2b1c8-003d-4898-94f4-5a97a7698693" userName="Panchal, Kinjal (Contractor)" userProvider="AD"/>
        <Anchor>
          <Comment id="{FA35BCDF-5C45-4D46-99B3-9BD11A7FD453}"/>
        </Anchor>
        <SetTitle title="As per Paul, @Meadows, Leslie For reference, $144K was the 2025 renewal amount and $159K was the 2026 renewal amount (10% year-over-year uplift on legacy IBM S&amp;S). For planning, would factor in another 10% or $175,232.64 for 2027"/>
      </Event>
    </History>
  </Task>
  <Task id="{39A42858-A68D-4ABC-94D0-A2585C627703}">
    <Anchor>
      <Comment id="{572D9BBB-EA6A-4F91-8DE8-F838C70881FD}"/>
    </Anchor>
    <History>
      <Event time="2026-06-25T14:09:43.30" id="{E6BB06B8-9479-4EA9-A15E-3975DF06FAD2}">
        <Attribution userId="S::panchk05@pfizer.com::bcc2b1c8-003d-4898-94f4-5a97a7698693" userName="Panchal, Kinjal (Contractor)" userProvider="AD"/>
        <Anchor>
          <Comment id="{572D9BBB-EA6A-4F91-8DE8-F838C70881FD}"/>
        </Anchor>
        <Create/>
      </Event>
      <Event time="2026-06-25T14:09:43.30" id="{372174D7-0235-4F9C-B72F-E622FB252358}">
        <Attribution userId="S::panchk05@pfizer.com::bcc2b1c8-003d-4898-94f4-5a97a7698693" userName="Panchal, Kinjal (Contractor)" userProvider="AD"/>
        <Anchor>
          <Comment id="{572D9BBB-EA6A-4F91-8DE8-F838C70881FD}"/>
        </Anchor>
        <Assign userId="S::MEADOWL@pfizer.com::9b881be9-36ee-4c64-b3d1-bb3f8443fa25" userName="Meadows, Leslie" userProvider="AD"/>
      </Event>
      <Event time="2026-06-25T14:09:43.30" id="{5D2D56FA-38DD-4358-A832-139B1FDC5C2A}">
        <Attribution userId="S::panchk05@pfizer.com::bcc2b1c8-003d-4898-94f4-5a97a7698693" userName="Panchal, Kinjal (Contractor)" userProvider="AD"/>
        <Anchor>
          <Comment id="{572D9BBB-EA6A-4F91-8DE8-F838C70881FD}"/>
        </Anchor>
        <SetTitle title="@Meadows, Leslie Please advise who should we reach out for this line item? Nothing hit until now."/>
      </Event>
    </History>
  </Task>
  <Task id="{35F42B5D-1CE6-448B-AC5A-07186A223FEA}">
    <Anchor>
      <Comment id="{A4179622-A99E-4E3F-856B-777CAB1B153C}"/>
    </Anchor>
    <History>
      <Event time="2026-06-25T22:28:11.40" id="{32B917BA-FF2E-4183-94DA-421443EDD94E}">
        <Attribution userId="S::panchk05@pfizer.com::bcc2b1c8-003d-4898-94f4-5a97a7698693" userName="Panchal, Kinjal (Contractor)" userProvider="AD"/>
        <Anchor>
          <Comment id="{A4179622-A99E-4E3F-856B-777CAB1B153C}"/>
        </Anchor>
        <Create/>
      </Event>
      <Event time="2026-06-25T22:28:11.40" id="{F807BE9E-036A-4057-AD4A-FD2382C3F495}">
        <Attribution userId="S::panchk05@pfizer.com::bcc2b1c8-003d-4898-94f4-5a97a7698693" userName="Panchal, Kinjal (Contractor)" userProvider="AD"/>
        <Anchor>
          <Comment id="{A4179622-A99E-4E3F-856B-777CAB1B153C}"/>
        </Anchor>
        <Assign userId="S::HILLIC01@pfizer.com::b9505e5c-92d6-4cbf-ba5f-576cb543db00" userName="White, Charlotte Hilliard" userProvider="AD"/>
      </Event>
      <Event time="2026-06-25T22:28:11.40" id="{3667D868-0302-4B82-AD93-64EC3F74A586}">
        <Attribution userId="S::panchk05@pfizer.com::bcc2b1c8-003d-4898-94f4-5a97a7698693" userName="Panchal, Kinjal (Contractor)" userProvider="AD"/>
        <Anchor>
          <Comment id="{A4179622-A99E-4E3F-856B-777CAB1B153C}"/>
        </Anchor>
        <SetTitle title="@White, Charlotte Hilliard @Meadows, Leslie Hello Charlotte, what is this in regards too? Please advise. thank you"/>
      </Event>
    </History>
  </Task>
  <Task id="{9E10296A-7AC5-4C09-BFB5-CFF8270BDED6}">
    <Anchor>
      <Comment id="{59A7F609-E0E9-4DAB-8796-AE56460F89DD}"/>
    </Anchor>
    <History>
      <Event time="2026-06-16T19:47:55.85" id="{D56ED626-6F65-4BB3-9DDF-B455E3A3168A}">
        <Attribution userId="S::panchk05@pfizer.com::bcc2b1c8-003d-4898-94f4-5a97a7698693" userName="Panchal, Kinjal (Contractor)" userProvider="AD"/>
        <Anchor>
          <Comment id="{59A7F609-E0E9-4DAB-8796-AE56460F89DD}"/>
        </Anchor>
        <Create/>
      </Event>
      <Event time="2026-06-16T19:47:55.85" id="{67F8EB04-450F-4FA0-AD5A-FE34B302B813}">
        <Attribution userId="S::panchk05@pfizer.com::bcc2b1c8-003d-4898-94f4-5a97a7698693" userName="Panchal, Kinjal (Contractor)" userProvider="AD"/>
        <Anchor>
          <Comment id="{59A7F609-E0E9-4DAB-8796-AE56460F89DD}"/>
        </Anchor>
        <Assign userId="S::WILKIT14@pfizer.com::e5ce3dba-744e-4dd6-ac31-b60f0da2f748" userName="Wilkins, Tanya" userProvider="AD"/>
      </Event>
      <Event time="2026-06-16T19:47:55.85" id="{86107111-54A5-462B-A183-74F89817EEEA}">
        <Attribution userId="S::panchk05@pfizer.com::bcc2b1c8-003d-4898-94f4-5a97a7698693" userName="Panchal, Kinjal (Contractor)" userProvider="AD"/>
        <Anchor>
          <Comment id="{59A7F609-E0E9-4DAB-8796-AE56460F89DD}"/>
        </Anchor>
        <SetTitle title="@Wilkins, Tanya @White, Charlotte Hilliard May i please get more details on this actual? Can't find it in the actuals file."/>
      </Event>
    </History>
  </Task>
  <Task id="{EF3F4E6B-8AA1-43F1-AEEE-9C29B6EF59FB}">
    <Anchor>
      <Comment id="{4CAED1E9-62C2-4E56-877D-B3D6DF893D86}"/>
    </Anchor>
    <History>
      <Event time="2026-06-25T22:06:16.44" id="{14F2770A-1253-43DB-9BA9-6021DF17241A}">
        <Attribution userId="S::panchk05@pfizer.com::bcc2b1c8-003d-4898-94f4-5a97a7698693" userName="Panchal, Kinjal (Contractor)" userProvider="AD"/>
        <Anchor>
          <Comment id="{4CAED1E9-62C2-4E56-877D-B3D6DF893D86}"/>
        </Anchor>
        <Create/>
      </Event>
      <Event time="2026-06-25T22:06:16.44" id="{12D55F24-4647-4DAA-B69D-8BADF3293D30}">
        <Attribution userId="S::panchk05@pfizer.com::bcc2b1c8-003d-4898-94f4-5a97a7698693" userName="Panchal, Kinjal (Contractor)" userProvider="AD"/>
        <Anchor>
          <Comment id="{4CAED1E9-62C2-4E56-877D-B3D6DF893D86}"/>
        </Anchor>
        <Assign userId="S::HILLIC01@pfizer.com::b9505e5c-92d6-4cbf-ba5f-576cb543db00" userName="White, Charlotte Hilliard" userProvider="AD"/>
      </Event>
      <Event time="2026-06-25T22:06:16.44" id="{121D25FB-6810-4CF3-8FBF-B72B1A7B297A}">
        <Attribution userId="S::panchk05@pfizer.com::bcc2b1c8-003d-4898-94f4-5a97a7698693" userName="Panchal, Kinjal (Contractor)" userProvider="AD"/>
        <Anchor>
          <Comment id="{4CAED1E9-62C2-4E56-877D-B3D6DF893D86}"/>
        </Anchor>
        <SetTitle title="@White, Charlotte Hilliard May I please get more details on these charges as i couldn't find this in the actuals file. @Wilkins, Tanya"/>
      </Event>
    </History>
  </Task>
  <Task id="{CBEC8C75-46C8-488A-A0AD-980D7BBA3E53}">
    <Anchor>
      <Comment id="{6DAAF355-1D0F-4C25-AE58-997BA9C26B8C}"/>
    </Anchor>
    <History>
      <Event time="2026-06-16T13:11:47.84" id="{DE8AA3E2-6543-44BC-ACA9-B0E004E2B5EA}">
        <Attribution userId="S::panchk05@pfizer.com::bcc2b1c8-003d-4898-94f4-5a97a7698693" userName="Panchal, Kinjal (Contractor)" userProvider="AD"/>
        <Anchor>
          <Comment id="{5802B84A-4303-4EC6-B9ED-46F468C21A47}"/>
        </Anchor>
        <Create/>
      </Event>
      <Event time="2026-06-16T13:11:47.84" id="{ABE086E8-9592-466D-BE26-1FAA114DFE3B}">
        <Attribution userId="S::panchk05@pfizer.com::bcc2b1c8-003d-4898-94f4-5a97a7698693" userName="Panchal, Kinjal (Contractor)" userProvider="AD"/>
        <Anchor>
          <Comment id="{5802B84A-4303-4EC6-B9ED-46F468C21A47}"/>
        </Anchor>
        <Assign userId="S::MEADOWL@pfizer.com::9b881be9-36ee-4c64-b3d1-bb3f8443fa25" userName="Meadows, Leslie" userProvider="AD"/>
      </Event>
      <Event time="2026-06-16T13:11:47.84" id="{2B728A21-E8E1-4056-976B-34075F627233}">
        <Attribution userId="S::panchk05@pfizer.com::bcc2b1c8-003d-4898-94f4-5a97a7698693" userName="Panchal, Kinjal (Contractor)" userProvider="AD"/>
        <Anchor>
          <Comment id="{5802B84A-4303-4EC6-B9ED-46F468C21A47}"/>
        </Anchor>
        <SetTitle title="9501258229, 9501258235, 9501271398 &amp; Dynatrace/Splunk TBD @Meadows, Leslie"/>
      </Event>
      <Event time="2026-07-10T15:46:08.24" id="{A2E47978-DE45-4937-97AC-3B6BE11793A5}">
        <Attribution userId="S::panchk05@pfizer.com::bcc2b1c8-003d-4898-94f4-5a97a7698693" userName="Panchal, Kinjal (Contractor)" userProvider="AD"/>
        <Progress percentComplete="100"/>
      </Event>
    </History>
  </Task>
  <Task id="{7A0ABC7D-6AF3-4F5B-9056-2F23A4A0F2EE}">
    <Anchor>
      <Comment id="{2F260CCC-31F3-46B7-B837-011B55325438}"/>
    </Anchor>
    <History>
      <Event time="2026-06-24T12:46:50.07" id="{215F270C-916D-4A8B-AB7F-445685C28703}">
        <Attribution userId="S::panchk05@pfizer.com::bcc2b1c8-003d-4898-94f4-5a97a7698693" userName="Panchal, Kinjal (Contractor)" userProvider="AD"/>
        <Anchor>
          <Comment id="{2F260CCC-31F3-46B7-B837-011B55325438}"/>
        </Anchor>
        <Create/>
      </Event>
      <Event time="2026-06-24T12:46:50.07" id="{0023A773-19FA-4D4C-987A-68B332D6858F}">
        <Attribution userId="S::panchk05@pfizer.com::bcc2b1c8-003d-4898-94f4-5a97a7698693" userName="Panchal, Kinjal (Contractor)" userProvider="AD"/>
        <Anchor>
          <Comment id="{2F260CCC-31F3-46B7-B837-011B55325438}"/>
        </Anchor>
        <Assign userId="S::WILKIT14@pfizer.com::e5ce3dba-744e-4dd6-ac31-b60f0da2f748" userName="Wilkins, Tanya" userProvider="AD"/>
      </Event>
      <Event time="2026-06-24T12:46:50.07" id="{BCFF1C20-0B01-4EF1-BB90-06710D0DA661}">
        <Attribution userId="S::panchk05@pfizer.com::bcc2b1c8-003d-4898-94f4-5a97a7698693" userName="Panchal, Kinjal (Contractor)" userProvider="AD"/>
        <Anchor>
          <Comment id="{2F260CCC-31F3-46B7-B837-011B55325438}"/>
        </Anchor>
        <SetTitle title="@Wilkins, Tanya There seems to be an issue in LE2 &amp; LE3. LE0 already had this forecast in full, so LE2 should as well, but the data is now showing something different. Was it a glitch? Please advise."/>
      </Event>
    </History>
  </Task>
  <Task id="{055F2BA0-74C0-4853-A22C-9A7419669F01}">
    <Anchor>
      <Comment id="{55C377C3-DB96-4F99-9A1A-553781D9CF07}"/>
    </Anchor>
    <History>
      <Event time="2026-04-30T19:00:40.29" id="{FE99575E-9B4E-4868-9555-B7F8F3F2DCC9}">
        <Attribution userId="S::panchk05@pfizer.com::bcc2b1c8-003d-4898-94f4-5a97a7698693" userName="Panchal, Kinjal (Contractor)" userProvider="AD"/>
        <Anchor>
          <Comment id="{55C377C3-DB96-4F99-9A1A-553781D9CF07}"/>
        </Anchor>
        <Create/>
      </Event>
      <Event time="2026-04-30T19:00:40.29" id="{8F0578B7-0B66-4A5C-AEF3-CA03B0FA485C}">
        <Attribution userId="S::panchk05@pfizer.com::bcc2b1c8-003d-4898-94f4-5a97a7698693" userName="Panchal, Kinjal (Contractor)" userProvider="AD"/>
        <Anchor>
          <Comment id="{55C377C3-DB96-4F99-9A1A-553781D9CF07}"/>
        </Anchor>
        <Assign userId="S::panchk05@pfizer.com::bcc2b1c8-003d-4898-94f4-5a97a7698693" userName="Panchal, Kinjal (Contractor)" userProvider="AD"/>
      </Event>
      <Event time="2026-04-30T19:00:40.29" id="{A3D52228-C1E8-4C55-BB78-9A969321510D}">
        <Attribution userId="S::panchk05@pfizer.com::bcc2b1c8-003d-4898-94f4-5a97a7698693" userName="Panchal, Kinjal (Contractor)" userProvider="AD"/>
        <Anchor>
          <Comment id="{55C377C3-DB96-4F99-9A1A-553781D9CF07}"/>
        </Anchor>
        <SetTitle title="@Panchal, Kinjal (Contractor) to talk to Ram about this spent."/>
      </Event>
    </History>
  </Task>
  <Task id="{E2F646A0-E5E9-4047-B31B-128FC64F53A1}">
    <Anchor>
      <Comment id="{2ECF00ED-E0D5-448A-9FFA-388871D1CA17}"/>
    </Anchor>
    <History>
      <Event time="2026-06-22T13:35:50.64" id="{E0BA90F4-C852-4BD3-8683-F5D31A3B70C9}">
        <Attribution userId="S::panchk05@pfizer.com::bcc2b1c8-003d-4898-94f4-5a97a7698693" userName="Panchal, Kinjal (Contractor)" userProvider="AD"/>
        <Anchor>
          <Comment id="{2ECF00ED-E0D5-448A-9FFA-388871D1CA17}"/>
        </Anchor>
        <Create/>
      </Event>
      <Event time="2026-06-22T13:35:50.64" id="{522DDD53-F19D-46E8-B0F4-EB6FB6D8F7E5}">
        <Attribution userId="S::panchk05@pfizer.com::bcc2b1c8-003d-4898-94f4-5a97a7698693" userName="Panchal, Kinjal (Contractor)" userProvider="AD"/>
        <Anchor>
          <Comment id="{2ECF00ED-E0D5-448A-9FFA-388871D1CA17}"/>
        </Anchor>
        <Assign userId="S::HymanK@pfizer.com::37f4db8a-f64a-4b7b-bedd-e75f8cbe5c45" userName="Hoffman, Kerry" userProvider="AD"/>
      </Event>
      <Event time="2026-06-22T13:35:50.64" id="{8056BA44-4B96-4A5B-9393-FDAD5FCC53F7}">
        <Attribution userId="S::panchk05@pfizer.com::bcc2b1c8-003d-4898-94f4-5a97a7698693" userName="Panchal, Kinjal (Contractor)" userProvider="AD"/>
        <Anchor>
          <Comment id="{2ECF00ED-E0D5-448A-9FFA-388871D1CA17}"/>
        </Anchor>
        <SetTitle title="@Hoffman, Kerry Seems like we need to forecast more from June-Dec, seeing the average spent in past 5 months of about $16K per month."/>
      </Event>
    </History>
  </Task>
  <Task id="{22488EA6-968F-406F-B82F-D16B2E505BE7}">
    <Anchor>
      <Comment id="{E05E28A2-C200-42C1-A098-78B5FC1BDA78}"/>
    </Anchor>
    <History>
      <Event time="2026-06-18T10:49:11.90" id="{30BBD310-AD5D-41A7-B7D6-1C2B96B3A0CB}">
        <Attribution userId="S::panchk05@pfizer.com::bcc2b1c8-003d-4898-94f4-5a97a7698693" userName="Panchal, Kinjal (Contractor)" userProvider="AD"/>
        <Anchor>
          <Comment id="{E05E28A2-C200-42C1-A098-78B5FC1BDA78}"/>
        </Anchor>
        <Create/>
      </Event>
      <Event time="2026-06-18T10:49:11.90" id="{4DCE191F-B7C2-4073-B1CC-54C03C689923}">
        <Attribution userId="S::panchk05@pfizer.com::bcc2b1c8-003d-4898-94f4-5a97a7698693" userName="Panchal, Kinjal (Contractor)" userProvider="AD"/>
        <Anchor>
          <Comment id="{E05E28A2-C200-42C1-A098-78B5FC1BDA78}"/>
        </Anchor>
        <Assign userId="S::HILLIC01@pfizer.com::b9505e5c-92d6-4cbf-ba5f-576cb543db00" userName="White, Charlotte Hilliard" userProvider="AD"/>
      </Event>
      <Event time="2026-06-18T10:49:11.90" id="{25A337A4-CC74-406D-9747-4AFB21677882}">
        <Attribution userId="S::panchk05@pfizer.com::bcc2b1c8-003d-4898-94f4-5a97a7698693" userName="Panchal, Kinjal (Contractor)" userProvider="AD"/>
        <Anchor>
          <Comment id="{E05E28A2-C200-42C1-A098-78B5FC1BDA78}"/>
        </Anchor>
        <SetTitle title="@White, Charlotte Hilliard IT was a give back for $26,400.00 in AP04 - I couldnt find any notes or amounts in LE3 - Please advise. thank you"/>
      </Event>
    </History>
  </Task>
  <Task id="{92A750B5-4CFE-4539-9CF0-2F1A2BB25DDB}">
    <Anchor>
      <Comment id="{7BB506A8-3DDF-4FA1-BF02-CB0BF63CCE1A}"/>
    </Anchor>
    <History>
      <Event time="2026-06-25T14:03:48.65" id="{6DC98573-B3C6-439E-B233-EA0B55E0D3F1}">
        <Attribution userId="S::panchk05@pfizer.com::bcc2b1c8-003d-4898-94f4-5a97a7698693" userName="Panchal, Kinjal (Contractor)" userProvider="AD"/>
        <Anchor>
          <Comment id="{7BB506A8-3DDF-4FA1-BF02-CB0BF63CCE1A}"/>
        </Anchor>
        <Create/>
      </Event>
      <Event time="2026-06-25T14:03:48.65" id="{8B2C4B8E-D16D-4971-9694-44770CC3954B}">
        <Attribution userId="S::panchk05@pfizer.com::bcc2b1c8-003d-4898-94f4-5a97a7698693" userName="Panchal, Kinjal (Contractor)" userProvider="AD"/>
        <Anchor>
          <Comment id="{7BB506A8-3DDF-4FA1-BF02-CB0BF63CCE1A}"/>
        </Anchor>
        <Assign userId="S::MEADOWL@pfizer.com::9b881be9-36ee-4c64-b3d1-bb3f8443fa25" userName="Meadows, Leslie" userProvider="AD"/>
      </Event>
      <Event time="2026-06-25T14:03:48.65" id="{0430AB8D-7E7B-4F33-83DF-ED0BBEA931B1}">
        <Attribution userId="S::panchk05@pfizer.com::bcc2b1c8-003d-4898-94f4-5a97a7698693" userName="Panchal, Kinjal (Contractor)" userProvider="AD"/>
        <Anchor>
          <Comment id="{7BB506A8-3DDF-4FA1-BF02-CB0BF63CCE1A}"/>
        </Anchor>
        <SetTitle title="@Meadows, Leslie Hello @Meadows, Leslie Do you know who should we reach out to for this line item?"/>
      </Event>
    </History>
  </Task>
  <Task id="{B3FF1EC2-E7C3-4046-8914-57453724F486}">
    <Anchor>
      <Comment id="{C1D1509F-6AE5-4AF7-BCFE-326BBFF9E446}"/>
    </Anchor>
    <History>
      <Event time="2026-06-18T19:51:13.05" id="{0BAB1FE4-B658-4D32-9D03-E2E52E62B814}">
        <Attribution userId="S::panchk05@pfizer.com::bcc2b1c8-003d-4898-94f4-5a97a7698693" userName="Panchal, Kinjal (Contractor)" userProvider="AD"/>
        <Anchor>
          <Comment id="{C1D1509F-6AE5-4AF7-BCFE-326BBFF9E446}"/>
        </Anchor>
        <Create/>
      </Event>
      <Event time="2026-06-18T19:51:13.05" id="{3BF70A4C-98FC-461D-8396-258FE85F6F0F}">
        <Attribution userId="S::panchk05@pfizer.com::bcc2b1c8-003d-4898-94f4-5a97a7698693" userName="Panchal, Kinjal (Contractor)" userProvider="AD"/>
        <Anchor>
          <Comment id="{C1D1509F-6AE5-4AF7-BCFE-326BBFF9E446}"/>
        </Anchor>
        <Assign userId="S::HILLIC01@pfizer.com::b9505e5c-92d6-4cbf-ba5f-576cb543db00" userName="White, Charlotte Hilliard" userProvider="AD"/>
      </Event>
      <Event time="2026-06-18T19:51:13.05" id="{CAAD13E2-E45D-448D-A2D3-84B240BCC338}">
        <Attribution userId="S::panchk05@pfizer.com::bcc2b1c8-003d-4898-94f4-5a97a7698693" userName="Panchal, Kinjal (Contractor)" userProvider="AD"/>
        <Anchor>
          <Comment id="{C1D1509F-6AE5-4AF7-BCFE-326BBFF9E446}"/>
        </Anchor>
        <SetTitle title="@White, Charlotte Hilliard Where would i be able to get more details on this? Please advise. thank you"/>
      </Event>
    </History>
  </Task>
  <Task id="{99187ADB-83FD-40F9-B19D-6D3A872152B6}">
    <Anchor>
      <Comment id="{8D5FB9F0-FFB2-440E-81A3-5DA1053726E9}"/>
    </Anchor>
    <History>
      <Event time="2026-06-25T22:11:59.16" id="{A01D524F-DD19-4436-87B2-3FA19D63EEB9}">
        <Attribution userId="S::panchk05@pfizer.com::bcc2b1c8-003d-4898-94f4-5a97a7698693" userName="Panchal, Kinjal (Contractor)" userProvider="AD"/>
        <Anchor>
          <Comment id="{8D5FB9F0-FFB2-440E-81A3-5DA1053726E9}"/>
        </Anchor>
        <Create/>
      </Event>
      <Event time="2026-06-25T22:11:59.16" id="{C91C2583-30E3-42BB-A447-6FFFB0DC4AA9}">
        <Attribution userId="S::panchk05@pfizer.com::bcc2b1c8-003d-4898-94f4-5a97a7698693" userName="Panchal, Kinjal (Contractor)" userProvider="AD"/>
        <Anchor>
          <Comment id="{8D5FB9F0-FFB2-440E-81A3-5DA1053726E9}"/>
        </Anchor>
        <Assign userId="S::WILKIT14@pfizer.com::e5ce3dba-744e-4dd6-ac31-b60f0da2f748" userName="Wilkins, Tanya" userProvider="AD"/>
      </Event>
      <Event time="2026-06-25T22:11:59.16" id="{3004A59C-2BF2-44A0-BE39-14B26E7A11B9}">
        <Attribution userId="S::panchk05@pfizer.com::bcc2b1c8-003d-4898-94f4-5a97a7698693" userName="Panchal, Kinjal (Contractor)" userProvider="AD"/>
        <Anchor>
          <Comment id="{8D5FB9F0-FFB2-440E-81A3-5DA1053726E9}"/>
        </Anchor>
        <SetTitle title="@Wilkins, Tanya May i please get more details on actuls."/>
      </Event>
    </History>
  </Task>
  <Task id="{95D652F2-23A3-4DC9-BCD4-6C224806FDCE}">
    <Anchor>
      <Comment id="{D3CA0591-5385-4DD2-AC9F-8E88DFE238B0}"/>
    </Anchor>
    <History>
      <Event time="2026-06-17T16:35:18.45" id="{2DEC15DC-8954-420C-A36F-3AEAA60932E0}">
        <Attribution userId="S::panchk05@pfizer.com::bcc2b1c8-003d-4898-94f4-5a97a7698693" userName="Panchal, Kinjal (Contractor)" userProvider="AD"/>
        <Anchor>
          <Comment id="{2409A9FA-A541-4ABD-A4D7-DC031051A7EC}"/>
        </Anchor>
        <Create/>
      </Event>
      <Event time="2026-06-17T16:35:18.45" id="{09C7735F-7B36-4420-A458-CFFEFADED908}">
        <Attribution userId="S::panchk05@pfizer.com::bcc2b1c8-003d-4898-94f4-5a97a7698693" userName="Panchal, Kinjal (Contractor)" userProvider="AD"/>
        <Anchor>
          <Comment id="{2409A9FA-A541-4ABD-A4D7-DC031051A7EC}"/>
        </Anchor>
        <Assign userId="S::MEADOWL@pfizer.com::9b881be9-36ee-4c64-b3d1-bb3f8443fa25" userName="Meadows, Leslie" userProvider="AD"/>
      </Event>
      <Event time="2026-06-17T16:35:18.45" id="{6C7C2616-FBF1-434B-8BAA-2DE6B2CB8A12}">
        <Attribution userId="S::panchk05@pfizer.com::bcc2b1c8-003d-4898-94f4-5a97a7698693" userName="Panchal, Kinjal (Contractor)" userProvider="AD"/>
        <Anchor>
          <Comment id="{2409A9FA-A541-4ABD-A4D7-DC031051A7EC}"/>
        </Anchor>
        <SetTitle title="@Meadows, Leslie Savings from IBM S2 PO9501158432 for about $80K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Orth, Susan" id="{1BB14750-A056-4F6B-802E-F7C8B59F8F40}" userId="ORTHS@pfizer.com" providerId="PeoplePicker"/>
  <person displayName="Hoffman, Kerry" id="{74FB42F2-106B-4E07-880A-02BCE8D428D0}" userId="HymanK@pfizer.com" providerId="PeoplePicker"/>
  <person displayName="Meadows, Leslie" id="{EC554CCA-E29D-43FA-BA6B-59F8B24C668D}" userId="MEADOWL@pfizer.com" providerId="PeoplePicker"/>
  <person displayName="White, Charlotte Hilliard" id="{501495C5-0639-4E15-9C50-3303D4C825B6}" userId="HILLIC01@pfizer.com" providerId="PeoplePicker"/>
  <person displayName="Panchal, Kinjal (Contractor)" id="{41C1EA72-4B5F-46D2-98ED-92FF8288C6E4}" userId="PANCHK05@pfizer.com" providerId="PeoplePicker"/>
  <person displayName="Wilkins, Tanya" id="{A7AA6105-FC99-46D9-B5F8-B84AFBD735AA}" userId="WILKIT14@pfizer.com" providerId="PeoplePicker"/>
  <person displayName="Attarde, Rahul" id="{DDFF6DDF-6F0F-46B2-A1BA-992E5A209912}" userId="S::ATTARR@pfizer.com::58870e44-5582-4fed-9209-f3c2b888f3d7" providerId="AD"/>
  <person displayName="Meadows, Leslie" id="{E5DDB7AC-0E3B-43D3-B290-A0C2DE0E4CA6}" userId="S::MEADOWL@pfizer.com::9b881be9-36ee-4c64-b3d1-bb3f8443fa25" providerId="AD"/>
  <person displayName="White, Charlotte Hilliard" id="{0DF713CB-D417-49E7-A04A-0166474FC141}" userId="S::HILLIC01@pfizer.com::b9505e5c-92d6-4cbf-ba5f-576cb543db00" providerId="AD"/>
  <person displayName="Panchal, Kinjal (Contractor)" id="{2F28E56F-FEAA-43E9-B12B-6DB43EF0AD98}" userId="S::PANCHK05@pfizer.com::bcc2b1c8-003d-4898-94f4-5a97a7698693" providerId="AD"/>
  <person displayName="Wilkins, Tanya" id="{CC497235-42B2-452E-BB5C-404562BE634F}" userId="S::WILKIT14@pfizer.com::e5ce3dba-744e-4dd6-ac31-b60f0da2f748" providerId="AD"/>
  <person displayName="McCormick, Peter Michael" id="{CB858D31-DDF6-49E9-988F-4F795721B1B6}" userId="S::mccormp2@pfizer.com::a6d2c00a-7105-48b2-bd79-085c88a02d95" providerId="AD"/>
  <person displayName="Panchal, Kinjal (Contractor)" id="{574F1AB3-8B7C-40EB-89E3-BB2E0C817D73}" userId="S::panchk05@pfizer.com::bcc2b1c8-003d-4898-94f4-5a97a7698693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DigitalPGSBusinessOps/Shared%20Documents/Core%20Team/Operating%20Expense/Budget%20&amp;%20Forecast/2026%20Forecast/LE3%20Working%20Templates/ERP%202026%20LE%20Build/ERP%20LE2%202026_Historic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kins, Tanya" refreshedDate="46162.551126736114" createdVersion="8" refreshedVersion="8" minRefreshableVersion="3" recordCount="642" xr:uid="{D128F048-D82B-4FC1-812E-6796F53BF2C7}">
  <cacheSource type="worksheet">
    <worksheetSource name="ERP_3" r:id="rId2"/>
  </cacheSource>
  <cacheFields count="67">
    <cacheField name="UID" numFmtId="0">
      <sharedItems containsBlank="1"/>
    </cacheField>
    <cacheField name="Match" numFmtId="165">
      <sharedItems containsBlank="1"/>
    </cacheField>
    <cacheField name="CCL3" numFmtId="49">
      <sharedItems/>
    </cacheField>
    <cacheField name="LT Member*" numFmtId="0">
      <sharedItems count="4">
        <s v="Dougherty, Chris"/>
        <s v="Hase, Raj"/>
        <s v="McGettigan, David"/>
        <s v="Robertson, Jerome"/>
      </sharedItems>
    </cacheField>
    <cacheField name="LT Member -1*" numFmtId="0">
      <sharedItems/>
    </cacheField>
    <cacheField name="Point of Contact" numFmtId="0">
      <sharedItems containsBlank="1"/>
    </cacheField>
    <cacheField name="Expense Category" numFmtId="0">
      <sharedItems count="11">
        <s v="SOFTWARE"/>
        <s v="MANAGED SERVICES"/>
        <s v="CONTRACTORS"/>
        <s v="HW MAINTENANCE"/>
        <s v="TRAVEL &amp; ENTERTAINMENT"/>
        <s v="COMPENSATION"/>
        <s v="DEPRECIATION"/>
        <s v="OTHER"/>
        <s v="RENT AND UTILITIES"/>
        <s v="OUTSIDE COUNSEL"/>
        <s v="TELECOMMUNICATIONS"/>
      </sharedItems>
    </cacheField>
    <cacheField name="Description*" numFmtId="0">
      <sharedItems/>
    </cacheField>
    <cacheField name="Vendor*" numFmtId="49">
      <sharedItems containsBlank="1"/>
    </cacheField>
    <cacheField name="Cost Center*" numFmtId="49">
      <sharedItems containsNonDate="0" containsString="0" containsBlank="1"/>
    </cacheField>
    <cacheField name="Project Code*" numFmtId="49">
      <sharedItems containsBlank="1"/>
    </cacheField>
    <cacheField name="Prior Year PO" numFmtId="0">
      <sharedItems containsBlank="1"/>
    </cacheField>
    <cacheField name="2026  Purchase Order" numFmtId="0">
      <sharedItems containsBlank="1" containsMixedTypes="1" containsNumber="1" containsInteger="1" minValue="9500810226" maxValue="9500810226"/>
    </cacheField>
    <cacheField name="Pullforward" numFmtId="49">
      <sharedItems containsBlank="1"/>
    </cacheField>
    <cacheField name="Grouping" numFmtId="49">
      <sharedItems containsBlank="1"/>
    </cacheField>
    <cacheField name="2026 Budget Comment" numFmtId="49">
      <sharedItems containsBlank="1" longText="1"/>
    </cacheField>
    <cacheField name="2026 Transfers" numFmtId="0">
      <sharedItems containsString="0" containsBlank="1" containsNumber="1" containsInteger="1" minValue="0" maxValue="0"/>
    </cacheField>
    <cacheField name="2026 LE0" numFmtId="0">
      <sharedItems containsString="0" containsBlank="1" containsNumber="1" minValue="-1080865" maxValue="32110933.16"/>
    </cacheField>
    <cacheField name="LE2 Final Submission" numFmtId="0">
      <sharedItems containsSemiMixedTypes="0" containsString="0" containsNumber="1" minValue="-1080865" maxValue="32110933.16"/>
    </cacheField>
    <cacheField name="LE3 Final Submission" numFmtId="0">
      <sharedItems containsString="0" containsBlank="1" containsNumber="1" minValue="-1080865" maxValue="32110933.16"/>
    </cacheField>
    <cacheField name="LE4 Final Submission" numFmtId="0">
      <sharedItems containsString="0" containsBlank="1" containsNumber="1" containsInteger="1" minValue="0" maxValue="213108"/>
    </cacheField>
    <cacheField name="AP01" numFmtId="0">
      <sharedItems containsString="0" containsBlank="1" containsNumber="1" minValue="-1104045.58" maxValue="4356992.08"/>
    </cacheField>
    <cacheField name="AP02" numFmtId="0">
      <sharedItems containsString="0" containsBlank="1" containsNumber="1" minValue="-4356992.08" maxValue="3048410.85"/>
    </cacheField>
    <cacheField name="AP03" numFmtId="0">
      <sharedItems containsString="0" containsBlank="1" containsNumber="1" minValue="-551382.25" maxValue="3021391.85"/>
    </cacheField>
    <cacheField name="AP04" numFmtId="0">
      <sharedItems containsString="0" containsBlank="1" containsNumber="1" minValue="-84081.45" maxValue="3021020.11"/>
    </cacheField>
    <cacheField name="AP05" numFmtId="0">
      <sharedItems containsString="0" containsBlank="1" containsNumber="1" minValue="-773710" maxValue="3021022.03"/>
    </cacheField>
    <cacheField name="AP06" numFmtId="0">
      <sharedItems containsString="0" containsBlank="1" containsNumber="1" minValue="-213108" maxValue="3021020.07"/>
    </cacheField>
    <cacheField name="AP07" numFmtId="0">
      <sharedItems containsString="0" containsBlank="1" containsNumber="1" minValue="-78124" maxValue="2977460.79"/>
    </cacheField>
    <cacheField name="AP08" numFmtId="0">
      <sharedItems containsString="0" containsBlank="1" containsNumber="1" minValue="-180144" maxValue="2957767.97"/>
    </cacheField>
    <cacheField name="AP09" numFmtId="0">
      <sharedItems containsString="0" containsBlank="1" containsNumber="1" minValue="-1601829.62" maxValue="2824180.51"/>
    </cacheField>
    <cacheField name="AP10" numFmtId="0">
      <sharedItems containsString="0" containsBlank="1" containsNumber="1" minValue="-1601829.62" maxValue="2683373.61"/>
    </cacheField>
    <cacheField name="AP11" numFmtId="0">
      <sharedItems containsString="0" containsBlank="1" containsNumber="1" minValue="-1601829.62" maxValue="2683374.5"/>
    </cacheField>
    <cacheField name="AP12" numFmtId="0">
      <sharedItems containsString="0" containsBlank="1" containsNumber="1" minValue="-1601829.62" maxValue="2683373.5699999998"/>
    </cacheField>
    <cacheField name="2026 Working Total" numFmtId="165">
      <sharedItems containsString="0" containsBlank="1" containsNumber="1" minValue="-6407318.4800000004" maxValue="34757461.509999998"/>
    </cacheField>
    <cacheField name="2026 Working Total to Budget/LE" numFmtId="167">
      <sharedItems containsSemiMixedTypes="0" containsString="0" containsNumber="1" minValue="-6952243.9899999993" maxValue="5574261.2942721173"/>
    </cacheField>
    <cacheField name="Latest AP Snapshot" numFmtId="167">
      <sharedItems containsNonDate="0" containsString="0" containsBlank="1"/>
    </cacheField>
    <cacheField name="Latest AP Variance to Snapshot" numFmtId="167">
      <sharedItems containsNonDate="0" containsString="0" containsBlank="1"/>
    </cacheField>
    <cacheField name="YTD Act to Bud/LE" numFmtId="167">
      <sharedItems containsSemiMixedTypes="0" containsString="0" containsNumber="1" minValue="-1.1641532182693481E-10" maxValue="5.8207660913467407E-11"/>
    </cacheField>
    <cacheField name="Giveback" numFmtId="167">
      <sharedItems containsString="0" containsBlank="1" containsNumber="1" containsInteger="1" minValue="-283000" maxValue="488000"/>
    </cacheField>
    <cacheField name="Other Allocation" numFmtId="167">
      <sharedItems containsString="0" containsBlank="1" containsNumber="1" minValue="-6952243.9899999993" maxValue="5574261.2942721173"/>
    </cacheField>
    <cacheField name="Giveback Comments" numFmtId="0">
      <sharedItems containsBlank="1"/>
    </cacheField>
    <cacheField name="AP01 LE2" numFmtId="0">
      <sharedItems containsString="0" containsBlank="1" containsNumber="1" minValue="-1104045.58" maxValue="4356992.08"/>
    </cacheField>
    <cacheField name="AP02 LE2" numFmtId="0">
      <sharedItems containsString="0" containsBlank="1" containsNumber="1" minValue="-4356992.08" maxValue="3048410.85"/>
    </cacheField>
    <cacheField name="AP03 LE2" numFmtId="0">
      <sharedItems containsString="0" containsBlank="1" containsNumber="1" minValue="-551382.25" maxValue="3021391.85"/>
    </cacheField>
    <cacheField name="AP04 LE2" numFmtId="0">
      <sharedItems containsString="0" containsBlank="1" containsNumber="1" minValue="-84081.45" maxValue="3021020.11"/>
    </cacheField>
    <cacheField name="AP05 LE2" numFmtId="0">
      <sharedItems containsString="0" containsBlank="1" containsNumber="1" minValue="-773710" maxValue="3021022.03"/>
    </cacheField>
    <cacheField name="AP06 LE2" numFmtId="0">
      <sharedItems containsString="0" containsBlank="1" containsNumber="1" minValue="-213108" maxValue="3021020.07"/>
    </cacheField>
    <cacheField name="AP07 LE2" numFmtId="0">
      <sharedItems containsString="0" containsBlank="1" containsNumber="1" minValue="-78124" maxValue="2977460.79"/>
    </cacheField>
    <cacheField name="AP08 LE2" numFmtId="0">
      <sharedItems containsString="0" containsBlank="1" containsNumber="1" minValue="-180144" maxValue="2957767.97"/>
    </cacheField>
    <cacheField name="AP09 LE2" numFmtId="0">
      <sharedItems containsString="0" containsBlank="1" containsNumber="1" minValue="-1601829.62" maxValue="2824180.51"/>
    </cacheField>
    <cacheField name="AP10 LE2" numFmtId="0">
      <sharedItems containsString="0" containsBlank="1" containsNumber="1" minValue="-1601829.62" maxValue="2683373.61"/>
    </cacheField>
    <cacheField name="AP11 LE2" numFmtId="0">
      <sharedItems containsString="0" containsBlank="1" containsNumber="1" minValue="-1601829.62" maxValue="2683374.5"/>
    </cacheField>
    <cacheField name="AP12 LE2" numFmtId="0">
      <sharedItems containsString="0" containsBlank="1" containsNumber="1" minValue="-1601829.62" maxValue="2683373.5699999998"/>
    </cacheField>
    <cacheField name="2026 LE2 Working Total" numFmtId="0">
      <sharedItems containsString="0" containsBlank="1" containsNumber="1" minValue="-6407318.4800000004" maxValue="34757461.509999998"/>
    </cacheField>
    <cacheField name="2026 AP01" numFmtId="167">
      <sharedItems containsString="0" containsBlank="1" containsNumber="1" minValue="-1104045.58" maxValue="4356992.08"/>
    </cacheField>
    <cacheField name="2026 AP02" numFmtId="167">
      <sharedItems containsString="0" containsBlank="1" containsNumber="1" minValue="-4356992.08" maxValue="3048410.85"/>
    </cacheField>
    <cacheField name="2026 AP03" numFmtId="167">
      <sharedItems containsString="0" containsBlank="1" containsNumber="1" minValue="-551382.25" maxValue="3021391.85"/>
    </cacheField>
    <cacheField name="2026 AP04" numFmtId="167">
      <sharedItems containsString="0" containsBlank="1" containsNumber="1" minValue="-78124" maxValue="3021020.11"/>
    </cacheField>
    <cacheField name="2026 AP05" numFmtId="167">
      <sharedItems containsString="0" containsBlank="1" containsNumber="1" minValue="-180144.16" maxValue="3021022.03"/>
    </cacheField>
    <cacheField name="2026 AP06" numFmtId="167">
      <sharedItems containsString="0" containsBlank="1" containsNumber="1" minValue="-213108" maxValue="3021020.07"/>
    </cacheField>
    <cacheField name="2026 AP07" numFmtId="167">
      <sharedItems containsString="0" containsBlank="1" containsNumber="1" minValue="-78124" maxValue="2977460.79"/>
    </cacheField>
    <cacheField name="2026 AP08" numFmtId="167">
      <sharedItems containsString="0" containsBlank="1" containsNumber="1" minValue="-180144.16" maxValue="2957767.97"/>
    </cacheField>
    <cacheField name="2026 AP09" numFmtId="167">
      <sharedItems containsString="0" containsBlank="1" containsNumber="1" minValue="-203100" maxValue="2824180.51"/>
    </cacheField>
    <cacheField name="2026 AP10" numFmtId="167">
      <sharedItems containsString="0" containsBlank="1" containsNumber="1" minValue="-78124" maxValue="2683373.61"/>
    </cacheField>
    <cacheField name="2026 AP11" numFmtId="167">
      <sharedItems containsString="0" containsBlank="1" containsNumber="1" minValue="-180144.16" maxValue="2683374.5"/>
    </cacheField>
    <cacheField name="2026 AP12" numFmtId="167">
      <sharedItems containsString="0" containsBlank="1" containsNumber="1" minValue="-97000" maxValue="2683373.5699999998"/>
    </cacheField>
    <cacheField name="2026 LE0 Submission" numFmtId="167">
      <sharedItems containsString="0" containsBlank="1" containsNumber="1" minValue="-990792.92" maxValue="34757461.5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ite, Charlotte Hilliard" refreshedDate="46177.632645486112" createdVersion="8" refreshedVersion="8" minRefreshableVersion="3" recordCount="673" xr:uid="{1E01BF7A-ADD4-45C7-BFB6-14A109D795A3}">
  <cacheSource type="worksheet">
    <worksheetSource name="ERP"/>
  </cacheSource>
  <cacheFields count="67">
    <cacheField name="UID" numFmtId="0">
      <sharedItems count="708">
        <s v="L-ERP-059"/>
        <s v="N-ERP-613"/>
        <s v="L-ERP-060"/>
        <s v="L-ERP-565"/>
        <s v="L-ERP-568"/>
        <s v="L-ERP-177"/>
        <s v="L-ERP-061"/>
        <s v="N-ERP-571"/>
        <s v="L-ERP-062"/>
        <s v="N-ERP-572"/>
        <s v="L-ERP-502"/>
        <s v="N-ERP-568"/>
        <s v="L-ERP-503"/>
        <s v="N-ERP-569"/>
        <s v="L-ERP-505"/>
        <s v="N-ERP-570"/>
        <s v="N-ERP-557"/>
        <s v="N-ERP-558"/>
        <s v="N-ERP-576"/>
        <s v="L-ERP-228"/>
        <s v="L-ERP-566"/>
        <s v="L-ERP-063"/>
        <s v="N-ERP-573"/>
        <s v="L-ERP-567"/>
        <s v="L-ERP-504"/>
        <s v="N-ERP-559"/>
        <s v="L-ERP-227"/>
        <s v="N-ERP-560"/>
        <s v="N-ERP-577"/>
        <s v="N-ERP-578"/>
        <s v="L-ERP-215"/>
        <s v="L-ERP-258"/>
        <s v="N-ERP-607"/>
        <s v="ERP-003"/>
        <s v="L-ERP-178"/>
        <s v="ERP-004"/>
        <s v="L-ERP-179"/>
        <s v="L-ERP-350"/>
        <s v="L-ERP-351"/>
        <s v="L-ERP-352"/>
        <s v="ERP-020"/>
        <s v="ERP-021"/>
        <s v="L-ERP-311"/>
        <s v="L-ERP-393"/>
        <s v="ERP-022"/>
        <s v="ERP-029"/>
        <s v="ERP-023"/>
        <s v="ERP-030"/>
        <s v="N-ERP-508"/>
        <s v="L-ERP-336"/>
        <s v="L-ERP-401"/>
        <s v="L-ERP-337"/>
        <s v="L-ERP-402"/>
        <s v="L-ERP-021"/>
        <s v="L-ERP-025"/>
        <s v="L-ERP-036"/>
        <s v="L-ERP-326"/>
        <s v="L-ERP-332"/>
        <s v="L-ERP-338"/>
        <s v="L-ERP-403"/>
        <s v="L-ERP-327"/>
        <s v="L-ERP-333"/>
        <s v="L-ERP-396"/>
        <s v="L-ERP-399"/>
        <s v="L-ERP-328"/>
        <s v="L-ERP-329"/>
        <s v="L-ERP-397"/>
        <s v="ERP-032"/>
        <s v="L-ERP-398"/>
        <s v="L-ERP-330"/>
        <s v="ERP-024"/>
        <s v="ERP-031"/>
        <s v="L-ERP-334"/>
        <s v="L-ERP-400"/>
        <s v="ERP-012"/>
        <s v="ERP-013"/>
        <s v="ERP-014"/>
        <s v="ERP-015"/>
        <s v="ERP-016"/>
        <s v="ERP-017"/>
        <s v="ERP-025"/>
        <s v="L-ERP-433"/>
        <s v="ERP-048"/>
        <s v="L-ERP-183"/>
        <s v="L-ERP-414"/>
        <s v="L-ERP-434"/>
        <s v="L-ERP-429"/>
        <s v="N-ERP-603"/>
        <s v="ERP-046"/>
        <s v="L-ERP-424"/>
        <s v="L-ERP-420"/>
        <s v="L-ERP-007"/>
        <s v="L-ERP-037"/>
        <s v="L-ERP-100"/>
        <s v="L-ERP-167"/>
        <s v="L-ERP-190"/>
        <s v="L-ERP-212"/>
        <s v="L-ERP-324"/>
        <s v="L-ERP-339"/>
        <s v="L-ERP-369"/>
        <s v="L-ERP-376"/>
        <s v="L-ERP-408"/>
        <s v="L-ERP-491"/>
        <s v="L-ERP-549"/>
        <s v="L-ERP-582"/>
        <s v="N-ERP-567"/>
        <s v="L-ERP-043"/>
        <s v="L-ERP-103"/>
        <s v="L-ERP-170"/>
        <s v="L-ERP-252"/>
        <s v="L-ERP-342"/>
        <s v="L-ERP-431"/>
        <s v="L-ERP-494"/>
        <s v="L-ERP-426"/>
        <s v="L-ERP-044"/>
        <s v="L-ERP-104"/>
        <s v="L-ERP-171"/>
        <s v="L-ERP-253"/>
        <s v="L-ERP-343"/>
        <s v="L-ERP-428"/>
        <s v="L-ERP-495"/>
        <s v="L-ERP-045"/>
        <s v="L-ERP-105"/>
        <s v="L-ERP-172"/>
        <s v="L-ERP-254"/>
        <s v="L-ERP-344"/>
        <s v="L-ERP-432"/>
        <s v="L-ERP-496"/>
        <s v="ERP-026"/>
        <s v="ERP-033"/>
        <s v="ERP-042"/>
        <s v="ERP-011"/>
        <s v="L-ERP-092"/>
        <s v="L-ERP-096"/>
        <s v="L-ERP-154"/>
        <s v="L-ERP-160"/>
        <s v="L-ERP-186"/>
        <s v="L-ERP-188"/>
        <s v="L-ERP-244"/>
        <s v="L-ERP-248"/>
        <s v="L-ERP-370"/>
        <s v="L-ERP-444"/>
        <s v="L-ERP-473"/>
        <s v="L-ERP-475"/>
        <s v="L-ERP-485"/>
        <s v="L-ERP-556"/>
        <s v="L-ERP-558"/>
        <s v="L-ERP-563"/>
        <s v="ERP-037"/>
        <s v="L-ERP-012"/>
        <s v="L-ERP-070"/>
        <s v="L-ERP-076"/>
        <s v="L-ERP-078"/>
        <s v="L-ERP-131"/>
        <s v="L-ERP-133"/>
        <s v="L-ERP-185"/>
        <s v="L-ERP-197"/>
        <s v="L-ERP-200"/>
        <s v="L-ERP-222"/>
        <s v="L-ERP-319"/>
        <s v="L-ERP-361"/>
        <s v="L-ERP-363"/>
        <s v="L-ERP-418"/>
        <s v="L-ERP-422"/>
        <s v="L-ERP-480"/>
        <s v="L-ERP-482"/>
        <s v="L-ERP-518"/>
        <s v="L-ERP-529"/>
        <s v="L-ERP-534"/>
        <s v="L-ERP-570"/>
        <s v="L-ERP-575"/>
        <s v="L-ERP-577"/>
        <s v="L-ERP-395"/>
        <s v="L-ERP-046"/>
        <s v="L-ERP-173"/>
        <s v="L-ERP-345"/>
        <s v="L-ERP-435"/>
        <s v="L-ERP-430"/>
        <s v="L-ERP-425"/>
        <s v="L-ERP-421"/>
        <s v="L-ERP-387"/>
        <s v="L-ERP-542"/>
        <s v="L-ERP-235"/>
        <s v="L-ERP-204"/>
        <s v="L-ERP-236"/>
        <s v="L-ERP-237"/>
        <s v="N-ERP-579"/>
        <s v="ERP-035"/>
        <s v="L-ERP-238"/>
        <s v="L-ERP-205"/>
        <s v="L-ERP-206"/>
        <s v="L-ERP-141"/>
        <s v="L-ERP-239"/>
        <s v="ERP-027"/>
        <s v="ERP-049"/>
        <s v="L-ERP-439"/>
        <s v="L-ERP-142"/>
        <s v="L-ERP-240"/>
        <s v="L-ERP-207"/>
        <s v="L-ERP-123"/>
        <s v="L-ERP-323"/>
        <s v="L-ERP-143"/>
        <s v="L-ERP-144"/>
        <s v="L-ERP-145"/>
        <s v="L-ERP-394"/>
        <s v="L-ERP-241"/>
        <s v="L-ERP-348"/>
        <s v="L-ERP-108"/>
        <s v="L-ERP-109"/>
        <s v="L-ERP-050"/>
        <s v="L-ERP-051"/>
        <s v="L-ERP-052"/>
        <s v="L-ERP-081"/>
        <s v="L-ERP-082"/>
        <s v="L-ERP-083"/>
        <s v="L-ERP-440"/>
        <s v="L-ERP-423"/>
        <s v="L-ERP-366"/>
        <s v="L-ERP-084"/>
        <s v="N-ERP-503"/>
        <s v="N-ERP-504"/>
        <s v="N-ERP-505"/>
        <s v="N-ERP-506"/>
        <s v="L-ERP-085"/>
        <s v="L-ERP-086"/>
        <s v="L-ERP-087"/>
        <s v="L-ERP-088"/>
        <s v="N-ERP-606"/>
        <s v="L-ERP-089"/>
        <s v="L-ERP-090"/>
        <s v="L-ERP-146"/>
        <s v="L-ERP-091"/>
        <s v="L-ERP-553"/>
        <s v="L-ERP-147"/>
        <s v="L-ERP-581"/>
        <s v="L-ERP-535"/>
        <s v="L-ERP-543"/>
        <s v="ERP-005"/>
        <s v="L-ERP-220"/>
        <s v="L-ERP-449"/>
        <s v="L-ERP-381"/>
        <s v="L-ERP-080"/>
        <s v="L-ERP-315"/>
        <s v="L-ERP-517"/>
        <s v="L-ERP-201"/>
        <s v="L-ERP-203"/>
        <s v="L-ERP-512"/>
        <s v="L-ERP-513"/>
        <s v="N-ERP-502"/>
        <s v="L-ERP-001"/>
        <s v="L-ERP-312"/>
        <s v="L-ERP-538"/>
        <s v="ERP-038"/>
        <s v="L-ERP-180"/>
        <s v="L-ERP-216"/>
        <s v="L-ERP-217"/>
        <s v="L-ERP-355"/>
        <s v="L-ERP-437"/>
        <s v="L-ERP-519"/>
        <s v="L-ERP-511"/>
        <s v="L-ERP-194"/>
        <s v="L-ERP-195"/>
        <s v="L-ERP-148"/>
        <s v="L-ERP-149"/>
        <s v="L-ERP-138"/>
        <s v="L-ERP-478"/>
        <s v="L-ERP-498"/>
        <s v="L-ERP-499"/>
        <s v="L-ERP-500"/>
        <s v="L-ERP-071"/>
        <s v="L-ERP-520"/>
        <s v="L-ERP-521"/>
        <s v="L-ERP-536"/>
        <s v="L-ERP-537"/>
        <s v="L-ERP-539"/>
        <s v="N-ERP-585"/>
        <s v="L-ERP-139"/>
        <s v="L-ERP-128"/>
        <s v="L-ERP-132"/>
        <s v="L-ERP-157"/>
        <s v="L-ERP-247"/>
        <s v="L-ERP-129"/>
        <s v="L-ERP-231"/>
        <s v="L-ERP-150"/>
        <s v="L-ERP-158"/>
        <s v="L-ERP-072"/>
        <s v="L-ERP-522"/>
        <s v="L-ERP-530"/>
        <s v="L-ERP-523"/>
        <s v="L-ERP-531"/>
        <s v="L-ERP-073"/>
        <s v="L-ERP-358"/>
        <s v="L-ERP-524"/>
        <s v="L-ERP-514"/>
        <s v="L-ERP-214"/>
        <s v="L-ERP-383"/>
        <s v="L-ERP-544"/>
        <s v="L-ERP-242"/>
        <s v="L-ERP-525"/>
        <s v="L-ERP-571"/>
        <s v="ERP-051"/>
        <s v="L-ERP-545"/>
        <s v="L-ERP-234"/>
        <s v="L-ERP-232"/>
        <s v="L-ERP-135"/>
        <s v="L-ERP-136"/>
        <s v="L-ERP-137"/>
        <s v="L-ERP-202"/>
        <s v="ERP-050"/>
        <s v="L-ERP-441"/>
        <s v="L-ERP-151"/>
        <s v="L-ERP-162"/>
        <s v="L-ERP-243"/>
        <s v="L-ERP-152"/>
        <s v="N-ERP-561"/>
        <s v="N-ERP-562"/>
        <s v="L-ERP-002"/>
        <s v="L-ERP-124"/>
        <s v="L-ERP-125"/>
        <s v="L-ERP-442"/>
        <s v="L-ERP-226"/>
        <s v="L-ERP-584"/>
        <s v="L-ERP-443"/>
        <s v="L-ERP-388"/>
        <s v="L-ERP-367"/>
        <s v="L-ERP-368"/>
        <s v="L-ERP-389"/>
        <s v="L-ERP-005"/>
        <s v="L-ERP-006"/>
        <s v="N-ERP-604"/>
        <s v="L-ERP-412"/>
        <s v="N-ERP-605"/>
        <s v="ERP-045"/>
        <s v="ERP-019"/>
        <s v="ERP-028"/>
        <s v="L-ERP-362"/>
        <s v="L-ERP-532"/>
        <s v="L-ERP-576"/>
        <s v="ERP-036"/>
        <s v="L-ERP-008"/>
        <s v="L-ERP-009"/>
        <s v="L-ERP-069"/>
        <s v="L-ERP-074"/>
        <s v="L-ERP-077"/>
        <s v="L-ERP-198"/>
        <s v="L-ERP-316"/>
        <s v="L-ERP-317"/>
        <s v="L-ERP-359"/>
        <s v="L-ERP-419"/>
        <s v="L-ERP-481"/>
        <s v="L-ERP-526"/>
        <s v="L-ERP-533"/>
        <s v="L-ERP-572"/>
        <s v="ERP-034"/>
        <s v="L-ERP-003"/>
        <s v="L-ERP-067"/>
        <s v="L-ERP-181"/>
        <s v="L-ERP-218"/>
        <s v="L-ERP-229"/>
        <s v="L-ERP-313"/>
        <s v="L-ERP-356"/>
        <s v="L-ERP-410"/>
        <s v="L-ERP-477"/>
        <s v="L-ERP-010"/>
        <s v="L-ERP-075"/>
        <s v="L-ERP-130"/>
        <s v="L-ERP-184"/>
        <s v="L-ERP-199"/>
        <s v="L-ERP-221"/>
        <s v="L-ERP-233"/>
        <s v="L-ERP-318"/>
        <s v="L-ERP-360"/>
        <s v="L-ERP-409"/>
        <s v="L-ERP-438"/>
        <s v="L-ERP-472"/>
        <s v="L-ERP-483"/>
        <s v="L-ERP-527"/>
        <s v="L-ERP-552"/>
        <s v="L-ERP-573"/>
        <s v="ERP-043"/>
        <s v="L-ERP-015"/>
        <s v="L-ERP-079"/>
        <s v="L-ERP-134"/>
        <s v="L-ERP-223"/>
        <s v="L-ERP-320"/>
        <s v="L-ERP-364"/>
        <s v="L-ERP-413"/>
        <s v="L-ERP-484"/>
        <s v="L-ERP-540"/>
        <s v="N-ERP-586"/>
        <s v="N-ERP-587"/>
        <s v="N-ERP-588"/>
        <s v="N-ERP-589"/>
        <s v="L-ERP-372"/>
        <s v="L-ERP-373"/>
        <s v="L-ERP-020"/>
        <s v="L-ERP-023"/>
        <s v="L-ERP-488"/>
        <s v="N-ERP-612"/>
        <s v="L-ERP-095"/>
        <s v="N-ERP-507"/>
        <s v="ERP-006"/>
        <s v="L-ERP-546"/>
        <s v="L-ERP-547"/>
        <s v="L-ERP-509"/>
        <s v="L-ERP-510"/>
        <s v="L-ERP-066"/>
        <s v="L-ERP-011"/>
        <s v="L-ERP-013"/>
        <s v="L-ERP-528"/>
        <s v="L-ERP-574"/>
        <s v="L-ERP-559"/>
        <s v="L-ERP-193"/>
        <s v="L-ERP-208"/>
        <s v="L-ERP-016"/>
        <s v="L-ERP-017"/>
        <s v="L-ERP-041"/>
        <s v="L-ERP-516"/>
        <s v="N-ERP-614"/>
        <s v="N-ERP-615"/>
        <s v="N-ERP-616"/>
        <s v="L-ERP-175"/>
        <s v="L-ERP-474"/>
        <s v="N-ERP-590"/>
        <s v="N-ERP-591"/>
        <s v="L-ERP-378"/>
        <s v="L-ERP-112"/>
        <s v="N-ERP-509"/>
        <s v="N-ERP-510"/>
        <s v="N-ERP-511"/>
        <s v="N-ERP-512"/>
        <s v="N-ERP-513"/>
        <s v="N-ERP-514"/>
        <s v="N-ERP-515"/>
        <s v="N-ERP-516"/>
        <s v="N-ERP-517"/>
        <s v="N-ERP-518"/>
        <s v="N-ERP-519"/>
        <s v="N-ERP-520"/>
        <s v="N-ERP-521"/>
        <s v="N-ERP-522"/>
        <s v="N-ERP-523"/>
        <s v="N-ERP-524"/>
        <s v="N-ERP-525"/>
        <s v="N-ERP-526"/>
        <s v="N-ERP-527"/>
        <s v="N-ERP-528"/>
        <s v="N-ERP-529"/>
        <s v="N-ERP-530"/>
        <s v="N-ERP-531"/>
        <s v="N-ERP-532"/>
        <s v="N-ERP-533"/>
        <s v="N-ERP-534"/>
        <s v="L-ERP-113"/>
        <s v="N-ERP-535"/>
        <s v="N-ERP-536"/>
        <s v="N-ERP-537"/>
        <s v="N-ERP-538"/>
        <s v="N-ERP-539"/>
        <s v="N-ERP-540"/>
        <s v="N-ERP-541"/>
        <s v="N-ERP-542"/>
        <s v="N-ERP-543"/>
        <s v="N-ERP-544"/>
        <s v="N-ERP-545"/>
        <s v="N-ERP-546"/>
        <s v="L-ERP-111"/>
        <s v="L-ERP-115"/>
        <s v="L-ERP-116"/>
        <s v="L-ERP-121"/>
        <s v="N-ERP-610"/>
        <s v="N-ERP-611"/>
        <s v="N-ERP-574"/>
        <s v="N-ERP-575"/>
        <s v="L-ERP-163"/>
        <s v="L-ERP-321"/>
        <s v="L-ERP-322"/>
        <s v="L-ERP-140"/>
        <s v="L-ERP-569"/>
        <s v="N-ERP-608"/>
        <s v="N-ERP-609"/>
        <s v="N-ERP-592"/>
        <s v="N-ERP-593"/>
        <s v="L-ERP-120"/>
        <s v="L-ERP-053"/>
        <s v="L-ERP-110"/>
        <s v="L-ERP-004"/>
        <s v="L-ERP-068"/>
        <s v="L-ERP-127"/>
        <s v="L-ERP-182"/>
        <s v="L-ERP-196"/>
        <s v="L-ERP-219"/>
        <s v="L-ERP-230"/>
        <s v="L-ERP-314"/>
        <s v="L-ERP-357"/>
        <s v="L-ERP-407"/>
        <s v="L-ERP-436"/>
        <s v="L-ERP-471"/>
        <s v="L-ERP-479"/>
        <s v="L-ERP-515"/>
        <s v="L-ERP-551"/>
        <s v="L-ERP-153"/>
        <s v="L-ERP-164"/>
        <s v="L-ERP-107"/>
        <s v="L-ERP-014"/>
        <s v="N-ERP-563"/>
        <s v="L-ERP-117"/>
        <s v="N-ERP-547"/>
        <s v="N-ERP-548"/>
        <s v="N-ERP-549"/>
        <s v="N-ERP-550"/>
        <s v="N-ERP-551"/>
        <s v="N-ERP-552"/>
        <s v="L-ERP-118"/>
        <s v="L-ERP-119"/>
        <s v="L-ERP-114"/>
        <s v="L-ERP-382"/>
        <s v="N-ERP-594"/>
        <s v="N-ERP-595"/>
        <s v="L-ERP-379"/>
        <s v="N-ERP-564"/>
        <s v="L-ERP-165"/>
        <s v="L-ERP-166"/>
        <s v="N-ERP-565"/>
        <s v="N-ERP-566"/>
        <s v="L-ERP-054"/>
        <s v="L-ERP-349"/>
        <s v="L-ERP-126"/>
        <s v="L-ERP-064"/>
        <s v="L-ERP-065"/>
        <s v="L-ERP-353"/>
        <s v="L-ERP-354"/>
        <s v="N-ERP-596"/>
        <s v="N-ERP-597"/>
        <s v="N-ERP-598"/>
        <s v="N-ERP-599"/>
        <s v="L-ERP-033"/>
        <s v="L-ERP-034"/>
        <s v="L-ERP-035"/>
        <s v="N-ERP-600"/>
        <s v="N-ERP-601"/>
        <s v="L-ERP-055"/>
        <s v="L-ERP-058"/>
        <s v="L-ERP-098"/>
        <s v="L-ERP-365"/>
        <s v="N-ERP-602"/>
        <s v="L-ERP-380"/>
        <s v="L-ERP-056"/>
        <s v="N-ERP-553"/>
        <s v="N-ERP-554"/>
        <s v="L-ERP-057"/>
        <s v="L-ERP-375"/>
        <s v="L-ERP-506"/>
        <s v="L-ERP-507"/>
        <s v="L-ERP-187"/>
        <s v="L-ERP-508"/>
        <s v="L-ERP-406"/>
        <s v="L-ERP-099"/>
        <s v="N-ERP-618"/>
        <s v="N-ERP-619"/>
        <s v="L-ERP-490"/>
        <s v="N-ERP-555"/>
        <s v="N-ERP-556"/>
        <s v="L-ERP-554"/>
        <s v="L-ERP-560"/>
        <s v="L-ERP-555"/>
        <s v="L-ERP-561"/>
        <s v="L-ERP-562"/>
        <s v="N-ERP-617"/>
        <s v="L-ERP-256"/>
        <s v="ERP-039"/>
        <s v="ERP-040"/>
        <s v="ERP-047"/>
        <s v="ERP-052"/>
        <s v="ERP-053"/>
        <s v="L-ERP-019"/>
        <s v="L-ERP-022"/>
        <s v="L-ERP-026"/>
        <s v="L-ERP-032"/>
        <s v="L-ERP-038"/>
        <s v="L-ERP-093"/>
        <s v="L-ERP-097"/>
        <s v="L-ERP-101"/>
        <s v="L-ERP-155"/>
        <s v="L-ERP-161"/>
        <s v="L-ERP-168"/>
        <s v="L-ERP-189"/>
        <s v="L-ERP-191"/>
        <s v="L-ERP-209"/>
        <s v="L-ERP-211"/>
        <s v="L-ERP-213"/>
        <s v="L-ERP-224"/>
        <s v="L-ERP-225"/>
        <s v="L-ERP-245"/>
        <s v="L-ERP-249"/>
        <s v="L-ERP-250"/>
        <s v="L-ERP-325"/>
        <s v="L-ERP-331"/>
        <s v="L-ERP-335"/>
        <s v="L-ERP-340"/>
        <s v="L-ERP-371"/>
        <s v="L-ERP-374"/>
        <s v="L-ERP-377"/>
        <s v="L-ERP-390"/>
        <s v="L-ERP-391"/>
        <s v="L-ERP-392"/>
        <s v="L-ERP-411"/>
        <s v="L-ERP-445"/>
        <s v="L-ERP-447"/>
        <s v="L-ERP-448"/>
        <s v="L-ERP-476"/>
        <s v="L-ERP-486"/>
        <s v="L-ERP-487"/>
        <s v="L-ERP-489"/>
        <s v="L-ERP-492"/>
        <s v="L-ERP-541"/>
        <s v="L-ERP-548"/>
        <s v="L-ERP-550"/>
        <s v="L-ERP-557"/>
        <s v="L-ERP-564"/>
        <s v="L-ERP-578"/>
        <s v="L-ERP-580"/>
        <s v="L-ERP-583"/>
        <s v="L-ERP-028"/>
        <s v="L-ERP-417"/>
        <s v="L-ERP-385"/>
        <s v="ERP-041"/>
        <s v="ERP-044"/>
        <s v="L-ERP-047"/>
        <s v="L-ERP-048"/>
        <s v="L-ERP-106"/>
        <s v="L-ERP-174"/>
        <s v="L-ERP-192"/>
        <s v="L-ERP-255"/>
        <s v="L-ERP-346"/>
        <s v="L-ERP-405"/>
        <s v="L-ERP-497"/>
        <s v="L-ERP-094"/>
        <s v="L-ERP-156"/>
        <s v="L-ERP-210"/>
        <s v="L-ERP-246"/>
        <s v="L-ERP-446"/>
        <s v="L-ERP-579"/>
        <s v="L-ERP-159"/>
        <s v="L-ERP-404"/>
        <s v="L-ERP-416"/>
        <s v="L-ERP-030"/>
        <s v="L-ERP-039"/>
        <s v="L-ERP-018"/>
        <s v="L-ERP-024"/>
        <s v="L-ERP-027"/>
        <s v="L-ERP-029"/>
        <s v="L-ERP-031"/>
        <s v="L-ERP-042"/>
        <s v="L-ERP-040"/>
        <s v="L-ERP-102"/>
        <s v="L-ERP-169"/>
        <s v="L-ERP-251"/>
        <s v="L-ERP-341"/>
        <s v="L-ERP-415"/>
        <s v="L-ERP-493"/>
        <s v="L-ERP-049"/>
        <s v="L-ERP-122"/>
        <s v="L-ERP-176"/>
        <s v="L-ERP-257"/>
        <s v="L-ERP-347"/>
        <s v="L-ERP-384"/>
        <s v="L-ERP-501"/>
        <s v="L-ERP-427"/>
        <s v="L-ERP-386"/>
        <s v="ERP-001"/>
        <s v="ERP-002"/>
        <s v="ERP-018"/>
        <s v="AP5-ERP-35" u="1"/>
        <s v="AP5-ERP-21" u="1"/>
        <s v="AP5-ERP-22" u="1"/>
        <s v="AP5-ERP-29" u="1"/>
        <s v="AP5-ERP-09" u="1"/>
        <s v="AP5-ERP-01" u="1"/>
        <s v="AP5-ERP-02" u="1"/>
        <s v="AP5-ERP-03" u="1"/>
        <s v="AP5-ERP-04" u="1"/>
        <s v="AP5-ERP-05" u="1"/>
        <s v="AP5-ERP-06" u="1"/>
        <s v="AP5-ERP-07" u="1"/>
        <s v="AP5-ERP-08" u="1"/>
        <s v="AP5-ERP-34" u="1"/>
        <s v="AP5-ERP-10" u="1"/>
        <s v="AP5-ERP-11" u="1"/>
        <s v="AP5-ERP-12" u="1"/>
        <s v="AP5-ERP-13" u="1"/>
        <s v="AP5-ERP-14" u="1"/>
        <s v="AP5-ERP-15" u="1"/>
        <s v="AP5-ERP-16" u="1"/>
        <s v="AP5-ERP-17" u="1"/>
        <s v="AP5-ERP-18" u="1"/>
        <s v="AP5-ERP-19" u="1"/>
        <s v="AP5-ERP-20" u="1"/>
        <s v="AP5-ERP-23" u="1"/>
        <s v="AP5-ERP-24" u="1"/>
        <s v="AP5-ERP-25" u="1"/>
        <s v="AP5-ERP-26" u="1"/>
        <s v="AP5-ERP-27" u="1"/>
        <s v="AP5-ERP-28" u="1"/>
        <s v="AP5-ERP-30" u="1"/>
        <s v="AP5-ERP-31" u="1"/>
        <s v="AP5-ERP-32" u="1"/>
        <s v="AP5-ERP-33" u="1"/>
      </sharedItems>
    </cacheField>
    <cacheField name="Match" numFmtId="0">
      <sharedItems containsBlank="1" count="675">
        <s v="Dougherty, Chris_SOFTWARE_2026-XFR-0007-A"/>
        <s v="Tamavada, Ram_MANAGED SERVICES_2026-XFR-0008-B"/>
        <s v="Dougherty, Chris_SOFTWARE_2026-XFR-0013-A"/>
        <s v="Yeluri, Durga_MANAGED SERVICES_2026-XFR-0014-A"/>
        <s v="Yeluri, Durga_SOFTWARE_2026-XFR-0014-B"/>
        <s v="Hase, Raj_SOFTWARE_2026-XFR-0015-A"/>
        <s v="Dougherty, Chris_SOFTWARE_2026-XFR-0017-A"/>
        <s v="Hovanyetz, Mike_SOFTWARE_2026-XFR-0017-A"/>
        <s v="Dougherty, Chris_SOFTWARE_2026-XFR-0017-B"/>
        <s v="Hovanyetz, Mike_SOFTWARE_2026-XFR-0017-B"/>
        <s v="Tamavada, Ram_MANAGED SERVICES_2026-XFR-0017-C"/>
        <s v="Hovanyetz, Mike_MANAGED SERVICES_2026-XFR-0017-C"/>
        <s v="Tamavada, Ram_MANAGED SERVICES_2026-XFR-0017-D"/>
        <s v="Hovanyetz, Mike_MANAGED SERVICES_2026-XFR-0017-D"/>
        <s v="Tamavada, Ram_MANAGED SERVICES_2026-XFR-0020-A"/>
        <s v="Hovanyetz, Mike_MANAGED SERVICES_2026-XFR-0020-A"/>
        <s v="Ganesan, Srinivasan_CONTRACTORS_2026-XFR-0023-A"/>
        <s v="Ganesan, Srinivasan_CONTRACTORS_2026-XFR-0024-A"/>
        <s v="Jajodia, Amit_CONTRACTORS_2026-XFR-0028-A"/>
        <s v="Jajodia, Amit_SOFTWARE_2026-XFR-0032-A"/>
        <s v="Yeluri, Durga_MANAGED SERVICES_2026-XFR-0033-A"/>
        <s v="Dougherty, Chris_SOFTWARE_2026-XFR-0034-A"/>
        <s v="Hovanyetz, Mike_SOFTWARE_2026-XFR-0034-A"/>
        <s v="Yeluri, Durga_MANAGED SERVICES_2026-XFR-0035-A"/>
        <s v="Tamavada, Ram_SOFTWARE_2026-XFR-0036-A"/>
        <s v="Ganesan, Srinivasan_CONTRACTORS_2026-XFR-0043-A"/>
        <s v="Jajodia, Amit_CONTRACTORS_2026-XFR-0050-A"/>
        <s v="Ganesan, Srinivasan_CONTRACTORS_2026-XFR-0051-A"/>
        <s v="Jajodia, Amit_CONTRACTORS_2026-XFR-0053-A"/>
        <s v="Jajodia, Amit_CONTRACTORS_2026-XFR-0054-A"/>
        <s v="Hovanyetz, Mike_SOFTWARE_2026-XFR-0059-A"/>
        <s v="Johnson, Paul_MANAGED SERVICES_2026-XFR-0063-A"/>
        <s v="Meadows, Leslie_SOFTWARE_2026-XFR-KM001"/>
        <s v="Hovanyetz, Mike_SOFTWARE_2026-XFR-LD001"/>
        <s v="Hase, Raj_SOFTWARE_2026-XFR-LD001"/>
        <s v="Hovanyetz, Mike_SOFTWARE_2026-XFR-LD002"/>
        <s v="Hase, Raj_SOFTWARE_2026-XFR-LD002"/>
        <s v="McCormick, Pete_HW MAINTENANCE_2026-XFR-ML001"/>
        <s v="McCormick, Pete_HW MAINTENANCE_2026-XFR-ML002"/>
        <s v="McCormick, Pete_HW MAINTENANCE_2026-XFR-ML003"/>
        <s v="McCormick, Pete_MANAGED SERVICES_AD-RAOCBINT3-PD-15-US-00"/>
        <s v="McCormick, Pete_MANAGED SERVICES_AR-700001184-1400"/>
        <s v="Maguire, Karla_MANAGED SERVICES_BillingRev001"/>
        <s v="McGettigan, David_MANAGED SERVICES_BillingRev001"/>
        <s v="McGettigan, David_SOFTWARE_BILLINGREV001CN"/>
        <s v="Maguire, Karla_SOFTWARE_BILLINGREV001CN"/>
        <s v="McGettigan, David_SOFTWARE_BILLINGREV009B"/>
        <s v="Maguire, Karla_SOFTWARE_BILLINGREV009B"/>
        <s v="Dougherty, Chris_MANAGED SERVICES_BillingRev019"/>
        <s v="Maguire, Karla_SOFTWARE_BillingSweep001"/>
        <s v="McGettigan, David_SOFTWARE_BillingSweep001"/>
        <s v="Maguire, Karla_SOFTWARE_BillingSweep002"/>
        <s v="McGettigan, David_SOFTWARE_BillingSweep002"/>
        <s v="DeHart, Lynn_HW MAINTENANCE_BillingSweep005"/>
        <s v="DeHart, Lynn_MANAGED SERVICES_BillingSweep005"/>
        <s v="DeHart, Lynn_SOFTWARE_BillingSweep005"/>
        <s v="Maguire, Karla_HW MAINTENANCE_BillingSweep005"/>
        <s v="Maguire, Karla_MANAGED SERVICES_BillingSweep005"/>
        <s v="Maguire, Karla_SOFTWARE_BillingSweep006"/>
        <s v="McGettigan, David_SOFTWARE_BillingSweep006"/>
        <s v="Maguire, Karla_HW MAINTENANCE_BillingSweep011"/>
        <s v="Maguire, Karla_MANAGED SERVICES_BillingSweep011"/>
        <s v="McGettigan, David_HW MAINTENANCE_BillingSweep011"/>
        <s v="McGettigan, David_MANAGED SERVICES_BillingSweep011"/>
        <s v="Maguire, Karla_HW MAINTENANCE_BillingSweep012"/>
        <s v="Maguire, Karla_HW MAINTENANCE_BillingSweep016"/>
        <s v="McGettigan, David_HW MAINTENANCE_BillingSweep016"/>
        <s v="Maguire, Karla_HW MAINTENANCE_BILLINGSWEEP017"/>
        <s v="McGettigan, David_HW MAINTENANCE_BillingSweep017"/>
        <s v="Maguire, Karla_HW MAINTENANCE_BillingSweep019"/>
        <s v="McGettigan, David_SOFTWARE_BILLINGSWEEP021"/>
        <s v="Maguire, Karla_SOFTWARE_BILLINGSWEEP021"/>
        <s v="Maguire, Karla_MANAGED SERVICES_BillingSweep021"/>
        <s v="McGettigan, David_MANAGED SERVICES_BillingSweep021"/>
        <s v="Dougherty, Chris_HW MAINTENANCE_BillSweepMisc"/>
        <s v="McGettigan, David_HW MAINTENANCE_BillSweepMisc"/>
        <s v="Dougherty, Chris_MANAGED SERVICES_BillSweepMisc"/>
        <s v="McGettigan, David_MANAGED SERVICES_BillSweepMisc"/>
        <s v="Dougherty, Chris_SOFTWARE_BillSweepMisc"/>
        <s v="McGettigan, David_SOFTWARE_BillSweepMisc"/>
        <s v="McGettigan, David_MANAGED SERVICES_CC-BTF25001-02-EX"/>
        <s v="McGettigan, David_CONTRACTORS_CC-BTF25001-02-EX"/>
        <s v="McGettigan, David_SOFTWARE_CE-BTF22001-02-EX"/>
        <s v="Hase, Raj_MANAGED SERVICES_CE-BTF22001-02-EX"/>
        <s v="McGettigan, David_MANAGED SERVICES_CE-BTF22001-02-EX"/>
        <s v="McGettigan, David_CONTRACTORS_CE-BTF22001-02-EX"/>
        <s v="McGettigan, David_CONTRACTORS_CE-BTF24000-02-EX"/>
        <s v="McGettigan, David_CONTRACTORS_CE-BTF24002-02-EX"/>
        <s v="McGettigan, David_MANAGED SERVICES_CE-BTF24003-02-EX"/>
        <s v="McGettigan, David_CONTRACTORS_CE-BTF24003-02-EX"/>
        <s v="McGettigan, David_CONTRACTORS_CE-BTF26000-02-EX"/>
        <s v="DeHart, Lynn_TRAVEL &amp; ENTERTAINMENT_CE-BTS23000-02-EX-GR"/>
        <s v="DeHart, Lynn_SOFTWARE_ColleagueSolutions001"/>
        <s v="Dougherty, Chris_SOFTWARE_ColleagueSolutions001"/>
        <s v="Ganesan, Srinivasan_SOFTWARE_ColleagueSolutions001"/>
        <s v="Hase, Raj_SOFTWARE_ColleagueSolutions001"/>
        <s v="Herman, Shaun_SOFTWARE_ColleagueSolutions001"/>
        <s v="Maguire, Karla_CONTRACTORS_ColleagueSolutions001"/>
        <s v="Maguire, Karla_SOFTWARE_ColleagueSolutions001"/>
        <s v="McCormick, Pete_CONTRACTORS_ColleagueSolutions001"/>
        <s v="McCormick, Pete_SOFTWARE_ColleagueSolutions001"/>
        <s v="McGettigan, David_SOFTWARE_ColleagueSolutions001"/>
        <s v="Robertson, Jerome_SOFTWARE_ColleagueSolutions001"/>
        <s v="Tamavada, Ram_SOFTWARE_ColleagueSolutions001"/>
        <s v="Yeluri, Durga_SOFTWARE_ColleagueSolutions001"/>
        <s v="Hase, Raj_CONTRACTORS_ColleagueSolutions001"/>
        <s v="DeHart, Lynn_COMPENSATION_CompBenefits001"/>
        <s v="Dougherty, Chris_COMPENSATION_CompBenefits001"/>
        <s v="Ganesan, Srinivasan_COMPENSATION_CompBenefits001"/>
        <s v="Jajodia, Amit_COMPENSATION_CompBenefits001"/>
        <s v="Maguire, Karla_COMPENSATION_CompBenefits001"/>
        <s v="McGettigan, David_COMPENSATION_CompBenefits001"/>
        <s v="Robertson, Jerome_COMPENSATION_CompBenefits001"/>
        <s v="McGettigan, David_COMPENSATION_CompBenefitsCar001"/>
        <s v="DeHart, Lynn_COMPENSATION_CompBonus001"/>
        <s v="Dougherty, Chris_COMPENSATION_CompBonus001"/>
        <s v="Ganesan, Srinivasan_COMPENSATION_CompBonus001"/>
        <s v="Jajodia, Amit_COMPENSATION_CompBonus001"/>
        <s v="Maguire, Karla_COMPENSATION_CompBonus001"/>
        <s v="McGettigan, David_COMPENSATION_CompBonus001"/>
        <s v="Robertson, Jerome_COMPENSATION_CompBonus001"/>
        <s v="Hase, Raj_COMPENSATION_CompSalary001"/>
        <s v="Dougherty, Chris_COMPENSATION_CompSalary001"/>
        <s v="Ganesan, Srinivasan_COMPENSATION_CompSalary001"/>
        <s v="Jajodia, Amit_COMPENSATION_CompSalary001"/>
        <s v="Maguire, Karla_COMPENSATION_CompSalary001"/>
        <s v="McGettigan, David_COMPENSATION_CompSalary001"/>
        <s v="Robertson, Jerome_COMPENSATION_CompSalary001"/>
        <s v="Tamavada, Ram_CONTRACTORS_EnhanceChargeout001"/>
        <s v="Ganesan, Srinivasan_SOFTWARE_EnhanceChargeout001"/>
        <s v="Jajodia, Amit_SOFTWARE_EnhanceChargeout001"/>
        <s v="Hase, Raj_SOFTWARE_EnhanceChargeout001"/>
        <s v="Dougherty, Chris_CONTRACTORS_EnhanceChargeout001"/>
        <s v="Dougherty, Chris_MANAGED SERVICES_EnhanceChargeout001"/>
        <s v="Ganesan, Srinivasan_CONTRACTORS_EnhanceChargeout001"/>
        <s v="Ganesan, Srinivasan_MANAGED SERVICES_EnhanceChargeout001"/>
        <s v="Hase, Raj_CONTRACTORS_EnhanceChargeout001"/>
        <s v="Hase, Raj_MANAGED SERVICES_EnhanceChargeout001"/>
        <s v="Jajodia, Amit_CONTRACTORS_EnhanceChargeout001"/>
        <s v="Jajodia, Amit_MANAGED SERVICES_EnhanceChargeout001"/>
        <s v="McCormick, Pete_CONTRACTORS_EnhanceChargeout001"/>
        <s v="Meadows, Leslie_CONTRACTORS_EnhanceChargeout001"/>
        <s v="Patel, Nikunj Rohitkumar_CONTRACTORS_EnhanceChargeout001"/>
        <s v="Patel, Nikunj Rohitkumar_SOFTWARE_EnhanceChargeout001"/>
        <s v="Robertson, Jerome_CONTRACTORS_EnhanceChargeout001"/>
        <s v="Vaidya, Sachin_CONTRACTORS_EnhanceChargeout001"/>
        <s v="Vaidya, Sachin_MANAGED SERVICES_EnhanceChargeout001"/>
        <s v="Vaidya, Sachin_SOFTWARE_EnhanceChargeout001"/>
        <s v="Dougherty, Chris_CONTRACTORS_EP&amp;SCharges001"/>
        <s v="DeHart, Lynn_MANAGED SERVICES_EP&amp;SCharges001"/>
        <s v="Dougherty, Chris_HW MAINTENANCE_EP&amp;SCharges001"/>
        <s v="Dougherty, Chris_MANAGED SERVICES_EP&amp;SCharges001"/>
        <s v="Dougherty, Chris_SOFTWARE_EP&amp;SCharges001"/>
        <s v="Ganesan, Srinivasan_MANAGED SERVICES_EP&amp;SCharges001"/>
        <s v="Ganesan, Srinivasan_SOFTWARE_EP&amp;SCharges001"/>
        <s v="Hase, Raj_MANAGED SERVICES_EP&amp;SCharges001"/>
        <s v="Herman, Shaun_CONTRACTORS_EP&amp;SCharges001"/>
        <s v="Herman, Shaun_MANAGED SERVICES_EP&amp;SCharges001"/>
        <s v="Hovanyetz, Mike_MANAGED SERVICES_EP&amp;SCharges001"/>
        <s v="Maguire, Karla_MANAGED SERVICES_EP&amp;SCharges001"/>
        <s v="McCormick, Pete_MANAGED SERVICES_EP&amp;SCharges001"/>
        <s v="McCormick, Pete_SOFTWARE_EP&amp;SCharges001"/>
        <s v="McGettigan, David_CONTRACTORS_EP&amp;SCharges001"/>
        <s v="McGettigan, David_MANAGED SERVICES_EP&amp;SCharges001"/>
        <s v="Robertson, Jerome_CONTRACTORS_EP&amp;SCharges001"/>
        <s v="Robertson, Jerome_HW MAINTENANCE_EP&amp;SCharges001"/>
        <s v="Tamavada, Ram_CONTRACTORS_EP&amp;SCharges001"/>
        <s v="Tamavada, Ram_MANAGED SERVICES_EP&amp;SCharges001"/>
        <s v="Tamavada, Ram_SOFTWARE_EP&amp;SCharges001"/>
        <s v="Yeluri, Durga_CONTRACTORS_EP&amp;SCharges001"/>
        <s v="Yeluri, Durga_MANAGED SERVICES_EP&amp;SCharges001"/>
        <s v="Yeluri, Durga_SOFTWARE_EP&amp;SCharges001"/>
        <s v="McGettigan, David_SOFTWARE_ERP_Amort001"/>
        <s v="DeHart, Lynn_DEPRECIATION_ERP_Depre001"/>
        <s v="Ganesan, Srinivasan_DEPRECIATION_ERP_Depre001"/>
        <s v="Maguire, Karla_DEPRECIATION_ERP_Depre001"/>
        <s v="McGettigan, David_DEPRECIATION_ERP_Depre001"/>
        <s v="McGettigan, David_DEPRECIATION_ERP_DepreAUC001"/>
        <s v="McGettigan, David_CONTRACTORS_ERP_Digital Funded Project_002"/>
        <s v="McGettigan, David_CONTRACTORS_ERP_DigitalFundedProject001"/>
        <s v="McGettigan, David_CONTRACTORS_ERP_ProjectQuantaME001"/>
        <s v="Tamavada, Ram_MANAGED SERVICES_IT-17BTF01-01"/>
        <s v="Jajodia, Amit_CONTRACTORS_IT-CTR0023-OG-US-00"/>
        <s v="Herman, Shaun_CONTRACTORS_IT-CTR0024-OG-US-00"/>
        <s v="Jajodia, Amit_CONTRACTORS_IT-CTR0027-OG-US-00"/>
        <s v="Jajodia, Amit_CONTRACTORS_IT-CTR0030-OG-US-00"/>
        <s v="Jajodia, Amit_CONTRACTORS_IT-CTR0031-OG-US-00"/>
        <s v="DeHart, Lynn_CONTRACTORS_IT-CTR0034-OG-US-00"/>
        <s v="Jajodia, Amit_CONTRACTORS_IT-CTR0034-OG-US-00"/>
        <s v="Herman, Shaun_CONTRACTORS_IT-CTR0037-OG-US-00"/>
        <s v="Herman, Shaun_CONTRACTORS_IT-CTR0039-OG-US-00"/>
        <s v="Ganesan, Srinivasan_CONTRACTORS_IT-CTR0040-OG-US-00"/>
        <s v="Jajodia, Amit_CONTRACTORS_IT-CTR0041-OG-US-00"/>
        <s v="Tamavada, Ram_MANAGED SERVICES_IT-CTR0044-OG-US-00"/>
        <s v="Meadows, Leslie_MANAGED SERVICES_IT-CTR0044-OG-US-00"/>
        <s v="Meadows, Leslie_CONTRACTORS_IT-CTR0044-OG-US-00"/>
        <s v="Ganesan, Srinivasan_CONTRACTORS_IT-CTR0045-OG-US-00"/>
        <s v="Jajodia, Amit_CONTRACTORS_IT-CTR0045-OG-US-00"/>
        <s v="Herman, Shaun_CONTRACTORS_IT-CTR0046-OG-US-00"/>
        <s v="Ganesan, Srinivasan_CONTRACTORS_IT-CTR0049-OG-US-00"/>
        <s v="Maguire, Karla_CONTRACTORS_IT-CTR0067-OG-CR-00"/>
        <s v="Ganesan, Srinivasan_CONTRACTORS_IT-CTR0075-OG-MX-00"/>
        <s v="Ganesan, Srinivasan_CONTRACTORS_IT-CTR0076-OG-MX-00"/>
        <s v="Ganesan, Srinivasan_CONTRACTORS_IT-CTR0077-OG-MX-00"/>
        <s v="McGettigan, David_CONTRACTORS_IT-CTR0089-OG-US-00"/>
        <s v="Jajodia, Amit_CONTRACTORS_IT-CTR0090-OG-US-00"/>
        <s v="McCormick, Pete_CONTRACTORS_IT-CTR0093-OG-US-00"/>
        <s v="Dougherty, Chris_CONTRACTORS_IT-CTR0094-OG-US-00"/>
        <s v="Dougherty, Chris_CONTRACTORS_IT-CTR0096-OG-US-00"/>
        <s v="Dougherty, Chris_CONTRACTORS_IT-CTR0097-OG-US-00"/>
        <s v="Dougherty, Chris_CONTRACTORS_IT-CTR0098-OG-US-00"/>
        <s v="Dougherty, Chris_CONTRACTORS_IT-CTR0099-OG-US-00"/>
        <s v="Dougherty, Chris_CONTRACTORS_IT-CTR0101-OG-US-00"/>
        <s v="Dougherty, Chris_CONTRACTORS_IT-CTR0102-OG-US-00"/>
        <s v="Dougherty, Chris_CONTRACTORS_IT-CTR0103-OG-US-00"/>
        <s v="Meadows, Leslie_CONTRACTORS_IT-CTR0105-OG-US-00"/>
        <s v="McGettigan, David_CONTRACTORS_IT-CTR0124-OT-US-00"/>
        <s v="McCormick, Pete_CONTRACTORS_IT-CTR0130-OG-US-00"/>
        <s v="Dougherty, Chris_CONTRACTORS_IT-CTR0132-OT-US-00"/>
        <s v="Dougherty, Chris_CONTRACTORS_IT-CTR0132-OT-US-00/BDC"/>
        <s v="Dougherty, Chris_CONTRACTORS_IT-CTR0132-OT-US-00/Colalborate 360"/>
        <s v="Dougherty, Chris_CONTRACTORS_IT-CTR0132-OT-US-00/iERP"/>
        <s v="Dougherty, Chris_CONTRACTORS_IT-CTR0132-OT-US-00/S4 Innovation"/>
        <s v="Dougherty, Chris_CONTRACTORS_IT-CTR0132-OT-US-01"/>
        <s v="Dougherty, Chris_CONTRACTORS_IT-CTR0132-OT-US-02"/>
        <s v="Dougherty, Chris_CONTRACTORS_IT-CTR0132-OT-US-03"/>
        <s v="Dougherty, Chris_CONTRACTORS_IT-CTR0132-OT-US-04"/>
        <s v="Meadows, Leslie_CONTRACTORS_IT-CTR0140-OT-US-00"/>
        <s v="Dougherty, Chris_CONTRACTORS_IT-CTR0147-OG-US-00"/>
        <s v="Dougherty, Chris_CONTRACTORS_IT-CTR0148-OG-US-00"/>
        <s v="Ganesan, Srinivasan_CONTRACTORS_IT-CTR0149-OG-US-00"/>
        <s v="Dougherty, Chris_CONTRACTORS_IT-CTR0150-OG-US-00"/>
        <s v="Vaidya, Sachin_CONTRACTORS_IT-CTR0151-OG-US-00"/>
        <s v="Ganesan, Srinivasan_CONTRACTORS_IT-CTR0153-OG-US-00"/>
        <s v="Yeluri, Durga_SOFTWARE_IT-DATAIKU-01"/>
        <s v="Tamavada, Ram_CONTRACTORS_IT-FBT0066-OG-IN-00"/>
        <s v="Tamavada, Ram_MANAGED SERVICES_IT-FBT0074-OG-US-00"/>
        <s v="Hase, Raj_MANAGED SERVICES_IT-FBT0157-OG-US-00"/>
        <s v="Hovanyetz, Mike_MANAGED SERVICES_IT-FBT0157-OG-US-00"/>
        <s v="Meadows, Leslie_MANAGED SERVICES_IT-FBT0210-OG-US-00"/>
        <s v="McCormick, Pete_CONTRACTORS_IT-FBT0213-OG-US-00"/>
        <s v="Dougherty, Chris_CONTRACTORS_IT-FBT0219-OG-US-00"/>
        <s v="Maguire, Karla_CONTRACTORS_IT-FBT0245-OG-US-00"/>
        <s v="Tamavada, Ram_CONTRACTORS_IT-FBT0245-OG-US-00"/>
        <s v="Herman, Shaun_CONTRACTORS_IT-FBT0262-OG-US-00"/>
        <s v="Herman, Shaun_MANAGED SERVICES_IT-FBT0262-OG-US-00"/>
        <s v="Tamavada, Ram_MANAGED SERVICES_IT-FBT0281-OG-US-00"/>
        <s v="Tamavada, Ram_MANAGED SERVICES_IT-FBT0282-OG-US-00"/>
        <s v="DeHart, Lynn_MANAGED SERVICES_IT-FBT0285-OG-ES-00"/>
        <s v="DeHart, Lynn_MANAGED SERVICES_IT-FBT0286-OG-BE-00"/>
        <s v="Maguire, Karla_MANAGED SERVICES_IT-FBT0288-OG-BE-00"/>
        <s v="Tamavada, Ram_MANAGED SERVICES_IT-FBT0393-OG-JP-00"/>
        <s v="Hase, Raj_CONTRACTORS_IT-FBT0450-OG-US-00"/>
        <s v="Hase, Raj_MANAGED SERVICES_IT-FBT0450-OG-US-00"/>
        <s v="Hovanyetz, Mike_CONTRACTORS_IT-FBT0450-OG-US-00"/>
        <s v="Hovanyetz, Mike_MANAGED SERVICES_IT-FBT0450-OG-US-00"/>
        <s v="McCormick, Pete_CONTRACTORS_IT-FBT0509-OG-US-00"/>
        <s v="Meadows, Leslie_MANAGED SERVICES_IT-FBT0524-OG-US-00"/>
        <s v="Tamavada, Ram_MANAGED SERVICES_IT-FBT0524-OG-US-00"/>
        <s v="Tamavada, Ram_MANAGED SERVICES_IT-FBT0528-OG-US-00"/>
        <s v="Herman, Shaun_CONTRACTORS_IT-FBT0541-OG-US-00"/>
        <s v="Herman, Shaun_MANAGED SERVICES_IT-FBT0541-OG-US-00"/>
        <s v="Ganesan, Srinivasan_CONTRACTORS_IT-FBT0544-OG-US-00"/>
        <s v="Ganesan, Srinivasan_CONTRACTORS_IT-FBT0545-OG-US-00"/>
        <s v="Ganesan, Srinivasan_CONTRACTORS_IT-FBT0546-OG-US-00"/>
        <s v="Robertson, Jerome_CONTRACTORS_IT-FBT0572-OG-US-00"/>
        <s v="Robertson, Jerome_CONTRACTORS_IT-FBT0573-OG-US-00"/>
        <s v="Robertson, Jerome_MANAGED SERVICES_IT-FBT0573-OG-US-00"/>
        <s v="Robertson, Jerome_MANAGED SERVICES_IT-FBT0573-OG-US-00-CB"/>
        <s v="Dougherty, Chris_MANAGED SERVICES_IT-FBT0587-OG-US-00"/>
        <s v="Tamavada, Ram_MANAGED SERVICES_IT-FBT0587-OG-US-00"/>
        <s v="Tamavada, Ram_MANAGED SERVICES_IT-FBT0588-OG-US-00"/>
        <s v="Tamavada, Ram_CONTRACTORS_IT-FBT0636-OG-IN-00"/>
        <s v="Tamavada, Ram_CONTRACTORS_IT-FBT0637-OG-IN-00"/>
        <s v="Tamavada, Ram_MANAGED SERVICES_IT-FBT0638-OG-JP-00"/>
        <s v="Maguire, Karla_MANAGED SERVICES_IT-FBT0651-OG-US-00"/>
        <s v="Ganesan, Srinivasan_CONTRACTORS_IT-FBT0657-OG-US-00"/>
        <s v="Ganesan, Srinivasan_MANAGED SERVICES_IT-FBT0658-OG-US-00"/>
        <s v="Ganesan, Srinivasan_SOFTWARE_IT-FBT0658-OG-US-00"/>
        <s v="Ganesan, Srinivasan_MANAGED SERVICES_IT-FBT0659-OG-US-00"/>
        <s v="Jajodia, Amit_MANAGED SERVICES_IT-FBT0659-OG-US-00"/>
        <s v="Ganesan, Srinivasan_MANAGED SERVICES_IT-FBT0660-OG-US-00"/>
        <s v="Jajodia, Amit_MANAGED SERVICES_IT-FBT0660-OG-US-00"/>
        <s v="Ganesan, Srinivasan_CONTRACTORS_IT-FBT0661-OG-US-00"/>
        <s v="Ganesan, Srinivasan_MANAGED SERVICES_IT-FBT0661-OG-US-00"/>
        <s v="Dougherty, Chris_MANAGED SERVICES_IT-FBT0665-OG-US-00"/>
        <s v="Tamavada, Ram_MANAGED SERVICES_IT-FBT0665-OG-US-00"/>
        <s v="Tamavada, Ram_SOFTWARE_IT-FBT0665-OG-US-00"/>
        <s v="Tamavada, Ram_MANAGED SERVICES_IT-FBT0675-OG-US-00"/>
        <s v="Tamavada, Ram_SOFTWARE_IT-FBT0675-OG-US-00"/>
        <s v="Dougherty, Chris_MANAGED SERVICES_IT-FBT0693-OG-US-00"/>
        <s v="McCormick, Pete_MANAGED SERVICES_IT-FBT0693-OG-US-00"/>
        <s v="Tamavada, Ram_MANAGED SERVICES_IT-FBT0693-OG-US-00"/>
        <s v="Tamavada, Ram_MANAGED SERVICES_IT-FBT0700-OG-US-00"/>
        <s v="Herman, Shaun_CONTRACTORS_IT-FBT0702-OG-US-00"/>
        <s v="McGettigan, David_CONTRACTORS_IT-FBT0748-OT-US-00"/>
        <s v="Tamavada, Ram_MANAGED SERVICES_IT-FBT0753-OT-US-00"/>
        <s v="Jajodia, Amit_CONTRACTORS_IT-FBT0757-OG-US-00"/>
        <s v="Tamavada, Ram_MANAGED SERVICES_IT-FBT0769-OT-US-00"/>
        <s v="Yeluri, Durga_MANAGED SERVICES_IT-FBT0769-OT-US-00"/>
        <s v="Tamavada, Ram_CONTRACTORS_IT-FBT0770-OT-US-00"/>
        <s v="Tamavada, Ram_MANAGED SERVICES_IT-FBT0770-OT-US-00"/>
        <s v="Jajodia, Amit_CONTRACTORS_IT-FBT0771-OG-US-00"/>
        <s v="Jajodia, Amit_MANAGED SERVICES_IT-FBT0772-OG-US-00"/>
        <s v="Ganesan, Srinivasan_CONTRACTORS_IT-FBT0778-OT-US-00"/>
        <s v="Ganesan, Srinivasan_MANAGED SERVICES_IT-FBT0778-OT-US-00"/>
        <s v="Ganesan, Srinivasan_MANAGED SERVICES_IT-FBT0779-OT-US-00"/>
        <s v="Herman, Shaun_CONTRACTORS_IT-FBT0779-OT-US-00"/>
        <s v="Meadows, Leslie_MANAGED SERVICES_IT-FBT0780-OT-US-00"/>
        <s v="Meadows, Leslie_CONTRACTORS_IT-FBT0780-OT-US-00"/>
        <s v="Ganesan, Srinivasan_CONTRACTORS_IT-FBT0784-OG-US-00"/>
        <s v="Ganesan, Srinivasan_SOFTWARE_IT-FBT0784-OG-US-00"/>
        <s v="Jajodia, Amit_CONTRACTORS_IT-FBT0785-OG-US-00"/>
        <s v="Ganesan, Srinivasan_CONTRACTORS_IT-FBT0790-OG-US-00"/>
        <s v="Ganesan, Srinivasan_MANAGED SERVICES_IT-FBT0793-OG-US-00"/>
        <s v="Ganesan, Srinivasan_MANAGED SERVICES_IT-FBT0793-OG-US-00/CB"/>
        <s v="DeHart, Lynn_MANAGED SERVICES_IT-FBT0798-OG-BE-00"/>
        <s v="Ganesan, Srinivasan_MANAGED SERVICES_IT-FBT0798-OG-BE-00"/>
        <s v="Ganesan, Srinivasan_MANAGED SERVICES_IT-FBT0799-OG-MX-00"/>
        <s v="Meadows, Leslie_CONTRACTORS_IT-FBT0801-OG-US-00"/>
        <s v="Hovanyetz, Mike_MANAGED SERVICES_IT-FBT0824-OT-US-00"/>
        <s v="Hase, Raj_MANAGED SERVICES_IT-FBT0824-OT-US-00"/>
        <s v="Meadows, Leslie_CONTRACTORS_IT-FBT0826-OG-US-00"/>
        <s v="McGettigan, David_MANAGED SERVICES_IT-FBT0830-OT-US-00"/>
        <s v="McCormick, Pete_CONTRACTORS_IT-FBT0831-OT-US-00"/>
        <s v="McCormick, Pete_CONTRACTORS_IT-FBT0832-OT-US-00"/>
        <s v="McGettigan, David_CONTRACTORS_IT-FBT0934-OT-US-00"/>
        <s v="DeHart, Lynn_MANAGED SERVICES_IT-FBT0980-OT-US-00"/>
        <s v="DeHart, Lynn_SOFTWARE_IT-FBT0980-OT-US-00"/>
        <s v="McGettigan, David_CONTRACTORS_IT-FBT0992-OT-US-00"/>
        <s v="McGettigan, David_MANAGED SERVICES_IT-FBT1017-OT-US-00"/>
        <s v="McGettigan, David_CONTRACTORS_IT-FBT1017-OT-US-00"/>
        <s v="McGettigan, David_CONTRACTORS_IT-FBU0828-OT-US-00"/>
        <s v="DeHart, Lynn_CONTRACTORS_IT-FBU0966-OT-US-00"/>
        <s v="Tamavada, Ram_MANAGED SERVICES_IT-FGS0296-OG-US-00"/>
        <s v="McCormick, Pete_SOFTWARE_IT-FGS0298-SW-US-00"/>
        <s v="Tamavada, Ram_SOFTWARE_IT-FGS0298-SW-US-00"/>
        <s v="Yeluri, Durga_SOFTWARE_IT-FGS0298-SW-US-00"/>
        <s v="DeHart, Lynn_SOFTWARE_IT-FGS0299-OG-US-00"/>
        <s v="DeHart, Lynn_HW MAINTENANCE_IT-FGS0299-OG-US-00"/>
        <s v="DeHart, Lynn_MANAGED SERVICES_IT-FGS0299-OG-US-00"/>
        <s v="Dougherty, Chris_HW MAINTENANCE_IT-FGS0299-OG-US-00"/>
        <s v="Dougherty, Chris_MANAGED SERVICES_IT-FGS0299-OG-US-00"/>
        <s v="Dougherty, Chris_SOFTWARE_IT-FGS0299-OG-US-00"/>
        <s v="Herman, Shaun_MANAGED SERVICES_IT-FGS0299-OG-US-00"/>
        <s v="Maguire, Karla_HW MAINTENANCE_IT-FGS0299-OG-US-00"/>
        <s v="Maguire, Karla_MANAGED SERVICES_IT-FGS0299-OG-US-00"/>
        <s v="McCormick, Pete_MANAGED SERVICES_IT-FGS0299-OG-US-00"/>
        <s v="McGettigan, David_MANAGED SERVICES_IT-FGS0299-OG-US-00"/>
        <s v="Robertson, Jerome_HW MAINTENANCE_IT-FGS0299-OG-US-00"/>
        <s v="Tamavada, Ram_MANAGED SERVICES_IT-FGS0299-OG-US-00"/>
        <s v="Tamavada, Ram_SOFTWARE_IT-FGS0299-OG-US-00"/>
        <s v="Yeluri, Durga_MANAGED SERVICES_IT-FGS0299-OG-US-00"/>
        <s v="Ganesan, Srinivasan_SOFTWARE_IT-FGS0300-SW-US-00"/>
        <s v="DeHart, Lynn_SOFTWARE_IT-FGS0300-SW-US-00"/>
        <s v="Dougherty, Chris_SOFTWARE_IT-FGS0300-SW-US-00"/>
        <s v="Hase, Raj_SOFTWARE_IT-FGS0300-SW-US-00"/>
        <s v="Hovanyetz, Mike_SOFTWARE_IT-FGS0300-SW-US-00"/>
        <s v="Jajodia, Amit_SOFTWARE_IT-FGS0300-SW-US-00"/>
        <s v="Maguire, Karla_SOFTWARE_IT-FGS0300-SW-US-00"/>
        <s v="McCormick, Pete_SOFTWARE_IT-FGS0300-SW-US-00"/>
        <s v="McGettigan, David_SOFTWARE_IT-FGS0300-SW-US-00"/>
        <s v="Robertson, Jerome_SOFTWARE_IT-FGS0300-SW-US-00"/>
        <s v="DeHart, Lynn_MANAGED SERVICES_IT-FGS0301-OG-US-00"/>
        <s v="Dougherty, Chris_MANAGED SERVICES_IT-FGS0301-OG-US-00"/>
        <s v="Ganesan, Srinivasan_MANAGED SERVICES_IT-FGS0301-OG-US-00"/>
        <s v="Hase, Raj_MANAGED SERVICES_IT-FGS0301-OG-US-00"/>
        <s v="Herman, Shaun_MANAGED SERVICES_IT-FGS0301-OG-US-00"/>
        <s v="Hovanyetz, Mike_MANAGED SERVICES_IT-FGS0301-OG-US-00"/>
        <s v="Jajodia, Amit_MANAGED SERVICES_IT-FGS0301-OG-US-00"/>
        <s v="Maguire, Karla_MANAGED SERVICES_IT-FGS0301-OG-US-00"/>
        <s v="McCormick, Pete_MANAGED SERVICES_IT-FGS0301-OG-US-00"/>
        <s v="McGettigan, David_MANAGED SERVICES_IT-FGS0301-OG-US-00"/>
        <s v="Meadows, Leslie_MANAGED SERVICES_IT-FGS0301-OG-US-00"/>
        <s v="Patel, Nikunj Rohitkumar_MANAGED SERVICES_IT-FGS0301-OG-US-00"/>
        <s v="Robertson, Jerome_MANAGED SERVICES_IT-FGS0301-OG-US-00"/>
        <s v="Tamavada, Ram_MANAGED SERVICES_IT-FGS0301-OG-US-00"/>
        <s v="Vaidya, Sachin_MANAGED SERVICES_IT-FGS0301-OG-US-00"/>
        <s v="Yeluri, Durga_MANAGED SERVICES_IT-FGS0301-OG-US-00"/>
        <s v="Jajodia, Amit_SOFTWARE_IT-FGS0302-SW-US-00"/>
        <s v="DeHart, Lynn_SOFTWARE_IT-FGS0302-SW-US-00"/>
        <s v="Dougherty, Chris_SOFTWARE_IT-FGS0302-SW-US-00"/>
        <s v="Ganesan, Srinivasan_SOFTWARE_IT-FGS0302-SW-US-00"/>
        <s v="Hovanyetz, Mike_SOFTWARE_IT-FGS0302-SW-US-00"/>
        <s v="Maguire, Karla_SOFTWARE_IT-FGS0302-SW-US-00"/>
        <s v="McCormick, Pete_SOFTWARE_IT-FGS0302-SW-US-00"/>
        <s v="McGettigan, David_SOFTWARE_IT-FGS0302-SW-US-00"/>
        <s v="Robertson, Jerome_SOFTWARE_IT-FGS0302-SW-US-00"/>
        <s v="Tamavada, Ram_SOFTWARE_IT-FGS0302-SW-US-00"/>
        <s v="McCormick, Pete_HW MAINTENANCE_IT-HRD0003-OG-US-DH"/>
        <s v="McCormick, Pete_HW MAINTENANCE_IT-HRD0003-OG-US-DH/PF"/>
        <s v="McCormick, Pete_HW MAINTENANCE_IT-HRD0004-OG-US-SS"/>
        <s v="McCormick, Pete_HW MAINTENANCE_IT-HRD0004-OG-US-SS/PF"/>
        <s v="McCormick, Pete_MANAGED SERVICES_IT-HRD0005-OG-US-SS"/>
        <s v="McCormick, Pete_MANAGED SERVICES_IT-HRD0006-OG-US-DH"/>
        <s v="DeHart, Lynn_HW MAINTENANCE_IT-HRD0058-OG-US-00"/>
        <s v="DeHart, Lynn_MANAGED SERVICES_IT-MGS0158-OG-US-00"/>
        <s v="Robertson, Jerome_MANAGED SERVICES_IT-MGS0165-OG-US-00"/>
        <s v="Robertson, Jerome_SOFTWARE_IT-MGS0167-OG-US-00"/>
        <s v="Dougherty, Chris_MANAGED SERVICES_IT-MGS0168-OG-US-00"/>
        <s v="Dougherty, Chris_CONTRACTORS_IT-MGS0168-OG-US-00"/>
        <s v="Tamavada, Ram_SOFTWARE_IT-MGS0202-OG-US-00"/>
        <s v="Tamavada, Ram_MANAGED SERVICES_IT-MGS0202-OG-US-00"/>
        <s v="Tamavada, Ram_MANAGED SERVICES_IT-MGS0203-OG-US-00"/>
        <s v="Tamavada, Ram_MANAGED SERVICES_IT-MGS0204-OG-US-00"/>
        <s v="Tamavada, Ram_MANAGED SERVICES_IT-MGS0205-OG-US-00"/>
        <s v="Dougherty, Chris_MANAGED SERVICES_IT-MGS0207-OG-US-00"/>
        <s v="DeHart, Lynn_MANAGED SERVICES_IT-MGS0208-OG-US-00"/>
        <s v="DeHart, Lynn_SOFTWARE_IT-MGS0208-OG-US-00"/>
        <s v="Tamavada, Ram_MANAGED SERVICES_IT-MGS0209-OG-US-00"/>
        <s v="Yeluri, Durga_MANAGED SERVICES_IT-MGS0210-OG-US-00"/>
        <s v="Vaidya, Sachin_OTHER_IT-OTH0062-OG-US-00"/>
        <s v="Herman, Shaun_CONTRACTORS_IT-OTH0063-OG-US-00"/>
        <s v="Herman, Shaun_CONTRACTORS_IT-PBS0936-OT-US-00"/>
        <s v="DeHart, Lynn_CONTRACTORS_IT-PBU0901-OT-US-00"/>
        <s v="DeHart, Lynn_CONTRACTORS_IT-PBU1059-OT-US-00"/>
        <s v="DeHart, Lynn_TRAVEL &amp; ENTERTAINMENT_IT-PBU1070-OT-IE-00"/>
        <s v="Tamavada, Ram_SOFTWARE_IT-SFT0159-86-OG-US"/>
        <s v="Tamavada, Ram_SOFTWARE_IT-SFT0159-86-OG-US/PF"/>
        <s v="Tamavada, Ram_SOFTWARE_IT-SFT0170-86-OG-US"/>
        <s v="Tamavada, Ram_SOFTWARE_IT-SFT0170-86-OG-US/PF"/>
        <s v="Ganesan, Srinivasan_SOFTWARE_IT-SFT0486-86-OG-MX"/>
        <s v="Patel, Nikunj Rohitkumar_SOFTWARE_IT-SFT0673-86-OG-US"/>
        <s v="McCormick, Pete_SOFTWARE_IT-SFT1003-86-OG-US"/>
        <s v="McCormick, Pete_SOFTWARE_IT-SFT1003-86-OG-US/PF"/>
        <s v="McCormick, Pete_SOFTWARE_IT-SFT1006-86-OG-US"/>
        <s v="Dougherty, Chris_SOFTWARE_IT-SFT1009-86-OG-US"/>
        <s v="Dougherty, Chris_SOFTWARE_IT-SFT1009-86-OG-US/02"/>
        <s v="Dougherty, Chris_SOFTWARE_IT-SFT1009-86-OG-US/02/PF"/>
        <s v="Dougherty, Chris_SOFTWARE_IT-SFT1009-86-OG-US/04"/>
        <s v="Dougherty, Chris_SOFTWARE_IT-SFT1009-86-OG-US/04/PF"/>
        <s v="Dougherty, Chris_SOFTWARE_IT-SFT1009-86-OG-US/05"/>
        <s v="Dougherty, Chris_SOFTWARE_IT-SFT1009-86-OG-US/05/PF"/>
        <s v="Dougherty, Chris_SOFTWARE_IT-SFT1009-86-OG-US/07"/>
        <s v="Dougherty, Chris_SOFTWARE_IT-SFT1009-86-OG-US/07/PF"/>
        <s v="Dougherty, Chris_SOFTWARE_IT-SFT1009-86-OG-US/08"/>
        <s v="Dougherty, Chris_SOFTWARE_IT-SFT1009-86-OG-US/08/PF"/>
        <s v="Dougherty, Chris_SOFTWARE_IT-SFT1009-86-OG-US/13"/>
        <s v="Dougherty, Chris_SOFTWARE_IT-SFT1009-86-OG-US/13/PF"/>
        <s v="Dougherty, Chris_SOFTWARE_IT-SFT1009-86-OG-US/17"/>
        <s v="Dougherty, Chris_SOFTWARE_IT-SFT1009-86-OG-US/17/PF"/>
        <s v="Dougherty, Chris_SOFTWARE_IT-SFT1009-86-OG-US/19"/>
        <s v="Dougherty, Chris_SOFTWARE_IT-SFT1009-86-OG-US/19/PF"/>
        <s v="Dougherty, Chris_SOFTWARE_IT-SFT1009-86-OG-US/23"/>
        <s v="Dougherty, Chris_SOFTWARE_IT-SFT1009-86-OG-US/23/PF"/>
        <s v="Dougherty, Chris_SOFTWARE_IT-SFT1009-86-OG-US/25"/>
        <s v="Dougherty, Chris_SOFTWARE_IT-SFT1009-86-OG-US/25/PF"/>
        <s v="Dougherty, Chris_SOFTWARE_IT-SFT1009-86-OG-US/29"/>
        <s v="Dougherty, Chris_SOFTWARE_IT-SFT1009-86-OG-US/29/PF"/>
        <s v="Dougherty, Chris_SOFTWARE_IT-SFT1009-86-OG-US/30"/>
        <s v="Dougherty, Chris_SOFTWARE_IT-SFT1009-86-OG-US/30/PF"/>
        <s v="Dougherty, Chris_SOFTWARE_IT-SFT1009-86-OG-US/32"/>
        <s v="Dougherty, Chris_SOFTWARE_IT-SFT1009-86-OG-US/32/PF"/>
        <s v="Dougherty, Chris_SOFTWARE_IT-SFT1009-86-OG-US/35"/>
        <s v="Dougherty, Chris_SOFTWARE_IT-SFT1009-86-OG-US/37"/>
        <s v="Dougherty, Chris_SOFTWARE_IT-SFT1009-86-OG-US/37/PF"/>
        <s v="Dougherty, Chris_SOFTWARE_IT-SFT1009-86-OG-US/38"/>
        <s v="Dougherty, Chris_SOFTWARE_IT-SFT1009-86-OG-US/38/PF"/>
        <s v="Dougherty, Chris_SOFTWARE_IT-SFT1009-86-OG-US/41"/>
        <s v="Dougherty, Chris_SOFTWARE_IT-SFT1009-86-OG-US/41/PF"/>
        <s v="Dougherty, Chris_SOFTWARE_IT-SFT1009-86-OG-US/45"/>
        <s v="Dougherty, Chris_SOFTWARE_IT-SFT1009-86-OG-US/45/PF"/>
        <s v="Dougherty, Chris_SOFTWARE_IT-SFT1009-86-OG-US/46"/>
        <s v="Dougherty, Chris_SOFTWARE_IT-SFT1009-86-OG-US/46/PF"/>
        <s v="Dougherty, Chris_SOFTWARE_IT-SFT1009-86-OG-US/FV"/>
        <s v="Dougherty, Chris_SOFTWARE_IT-SFT1009-86-OG-US/FV/PF"/>
        <s v="Dougherty, Chris_SOFTWARE_IT-SFT1009-86-OG-US-CB"/>
        <s v="Dougherty, Chris_OTHER_IT-SFT1010-86-OG-US"/>
        <s v="Dougherty, Chris_SOFTWARE_IT-SFT1010-86-OG-US"/>
        <s v="Dougherty, Chris_SOFTWARE_IT-SFT1012-86-OG-US"/>
        <s v="Patel, Nikunj Rohitkumar_SOFTWARE_IT-SFT1023-86-OG-US"/>
        <s v="Patel, Nikunj Rohitkumar_SOFTWARE_IT-SFT1023-86-OG-US/PF"/>
        <s v="Hovanyetz, Mike_SOFTWARE_IT-SFT1040-02-OG-US"/>
        <s v="Hovanyetz, Mike_SOFTWARE_IT-SFT1040-02-OG-US/PF"/>
        <s v="Ganesan, Srinivasan_SOFTWARE_IT-SFT1042-02-OG-US"/>
        <s v="Maguire, Karla_SOFTWARE_IT-SFT1119-86-OG-US"/>
        <s v="Maguire, Karla_SOFTWARE_IT-SFT1121-86-OG-US"/>
        <s v="Ganesan, Srinivasan_SOFTWARE_IT-SFT1126-86-OG-US"/>
        <s v="Yeluri, Durga_SOFTWARE_IT-SFT1139-86-OG-US"/>
        <s v="Meadows, Leslie_SOFTWARE_IT-SFT1147-86-OG-US"/>
        <s v="Meadows, Leslie_SOFTWARE_IT-SFT1147-86-OG-US/PF"/>
        <s v="McCormick, Pete_SOFTWARE_IT-SFT1172-86-OG-US"/>
        <s v="McCormick, Pete_SOFTWARE_IT-SFT1172-86-OG-US/PF"/>
        <s v="Dougherty, Chris_SOFTWARE_IT-SFT1185-86-OG-US"/>
        <s v="Dougherty, Chris_SOFTWARE_IT-SFT1185-86-OG-US/01"/>
        <s v="Dougherty, Chris_SOFTWARE_IT-SFT1186-86-OG-US"/>
        <s v="DeHart, Lynn_SOFTWARE_IT-SFT1194-86-OG-US"/>
        <s v="Dougherty, Chris_SOFTWARE_IT-SFT1194-86-OG-US"/>
        <s v="Ganesan, Srinivasan_SOFTWARE_IT-SFT1194-86-OG-US"/>
        <s v="Hase, Raj_SOFTWARE_IT-SFT1194-86-OG-US"/>
        <s v="Herman, Shaun_SOFTWARE_IT-SFT1194-86-OG-US"/>
        <s v="Hovanyetz, Mike_SOFTWARE_IT-SFT1194-86-OG-US"/>
        <s v="Jajodia, Amit_SOFTWARE_IT-SFT1194-86-OG-US"/>
        <s v="Maguire, Karla_SOFTWARE_IT-SFT1194-86-OG-US"/>
        <s v="McCormick, Pete_SOFTWARE_IT-SFT1194-86-OG-US"/>
        <s v="McGettigan, David_SOFTWARE_IT-SFT1194-86-OG-US"/>
        <s v="Meadows, Leslie_SOFTWARE_IT-SFT1194-86-OG-US"/>
        <s v="Patel, Nikunj Rohitkumar_SOFTWARE_IT-SFT1194-86-OG-US"/>
        <s v="Robertson, Jerome_SOFTWARE_IT-SFT1194-86-OG-US"/>
        <s v="Tamavada, Ram_SOFTWARE_IT-SFT1194-86-OG-US"/>
        <s v="Vaidya, Sachin_SOFTWARE_IT-SFT1194-86-OG-US"/>
        <s v="Ganesan, Srinivasan_CONTRACTORS_IT-SFT1205-86-OG-US"/>
        <s v="Ganesan, Srinivasan_SOFTWARE_IT-SFT1205-86-OG-US"/>
        <s v="Dougherty, Chris_SOFTWARE_IT-SFT1208-86-OG-US"/>
        <s v="DeHart, Lynn_SOFTWARE_IT-SFT1220-86-OG-US"/>
        <s v="Ganesan, Srinivasan_SOFTWARE_IT-SFT1224-86-OG-US"/>
        <s v="Dougherty, Chris_SOFTWARE_IT-SFT1235-86-OG-US"/>
        <s v="Dougherty, Chris_SOFTWARE_IT-SFT1236-86-OG-US"/>
        <s v="Dougherty, Chris_SOFTWARE_IT-SFT1236-86-OG-US/PF"/>
        <s v="Dougherty, Chris_SOFTWARE_IT-SFT1237-86-US-00"/>
        <s v="Dougherty, Chris_SOFTWARE_IT-SFT1237-86-US-00/PF"/>
        <s v="Dougherty, Chris_SOFTWARE_IT-SFT1238-86-OG-US"/>
        <s v="Dougherty, Chris_SOFTWARE_IT-SFT1238-86-OG-US/PF"/>
        <s v="Dougherty, Chris_SOFTWARE_IT-SFT1239-86-OG-US"/>
        <s v="Dougherty, Chris_SOFTWARE_IT-SFT1240-86-OG-US"/>
        <s v="Dougherty, Chris_SOFTWARE_IT-SFT1247-86-OG-US"/>
        <s v="McCormick, Pete_OTHER_IT-SFT1249-86-OG-US"/>
        <s v="McCormick, Pete_SOFTWARE_IT-SFT1249-86-OG-US"/>
        <s v="McCormick, Pete_SOFTWARE_IT-SFT1249-86-OG-US/PF"/>
        <s v="McCormick, Pete_SOFTWARE_IT-SFT1257-86-OG-US"/>
        <s v="Ganesan, Srinivasan_SOFTWARE_IT-SFT1262-86-OG-US"/>
        <s v="Ganesan, Srinivasan_SOFTWARE_IT-SFT1266-86-OG-US"/>
        <s v="Ganesan, Srinivasan_SOFTWARE_IT-SFT1267-86-OG-US"/>
        <s v="Ganesan, Srinivasan_SOFTWARE_IT-SFT1269-86-OG-US"/>
        <s v="Ganesan, Srinivasan_SOFTWARE_IT-SFT1269-86-OG-US/PF"/>
        <s v="Dougherty, Chris_SOFTWARE_IT-SFT1270-86-OG-US"/>
        <s v="McCormick, Pete_SOFTWARE_IT-SFT1270-86-OG-US"/>
        <s v="Ganesan, Srinivasan_SOFTWARE_IT-SFT1281-86-OG-US"/>
        <s v="Dougherty, Chris_MANAGED SERVICES_IT-SFT1282-86-OG-US"/>
        <s v="Dougherty, Chris_SOFTWARE_IT-SFT1282-86-OG-US"/>
        <s v="McCormick, Pete_MANAGED SERVICES_IT-SFT1282-86-OG-US"/>
        <s v="McCormick, Pete_SOFTWARE_IT-SFT1282-86-OG-US"/>
        <s v="McCormick, Pete_SOFTWARE_IT-SFT1283-86-OG-US"/>
        <s v="McCormick, Pete_SOFTWARE_IT-SFT1283-86-OG-US/PF"/>
        <s v="McCormick, Pete_SOFTWARE_IT-SFT1284-86-OG-US"/>
        <s v="McCormick, Pete_SOFTWARE_IT-SFT1284-86-OG-US/PF"/>
        <s v="DeHart, Lynn_SOFTWARE_IT-SFT1346-OG-US-00"/>
        <s v="DeHart, Lynn_SOFTWARE_IT-SFT1347-OG-US-00"/>
        <s v="DeHart, Lynn_SOFTWARE_IT-SFT1398-OG-US-00"/>
        <s v="McCormick, Pete_SOFTWARE_IT-SFT1401-OG-US-00"/>
        <s v="McCormick, Pete_SOFTWARE_IT-SFT1401-OG-US-00/PF"/>
        <s v="Dougherty, Chris_SOFTWARE_IT-SFT1402-OG-US-00"/>
        <s v="Dougherty, Chris_SOFTWARE_IT-SFT1406-OG-US-00"/>
        <s v="Dougherty, Chris_SOFTWARE_IT-SFT1408-OG-US-00"/>
        <s v="McCormick, Pete_SOFTWARE_IT-SFT1410-OG-US-00"/>
        <s v="McCormick, Pete_SOFTWARE_IT-SFT1410-OG-US-00/PF"/>
        <s v="McCormick, Pete_SOFTWARE_IT-SFT1412-OG-US-00"/>
        <s v="Dougherty, Chris_SOFTWARE_IT-SFT1413-OG-US-00"/>
        <s v="Dougherty, Chris_SOFTWARE_IT-SFT1414-OG-US-00"/>
        <s v="Dougherty, Chris_SOFTWARE_IT-SFT1414-OG-US-00/PF"/>
        <s v="Dougherty, Chris_SOFTWARE_IT-SFT1415-OG-US-00"/>
        <s v="McCormick, Pete_SOFTWARE_IT-SFT1416-OG-US-00"/>
        <s v="Tamavada, Ram_MANAGED SERVICES_IT-SFT1434-OG-US-00"/>
        <s v="Tamavada, Ram_SOFTWARE_IT-SFT1434-OG-US-00"/>
        <s v="Hase, Raj_MANAGED SERVICES_IT-SFT1436-OG-US-00"/>
        <s v="Tamavada, Ram_SOFTWARE_IT-SFT1441-OG-US-00"/>
        <s v="McGettigan, David_MANAGED SERVICES_IT-SFT1442-OG-US-00"/>
        <s v="Dougherty, Chris_SOFTWARE_IT-SFT1445-OG-US-00"/>
        <s v="Yeluri, Durga_SOFTWARE_IT-SFT1449-OG-US-00"/>
        <s v="Yeluri, Durga_SOFTWARE_IT-SFT1449-OG-US-00/PF"/>
        <s v="Robertson, Jerome_SOFTWARE_IT-SFT1453-OG-US-00"/>
        <s v="Dougherty, Chris_SOFTWARE_IT-SFT1457-OG-US-00"/>
        <s v="Dougherty, Chris_SOFTWARE_IT-SFT1457-OG-US-00/PF"/>
        <s v="Vaidya, Sachin_CONTRACTORS_IT-SFT1458-OG-US-00"/>
        <s v="Vaidya, Sachin_SOFTWARE_IT-SFT1458-OG-US-00"/>
        <s v="Vaidya, Sachin_CONTRACTORS_IT-SFT1459-OG-US-00"/>
        <s v="Vaidya, Sachin_SOFTWARE_IT-SFT1459-OG-US-00"/>
        <s v="Vaidya, Sachin_SOFTWARE_IT-SFT1461-OG-US-00"/>
        <s v="Vaidya, Sachin_SOFTWARE_IT-SFT1462-OG-US-00"/>
        <s v="Jajodia, Amit_RENT AND UTILITIES_KM_CompanyCar001"/>
        <s v="Hase, Raj_CONTRACTORS_MISC001"/>
        <s v="Hovanyetz, Mike_CONTRACTORS_MISC001"/>
        <s v="McGettigan, David_RENT AND UTILITIES_MISC001"/>
        <s v="Vaidya, Sachin_MANAGED SERVICES_MISC001"/>
        <s v="Dougherty, Chris_HW MAINTENANCE_MISC001"/>
        <s v="DeHart, Lynn_CONTRACTORS_MISC001"/>
        <s v="DeHart, Lynn_HW MAINTENANCE_MISC001"/>
        <s v="DeHart, Lynn_MANAGED SERVICES_MISC001"/>
        <s v="DeHart, Lynn_RENT AND UTILITIES_MISC001"/>
        <s v="DeHart, Lynn_SOFTWARE_MISC001"/>
        <s v="Dougherty, Chris_CONTRACTORS_MISC001"/>
        <s v="Dougherty, Chris_MANAGED SERVICES_MISC001"/>
        <s v="Dougherty, Chris_SOFTWARE_MISC001"/>
        <s v="Ganesan, Srinivasan_CONTRACTORS_MISC001"/>
        <s v="Ganesan, Srinivasan_MANAGED SERVICES_MISC001"/>
        <s v="Ganesan, Srinivasan_SOFTWARE_MISC001"/>
        <s v="Hase, Raj_MANAGED SERVICES_MISC001"/>
        <s v="Hase, Raj_SOFTWARE_MISC001"/>
        <s v="Herman, Shaun_CONTRACTORS_MISC001"/>
        <s v="Herman, Shaun_MANAGED SERVICES_MISC001"/>
        <s v="Herman, Shaun_SOFTWARE_MISC001"/>
        <s v="Hovanyetz, Mike_MANAGED SERVICES_MISC001"/>
        <s v="Hovanyetz, Mike_SOFTWARE_MISC001"/>
        <s v="Jajodia, Amit_CONTRACTORS_MISC001"/>
        <s v="Jajodia, Amit_RENT AND UTILITIES_MISC001"/>
        <s v="Jajodia, Amit_SOFTWARE_MISC001"/>
        <s v="Maguire, Karla_CONTRACTORS_MISC001"/>
        <s v="Maguire, Karla_HW MAINTENANCE_MISC001"/>
        <s v="Maguire, Karla_MANAGED SERVICES_MISC001"/>
        <s v="Maguire, Karla_SOFTWARE_MISC001"/>
        <s v="McCormick, Pete_CONTRACTORS_MISC001"/>
        <s v="McCormick, Pete_MANAGED SERVICES_MISC001"/>
        <s v="McCormick, Pete_SOFTWARE_MISC001"/>
        <s v="McGettigan, David_CONTRACTORS_MISC001"/>
        <s v="McGettigan, David_SOFTWARE_MISC001"/>
        <s v="McGettigan, David_HW MAINTENANCE_MISC001"/>
        <s v="McGettigan, David_MANAGED SERVICES_MISC001"/>
        <s v="Meadows, Leslie_CONTRACTORS_MISC001"/>
        <s v="Meadows, Leslie_MANAGED SERVICES_MISC001"/>
        <s v="Meadows, Leslie_SOFTWARE_MISC001"/>
        <s v="Patel, Nikunj Rohitkumar_SOFTWARE_MISC001"/>
        <s v="Robertson, Jerome_CONTRACTORS_MISC001"/>
        <s v="Robertson, Jerome_HW MAINTENANCE_MISC001"/>
        <s v="Robertson, Jerome_MANAGED SERVICES_MISC001"/>
        <s v="Robertson, Jerome_SOFTWARE_MISC001"/>
        <s v="Tamavada, Ram_CONTRACTORS_MISC001"/>
        <s v="Tamavada, Ram_MANAGED SERVICES_MISC001"/>
        <s v="Tamavada, Ram_SOFTWARE_MISC001"/>
        <s v="Vaidya, Sachin_CONTRACTORS_MISC001"/>
        <s v="Vaidya, Sachin_SOFTWARE_MISC001"/>
        <s v="Yeluri, Durga_CONTRACTORS_MISC001"/>
        <s v="Yeluri, Durga_MANAGED SERVICES_MISC001"/>
        <s v="Yeluri, Durga_SOFTWARE_MISC001"/>
        <s v="DeHart, Lynn_OTHER_NondigitalCatering001"/>
        <s v="McGettigan, David_OTHER_NondigitalCatering001"/>
        <s v="McGettigan, David_MANAGED SERVICES_OnetimeCredit002"/>
        <s v="Hovanyetz, Mike_OTHER_Others001"/>
        <s v="McCormick, Pete_OTHER_Others001"/>
        <s v="DeHart, Lynn_OTHER_Others001"/>
        <s v="DeHart, Lynn_OUTSIDE COUNSEL_Others001"/>
        <s v="Dougherty, Chris_OTHER_Others001"/>
        <s v="Ganesan, Srinivasan_OTHER_Others001"/>
        <s v="Hase, Raj_OTHER_Others001"/>
        <s v="Jajodia, Amit_OTHER_Others001"/>
        <s v="Maguire, Karla_OTHER_Others001"/>
        <s v="McGettigan, David_OTHER_Others001"/>
        <s v="Robertson, Jerome_OTHER_Others001"/>
        <s v="Dougherty, Chris_CONTRACTORS_POClosure001"/>
        <s v="Ganesan, Srinivasan_CONTRACTORS_POClosure001"/>
        <s v="Herman, Shaun_CONTRACTORS_POClosure001"/>
        <s v="Jajodia, Amit_CONTRACTORS_POClosure001"/>
        <s v="Meadows, Leslie_CONTRACTORS_POClosure001"/>
        <s v="Yeluri, Durga_CONTRACTORS_POClosure001"/>
        <s v="Ganesan, Srinivasan_MANAGED SERVICES_PR-252001-0000007901"/>
        <s v="McGettigan, David_TELECOMMUNICATIONS_PR-320001-0000007901"/>
        <s v="McGettigan, David_CONTRACTORS_PR-320001-0000007901"/>
        <s v="DeHart, Lynn_RENT AND UTILITIES_PR-320001-0000007986"/>
        <s v="DeHart, Lynn_TELECOMMUNICATIONS_PR-320001-0000007986"/>
        <s v="DeHart, Lynn_CONTRACTORS_PR-587101-0000007986"/>
        <s v="DeHart, Lynn_MANAGED SERVICES_PR-587101-0000007986"/>
        <s v="DeHart, Lynn_OTHER_PR-587101-0000007986"/>
        <s v="DeHart, Lynn_OUTSIDE COUNSEL_PR-587101-0000007986"/>
        <s v="DeHart, Lynn_RENT AND UTILITIES_PR-587101-0000007986"/>
        <s v="DeHart, Lynn_TRAVEL &amp; ENTERTAINMENT_PR-587101-0000007986"/>
        <s v="DeHart, Lynn_TELECOMMUNICATIONS_Telecom001"/>
        <s v="Dougherty, Chris_TELECOMMUNICATIONS_Telecom001"/>
        <s v="Ganesan, Srinivasan_TELECOMMUNICATIONS_Telecom001"/>
        <s v="Jajodia, Amit_TELECOMMUNICATIONS_Telecom001"/>
        <s v="Maguire, Karla_TELECOMMUNICATIONS_Telecom001"/>
        <s v="McGettigan, David_TELECOMMUNICATIONS_Telecom001"/>
        <s v="Robertson, Jerome_TELECOMMUNICATIONS_Telecom001"/>
        <s v="DeHart, Lynn_TRAVEL &amp; ENTERTAINMENT_TravelEnt001"/>
        <s v="Dougherty, Chris_TRAVEL &amp; ENTERTAINMENT_TravelEnt001"/>
        <s v="Ganesan, Srinivasan_TRAVEL &amp; ENTERTAINMENT_TravelEnt001"/>
        <s v="Jajodia, Amit_TRAVEL &amp; ENTERTAINMENT_TravelEnt001"/>
        <s v="Maguire, Karla_TRAVEL &amp; ENTERTAINMENT_TravelEnt001"/>
        <s v="McGettigan, David_TRAVEL &amp; ENTERTAINMENT_TravelEnt001"/>
        <s v="Robertson, Jerome_TRAVEL &amp; ENTERTAINMENT_TravelEnt001"/>
        <s v="McGettigan, David_TRAVEL &amp; ENTERTAINMENT_TravelEnt001_Reserve"/>
        <s v="McGettigan, David_COMPENSATION_VacancyFactor001"/>
        <s v="Ganesan, Srinivasan_SOFTWARE"/>
        <s v="Dougherty, Chris_SOFTWARE"/>
        <s v="McGettigan, David_OTHER"/>
        <s v="DeHart, Lynn_COMPENSATION_CompSalary001" u="1"/>
        <m u="1"/>
      </sharedItems>
    </cacheField>
    <cacheField name="CCL3" numFmtId="49">
      <sharedItems/>
    </cacheField>
    <cacheField name="LT Member*" numFmtId="0">
      <sharedItems count="4">
        <s v="Dougherty, Chris"/>
        <s v="Hase, Raj"/>
        <s v="McGettigan, David"/>
        <s v="Robertson, Jerome"/>
      </sharedItems>
    </cacheField>
    <cacheField name="LT Member -1*" numFmtId="0">
      <sharedItems count="17">
        <s v="Dougherty, Chris"/>
        <s v="Tamavada, Ram"/>
        <s v="Yeluri, Durga"/>
        <s v="Hase, Raj"/>
        <s v="Hovanyetz, Mike"/>
        <s v="Ganesan, Srinivasan"/>
        <s v="Jajodia, Amit"/>
        <s v="Johnson, Paul"/>
        <s v="Meadows, Leslie"/>
        <s v="McCormick, Pete"/>
        <s v="Maguire, Karla"/>
        <s v="McGettigan, David"/>
        <s v="DeHart, Lynn"/>
        <s v="Herman, Shaun"/>
        <s v="Robertson, Jerome"/>
        <s v="Patel, Nikunj Rohitkumar"/>
        <s v="Vaidya, Sachin"/>
      </sharedItems>
    </cacheField>
    <cacheField name="Point of Contact" numFmtId="0">
      <sharedItems/>
    </cacheField>
    <cacheField name="Expense Category" numFmtId="0">
      <sharedItems count="11">
        <s v="SOFTWARE"/>
        <s v="MANAGED SERVICES"/>
        <s v="CONTRACTORS"/>
        <s v="HW MAINTENANCE"/>
        <s v="TRAVEL &amp; ENTERTAINMENT"/>
        <s v="COMPENSATION"/>
        <s v="DEPRECIATION"/>
        <s v="OTHER"/>
        <s v="RENT AND UTILITIES"/>
        <s v="OUTSIDE COUNSEL"/>
        <s v="TELECOMMUNICATIONS"/>
      </sharedItems>
    </cacheField>
    <cacheField name="Description*" numFmtId="0">
      <sharedItems count="372">
        <s v="Serialization - SAP ATTP License - Software maintenance (on-premise)"/>
        <s v="SAP Fieldglass Vendor Management System Implementation: - Application/Platform support and maintenance"/>
        <s v="Serialization - SAP ICH License - SAP ICH regulatory collaboration and Regulatory reporting services"/>
        <s v="Cash Flow Automation Project - Cash Flow Functionality for: SAP S/4 HANA ($51,120); Celonis ($35,000)"/>
        <s v="Cash Flow Automation Project - Software License cost for SAP Analytics on Cloud (included as part of SAP S/4 HANA FSA)"/>
        <s v="Brazil Tax Reform and SAP GRC Replacement - SAP Document and Risk Compliance Cloud Subscription"/>
        <s v="Dedicated US PRIME Commerce Cloud - SAP Licenses"/>
        <s v="Dedicated US PRIME Commerce Cloud - Middleware"/>
        <s v="Dedicated US PRIME Commerce Cloud - US Prime Cloud Support"/>
        <s v="Dedicated US PRIME Commerce Cloud - ACES/Inmar Support"/>
        <s v="IBM: SAP Prime Global Customer Experience - IBM AMS support costs - SAP Commerce Cloud Prime GCx"/>
        <s v="SAP Prime Global Customer Experience - IBM BTAMS support costs - SAP Commerce Cloud Prime GCx"/>
        <s v="GSC AMER - Last Mile Strategy - Delivery Milestones &amp; Dashboards - 50% One offshore contractor; New Global Capability. Only 0.5FTE requested for support. Eventually, will be transferred to BTAMS"/>
        <s v="GSC AMER: MIRT Replacement - Phase II and deploy to other markets - 1 Offshore contractor. New capability for Late repackaging. This is a solution resource."/>
        <s v="External Supply 2025 SCC Supply Chain Collaboration - DP &amp; SCC Solutions / Sustaining lifecycle Resources - Consultants. Deferred from 2025 to 2026, agreed with Susan - XFR0953"/>
        <s v="SAP Extended Warehouse Management for Vizag - SAP EWM (advanced Licenses) Need starting 2026"/>
        <s v="GSC Cx: Cost to Serve - Cost to Transport - BTAMS support costs"/>
        <s v="GLNS E2E Global Import Broker Integration - OpenText server storage costs for archived documents added to OpenText every year"/>
        <s v="ESG: Migration of GLNS Calculations from Tableau - BTAMS support costs"/>
        <s v="2026 L-SGN Budget Transfer for incremental ERP Costs - Budget transfer for Oracle EBS Software License Costs"/>
        <s v="GSC GLNS ALC Redressing - 50% One offshore contractor; New Global Capability. Only 0.5FTE requested for support. Eventually, will be transferred to BTAMS"/>
        <s v="2024 BRM - Quality Q Ship Project - New project going live in Nov 2025. Support costs for new solution and fine tuning"/>
        <s v="GSC Comirnaty Launch 2025 - One offshore contractor to support new capabilities are built as part of this initiative, including new interfaces and Fiori Apps and dashboards"/>
        <s v="2024 External Supply Portfolio Lifecycle - Sustain &amp; Grow - External Supply - Solutions functional support"/>
        <s v="External Supply Portfolio Lifecycle - Service Now - External Supply - Solutions functional support"/>
        <s v="2026 L-SGN Budget Transfer for incremental ERP Costs - Budget transfer for Oracle OCI Software Usage Costs"/>
        <s v="Regulatory Intelligence - 2026 Annual amount as $2,630/mo * 12 months = $31,560"/>
        <s v="Syniti DSP Upgrade to Cloud SKP (Syniti Knowledge Platform) - TBD"/>
        <s v="SAP Global Trade Services Upgrade: offshore support - Offshore ERP support cost"/>
        <s v="SAP Global Trade Services Upgrade: software maintenance - SAP annual software maintenance"/>
        <s v="SAP ERP - 2025 Lifecycle Management Projects - Citrix Servers - Production AWS"/>
        <s v="SAP ERP - 2025 Lifecycle Management Projects - Citrix Servers - On Prem - Durham"/>
        <s v="SAP ERP - 2025 Lifecycle Management Projects - Citrix Servers - On Prem - Somerset"/>
        <s v="DIGITAL-DATAPROTECTION-2026-003"/>
        <s v="MS BT SUST - DIGITAL-DATAPROTECTION"/>
        <s v="Billing Forecast - Cloud Brokerage"/>
        <s v="ITFM-DIGITAL-COPILOT"/>
        <s v="ITFM-DIGITAL-M365-LICENSE-2025"/>
        <s v="ITFM-DIGITAL-M365-LICENSE"/>
        <s v="Billing Forecast - UC4 Automic"/>
        <s v="Billing Sweep"/>
        <s v="BillingSweep011"/>
        <s v="BillingSweep012"/>
        <s v="BillingSweep016"/>
        <s v="ITFM-DIGITAL-CS232234-ITONBOARD"/>
        <s v="BillingSweep017"/>
        <s v="BillingSweep019"/>
        <s v="ITFM-DIGITAL-DEVSECOPS"/>
        <s v="BillingSweep021"/>
        <s v="Billing Sweep AP04 Tie-Out"/>
        <s v="DIGITAL-CLOUD-AWS-DATAPROTECTION"/>
        <s v="P323-0011535 - SAP BW/4HANA Upgrade"/>
        <s v="P321-0006710 SAP S4 - DIGITAL-COPILOT"/>
        <s v="SAP / S4 HANA"/>
        <s v="SAP ERP - 2024 Lifecycle Management Projects (P323-0010999)"/>
        <s v="SAP GTS Upgrade"/>
        <s v="DFP RECLASS-P324-0013058-SAP ERP - 2025 LIFECYCLE"/>
        <s v="SAP ERP - 2025 Lifecycle Management Projects (P324-0013058)"/>
        <s v="SAP ERP - 2026 Lifecycle Management"/>
        <s v="P322-0008813 - Next Gen Planning &amp; Sched"/>
        <s v="Colleague Solutions Delivery Chargebacks"/>
        <s v="Benefits"/>
        <s v="Car Allowance"/>
        <s v="Bonus"/>
        <s v="Salary"/>
        <s v="SAP SECURITY CLIENT PROJECTS-IBM"/>
        <s v="DIGITAL-MICROSOFTEA"/>
        <s v="DIGITAL-COPILOT"/>
        <s v="EnhanceChargeout001 AP04 Tie-Out"/>
        <s v="Enhance Chargeout Cost Centers"/>
        <s v="DIGITAL-CITRIX-APPSTREAMING"/>
        <s v="Infrastructure Billing Charges"/>
        <s v="CCA - Process Mining Celonis-EMEA/US/PGS- Amortization"/>
        <s v="ERP Activated Assets"/>
        <s v="ERP AUC - New Projects"/>
        <s v="Accord Remediation - Access Certification in SailPoint"/>
        <s v="VOX Remediation"/>
        <s v="Project Quanta ME"/>
        <s v="FBO BT SUN &amp; Oracle Archival Project"/>
        <s v="Manufacturing ABAP support_XFR0942"/>
        <s v="Master Data BAU support_XFR0672 &amp; XFR0938 &amp; XFR0934 &amp; XFR0932 &amp; XFR0846 &amp; XFR0913"/>
        <s v="Manufacturing EWM ASRS &amp; ZDI Support_XFR1023"/>
        <s v="Planning IBP Demand &amp; Forecasting Support_XFR0933 &amp; XFR0957"/>
        <s v="ES Lifecycle Solutions Support_XFR0933 &amp; XFR0936"/>
        <s v="Quality audit - SAP QM Offshore Consultant "/>
        <s v="Quality Audit, Investigations, SMS &amp; Fiori_XFR0910"/>
        <s v="MD Packaging Support_XFR0934"/>
        <s v="MD ABAP NPL Integration_XFR0849"/>
        <s v="GLNS IERP Budget Tool ABAP_XFR0948"/>
        <s v="Quality SAP QC, Quadra, BRM &amp; MR_XFR0667 &amp; XFR0964 &amp; XFR0857"/>
        <s v="Launch Agility - IBM ATTP additional Support"/>
        <s v="Launch Agility - ATTP ADDITIONAL SUPPORT - JAN TO JUNE'20"/>
        <s v="SSCS Services (Karla)_XFR0954 &amp; XFR0934 &amp; XFR0932 &amp; XFR0913 &amp; XFR0940 &amp; XFR0941"/>
        <s v="Planning Pfizer Connect Specialist Support_XFR0670 &amp; XFR0955"/>
        <s v="MD TINS Support_XFR1020"/>
        <s v="GLNS Ingestion of IOT to UDH-CDM_XFR0962"/>
        <s v="*RonMendler*_EPS203076 - Edicom CR Recepcion Enero-Diciembre 2025"/>
        <s v="Logistics Cyclical Counting Calendar Mexico"/>
        <s v="Logistics Financial Reserve in Mexico"/>
        <s v="Logistics LATAM Support"/>
        <s v="EPS200126_Accrual reversal as result Dell/EMC buyout 2321210 DM"/>
        <s v="Enterprise Integration MTES"/>
        <s v="SAP Platform Engineers (Judge)"/>
        <s v="BPAI Axway B2Bi - L4 Engineer (ML-0024)"/>
        <s v="SAP PI L4 Engineer"/>
        <s v="BPAI IBM B2Bi - GMFT L4 Engineer (ML-0738)"/>
        <s v="BPAI IBM B2Bi - EDI L4 Engineer (ML-0728)"/>
        <s v="BPAI MQ/MB - L4 Engineer (ML-0730)"/>
        <s v="BPAI IBM B2Bi - GMFT L4 Engineer (ML-0732)"/>
        <s v="BPAI AutoSys/UC4 - L4 Engineer (ML-0733)"/>
        <s v="BPAI Cross-Functional Audit Specialist (ML-0735)"/>
        <s v="Chargeback / ERP Change Management Solution PA APP"/>
        <s v="Executive Coaching for LT"/>
        <s v="SAP Basis Engineering Projects (IBM)"/>
        <s v="2026 SAP Max Attention Days"/>
        <s v="BDC Reclass - 2026 SAP Max Attention Days"/>
        <s v="Colalborate 360 Reclass - 2026 SAP Max Attention Days"/>
        <s v="iERP Reclass - 2026 SAP Max Attention Days"/>
        <s v="S4 Innovation Reclass - 2026 SAP Max Attention Days"/>
        <s v="Tricentis Tosca Professional Services"/>
        <s v="Accenture: eWM Integration"/>
        <s v="Accenture: Technical Development Support"/>
        <s v="GLNS - E2E Functional Support"/>
        <s v="Syniti Knowledge Platform Support"/>
        <s v="SAP Intelligent Service Cloud - IBM BTAMS support costs (1 FTE)"/>
        <s v="Global Supply Chain Market Logistics 2026 XFERs-0023,0043,0051"/>
        <s v="Dataiku"/>
        <s v="India Sales Order Management Support (SAP SME Support)"/>
        <s v="Oracle E-Business Suite Archive Solutions"/>
        <s v="Infrastructure charges"/>
        <s v="Compucom: SAP and EOM Support"/>
        <s v="SAP Basis Engineering Projects (Compucom)"/>
        <s v="ESC/AIS APP &amp; Platform Support: ESC/AIS Mulesoft M"/>
        <s v="Enterprise Integration Hub (EIH) - Code repository, DevOps and API"/>
        <s v="Metastorm Platform - PAL Application Support"/>
        <s v="IBM: SAP AMS (CORE) &amp; PCR 01(Collaboration360 Support)"/>
        <s v="IBM - SAP Ariba BOD; On Prem; Concur (T&amp;E); FBO Apps (GBS BTAMS Debit)"/>
        <s v="Company Car - Spain - Agusti Miralves"/>
        <s v="Company Car -Belgium - Fabrice Mathy, Thierry Briglia and Rik Vermeir"/>
        <s v="Company car related expenses and other charges"/>
        <s v="Infosys: Japan L1/L2 SAP FICO L2 Support"/>
        <s v="CLD Retrieval Servic - RC03-RC05--MEDICAID CLAIMS LEVEL DETAIL (CLD) QUA"/>
        <s v="Claim Level Detail (CLD) Retrieval Service"/>
        <s v="SAP BTP Level 4 Engineer"/>
        <s v="&amp;#39;Infrastructure Charges - TRICENTIS TOSCA (ERP) - Cloud AWS &amp; Data Protection"/>
        <s v="SAP: Ariba Offshore Technical Consultant (Ariba/SAP Product Vendor)"/>
        <s v="Infrastructure Charges - Ariba Server Superclusters Support"/>
        <s v="Market Logistics Functional Support"/>
        <s v="GLNS Functional Support"/>
        <s v="MuleSoft - GLNS (Contractors)_XFR0786"/>
        <s v="SAP BI (ERP BI Development Factory) (IBM)"/>
        <s v="SAP BI Support"/>
        <s v="Infrastructure Charges - Oracle EPM Cloud FastConnect MPLS circuit"/>
        <s v="Infrastructure Charges - SAP AG iVPN site-to-site"/>
        <s v="India SAP Helpdesk Support / Team Computers L1/L1.5"/>
        <s v="India Prime Solution Maintenance"/>
        <s v="Japan SAP BI &amp; SD Support"/>
        <s v="Desktop on Demand (VDS)"/>
        <s v="Mulesoft - Logistics (Contractors)"/>
        <s v="Logistics LMS &amp; Manhattan IoD"/>
        <s v="Infrastructure Charges - ES Collaborative Manufacturing - IoD"/>
        <s v="Planning Excel Citrix Server - IoD Infrastructure (Server)"/>
        <s v="GLNS Process Optimization &amp; Compliance Contractor"/>
        <s v="Syniti: Infrastructure Charges - SAP Backoffice - Cloud AWS"/>
        <s v="IBM: SAP Application Managed Service - Celonis"/>
        <s v="SAP CIG Annual Upgrade Support"/>
        <s v="SAP / S4 HANA - reclass to Lidia"/>
        <s v="IBM: SAP Application Managed Service - Delta Applications - FBO Scope"/>
        <s v="Planning nGPS Support"/>
        <s v="PFIZER APPS related charges (Cloud AWS, Data Protection)"/>
        <s v="DIGITAL-APPHOSTING-DATABASE-PROJECT"/>
        <s v="Legacy PS HR &amp; GRW Related charges"/>
        <s v="Mulesoft - Quality Mulesoft (Contractors)"/>
        <s v="Manufacturing MarKov - IoD and Ring Fencing"/>
        <s v="MetaStorm - Import Manager Contractor Support"/>
        <s v="MetaStorm - MD eSponsor Application Support &amp; Maintenance"/>
        <s v="SSCS Operational Sup"/>
        <s v="SSCS Operational Support"/>
        <s v="GLNS Analytics Resources"/>
        <s v="ES SCC &amp; CMO Support_XFR0923 &amp; XFR0862 &amp; XFR0924"/>
        <s v="GLNS Functional Support_XFR0974 &amp; XFR0929 &amp; XFR0906 &amp; XFR0959"/>
        <s v="GLNS Trade Collaborator"/>
        <s v="Company Car - Belgium (LE5923) - Maria Gkountouva Plate 2CBY846"/>
        <s v="Company Car - Mexico LE 2520 - David Ortiz"/>
        <s v="SSCS - Functional Support (ACN Testing, IBM testing)"/>
        <s v="FUDH Snowflake for Nexus &amp; Infrastructure Costs"/>
        <s v="Insight GlobaL: SAP Support Services"/>
        <s v="P324-0013837 Enhance SharePoint site upgrade"/>
        <s v="SAP Platform- IBM Power Lab Consulting"/>
        <s v="SAP Platform- IBM Power Breakfix Consulting"/>
        <s v="Digital C-TIES Marketing (2025)"/>
        <s v="P324-0014646-Pfizer Apps - App &amp; DB Upgrade"/>
        <s v="P323-0011535-SAP BW4HANA Program"/>
        <s v="xECM Functional Review &amp; Upgrade Assessment"/>
        <s v="DFP RECLASS-P324-0013734-PFIZER DIGITAL POWER SKIL"/>
        <s v="PRIME AUTOMATION TEST LEAD - COMPETE _ R"/>
        <s v="Opex WBS code for EP - DIGITAL-DATAPROTECTION"/>
        <s v="JFrog Artifactory Repository Monthly Charge"/>
        <s v="DIGITAL-MAC"/>
        <s v="Others (Vending, Meeting event, Devices Unreturned, Applecare, Mac-mgmt, IT Onboard, etc.)"/>
        <s v="Microsoft Copilot Licenses"/>
        <s v="DIGITAL-M365"/>
        <s v="Microsoft O365/M365 Licenses"/>
        <s v="DELL PowerMax &amp; CISCO San Switches HW Maintenance - Durham (Pullforward Debit)"/>
        <s v="DELL PowerMax &amp; CISCO San Switches HW Maintenance - Durham (Pullforward Credit)"/>
        <s v="DELL PowerMax &amp; CISCO San Switches HW Maintenance - Somerset (Pullforward Debit)"/>
        <s v="DELL PowerMax &amp; CISCO San Switches HW Maintenance - Somerset (Pullforward Credit)"/>
        <s v="SAP Platform - IBM Power10 HWMA and HMC - SOMERSET"/>
        <s v="SAP Platform - IBM Power10 HWMA and HMC - DURHAM"/>
        <s v="Hardware Maintenance"/>
        <s v="Database"/>
        <s v="SAP BW Oracle Landing Zone"/>
        <s v="2329547_Virtual Analytics Workbench (VAW) DSS - Data Science Studio Tools"/>
        <s v="IBM BPAI AMS (ML-0726)"/>
        <s v="Oracle EBS Software Licenses"/>
        <s v="Oracle OCI Software Usage"/>
        <s v="IBM: SAP Application Managed Service - Seagen_Oracle (long term support)"/>
        <s v="IBM: GLNS AMS Support"/>
        <s v="Pfizer Apps - Digital Billing"/>
        <s v="RingFence Modfac (AWS, DP)"/>
        <s v="RingFence Modfac (AWS, DATABASE)"/>
        <s v="Intelligent Service Cloud (ISC) Maintenance and BTP cost"/>
        <s v="Strategic Sourcing Solution Phase 1 - 60% 1 offshore contractor - New Product Application to Support Global Strategic Sourcing; Assumes MetaStorm $40,000 offshore contractor to cover the entire year"/>
        <s v="P324-0014105-Strategic Sourcing Solution"/>
        <s v="P324-0013439-GSC EMEA: Dx Sub-cluster –"/>
        <s v="P325-0016309-2026 GSC Regions: Logistics"/>
        <s v="P325-0016287-Customer Screening Expansio"/>
        <s v="E1 Oracle Hosting and Maintenance - OCI"/>
        <s v="E1 Oracle Hosting and Maintenance - OCI (Pullforward Credit)"/>
        <s v="Broadcom (Job Scheduler)"/>
        <s v="Broadcom (Job Scheduler) (Pullforward Credit)"/>
        <s v="Logistics Lakos WMS Software (Stocklin)_XFR1019"/>
        <s v="Gate Software ALLOut Security"/>
        <s v="Security Bridge (Pullforward Debit)"/>
        <s v="Security Bridge (Pullforward Credit)"/>
        <s v="Oracle Diagnostics Pack"/>
        <s v="SAP on Premise Software Maintenance (Appendix 1)"/>
        <s v="SAP on Premise Software Maintenance (Appendix 2) (Pullforward Debit)"/>
        <s v="SAP on Premise Software Maintenance (Appendix 2) (Pullforward Credit)"/>
        <s v="SAP on Premise Software Maintenance (Appendix 4) (Pullforward Debit)"/>
        <s v="SAP on Premise Software Maintenance (Appendix 4) (Pullforward Credit)"/>
        <s v="SAP on Premise Software Maintenance (Appendix 5) (Pullforward Debit)"/>
        <s v="SAP on Premise Software Maintenance (Appendix 5) (Pullforward Credit)"/>
        <s v="SAP on Premise Software Maintenance (Appendix 7) (Pullforward Debit)"/>
        <s v="SAP on Premise Software Maintenance (Appendix 7) (Pullforward Credit)"/>
        <s v="SAP on Premise Software Maintenance (Appendix 8) (Pullforward Debit)"/>
        <s v="SAP on Premise Software Maintenance (Appendix 8) (Pullforward Credit)"/>
        <s v="SAP on Premise Software Maintenance (Appendix 13) (Pullforward Debit)"/>
        <s v="SAP on Premise Software Maintenance (Appendix 13) (Pullforward Credit)"/>
        <s v="SAP on Premise Software Maintenance (Appendix 17) (Pullforward Debit)"/>
        <s v="SAP on Premise Software Maintenance (Appendix 17) (Pullforward Credit)"/>
        <s v="SAP on Premise Software Maintenance (Appendix 19) (Pullforward Debit)"/>
        <s v="SAP on Premise Software Maintenance (Appendix 19) (Pullforward Credit)"/>
        <s v="SAP on Premise Software Maintenance (Order Form No. 23) (Pullforward Debit)"/>
        <s v="SAP on Premise Software Maintenance (Order Form No. 23) (Pullforward Credit)"/>
        <s v="SAP on Premise Software Maintenance (Order Form No. 25) (Pullforward Debit)"/>
        <s v="SAP on Premise Software Maintenance (Order Form No. 25) (Pullforward Credit)"/>
        <s v="SAP on Premise Software Maintenance (Order Form No. 29) (Pullforward Debit)"/>
        <s v="SAP on Premise Software Maintenance (Order Form No. 29) (Pullforward Credit)"/>
        <s v="SAP on Premise Software Maintenance (Order Form No. 30) (Pullforward Debit)"/>
        <s v="SAP on Premise Software Maintenance (Order Form No. 30) (Pullforward Credit)"/>
        <s v="SAP on Premise Software Maintenance (Order Form No. 32) (Pullforward Debit)"/>
        <s v="SAP on Premise Software Maintenance (Order Form No. 32) (Pullforward Credit)"/>
        <s v="SAP on Premise Software Maintenance (Order Form No. 35)"/>
        <s v="SAP on Premise Software Maintenance (Order Form No. 37 A&amp;B) (Pullforward Debit)"/>
        <s v="SAP on Premise Software Maintenance (Order Form No. 37 A&amp;B) (Pullforward Credit)"/>
        <s v="SAP on Premise Software Maintenance (Order Form No. 38) (Pullforward Debit)"/>
        <s v="SAP on Premise Software Maintenance (Order Form No. 38) (Pullforward Credit)"/>
        <s v="SAP on Premise Software Maintenance (Order Form No. 41) (Pullforward Debit)"/>
        <s v="SAP on Premise Software Maintenance (Order Form No. 41) (Pullforward Credit)"/>
        <s v="SAP on Premise Software Maintenance (Order Form No. 45) (Pullforward Debit)"/>
        <s v="SAP on Premise Software Maintenance (Order Form No. 45) (Pullforward Credit)"/>
        <s v="SAP GTS Licenses for HANA (Order 46) (Pullforward Debit)"/>
        <s v="SAP GTS Licenses for HANA (Order 46) (Pullforward Credit)"/>
        <s v="SAP on Premise Software Maintenance (Firefighter / Virsa) (Pullforward Debit)"/>
        <s v="SAP on Premise Software Maintenance (Firefighter / Virsa) (Pullforward Credit)"/>
        <s v="SAP on Premise Chargeback"/>
        <s v="SAP SaaS Software Maintenance (IBP #3061986150)"/>
        <s v="Seal Systems"/>
        <s v="Markov (Mainteannce Renewal) (Pullforward Debit)"/>
        <s v="Markov (Mainteannce Renewal) (Pullforward Credit)"/>
        <s v="ERP Ancillary Software Maintenance - GTS Denied Party Screening"/>
        <s v="ERP Ancillary Software Maintenance - GTS Denied Party Screening (Pullforward Credit)"/>
        <s v="GLNS Visual Compliance"/>
        <s v="Visio O365 Licenses"/>
        <s v="Project O365 Licenses"/>
        <s v="Mulesoft - License Maintenance_XFR0926"/>
        <s v="Celonis Monthly Fee for IBC access + Action Engine Licenses"/>
        <s v="Tricentis Tosca, Connect &amp; Execution Licenses (Pullforward Debit)"/>
        <s v="Tricentis Tosca, Connect &amp; Execution Licenses (Pullforward Credit)"/>
        <s v="Radio Frequency device licenses at plants - 42Gears - SureMDM Suite license (Pullforward Debit)"/>
        <s v="Radio Frequency device licenses at plants - 42Gears - SureMDM Suite license (Pullforward Credit)"/>
        <s v="Serialization - SAP ICH License- Software subscription (SaaS) - (Contract #3061804516)"/>
        <s v="SAP ICH incremental cost for GLN/Non-GLN portal- Additional Licenses (Contract#3062358011)"/>
        <s v="SAP on Premise Software Maintenance - JDNet Connector"/>
        <s v="DevSecOps"/>
        <s v="Logistics E2Open Software Support"/>
        <s v="Enable Now &amp; WalkMe Cloud Subscription Fee for S/4 HANA Order #3061964355"/>
        <s v="Infrastructure Charges - Cloud AWS - RHEL"/>
        <s v="GLNS Analytics - Snowflake Compute Software"/>
        <s v="SAP SaaS Software License (CCv2 Contract) Order #3061700877"/>
        <s v="SAP SaaS Software Maintenance (CCv1 - C4C Contract &amp; Add&amp;#39;l licenses ) - Order #3061810212"/>
        <s v="SAP SaaS Software Maintenance (CCv1 - C4C Contract &amp; Add&amp;#39;l licenses ) - Order #3061810212 (Pullforward Credit)"/>
        <s v="SAP SaaS Software Maintenance (SCP Analytics #3062255314) (Pullforward Debit)"/>
        <s v="SAP SaaS Software Maintenance (SCP Analytics #3062255314) (Pullforward Credit)"/>
        <s v="SAP SaaS Software Maintenance (CPEA #3062117959/old# 2212499928 ) (Pullforward Debit)"/>
        <s v="SAP SaaS Software Maintenance (CPEA #3062117959/old# 2212499928 ) (Pullforward Credit)"/>
        <s v="SAP SaaS Software Maint (SCP Integration/Enterprise Edition #3061467781)"/>
        <s v="SAP Supply Chain Collaboration (SCC) &amp; Quality Add On Contract #3072512098_XFR0956"/>
        <s v="SAP S/4 HANA Software Yearly Maint. (Order 43)"/>
        <s v="SAP User Group Yearly Membership (ASUG) (Pullforward Debit)"/>
        <s v="SAP User Group Yearly Membership (ASUG)"/>
        <s v="SAP User Group Yearly Membership (ASUG) (Pullforward Credit)"/>
        <s v="SAP Platform - Power10 and PowerHA S/W Maint - Somerset &amp; Durham"/>
        <s v="Logistics Ship It Control Tower"/>
        <s v="GLNS Cloud Orchestration Airflow license for BI"/>
        <s v="GLNS Annual Jira licenses"/>
        <s v="Logistics LMS Manhattan Maintenance Support"/>
        <s v="Logistics LMS Manhattan Maintenance Support (Pullforward Credit)"/>
        <s v="BPAI S/W - Broadcom Autosys/Automic (ML-0714)"/>
        <s v="CoPilot Licenses"/>
        <s v="BPAI File Transfer &amp; Workload Automation Services - Monthly Libra reclasses (ML-0726)"/>
        <s v="DELL PowerMax &amp; CISCO San Switches SW Maintenance - Somerset (Pullforward Debit)"/>
        <s v="DELL PowerMax &amp; CISCO San Switches SW Maintenance - Somerset (Pullforward Credit)"/>
        <s v="DELL PowerMax &amp; CISCO San Switches SW Maintenance - Durham (Pullforward Debit)"/>
        <s v="DELL PowerMax &amp; CISCO San Switches SW Maintenance - Durham (Pullforward Credit)"/>
        <s v="Office Timeline Pro Plus"/>
        <s v="Power Automate Licenses"/>
        <s v="Celonis Climatiq License for 10M shipments annually_XFR0921"/>
        <s v="Storix Linux Storage Licenses"/>
        <s v="Storix Linux Storage Licenses (Pullforward Credit)"/>
        <s v="BPAI S/W - IBM Value Added Network (VAN) (ML-0729)"/>
        <s v="SAP ICH Quality Add-on Contract #3062678905_XFR0707"/>
        <s v="SAP license &amp; support costs for SAP at Sanford North(P323-0010203)_2025-XFR-0036-A"/>
        <s v="Power 10 AIX 7.1 Extended Support (for APO, GIS, PPM, SAP PI 7.1, MQ, BOBJ, VPSX)"/>
        <s v="Power 10 AIX 7.1 Extended Support (for APO, GIS, PPM, SAP PI 7.1, MQ, BOBJ, VPSX) (Pullforward Credit)"/>
        <s v="PEP 2.0 Credits"/>
        <s v="BPAI S/W - IBM B2B Integrator (ML-0731)"/>
        <s v="BPAI S/W - Axway B2Bi (ML-0736)"/>
        <s v="BPAI S/W - Axway B2Bi (ML-0736) (Pullforward Credit)"/>
        <s v="BPAI S/W - EDIFECS SpecBuilder (ML-0737)"/>
        <s v="M&amp;S Pro Renewal"/>
        <s v="Infrastructure: Pfizer Pfynix AIOPS solution"/>
        <s v="DIGITAL-CLOUD-AZURE-ARENA DYNAMICS 365"/>
        <s v="IBM: Pfynix AIOps - IBM Process Automation Manager"/>
        <s v="C-TIES Copilot Studio"/>
        <s v="ESC/AIS APP &amp; Platform Support: Software"/>
        <s v="Celonis AI/ML Workbench License"/>
        <s v="Celonis AI/ML Workbench License (Pullforward Credit)"/>
        <s v="SAP BDC License"/>
        <s v="SAP DI New Contract"/>
        <s v="SAP DI New Contract (Pullforward Credit)"/>
        <s v="SAP Intelligent Service Cloud (ISC) Software and AI cost"/>
        <s v="Conexiom Software and Support cost"/>
        <s v="Kazakhstan Legal Entity in SAP - Edicom Connection Fees"/>
        <s v="Company Car - Canada - Jean Francois Bouthillier (vehicle number on Fleet Billing) 23227"/>
        <s v="Miscellaneous Charges"/>
        <s v="Non-digital catering charges"/>
        <s v="Credit for SAP BW through AWS"/>
        <s v="NON-DIGITAL-CATERING-VAIDYS05"/>
        <s v="FEDERAL EXPRESS CORP"/>
        <s v="Other"/>
        <s v="PO Closure Credit"/>
        <s v="Default"/>
        <s v="WBS Override Project"/>
        <s v="Telecommunications"/>
        <s v="Travel and Entertainment"/>
        <s v="TravelEnt001_Reserve"/>
        <s v="Vacancy Factor"/>
        <s v="ShipERP"/>
        <s v="SAP ME - Review at LE3"/>
        <s v="LE2 ME"/>
      </sharedItems>
    </cacheField>
    <cacheField name="Vendor*" numFmtId="0">
      <sharedItems containsBlank="1"/>
    </cacheField>
    <cacheField name="Cost Center*" numFmtId="0">
      <sharedItems containsBlank="1"/>
    </cacheField>
    <cacheField name="Project Code*" numFmtId="49">
      <sharedItems containsBlank="1"/>
    </cacheField>
    <cacheField name="Prior Year PO" numFmtId="0">
      <sharedItems containsBlank="1"/>
    </cacheField>
    <cacheField name="2026  Purchase Order" numFmtId="0">
      <sharedItems containsBlank="1"/>
    </cacheField>
    <cacheField name="Pullforward" numFmtId="49">
      <sharedItems containsBlank="1"/>
    </cacheField>
    <cacheField name="Grouping" numFmtId="49">
      <sharedItems containsBlank="1"/>
    </cacheField>
    <cacheField name="2026 Budget Comment" numFmtId="49">
      <sharedItems containsBlank="1" longText="1"/>
    </cacheField>
    <cacheField name="2026 Transfers" numFmtId="0">
      <sharedItems containsNonDate="0" containsString="0" containsBlank="1"/>
    </cacheField>
    <cacheField name="2026 LE0" numFmtId="0">
      <sharedItems containsString="0" containsBlank="1" containsNumber="1" minValue="-1080865" maxValue="32110933.16"/>
    </cacheField>
    <cacheField name="LE2 Final Submission" numFmtId="0">
      <sharedItems containsString="0" containsBlank="1" containsNumber="1" minValue="-6407318.4800000004" maxValue="34757461.509999998"/>
    </cacheField>
    <cacheField name="LE3 Final Submission" numFmtId="0">
      <sharedItems containsNonDate="0" containsString="0" containsBlank="1"/>
    </cacheField>
    <cacheField name="LE4 Final Submission" numFmtId="0">
      <sharedItems containsNonDate="0" containsString="0" containsBlank="1"/>
    </cacheField>
    <cacheField name="AP01" numFmtId="0">
      <sharedItems containsString="0" containsBlank="1" containsNumber="1" minValue="-1104045.58" maxValue="4356992.08"/>
    </cacheField>
    <cacheField name="AP02" numFmtId="0">
      <sharedItems containsString="0" containsBlank="1" containsNumber="1" minValue="-4356992.08" maxValue="3048410.85"/>
    </cacheField>
    <cacheField name="AP03" numFmtId="0">
      <sharedItems containsString="0" containsBlank="1" containsNumber="1" minValue="-551382.25" maxValue="3021391.85"/>
    </cacheField>
    <cacheField name="AP04" numFmtId="0">
      <sharedItems containsBlank="1" containsMixedTypes="1" containsNumber="1" minValue="-58284.780000000013" maxValue="2973057.3200000008"/>
    </cacheField>
    <cacheField name="AP05" numFmtId="0">
      <sharedItems containsString="0" containsBlank="1" containsNumber="1" minValue="-397395" maxValue="3070156.0000000009"/>
    </cacheField>
    <cacheField name="AP06" numFmtId="0">
      <sharedItems containsString="0" containsBlank="1" containsNumber="1" minValue="-135400" maxValue="3021020.07"/>
    </cacheField>
    <cacheField name="AP07" numFmtId="0">
      <sharedItems containsString="0" containsBlank="1" containsNumber="1" minValue="-78124" maxValue="2977460.79"/>
    </cacheField>
    <cacheField name="AP08" numFmtId="0">
      <sharedItems containsString="0" containsBlank="1" containsNumber="1" minValue="-180144" maxValue="2957767.97"/>
    </cacheField>
    <cacheField name="AP09" numFmtId="0">
      <sharedItems containsString="0" containsBlank="1" containsNumber="1" minValue="-1601829.62" maxValue="2824180.51"/>
    </cacheField>
    <cacheField name="AP10" numFmtId="0">
      <sharedItems containsString="0" containsBlank="1" containsNumber="1" minValue="-1601829.62" maxValue="2683373.61"/>
    </cacheField>
    <cacheField name="AP11" numFmtId="0">
      <sharedItems containsString="0" containsBlank="1" containsNumber="1" minValue="-1601829.62" maxValue="2683374.5"/>
    </cacheField>
    <cacheField name="AP12" numFmtId="0">
      <sharedItems containsString="0" containsBlank="1" containsNumber="1" minValue="-1601829.62" maxValue="2683373.5699999998"/>
    </cacheField>
    <cacheField name="2026 Working Total" numFmtId="165">
      <sharedItems containsString="0" containsBlank="1" containsNumber="1" minValue="-6407318.4800000004" maxValue="34758632.689999998"/>
    </cacheField>
    <cacheField name="2026 Working Total to Budget/LE" numFmtId="167">
      <sharedItems containsSemiMixedTypes="0" containsString="0" containsNumber="1" minValue="-650102.23222871125" maxValue="966213.36000000034"/>
    </cacheField>
    <cacheField name="Latest AP Snapshot" numFmtId="167">
      <sharedItems containsString="0" containsBlank="1" containsNumber="1" minValue="-773710" maxValue="3021022.03"/>
    </cacheField>
    <cacheField name="Latest AP Variance to Snapshot" numFmtId="167">
      <sharedItems containsSemiMixedTypes="0" containsString="0" containsNumber="1" minValue="-602964.8922287093" maxValue="966213.3600000001"/>
    </cacheField>
    <cacheField name="YTD Act to Bud/LE" numFmtId="164">
      <sharedItems containsSemiMixedTypes="0" containsString="0" containsNumber="1" minValue="-650102.23222870938" maxValue="966213.36000000034"/>
    </cacheField>
    <cacheField name="Giveback" numFmtId="167">
      <sharedItems containsString="0" containsBlank="1" containsNumber="1" containsInteger="1" minValue="-283000" maxValue="488000"/>
    </cacheField>
    <cacheField name="Other Allocation" numFmtId="167">
      <sharedItems containsString="0" containsBlank="1" containsNumber="1" minValue="-650102.23222871125" maxValue="966213.36000000034"/>
    </cacheField>
    <cacheField name="Giveback Comments" numFmtId="0">
      <sharedItems containsBlank="1"/>
    </cacheField>
    <cacheField name="AP01 LE2" numFmtId="0">
      <sharedItems containsString="0" containsBlank="1" containsNumber="1" minValue="-1104045.58" maxValue="4356992.08"/>
    </cacheField>
    <cacheField name="AP02 LE2" numFmtId="0">
      <sharedItems containsString="0" containsBlank="1" containsNumber="1" minValue="-4356992.08" maxValue="3048410.85"/>
    </cacheField>
    <cacheField name="AP03 LE2" numFmtId="0">
      <sharedItems containsString="0" containsBlank="1" containsNumber="1" minValue="-551382.25" maxValue="3021391.85"/>
    </cacheField>
    <cacheField name="AP04 LE2" numFmtId="0">
      <sharedItems containsString="0" containsBlank="1" containsNumber="1" minValue="-84081.45" maxValue="3021020.11"/>
    </cacheField>
    <cacheField name="AP05 LE2" numFmtId="0">
      <sharedItems containsString="0" containsBlank="1" containsNumber="1" minValue="-773710" maxValue="3021022.03"/>
    </cacheField>
    <cacheField name="AP06 LE2" numFmtId="0">
      <sharedItems containsString="0" containsBlank="1" containsNumber="1" minValue="-213108" maxValue="3021020.07"/>
    </cacheField>
    <cacheField name="AP07 LE2" numFmtId="0">
      <sharedItems containsString="0" containsBlank="1" containsNumber="1" minValue="-78124" maxValue="2977460.79"/>
    </cacheField>
    <cacheField name="AP08 LE2" numFmtId="0">
      <sharedItems containsString="0" containsBlank="1" containsNumber="1" minValue="-180144" maxValue="2957767.97"/>
    </cacheField>
    <cacheField name="AP09 LE2" numFmtId="0">
      <sharedItems containsString="0" containsBlank="1" containsNumber="1" minValue="-1601829.62" maxValue="2824180.51"/>
    </cacheField>
    <cacheField name="AP10 LE2" numFmtId="0">
      <sharedItems containsString="0" containsBlank="1" containsNumber="1" minValue="-1601829.62" maxValue="2683373.61"/>
    </cacheField>
    <cacheField name="AP11 LE2" numFmtId="0">
      <sharedItems containsString="0" containsBlank="1" containsNumber="1" minValue="-1601829.62" maxValue="2683374.5"/>
    </cacheField>
    <cacheField name="AP12 LE2" numFmtId="0">
      <sharedItems containsString="0" containsBlank="1" containsNumber="1" minValue="-1601829.62" maxValue="2683373.5699999998"/>
    </cacheField>
    <cacheField name="2026 LE2 Working Total" numFmtId="0">
      <sharedItems containsString="0" containsBlank="1" containsNumber="1" minValue="-6407318.4800000004" maxValue="34757461.509999998"/>
    </cacheField>
    <cacheField name="2026 AP01" numFmtId="167">
      <sharedItems containsString="0" containsBlank="1" containsNumber="1" minValue="-1104045.58" maxValue="4356992.08"/>
    </cacheField>
    <cacheField name="2026 AP02" numFmtId="167">
      <sharedItems containsString="0" containsBlank="1" containsNumber="1" minValue="-4356992.08" maxValue="3048410.85"/>
    </cacheField>
    <cacheField name="2026 AP03" numFmtId="167">
      <sharedItems containsString="0" containsBlank="1" containsNumber="1" minValue="-551382.25" maxValue="3021391.85"/>
    </cacheField>
    <cacheField name="2026 AP04" numFmtId="167">
      <sharedItems containsString="0" containsBlank="1" containsNumber="1" minValue="-78124" maxValue="3021020.11"/>
    </cacheField>
    <cacheField name="2026 AP05" numFmtId="167">
      <sharedItems containsString="0" containsBlank="1" containsNumber="1" minValue="-180144.16" maxValue="3021022.03"/>
    </cacheField>
    <cacheField name="2026 AP06" numFmtId="167">
      <sharedItems containsString="0" containsBlank="1" containsNumber="1" minValue="-213108" maxValue="3021020.07"/>
    </cacheField>
    <cacheField name="2026 AP07" numFmtId="167">
      <sharedItems containsString="0" containsBlank="1" containsNumber="1" minValue="-78124" maxValue="2977460.79"/>
    </cacheField>
    <cacheField name="2026 AP08" numFmtId="167">
      <sharedItems containsString="0" containsBlank="1" containsNumber="1" minValue="-180144.16" maxValue="2957767.97"/>
    </cacheField>
    <cacheField name="2026 AP09" numFmtId="167">
      <sharedItems containsString="0" containsBlank="1" containsNumber="1" minValue="-203100" maxValue="2824180.51"/>
    </cacheField>
    <cacheField name="2026 AP10" numFmtId="167">
      <sharedItems containsString="0" containsBlank="1" containsNumber="1" minValue="-78124" maxValue="2683373.61"/>
    </cacheField>
    <cacheField name="2026 AP11" numFmtId="167">
      <sharedItems containsString="0" containsBlank="1" containsNumber="1" minValue="-180144.16" maxValue="2683374.5"/>
    </cacheField>
    <cacheField name="2026 AP12" numFmtId="167">
      <sharedItems containsString="0" containsBlank="1" containsNumber="1" minValue="-97000" maxValue="2683373.5699999998"/>
    </cacheField>
    <cacheField name="2026 LE0 Submission" numFmtId="167">
      <sharedItems containsString="0" containsBlank="1" containsNumber="1" minValue="-990792.92" maxValue="34757461.5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ite, Charlotte Hilliard" refreshedDate="46220.533752199073" createdVersion="8" refreshedVersion="8" minRefreshableVersion="3" recordCount="681" xr:uid="{D522E45F-756E-4E8F-A151-484DF9EDD045}">
  <cacheSource type="worksheet">
    <worksheetSource name="ERP_26"/>
  </cacheSource>
  <cacheFields count="71">
    <cacheField name="UID" numFmtId="0">
      <sharedItems/>
    </cacheField>
    <cacheField name="Match" numFmtId="0">
      <sharedItems count="581">
        <s v="Dougherty, Chris_CONTRACTORS_ColleagueSolutions001"/>
        <s v="Dougherty, Chris_CONTRACTORS_EnhanceChargeout001"/>
        <s v="Patel, Apurva_TRAVEL &amp; ENTERTAINMENT_CE-BTS23000-02-EX-GR"/>
        <s v="Patel, Apurva_COMPENSATION_CompBenefits001"/>
        <s v="Patel, Apurva_COMPENSATION_CompBonus001"/>
        <s v="Patel, Apurva_DEPRECIATION_ERP_Depre001"/>
        <s v="Dougherty, Chris_CONTRACTORS_EP&amp;SCharges001"/>
        <s v="Dougherty, Chris_CONTRACTORS_IT-CTR0044-OG-US-00"/>
        <s v="Dougherty, Chris_CONTRACTORS_IT-CTR0067-OG-CR-00"/>
        <s v="Dougherty, Chris_CONTRACTORS_IT-CTR0093-OG-US-00"/>
        <s v="Dougherty, Chris_CONTRACTORS_IT-CTR0094-OG-US-00"/>
        <s v="Dougherty, Chris_CONTRACTORS_IT-CTR0096-OG-US-00"/>
        <s v="Dougherty, Chris_CONTRACTORS_IT-CTR0097-OG-US-00"/>
        <s v="Dougherty, Chris_CONTRACTORS_IT-CTR0098-OG-US-00"/>
        <s v="Dougherty, Chris_CONTRACTORS_IT-CTR0099-OG-US-00"/>
        <s v="Dougherty, Chris_CONTRACTORS_IT-CTR0101-OG-US-00"/>
        <s v="Dougherty, Chris_CONTRACTORS_IT-CTR0102-OG-US-00"/>
        <s v="Dougherty, Chris_CONTRACTORS_IT-CTR0103-OG-US-00"/>
        <s v="Dougherty, Chris_CONTRACTORS_IT-CTR0105-OG-US-00"/>
        <s v="Dougherty, Chris_CONTRACTORS_IT-CTR0130-OG-US-00"/>
        <s v="Dougherty, Chris_CONTRACTORS_IT-CTR0132-OT-US-00"/>
        <s v="Dougherty, Chris_CONTRACTORS_IT-CTR0132-OT-US-00/BDC"/>
        <s v="Patel, Apurva_TRAVEL &amp; ENTERTAINMENT_IT-PBU1070-OT-IE-00"/>
        <s v="Dougherty, Chris_CONTRACTORS_IT-CTR0132-OT-US-00/Colalborate 360"/>
        <s v="Dougherty, Chris_CONTRACTORS_IT-CTR0132-OT-US-00/iERP"/>
        <s v="Dougherty, Chris_CONTRACTORS_IT-CTR0132-OT-US-00/S4 Innovation"/>
        <s v="Dougherty, Chris_CONTRACTORS_IT-CTR0132-OT-US-01"/>
        <s v="Dougherty, Chris_CONTRACTORS_IT-CTR0132-OT-US-02"/>
        <s v="Dougherty, Chris_CONTRACTORS_IT-CTR0132-OT-US-03"/>
        <s v="Dougherty, Chris_CONTRACTORS_IT-CTR0132-OT-US-04"/>
        <s v="Dougherty, Chris_CONTRACTORS_IT-CTR0140-OT-US-00"/>
        <s v="Dougherty, Chris_CONTRACTORS_IT-CTR0147-OG-US-00"/>
        <s v="Dougherty, Chris_CONTRACTORS_IT-CTR0148-OG-US-00"/>
        <s v="Dougherty, Chris_CONTRACTORS_IT-CTR0150-OG-US-00"/>
        <s v="Dougherty, Chris_CONTRACTORS_IT-FBT0066-OG-IN-00"/>
        <s v="Patel, Apurva_OUTSIDE COUNSEL_Others001"/>
        <s v="Dougherty, Chris_CONTRACTORS_IT-FBT0213-OG-US-00"/>
        <s v="Patel, Apurva_TELECOMMUNICATIONS_PR-320001-0000007986"/>
        <s v="Dougherty, Chris_CONTRACTORS_IT-FBT0219-OG-US-00"/>
        <s v="Dougherty, Chris_CONTRACTORS_IT-FBT0245-OG-US-00"/>
        <s v="Patel, Apurva_OUTSIDE COUNSEL_PR-587101-0000007986"/>
        <s v="Dougherty, Chris_CONTRACTORS_IT-FBT0393-OG-JP-00"/>
        <s v="Patel, Apurva_TRAVEL &amp; ENTERTAINMENT_PR-587101-0000007986"/>
        <s v="Patel, Apurva_TELECOMMUNICATIONS_Telecom001"/>
        <s v="Patel, Apurva_TRAVEL &amp; ENTERTAINMENT_TravelEnt001"/>
        <s v="Dougherty, Chris_CONTRACTORS_IT-FBT0509-OG-US-00"/>
        <s v="Dougherty, Chris_CONTRACTORS_IT-FBT0636-OG-IN-00"/>
        <s v="Dougherty, Chris_CONTRACTORS_IT-FBT0637-OG-IN-00"/>
        <s v="Dougherty, Chris_CONTRACTORS_IT-FBT0770-OT-US-00"/>
        <s v="Dougherty, Chris_CONTRACTORS_IT-FBT0780-OT-US-00"/>
        <s v="Dougherty, Chris_CONTRACTORS_IT-FBT0801-OG-US-00"/>
        <s v="Dougherty, Chris_CONTRACTORS_IT-FBT0826-OG-US-00"/>
        <s v="Dougherty, Chris_CONTRACTORS_IT-FBT0831-OT-US-00"/>
        <s v="Dougherty, Chris_CONTRACTORS_IT-FBT0832-OT-US-00"/>
        <s v="Dougherty, Chris_CONTRACTORS_IT-MGS0168-OG-US-00"/>
        <s v="Dougherty, Chris_CONTRACTORS_MISC001"/>
        <s v="Dougherty, Chris_COMPENSATION_CompBenefits001"/>
        <s v="Dougherty, Chris_COMPENSATION_CompBonus001"/>
        <s v="Dougherty, Chris_COMPENSATION_CompSalary001"/>
        <s v="Dougherty, Chris_CONTRACTORS_POClosure001"/>
        <s v="Dougherty, Chris_HW MAINTENANCE_2026-XFR-ML001"/>
        <s v="Dougherty, Chris_HW MAINTENANCE_2026-XFR-ML002"/>
        <s v="Dougherty, Chris_HW MAINTENANCE_2026-XFR-ML003"/>
        <s v="Dougherty, Chris_HW MAINTENANCE_BILLINGSWEEP005"/>
        <s v="Dougherty, Chris_HW MAINTENANCE_BILLINGSWEEP011"/>
        <s v="Dougherty, Chris_HW MAINTENANCE_BILLINGSWEEP012"/>
        <s v="Dougherty, Chris_HW MAINTENANCE_BILLINGSWEEP016"/>
        <s v="Dougherty, Chris_HW MAINTENANCE_BILLINGSWEEP017"/>
        <s v="Dougherty, Chris_HW MAINTENANCE_BILLINGSWEEP019"/>
        <s v="Dougherty, Chris_HW MAINTENANCE_BillSweepMisc"/>
        <s v="Dougherty, Chris_HW MAINTENANCE_EP&amp;SCharges001"/>
        <s v="Dougherty, Chris_HW MAINTENANCE_IT-FGS0299-OG-US-00"/>
        <s v="Dougherty, Chris_HW MAINTENANCE_IT-HRD0003-OG-US-DH"/>
        <s v="Dougherty, Chris_HW MAINTENANCE_IT-HRD0003-OG-US-DH/PF"/>
        <s v="Dougherty, Chris_HW MAINTENANCE_IT-HRD0004-OG-US-SS"/>
        <s v="Dougherty, Chris_HW MAINTENANCE_IT-HRD0004-OG-US-SS/PF"/>
        <s v="Dougherty, Chris_HW MAINTENANCE_MISC001"/>
        <s v="Dougherty, Chris_MANAGED SERVICES_2026-XFR-0008-B"/>
        <s v="Dougherty, Chris_MANAGED SERVICES_2026-XFR-0017-C"/>
        <s v="Dougherty, Chris_MANAGED SERVICES_2026-XFR-0017-D"/>
        <s v="Dougherty, Chris_MANAGED SERVICES_2026-XFR-0020-A"/>
        <s v="Dougherty, Chris_MANAGED SERVICES_AD-RAOCBINT3-PD-15-US-00"/>
        <s v="Dougherty, Chris_MANAGED SERVICES_AR-700001184-1400"/>
        <s v="Dougherty, Chris_MANAGED SERVICES_BILLINGREV001"/>
        <s v="Dougherty, Chris_MANAGED SERVICES_BillingRev019"/>
        <s v="Dougherty, Chris_MANAGED SERVICES_BILLINGSWEEP005"/>
        <s v="Dougherty, Chris_MANAGED SERVICES_BILLINGSWEEP006"/>
        <s v="Dougherty, Chris_MANAGED SERVICES_BILLINGSWEEP011"/>
        <s v="Dougherty, Chris_MANAGED SERVICES_BILLINGSWEEP021"/>
        <s v="Dougherty, Chris_MANAGED SERVICES_BillSweepMisc"/>
        <s v="Dougherty, Chris_MANAGED SERVICES_EnhanceChargeout001"/>
        <s v="Dougherty, Chris_MANAGED SERVICES_EP&amp;SCharges001"/>
        <s v="Dougherty, Chris_MANAGED SERVICES_IT-17BTF01-01"/>
        <s v="Dougherty, Chris_MANAGED SERVICES_IT-CTR0044-OG-US-00"/>
        <s v="Dougherty, Chris_MANAGED SERVICES_IT-FBT0074-OG-US-00"/>
        <s v="Dougherty, Chris_MANAGED SERVICES_IT-FBT0210-OG-US-00"/>
        <s v="Dougherty, Chris_MANAGED SERVICES_IT-FBT0281-OG-US-00"/>
        <s v="Dougherty, Chris_MANAGED SERVICES_IT-FBT0282-OG-US-00"/>
        <s v="Dougherty, Chris_MANAGED SERVICES_IT-FBT0288-OG-BE-00"/>
        <s v="Dougherty, Chris_MANAGED SERVICES_IT-FBT0393-OG-JP-00"/>
        <s v="Dougherty, Chris_MANAGED SERVICES_IT-FBT0524-OG-US-00"/>
        <s v="Dougherty, Chris_MANAGED SERVICES_IT-FBT0528-OG-US-00"/>
        <s v="Dougherty, Chris_MANAGED SERVICES_IT-FBT0587-OG-US-00"/>
        <s v="Dougherty, Chris_MANAGED SERVICES_IT-FBT0588-OG-US-00"/>
        <s v="Dougherty, Chris_MANAGED SERVICES_IT-FBT0638-OG-JP-00"/>
        <s v="Dougherty, Chris_MANAGED SERVICES_IT-FBT0651-OG-US-00"/>
        <s v="Dougherty, Chris_MANAGED SERVICES_IT-FBT0665-OG-US-00"/>
        <s v="Dougherty, Chris_MANAGED SERVICES_IT-FBT0675-OG-US-00"/>
        <s v="Dougherty, Chris_MANAGED SERVICES_IT-FBT0693-OG-US-00"/>
        <s v="Dougherty, Chris_MANAGED SERVICES_IT-FBT0700-OG-US-00"/>
        <s v="Dougherty, Chris_MANAGED SERVICES_IT-FBT0753-OT-US-00"/>
        <s v="Dougherty, Chris_MANAGED SERVICES_IT-FBT0769-OT-US-00"/>
        <s v="Dougherty, Chris_MANAGED SERVICES_IT-FBT0770-OT-US-00"/>
        <s v="Dougherty, Chris_MANAGED SERVICES_IT-FBT0780-OT-US-00"/>
        <s v="Dougherty, Chris_MANAGED SERVICES_IT-FGS0296-OG-US-00"/>
        <s v="Dougherty, Chris_MANAGED SERVICES_IT-FGS0299-OG-US-00"/>
        <s v="Dougherty, Chris_MANAGED SERVICES_IT-FGS0301-OG-US-00"/>
        <s v="Dougherty, Chris_MANAGED SERVICES_IT-HRD0005-OG-US-SS"/>
        <s v="Dougherty, Chris_MANAGED SERVICES_IT-HRD0006-OG-US-DH"/>
        <s v="Dougherty, Chris_MANAGED SERVICES_IT-MGS0168-OG-US-00"/>
        <s v="Dougherty, Chris_MANAGED SERVICES_IT-MGS0202-OG-US-00"/>
        <s v="Dougherty, Chris_MANAGED SERVICES_IT-MGS0203-OG-US-00"/>
        <s v="Dougherty, Chris_MANAGED SERVICES_IT-MGS0204-OG-US-00"/>
        <s v="Dougherty, Chris_MANAGED SERVICES_IT-MGS0205-OG-US-00"/>
        <s v="Dougherty, Chris_MANAGED SERVICES_IT-MGS0207-OG-US-00"/>
        <s v="Dougherty, Chris_MANAGED SERVICES_IT-MGS0209-OG-US-00"/>
        <s v="Dougherty, Chris_MANAGED SERVICES_IT-SFT1282-86-OG-US"/>
        <s v="Dougherty, Chris_MANAGED SERVICES_IT-SFT1434-OG-US-00"/>
        <s v="Dougherty, Chris_MANAGED SERVICES_MISC001"/>
        <s v="Dougherty, Chris_OTHER_IT-SFT1010-86-OG-US"/>
        <s v="Dougherty, Chris_OTHER_IT-SFT1249-86-OG-US"/>
        <s v="Dougherty, Chris_OTHER_Others001"/>
        <s v="Dougherty, Chris_SOFTWARE_"/>
        <s v="Dougherty, Chris_SOFTWARE_2026-XFR-0007-A"/>
        <s v="Dougherty, Chris_SOFTWARE_2026-XFR-0013-A"/>
        <s v="Dougherty, Chris_SOFTWARE_2026-XFR-0017-A"/>
        <s v="Dougherty, Chris_SOFTWARE_2026-XFR-0017-B"/>
        <s v="Dougherty, Chris_SOFTWARE_2026-XFR-0034-A"/>
        <s v="Dougherty, Chris_SOFTWARE_2026-XFR-0036-A"/>
        <s v="Dougherty, Chris_SOFTWARE_2026-XFR-KM001"/>
        <s v="Dougherty, Chris_SOFTWARE_BILLINGREV001CN"/>
        <s v="Dougherty, Chris_SOFTWARE_BILLINGREV009B"/>
        <s v="Dougherty, Chris_SOFTWARE_BillingSweep001"/>
        <s v="Dougherty, Chris_SOFTWARE_BillingSweep002"/>
        <s v="Dougherty, Chris_SOFTWARE_BILLINGSWEEP006"/>
        <s v="Dougherty, Chris_SOFTWARE_BILLINGSWEEP021"/>
        <s v="Dougherty, Chris_SOFTWARE_BillSweepMisc"/>
        <s v="Dougherty, Chris_TELECOMMUNICATIONS_Telecom001"/>
        <s v="Dougherty, Chris_TRAVEL &amp; ENTERTAINMENT_TravelEnt001"/>
        <s v="Dougherty, Chris_SOFTWARE_ColleagueSolutions001"/>
        <s v="Dougherty, Chris_SOFTWARE_EnhanceChargeout001"/>
        <s v="Dougherty, Chris_SOFTWARE_EP&amp;SCharges001"/>
        <s v="Ganesan, Srinivasan_COMPENSATION_CompBenefits001"/>
        <s v="Ganesan, Srinivasan_COMPENSATION_CompBonus001"/>
        <s v="Ganesan, Srinivasan_COMPENSATION_CompSalary001"/>
        <s v="Dougherty, Chris_SOFTWARE_IT-FBT0665-OG-US-00"/>
        <s v="Dougherty, Chris_SOFTWARE_IT-FBT0675-OG-US-00"/>
        <s v="Dougherty, Chris_SOFTWARE_IT-FGS0298-SW-US-00"/>
        <s v="Ganesan, Srinivasan_DEPRECIATION_ERP_Depre001"/>
        <s v="Dougherty, Chris_SOFTWARE_IT-FGS0299-OG-US-00"/>
        <s v="Dougherty, Chris_SOFTWARE_IT-FGS0300-SW-US-00"/>
        <s v="Dougherty, Chris_SOFTWARE_IT-FGS0302-SW-US-00"/>
        <s v="Dougherty, Chris_SOFTWARE_IT-MGS0202-OG-US-00"/>
        <s v="Dougherty, Chris_SOFTWARE_IT-SFT0159-86-OG-US"/>
        <s v="Dougherty, Chris_SOFTWARE_IT-SFT0159-86-OG-US/PF"/>
        <s v="Dougherty, Chris_SOFTWARE_IT-SFT0170-86-OG-US"/>
        <s v="Dougherty, Chris_SOFTWARE_IT-SFT0170-86-OG-US/PF"/>
        <s v="Dougherty, Chris_SOFTWARE_IT-SFT0673-86-OG-US"/>
        <s v="Dougherty, Chris_SOFTWARE_IT-SFT1003-86-OG-US"/>
        <s v="Dougherty, Chris_SOFTWARE_IT-SFT1003-86-OG-US/PF"/>
        <s v="Dougherty, Chris_SOFTWARE_IT-SFT1006-86-OG-US"/>
        <s v="Dougherty, Chris_SOFTWARE_IT-SFT1009-86-OG-US"/>
        <s v="Dougherty, Chris_SOFTWARE_IT-SFT1009-86-OG-US/02"/>
        <s v="Dougherty, Chris_SOFTWARE_IT-SFT1009-86-OG-US/02/PF"/>
        <s v="Dougherty, Chris_SOFTWARE_IT-SFT1009-86-OG-US/04"/>
        <s v="Dougherty, Chris_SOFTWARE_IT-SFT1009-86-OG-US/04/PF"/>
        <s v="Dougherty, Chris_SOFTWARE_IT-SFT1009-86-OG-US/05"/>
        <s v="Dougherty, Chris_SOFTWARE_IT-SFT1009-86-OG-US/05/PF"/>
        <s v="Dougherty, Chris_SOFTWARE_IT-SFT1009-86-OG-US/07"/>
        <s v="Dougherty, Chris_SOFTWARE_IT-SFT1009-86-OG-US/07/PF"/>
        <s v="Dougherty, Chris_SOFTWARE_IT-SFT1009-86-OG-US/08"/>
        <s v="Dougherty, Chris_SOFTWARE_IT-SFT1009-86-OG-US/08/PF"/>
        <s v="Dougherty, Chris_SOFTWARE_IT-SFT1009-86-OG-US/13"/>
        <s v="Dougherty, Chris_SOFTWARE_IT-SFT1009-86-OG-US/13/PF"/>
        <s v="Dougherty, Chris_SOFTWARE_IT-SFT1009-86-OG-US/17"/>
        <s v="Dougherty, Chris_SOFTWARE_IT-SFT1009-86-OG-US/17/PF"/>
        <s v="Dougherty, Chris_SOFTWARE_IT-SFT1009-86-OG-US/19"/>
        <s v="Dougherty, Chris_SOFTWARE_IT-SFT1009-86-OG-US/19/PF"/>
        <s v="Dougherty, Chris_SOFTWARE_IT-SFT1009-86-OG-US/23"/>
        <s v="Dougherty, Chris_SOFTWARE_IT-SFT1009-86-OG-US/23/PF"/>
        <s v="Dougherty, Chris_SOFTWARE_IT-SFT1009-86-OG-US/25"/>
        <s v="Dougherty, Chris_SOFTWARE_IT-SFT1009-86-OG-US/25/PF"/>
        <s v="Dougherty, Chris_SOFTWARE_IT-SFT1009-86-OG-US/29"/>
        <s v="Dougherty, Chris_SOFTWARE_IT-SFT1009-86-OG-US/29/PF"/>
        <s v="Dougherty, Chris_SOFTWARE_IT-SFT1009-86-OG-US/30"/>
        <s v="Dougherty, Chris_SOFTWARE_IT-SFT1009-86-OG-US/30/PF"/>
        <s v="Dougherty, Chris_SOFTWARE_IT-SFT1009-86-OG-US/32"/>
        <s v="Dougherty, Chris_SOFTWARE_IT-SFT1009-86-OG-US/32/PF"/>
        <s v="Dougherty, Chris_SOFTWARE_IT-SFT1009-86-OG-US/35"/>
        <s v="Dougherty, Chris_SOFTWARE_IT-SFT1009-86-OG-US/37"/>
        <s v="Ganesan, Srinivasan_TELECOMMUNICATIONS_Telecom001"/>
        <s v="Ganesan, Srinivasan_TRAVEL &amp; ENTERTAINMENT_TravelEnt001"/>
        <s v="Dougherty, Chris_SOFTWARE_IT-SFT1009-86-OG-US/37/PF"/>
        <s v="Dougherty, Chris_SOFTWARE_IT-SFT1009-86-OG-US/38"/>
        <s v="Dougherty, Chris_SOFTWARE_IT-SFT1009-86-OG-US/38/PF"/>
        <s v="Dougherty, Chris_SOFTWARE_IT-SFT1009-86-OG-US/41"/>
        <s v="Dougherty, Chris_SOFTWARE_IT-SFT1009-86-OG-US/41/PF"/>
        <s v="Dougherty, Chris_SOFTWARE_IT-SFT1009-86-OG-US/45"/>
        <s v="Dougherty, Chris_SOFTWARE_IT-SFT1009-86-OG-US/45/PF"/>
        <s v="Hase, Raj_COMPENSATION_CompSalary001"/>
        <s v="Dougherty, Chris_SOFTWARE_IT-SFT1009-86-OG-US/46"/>
        <s v="Dougherty, Chris_SOFTWARE_IT-SFT1009-86-OG-US/46/PF"/>
        <s v="Dougherty, Chris_SOFTWARE_IT-SFT1009-86-OG-US/FV"/>
        <s v="Dougherty, Chris_SOFTWARE_IT-SFT1009-86-OG-US/FV/PF"/>
        <s v="Dougherty, Chris_SOFTWARE_IT-SFT1009-86-OG-US-CB"/>
        <s v="Dougherty, Chris_SOFTWARE_IT-SFT1010-86-OG-US"/>
        <s v="Dougherty, Chris_SOFTWARE_IT-SFT1012-86-OG-US"/>
        <s v="Dougherty, Chris_SOFTWARE_IT-SFT1023-86-OG-US"/>
        <s v="Dougherty, Chris_SOFTWARE_IT-SFT1023-86-OG-US/PF"/>
        <s v="Dougherty, Chris_SOFTWARE_IT-SFT1119-86-OG-US"/>
        <s v="Dougherty, Chris_SOFTWARE_IT-SFT1121-86-OG-US"/>
        <s v="Dougherty, Chris_SOFTWARE_IT-SFT1147-86-OG-US"/>
        <s v="Dougherty, Chris_SOFTWARE_IT-SFT1147-86-OG-US/PF"/>
        <s v="Dougherty, Chris_SOFTWARE_IT-SFT1172-86-OG-US"/>
        <s v="Dougherty, Chris_SOFTWARE_IT-SFT1172-86-OG-US/PF"/>
        <s v="Dougherty, Chris_SOFTWARE_IT-SFT1185-86-OG-US"/>
        <s v="Dougherty, Chris_SOFTWARE_IT-SFT1185-86-OG-US/01"/>
        <s v="Dougherty, Chris_SOFTWARE_IT-SFT1186-86-OG-US"/>
        <s v="Dougherty, Chris_SOFTWARE_IT-SFT1194-86-OG-US"/>
        <s v="Dougherty, Chris_SOFTWARE_IT-SFT1208-86-OG-US"/>
        <s v="Dougherty, Chris_SOFTWARE_IT-SFT1235-86-OG-US"/>
        <s v="Dougherty, Chris_SOFTWARE_IT-SFT1236-86-OG-US"/>
        <s v="Dougherty, Chris_SOFTWARE_IT-SFT1236-86-OG-US/PF"/>
        <s v="Dougherty, Chris_SOFTWARE_IT-SFT1237-86-US-00"/>
        <s v="Dougherty, Chris_SOFTWARE_IT-SFT1237-86-US-00/PF"/>
        <s v="Dougherty, Chris_SOFTWARE_IT-SFT1238-86-OG-US"/>
        <s v="Dougherty, Chris_SOFTWARE_IT-SFT1238-86-OG-US/PF"/>
        <s v="Dougherty, Chris_SOFTWARE_IT-SFT1239-86-OG-US"/>
        <s v="Dougherty, Chris_SOFTWARE_IT-SFT1240-86-OG-US"/>
        <s v="Dougherty, Chris_SOFTWARE_IT-SFT1247-86-OG-US"/>
        <s v="Dougherty, Chris_SOFTWARE_IT-SFT1249-86-OG-US"/>
        <s v="Dougherty, Chris_SOFTWARE_IT-SFT1249-86-OG-US/PF"/>
        <s v="Dougherty, Chris_SOFTWARE_IT-SFT1257-86-OG-US"/>
        <s v="Dougherty, Chris_SOFTWARE_IT-SFT1270-86-OG-US"/>
        <s v="Dougherty, Chris_SOFTWARE_IT-SFT1282-86-OG-US"/>
        <s v="Dougherty, Chris_SOFTWARE_IT-SFT1283-86-OG-US"/>
        <s v="Dougherty, Chris_SOFTWARE_IT-SFT1283-86-OG-US/PF"/>
        <s v="Dougherty, Chris_SOFTWARE_IT-SFT1284-86-OG-US"/>
        <s v="Dougherty, Chris_SOFTWARE_IT-SFT1284-86-OG-US/PF"/>
        <s v="Dougherty, Chris_SOFTWARE_IT-SFT1401-OG-US-00"/>
        <s v="Dougherty, Chris_SOFTWARE_IT-SFT1401-OG-US-00/PF"/>
        <s v="Dougherty, Chris_SOFTWARE_IT-SFT1402-OG-US-00"/>
        <s v="Dougherty, Chris_SOFTWARE_IT-SFT1406-OG-US-00"/>
        <s v="Dougherty, Chris_SOFTWARE_IT-SFT1408-OG-US-00"/>
        <s v="Dougherty, Chris_SOFTWARE_IT-SFT1410-OG-US-00"/>
        <s v="Dougherty, Chris_SOFTWARE_IT-SFT1410-OG-US-00/PF"/>
        <s v="Dougherty, Chris_SOFTWARE_IT-SFT1412-OG-US-00"/>
        <s v="Dougherty, Chris_SOFTWARE_IT-SFT1413-OG-US-00"/>
        <s v="Dougherty, Chris_SOFTWARE_IT-SFT1414-OG-US-00"/>
        <s v="Dougherty, Chris_SOFTWARE_IT-SFT1414-OG-US-00/PF"/>
        <s v="Dougherty, Chris_SOFTWARE_IT-SFT1415-OG-US-00"/>
        <s v="Dougherty, Chris_SOFTWARE_IT-SFT1416-OG-US-00"/>
        <s v="Dougherty, Chris_SOFTWARE_IT-SFT1434-OG-US-00"/>
        <s v="Dougherty, Chris_SOFTWARE_IT-SFT1441-OG-US-00"/>
        <s v="Dougherty, Chris_SOFTWARE_IT-SFT1445-OG-US-00"/>
        <s v="Dougherty, Chris_SOFTWARE_IT-SFT1457-OG-US-00"/>
        <s v="Dougherty, Chris_SOFTWARE_IT-SFT1457-OG-US-00/PF"/>
        <s v="Dougherty, Chris_SOFTWARE_MISC001"/>
        <s v="Jajodia, Amit_COMPENSATION_CompBenefits001"/>
        <s v="Jajodia, Amit_COMPENSATION_CompBonus001"/>
        <s v="Jajodia, Amit_COMPENSATION_CompSalary001"/>
        <s v="Ganesan, Srinivasan_CONTRACTORS_2026-XFR-0023-A"/>
        <s v="Ganesan, Srinivasan_CONTRACTORS_2026-XFR-0024-A"/>
        <s v="Ganesan, Srinivasan_CONTRACTORS_2026-XFR-0043-A"/>
        <s v="Ganesan, Srinivasan_CONTRACTORS_2026-XFR-0051-A"/>
        <s v="Ganesan, Srinivasan_CONTRACTORS_EnhanceChargeout001"/>
        <s v="Ganesan, Srinivasan_CONTRACTORS_IT-CTR0040-OG-US-00"/>
        <s v="Ganesan, Srinivasan_CONTRACTORS_IT-CTR0045-OG-US-00"/>
        <s v="Ganesan, Srinivasan_CONTRACTORS_IT-CTR0049-OG-US-00"/>
        <s v="Ganesan, Srinivasan_CONTRACTORS_IT-CTR0075-OG-MX-00"/>
        <s v="Ganesan, Srinivasan_CONTRACTORS_IT-CTR0076-OG-MX-00"/>
        <s v="Ganesan, Srinivasan_CONTRACTORS_IT-CTR0077-OG-MX-00"/>
        <s v="Ganesan, Srinivasan_CONTRACTORS_IT-CTR0149-OG-US-00"/>
        <s v="Ganesan, Srinivasan_CONTRACTORS_IT-CTR0153-OG-US-00"/>
        <s v="Ganesan, Srinivasan_CONTRACTORS_IT-FBT0544-OG-US-00"/>
        <s v="Ganesan, Srinivasan_CONTRACTORS_IT-FBT0545-OG-US-00"/>
        <s v="Ganesan, Srinivasan_CONTRACTORS_IT-FBT0546-OG-US-00"/>
        <s v="Ganesan, Srinivasan_CONTRACTORS_IT-FBT0657-OG-US-00"/>
        <s v="Ganesan, Srinivasan_CONTRACTORS_IT-FBT0661-OG-US-00"/>
        <s v="Ganesan, Srinivasan_CONTRACTORS_IT-FBT0778-OT-US-00"/>
        <s v="Ganesan, Srinivasan_CONTRACTORS_IT-FBT0784-OG-US-00"/>
        <s v="Ganesan, Srinivasan_CONTRACTORS_IT-FBT0790-OG-US-00"/>
        <s v="Ganesan, Srinivasan_CONTRACTORS_IT-SFT1205-86-OG-US"/>
        <s v="Ganesan, Srinivasan_CONTRACTORS_MISC001"/>
        <s v="Ganesan, Srinivasan_CONTRACTORS_POClosure001"/>
        <s v="Jajodia, Amit_TELECOMMUNICATIONS_Telecom001"/>
        <s v="Jajodia, Amit_TRAVEL &amp; ENTERTAINMENT_TravelEnt001"/>
        <s v="Ganesan, Srinivasan_MANAGED SERVICES_EnhanceChargeout001"/>
        <s v="Ganesan, Srinivasan_MANAGED SERVICES_EP&amp;SCharges001"/>
        <s v="Ganesan, Srinivasan_MANAGED SERVICES_IT-FBT0658-OG-US-00"/>
        <s v="Ganesan, Srinivasan_MANAGED SERVICES_IT-FBT0659-OG-US-00"/>
        <s v="Ganesan, Srinivasan_MANAGED SERVICES_IT-FBT0660-OG-US-00"/>
        <s v="Ganesan, Srinivasan_MANAGED SERVICES_IT-FBT0661-OG-US-00"/>
        <s v="Ganesan, Srinivasan_MANAGED SERVICES_IT-FBT0778-OT-US-00"/>
        <s v="Ganesan, Srinivasan_MANAGED SERVICES_IT-FBT0779-OT-US-00"/>
        <s v="Ganesan, Srinivasan_MANAGED SERVICES_IT-FBT0793-OG-US-00"/>
        <s v="Ganesan, Srinivasan_MANAGED SERVICES_IT-FBT0793-OG-US-00/CB"/>
        <s v="Ganesan, Srinivasan_MANAGED SERVICES_IT-FBT0798-OG-BE-00"/>
        <s v="Ganesan, Srinivasan_MANAGED SERVICES_IT-FBT0799-OG-MX-00"/>
        <s v="Ganesan, Srinivasan_MANAGED SERVICES_IT-FGS0301-OG-US-00"/>
        <s v="Ganesan, Srinivasan_MANAGED SERVICES_MISC001"/>
        <s v="Ganesan, Srinivasan_MANAGED SERVICES_PR-252001-0000007901"/>
        <s v="Ganesan, Srinivasan_OTHER_Others001"/>
        <s v="Ganesan, Srinivasan_SOFTWARE_"/>
        <s v="Ganesan, Srinivasan_SOFTWARE_ColleagueSolutions001"/>
        <s v="Ganesan, Srinivasan_SOFTWARE_EnhanceChargeout001"/>
        <s v="Ganesan, Srinivasan_SOFTWARE_EP&amp;SCharges001"/>
        <s v="Dougherty, Chris_DEPRECIATION_ERP_Depre001"/>
        <s v="Ganesan, Srinivasan_SOFTWARE_IT-FBT0658-OG-US-00"/>
        <s v="Ganesan, Srinivasan_SOFTWARE_IT-FBT0784-OG-US-00"/>
        <s v="Ganesan, Srinivasan_SOFTWARE_IT-FGS0300-SW-US-00"/>
        <s v="Ganesan, Srinivasan_SOFTWARE_IT-FGS0302-SW-US-00"/>
        <s v="Ganesan, Srinivasan_SOFTWARE_IT-SFT0486-86-OG-MX"/>
        <s v="Ganesan, Srinivasan_SOFTWARE_IT-SFT1042-02-OG-US"/>
        <s v="Ganesan, Srinivasan_SOFTWARE_IT-SFT1126-86-OG-US"/>
        <s v="Ganesan, Srinivasan_SOFTWARE_IT-SFT1194-86-OG-US"/>
        <s v="Ganesan, Srinivasan_SOFTWARE_IT-SFT1205-86-OG-US"/>
        <s v="Ganesan, Srinivasan_SOFTWARE_IT-SFT1224-86-OG-US"/>
        <s v="Ganesan, Srinivasan_SOFTWARE_IT-SFT1262-86-OG-US"/>
        <s v="Ganesan, Srinivasan_SOFTWARE_IT-SFT1266-86-OG-US"/>
        <s v="Ganesan, Srinivasan_SOFTWARE_IT-SFT1267-86-OG-US"/>
        <s v="Ganesan, Srinivasan_SOFTWARE_IT-SFT1269-86-OG-US"/>
        <s v="Ganesan, Srinivasan_SOFTWARE_IT-SFT1269-86-OG-US/PF"/>
        <s v="Ganesan, Srinivasan_SOFTWARE_IT-SFT1281-86-OG-US"/>
        <s v="Ganesan, Srinivasan_SOFTWARE_MISC001"/>
        <s v="Hase, Raj_CONTRACTORS_ColleagueSolutions001"/>
        <s v="Hase, Raj_CONTRACTORS_EnhanceChargeout001"/>
        <s v="Hase, Raj_CONTRACTORS_EP&amp;SCharges001"/>
        <s v="Hase, Raj_CONTRACTORS_IT-FBT0450-OG-US-00"/>
        <s v="Hase, Raj_CONTRACTORS_MISC001"/>
        <s v="Hase, Raj_CONTRACTORS_POClosure001"/>
        <s v="Hase, Raj_MANAGED SERVICES_2026-XFR-0014-A"/>
        <s v="Hase, Raj_MANAGED SERVICES_2026-XFR-0033-A"/>
        <s v="Hase, Raj_MANAGED SERVICES_2026-XFR-0035-A"/>
        <s v="Hase, Raj_MANAGED SERVICES_BILLINGSWEEP006"/>
        <s v="Hase, Raj_MANAGED SERVICES_CE-BTF22001-02-EX"/>
        <s v="Hase, Raj_MANAGED SERVICES_EnhanceChargeout001"/>
        <s v="Hase, Raj_MANAGED SERVICES_EP&amp;SCharges001"/>
        <s v="Hase, Raj_MANAGED SERVICES_IT-FBT0157-OG-US-00"/>
        <s v="Hase, Raj_MANAGED SERVICES_IT-FBT0450-OG-US-00"/>
        <s v="Hase, Raj_MANAGED SERVICES_IT-FBT0769-OT-US-00"/>
        <s v="Hase, Raj_MANAGED SERVICES_IT-FBT0824-OT-US-00"/>
        <s v="Hase, Raj_MANAGED SERVICES_IT-FGS0299-OG-US-00"/>
        <s v="Hase, Raj_MANAGED SERVICES_IT-FGS0301-OG-US-00"/>
        <s v="Hase, Raj_MANAGED SERVICES_IT-MGS0210-OG-US-00"/>
        <s v="Hase, Raj_MANAGED SERVICES_IT-SFT1436-OG-US-00"/>
        <s v="Hase, Raj_MANAGED SERVICES_MISC001"/>
        <s v="Hase, Raj_OTHER_Others001"/>
        <s v="Hase, Raj_SOFTWARE_2026-XFR-0014-B"/>
        <s v="Hase, Raj_SOFTWARE_2026-XFR-0015-A"/>
        <s v="Hase, Raj_SOFTWARE_2026-XFR-LD001"/>
        <s v="Hase, Raj_SOFTWARE_2026-XFR-LD002"/>
        <s v="Hase, Raj_SOFTWARE_ColleagueSolutions001"/>
        <s v="Hase, Raj_SOFTWARE_EnhanceChargeout001"/>
        <s v="Hase, Raj_SOFTWARE_EP&amp;SCharges001"/>
        <s v="Hase, Raj_SOFTWARE_IT-DATAIKU-01"/>
        <s v="Hase, Raj_SOFTWARE_IT-FGS0298-SW-US-00"/>
        <s v="Hase, Raj_SOFTWARE_IT-FGS0300-SW-US-00"/>
        <s v="Hase, Raj_SOFTWARE_IT-SFT1139-86-OG-US"/>
        <s v="Hase, Raj_SOFTWARE_IT-SFT1194-86-OG-US"/>
        <s v="Hase, Raj_SOFTWARE_IT-SFT1449-OG-US-00"/>
        <s v="Hase, Raj_SOFTWARE_IT-SFT1449-OG-US-00/PF"/>
        <s v="Hase, Raj_SOFTWARE_MISC001"/>
        <s v="Herman, Shaun_CONTRACTORS_EP&amp;SCharges001"/>
        <s v="Herman, Shaun_CONTRACTORS_IT-CTR0024-OG-US-00"/>
        <s v="Herman, Shaun_CONTRACTORS_IT-CTR0037-OG-US-00"/>
        <s v="Herman, Shaun_CONTRACTORS_IT-CTR0039-OG-US-00"/>
        <s v="Herman, Shaun_CONTRACTORS_IT-CTR0046-OG-US-00"/>
        <s v="Herman, Shaun_CONTRACTORS_IT-FBT0262-OG-US-00"/>
        <s v="Herman, Shaun_CONTRACTORS_IT-FBT0541-OG-US-00"/>
        <s v="Herman, Shaun_CONTRACTORS_IT-FBT0702-OG-US-00"/>
        <s v="Herman, Shaun_CONTRACTORS_IT-FBT0779-OT-US-00"/>
        <s v="Herman, Shaun_CONTRACTORS_IT-OTH0063-OG-US-00"/>
        <s v="Herman, Shaun_CONTRACTORS_IT-PBS0936-OT-US-00"/>
        <s v="Herman, Shaun_CONTRACTORS_MISC001"/>
        <s v="Herman, Shaun_CONTRACTORS_POClosure001"/>
        <s v="Herman, Shaun_MANAGED SERVICES_EP&amp;SCharges001"/>
        <s v="Herman, Shaun_MANAGED SERVICES_IT-FBT0262-OG-US-00"/>
        <s v="Herman, Shaun_MANAGED SERVICES_IT-FBT0541-OG-US-00"/>
        <s v="Herman, Shaun_MANAGED SERVICES_IT-FGS0299-OG-US-00"/>
        <s v="Herman, Shaun_MANAGED SERVICES_IT-FGS0301-OG-US-00"/>
        <s v="Herman, Shaun_MANAGED SERVICES_MISC001"/>
        <s v="Herman, Shaun_SOFTWARE_ColleagueSolutions001"/>
        <s v="Herman, Shaun_SOFTWARE_IT-SFT1194-86-OG-US"/>
        <s v="Herman, Shaun_SOFTWARE_MISC001"/>
        <s v="Hovanyetz, Mike_CONTRACTORS_EnhanceChargeout001"/>
        <s v="Hovanyetz, Mike_CONTRACTORS_IT-CTR0151-OG-US-00"/>
        <s v="Hovanyetz, Mike_CONTRACTORS_IT-FBT0450-OG-US-00"/>
        <s v="Hovanyetz, Mike_CONTRACTORS_IT-SFT1458-OG-US-00"/>
        <s v="Hovanyetz, Mike_CONTRACTORS_IT-SFT1459-OG-US-00"/>
        <s v="Hovanyetz, Mike_CONTRACTORS_MISC001"/>
        <s v="Hovanyetz, Mike_MANAGED SERVICES_2026-XFR-0017-C"/>
        <s v="Hovanyetz, Mike_MANAGED SERVICES_2026-XFR-0017-D"/>
        <s v="Hovanyetz, Mike_MANAGED SERVICES_2026-XFR-0020-A"/>
        <s v="Hovanyetz, Mike_MANAGED SERVICES_EnhanceChargeout001"/>
        <s v="Hovanyetz, Mike_MANAGED SERVICES_EP&amp;SCharges001"/>
        <s v="Hovanyetz, Mike_MANAGED SERVICES_IT-FBT0157-OG-US-00"/>
        <s v="Hovanyetz, Mike_MANAGED SERVICES_IT-FBT0450-OG-US-00"/>
        <s v="Hovanyetz, Mike_MANAGED SERVICES_IT-FBT0824-OT-US-00"/>
        <s v="Patel, Apurva_COMPENSATION_CompBenefitsCar001"/>
        <s v="Patel, Apurva_COMPENSATION_CompSalary001"/>
        <s v="Hovanyetz, Mike_MANAGED SERVICES_IT-FGS0301-OG-US-00"/>
        <s v="Hovanyetz, Mike_MANAGED SERVICES_MISC001"/>
        <s v="Patel, Apurva_DEPRECIATION_ERP_DepreAUC001"/>
        <s v="Hovanyetz, Mike_OTHER_IT-OTH0062-OG-US-00"/>
        <s v="Hovanyetz, Mike_OTHER_Others001"/>
        <s v="Hovanyetz, Mike_SOFTWARE_2026-XFR-0017-A"/>
        <s v="Hovanyetz, Mike_SOFTWARE_2026-XFR-0017-B"/>
        <s v="Hovanyetz, Mike_SOFTWARE_2026-XFR-0034-A"/>
        <s v="Hovanyetz, Mike_SOFTWARE_2026-XFR-0059-A"/>
        <s v="Hovanyetz, Mike_SOFTWARE_2026-XFR-LD001"/>
        <s v="Hovanyetz, Mike_SOFTWARE_2026-XFR-LD002"/>
        <s v="Hovanyetz, Mike_SOFTWARE_EnhanceChargeout001"/>
        <s v="Hovanyetz, Mike_SOFTWARE_IT-FGS0300-SW-US-00"/>
        <s v="Hovanyetz, Mike_SOFTWARE_IT-FGS0302-SW-US-00"/>
        <s v="Hovanyetz, Mike_SOFTWARE_IT-SFT1040-02-OG-US"/>
        <s v="Hovanyetz, Mike_SOFTWARE_IT-SFT1040-02-OG-US/PF"/>
        <s v="Hovanyetz, Mike_SOFTWARE_IT-SFT1194-86-OG-US"/>
        <s v="Hovanyetz, Mike_SOFTWARE_IT-SFT1458-OG-US-00"/>
        <s v="Hovanyetz, Mike_SOFTWARE_IT-SFT1459-OG-US-00"/>
        <s v="Hovanyetz, Mike_SOFTWARE_IT-SFT1461-OG-US-00"/>
        <s v="Hovanyetz, Mike_SOFTWARE_IT-SFT1462-OG-US-00"/>
        <s v="Hovanyetz, Mike_SOFTWARE_MISC001"/>
        <s v="Jajodia, Amit_CONTRACTORS_2026-XFR-0028-A"/>
        <s v="Jajodia, Amit_CONTRACTORS_2026-XFR-0050-A"/>
        <s v="Jajodia, Amit_CONTRACTORS_2026-XFR-0053-A"/>
        <s v="Jajodia, Amit_CONTRACTORS_2026-XFR-0054-A"/>
        <s v="Patel, Apurva_TELECOMMUNICATIONS_PR-320001-0000007901"/>
        <s v="Jajodia, Amit_CONTRACTORS_EnhanceChargeout001"/>
        <s v="Patel, Apurva_TRAVEL &amp; ENTERTAINMENT_TravelEnt001_Reserve"/>
        <s v="Patel, Apurva_COMPENSATION_VacancyFactor001"/>
        <s v="Jajodia, Amit_CONTRACTORS_IT-CTR0023-OG-US-00"/>
        <s v="Jajodia, Amit_CONTRACTORS_IT-CTR0027-OG-US-00"/>
        <s v="Jajodia, Amit_CONTRACTORS_IT-CTR0030-OG-US-00"/>
        <s v="Jajodia, Amit_CONTRACTORS_IT-CTR0031-OG-US-00"/>
        <s v="Jajodia, Amit_CONTRACTORS_IT-CTR0034-OG-US-00"/>
        <s v="Jajodia, Amit_CONTRACTORS_IT-CTR0041-OG-US-00"/>
        <s v="Jajodia, Amit_CONTRACTORS_IT-CTR0045-OG-US-00"/>
        <s v="Jajodia, Amit_CONTRACTORS_IT-CTR0090-OG-US-00"/>
        <s v="Jajodia, Amit_CONTRACTORS_IT-FBT0757-OG-US-00"/>
        <s v="Jajodia, Amit_CONTRACTORS_IT-FBT0771-OG-US-00"/>
        <s v="Jajodia, Amit_CONTRACTORS_IT-FBT0785-OG-US-00"/>
        <s v="Jajodia, Amit_CONTRACTORS_MISC001"/>
        <s v="Jajodia, Amit_CONTRACTORS_POClosure001"/>
        <s v="Jajodia, Amit_MANAGED SERVICES_EnhanceChargeout001"/>
        <s v="Jajodia, Amit_MANAGED SERVICES_IT-FBT0659-OG-US-00"/>
        <s v="Jajodia, Amit_MANAGED SERVICES_IT-FBT0660-OG-US-00"/>
        <s v="Jajodia, Amit_MANAGED SERVICES_IT-FBT0772-OG-US-00"/>
        <s v="Jajodia, Amit_MANAGED SERVICES_IT-FGS0301-OG-US-00"/>
        <s v="Jajodia, Amit_OTHER_Others001"/>
        <s v="Jajodia, Amit_RENT AND UTILITIES_KM_CompanyCar001"/>
        <s v="Jajodia, Amit_RENT AND UTILITIES_MISC001"/>
        <s v="Jajodia, Amit_SOFTWARE_2026-XFR-0032-A"/>
        <s v="Jajodia, Amit_SOFTWARE_EnhanceChargeout001"/>
        <s v="Jajodia, Amit_SOFTWARE_IT-FGS0300-SW-US-00"/>
        <s v="Jajodia, Amit_SOFTWARE_IT-FGS0302-SW-US-00"/>
        <s v="Jajodia, Amit_SOFTWARE_IT-SFT1194-86-OG-US"/>
        <s v="Jajodia, Amit_SOFTWARE_MISC001"/>
        <s v="Patel, Apurva_CONTRACTORS_CC-BTF25001-02-EX"/>
        <s v="Patel, Apurva_CONTRACTORS_CE-BTF22001-02-EX"/>
        <s v="Patel, Apurva_CONTRACTORS_CE-BTF24000-02-EX"/>
        <s v="Robertson, Jerome_COMPENSATION_CompBenefits001"/>
        <s v="Robertson, Jerome_COMPENSATION_CompBonus001"/>
        <s v="Robertson, Jerome_COMPENSATION_CompSalary001"/>
        <s v="Patel, Apurva_CONTRACTORS_CE-BTF24002-02-EX"/>
        <s v="Patel, Apurva_CONTRACTORS_CE-BTF24003-02-EX"/>
        <s v="Patel, Apurva_CONTRACTORS_CE-BTF26000-02-EX"/>
        <s v="Patel, Apurva_CONTRACTORS_EP&amp;SCharges001"/>
        <s v="Patel, Apurva_CONTRACTORS_ERP_Digital Funded Project_002"/>
        <s v="Patel, Apurva_CONTRACTORS_ERP_DigitalFundedProject001"/>
        <s v="Patel, Apurva_CONTRACTORS_ERP_ProjectQuantaME001"/>
        <s v="Patel, Apurva_CONTRACTORS_IT-CTR0034-OG-US-00"/>
        <s v="Patel, Apurva_CONTRACTORS_IT-CTR0041-OG-US-00"/>
        <s v="Patel, Apurva_CONTRACTORS_IT-CTR0089-OG-US-00"/>
        <s v="Patel, Apurva_CONTRACTORS_IT-CTR0124-OT-US-00"/>
        <s v="Patel, Apurva_CONTRACTORS_IT-FBT0748-OT-US-00"/>
        <s v="Patel, Apurva_CONTRACTORS_IT-FBT0934-OT-US-00"/>
        <s v="Patel, Apurva_CONTRACTORS_IT-FBT0992-OT-US-00"/>
        <s v="Patel, Apurva_CONTRACTORS_IT-FBT1017-OT-US-00"/>
        <s v="Patel, Apurva_CONTRACTORS_IT-FBU0828-OT-US-00"/>
        <s v="Patel, Apurva_CONTRACTORS_IT-FBU0966-OT-US-00"/>
        <s v="Patel, Apurva_CONTRACTORS_IT-PBU0901-OT-US-00"/>
        <s v="Patel, Apurva_CONTRACTORS_IT-PBU1059-OT-US-00"/>
        <s v="Patel, Apurva_CONTRACTORS_IT-PBU1070-OT-IE-00"/>
        <s v="Robertson, Jerome_TELECOMMUNICATIONS_Telecom001"/>
        <s v="Robertson, Jerome_TRAVEL &amp; ENTERTAINMENT_TravelEnt001"/>
        <s v="Patel, Apurva_CONTRACTORS_MISC001"/>
        <s v="Patel, Apurva_CONTRACTORS_PR-320001-0000007901"/>
        <s v="Patel, Apurva_CONTRACTORS_PR-587101-0000007986"/>
        <s v="Patel, Apurva_HW MAINTENANCE_BillingSweep005"/>
        <s v="Patel, Apurva_HW MAINTENANCE_BILLINGSWEEP011"/>
        <s v="Patel, Apurva_HW MAINTENANCE_BILLINGSWEEP016"/>
        <s v="Patel, Apurva_HW MAINTENANCE_BILLINGSWEEP017"/>
        <s v="Patel, Apurva_HW MAINTENANCE_BillSweepMisc"/>
        <s v="Patel, Apurva_HW MAINTENANCE_IT-FGS0299-OG-US-00"/>
        <s v="Patel, Apurva_HW MAINTENANCE_IT-HRD0058-OG-US-00"/>
        <s v="Patel, Apurva_HW MAINTENANCE_MISC001"/>
        <s v="Patel, Apurva_MANAGED SERVICES_BILLINGREV001"/>
        <s v="Patel, Apurva_MANAGED SERVICES_BillingSweep005"/>
        <s v="Patel, Apurva_MANAGED SERVICES_BILLINGSWEEP011"/>
        <s v="Patel, Apurva_MANAGED SERVICES_BILLINGSWEEP021"/>
        <s v="Patel, Apurva_MANAGED SERVICES_BillSweepMisc"/>
        <s v="Patel, Apurva_MANAGED SERVICES_CC-BTF25001-02-EX"/>
        <s v="Patel, Apurva_MANAGED SERVICES_CE-BTF22001-02-EX"/>
        <s v="Patel, Apurva_MANAGED SERVICES_CE-BTF24003-02-EX"/>
        <s v="Patel, Apurva_MANAGED SERVICES_EP&amp;SCharges001"/>
        <s v="Patel, Apurva_MANAGED SERVICES_IT-FBT0285-OG-ES-00"/>
        <s v="Patel, Apurva_MANAGED SERVICES_IT-FBT0286-OG-BE-00"/>
        <s v="Patel, Apurva_MANAGED SERVICES_IT-FBT0798-OG-BE-00"/>
        <s v="Patel, Apurva_MANAGED SERVICES_IT-FBT0830-OT-US-00"/>
        <s v="Patel, Apurva_MANAGED SERVICES_IT-FBT0980-OT-US-00"/>
        <s v="Patel, Apurva_MANAGED SERVICES_IT-FBT1017-OT-US-00"/>
        <s v="Patel, Apurva_MANAGED SERVICES_IT-FGS0299-OG-US-00"/>
        <s v="Patel, Apurva_MANAGED SERVICES_IT-FGS0301-OG-US-00"/>
        <s v="Patel, Apurva_MANAGED SERVICES_IT-MGS0158-OG-US-00"/>
        <s v="Patel, Apurva_MANAGED SERVICES_IT-MGS0208-OG-US-00"/>
        <s v="Patel, Apurva_MANAGED SERVICES_IT-SFT1442-OG-US-00"/>
        <s v="Patel, Apurva_MANAGED SERVICES_MISC001"/>
        <s v="Patel, Apurva_MANAGED SERVICES_OnetimeCredit002"/>
        <s v="Patel, Apurva_MANAGED SERVICES_PR-587101-0000007986"/>
        <s v="Patel, Apurva_OTHER_"/>
        <s v="Patel, Apurva_OTHER_NondigitalCatering001"/>
        <s v="Patel, Apurva_OTHER_Others001"/>
        <s v="Patel, Apurva_OTHER_PR-587101-0000007986"/>
        <s v="Patel, Apurva_RENT AND UTILITIES_MISC001"/>
        <s v="Patel, Apurva_RENT AND UTILITIES_PR-320001-0000007986"/>
        <s v="Patel, Apurva_RENT AND UTILITIES_PR-587101-0000007986"/>
        <s v="Patel, Apurva_SOFTWARE_BILLINGREV001CN"/>
        <s v="Patel, Apurva_SOFTWARE_BILLINGREV009B"/>
        <s v="Patel, Apurva_SOFTWARE_BillingSweep001"/>
        <s v="Patel, Apurva_SOFTWARE_BillingSweep002"/>
        <s v="Patel, Apurva_SOFTWARE_BILLINGSWEEP005"/>
        <s v="Patel, Apurva_SOFTWARE_BILLINGSWEEP006"/>
        <s v="Patel, Apurva_SOFTWARE_BILLINGSWEEP021"/>
        <s v="Patel, Apurva_SOFTWARE_BillSweepMisc"/>
        <s v="Patel, Apurva_SOFTWARE_CE-BTF22001-02-EX"/>
        <s v="Patel, Apurva_SOFTWARE_ColleagueSolutions001"/>
        <s v="Patel, Apurva_SOFTWARE_ERP_Amort001"/>
        <s v="Patel, Apurva_SOFTWARE_IT-FBT0980-OT-US-00"/>
        <s v="Patel, Apurva_SOFTWARE_IT-FGS0299-OG-US-00"/>
        <s v="Patel, Apurva_SOFTWARE_IT-FGS0300-SW-US-00"/>
        <s v="Patel, Apurva_SOFTWARE_IT-FGS0302-SW-US-00"/>
        <s v="Patel, Apurva_SOFTWARE_IT-MGS0208-OG-US-00"/>
        <s v="Patel, Apurva_SOFTWARE_IT-SFT1194-86-OG-US"/>
        <s v="Patel, Apurva_SOFTWARE_IT-SFT1220-86-OG-US"/>
        <s v="Patel, Apurva_SOFTWARE_IT-SFT1346-OG-US-00"/>
        <s v="Patel, Apurva_SOFTWARE_IT-SFT1347-OG-US-00"/>
        <s v="Patel, Apurva_SOFTWARE_IT-SFT1398-OG-US-00"/>
        <s v="Patel, Apurva_SOFTWARE_MISC001"/>
        <s v="Raj/Paul/Lynn_MANAGED SERVICES_2026-XFR-0063-A"/>
        <s v="Robertson, Jerome_CONTRACTORS_EnhanceChargeout001"/>
        <s v="Robertson, Jerome_CONTRACTORS_EP&amp;SCharges001"/>
        <s v="Robertson, Jerome_CONTRACTORS_IT-FBT0572-OG-US-00"/>
        <s v="Robertson, Jerome_CONTRACTORS_IT-FBT0573-OG-US-00"/>
        <s v="Robertson, Jerome_CONTRACTORS_MISC001"/>
        <s v="Robertson, Jerome_HW MAINTENANCE_EP&amp;SCharges001"/>
        <s v="Robertson, Jerome_HW MAINTENANCE_IT-FGS0299-OG-US-00"/>
        <s v="Robertson, Jerome_HW MAINTENANCE_MISC001"/>
        <s v="Robertson, Jerome_MANAGED SERVICES_IT-FBT0573-OG-US-00"/>
        <s v="Robertson, Jerome_MANAGED SERVICES_IT-FBT0573-OG-US-00-CB"/>
        <s v="Robertson, Jerome_MANAGED SERVICES_IT-FGS0301-OG-US-00"/>
        <s v="Robertson, Jerome_MANAGED SERVICES_IT-MGS0165-OG-US-00"/>
        <s v="Robertson, Jerome_MANAGED SERVICES_MISC001"/>
        <s v="Robertson, Jerome_OTHER_Others001"/>
        <s v="Robertson, Jerome_SOFTWARE_ColleagueSolutions001"/>
        <s v="Robertson, Jerome_SOFTWARE_IT-FGS0300-SW-US-00"/>
        <s v="Robertson, Jerome_SOFTWARE_IT-FGS0302-SW-US-00"/>
        <s v="Robertson, Jerome_SOFTWARE_IT-MGS0167-OG-US-00"/>
        <s v="Robertson, Jerome_SOFTWARE_IT-SFT1194-86-OG-US"/>
        <s v="Robertson, Jerome_SOFTWARE_IT-SFT1453-OG-US-00"/>
        <s v="Robertson, Jerome_SOFTWARE_MISC001"/>
      </sharedItems>
    </cacheField>
    <cacheField name="Previous Match" numFmtId="0">
      <sharedItems/>
    </cacheField>
    <cacheField name="CCL3" numFmtId="49">
      <sharedItems/>
    </cacheField>
    <cacheField name="LT Apurva" numFmtId="49">
      <sharedItems/>
    </cacheField>
    <cacheField name="LT1 Apurva " numFmtId="49">
      <sharedItems/>
    </cacheField>
    <cacheField name="LT2Apurva" numFmtId="49">
      <sharedItems/>
    </cacheField>
    <cacheField name="LT Member*" numFmtId="0">
      <sharedItems/>
    </cacheField>
    <cacheField name="LT Member -1*" numFmtId="0">
      <sharedItems/>
    </cacheField>
    <cacheField name="Point of Contact" numFmtId="0">
      <sharedItems/>
    </cacheField>
    <cacheField name="Expense Category" numFmtId="0">
      <sharedItems count="11">
        <s v="CONTRACTORS"/>
        <s v="TRAVEL &amp; ENTERTAINMENT"/>
        <s v="COMPENSATION"/>
        <s v="DEPRECIATION"/>
        <s v="OUTSIDE COUNSEL"/>
        <s v="TELECOMMUNICATIONS"/>
        <s v="HW MAINTENANCE"/>
        <s v="MANAGED SERVICES"/>
        <s v="OTHER"/>
        <s v="SOFTWARE"/>
        <s v="RENT AND UTILITIES"/>
      </sharedItems>
    </cacheField>
    <cacheField name="Description*" numFmtId="0">
      <sharedItems containsBlank="1"/>
    </cacheField>
    <cacheField name="Vendor*" numFmtId="0">
      <sharedItems containsBlank="1"/>
    </cacheField>
    <cacheField name="Cost Center*" numFmtId="0">
      <sharedItems containsBlank="1" containsMixedTypes="1" containsNumber="1" containsInteger="1" minValue="2321403" maxValue="2430238"/>
    </cacheField>
    <cacheField name="Project Code*" numFmtId="49">
      <sharedItems containsBlank="1" count="363">
        <s v="ColleagueSolutions001"/>
        <s v="EnhanceChargeout001"/>
        <s v="CE-BTS23000-02-EX-GR"/>
        <s v="CompBenefits001"/>
        <s v="CompBonus001"/>
        <s v="ERP_Depre001"/>
        <s v="EP&amp;SCharges001"/>
        <s v="IT-CTR0044-OG-US-00"/>
        <s v="IT-CTR0067-OG-CR-00"/>
        <s v="IT-CTR0093-OG-US-00"/>
        <s v="IT-CTR0094-OG-US-00"/>
        <s v="IT-CTR0096-OG-US-00"/>
        <s v="IT-CTR0097-OG-US-00"/>
        <s v="IT-CTR0098-OG-US-00"/>
        <s v="IT-CTR0099-OG-US-00"/>
        <s v="IT-CTR0101-OG-US-00"/>
        <s v="IT-CTR0102-OG-US-00"/>
        <s v="IT-CTR0103-OG-US-00"/>
        <s v="IT-CTR0105-OG-US-00"/>
        <s v="IT-CTR0130-OG-US-00"/>
        <s v="IT-CTR0132-OT-US-00"/>
        <s v="IT-CTR0132-OT-US-00/BDC"/>
        <s v="IT-PBU1070-OT-IE-00"/>
        <s v="IT-CTR0132-OT-US-00/Colalborate 360"/>
        <s v="IT-CTR0132-OT-US-00/iERP"/>
        <s v="IT-CTR0132-OT-US-00/S4 Innovation"/>
        <s v="IT-CTR0132-OT-US-01"/>
        <s v="IT-CTR0132-OT-US-02"/>
        <s v="IT-CTR0132-OT-US-03"/>
        <s v="IT-CTR0132-OT-US-04"/>
        <s v="IT-CTR0140-OT-US-00"/>
        <s v="IT-CTR0147-OG-US-00"/>
        <s v="IT-CTR0148-OG-US-00"/>
        <s v="IT-CTR0150-OG-US-00"/>
        <s v="IT-FBT0066-OG-IN-00"/>
        <s v="Others001"/>
        <s v="IT-FBT0213-OG-US-00"/>
        <s v="PR-320001-0000007986"/>
        <s v="IT-FBT0219-OG-US-00"/>
        <s v="IT-FBT0245-OG-US-00"/>
        <s v="PR-587101-0000007986"/>
        <s v="IT-FBT0393-OG-JP-00"/>
        <s v="Telecom001"/>
        <s v="TravelEnt001"/>
        <s v="IT-FBT0509-OG-US-00"/>
        <s v="IT-FBT0636-OG-IN-00"/>
        <s v="IT-FBT0637-OG-IN-00"/>
        <s v="IT-FBT0770-OT-US-00"/>
        <s v="IT-FBT0780-OT-US-00"/>
        <s v="IT-FBT0801-OG-US-00"/>
        <s v="IT-FBT0826-OG-US-00"/>
        <s v="IT-FBT0831-OT-US-00"/>
        <s v="IT-FBT0832-OT-US-00"/>
        <s v="IT-MGS0168-OG-US-00"/>
        <s v="MISC001"/>
        <s v="CompSalary001"/>
        <s v="POClosure001"/>
        <s v="2026-XFR-ML001"/>
        <s v="2026-XFR-ML002"/>
        <s v="2026-XFR-ML003"/>
        <s v="BillingSweep005"/>
        <s v="BillingSweep011"/>
        <s v="BillingSweep012"/>
        <s v="BillingSweep016"/>
        <s v="BILLINGSWEEP017"/>
        <s v="BillingSweep019"/>
        <s v="BillSweepMisc"/>
        <s v="IT-FGS0299-OG-US-00"/>
        <s v="IT-HRD0003-OG-US-DH"/>
        <s v="IT-HRD0003-OG-US-DH/PF"/>
        <s v="IT-HRD0004-OG-US-SS"/>
        <s v="IT-HRD0004-OG-US-SS/PF"/>
        <s v="2026-XFR-0008-B"/>
        <s v="2026-XFR-0017-C"/>
        <s v="2026-XFR-0017-D"/>
        <s v="2026-XFR-0020-A"/>
        <s v="AD-RAOCBINT3-PD-15-US-00"/>
        <s v="AR-700001184-1400"/>
        <s v="BillingRev001"/>
        <s v="BillingRev019"/>
        <s v="BILLINGSWEEP006"/>
        <s v="BillingSweep021"/>
        <s v="IT-17BTF01-01"/>
        <s v="IT-FBT0074-OG-US-00"/>
        <s v="IT-FBT0210-OG-US-00"/>
        <s v="IT-FBT0281-OG-US-00"/>
        <s v="IT-FBT0282-OG-US-00"/>
        <s v="IT-FBT0288-OG-BE-00"/>
        <s v="IT-FBT0524-OG-US-00"/>
        <s v="IT-FBT0528-OG-US-00"/>
        <s v="IT-FBT0587-OG-US-00"/>
        <s v="IT-FBT0588-OG-US-00"/>
        <s v="IT-FBT0638-OG-JP-00"/>
        <s v="IT-FBT0651-OG-US-00"/>
        <s v="IT-FBT0665-OG-US-00"/>
        <s v="IT-FBT0675-OG-US-00"/>
        <s v="IT-FBT0693-OG-US-00"/>
        <s v="IT-FBT0700-OG-US-00"/>
        <s v="IT-FBT0753-OT-US-00"/>
        <s v="IT-FBT0769-OT-US-00"/>
        <s v="IT-FGS0296-OG-US-00"/>
        <s v="IT-FGS0301-OG-US-00"/>
        <s v="IT-HRD0005-OG-US-SS"/>
        <s v="IT-HRD0006-OG-US-DH"/>
        <s v="IT-MGS0202-OG-US-00"/>
        <s v="IT-MGS0203-OG-US-00"/>
        <s v="IT-MGS0204-OG-US-00"/>
        <s v="IT-MGS0205-OG-US-00"/>
        <s v="IT-MGS0207-OG-US-00"/>
        <s v="IT-MGS0209-OG-US-00"/>
        <s v="IT-SFT1282-86-OG-US"/>
        <s v="IT-SFT1434-OG-US-00"/>
        <s v="IT-SFT1010-86-OG-US"/>
        <s v="IT-SFT1249-86-OG-US"/>
        <m/>
        <s v="2026-XFR-0007-A"/>
        <s v="2026-XFR-0013-A"/>
        <s v="2026-XFR-0017-A"/>
        <s v="2026-XFR-0017-B"/>
        <s v="2026-XFR-0034-A"/>
        <s v="2026-XFR-0036-A"/>
        <s v="2026-XFR-KM001"/>
        <s v="BILLINGREV001CN"/>
        <s v="BILLINGREV009B"/>
        <s v="BillingSweep001"/>
        <s v="BillingSweep002"/>
        <s v="IT-FGS0298-SW-US-00"/>
        <s v="IT-FGS0300-SW-US-00"/>
        <s v="IT-FGS0302-SW-US-00"/>
        <s v="IT-SFT0159-86-OG-US"/>
        <s v="IT-SFT0159-86-OG-US/PF"/>
        <s v="IT-SFT0170-86-OG-US"/>
        <s v="IT-SFT0170-86-OG-US/PF"/>
        <s v="IT-SFT0673-86-OG-US"/>
        <s v="IT-SFT1003-86-OG-US"/>
        <s v="IT-SFT1003-86-OG-US/PF"/>
        <s v="IT-SFT1006-86-OG-US"/>
        <s v="IT-SFT1009-86-OG-US"/>
        <s v="IT-SFT1009-86-OG-US/02"/>
        <s v="IT-SFT1009-86-OG-US/02/PF"/>
        <s v="IT-SFT1009-86-OG-US/04"/>
        <s v="IT-SFT1009-86-OG-US/04/PF"/>
        <s v="IT-SFT1009-86-OG-US/05"/>
        <s v="IT-SFT1009-86-OG-US/05/PF"/>
        <s v="IT-SFT1009-86-OG-US/07"/>
        <s v="IT-SFT1009-86-OG-US/07/PF"/>
        <s v="IT-SFT1009-86-OG-US/08"/>
        <s v="IT-SFT1009-86-OG-US/08/PF"/>
        <s v="IT-SFT1009-86-OG-US/13"/>
        <s v="IT-SFT1009-86-OG-US/13/PF"/>
        <s v="IT-SFT1009-86-OG-US/17"/>
        <s v="IT-SFT1009-86-OG-US/17/PF"/>
        <s v="IT-SFT1009-86-OG-US/19"/>
        <s v="IT-SFT1009-86-OG-US/19/PF"/>
        <s v="IT-SFT1009-86-OG-US/23"/>
        <s v="IT-SFT1009-86-OG-US/23/PF"/>
        <s v="IT-SFT1009-86-OG-US/25"/>
        <s v="IT-SFT1009-86-OG-US/25/PF"/>
        <s v="IT-SFT1009-86-OG-US/29"/>
        <s v="IT-SFT1009-86-OG-US/29/PF"/>
        <s v="IT-SFT1009-86-OG-US/30"/>
        <s v="IT-SFT1009-86-OG-US/30/PF"/>
        <s v="IT-SFT1009-86-OG-US/32"/>
        <s v="IT-SFT1009-86-OG-US/32/PF"/>
        <s v="IT-SFT1009-86-OG-US/35"/>
        <s v="IT-SFT1009-86-OG-US/37"/>
        <s v="IT-SFT1009-86-OG-US/37/PF"/>
        <s v="IT-SFT1009-86-OG-US/38"/>
        <s v="IT-SFT1009-86-OG-US/38/PF"/>
        <s v="IT-SFT1009-86-OG-US/41"/>
        <s v="IT-SFT1009-86-OG-US/41/PF"/>
        <s v="IT-SFT1009-86-OG-US/45"/>
        <s v="IT-SFT1009-86-OG-US/45/PF"/>
        <s v="IT-SFT1009-86-OG-US/46"/>
        <s v="IT-SFT1009-86-OG-US/46/PF"/>
        <s v="IT-SFT1009-86-OG-US/FV"/>
        <s v="IT-SFT1009-86-OG-US/FV/PF"/>
        <s v="IT-SFT1009-86-OG-US-CB"/>
        <s v="IT-SFT1012-86-OG-US"/>
        <s v="IT-SFT1023-86-OG-US"/>
        <s v="IT-SFT1023-86-OG-US/PF"/>
        <s v="IT-SFT1119-86-OG-US"/>
        <s v="IT-SFT1121-86-OG-US"/>
        <s v="IT-SFT1147-86-OG-US"/>
        <s v="IT-SFT1147-86-OG-US/PF"/>
        <s v="IT-SFT1172-86-OG-US"/>
        <s v="IT-SFT1172-86-OG-US/PF"/>
        <s v="IT-SFT1185-86-OG-US"/>
        <s v="IT-SFT1185-86-OG-US/01"/>
        <s v="IT-SFT1186-86-OG-US"/>
        <s v="IT-SFT1194-86-OG-US"/>
        <s v="IT-SFT1208-86-OG-US"/>
        <s v="IT-SFT1235-86-OG-US"/>
        <s v="IT-SFT1236-86-OG-US"/>
        <s v="IT-SFT1236-86-OG-US/PF"/>
        <s v="IT-SFT1237-86-US-00"/>
        <s v="IT-SFT1237-86-US-00/PF"/>
        <s v="IT-SFT1238-86-OG-US"/>
        <s v="IT-SFT1238-86-OG-US/PF"/>
        <s v="IT-SFT1239-86-OG-US"/>
        <s v="IT-SFT1240-86-OG-US"/>
        <s v="IT-SFT1247-86-OG-US"/>
        <s v="IT-SFT1249-86-OG-US/PF"/>
        <s v="IT-SFT1257-86-OG-US"/>
        <s v="IT-SFT1270-86-OG-US"/>
        <s v="IT-SFT1283-86-OG-US"/>
        <s v="IT-SFT1283-86-OG-US/PF"/>
        <s v="IT-SFT1284-86-OG-US"/>
        <s v="IT-SFT1284-86-OG-US/PF"/>
        <s v="IT-SFT1401-OG-US-00"/>
        <s v="IT-SFT1401-OG-US-00/PF"/>
        <s v="IT-SFT1402-OG-US-00"/>
        <s v="IT-SFT1406-OG-US-00"/>
        <s v="IT-SFT1408-OG-US-00"/>
        <s v="IT-SFT1410-OG-US-00"/>
        <s v="IT-SFT1410-OG-US-00/PF"/>
        <s v="IT-SFT1412-OG-US-00"/>
        <s v="IT-SFT1413-OG-US-00"/>
        <s v="IT-SFT1414-OG-US-00"/>
        <s v="IT-SFT1414-OG-US-00/PF"/>
        <s v="IT-SFT1415-OG-US-00"/>
        <s v="IT-SFT1416-OG-US-00"/>
        <s v="IT-SFT1441-OG-US-00"/>
        <s v="IT-SFT1445-OG-US-00"/>
        <s v="IT-SFT1457-OG-US-00"/>
        <s v="IT-SFT1457-OG-US-00/PF"/>
        <s v="2026-XFR-0023-A"/>
        <s v="2026-XFR-0024-A"/>
        <s v="2026-XFR-0043-A"/>
        <s v="2026-XFR-0051-A"/>
        <s v="IT-CTR0040-OG-US-00"/>
        <s v="IT-CTR0045-OG-US-00"/>
        <s v="IT-CTR0049-OG-US-00"/>
        <s v="IT-CTR0075-OG-MX-00"/>
        <s v="IT-CTR0076-OG-MX-00"/>
        <s v="IT-CTR0077-OG-MX-00"/>
        <s v="IT-CTR0149-OG-US-00"/>
        <s v="IT-CTR0153-OG-US-00"/>
        <s v="IT-FBT0544-OG-US-00"/>
        <s v="IT-FBT0545-OG-US-00"/>
        <s v="IT-FBT0546-OG-US-00"/>
        <s v="IT-FBT0657-OG-US-00"/>
        <s v="IT-FBT0661-OG-US-00"/>
        <s v="IT-FBT0778-OT-US-00"/>
        <s v="IT-FBT0784-OG-US-00"/>
        <s v="IT-FBT0790-OG-US-00"/>
        <s v="IT-SFT1205-86-OG-US"/>
        <s v="IT-FBT0658-OG-US-00"/>
        <s v="IT-FBT0659-OG-US-00"/>
        <s v="IT-FBT0660-OG-US-00"/>
        <s v="IT-FBT0779-OT-US-00"/>
        <s v="IT-FBT0793-OG-US-00"/>
        <s v="IT-FBT0793-OG-US-00/CB"/>
        <s v="IT-FBT0798-OG-BE-00"/>
        <s v="IT-FBT0799-OG-MX-00"/>
        <s v="PR-252001-0000007901"/>
        <s v="IT-SFT0486-86-OG-MX"/>
        <s v="IT-SFT1042-02-OG-US"/>
        <s v="IT-SFT1126-86-OG-US"/>
        <s v="IT-SFT1224-86-OG-US"/>
        <s v="IT-SFT1262-86-OG-US"/>
        <s v="IT-SFT1266-86-OG-US"/>
        <s v="IT-SFT1267-86-OG-US"/>
        <s v="IT-SFT1269-86-OG-US"/>
        <s v="IT-SFT1269-86-OG-US/PF"/>
        <s v="IT-SFT1281-86-OG-US"/>
        <s v="IT-FBT0450-OG-US-00"/>
        <s v="2026-XFR-0014-A"/>
        <s v="2026-XFR-0033-A"/>
        <s v="2026-XFR-0035-A"/>
        <s v="CE-BTF22001-02-EX"/>
        <s v="IT-FBT0157-OG-US-00"/>
        <s v="IT-FBT0824-OT-US-00"/>
        <s v="IT-MGS0210-OG-US-00"/>
        <s v="IT-SFT1436-OG-US-00"/>
        <s v="2026-XFR-0014-B"/>
        <s v="2026-XFR-0015-A"/>
        <s v="2026-XFR-LD001"/>
        <s v="2026-XFR-LD002"/>
        <s v="IT-DATAIKU-01"/>
        <s v="IT-SFT1139-86-OG-US"/>
        <s v="IT-SFT1449-OG-US-00"/>
        <s v="IT-SFT1449-OG-US-00/PF"/>
        <s v="IT-CTR0024-OG-US-00"/>
        <s v="IT-CTR0037-OG-US-00"/>
        <s v="IT-CTR0039-OG-US-00"/>
        <s v="IT-CTR0046-OG-US-00"/>
        <s v="IT-FBT0262-OG-US-00"/>
        <s v="IT-FBT0541-OG-US-00"/>
        <s v="IT-FBT0702-OG-US-00"/>
        <s v="IT-OTH0063-OG-US-00"/>
        <s v="IT-PBS0936-OT-US-00"/>
        <s v="IT-CTR0151-OG-US-00"/>
        <s v="IT-SFT1458-OG-US-00"/>
        <s v="IT-SFT1459-OG-US-00"/>
        <s v="CompBenefitsCar001"/>
        <s v="ERP_DepreAUC001"/>
        <s v="IT-OTH0062-OG-US-00"/>
        <s v="2026-XFR-0059-A"/>
        <s v="IT-SFT1040-02-OG-US"/>
        <s v="IT-SFT1040-02-OG-US/PF"/>
        <s v="IT-SFT1461-OG-US-00"/>
        <s v="IT-SFT1462-OG-US-00"/>
        <s v="2026-XFR-0028-A"/>
        <s v="2026-XFR-0050-A"/>
        <s v="2026-XFR-0053-A"/>
        <s v="2026-XFR-0054-A"/>
        <s v="PR-320001-0000007901"/>
        <s v="TravelEnt001_Reserve"/>
        <s v="VacancyFactor001"/>
        <s v="IT-CTR0023-OG-US-00"/>
        <s v="IT-CTR0027-OG-US-00"/>
        <s v="IT-CTR0030-OG-US-00"/>
        <s v="IT-CTR0031-OG-US-00"/>
        <s v="IT-CTR0034-OG-US-00"/>
        <s v="IT-CTR0041-OG-US-00"/>
        <s v="IT-CTR0090-OG-US-00"/>
        <s v="IT-FBT0757-OG-US-00"/>
        <s v="IT-FBT0771-OG-US-00"/>
        <s v="IT-FBT0785-OG-US-00"/>
        <s v="IT-FBT0772-OG-US-00"/>
        <s v="KM_CompanyCar001"/>
        <s v="2026-XFR-0032-A"/>
        <s v="CC-BTF25001-02-EX"/>
        <s v="CE-BTF24000-02-EX"/>
        <s v="CE-BTF24002-02-EX"/>
        <s v="CE-BTF24003-02-EX"/>
        <s v="CE-BTF26000-02-EX"/>
        <s v="ERP_Digital Funded Project_002"/>
        <s v="ERP_DigitalFundedProject001"/>
        <s v="ERP_ProjectQuantaME001"/>
        <s v="IT-CTR0089-OG-US-00"/>
        <s v="IT-CTR0124-OT-US-00"/>
        <s v="IT-FBT0748-OT-US-00"/>
        <s v="IT-FBT0934-OT-US-00"/>
        <s v="IT-FBT0992-OT-US-00"/>
        <s v="IT-FBT1017-OT-US-00"/>
        <s v="IT-FBU0828-OT-US-00"/>
        <s v="IT-FBU0966-OT-US-00"/>
        <s v="IT-PBU0901-OT-US-00"/>
        <s v="IT-PBU1059-OT-US-00"/>
        <s v="IT-HRD0058-OG-US-00"/>
        <s v="IT-FBT0285-OG-ES-00"/>
        <s v="IT-FBT0286-OG-BE-00"/>
        <s v="IT-FBT0830-OT-US-00"/>
        <s v="IT-FBT0980-OT-US-00"/>
        <s v="IT-MGS0158-OG-US-00"/>
        <s v="IT-MGS0208-OG-US-00"/>
        <s v="IT-SFT1442-OG-US-00"/>
        <s v="OnetimeCredit002"/>
        <s v="NondigitalCatering001"/>
        <s v="ERP_Amort001"/>
        <s v="IT-SFT1220-86-OG-US"/>
        <s v="IT-SFT1346-OG-US-00"/>
        <s v="IT-SFT1347-OG-US-00"/>
        <s v="IT-SFT1398-OG-US-00"/>
        <s v="2026-XFR-0063-A"/>
        <s v="IT-FBT0572-OG-US-00"/>
        <s v="IT-FBT0573-OG-US-00"/>
        <s v="IT-FBT0573-OG-US-00-CB"/>
        <s v="IT-MGS0165-OG-US-00"/>
        <s v="IT-MGS0167-OG-US-00"/>
        <s v="IT-SFT1453-OG-US-00"/>
      </sharedItems>
    </cacheField>
    <cacheField name="Prior Year PO" numFmtId="0">
      <sharedItems containsBlank="1"/>
    </cacheField>
    <cacheField name="2026  Purchase Order" numFmtId="0">
      <sharedItems containsBlank="1" containsMixedTypes="1" containsNumber="1" containsInteger="1" minValue="9501133449" maxValue="9501275938"/>
    </cacheField>
    <cacheField name="Pullforward" numFmtId="49">
      <sharedItems containsBlank="1"/>
    </cacheField>
    <cacheField name="Grouping" numFmtId="49">
      <sharedItems containsBlank="1" count="65">
        <s v="None"/>
        <s v="Digital Funded Project"/>
        <m/>
        <s v="EP&amp;S"/>
        <s v="2024 Transfer"/>
        <s v="SAP"/>
        <s v="India"/>
        <s v="Other"/>
        <s v="MuleSoft"/>
        <s v="EIH"/>
        <s v="T&amp;E"/>
        <s v="BlueBoot"/>
        <s v="2026 Budget Transfer"/>
        <s v="Power 10s; 2026 Pullforward"/>
        <s v="2026 Budget Transfer; AMS"/>
        <s v="Billing Related - Cloud Brokerage"/>
        <s v="Billing Related - UC4 Automic"/>
        <s v="BTAMS"/>
        <s v="Car"/>
        <s v="Japan"/>
        <s v="Ariba"/>
        <s v="AMS"/>
        <s v="Billing Related - File Transfer/Autosys Cloud"/>
        <s v="AIOPS"/>
        <s v="SAP SaaS"/>
        <s v="SAP; 2026 Pullforward"/>
        <s v="5/15 CHW - Syniti paid thru 12/30/2027; 2026 Budget Transfer"/>
        <s v="Copilot"/>
        <s v="M365 / O365"/>
        <s v="E1; 2026 Pullforward"/>
        <s v="Broadcom; 2026 Pullforward"/>
        <s v="Security Bridge; 2026 Pullforward"/>
        <s v="Onapsis"/>
        <s v="SAP on Prem"/>
        <s v="SAP on Prem; 2026 Pullforward"/>
        <s v="Seal"/>
        <s v="Markov; 2026 Pullforward"/>
        <s v="SAP Tosca Automation"/>
        <s v="Radio Freq devices; 2026 Budget Transfer; 2026 Pullforward"/>
        <s v="SAP SaaS; 2026 Budget Transfer"/>
        <s v="DevSecOps"/>
        <s v="S4 HANA"/>
        <s v="SAP SaaS; 2026 Pullforward"/>
        <s v="SAP on Prem/SAP S/4"/>
        <s v="Power 10s"/>
        <s v="2026 Pullforward"/>
        <s v="New Power 10s; 2026 Pullforward"/>
        <s v="2024 Transfer; 2026 Pullforward"/>
        <s v="Metastorm"/>
        <s v="Stocklin"/>
        <s v="Digital Funded Project; 2023 Carry-over project"/>
        <s v="CLD"/>
        <s v="Snowflake"/>
        <s v="Celonis"/>
        <s v="Ariba / EP&amp;S"/>
        <s v="AUC"/>
        <s v="Reserve"/>
        <s v="Other / Car"/>
        <s v="ME"/>
        <s v="Billing Related - Datacenter Hosting Products"/>
        <s v="Digital Funded Project (2025 One-time project)"/>
        <s v="Digital Funded Projects"/>
        <s v="Celonis / CCA"/>
        <s v="Dev Factory"/>
        <s v="iERP"/>
      </sharedItems>
    </cacheField>
    <cacheField name="2026 Budget Comment" numFmtId="0">
      <sharedItems containsBlank="1" longText="1"/>
    </cacheField>
    <cacheField name="2026 Transfers" numFmtId="0">
      <sharedItems containsNonDate="0" containsString="0" containsBlank="1"/>
    </cacheField>
    <cacheField name="2026 LE0" numFmtId="0">
      <sharedItems containsString="0" containsBlank="1" containsNumber="1" minValue="-1080865" maxValue="32110933.16"/>
    </cacheField>
    <cacheField name="LE2 Final Submission" numFmtId="0">
      <sharedItems containsString="0" containsBlank="1" containsNumber="1" minValue="-6407318.4800000004" maxValue="34757461.509999998"/>
    </cacheField>
    <cacheField name="LE3 Final Submission" numFmtId="0">
      <sharedItems containsNonDate="0" containsString="0" containsBlank="1"/>
    </cacheField>
    <cacheField name="LE4 Final Submission" numFmtId="0">
      <sharedItems containsNonDate="0" containsString="0" containsBlank="1"/>
    </cacheField>
    <cacheField name="AP01" numFmtId="0">
      <sharedItems containsString="0" containsBlank="1" containsNumber="1" minValue="-1104045.58" maxValue="4356992.08"/>
    </cacheField>
    <cacheField name="AP02" numFmtId="0">
      <sharedItems containsString="0" containsBlank="1" containsNumber="1" minValue="-4356992.08" maxValue="3048410.85"/>
    </cacheField>
    <cacheField name="AP03" numFmtId="0">
      <sharedItems containsString="0" containsBlank="1" containsNumber="1" minValue="-551382.25" maxValue="3021391.85"/>
    </cacheField>
    <cacheField name="AP04" numFmtId="0">
      <sharedItems containsBlank="1" containsMixedTypes="1" containsNumber="1" minValue="-58284.780000000013" maxValue="2973057.3200000008"/>
    </cacheField>
    <cacheField name="AP05" numFmtId="0">
      <sharedItems containsString="0" containsBlank="1" containsNumber="1" minValue="-397395" maxValue="3070156.0000000009"/>
    </cacheField>
    <cacheField name="AP06" numFmtId="164">
      <sharedItems containsString="0" containsBlank="1" containsNumber="1" minValue="-449247" maxValue="2999435.120000001"/>
    </cacheField>
    <cacheField name="AP07" numFmtId="0">
      <sharedItems containsString="0" containsBlank="1" containsNumber="1" minValue="-78124" maxValue="2977460.79"/>
    </cacheField>
    <cacheField name="AP08" numFmtId="0">
      <sharedItems containsString="0" containsBlank="1" containsNumber="1" minValue="-180144" maxValue="2957767.97"/>
    </cacheField>
    <cacheField name="AP09" numFmtId="0">
      <sharedItems containsString="0" containsBlank="1" containsNumber="1" minValue="-1601829.62" maxValue="2824180.51"/>
    </cacheField>
    <cacheField name="AP10" numFmtId="0">
      <sharedItems containsString="0" containsBlank="1" containsNumber="1" minValue="-1601829.62" maxValue="2683373.61"/>
    </cacheField>
    <cacheField name="AP11" numFmtId="0">
      <sharedItems containsString="0" containsBlank="1" containsNumber="1" minValue="-1601829.62" maxValue="2683374.5"/>
    </cacheField>
    <cacheField name="AP12" numFmtId="0">
      <sharedItems containsString="0" containsBlank="1" containsNumber="1" minValue="-1601829.62" maxValue="2683373.5699999998"/>
    </cacheField>
    <cacheField name="2026 Working Total" numFmtId="165">
      <sharedItems containsString="0" containsBlank="1" containsNumber="1" minValue="-6407318.4800000004" maxValue="34737047.740000002"/>
    </cacheField>
    <cacheField name="2026 Working Total to Budget/LE" numFmtId="167">
      <sharedItems containsSemiMixedTypes="0" containsString="0" containsNumber="1" minValue="-813738" maxValue="1449320.04"/>
    </cacheField>
    <cacheField name="Latest AP Snapshot" numFmtId="167">
      <sharedItems containsString="0" containsBlank="1" containsNumber="1" minValue="-773710" maxValue="3021022.03"/>
    </cacheField>
    <cacheField name="Latest AP Variance to Snapshot" numFmtId="167">
      <sharedItems containsSemiMixedTypes="0" containsString="0" containsNumber="1" minValue="-877899.54322767002" maxValue="1247972.757771289"/>
    </cacheField>
    <cacheField name="YTD Act to Bud/LE" numFmtId="164">
      <sharedItems containsSemiMixedTypes="0" containsString="0" containsNumber="1" minValue="-813737.99999999988" maxValue="1449320.04"/>
    </cacheField>
    <cacheField name="Giveback" numFmtId="167">
      <sharedItems containsString="0" containsBlank="1" containsNumber="1" containsInteger="1" minValue="-283000" maxValue="488000"/>
    </cacheField>
    <cacheField name="Other Allocation" numFmtId="167">
      <sharedItems containsString="0" containsBlank="1" containsNumber="1" minValue="-813738" maxValue="1449320.04"/>
    </cacheField>
    <cacheField name="Giveback Comments" numFmtId="0">
      <sharedItems containsBlank="1"/>
    </cacheField>
    <cacheField name="AP01 LE2" numFmtId="0">
      <sharedItems containsString="0" containsBlank="1" containsNumber="1" minValue="-1104045.58" maxValue="4356992.08"/>
    </cacheField>
    <cacheField name="AP02 LE2" numFmtId="0">
      <sharedItems containsString="0" containsBlank="1" containsNumber="1" minValue="-4356992.08" maxValue="3048410.85"/>
    </cacheField>
    <cacheField name="AP03 LE2" numFmtId="0">
      <sharedItems containsString="0" containsBlank="1" containsNumber="1" minValue="-551382.25" maxValue="3021391.85"/>
    </cacheField>
    <cacheField name="AP04 LE2" numFmtId="0">
      <sharedItems containsString="0" containsBlank="1" containsNumber="1" minValue="-84081.45" maxValue="3021020.11"/>
    </cacheField>
    <cacheField name="AP05 LE2" numFmtId="0">
      <sharedItems containsString="0" containsBlank="1" containsNumber="1" minValue="-773710" maxValue="3021022.03"/>
    </cacheField>
    <cacheField name="AP06 LE2" numFmtId="0">
      <sharedItems containsString="0" containsBlank="1" containsNumber="1" minValue="-213108" maxValue="3021020.07"/>
    </cacheField>
    <cacheField name="AP07 LE2" numFmtId="0">
      <sharedItems containsString="0" containsBlank="1" containsNumber="1" minValue="-78124" maxValue="2977460.79"/>
    </cacheField>
    <cacheField name="AP08 LE2" numFmtId="0">
      <sharedItems containsString="0" containsBlank="1" containsNumber="1" minValue="-180144" maxValue="2957767.97"/>
    </cacheField>
    <cacheField name="AP09 LE2" numFmtId="0">
      <sharedItems containsString="0" containsBlank="1" containsNumber="1" minValue="-1601829.62" maxValue="2824180.51"/>
    </cacheField>
    <cacheField name="AP10 LE2" numFmtId="0">
      <sharedItems containsString="0" containsBlank="1" containsNumber="1" minValue="-1601829.62" maxValue="2683373.61"/>
    </cacheField>
    <cacheField name="AP11 LE2" numFmtId="0">
      <sharedItems containsString="0" containsBlank="1" containsNumber="1" minValue="-1601829.62" maxValue="2683374.5"/>
    </cacheField>
    <cacheField name="AP12 LE2" numFmtId="0">
      <sharedItems containsString="0" containsBlank="1" containsNumber="1" minValue="-1601829.62" maxValue="2683373.5699999998"/>
    </cacheField>
    <cacheField name="2026 LE2 Working Total" numFmtId="0">
      <sharedItems containsString="0" containsBlank="1" containsNumber="1" minValue="-6407318.4800000004" maxValue="34757461.509999998"/>
    </cacheField>
    <cacheField name="2026 AP01" numFmtId="167">
      <sharedItems containsString="0" containsBlank="1" containsNumber="1" minValue="-1104045.58" maxValue="4356992.08"/>
    </cacheField>
    <cacheField name="2026 AP02" numFmtId="167">
      <sharedItems containsString="0" containsBlank="1" containsNumber="1" minValue="-4356992.08" maxValue="3048410.85"/>
    </cacheField>
    <cacheField name="2026 AP03" numFmtId="167">
      <sharedItems containsString="0" containsBlank="1" containsNumber="1" minValue="-551382.25" maxValue="3021391.85"/>
    </cacheField>
    <cacheField name="2026 AP04" numFmtId="167">
      <sharedItems containsString="0" containsBlank="1" containsNumber="1" minValue="-78124" maxValue="3021020.11"/>
    </cacheField>
    <cacheField name="2026 AP05" numFmtId="167">
      <sharedItems containsString="0" containsBlank="1" containsNumber="1" minValue="-180144.16" maxValue="3021022.03"/>
    </cacheField>
    <cacheField name="2026 AP06" numFmtId="167">
      <sharedItems containsString="0" containsBlank="1" containsNumber="1" minValue="-213108" maxValue="3021020.07"/>
    </cacheField>
    <cacheField name="2026 AP07" numFmtId="167">
      <sharedItems containsString="0" containsBlank="1" containsNumber="1" minValue="-78124" maxValue="2977460.79"/>
    </cacheField>
    <cacheField name="2026 AP08" numFmtId="167">
      <sharedItems containsString="0" containsBlank="1" containsNumber="1" minValue="-180144.16" maxValue="2957767.97"/>
    </cacheField>
    <cacheField name="2026 AP09" numFmtId="167">
      <sharedItems containsString="0" containsBlank="1" containsNumber="1" minValue="-203100" maxValue="2824180.51"/>
    </cacheField>
    <cacheField name="2026 AP10" numFmtId="167">
      <sharedItems containsString="0" containsBlank="1" containsNumber="1" minValue="-78124" maxValue="2683373.61"/>
    </cacheField>
    <cacheField name="2026 AP11" numFmtId="167">
      <sharedItems containsString="0" containsBlank="1" containsNumber="1" minValue="-180144.16" maxValue="2683374.5"/>
    </cacheField>
    <cacheField name="2026 AP12" numFmtId="167">
      <sharedItems containsString="0" containsBlank="1" containsNumber="1" minValue="-97000" maxValue="2683373.5699999998"/>
    </cacheField>
    <cacheField name="2026 LE0 Submission" numFmtId="167">
      <sharedItems containsString="0" containsBlank="1" containsNumber="1" minValue="-990792.92" maxValue="34757461.5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ite, Charlotte Hilliard" refreshedDate="46222.852265393522" createdVersion="8" refreshedVersion="8" minRefreshableVersion="3" recordCount="165" xr:uid="{5580074D-2462-4BB0-8438-84A735224522}">
  <cacheSource type="worksheet">
    <worksheetSource ref="A2:BT167" sheet="Duplicate Disposition"/>
  </cacheSource>
  <cacheFields count="72">
    <cacheField name="UID" numFmtId="0">
      <sharedItems/>
    </cacheField>
    <cacheField name="Duplicate Disposition" numFmtId="0">
      <sharedItems count="2">
        <s v="keep"/>
        <s v="remove"/>
      </sharedItems>
    </cacheField>
    <cacheField name="Match" numFmtId="0">
      <sharedItems count="65">
        <s v="Dougherty, Chris_CONTRACTORS_ColleagueSolutions001"/>
        <s v="Dougherty, Chris_SOFTWARE_ColleagueSolutions001"/>
        <s v="Hase, Raj_SOFTWARE_ColleagueSolutions001"/>
        <s v="Patel, Apurva_SOFTWARE_ColleagueSolutions001"/>
        <s v="Patel, Apurva_COMPENSATION_CompBenefits001"/>
        <s v="Dougherty, Chris_COMPENSATION_CompBenefits001"/>
        <s v="Patel, Apurva_COMPENSATION_CompBonus001"/>
        <s v="Dougherty, Chris_COMPENSATION_CompBonus001"/>
        <s v="Dougherty, Chris_COMPENSATION_CompSalary001"/>
        <s v="Dougherty, Chris_CONTRACTORS_EnhanceChargeout001"/>
        <s v="Dougherty, Chris_CONTRACTORS_EP&amp;SCharges001"/>
        <s v="Dougherty, Chris_MANAGED SERVICES_EP&amp;SCharges001"/>
        <s v="Dougherty, Chris_SOFTWARE_EP&amp;SCharges001"/>
        <s v="Hase, Raj_MANAGED SERVICES_EP&amp;SCharges001"/>
        <s v="Patel, Apurva_MANAGED SERVICES_EP&amp;SCharges001"/>
        <s v="Patel, Apurva_DEPRECIATION_ERP_Depre001"/>
        <s v="Dougherty, Chris_MANAGED SERVICES_IT-CTR0044-OG-US-00"/>
        <s v="Dougherty, Chris_CONTRACTORS_IT-FBT0245-OG-US-00"/>
        <s v="Dougherty, Chris_MANAGED SERVICES_IT-FBT0524-OG-US-00"/>
        <s v="Dougherty, Chris_MANAGED SERVICES_IT-FBT0587-OG-US-00"/>
        <s v="Dougherty, Chris_MANAGED SERVICES_IT-FBT0665-OG-US-00"/>
        <s v="Dougherty, Chris_MANAGED SERVICES_IT-FBT0693-OG-US-00"/>
        <s v="Dougherty, Chris_SOFTWARE_IT-FGS0298-SW-US-00"/>
        <s v="Dougherty, Chris_HW MAINTENANCE_IT-FGS0299-OG-US-00"/>
        <s v="Dougherty, Chris_MANAGED SERVICES_IT-FGS0299-OG-US-00"/>
        <s v="Dougherty, Chris_SOFTWARE_IT-FGS0299-OG-US-00"/>
        <s v="Patel, Apurva_MANAGED SERVICES_IT-FGS0299-OG-US-00"/>
        <s v="Dougherty, Chris_SOFTWARE_IT-FGS0300-SW-US-00"/>
        <s v="Patel, Apurva_SOFTWARE_IT-FGS0300-SW-US-00"/>
        <s v="Dougherty, Chris_MANAGED SERVICES_IT-FGS0301-OG-US-00"/>
        <s v="Hase, Raj_MANAGED SERVICES_IT-FGS0301-OG-US-00"/>
        <s v="Hovanyetz, Mike_MANAGED SERVICES_IT-FGS0301-OG-US-00"/>
        <s v="Patel, Apurva_MANAGED SERVICES_IT-FGS0301-OG-US-00"/>
        <s v="Dougherty, Chris_SOFTWARE_IT-FGS0302-SW-US-00"/>
        <s v="Patel, Apurva_SOFTWARE_IT-FGS0302-SW-US-00"/>
        <s v="Dougherty, Chris_SOFTWARE_IT-SFT1194-86-OG-US"/>
        <s v="Hase, Raj_SOFTWARE_IT-SFT1194-86-OG-US"/>
        <s v="Hovanyetz, Mike_SOFTWARE_IT-SFT1194-86-OG-US"/>
        <s v="Patel, Apurva_SOFTWARE_IT-SFT1194-86-OG-US"/>
        <s v="Dougherty, Chris_SOFTWARE_IT-SFT1270-86-OG-US"/>
        <s v="Dougherty, Chris_MANAGED SERVICES_IT-SFT1282-86-OG-US"/>
        <s v="Dougherty, Chris_SOFTWARE_IT-SFT1282-86-OG-US"/>
        <s v="Dougherty, Chris_CONTRACTORS_MISC001"/>
        <s v="Dougherty, Chris_HW MAINTENANCE_MISC001"/>
        <s v="Dougherty, Chris_MANAGED SERVICES_MISC001"/>
        <s v="Dougherty, Chris_SOFTWARE_MISC001"/>
        <s v="Hase, Raj_CONTRACTORS_MISC001"/>
        <s v="Hase, Raj_MANAGED SERVICES_MISC001"/>
        <s v="Hase, Raj_SOFTWARE_MISC001"/>
        <s v="Hovanyetz, Mike_CONTRACTORS_MISC001"/>
        <s v="Hovanyetz, Mike_MANAGED SERVICES_MISC001"/>
        <s v="Hovanyetz, Mike_SOFTWARE_MISC001"/>
        <s v="Patel, Apurva_CONTRACTORS_MISC001"/>
        <s v="Patel, Apurva_HW MAINTENANCE_MISC001"/>
        <s v="Patel, Apurva_MANAGED SERVICES_MISC001"/>
        <s v="Patel, Apurva_RENT AND UTILITIES_MISC001"/>
        <s v="Patel, Apurva_SOFTWARE_MISC001"/>
        <s v="Patel, Apurva_OTHER_NondigitalCatering001"/>
        <s v="Dougherty, Chris_OTHER_Others001"/>
        <s v="Patel, Apurva_OTHER_Others001"/>
        <s v="Dougherty, Chris_CONTRACTORS_POClosure001"/>
        <s v="Dougherty, Chris_TELECOMMUNICATIONS_Telecom001"/>
        <s v="Patel, Apurva_TELECOMMUNICATIONS_Telecom001"/>
        <s v="Dougherty, Chris_TRAVEL &amp; ENTERTAINMENT_TravelEnt001"/>
        <s v="Patel, Apurva_TRAVEL &amp; ENTERTAINMENT_TravelEnt001"/>
      </sharedItems>
    </cacheField>
    <cacheField name="Previous Match" numFmtId="0">
      <sharedItems/>
    </cacheField>
    <cacheField name="CCL3" numFmtId="0">
      <sharedItems/>
    </cacheField>
    <cacheField name="LT Apurva" numFmtId="0">
      <sharedItems/>
    </cacheField>
    <cacheField name="LT1 Apurva " numFmtId="0">
      <sharedItems count="4">
        <s v="Dougherty, Chris"/>
        <s v="Hase, Raj"/>
        <s v="Patel, Apurva"/>
        <s v="Hovanyetz, Mike"/>
      </sharedItems>
    </cacheField>
    <cacheField name="LT2Apurva" numFmtId="0">
      <sharedItems/>
    </cacheField>
    <cacheField name="LT Member*" numFmtId="0">
      <sharedItems/>
    </cacheField>
    <cacheField name="LT Member -1*" numFmtId="0">
      <sharedItems/>
    </cacheField>
    <cacheField name="Point of Contact" numFmtId="0">
      <sharedItems/>
    </cacheField>
    <cacheField name="Expense Category" numFmtId="0">
      <sharedItems count="10">
        <s v="CONTRACTORS"/>
        <s v="SOFTWARE"/>
        <s v="COMPENSATION"/>
        <s v="MANAGED SERVICES"/>
        <s v="DEPRECIATION"/>
        <s v="HW MAINTENANCE"/>
        <s v="RENT AND UTILITIES"/>
        <s v="OTHER"/>
        <s v="TELECOMMUNICATIONS"/>
        <s v="TRAVEL &amp; ENTERTAINMENT"/>
      </sharedItems>
    </cacheField>
    <cacheField name="Description*" numFmtId="0">
      <sharedItems containsBlank="1"/>
    </cacheField>
    <cacheField name="Vendor*" numFmtId="0">
      <sharedItems containsBlank="1"/>
    </cacheField>
    <cacheField name="Cost Center*" numFmtId="0">
      <sharedItems containsBlank="1"/>
    </cacheField>
    <cacheField name="Project Code*" numFmtId="0">
      <sharedItems/>
    </cacheField>
    <cacheField name="Prior Year PO" numFmtId="0">
      <sharedItems containsBlank="1"/>
    </cacheField>
    <cacheField name="2026  Purchase Order" numFmtId="0">
      <sharedItems containsBlank="1"/>
    </cacheField>
    <cacheField name="Pullforward" numFmtId="0">
      <sharedItems containsNonDate="0" containsString="0" containsBlank="1"/>
    </cacheField>
    <cacheField name="Grouping" numFmtId="0">
      <sharedItems containsBlank="1"/>
    </cacheField>
    <cacheField name="2026 Budget Comment" numFmtId="0">
      <sharedItems containsBlank="1"/>
    </cacheField>
    <cacheField name="2026 Transfers" numFmtId="0">
      <sharedItems containsNonDate="0" containsString="0" containsBlank="1"/>
    </cacheField>
    <cacheField name="2026 LE0" numFmtId="43">
      <sharedItems containsString="0" containsBlank="1" containsNumber="1" minValue="-937488" maxValue="32110933.16"/>
    </cacheField>
    <cacheField name="LE2 Final Submission" numFmtId="43">
      <sharedItems containsString="0" containsBlank="1" containsNumber="1" minValue="-925916" maxValue="34757461.509999998"/>
    </cacheField>
    <cacheField name="LE3 Final Submission" numFmtId="43">
      <sharedItems containsNonDate="0" containsString="0" containsBlank="1"/>
    </cacheField>
    <cacheField name="LE4 Final Submission" numFmtId="43">
      <sharedItems containsNonDate="0" containsString="0" containsBlank="1"/>
    </cacheField>
    <cacheField name="AP01" numFmtId="43">
      <sharedItems containsString="0" containsBlank="1" containsNumber="1" minValue="-478537.04" maxValue="2815065.65"/>
    </cacheField>
    <cacheField name="AP02" numFmtId="43">
      <sharedItems containsString="0" containsBlank="1" containsNumber="1" minValue="-158800" maxValue="3048410.85"/>
    </cacheField>
    <cacheField name="AP03" numFmtId="43">
      <sharedItems containsString="0" containsBlank="1" containsNumber="1" minValue="-240674.61" maxValue="3021391.85"/>
    </cacheField>
    <cacheField name="AP04" numFmtId="43">
      <sharedItems containsBlank="1" containsMixedTypes="1" containsNumber="1" minValue="-0.98" maxValue="2973057.3200000008"/>
    </cacheField>
    <cacheField name="AP05" numFmtId="43">
      <sharedItems containsString="0" containsBlank="1" containsNumber="1" minValue="-155623.00000000006" maxValue="3070156.0000000009"/>
    </cacheField>
    <cacheField name="AP06" numFmtId="43">
      <sharedItems containsSemiMixedTypes="0" containsString="0" containsNumber="1" minValue="-215360" maxValue="2999435.120000001"/>
    </cacheField>
    <cacheField name="AP07" numFmtId="43">
      <sharedItems containsString="0" containsBlank="1" containsNumber="1" minValue="-78124" maxValue="2977460.79"/>
    </cacheField>
    <cacheField name="AP08" numFmtId="43">
      <sharedItems containsString="0" containsBlank="1" containsNumber="1" minValue="-116400" maxValue="2957767.97"/>
    </cacheField>
    <cacheField name="AP09" numFmtId="43">
      <sharedItems containsString="0" containsBlank="1" containsNumber="1" minValue="-78124" maxValue="2824180.51"/>
    </cacheField>
    <cacheField name="AP10" numFmtId="43">
      <sharedItems containsString="0" containsBlank="1" containsNumber="1" minValue="-78124" maxValue="2683373.61"/>
    </cacheField>
    <cacheField name="AP11" numFmtId="43">
      <sharedItems containsString="0" containsBlank="1" containsNumber="1" minValue="-78124" maxValue="2683374.5"/>
    </cacheField>
    <cacheField name="AP12" numFmtId="43">
      <sharedItems containsString="0" containsBlank="1" containsNumber="1" minValue="-78124" maxValue="2683373.5699999998"/>
    </cacheField>
    <cacheField name="2026 Working Total" numFmtId="43">
      <sharedItems containsSemiMixedTypes="0" containsString="0" containsNumber="1" minValue="-872297.12" maxValue="34737047.740000002"/>
    </cacheField>
    <cacheField name="2026 Working Total to Budget/LE" numFmtId="43">
      <sharedItems containsSemiMixedTypes="0" containsString="0" containsNumber="1" minValue="-555378.66144133732" maxValue="1060974"/>
    </cacheField>
    <cacheField name="Latest AP Snapshot" numFmtId="43">
      <sharedItems containsString="0" containsBlank="1" containsNumber="1" minValue="-78124" maxValue="3021022.03"/>
    </cacheField>
    <cacheField name="Latest AP Variance to Snapshot" numFmtId="43">
      <sharedItems containsSemiMixedTypes="0" containsString="0" containsNumber="1" minValue="-877899.54322767002" maxValue="1060974"/>
    </cacheField>
    <cacheField name="YTD Act to Bud/LE" numFmtId="43">
      <sharedItems containsSemiMixedTypes="0" containsString="0" containsNumber="1" minValue="-555378.66144133732" maxValue="1060974"/>
    </cacheField>
    <cacheField name="Giveback" numFmtId="43">
      <sharedItems containsString="0" containsBlank="1" containsNumber="1" containsInteger="1" minValue="-10600" maxValue="-10600"/>
    </cacheField>
    <cacheField name="Other Allocation" numFmtId="43">
      <sharedItems containsSemiMixedTypes="0" containsString="0" containsNumber="1" minValue="-555378.66144133732" maxValue="1060974"/>
    </cacheField>
    <cacheField name="Giveback Comments" numFmtId="43">
      <sharedItems containsNonDate="0" containsString="0" containsBlank="1"/>
    </cacheField>
    <cacheField name="AP01 LE2" numFmtId="43">
      <sharedItems containsString="0" containsBlank="1" containsNumber="1" minValue="-478537.04" maxValue="2815065.65"/>
    </cacheField>
    <cacheField name="AP02 LE2" numFmtId="43">
      <sharedItems containsString="0" containsBlank="1" containsNumber="1" minValue="-158800" maxValue="3048410.85"/>
    </cacheField>
    <cacheField name="AP03 LE2" numFmtId="43">
      <sharedItems containsString="0" containsBlank="1" containsNumber="1" minValue="-240674.61" maxValue="3021391.85"/>
    </cacheField>
    <cacheField name="AP04 LE2" numFmtId="43">
      <sharedItems containsString="0" containsBlank="1" containsNumber="1" minValue="-78124" maxValue="3021020.11"/>
    </cacheField>
    <cacheField name="AP05 LE2" numFmtId="43">
      <sharedItems containsString="0" containsBlank="1" containsNumber="1" minValue="-78124" maxValue="3021022.03"/>
    </cacheField>
    <cacheField name="AP06 LE2" numFmtId="43">
      <sharedItems containsString="0" containsBlank="1" containsNumber="1" minValue="-78124" maxValue="3021020.07"/>
    </cacheField>
    <cacheField name="AP07 LE2" numFmtId="43">
      <sharedItems containsString="0" containsBlank="1" containsNumber="1" minValue="-78124" maxValue="2977460.79"/>
    </cacheField>
    <cacheField name="AP08 LE2" numFmtId="43">
      <sharedItems containsString="0" containsBlank="1" containsNumber="1" minValue="-78124" maxValue="2957767.97"/>
    </cacheField>
    <cacheField name="AP09 LE2" numFmtId="43">
      <sharedItems containsString="0" containsBlank="1" containsNumber="1" minValue="-78124" maxValue="2824180.51"/>
    </cacheField>
    <cacheField name="AP10 LE2" numFmtId="43">
      <sharedItems containsString="0" containsBlank="1" containsNumber="1" minValue="-78124" maxValue="2683373.61"/>
    </cacheField>
    <cacheField name="AP11 LE2" numFmtId="43">
      <sharedItems containsString="0" containsBlank="1" containsNumber="1" minValue="-78124" maxValue="2683374.5"/>
    </cacheField>
    <cacheField name="AP12 LE2" numFmtId="43">
      <sharedItems containsString="0" containsBlank="1" containsNumber="1" minValue="-78124" maxValue="2683373.5699999998"/>
    </cacheField>
    <cacheField name="2026 LE2 Working Total" numFmtId="43">
      <sharedItems containsString="0" containsBlank="1" containsNumber="1" minValue="-925916" maxValue="34757461.509999998"/>
    </cacheField>
    <cacheField name="2026 AP01" numFmtId="43">
      <sharedItems containsString="0" containsBlank="1" containsNumber="1" minValue="-478537.04" maxValue="2815065.65"/>
    </cacheField>
    <cacheField name="2026 AP02" numFmtId="43">
      <sharedItems containsString="0" containsBlank="1" containsNumber="1" minValue="-158800" maxValue="3048410.85"/>
    </cacheField>
    <cacheField name="2026 AP03" numFmtId="43">
      <sharedItems containsString="0" containsBlank="1" containsNumber="1" minValue="-240674.61" maxValue="3021391.85"/>
    </cacheField>
    <cacheField name="2026 AP04" numFmtId="43">
      <sharedItems containsString="0" containsBlank="1" containsNumber="1" minValue="-78124" maxValue="3021020.11"/>
    </cacheField>
    <cacheField name="2026 AP05" numFmtId="43">
      <sharedItems containsString="0" containsBlank="1" containsNumber="1" minValue="-78124" maxValue="3021022.03"/>
    </cacheField>
    <cacheField name="2026 AP06" numFmtId="43">
      <sharedItems containsString="0" containsBlank="1" containsNumber="1" minValue="-78124" maxValue="3021020.07"/>
    </cacheField>
    <cacheField name="2026 AP07" numFmtId="43">
      <sharedItems containsString="0" containsBlank="1" containsNumber="1" minValue="-78124" maxValue="2977460.79"/>
    </cacheField>
    <cacheField name="2026 AP08" numFmtId="43">
      <sharedItems containsString="0" containsBlank="1" containsNumber="1" minValue="-78124" maxValue="2957767.97"/>
    </cacheField>
    <cacheField name="2026 AP09" numFmtId="43">
      <sharedItems containsString="0" containsBlank="1" containsNumber="1" minValue="-78124" maxValue="2824180.51"/>
    </cacheField>
    <cacheField name="2026 AP10" numFmtId="43">
      <sharedItems containsString="0" containsBlank="1" containsNumber="1" minValue="-78124" maxValue="2683373.61"/>
    </cacheField>
    <cacheField name="2026 AP11" numFmtId="43">
      <sharedItems containsString="0" containsBlank="1" containsNumber="1" minValue="-78124" maxValue="2683374.5"/>
    </cacheField>
    <cacheField name="2026 AP12" numFmtId="43">
      <sharedItems containsString="0" containsBlank="1" containsNumber="1" minValue="-78124" maxValue="2683373.5699999998"/>
    </cacheField>
    <cacheField name="2026 LE0 Submission" numFmtId="43">
      <sharedItems containsString="0" containsBlank="1" containsNumber="1" minValue="-925916" maxValue="34757461.5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2">
  <r>
    <s v="L-ERP-059"/>
    <s v="Dougherty, Chris_SOFTWARE_2026-XFR-0007-A"/>
    <s v="ERP"/>
    <x v="0"/>
    <s v="Dougherty, Chris"/>
    <s v="Maguire, Karla"/>
    <x v="0"/>
    <s v="Serialization - SAP ATTP License - Software maintenance (on-premise)"/>
    <m/>
    <m/>
    <s v="2026-XFR-0007-A"/>
    <m/>
    <m/>
    <m/>
    <s v="2026 Budget Transfer"/>
    <m/>
    <m/>
    <n v="103465.00000000001"/>
    <n v="103465.00000000001"/>
    <n v="103465.00000000001"/>
    <n v="0"/>
    <m/>
    <m/>
    <m/>
    <n v="8622.08"/>
    <n v="8622.08"/>
    <n v="8622.08"/>
    <n v="8622.08"/>
    <n v="8622.08"/>
    <n v="8622.08"/>
    <n v="8622.08"/>
    <n v="8622.08"/>
    <n v="8622.08"/>
    <n v="77598.720000000001"/>
    <n v="-25866.280000000013"/>
    <m/>
    <m/>
    <n v="0"/>
    <m/>
    <n v="-25866.280000000013"/>
    <m/>
    <m/>
    <m/>
    <m/>
    <n v="8622.08"/>
    <n v="8622.08"/>
    <n v="8622.08"/>
    <n v="8622.08"/>
    <n v="8622.08"/>
    <n v="8622.08"/>
    <n v="8622.08"/>
    <n v="8622.08"/>
    <n v="8622.08"/>
    <n v="77598.720000000001"/>
    <m/>
    <m/>
    <m/>
    <n v="8622.08"/>
    <n v="8622.08"/>
    <n v="8622.08"/>
    <n v="8622.08"/>
    <n v="8622.08"/>
    <n v="8622.08"/>
    <n v="8622.08"/>
    <n v="8622.08"/>
    <n v="8622.08"/>
    <n v="77598.720000000001"/>
  </r>
  <r>
    <s v="N-ERP-613"/>
    <s v="Tamavada, Ram_MANAGED SERVICES_2026-XFR-0008-B"/>
    <s v="ERP-N"/>
    <x v="0"/>
    <s v="Tamavada, Ram"/>
    <s v="Maguire, Karla"/>
    <x v="1"/>
    <s v="SAP Fieldglass Vendor Management System Implementation: - Application/Platform support and maintenance"/>
    <m/>
    <m/>
    <s v="2026-XFR-0008-B"/>
    <m/>
    <m/>
    <s v="Investigate LE2"/>
    <s v="2026 Budget Transfer"/>
    <s v="4/28/26 CHW New add to tie-out 0223 to 0317 Planful Extracts DS - Ram already took actions to optimize cost to $200k, doesn't believe there is further opportunity. 2027 goes down to $169k."/>
    <m/>
    <n v="183105"/>
    <n v="183105"/>
    <n v="183105"/>
    <n v="0"/>
    <m/>
    <m/>
    <m/>
    <m/>
    <m/>
    <m/>
    <m/>
    <m/>
    <m/>
    <m/>
    <m/>
    <m/>
    <n v="0"/>
    <n v="-183105"/>
    <m/>
    <m/>
    <n v="0"/>
    <n v="-183105"/>
    <n v="0"/>
    <s v="Per Leslie - Fieldglass, no payment is due in 2026 for support under IBM. It will resume in 2027 @ $169,020"/>
    <m/>
    <m/>
    <m/>
    <m/>
    <m/>
    <m/>
    <m/>
    <m/>
    <m/>
    <m/>
    <m/>
    <m/>
    <n v="0"/>
    <n v="15258.75"/>
    <n v="15258.75"/>
    <n v="15258.75"/>
    <n v="15258.75"/>
    <n v="15258.75"/>
    <n v="15258.75"/>
    <n v="15258.75"/>
    <n v="15258.75"/>
    <n v="15258.75"/>
    <n v="15258.75"/>
    <n v="15258.75"/>
    <n v="15258.75"/>
    <n v="183105"/>
  </r>
  <r>
    <s v="L-ERP-060"/>
    <s v="Dougherty, Chris_SOFTWARE_2026-XFR-0013-A"/>
    <s v="ERP"/>
    <x v="0"/>
    <s v="Dougherty, Chris"/>
    <s v="Maguire, Karla"/>
    <x v="0"/>
    <s v="Serialization - SAP ICH License - SAP ICH regulatory collaboration and Regulatory reporting services"/>
    <m/>
    <m/>
    <s v="2026-XFR-0013-A"/>
    <m/>
    <m/>
    <m/>
    <s v="2026 Budget Transfer"/>
    <s v="5/12 CHW - added back 51K to reflect 204K XFR total &amp; shifted forecast to OTC "/>
    <m/>
    <n v="204127.99999999994"/>
    <n v="204127.99999999994"/>
    <n v="204127.99999999994"/>
    <n v="0"/>
    <m/>
    <m/>
    <m/>
    <n v="0"/>
    <n v="0"/>
    <n v="0"/>
    <n v="0"/>
    <n v="0"/>
    <n v="0"/>
    <n v="204128"/>
    <n v="0"/>
    <n v="0"/>
    <n v="204128"/>
    <n v="0"/>
    <m/>
    <m/>
    <n v="0"/>
    <m/>
    <n v="0"/>
    <m/>
    <m/>
    <m/>
    <m/>
    <n v="0"/>
    <n v="0"/>
    <n v="0"/>
    <n v="0"/>
    <n v="0"/>
    <n v="0"/>
    <n v="204128"/>
    <n v="0"/>
    <n v="0"/>
    <n v="204128"/>
    <m/>
    <m/>
    <m/>
    <n v="17010.669999999998"/>
    <n v="17010.669999999998"/>
    <n v="17010.669999999998"/>
    <n v="17010.669999999998"/>
    <n v="17010.669999999998"/>
    <n v="17010.669999999998"/>
    <n v="17010.669999999998"/>
    <n v="17010.669999999998"/>
    <n v="17010.669999999998"/>
    <n v="153096.02999999997"/>
  </r>
  <r>
    <s v="L-ERP-565"/>
    <s v="Yeluri, Durga_MANAGED SERVICES_2026-XFR-0014-A"/>
    <s v="ERP"/>
    <x v="1"/>
    <s v="Yeluri, Durga"/>
    <s v="DeHart, Lynn"/>
    <x v="1"/>
    <s v="Cash Flow Automation Project - Cash Flow Functionality for: SAP S/4 HANA ($51,120); Celonis ($35,000)"/>
    <m/>
    <m/>
    <s v="2026-XFR-0014-A"/>
    <m/>
    <m/>
    <m/>
    <s v="2026 Budget Transfer"/>
    <s v="5/4 CHW - Giveback"/>
    <m/>
    <n v="86119.999999999985"/>
    <n v="86119.999999999985"/>
    <n v="86119.999999999985"/>
    <n v="0"/>
    <m/>
    <m/>
    <m/>
    <m/>
    <m/>
    <m/>
    <m/>
    <m/>
    <m/>
    <m/>
    <m/>
    <m/>
    <m/>
    <n v="-86119.999999999985"/>
    <m/>
    <m/>
    <n v="0"/>
    <m/>
    <n v="-86119.999999999985"/>
    <s v="We will cover with existing colleagues and AMS contract."/>
    <m/>
    <m/>
    <m/>
    <m/>
    <m/>
    <m/>
    <m/>
    <m/>
    <m/>
    <m/>
    <m/>
    <m/>
    <m/>
    <m/>
    <m/>
    <m/>
    <n v="8612"/>
    <n v="8612"/>
    <n v="8612"/>
    <n v="8612"/>
    <n v="8612"/>
    <n v="8612"/>
    <n v="8612"/>
    <n v="8612"/>
    <n v="8612"/>
    <n v="77508"/>
  </r>
  <r>
    <s v="L-ERP-568"/>
    <s v="Yeluri, Durga_SOFTWARE_2026-XFR-0014-B"/>
    <s v="ERP"/>
    <x v="1"/>
    <s v="Yeluri, Durga"/>
    <s v="DeHart, Lynn"/>
    <x v="0"/>
    <s v="Cash Flow Automation Project - Software License cost for SAP Analytics on Cloud (included as part of SAP S/4 HANA FSA)"/>
    <m/>
    <m/>
    <s v="2026-XFR-0014-B"/>
    <m/>
    <m/>
    <m/>
    <s v="2026 Budget Transfer"/>
    <s v="5/4 CHW - Giveback"/>
    <m/>
    <n v="39999.960000000014"/>
    <n v="39999.960000000014"/>
    <n v="39999.960000000014"/>
    <n v="0"/>
    <m/>
    <m/>
    <m/>
    <m/>
    <m/>
    <m/>
    <m/>
    <m/>
    <m/>
    <m/>
    <m/>
    <m/>
    <n v="0"/>
    <n v="-39999.960000000014"/>
    <m/>
    <m/>
    <n v="0"/>
    <m/>
    <n v="-39999.960000000014"/>
    <s v="SAC license is not needed. Forecast removed."/>
    <m/>
    <m/>
    <m/>
    <m/>
    <m/>
    <m/>
    <m/>
    <m/>
    <m/>
    <m/>
    <m/>
    <m/>
    <n v="0"/>
    <m/>
    <m/>
    <m/>
    <n v="4000"/>
    <n v="4000"/>
    <n v="4000"/>
    <n v="4000"/>
    <n v="4000"/>
    <n v="4000"/>
    <n v="4000"/>
    <n v="4000"/>
    <n v="4000"/>
    <n v="36000"/>
  </r>
  <r>
    <s v="L-ERP-177"/>
    <s v="Hase, Raj_SOFTWARE_2026-XFR-0015-A"/>
    <s v="ERP"/>
    <x v="1"/>
    <s v="Hase, Raj"/>
    <s v="DeHart, Lynn"/>
    <x v="0"/>
    <s v="Brazil Tax Reform and SAP GRC Replacement - SAP Document and Risk Compliance Cloud Subscription"/>
    <m/>
    <m/>
    <s v="2026-XFR-0015-A"/>
    <m/>
    <m/>
    <m/>
    <s v="2026 Budget Transfer"/>
    <s v="Reclass to business, SAP annual invoice $81,120 expected 8/15"/>
    <m/>
    <n v="0"/>
    <n v="0"/>
    <n v="0"/>
    <n v="0"/>
    <m/>
    <m/>
    <m/>
    <n v="0"/>
    <n v="0"/>
    <n v="0"/>
    <n v="0"/>
    <n v="81120"/>
    <n v="-81120"/>
    <n v="0"/>
    <n v="0"/>
    <n v="0"/>
    <n v="0"/>
    <n v="0"/>
    <m/>
    <m/>
    <n v="0"/>
    <m/>
    <n v="0"/>
    <m/>
    <m/>
    <m/>
    <m/>
    <n v="0"/>
    <n v="0"/>
    <n v="0"/>
    <n v="0"/>
    <n v="81120"/>
    <n v="-81120"/>
    <n v="0"/>
    <n v="0"/>
    <n v="0"/>
    <n v="0"/>
    <m/>
    <m/>
    <m/>
    <n v="3235.5"/>
    <n v="3235.5"/>
    <n v="3235.5"/>
    <n v="3235.5"/>
    <n v="3235.5"/>
    <n v="3235.5"/>
    <n v="3235.5"/>
    <n v="3235.5"/>
    <n v="-35590.5"/>
    <n v="-9706.5"/>
  </r>
  <r>
    <s v="L-ERP-061"/>
    <s v="Dougherty, Chris_SOFTWARE_2026-XFR-0017-A"/>
    <s v="ERP"/>
    <x v="0"/>
    <s v="Dougherty, Chris"/>
    <s v="Maguire, Karla"/>
    <x v="0"/>
    <s v="Dedicated US PRIME Commerce Cloud - SAP Licenses"/>
    <m/>
    <m/>
    <s v="2026-XFR-0017-A"/>
    <m/>
    <m/>
    <m/>
    <s v="2026 Budget Transfer"/>
    <m/>
    <m/>
    <n v="0"/>
    <n v="0"/>
    <n v="0"/>
    <n v="0"/>
    <m/>
    <m/>
    <m/>
    <m/>
    <m/>
    <n v="650000"/>
    <n v="0"/>
    <n v="0"/>
    <n v="0"/>
    <n v="0"/>
    <n v="0"/>
    <n v="0"/>
    <n v="650000"/>
    <n v="650000"/>
    <m/>
    <m/>
    <n v="0"/>
    <m/>
    <n v="650000"/>
    <s v="Acct Movement from Mike Hovanyetz to Chris Dougherty "/>
    <m/>
    <m/>
    <m/>
    <m/>
    <m/>
    <n v="650000"/>
    <n v="0"/>
    <n v="0"/>
    <n v="0"/>
    <n v="0"/>
    <n v="0"/>
    <n v="0"/>
    <n v="650000"/>
    <m/>
    <m/>
    <m/>
    <m/>
    <m/>
    <n v="650000"/>
    <n v="0"/>
    <n v="0"/>
    <n v="0"/>
    <n v="0"/>
    <n v="0"/>
    <n v="0"/>
    <n v="650000"/>
  </r>
  <r>
    <s v="N-ERP-571"/>
    <s v="Hovanyetz, Mike_SOFTWARE_2026-XFR-0017-A"/>
    <s v="ERP-N"/>
    <x v="1"/>
    <s v="Hovanyetz, Mike"/>
    <s v="DeHart, Lynn"/>
    <x v="0"/>
    <s v="Dedicated US PRIME Commerce Cloud - SAP Licenses"/>
    <m/>
    <m/>
    <s v="2026-XFR-0017-A"/>
    <m/>
    <m/>
    <s v="Investigate LE2"/>
    <s v="2026 Budget Transfer"/>
    <s v="4/28/26 CHW New add to tie-out 0223 to 0317 Planful Extracts Cost center change from Mike Hovanyetz to Chris Dougherty &amp; removed forecast"/>
    <m/>
    <n v="650000"/>
    <n v="650000"/>
    <n v="650000"/>
    <n v="0"/>
    <m/>
    <m/>
    <m/>
    <n v="0"/>
    <n v="0"/>
    <n v="0"/>
    <n v="0"/>
    <n v="0"/>
    <n v="0"/>
    <n v="0"/>
    <n v="0"/>
    <n v="0"/>
    <n v="0"/>
    <n v="-650000"/>
    <m/>
    <m/>
    <n v="0"/>
    <m/>
    <n v="-65000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650000"/>
    <n v="0"/>
    <n v="0"/>
    <n v="0"/>
    <n v="0"/>
    <n v="0"/>
    <n v="0"/>
    <n v="650000"/>
  </r>
  <r>
    <s v="L-ERP-062"/>
    <s v="Dougherty, Chris_SOFTWARE_2026-XFR-0017-B"/>
    <s v="ERP"/>
    <x v="0"/>
    <s v="Dougherty, Chris"/>
    <s v="Maguire, Karla"/>
    <x v="0"/>
    <s v="Dedicated US PRIME Commerce Cloud - Middleware"/>
    <m/>
    <m/>
    <s v="2026-XFR-0017-B"/>
    <m/>
    <m/>
    <m/>
    <s v="2026 Budget Transfer"/>
    <m/>
    <m/>
    <n v="0"/>
    <n v="0"/>
    <n v="0"/>
    <n v="0"/>
    <m/>
    <m/>
    <m/>
    <m/>
    <m/>
    <n v="300000"/>
    <n v="0"/>
    <n v="0"/>
    <n v="0"/>
    <n v="0"/>
    <n v="0"/>
    <n v="0"/>
    <n v="300000"/>
    <n v="300000"/>
    <m/>
    <m/>
    <n v="0"/>
    <m/>
    <n v="300000"/>
    <s v="Acct Movement from Mike Hovanyetz to Chris Dougherty "/>
    <m/>
    <m/>
    <m/>
    <m/>
    <m/>
    <n v="300000"/>
    <n v="0"/>
    <n v="0"/>
    <n v="0"/>
    <n v="0"/>
    <n v="0"/>
    <n v="0"/>
    <n v="300000"/>
    <m/>
    <m/>
    <m/>
    <m/>
    <m/>
    <n v="300000"/>
    <n v="0"/>
    <n v="0"/>
    <n v="0"/>
    <n v="0"/>
    <n v="0"/>
    <n v="0"/>
    <n v="300000"/>
  </r>
  <r>
    <s v="N-ERP-572"/>
    <s v="Hovanyetz, Mike_SOFTWARE_2026-XFR-0017-B"/>
    <s v="ERP-N"/>
    <x v="1"/>
    <s v="Hovanyetz, Mike"/>
    <s v="DeHart, Lynn"/>
    <x v="0"/>
    <s v="Dedicated US PRIME Commerce Cloud - Middleware"/>
    <m/>
    <m/>
    <s v="2026-XFR-0017-B"/>
    <m/>
    <m/>
    <s v="Investigate LE2"/>
    <s v="2026 Budget Transfer"/>
    <s v="4/28/26 CHW New add to tie-out 0223 to 0317 Planful Extracts Cost center change from Mike Hovanyetz to Chris Dougherty &amp; removed forecast"/>
    <m/>
    <n v="300000"/>
    <n v="300000"/>
    <n v="300000"/>
    <n v="0"/>
    <m/>
    <m/>
    <m/>
    <n v="0"/>
    <n v="0"/>
    <n v="0"/>
    <n v="0"/>
    <n v="0"/>
    <n v="0"/>
    <n v="0"/>
    <n v="0"/>
    <n v="0"/>
    <n v="0"/>
    <n v="-300000"/>
    <m/>
    <m/>
    <n v="0"/>
    <m/>
    <n v="-30000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n v="0"/>
    <n v="300000"/>
  </r>
  <r>
    <s v="L-ERP-502"/>
    <s v="Tamavada, Ram_MANAGED SERVICES_2026-XFR-0017-C"/>
    <s v="ERP"/>
    <x v="0"/>
    <s v="Tamavada, Ram"/>
    <s v="Maguire, Karla"/>
    <x v="1"/>
    <s v="Dedicated US PRIME Commerce Cloud - US Prime Cloud Support"/>
    <m/>
    <m/>
    <s v="2026-XFR-0017-C"/>
    <m/>
    <m/>
    <m/>
    <s v="2026 Budget Transfer"/>
    <m/>
    <m/>
    <n v="0"/>
    <n v="0"/>
    <n v="0"/>
    <n v="0"/>
    <m/>
    <m/>
    <m/>
    <n v="12500"/>
    <n v="12500"/>
    <n v="12500"/>
    <n v="12500"/>
    <n v="12500"/>
    <n v="12500"/>
    <n v="12500"/>
    <n v="12500"/>
    <n v="12500"/>
    <n v="112500"/>
    <n v="112500"/>
    <m/>
    <m/>
    <n v="0"/>
    <m/>
    <n v="112500"/>
    <m/>
    <m/>
    <m/>
    <m/>
    <n v="12500"/>
    <n v="12500"/>
    <n v="12500"/>
    <n v="12500"/>
    <n v="12500"/>
    <n v="12500"/>
    <n v="12500"/>
    <n v="12500"/>
    <n v="12500"/>
    <n v="112500"/>
    <m/>
    <m/>
    <m/>
    <n v="12500"/>
    <n v="12500"/>
    <n v="12500"/>
    <n v="12500"/>
    <n v="12500"/>
    <n v="12500"/>
    <n v="12500"/>
    <n v="12500"/>
    <n v="12500"/>
    <n v="112500"/>
  </r>
  <r>
    <s v="N-ERP-568"/>
    <s v="Hovanyetz, Mike_MANAGED SERVICES_2026-XFR-0017-C"/>
    <s v="ERP-N"/>
    <x v="1"/>
    <s v="Hovanyetz, Mike"/>
    <s v="DeHart, Lynn"/>
    <x v="1"/>
    <s v="Dedicated US PRIME Commerce Cloud - US Prime Cloud Support"/>
    <m/>
    <m/>
    <s v="2026-XFR-0017-C"/>
    <m/>
    <m/>
    <s v="Investigate LE2"/>
    <s v="2026 Budget Transfer"/>
    <s v="4/28/26 CHW New add to tie-out 0223 to 0317 Planful Extracts Transferred from Mike H to Chris Dougherty; zero forecast as moved to Chris"/>
    <m/>
    <n v="125000"/>
    <n v="125000"/>
    <n v="125000"/>
    <n v="0"/>
    <m/>
    <m/>
    <m/>
    <n v="0"/>
    <n v="0"/>
    <n v="0"/>
    <n v="0"/>
    <n v="0"/>
    <n v="0"/>
    <n v="0"/>
    <n v="0"/>
    <n v="0"/>
    <n v="0"/>
    <n v="-125000"/>
    <m/>
    <m/>
    <n v="0"/>
    <m/>
    <n v="-125000"/>
    <m/>
    <m/>
    <m/>
    <m/>
    <n v="0"/>
    <n v="0"/>
    <n v="0"/>
    <n v="0"/>
    <n v="0"/>
    <n v="0"/>
    <n v="0"/>
    <n v="0"/>
    <n v="0"/>
    <n v="0"/>
    <n v="0"/>
    <n v="0"/>
    <n v="12500"/>
    <n v="12500"/>
    <n v="12500"/>
    <n v="12500"/>
    <n v="12500"/>
    <n v="12500"/>
    <n v="12500"/>
    <n v="12500"/>
    <n v="12500"/>
    <n v="12500"/>
    <n v="125000"/>
  </r>
  <r>
    <s v="L-ERP-503"/>
    <s v="Tamavada, Ram_MANAGED SERVICES_2026-XFR-0017-D"/>
    <s v="ERP"/>
    <x v="0"/>
    <s v="Tamavada, Ram"/>
    <s v="Maguire, Karla"/>
    <x v="1"/>
    <s v="Dedicated US PRIME Commerce Cloud - ACES/Inmar Support"/>
    <m/>
    <m/>
    <s v="2026-XFR-0017-D"/>
    <m/>
    <m/>
    <m/>
    <s v="2026 Budget Transfer"/>
    <m/>
    <m/>
    <n v="0"/>
    <n v="0"/>
    <n v="0"/>
    <n v="0"/>
    <m/>
    <m/>
    <m/>
    <n v="10000"/>
    <n v="10000"/>
    <n v="10000"/>
    <n v="10000"/>
    <n v="10000"/>
    <n v="10000"/>
    <n v="10000"/>
    <n v="10000"/>
    <n v="10000"/>
    <n v="90000"/>
    <n v="90000"/>
    <m/>
    <m/>
    <n v="0"/>
    <m/>
    <n v="90000"/>
    <m/>
    <m/>
    <m/>
    <m/>
    <n v="10000"/>
    <n v="10000"/>
    <n v="10000"/>
    <n v="10000"/>
    <n v="10000"/>
    <n v="10000"/>
    <n v="10000"/>
    <n v="10000"/>
    <n v="10000"/>
    <n v="90000"/>
    <m/>
    <m/>
    <m/>
    <n v="10000"/>
    <n v="10000"/>
    <n v="10000"/>
    <n v="10000"/>
    <n v="10000"/>
    <n v="10000"/>
    <n v="10000"/>
    <n v="10000"/>
    <n v="10000"/>
    <n v="90000"/>
  </r>
  <r>
    <s v="N-ERP-569"/>
    <s v="Hovanyetz, Mike_MANAGED SERVICES_2026-XFR-0017-D"/>
    <s v="ERP-N"/>
    <x v="1"/>
    <s v="Hovanyetz, Mike"/>
    <s v="DeHart, Lynn"/>
    <x v="1"/>
    <s v="Dedicated US PRIME Commerce Cloud - ACES/Inmar Support"/>
    <m/>
    <m/>
    <s v="2026-XFR-0017-D"/>
    <m/>
    <m/>
    <s v="Investigate LE2"/>
    <s v="2026 Budget Transfer"/>
    <s v="4/28/26 CHW New add to tie-out 0223 to 0317 Planful Extracts Transferred from Mike H to Chris Dougherty; zero forecast as moved to Chris"/>
    <m/>
    <n v="100000"/>
    <n v="100000"/>
    <n v="100000"/>
    <n v="0"/>
    <m/>
    <m/>
    <m/>
    <n v="0"/>
    <n v="0"/>
    <n v="0"/>
    <n v="0"/>
    <n v="0"/>
    <n v="0"/>
    <n v="0"/>
    <n v="0"/>
    <n v="0"/>
    <n v="0"/>
    <n v="-100000"/>
    <m/>
    <m/>
    <n v="0"/>
    <m/>
    <n v="-100000"/>
    <m/>
    <m/>
    <m/>
    <m/>
    <n v="0"/>
    <n v="0"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0"/>
  </r>
  <r>
    <s v="L-ERP-505"/>
    <s v="Tamavada, Ram_MANAGED SERVICES_2026-XFR-0020-A"/>
    <s v="ERP"/>
    <x v="0"/>
    <s v="Tamavada, Ram"/>
    <s v="Maguire, Karla"/>
    <x v="1"/>
    <s v="IBM: SAP Prime Global Customer Experience - IBM AMS support costs - SAP Commerce Cloud Prime GCx"/>
    <m/>
    <m/>
    <s v="2026-XFR-0020-A"/>
    <m/>
    <m/>
    <m/>
    <s v="2026 Budget Transfer; AMS"/>
    <m/>
    <m/>
    <n v="0"/>
    <n v="0"/>
    <n v="0"/>
    <n v="0"/>
    <m/>
    <m/>
    <m/>
    <n v="6250"/>
    <n v="6250"/>
    <n v="6250"/>
    <n v="6250"/>
    <n v="6250"/>
    <n v="6250"/>
    <n v="6250"/>
    <n v="6250"/>
    <n v="6250"/>
    <n v="56250"/>
    <n v="56250"/>
    <m/>
    <m/>
    <n v="0"/>
    <m/>
    <n v="56250"/>
    <m/>
    <m/>
    <m/>
    <m/>
    <n v="6250"/>
    <n v="6250"/>
    <n v="6250"/>
    <n v="6250"/>
    <n v="6250"/>
    <n v="6250"/>
    <n v="6250"/>
    <n v="6250"/>
    <n v="6250"/>
    <n v="56250"/>
    <m/>
    <m/>
    <m/>
    <n v="6250"/>
    <n v="6250"/>
    <n v="6250"/>
    <n v="6250"/>
    <n v="6250"/>
    <n v="6250"/>
    <n v="6250"/>
    <n v="6250"/>
    <n v="6250"/>
    <n v="56250"/>
  </r>
  <r>
    <s v="N-ERP-570"/>
    <s v="Hovanyetz, Mike_MANAGED SERVICES_2026-XFR-0020-A"/>
    <s v="ERP-N"/>
    <x v="1"/>
    <s v="Hovanyetz, Mike"/>
    <s v="DeHart, Lynn"/>
    <x v="1"/>
    <s v="SAP Prime Global Customer Experience - IBM BTAMS support costs - SAP Commerce Cloud Prime GCx"/>
    <m/>
    <m/>
    <s v="2026-XFR-0020-A"/>
    <m/>
    <m/>
    <s v="Investigate LE2"/>
    <s v="2026 Budget Transfer"/>
    <s v="4/28/26 CHW New add to tie-out 0223 to 0317 Planful Extracts Transferred from Mike H to Chris Dougherty; zero forecast as moved to Chris"/>
    <m/>
    <n v="75000"/>
    <n v="75000"/>
    <n v="75000"/>
    <n v="0"/>
    <m/>
    <m/>
    <m/>
    <n v="0"/>
    <n v="0"/>
    <n v="0"/>
    <n v="0"/>
    <n v="0"/>
    <n v="0"/>
    <n v="0"/>
    <n v="0"/>
    <n v="0"/>
    <n v="0"/>
    <n v="-75000"/>
    <m/>
    <m/>
    <n v="0"/>
    <m/>
    <n v="-75000"/>
    <m/>
    <m/>
    <m/>
    <m/>
    <n v="0"/>
    <n v="0"/>
    <n v="0"/>
    <n v="0"/>
    <n v="0"/>
    <n v="0"/>
    <n v="0"/>
    <n v="0"/>
    <n v="0"/>
    <n v="0"/>
    <n v="6250"/>
    <n v="6250"/>
    <n v="6250"/>
    <n v="6250"/>
    <n v="6250"/>
    <n v="6250"/>
    <n v="6250"/>
    <n v="6250"/>
    <n v="6250"/>
    <n v="6250"/>
    <n v="6250"/>
    <n v="6250"/>
    <n v="75000"/>
  </r>
  <r>
    <s v="N-ERP-557"/>
    <s v="Ganesan, Srinivasan_CONTRACTORS_2026-XFR-0023-A"/>
    <s v="ERP-N"/>
    <x v="1"/>
    <s v="Ganesan, Srinivasan"/>
    <s v="DeHart, Lynn"/>
    <x v="2"/>
    <s v="GSC AMER - Last Mile Strategy - Delivery Milestones &amp; Dashboards - 50% One offshore contractor; New Global Capability. Only 0.5FTE requested for support. Eventually, will be transferred to BTAMS"/>
    <m/>
    <m/>
    <s v="2026-XFR-0023-A"/>
    <m/>
    <m/>
    <s v="Investigate LE2"/>
    <s v="2026 Budget Transfer"/>
    <s v="4/28/26 CHW New add to tie-out 0223 to 0317 Planful Extracts"/>
    <m/>
    <n v="70000.000000000015"/>
    <n v="70000.000000000015"/>
    <n v="70000.000000000015"/>
    <n v="0"/>
    <m/>
    <m/>
    <m/>
    <n v="0"/>
    <n v="0"/>
    <n v="0"/>
    <n v="0"/>
    <n v="0"/>
    <n v="0"/>
    <n v="0"/>
    <n v="0"/>
    <n v="0"/>
    <n v="0"/>
    <n v="-70000.000000000015"/>
    <m/>
    <m/>
    <n v="0"/>
    <n v="70000"/>
    <n v="-14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s v="N-ERP-558"/>
    <s v="Ganesan, Srinivasan_CONTRACTORS_2026-XFR-0024-A"/>
    <s v="ERP-N"/>
    <x v="1"/>
    <s v="Ganesan, Srinivasan"/>
    <s v="DeHart, Lynn"/>
    <x v="2"/>
    <s v="GSC AMER: MIRT Replacement - Phase II and deploy to other markets - 1 Offshore contractor. New capability for Late repackaging. This is a solution resource."/>
    <m/>
    <m/>
    <s v="2026-XFR-0024-A"/>
    <m/>
    <m/>
    <s v="Investigate LE2"/>
    <s v="2026 Budget Transfer"/>
    <s v="4/28/26 CHW New add to tie-out 0223 to 0317 Planful Extracts 2/20 Updated per RG - able to leverate existing contractors"/>
    <m/>
    <n v="120000"/>
    <n v="120000"/>
    <n v="120000"/>
    <n v="0"/>
    <m/>
    <m/>
    <m/>
    <n v="0"/>
    <n v="0"/>
    <n v="0"/>
    <n v="0"/>
    <n v="0"/>
    <n v="0"/>
    <n v="0"/>
    <n v="0"/>
    <n v="0"/>
    <n v="0"/>
    <n v="-120000"/>
    <m/>
    <m/>
    <n v="0"/>
    <n v="120000"/>
    <n v="-240000"/>
    <s v="XFRs not needed in 2026"/>
    <m/>
    <m/>
    <m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"/>
    <n v="10000"/>
    <n v="120000"/>
  </r>
  <r>
    <s v="N-ERP-576"/>
    <s v="Jajodia, Amit_CONTRACTORS_2026-XFR-0028-A"/>
    <s v="ERP-N"/>
    <x v="1"/>
    <s v="Jajodia, Amit"/>
    <s v="DeHart, Lynn"/>
    <x v="2"/>
    <s v="External Supply 2025 SCC Supply Chain Collaboration - DP &amp; SCC Solutions / Sustaining lifecycle Resources - Consultants. Deferred from 2025 to 2026, agreed with Susan - XFR0953"/>
    <m/>
    <m/>
    <s v="2026-XFR-0028-A"/>
    <m/>
    <m/>
    <s v="Investigate LE2"/>
    <s v="2026 Budget Transfer"/>
    <s v="4/28/26 CHW New add to tie-out 0223 to 0317 Planful Extracts Funding would go back to business. Want to combine this into IT-FBT0785_x000a_' XfR-0028-A had a transfer for 266K. This transfer is being merged in the WBS FBT0785 (original 325K). The forecast has been reduced to 378K, effectively reducing the forecast by $210K - AJ - 05/01"/>
    <m/>
    <n v="200000"/>
    <n v="200000"/>
    <n v="200000"/>
    <n v="0"/>
    <m/>
    <m/>
    <m/>
    <n v="0"/>
    <n v="0"/>
    <n v="0"/>
    <n v="0"/>
    <n v="0"/>
    <n v="0"/>
    <n v="0"/>
    <n v="0"/>
    <n v="0"/>
    <n v="0"/>
    <n v="-200000"/>
    <m/>
    <m/>
    <n v="0"/>
    <m/>
    <n v="-200000"/>
    <s v="Acct Mvmnt -'IT-FBT0785-OG-US-00/2026-XFR-0028-A Merged"/>
    <m/>
    <m/>
    <m/>
    <n v="0"/>
    <n v="0"/>
    <n v="0"/>
    <n v="0"/>
    <n v="0"/>
    <n v="0"/>
    <n v="0"/>
    <n v="0"/>
    <n v="0"/>
    <n v="0"/>
    <n v="16667"/>
    <n v="16667"/>
    <n v="16667"/>
    <n v="16667"/>
    <n v="16667"/>
    <n v="16667"/>
    <n v="16667"/>
    <n v="16667"/>
    <n v="16666"/>
    <n v="16666"/>
    <n v="16666"/>
    <n v="16666"/>
    <n v="200000"/>
  </r>
  <r>
    <s v="L-ERP-228"/>
    <s v="Jajodia, Amit_SOFTWARE_2026-XFR-0032-A"/>
    <s v="ERP"/>
    <x v="1"/>
    <s v="Jajodia, Amit"/>
    <s v="DeHart, Lynn"/>
    <x v="0"/>
    <s v="SAP Extended Warehouse Management for Vizag - SAP EWM (advanced Licenses) Need starting 2026"/>
    <m/>
    <m/>
    <s v="2026-XFR-0032-A"/>
    <m/>
    <m/>
    <m/>
    <s v="2026 Budget Transfer"/>
    <m/>
    <m/>
    <n v="18000"/>
    <n v="18000"/>
    <n v="18000"/>
    <n v="0"/>
    <m/>
    <m/>
    <m/>
    <n v="1500"/>
    <n v="1500"/>
    <n v="1500"/>
    <n v="1500"/>
    <n v="1500"/>
    <n v="1500"/>
    <n v="1500"/>
    <n v="1500"/>
    <n v="1500"/>
    <n v="13500"/>
    <n v="-4500"/>
    <m/>
    <m/>
    <n v="0"/>
    <m/>
    <n v="-4500"/>
    <m/>
    <m/>
    <m/>
    <m/>
    <n v="1500"/>
    <n v="1500"/>
    <n v="1500"/>
    <n v="1500"/>
    <n v="1500"/>
    <n v="1500"/>
    <n v="1500"/>
    <n v="1500"/>
    <n v="1500"/>
    <n v="13500"/>
    <m/>
    <m/>
    <m/>
    <n v="1500"/>
    <n v="1500"/>
    <n v="1500"/>
    <n v="1500"/>
    <n v="1500"/>
    <n v="1500"/>
    <n v="1500"/>
    <n v="1500"/>
    <n v="1500"/>
    <n v="13500"/>
  </r>
  <r>
    <s v="L-ERP-566"/>
    <s v="Yeluri, Durga_MANAGED SERVICES_2026-XFR-0033-A"/>
    <s v="ERP"/>
    <x v="1"/>
    <s v="Yeluri, Durga"/>
    <s v="DeHart, Lynn"/>
    <x v="1"/>
    <s v="GSC Cx: Cost to Serve - Cost to Transport - BTAMS support costs"/>
    <m/>
    <m/>
    <s v="2026-XFR-0033-A"/>
    <m/>
    <m/>
    <m/>
    <s v="2026 Budget Transfer"/>
    <s v="5/4 CHW - Intentional giveback as decom discussion on-going"/>
    <m/>
    <n v="100000.00000000001"/>
    <n v="100000.00000000001"/>
    <n v="100000.00000000001"/>
    <n v="0"/>
    <m/>
    <m/>
    <m/>
    <m/>
    <m/>
    <m/>
    <n v="10000"/>
    <n v="10000"/>
    <n v="10000"/>
    <n v="10000"/>
    <n v="10000"/>
    <n v="10000"/>
    <n v="60000"/>
    <n v="-40000.000000000015"/>
    <m/>
    <m/>
    <n v="0"/>
    <m/>
    <n v="-40000.000000000015"/>
    <s v="Removed Q2 coverage until a decision is made on Celonis BAU / Replatforming"/>
    <m/>
    <m/>
    <m/>
    <m/>
    <m/>
    <m/>
    <n v="10000"/>
    <n v="10000"/>
    <n v="10000"/>
    <n v="10000"/>
    <n v="10000"/>
    <n v="10000"/>
    <n v="60000"/>
    <m/>
    <m/>
    <m/>
    <n v="10000"/>
    <n v="10000"/>
    <n v="10000"/>
    <n v="10000"/>
    <n v="10000"/>
    <n v="10000"/>
    <n v="10000"/>
    <n v="10000"/>
    <n v="10000"/>
    <n v="90000"/>
  </r>
  <r>
    <s v="L-ERP-063"/>
    <s v="Dougherty, Chris_SOFTWARE_2026-XFR-0034-A"/>
    <s v="ERP"/>
    <x v="0"/>
    <s v="Dougherty, Chris"/>
    <s v="Maguire, Karla"/>
    <x v="0"/>
    <s v="GLNS E2E Global Import Broker Integration - OpenText server storage costs for archived documents added to OpenText every year"/>
    <m/>
    <m/>
    <s v="2026-XFR-0034-A"/>
    <m/>
    <m/>
    <m/>
    <s v="2026 Budget Transfer"/>
    <m/>
    <m/>
    <n v="0"/>
    <n v="0"/>
    <n v="0"/>
    <n v="0"/>
    <m/>
    <m/>
    <m/>
    <n v="275"/>
    <n v="275"/>
    <n v="275"/>
    <n v="275"/>
    <n v="275"/>
    <n v="275"/>
    <n v="275"/>
    <n v="275"/>
    <n v="275"/>
    <n v="2475"/>
    <n v="2475"/>
    <m/>
    <m/>
    <n v="0"/>
    <m/>
    <n v="2475"/>
    <m/>
    <m/>
    <m/>
    <m/>
    <n v="275"/>
    <n v="275"/>
    <n v="275"/>
    <n v="275"/>
    <n v="275"/>
    <n v="275"/>
    <n v="275"/>
    <n v="275"/>
    <n v="275"/>
    <n v="2475"/>
    <m/>
    <m/>
    <m/>
    <n v="275"/>
    <n v="275"/>
    <n v="275"/>
    <n v="275"/>
    <n v="275"/>
    <n v="275"/>
    <n v="275"/>
    <n v="275"/>
    <n v="275"/>
    <n v="2475"/>
  </r>
  <r>
    <s v="N-ERP-573"/>
    <s v="Hovanyetz, Mike_SOFTWARE_2026-XFR-0034-A"/>
    <s v="ERP-N"/>
    <x v="1"/>
    <s v="Hovanyetz, Mike"/>
    <s v="DeHart, Lynn"/>
    <x v="0"/>
    <s v="GLNS E2E Global Import Broker Integration - OpenText server storage costs for archived documents added to OpenText every year"/>
    <m/>
    <m/>
    <s v="2026-XFR-0034-A"/>
    <m/>
    <m/>
    <s v="Investigate LE2"/>
    <s v="2026 Budget Transfer"/>
    <s v="4/28/26 CHW New add to tie-out 0223 to 0317 Planful Extracts Cost center change from Mike Hovanyetz to Chris Dougherty &amp; removed forecast"/>
    <m/>
    <n v="3300"/>
    <n v="3300"/>
    <n v="3300"/>
    <n v="0"/>
    <m/>
    <m/>
    <m/>
    <n v="0"/>
    <n v="0"/>
    <n v="0"/>
    <n v="0"/>
    <n v="0"/>
    <n v="0"/>
    <n v="0"/>
    <n v="0"/>
    <n v="0"/>
    <n v="0"/>
    <n v="-3300"/>
    <m/>
    <m/>
    <n v="0"/>
    <m/>
    <n v="-3300"/>
    <m/>
    <m/>
    <m/>
    <m/>
    <n v="0"/>
    <n v="0"/>
    <n v="0"/>
    <n v="0"/>
    <n v="0"/>
    <n v="0"/>
    <n v="0"/>
    <n v="0"/>
    <n v="0"/>
    <n v="0"/>
    <n v="275"/>
    <n v="275"/>
    <n v="275"/>
    <n v="275"/>
    <n v="275"/>
    <n v="275"/>
    <n v="275"/>
    <n v="275"/>
    <n v="275"/>
    <n v="275"/>
    <n v="275"/>
    <n v="275"/>
    <n v="3300"/>
  </r>
  <r>
    <s v="L-ERP-567"/>
    <s v="Yeluri, Durga_MANAGED SERVICES_2026-XFR-0035-A"/>
    <s v="ERP"/>
    <x v="1"/>
    <s v="Yeluri, Durga"/>
    <s v="DeHart, Lynn"/>
    <x v="1"/>
    <s v="ESG: Migration of GLNS Calculations from Tableau - BTAMS support costs"/>
    <m/>
    <m/>
    <s v="2026-XFR-0035-A"/>
    <m/>
    <m/>
    <m/>
    <s v="2026 Budget Transfer"/>
    <s v="5/4 CHW - Intentional giveback as decom discussion on-going"/>
    <m/>
    <n v="64999.999999999985"/>
    <n v="64999.999999999985"/>
    <n v="64999.999999999985"/>
    <n v="0"/>
    <m/>
    <m/>
    <m/>
    <m/>
    <m/>
    <m/>
    <n v="6500"/>
    <n v="6500"/>
    <n v="6500"/>
    <n v="6500"/>
    <n v="6500"/>
    <n v="6500"/>
    <n v="39000"/>
    <n v="-25999.999999999985"/>
    <m/>
    <m/>
    <n v="0"/>
    <m/>
    <n v="-25999.999999999985"/>
    <s v="Removed Q2 coverage until a decision is made on Celonis BAU / Replatforming"/>
    <m/>
    <m/>
    <m/>
    <m/>
    <m/>
    <m/>
    <n v="6500"/>
    <n v="6500"/>
    <n v="6500"/>
    <n v="6500"/>
    <n v="6500"/>
    <n v="6500"/>
    <n v="39000"/>
    <m/>
    <m/>
    <m/>
    <n v="6500"/>
    <n v="6500"/>
    <n v="6500"/>
    <n v="6500"/>
    <n v="6500"/>
    <n v="6500"/>
    <n v="6500"/>
    <n v="6500"/>
    <n v="6500"/>
    <n v="58500"/>
  </r>
  <r>
    <s v="L-ERP-504"/>
    <s v="Tamavada, Ram_SOFTWARE_2026-XFR-0036-A"/>
    <s v="ERP"/>
    <x v="0"/>
    <s v="Tamavada, Ram"/>
    <s v="Maguire, Karla"/>
    <x v="0"/>
    <s v="2026 L-SGN Budget Transfer for incremental ERP Costs - Budget transfer for Oracle EBS Software License Costs"/>
    <m/>
    <m/>
    <s v="2026-XFR-0036-A"/>
    <m/>
    <m/>
    <m/>
    <s v="2026 Budget Transfer"/>
    <m/>
    <m/>
    <n v="0"/>
    <n v="0"/>
    <n v="0"/>
    <n v="0"/>
    <m/>
    <n v="-118715.37"/>
    <n v="0"/>
    <n v="0"/>
    <n v="0"/>
    <n v="0"/>
    <n v="0"/>
    <m/>
    <n v="0"/>
    <n v="0"/>
    <n v="0"/>
    <n v="0"/>
    <n v="-118715.37"/>
    <n v="-118715.37"/>
    <m/>
    <m/>
    <n v="0"/>
    <m/>
    <n v="-118715.37"/>
    <m/>
    <m/>
    <n v="-118715.37"/>
    <n v="0"/>
    <n v="0"/>
    <n v="0"/>
    <n v="0"/>
    <n v="0"/>
    <m/>
    <n v="0"/>
    <n v="0"/>
    <n v="0"/>
    <n v="0"/>
    <n v="-118715.37"/>
    <m/>
    <n v="-118715.37"/>
    <n v="0"/>
    <n v="0"/>
    <n v="0"/>
    <n v="0"/>
    <n v="0"/>
    <n v="0"/>
    <n v="0"/>
    <n v="0"/>
    <n v="0"/>
    <n v="0"/>
    <n v="-118715.37"/>
  </r>
  <r>
    <s v="N-ERP-559"/>
    <s v="Ganesan, Srinivasan_CONTRACTORS_2026-XFR-0043-A"/>
    <s v="ERP-N"/>
    <x v="1"/>
    <s v="Ganesan, Srinivasan"/>
    <s v="DeHart, Lynn"/>
    <x v="2"/>
    <s v="GSC GLNS ALC Redressing - 50% One offshore contractor; New Global Capability. Only 0.5FTE requested for support. Eventually, will be transferred to BTAMS"/>
    <m/>
    <m/>
    <s v="2026-XFR-0043-A"/>
    <m/>
    <m/>
    <s v="Investigate LE2"/>
    <s v="2026 Budget Transfer"/>
    <s v="4/28/26 CHW New add to tie-out 0223 to 0317 Planful Extracts"/>
    <m/>
    <n v="70000.000000000015"/>
    <n v="70000.000000000015"/>
    <n v="70000.000000000015"/>
    <n v="0"/>
    <m/>
    <m/>
    <m/>
    <n v="0"/>
    <n v="0"/>
    <n v="0"/>
    <n v="0"/>
    <n v="0"/>
    <n v="0"/>
    <n v="0"/>
    <n v="0"/>
    <n v="0"/>
    <n v="0"/>
    <n v="-70000.000000000015"/>
    <m/>
    <m/>
    <n v="0"/>
    <n v="70000"/>
    <n v="-14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s v="L-ERP-227"/>
    <s v="Jajodia, Amit_CONTRACTORS_2026-XFR-0050-A"/>
    <s v="ERP"/>
    <x v="1"/>
    <s v="Jajodia, Amit"/>
    <s v="DeHart, Lynn"/>
    <x v="2"/>
    <s v="2024 BRM - Quality Q Ship Project - New project going live in Nov 2025. Support costs for new solution and fine tuning"/>
    <m/>
    <m/>
    <s v="2026-XFR-0050-A"/>
    <m/>
    <m/>
    <m/>
    <s v="2026 Budget Transfer"/>
    <s v=" XfR-0050-A had a transfer for 150K. This transfer is being merged wth WBS  CTR0041 (original 824K). The forecast has been reduced to 592K, effectively reducing the forecast by $362K, XFR-0050 will 0 - AJ - 05/01"/>
    <m/>
    <n v="150000"/>
    <n v="150000"/>
    <n v="150000"/>
    <n v="0"/>
    <m/>
    <m/>
    <m/>
    <n v="0"/>
    <n v="0"/>
    <n v="0"/>
    <n v="0"/>
    <n v="0"/>
    <n v="0"/>
    <n v="0"/>
    <n v="0"/>
    <n v="0"/>
    <n v="0"/>
    <n v="-150000"/>
    <m/>
    <m/>
    <n v="0"/>
    <m/>
    <n v="-150000"/>
    <m/>
    <m/>
    <m/>
    <m/>
    <n v="0"/>
    <n v="0"/>
    <n v="0"/>
    <n v="0"/>
    <n v="0"/>
    <n v="0"/>
    <n v="0"/>
    <n v="0"/>
    <n v="0"/>
    <n v="0"/>
    <m/>
    <m/>
    <m/>
    <n v="12500"/>
    <n v="12500"/>
    <n v="12500"/>
    <n v="12500"/>
    <n v="12500"/>
    <n v="12500"/>
    <n v="12500"/>
    <n v="12500"/>
    <n v="12500"/>
    <n v="112500"/>
  </r>
  <r>
    <s v="N-ERP-560"/>
    <s v="Ganesan, Srinivasan_CONTRACTORS_2026-XFR-0051-A"/>
    <s v="ERP-N"/>
    <x v="1"/>
    <s v="Ganesan, Srinivasan"/>
    <s v="DeHart, Lynn"/>
    <x v="2"/>
    <s v="GSC Comirnaty Launch 2025 - One offshore contractor to support new capabilities are built as part of this initiative, including new interfaces and Fiori Apps and dashboards"/>
    <m/>
    <m/>
    <s v="2026-XFR-0051-A"/>
    <m/>
    <m/>
    <s v="Investigate LE2"/>
    <s v="2026 Budget Transfer"/>
    <s v="4/28/26 CHW New add to tie-out 0223 to 0317 Planful Extracts"/>
    <m/>
    <n v="140000"/>
    <n v="140000"/>
    <n v="140000"/>
    <n v="0"/>
    <m/>
    <m/>
    <m/>
    <n v="0"/>
    <n v="0"/>
    <n v="0"/>
    <n v="0"/>
    <n v="0"/>
    <n v="0"/>
    <n v="0"/>
    <n v="0"/>
    <n v="0"/>
    <n v="0"/>
    <n v="-140000"/>
    <m/>
    <m/>
    <n v="0"/>
    <n v="140000"/>
    <n v="-280000"/>
    <s v="XFRs not needed in 2026"/>
    <m/>
    <m/>
    <m/>
    <n v="0"/>
    <n v="0"/>
    <n v="0"/>
    <n v="0"/>
    <n v="0"/>
    <n v="0"/>
    <n v="0"/>
    <n v="0"/>
    <n v="0"/>
    <n v="0"/>
    <n v="11666.63"/>
    <n v="11666.67"/>
    <n v="11666.67"/>
    <n v="11666.67"/>
    <n v="11666.67"/>
    <n v="11666.67"/>
    <n v="11666.67"/>
    <n v="11666.67"/>
    <n v="11666.67"/>
    <n v="11666.67"/>
    <n v="11666.67"/>
    <n v="11666.67"/>
    <n v="140000"/>
  </r>
  <r>
    <s v="N-ERP-577"/>
    <s v="Jajodia, Amit_CONTRACTORS_2026-XFR-0053-A"/>
    <s v="ERP-N"/>
    <x v="1"/>
    <s v="Jajodia, Amit"/>
    <s v="DeHart, Lynn"/>
    <x v="2"/>
    <s v="2024 External Supply Portfolio Lifecycle - Sustain &amp; Grow - External Supply - Solutions functional support"/>
    <m/>
    <m/>
    <s v="2026-XFR-0053-A"/>
    <m/>
    <m/>
    <s v="Investigate LE2"/>
    <s v="2026 Budget Transfer"/>
    <s v="4/28/26 CHW New add to tie-out 0223 to 0317 Planful Extracts"/>
    <m/>
    <n v="-199716"/>
    <n v="-199716"/>
    <n v="-199716"/>
    <n v="0"/>
    <m/>
    <m/>
    <m/>
    <n v="-16643"/>
    <n v="-16643"/>
    <n v="-16643"/>
    <n v="-16643"/>
    <n v="-16643"/>
    <n v="-16643"/>
    <n v="-16643"/>
    <n v="-16643"/>
    <n v="-16643"/>
    <n v="-149787"/>
    <n v="49929"/>
    <m/>
    <m/>
    <n v="0"/>
    <m/>
    <n v="49929"/>
    <m/>
    <m/>
    <m/>
    <m/>
    <n v="-16643"/>
    <n v="-16643"/>
    <n v="-16643"/>
    <n v="-16643"/>
    <n v="-16643"/>
    <n v="-16643"/>
    <n v="-16643"/>
    <n v="-16643"/>
    <n v="-16643"/>
    <n v="-149787"/>
    <n v="-16643"/>
    <n v="-16643"/>
    <n v="-16643"/>
    <n v="-16643"/>
    <n v="-16643"/>
    <n v="-16643"/>
    <n v="-16643"/>
    <n v="-16643"/>
    <n v="-16643"/>
    <n v="-16643"/>
    <n v="-16643"/>
    <n v="-16643"/>
    <n v="-199716"/>
  </r>
  <r>
    <s v="N-ERP-578"/>
    <s v="Jajodia, Amit_CONTRACTORS_2026-XFR-0054-A"/>
    <s v="ERP-N"/>
    <x v="1"/>
    <s v="Jajodia, Amit"/>
    <s v="DeHart, Lynn"/>
    <x v="2"/>
    <s v="External Supply Portfolio Lifecycle - Service Now - External Supply - Solutions functional support"/>
    <m/>
    <m/>
    <s v="2026-XFR-0054-A"/>
    <m/>
    <m/>
    <s v="Investigate LE2"/>
    <s v="2026 Budget Transfer"/>
    <s v="4/28/26 CHW New add to tie-out 0223 to 0317 Planful Extracts"/>
    <m/>
    <n v="-289999.99999999988"/>
    <n v="-289999.99999999988"/>
    <n v="-289999.99999999988"/>
    <n v="0"/>
    <m/>
    <m/>
    <m/>
    <n v="-24166.67"/>
    <n v="-24166.67"/>
    <n v="-24166.67"/>
    <n v="-24166.67"/>
    <n v="-24166.67"/>
    <n v="-24166.67"/>
    <n v="-24166.67"/>
    <n v="-24166.67"/>
    <n v="-24166.67"/>
    <n v="-217500.02999999997"/>
    <n v="72499.969999999914"/>
    <m/>
    <m/>
    <n v="0"/>
    <m/>
    <n v="72499.969999999914"/>
    <m/>
    <m/>
    <m/>
    <m/>
    <n v="-24166.67"/>
    <n v="-24166.67"/>
    <n v="-24166.67"/>
    <n v="-24166.67"/>
    <n v="-24166.67"/>
    <n v="-24166.67"/>
    <n v="-24166.67"/>
    <n v="-24166.67"/>
    <n v="-24166.67"/>
    <n v="-217500.02999999997"/>
    <n v="-24166.63"/>
    <n v="-24166.67"/>
    <n v="-24166.67"/>
    <n v="-24166.67"/>
    <n v="-24166.67"/>
    <n v="-24166.67"/>
    <n v="-24166.67"/>
    <n v="-24166.67"/>
    <n v="-24166.67"/>
    <n v="-24166.67"/>
    <n v="-24166.67"/>
    <n v="-24166.67"/>
    <n v="-289999.99999999988"/>
  </r>
  <r>
    <s v="L-ERP-215"/>
    <s v="Hovanyetz, Mike_SOFTWARE_2026-XFR-0059-A"/>
    <s v="ERP"/>
    <x v="1"/>
    <s v="Hovanyetz, Mike"/>
    <s v="DeHart, Lynn"/>
    <x v="0"/>
    <s v="2026 L-SGN Budget Transfer for incremental ERP Costs - Budget transfer for Oracle OCI Software Usage Costs"/>
    <m/>
    <m/>
    <s v="2026-XFR-0059-A"/>
    <m/>
    <m/>
    <m/>
    <s v="2026 Budget Transfer"/>
    <m/>
    <m/>
    <n v="0"/>
    <n v="0"/>
    <n v="0"/>
    <n v="0"/>
    <n v="24000"/>
    <n v="0"/>
    <n v="0"/>
    <n v="0"/>
    <n v="0"/>
    <n v="0"/>
    <n v="0"/>
    <n v="0"/>
    <n v="0"/>
    <n v="0"/>
    <n v="0"/>
    <n v="0"/>
    <n v="24000"/>
    <n v="24000"/>
    <m/>
    <m/>
    <n v="0"/>
    <m/>
    <n v="24000"/>
    <m/>
    <n v="24000"/>
    <n v="0"/>
    <n v="0"/>
    <n v="0"/>
    <n v="0"/>
    <n v="0"/>
    <n v="0"/>
    <n v="0"/>
    <n v="0"/>
    <n v="0"/>
    <n v="0"/>
    <n v="0"/>
    <n v="24000"/>
    <n v="24000"/>
    <n v="0"/>
    <n v="0"/>
    <n v="0"/>
    <n v="0"/>
    <n v="0"/>
    <n v="0"/>
    <n v="0"/>
    <n v="0"/>
    <n v="0"/>
    <n v="0"/>
    <n v="0"/>
    <n v="24000"/>
  </r>
  <r>
    <s v="L-ERP-258"/>
    <s v="Johnson, Paul_MANAGED SERVICES_2026-XFR-0063-A"/>
    <s v="ERP"/>
    <x v="1"/>
    <s v="Johnson, Paul"/>
    <s v="DeHart, Lynn"/>
    <x v="1"/>
    <s v="Regulatory Intelligence - 2026 Annual amount as $2,630/mo * 12 months = $31,560"/>
    <m/>
    <m/>
    <s v="2026-XFR-0063-A"/>
    <m/>
    <m/>
    <m/>
    <s v="2026 Budget Transfer"/>
    <m/>
    <m/>
    <n v="31560"/>
    <n v="31560"/>
    <n v="31560"/>
    <n v="0"/>
    <m/>
    <m/>
    <m/>
    <n v="2630"/>
    <n v="2630"/>
    <n v="2630"/>
    <n v="2630"/>
    <n v="2630"/>
    <n v="2630"/>
    <n v="2630"/>
    <n v="2630"/>
    <n v="2630"/>
    <n v="23670"/>
    <n v="-7890"/>
    <m/>
    <m/>
    <n v="0"/>
    <m/>
    <n v="-7890"/>
    <m/>
    <m/>
    <m/>
    <m/>
    <n v="2630"/>
    <n v="2630"/>
    <n v="2630"/>
    <n v="2630"/>
    <n v="2630"/>
    <n v="2630"/>
    <n v="2630"/>
    <n v="2630"/>
    <n v="2630"/>
    <n v="23670"/>
    <m/>
    <m/>
    <m/>
    <n v="2630"/>
    <n v="2630"/>
    <n v="2630"/>
    <n v="2630"/>
    <n v="2630"/>
    <n v="2630"/>
    <n v="2630"/>
    <n v="2630"/>
    <n v="2630"/>
    <n v="23670"/>
  </r>
  <r>
    <s v="N-ERP-607"/>
    <s v="Meadows, Leslie_SOFTWARE_2026-XFR-KM001"/>
    <s v="ERP-N"/>
    <x v="0"/>
    <s v="Meadows, Leslie"/>
    <s v="Maguire, Karla"/>
    <x v="0"/>
    <s v="Syniti DSP Upgrade to Cloud SKP (Syniti Knowledge Platform) - TBD"/>
    <m/>
    <m/>
    <s v="2026-XFR-KM001"/>
    <m/>
    <n v="9500810226"/>
    <m/>
    <s v="5/15 CHW - Syniti paid thru 12/30/2027; 2026 Budget Transfer"/>
    <m/>
    <m/>
    <n v="282999.99999599991"/>
    <n v="282999.99999599991"/>
    <n v="282999.99999599991"/>
    <n v="0"/>
    <m/>
    <m/>
    <m/>
    <n v="0"/>
    <n v="0"/>
    <n v="0"/>
    <n v="0"/>
    <n v="0"/>
    <n v="0"/>
    <n v="0"/>
    <n v="0"/>
    <n v="0"/>
    <n v="0"/>
    <n v="-282999.99999599991"/>
    <m/>
    <m/>
    <n v="0"/>
    <n v="-283000"/>
    <n v="4.0000886656343937E-6"/>
    <s v="Syniti paid thru 12/30/2027"/>
    <m/>
    <m/>
    <m/>
    <n v="0"/>
    <n v="0"/>
    <n v="0"/>
    <n v="0"/>
    <n v="0"/>
    <n v="0"/>
    <n v="0"/>
    <n v="0"/>
    <n v="0"/>
    <n v="0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82999.99999599991"/>
  </r>
  <r>
    <s v="ERP-003"/>
    <s v="Hovanyetz, Mike_SOFTWARE_2026-XFR-LD001"/>
    <s v="ERP"/>
    <x v="1"/>
    <s v="Hovanyetz, Mike"/>
    <s v="Hovanyetz, Mike"/>
    <x v="0"/>
    <s v="SAP Global Trade Services Upgrade: offshore support - Offshore ERP support cost"/>
    <m/>
    <m/>
    <s v="2026-XFR-LD001"/>
    <s v="CHW - Ok"/>
    <m/>
    <m/>
    <s v="2026 Budget Transfer"/>
    <s v="CHW 5/5 - removed forecast as covered in IT-FBT0281-OG-US-00 per Leslie; LZ 4/27 - Move forecast from Raj H to Mike H"/>
    <m/>
    <m/>
    <n v="0"/>
    <m/>
    <n v="0"/>
    <m/>
    <m/>
    <m/>
    <m/>
    <m/>
    <m/>
    <m/>
    <m/>
    <m/>
    <n v="0"/>
    <n v="0"/>
    <n v="0"/>
    <n v="0"/>
    <n v="0"/>
    <m/>
    <m/>
    <n v="0"/>
    <m/>
    <n v="0"/>
    <m/>
    <m/>
    <m/>
    <m/>
    <m/>
    <m/>
    <m/>
    <m/>
    <m/>
    <m/>
    <n v="0"/>
    <n v="0"/>
    <n v="0"/>
    <n v="0"/>
    <m/>
    <m/>
    <m/>
    <m/>
    <m/>
    <m/>
    <m/>
    <m/>
    <m/>
    <m/>
    <m/>
    <m/>
    <m/>
  </r>
  <r>
    <s v="L-ERP-178"/>
    <s v="Hase, Raj_SOFTWARE_2026-XFR-LD001"/>
    <s v="ERP"/>
    <x v="1"/>
    <s v="Hase, Raj"/>
    <s v="DeHart, Lynn"/>
    <x v="0"/>
    <s v="SAP Global Trade Services Upgrade: offshore support - Offshore ERP support cost"/>
    <m/>
    <m/>
    <s v="2026-XFR-LD001"/>
    <s v="CHW - Ok"/>
    <m/>
    <m/>
    <s v="2026 Budget Transfer"/>
    <s v="LZ 4/27 - Move forecast from Raj H to Mike H"/>
    <m/>
    <n v="174240"/>
    <n v="174240"/>
    <n v="174240"/>
    <n v="0"/>
    <m/>
    <m/>
    <m/>
    <n v="0"/>
    <n v="0"/>
    <n v="0"/>
    <n v="0"/>
    <n v="0"/>
    <n v="0"/>
    <n v="0"/>
    <n v="0"/>
    <n v="0"/>
    <n v="0"/>
    <n v="-174240"/>
    <m/>
    <m/>
    <n v="0"/>
    <m/>
    <n v="-174240"/>
    <m/>
    <m/>
    <m/>
    <m/>
    <n v="0"/>
    <n v="0"/>
    <n v="0"/>
    <n v="0"/>
    <n v="0"/>
    <n v="0"/>
    <n v="0"/>
    <n v="0"/>
    <n v="0"/>
    <n v="0"/>
    <m/>
    <m/>
    <m/>
    <n v="14520"/>
    <n v="14520"/>
    <n v="14520"/>
    <n v="14520"/>
    <n v="14520"/>
    <n v="14520"/>
    <n v="14520"/>
    <n v="14520"/>
    <n v="14520"/>
    <n v="130680"/>
  </r>
  <r>
    <s v="ERP-004"/>
    <s v="Hovanyetz, Mike_SOFTWARE_2026-XFR-LD002"/>
    <s v="ERP"/>
    <x v="1"/>
    <s v="Hovanyetz, Mike"/>
    <s v="Hovanyetz, Mike"/>
    <x v="0"/>
    <s v="SAP Global Trade Services Upgrade: software maintenance - SAP annual software maintenance"/>
    <m/>
    <m/>
    <s v="2026-XFR-LD002"/>
    <s v="CHW - Ok"/>
    <m/>
    <m/>
    <s v="2026 Budget Transfer"/>
    <s v="CHW 5/5 - removed forecast as covered in IT-SFT1009-46 per Leslie; 'LZ 4/27 - Move forecast from Raj H to Mike H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s v="L-ERP-179"/>
    <s v="Hase, Raj_SOFTWARE_2026-XFR-LD002"/>
    <s v="ERP"/>
    <x v="1"/>
    <s v="Hase, Raj"/>
    <s v="DeHart, Lynn"/>
    <x v="0"/>
    <s v="SAP Global Trade Services Upgrade: software maintenance - SAP annual software maintenance"/>
    <m/>
    <m/>
    <s v="2026-XFR-LD002"/>
    <s v="CHW - Ok"/>
    <m/>
    <m/>
    <s v="2026 Budget Transfer"/>
    <s v="LZ 4/27 - Move forecast from Raj H to Mike H"/>
    <m/>
    <n v="266860.99999999988"/>
    <n v="266860.99999999988"/>
    <n v="266860.99999999988"/>
    <n v="0"/>
    <m/>
    <m/>
    <m/>
    <n v="0"/>
    <n v="0"/>
    <n v="0"/>
    <n v="0"/>
    <n v="0"/>
    <n v="0"/>
    <n v="0"/>
    <n v="0"/>
    <n v="0"/>
    <n v="0"/>
    <n v="-266860.99999999988"/>
    <m/>
    <m/>
    <n v="0"/>
    <m/>
    <n v="-266860.99999999988"/>
    <m/>
    <m/>
    <m/>
    <m/>
    <n v="0"/>
    <n v="0"/>
    <n v="0"/>
    <n v="0"/>
    <n v="0"/>
    <n v="0"/>
    <n v="0"/>
    <n v="0"/>
    <n v="0"/>
    <n v="0"/>
    <m/>
    <m/>
    <m/>
    <n v="22238.42"/>
    <n v="22238.42"/>
    <n v="22238.42"/>
    <n v="22238.42"/>
    <n v="22238.42"/>
    <n v="22238.42"/>
    <n v="22238.42"/>
    <n v="22238.42"/>
    <n v="22238.42"/>
    <n v="200145.77999999997"/>
  </r>
  <r>
    <s v="L-ERP-350"/>
    <s v="McCormick, Pete_HW MAINTENANCE_2026-XFR-ML001"/>
    <s v="ERP"/>
    <x v="0"/>
    <s v="McCormick, Pete"/>
    <s v="Maguire, Karla"/>
    <x v="3"/>
    <s v="SAP ERP - 2025 Lifecycle Management Projects - Citrix Servers - Production AWS"/>
    <m/>
    <m/>
    <s v="2026-XFR-ML001"/>
    <m/>
    <m/>
    <m/>
    <s v="2026 Budget Transfer"/>
    <m/>
    <m/>
    <n v="51615"/>
    <n v="51615"/>
    <n v="51615"/>
    <n v="0"/>
    <m/>
    <m/>
    <m/>
    <n v="4301.25"/>
    <n v="4301.25"/>
    <n v="4301.25"/>
    <n v="4301.25"/>
    <n v="4301.25"/>
    <n v="4301.25"/>
    <n v="4301.25"/>
    <n v="4301.25"/>
    <n v="4301.25"/>
    <n v="38711.25"/>
    <n v="-12903.75"/>
    <m/>
    <m/>
    <n v="0"/>
    <m/>
    <n v="-12903.75"/>
    <m/>
    <m/>
    <m/>
    <m/>
    <n v="4301.25"/>
    <n v="4301.25"/>
    <n v="4301.25"/>
    <n v="4301.25"/>
    <n v="4301.25"/>
    <n v="4301.25"/>
    <n v="4301.25"/>
    <n v="4301.25"/>
    <n v="4301.25"/>
    <n v="38711.25"/>
    <m/>
    <m/>
    <m/>
    <n v="4301.25"/>
    <n v="4301.25"/>
    <n v="4301.25"/>
    <n v="4301.25"/>
    <n v="4301.25"/>
    <n v="4301.25"/>
    <n v="4301.25"/>
    <n v="4301.25"/>
    <n v="4301.25"/>
    <n v="38711.25"/>
  </r>
  <r>
    <s v="L-ERP-351"/>
    <s v="McCormick, Pete_HW MAINTENANCE_2026-XFR-ML002"/>
    <s v="ERP"/>
    <x v="0"/>
    <s v="McCormick, Pete"/>
    <s v="Maguire, Karla"/>
    <x v="3"/>
    <s v="SAP ERP - 2025 Lifecycle Management Projects - Citrix Servers - On Prem - Durham"/>
    <m/>
    <m/>
    <s v="2026-XFR-ML002"/>
    <m/>
    <m/>
    <m/>
    <s v="2026 Budget Transfer"/>
    <m/>
    <m/>
    <n v="-12195"/>
    <n v="-12195"/>
    <n v="-12195"/>
    <n v="0"/>
    <m/>
    <m/>
    <m/>
    <n v="-1016.25"/>
    <n v="-1016.25"/>
    <n v="-1016.25"/>
    <n v="-1016.25"/>
    <n v="-1016.25"/>
    <n v="-1016.25"/>
    <n v="-1016.25"/>
    <n v="-1016.25"/>
    <n v="-1016.25"/>
    <n v="-9146.25"/>
    <n v="3048.75"/>
    <m/>
    <m/>
    <n v="0"/>
    <m/>
    <n v="3048.7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s v="L-ERP-352"/>
    <s v="McCormick, Pete_HW MAINTENANCE_2026-XFR-ML003"/>
    <s v="ERP"/>
    <x v="0"/>
    <s v="McCormick, Pete"/>
    <s v="Maguire, Karla"/>
    <x v="3"/>
    <s v="SAP ERP - 2025 Lifecycle Management Projects - Citrix Servers - On Prem - Somerset"/>
    <m/>
    <m/>
    <s v="2026-XFR-ML003"/>
    <m/>
    <m/>
    <m/>
    <s v="2026 Budget Transfer"/>
    <m/>
    <m/>
    <n v="-12195"/>
    <n v="-12195"/>
    <n v="-12195"/>
    <n v="0"/>
    <m/>
    <m/>
    <m/>
    <n v="-1016.25"/>
    <n v="-1016.25"/>
    <n v="-1016.25"/>
    <n v="-1016.25"/>
    <n v="-1016.25"/>
    <n v="-1016.25"/>
    <n v="-1016.25"/>
    <n v="-1016.25"/>
    <n v="-1016.25"/>
    <n v="-9146.25"/>
    <n v="3048.75"/>
    <m/>
    <m/>
    <n v="0"/>
    <m/>
    <n v="3048.7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s v="L-ERP-311"/>
    <s v="Maguire, Karla_MANAGED SERVICES_BillingRev001"/>
    <s v="ERP"/>
    <x v="0"/>
    <s v="Maguire, Karla"/>
    <s v="Maguire, Karla"/>
    <x v="1"/>
    <s v="Billing Forecast - Cloud Brokerage"/>
    <m/>
    <m/>
    <s v="BillingRev001"/>
    <m/>
    <m/>
    <m/>
    <s v="Billing Related - Cloud Brokerag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393"/>
    <s v="McGettigan, David_MANAGED SERVICES_BillingRev001"/>
    <s v="ERP"/>
    <x v="2"/>
    <s v="McGettigan, David"/>
    <s v="McGettigan, David"/>
    <x v="1"/>
    <s v="Billing Forecast - Cloud Brokerage"/>
    <m/>
    <m/>
    <s v="BillingRev001"/>
    <m/>
    <m/>
    <m/>
    <s v="Billing Related - Cloud Brokerag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N-ERP-508"/>
    <s v="Dougherty, Chris_MANAGED SERVICES_BillingRev019"/>
    <s v="ERP-N"/>
    <x v="0"/>
    <s v="Dougherty, Chris"/>
    <s v="Maguire, Karla"/>
    <x v="1"/>
    <s v="Billing Forecast - UC4 Automic"/>
    <m/>
    <m/>
    <s v="BillingRev019"/>
    <m/>
    <m/>
    <s v="Investigate LE2"/>
    <s v="Billing Related - UC4 Automic"/>
    <s v="4/28/26 CHW New add to tie-out 0223 to 0317 Planful Extracts 0"/>
    <m/>
    <n v="-21666.659999999996"/>
    <n v="-21666.659999999996"/>
    <n v="-21666.659999999996"/>
    <n v="0"/>
    <m/>
    <m/>
    <m/>
    <n v="-3333.33"/>
    <n v="-3333.33"/>
    <n v="-3333.33"/>
    <n v="-1666.67"/>
    <n v="-1666.67"/>
    <n v="-1666.67"/>
    <n v="0"/>
    <n v="0"/>
    <n v="0"/>
    <n v="-15000"/>
    <n v="6666.6599999999962"/>
    <m/>
    <m/>
    <n v="0"/>
    <m/>
    <n v="6666.6599999999962"/>
    <m/>
    <m/>
    <m/>
    <m/>
    <n v="-3333.33"/>
    <n v="-3333.33"/>
    <n v="-3333.33"/>
    <n v="-1666.67"/>
    <n v="-1666.67"/>
    <n v="-1666.67"/>
    <n v="0"/>
    <n v="0"/>
    <n v="0"/>
    <n v="-15000"/>
    <n v="0"/>
    <n v="-3333.33"/>
    <n v="-3333.33"/>
    <n v="-3333.33"/>
    <n v="-3333.33"/>
    <n v="-3333.33"/>
    <n v="-1666.67"/>
    <n v="-1666.67"/>
    <n v="-1666.67"/>
    <n v="0"/>
    <n v="0"/>
    <n v="0"/>
    <n v="-21666.659999999996"/>
  </r>
  <r>
    <s v="L-ERP-336"/>
    <s v="Maguire, Karla_SOFTWARE_BillingSweep001"/>
    <s v="ERP"/>
    <x v="0"/>
    <s v="Maguire, Karla"/>
    <s v="Maguire, Karla"/>
    <x v="0"/>
    <s v="Billing Sweep"/>
    <m/>
    <m/>
    <s v="BillingSweep001"/>
    <s v="CHW - Ok"/>
    <m/>
    <m/>
    <s v="None"/>
    <m/>
    <m/>
    <n v="0"/>
    <n v="0"/>
    <n v="0"/>
    <n v="0"/>
    <n v="-18074.080000000002"/>
    <n v="18074.080000000002"/>
    <n v="0"/>
    <n v="0"/>
    <n v="0"/>
    <n v="0"/>
    <n v="0"/>
    <n v="0"/>
    <n v="0"/>
    <n v="0"/>
    <n v="0"/>
    <n v="0"/>
    <n v="0"/>
    <n v="0"/>
    <m/>
    <m/>
    <n v="0"/>
    <m/>
    <n v="0"/>
    <m/>
    <n v="-18074.080000000002"/>
    <n v="18074.080000000002"/>
    <n v="0"/>
    <n v="0"/>
    <n v="0"/>
    <n v="0"/>
    <n v="0"/>
    <n v="0"/>
    <n v="0"/>
    <n v="0"/>
    <n v="0"/>
    <n v="0"/>
    <n v="0"/>
    <n v="-18074.080000000002"/>
    <n v="18074.080000000002"/>
    <n v="0"/>
    <n v="0"/>
    <n v="0"/>
    <n v="0"/>
    <n v="0"/>
    <n v="0"/>
    <n v="0"/>
    <n v="0"/>
    <n v="0"/>
    <n v="0"/>
    <n v="0"/>
  </r>
  <r>
    <s v="L-ERP-401"/>
    <s v="McGettigan, David_SOFTWARE_BillingSweep001"/>
    <s v="ERP"/>
    <x v="2"/>
    <s v="McGettigan, David"/>
    <s v="McGettigan, David"/>
    <x v="0"/>
    <s v="Billing Sweep"/>
    <m/>
    <m/>
    <s v="BillingSweep001"/>
    <s v="CHW - Ok"/>
    <m/>
    <m/>
    <s v="None"/>
    <m/>
    <m/>
    <n v="0"/>
    <n v="0"/>
    <n v="0"/>
    <n v="0"/>
    <n v="-6074.45"/>
    <n v="6074.45"/>
    <n v="0"/>
    <n v="0"/>
    <n v="0"/>
    <n v="0"/>
    <n v="0"/>
    <n v="0"/>
    <n v="0"/>
    <n v="0"/>
    <n v="0"/>
    <n v="0"/>
    <n v="0"/>
    <n v="0"/>
    <m/>
    <m/>
    <n v="0"/>
    <m/>
    <n v="0"/>
    <m/>
    <n v="-6074.45"/>
    <n v="6074.45"/>
    <n v="0"/>
    <n v="0"/>
    <n v="0"/>
    <n v="0"/>
    <n v="0"/>
    <n v="0"/>
    <n v="0"/>
    <n v="0"/>
    <n v="0"/>
    <n v="0"/>
    <n v="0"/>
    <n v="-6074.45"/>
    <n v="6074.45"/>
    <n v="0"/>
    <n v="0"/>
    <n v="0"/>
    <n v="0"/>
    <n v="0"/>
    <n v="0"/>
    <n v="0"/>
    <n v="0"/>
    <n v="0"/>
    <n v="0"/>
    <n v="0"/>
  </r>
  <r>
    <s v="L-ERP-337"/>
    <s v="Maguire, Karla_SOFTWARE_BillingSweep002"/>
    <s v="ERP"/>
    <x v="0"/>
    <s v="Maguire, Karla"/>
    <s v="Maguire, Karla"/>
    <x v="0"/>
    <s v="Billing Sweep"/>
    <m/>
    <m/>
    <s v="BillingSweep002"/>
    <s v="CHW - Ok"/>
    <m/>
    <m/>
    <s v="None"/>
    <m/>
    <m/>
    <n v="0"/>
    <n v="0"/>
    <n v="0"/>
    <n v="0"/>
    <n v="-1922.23"/>
    <n v="1922.23"/>
    <n v="0"/>
    <n v="0"/>
    <n v="0"/>
    <n v="0"/>
    <n v="0"/>
    <n v="0"/>
    <n v="0"/>
    <n v="0"/>
    <n v="0"/>
    <n v="0"/>
    <n v="0"/>
    <n v="0"/>
    <m/>
    <m/>
    <n v="0"/>
    <m/>
    <n v="0"/>
    <m/>
    <n v="-1922.23"/>
    <n v="1922.23"/>
    <n v="0"/>
    <n v="0"/>
    <n v="0"/>
    <n v="0"/>
    <n v="0"/>
    <n v="0"/>
    <n v="0"/>
    <n v="0"/>
    <n v="0"/>
    <n v="0"/>
    <n v="0"/>
    <n v="-1922.23"/>
    <n v="1922.23"/>
    <n v="0"/>
    <n v="0"/>
    <n v="0"/>
    <n v="0"/>
    <n v="0"/>
    <n v="0"/>
    <n v="0"/>
    <n v="0"/>
    <n v="0"/>
    <n v="0"/>
    <n v="0"/>
  </r>
  <r>
    <s v="L-ERP-402"/>
    <s v="McGettigan, David_SOFTWARE_BillingSweep002"/>
    <s v="ERP"/>
    <x v="2"/>
    <s v="McGettigan, David"/>
    <s v="McGettigan, David"/>
    <x v="0"/>
    <s v="Billing Sweep"/>
    <m/>
    <m/>
    <s v="BillingSweep002"/>
    <s v="CHW - Ok"/>
    <m/>
    <m/>
    <s v="None"/>
    <m/>
    <m/>
    <n v="0"/>
    <n v="0"/>
    <n v="0"/>
    <n v="0"/>
    <n v="-1978.48"/>
    <n v="1978.48"/>
    <n v="0"/>
    <n v="0"/>
    <n v="0"/>
    <n v="0"/>
    <n v="0"/>
    <n v="0"/>
    <n v="0"/>
    <n v="0"/>
    <n v="0"/>
    <n v="0"/>
    <n v="0"/>
    <n v="0"/>
    <m/>
    <m/>
    <n v="0"/>
    <m/>
    <n v="0"/>
    <m/>
    <n v="-1978.48"/>
    <n v="1978.48"/>
    <n v="0"/>
    <n v="0"/>
    <n v="0"/>
    <n v="0"/>
    <n v="0"/>
    <n v="0"/>
    <n v="0"/>
    <n v="0"/>
    <n v="0"/>
    <n v="0"/>
    <n v="0"/>
    <n v="-1978.48"/>
    <n v="1978.48"/>
    <n v="0"/>
    <n v="0"/>
    <n v="0"/>
    <n v="0"/>
    <n v="0"/>
    <n v="0"/>
    <n v="0"/>
    <n v="0"/>
    <n v="0"/>
    <n v="0"/>
    <n v="0"/>
  </r>
  <r>
    <s v="L-ERP-326"/>
    <s v="Maguire, Karla_HW MAINTENANCE_BillingSweep005"/>
    <s v="ERP"/>
    <x v="0"/>
    <s v="Maguire, Karla"/>
    <s v="Maguire, Karla"/>
    <x v="3"/>
    <s v="Billing Sweep"/>
    <m/>
    <m/>
    <s v="BillingSweep005"/>
    <s v="CHW - Ok"/>
    <m/>
    <m/>
    <s v="None"/>
    <m/>
    <m/>
    <n v="0"/>
    <n v="0"/>
    <n v="0"/>
    <n v="0"/>
    <m/>
    <n v="-904.37"/>
    <n v="0"/>
    <n v="0"/>
    <n v="0"/>
    <n v="0"/>
    <n v="0"/>
    <n v="0"/>
    <n v="0"/>
    <n v="0"/>
    <n v="0"/>
    <n v="0"/>
    <n v="-904.37"/>
    <n v="-904.37"/>
    <m/>
    <m/>
    <n v="0"/>
    <m/>
    <n v="-904.37"/>
    <m/>
    <m/>
    <n v="-904.37"/>
    <n v="0"/>
    <n v="0"/>
    <n v="0"/>
    <n v="0"/>
    <n v="0"/>
    <n v="0"/>
    <n v="0"/>
    <n v="0"/>
    <n v="0"/>
    <n v="0"/>
    <n v="-904.37"/>
    <m/>
    <n v="-904.37"/>
    <n v="0"/>
    <n v="0"/>
    <n v="0"/>
    <n v="0"/>
    <n v="0"/>
    <n v="0"/>
    <n v="0"/>
    <n v="0"/>
    <n v="0"/>
    <n v="0"/>
    <n v="-904.37"/>
  </r>
  <r>
    <s v="L-ERP-332"/>
    <s v="Maguire, Karla_MANAGED SERVICES_BillingSweep005"/>
    <s v="ERP"/>
    <x v="0"/>
    <s v="Maguire, Karla"/>
    <s v="Maguire, Karla"/>
    <x v="1"/>
    <s v="Billing Sweep"/>
    <m/>
    <m/>
    <s v="BillingSweep005"/>
    <s v="CHW - Ok"/>
    <m/>
    <m/>
    <s v="None"/>
    <m/>
    <m/>
    <n v="0"/>
    <n v="0"/>
    <n v="0"/>
    <n v="0"/>
    <m/>
    <n v="-108.52"/>
    <n v="0"/>
    <n v="0"/>
    <n v="0"/>
    <n v="0"/>
    <n v="0"/>
    <n v="0"/>
    <n v="0"/>
    <n v="0"/>
    <n v="0"/>
    <n v="0"/>
    <n v="-108.52"/>
    <n v="-108.52"/>
    <m/>
    <m/>
    <n v="0"/>
    <m/>
    <n v="-108.52"/>
    <m/>
    <m/>
    <n v="-108.52"/>
    <n v="0"/>
    <n v="0"/>
    <n v="0"/>
    <n v="0"/>
    <n v="0"/>
    <n v="0"/>
    <n v="0"/>
    <n v="0"/>
    <n v="0"/>
    <n v="0"/>
    <n v="-108.52"/>
    <m/>
    <n v="-108.52"/>
    <n v="0"/>
    <n v="0"/>
    <n v="0"/>
    <n v="0"/>
    <n v="0"/>
    <n v="0"/>
    <n v="0"/>
    <n v="0"/>
    <n v="0"/>
    <n v="0"/>
    <n v="-108.52"/>
  </r>
  <r>
    <s v="L-ERP-021"/>
    <s v="DeHart, Lynn_HW MAINTENANCE_BillingSweep005"/>
    <s v="ERP"/>
    <x v="1"/>
    <s v="DeHart, Lynn"/>
    <s v="DeHart, Lynn"/>
    <x v="3"/>
    <s v="Billing Sweep"/>
    <m/>
    <m/>
    <s v="BillingSweep005"/>
    <s v="CHW - Ok"/>
    <m/>
    <m/>
    <s v="None"/>
    <m/>
    <m/>
    <n v="0"/>
    <n v="0"/>
    <n v="0"/>
    <n v="0"/>
    <n v="904.37"/>
    <n v="0"/>
    <n v="0"/>
    <n v="0"/>
    <n v="0"/>
    <n v="0"/>
    <n v="0"/>
    <n v="0"/>
    <n v="0"/>
    <n v="0"/>
    <n v="0"/>
    <n v="0"/>
    <n v="904.37"/>
    <n v="904.37"/>
    <m/>
    <m/>
    <n v="0"/>
    <m/>
    <n v="904.37"/>
    <m/>
    <n v="904.37"/>
    <n v="0"/>
    <n v="0"/>
    <n v="0"/>
    <n v="0"/>
    <n v="0"/>
    <n v="0"/>
    <n v="0"/>
    <n v="0"/>
    <n v="0"/>
    <n v="0"/>
    <n v="0"/>
    <n v="904.37"/>
    <n v="904.37"/>
    <n v="0"/>
    <n v="0"/>
    <n v="0"/>
    <n v="0"/>
    <n v="0"/>
    <n v="0"/>
    <n v="0"/>
    <n v="0"/>
    <n v="0"/>
    <n v="0"/>
    <n v="0"/>
    <n v="904.37"/>
  </r>
  <r>
    <s v="L-ERP-025"/>
    <s v="DeHart, Lynn_MANAGED SERVICES_BillingSweep005"/>
    <s v="ERP"/>
    <x v="1"/>
    <s v="DeHart, Lynn"/>
    <s v="DeHart, Lynn"/>
    <x v="1"/>
    <s v="Billing Sweep"/>
    <m/>
    <m/>
    <s v="BillingSweep005"/>
    <s v="CHW - Ok"/>
    <m/>
    <m/>
    <s v="None"/>
    <m/>
    <m/>
    <n v="0"/>
    <n v="0"/>
    <n v="0"/>
    <n v="0"/>
    <n v="108.52"/>
    <n v="0"/>
    <n v="0"/>
    <n v="0"/>
    <n v="0"/>
    <n v="0"/>
    <n v="0"/>
    <n v="0"/>
    <n v="0"/>
    <n v="0"/>
    <n v="0"/>
    <n v="0"/>
    <n v="108.52"/>
    <n v="108.52"/>
    <m/>
    <m/>
    <n v="0"/>
    <m/>
    <n v="108.52"/>
    <m/>
    <n v="108.52"/>
    <n v="0"/>
    <n v="0"/>
    <n v="0"/>
    <n v="0"/>
    <n v="0"/>
    <n v="0"/>
    <n v="0"/>
    <n v="0"/>
    <n v="0"/>
    <n v="0"/>
    <n v="0"/>
    <n v="108.52"/>
    <n v="108.52"/>
    <n v="0"/>
    <n v="0"/>
    <n v="0"/>
    <n v="0"/>
    <n v="0"/>
    <n v="0"/>
    <n v="0"/>
    <n v="0"/>
    <n v="0"/>
    <n v="0"/>
    <n v="0"/>
    <n v="108.52"/>
  </r>
  <r>
    <s v="L-ERP-036"/>
    <s v="DeHart, Lynn_SOFTWARE_BillingSweep005"/>
    <s v="ERP"/>
    <x v="1"/>
    <s v="DeHart, Lynn"/>
    <s v="DeHart, Lynn"/>
    <x v="0"/>
    <s v="Billing Sweep"/>
    <m/>
    <m/>
    <s v="BillingSweep005"/>
    <s v="CHW - Ok"/>
    <m/>
    <m/>
    <s v="None"/>
    <m/>
    <m/>
    <n v="0"/>
    <n v="0"/>
    <n v="0"/>
    <n v="0"/>
    <n v="-256.76"/>
    <n v="256.76"/>
    <n v="0"/>
    <n v="0"/>
    <n v="0"/>
    <n v="0"/>
    <n v="0"/>
    <n v="0"/>
    <n v="0"/>
    <n v="0"/>
    <n v="0"/>
    <n v="0"/>
    <n v="0"/>
    <n v="0"/>
    <m/>
    <m/>
    <n v="0"/>
    <m/>
    <n v="0"/>
    <m/>
    <n v="-256.76"/>
    <n v="256.76"/>
    <n v="0"/>
    <n v="0"/>
    <n v="0"/>
    <n v="0"/>
    <n v="0"/>
    <n v="0"/>
    <n v="0"/>
    <n v="0"/>
    <n v="0"/>
    <n v="0"/>
    <n v="0"/>
    <n v="-256.76"/>
    <n v="256.76"/>
    <n v="0"/>
    <n v="0"/>
    <n v="0"/>
    <n v="0"/>
    <n v="0"/>
    <n v="0"/>
    <n v="0"/>
    <n v="0"/>
    <n v="0"/>
    <n v="0"/>
    <n v="0"/>
  </r>
  <r>
    <s v="L-ERP-338"/>
    <s v="Maguire, Karla_SOFTWARE_BillingSweep006"/>
    <s v="ERP"/>
    <x v="0"/>
    <s v="Maguire, Karla"/>
    <s v="Maguire, Karla"/>
    <x v="0"/>
    <s v="Billing Sweep"/>
    <m/>
    <m/>
    <s v="BillingSweep006"/>
    <s v="CHW - Ok"/>
    <m/>
    <m/>
    <s v="None"/>
    <m/>
    <m/>
    <n v="0"/>
    <n v="0"/>
    <n v="0"/>
    <n v="0"/>
    <n v="-11.41"/>
    <n v="11.41"/>
    <n v="0"/>
    <n v="0"/>
    <n v="0"/>
    <n v="0"/>
    <n v="0"/>
    <n v="0"/>
    <n v="0"/>
    <n v="0"/>
    <n v="0"/>
    <n v="0"/>
    <n v="0"/>
    <n v="0"/>
    <m/>
    <m/>
    <n v="0"/>
    <m/>
    <n v="0"/>
    <m/>
    <n v="-11.41"/>
    <n v="11.41"/>
    <n v="0"/>
    <n v="0"/>
    <n v="0"/>
    <n v="0"/>
    <n v="0"/>
    <n v="0"/>
    <n v="0"/>
    <n v="0"/>
    <n v="0"/>
    <n v="0"/>
    <n v="0"/>
    <n v="-11.41"/>
    <n v="11.41"/>
    <n v="0"/>
    <n v="0"/>
    <n v="0"/>
    <n v="0"/>
    <n v="0"/>
    <n v="0"/>
    <n v="0"/>
    <n v="0"/>
    <n v="0"/>
    <n v="0"/>
    <n v="0"/>
  </r>
  <r>
    <s v="L-ERP-403"/>
    <s v="McGettigan, David_SOFTWARE_BillingSweep006"/>
    <s v="ERP"/>
    <x v="2"/>
    <s v="McGettigan, David"/>
    <s v="McGettigan, David"/>
    <x v="0"/>
    <s v="Billing Sweep"/>
    <m/>
    <m/>
    <s v="BillingSweep006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27"/>
    <s v="Maguire, Karla_HW MAINTENANCE_BillingSweep011"/>
    <s v="ERP"/>
    <x v="0"/>
    <s v="Maguire, Karla"/>
    <s v="Maguire, Karla"/>
    <x v="3"/>
    <s v="BillingSweep011"/>
    <m/>
    <m/>
    <s v="BillingSweep011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33"/>
    <s v="Maguire, Karla_MANAGED SERVICES_BillingSweep011"/>
    <s v="ERP"/>
    <x v="0"/>
    <s v="Maguire, Karla"/>
    <s v="Maguire, Karla"/>
    <x v="1"/>
    <s v="BillingSweep011"/>
    <m/>
    <m/>
    <s v="BillingSweep011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96"/>
    <s v="McGettigan, David_HW MAINTENANCE_BillingSweep011"/>
    <s v="ERP"/>
    <x v="2"/>
    <s v="McGettigan, David"/>
    <s v="McGettigan, David"/>
    <x v="3"/>
    <s v="BillingSweep011"/>
    <m/>
    <m/>
    <s v="BillingSweep011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99"/>
    <s v="McGettigan, David_MANAGED SERVICES_BillingSweep011"/>
    <s v="ERP"/>
    <x v="2"/>
    <s v="McGettigan, David"/>
    <s v="McGettigan, David"/>
    <x v="1"/>
    <s v="BillingSweep011"/>
    <m/>
    <m/>
    <s v="BillingSweep011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28"/>
    <s v="Maguire, Karla_HW MAINTENANCE_BillingSweep012"/>
    <s v="ERP"/>
    <x v="0"/>
    <s v="Maguire, Karla"/>
    <s v="Maguire, Karla"/>
    <x v="3"/>
    <s v="BillingSweep012"/>
    <m/>
    <m/>
    <s v="BillingSweep012"/>
    <m/>
    <m/>
    <m/>
    <s v="Non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329"/>
    <s v="Maguire, Karla_HW MAINTENANCE_BillingSweep016"/>
    <s v="ERP"/>
    <x v="0"/>
    <s v="Maguire, Karla"/>
    <s v="Maguire, Karla"/>
    <x v="3"/>
    <s v="BillingSweep016"/>
    <m/>
    <m/>
    <s v="BillingSweep016"/>
    <s v="CHW - Ok"/>
    <m/>
    <m/>
    <s v="Non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397"/>
    <s v="McGettigan, David_HW MAINTENANCE_BillingSweep016"/>
    <s v="ERP"/>
    <x v="2"/>
    <s v="McGettigan, David"/>
    <s v="McGettigan, David"/>
    <x v="3"/>
    <s v="BillingSweep016"/>
    <m/>
    <m/>
    <s v="BillingSweep016"/>
    <s v="CHW - Ok"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98"/>
    <s v="McGettigan, David_HW MAINTENANCE_BillingSweep017"/>
    <s v="ERP"/>
    <x v="2"/>
    <s v="McGettigan, David"/>
    <s v="McGettigan, David"/>
    <x v="3"/>
    <s v="BillingSweep017"/>
    <m/>
    <m/>
    <s v="BillingSweep017"/>
    <m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30"/>
    <s v="Maguire, Karla_HW MAINTENANCE_BillingSweep019"/>
    <s v="ERP"/>
    <x v="0"/>
    <s v="Maguire, Karla"/>
    <s v="Maguire, Karla"/>
    <x v="3"/>
    <s v="BillingSweep019"/>
    <m/>
    <m/>
    <s v="BillingSweep019"/>
    <m/>
    <m/>
    <m/>
    <s v="None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m/>
    <m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34"/>
    <s v="Maguire, Karla_MANAGED SERVICES_BillingSweep021"/>
    <s v="ERP"/>
    <x v="0"/>
    <s v="Maguire, Karla"/>
    <s v="Maguire, Karla"/>
    <x v="1"/>
    <s v="BillingSweep021"/>
    <m/>
    <m/>
    <s v="BillingSweep021"/>
    <s v="CHW - Ok"/>
    <m/>
    <m/>
    <s v="Non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400"/>
    <s v="McGettigan, David_MANAGED SERVICES_BillingSweep021"/>
    <s v="ERP"/>
    <x v="2"/>
    <s v="McGettigan, David"/>
    <s v="McGettigan, David"/>
    <x v="1"/>
    <s v="BillingSweep021"/>
    <m/>
    <m/>
    <s v="BillingSweep021"/>
    <s v="CHW - Ok"/>
    <m/>
    <m/>
    <s v="None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m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433"/>
    <s v="McGettigan, David_CONTRACTORS_CC-BTF25001-02-EX"/>
    <s v="ERP"/>
    <x v="2"/>
    <s v="McGettigan, David"/>
    <s v="McGettigan, David"/>
    <x v="2"/>
    <s v="P323-0011535 - SAP BW/4HANA Upgrade"/>
    <m/>
    <m/>
    <s v="CC-BTF25001-02-EX"/>
    <m/>
    <m/>
    <m/>
    <s v="Digital Funded Project"/>
    <m/>
    <m/>
    <n v="0"/>
    <n v="0"/>
    <n v="0"/>
    <n v="0"/>
    <m/>
    <m/>
    <n v="110350.46"/>
    <n v="183665"/>
    <n v="-28062.46"/>
    <n v="92590"/>
    <n v="70690"/>
    <n v="76090"/>
    <n v="110690"/>
    <n v="60690"/>
    <n v="76090"/>
    <n v="70690"/>
    <n v="823483"/>
    <n v="823483"/>
    <m/>
    <m/>
    <n v="0"/>
    <m/>
    <n v="823483"/>
    <m/>
    <m/>
    <m/>
    <n v="110350.46"/>
    <n v="183665"/>
    <n v="-28062.46"/>
    <n v="92590"/>
    <n v="70690"/>
    <n v="76090"/>
    <n v="110690"/>
    <n v="60690"/>
    <n v="76090"/>
    <n v="70690"/>
    <n v="823483"/>
    <m/>
    <m/>
    <n v="110350.46"/>
    <n v="95789"/>
    <n v="102589"/>
    <n v="121289"/>
    <n v="121389"/>
    <n v="101000"/>
    <n v="98422"/>
    <n v="129000"/>
    <n v="66600"/>
    <n v="63668"/>
    <n v="1010096.46"/>
  </r>
  <r>
    <s v="L-ERP-183"/>
    <s v="Hase, Raj_MANAGED SERVICES_CE-BTF22001-02-EX"/>
    <s v="ERP"/>
    <x v="1"/>
    <s v="Hase, Raj"/>
    <s v="DeHart, Lynn"/>
    <x v="1"/>
    <s v="SAP / S4 HANA"/>
    <m/>
    <m/>
    <s v="CE-BTF22001-02-EX"/>
    <s v="CHW - Ok"/>
    <m/>
    <m/>
    <s v="Digital Funded Project; 2023 Carry-over project"/>
    <m/>
    <m/>
    <n v="0"/>
    <n v="0"/>
    <n v="0"/>
    <n v="0"/>
    <n v="1841.45"/>
    <n v="1719.99"/>
    <n v="-1298.05"/>
    <n v="0"/>
    <n v="0"/>
    <n v="0"/>
    <n v="0"/>
    <n v="0"/>
    <n v="0"/>
    <n v="0"/>
    <n v="0"/>
    <n v="0"/>
    <n v="2263.3900000000003"/>
    <n v="2263.3900000000003"/>
    <m/>
    <m/>
    <n v="2.2737367544323206E-13"/>
    <m/>
    <n v="2263.3900000000003"/>
    <m/>
    <n v="1841.45"/>
    <n v="1719.99"/>
    <n v="-1298.05"/>
    <n v="0"/>
    <n v="0"/>
    <n v="0"/>
    <n v="0"/>
    <n v="0"/>
    <n v="0"/>
    <n v="0"/>
    <n v="0"/>
    <n v="0"/>
    <n v="2263.3900000000003"/>
    <n v="1841.45"/>
    <n v="1719.99"/>
    <n v="-1298.05"/>
    <n v="0"/>
    <n v="0"/>
    <n v="0"/>
    <n v="0"/>
    <n v="0"/>
    <n v="0"/>
    <n v="0"/>
    <n v="0"/>
    <n v="0"/>
    <n v="2263.3900000000003"/>
  </r>
  <r>
    <s v="L-ERP-434"/>
    <s v="McGettigan, David_CONTRACTORS_CE-BTF22001-02-EX"/>
    <s v="ERP"/>
    <x v="2"/>
    <s v="McGettigan, David"/>
    <s v="McGettigan, David"/>
    <x v="2"/>
    <s v="SAP / S4 HANA"/>
    <m/>
    <m/>
    <s v="CE-BTF22001-02-EX"/>
    <s v="CHW - Ok"/>
    <m/>
    <m/>
    <s v="Digital Funded Project; 2023 Carry-over project"/>
    <m/>
    <m/>
    <n v="1080865"/>
    <n v="1080865"/>
    <n v="1080865"/>
    <n v="0"/>
    <m/>
    <m/>
    <n v="250144.68"/>
    <n v="54863.060000000005"/>
    <n v="103425.82"/>
    <n v="98010"/>
    <n v="93010"/>
    <n v="93010"/>
    <n v="93010"/>
    <n v="93010"/>
    <n v="93010"/>
    <n v="85636"/>
    <n v="1057129.56"/>
    <n v="-23735.439999999944"/>
    <m/>
    <m/>
    <n v="0"/>
    <m/>
    <n v="-23735.439999999944"/>
    <m/>
    <m/>
    <m/>
    <n v="250144.68"/>
    <n v="54863.060000000005"/>
    <n v="103425.82"/>
    <n v="98010"/>
    <n v="93010"/>
    <n v="93010"/>
    <n v="93010"/>
    <n v="93010"/>
    <n v="93010"/>
    <n v="85636"/>
    <n v="1057129.56"/>
    <m/>
    <m/>
    <n v="250144.68"/>
    <n v="100000"/>
    <n v="100000"/>
    <n v="101635"/>
    <n v="100000"/>
    <n v="100000"/>
    <n v="100000"/>
    <n v="100000"/>
    <n v="100000"/>
    <n v="80033"/>
    <n v="1131812.68"/>
  </r>
  <r>
    <s v="L-ERP-414"/>
    <s v="McGettigan, David_MANAGED SERVICES_CE-BTF22001-02-EX"/>
    <s v="ERP"/>
    <x v="2"/>
    <s v="McGettigan, David"/>
    <s v="McGettigan, David"/>
    <x v="1"/>
    <s v="SAP / S4 HANA"/>
    <m/>
    <m/>
    <s v="CE-BTF22001-02-EX"/>
    <s v="CHW - Ok"/>
    <m/>
    <m/>
    <s v="Digital Funded Project; 2023 Carry-over project"/>
    <m/>
    <m/>
    <n v="0"/>
    <n v="0"/>
    <n v="0"/>
    <n v="0"/>
    <m/>
    <m/>
    <n v="3561.44"/>
    <n v="0"/>
    <n v="6244"/>
    <n v="1990"/>
    <n v="1990"/>
    <n v="1990"/>
    <n v="1990"/>
    <n v="1990"/>
    <n v="1990"/>
    <n v="1990"/>
    <n v="23735.440000000002"/>
    <n v="23735.440000000002"/>
    <m/>
    <m/>
    <n v="0"/>
    <m/>
    <n v="23735.440000000002"/>
    <m/>
    <m/>
    <m/>
    <n v="3561.44"/>
    <n v="0"/>
    <n v="6244"/>
    <n v="1990"/>
    <n v="1990"/>
    <n v="1990"/>
    <n v="1990"/>
    <n v="1990"/>
    <n v="1990"/>
    <n v="1990"/>
    <n v="23735.440000000002"/>
    <m/>
    <m/>
    <n v="3561.44"/>
    <n v="0"/>
    <n v="0"/>
    <n v="0"/>
    <n v="0"/>
    <n v="0"/>
    <n v="0"/>
    <n v="0"/>
    <n v="0"/>
    <n v="0"/>
    <n v="3561.44"/>
  </r>
  <r>
    <s v="L-ERP-429"/>
    <s v="McGettigan, David_CONTRACTORS_CE-BTF24000-02-EX"/>
    <s v="ERP"/>
    <x v="2"/>
    <s v="McGettigan, David"/>
    <s v="McGettigan, David"/>
    <x v="2"/>
    <s v="SAP ERP - 2024 Lifecycle Management Projects (P323-0010999)"/>
    <m/>
    <m/>
    <s v="CE-BTF24000-02-EX"/>
    <m/>
    <m/>
    <m/>
    <s v="Digital Funded Project"/>
    <m/>
    <m/>
    <n v="270062"/>
    <n v="270062"/>
    <n v="270062"/>
    <n v="0"/>
    <m/>
    <m/>
    <m/>
    <n v="0"/>
    <n v="0"/>
    <n v="0"/>
    <n v="0"/>
    <n v="5000"/>
    <n v="24000"/>
    <n v="71070"/>
    <n v="0"/>
    <n v="0"/>
    <n v="100070"/>
    <n v="-169992"/>
    <m/>
    <m/>
    <n v="0"/>
    <m/>
    <n v="-169992"/>
    <m/>
    <m/>
    <m/>
    <m/>
    <n v="0"/>
    <n v="0"/>
    <n v="0"/>
    <n v="0"/>
    <n v="5000"/>
    <n v="24000"/>
    <n v="71070"/>
    <n v="0"/>
    <n v="0"/>
    <n v="100070"/>
    <m/>
    <m/>
    <m/>
    <m/>
    <n v="67296"/>
    <n v="67296"/>
    <n v="0"/>
    <n v="135470"/>
    <n v="0"/>
    <n v="0"/>
    <n v="0"/>
    <n v="0"/>
    <n v="270062"/>
  </r>
  <r>
    <s v="N-ERP-603"/>
    <s v="McGettigan, David_CONTRACTORS_CE-BTF24002-02-EX"/>
    <s v="ERP-N"/>
    <x v="2"/>
    <s v="McGettigan, David"/>
    <s v="McGettigan, David"/>
    <x v="2"/>
    <s v="SAP GTS Upgrade"/>
    <m/>
    <m/>
    <s v="CE-BTF24002-02-EX"/>
    <m/>
    <m/>
    <s v="Check with LZ"/>
    <s v="Digital Funded Project"/>
    <s v="4/28/26 CHW New add to tie-out 0223 to 0317 Planful Extracts"/>
    <m/>
    <n v="4900"/>
    <n v="4900"/>
    <n v="4900"/>
    <n v="0"/>
    <m/>
    <m/>
    <m/>
    <n v="0"/>
    <n v="0"/>
    <n v="0"/>
    <n v="0"/>
    <n v="0"/>
    <n v="0"/>
    <n v="0"/>
    <n v="0"/>
    <n v="0"/>
    <n v="0"/>
    <n v="-4900"/>
    <m/>
    <m/>
    <n v="0"/>
    <m/>
    <n v="-4900"/>
    <m/>
    <m/>
    <m/>
    <m/>
    <n v="0"/>
    <n v="0"/>
    <n v="0"/>
    <n v="0"/>
    <n v="0"/>
    <n v="0"/>
    <n v="0"/>
    <n v="0"/>
    <n v="0"/>
    <n v="0"/>
    <n v="4900"/>
    <n v="0"/>
    <n v="0"/>
    <n v="0"/>
    <n v="0"/>
    <n v="0"/>
    <n v="0"/>
    <n v="0"/>
    <n v="0"/>
    <n v="0"/>
    <n v="0"/>
    <n v="0"/>
    <n v="4900"/>
  </r>
  <r>
    <s v="L-ERP-424"/>
    <s v="McGettigan, David_CONTRACTORS_CE-BTF24003-02-EX"/>
    <s v="ERP"/>
    <x v="2"/>
    <s v="McGettigan, David"/>
    <s v="McGettigan, David"/>
    <x v="2"/>
    <s v="SAP ERP - 2025 Lifecycle Management Projects (P324-0013058)"/>
    <m/>
    <m/>
    <s v="CE-BTF24003-02-EX"/>
    <m/>
    <m/>
    <m/>
    <s v="Digital Funded Project"/>
    <m/>
    <m/>
    <n v="96677"/>
    <n v="96677"/>
    <n v="96677"/>
    <n v="0"/>
    <m/>
    <m/>
    <n v="-1032"/>
    <n v="0"/>
    <n v="0"/>
    <n v="100"/>
    <n v="100"/>
    <n v="250"/>
    <n v="76422"/>
    <n v="250"/>
    <n v="10290"/>
    <n v="10297"/>
    <n v="96677"/>
    <n v="0"/>
    <m/>
    <m/>
    <n v="0"/>
    <m/>
    <n v="0"/>
    <m/>
    <m/>
    <m/>
    <n v="-1032"/>
    <n v="0"/>
    <n v="0"/>
    <n v="100"/>
    <n v="100"/>
    <n v="250"/>
    <n v="76422"/>
    <n v="250"/>
    <n v="10290"/>
    <n v="10297"/>
    <n v="96677"/>
    <m/>
    <m/>
    <n v="-1032"/>
    <n v="-19688"/>
    <n v="25767"/>
    <n v="31112"/>
    <n v="0"/>
    <n v="10040"/>
    <n v="5023"/>
    <n v="0"/>
    <n v="0"/>
    <n v="0"/>
    <n v="51222"/>
  </r>
  <r>
    <s v="L-ERP-420"/>
    <s v="McGettigan, David_CONTRACTORS_CE-BTF26000-02-EX"/>
    <s v="ERP"/>
    <x v="2"/>
    <s v="McGettigan, David"/>
    <s v="McGettigan, David"/>
    <x v="2"/>
    <s v="SAP ERP - 2026 Lifecycle Management"/>
    <m/>
    <m/>
    <s v="CE-BTF26000-02-EX"/>
    <m/>
    <m/>
    <m/>
    <s v="Digital Funded Project"/>
    <m/>
    <m/>
    <n v="49920"/>
    <n v="49920"/>
    <n v="49920"/>
    <n v="0"/>
    <m/>
    <m/>
    <m/>
    <n v="0"/>
    <n v="0"/>
    <n v="0"/>
    <n v="7550"/>
    <n v="9060"/>
    <n v="9060"/>
    <n v="0"/>
    <n v="6040"/>
    <n v="6042"/>
    <n v="37752"/>
    <n v="-12168"/>
    <m/>
    <m/>
    <n v="0"/>
    <m/>
    <n v="-12168"/>
    <m/>
    <m/>
    <m/>
    <m/>
    <n v="0"/>
    <n v="0"/>
    <n v="0"/>
    <n v="7550"/>
    <n v="9060"/>
    <n v="9060"/>
    <n v="0"/>
    <n v="6040"/>
    <n v="6042"/>
    <n v="37752"/>
    <m/>
    <m/>
    <m/>
    <n v="2500"/>
    <n v="2500"/>
    <n v="10050"/>
    <n v="17644"/>
    <n v="17644"/>
    <n v="8540"/>
    <n v="6042"/>
    <n v="0"/>
    <n v="-40000"/>
    <n v="24920"/>
  </r>
  <r>
    <s v="L-ERP-007"/>
    <s v="DeHart, Lynn_TRAVEL &amp; ENTERTAINMENT_CE-BTS23000-02-EX-GR"/>
    <s v="ERP"/>
    <x v="1"/>
    <s v="DeHart, Lynn"/>
    <s v="DeHart, Lynn"/>
    <x v="4"/>
    <s v="P322-0008813 - Next Gen Planning &amp; Sched"/>
    <m/>
    <m/>
    <s v="CE-BTS23000-02-EX-GR"/>
    <m/>
    <m/>
    <m/>
    <s v="Digital Funded Project"/>
    <m/>
    <m/>
    <n v="0"/>
    <n v="0"/>
    <n v="0"/>
    <n v="0"/>
    <m/>
    <m/>
    <n v="485.43"/>
    <n v="0"/>
    <n v="0"/>
    <n v="0"/>
    <n v="0"/>
    <n v="0"/>
    <n v="0"/>
    <n v="0"/>
    <n v="0"/>
    <n v="0"/>
    <n v="485.43"/>
    <n v="485.43"/>
    <m/>
    <m/>
    <n v="0"/>
    <m/>
    <n v="485.43"/>
    <m/>
    <m/>
    <m/>
    <n v="485.43"/>
    <n v="0"/>
    <n v="0"/>
    <n v="0"/>
    <n v="0"/>
    <n v="0"/>
    <n v="0"/>
    <n v="0"/>
    <n v="0"/>
    <n v="0"/>
    <n v="485.43"/>
    <m/>
    <m/>
    <n v="485.43"/>
    <n v="0"/>
    <n v="0"/>
    <n v="0"/>
    <n v="0"/>
    <n v="0"/>
    <n v="0"/>
    <n v="0"/>
    <n v="0"/>
    <n v="0"/>
    <n v="485.43"/>
  </r>
  <r>
    <s v="L-ERP-324"/>
    <s v="Maguire, Karla_CONTRACTORS_ColleagueSolutions001"/>
    <s v="ERP"/>
    <x v="0"/>
    <s v="Maguire, Karla"/>
    <s v="Maguire, Karla"/>
    <x v="2"/>
    <s v="Colleague Solutions Delivery Chargebacks"/>
    <m/>
    <m/>
    <s v="ColleagueSolutions001"/>
    <s v="CHW - Ok"/>
    <m/>
    <m/>
    <s v="None"/>
    <m/>
    <m/>
    <n v="1214.4000000000003"/>
    <n v="1214.4000000000003"/>
    <n v="1214.4000000000003"/>
    <n v="0"/>
    <m/>
    <m/>
    <m/>
    <n v="101.2"/>
    <n v="101.2"/>
    <n v="101.2"/>
    <n v="101.2"/>
    <n v="101.2"/>
    <n v="101.2"/>
    <n v="101.2"/>
    <n v="101.2"/>
    <n v="101.2"/>
    <n v="910.80000000000018"/>
    <n v="-303.60000000000014"/>
    <m/>
    <m/>
    <n v="0"/>
    <m/>
    <n v="-303.60000000000014"/>
    <m/>
    <m/>
    <m/>
    <m/>
    <n v="101.2"/>
    <n v="101.2"/>
    <n v="101.2"/>
    <n v="101.2"/>
    <n v="101.2"/>
    <n v="101.2"/>
    <n v="101.2"/>
    <n v="101.2"/>
    <n v="101.2"/>
    <n v="910.80000000000018"/>
    <m/>
    <m/>
    <m/>
    <n v="101.2"/>
    <n v="101.2"/>
    <n v="101.2"/>
    <n v="101.2"/>
    <n v="101.2"/>
    <n v="101.2"/>
    <n v="101.2"/>
    <n v="101.2"/>
    <n v="101.2"/>
    <n v="910.80000000000018"/>
  </r>
  <r>
    <s v="L-ERP-369"/>
    <s v="McCormick, Pete_CONTRACTORS_ColleagueSolutions001"/>
    <s v="ERP"/>
    <x v="0"/>
    <s v="McCormick, Pete"/>
    <s v="Maguire, Karla"/>
    <x v="2"/>
    <s v="Colleague Solutions Delivery Chargebacks"/>
    <m/>
    <m/>
    <s v="ColleagueSolutions001"/>
    <s v="CHW - Ok"/>
    <m/>
    <m/>
    <s v="None"/>
    <m/>
    <m/>
    <n v="1800"/>
    <n v="1800"/>
    <n v="1800"/>
    <n v="0"/>
    <m/>
    <m/>
    <m/>
    <n v="1800"/>
    <n v="0"/>
    <n v="1800"/>
    <n v="0"/>
    <n v="0"/>
    <n v="0"/>
    <n v="0"/>
    <n v="0"/>
    <n v="0"/>
    <n v="3600"/>
    <n v="1800"/>
    <m/>
    <m/>
    <n v="0"/>
    <m/>
    <n v="1800"/>
    <m/>
    <m/>
    <m/>
    <m/>
    <n v="1800"/>
    <n v="0"/>
    <n v="1800"/>
    <n v="0"/>
    <n v="0"/>
    <n v="0"/>
    <n v="0"/>
    <n v="0"/>
    <n v="0"/>
    <n v="3600"/>
    <m/>
    <m/>
    <m/>
    <n v="1800"/>
    <n v="0"/>
    <n v="1800"/>
    <n v="0"/>
    <n v="0"/>
    <n v="0"/>
    <n v="0"/>
    <n v="0"/>
    <n v="0"/>
    <n v="3600"/>
  </r>
  <r>
    <s v="L-ERP-100"/>
    <s v="Dougherty, Chris_SOFTWARE_ColleagueSolutions001"/>
    <s v="ERP"/>
    <x v="0"/>
    <s v="Dougherty, Chris"/>
    <s v="Maguire, Karla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3777.33"/>
    <n v="0"/>
    <n v="0"/>
    <n v="0"/>
    <n v="0"/>
    <n v="0"/>
    <n v="0"/>
    <n v="0"/>
    <n v="0"/>
    <n v="0"/>
    <n v="0"/>
    <n v="3777.33"/>
    <n v="3777.33"/>
    <m/>
    <m/>
    <n v="0"/>
    <m/>
    <n v="3777.33"/>
    <m/>
    <m/>
    <n v="3777.33"/>
    <n v="0"/>
    <n v="0"/>
    <n v="0"/>
    <n v="0"/>
    <n v="0"/>
    <n v="0"/>
    <n v="0"/>
    <n v="0"/>
    <n v="0"/>
    <n v="0"/>
    <n v="3777.33"/>
    <m/>
    <n v="3777.33"/>
    <n v="0"/>
    <n v="0"/>
    <n v="0"/>
    <n v="0"/>
    <n v="0"/>
    <n v="0"/>
    <n v="0"/>
    <n v="0"/>
    <n v="0"/>
    <n v="0"/>
    <n v="3777.33"/>
  </r>
  <r>
    <s v="L-ERP-339"/>
    <s v="Maguire, Karla_SOFTWARE_ColleagueSolutions001"/>
    <s v="ERP"/>
    <x v="0"/>
    <s v="Maguire, Karla"/>
    <s v="Maguire, Karla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984.48"/>
    <n v="757.86"/>
    <n v="0"/>
    <n v="0"/>
    <n v="0"/>
    <n v="0"/>
    <n v="0"/>
    <n v="0"/>
    <n v="0"/>
    <n v="0"/>
    <n v="0"/>
    <n v="1742.3400000000001"/>
    <n v="1742.3400000000001"/>
    <m/>
    <m/>
    <n v="1.1368683772161603E-13"/>
    <m/>
    <n v="1742.3400000000001"/>
    <m/>
    <m/>
    <n v="984.48"/>
    <n v="757.86"/>
    <n v="0"/>
    <n v="0"/>
    <n v="0"/>
    <n v="0"/>
    <n v="0"/>
    <n v="0"/>
    <n v="0"/>
    <n v="0"/>
    <n v="0"/>
    <n v="1742.3400000000001"/>
    <m/>
    <n v="984.48"/>
    <n v="757.86"/>
    <n v="0"/>
    <n v="0"/>
    <n v="0"/>
    <n v="0"/>
    <n v="0"/>
    <n v="0"/>
    <n v="0"/>
    <n v="0"/>
    <n v="0"/>
    <n v="1742.3400000000001"/>
  </r>
  <r>
    <s v="L-ERP-376"/>
    <s v="McCormick, Pete_SOFTWARE_ColleagueSolutions001"/>
    <s v="ERP"/>
    <x v="0"/>
    <s v="McCormick, Pete"/>
    <s v="Maguire, Karla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1312.56"/>
    <n v="0"/>
    <n v="0"/>
    <n v="0"/>
    <n v="0"/>
    <n v="0"/>
    <n v="0"/>
    <n v="0"/>
    <n v="0"/>
    <n v="0"/>
    <n v="0"/>
    <n v="1312.56"/>
    <n v="1312.56"/>
    <m/>
    <m/>
    <n v="0"/>
    <m/>
    <n v="1312.56"/>
    <m/>
    <m/>
    <n v="1312.56"/>
    <n v="0"/>
    <n v="0"/>
    <n v="0"/>
    <n v="0"/>
    <n v="0"/>
    <n v="0"/>
    <n v="0"/>
    <n v="0"/>
    <n v="0"/>
    <n v="0"/>
    <n v="1312.56"/>
    <m/>
    <n v="1312.56"/>
    <n v="0"/>
    <n v="0"/>
    <n v="0"/>
    <n v="0"/>
    <n v="0"/>
    <n v="0"/>
    <n v="0"/>
    <n v="0"/>
    <n v="0"/>
    <n v="0"/>
    <n v="1312.56"/>
  </r>
  <r>
    <s v="L-ERP-549"/>
    <s v="Tamavada, Ram_SOFTWARE_ColleagueSolutions001"/>
    <s v="ERP"/>
    <x v="0"/>
    <s v="Tamavada, Ram"/>
    <s v="Maguire, Karla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3879.27"/>
    <n v="0"/>
    <n v="0"/>
    <n v="0"/>
    <n v="0"/>
    <n v="0"/>
    <n v="0"/>
    <n v="0"/>
    <n v="0"/>
    <n v="0"/>
    <n v="0"/>
    <n v="3879.27"/>
    <n v="3879.27"/>
    <m/>
    <m/>
    <n v="0"/>
    <m/>
    <n v="3879.27"/>
    <m/>
    <m/>
    <n v="3879.27"/>
    <n v="0"/>
    <n v="0"/>
    <n v="0"/>
    <n v="0"/>
    <n v="0"/>
    <n v="0"/>
    <n v="0"/>
    <n v="0"/>
    <n v="0"/>
    <n v="0"/>
    <n v="3879.27"/>
    <m/>
    <n v="3879.27"/>
    <n v="0"/>
    <n v="0"/>
    <n v="0"/>
    <n v="0"/>
    <n v="0"/>
    <n v="0"/>
    <n v="0"/>
    <n v="0"/>
    <n v="0"/>
    <n v="0"/>
    <n v="3879.27"/>
  </r>
  <r>
    <s v="L-ERP-037"/>
    <s v="DeHart, Lynn_SOFTWARE_ColleagueSolutions001"/>
    <s v="ERP"/>
    <x v="1"/>
    <s v="DeHart, Lynn"/>
    <s v="DeHart, Lynn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1859.42"/>
    <n v="1367.8"/>
    <n v="0"/>
    <n v="0"/>
    <n v="0"/>
    <n v="0"/>
    <n v="0"/>
    <n v="0"/>
    <n v="0"/>
    <n v="0"/>
    <n v="0"/>
    <n v="3227.2200000000003"/>
    <n v="3227.2200000000003"/>
    <m/>
    <m/>
    <n v="2.2737367544323206E-13"/>
    <m/>
    <n v="3227.2200000000003"/>
    <m/>
    <m/>
    <n v="1859.42"/>
    <n v="1367.8"/>
    <n v="0"/>
    <n v="0"/>
    <n v="0"/>
    <n v="0"/>
    <n v="0"/>
    <n v="0"/>
    <n v="0"/>
    <n v="0"/>
    <n v="0"/>
    <n v="3227.2200000000003"/>
    <m/>
    <n v="1859.42"/>
    <n v="1367.8"/>
    <n v="0"/>
    <n v="0"/>
    <n v="0"/>
    <n v="0"/>
    <n v="0"/>
    <n v="0"/>
    <n v="0"/>
    <n v="0"/>
    <n v="0"/>
    <n v="3227.2200000000003"/>
  </r>
  <r>
    <s v="L-ERP-167"/>
    <s v="Ganesan, Srinivasan_SOFTWARE_ColleagueSolutions001"/>
    <s v="ERP"/>
    <x v="1"/>
    <s v="Ganesan, Srinivasan"/>
    <s v="DeHart, Lynn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2188.1999999999998"/>
    <n v="100.32"/>
    <n v="0"/>
    <n v="0"/>
    <n v="0"/>
    <n v="0"/>
    <n v="0"/>
    <n v="0"/>
    <n v="0"/>
    <n v="0"/>
    <n v="0"/>
    <n v="2288.52"/>
    <n v="2288.52"/>
    <m/>
    <m/>
    <n v="1.7053025658242404E-13"/>
    <m/>
    <n v="2288.52"/>
    <m/>
    <m/>
    <n v="2188.1999999999998"/>
    <n v="100.32"/>
    <n v="0"/>
    <n v="0"/>
    <n v="0"/>
    <n v="0"/>
    <n v="0"/>
    <n v="0"/>
    <n v="0"/>
    <n v="0"/>
    <n v="0"/>
    <n v="2288.52"/>
    <m/>
    <n v="2188.1999999999998"/>
    <n v="100.32"/>
    <n v="0"/>
    <n v="0"/>
    <n v="0"/>
    <n v="0"/>
    <n v="0"/>
    <n v="0"/>
    <n v="0"/>
    <n v="0"/>
    <n v="0"/>
    <n v="2288.52"/>
  </r>
  <r>
    <s v="L-ERP-190"/>
    <s v="Hase, Raj_SOFTWARE_ColleagueSolutions001"/>
    <s v="ERP"/>
    <x v="1"/>
    <s v="Hase, Raj"/>
    <s v="DeHart, Lynn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218.76"/>
    <n v="0"/>
    <n v="0"/>
    <n v="0"/>
    <n v="0"/>
    <n v="0"/>
    <n v="0"/>
    <n v="0"/>
    <n v="0"/>
    <n v="0"/>
    <n v="0"/>
    <n v="218.76"/>
    <n v="218.76"/>
    <m/>
    <m/>
    <n v="0"/>
    <m/>
    <n v="218.76"/>
    <m/>
    <m/>
    <n v="218.76"/>
    <n v="0"/>
    <n v="0"/>
    <n v="0"/>
    <n v="0"/>
    <n v="0"/>
    <n v="0"/>
    <n v="0"/>
    <n v="0"/>
    <n v="0"/>
    <n v="0"/>
    <n v="218.76"/>
    <m/>
    <n v="218.76"/>
    <n v="0"/>
    <n v="0"/>
    <n v="0"/>
    <n v="0"/>
    <n v="0"/>
    <n v="0"/>
    <n v="0"/>
    <n v="0"/>
    <n v="0"/>
    <n v="0"/>
    <n v="218.76"/>
  </r>
  <r>
    <s v="L-ERP-212"/>
    <s v="Herman, Shaun_SOFTWARE_ColleagueSolutions001"/>
    <s v="ERP"/>
    <x v="1"/>
    <s v="Herman, Shaun"/>
    <s v="DeHart, Lynn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431.03"/>
    <n v="0"/>
    <n v="0"/>
    <n v="0"/>
    <n v="0"/>
    <n v="0"/>
    <n v="0"/>
    <n v="0"/>
    <n v="0"/>
    <n v="0"/>
    <n v="0"/>
    <n v="431.03"/>
    <n v="431.03"/>
    <m/>
    <m/>
    <n v="0"/>
    <m/>
    <n v="431.03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s v="L-ERP-582"/>
    <s v="Yeluri, Durga_SOFTWARE_ColleagueSolutions001"/>
    <s v="ERP"/>
    <x v="1"/>
    <s v="Yeluri, Durga"/>
    <s v="DeHart, Lynn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431.03"/>
    <n v="0"/>
    <n v="0"/>
    <n v="0"/>
    <n v="0"/>
    <n v="0"/>
    <n v="0"/>
    <n v="0"/>
    <n v="0"/>
    <n v="0"/>
    <n v="0"/>
    <n v="431.03"/>
    <n v="431.03"/>
    <m/>
    <m/>
    <n v="0"/>
    <m/>
    <n v="431.03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s v="L-ERP-408"/>
    <s v="McGettigan, David_SOFTWARE_ColleagueSolutions001"/>
    <s v="ERP"/>
    <x v="2"/>
    <s v="McGettigan, David"/>
    <s v="McGettigan, David"/>
    <x v="0"/>
    <s v="Colleague Solutions Delivery Chargebacks"/>
    <m/>
    <m/>
    <s v="ColleagueSolutions001"/>
    <s v="CHW - Ok"/>
    <m/>
    <m/>
    <s v="None"/>
    <m/>
    <m/>
    <n v="0"/>
    <n v="0"/>
    <n v="0"/>
    <n v="0"/>
    <m/>
    <n v="257.52"/>
    <n v="0"/>
    <n v="0"/>
    <n v="0"/>
    <n v="0"/>
    <n v="0"/>
    <n v="0"/>
    <n v="0"/>
    <n v="0"/>
    <n v="0"/>
    <n v="0"/>
    <n v="257.52"/>
    <n v="257.52"/>
    <m/>
    <m/>
    <n v="0"/>
    <m/>
    <n v="257.52"/>
    <m/>
    <m/>
    <n v="257.52"/>
    <n v="0"/>
    <n v="0"/>
    <n v="0"/>
    <n v="0"/>
    <n v="0"/>
    <n v="0"/>
    <n v="0"/>
    <n v="0"/>
    <n v="0"/>
    <n v="0"/>
    <n v="257.52"/>
    <m/>
    <n v="257.52"/>
    <n v="0"/>
    <n v="0"/>
    <n v="0"/>
    <n v="0"/>
    <n v="0"/>
    <n v="0"/>
    <n v="0"/>
    <n v="0"/>
    <n v="0"/>
    <n v="0"/>
    <n v="257.52"/>
  </r>
  <r>
    <s v="L-ERP-491"/>
    <s v="Robertson, Jerome_SOFTWARE_ColleagueSolutions001"/>
    <s v="ERP"/>
    <x v="3"/>
    <s v="Robertson, Jerome"/>
    <s v="Robertson, Jerome"/>
    <x v="0"/>
    <s v="Colleague Solutions Delivery Chargebacks"/>
    <m/>
    <m/>
    <s v="ColleagueSolutions001"/>
    <s v="CHW - Ok"/>
    <m/>
    <m/>
    <s v="None"/>
    <m/>
    <m/>
    <n v="0"/>
    <n v="0"/>
    <n v="0"/>
    <n v="0"/>
    <m/>
    <m/>
    <n v="200.42"/>
    <n v="0"/>
    <n v="0"/>
    <n v="0"/>
    <n v="0"/>
    <n v="0"/>
    <n v="0"/>
    <n v="0"/>
    <n v="0"/>
    <n v="0"/>
    <n v="200.42"/>
    <n v="200.42"/>
    <m/>
    <m/>
    <n v="0"/>
    <m/>
    <n v="200.42"/>
    <m/>
    <m/>
    <m/>
    <n v="200.42"/>
    <n v="0"/>
    <n v="0"/>
    <n v="0"/>
    <n v="0"/>
    <n v="0"/>
    <n v="0"/>
    <n v="0"/>
    <n v="0"/>
    <n v="0"/>
    <n v="200.42"/>
    <m/>
    <m/>
    <n v="200.42"/>
    <n v="0"/>
    <n v="0"/>
    <n v="0"/>
    <n v="0"/>
    <n v="0"/>
    <n v="0"/>
    <n v="0"/>
    <n v="0"/>
    <n v="0"/>
    <n v="200.42"/>
  </r>
  <r>
    <s v="N-ERP-567"/>
    <s v="Hase, Raj_CONTRACTORS_ColleagueSolutions001"/>
    <s v="ERP-N"/>
    <x v="1"/>
    <s v="Hase, Raj"/>
    <s v="DeHart, Lynn"/>
    <x v="2"/>
    <s v="Colleague Solutions Delivery Chargebacks"/>
    <m/>
    <m/>
    <s v="ColleagueSolutions001"/>
    <s v="CHW - Ok"/>
    <m/>
    <s v="Investigate LE2"/>
    <s v="None"/>
    <s v="4/28/26 CHW New add to tie-out 0223 to 0317 Planful Extracts"/>
    <m/>
    <n v="437.38"/>
    <n v="437.38"/>
    <n v="437.38"/>
    <n v="0"/>
    <m/>
    <m/>
    <m/>
    <n v="0"/>
    <n v="0"/>
    <n v="0"/>
    <n v="0"/>
    <n v="0"/>
    <n v="0"/>
    <n v="0"/>
    <n v="0"/>
    <n v="0"/>
    <n v="0"/>
    <n v="-437.38"/>
    <m/>
    <m/>
    <n v="0"/>
    <m/>
    <n v="-437.38"/>
    <m/>
    <m/>
    <m/>
    <m/>
    <n v="0"/>
    <n v="0"/>
    <n v="0"/>
    <n v="0"/>
    <n v="0"/>
    <n v="0"/>
    <n v="0"/>
    <n v="0"/>
    <n v="0"/>
    <n v="0"/>
    <n v="0"/>
    <n v="437.38"/>
    <n v="0"/>
    <n v="0"/>
    <n v="0"/>
    <n v="0"/>
    <n v="0"/>
    <n v="0"/>
    <n v="0"/>
    <n v="0"/>
    <n v="0"/>
    <n v="0"/>
    <n v="437.38"/>
  </r>
  <r>
    <s v="L-ERP-103"/>
    <s v="Dougherty, Chris_COMPENSATION_CompBenefits001"/>
    <s v="ERP"/>
    <x v="0"/>
    <s v="Dougherty, Chris"/>
    <s v="Maguire, Karla"/>
    <x v="5"/>
    <s v="Benefits"/>
    <m/>
    <m/>
    <s v="CompBenefit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267678"/>
    <n v="267678"/>
    <n v="267678"/>
    <n v="0"/>
    <n v="0"/>
    <n v="0"/>
    <n v="0"/>
    <n v="0"/>
    <n v="0"/>
    <n v="0"/>
    <n v="0"/>
    <n v="0"/>
    <n v="803034"/>
  </r>
  <r>
    <s v="L-ERP-342"/>
    <s v="Maguire, Karla_COMPENSATION_CompBenefits001"/>
    <s v="ERP"/>
    <x v="0"/>
    <s v="Maguire, Karla"/>
    <s v="Maguire, Karla"/>
    <x v="5"/>
    <s v="Benefits"/>
    <m/>
    <m/>
    <s v="CompBenefits001"/>
    <s v="CHW - Ok"/>
    <m/>
    <m/>
    <s v="None"/>
    <m/>
    <m/>
    <n v="3920122.6999999993"/>
    <n v="3920122.6999999993"/>
    <n v="3920122.6999999993"/>
    <n v="0"/>
    <m/>
    <m/>
    <m/>
    <m/>
    <m/>
    <m/>
    <m/>
    <m/>
    <m/>
    <m/>
    <m/>
    <m/>
    <n v="0"/>
    <n v="-3920122.6999999993"/>
    <m/>
    <m/>
    <n v="0"/>
    <m/>
    <n v="-3920122.6999999993"/>
    <m/>
    <m/>
    <m/>
    <m/>
    <m/>
    <m/>
    <m/>
    <m/>
    <m/>
    <m/>
    <m/>
    <m/>
    <m/>
    <n v="0"/>
    <n v="95760.76"/>
    <n v="93858.59"/>
    <n v="103661.36"/>
    <n v="322835.13"/>
    <n v="322835.13"/>
    <n v="322835.13"/>
    <n v="330985.75"/>
    <n v="330985.75"/>
    <n v="338079.72"/>
    <n v="338079.72"/>
    <n v="338079.72"/>
    <n v="338079.72"/>
    <n v="3276076.4799999995"/>
  </r>
  <r>
    <s v="L-ERP-043"/>
    <s v="DeHart, Lynn_COMPENSATION_CompBenefits001"/>
    <s v="ERP"/>
    <x v="1"/>
    <s v="DeHart, Lynn"/>
    <s v="DeHart, Lynn"/>
    <x v="5"/>
    <s v="Benefits"/>
    <m/>
    <m/>
    <s v="CompBenefits001"/>
    <s v="CHW - Ok"/>
    <m/>
    <m/>
    <s v="None"/>
    <m/>
    <m/>
    <n v="6952243.9899999993"/>
    <n v="6952243.9899999993"/>
    <n v="6952243.9899999993"/>
    <n v="0"/>
    <m/>
    <m/>
    <m/>
    <m/>
    <m/>
    <m/>
    <m/>
    <m/>
    <m/>
    <m/>
    <m/>
    <m/>
    <n v="0"/>
    <n v="-6952243.9899999993"/>
    <m/>
    <m/>
    <n v="0"/>
    <m/>
    <n v="-6952243.9899999993"/>
    <m/>
    <m/>
    <m/>
    <m/>
    <m/>
    <m/>
    <m/>
    <m/>
    <m/>
    <m/>
    <m/>
    <m/>
    <m/>
    <n v="0"/>
    <n v="423409.35"/>
    <n v="937161.13"/>
    <n v="426573.21"/>
    <n v="561924.32999999996"/>
    <n v="560912.64000000001"/>
    <n v="576476.29"/>
    <n v="585831.80000000005"/>
    <n v="590499.77"/>
    <n v="590499.77"/>
    <n v="590499.77"/>
    <n v="592897.86"/>
    <n v="592897.86"/>
    <n v="7029583.7799999993"/>
  </r>
  <r>
    <s v="L-ERP-170"/>
    <s v="Ganesan, Srinivasan_COMPENSATION_CompBenefits001"/>
    <s v="ERP"/>
    <x v="1"/>
    <s v="Ganesan, Srinivasan"/>
    <s v="DeHart, Lynn"/>
    <x v="5"/>
    <s v="Benefits"/>
    <m/>
    <m/>
    <s v="CompBenefit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3835.35"/>
    <n v="2416.25"/>
    <n v="3735.66"/>
    <n v="0"/>
    <n v="0"/>
    <n v="0"/>
    <n v="0"/>
    <n v="0"/>
    <n v="0"/>
    <n v="0"/>
    <n v="0"/>
    <n v="0"/>
    <n v="9987.26"/>
  </r>
  <r>
    <s v="L-ERP-252"/>
    <s v="Jajodia, Amit_COMPENSATION_CompBenefits001"/>
    <s v="ERP"/>
    <x v="1"/>
    <s v="Jajodia, Amit"/>
    <s v="DeHart, Lynn"/>
    <x v="5"/>
    <s v="Benefits"/>
    <m/>
    <m/>
    <s v="CompBenefit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1989.38"/>
    <n v="2792.24"/>
    <n v="4195.3599999999997"/>
    <n v="0"/>
    <n v="0"/>
    <n v="0"/>
    <n v="0"/>
    <n v="0"/>
    <n v="0"/>
    <n v="0"/>
    <n v="0"/>
    <n v="0"/>
    <n v="8976.98"/>
  </r>
  <r>
    <s v="L-ERP-431"/>
    <s v="McGettigan, David_COMPENSATION_CompBenefits001"/>
    <s v="ERP"/>
    <x v="2"/>
    <s v="McGettigan, David"/>
    <s v="McGettigan, David"/>
    <x v="5"/>
    <s v="Benefits"/>
    <m/>
    <m/>
    <s v="CompBenefits001"/>
    <s v="CHW - Ok"/>
    <m/>
    <m/>
    <s v="None"/>
    <m/>
    <m/>
    <n v="330694.30999999988"/>
    <n v="330694.30999999988"/>
    <n v="330694.30999999988"/>
    <n v="0"/>
    <m/>
    <m/>
    <m/>
    <m/>
    <m/>
    <m/>
    <m/>
    <m/>
    <m/>
    <m/>
    <m/>
    <m/>
    <n v="0"/>
    <n v="-330694.30999999988"/>
    <m/>
    <m/>
    <n v="0"/>
    <m/>
    <n v="-330694.30999999988"/>
    <m/>
    <m/>
    <m/>
    <m/>
    <m/>
    <m/>
    <m/>
    <m/>
    <m/>
    <m/>
    <m/>
    <m/>
    <m/>
    <n v="0"/>
    <n v="92230.9"/>
    <n v="-4919.59"/>
    <n v="59978.67"/>
    <n v="20638.45"/>
    <n v="34028.449999999997"/>
    <n v="32963.75"/>
    <n v="22316.67"/>
    <n v="22316.67"/>
    <n v="22316.67"/>
    <n v="22316.67"/>
    <n v="22316.67"/>
    <n v="22316.67"/>
    <n v="368820.64999999991"/>
  </r>
  <r>
    <s v="L-ERP-494"/>
    <s v="Robertson, Jerome_COMPENSATION_CompBenefits001"/>
    <s v="ERP"/>
    <x v="3"/>
    <s v="Robertson, Jerome"/>
    <s v="Robertson, Jerome"/>
    <x v="5"/>
    <s v="Benefits"/>
    <m/>
    <m/>
    <s v="CompBenefits001"/>
    <s v="CHW - Ok"/>
    <m/>
    <m/>
    <s v="None"/>
    <m/>
    <m/>
    <n v="763217.94999999984"/>
    <n v="763217.94999999984"/>
    <n v="763217.94999999984"/>
    <n v="0"/>
    <m/>
    <m/>
    <m/>
    <m/>
    <m/>
    <m/>
    <m/>
    <m/>
    <m/>
    <m/>
    <m/>
    <m/>
    <n v="0"/>
    <n v="-763217.94999999984"/>
    <m/>
    <m/>
    <n v="0"/>
    <m/>
    <n v="-763217.94999999984"/>
    <m/>
    <m/>
    <m/>
    <m/>
    <m/>
    <m/>
    <m/>
    <m/>
    <m/>
    <m/>
    <m/>
    <m/>
    <m/>
    <n v="0"/>
    <n v="60869.22"/>
    <n v="66348.7"/>
    <n v="65556.320000000007"/>
    <n v="66648.33"/>
    <n v="58804.22"/>
    <n v="58804.22"/>
    <n v="58804.22"/>
    <n v="66557.960000000006"/>
    <n v="66703.34"/>
    <n v="66703.34"/>
    <n v="66703.34"/>
    <n v="66703.34"/>
    <n v="769206.54999999993"/>
  </r>
  <r>
    <s v="L-ERP-426"/>
    <s v="McGettigan, David_COMPENSATION_CompBenefitsCar001"/>
    <s v="ERP"/>
    <x v="2"/>
    <s v="McGettigan, David"/>
    <s v="McGettigan, David"/>
    <x v="5"/>
    <s v="Car Allowance"/>
    <m/>
    <m/>
    <s v="CompBenefitsCar001"/>
    <m/>
    <m/>
    <m/>
    <s v="None"/>
    <m/>
    <m/>
    <n v="144000"/>
    <n v="144000"/>
    <n v="144000"/>
    <n v="0"/>
    <m/>
    <m/>
    <m/>
    <n v="12000"/>
    <n v="12000"/>
    <n v="12000"/>
    <n v="12000"/>
    <n v="12000"/>
    <n v="12000"/>
    <n v="12000"/>
    <n v="12000"/>
    <n v="12000"/>
    <n v="108000"/>
    <n v="-36000"/>
    <m/>
    <m/>
    <n v="0"/>
    <m/>
    <n v="-36000"/>
    <m/>
    <m/>
    <m/>
    <m/>
    <n v="12000"/>
    <n v="12000"/>
    <n v="12000"/>
    <n v="12000"/>
    <n v="12000"/>
    <n v="12000"/>
    <n v="12000"/>
    <n v="12000"/>
    <n v="12000"/>
    <n v="108000"/>
    <m/>
    <m/>
    <m/>
    <n v="12000"/>
    <n v="12000"/>
    <n v="12000"/>
    <n v="12000"/>
    <n v="12000"/>
    <n v="12000"/>
    <n v="12000"/>
    <n v="12000"/>
    <n v="12000"/>
    <n v="108000"/>
  </r>
  <r>
    <s v="L-ERP-104"/>
    <s v="Dougherty, Chris_COMPENSATION_CompBonus001"/>
    <s v="ERP"/>
    <x v="0"/>
    <s v="Dougherty, Chris"/>
    <s v="Maguire, Karla"/>
    <x v="5"/>
    <s v="Bonus"/>
    <m/>
    <m/>
    <s v="CompBonu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119429"/>
    <n v="107869"/>
    <n v="119891"/>
    <n v="0"/>
    <n v="0"/>
    <n v="0"/>
    <n v="0"/>
    <n v="0"/>
    <n v="0"/>
    <n v="0"/>
    <n v="0"/>
    <n v="0"/>
    <n v="347189"/>
  </r>
  <r>
    <s v="L-ERP-343"/>
    <s v="Maguire, Karla_COMPENSATION_CompBonus001"/>
    <s v="ERP"/>
    <x v="0"/>
    <s v="Maguire, Karla"/>
    <s v="Maguire, Karla"/>
    <x v="5"/>
    <s v="Bonus"/>
    <m/>
    <m/>
    <s v="CompBonus001"/>
    <s v="CHW - Ok"/>
    <m/>
    <m/>
    <s v="None"/>
    <m/>
    <m/>
    <n v="1729258.84"/>
    <n v="1729258.84"/>
    <n v="1729258.84"/>
    <n v="0"/>
    <m/>
    <m/>
    <m/>
    <m/>
    <m/>
    <m/>
    <m/>
    <m/>
    <m/>
    <m/>
    <m/>
    <m/>
    <n v="0"/>
    <n v="-1729258.84"/>
    <m/>
    <m/>
    <n v="0"/>
    <m/>
    <n v="-1729258.84"/>
    <m/>
    <m/>
    <m/>
    <m/>
    <m/>
    <m/>
    <m/>
    <m/>
    <m/>
    <m/>
    <m/>
    <m/>
    <m/>
    <n v="0"/>
    <n v="50770.12"/>
    <n v="51960.62"/>
    <n v="52695.87"/>
    <n v="142100.94"/>
    <n v="142100.94"/>
    <n v="142100.94"/>
    <n v="146019.5"/>
    <n v="146019.5"/>
    <n v="150075.81"/>
    <n v="150075.81"/>
    <n v="150075.81"/>
    <n v="150075.81"/>
    <n v="1474071.6700000002"/>
  </r>
  <r>
    <s v="L-ERP-044"/>
    <s v="DeHart, Lynn_COMPENSATION_CompBonus001"/>
    <s v="ERP"/>
    <x v="1"/>
    <s v="DeHart, Lynn"/>
    <s v="DeHart, Lynn"/>
    <x v="5"/>
    <s v="Bonus"/>
    <m/>
    <m/>
    <s v="CompBonus001"/>
    <s v="CHW - Ok"/>
    <m/>
    <m/>
    <s v="None"/>
    <m/>
    <m/>
    <n v="2865793.42"/>
    <n v="2865793.42"/>
    <n v="2865793.42"/>
    <n v="0"/>
    <m/>
    <m/>
    <m/>
    <m/>
    <m/>
    <m/>
    <m/>
    <m/>
    <m/>
    <m/>
    <m/>
    <m/>
    <n v="0"/>
    <n v="-2865793.42"/>
    <m/>
    <m/>
    <n v="0"/>
    <m/>
    <n v="-2865793.42"/>
    <m/>
    <m/>
    <m/>
    <m/>
    <m/>
    <m/>
    <m/>
    <m/>
    <m/>
    <m/>
    <m/>
    <m/>
    <m/>
    <n v="0"/>
    <n v="195133.21"/>
    <n v="214325.71"/>
    <n v="291685.48"/>
    <n v="233173.12"/>
    <n v="232919.73"/>
    <n v="238777.23"/>
    <n v="240555.68"/>
    <n v="242084.56"/>
    <n v="242084.56"/>
    <n v="242084.56"/>
    <n v="242516.91"/>
    <n v="242516.91"/>
    <n v="2857857.66"/>
  </r>
  <r>
    <s v="L-ERP-171"/>
    <s v="Ganesan, Srinivasan_COMPENSATION_CompBonus001"/>
    <s v="ERP"/>
    <x v="1"/>
    <s v="Ganesan, Srinivasan"/>
    <s v="DeHart, Lynn"/>
    <x v="5"/>
    <s v="Bonus"/>
    <m/>
    <m/>
    <s v="CompBonu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3779.53"/>
    <n v="7255.22"/>
    <n v="5363.84"/>
    <n v="0"/>
    <n v="0"/>
    <n v="0"/>
    <n v="0"/>
    <n v="0"/>
    <n v="0"/>
    <n v="0"/>
    <n v="0"/>
    <n v="0"/>
    <n v="16398.59"/>
  </r>
  <r>
    <s v="L-ERP-253"/>
    <s v="Jajodia, Amit_COMPENSATION_CompBonus001"/>
    <s v="ERP"/>
    <x v="1"/>
    <s v="Jajodia, Amit"/>
    <s v="DeHart, Lynn"/>
    <x v="5"/>
    <s v="Bonus"/>
    <m/>
    <m/>
    <s v="CompBonus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2651.11"/>
    <n v="1336.03"/>
    <n v="1800.7"/>
    <n v="0"/>
    <n v="0"/>
    <n v="0"/>
    <n v="0"/>
    <n v="0"/>
    <n v="0"/>
    <n v="0"/>
    <n v="0"/>
    <n v="0"/>
    <n v="5787.84"/>
  </r>
  <r>
    <s v="L-ERP-428"/>
    <s v="McGettigan, David_COMPENSATION_CompBonus001"/>
    <s v="ERP"/>
    <x v="2"/>
    <s v="McGettigan, David"/>
    <s v="McGettigan, David"/>
    <x v="5"/>
    <s v="Bonus"/>
    <m/>
    <m/>
    <s v="CompBonus001"/>
    <s v="CHW - Ok"/>
    <m/>
    <m/>
    <s v="None"/>
    <m/>
    <m/>
    <n v="204823.02000000002"/>
    <n v="204823.02000000002"/>
    <n v="204823.02000000002"/>
    <n v="0"/>
    <m/>
    <m/>
    <m/>
    <m/>
    <m/>
    <m/>
    <m/>
    <m/>
    <m/>
    <m/>
    <m/>
    <m/>
    <n v="0"/>
    <n v="-204823.02000000002"/>
    <m/>
    <m/>
    <n v="0"/>
    <m/>
    <n v="-204823.02000000002"/>
    <m/>
    <m/>
    <m/>
    <m/>
    <m/>
    <m/>
    <m/>
    <m/>
    <m/>
    <m/>
    <m/>
    <m/>
    <m/>
    <n v="0"/>
    <n v="51562.58"/>
    <n v="27159.83"/>
    <n v="40975"/>
    <n v="11866.46"/>
    <n v="21522.71"/>
    <n v="20882.86"/>
    <n v="14484.38"/>
    <n v="14484.38"/>
    <n v="14484.38"/>
    <n v="14484.38"/>
    <n v="14484.38"/>
    <n v="14484.38"/>
    <n v="260875.72000000003"/>
  </r>
  <r>
    <s v="L-ERP-495"/>
    <s v="Robertson, Jerome_COMPENSATION_CompBonus001"/>
    <s v="ERP"/>
    <x v="3"/>
    <s v="Robertson, Jerome"/>
    <s v="Robertson, Jerome"/>
    <x v="5"/>
    <s v="Bonus"/>
    <m/>
    <m/>
    <s v="CompBonus001"/>
    <s v="CHW - Ok"/>
    <m/>
    <m/>
    <s v="None"/>
    <m/>
    <m/>
    <n v="355072.04000000004"/>
    <n v="355072.04000000004"/>
    <n v="355072.04000000004"/>
    <n v="0"/>
    <m/>
    <m/>
    <m/>
    <m/>
    <m/>
    <m/>
    <m/>
    <m/>
    <m/>
    <m/>
    <m/>
    <m/>
    <n v="0"/>
    <n v="-355072.04000000004"/>
    <m/>
    <m/>
    <n v="0"/>
    <m/>
    <n v="-355072.04000000004"/>
    <m/>
    <m/>
    <m/>
    <m/>
    <m/>
    <m/>
    <m/>
    <m/>
    <m/>
    <m/>
    <m/>
    <m/>
    <m/>
    <n v="0"/>
    <n v="27497.84"/>
    <n v="27805.69"/>
    <n v="37986.93"/>
    <n v="30575.919999999998"/>
    <n v="26871.200000000001"/>
    <n v="26871.200000000001"/>
    <n v="26871.200000000001"/>
    <n v="31487.49"/>
    <n v="31751.82"/>
    <n v="31751.82"/>
    <n v="31751.82"/>
    <n v="31751.82"/>
    <n v="362974.75"/>
  </r>
  <r>
    <s v="L-ERP-105"/>
    <s v="Dougherty, Chris_COMPENSATION_CompSalary001"/>
    <s v="ERP"/>
    <x v="0"/>
    <s v="Dougherty, Chris"/>
    <s v="Maguire, Karla"/>
    <x v="5"/>
    <s v="Salary"/>
    <m/>
    <m/>
    <s v="CompSalary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643457"/>
    <n v="643457"/>
    <n v="643457"/>
    <n v="0"/>
    <n v="0"/>
    <n v="0"/>
    <n v="0"/>
    <n v="0"/>
    <n v="0"/>
    <n v="0"/>
    <n v="0"/>
    <n v="0"/>
    <n v="1930371"/>
  </r>
  <r>
    <s v="L-ERP-344"/>
    <s v="Maguire, Karla_COMPENSATION_CompSalary001"/>
    <s v="ERP"/>
    <x v="0"/>
    <s v="Maguire, Karla"/>
    <s v="Maguire, Karla"/>
    <x v="5"/>
    <s v="Salary"/>
    <m/>
    <m/>
    <s v="CompSalary001"/>
    <s v="CHW - Ok"/>
    <m/>
    <m/>
    <s v="None"/>
    <m/>
    <m/>
    <n v="9831851.3300000001"/>
    <n v="9831851.3300000001"/>
    <n v="9831851.3300000001"/>
    <n v="0"/>
    <n v="1402914.3999999987"/>
    <n v="1397677.6399999992"/>
    <n v="1375284.8299999998"/>
    <n v="1386261.7499999984"/>
    <n v="1250571.8632276698"/>
    <n v="1235426.0682136698"/>
    <n v="1208851.7277970032"/>
    <n v="1221091.4455470033"/>
    <n v="1194419.2817703367"/>
    <n v="1239489.2742341459"/>
    <n v="1239489.2742341459"/>
    <n v="1254635.0692481461"/>
    <n v="15406112.624272117"/>
    <n v="5574261.2942721173"/>
    <m/>
    <m/>
    <n v="0"/>
    <m/>
    <n v="5574261.2942721173"/>
    <m/>
    <n v="1402914.3999999987"/>
    <n v="1397677.6399999992"/>
    <n v="1375284.8299999998"/>
    <n v="1386261.7499999984"/>
    <n v="1250571.8632276698"/>
    <n v="1235426.0682136698"/>
    <n v="1208851.7277970032"/>
    <n v="1221091.4455470033"/>
    <n v="1194419.2817703367"/>
    <n v="1239489.2742341459"/>
    <n v="1239489.2742341459"/>
    <n v="1254635.0692481461"/>
    <n v="15406112.624272117"/>
    <n v="270417.52"/>
    <n v="276999.43"/>
    <n v="232520.6"/>
    <n v="809656.43"/>
    <n v="809656.43"/>
    <n v="809656.43"/>
    <n v="829249.26"/>
    <n v="829249.26"/>
    <n v="854062.66"/>
    <n v="854062.66"/>
    <n v="854062.66"/>
    <n v="854062.66"/>
    <n v="8283656.0000000009"/>
  </r>
  <r>
    <s v="L-ERP-045"/>
    <s v="DeHart, Lynn_COMPENSATION_CompSalary001"/>
    <s v="ERP"/>
    <x v="1"/>
    <s v="DeHart, Lynn"/>
    <s v="DeHart, Lynn"/>
    <x v="5"/>
    <s v="Salary"/>
    <m/>
    <m/>
    <s v="CompSalary001"/>
    <s v="CHW - Ok"/>
    <m/>
    <m/>
    <s v="None"/>
    <s v="4/23 SMO: AP05 has severance reversals"/>
    <m/>
    <n v="16484280.790000003"/>
    <n v="16484280.790000003"/>
    <n v="16484280.790000003"/>
    <n v="0"/>
    <n v="1733430.9899999991"/>
    <n v="2659121.5100000012"/>
    <n v="1591278.1799999983"/>
    <n v="2405320.04"/>
    <n v="657407.65222870966"/>
    <n v="1790825.862228709"/>
    <n v="1785306.7237904386"/>
    <n v="1781851.6968221199"/>
    <n v="1807055.77390462"/>
    <n v="1862531.492714915"/>
    <n v="1871209.9824649149"/>
    <n v="1871209.9824649149"/>
    <n v="21816549.886619337"/>
    <n v="5332269.0966193341"/>
    <m/>
    <m/>
    <n v="0"/>
    <m/>
    <n v="5332269.0966193341"/>
    <m/>
    <n v="1733430.9899999991"/>
    <n v="2659121.5100000012"/>
    <n v="1591278.1799999983"/>
    <n v="2405320.04"/>
    <n v="657407.65222870966"/>
    <n v="1790825.862228709"/>
    <n v="1785306.7237904386"/>
    <n v="1781851.6968221199"/>
    <n v="1807055.77390462"/>
    <n v="1862531.492714915"/>
    <n v="1871209.9824649149"/>
    <n v="1871209.9824649149"/>
    <n v="21816549.886619337"/>
    <n v="1086387.3400000001"/>
    <n v="1551142.73"/>
    <n v="857806.14"/>
    <n v="1328752.27"/>
    <n v="1328097.83"/>
    <n v="1371182.86"/>
    <n v="1392643.5"/>
    <n v="1403661.35"/>
    <n v="1403661.35"/>
    <n v="1403661.35"/>
    <n v="1409426"/>
    <n v="1409426"/>
    <n v="15945848.720000001"/>
  </r>
  <r>
    <s v="L-ERP-172"/>
    <s v="Ganesan, Srinivasan_COMPENSATION_CompSalary001"/>
    <s v="ERP"/>
    <x v="1"/>
    <s v="Ganesan, Srinivasan"/>
    <s v="DeHart, Lynn"/>
    <x v="5"/>
    <s v="Salary"/>
    <m/>
    <m/>
    <s v="CompSalary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6685.48"/>
    <n v="-19872.71"/>
    <n v="7440.92"/>
    <n v="0"/>
    <n v="0"/>
    <n v="0"/>
    <n v="0"/>
    <n v="0"/>
    <n v="0"/>
    <n v="0"/>
    <n v="0"/>
    <n v="0"/>
    <n v="-5746.3099999999995"/>
  </r>
  <r>
    <s v="L-ERP-254"/>
    <s v="Jajodia, Amit_COMPENSATION_CompSalary001"/>
    <s v="ERP"/>
    <x v="1"/>
    <s v="Jajodia, Amit"/>
    <s v="DeHart, Lynn"/>
    <x v="5"/>
    <s v="Salary"/>
    <m/>
    <m/>
    <s v="CompSalary001"/>
    <s v="CHW - Ok"/>
    <m/>
    <m/>
    <s v="None"/>
    <m/>
    <m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m/>
    <n v="0"/>
    <m/>
    <m/>
    <m/>
    <m/>
    <n v="0"/>
    <n v="0"/>
    <n v="0"/>
    <n v="0"/>
    <n v="0"/>
    <n v="0"/>
    <n v="0"/>
    <n v="0"/>
    <n v="0"/>
    <n v="0"/>
    <n v="9779.9"/>
    <n v="9779.8799999999992"/>
    <n v="9779.8799999999992"/>
    <n v="0"/>
    <n v="0"/>
    <n v="0"/>
    <n v="0"/>
    <n v="0"/>
    <n v="0"/>
    <n v="0"/>
    <n v="0"/>
    <n v="0"/>
    <n v="29339.659999999996"/>
  </r>
  <r>
    <s v="L-ERP-432"/>
    <s v="McGettigan, David_COMPENSATION_CompSalary001"/>
    <s v="ERP"/>
    <x v="2"/>
    <s v="McGettigan, David"/>
    <s v="McGettigan, David"/>
    <x v="5"/>
    <s v="Salary"/>
    <m/>
    <m/>
    <s v="CompSalary001"/>
    <s v="CHW - Ok"/>
    <m/>
    <m/>
    <s v="None"/>
    <s v="5/3 SMO: AP05 has GPP ex-US credit"/>
    <m/>
    <n v="794938.1799999997"/>
    <n v="794938.1799999997"/>
    <n v="794938.1799999997"/>
    <n v="0"/>
    <n v="358290.86"/>
    <n v="-25689.760000000002"/>
    <n v="41090.669999999984"/>
    <n v="85849.400000000009"/>
    <n v="-40000"/>
    <n v="55233.75"/>
    <n v="55233.75"/>
    <n v="55233.75"/>
    <n v="55233.75"/>
    <n v="55233.75"/>
    <n v="55233.75"/>
    <n v="55233.75"/>
    <n v="806177.41999999993"/>
    <n v="11239.240000000224"/>
    <m/>
    <m/>
    <n v="0"/>
    <m/>
    <n v="11239.240000000224"/>
    <m/>
    <n v="358290.86"/>
    <n v="-25689.760000000002"/>
    <n v="41090.669999999984"/>
    <n v="85849.400000000009"/>
    <n v="-40000"/>
    <n v="55233.75"/>
    <n v="55233.75"/>
    <n v="55233.75"/>
    <n v="55233.75"/>
    <n v="55233.75"/>
    <n v="55233.75"/>
    <n v="55233.75"/>
    <n v="806177.41999999993"/>
    <n v="214497.38"/>
    <n v="-47930"/>
    <n v="-59863"/>
    <n v="49611.67"/>
    <n v="81799.17"/>
    <n v="79239.77"/>
    <n v="53645.83"/>
    <n v="53645.83"/>
    <n v="53645.83"/>
    <n v="53645.83"/>
    <n v="53645.83"/>
    <n v="53645.83"/>
    <n v="639229.97"/>
  </r>
  <r>
    <s v="L-ERP-496"/>
    <s v="Robertson, Jerome_COMPENSATION_CompSalary001"/>
    <s v="ERP"/>
    <x v="3"/>
    <s v="Robertson, Jerome"/>
    <s v="Robertson, Jerome"/>
    <x v="5"/>
    <s v="Salary"/>
    <m/>
    <m/>
    <s v="CompSalary001"/>
    <s v="CHW - Ok"/>
    <m/>
    <m/>
    <s v="None"/>
    <m/>
    <m/>
    <n v="2029390.9400000004"/>
    <n v="2029390.9400000004"/>
    <n v="2029390.9400000004"/>
    <n v="0"/>
    <n v="238474.06999999998"/>
    <n v="255306.30000000005"/>
    <n v="190399.43"/>
    <n v="293204.89"/>
    <n v="239240.83906981352"/>
    <n v="239240.83906981352"/>
    <n v="239240.83906981352"/>
    <n v="265188.32548648014"/>
    <n v="265188.32548648014"/>
    <n v="278462.33017032093"/>
    <n v="278462.33017032093"/>
    <n v="278462.33017032093"/>
    <n v="3060870.8486933634"/>
    <n v="1031479.908693363"/>
    <m/>
    <m/>
    <n v="0"/>
    <m/>
    <n v="1031479.908693363"/>
    <m/>
    <n v="238474.06999999998"/>
    <n v="255306.30000000005"/>
    <n v="190399.43"/>
    <n v="293204.89"/>
    <n v="239240.83906981352"/>
    <n v="239240.83906981352"/>
    <n v="239240.83906981352"/>
    <n v="265188.32548648014"/>
    <n v="265188.32548648014"/>
    <n v="278462.33017032093"/>
    <n v="278462.33017032093"/>
    <n v="278462.33017032093"/>
    <n v="3060870.8486933634"/>
    <n v="150107.01"/>
    <n v="161151.91"/>
    <n v="86856.18"/>
    <n v="173603.4"/>
    <n v="155785.32"/>
    <n v="155785.32"/>
    <n v="155785.32"/>
    <n v="180905.4"/>
    <n v="182227.08"/>
    <n v="182227.08"/>
    <n v="182227.08"/>
    <n v="182227.08"/>
    <n v="1948888.1800000004"/>
  </r>
  <r>
    <s v="L-ERP-092"/>
    <s v="Dougherty, Chris_CONTRACTORS_EnhanceChargeout001"/>
    <s v="ERP"/>
    <x v="0"/>
    <s v="Dougherty, Chris"/>
    <s v="Maguire, Karla"/>
    <x v="2"/>
    <s v="Enhance Chargeout Cost Centers"/>
    <m/>
    <m/>
    <s v="EnhanceChargeout001"/>
    <s v="CHW - Ok ~9500"/>
    <m/>
    <m/>
    <s v="None"/>
    <m/>
    <m/>
    <n v="0"/>
    <n v="0"/>
    <n v="0"/>
    <n v="0"/>
    <n v="44340"/>
    <n v="-23011"/>
    <n v="-72906"/>
    <n v="0"/>
    <n v="0"/>
    <n v="0"/>
    <n v="0"/>
    <n v="0"/>
    <n v="0"/>
    <n v="0"/>
    <n v="0"/>
    <n v="0"/>
    <n v="-51577"/>
    <n v="-51577"/>
    <m/>
    <m/>
    <n v="0"/>
    <m/>
    <n v="-51577"/>
    <m/>
    <n v="44340"/>
    <n v="-23011"/>
    <n v="-72906"/>
    <n v="0"/>
    <n v="0"/>
    <n v="0"/>
    <n v="0"/>
    <n v="0"/>
    <n v="0"/>
    <n v="0"/>
    <n v="0"/>
    <n v="0"/>
    <n v="-51577"/>
    <n v="44340"/>
    <n v="-23011"/>
    <n v="-72906"/>
    <n v="0"/>
    <n v="0"/>
    <n v="0"/>
    <n v="0"/>
    <n v="0"/>
    <n v="0"/>
    <n v="0"/>
    <n v="0"/>
    <n v="0"/>
    <n v="-51577"/>
  </r>
  <r>
    <s v="L-ERP-370"/>
    <s v="McCormick, Pete_CONTRACTORS_EnhanceChargeout001"/>
    <s v="ERP"/>
    <x v="0"/>
    <s v="McCormick, Pete"/>
    <s v="Maguire, Karla"/>
    <x v="2"/>
    <s v="Enhance Chargeout Cost Centers"/>
    <m/>
    <m/>
    <s v="EnhanceChargeout001"/>
    <s v="CHW - F/U"/>
    <m/>
    <m/>
    <s v="None"/>
    <m/>
    <m/>
    <n v="-694940"/>
    <n v="-694940"/>
    <n v="-694940"/>
    <n v="0"/>
    <m/>
    <n v="-20640.86"/>
    <n v="-10639.87"/>
    <n v="-55600"/>
    <n v="-6440"/>
    <n v="-43800"/>
    <n v="-75000"/>
    <n v="-75000"/>
    <n v="-75000"/>
    <n v="-75000"/>
    <n v="-75000"/>
    <n v="-75000"/>
    <n v="-587120.73"/>
    <n v="107819.27000000002"/>
    <m/>
    <m/>
    <n v="0"/>
    <m/>
    <n v="107819.27000000002"/>
    <m/>
    <m/>
    <n v="-20640.86"/>
    <n v="-10639.87"/>
    <n v="-55600"/>
    <n v="-6440"/>
    <n v="-43800"/>
    <n v="-75000"/>
    <n v="-75000"/>
    <n v="-75000"/>
    <n v="-75000"/>
    <n v="-75000"/>
    <n v="-75000"/>
    <n v="-587120.73"/>
    <m/>
    <n v="-20640.86"/>
    <n v="-10639.87"/>
    <n v="-54600"/>
    <n v="-50000"/>
    <n v="-33840"/>
    <n v="-75000"/>
    <n v="-75000"/>
    <n v="-75000"/>
    <n v="-75000"/>
    <n v="-75000"/>
    <n v="-75000"/>
    <n v="-619720.73"/>
  </r>
  <r>
    <s v="L-ERP-444"/>
    <s v="Meadows, Leslie_CONTRACTORS_EnhanceChargeout001"/>
    <s v="ERP"/>
    <x v="0"/>
    <s v="Meadows, Leslie"/>
    <s v="Maguire, Karla"/>
    <x v="2"/>
    <s v="Enhance Chargeout Cost Centers"/>
    <m/>
    <m/>
    <s v="EnhanceChargeout001"/>
    <s v="CHW - F/U"/>
    <m/>
    <m/>
    <s v="None"/>
    <m/>
    <m/>
    <n v="0"/>
    <n v="0"/>
    <n v="0"/>
    <n v="0"/>
    <m/>
    <n v="-1440"/>
    <n v="0"/>
    <n v="0"/>
    <n v="0"/>
    <n v="0"/>
    <n v="0"/>
    <n v="0"/>
    <n v="0"/>
    <n v="0"/>
    <n v="0"/>
    <n v="0"/>
    <n v="-1440"/>
    <n v="-1440"/>
    <m/>
    <m/>
    <n v="0"/>
    <m/>
    <n v="-1440"/>
    <m/>
    <m/>
    <n v="-1440"/>
    <n v="0"/>
    <n v="0"/>
    <n v="0"/>
    <n v="0"/>
    <n v="0"/>
    <n v="0"/>
    <n v="0"/>
    <n v="0"/>
    <n v="0"/>
    <n v="0"/>
    <n v="-1440"/>
    <m/>
    <n v="-1440"/>
    <n v="0"/>
    <n v="0"/>
    <n v="0"/>
    <n v="0"/>
    <n v="0"/>
    <n v="0"/>
    <n v="0"/>
    <n v="0"/>
    <n v="0"/>
    <n v="0"/>
    <n v="-1440"/>
  </r>
  <r>
    <s v="L-ERP-473"/>
    <s v="Patel, Nikunj Rohitkumar_CONTRACTORS_EnhanceChargeout001"/>
    <s v="ERP"/>
    <x v="0"/>
    <s v="Patel, Nikunj Rohitkumar"/>
    <s v="Maguire, Karla"/>
    <x v="2"/>
    <s v="Enhance Chargeout Cost Centers"/>
    <m/>
    <m/>
    <s v="EnhanceChargeout001"/>
    <s v="CHW - F/U"/>
    <m/>
    <m/>
    <s v="None"/>
    <m/>
    <m/>
    <n v="0"/>
    <n v="0"/>
    <n v="0"/>
    <n v="0"/>
    <m/>
    <n v="-57216"/>
    <n v="-11550"/>
    <n v="0"/>
    <n v="0"/>
    <n v="0"/>
    <n v="0"/>
    <n v="0"/>
    <n v="0"/>
    <n v="0"/>
    <n v="0"/>
    <n v="0"/>
    <n v="-68766"/>
    <n v="-68766"/>
    <m/>
    <m/>
    <n v="0"/>
    <m/>
    <n v="-68766"/>
    <m/>
    <m/>
    <n v="-57216"/>
    <n v="-11550"/>
    <n v="0"/>
    <n v="0"/>
    <n v="0"/>
    <n v="0"/>
    <n v="0"/>
    <n v="0"/>
    <n v="0"/>
    <n v="0"/>
    <n v="0"/>
    <n v="-68766"/>
    <m/>
    <n v="-57216"/>
    <n v="-11550"/>
    <n v="0"/>
    <n v="0"/>
    <n v="0"/>
    <n v="0"/>
    <n v="0"/>
    <n v="0"/>
    <n v="0"/>
    <n v="0"/>
    <n v="0"/>
    <n v="-68766"/>
  </r>
  <r>
    <s v="L-ERP-096"/>
    <s v="Dougherty, Chris_MANAGED SERVICES_EnhanceChargeout001"/>
    <s v="ERP"/>
    <x v="0"/>
    <s v="Dougherty, Chris"/>
    <s v="Maguire, Karla"/>
    <x v="1"/>
    <s v="Enhance Chargeout Cost Centers"/>
    <m/>
    <m/>
    <s v="EnhanceChargeout001"/>
    <s v="CHW - F/U"/>
    <m/>
    <m/>
    <s v="None"/>
    <m/>
    <m/>
    <n v="0"/>
    <n v="0"/>
    <n v="0"/>
    <n v="0"/>
    <n v="1821"/>
    <n v="140"/>
    <n v="140"/>
    <n v="0"/>
    <n v="0"/>
    <n v="0"/>
    <n v="0"/>
    <n v="0"/>
    <n v="0"/>
    <n v="0"/>
    <n v="0"/>
    <n v="0"/>
    <n v="2101"/>
    <n v="2101"/>
    <m/>
    <m/>
    <n v="0"/>
    <m/>
    <n v="2101"/>
    <m/>
    <n v="1821"/>
    <n v="140"/>
    <n v="140"/>
    <n v="0"/>
    <n v="0"/>
    <n v="0"/>
    <n v="0"/>
    <n v="0"/>
    <n v="0"/>
    <n v="0"/>
    <n v="0"/>
    <n v="0"/>
    <n v="2101"/>
    <n v="1821"/>
    <n v="140"/>
    <n v="140"/>
    <n v="0"/>
    <n v="0"/>
    <n v="0"/>
    <n v="0"/>
    <n v="0"/>
    <n v="0"/>
    <n v="0"/>
    <n v="0"/>
    <n v="0"/>
    <n v="2101"/>
  </r>
  <r>
    <s v="L-ERP-475"/>
    <s v="Patel, Nikunj Rohitkumar_SOFTWARE_EnhanceChargeout001"/>
    <s v="ERP"/>
    <x v="0"/>
    <s v="Patel, Nikunj Rohitkumar"/>
    <s v="Maguire, Karla"/>
    <x v="0"/>
    <s v="Enhance Chargeout Cost Centers"/>
    <m/>
    <m/>
    <s v="EnhanceChargeout001"/>
    <s v="CHW - F/U"/>
    <m/>
    <m/>
    <s v="None"/>
    <m/>
    <m/>
    <n v="0"/>
    <n v="0"/>
    <n v="0"/>
    <n v="0"/>
    <m/>
    <n v="227"/>
    <n v="0"/>
    <n v="0"/>
    <n v="0"/>
    <n v="0"/>
    <n v="0"/>
    <n v="0"/>
    <n v="0"/>
    <n v="0"/>
    <n v="0"/>
    <n v="0"/>
    <n v="227"/>
    <n v="227"/>
    <m/>
    <m/>
    <n v="0"/>
    <m/>
    <n v="227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154"/>
    <s v="Ganesan, Srinivasan_CONTRACTORS_EnhanceChargeout001"/>
    <s v="ERP"/>
    <x v="1"/>
    <s v="Ganesan, Srinivasan"/>
    <s v="DeHart, Lynn"/>
    <x v="2"/>
    <s v="Enhance Chargeout Cost Centers"/>
    <m/>
    <m/>
    <s v="EnhanceChargeout001"/>
    <s v="CHW - F/U"/>
    <m/>
    <m/>
    <s v="None"/>
    <s v="4/30 - CHW Team to F/U as thinks these should be reclassed elsewhere in AP05"/>
    <m/>
    <n v="0"/>
    <n v="0"/>
    <n v="0"/>
    <n v="0"/>
    <n v="91657"/>
    <n v="-50311"/>
    <n v="88797"/>
    <n v="0"/>
    <n v="0"/>
    <n v="0"/>
    <n v="0"/>
    <n v="0"/>
    <n v="0"/>
    <n v="0"/>
    <n v="0"/>
    <n v="0"/>
    <n v="130143"/>
    <n v="130143"/>
    <m/>
    <m/>
    <n v="0"/>
    <m/>
    <n v="130143"/>
    <s v="Needs to be investigated. "/>
    <n v="91657"/>
    <n v="-50311"/>
    <n v="88797"/>
    <n v="0"/>
    <n v="0"/>
    <n v="0"/>
    <n v="0"/>
    <n v="0"/>
    <n v="0"/>
    <n v="0"/>
    <n v="0"/>
    <n v="0"/>
    <n v="130143"/>
    <n v="91657"/>
    <n v="-50311"/>
    <n v="88797"/>
    <n v="0"/>
    <n v="0"/>
    <n v="0"/>
    <n v="0"/>
    <n v="0"/>
    <n v="0"/>
    <n v="0"/>
    <n v="0"/>
    <n v="0"/>
    <n v="130143"/>
  </r>
  <r>
    <s v="L-ERP-186"/>
    <s v="Hase, Raj_CONTRACTORS_EnhanceChargeout001"/>
    <s v="ERP"/>
    <x v="1"/>
    <s v="Hase, Raj"/>
    <s v="DeHart, Lynn"/>
    <x v="2"/>
    <s v="Enhance Chargeout Cost Centers"/>
    <m/>
    <m/>
    <s v="EnhanceChargeout001"/>
    <s v="CHW - F/U"/>
    <m/>
    <m/>
    <s v="None"/>
    <m/>
    <m/>
    <n v="0"/>
    <n v="0"/>
    <n v="0"/>
    <n v="0"/>
    <n v="579568"/>
    <n v="-598991"/>
    <n v="-317436"/>
    <n v="110000"/>
    <n v="110000"/>
    <n v="116859"/>
    <m/>
    <m/>
    <m/>
    <m/>
    <m/>
    <m/>
    <n v="0"/>
    <n v="0"/>
    <m/>
    <m/>
    <n v="0"/>
    <m/>
    <n v="0"/>
    <m/>
    <n v="579568"/>
    <n v="-598991"/>
    <n v="-317436"/>
    <n v="110000"/>
    <n v="110000"/>
    <n v="116859"/>
    <m/>
    <m/>
    <m/>
    <m/>
    <m/>
    <m/>
    <n v="0"/>
    <n v="579568"/>
    <n v="-598991"/>
    <n v="-317436"/>
    <n v="0"/>
    <n v="0"/>
    <n v="0"/>
    <n v="0"/>
    <n v="0"/>
    <n v="0"/>
    <n v="0"/>
    <n v="0"/>
    <n v="0"/>
    <n v="-336859"/>
  </r>
  <r>
    <s v="L-ERP-244"/>
    <s v="Jajodia, Amit_CONTRACTORS_EnhanceChargeout001"/>
    <s v="ERP"/>
    <x v="1"/>
    <s v="Jajodia, Amit"/>
    <s v="DeHart, Lynn"/>
    <x v="2"/>
    <s v="Enhance Chargeout Cost Centers"/>
    <m/>
    <m/>
    <s v="EnhanceChargeout001"/>
    <s v="CHW - F/U"/>
    <m/>
    <m/>
    <s v="None"/>
    <m/>
    <m/>
    <n v="0"/>
    <n v="0"/>
    <n v="0"/>
    <n v="0"/>
    <n v="101571"/>
    <n v="-210932"/>
    <n v="80217"/>
    <n v="0"/>
    <n v="0"/>
    <n v="0"/>
    <n v="0"/>
    <n v="0"/>
    <n v="0"/>
    <n v="0"/>
    <n v="0"/>
    <n v="0"/>
    <n v="-29144"/>
    <n v="-29144"/>
    <m/>
    <m/>
    <n v="0"/>
    <m/>
    <n v="-29144"/>
    <m/>
    <n v="101571"/>
    <n v="-210932"/>
    <n v="80217"/>
    <n v="0"/>
    <n v="0"/>
    <n v="0"/>
    <n v="0"/>
    <n v="0"/>
    <n v="0"/>
    <n v="0"/>
    <n v="0"/>
    <n v="0"/>
    <n v="-29144"/>
    <n v="101571"/>
    <n v="-210932"/>
    <n v="80217"/>
    <n v="0"/>
    <n v="0"/>
    <n v="0"/>
    <n v="0"/>
    <n v="0"/>
    <n v="0"/>
    <n v="0"/>
    <n v="0"/>
    <n v="0"/>
    <n v="-29144"/>
  </r>
  <r>
    <s v="L-ERP-556"/>
    <s v="Vaidya, Sachin_CONTRACTORS_EnhanceChargeout001"/>
    <s v="ERP"/>
    <x v="1"/>
    <s v="Vaidya, Sachin"/>
    <s v="DeHart, Lynn"/>
    <x v="2"/>
    <s v="Enhance Chargeout Cost Centers"/>
    <m/>
    <m/>
    <s v="EnhanceChargeout001"/>
    <s v="CHW - F/U"/>
    <m/>
    <m/>
    <s v="None"/>
    <s v="Sachin (4/30): OK"/>
    <m/>
    <n v="0"/>
    <n v="0"/>
    <n v="0"/>
    <n v="0"/>
    <n v="279973"/>
    <n v="-451174"/>
    <n v="173459"/>
    <n v="771452"/>
    <n v="-773710"/>
    <n v="0"/>
    <n v="0"/>
    <n v="0"/>
    <n v="0"/>
    <n v="0"/>
    <n v="0"/>
    <n v="0"/>
    <n v="0"/>
    <n v="0"/>
    <m/>
    <m/>
    <n v="0"/>
    <m/>
    <n v="0"/>
    <m/>
    <n v="279973"/>
    <n v="-451174"/>
    <n v="173459"/>
    <n v="771452"/>
    <n v="-773710"/>
    <n v="0"/>
    <n v="0"/>
    <n v="0"/>
    <n v="0"/>
    <n v="0"/>
    <n v="0"/>
    <n v="0"/>
    <n v="0"/>
    <n v="279973"/>
    <n v="-451174"/>
    <n v="173459"/>
    <n v="0"/>
    <n v="51201"/>
    <n v="0"/>
    <n v="0"/>
    <n v="0"/>
    <n v="0"/>
    <n v="0"/>
    <n v="0"/>
    <n v="0"/>
    <n v="53459"/>
  </r>
  <r>
    <s v="L-ERP-160"/>
    <s v="Ganesan, Srinivasan_MANAGED SERVICES_EnhanceChargeout001"/>
    <s v="ERP"/>
    <x v="1"/>
    <s v="Ganesan, Srinivasan"/>
    <s v="DeHart, Lynn"/>
    <x v="1"/>
    <s v="Enhance Chargeout Cost Centers"/>
    <m/>
    <m/>
    <s v="EnhanceChargeout001"/>
    <s v="CHW - F/U"/>
    <m/>
    <m/>
    <s v="None"/>
    <m/>
    <m/>
    <n v="0"/>
    <n v="0"/>
    <n v="0"/>
    <n v="0"/>
    <n v="129"/>
    <n v="129"/>
    <n v="129"/>
    <n v="0"/>
    <n v="0"/>
    <n v="0"/>
    <n v="0"/>
    <n v="0"/>
    <n v="0"/>
    <n v="0"/>
    <n v="0"/>
    <n v="0"/>
    <n v="387"/>
    <n v="387"/>
    <m/>
    <m/>
    <n v="0"/>
    <m/>
    <n v="387"/>
    <m/>
    <n v="129"/>
    <n v="129"/>
    <n v="129"/>
    <n v="0"/>
    <n v="0"/>
    <n v="0"/>
    <n v="0"/>
    <n v="0"/>
    <n v="0"/>
    <n v="0"/>
    <n v="0"/>
    <n v="0"/>
    <n v="387"/>
    <n v="129"/>
    <n v="129"/>
    <n v="129"/>
    <n v="0"/>
    <n v="0"/>
    <n v="0"/>
    <n v="0"/>
    <n v="0"/>
    <n v="0"/>
    <n v="0"/>
    <n v="0"/>
    <n v="0"/>
    <n v="387"/>
  </r>
  <r>
    <s v="L-ERP-188"/>
    <s v="Hase, Raj_MANAGED SERVICES_EnhanceChargeout001"/>
    <s v="ERP"/>
    <x v="1"/>
    <s v="Hase, Raj"/>
    <s v="DeHart, Lynn"/>
    <x v="1"/>
    <s v="Enhance Chargeout Cost Centers"/>
    <m/>
    <m/>
    <s v="EnhanceChargeout001"/>
    <s v="CHW - F/U"/>
    <m/>
    <m/>
    <s v="None"/>
    <m/>
    <m/>
    <n v="0"/>
    <n v="0"/>
    <n v="0"/>
    <n v="0"/>
    <m/>
    <m/>
    <n v="7840"/>
    <n v="-2500"/>
    <n v="-2500"/>
    <n v="-2840"/>
    <n v="0"/>
    <n v="0"/>
    <n v="0"/>
    <n v="0"/>
    <n v="0"/>
    <n v="0"/>
    <n v="0"/>
    <n v="0"/>
    <m/>
    <m/>
    <n v="0"/>
    <m/>
    <n v="0"/>
    <m/>
    <m/>
    <m/>
    <n v="7840"/>
    <n v="-2500"/>
    <n v="-2500"/>
    <n v="-2840"/>
    <n v="0"/>
    <n v="0"/>
    <n v="0"/>
    <n v="0"/>
    <n v="0"/>
    <n v="0"/>
    <n v="0"/>
    <m/>
    <m/>
    <n v="7840"/>
    <n v="0"/>
    <n v="0"/>
    <n v="0"/>
    <n v="0"/>
    <n v="0"/>
    <n v="0"/>
    <n v="0"/>
    <n v="0"/>
    <n v="0"/>
    <n v="7840"/>
  </r>
  <r>
    <s v="L-ERP-248"/>
    <s v="Jajodia, Amit_MANAGED SERVICES_EnhanceChargeout001"/>
    <s v="ERP"/>
    <x v="1"/>
    <s v="Jajodia, Amit"/>
    <s v="DeHart, Lynn"/>
    <x v="1"/>
    <s v="Enhance Chargeout Cost Centers"/>
    <m/>
    <m/>
    <s v="EnhanceChargeout001"/>
    <s v="CHW - F/U"/>
    <m/>
    <m/>
    <s v="None"/>
    <m/>
    <m/>
    <n v="0"/>
    <n v="0"/>
    <n v="0"/>
    <n v="0"/>
    <n v="-14023"/>
    <n v="60"/>
    <n v="15140"/>
    <n v="0"/>
    <n v="0"/>
    <n v="0"/>
    <n v="0"/>
    <n v="0"/>
    <n v="0"/>
    <n v="0"/>
    <n v="0"/>
    <n v="0"/>
    <n v="1177"/>
    <n v="1177"/>
    <m/>
    <m/>
    <n v="0"/>
    <m/>
    <n v="1177"/>
    <m/>
    <n v="-14023"/>
    <n v="60"/>
    <n v="15140"/>
    <n v="0"/>
    <n v="0"/>
    <n v="0"/>
    <n v="0"/>
    <n v="0"/>
    <n v="0"/>
    <n v="0"/>
    <n v="0"/>
    <n v="0"/>
    <n v="1177"/>
    <n v="-14023"/>
    <n v="60"/>
    <n v="15140"/>
    <n v="0"/>
    <n v="0"/>
    <n v="0"/>
    <n v="0"/>
    <n v="0"/>
    <n v="0"/>
    <n v="0"/>
    <n v="0"/>
    <n v="0"/>
    <n v="1177"/>
  </r>
  <r>
    <s v="L-ERP-558"/>
    <s v="Vaidya, Sachin_MANAGED SERVICES_EnhanceChargeout001"/>
    <s v="ERP"/>
    <x v="1"/>
    <s v="Vaidya, Sachin"/>
    <s v="DeHart, Lynn"/>
    <x v="1"/>
    <s v="Enhance Chargeout Cost Centers"/>
    <m/>
    <m/>
    <s v="EnhanceChargeout001"/>
    <s v="CHW - F/U"/>
    <m/>
    <m/>
    <s v="None"/>
    <s v="Sachin (4/30): Not managed by me"/>
    <m/>
    <n v="0"/>
    <n v="0"/>
    <n v="0"/>
    <n v="0"/>
    <m/>
    <n v="2180"/>
    <n v="180"/>
    <n v="0"/>
    <n v="0"/>
    <n v="0"/>
    <n v="0"/>
    <n v="0"/>
    <n v="0"/>
    <n v="0"/>
    <n v="0"/>
    <n v="0"/>
    <n v="2360"/>
    <n v="2360"/>
    <m/>
    <m/>
    <n v="0"/>
    <m/>
    <n v="2360"/>
    <m/>
    <m/>
    <n v="2180"/>
    <n v="180"/>
    <n v="0"/>
    <n v="0"/>
    <n v="0"/>
    <n v="0"/>
    <n v="0"/>
    <n v="0"/>
    <n v="0"/>
    <n v="0"/>
    <n v="0"/>
    <n v="2360"/>
    <m/>
    <n v="2180"/>
    <n v="180"/>
    <n v="0"/>
    <n v="0"/>
    <n v="0"/>
    <n v="0"/>
    <n v="0"/>
    <n v="0"/>
    <n v="0"/>
    <n v="0"/>
    <n v="0"/>
    <n v="2360"/>
  </r>
  <r>
    <s v="L-ERP-563"/>
    <s v="Vaidya, Sachin_SOFTWARE_EnhanceChargeout001"/>
    <s v="ERP"/>
    <x v="1"/>
    <s v="Vaidya, Sachin"/>
    <s v="DeHart, Lynn"/>
    <x v="0"/>
    <s v="Enhance Chargeout Cost Centers"/>
    <m/>
    <m/>
    <s v="EnhanceChargeout001"/>
    <s v="CHW - F/U"/>
    <m/>
    <m/>
    <s v="None"/>
    <s v="Sachin (4/30): Not managed by me"/>
    <m/>
    <n v="0"/>
    <n v="0"/>
    <n v="0"/>
    <n v="0"/>
    <m/>
    <n v="1520"/>
    <n v="0"/>
    <n v="0"/>
    <n v="0"/>
    <n v="0"/>
    <n v="0"/>
    <n v="0"/>
    <n v="0"/>
    <n v="0"/>
    <n v="0"/>
    <n v="0"/>
    <n v="1520"/>
    <n v="1520"/>
    <m/>
    <m/>
    <n v="0"/>
    <m/>
    <n v="1520"/>
    <m/>
    <m/>
    <n v="1520"/>
    <n v="0"/>
    <n v="0"/>
    <n v="0"/>
    <n v="0"/>
    <n v="0"/>
    <n v="0"/>
    <n v="0"/>
    <n v="0"/>
    <n v="0"/>
    <n v="0"/>
    <n v="1520"/>
    <m/>
    <n v="1520"/>
    <n v="0"/>
    <n v="0"/>
    <n v="0"/>
    <n v="0"/>
    <n v="0"/>
    <n v="0"/>
    <n v="0"/>
    <n v="0"/>
    <n v="0"/>
    <n v="0"/>
    <n v="1520"/>
  </r>
  <r>
    <s v="L-ERP-485"/>
    <s v="Robertson, Jerome_CONTRACTORS_EnhanceChargeout001"/>
    <s v="ERP"/>
    <x v="3"/>
    <s v="Robertson, Jerome"/>
    <s v="Robertson, Jerome"/>
    <x v="2"/>
    <s v="Enhance Chargeout Cost Centers"/>
    <m/>
    <m/>
    <s v="EnhanceChargeout001"/>
    <s v="CHW - F/U"/>
    <m/>
    <m/>
    <s v="None"/>
    <s v="4/28 - (JAR) updated to $0 since factory contract has been terminated no scheduled chargebacks are expected. "/>
    <m/>
    <n v="-99996"/>
    <n v="-99996"/>
    <n v="-99996"/>
    <n v="0"/>
    <m/>
    <n v="-54900"/>
    <n v="-27820"/>
    <n v="0"/>
    <n v="0"/>
    <n v="0"/>
    <n v="0"/>
    <n v="0"/>
    <n v="0"/>
    <n v="0"/>
    <n v="0"/>
    <n v="0"/>
    <n v="-82720"/>
    <n v="17276"/>
    <m/>
    <m/>
    <n v="0"/>
    <m/>
    <n v="17276"/>
    <m/>
    <m/>
    <n v="-54900"/>
    <n v="-27820"/>
    <n v="0"/>
    <n v="0"/>
    <n v="0"/>
    <n v="0"/>
    <n v="0"/>
    <n v="0"/>
    <n v="0"/>
    <n v="0"/>
    <n v="0"/>
    <n v="-82720"/>
    <m/>
    <n v="-54900"/>
    <n v="27080"/>
    <n v="-8333"/>
    <n v="-8333"/>
    <n v="-8333"/>
    <n v="-8333"/>
    <n v="-8333"/>
    <n v="-8333"/>
    <n v="-8333"/>
    <n v="-8333"/>
    <n v="-8333"/>
    <n v="-102817"/>
  </r>
  <r>
    <s v="L-ERP-518"/>
    <s v="Tamavada, Ram_CONTRACTORS_EP&amp;SCharges001"/>
    <s v="ERP"/>
    <x v="0"/>
    <s v="Tamavada, Ram"/>
    <s v="Maguire, Karla"/>
    <x v="2"/>
    <s v="Infrastructure Billing Charges"/>
    <m/>
    <m/>
    <s v="EP&amp;SCharges001"/>
    <s v="CHW - Ok"/>
    <m/>
    <m/>
    <s v="EP&amp;S"/>
    <m/>
    <m/>
    <n v="0"/>
    <n v="0"/>
    <n v="0"/>
    <n v="0"/>
    <n v="360"/>
    <n v="360"/>
    <n v="360"/>
    <n v="0"/>
    <n v="0"/>
    <n v="0"/>
    <n v="0"/>
    <n v="0"/>
    <n v="0"/>
    <n v="0"/>
    <n v="0"/>
    <n v="0"/>
    <n v="1080"/>
    <n v="1080"/>
    <m/>
    <m/>
    <n v="0"/>
    <m/>
    <n v="1080"/>
    <m/>
    <n v="360"/>
    <n v="360"/>
    <n v="360"/>
    <n v="0"/>
    <n v="0"/>
    <n v="0"/>
    <n v="0"/>
    <n v="0"/>
    <n v="0"/>
    <n v="0"/>
    <n v="0"/>
    <n v="0"/>
    <n v="1080"/>
    <n v="360"/>
    <n v="360"/>
    <n v="360"/>
    <n v="0"/>
    <n v="0"/>
    <n v="0"/>
    <n v="0"/>
    <n v="0"/>
    <n v="0"/>
    <n v="0"/>
    <n v="0"/>
    <n v="0"/>
    <n v="1080"/>
  </r>
  <r>
    <s v="L-ERP-070"/>
    <s v="Dougherty, Chris_HW MAINTENANCE_EP&amp;SCharges001"/>
    <s v="ERP"/>
    <x v="0"/>
    <s v="Dougherty, Chris"/>
    <s v="Maguire, Karla"/>
    <x v="3"/>
    <s v="Infrastructure Billing Charges"/>
    <m/>
    <m/>
    <s v="EP&amp;SCharges001"/>
    <s v="CHW - Ok"/>
    <m/>
    <m/>
    <s v="EP&amp;S"/>
    <m/>
    <m/>
    <n v="0"/>
    <n v="0"/>
    <n v="0"/>
    <n v="0"/>
    <n v="2120"/>
    <n v="0"/>
    <n v="0"/>
    <n v="0"/>
    <n v="0"/>
    <n v="0"/>
    <n v="0"/>
    <n v="0"/>
    <n v="0"/>
    <n v="0"/>
    <n v="0"/>
    <n v="0"/>
    <n v="2120"/>
    <n v="2120"/>
    <m/>
    <m/>
    <n v="0"/>
    <m/>
    <n v="2120"/>
    <m/>
    <n v="2120"/>
    <n v="0"/>
    <n v="0"/>
    <n v="0"/>
    <n v="0"/>
    <n v="0"/>
    <n v="0"/>
    <n v="0"/>
    <n v="0"/>
    <n v="0"/>
    <n v="0"/>
    <n v="0"/>
    <n v="2120"/>
    <n v="2120"/>
    <n v="0"/>
    <n v="0"/>
    <n v="0"/>
    <n v="0"/>
    <n v="0"/>
    <n v="0"/>
    <n v="0"/>
    <n v="0"/>
    <n v="0"/>
    <n v="0"/>
    <n v="0"/>
    <n v="2120"/>
  </r>
  <r>
    <s v="L-ERP-076"/>
    <s v="Dougherty, Chris_MANAGED SERVICES_EP&amp;SCharges001"/>
    <s v="ERP"/>
    <x v="0"/>
    <s v="Dougherty, Chris"/>
    <s v="Maguire, Karla"/>
    <x v="1"/>
    <s v="Infrastructure Billing Charges"/>
    <m/>
    <m/>
    <s v="EP&amp;SCharges001"/>
    <s v="CHW - Ok"/>
    <m/>
    <m/>
    <s v="EP&amp;S"/>
    <m/>
    <m/>
    <n v="48000"/>
    <n v="48000"/>
    <n v="48000"/>
    <n v="0"/>
    <n v="4838.91"/>
    <n v="4409.8999999999996"/>
    <n v="4524.93"/>
    <n v="4000"/>
    <n v="4000"/>
    <n v="4000"/>
    <n v="4000"/>
    <n v="4000"/>
    <n v="4000"/>
    <n v="4000"/>
    <n v="4000"/>
    <n v="4000"/>
    <n v="49773.74"/>
    <n v="1773.739999999998"/>
    <m/>
    <m/>
    <n v="0"/>
    <m/>
    <n v="1773.739999999998"/>
    <m/>
    <n v="4838.91"/>
    <n v="4409.8999999999996"/>
    <n v="4524.93"/>
    <n v="4000"/>
    <n v="4000"/>
    <n v="4000"/>
    <n v="4000"/>
    <n v="4000"/>
    <n v="4000"/>
    <n v="4000"/>
    <n v="4000"/>
    <n v="4000"/>
    <n v="49773.74"/>
    <n v="4838.91"/>
    <n v="4409.8999999999996"/>
    <n v="4524.93"/>
    <n v="4000"/>
    <n v="4000"/>
    <n v="4000"/>
    <n v="4000"/>
    <n v="4000"/>
    <n v="4000"/>
    <n v="4000"/>
    <n v="4000"/>
    <n v="4000"/>
    <n v="49773.74"/>
  </r>
  <r>
    <s v="L-ERP-319"/>
    <s v="Maguire, Karla_MANAGED SERVICES_EP&amp;SCharges001"/>
    <s v="ERP"/>
    <x v="0"/>
    <s v="Maguire, Karla"/>
    <s v="Maguire, Karla"/>
    <x v="1"/>
    <s v="Infrastructure Billing Charges"/>
    <m/>
    <m/>
    <s v="EP&amp;SCharges001"/>
    <s v="CHW - Ok"/>
    <m/>
    <m/>
    <s v="EP&amp;S"/>
    <m/>
    <m/>
    <n v="0"/>
    <n v="0"/>
    <n v="0"/>
    <n v="0"/>
    <n v="0.42"/>
    <n v="0.36"/>
    <n v="0.48"/>
    <n v="0"/>
    <n v="0"/>
    <n v="0"/>
    <n v="0"/>
    <n v="0"/>
    <n v="0"/>
    <n v="0"/>
    <n v="0"/>
    <n v="0"/>
    <n v="1.26"/>
    <n v="1.26"/>
    <m/>
    <m/>
    <n v="1.1102230246251565E-16"/>
    <m/>
    <n v="1.26"/>
    <m/>
    <n v="0.42"/>
    <n v="0.36"/>
    <n v="0.48"/>
    <n v="0"/>
    <n v="0"/>
    <n v="0"/>
    <n v="0"/>
    <n v="0"/>
    <n v="0"/>
    <n v="0"/>
    <n v="0"/>
    <n v="0"/>
    <n v="1.26"/>
    <n v="0.42"/>
    <n v="0.36"/>
    <n v="0.48"/>
    <n v="0"/>
    <n v="0"/>
    <n v="0"/>
    <n v="0"/>
    <n v="0"/>
    <n v="0"/>
    <n v="0"/>
    <n v="0"/>
    <n v="0"/>
    <n v="1.26"/>
  </r>
  <r>
    <s v="L-ERP-361"/>
    <s v="McCormick, Pete_MANAGED SERVICES_EP&amp;SCharges001"/>
    <s v="ERP"/>
    <x v="0"/>
    <s v="McCormick, Pete"/>
    <s v="Maguire, Karla"/>
    <x v="1"/>
    <s v="Infrastructure Billing Charges"/>
    <m/>
    <m/>
    <s v="EP&amp;SCharges001"/>
    <s v="CHW - F/U"/>
    <m/>
    <m/>
    <s v="EP&amp;S"/>
    <m/>
    <m/>
    <n v="672000"/>
    <n v="672000"/>
    <n v="672000"/>
    <n v="0"/>
    <n v="45611.11"/>
    <n v="43675.76"/>
    <n v="39816.31"/>
    <n v="56000"/>
    <n v="56000"/>
    <n v="56000"/>
    <n v="56000"/>
    <n v="56000"/>
    <n v="56000"/>
    <n v="56000"/>
    <n v="56000"/>
    <n v="56000"/>
    <n v="633103.17999999993"/>
    <n v="-38896.820000000065"/>
    <m/>
    <m/>
    <n v="0"/>
    <m/>
    <n v="-38896.820000000065"/>
    <m/>
    <n v="45611.11"/>
    <n v="43675.76"/>
    <n v="39816.31"/>
    <n v="56000"/>
    <n v="56000"/>
    <n v="56000"/>
    <n v="56000"/>
    <n v="56000"/>
    <n v="56000"/>
    <n v="56000"/>
    <n v="56000"/>
    <n v="56000"/>
    <n v="633103.17999999993"/>
    <n v="45611.11"/>
    <n v="43675.76"/>
    <n v="39816.31"/>
    <n v="56000"/>
    <n v="56000"/>
    <n v="56000"/>
    <n v="56000"/>
    <n v="56000"/>
    <n v="56000"/>
    <n v="56000"/>
    <n v="56000"/>
    <n v="56000"/>
    <n v="633103.17999999993"/>
  </r>
  <r>
    <s v="L-ERP-529"/>
    <s v="Tamavada, Ram_MANAGED SERVICES_EP&amp;SCharges001"/>
    <s v="ERP"/>
    <x v="0"/>
    <s v="Tamavada, Ram"/>
    <s v="Maguire, Karla"/>
    <x v="1"/>
    <s v="Infrastructure Billing Charges"/>
    <m/>
    <m/>
    <s v="EP&amp;SCharges001"/>
    <m/>
    <m/>
    <m/>
    <s v="EP&amp;S"/>
    <m/>
    <m/>
    <n v="480000"/>
    <n v="480000"/>
    <n v="480000"/>
    <n v="0"/>
    <n v="61804.2"/>
    <n v="58988.63"/>
    <n v="56632.78"/>
    <n v="60000"/>
    <n v="60000"/>
    <n v="60000"/>
    <n v="60000"/>
    <n v="60000"/>
    <n v="60000"/>
    <n v="60000"/>
    <n v="60000"/>
    <n v="60000"/>
    <n v="717425.61"/>
    <n v="237425.61"/>
    <m/>
    <m/>
    <n v="0"/>
    <m/>
    <n v="237425.61"/>
    <m/>
    <n v="61804.2"/>
    <n v="58988.63"/>
    <n v="56632.78"/>
    <n v="60000"/>
    <n v="60000"/>
    <n v="60000"/>
    <n v="60000"/>
    <n v="60000"/>
    <n v="60000"/>
    <n v="60000"/>
    <n v="60000"/>
    <n v="60000"/>
    <n v="717425.61"/>
    <n v="61804.2"/>
    <n v="58988.63"/>
    <n v="56632.78"/>
    <n v="40000"/>
    <n v="40000"/>
    <n v="40000"/>
    <n v="40000"/>
    <n v="40000"/>
    <n v="40000"/>
    <n v="40000"/>
    <n v="40000"/>
    <n v="40000"/>
    <n v="537425.61"/>
  </r>
  <r>
    <s v="L-ERP-078"/>
    <s v="Dougherty, Chris_SOFTWARE_EP&amp;SCharges001"/>
    <s v="ERP"/>
    <x v="0"/>
    <s v="Dougherty, Chris"/>
    <s v="Maguire, Karla"/>
    <x v="0"/>
    <s v="Infrastructure Billing Charges"/>
    <m/>
    <m/>
    <s v="EP&amp;SCharges001"/>
    <m/>
    <m/>
    <m/>
    <s v="EP&amp;S"/>
    <m/>
    <m/>
    <n v="0"/>
    <n v="0"/>
    <n v="0"/>
    <n v="0"/>
    <n v="279.45999999999998"/>
    <n v="279.45999999999998"/>
    <n v="899.46"/>
    <n v="300"/>
    <n v="300"/>
    <n v="300"/>
    <n v="300"/>
    <n v="300"/>
    <n v="300"/>
    <n v="300"/>
    <n v="300"/>
    <n v="300"/>
    <n v="4158.38"/>
    <n v="4158.38"/>
    <m/>
    <m/>
    <n v="0"/>
    <m/>
    <n v="4158.38"/>
    <m/>
    <n v="279.45999999999998"/>
    <n v="279.45999999999998"/>
    <n v="899.46"/>
    <n v="300"/>
    <n v="300"/>
    <n v="300"/>
    <n v="300"/>
    <n v="300"/>
    <n v="300"/>
    <n v="300"/>
    <n v="300"/>
    <n v="300"/>
    <n v="4158.38"/>
    <n v="279.45999999999998"/>
    <n v="279.45999999999998"/>
    <n v="899.46"/>
    <n v="0"/>
    <n v="0"/>
    <n v="0"/>
    <n v="0"/>
    <n v="0"/>
    <n v="0"/>
    <n v="0"/>
    <n v="0"/>
    <n v="0"/>
    <n v="1458.38"/>
  </r>
  <r>
    <s v="L-ERP-363"/>
    <s v="McCormick, Pete_SOFTWARE_EP&amp;SCharges001"/>
    <s v="ERP"/>
    <x v="0"/>
    <s v="McCormick, Pete"/>
    <s v="Maguire, Karla"/>
    <x v="0"/>
    <s v="Infrastructure Billing Charges"/>
    <m/>
    <m/>
    <s v="EP&amp;SCharges001"/>
    <m/>
    <m/>
    <m/>
    <s v="EP&amp;S"/>
    <m/>
    <m/>
    <n v="48000"/>
    <n v="48000"/>
    <n v="48000"/>
    <n v="0"/>
    <n v="4052.17"/>
    <n v="3772.71"/>
    <n v="4113.25"/>
    <n v="4000"/>
    <n v="4000"/>
    <n v="4000"/>
    <n v="4000"/>
    <n v="4000"/>
    <n v="4000"/>
    <n v="4000"/>
    <n v="4000"/>
    <n v="4000"/>
    <n v="47938.130000000005"/>
    <n v="-61.869999999995343"/>
    <m/>
    <m/>
    <n v="0"/>
    <m/>
    <n v="-61.869999999995343"/>
    <m/>
    <n v="4052.17"/>
    <n v="3772.71"/>
    <n v="4113.25"/>
    <n v="4000"/>
    <n v="4000"/>
    <n v="4000"/>
    <n v="4000"/>
    <n v="4000"/>
    <n v="4000"/>
    <n v="4000"/>
    <n v="4000"/>
    <n v="4000"/>
    <n v="47938.130000000005"/>
    <n v="4052.17"/>
    <n v="3772.71"/>
    <n v="4113.25"/>
    <n v="4000"/>
    <n v="4000"/>
    <n v="4000"/>
    <n v="4000"/>
    <n v="4000"/>
    <n v="4000"/>
    <n v="4000"/>
    <n v="4000"/>
    <n v="4000"/>
    <n v="47938.130000000005"/>
  </r>
  <r>
    <s v="L-ERP-534"/>
    <s v="Tamavada, Ram_SOFTWARE_EP&amp;SCharges001"/>
    <s v="ERP"/>
    <x v="0"/>
    <s v="Tamavada, Ram"/>
    <s v="Maguire, Karla"/>
    <x v="0"/>
    <s v="Infrastructure Billing Charges"/>
    <m/>
    <m/>
    <s v="EP&amp;SCharges001"/>
    <m/>
    <m/>
    <m/>
    <s v="EP&amp;S"/>
    <m/>
    <m/>
    <n v="8383.7999999999975"/>
    <n v="8383.7999999999975"/>
    <n v="8383.7999999999975"/>
    <n v="0"/>
    <n v="698.65"/>
    <n v="558.91999999999996"/>
    <n v="419.19"/>
    <n v="690"/>
    <n v="767"/>
    <n v="750"/>
    <n v="750"/>
    <n v="750"/>
    <n v="750"/>
    <n v="750"/>
    <n v="750"/>
    <n v="750"/>
    <n v="8383.76"/>
    <n v="-3.9999999997235136E-2"/>
    <m/>
    <m/>
    <n v="0"/>
    <m/>
    <n v="-3.9999999997235136E-2"/>
    <m/>
    <n v="698.65"/>
    <n v="558.91999999999996"/>
    <n v="419.19"/>
    <n v="690"/>
    <n v="767"/>
    <n v="750"/>
    <n v="750"/>
    <n v="750"/>
    <n v="750"/>
    <n v="750"/>
    <n v="750"/>
    <n v="750"/>
    <n v="8383.76"/>
    <n v="698.65"/>
    <n v="558.91999999999996"/>
    <n v="419.19"/>
    <n v="698.65"/>
    <n v="698.65"/>
    <n v="698.65"/>
    <n v="698.65"/>
    <n v="698.65"/>
    <n v="698.65"/>
    <n v="698.65"/>
    <n v="698.65"/>
    <n v="698.65"/>
    <n v="7964.6099999999979"/>
  </r>
  <r>
    <s v="L-ERP-197"/>
    <s v="Herman, Shaun_CONTRACTORS_EP&amp;SCharges001"/>
    <s v="ERP"/>
    <x v="1"/>
    <s v="Herman, Shaun"/>
    <s v="DeHart, Lynn"/>
    <x v="2"/>
    <s v="Infrastructure Billing Charges"/>
    <m/>
    <m/>
    <s v="EP&amp;SCharges001"/>
    <m/>
    <m/>
    <m/>
    <s v="EP&amp;S"/>
    <m/>
    <m/>
    <n v="0"/>
    <n v="0"/>
    <n v="0"/>
    <n v="0"/>
    <n v="183.12"/>
    <n v="1029.04"/>
    <n v="1681.3"/>
    <n v="0"/>
    <n v="0"/>
    <n v="0"/>
    <n v="0"/>
    <n v="0"/>
    <n v="0"/>
    <n v="0"/>
    <n v="0"/>
    <n v="0"/>
    <n v="2893.46"/>
    <n v="2893.46"/>
    <m/>
    <m/>
    <n v="2.2737367544323206E-13"/>
    <m/>
    <n v="2893.46"/>
    <m/>
    <n v="183.12"/>
    <n v="1029.04"/>
    <n v="1681.3"/>
    <n v="0"/>
    <n v="0"/>
    <n v="0"/>
    <n v="0"/>
    <n v="0"/>
    <n v="0"/>
    <n v="0"/>
    <n v="0"/>
    <n v="0"/>
    <n v="2893.46"/>
    <n v="183.12"/>
    <n v="1029.04"/>
    <n v="1681.3"/>
    <n v="0"/>
    <n v="0"/>
    <n v="0"/>
    <n v="0"/>
    <n v="0"/>
    <n v="0"/>
    <n v="0"/>
    <n v="0"/>
    <n v="0"/>
    <n v="2893.46"/>
  </r>
  <r>
    <s v="L-ERP-570"/>
    <s v="Yeluri, Durga_CONTRACTORS_EP&amp;SCharges001"/>
    <s v="ERP"/>
    <x v="1"/>
    <s v="Yeluri, Durga"/>
    <s v="DeHart, Lynn"/>
    <x v="2"/>
    <s v="Infrastructure Billing Charges"/>
    <m/>
    <m/>
    <s v="EP&amp;SCharges001"/>
    <m/>
    <m/>
    <m/>
    <s v="EP&amp;S"/>
    <m/>
    <m/>
    <n v="24000"/>
    <n v="24000"/>
    <n v="24000"/>
    <n v="0"/>
    <n v="366.24"/>
    <n v="0"/>
    <n v="91.56"/>
    <n v="2000"/>
    <n v="2000"/>
    <n v="2000"/>
    <n v="2000"/>
    <n v="2000"/>
    <n v="2000"/>
    <n v="2000"/>
    <n v="2000"/>
    <n v="2000"/>
    <n v="18457.8"/>
    <n v="-5542.2000000000007"/>
    <m/>
    <m/>
    <n v="0"/>
    <m/>
    <n v="-5542.2000000000007"/>
    <m/>
    <n v="366.24"/>
    <n v="0"/>
    <n v="91.56"/>
    <n v="2000"/>
    <n v="2000"/>
    <n v="2000"/>
    <n v="2000"/>
    <n v="2000"/>
    <n v="2000"/>
    <n v="2000"/>
    <n v="2000"/>
    <n v="2000"/>
    <n v="18457.8"/>
    <n v="366.24"/>
    <n v="0"/>
    <n v="91.56"/>
    <n v="2000"/>
    <n v="2000"/>
    <n v="2000"/>
    <n v="2000"/>
    <n v="2000"/>
    <n v="2000"/>
    <n v="2000"/>
    <n v="2000"/>
    <n v="2000"/>
    <n v="18457.8"/>
  </r>
  <r>
    <s v="L-ERP-012"/>
    <s v="DeHart, Lynn_MANAGED SERVICES_EP&amp;SCharges001"/>
    <s v="ERP"/>
    <x v="1"/>
    <s v="DeHart, Lynn"/>
    <s v="DeHart, Lynn"/>
    <x v="1"/>
    <s v="Infrastructure Billing Charges"/>
    <m/>
    <m/>
    <s v="EP&amp;SCharges001"/>
    <m/>
    <m/>
    <m/>
    <s v="EP&amp;S"/>
    <m/>
    <m/>
    <n v="19212"/>
    <n v="19212"/>
    <n v="19212"/>
    <n v="0"/>
    <n v="1556.11"/>
    <n v="1531.5"/>
    <n v="1622.25"/>
    <n v="1601"/>
    <n v="1601"/>
    <n v="1601"/>
    <n v="1601"/>
    <n v="1601"/>
    <n v="1601"/>
    <n v="1601"/>
    <n v="1601"/>
    <n v="1601"/>
    <n v="19118.86"/>
    <n v="-93.139999999999418"/>
    <m/>
    <m/>
    <n v="0"/>
    <m/>
    <n v="-93.139999999999418"/>
    <m/>
    <n v="1556.11"/>
    <n v="1531.5"/>
    <n v="1622.25"/>
    <n v="1601"/>
    <n v="1601"/>
    <n v="1601"/>
    <n v="1601"/>
    <n v="1601"/>
    <n v="1601"/>
    <n v="1601"/>
    <n v="1601"/>
    <n v="1601"/>
    <n v="19118.86"/>
    <n v="1556.11"/>
    <n v="1531.5"/>
    <n v="1622.25"/>
    <n v="1601"/>
    <n v="1601"/>
    <n v="1601"/>
    <n v="1601"/>
    <n v="1601"/>
    <n v="1601"/>
    <n v="1601"/>
    <n v="1601"/>
    <n v="1601"/>
    <n v="19118.86"/>
  </r>
  <r>
    <s v="L-ERP-131"/>
    <s v="Ganesan, Srinivasan_MANAGED SERVICES_EP&amp;SCharges001"/>
    <s v="ERP"/>
    <x v="1"/>
    <s v="Ganesan, Srinivasan"/>
    <s v="DeHart, Lynn"/>
    <x v="1"/>
    <s v="Infrastructure Billing Charges"/>
    <m/>
    <m/>
    <s v="EP&amp;SCharges001"/>
    <m/>
    <m/>
    <m/>
    <s v="EP&amp;S"/>
    <m/>
    <m/>
    <n v="18000"/>
    <n v="18000"/>
    <n v="18000"/>
    <n v="0"/>
    <n v="920.95"/>
    <n v="1065.45"/>
    <n v="1035.58"/>
    <n v="1500"/>
    <n v="1500"/>
    <n v="1500"/>
    <n v="1500"/>
    <n v="1500"/>
    <n v="1500"/>
    <n v="1500"/>
    <n v="1500"/>
    <n v="1500"/>
    <n v="16521.98"/>
    <n v="-1478.0200000000004"/>
    <m/>
    <m/>
    <n v="0"/>
    <m/>
    <n v="-1478.0200000000004"/>
    <m/>
    <n v="920.95"/>
    <n v="1065.45"/>
    <n v="1035.58"/>
    <n v="1500"/>
    <n v="1500"/>
    <n v="1500"/>
    <n v="1500"/>
    <n v="1500"/>
    <n v="1500"/>
    <n v="1500"/>
    <n v="1500"/>
    <n v="1500"/>
    <n v="16521.98"/>
    <n v="920.95"/>
    <n v="1065.45"/>
    <n v="1035.58"/>
    <n v="1500"/>
    <n v="1500"/>
    <n v="1500"/>
    <n v="1500"/>
    <n v="1500"/>
    <n v="1500"/>
    <n v="1500"/>
    <n v="1500"/>
    <n v="1500"/>
    <n v="16521.98"/>
  </r>
  <r>
    <s v="L-ERP-185"/>
    <s v="Hase, Raj_MANAGED SERVICES_EP&amp;SCharges001"/>
    <s v="ERP"/>
    <x v="1"/>
    <s v="Hase, Raj"/>
    <s v="DeHart, Lynn"/>
    <x v="1"/>
    <s v="Infrastructure Billing Charges"/>
    <m/>
    <m/>
    <s v="EP&amp;SCharges001"/>
    <m/>
    <m/>
    <m/>
    <s v="EP&amp;S"/>
    <m/>
    <m/>
    <n v="10233"/>
    <n v="10233"/>
    <n v="10233"/>
    <n v="0"/>
    <n v="961.55"/>
    <n v="816.59"/>
    <n v="725.14"/>
    <n v="852.75"/>
    <n v="852.75"/>
    <n v="852.75"/>
    <n v="852.75"/>
    <n v="852.75"/>
    <n v="852.75"/>
    <n v="852.75"/>
    <n v="852.75"/>
    <n v="852.75"/>
    <n v="10178.029999999999"/>
    <n v="-54.970000000001164"/>
    <m/>
    <m/>
    <n v="0"/>
    <m/>
    <n v="-54.970000000001164"/>
    <m/>
    <n v="961.55"/>
    <n v="816.59"/>
    <n v="725.14"/>
    <n v="852.75"/>
    <n v="852.75"/>
    <n v="852.75"/>
    <n v="852.75"/>
    <n v="852.75"/>
    <n v="852.75"/>
    <n v="852.75"/>
    <n v="852.75"/>
    <n v="852.75"/>
    <n v="10178.029999999999"/>
    <n v="961.55"/>
    <n v="816.59"/>
    <n v="725.14"/>
    <n v="852.75"/>
    <n v="852.75"/>
    <n v="852.75"/>
    <n v="852.75"/>
    <n v="852.75"/>
    <n v="852.75"/>
    <n v="852.75"/>
    <n v="852.75"/>
    <n v="852.75"/>
    <n v="10178.029999999999"/>
  </r>
  <r>
    <s v="L-ERP-200"/>
    <s v="Herman, Shaun_MANAGED SERVICES_EP&amp;SCharges001"/>
    <s v="ERP"/>
    <x v="1"/>
    <s v="Herman, Shaun"/>
    <s v="DeHart, Lynn"/>
    <x v="1"/>
    <s v="Infrastructure Billing Charges"/>
    <m/>
    <m/>
    <s v="EP&amp;SCharges001"/>
    <m/>
    <m/>
    <m/>
    <s v="EP&amp;S"/>
    <m/>
    <m/>
    <n v="24000"/>
    <n v="24000"/>
    <n v="24000"/>
    <n v="0"/>
    <n v="1075.3900000000001"/>
    <n v="1075.5999999999999"/>
    <n v="926.67"/>
    <n v="2000"/>
    <n v="2000"/>
    <n v="2000"/>
    <n v="2000"/>
    <n v="2000"/>
    <n v="2000"/>
    <n v="2000"/>
    <n v="2000"/>
    <n v="2000"/>
    <n v="21077.66"/>
    <n v="-2922.34"/>
    <m/>
    <m/>
    <n v="0"/>
    <m/>
    <n v="-2922.34"/>
    <m/>
    <n v="1075.3900000000001"/>
    <n v="1075.5999999999999"/>
    <n v="926.67"/>
    <n v="2000"/>
    <n v="2000"/>
    <n v="2000"/>
    <n v="2000"/>
    <n v="2000"/>
    <n v="2000"/>
    <n v="2000"/>
    <n v="2000"/>
    <n v="2000"/>
    <n v="21077.66"/>
    <n v="1075.3900000000001"/>
    <n v="1075.5999999999999"/>
    <n v="926.67"/>
    <n v="2000"/>
    <n v="2000"/>
    <n v="2000"/>
    <n v="2000"/>
    <n v="2000"/>
    <n v="2000"/>
    <n v="2000"/>
    <n v="2000"/>
    <n v="2000"/>
    <n v="21077.66"/>
  </r>
  <r>
    <s v="L-ERP-222"/>
    <s v="Hovanyetz, Mike_MANAGED SERVICES_EP&amp;SCharges001"/>
    <s v="ERP"/>
    <x v="1"/>
    <s v="Hovanyetz, Mike"/>
    <s v="DeHart, Lynn"/>
    <x v="1"/>
    <s v="Infrastructure Billing Charges"/>
    <m/>
    <m/>
    <s v="EP&amp;SCharges001"/>
    <m/>
    <m/>
    <m/>
    <s v="EP&amp;S"/>
    <s v="CHW 4/30 - Tie-back to Planful transaction details"/>
    <m/>
    <n v="36000"/>
    <n v="36000"/>
    <n v="36000"/>
    <n v="0"/>
    <n v="4414.1899999999996"/>
    <n v="3932.76"/>
    <n v="3608.56"/>
    <n v="3000"/>
    <n v="3000"/>
    <n v="3000"/>
    <n v="3000"/>
    <n v="3000"/>
    <n v="3000"/>
    <n v="3000"/>
    <n v="3000"/>
    <n v="3000"/>
    <n v="38955.51"/>
    <n v="2955.510000000002"/>
    <m/>
    <m/>
    <n v="0"/>
    <m/>
    <n v="2955.510000000002"/>
    <m/>
    <n v="4414.1899999999996"/>
    <n v="3932.76"/>
    <n v="3608.56"/>
    <n v="3000"/>
    <n v="3000"/>
    <n v="3000"/>
    <n v="3000"/>
    <n v="3000"/>
    <n v="3000"/>
    <n v="3000"/>
    <n v="3000"/>
    <n v="3000"/>
    <n v="38955.51"/>
    <n v="4414.1899999999996"/>
    <n v="3932.76"/>
    <n v="3608.56"/>
    <n v="3000"/>
    <n v="3000"/>
    <n v="3000"/>
    <n v="3000"/>
    <n v="3000"/>
    <n v="3000"/>
    <n v="3000"/>
    <n v="3000"/>
    <n v="3000"/>
    <n v="38955.51"/>
  </r>
  <r>
    <s v="L-ERP-575"/>
    <s v="Yeluri, Durga_MANAGED SERVICES_EP&amp;SCharges001"/>
    <s v="ERP"/>
    <x v="1"/>
    <s v="Yeluri, Durga"/>
    <s v="DeHart, Lynn"/>
    <x v="1"/>
    <s v="Infrastructure Billing Charges"/>
    <m/>
    <m/>
    <s v="EP&amp;SCharges001"/>
    <m/>
    <m/>
    <m/>
    <s v="EP&amp;S"/>
    <m/>
    <m/>
    <n v="68292"/>
    <n v="68292"/>
    <n v="68292"/>
    <n v="0"/>
    <n v="3349.03"/>
    <n v="3352.38"/>
    <n v="4061.62"/>
    <n v="5691"/>
    <n v="5691"/>
    <n v="5691"/>
    <n v="5691"/>
    <n v="5691"/>
    <n v="5691"/>
    <n v="5691"/>
    <n v="5691"/>
    <n v="5691"/>
    <n v="61982.03"/>
    <n v="-6309.9700000000012"/>
    <m/>
    <m/>
    <n v="0"/>
    <m/>
    <n v="-6309.9700000000012"/>
    <m/>
    <n v="3349.03"/>
    <n v="3352.38"/>
    <n v="4061.62"/>
    <n v="5691"/>
    <n v="5691"/>
    <n v="5691"/>
    <n v="5691"/>
    <n v="5691"/>
    <n v="5691"/>
    <n v="5691"/>
    <n v="5691"/>
    <n v="5691"/>
    <n v="61982.03"/>
    <n v="3349.03"/>
    <n v="3352.38"/>
    <n v="4061.62"/>
    <n v="5691"/>
    <n v="5691"/>
    <n v="5691"/>
    <n v="5691"/>
    <n v="5691"/>
    <n v="5691"/>
    <n v="5691"/>
    <n v="5691"/>
    <n v="5691"/>
    <n v="61982.03"/>
  </r>
  <r>
    <s v="L-ERP-133"/>
    <s v="Ganesan, Srinivasan_SOFTWARE_EP&amp;SCharges001"/>
    <s v="ERP"/>
    <x v="1"/>
    <s v="Ganesan, Srinivasan"/>
    <s v="DeHart, Lynn"/>
    <x v="0"/>
    <s v="Infrastructure Billing Charges"/>
    <m/>
    <m/>
    <s v="EP&amp;SCharges001"/>
    <m/>
    <m/>
    <m/>
    <s v="EP&amp;S"/>
    <m/>
    <m/>
    <n v="4200"/>
    <n v="4200"/>
    <n v="4200"/>
    <n v="0"/>
    <n v="251.53"/>
    <n v="246.74"/>
    <n v="239.82"/>
    <n v="350"/>
    <n v="350"/>
    <n v="350"/>
    <n v="350"/>
    <n v="350"/>
    <n v="350"/>
    <n v="350"/>
    <n v="350"/>
    <n v="350"/>
    <n v="3888.09"/>
    <n v="-311.90999999999985"/>
    <m/>
    <m/>
    <n v="0"/>
    <m/>
    <n v="-311.90999999999985"/>
    <m/>
    <n v="251.53"/>
    <n v="246.74"/>
    <n v="239.82"/>
    <n v="350"/>
    <n v="350"/>
    <n v="350"/>
    <n v="350"/>
    <n v="350"/>
    <n v="350"/>
    <n v="350"/>
    <n v="350"/>
    <n v="350"/>
    <n v="3888.09"/>
    <n v="251.53"/>
    <n v="246.74"/>
    <n v="239.82"/>
    <n v="350"/>
    <n v="350"/>
    <n v="350"/>
    <n v="350"/>
    <n v="350"/>
    <n v="350"/>
    <n v="350"/>
    <n v="350"/>
    <n v="350"/>
    <n v="3888.09"/>
  </r>
  <r>
    <s v="L-ERP-577"/>
    <s v="Yeluri, Durga_SOFTWARE_EP&amp;SCharges001"/>
    <s v="ERP"/>
    <x v="1"/>
    <s v="Yeluri, Durga"/>
    <s v="DeHart, Lynn"/>
    <x v="0"/>
    <s v="Infrastructure Billing Charges"/>
    <m/>
    <m/>
    <s v="EP&amp;SCharges001"/>
    <m/>
    <m/>
    <m/>
    <s v="EP&amp;S"/>
    <m/>
    <m/>
    <n v="23474.640000000003"/>
    <n v="23474.640000000003"/>
    <n v="23474.640000000003"/>
    <n v="0"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  <n v="3610.8100000000013"/>
    <m/>
    <m/>
    <n v="0"/>
    <m/>
    <n v="3610.8100000000013"/>
    <m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</r>
  <r>
    <s v="L-ERP-418"/>
    <s v="McGettigan, David_CONTRACTORS_EP&amp;SCharges001"/>
    <s v="ERP"/>
    <x v="2"/>
    <s v="McGettigan, David"/>
    <s v="McGettigan, David"/>
    <x v="2"/>
    <s v="Infrastructure Billing Charges"/>
    <m/>
    <m/>
    <s v="EP&amp;SCharges001"/>
    <m/>
    <m/>
    <m/>
    <s v="EP&amp;S"/>
    <m/>
    <m/>
    <n v="0"/>
    <n v="0"/>
    <n v="0"/>
    <n v="0"/>
    <n v="5323.5"/>
    <n v="2811.9"/>
    <n v="4935.74"/>
    <n v="0"/>
    <n v="0"/>
    <n v="0"/>
    <n v="0"/>
    <n v="0"/>
    <n v="0"/>
    <n v="0"/>
    <n v="0"/>
    <n v="0"/>
    <n v="13071.14"/>
    <n v="13071.14"/>
    <m/>
    <m/>
    <n v="0"/>
    <m/>
    <n v="13071.14"/>
    <m/>
    <n v="5323.5"/>
    <n v="2811.9"/>
    <n v="4935.74"/>
    <n v="0"/>
    <n v="0"/>
    <n v="0"/>
    <n v="0"/>
    <n v="0"/>
    <n v="0"/>
    <n v="0"/>
    <n v="0"/>
    <n v="0"/>
    <n v="13071.14"/>
    <n v="5323.5"/>
    <n v="2811.9"/>
    <n v="4935.74"/>
    <n v="0"/>
    <n v="0"/>
    <n v="0"/>
    <n v="0"/>
    <n v="0"/>
    <n v="0"/>
    <n v="0"/>
    <n v="0"/>
    <n v="0"/>
    <n v="13071.14"/>
  </r>
  <r>
    <s v="L-ERP-422"/>
    <s v="McGettigan, David_MANAGED SERVICES_EP&amp;SCharges001"/>
    <s v="ERP"/>
    <x v="2"/>
    <s v="McGettigan, David"/>
    <s v="McGettigan, David"/>
    <x v="1"/>
    <s v="Infrastructure Billing Charges"/>
    <m/>
    <m/>
    <s v="EP&amp;SCharges001"/>
    <m/>
    <m/>
    <m/>
    <s v="EP&amp;S"/>
    <m/>
    <m/>
    <n v="42000"/>
    <n v="42000"/>
    <n v="42000"/>
    <n v="0"/>
    <n v="1654.46"/>
    <n v="2175.66"/>
    <n v="1639.8"/>
    <n v="3500"/>
    <n v="3500"/>
    <n v="3500"/>
    <n v="3500"/>
    <n v="3500"/>
    <n v="3500"/>
    <n v="3500"/>
    <n v="3500"/>
    <n v="3500"/>
    <n v="36969.919999999998"/>
    <n v="-5030.0800000000017"/>
    <m/>
    <m/>
    <n v="0"/>
    <m/>
    <n v="-5030.0800000000017"/>
    <m/>
    <n v="1654.46"/>
    <n v="2175.66"/>
    <n v="1639.8"/>
    <n v="3500"/>
    <n v="3500"/>
    <n v="3500"/>
    <n v="3500"/>
    <n v="3500"/>
    <n v="3500"/>
    <n v="3500"/>
    <n v="3500"/>
    <n v="3500"/>
    <n v="36969.919999999998"/>
    <n v="1654.46"/>
    <n v="2175.66"/>
    <n v="1639.8"/>
    <n v="3500"/>
    <n v="3500"/>
    <n v="3500"/>
    <n v="3500"/>
    <n v="3500"/>
    <n v="3500"/>
    <n v="3500"/>
    <n v="3500"/>
    <n v="3500"/>
    <n v="36969.919999999998"/>
  </r>
  <r>
    <s v="L-ERP-480"/>
    <s v="Robertson, Jerome_CONTRACTORS_EP&amp;SCharges001"/>
    <s v="ERP"/>
    <x v="3"/>
    <s v="Robertson, Jerome"/>
    <s v="Robertson, Jerome"/>
    <x v="2"/>
    <s v="Infrastructure Billing Charges"/>
    <m/>
    <m/>
    <s v="EP&amp;SCharges001"/>
    <m/>
    <m/>
    <m/>
    <s v="EP&amp;S"/>
    <m/>
    <m/>
    <n v="0"/>
    <n v="0"/>
    <n v="0"/>
    <n v="0"/>
    <m/>
    <n v="400"/>
    <n v="0"/>
    <n v="0"/>
    <n v="0"/>
    <n v="0"/>
    <n v="0"/>
    <n v="0"/>
    <n v="0"/>
    <n v="0"/>
    <n v="0"/>
    <n v="0"/>
    <n v="400"/>
    <n v="400"/>
    <m/>
    <m/>
    <n v="0"/>
    <m/>
    <n v="400"/>
    <m/>
    <m/>
    <n v="400"/>
    <n v="0"/>
    <n v="0"/>
    <n v="0"/>
    <n v="0"/>
    <n v="0"/>
    <n v="0"/>
    <n v="0"/>
    <n v="0"/>
    <n v="0"/>
    <n v="0"/>
    <n v="400"/>
    <m/>
    <n v="400"/>
    <n v="0"/>
    <n v="0"/>
    <n v="0"/>
    <n v="0"/>
    <n v="0"/>
    <n v="0"/>
    <n v="0"/>
    <n v="0"/>
    <n v="0"/>
    <n v="0"/>
    <n v="400"/>
  </r>
  <r>
    <s v="L-ERP-482"/>
    <s v="Robertson, Jerome_HW MAINTENANCE_EP&amp;SCharges001"/>
    <s v="ERP"/>
    <x v="3"/>
    <s v="Robertson, Jerome"/>
    <s v="Robertson, Jerome"/>
    <x v="3"/>
    <s v="Infrastructure Billing Charges"/>
    <m/>
    <m/>
    <s v="EP&amp;SCharges001"/>
    <m/>
    <m/>
    <m/>
    <s v="EP&amp;S"/>
    <m/>
    <m/>
    <n v="0"/>
    <n v="0"/>
    <n v="0"/>
    <n v="0"/>
    <m/>
    <n v="1060"/>
    <n v="0"/>
    <n v="0"/>
    <n v="0"/>
    <n v="0"/>
    <n v="0"/>
    <n v="0"/>
    <n v="0"/>
    <n v="0"/>
    <n v="0"/>
    <n v="0"/>
    <n v="1060"/>
    <n v="1060"/>
    <m/>
    <m/>
    <n v="0"/>
    <m/>
    <n v="1060"/>
    <m/>
    <m/>
    <n v="1060"/>
    <n v="0"/>
    <n v="0"/>
    <n v="0"/>
    <n v="0"/>
    <n v="0"/>
    <n v="0"/>
    <n v="0"/>
    <n v="0"/>
    <n v="0"/>
    <n v="0"/>
    <n v="1060"/>
    <m/>
    <n v="1060"/>
    <n v="0"/>
    <n v="0"/>
    <n v="0"/>
    <n v="0"/>
    <n v="0"/>
    <n v="0"/>
    <n v="0"/>
    <n v="0"/>
    <n v="0"/>
    <n v="0"/>
    <n v="1060"/>
  </r>
  <r>
    <s v="L-ERP-395"/>
    <s v="McGettigan, David_SOFTWARE_ERP_Amort001"/>
    <s v="ERP"/>
    <x v="2"/>
    <s v="McGettigan, David"/>
    <s v="McGettigan, David"/>
    <x v="0"/>
    <s v="CCA - Process Mining Celonis-EMEA/US/PGS- Amortization"/>
    <m/>
    <m/>
    <s v="ERP_Amort001"/>
    <m/>
    <m/>
    <m/>
    <s v="Celonis / CCA"/>
    <m/>
    <m/>
    <n v="0"/>
    <n v="0"/>
    <n v="0"/>
    <n v="0"/>
    <n v="16675.14"/>
    <n v="0"/>
    <n v="-16675.14"/>
    <m/>
    <m/>
    <m/>
    <m/>
    <m/>
    <m/>
    <m/>
    <m/>
    <m/>
    <n v="0"/>
    <n v="0"/>
    <m/>
    <m/>
    <n v="0"/>
    <m/>
    <n v="0"/>
    <m/>
    <n v="16675.14"/>
    <n v="0"/>
    <n v="-16675.14"/>
    <m/>
    <m/>
    <m/>
    <m/>
    <m/>
    <m/>
    <m/>
    <m/>
    <m/>
    <n v="0"/>
    <n v="16675.14"/>
    <n v="0"/>
    <n v="-16675.14"/>
    <m/>
    <m/>
    <m/>
    <m/>
    <m/>
    <m/>
    <m/>
    <m/>
    <m/>
    <n v="0"/>
  </r>
  <r>
    <s v="L-ERP-345"/>
    <s v="Maguire, Karla_DEPRECIATION_ERP_Depre001"/>
    <s v="ERP"/>
    <x v="0"/>
    <s v="Maguire, Karla"/>
    <s v="Maguire, Karla"/>
    <x v="6"/>
    <s v="ERP Activated Assets"/>
    <m/>
    <m/>
    <s v="ERP_Depre001"/>
    <m/>
    <m/>
    <m/>
    <s v="None"/>
    <s v="5/18/26 CHW - Updated "/>
    <m/>
    <n v="0"/>
    <n v="0"/>
    <n v="0"/>
    <n v="0"/>
    <n v="656"/>
    <n v="1537.91"/>
    <n v="2038"/>
    <n v="2038"/>
    <n v="2038"/>
    <n v="2038"/>
    <n v="2038"/>
    <n v="2038"/>
    <n v="2038"/>
    <n v="2038"/>
    <n v="2038"/>
    <n v="2038"/>
    <n v="22573.91"/>
    <n v="22573.91"/>
    <m/>
    <m/>
    <n v="0"/>
    <m/>
    <n v="22573.91"/>
    <m/>
    <n v="656"/>
    <n v="1537.91"/>
    <n v="2038"/>
    <n v="2038"/>
    <n v="2038"/>
    <n v="2038"/>
    <n v="2038"/>
    <n v="2038"/>
    <n v="2038"/>
    <n v="2038"/>
    <n v="2038"/>
    <n v="2038"/>
    <n v="22573.91"/>
    <n v="656"/>
    <n v="1537.91"/>
    <n v="2038"/>
    <n v="0"/>
    <n v="0"/>
    <n v="0"/>
    <n v="0"/>
    <n v="0"/>
    <n v="0"/>
    <n v="0"/>
    <n v="0"/>
    <n v="0"/>
    <n v="4231.91"/>
  </r>
  <r>
    <s v="L-ERP-046"/>
    <s v="DeHart, Lynn_DEPRECIATION_ERP_Depre001"/>
    <s v="ERP"/>
    <x v="1"/>
    <s v="DeHart, Lynn"/>
    <s v="DeHart, Lynn"/>
    <x v="6"/>
    <s v="ERP Activated Assets"/>
    <m/>
    <m/>
    <s v="ERP_Depre001"/>
    <m/>
    <m/>
    <m/>
    <s v="None"/>
    <s v="5/18/26 CHW - Updated "/>
    <m/>
    <n v="0"/>
    <n v="0"/>
    <n v="0"/>
    <n v="0"/>
    <n v="336"/>
    <n v="337"/>
    <n v="1883"/>
    <n v="1883"/>
    <n v="1883"/>
    <n v="1883"/>
    <n v="1883"/>
    <n v="1883"/>
    <n v="1883"/>
    <n v="1883"/>
    <n v="1883"/>
    <n v="1883"/>
    <n v="19503"/>
    <n v="19503"/>
    <m/>
    <m/>
    <n v="0"/>
    <m/>
    <n v="19503"/>
    <m/>
    <n v="336"/>
    <n v="337"/>
    <n v="1883"/>
    <n v="1883"/>
    <n v="1883"/>
    <n v="1883"/>
    <n v="1883"/>
    <n v="1883"/>
    <n v="1883"/>
    <n v="1883"/>
    <n v="1883"/>
    <n v="1883"/>
    <n v="19503"/>
    <n v="336"/>
    <n v="337"/>
    <n v="1883"/>
    <n v="0"/>
    <n v="0"/>
    <n v="0"/>
    <n v="0"/>
    <n v="0"/>
    <n v="0"/>
    <n v="0"/>
    <n v="0"/>
    <n v="0"/>
    <n v="2556"/>
  </r>
  <r>
    <s v="L-ERP-173"/>
    <s v="Ganesan, Srinivasan_DEPRECIATION_ERP_Depre001"/>
    <s v="ERP"/>
    <x v="1"/>
    <s v="Ganesan, Srinivasan"/>
    <s v="DeHart, Lynn"/>
    <x v="6"/>
    <s v="ERP Activated Assets"/>
    <m/>
    <m/>
    <s v="ERP_Depre001"/>
    <m/>
    <m/>
    <m/>
    <s v="None"/>
    <s v="5/18/26 CHW - Updated "/>
    <m/>
    <n v="0"/>
    <n v="0"/>
    <n v="0"/>
    <n v="0"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6232.2000000000016"/>
    <m/>
    <m/>
    <n v="0"/>
    <m/>
    <n v="6232.2000000000016"/>
    <m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519.35"/>
    <n v="519.35"/>
    <n v="519.35"/>
    <n v="0"/>
    <n v="0"/>
    <n v="0"/>
    <n v="0"/>
    <n v="0"/>
    <n v="0"/>
    <n v="0"/>
    <n v="0"/>
    <n v="0"/>
    <n v="1558.0500000000002"/>
  </r>
  <r>
    <s v="L-ERP-435"/>
    <s v="McGettigan, David_DEPRECIATION_ERP_Depre001"/>
    <s v="ERP"/>
    <x v="2"/>
    <s v="McGettigan, David"/>
    <s v="McGettigan, David"/>
    <x v="6"/>
    <s v="ERP Activated Assets"/>
    <m/>
    <m/>
    <s v="ERP_Depre001"/>
    <m/>
    <m/>
    <m/>
    <s v="None"/>
    <s v="5/18/26 CHW - Updated "/>
    <m/>
    <n v="32110933.16"/>
    <n v="32110933.16"/>
    <n v="32110933.16"/>
    <n v="0"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  <n v="2646528.3499999978"/>
    <m/>
    <m/>
    <n v="0"/>
    <m/>
    <n v="2646528.3499999978"/>
    <m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</r>
  <r>
    <s v="L-ERP-430"/>
    <s v="McGettigan, David_DEPRECIATION_ERP_DepreAUC001"/>
    <s v="ERP"/>
    <x v="2"/>
    <s v="McGettigan, David"/>
    <s v="McGettigan, David"/>
    <x v="6"/>
    <s v="ERP AUC - New Projects"/>
    <m/>
    <m/>
    <s v="ERP_DepreAUC001"/>
    <m/>
    <m/>
    <m/>
    <s v="AUC"/>
    <m/>
    <m/>
    <n v="3047384"/>
    <n v="3047384"/>
    <n v="3047384"/>
    <n v="0"/>
    <m/>
    <m/>
    <m/>
    <n v="0"/>
    <n v="12850.03788888889"/>
    <n v="14915.704555555556"/>
    <n v="14915.704555555556"/>
    <n v="14915.704555555556"/>
    <n v="14915.704555555556"/>
    <n v="23394.593444444443"/>
    <n v="23394.593444444443"/>
    <n v="28460.260111111111"/>
    <n v="147762.3031111111"/>
    <n v="-2899621.6968888887"/>
    <m/>
    <m/>
    <n v="0"/>
    <m/>
    <n v="-2899621.6968888887"/>
    <m/>
    <m/>
    <m/>
    <m/>
    <n v="0"/>
    <n v="12850.03788888889"/>
    <n v="14915.704555555556"/>
    <n v="14915.704555555556"/>
    <n v="14915.704555555556"/>
    <n v="14915.704555555556"/>
    <n v="23394.593444444443"/>
    <n v="23394.593444444443"/>
    <n v="28460.260111111111"/>
    <n v="147762.3031111111"/>
    <m/>
    <m/>
    <m/>
    <n v="12436.91"/>
    <n v="17183.39"/>
    <n v="19249.060000000001"/>
    <n v="19249.060000000001"/>
    <n v="20917.810000000001"/>
    <n v="38739.129999999997"/>
    <n v="52766.07"/>
    <n v="52766.07"/>
    <n v="65150.49"/>
    <n v="298457.99"/>
  </r>
  <r>
    <s v="L-ERP-425"/>
    <s v="McGettigan, David_CONTRACTORS_ERP_Digital Funded Project_002"/>
    <s v="ERP"/>
    <x v="2"/>
    <s v="McGettigan, David"/>
    <s v="McGettigan, David"/>
    <x v="2"/>
    <s v="Accord Remediation - Access Certification in SailPoint"/>
    <m/>
    <m/>
    <s v="ERP_Digital Funded Project_002"/>
    <m/>
    <m/>
    <m/>
    <s v="Digital Funded Project"/>
    <m/>
    <m/>
    <n v="100000"/>
    <n v="100000"/>
    <n v="100000"/>
    <n v="0"/>
    <m/>
    <m/>
    <m/>
    <n v="25000"/>
    <n v="25000"/>
    <n v="25000"/>
    <n v="25000"/>
    <n v="0"/>
    <n v="0"/>
    <n v="0"/>
    <n v="0"/>
    <n v="0"/>
    <n v="100000"/>
    <n v="0"/>
    <m/>
    <m/>
    <n v="0"/>
    <m/>
    <n v="0"/>
    <m/>
    <m/>
    <m/>
    <m/>
    <n v="25000"/>
    <n v="25000"/>
    <n v="25000"/>
    <n v="25000"/>
    <n v="0"/>
    <n v="0"/>
    <n v="0"/>
    <n v="0"/>
    <n v="0"/>
    <n v="100000"/>
    <m/>
    <m/>
    <m/>
    <n v="25000"/>
    <n v="25000"/>
    <n v="25000"/>
    <n v="25000"/>
    <n v="0"/>
    <n v="0"/>
    <n v="0"/>
    <n v="0"/>
    <n v="0"/>
    <n v="100000"/>
  </r>
  <r>
    <s v="L-ERP-421"/>
    <s v="McGettigan, David_CONTRACTORS_ERP_DigitalFundedProject001"/>
    <s v="ERP"/>
    <x v="2"/>
    <s v="McGettigan, David"/>
    <s v="McGettigan, David"/>
    <x v="2"/>
    <s v="VOX Remediation"/>
    <m/>
    <m/>
    <s v="ERP_DigitalFundedProject001"/>
    <m/>
    <m/>
    <m/>
    <s v="Digital Funded Project"/>
    <m/>
    <m/>
    <n v="45000"/>
    <n v="45000"/>
    <n v="45000"/>
    <n v="0"/>
    <m/>
    <m/>
    <m/>
    <n v="15000"/>
    <n v="15000"/>
    <n v="0"/>
    <n v="0"/>
    <n v="0"/>
    <n v="0"/>
    <n v="0"/>
    <n v="0"/>
    <n v="0"/>
    <n v="30000"/>
    <n v="-15000"/>
    <m/>
    <m/>
    <n v="0"/>
    <m/>
    <n v="-15000"/>
    <m/>
    <m/>
    <m/>
    <m/>
    <n v="15000"/>
    <n v="15000"/>
    <n v="0"/>
    <n v="0"/>
    <n v="0"/>
    <n v="0"/>
    <n v="0"/>
    <n v="0"/>
    <n v="0"/>
    <n v="30000"/>
    <m/>
    <m/>
    <m/>
    <n v="15000"/>
    <n v="15000"/>
    <n v="0"/>
    <n v="0"/>
    <n v="0"/>
    <n v="0"/>
    <n v="0"/>
    <n v="0"/>
    <n v="0"/>
    <n v="30000"/>
  </r>
  <r>
    <s v="L-ERP-387"/>
    <s v="McGettigan, David_CONTRACTORS_ERP_ProjectQuantaME001"/>
    <s v="ERP"/>
    <x v="2"/>
    <s v="McGettigan, David"/>
    <s v="McGettigan, David"/>
    <x v="2"/>
    <s v="Project Quanta ME"/>
    <m/>
    <m/>
    <s v="ERP_ProjectQuantaME001"/>
    <m/>
    <m/>
    <m/>
    <s v="ME"/>
    <s v="5/13/26 CHW - Removed this ME as reduction S/B covered across LT"/>
    <m/>
    <n v="-351124.00000199996"/>
    <n v="-351124.00000199996"/>
    <n v="-351124.00000199996"/>
    <n v="0"/>
    <m/>
    <m/>
    <m/>
    <m/>
    <m/>
    <m/>
    <n v="0"/>
    <n v="0"/>
    <n v="0"/>
    <n v="0"/>
    <n v="0"/>
    <n v="0"/>
    <n v="0"/>
    <n v="351124.00000199996"/>
    <m/>
    <m/>
    <n v="0"/>
    <m/>
    <n v="351124.00000199996"/>
    <m/>
    <m/>
    <m/>
    <m/>
    <m/>
    <m/>
    <m/>
    <n v="0"/>
    <n v="0"/>
    <n v="0"/>
    <n v="0"/>
    <n v="0"/>
    <n v="0"/>
    <n v="0"/>
    <m/>
    <m/>
    <m/>
    <m/>
    <m/>
    <m/>
    <n v="-58520.666666999998"/>
    <n v="-58520.666666999998"/>
    <n v="-58520.666666999998"/>
    <n v="-58520.666666999998"/>
    <n v="-58520.666666999998"/>
    <n v="-58520.666666999998"/>
    <n v="-351124.00000199996"/>
  </r>
  <r>
    <s v="L-ERP-542"/>
    <s v="Tamavada, Ram_MANAGED SERVICES_IT-17BTF01-01"/>
    <s v="ERP"/>
    <x v="0"/>
    <s v="Tamavada, Ram"/>
    <s v="Maguire, Karla"/>
    <x v="1"/>
    <s v="FBO BT SUN &amp; Oracle Archival Project"/>
    <m/>
    <m/>
    <s v="IT-17BTF01-01"/>
    <m/>
    <m/>
    <m/>
    <s v="None"/>
    <m/>
    <m/>
    <n v="0"/>
    <n v="0"/>
    <n v="0"/>
    <n v="0"/>
    <n v="0.45"/>
    <n v="1838.45"/>
    <n v="167.54"/>
    <n v="0"/>
    <n v="0"/>
    <n v="0"/>
    <n v="0"/>
    <n v="0"/>
    <n v="0"/>
    <n v="0"/>
    <n v="0"/>
    <n v="0"/>
    <n v="2006.44"/>
    <n v="2006.44"/>
    <m/>
    <m/>
    <n v="-2.8421709430404007E-14"/>
    <m/>
    <n v="2006.44"/>
    <m/>
    <n v="0.45"/>
    <n v="1838.45"/>
    <n v="167.54"/>
    <n v="0"/>
    <n v="0"/>
    <n v="0"/>
    <n v="0"/>
    <n v="0"/>
    <n v="0"/>
    <n v="0"/>
    <n v="0"/>
    <n v="0"/>
    <n v="2006.44"/>
    <n v="0.45"/>
    <n v="1838.45"/>
    <n v="167.54"/>
    <n v="0"/>
    <n v="0"/>
    <n v="0"/>
    <n v="0"/>
    <n v="0"/>
    <n v="0"/>
    <n v="0"/>
    <n v="0"/>
    <n v="0"/>
    <n v="2006.44"/>
  </r>
  <r>
    <s v="L-ERP-235"/>
    <s v="Jajodia, Amit_CONTRACTORS_IT-CTR0023-OG-US-00"/>
    <s v="ERP"/>
    <x v="1"/>
    <s v="Jajodia, Amit"/>
    <s v="DeHart, Lynn"/>
    <x v="2"/>
    <s v="Manufacturing ABAP support_XFR0942"/>
    <m/>
    <m/>
    <s v="IT-CTR0023-OG-US-00"/>
    <m/>
    <m/>
    <m/>
    <s v="None"/>
    <m/>
    <m/>
    <n v="0"/>
    <n v="0"/>
    <n v="0"/>
    <n v="0"/>
    <n v="0.36"/>
    <n v="-0.36"/>
    <m/>
    <m/>
    <m/>
    <m/>
    <m/>
    <m/>
    <m/>
    <m/>
    <m/>
    <m/>
    <n v="0"/>
    <n v="0"/>
    <m/>
    <m/>
    <n v="0"/>
    <m/>
    <n v="0"/>
    <m/>
    <n v="0.36"/>
    <n v="-0.36"/>
    <m/>
    <m/>
    <m/>
    <m/>
    <m/>
    <m/>
    <m/>
    <m/>
    <m/>
    <m/>
    <n v="0"/>
    <n v="0.36"/>
    <n v="-0.36"/>
    <m/>
    <m/>
    <m/>
    <m/>
    <m/>
    <m/>
    <m/>
    <m/>
    <m/>
    <m/>
    <n v="0"/>
  </r>
  <r>
    <s v="L-ERP-204"/>
    <s v="Herman, Shaun_CONTRACTORS_IT-CTR0024-OG-US-00"/>
    <s v="ERP"/>
    <x v="1"/>
    <s v="Herman, Shaun"/>
    <s v="DeHart, Lynn"/>
    <x v="2"/>
    <s v="Master Data BAU support_XFR0672 &amp; XFR0938 &amp; XFR0934 &amp; XFR0932 &amp; XFR0846 &amp; XFR0913"/>
    <m/>
    <m/>
    <s v="IT-CTR0024-OG-US-00"/>
    <m/>
    <m/>
    <m/>
    <s v="None"/>
    <m/>
    <m/>
    <n v="400000"/>
    <n v="400000"/>
    <n v="400000"/>
    <n v="0"/>
    <n v="123337.5"/>
    <n v="19442.91"/>
    <n v="113117.11"/>
    <n v="5000"/>
    <n v="-200000"/>
    <n v="30000"/>
    <n v="30000"/>
    <n v="30000"/>
    <n v="30000"/>
    <n v="40000"/>
    <n v="40000"/>
    <n v="40000"/>
    <n v="300897.52"/>
    <n v="-99102.479999999981"/>
    <m/>
    <m/>
    <n v="1.4551915228366852E-11"/>
    <m/>
    <n v="-99102.479999999981"/>
    <s v="Onshore/Offshore Mix Adjustment"/>
    <n v="123337.5"/>
    <n v="19442.91"/>
    <n v="113117.11"/>
    <n v="5000"/>
    <n v="-200000"/>
    <n v="30000"/>
    <n v="30000"/>
    <n v="30000"/>
    <n v="30000"/>
    <n v="40000"/>
    <n v="40000"/>
    <n v="40000"/>
    <n v="300897.52"/>
    <n v="123337.5"/>
    <n v="19442.91"/>
    <n v="113117.11"/>
    <n v="30000"/>
    <n v="30000"/>
    <n v="30000"/>
    <n v="30000"/>
    <n v="30000"/>
    <n v="20000"/>
    <n v="20000"/>
    <n v="20000"/>
    <n v="20000"/>
    <n v="485897.52"/>
  </r>
  <r>
    <s v="L-ERP-236"/>
    <s v="Jajodia, Amit_CONTRACTORS_IT-CTR0027-OG-US-00"/>
    <s v="ERP"/>
    <x v="1"/>
    <s v="Jajodia, Amit"/>
    <s v="DeHart, Lynn"/>
    <x v="2"/>
    <s v="Manufacturing EWM ASRS &amp; ZDI Support_XFR1023"/>
    <m/>
    <m/>
    <s v="IT-CTR0027-OG-US-00"/>
    <m/>
    <m/>
    <m/>
    <s v="None"/>
    <m/>
    <m/>
    <n v="553800"/>
    <n v="553800"/>
    <n v="553800"/>
    <n v="0"/>
    <n v="-0.24"/>
    <n v="98366.34"/>
    <n v="-98366.1"/>
    <n v="31546.666666666668"/>
    <n v="31546.666666666668"/>
    <n v="31546.666666666668"/>
    <n v="48381.166666666672"/>
    <n v="48381.166666666672"/>
    <n v="48381.166666666672"/>
    <n v="85490.5"/>
    <n v="85490.5"/>
    <n v="85490.5"/>
    <n v="496255"/>
    <n v="-57545"/>
    <m/>
    <m/>
    <n v="0"/>
    <m/>
    <n v="-57545"/>
    <m/>
    <n v="-0.24"/>
    <n v="98366.34"/>
    <n v="-98366.1"/>
    <n v="31546.666666666668"/>
    <n v="31546.666666666668"/>
    <n v="31546.666666666668"/>
    <n v="48381.166666666672"/>
    <n v="48381.166666666672"/>
    <n v="48381.166666666672"/>
    <n v="85490.5"/>
    <n v="85490.5"/>
    <n v="85490.5"/>
    <n v="496255"/>
    <n v="-0.24"/>
    <n v="98366.34"/>
    <n v="-98366.1"/>
    <n v="57403.99"/>
    <n v="57403.99"/>
    <n v="57403.99"/>
    <n v="57403.99"/>
    <n v="57403.99"/>
    <n v="57403.99"/>
    <n v="57403.99"/>
    <n v="57403.99"/>
    <n v="57403.99"/>
    <n v="516635.90999999992"/>
  </r>
  <r>
    <s v="L-ERP-237"/>
    <s v="Jajodia, Amit_CONTRACTORS_IT-CTR0030-OG-US-00"/>
    <s v="ERP"/>
    <x v="1"/>
    <s v="Jajodia, Amit"/>
    <s v="DeHart, Lynn"/>
    <x v="2"/>
    <s v="Planning IBP Demand &amp; Forecasting Support_XFR0933 &amp; XFR0957"/>
    <m/>
    <m/>
    <s v="IT-CTR0030-OG-US-00"/>
    <m/>
    <m/>
    <m/>
    <s v="None"/>
    <m/>
    <m/>
    <n v="269997.96000000008"/>
    <n v="269997.96000000008"/>
    <n v="269997.96000000008"/>
    <n v="0"/>
    <n v="19158.79"/>
    <n v="20603.919999999998"/>
    <n v="25754.67"/>
    <n v="22500"/>
    <n v="22500"/>
    <n v="22500"/>
    <n v="22500"/>
    <n v="22500"/>
    <n v="22500"/>
    <n v="22500"/>
    <n v="22500"/>
    <n v="22500"/>
    <n v="268017.38"/>
    <n v="-1980.5800000000745"/>
    <m/>
    <m/>
    <n v="0"/>
    <m/>
    <n v="-1980.5800000000745"/>
    <m/>
    <n v="19158.79"/>
    <n v="20603.919999999998"/>
    <n v="25754.67"/>
    <n v="22500"/>
    <n v="22500"/>
    <n v="22500"/>
    <n v="22500"/>
    <n v="22500"/>
    <n v="22500"/>
    <n v="22500"/>
    <n v="22500"/>
    <n v="22500"/>
    <n v="268017.38"/>
    <n v="19158.79"/>
    <n v="20603.919999999998"/>
    <n v="25754.67"/>
    <n v="23474.3"/>
    <n v="23474.3"/>
    <n v="23474.3"/>
    <n v="23474.3"/>
    <n v="23474.3"/>
    <n v="23474.3"/>
    <n v="23474.3"/>
    <n v="23474.3"/>
    <n v="23474.3"/>
    <n v="276786.07999999996"/>
  </r>
  <r>
    <s v="N-ERP-579"/>
    <s v="Jajodia, Amit_CONTRACTORS_IT-CTR0031-OG-US-00"/>
    <s v="ERP-N"/>
    <x v="1"/>
    <s v="Jajodia, Amit"/>
    <s v="DeHart, Lynn"/>
    <x v="2"/>
    <s v="ES Lifecycle Solutions Support_XFR0933 &amp; XFR0936"/>
    <m/>
    <m/>
    <s v="IT-CTR0031-OG-US-00"/>
    <m/>
    <m/>
    <s v="Investigate LE2"/>
    <s v="None"/>
    <s v="4/28/26 CHW New add to tie-out 0223 to 0317 Planful Extracts Timing - ES Lifecycle Solutions Support_XFR0933 &amp; XFR0936 delay spending"/>
    <m/>
    <n v="489720"/>
    <n v="489720"/>
    <n v="489720"/>
    <n v="0"/>
    <m/>
    <m/>
    <m/>
    <n v="40810"/>
    <n v="40810"/>
    <n v="40810"/>
    <n v="40810"/>
    <n v="40810"/>
    <n v="40810"/>
    <n v="40810"/>
    <n v="40810"/>
    <n v="40810"/>
    <n v="367290"/>
    <n v="-122430"/>
    <m/>
    <m/>
    <n v="0"/>
    <m/>
    <n v="-122430"/>
    <m/>
    <m/>
    <m/>
    <m/>
    <n v="40810"/>
    <n v="40810"/>
    <n v="40810"/>
    <n v="40810"/>
    <n v="40810"/>
    <n v="40810"/>
    <n v="40810"/>
    <n v="40810"/>
    <n v="40810"/>
    <n v="367290"/>
    <n v="40810"/>
    <n v="40810"/>
    <n v="40810"/>
    <n v="40810"/>
    <n v="40810"/>
    <n v="40810"/>
    <n v="40810"/>
    <n v="40810"/>
    <n v="40810"/>
    <n v="40810"/>
    <n v="40810"/>
    <n v="40810"/>
    <n v="489720"/>
  </r>
  <r>
    <s v="L-ERP-238"/>
    <s v="Jajodia, Amit_CONTRACTORS_IT-CTR0034-OG-US-00"/>
    <s v="ERP"/>
    <x v="1"/>
    <s v="Jajodia, Amit"/>
    <s v="DeHart, Lynn"/>
    <x v="2"/>
    <s v="Quality Audit, Investigations, SMS &amp; Fiori_XFR0910"/>
    <m/>
    <m/>
    <s v="IT-CTR0034-OG-US-00"/>
    <m/>
    <m/>
    <m/>
    <s v="None"/>
    <m/>
    <m/>
    <n v="529998.96000000008"/>
    <n v="529998.96000000008"/>
    <n v="529998.96000000008"/>
    <n v="0"/>
    <n v="31387.97"/>
    <n v="29660.06"/>
    <n v="28355.06"/>
    <n v="8474.82"/>
    <n v="36080.219999999994"/>
    <n v="36080.219999999994"/>
    <n v="36080.219999999994"/>
    <n v="26514.909999999996"/>
    <n v="26514.909999999996"/>
    <n v="36080.219999999994"/>
    <n v="36080.219999999994"/>
    <n v="36080.219999999994"/>
    <n v="367389.04999999993"/>
    <n v="-162609.91000000015"/>
    <m/>
    <m/>
    <n v="0"/>
    <m/>
    <n v="-162609.91000000015"/>
    <m/>
    <n v="31387.97"/>
    <n v="29660.06"/>
    <n v="28355.06"/>
    <n v="8474.82"/>
    <n v="36080.219999999994"/>
    <n v="36080.219999999994"/>
    <n v="36080.219999999994"/>
    <n v="26514.909999999996"/>
    <n v="26514.909999999996"/>
    <n v="36080.219999999994"/>
    <n v="36080.219999999994"/>
    <n v="36080.219999999994"/>
    <n v="367389.04999999993"/>
    <n v="31387.97"/>
    <n v="29660.06"/>
    <n v="28355.06"/>
    <n v="44166.58"/>
    <n v="44166.58"/>
    <n v="44166.58"/>
    <n v="44166.58"/>
    <n v="44166.58"/>
    <n v="44166.58"/>
    <n v="44166.58"/>
    <n v="44166.58"/>
    <n v="44166.58"/>
    <n v="486902.31000000011"/>
  </r>
  <r>
    <s v="L-ERP-205"/>
    <s v="Herman, Shaun_CONTRACTORS_IT-CTR0037-OG-US-00"/>
    <s v="ERP"/>
    <x v="1"/>
    <s v="Herman, Shaun"/>
    <s v="DeHart, Lynn"/>
    <x v="2"/>
    <s v="MD Packaging Support_XFR0934"/>
    <m/>
    <m/>
    <s v="IT-CTR0037-OG-US-00"/>
    <m/>
    <m/>
    <s v="5/4 CHW- Team to confirm phasing on this line item as AP04 actuls is$ 93K"/>
    <s v="None"/>
    <m/>
    <m/>
    <n v="270000"/>
    <n v="270000"/>
    <n v="270000"/>
    <n v="0"/>
    <n v="-5507.82"/>
    <n v="-0.18"/>
    <n v="0"/>
    <n v="102000"/>
    <n v="0"/>
    <n v="20000"/>
    <n v="20000"/>
    <n v="20000"/>
    <n v="15000"/>
    <n v="10000"/>
    <n v="10000"/>
    <n v="10000"/>
    <n v="201492"/>
    <n v="-68508"/>
    <m/>
    <m/>
    <n v="0"/>
    <m/>
    <n v="-68508"/>
    <s v="Onshore/Offshore Mix Adjustment"/>
    <n v="-5507.82"/>
    <n v="-0.18"/>
    <n v="0"/>
    <n v="102000"/>
    <n v="0"/>
    <n v="20000"/>
    <n v="20000"/>
    <n v="20000"/>
    <n v="15000"/>
    <n v="10000"/>
    <n v="10000"/>
    <n v="10000"/>
    <n v="201492"/>
    <n v="-5507.82"/>
    <n v="-0.18"/>
    <n v="0"/>
    <n v="20000"/>
    <n v="20000"/>
    <n v="25000"/>
    <n v="30000"/>
    <n v="30000"/>
    <n v="30000"/>
    <n v="30000"/>
    <n v="30000"/>
    <n v="30000"/>
    <n v="239492"/>
  </r>
  <r>
    <s v="L-ERP-206"/>
    <s v="Herman, Shaun_CONTRACTORS_IT-CTR0039-OG-US-00"/>
    <s v="ERP"/>
    <x v="1"/>
    <s v="Herman, Shaun"/>
    <s v="DeHart, Lynn"/>
    <x v="2"/>
    <s v="MD ABAP NPL Integration_XFR0849"/>
    <m/>
    <m/>
    <s v="IT-CTR0039-OG-US-00"/>
    <m/>
    <m/>
    <m/>
    <s v="None"/>
    <m/>
    <m/>
    <n v="100000"/>
    <n v="100000"/>
    <n v="100000"/>
    <n v="0"/>
    <m/>
    <m/>
    <m/>
    <n v="5000"/>
    <n v="5000"/>
    <n v="8000"/>
    <n v="8000"/>
    <n v="8000"/>
    <n v="8000"/>
    <n v="8000"/>
    <n v="8000"/>
    <n v="8000"/>
    <n v="66000"/>
    <n v="-34000"/>
    <m/>
    <m/>
    <n v="0"/>
    <m/>
    <n v="-34000"/>
    <s v="Onshore/Offshore Mix Adjustment"/>
    <m/>
    <m/>
    <m/>
    <n v="5000"/>
    <n v="5000"/>
    <n v="8000"/>
    <n v="8000"/>
    <n v="8000"/>
    <n v="8000"/>
    <n v="8000"/>
    <n v="8000"/>
    <n v="8000"/>
    <n v="66000"/>
    <m/>
    <m/>
    <m/>
    <n v="10000"/>
    <n v="10000"/>
    <n v="10000"/>
    <n v="10000"/>
    <n v="10000"/>
    <n v="10000"/>
    <n v="10000"/>
    <n v="10000"/>
    <n v="10000"/>
    <n v="90000"/>
  </r>
  <r>
    <s v="L-ERP-141"/>
    <s v="Ganesan, Srinivasan_CONTRACTORS_IT-CTR0040-OG-US-00"/>
    <s v="ERP"/>
    <x v="1"/>
    <s v="Ganesan, Srinivasan"/>
    <s v="DeHart, Lynn"/>
    <x v="2"/>
    <s v="GLNS IERP Budget Tool ABAP_XFR0948"/>
    <m/>
    <m/>
    <s v="IT-CTR0040-OG-US-00"/>
    <m/>
    <m/>
    <m/>
    <s v="None"/>
    <m/>
    <m/>
    <n v="0"/>
    <n v="0"/>
    <n v="0"/>
    <n v="0"/>
    <m/>
    <n v="-16768"/>
    <n v="12756.15"/>
    <n v="0"/>
    <n v="4012"/>
    <n v="0"/>
    <n v="0"/>
    <n v="0"/>
    <n v="0"/>
    <n v="0"/>
    <n v="0"/>
    <n v="0"/>
    <n v="0.1499999999996362"/>
    <n v="0.1499999999996362"/>
    <m/>
    <m/>
    <n v="0"/>
    <m/>
    <n v="0.1499999999996362"/>
    <s v="IERP Support costs. Incorrectly transferred to Karla's cost center. This should have been transferred to Jerome. "/>
    <m/>
    <n v="-16768"/>
    <n v="12756.15"/>
    <n v="0"/>
    <n v="4012"/>
    <n v="0"/>
    <n v="0"/>
    <n v="0"/>
    <n v="0"/>
    <n v="0"/>
    <n v="0"/>
    <n v="0"/>
    <n v="0.1499999999996362"/>
    <m/>
    <n v="-16768"/>
    <n v="12756.15"/>
    <n v="0"/>
    <n v="0"/>
    <n v="0"/>
    <n v="0"/>
    <n v="0"/>
    <n v="0"/>
    <n v="0"/>
    <n v="0"/>
    <n v="0"/>
    <n v="-4011.8500000000004"/>
  </r>
  <r>
    <s v="L-ERP-239"/>
    <s v="Jajodia, Amit_CONTRACTORS_IT-CTR0041-OG-US-00"/>
    <s v="ERP"/>
    <x v="1"/>
    <s v="Jajodia, Amit"/>
    <s v="DeHart, Lynn"/>
    <x v="2"/>
    <s v="Quality SAP QC, Quadra, BRM &amp; MR_XFR0667 &amp; XFR0964 &amp; XFR0857"/>
    <m/>
    <m/>
    <s v="IT-CTR0041-OG-US-00"/>
    <m/>
    <m/>
    <m/>
    <s v="None"/>
    <s v=" XfR-0050-A had a transfer for 150K. This transfer is being merged wth WBS  CTR0041 (original 824K). The forecast has been reduced to 592K, effectively reducing the forecast by $362K, XFR-0050 will 0 - AJ - 05/01"/>
    <m/>
    <n v="624000"/>
    <n v="624000"/>
    <n v="624000"/>
    <n v="0"/>
    <n v="67126.64"/>
    <n v="74377.41"/>
    <n v="83640.33"/>
    <n v="17645.5"/>
    <n v="37705.5"/>
    <n v="37705.5"/>
    <n v="37705.5"/>
    <n v="47270.81"/>
    <n v="47270.81"/>
    <n v="47270.81"/>
    <n v="47270.81"/>
    <n v="47270.81"/>
    <n v="592260.42999999993"/>
    <n v="-31739.570000000065"/>
    <m/>
    <m/>
    <n v="0"/>
    <m/>
    <n v="-31739.570000000065"/>
    <m/>
    <n v="67126.64"/>
    <n v="74377.41"/>
    <n v="83640.33"/>
    <n v="17645.5"/>
    <n v="37705.5"/>
    <n v="37705.5"/>
    <n v="37705.5"/>
    <n v="47270.81"/>
    <n v="47270.81"/>
    <n v="47270.81"/>
    <n v="47270.81"/>
    <n v="47270.81"/>
    <n v="592260.42999999993"/>
    <n v="67126.64"/>
    <n v="74377.41"/>
    <n v="83640.33"/>
    <n v="71858"/>
    <n v="71858"/>
    <n v="71858"/>
    <n v="71858"/>
    <n v="71858"/>
    <n v="71858"/>
    <n v="71858"/>
    <n v="71858"/>
    <n v="71858"/>
    <n v="871866.38"/>
  </r>
  <r>
    <s v="L-ERP-439"/>
    <s v="Meadows, Leslie_CONTRACTORS_IT-CTR0044-OG-US-00"/>
    <s v="ERP"/>
    <x v="0"/>
    <s v="Meadows, Leslie"/>
    <s v="Maguire, Karla"/>
    <x v="2"/>
    <s v="SSCS Services (Karla)_XFR0954 &amp; XFR0934 &amp; XFR0932 &amp; XFR0913 &amp; XFR0940 &amp; XFR0941"/>
    <m/>
    <m/>
    <s v="IT-CTR0044-OG-US-00"/>
    <m/>
    <m/>
    <m/>
    <s v="None"/>
    <m/>
    <m/>
    <n v="551723.03999999992"/>
    <n v="551723.03999999992"/>
    <n v="551723.03999999992"/>
    <n v="0"/>
    <m/>
    <m/>
    <m/>
    <n v="36666"/>
    <n v="141912"/>
    <n v="49848"/>
    <n v="40857"/>
    <n v="40681"/>
    <n v="37645"/>
    <n v="37694"/>
    <n v="37645"/>
    <n v="37694"/>
    <n v="460642"/>
    <n v="-91081.039999999921"/>
    <m/>
    <m/>
    <n v="0"/>
    <n v="-91081"/>
    <n v="-3.9999999920837581E-2"/>
    <s v="testing factory adjustment"/>
    <m/>
    <m/>
    <m/>
    <n v="36666"/>
    <n v="141912"/>
    <n v="49848"/>
    <n v="40857"/>
    <n v="40681"/>
    <n v="37645"/>
    <n v="37694"/>
    <n v="37645"/>
    <n v="37694"/>
    <n v="460642"/>
    <m/>
    <m/>
    <m/>
    <n v="61303"/>
    <n v="61303"/>
    <n v="61303"/>
    <n v="61303"/>
    <n v="61303"/>
    <n v="61303"/>
    <n v="61303"/>
    <n v="61303"/>
    <n v="61303"/>
    <n v="551727"/>
  </r>
  <r>
    <s v="L-ERP-142"/>
    <s v="Ganesan, Srinivasan_CONTRACTORS_IT-CTR0045-OG-US-00"/>
    <s v="ERP"/>
    <x v="1"/>
    <s v="Ganesan, Srinivasan"/>
    <s v="DeHart, Lynn"/>
    <x v="2"/>
    <s v="Planning Pfizer Connect Specialist Support_XFR0670 &amp; XFR0955"/>
    <m/>
    <m/>
    <s v="IT-CTR0045-OG-US-00"/>
    <s v="CHW - Ok"/>
    <m/>
    <m/>
    <s v="None"/>
    <m/>
    <m/>
    <n v="0"/>
    <n v="0"/>
    <n v="0"/>
    <n v="0"/>
    <n v="3558.41"/>
    <n v="0"/>
    <n v="0"/>
    <n v="0"/>
    <n v="0"/>
    <n v="0"/>
    <n v="0"/>
    <n v="0"/>
    <n v="0"/>
    <n v="0"/>
    <n v="0"/>
    <n v="0"/>
    <n v="3558.41"/>
    <n v="3558.41"/>
    <m/>
    <m/>
    <n v="0"/>
    <m/>
    <n v="3558.41"/>
    <s v="Don't know what this is. - This is Glenn White's PO 9500912136"/>
    <n v="3558.41"/>
    <n v="0"/>
    <n v="0"/>
    <n v="0"/>
    <n v="0"/>
    <n v="0"/>
    <n v="0"/>
    <n v="0"/>
    <n v="0"/>
    <n v="0"/>
    <n v="0"/>
    <n v="0"/>
    <n v="3558.41"/>
    <n v="3558.41"/>
    <n v="0"/>
    <n v="0"/>
    <n v="0"/>
    <n v="0"/>
    <n v="0"/>
    <n v="0"/>
    <n v="0"/>
    <n v="0"/>
    <n v="0"/>
    <n v="0"/>
    <n v="0"/>
    <n v="3558.41"/>
  </r>
  <r>
    <s v="L-ERP-240"/>
    <s v="Jajodia, Amit_CONTRACTORS_IT-CTR0045-OG-US-00"/>
    <s v="ERP"/>
    <x v="1"/>
    <s v="Jajodia, Amit"/>
    <s v="DeHart, Lynn"/>
    <x v="2"/>
    <s v="Planning Pfizer Connect Specialist Support_XFR0670 &amp; XFR0955"/>
    <m/>
    <m/>
    <s v="IT-CTR0045-OG-US-00"/>
    <s v="CHW - Ok"/>
    <m/>
    <m/>
    <s v="None"/>
    <m/>
    <m/>
    <n v="270422.03999999992"/>
    <n v="270422.03999999992"/>
    <n v="270422.03999999992"/>
    <n v="0"/>
    <m/>
    <m/>
    <m/>
    <n v="0"/>
    <n v="111787.5"/>
    <n v="7837.5"/>
    <n v="7837.5"/>
    <n v="7837.5"/>
    <n v="7837.5"/>
    <n v="7837.5"/>
    <n v="7837.5"/>
    <n v="7837.5"/>
    <n v="166650"/>
    <n v="-103772.03999999992"/>
    <m/>
    <m/>
    <n v="0"/>
    <m/>
    <n v="-103772.03999999992"/>
    <m/>
    <m/>
    <m/>
    <m/>
    <n v="0"/>
    <n v="111787.5"/>
    <n v="7837.5"/>
    <n v="7837.5"/>
    <n v="7837.5"/>
    <n v="7837.5"/>
    <n v="7837.5"/>
    <n v="7837.5"/>
    <n v="7837.5"/>
    <n v="166650"/>
    <m/>
    <m/>
    <m/>
    <n v="26158"/>
    <n v="26158"/>
    <n v="26158"/>
    <n v="26158"/>
    <n v="26158"/>
    <n v="26158"/>
    <n v="26158"/>
    <n v="26158"/>
    <n v="26158"/>
    <n v="235422"/>
  </r>
  <r>
    <s v="L-ERP-207"/>
    <s v="Herman, Shaun_CONTRACTORS_IT-CTR0046-OG-US-00"/>
    <s v="ERP"/>
    <x v="1"/>
    <s v="Herman, Shaun"/>
    <s v="DeHart, Lynn"/>
    <x v="2"/>
    <s v="MD TINS Support_XFR1020"/>
    <m/>
    <m/>
    <s v="IT-CTR0046-OG-US-00"/>
    <m/>
    <m/>
    <m/>
    <s v="None"/>
    <m/>
    <m/>
    <n v="70000"/>
    <n v="70000"/>
    <n v="70000"/>
    <n v="0"/>
    <m/>
    <m/>
    <m/>
    <m/>
    <m/>
    <n v="5000"/>
    <n v="5000"/>
    <n v="5000"/>
    <n v="5000"/>
    <n v="5000"/>
    <n v="5000"/>
    <n v="10000"/>
    <n v="40000"/>
    <n v="-30000"/>
    <m/>
    <m/>
    <n v="0"/>
    <m/>
    <n v="-30000"/>
    <s v="Onshore/Offshore Mix Adjustment"/>
    <m/>
    <m/>
    <m/>
    <m/>
    <m/>
    <n v="5000"/>
    <n v="5000"/>
    <n v="5000"/>
    <n v="5000"/>
    <n v="5000"/>
    <n v="5000"/>
    <n v="10000"/>
    <n v="40000"/>
    <m/>
    <m/>
    <m/>
    <n v="7000"/>
    <n v="7000"/>
    <n v="7000"/>
    <n v="7000"/>
    <n v="7000"/>
    <n v="7000"/>
    <n v="7000"/>
    <n v="7000"/>
    <n v="7000"/>
    <n v="63000"/>
  </r>
  <r>
    <s v="L-ERP-123"/>
    <s v="Ganesan, Srinivasan_CONTRACTORS_IT-CTR0049-OG-US-00"/>
    <s v="ERP"/>
    <x v="1"/>
    <s v="Ganesan, Srinivasan"/>
    <s v="DeHart, Lynn"/>
    <x v="2"/>
    <s v="GLNS Ingestion of IOT to UDH-CDM_XFR0962"/>
    <m/>
    <m/>
    <s v="IT-CTR0049-OG-US-00"/>
    <m/>
    <m/>
    <m/>
    <s v="2026 Budget Transfer"/>
    <m/>
    <m/>
    <n v="50000"/>
    <n v="50000"/>
    <n v="50000"/>
    <n v="0"/>
    <m/>
    <m/>
    <m/>
    <n v="0"/>
    <n v="11100"/>
    <n v="11400"/>
    <n v="0"/>
    <n v="0"/>
    <n v="9000"/>
    <n v="9000"/>
    <n v="9500"/>
    <n v="0"/>
    <n v="50000"/>
    <n v="0"/>
    <m/>
    <m/>
    <n v="0"/>
    <m/>
    <n v="0"/>
    <m/>
    <m/>
    <m/>
    <m/>
    <n v="0"/>
    <n v="11100"/>
    <n v="11400"/>
    <n v="0"/>
    <n v="0"/>
    <n v="9000"/>
    <n v="9000"/>
    <n v="9500"/>
    <n v="0"/>
    <n v="50000"/>
    <m/>
    <m/>
    <m/>
    <m/>
    <m/>
    <m/>
    <n v="10000"/>
    <n v="10000"/>
    <n v="10000"/>
    <n v="10000"/>
    <n v="10000"/>
    <n v="0"/>
    <n v="50000"/>
  </r>
  <r>
    <s v="L-ERP-323"/>
    <s v="Maguire, Karla_CONTRACTORS_IT-CTR0067-OG-CR-00"/>
    <s v="ERP"/>
    <x v="0"/>
    <s v="Maguire, Karla"/>
    <s v="Maguire, Karla"/>
    <x v="2"/>
    <s v="*RonMendler*_EPS203076 - Edicom CR Recepcion Enero-Diciembre 2025"/>
    <m/>
    <m/>
    <s v="IT-CTR0067-OG-CR-00"/>
    <m/>
    <m/>
    <m/>
    <s v="None"/>
    <m/>
    <m/>
    <n v="0"/>
    <n v="0"/>
    <n v="0"/>
    <n v="0"/>
    <n v="215.71"/>
    <n v="-1.22"/>
    <n v="0"/>
    <n v="0"/>
    <n v="0"/>
    <n v="0"/>
    <n v="0"/>
    <n v="0"/>
    <n v="0"/>
    <n v="0"/>
    <n v="0"/>
    <n v="0"/>
    <n v="214.49"/>
    <n v="214.49"/>
    <m/>
    <m/>
    <n v="1.1102230246251565E-15"/>
    <m/>
    <n v="214.49"/>
    <m/>
    <n v="215.71"/>
    <n v="-1.22"/>
    <n v="0"/>
    <n v="0"/>
    <n v="0"/>
    <n v="0"/>
    <n v="0"/>
    <n v="0"/>
    <n v="0"/>
    <n v="0"/>
    <n v="0"/>
    <n v="0"/>
    <n v="214.49"/>
    <n v="215.71"/>
    <n v="-1.22"/>
    <n v="0"/>
    <n v="0"/>
    <n v="0"/>
    <n v="0"/>
    <n v="0"/>
    <n v="0"/>
    <n v="0"/>
    <n v="0"/>
    <n v="0"/>
    <n v="0"/>
    <n v="214.49"/>
  </r>
  <r>
    <s v="L-ERP-143"/>
    <s v="Ganesan, Srinivasan_CONTRACTORS_IT-CTR0075-OG-MX-00"/>
    <s v="ERP"/>
    <x v="1"/>
    <s v="Ganesan, Srinivasan"/>
    <s v="DeHart, Lynn"/>
    <x v="2"/>
    <s v="Logistics Cyclical Counting Calendar Mexico"/>
    <m/>
    <m/>
    <s v="IT-CTR0075-OG-MX-00"/>
    <m/>
    <m/>
    <m/>
    <s v="None"/>
    <m/>
    <m/>
    <n v="6000"/>
    <n v="6000"/>
    <n v="6000"/>
    <n v="0"/>
    <m/>
    <m/>
    <m/>
    <m/>
    <m/>
    <m/>
    <m/>
    <m/>
    <n v="6000"/>
    <n v="0"/>
    <n v="0"/>
    <n v="0"/>
    <n v="6000"/>
    <n v="0"/>
    <m/>
    <m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s v="L-ERP-144"/>
    <s v="Ganesan, Srinivasan_CONTRACTORS_IT-CTR0076-OG-MX-00"/>
    <s v="ERP"/>
    <x v="1"/>
    <s v="Ganesan, Srinivasan"/>
    <s v="DeHart, Lynn"/>
    <x v="2"/>
    <s v="Logistics Financial Reserve in Mexico"/>
    <m/>
    <m/>
    <s v="IT-CTR0076-OG-MX-00"/>
    <m/>
    <m/>
    <m/>
    <s v="None"/>
    <m/>
    <m/>
    <n v="6000"/>
    <n v="6000"/>
    <n v="6000"/>
    <n v="0"/>
    <m/>
    <m/>
    <m/>
    <m/>
    <m/>
    <m/>
    <m/>
    <m/>
    <n v="6000"/>
    <n v="0"/>
    <n v="0"/>
    <n v="0"/>
    <n v="6000"/>
    <n v="0"/>
    <m/>
    <m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s v="L-ERP-145"/>
    <s v="Ganesan, Srinivasan_CONTRACTORS_IT-CTR0077-OG-MX-00"/>
    <s v="ERP"/>
    <x v="1"/>
    <s v="Ganesan, Srinivasan"/>
    <s v="DeHart, Lynn"/>
    <x v="2"/>
    <s v="Logistics LATAM Support"/>
    <m/>
    <m/>
    <s v="IT-CTR0077-OG-MX-00"/>
    <m/>
    <m/>
    <m/>
    <s v="None"/>
    <m/>
    <m/>
    <n v="45000"/>
    <n v="45000"/>
    <n v="45000"/>
    <n v="0"/>
    <m/>
    <m/>
    <m/>
    <m/>
    <m/>
    <m/>
    <m/>
    <m/>
    <n v="45000"/>
    <n v="0"/>
    <n v="0"/>
    <n v="0"/>
    <n v="45000"/>
    <n v="0"/>
    <m/>
    <m/>
    <n v="0"/>
    <m/>
    <n v="0"/>
    <m/>
    <m/>
    <m/>
    <m/>
    <m/>
    <m/>
    <m/>
    <m/>
    <m/>
    <n v="45000"/>
    <n v="0"/>
    <n v="0"/>
    <n v="0"/>
    <n v="45000"/>
    <m/>
    <m/>
    <m/>
    <m/>
    <m/>
    <m/>
    <m/>
    <m/>
    <n v="45000"/>
    <n v="0"/>
    <n v="0"/>
    <n v="0"/>
    <n v="45000"/>
  </r>
  <r>
    <s v="L-ERP-394"/>
    <s v="McGettigan, David_CONTRACTORS_IT-CTR0089-OG-US-00"/>
    <s v="ERP"/>
    <x v="2"/>
    <s v="McGettigan, David"/>
    <s v="McGettigan, David"/>
    <x v="2"/>
    <s v="EPS200126_Accrual reversal as result Dell/EMC buyout 2321210 DM"/>
    <m/>
    <m/>
    <s v="IT-CTR0089-OG-US-00"/>
    <m/>
    <m/>
    <m/>
    <s v="Billing Related - Datacenter Hosting Products"/>
    <m/>
    <m/>
    <n v="0"/>
    <n v="0"/>
    <n v="0"/>
    <n v="0"/>
    <n v="-1104045.58"/>
    <n v="1104045.58"/>
    <m/>
    <m/>
    <m/>
    <m/>
    <m/>
    <m/>
    <m/>
    <m/>
    <m/>
    <m/>
    <n v="0"/>
    <n v="0"/>
    <m/>
    <m/>
    <n v="0"/>
    <m/>
    <n v="0"/>
    <m/>
    <n v="-1104045.58"/>
    <n v="1104045.58"/>
    <m/>
    <m/>
    <m/>
    <m/>
    <m/>
    <m/>
    <m/>
    <m/>
    <m/>
    <m/>
    <n v="0"/>
    <n v="-1104045.58"/>
    <n v="1104045.58"/>
    <m/>
    <m/>
    <m/>
    <m/>
    <m/>
    <m/>
    <m/>
    <m/>
    <m/>
    <m/>
    <n v="0"/>
  </r>
  <r>
    <s v="L-ERP-241"/>
    <s v="Jajodia, Amit_CONTRACTORS_IT-CTR0090-OG-US-00"/>
    <s v="ERP"/>
    <x v="1"/>
    <s v="Jajodia, Amit"/>
    <s v="DeHart, Lynn"/>
    <x v="2"/>
    <s v="Enterprise Integration MTES"/>
    <m/>
    <m/>
    <s v="IT-CTR0090-OG-US-00"/>
    <m/>
    <m/>
    <m/>
    <s v="None"/>
    <m/>
    <m/>
    <n v="10277"/>
    <n v="10277"/>
    <n v="10277"/>
    <n v="0"/>
    <m/>
    <m/>
    <m/>
    <m/>
    <n v="4554"/>
    <n v="0"/>
    <n v="0"/>
    <n v="5723"/>
    <n v="0"/>
    <n v="0"/>
    <n v="0"/>
    <n v="0"/>
    <n v="10277"/>
    <n v="0"/>
    <m/>
    <m/>
    <n v="0"/>
    <m/>
    <n v="0"/>
    <m/>
    <m/>
    <m/>
    <m/>
    <m/>
    <n v="4554"/>
    <n v="0"/>
    <n v="0"/>
    <n v="5723"/>
    <n v="0"/>
    <n v="0"/>
    <n v="0"/>
    <n v="0"/>
    <n v="10277"/>
    <m/>
    <m/>
    <m/>
    <m/>
    <n v="4554"/>
    <n v="0"/>
    <n v="0"/>
    <n v="5723"/>
    <n v="0"/>
    <n v="0"/>
    <n v="0"/>
    <n v="0"/>
    <n v="10277"/>
  </r>
  <r>
    <s v="L-ERP-348"/>
    <s v="McCormick, Pete_CONTRACTORS_IT-CTR0093-OG-US-00"/>
    <s v="ERP"/>
    <x v="0"/>
    <s v="McCormick, Pete"/>
    <s v="Maguire, Karla"/>
    <x v="2"/>
    <s v="SAP Platform Engineers (Judge)"/>
    <m/>
    <m/>
    <s v="IT-CTR0093-OG-US-00"/>
    <m/>
    <m/>
    <m/>
    <s v="2024 Transfer"/>
    <m/>
    <m/>
    <n v="345518.86"/>
    <n v="345518.86"/>
    <n v="345518.86"/>
    <n v="0"/>
    <n v="35812"/>
    <n v="40109.440000000002"/>
    <n v="50136.800000000003"/>
    <n v="40000"/>
    <n v="28897"/>
    <n v="28897"/>
    <n v="23013"/>
    <n v="22297"/>
    <n v="19127"/>
    <n v="19127"/>
    <n v="19127"/>
    <n v="19127"/>
    <n v="345670.24"/>
    <n v="151.38000000000466"/>
    <m/>
    <m/>
    <n v="0"/>
    <m/>
    <n v="151.38000000000466"/>
    <m/>
    <n v="35812"/>
    <n v="40109.440000000002"/>
    <n v="50136.800000000003"/>
    <n v="40000"/>
    <n v="28897"/>
    <n v="28897"/>
    <n v="23013"/>
    <n v="22297"/>
    <n v="19127"/>
    <n v="19127"/>
    <n v="19127"/>
    <n v="19127"/>
    <n v="345670.24"/>
    <n v="35812"/>
    <n v="40109.440000000002"/>
    <n v="50136.800000000003"/>
    <n v="40000"/>
    <n v="28897"/>
    <n v="28897"/>
    <n v="23013"/>
    <n v="22297"/>
    <n v="22297"/>
    <n v="22297"/>
    <n v="22297"/>
    <n v="22297"/>
    <n v="358350.24"/>
  </r>
  <r>
    <s v="L-ERP-108"/>
    <s v="Dougherty, Chris_CONTRACTORS_IT-CTR0094-OG-US-00"/>
    <s v="ERP"/>
    <x v="0"/>
    <s v="Dougherty, Chris"/>
    <s v="Maguire, Karla"/>
    <x v="2"/>
    <s v="BPAI Axway B2Bi - L4 Engineer (ML-0024)"/>
    <m/>
    <m/>
    <s v="IT-CTR0094-OG-US-00"/>
    <m/>
    <m/>
    <m/>
    <s v="SAP"/>
    <m/>
    <m/>
    <n v="216000"/>
    <n v="216000"/>
    <n v="216000"/>
    <n v="0"/>
    <n v="14166"/>
    <n v="18835.37"/>
    <n v="16863.689999999999"/>
    <n v="11558"/>
    <n v="17000"/>
    <n v="17000"/>
    <n v="17000"/>
    <n v="17000"/>
    <n v="17000"/>
    <n v="17000"/>
    <n v="17000"/>
    <n v="17000"/>
    <n v="197423.06"/>
    <n v="-18576.940000000002"/>
    <m/>
    <m/>
    <n v="0"/>
    <m/>
    <n v="-18576.940000000002"/>
    <m/>
    <n v="14166"/>
    <n v="18835.37"/>
    <n v="16863.689999999999"/>
    <n v="11558"/>
    <n v="17000"/>
    <n v="17000"/>
    <n v="17000"/>
    <n v="17000"/>
    <n v="17000"/>
    <n v="17000"/>
    <n v="17000"/>
    <n v="17000"/>
    <n v="197423.06"/>
    <n v="14166"/>
    <n v="18835.37"/>
    <n v="16863.689999999999"/>
    <n v="18000"/>
    <n v="18000"/>
    <n v="18000"/>
    <n v="18000"/>
    <n v="18000"/>
    <n v="18000"/>
    <n v="18000"/>
    <n v="18000"/>
    <n v="18000"/>
    <n v="211865.06"/>
  </r>
  <r>
    <s v="L-ERP-109"/>
    <s v="Dougherty, Chris_CONTRACTORS_IT-CTR0096-OG-US-00"/>
    <s v="ERP"/>
    <x v="0"/>
    <s v="Dougherty, Chris"/>
    <s v="Maguire, Karla"/>
    <x v="2"/>
    <s v="SAP PI L4 Engineer"/>
    <m/>
    <m/>
    <s v="IT-CTR0096-OG-US-00"/>
    <m/>
    <m/>
    <m/>
    <s v="SAP"/>
    <m/>
    <m/>
    <n v="237888"/>
    <n v="237888"/>
    <n v="237888"/>
    <n v="0"/>
    <n v="16372"/>
    <n v="18336.62"/>
    <n v="22920.78"/>
    <n v="19824"/>
    <n v="19824"/>
    <n v="19824"/>
    <n v="19824"/>
    <n v="19824"/>
    <n v="19824"/>
    <n v="19824"/>
    <n v="19824"/>
    <n v="19824"/>
    <n v="236045.4"/>
    <n v="-1842.6000000000058"/>
    <m/>
    <m/>
    <n v="0"/>
    <m/>
    <n v="-1842.6000000000058"/>
    <m/>
    <n v="16372"/>
    <n v="18336.62"/>
    <n v="22920.78"/>
    <n v="19824"/>
    <n v="19824"/>
    <n v="19824"/>
    <n v="19824"/>
    <n v="19824"/>
    <n v="19824"/>
    <n v="19824"/>
    <n v="19824"/>
    <n v="19824"/>
    <n v="236045.4"/>
    <n v="16372"/>
    <n v="18336.62"/>
    <n v="22920.78"/>
    <n v="19824"/>
    <n v="19824"/>
    <n v="19824"/>
    <n v="19824"/>
    <n v="19824"/>
    <n v="19824"/>
    <n v="19824"/>
    <n v="19824"/>
    <n v="19824"/>
    <n v="236045.4"/>
  </r>
  <r>
    <s v="L-ERP-050"/>
    <s v="Dougherty, Chris_CONTRACTORS_IT-CTR0097-OG-US-00"/>
    <s v="ERP"/>
    <x v="0"/>
    <s v="Dougherty, Chris"/>
    <s v="Maguire, Karla"/>
    <x v="2"/>
    <s v="BPAI IBM B2Bi - GMFT L4 Engineer (ML-0738)"/>
    <m/>
    <m/>
    <s v="IT-CTR0097-OG-US-00"/>
    <m/>
    <m/>
    <m/>
    <s v="2024 Transfer"/>
    <m/>
    <m/>
    <n v="230004"/>
    <n v="230004"/>
    <n v="230004"/>
    <n v="0"/>
    <n v="14973"/>
    <n v="18162.759999999998"/>
    <n v="19567.54"/>
    <n v="19167"/>
    <n v="17440"/>
    <n v="17440"/>
    <n v="17440"/>
    <n v="17440"/>
    <n v="17440"/>
    <n v="17440"/>
    <n v="17440"/>
    <n v="17440"/>
    <n v="211390.3"/>
    <n v="-18613.700000000012"/>
    <m/>
    <m/>
    <n v="0"/>
    <m/>
    <n v="-18613.700000000012"/>
    <m/>
    <n v="14973"/>
    <n v="18162.759999999998"/>
    <n v="19567.54"/>
    <n v="19167"/>
    <n v="17440"/>
    <n v="17440"/>
    <n v="17440"/>
    <n v="17440"/>
    <n v="17440"/>
    <n v="17440"/>
    <n v="17440"/>
    <n v="17440"/>
    <n v="211390.3"/>
    <n v="14973"/>
    <n v="18162.759999999998"/>
    <n v="19567.54"/>
    <n v="19167"/>
    <n v="19167"/>
    <n v="19167"/>
    <n v="19167"/>
    <n v="19167"/>
    <n v="19167"/>
    <n v="19167"/>
    <n v="19167"/>
    <n v="19167"/>
    <n v="225206.3"/>
  </r>
  <r>
    <s v="L-ERP-051"/>
    <s v="Dougherty, Chris_CONTRACTORS_IT-CTR0098-OG-US-00"/>
    <s v="ERP"/>
    <x v="0"/>
    <s v="Dougherty, Chris"/>
    <s v="Maguire, Karla"/>
    <x v="2"/>
    <s v="BPAI IBM B2Bi - EDI L4 Engineer (ML-0728)"/>
    <m/>
    <m/>
    <s v="IT-CTR0098-OG-US-00"/>
    <m/>
    <m/>
    <m/>
    <s v="2024 Transfer"/>
    <m/>
    <m/>
    <n v="187200"/>
    <n v="187200"/>
    <n v="187200"/>
    <n v="0"/>
    <n v="12857"/>
    <n v="18823.150000000001"/>
    <n v="13577"/>
    <n v="15600"/>
    <n v="15600"/>
    <n v="15600"/>
    <n v="15600"/>
    <n v="15600"/>
    <n v="15600"/>
    <n v="15600"/>
    <n v="15600"/>
    <n v="15600"/>
    <n v="185657.15"/>
    <n v="-1542.8500000000058"/>
    <m/>
    <m/>
    <n v="0"/>
    <m/>
    <n v="-1542.8500000000058"/>
    <m/>
    <n v="12857"/>
    <n v="18823.150000000001"/>
    <n v="13577"/>
    <n v="15600"/>
    <n v="15600"/>
    <n v="15600"/>
    <n v="15600"/>
    <n v="15600"/>
    <n v="15600"/>
    <n v="15600"/>
    <n v="15600"/>
    <n v="15600"/>
    <n v="185657.15"/>
    <n v="12857"/>
    <n v="18823.150000000001"/>
    <n v="13577"/>
    <n v="15600"/>
    <n v="15600"/>
    <n v="15600"/>
    <n v="15600"/>
    <n v="15600"/>
    <n v="15600"/>
    <n v="15600"/>
    <n v="15600"/>
    <n v="15600"/>
    <n v="185657.15"/>
  </r>
  <r>
    <s v="L-ERP-052"/>
    <s v="Dougherty, Chris_CONTRACTORS_IT-CTR0099-OG-US-00"/>
    <s v="ERP"/>
    <x v="0"/>
    <s v="Dougherty, Chris"/>
    <s v="Maguire, Karla"/>
    <x v="2"/>
    <s v="BPAI MQ/MB - L4 Engineer (ML-0730)"/>
    <m/>
    <m/>
    <s v="IT-CTR0099-OG-US-00"/>
    <m/>
    <m/>
    <m/>
    <s v="2024 Transfer"/>
    <m/>
    <m/>
    <n v="141310.95000000001"/>
    <n v="141310.95000000001"/>
    <n v="141310.95000000001"/>
    <n v="0"/>
    <n v="9654"/>
    <n v="14825.74"/>
    <n v="12851.77"/>
    <n v="11942"/>
    <n v="10718"/>
    <n v="9590"/>
    <n v="9590"/>
    <n v="10718"/>
    <n v="11090"/>
    <n v="11090"/>
    <n v="9590"/>
    <n v="11076"/>
    <n v="132735.51"/>
    <n v="-8575.4400000000023"/>
    <m/>
    <m/>
    <n v="0"/>
    <m/>
    <n v="-8575.4400000000023"/>
    <m/>
    <n v="9654"/>
    <n v="14825.74"/>
    <n v="12851.77"/>
    <n v="11942"/>
    <n v="10718"/>
    <n v="9590"/>
    <n v="9590"/>
    <n v="10718"/>
    <n v="11090"/>
    <n v="11090"/>
    <n v="9590"/>
    <n v="11076"/>
    <n v="132735.51"/>
    <n v="9654"/>
    <n v="14825.74"/>
    <n v="12851.77"/>
    <n v="10870.45"/>
    <n v="11986"/>
    <n v="11986"/>
    <n v="11986"/>
    <n v="11986"/>
    <n v="11986"/>
    <n v="11986"/>
    <n v="11986"/>
    <n v="11986"/>
    <n v="144089.96"/>
  </r>
  <r>
    <s v="L-ERP-081"/>
    <s v="Dougherty, Chris_CONTRACTORS_IT-CTR0101-OG-US-00"/>
    <s v="ERP"/>
    <x v="0"/>
    <s v="Dougherty, Chris"/>
    <s v="Maguire, Karla"/>
    <x v="2"/>
    <s v="BPAI IBM B2Bi - GMFT L4 Engineer (ML-0732)"/>
    <m/>
    <m/>
    <s v="IT-CTR0101-OG-US-00"/>
    <m/>
    <m/>
    <m/>
    <s v="None"/>
    <m/>
    <m/>
    <n v="97500"/>
    <n v="97500"/>
    <n v="97500"/>
    <n v="0"/>
    <n v="10704.42"/>
    <n v="11988.8"/>
    <n v="9558.4500000000007"/>
    <n v="6000"/>
    <n v="6000"/>
    <n v="6000"/>
    <n v="6000"/>
    <n v="6000"/>
    <n v="6000"/>
    <n v="7500"/>
    <n v="7500"/>
    <n v="7500"/>
    <n v="90751.67"/>
    <n v="-6748.3300000000017"/>
    <m/>
    <m/>
    <n v="0"/>
    <m/>
    <n v="-6748.3300000000017"/>
    <m/>
    <n v="10704.42"/>
    <n v="11988.8"/>
    <n v="9558.4500000000007"/>
    <n v="6000"/>
    <n v="6000"/>
    <n v="6000"/>
    <n v="6000"/>
    <n v="6000"/>
    <n v="6000"/>
    <n v="7500"/>
    <n v="7500"/>
    <n v="7500"/>
    <n v="90751.67"/>
    <n v="10704.42"/>
    <n v="11988.8"/>
    <n v="9558.4500000000007"/>
    <n v="8125"/>
    <n v="8125"/>
    <n v="8125"/>
    <n v="8125"/>
    <n v="8125"/>
    <n v="8125"/>
    <n v="8125"/>
    <n v="8125"/>
    <n v="8125"/>
    <n v="105376.67"/>
  </r>
  <r>
    <s v="L-ERP-082"/>
    <s v="Dougherty, Chris_CONTRACTORS_IT-CTR0102-OG-US-00"/>
    <s v="ERP"/>
    <x v="0"/>
    <s v="Dougherty, Chris"/>
    <s v="Maguire, Karla"/>
    <x v="2"/>
    <s v="BPAI AutoSys/UC4 - L4 Engineer (ML-0733)"/>
    <m/>
    <m/>
    <s v="IT-CTR0102-OG-US-00"/>
    <m/>
    <m/>
    <m/>
    <s v="None"/>
    <m/>
    <m/>
    <n v="107910"/>
    <n v="107910"/>
    <n v="107910"/>
    <n v="0"/>
    <n v="6841"/>
    <n v="9759.2000000000007"/>
    <n v="7478.93"/>
    <n v="8400"/>
    <n v="8400"/>
    <n v="8400"/>
    <n v="8400"/>
    <n v="8400"/>
    <n v="8400"/>
    <n v="8400"/>
    <n v="8400"/>
    <n v="8400"/>
    <n v="99679.13"/>
    <n v="-8230.8699999999953"/>
    <m/>
    <m/>
    <n v="0"/>
    <m/>
    <n v="-8230.8699999999953"/>
    <m/>
    <n v="6841"/>
    <n v="9759.2000000000007"/>
    <n v="7478.93"/>
    <n v="8400"/>
    <n v="8400"/>
    <n v="8400"/>
    <n v="8400"/>
    <n v="8400"/>
    <n v="8400"/>
    <n v="8400"/>
    <n v="8400"/>
    <n v="8400"/>
    <n v="99679.13"/>
    <n v="6841"/>
    <n v="9759.2000000000007"/>
    <n v="7478.93"/>
    <n v="8992.5"/>
    <n v="8992.5"/>
    <n v="8992.5"/>
    <n v="8992.5"/>
    <n v="8992.5"/>
    <n v="8992.5"/>
    <n v="8992.5"/>
    <n v="8992.5"/>
    <n v="8992.5"/>
    <n v="105011.63"/>
  </r>
  <r>
    <s v="L-ERP-083"/>
    <s v="Dougherty, Chris_CONTRACTORS_IT-CTR0103-OG-US-00"/>
    <s v="ERP"/>
    <x v="0"/>
    <s v="Dougherty, Chris"/>
    <s v="Maguire, Karla"/>
    <x v="2"/>
    <s v="BPAI Cross-Functional Audit Specialist (ML-0735)"/>
    <m/>
    <m/>
    <s v="IT-CTR0103-OG-US-00"/>
    <m/>
    <m/>
    <m/>
    <s v="None"/>
    <m/>
    <m/>
    <n v="87360"/>
    <n v="87360"/>
    <n v="87360"/>
    <n v="0"/>
    <n v="11538"/>
    <n v="8258.77"/>
    <n v="1796.93"/>
    <n v="6000"/>
    <n v="7000"/>
    <n v="7000"/>
    <n v="7000"/>
    <n v="7000"/>
    <n v="7000"/>
    <n v="7000"/>
    <n v="7000"/>
    <n v="7280"/>
    <n v="83873.7"/>
    <n v="-3486.3000000000029"/>
    <m/>
    <m/>
    <n v="0"/>
    <m/>
    <n v="-3486.3000000000029"/>
    <m/>
    <n v="11538"/>
    <n v="8258.77"/>
    <n v="1796.93"/>
    <n v="6000"/>
    <n v="7000"/>
    <n v="7000"/>
    <n v="7000"/>
    <n v="7000"/>
    <n v="7000"/>
    <n v="7000"/>
    <n v="7000"/>
    <n v="7280"/>
    <n v="83873.7"/>
    <n v="11538"/>
    <n v="8258.77"/>
    <n v="1796.93"/>
    <n v="7280"/>
    <n v="7280"/>
    <n v="7280"/>
    <n v="7280"/>
    <n v="7280"/>
    <n v="7280"/>
    <n v="7280"/>
    <n v="7280"/>
    <n v="7280"/>
    <n v="87113.7"/>
  </r>
  <r>
    <s v="L-ERP-440"/>
    <s v="Meadows, Leslie_CONTRACTORS_IT-CTR0105-OG-US-00"/>
    <s v="ERP"/>
    <x v="0"/>
    <s v="Meadows, Leslie"/>
    <s v="Maguire, Karla"/>
    <x v="2"/>
    <s v="Chargeback / ERP Change Management Solution PA APP"/>
    <m/>
    <m/>
    <s v="IT-CTR0105-OG-US-00"/>
    <m/>
    <m/>
    <m/>
    <s v="None"/>
    <m/>
    <m/>
    <n v="750"/>
    <n v="750"/>
    <n v="750"/>
    <n v="0"/>
    <m/>
    <m/>
    <m/>
    <m/>
    <m/>
    <m/>
    <m/>
    <m/>
    <m/>
    <m/>
    <m/>
    <m/>
    <n v="0"/>
    <n v="-750"/>
    <m/>
    <m/>
    <n v="0"/>
    <n v="-750"/>
    <n v="0"/>
    <s v="Services Discontinued as per Leslie - Kinjal"/>
    <m/>
    <m/>
    <m/>
    <m/>
    <m/>
    <m/>
    <m/>
    <m/>
    <m/>
    <m/>
    <m/>
    <m/>
    <n v="0"/>
    <m/>
    <m/>
    <m/>
    <n v="62.5"/>
    <n v="62.5"/>
    <n v="62.5"/>
    <n v="62.5"/>
    <n v="62.5"/>
    <n v="62.5"/>
    <n v="62.5"/>
    <n v="62.5"/>
    <n v="62.5"/>
    <n v="562.5"/>
  </r>
  <r>
    <s v="L-ERP-423"/>
    <s v="McGettigan, David_CONTRACTORS_IT-CTR0124-OT-US-00"/>
    <s v="ERP"/>
    <x v="2"/>
    <s v="McGettigan, David"/>
    <s v="McGettigan, David"/>
    <x v="2"/>
    <s v="Executive Coaching for LT"/>
    <m/>
    <m/>
    <s v="IT-CTR0124-OT-US-00"/>
    <m/>
    <m/>
    <m/>
    <s v="None"/>
    <m/>
    <m/>
    <n v="0"/>
    <n v="0"/>
    <n v="0"/>
    <n v="0"/>
    <m/>
    <n v="38877.699999999997"/>
    <n v="11612.03"/>
    <n v="0"/>
    <n v="0"/>
    <n v="0"/>
    <n v="0"/>
    <n v="0"/>
    <n v="0"/>
    <n v="0"/>
    <n v="0"/>
    <n v="0"/>
    <n v="50489.729999999996"/>
    <n v="50489.729999999996"/>
    <m/>
    <m/>
    <n v="-1.8189894035458565E-12"/>
    <m/>
    <n v="50489.729999999996"/>
    <m/>
    <m/>
    <n v="38877.699999999997"/>
    <n v="11612.03"/>
    <n v="0"/>
    <n v="0"/>
    <n v="0"/>
    <n v="0"/>
    <n v="0"/>
    <n v="0"/>
    <n v="0"/>
    <n v="0"/>
    <n v="0"/>
    <n v="50489.729999999996"/>
    <m/>
    <n v="38877.699999999997"/>
    <n v="11612.03"/>
    <n v="0"/>
    <n v="0"/>
    <n v="0"/>
    <n v="0"/>
    <n v="0"/>
    <n v="0"/>
    <n v="0"/>
    <n v="0"/>
    <n v="0"/>
    <n v="50489.729999999996"/>
  </r>
  <r>
    <s v="L-ERP-366"/>
    <s v="McCormick, Pete_CONTRACTORS_IT-CTR0130-OG-US-00"/>
    <s v="ERP"/>
    <x v="0"/>
    <s v="McCormick, Pete"/>
    <s v="Maguire, Karla"/>
    <x v="2"/>
    <s v="SAP Basis Engineering Projects (IBM)"/>
    <m/>
    <m/>
    <s v="IT-CTR0130-OG-US-00"/>
    <m/>
    <m/>
    <m/>
    <s v="None"/>
    <m/>
    <m/>
    <n v="357000"/>
    <n v="357000"/>
    <n v="357000"/>
    <n v="0"/>
    <n v="24570"/>
    <n v="27517.439999999999"/>
    <n v="34397.360000000001"/>
    <n v="32515"/>
    <n v="29750"/>
    <n v="29750"/>
    <n v="29750"/>
    <n v="29750"/>
    <n v="29750"/>
    <n v="29750"/>
    <n v="29750"/>
    <n v="29750"/>
    <n v="356999.8"/>
    <n v="-0.20000000001164153"/>
    <m/>
    <m/>
    <n v="0"/>
    <m/>
    <n v="-0.20000000001164153"/>
    <m/>
    <n v="24570"/>
    <n v="27517.439999999999"/>
    <n v="34397.360000000001"/>
    <n v="32515"/>
    <n v="29750"/>
    <n v="29750"/>
    <n v="29750"/>
    <n v="29750"/>
    <n v="29750"/>
    <n v="29750"/>
    <n v="29750"/>
    <n v="29750"/>
    <n v="356999.8"/>
    <n v="24570"/>
    <n v="27517.439999999999"/>
    <n v="34397.360000000001"/>
    <n v="37163"/>
    <n v="29750"/>
    <n v="29750"/>
    <n v="29750"/>
    <n v="29750"/>
    <n v="29750"/>
    <n v="29750"/>
    <n v="29750"/>
    <n v="29750"/>
    <n v="361647.8"/>
  </r>
  <r>
    <s v="L-ERP-084"/>
    <s v="Dougherty, Chris_CONTRACTORS_IT-CTR0132-OT-US-00"/>
    <s v="ERP"/>
    <x v="0"/>
    <s v="Dougherty, Chris"/>
    <s v="Maguire, Karla"/>
    <x v="2"/>
    <s v="2026 SAP Max Attention Days"/>
    <s v="Prepaid"/>
    <m/>
    <s v="IT-CTR0132-OT-US-00"/>
    <m/>
    <s v="9501158603"/>
    <m/>
    <s v="None"/>
    <s v="5/7 CHW - Updated for soft close on prepaid at 137,279 monthly or AP03 1,647,350 Invoice"/>
    <m/>
    <n v="1678341.6000000003"/>
    <n v="1678341.6000000003"/>
    <n v="1678341.6000000003"/>
    <n v="0"/>
    <n v="113142.14"/>
    <n v="160853.85999999999"/>
    <n v="137841.35999999999"/>
    <n v="0"/>
    <n v="274558"/>
    <n v="137279"/>
    <n v="0"/>
    <n v="274558"/>
    <n v="137279"/>
    <n v="0"/>
    <n v="274558"/>
    <n v="137279"/>
    <n v="1647348.3599999999"/>
    <n v="-30993.240000000456"/>
    <m/>
    <m/>
    <n v="0"/>
    <m/>
    <n v="-30993.240000000456"/>
    <s v="5/7 CHW - Diff is prepaid amort on invoiced amt"/>
    <n v="113142.14"/>
    <n v="160853.85999999999"/>
    <n v="137841.35999999999"/>
    <n v="0"/>
    <n v="274558"/>
    <n v="137279"/>
    <n v="0"/>
    <n v="274558"/>
    <n v="137279"/>
    <n v="0"/>
    <n v="274558"/>
    <n v="137279"/>
    <n v="1647348.3599999999"/>
    <n v="113142.14"/>
    <n v="160853.85999999999"/>
    <n v="137841.35999999999"/>
    <n v="136998"/>
    <n v="136998"/>
    <n v="136998"/>
    <n v="136998"/>
    <n v="136998"/>
    <n v="136998"/>
    <n v="136998"/>
    <n v="136998"/>
    <n v="136998"/>
    <n v="1644819.3599999999"/>
  </r>
  <r>
    <s v="N-ERP-503"/>
    <s v="Dougherty, Chris_CONTRACTORS_IT-CTR0132-OT-US-00/BDC"/>
    <s v="ERP-N"/>
    <x v="0"/>
    <s v="Dougherty, Chris"/>
    <s v="Maguire, Karla"/>
    <x v="2"/>
    <s v="BDC Reclass - 2026 SAP Max Attention Days"/>
    <m/>
    <m/>
    <s v="IT-CTR0132-OT-US-00/BDC"/>
    <m/>
    <m/>
    <m/>
    <s v="None"/>
    <m/>
    <m/>
    <n v="0"/>
    <n v="0"/>
    <n v="-213108"/>
    <n v="213108"/>
    <m/>
    <m/>
    <m/>
    <n v="0"/>
    <n v="0"/>
    <n v="0"/>
    <n v="0"/>
    <n v="0"/>
    <n v="0"/>
    <n v="0"/>
    <n v="0"/>
    <m/>
    <n v="0"/>
    <n v="0"/>
    <m/>
    <m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213108"/>
    <n v="0"/>
    <n v="0"/>
    <n v="0"/>
    <n v="0"/>
    <n v="0"/>
    <n v="0"/>
    <n v="-213108"/>
  </r>
  <r>
    <s v="N-ERP-504"/>
    <s v="Dougherty, Chris_CONTRACTORS_IT-CTR0132-OT-US-00/Colalborate 360"/>
    <s v="ERP-N"/>
    <x v="0"/>
    <s v="Dougherty, Chris"/>
    <s v="Maguire, Karla"/>
    <x v="2"/>
    <s v="Colalborate 360 Reclass - 2026 SAP Max Attention Days"/>
    <m/>
    <m/>
    <s v="IT-CTR0132-OT-US-00/Colalborate 360"/>
    <m/>
    <m/>
    <m/>
    <s v="None"/>
    <m/>
    <m/>
    <n v="0"/>
    <n v="0"/>
    <n v="-76110"/>
    <n v="76110"/>
    <m/>
    <m/>
    <m/>
    <n v="0"/>
    <n v="0"/>
    <n v="0"/>
    <n v="0"/>
    <n v="0"/>
    <n v="0"/>
    <n v="0"/>
    <n v="0"/>
    <m/>
    <n v="0"/>
    <n v="0"/>
    <m/>
    <m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s v="N-ERP-505"/>
    <s v="Dougherty, Chris_CONTRACTORS_IT-CTR0132-OT-US-00/iERP"/>
    <s v="ERP-N"/>
    <x v="0"/>
    <s v="Dougherty, Chris"/>
    <s v="Maguire, Karla"/>
    <x v="2"/>
    <s v="iERP Reclass - 2026 SAP Max Attention Days"/>
    <m/>
    <m/>
    <s v="IT-CTR0132-OT-US-00/iERP"/>
    <m/>
    <m/>
    <m/>
    <s v="None"/>
    <m/>
    <m/>
    <n v="0"/>
    <n v="0"/>
    <n v="-91332"/>
    <n v="91332"/>
    <m/>
    <m/>
    <m/>
    <n v="0"/>
    <n v="0"/>
    <n v="0"/>
    <n v="0"/>
    <n v="0"/>
    <n v="0"/>
    <n v="0"/>
    <n v="0"/>
    <m/>
    <n v="0"/>
    <n v="0"/>
    <m/>
    <m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91332"/>
    <n v="0"/>
    <n v="0"/>
    <n v="0"/>
    <n v="0"/>
    <n v="0"/>
    <n v="0"/>
    <n v="-91332"/>
  </r>
  <r>
    <s v="N-ERP-506"/>
    <s v="Dougherty, Chris_CONTRACTORS_IT-CTR0132-OT-US-00/S4 Innovation"/>
    <s v="ERP-N"/>
    <x v="0"/>
    <s v="Dougherty, Chris"/>
    <s v="Maguire, Karla"/>
    <x v="2"/>
    <s v="S4 Innovation Reclass - 2026 SAP Max Attention Days"/>
    <m/>
    <m/>
    <s v="IT-CTR0132-OT-US-00/S4 Innovation"/>
    <m/>
    <m/>
    <m/>
    <s v="None"/>
    <m/>
    <m/>
    <n v="0"/>
    <n v="0"/>
    <n v="-76110"/>
    <n v="76110"/>
    <m/>
    <m/>
    <m/>
    <n v="0"/>
    <n v="0"/>
    <n v="0"/>
    <n v="0"/>
    <n v="0"/>
    <n v="0"/>
    <n v="0"/>
    <n v="0"/>
    <m/>
    <n v="0"/>
    <n v="0"/>
    <m/>
    <m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s v="L-ERP-085"/>
    <s v="Dougherty, Chris_CONTRACTORS_IT-CTR0132-OT-US-01"/>
    <s v="ERP"/>
    <x v="0"/>
    <s v="Dougherty, Chris"/>
    <s v="Maguire, Karla"/>
    <x v="2"/>
    <s v="Colalborate 360 Reclass - 2026 SAP Max Attention Days"/>
    <m/>
    <m/>
    <s v="IT-CTR0132-OT-US-01"/>
    <m/>
    <m/>
    <m/>
    <s v="None"/>
    <s v="4/28 CHW - Max attention day reclasses"/>
    <m/>
    <n v="0"/>
    <n v="0"/>
    <n v="0"/>
    <n v="0"/>
    <m/>
    <m/>
    <m/>
    <m/>
    <m/>
    <n v="-76110"/>
    <n v="0"/>
    <n v="0"/>
    <n v="0"/>
    <n v="0"/>
    <n v="0"/>
    <n v="0"/>
    <n v="-76110"/>
    <n v="-76110"/>
    <m/>
    <m/>
    <n v="0"/>
    <m/>
    <n v="-76110"/>
    <m/>
    <m/>
    <m/>
    <m/>
    <m/>
    <m/>
    <n v="-76110"/>
    <n v="0"/>
    <n v="0"/>
    <n v="0"/>
    <n v="0"/>
    <n v="0"/>
    <n v="0"/>
    <n v="-76110"/>
    <m/>
    <m/>
    <m/>
    <m/>
    <m/>
    <n v="-76110"/>
    <n v="0"/>
    <n v="0"/>
    <n v="0"/>
    <n v="0"/>
    <n v="0"/>
    <n v="0"/>
    <n v="-76110"/>
  </r>
  <r>
    <s v="L-ERP-086"/>
    <s v="Dougherty, Chris_CONTRACTORS_IT-CTR0132-OT-US-02"/>
    <s v="ERP"/>
    <x v="0"/>
    <s v="Dougherty, Chris"/>
    <s v="Maguire, Karla"/>
    <x v="2"/>
    <s v="S4 Innovation Reclass - 2026 SAP Max Attention Days"/>
    <m/>
    <m/>
    <s v="IT-CTR0132-OT-US-02"/>
    <m/>
    <m/>
    <m/>
    <s v="None"/>
    <s v="4/28 CHW - Max attention day reclasses"/>
    <m/>
    <n v="0"/>
    <n v="0"/>
    <n v="0"/>
    <n v="0"/>
    <m/>
    <m/>
    <n v="-60000"/>
    <n v="0"/>
    <n v="0"/>
    <n v="-76110"/>
    <n v="0"/>
    <n v="0"/>
    <n v="0"/>
    <n v="0"/>
    <n v="0"/>
    <n v="0"/>
    <n v="-136110"/>
    <n v="-136110"/>
    <m/>
    <m/>
    <n v="0"/>
    <m/>
    <n v="-136110"/>
    <m/>
    <m/>
    <m/>
    <n v="-60000"/>
    <n v="0"/>
    <n v="0"/>
    <n v="-76110"/>
    <n v="0"/>
    <n v="0"/>
    <n v="0"/>
    <n v="0"/>
    <n v="0"/>
    <n v="0"/>
    <n v="-136110"/>
    <m/>
    <m/>
    <n v="-60000"/>
    <n v="0"/>
    <n v="0"/>
    <n v="-76110"/>
    <n v="0"/>
    <n v="0"/>
    <n v="0"/>
    <n v="0"/>
    <n v="0"/>
    <n v="0"/>
    <n v="-136110"/>
  </r>
  <r>
    <s v="L-ERP-087"/>
    <s v="Dougherty, Chris_CONTRACTORS_IT-CTR0132-OT-US-03"/>
    <s v="ERP"/>
    <x v="0"/>
    <s v="Dougherty, Chris"/>
    <s v="Maguire, Karla"/>
    <x v="2"/>
    <s v="iERP Reclass - 2026 SAP Max Attention Days"/>
    <m/>
    <m/>
    <s v="IT-CTR0132-OT-US-03"/>
    <m/>
    <m/>
    <m/>
    <s v="None"/>
    <s v="4/28 CHW - Max attention day reclasses"/>
    <m/>
    <n v="0"/>
    <n v="0"/>
    <n v="0"/>
    <n v="0"/>
    <m/>
    <m/>
    <m/>
    <m/>
    <m/>
    <n v="-91332"/>
    <n v="0"/>
    <n v="0"/>
    <n v="0"/>
    <n v="0"/>
    <n v="0"/>
    <n v="0"/>
    <n v="-91332"/>
    <n v="-91332"/>
    <m/>
    <m/>
    <n v="0"/>
    <m/>
    <n v="-91332"/>
    <m/>
    <m/>
    <m/>
    <m/>
    <m/>
    <m/>
    <n v="-91332"/>
    <n v="0"/>
    <n v="0"/>
    <n v="0"/>
    <n v="0"/>
    <n v="0"/>
    <n v="0"/>
    <n v="-91332"/>
    <m/>
    <m/>
    <m/>
    <m/>
    <m/>
    <n v="-91332"/>
    <n v="0"/>
    <n v="0"/>
    <n v="0"/>
    <n v="0"/>
    <n v="0"/>
    <n v="0"/>
    <n v="-91332"/>
  </r>
  <r>
    <s v="L-ERP-088"/>
    <s v="Dougherty, Chris_CONTRACTORS_IT-CTR0132-OT-US-04"/>
    <s v="ERP"/>
    <x v="0"/>
    <s v="Dougherty, Chris"/>
    <s v="Maguire, Karla"/>
    <x v="2"/>
    <s v="BDC Reclass - 2026 SAP Max Attention Days"/>
    <m/>
    <m/>
    <s v="IT-CTR0132-OT-US-04"/>
    <m/>
    <m/>
    <m/>
    <s v="None"/>
    <s v="4/28 CHW - Max attention day reclasses"/>
    <m/>
    <n v="0"/>
    <n v="0"/>
    <n v="0"/>
    <n v="0"/>
    <m/>
    <m/>
    <m/>
    <m/>
    <m/>
    <n v="-213108"/>
    <n v="0"/>
    <n v="0"/>
    <n v="0"/>
    <n v="0"/>
    <n v="0"/>
    <n v="0"/>
    <n v="-213108"/>
    <n v="-213108"/>
    <m/>
    <m/>
    <n v="0"/>
    <m/>
    <n v="-213108"/>
    <m/>
    <m/>
    <m/>
    <m/>
    <m/>
    <m/>
    <n v="-213108"/>
    <n v="0"/>
    <n v="0"/>
    <n v="0"/>
    <n v="0"/>
    <n v="0"/>
    <n v="0"/>
    <n v="-213108"/>
    <m/>
    <m/>
    <m/>
    <m/>
    <m/>
    <n v="-213108"/>
    <n v="0"/>
    <n v="0"/>
    <n v="0"/>
    <n v="0"/>
    <n v="0"/>
    <n v="0"/>
    <n v="-213108"/>
  </r>
  <r>
    <s v="N-ERP-606"/>
    <s v="Meadows, Leslie_CONTRACTORS_IT-CTR0140-OT-US-00"/>
    <s v="ERP-N"/>
    <x v="0"/>
    <s v="Meadows, Leslie"/>
    <s v="Maguire, Karla"/>
    <x v="2"/>
    <s v="Tricentis Tosca Professional Services"/>
    <m/>
    <m/>
    <s v="IT-CTR0140-OT-US-00"/>
    <m/>
    <m/>
    <s v="Investigate LE2"/>
    <s v="None"/>
    <s v="4/28/26 CHW New add to tie-out 0223 to 0317 Planful Extracts 2026 Tricentis Tosca Professional Services has been reduced from $8,000 to $0 by deferring upgrade/optimization work and will be revisited in 2027"/>
    <m/>
    <n v="1"/>
    <n v="1"/>
    <n v="1"/>
    <n v="0"/>
    <m/>
    <m/>
    <m/>
    <n v="0"/>
    <n v="0"/>
    <n v="0"/>
    <n v="0"/>
    <n v="0"/>
    <n v="0"/>
    <n v="0"/>
    <n v="0"/>
    <n v="0"/>
    <n v="0"/>
    <n v="-1"/>
    <m/>
    <m/>
    <n v="0"/>
    <m/>
    <n v="-1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L-ERP-089"/>
    <s v="Dougherty, Chris_CONTRACTORS_IT-CTR0147-OG-US-00"/>
    <s v="ERP"/>
    <x v="0"/>
    <s v="Dougherty, Chris"/>
    <s v="Maguire, Karla"/>
    <x v="2"/>
    <s v="Accenture: eWM Integration"/>
    <m/>
    <m/>
    <s v="IT-CTR0147-OG-US-00"/>
    <m/>
    <m/>
    <m/>
    <s v="None"/>
    <m/>
    <m/>
    <n v="178000"/>
    <n v="178000"/>
    <n v="178000"/>
    <n v="0"/>
    <m/>
    <n v="53852.77"/>
    <n v="35563.15"/>
    <n v="19053"/>
    <n v="27738"/>
    <m/>
    <n v="0"/>
    <n v="0"/>
    <n v="0"/>
    <n v="0"/>
    <n v="0"/>
    <n v="0"/>
    <n v="136206.91999999998"/>
    <n v="-41793.080000000016"/>
    <m/>
    <m/>
    <n v="0"/>
    <m/>
    <n v="-41793.080000000016"/>
    <m/>
    <m/>
    <n v="53852.77"/>
    <n v="35563.15"/>
    <n v="19053"/>
    <n v="27738"/>
    <m/>
    <n v="0"/>
    <n v="0"/>
    <n v="0"/>
    <n v="0"/>
    <n v="0"/>
    <n v="0"/>
    <n v="136206.91999999998"/>
    <m/>
    <n v="53852.77"/>
    <n v="35563.15"/>
    <n v="29666.67"/>
    <n v="29666.67"/>
    <n v="29666.67"/>
    <n v="0"/>
    <n v="0"/>
    <n v="0"/>
    <n v="0"/>
    <n v="0"/>
    <n v="0"/>
    <n v="178415.93"/>
  </r>
  <r>
    <s v="L-ERP-090"/>
    <s v="Dougherty, Chris_CONTRACTORS_IT-CTR0148-OG-US-00"/>
    <s v="ERP"/>
    <x v="0"/>
    <s v="Dougherty, Chris"/>
    <s v="Maguire, Karla"/>
    <x v="2"/>
    <s v="Accenture: Technical Development Support"/>
    <m/>
    <m/>
    <s v="IT-CTR0148-OG-US-00"/>
    <m/>
    <m/>
    <m/>
    <s v="None"/>
    <m/>
    <m/>
    <n v="222000"/>
    <n v="222000"/>
    <n v="222000"/>
    <n v="0"/>
    <m/>
    <n v="72114.23"/>
    <n v="40652.339999999997"/>
    <n v="-11823.57"/>
    <n v="33359.4"/>
    <m/>
    <n v="0"/>
    <n v="0"/>
    <n v="0"/>
    <n v="0"/>
    <n v="0"/>
    <n v="0"/>
    <n v="134302.39999999999"/>
    <n v="-87697.600000000006"/>
    <m/>
    <m/>
    <n v="0"/>
    <m/>
    <n v="-87697.600000000006"/>
    <m/>
    <m/>
    <n v="72114.23"/>
    <n v="40652.339999999997"/>
    <n v="-11823.57"/>
    <n v="33359.4"/>
    <m/>
    <n v="0"/>
    <n v="0"/>
    <n v="0"/>
    <n v="0"/>
    <n v="0"/>
    <n v="0"/>
    <n v="134302.39999999999"/>
    <m/>
    <n v="72114.23"/>
    <n v="40652.339999999997"/>
    <n v="37000"/>
    <n v="37000"/>
    <n v="37000"/>
    <n v="0"/>
    <n v="0"/>
    <n v="0"/>
    <n v="0"/>
    <n v="0"/>
    <n v="0"/>
    <n v="223766.57"/>
  </r>
  <r>
    <s v="L-ERP-146"/>
    <s v="Ganesan, Srinivasan_CONTRACTORS_IT-CTR0149-OG-US-00"/>
    <s v="ERP"/>
    <x v="1"/>
    <s v="Ganesan, Srinivasan"/>
    <s v="DeHart, Lynn"/>
    <x v="2"/>
    <s v="GLNS - E2E Functional Support"/>
    <m/>
    <m/>
    <s v="IT-CTR0149-OG-US-00"/>
    <m/>
    <m/>
    <m/>
    <s v="None"/>
    <m/>
    <m/>
    <n v="515000"/>
    <n v="515000"/>
    <n v="515000"/>
    <n v="0"/>
    <m/>
    <n v="66916.990000000005"/>
    <n v="75010.39"/>
    <n v="40062"/>
    <n v="40792"/>
    <n v="43581"/>
    <n v="35000"/>
    <n v="34000"/>
    <n v="0"/>
    <n v="0"/>
    <n v="0"/>
    <n v="0"/>
    <n v="335362.38"/>
    <n v="-179637.62"/>
    <m/>
    <m/>
    <n v="0"/>
    <n v="180000"/>
    <n v="-359637.62"/>
    <s v="Combination of XFR 0027A, 0038A, 0039A, 0042A.  Reduced to $335K"/>
    <m/>
    <n v="66916.990000000005"/>
    <n v="75010.39"/>
    <n v="40062"/>
    <n v="40792"/>
    <n v="43581"/>
    <n v="35000"/>
    <n v="34000"/>
    <n v="0"/>
    <n v="0"/>
    <n v="0"/>
    <n v="0"/>
    <n v="335362.38"/>
    <m/>
    <n v="66916.990000000005"/>
    <n v="75010.39"/>
    <n v="48286"/>
    <n v="48386"/>
    <n v="48286"/>
    <n v="38449"/>
    <n v="38449"/>
    <n v="44462"/>
    <n v="44462"/>
    <n v="44462"/>
    <n v="44462"/>
    <n v="541631.38"/>
  </r>
  <r>
    <s v="L-ERP-091"/>
    <s v="Dougherty, Chris_CONTRACTORS_IT-CTR0150-OG-US-00"/>
    <s v="ERP"/>
    <x v="0"/>
    <s v="Dougherty, Chris"/>
    <s v="Maguire, Karla"/>
    <x v="2"/>
    <s v="Syniti Knowledge Platform Support"/>
    <m/>
    <m/>
    <s v="IT-CTR0150-OG-US-00"/>
    <m/>
    <m/>
    <m/>
    <s v="None"/>
    <m/>
    <m/>
    <n v="100000"/>
    <n v="100000"/>
    <n v="100000"/>
    <n v="0"/>
    <m/>
    <m/>
    <m/>
    <n v="11111"/>
    <n v="11111"/>
    <n v="11111"/>
    <n v="11111"/>
    <n v="11111"/>
    <n v="11111"/>
    <n v="11111"/>
    <n v="11111"/>
    <n v="11112"/>
    <n v="100000"/>
    <n v="0"/>
    <m/>
    <m/>
    <n v="0"/>
    <m/>
    <n v="0"/>
    <m/>
    <m/>
    <m/>
    <m/>
    <n v="11111"/>
    <n v="11111"/>
    <n v="11111"/>
    <n v="11111"/>
    <n v="11111"/>
    <n v="11111"/>
    <n v="11111"/>
    <n v="11111"/>
    <n v="11112"/>
    <n v="100000"/>
    <m/>
    <m/>
    <m/>
    <n v="11111"/>
    <n v="11111"/>
    <n v="11111"/>
    <n v="11111"/>
    <n v="11111"/>
    <n v="11111"/>
    <n v="11111"/>
    <n v="11111"/>
    <n v="11112"/>
    <n v="100000"/>
  </r>
  <r>
    <s v="L-ERP-553"/>
    <s v="Vaidya, Sachin_CONTRACTORS_IT-CTR0151-OG-US-00"/>
    <s v="ERP"/>
    <x v="1"/>
    <s v="Vaidya, Sachin"/>
    <s v="DeHart, Lynn"/>
    <x v="2"/>
    <s v="SAP Intelligent Service Cloud - IBM BTAMS support costs (1 FTE)"/>
    <m/>
    <m/>
    <s v="IT-CTR0151-OG-US-00"/>
    <m/>
    <m/>
    <m/>
    <s v="None"/>
    <s v="4/29 CHW  Looks like duplicate; Review UID N-ERP-617_x000a_Sachin (4/30): OK"/>
    <m/>
    <n v="0"/>
    <n v="0"/>
    <n v="0"/>
    <n v="0"/>
    <n v="0"/>
    <n v="0"/>
    <n v="0"/>
    <n v="35640"/>
    <n v="35640"/>
    <n v="35640"/>
    <n v="13080"/>
    <m/>
    <m/>
    <m/>
    <m/>
    <m/>
    <n v="120000"/>
    <n v="120000"/>
    <m/>
    <m/>
    <n v="0"/>
    <m/>
    <n v="120000"/>
    <s v="Acct Mvmnt - IT-CTR0151-OG-US-00/IT-SFT1462-OG-US-00"/>
    <n v="0"/>
    <n v="0"/>
    <n v="0"/>
    <n v="35640"/>
    <n v="35640"/>
    <n v="35640"/>
    <n v="13080"/>
    <m/>
    <m/>
    <m/>
    <m/>
    <m/>
    <n v="120000"/>
    <m/>
    <m/>
    <m/>
    <m/>
    <m/>
    <m/>
    <n v="20000"/>
    <n v="20000"/>
    <n v="20000"/>
    <n v="20000"/>
    <n v="20000"/>
    <n v="20000"/>
    <n v="120000"/>
  </r>
  <r>
    <s v="L-ERP-147"/>
    <s v="Ganesan, Srinivasan_CONTRACTORS_IT-CTR0153-OG-US-00"/>
    <s v="ERP"/>
    <x v="1"/>
    <s v="Ganesan, Srinivasan"/>
    <s v="DeHart, Lynn"/>
    <x v="2"/>
    <s v="Global Supply Chain Market Logistics 2026 XFERs-0023,0043,0051"/>
    <m/>
    <m/>
    <s v="IT-CTR0153-OG-US-00"/>
    <m/>
    <m/>
    <m/>
    <s v="None"/>
    <m/>
    <m/>
    <n v="0"/>
    <n v="0"/>
    <n v="0"/>
    <n v="0"/>
    <m/>
    <m/>
    <m/>
    <m/>
    <m/>
    <m/>
    <n v="0"/>
    <n v="0"/>
    <n v="0"/>
    <n v="0"/>
    <n v="0"/>
    <n v="0"/>
    <n v="0"/>
    <n v="0"/>
    <m/>
    <m/>
    <n v="0"/>
    <n v="280000"/>
    <n v="-280000"/>
    <s v="0043, 0051)"/>
    <m/>
    <m/>
    <m/>
    <m/>
    <m/>
    <m/>
    <n v="0"/>
    <n v="0"/>
    <n v="0"/>
    <n v="0"/>
    <n v="0"/>
    <n v="0"/>
    <n v="0"/>
    <m/>
    <m/>
    <m/>
    <m/>
    <m/>
    <m/>
    <n v="46666.666666999998"/>
    <n v="46666.666666999998"/>
    <n v="46666.666666999998"/>
    <n v="46666.666666999998"/>
    <n v="46666.666666999998"/>
    <n v="46666.666666999998"/>
    <n v="280000.00000199996"/>
  </r>
  <r>
    <s v="L-ERP-581"/>
    <s v="Yeluri, Durga_SOFTWARE_IT-DATAIKU-01"/>
    <s v="ERP"/>
    <x v="1"/>
    <s v="Yeluri, Durga"/>
    <s v="DeHart, Lynn"/>
    <x v="0"/>
    <s v="Dataiku"/>
    <m/>
    <m/>
    <s v="IT-DATAIKU-01"/>
    <m/>
    <m/>
    <m/>
    <s v="None"/>
    <m/>
    <m/>
    <n v="0"/>
    <n v="0"/>
    <n v="0"/>
    <n v="0"/>
    <n v="139.72999999999999"/>
    <n v="139.72999999999999"/>
    <n v="449.73"/>
    <n v="0"/>
    <n v="0"/>
    <n v="0"/>
    <n v="0"/>
    <n v="0"/>
    <n v="0"/>
    <n v="0"/>
    <n v="0"/>
    <n v="0"/>
    <n v="729.19"/>
    <n v="729.19"/>
    <m/>
    <m/>
    <n v="0"/>
    <m/>
    <n v="729.19"/>
    <m/>
    <n v="139.72999999999999"/>
    <n v="139.72999999999999"/>
    <n v="449.73"/>
    <n v="0"/>
    <n v="0"/>
    <n v="0"/>
    <n v="0"/>
    <n v="0"/>
    <n v="0"/>
    <n v="0"/>
    <n v="0"/>
    <n v="0"/>
    <n v="729.19"/>
    <n v="139.72999999999999"/>
    <n v="139.72999999999999"/>
    <n v="449.73"/>
    <n v="0"/>
    <n v="0"/>
    <n v="0"/>
    <n v="0"/>
    <n v="0"/>
    <n v="0"/>
    <n v="0"/>
    <n v="0"/>
    <n v="0"/>
    <n v="729.19"/>
  </r>
  <r>
    <s v="L-ERP-535"/>
    <s v="Tamavada, Ram_CONTRACTORS_IT-FBT0066-OG-IN-00"/>
    <s v="ERP"/>
    <x v="0"/>
    <s v="Tamavada, Ram"/>
    <s v="Maguire, Karla"/>
    <x v="2"/>
    <s v="India Sales Order Management Support (SAP SME Support)"/>
    <m/>
    <m/>
    <s v="IT-FBT0066-OG-IN-00"/>
    <m/>
    <m/>
    <m/>
    <s v="India"/>
    <m/>
    <m/>
    <n v="39781.000000000015"/>
    <n v="39781.000000000015"/>
    <n v="39781.000000000015"/>
    <n v="0"/>
    <n v="3217.02"/>
    <n v="2578.4899999999998"/>
    <n v="2874.84"/>
    <n v="3315.08"/>
    <n v="3190"/>
    <n v="3190"/>
    <n v="3159"/>
    <n v="3190"/>
    <n v="3150"/>
    <n v="3150"/>
    <n v="3150"/>
    <n v="3150"/>
    <n v="37314.43"/>
    <n v="-2466.5700000000143"/>
    <m/>
    <m/>
    <n v="0"/>
    <m/>
    <n v="-2466.5700000000143"/>
    <m/>
    <n v="3217.02"/>
    <n v="2578.4899999999998"/>
    <n v="2874.84"/>
    <n v="3315.08"/>
    <n v="3190"/>
    <n v="3190"/>
    <n v="3159"/>
    <n v="3190"/>
    <n v="3150"/>
    <n v="3150"/>
    <n v="3150"/>
    <n v="3150"/>
    <n v="37314.43"/>
    <n v="3217.02"/>
    <n v="2578.4899999999998"/>
    <n v="2874.84"/>
    <n v="3315.08"/>
    <n v="3315.08"/>
    <n v="3315.08"/>
    <n v="3315.08"/>
    <n v="3315.08"/>
    <n v="3315.08"/>
    <n v="3315.08"/>
    <n v="3315.08"/>
    <n v="3315.12"/>
    <n v="38506.110000000008"/>
  </r>
  <r>
    <s v="L-ERP-543"/>
    <s v="Tamavada, Ram_MANAGED SERVICES_IT-FBT0074-OG-US-00"/>
    <s v="ERP"/>
    <x v="0"/>
    <s v="Tamavada, Ram"/>
    <s v="Maguire, Karla"/>
    <x v="1"/>
    <s v="Oracle E-Business Suite Archive Solutions"/>
    <m/>
    <m/>
    <s v="IT-FBT0074-OG-US-00"/>
    <m/>
    <m/>
    <m/>
    <s v="None"/>
    <m/>
    <m/>
    <n v="116304"/>
    <n v="116304"/>
    <n v="116304"/>
    <n v="0"/>
    <m/>
    <m/>
    <m/>
    <m/>
    <m/>
    <n v="9692"/>
    <n v="9692"/>
    <n v="9692"/>
    <n v="9692"/>
    <n v="9692"/>
    <n v="9692"/>
    <n v="9692"/>
    <n v="67844"/>
    <n v="-48460"/>
    <m/>
    <m/>
    <n v="0"/>
    <n v="-48460"/>
    <n v="0"/>
    <s v="Per Kinjal - reforecasted from June until EOY as per Ram."/>
    <m/>
    <m/>
    <m/>
    <m/>
    <m/>
    <n v="9692"/>
    <n v="9692"/>
    <n v="9692"/>
    <n v="9692"/>
    <n v="9692"/>
    <n v="9692"/>
    <n v="9692"/>
    <n v="67844"/>
    <m/>
    <m/>
    <m/>
    <n v="9692"/>
    <n v="9692"/>
    <n v="9692"/>
    <n v="9692"/>
    <n v="9692"/>
    <n v="9692"/>
    <n v="9692"/>
    <n v="9692"/>
    <n v="9692"/>
    <n v="87228"/>
  </r>
  <r>
    <s v="ERP-005"/>
    <m/>
    <s v="ERP"/>
    <x v="1"/>
    <s v="Hase, Raj"/>
    <s v="Hase, Raj"/>
    <x v="1"/>
    <s v="Infrastructure charges"/>
    <m/>
    <m/>
    <s v="IT-FBT0157-OG-US-00"/>
    <m/>
    <m/>
    <m/>
    <s v="EP&amp;S"/>
    <s v="LZ 4/27 - Move forecast from Mike H to Raj H"/>
    <m/>
    <m/>
    <n v="0"/>
    <m/>
    <m/>
    <m/>
    <m/>
    <m/>
    <n v="7000"/>
    <n v="7000"/>
    <n v="7000"/>
    <n v="7000"/>
    <n v="7000"/>
    <n v="7000"/>
    <n v="7000"/>
    <n v="7000"/>
    <n v="7000"/>
    <n v="63000"/>
    <n v="63000"/>
    <m/>
    <m/>
    <n v="0"/>
    <m/>
    <m/>
    <m/>
    <m/>
    <m/>
    <m/>
    <n v="7000"/>
    <n v="7000"/>
    <n v="7000"/>
    <n v="7000"/>
    <n v="7000"/>
    <n v="7000"/>
    <n v="7000"/>
    <n v="7000"/>
    <n v="7000"/>
    <n v="63000"/>
    <m/>
    <m/>
    <m/>
    <m/>
    <m/>
    <m/>
    <m/>
    <m/>
    <m/>
    <m/>
    <m/>
    <m/>
    <m/>
  </r>
  <r>
    <s v="L-ERP-220"/>
    <s v="Hovanyetz, Mike_MANAGED SERVICES_IT-FBT0157-OG-US-00"/>
    <s v="ERP"/>
    <x v="1"/>
    <s v="Hovanyetz, Mike"/>
    <s v="DeHart, Lynn"/>
    <x v="1"/>
    <s v="Infrastructure charges"/>
    <m/>
    <m/>
    <s v="IT-FBT0157-OG-US-00"/>
    <m/>
    <m/>
    <m/>
    <s v="EP&amp;S"/>
    <s v="LZ 4/27 - Move forecast from Mike H to Raj H"/>
    <m/>
    <n v="84000"/>
    <n v="84000"/>
    <n v="84000"/>
    <n v="0"/>
    <n v="6710.29"/>
    <n v="-18265.05"/>
    <n v="-3131.55"/>
    <n v="0"/>
    <n v="0"/>
    <n v="0"/>
    <n v="0"/>
    <n v="0"/>
    <n v="0"/>
    <n v="0"/>
    <n v="0"/>
    <n v="0"/>
    <n v="-14686.309999999998"/>
    <n v="-98686.31"/>
    <m/>
    <m/>
    <n v="9.0949470177292824E-13"/>
    <m/>
    <n v="-98686.31"/>
    <m/>
    <n v="6710.29"/>
    <n v="-18265.05"/>
    <n v="-3131.55"/>
    <n v="0"/>
    <n v="0"/>
    <n v="0"/>
    <n v="0"/>
    <n v="0"/>
    <n v="0"/>
    <n v="0"/>
    <n v="0"/>
    <n v="0"/>
    <n v="-14686.309999999998"/>
    <n v="6710.29"/>
    <n v="-18265.05"/>
    <n v="-3131.55"/>
    <n v="7000"/>
    <n v="7000"/>
    <n v="7000"/>
    <n v="7000"/>
    <n v="7000"/>
    <n v="7000"/>
    <n v="7000"/>
    <n v="7000"/>
    <n v="7000"/>
    <n v="48313.69"/>
  </r>
  <r>
    <s v="L-ERP-449"/>
    <s v="Meadows, Leslie_MANAGED SERVICES_IT-FBT0210-OG-US-00"/>
    <s v="ERP"/>
    <x v="0"/>
    <s v="Meadows, Leslie"/>
    <s v="Maguire, Karla"/>
    <x v="1"/>
    <s v="Compucom: SAP and EOM Support"/>
    <m/>
    <m/>
    <s v="IT-FBT0210-OG-US-00"/>
    <m/>
    <m/>
    <m/>
    <s v="SAP"/>
    <m/>
    <m/>
    <n v="588064.00000000012"/>
    <n v="588064.00000000012"/>
    <n v="588064.00000000012"/>
    <n v="0"/>
    <n v="40389"/>
    <n v="55285.58"/>
    <n v="47994.59"/>
    <n v="51000"/>
    <n v="49500"/>
    <n v="49495"/>
    <n v="49400"/>
    <n v="49000"/>
    <n v="49000"/>
    <n v="49000"/>
    <n v="49000"/>
    <n v="49000"/>
    <n v="588064.16999999993"/>
    <n v="0.16999999980907887"/>
    <m/>
    <m/>
    <n v="0"/>
    <m/>
    <n v="0.16999999980907887"/>
    <m/>
    <n v="40389"/>
    <n v="55285.58"/>
    <n v="47994.59"/>
    <n v="51000"/>
    <n v="49500"/>
    <n v="49495"/>
    <n v="49400"/>
    <n v="49000"/>
    <n v="49000"/>
    <n v="49000"/>
    <n v="49000"/>
    <n v="49000"/>
    <n v="588064.16999999993"/>
    <n v="40389"/>
    <n v="55285.58"/>
    <n v="47994.59"/>
    <n v="49068"/>
    <n v="51240"/>
    <n v="37911"/>
    <n v="48731"/>
    <n v="52076"/>
    <n v="52390"/>
    <n v="54876"/>
    <n v="42961"/>
    <n v="40649"/>
    <n v="573571.16999999993"/>
  </r>
  <r>
    <s v="L-ERP-381"/>
    <s v="McCormick, Pete_CONTRACTORS_IT-FBT0213-OG-US-00"/>
    <s v="ERP"/>
    <x v="0"/>
    <s v="McCormick, Pete"/>
    <s v="Maguire, Karla"/>
    <x v="2"/>
    <s v="SAP Basis Engineering Projects (Compucom)"/>
    <m/>
    <m/>
    <s v="IT-FBT0213-OG-US-00"/>
    <m/>
    <m/>
    <m/>
    <s v="SAP"/>
    <m/>
    <m/>
    <n v="948000"/>
    <n v="948000"/>
    <n v="948000"/>
    <n v="0"/>
    <n v="59013"/>
    <n v="227334.86"/>
    <n v="185217.87"/>
    <n v="79000"/>
    <n v="29653"/>
    <n v="0"/>
    <n v="61297"/>
    <n v="61297"/>
    <n v="61297"/>
    <n v="61297"/>
    <n v="61297"/>
    <n v="61297"/>
    <n v="948000.73"/>
    <n v="0.72999999998137355"/>
    <m/>
    <m/>
    <n v="0"/>
    <m/>
    <n v="0.72999999998137355"/>
    <m/>
    <n v="59013"/>
    <n v="227334.86"/>
    <n v="185217.87"/>
    <n v="79000"/>
    <n v="29653"/>
    <n v="0"/>
    <n v="61297"/>
    <n v="61297"/>
    <n v="61297"/>
    <n v="61297"/>
    <n v="61297"/>
    <n v="61297"/>
    <n v="948000.73"/>
    <n v="59013"/>
    <n v="227334.86"/>
    <n v="185217.87"/>
    <n v="79000"/>
    <n v="29653"/>
    <n v="0"/>
    <n v="79000"/>
    <n v="79000"/>
    <n v="79000"/>
    <n v="79000"/>
    <n v="79000"/>
    <n v="79000"/>
    <n v="1054218.73"/>
  </r>
  <r>
    <s v="L-ERP-080"/>
    <s v="Dougherty, Chris_CONTRACTORS_IT-FBT0219-OG-US-00"/>
    <s v="ERP"/>
    <x v="0"/>
    <s v="Dougherty, Chris"/>
    <s v="Maguire, Karla"/>
    <x v="2"/>
    <s v="ESC/AIS APP &amp; Platform Support: ESC/AIS Mulesoft M"/>
    <m/>
    <m/>
    <s v="IT-FBT0219-OG-US-00"/>
    <m/>
    <m/>
    <m/>
    <s v="MuleSoft"/>
    <m/>
    <m/>
    <n v="71440"/>
    <n v="71440"/>
    <n v="71440"/>
    <n v="0"/>
    <m/>
    <m/>
    <m/>
    <m/>
    <m/>
    <m/>
    <m/>
    <n v="71440"/>
    <n v="0"/>
    <n v="0"/>
    <n v="0"/>
    <n v="0"/>
    <n v="71440"/>
    <n v="0"/>
    <m/>
    <m/>
    <n v="0"/>
    <m/>
    <n v="0"/>
    <m/>
    <m/>
    <m/>
    <m/>
    <m/>
    <m/>
    <m/>
    <m/>
    <n v="71440"/>
    <n v="0"/>
    <n v="0"/>
    <n v="0"/>
    <n v="0"/>
    <n v="71440"/>
    <m/>
    <m/>
    <m/>
    <m/>
    <m/>
    <m/>
    <m/>
    <n v="71440"/>
    <n v="0"/>
    <n v="0"/>
    <n v="0"/>
    <n v="0"/>
    <n v="71440"/>
  </r>
  <r>
    <s v="L-ERP-315"/>
    <s v="Maguire, Karla_CONTRACTORS_IT-FBT0245-OG-US-00"/>
    <s v="ERP"/>
    <x v="0"/>
    <s v="Maguire, Karla"/>
    <s v="Maguire, Karla"/>
    <x v="2"/>
    <s v="Enterprise Integration Hub (EIH) - Code repository, DevOps and API"/>
    <m/>
    <m/>
    <s v="IT-FBT0245-OG-US-00"/>
    <m/>
    <m/>
    <m/>
    <s v="EIH"/>
    <m/>
    <m/>
    <n v="0"/>
    <n v="0"/>
    <n v="0"/>
    <n v="0"/>
    <n v="10113"/>
    <n v="11863.11"/>
    <n v="-21976.11"/>
    <m/>
    <m/>
    <m/>
    <m/>
    <m/>
    <m/>
    <m/>
    <m/>
    <m/>
    <n v="0"/>
    <n v="0"/>
    <m/>
    <m/>
    <n v="0"/>
    <m/>
    <n v="0"/>
    <m/>
    <n v="10113"/>
    <n v="11863.11"/>
    <n v="-21976.11"/>
    <m/>
    <m/>
    <m/>
    <m/>
    <m/>
    <m/>
    <m/>
    <m/>
    <m/>
    <n v="0"/>
    <n v="10113"/>
    <n v="11863.11"/>
    <n v="-21976.11"/>
    <m/>
    <m/>
    <m/>
    <m/>
    <m/>
    <m/>
    <m/>
    <m/>
    <m/>
    <n v="0"/>
  </r>
  <r>
    <s v="L-ERP-517"/>
    <s v="Tamavada, Ram_CONTRACTORS_IT-FBT0245-OG-US-00"/>
    <s v="ERP"/>
    <x v="0"/>
    <s v="Tamavada, Ram"/>
    <s v="Maguire, Karla"/>
    <x v="2"/>
    <s v="Enterprise Integration Hub (EIH) - Code repository, DevOps and API"/>
    <m/>
    <m/>
    <s v="IT-FBT0245-OG-US-00"/>
    <m/>
    <m/>
    <m/>
    <s v="EIH"/>
    <m/>
    <m/>
    <n v="150000"/>
    <n v="150000"/>
    <n v="150000"/>
    <n v="0"/>
    <m/>
    <m/>
    <n v="36597.65"/>
    <n v="12900"/>
    <n v="12900"/>
    <n v="12602"/>
    <n v="12500"/>
    <n v="12500"/>
    <n v="12500"/>
    <n v="12500"/>
    <n v="12500"/>
    <n v="12500"/>
    <n v="149999.65"/>
    <n v="-0.35000000000582077"/>
    <m/>
    <m/>
    <n v="0"/>
    <m/>
    <n v="-0.35000000000582077"/>
    <m/>
    <m/>
    <m/>
    <n v="36597.65"/>
    <n v="12900"/>
    <n v="12900"/>
    <n v="12602"/>
    <n v="12500"/>
    <n v="12500"/>
    <n v="12500"/>
    <n v="12500"/>
    <n v="12500"/>
    <n v="12500"/>
    <n v="149999.65"/>
    <m/>
    <m/>
    <n v="36597.65"/>
    <n v="12500"/>
    <n v="12500"/>
    <n v="12500"/>
    <n v="12500"/>
    <n v="12500"/>
    <n v="12500"/>
    <n v="12500"/>
    <n v="12500"/>
    <n v="12500"/>
    <n v="149097.65"/>
  </r>
  <r>
    <s v="L-ERP-201"/>
    <s v="Herman, Shaun_CONTRACTORS_IT-FBT0262-OG-US-00"/>
    <s v="ERP"/>
    <x v="1"/>
    <s v="Herman, Shaun"/>
    <s v="DeHart, Lynn"/>
    <x v="2"/>
    <s v="Metastorm Platform - PAL Application Support"/>
    <m/>
    <m/>
    <s v="IT-FBT0262-OG-US-00"/>
    <m/>
    <m/>
    <m/>
    <s v="Metastorm"/>
    <m/>
    <m/>
    <n v="35000"/>
    <n v="35000"/>
    <n v="35000"/>
    <n v="0"/>
    <m/>
    <m/>
    <m/>
    <m/>
    <m/>
    <m/>
    <m/>
    <m/>
    <m/>
    <m/>
    <m/>
    <m/>
    <n v="0"/>
    <n v="-35000"/>
    <m/>
    <m/>
    <n v="0"/>
    <m/>
    <n v="-35000"/>
    <s v="Moved to Managed Services"/>
    <m/>
    <m/>
    <m/>
    <m/>
    <m/>
    <m/>
    <m/>
    <m/>
    <m/>
    <m/>
    <m/>
    <m/>
    <n v="0"/>
    <m/>
    <m/>
    <m/>
    <n v="2917"/>
    <n v="2917"/>
    <n v="2917"/>
    <n v="2917"/>
    <n v="2917"/>
    <n v="2916"/>
    <n v="2916"/>
    <n v="2916"/>
    <n v="2916"/>
    <n v="26249"/>
  </r>
  <r>
    <s v="L-ERP-203"/>
    <s v="Herman, Shaun_MANAGED SERVICES_IT-FBT0262-OG-US-00"/>
    <s v="ERP"/>
    <x v="1"/>
    <s v="Herman, Shaun"/>
    <s v="DeHart, Lynn"/>
    <x v="1"/>
    <s v="Metastorm Platform - PAL Application Support"/>
    <m/>
    <m/>
    <s v="IT-FBT0262-OG-US-00"/>
    <m/>
    <m/>
    <m/>
    <s v="Metastorm"/>
    <m/>
    <m/>
    <n v="0"/>
    <n v="0"/>
    <n v="0"/>
    <n v="0"/>
    <m/>
    <m/>
    <n v="8751"/>
    <n v="2917"/>
    <n v="2917"/>
    <n v="2917"/>
    <n v="2917"/>
    <n v="2917"/>
    <n v="2916"/>
    <n v="2916"/>
    <n v="2916"/>
    <n v="2916"/>
    <n v="35000"/>
    <n v="35000"/>
    <m/>
    <m/>
    <n v="0"/>
    <m/>
    <n v="35000"/>
    <s v="Moved from Contractors"/>
    <m/>
    <m/>
    <n v="8751"/>
    <n v="2917"/>
    <n v="2917"/>
    <n v="2917"/>
    <n v="2917"/>
    <n v="2917"/>
    <n v="2916"/>
    <n v="2916"/>
    <n v="2916"/>
    <n v="2916"/>
    <n v="35000"/>
    <m/>
    <m/>
    <n v="8751"/>
    <n v="0"/>
    <n v="0"/>
    <n v="0"/>
    <n v="0"/>
    <n v="0"/>
    <n v="0"/>
    <n v="0"/>
    <n v="0"/>
    <n v="0"/>
    <n v="8751"/>
  </r>
  <r>
    <s v="L-ERP-512"/>
    <s v="Tamavada, Ram_MANAGED SERVICES_IT-FBT0281-OG-US-00"/>
    <s v="ERP"/>
    <x v="0"/>
    <s v="Tamavada, Ram"/>
    <s v="Maguire, Karla"/>
    <x v="1"/>
    <s v="IBM: SAP AMS (CORE) &amp; PCR 01(Collaboration360 Support)"/>
    <m/>
    <m/>
    <s v="IT-FBT0281-OG-US-00"/>
    <m/>
    <m/>
    <m/>
    <s v="BTAMS"/>
    <s v="As per Leslie's chat, for $245K - $200k is under 1009/46 &amp; 45k is under 'IT-FBT0281-OG-US-00&quot; IBM AMS support agreement "/>
    <m/>
    <n v="4651599.96"/>
    <n v="4651599.96"/>
    <n v="4651599.96"/>
    <n v="0"/>
    <n v="387633.4"/>
    <n v="404902.73"/>
    <n v="356492.04"/>
    <n v="422337"/>
    <n v="391800"/>
    <n v="391800"/>
    <n v="391800"/>
    <n v="391800"/>
    <n v="391800"/>
    <n v="391800"/>
    <n v="391800"/>
    <n v="387633"/>
    <n v="4701598.17"/>
    <n v="49998.209999999963"/>
    <m/>
    <m/>
    <n v="0"/>
    <m/>
    <n v="49998.209999999963"/>
    <m/>
    <n v="387633.4"/>
    <n v="404902.73"/>
    <n v="356492.04"/>
    <n v="422337"/>
    <n v="391800"/>
    <n v="391800"/>
    <n v="391800"/>
    <n v="391800"/>
    <n v="391800"/>
    <n v="391800"/>
    <n v="391800"/>
    <n v="387633"/>
    <n v="4701598.17"/>
    <n v="387633.4"/>
    <n v="404902.73"/>
    <n v="356492.04"/>
    <n v="387633.33"/>
    <n v="387633.33"/>
    <n v="387633.33"/>
    <n v="387633.33"/>
    <n v="387633.33"/>
    <n v="387633.33"/>
    <n v="387633.33"/>
    <n v="387633.33"/>
    <n v="387633.33"/>
    <n v="4637728.1400000006"/>
  </r>
  <r>
    <s v="L-ERP-513"/>
    <s v="Tamavada, Ram_MANAGED SERVICES_IT-FBT0282-OG-US-00"/>
    <s v="ERP"/>
    <x v="0"/>
    <s v="Tamavada, Ram"/>
    <s v="Maguire, Karla"/>
    <x v="1"/>
    <s v="IBM - SAP Ariba BOD; On Prem; Concur (T&amp;E); FBO Apps (GBS BTAMS Debit)"/>
    <m/>
    <m/>
    <s v="IT-FBT0282-OG-US-00"/>
    <m/>
    <m/>
    <m/>
    <s v="BTAMS"/>
    <m/>
    <m/>
    <n v="1832799.9600000002"/>
    <n v="1832799.9600000002"/>
    <n v="1832799.9600000002"/>
    <n v="0"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  <n v="-1.5400000000372529"/>
    <m/>
    <m/>
    <n v="0"/>
    <m/>
    <n v="-1.5400000000372529"/>
    <m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</r>
  <r>
    <s v="N-ERP-502"/>
    <s v="DeHart, Lynn_MANAGED SERVICES_IT-FBT0285-OG-ES-00"/>
    <s v="ERP-N"/>
    <x v="1"/>
    <s v="DeHart, Lynn"/>
    <s v="DeHart, Lynn"/>
    <x v="1"/>
    <s v="Company Car - Spain - Agusti Miralves"/>
    <m/>
    <m/>
    <s v="IT-FBT0285-OG-ES-00"/>
    <m/>
    <m/>
    <s v="Investigate LE2"/>
    <s v="Car"/>
    <s v="4/28/26 CHW New add to tie-out 0223 to 0317 Planful Extracts Agusti on a wave and leaves Pfizer Feb 28"/>
    <m/>
    <n v="1236"/>
    <n v="1236"/>
    <n v="1236"/>
    <n v="0"/>
    <m/>
    <m/>
    <m/>
    <n v="0"/>
    <n v="0"/>
    <n v="0"/>
    <n v="0"/>
    <n v="0"/>
    <n v="0"/>
    <n v="0"/>
    <n v="0"/>
    <n v="0"/>
    <n v="0"/>
    <n v="-1236"/>
    <m/>
    <m/>
    <n v="0"/>
    <m/>
    <n v="-1236"/>
    <m/>
    <m/>
    <m/>
    <m/>
    <n v="0"/>
    <n v="0"/>
    <n v="0"/>
    <n v="0"/>
    <n v="0"/>
    <n v="0"/>
    <n v="0"/>
    <n v="0"/>
    <n v="0"/>
    <n v="0"/>
    <n v="412"/>
    <n v="412"/>
    <n v="412"/>
    <n v="0"/>
    <n v="0"/>
    <n v="0"/>
    <n v="0"/>
    <n v="0"/>
    <n v="0"/>
    <n v="0"/>
    <n v="0"/>
    <n v="0"/>
    <n v="1236"/>
  </r>
  <r>
    <s v="L-ERP-001"/>
    <s v="DeHart, Lynn_MANAGED SERVICES_IT-FBT0286-OG-BE-00"/>
    <s v="ERP"/>
    <x v="1"/>
    <s v="DeHart, Lynn"/>
    <s v="DeHart, Lynn"/>
    <x v="1"/>
    <s v="Company Car -Belgium - Fabrice Mathy, Thierry Briglia and Rik Vermeir"/>
    <m/>
    <m/>
    <s v="IT-FBT0286-OG-BE-00"/>
    <m/>
    <m/>
    <m/>
    <s v="Car"/>
    <m/>
    <m/>
    <n v="42000"/>
    <n v="42000"/>
    <n v="42000"/>
    <n v="0"/>
    <n v="1370.43"/>
    <n v="3605.56"/>
    <n v="1395.97"/>
    <n v="3500"/>
    <n v="3500"/>
    <n v="3500"/>
    <n v="3500"/>
    <n v="3500"/>
    <n v="3500"/>
    <n v="3500"/>
    <n v="3500"/>
    <n v="3500"/>
    <n v="37871.96"/>
    <n v="-4128.0400000000009"/>
    <m/>
    <m/>
    <n v="0"/>
    <m/>
    <n v="-4128.0400000000009"/>
    <m/>
    <n v="1370.43"/>
    <n v="3605.56"/>
    <n v="1395.97"/>
    <n v="3500"/>
    <n v="3500"/>
    <n v="3500"/>
    <n v="3500"/>
    <n v="3500"/>
    <n v="3500"/>
    <n v="3500"/>
    <n v="3500"/>
    <n v="3500"/>
    <n v="37871.96"/>
    <n v="1370.43"/>
    <n v="3605.56"/>
    <n v="1395.97"/>
    <n v="3500"/>
    <n v="3500"/>
    <n v="3500"/>
    <n v="3500"/>
    <n v="3500"/>
    <n v="3500"/>
    <n v="3500"/>
    <n v="3500"/>
    <n v="3500"/>
    <n v="37871.96"/>
  </r>
  <r>
    <s v="L-ERP-312"/>
    <s v="Maguire, Karla_MANAGED SERVICES_IT-FBT0288-OG-BE-00"/>
    <s v="ERP"/>
    <x v="0"/>
    <s v="Maguire, Karla"/>
    <s v="Maguire, Karla"/>
    <x v="1"/>
    <s v="Company car related expenses and other charges"/>
    <m/>
    <m/>
    <s v="IT-FBT0288-OG-BE-00"/>
    <m/>
    <m/>
    <m/>
    <s v="Car"/>
    <m/>
    <m/>
    <n v="18000"/>
    <n v="18000"/>
    <n v="18000"/>
    <n v="0"/>
    <n v="531.82000000000005"/>
    <n v="3988.46"/>
    <n v="1804.46"/>
    <n v="1500"/>
    <n v="1500"/>
    <n v="1500"/>
    <n v="1500"/>
    <n v="1500"/>
    <n v="1500"/>
    <n v="1500"/>
    <n v="1500"/>
    <n v="1500"/>
    <n v="19824.739999999998"/>
    <n v="1824.739999999998"/>
    <m/>
    <m/>
    <n v="0"/>
    <m/>
    <n v="1824.739999999998"/>
    <m/>
    <n v="531.82000000000005"/>
    <n v="3988.46"/>
    <n v="1804.46"/>
    <n v="1500"/>
    <n v="1500"/>
    <n v="1500"/>
    <n v="1500"/>
    <n v="1500"/>
    <n v="1500"/>
    <n v="1500"/>
    <n v="1500"/>
    <n v="1500"/>
    <n v="19824.739999999998"/>
    <n v="531.82000000000005"/>
    <n v="3988.46"/>
    <n v="1804.46"/>
    <n v="1500"/>
    <n v="1500"/>
    <n v="1500"/>
    <n v="1500"/>
    <n v="1500"/>
    <n v="1500"/>
    <n v="1500"/>
    <n v="1500"/>
    <n v="1500"/>
    <n v="19824.739999999998"/>
  </r>
  <r>
    <s v="L-ERP-538"/>
    <s v="Tamavada, Ram_MANAGED SERVICES_IT-FBT0393-OG-JP-00"/>
    <s v="ERP"/>
    <x v="0"/>
    <s v="Tamavada, Ram"/>
    <s v="Maguire, Karla"/>
    <x v="1"/>
    <s v="Infosys: Japan L1/L2 SAP FICO L2 Support"/>
    <m/>
    <m/>
    <s v="IT-FBT0393-OG-JP-00"/>
    <m/>
    <m/>
    <m/>
    <s v="Japan"/>
    <m/>
    <m/>
    <n v="141887.51999999996"/>
    <n v="141887.51999999996"/>
    <n v="141887.51999999996"/>
    <n v="0"/>
    <n v="11347.01"/>
    <n v="7087.77"/>
    <n v="10590.53"/>
    <n v="10590"/>
    <n v="12130"/>
    <n v="10590"/>
    <m/>
    <m/>
    <m/>
    <m/>
    <m/>
    <m/>
    <n v="62335.31"/>
    <n v="-79552.209999999963"/>
    <m/>
    <m/>
    <n v="0"/>
    <m/>
    <n v="-79552.209999999963"/>
    <m/>
    <n v="11347.01"/>
    <n v="7087.77"/>
    <n v="10590.53"/>
    <n v="10590"/>
    <n v="12130"/>
    <n v="10590"/>
    <m/>
    <m/>
    <m/>
    <m/>
    <m/>
    <m/>
    <n v="62335.31"/>
    <n v="11347.01"/>
    <n v="7087.77"/>
    <n v="10590.53"/>
    <n v="11157"/>
    <n v="11157"/>
    <n v="11157"/>
    <n v="11157"/>
    <n v="11157"/>
    <n v="11157"/>
    <n v="11157"/>
    <n v="11157"/>
    <n v="11157"/>
    <n v="129438.31"/>
  </r>
  <r>
    <s v="L-ERP-216"/>
    <s v="Hovanyetz, Mike_CONTRACTORS_IT-FBT0450-OG-US-00"/>
    <s v="ERP"/>
    <x v="1"/>
    <s v="Hovanyetz, Mike"/>
    <s v="DeHart, Lynn"/>
    <x v="2"/>
    <s v="Claim Level Detail (CLD) Retrieval Service"/>
    <m/>
    <m/>
    <s v="IT-FBT0450-OG-US-00"/>
    <m/>
    <m/>
    <m/>
    <s v="CLD"/>
    <s v="CHW 4/30 - Added AP04 actuals and AP05 reclass as PO updated to move to Raj H"/>
    <m/>
    <n v="0"/>
    <n v="0"/>
    <n v="0"/>
    <n v="0"/>
    <n v="50000"/>
    <n v="0"/>
    <n v="-50000"/>
    <n v="50000"/>
    <n v="-50000"/>
    <m/>
    <m/>
    <m/>
    <m/>
    <m/>
    <m/>
    <m/>
    <n v="0"/>
    <n v="0"/>
    <m/>
    <m/>
    <n v="0"/>
    <m/>
    <n v="0"/>
    <m/>
    <n v="50000"/>
    <n v="0"/>
    <n v="-50000"/>
    <n v="50000"/>
    <n v="-50000"/>
    <m/>
    <m/>
    <m/>
    <m/>
    <m/>
    <m/>
    <m/>
    <n v="0"/>
    <n v="50000"/>
    <n v="0"/>
    <n v="-50000"/>
    <m/>
    <m/>
    <m/>
    <m/>
    <m/>
    <m/>
    <m/>
    <m/>
    <m/>
    <n v="0"/>
  </r>
  <r>
    <s v="L-ERP-180"/>
    <s v="Hase, Raj_MANAGED SERVICES_IT-FBT0450-OG-US-00"/>
    <s v="ERP"/>
    <x v="1"/>
    <s v="Hase, Raj"/>
    <s v="DeHart, Lynn"/>
    <x v="1"/>
    <s v="Claim Level Detail (CLD) Retrieval Service"/>
    <m/>
    <m/>
    <s v="IT-FBT0450-OG-US-00"/>
    <m/>
    <m/>
    <m/>
    <s v="CLD"/>
    <s v="Forecast moved from Mike H to Raj H"/>
    <m/>
    <n v="0"/>
    <n v="0"/>
    <n v="0"/>
    <n v="0"/>
    <m/>
    <m/>
    <n v="50000"/>
    <n v="0"/>
    <n v="50000"/>
    <n v="0"/>
    <n v="0"/>
    <n v="50000"/>
    <n v="0"/>
    <n v="50000"/>
    <n v="0"/>
    <n v="0"/>
    <n v="200000"/>
    <n v="200000"/>
    <m/>
    <m/>
    <n v="0"/>
    <m/>
    <n v="200000"/>
    <m/>
    <m/>
    <m/>
    <n v="50000"/>
    <n v="0"/>
    <n v="50000"/>
    <n v="0"/>
    <n v="0"/>
    <n v="50000"/>
    <n v="0"/>
    <n v="50000"/>
    <n v="0"/>
    <n v="0"/>
    <n v="200000"/>
    <m/>
    <m/>
    <n v="50000"/>
    <n v="0"/>
    <n v="0"/>
    <n v="0"/>
    <n v="0"/>
    <n v="0"/>
    <n v="0"/>
    <n v="0"/>
    <n v="0"/>
    <n v="0"/>
    <n v="50000"/>
  </r>
  <r>
    <s v="L-ERP-217"/>
    <s v="Hovanyetz, Mike_MANAGED SERVICES_IT-FBT0450-OG-US-00"/>
    <s v="ERP"/>
    <x v="1"/>
    <s v="Hovanyetz, Mike"/>
    <s v="DeHart, Lynn"/>
    <x v="1"/>
    <s v="Claim Level Detail (CLD) Retrieval Service"/>
    <m/>
    <m/>
    <s v="IT-FBT0450-OG-US-00"/>
    <m/>
    <m/>
    <m/>
    <s v="CLD"/>
    <s v="Forecast moved from Mike H to Raj H"/>
    <m/>
    <n v="200000"/>
    <n v="200000"/>
    <n v="200000"/>
    <n v="0"/>
    <m/>
    <m/>
    <m/>
    <m/>
    <n v="0"/>
    <n v="0"/>
    <n v="0"/>
    <n v="0"/>
    <n v="0"/>
    <n v="0"/>
    <n v="0"/>
    <n v="0"/>
    <n v="0"/>
    <n v="-200000"/>
    <m/>
    <m/>
    <n v="0"/>
    <m/>
    <n v="-200000"/>
    <m/>
    <m/>
    <m/>
    <m/>
    <m/>
    <n v="0"/>
    <n v="0"/>
    <n v="0"/>
    <n v="0"/>
    <n v="0"/>
    <n v="0"/>
    <n v="0"/>
    <n v="0"/>
    <n v="0"/>
    <m/>
    <m/>
    <m/>
    <m/>
    <n v="50000"/>
    <n v="0"/>
    <n v="0"/>
    <n v="50000"/>
    <n v="0"/>
    <n v="50000"/>
    <n v="0"/>
    <n v="0"/>
    <n v="150000"/>
  </r>
  <r>
    <s v="L-ERP-355"/>
    <s v="McCormick, Pete_CONTRACTORS_IT-FBT0509-OG-US-00"/>
    <s v="ERP"/>
    <x v="0"/>
    <s v="McCormick, Pete"/>
    <s v="Maguire, Karla"/>
    <x v="2"/>
    <s v="SAP BTP Level 4 Engineer"/>
    <m/>
    <m/>
    <s v="IT-FBT0509-OG-US-00"/>
    <m/>
    <m/>
    <m/>
    <s v="BlueBoot"/>
    <m/>
    <m/>
    <n v="115200"/>
    <n v="115200"/>
    <n v="115200"/>
    <n v="0"/>
    <m/>
    <m/>
    <m/>
    <n v="0"/>
    <n v="0"/>
    <n v="12800"/>
    <n v="12800"/>
    <n v="12800"/>
    <n v="12800"/>
    <n v="12800"/>
    <n v="12800"/>
    <n v="12800"/>
    <n v="89600"/>
    <n v="-25600"/>
    <m/>
    <m/>
    <n v="0"/>
    <m/>
    <n v="-25600"/>
    <m/>
    <m/>
    <m/>
    <m/>
    <n v="0"/>
    <n v="0"/>
    <n v="12800"/>
    <n v="12800"/>
    <n v="12800"/>
    <n v="12800"/>
    <n v="12800"/>
    <n v="12800"/>
    <n v="12800"/>
    <n v="89600"/>
    <m/>
    <m/>
    <m/>
    <n v="12800"/>
    <n v="12800"/>
    <n v="12800"/>
    <n v="12800"/>
    <n v="12800"/>
    <n v="12800"/>
    <n v="12800"/>
    <n v="12800"/>
    <n v="12800"/>
    <n v="115200"/>
  </r>
  <r>
    <s v="L-ERP-437"/>
    <s v="Meadows, Leslie_MANAGED SERVICES_IT-FBT0524-OG-US-00"/>
    <s v="ERP"/>
    <x v="0"/>
    <s v="Meadows, Leslie"/>
    <s v="Maguire, Karla"/>
    <x v="1"/>
    <s v="&amp;#39;Infrastructure Charges - TRICENTIS TOSCA (ERP) - Cloud AWS &amp; Data Protection"/>
    <m/>
    <m/>
    <s v="IT-FBT0524-OG-US-00"/>
    <m/>
    <m/>
    <m/>
    <s v="EP&amp;S"/>
    <m/>
    <m/>
    <n v="4558"/>
    <n v="4558"/>
    <n v="4558"/>
    <n v="0"/>
    <m/>
    <m/>
    <m/>
    <n v="379.83"/>
    <n v="379.83"/>
    <n v="379.83"/>
    <n v="379.83"/>
    <n v="379.83"/>
    <n v="379.83"/>
    <n v="379.83"/>
    <n v="379.83"/>
    <n v="379.87"/>
    <n v="3418.5099999999998"/>
    <n v="-1139.4900000000002"/>
    <m/>
    <m/>
    <n v="0"/>
    <m/>
    <n v="-1139.4900000000002"/>
    <m/>
    <m/>
    <m/>
    <m/>
    <n v="379.83"/>
    <n v="379.83"/>
    <n v="379.83"/>
    <n v="379.83"/>
    <n v="379.83"/>
    <n v="379.83"/>
    <n v="379.83"/>
    <n v="379.83"/>
    <n v="379.87"/>
    <n v="3418.5099999999998"/>
    <m/>
    <m/>
    <m/>
    <n v="379.83"/>
    <n v="379.83"/>
    <n v="379.83"/>
    <n v="379.83"/>
    <n v="379.83"/>
    <n v="379.83"/>
    <n v="379.83"/>
    <n v="379.83"/>
    <n v="379.87"/>
    <n v="3418.5099999999998"/>
  </r>
  <r>
    <s v="L-ERP-519"/>
    <s v="Tamavada, Ram_MANAGED SERVICES_IT-FBT0524-OG-US-00"/>
    <s v="ERP"/>
    <x v="0"/>
    <s v="Tamavada, Ram"/>
    <s v="Maguire, Karla"/>
    <x v="1"/>
    <s v="&amp;#39;Infrastructure Charges - TRICENTIS TOSCA (ERP) - Cloud AWS &amp; Data Protection"/>
    <m/>
    <m/>
    <s v="IT-FBT0524-OG-US-00"/>
    <m/>
    <m/>
    <m/>
    <s v="EP&amp;S"/>
    <m/>
    <m/>
    <n v="0"/>
    <n v="0"/>
    <n v="0"/>
    <n v="0"/>
    <n v="696.35"/>
    <n v="599.02"/>
    <n v="55.78"/>
    <n v="0"/>
    <n v="0"/>
    <n v="0"/>
    <n v="0"/>
    <n v="0"/>
    <n v="0"/>
    <n v="0"/>
    <n v="0"/>
    <n v="0"/>
    <n v="1351.1499999999999"/>
    <n v="1351.1499999999999"/>
    <m/>
    <m/>
    <n v="-1.4210854715202004E-13"/>
    <m/>
    <n v="1351.1499999999999"/>
    <m/>
    <n v="696.35"/>
    <n v="599.02"/>
    <n v="55.78"/>
    <n v="0"/>
    <n v="0"/>
    <n v="0"/>
    <n v="0"/>
    <n v="0"/>
    <n v="0"/>
    <n v="0"/>
    <n v="0"/>
    <n v="0"/>
    <n v="1351.1499999999999"/>
    <n v="696.35"/>
    <n v="599.02"/>
    <n v="55.78"/>
    <n v="600"/>
    <n v="600"/>
    <n v="600"/>
    <n v="600"/>
    <n v="600"/>
    <n v="600"/>
    <n v="600"/>
    <n v="600"/>
    <n v="600"/>
    <n v="6751.15"/>
  </r>
  <r>
    <s v="L-ERP-511"/>
    <s v="Tamavada, Ram_MANAGED SERVICES_IT-FBT0528-OG-US-00"/>
    <s v="ERP"/>
    <x v="0"/>
    <s v="Tamavada, Ram"/>
    <s v="Maguire, Karla"/>
    <x v="1"/>
    <s v="SAP: Ariba Offshore Technical Consultant (Ariba/SAP Product Vendor)"/>
    <m/>
    <m/>
    <s v="IT-FBT0528-OG-US-00"/>
    <m/>
    <m/>
    <m/>
    <s v="Ariba"/>
    <m/>
    <m/>
    <n v="60000"/>
    <n v="60000"/>
    <n v="60000"/>
    <n v="0"/>
    <m/>
    <m/>
    <n v="7840"/>
    <n v="11747"/>
    <n v="5000"/>
    <n v="5000"/>
    <n v="5000"/>
    <n v="5000"/>
    <n v="5000"/>
    <n v="5000"/>
    <n v="5000"/>
    <n v="5000"/>
    <n v="59587"/>
    <n v="-413"/>
    <m/>
    <m/>
    <n v="0"/>
    <m/>
    <n v="-413"/>
    <m/>
    <m/>
    <m/>
    <n v="7840"/>
    <n v="11747"/>
    <n v="5000"/>
    <n v="5000"/>
    <n v="5000"/>
    <n v="5000"/>
    <n v="5000"/>
    <n v="5000"/>
    <n v="5000"/>
    <n v="5000"/>
    <n v="59587"/>
    <m/>
    <m/>
    <n v="7840"/>
    <n v="5000"/>
    <n v="5000"/>
    <n v="5000"/>
    <n v="5000"/>
    <n v="5000"/>
    <n v="5000"/>
    <n v="5000"/>
    <n v="5000"/>
    <n v="5000"/>
    <n v="52840"/>
  </r>
  <r>
    <s v="L-ERP-194"/>
    <s v="Herman, Shaun_CONTRACTORS_IT-FBT0541-OG-US-00"/>
    <s v="ERP"/>
    <x v="1"/>
    <s v="Herman, Shaun"/>
    <s v="DeHart, Lynn"/>
    <x v="2"/>
    <s v="Infrastructure Charges - Ariba Server Superclusters Support"/>
    <m/>
    <m/>
    <s v="IT-FBT0541-OG-US-00"/>
    <m/>
    <m/>
    <m/>
    <s v="Ariba / EP&amp;S"/>
    <m/>
    <m/>
    <n v="6000"/>
    <n v="6000"/>
    <n v="6000"/>
    <n v="0"/>
    <m/>
    <m/>
    <m/>
    <m/>
    <m/>
    <m/>
    <m/>
    <m/>
    <m/>
    <m/>
    <m/>
    <m/>
    <n v="0"/>
    <n v="-6000"/>
    <m/>
    <m/>
    <n v="0"/>
    <m/>
    <n v="-6000"/>
    <s v="Moved to Managed Services"/>
    <m/>
    <m/>
    <m/>
    <m/>
    <m/>
    <m/>
    <m/>
    <m/>
    <m/>
    <m/>
    <m/>
    <m/>
    <n v="0"/>
    <m/>
    <m/>
    <m/>
    <n v="500"/>
    <n v="500"/>
    <n v="500"/>
    <n v="500"/>
    <n v="500"/>
    <n v="500"/>
    <n v="500"/>
    <n v="500"/>
    <n v="500"/>
    <n v="4500"/>
  </r>
  <r>
    <s v="L-ERP-195"/>
    <s v="Herman, Shaun_MANAGED SERVICES_IT-FBT0541-OG-US-00"/>
    <s v="ERP"/>
    <x v="1"/>
    <s v="Herman, Shaun"/>
    <s v="DeHart, Lynn"/>
    <x v="1"/>
    <s v="Infrastructure Charges - Ariba Server Superclusters Support"/>
    <m/>
    <m/>
    <s v="IT-FBT0541-OG-US-00"/>
    <m/>
    <m/>
    <m/>
    <s v="Ariba / EP&amp;S"/>
    <m/>
    <m/>
    <n v="0"/>
    <n v="0"/>
    <n v="0"/>
    <n v="0"/>
    <n v="988.33"/>
    <n v="988.33"/>
    <n v="988.33"/>
    <n v="988.33"/>
    <n v="988.33"/>
    <n v="988.33"/>
    <n v="988.33"/>
    <n v="988.33"/>
    <n v="0"/>
    <n v="0"/>
    <n v="0"/>
    <n v="0"/>
    <n v="7906.64"/>
    <n v="7906.64"/>
    <m/>
    <m/>
    <n v="0"/>
    <m/>
    <n v="7906.64"/>
    <s v="Moved from Contractors"/>
    <n v="988.33"/>
    <n v="988.33"/>
    <n v="988.33"/>
    <n v="988.33"/>
    <n v="988.33"/>
    <n v="988.33"/>
    <n v="988.33"/>
    <n v="988.33"/>
    <n v="0"/>
    <n v="0"/>
    <n v="0"/>
    <n v="0"/>
    <n v="7906.64"/>
    <n v="988.33"/>
    <n v="988.33"/>
    <n v="988.33"/>
    <n v="0"/>
    <n v="0"/>
    <n v="0"/>
    <n v="0"/>
    <n v="0"/>
    <n v="0"/>
    <n v="0"/>
    <n v="0"/>
    <n v="0"/>
    <n v="2964.9900000000002"/>
  </r>
  <r>
    <s v="L-ERP-148"/>
    <s v="Ganesan, Srinivasan_CONTRACTORS_IT-FBT0544-OG-US-00"/>
    <s v="ERP"/>
    <x v="1"/>
    <s v="Ganesan, Srinivasan"/>
    <s v="DeHart, Lynn"/>
    <x v="2"/>
    <s v="Market Logistics Functional Support"/>
    <m/>
    <m/>
    <s v="IT-FBT0544-OG-US-00"/>
    <m/>
    <m/>
    <m/>
    <s v="None"/>
    <m/>
    <m/>
    <n v="1452300"/>
    <n v="1452300"/>
    <n v="1452300"/>
    <n v="0"/>
    <n v="48462.57"/>
    <n v="207334.66"/>
    <n v="98620.56"/>
    <n v="132050"/>
    <n v="132050"/>
    <n v="132050"/>
    <n v="68000"/>
    <n v="29000"/>
    <n v="29000"/>
    <n v="29000"/>
    <n v="29000"/>
    <n v="29000"/>
    <n v="963567.79"/>
    <n v="-488732.20999999996"/>
    <m/>
    <m/>
    <n v="0"/>
    <n v="488000"/>
    <n v="-976732.21"/>
    <s v="Reduce BAU contractors, Move contractors to offshore.Move contractors to Project funding."/>
    <n v="48462.57"/>
    <n v="207334.66"/>
    <n v="98620.56"/>
    <n v="132050"/>
    <n v="132050"/>
    <n v="132050"/>
    <n v="68000"/>
    <n v="29000"/>
    <n v="29000"/>
    <n v="29000"/>
    <n v="29000"/>
    <n v="29000"/>
    <n v="963567.79"/>
    <n v="48462.57"/>
    <n v="207334.66"/>
    <n v="98620.56"/>
    <n v="132050"/>
    <n v="132050"/>
    <n v="132050"/>
    <n v="108302.77"/>
    <n v="100000"/>
    <n v="100000"/>
    <n v="100000"/>
    <n v="100000"/>
    <n v="100000"/>
    <n v="1358870.56"/>
  </r>
  <r>
    <s v="L-ERP-149"/>
    <s v="Ganesan, Srinivasan_CONTRACTORS_IT-FBT0545-OG-US-00"/>
    <s v="ERP"/>
    <x v="1"/>
    <s v="Ganesan, Srinivasan"/>
    <s v="DeHart, Lynn"/>
    <x v="2"/>
    <s v="GLNS Functional Support"/>
    <m/>
    <m/>
    <s v="IT-FBT0545-OG-US-00"/>
    <m/>
    <m/>
    <m/>
    <s v="None"/>
    <m/>
    <m/>
    <n v="486372.24000000005"/>
    <n v="486372.24000000005"/>
    <n v="486372.24000000005"/>
    <n v="0"/>
    <n v="58570.53"/>
    <n v="65599.81"/>
    <n v="81999.28"/>
    <n v="70019"/>
    <n v="70019"/>
    <n v="70019"/>
    <n v="10150"/>
    <n v="0"/>
    <n v="0"/>
    <n v="0"/>
    <n v="0"/>
    <n v="0"/>
    <n v="426376.62"/>
    <n v="-59995.620000000054"/>
    <m/>
    <m/>
    <n v="0"/>
    <n v="60000"/>
    <n v="-119995.62000000005"/>
    <s v="Leverage existing contractors."/>
    <n v="58570.53"/>
    <n v="65599.81"/>
    <n v="81999.28"/>
    <n v="70019"/>
    <n v="70019"/>
    <n v="70019"/>
    <n v="10150"/>
    <n v="0"/>
    <n v="0"/>
    <n v="0"/>
    <n v="0"/>
    <n v="0"/>
    <n v="426376.62"/>
    <n v="58570.53"/>
    <n v="65599.81"/>
    <n v="81999.28"/>
    <n v="69224"/>
    <n v="69224"/>
    <n v="69224"/>
    <n v="71025"/>
    <n v="15160"/>
    <n v="0"/>
    <n v="0"/>
    <n v="0"/>
    <n v="0"/>
    <n v="500026.62"/>
  </r>
  <r>
    <s v="L-ERP-138"/>
    <s v="Ganesan, Srinivasan_CONTRACTORS_IT-FBT0546-OG-US-00"/>
    <s v="ERP"/>
    <x v="1"/>
    <s v="Ganesan, Srinivasan"/>
    <s v="DeHart, Lynn"/>
    <x v="2"/>
    <s v="MuleSoft - GLNS (Contractors)_XFR0786"/>
    <m/>
    <m/>
    <s v="IT-FBT0546-OG-US-00"/>
    <m/>
    <m/>
    <m/>
    <s v="MuleSoft"/>
    <m/>
    <m/>
    <n v="50000"/>
    <n v="50000"/>
    <n v="50000"/>
    <n v="0"/>
    <m/>
    <m/>
    <m/>
    <m/>
    <m/>
    <m/>
    <m/>
    <n v="50000"/>
    <n v="0"/>
    <n v="0"/>
    <n v="0"/>
    <n v="0"/>
    <n v="50000"/>
    <n v="0"/>
    <m/>
    <m/>
    <n v="0"/>
    <m/>
    <n v="0"/>
    <m/>
    <m/>
    <m/>
    <m/>
    <m/>
    <m/>
    <m/>
    <m/>
    <n v="50000"/>
    <n v="0"/>
    <n v="0"/>
    <n v="0"/>
    <n v="0"/>
    <n v="50000"/>
    <m/>
    <m/>
    <m/>
    <m/>
    <m/>
    <m/>
    <m/>
    <n v="50000"/>
    <n v="0"/>
    <n v="0"/>
    <n v="0"/>
    <n v="0"/>
    <n v="50000"/>
  </r>
  <r>
    <s v="L-ERP-478"/>
    <s v="Robertson, Jerome_CONTRACTORS_IT-FBT0572-OG-US-00"/>
    <s v="ERP"/>
    <x v="3"/>
    <s v="Robertson, Jerome"/>
    <s v="Robertson, Jerome"/>
    <x v="2"/>
    <s v="SAP BI (ERP BI Development Factory) (IBM)"/>
    <m/>
    <m/>
    <s v="IT-FBT0572-OG-US-00"/>
    <m/>
    <m/>
    <m/>
    <s v="Dev Factory"/>
    <s v="4/28 - (JAR) Reduced to $0 from 4/1 as we have terminated the contract for the factory model team with IBM. "/>
    <m/>
    <n v="224004"/>
    <n v="224004"/>
    <n v="224004"/>
    <n v="0"/>
    <n v="15089.11"/>
    <n v="16899.45"/>
    <n v="21308.880000000001"/>
    <n v="0"/>
    <n v="0"/>
    <n v="0"/>
    <n v="0"/>
    <n v="0"/>
    <n v="0"/>
    <n v="0"/>
    <n v="0"/>
    <n v="0"/>
    <n v="53297.440000000002"/>
    <n v="-170706.56"/>
    <m/>
    <m/>
    <n v="0"/>
    <m/>
    <n v="-170706.56"/>
    <m/>
    <n v="15089.11"/>
    <n v="16899.45"/>
    <n v="21308.880000000001"/>
    <n v="0"/>
    <n v="0"/>
    <n v="0"/>
    <n v="0"/>
    <n v="0"/>
    <n v="0"/>
    <n v="0"/>
    <n v="0"/>
    <n v="0"/>
    <n v="53297.440000000002"/>
    <n v="15089.11"/>
    <n v="16899.45"/>
    <n v="21308.880000000001"/>
    <n v="18667"/>
    <n v="18667"/>
    <n v="18667"/>
    <n v="18667"/>
    <n v="18667"/>
    <n v="18667"/>
    <n v="18667"/>
    <n v="18667"/>
    <n v="18667"/>
    <n v="221300.44"/>
  </r>
  <r>
    <s v="L-ERP-498"/>
    <s v="Robertson, Jerome_CONTRACTORS_IT-FBT0573-OG-US-00"/>
    <s v="ERP"/>
    <x v="3"/>
    <s v="Robertson, Jerome"/>
    <s v="Robertson, Jerome"/>
    <x v="2"/>
    <s v="SAP BI Support"/>
    <m/>
    <m/>
    <s v="IT-FBT0573-OG-US-00"/>
    <m/>
    <m/>
    <m/>
    <s v="SAP"/>
    <m/>
    <m/>
    <n v="0"/>
    <n v="0"/>
    <n v="0"/>
    <n v="0"/>
    <n v="94047.88"/>
    <n v="124852.13"/>
    <n v="-106182.8"/>
    <n v="0"/>
    <n v="0"/>
    <n v="0"/>
    <n v="0"/>
    <n v="0"/>
    <n v="0"/>
    <n v="0"/>
    <n v="0"/>
    <n v="0"/>
    <n v="112717.21"/>
    <n v="112717.21"/>
    <m/>
    <m/>
    <n v="0"/>
    <m/>
    <n v="112717.21"/>
    <m/>
    <n v="94047.88"/>
    <n v="124852.13"/>
    <n v="-106182.8"/>
    <n v="0"/>
    <n v="0"/>
    <n v="0"/>
    <n v="0"/>
    <n v="0"/>
    <n v="0"/>
    <n v="0"/>
    <n v="0"/>
    <n v="0"/>
    <n v="112717.21"/>
    <n v="94047.88"/>
    <n v="124852.13"/>
    <n v="-106182.8"/>
    <n v="0"/>
    <n v="0"/>
    <n v="0"/>
    <n v="0"/>
    <n v="0"/>
    <n v="0"/>
    <n v="0"/>
    <n v="0"/>
    <n v="0"/>
    <n v="112717.21"/>
  </r>
  <r>
    <s v="L-ERP-499"/>
    <s v="Robertson, Jerome_MANAGED SERVICES_IT-FBT0573-OG-US-00"/>
    <s v="ERP"/>
    <x v="3"/>
    <s v="Robertson, Jerome"/>
    <s v="Robertson, Jerome"/>
    <x v="1"/>
    <s v="SAP BI Support"/>
    <m/>
    <m/>
    <s v="IT-FBT0573-OG-US-00"/>
    <m/>
    <m/>
    <m/>
    <s v="SAP"/>
    <m/>
    <m/>
    <n v="1274196"/>
    <n v="1274196"/>
    <n v="1274196"/>
    <n v="0"/>
    <m/>
    <m/>
    <n v="201865.03"/>
    <n v="106183"/>
    <n v="106183"/>
    <n v="106183"/>
    <n v="106183"/>
    <n v="106183"/>
    <n v="106183"/>
    <n v="106183"/>
    <n v="106183"/>
    <n v="106183"/>
    <n v="1157512.03"/>
    <n v="-116683.96999999997"/>
    <m/>
    <m/>
    <n v="0"/>
    <m/>
    <n v="-116683.96999999997"/>
    <m/>
    <m/>
    <m/>
    <n v="201865.03"/>
    <n v="106183"/>
    <n v="106183"/>
    <n v="106183"/>
    <n v="106183"/>
    <n v="106183"/>
    <n v="106183"/>
    <n v="106183"/>
    <n v="106183"/>
    <n v="106183"/>
    <n v="1157512.03"/>
    <m/>
    <m/>
    <n v="201865.03"/>
    <n v="106183"/>
    <n v="106183"/>
    <n v="106183"/>
    <n v="106183"/>
    <n v="106183"/>
    <n v="106183"/>
    <n v="106183"/>
    <n v="106183"/>
    <n v="106183"/>
    <n v="1157512.03"/>
  </r>
  <r>
    <s v="L-ERP-500"/>
    <s v="Robertson, Jerome_MANAGED SERVICES_IT-FBT0573-OG-US-00-CB"/>
    <s v="ERP"/>
    <x v="3"/>
    <s v="Robertson, Jerome"/>
    <s v="Robertson, Jerome"/>
    <x v="1"/>
    <s v="SAP BI Support"/>
    <m/>
    <m/>
    <s v="IT-FBT0573-OG-US-00-CB"/>
    <m/>
    <m/>
    <m/>
    <s v="SAP"/>
    <s v="4/28 - (JAR) updated to $0 since factory contract has been terminated no scheduled chargebacks are expected. "/>
    <m/>
    <n v="-12000"/>
    <n v="-12000"/>
    <n v="-12000"/>
    <n v="0"/>
    <m/>
    <m/>
    <m/>
    <m/>
    <m/>
    <n v="0"/>
    <n v="0"/>
    <n v="0"/>
    <n v="0"/>
    <n v="0"/>
    <n v="0"/>
    <n v="0"/>
    <n v="0"/>
    <n v="12000"/>
    <m/>
    <m/>
    <n v="0"/>
    <m/>
    <n v="12000"/>
    <m/>
    <m/>
    <m/>
    <m/>
    <m/>
    <m/>
    <n v="0"/>
    <n v="0"/>
    <n v="0"/>
    <n v="0"/>
    <n v="0"/>
    <n v="0"/>
    <n v="0"/>
    <n v="0"/>
    <m/>
    <m/>
    <m/>
    <m/>
    <m/>
    <n v="-3000"/>
    <n v="0"/>
    <n v="0"/>
    <n v="-3000"/>
    <n v="0"/>
    <n v="0"/>
    <n v="-3000"/>
    <n v="-9000"/>
  </r>
  <r>
    <s v="L-ERP-071"/>
    <s v="Dougherty, Chris_MANAGED SERVICES_IT-FBT0587-OG-US-00"/>
    <s v="ERP"/>
    <x v="0"/>
    <s v="Dougherty, Chris"/>
    <s v="Maguire, Karla"/>
    <x v="1"/>
    <s v="Infrastructure Charges - Oracle EPM Cloud FastConnect MPLS circuit"/>
    <m/>
    <m/>
    <s v="IT-FBT0587-OG-US-00"/>
    <m/>
    <m/>
    <m/>
    <s v="EP&amp;S"/>
    <m/>
    <m/>
    <n v="0"/>
    <n v="0"/>
    <n v="0"/>
    <n v="0"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10582.559999999998"/>
    <m/>
    <m/>
    <n v="0"/>
    <m/>
    <n v="10582.559999999998"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881.88"/>
    <n v="881.88"/>
    <n v="881.88"/>
    <n v="0"/>
    <n v="0"/>
    <n v="0"/>
    <n v="0"/>
    <n v="0"/>
    <n v="0"/>
    <n v="0"/>
    <n v="0"/>
    <n v="0"/>
    <n v="2645.64"/>
  </r>
  <r>
    <s v="L-ERP-520"/>
    <s v="Tamavada, Ram_MANAGED SERVICES_IT-FBT0587-OG-US-00"/>
    <s v="ERP"/>
    <x v="0"/>
    <s v="Tamavada, Ram"/>
    <s v="Maguire, Karla"/>
    <x v="1"/>
    <s v="Infrastructure Charges - Oracle EPM Cloud FastConnect MPLS circuit"/>
    <m/>
    <m/>
    <s v="IT-FBT0587-OG-US-00"/>
    <m/>
    <m/>
    <m/>
    <s v="EP&amp;S"/>
    <m/>
    <m/>
    <n v="10599.999996000004"/>
    <n v="10599.999996000004"/>
    <n v="10599.999996000004"/>
    <n v="0"/>
    <m/>
    <m/>
    <m/>
    <n v="0"/>
    <n v="0"/>
    <n v="0"/>
    <n v="0"/>
    <n v="0"/>
    <n v="0"/>
    <n v="0"/>
    <n v="0"/>
    <n v="0"/>
    <n v="0"/>
    <n v="-10599.999996000004"/>
    <m/>
    <m/>
    <n v="0"/>
    <n v="-10600"/>
    <n v="3.9999958971748129E-6"/>
    <m/>
    <m/>
    <m/>
    <m/>
    <n v="0"/>
    <n v="0"/>
    <n v="0"/>
    <n v="0"/>
    <n v="0"/>
    <n v="0"/>
    <n v="0"/>
    <n v="0"/>
    <n v="0"/>
    <n v="0"/>
    <m/>
    <m/>
    <m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7949.9999970000026"/>
  </r>
  <r>
    <s v="L-ERP-521"/>
    <s v="Tamavada, Ram_MANAGED SERVICES_IT-FBT0588-OG-US-00"/>
    <s v="ERP"/>
    <x v="0"/>
    <s v="Tamavada, Ram"/>
    <s v="Maguire, Karla"/>
    <x v="1"/>
    <s v="Infrastructure Charges - SAP AG iVPN site-to-site"/>
    <m/>
    <m/>
    <s v="IT-FBT0588-OG-US-00"/>
    <m/>
    <m/>
    <m/>
    <s v="EP&amp;S"/>
    <m/>
    <m/>
    <n v="10599.999996000004"/>
    <n v="10599.999996000004"/>
    <n v="10599.999996000004"/>
    <n v="0"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  <n v="-4.3599990000002435"/>
    <m/>
    <m/>
    <n v="0"/>
    <m/>
    <n v="-4.3599990000002435"/>
    <m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</r>
  <r>
    <s v="L-ERP-536"/>
    <s v="Tamavada, Ram_CONTRACTORS_IT-FBT0636-OG-IN-00"/>
    <s v="ERP"/>
    <x v="0"/>
    <s v="Tamavada, Ram"/>
    <s v="Maguire, Karla"/>
    <x v="2"/>
    <s v="India SAP Helpdesk Support / Team Computers L1/L1.5"/>
    <m/>
    <m/>
    <s v="IT-FBT0636-OG-IN-00"/>
    <m/>
    <m/>
    <m/>
    <s v="India"/>
    <m/>
    <m/>
    <n v="73711"/>
    <n v="73711"/>
    <n v="73711"/>
    <n v="0"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  <n v="-3519.0199999999895"/>
    <m/>
    <m/>
    <n v="0"/>
    <m/>
    <n v="-3519.0199999999895"/>
    <m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</r>
  <r>
    <s v="L-ERP-537"/>
    <s v="Tamavada, Ram_CONTRACTORS_IT-FBT0637-OG-IN-00"/>
    <s v="ERP"/>
    <x v="0"/>
    <s v="Tamavada, Ram"/>
    <s v="Maguire, Karla"/>
    <x v="2"/>
    <s v="India Prime Solution Maintenance"/>
    <m/>
    <m/>
    <s v="IT-FBT0637-OG-IN-00"/>
    <m/>
    <m/>
    <m/>
    <s v="India"/>
    <m/>
    <m/>
    <n v="9592.0000000000018"/>
    <n v="9592.0000000000018"/>
    <n v="9592.0000000000018"/>
    <n v="0"/>
    <n v="844.81"/>
    <n v="677.12"/>
    <n v="754.94"/>
    <n v="799.33"/>
    <n v="799.33"/>
    <n v="799.33"/>
    <n v="799.33"/>
    <n v="799.33"/>
    <n v="799.33"/>
    <n v="799.33"/>
    <n v="799.33"/>
    <n v="799.37"/>
    <n v="9470.880000000001"/>
    <n v="-121.1200000000008"/>
    <m/>
    <m/>
    <n v="0"/>
    <m/>
    <n v="-121.1200000000008"/>
    <m/>
    <n v="844.81"/>
    <n v="677.12"/>
    <n v="754.94"/>
    <n v="799.33"/>
    <n v="799.33"/>
    <n v="799.33"/>
    <n v="799.33"/>
    <n v="799.33"/>
    <n v="799.33"/>
    <n v="799.33"/>
    <n v="799.33"/>
    <n v="799.37"/>
    <n v="9470.880000000001"/>
    <n v="844.81"/>
    <n v="677.12"/>
    <n v="754.94"/>
    <n v="799.33"/>
    <n v="799.33"/>
    <n v="799.33"/>
    <n v="799.33"/>
    <n v="799.33"/>
    <n v="799.33"/>
    <n v="799.33"/>
    <n v="799.33"/>
    <n v="799.37"/>
    <n v="9470.880000000001"/>
  </r>
  <r>
    <s v="L-ERP-539"/>
    <s v="Tamavada, Ram_MANAGED SERVICES_IT-FBT0638-OG-JP-00"/>
    <s v="ERP"/>
    <x v="0"/>
    <s v="Tamavada, Ram"/>
    <s v="Maguire, Karla"/>
    <x v="1"/>
    <s v="Japan SAP BI &amp; SD Support"/>
    <m/>
    <m/>
    <s v="IT-FBT0638-OG-JP-00"/>
    <m/>
    <m/>
    <m/>
    <s v="Japan"/>
    <m/>
    <m/>
    <n v="132431.04000000001"/>
    <n v="132431.04000000001"/>
    <n v="132431.04000000001"/>
    <n v="0"/>
    <n v="10548.89"/>
    <n v="8790.74"/>
    <n v="9845.6299999999992"/>
    <n v="12296"/>
    <n v="10296"/>
    <n v="10296"/>
    <n v="10296"/>
    <n v="10296"/>
    <n v="10296"/>
    <n v="10296"/>
    <n v="10296"/>
    <n v="10296"/>
    <n v="123849.26"/>
    <n v="-8581.7800000000134"/>
    <m/>
    <m/>
    <n v="0"/>
    <m/>
    <n v="-8581.7800000000134"/>
    <m/>
    <n v="10548.89"/>
    <n v="8790.74"/>
    <n v="9845.6299999999992"/>
    <n v="12296"/>
    <n v="10296"/>
    <n v="10296"/>
    <n v="10296"/>
    <n v="10296"/>
    <n v="10296"/>
    <n v="10296"/>
    <n v="10296"/>
    <n v="10296"/>
    <n v="123849.26"/>
    <n v="10548.89"/>
    <n v="8790.74"/>
    <n v="9845.6299999999992"/>
    <n v="11035.92"/>
    <n v="11035.92"/>
    <n v="11035.92"/>
    <n v="11035.92"/>
    <n v="11035.92"/>
    <n v="11035.92"/>
    <n v="11035.92"/>
    <n v="11035.92"/>
    <n v="11035.92"/>
    <n v="128508.53999999998"/>
  </r>
  <r>
    <s v="N-ERP-585"/>
    <s v="Maguire, Karla_MANAGED SERVICES_IT-FBT0651-OG-US-00"/>
    <s v="ERP-N"/>
    <x v="0"/>
    <s v="Maguire, Karla"/>
    <s v="Maguire, Karla"/>
    <x v="1"/>
    <s v="Desktop on Demand (VDS)"/>
    <m/>
    <m/>
    <s v="IT-FBT0651-OG-US-00"/>
    <m/>
    <m/>
    <s v="Investigate LE2"/>
    <s v="EP&amp;S"/>
    <s v="4/28/26 CHW New add to tie-out 0223 to 0317 Planful Extracts"/>
    <m/>
    <n v="6000"/>
    <n v="6000"/>
    <n v="6000"/>
    <n v="0"/>
    <m/>
    <m/>
    <m/>
    <n v="500"/>
    <n v="500"/>
    <n v="500"/>
    <n v="500"/>
    <n v="500"/>
    <n v="500"/>
    <n v="500"/>
    <n v="500"/>
    <n v="500"/>
    <n v="4500"/>
    <n v="-1500"/>
    <m/>
    <m/>
    <n v="0"/>
    <m/>
    <n v="-1500"/>
    <m/>
    <m/>
    <m/>
    <m/>
    <n v="500"/>
    <n v="500"/>
    <n v="500"/>
    <n v="500"/>
    <n v="500"/>
    <n v="500"/>
    <n v="500"/>
    <n v="500"/>
    <n v="500"/>
    <n v="4500"/>
    <n v="500"/>
    <n v="500"/>
    <n v="500"/>
    <n v="500"/>
    <n v="500"/>
    <n v="500"/>
    <n v="500"/>
    <n v="500"/>
    <n v="500"/>
    <n v="500"/>
    <n v="500"/>
    <n v="500"/>
    <n v="6000"/>
  </r>
  <r>
    <s v="L-ERP-139"/>
    <s v="Ganesan, Srinivasan_CONTRACTORS_IT-FBT0657-OG-US-00"/>
    <s v="ERP"/>
    <x v="1"/>
    <s v="Ganesan, Srinivasan"/>
    <s v="DeHart, Lynn"/>
    <x v="2"/>
    <s v="Mulesoft - Logistics (Contractors)"/>
    <m/>
    <m/>
    <s v="IT-FBT0657-OG-US-00"/>
    <m/>
    <m/>
    <m/>
    <s v="MuleSoft"/>
    <m/>
    <m/>
    <n v="25000"/>
    <n v="25000"/>
    <n v="25000"/>
    <n v="0"/>
    <m/>
    <m/>
    <m/>
    <m/>
    <m/>
    <m/>
    <m/>
    <n v="25000"/>
    <n v="0"/>
    <n v="0"/>
    <n v="0"/>
    <n v="0"/>
    <n v="25000"/>
    <n v="0"/>
    <m/>
    <m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128"/>
    <s v="Ganesan, Srinivasan_MANAGED SERVICES_IT-FBT0658-OG-US-00"/>
    <s v="ERP"/>
    <x v="1"/>
    <s v="Ganesan, Srinivasan"/>
    <s v="DeHart, Lynn"/>
    <x v="1"/>
    <s v="Logistics LMS &amp; Manhattan IoD"/>
    <m/>
    <m/>
    <s v="IT-FBT0658-OG-US-00"/>
    <m/>
    <m/>
    <m/>
    <s v="EP&amp;S"/>
    <m/>
    <m/>
    <n v="8600"/>
    <n v="8600"/>
    <n v="8600"/>
    <n v="0"/>
    <n v="540.58000000000004"/>
    <n v="540.04999999999995"/>
    <n v="511.61"/>
    <n v="600"/>
    <n v="600"/>
    <n v="600"/>
    <n v="600"/>
    <n v="600"/>
    <n v="600"/>
    <n v="600"/>
    <n v="600"/>
    <n v="2000"/>
    <n v="8392.24"/>
    <n v="-207.76000000000022"/>
    <m/>
    <m/>
    <n v="0"/>
    <m/>
    <n v="-207.76000000000022"/>
    <m/>
    <n v="540.58000000000004"/>
    <n v="540.04999999999995"/>
    <n v="511.61"/>
    <n v="600"/>
    <n v="600"/>
    <n v="600"/>
    <n v="600"/>
    <n v="600"/>
    <n v="600"/>
    <n v="600"/>
    <n v="600"/>
    <n v="2000"/>
    <n v="8392.24"/>
    <n v="540.58000000000004"/>
    <n v="540.04999999999995"/>
    <n v="511.61"/>
    <n v="600"/>
    <n v="600"/>
    <n v="600"/>
    <n v="600"/>
    <n v="600"/>
    <n v="600"/>
    <n v="600"/>
    <n v="600"/>
    <n v="2000"/>
    <n v="8392.24"/>
  </r>
  <r>
    <s v="L-ERP-132"/>
    <s v="Ganesan, Srinivasan_SOFTWARE_IT-FBT0658-OG-US-00"/>
    <s v="ERP"/>
    <x v="1"/>
    <s v="Ganesan, Srinivasan"/>
    <s v="DeHart, Lynn"/>
    <x v="0"/>
    <s v="Logistics LMS &amp; Manhattan IoD"/>
    <m/>
    <m/>
    <s v="IT-FBT0658-OG-US-00"/>
    <m/>
    <m/>
    <m/>
    <s v="EP&amp;S"/>
    <m/>
    <m/>
    <n v="3348"/>
    <n v="3348"/>
    <n v="3348"/>
    <n v="0"/>
    <n v="279.45999999999998"/>
    <n v="279.45999999999998"/>
    <n v="589.46"/>
    <n v="279"/>
    <n v="279"/>
    <n v="279"/>
    <n v="279"/>
    <n v="279"/>
    <n v="279"/>
    <n v="279"/>
    <n v="279"/>
    <n v="279"/>
    <n v="3659.38"/>
    <n v="311.38000000000011"/>
    <m/>
    <m/>
    <n v="0"/>
    <m/>
    <n v="311.38000000000011"/>
    <s v="Related to Manhattan software. Don't know why this is being separated."/>
    <n v="279.45999999999998"/>
    <n v="279.45999999999998"/>
    <n v="589.46"/>
    <n v="279"/>
    <n v="279"/>
    <n v="279"/>
    <n v="279"/>
    <n v="279"/>
    <n v="279"/>
    <n v="279"/>
    <n v="279"/>
    <n v="279"/>
    <n v="3659.38"/>
    <n v="279.45999999999998"/>
    <n v="279.45999999999998"/>
    <n v="589.46"/>
    <n v="279"/>
    <n v="279"/>
    <n v="279"/>
    <n v="279"/>
    <n v="279"/>
    <n v="279"/>
    <n v="279"/>
    <n v="279"/>
    <n v="279"/>
    <n v="3659.38"/>
  </r>
  <r>
    <s v="L-ERP-157"/>
    <s v="Ganesan, Srinivasan_MANAGED SERVICES_IT-FBT0659-OG-US-00"/>
    <s v="ERP"/>
    <x v="1"/>
    <s v="Ganesan, Srinivasan"/>
    <s v="DeHart, Lynn"/>
    <x v="1"/>
    <s v="Infrastructure Charges - ES Collaborative Manufacturing - IoD"/>
    <m/>
    <m/>
    <s v="IT-FBT0659-OG-US-00"/>
    <m/>
    <m/>
    <m/>
    <s v="None"/>
    <m/>
    <m/>
    <n v="1560"/>
    <n v="1560"/>
    <n v="1560"/>
    <n v="0"/>
    <n v="124.95"/>
    <n v="125.88"/>
    <n v="116.06"/>
    <n v="130"/>
    <n v="130"/>
    <n v="130"/>
    <n v="130"/>
    <n v="130"/>
    <n v="130"/>
    <n v="130"/>
    <n v="130"/>
    <n v="130"/>
    <n v="1536.8899999999999"/>
    <n v="-23.110000000000127"/>
    <m/>
    <m/>
    <n v="0"/>
    <m/>
    <n v="-23.110000000000127"/>
    <m/>
    <n v="124.95"/>
    <n v="125.88"/>
    <n v="116.06"/>
    <n v="130"/>
    <n v="130"/>
    <n v="130"/>
    <n v="130"/>
    <n v="130"/>
    <n v="130"/>
    <n v="130"/>
    <n v="130"/>
    <n v="130"/>
    <n v="1536.8899999999999"/>
    <n v="124.95"/>
    <n v="125.88"/>
    <n v="116.06"/>
    <n v="130"/>
    <n v="130"/>
    <n v="130"/>
    <n v="130"/>
    <n v="130"/>
    <n v="130"/>
    <n v="130"/>
    <n v="130"/>
    <n v="130"/>
    <n v="1536.8899999999999"/>
  </r>
  <r>
    <s v="L-ERP-247"/>
    <s v="Jajodia, Amit_MANAGED SERVICES_IT-FBT0659-OG-US-00"/>
    <s v="ERP"/>
    <x v="1"/>
    <s v="Jajodia, Amit"/>
    <s v="DeHart, Lynn"/>
    <x v="1"/>
    <s v="Infrastructure Charges - ES Collaborative Manufacturing - IoD"/>
    <m/>
    <m/>
    <s v="IT-FBT0659-OG-US-00"/>
    <m/>
    <m/>
    <m/>
    <s v="None"/>
    <m/>
    <m/>
    <n v="4213"/>
    <n v="4213"/>
    <n v="4213"/>
    <n v="0"/>
    <m/>
    <m/>
    <m/>
    <n v="267"/>
    <n v="267"/>
    <n v="267"/>
    <n v="267"/>
    <n v="267"/>
    <n v="267"/>
    <n v="267"/>
    <n v="267"/>
    <n v="1267"/>
    <n v="3403"/>
    <n v="-810"/>
    <m/>
    <m/>
    <n v="0"/>
    <m/>
    <n v="-810"/>
    <m/>
    <m/>
    <m/>
    <m/>
    <n v="267"/>
    <n v="267"/>
    <n v="267"/>
    <n v="267"/>
    <n v="267"/>
    <n v="267"/>
    <n v="267"/>
    <n v="267"/>
    <n v="1267"/>
    <n v="3403"/>
    <m/>
    <m/>
    <m/>
    <n v="267"/>
    <n v="267"/>
    <n v="267"/>
    <n v="267"/>
    <n v="267"/>
    <n v="267"/>
    <n v="267"/>
    <n v="267"/>
    <n v="1267"/>
    <n v="3403"/>
  </r>
  <r>
    <s v="L-ERP-129"/>
    <s v="Ganesan, Srinivasan_MANAGED SERVICES_IT-FBT0660-OG-US-00"/>
    <s v="ERP"/>
    <x v="1"/>
    <s v="Ganesan, Srinivasan"/>
    <s v="DeHart, Lynn"/>
    <x v="1"/>
    <s v="Planning Excel Citrix Server - IoD Infrastructure (Server)"/>
    <m/>
    <m/>
    <s v="IT-FBT0660-OG-US-00"/>
    <m/>
    <m/>
    <m/>
    <s v="EP&amp;S"/>
    <m/>
    <m/>
    <n v="0"/>
    <n v="0"/>
    <n v="0"/>
    <n v="0"/>
    <n v="129.77000000000001"/>
    <n v="129.72"/>
    <n v="95.27"/>
    <n v="0"/>
    <n v="0"/>
    <n v="0"/>
    <n v="0"/>
    <n v="0"/>
    <n v="0"/>
    <n v="0"/>
    <n v="0"/>
    <n v="0"/>
    <n v="354.76"/>
    <n v="354.76"/>
    <m/>
    <m/>
    <n v="-1.4210854715202004E-14"/>
    <m/>
    <n v="354.76"/>
    <m/>
    <n v="129.77000000000001"/>
    <n v="129.72"/>
    <n v="95.27"/>
    <n v="0"/>
    <n v="0"/>
    <n v="0"/>
    <n v="0"/>
    <n v="0"/>
    <n v="0"/>
    <n v="0"/>
    <n v="0"/>
    <n v="0"/>
    <n v="354.76"/>
    <n v="129.77000000000001"/>
    <n v="129.72"/>
    <n v="95.27"/>
    <n v="0"/>
    <n v="0"/>
    <n v="0"/>
    <n v="0"/>
    <n v="0"/>
    <n v="0"/>
    <n v="0"/>
    <n v="0"/>
    <n v="0"/>
    <n v="354.76"/>
  </r>
  <r>
    <s v="L-ERP-231"/>
    <s v="Jajodia, Amit_MANAGED SERVICES_IT-FBT0660-OG-US-00"/>
    <s v="ERP"/>
    <x v="1"/>
    <s v="Jajodia, Amit"/>
    <s v="DeHart, Lynn"/>
    <x v="1"/>
    <s v="Planning Excel Citrix Server - IoD Infrastructure (Server)"/>
    <m/>
    <m/>
    <s v="IT-FBT0660-OG-US-00"/>
    <m/>
    <m/>
    <m/>
    <s v="EP&amp;S"/>
    <m/>
    <m/>
    <n v="3260"/>
    <n v="3260"/>
    <n v="3260"/>
    <n v="0"/>
    <m/>
    <m/>
    <m/>
    <n v="160"/>
    <n v="160"/>
    <n v="160"/>
    <n v="160"/>
    <n v="160"/>
    <n v="160"/>
    <n v="160"/>
    <n v="160"/>
    <n v="1500"/>
    <n v="2780"/>
    <n v="-480"/>
    <m/>
    <m/>
    <n v="0"/>
    <m/>
    <n v="-480"/>
    <m/>
    <m/>
    <m/>
    <m/>
    <n v="160"/>
    <n v="160"/>
    <n v="160"/>
    <n v="160"/>
    <n v="160"/>
    <n v="160"/>
    <n v="160"/>
    <n v="160"/>
    <n v="1500"/>
    <n v="2780"/>
    <m/>
    <m/>
    <m/>
    <n v="160"/>
    <n v="160"/>
    <n v="160"/>
    <n v="160"/>
    <n v="160"/>
    <n v="160"/>
    <n v="160"/>
    <n v="160"/>
    <n v="1500"/>
    <n v="2780"/>
  </r>
  <r>
    <s v="L-ERP-150"/>
    <s v="Ganesan, Srinivasan_CONTRACTORS_IT-FBT0661-OG-US-00"/>
    <s v="ERP"/>
    <x v="1"/>
    <s v="Ganesan, Srinivasan"/>
    <s v="DeHart, Lynn"/>
    <x v="2"/>
    <s v="GLNS Process Optimization &amp; Compliance Contractor"/>
    <m/>
    <m/>
    <s v="IT-FBT0661-OG-US-00"/>
    <m/>
    <m/>
    <m/>
    <s v="None"/>
    <s v="4/30 - Team to reclass btwn MG &amp; Contractors"/>
    <m/>
    <n v="47697"/>
    <n v="47697"/>
    <n v="47697"/>
    <n v="0"/>
    <m/>
    <m/>
    <m/>
    <n v="15000"/>
    <n v="5850"/>
    <n v="0"/>
    <n v="23247"/>
    <n v="0"/>
    <n v="9523"/>
    <n v="0"/>
    <n v="0"/>
    <n v="0"/>
    <n v="53620"/>
    <n v="5923"/>
    <m/>
    <m/>
    <n v="0"/>
    <m/>
    <n v="5923"/>
    <m/>
    <m/>
    <m/>
    <m/>
    <n v="15000"/>
    <n v="5850"/>
    <n v="0"/>
    <n v="23247"/>
    <n v="0"/>
    <n v="9523"/>
    <n v="0"/>
    <n v="0"/>
    <n v="0"/>
    <n v="53620"/>
    <m/>
    <m/>
    <m/>
    <n v="15000"/>
    <n v="0"/>
    <n v="0"/>
    <n v="23247"/>
    <n v="0"/>
    <n v="9523"/>
    <n v="0"/>
    <n v="0"/>
    <n v="0"/>
    <n v="47770"/>
  </r>
  <r>
    <s v="L-ERP-158"/>
    <s v="Ganesan, Srinivasan_MANAGED SERVICES_IT-FBT0661-OG-US-00"/>
    <s v="ERP"/>
    <x v="1"/>
    <s v="Ganesan, Srinivasan"/>
    <s v="DeHart, Lynn"/>
    <x v="1"/>
    <s v="GLNS Process Optimization &amp; Compliance Contractor"/>
    <m/>
    <m/>
    <s v="IT-FBT0661-OG-US-00"/>
    <m/>
    <m/>
    <m/>
    <s v="None"/>
    <s v="4/30 - Team to reclass btwn MG &amp; Contractors"/>
    <m/>
    <n v="0"/>
    <n v="0"/>
    <n v="0"/>
    <n v="0"/>
    <m/>
    <m/>
    <n v="5850"/>
    <m/>
    <n v="-5850"/>
    <n v="0"/>
    <n v="0"/>
    <n v="0"/>
    <n v="0"/>
    <n v="0"/>
    <n v="0"/>
    <n v="0"/>
    <n v="0"/>
    <n v="0"/>
    <m/>
    <m/>
    <n v="0"/>
    <m/>
    <n v="0"/>
    <m/>
    <m/>
    <m/>
    <n v="5850"/>
    <m/>
    <n v="-5850"/>
    <n v="0"/>
    <n v="0"/>
    <n v="0"/>
    <n v="0"/>
    <n v="0"/>
    <n v="0"/>
    <n v="0"/>
    <n v="0"/>
    <m/>
    <m/>
    <n v="5850"/>
    <n v="0"/>
    <n v="0"/>
    <n v="0"/>
    <n v="0"/>
    <n v="0"/>
    <n v="0"/>
    <n v="0"/>
    <n v="0"/>
    <n v="0"/>
    <n v="5850"/>
  </r>
  <r>
    <s v="L-ERP-072"/>
    <s v="Dougherty, Chris_MANAGED SERVICES_IT-FBT0665-OG-US-00"/>
    <s v="ERP"/>
    <x v="0"/>
    <s v="Dougherty, Chris"/>
    <s v="Maguire, Karla"/>
    <x v="1"/>
    <s v="Syniti: Infrastructure Charges - SAP Backoffice - Cloud AWS"/>
    <m/>
    <m/>
    <s v="IT-FBT0665-OG-US-00"/>
    <m/>
    <m/>
    <m/>
    <s v="EP&amp;S"/>
    <m/>
    <m/>
    <n v="0"/>
    <n v="0"/>
    <n v="0"/>
    <n v="0"/>
    <m/>
    <m/>
    <m/>
    <n v="1014"/>
    <n v="1014"/>
    <n v="1014"/>
    <n v="1014"/>
    <n v="1014"/>
    <n v="1014"/>
    <n v="1014"/>
    <n v="1014"/>
    <n v="1014"/>
    <n v="9126"/>
    <n v="9126"/>
    <m/>
    <m/>
    <n v="0"/>
    <m/>
    <n v="9126"/>
    <m/>
    <m/>
    <m/>
    <m/>
    <n v="1014"/>
    <n v="1014"/>
    <n v="1014"/>
    <n v="1014"/>
    <n v="1014"/>
    <n v="1014"/>
    <n v="1014"/>
    <n v="1014"/>
    <n v="1014"/>
    <n v="9126"/>
    <m/>
    <m/>
    <m/>
    <n v="1014"/>
    <n v="1014"/>
    <n v="1014"/>
    <n v="1014"/>
    <n v="1014"/>
    <n v="1014"/>
    <n v="1014"/>
    <n v="1014"/>
    <n v="1014"/>
    <n v="9126"/>
  </r>
  <r>
    <s v="L-ERP-522"/>
    <s v="Tamavada, Ram_MANAGED SERVICES_IT-FBT0665-OG-US-00"/>
    <s v="ERP"/>
    <x v="0"/>
    <s v="Tamavada, Ram"/>
    <s v="Maguire, Karla"/>
    <x v="1"/>
    <s v="Syniti: Infrastructure Charges - SAP Backoffice - Cloud AWS"/>
    <m/>
    <m/>
    <s v="IT-FBT0665-OG-US-00"/>
    <m/>
    <m/>
    <m/>
    <s v="EP&amp;S"/>
    <m/>
    <m/>
    <n v="12168"/>
    <n v="12168"/>
    <n v="12168"/>
    <n v="0"/>
    <n v="243.06"/>
    <n v="235.06"/>
    <n v="0"/>
    <n v="1014"/>
    <n v="1014"/>
    <n v="1014"/>
    <n v="1014"/>
    <n v="1014"/>
    <n v="1014"/>
    <n v="1014"/>
    <n v="1014"/>
    <n v="1014"/>
    <n v="9604.119999999999"/>
    <n v="-2563.880000000001"/>
    <m/>
    <m/>
    <n v="0"/>
    <m/>
    <n v="-2563.880000000001"/>
    <m/>
    <n v="243.06"/>
    <n v="235.06"/>
    <n v="0"/>
    <n v="1014"/>
    <n v="1014"/>
    <n v="1014"/>
    <n v="1014"/>
    <n v="1014"/>
    <n v="1014"/>
    <n v="1014"/>
    <n v="1014"/>
    <n v="1014"/>
    <n v="9604.119999999999"/>
    <n v="243.06"/>
    <n v="235.06"/>
    <n v="0"/>
    <n v="1014"/>
    <n v="1014"/>
    <n v="1014"/>
    <n v="1014"/>
    <n v="1014"/>
    <n v="1014"/>
    <n v="1014"/>
    <n v="1014"/>
    <n v="1014"/>
    <n v="9604.119999999999"/>
  </r>
  <r>
    <s v="L-ERP-530"/>
    <s v="Tamavada, Ram_SOFTWARE_IT-FBT0665-OG-US-00"/>
    <s v="ERP"/>
    <x v="0"/>
    <s v="Tamavada, Ram"/>
    <s v="Maguire, Karla"/>
    <x v="0"/>
    <s v="Syniti: Infrastructure Charges - SAP Backoffice - Cloud AWS"/>
    <m/>
    <m/>
    <s v="IT-FBT0665-OG-US-00"/>
    <m/>
    <m/>
    <m/>
    <s v="EP&amp;S"/>
    <m/>
    <m/>
    <n v="0"/>
    <n v="0"/>
    <n v="0"/>
    <n v="0"/>
    <n v="279.45999999999998"/>
    <n v="279.45999999999998"/>
    <n v="279.45999999999998"/>
    <n v="0"/>
    <n v="0"/>
    <n v="0"/>
    <n v="0"/>
    <n v="0"/>
    <n v="0"/>
    <n v="0"/>
    <n v="0"/>
    <n v="0"/>
    <n v="838.37999999999988"/>
    <n v="838.37999999999988"/>
    <m/>
    <m/>
    <n v="-1.1368683772161603E-13"/>
    <m/>
    <n v="838.37999999999988"/>
    <m/>
    <n v="279.45999999999998"/>
    <n v="279.45999999999998"/>
    <n v="279.45999999999998"/>
    <n v="0"/>
    <n v="0"/>
    <n v="0"/>
    <n v="0"/>
    <n v="0"/>
    <n v="0"/>
    <n v="0"/>
    <n v="0"/>
    <n v="0"/>
    <n v="838.37999999999988"/>
    <n v="279.45999999999998"/>
    <n v="279.45999999999998"/>
    <n v="279.45999999999998"/>
    <n v="0"/>
    <n v="0"/>
    <n v="0"/>
    <n v="0"/>
    <n v="0"/>
    <n v="0"/>
    <n v="0"/>
    <n v="0"/>
    <n v="0"/>
    <n v="838.37999999999988"/>
  </r>
  <r>
    <s v="L-ERP-523"/>
    <s v="Tamavada, Ram_MANAGED SERVICES_IT-FBT0675-OG-US-00"/>
    <s v="ERP"/>
    <x v="0"/>
    <s v="Tamavada, Ram"/>
    <s v="Maguire, Karla"/>
    <x v="1"/>
    <s v="Infrastructure charges"/>
    <m/>
    <m/>
    <s v="IT-FBT0675-OG-US-00"/>
    <m/>
    <m/>
    <m/>
    <s v="EP&amp;S"/>
    <m/>
    <m/>
    <n v="26558.000004000005"/>
    <n v="26558.000004000005"/>
    <n v="26558.000004000005"/>
    <n v="0"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  <n v="-1684.2700010000044"/>
    <m/>
    <m/>
    <n v="0"/>
    <m/>
    <n v="-1684.2700010000044"/>
    <m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</r>
  <r>
    <s v="L-ERP-531"/>
    <s v="Tamavada, Ram_SOFTWARE_IT-FBT0675-OG-US-00"/>
    <s v="ERP"/>
    <x v="0"/>
    <s v="Tamavada, Ram"/>
    <s v="Maguire, Karla"/>
    <x v="0"/>
    <s v="Infrastructure charges"/>
    <m/>
    <m/>
    <s v="IT-FBT0675-OG-US-00"/>
    <m/>
    <m/>
    <m/>
    <s v="EP&amp;S"/>
    <m/>
    <m/>
    <n v="1854.9999960000002"/>
    <n v="1854.9999960000002"/>
    <n v="1854.9999960000002"/>
    <n v="0"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  <n v="265.44000100000017"/>
    <m/>
    <m/>
    <n v="0"/>
    <m/>
    <n v="265.44000100000017"/>
    <m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</r>
  <r>
    <s v="L-ERP-073"/>
    <s v="Dougherty, Chris_MANAGED SERVICES_IT-FBT0693-OG-US-00"/>
    <s v="ERP"/>
    <x v="0"/>
    <s v="Dougherty, Chris"/>
    <s v="Maguire, Karla"/>
    <x v="1"/>
    <s v="Infrastructure charges"/>
    <m/>
    <m/>
    <s v="IT-FBT0693-OG-US-00"/>
    <m/>
    <m/>
    <m/>
    <s v="EP&amp;S"/>
    <m/>
    <m/>
    <n v="60000"/>
    <n v="60000"/>
    <n v="60000"/>
    <n v="0"/>
    <n v="5046.78"/>
    <n v="4733.08"/>
    <n v="4136.3100000000004"/>
    <n v="5000"/>
    <n v="5000"/>
    <n v="5000"/>
    <n v="5000"/>
    <n v="5000"/>
    <n v="5000"/>
    <n v="5000"/>
    <n v="5000"/>
    <n v="5000"/>
    <n v="58916.17"/>
    <n v="-1083.8300000000017"/>
    <m/>
    <m/>
    <n v="0"/>
    <m/>
    <n v="-1083.8300000000017"/>
    <m/>
    <n v="5046.78"/>
    <n v="4733.08"/>
    <n v="4136.3100000000004"/>
    <n v="5000"/>
    <n v="5000"/>
    <n v="5000"/>
    <n v="5000"/>
    <n v="5000"/>
    <n v="5000"/>
    <n v="5000"/>
    <n v="5000"/>
    <n v="5000"/>
    <n v="58916.17"/>
    <n v="5046.78"/>
    <n v="4733.08"/>
    <n v="4136.3100000000004"/>
    <n v="5000"/>
    <n v="5000"/>
    <n v="5000"/>
    <n v="5000"/>
    <n v="5000"/>
    <n v="5000"/>
    <n v="5000"/>
    <n v="5000"/>
    <n v="5000"/>
    <n v="58916.17"/>
  </r>
  <r>
    <s v="L-ERP-358"/>
    <s v="McCormick, Pete_MANAGED SERVICES_IT-FBT0693-OG-US-00"/>
    <s v="ERP"/>
    <x v="0"/>
    <s v="McCormick, Pete"/>
    <s v="Maguire, Karla"/>
    <x v="1"/>
    <s v="Infrastructure charges"/>
    <m/>
    <m/>
    <s v="IT-FBT0693-OG-US-00"/>
    <m/>
    <m/>
    <m/>
    <s v="EP&amp;S"/>
    <m/>
    <m/>
    <n v="0"/>
    <n v="0"/>
    <n v="0"/>
    <n v="0"/>
    <n v="1.65"/>
    <n v="76.819999999999993"/>
    <n v="2.5299999999999998"/>
    <n v="0"/>
    <n v="0"/>
    <n v="0"/>
    <n v="0"/>
    <n v="0"/>
    <n v="0"/>
    <n v="0"/>
    <n v="0"/>
    <n v="0"/>
    <n v="81"/>
    <n v="81"/>
    <m/>
    <m/>
    <n v="1.3322676295501878E-15"/>
    <m/>
    <n v="81"/>
    <m/>
    <n v="1.65"/>
    <n v="76.819999999999993"/>
    <n v="2.5299999999999998"/>
    <n v="0"/>
    <n v="0"/>
    <n v="0"/>
    <n v="0"/>
    <n v="0"/>
    <n v="0"/>
    <n v="0"/>
    <n v="0"/>
    <n v="0"/>
    <n v="81"/>
    <n v="1.65"/>
    <n v="76.819999999999993"/>
    <n v="2.5299999999999998"/>
    <n v="0"/>
    <n v="0"/>
    <n v="0"/>
    <n v="0"/>
    <n v="0"/>
    <n v="0"/>
    <n v="0"/>
    <n v="0"/>
    <n v="0"/>
    <n v="81"/>
  </r>
  <r>
    <s v="L-ERP-524"/>
    <s v="Tamavada, Ram_MANAGED SERVICES_IT-FBT0693-OG-US-00"/>
    <s v="ERP"/>
    <x v="0"/>
    <s v="Tamavada, Ram"/>
    <s v="Maguire, Karla"/>
    <x v="1"/>
    <s v="Infrastructure charges"/>
    <m/>
    <m/>
    <s v="IT-FBT0693-OG-US-00"/>
    <m/>
    <m/>
    <m/>
    <s v="EP&amp;S"/>
    <m/>
    <m/>
    <n v="14400"/>
    <n v="14400"/>
    <n v="14400"/>
    <n v="0"/>
    <n v="200.57"/>
    <n v="191.76"/>
    <n v="0"/>
    <n v="1200"/>
    <n v="1200"/>
    <n v="1200"/>
    <n v="1200"/>
    <n v="1200"/>
    <n v="1200"/>
    <n v="1200"/>
    <n v="1200"/>
    <n v="1200"/>
    <n v="11192.33"/>
    <n v="-3207.67"/>
    <m/>
    <m/>
    <n v="0"/>
    <m/>
    <n v="-3207.67"/>
    <m/>
    <n v="200.57"/>
    <n v="191.76"/>
    <n v="0"/>
    <n v="1200"/>
    <n v="1200"/>
    <n v="1200"/>
    <n v="1200"/>
    <n v="1200"/>
    <n v="1200"/>
    <n v="1200"/>
    <n v="1200"/>
    <n v="1200"/>
    <n v="11192.33"/>
    <n v="200.57"/>
    <n v="191.76"/>
    <n v="0"/>
    <n v="1200"/>
    <n v="1200"/>
    <n v="1200"/>
    <n v="1200"/>
    <n v="1200"/>
    <n v="1200"/>
    <n v="1200"/>
    <n v="1200"/>
    <n v="1200"/>
    <n v="11192.33"/>
  </r>
  <r>
    <s v="L-ERP-514"/>
    <s v="Tamavada, Ram_MANAGED SERVICES_IT-FBT0700-OG-US-00"/>
    <s v="ERP"/>
    <x v="0"/>
    <s v="Tamavada, Ram"/>
    <s v="Maguire, Karla"/>
    <x v="1"/>
    <s v="IBM: SAP Application Managed Service - Celonis"/>
    <m/>
    <m/>
    <s v="IT-FBT0700-OG-US-00"/>
    <m/>
    <m/>
    <m/>
    <s v="BTAMS"/>
    <m/>
    <m/>
    <n v="376200"/>
    <n v="376200"/>
    <n v="376200"/>
    <n v="0"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  <n v="0.4599999999627471"/>
    <m/>
    <m/>
    <n v="0"/>
    <m/>
    <n v="0.4599999999627471"/>
    <m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</r>
  <r>
    <s v="L-ERP-214"/>
    <s v="Herman, Shaun_CONTRACTORS_IT-FBT0702-OG-US-00"/>
    <s v="ERP"/>
    <x v="1"/>
    <s v="Herman, Shaun"/>
    <s v="DeHart, Lynn"/>
    <x v="2"/>
    <s v="SAP CIG Annual Upgrade Support"/>
    <m/>
    <m/>
    <s v="IT-FBT0702-OG-US-00"/>
    <m/>
    <m/>
    <s v="5/4 CHW - shifted forecast based on AP04 actuals"/>
    <s v="SAP"/>
    <m/>
    <m/>
    <n v="50000"/>
    <n v="50000"/>
    <n v="50000"/>
    <n v="0"/>
    <m/>
    <m/>
    <m/>
    <n v="0"/>
    <n v="50000"/>
    <n v="0"/>
    <n v="0"/>
    <n v="0"/>
    <n v="0"/>
    <n v="0"/>
    <n v="0"/>
    <n v="0"/>
    <n v="50000"/>
    <n v="0"/>
    <m/>
    <m/>
    <n v="0"/>
    <m/>
    <n v="0"/>
    <m/>
    <m/>
    <m/>
    <m/>
    <n v="0"/>
    <n v="50000"/>
    <n v="0"/>
    <n v="0"/>
    <n v="0"/>
    <n v="0"/>
    <n v="0"/>
    <n v="0"/>
    <n v="0"/>
    <n v="50000"/>
    <m/>
    <m/>
    <m/>
    <n v="50000"/>
    <n v="0"/>
    <n v="0"/>
    <n v="0"/>
    <n v="0"/>
    <n v="0"/>
    <n v="0"/>
    <n v="0"/>
    <n v="0"/>
    <n v="50000"/>
  </r>
  <r>
    <s v="L-ERP-383"/>
    <s v="McGettigan, David_CONTRACTORS_IT-FBT0748-OT-US-00"/>
    <s v="ERP"/>
    <x v="2"/>
    <s v="McGettigan, David"/>
    <s v="McGettigan, David"/>
    <x v="2"/>
    <s v="SAP / S4 HANA - reclass to Lidia"/>
    <m/>
    <m/>
    <s v="IT-FBT0748-OT-US-00"/>
    <m/>
    <m/>
    <m/>
    <s v="Digital Funded Project"/>
    <m/>
    <m/>
    <n v="-1080865"/>
    <n v="-1080865"/>
    <n v="-1080865"/>
    <n v="0"/>
    <m/>
    <m/>
    <n v="-180144.16"/>
    <n v="0"/>
    <n v="-270216"/>
    <n v="-90072"/>
    <n v="0"/>
    <n v="-180144"/>
    <n v="-90072"/>
    <n v="0"/>
    <n v="-180144"/>
    <n v="-90072.84"/>
    <n v="-1080865"/>
    <n v="0"/>
    <m/>
    <m/>
    <n v="0"/>
    <m/>
    <n v="0"/>
    <m/>
    <m/>
    <m/>
    <n v="-180144.16"/>
    <n v="0"/>
    <n v="-270216"/>
    <n v="-90072"/>
    <n v="0"/>
    <n v="-180144"/>
    <n v="-90072"/>
    <n v="0"/>
    <n v="-180144"/>
    <n v="-90072.84"/>
    <n v="-1080865"/>
    <m/>
    <m/>
    <n v="-180144.16"/>
    <n v="0"/>
    <n v="-180144.16"/>
    <n v="-90072.08"/>
    <n v="0"/>
    <n v="-180144.16"/>
    <n v="-90072.08"/>
    <n v="0"/>
    <n v="-180144.16"/>
    <n v="-90072.12"/>
    <n v="-990792.92"/>
  </r>
  <r>
    <s v="L-ERP-544"/>
    <s v="Tamavada, Ram_MANAGED SERVICES_IT-FBT0753-OT-US-00"/>
    <s v="ERP"/>
    <x v="0"/>
    <s v="Tamavada, Ram"/>
    <s v="Maguire, Karla"/>
    <x v="1"/>
    <s v="IBM: SAP Application Managed Service - Delta Applications - FBO Scope"/>
    <m/>
    <m/>
    <s v="IT-FBT0753-OT-US-00"/>
    <m/>
    <m/>
    <m/>
    <s v="None"/>
    <m/>
    <m/>
    <n v="335904"/>
    <n v="335904"/>
    <n v="335904"/>
    <n v="0"/>
    <n v="0.04"/>
    <n v="55984.1"/>
    <n v="27991.47"/>
    <n v="27992"/>
    <n v="27992"/>
    <n v="27992"/>
    <n v="27992"/>
    <n v="27992"/>
    <n v="27992"/>
    <n v="27992"/>
    <n v="27992"/>
    <n v="27992"/>
    <n v="335903.61"/>
    <n v="-0.39000000001396984"/>
    <m/>
    <m/>
    <n v="0"/>
    <m/>
    <n v="-0.39000000001396984"/>
    <m/>
    <n v="0.04"/>
    <n v="55984.1"/>
    <n v="27991.47"/>
    <n v="27992"/>
    <n v="27992"/>
    <n v="27992"/>
    <n v="27992"/>
    <n v="27992"/>
    <n v="27992"/>
    <n v="27992"/>
    <n v="27992"/>
    <n v="27992"/>
    <n v="335903.61"/>
    <n v="0.04"/>
    <n v="55984.1"/>
    <n v="27991.47"/>
    <n v="27992"/>
    <n v="27992"/>
    <n v="27992"/>
    <n v="27992"/>
    <n v="27992"/>
    <n v="27992"/>
    <n v="27992"/>
    <n v="27992"/>
    <n v="27992"/>
    <n v="335903.61"/>
  </r>
  <r>
    <s v="L-ERP-242"/>
    <s v="Jajodia, Amit_CONTRACTORS_IT-FBT0757-OG-US-00"/>
    <s v="ERP"/>
    <x v="1"/>
    <s v="Jajodia, Amit"/>
    <s v="DeHart, Lynn"/>
    <x v="2"/>
    <s v="Planning nGPS Support"/>
    <m/>
    <m/>
    <s v="IT-FBT0757-OG-US-00"/>
    <m/>
    <m/>
    <m/>
    <s v="None"/>
    <m/>
    <m/>
    <n v="357309.48"/>
    <n v="357309.48"/>
    <n v="357309.48"/>
    <n v="0"/>
    <m/>
    <m/>
    <n v="168756.2"/>
    <n v="0"/>
    <n v="11809.75"/>
    <n v="11809.75"/>
    <n v="11809.75"/>
    <n v="11809.75"/>
    <n v="11809.75"/>
    <n v="11809.75"/>
    <n v="11809.75"/>
    <n v="11809.75"/>
    <n v="263234.2"/>
    <n v="-94075.27999999997"/>
    <m/>
    <m/>
    <n v="0"/>
    <m/>
    <n v="-94075.27999999997"/>
    <m/>
    <m/>
    <m/>
    <n v="168756.2"/>
    <n v="0"/>
    <n v="11809.75"/>
    <n v="11809.75"/>
    <n v="11809.75"/>
    <n v="11809.75"/>
    <n v="11809.75"/>
    <n v="11809.75"/>
    <n v="11809.75"/>
    <n v="11809.75"/>
    <n v="263234.2"/>
    <m/>
    <m/>
    <n v="168756.2"/>
    <n v="29775.79"/>
    <n v="29775.79"/>
    <n v="29775.79"/>
    <n v="29775.79"/>
    <n v="29775.79"/>
    <n v="29775.79"/>
    <n v="29775.79"/>
    <n v="29775.79"/>
    <n v="29775.79"/>
    <n v="436738.30999999994"/>
  </r>
  <r>
    <s v="L-ERP-525"/>
    <s v="Tamavada, Ram_MANAGED SERVICES_IT-FBT0769-OT-US-00"/>
    <s v="ERP"/>
    <x v="0"/>
    <s v="Tamavada, Ram"/>
    <s v="Maguire, Karla"/>
    <x v="1"/>
    <s v="PFIZER APPS related charges (Cloud AWS, Data Protection)"/>
    <m/>
    <m/>
    <s v="IT-FBT0769-OT-US-00"/>
    <m/>
    <m/>
    <m/>
    <s v="EP&amp;S"/>
    <m/>
    <m/>
    <n v="4212"/>
    <n v="4212"/>
    <n v="4212"/>
    <n v="0"/>
    <n v="212.71"/>
    <n v="212.88"/>
    <n v="-425.59"/>
    <m/>
    <m/>
    <m/>
    <m/>
    <m/>
    <m/>
    <m/>
    <m/>
    <m/>
    <n v="0"/>
    <n v="-4212"/>
    <m/>
    <m/>
    <n v="5.6843418860808015E-14"/>
    <m/>
    <n v="-4212"/>
    <m/>
    <n v="212.71"/>
    <n v="212.88"/>
    <n v="-425.59"/>
    <m/>
    <m/>
    <m/>
    <m/>
    <m/>
    <m/>
    <m/>
    <m/>
    <m/>
    <n v="0"/>
    <n v="212.71"/>
    <n v="212.88"/>
    <n v="-425.59"/>
    <m/>
    <m/>
    <m/>
    <m/>
    <m/>
    <m/>
    <m/>
    <m/>
    <m/>
    <n v="0"/>
  </r>
  <r>
    <s v="L-ERP-571"/>
    <s v="Yeluri, Durga_MANAGED SERVICES_IT-FBT0769-OT-US-00"/>
    <s v="ERP"/>
    <x v="1"/>
    <s v="Yeluri, Durga"/>
    <s v="DeHart, Lynn"/>
    <x v="1"/>
    <s v="PFIZER APPS related charges (Cloud AWS, Data Protection)"/>
    <m/>
    <m/>
    <s v="IT-FBT0769-OT-US-00"/>
    <m/>
    <m/>
    <m/>
    <s v="EP&amp;S"/>
    <m/>
    <m/>
    <n v="6600"/>
    <n v="6600"/>
    <n v="6600"/>
    <n v="0"/>
    <n v="521.38"/>
    <n v="527.30999999999995"/>
    <n v="-551.63"/>
    <n v="0"/>
    <n v="0"/>
    <n v="0"/>
    <n v="0"/>
    <n v="0"/>
    <n v="0"/>
    <n v="0"/>
    <n v="0"/>
    <n v="0"/>
    <n v="497.06000000000006"/>
    <n v="-6102.94"/>
    <m/>
    <m/>
    <n v="1.1368683772161603E-13"/>
    <m/>
    <n v="-6102.94"/>
    <m/>
    <n v="521.38"/>
    <n v="527.30999999999995"/>
    <n v="-551.63"/>
    <n v="0"/>
    <n v="0"/>
    <n v="0"/>
    <n v="0"/>
    <n v="0"/>
    <n v="0"/>
    <n v="0"/>
    <n v="0"/>
    <n v="0"/>
    <n v="497.06000000000006"/>
    <n v="521.38"/>
    <n v="527.30999999999995"/>
    <n v="-551.63"/>
    <n v="0"/>
    <n v="0"/>
    <n v="0"/>
    <n v="0"/>
    <n v="0"/>
    <n v="0"/>
    <n v="0"/>
    <n v="0"/>
    <n v="0"/>
    <n v="497.06000000000006"/>
  </r>
  <r>
    <s v="L-ERP-545"/>
    <s v="Tamavada, Ram_MANAGED SERVICES_IT-FBT0770-OT-US-00"/>
    <s v="ERP"/>
    <x v="0"/>
    <s v="Tamavada, Ram"/>
    <s v="Maguire, Karla"/>
    <x v="1"/>
    <s v="Legacy PS HR &amp; GRW Related charges"/>
    <m/>
    <m/>
    <s v="IT-FBT0770-OT-US-00"/>
    <m/>
    <m/>
    <m/>
    <s v="None"/>
    <m/>
    <m/>
    <n v="0"/>
    <n v="0"/>
    <n v="0"/>
    <n v="0"/>
    <n v="95.28"/>
    <n v="31.62"/>
    <n v="-126.9"/>
    <m/>
    <m/>
    <m/>
    <m/>
    <m/>
    <m/>
    <m/>
    <m/>
    <m/>
    <n v="0"/>
    <n v="0"/>
    <m/>
    <m/>
    <n v="0"/>
    <m/>
    <n v="0"/>
    <m/>
    <n v="95.28"/>
    <n v="31.62"/>
    <n v="-126.9"/>
    <m/>
    <m/>
    <m/>
    <m/>
    <m/>
    <m/>
    <m/>
    <m/>
    <m/>
    <n v="0"/>
    <n v="95.28"/>
    <n v="31.62"/>
    <n v="-126.9"/>
    <m/>
    <m/>
    <m/>
    <m/>
    <m/>
    <m/>
    <m/>
    <m/>
    <m/>
    <n v="0"/>
  </r>
  <r>
    <s v="L-ERP-234"/>
    <s v="Jajodia, Amit_CONTRACTORS_IT-FBT0771-OG-US-00"/>
    <s v="ERP"/>
    <x v="1"/>
    <s v="Jajodia, Amit"/>
    <s v="DeHart, Lynn"/>
    <x v="2"/>
    <s v="Mulesoft - Quality Mulesoft (Contractors)"/>
    <m/>
    <m/>
    <s v="IT-FBT0771-OG-US-00"/>
    <m/>
    <m/>
    <m/>
    <s v="MuleSoft"/>
    <m/>
    <m/>
    <n v="25000"/>
    <n v="25000"/>
    <n v="25000"/>
    <n v="0"/>
    <m/>
    <m/>
    <m/>
    <m/>
    <m/>
    <m/>
    <m/>
    <n v="25000"/>
    <n v="0"/>
    <n v="0"/>
    <n v="0"/>
    <n v="0"/>
    <n v="25000"/>
    <n v="0"/>
    <m/>
    <m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232"/>
    <s v="Jajodia, Amit_MANAGED SERVICES_IT-FBT0772-OG-US-00"/>
    <s v="ERP"/>
    <x v="1"/>
    <s v="Jajodia, Amit"/>
    <s v="DeHart, Lynn"/>
    <x v="1"/>
    <s v="Manufacturing MarKov - IoD and Ring Fencing"/>
    <m/>
    <m/>
    <s v="IT-FBT0772-OG-US-00"/>
    <m/>
    <m/>
    <m/>
    <s v="EP&amp;S"/>
    <m/>
    <m/>
    <n v="17000"/>
    <n v="17000"/>
    <n v="17000"/>
    <n v="0"/>
    <m/>
    <m/>
    <m/>
    <n v="1100"/>
    <n v="1100"/>
    <n v="1100"/>
    <n v="1100"/>
    <n v="1100"/>
    <n v="1100"/>
    <n v="1100"/>
    <n v="3000"/>
    <n v="3000"/>
    <n v="13700"/>
    <n v="-3300"/>
    <m/>
    <m/>
    <n v="0"/>
    <m/>
    <n v="-3300"/>
    <m/>
    <m/>
    <m/>
    <m/>
    <n v="1100"/>
    <n v="1100"/>
    <n v="1100"/>
    <n v="1100"/>
    <n v="1100"/>
    <n v="1100"/>
    <n v="1100"/>
    <n v="3000"/>
    <n v="3000"/>
    <n v="13700"/>
    <m/>
    <m/>
    <m/>
    <n v="1100"/>
    <n v="1100"/>
    <n v="1100"/>
    <n v="1100"/>
    <n v="1100"/>
    <n v="1100"/>
    <n v="1100"/>
    <n v="3000"/>
    <n v="3000"/>
    <n v="13700"/>
  </r>
  <r>
    <s v="L-ERP-135"/>
    <s v="Ganesan, Srinivasan_CONTRACTORS_IT-FBT0778-OT-US-00"/>
    <s v="ERP"/>
    <x v="1"/>
    <s v="Ganesan, Srinivasan"/>
    <s v="DeHart, Lynn"/>
    <x v="2"/>
    <s v="MetaStorm - Import Manager Contractor Support"/>
    <m/>
    <m/>
    <s v="IT-FBT0778-OT-US-00"/>
    <m/>
    <m/>
    <m/>
    <s v="Metastorm"/>
    <s v="4/30 CHW - duplicate lines moved to match actuals"/>
    <m/>
    <n v="25200"/>
    <n v="25200"/>
    <n v="25200"/>
    <n v="0"/>
    <m/>
    <m/>
    <m/>
    <n v="0"/>
    <n v="0"/>
    <n v="0"/>
    <n v="0"/>
    <n v="0"/>
    <n v="0"/>
    <n v="0"/>
    <n v="0"/>
    <n v="0"/>
    <n v="0"/>
    <n v="-25200"/>
    <m/>
    <m/>
    <n v="0"/>
    <m/>
    <n v="-25200"/>
    <m/>
    <m/>
    <m/>
    <m/>
    <n v="0"/>
    <n v="0"/>
    <n v="0"/>
    <n v="0"/>
    <n v="0"/>
    <n v="0"/>
    <n v="0"/>
    <n v="0"/>
    <n v="0"/>
    <n v="0"/>
    <m/>
    <m/>
    <m/>
    <n v="2100"/>
    <n v="2100"/>
    <n v="2100"/>
    <n v="2100"/>
    <n v="2100"/>
    <n v="2100"/>
    <n v="2100"/>
    <n v="2100"/>
    <n v="2100"/>
    <n v="18900"/>
  </r>
  <r>
    <s v="L-ERP-136"/>
    <s v="Ganesan, Srinivasan_MANAGED SERVICES_IT-FBT0778-OT-US-00"/>
    <s v="ERP"/>
    <x v="1"/>
    <s v="Ganesan, Srinivasan"/>
    <s v="DeHart, Lynn"/>
    <x v="1"/>
    <s v="MetaStorm - Import Manager Contractor Support"/>
    <m/>
    <m/>
    <s v="IT-FBT0778-OT-US-00"/>
    <m/>
    <m/>
    <m/>
    <s v="Metastorm"/>
    <s v="4/30 CHW - duplicate lines moved to match actuals"/>
    <m/>
    <n v="0"/>
    <n v="0"/>
    <n v="0"/>
    <n v="0"/>
    <m/>
    <m/>
    <n v="6300"/>
    <n v="2100"/>
    <n v="2100"/>
    <n v="2100"/>
    <n v="2100"/>
    <n v="2100"/>
    <n v="2100"/>
    <n v="2100"/>
    <n v="2100"/>
    <n v="2100"/>
    <n v="25200"/>
    <n v="25200"/>
    <m/>
    <m/>
    <n v="0"/>
    <m/>
    <n v="25200"/>
    <m/>
    <m/>
    <m/>
    <n v="6300"/>
    <n v="2100"/>
    <n v="2100"/>
    <n v="2100"/>
    <n v="2100"/>
    <n v="2100"/>
    <n v="2100"/>
    <n v="2100"/>
    <n v="2100"/>
    <n v="2100"/>
    <n v="25200"/>
    <m/>
    <m/>
    <n v="6300"/>
    <n v="0"/>
    <n v="0"/>
    <n v="0"/>
    <n v="0"/>
    <n v="0"/>
    <n v="0"/>
    <n v="0"/>
    <n v="0"/>
    <n v="0"/>
    <n v="6300"/>
  </r>
  <r>
    <s v="L-ERP-202"/>
    <s v="Herman, Shaun_CONTRACTORS_IT-FBT0779-OT-US-00"/>
    <s v="ERP"/>
    <x v="1"/>
    <s v="Herman, Shaun"/>
    <s v="DeHart, Lynn"/>
    <x v="2"/>
    <s v="MetaStorm - MD eSponsor Application Support &amp; Maintenance"/>
    <m/>
    <m/>
    <s v="IT-FBT0779-OT-US-00"/>
    <m/>
    <m/>
    <m/>
    <s v="Metastorm"/>
    <m/>
    <m/>
    <n v="35000"/>
    <n v="35000"/>
    <n v="35000"/>
    <n v="0"/>
    <m/>
    <m/>
    <m/>
    <n v="2917"/>
    <n v="2917"/>
    <n v="2917"/>
    <n v="2917"/>
    <n v="2917"/>
    <n v="2916"/>
    <n v="2916"/>
    <n v="2916"/>
    <n v="2916"/>
    <n v="26249"/>
    <n v="-8751"/>
    <m/>
    <m/>
    <n v="0"/>
    <m/>
    <n v="-8751"/>
    <m/>
    <m/>
    <m/>
    <m/>
    <n v="2917"/>
    <n v="2917"/>
    <n v="2917"/>
    <n v="2917"/>
    <n v="2917"/>
    <n v="2916"/>
    <n v="2916"/>
    <n v="2916"/>
    <n v="2916"/>
    <n v="26249"/>
    <m/>
    <m/>
    <m/>
    <n v="2917"/>
    <n v="2917"/>
    <n v="2917"/>
    <n v="2917"/>
    <n v="2917"/>
    <n v="2916"/>
    <n v="2916"/>
    <n v="2916"/>
    <n v="2916"/>
    <n v="26249"/>
  </r>
  <r>
    <s v="L-ERP-137"/>
    <s v="Ganesan, Srinivasan_MANAGED SERVICES_IT-FBT0779-OT-US-00"/>
    <s v="ERP"/>
    <x v="1"/>
    <s v="Ganesan, Srinivasan"/>
    <s v="DeHart, Lynn"/>
    <x v="1"/>
    <s v="MetaStorm - MD eSponsor Application Support &amp; Maintenance"/>
    <m/>
    <m/>
    <s v="IT-FBT0779-OT-US-00"/>
    <m/>
    <m/>
    <m/>
    <s v="Metastorm"/>
    <m/>
    <m/>
    <n v="0"/>
    <n v="0"/>
    <n v="0"/>
    <n v="0"/>
    <m/>
    <m/>
    <n v="8751"/>
    <n v="0"/>
    <n v="0"/>
    <n v="0"/>
    <n v="0"/>
    <n v="0"/>
    <n v="0"/>
    <n v="0"/>
    <n v="0"/>
    <n v="0"/>
    <n v="8751"/>
    <n v="8751"/>
    <m/>
    <m/>
    <n v="0"/>
    <m/>
    <n v="8751"/>
    <m/>
    <m/>
    <m/>
    <n v="8751"/>
    <n v="0"/>
    <n v="0"/>
    <n v="0"/>
    <n v="0"/>
    <n v="0"/>
    <n v="0"/>
    <n v="0"/>
    <n v="0"/>
    <n v="0"/>
    <n v="8751"/>
    <m/>
    <m/>
    <n v="8751"/>
    <n v="0"/>
    <n v="0"/>
    <n v="0"/>
    <n v="0"/>
    <n v="0"/>
    <n v="0"/>
    <n v="0"/>
    <n v="0"/>
    <n v="0"/>
    <n v="8751"/>
  </r>
  <r>
    <s v="L-ERP-441"/>
    <s v="Meadows, Leslie_CONTRACTORS_IT-FBT0780-OT-US-00"/>
    <s v="ERP"/>
    <x v="0"/>
    <s v="Meadows, Leslie"/>
    <s v="Maguire, Karla"/>
    <x v="2"/>
    <s v="SSCS Operational Support"/>
    <m/>
    <m/>
    <s v="IT-FBT0780-OT-US-00"/>
    <m/>
    <m/>
    <m/>
    <s v="None"/>
    <m/>
    <m/>
    <n v="499304.03999999986"/>
    <n v="499304.03999999986"/>
    <n v="499304.03999999986"/>
    <n v="0"/>
    <n v="30113.96"/>
    <n v="19240.66"/>
    <n v="44681.55"/>
    <n v="40000"/>
    <n v="90000"/>
    <n v="44000"/>
    <n v="35600"/>
    <n v="44000"/>
    <n v="36000"/>
    <n v="40000"/>
    <n v="36000"/>
    <n v="43000"/>
    <n v="502636.17"/>
    <n v="3332.1300000001211"/>
    <m/>
    <m/>
    <n v="0"/>
    <m/>
    <n v="3332.1300000001211"/>
    <m/>
    <n v="30113.96"/>
    <n v="19240.66"/>
    <n v="44681.55"/>
    <n v="40000"/>
    <n v="90000"/>
    <n v="44000"/>
    <n v="35600"/>
    <n v="44000"/>
    <n v="36000"/>
    <n v="40000"/>
    <n v="36000"/>
    <n v="43000"/>
    <n v="502636.17"/>
    <n v="30113.96"/>
    <n v="19240.66"/>
    <n v="44681.55"/>
    <n v="44995"/>
    <n v="44995"/>
    <n v="44995"/>
    <n v="44995"/>
    <n v="44995"/>
    <n v="44995"/>
    <n v="44995"/>
    <n v="44995"/>
    <n v="44995"/>
    <n v="498991.17"/>
  </r>
  <r>
    <s v="L-ERP-151"/>
    <s v="Ganesan, Srinivasan_CONTRACTORS_IT-FBT0784-OG-US-00"/>
    <s v="ERP"/>
    <x v="1"/>
    <s v="Ganesan, Srinivasan"/>
    <s v="DeHart, Lynn"/>
    <x v="2"/>
    <s v="GLNS Analytics Resources"/>
    <m/>
    <m/>
    <s v="IT-FBT0784-OG-US-00"/>
    <s v="CHW - F/U"/>
    <m/>
    <m/>
    <s v="None"/>
    <s v="4/30 - CHW follow-up with Sashi M on XFR and LE2 status"/>
    <m/>
    <n v="1129982.58"/>
    <n v="1129982.58"/>
    <n v="1129982.58"/>
    <n v="0"/>
    <n v="77285"/>
    <n v="177053.54"/>
    <n v="-2920.45"/>
    <n v="97087"/>
    <n v="97087"/>
    <n v="97087"/>
    <n v="55338"/>
    <n v="55338"/>
    <n v="55338"/>
    <n v="55338"/>
    <n v="55338"/>
    <n v="55338"/>
    <n v="874707.09"/>
    <n v="-255275.49000000011"/>
    <m/>
    <m/>
    <n v="0"/>
    <n v="255000"/>
    <n v="-510275.49000000011"/>
    <s v="$770K to be transferred to Sashi in 2027"/>
    <n v="77285"/>
    <n v="177053.54"/>
    <n v="-2920.45"/>
    <n v="97087"/>
    <n v="97087"/>
    <n v="97087"/>
    <n v="55338"/>
    <n v="55338"/>
    <n v="55338"/>
    <n v="55338"/>
    <n v="55338"/>
    <n v="55338"/>
    <n v="874707.09"/>
    <n v="77285"/>
    <n v="177053.54"/>
    <n v="-2920.45"/>
    <n v="90495"/>
    <n v="90495"/>
    <n v="99200"/>
    <n v="54165"/>
    <n v="54165"/>
    <n v="54165"/>
    <n v="54165"/>
    <n v="54165"/>
    <n v="54165"/>
    <n v="856598.09"/>
  </r>
  <r>
    <s v="L-ERP-162"/>
    <s v="Ganesan, Srinivasan_SOFTWARE_IT-FBT0784-OG-US-00"/>
    <s v="ERP"/>
    <x v="1"/>
    <s v="Ganesan, Srinivasan"/>
    <s v="DeHart, Lynn"/>
    <x v="0"/>
    <s v="GLNS Analytics Resources"/>
    <m/>
    <m/>
    <s v="IT-FBT0784-OG-US-00"/>
    <s v="CHW - F/U"/>
    <m/>
    <m/>
    <s v="None"/>
    <m/>
    <m/>
    <n v="0"/>
    <n v="0"/>
    <n v="0"/>
    <n v="0"/>
    <m/>
    <m/>
    <n v="292.39999999999998"/>
    <n v="0"/>
    <n v="0"/>
    <n v="0"/>
    <n v="0"/>
    <n v="0"/>
    <n v="0"/>
    <n v="0"/>
    <n v="0"/>
    <n v="0"/>
    <n v="292.39999999999998"/>
    <n v="292.39999999999998"/>
    <m/>
    <m/>
    <n v="0"/>
    <m/>
    <n v="292.39999999999998"/>
    <s v="Jira License for GLNS Analytics. Budget availabile under IT-SFT1267-xx"/>
    <m/>
    <m/>
    <n v="292.39999999999998"/>
    <n v="0"/>
    <n v="0"/>
    <n v="0"/>
    <n v="0"/>
    <n v="0"/>
    <n v="0"/>
    <n v="0"/>
    <n v="0"/>
    <n v="0"/>
    <n v="292.39999999999998"/>
    <m/>
    <m/>
    <n v="292.39999999999998"/>
    <n v="0"/>
    <n v="0"/>
    <n v="0"/>
    <n v="0"/>
    <n v="0"/>
    <n v="0"/>
    <n v="0"/>
    <n v="0"/>
    <n v="0"/>
    <n v="292.39999999999998"/>
  </r>
  <r>
    <s v="L-ERP-243"/>
    <s v="Jajodia, Amit_CONTRACTORS_IT-FBT0785-OG-US-00"/>
    <s v="ERP"/>
    <x v="1"/>
    <s v="Jajodia, Amit"/>
    <s v="DeHart, Lynn"/>
    <x v="2"/>
    <s v="ES SCC &amp; CMO Support_XFR0923 &amp; XFR0862 &amp; XFR0924"/>
    <m/>
    <m/>
    <s v="IT-FBT0785-OG-US-00"/>
    <m/>
    <m/>
    <m/>
    <s v="None"/>
    <s v=" XfR-0028-A had a transfer for 266K. This transfer is being merged in the WBS FBT0785 (original 325K). The forecast has been reduced to 378K, effectively reducing the forecast by $210K - AJ - 05/01"/>
    <m/>
    <n v="325000.08000000007"/>
    <n v="325000.08000000007"/>
    <n v="325000.08000000007"/>
    <n v="0"/>
    <n v="43362"/>
    <n v="48564.89"/>
    <n v="60706.43"/>
    <n v="31668"/>
    <n v="11500"/>
    <n v="11500"/>
    <n v="29000"/>
    <n v="29000"/>
    <n v="28000"/>
    <n v="28500"/>
    <n v="28500"/>
    <n v="28500"/>
    <n v="378801.32"/>
    <n v="53801.239999999932"/>
    <m/>
    <m/>
    <n v="0"/>
    <m/>
    <n v="53801.239999999932"/>
    <s v="Acct Mvmnt -'IT-FBT0785-OG-US-00/2026-XFR-0028-A Merged"/>
    <n v="43362"/>
    <n v="48564.89"/>
    <n v="60706.43"/>
    <n v="31668"/>
    <n v="11500"/>
    <n v="11500"/>
    <n v="29000"/>
    <n v="29000"/>
    <n v="28000"/>
    <n v="28500"/>
    <n v="28500"/>
    <n v="28500"/>
    <n v="378801.32"/>
    <n v="43362"/>
    <n v="48564.89"/>
    <n v="60706.43"/>
    <n v="49897"/>
    <n v="49897"/>
    <n v="49897"/>
    <n v="49897"/>
    <n v="49897"/>
    <n v="49897"/>
    <n v="49897"/>
    <n v="49897"/>
    <n v="49897"/>
    <n v="601706.32000000007"/>
  </r>
  <r>
    <s v="L-ERP-152"/>
    <s v="Ganesan, Srinivasan_CONTRACTORS_IT-FBT0790-OG-US-00"/>
    <s v="ERP"/>
    <x v="1"/>
    <s v="Ganesan, Srinivasan"/>
    <s v="DeHart, Lynn"/>
    <x v="2"/>
    <s v="GLNS Functional Support_XFR0974 &amp; XFR0929 &amp; XFR0906 &amp; XFR0959"/>
    <m/>
    <m/>
    <s v="IT-FBT0790-OG-US-00"/>
    <m/>
    <m/>
    <m/>
    <s v="None"/>
    <m/>
    <m/>
    <n v="513000"/>
    <n v="513000"/>
    <n v="513000"/>
    <n v="0"/>
    <n v="98474.5"/>
    <n v="-21757.25"/>
    <n v="-81628.5"/>
    <n v="0"/>
    <n v="0"/>
    <n v="0"/>
    <n v="64140"/>
    <n v="64140"/>
    <n v="64140"/>
    <n v="64140"/>
    <n v="64140"/>
    <n v="69140"/>
    <n v="384928.75"/>
    <n v="-128071.25"/>
    <m/>
    <m/>
    <n v="0"/>
    <n v="128000"/>
    <n v="-256071.25"/>
    <s v="Giveback is the portain earmarked for colleague vacant position that was already accounted for in Compensation."/>
    <n v="98474.5"/>
    <n v="-21757.25"/>
    <n v="-81628.5"/>
    <n v="0"/>
    <n v="0"/>
    <n v="0"/>
    <n v="64140"/>
    <n v="64140"/>
    <n v="64140"/>
    <n v="64140"/>
    <n v="64140"/>
    <n v="69140"/>
    <n v="384928.75"/>
    <n v="98474.5"/>
    <n v="-21757.25"/>
    <n v="-81628.5"/>
    <n v="7667"/>
    <n v="9667"/>
    <n v="15667"/>
    <n v="70892"/>
    <n v="65000"/>
    <n v="65000"/>
    <n v="65000"/>
    <n v="65000"/>
    <n v="65000"/>
    <n v="423981.75"/>
  </r>
  <r>
    <s v="N-ERP-561"/>
    <s v="Ganesan, Srinivasan_MANAGED SERVICES_IT-FBT0793-OG-US-00"/>
    <s v="ERP-N"/>
    <x v="1"/>
    <s v="Ganesan, Srinivasan"/>
    <s v="DeHart, Lynn"/>
    <x v="1"/>
    <s v="GLNS Trade Collaborator"/>
    <m/>
    <m/>
    <s v="IT-FBT0793-OG-US-00"/>
    <m/>
    <m/>
    <s v="Investigate LE2"/>
    <s v="None"/>
    <s v="4/28/26 CHW New add to tie-out 0223 to 0317 Planful Extracts"/>
    <m/>
    <n v="12500"/>
    <n v="12500"/>
    <n v="12500"/>
    <n v="0"/>
    <m/>
    <m/>
    <m/>
    <n v="0"/>
    <n v="0"/>
    <n v="0"/>
    <n v="0"/>
    <n v="0"/>
    <n v="0"/>
    <n v="0"/>
    <n v="0"/>
    <n v="0"/>
    <n v="0"/>
    <n v="-12500"/>
    <m/>
    <m/>
    <n v="0"/>
    <m/>
    <n v="-12500"/>
    <m/>
    <m/>
    <m/>
    <m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12500"/>
  </r>
  <r>
    <s v="N-ERP-562"/>
    <s v="Ganesan, Srinivasan_MANAGED SERVICES_IT-FBT0793-OG-US-00/CB"/>
    <s v="ERP-N"/>
    <x v="1"/>
    <s v="Ganesan, Srinivasan"/>
    <s v="DeHart, Lynn"/>
    <x v="1"/>
    <s v="GLNS Trade Collaborator"/>
    <m/>
    <m/>
    <s v="IT-FBT0793-OG-US-00/CB"/>
    <m/>
    <m/>
    <s v="Investigate LE2"/>
    <s v="None"/>
    <s v="4/28/26 CHW New add to tie-out 0223 to 0317 Planful Extracts"/>
    <m/>
    <n v="-12500"/>
    <n v="-12500"/>
    <n v="-12500"/>
    <n v="0"/>
    <m/>
    <m/>
    <m/>
    <n v="0"/>
    <n v="0"/>
    <n v="0"/>
    <n v="0"/>
    <n v="0"/>
    <n v="0"/>
    <n v="0"/>
    <n v="0"/>
    <n v="0"/>
    <n v="0"/>
    <n v="12500"/>
    <m/>
    <m/>
    <n v="0"/>
    <m/>
    <n v="12500"/>
    <m/>
    <m/>
    <m/>
    <m/>
    <n v="0"/>
    <n v="0"/>
    <n v="0"/>
    <n v="0"/>
    <n v="0"/>
    <n v="0"/>
    <n v="0"/>
    <n v="0"/>
    <n v="0"/>
    <n v="0"/>
    <n v="0"/>
    <n v="0"/>
    <n v="-12500"/>
    <n v="0"/>
    <n v="0"/>
    <n v="0"/>
    <n v="0"/>
    <n v="0"/>
    <n v="0"/>
    <n v="0"/>
    <n v="0"/>
    <n v="0"/>
    <n v="-12500"/>
  </r>
  <r>
    <s v="L-ERP-002"/>
    <s v="DeHart, Lynn_MANAGED SERVICES_IT-FBT0798-OG-BE-00"/>
    <s v="ERP"/>
    <x v="1"/>
    <s v="DeHart, Lynn"/>
    <s v="DeHart, Lynn"/>
    <x v="1"/>
    <s v="Company Car - Belgium (LE5923) - Maria Gkountouva Plate 2CBY846"/>
    <m/>
    <m/>
    <s v="IT-FBT0798-OG-BE-00"/>
    <m/>
    <m/>
    <m/>
    <s v="Car"/>
    <m/>
    <m/>
    <n v="0"/>
    <n v="0"/>
    <n v="0"/>
    <n v="0"/>
    <n v="387.61"/>
    <n v="1445.99"/>
    <n v="2032.87"/>
    <n v="0"/>
    <n v="0"/>
    <n v="0"/>
    <n v="0"/>
    <n v="0"/>
    <n v="0"/>
    <n v="0"/>
    <n v="0"/>
    <n v="0"/>
    <n v="3866.47"/>
    <n v="3866.47"/>
    <m/>
    <m/>
    <n v="-2.2737367544323206E-13"/>
    <m/>
    <n v="3866.47"/>
    <m/>
    <n v="387.61"/>
    <n v="1445.99"/>
    <n v="2032.87"/>
    <n v="0"/>
    <n v="0"/>
    <n v="0"/>
    <n v="0"/>
    <n v="0"/>
    <n v="0"/>
    <n v="0"/>
    <n v="0"/>
    <n v="0"/>
    <n v="3866.47"/>
    <n v="387.61"/>
    <n v="1445.99"/>
    <n v="2032.87"/>
    <n v="0"/>
    <n v="0"/>
    <n v="0"/>
    <n v="0"/>
    <n v="0"/>
    <n v="0"/>
    <n v="0"/>
    <n v="0"/>
    <n v="0"/>
    <n v="3866.47"/>
  </r>
  <r>
    <s v="L-ERP-124"/>
    <s v="Ganesan, Srinivasan_MANAGED SERVICES_IT-FBT0798-OG-BE-00"/>
    <s v="ERP"/>
    <x v="1"/>
    <s v="Ganesan, Srinivasan"/>
    <s v="DeHart, Lynn"/>
    <x v="1"/>
    <s v="Company Car - Belgium (LE5923) - Maria Gkountouva Plate 2CBY846"/>
    <m/>
    <m/>
    <s v="IT-FBT0798-OG-BE-00"/>
    <m/>
    <m/>
    <m/>
    <s v="Car"/>
    <m/>
    <m/>
    <n v="14400"/>
    <n v="14400"/>
    <n v="14400"/>
    <n v="0"/>
    <m/>
    <m/>
    <m/>
    <n v="1200"/>
    <n v="1200"/>
    <n v="1200"/>
    <n v="1200"/>
    <n v="1200"/>
    <n v="1200"/>
    <n v="1200"/>
    <n v="1200"/>
    <n v="1200"/>
    <n v="10800"/>
    <n v="-3600"/>
    <m/>
    <m/>
    <n v="0"/>
    <m/>
    <n v="-3600"/>
    <m/>
    <m/>
    <m/>
    <m/>
    <n v="1200"/>
    <n v="1200"/>
    <n v="1200"/>
    <n v="1200"/>
    <n v="1200"/>
    <n v="1200"/>
    <n v="1200"/>
    <n v="1200"/>
    <n v="1200"/>
    <n v="10800"/>
    <m/>
    <m/>
    <m/>
    <n v="1200"/>
    <n v="1200"/>
    <n v="1200"/>
    <n v="1200"/>
    <n v="1200"/>
    <n v="1200"/>
    <n v="1200"/>
    <n v="1200"/>
    <n v="1200"/>
    <n v="10800"/>
  </r>
  <r>
    <s v="L-ERP-125"/>
    <s v="Ganesan, Srinivasan_MANAGED SERVICES_IT-FBT0799-OG-MX-00"/>
    <s v="ERP"/>
    <x v="1"/>
    <s v="Ganesan, Srinivasan"/>
    <s v="DeHart, Lynn"/>
    <x v="1"/>
    <s v="Company Car - Mexico LE 2520 - David Ortiz"/>
    <m/>
    <m/>
    <s v="IT-FBT0799-OG-MX-00"/>
    <m/>
    <m/>
    <m/>
    <s v="Car"/>
    <m/>
    <m/>
    <n v="3000"/>
    <n v="3000"/>
    <n v="3000"/>
    <n v="0"/>
    <m/>
    <m/>
    <m/>
    <n v="250"/>
    <n v="250"/>
    <n v="250"/>
    <n v="250"/>
    <n v="250"/>
    <n v="250"/>
    <n v="250"/>
    <n v="250"/>
    <n v="250"/>
    <n v="2250"/>
    <n v="-750"/>
    <m/>
    <m/>
    <n v="0"/>
    <m/>
    <n v="-750"/>
    <m/>
    <m/>
    <m/>
    <m/>
    <n v="250"/>
    <n v="250"/>
    <n v="250"/>
    <n v="250"/>
    <n v="250"/>
    <n v="250"/>
    <n v="250"/>
    <n v="250"/>
    <n v="250"/>
    <n v="2250"/>
    <m/>
    <m/>
    <m/>
    <n v="250"/>
    <n v="250"/>
    <n v="250"/>
    <n v="250"/>
    <n v="250"/>
    <n v="250"/>
    <n v="250"/>
    <n v="250"/>
    <n v="250"/>
    <n v="2250"/>
  </r>
  <r>
    <s v="L-ERP-442"/>
    <s v="Meadows, Leslie_CONTRACTORS_IT-FBT0801-OG-US-00"/>
    <s v="ERP"/>
    <x v="0"/>
    <s v="Meadows, Leslie"/>
    <s v="Maguire, Karla"/>
    <x v="2"/>
    <s v="SSCS - Functional Support (ACN Testing, IBM testing)"/>
    <m/>
    <m/>
    <s v="IT-FBT0801-OG-US-00"/>
    <m/>
    <m/>
    <m/>
    <s v="None"/>
    <m/>
    <m/>
    <n v="216000"/>
    <n v="216000"/>
    <n v="216000"/>
    <n v="0"/>
    <n v="13712.98"/>
    <n v="15359.13"/>
    <n v="67493.539999999994"/>
    <n v="4300"/>
    <n v="35803.370000000003"/>
    <n v="6000"/>
    <n v="6000"/>
    <n v="6000"/>
    <n v="6000"/>
    <n v="6000"/>
    <n v="6000"/>
    <n v="6000"/>
    <n v="178669.02"/>
    <n v="-37330.98000000001"/>
    <m/>
    <m/>
    <n v="0"/>
    <n v="-32339"/>
    <n v="-4991.9800000000105"/>
    <s v="testing factory adjustment"/>
    <n v="13712.98"/>
    <n v="15359.13"/>
    <n v="67493.539999999994"/>
    <n v="4300"/>
    <n v="35803.370000000003"/>
    <n v="6000"/>
    <n v="6000"/>
    <n v="6000"/>
    <n v="6000"/>
    <n v="6000"/>
    <n v="6000"/>
    <n v="6000"/>
    <n v="178669.02"/>
    <n v="13712.98"/>
    <n v="15359.13"/>
    <n v="67493.539999999994"/>
    <n v="18693"/>
    <n v="18693"/>
    <n v="18693"/>
    <n v="18693"/>
    <n v="18693"/>
    <n v="18693"/>
    <n v="18693"/>
    <n v="18693"/>
    <n v="18693"/>
    <n v="264802.65000000002"/>
  </r>
  <r>
    <m/>
    <m/>
    <s v="ERP"/>
    <x v="1"/>
    <s v="Hase, Raj"/>
    <s v="Hase, Raj"/>
    <x v="1"/>
    <s v="FUDH Snowflake for Nexus &amp; Infrastructure Costs"/>
    <m/>
    <m/>
    <s v="IT-FBT0824-OT-US-00"/>
    <m/>
    <m/>
    <m/>
    <s v="Snowflake"/>
    <s v="LZ 4/27 - Move forecast from Mike H to Raj H"/>
    <m/>
    <m/>
    <n v="0"/>
    <m/>
    <m/>
    <m/>
    <m/>
    <m/>
    <m/>
    <n v="13000"/>
    <m/>
    <m/>
    <m/>
    <m/>
    <n v="13000"/>
    <m/>
    <m/>
    <n v="26000"/>
    <n v="26000"/>
    <m/>
    <m/>
    <n v="0"/>
    <m/>
    <m/>
    <m/>
    <m/>
    <m/>
    <m/>
    <m/>
    <n v="13000"/>
    <m/>
    <m/>
    <m/>
    <m/>
    <n v="13000"/>
    <m/>
    <m/>
    <n v="26000"/>
    <m/>
    <m/>
    <m/>
    <m/>
    <m/>
    <m/>
    <m/>
    <m/>
    <m/>
    <m/>
    <m/>
    <m/>
    <m/>
  </r>
  <r>
    <s v="L-ERP-226"/>
    <s v="Hovanyetz, Mike_MANAGED SERVICES_IT-FBT0824-OT-US-00"/>
    <s v="ERP"/>
    <x v="1"/>
    <s v="Hovanyetz, Mike"/>
    <s v="DeHart, Lynn"/>
    <x v="1"/>
    <s v="FUDH Snowflake for Nexus &amp; Infrastructure Costs"/>
    <m/>
    <m/>
    <s v="IT-FBT0824-OT-US-00"/>
    <m/>
    <m/>
    <m/>
    <s v="Snowflake"/>
    <s v="LZ 4/27 - Move forecast from Mike H to Raj H"/>
    <m/>
    <n v="26000"/>
    <n v="26000"/>
    <n v="26000"/>
    <n v="0"/>
    <m/>
    <m/>
    <m/>
    <m/>
    <n v="0"/>
    <n v="0"/>
    <n v="0"/>
    <n v="0"/>
    <n v="0"/>
    <n v="0"/>
    <n v="0"/>
    <n v="0"/>
    <n v="0"/>
    <n v="-26000"/>
    <m/>
    <m/>
    <n v="0"/>
    <m/>
    <n v="-26000"/>
    <m/>
    <m/>
    <m/>
    <m/>
    <m/>
    <n v="0"/>
    <n v="0"/>
    <n v="0"/>
    <n v="0"/>
    <n v="0"/>
    <n v="0"/>
    <n v="0"/>
    <n v="0"/>
    <n v="0"/>
    <m/>
    <m/>
    <m/>
    <m/>
    <n v="13000"/>
    <n v="0"/>
    <n v="0"/>
    <n v="0"/>
    <n v="0"/>
    <n v="13000"/>
    <n v="0"/>
    <n v="0"/>
    <n v="26000"/>
  </r>
  <r>
    <s v="L-ERP-443"/>
    <s v="Meadows, Leslie_CONTRACTORS_IT-FBT0826-OG-US-00"/>
    <s v="ERP"/>
    <x v="0"/>
    <s v="Meadows, Leslie"/>
    <s v="Maguire, Karla"/>
    <x v="2"/>
    <s v="Insight GlobaL: SAP Support Services"/>
    <m/>
    <m/>
    <s v="IT-FBT0826-OG-US-00"/>
    <m/>
    <m/>
    <m/>
    <s v="None"/>
    <m/>
    <m/>
    <n v="96720"/>
    <n v="96720"/>
    <n v="96720"/>
    <n v="0"/>
    <n v="6643.44"/>
    <n v="5644"/>
    <n v="8304"/>
    <n v="11029"/>
    <n v="7812"/>
    <n v="8184"/>
    <n v="8556"/>
    <n v="7812"/>
    <n v="8184"/>
    <n v="8184"/>
    <n v="7812"/>
    <n v="8556"/>
    <n v="96720.44"/>
    <n v="0.44000000000232831"/>
    <m/>
    <m/>
    <n v="0"/>
    <m/>
    <n v="0.44000000000232831"/>
    <m/>
    <n v="6643.44"/>
    <n v="5644"/>
    <n v="8304"/>
    <n v="11029"/>
    <n v="7812"/>
    <n v="8184"/>
    <n v="8556"/>
    <n v="7812"/>
    <n v="8184"/>
    <n v="8184"/>
    <n v="7812"/>
    <n v="8556"/>
    <n v="96720.44"/>
    <n v="6643.44"/>
    <n v="5644"/>
    <n v="8304"/>
    <n v="8184"/>
    <n v="7812"/>
    <n v="8184"/>
    <n v="8556"/>
    <n v="7812"/>
    <n v="8184"/>
    <n v="8184"/>
    <n v="7812"/>
    <n v="8556"/>
    <n v="93875.44"/>
  </r>
  <r>
    <s v="L-ERP-388"/>
    <s v="McGettigan, David_MANAGED SERVICES_IT-FBT0830-OT-US-00"/>
    <s v="ERP"/>
    <x v="2"/>
    <s v="McGettigan, David"/>
    <s v="McGettigan, David"/>
    <x v="1"/>
    <s v="P324-0013837 Enhance SharePoint site upgrade"/>
    <m/>
    <m/>
    <s v="IT-FBT0830-OT-US-00"/>
    <m/>
    <m/>
    <m/>
    <s v="Digital Funded Project"/>
    <m/>
    <m/>
    <n v="-30"/>
    <n v="-30"/>
    <n v="-30"/>
    <n v="0"/>
    <m/>
    <m/>
    <n v="-30"/>
    <n v="0"/>
    <n v="0"/>
    <n v="0"/>
    <n v="0"/>
    <n v="0"/>
    <n v="0"/>
    <n v="0"/>
    <n v="0"/>
    <n v="0"/>
    <n v="-30"/>
    <n v="0"/>
    <m/>
    <m/>
    <n v="0"/>
    <m/>
    <n v="0"/>
    <m/>
    <m/>
    <m/>
    <n v="-30"/>
    <n v="0"/>
    <n v="0"/>
    <n v="0"/>
    <n v="0"/>
    <n v="0"/>
    <n v="0"/>
    <n v="0"/>
    <n v="0"/>
    <n v="0"/>
    <n v="-30"/>
    <m/>
    <m/>
    <n v="-30"/>
    <n v="0"/>
    <n v="0"/>
    <n v="5000"/>
    <n v="0"/>
    <n v="0"/>
    <n v="5000"/>
    <n v="0"/>
    <n v="0"/>
    <n v="-15000"/>
    <n v="-5030"/>
  </r>
  <r>
    <s v="L-ERP-367"/>
    <s v="McCormick, Pete_CONTRACTORS_IT-FBT0831-OT-US-00"/>
    <s v="ERP"/>
    <x v="0"/>
    <s v="McCormick, Pete"/>
    <s v="Maguire, Karla"/>
    <x v="2"/>
    <s v="SAP Platform- IBM Power Lab Consulting"/>
    <m/>
    <m/>
    <s v="IT-FBT0831-OT-US-00"/>
    <m/>
    <m/>
    <m/>
    <s v="None"/>
    <m/>
    <m/>
    <n v="49000"/>
    <n v="49000"/>
    <n v="49000"/>
    <n v="0"/>
    <n v="3356.36"/>
    <n v="3758.72"/>
    <n v="4698.63"/>
    <n v="0"/>
    <n v="0"/>
    <n v="17384.919999999998"/>
    <n v="0"/>
    <n v="0"/>
    <n v="12250"/>
    <n v="0"/>
    <n v="0"/>
    <n v="7352"/>
    <n v="48800.63"/>
    <n v="-199.37000000000262"/>
    <m/>
    <m/>
    <n v="-9.0949470177292824E-13"/>
    <m/>
    <n v="-199.37000000000262"/>
    <m/>
    <n v="3356.36"/>
    <n v="3758.72"/>
    <n v="4698.63"/>
    <n v="0"/>
    <n v="0"/>
    <n v="17384.919999999998"/>
    <n v="0"/>
    <n v="0"/>
    <n v="12250"/>
    <n v="0"/>
    <n v="0"/>
    <n v="7352"/>
    <n v="48800.63"/>
    <n v="3356.36"/>
    <n v="3758.72"/>
    <n v="4698.63"/>
    <n v="0"/>
    <n v="0"/>
    <n v="17384.919999999998"/>
    <n v="0"/>
    <n v="0"/>
    <n v="12250"/>
    <n v="0"/>
    <n v="0"/>
    <n v="12250"/>
    <n v="53698.63"/>
  </r>
  <r>
    <s v="L-ERP-368"/>
    <s v="McCormick, Pete_CONTRACTORS_IT-FBT0832-OT-US-00"/>
    <s v="ERP"/>
    <x v="0"/>
    <s v="McCormick, Pete"/>
    <s v="Maguire, Karla"/>
    <x v="2"/>
    <s v="SAP Platform- IBM Power Breakfix Consulting"/>
    <m/>
    <m/>
    <s v="IT-FBT0832-OT-US-00"/>
    <m/>
    <m/>
    <m/>
    <s v="None"/>
    <m/>
    <m/>
    <n v="23000"/>
    <n v="23000"/>
    <n v="23000"/>
    <n v="0"/>
    <n v="1355"/>
    <n v="1517.05"/>
    <n v="1896.64"/>
    <n v="0"/>
    <n v="0"/>
    <n v="13000"/>
    <n v="0"/>
    <n v="0"/>
    <n v="3852.95"/>
    <n v="0"/>
    <n v="0"/>
    <n v="0"/>
    <n v="21621.640000000003"/>
    <n v="-1378.3599999999969"/>
    <m/>
    <m/>
    <n v="4.5474735088646412E-13"/>
    <m/>
    <n v="-1378.3599999999969"/>
    <m/>
    <n v="1355"/>
    <n v="1517.05"/>
    <n v="1896.64"/>
    <n v="0"/>
    <n v="0"/>
    <n v="13000"/>
    <n v="0"/>
    <n v="0"/>
    <n v="3852.95"/>
    <n v="0"/>
    <n v="0"/>
    <n v="0"/>
    <n v="21621.640000000003"/>
    <n v="1355"/>
    <n v="1517.05"/>
    <n v="1896.64"/>
    <n v="0"/>
    <n v="0"/>
    <n v="13000"/>
    <n v="0"/>
    <n v="0"/>
    <n v="3852.95"/>
    <n v="0"/>
    <n v="0"/>
    <n v="0"/>
    <n v="21621.640000000003"/>
  </r>
  <r>
    <s v="L-ERP-389"/>
    <s v="McGettigan, David_CONTRACTORS_IT-FBT0934-OT-US-00"/>
    <s v="ERP"/>
    <x v="2"/>
    <s v="McGettigan, David"/>
    <s v="McGettigan, David"/>
    <x v="2"/>
    <s v="Digital C-TIES Marketing (2025)"/>
    <m/>
    <m/>
    <s v="IT-FBT0934-OT-US-00"/>
    <m/>
    <m/>
    <m/>
    <s v="Digital Funded Project (2025 One-time project)"/>
    <m/>
    <m/>
    <n v="-2578"/>
    <n v="-2578"/>
    <n v="-2578"/>
    <n v="0"/>
    <m/>
    <m/>
    <n v="-2578.37"/>
    <n v="0"/>
    <n v="-48807"/>
    <n v="0"/>
    <n v="0"/>
    <n v="0"/>
    <n v="0"/>
    <n v="0"/>
    <n v="0"/>
    <n v="0"/>
    <n v="-51385.37"/>
    <n v="-48807.37"/>
    <m/>
    <m/>
    <n v="0"/>
    <m/>
    <n v="-48807.37"/>
    <m/>
    <m/>
    <m/>
    <n v="-2578.37"/>
    <n v="0"/>
    <n v="-48807"/>
    <n v="0"/>
    <n v="0"/>
    <n v="0"/>
    <n v="0"/>
    <n v="0"/>
    <n v="0"/>
    <n v="0"/>
    <n v="-51385.37"/>
    <m/>
    <m/>
    <n v="-2578.37"/>
    <n v="0"/>
    <n v="0"/>
    <n v="0"/>
    <n v="0"/>
    <n v="0"/>
    <n v="0"/>
    <n v="0"/>
    <n v="0"/>
    <n v="0"/>
    <n v="-2578.37"/>
  </r>
  <r>
    <s v="L-ERP-005"/>
    <s v="DeHart, Lynn_MANAGED SERVICES_IT-FBT0980-OT-US-00"/>
    <s v="ERP"/>
    <x v="1"/>
    <s v="DeHart, Lynn"/>
    <s v="DeHart, Lynn"/>
    <x v="1"/>
    <s v="P324-0014646-Pfizer Apps - App &amp; DB Upgrade"/>
    <m/>
    <m/>
    <s v="IT-FBT0980-OT-US-00"/>
    <m/>
    <m/>
    <m/>
    <s v="Digital Funded Project"/>
    <m/>
    <m/>
    <n v="0"/>
    <n v="0"/>
    <n v="0"/>
    <n v="0"/>
    <n v="2699.63"/>
    <n v="2847.71"/>
    <n v="-5272.19"/>
    <n v="0"/>
    <n v="0"/>
    <n v="0"/>
    <n v="0"/>
    <n v="0"/>
    <n v="0"/>
    <n v="0"/>
    <n v="0"/>
    <n v="0"/>
    <n v="275.15000000000055"/>
    <n v="275.15000000000055"/>
    <m/>
    <m/>
    <n v="0"/>
    <m/>
    <n v="275.15000000000055"/>
    <m/>
    <n v="2699.63"/>
    <n v="2847.71"/>
    <n v="-5272.19"/>
    <n v="0"/>
    <n v="0"/>
    <n v="0"/>
    <n v="0"/>
    <n v="0"/>
    <n v="0"/>
    <n v="0"/>
    <n v="0"/>
    <n v="0"/>
    <n v="275.15000000000055"/>
    <n v="2699.63"/>
    <n v="2847.71"/>
    <n v="-5272.19"/>
    <n v="2847.71"/>
    <n v="2847.71"/>
    <n v="2847.71"/>
    <n v="2847.71"/>
    <n v="2847.71"/>
    <n v="2847.71"/>
    <n v="2847.71"/>
    <n v="2847.71"/>
    <n v="2847.71"/>
    <n v="25904.539999999997"/>
  </r>
  <r>
    <s v="L-ERP-006"/>
    <s v="DeHart, Lynn_SOFTWARE_IT-FBT0980-OT-US-00"/>
    <s v="ERP"/>
    <x v="1"/>
    <s v="DeHart, Lynn"/>
    <s v="DeHart, Lynn"/>
    <x v="0"/>
    <s v="P324-0014646-Pfizer Apps - App &amp; DB Upgrade"/>
    <m/>
    <m/>
    <s v="IT-FBT0980-OT-US-00"/>
    <m/>
    <m/>
    <m/>
    <s v="Digital Funded Project"/>
    <m/>
    <m/>
    <n v="0"/>
    <n v="0"/>
    <n v="0"/>
    <n v="0"/>
    <n v="139.72999999999999"/>
    <n v="139.72999999999999"/>
    <n v="-139.72999999999999"/>
    <n v="0"/>
    <n v="0"/>
    <n v="0"/>
    <n v="0"/>
    <n v="0"/>
    <n v="0"/>
    <n v="0"/>
    <n v="0"/>
    <n v="0"/>
    <n v="139.72999999999999"/>
    <n v="139.72999999999999"/>
    <m/>
    <m/>
    <n v="0"/>
    <m/>
    <n v="139.72999999999999"/>
    <m/>
    <n v="139.72999999999999"/>
    <n v="139.72999999999999"/>
    <n v="-139.72999999999999"/>
    <n v="0"/>
    <n v="0"/>
    <n v="0"/>
    <n v="0"/>
    <n v="0"/>
    <n v="0"/>
    <n v="0"/>
    <n v="0"/>
    <n v="0"/>
    <n v="139.72999999999999"/>
    <n v="139.72999999999999"/>
    <n v="139.72999999999999"/>
    <n v="-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7.3"/>
  </r>
  <r>
    <s v="N-ERP-604"/>
    <s v="McGettigan, David_CONTRACTORS_IT-FBT0992-OT-US-00"/>
    <s v="ERP-N"/>
    <x v="2"/>
    <s v="McGettigan, David"/>
    <s v="McGettigan, David"/>
    <x v="2"/>
    <s v="P323-0011535-SAP BW4HANA Program"/>
    <m/>
    <m/>
    <s v="IT-FBT0992-OT-US-00"/>
    <m/>
    <m/>
    <s v="Check with LZ"/>
    <s v="Digital Funded Project"/>
    <s v="4/28/26 CHW New add to tie-out 0223 to 0317 Planful Extracts"/>
    <m/>
    <n v="1078625"/>
    <n v="1078625"/>
    <n v="1078625"/>
    <n v="0"/>
    <m/>
    <m/>
    <m/>
    <m/>
    <m/>
    <m/>
    <m/>
    <m/>
    <m/>
    <m/>
    <m/>
    <m/>
    <n v="0"/>
    <n v="-1078625"/>
    <m/>
    <m/>
    <n v="0"/>
    <m/>
    <n v="-1078625"/>
    <m/>
    <m/>
    <m/>
    <m/>
    <m/>
    <m/>
    <m/>
    <m/>
    <m/>
    <m/>
    <m/>
    <m/>
    <m/>
    <n v="0"/>
    <n v="63566"/>
    <n v="71261"/>
    <n v="89885"/>
    <n v="89885"/>
    <n v="134828"/>
    <n v="134828"/>
    <n v="134828"/>
    <n v="91283"/>
    <n v="89885"/>
    <n v="89885"/>
    <n v="44942"/>
    <n v="43549"/>
    <n v="1078625"/>
  </r>
  <r>
    <s v="L-ERP-412"/>
    <s v="McGettigan, David_MANAGED SERVICES_IT-FBT1017-OT-US-00"/>
    <s v="ERP"/>
    <x v="2"/>
    <s v="McGettigan, David"/>
    <s v="McGettigan, David"/>
    <x v="1"/>
    <s v="xECM Functional Review &amp; Upgrade Assessment"/>
    <m/>
    <m/>
    <s v="IT-FBT1017-OT-US-00"/>
    <m/>
    <m/>
    <m/>
    <s v="Digital Funded Project"/>
    <m/>
    <m/>
    <n v="0"/>
    <n v="0"/>
    <n v="0"/>
    <n v="0"/>
    <m/>
    <m/>
    <n v="2089.6999999999998"/>
    <n v="0"/>
    <n v="0"/>
    <n v="0"/>
    <n v="0"/>
    <n v="0"/>
    <n v="0"/>
    <n v="0"/>
    <n v="0"/>
    <n v="0"/>
    <n v="2089.6999999999998"/>
    <n v="2089.6999999999998"/>
    <m/>
    <m/>
    <n v="0"/>
    <m/>
    <n v="2089.6999999999998"/>
    <m/>
    <m/>
    <m/>
    <n v="2089.6999999999998"/>
    <n v="0"/>
    <n v="0"/>
    <n v="0"/>
    <n v="0"/>
    <n v="0"/>
    <n v="0"/>
    <n v="0"/>
    <n v="0"/>
    <n v="0"/>
    <n v="2089.6999999999998"/>
    <m/>
    <m/>
    <n v="2089.6999999999998"/>
    <n v="0"/>
    <n v="0"/>
    <n v="0"/>
    <n v="0"/>
    <n v="0"/>
    <n v="0"/>
    <n v="0"/>
    <n v="0"/>
    <n v="0"/>
    <n v="2089.6999999999998"/>
  </r>
  <r>
    <s v="N-ERP-605"/>
    <s v="McGettigan, David_CONTRACTORS_IT-FBT1017-OT-US-00"/>
    <s v="ERP-N"/>
    <x v="2"/>
    <s v="McGettigan, David"/>
    <s v="McGettigan, David"/>
    <x v="2"/>
    <s v="xECM Functional Review &amp; Upgrade Assessment"/>
    <m/>
    <m/>
    <s v="IT-FBT1017-OT-US-00"/>
    <m/>
    <m/>
    <s v="Check with LZ"/>
    <s v="Digital Funded Project"/>
    <s v="4/28/26 CHW New add to tie-out 0223 to 0317 Planful Extracts"/>
    <m/>
    <n v="7850"/>
    <n v="7850"/>
    <n v="7850"/>
    <n v="0"/>
    <m/>
    <m/>
    <m/>
    <n v="0"/>
    <n v="0"/>
    <n v="0"/>
    <n v="0"/>
    <n v="0"/>
    <n v="0"/>
    <n v="0"/>
    <n v="0"/>
    <m/>
    <n v="0"/>
    <n v="-7850"/>
    <m/>
    <m/>
    <n v="0"/>
    <m/>
    <n v="-7850"/>
    <m/>
    <m/>
    <m/>
    <m/>
    <n v="0"/>
    <n v="0"/>
    <n v="0"/>
    <n v="0"/>
    <n v="0"/>
    <n v="0"/>
    <n v="0"/>
    <n v="0"/>
    <m/>
    <n v="0"/>
    <n v="2090"/>
    <n v="0"/>
    <n v="0"/>
    <n v="0"/>
    <n v="0"/>
    <n v="0"/>
    <n v="0"/>
    <n v="0"/>
    <n v="0"/>
    <n v="0"/>
    <n v="0"/>
    <n v="5760"/>
    <n v="7850"/>
  </r>
  <r>
    <s v="L-ERP-362"/>
    <s v="McCormick, Pete_SOFTWARE_IT-FGS0298-SW-US-00"/>
    <s v="ERP"/>
    <x v="0"/>
    <s v="McCormick, Pete"/>
    <s v="Maguire, Karla"/>
    <x v="0"/>
    <s v="JFrog Artifactory Repository Monthly Charge"/>
    <m/>
    <m/>
    <s v="IT-FGS0298-SW-US-00"/>
    <m/>
    <m/>
    <m/>
    <s v="EP&amp;S"/>
    <m/>
    <m/>
    <n v="0"/>
    <n v="0"/>
    <n v="0"/>
    <n v="0"/>
    <n v="308.33"/>
    <n v="0"/>
    <n v="308.33"/>
    <n v="0"/>
    <n v="0"/>
    <n v="0"/>
    <n v="0"/>
    <n v="0"/>
    <n v="0"/>
    <n v="0"/>
    <n v="0"/>
    <n v="0"/>
    <n v="616.66"/>
    <n v="616.66"/>
    <m/>
    <m/>
    <n v="0"/>
    <m/>
    <n v="616.66"/>
    <m/>
    <n v="308.33"/>
    <n v="0"/>
    <n v="308.33"/>
    <n v="0"/>
    <n v="0"/>
    <n v="0"/>
    <n v="0"/>
    <n v="0"/>
    <n v="0"/>
    <n v="0"/>
    <n v="0"/>
    <n v="0"/>
    <n v="616.66"/>
    <n v="308.33"/>
    <n v="0"/>
    <n v="308.33"/>
    <n v="0"/>
    <n v="0"/>
    <n v="0"/>
    <n v="0"/>
    <n v="0"/>
    <n v="0"/>
    <n v="0"/>
    <n v="0"/>
    <n v="0"/>
    <n v="616.66"/>
  </r>
  <r>
    <s v="L-ERP-532"/>
    <s v="Tamavada, Ram_SOFTWARE_IT-FGS0298-SW-US-00"/>
    <s v="ERP"/>
    <x v="0"/>
    <s v="Tamavada, Ram"/>
    <s v="Maguire, Karla"/>
    <x v="0"/>
    <s v="JFrog Artifactory Repository Monthly Charge"/>
    <m/>
    <m/>
    <s v="IT-FGS0298-SW-US-00"/>
    <m/>
    <m/>
    <m/>
    <s v="EP&amp;S"/>
    <m/>
    <m/>
    <n v="11109.88"/>
    <n v="11109.88"/>
    <n v="11109.88"/>
    <n v="0"/>
    <n v="616.66"/>
    <n v="0"/>
    <n v="308.33"/>
    <n v="924.99"/>
    <n v="924.99"/>
    <n v="924.99"/>
    <n v="924.99"/>
    <n v="924.99"/>
    <n v="924.99"/>
    <n v="924.99"/>
    <n v="924.99"/>
    <n v="924.99"/>
    <n v="9249.9"/>
    <n v="-1859.9799999999996"/>
    <m/>
    <m/>
    <n v="0"/>
    <m/>
    <n v="-1859.9799999999996"/>
    <m/>
    <n v="616.66"/>
    <n v="0"/>
    <n v="308.33"/>
    <n v="924.99"/>
    <n v="924.99"/>
    <n v="924.99"/>
    <n v="924.99"/>
    <n v="924.99"/>
    <n v="924.99"/>
    <n v="924.99"/>
    <n v="924.99"/>
    <n v="924.99"/>
    <n v="9249.9"/>
    <n v="616.66"/>
    <n v="0"/>
    <n v="308.33"/>
    <n v="924.99"/>
    <n v="924.99"/>
    <n v="924.99"/>
    <n v="924.99"/>
    <n v="924.99"/>
    <n v="924.99"/>
    <n v="924.99"/>
    <n v="924.99"/>
    <n v="924.99"/>
    <n v="9249.9"/>
  </r>
  <r>
    <s v="L-ERP-576"/>
    <s v="Yeluri, Durga_SOFTWARE_IT-FGS0298-SW-US-00"/>
    <s v="ERP"/>
    <x v="1"/>
    <s v="Yeluri, Durga"/>
    <s v="DeHart, Lynn"/>
    <x v="0"/>
    <s v="JFrog Artifactory Repository Monthly Charge"/>
    <m/>
    <m/>
    <s v="IT-FGS0298-SW-US-00"/>
    <m/>
    <m/>
    <m/>
    <s v="EP&amp;S"/>
    <m/>
    <m/>
    <n v="18499.8"/>
    <n v="18499.8"/>
    <n v="18499.8"/>
    <n v="0"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-1541.6500000000015"/>
    <m/>
    <m/>
    <n v="0"/>
    <m/>
    <n v="-1541.6500000000015"/>
    <m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</r>
  <r>
    <s v="L-ERP-069"/>
    <s v="Dougherty, Chris_HW MAINTENANCE_IT-FGS0299-OG-US-00"/>
    <s v="ERP"/>
    <x v="0"/>
    <s v="Dougherty, Chris"/>
    <s v="Maguire, Karla"/>
    <x v="3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n v="20"/>
    <n v="0"/>
    <n v="0"/>
    <n v="0"/>
    <n v="0"/>
    <n v="0"/>
    <n v="0"/>
    <n v="0"/>
    <n v="0"/>
    <n v="0"/>
    <n v="0"/>
    <n v="0"/>
    <n v="20"/>
    <n v="20"/>
    <m/>
    <m/>
    <n v="0"/>
    <m/>
    <n v="20"/>
    <m/>
    <n v="2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20"/>
  </r>
  <r>
    <s v="L-ERP-316"/>
    <s v="Maguire, Karla_HW MAINTENANCE_IT-FGS0299-OG-US-00"/>
    <s v="ERP"/>
    <x v="0"/>
    <s v="Maguire, Karla"/>
    <s v="Maguire, Karla"/>
    <x v="3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n v="1146.01"/>
    <n v="0"/>
    <n v="1809.29"/>
    <n v="0"/>
    <n v="0"/>
    <n v="0"/>
    <n v="0"/>
    <n v="0"/>
    <n v="0"/>
    <n v="0"/>
    <n v="0"/>
    <n v="0"/>
    <n v="2955.3"/>
    <n v="2955.3"/>
    <m/>
    <m/>
    <n v="2.2737367544323206E-13"/>
    <m/>
    <n v="2955.3"/>
    <m/>
    <n v="1146.01"/>
    <n v="0"/>
    <n v="1809.29"/>
    <n v="0"/>
    <n v="0"/>
    <n v="0"/>
    <n v="0"/>
    <n v="0"/>
    <n v="0"/>
    <n v="0"/>
    <n v="0"/>
    <n v="0"/>
    <n v="2955.3"/>
    <n v="1146.01"/>
    <n v="0"/>
    <n v="1809.29"/>
    <n v="0"/>
    <n v="0"/>
    <n v="0"/>
    <n v="0"/>
    <n v="0"/>
    <n v="0"/>
    <n v="0"/>
    <n v="0"/>
    <n v="0"/>
    <n v="2955.3"/>
  </r>
  <r>
    <s v="L-ERP-074"/>
    <s v="Dougherty, Chris_MANAGED SERVICES_IT-FGS0299-OG-US-00"/>
    <s v="ERP"/>
    <x v="0"/>
    <s v="Dougherty, Chris"/>
    <s v="Maguire, Karla"/>
    <x v="1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n v="1210.3599999999999"/>
    <n v="1569.34"/>
    <n v="2372.06"/>
    <n v="0"/>
    <n v="0"/>
    <n v="0"/>
    <n v="0"/>
    <n v="0"/>
    <n v="0"/>
    <n v="0"/>
    <n v="0"/>
    <n v="0"/>
    <n v="5151.76"/>
    <n v="5151.76"/>
    <m/>
    <m/>
    <n v="4.5474735088646412E-13"/>
    <m/>
    <n v="5151.76"/>
    <m/>
    <n v="1210.3599999999999"/>
    <n v="1569.34"/>
    <n v="2372.06"/>
    <n v="0"/>
    <n v="0"/>
    <n v="0"/>
    <n v="0"/>
    <n v="0"/>
    <n v="0"/>
    <n v="0"/>
    <n v="0"/>
    <n v="0"/>
    <n v="5151.76"/>
    <n v="1210.3599999999999"/>
    <n v="1569.34"/>
    <n v="2372.06"/>
    <n v="0"/>
    <n v="0"/>
    <n v="0"/>
    <n v="0"/>
    <n v="0"/>
    <n v="0"/>
    <n v="0"/>
    <n v="0"/>
    <n v="0"/>
    <n v="5151.76"/>
  </r>
  <r>
    <s v="L-ERP-317"/>
    <s v="Maguire, Karla_MANAGED SERVICES_IT-FGS0299-OG-US-00"/>
    <s v="ERP"/>
    <x v="0"/>
    <s v="Maguire, Karla"/>
    <s v="Maguire, Karla"/>
    <x v="1"/>
    <s v="Others (Vending, Meeting event, Devices Unreturned, Applecare, Mac-mgmt, IT Onboard, etc.)"/>
    <m/>
    <m/>
    <s v="IT-FGS0299-OG-US-00"/>
    <m/>
    <m/>
    <m/>
    <s v="EP&amp;S"/>
    <m/>
    <m/>
    <n v="3300"/>
    <n v="3300"/>
    <n v="3300"/>
    <n v="0"/>
    <m/>
    <m/>
    <m/>
    <n v="300"/>
    <n v="300"/>
    <n v="300"/>
    <n v="300"/>
    <n v="300"/>
    <n v="0"/>
    <n v="0"/>
    <n v="0"/>
    <n v="0"/>
    <n v="1500"/>
    <n v="-1800"/>
    <m/>
    <m/>
    <n v="0"/>
    <m/>
    <n v="-1800"/>
    <m/>
    <m/>
    <m/>
    <m/>
    <n v="300"/>
    <n v="300"/>
    <n v="300"/>
    <n v="300"/>
    <n v="300"/>
    <n v="0"/>
    <n v="0"/>
    <n v="0"/>
    <n v="0"/>
    <n v="1500"/>
    <m/>
    <m/>
    <m/>
    <n v="300"/>
    <n v="300"/>
    <n v="300"/>
    <n v="300"/>
    <n v="300"/>
    <n v="0"/>
    <n v="0"/>
    <n v="0"/>
    <n v="0"/>
    <n v="1500"/>
  </r>
  <r>
    <s v="L-ERP-359"/>
    <s v="McCormick, Pete_MANAGED SERVICES_IT-FGS0299-OG-US-00"/>
    <s v="ERP"/>
    <x v="0"/>
    <s v="McCormick, Pete"/>
    <s v="Maguire, Karla"/>
    <x v="1"/>
    <s v="Others (Vending, Meeting event, Devices Unreturned, Applecare, Mac-mgmt, IT Onboard, etc.)"/>
    <m/>
    <m/>
    <s v="IT-FGS0299-OG-US-00"/>
    <m/>
    <m/>
    <m/>
    <s v="EP&amp;S"/>
    <m/>
    <m/>
    <n v="240000"/>
    <n v="240000"/>
    <n v="240000"/>
    <n v="0"/>
    <n v="18590.2"/>
    <n v="19113.38"/>
    <n v="12642.34"/>
    <n v="20000"/>
    <n v="20000"/>
    <n v="20000"/>
    <n v="20000"/>
    <n v="20000"/>
    <n v="20000"/>
    <n v="20000"/>
    <n v="20000"/>
    <n v="20000"/>
    <n v="230345.91999999998"/>
    <n v="-9654.0800000000163"/>
    <m/>
    <m/>
    <n v="0"/>
    <m/>
    <n v="-9654.0800000000163"/>
    <m/>
    <n v="18590.2"/>
    <n v="19113.38"/>
    <n v="12642.34"/>
    <n v="20000"/>
    <n v="20000"/>
    <n v="20000"/>
    <n v="20000"/>
    <n v="20000"/>
    <n v="20000"/>
    <n v="20000"/>
    <n v="20000"/>
    <n v="20000"/>
    <n v="230345.91999999998"/>
    <n v="18590.2"/>
    <n v="19113.38"/>
    <n v="12642.34"/>
    <n v="20000"/>
    <n v="20000"/>
    <n v="20000"/>
    <n v="20000"/>
    <n v="20000"/>
    <n v="20000"/>
    <n v="20000"/>
    <n v="20000"/>
    <n v="20000"/>
    <n v="230345.91999999998"/>
  </r>
  <r>
    <s v="L-ERP-526"/>
    <s v="Tamavada, Ram_MANAGED SERVICES_IT-FGS0299-OG-US-00"/>
    <s v="ERP"/>
    <x v="0"/>
    <s v="Tamavada, Ram"/>
    <s v="Maguire, Karla"/>
    <x v="1"/>
    <s v="Others (Vending, Meeting event, Devices Unreturned, Applecare, Mac-mgmt, IT Onboard, etc.)"/>
    <m/>
    <m/>
    <s v="IT-FGS0299-OG-US-00"/>
    <m/>
    <m/>
    <m/>
    <s v="EP&amp;S"/>
    <m/>
    <m/>
    <n v="12000"/>
    <n v="12000"/>
    <n v="12000"/>
    <n v="0"/>
    <n v="3485.94"/>
    <n v="4743.4799999999996"/>
    <n v="3143.47"/>
    <n v="1000"/>
    <n v="1000"/>
    <n v="1000"/>
    <n v="1000"/>
    <n v="1000"/>
    <n v="1000"/>
    <n v="1000"/>
    <n v="1000"/>
    <n v="1000"/>
    <n v="20372.89"/>
    <n v="8372.89"/>
    <m/>
    <m/>
    <n v="0"/>
    <m/>
    <n v="8372.89"/>
    <m/>
    <n v="3485.94"/>
    <n v="4743.4799999999996"/>
    <n v="3143.47"/>
    <n v="1000"/>
    <n v="1000"/>
    <n v="1000"/>
    <n v="1000"/>
    <n v="1000"/>
    <n v="1000"/>
    <n v="1000"/>
    <n v="1000"/>
    <n v="1000"/>
    <n v="20372.89"/>
    <n v="3485.94"/>
    <n v="4743.4799999999996"/>
    <n v="3143.47"/>
    <n v="1000"/>
    <n v="1000"/>
    <n v="1000"/>
    <n v="1000"/>
    <n v="1000"/>
    <n v="1000"/>
    <n v="1000"/>
    <n v="1000"/>
    <n v="1000"/>
    <n v="20372.89"/>
  </r>
  <r>
    <s v="L-ERP-077"/>
    <s v="Dougherty, Chris_SOFTWARE_IT-FGS0299-OG-US-00"/>
    <s v="ERP"/>
    <x v="0"/>
    <s v="Dougherty, Chris"/>
    <s v="Maguire, Karla"/>
    <x v="0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m/>
    <n v="288"/>
    <n v="0"/>
    <n v="0"/>
    <n v="0"/>
    <n v="0"/>
    <n v="0"/>
    <n v="0"/>
    <n v="0"/>
    <n v="0"/>
    <n v="0"/>
    <n v="0"/>
    <n v="288"/>
    <n v="288"/>
    <m/>
    <m/>
    <n v="0"/>
    <m/>
    <n v="288"/>
    <m/>
    <m/>
    <n v="288"/>
    <n v="0"/>
    <n v="0"/>
    <n v="0"/>
    <n v="0"/>
    <n v="0"/>
    <n v="0"/>
    <n v="0"/>
    <n v="0"/>
    <n v="0"/>
    <n v="0"/>
    <n v="288"/>
    <m/>
    <n v="288"/>
    <n v="0"/>
    <n v="0"/>
    <n v="0"/>
    <n v="0"/>
    <n v="0"/>
    <n v="0"/>
    <n v="0"/>
    <n v="0"/>
    <n v="0"/>
    <n v="0"/>
    <n v="288"/>
  </r>
  <r>
    <s v="L-ERP-533"/>
    <s v="Tamavada, Ram_SOFTWARE_IT-FGS0299-OG-US-00"/>
    <s v="ERP"/>
    <x v="0"/>
    <s v="Tamavada, Ram"/>
    <s v="Maguire, Karla"/>
    <x v="0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m/>
    <n v="18.920000000000002"/>
    <n v="0"/>
    <n v="0"/>
    <n v="0"/>
    <n v="0"/>
    <n v="0"/>
    <n v="0"/>
    <n v="0"/>
    <n v="0"/>
    <n v="0"/>
    <n v="0"/>
    <n v="18.920000000000002"/>
    <n v="18.920000000000002"/>
    <m/>
    <m/>
    <n v="0"/>
    <m/>
    <n v="18.920000000000002"/>
    <m/>
    <m/>
    <n v="18.920000000000002"/>
    <n v="0"/>
    <n v="0"/>
    <n v="0"/>
    <n v="0"/>
    <n v="0"/>
    <n v="0"/>
    <n v="0"/>
    <n v="0"/>
    <n v="0"/>
    <n v="0"/>
    <n v="18.920000000000002"/>
    <m/>
    <n v="18.920000000000002"/>
    <n v="0"/>
    <n v="0"/>
    <n v="0"/>
    <n v="0"/>
    <n v="0"/>
    <n v="0"/>
    <n v="0"/>
    <n v="0"/>
    <n v="0"/>
    <n v="0"/>
    <n v="18.920000000000002"/>
  </r>
  <r>
    <s v="L-ERP-008"/>
    <s v="DeHart, Lynn_HW MAINTENANCE_IT-FGS0299-OG-US-00"/>
    <s v="ERP"/>
    <x v="1"/>
    <s v="DeHart, Lynn"/>
    <s v="DeHart, Lynn"/>
    <x v="3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n v="322.64"/>
    <n v="376.04"/>
    <n v="3364.42"/>
    <n v="0"/>
    <n v="0"/>
    <n v="0"/>
    <n v="0"/>
    <n v="0"/>
    <n v="0"/>
    <n v="0"/>
    <n v="0"/>
    <n v="0"/>
    <n v="4063.1000000000004"/>
    <n v="4063.1000000000004"/>
    <m/>
    <m/>
    <n v="4.5474735088646412E-13"/>
    <m/>
    <n v="4063.1000000000004"/>
    <m/>
    <n v="322.64"/>
    <n v="376.04"/>
    <n v="3364.42"/>
    <n v="0"/>
    <n v="0"/>
    <n v="0"/>
    <n v="0"/>
    <n v="0"/>
    <n v="0"/>
    <n v="0"/>
    <n v="0"/>
    <n v="0"/>
    <n v="4063.1000000000004"/>
    <n v="322.64"/>
    <n v="376.04"/>
    <n v="3364.42"/>
    <n v="0"/>
    <n v="0"/>
    <n v="0"/>
    <n v="0"/>
    <n v="0"/>
    <n v="0"/>
    <n v="0"/>
    <n v="0"/>
    <n v="0"/>
    <n v="4063.1000000000004"/>
  </r>
  <r>
    <s v="L-ERP-009"/>
    <s v="DeHart, Lynn_MANAGED SERVICES_IT-FGS0299-OG-US-00"/>
    <s v="ERP"/>
    <x v="1"/>
    <s v="DeHart, Lynn"/>
    <s v="DeHart, Lynn"/>
    <x v="1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n v="2000"/>
    <n v="0"/>
    <n v="0"/>
    <n v="0"/>
    <n v="0"/>
    <n v="0"/>
    <n v="0"/>
    <n v="0"/>
    <n v="0"/>
    <n v="0"/>
    <n v="0"/>
    <n v="0"/>
    <n v="2000"/>
    <n v="2000"/>
    <m/>
    <m/>
    <n v="0"/>
    <m/>
    <n v="2000"/>
    <m/>
    <n v="2000"/>
    <n v="0"/>
    <n v="0"/>
    <n v="0"/>
    <n v="0"/>
    <n v="0"/>
    <n v="0"/>
    <n v="0"/>
    <n v="0"/>
    <n v="0"/>
    <n v="0"/>
    <n v="0"/>
    <n v="2000"/>
    <n v="2000"/>
    <n v="0"/>
    <n v="0"/>
    <n v="0"/>
    <n v="0"/>
    <n v="0"/>
    <n v="0"/>
    <n v="0"/>
    <n v="0"/>
    <n v="0"/>
    <n v="0"/>
    <n v="0"/>
    <n v="2000"/>
  </r>
  <r>
    <s v="L-ERP-198"/>
    <s v="Herman, Shaun_MANAGED SERVICES_IT-FGS0299-OG-US-00"/>
    <s v="ERP"/>
    <x v="1"/>
    <s v="Herman, Shaun"/>
    <s v="DeHart, Lynn"/>
    <x v="1"/>
    <s v="Others (Vending, Meeting event, Devices Unreturned, Applecare, Mac-mgmt, IT Onboard, etc.)"/>
    <m/>
    <m/>
    <s v="IT-FGS0299-OG-US-00"/>
    <m/>
    <m/>
    <m/>
    <s v="EP&amp;S"/>
    <m/>
    <m/>
    <n v="8220"/>
    <n v="8220"/>
    <n v="8220"/>
    <n v="0"/>
    <n v="685.96"/>
    <n v="685.96"/>
    <n v="0"/>
    <n v="685"/>
    <n v="685"/>
    <n v="685"/>
    <n v="685"/>
    <n v="685"/>
    <n v="685"/>
    <n v="685"/>
    <n v="685"/>
    <n v="685"/>
    <n v="7536.92"/>
    <n v="-683.07999999999993"/>
    <m/>
    <m/>
    <n v="0"/>
    <m/>
    <n v="-683.07999999999993"/>
    <m/>
    <n v="685.96"/>
    <n v="685.96"/>
    <n v="0"/>
    <n v="685"/>
    <n v="685"/>
    <n v="685"/>
    <n v="685"/>
    <n v="685"/>
    <n v="685"/>
    <n v="685"/>
    <n v="685"/>
    <n v="685"/>
    <n v="7536.92"/>
    <n v="685.96"/>
    <n v="685.96"/>
    <n v="0"/>
    <n v="685"/>
    <n v="685"/>
    <n v="685"/>
    <n v="685"/>
    <n v="685"/>
    <n v="685"/>
    <n v="685"/>
    <n v="685"/>
    <n v="685"/>
    <n v="7536.92"/>
  </r>
  <r>
    <s v="L-ERP-572"/>
    <s v="Yeluri, Durga_MANAGED SERVICES_IT-FGS0299-OG-US-00"/>
    <s v="ERP"/>
    <x v="1"/>
    <s v="Yeluri, Durga"/>
    <s v="DeHart, Lynn"/>
    <x v="1"/>
    <s v="Others (Vending, Meeting event, Devices Unreturned, Applecare, Mac-mgmt, IT Onboard, etc.)"/>
    <m/>
    <m/>
    <s v="IT-FGS0299-OG-US-00"/>
    <m/>
    <m/>
    <m/>
    <s v="EP&amp;S"/>
    <m/>
    <m/>
    <n v="29055.720000000005"/>
    <n v="29055.720000000005"/>
    <n v="29055.720000000005"/>
    <n v="0"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  <n v="-705.53000000000247"/>
    <m/>
    <m/>
    <n v="0"/>
    <m/>
    <n v="-705.53000000000247"/>
    <m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</r>
  <r>
    <s v="L-ERP-419"/>
    <s v="McGettigan, David_MANAGED SERVICES_IT-FGS0299-OG-US-00"/>
    <s v="ERP"/>
    <x v="2"/>
    <s v="McGettigan, David"/>
    <s v="McGettigan, David"/>
    <x v="1"/>
    <s v="Others (Vending, Meeting event, Devices Unreturned, Applecare, Mac-mgmt, IT Onboard, etc.)"/>
    <m/>
    <m/>
    <s v="IT-FGS0299-OG-US-00"/>
    <m/>
    <m/>
    <m/>
    <s v="EP&amp;S"/>
    <m/>
    <m/>
    <n v="18000"/>
    <n v="18000"/>
    <n v="18000"/>
    <n v="0"/>
    <n v="2227.5"/>
    <n v="0"/>
    <n v="0"/>
    <n v="1500"/>
    <n v="1500"/>
    <n v="1500"/>
    <n v="1500"/>
    <n v="1500"/>
    <n v="1500"/>
    <n v="1500"/>
    <n v="1500"/>
    <n v="1500"/>
    <n v="15727.5"/>
    <n v="-2272.5"/>
    <m/>
    <m/>
    <n v="0"/>
    <m/>
    <n v="-2272.5"/>
    <m/>
    <n v="2227.5"/>
    <n v="0"/>
    <n v="0"/>
    <n v="1500"/>
    <n v="1500"/>
    <n v="1500"/>
    <n v="1500"/>
    <n v="1500"/>
    <n v="1500"/>
    <n v="1500"/>
    <n v="1500"/>
    <n v="1500"/>
    <n v="15727.5"/>
    <n v="2227.5"/>
    <n v="0"/>
    <n v="0"/>
    <n v="1500"/>
    <n v="1500"/>
    <n v="1500"/>
    <n v="1500"/>
    <n v="1500"/>
    <n v="1500"/>
    <n v="1500"/>
    <n v="1500"/>
    <n v="1500"/>
    <n v="15727.5"/>
  </r>
  <r>
    <s v="L-ERP-481"/>
    <s v="Robertson, Jerome_HW MAINTENANCE_IT-FGS0299-OG-US-00"/>
    <s v="ERP"/>
    <x v="3"/>
    <s v="Robertson, Jerome"/>
    <s v="Robertson, Jerome"/>
    <x v="3"/>
    <s v="Others (Vending, Meeting event, Devices Unreturned, Applecare, Mac-mgmt, IT Onboard, etc.)"/>
    <m/>
    <m/>
    <s v="IT-FGS0299-OG-US-00"/>
    <m/>
    <m/>
    <m/>
    <s v="EP&amp;S"/>
    <m/>
    <m/>
    <n v="0"/>
    <n v="0"/>
    <n v="0"/>
    <n v="0"/>
    <m/>
    <m/>
    <n v="2902.66"/>
    <n v="0"/>
    <n v="0"/>
    <n v="0"/>
    <n v="0"/>
    <n v="0"/>
    <n v="0"/>
    <n v="0"/>
    <n v="0"/>
    <n v="0"/>
    <n v="2902.66"/>
    <n v="2902.66"/>
    <m/>
    <m/>
    <n v="0"/>
    <m/>
    <n v="2902.66"/>
    <m/>
    <m/>
    <m/>
    <n v="2902.66"/>
    <n v="0"/>
    <n v="0"/>
    <n v="0"/>
    <n v="0"/>
    <n v="0"/>
    <n v="0"/>
    <n v="0"/>
    <n v="0"/>
    <n v="0"/>
    <n v="2902.66"/>
    <m/>
    <m/>
    <n v="2902.66"/>
    <n v="0"/>
    <n v="0"/>
    <n v="0"/>
    <n v="0"/>
    <n v="0"/>
    <n v="0"/>
    <n v="0"/>
    <n v="0"/>
    <n v="0"/>
    <n v="2902.66"/>
  </r>
  <r>
    <s v="L-ERP-067"/>
    <s v="Dougherty, Chris_SOFTWARE_IT-FGS0300-SW-US-00"/>
    <s v="ERP"/>
    <x v="0"/>
    <s v="Dougherty, Chris"/>
    <s v="Maguire, Karla"/>
    <x v="0"/>
    <s v="Microsoft Copilot Licenses"/>
    <m/>
    <m/>
    <s v="IT-FGS0300-SW-US-00"/>
    <m/>
    <m/>
    <m/>
    <s v="Copilot"/>
    <m/>
    <m/>
    <n v="6000"/>
    <n v="6000"/>
    <n v="6000"/>
    <n v="0"/>
    <m/>
    <n v="4313"/>
    <n v="227"/>
    <n v="0"/>
    <n v="0"/>
    <n v="0"/>
    <n v="0"/>
    <n v="6000"/>
    <n v="0"/>
    <n v="0"/>
    <n v="0"/>
    <n v="0"/>
    <n v="10540"/>
    <n v="4540"/>
    <m/>
    <m/>
    <n v="0"/>
    <m/>
    <n v="4540"/>
    <m/>
    <m/>
    <n v="4313"/>
    <n v="227"/>
    <n v="0"/>
    <n v="0"/>
    <n v="0"/>
    <n v="0"/>
    <n v="6000"/>
    <n v="0"/>
    <n v="0"/>
    <n v="0"/>
    <n v="0"/>
    <n v="10540"/>
    <m/>
    <n v="4313"/>
    <n v="227"/>
    <n v="0"/>
    <n v="0"/>
    <n v="0"/>
    <n v="0"/>
    <n v="6000"/>
    <n v="0"/>
    <n v="0"/>
    <n v="0"/>
    <n v="0"/>
    <n v="10540"/>
  </r>
  <r>
    <s v="L-ERP-313"/>
    <s v="Maguire, Karla_SOFTWARE_IT-FGS0300-SW-US-00"/>
    <s v="ERP"/>
    <x v="0"/>
    <s v="Maguire, Karla"/>
    <s v="Maguire, Karla"/>
    <x v="0"/>
    <s v="Microsoft Copilot Licenses"/>
    <m/>
    <m/>
    <s v="IT-FGS0300-SW-US-00"/>
    <m/>
    <m/>
    <m/>
    <s v="Copilot"/>
    <m/>
    <m/>
    <n v="10000"/>
    <n v="10000"/>
    <n v="10000"/>
    <n v="0"/>
    <n v="553.5"/>
    <n v="681"/>
    <n v="1576.93"/>
    <n v="0"/>
    <n v="0"/>
    <n v="5000"/>
    <n v="0"/>
    <n v="0"/>
    <n v="0"/>
    <n v="0"/>
    <n v="0"/>
    <n v="5000"/>
    <n v="12811.43"/>
    <n v="2811.4300000000003"/>
    <m/>
    <m/>
    <n v="2.2737367544323206E-13"/>
    <m/>
    <n v="2811.4300000000003"/>
    <m/>
    <n v="553.5"/>
    <n v="681"/>
    <n v="1576.93"/>
    <n v="0"/>
    <n v="0"/>
    <n v="5000"/>
    <n v="0"/>
    <n v="0"/>
    <n v="0"/>
    <n v="0"/>
    <n v="0"/>
    <n v="5000"/>
    <n v="12811.43"/>
    <n v="553.5"/>
    <n v="681"/>
    <n v="1576.93"/>
    <n v="0"/>
    <n v="0"/>
    <n v="5000"/>
    <n v="0"/>
    <n v="0"/>
    <n v="0"/>
    <n v="0"/>
    <n v="0"/>
    <n v="5000"/>
    <n v="12811.43"/>
  </r>
  <r>
    <s v="L-ERP-356"/>
    <s v="McCormick, Pete_SOFTWARE_IT-FGS0300-SW-US-00"/>
    <s v="ERP"/>
    <x v="0"/>
    <s v="McCormick, Pete"/>
    <s v="Maguire, Karla"/>
    <x v="0"/>
    <s v="Microsoft Copilot Licenses"/>
    <m/>
    <m/>
    <s v="IT-FGS0300-SW-US-00"/>
    <m/>
    <m/>
    <m/>
    <s v="Copilot"/>
    <m/>
    <m/>
    <n v="550"/>
    <n v="550"/>
    <n v="550"/>
    <n v="0"/>
    <m/>
    <n v="227"/>
    <n v="0"/>
    <n v="550"/>
    <n v="0"/>
    <n v="0"/>
    <n v="0"/>
    <n v="0"/>
    <n v="0"/>
    <n v="0"/>
    <n v="0"/>
    <n v="0"/>
    <n v="777"/>
    <n v="227"/>
    <m/>
    <m/>
    <n v="0"/>
    <m/>
    <n v="227"/>
    <m/>
    <m/>
    <n v="227"/>
    <n v="0"/>
    <n v="550"/>
    <n v="0"/>
    <n v="0"/>
    <n v="0"/>
    <n v="0"/>
    <n v="0"/>
    <n v="0"/>
    <n v="0"/>
    <n v="0"/>
    <n v="777"/>
    <m/>
    <n v="227"/>
    <n v="0"/>
    <n v="550"/>
    <n v="0"/>
    <n v="0"/>
    <n v="0"/>
    <n v="0"/>
    <n v="0"/>
    <n v="0"/>
    <n v="0"/>
    <n v="0"/>
    <n v="777"/>
  </r>
  <r>
    <s v="L-ERP-003"/>
    <s v="DeHart, Lynn_SOFTWARE_IT-FGS0300-SW-US-00"/>
    <s v="ERP"/>
    <x v="1"/>
    <s v="DeHart, Lynn"/>
    <s v="DeHart, Lynn"/>
    <x v="0"/>
    <s v="Microsoft Copilot Licenses"/>
    <m/>
    <m/>
    <s v="IT-FGS0300-SW-US-00"/>
    <m/>
    <m/>
    <m/>
    <s v="Copilot"/>
    <m/>
    <m/>
    <n v="6000"/>
    <n v="6000"/>
    <n v="6000"/>
    <n v="0"/>
    <n v="542.75"/>
    <n v="6823.51"/>
    <n v="1538.16"/>
    <n v="500"/>
    <n v="500"/>
    <n v="500"/>
    <n v="500"/>
    <n v="500"/>
    <n v="500"/>
    <n v="500"/>
    <n v="500"/>
    <n v="500"/>
    <n v="13404.42"/>
    <n v="7404.42"/>
    <m/>
    <m/>
    <n v="0"/>
    <m/>
    <n v="7404.42"/>
    <m/>
    <n v="542.75"/>
    <n v="6823.51"/>
    <n v="1538.16"/>
    <n v="500"/>
    <n v="500"/>
    <n v="500"/>
    <n v="500"/>
    <n v="500"/>
    <n v="500"/>
    <n v="500"/>
    <n v="500"/>
    <n v="500"/>
    <n v="13404.42"/>
    <n v="542.75"/>
    <n v="6823.51"/>
    <n v="1538.16"/>
    <n v="500"/>
    <n v="500"/>
    <n v="500"/>
    <n v="500"/>
    <n v="500"/>
    <n v="500"/>
    <n v="500"/>
    <n v="500"/>
    <n v="500"/>
    <n v="13404.42"/>
  </r>
  <r>
    <s v="L-ERP-181"/>
    <s v="Hase, Raj_SOFTWARE_IT-FGS0300-SW-US-00"/>
    <s v="ERP"/>
    <x v="1"/>
    <s v="Hase, Raj"/>
    <s v="DeHart, Lynn"/>
    <x v="0"/>
    <s v="Microsoft Copilot Licenses"/>
    <m/>
    <m/>
    <s v="IT-FGS0300-SW-US-00"/>
    <m/>
    <m/>
    <m/>
    <s v="Copilot"/>
    <m/>
    <m/>
    <n v="275"/>
    <n v="275"/>
    <n v="275"/>
    <n v="0"/>
    <m/>
    <n v="227"/>
    <n v="0"/>
    <n v="0"/>
    <n v="0"/>
    <n v="0"/>
    <n v="0"/>
    <n v="0"/>
    <n v="0"/>
    <n v="0"/>
    <n v="0"/>
    <n v="0"/>
    <n v="227"/>
    <n v="-48"/>
    <m/>
    <m/>
    <n v="0"/>
    <m/>
    <n v="-48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218"/>
    <s v="Hovanyetz, Mike_SOFTWARE_IT-FGS0300-SW-US-00"/>
    <s v="ERP"/>
    <x v="1"/>
    <s v="Hovanyetz, Mike"/>
    <s v="DeHart, Lynn"/>
    <x v="0"/>
    <s v="Microsoft Copilot Licenses"/>
    <m/>
    <m/>
    <s v="IT-FGS0300-SW-US-00"/>
    <m/>
    <m/>
    <m/>
    <s v="Copilot"/>
    <m/>
    <m/>
    <n v="1100"/>
    <n v="1100"/>
    <n v="1100"/>
    <n v="0"/>
    <m/>
    <m/>
    <m/>
    <m/>
    <m/>
    <n v="275"/>
    <n v="0"/>
    <n v="0"/>
    <n v="275"/>
    <n v="0"/>
    <n v="0"/>
    <n v="275"/>
    <n v="825"/>
    <n v="-275"/>
    <m/>
    <m/>
    <n v="0"/>
    <m/>
    <n v="-275"/>
    <m/>
    <m/>
    <m/>
    <m/>
    <m/>
    <m/>
    <n v="275"/>
    <n v="0"/>
    <n v="0"/>
    <n v="275"/>
    <n v="0"/>
    <n v="0"/>
    <n v="275"/>
    <n v="825"/>
    <m/>
    <m/>
    <m/>
    <m/>
    <m/>
    <n v="275"/>
    <n v="0"/>
    <n v="0"/>
    <n v="275"/>
    <n v="0"/>
    <n v="0"/>
    <n v="275"/>
    <n v="825"/>
  </r>
  <r>
    <s v="L-ERP-229"/>
    <s v="Jajodia, Amit_SOFTWARE_IT-FGS0300-SW-US-00"/>
    <s v="ERP"/>
    <x v="1"/>
    <s v="Jajodia, Amit"/>
    <s v="DeHart, Lynn"/>
    <x v="0"/>
    <s v="Microsoft Copilot Licenses"/>
    <m/>
    <m/>
    <s v="IT-FGS0300-SW-US-00"/>
    <m/>
    <m/>
    <m/>
    <s v="Copilot"/>
    <m/>
    <m/>
    <n v="0"/>
    <n v="0"/>
    <n v="0"/>
    <n v="0"/>
    <m/>
    <m/>
    <n v="218.38"/>
    <n v="0"/>
    <n v="0"/>
    <n v="0"/>
    <n v="0"/>
    <n v="0"/>
    <n v="0"/>
    <n v="0"/>
    <n v="0"/>
    <n v="0"/>
    <n v="218.38"/>
    <n v="218.38"/>
    <m/>
    <m/>
    <n v="0"/>
    <m/>
    <n v="218.38"/>
    <m/>
    <m/>
    <m/>
    <n v="218.38"/>
    <n v="0"/>
    <n v="0"/>
    <n v="0"/>
    <n v="0"/>
    <n v="0"/>
    <n v="0"/>
    <n v="0"/>
    <n v="0"/>
    <n v="0"/>
    <n v="218.38"/>
    <m/>
    <m/>
    <n v="218.38"/>
    <n v="0"/>
    <n v="0"/>
    <n v="0"/>
    <n v="0"/>
    <n v="0"/>
    <n v="0"/>
    <n v="0"/>
    <n v="0"/>
    <n v="0"/>
    <n v="218.38"/>
  </r>
  <r>
    <s v="L-ERP-410"/>
    <s v="McGettigan, David_SOFTWARE_IT-FGS0300-SW-US-00"/>
    <s v="ERP"/>
    <x v="2"/>
    <s v="McGettigan, David"/>
    <s v="McGettigan, David"/>
    <x v="0"/>
    <s v="Microsoft Copilot Licenses"/>
    <m/>
    <m/>
    <s v="IT-FGS0300-SW-US-00"/>
    <m/>
    <m/>
    <m/>
    <s v="Copilot"/>
    <m/>
    <m/>
    <n v="0"/>
    <n v="0"/>
    <n v="0"/>
    <n v="0"/>
    <n v="253.17"/>
    <n v="681"/>
    <n v="0"/>
    <n v="0"/>
    <n v="0"/>
    <n v="0"/>
    <n v="0"/>
    <n v="0"/>
    <n v="0"/>
    <n v="0"/>
    <n v="0"/>
    <n v="0"/>
    <n v="934.17"/>
    <n v="934.17"/>
    <m/>
    <m/>
    <n v="0"/>
    <m/>
    <n v="934.17"/>
    <m/>
    <n v="253.17"/>
    <n v="681"/>
    <n v="0"/>
    <n v="0"/>
    <n v="0"/>
    <n v="0"/>
    <n v="0"/>
    <n v="0"/>
    <n v="0"/>
    <n v="0"/>
    <n v="0"/>
    <n v="0"/>
    <n v="934.17"/>
    <n v="253.17"/>
    <n v="681"/>
    <n v="0"/>
    <n v="0"/>
    <n v="0"/>
    <n v="0"/>
    <n v="0"/>
    <n v="0"/>
    <n v="0"/>
    <n v="0"/>
    <n v="0"/>
    <n v="0"/>
    <n v="934.17"/>
  </r>
  <r>
    <s v="L-ERP-477"/>
    <s v="Robertson, Jerome_SOFTWARE_IT-FGS0300-SW-US-00"/>
    <s v="ERP"/>
    <x v="3"/>
    <s v="Robertson, Jerome"/>
    <s v="Robertson, Jerome"/>
    <x v="0"/>
    <s v="Microsoft Copilot Licenses"/>
    <m/>
    <m/>
    <s v="IT-FGS0300-SW-US-00"/>
    <m/>
    <m/>
    <m/>
    <s v="Copilot"/>
    <m/>
    <m/>
    <n v="838.44"/>
    <n v="838.44"/>
    <n v="838.44"/>
    <n v="0"/>
    <m/>
    <n v="921.51"/>
    <n v="0"/>
    <n v="0"/>
    <n v="0"/>
    <n v="0"/>
    <n v="0"/>
    <n v="550"/>
    <n v="288.44"/>
    <n v="0"/>
    <n v="0"/>
    <n v="0"/>
    <n v="1759.95"/>
    <n v="921.51"/>
    <m/>
    <m/>
    <n v="0"/>
    <m/>
    <n v="921.51"/>
    <m/>
    <m/>
    <n v="921.51"/>
    <n v="0"/>
    <n v="0"/>
    <n v="0"/>
    <n v="0"/>
    <n v="0"/>
    <n v="550"/>
    <n v="288.44"/>
    <n v="0"/>
    <n v="0"/>
    <n v="0"/>
    <n v="1759.95"/>
    <m/>
    <n v="921.51"/>
    <n v="0"/>
    <n v="0"/>
    <n v="0"/>
    <n v="0"/>
    <n v="0"/>
    <n v="550"/>
    <n v="288.44"/>
    <n v="0"/>
    <n v="0"/>
    <n v="0"/>
    <n v="1759.95"/>
  </r>
  <r>
    <s v="L-ERP-075"/>
    <s v="Dougherty, Chris_MANAGED SERVICES_IT-FGS0301-OG-US-00"/>
    <s v="ERP"/>
    <x v="0"/>
    <s v="Dougherty, Chris"/>
    <s v="Maguire, Karla"/>
    <x v="1"/>
    <s v="Desktop on Demand (VDS)"/>
    <m/>
    <m/>
    <s v="IT-FGS0301-OG-US-00"/>
    <m/>
    <m/>
    <m/>
    <s v="EP&amp;S"/>
    <m/>
    <m/>
    <n v="120000"/>
    <n v="120000"/>
    <n v="120000"/>
    <n v="0"/>
    <n v="17770"/>
    <n v="18328"/>
    <n v="15036"/>
    <n v="10000"/>
    <n v="10000"/>
    <n v="10000"/>
    <n v="10000"/>
    <n v="10000"/>
    <n v="10000"/>
    <n v="10000"/>
    <n v="10000"/>
    <n v="10000"/>
    <n v="141134"/>
    <n v="21134"/>
    <m/>
    <m/>
    <n v="0"/>
    <m/>
    <n v="21134"/>
    <m/>
    <n v="17770"/>
    <n v="18328"/>
    <n v="15036"/>
    <n v="10000"/>
    <n v="10000"/>
    <n v="10000"/>
    <n v="10000"/>
    <n v="10000"/>
    <n v="10000"/>
    <n v="10000"/>
    <n v="10000"/>
    <n v="10000"/>
    <n v="141134"/>
    <n v="17770"/>
    <n v="18328"/>
    <n v="15036"/>
    <n v="10000"/>
    <n v="10000"/>
    <n v="10000"/>
    <n v="10000"/>
    <n v="10000"/>
    <n v="10000"/>
    <n v="10000"/>
    <n v="10000"/>
    <n v="10000"/>
    <n v="141134"/>
  </r>
  <r>
    <s v="L-ERP-318"/>
    <s v="Maguire, Karla_MANAGED SERVICES_IT-FGS0301-OG-US-00"/>
    <s v="ERP"/>
    <x v="0"/>
    <s v="Maguire, Karla"/>
    <s v="Maguire, Karla"/>
    <x v="1"/>
    <s v="Desktop on Demand (VDS)"/>
    <m/>
    <m/>
    <s v="IT-FGS0301-OG-US-00"/>
    <m/>
    <m/>
    <m/>
    <s v="EP&amp;S"/>
    <m/>
    <m/>
    <n v="0"/>
    <n v="0"/>
    <n v="0"/>
    <n v="0"/>
    <n v="3067.29"/>
    <n v="2981.39"/>
    <n v="1910.66"/>
    <n v="500"/>
    <n v="500"/>
    <n v="500"/>
    <n v="500"/>
    <n v="500"/>
    <n v="500"/>
    <n v="500"/>
    <n v="500"/>
    <n v="500"/>
    <n v="12459.34"/>
    <n v="12459.34"/>
    <m/>
    <m/>
    <n v="0"/>
    <m/>
    <n v="12459.34"/>
    <m/>
    <n v="3067.29"/>
    <n v="2981.39"/>
    <n v="1910.66"/>
    <n v="500"/>
    <n v="500"/>
    <n v="500"/>
    <n v="500"/>
    <n v="500"/>
    <n v="500"/>
    <n v="500"/>
    <n v="500"/>
    <n v="500"/>
    <n v="12459.34"/>
    <n v="3067.29"/>
    <n v="2981.39"/>
    <n v="1910.66"/>
    <n v="500"/>
    <n v="500"/>
    <n v="500"/>
    <n v="500"/>
    <n v="500"/>
    <n v="500"/>
    <n v="500"/>
    <n v="500"/>
    <n v="500"/>
    <n v="12459.34"/>
  </r>
  <r>
    <s v="L-ERP-360"/>
    <s v="McCormick, Pete_MANAGED SERVICES_IT-FGS0301-OG-US-00"/>
    <s v="ERP"/>
    <x v="0"/>
    <s v="McCormick, Pete"/>
    <s v="Maguire, Karla"/>
    <x v="1"/>
    <s v="Desktop on Demand (VDS)"/>
    <m/>
    <m/>
    <s v="IT-FGS0301-OG-US-00"/>
    <m/>
    <m/>
    <m/>
    <s v="EP&amp;S"/>
    <m/>
    <m/>
    <n v="42000"/>
    <n v="42000"/>
    <n v="42000"/>
    <n v="0"/>
    <n v="3202"/>
    <n v="2807"/>
    <n v="240"/>
    <n v="2807"/>
    <n v="2807"/>
    <n v="2807"/>
    <n v="2807"/>
    <n v="2807"/>
    <n v="2807"/>
    <n v="2807"/>
    <n v="2807"/>
    <n v="2807"/>
    <n v="31512"/>
    <n v="-10488"/>
    <m/>
    <m/>
    <n v="0"/>
    <m/>
    <n v="-10488"/>
    <m/>
    <n v="3202"/>
    <n v="2807"/>
    <n v="240"/>
    <n v="2807"/>
    <n v="2807"/>
    <n v="2807"/>
    <n v="2807"/>
    <n v="2807"/>
    <n v="2807"/>
    <n v="2807"/>
    <n v="2807"/>
    <n v="2807"/>
    <n v="31512"/>
    <n v="3202"/>
    <n v="2807"/>
    <n v="240"/>
    <n v="2807"/>
    <n v="2807"/>
    <n v="2807"/>
    <n v="2807"/>
    <n v="2807"/>
    <n v="2807"/>
    <n v="2807"/>
    <n v="2807"/>
    <n v="2807"/>
    <n v="31512"/>
  </r>
  <r>
    <s v="L-ERP-438"/>
    <s v="Meadows, Leslie_MANAGED SERVICES_IT-FGS0301-OG-US-00"/>
    <s v="ERP"/>
    <x v="0"/>
    <s v="Meadows, Leslie"/>
    <s v="Maguire, Karla"/>
    <x v="1"/>
    <s v="Desktop on Demand (VDS)"/>
    <m/>
    <m/>
    <s v="IT-FGS0301-OG-US-00"/>
    <m/>
    <m/>
    <m/>
    <s v="EP&amp;S"/>
    <m/>
    <m/>
    <n v="0"/>
    <n v="0"/>
    <n v="0"/>
    <n v="0"/>
    <n v="60"/>
    <n v="0"/>
    <n v="3475"/>
    <n v="0"/>
    <n v="0"/>
    <n v="0"/>
    <n v="0"/>
    <n v="0"/>
    <n v="0"/>
    <n v="0"/>
    <n v="0"/>
    <n v="0"/>
    <n v="3535"/>
    <n v="3535"/>
    <m/>
    <m/>
    <n v="0"/>
    <m/>
    <n v="3535"/>
    <m/>
    <n v="60"/>
    <n v="0"/>
    <n v="3475"/>
    <n v="0"/>
    <n v="0"/>
    <n v="0"/>
    <n v="0"/>
    <n v="0"/>
    <n v="0"/>
    <n v="0"/>
    <n v="0"/>
    <n v="0"/>
    <n v="3535"/>
    <n v="60"/>
    <n v="0"/>
    <n v="3475"/>
    <n v="0"/>
    <n v="0"/>
    <n v="0"/>
    <n v="0"/>
    <n v="0"/>
    <n v="0"/>
    <n v="0"/>
    <n v="0"/>
    <n v="0"/>
    <n v="3535"/>
  </r>
  <r>
    <s v="L-ERP-472"/>
    <s v="Patel, Nikunj Rohitkumar_MANAGED SERVICES_IT-FGS0301-OG-US-00"/>
    <s v="ERP"/>
    <x v="0"/>
    <s v="Patel, Nikunj Rohitkumar"/>
    <s v="Maguire, Karla"/>
    <x v="1"/>
    <s v="Desktop on Demand (VDS)"/>
    <m/>
    <m/>
    <s v="IT-FGS0301-OG-US-00"/>
    <m/>
    <m/>
    <m/>
    <s v="EP&amp;S"/>
    <m/>
    <m/>
    <n v="0"/>
    <n v="0"/>
    <n v="0"/>
    <n v="0"/>
    <m/>
    <m/>
    <n v="1245"/>
    <n v="0"/>
    <n v="0"/>
    <n v="0"/>
    <n v="0"/>
    <n v="0"/>
    <n v="0"/>
    <n v="0"/>
    <n v="0"/>
    <n v="0"/>
    <n v="1245"/>
    <n v="1245"/>
    <m/>
    <m/>
    <n v="0"/>
    <m/>
    <n v="1245"/>
    <m/>
    <m/>
    <m/>
    <n v="1245"/>
    <n v="0"/>
    <n v="0"/>
    <n v="0"/>
    <n v="0"/>
    <n v="0"/>
    <n v="0"/>
    <n v="0"/>
    <n v="0"/>
    <n v="0"/>
    <n v="1245"/>
    <m/>
    <m/>
    <n v="1245"/>
    <n v="0"/>
    <n v="0"/>
    <n v="0"/>
    <n v="0"/>
    <n v="0"/>
    <n v="0"/>
    <n v="0"/>
    <n v="0"/>
    <n v="0"/>
    <n v="1245"/>
  </r>
  <r>
    <s v="L-ERP-527"/>
    <s v="Tamavada, Ram_MANAGED SERVICES_IT-FGS0301-OG-US-00"/>
    <s v="ERP"/>
    <x v="0"/>
    <s v="Tamavada, Ram"/>
    <s v="Maguire, Karla"/>
    <x v="1"/>
    <s v="Desktop on Demand (VDS)"/>
    <m/>
    <m/>
    <s v="IT-FGS0301-OG-US-00"/>
    <m/>
    <m/>
    <m/>
    <s v="EP&amp;S"/>
    <m/>
    <m/>
    <n v="120000"/>
    <n v="120000"/>
    <n v="120000"/>
    <n v="0"/>
    <n v="8661"/>
    <n v="6471"/>
    <n v="9264"/>
    <n v="10000"/>
    <n v="10000"/>
    <n v="10000"/>
    <n v="10000"/>
    <n v="10000"/>
    <n v="10000"/>
    <n v="10000"/>
    <n v="10000"/>
    <n v="10000"/>
    <n v="114396"/>
    <n v="-5604"/>
    <m/>
    <m/>
    <n v="0"/>
    <m/>
    <n v="-5604"/>
    <m/>
    <n v="8661"/>
    <n v="6471"/>
    <n v="9264"/>
    <n v="10000"/>
    <n v="10000"/>
    <n v="10000"/>
    <n v="10000"/>
    <n v="10000"/>
    <n v="10000"/>
    <n v="10000"/>
    <n v="10000"/>
    <n v="10000"/>
    <n v="114396"/>
    <n v="8661"/>
    <n v="6471"/>
    <n v="9264"/>
    <n v="10000"/>
    <n v="10000"/>
    <n v="10000"/>
    <n v="10000"/>
    <n v="10000"/>
    <n v="10000"/>
    <n v="10000"/>
    <n v="10000"/>
    <n v="10000"/>
    <n v="114396"/>
  </r>
  <r>
    <s v="L-ERP-010"/>
    <s v="DeHart, Lynn_MANAGED SERVICES_IT-FGS0301-OG-US-00"/>
    <s v="ERP"/>
    <x v="1"/>
    <s v="DeHart, Lynn"/>
    <s v="DeHart, Lynn"/>
    <x v="1"/>
    <s v="Desktop on Demand (VDS)"/>
    <m/>
    <m/>
    <s v="IT-FGS0301-OG-US-00"/>
    <m/>
    <m/>
    <m/>
    <s v="EP&amp;S"/>
    <m/>
    <m/>
    <n v="60000"/>
    <n v="60000"/>
    <n v="60000"/>
    <n v="0"/>
    <n v="14407.17"/>
    <n v="13803.08"/>
    <n v="3005.86"/>
    <n v="5000"/>
    <n v="5000"/>
    <n v="5000"/>
    <n v="5000"/>
    <n v="5000"/>
    <n v="5000"/>
    <n v="5000"/>
    <n v="5000"/>
    <n v="5000"/>
    <n v="76216.11"/>
    <n v="16216.11"/>
    <m/>
    <m/>
    <n v="0"/>
    <m/>
    <n v="16216.11"/>
    <m/>
    <n v="14407.17"/>
    <n v="13803.08"/>
    <n v="3005.86"/>
    <n v="5000"/>
    <n v="5000"/>
    <n v="5000"/>
    <n v="5000"/>
    <n v="5000"/>
    <n v="5000"/>
    <n v="5000"/>
    <n v="5000"/>
    <n v="5000"/>
    <n v="76216.11"/>
    <n v="14407.17"/>
    <n v="13803.08"/>
    <n v="3005.86"/>
    <n v="5000"/>
    <n v="5000"/>
    <n v="5000"/>
    <n v="5000"/>
    <n v="5000"/>
    <n v="5000"/>
    <n v="5000"/>
    <n v="5000"/>
    <n v="5000"/>
    <n v="76216.11"/>
  </r>
  <r>
    <s v="L-ERP-130"/>
    <s v="Ganesan, Srinivasan_MANAGED SERVICES_IT-FGS0301-OG-US-00"/>
    <s v="ERP"/>
    <x v="1"/>
    <s v="Ganesan, Srinivasan"/>
    <s v="DeHart, Lynn"/>
    <x v="1"/>
    <s v="Desktop on Demand (VDS)"/>
    <m/>
    <m/>
    <s v="IT-FGS0301-OG-US-00"/>
    <m/>
    <m/>
    <m/>
    <s v="EP&amp;S"/>
    <m/>
    <m/>
    <n v="26400"/>
    <n v="26400"/>
    <n v="26400"/>
    <n v="0"/>
    <n v="2359"/>
    <n v="1615"/>
    <n v="3188"/>
    <n v="2200"/>
    <n v="2200"/>
    <n v="2200"/>
    <n v="2200"/>
    <n v="2200"/>
    <n v="2200"/>
    <n v="2200"/>
    <n v="2200"/>
    <n v="2200"/>
    <n v="26962"/>
    <n v="562"/>
    <m/>
    <m/>
    <n v="0"/>
    <m/>
    <n v="562"/>
    <m/>
    <n v="2359"/>
    <n v="1615"/>
    <n v="3188"/>
    <n v="2200"/>
    <n v="2200"/>
    <n v="2200"/>
    <n v="2200"/>
    <n v="2200"/>
    <n v="2200"/>
    <n v="2200"/>
    <n v="2200"/>
    <n v="2200"/>
    <n v="26962"/>
    <n v="2359"/>
    <n v="1615"/>
    <n v="3188"/>
    <n v="2200"/>
    <n v="2200"/>
    <n v="2200"/>
    <n v="2200"/>
    <n v="2200"/>
    <n v="2200"/>
    <n v="2200"/>
    <n v="2200"/>
    <n v="2200"/>
    <n v="26962"/>
  </r>
  <r>
    <s v="L-ERP-184"/>
    <s v="Hase, Raj_MANAGED SERVICES_IT-FGS0301-OG-US-00"/>
    <s v="ERP"/>
    <x v="1"/>
    <s v="Hase, Raj"/>
    <s v="DeHart, Lynn"/>
    <x v="1"/>
    <s v="Desktop on Demand (VDS)"/>
    <m/>
    <m/>
    <s v="IT-FGS0301-OG-US-00"/>
    <m/>
    <m/>
    <m/>
    <s v="EP&amp;S"/>
    <m/>
    <m/>
    <n v="19176"/>
    <n v="19176"/>
    <n v="19176"/>
    <n v="0"/>
    <n v="1566"/>
    <n v="1439"/>
    <n v="4092"/>
    <n v="1598"/>
    <n v="1598"/>
    <n v="1598"/>
    <n v="1598"/>
    <n v="1598"/>
    <n v="1598"/>
    <n v="1598"/>
    <n v="1598"/>
    <n v="1598"/>
    <n v="21479"/>
    <n v="2303"/>
    <m/>
    <m/>
    <n v="0"/>
    <m/>
    <n v="2303"/>
    <m/>
    <n v="1566"/>
    <n v="1439"/>
    <n v="4092"/>
    <n v="1598"/>
    <n v="1598"/>
    <n v="1598"/>
    <n v="1598"/>
    <n v="1598"/>
    <n v="1598"/>
    <n v="1598"/>
    <n v="1598"/>
    <n v="1598"/>
    <n v="21479"/>
    <n v="1566"/>
    <n v="1439"/>
    <n v="4092"/>
    <n v="1598"/>
    <n v="1598"/>
    <n v="1598"/>
    <n v="1598"/>
    <n v="1598"/>
    <n v="1598"/>
    <n v="1598"/>
    <n v="1598"/>
    <n v="1598"/>
    <n v="21479"/>
  </r>
  <r>
    <s v="L-ERP-199"/>
    <s v="Herman, Shaun_MANAGED SERVICES_IT-FGS0301-OG-US-00"/>
    <s v="ERP"/>
    <x v="1"/>
    <s v="Herman, Shaun"/>
    <s v="DeHart, Lynn"/>
    <x v="1"/>
    <s v="Desktop on Demand (VDS)"/>
    <m/>
    <m/>
    <s v="IT-FGS0301-OG-US-00"/>
    <m/>
    <m/>
    <m/>
    <s v="EP&amp;S"/>
    <m/>
    <m/>
    <n v="36000"/>
    <n v="36000"/>
    <n v="36000"/>
    <n v="0"/>
    <n v="2137"/>
    <n v="1809"/>
    <n v="3876"/>
    <n v="3000"/>
    <n v="3000"/>
    <n v="3000"/>
    <n v="3000"/>
    <n v="3000"/>
    <n v="3000"/>
    <n v="3000"/>
    <n v="3000"/>
    <n v="3000"/>
    <n v="34822"/>
    <n v="-1178"/>
    <m/>
    <m/>
    <n v="0"/>
    <m/>
    <n v="-1178"/>
    <m/>
    <n v="2137"/>
    <n v="1809"/>
    <n v="3876"/>
    <n v="3000"/>
    <n v="3000"/>
    <n v="3000"/>
    <n v="3000"/>
    <n v="3000"/>
    <n v="3000"/>
    <n v="3000"/>
    <n v="3000"/>
    <n v="3000"/>
    <n v="34822"/>
    <n v="2137"/>
    <n v="1809"/>
    <n v="3876"/>
    <n v="3000"/>
    <n v="3000"/>
    <n v="3000"/>
    <n v="3000"/>
    <n v="3000"/>
    <n v="3000"/>
    <n v="3000"/>
    <n v="3000"/>
    <n v="3000"/>
    <n v="34822"/>
  </r>
  <r>
    <s v="L-ERP-221"/>
    <s v="Hovanyetz, Mike_MANAGED SERVICES_IT-FGS0301-OG-US-00"/>
    <s v="ERP"/>
    <x v="1"/>
    <s v="Hovanyetz, Mike"/>
    <s v="DeHart, Lynn"/>
    <x v="1"/>
    <s v="Desktop on Demand (VDS)"/>
    <m/>
    <m/>
    <s v="IT-FGS0301-OG-US-00"/>
    <m/>
    <m/>
    <m/>
    <s v="EP&amp;S"/>
    <m/>
    <m/>
    <n v="27000"/>
    <n v="27000"/>
    <n v="27000"/>
    <n v="0"/>
    <n v="1883"/>
    <n v="1481"/>
    <n v="2867"/>
    <n v="2250"/>
    <n v="2250"/>
    <n v="2250"/>
    <n v="2250"/>
    <n v="2250"/>
    <n v="2250"/>
    <n v="2250"/>
    <n v="2250"/>
    <n v="2250"/>
    <n v="26481"/>
    <n v="-519"/>
    <m/>
    <m/>
    <n v="0"/>
    <m/>
    <n v="-519"/>
    <m/>
    <n v="1883"/>
    <n v="1481"/>
    <n v="2867"/>
    <n v="2250"/>
    <n v="2250"/>
    <n v="2250"/>
    <n v="2250"/>
    <n v="2250"/>
    <n v="2250"/>
    <n v="2250"/>
    <n v="2250"/>
    <n v="2250"/>
    <n v="26481"/>
    <n v="1883"/>
    <n v="1481"/>
    <n v="2867"/>
    <n v="2250"/>
    <n v="2250"/>
    <n v="2250"/>
    <n v="2250"/>
    <n v="2250"/>
    <n v="2250"/>
    <n v="2250"/>
    <n v="2250"/>
    <n v="2250"/>
    <n v="26481"/>
  </r>
  <r>
    <s v="L-ERP-233"/>
    <s v="Jajodia, Amit_MANAGED SERVICES_IT-FGS0301-OG-US-00"/>
    <s v="ERP"/>
    <x v="1"/>
    <s v="Jajodia, Amit"/>
    <s v="DeHart, Lynn"/>
    <x v="1"/>
    <s v="Desktop on Demand (VDS)"/>
    <m/>
    <m/>
    <s v="IT-FGS0301-OG-US-00"/>
    <m/>
    <m/>
    <m/>
    <s v="EP&amp;S"/>
    <m/>
    <m/>
    <n v="0"/>
    <n v="0"/>
    <n v="0"/>
    <n v="0"/>
    <n v="60"/>
    <n v="0"/>
    <n v="3502"/>
    <n v="0"/>
    <n v="0"/>
    <n v="0"/>
    <n v="0"/>
    <n v="0"/>
    <n v="0"/>
    <n v="0"/>
    <n v="0"/>
    <n v="0"/>
    <n v="3562"/>
    <n v="3562"/>
    <m/>
    <m/>
    <n v="0"/>
    <m/>
    <n v="3562"/>
    <m/>
    <n v="60"/>
    <n v="0"/>
    <n v="3502"/>
    <n v="0"/>
    <n v="0"/>
    <n v="0"/>
    <n v="0"/>
    <n v="0"/>
    <n v="0"/>
    <n v="0"/>
    <n v="0"/>
    <n v="0"/>
    <n v="3562"/>
    <n v="60"/>
    <n v="0"/>
    <n v="3502"/>
    <n v="0"/>
    <n v="0"/>
    <n v="0"/>
    <n v="0"/>
    <n v="0"/>
    <n v="0"/>
    <n v="0"/>
    <n v="0"/>
    <n v="0"/>
    <n v="3562"/>
  </r>
  <r>
    <s v="L-ERP-552"/>
    <s v="Vaidya, Sachin_MANAGED SERVICES_IT-FGS0301-OG-US-00"/>
    <s v="ERP"/>
    <x v="1"/>
    <s v="Vaidya, Sachin"/>
    <s v="DeHart, Lynn"/>
    <x v="1"/>
    <s v="Desktop on Demand (VDS)"/>
    <m/>
    <m/>
    <s v="IT-FGS0301-OG-US-00"/>
    <m/>
    <m/>
    <m/>
    <s v="EP&amp;S"/>
    <s v="Sachin (4/30): Not managed by me"/>
    <m/>
    <n v="18852"/>
    <n v="18852"/>
    <n v="18852"/>
    <n v="0"/>
    <n v="1206"/>
    <n v="1139"/>
    <n v="1608"/>
    <n v="1571"/>
    <n v="1571"/>
    <n v="1571"/>
    <n v="1571"/>
    <n v="1571"/>
    <n v="1571"/>
    <n v="1571"/>
    <n v="1571"/>
    <n v="1571"/>
    <n v="18092"/>
    <n v="-760"/>
    <m/>
    <m/>
    <n v="0"/>
    <m/>
    <n v="-760"/>
    <m/>
    <n v="1206"/>
    <n v="1139"/>
    <n v="1608"/>
    <n v="1571"/>
    <n v="1571"/>
    <n v="1571"/>
    <n v="1571"/>
    <n v="1571"/>
    <n v="1571"/>
    <n v="1571"/>
    <n v="1571"/>
    <n v="1571"/>
    <n v="18092"/>
    <n v="1206"/>
    <n v="1139"/>
    <n v="1608"/>
    <n v="1571"/>
    <n v="1571"/>
    <n v="1571"/>
    <n v="1571"/>
    <n v="1571"/>
    <n v="1571"/>
    <n v="1571"/>
    <n v="1571"/>
    <n v="1571"/>
    <n v="18092"/>
  </r>
  <r>
    <s v="L-ERP-573"/>
    <s v="Yeluri, Durga_MANAGED SERVICES_IT-FGS0301-OG-US-00"/>
    <s v="ERP"/>
    <x v="1"/>
    <s v="Yeluri, Durga"/>
    <s v="DeHart, Lynn"/>
    <x v="1"/>
    <s v="Desktop on Demand (VDS)"/>
    <m/>
    <m/>
    <s v="IT-FGS0301-OG-US-00"/>
    <m/>
    <m/>
    <m/>
    <s v="EP&amp;S"/>
    <m/>
    <m/>
    <n v="22800"/>
    <n v="22800"/>
    <n v="22800"/>
    <n v="0"/>
    <n v="1636"/>
    <n v="1153"/>
    <n v="790"/>
    <n v="1900"/>
    <n v="1900"/>
    <n v="1900"/>
    <n v="1900"/>
    <n v="1900"/>
    <n v="1900"/>
    <n v="1900"/>
    <n v="1900"/>
    <n v="1900"/>
    <n v="20679"/>
    <n v="-2121"/>
    <m/>
    <m/>
    <n v="0"/>
    <m/>
    <n v="-2121"/>
    <m/>
    <n v="1636"/>
    <n v="1153"/>
    <n v="790"/>
    <n v="1900"/>
    <n v="1900"/>
    <n v="1900"/>
    <n v="1900"/>
    <n v="1900"/>
    <n v="1900"/>
    <n v="1900"/>
    <n v="1900"/>
    <n v="1900"/>
    <n v="20679"/>
    <n v="1636"/>
    <n v="1153"/>
    <n v="790"/>
    <n v="1900"/>
    <n v="1900"/>
    <n v="1900"/>
    <n v="1900"/>
    <n v="1900"/>
    <n v="1900"/>
    <n v="1900"/>
    <n v="1900"/>
    <n v="1900"/>
    <n v="20679"/>
  </r>
  <r>
    <s v="L-ERP-409"/>
    <s v="McGettigan, David_MANAGED SERVICES_IT-FGS0301-OG-US-00"/>
    <s v="ERP"/>
    <x v="2"/>
    <s v="McGettigan, David"/>
    <s v="McGettigan, David"/>
    <x v="1"/>
    <s v="Desktop on Demand (VDS)"/>
    <m/>
    <m/>
    <s v="IT-FGS0301-OG-US-00"/>
    <m/>
    <m/>
    <m/>
    <s v="EP&amp;S"/>
    <m/>
    <m/>
    <n v="0"/>
    <n v="0"/>
    <n v="0"/>
    <n v="0"/>
    <n v="194"/>
    <n v="194"/>
    <n v="494"/>
    <n v="0"/>
    <n v="0"/>
    <n v="0"/>
    <n v="0"/>
    <n v="0"/>
    <n v="0"/>
    <n v="0"/>
    <n v="0"/>
    <n v="0"/>
    <n v="882"/>
    <n v="882"/>
    <m/>
    <m/>
    <n v="0"/>
    <m/>
    <n v="882"/>
    <m/>
    <n v="194"/>
    <n v="194"/>
    <n v="494"/>
    <n v="0"/>
    <n v="0"/>
    <n v="0"/>
    <n v="0"/>
    <n v="0"/>
    <n v="0"/>
    <n v="0"/>
    <n v="0"/>
    <n v="0"/>
    <n v="882"/>
    <n v="194"/>
    <n v="194"/>
    <n v="494"/>
    <n v="0"/>
    <n v="0"/>
    <n v="0"/>
    <n v="0"/>
    <n v="0"/>
    <n v="0"/>
    <n v="0"/>
    <n v="0"/>
    <n v="0"/>
    <n v="882"/>
  </r>
  <r>
    <s v="L-ERP-483"/>
    <s v="Robertson, Jerome_MANAGED SERVICES_IT-FGS0301-OG-US-00"/>
    <s v="ERP"/>
    <x v="3"/>
    <s v="Robertson, Jerome"/>
    <s v="Robertson, Jerome"/>
    <x v="1"/>
    <s v="Desktop on Demand (VDS)"/>
    <m/>
    <m/>
    <s v="IT-FGS0301-OG-US-00"/>
    <m/>
    <m/>
    <m/>
    <s v="EP&amp;S"/>
    <m/>
    <m/>
    <n v="0"/>
    <n v="0"/>
    <n v="0"/>
    <n v="0"/>
    <n v="681"/>
    <n v="981"/>
    <n v="2709"/>
    <n v="800"/>
    <n v="800"/>
    <n v="800"/>
    <n v="800"/>
    <n v="800"/>
    <n v="800"/>
    <n v="800"/>
    <n v="800"/>
    <n v="800"/>
    <n v="11571"/>
    <n v="11571"/>
    <m/>
    <m/>
    <n v="0"/>
    <m/>
    <n v="11571"/>
    <m/>
    <n v="681"/>
    <n v="981"/>
    <n v="2709"/>
    <n v="800"/>
    <n v="800"/>
    <n v="800"/>
    <n v="800"/>
    <n v="800"/>
    <n v="800"/>
    <n v="800"/>
    <n v="800"/>
    <n v="800"/>
    <n v="11571"/>
    <n v="681"/>
    <n v="981"/>
    <n v="2709"/>
    <n v="800"/>
    <n v="800"/>
    <n v="800"/>
    <n v="800"/>
    <n v="800"/>
    <n v="800"/>
    <n v="800"/>
    <n v="800"/>
    <n v="800"/>
    <n v="11571"/>
  </r>
  <r>
    <s v="L-ERP-079"/>
    <s v="Dougherty, Chris_SOFTWARE_IT-FGS0302-SW-US-00"/>
    <s v="ERP"/>
    <x v="0"/>
    <s v="Dougherty, Chris"/>
    <s v="Maguire, Karla"/>
    <x v="0"/>
    <s v="Microsoft O365/M365 Licenses"/>
    <m/>
    <m/>
    <s v="IT-FGS0302-SW-US-00"/>
    <s v="CHW - F/U"/>
    <m/>
    <m/>
    <s v="M365 / O365"/>
    <m/>
    <m/>
    <n v="180000"/>
    <n v="180000"/>
    <n v="180000"/>
    <n v="0"/>
    <n v="8189"/>
    <n v="13361"/>
    <n v="7758"/>
    <n v="15000"/>
    <n v="15000"/>
    <n v="15000"/>
    <n v="15000"/>
    <n v="15000"/>
    <n v="15000"/>
    <n v="15000"/>
    <n v="15000"/>
    <n v="15000"/>
    <n v="164308"/>
    <n v="-15692"/>
    <m/>
    <m/>
    <n v="0"/>
    <m/>
    <n v="-15692"/>
    <m/>
    <n v="8189"/>
    <n v="13361"/>
    <n v="7758"/>
    <n v="15000"/>
    <n v="15000"/>
    <n v="15000"/>
    <n v="15000"/>
    <n v="15000"/>
    <n v="15000"/>
    <n v="15000"/>
    <n v="15000"/>
    <n v="15000"/>
    <n v="164308"/>
    <n v="8189"/>
    <n v="13361"/>
    <n v="7758"/>
    <n v="15000"/>
    <n v="15000"/>
    <n v="15000"/>
    <n v="15000"/>
    <n v="15000"/>
    <n v="15000"/>
    <n v="15000"/>
    <n v="15000"/>
    <n v="15000"/>
    <n v="164308"/>
  </r>
  <r>
    <s v="L-ERP-320"/>
    <s v="Maguire, Karla_SOFTWARE_IT-FGS0302-SW-US-00"/>
    <s v="ERP"/>
    <x v="0"/>
    <s v="Maguire, Karla"/>
    <s v="Maguire, Karla"/>
    <x v="0"/>
    <s v="Microsoft O365/M365 Licenses"/>
    <m/>
    <m/>
    <s v="IT-FGS0302-SW-US-00"/>
    <s v="CHW - F/U"/>
    <m/>
    <m/>
    <s v="M365 / O365"/>
    <m/>
    <m/>
    <n v="12000"/>
    <n v="12000"/>
    <n v="12000"/>
    <n v="0"/>
    <n v="3614.02"/>
    <n v="0"/>
    <n v="889.72"/>
    <n v="1000"/>
    <n v="1000"/>
    <n v="1000"/>
    <n v="1000"/>
    <n v="1000"/>
    <n v="1000"/>
    <n v="1000"/>
    <n v="1000"/>
    <n v="1000"/>
    <n v="13503.74"/>
    <n v="1503.7399999999998"/>
    <m/>
    <m/>
    <n v="0"/>
    <m/>
    <n v="1503.7399999999998"/>
    <m/>
    <n v="3614.02"/>
    <n v="0"/>
    <n v="889.72"/>
    <n v="1000"/>
    <n v="1000"/>
    <n v="1000"/>
    <n v="1000"/>
    <n v="1000"/>
    <n v="1000"/>
    <n v="1000"/>
    <n v="1000"/>
    <n v="1000"/>
    <n v="13503.74"/>
    <n v="3614.02"/>
    <n v="0"/>
    <n v="889.72"/>
    <n v="1000"/>
    <n v="1000"/>
    <n v="1000"/>
    <n v="1000"/>
    <n v="1000"/>
    <n v="1000"/>
    <n v="1000"/>
    <n v="1000"/>
    <n v="1000"/>
    <n v="13503.74"/>
  </r>
  <r>
    <s v="L-ERP-364"/>
    <s v="McCormick, Pete_SOFTWARE_IT-FGS0302-SW-US-00"/>
    <s v="ERP"/>
    <x v="0"/>
    <s v="McCormick, Pete"/>
    <s v="Maguire, Karla"/>
    <x v="0"/>
    <s v="Microsoft O365/M365 Licenses"/>
    <m/>
    <m/>
    <s v="IT-FGS0302-SW-US-00"/>
    <s v="CHW - F/U"/>
    <m/>
    <m/>
    <s v="M365 / O365"/>
    <m/>
    <m/>
    <n v="370"/>
    <n v="370"/>
    <n v="370"/>
    <n v="0"/>
    <m/>
    <m/>
    <m/>
    <n v="370"/>
    <n v="0"/>
    <n v="0"/>
    <n v="0"/>
    <n v="0"/>
    <n v="0"/>
    <n v="0"/>
    <n v="0"/>
    <n v="0"/>
    <n v="370"/>
    <n v="0"/>
    <m/>
    <m/>
    <n v="0"/>
    <m/>
    <n v="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s v="L-ERP-540"/>
    <s v="Tamavada, Ram_SOFTWARE_IT-FGS0302-SW-US-00"/>
    <s v="ERP"/>
    <x v="0"/>
    <s v="Tamavada, Ram"/>
    <s v="Maguire, Karla"/>
    <x v="0"/>
    <s v="Microsoft O365/M365 Licenses"/>
    <m/>
    <m/>
    <s v="IT-FGS0302-SW-US-00"/>
    <s v="CHW - F/U"/>
    <m/>
    <m/>
    <s v="M365 / O365"/>
    <m/>
    <m/>
    <n v="0"/>
    <n v="0"/>
    <n v="0"/>
    <n v="0"/>
    <m/>
    <n v="1293"/>
    <n v="0"/>
    <n v="0"/>
    <n v="0"/>
    <n v="0"/>
    <n v="0"/>
    <n v="0"/>
    <n v="0"/>
    <n v="0"/>
    <n v="0"/>
    <n v="0"/>
    <n v="1293"/>
    <n v="1293"/>
    <m/>
    <m/>
    <n v="0"/>
    <m/>
    <n v="1293"/>
    <m/>
    <m/>
    <n v="1293"/>
    <n v="0"/>
    <n v="0"/>
    <n v="0"/>
    <n v="0"/>
    <n v="0"/>
    <n v="0"/>
    <n v="0"/>
    <n v="0"/>
    <n v="0"/>
    <n v="0"/>
    <n v="1293"/>
    <m/>
    <n v="1293"/>
    <n v="0"/>
    <n v="0"/>
    <n v="0"/>
    <n v="0"/>
    <n v="0"/>
    <n v="0"/>
    <n v="0"/>
    <n v="0"/>
    <n v="0"/>
    <n v="0"/>
    <n v="1293"/>
  </r>
  <r>
    <s v="L-ERP-015"/>
    <s v="DeHart, Lynn_SOFTWARE_IT-FGS0302-SW-US-00"/>
    <s v="ERP"/>
    <x v="1"/>
    <s v="DeHart, Lynn"/>
    <s v="DeHart, Lynn"/>
    <x v="0"/>
    <s v="Microsoft O365/M365 Licenses"/>
    <m/>
    <m/>
    <s v="IT-FGS0302-SW-US-00"/>
    <m/>
    <m/>
    <m/>
    <s v="M365 / O365"/>
    <m/>
    <m/>
    <n v="36000"/>
    <n v="36000"/>
    <n v="36000"/>
    <n v="0"/>
    <n v="6465"/>
    <n v="5197.6400000000003"/>
    <n v="7751.75"/>
    <n v="3000"/>
    <n v="3000"/>
    <n v="3000"/>
    <n v="3000"/>
    <n v="3000"/>
    <n v="3000"/>
    <n v="3000"/>
    <n v="3000"/>
    <n v="3000"/>
    <n v="46414.39"/>
    <n v="10414.39"/>
    <m/>
    <m/>
    <n v="0"/>
    <m/>
    <n v="10414.39"/>
    <m/>
    <n v="6465"/>
    <n v="5197.6400000000003"/>
    <n v="7751.75"/>
    <n v="3000"/>
    <n v="3000"/>
    <n v="3000"/>
    <n v="3000"/>
    <n v="3000"/>
    <n v="3000"/>
    <n v="3000"/>
    <n v="3000"/>
    <n v="3000"/>
    <n v="46414.39"/>
    <n v="6465"/>
    <n v="5197.6400000000003"/>
    <n v="7751.75"/>
    <n v="3000"/>
    <n v="3000"/>
    <n v="3000"/>
    <n v="3000"/>
    <n v="3000"/>
    <n v="3000"/>
    <n v="3000"/>
    <n v="3000"/>
    <n v="3000"/>
    <n v="46414.39"/>
  </r>
  <r>
    <s v="L-ERP-134"/>
    <s v="Ganesan, Srinivasan_SOFTWARE_IT-FGS0302-SW-US-00"/>
    <s v="ERP"/>
    <x v="1"/>
    <s v="Ganesan, Srinivasan"/>
    <s v="DeHart, Lynn"/>
    <x v="0"/>
    <s v="Microsoft O365/M365 Licenses"/>
    <m/>
    <m/>
    <s v="IT-FGS0302-SW-US-00"/>
    <m/>
    <m/>
    <m/>
    <s v="M365 / O365"/>
    <m/>
    <m/>
    <n v="6000"/>
    <n v="6000"/>
    <n v="6000"/>
    <n v="0"/>
    <n v="431"/>
    <n v="0"/>
    <n v="0"/>
    <n v="500"/>
    <n v="500"/>
    <n v="500"/>
    <n v="500"/>
    <n v="500"/>
    <n v="500"/>
    <n v="500"/>
    <n v="500"/>
    <n v="500"/>
    <n v="4931"/>
    <n v="-1069"/>
    <m/>
    <m/>
    <n v="0"/>
    <m/>
    <n v="-1069"/>
    <m/>
    <n v="431"/>
    <n v="0"/>
    <n v="0"/>
    <n v="500"/>
    <n v="500"/>
    <n v="500"/>
    <n v="500"/>
    <n v="500"/>
    <n v="500"/>
    <n v="500"/>
    <n v="500"/>
    <n v="500"/>
    <n v="4931"/>
    <n v="431"/>
    <n v="0"/>
    <n v="0"/>
    <n v="500"/>
    <n v="500"/>
    <n v="500"/>
    <n v="500"/>
    <n v="500"/>
    <n v="500"/>
    <n v="500"/>
    <n v="500"/>
    <n v="500"/>
    <n v="4931"/>
  </r>
  <r>
    <s v="L-ERP-223"/>
    <s v="Hovanyetz, Mike_SOFTWARE_IT-FGS0302-SW-US-00"/>
    <s v="ERP"/>
    <x v="1"/>
    <s v="Hovanyetz, Mike"/>
    <s v="DeHart, Lynn"/>
    <x v="0"/>
    <s v="Microsoft O365/M365 Licenses"/>
    <m/>
    <m/>
    <s v="IT-FGS0302-SW-US-00"/>
    <m/>
    <m/>
    <m/>
    <s v="M365 / O365"/>
    <m/>
    <m/>
    <n v="370"/>
    <n v="370"/>
    <n v="370"/>
    <n v="0"/>
    <m/>
    <m/>
    <m/>
    <n v="370"/>
    <n v="0"/>
    <n v="0"/>
    <n v="0"/>
    <n v="0"/>
    <n v="0"/>
    <n v="0"/>
    <n v="0"/>
    <n v="0"/>
    <n v="370"/>
    <n v="0"/>
    <m/>
    <m/>
    <n v="0"/>
    <m/>
    <n v="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s v="L-ERP-413"/>
    <s v="McGettigan, David_SOFTWARE_IT-FGS0302-SW-US-00"/>
    <s v="ERP"/>
    <x v="2"/>
    <s v="McGettigan, David"/>
    <s v="McGettigan, David"/>
    <x v="0"/>
    <s v="Microsoft O365/M365 Licenses"/>
    <m/>
    <m/>
    <s v="IT-FGS0302-SW-US-00"/>
    <m/>
    <m/>
    <m/>
    <s v="M365 / O365"/>
    <m/>
    <m/>
    <n v="0"/>
    <n v="0"/>
    <n v="0"/>
    <n v="0"/>
    <m/>
    <m/>
    <n v="2155"/>
    <n v="0"/>
    <n v="0"/>
    <n v="0"/>
    <n v="0"/>
    <n v="0"/>
    <n v="0"/>
    <n v="0"/>
    <n v="0"/>
    <n v="0"/>
    <n v="2155"/>
    <n v="2155"/>
    <m/>
    <m/>
    <n v="0"/>
    <m/>
    <n v="2155"/>
    <m/>
    <m/>
    <m/>
    <n v="2155"/>
    <n v="0"/>
    <n v="0"/>
    <n v="0"/>
    <n v="0"/>
    <n v="0"/>
    <n v="0"/>
    <n v="0"/>
    <n v="0"/>
    <n v="0"/>
    <n v="2155"/>
    <m/>
    <m/>
    <n v="2155"/>
    <n v="0"/>
    <n v="0"/>
    <n v="0"/>
    <n v="0"/>
    <n v="0"/>
    <n v="0"/>
    <n v="0"/>
    <n v="0"/>
    <n v="0"/>
    <n v="2155"/>
  </r>
  <r>
    <s v="L-ERP-484"/>
    <s v="Robertson, Jerome_SOFTWARE_IT-FGS0302-SW-US-00"/>
    <s v="ERP"/>
    <x v="3"/>
    <s v="Robertson, Jerome"/>
    <s v="Robertson, Jerome"/>
    <x v="0"/>
    <s v="Microsoft O365/M365 Licenses"/>
    <m/>
    <m/>
    <s v="IT-FGS0302-SW-US-00"/>
    <m/>
    <m/>
    <m/>
    <s v="M365 / O365"/>
    <m/>
    <m/>
    <n v="4500"/>
    <n v="4500"/>
    <n v="4500"/>
    <n v="0"/>
    <n v="431"/>
    <n v="2586"/>
    <n v="2182.7199999999998"/>
    <n v="375"/>
    <n v="375"/>
    <n v="375"/>
    <n v="375"/>
    <n v="375"/>
    <n v="375"/>
    <n v="375"/>
    <n v="375"/>
    <n v="375"/>
    <n v="8574.7199999999993"/>
    <n v="4074.7199999999993"/>
    <m/>
    <m/>
    <n v="-4.5474735088646412E-13"/>
    <m/>
    <n v="4074.7199999999993"/>
    <m/>
    <n v="431"/>
    <n v="2586"/>
    <n v="2182.7199999999998"/>
    <n v="375"/>
    <n v="375"/>
    <n v="375"/>
    <n v="375"/>
    <n v="375"/>
    <n v="375"/>
    <n v="375"/>
    <n v="375"/>
    <n v="375"/>
    <n v="8574.7199999999993"/>
    <n v="431"/>
    <n v="2586"/>
    <n v="2182.7199999999998"/>
    <n v="375"/>
    <n v="375"/>
    <n v="375"/>
    <n v="375"/>
    <n v="375"/>
    <n v="375"/>
    <n v="375"/>
    <n v="375"/>
    <n v="375"/>
    <n v="8574.7199999999993"/>
  </r>
  <r>
    <s v="N-ERP-586"/>
    <s v="McCormick, Pete_HW MAINTENANCE_IT-HRD0003-OG-US-DH"/>
    <s v="ERP-N"/>
    <x v="0"/>
    <s v="McCormick, Pete"/>
    <s v="Maguire, Karla"/>
    <x v="3"/>
    <s v="DELL PowerMax &amp; CISCO San Switches HW Maintenance - Durham (Pullforward Debit)"/>
    <m/>
    <m/>
    <s v="IT-HRD0003-OG-US-DH"/>
    <m/>
    <m/>
    <s v="Yes"/>
    <s v="Power 10s; 2026 Pullforward"/>
    <s v="4/28/26 CHW New add to tie-out 0223 to 0317 Planful Extracts"/>
    <m/>
    <n v="749252.78"/>
    <n v="749252.78"/>
    <n v="749252.78"/>
    <n v="0"/>
    <m/>
    <m/>
    <m/>
    <n v="0"/>
    <n v="0"/>
    <n v="0"/>
    <n v="0"/>
    <n v="0"/>
    <n v="0"/>
    <n v="0"/>
    <n v="0"/>
    <n v="0"/>
    <n v="0"/>
    <n v="-749252.78"/>
    <m/>
    <m/>
    <n v="0"/>
    <m/>
    <n v="-749252.78"/>
    <m/>
    <m/>
    <m/>
    <m/>
    <n v="0"/>
    <n v="0"/>
    <n v="0"/>
    <n v="0"/>
    <n v="0"/>
    <n v="0"/>
    <n v="0"/>
    <n v="0"/>
    <n v="0"/>
    <n v="0"/>
    <n v="749252.78"/>
    <n v="0"/>
    <n v="0"/>
    <n v="0"/>
    <n v="0"/>
    <n v="0"/>
    <n v="0"/>
    <n v="0"/>
    <n v="0"/>
    <n v="0"/>
    <n v="0"/>
    <n v="0"/>
    <n v="749252.78"/>
  </r>
  <r>
    <s v="N-ERP-587"/>
    <s v="McCormick, Pete_HW MAINTENANCE_IT-HRD0003-OG-US-DH/PF"/>
    <s v="ERP-N"/>
    <x v="0"/>
    <s v="McCormick, Pete"/>
    <s v="Maguire, Karla"/>
    <x v="3"/>
    <s v="DELL PowerMax &amp; CISCO San Switches HW Maintenance - Durham (Pullforward Credit)"/>
    <m/>
    <m/>
    <s v="IT-HRD0003-OG-US-DH/PF"/>
    <m/>
    <m/>
    <s v="Yes"/>
    <s v="Power 10s; 2026 Pullforward"/>
    <s v="4/28/26 CHW New add to tie-out 0223 to 0317 Planful Extracts"/>
    <m/>
    <n v="-749252.78"/>
    <n v="-749252.78"/>
    <n v="-749252.78"/>
    <n v="0"/>
    <m/>
    <m/>
    <m/>
    <n v="0"/>
    <n v="0"/>
    <n v="0"/>
    <n v="0"/>
    <n v="0"/>
    <n v="0"/>
    <n v="0"/>
    <n v="0"/>
    <n v="0"/>
    <n v="0"/>
    <n v="749252.78"/>
    <m/>
    <m/>
    <n v="0"/>
    <m/>
    <n v="749252.78"/>
    <m/>
    <m/>
    <m/>
    <m/>
    <n v="0"/>
    <n v="0"/>
    <n v="0"/>
    <n v="0"/>
    <n v="0"/>
    <n v="0"/>
    <n v="0"/>
    <n v="0"/>
    <n v="0"/>
    <n v="0"/>
    <n v="-749252.78"/>
    <n v="0"/>
    <n v="0"/>
    <n v="0"/>
    <n v="0"/>
    <n v="0"/>
    <n v="0"/>
    <n v="0"/>
    <n v="0"/>
    <n v="0"/>
    <n v="0"/>
    <n v="0"/>
    <n v="-749252.78"/>
  </r>
  <r>
    <s v="N-ERP-588"/>
    <s v="McCormick, Pete_HW MAINTENANCE_IT-HRD0004-OG-US-SS"/>
    <s v="ERP-N"/>
    <x v="0"/>
    <s v="McCormick, Pete"/>
    <s v="Maguire, Karla"/>
    <x v="3"/>
    <s v="DELL PowerMax &amp; CISCO San Switches HW Maintenance - Somerset (Pullforward Debit)"/>
    <m/>
    <m/>
    <s v="IT-HRD0004-OG-US-SS"/>
    <m/>
    <m/>
    <s v="Yes"/>
    <s v="Power 10s; 2026 Pullforward"/>
    <s v="4/28/26 CHW New add to tie-out 0223 to 0317 Planful Extracts"/>
    <m/>
    <n v="783580.73"/>
    <n v="783580.73"/>
    <n v="783580.73"/>
    <n v="0"/>
    <m/>
    <m/>
    <m/>
    <n v="0"/>
    <n v="0"/>
    <n v="0"/>
    <n v="0"/>
    <n v="0"/>
    <n v="0"/>
    <n v="0"/>
    <n v="0"/>
    <n v="0"/>
    <n v="0"/>
    <n v="-783580.73"/>
    <m/>
    <m/>
    <n v="0"/>
    <m/>
    <n v="-783580.73"/>
    <m/>
    <m/>
    <m/>
    <m/>
    <n v="0"/>
    <n v="0"/>
    <n v="0"/>
    <n v="0"/>
    <n v="0"/>
    <n v="0"/>
    <n v="0"/>
    <n v="0"/>
    <n v="0"/>
    <n v="0"/>
    <n v="783580.73"/>
    <n v="0"/>
    <n v="0"/>
    <n v="0"/>
    <n v="0"/>
    <n v="0"/>
    <n v="0"/>
    <n v="0"/>
    <n v="0"/>
    <n v="0"/>
    <n v="0"/>
    <n v="0"/>
    <n v="783580.73"/>
  </r>
  <r>
    <s v="N-ERP-589"/>
    <s v="McCormick, Pete_HW MAINTENANCE_IT-HRD0004-OG-US-SS/PF"/>
    <s v="ERP-N"/>
    <x v="0"/>
    <s v="McCormick, Pete"/>
    <s v="Maguire, Karla"/>
    <x v="3"/>
    <s v="DELL PowerMax &amp; CISCO San Switches HW Maintenance - Somerset (Pullforward Credit)"/>
    <m/>
    <m/>
    <s v="IT-HRD0004-OG-US-SS/PF"/>
    <m/>
    <m/>
    <s v="Yes"/>
    <s v="Power 10s; 2026 Pullforward"/>
    <s v="4/28/26 CHW New add to tie-out 0223 to 0317 Planful Extracts"/>
    <m/>
    <n v="-783580.73"/>
    <n v="-783580.73"/>
    <n v="-783580.73"/>
    <n v="0"/>
    <m/>
    <m/>
    <m/>
    <n v="0"/>
    <n v="0"/>
    <n v="0"/>
    <n v="0"/>
    <n v="0"/>
    <n v="0"/>
    <n v="0"/>
    <n v="0"/>
    <n v="0"/>
    <n v="0"/>
    <n v="783580.73"/>
    <m/>
    <m/>
    <n v="0"/>
    <m/>
    <n v="783580.73"/>
    <m/>
    <m/>
    <m/>
    <m/>
    <n v="0"/>
    <n v="0"/>
    <n v="0"/>
    <n v="0"/>
    <n v="0"/>
    <n v="0"/>
    <n v="0"/>
    <n v="0"/>
    <n v="0"/>
    <n v="0"/>
    <n v="-783580.73"/>
    <n v="0"/>
    <n v="0"/>
    <n v="0"/>
    <n v="0"/>
    <n v="0"/>
    <n v="0"/>
    <n v="0"/>
    <n v="0"/>
    <n v="0"/>
    <n v="0"/>
    <n v="0"/>
    <n v="-783580.73"/>
  </r>
  <r>
    <s v="L-ERP-372"/>
    <s v="McCormick, Pete_MANAGED SERVICES_IT-HRD0005-OG-US-SS"/>
    <s v="ERP"/>
    <x v="0"/>
    <s v="McCormick, Pete"/>
    <s v="Maguire, Karla"/>
    <x v="1"/>
    <s v="SAP Platform - IBM Power10 HWMA and HMC - SOMERSET"/>
    <m/>
    <m/>
    <s v="IT-HRD0005-OG-US-SS"/>
    <m/>
    <m/>
    <m/>
    <s v="None"/>
    <m/>
    <m/>
    <n v="301000"/>
    <n v="301000"/>
    <n v="301000"/>
    <n v="0"/>
    <n v="80223.58"/>
    <n v="0"/>
    <n v="0"/>
    <n v="75250"/>
    <n v="0"/>
    <n v="0"/>
    <n v="75250"/>
    <n v="0"/>
    <n v="0"/>
    <n v="75250"/>
    <n v="0"/>
    <n v="0"/>
    <n v="305973.58"/>
    <n v="4973.5800000000163"/>
    <m/>
    <m/>
    <n v="0"/>
    <m/>
    <n v="4973.5800000000163"/>
    <m/>
    <n v="80223.58"/>
    <n v="0"/>
    <n v="0"/>
    <n v="75250"/>
    <n v="0"/>
    <n v="0"/>
    <n v="75250"/>
    <n v="0"/>
    <n v="0"/>
    <n v="75250"/>
    <n v="0"/>
    <n v="0"/>
    <n v="305973.58"/>
    <n v="80223.58"/>
    <n v="0"/>
    <n v="0"/>
    <n v="75250"/>
    <n v="0"/>
    <n v="0"/>
    <n v="75250"/>
    <n v="0"/>
    <n v="0"/>
    <n v="75250"/>
    <n v="0"/>
    <n v="0"/>
    <n v="305973.58"/>
  </r>
  <r>
    <s v="L-ERP-373"/>
    <s v="McCormick, Pete_MANAGED SERVICES_IT-HRD0006-OG-US-DH"/>
    <s v="ERP"/>
    <x v="0"/>
    <s v="McCormick, Pete"/>
    <s v="Maguire, Karla"/>
    <x v="1"/>
    <s v="SAP Platform - IBM Power10 HWMA and HMC - DURHAM"/>
    <m/>
    <m/>
    <s v="IT-HRD0006-OG-US-DH"/>
    <m/>
    <m/>
    <m/>
    <s v="None"/>
    <m/>
    <m/>
    <n v="282792"/>
    <n v="282792"/>
    <n v="282792"/>
    <n v="0"/>
    <n v="70697.440000000002"/>
    <n v="0.49"/>
    <n v="0"/>
    <n v="70698"/>
    <n v="0"/>
    <n v="0"/>
    <n v="70698"/>
    <n v="0"/>
    <n v="0"/>
    <n v="70698"/>
    <n v="0"/>
    <n v="0"/>
    <n v="282791.93"/>
    <n v="-7.0000000006984919E-2"/>
    <m/>
    <m/>
    <n v="0"/>
    <m/>
    <n v="-7.0000000006984919E-2"/>
    <m/>
    <n v="70697.440000000002"/>
    <n v="0.49"/>
    <n v="0"/>
    <n v="70698"/>
    <n v="0"/>
    <n v="0"/>
    <n v="70698"/>
    <n v="0"/>
    <n v="0"/>
    <n v="70698"/>
    <n v="0"/>
    <n v="0"/>
    <n v="282791.93"/>
    <n v="70697.440000000002"/>
    <n v="0.49"/>
    <n v="0"/>
    <n v="70698"/>
    <n v="0"/>
    <n v="0"/>
    <n v="70698"/>
    <n v="0"/>
    <n v="0"/>
    <n v="70698"/>
    <n v="0"/>
    <n v="0"/>
    <n v="282791.93"/>
  </r>
  <r>
    <s v="L-ERP-020"/>
    <s v="DeHart, Lynn_HW MAINTENANCE_IT-HRD0058-OG-US-00"/>
    <s v="ERP"/>
    <x v="1"/>
    <s v="DeHart, Lynn"/>
    <s v="DeHart, Lynn"/>
    <x v="3"/>
    <s v="Hardware Maintenance"/>
    <m/>
    <m/>
    <s v="IT-HRD0058-OG-US-00"/>
    <m/>
    <m/>
    <m/>
    <s v="None"/>
    <m/>
    <m/>
    <n v="1659"/>
    <n v="1659"/>
    <n v="1659"/>
    <n v="0"/>
    <m/>
    <m/>
    <m/>
    <n v="150"/>
    <n v="159"/>
    <n v="150"/>
    <n v="150"/>
    <n v="150"/>
    <n v="150"/>
    <n v="150"/>
    <n v="0"/>
    <n v="150"/>
    <n v="1209"/>
    <n v="-450"/>
    <m/>
    <m/>
    <n v="0"/>
    <m/>
    <n v="-450"/>
    <m/>
    <m/>
    <m/>
    <m/>
    <n v="150"/>
    <n v="159"/>
    <n v="150"/>
    <n v="150"/>
    <n v="150"/>
    <n v="150"/>
    <n v="150"/>
    <n v="0"/>
    <n v="150"/>
    <n v="1209"/>
    <m/>
    <m/>
    <m/>
    <n v="150"/>
    <n v="159"/>
    <n v="150"/>
    <n v="150"/>
    <n v="150"/>
    <n v="150"/>
    <n v="150"/>
    <n v="0"/>
    <n v="150"/>
    <n v="1209"/>
  </r>
  <r>
    <s v="L-ERP-023"/>
    <s v="DeHart, Lynn_MANAGED SERVICES_IT-MGS0158-OG-US-00"/>
    <s v="ERP"/>
    <x v="1"/>
    <s v="DeHart, Lynn"/>
    <s v="DeHart, Lynn"/>
    <x v="1"/>
    <s v="Database"/>
    <m/>
    <m/>
    <s v="IT-MGS0158-OG-US-00"/>
    <m/>
    <m/>
    <m/>
    <s v="None"/>
    <m/>
    <m/>
    <n v="4032"/>
    <n v="4032"/>
    <n v="4032"/>
    <n v="0"/>
    <m/>
    <m/>
    <m/>
    <n v="336"/>
    <n v="336"/>
    <n v="336"/>
    <n v="336"/>
    <n v="336"/>
    <n v="336"/>
    <n v="336"/>
    <n v="336"/>
    <n v="336"/>
    <n v="3024"/>
    <n v="-1008"/>
    <m/>
    <m/>
    <n v="0"/>
    <m/>
    <n v="-1008"/>
    <m/>
    <m/>
    <m/>
    <m/>
    <n v="336"/>
    <n v="336"/>
    <n v="336"/>
    <n v="336"/>
    <n v="336"/>
    <n v="336"/>
    <n v="336"/>
    <n v="336"/>
    <n v="336"/>
    <n v="3024"/>
    <m/>
    <m/>
    <m/>
    <n v="336"/>
    <n v="336"/>
    <n v="336"/>
    <n v="336"/>
    <n v="336"/>
    <n v="336"/>
    <n v="336"/>
    <n v="336"/>
    <n v="336"/>
    <n v="3024"/>
  </r>
  <r>
    <s v="L-ERP-488"/>
    <s v="Robertson, Jerome_MANAGED SERVICES_IT-MGS0165-OG-US-00"/>
    <s v="ERP"/>
    <x v="3"/>
    <s v="Robertson, Jerome"/>
    <s v="Robertson, Jerome"/>
    <x v="1"/>
    <s v="SAP BW Oracle Landing Zone"/>
    <m/>
    <m/>
    <s v="IT-MGS0165-OG-US-00"/>
    <m/>
    <m/>
    <m/>
    <s v="None"/>
    <m/>
    <m/>
    <n v="12000"/>
    <n v="12000"/>
    <n v="12000"/>
    <n v="0"/>
    <m/>
    <m/>
    <m/>
    <m/>
    <m/>
    <n v="12000"/>
    <n v="0"/>
    <n v="0"/>
    <n v="0"/>
    <n v="0"/>
    <n v="0"/>
    <n v="0"/>
    <n v="12000"/>
    <n v="0"/>
    <m/>
    <m/>
    <n v="0"/>
    <m/>
    <n v="0"/>
    <m/>
    <m/>
    <m/>
    <m/>
    <m/>
    <m/>
    <n v="12000"/>
    <n v="0"/>
    <n v="0"/>
    <n v="0"/>
    <n v="0"/>
    <n v="0"/>
    <n v="0"/>
    <n v="12000"/>
    <m/>
    <m/>
    <m/>
    <m/>
    <m/>
    <n v="12000"/>
    <n v="0"/>
    <n v="0"/>
    <n v="0"/>
    <n v="0"/>
    <n v="0"/>
    <n v="0"/>
    <n v="12000"/>
  </r>
  <r>
    <s v="N-ERP-612"/>
    <s v="Robertson, Jerome_SOFTWARE_IT-MGS0167-OG-US-00"/>
    <s v="ERP-N"/>
    <x v="3"/>
    <s v="Robertson, Jerome"/>
    <s v="Robertson, Jerome"/>
    <x v="0"/>
    <s v="2329547_Virtual Analytics Workbench (VAW) DSS - Data Science Studio Tools"/>
    <m/>
    <m/>
    <s v="IT-MGS0167-OG-US-00"/>
    <m/>
    <m/>
    <s v="Investigate LE2"/>
    <s v="iERP"/>
    <s v="4/28/26 CHW New add to tie-out 0223 to 0317 Planful Extracts"/>
    <m/>
    <n v="340000"/>
    <n v="340000"/>
    <n v="340000"/>
    <n v="0"/>
    <m/>
    <m/>
    <m/>
    <n v="0"/>
    <n v="0"/>
    <n v="0"/>
    <n v="0"/>
    <n v="340000"/>
    <n v="0"/>
    <n v="0"/>
    <n v="0"/>
    <n v="0"/>
    <n v="340000"/>
    <n v="0"/>
    <m/>
    <m/>
    <n v="0"/>
    <m/>
    <n v="0"/>
    <m/>
    <m/>
    <m/>
    <m/>
    <n v="0"/>
    <n v="0"/>
    <n v="0"/>
    <n v="0"/>
    <n v="340000"/>
    <n v="0"/>
    <n v="0"/>
    <n v="0"/>
    <n v="0"/>
    <n v="340000"/>
    <n v="0"/>
    <n v="0"/>
    <n v="340000"/>
    <n v="0"/>
    <n v="0"/>
    <n v="0"/>
    <n v="0"/>
    <n v="0"/>
    <n v="0"/>
    <n v="0"/>
    <n v="0"/>
    <n v="0"/>
    <n v="340000"/>
  </r>
  <r>
    <s v="L-ERP-095"/>
    <s v="Dougherty, Chris_MANAGED SERVICES_IT-MGS0168-OG-US-00"/>
    <s v="ERP"/>
    <x v="0"/>
    <s v="Dougherty, Chris"/>
    <s v="Maguire, Karla"/>
    <x v="1"/>
    <s v="IBM BPAI AMS (ML-0726)"/>
    <m/>
    <m/>
    <s v="IT-MGS0168-OG-US-00"/>
    <s v="CHW - Ok"/>
    <m/>
    <m/>
    <s v="None"/>
    <m/>
    <m/>
    <n v="0"/>
    <n v="0"/>
    <n v="0"/>
    <n v="0"/>
    <m/>
    <n v="245366"/>
    <n v="122683.66"/>
    <n v="122683"/>
    <n v="122683"/>
    <n v="122683"/>
    <n v="122683"/>
    <n v="122683"/>
    <n v="122683"/>
    <n v="122683"/>
    <n v="122683"/>
    <n v="122683"/>
    <n v="1472196.6600000001"/>
    <n v="1472196.6600000001"/>
    <m/>
    <m/>
    <n v="0"/>
    <m/>
    <n v="1472196.6600000001"/>
    <m/>
    <m/>
    <n v="245366"/>
    <n v="122683.66"/>
    <n v="122683"/>
    <n v="122683"/>
    <n v="122683"/>
    <n v="122683"/>
    <n v="122683"/>
    <n v="122683"/>
    <n v="122683"/>
    <n v="122683"/>
    <n v="122683"/>
    <n v="1472196.6600000001"/>
    <m/>
    <n v="245366"/>
    <n v="122683.66"/>
    <n v="122683"/>
    <n v="122683"/>
    <n v="122683"/>
    <n v="122683"/>
    <n v="122683"/>
    <n v="122683"/>
    <n v="122683"/>
    <n v="122683"/>
    <n v="122683"/>
    <n v="1472196.6600000001"/>
  </r>
  <r>
    <s v="N-ERP-507"/>
    <s v="Dougherty, Chris_CONTRACTORS_IT-MGS0168-OG-US-00"/>
    <s v="ERP-N"/>
    <x v="0"/>
    <s v="Dougherty, Chris"/>
    <s v="Maguire, Karla"/>
    <x v="2"/>
    <s v="IBM BPAI AMS (ML-0726)"/>
    <m/>
    <m/>
    <s v="IT-MGS0168-OG-US-00"/>
    <s v="CHW - Ok"/>
    <m/>
    <s v="Investigate LE2"/>
    <s v="None"/>
    <s v="4/28/26 CHW New add to tie-out 0223 to 0317 Planful Extracts Account Movement - IBM AMS forecast is recorded under Contractors, while actuals are posted to Managed Services. Zeroed remaining forecast as forecasted under Managed Services"/>
    <m/>
    <n v="1472196"/>
    <n v="1472196"/>
    <n v="1472196"/>
    <n v="0"/>
    <m/>
    <m/>
    <m/>
    <n v="0"/>
    <n v="0"/>
    <n v="0"/>
    <n v="0"/>
    <n v="0"/>
    <n v="0"/>
    <n v="0"/>
    <n v="0"/>
    <n v="0"/>
    <n v="0"/>
    <n v="-1472196"/>
    <m/>
    <m/>
    <n v="0"/>
    <m/>
    <n v="-1472196"/>
    <m/>
    <m/>
    <m/>
    <m/>
    <n v="0"/>
    <n v="0"/>
    <n v="0"/>
    <n v="0"/>
    <n v="0"/>
    <n v="0"/>
    <n v="0"/>
    <n v="0"/>
    <n v="0"/>
    <n v="0"/>
    <n v="122683"/>
    <n v="122683"/>
    <n v="122683"/>
    <n v="122683"/>
    <n v="122683"/>
    <n v="122683"/>
    <n v="122683"/>
    <n v="122683"/>
    <n v="122683"/>
    <n v="122683"/>
    <n v="122683"/>
    <n v="122683"/>
    <n v="1472196"/>
  </r>
  <r>
    <s v="L-ERP-546"/>
    <s v="Tamavada, Ram_MANAGED SERVICES_IT-MGS0202-OG-US-00"/>
    <s v="ERP"/>
    <x v="0"/>
    <s v="Tamavada, Ram"/>
    <s v="Maguire, Karla"/>
    <x v="1"/>
    <s v="Oracle EBS Software Licenses"/>
    <m/>
    <m/>
    <s v="IT-MGS0202-OG-US-00"/>
    <m/>
    <m/>
    <m/>
    <s v="None"/>
    <s v="5/12 CHW - Zeroed line per Kinjal and added new software item"/>
    <m/>
    <n v="123538.99999999999"/>
    <n v="123538.99999999999"/>
    <n v="123538.99999999999"/>
    <n v="0"/>
    <m/>
    <m/>
    <m/>
    <n v="0"/>
    <n v="0"/>
    <n v="0"/>
    <n v="0"/>
    <n v="0"/>
    <n v="0"/>
    <n v="0"/>
    <n v="0"/>
    <n v="0"/>
    <n v="0"/>
    <n v="-123538.99999999999"/>
    <m/>
    <m/>
    <n v="0"/>
    <m/>
    <n v="-123538.99999999999"/>
    <s v="Acct Mvmt - Mgd Services to Software IT-MGS0202-OG-US-00"/>
    <m/>
    <m/>
    <m/>
    <n v="0"/>
    <n v="0"/>
    <n v="0"/>
    <n v="0"/>
    <n v="0"/>
    <n v="0"/>
    <n v="0"/>
    <n v="0"/>
    <n v="0"/>
    <n v="0"/>
    <m/>
    <m/>
    <m/>
    <n v="10294.92"/>
    <n v="10294.92"/>
    <n v="10294.92"/>
    <n v="10294.92"/>
    <n v="10294.92"/>
    <n v="10294.92"/>
    <n v="10294.92"/>
    <n v="10294.92"/>
    <n v="10294.92"/>
    <n v="92654.28"/>
  </r>
  <r>
    <s v="L-ERP-547"/>
    <s v="Tamavada, Ram_MANAGED SERVICES_IT-MGS0203-OG-US-00"/>
    <s v="ERP"/>
    <x v="0"/>
    <s v="Tamavada, Ram"/>
    <s v="Maguire, Karla"/>
    <x v="1"/>
    <s v="Oracle OCI Software Usage"/>
    <m/>
    <m/>
    <s v="IT-MGS0203-OG-US-00"/>
    <m/>
    <m/>
    <m/>
    <s v="None"/>
    <m/>
    <m/>
    <n v="26400"/>
    <n v="26400"/>
    <n v="26400"/>
    <n v="0"/>
    <m/>
    <m/>
    <m/>
    <n v="0"/>
    <n v="0"/>
    <n v="0"/>
    <n v="0"/>
    <n v="0"/>
    <n v="0"/>
    <n v="0"/>
    <n v="0"/>
    <n v="0"/>
    <n v="0"/>
    <n v="-26400"/>
    <m/>
    <m/>
    <n v="0"/>
    <n v="-26400"/>
    <n v="0"/>
    <m/>
    <m/>
    <m/>
    <m/>
    <n v="0"/>
    <n v="0"/>
    <n v="0"/>
    <n v="0"/>
    <n v="0"/>
    <n v="0"/>
    <n v="0"/>
    <n v="0"/>
    <n v="0"/>
    <n v="0"/>
    <m/>
    <m/>
    <m/>
    <n v="2200"/>
    <n v="2200"/>
    <n v="2200"/>
    <n v="2200"/>
    <n v="2200"/>
    <n v="2200"/>
    <n v="2200"/>
    <n v="2200"/>
    <n v="2200"/>
    <n v="19800"/>
  </r>
  <r>
    <s v="L-ERP-509"/>
    <s v="Tamavada, Ram_MANAGED SERVICES_IT-MGS0204-OG-US-00"/>
    <s v="ERP"/>
    <x v="0"/>
    <s v="Tamavada, Ram"/>
    <s v="Maguire, Karla"/>
    <x v="1"/>
    <s v="IBM: SAP Application Managed Service - Seagen_Oracle (long term support)"/>
    <m/>
    <m/>
    <s v="IT-MGS0204-OG-US-00"/>
    <m/>
    <m/>
    <m/>
    <s v="AMS"/>
    <m/>
    <m/>
    <n v="36000"/>
    <n v="36000"/>
    <n v="36000"/>
    <n v="0"/>
    <m/>
    <n v="5999.76"/>
    <n v="2703.54"/>
    <n v="3297"/>
    <n v="3000"/>
    <n v="3000"/>
    <n v="3000"/>
    <n v="3000"/>
    <n v="3000"/>
    <n v="3000"/>
    <n v="3000"/>
    <n v="3000"/>
    <n v="36000.300000000003"/>
    <n v="0.30000000000291038"/>
    <m/>
    <m/>
    <n v="0"/>
    <m/>
    <n v="0.30000000000291038"/>
    <m/>
    <m/>
    <n v="5999.76"/>
    <n v="2703.54"/>
    <n v="3297"/>
    <n v="3000"/>
    <n v="3000"/>
    <n v="3000"/>
    <n v="3000"/>
    <n v="3000"/>
    <n v="3000"/>
    <n v="3000"/>
    <n v="3000"/>
    <n v="36000.300000000003"/>
    <m/>
    <n v="5999.76"/>
    <n v="2703.54"/>
    <n v="3000"/>
    <n v="3000"/>
    <n v="3000"/>
    <n v="3000"/>
    <n v="3000"/>
    <n v="3000"/>
    <n v="3000"/>
    <n v="3000"/>
    <n v="3000"/>
    <n v="35703.300000000003"/>
  </r>
  <r>
    <s v="L-ERP-510"/>
    <s v="Tamavada, Ram_MANAGED SERVICES_IT-MGS0205-OG-US-00"/>
    <s v="ERP"/>
    <x v="0"/>
    <s v="Tamavada, Ram"/>
    <s v="Maguire, Karla"/>
    <x v="1"/>
    <s v="IBM: GLNS AMS Support"/>
    <m/>
    <m/>
    <s v="IT-MGS0205-OG-US-00"/>
    <m/>
    <m/>
    <m/>
    <s v="AMS"/>
    <m/>
    <m/>
    <n v="345000"/>
    <n v="345000"/>
    <n v="345000"/>
    <n v="0"/>
    <m/>
    <m/>
    <n v="80924.350000000006"/>
    <n v="28215"/>
    <n v="26933"/>
    <n v="28215"/>
    <n v="29498"/>
    <n v="26933"/>
    <n v="28215"/>
    <n v="28215"/>
    <n v="26933"/>
    <n v="29498"/>
    <n v="333579.34999999998"/>
    <n v="-11420.650000000023"/>
    <m/>
    <m/>
    <n v="0"/>
    <m/>
    <n v="-11420.650000000023"/>
    <m/>
    <m/>
    <m/>
    <n v="80924.350000000006"/>
    <n v="28215"/>
    <n v="26933"/>
    <n v="28215"/>
    <n v="29498"/>
    <n v="26933"/>
    <n v="28215"/>
    <n v="28215"/>
    <n v="26933"/>
    <n v="29498"/>
    <n v="333579.34999999998"/>
    <m/>
    <m/>
    <n v="80924.350000000006"/>
    <n v="27894"/>
    <n v="27894"/>
    <n v="27894"/>
    <n v="27894"/>
    <n v="27894"/>
    <n v="27894"/>
    <n v="27894"/>
    <n v="27894"/>
    <n v="27894"/>
    <n v="331970.34999999998"/>
  </r>
  <r>
    <s v="L-ERP-066"/>
    <s v="Dougherty, Chris_MANAGED SERVICES_IT-MGS0207-OG-US-00"/>
    <s v="ERP"/>
    <x v="0"/>
    <s v="Dougherty, Chris"/>
    <s v="Maguire, Karla"/>
    <x v="1"/>
    <s v="Billing Forecast - UC4 Automic"/>
    <m/>
    <m/>
    <s v="IT-MGS0207-OG-US-00"/>
    <m/>
    <m/>
    <m/>
    <s v="Billing Related - UC4 Automic"/>
    <m/>
    <m/>
    <n v="0"/>
    <n v="0"/>
    <n v="0"/>
    <n v="0"/>
    <m/>
    <m/>
    <n v="-3450"/>
    <n v="-3333.33"/>
    <n v="-3333.33"/>
    <n v="-3333.33"/>
    <n v="-1666.67"/>
    <n v="-1666.67"/>
    <n v="-1666.67"/>
    <n v="0"/>
    <n v="0"/>
    <n v="0"/>
    <n v="-18450"/>
    <n v="-18450"/>
    <m/>
    <m/>
    <n v="0"/>
    <m/>
    <n v="-18450"/>
    <m/>
    <m/>
    <m/>
    <n v="-3450"/>
    <n v="-3333.33"/>
    <n v="-3333.33"/>
    <n v="-3333.33"/>
    <n v="-1666.67"/>
    <n v="-1666.67"/>
    <n v="-1666.67"/>
    <n v="0"/>
    <n v="0"/>
    <n v="0"/>
    <n v="-18450"/>
    <m/>
    <m/>
    <n v="-3450"/>
    <n v="-3333.33"/>
    <n v="-3333.33"/>
    <n v="-3333.33"/>
    <n v="-1666.67"/>
    <n v="-1666.67"/>
    <n v="-1666.67"/>
    <n v="0"/>
    <n v="0"/>
    <n v="0"/>
    <n v="-18450"/>
  </r>
  <r>
    <s v="L-ERP-011"/>
    <s v="DeHart, Lynn_MANAGED SERVICES_IT-MGS0208-OG-US-00"/>
    <s v="ERP"/>
    <x v="1"/>
    <s v="DeHart, Lynn"/>
    <s v="DeHart, Lynn"/>
    <x v="1"/>
    <s v="Pfizer Apps - Digital Billing"/>
    <m/>
    <m/>
    <s v="IT-MGS0208-OG-US-00"/>
    <m/>
    <m/>
    <m/>
    <s v="EP&amp;S"/>
    <m/>
    <m/>
    <n v="0"/>
    <n v="0"/>
    <n v="0"/>
    <n v="0"/>
    <m/>
    <m/>
    <n v="5547.34"/>
    <n v="2847.71"/>
    <n v="2847.71"/>
    <n v="2847.71"/>
    <n v="2847.71"/>
    <n v="2847.71"/>
    <n v="2847.71"/>
    <n v="2847.71"/>
    <n v="2847.71"/>
    <n v="2847.71"/>
    <n v="31176.729999999992"/>
    <n v="31176.729999999992"/>
    <m/>
    <m/>
    <n v="0"/>
    <m/>
    <n v="31176.729999999992"/>
    <m/>
    <m/>
    <m/>
    <n v="5547.34"/>
    <n v="2847.71"/>
    <n v="2847.71"/>
    <n v="2847.71"/>
    <n v="2847.71"/>
    <n v="2847.71"/>
    <n v="2847.71"/>
    <n v="2847.71"/>
    <n v="2847.71"/>
    <n v="2847.71"/>
    <n v="31176.729999999992"/>
    <m/>
    <m/>
    <n v="5547.34"/>
    <n v="0"/>
    <n v="0"/>
    <n v="0"/>
    <n v="0"/>
    <n v="0"/>
    <n v="0"/>
    <n v="0"/>
    <n v="0"/>
    <n v="0"/>
    <n v="5547.34"/>
  </r>
  <r>
    <s v="L-ERP-013"/>
    <s v="DeHart, Lynn_SOFTWARE_IT-MGS0208-OG-US-00"/>
    <s v="ERP"/>
    <x v="1"/>
    <s v="DeHart, Lynn"/>
    <s v="DeHart, Lynn"/>
    <x v="0"/>
    <s v="Pfizer Apps - Digital Billing"/>
    <m/>
    <m/>
    <s v="IT-MGS0208-OG-US-00"/>
    <m/>
    <m/>
    <m/>
    <s v="EP&amp;S"/>
    <m/>
    <m/>
    <n v="0"/>
    <n v="0"/>
    <n v="0"/>
    <n v="0"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n v="1537.03"/>
    <m/>
    <m/>
    <n v="0"/>
    <m/>
    <n v="1537.03"/>
    <m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m/>
    <m/>
    <n v="279.45999999999998"/>
    <n v="0"/>
    <n v="0"/>
    <n v="0"/>
    <n v="0"/>
    <n v="0"/>
    <n v="0"/>
    <n v="0"/>
    <n v="0"/>
    <n v="0"/>
    <n v="279.45999999999998"/>
  </r>
  <r>
    <s v="L-ERP-528"/>
    <s v="Tamavada, Ram_MANAGED SERVICES_IT-MGS0209-OG-US-00"/>
    <s v="ERP"/>
    <x v="0"/>
    <s v="Tamavada, Ram"/>
    <s v="Maguire, Karla"/>
    <x v="1"/>
    <s v="RingFence Modfac (AWS, DP)"/>
    <m/>
    <m/>
    <s v="IT-MGS0209-OG-US-00"/>
    <m/>
    <m/>
    <m/>
    <s v="EP&amp;S"/>
    <m/>
    <m/>
    <n v="0"/>
    <n v="0"/>
    <n v="0"/>
    <n v="0"/>
    <m/>
    <m/>
    <n v="552.49"/>
    <n v="351"/>
    <n v="351"/>
    <n v="351"/>
    <n v="351"/>
    <n v="351"/>
    <n v="351"/>
    <n v="351"/>
    <n v="351"/>
    <n v="351"/>
    <n v="3711.49"/>
    <n v="3711.49"/>
    <m/>
    <m/>
    <n v="0"/>
    <m/>
    <n v="3711.49"/>
    <m/>
    <m/>
    <m/>
    <n v="552.49"/>
    <n v="351"/>
    <n v="351"/>
    <n v="351"/>
    <n v="351"/>
    <n v="351"/>
    <n v="351"/>
    <n v="351"/>
    <n v="351"/>
    <n v="351"/>
    <n v="3711.49"/>
    <m/>
    <m/>
    <n v="552.49"/>
    <n v="351"/>
    <n v="351"/>
    <n v="351"/>
    <n v="351"/>
    <n v="351"/>
    <n v="351"/>
    <n v="351"/>
    <n v="351"/>
    <n v="351"/>
    <n v="3711.49"/>
  </r>
  <r>
    <s v="L-ERP-574"/>
    <s v="Yeluri, Durga_MANAGED SERVICES_IT-MGS0210-OG-US-00"/>
    <s v="ERP"/>
    <x v="1"/>
    <s v="Yeluri, Durga"/>
    <s v="DeHart, Lynn"/>
    <x v="1"/>
    <s v="RingFence Modfac (AWS, DATABASE)"/>
    <m/>
    <m/>
    <s v="IT-MGS0210-OG-US-00"/>
    <m/>
    <m/>
    <m/>
    <s v="EP&amp;S"/>
    <m/>
    <m/>
    <n v="0"/>
    <n v="0"/>
    <n v="0"/>
    <n v="0"/>
    <m/>
    <m/>
    <n v="1048.69"/>
    <n v="550"/>
    <n v="550"/>
    <n v="550"/>
    <n v="550"/>
    <n v="550"/>
    <n v="550"/>
    <n v="550"/>
    <n v="550"/>
    <n v="550"/>
    <n v="5998.6900000000005"/>
    <n v="5998.6900000000005"/>
    <m/>
    <m/>
    <n v="0"/>
    <m/>
    <n v="5998.6900000000005"/>
    <m/>
    <m/>
    <m/>
    <n v="1048.69"/>
    <n v="550"/>
    <n v="550"/>
    <n v="550"/>
    <n v="550"/>
    <n v="550"/>
    <n v="550"/>
    <n v="550"/>
    <n v="550"/>
    <n v="550"/>
    <n v="5998.6900000000005"/>
    <m/>
    <m/>
    <n v="1048.69"/>
    <n v="550"/>
    <n v="550"/>
    <n v="550"/>
    <n v="550"/>
    <n v="550"/>
    <n v="550"/>
    <n v="550"/>
    <n v="550"/>
    <n v="550"/>
    <n v="5998.6900000000005"/>
  </r>
  <r>
    <s v="L-ERP-559"/>
    <s v="Vaidya, Sachin_OTHER_IT-OTH0062-OG-US-00"/>
    <s v="ERP"/>
    <x v="1"/>
    <s v="Vaidya, Sachin"/>
    <s v="DeHart, Lynn"/>
    <x v="7"/>
    <s v="Intelligent Service Cloud (ISC) Maintenance and BTP cost"/>
    <m/>
    <m/>
    <s v="IT-OTH0062-OG-US-00"/>
    <m/>
    <m/>
    <m/>
    <s v="None"/>
    <s v="Sachin (4/30): Underspend projected for 2026 (could go back up to $80K in 2027)"/>
    <m/>
    <n v="80000"/>
    <n v="80000"/>
    <n v="80000"/>
    <n v="0"/>
    <m/>
    <m/>
    <m/>
    <n v="0"/>
    <n v="0"/>
    <n v="0"/>
    <n v="0"/>
    <n v="10000"/>
    <n v="10000"/>
    <n v="10000"/>
    <n v="10000"/>
    <n v="0"/>
    <n v="40000"/>
    <n v="-40000"/>
    <m/>
    <m/>
    <n v="0"/>
    <m/>
    <n v="-40000"/>
    <m/>
    <m/>
    <m/>
    <m/>
    <n v="0"/>
    <n v="0"/>
    <n v="0"/>
    <n v="0"/>
    <n v="10000"/>
    <n v="10000"/>
    <n v="10000"/>
    <n v="10000"/>
    <n v="0"/>
    <n v="40000"/>
    <m/>
    <m/>
    <m/>
    <n v="20000"/>
    <n v="20000"/>
    <n v="20000"/>
    <n v="20000"/>
    <n v="0"/>
    <n v="0"/>
    <n v="0"/>
    <n v="0"/>
    <n v="0"/>
    <n v="80000"/>
  </r>
  <r>
    <s v="L-ERP-193"/>
    <s v="Herman, Shaun_CONTRACTORS_IT-OTH0063-OG-US-00"/>
    <s v="ERP"/>
    <x v="1"/>
    <s v="Herman, Shaun"/>
    <s v="DeHart, Lynn"/>
    <x v="2"/>
    <s v="Strategic Sourcing Solution Phase 1 - 60% 1 offshore contractor - New Product Application to Support Global Strategic Sourcing; Assumes MetaStorm $40,000 offshore contractor to cover the entire year"/>
    <m/>
    <m/>
    <s v="IT-OTH0063-OG-US-00"/>
    <m/>
    <m/>
    <s v="5/4 CHW - Team to confirm phasing as no actuals for AP04"/>
    <s v="2026 Budget Transfer"/>
    <m/>
    <m/>
    <n v="90000"/>
    <n v="90000"/>
    <n v="90000"/>
    <n v="0"/>
    <m/>
    <m/>
    <m/>
    <n v="0"/>
    <n v="82000"/>
    <n v="0"/>
    <n v="0"/>
    <n v="4000"/>
    <n v="4000"/>
    <n v="0"/>
    <n v="0"/>
    <n v="0"/>
    <n v="90000"/>
    <n v="0"/>
    <m/>
    <m/>
    <n v="0"/>
    <m/>
    <n v="0"/>
    <m/>
    <m/>
    <m/>
    <m/>
    <n v="0"/>
    <n v="82000"/>
    <n v="0"/>
    <n v="0"/>
    <n v="4000"/>
    <n v="4000"/>
    <n v="0"/>
    <n v="0"/>
    <n v="0"/>
    <n v="90000"/>
    <m/>
    <m/>
    <m/>
    <n v="8000"/>
    <n v="8000"/>
    <n v="8000"/>
    <n v="8000"/>
    <n v="10000"/>
    <n v="10000"/>
    <n v="10000"/>
    <n v="10000"/>
    <n v="10000"/>
    <n v="82000"/>
  </r>
  <r>
    <s v="L-ERP-208"/>
    <s v="Herman, Shaun_CONTRACTORS_IT-PBS0936-OT-US-00"/>
    <s v="ERP"/>
    <x v="1"/>
    <s v="Herman, Shaun"/>
    <s v="DeHart, Lynn"/>
    <x v="2"/>
    <s v="P324-0014105-Strategic Sourcing Solution"/>
    <m/>
    <m/>
    <s v="IT-PBS0936-OT-US-00"/>
    <m/>
    <m/>
    <m/>
    <s v="None"/>
    <m/>
    <m/>
    <n v="0"/>
    <n v="0"/>
    <n v="0"/>
    <n v="0"/>
    <m/>
    <m/>
    <n v="70950"/>
    <n v="0"/>
    <n v="0"/>
    <n v="0"/>
    <n v="0"/>
    <n v="0"/>
    <n v="0"/>
    <n v="0"/>
    <n v="0"/>
    <n v="0"/>
    <n v="70950"/>
    <n v="70950"/>
    <m/>
    <m/>
    <n v="0"/>
    <m/>
    <n v="70950"/>
    <m/>
    <m/>
    <m/>
    <n v="70950"/>
    <n v="0"/>
    <n v="0"/>
    <n v="0"/>
    <n v="0"/>
    <n v="0"/>
    <n v="0"/>
    <n v="0"/>
    <n v="0"/>
    <n v="0"/>
    <n v="70950"/>
    <m/>
    <m/>
    <n v="70950"/>
    <n v="0"/>
    <n v="0"/>
    <n v="0"/>
    <n v="0"/>
    <n v="0"/>
    <n v="0"/>
    <n v="0"/>
    <n v="0"/>
    <n v="0"/>
    <n v="70950"/>
  </r>
  <r>
    <s v="L-ERP-016"/>
    <s v="DeHart, Lynn_CONTRACTORS_IT-PBU0901-OT-US-00"/>
    <s v="ERP"/>
    <x v="1"/>
    <s v="DeHart, Lynn"/>
    <s v="DeHart, Lynn"/>
    <x v="2"/>
    <s v="P324-0013439-GSC EMEA: Dx Sub-cluster –"/>
    <m/>
    <m/>
    <s v="IT-PBU0901-OT-US-00"/>
    <m/>
    <m/>
    <m/>
    <s v="None"/>
    <m/>
    <m/>
    <n v="0"/>
    <n v="0"/>
    <n v="0"/>
    <n v="0"/>
    <m/>
    <n v="63054.92"/>
    <n v="-63054.59"/>
    <n v="0"/>
    <n v="0"/>
    <n v="0"/>
    <n v="0"/>
    <n v="0"/>
    <n v="0"/>
    <n v="0"/>
    <n v="0"/>
    <n v="0"/>
    <n v="0.33000000000174623"/>
    <n v="0.33000000000174623"/>
    <m/>
    <m/>
    <n v="0"/>
    <m/>
    <n v="0.33000000000174623"/>
    <m/>
    <m/>
    <n v="63054.92"/>
    <n v="-63054.59"/>
    <n v="0"/>
    <n v="0"/>
    <n v="0"/>
    <n v="0"/>
    <n v="0"/>
    <n v="0"/>
    <n v="0"/>
    <n v="0"/>
    <n v="0"/>
    <n v="0.33000000000174623"/>
    <m/>
    <n v="63054.92"/>
    <n v="-63054.59"/>
    <n v="0"/>
    <n v="0"/>
    <n v="0"/>
    <n v="0"/>
    <n v="0"/>
    <n v="0"/>
    <n v="0"/>
    <n v="0"/>
    <n v="0"/>
    <n v="0.33000000000174623"/>
  </r>
  <r>
    <s v="L-ERP-017"/>
    <s v="DeHart, Lynn_CONTRACTORS_IT-PBU1059-OT-US-00"/>
    <s v="ERP"/>
    <x v="1"/>
    <s v="DeHart, Lynn"/>
    <s v="DeHart, Lynn"/>
    <x v="2"/>
    <s v="P325-0016309-2026 GSC Regions: Logistics"/>
    <m/>
    <m/>
    <s v="IT-PBU1059-OT-US-00"/>
    <m/>
    <m/>
    <m/>
    <s v="None"/>
    <m/>
    <m/>
    <n v="0"/>
    <n v="0"/>
    <n v="0"/>
    <n v="0"/>
    <m/>
    <n v="89550.8"/>
    <n v="-89550.8"/>
    <m/>
    <m/>
    <m/>
    <m/>
    <m/>
    <m/>
    <m/>
    <m/>
    <m/>
    <n v="0"/>
    <n v="0"/>
    <m/>
    <m/>
    <n v="0"/>
    <m/>
    <n v="0"/>
    <m/>
    <m/>
    <n v="89550.8"/>
    <n v="-89550.8"/>
    <m/>
    <m/>
    <m/>
    <m/>
    <m/>
    <m/>
    <m/>
    <m/>
    <m/>
    <n v="0"/>
    <m/>
    <n v="89550.8"/>
    <n v="-89550.8"/>
    <m/>
    <m/>
    <m/>
    <m/>
    <m/>
    <m/>
    <m/>
    <m/>
    <m/>
    <n v="0"/>
  </r>
  <r>
    <s v="L-ERP-041"/>
    <s v="DeHart, Lynn_TRAVEL &amp; ENTERTAINMENT_IT-PBU1070-OT-IE-00"/>
    <s v="ERP"/>
    <x v="1"/>
    <s v="DeHart, Lynn"/>
    <s v="DeHart, Lynn"/>
    <x v="4"/>
    <s v="P325-0016287-Customer Screening Expansio"/>
    <m/>
    <m/>
    <s v="IT-PBU1070-OT-IE-00"/>
    <m/>
    <m/>
    <m/>
    <s v="None"/>
    <m/>
    <m/>
    <n v="0"/>
    <n v="0"/>
    <n v="0"/>
    <n v="0"/>
    <m/>
    <m/>
    <n v="1583.99"/>
    <n v="0"/>
    <n v="0"/>
    <n v="0"/>
    <n v="0"/>
    <n v="0"/>
    <n v="0"/>
    <n v="0"/>
    <n v="0"/>
    <n v="0"/>
    <n v="1583.99"/>
    <n v="1583.99"/>
    <m/>
    <m/>
    <n v="0"/>
    <m/>
    <n v="1583.99"/>
    <m/>
    <m/>
    <m/>
    <n v="1583.99"/>
    <n v="0"/>
    <n v="0"/>
    <n v="0"/>
    <n v="0"/>
    <n v="0"/>
    <n v="0"/>
    <n v="0"/>
    <n v="0"/>
    <n v="0"/>
    <n v="1583.99"/>
    <m/>
    <m/>
    <n v="1583.99"/>
    <n v="0"/>
    <n v="0"/>
    <n v="0"/>
    <n v="0"/>
    <n v="0"/>
    <n v="0"/>
    <n v="0"/>
    <n v="0"/>
    <n v="0"/>
    <n v="1583.99"/>
  </r>
  <r>
    <s v="L-ERP-516"/>
    <s v="Tamavada, Ram_SOFTWARE_IT-SFT0159-86-OG-US"/>
    <s v="ERP"/>
    <x v="0"/>
    <s v="Tamavada, Ram"/>
    <s v="Maguire, Karla"/>
    <x v="0"/>
    <s v="E1 Oracle Hosting and Maintenance - OCI"/>
    <m/>
    <m/>
    <s v="IT-SFT0159-86-OG-US"/>
    <m/>
    <m/>
    <s v="Yes"/>
    <s v="E1; 2026 Pullforward"/>
    <m/>
    <m/>
    <n v="146492.82999999999"/>
    <n v="146492.82999999999"/>
    <n v="146492.82999999999"/>
    <n v="0"/>
    <n v="-115764.16"/>
    <n v="0"/>
    <m/>
    <m/>
    <m/>
    <m/>
    <m/>
    <m/>
    <m/>
    <m/>
    <m/>
    <m/>
    <n v="-115764.16"/>
    <n v="-262256.99"/>
    <m/>
    <m/>
    <n v="0"/>
    <m/>
    <n v="-262256.99"/>
    <m/>
    <n v="-115764.16"/>
    <n v="0"/>
    <m/>
    <m/>
    <m/>
    <m/>
    <m/>
    <m/>
    <m/>
    <m/>
    <m/>
    <m/>
    <n v="-115764.16"/>
    <n v="-115764.16"/>
    <n v="115764.16"/>
    <m/>
    <m/>
    <m/>
    <m/>
    <m/>
    <m/>
    <m/>
    <m/>
    <m/>
    <m/>
    <n v="0"/>
  </r>
  <r>
    <s v="N-ERP-614"/>
    <s v="Tamavada, Ram_SOFTWARE_IT-SFT0159-86-OG-US/PF"/>
    <s v="ERP-N"/>
    <x v="0"/>
    <s v="Tamavada, Ram"/>
    <s v="Maguire, Karla"/>
    <x v="0"/>
    <s v="E1 Oracle Hosting and Maintenance - OCI (Pullforward Credit)"/>
    <m/>
    <m/>
    <s v="IT-SFT0159-86-OG-US/PF"/>
    <m/>
    <m/>
    <s v="Yes "/>
    <s v="E1; 2026 Pullforward"/>
    <s v="4/28/26 CHW New add to tie-out 0223 to 0317 Planful Extracts 0"/>
    <m/>
    <n v="-146492.82999999999"/>
    <n v="-146492.82999999999"/>
    <n v="-146492.82999999999"/>
    <n v="0"/>
    <m/>
    <n v="115764.16"/>
    <m/>
    <n v="0"/>
    <n v="0"/>
    <n v="0"/>
    <n v="0"/>
    <n v="0"/>
    <n v="0"/>
    <n v="0"/>
    <n v="0"/>
    <n v="0"/>
    <n v="115764.16"/>
    <n v="262256.99"/>
    <m/>
    <m/>
    <n v="0"/>
    <m/>
    <n v="262256.99"/>
    <m/>
    <m/>
    <n v="115764.16"/>
    <m/>
    <n v="0"/>
    <n v="0"/>
    <n v="0"/>
    <n v="0"/>
    <n v="0"/>
    <n v="0"/>
    <n v="0"/>
    <n v="0"/>
    <n v="0"/>
    <n v="115764.16"/>
    <n v="-146492.82999999999"/>
    <n v="0"/>
    <n v="0"/>
    <n v="0"/>
    <n v="0"/>
    <n v="0"/>
    <n v="0"/>
    <n v="0"/>
    <n v="0"/>
    <n v="0"/>
    <n v="0"/>
    <n v="0"/>
    <n v="-146492.82999999999"/>
  </r>
  <r>
    <s v="N-ERP-615"/>
    <s v="Tamavada, Ram_SOFTWARE_IT-SFT0170-86-OG-US"/>
    <s v="ERP-N"/>
    <x v="0"/>
    <s v="Tamavada, Ram"/>
    <s v="Maguire, Karla"/>
    <x v="0"/>
    <s v="Broadcom (Job Scheduler)"/>
    <m/>
    <m/>
    <s v="IT-SFT0170-86-OG-US"/>
    <m/>
    <m/>
    <s v="Yes"/>
    <s v="Broadcom; 2026 Pullforward"/>
    <s v="4/28/26 CHW New add to tie-out 0223 to 0317 Planful Extracts"/>
    <m/>
    <n v="169727.17"/>
    <n v="169727.17"/>
    <n v="169727.17"/>
    <n v="0"/>
    <m/>
    <m/>
    <m/>
    <n v="0"/>
    <n v="0"/>
    <n v="0"/>
    <n v="0"/>
    <n v="0"/>
    <n v="0"/>
    <n v="0"/>
    <n v="0"/>
    <n v="0"/>
    <n v="0"/>
    <n v="-169727.17"/>
    <m/>
    <m/>
    <n v="0"/>
    <m/>
    <n v="-169727.17"/>
    <m/>
    <m/>
    <m/>
    <m/>
    <n v="0"/>
    <n v="0"/>
    <n v="0"/>
    <n v="0"/>
    <n v="0"/>
    <n v="0"/>
    <n v="0"/>
    <n v="0"/>
    <n v="0"/>
    <n v="0"/>
    <n v="169727.17"/>
    <n v="0"/>
    <n v="0"/>
    <n v="0"/>
    <n v="0"/>
    <n v="0"/>
    <n v="0"/>
    <n v="0"/>
    <n v="0"/>
    <n v="0"/>
    <n v="0"/>
    <n v="0"/>
    <n v="169727.17"/>
  </r>
  <r>
    <s v="N-ERP-616"/>
    <s v="Tamavada, Ram_SOFTWARE_IT-SFT0170-86-OG-US/PF"/>
    <s v="ERP-N"/>
    <x v="0"/>
    <s v="Tamavada, Ram"/>
    <s v="Maguire, Karla"/>
    <x v="0"/>
    <s v="Broadcom (Job Scheduler) (Pullforward Credit)"/>
    <m/>
    <m/>
    <s v="IT-SFT0170-86-OG-US/PF"/>
    <m/>
    <m/>
    <s v="Yes"/>
    <s v="Broadcom; 2026 Pullforward"/>
    <s v="4/28/26 CHW New add to tie-out 0223 to 0317 Planful Extracts"/>
    <m/>
    <n v="-169727.17"/>
    <n v="-169727.17"/>
    <n v="-169727.17"/>
    <n v="0"/>
    <m/>
    <m/>
    <m/>
    <n v="0"/>
    <n v="0"/>
    <n v="0"/>
    <n v="0"/>
    <n v="0"/>
    <n v="0"/>
    <n v="0"/>
    <n v="0"/>
    <n v="0"/>
    <n v="0"/>
    <n v="169727.17"/>
    <m/>
    <m/>
    <n v="0"/>
    <m/>
    <n v="169727.17"/>
    <m/>
    <m/>
    <m/>
    <m/>
    <n v="0"/>
    <n v="0"/>
    <n v="0"/>
    <n v="0"/>
    <n v="0"/>
    <n v="0"/>
    <n v="0"/>
    <n v="0"/>
    <n v="0"/>
    <n v="0"/>
    <n v="-169727.17"/>
    <n v="0"/>
    <n v="0"/>
    <n v="0"/>
    <n v="0"/>
    <n v="0"/>
    <n v="0"/>
    <n v="0"/>
    <n v="0"/>
    <n v="0"/>
    <n v="0"/>
    <n v="0"/>
    <n v="-169727.17"/>
  </r>
  <r>
    <s v="L-ERP-175"/>
    <s v="Ganesan, Srinivasan_SOFTWARE_IT-SFT0486-86-OG-MX"/>
    <s v="ERP"/>
    <x v="1"/>
    <s v="Ganesan, Srinivasan"/>
    <s v="DeHart, Lynn"/>
    <x v="0"/>
    <s v="Logistics Lakos WMS Software (Stocklin)_XFR1019"/>
    <m/>
    <m/>
    <s v="IT-SFT0486-86-OG-MX"/>
    <m/>
    <m/>
    <m/>
    <s v="Stocklin"/>
    <m/>
    <m/>
    <n v="50000"/>
    <n v="50000"/>
    <n v="50000"/>
    <n v="0"/>
    <m/>
    <m/>
    <m/>
    <m/>
    <m/>
    <m/>
    <m/>
    <m/>
    <m/>
    <n v="50000"/>
    <n v="0"/>
    <n v="0"/>
    <n v="50000"/>
    <n v="0"/>
    <m/>
    <m/>
    <n v="0"/>
    <m/>
    <n v="0"/>
    <m/>
    <m/>
    <m/>
    <m/>
    <m/>
    <m/>
    <m/>
    <m/>
    <m/>
    <m/>
    <n v="50000"/>
    <n v="0"/>
    <n v="0"/>
    <n v="50000"/>
    <m/>
    <m/>
    <m/>
    <m/>
    <m/>
    <m/>
    <m/>
    <m/>
    <m/>
    <n v="50000"/>
    <n v="0"/>
    <n v="0"/>
    <n v="50000"/>
  </r>
  <r>
    <s v="L-ERP-474"/>
    <s v="Patel, Nikunj Rohitkumar_SOFTWARE_IT-SFT0673-86-OG-US"/>
    <s v="ERP"/>
    <x v="0"/>
    <s v="Patel, Nikunj Rohitkumar"/>
    <s v="Maguire, Karla"/>
    <x v="0"/>
    <s v="Gate Software ALLOut Security"/>
    <m/>
    <m/>
    <s v="IT-SFT0673-86-OG-US"/>
    <m/>
    <m/>
    <m/>
    <s v="None"/>
    <m/>
    <m/>
    <n v="11026"/>
    <n v="11026"/>
    <n v="11026"/>
    <n v="0"/>
    <m/>
    <m/>
    <m/>
    <m/>
    <m/>
    <m/>
    <m/>
    <m/>
    <m/>
    <m/>
    <n v="11026"/>
    <n v="0"/>
    <n v="11026"/>
    <n v="0"/>
    <m/>
    <m/>
    <n v="0"/>
    <m/>
    <n v="0"/>
    <m/>
    <m/>
    <m/>
    <m/>
    <m/>
    <m/>
    <m/>
    <m/>
    <m/>
    <m/>
    <m/>
    <n v="11026"/>
    <n v="0"/>
    <n v="11026"/>
    <m/>
    <m/>
    <m/>
    <m/>
    <m/>
    <m/>
    <m/>
    <m/>
    <m/>
    <m/>
    <n v="11026"/>
    <n v="0"/>
    <n v="11026"/>
  </r>
  <r>
    <s v="N-ERP-590"/>
    <s v="McCormick, Pete_SOFTWARE_IT-SFT1003-86-OG-US"/>
    <s v="ERP-N"/>
    <x v="0"/>
    <s v="McCormick, Pete"/>
    <s v="Maguire, Karla"/>
    <x v="0"/>
    <s v="Security Bridge (Pullforward Debit)"/>
    <m/>
    <m/>
    <s v="IT-SFT1003-86-OG-US"/>
    <m/>
    <m/>
    <s v="Yes"/>
    <s v="Security Bridge; 2026 Pullforward"/>
    <s v="4/28/26 CHW New add to tie-out 0223 to 0317 Planful Extracts"/>
    <m/>
    <n v="325620"/>
    <n v="325620"/>
    <n v="325620"/>
    <n v="0"/>
    <m/>
    <m/>
    <m/>
    <n v="0"/>
    <n v="0"/>
    <n v="0"/>
    <n v="0"/>
    <n v="0"/>
    <n v="0"/>
    <n v="0"/>
    <n v="0"/>
    <n v="0"/>
    <n v="0"/>
    <n v="-325620"/>
    <m/>
    <m/>
    <n v="0"/>
    <m/>
    <n v="-325620"/>
    <m/>
    <m/>
    <m/>
    <m/>
    <n v="0"/>
    <n v="0"/>
    <n v="0"/>
    <n v="0"/>
    <n v="0"/>
    <n v="0"/>
    <n v="0"/>
    <n v="0"/>
    <n v="0"/>
    <n v="0"/>
    <n v="325620"/>
    <n v="0"/>
    <n v="0"/>
    <n v="0"/>
    <n v="0"/>
    <n v="0"/>
    <n v="0"/>
    <n v="0"/>
    <n v="0"/>
    <n v="0"/>
    <n v="0"/>
    <n v="0"/>
    <n v="325620"/>
  </r>
  <r>
    <s v="N-ERP-591"/>
    <s v="McCormick, Pete_SOFTWARE_IT-SFT1003-86-OG-US/PF"/>
    <s v="ERP-N"/>
    <x v="0"/>
    <s v="McCormick, Pete"/>
    <s v="Maguire, Karla"/>
    <x v="0"/>
    <s v="Security Bridge (Pullforward Credit)"/>
    <m/>
    <m/>
    <s v="IT-SFT1003-86-OG-US/PF"/>
    <m/>
    <m/>
    <s v="Yes"/>
    <s v="Security Bridge; 2026 Pullforward"/>
    <s v="4/28/26 CHW New add to tie-out 0223 to 0317 Planful Extracts"/>
    <m/>
    <n v="-325620"/>
    <n v="-325620"/>
    <n v="-325620"/>
    <n v="0"/>
    <m/>
    <m/>
    <m/>
    <n v="0"/>
    <n v="0"/>
    <n v="0"/>
    <n v="0"/>
    <n v="0"/>
    <n v="0"/>
    <n v="0"/>
    <n v="0"/>
    <n v="0"/>
    <n v="0"/>
    <n v="325620"/>
    <m/>
    <m/>
    <n v="0"/>
    <m/>
    <n v="325620"/>
    <m/>
    <m/>
    <m/>
    <m/>
    <n v="0"/>
    <n v="0"/>
    <n v="0"/>
    <n v="0"/>
    <n v="0"/>
    <n v="0"/>
    <n v="0"/>
    <n v="0"/>
    <n v="0"/>
    <n v="0"/>
    <n v="-325620"/>
    <n v="0"/>
    <n v="0"/>
    <n v="0"/>
    <n v="0"/>
    <n v="0"/>
    <n v="0"/>
    <n v="0"/>
    <n v="0"/>
    <n v="0"/>
    <n v="0"/>
    <n v="0"/>
    <n v="-325620"/>
  </r>
  <r>
    <s v="L-ERP-378"/>
    <s v="McCormick, Pete_SOFTWARE_IT-SFT1006-86-OG-US"/>
    <s v="ERP"/>
    <x v="0"/>
    <s v="McCormick, Pete"/>
    <s v="Maguire, Karla"/>
    <x v="0"/>
    <s v="Oracle Diagnostics Pack"/>
    <m/>
    <m/>
    <s v="IT-SFT1006-86-OG-US"/>
    <m/>
    <m/>
    <m/>
    <s v="Onapsis"/>
    <m/>
    <m/>
    <n v="54093.63"/>
    <n v="54093.63"/>
    <n v="54093.63"/>
    <n v="0"/>
    <m/>
    <n v="55716.44"/>
    <n v="0"/>
    <n v="0"/>
    <n v="0"/>
    <n v="0"/>
    <n v="0"/>
    <n v="0"/>
    <n v="0"/>
    <n v="0"/>
    <n v="0"/>
    <n v="0"/>
    <n v="55716.44"/>
    <n v="1622.8100000000049"/>
    <m/>
    <m/>
    <n v="0"/>
    <m/>
    <n v="1622.8100000000049"/>
    <m/>
    <m/>
    <n v="55716.44"/>
    <n v="0"/>
    <n v="0"/>
    <n v="0"/>
    <n v="0"/>
    <n v="0"/>
    <n v="0"/>
    <n v="0"/>
    <n v="0"/>
    <n v="0"/>
    <n v="0"/>
    <n v="55716.44"/>
    <m/>
    <n v="55716.44"/>
    <n v="0"/>
    <n v="0"/>
    <n v="0"/>
    <n v="0"/>
    <n v="0"/>
    <n v="0"/>
    <n v="0"/>
    <n v="0"/>
    <n v="0"/>
    <n v="0"/>
    <n v="55716.44"/>
  </r>
  <r>
    <s v="L-ERP-112"/>
    <s v="Dougherty, Chris_SOFTWARE_IT-SFT1009-86-OG-US"/>
    <s v="ERP"/>
    <x v="0"/>
    <s v="Dougherty, Chris"/>
    <s v="Maguire, Karla"/>
    <x v="0"/>
    <s v="SAP on Premise Software Maintenance (Appendix 1)"/>
    <s v="Prepaid"/>
    <m/>
    <s v="IT-SFT1009-86-OG-US"/>
    <m/>
    <s v="9501133254"/>
    <m/>
    <s v="SAP on Prem"/>
    <s v="5/7 CHW - Adj to match prepaid schedule"/>
    <m/>
    <n v="3581394.5999999992"/>
    <n v="3581394.5999999992"/>
    <n v="3581394.5999999992"/>
    <n v="0"/>
    <n v="3026811.49"/>
    <n v="-3073725.16"/>
    <n v="803616.54"/>
    <n v="0"/>
    <n v="504468"/>
    <n v="252234"/>
    <n v="0"/>
    <n v="504468"/>
    <n v="252234"/>
    <n v="0"/>
    <n v="504468"/>
    <n v="252234"/>
    <n v="3026808.87"/>
    <n v="-554585.72999999905"/>
    <m/>
    <m/>
    <n v="0"/>
    <m/>
    <n v="-554585.72999999905"/>
    <m/>
    <n v="3026811.49"/>
    <n v="-3073725.16"/>
    <n v="803616.54"/>
    <n v="0"/>
    <n v="504468"/>
    <n v="252234"/>
    <n v="0"/>
    <n v="504468"/>
    <n v="252234"/>
    <n v="0"/>
    <n v="504468"/>
    <n v="252234"/>
    <n v="3026808.87"/>
    <n v="3026811.49"/>
    <n v="-3073725.16"/>
    <n v="803616.54"/>
    <n v="252234"/>
    <n v="252234"/>
    <n v="252234"/>
    <n v="252234"/>
    <n v="252234"/>
    <n v="252234"/>
    <n v="252234"/>
    <n v="252234"/>
    <n v="252234"/>
    <n v="3026808.87"/>
  </r>
  <r>
    <s v="N-ERP-509"/>
    <s v="Dougherty, Chris_SOFTWARE_IT-SFT1009-86-OG-US/02"/>
    <s v="ERP-N"/>
    <x v="0"/>
    <s v="Dougherty, Chris"/>
    <s v="Maguire, Karla"/>
    <x v="0"/>
    <s v="SAP on Premise Software Maintenance (Appendix 2) (Pullforward Debit)"/>
    <m/>
    <m/>
    <s v="IT-SFT1009-86-OG-US/02"/>
    <m/>
    <s v="9501133254"/>
    <s v="Yes"/>
    <s v="SAP on Prem; 2026 Pullforward"/>
    <s v="4/28/26 CHW New add to tie-out 0223 to 0317 Planful Extracts"/>
    <m/>
    <n v="678893.73"/>
    <n v="678893.73"/>
    <n v="678893.73"/>
    <n v="0"/>
    <m/>
    <m/>
    <m/>
    <n v="0"/>
    <n v="0"/>
    <n v="0"/>
    <n v="0"/>
    <n v="0"/>
    <n v="0"/>
    <n v="0"/>
    <n v="0"/>
    <n v="0"/>
    <n v="0"/>
    <n v="-678893.73"/>
    <m/>
    <m/>
    <n v="0"/>
    <m/>
    <n v="-678893.73"/>
    <m/>
    <m/>
    <m/>
    <m/>
    <n v="0"/>
    <n v="0"/>
    <n v="0"/>
    <n v="0"/>
    <n v="0"/>
    <n v="0"/>
    <n v="0"/>
    <n v="0"/>
    <n v="0"/>
    <n v="0"/>
    <n v="678893.73"/>
    <n v="0"/>
    <n v="0"/>
    <n v="0"/>
    <n v="0"/>
    <n v="0"/>
    <n v="0"/>
    <n v="0"/>
    <n v="0"/>
    <n v="0"/>
    <n v="0"/>
    <n v="0"/>
    <n v="678893.73"/>
  </r>
  <r>
    <s v="N-ERP-510"/>
    <s v="Dougherty, Chris_SOFTWARE_IT-SFT1009-86-OG-US/02/PF"/>
    <s v="ERP-N"/>
    <x v="0"/>
    <s v="Dougherty, Chris"/>
    <s v="Maguire, Karla"/>
    <x v="0"/>
    <s v="SAP on Premise Software Maintenance (Appendix 2) (Pullforward Credit)"/>
    <m/>
    <m/>
    <s v="IT-SFT1009-86-OG-US/02/PF"/>
    <m/>
    <s v="9501133254 -F"/>
    <s v="Yes"/>
    <s v="SAP on Prem; 2026 Pullforward"/>
    <s v="4/28/26 CHW New add to tie-out 0223 to 0317 Planful Extracts"/>
    <m/>
    <n v="-678893.73"/>
    <n v="-678893.73"/>
    <n v="-678893.73"/>
    <n v="0"/>
    <m/>
    <m/>
    <m/>
    <n v="0"/>
    <n v="0"/>
    <n v="0"/>
    <n v="0"/>
    <n v="0"/>
    <n v="0"/>
    <n v="0"/>
    <n v="0"/>
    <n v="0"/>
    <n v="0"/>
    <n v="678893.73"/>
    <m/>
    <m/>
    <n v="0"/>
    <m/>
    <n v="678893.73"/>
    <m/>
    <m/>
    <m/>
    <m/>
    <n v="0"/>
    <n v="0"/>
    <n v="0"/>
    <n v="0"/>
    <n v="0"/>
    <n v="0"/>
    <n v="0"/>
    <n v="0"/>
    <n v="0"/>
    <n v="0"/>
    <n v="-678893.73"/>
    <n v="0"/>
    <n v="0"/>
    <n v="0"/>
    <n v="0"/>
    <n v="0"/>
    <n v="0"/>
    <n v="0"/>
    <n v="0"/>
    <n v="0"/>
    <n v="0"/>
    <n v="0"/>
    <n v="-678893.73"/>
  </r>
  <r>
    <s v="N-ERP-511"/>
    <s v="Dougherty, Chris_SOFTWARE_IT-SFT1009-86-OG-US/04"/>
    <s v="ERP-N"/>
    <x v="0"/>
    <s v="Dougherty, Chris"/>
    <s v="Maguire, Karla"/>
    <x v="0"/>
    <s v="SAP on Premise Software Maintenance (Appendix 4) (Pullforward Debit)"/>
    <m/>
    <m/>
    <s v="IT-SFT1009-86-OG-US/04"/>
    <m/>
    <s v="9501133254"/>
    <s v="Yes"/>
    <s v="SAP on Prem; 2026 Pullforward"/>
    <s v="4/28/26 CHW New add to tie-out 0223 to 0317 Planful Extracts"/>
    <m/>
    <n v="4128.4799999999996"/>
    <n v="4128.4799999999996"/>
    <n v="4128.4799999999996"/>
    <n v="0"/>
    <m/>
    <m/>
    <m/>
    <n v="0"/>
    <n v="0"/>
    <n v="0"/>
    <n v="0"/>
    <n v="0"/>
    <n v="0"/>
    <n v="0"/>
    <n v="0"/>
    <n v="0"/>
    <n v="0"/>
    <n v="-4128.4799999999996"/>
    <m/>
    <m/>
    <n v="0"/>
    <m/>
    <n v="-4128.4799999999996"/>
    <m/>
    <m/>
    <m/>
    <m/>
    <n v="0"/>
    <n v="0"/>
    <n v="0"/>
    <n v="0"/>
    <n v="0"/>
    <n v="0"/>
    <n v="0"/>
    <n v="0"/>
    <n v="0"/>
    <n v="0"/>
    <n v="4128.4799999999996"/>
    <n v="0"/>
    <n v="0"/>
    <n v="0"/>
    <n v="0"/>
    <n v="0"/>
    <n v="0"/>
    <n v="0"/>
    <n v="0"/>
    <n v="0"/>
    <n v="0"/>
    <n v="0"/>
    <n v="4128.4799999999996"/>
  </r>
  <r>
    <s v="N-ERP-512"/>
    <s v="Dougherty, Chris_SOFTWARE_IT-SFT1009-86-OG-US/04/PF"/>
    <s v="ERP-N"/>
    <x v="0"/>
    <s v="Dougherty, Chris"/>
    <s v="Maguire, Karla"/>
    <x v="0"/>
    <s v="SAP on Premise Software Maintenance (Appendix 4) (Pullforward Credit)"/>
    <m/>
    <m/>
    <s v="IT-SFT1009-86-OG-US/04/PF"/>
    <m/>
    <s v="9501133254 -F"/>
    <s v="Yes"/>
    <s v="SAP on Prem; 2026 Pullforward"/>
    <s v="4/28/26 CHW New add to tie-out 0223 to 0317 Planful Extracts"/>
    <m/>
    <n v="-4128.4799999999996"/>
    <n v="-4128.4799999999996"/>
    <n v="-4128.4799999999996"/>
    <n v="0"/>
    <m/>
    <m/>
    <m/>
    <n v="0"/>
    <n v="0"/>
    <n v="0"/>
    <n v="0"/>
    <n v="0"/>
    <n v="0"/>
    <n v="0"/>
    <n v="0"/>
    <n v="0"/>
    <n v="0"/>
    <n v="4128.4799999999996"/>
    <m/>
    <m/>
    <n v="0"/>
    <m/>
    <n v="4128.4799999999996"/>
    <m/>
    <m/>
    <m/>
    <m/>
    <n v="0"/>
    <n v="0"/>
    <n v="0"/>
    <n v="0"/>
    <n v="0"/>
    <n v="0"/>
    <n v="0"/>
    <n v="0"/>
    <n v="0"/>
    <n v="0"/>
    <n v="-4128.4799999999996"/>
    <n v="0"/>
    <n v="0"/>
    <n v="0"/>
    <n v="0"/>
    <n v="0"/>
    <n v="0"/>
    <n v="0"/>
    <n v="0"/>
    <n v="0"/>
    <n v="0"/>
    <n v="0"/>
    <n v="-4128.4799999999996"/>
  </r>
  <r>
    <s v="N-ERP-513"/>
    <s v="Dougherty, Chris_SOFTWARE_IT-SFT1009-86-OG-US/05"/>
    <s v="ERP-N"/>
    <x v="0"/>
    <s v="Dougherty, Chris"/>
    <s v="Maguire, Karla"/>
    <x v="0"/>
    <s v="SAP on Premise Software Maintenance (Appendix 5) (Pullforward Debit)"/>
    <m/>
    <m/>
    <s v="IT-SFT1009-86-OG-US/05"/>
    <m/>
    <s v="9501133254"/>
    <s v="Yes"/>
    <s v="SAP on Prem; 2026 Pullforward"/>
    <s v="4/28/26 CHW New add to tie-out 0223 to 0317 Planful Extracts"/>
    <m/>
    <n v="37248.410000000003"/>
    <n v="37248.410000000003"/>
    <n v="37248.410000000003"/>
    <n v="0"/>
    <m/>
    <m/>
    <m/>
    <n v="0"/>
    <n v="0"/>
    <n v="0"/>
    <n v="0"/>
    <n v="0"/>
    <n v="0"/>
    <n v="0"/>
    <n v="0"/>
    <n v="0"/>
    <n v="0"/>
    <n v="-37248.410000000003"/>
    <m/>
    <m/>
    <n v="0"/>
    <m/>
    <n v="-37248.410000000003"/>
    <m/>
    <m/>
    <m/>
    <m/>
    <n v="0"/>
    <n v="0"/>
    <n v="0"/>
    <n v="0"/>
    <n v="0"/>
    <n v="0"/>
    <n v="0"/>
    <n v="0"/>
    <n v="0"/>
    <n v="0"/>
    <n v="37248.410000000003"/>
    <n v="0"/>
    <n v="0"/>
    <n v="0"/>
    <n v="0"/>
    <n v="0"/>
    <n v="0"/>
    <n v="0"/>
    <n v="0"/>
    <n v="0"/>
    <n v="0"/>
    <n v="0"/>
    <n v="37248.410000000003"/>
  </r>
  <r>
    <s v="N-ERP-514"/>
    <s v="Dougherty, Chris_SOFTWARE_IT-SFT1009-86-OG-US/05/PF"/>
    <s v="ERP-N"/>
    <x v="0"/>
    <s v="Dougherty, Chris"/>
    <s v="Maguire, Karla"/>
    <x v="0"/>
    <s v="SAP on Premise Software Maintenance (Appendix 5) (Pullforward Credit)"/>
    <m/>
    <m/>
    <s v="IT-SFT1009-86-OG-US/05/PF"/>
    <m/>
    <s v="9501133254 -F"/>
    <s v="Yes"/>
    <s v="SAP on Prem; 2026 Pullforward"/>
    <s v="4/28/26 CHW New add to tie-out 0223 to 0317 Planful Extracts"/>
    <m/>
    <n v="-37248.410000000003"/>
    <n v="-37248.410000000003"/>
    <n v="-37248.410000000003"/>
    <n v="0"/>
    <m/>
    <m/>
    <m/>
    <n v="0"/>
    <n v="0"/>
    <n v="0"/>
    <n v="0"/>
    <n v="0"/>
    <n v="0"/>
    <n v="0"/>
    <n v="0"/>
    <n v="0"/>
    <n v="0"/>
    <n v="37248.410000000003"/>
    <m/>
    <m/>
    <n v="0"/>
    <m/>
    <n v="37248.410000000003"/>
    <m/>
    <m/>
    <m/>
    <m/>
    <n v="0"/>
    <n v="0"/>
    <n v="0"/>
    <n v="0"/>
    <n v="0"/>
    <n v="0"/>
    <n v="0"/>
    <n v="0"/>
    <n v="0"/>
    <n v="0"/>
    <n v="-37248.410000000003"/>
    <n v="0"/>
    <n v="0"/>
    <n v="0"/>
    <n v="0"/>
    <n v="0"/>
    <n v="0"/>
    <n v="0"/>
    <n v="0"/>
    <n v="0"/>
    <n v="0"/>
    <n v="0"/>
    <n v="-37248.410000000003"/>
  </r>
  <r>
    <s v="N-ERP-515"/>
    <s v="Dougherty, Chris_SOFTWARE_IT-SFT1009-86-OG-US/07"/>
    <s v="ERP-N"/>
    <x v="0"/>
    <s v="Dougherty, Chris"/>
    <s v="Maguire, Karla"/>
    <x v="0"/>
    <s v="SAP on Premise Software Maintenance (Appendix 7) (Pullforward Debit)"/>
    <m/>
    <m/>
    <s v="IT-SFT1009-86-OG-US/07"/>
    <m/>
    <s v="9501133254"/>
    <s v="Yes"/>
    <s v="SAP on Prem; 2026 Pullforward"/>
    <s v="4/28/26 CHW New add to tie-out 0223 to 0317 Planful Extracts"/>
    <m/>
    <n v="40181.519999999997"/>
    <n v="40181.519999999997"/>
    <n v="40181.519999999997"/>
    <n v="0"/>
    <m/>
    <m/>
    <m/>
    <n v="0"/>
    <n v="0"/>
    <n v="0"/>
    <n v="0"/>
    <n v="0"/>
    <n v="0"/>
    <n v="0"/>
    <n v="0"/>
    <n v="0"/>
    <n v="0"/>
    <n v="-40181.519999999997"/>
    <m/>
    <m/>
    <n v="0"/>
    <m/>
    <n v="-40181.519999999997"/>
    <m/>
    <m/>
    <m/>
    <m/>
    <n v="0"/>
    <n v="0"/>
    <n v="0"/>
    <n v="0"/>
    <n v="0"/>
    <n v="0"/>
    <n v="0"/>
    <n v="0"/>
    <n v="0"/>
    <n v="0"/>
    <n v="40181.519999999997"/>
    <n v="0"/>
    <n v="0"/>
    <n v="0"/>
    <n v="0"/>
    <n v="0"/>
    <n v="0"/>
    <n v="0"/>
    <n v="0"/>
    <n v="0"/>
    <n v="0"/>
    <n v="0"/>
    <n v="40181.519999999997"/>
  </r>
  <r>
    <s v="N-ERP-516"/>
    <s v="Dougherty, Chris_SOFTWARE_IT-SFT1009-86-OG-US/07/PF"/>
    <s v="ERP-N"/>
    <x v="0"/>
    <s v="Dougherty, Chris"/>
    <s v="Maguire, Karla"/>
    <x v="0"/>
    <s v="SAP on Premise Software Maintenance (Appendix 7) (Pullforward Credit)"/>
    <m/>
    <m/>
    <s v="IT-SFT1009-86-OG-US/07/PF"/>
    <m/>
    <s v="9501133254 -F"/>
    <s v="Yes"/>
    <s v="SAP on Prem; 2026 Pullforward"/>
    <s v="4/28/26 CHW New add to tie-out 0223 to 0317 Planful Extracts"/>
    <m/>
    <n v="-40181"/>
    <n v="-40181"/>
    <n v="-40181"/>
    <n v="0"/>
    <m/>
    <m/>
    <m/>
    <n v="0"/>
    <n v="0"/>
    <n v="0"/>
    <n v="0"/>
    <n v="0"/>
    <n v="0"/>
    <n v="0"/>
    <n v="0"/>
    <n v="0"/>
    <n v="0"/>
    <n v="40181"/>
    <m/>
    <m/>
    <n v="0"/>
    <m/>
    <n v="40181"/>
    <m/>
    <m/>
    <m/>
    <m/>
    <n v="0"/>
    <n v="0"/>
    <n v="0"/>
    <n v="0"/>
    <n v="0"/>
    <n v="0"/>
    <n v="0"/>
    <n v="0"/>
    <n v="0"/>
    <n v="0"/>
    <n v="-40181"/>
    <n v="0"/>
    <n v="0"/>
    <n v="0"/>
    <n v="0"/>
    <n v="0"/>
    <n v="0"/>
    <n v="0"/>
    <n v="0"/>
    <n v="0"/>
    <n v="0"/>
    <n v="0"/>
    <n v="-40181"/>
  </r>
  <r>
    <s v="N-ERP-517"/>
    <s v="Dougherty, Chris_SOFTWARE_IT-SFT1009-86-OG-US/08"/>
    <s v="ERP-N"/>
    <x v="0"/>
    <s v="Dougherty, Chris"/>
    <s v="Maguire, Karla"/>
    <x v="0"/>
    <s v="SAP on Premise Software Maintenance (Appendix 8) (Pullforward Debit)"/>
    <m/>
    <m/>
    <s v="IT-SFT1009-86-OG-US/08"/>
    <m/>
    <s v="9501133254"/>
    <s v="Yes"/>
    <s v="SAP on Prem; 2026 Pullforward"/>
    <s v="4/28/26 CHW New add to tie-out 0223 to 0317 Planful Extracts"/>
    <m/>
    <n v="253752.12"/>
    <n v="253752.12"/>
    <n v="253752.12"/>
    <n v="0"/>
    <m/>
    <m/>
    <m/>
    <n v="0"/>
    <n v="0"/>
    <n v="0"/>
    <n v="0"/>
    <n v="0"/>
    <n v="0"/>
    <n v="0"/>
    <n v="0"/>
    <n v="0"/>
    <n v="0"/>
    <n v="-253752.12"/>
    <m/>
    <m/>
    <n v="0"/>
    <m/>
    <n v="-253752.12"/>
    <m/>
    <m/>
    <m/>
    <m/>
    <n v="0"/>
    <n v="0"/>
    <n v="0"/>
    <n v="0"/>
    <n v="0"/>
    <n v="0"/>
    <n v="0"/>
    <n v="0"/>
    <n v="0"/>
    <n v="0"/>
    <n v="253752.12"/>
    <n v="0"/>
    <n v="0"/>
    <n v="0"/>
    <n v="0"/>
    <n v="0"/>
    <n v="0"/>
    <n v="0"/>
    <n v="0"/>
    <n v="0"/>
    <n v="0"/>
    <n v="0"/>
    <n v="253752.12"/>
  </r>
  <r>
    <s v="N-ERP-518"/>
    <s v="Dougherty, Chris_SOFTWARE_IT-SFT1009-86-OG-US/08/PF"/>
    <s v="ERP-N"/>
    <x v="0"/>
    <s v="Dougherty, Chris"/>
    <s v="Maguire, Karla"/>
    <x v="0"/>
    <s v="SAP on Premise Software Maintenance (Appendix 8) (Pullforward Credit)"/>
    <m/>
    <m/>
    <s v="IT-SFT1009-86-OG-US/08/PF"/>
    <m/>
    <s v="9501133254 -F"/>
    <s v="Yes"/>
    <s v="SAP on Prem; 2026 Pullforward"/>
    <s v="4/28/26 CHW New add to tie-out 0223 to 0317 Planful Extracts"/>
    <m/>
    <n v="-253752.12"/>
    <n v="-253752.12"/>
    <n v="-253752.12"/>
    <n v="0"/>
    <m/>
    <m/>
    <m/>
    <n v="0"/>
    <n v="0"/>
    <n v="0"/>
    <n v="0"/>
    <n v="0"/>
    <n v="0"/>
    <n v="0"/>
    <n v="0"/>
    <n v="0"/>
    <n v="0"/>
    <n v="253752.12"/>
    <m/>
    <m/>
    <n v="0"/>
    <m/>
    <n v="253752.12"/>
    <m/>
    <m/>
    <m/>
    <m/>
    <n v="0"/>
    <n v="0"/>
    <n v="0"/>
    <n v="0"/>
    <n v="0"/>
    <n v="0"/>
    <n v="0"/>
    <n v="0"/>
    <n v="0"/>
    <n v="0"/>
    <n v="-253752.12"/>
    <n v="0"/>
    <n v="0"/>
    <n v="0"/>
    <n v="0"/>
    <n v="0"/>
    <n v="0"/>
    <n v="0"/>
    <n v="0"/>
    <n v="0"/>
    <n v="0"/>
    <n v="0"/>
    <n v="-253752.12"/>
  </r>
  <r>
    <s v="N-ERP-519"/>
    <s v="Dougherty, Chris_SOFTWARE_IT-SFT1009-86-OG-US/13"/>
    <s v="ERP-N"/>
    <x v="0"/>
    <s v="Dougherty, Chris"/>
    <s v="Maguire, Karla"/>
    <x v="0"/>
    <s v="SAP on Premise Software Maintenance (Appendix 13) (Pullforward Debit)"/>
    <m/>
    <m/>
    <s v="IT-SFT1009-86-OG-US/13"/>
    <m/>
    <s v="9501133254"/>
    <s v="Yes"/>
    <s v="SAP on Prem; 2026 Pullforward"/>
    <s v="4/28/26 CHW New add to tie-out 0223 to 0317 Planful Extracts"/>
    <m/>
    <n v="6285.51"/>
    <n v="6285.51"/>
    <n v="6285.51"/>
    <n v="0"/>
    <m/>
    <m/>
    <m/>
    <n v="0"/>
    <n v="0"/>
    <n v="0"/>
    <n v="0"/>
    <n v="0"/>
    <n v="0"/>
    <n v="0"/>
    <n v="0"/>
    <n v="0"/>
    <n v="0"/>
    <n v="-6285.51"/>
    <m/>
    <m/>
    <n v="0"/>
    <m/>
    <n v="-6285.51"/>
    <m/>
    <m/>
    <m/>
    <m/>
    <n v="0"/>
    <n v="0"/>
    <n v="0"/>
    <n v="0"/>
    <n v="0"/>
    <n v="0"/>
    <n v="0"/>
    <n v="0"/>
    <n v="0"/>
    <n v="0"/>
    <n v="6285.51"/>
    <n v="0"/>
    <n v="0"/>
    <n v="0"/>
    <n v="0"/>
    <n v="0"/>
    <n v="0"/>
    <n v="0"/>
    <n v="0"/>
    <n v="0"/>
    <n v="0"/>
    <n v="0"/>
    <n v="6285.51"/>
  </r>
  <r>
    <s v="N-ERP-520"/>
    <s v="Dougherty, Chris_SOFTWARE_IT-SFT1009-86-OG-US/13/PF"/>
    <s v="ERP-N"/>
    <x v="0"/>
    <s v="Dougherty, Chris"/>
    <s v="Maguire, Karla"/>
    <x v="0"/>
    <s v="SAP on Premise Software Maintenance (Appendix 13) (Pullforward Credit)"/>
    <m/>
    <m/>
    <s v="IT-SFT1009-86-OG-US/13/PF"/>
    <m/>
    <s v="9501133254 -F"/>
    <s v="Yes"/>
    <s v="SAP on Prem; 2026 Pullforward"/>
    <s v="4/28/26 CHW New add to tie-out 0223 to 0317 Planful Extracts"/>
    <m/>
    <n v="-6285.51"/>
    <n v="-6285.51"/>
    <n v="-6285.51"/>
    <n v="0"/>
    <m/>
    <m/>
    <m/>
    <n v="0"/>
    <n v="0"/>
    <n v="0"/>
    <n v="0"/>
    <n v="0"/>
    <n v="0"/>
    <n v="0"/>
    <n v="0"/>
    <n v="0"/>
    <n v="0"/>
    <n v="6285.51"/>
    <m/>
    <m/>
    <n v="0"/>
    <m/>
    <n v="6285.51"/>
    <m/>
    <m/>
    <m/>
    <m/>
    <n v="0"/>
    <n v="0"/>
    <n v="0"/>
    <n v="0"/>
    <n v="0"/>
    <n v="0"/>
    <n v="0"/>
    <n v="0"/>
    <n v="0"/>
    <n v="0"/>
    <n v="-6285.51"/>
    <n v="0"/>
    <n v="0"/>
    <n v="0"/>
    <n v="0"/>
    <n v="0"/>
    <n v="0"/>
    <n v="0"/>
    <n v="0"/>
    <n v="0"/>
    <n v="0"/>
    <n v="0"/>
    <n v="-6285.51"/>
  </r>
  <r>
    <s v="N-ERP-521"/>
    <s v="Dougherty, Chris_SOFTWARE_IT-SFT1009-86-OG-US/17"/>
    <s v="ERP-N"/>
    <x v="0"/>
    <s v="Dougherty, Chris"/>
    <s v="Maguire, Karla"/>
    <x v="0"/>
    <s v="SAP on Premise Software Maintenance (Appendix 17) (Pullforward Debit)"/>
    <m/>
    <m/>
    <s v="IT-SFT1009-86-OG-US/17"/>
    <m/>
    <s v="9501133254"/>
    <s v="Yes"/>
    <s v="SAP on Prem; 2026 Pullforward"/>
    <s v="4/28/26 CHW New add to tie-out 0223 to 0317 Planful Extracts"/>
    <m/>
    <n v="30136.080000000002"/>
    <n v="30136.080000000002"/>
    <n v="30136.080000000002"/>
    <n v="0"/>
    <m/>
    <m/>
    <m/>
    <n v="0"/>
    <n v="0"/>
    <n v="0"/>
    <n v="0"/>
    <n v="0"/>
    <n v="0"/>
    <n v="0"/>
    <n v="0"/>
    <n v="0"/>
    <n v="0"/>
    <n v="-30136.080000000002"/>
    <m/>
    <m/>
    <n v="0"/>
    <m/>
    <n v="-30136.080000000002"/>
    <m/>
    <m/>
    <m/>
    <m/>
    <n v="0"/>
    <n v="0"/>
    <n v="0"/>
    <n v="0"/>
    <n v="0"/>
    <n v="0"/>
    <n v="0"/>
    <n v="0"/>
    <n v="0"/>
    <n v="0"/>
    <n v="30136.080000000002"/>
    <n v="0"/>
    <n v="0"/>
    <n v="0"/>
    <n v="0"/>
    <n v="0"/>
    <n v="0"/>
    <n v="0"/>
    <n v="0"/>
    <n v="0"/>
    <n v="0"/>
    <n v="0"/>
    <n v="30136.080000000002"/>
  </r>
  <r>
    <s v="N-ERP-522"/>
    <s v="Dougherty, Chris_SOFTWARE_IT-SFT1009-86-OG-US/17/PF"/>
    <s v="ERP-N"/>
    <x v="0"/>
    <s v="Dougherty, Chris"/>
    <s v="Maguire, Karla"/>
    <x v="0"/>
    <s v="SAP on Premise Software Maintenance (Appendix 17) (Pullforward Credit)"/>
    <m/>
    <m/>
    <s v="IT-SFT1009-86-OG-US/17/PF"/>
    <m/>
    <s v="9501133254 -F"/>
    <s v="Yes"/>
    <s v="SAP on Prem; 2026 Pullforward"/>
    <s v="4/28/26 CHW New add to tie-out 0223 to 0317 Planful Extracts"/>
    <m/>
    <n v="-30136.080000000002"/>
    <n v="-30136.080000000002"/>
    <n v="-30136.080000000002"/>
    <n v="0"/>
    <m/>
    <m/>
    <m/>
    <n v="0"/>
    <n v="0"/>
    <n v="0"/>
    <n v="0"/>
    <n v="0"/>
    <n v="0"/>
    <n v="0"/>
    <n v="0"/>
    <n v="0"/>
    <n v="0"/>
    <n v="30136.080000000002"/>
    <m/>
    <m/>
    <n v="0"/>
    <m/>
    <n v="30136.080000000002"/>
    <m/>
    <m/>
    <m/>
    <m/>
    <n v="0"/>
    <n v="0"/>
    <n v="0"/>
    <n v="0"/>
    <n v="0"/>
    <n v="0"/>
    <n v="0"/>
    <n v="0"/>
    <n v="0"/>
    <n v="0"/>
    <n v="-30136.080000000002"/>
    <n v="0"/>
    <n v="0"/>
    <n v="0"/>
    <n v="0"/>
    <n v="0"/>
    <n v="0"/>
    <n v="0"/>
    <n v="0"/>
    <n v="0"/>
    <n v="0"/>
    <n v="0"/>
    <n v="-30136.080000000002"/>
  </r>
  <r>
    <s v="N-ERP-523"/>
    <s v="Dougherty, Chris_SOFTWARE_IT-SFT1009-86-OG-US/19"/>
    <s v="ERP-N"/>
    <x v="0"/>
    <s v="Dougherty, Chris"/>
    <s v="Maguire, Karla"/>
    <x v="0"/>
    <s v="SAP on Premise Software Maintenance (Appendix 19) (Pullforward Debit)"/>
    <m/>
    <m/>
    <s v="IT-SFT1009-86-OG-US/19"/>
    <m/>
    <s v="9501133254"/>
    <s v="Yes"/>
    <s v="SAP on Prem; 2026 Pullforward"/>
    <s v="4/28/26 CHW New add to tie-out 0223 to 0317 Planful Extracts"/>
    <m/>
    <n v="17349.84"/>
    <n v="17349.84"/>
    <n v="17349.84"/>
    <n v="0"/>
    <m/>
    <m/>
    <m/>
    <n v="0"/>
    <n v="0"/>
    <n v="0"/>
    <n v="0"/>
    <n v="0"/>
    <n v="0"/>
    <n v="0"/>
    <n v="0"/>
    <n v="0"/>
    <n v="0"/>
    <n v="-17349.84"/>
    <m/>
    <m/>
    <n v="0"/>
    <m/>
    <n v="-17349.84"/>
    <m/>
    <m/>
    <m/>
    <m/>
    <n v="0"/>
    <n v="0"/>
    <n v="0"/>
    <n v="0"/>
    <n v="0"/>
    <n v="0"/>
    <n v="0"/>
    <n v="0"/>
    <n v="0"/>
    <n v="0"/>
    <n v="17349.84"/>
    <n v="0"/>
    <n v="0"/>
    <n v="0"/>
    <n v="0"/>
    <n v="0"/>
    <n v="0"/>
    <n v="0"/>
    <n v="0"/>
    <n v="0"/>
    <n v="0"/>
    <n v="0"/>
    <n v="17349.84"/>
  </r>
  <r>
    <s v="N-ERP-524"/>
    <s v="Dougherty, Chris_SOFTWARE_IT-SFT1009-86-OG-US/19/PF"/>
    <s v="ERP-N"/>
    <x v="0"/>
    <s v="Dougherty, Chris"/>
    <s v="Maguire, Karla"/>
    <x v="0"/>
    <s v="SAP on Premise Software Maintenance (Appendix 19) (Pullforward Credit)"/>
    <m/>
    <m/>
    <s v="IT-SFT1009-86-OG-US/19/PF"/>
    <m/>
    <s v="9501133254 -F"/>
    <s v="Yes"/>
    <s v="SAP on Prem; 2026 Pullforward"/>
    <s v="4/28/26 CHW New add to tie-out 0223 to 0317 Planful Extracts"/>
    <m/>
    <n v="-17349.84"/>
    <n v="-17349.84"/>
    <n v="-17349.84"/>
    <n v="0"/>
    <m/>
    <m/>
    <m/>
    <n v="0"/>
    <n v="0"/>
    <n v="0"/>
    <n v="0"/>
    <n v="0"/>
    <n v="0"/>
    <n v="0"/>
    <n v="0"/>
    <n v="0"/>
    <n v="0"/>
    <n v="17349.84"/>
    <m/>
    <m/>
    <n v="0"/>
    <m/>
    <n v="17349.84"/>
    <m/>
    <m/>
    <m/>
    <m/>
    <n v="0"/>
    <n v="0"/>
    <n v="0"/>
    <n v="0"/>
    <n v="0"/>
    <n v="0"/>
    <n v="0"/>
    <n v="0"/>
    <n v="0"/>
    <n v="0"/>
    <n v="-17349.84"/>
    <n v="0"/>
    <n v="0"/>
    <n v="0"/>
    <n v="0"/>
    <n v="0"/>
    <n v="0"/>
    <n v="0"/>
    <n v="0"/>
    <n v="0"/>
    <n v="0"/>
    <n v="0"/>
    <n v="-17349.84"/>
  </r>
  <r>
    <s v="N-ERP-525"/>
    <s v="Dougherty, Chris_SOFTWARE_IT-SFT1009-86-OG-US/23"/>
    <s v="ERP-N"/>
    <x v="0"/>
    <s v="Dougherty, Chris"/>
    <s v="Maguire, Karla"/>
    <x v="0"/>
    <s v="SAP on Premise Software Maintenance (Order Form No. 23) (Pullforward Debit)"/>
    <m/>
    <m/>
    <s v="IT-SFT1009-86-OG-US/23"/>
    <m/>
    <s v="9501133254"/>
    <s v="Yes"/>
    <s v="SAP on Prem; 2026 Pullforward"/>
    <s v="4/28/26 CHW New add to tie-out 0223 to 0317 Planful Extracts"/>
    <m/>
    <n v="5357.52"/>
    <n v="5357.52"/>
    <n v="5357.52"/>
    <n v="0"/>
    <m/>
    <m/>
    <m/>
    <n v="0"/>
    <n v="0"/>
    <n v="0"/>
    <n v="0"/>
    <n v="0"/>
    <n v="0"/>
    <n v="0"/>
    <n v="0"/>
    <n v="0"/>
    <n v="0"/>
    <n v="-5357.52"/>
    <m/>
    <m/>
    <n v="0"/>
    <m/>
    <n v="-5357.52"/>
    <m/>
    <m/>
    <m/>
    <m/>
    <n v="0"/>
    <n v="0"/>
    <n v="0"/>
    <n v="0"/>
    <n v="0"/>
    <n v="0"/>
    <n v="0"/>
    <n v="0"/>
    <n v="0"/>
    <n v="0"/>
    <n v="5357.52"/>
    <n v="0"/>
    <n v="0"/>
    <n v="0"/>
    <n v="0"/>
    <n v="0"/>
    <n v="0"/>
    <n v="0"/>
    <n v="0"/>
    <n v="0"/>
    <n v="0"/>
    <n v="0"/>
    <n v="5357.52"/>
  </r>
  <r>
    <s v="N-ERP-526"/>
    <s v="Dougherty, Chris_SOFTWARE_IT-SFT1009-86-OG-US/23/PF"/>
    <s v="ERP-N"/>
    <x v="0"/>
    <s v="Dougherty, Chris"/>
    <s v="Maguire, Karla"/>
    <x v="0"/>
    <s v="SAP on Premise Software Maintenance (Order Form No. 23) (Pullforward Credit)"/>
    <m/>
    <m/>
    <s v="IT-SFT1009-86-OG-US/23/PF"/>
    <m/>
    <s v="9501133254 -F"/>
    <s v="Yes"/>
    <s v="SAP on Prem; 2026 Pullforward"/>
    <s v="4/28/26 CHW New add to tie-out 0223 to 0317 Planful Extracts"/>
    <m/>
    <n v="-5357.52"/>
    <n v="-5357.52"/>
    <n v="-5357.52"/>
    <n v="0"/>
    <m/>
    <m/>
    <m/>
    <n v="0"/>
    <n v="0"/>
    <n v="0"/>
    <n v="0"/>
    <n v="0"/>
    <n v="0"/>
    <n v="0"/>
    <n v="0"/>
    <n v="0"/>
    <n v="0"/>
    <n v="5357.52"/>
    <m/>
    <m/>
    <n v="0"/>
    <m/>
    <n v="5357.52"/>
    <m/>
    <m/>
    <m/>
    <m/>
    <n v="0"/>
    <n v="0"/>
    <n v="0"/>
    <n v="0"/>
    <n v="0"/>
    <n v="0"/>
    <n v="0"/>
    <n v="0"/>
    <n v="0"/>
    <n v="0"/>
    <n v="-5357.52"/>
    <n v="0"/>
    <n v="0"/>
    <n v="0"/>
    <n v="0"/>
    <n v="0"/>
    <n v="0"/>
    <n v="0"/>
    <n v="0"/>
    <n v="0"/>
    <n v="0"/>
    <n v="0"/>
    <n v="-5357.52"/>
  </r>
  <r>
    <s v="N-ERP-527"/>
    <s v="Dougherty, Chris_SOFTWARE_IT-SFT1009-86-OG-US/25"/>
    <s v="ERP-N"/>
    <x v="0"/>
    <s v="Dougherty, Chris"/>
    <s v="Maguire, Karla"/>
    <x v="0"/>
    <s v="SAP on Premise Software Maintenance (Order Form No. 25) (Pullforward Debit)"/>
    <m/>
    <m/>
    <s v="IT-SFT1009-86-OG-US/25"/>
    <m/>
    <s v="9501133254"/>
    <s v="Yes"/>
    <s v="SAP on Prem; 2026 Pullforward"/>
    <s v="4/28/26 CHW New add to tie-out 0223 to 0317 Planful Extracts"/>
    <m/>
    <n v="101279.37"/>
    <n v="101279.37"/>
    <n v="101279.37"/>
    <n v="0"/>
    <m/>
    <m/>
    <m/>
    <n v="0"/>
    <n v="0"/>
    <n v="0"/>
    <n v="0"/>
    <n v="0"/>
    <n v="0"/>
    <n v="0"/>
    <n v="0"/>
    <n v="0"/>
    <n v="0"/>
    <n v="-101279.37"/>
    <m/>
    <m/>
    <n v="0"/>
    <m/>
    <n v="-101279.37"/>
    <m/>
    <m/>
    <m/>
    <m/>
    <n v="0"/>
    <n v="0"/>
    <n v="0"/>
    <n v="0"/>
    <n v="0"/>
    <n v="0"/>
    <n v="0"/>
    <n v="0"/>
    <n v="0"/>
    <n v="0"/>
    <n v="101279.37"/>
    <n v="0"/>
    <n v="0"/>
    <n v="0"/>
    <n v="0"/>
    <n v="0"/>
    <n v="0"/>
    <n v="0"/>
    <n v="0"/>
    <n v="0"/>
    <n v="0"/>
    <n v="0"/>
    <n v="101279.37"/>
  </r>
  <r>
    <s v="N-ERP-528"/>
    <s v="Dougherty, Chris_SOFTWARE_IT-SFT1009-86-OG-US/25/PF"/>
    <s v="ERP-N"/>
    <x v="0"/>
    <s v="Dougherty, Chris"/>
    <s v="Maguire, Karla"/>
    <x v="0"/>
    <s v="SAP on Premise Software Maintenance (Order Form No. 25) (Pullforward Credit)"/>
    <m/>
    <m/>
    <s v="IT-SFT1009-86-OG-US/25/PF"/>
    <m/>
    <s v="9501133254 -F"/>
    <s v="Yes"/>
    <s v="SAP on Prem; 2026 Pullforward"/>
    <s v="4/28/26 CHW New add to tie-out 0223 to 0317 Planful Extracts"/>
    <m/>
    <n v="-101279.37"/>
    <n v="-101279.37"/>
    <n v="-101279.37"/>
    <n v="0"/>
    <m/>
    <m/>
    <m/>
    <n v="0"/>
    <n v="0"/>
    <n v="0"/>
    <n v="0"/>
    <n v="0"/>
    <n v="0"/>
    <n v="0"/>
    <n v="0"/>
    <n v="0"/>
    <n v="0"/>
    <n v="101279.37"/>
    <m/>
    <m/>
    <n v="0"/>
    <m/>
    <n v="101279.37"/>
    <m/>
    <m/>
    <m/>
    <m/>
    <n v="0"/>
    <n v="0"/>
    <n v="0"/>
    <n v="0"/>
    <n v="0"/>
    <n v="0"/>
    <n v="0"/>
    <n v="0"/>
    <n v="0"/>
    <n v="0"/>
    <n v="-101279.37"/>
    <n v="0"/>
    <n v="0"/>
    <n v="0"/>
    <n v="0"/>
    <n v="0"/>
    <n v="0"/>
    <n v="0"/>
    <n v="0"/>
    <n v="0"/>
    <n v="0"/>
    <n v="0"/>
    <n v="-101279.37"/>
  </r>
  <r>
    <s v="N-ERP-529"/>
    <s v="Dougherty, Chris_SOFTWARE_IT-SFT1009-86-OG-US/29"/>
    <s v="ERP-N"/>
    <x v="0"/>
    <s v="Dougherty, Chris"/>
    <s v="Maguire, Karla"/>
    <x v="0"/>
    <s v="SAP on Premise Software Maintenance (Order Form No. 29) (Pullforward Debit)"/>
    <m/>
    <m/>
    <s v="IT-SFT1009-86-OG-US/29"/>
    <m/>
    <s v="9501133254"/>
    <s v="Yes"/>
    <s v="SAP on Prem; 2026 Pullforward"/>
    <s v="4/28/26 CHW New add to tie-out 0223 to 0317 Planful Extracts"/>
    <m/>
    <n v="169017.36"/>
    <n v="169017.36"/>
    <n v="169017.36"/>
    <n v="0"/>
    <m/>
    <m/>
    <m/>
    <n v="0"/>
    <n v="0"/>
    <n v="0"/>
    <n v="0"/>
    <n v="0"/>
    <n v="0"/>
    <n v="0"/>
    <n v="0"/>
    <n v="0"/>
    <n v="0"/>
    <n v="-169017.36"/>
    <m/>
    <m/>
    <n v="0"/>
    <m/>
    <n v="-169017.36"/>
    <m/>
    <m/>
    <m/>
    <m/>
    <n v="0"/>
    <n v="0"/>
    <n v="0"/>
    <n v="0"/>
    <n v="0"/>
    <n v="0"/>
    <n v="0"/>
    <n v="0"/>
    <n v="0"/>
    <n v="0"/>
    <n v="169017.36"/>
    <n v="0"/>
    <n v="0"/>
    <n v="0"/>
    <n v="0"/>
    <n v="0"/>
    <n v="0"/>
    <n v="0"/>
    <n v="0"/>
    <n v="0"/>
    <n v="0"/>
    <n v="0"/>
    <n v="169017.36"/>
  </r>
  <r>
    <s v="N-ERP-530"/>
    <s v="Dougherty, Chris_SOFTWARE_IT-SFT1009-86-OG-US/29/PF"/>
    <s v="ERP-N"/>
    <x v="0"/>
    <s v="Dougherty, Chris"/>
    <s v="Maguire, Karla"/>
    <x v="0"/>
    <s v="SAP on Premise Software Maintenance (Order Form No. 29) (Pullforward Credit)"/>
    <m/>
    <m/>
    <s v="IT-SFT1009-86-OG-US/29/PF"/>
    <m/>
    <s v="9501133254 -F"/>
    <s v="Yes"/>
    <s v="SAP on Prem; 2026 Pullforward"/>
    <s v="4/28/26 CHW New add to tie-out 0223 to 0317 Planful Extracts"/>
    <m/>
    <n v="-169017.36"/>
    <n v="-169017.36"/>
    <n v="-169017.36"/>
    <n v="0"/>
    <m/>
    <m/>
    <m/>
    <n v="0"/>
    <n v="0"/>
    <n v="0"/>
    <n v="0"/>
    <n v="0"/>
    <n v="0"/>
    <n v="0"/>
    <n v="0"/>
    <n v="0"/>
    <n v="0"/>
    <n v="169017.36"/>
    <m/>
    <m/>
    <n v="0"/>
    <m/>
    <n v="169017.36"/>
    <m/>
    <m/>
    <m/>
    <m/>
    <n v="0"/>
    <n v="0"/>
    <n v="0"/>
    <n v="0"/>
    <n v="0"/>
    <n v="0"/>
    <n v="0"/>
    <n v="0"/>
    <n v="0"/>
    <n v="0"/>
    <n v="-169017.36"/>
    <n v="0"/>
    <n v="0"/>
    <n v="0"/>
    <n v="0"/>
    <n v="0"/>
    <n v="0"/>
    <n v="0"/>
    <n v="0"/>
    <n v="0"/>
    <n v="0"/>
    <n v="0"/>
    <n v="-169017.36"/>
  </r>
  <r>
    <s v="N-ERP-531"/>
    <s v="Dougherty, Chris_SOFTWARE_IT-SFT1009-86-OG-US/30"/>
    <s v="ERP-N"/>
    <x v="0"/>
    <s v="Dougherty, Chris"/>
    <s v="Maguire, Karla"/>
    <x v="0"/>
    <s v="SAP on Premise Software Maintenance (Order Form No. 30) (Pullforward Debit)"/>
    <m/>
    <m/>
    <s v="IT-SFT1009-86-OG-US/30"/>
    <m/>
    <s v="9501133254"/>
    <s v="Yes"/>
    <s v="SAP on Prem; 2026 Pullforward"/>
    <s v="4/28/26 CHW New add to tie-out 0223 to 0317 Planful Extracts"/>
    <m/>
    <n v="872512.08"/>
    <n v="872512.08"/>
    <n v="872512.08"/>
    <n v="0"/>
    <m/>
    <m/>
    <m/>
    <n v="0"/>
    <n v="0"/>
    <n v="0"/>
    <n v="0"/>
    <n v="0"/>
    <n v="0"/>
    <n v="0"/>
    <n v="0"/>
    <n v="0"/>
    <n v="0"/>
    <n v="-872512.08"/>
    <m/>
    <m/>
    <n v="0"/>
    <m/>
    <n v="-872512.08"/>
    <m/>
    <m/>
    <m/>
    <m/>
    <n v="0"/>
    <n v="0"/>
    <n v="0"/>
    <n v="0"/>
    <n v="0"/>
    <n v="0"/>
    <n v="0"/>
    <n v="0"/>
    <n v="0"/>
    <n v="0"/>
    <n v="872512.08"/>
    <n v="0"/>
    <n v="0"/>
    <n v="0"/>
    <n v="0"/>
    <n v="0"/>
    <n v="0"/>
    <n v="0"/>
    <n v="0"/>
    <n v="0"/>
    <n v="0"/>
    <n v="0"/>
    <n v="872512.08"/>
  </r>
  <r>
    <s v="N-ERP-532"/>
    <s v="Dougherty, Chris_SOFTWARE_IT-SFT1009-86-OG-US/30/PF"/>
    <s v="ERP-N"/>
    <x v="0"/>
    <s v="Dougherty, Chris"/>
    <s v="Maguire, Karla"/>
    <x v="0"/>
    <s v="SAP on Premise Software Maintenance (Order Form No. 30) (Pullforward Credit)"/>
    <m/>
    <m/>
    <s v="IT-SFT1009-86-OG-US/30/PF"/>
    <m/>
    <s v="9501133254 -F"/>
    <s v="Yes"/>
    <s v="SAP on Prem; 2026 Pullforward"/>
    <s v="4/28/26 CHW New add to tie-out 0223 to 0317 Planful Extracts"/>
    <m/>
    <n v="-872512.08"/>
    <n v="-872512.08"/>
    <n v="-872512.08"/>
    <n v="0"/>
    <m/>
    <m/>
    <m/>
    <n v="0"/>
    <n v="0"/>
    <n v="0"/>
    <n v="0"/>
    <n v="0"/>
    <n v="0"/>
    <n v="0"/>
    <n v="0"/>
    <n v="0"/>
    <n v="0"/>
    <n v="872512.08"/>
    <m/>
    <m/>
    <n v="0"/>
    <m/>
    <n v="872512.08"/>
    <m/>
    <m/>
    <m/>
    <m/>
    <n v="0"/>
    <n v="0"/>
    <n v="0"/>
    <n v="0"/>
    <n v="0"/>
    <n v="0"/>
    <n v="0"/>
    <n v="0"/>
    <n v="0"/>
    <n v="0"/>
    <n v="-872512.08"/>
    <n v="0"/>
    <n v="0"/>
    <n v="0"/>
    <n v="0"/>
    <n v="0"/>
    <n v="0"/>
    <n v="0"/>
    <n v="0"/>
    <n v="0"/>
    <n v="0"/>
    <n v="0"/>
    <n v="-872512.08"/>
  </r>
  <r>
    <s v="N-ERP-533"/>
    <s v="Dougherty, Chris_SOFTWARE_IT-SFT1009-86-OG-US/32"/>
    <s v="ERP-N"/>
    <x v="0"/>
    <s v="Dougherty, Chris"/>
    <s v="Maguire, Karla"/>
    <x v="0"/>
    <s v="SAP on Premise Software Maintenance (Order Form No. 32) (Pullforward Debit)"/>
    <m/>
    <m/>
    <s v="IT-SFT1009-86-OG-US/32"/>
    <m/>
    <s v="9501133254"/>
    <s v="Yes"/>
    <s v="SAP on Prem; 2026 Pullforward"/>
    <s v="4/28/26 CHW New add to tie-out 0223 to 0317 Planful Extracts"/>
    <m/>
    <n v="267876.47999999998"/>
    <n v="267876.47999999998"/>
    <n v="267876.47999999998"/>
    <n v="0"/>
    <m/>
    <m/>
    <m/>
    <n v="0"/>
    <n v="0"/>
    <n v="0"/>
    <n v="0"/>
    <n v="0"/>
    <n v="0"/>
    <n v="0"/>
    <n v="0"/>
    <n v="0"/>
    <n v="0"/>
    <n v="-267876.47999999998"/>
    <m/>
    <m/>
    <n v="0"/>
    <m/>
    <n v="-267876.47999999998"/>
    <m/>
    <m/>
    <m/>
    <m/>
    <n v="0"/>
    <n v="0"/>
    <n v="0"/>
    <n v="0"/>
    <n v="0"/>
    <n v="0"/>
    <n v="0"/>
    <n v="0"/>
    <n v="0"/>
    <n v="0"/>
    <n v="267876.47999999998"/>
    <n v="0"/>
    <n v="0"/>
    <n v="0"/>
    <n v="0"/>
    <n v="0"/>
    <n v="0"/>
    <n v="0"/>
    <n v="0"/>
    <n v="0"/>
    <n v="0"/>
    <n v="0"/>
    <n v="267876.47999999998"/>
  </r>
  <r>
    <s v="N-ERP-534"/>
    <s v="Dougherty, Chris_SOFTWARE_IT-SFT1009-86-OG-US/32/PF"/>
    <s v="ERP-N"/>
    <x v="0"/>
    <s v="Dougherty, Chris"/>
    <s v="Maguire, Karla"/>
    <x v="0"/>
    <s v="SAP on Premise Software Maintenance (Order Form No. 32) (Pullforward Credit)"/>
    <m/>
    <m/>
    <s v="IT-SFT1009-86-OG-US/32/PF"/>
    <m/>
    <s v="9501133254 -F"/>
    <s v="Yes"/>
    <s v="SAP on Prem; 2026 Pullforward"/>
    <s v="4/28/26 CHW New add to tie-out 0223 to 0317 Planful Extracts"/>
    <m/>
    <n v="-267876.47999999998"/>
    <n v="-267876.47999999998"/>
    <n v="-267876.47999999998"/>
    <n v="0"/>
    <m/>
    <m/>
    <m/>
    <n v="0"/>
    <n v="0"/>
    <n v="0"/>
    <n v="0"/>
    <n v="0"/>
    <n v="0"/>
    <n v="0"/>
    <n v="0"/>
    <n v="0"/>
    <n v="0"/>
    <n v="267876.47999999998"/>
    <m/>
    <m/>
    <n v="0"/>
    <m/>
    <n v="267876.47999999998"/>
    <m/>
    <m/>
    <m/>
    <m/>
    <n v="0"/>
    <n v="0"/>
    <n v="0"/>
    <n v="0"/>
    <n v="0"/>
    <n v="0"/>
    <n v="0"/>
    <n v="0"/>
    <n v="0"/>
    <n v="0"/>
    <n v="-267876.47999999998"/>
    <n v="0"/>
    <n v="0"/>
    <n v="0"/>
    <n v="0"/>
    <n v="0"/>
    <n v="0"/>
    <n v="0"/>
    <n v="0"/>
    <n v="0"/>
    <n v="0"/>
    <n v="0"/>
    <n v="-267876.47999999998"/>
  </r>
  <r>
    <s v="L-ERP-113"/>
    <s v="Dougherty, Chris_SOFTWARE_IT-SFT1009-86-OG-US/35"/>
    <s v="ERP"/>
    <x v="0"/>
    <s v="Dougherty, Chris"/>
    <s v="Maguire, Karla"/>
    <x v="0"/>
    <s v="SAP on Premise Software Maintenance (Order Form No. 35)"/>
    <s v="Prepaid"/>
    <m/>
    <s v="IT-SFT1009-86-OG-US/35"/>
    <m/>
    <s v="9501133254"/>
    <m/>
    <s v="SAP on Prem"/>
    <s v="5/7 CHW - Adj to match prepaid schedule"/>
    <m/>
    <n v="2542329.3599999994"/>
    <n v="2542329.3599999994"/>
    <n v="2542329.3599999994"/>
    <n v="0"/>
    <n v="2542329.37"/>
    <n v="-2118607.81"/>
    <n v="211860.78"/>
    <n v="0"/>
    <n v="423721.56"/>
    <n v="211860.78"/>
    <n v="0"/>
    <n v="423721.56"/>
    <n v="211860.78"/>
    <n v="0"/>
    <n v="423721.56"/>
    <n v="211860.78"/>
    <n v="2542329.36"/>
    <n v="0"/>
    <m/>
    <m/>
    <n v="2.9103830456733704E-11"/>
    <m/>
    <n v="0"/>
    <m/>
    <n v="2542329.37"/>
    <n v="-2118607.81"/>
    <n v="211860.78"/>
    <n v="0"/>
    <n v="423721.56"/>
    <n v="211860.78"/>
    <n v="0"/>
    <n v="423721.56"/>
    <n v="211860.78"/>
    <n v="0"/>
    <n v="423721.56"/>
    <n v="211860.78"/>
    <n v="2542329.36"/>
    <n v="2542329.37"/>
    <n v="-2118607.81"/>
    <n v="211860.78"/>
    <n v="211860.78"/>
    <n v="211860.78"/>
    <n v="211860.78"/>
    <n v="211860.78"/>
    <n v="211860.78"/>
    <n v="211860.78"/>
    <n v="211860.78"/>
    <n v="211860.78"/>
    <n v="211860.78"/>
    <n v="2542329.36"/>
  </r>
  <r>
    <s v="N-ERP-535"/>
    <s v="Dougherty, Chris_SOFTWARE_IT-SFT1009-86-OG-US/37"/>
    <s v="ERP-N"/>
    <x v="0"/>
    <s v="Dougherty, Chris"/>
    <s v="Maguire, Karla"/>
    <x v="0"/>
    <s v="SAP on Premise Software Maintenance (Order Form No. 37 A&amp;B) (Pullforward Debit)"/>
    <m/>
    <m/>
    <s v="IT-SFT1009-86-OG-US/37"/>
    <m/>
    <s v="9501133254"/>
    <s v="Yes"/>
    <s v="SAP on Prem; 2026 Pullforward"/>
    <s v="4/28/26 CHW New add to tie-out 0223 to 0317 Planful Extracts"/>
    <m/>
    <n v="539731.92000000004"/>
    <n v="539731.92000000004"/>
    <n v="539731.92000000004"/>
    <n v="0"/>
    <m/>
    <m/>
    <m/>
    <n v="0"/>
    <n v="0"/>
    <n v="0"/>
    <n v="0"/>
    <n v="0"/>
    <n v="0"/>
    <n v="0"/>
    <n v="0"/>
    <n v="0"/>
    <n v="0"/>
    <n v="-539731.92000000004"/>
    <m/>
    <m/>
    <n v="0"/>
    <m/>
    <n v="-539731.92000000004"/>
    <m/>
    <m/>
    <m/>
    <m/>
    <n v="0"/>
    <n v="0"/>
    <n v="0"/>
    <n v="0"/>
    <n v="0"/>
    <n v="0"/>
    <n v="0"/>
    <n v="0"/>
    <n v="0"/>
    <n v="0"/>
    <n v="539731.92000000004"/>
    <n v="0"/>
    <n v="0"/>
    <n v="0"/>
    <n v="0"/>
    <n v="0"/>
    <n v="0"/>
    <n v="0"/>
    <n v="0"/>
    <n v="0"/>
    <n v="0"/>
    <n v="0"/>
    <n v="539731.92000000004"/>
  </r>
  <r>
    <s v="N-ERP-536"/>
    <s v="Dougherty, Chris_SOFTWARE_IT-SFT1009-86-OG-US/37/PF"/>
    <s v="ERP-N"/>
    <x v="0"/>
    <s v="Dougherty, Chris"/>
    <s v="Maguire, Karla"/>
    <x v="0"/>
    <s v="SAP on Premise Software Maintenance (Order Form No. 37 A&amp;B) (Pullforward Credit)"/>
    <m/>
    <m/>
    <s v="IT-SFT1009-86-OG-US/37/PF"/>
    <m/>
    <s v="9501133254 -F"/>
    <s v="Yes"/>
    <s v="SAP on Prem; 2026 Pullforward"/>
    <s v="4/28/26 CHW New add to tie-out 0223 to 0317 Planful Extracts"/>
    <m/>
    <n v="-539731.92000000004"/>
    <n v="-539731.92000000004"/>
    <n v="-539731.92000000004"/>
    <n v="0"/>
    <m/>
    <m/>
    <m/>
    <n v="0"/>
    <n v="0"/>
    <n v="0"/>
    <n v="0"/>
    <n v="0"/>
    <n v="0"/>
    <n v="0"/>
    <n v="0"/>
    <n v="0"/>
    <n v="0"/>
    <n v="539731.92000000004"/>
    <m/>
    <m/>
    <n v="0"/>
    <m/>
    <n v="539731.92000000004"/>
    <m/>
    <m/>
    <m/>
    <m/>
    <n v="0"/>
    <n v="0"/>
    <n v="0"/>
    <n v="0"/>
    <n v="0"/>
    <n v="0"/>
    <n v="0"/>
    <n v="0"/>
    <n v="0"/>
    <n v="0"/>
    <n v="-539731.92000000004"/>
    <n v="0"/>
    <n v="0"/>
    <n v="0"/>
    <n v="0"/>
    <n v="0"/>
    <n v="0"/>
    <n v="0"/>
    <n v="0"/>
    <n v="0"/>
    <n v="0"/>
    <n v="0"/>
    <n v="-539731.92000000004"/>
  </r>
  <r>
    <s v="N-ERP-537"/>
    <s v="Dougherty, Chris_SOFTWARE_IT-SFT1009-86-OG-US/38"/>
    <s v="ERP-N"/>
    <x v="0"/>
    <s v="Dougherty, Chris"/>
    <s v="Maguire, Karla"/>
    <x v="0"/>
    <s v="SAP on Premise Software Maintenance (Order Form No. 38) (Pullforward Debit)"/>
    <m/>
    <m/>
    <s v="IT-SFT1009-86-OG-US/38"/>
    <m/>
    <s v="9501133254"/>
    <s v="Yes"/>
    <s v="SAP on Prem; 2026 Pullforward"/>
    <s v="4/28/26 CHW New add to tie-out 0223 to 0317 Planful Extracts"/>
    <m/>
    <n v="60272.160000000003"/>
    <n v="60272.160000000003"/>
    <n v="60272.160000000003"/>
    <n v="0"/>
    <m/>
    <m/>
    <m/>
    <n v="0"/>
    <n v="0"/>
    <n v="0"/>
    <n v="0"/>
    <n v="0"/>
    <n v="0"/>
    <n v="0"/>
    <n v="0"/>
    <n v="0"/>
    <n v="0"/>
    <n v="-60272.160000000003"/>
    <m/>
    <m/>
    <n v="0"/>
    <m/>
    <n v="-60272.160000000003"/>
    <m/>
    <m/>
    <m/>
    <m/>
    <n v="0"/>
    <n v="0"/>
    <n v="0"/>
    <n v="0"/>
    <n v="0"/>
    <n v="0"/>
    <n v="0"/>
    <n v="0"/>
    <n v="0"/>
    <n v="0"/>
    <n v="60272.160000000003"/>
    <n v="0"/>
    <n v="0"/>
    <n v="0"/>
    <n v="0"/>
    <n v="0"/>
    <n v="0"/>
    <n v="0"/>
    <n v="0"/>
    <n v="0"/>
    <n v="0"/>
    <n v="0"/>
    <n v="60272.160000000003"/>
  </r>
  <r>
    <s v="N-ERP-538"/>
    <s v="Dougherty, Chris_SOFTWARE_IT-SFT1009-86-OG-US/38/PF"/>
    <s v="ERP-N"/>
    <x v="0"/>
    <s v="Dougherty, Chris"/>
    <s v="Maguire, Karla"/>
    <x v="0"/>
    <s v="SAP on Premise Software Maintenance (Order Form No. 38) (Pullforward Credit)"/>
    <m/>
    <m/>
    <s v="IT-SFT1009-86-OG-US/38/PF"/>
    <m/>
    <s v="9501133254 -F"/>
    <s v="Yes"/>
    <s v="SAP on Prem; 2026 Pullforward"/>
    <s v="4/28/26 CHW New add to tie-out 0223 to 0317 Planful Extracts"/>
    <m/>
    <n v="-60272.160000000003"/>
    <n v="-60272.160000000003"/>
    <n v="-60272.160000000003"/>
    <n v="0"/>
    <m/>
    <m/>
    <m/>
    <n v="0"/>
    <n v="0"/>
    <n v="0"/>
    <n v="0"/>
    <n v="0"/>
    <n v="0"/>
    <n v="0"/>
    <n v="0"/>
    <n v="0"/>
    <n v="0"/>
    <n v="60272.160000000003"/>
    <m/>
    <m/>
    <n v="0"/>
    <m/>
    <n v="60272.160000000003"/>
    <m/>
    <m/>
    <m/>
    <m/>
    <n v="0"/>
    <n v="0"/>
    <n v="0"/>
    <n v="0"/>
    <n v="0"/>
    <n v="0"/>
    <n v="0"/>
    <n v="0"/>
    <n v="0"/>
    <n v="0"/>
    <n v="-60272.160000000003"/>
    <n v="0"/>
    <n v="0"/>
    <n v="0"/>
    <n v="0"/>
    <n v="0"/>
    <n v="0"/>
    <n v="0"/>
    <n v="0"/>
    <n v="0"/>
    <n v="0"/>
    <n v="0"/>
    <n v="-60272.160000000003"/>
  </r>
  <r>
    <s v="N-ERP-539"/>
    <s v="Dougherty, Chris_SOFTWARE_IT-SFT1009-86-OG-US/41"/>
    <s v="ERP-N"/>
    <x v="0"/>
    <s v="Dougherty, Chris"/>
    <s v="Maguire, Karla"/>
    <x v="0"/>
    <s v="SAP on Premise Software Maintenance (Order Form No. 41) (Pullforward Debit)"/>
    <m/>
    <m/>
    <s v="IT-SFT1009-86-OG-US/41"/>
    <m/>
    <s v="9501133254"/>
    <s v="Yes"/>
    <s v="SAP on Prem; 2026 Pullforward"/>
    <s v="4/28/26 CHW New add to tie-out 0223 to 0317 Planful Extracts"/>
    <m/>
    <n v="626867.82999999996"/>
    <n v="626867.82999999996"/>
    <n v="626867.82999999996"/>
    <n v="0"/>
    <m/>
    <m/>
    <m/>
    <n v="0"/>
    <n v="0"/>
    <n v="0"/>
    <n v="0"/>
    <n v="0"/>
    <n v="0"/>
    <n v="0"/>
    <n v="0"/>
    <n v="0"/>
    <n v="0"/>
    <n v="-626867.82999999996"/>
    <m/>
    <m/>
    <n v="0"/>
    <m/>
    <n v="-626867.82999999996"/>
    <m/>
    <m/>
    <m/>
    <m/>
    <n v="0"/>
    <n v="0"/>
    <n v="0"/>
    <n v="0"/>
    <n v="0"/>
    <n v="0"/>
    <n v="0"/>
    <n v="0"/>
    <n v="0"/>
    <n v="0"/>
    <n v="626867.82999999996"/>
    <n v="0"/>
    <n v="0"/>
    <n v="0"/>
    <n v="0"/>
    <n v="0"/>
    <n v="0"/>
    <n v="0"/>
    <n v="0"/>
    <n v="0"/>
    <n v="0"/>
    <n v="0"/>
    <n v="626867.82999999996"/>
  </r>
  <r>
    <s v="N-ERP-540"/>
    <s v="Dougherty, Chris_SOFTWARE_IT-SFT1009-86-OG-US/41/PF"/>
    <s v="ERP-N"/>
    <x v="0"/>
    <s v="Dougherty, Chris"/>
    <s v="Maguire, Karla"/>
    <x v="0"/>
    <s v="SAP on Premise Software Maintenance (Order Form No. 41) (Pullforward Credit)"/>
    <m/>
    <m/>
    <s v="IT-SFT1009-86-OG-US/41/PF"/>
    <m/>
    <s v="9501133254 -F"/>
    <s v="Yes"/>
    <s v="SAP on Prem; 2026 Pullforward"/>
    <s v="4/28/26 CHW New add to tie-out 0223 to 0317 Planful Extracts"/>
    <m/>
    <n v="-626867.82999999996"/>
    <n v="-626867.82999999996"/>
    <n v="-626867.82999999996"/>
    <n v="0"/>
    <m/>
    <m/>
    <m/>
    <n v="0"/>
    <n v="0"/>
    <n v="0"/>
    <n v="0"/>
    <n v="0"/>
    <n v="0"/>
    <n v="0"/>
    <n v="0"/>
    <n v="0"/>
    <n v="0"/>
    <n v="626867.82999999996"/>
    <m/>
    <m/>
    <n v="0"/>
    <m/>
    <n v="626867.82999999996"/>
    <m/>
    <m/>
    <m/>
    <m/>
    <n v="0"/>
    <n v="0"/>
    <n v="0"/>
    <n v="0"/>
    <n v="0"/>
    <n v="0"/>
    <n v="0"/>
    <n v="0"/>
    <n v="0"/>
    <n v="0"/>
    <n v="-626867.82999999996"/>
    <n v="0"/>
    <n v="0"/>
    <n v="0"/>
    <n v="0"/>
    <n v="0"/>
    <n v="0"/>
    <n v="0"/>
    <n v="0"/>
    <n v="0"/>
    <n v="0"/>
    <n v="0"/>
    <n v="-626867.82999999996"/>
  </r>
  <r>
    <s v="N-ERP-541"/>
    <s v="Dougherty, Chris_SOFTWARE_IT-SFT1009-86-OG-US/45"/>
    <s v="ERP-N"/>
    <x v="0"/>
    <s v="Dougherty, Chris"/>
    <s v="Maguire, Karla"/>
    <x v="0"/>
    <s v="SAP on Premise Software Maintenance (Order Form No. 45) (Pullforward Debit)"/>
    <m/>
    <m/>
    <s v="IT-SFT1009-86-OG-US/45"/>
    <m/>
    <s v="9501133254"/>
    <s v="Yes"/>
    <s v="SAP on Prem; 2026 Pullforward"/>
    <s v="4/28/26 CHW New add to tie-out 0223 to 0317 Planful Extracts"/>
    <m/>
    <n v="15713.16"/>
    <n v="15713.16"/>
    <n v="15713.16"/>
    <n v="0"/>
    <m/>
    <m/>
    <m/>
    <n v="0"/>
    <n v="0"/>
    <n v="0"/>
    <n v="0"/>
    <n v="0"/>
    <n v="0"/>
    <n v="0"/>
    <n v="0"/>
    <n v="0"/>
    <n v="0"/>
    <n v="-15713.16"/>
    <m/>
    <m/>
    <n v="0"/>
    <m/>
    <n v="-15713.16"/>
    <m/>
    <m/>
    <m/>
    <m/>
    <n v="0"/>
    <n v="0"/>
    <n v="0"/>
    <n v="0"/>
    <n v="0"/>
    <n v="0"/>
    <n v="0"/>
    <n v="0"/>
    <n v="0"/>
    <n v="0"/>
    <n v="15713.16"/>
    <n v="0"/>
    <n v="0"/>
    <n v="0"/>
    <n v="0"/>
    <n v="0"/>
    <n v="0"/>
    <n v="0"/>
    <n v="0"/>
    <n v="0"/>
    <n v="0"/>
    <n v="0"/>
    <n v="15713.16"/>
  </r>
  <r>
    <s v="N-ERP-542"/>
    <s v="Dougherty, Chris_SOFTWARE_IT-SFT1009-86-OG-US/45/PF"/>
    <s v="ERP-N"/>
    <x v="0"/>
    <s v="Dougherty, Chris"/>
    <s v="Maguire, Karla"/>
    <x v="0"/>
    <s v="SAP on Premise Software Maintenance (Order Form No. 45) (Pullforward Credit)"/>
    <m/>
    <m/>
    <s v="IT-SFT1009-86-OG-US/45/PF"/>
    <m/>
    <s v="9501133254 -F"/>
    <s v="Yes"/>
    <s v="SAP on Prem; 2026 Pullforward"/>
    <s v="4/28/26 CHW New add to tie-out 0223 to 0317 Planful Extracts"/>
    <m/>
    <n v="-15713.16"/>
    <n v="-15713.16"/>
    <n v="-15713.16"/>
    <n v="0"/>
    <m/>
    <m/>
    <m/>
    <n v="0"/>
    <n v="0"/>
    <n v="0"/>
    <n v="0"/>
    <n v="0"/>
    <n v="0"/>
    <n v="0"/>
    <n v="0"/>
    <n v="0"/>
    <n v="0"/>
    <n v="15713.16"/>
    <m/>
    <m/>
    <n v="0"/>
    <m/>
    <n v="15713.16"/>
    <m/>
    <m/>
    <m/>
    <m/>
    <n v="0"/>
    <n v="0"/>
    <n v="0"/>
    <n v="0"/>
    <n v="0"/>
    <n v="0"/>
    <n v="0"/>
    <n v="0"/>
    <n v="0"/>
    <n v="0"/>
    <n v="-15713.16"/>
    <n v="0"/>
    <n v="0"/>
    <n v="0"/>
    <n v="0"/>
    <n v="0"/>
    <n v="0"/>
    <n v="0"/>
    <n v="0"/>
    <n v="0"/>
    <n v="0"/>
    <n v="0"/>
    <n v="-15713.16"/>
  </r>
  <r>
    <s v="N-ERP-543"/>
    <s v="Dougherty, Chris_SOFTWARE_IT-SFT1009-86-OG-US/46"/>
    <s v="ERP-N"/>
    <x v="0"/>
    <s v="Dougherty, Chris"/>
    <s v="Maguire, Karla"/>
    <x v="0"/>
    <s v="SAP GTS Licenses for HANA (Order 46) (Pullforward Debit)"/>
    <m/>
    <m/>
    <s v="IT-SFT1009-86-OG-US/46"/>
    <m/>
    <s v="9501133254"/>
    <s v="Yes"/>
    <s v="SAP on Prem; 2026 Pullforward"/>
    <s v="4/28/26 CHW New add to tie-out 0223 to 0317 Planful Extracts"/>
    <m/>
    <n v="930750"/>
    <n v="930750"/>
    <n v="930750"/>
    <n v="0"/>
    <m/>
    <m/>
    <m/>
    <n v="0"/>
    <n v="0"/>
    <n v="0"/>
    <n v="0"/>
    <n v="0"/>
    <n v="0"/>
    <n v="0"/>
    <n v="0"/>
    <n v="0"/>
    <n v="0"/>
    <n v="-930750"/>
    <m/>
    <m/>
    <n v="0"/>
    <m/>
    <n v="-930750"/>
    <m/>
    <m/>
    <m/>
    <m/>
    <n v="0"/>
    <n v="0"/>
    <n v="0"/>
    <n v="0"/>
    <n v="0"/>
    <n v="0"/>
    <n v="0"/>
    <n v="0"/>
    <n v="0"/>
    <n v="0"/>
    <n v="930750"/>
    <n v="0"/>
    <n v="0"/>
    <n v="0"/>
    <n v="0"/>
    <n v="0"/>
    <n v="0"/>
    <n v="0"/>
    <n v="0"/>
    <n v="0"/>
    <n v="0"/>
    <n v="0"/>
    <n v="930750"/>
  </r>
  <r>
    <s v="N-ERP-544"/>
    <s v="Dougherty, Chris_SOFTWARE_IT-SFT1009-86-OG-US/46/PF"/>
    <s v="ERP-N"/>
    <x v="0"/>
    <s v="Dougherty, Chris"/>
    <s v="Maguire, Karla"/>
    <x v="0"/>
    <s v="SAP GTS Licenses for HANA (Order 46) (Pullforward Credit)"/>
    <m/>
    <m/>
    <s v="IT-SFT1009-86-OG-US/46/PF"/>
    <m/>
    <s v="9501133254 -F"/>
    <s v="Yes"/>
    <s v="SAP on Prem; 2026 Pullforward"/>
    <s v="4/28/26 CHW New add to tie-out 0223 to 0317 Planful Extracts"/>
    <m/>
    <n v="-930750"/>
    <n v="-930750"/>
    <n v="-930750"/>
    <n v="0"/>
    <m/>
    <m/>
    <m/>
    <n v="0"/>
    <n v="0"/>
    <n v="0"/>
    <n v="0"/>
    <n v="0"/>
    <n v="0"/>
    <n v="0"/>
    <n v="0"/>
    <n v="0"/>
    <n v="0"/>
    <n v="930750"/>
    <m/>
    <m/>
    <n v="0"/>
    <m/>
    <n v="930750"/>
    <m/>
    <m/>
    <m/>
    <m/>
    <n v="0"/>
    <n v="0"/>
    <n v="0"/>
    <n v="0"/>
    <n v="0"/>
    <n v="0"/>
    <n v="0"/>
    <n v="0"/>
    <n v="0"/>
    <n v="0"/>
    <n v="-930750"/>
    <n v="0"/>
    <n v="0"/>
    <n v="0"/>
    <n v="0"/>
    <n v="0"/>
    <n v="0"/>
    <n v="0"/>
    <n v="0"/>
    <n v="0"/>
    <n v="0"/>
    <n v="0"/>
    <n v="-930750"/>
  </r>
  <r>
    <s v="N-ERP-545"/>
    <s v="Dougherty, Chris_SOFTWARE_IT-SFT1009-86-OG-US/FV"/>
    <s v="ERP-N"/>
    <x v="0"/>
    <s v="Dougherty, Chris"/>
    <s v="Maguire, Karla"/>
    <x v="0"/>
    <s v="SAP on Premise Software Maintenance (Firefighter / Virsa) (Pullforward Debit)"/>
    <m/>
    <m/>
    <s v="IT-SFT1009-86-OG-US/FV"/>
    <m/>
    <s v="9500800236"/>
    <s v="Yes"/>
    <s v="SAP on Prem; 2026 Pullforward"/>
    <s v="4/28/26 CHW New add to tie-out 0223 to 0317 Planful Extracts"/>
    <m/>
    <n v="9567"/>
    <n v="9567"/>
    <n v="9567"/>
    <n v="0"/>
    <m/>
    <m/>
    <m/>
    <n v="0"/>
    <n v="0"/>
    <n v="0"/>
    <n v="0"/>
    <n v="0"/>
    <n v="0"/>
    <n v="0"/>
    <n v="0"/>
    <n v="0"/>
    <n v="0"/>
    <n v="-9567"/>
    <m/>
    <m/>
    <n v="0"/>
    <m/>
    <n v="-9567"/>
    <m/>
    <m/>
    <m/>
    <m/>
    <n v="0"/>
    <n v="0"/>
    <n v="0"/>
    <n v="0"/>
    <n v="0"/>
    <n v="0"/>
    <n v="0"/>
    <n v="0"/>
    <n v="0"/>
    <n v="0"/>
    <n v="9567"/>
    <n v="0"/>
    <n v="0"/>
    <n v="0"/>
    <n v="0"/>
    <n v="0"/>
    <n v="0"/>
    <n v="0"/>
    <n v="0"/>
    <n v="0"/>
    <n v="0"/>
    <n v="0"/>
    <n v="9567"/>
  </r>
  <r>
    <s v="N-ERP-546"/>
    <s v="Dougherty, Chris_SOFTWARE_IT-SFT1009-86-OG-US/FV/PF"/>
    <s v="ERP-N"/>
    <x v="0"/>
    <s v="Dougherty, Chris"/>
    <s v="Maguire, Karla"/>
    <x v="0"/>
    <s v="SAP on Premise Software Maintenance (Firefighter / Virsa) (Pullforward Credit)"/>
    <m/>
    <m/>
    <s v="IT-SFT1009-86-OG-US/FV/PF"/>
    <m/>
    <s v="9501133254 -F"/>
    <s v="Yes"/>
    <s v="SAP on Prem; 2026 Pullforward"/>
    <s v="4/28/26 CHW New add to tie-out 0223 to 0317 Planful Extracts"/>
    <m/>
    <n v="-9567"/>
    <n v="-9567"/>
    <n v="-9567"/>
    <n v="0"/>
    <m/>
    <m/>
    <m/>
    <n v="0"/>
    <n v="0"/>
    <n v="0"/>
    <n v="0"/>
    <n v="0"/>
    <n v="0"/>
    <n v="0"/>
    <n v="0"/>
    <n v="0"/>
    <n v="0"/>
    <n v="9567"/>
    <m/>
    <m/>
    <n v="0"/>
    <m/>
    <n v="9567"/>
    <m/>
    <m/>
    <m/>
    <m/>
    <n v="0"/>
    <n v="0"/>
    <n v="0"/>
    <n v="0"/>
    <n v="0"/>
    <n v="0"/>
    <n v="0"/>
    <n v="0"/>
    <n v="0"/>
    <n v="0"/>
    <n v="-9567"/>
    <n v="0"/>
    <n v="0"/>
    <n v="0"/>
    <n v="0"/>
    <n v="0"/>
    <n v="0"/>
    <n v="0"/>
    <n v="0"/>
    <n v="0"/>
    <n v="0"/>
    <n v="0"/>
    <n v="-9567"/>
  </r>
  <r>
    <s v="L-ERP-111"/>
    <s v="Dougherty, Chris_SOFTWARE_IT-SFT1009-86-OG-US-CB"/>
    <s v="ERP"/>
    <x v="0"/>
    <s v="Dougherty, Chris"/>
    <s v="Maguire, Karla"/>
    <x v="0"/>
    <s v="SAP on Premise Chargeback"/>
    <m/>
    <m/>
    <s v="IT-SFT1009-86-OG-US-CB"/>
    <m/>
    <s v="9501133254-CB"/>
    <m/>
    <s v="SAP"/>
    <m/>
    <m/>
    <n v="-551382.25"/>
    <n v="-551382.25"/>
    <n v="-551382.25"/>
    <n v="0"/>
    <m/>
    <m/>
    <n v="-551382.25"/>
    <n v="0"/>
    <n v="0"/>
    <n v="0"/>
    <n v="0"/>
    <n v="0"/>
    <n v="0"/>
    <n v="0"/>
    <n v="0"/>
    <n v="0"/>
    <n v="-551382.25"/>
    <n v="0"/>
    <m/>
    <m/>
    <n v="0"/>
    <m/>
    <n v="0"/>
    <m/>
    <m/>
    <m/>
    <n v="-551382.25"/>
    <n v="0"/>
    <n v="0"/>
    <n v="0"/>
    <n v="0"/>
    <n v="0"/>
    <n v="0"/>
    <n v="0"/>
    <n v="0"/>
    <n v="0"/>
    <n v="-551382.25"/>
    <m/>
    <m/>
    <n v="-551382.25"/>
    <n v="0"/>
    <n v="0"/>
    <n v="0"/>
    <n v="0"/>
    <n v="0"/>
    <n v="0"/>
    <n v="0"/>
    <n v="0"/>
    <n v="0"/>
    <n v="-551382.25"/>
  </r>
  <r>
    <s v="L-ERP-115"/>
    <s v="Dougherty, Chris_OTHER_IT-SFT1010-86-OG-US"/>
    <s v="ERP"/>
    <x v="0"/>
    <s v="Dougherty, Chris"/>
    <s v="Maguire, Karla"/>
    <x v="7"/>
    <s v="SAP SaaS Software Maintenance (IBP #3061986150)"/>
    <m/>
    <m/>
    <s v="IT-SFT1010-86-OG-US"/>
    <m/>
    <m/>
    <m/>
    <s v="SAP SaaS"/>
    <m/>
    <m/>
    <n v="0"/>
    <n v="0"/>
    <n v="0"/>
    <n v="0"/>
    <n v="4356992.08"/>
    <n v="-4356992.08"/>
    <m/>
    <m/>
    <m/>
    <m/>
    <m/>
    <m/>
    <m/>
    <m/>
    <m/>
    <m/>
    <n v="0"/>
    <n v="0"/>
    <m/>
    <m/>
    <n v="0"/>
    <m/>
    <n v="0"/>
    <m/>
    <n v="4356992.08"/>
    <n v="-4356992.08"/>
    <m/>
    <m/>
    <m/>
    <m/>
    <m/>
    <m/>
    <m/>
    <m/>
    <m/>
    <m/>
    <n v="0"/>
    <n v="4356992.08"/>
    <n v="-4356992.08"/>
    <m/>
    <m/>
    <m/>
    <m/>
    <m/>
    <m/>
    <m/>
    <m/>
    <m/>
    <m/>
    <n v="0"/>
  </r>
  <r>
    <s v="L-ERP-116"/>
    <s v="Dougherty, Chris_SOFTWARE_IT-SFT1010-86-OG-US"/>
    <s v="ERP"/>
    <x v="0"/>
    <s v="Dougherty, Chris"/>
    <s v="Maguire, Karla"/>
    <x v="0"/>
    <s v="SAP SaaS Software Maintenance (IBP #3061986150)"/>
    <s v="Prepaid"/>
    <m/>
    <s v="IT-SFT1010-86-OG-US"/>
    <m/>
    <s v="9501147739"/>
    <m/>
    <s v="SAP SaaS"/>
    <s v="5/7 CHW - Updated to reflect prepaid schedule"/>
    <m/>
    <n v="4356984"/>
    <n v="4356984"/>
    <n v="4356984"/>
    <n v="0"/>
    <m/>
    <n v="726165.35"/>
    <n v="363082.67"/>
    <n v="0"/>
    <n v="726164"/>
    <n v="363082"/>
    <n v="0"/>
    <n v="726164"/>
    <n v="363082"/>
    <n v="0"/>
    <n v="726164"/>
    <n v="363082"/>
    <n v="4356986.0199999996"/>
    <n v="2.0199999995529652"/>
    <m/>
    <m/>
    <n v="5.8207660913467407E-11"/>
    <m/>
    <n v="2.0199999995529652"/>
    <m/>
    <m/>
    <n v="726165.35"/>
    <n v="363082.67"/>
    <n v="0"/>
    <n v="726164"/>
    <n v="363082"/>
    <n v="0"/>
    <n v="726164"/>
    <n v="363082"/>
    <n v="0"/>
    <n v="726164"/>
    <n v="363082"/>
    <n v="4356986.0199999996"/>
    <m/>
    <n v="726165.35"/>
    <n v="363082.67"/>
    <n v="363082"/>
    <n v="363082"/>
    <n v="363082"/>
    <n v="363082"/>
    <n v="363082"/>
    <n v="363082"/>
    <n v="363082"/>
    <n v="363082"/>
    <n v="363082"/>
    <n v="4356986.0199999996"/>
  </r>
  <r>
    <s v="L-ERP-121"/>
    <s v="Dougherty, Chris_SOFTWARE_IT-SFT1012-86-OG-US"/>
    <s v="ERP"/>
    <x v="0"/>
    <s v="Dougherty, Chris"/>
    <s v="Maguire, Karla"/>
    <x v="0"/>
    <s v="Seal Systems"/>
    <m/>
    <m/>
    <s v="IT-SFT1012-86-OG-US"/>
    <m/>
    <m/>
    <m/>
    <s v="Seal"/>
    <m/>
    <m/>
    <n v="5012"/>
    <n v="5012"/>
    <n v="5012"/>
    <n v="0"/>
    <m/>
    <m/>
    <m/>
    <m/>
    <m/>
    <m/>
    <n v="0"/>
    <n v="0"/>
    <n v="0"/>
    <n v="0"/>
    <n v="2512"/>
    <n v="0"/>
    <n v="2512"/>
    <n v="-2500"/>
    <m/>
    <m/>
    <n v="0"/>
    <m/>
    <n v="-2500"/>
    <m/>
    <m/>
    <m/>
    <m/>
    <m/>
    <m/>
    <m/>
    <n v="0"/>
    <n v="0"/>
    <n v="0"/>
    <n v="0"/>
    <n v="2512"/>
    <n v="0"/>
    <n v="2512"/>
    <m/>
    <m/>
    <m/>
    <m/>
    <m/>
    <n v="2500"/>
    <n v="0"/>
    <n v="0"/>
    <n v="0"/>
    <n v="0"/>
    <n v="2512"/>
    <n v="0"/>
    <n v="5012"/>
  </r>
  <r>
    <s v="N-ERP-610"/>
    <s v="Patel, Nikunj Rohitkumar_SOFTWARE_IT-SFT1023-86-OG-US"/>
    <s v="ERP-N"/>
    <x v="0"/>
    <s v="Patel, Nikunj Rohitkumar"/>
    <s v="Maguire, Karla"/>
    <x v="0"/>
    <s v="Markov (Mainteannce Renewal) (Pullforward Debit)"/>
    <m/>
    <m/>
    <s v="IT-SFT1023-86-OG-US"/>
    <m/>
    <m/>
    <s v="Yes"/>
    <s v="Markov; 2026 Pullforward"/>
    <s v="4/28/26 CHW New add to tie-out 0223 to 0317 Planful Extracts"/>
    <m/>
    <n v="56404"/>
    <n v="56404"/>
    <n v="56404"/>
    <n v="0"/>
    <m/>
    <m/>
    <m/>
    <n v="0"/>
    <n v="0"/>
    <n v="0"/>
    <n v="0"/>
    <n v="0"/>
    <n v="0"/>
    <n v="0"/>
    <n v="0"/>
    <n v="0"/>
    <n v="0"/>
    <n v="-56404"/>
    <m/>
    <m/>
    <n v="0"/>
    <m/>
    <n v="-56404"/>
    <m/>
    <m/>
    <m/>
    <m/>
    <n v="0"/>
    <n v="0"/>
    <n v="0"/>
    <n v="0"/>
    <n v="0"/>
    <n v="0"/>
    <n v="0"/>
    <n v="0"/>
    <n v="0"/>
    <n v="0"/>
    <n v="56404"/>
    <n v="0"/>
    <n v="0"/>
    <n v="0"/>
    <n v="0"/>
    <n v="0"/>
    <n v="0"/>
    <n v="0"/>
    <n v="0"/>
    <n v="0"/>
    <n v="0"/>
    <n v="0"/>
    <n v="56404"/>
  </r>
  <r>
    <s v="N-ERP-611"/>
    <s v="Patel, Nikunj Rohitkumar_SOFTWARE_IT-SFT1023-86-OG-US/PF"/>
    <s v="ERP-N"/>
    <x v="0"/>
    <s v="Patel, Nikunj Rohitkumar"/>
    <s v="Maguire, Karla"/>
    <x v="0"/>
    <s v="Markov (Mainteannce Renewal) (Pullforward Credit)"/>
    <m/>
    <m/>
    <s v="IT-SFT1023-86-OG-US/PF"/>
    <m/>
    <m/>
    <s v="Yes"/>
    <s v="Markov; 2026 Pullforward"/>
    <s v="4/28/26 CHW New add to tie-out 0223 to 0317 Planful Extracts"/>
    <m/>
    <n v="-56404"/>
    <n v="-56404"/>
    <n v="-56404"/>
    <n v="0"/>
    <m/>
    <m/>
    <m/>
    <n v="0"/>
    <n v="0"/>
    <n v="0"/>
    <n v="0"/>
    <n v="0"/>
    <n v="0"/>
    <n v="0"/>
    <n v="0"/>
    <n v="0"/>
    <n v="0"/>
    <n v="56404"/>
    <m/>
    <m/>
    <n v="0"/>
    <m/>
    <n v="56404"/>
    <m/>
    <m/>
    <m/>
    <m/>
    <n v="0"/>
    <n v="0"/>
    <n v="0"/>
    <n v="0"/>
    <n v="0"/>
    <n v="0"/>
    <n v="0"/>
    <n v="0"/>
    <n v="0"/>
    <n v="0"/>
    <n v="-56404"/>
    <n v="0"/>
    <n v="0"/>
    <n v="0"/>
    <n v="0"/>
    <n v="0"/>
    <n v="0"/>
    <n v="0"/>
    <n v="0"/>
    <n v="0"/>
    <n v="0"/>
    <n v="0"/>
    <n v="-56404"/>
  </r>
  <r>
    <s v="N-ERP-574"/>
    <s v="Hovanyetz, Mike_SOFTWARE_IT-SFT1040-02-OG-US"/>
    <s v="ERP-N"/>
    <x v="1"/>
    <s v="Hovanyetz, Mike"/>
    <s v="DeHart, Lynn"/>
    <x v="0"/>
    <s v="ERP Ancillary Software Maintenance - GTS Denied Party Screening"/>
    <m/>
    <m/>
    <s v="IT-SFT1040-02-OG-US"/>
    <m/>
    <m/>
    <s v="Yes"/>
    <s v="2026 Pullforward"/>
    <s v="4/28/26 CHW New add to tie-out 0223 to 0317 Planful Extracts"/>
    <m/>
    <n v="26967.21"/>
    <n v="26967.21"/>
    <n v="26967.21"/>
    <n v="0"/>
    <m/>
    <m/>
    <m/>
    <n v="0"/>
    <n v="0"/>
    <n v="0"/>
    <n v="0"/>
    <n v="0"/>
    <n v="0"/>
    <n v="0"/>
    <n v="0"/>
    <n v="0"/>
    <n v="0"/>
    <n v="-26967.21"/>
    <m/>
    <m/>
    <n v="0"/>
    <m/>
    <n v="-26967.21"/>
    <m/>
    <m/>
    <m/>
    <m/>
    <n v="0"/>
    <n v="0"/>
    <n v="0"/>
    <n v="0"/>
    <n v="0"/>
    <n v="0"/>
    <n v="0"/>
    <n v="0"/>
    <n v="0"/>
    <n v="0"/>
    <n v="26967.21"/>
    <n v="0"/>
    <n v="0"/>
    <n v="0"/>
    <n v="0"/>
    <n v="0"/>
    <n v="0"/>
    <n v="0"/>
    <n v="0"/>
    <n v="0"/>
    <n v="0"/>
    <n v="0"/>
    <n v="26967.21"/>
  </r>
  <r>
    <s v="N-ERP-575"/>
    <s v="Hovanyetz, Mike_SOFTWARE_IT-SFT1040-02-OG-US/PF"/>
    <s v="ERP-N"/>
    <x v="1"/>
    <s v="Hovanyetz, Mike"/>
    <s v="DeHart, Lynn"/>
    <x v="0"/>
    <s v="ERP Ancillary Software Maintenance - GTS Denied Party Screening (Pullforward Credit)"/>
    <m/>
    <m/>
    <s v="IT-SFT1040-02-OG-US/PF"/>
    <m/>
    <m/>
    <s v="Yes"/>
    <s v="2026 Pullforward"/>
    <s v="4/28/26 CHW New add to tie-out 0223 to 0317 Planful Extracts"/>
    <m/>
    <n v="-26967.21"/>
    <n v="-26967.21"/>
    <n v="-26967.21"/>
    <n v="0"/>
    <m/>
    <m/>
    <m/>
    <n v="0"/>
    <n v="0"/>
    <n v="0"/>
    <n v="0"/>
    <n v="0"/>
    <n v="0"/>
    <n v="0"/>
    <n v="0"/>
    <n v="0"/>
    <n v="0"/>
    <n v="26967.21"/>
    <m/>
    <m/>
    <n v="0"/>
    <m/>
    <n v="26967.21"/>
    <m/>
    <m/>
    <m/>
    <m/>
    <n v="0"/>
    <n v="0"/>
    <n v="0"/>
    <n v="0"/>
    <n v="0"/>
    <n v="0"/>
    <n v="0"/>
    <n v="0"/>
    <n v="0"/>
    <n v="0"/>
    <n v="-26967.21"/>
    <n v="0"/>
    <n v="0"/>
    <n v="0"/>
    <n v="0"/>
    <n v="0"/>
    <n v="0"/>
    <n v="0"/>
    <n v="0"/>
    <n v="0"/>
    <n v="0"/>
    <n v="0"/>
    <n v="-26967.21"/>
  </r>
  <r>
    <s v="L-ERP-163"/>
    <s v="Ganesan, Srinivasan_SOFTWARE_IT-SFT1042-02-OG-US"/>
    <s v="ERP"/>
    <x v="1"/>
    <s v="Ganesan, Srinivasan"/>
    <s v="DeHart, Lynn"/>
    <x v="0"/>
    <s v="GLNS Visual Compliance"/>
    <m/>
    <m/>
    <s v="IT-SFT1042-02-OG-US"/>
    <m/>
    <m/>
    <m/>
    <s v="None"/>
    <m/>
    <m/>
    <n v="5000"/>
    <n v="5000"/>
    <n v="5000"/>
    <n v="0"/>
    <m/>
    <m/>
    <m/>
    <m/>
    <m/>
    <m/>
    <m/>
    <m/>
    <m/>
    <m/>
    <m/>
    <n v="5000"/>
    <n v="5000"/>
    <n v="0"/>
    <m/>
    <m/>
    <n v="0"/>
    <m/>
    <n v="0"/>
    <s v="Visual Compliance"/>
    <m/>
    <m/>
    <m/>
    <m/>
    <m/>
    <m/>
    <m/>
    <m/>
    <m/>
    <m/>
    <m/>
    <n v="5000"/>
    <n v="5000"/>
    <m/>
    <m/>
    <m/>
    <m/>
    <m/>
    <m/>
    <m/>
    <m/>
    <m/>
    <m/>
    <m/>
    <n v="5000"/>
    <n v="5000"/>
  </r>
  <r>
    <s v="L-ERP-321"/>
    <s v="Maguire, Karla_SOFTWARE_IT-SFT1119-86-OG-US"/>
    <s v="ERP"/>
    <x v="0"/>
    <s v="Maguire, Karla"/>
    <s v="Maguire, Karla"/>
    <x v="0"/>
    <s v="Visio O365 Licenses"/>
    <m/>
    <m/>
    <s v="IT-SFT1119-86-OG-US"/>
    <m/>
    <m/>
    <m/>
    <s v="M365 / O365"/>
    <m/>
    <m/>
    <n v="1200"/>
    <n v="1200"/>
    <n v="1200"/>
    <n v="0"/>
    <m/>
    <m/>
    <m/>
    <m/>
    <m/>
    <m/>
    <n v="600"/>
    <n v="0"/>
    <n v="0"/>
    <n v="0"/>
    <n v="0"/>
    <n v="0"/>
    <n v="600"/>
    <n v="-600"/>
    <m/>
    <m/>
    <n v="0"/>
    <m/>
    <n v="-600"/>
    <m/>
    <m/>
    <m/>
    <m/>
    <m/>
    <m/>
    <m/>
    <n v="600"/>
    <n v="0"/>
    <n v="0"/>
    <n v="0"/>
    <n v="0"/>
    <n v="0"/>
    <n v="600"/>
    <m/>
    <m/>
    <m/>
    <m/>
    <m/>
    <m/>
    <n v="600"/>
    <n v="0"/>
    <n v="0"/>
    <n v="0"/>
    <n v="0"/>
    <n v="0"/>
    <n v="600"/>
  </r>
  <r>
    <s v="L-ERP-322"/>
    <s v="Maguire, Karla_SOFTWARE_IT-SFT1121-86-OG-US"/>
    <s v="ERP"/>
    <x v="0"/>
    <s v="Maguire, Karla"/>
    <s v="Maguire, Karla"/>
    <x v="0"/>
    <s v="Project O365 Licenses"/>
    <m/>
    <m/>
    <s v="IT-SFT1121-86-OG-US"/>
    <m/>
    <m/>
    <m/>
    <s v="M365 / O365"/>
    <m/>
    <m/>
    <n v="600"/>
    <n v="600"/>
    <n v="600"/>
    <n v="0"/>
    <m/>
    <m/>
    <m/>
    <m/>
    <m/>
    <m/>
    <m/>
    <m/>
    <m/>
    <m/>
    <m/>
    <n v="600"/>
    <n v="600"/>
    <n v="0"/>
    <m/>
    <m/>
    <n v="0"/>
    <m/>
    <n v="0"/>
    <m/>
    <m/>
    <m/>
    <m/>
    <m/>
    <m/>
    <m/>
    <m/>
    <m/>
    <m/>
    <m/>
    <m/>
    <n v="600"/>
    <n v="600"/>
    <m/>
    <m/>
    <m/>
    <m/>
    <m/>
    <m/>
    <m/>
    <m/>
    <m/>
    <m/>
    <m/>
    <n v="600"/>
    <n v="600"/>
  </r>
  <r>
    <s v="L-ERP-140"/>
    <s v="Ganesan, Srinivasan_SOFTWARE_IT-SFT1126-86-OG-US"/>
    <s v="ERP"/>
    <x v="1"/>
    <s v="Ganesan, Srinivasan"/>
    <s v="DeHart, Lynn"/>
    <x v="0"/>
    <s v="Mulesoft - License Maintenance_XFR0926"/>
    <m/>
    <m/>
    <s v="IT-SFT1126-86-OG-US"/>
    <m/>
    <m/>
    <m/>
    <s v="MuleSoft"/>
    <m/>
    <m/>
    <n v="25000"/>
    <n v="25000"/>
    <n v="25000"/>
    <n v="0"/>
    <m/>
    <m/>
    <m/>
    <m/>
    <m/>
    <m/>
    <m/>
    <n v="25000"/>
    <n v="0"/>
    <n v="0"/>
    <n v="0"/>
    <n v="0"/>
    <n v="25000"/>
    <n v="0"/>
    <m/>
    <m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569"/>
    <s v="Yeluri, Durga_SOFTWARE_IT-SFT1139-86-OG-US"/>
    <s v="ERP"/>
    <x v="1"/>
    <s v="Yeluri, Durga"/>
    <s v="DeHart, Lynn"/>
    <x v="0"/>
    <s v="Celonis Monthly Fee for IBC access + Action Engine Licenses"/>
    <m/>
    <m/>
    <s v="IT-SFT1139-86-OG-US"/>
    <m/>
    <m/>
    <m/>
    <s v="Celonis"/>
    <s v="5/4 CHW adjusted prepaid schedule"/>
    <m/>
    <n v="7299999.96"/>
    <n v="7299999.96"/>
    <n v="7299999.96"/>
    <n v="0"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n v="0"/>
    <m/>
    <m/>
    <n v="-1.1641532182693481E-10"/>
    <m/>
    <n v="0"/>
    <m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m/>
    <n v="1216666.6599999999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7299999.96"/>
  </r>
  <r>
    <s v="N-ERP-608"/>
    <s v="Meadows, Leslie_SOFTWARE_IT-SFT1147-86-OG-US"/>
    <s v="ERP-N"/>
    <x v="0"/>
    <s v="Meadows, Leslie"/>
    <s v="Maguire, Karla"/>
    <x v="0"/>
    <s v="Tricentis Tosca, Connect &amp; Execution Licenses (Pullforward Debit)"/>
    <m/>
    <m/>
    <s v="IT-SFT1147-86-OG-US"/>
    <m/>
    <m/>
    <s v="Yes"/>
    <s v="SAP Tosca Automation"/>
    <s v="5/13/26 CHW - For review as not sure this hit in 2025"/>
    <m/>
    <n v="120000"/>
    <n v="120000"/>
    <n v="120000"/>
    <n v="0"/>
    <m/>
    <m/>
    <m/>
    <n v="0"/>
    <n v="0"/>
    <n v="0"/>
    <n v="0"/>
    <n v="0"/>
    <n v="0"/>
    <n v="0"/>
    <n v="0"/>
    <n v="0"/>
    <n v="0"/>
    <n v="-120000"/>
    <m/>
    <m/>
    <n v="0"/>
    <m/>
    <n v="-120000"/>
    <m/>
    <m/>
    <m/>
    <m/>
    <n v="0"/>
    <n v="0"/>
    <n v="0"/>
    <n v="0"/>
    <n v="0"/>
    <n v="0"/>
    <n v="0"/>
    <n v="0"/>
    <n v="0"/>
    <n v="0"/>
    <n v="120000"/>
    <n v="0"/>
    <n v="0"/>
    <n v="0"/>
    <n v="0"/>
    <n v="0"/>
    <n v="0"/>
    <n v="0"/>
    <n v="0"/>
    <n v="0"/>
    <n v="0"/>
    <n v="0"/>
    <n v="120000"/>
  </r>
  <r>
    <s v="N-ERP-609"/>
    <s v="Meadows, Leslie_SOFTWARE_IT-SFT1147-86-OG-US/PF"/>
    <s v="ERP-N"/>
    <x v="0"/>
    <s v="Meadows, Leslie"/>
    <s v="Maguire, Karla"/>
    <x v="0"/>
    <s v="Tricentis Tosca, Connect &amp; Execution Licenses (Pullforward Credit)"/>
    <m/>
    <m/>
    <s v="IT-SFT1147-86-OG-US/PF"/>
    <m/>
    <m/>
    <s v="Yes"/>
    <s v="SAP Tosca Automation"/>
    <s v="5/13/26 CHW - For review as not sure this hit in 2025"/>
    <m/>
    <n v="-120000"/>
    <n v="-120000"/>
    <n v="-120000"/>
    <n v="0"/>
    <m/>
    <m/>
    <m/>
    <n v="0"/>
    <n v="0"/>
    <n v="0"/>
    <n v="0"/>
    <n v="0"/>
    <n v="0"/>
    <n v="0"/>
    <n v="0"/>
    <n v="0"/>
    <n v="0"/>
    <n v="120000"/>
    <m/>
    <m/>
    <n v="0"/>
    <m/>
    <n v="120000"/>
    <m/>
    <m/>
    <m/>
    <m/>
    <n v="0"/>
    <n v="0"/>
    <n v="0"/>
    <n v="0"/>
    <n v="0"/>
    <n v="0"/>
    <n v="0"/>
    <n v="0"/>
    <n v="0"/>
    <n v="0"/>
    <n v="-120000"/>
    <n v="0"/>
    <n v="0"/>
    <n v="0"/>
    <n v="0"/>
    <n v="0"/>
    <n v="0"/>
    <n v="0"/>
    <n v="0"/>
    <n v="0"/>
    <n v="0"/>
    <n v="0"/>
    <n v="-120000"/>
  </r>
  <r>
    <s v="N-ERP-592"/>
    <s v="McCormick, Pete_SOFTWARE_IT-SFT1172-86-OG-US"/>
    <s v="ERP-N"/>
    <x v="0"/>
    <s v="McCormick, Pete"/>
    <s v="Maguire, Karla"/>
    <x v="0"/>
    <s v="Radio Frequency device licenses at plants - 42Gears - SureMDM Suite license (Pullforward Debit)"/>
    <m/>
    <m/>
    <s v="IT-SFT1172-86-OG-US"/>
    <m/>
    <m/>
    <s v="Yes"/>
    <s v="Radio Freq devices; 2026 Budget Transfer; 2026 Pullforward"/>
    <s v="4/28/26 CHW New add to tie-out 0223 to 0317 Planful Extracts"/>
    <m/>
    <n v="99064.42"/>
    <n v="99064.42"/>
    <n v="99064.42"/>
    <n v="0"/>
    <m/>
    <m/>
    <m/>
    <n v="0"/>
    <n v="0"/>
    <n v="0"/>
    <n v="0"/>
    <n v="0"/>
    <n v="0"/>
    <n v="0"/>
    <n v="0"/>
    <n v="0"/>
    <n v="0"/>
    <n v="-99064.42"/>
    <m/>
    <m/>
    <n v="0"/>
    <m/>
    <n v="-99064.42"/>
    <m/>
    <m/>
    <m/>
    <m/>
    <n v="0"/>
    <n v="0"/>
    <n v="0"/>
    <n v="0"/>
    <n v="0"/>
    <n v="0"/>
    <n v="0"/>
    <n v="0"/>
    <n v="0"/>
    <n v="0"/>
    <n v="99064.42"/>
    <n v="0"/>
    <n v="0"/>
    <n v="0"/>
    <n v="0"/>
    <n v="0"/>
    <n v="0"/>
    <n v="0"/>
    <n v="0"/>
    <n v="0"/>
    <n v="0"/>
    <n v="0"/>
    <n v="99064.42"/>
  </r>
  <r>
    <s v="N-ERP-593"/>
    <s v="McCormick, Pete_SOFTWARE_IT-SFT1172-86-OG-US/PF"/>
    <s v="ERP-N"/>
    <x v="0"/>
    <s v="McCormick, Pete"/>
    <s v="Maguire, Karla"/>
    <x v="0"/>
    <s v="Radio Frequency device licenses at plants - 42Gears - SureMDM Suite license (Pullforward Credit)"/>
    <m/>
    <m/>
    <s v="IT-SFT1172-86-OG-US/PF"/>
    <m/>
    <m/>
    <s v="Yes"/>
    <s v="Radio Freq devices; 2026 Budget Transfer; 2026 Pullforward"/>
    <s v="4/28/26 CHW New add to tie-out 0223 to 0317 Planful Extracts"/>
    <m/>
    <n v="-99064.42"/>
    <n v="-99064.42"/>
    <n v="-99064.42"/>
    <n v="0"/>
    <m/>
    <m/>
    <m/>
    <n v="0"/>
    <n v="0"/>
    <n v="0"/>
    <n v="0"/>
    <n v="0"/>
    <n v="0"/>
    <n v="0"/>
    <n v="0"/>
    <n v="0"/>
    <n v="0"/>
    <n v="99064.42"/>
    <m/>
    <m/>
    <n v="0"/>
    <m/>
    <n v="99064.42"/>
    <m/>
    <m/>
    <m/>
    <m/>
    <n v="0"/>
    <n v="0"/>
    <n v="0"/>
    <n v="0"/>
    <n v="0"/>
    <n v="0"/>
    <n v="0"/>
    <n v="0"/>
    <n v="0"/>
    <n v="0"/>
    <n v="-99064.42"/>
    <n v="0"/>
    <n v="0"/>
    <n v="0"/>
    <n v="0"/>
    <n v="0"/>
    <n v="0"/>
    <n v="0"/>
    <n v="0"/>
    <n v="0"/>
    <n v="0"/>
    <n v="0"/>
    <n v="-99064.42"/>
  </r>
  <r>
    <s v="L-ERP-120"/>
    <s v="Dougherty, Chris_SOFTWARE_IT-SFT1185-86-OG-US"/>
    <s v="ERP"/>
    <x v="0"/>
    <s v="Dougherty, Chris"/>
    <s v="Maguire, Karla"/>
    <x v="0"/>
    <s v="Serialization - SAP ICH License- Software subscription (SaaS) - (Contract #3061804516)"/>
    <s v="Prepaid"/>
    <m/>
    <s v="IT-SFT1185-86-OG-US"/>
    <m/>
    <s v="9501102909"/>
    <m/>
    <s v="SAP SaaS; 2026 Budget Transfer"/>
    <s v="5/7 CHW - Adj to match prepaid schedule which run 10/1/2025 to 9/30/2026; 3% increase added to renewal"/>
    <m/>
    <n v="1136537.76"/>
    <n v="1136537.76"/>
    <n v="1136537.76"/>
    <n v="0"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-36497.989999999991"/>
    <m/>
    <m/>
    <n v="4.3655745685100555E-11"/>
    <m/>
    <n v="-36497.989999999991"/>
    <m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818279"/>
    <n v="-636439.42000000004"/>
    <n v="90919.92"/>
    <n v="90919.92"/>
    <n v="90919.92"/>
    <n v="90919.92"/>
    <n v="90919.92"/>
    <n v="90919.92"/>
    <n v="90919.92"/>
    <n v="106085.92"/>
    <n v="106085.92"/>
    <n v="106085.92"/>
    <n v="1136536.78"/>
  </r>
  <r>
    <s v="L-ERP-053"/>
    <s v="Dougherty, Chris_SOFTWARE_IT-SFT1185-86-OG-US/01"/>
    <s v="ERP"/>
    <x v="0"/>
    <s v="Dougherty, Chris"/>
    <s v="Maguire, Karla"/>
    <x v="0"/>
    <s v="SAP ICH incremental cost for GLN/Non-GLN portal- Additional Licenses (Contract#3062358011)"/>
    <m/>
    <m/>
    <s v="IT-SFT1185-86-OG-US/01"/>
    <m/>
    <m/>
    <m/>
    <s v="2024 Transfer"/>
    <s v="5/7 CHW - Add 3% renewal"/>
    <m/>
    <n v="287700"/>
    <n v="287700"/>
    <n v="287700"/>
    <n v="0"/>
    <m/>
    <m/>
    <m/>
    <m/>
    <m/>
    <m/>
    <m/>
    <m/>
    <m/>
    <n v="297194"/>
    <n v="0"/>
    <n v="0"/>
    <n v="297194"/>
    <n v="9494"/>
    <m/>
    <m/>
    <n v="0"/>
    <m/>
    <n v="9494"/>
    <m/>
    <m/>
    <m/>
    <m/>
    <m/>
    <m/>
    <m/>
    <m/>
    <m/>
    <m/>
    <n v="297194"/>
    <n v="0"/>
    <n v="0"/>
    <n v="297194"/>
    <m/>
    <m/>
    <m/>
    <m/>
    <m/>
    <m/>
    <m/>
    <m/>
    <m/>
    <n v="287700"/>
    <n v="0"/>
    <n v="0"/>
    <n v="287700"/>
  </r>
  <r>
    <s v="L-ERP-110"/>
    <s v="Dougherty, Chris_SOFTWARE_IT-SFT1186-86-OG-US"/>
    <s v="ERP"/>
    <x v="0"/>
    <s v="Dougherty, Chris"/>
    <s v="Maguire, Karla"/>
    <x v="0"/>
    <s v="SAP on Premise Software Maintenance - JDNet Connector"/>
    <m/>
    <m/>
    <s v="IT-SFT1186-86-OG-US"/>
    <m/>
    <m/>
    <m/>
    <s v="SAP"/>
    <m/>
    <m/>
    <n v="58000"/>
    <n v="58000"/>
    <n v="58000"/>
    <n v="0"/>
    <m/>
    <m/>
    <m/>
    <m/>
    <m/>
    <m/>
    <m/>
    <m/>
    <n v="22000"/>
    <n v="0"/>
    <n v="36000"/>
    <n v="0"/>
    <n v="58000"/>
    <n v="0"/>
    <m/>
    <m/>
    <n v="0"/>
    <m/>
    <n v="0"/>
    <m/>
    <m/>
    <m/>
    <m/>
    <m/>
    <m/>
    <m/>
    <m/>
    <m/>
    <n v="22000"/>
    <n v="0"/>
    <n v="36000"/>
    <n v="0"/>
    <n v="58000"/>
    <m/>
    <m/>
    <m/>
    <m/>
    <m/>
    <m/>
    <m/>
    <m/>
    <n v="22000"/>
    <n v="0"/>
    <n v="36000"/>
    <n v="0"/>
    <n v="58000"/>
  </r>
  <r>
    <s v="L-ERP-068"/>
    <s v="Dougherty, Chris_SOFTWARE_IT-SFT1194-86-OG-US"/>
    <s v="ERP"/>
    <x v="0"/>
    <s v="Dougherty, Chris"/>
    <s v="Maguire, Karla"/>
    <x v="0"/>
    <s v="DevSecOps"/>
    <m/>
    <m/>
    <s v="IT-SFT1194-86-OG-US"/>
    <m/>
    <m/>
    <m/>
    <s v="DevSecOps"/>
    <m/>
    <m/>
    <n v="124504"/>
    <n v="124504"/>
    <n v="124504"/>
    <n v="0"/>
    <m/>
    <m/>
    <n v="61919.48"/>
    <n v="0"/>
    <n v="0"/>
    <n v="40000"/>
    <n v="0"/>
    <n v="0"/>
    <n v="40000"/>
    <n v="0"/>
    <n v="4504"/>
    <n v="0"/>
    <n v="146423.48000000001"/>
    <n v="21919.48000000001"/>
    <m/>
    <m/>
    <n v="0"/>
    <m/>
    <n v="21919.48000000001"/>
    <m/>
    <m/>
    <m/>
    <n v="61919.48"/>
    <n v="0"/>
    <n v="0"/>
    <n v="40000"/>
    <n v="0"/>
    <n v="0"/>
    <n v="40000"/>
    <n v="0"/>
    <n v="4504"/>
    <n v="0"/>
    <n v="146423.48000000001"/>
    <m/>
    <m/>
    <n v="61919.48"/>
    <n v="0"/>
    <n v="0"/>
    <n v="40000"/>
    <n v="0"/>
    <n v="0"/>
    <n v="40000"/>
    <n v="0"/>
    <n v="4504"/>
    <n v="0"/>
    <n v="146423.48000000001"/>
  </r>
  <r>
    <s v="L-ERP-314"/>
    <s v="Maguire, Karla_SOFTWARE_IT-SFT1194-86-OG-US"/>
    <s v="ERP"/>
    <x v="0"/>
    <s v="Maguire, Karla"/>
    <s v="Maguire, Karla"/>
    <x v="0"/>
    <s v="DevSecOps"/>
    <m/>
    <m/>
    <s v="IT-SFT1194-86-OG-US"/>
    <m/>
    <m/>
    <m/>
    <s v="DevSecOps"/>
    <m/>
    <m/>
    <n v="50000"/>
    <n v="50000"/>
    <n v="50000"/>
    <n v="0"/>
    <m/>
    <m/>
    <n v="1165"/>
    <n v="0"/>
    <n v="0"/>
    <n v="12500"/>
    <n v="0"/>
    <n v="0"/>
    <n v="12500"/>
    <n v="0"/>
    <n v="12500"/>
    <n v="0"/>
    <n v="38665"/>
    <n v="-11335"/>
    <m/>
    <m/>
    <n v="0"/>
    <m/>
    <n v="-11335"/>
    <m/>
    <m/>
    <m/>
    <n v="1165"/>
    <n v="0"/>
    <n v="0"/>
    <n v="12500"/>
    <n v="0"/>
    <n v="0"/>
    <n v="12500"/>
    <n v="0"/>
    <n v="12500"/>
    <n v="0"/>
    <n v="38665"/>
    <m/>
    <m/>
    <n v="1165"/>
    <n v="0"/>
    <n v="0"/>
    <n v="12500"/>
    <n v="0"/>
    <n v="0"/>
    <n v="12500"/>
    <n v="0"/>
    <n v="12500"/>
    <n v="0"/>
    <n v="38665"/>
  </r>
  <r>
    <s v="L-ERP-357"/>
    <s v="McCormick, Pete_SOFTWARE_IT-SFT1194-86-OG-US"/>
    <s v="ERP"/>
    <x v="0"/>
    <s v="McCormick, Pete"/>
    <s v="Maguire, Karla"/>
    <x v="0"/>
    <s v="DevSecOps"/>
    <m/>
    <m/>
    <s v="IT-SFT1194-86-OG-US"/>
    <m/>
    <m/>
    <m/>
    <s v="DevSecOps"/>
    <m/>
    <m/>
    <n v="3000"/>
    <n v="3000"/>
    <n v="3000"/>
    <n v="0"/>
    <m/>
    <m/>
    <n v="410.21"/>
    <n v="2600"/>
    <n v="0"/>
    <n v="0"/>
    <n v="0"/>
    <n v="0"/>
    <n v="0"/>
    <n v="0"/>
    <n v="0"/>
    <n v="0"/>
    <n v="3010.21"/>
    <n v="10.210000000000036"/>
    <m/>
    <m/>
    <n v="0"/>
    <m/>
    <n v="10.210000000000036"/>
    <m/>
    <m/>
    <m/>
    <n v="410.21"/>
    <n v="2600"/>
    <n v="0"/>
    <n v="0"/>
    <n v="0"/>
    <n v="0"/>
    <n v="0"/>
    <n v="0"/>
    <n v="0"/>
    <n v="0"/>
    <n v="3010.21"/>
    <m/>
    <m/>
    <n v="410.21"/>
    <n v="3000"/>
    <n v="0"/>
    <n v="0"/>
    <n v="0"/>
    <n v="0"/>
    <n v="0"/>
    <n v="0"/>
    <n v="0"/>
    <n v="0"/>
    <n v="3410.21"/>
  </r>
  <r>
    <s v="L-ERP-436"/>
    <s v="Meadows, Leslie_SOFTWARE_IT-SFT1194-86-OG-US"/>
    <s v="ERP"/>
    <x v="0"/>
    <s v="Meadows, Leslie"/>
    <s v="Maguire, Karla"/>
    <x v="0"/>
    <s v="DevSecOps"/>
    <m/>
    <m/>
    <s v="IT-SFT1194-86-OG-US"/>
    <m/>
    <m/>
    <m/>
    <s v="DevSecOps"/>
    <m/>
    <m/>
    <n v="2800"/>
    <n v="2800"/>
    <n v="2800"/>
    <n v="0"/>
    <m/>
    <m/>
    <n v="3116.74"/>
    <n v="0"/>
    <n v="0"/>
    <n v="2726"/>
    <n v="0"/>
    <n v="0"/>
    <n v="2726"/>
    <n v="0"/>
    <n v="2726"/>
    <n v="0"/>
    <n v="11294.74"/>
    <n v="8494.74"/>
    <m/>
    <m/>
    <n v="0"/>
    <m/>
    <n v="8494.74"/>
    <m/>
    <m/>
    <m/>
    <n v="3116.74"/>
    <n v="0"/>
    <n v="0"/>
    <n v="2726"/>
    <n v="0"/>
    <n v="0"/>
    <n v="2726"/>
    <n v="0"/>
    <n v="2726"/>
    <n v="0"/>
    <n v="11294.74"/>
    <m/>
    <m/>
    <n v="3116.74"/>
    <n v="0"/>
    <n v="0"/>
    <n v="700"/>
    <n v="0"/>
    <n v="0"/>
    <n v="700"/>
    <n v="0"/>
    <n v="700"/>
    <n v="0"/>
    <n v="5216.74"/>
  </r>
  <r>
    <s v="L-ERP-471"/>
    <s v="Patel, Nikunj Rohitkumar_SOFTWARE_IT-SFT1194-86-OG-US"/>
    <s v="ERP"/>
    <x v="0"/>
    <s v="Patel, Nikunj Rohitkumar"/>
    <s v="Maguire, Karla"/>
    <x v="0"/>
    <s v="DevSecOps"/>
    <m/>
    <m/>
    <s v="IT-SFT1194-86-OG-US"/>
    <m/>
    <m/>
    <m/>
    <s v="DevSecOps"/>
    <m/>
    <m/>
    <n v="800"/>
    <n v="800"/>
    <n v="800"/>
    <n v="0"/>
    <m/>
    <m/>
    <n v="3547.87"/>
    <n v="0"/>
    <n v="0"/>
    <n v="200"/>
    <n v="0"/>
    <n v="0"/>
    <n v="200"/>
    <n v="0"/>
    <n v="200"/>
    <n v="0"/>
    <n v="4147.87"/>
    <n v="3347.87"/>
    <m/>
    <m/>
    <n v="0"/>
    <m/>
    <n v="3347.87"/>
    <m/>
    <m/>
    <m/>
    <n v="3547.87"/>
    <n v="0"/>
    <n v="0"/>
    <n v="200"/>
    <n v="0"/>
    <n v="0"/>
    <n v="200"/>
    <n v="0"/>
    <n v="200"/>
    <n v="0"/>
    <n v="4147.87"/>
    <m/>
    <m/>
    <n v="3547.87"/>
    <n v="0"/>
    <n v="0"/>
    <n v="200"/>
    <n v="0"/>
    <n v="0"/>
    <n v="200"/>
    <n v="0"/>
    <n v="200"/>
    <n v="0"/>
    <n v="4147.87"/>
  </r>
  <r>
    <s v="L-ERP-515"/>
    <s v="Tamavada, Ram_SOFTWARE_IT-SFT1194-86-OG-US"/>
    <s v="ERP"/>
    <x v="0"/>
    <s v="Tamavada, Ram"/>
    <s v="Maguire, Karla"/>
    <x v="0"/>
    <s v="DevSecOps"/>
    <m/>
    <m/>
    <s v="IT-SFT1194-86-OG-US"/>
    <m/>
    <m/>
    <m/>
    <s v="DevSecOps"/>
    <m/>
    <m/>
    <n v="12119.24"/>
    <n v="12119.24"/>
    <n v="12119.24"/>
    <n v="0"/>
    <m/>
    <m/>
    <n v="12141.44"/>
    <n v="0"/>
    <n v="0"/>
    <n v="3029.81"/>
    <n v="0"/>
    <n v="0"/>
    <n v="3029.81"/>
    <n v="0"/>
    <n v="3029.81"/>
    <n v="0"/>
    <n v="21230.870000000003"/>
    <n v="9111.6300000000028"/>
    <m/>
    <m/>
    <n v="0"/>
    <m/>
    <n v="9111.6300000000028"/>
    <m/>
    <m/>
    <m/>
    <n v="12141.44"/>
    <n v="0"/>
    <n v="0"/>
    <n v="3029.81"/>
    <n v="0"/>
    <n v="0"/>
    <n v="3029.81"/>
    <n v="0"/>
    <n v="3029.81"/>
    <n v="0"/>
    <n v="21230.870000000003"/>
    <m/>
    <m/>
    <n v="12141.44"/>
    <n v="0"/>
    <n v="0"/>
    <n v="3029.81"/>
    <n v="0"/>
    <n v="0"/>
    <n v="3029.81"/>
    <n v="0"/>
    <n v="3029.81"/>
    <n v="0"/>
    <n v="21230.870000000003"/>
  </r>
  <r>
    <s v="L-ERP-004"/>
    <s v="DeHart, Lynn_SOFTWARE_IT-SFT1194-86-OG-US"/>
    <s v="ERP"/>
    <x v="1"/>
    <s v="DeHart, Lynn"/>
    <s v="DeHart, Lynn"/>
    <x v="0"/>
    <s v="DevSecOps"/>
    <m/>
    <m/>
    <s v="IT-SFT1194-86-OG-US"/>
    <m/>
    <m/>
    <m/>
    <s v="DevSecOps"/>
    <m/>
    <m/>
    <n v="0"/>
    <n v="0"/>
    <n v="0"/>
    <n v="0"/>
    <m/>
    <m/>
    <n v="3886.48"/>
    <n v="0"/>
    <n v="0"/>
    <n v="0"/>
    <n v="0"/>
    <n v="0"/>
    <n v="0"/>
    <n v="0"/>
    <n v="0"/>
    <n v="0"/>
    <n v="3886.48"/>
    <n v="3886.48"/>
    <m/>
    <m/>
    <n v="0"/>
    <m/>
    <n v="3886.48"/>
    <m/>
    <m/>
    <m/>
    <n v="3886.48"/>
    <n v="0"/>
    <n v="0"/>
    <n v="0"/>
    <n v="0"/>
    <n v="0"/>
    <n v="0"/>
    <n v="0"/>
    <n v="0"/>
    <n v="0"/>
    <n v="3886.48"/>
    <m/>
    <m/>
    <n v="3886.48"/>
    <n v="0"/>
    <n v="0"/>
    <n v="0"/>
    <n v="0"/>
    <n v="0"/>
    <n v="0"/>
    <n v="0"/>
    <n v="0"/>
    <n v="0"/>
    <n v="3886.48"/>
  </r>
  <r>
    <s v="L-ERP-127"/>
    <s v="Ganesan, Srinivasan_SOFTWARE_IT-SFT1194-86-OG-US"/>
    <s v="ERP"/>
    <x v="1"/>
    <s v="Ganesan, Srinivasan"/>
    <s v="DeHart, Lynn"/>
    <x v="0"/>
    <s v="DevSecOps"/>
    <m/>
    <m/>
    <s v="IT-SFT1194-86-OG-US"/>
    <m/>
    <m/>
    <m/>
    <s v="DevSecOps"/>
    <m/>
    <m/>
    <n v="8000"/>
    <n v="8000"/>
    <n v="8000"/>
    <n v="0"/>
    <m/>
    <m/>
    <n v="10362.700000000001"/>
    <n v="0"/>
    <n v="0"/>
    <n v="2000"/>
    <n v="0"/>
    <n v="0"/>
    <n v="2000"/>
    <n v="0"/>
    <n v="2000"/>
    <n v="0"/>
    <n v="16362.7"/>
    <n v="8362.7000000000007"/>
    <m/>
    <m/>
    <n v="0"/>
    <m/>
    <n v="8362.7000000000007"/>
    <m/>
    <m/>
    <m/>
    <n v="10362.700000000001"/>
    <n v="0"/>
    <n v="0"/>
    <n v="2000"/>
    <n v="0"/>
    <n v="0"/>
    <n v="2000"/>
    <n v="0"/>
    <n v="2000"/>
    <n v="0"/>
    <n v="16362.7"/>
    <m/>
    <m/>
    <n v="10362.700000000001"/>
    <n v="0"/>
    <n v="0"/>
    <n v="2000"/>
    <n v="0"/>
    <n v="0"/>
    <n v="2000"/>
    <n v="0"/>
    <n v="2000"/>
    <n v="0"/>
    <n v="16362.7"/>
  </r>
  <r>
    <s v="L-ERP-182"/>
    <s v="Hase, Raj_SOFTWARE_IT-SFT1194-86-OG-US"/>
    <s v="ERP"/>
    <x v="1"/>
    <s v="Hase, Raj"/>
    <s v="DeHart, Lynn"/>
    <x v="0"/>
    <s v="DevSecOps"/>
    <m/>
    <m/>
    <s v="IT-SFT1194-86-OG-US"/>
    <m/>
    <m/>
    <m/>
    <s v="DevSecOps"/>
    <m/>
    <m/>
    <n v="13200"/>
    <n v="13200"/>
    <n v="13200"/>
    <n v="0"/>
    <m/>
    <m/>
    <n v="9470.91"/>
    <n v="0"/>
    <n v="0"/>
    <n v="3300"/>
    <n v="0"/>
    <n v="0"/>
    <n v="3300"/>
    <n v="0"/>
    <n v="0"/>
    <n v="3300"/>
    <n v="19370.91"/>
    <n v="6170.91"/>
    <m/>
    <m/>
    <n v="0"/>
    <m/>
    <n v="6170.91"/>
    <m/>
    <m/>
    <m/>
    <n v="9470.91"/>
    <n v="0"/>
    <n v="0"/>
    <n v="3300"/>
    <n v="0"/>
    <n v="0"/>
    <n v="3300"/>
    <n v="0"/>
    <n v="0"/>
    <n v="3300"/>
    <n v="19370.91"/>
    <m/>
    <m/>
    <n v="9470.91"/>
    <n v="0"/>
    <n v="0"/>
    <n v="3300"/>
    <n v="0"/>
    <n v="0"/>
    <n v="3300"/>
    <n v="0"/>
    <n v="0"/>
    <n v="3300"/>
    <n v="19370.91"/>
  </r>
  <r>
    <s v="L-ERP-196"/>
    <s v="Herman, Shaun_SOFTWARE_IT-SFT1194-86-OG-US"/>
    <s v="ERP"/>
    <x v="1"/>
    <s v="Herman, Shaun"/>
    <s v="DeHart, Lynn"/>
    <x v="0"/>
    <s v="DevSecOps"/>
    <m/>
    <m/>
    <s v="IT-SFT1194-86-OG-US"/>
    <m/>
    <m/>
    <m/>
    <s v="DevSecOps"/>
    <m/>
    <m/>
    <n v="12000"/>
    <n v="12000"/>
    <n v="12000"/>
    <n v="0"/>
    <m/>
    <m/>
    <n v="10022.1"/>
    <n v="0"/>
    <n v="0"/>
    <n v="3000"/>
    <n v="0"/>
    <n v="0"/>
    <n v="3000"/>
    <n v="0"/>
    <n v="0"/>
    <n v="3000"/>
    <n v="19022.099999999999"/>
    <n v="7022.0999999999985"/>
    <m/>
    <m/>
    <n v="0"/>
    <m/>
    <n v="7022.0999999999985"/>
    <m/>
    <m/>
    <m/>
    <n v="10022.1"/>
    <n v="0"/>
    <n v="0"/>
    <n v="3000"/>
    <n v="0"/>
    <n v="0"/>
    <n v="3000"/>
    <n v="0"/>
    <n v="0"/>
    <n v="3000"/>
    <n v="19022.099999999999"/>
    <m/>
    <m/>
    <n v="10022.1"/>
    <n v="0"/>
    <n v="0"/>
    <n v="3000"/>
    <n v="0"/>
    <n v="0"/>
    <n v="3000"/>
    <n v="0"/>
    <n v="0"/>
    <n v="3000"/>
    <n v="19022.099999999999"/>
  </r>
  <r>
    <s v="L-ERP-219"/>
    <s v="Hovanyetz, Mike_SOFTWARE_IT-SFT1194-86-OG-US"/>
    <s v="ERP"/>
    <x v="1"/>
    <s v="Hovanyetz, Mike"/>
    <s v="DeHart, Lynn"/>
    <x v="0"/>
    <s v="DevSecOps"/>
    <m/>
    <m/>
    <s v="IT-SFT1194-86-OG-US"/>
    <m/>
    <m/>
    <m/>
    <s v="DevSecOps"/>
    <m/>
    <m/>
    <n v="30000"/>
    <n v="30000"/>
    <n v="30000"/>
    <n v="0"/>
    <m/>
    <m/>
    <n v="11218.54"/>
    <n v="0"/>
    <n v="0"/>
    <n v="7500"/>
    <n v="0"/>
    <n v="0"/>
    <n v="7500"/>
    <n v="0"/>
    <n v="7500"/>
    <n v="0"/>
    <n v="33718.54"/>
    <n v="3718.5400000000009"/>
    <m/>
    <m/>
    <n v="0"/>
    <m/>
    <n v="3718.5400000000009"/>
    <m/>
    <m/>
    <m/>
    <n v="11218.54"/>
    <n v="0"/>
    <n v="0"/>
    <n v="7500"/>
    <n v="0"/>
    <n v="0"/>
    <n v="7500"/>
    <n v="0"/>
    <n v="7500"/>
    <n v="0"/>
    <n v="33718.54"/>
    <m/>
    <m/>
    <n v="11218.54"/>
    <n v="0"/>
    <n v="0"/>
    <n v="7500"/>
    <n v="0"/>
    <n v="0"/>
    <n v="7500"/>
    <n v="0"/>
    <n v="7500"/>
    <n v="0"/>
    <n v="33718.54"/>
  </r>
  <r>
    <s v="L-ERP-230"/>
    <s v="Jajodia, Amit_SOFTWARE_IT-SFT1194-86-OG-US"/>
    <s v="ERP"/>
    <x v="1"/>
    <s v="Jajodia, Amit"/>
    <s v="DeHart, Lynn"/>
    <x v="0"/>
    <s v="DevSecOps"/>
    <m/>
    <m/>
    <s v="IT-SFT1194-86-OG-US"/>
    <m/>
    <m/>
    <m/>
    <s v="DevSecOps"/>
    <m/>
    <m/>
    <n v="8000"/>
    <n v="8000"/>
    <n v="8000"/>
    <n v="0"/>
    <m/>
    <m/>
    <n v="11389.7"/>
    <n v="0"/>
    <n v="0"/>
    <n v="2000"/>
    <n v="0"/>
    <n v="0"/>
    <n v="2000"/>
    <n v="0"/>
    <n v="2000"/>
    <n v="0"/>
    <n v="17389.7"/>
    <n v="9389.7000000000007"/>
    <m/>
    <m/>
    <n v="0"/>
    <m/>
    <n v="9389.7000000000007"/>
    <m/>
    <m/>
    <m/>
    <n v="11389.7"/>
    <n v="0"/>
    <n v="0"/>
    <n v="2000"/>
    <n v="0"/>
    <n v="0"/>
    <n v="2000"/>
    <n v="0"/>
    <n v="2000"/>
    <n v="0"/>
    <n v="17389.7"/>
    <m/>
    <m/>
    <n v="11389.7"/>
    <n v="0"/>
    <n v="0"/>
    <n v="2000"/>
    <n v="0"/>
    <n v="0"/>
    <n v="2000"/>
    <n v="0"/>
    <n v="2000"/>
    <n v="0"/>
    <n v="17389.7"/>
  </r>
  <r>
    <s v="L-ERP-551"/>
    <s v="Vaidya, Sachin_SOFTWARE_IT-SFT1194-86-OG-US"/>
    <s v="ERP"/>
    <x v="1"/>
    <s v="Vaidya, Sachin"/>
    <s v="DeHart, Lynn"/>
    <x v="0"/>
    <s v="DevSecOps"/>
    <m/>
    <m/>
    <s v="IT-SFT1194-86-OG-US"/>
    <m/>
    <m/>
    <m/>
    <s v="DevSecOps"/>
    <s v="Sachin (4/30): Not managed by me"/>
    <m/>
    <n v="7176"/>
    <n v="7176"/>
    <n v="7176"/>
    <n v="0"/>
    <m/>
    <m/>
    <n v="6320.54"/>
    <n v="0"/>
    <n v="0"/>
    <n v="1794"/>
    <n v="0"/>
    <n v="0"/>
    <n v="1794"/>
    <n v="0"/>
    <n v="1794"/>
    <n v="0"/>
    <n v="11702.54"/>
    <n v="4526.5400000000009"/>
    <m/>
    <m/>
    <n v="0"/>
    <m/>
    <n v="4526.5400000000009"/>
    <m/>
    <m/>
    <m/>
    <n v="6320.54"/>
    <n v="0"/>
    <n v="0"/>
    <n v="1794"/>
    <n v="0"/>
    <n v="0"/>
    <n v="1794"/>
    <n v="0"/>
    <n v="1794"/>
    <n v="0"/>
    <n v="11702.54"/>
    <m/>
    <m/>
    <n v="6320.54"/>
    <n v="0"/>
    <n v="0"/>
    <n v="1794"/>
    <n v="0"/>
    <n v="0"/>
    <n v="1794"/>
    <n v="0"/>
    <n v="1794"/>
    <n v="0"/>
    <n v="11702.54"/>
  </r>
  <r>
    <s v="L-ERP-407"/>
    <s v="McGettigan, David_SOFTWARE_IT-SFT1194-86-OG-US"/>
    <s v="ERP"/>
    <x v="2"/>
    <s v="McGettigan, David"/>
    <s v="McGettigan, David"/>
    <x v="0"/>
    <s v="DevSecOps"/>
    <m/>
    <m/>
    <s v="IT-SFT1194-86-OG-US"/>
    <m/>
    <m/>
    <m/>
    <s v="DevSecOps"/>
    <m/>
    <m/>
    <n v="0"/>
    <n v="0"/>
    <n v="0"/>
    <n v="0"/>
    <m/>
    <m/>
    <n v="95.05"/>
    <n v="0"/>
    <n v="0"/>
    <n v="0"/>
    <n v="0"/>
    <n v="0"/>
    <n v="0"/>
    <n v="0"/>
    <n v="0"/>
    <n v="0"/>
    <n v="95.05"/>
    <n v="95.05"/>
    <m/>
    <m/>
    <n v="0"/>
    <m/>
    <n v="95.05"/>
    <m/>
    <m/>
    <m/>
    <n v="95.05"/>
    <n v="0"/>
    <n v="0"/>
    <n v="0"/>
    <n v="0"/>
    <n v="0"/>
    <n v="0"/>
    <n v="0"/>
    <n v="0"/>
    <n v="0"/>
    <n v="95.05"/>
    <m/>
    <m/>
    <n v="95.05"/>
    <n v="0"/>
    <n v="0"/>
    <n v="0"/>
    <n v="0"/>
    <n v="0"/>
    <n v="0"/>
    <n v="0"/>
    <n v="0"/>
    <n v="0"/>
    <n v="95.05"/>
  </r>
  <r>
    <s v="L-ERP-479"/>
    <s v="Robertson, Jerome_SOFTWARE_IT-SFT1194-86-OG-US"/>
    <s v="ERP"/>
    <x v="3"/>
    <s v="Robertson, Jerome"/>
    <s v="Robertson, Jerome"/>
    <x v="0"/>
    <s v="DevSecOps"/>
    <m/>
    <m/>
    <s v="IT-SFT1194-86-OG-US"/>
    <m/>
    <m/>
    <m/>
    <s v="DevSecOps"/>
    <s v="4/28 - (JAR) updated subsequent months with $8224"/>
    <m/>
    <n v="17784.52"/>
    <n v="17784.52"/>
    <n v="17784.52"/>
    <n v="0"/>
    <m/>
    <m/>
    <n v="8224.32"/>
    <n v="0"/>
    <n v="0"/>
    <n v="8224.32"/>
    <n v="0"/>
    <n v="0"/>
    <n v="8224.32"/>
    <n v="0"/>
    <n v="8224.32"/>
    <n v="0"/>
    <n v="32897.279999999999"/>
    <n v="15112.759999999998"/>
    <m/>
    <m/>
    <n v="0"/>
    <m/>
    <n v="15112.759999999998"/>
    <m/>
    <m/>
    <m/>
    <n v="8224.32"/>
    <n v="0"/>
    <n v="0"/>
    <n v="8224.32"/>
    <n v="0"/>
    <n v="0"/>
    <n v="8224.32"/>
    <n v="0"/>
    <n v="8224.32"/>
    <n v="0"/>
    <n v="32897.279999999999"/>
    <m/>
    <m/>
    <n v="8224.32"/>
    <n v="0"/>
    <n v="0"/>
    <n v="4446.13"/>
    <n v="0"/>
    <n v="0"/>
    <n v="4446.13"/>
    <n v="0"/>
    <n v="4446.13"/>
    <n v="0"/>
    <n v="21562.710000000003"/>
  </r>
  <r>
    <s v="L-ERP-153"/>
    <s v="Ganesan, Srinivasan_CONTRACTORS_IT-SFT1205-86-OG-US"/>
    <s v="ERP"/>
    <x v="1"/>
    <s v="Ganesan, Srinivasan"/>
    <s v="DeHart, Lynn"/>
    <x v="2"/>
    <s v="Logistics E2Open Software Support"/>
    <m/>
    <m/>
    <s v="IT-SFT1205-86-OG-US"/>
    <m/>
    <m/>
    <m/>
    <s v="None"/>
    <m/>
    <m/>
    <n v="0"/>
    <n v="0"/>
    <n v="0"/>
    <n v="0"/>
    <m/>
    <n v="3710"/>
    <n v="0"/>
    <n v="0"/>
    <n v="0"/>
    <n v="0"/>
    <n v="0"/>
    <n v="0"/>
    <n v="0"/>
    <n v="0"/>
    <n v="0"/>
    <n v="0"/>
    <n v="3710"/>
    <n v="3710"/>
    <m/>
    <m/>
    <n v="0"/>
    <m/>
    <n v="3710"/>
    <s v="Need to be cross charged to projects. "/>
    <m/>
    <n v="3710"/>
    <n v="0"/>
    <n v="0"/>
    <n v="0"/>
    <n v="0"/>
    <n v="0"/>
    <n v="0"/>
    <n v="0"/>
    <n v="0"/>
    <n v="0"/>
    <n v="0"/>
    <n v="3710"/>
    <m/>
    <n v="3710"/>
    <n v="0"/>
    <n v="0"/>
    <n v="0"/>
    <n v="0"/>
    <n v="0"/>
    <n v="0"/>
    <n v="0"/>
    <n v="0"/>
    <n v="0"/>
    <n v="0"/>
    <n v="3710"/>
  </r>
  <r>
    <s v="L-ERP-164"/>
    <s v="Ganesan, Srinivasan_SOFTWARE_IT-SFT1205-86-OG-US"/>
    <s v="ERP"/>
    <x v="1"/>
    <s v="Ganesan, Srinivasan"/>
    <s v="DeHart, Lynn"/>
    <x v="0"/>
    <s v="Logistics E2Open Software Support"/>
    <m/>
    <m/>
    <s v="IT-SFT1205-86-OG-US"/>
    <m/>
    <m/>
    <m/>
    <s v="None"/>
    <m/>
    <m/>
    <n v="21665.519999999993"/>
    <n v="21665.519999999993"/>
    <n v="21665.519999999993"/>
    <n v="0"/>
    <m/>
    <m/>
    <m/>
    <m/>
    <m/>
    <m/>
    <m/>
    <m/>
    <m/>
    <n v="21665.52"/>
    <m/>
    <m/>
    <n v="21665.52"/>
    <n v="0"/>
    <m/>
    <m/>
    <n v="0"/>
    <m/>
    <n v="0"/>
    <s v="Logistics E2Open Software Support"/>
    <m/>
    <m/>
    <m/>
    <m/>
    <m/>
    <m/>
    <m/>
    <m/>
    <m/>
    <n v="21665.52"/>
    <m/>
    <m/>
    <n v="21665.52"/>
    <m/>
    <m/>
    <m/>
    <n v="1805.46"/>
    <n v="1805.46"/>
    <n v="1805.46"/>
    <n v="1805.46"/>
    <n v="1805.46"/>
    <n v="1805.46"/>
    <n v="1805.46"/>
    <n v="1805.46"/>
    <n v="1805.46"/>
    <n v="16249.139999999996"/>
  </r>
  <r>
    <s v="L-ERP-107"/>
    <s v="Dougherty, Chris_SOFTWARE_IT-SFT1208-86-OG-US"/>
    <s v="ERP"/>
    <x v="0"/>
    <s v="Dougherty, Chris"/>
    <s v="Maguire, Karla"/>
    <x v="0"/>
    <s v="Enable Now &amp; WalkMe Cloud Subscription Fee for S/4 HANA Order #3061964355"/>
    <s v="SAP"/>
    <m/>
    <s v="IT-SFT1208-86-OG-US"/>
    <m/>
    <m/>
    <m/>
    <s v="S4 HANA"/>
    <s v="Carry forward credit: $76,107.06 from prior agreement"/>
    <m/>
    <n v="280976"/>
    <n v="280976"/>
    <n v="280976"/>
    <n v="0"/>
    <m/>
    <m/>
    <m/>
    <m/>
    <n v="290275.11"/>
    <n v="0"/>
    <n v="0"/>
    <n v="0"/>
    <n v="0"/>
    <n v="0"/>
    <n v="0"/>
    <n v="0"/>
    <n v="290275.11"/>
    <n v="9299.109999999986"/>
    <m/>
    <m/>
    <n v="0"/>
    <m/>
    <n v="9299.109999999986"/>
    <m/>
    <m/>
    <m/>
    <m/>
    <m/>
    <n v="290275.11"/>
    <n v="0"/>
    <n v="0"/>
    <n v="0"/>
    <n v="0"/>
    <n v="0"/>
    <n v="0"/>
    <n v="0"/>
    <n v="290275.11"/>
    <m/>
    <m/>
    <m/>
    <m/>
    <n v="280976"/>
    <n v="0"/>
    <n v="0"/>
    <n v="0"/>
    <n v="0"/>
    <n v="0"/>
    <n v="0"/>
    <n v="0"/>
    <n v="280976"/>
  </r>
  <r>
    <s v="L-ERP-014"/>
    <s v="DeHart, Lynn_SOFTWARE_IT-SFT1220-86-OG-US"/>
    <s v="ERP"/>
    <x v="1"/>
    <s v="DeHart, Lynn"/>
    <s v="DeHart, Lynn"/>
    <x v="0"/>
    <s v="Infrastructure Charges - Cloud AWS - RHEL"/>
    <m/>
    <m/>
    <s v="IT-SFT1220-86-OG-US"/>
    <m/>
    <m/>
    <m/>
    <s v="EP&amp;S"/>
    <m/>
    <m/>
    <n v="3348"/>
    <n v="3348"/>
    <n v="3348"/>
    <n v="0"/>
    <m/>
    <m/>
    <m/>
    <n v="279"/>
    <n v="279"/>
    <n v="279"/>
    <n v="279"/>
    <n v="279"/>
    <n v="279"/>
    <n v="279"/>
    <n v="279"/>
    <n v="279"/>
    <n v="2511"/>
    <n v="-837"/>
    <m/>
    <m/>
    <n v="0"/>
    <m/>
    <n v="-837"/>
    <m/>
    <m/>
    <m/>
    <m/>
    <n v="279"/>
    <n v="279"/>
    <n v="279"/>
    <n v="279"/>
    <n v="279"/>
    <n v="279"/>
    <n v="279"/>
    <n v="279"/>
    <n v="279"/>
    <n v="2511"/>
    <m/>
    <m/>
    <m/>
    <n v="279"/>
    <n v="279"/>
    <n v="279"/>
    <n v="279"/>
    <n v="279"/>
    <n v="279"/>
    <n v="279"/>
    <n v="279"/>
    <n v="279"/>
    <n v="2511"/>
  </r>
  <r>
    <s v="N-ERP-563"/>
    <s v="Ganesan, Srinivasan_SOFTWARE_IT-SFT1224-86-OG-US"/>
    <s v="ERP-N"/>
    <x v="1"/>
    <s v="Ganesan, Srinivasan"/>
    <s v="DeHart, Lynn"/>
    <x v="0"/>
    <s v="GLNS Analytics - Snowflake Compute Software"/>
    <m/>
    <m/>
    <s v="IT-SFT1224-86-OG-US"/>
    <m/>
    <m/>
    <s v="Investigate LE2"/>
    <s v="None"/>
    <s v="4/28/26 CHW New add to tie-out 0223 to 0317 Planful Extracts"/>
    <m/>
    <n v="65000"/>
    <n v="65000"/>
    <n v="65000"/>
    <n v="0"/>
    <m/>
    <m/>
    <m/>
    <n v="0"/>
    <n v="0"/>
    <n v="0"/>
    <n v="0"/>
    <n v="0"/>
    <n v="0"/>
    <n v="0"/>
    <n v="0"/>
    <n v="0"/>
    <n v="0"/>
    <n v="-65000"/>
    <m/>
    <m/>
    <n v="0"/>
    <m/>
    <n v="-65000"/>
    <m/>
    <m/>
    <m/>
    <m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65000"/>
  </r>
  <r>
    <s v="L-ERP-117"/>
    <s v="Dougherty, Chris_SOFTWARE_IT-SFT1235-86-OG-US"/>
    <s v="ERP"/>
    <x v="0"/>
    <s v="Dougherty, Chris"/>
    <s v="Maguire, Karla"/>
    <x v="0"/>
    <s v="SAP SaaS Software License (CCv2 Contract) Order #3061700877"/>
    <m/>
    <m/>
    <s v="IT-SFT1235-86-OG-US"/>
    <m/>
    <s v="9501102905"/>
    <m/>
    <s v="SAP SaaS"/>
    <m/>
    <m/>
    <n v="849804"/>
    <n v="849804"/>
    <n v="849804"/>
    <n v="0"/>
    <m/>
    <m/>
    <n v="-212451"/>
    <n v="0"/>
    <n v="0"/>
    <n v="0"/>
    <n v="0"/>
    <n v="0"/>
    <n v="849804"/>
    <n v="0"/>
    <n v="0"/>
    <n v="0"/>
    <n v="637353"/>
    <n v="-212451"/>
    <m/>
    <m/>
    <n v="0"/>
    <m/>
    <n v="-212451"/>
    <m/>
    <m/>
    <m/>
    <n v="-212451"/>
    <n v="0"/>
    <n v="0"/>
    <n v="0"/>
    <n v="0"/>
    <n v="0"/>
    <n v="849804"/>
    <n v="0"/>
    <n v="0"/>
    <n v="0"/>
    <n v="637353"/>
    <m/>
    <m/>
    <n v="-212451"/>
    <n v="0"/>
    <n v="0"/>
    <n v="0"/>
    <n v="0"/>
    <n v="0"/>
    <n v="849804"/>
    <n v="0"/>
    <n v="0"/>
    <n v="0"/>
    <n v="637353"/>
  </r>
  <r>
    <s v="N-ERP-547"/>
    <s v="Dougherty, Chris_SOFTWARE_IT-SFT1236-86-OG-US"/>
    <s v="ERP-N"/>
    <x v="0"/>
    <s v="Dougherty, Chris"/>
    <s v="Maguire, Karla"/>
    <x v="0"/>
    <s v="SAP SaaS Software Maintenance (CCv1 - C4C Contract &amp; Add&amp;#39;l licenses ) - Order #3061810212"/>
    <m/>
    <m/>
    <s v="IT-SFT1236-86-OG-US"/>
    <m/>
    <m/>
    <s v="Yes"/>
    <s v="SAP SaaS; 2026 Pullforward"/>
    <s v="4/28/26 CHW New add to tie-out 0223 to 0317 Planful Extracts"/>
    <m/>
    <n v="44842"/>
    <n v="44842"/>
    <n v="44842"/>
    <n v="0"/>
    <m/>
    <m/>
    <m/>
    <n v="0"/>
    <n v="0"/>
    <n v="0"/>
    <n v="0"/>
    <n v="0"/>
    <n v="0"/>
    <n v="0"/>
    <n v="0"/>
    <n v="0"/>
    <n v="0"/>
    <n v="-44842"/>
    <m/>
    <m/>
    <n v="0"/>
    <m/>
    <n v="-44842"/>
    <m/>
    <m/>
    <m/>
    <m/>
    <n v="0"/>
    <n v="0"/>
    <n v="0"/>
    <n v="0"/>
    <n v="0"/>
    <n v="0"/>
    <n v="0"/>
    <n v="0"/>
    <n v="0"/>
    <n v="0"/>
    <n v="44842"/>
    <n v="0"/>
    <n v="0"/>
    <n v="0"/>
    <n v="0"/>
    <n v="0"/>
    <n v="0"/>
    <n v="0"/>
    <n v="0"/>
    <n v="0"/>
    <n v="0"/>
    <n v="0"/>
    <n v="44842"/>
  </r>
  <r>
    <s v="N-ERP-548"/>
    <s v="Dougherty, Chris_SOFTWARE_IT-SFT1236-86-OG-US/PF"/>
    <s v="ERP-N"/>
    <x v="0"/>
    <s v="Dougherty, Chris"/>
    <s v="Maguire, Karla"/>
    <x v="0"/>
    <s v="SAP SaaS Software Maintenance (CCv1 - C4C Contract &amp; Add&amp;#39;l licenses ) - Order #3061810212 (Pullforward Credit)"/>
    <m/>
    <m/>
    <s v="IT-SFT1236-86-OG-US/PF"/>
    <m/>
    <m/>
    <s v="Yes"/>
    <s v="SAP SaaS; 2026 Pullforward"/>
    <s v="4/28/26 CHW New add to tie-out 0223 to 0317 Planful Extracts"/>
    <m/>
    <n v="-44842"/>
    <n v="-44842"/>
    <n v="-44842"/>
    <n v="0"/>
    <m/>
    <m/>
    <m/>
    <n v="0"/>
    <n v="0"/>
    <n v="0"/>
    <n v="0"/>
    <n v="0"/>
    <n v="0"/>
    <n v="0"/>
    <n v="0"/>
    <n v="0"/>
    <n v="0"/>
    <n v="44842"/>
    <m/>
    <m/>
    <n v="0"/>
    <m/>
    <n v="44842"/>
    <m/>
    <m/>
    <m/>
    <m/>
    <n v="0"/>
    <n v="0"/>
    <n v="0"/>
    <n v="0"/>
    <n v="0"/>
    <n v="0"/>
    <n v="0"/>
    <n v="0"/>
    <n v="0"/>
    <n v="0"/>
    <n v="-44842"/>
    <n v="0"/>
    <n v="0"/>
    <n v="0"/>
    <n v="0"/>
    <n v="0"/>
    <n v="0"/>
    <n v="0"/>
    <n v="0"/>
    <n v="0"/>
    <n v="0"/>
    <n v="0"/>
    <n v="-44842"/>
  </r>
  <r>
    <s v="N-ERP-549"/>
    <s v="Dougherty, Chris_SOFTWARE_IT-SFT1237-86-US-00"/>
    <s v="ERP-N"/>
    <x v="0"/>
    <s v="Dougherty, Chris"/>
    <s v="Maguire, Karla"/>
    <x v="0"/>
    <s v="SAP SaaS Software Maintenance (SCP Analytics #3062255314) (Pullforward Debit)"/>
    <m/>
    <m/>
    <s v="IT-SFT1237-86-US-00"/>
    <m/>
    <m/>
    <s v="Yes"/>
    <s v="SAP SaaS; 2026 Pullforward"/>
    <s v="4/28/26 CHW New add to tie-out 0223 to 0317 Planful Extracts See PF Comment "/>
    <m/>
    <n v="664963"/>
    <n v="664963"/>
    <n v="664963"/>
    <n v="0"/>
    <m/>
    <m/>
    <m/>
    <n v="0"/>
    <n v="0"/>
    <n v="0"/>
    <n v="0"/>
    <n v="0"/>
    <n v="0"/>
    <n v="0"/>
    <n v="0"/>
    <n v="0"/>
    <n v="0"/>
    <n v="-664963"/>
    <m/>
    <m/>
    <n v="0"/>
    <m/>
    <n v="-664963"/>
    <m/>
    <m/>
    <m/>
    <m/>
    <n v="0"/>
    <n v="0"/>
    <n v="0"/>
    <n v="0"/>
    <n v="0"/>
    <n v="0"/>
    <n v="0"/>
    <n v="0"/>
    <n v="0"/>
    <n v="0"/>
    <n v="664963"/>
    <n v="0"/>
    <n v="0"/>
    <n v="0"/>
    <n v="0"/>
    <n v="0"/>
    <n v="0"/>
    <n v="0"/>
    <n v="0"/>
    <n v="0"/>
    <n v="0"/>
    <n v="0"/>
    <n v="664963"/>
  </r>
  <r>
    <s v="N-ERP-550"/>
    <s v="Dougherty, Chris_SOFTWARE_IT-SFT1237-86-US-00/PF"/>
    <s v="ERP-N"/>
    <x v="0"/>
    <s v="Dougherty, Chris"/>
    <s v="Maguire, Karla"/>
    <x v="0"/>
    <s v="SAP SaaS Software Maintenance (SCP Analytics #3062255314) (Pullforward Credit)"/>
    <m/>
    <m/>
    <s v="IT-SFT1237-86-US-00/PF"/>
    <m/>
    <m/>
    <s v="Yes"/>
    <s v="SAP SaaS; 2026 Pullforward"/>
    <s v="4/28/26 CHW New add to tie-out 0223 to 0317 Planful Extracts should credit be included in LE2 submission?; AP2 comment: missing PF credit"/>
    <m/>
    <n v="-664963"/>
    <n v="-664963"/>
    <n v="-664963"/>
    <n v="0"/>
    <m/>
    <m/>
    <m/>
    <n v="0"/>
    <n v="0"/>
    <n v="0"/>
    <n v="0"/>
    <n v="0"/>
    <n v="0"/>
    <n v="0"/>
    <n v="0"/>
    <n v="0"/>
    <n v="0"/>
    <n v="664963"/>
    <m/>
    <m/>
    <n v="0"/>
    <m/>
    <n v="664963"/>
    <m/>
    <m/>
    <m/>
    <m/>
    <n v="0"/>
    <n v="0"/>
    <n v="0"/>
    <n v="0"/>
    <n v="0"/>
    <n v="0"/>
    <n v="0"/>
    <n v="0"/>
    <n v="0"/>
    <n v="0"/>
    <n v="-664963"/>
    <n v="0"/>
    <n v="0"/>
    <n v="0"/>
    <n v="0"/>
    <n v="0"/>
    <n v="0"/>
    <n v="0"/>
    <n v="0"/>
    <n v="0"/>
    <n v="0"/>
    <n v="0"/>
    <n v="-664963"/>
  </r>
  <r>
    <s v="N-ERP-551"/>
    <s v="Dougherty, Chris_SOFTWARE_IT-SFT1238-86-OG-US"/>
    <s v="ERP-N"/>
    <x v="0"/>
    <s v="Dougherty, Chris"/>
    <s v="Maguire, Karla"/>
    <x v="0"/>
    <s v="SAP SaaS Software Maintenance (CPEA #3062117959/old# 2212499928 ) (Pullforward Debit)"/>
    <m/>
    <m/>
    <s v="IT-SFT1238-86-OG-US"/>
    <m/>
    <m/>
    <s v="Yes"/>
    <s v="SAP SaaS; 2026 Pullforward"/>
    <s v="4/28/26 CHW New add to tie-out 0223 to 0317 Planful Extracts See PF Comment "/>
    <m/>
    <n v="663273"/>
    <n v="663273"/>
    <n v="663273"/>
    <n v="0"/>
    <m/>
    <m/>
    <m/>
    <n v="0"/>
    <n v="0"/>
    <n v="0"/>
    <n v="0"/>
    <n v="0"/>
    <n v="0"/>
    <n v="0"/>
    <n v="0"/>
    <n v="0"/>
    <n v="0"/>
    <n v="-663273"/>
    <m/>
    <m/>
    <n v="0"/>
    <m/>
    <n v="-663273"/>
    <m/>
    <m/>
    <m/>
    <m/>
    <n v="0"/>
    <n v="0"/>
    <n v="0"/>
    <n v="0"/>
    <n v="0"/>
    <n v="0"/>
    <n v="0"/>
    <n v="0"/>
    <n v="0"/>
    <n v="0"/>
    <n v="663273"/>
    <n v="0"/>
    <n v="0"/>
    <n v="0"/>
    <n v="0"/>
    <n v="0"/>
    <n v="0"/>
    <n v="0"/>
    <n v="0"/>
    <n v="0"/>
    <n v="0"/>
    <n v="0"/>
    <n v="663273"/>
  </r>
  <r>
    <s v="N-ERP-552"/>
    <s v="Dougherty, Chris_SOFTWARE_IT-SFT1238-86-OG-US/PF"/>
    <s v="ERP-N"/>
    <x v="0"/>
    <s v="Dougherty, Chris"/>
    <s v="Maguire, Karla"/>
    <x v="0"/>
    <s v="SAP SaaS Software Maintenance (CPEA #3062117959/old# 2212499928 ) (Pullforward Credit)"/>
    <m/>
    <m/>
    <s v="IT-SFT1238-86-OG-US/PF"/>
    <m/>
    <m/>
    <s v="Yes"/>
    <s v="SAP SaaS; 2026 Pullforward"/>
    <s v="4/28/26 CHW New add to tie-out 0223 to 0317 Planful Extracts should credit be included in LE2 submission?; AP2 comment: missing PF credit"/>
    <m/>
    <n v="-663273"/>
    <n v="-663273"/>
    <n v="-663273"/>
    <n v="0"/>
    <m/>
    <m/>
    <m/>
    <n v="0"/>
    <n v="0"/>
    <n v="0"/>
    <n v="0"/>
    <n v="0"/>
    <n v="0"/>
    <n v="0"/>
    <n v="0"/>
    <n v="0"/>
    <n v="0"/>
    <n v="663273"/>
    <m/>
    <m/>
    <n v="0"/>
    <m/>
    <n v="663273"/>
    <m/>
    <m/>
    <m/>
    <m/>
    <n v="0"/>
    <n v="0"/>
    <n v="0"/>
    <n v="0"/>
    <n v="0"/>
    <n v="0"/>
    <n v="0"/>
    <n v="0"/>
    <n v="0"/>
    <n v="0"/>
    <n v="-663273"/>
    <n v="0"/>
    <n v="0"/>
    <n v="0"/>
    <n v="0"/>
    <n v="0"/>
    <n v="0"/>
    <n v="0"/>
    <n v="0"/>
    <n v="0"/>
    <n v="0"/>
    <n v="0"/>
    <n v="-663273"/>
  </r>
  <r>
    <s v="L-ERP-118"/>
    <s v="Dougherty, Chris_SOFTWARE_IT-SFT1239-86-OG-US"/>
    <s v="ERP"/>
    <x v="0"/>
    <s v="Dougherty, Chris"/>
    <s v="Maguire, Karla"/>
    <x v="0"/>
    <s v="SAP SaaS Software Maint (SCP Integration/Enterprise Edition #3061467781)"/>
    <m/>
    <m/>
    <s v="IT-SFT1239-86-OG-US"/>
    <m/>
    <m/>
    <m/>
    <s v="SAP SaaS"/>
    <m/>
    <m/>
    <n v="107212"/>
    <n v="107212"/>
    <n v="107212"/>
    <n v="0"/>
    <m/>
    <m/>
    <m/>
    <m/>
    <n v="107212"/>
    <n v="0"/>
    <n v="0"/>
    <n v="0"/>
    <n v="0"/>
    <n v="0"/>
    <n v="0"/>
    <n v="0"/>
    <n v="107212"/>
    <n v="0"/>
    <m/>
    <m/>
    <n v="0"/>
    <m/>
    <n v="0"/>
    <m/>
    <m/>
    <m/>
    <m/>
    <m/>
    <n v="107212"/>
    <n v="0"/>
    <n v="0"/>
    <n v="0"/>
    <n v="0"/>
    <n v="0"/>
    <n v="0"/>
    <n v="0"/>
    <n v="107212"/>
    <m/>
    <m/>
    <m/>
    <m/>
    <n v="107212"/>
    <n v="0"/>
    <n v="0"/>
    <n v="0"/>
    <n v="0"/>
    <n v="0"/>
    <n v="0"/>
    <n v="0"/>
    <n v="107212"/>
  </r>
  <r>
    <s v="L-ERP-119"/>
    <s v="Dougherty, Chris_SOFTWARE_IT-SFT1240-86-OG-US"/>
    <s v="ERP"/>
    <x v="0"/>
    <s v="Dougherty, Chris"/>
    <s v="Maguire, Karla"/>
    <x v="0"/>
    <s v="SAP Supply Chain Collaboration (SCC) &amp; Quality Add On Contract #3072512098_XFR0956"/>
    <s v="Prepaid"/>
    <m/>
    <s v="IT-SFT1240-86-OG-US"/>
    <m/>
    <s v="9501145874"/>
    <m/>
    <s v="SAP SaaS"/>
    <s v="5/7 CHW - Adj to match prepaid schedule"/>
    <m/>
    <n v="1155056.04"/>
    <n v="1155056.04"/>
    <n v="1155056.04"/>
    <n v="0"/>
    <n v="1155005.0900000001"/>
    <n v="-962504.24"/>
    <n v="96250.42"/>
    <n v="0"/>
    <n v="192509.34"/>
    <n v="96254.67"/>
    <n v="0"/>
    <n v="192509.34"/>
    <n v="96254.67"/>
    <n v="0"/>
    <n v="192509.34"/>
    <n v="96254.67"/>
    <n v="1155043.3"/>
    <n v="-12.739999999990687"/>
    <m/>
    <m/>
    <n v="-7.2759576141834259E-11"/>
    <m/>
    <n v="-12.739999999990687"/>
    <m/>
    <n v="1155005.0900000001"/>
    <n v="-962504.24"/>
    <n v="96250.42"/>
    <n v="0"/>
    <n v="192509.34"/>
    <n v="96254.67"/>
    <n v="0"/>
    <n v="192509.34"/>
    <n v="96254.67"/>
    <n v="0"/>
    <n v="192509.34"/>
    <n v="96254.67"/>
    <n v="1155043.3"/>
    <n v="1155005.0900000001"/>
    <n v="-962504.24"/>
    <n v="96250.42"/>
    <n v="96254.67"/>
    <n v="96254.67"/>
    <n v="96254.67"/>
    <n v="96254.67"/>
    <n v="96254.67"/>
    <n v="96254.67"/>
    <n v="96254.67"/>
    <n v="96254.67"/>
    <n v="96254.67"/>
    <n v="1155043.3"/>
  </r>
  <r>
    <s v="L-ERP-114"/>
    <s v="Dougherty, Chris_SOFTWARE_IT-SFT1247-86-OG-US"/>
    <s v="ERP"/>
    <x v="0"/>
    <s v="Dougherty, Chris"/>
    <s v="Maguire, Karla"/>
    <x v="0"/>
    <s v="SAP S/4 HANA Software Yearly Maint. (Order 43)"/>
    <s v="Prepaid"/>
    <m/>
    <s v="IT-SFT1247-86-OG-US"/>
    <m/>
    <s v="9501133254"/>
    <m/>
    <s v="SAP on Prem/SAP S/4"/>
    <s v="5/7 CHW - Adj to match prepaid schedule"/>
    <m/>
    <n v="3290595.8399999994"/>
    <n v="3290595.8399999994"/>
    <n v="3290595.8399999994"/>
    <n v="0"/>
    <n v="3254947.27"/>
    <n v="-2712456.06"/>
    <n v="271245.61"/>
    <n v="0"/>
    <n v="542492"/>
    <n v="271246"/>
    <n v="0"/>
    <n v="542492"/>
    <n v="271246"/>
    <n v="0"/>
    <n v="542492"/>
    <n v="271246"/>
    <n v="3254950.82"/>
    <n v="-35645.019999999553"/>
    <m/>
    <m/>
    <n v="-1.1641532182693481E-10"/>
    <m/>
    <n v="-35645.019999999553"/>
    <m/>
    <n v="3254947.27"/>
    <n v="-2712456.06"/>
    <n v="271245.61"/>
    <n v="0"/>
    <n v="542492"/>
    <n v="271246"/>
    <n v="0"/>
    <n v="542492"/>
    <n v="271246"/>
    <n v="0"/>
    <n v="542492"/>
    <n v="271246"/>
    <n v="3254950.82"/>
    <n v="3254947.27"/>
    <n v="-2712456.06"/>
    <n v="271245.61"/>
    <n v="271246"/>
    <n v="271246"/>
    <n v="271246"/>
    <n v="271246"/>
    <n v="271246"/>
    <n v="271246"/>
    <n v="271246"/>
    <n v="271246"/>
    <n v="271246"/>
    <n v="3254950.82"/>
  </r>
  <r>
    <s v="L-ERP-382"/>
    <s v="McCormick, Pete_OTHER_IT-SFT1249-86-OG-US"/>
    <s v="ERP"/>
    <x v="0"/>
    <s v="McCormick, Pete"/>
    <s v="Maguire, Karla"/>
    <x v="7"/>
    <s v="SAP User Group Yearly Membership (ASUG) (Pullforward Debit)"/>
    <m/>
    <m/>
    <s v="IT-SFT1249-86-OG-US"/>
    <s v="CHW - F/U"/>
    <m/>
    <s v="Yes"/>
    <s v="SAP; 2026 Pullforward"/>
    <m/>
    <m/>
    <n v="0"/>
    <n v="0"/>
    <n v="0"/>
    <n v="0"/>
    <n v="-11125"/>
    <n v="11125"/>
    <m/>
    <m/>
    <m/>
    <m/>
    <m/>
    <m/>
    <m/>
    <m/>
    <m/>
    <m/>
    <n v="0"/>
    <n v="0"/>
    <m/>
    <m/>
    <n v="0"/>
    <m/>
    <n v="0"/>
    <m/>
    <n v="-11125"/>
    <n v="11125"/>
    <m/>
    <m/>
    <m/>
    <m/>
    <m/>
    <m/>
    <m/>
    <m/>
    <m/>
    <m/>
    <n v="0"/>
    <n v="-11125"/>
    <n v="11125"/>
    <m/>
    <m/>
    <m/>
    <m/>
    <m/>
    <m/>
    <m/>
    <m/>
    <m/>
    <m/>
    <n v="0"/>
  </r>
  <r>
    <s v="N-ERP-594"/>
    <s v="McCormick, Pete_SOFTWARE_IT-SFT1249-86-OG-US"/>
    <s v="ERP-N"/>
    <x v="0"/>
    <s v="McCormick, Pete"/>
    <s v="Maguire, Karla"/>
    <x v="0"/>
    <s v="SAP User Group Yearly Membership (ASUG)"/>
    <m/>
    <m/>
    <s v="IT-SFT1249-86-OG-US"/>
    <s v="CHW - F/U"/>
    <m/>
    <s v="Yes"/>
    <s v="SAP; 2026 Pullforward"/>
    <s v="4/28/26 CHW New add to tie-out 0223 to 0317 Planful Extracts 0"/>
    <m/>
    <n v="11125"/>
    <n v="11125"/>
    <n v="11125"/>
    <n v="0"/>
    <m/>
    <m/>
    <m/>
    <n v="0"/>
    <n v="0"/>
    <n v="0"/>
    <n v="0"/>
    <n v="0"/>
    <n v="0"/>
    <n v="0"/>
    <n v="0"/>
    <n v="0"/>
    <n v="0"/>
    <n v="-11125"/>
    <m/>
    <m/>
    <n v="0"/>
    <m/>
    <n v="-11125"/>
    <m/>
    <m/>
    <m/>
    <m/>
    <n v="0"/>
    <n v="0"/>
    <n v="0"/>
    <n v="0"/>
    <n v="0"/>
    <n v="0"/>
    <n v="0"/>
    <n v="0"/>
    <n v="0"/>
    <n v="0"/>
    <n v="11125"/>
    <n v="0"/>
    <n v="0"/>
    <n v="0"/>
    <n v="0"/>
    <n v="0"/>
    <n v="0"/>
    <n v="0"/>
    <n v="0"/>
    <n v="0"/>
    <n v="0"/>
    <n v="0"/>
    <n v="11125"/>
  </r>
  <r>
    <s v="N-ERP-595"/>
    <s v="McCormick, Pete_SOFTWARE_IT-SFT1249-86-OG-US/PF"/>
    <s v="ERP-N"/>
    <x v="0"/>
    <s v="McCormick, Pete"/>
    <s v="Maguire, Karla"/>
    <x v="0"/>
    <s v="SAP User Group Yearly Membership (ASUG) (Pullforward Credit)"/>
    <m/>
    <m/>
    <s v="IT-SFT1249-86-OG-US/PF"/>
    <m/>
    <m/>
    <s v="Yes"/>
    <s v="SAP; 2026 Pullforward"/>
    <s v="4/28/26 CHW New add to tie-out 0223 to 0317 Planful Extracts"/>
    <m/>
    <n v="-11125"/>
    <n v="-11125"/>
    <n v="-11125"/>
    <n v="0"/>
    <m/>
    <m/>
    <m/>
    <n v="0"/>
    <n v="0"/>
    <n v="0"/>
    <n v="0"/>
    <n v="0"/>
    <n v="0"/>
    <n v="0"/>
    <n v="0"/>
    <n v="0"/>
    <n v="0"/>
    <n v="11125"/>
    <m/>
    <m/>
    <n v="0"/>
    <m/>
    <n v="11125"/>
    <m/>
    <m/>
    <m/>
    <m/>
    <n v="0"/>
    <n v="0"/>
    <n v="0"/>
    <n v="0"/>
    <n v="0"/>
    <n v="0"/>
    <n v="0"/>
    <n v="0"/>
    <n v="0"/>
    <n v="0"/>
    <n v="-11125"/>
    <n v="0"/>
    <n v="0"/>
    <n v="0"/>
    <n v="0"/>
    <n v="0"/>
    <n v="0"/>
    <n v="0"/>
    <n v="0"/>
    <n v="0"/>
    <n v="0"/>
    <n v="0"/>
    <n v="-11125"/>
  </r>
  <r>
    <s v="L-ERP-379"/>
    <s v="McCormick, Pete_SOFTWARE_IT-SFT1257-86-OG-US"/>
    <s v="ERP"/>
    <x v="0"/>
    <s v="McCormick, Pete"/>
    <s v="Maguire, Karla"/>
    <x v="0"/>
    <s v="SAP Platform - Power10 and PowerHA S/W Maint - Somerset &amp; Durham"/>
    <m/>
    <m/>
    <s v="IT-SFT1257-86-OG-US"/>
    <m/>
    <m/>
    <m/>
    <s v="Power 10s"/>
    <m/>
    <m/>
    <n v="307237.74"/>
    <n v="307237.74"/>
    <n v="307237.74"/>
    <n v="0"/>
    <n v="67277.88"/>
    <n v="13527.14"/>
    <n v="16908.240000000002"/>
    <n v="0"/>
    <n v="0"/>
    <n v="78000"/>
    <n v="0"/>
    <n v="0"/>
    <n v="78000"/>
    <n v="0"/>
    <n v="0"/>
    <n v="78000"/>
    <n v="331713.26"/>
    <n v="24475.520000000019"/>
    <m/>
    <m/>
    <n v="3.637978807091713E-12"/>
    <m/>
    <n v="24475.520000000019"/>
    <m/>
    <n v="67277.88"/>
    <n v="13527.14"/>
    <n v="16908.240000000002"/>
    <n v="0"/>
    <n v="0"/>
    <n v="78000"/>
    <n v="0"/>
    <n v="0"/>
    <n v="78000"/>
    <n v="0"/>
    <n v="0"/>
    <n v="78000"/>
    <n v="331713.26"/>
    <n v="67277.88"/>
    <n v="13527.14"/>
    <n v="16908.240000000002"/>
    <n v="0"/>
    <n v="0"/>
    <n v="78000"/>
    <n v="0"/>
    <n v="0"/>
    <n v="78000"/>
    <n v="0"/>
    <n v="0"/>
    <n v="78000"/>
    <n v="331713.26"/>
  </r>
  <r>
    <s v="N-ERP-564"/>
    <s v="Ganesan, Srinivasan_SOFTWARE_IT-SFT1262-86-OG-US"/>
    <s v="ERP-N"/>
    <x v="1"/>
    <s v="Ganesan, Srinivasan"/>
    <s v="DeHart, Lynn"/>
    <x v="0"/>
    <s v="Logistics Ship It Control Tower"/>
    <m/>
    <m/>
    <s v="IT-SFT1262-86-OG-US"/>
    <m/>
    <m/>
    <s v="Investigate LE2"/>
    <s v="None"/>
    <s v="4/28/26 CHW New add to tie-out 0223 to 0317 Planful Extracts replaced by ShipERP "/>
    <m/>
    <n v="32000"/>
    <n v="32000"/>
    <n v="32000"/>
    <n v="0"/>
    <m/>
    <m/>
    <m/>
    <n v="0"/>
    <n v="0"/>
    <n v="0"/>
    <n v="0"/>
    <n v="0"/>
    <n v="0"/>
    <n v="32000"/>
    <n v="0"/>
    <n v="0"/>
    <n v="32000"/>
    <n v="0"/>
    <m/>
    <m/>
    <n v="0"/>
    <m/>
    <n v="0"/>
    <s v="ShipItControl Tower"/>
    <m/>
    <m/>
    <m/>
    <n v="0"/>
    <n v="0"/>
    <n v="0"/>
    <n v="0"/>
    <n v="0"/>
    <n v="0"/>
    <n v="32000"/>
    <n v="0"/>
    <n v="0"/>
    <n v="32000"/>
    <n v="0"/>
    <n v="32000"/>
    <n v="0"/>
    <n v="0"/>
    <n v="0"/>
    <n v="0"/>
    <n v="0"/>
    <n v="0"/>
    <n v="0"/>
    <n v="0"/>
    <n v="0"/>
    <n v="0"/>
    <n v="32000"/>
  </r>
  <r>
    <s v="L-ERP-165"/>
    <s v="Ganesan, Srinivasan_SOFTWARE_IT-SFT1266-86-OG-US"/>
    <s v="ERP"/>
    <x v="1"/>
    <s v="Ganesan, Srinivasan"/>
    <s v="DeHart, Lynn"/>
    <x v="0"/>
    <s v="GLNS Cloud Orchestration Airflow license for BI"/>
    <m/>
    <m/>
    <s v="IT-SFT1266-86-OG-US"/>
    <m/>
    <m/>
    <m/>
    <s v="None"/>
    <m/>
    <m/>
    <n v="5000"/>
    <n v="5000"/>
    <n v="5000"/>
    <n v="0"/>
    <m/>
    <m/>
    <m/>
    <m/>
    <m/>
    <m/>
    <m/>
    <m/>
    <n v="5000"/>
    <n v="0"/>
    <n v="0"/>
    <n v="0"/>
    <n v="5000"/>
    <n v="0"/>
    <m/>
    <m/>
    <n v="0"/>
    <m/>
    <n v="0"/>
    <m/>
    <m/>
    <m/>
    <m/>
    <m/>
    <m/>
    <m/>
    <m/>
    <m/>
    <n v="5000"/>
    <n v="0"/>
    <n v="0"/>
    <n v="0"/>
    <n v="5000"/>
    <m/>
    <m/>
    <m/>
    <m/>
    <m/>
    <m/>
    <m/>
    <m/>
    <n v="5000"/>
    <n v="0"/>
    <n v="0"/>
    <n v="0"/>
    <n v="5000"/>
  </r>
  <r>
    <s v="L-ERP-166"/>
    <s v="Ganesan, Srinivasan_SOFTWARE_IT-SFT1267-86-OG-US"/>
    <s v="ERP"/>
    <x v="1"/>
    <s v="Ganesan, Srinivasan"/>
    <s v="DeHart, Lynn"/>
    <x v="0"/>
    <s v="GLNS Annual Jira licenses"/>
    <m/>
    <m/>
    <s v="IT-SFT1267-86-OG-US"/>
    <m/>
    <m/>
    <m/>
    <s v="None"/>
    <m/>
    <m/>
    <n v="6000"/>
    <n v="6000"/>
    <n v="6000"/>
    <n v="0"/>
    <m/>
    <m/>
    <m/>
    <m/>
    <m/>
    <n v="1500"/>
    <n v="0"/>
    <n v="0"/>
    <n v="1500"/>
    <n v="0"/>
    <n v="0"/>
    <n v="1500"/>
    <n v="4500"/>
    <n v="-1500"/>
    <m/>
    <m/>
    <n v="0"/>
    <m/>
    <n v="-1500"/>
    <m/>
    <m/>
    <m/>
    <m/>
    <m/>
    <m/>
    <n v="1500"/>
    <n v="0"/>
    <n v="0"/>
    <n v="1500"/>
    <n v="0"/>
    <n v="0"/>
    <n v="1500"/>
    <n v="4500"/>
    <m/>
    <m/>
    <m/>
    <m/>
    <m/>
    <n v="1500"/>
    <n v="0"/>
    <n v="0"/>
    <n v="1500"/>
    <n v="0"/>
    <n v="0"/>
    <n v="1500"/>
    <n v="4500"/>
  </r>
  <r>
    <s v="N-ERP-565"/>
    <s v="Ganesan, Srinivasan_SOFTWARE_IT-SFT1269-86-OG-US"/>
    <s v="ERP-N"/>
    <x v="1"/>
    <s v="Ganesan, Srinivasan"/>
    <s v="DeHart, Lynn"/>
    <x v="0"/>
    <s v="Logistics LMS Manhattan Maintenance Support"/>
    <m/>
    <m/>
    <s v="IT-SFT1269-86-OG-US"/>
    <m/>
    <m/>
    <s v="Yes"/>
    <s v="2026 Pullforward"/>
    <s v="5/12/26 CHW - Current PO covers 1/1 to 12/31 2026 Removed forecast"/>
    <m/>
    <n v="111372.91"/>
    <n v="111372.91"/>
    <n v="111372.91"/>
    <n v="0"/>
    <m/>
    <m/>
    <m/>
    <n v="0"/>
    <n v="0"/>
    <n v="0"/>
    <n v="0"/>
    <n v="0"/>
    <n v="0"/>
    <n v="0"/>
    <n v="0"/>
    <m/>
    <n v="0"/>
    <n v="-111372.91"/>
    <m/>
    <m/>
    <n v="0"/>
    <m/>
    <n v="-111372.91"/>
    <s v="Manhatan LMS - Need to discuss plan for 2027"/>
    <m/>
    <m/>
    <m/>
    <n v="0"/>
    <n v="0"/>
    <n v="0"/>
    <n v="0"/>
    <n v="0"/>
    <n v="0"/>
    <n v="0"/>
    <n v="0"/>
    <m/>
    <n v="0"/>
    <n v="111372.91"/>
    <n v="0"/>
    <n v="0"/>
    <n v="0"/>
    <n v="0"/>
    <n v="0"/>
    <n v="0"/>
    <n v="0"/>
    <n v="0"/>
    <n v="0"/>
    <n v="0"/>
    <n v="0"/>
    <n v="111372.91"/>
  </r>
  <r>
    <s v="N-ERP-566"/>
    <s v="Ganesan, Srinivasan_SOFTWARE_IT-SFT1269-86-OG-US/PF"/>
    <s v="ERP-N"/>
    <x v="1"/>
    <s v="Ganesan, Srinivasan"/>
    <s v="DeHart, Lynn"/>
    <x v="0"/>
    <s v="Logistics LMS Manhattan Maintenance Support (Pullforward Credit)"/>
    <m/>
    <m/>
    <s v="IT-SFT1269-86-OG-US/PF"/>
    <m/>
    <m/>
    <s v="Yes"/>
    <s v="2026 Pullforward"/>
    <s v="5/12/26 CHW - Current PO covers 1/1 to 12/31 2026"/>
    <m/>
    <n v="-111372.91"/>
    <n v="-111372.91"/>
    <n v="-111372.91"/>
    <n v="0"/>
    <m/>
    <m/>
    <m/>
    <n v="0"/>
    <n v="0"/>
    <n v="0"/>
    <n v="0"/>
    <n v="0"/>
    <n v="0"/>
    <n v="0"/>
    <n v="0"/>
    <n v="0"/>
    <n v="0"/>
    <n v="111372.91"/>
    <m/>
    <m/>
    <n v="0"/>
    <m/>
    <n v="111372.91"/>
    <s v="Manhatan LMS - Need to discuss plan for 2027"/>
    <m/>
    <m/>
    <m/>
    <n v="0"/>
    <n v="0"/>
    <n v="0"/>
    <n v="0"/>
    <n v="0"/>
    <n v="0"/>
    <n v="0"/>
    <n v="0"/>
    <n v="0"/>
    <n v="0"/>
    <n v="-111372.91"/>
    <n v="0"/>
    <n v="0"/>
    <n v="0"/>
    <n v="0"/>
    <n v="0"/>
    <n v="0"/>
    <n v="0"/>
    <n v="0"/>
    <n v="0"/>
    <n v="0"/>
    <n v="0"/>
    <n v="-111372.91"/>
  </r>
  <r>
    <s v="L-ERP-054"/>
    <s v="Dougherty, Chris_SOFTWARE_IT-SFT1270-86-OG-US"/>
    <s v="ERP"/>
    <x v="0"/>
    <s v="Dougherty, Chris"/>
    <s v="Maguire, Karla"/>
    <x v="0"/>
    <s v="BPAI S/W - Broadcom Autosys/Automic (ML-0714)"/>
    <m/>
    <m/>
    <s v="IT-SFT1270-86-OG-US"/>
    <s v="CHW - F/U"/>
    <m/>
    <m/>
    <s v="2024 Transfer"/>
    <m/>
    <m/>
    <n v="1527544"/>
    <n v="1527544"/>
    <n v="1527544"/>
    <n v="0"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  <n v="-13915.590000000317"/>
    <m/>
    <m/>
    <n v="0"/>
    <m/>
    <n v="-13915.590000000317"/>
    <m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</r>
  <r>
    <s v="L-ERP-349"/>
    <s v="McCormick, Pete_SOFTWARE_IT-SFT1270-86-OG-US"/>
    <s v="ERP"/>
    <x v="0"/>
    <s v="McCormick, Pete"/>
    <s v="Maguire, Karla"/>
    <x v="0"/>
    <s v="BPAI S/W - Broadcom Autosys/Automic (ML-0714)"/>
    <m/>
    <m/>
    <s v="IT-SFT1270-86-OG-US"/>
    <s v="CHW - F/U"/>
    <m/>
    <m/>
    <s v="2024 Transfer"/>
    <m/>
    <m/>
    <n v="0"/>
    <n v="0"/>
    <n v="0"/>
    <n v="0"/>
    <n v="127295.39"/>
    <n v="113379.22"/>
    <n v="-240674.61"/>
    <m/>
    <m/>
    <m/>
    <m/>
    <m/>
    <m/>
    <m/>
    <m/>
    <m/>
    <n v="0"/>
    <n v="0"/>
    <m/>
    <m/>
    <n v="0"/>
    <m/>
    <n v="0"/>
    <m/>
    <n v="127295.39"/>
    <n v="113379.22"/>
    <n v="-240674.61"/>
    <m/>
    <m/>
    <m/>
    <m/>
    <m/>
    <m/>
    <m/>
    <m/>
    <m/>
    <n v="0"/>
    <n v="127295.39"/>
    <n v="113379.22"/>
    <n v="-240674.61"/>
    <m/>
    <m/>
    <m/>
    <m/>
    <m/>
    <m/>
    <m/>
    <m/>
    <m/>
    <n v="0"/>
  </r>
  <r>
    <s v="L-ERP-126"/>
    <s v="Ganesan, Srinivasan_SOFTWARE_IT-SFT1281-86-OG-US"/>
    <s v="ERP"/>
    <x v="1"/>
    <s v="Ganesan, Srinivasan"/>
    <s v="DeHart, Lynn"/>
    <x v="0"/>
    <s v="CoPilot Licenses"/>
    <m/>
    <m/>
    <s v="IT-SFT1281-86-OG-US"/>
    <m/>
    <m/>
    <m/>
    <s v="Copilot"/>
    <m/>
    <m/>
    <n v="0"/>
    <n v="0"/>
    <n v="0"/>
    <n v="0"/>
    <m/>
    <n v="227"/>
    <n v="0"/>
    <n v="0"/>
    <n v="0"/>
    <n v="0"/>
    <n v="0"/>
    <n v="0"/>
    <n v="0"/>
    <n v="0"/>
    <n v="0"/>
    <n v="0"/>
    <n v="227"/>
    <n v="227"/>
    <m/>
    <m/>
    <n v="0"/>
    <m/>
    <n v="227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064"/>
    <s v="Dougherty, Chris_MANAGED SERVICES_IT-SFT1282-86-OG-US"/>
    <s v="ERP"/>
    <x v="0"/>
    <s v="Dougherty, Chris"/>
    <s v="Maguire, Karla"/>
    <x v="1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-608600"/>
    <n v="-608600"/>
    <n v="-608600"/>
    <n v="0"/>
    <m/>
    <m/>
    <n v="-123760"/>
    <n v="-52600"/>
    <n v="-52600"/>
    <n v="-52600"/>
    <n v="-52600"/>
    <n v="-52600"/>
    <n v="-52600"/>
    <n v="-52600"/>
    <n v="-52600"/>
    <n v="-52600"/>
    <n v="-597160"/>
    <n v="11440"/>
    <m/>
    <m/>
    <n v="0"/>
    <m/>
    <n v="11440"/>
    <m/>
    <m/>
    <m/>
    <n v="-123760"/>
    <n v="-52600"/>
    <n v="-52600"/>
    <n v="-52600"/>
    <n v="-52600"/>
    <n v="-52600"/>
    <n v="-52600"/>
    <n v="-52600"/>
    <n v="-52600"/>
    <n v="-52600"/>
    <n v="-597160"/>
    <m/>
    <m/>
    <n v="-123760"/>
    <n v="-52600"/>
    <n v="-52600"/>
    <n v="-52600"/>
    <n v="-52600"/>
    <n v="-52600"/>
    <n v="-52600"/>
    <n v="-52600"/>
    <n v="-52600"/>
    <n v="-52600"/>
    <n v="-597160"/>
  </r>
  <r>
    <s v="L-ERP-353"/>
    <s v="McCormick, Pete_MANAGED SERVICES_IT-SFT1282-86-OG-US"/>
    <s v="ERP"/>
    <x v="0"/>
    <s v="McCormick, Pete"/>
    <s v="Maguire, Karla"/>
    <x v="1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0"/>
    <n v="0"/>
    <n v="0"/>
    <n v="0"/>
    <m/>
    <n v="-68030"/>
    <n v="68030"/>
    <m/>
    <m/>
    <m/>
    <m/>
    <m/>
    <m/>
    <m/>
    <m/>
    <m/>
    <n v="0"/>
    <n v="0"/>
    <m/>
    <m/>
    <n v="0"/>
    <m/>
    <n v="0"/>
    <m/>
    <m/>
    <n v="-68030"/>
    <n v="68030"/>
    <m/>
    <m/>
    <m/>
    <m/>
    <m/>
    <m/>
    <m/>
    <m/>
    <m/>
    <n v="0"/>
    <m/>
    <n v="-68030"/>
    <n v="68030"/>
    <m/>
    <m/>
    <m/>
    <m/>
    <m/>
    <m/>
    <m/>
    <m/>
    <m/>
    <n v="0"/>
  </r>
  <r>
    <s v="L-ERP-065"/>
    <s v="Dougherty, Chris_SOFTWARE_IT-SFT1282-86-OG-US"/>
    <s v="ERP"/>
    <x v="0"/>
    <s v="Dougherty, Chris"/>
    <s v="Maguire, Karla"/>
    <x v="0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-937488"/>
    <n v="-937488"/>
    <n v="-937488"/>
    <n v="0"/>
    <m/>
    <m/>
    <n v="-222800"/>
    <n v="-78124"/>
    <n v="-78124"/>
    <n v="-78124"/>
    <n v="-78124"/>
    <n v="-78124"/>
    <n v="-78124"/>
    <n v="-78124"/>
    <n v="-78124"/>
    <n v="-78124"/>
    <n v="-925916"/>
    <n v="11572"/>
    <m/>
    <m/>
    <n v="0"/>
    <m/>
    <n v="11572"/>
    <m/>
    <m/>
    <m/>
    <n v="-222800"/>
    <n v="-78124"/>
    <n v="-78124"/>
    <n v="-78124"/>
    <n v="-78124"/>
    <n v="-78124"/>
    <n v="-78124"/>
    <n v="-78124"/>
    <n v="-78124"/>
    <n v="-78124"/>
    <n v="-925916"/>
    <m/>
    <m/>
    <n v="-222800"/>
    <n v="-78124"/>
    <n v="-78124"/>
    <n v="-78124"/>
    <n v="-78124"/>
    <n v="-78124"/>
    <n v="-78124"/>
    <n v="-78124"/>
    <n v="-78124"/>
    <n v="-78124"/>
    <n v="-925916"/>
  </r>
  <r>
    <s v="L-ERP-354"/>
    <s v="McCormick, Pete_SOFTWARE_IT-SFT1282-86-OG-US"/>
    <s v="ERP"/>
    <x v="0"/>
    <s v="McCormick, Pete"/>
    <s v="Maguire, Karla"/>
    <x v="0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0"/>
    <n v="0"/>
    <n v="0"/>
    <n v="0"/>
    <m/>
    <n v="-158800"/>
    <n v="158800"/>
    <m/>
    <m/>
    <m/>
    <m/>
    <m/>
    <m/>
    <m/>
    <m/>
    <m/>
    <n v="0"/>
    <n v="0"/>
    <m/>
    <m/>
    <n v="0"/>
    <m/>
    <n v="0"/>
    <m/>
    <m/>
    <n v="-158800"/>
    <n v="158800"/>
    <m/>
    <m/>
    <m/>
    <m/>
    <m/>
    <m/>
    <m/>
    <m/>
    <m/>
    <n v="0"/>
    <m/>
    <n v="-158800"/>
    <n v="158800"/>
    <m/>
    <m/>
    <m/>
    <m/>
    <m/>
    <m/>
    <m/>
    <m/>
    <m/>
    <n v="0"/>
  </r>
  <r>
    <s v="N-ERP-596"/>
    <s v="McCormick, Pete_SOFTWARE_IT-SFT1283-86-OG-US"/>
    <s v="ERP-N"/>
    <x v="0"/>
    <s v="McCormick, Pete"/>
    <s v="Maguire, Karla"/>
    <x v="0"/>
    <s v="DELL PowerMax &amp; CISCO San Switches SW Maintenance - Somerset (Pullforward Debit)"/>
    <m/>
    <m/>
    <s v="IT-SFT1283-86-OG-US"/>
    <m/>
    <m/>
    <s v="Yes"/>
    <s v="Power 10s; 2026 Pullforward"/>
    <s v="4/28/26 CHW New add to tie-out 0223 to 0317 Planful Extracts"/>
    <m/>
    <n v="40902.519999999997"/>
    <n v="40902.519999999997"/>
    <n v="40902.519999999997"/>
    <n v="0"/>
    <m/>
    <m/>
    <m/>
    <n v="0"/>
    <n v="0"/>
    <n v="0"/>
    <n v="0"/>
    <n v="0"/>
    <n v="0"/>
    <n v="0"/>
    <n v="0"/>
    <n v="0"/>
    <n v="0"/>
    <n v="-40902.519999999997"/>
    <m/>
    <m/>
    <n v="0"/>
    <m/>
    <n v="-40902.519999999997"/>
    <m/>
    <m/>
    <m/>
    <m/>
    <n v="0"/>
    <n v="0"/>
    <n v="0"/>
    <n v="0"/>
    <n v="0"/>
    <n v="0"/>
    <n v="0"/>
    <n v="0"/>
    <n v="0"/>
    <n v="0"/>
    <n v="40902.519999999997"/>
    <n v="0"/>
    <n v="0"/>
    <n v="0"/>
    <n v="0"/>
    <n v="0"/>
    <n v="0"/>
    <n v="0"/>
    <n v="0"/>
    <n v="0"/>
    <n v="0"/>
    <n v="0"/>
    <n v="40902.519999999997"/>
  </r>
  <r>
    <s v="N-ERP-597"/>
    <s v="McCormick, Pete_SOFTWARE_IT-SFT1283-86-OG-US/PF"/>
    <s v="ERP-N"/>
    <x v="0"/>
    <s v="McCormick, Pete"/>
    <s v="Maguire, Karla"/>
    <x v="0"/>
    <s v="DELL PowerMax &amp; CISCO San Switches SW Maintenance - Somerset (Pullforward Credit)"/>
    <m/>
    <m/>
    <s v="IT-SFT1283-86-OG-US/PF"/>
    <m/>
    <m/>
    <s v="Yes"/>
    <s v="Power 10s; 2026 Pullforward"/>
    <s v="4/28/26 CHW New add to tie-out 0223 to 0317 Planful Extracts"/>
    <m/>
    <n v="-40902.519999999997"/>
    <n v="-40902.519999999997"/>
    <n v="-40902.519999999997"/>
    <n v="0"/>
    <m/>
    <m/>
    <m/>
    <n v="0"/>
    <n v="0"/>
    <n v="0"/>
    <n v="0"/>
    <n v="0"/>
    <n v="0"/>
    <n v="0"/>
    <n v="0"/>
    <n v="0"/>
    <n v="0"/>
    <n v="40902.519999999997"/>
    <m/>
    <m/>
    <n v="0"/>
    <m/>
    <n v="40902.519999999997"/>
    <m/>
    <m/>
    <m/>
    <m/>
    <n v="0"/>
    <n v="0"/>
    <n v="0"/>
    <n v="0"/>
    <n v="0"/>
    <n v="0"/>
    <n v="0"/>
    <n v="0"/>
    <n v="0"/>
    <n v="0"/>
    <n v="-40902.519999999997"/>
    <n v="0"/>
    <n v="0"/>
    <n v="0"/>
    <n v="0"/>
    <n v="0"/>
    <n v="0"/>
    <n v="0"/>
    <n v="0"/>
    <n v="0"/>
    <n v="0"/>
    <n v="0"/>
    <n v="-40902.519999999997"/>
  </r>
  <r>
    <s v="N-ERP-598"/>
    <s v="McCormick, Pete_SOFTWARE_IT-SFT1284-86-OG-US"/>
    <s v="ERP-N"/>
    <x v="0"/>
    <s v="McCormick, Pete"/>
    <s v="Maguire, Karla"/>
    <x v="0"/>
    <s v="DELL PowerMax &amp; CISCO San Switches SW Maintenance - Durham (Pullforward Debit)"/>
    <m/>
    <m/>
    <s v="IT-SFT1284-86-OG-US"/>
    <m/>
    <m/>
    <s v="Yes"/>
    <s v="Power 10s; 2026 Pullforward"/>
    <s v="4/28/26 CHW New add to tie-out 0223 to 0317 Planful Extracts"/>
    <m/>
    <n v="26386.85"/>
    <n v="26386.85"/>
    <n v="26386.85"/>
    <n v="0"/>
    <m/>
    <m/>
    <m/>
    <n v="0"/>
    <n v="0"/>
    <n v="0"/>
    <n v="0"/>
    <n v="0"/>
    <n v="0"/>
    <n v="0"/>
    <n v="0"/>
    <n v="0"/>
    <n v="0"/>
    <n v="-26386.85"/>
    <m/>
    <m/>
    <n v="0"/>
    <m/>
    <n v="-26386.85"/>
    <m/>
    <m/>
    <m/>
    <m/>
    <n v="0"/>
    <n v="0"/>
    <n v="0"/>
    <n v="0"/>
    <n v="0"/>
    <n v="0"/>
    <n v="0"/>
    <n v="0"/>
    <n v="0"/>
    <n v="0"/>
    <n v="26386.85"/>
    <n v="0"/>
    <n v="0"/>
    <n v="0"/>
    <n v="0"/>
    <n v="0"/>
    <n v="0"/>
    <n v="0"/>
    <n v="0"/>
    <n v="0"/>
    <n v="0"/>
    <n v="0"/>
    <n v="26386.85"/>
  </r>
  <r>
    <s v="N-ERP-599"/>
    <s v="McCormick, Pete_SOFTWARE_IT-SFT1284-86-OG-US/PF"/>
    <s v="ERP-N"/>
    <x v="0"/>
    <s v="McCormick, Pete"/>
    <s v="Maguire, Karla"/>
    <x v="0"/>
    <s v="DELL PowerMax &amp; CISCO San Switches SW Maintenance - Durham (Pullforward Credit)"/>
    <m/>
    <m/>
    <s v="IT-SFT1284-86-OG-US/PF"/>
    <m/>
    <m/>
    <s v="Yes"/>
    <s v="Power 10s; 2026 Pullforward"/>
    <s v="4/28/26 CHW New add to tie-out 0223 to 0317 Planful Extracts"/>
    <m/>
    <n v="-26386.85"/>
    <n v="-26386.85"/>
    <n v="-26386.85"/>
    <n v="0"/>
    <m/>
    <m/>
    <m/>
    <n v="0"/>
    <n v="0"/>
    <n v="0"/>
    <n v="0"/>
    <n v="0"/>
    <n v="0"/>
    <n v="0"/>
    <n v="0"/>
    <n v="0"/>
    <n v="0"/>
    <n v="26386.85"/>
    <m/>
    <m/>
    <n v="0"/>
    <m/>
    <n v="26386.85"/>
    <m/>
    <m/>
    <m/>
    <m/>
    <n v="0"/>
    <n v="0"/>
    <n v="0"/>
    <n v="0"/>
    <n v="0"/>
    <n v="0"/>
    <n v="0"/>
    <n v="0"/>
    <n v="0"/>
    <n v="0"/>
    <n v="-26386.85"/>
    <n v="0"/>
    <n v="0"/>
    <n v="0"/>
    <n v="0"/>
    <n v="0"/>
    <n v="0"/>
    <n v="0"/>
    <n v="0"/>
    <n v="0"/>
    <n v="0"/>
    <n v="0"/>
    <n v="-26386.85"/>
  </r>
  <r>
    <s v="L-ERP-033"/>
    <s v="DeHart, Lynn_SOFTWARE_IT-SFT1346-OG-US-00"/>
    <s v="ERP"/>
    <x v="1"/>
    <s v="DeHart, Lynn"/>
    <s v="DeHart, Lynn"/>
    <x v="0"/>
    <s v="Office Timeline Pro Plus"/>
    <m/>
    <m/>
    <s v="IT-SFT1346-OG-US-00"/>
    <m/>
    <m/>
    <m/>
    <s v="None"/>
    <m/>
    <m/>
    <n v="500"/>
    <n v="500"/>
    <n v="500"/>
    <n v="0"/>
    <m/>
    <m/>
    <m/>
    <m/>
    <m/>
    <m/>
    <m/>
    <m/>
    <m/>
    <m/>
    <n v="500"/>
    <n v="0"/>
    <n v="500"/>
    <n v="0"/>
    <m/>
    <m/>
    <n v="0"/>
    <m/>
    <n v="0"/>
    <m/>
    <m/>
    <m/>
    <m/>
    <m/>
    <m/>
    <m/>
    <m/>
    <m/>
    <m/>
    <m/>
    <n v="500"/>
    <n v="0"/>
    <n v="500"/>
    <m/>
    <m/>
    <m/>
    <m/>
    <m/>
    <m/>
    <m/>
    <m/>
    <m/>
    <m/>
    <n v="500"/>
    <n v="0"/>
    <n v="500"/>
  </r>
  <r>
    <s v="L-ERP-034"/>
    <s v="DeHart, Lynn_SOFTWARE_IT-SFT1347-OG-US-00"/>
    <s v="ERP"/>
    <x v="1"/>
    <s v="DeHart, Lynn"/>
    <s v="DeHart, Lynn"/>
    <x v="0"/>
    <s v="Power Automate Licenses"/>
    <m/>
    <m/>
    <s v="IT-SFT1347-OG-US-00"/>
    <m/>
    <m/>
    <m/>
    <s v="None"/>
    <m/>
    <m/>
    <n v="130"/>
    <n v="130"/>
    <n v="130"/>
    <n v="0"/>
    <m/>
    <m/>
    <m/>
    <m/>
    <m/>
    <n v="130"/>
    <n v="0"/>
    <n v="0"/>
    <n v="0"/>
    <n v="0"/>
    <n v="0"/>
    <n v="0"/>
    <n v="130"/>
    <n v="0"/>
    <m/>
    <m/>
    <n v="0"/>
    <m/>
    <n v="0"/>
    <m/>
    <m/>
    <m/>
    <m/>
    <m/>
    <m/>
    <n v="130"/>
    <n v="0"/>
    <n v="0"/>
    <n v="0"/>
    <n v="0"/>
    <n v="0"/>
    <n v="0"/>
    <n v="130"/>
    <m/>
    <m/>
    <m/>
    <m/>
    <m/>
    <n v="130"/>
    <n v="0"/>
    <n v="0"/>
    <n v="0"/>
    <n v="0"/>
    <n v="0"/>
    <n v="0"/>
    <n v="130"/>
  </r>
  <r>
    <s v="L-ERP-035"/>
    <s v="DeHart, Lynn_SOFTWARE_IT-SFT1398-OG-US-00"/>
    <s v="ERP"/>
    <x v="1"/>
    <s v="DeHart, Lynn"/>
    <s v="DeHart, Lynn"/>
    <x v="0"/>
    <s v="Celonis Climatiq License for 10M shipments annually_XFR0921"/>
    <m/>
    <m/>
    <s v="IT-SFT1398-OG-US-00"/>
    <m/>
    <m/>
    <m/>
    <s v="None"/>
    <s v="Transfer to Durga Y"/>
    <m/>
    <n v="250000"/>
    <n v="250000"/>
    <n v="250000"/>
    <n v="0"/>
    <m/>
    <m/>
    <m/>
    <m/>
    <m/>
    <n v="250000"/>
    <n v="0"/>
    <n v="0"/>
    <n v="0"/>
    <n v="0"/>
    <n v="0"/>
    <n v="0"/>
    <n v="250000"/>
    <n v="0"/>
    <m/>
    <m/>
    <n v="0"/>
    <m/>
    <n v="0"/>
    <m/>
    <m/>
    <m/>
    <m/>
    <m/>
    <m/>
    <n v="250000"/>
    <n v="0"/>
    <n v="0"/>
    <n v="0"/>
    <n v="0"/>
    <n v="0"/>
    <n v="0"/>
    <n v="250000"/>
    <m/>
    <m/>
    <m/>
    <m/>
    <m/>
    <n v="250000"/>
    <n v="0"/>
    <n v="0"/>
    <n v="0"/>
    <n v="0"/>
    <n v="0"/>
    <n v="0"/>
    <n v="250000"/>
  </r>
  <r>
    <s v="N-ERP-600"/>
    <s v="McCormick, Pete_SOFTWARE_IT-SFT1401-OG-US-00"/>
    <s v="ERP-N"/>
    <x v="0"/>
    <s v="McCormick, Pete"/>
    <s v="Maguire, Karla"/>
    <x v="0"/>
    <s v="Storix Linux Storage Licenses"/>
    <m/>
    <m/>
    <s v="IT-SFT1401-OG-US-00"/>
    <m/>
    <m/>
    <s v="Yes"/>
    <s v="2026 Pullforward"/>
    <s v="4/28/26 CHW New add to tie-out 0223 to 0317 Planful Extracts"/>
    <m/>
    <n v="21386.720000000001"/>
    <n v="21386.720000000001"/>
    <n v="21386.720000000001"/>
    <n v="0"/>
    <m/>
    <m/>
    <m/>
    <n v="0"/>
    <n v="0"/>
    <n v="0"/>
    <n v="0"/>
    <n v="0"/>
    <n v="0"/>
    <n v="0"/>
    <n v="0"/>
    <n v="0"/>
    <n v="0"/>
    <n v="-21386.720000000001"/>
    <m/>
    <m/>
    <n v="0"/>
    <m/>
    <n v="-21386.720000000001"/>
    <m/>
    <m/>
    <m/>
    <m/>
    <n v="0"/>
    <n v="0"/>
    <n v="0"/>
    <n v="0"/>
    <n v="0"/>
    <n v="0"/>
    <n v="0"/>
    <n v="0"/>
    <n v="0"/>
    <n v="0"/>
    <n v="21386.720000000001"/>
    <n v="0"/>
    <n v="0"/>
    <n v="0"/>
    <n v="0"/>
    <n v="0"/>
    <n v="0"/>
    <n v="0"/>
    <n v="0"/>
    <n v="0"/>
    <n v="0"/>
    <n v="0"/>
    <n v="21386.720000000001"/>
  </r>
  <r>
    <s v="N-ERP-601"/>
    <s v="McCormick, Pete_SOFTWARE_IT-SFT1401-OG-US-00/PF"/>
    <s v="ERP-N"/>
    <x v="0"/>
    <s v="McCormick, Pete"/>
    <s v="Maguire, Karla"/>
    <x v="0"/>
    <s v="Storix Linux Storage Licenses (Pullforward Credit)"/>
    <m/>
    <m/>
    <s v="IT-SFT1401-OG-US-00/PF"/>
    <m/>
    <m/>
    <s v="Yes"/>
    <s v="2026 Pullforward"/>
    <s v="4/28/26 CHW New add to tie-out 0223 to 0317 Planful Extracts"/>
    <m/>
    <n v="-21386.720000000001"/>
    <n v="-21386.720000000001"/>
    <n v="-21386.720000000001"/>
    <n v="0"/>
    <m/>
    <m/>
    <m/>
    <n v="0"/>
    <n v="0"/>
    <n v="0"/>
    <n v="0"/>
    <n v="0"/>
    <n v="0"/>
    <n v="0"/>
    <n v="0"/>
    <n v="0"/>
    <n v="0"/>
    <n v="21386.720000000001"/>
    <m/>
    <m/>
    <n v="0"/>
    <m/>
    <n v="21386.720000000001"/>
    <m/>
    <m/>
    <m/>
    <m/>
    <n v="0"/>
    <n v="0"/>
    <n v="0"/>
    <n v="0"/>
    <n v="0"/>
    <n v="0"/>
    <n v="0"/>
    <n v="0"/>
    <n v="0"/>
    <n v="0"/>
    <n v="-21386.720000000001"/>
    <n v="0"/>
    <n v="0"/>
    <n v="0"/>
    <n v="0"/>
    <n v="0"/>
    <n v="0"/>
    <n v="0"/>
    <n v="0"/>
    <n v="0"/>
    <n v="0"/>
    <n v="0"/>
    <n v="-21386.720000000001"/>
  </r>
  <r>
    <s v="L-ERP-055"/>
    <s v="Dougherty, Chris_SOFTWARE_IT-SFT1402-OG-US-00"/>
    <s v="ERP"/>
    <x v="0"/>
    <s v="Dougherty, Chris"/>
    <s v="Maguire, Karla"/>
    <x v="0"/>
    <s v="BPAI S/W - IBM Value Added Network (VAN) (ML-0729)"/>
    <m/>
    <m/>
    <s v="IT-SFT1402-OG-US-00"/>
    <m/>
    <m/>
    <m/>
    <s v="2024 Transfer"/>
    <m/>
    <m/>
    <n v="207900"/>
    <n v="207900"/>
    <n v="207900"/>
    <n v="0"/>
    <n v="15750"/>
    <n v="15750"/>
    <n v="15750"/>
    <n v="15750"/>
    <n v="15750"/>
    <n v="15750"/>
    <n v="15750"/>
    <n v="17325"/>
    <n v="17325"/>
    <n v="17325"/>
    <n v="17325"/>
    <n v="17325"/>
    <n v="196875"/>
    <n v="-11025"/>
    <m/>
    <m/>
    <n v="0"/>
    <m/>
    <n v="-11025"/>
    <m/>
    <n v="15750"/>
    <n v="15750"/>
    <n v="15750"/>
    <n v="15750"/>
    <n v="15750"/>
    <n v="15750"/>
    <n v="15750"/>
    <n v="17325"/>
    <n v="17325"/>
    <n v="17325"/>
    <n v="17325"/>
    <n v="17325"/>
    <n v="196875"/>
    <n v="15750"/>
    <n v="15750"/>
    <n v="15750"/>
    <n v="17325"/>
    <n v="17325"/>
    <n v="17325"/>
    <n v="17325"/>
    <n v="17325"/>
    <n v="17325"/>
    <n v="17325"/>
    <n v="17325"/>
    <n v="17325"/>
    <n v="203175"/>
  </r>
  <r>
    <s v="L-ERP-058"/>
    <s v="Dougherty, Chris_SOFTWARE_IT-SFT1406-OG-US-00"/>
    <s v="ERP"/>
    <x v="0"/>
    <s v="Dougherty, Chris"/>
    <s v="Maguire, Karla"/>
    <x v="0"/>
    <s v="SAP ICH Quality Add-on Contract #3062678905_XFR0707"/>
    <m/>
    <m/>
    <s v="IT-SFT1406-OG-US-00"/>
    <m/>
    <m/>
    <m/>
    <s v="2026 Budget Transfer"/>
    <m/>
    <m/>
    <n v="37661"/>
    <n v="37661"/>
    <n v="37661"/>
    <n v="0"/>
    <m/>
    <m/>
    <m/>
    <m/>
    <m/>
    <m/>
    <m/>
    <m/>
    <m/>
    <n v="37661"/>
    <n v="0"/>
    <n v="0"/>
    <n v="37661"/>
    <n v="0"/>
    <m/>
    <m/>
    <n v="0"/>
    <m/>
    <n v="0"/>
    <m/>
    <m/>
    <m/>
    <m/>
    <m/>
    <m/>
    <m/>
    <m/>
    <m/>
    <m/>
    <n v="37661"/>
    <n v="0"/>
    <n v="0"/>
    <n v="37661"/>
    <m/>
    <m/>
    <m/>
    <m/>
    <m/>
    <m/>
    <m/>
    <m/>
    <m/>
    <n v="37661"/>
    <n v="0"/>
    <n v="0"/>
    <n v="37661"/>
  </r>
  <r>
    <s v="L-ERP-098"/>
    <s v="Dougherty, Chris_SOFTWARE_IT-SFT1408-OG-US-00"/>
    <s v="ERP"/>
    <x v="0"/>
    <s v="Dougherty, Chris"/>
    <s v="Maguire, Karla"/>
    <x v="0"/>
    <s v="SAP license &amp; support costs for SAP at Sanford North(P323-0010203)_2025-XFR-0036-A"/>
    <m/>
    <m/>
    <s v="IT-SFT1408-OG-US-00"/>
    <m/>
    <m/>
    <m/>
    <s v="None"/>
    <m/>
    <m/>
    <n v="24500"/>
    <n v="24500"/>
    <n v="24500"/>
    <n v="0"/>
    <m/>
    <m/>
    <m/>
    <m/>
    <m/>
    <m/>
    <m/>
    <m/>
    <n v="24500"/>
    <n v="0"/>
    <n v="0"/>
    <n v="0"/>
    <n v="24500"/>
    <n v="0"/>
    <m/>
    <m/>
    <n v="0"/>
    <m/>
    <n v="0"/>
    <m/>
    <m/>
    <m/>
    <m/>
    <m/>
    <m/>
    <m/>
    <m/>
    <m/>
    <n v="24500"/>
    <n v="0"/>
    <n v="0"/>
    <n v="0"/>
    <n v="24500"/>
    <m/>
    <m/>
    <m/>
    <m/>
    <m/>
    <m/>
    <m/>
    <m/>
    <n v="24500"/>
    <n v="0"/>
    <n v="0"/>
    <n v="0"/>
    <n v="24500"/>
  </r>
  <r>
    <s v="L-ERP-365"/>
    <s v="McCormick, Pete_SOFTWARE_IT-SFT1410-OG-US-00"/>
    <s v="ERP"/>
    <x v="0"/>
    <s v="McCormick, Pete"/>
    <s v="Maguire, Karla"/>
    <x v="0"/>
    <s v="Power 10 AIX 7.1 Extended Support (for APO, GIS, PPM, SAP PI 7.1, MQ, BOBJ, VPSX)"/>
    <m/>
    <m/>
    <s v="IT-SFT1410-OG-US-00"/>
    <m/>
    <m/>
    <s v="Yes"/>
    <s v="New Power 10s; 2026 Pullforward"/>
    <m/>
    <m/>
    <n v="14353.4"/>
    <n v="14353.4"/>
    <n v="14353.4"/>
    <n v="0"/>
    <n v="0.28000000000000003"/>
    <n v="-0.28000000000000003"/>
    <m/>
    <m/>
    <m/>
    <m/>
    <m/>
    <m/>
    <m/>
    <m/>
    <m/>
    <m/>
    <n v="0"/>
    <n v="-14353.4"/>
    <m/>
    <m/>
    <n v="0"/>
    <m/>
    <n v="-14353.4"/>
    <m/>
    <n v="0.28000000000000003"/>
    <n v="-0.28000000000000003"/>
    <m/>
    <m/>
    <m/>
    <m/>
    <m/>
    <m/>
    <m/>
    <m/>
    <m/>
    <m/>
    <n v="0"/>
    <n v="0.28000000000000003"/>
    <n v="-0.28000000000000003"/>
    <m/>
    <m/>
    <m/>
    <m/>
    <m/>
    <m/>
    <m/>
    <m/>
    <m/>
    <m/>
    <n v="0"/>
  </r>
  <r>
    <s v="N-ERP-602"/>
    <s v="McCormick, Pete_SOFTWARE_IT-SFT1410-OG-US-00/PF"/>
    <s v="ERP-N"/>
    <x v="0"/>
    <s v="McCormick, Pete"/>
    <s v="Maguire, Karla"/>
    <x v="0"/>
    <s v="Power 10 AIX 7.1 Extended Support (for APO, GIS, PPM, SAP PI 7.1, MQ, BOBJ, VPSX) (Pullforward Credit)"/>
    <m/>
    <m/>
    <s v="IT-SFT1410-OG-US-00/PF"/>
    <m/>
    <m/>
    <s v="Yes "/>
    <s v="New Power 10s; 2026 Pullforward"/>
    <s v="4/28/26 CHW New add to tie-out 0223 to 0317 Planful Extracts 0"/>
    <m/>
    <n v="-14353.4"/>
    <n v="-14353.4"/>
    <n v="-14353.4"/>
    <n v="0"/>
    <m/>
    <m/>
    <m/>
    <n v="0"/>
    <n v="0"/>
    <n v="0"/>
    <n v="0"/>
    <n v="0"/>
    <n v="0"/>
    <n v="0"/>
    <n v="0"/>
    <n v="0"/>
    <n v="0"/>
    <n v="14353.4"/>
    <m/>
    <m/>
    <n v="0"/>
    <m/>
    <n v="14353.4"/>
    <m/>
    <m/>
    <m/>
    <m/>
    <n v="0"/>
    <n v="0"/>
    <n v="0"/>
    <n v="0"/>
    <n v="0"/>
    <n v="0"/>
    <n v="0"/>
    <n v="0"/>
    <n v="0"/>
    <n v="0"/>
    <n v="-14353.4"/>
    <n v="0"/>
    <n v="0"/>
    <n v="0"/>
    <n v="0"/>
    <n v="0"/>
    <n v="0"/>
    <n v="0"/>
    <n v="0"/>
    <n v="0"/>
    <n v="0"/>
    <n v="0"/>
    <n v="-14353.4"/>
  </r>
  <r>
    <s v="L-ERP-380"/>
    <s v="McCormick, Pete_SOFTWARE_IT-SFT1412-OG-US-00"/>
    <s v="ERP"/>
    <x v="0"/>
    <s v="McCormick, Pete"/>
    <s v="Maguire, Karla"/>
    <x v="0"/>
    <s v="PEP 2.0 Credits"/>
    <m/>
    <m/>
    <s v="IT-SFT1412-OG-US-00"/>
    <m/>
    <m/>
    <m/>
    <s v="Power 10s"/>
    <m/>
    <m/>
    <n v="4000"/>
    <n v="4000"/>
    <n v="4000"/>
    <n v="0"/>
    <n v="0.1"/>
    <n v="-0.1"/>
    <m/>
    <m/>
    <m/>
    <n v="2000"/>
    <n v="2000"/>
    <n v="0"/>
    <n v="0"/>
    <n v="0"/>
    <n v="0"/>
    <n v="0"/>
    <n v="4000"/>
    <n v="0"/>
    <m/>
    <m/>
    <n v="0"/>
    <m/>
    <n v="0"/>
    <m/>
    <n v="0.1"/>
    <n v="-0.1"/>
    <m/>
    <m/>
    <m/>
    <n v="2000"/>
    <n v="2000"/>
    <n v="0"/>
    <n v="0"/>
    <n v="0"/>
    <n v="0"/>
    <n v="0"/>
    <n v="4000"/>
    <n v="0.1"/>
    <n v="-0.1"/>
    <m/>
    <m/>
    <m/>
    <n v="2000"/>
    <n v="2000"/>
    <n v="0"/>
    <n v="0"/>
    <n v="0"/>
    <n v="0"/>
    <n v="0"/>
    <n v="4000"/>
  </r>
  <r>
    <s v="L-ERP-056"/>
    <s v="Dougherty, Chris_SOFTWARE_IT-SFT1413-OG-US-00"/>
    <s v="ERP"/>
    <x v="0"/>
    <s v="Dougherty, Chris"/>
    <s v="Maguire, Karla"/>
    <x v="0"/>
    <s v="BPAI S/W - IBM B2B Integrator (ML-0731)"/>
    <m/>
    <m/>
    <s v="IT-SFT1413-OG-US-00"/>
    <m/>
    <m/>
    <m/>
    <s v="2024 Transfer"/>
    <m/>
    <m/>
    <n v="144819"/>
    <n v="144819"/>
    <n v="144819"/>
    <n v="0"/>
    <m/>
    <m/>
    <m/>
    <m/>
    <n v="144819"/>
    <n v="0"/>
    <n v="0"/>
    <n v="0"/>
    <n v="0"/>
    <n v="0"/>
    <n v="0"/>
    <n v="0"/>
    <n v="144819"/>
    <n v="0"/>
    <m/>
    <m/>
    <n v="0"/>
    <m/>
    <n v="0"/>
    <m/>
    <m/>
    <m/>
    <m/>
    <m/>
    <n v="144819"/>
    <n v="0"/>
    <n v="0"/>
    <n v="0"/>
    <n v="0"/>
    <n v="0"/>
    <n v="0"/>
    <n v="0"/>
    <n v="144819"/>
    <m/>
    <m/>
    <m/>
    <n v="144819"/>
    <n v="0"/>
    <n v="0"/>
    <n v="0"/>
    <n v="0"/>
    <n v="0"/>
    <n v="0"/>
    <n v="0"/>
    <n v="0"/>
    <n v="144819"/>
  </r>
  <r>
    <s v="N-ERP-553"/>
    <s v="Dougherty, Chris_SOFTWARE_IT-SFT1414-OG-US-00"/>
    <s v="ERP-N"/>
    <x v="0"/>
    <s v="Dougherty, Chris"/>
    <s v="Maguire, Karla"/>
    <x v="0"/>
    <s v="BPAI S/W - Axway B2Bi (ML-0736)"/>
    <m/>
    <m/>
    <s v="IT-SFT1414-OG-US-00"/>
    <m/>
    <m/>
    <s v="Yes"/>
    <s v="2024 Transfer; 2026 Pullforward"/>
    <s v="4/28/26 CHW New add to tie-out 0223 to 0317 Planful Extracts 0"/>
    <m/>
    <n v="64566"/>
    <n v="64566"/>
    <n v="64566"/>
    <n v="0"/>
    <m/>
    <m/>
    <m/>
    <n v="0"/>
    <n v="0"/>
    <n v="0"/>
    <n v="0"/>
    <n v="0"/>
    <n v="0"/>
    <n v="0"/>
    <n v="0"/>
    <n v="0"/>
    <n v="0"/>
    <n v="-64566"/>
    <m/>
    <m/>
    <n v="0"/>
    <m/>
    <n v="-64566"/>
    <m/>
    <m/>
    <m/>
    <m/>
    <n v="0"/>
    <n v="0"/>
    <n v="0"/>
    <n v="0"/>
    <n v="0"/>
    <n v="0"/>
    <n v="0"/>
    <n v="0"/>
    <n v="0"/>
    <n v="0"/>
    <n v="64566"/>
    <n v="0"/>
    <n v="0"/>
    <n v="0"/>
    <n v="0"/>
    <n v="0"/>
    <n v="0"/>
    <n v="0"/>
    <n v="0"/>
    <n v="0"/>
    <n v="0"/>
    <n v="0"/>
    <n v="64566"/>
  </r>
  <r>
    <s v="N-ERP-554"/>
    <s v="Dougherty, Chris_SOFTWARE_IT-SFT1414-OG-US-00/PF"/>
    <s v="ERP-N"/>
    <x v="0"/>
    <s v="Dougherty, Chris"/>
    <s v="Maguire, Karla"/>
    <x v="0"/>
    <s v="BPAI S/W - Axway B2Bi (ML-0736) (Pullforward Credit)"/>
    <m/>
    <m/>
    <s v="IT-SFT1414-OG-US-00/PF"/>
    <m/>
    <m/>
    <s v="Yes"/>
    <s v="2024 Transfer; 2026 Pullforward"/>
    <s v="4/28/26 CHW New add to tie-out 0223 to 0317 Planful Extracts should credit be included in LE2 submission?; AP2 comment: missing PF credit"/>
    <m/>
    <n v="-64566"/>
    <n v="-64566"/>
    <n v="-64566"/>
    <n v="0"/>
    <m/>
    <m/>
    <m/>
    <n v="0"/>
    <n v="0"/>
    <n v="0"/>
    <n v="0"/>
    <n v="0"/>
    <n v="0"/>
    <n v="0"/>
    <n v="0"/>
    <n v="0"/>
    <n v="0"/>
    <n v="64566"/>
    <m/>
    <m/>
    <n v="0"/>
    <m/>
    <n v="64566"/>
    <m/>
    <m/>
    <m/>
    <m/>
    <n v="0"/>
    <n v="0"/>
    <n v="0"/>
    <n v="0"/>
    <n v="0"/>
    <n v="0"/>
    <n v="0"/>
    <n v="0"/>
    <n v="0"/>
    <n v="0"/>
    <n v="-64566"/>
    <n v="0"/>
    <n v="0"/>
    <n v="0"/>
    <n v="0"/>
    <n v="0"/>
    <n v="0"/>
    <n v="0"/>
    <n v="0"/>
    <n v="0"/>
    <n v="0"/>
    <n v="0"/>
    <n v="-64566"/>
  </r>
  <r>
    <s v="L-ERP-057"/>
    <s v="Dougherty, Chris_SOFTWARE_IT-SFT1415-OG-US-00"/>
    <s v="ERP"/>
    <x v="0"/>
    <s v="Dougherty, Chris"/>
    <s v="Maguire, Karla"/>
    <x v="0"/>
    <s v="BPAI S/W - EDIFECS SpecBuilder (ML-0737)"/>
    <m/>
    <m/>
    <s v="IT-SFT1415-OG-US-00"/>
    <m/>
    <m/>
    <m/>
    <s v="2024 Transfer"/>
    <m/>
    <m/>
    <n v="0"/>
    <n v="0"/>
    <n v="0"/>
    <n v="0"/>
    <m/>
    <m/>
    <n v="5298.95"/>
    <n v="0"/>
    <n v="0"/>
    <n v="0"/>
    <n v="0"/>
    <n v="0"/>
    <n v="0"/>
    <n v="0"/>
    <n v="0"/>
    <n v="0"/>
    <n v="5298.95"/>
    <n v="5298.95"/>
    <m/>
    <m/>
    <n v="0"/>
    <m/>
    <n v="5298.95"/>
    <m/>
    <m/>
    <m/>
    <n v="5298.95"/>
    <n v="0"/>
    <n v="0"/>
    <n v="0"/>
    <n v="0"/>
    <n v="0"/>
    <n v="0"/>
    <n v="0"/>
    <n v="0"/>
    <n v="0"/>
    <n v="5298.95"/>
    <m/>
    <m/>
    <n v="5298.95"/>
    <n v="0"/>
    <n v="0"/>
    <n v="0"/>
    <n v="0"/>
    <n v="0"/>
    <n v="0"/>
    <n v="0"/>
    <n v="0"/>
    <n v="0"/>
    <n v="5298.95"/>
  </r>
  <r>
    <s v="L-ERP-375"/>
    <s v="McCormick, Pete_SOFTWARE_IT-SFT1416-OG-US-00"/>
    <s v="ERP"/>
    <x v="0"/>
    <s v="McCormick, Pete"/>
    <s v="Maguire, Karla"/>
    <x v="0"/>
    <s v="M&amp;S Pro Renewal"/>
    <m/>
    <m/>
    <s v="IT-SFT1416-OG-US-00"/>
    <m/>
    <m/>
    <m/>
    <s v="None"/>
    <m/>
    <m/>
    <n v="1190.6600000000001"/>
    <n v="1190.6600000000001"/>
    <n v="1190.6600000000001"/>
    <n v="0"/>
    <m/>
    <m/>
    <m/>
    <m/>
    <m/>
    <n v="1190.6600000000001"/>
    <n v="0"/>
    <n v="0"/>
    <n v="0"/>
    <n v="0"/>
    <n v="0"/>
    <n v="0"/>
    <n v="1190.6600000000001"/>
    <n v="0"/>
    <m/>
    <m/>
    <n v="0"/>
    <m/>
    <n v="0"/>
    <m/>
    <m/>
    <m/>
    <m/>
    <m/>
    <m/>
    <n v="1190.6600000000001"/>
    <n v="0"/>
    <n v="0"/>
    <n v="0"/>
    <n v="0"/>
    <n v="0"/>
    <n v="0"/>
    <n v="1190.6600000000001"/>
    <m/>
    <m/>
    <m/>
    <m/>
    <m/>
    <n v="1190.6600000000001"/>
    <n v="0"/>
    <n v="0"/>
    <n v="0"/>
    <n v="0"/>
    <n v="0"/>
    <n v="0"/>
    <n v="1190.6600000000001"/>
  </r>
  <r>
    <s v="L-ERP-506"/>
    <s v="Tamavada, Ram_MANAGED SERVICES_IT-SFT1434-OG-US-00"/>
    <s v="ERP"/>
    <x v="0"/>
    <s v="Tamavada, Ram"/>
    <s v="Maguire, Karla"/>
    <x v="1"/>
    <s v="Infrastructure: Pfizer Pfynix AIOPS solution"/>
    <m/>
    <m/>
    <s v="IT-SFT1434-OG-US-00"/>
    <s v="CHW - F/U"/>
    <m/>
    <m/>
    <s v="AIOPS"/>
    <m/>
    <m/>
    <n v="3999.9999999999995"/>
    <n v="3999.9999999999995"/>
    <n v="3999.9999999999995"/>
    <n v="0"/>
    <n v="571.28"/>
    <n v="587.64"/>
    <n v="473.79"/>
    <n v="333.33"/>
    <n v="333.33"/>
    <n v="333.33"/>
    <n v="333.33"/>
    <n v="333.33"/>
    <n v="333.33"/>
    <n v="333.33"/>
    <n v="333.33"/>
    <n v="333.37"/>
    <n v="4632.7199999999993"/>
    <n v="632.7199999999998"/>
    <m/>
    <m/>
    <n v="0"/>
    <m/>
    <n v="632.7199999999998"/>
    <m/>
    <n v="571.28"/>
    <n v="587.64"/>
    <n v="473.79"/>
    <n v="333.33"/>
    <n v="333.33"/>
    <n v="333.33"/>
    <n v="333.33"/>
    <n v="333.33"/>
    <n v="333.33"/>
    <n v="333.33"/>
    <n v="333.33"/>
    <n v="333.37"/>
    <n v="4632.7199999999993"/>
    <n v="571.28"/>
    <n v="587.64"/>
    <n v="473.79"/>
    <n v="333.33"/>
    <n v="333.33"/>
    <n v="333.33"/>
    <n v="333.33"/>
    <n v="333.33"/>
    <n v="333.33"/>
    <n v="333.33"/>
    <n v="333.33"/>
    <n v="333.37"/>
    <n v="4632.7199999999993"/>
  </r>
  <r>
    <s v="L-ERP-507"/>
    <s v="Tamavada, Ram_SOFTWARE_IT-SFT1434-OG-US-00"/>
    <s v="ERP"/>
    <x v="0"/>
    <s v="Tamavada, Ram"/>
    <s v="Maguire, Karla"/>
    <x v="0"/>
    <s v="Infrastructure: Pfizer Pfynix AIOPS solution"/>
    <m/>
    <m/>
    <s v="IT-SFT1434-OG-US-00"/>
    <s v="CHW - F/U"/>
    <m/>
    <m/>
    <s v="AIOPS"/>
    <m/>
    <m/>
    <n v="23000"/>
    <n v="23000"/>
    <n v="23000"/>
    <n v="0"/>
    <m/>
    <m/>
    <n v="21098.22"/>
    <n v="0"/>
    <n v="0"/>
    <n v="0"/>
    <n v="0"/>
    <n v="0"/>
    <n v="0"/>
    <n v="0"/>
    <n v="0"/>
    <n v="0"/>
    <n v="21098.22"/>
    <n v="-1901.7799999999988"/>
    <m/>
    <m/>
    <n v="0"/>
    <m/>
    <n v="-1901.7799999999988"/>
    <m/>
    <m/>
    <m/>
    <n v="21098.22"/>
    <n v="0"/>
    <n v="0"/>
    <n v="0"/>
    <n v="0"/>
    <n v="0"/>
    <n v="0"/>
    <n v="0"/>
    <n v="0"/>
    <n v="0"/>
    <n v="21098.22"/>
    <m/>
    <m/>
    <n v="21098.22"/>
    <n v="21098.22"/>
    <n v="0"/>
    <n v="0"/>
    <n v="0"/>
    <n v="0"/>
    <n v="0"/>
    <n v="0"/>
    <n v="0"/>
    <n v="0"/>
    <n v="42196.44"/>
  </r>
  <r>
    <s v="L-ERP-187"/>
    <s v="Hase, Raj_MANAGED SERVICES_IT-SFT1436-OG-US-00"/>
    <s v="ERP"/>
    <x v="1"/>
    <s v="Hase, Raj"/>
    <s v="DeHart, Lynn"/>
    <x v="1"/>
    <s v="DIGITAL-CLOUD-AZURE-ARENA DYNAMICS 365"/>
    <m/>
    <m/>
    <s v="IT-SFT1436-OG-US-00"/>
    <m/>
    <m/>
    <m/>
    <s v="None"/>
    <m/>
    <m/>
    <n v="9476.7599999999984"/>
    <n v="9476.7599999999984"/>
    <n v="9476.7599999999984"/>
    <n v="0"/>
    <n v="730.3"/>
    <n v="738.84"/>
    <n v="752.07"/>
    <n v="752.07"/>
    <n v="752.07"/>
    <n v="752.07"/>
    <n v="752.07"/>
    <n v="752.07"/>
    <n v="752.07"/>
    <n v="752.07"/>
    <n v="752.07"/>
    <n v="752.07"/>
    <n v="8989.8399999999983"/>
    <n v="-486.92000000000007"/>
    <m/>
    <m/>
    <n v="0"/>
    <m/>
    <n v="-486.92000000000007"/>
    <m/>
    <n v="730.3"/>
    <n v="738.84"/>
    <n v="752.07"/>
    <n v="752.07"/>
    <n v="752.07"/>
    <n v="752.07"/>
    <n v="752.07"/>
    <n v="752.07"/>
    <n v="752.07"/>
    <n v="752.07"/>
    <n v="752.07"/>
    <n v="752.07"/>
    <n v="8989.8399999999983"/>
    <n v="730.3"/>
    <n v="738.84"/>
    <n v="752.07"/>
    <n v="789.73"/>
    <n v="789.73"/>
    <n v="789.73"/>
    <n v="789.73"/>
    <n v="789.73"/>
    <n v="789.73"/>
    <n v="789.73"/>
    <n v="789.73"/>
    <n v="789.73"/>
    <n v="9328.779999999997"/>
  </r>
  <r>
    <s v="L-ERP-508"/>
    <s v="Tamavada, Ram_SOFTWARE_IT-SFT1441-OG-US-00"/>
    <s v="ERP"/>
    <x v="0"/>
    <s v="Tamavada, Ram"/>
    <s v="Maguire, Karla"/>
    <x v="0"/>
    <s v="IBM: Pfynix AIOps - IBM Process Automation Manager"/>
    <m/>
    <m/>
    <s v="IT-SFT1441-OG-US-00"/>
    <m/>
    <m/>
    <m/>
    <s v="AIOPS"/>
    <m/>
    <m/>
    <n v="35569"/>
    <n v="35569"/>
    <n v="35569"/>
    <n v="0"/>
    <m/>
    <m/>
    <m/>
    <m/>
    <m/>
    <n v="35569"/>
    <n v="0"/>
    <n v="0"/>
    <n v="0"/>
    <n v="0"/>
    <n v="0"/>
    <n v="0"/>
    <n v="35569"/>
    <n v="0"/>
    <m/>
    <m/>
    <n v="0"/>
    <m/>
    <n v="0"/>
    <m/>
    <m/>
    <m/>
    <m/>
    <m/>
    <m/>
    <n v="35569"/>
    <n v="0"/>
    <n v="0"/>
    <n v="0"/>
    <n v="0"/>
    <n v="0"/>
    <n v="0"/>
    <n v="35569"/>
    <m/>
    <m/>
    <m/>
    <m/>
    <m/>
    <n v="35569"/>
    <n v="0"/>
    <n v="0"/>
    <n v="0"/>
    <n v="0"/>
    <n v="0"/>
    <n v="0"/>
    <n v="35569"/>
  </r>
  <r>
    <s v="L-ERP-406"/>
    <s v="McGettigan, David_MANAGED SERVICES_IT-SFT1442-OG-US-00"/>
    <s v="ERP"/>
    <x v="2"/>
    <s v="McGettigan, David"/>
    <s v="McGettigan, David"/>
    <x v="1"/>
    <s v="C-TIES Copilot Studio"/>
    <m/>
    <m/>
    <s v="IT-SFT1442-OG-US-00"/>
    <m/>
    <m/>
    <m/>
    <s v="None"/>
    <m/>
    <m/>
    <n v="0"/>
    <n v="0"/>
    <n v="0"/>
    <n v="0"/>
    <n v="11.06"/>
    <n v="5.54"/>
    <n v="5.29"/>
    <n v="0"/>
    <n v="0"/>
    <n v="0"/>
    <n v="0"/>
    <n v="0"/>
    <n v="0"/>
    <n v="0"/>
    <n v="0"/>
    <n v="0"/>
    <n v="21.89"/>
    <n v="21.89"/>
    <m/>
    <m/>
    <n v="0"/>
    <m/>
    <n v="21.89"/>
    <m/>
    <n v="11.06"/>
    <n v="5.54"/>
    <n v="5.29"/>
    <n v="0"/>
    <n v="0"/>
    <n v="0"/>
    <n v="0"/>
    <n v="0"/>
    <n v="0"/>
    <n v="0"/>
    <n v="0"/>
    <n v="0"/>
    <n v="21.89"/>
    <n v="11.06"/>
    <n v="5.54"/>
    <n v="5.29"/>
    <n v="0"/>
    <n v="0"/>
    <n v="0"/>
    <n v="0"/>
    <n v="0"/>
    <n v="0"/>
    <n v="0"/>
    <n v="0"/>
    <n v="0"/>
    <n v="21.89"/>
  </r>
  <r>
    <s v="L-ERP-099"/>
    <s v="Dougherty, Chris_SOFTWARE_IT-SFT1445-OG-US-00"/>
    <s v="ERP"/>
    <x v="0"/>
    <s v="Dougherty, Chris"/>
    <s v="Maguire, Karla"/>
    <x v="0"/>
    <s v="ESC/AIS APP &amp; Platform Support: Software"/>
    <m/>
    <m/>
    <s v="IT-SFT1445-OG-US-00"/>
    <m/>
    <m/>
    <m/>
    <s v="None"/>
    <m/>
    <m/>
    <n v="30000"/>
    <n v="30000"/>
    <n v="30000"/>
    <n v="0"/>
    <m/>
    <m/>
    <m/>
    <m/>
    <m/>
    <m/>
    <m/>
    <n v="30000"/>
    <n v="0"/>
    <n v="0"/>
    <n v="0"/>
    <n v="0"/>
    <n v="30000"/>
    <n v="0"/>
    <m/>
    <m/>
    <n v="0"/>
    <m/>
    <n v="0"/>
    <m/>
    <m/>
    <m/>
    <m/>
    <m/>
    <m/>
    <m/>
    <m/>
    <n v="30000"/>
    <n v="0"/>
    <n v="0"/>
    <n v="0"/>
    <n v="0"/>
    <n v="30000"/>
    <m/>
    <m/>
    <m/>
    <m/>
    <m/>
    <m/>
    <m/>
    <n v="30000"/>
    <n v="0"/>
    <n v="0"/>
    <n v="0"/>
    <n v="0"/>
    <n v="30000"/>
  </r>
  <r>
    <s v="N-ERP-618"/>
    <s v="Yeluri, Durga_SOFTWARE_IT-SFT1449-OG-US-00"/>
    <s v="ERP-N"/>
    <x v="1"/>
    <s v="Yeluri, Durga"/>
    <s v="DeHart, Lynn"/>
    <x v="0"/>
    <s v="Celonis AI/ML Workbench License"/>
    <m/>
    <m/>
    <s v="IT-SFT1449-OG-US-00"/>
    <m/>
    <m/>
    <s v="Yes"/>
    <s v="2026 Pullforward"/>
    <s v="4/28/26 CHW New add to tie-out 0223 to 0317 Planful Extracts"/>
    <m/>
    <n v="231903.75"/>
    <n v="231903.75"/>
    <n v="231903.75"/>
    <n v="0"/>
    <m/>
    <m/>
    <m/>
    <n v="0"/>
    <n v="0"/>
    <n v="0"/>
    <n v="0"/>
    <n v="0"/>
    <n v="0"/>
    <n v="0"/>
    <n v="0"/>
    <n v="0"/>
    <n v="0"/>
    <n v="-231903.75"/>
    <m/>
    <m/>
    <n v="0"/>
    <m/>
    <n v="-231903.75"/>
    <m/>
    <m/>
    <m/>
    <m/>
    <n v="0"/>
    <n v="0"/>
    <n v="0"/>
    <n v="0"/>
    <n v="0"/>
    <n v="0"/>
    <n v="0"/>
    <n v="0"/>
    <n v="0"/>
    <n v="0"/>
    <n v="231903.75"/>
    <n v="0"/>
    <n v="0"/>
    <n v="0"/>
    <n v="0"/>
    <n v="0"/>
    <n v="0"/>
    <n v="0"/>
    <n v="0"/>
    <n v="0"/>
    <n v="0"/>
    <n v="0"/>
    <n v="231903.75"/>
  </r>
  <r>
    <s v="N-ERP-619"/>
    <s v="Yeluri, Durga_SOFTWARE_IT-SFT1449-OG-US-00/PF"/>
    <s v="ERP-N"/>
    <x v="1"/>
    <s v="Yeluri, Durga"/>
    <s v="DeHart, Lynn"/>
    <x v="0"/>
    <s v="Celonis AI/ML Workbench License (Pullforward Credit)"/>
    <m/>
    <m/>
    <s v="IT-SFT1449-OG-US-00/PF"/>
    <m/>
    <m/>
    <s v="Yes"/>
    <s v="2026 Pullforward"/>
    <s v="4/28/26 CHW New add to tie-out 0223 to 0317 Planful Extracts"/>
    <m/>
    <n v="-231903.75"/>
    <n v="-231903.75"/>
    <n v="-231903.75"/>
    <n v="0"/>
    <m/>
    <m/>
    <m/>
    <n v="0"/>
    <n v="0"/>
    <n v="0"/>
    <n v="0"/>
    <n v="0"/>
    <n v="0"/>
    <n v="0"/>
    <n v="0"/>
    <n v="0"/>
    <n v="0"/>
    <n v="231903.75"/>
    <m/>
    <m/>
    <n v="0"/>
    <m/>
    <n v="231903.75"/>
    <m/>
    <m/>
    <m/>
    <m/>
    <n v="0"/>
    <n v="0"/>
    <n v="0"/>
    <n v="0"/>
    <n v="0"/>
    <n v="0"/>
    <n v="0"/>
    <n v="0"/>
    <n v="0"/>
    <n v="0"/>
    <n v="-231903.75"/>
    <n v="0"/>
    <n v="0"/>
    <n v="0"/>
    <n v="0"/>
    <n v="0"/>
    <n v="0"/>
    <n v="0"/>
    <n v="0"/>
    <n v="0"/>
    <n v="0"/>
    <n v="0"/>
    <n v="-231903.75"/>
  </r>
  <r>
    <s v="L-ERP-490"/>
    <s v="Robertson, Jerome_SOFTWARE_IT-SFT1453-OG-US-00"/>
    <s v="ERP"/>
    <x v="3"/>
    <s v="Robertson, Jerome"/>
    <s v="Robertson, Jerome"/>
    <x v="0"/>
    <s v="SAP BDC License"/>
    <m/>
    <m/>
    <s v="IT-SFT1453-OG-US-00"/>
    <m/>
    <m/>
    <m/>
    <s v="None"/>
    <m/>
    <m/>
    <n v="156778.01999999999"/>
    <n v="156778.01999999999"/>
    <n v="156778.01999999999"/>
    <n v="0"/>
    <n v="10768"/>
    <n v="146010.01999999999"/>
    <n v="0"/>
    <n v="0"/>
    <n v="0"/>
    <n v="0"/>
    <n v="0"/>
    <n v="0"/>
    <n v="0"/>
    <n v="0"/>
    <n v="0"/>
    <n v="0"/>
    <n v="156778.01999999999"/>
    <n v="0"/>
    <m/>
    <m/>
    <n v="0"/>
    <m/>
    <n v="0"/>
    <m/>
    <n v="10768"/>
    <n v="146010.01999999999"/>
    <n v="0"/>
    <n v="0"/>
    <n v="0"/>
    <n v="0"/>
    <n v="0"/>
    <n v="0"/>
    <n v="0"/>
    <n v="0"/>
    <n v="0"/>
    <n v="0"/>
    <n v="156778.01999999999"/>
    <n v="10768"/>
    <n v="146010.01999999999"/>
    <n v="0"/>
    <n v="0"/>
    <n v="0"/>
    <n v="0"/>
    <n v="0"/>
    <n v="0"/>
    <n v="0"/>
    <n v="0"/>
    <n v="0"/>
    <n v="0"/>
    <n v="156778.01999999999"/>
  </r>
  <r>
    <s v="N-ERP-555"/>
    <s v="Dougherty, Chris_SOFTWARE_IT-SFT1457-OG-US-00"/>
    <s v="ERP-N"/>
    <x v="0"/>
    <s v="Dougherty, Chris"/>
    <s v="Maguire, Karla"/>
    <x v="0"/>
    <s v="SAP DI New Contract"/>
    <m/>
    <m/>
    <s v="IT-SFT1457-OG-US-00"/>
    <m/>
    <m/>
    <s v="Yes"/>
    <s v="2026 Pullforward"/>
    <s v="4/28/26 CHW New add to tie-out 0223 to 0317 Planful Extracts 0"/>
    <m/>
    <n v="169614.9"/>
    <n v="169614.9"/>
    <n v="169614.9"/>
    <n v="0"/>
    <m/>
    <m/>
    <m/>
    <n v="0"/>
    <n v="0"/>
    <n v="0"/>
    <n v="0"/>
    <n v="0"/>
    <n v="0"/>
    <n v="0"/>
    <n v="0"/>
    <n v="0"/>
    <n v="0"/>
    <n v="-169614.9"/>
    <m/>
    <m/>
    <n v="0"/>
    <m/>
    <n v="-169614.9"/>
    <m/>
    <m/>
    <m/>
    <m/>
    <n v="0"/>
    <n v="0"/>
    <n v="0"/>
    <n v="0"/>
    <n v="0"/>
    <n v="0"/>
    <n v="0"/>
    <n v="0"/>
    <n v="0"/>
    <n v="0"/>
    <n v="169614.9"/>
    <n v="0"/>
    <n v="0"/>
    <n v="0"/>
    <n v="0"/>
    <n v="0"/>
    <n v="0"/>
    <n v="0"/>
    <n v="0"/>
    <n v="0"/>
    <n v="0"/>
    <n v="0"/>
    <n v="169614.9"/>
  </r>
  <r>
    <s v="N-ERP-556"/>
    <s v="Dougherty, Chris_SOFTWARE_IT-SFT1457-OG-US-00/PF"/>
    <s v="ERP-N"/>
    <x v="0"/>
    <s v="Dougherty, Chris"/>
    <s v="Maguire, Karla"/>
    <x v="0"/>
    <s v="SAP DI New Contract (Pullforward Credit)"/>
    <m/>
    <m/>
    <s v="IT-SFT1457-OG-US-00/PF"/>
    <m/>
    <m/>
    <s v="Yes"/>
    <s v="2026 Pullforward"/>
    <s v="4/28/26 CHW New add to tie-out 0223 to 0317 Planful Extracts should credit be included in LE2 submission?; AP2 comment: missing PF credit"/>
    <m/>
    <n v="-169614.9"/>
    <n v="-169614.9"/>
    <n v="-169614.9"/>
    <n v="0"/>
    <m/>
    <m/>
    <m/>
    <n v="0"/>
    <n v="0"/>
    <n v="0"/>
    <n v="0"/>
    <n v="0"/>
    <n v="0"/>
    <n v="0"/>
    <n v="0"/>
    <n v="0"/>
    <n v="0"/>
    <n v="169614.9"/>
    <m/>
    <m/>
    <n v="0"/>
    <m/>
    <n v="169614.9"/>
    <m/>
    <m/>
    <m/>
    <m/>
    <n v="0"/>
    <n v="0"/>
    <n v="0"/>
    <n v="0"/>
    <n v="0"/>
    <n v="0"/>
    <n v="0"/>
    <n v="0"/>
    <n v="0"/>
    <n v="0"/>
    <n v="-169614.9"/>
    <n v="0"/>
    <n v="0"/>
    <n v="0"/>
    <n v="0"/>
    <n v="0"/>
    <n v="0"/>
    <n v="0"/>
    <n v="0"/>
    <n v="0"/>
    <n v="0"/>
    <n v="0"/>
    <n v="-169614.9"/>
  </r>
  <r>
    <s v="L-ERP-554"/>
    <s v="Vaidya, Sachin_CONTRACTORS_IT-SFT1458-OG-US-00"/>
    <s v="ERP"/>
    <x v="1"/>
    <s v="Vaidya, Sachin"/>
    <s v="DeHart, Lynn"/>
    <x v="2"/>
    <s v="SAP Intelligent Service Cloud (ISC) Software and AI cost"/>
    <m/>
    <m/>
    <s v="IT-SFT1458-OG-US-00"/>
    <m/>
    <m/>
    <m/>
    <s v="None"/>
    <s v="Sachin (4/30): This WBS was created with the wrong expense category hence the charge was reversed. This row can be removed. Its replaced by row 422."/>
    <m/>
    <n v="0"/>
    <n v="0"/>
    <n v="0"/>
    <n v="0"/>
    <m/>
    <n v="304987.09999999998"/>
    <n v="-304987.09999999998"/>
    <m/>
    <m/>
    <m/>
    <m/>
    <m/>
    <m/>
    <m/>
    <m/>
    <m/>
    <n v="0"/>
    <n v="0"/>
    <m/>
    <m/>
    <n v="0"/>
    <m/>
    <n v="0"/>
    <m/>
    <m/>
    <n v="304987.09999999998"/>
    <n v="-304987.09999999998"/>
    <m/>
    <m/>
    <m/>
    <m/>
    <m/>
    <m/>
    <m/>
    <m/>
    <m/>
    <n v="0"/>
    <m/>
    <n v="304987.09999999998"/>
    <n v="-304987.09999999998"/>
    <m/>
    <m/>
    <m/>
    <m/>
    <m/>
    <m/>
    <m/>
    <m/>
    <m/>
    <n v="0"/>
  </r>
  <r>
    <s v="L-ERP-560"/>
    <s v="Vaidya, Sachin_SOFTWARE_IT-SFT1458-OG-US-00"/>
    <s v="ERP"/>
    <x v="1"/>
    <s v="Vaidya, Sachin"/>
    <s v="DeHart, Lynn"/>
    <x v="0"/>
    <s v="SAP Intelligent Service Cloud (ISC) Software and AI cost"/>
    <m/>
    <m/>
    <s v="IT-SFT1458-OG-US-00"/>
    <m/>
    <m/>
    <m/>
    <s v="None"/>
    <s v="Sachin (4/30): OK"/>
    <m/>
    <n v="353631"/>
    <n v="353631"/>
    <n v="353631"/>
    <n v="0"/>
    <m/>
    <m/>
    <n v="304987.09999999998"/>
    <n v="0"/>
    <n v="0"/>
    <n v="0"/>
    <n v="0"/>
    <n v="0"/>
    <n v="48643.9"/>
    <n v="0"/>
    <n v="0"/>
    <n v="0"/>
    <n v="353631"/>
    <n v="0"/>
    <m/>
    <m/>
    <n v="0"/>
    <m/>
    <n v="0"/>
    <m/>
    <m/>
    <m/>
    <n v="304987.09999999998"/>
    <n v="0"/>
    <n v="0"/>
    <n v="0"/>
    <n v="0"/>
    <n v="0"/>
    <n v="48643.9"/>
    <n v="0"/>
    <n v="0"/>
    <n v="0"/>
    <n v="353631"/>
    <m/>
    <m/>
    <n v="304987.09999999998"/>
    <n v="0"/>
    <n v="0"/>
    <n v="0"/>
    <n v="24321.95"/>
    <n v="24321.95"/>
    <n v="0"/>
    <n v="0"/>
    <n v="0"/>
    <n v="0"/>
    <n v="353631"/>
  </r>
  <r>
    <s v="L-ERP-555"/>
    <s v="Vaidya, Sachin_CONTRACTORS_IT-SFT1459-OG-US-00"/>
    <s v="ERP"/>
    <x v="1"/>
    <s v="Vaidya, Sachin"/>
    <s v="DeHart, Lynn"/>
    <x v="2"/>
    <s v="Conexiom Software and Support cost"/>
    <m/>
    <m/>
    <s v="IT-SFT1459-OG-US-00"/>
    <m/>
    <m/>
    <m/>
    <s v="None"/>
    <s v="Sachin (4/30): This WBS was created with the wrong expense category hence the charge was reversed. This row can be removed. Its replaced by row 423."/>
    <m/>
    <n v="0"/>
    <n v="0"/>
    <n v="0"/>
    <n v="0"/>
    <m/>
    <n v="331000"/>
    <n v="-331000"/>
    <m/>
    <m/>
    <m/>
    <m/>
    <m/>
    <m/>
    <m/>
    <m/>
    <m/>
    <n v="0"/>
    <n v="0"/>
    <m/>
    <m/>
    <n v="0"/>
    <m/>
    <n v="0"/>
    <m/>
    <m/>
    <n v="331000"/>
    <n v="-331000"/>
    <m/>
    <m/>
    <m/>
    <m/>
    <m/>
    <m/>
    <m/>
    <m/>
    <m/>
    <n v="0"/>
    <m/>
    <n v="331000"/>
    <n v="-331000"/>
    <m/>
    <m/>
    <m/>
    <m/>
    <m/>
    <m/>
    <m/>
    <m/>
    <m/>
    <n v="0"/>
  </r>
  <r>
    <s v="L-ERP-561"/>
    <s v="Vaidya, Sachin_SOFTWARE_IT-SFT1459-OG-US-00"/>
    <s v="ERP"/>
    <x v="1"/>
    <s v="Vaidya, Sachin"/>
    <s v="DeHart, Lynn"/>
    <x v="0"/>
    <s v="Conexiom Software and Support cost"/>
    <m/>
    <m/>
    <s v="IT-SFT1459-OG-US-00"/>
    <m/>
    <m/>
    <m/>
    <s v="None"/>
    <s v="Sachin (4/30): OK"/>
    <m/>
    <n v="434000"/>
    <n v="434000"/>
    <n v="434000"/>
    <n v="0"/>
    <m/>
    <m/>
    <n v="331000"/>
    <n v="0"/>
    <n v="0"/>
    <n v="81000"/>
    <n v="0"/>
    <n v="0"/>
    <n v="0"/>
    <n v="22000"/>
    <n v="0"/>
    <n v="0"/>
    <n v="434000"/>
    <n v="0"/>
    <m/>
    <m/>
    <n v="0"/>
    <m/>
    <n v="0"/>
    <m/>
    <m/>
    <m/>
    <n v="331000"/>
    <n v="0"/>
    <n v="0"/>
    <n v="81000"/>
    <n v="0"/>
    <n v="0"/>
    <n v="0"/>
    <n v="22000"/>
    <n v="0"/>
    <n v="0"/>
    <n v="434000"/>
    <m/>
    <m/>
    <n v="331000"/>
    <n v="0"/>
    <n v="0"/>
    <n v="0"/>
    <n v="0"/>
    <n v="103000"/>
    <n v="0"/>
    <n v="0"/>
    <n v="0"/>
    <n v="0"/>
    <n v="434000"/>
  </r>
  <r>
    <s v="L-ERP-562"/>
    <s v="Vaidya, Sachin_SOFTWARE_IT-SFT1461-OG-US-00"/>
    <s v="ERP"/>
    <x v="1"/>
    <s v="Vaidya, Sachin"/>
    <s v="DeHart, Lynn"/>
    <x v="0"/>
    <s v="Kazakhstan Legal Entity in SAP - Edicom Connection Fees"/>
    <m/>
    <m/>
    <s v="IT-SFT1461-OG-US-00"/>
    <m/>
    <m/>
    <m/>
    <s v="None"/>
    <s v="Sachin (4/30): This funding is no longer needed"/>
    <m/>
    <n v="15096"/>
    <n v="15096"/>
    <n v="15096"/>
    <n v="0"/>
    <m/>
    <m/>
    <m/>
    <n v="0"/>
    <n v="0"/>
    <n v="0"/>
    <n v="0"/>
    <n v="0"/>
    <n v="0"/>
    <n v="0"/>
    <n v="0"/>
    <n v="0"/>
    <n v="0"/>
    <n v="-15096"/>
    <m/>
    <m/>
    <n v="0"/>
    <m/>
    <n v="-15096"/>
    <m/>
    <m/>
    <m/>
    <m/>
    <n v="0"/>
    <n v="0"/>
    <n v="0"/>
    <n v="0"/>
    <n v="0"/>
    <n v="0"/>
    <n v="0"/>
    <n v="0"/>
    <n v="0"/>
    <n v="0"/>
    <m/>
    <m/>
    <m/>
    <m/>
    <m/>
    <n v="15096"/>
    <n v="0"/>
    <n v="0"/>
    <n v="0"/>
    <n v="0"/>
    <n v="0"/>
    <n v="0"/>
    <n v="15096"/>
  </r>
  <r>
    <s v="N-ERP-617"/>
    <s v="Vaidya, Sachin_SOFTWARE_IT-SFT1462-OG-US-00"/>
    <s v="ERP-N"/>
    <x v="1"/>
    <s v="Vaidya, Sachin"/>
    <s v="DeHart, Lynn"/>
    <x v="0"/>
    <s v="SAP Intelligent Service Cloud - IBM BTAMS support costs (1 FTE)"/>
    <m/>
    <m/>
    <s v="IT-SFT1462-OG-US-00"/>
    <m/>
    <m/>
    <m/>
    <s v="None"/>
    <s v="4/28/26 CHW New add to tie-out 0223 to 0317 Planful Extracts_x000a_Sachin (4/30): This row can be removed. Its duplicate of row 284"/>
    <m/>
    <n v="120000"/>
    <n v="120000"/>
    <n v="120000"/>
    <n v="0"/>
    <n v="0"/>
    <n v="0"/>
    <n v="0"/>
    <n v="0"/>
    <n v="0"/>
    <n v="0"/>
    <n v="0"/>
    <n v="0"/>
    <n v="0"/>
    <n v="0"/>
    <n v="0"/>
    <n v="0"/>
    <n v="0"/>
    <n v="-120000"/>
    <m/>
    <m/>
    <n v="0"/>
    <m/>
    <n v="-120000"/>
    <s v="Acct Mvmnt - IT-CTR0151-OG-US-00/IT-SFT1462-OG-US-00; Sachin (4/30): This row can be removed. Its duplicate of row 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20000"/>
    <n v="20000"/>
    <n v="20000"/>
    <n v="20000"/>
    <n v="20000"/>
    <n v="120000"/>
  </r>
  <r>
    <s v="L-ERP-256"/>
    <s v="Jajodia, Amit_RENT AND UTILITIES_KM_CompanyCar001"/>
    <s v="ERP"/>
    <x v="1"/>
    <s v="Jajodia, Amit"/>
    <s v="DeHart, Lynn"/>
    <x v="8"/>
    <s v="Company Car - Canada - Jean Francois Bouthillier (vehicle number on Fleet Billing) 23227"/>
    <m/>
    <m/>
    <s v="KM_CompanyCar001"/>
    <m/>
    <m/>
    <m/>
    <s v="Other / Car"/>
    <m/>
    <m/>
    <n v="17000"/>
    <n v="17000"/>
    <n v="17000"/>
    <n v="0"/>
    <m/>
    <n v="1512.59"/>
    <n v="814.25"/>
    <n v="1250"/>
    <n v="1500"/>
    <n v="1500"/>
    <n v="1500"/>
    <n v="1500"/>
    <n v="1500"/>
    <n v="1500"/>
    <n v="1500"/>
    <n v="1500"/>
    <n v="15576.84"/>
    <n v="-1423.1599999999999"/>
    <m/>
    <m/>
    <n v="0"/>
    <m/>
    <n v="-1423.1599999999999"/>
    <m/>
    <m/>
    <n v="1512.59"/>
    <n v="814.25"/>
    <n v="1250"/>
    <n v="1500"/>
    <n v="1500"/>
    <n v="1500"/>
    <n v="1500"/>
    <n v="1500"/>
    <n v="1500"/>
    <n v="1500"/>
    <n v="1500"/>
    <n v="15576.84"/>
    <m/>
    <n v="1512.59"/>
    <n v="814.25"/>
    <n v="1250"/>
    <n v="1500"/>
    <n v="1500"/>
    <n v="1500"/>
    <n v="1500"/>
    <n v="1500"/>
    <n v="1500"/>
    <n v="1500"/>
    <n v="1500"/>
    <n v="15576.84"/>
  </r>
  <r>
    <s v="L-ERP-093"/>
    <s v="Dougherty, Chris_CONTRACTORS_MISC001"/>
    <s v="ERP"/>
    <x v="0"/>
    <s v="Dougherty, Chris"/>
    <s v="Maguire, Karla"/>
    <x v="2"/>
    <s v="Miscellaneous Charges"/>
    <m/>
    <m/>
    <s v="MISC001"/>
    <m/>
    <m/>
    <m/>
    <s v="None"/>
    <m/>
    <m/>
    <n v="0"/>
    <n v="0"/>
    <n v="0"/>
    <n v="0"/>
    <n v="20093.099999999999"/>
    <n v="22504.89"/>
    <n v="-42598.1"/>
    <n v="0"/>
    <n v="0"/>
    <n v="0"/>
    <n v="0"/>
    <n v="0"/>
    <n v="0"/>
    <n v="0"/>
    <n v="0"/>
    <n v="0"/>
    <n v="-0.11000000000058208"/>
    <n v="-0.11000000000058208"/>
    <m/>
    <m/>
    <n v="0"/>
    <m/>
    <n v="-0.11000000000058208"/>
    <m/>
    <n v="20093.099999999999"/>
    <n v="22504.89"/>
    <n v="-42598.1"/>
    <n v="0"/>
    <n v="0"/>
    <n v="0"/>
    <n v="0"/>
    <n v="0"/>
    <n v="0"/>
    <n v="0"/>
    <n v="0"/>
    <n v="0"/>
    <n v="-0.11000000000058208"/>
    <n v="20093.099999999999"/>
    <n v="22504.89"/>
    <n v="-42598.1"/>
    <n v="0"/>
    <n v="0"/>
    <n v="0"/>
    <n v="0"/>
    <n v="0"/>
    <n v="0"/>
    <n v="0"/>
    <n v="0"/>
    <n v="0"/>
    <n v="-0.11000000000058208"/>
  </r>
  <r>
    <s v="L-ERP-325"/>
    <s v="Maguire, Karla_CONTRACTORS_MISC001"/>
    <s v="ERP"/>
    <x v="0"/>
    <s v="Maguire, Karla"/>
    <s v="Maguire, Karla"/>
    <x v="2"/>
    <s v="Miscellaneous Charges"/>
    <m/>
    <m/>
    <s v="MISC001"/>
    <m/>
    <m/>
    <m/>
    <s v="None"/>
    <m/>
    <m/>
    <n v="0"/>
    <n v="0"/>
    <n v="0"/>
    <n v="0"/>
    <n v="669.53"/>
    <n v="7.26"/>
    <n v="543.96"/>
    <n v="0"/>
    <n v="0"/>
    <n v="0"/>
    <n v="0"/>
    <n v="0"/>
    <n v="0"/>
    <n v="0"/>
    <n v="0"/>
    <n v="0"/>
    <n v="1220.75"/>
    <n v="1220.75"/>
    <m/>
    <m/>
    <n v="0"/>
    <m/>
    <n v="1220.75"/>
    <m/>
    <n v="669.53"/>
    <n v="7.26"/>
    <n v="543.96"/>
    <n v="0"/>
    <n v="0"/>
    <n v="0"/>
    <n v="0"/>
    <n v="0"/>
    <n v="0"/>
    <n v="0"/>
    <n v="0"/>
    <n v="0"/>
    <n v="1220.75"/>
    <n v="669.53"/>
    <n v="7.26"/>
    <n v="543.96"/>
    <n v="0"/>
    <n v="0"/>
    <n v="0"/>
    <n v="0"/>
    <n v="0"/>
    <n v="0"/>
    <n v="0"/>
    <n v="0"/>
    <n v="0"/>
    <n v="1220.75"/>
  </r>
  <r>
    <s v="L-ERP-371"/>
    <s v="McCormick, Pete_CONTRACTORS_MISC001"/>
    <s v="ERP"/>
    <x v="0"/>
    <s v="McCormick, Pete"/>
    <s v="Maguire, Karla"/>
    <x v="2"/>
    <s v="Miscellaneous Charges"/>
    <m/>
    <m/>
    <s v="MISC001"/>
    <m/>
    <m/>
    <m/>
    <s v="None"/>
    <m/>
    <m/>
    <n v="0"/>
    <n v="0"/>
    <n v="0"/>
    <n v="0"/>
    <n v="-0.36"/>
    <n v="0.35"/>
    <n v="5030.57"/>
    <n v="0"/>
    <n v="0"/>
    <n v="0"/>
    <n v="0"/>
    <n v="0"/>
    <n v="0"/>
    <n v="0"/>
    <n v="0"/>
    <n v="0"/>
    <n v="5030.5599999999995"/>
    <n v="5030.5599999999995"/>
    <m/>
    <m/>
    <n v="-9.0949470177292824E-13"/>
    <m/>
    <n v="5030.5599999999995"/>
    <m/>
    <n v="-0.36"/>
    <n v="0.35"/>
    <n v="5030.57"/>
    <n v="0"/>
    <n v="0"/>
    <n v="0"/>
    <n v="0"/>
    <n v="0"/>
    <n v="0"/>
    <n v="0"/>
    <n v="0"/>
    <n v="0"/>
    <n v="5030.5599999999995"/>
    <n v="-0.36"/>
    <n v="0.35"/>
    <n v="5030.57"/>
    <n v="0"/>
    <n v="0"/>
    <n v="0"/>
    <n v="0"/>
    <n v="0"/>
    <n v="0"/>
    <n v="0"/>
    <n v="0"/>
    <n v="0"/>
    <n v="5030.5599999999995"/>
  </r>
  <r>
    <s v="L-ERP-445"/>
    <s v="Meadows, Leslie_CONTRACTORS_MISC001"/>
    <s v="ERP"/>
    <x v="0"/>
    <s v="Meadows, Leslie"/>
    <s v="Maguire, Karla"/>
    <x v="2"/>
    <s v="Miscellaneous Charges"/>
    <m/>
    <m/>
    <s v="MISC001"/>
    <m/>
    <m/>
    <m/>
    <s v="None"/>
    <m/>
    <m/>
    <n v="0"/>
    <n v="0"/>
    <n v="0"/>
    <n v="0"/>
    <n v="-0.38"/>
    <n v="0.21"/>
    <n v="-0.09"/>
    <n v="0"/>
    <n v="0"/>
    <n v="0"/>
    <n v="0"/>
    <n v="0"/>
    <n v="0"/>
    <n v="0"/>
    <n v="0"/>
    <n v="0"/>
    <n v="-0.26"/>
    <n v="-0.26"/>
    <m/>
    <m/>
    <n v="0"/>
    <m/>
    <n v="-0.26"/>
    <m/>
    <n v="-0.38"/>
    <n v="0.21"/>
    <n v="-0.09"/>
    <n v="0"/>
    <n v="0"/>
    <n v="0"/>
    <n v="0"/>
    <n v="0"/>
    <n v="0"/>
    <n v="0"/>
    <n v="0"/>
    <n v="0"/>
    <n v="-0.26"/>
    <n v="-0.38"/>
    <n v="0.21"/>
    <n v="-0.09"/>
    <n v="0"/>
    <n v="0"/>
    <n v="0"/>
    <n v="0"/>
    <n v="0"/>
    <n v="0"/>
    <n v="0"/>
    <n v="0"/>
    <n v="0"/>
    <n v="-0.26"/>
  </r>
  <r>
    <s v="L-ERP-541"/>
    <s v="Tamavada, Ram_CONTRACTORS_MISC001"/>
    <s v="ERP"/>
    <x v="0"/>
    <s v="Tamavada, Ram"/>
    <s v="Maguire, Karla"/>
    <x v="2"/>
    <s v="Miscellaneous Charges"/>
    <m/>
    <m/>
    <s v="MISC001"/>
    <m/>
    <m/>
    <m/>
    <s v="None"/>
    <m/>
    <m/>
    <n v="0"/>
    <n v="0"/>
    <n v="0"/>
    <n v="0"/>
    <m/>
    <n v="0.01"/>
    <n v="0.34"/>
    <n v="0"/>
    <n v="0"/>
    <n v="0"/>
    <n v="0"/>
    <n v="0"/>
    <n v="0"/>
    <n v="0"/>
    <n v="0"/>
    <n v="0"/>
    <n v="0.35000000000000003"/>
    <n v="0.35000000000000003"/>
    <m/>
    <m/>
    <n v="0"/>
    <m/>
    <n v="0.35000000000000003"/>
    <m/>
    <m/>
    <n v="0.01"/>
    <n v="0.34"/>
    <n v="0"/>
    <n v="0"/>
    <n v="0"/>
    <n v="0"/>
    <n v="0"/>
    <n v="0"/>
    <n v="0"/>
    <n v="0"/>
    <n v="0"/>
    <n v="0.35000000000000003"/>
    <m/>
    <n v="0.01"/>
    <n v="0.34"/>
    <n v="0"/>
    <n v="0"/>
    <n v="0"/>
    <n v="0"/>
    <n v="0"/>
    <n v="0"/>
    <n v="0"/>
    <n v="0"/>
    <n v="0"/>
    <n v="0.35000000000000003"/>
  </r>
  <r>
    <s v="L-ERP-331"/>
    <s v="Maguire, Karla_HW MAINTENANCE_MISC001"/>
    <s v="ERP"/>
    <x v="0"/>
    <s v="Maguire, Karla"/>
    <s v="Maguire, Karla"/>
    <x v="3"/>
    <s v="Miscellaneous Charges"/>
    <m/>
    <m/>
    <s v="MISC001"/>
    <m/>
    <m/>
    <m/>
    <s v="None"/>
    <m/>
    <m/>
    <n v="0"/>
    <n v="0"/>
    <n v="0"/>
    <n v="0"/>
    <n v="-0.1"/>
    <n v="-0.09"/>
    <n v="0.81"/>
    <n v="0"/>
    <n v="0"/>
    <n v="0"/>
    <n v="0"/>
    <n v="0"/>
    <n v="0"/>
    <n v="0"/>
    <n v="0"/>
    <n v="0"/>
    <n v="0.62000000000000011"/>
    <n v="0.62000000000000011"/>
    <m/>
    <m/>
    <n v="0"/>
    <m/>
    <n v="0.62000000000000011"/>
    <m/>
    <n v="-0.1"/>
    <n v="-0.09"/>
    <n v="0.81"/>
    <n v="0"/>
    <n v="0"/>
    <n v="0"/>
    <n v="0"/>
    <n v="0"/>
    <n v="0"/>
    <n v="0"/>
    <n v="0"/>
    <n v="0"/>
    <n v="0.62000000000000011"/>
    <n v="-0.1"/>
    <n v="-0.09"/>
    <n v="0.81"/>
    <n v="0"/>
    <n v="0"/>
    <n v="0"/>
    <n v="0"/>
    <n v="0"/>
    <n v="0"/>
    <n v="0"/>
    <n v="0"/>
    <n v="0"/>
    <n v="0.62000000000000011"/>
  </r>
  <r>
    <s v="L-ERP-097"/>
    <s v="Dougherty, Chris_MANAGED SERVICES_MISC001"/>
    <s v="ERP"/>
    <x v="0"/>
    <s v="Dougherty, Chris"/>
    <s v="Maguire, Karla"/>
    <x v="1"/>
    <s v="Miscellaneous Charges"/>
    <m/>
    <m/>
    <s v="MISC001"/>
    <m/>
    <m/>
    <m/>
    <s v="None"/>
    <m/>
    <m/>
    <n v="0"/>
    <n v="0"/>
    <n v="0"/>
    <n v="0"/>
    <n v="7.0000000000000007E-2"/>
    <n v="-0.2"/>
    <n v="0.16"/>
    <n v="0"/>
    <n v="0"/>
    <n v="0"/>
    <n v="0"/>
    <n v="0"/>
    <n v="0"/>
    <n v="0"/>
    <n v="0"/>
    <n v="0"/>
    <n v="0.03"/>
    <n v="0.03"/>
    <m/>
    <m/>
    <n v="0"/>
    <m/>
    <n v="0.03"/>
    <m/>
    <n v="7.0000000000000007E-2"/>
    <n v="-0.2"/>
    <n v="0.16"/>
    <n v="0"/>
    <n v="0"/>
    <n v="0"/>
    <n v="0"/>
    <n v="0"/>
    <n v="0"/>
    <n v="0"/>
    <n v="0"/>
    <n v="0"/>
    <n v="0.03"/>
    <n v="7.0000000000000007E-2"/>
    <n v="-0.2"/>
    <n v="0.16"/>
    <n v="0"/>
    <n v="0"/>
    <n v="0"/>
    <n v="0"/>
    <n v="0"/>
    <n v="0"/>
    <n v="0"/>
    <n v="0"/>
    <n v="0"/>
    <n v="0.03"/>
  </r>
  <r>
    <s v="L-ERP-335"/>
    <s v="Maguire, Karla_MANAGED SERVICES_MISC001"/>
    <s v="ERP"/>
    <x v="0"/>
    <s v="Maguire, Karla"/>
    <s v="Maguire, Karla"/>
    <x v="1"/>
    <s v="Miscellaneous Charges"/>
    <m/>
    <m/>
    <s v="MISC001"/>
    <m/>
    <m/>
    <m/>
    <s v="None"/>
    <m/>
    <m/>
    <n v="0"/>
    <n v="0"/>
    <n v="0"/>
    <n v="0"/>
    <n v="843.63"/>
    <n v="-313.26"/>
    <n v="1246.81"/>
    <n v="0"/>
    <n v="0"/>
    <n v="0"/>
    <n v="0"/>
    <n v="0"/>
    <n v="0"/>
    <n v="0"/>
    <n v="0"/>
    <n v="0"/>
    <n v="1777.1799999999998"/>
    <n v="1777.1799999999998"/>
    <m/>
    <m/>
    <n v="0"/>
    <m/>
    <n v="1777.1799999999998"/>
    <m/>
    <n v="843.63"/>
    <n v="-313.26"/>
    <n v="1246.81"/>
    <n v="0"/>
    <n v="0"/>
    <n v="0"/>
    <n v="0"/>
    <n v="0"/>
    <n v="0"/>
    <n v="0"/>
    <n v="0"/>
    <n v="0"/>
    <n v="1777.1799999999998"/>
    <n v="843.63"/>
    <n v="-313.26"/>
    <n v="1246.81"/>
    <n v="0"/>
    <n v="0"/>
    <n v="0"/>
    <n v="0"/>
    <n v="0"/>
    <n v="0"/>
    <n v="0"/>
    <n v="0"/>
    <n v="0"/>
    <n v="1777.1799999999998"/>
  </r>
  <r>
    <s v="L-ERP-374"/>
    <s v="McCormick, Pete_MANAGED SERVICES_MISC001"/>
    <s v="ERP"/>
    <x v="0"/>
    <s v="McCormick, Pete"/>
    <s v="Maguire, Karla"/>
    <x v="1"/>
    <s v="Miscellaneous Charges"/>
    <m/>
    <m/>
    <s v="MISC001"/>
    <m/>
    <m/>
    <m/>
    <s v="None"/>
    <m/>
    <m/>
    <n v="0"/>
    <n v="0"/>
    <n v="0"/>
    <n v="0"/>
    <n v="0.02"/>
    <n v="0.04"/>
    <n v="-0.18"/>
    <n v="0"/>
    <n v="0"/>
    <n v="0"/>
    <n v="0"/>
    <n v="0"/>
    <n v="0"/>
    <n v="0"/>
    <n v="0"/>
    <n v="0"/>
    <n v="-0.12"/>
    <n v="-0.12"/>
    <m/>
    <m/>
    <n v="0"/>
    <m/>
    <n v="-0.12"/>
    <m/>
    <n v="0.02"/>
    <n v="0.04"/>
    <n v="-0.18"/>
    <n v="0"/>
    <n v="0"/>
    <n v="0"/>
    <n v="0"/>
    <n v="0"/>
    <n v="0"/>
    <n v="0"/>
    <n v="0"/>
    <n v="0"/>
    <n v="-0.12"/>
    <n v="0.02"/>
    <n v="0.04"/>
    <n v="-0.18"/>
    <n v="0"/>
    <n v="0"/>
    <n v="0"/>
    <n v="0"/>
    <n v="0"/>
    <n v="0"/>
    <n v="0"/>
    <n v="0"/>
    <n v="0"/>
    <n v="-0.12"/>
  </r>
  <r>
    <s v="L-ERP-447"/>
    <s v="Meadows, Leslie_MANAGED SERVICES_MISC001"/>
    <s v="ERP"/>
    <x v="0"/>
    <s v="Meadows, Leslie"/>
    <s v="Maguire, Karla"/>
    <x v="1"/>
    <s v="Miscellaneous Charges"/>
    <m/>
    <m/>
    <s v="MISC001"/>
    <m/>
    <m/>
    <m/>
    <s v="None"/>
    <m/>
    <m/>
    <n v="0"/>
    <n v="0"/>
    <n v="0"/>
    <n v="0"/>
    <m/>
    <n v="0.42"/>
    <n v="-0.59"/>
    <n v="0"/>
    <n v="0"/>
    <n v="0"/>
    <n v="0"/>
    <n v="0"/>
    <n v="0"/>
    <n v="0"/>
    <n v="0"/>
    <n v="0"/>
    <n v="-0.16999999999999998"/>
    <n v="-0.16999999999999998"/>
    <m/>
    <m/>
    <n v="0"/>
    <m/>
    <n v="-0.16999999999999998"/>
    <m/>
    <m/>
    <n v="0.42"/>
    <n v="-0.59"/>
    <n v="0"/>
    <n v="0"/>
    <n v="0"/>
    <n v="0"/>
    <n v="0"/>
    <n v="0"/>
    <n v="0"/>
    <n v="0"/>
    <n v="0"/>
    <n v="-0.16999999999999998"/>
    <m/>
    <n v="0.42"/>
    <n v="-0.59"/>
    <n v="0"/>
    <n v="0"/>
    <n v="0"/>
    <n v="0"/>
    <n v="0"/>
    <n v="0"/>
    <n v="0"/>
    <n v="0"/>
    <n v="0"/>
    <n v="-0.16999999999999998"/>
  </r>
  <r>
    <s v="L-ERP-548"/>
    <s v="Tamavada, Ram_MANAGED SERVICES_MISC001"/>
    <s v="ERP"/>
    <x v="0"/>
    <s v="Tamavada, Ram"/>
    <s v="Maguire, Karla"/>
    <x v="1"/>
    <s v="Miscellaneous Charges"/>
    <m/>
    <m/>
    <s v="MISC001"/>
    <m/>
    <m/>
    <m/>
    <s v="None"/>
    <m/>
    <m/>
    <n v="0"/>
    <n v="0"/>
    <n v="0"/>
    <n v="0"/>
    <n v="0.22"/>
    <n v="45000.28"/>
    <n v="-5004.5"/>
    <n v="0"/>
    <n v="0"/>
    <n v="0"/>
    <n v="0"/>
    <n v="0"/>
    <n v="0"/>
    <n v="0"/>
    <n v="0"/>
    <n v="0"/>
    <n v="39996"/>
    <n v="39996"/>
    <m/>
    <m/>
    <n v="0"/>
    <m/>
    <n v="39996"/>
    <m/>
    <n v="0.22"/>
    <n v="45000.28"/>
    <n v="-5004.5"/>
    <n v="0"/>
    <n v="0"/>
    <n v="0"/>
    <n v="0"/>
    <n v="0"/>
    <n v="0"/>
    <n v="0"/>
    <n v="0"/>
    <n v="0"/>
    <n v="39996"/>
    <n v="0.22"/>
    <n v="45000.28"/>
    <n v="-5004.5"/>
    <n v="0"/>
    <n v="0"/>
    <n v="0"/>
    <n v="0"/>
    <n v="0"/>
    <n v="0"/>
    <n v="0"/>
    <n v="0"/>
    <n v="0"/>
    <n v="39996"/>
  </r>
  <r>
    <s v="L-ERP-101"/>
    <s v="Dougherty, Chris_SOFTWARE_MISC001"/>
    <s v="ERP"/>
    <x v="0"/>
    <s v="Dougherty, Chris"/>
    <s v="Maguire, Karla"/>
    <x v="0"/>
    <s v="Miscellaneous Charges"/>
    <m/>
    <m/>
    <s v="MISC001"/>
    <m/>
    <m/>
    <m/>
    <s v="None"/>
    <m/>
    <m/>
    <n v="0"/>
    <n v="0"/>
    <n v="0"/>
    <n v="0"/>
    <n v="0.32"/>
    <n v="-0.45"/>
    <n v="0.43"/>
    <n v="0"/>
    <n v="0"/>
    <n v="0"/>
    <n v="0"/>
    <n v="0"/>
    <n v="0"/>
    <n v="0"/>
    <n v="0"/>
    <n v="0"/>
    <n v="0.3"/>
    <n v="0.3"/>
    <m/>
    <m/>
    <n v="0"/>
    <m/>
    <n v="0.3"/>
    <m/>
    <n v="0.32"/>
    <n v="-0.45"/>
    <n v="0.43"/>
    <n v="0"/>
    <n v="0"/>
    <n v="0"/>
    <n v="0"/>
    <n v="0"/>
    <n v="0"/>
    <n v="0"/>
    <n v="0"/>
    <n v="0"/>
    <n v="0.3"/>
    <n v="0.32"/>
    <n v="-0.45"/>
    <n v="0.43"/>
    <n v="0"/>
    <n v="0"/>
    <n v="0"/>
    <n v="0"/>
    <n v="0"/>
    <n v="0"/>
    <n v="0"/>
    <n v="0"/>
    <n v="0"/>
    <n v="0.3"/>
  </r>
  <r>
    <s v="L-ERP-340"/>
    <s v="Maguire, Karla_SOFTWARE_MISC001"/>
    <s v="ERP"/>
    <x v="0"/>
    <s v="Maguire, Karla"/>
    <s v="Maguire, Karla"/>
    <x v="0"/>
    <s v="Miscellaneous Charges"/>
    <m/>
    <m/>
    <s v="MISC001"/>
    <m/>
    <m/>
    <m/>
    <s v="None"/>
    <m/>
    <m/>
    <n v="0"/>
    <n v="0"/>
    <n v="0"/>
    <n v="0"/>
    <n v="0.19"/>
    <n v="-0.3"/>
    <n v="-1868.81"/>
    <n v="0"/>
    <n v="0"/>
    <n v="0"/>
    <n v="0"/>
    <n v="0"/>
    <n v="0"/>
    <n v="0"/>
    <n v="0"/>
    <n v="0"/>
    <n v="-1868.9199999999998"/>
    <n v="-1868.9199999999998"/>
    <m/>
    <m/>
    <n v="0"/>
    <m/>
    <n v="-1868.9199999999998"/>
    <m/>
    <n v="0.19"/>
    <n v="-0.3"/>
    <n v="-1868.81"/>
    <n v="0"/>
    <n v="0"/>
    <n v="0"/>
    <n v="0"/>
    <n v="0"/>
    <n v="0"/>
    <n v="0"/>
    <n v="0"/>
    <n v="0"/>
    <n v="-1868.9199999999998"/>
    <n v="0.19"/>
    <n v="-0.3"/>
    <n v="-1868.81"/>
    <n v="0"/>
    <n v="0"/>
    <n v="0"/>
    <n v="0"/>
    <n v="0"/>
    <n v="0"/>
    <n v="0"/>
    <n v="0"/>
    <n v="0"/>
    <n v="-1868.9199999999998"/>
  </r>
  <r>
    <s v="L-ERP-377"/>
    <s v="McCormick, Pete_SOFTWARE_MISC001"/>
    <s v="ERP"/>
    <x v="0"/>
    <s v="McCormick, Pete"/>
    <s v="Maguire, Karla"/>
    <x v="0"/>
    <s v="Miscellaneous Charges"/>
    <m/>
    <m/>
    <s v="MISC001"/>
    <m/>
    <m/>
    <m/>
    <s v="None"/>
    <m/>
    <m/>
    <n v="0"/>
    <n v="0"/>
    <n v="0"/>
    <n v="0"/>
    <n v="-0.15"/>
    <n v="0.31"/>
    <n v="-0.42"/>
    <n v="0"/>
    <n v="0"/>
    <n v="0"/>
    <n v="0"/>
    <n v="0"/>
    <n v="0"/>
    <n v="0"/>
    <n v="0"/>
    <n v="0"/>
    <n v="-0.26"/>
    <n v="-0.26"/>
    <m/>
    <m/>
    <n v="-5.5511151231257827E-17"/>
    <m/>
    <n v="-0.26"/>
    <m/>
    <n v="-0.15"/>
    <n v="0.31"/>
    <n v="-0.42"/>
    <n v="0"/>
    <n v="0"/>
    <n v="0"/>
    <n v="0"/>
    <n v="0"/>
    <n v="0"/>
    <n v="0"/>
    <n v="0"/>
    <n v="0"/>
    <n v="-0.26"/>
    <n v="-0.15"/>
    <n v="0.31"/>
    <n v="-0.42"/>
    <n v="0"/>
    <n v="0"/>
    <n v="0"/>
    <n v="0"/>
    <n v="0"/>
    <n v="0"/>
    <n v="0"/>
    <n v="0"/>
    <n v="0"/>
    <n v="-0.26"/>
  </r>
  <r>
    <s v="L-ERP-448"/>
    <s v="Meadows, Leslie_SOFTWARE_MISC001"/>
    <s v="ERP"/>
    <x v="0"/>
    <s v="Meadows, Leslie"/>
    <s v="Maguire, Karla"/>
    <x v="0"/>
    <s v="Miscellaneous Charges"/>
    <m/>
    <m/>
    <s v="MISC001"/>
    <m/>
    <m/>
    <m/>
    <s v="None"/>
    <m/>
    <m/>
    <n v="0"/>
    <n v="0"/>
    <n v="0"/>
    <n v="0"/>
    <m/>
    <m/>
    <n v="0.26"/>
    <n v="0"/>
    <n v="0"/>
    <n v="0"/>
    <n v="0"/>
    <n v="0"/>
    <n v="0"/>
    <n v="0"/>
    <n v="0"/>
    <n v="0"/>
    <n v="0.26"/>
    <n v="0.26"/>
    <m/>
    <m/>
    <n v="0"/>
    <m/>
    <n v="0.26"/>
    <m/>
    <m/>
    <m/>
    <n v="0.26"/>
    <n v="0"/>
    <n v="0"/>
    <n v="0"/>
    <n v="0"/>
    <n v="0"/>
    <n v="0"/>
    <n v="0"/>
    <n v="0"/>
    <n v="0"/>
    <n v="0.26"/>
    <m/>
    <m/>
    <n v="0.26"/>
    <n v="0"/>
    <n v="0"/>
    <n v="0"/>
    <n v="0"/>
    <n v="0"/>
    <n v="0"/>
    <n v="0"/>
    <n v="0"/>
    <n v="0"/>
    <n v="0.26"/>
  </r>
  <r>
    <s v="L-ERP-476"/>
    <s v="Patel, Nikunj Rohitkumar_SOFTWARE_MISC001"/>
    <s v="ERP"/>
    <x v="0"/>
    <s v="Patel, Nikunj Rohitkumar"/>
    <s v="Maguire, Karla"/>
    <x v="0"/>
    <s v="Miscellaneous Charges"/>
    <m/>
    <m/>
    <s v="MISC001"/>
    <m/>
    <m/>
    <m/>
    <s v="None"/>
    <m/>
    <m/>
    <n v="0"/>
    <n v="0"/>
    <n v="0"/>
    <n v="0"/>
    <m/>
    <m/>
    <n v="0.13"/>
    <n v="0"/>
    <n v="0"/>
    <n v="0"/>
    <n v="0"/>
    <n v="0"/>
    <n v="0"/>
    <n v="0"/>
    <n v="0"/>
    <n v="0"/>
    <n v="0.13"/>
    <n v="0.13"/>
    <m/>
    <m/>
    <n v="0"/>
    <m/>
    <n v="0.13"/>
    <m/>
    <m/>
    <m/>
    <n v="0.13"/>
    <n v="0"/>
    <n v="0"/>
    <n v="0"/>
    <n v="0"/>
    <n v="0"/>
    <n v="0"/>
    <n v="0"/>
    <n v="0"/>
    <n v="0"/>
    <n v="0.13"/>
    <m/>
    <m/>
    <n v="0.13"/>
    <n v="0"/>
    <n v="0"/>
    <n v="0"/>
    <n v="0"/>
    <n v="0"/>
    <n v="0"/>
    <n v="0"/>
    <n v="0"/>
    <n v="0"/>
    <n v="0.13"/>
  </r>
  <r>
    <s v="L-ERP-550"/>
    <s v="Tamavada, Ram_SOFTWARE_MISC001"/>
    <s v="ERP"/>
    <x v="0"/>
    <s v="Tamavada, Ram"/>
    <s v="Maguire, Karla"/>
    <x v="0"/>
    <s v="Miscellaneous Charges"/>
    <m/>
    <m/>
    <s v="MISC001"/>
    <m/>
    <m/>
    <m/>
    <s v="None"/>
    <m/>
    <m/>
    <n v="0"/>
    <n v="0"/>
    <n v="0"/>
    <n v="0"/>
    <n v="-0.34"/>
    <n v="-0.09"/>
    <n v="0.63"/>
    <n v="0"/>
    <n v="0"/>
    <n v="0"/>
    <n v="0"/>
    <n v="0"/>
    <n v="0"/>
    <n v="0"/>
    <n v="0"/>
    <n v="0"/>
    <n v="0.19999999999999996"/>
    <n v="0.19999999999999996"/>
    <m/>
    <m/>
    <n v="0"/>
    <m/>
    <n v="0.19999999999999996"/>
    <m/>
    <n v="-0.34"/>
    <n v="-0.09"/>
    <n v="0.63"/>
    <n v="0"/>
    <n v="0"/>
    <n v="0"/>
    <n v="0"/>
    <n v="0"/>
    <n v="0"/>
    <n v="0"/>
    <n v="0"/>
    <n v="0"/>
    <n v="0.19999999999999996"/>
    <n v="-0.34"/>
    <n v="-0.09"/>
    <n v="0.63"/>
    <n v="0"/>
    <n v="0"/>
    <n v="0"/>
    <n v="0"/>
    <n v="0"/>
    <n v="0"/>
    <n v="0"/>
    <n v="0"/>
    <n v="0"/>
    <n v="0.19999999999999996"/>
  </r>
  <r>
    <s v="L-ERP-019"/>
    <s v="DeHart, Lynn_CONTRACTORS_MISC001"/>
    <s v="ERP"/>
    <x v="1"/>
    <s v="DeHart, Lynn"/>
    <s v="DeHart, Lynn"/>
    <x v="2"/>
    <s v="Miscellaneous Charges"/>
    <m/>
    <m/>
    <s v="MISC001"/>
    <m/>
    <m/>
    <m/>
    <s v="None"/>
    <m/>
    <m/>
    <n v="0"/>
    <n v="0"/>
    <n v="0"/>
    <n v="0"/>
    <n v="6818.85"/>
    <n v="9998.51"/>
    <n v="3151.78"/>
    <n v="0"/>
    <n v="0"/>
    <n v="0"/>
    <n v="0"/>
    <n v="0"/>
    <n v="0"/>
    <n v="0"/>
    <n v="0"/>
    <n v="0"/>
    <n v="19969.14"/>
    <n v="19969.14"/>
    <m/>
    <m/>
    <n v="-1.3642420526593924E-12"/>
    <m/>
    <n v="19969.14"/>
    <m/>
    <n v="6818.85"/>
    <n v="9998.51"/>
    <n v="3151.78"/>
    <n v="0"/>
    <n v="0"/>
    <n v="0"/>
    <n v="0"/>
    <n v="0"/>
    <n v="0"/>
    <n v="0"/>
    <n v="0"/>
    <n v="0"/>
    <n v="19969.14"/>
    <n v="6818.85"/>
    <n v="9998.51"/>
    <n v="3151.78"/>
    <n v="0"/>
    <n v="0"/>
    <n v="0"/>
    <n v="0"/>
    <n v="0"/>
    <n v="0"/>
    <n v="0"/>
    <n v="0"/>
    <n v="0"/>
    <n v="19969.14"/>
  </r>
  <r>
    <s v="L-ERP-155"/>
    <s v="Ganesan, Srinivasan_CONTRACTORS_MISC001"/>
    <s v="ERP"/>
    <x v="1"/>
    <s v="Ganesan, Srinivasan"/>
    <s v="DeHart, Lynn"/>
    <x v="2"/>
    <s v="Miscellaneous Charges"/>
    <m/>
    <m/>
    <s v="MISC001"/>
    <m/>
    <m/>
    <m/>
    <s v="None"/>
    <m/>
    <m/>
    <n v="0"/>
    <n v="0"/>
    <n v="0"/>
    <n v="0"/>
    <n v="-0.28999999999999998"/>
    <n v="0.43"/>
    <n v="-0.61"/>
    <n v="0"/>
    <n v="0"/>
    <n v="0"/>
    <n v="0"/>
    <n v="0"/>
    <n v="0"/>
    <n v="0"/>
    <n v="0"/>
    <n v="0"/>
    <n v="-0.47"/>
    <n v="-0.47"/>
    <m/>
    <m/>
    <n v="0"/>
    <m/>
    <n v="-0.47"/>
    <m/>
    <n v="-0.28999999999999998"/>
    <n v="0.43"/>
    <n v="-0.61"/>
    <n v="0"/>
    <n v="0"/>
    <n v="0"/>
    <n v="0"/>
    <n v="0"/>
    <n v="0"/>
    <n v="0"/>
    <n v="0"/>
    <n v="0"/>
    <n v="-0.47"/>
    <n v="-0.28999999999999998"/>
    <n v="0.43"/>
    <n v="-0.61"/>
    <n v="0"/>
    <n v="0"/>
    <n v="0"/>
    <n v="0"/>
    <n v="0"/>
    <n v="0"/>
    <n v="0"/>
    <n v="0"/>
    <n v="0"/>
    <n v="-0.47"/>
  </r>
  <r>
    <s v="L-ERP-209"/>
    <s v="Herman, Shaun_CONTRACTORS_MISC001"/>
    <s v="ERP"/>
    <x v="1"/>
    <s v="Herman, Shaun"/>
    <s v="DeHart, Lynn"/>
    <x v="2"/>
    <s v="Miscellaneous Charges"/>
    <m/>
    <m/>
    <s v="MISC001"/>
    <m/>
    <m/>
    <m/>
    <s v="None"/>
    <m/>
    <m/>
    <n v="0"/>
    <n v="0"/>
    <n v="0"/>
    <n v="0"/>
    <n v="-0.15"/>
    <n v="0.23"/>
    <n v="-0.41"/>
    <n v="0"/>
    <n v="0"/>
    <n v="0"/>
    <n v="0"/>
    <n v="0"/>
    <n v="0"/>
    <n v="0"/>
    <n v="0"/>
    <n v="0"/>
    <n v="-0.32999999999999996"/>
    <n v="-0.32999999999999996"/>
    <m/>
    <m/>
    <n v="0"/>
    <m/>
    <n v="-0.32999999999999996"/>
    <m/>
    <n v="-0.15"/>
    <n v="0.23"/>
    <n v="-0.41"/>
    <n v="0"/>
    <n v="0"/>
    <n v="0"/>
    <n v="0"/>
    <n v="0"/>
    <n v="0"/>
    <n v="0"/>
    <n v="0"/>
    <n v="0"/>
    <n v="-0.32999999999999996"/>
    <n v="-0.15"/>
    <n v="0.23"/>
    <n v="-0.41"/>
    <n v="0"/>
    <n v="0"/>
    <n v="0"/>
    <n v="0"/>
    <n v="0"/>
    <n v="0"/>
    <n v="0"/>
    <n v="0"/>
    <n v="0"/>
    <n v="-0.32999999999999996"/>
  </r>
  <r>
    <s v="L-ERP-245"/>
    <s v="Jajodia, Amit_CONTRACTORS_MISC001"/>
    <s v="ERP"/>
    <x v="1"/>
    <s v="Jajodia, Amit"/>
    <s v="DeHart, Lynn"/>
    <x v="2"/>
    <s v="Miscellaneous Charges"/>
    <m/>
    <m/>
    <s v="MISC001"/>
    <m/>
    <m/>
    <m/>
    <s v="None"/>
    <m/>
    <m/>
    <n v="0"/>
    <n v="0"/>
    <n v="0"/>
    <n v="0"/>
    <n v="-0.23"/>
    <n v="-0.24"/>
    <n v="19640.39"/>
    <n v="0"/>
    <n v="0"/>
    <n v="0"/>
    <n v="0"/>
    <n v="0"/>
    <n v="0"/>
    <n v="0"/>
    <n v="0"/>
    <n v="0"/>
    <n v="19639.919999999998"/>
    <n v="19639.919999999998"/>
    <m/>
    <m/>
    <n v="0"/>
    <m/>
    <n v="19639.919999999998"/>
    <m/>
    <n v="-0.23"/>
    <n v="-0.24"/>
    <n v="19640.39"/>
    <n v="0"/>
    <n v="0"/>
    <n v="0"/>
    <n v="0"/>
    <n v="0"/>
    <n v="0"/>
    <n v="0"/>
    <n v="0"/>
    <n v="0"/>
    <n v="19639.919999999998"/>
    <n v="-0.23"/>
    <n v="-0.24"/>
    <n v="19640.39"/>
    <n v="0"/>
    <n v="0"/>
    <n v="0"/>
    <n v="0"/>
    <n v="0"/>
    <n v="0"/>
    <n v="0"/>
    <n v="0"/>
    <n v="0"/>
    <n v="19639.919999999998"/>
  </r>
  <r>
    <s v="L-ERP-557"/>
    <s v="Vaidya, Sachin_CONTRACTORS_MISC001"/>
    <s v="ERP"/>
    <x v="1"/>
    <s v="Vaidya, Sachin"/>
    <s v="DeHart, Lynn"/>
    <x v="2"/>
    <s v="Miscellaneous Charges"/>
    <m/>
    <m/>
    <s v="MISC001"/>
    <m/>
    <m/>
    <m/>
    <s v="None"/>
    <s v="Sachin (4/30): Not managed by me"/>
    <m/>
    <n v="0"/>
    <n v="0"/>
    <n v="0"/>
    <n v="0"/>
    <m/>
    <n v="-0.1"/>
    <n v="0.1"/>
    <m/>
    <m/>
    <m/>
    <m/>
    <m/>
    <m/>
    <m/>
    <m/>
    <m/>
    <n v="0"/>
    <n v="0"/>
    <m/>
    <m/>
    <n v="0"/>
    <m/>
    <n v="0"/>
    <m/>
    <m/>
    <n v="-0.1"/>
    <n v="0.1"/>
    <m/>
    <m/>
    <m/>
    <m/>
    <m/>
    <m/>
    <m/>
    <m/>
    <m/>
    <n v="0"/>
    <m/>
    <n v="-0.1"/>
    <n v="0.1"/>
    <m/>
    <m/>
    <m/>
    <m/>
    <m/>
    <m/>
    <m/>
    <m/>
    <m/>
    <n v="0"/>
  </r>
  <r>
    <s v="L-ERP-578"/>
    <s v="Yeluri, Durga_CONTRACTORS_MISC001"/>
    <s v="ERP"/>
    <x v="1"/>
    <s v="Yeluri, Durga"/>
    <s v="DeHart, Lynn"/>
    <x v="2"/>
    <s v="Miscellaneous Charges"/>
    <m/>
    <m/>
    <s v="MISC001"/>
    <m/>
    <m/>
    <m/>
    <s v="None"/>
    <m/>
    <m/>
    <n v="0"/>
    <n v="0"/>
    <n v="0"/>
    <n v="0"/>
    <n v="-0.1"/>
    <n v="0"/>
    <n v="0.44"/>
    <n v="0"/>
    <n v="0"/>
    <n v="0"/>
    <n v="0"/>
    <n v="0"/>
    <n v="0"/>
    <n v="0"/>
    <n v="0"/>
    <n v="0"/>
    <n v="0.33999999999999997"/>
    <n v="0.33999999999999997"/>
    <m/>
    <m/>
    <n v="-5.5511151231257827E-17"/>
    <m/>
    <n v="0.33999999999999997"/>
    <m/>
    <n v="-0.1"/>
    <n v="0"/>
    <n v="0.44"/>
    <n v="0"/>
    <n v="0"/>
    <n v="0"/>
    <n v="0"/>
    <n v="0"/>
    <n v="0"/>
    <n v="0"/>
    <n v="0"/>
    <n v="0"/>
    <n v="0.33999999999999997"/>
    <n v="-0.1"/>
    <n v="0"/>
    <n v="0.44"/>
    <n v="0"/>
    <n v="0"/>
    <n v="0"/>
    <n v="0"/>
    <n v="0"/>
    <n v="0"/>
    <n v="0"/>
    <n v="0"/>
    <n v="0"/>
    <n v="0.33999999999999997"/>
  </r>
  <r>
    <s v="L-ERP-022"/>
    <s v="DeHart, Lynn_HW MAINTENANCE_MISC001"/>
    <s v="ERP"/>
    <x v="1"/>
    <s v="DeHart, Lynn"/>
    <s v="DeHart, Lynn"/>
    <x v="3"/>
    <s v="Miscellaneous Charges"/>
    <m/>
    <m/>
    <s v="MISC001"/>
    <m/>
    <m/>
    <m/>
    <s v="None"/>
    <m/>
    <m/>
    <n v="0"/>
    <n v="0"/>
    <n v="0"/>
    <n v="0"/>
    <n v="-0.14000000000000001"/>
    <n v="464.29"/>
    <n v="371.27"/>
    <n v="0"/>
    <n v="0"/>
    <n v="0"/>
    <n v="0"/>
    <n v="0"/>
    <n v="0"/>
    <n v="0"/>
    <n v="0"/>
    <n v="0"/>
    <n v="835.42000000000007"/>
    <n v="835.42000000000007"/>
    <m/>
    <m/>
    <n v="5.6843418860808015E-14"/>
    <m/>
    <n v="835.42000000000007"/>
    <m/>
    <n v="-0.14000000000000001"/>
    <n v="464.29"/>
    <n v="371.27"/>
    <n v="0"/>
    <n v="0"/>
    <n v="0"/>
    <n v="0"/>
    <n v="0"/>
    <n v="0"/>
    <n v="0"/>
    <n v="0"/>
    <n v="0"/>
    <n v="835.42000000000007"/>
    <n v="-0.14000000000000001"/>
    <n v="464.29"/>
    <n v="371.27"/>
    <n v="0"/>
    <n v="0"/>
    <n v="0"/>
    <n v="0"/>
    <n v="0"/>
    <n v="0"/>
    <n v="0"/>
    <n v="0"/>
    <n v="0"/>
    <n v="835.42000000000007"/>
  </r>
  <r>
    <s v="L-ERP-026"/>
    <s v="DeHart, Lynn_MANAGED SERVICES_MISC001"/>
    <s v="ERP"/>
    <x v="1"/>
    <s v="DeHart, Lynn"/>
    <s v="DeHart, Lynn"/>
    <x v="1"/>
    <s v="Miscellaneous Charges"/>
    <m/>
    <m/>
    <s v="MISC001"/>
    <m/>
    <m/>
    <m/>
    <s v="None"/>
    <m/>
    <m/>
    <n v="0"/>
    <n v="0"/>
    <n v="0"/>
    <n v="0"/>
    <n v="2949.13"/>
    <n v="-734.7"/>
    <n v="-3206.04"/>
    <n v="0"/>
    <n v="0"/>
    <n v="0"/>
    <n v="0"/>
    <n v="0"/>
    <n v="0"/>
    <n v="0"/>
    <n v="0"/>
    <n v="0"/>
    <n v="-991.60999999999967"/>
    <n v="-991.60999999999967"/>
    <m/>
    <m/>
    <n v="0"/>
    <m/>
    <n v="-991.60999999999967"/>
    <m/>
    <n v="2949.13"/>
    <n v="-734.7"/>
    <n v="-3206.04"/>
    <n v="0"/>
    <n v="0"/>
    <n v="0"/>
    <n v="0"/>
    <n v="0"/>
    <n v="0"/>
    <n v="0"/>
    <n v="0"/>
    <n v="0"/>
    <n v="-991.60999999999967"/>
    <n v="2949.13"/>
    <n v="-734.7"/>
    <n v="-3206.04"/>
    <n v="0"/>
    <n v="0"/>
    <n v="0"/>
    <n v="0"/>
    <n v="0"/>
    <n v="0"/>
    <n v="0"/>
    <n v="0"/>
    <n v="0"/>
    <n v="-991.60999999999967"/>
  </r>
  <r>
    <s v="L-ERP-161"/>
    <s v="Ganesan, Srinivasan_MANAGED SERVICES_MISC001"/>
    <s v="ERP"/>
    <x v="1"/>
    <s v="Ganesan, Srinivasan"/>
    <s v="DeHart, Lynn"/>
    <x v="1"/>
    <s v="Miscellaneous Charges"/>
    <m/>
    <m/>
    <s v="MISC001"/>
    <m/>
    <m/>
    <m/>
    <s v="None"/>
    <m/>
    <m/>
    <n v="0"/>
    <n v="0"/>
    <n v="0"/>
    <n v="0"/>
    <n v="-79.28"/>
    <n v="124.37"/>
    <n v="754.2"/>
    <n v="0"/>
    <n v="0"/>
    <n v="0"/>
    <n v="0"/>
    <n v="0"/>
    <n v="0"/>
    <n v="0"/>
    <n v="0"/>
    <n v="0"/>
    <n v="799.29000000000008"/>
    <n v="799.29000000000008"/>
    <m/>
    <m/>
    <n v="0"/>
    <m/>
    <n v="799.29000000000008"/>
    <m/>
    <n v="-79.28"/>
    <n v="124.37"/>
    <n v="754.2"/>
    <n v="0"/>
    <n v="0"/>
    <n v="0"/>
    <n v="0"/>
    <n v="0"/>
    <n v="0"/>
    <n v="0"/>
    <n v="0"/>
    <n v="0"/>
    <n v="799.29000000000008"/>
    <n v="-79.28"/>
    <n v="124.37"/>
    <n v="754.2"/>
    <n v="0"/>
    <n v="0"/>
    <n v="0"/>
    <n v="0"/>
    <n v="0"/>
    <n v="0"/>
    <n v="0"/>
    <n v="0"/>
    <n v="0"/>
    <n v="799.29000000000008"/>
  </r>
  <r>
    <s v="L-ERP-189"/>
    <s v="Hase, Raj_MANAGED SERVICES_MISC001"/>
    <s v="ERP"/>
    <x v="1"/>
    <s v="Hase, Raj"/>
    <s v="DeHart, Lynn"/>
    <x v="1"/>
    <s v="Miscellaneous Charges"/>
    <m/>
    <m/>
    <s v="MISC001"/>
    <m/>
    <m/>
    <m/>
    <s v="None"/>
    <m/>
    <m/>
    <n v="0"/>
    <n v="0"/>
    <n v="0"/>
    <n v="0"/>
    <n v="-0.3"/>
    <n v="0.57999999999999996"/>
    <n v="-0.16"/>
    <n v="0"/>
    <n v="0"/>
    <n v="0"/>
    <n v="0"/>
    <n v="0"/>
    <n v="0"/>
    <n v="0"/>
    <n v="0"/>
    <n v="0"/>
    <n v="0.11999999999999997"/>
    <n v="0.11999999999999997"/>
    <m/>
    <m/>
    <n v="-2.7755575615628914E-17"/>
    <m/>
    <n v="0.11999999999999997"/>
    <m/>
    <n v="-0.3"/>
    <n v="0.57999999999999996"/>
    <n v="-0.16"/>
    <n v="0"/>
    <n v="0"/>
    <n v="0"/>
    <n v="0"/>
    <n v="0"/>
    <n v="0"/>
    <n v="0"/>
    <n v="0"/>
    <n v="0"/>
    <n v="0.11999999999999997"/>
    <n v="-0.3"/>
    <n v="0.57999999999999996"/>
    <n v="-0.16"/>
    <n v="0"/>
    <n v="0"/>
    <n v="0"/>
    <n v="0"/>
    <n v="0"/>
    <n v="0"/>
    <n v="0"/>
    <n v="0"/>
    <n v="0"/>
    <n v="0.11999999999999997"/>
  </r>
  <r>
    <s v="L-ERP-211"/>
    <s v="Herman, Shaun_MANAGED SERVICES_MISC001"/>
    <s v="ERP"/>
    <x v="1"/>
    <s v="Herman, Shaun"/>
    <s v="DeHart, Lynn"/>
    <x v="1"/>
    <s v="Miscellaneous Charges"/>
    <m/>
    <m/>
    <s v="MISC001"/>
    <m/>
    <m/>
    <m/>
    <s v="None"/>
    <m/>
    <m/>
    <n v="0"/>
    <n v="0"/>
    <n v="0"/>
    <n v="0"/>
    <n v="0.32"/>
    <n v="0.11"/>
    <n v="0"/>
    <n v="0"/>
    <n v="0"/>
    <n v="0"/>
    <n v="0"/>
    <n v="0"/>
    <n v="0"/>
    <n v="0"/>
    <n v="0"/>
    <n v="0"/>
    <n v="0.43"/>
    <n v="0.43"/>
    <m/>
    <m/>
    <n v="-1.3877787807814457E-17"/>
    <m/>
    <n v="0.43"/>
    <m/>
    <n v="0.32"/>
    <n v="0.11"/>
    <n v="0"/>
    <n v="0"/>
    <n v="0"/>
    <n v="0"/>
    <n v="0"/>
    <n v="0"/>
    <n v="0"/>
    <n v="0"/>
    <n v="0"/>
    <n v="0"/>
    <n v="0.43"/>
    <n v="0.32"/>
    <n v="0.11"/>
    <n v="0"/>
    <n v="0"/>
    <n v="0"/>
    <n v="0"/>
    <n v="0"/>
    <n v="0"/>
    <n v="0"/>
    <n v="0"/>
    <n v="0"/>
    <n v="0"/>
    <n v="0.43"/>
  </r>
  <r>
    <s v="L-ERP-224"/>
    <s v="Hovanyetz, Mike_MANAGED SERVICES_MISC001"/>
    <s v="ERP"/>
    <x v="1"/>
    <s v="Hovanyetz, Mike"/>
    <s v="DeHart, Lynn"/>
    <x v="1"/>
    <s v="Miscellaneous Charges"/>
    <m/>
    <m/>
    <s v="MISC001"/>
    <m/>
    <m/>
    <m/>
    <s v="None"/>
    <m/>
    <m/>
    <n v="0"/>
    <n v="0"/>
    <n v="0"/>
    <n v="0"/>
    <n v="-0.48"/>
    <n v="0.28999999999999998"/>
    <n v="-0.01"/>
    <n v="0"/>
    <n v="0"/>
    <n v="0"/>
    <n v="0"/>
    <n v="0"/>
    <n v="0"/>
    <n v="0"/>
    <n v="0"/>
    <n v="0"/>
    <n v="-0.2"/>
    <n v="-0.2"/>
    <m/>
    <m/>
    <n v="-8.6736173798840355E-18"/>
    <m/>
    <n v="-0.2"/>
    <m/>
    <n v="-0.48"/>
    <n v="0.28999999999999998"/>
    <n v="-0.01"/>
    <n v="0"/>
    <n v="0"/>
    <n v="0"/>
    <n v="0"/>
    <n v="0"/>
    <n v="0"/>
    <n v="0"/>
    <n v="0"/>
    <n v="0"/>
    <n v="-0.2"/>
    <n v="-0.48"/>
    <n v="0.28999999999999998"/>
    <n v="-0.01"/>
    <n v="0"/>
    <n v="0"/>
    <n v="0"/>
    <n v="0"/>
    <n v="0"/>
    <n v="0"/>
    <n v="0"/>
    <n v="0"/>
    <n v="0"/>
    <n v="-0.2"/>
  </r>
  <r>
    <s v="L-ERP-580"/>
    <s v="Yeluri, Durga_MANAGED SERVICES_MISC001"/>
    <s v="ERP"/>
    <x v="1"/>
    <s v="Yeluri, Durga"/>
    <s v="DeHart, Lynn"/>
    <x v="1"/>
    <s v="Miscellaneous Charges"/>
    <m/>
    <m/>
    <s v="MISC001"/>
    <m/>
    <m/>
    <m/>
    <s v="None"/>
    <m/>
    <m/>
    <n v="0"/>
    <n v="0"/>
    <n v="0"/>
    <n v="0"/>
    <n v="-0.24"/>
    <n v="-0.17"/>
    <n v="0.23"/>
    <n v="0"/>
    <n v="0"/>
    <n v="0"/>
    <n v="0"/>
    <n v="0"/>
    <n v="0"/>
    <n v="0"/>
    <n v="0"/>
    <n v="0"/>
    <n v="-0.18000000000000002"/>
    <n v="-0.18000000000000002"/>
    <m/>
    <m/>
    <n v="-2.7755575615628914E-17"/>
    <m/>
    <n v="-0.18000000000000002"/>
    <m/>
    <n v="-0.24"/>
    <n v="-0.17"/>
    <n v="0.23"/>
    <n v="0"/>
    <n v="0"/>
    <n v="0"/>
    <n v="0"/>
    <n v="0"/>
    <n v="0"/>
    <n v="0"/>
    <n v="0"/>
    <n v="0"/>
    <n v="-0.18000000000000002"/>
    <n v="-0.24"/>
    <n v="-0.17"/>
    <n v="0.23"/>
    <n v="0"/>
    <n v="0"/>
    <n v="0"/>
    <n v="0"/>
    <n v="0"/>
    <n v="0"/>
    <n v="0"/>
    <n v="0"/>
    <n v="0"/>
    <n v="-0.18000000000000002"/>
  </r>
  <r>
    <s v="L-ERP-032"/>
    <s v="DeHart, Lynn_RENT AND UTILITIES_MISC001"/>
    <s v="ERP"/>
    <x v="1"/>
    <s v="DeHart, Lynn"/>
    <s v="DeHart, Lynn"/>
    <x v="8"/>
    <s v="Miscellaneous Charges"/>
    <m/>
    <m/>
    <s v="MISC001"/>
    <m/>
    <m/>
    <m/>
    <s v="None"/>
    <m/>
    <m/>
    <n v="0"/>
    <n v="0"/>
    <n v="0"/>
    <n v="0"/>
    <n v="843.69"/>
    <n v="4879.99"/>
    <n v="1467.34"/>
    <n v="0"/>
    <n v="0"/>
    <n v="0"/>
    <n v="0"/>
    <n v="0"/>
    <n v="0"/>
    <n v="0"/>
    <n v="0"/>
    <n v="0"/>
    <n v="7191.02"/>
    <n v="7191.02"/>
    <m/>
    <m/>
    <n v="2.2737367544323206E-13"/>
    <m/>
    <n v="7191.02"/>
    <m/>
    <n v="843.69"/>
    <n v="4879.99"/>
    <n v="1467.34"/>
    <n v="0"/>
    <n v="0"/>
    <n v="0"/>
    <n v="0"/>
    <n v="0"/>
    <n v="0"/>
    <n v="0"/>
    <n v="0"/>
    <n v="0"/>
    <n v="7191.02"/>
    <n v="843.69"/>
    <n v="4879.99"/>
    <n v="1467.34"/>
    <n v="0"/>
    <n v="0"/>
    <n v="0"/>
    <n v="0"/>
    <n v="0"/>
    <n v="0"/>
    <n v="0"/>
    <n v="0"/>
    <n v="0"/>
    <n v="7191.02"/>
  </r>
  <r>
    <s v="L-ERP-249"/>
    <s v="Jajodia, Amit_RENT AND UTILITIES_MISC001"/>
    <s v="ERP"/>
    <x v="1"/>
    <s v="Jajodia, Amit"/>
    <s v="DeHart, Lynn"/>
    <x v="8"/>
    <s v="Miscellaneous Charges"/>
    <m/>
    <m/>
    <s v="MISC001"/>
    <m/>
    <m/>
    <m/>
    <s v="None"/>
    <m/>
    <m/>
    <n v="0"/>
    <n v="0"/>
    <n v="0"/>
    <n v="0"/>
    <m/>
    <n v="0.21"/>
    <n v="-0.19"/>
    <n v="0"/>
    <n v="0"/>
    <n v="0"/>
    <n v="0"/>
    <n v="0"/>
    <n v="0"/>
    <n v="0"/>
    <n v="0"/>
    <n v="0"/>
    <n v="1.999999999999999E-2"/>
    <n v="1.999999999999999E-2"/>
    <m/>
    <m/>
    <n v="0"/>
    <m/>
    <n v="1.999999999999999E-2"/>
    <m/>
    <m/>
    <n v="0.21"/>
    <n v="-0.19"/>
    <n v="0"/>
    <n v="0"/>
    <n v="0"/>
    <n v="0"/>
    <n v="0"/>
    <n v="0"/>
    <n v="0"/>
    <n v="0"/>
    <n v="0"/>
    <n v="1.999999999999999E-2"/>
    <m/>
    <n v="0.21"/>
    <n v="-0.19"/>
    <n v="0"/>
    <n v="0"/>
    <n v="0"/>
    <n v="0"/>
    <n v="0"/>
    <n v="0"/>
    <n v="0"/>
    <n v="0"/>
    <n v="0"/>
    <n v="1.999999999999999E-2"/>
  </r>
  <r>
    <s v="L-ERP-038"/>
    <s v="DeHart, Lynn_SOFTWARE_MISC001"/>
    <s v="ERP"/>
    <x v="1"/>
    <s v="DeHart, Lynn"/>
    <s v="DeHart, Lynn"/>
    <x v="0"/>
    <s v="Miscellaneous Charges"/>
    <m/>
    <m/>
    <s v="MISC001"/>
    <m/>
    <m/>
    <m/>
    <s v="None"/>
    <m/>
    <m/>
    <n v="0"/>
    <n v="0"/>
    <n v="0"/>
    <n v="0"/>
    <n v="45.54"/>
    <n v="0.09"/>
    <n v="2657.12"/>
    <n v="0"/>
    <n v="0"/>
    <n v="0"/>
    <n v="0"/>
    <n v="0"/>
    <n v="0"/>
    <n v="0"/>
    <n v="0"/>
    <n v="0"/>
    <n v="2702.75"/>
    <n v="2702.75"/>
    <m/>
    <m/>
    <n v="0"/>
    <m/>
    <n v="2702.75"/>
    <m/>
    <n v="45.54"/>
    <n v="0.09"/>
    <n v="2657.12"/>
    <n v="0"/>
    <n v="0"/>
    <n v="0"/>
    <n v="0"/>
    <n v="0"/>
    <n v="0"/>
    <n v="0"/>
    <n v="0"/>
    <n v="0"/>
    <n v="2702.75"/>
    <n v="45.54"/>
    <n v="0.09"/>
    <n v="2657.12"/>
    <n v="0"/>
    <n v="0"/>
    <n v="0"/>
    <n v="0"/>
    <n v="0"/>
    <n v="0"/>
    <n v="0"/>
    <n v="0"/>
    <n v="0"/>
    <n v="2702.75"/>
  </r>
  <r>
    <s v="L-ERP-168"/>
    <s v="Ganesan, Srinivasan_SOFTWARE_MISC001"/>
    <s v="ERP"/>
    <x v="1"/>
    <s v="Ganesan, Srinivasan"/>
    <s v="DeHart, Lynn"/>
    <x v="0"/>
    <s v="Miscellaneous Charges"/>
    <m/>
    <m/>
    <s v="MISC001"/>
    <m/>
    <m/>
    <m/>
    <s v="None"/>
    <m/>
    <m/>
    <n v="0"/>
    <n v="0"/>
    <n v="0"/>
    <n v="0"/>
    <n v="44.95"/>
    <n v="-0.67"/>
    <n v="0.11"/>
    <n v="0"/>
    <n v="0"/>
    <n v="0"/>
    <n v="0"/>
    <n v="0"/>
    <n v="0"/>
    <n v="0"/>
    <n v="0"/>
    <n v="0"/>
    <n v="44.39"/>
    <n v="44.39"/>
    <m/>
    <m/>
    <n v="-2.2343238370581275E-15"/>
    <m/>
    <n v="44.39"/>
    <m/>
    <n v="44.95"/>
    <n v="-0.67"/>
    <n v="0.11"/>
    <n v="0"/>
    <n v="0"/>
    <n v="0"/>
    <n v="0"/>
    <n v="0"/>
    <n v="0"/>
    <n v="0"/>
    <n v="0"/>
    <n v="0"/>
    <n v="44.39"/>
    <n v="44.95"/>
    <n v="-0.67"/>
    <n v="0.11"/>
    <n v="0"/>
    <n v="0"/>
    <n v="0"/>
    <n v="0"/>
    <n v="0"/>
    <n v="0"/>
    <n v="0"/>
    <n v="0"/>
    <n v="0"/>
    <n v="44.39"/>
  </r>
  <r>
    <s v="L-ERP-191"/>
    <s v="Hase, Raj_SOFTWARE_MISC001"/>
    <s v="ERP"/>
    <x v="1"/>
    <s v="Hase, Raj"/>
    <s v="DeHart, Lynn"/>
    <x v="0"/>
    <s v="Miscellaneous Charges"/>
    <m/>
    <m/>
    <s v="MISC001"/>
    <m/>
    <m/>
    <m/>
    <s v="None"/>
    <m/>
    <m/>
    <n v="0"/>
    <n v="0"/>
    <n v="0"/>
    <n v="0"/>
    <m/>
    <n v="0.24"/>
    <n v="0.09"/>
    <n v="0"/>
    <n v="0"/>
    <n v="0"/>
    <n v="0"/>
    <n v="0"/>
    <n v="0"/>
    <n v="0"/>
    <n v="0"/>
    <n v="0"/>
    <n v="0.32999999999999996"/>
    <n v="0.32999999999999996"/>
    <m/>
    <m/>
    <n v="-2.7755575615628914E-17"/>
    <m/>
    <n v="0.32999999999999996"/>
    <m/>
    <m/>
    <n v="0.24"/>
    <n v="0.09"/>
    <n v="0"/>
    <n v="0"/>
    <n v="0"/>
    <n v="0"/>
    <n v="0"/>
    <n v="0"/>
    <n v="0"/>
    <n v="0"/>
    <n v="0"/>
    <n v="0.32999999999999996"/>
    <m/>
    <n v="0.24"/>
    <n v="0.09"/>
    <n v="0"/>
    <n v="0"/>
    <n v="0"/>
    <n v="0"/>
    <n v="0"/>
    <n v="0"/>
    <n v="0"/>
    <n v="0"/>
    <n v="0"/>
    <n v="0.32999999999999996"/>
  </r>
  <r>
    <s v="L-ERP-213"/>
    <s v="Herman, Shaun_SOFTWARE_MISC001"/>
    <s v="ERP"/>
    <x v="1"/>
    <s v="Herman, Shaun"/>
    <s v="DeHart, Lynn"/>
    <x v="0"/>
    <s v="Miscellaneous Charges"/>
    <m/>
    <m/>
    <s v="MISC001"/>
    <m/>
    <m/>
    <m/>
    <s v="None"/>
    <m/>
    <m/>
    <n v="0"/>
    <n v="0"/>
    <n v="0"/>
    <n v="0"/>
    <m/>
    <n v="-0.03"/>
    <n v="-0.1"/>
    <n v="0"/>
    <n v="0"/>
    <n v="0"/>
    <n v="0"/>
    <n v="0"/>
    <n v="0"/>
    <n v="0"/>
    <n v="0"/>
    <n v="0"/>
    <n v="-0.13"/>
    <n v="-0.13"/>
    <m/>
    <m/>
    <n v="0"/>
    <m/>
    <n v="-0.13"/>
    <m/>
    <m/>
    <n v="-0.03"/>
    <n v="-0.1"/>
    <n v="0"/>
    <n v="0"/>
    <n v="0"/>
    <n v="0"/>
    <n v="0"/>
    <n v="0"/>
    <n v="0"/>
    <n v="0"/>
    <n v="0"/>
    <n v="-0.13"/>
    <m/>
    <n v="-0.03"/>
    <n v="-0.1"/>
    <n v="0"/>
    <n v="0"/>
    <n v="0"/>
    <n v="0"/>
    <n v="0"/>
    <n v="0"/>
    <n v="0"/>
    <n v="0"/>
    <n v="0"/>
    <n v="-0.13"/>
  </r>
  <r>
    <s v="L-ERP-225"/>
    <s v="Hovanyetz, Mike_SOFTWARE_MISC001"/>
    <s v="ERP"/>
    <x v="1"/>
    <s v="Hovanyetz, Mike"/>
    <s v="DeHart, Lynn"/>
    <x v="0"/>
    <s v="Miscellaneous Charges"/>
    <m/>
    <m/>
    <s v="MISC001"/>
    <m/>
    <m/>
    <m/>
    <s v="None"/>
    <m/>
    <m/>
    <n v="0"/>
    <n v="0"/>
    <n v="0"/>
    <n v="0"/>
    <m/>
    <n v="18"/>
    <n v="-1.54"/>
    <n v="0"/>
    <n v="0"/>
    <n v="0"/>
    <n v="0"/>
    <n v="0"/>
    <n v="0"/>
    <n v="0"/>
    <n v="0"/>
    <n v="0"/>
    <n v="16.46"/>
    <n v="16.46"/>
    <m/>
    <m/>
    <n v="8.8817841970012523E-16"/>
    <m/>
    <n v="16.46"/>
    <m/>
    <m/>
    <n v="18"/>
    <n v="-1.54"/>
    <n v="0"/>
    <n v="0"/>
    <n v="0"/>
    <n v="0"/>
    <n v="0"/>
    <n v="0"/>
    <n v="0"/>
    <n v="0"/>
    <n v="0"/>
    <n v="16.46"/>
    <m/>
    <n v="18"/>
    <n v="-1.54"/>
    <n v="0"/>
    <n v="0"/>
    <n v="0"/>
    <n v="0"/>
    <n v="0"/>
    <n v="0"/>
    <n v="0"/>
    <n v="0"/>
    <n v="0"/>
    <n v="16.46"/>
  </r>
  <r>
    <s v="L-ERP-250"/>
    <s v="Jajodia, Amit_SOFTWARE_MISC001"/>
    <s v="ERP"/>
    <x v="1"/>
    <s v="Jajodia, Amit"/>
    <s v="DeHart, Lynn"/>
    <x v="0"/>
    <s v="Miscellaneous Charges"/>
    <m/>
    <m/>
    <s v="MISC001"/>
    <m/>
    <m/>
    <m/>
    <s v="None"/>
    <m/>
    <m/>
    <n v="0"/>
    <n v="0"/>
    <n v="0"/>
    <n v="0"/>
    <m/>
    <m/>
    <n v="0.63"/>
    <n v="0"/>
    <n v="0"/>
    <n v="0"/>
    <n v="0"/>
    <n v="0"/>
    <n v="0"/>
    <n v="0"/>
    <n v="0"/>
    <n v="0"/>
    <n v="0.63"/>
    <n v="0.63"/>
    <m/>
    <m/>
    <n v="0"/>
    <m/>
    <n v="0.63"/>
    <m/>
    <m/>
    <m/>
    <n v="0.63"/>
    <n v="0"/>
    <n v="0"/>
    <n v="0"/>
    <n v="0"/>
    <n v="0"/>
    <n v="0"/>
    <n v="0"/>
    <n v="0"/>
    <n v="0"/>
    <n v="0.63"/>
    <m/>
    <m/>
    <n v="0.63"/>
    <n v="0"/>
    <n v="0"/>
    <n v="0"/>
    <n v="0"/>
    <n v="0"/>
    <n v="0"/>
    <n v="0"/>
    <n v="0"/>
    <n v="0"/>
    <n v="0.63"/>
  </r>
  <r>
    <s v="L-ERP-564"/>
    <s v="Vaidya, Sachin_SOFTWARE_MISC001"/>
    <s v="ERP"/>
    <x v="1"/>
    <s v="Vaidya, Sachin"/>
    <s v="DeHart, Lynn"/>
    <x v="0"/>
    <s v="Miscellaneous Charges"/>
    <m/>
    <m/>
    <s v="MISC001"/>
    <m/>
    <m/>
    <m/>
    <s v="None"/>
    <s v="Sachin (4/30): Not managed by me"/>
    <m/>
    <n v="0"/>
    <n v="0"/>
    <n v="0"/>
    <n v="0"/>
    <m/>
    <m/>
    <n v="0.36"/>
    <n v="0"/>
    <n v="0"/>
    <n v="0"/>
    <n v="0"/>
    <n v="0"/>
    <n v="0"/>
    <n v="0"/>
    <n v="0"/>
    <n v="0"/>
    <n v="0.36"/>
    <n v="0.36"/>
    <m/>
    <m/>
    <n v="0"/>
    <m/>
    <n v="0.36"/>
    <m/>
    <m/>
    <m/>
    <n v="0.36"/>
    <n v="0"/>
    <n v="0"/>
    <n v="0"/>
    <n v="0"/>
    <n v="0"/>
    <n v="0"/>
    <n v="0"/>
    <n v="0"/>
    <n v="0"/>
    <n v="0.36"/>
    <m/>
    <m/>
    <n v="0.36"/>
    <n v="0"/>
    <n v="0"/>
    <n v="0"/>
    <n v="0"/>
    <n v="0"/>
    <n v="0"/>
    <n v="0"/>
    <n v="0"/>
    <n v="0"/>
    <n v="0.36"/>
  </r>
  <r>
    <s v="L-ERP-583"/>
    <s v="Yeluri, Durga_SOFTWARE_MISC001"/>
    <s v="ERP"/>
    <x v="1"/>
    <s v="Yeluri, Durga"/>
    <s v="DeHart, Lynn"/>
    <x v="0"/>
    <s v="Miscellaneous Charges"/>
    <m/>
    <m/>
    <s v="MISC001"/>
    <m/>
    <m/>
    <m/>
    <s v="None"/>
    <m/>
    <m/>
    <n v="0"/>
    <n v="0"/>
    <n v="0"/>
    <n v="0"/>
    <n v="0.13"/>
    <n v="0.09"/>
    <n v="-0.2"/>
    <n v="0"/>
    <n v="0"/>
    <n v="0"/>
    <n v="0"/>
    <n v="0"/>
    <n v="0"/>
    <n v="0"/>
    <n v="0"/>
    <n v="0"/>
    <n v="1.999999999999999E-2"/>
    <n v="1.999999999999999E-2"/>
    <m/>
    <m/>
    <n v="0"/>
    <m/>
    <n v="1.999999999999999E-2"/>
    <m/>
    <n v="0.13"/>
    <n v="0.09"/>
    <n v="-0.2"/>
    <n v="0"/>
    <n v="0"/>
    <n v="0"/>
    <n v="0"/>
    <n v="0"/>
    <n v="0"/>
    <n v="0"/>
    <n v="0"/>
    <n v="0"/>
    <n v="1.999999999999999E-2"/>
    <n v="0.13"/>
    <n v="0.09"/>
    <n v="-0.2"/>
    <n v="0"/>
    <n v="0"/>
    <n v="0"/>
    <n v="0"/>
    <n v="0"/>
    <n v="0"/>
    <n v="0"/>
    <n v="0"/>
    <n v="0"/>
    <n v="1.999999999999999E-2"/>
  </r>
  <r>
    <s v="L-ERP-390"/>
    <s v="McGettigan, David_CONTRACTORS_MISC001"/>
    <s v="ERP"/>
    <x v="2"/>
    <s v="McGettigan, David"/>
    <s v="McGettigan, David"/>
    <x v="2"/>
    <s v="Miscellaneous Charges"/>
    <m/>
    <m/>
    <s v="MISC001"/>
    <m/>
    <m/>
    <m/>
    <s v="None"/>
    <m/>
    <m/>
    <n v="0"/>
    <n v="0"/>
    <n v="0"/>
    <n v="0"/>
    <n v="0.08"/>
    <n v="-0.17"/>
    <n v="-2283.9499999999998"/>
    <n v="0"/>
    <n v="0"/>
    <n v="0"/>
    <n v="0"/>
    <n v="0"/>
    <n v="0"/>
    <n v="0"/>
    <n v="0"/>
    <n v="0"/>
    <n v="-2284.04"/>
    <n v="-2284.04"/>
    <m/>
    <m/>
    <n v="0"/>
    <m/>
    <n v="-2284.04"/>
    <m/>
    <n v="0.08"/>
    <n v="-0.17"/>
    <n v="-2283.9499999999998"/>
    <n v="0"/>
    <n v="0"/>
    <n v="0"/>
    <n v="0"/>
    <n v="0"/>
    <n v="0"/>
    <n v="0"/>
    <n v="0"/>
    <n v="0"/>
    <n v="-2284.04"/>
    <n v="0.08"/>
    <n v="-0.17"/>
    <n v="-2283.9499999999998"/>
    <n v="0"/>
    <n v="0"/>
    <n v="0"/>
    <n v="0"/>
    <n v="0"/>
    <n v="0"/>
    <n v="0"/>
    <n v="0"/>
    <n v="0"/>
    <n v="-2284.04"/>
  </r>
  <r>
    <s v="L-ERP-392"/>
    <s v="McGettigan, David_HW MAINTENANCE_MISC001"/>
    <s v="ERP"/>
    <x v="2"/>
    <s v="McGettigan, David"/>
    <s v="McGettigan, David"/>
    <x v="3"/>
    <s v="Miscellaneous Charges"/>
    <m/>
    <m/>
    <s v="MISC001"/>
    <m/>
    <m/>
    <m/>
    <s v="None"/>
    <m/>
    <m/>
    <n v="0"/>
    <n v="0"/>
    <n v="0"/>
    <n v="0"/>
    <m/>
    <m/>
    <n v="-0.23"/>
    <n v="0"/>
    <n v="0"/>
    <n v="0"/>
    <n v="0"/>
    <n v="0"/>
    <n v="0"/>
    <n v="0"/>
    <n v="0"/>
    <n v="0"/>
    <n v="-0.23"/>
    <n v="-0.23"/>
    <m/>
    <m/>
    <n v="0"/>
    <m/>
    <n v="-0.23"/>
    <m/>
    <m/>
    <m/>
    <n v="-0.23"/>
    <n v="0"/>
    <n v="0"/>
    <n v="0"/>
    <n v="0"/>
    <n v="0"/>
    <n v="0"/>
    <n v="0"/>
    <n v="0"/>
    <n v="0"/>
    <n v="-0.23"/>
    <m/>
    <m/>
    <n v="-0.23"/>
    <n v="0"/>
    <n v="0"/>
    <n v="0"/>
    <n v="0"/>
    <n v="0"/>
    <n v="0"/>
    <n v="0"/>
    <n v="0"/>
    <n v="0"/>
    <n v="-0.23"/>
  </r>
  <r>
    <s v="L-ERP-411"/>
    <s v="McGettigan, David_MANAGED SERVICES_MISC001"/>
    <s v="ERP"/>
    <x v="2"/>
    <s v="McGettigan, David"/>
    <s v="McGettigan, David"/>
    <x v="1"/>
    <s v="Miscellaneous Charges"/>
    <m/>
    <m/>
    <s v="MISC001"/>
    <m/>
    <m/>
    <m/>
    <s v="None"/>
    <m/>
    <m/>
    <n v="0"/>
    <n v="0"/>
    <n v="0"/>
    <n v="0"/>
    <n v="-0.46"/>
    <n v="0.71"/>
    <n v="1501.34"/>
    <n v="0"/>
    <n v="0"/>
    <n v="0"/>
    <n v="0"/>
    <n v="0"/>
    <n v="0"/>
    <n v="0"/>
    <n v="0"/>
    <n v="0"/>
    <n v="1501.59"/>
    <n v="1501.59"/>
    <m/>
    <m/>
    <n v="0"/>
    <m/>
    <n v="1501.59"/>
    <m/>
    <n v="-0.46"/>
    <n v="0.71"/>
    <n v="1501.34"/>
    <n v="0"/>
    <n v="0"/>
    <n v="0"/>
    <n v="0"/>
    <n v="0"/>
    <n v="0"/>
    <n v="0"/>
    <n v="0"/>
    <n v="0"/>
    <n v="1501.59"/>
    <n v="-0.46"/>
    <n v="0.71"/>
    <n v="1501.34"/>
    <n v="0"/>
    <n v="0"/>
    <n v="0"/>
    <n v="0"/>
    <n v="0"/>
    <n v="0"/>
    <n v="0"/>
    <n v="0"/>
    <n v="0"/>
    <n v="1501.59"/>
  </r>
  <r>
    <s v="L-ERP-391"/>
    <s v="McGettigan, David_SOFTWARE_MISC001"/>
    <s v="ERP"/>
    <x v="2"/>
    <s v="McGettigan, David"/>
    <s v="McGettigan, David"/>
    <x v="0"/>
    <s v="Miscellaneous Charges"/>
    <m/>
    <m/>
    <s v="MISC001"/>
    <m/>
    <m/>
    <m/>
    <s v="None"/>
    <m/>
    <m/>
    <n v="0"/>
    <n v="0"/>
    <n v="0"/>
    <n v="0"/>
    <n v="-0.39"/>
    <n v="0.11"/>
    <n v="-711.33"/>
    <n v="0"/>
    <n v="0"/>
    <n v="0"/>
    <n v="0"/>
    <n v="0"/>
    <n v="0"/>
    <n v="0"/>
    <n v="0"/>
    <n v="0"/>
    <n v="-711.61"/>
    <n v="-711.61"/>
    <m/>
    <m/>
    <n v="0"/>
    <m/>
    <n v="-711.61"/>
    <m/>
    <n v="-0.39"/>
    <n v="0.11"/>
    <n v="-711.33"/>
    <n v="0"/>
    <n v="0"/>
    <n v="0"/>
    <n v="0"/>
    <n v="0"/>
    <n v="0"/>
    <n v="0"/>
    <n v="0"/>
    <n v="0"/>
    <n v="-711.61"/>
    <n v="-0.39"/>
    <n v="0.11"/>
    <n v="-711.33"/>
    <n v="0"/>
    <n v="0"/>
    <n v="0"/>
    <n v="0"/>
    <n v="0"/>
    <n v="0"/>
    <n v="0"/>
    <n v="0"/>
    <n v="0"/>
    <n v="-711.61"/>
  </r>
  <r>
    <s v="L-ERP-486"/>
    <s v="Robertson, Jerome_CONTRACTORS_MISC001"/>
    <s v="ERP"/>
    <x v="3"/>
    <s v="Robertson, Jerome"/>
    <s v="Robertson, Jerome"/>
    <x v="2"/>
    <s v="Miscellaneous Charges"/>
    <m/>
    <m/>
    <s v="MISC001"/>
    <m/>
    <m/>
    <m/>
    <s v="None"/>
    <m/>
    <m/>
    <n v="0"/>
    <n v="0"/>
    <n v="0"/>
    <n v="0"/>
    <n v="0.01"/>
    <n v="0.42"/>
    <n v="78.680000000000291"/>
    <n v="0"/>
    <n v="0"/>
    <n v="0"/>
    <n v="0"/>
    <n v="0"/>
    <n v="0"/>
    <n v="0"/>
    <n v="0"/>
    <n v="0"/>
    <n v="79.110000000000298"/>
    <n v="79.110000000000298"/>
    <m/>
    <m/>
    <n v="0"/>
    <m/>
    <n v="79.110000000000298"/>
    <m/>
    <n v="0.01"/>
    <n v="0.42"/>
    <n v="78.680000000000291"/>
    <n v="0"/>
    <n v="0"/>
    <n v="0"/>
    <n v="0"/>
    <n v="0"/>
    <n v="0"/>
    <n v="0"/>
    <n v="0"/>
    <n v="0"/>
    <n v="79.110000000000298"/>
    <n v="0.01"/>
    <n v="0.42"/>
    <n v="-54821.32"/>
    <n v="0"/>
    <n v="0"/>
    <n v="0"/>
    <n v="0"/>
    <n v="0"/>
    <n v="0"/>
    <n v="0"/>
    <n v="0"/>
    <n v="0"/>
    <n v="-54820.89"/>
  </r>
  <r>
    <s v="L-ERP-487"/>
    <s v="Robertson, Jerome_HW MAINTENANCE_MISC001"/>
    <s v="ERP"/>
    <x v="3"/>
    <s v="Robertson, Jerome"/>
    <s v="Robertson, Jerome"/>
    <x v="3"/>
    <s v="Miscellaneous Charges"/>
    <m/>
    <m/>
    <s v="MISC001"/>
    <m/>
    <m/>
    <m/>
    <s v="None"/>
    <m/>
    <m/>
    <n v="0"/>
    <n v="0"/>
    <n v="0"/>
    <n v="0"/>
    <m/>
    <m/>
    <n v="420.97"/>
    <n v="0"/>
    <n v="0"/>
    <n v="0"/>
    <n v="0"/>
    <n v="0"/>
    <n v="0"/>
    <n v="0"/>
    <n v="0"/>
    <n v="0"/>
    <n v="420.97"/>
    <n v="420.97"/>
    <m/>
    <m/>
    <n v="0"/>
    <m/>
    <n v="420.97"/>
    <m/>
    <m/>
    <m/>
    <n v="420.97"/>
    <n v="0"/>
    <n v="0"/>
    <n v="0"/>
    <n v="0"/>
    <n v="0"/>
    <n v="0"/>
    <n v="0"/>
    <n v="0"/>
    <n v="0"/>
    <n v="420.97"/>
    <m/>
    <m/>
    <n v="420.97"/>
    <n v="0"/>
    <n v="0"/>
    <n v="0"/>
    <n v="0"/>
    <n v="0"/>
    <n v="0"/>
    <n v="0"/>
    <n v="0"/>
    <n v="0"/>
    <n v="420.97"/>
  </r>
  <r>
    <s v="L-ERP-489"/>
    <s v="Robertson, Jerome_MANAGED SERVICES_MISC001"/>
    <s v="ERP"/>
    <x v="3"/>
    <s v="Robertson, Jerome"/>
    <s v="Robertson, Jerome"/>
    <x v="1"/>
    <s v="Miscellaneous Charges"/>
    <m/>
    <m/>
    <s v="MISC001"/>
    <m/>
    <m/>
    <m/>
    <s v="None"/>
    <m/>
    <m/>
    <n v="0"/>
    <n v="0"/>
    <n v="0"/>
    <n v="0"/>
    <m/>
    <m/>
    <n v="-0.03"/>
    <n v="0"/>
    <n v="0"/>
    <n v="0"/>
    <n v="0"/>
    <n v="0"/>
    <n v="0"/>
    <n v="0"/>
    <n v="0"/>
    <n v="0"/>
    <n v="-0.03"/>
    <n v="-0.03"/>
    <m/>
    <m/>
    <n v="0"/>
    <m/>
    <n v="-0.03"/>
    <m/>
    <m/>
    <m/>
    <n v="-0.03"/>
    <n v="0"/>
    <n v="0"/>
    <n v="0"/>
    <n v="0"/>
    <n v="0"/>
    <n v="0"/>
    <n v="0"/>
    <n v="0"/>
    <n v="0"/>
    <n v="-0.03"/>
    <m/>
    <m/>
    <n v="-0.03"/>
    <n v="0"/>
    <n v="0"/>
    <n v="0"/>
    <n v="0"/>
    <n v="0"/>
    <n v="0"/>
    <n v="0"/>
    <n v="0"/>
    <n v="0"/>
    <n v="-0.03"/>
  </r>
  <r>
    <s v="L-ERP-492"/>
    <s v="Robertson, Jerome_SOFTWARE_MISC001"/>
    <s v="ERP"/>
    <x v="3"/>
    <s v="Robertson, Jerome"/>
    <s v="Robertson, Jerome"/>
    <x v="0"/>
    <s v="Miscellaneous Charges"/>
    <m/>
    <m/>
    <s v="MISC001"/>
    <m/>
    <m/>
    <m/>
    <s v="None"/>
    <m/>
    <m/>
    <n v="0"/>
    <n v="0"/>
    <n v="0"/>
    <n v="0"/>
    <m/>
    <n v="-0.02"/>
    <n v="227.26"/>
    <n v="0"/>
    <n v="0"/>
    <n v="0"/>
    <n v="0"/>
    <n v="0"/>
    <n v="0"/>
    <n v="0"/>
    <n v="0"/>
    <n v="0"/>
    <n v="227.23999999999998"/>
    <n v="227.23999999999998"/>
    <m/>
    <m/>
    <n v="0"/>
    <m/>
    <n v="227.23999999999998"/>
    <m/>
    <m/>
    <n v="-0.02"/>
    <n v="227.26"/>
    <n v="0"/>
    <n v="0"/>
    <n v="0"/>
    <n v="0"/>
    <n v="0"/>
    <n v="0"/>
    <n v="0"/>
    <n v="0"/>
    <n v="0"/>
    <n v="227.23999999999998"/>
    <m/>
    <n v="-0.02"/>
    <n v="227.26"/>
    <n v="0"/>
    <n v="0"/>
    <n v="0"/>
    <n v="0"/>
    <n v="0"/>
    <n v="0"/>
    <n v="0"/>
    <n v="0"/>
    <n v="0"/>
    <n v="227.23999999999998"/>
  </r>
  <r>
    <s v="L-ERP-028"/>
    <s v="DeHart, Lynn_OTHER_NondigitalCatering001"/>
    <s v="ERP"/>
    <x v="1"/>
    <s v="DeHart, Lynn"/>
    <s v="DeHart, Lynn"/>
    <x v="7"/>
    <s v="Non-digital catering charges"/>
    <m/>
    <m/>
    <s v="NondigitalCatering001"/>
    <m/>
    <m/>
    <m/>
    <s v="None"/>
    <m/>
    <m/>
    <n v="0"/>
    <n v="0"/>
    <n v="0"/>
    <n v="0"/>
    <m/>
    <n v="260.76"/>
    <n v="353.93"/>
    <n v="0"/>
    <n v="0"/>
    <n v="0"/>
    <n v="0"/>
    <n v="0"/>
    <n v="0"/>
    <n v="0"/>
    <n v="0"/>
    <n v="0"/>
    <n v="614.69000000000005"/>
    <n v="614.69000000000005"/>
    <m/>
    <m/>
    <n v="5.6843418860808015E-14"/>
    <m/>
    <n v="614.69000000000005"/>
    <m/>
    <m/>
    <n v="260.76"/>
    <n v="353.93"/>
    <n v="0"/>
    <n v="0"/>
    <n v="0"/>
    <n v="0"/>
    <n v="0"/>
    <n v="0"/>
    <n v="0"/>
    <n v="0"/>
    <n v="0"/>
    <n v="614.69000000000005"/>
    <m/>
    <n v="260.76"/>
    <n v="353.93"/>
    <n v="0"/>
    <n v="0"/>
    <n v="0"/>
    <n v="0"/>
    <n v="0"/>
    <n v="0"/>
    <n v="0"/>
    <n v="0"/>
    <n v="0"/>
    <n v="614.69000000000005"/>
  </r>
  <r>
    <s v="L-ERP-417"/>
    <s v="McGettigan, David_OTHER_NondigitalCatering001"/>
    <s v="ERP"/>
    <x v="2"/>
    <s v="McGettigan, David"/>
    <s v="McGettigan, David"/>
    <x v="7"/>
    <s v="Non-digital catering charges"/>
    <m/>
    <m/>
    <s v="NondigitalCatering001"/>
    <m/>
    <m/>
    <m/>
    <s v="None"/>
    <m/>
    <m/>
    <n v="0"/>
    <n v="0"/>
    <n v="0"/>
    <n v="0"/>
    <m/>
    <n v="11815.17"/>
    <n v="0"/>
    <n v="0"/>
    <n v="0"/>
    <n v="0"/>
    <n v="0"/>
    <n v="0"/>
    <n v="0"/>
    <n v="0"/>
    <n v="0"/>
    <n v="0"/>
    <n v="11815.17"/>
    <n v="11815.17"/>
    <m/>
    <m/>
    <n v="0"/>
    <m/>
    <n v="11815.17"/>
    <m/>
    <m/>
    <n v="11815.17"/>
    <n v="0"/>
    <n v="0"/>
    <n v="0"/>
    <n v="0"/>
    <n v="0"/>
    <n v="0"/>
    <n v="0"/>
    <n v="0"/>
    <n v="0"/>
    <n v="0"/>
    <n v="11815.17"/>
    <m/>
    <n v="11815.17"/>
    <n v="0"/>
    <n v="0"/>
    <n v="0"/>
    <n v="0"/>
    <n v="0"/>
    <n v="0"/>
    <n v="0"/>
    <n v="0"/>
    <n v="0"/>
    <n v="0"/>
    <n v="11815.17"/>
  </r>
  <r>
    <s v="L-ERP-385"/>
    <s v="McGettigan, David_MANAGED SERVICES_OnetimeCredit002"/>
    <s v="ERP"/>
    <x v="2"/>
    <s v="McGettigan, David"/>
    <s v="McGettigan, David"/>
    <x v="1"/>
    <s v="Credit for SAP BW through AWS"/>
    <m/>
    <m/>
    <s v="OnetimeCredit002"/>
    <m/>
    <m/>
    <m/>
    <s v="Reserve"/>
    <m/>
    <m/>
    <n v="-338500"/>
    <n v="-338500"/>
    <n v="-338500"/>
    <n v="0"/>
    <m/>
    <m/>
    <m/>
    <m/>
    <m/>
    <n v="-135400"/>
    <n v="0"/>
    <n v="0"/>
    <n v="-203100"/>
    <n v="0"/>
    <n v="0"/>
    <n v="-97000"/>
    <n v="-435500"/>
    <n v="-97000"/>
    <m/>
    <m/>
    <n v="0"/>
    <m/>
    <n v="-97000"/>
    <m/>
    <m/>
    <m/>
    <m/>
    <m/>
    <m/>
    <n v="-135400"/>
    <n v="0"/>
    <n v="0"/>
    <n v="-203100"/>
    <n v="0"/>
    <n v="0"/>
    <n v="-97000"/>
    <n v="-435500"/>
    <m/>
    <m/>
    <m/>
    <m/>
    <m/>
    <n v="-135400"/>
    <n v="0"/>
    <n v="0"/>
    <n v="-203100"/>
    <n v="0"/>
    <n v="0"/>
    <n v="-97000"/>
    <n v="-435500"/>
  </r>
  <r>
    <s v="L-ERP-106"/>
    <s v="Dougherty, Chris_OTHER_Others001"/>
    <s v="ERP"/>
    <x v="0"/>
    <s v="Dougherty, Chris"/>
    <s v="Maguire, Karla"/>
    <x v="7"/>
    <s v="Other"/>
    <m/>
    <m/>
    <s v="Others001"/>
    <m/>
    <m/>
    <m/>
    <s v="Other"/>
    <m/>
    <m/>
    <n v="0"/>
    <n v="0"/>
    <n v="0"/>
    <n v="0"/>
    <n v="-0.08"/>
    <n v="69.08"/>
    <n v="0"/>
    <n v="0"/>
    <n v="0"/>
    <n v="0"/>
    <n v="0"/>
    <n v="0"/>
    <n v="0"/>
    <n v="0"/>
    <n v="0"/>
    <n v="0"/>
    <n v="69"/>
    <n v="69"/>
    <m/>
    <m/>
    <n v="0"/>
    <m/>
    <n v="69"/>
    <m/>
    <n v="-0.08"/>
    <n v="69.08"/>
    <n v="0"/>
    <n v="0"/>
    <n v="0"/>
    <n v="0"/>
    <n v="0"/>
    <n v="0"/>
    <n v="0"/>
    <n v="0"/>
    <n v="0"/>
    <n v="0"/>
    <n v="69"/>
    <n v="-0.08"/>
    <n v="69.08"/>
    <n v="0"/>
    <n v="0"/>
    <n v="0"/>
    <n v="0"/>
    <n v="0"/>
    <n v="0"/>
    <n v="0"/>
    <n v="0"/>
    <n v="0"/>
    <n v="0"/>
    <n v="69"/>
  </r>
  <r>
    <s v="L-ERP-346"/>
    <s v="Maguire, Karla_OTHER_Others001"/>
    <s v="ERP"/>
    <x v="0"/>
    <s v="Maguire, Karla"/>
    <s v="Maguire, Karla"/>
    <x v="7"/>
    <s v="Other"/>
    <m/>
    <m/>
    <s v="Others001"/>
    <m/>
    <m/>
    <m/>
    <s v="Other"/>
    <m/>
    <m/>
    <n v="0"/>
    <n v="0"/>
    <n v="0"/>
    <n v="0"/>
    <n v="497.32"/>
    <n v="7672.35"/>
    <n v="1101.55"/>
    <n v="0"/>
    <n v="0"/>
    <n v="0"/>
    <n v="0"/>
    <n v="0"/>
    <n v="0"/>
    <n v="0"/>
    <n v="0"/>
    <n v="0"/>
    <n v="9271.2199999999993"/>
    <n v="9271.2199999999993"/>
    <m/>
    <m/>
    <n v="-6.8212102632969618E-13"/>
    <m/>
    <n v="9271.2199999999993"/>
    <m/>
    <n v="497.32"/>
    <n v="7672.35"/>
    <n v="1101.55"/>
    <n v="0"/>
    <n v="0"/>
    <n v="0"/>
    <n v="0"/>
    <n v="0"/>
    <n v="0"/>
    <n v="0"/>
    <n v="0"/>
    <n v="0"/>
    <n v="9271.2199999999993"/>
    <n v="497.32"/>
    <n v="7672.35"/>
    <n v="1101.55"/>
    <n v="0"/>
    <n v="0"/>
    <n v="0"/>
    <n v="0"/>
    <n v="0"/>
    <n v="0"/>
    <n v="0"/>
    <n v="0"/>
    <n v="0"/>
    <n v="9271.2199999999993"/>
  </r>
  <r>
    <s v="L-ERP-047"/>
    <s v="DeHart, Lynn_OTHER_Others001"/>
    <s v="ERP"/>
    <x v="1"/>
    <s v="DeHart, Lynn"/>
    <s v="DeHart, Lynn"/>
    <x v="7"/>
    <s v="Other"/>
    <m/>
    <m/>
    <s v="Others001"/>
    <m/>
    <m/>
    <m/>
    <s v="Other"/>
    <m/>
    <m/>
    <n v="0"/>
    <n v="0"/>
    <n v="0"/>
    <n v="0"/>
    <n v="478.59"/>
    <n v="9120.75"/>
    <n v="293.89999999999998"/>
    <n v="0"/>
    <n v="0"/>
    <n v="0"/>
    <n v="0"/>
    <n v="0"/>
    <n v="0"/>
    <n v="0"/>
    <n v="0"/>
    <n v="0"/>
    <n v="9893.24"/>
    <n v="9893.24"/>
    <m/>
    <m/>
    <n v="-3.4106051316484809E-13"/>
    <m/>
    <n v="9893.24"/>
    <m/>
    <n v="478.59"/>
    <n v="9120.75"/>
    <n v="293.89999999999998"/>
    <n v="0"/>
    <n v="0"/>
    <n v="0"/>
    <n v="0"/>
    <n v="0"/>
    <n v="0"/>
    <n v="0"/>
    <n v="0"/>
    <n v="0"/>
    <n v="9893.24"/>
    <n v="478.59"/>
    <n v="9120.75"/>
    <n v="293.89999999999998"/>
    <n v="0"/>
    <n v="0"/>
    <n v="0"/>
    <n v="0"/>
    <n v="0"/>
    <n v="0"/>
    <n v="0"/>
    <n v="0"/>
    <n v="0"/>
    <n v="9893.24"/>
  </r>
  <r>
    <s v="L-ERP-174"/>
    <s v="Ganesan, Srinivasan_OTHER_Others001"/>
    <s v="ERP"/>
    <x v="1"/>
    <s v="Ganesan, Srinivasan"/>
    <s v="DeHart, Lynn"/>
    <x v="7"/>
    <s v="Other"/>
    <m/>
    <m/>
    <s v="Others001"/>
    <m/>
    <m/>
    <m/>
    <s v="Other"/>
    <m/>
    <m/>
    <n v="0"/>
    <n v="0"/>
    <n v="0"/>
    <n v="0"/>
    <n v="38.450000000000003"/>
    <n v="0"/>
    <n v="46.59"/>
    <n v="0"/>
    <n v="0"/>
    <n v="0"/>
    <n v="0"/>
    <n v="0"/>
    <n v="0"/>
    <n v="0"/>
    <n v="0"/>
    <n v="0"/>
    <n v="85.04"/>
    <n v="85.04"/>
    <m/>
    <m/>
    <n v="0"/>
    <m/>
    <n v="85.04"/>
    <m/>
    <n v="38.450000000000003"/>
    <n v="0"/>
    <n v="46.59"/>
    <n v="0"/>
    <n v="0"/>
    <n v="0"/>
    <n v="0"/>
    <n v="0"/>
    <n v="0"/>
    <n v="0"/>
    <n v="0"/>
    <n v="0"/>
    <n v="85.04"/>
    <n v="38.450000000000003"/>
    <n v="0"/>
    <n v="46.59"/>
    <n v="0"/>
    <n v="0"/>
    <n v="0"/>
    <n v="0"/>
    <n v="0"/>
    <n v="0"/>
    <n v="0"/>
    <n v="0"/>
    <n v="0"/>
    <n v="85.04"/>
  </r>
  <r>
    <s v="L-ERP-192"/>
    <s v="Hase, Raj_OTHER_Others001"/>
    <s v="ERP"/>
    <x v="1"/>
    <s v="Hase, Raj"/>
    <s v="DeHart, Lynn"/>
    <x v="7"/>
    <s v="Other"/>
    <m/>
    <m/>
    <s v="Others001"/>
    <m/>
    <m/>
    <m/>
    <s v="Other"/>
    <m/>
    <m/>
    <n v="0"/>
    <n v="0"/>
    <n v="0"/>
    <n v="0"/>
    <n v="57"/>
    <n v="0"/>
    <n v="0"/>
    <n v="0"/>
    <n v="0"/>
    <n v="0"/>
    <n v="0"/>
    <n v="0"/>
    <n v="0"/>
    <n v="0"/>
    <n v="0"/>
    <n v="0"/>
    <n v="57"/>
    <n v="57"/>
    <m/>
    <m/>
    <n v="0"/>
    <m/>
    <n v="57"/>
    <m/>
    <n v="57"/>
    <n v="0"/>
    <n v="0"/>
    <n v="0"/>
    <n v="0"/>
    <n v="0"/>
    <n v="0"/>
    <n v="0"/>
    <n v="0"/>
    <n v="0"/>
    <n v="0"/>
    <n v="0"/>
    <n v="57"/>
    <n v="57"/>
    <n v="0"/>
    <n v="0"/>
    <n v="0"/>
    <n v="0"/>
    <n v="0"/>
    <n v="0"/>
    <n v="0"/>
    <n v="0"/>
    <n v="0"/>
    <n v="0"/>
    <n v="0"/>
    <n v="57"/>
  </r>
  <r>
    <s v="L-ERP-255"/>
    <s v="Jajodia, Amit_OTHER_Others001"/>
    <s v="ERP"/>
    <x v="1"/>
    <s v="Jajodia, Amit"/>
    <s v="DeHart, Lynn"/>
    <x v="7"/>
    <s v="Other"/>
    <m/>
    <m/>
    <s v="Others001"/>
    <m/>
    <m/>
    <m/>
    <s v="Other"/>
    <m/>
    <m/>
    <n v="0"/>
    <n v="0"/>
    <n v="0"/>
    <n v="0"/>
    <m/>
    <m/>
    <n v="414.36"/>
    <n v="0"/>
    <n v="0"/>
    <n v="0"/>
    <n v="0"/>
    <n v="0"/>
    <n v="0"/>
    <n v="0"/>
    <n v="0"/>
    <n v="0"/>
    <n v="414.36"/>
    <n v="414.36"/>
    <m/>
    <m/>
    <n v="0"/>
    <m/>
    <n v="414.36"/>
    <m/>
    <m/>
    <m/>
    <n v="414.36"/>
    <n v="0"/>
    <n v="0"/>
    <n v="0"/>
    <n v="0"/>
    <n v="0"/>
    <n v="0"/>
    <n v="0"/>
    <n v="0"/>
    <n v="0"/>
    <n v="414.36"/>
    <m/>
    <m/>
    <n v="414.36"/>
    <n v="0"/>
    <n v="0"/>
    <n v="0"/>
    <n v="0"/>
    <n v="0"/>
    <n v="0"/>
    <n v="0"/>
    <n v="0"/>
    <n v="0"/>
    <n v="414.36"/>
  </r>
  <r>
    <s v="L-ERP-048"/>
    <s v="DeHart, Lynn_OUTSIDE COUNSEL_Others001"/>
    <s v="ERP"/>
    <x v="1"/>
    <s v="DeHart, Lynn"/>
    <s v="DeHart, Lynn"/>
    <x v="9"/>
    <s v="Other"/>
    <m/>
    <m/>
    <s v="Others001"/>
    <m/>
    <m/>
    <m/>
    <s v="Other"/>
    <m/>
    <m/>
    <n v="0"/>
    <n v="0"/>
    <n v="0"/>
    <n v="0"/>
    <n v="16.29"/>
    <n v="0"/>
    <n v="3.92"/>
    <n v="0"/>
    <n v="0"/>
    <n v="0"/>
    <n v="0"/>
    <n v="0"/>
    <n v="0"/>
    <n v="0"/>
    <n v="0"/>
    <n v="0"/>
    <n v="20.21"/>
    <n v="20.21"/>
    <m/>
    <m/>
    <n v="1.7763568394002505E-15"/>
    <m/>
    <n v="20.21"/>
    <m/>
    <n v="16.29"/>
    <n v="0"/>
    <n v="3.92"/>
    <n v="0"/>
    <n v="0"/>
    <n v="0"/>
    <n v="0"/>
    <n v="0"/>
    <n v="0"/>
    <n v="0"/>
    <n v="0"/>
    <n v="0"/>
    <n v="20.21"/>
    <n v="16.29"/>
    <n v="0"/>
    <n v="3.92"/>
    <n v="0"/>
    <n v="0"/>
    <n v="0"/>
    <n v="0"/>
    <n v="0"/>
    <n v="0"/>
    <n v="0"/>
    <n v="0"/>
    <n v="0"/>
    <n v="20.21"/>
  </r>
  <r>
    <s v="L-ERP-405"/>
    <s v="McGettigan, David_OTHER_Others001"/>
    <s v="ERP"/>
    <x v="2"/>
    <s v="McGettigan, David"/>
    <s v="McGettigan, David"/>
    <x v="7"/>
    <s v="Other"/>
    <m/>
    <m/>
    <s v="Others001"/>
    <m/>
    <m/>
    <m/>
    <s v="Other"/>
    <m/>
    <m/>
    <n v="0"/>
    <n v="0"/>
    <n v="0"/>
    <n v="0"/>
    <n v="19"/>
    <n v="-0.17"/>
    <n v="0"/>
    <n v="0"/>
    <n v="0"/>
    <n v="0"/>
    <n v="0"/>
    <n v="0"/>
    <n v="0"/>
    <n v="0"/>
    <n v="0"/>
    <n v="0"/>
    <n v="18.829999999999998"/>
    <n v="18.829999999999998"/>
    <m/>
    <m/>
    <n v="-1.6930901125533637E-15"/>
    <m/>
    <n v="18.829999999999998"/>
    <m/>
    <n v="19"/>
    <n v="-0.17"/>
    <n v="0"/>
    <n v="0"/>
    <n v="0"/>
    <n v="0"/>
    <n v="0"/>
    <n v="0"/>
    <n v="0"/>
    <n v="0"/>
    <n v="0"/>
    <n v="0"/>
    <n v="18.829999999999998"/>
    <n v="19"/>
    <n v="-0.17"/>
    <n v="0"/>
    <n v="0"/>
    <n v="0"/>
    <n v="0"/>
    <n v="0"/>
    <n v="0"/>
    <n v="0"/>
    <n v="0"/>
    <n v="0"/>
    <n v="0"/>
    <n v="18.829999999999998"/>
  </r>
  <r>
    <s v="L-ERP-497"/>
    <s v="Robertson, Jerome_OTHER_Others001"/>
    <s v="ERP"/>
    <x v="3"/>
    <s v="Robertson, Jerome"/>
    <s v="Robertson, Jerome"/>
    <x v="7"/>
    <s v="Other"/>
    <m/>
    <m/>
    <s v="Others001"/>
    <m/>
    <m/>
    <m/>
    <s v="Other"/>
    <m/>
    <m/>
    <n v="0"/>
    <n v="0"/>
    <n v="0"/>
    <n v="0"/>
    <m/>
    <n v="27.55"/>
    <n v="0.55000000000000004"/>
    <n v="0"/>
    <n v="0"/>
    <n v="0"/>
    <n v="0"/>
    <n v="0"/>
    <n v="0"/>
    <n v="0"/>
    <n v="0"/>
    <n v="0"/>
    <n v="28.1"/>
    <n v="28.1"/>
    <m/>
    <m/>
    <n v="6.6613381477509392E-16"/>
    <m/>
    <n v="28.1"/>
    <m/>
    <m/>
    <n v="27.55"/>
    <n v="0.55000000000000004"/>
    <n v="0"/>
    <n v="0"/>
    <n v="0"/>
    <n v="0"/>
    <n v="0"/>
    <n v="0"/>
    <n v="0"/>
    <n v="0"/>
    <n v="0"/>
    <n v="28.1"/>
    <m/>
    <n v="27.55"/>
    <n v="0.55000000000000004"/>
    <n v="0"/>
    <n v="0"/>
    <n v="0"/>
    <n v="0"/>
    <n v="0"/>
    <n v="0"/>
    <n v="0"/>
    <n v="0"/>
    <n v="0"/>
    <n v="28.1"/>
  </r>
  <r>
    <s v="L-ERP-094"/>
    <s v="Dougherty, Chris_CONTRACTORS_POClosure001"/>
    <s v="ERP"/>
    <x v="0"/>
    <s v="Dougherty, Chris"/>
    <s v="Maguire, Karla"/>
    <x v="2"/>
    <s v="PO Closure Credit"/>
    <m/>
    <m/>
    <s v="POClosure001"/>
    <s v="CHW - Ok"/>
    <m/>
    <m/>
    <s v="None"/>
    <m/>
    <m/>
    <n v="0"/>
    <n v="0"/>
    <n v="0"/>
    <n v="0"/>
    <n v="0.34"/>
    <n v="-10499.16"/>
    <n v="-5667.84"/>
    <n v="0"/>
    <n v="0"/>
    <n v="0"/>
    <n v="0"/>
    <n v="0"/>
    <n v="0"/>
    <n v="0"/>
    <n v="0"/>
    <n v="0"/>
    <n v="-16166.66"/>
    <n v="-16166.66"/>
    <m/>
    <m/>
    <n v="0"/>
    <m/>
    <n v="-16166.66"/>
    <m/>
    <n v="0.34"/>
    <n v="-10499.16"/>
    <n v="-5667.84"/>
    <n v="0"/>
    <n v="0"/>
    <n v="0"/>
    <n v="0"/>
    <n v="0"/>
    <n v="0"/>
    <n v="0"/>
    <n v="0"/>
    <n v="0"/>
    <n v="-16166.66"/>
    <n v="0.34"/>
    <n v="-10499.16"/>
    <n v="-5667.84"/>
    <n v="0"/>
    <n v="0"/>
    <n v="0"/>
    <n v="0"/>
    <n v="0"/>
    <n v="0"/>
    <n v="0"/>
    <n v="0"/>
    <n v="0"/>
    <n v="-16166.66"/>
  </r>
  <r>
    <s v="L-ERP-446"/>
    <s v="Meadows, Leslie_CONTRACTORS_POClosure001"/>
    <s v="ERP"/>
    <x v="0"/>
    <s v="Meadows, Leslie"/>
    <s v="Maguire, Karla"/>
    <x v="2"/>
    <s v="PO Closure Credit"/>
    <m/>
    <m/>
    <s v="POClosure001"/>
    <s v="CHW - Ok"/>
    <m/>
    <m/>
    <s v="None"/>
    <m/>
    <m/>
    <n v="0"/>
    <n v="0"/>
    <n v="0"/>
    <n v="0"/>
    <m/>
    <m/>
    <n v="-14694"/>
    <n v="0"/>
    <n v="0"/>
    <n v="0"/>
    <n v="0"/>
    <n v="0"/>
    <n v="0"/>
    <n v="0"/>
    <n v="0"/>
    <n v="0"/>
    <n v="-14694"/>
    <n v="-14694"/>
    <m/>
    <m/>
    <n v="0"/>
    <m/>
    <n v="-14694"/>
    <m/>
    <m/>
    <m/>
    <n v="-14694"/>
    <n v="0"/>
    <n v="0"/>
    <n v="0"/>
    <n v="0"/>
    <n v="0"/>
    <n v="0"/>
    <n v="0"/>
    <n v="0"/>
    <n v="0"/>
    <n v="-14694"/>
    <m/>
    <m/>
    <n v="-14694"/>
    <n v="0"/>
    <n v="0"/>
    <n v="0"/>
    <n v="0"/>
    <n v="0"/>
    <n v="0"/>
    <n v="0"/>
    <n v="0"/>
    <n v="0"/>
    <n v="-14694"/>
  </r>
  <r>
    <s v="L-ERP-156"/>
    <s v="Ganesan, Srinivasan_CONTRACTORS_POClosure001"/>
    <s v="ERP"/>
    <x v="1"/>
    <s v="Ganesan, Srinivasan"/>
    <s v="DeHart, Lynn"/>
    <x v="2"/>
    <s v="PO Closure Credit"/>
    <m/>
    <m/>
    <s v="POClosure001"/>
    <s v="CHW - Ok"/>
    <m/>
    <m/>
    <s v="None"/>
    <m/>
    <m/>
    <n v="0"/>
    <n v="0"/>
    <n v="0"/>
    <n v="0"/>
    <n v="-879.72"/>
    <n v="-0.18"/>
    <n v="-7298.82"/>
    <n v="0"/>
    <n v="0"/>
    <n v="0"/>
    <n v="0"/>
    <n v="0"/>
    <n v="0"/>
    <n v="0"/>
    <n v="0"/>
    <n v="0"/>
    <n v="-8178.7199999999993"/>
    <n v="-8178.7199999999993"/>
    <m/>
    <m/>
    <n v="9.0949470177292824E-13"/>
    <m/>
    <n v="-8178.7199999999993"/>
    <m/>
    <n v="-879.72"/>
    <n v="-0.18"/>
    <n v="-7298.82"/>
    <n v="0"/>
    <n v="0"/>
    <n v="0"/>
    <n v="0"/>
    <n v="0"/>
    <n v="0"/>
    <n v="0"/>
    <n v="0"/>
    <n v="0"/>
    <n v="-8178.7199999999993"/>
    <n v="-879.72"/>
    <n v="-0.18"/>
    <n v="-7298.82"/>
    <n v="0"/>
    <n v="0"/>
    <n v="0"/>
    <n v="0"/>
    <n v="0"/>
    <n v="0"/>
    <n v="0"/>
    <n v="0"/>
    <n v="0"/>
    <n v="-8178.7199999999993"/>
  </r>
  <r>
    <s v="L-ERP-210"/>
    <s v="Herman, Shaun_CONTRACTORS_POClosure001"/>
    <s v="ERP"/>
    <x v="1"/>
    <s v="Herman, Shaun"/>
    <s v="DeHart, Lynn"/>
    <x v="2"/>
    <s v="PO Closure Credit"/>
    <m/>
    <m/>
    <s v="POClosure001"/>
    <s v="CHW - Ok"/>
    <m/>
    <m/>
    <s v="None"/>
    <m/>
    <m/>
    <n v="0"/>
    <n v="0"/>
    <n v="0"/>
    <n v="0"/>
    <n v="-487.65"/>
    <n v="-3796"/>
    <n v="0"/>
    <n v="0"/>
    <n v="0"/>
    <n v="0"/>
    <n v="0"/>
    <n v="0"/>
    <n v="0"/>
    <n v="0"/>
    <n v="0"/>
    <n v="0"/>
    <n v="-4283.6499999999996"/>
    <n v="-4283.6499999999996"/>
    <m/>
    <m/>
    <n v="4.5474735088646412E-13"/>
    <m/>
    <n v="-4283.6499999999996"/>
    <m/>
    <n v="-487.65"/>
    <n v="-3796"/>
    <n v="0"/>
    <n v="0"/>
    <n v="0"/>
    <n v="0"/>
    <n v="0"/>
    <n v="0"/>
    <n v="0"/>
    <n v="0"/>
    <n v="0"/>
    <n v="0"/>
    <n v="-4283.6499999999996"/>
    <n v="-487.65"/>
    <n v="-3796"/>
    <n v="0"/>
    <n v="0"/>
    <n v="0"/>
    <n v="0"/>
    <n v="0"/>
    <n v="0"/>
    <n v="0"/>
    <n v="0"/>
    <n v="0"/>
    <n v="0"/>
    <n v="-4283.6499999999996"/>
  </r>
  <r>
    <s v="L-ERP-246"/>
    <s v="Jajodia, Amit_CONTRACTORS_POClosure001"/>
    <s v="ERP"/>
    <x v="1"/>
    <s v="Jajodia, Amit"/>
    <s v="DeHart, Lynn"/>
    <x v="2"/>
    <s v="PO Closure Credit"/>
    <m/>
    <m/>
    <s v="POClosure001"/>
    <s v="CHW - Ok"/>
    <m/>
    <m/>
    <s v="None"/>
    <m/>
    <m/>
    <n v="0"/>
    <n v="0"/>
    <n v="0"/>
    <n v="0"/>
    <n v="-4506.29"/>
    <n v="-29540.02"/>
    <n v="-20248.98"/>
    <n v="0"/>
    <n v="0"/>
    <n v="0"/>
    <n v="0"/>
    <n v="0"/>
    <n v="0"/>
    <n v="0"/>
    <n v="0"/>
    <n v="0"/>
    <n v="-54295.289999999994"/>
    <n v="-54295.289999999994"/>
    <m/>
    <m/>
    <n v="7.2759576141834259E-12"/>
    <m/>
    <n v="-54295.289999999994"/>
    <m/>
    <n v="-4506.29"/>
    <n v="-29540.02"/>
    <n v="-20248.98"/>
    <n v="0"/>
    <n v="0"/>
    <n v="0"/>
    <n v="0"/>
    <n v="0"/>
    <n v="0"/>
    <n v="0"/>
    <n v="0"/>
    <n v="0"/>
    <n v="-54295.289999999994"/>
    <n v="-4506.29"/>
    <n v="-29540.02"/>
    <n v="-20248.98"/>
    <n v="0"/>
    <n v="0"/>
    <n v="0"/>
    <n v="0"/>
    <n v="0"/>
    <n v="0"/>
    <n v="0"/>
    <n v="0"/>
    <n v="0"/>
    <n v="-54295.289999999994"/>
  </r>
  <r>
    <s v="L-ERP-579"/>
    <s v="Yeluri, Durga_CONTRACTORS_POClosure001"/>
    <s v="ERP"/>
    <x v="1"/>
    <s v="Yeluri, Durga"/>
    <s v="DeHart, Lynn"/>
    <x v="2"/>
    <s v="PO Closure Credit"/>
    <m/>
    <m/>
    <s v="POClosure001"/>
    <s v="CHW - Ok"/>
    <m/>
    <m/>
    <s v="None"/>
    <m/>
    <m/>
    <n v="0"/>
    <n v="0"/>
    <n v="0"/>
    <n v="0"/>
    <n v="-4133.1400000000003"/>
    <n v="0"/>
    <n v="0"/>
    <n v="0"/>
    <n v="0"/>
    <n v="0"/>
    <n v="0"/>
    <n v="0"/>
    <n v="0"/>
    <n v="0"/>
    <n v="0"/>
    <n v="0"/>
    <n v="-4133.1400000000003"/>
    <n v="-4133.1400000000003"/>
    <m/>
    <m/>
    <n v="0"/>
    <m/>
    <n v="-4133.1400000000003"/>
    <m/>
    <n v="-4133.1400000000003"/>
    <n v="0"/>
    <n v="0"/>
    <n v="0"/>
    <n v="0"/>
    <n v="0"/>
    <n v="0"/>
    <n v="0"/>
    <n v="0"/>
    <n v="0"/>
    <n v="0"/>
    <n v="0"/>
    <n v="-4133.1400000000003"/>
    <n v="-4133.1400000000003"/>
    <n v="0"/>
    <n v="0"/>
    <n v="0"/>
    <n v="0"/>
    <n v="0"/>
    <n v="0"/>
    <n v="0"/>
    <n v="0"/>
    <n v="0"/>
    <n v="0"/>
    <n v="0"/>
    <n v="-4133.1400000000003"/>
  </r>
  <r>
    <s v="L-ERP-159"/>
    <s v="Ganesan, Srinivasan_MANAGED SERVICES_PR-252001-0000007901"/>
    <s v="ERP"/>
    <x v="1"/>
    <s v="Ganesan, Srinivasan"/>
    <s v="DeHart, Lynn"/>
    <x v="1"/>
    <s v="Default"/>
    <m/>
    <m/>
    <s v="PR-252001-0000007901"/>
    <m/>
    <m/>
    <m/>
    <s v="None"/>
    <m/>
    <m/>
    <n v="0"/>
    <n v="0"/>
    <n v="0"/>
    <n v="0"/>
    <m/>
    <n v="256.18"/>
    <n v="42.72"/>
    <n v="0"/>
    <n v="0"/>
    <n v="0"/>
    <n v="0"/>
    <n v="0"/>
    <n v="0"/>
    <n v="0"/>
    <n v="0"/>
    <n v="0"/>
    <n v="298.89999999999998"/>
    <n v="298.89999999999998"/>
    <m/>
    <m/>
    <n v="-2.8421709430404007E-14"/>
    <m/>
    <n v="298.89999999999998"/>
    <m/>
    <m/>
    <n v="256.18"/>
    <n v="42.72"/>
    <n v="0"/>
    <n v="0"/>
    <n v="0"/>
    <n v="0"/>
    <n v="0"/>
    <n v="0"/>
    <n v="0"/>
    <n v="0"/>
    <n v="0"/>
    <n v="298.89999999999998"/>
    <m/>
    <n v="256.18"/>
    <n v="42.72"/>
    <n v="0"/>
    <n v="0"/>
    <n v="0"/>
    <n v="0"/>
    <n v="0"/>
    <n v="0"/>
    <n v="0"/>
    <n v="0"/>
    <n v="0"/>
    <n v="298.89999999999998"/>
  </r>
  <r>
    <s v="L-ERP-416"/>
    <s v="McGettigan, David_CONTRACTORS_PR-320001-0000007901"/>
    <s v="ERP"/>
    <x v="2"/>
    <s v="McGettigan, David"/>
    <s v="McGettigan, David"/>
    <x v="2"/>
    <s v="Default"/>
    <m/>
    <m/>
    <s v="PR-320001-0000007901"/>
    <m/>
    <m/>
    <m/>
    <s v="None"/>
    <m/>
    <m/>
    <n v="0"/>
    <n v="0"/>
    <n v="0"/>
    <n v="0"/>
    <m/>
    <n v="7271.4"/>
    <n v="0"/>
    <n v="0"/>
    <n v="0"/>
    <n v="0"/>
    <n v="0"/>
    <n v="0"/>
    <n v="0"/>
    <n v="0"/>
    <n v="0"/>
    <n v="0"/>
    <n v="7271.4"/>
    <n v="7271.4"/>
    <m/>
    <m/>
    <n v="0"/>
    <m/>
    <n v="7271.4"/>
    <m/>
    <m/>
    <n v="7271.4"/>
    <n v="0"/>
    <n v="0"/>
    <n v="0"/>
    <n v="0"/>
    <n v="0"/>
    <n v="0"/>
    <n v="0"/>
    <n v="0"/>
    <n v="0"/>
    <n v="0"/>
    <n v="7271.4"/>
    <m/>
    <n v="7271.4"/>
    <n v="0"/>
    <n v="0"/>
    <n v="0"/>
    <n v="0"/>
    <n v="0"/>
    <n v="0"/>
    <n v="0"/>
    <n v="0"/>
    <n v="0"/>
    <n v="0"/>
    <n v="7271.4"/>
  </r>
  <r>
    <s v="L-ERP-404"/>
    <s v="McGettigan, David_TELECOMMUNICATIONS_PR-320001-0000007901"/>
    <s v="ERP"/>
    <x v="2"/>
    <s v="McGettigan, David"/>
    <s v="McGettigan, David"/>
    <x v="10"/>
    <s v="Default"/>
    <m/>
    <m/>
    <s v="PR-320001-0000007901"/>
    <m/>
    <m/>
    <m/>
    <s v="None"/>
    <m/>
    <m/>
    <n v="0"/>
    <n v="0"/>
    <n v="0"/>
    <n v="0"/>
    <m/>
    <n v="8.51"/>
    <n v="0"/>
    <n v="0"/>
    <n v="0"/>
    <n v="0"/>
    <n v="0"/>
    <n v="0"/>
    <n v="0"/>
    <n v="0"/>
    <n v="0"/>
    <n v="0"/>
    <n v="8.51"/>
    <n v="8.51"/>
    <m/>
    <m/>
    <n v="0"/>
    <m/>
    <n v="8.51"/>
    <m/>
    <m/>
    <n v="8.51"/>
    <n v="0"/>
    <n v="0"/>
    <n v="0"/>
    <n v="0"/>
    <n v="0"/>
    <n v="0"/>
    <n v="0"/>
    <n v="0"/>
    <n v="0"/>
    <n v="0"/>
    <n v="8.51"/>
    <m/>
    <n v="8.51"/>
    <n v="0"/>
    <n v="0"/>
    <n v="0"/>
    <n v="0"/>
    <n v="0"/>
    <n v="0"/>
    <n v="0"/>
    <n v="0"/>
    <n v="0"/>
    <n v="0"/>
    <n v="8.51"/>
  </r>
  <r>
    <s v="L-ERP-030"/>
    <s v="DeHart, Lynn_RENT AND UTILITIES_PR-320001-0000007986"/>
    <s v="ERP"/>
    <x v="1"/>
    <s v="DeHart, Lynn"/>
    <s v="DeHart, Lynn"/>
    <x v="8"/>
    <s v="WBS Override Project"/>
    <m/>
    <m/>
    <s v="PR-320001-0000007986"/>
    <m/>
    <m/>
    <m/>
    <s v="None"/>
    <m/>
    <m/>
    <n v="0"/>
    <n v="0"/>
    <n v="0"/>
    <n v="0"/>
    <m/>
    <n v="961.71"/>
    <n v="0"/>
    <n v="0"/>
    <n v="0"/>
    <n v="0"/>
    <n v="0"/>
    <n v="0"/>
    <n v="0"/>
    <n v="0"/>
    <n v="0"/>
    <n v="0"/>
    <n v="961.71"/>
    <n v="961.71"/>
    <m/>
    <m/>
    <n v="0"/>
    <m/>
    <n v="961.71"/>
    <m/>
    <m/>
    <n v="961.71"/>
    <n v="0"/>
    <n v="0"/>
    <n v="0"/>
    <n v="0"/>
    <n v="0"/>
    <n v="0"/>
    <n v="0"/>
    <n v="0"/>
    <n v="0"/>
    <n v="0"/>
    <n v="961.71"/>
    <m/>
    <n v="961.71"/>
    <n v="0"/>
    <n v="0"/>
    <n v="0"/>
    <n v="0"/>
    <n v="0"/>
    <n v="0"/>
    <n v="0"/>
    <n v="0"/>
    <n v="0"/>
    <n v="0"/>
    <n v="961.71"/>
  </r>
  <r>
    <s v="L-ERP-039"/>
    <s v="DeHart, Lynn_TELECOMMUNICATIONS_PR-320001-0000007986"/>
    <s v="ERP"/>
    <x v="1"/>
    <s v="DeHart, Lynn"/>
    <s v="DeHart, Lynn"/>
    <x v="10"/>
    <s v="WBS Override Project"/>
    <m/>
    <m/>
    <s v="PR-320001-0000007986"/>
    <m/>
    <m/>
    <m/>
    <s v="None"/>
    <m/>
    <m/>
    <n v="0"/>
    <n v="0"/>
    <n v="0"/>
    <n v="0"/>
    <m/>
    <n v="11.32"/>
    <n v="0"/>
    <n v="0"/>
    <n v="0"/>
    <n v="0"/>
    <n v="0"/>
    <n v="0"/>
    <n v="0"/>
    <n v="0"/>
    <n v="0"/>
    <n v="0"/>
    <n v="11.32"/>
    <n v="11.32"/>
    <m/>
    <m/>
    <n v="0"/>
    <m/>
    <n v="11.32"/>
    <m/>
    <m/>
    <n v="11.32"/>
    <n v="0"/>
    <n v="0"/>
    <n v="0"/>
    <n v="0"/>
    <n v="0"/>
    <n v="0"/>
    <n v="0"/>
    <n v="0"/>
    <n v="0"/>
    <n v="0"/>
    <n v="11.32"/>
    <m/>
    <n v="11.32"/>
    <n v="0"/>
    <n v="0"/>
    <n v="0"/>
    <n v="0"/>
    <n v="0"/>
    <n v="0"/>
    <n v="0"/>
    <n v="0"/>
    <n v="0"/>
    <n v="0"/>
    <n v="11.32"/>
  </r>
  <r>
    <s v="L-ERP-018"/>
    <s v="DeHart, Lynn_CONTRACTORS_PR-587101-0000007986"/>
    <s v="ERP"/>
    <x v="1"/>
    <s v="DeHart, Lynn"/>
    <s v="DeHart, Lynn"/>
    <x v="2"/>
    <s v="WBS Override Project"/>
    <m/>
    <m/>
    <s v="PR-587101-0000007986"/>
    <m/>
    <m/>
    <m/>
    <s v="None"/>
    <m/>
    <m/>
    <n v="0"/>
    <n v="0"/>
    <n v="0"/>
    <n v="0"/>
    <m/>
    <n v="130.62"/>
    <n v="0"/>
    <n v="0"/>
    <n v="0"/>
    <n v="0"/>
    <n v="0"/>
    <n v="0"/>
    <n v="0"/>
    <n v="0"/>
    <n v="0"/>
    <n v="0"/>
    <n v="130.62"/>
    <n v="130.62"/>
    <m/>
    <m/>
    <n v="0"/>
    <m/>
    <n v="130.62"/>
    <m/>
    <m/>
    <n v="130.62"/>
    <n v="0"/>
    <n v="0"/>
    <n v="0"/>
    <n v="0"/>
    <n v="0"/>
    <n v="0"/>
    <n v="0"/>
    <n v="0"/>
    <n v="0"/>
    <n v="0"/>
    <n v="130.62"/>
    <m/>
    <n v="130.62"/>
    <n v="0"/>
    <n v="0"/>
    <n v="0"/>
    <n v="0"/>
    <n v="0"/>
    <n v="0"/>
    <n v="0"/>
    <n v="0"/>
    <n v="0"/>
    <n v="0"/>
    <n v="130.62"/>
  </r>
  <r>
    <s v="L-ERP-024"/>
    <s v="DeHart, Lynn_MANAGED SERVICES_PR-587101-0000007986"/>
    <s v="ERP"/>
    <x v="1"/>
    <s v="DeHart, Lynn"/>
    <s v="DeHart, Lynn"/>
    <x v="1"/>
    <s v="WBS Override Project"/>
    <m/>
    <m/>
    <s v="PR-587101-0000007986"/>
    <m/>
    <m/>
    <m/>
    <s v="None"/>
    <m/>
    <m/>
    <n v="0"/>
    <n v="0"/>
    <n v="0"/>
    <n v="0"/>
    <m/>
    <n v="356.72"/>
    <n v="0"/>
    <n v="0"/>
    <n v="0"/>
    <n v="0"/>
    <n v="0"/>
    <n v="0"/>
    <n v="0"/>
    <n v="0"/>
    <n v="0"/>
    <n v="0"/>
    <n v="356.72"/>
    <n v="356.72"/>
    <m/>
    <m/>
    <n v="0"/>
    <m/>
    <n v="356.72"/>
    <m/>
    <m/>
    <n v="356.72"/>
    <n v="0"/>
    <n v="0"/>
    <n v="0"/>
    <n v="0"/>
    <n v="0"/>
    <n v="0"/>
    <n v="0"/>
    <n v="0"/>
    <n v="0"/>
    <n v="0"/>
    <n v="356.72"/>
    <m/>
    <n v="356.72"/>
    <n v="0"/>
    <n v="0"/>
    <n v="0"/>
    <n v="0"/>
    <n v="0"/>
    <n v="0"/>
    <n v="0"/>
    <n v="0"/>
    <n v="0"/>
    <n v="0"/>
    <n v="356.72"/>
  </r>
  <r>
    <s v="L-ERP-027"/>
    <s v="DeHart, Lynn_OTHER_PR-587101-0000007986"/>
    <s v="ERP"/>
    <x v="1"/>
    <s v="DeHart, Lynn"/>
    <s v="DeHart, Lynn"/>
    <x v="7"/>
    <s v="WBS Override Project"/>
    <m/>
    <m/>
    <s v="PR-587101-0000007986"/>
    <m/>
    <m/>
    <m/>
    <s v="None"/>
    <m/>
    <m/>
    <n v="0"/>
    <n v="0"/>
    <n v="0"/>
    <n v="0"/>
    <m/>
    <n v="220.29"/>
    <n v="0"/>
    <n v="0"/>
    <n v="0"/>
    <n v="0"/>
    <n v="0"/>
    <n v="0"/>
    <n v="0"/>
    <n v="0"/>
    <n v="0"/>
    <n v="0"/>
    <n v="220.29"/>
    <n v="220.29"/>
    <m/>
    <m/>
    <n v="0"/>
    <m/>
    <n v="220.29"/>
    <m/>
    <m/>
    <n v="220.29"/>
    <n v="0"/>
    <n v="0"/>
    <n v="0"/>
    <n v="0"/>
    <n v="0"/>
    <n v="0"/>
    <n v="0"/>
    <n v="0"/>
    <n v="0"/>
    <n v="0"/>
    <n v="220.29"/>
    <m/>
    <n v="220.29"/>
    <n v="0"/>
    <n v="0"/>
    <n v="0"/>
    <n v="0"/>
    <n v="0"/>
    <n v="0"/>
    <n v="0"/>
    <n v="0"/>
    <n v="0"/>
    <n v="0"/>
    <n v="220.29"/>
  </r>
  <r>
    <s v="L-ERP-029"/>
    <s v="DeHart, Lynn_OUTSIDE COUNSEL_PR-587101-0000007986"/>
    <s v="ERP"/>
    <x v="1"/>
    <s v="DeHart, Lynn"/>
    <s v="DeHart, Lynn"/>
    <x v="9"/>
    <s v="WBS Override Project"/>
    <m/>
    <m/>
    <s v="PR-587101-0000007986"/>
    <m/>
    <m/>
    <m/>
    <s v="None"/>
    <m/>
    <m/>
    <n v="0"/>
    <n v="0"/>
    <n v="0"/>
    <n v="0"/>
    <m/>
    <n v="3.5"/>
    <n v="0"/>
    <n v="0"/>
    <n v="0"/>
    <n v="0"/>
    <n v="0"/>
    <n v="0"/>
    <n v="0"/>
    <n v="0"/>
    <n v="0"/>
    <n v="0"/>
    <n v="3.5"/>
    <n v="3.5"/>
    <m/>
    <m/>
    <n v="0"/>
    <m/>
    <n v="3.5"/>
    <m/>
    <m/>
    <n v="3.5"/>
    <n v="0"/>
    <n v="0"/>
    <n v="0"/>
    <n v="0"/>
    <n v="0"/>
    <n v="0"/>
    <n v="0"/>
    <n v="0"/>
    <n v="0"/>
    <n v="0"/>
    <n v="3.5"/>
    <m/>
    <n v="3.5"/>
    <n v="0"/>
    <n v="0"/>
    <n v="0"/>
    <n v="0"/>
    <n v="0"/>
    <n v="0"/>
    <n v="0"/>
    <n v="0"/>
    <n v="0"/>
    <n v="0"/>
    <n v="3.5"/>
  </r>
  <r>
    <s v="L-ERP-031"/>
    <s v="DeHart, Lynn_RENT AND UTILITIES_PR-587101-0000007986"/>
    <s v="ERP"/>
    <x v="1"/>
    <s v="DeHart, Lynn"/>
    <s v="DeHart, Lynn"/>
    <x v="8"/>
    <s v="WBS Override Project"/>
    <m/>
    <m/>
    <s v="PR-587101-0000007986"/>
    <m/>
    <m/>
    <m/>
    <s v="None"/>
    <m/>
    <m/>
    <n v="0"/>
    <n v="0"/>
    <n v="0"/>
    <n v="0"/>
    <m/>
    <n v="1672.26"/>
    <n v="0"/>
    <n v="0"/>
    <n v="0"/>
    <n v="0"/>
    <n v="0"/>
    <n v="0"/>
    <n v="0"/>
    <n v="0"/>
    <n v="0"/>
    <n v="0"/>
    <n v="1672.26"/>
    <n v="1672.26"/>
    <m/>
    <m/>
    <n v="0"/>
    <m/>
    <n v="1672.26"/>
    <m/>
    <m/>
    <n v="1672.26"/>
    <n v="0"/>
    <n v="0"/>
    <n v="0"/>
    <n v="0"/>
    <n v="0"/>
    <n v="0"/>
    <n v="0"/>
    <n v="0"/>
    <n v="0"/>
    <n v="0"/>
    <n v="1672.26"/>
    <m/>
    <n v="1672.26"/>
    <n v="0"/>
    <n v="0"/>
    <n v="0"/>
    <n v="0"/>
    <n v="0"/>
    <n v="0"/>
    <n v="0"/>
    <n v="0"/>
    <n v="0"/>
    <n v="0"/>
    <n v="1672.26"/>
  </r>
  <r>
    <s v="L-ERP-042"/>
    <s v="DeHart, Lynn_TRAVEL &amp; ENTERTAINMENT_PR-587101-0000007986"/>
    <s v="ERP"/>
    <x v="1"/>
    <s v="DeHart, Lynn"/>
    <s v="DeHart, Lynn"/>
    <x v="4"/>
    <s v="WBS Override Project"/>
    <m/>
    <m/>
    <s v="PR-587101-0000007986"/>
    <m/>
    <m/>
    <m/>
    <s v="None"/>
    <m/>
    <m/>
    <n v="0"/>
    <n v="0"/>
    <n v="0"/>
    <n v="0"/>
    <m/>
    <n v="64.67"/>
    <n v="0"/>
    <n v="0"/>
    <n v="0"/>
    <n v="0"/>
    <n v="0"/>
    <n v="0"/>
    <n v="0"/>
    <n v="0"/>
    <n v="0"/>
    <n v="0"/>
    <n v="64.67"/>
    <n v="64.67"/>
    <m/>
    <m/>
    <n v="0"/>
    <m/>
    <n v="64.67"/>
    <m/>
    <m/>
    <n v="64.67"/>
    <n v="0"/>
    <n v="0"/>
    <n v="0"/>
    <n v="0"/>
    <n v="0"/>
    <n v="0"/>
    <n v="0"/>
    <n v="0"/>
    <n v="0"/>
    <n v="0"/>
    <n v="64.67"/>
    <m/>
    <n v="64.67"/>
    <n v="0"/>
    <n v="0"/>
    <n v="0"/>
    <n v="0"/>
    <n v="0"/>
    <n v="0"/>
    <n v="0"/>
    <n v="0"/>
    <n v="0"/>
    <n v="0"/>
    <n v="64.67"/>
  </r>
  <r>
    <s v="L-ERP-102"/>
    <s v="Dougherty, Chris_TELECOMMUNICATIONS_Telecom001"/>
    <s v="ERP"/>
    <x v="0"/>
    <s v="Dougherty, Chris"/>
    <s v="Maguire, Karla"/>
    <x v="10"/>
    <s v="Telecommunications"/>
    <m/>
    <m/>
    <s v="Telecom001"/>
    <m/>
    <m/>
    <m/>
    <s v="None"/>
    <m/>
    <m/>
    <n v="0"/>
    <n v="0"/>
    <n v="0"/>
    <n v="0"/>
    <n v="876"/>
    <n v="1712"/>
    <n v="2153"/>
    <n v="0"/>
    <n v="0"/>
    <n v="0"/>
    <n v="0"/>
    <n v="0"/>
    <n v="0"/>
    <n v="0"/>
    <n v="0"/>
    <n v="0"/>
    <n v="4741"/>
    <n v="4741"/>
    <m/>
    <m/>
    <n v="0"/>
    <m/>
    <n v="4741"/>
    <m/>
    <n v="876"/>
    <n v="1712"/>
    <n v="2153"/>
    <n v="0"/>
    <n v="0"/>
    <n v="0"/>
    <n v="0"/>
    <n v="0"/>
    <n v="0"/>
    <n v="0"/>
    <n v="0"/>
    <n v="0"/>
    <n v="4741"/>
    <n v="876"/>
    <n v="1712"/>
    <n v="2153"/>
    <n v="0"/>
    <n v="0"/>
    <n v="0"/>
    <n v="0"/>
    <n v="0"/>
    <n v="0"/>
    <n v="0"/>
    <n v="0"/>
    <n v="0"/>
    <n v="4741"/>
  </r>
  <r>
    <s v="L-ERP-341"/>
    <s v="Maguire, Karla_TELECOMMUNICATIONS_Telecom001"/>
    <s v="ERP"/>
    <x v="0"/>
    <s v="Maguire, Karla"/>
    <s v="Maguire, Karla"/>
    <x v="10"/>
    <s v="Telecommunications"/>
    <m/>
    <m/>
    <s v="Telecom001"/>
    <m/>
    <m/>
    <m/>
    <s v="None"/>
    <m/>
    <m/>
    <n v="78300"/>
    <n v="78300"/>
    <n v="78300"/>
    <n v="0"/>
    <n v="350.82"/>
    <n v="683.3"/>
    <n v="1259.0899999999999"/>
    <n v="6400"/>
    <n v="6400"/>
    <n v="6400"/>
    <n v="6500"/>
    <n v="6500"/>
    <n v="6900"/>
    <n v="6900"/>
    <n v="6900"/>
    <n v="6900"/>
    <n v="62093.21"/>
    <n v="-16206.79"/>
    <m/>
    <m/>
    <n v="0"/>
    <m/>
    <n v="-16206.79"/>
    <m/>
    <n v="350.82"/>
    <n v="683.3"/>
    <n v="1259.0899999999999"/>
    <n v="6400"/>
    <n v="6400"/>
    <n v="6400"/>
    <n v="6500"/>
    <n v="6500"/>
    <n v="6900"/>
    <n v="6900"/>
    <n v="6900"/>
    <n v="6900"/>
    <n v="62093.21"/>
    <n v="350.82"/>
    <n v="683.3"/>
    <n v="1259.0899999999999"/>
    <n v="6400"/>
    <n v="6400"/>
    <n v="6400"/>
    <n v="6500"/>
    <n v="6500"/>
    <n v="6900"/>
    <n v="6900"/>
    <n v="6900"/>
    <n v="6900"/>
    <n v="62093.21"/>
  </r>
  <r>
    <s v="L-ERP-040"/>
    <s v="DeHart, Lynn_TELECOMMUNICATIONS_Telecom001"/>
    <s v="ERP"/>
    <x v="1"/>
    <s v="DeHart, Lynn"/>
    <s v="DeHart, Lynn"/>
    <x v="10"/>
    <s v="Telecommunications"/>
    <m/>
    <m/>
    <s v="Telecom001"/>
    <m/>
    <m/>
    <m/>
    <s v="None"/>
    <m/>
    <m/>
    <n v="157900"/>
    <n v="157900"/>
    <n v="157900"/>
    <n v="0"/>
    <n v="2896.56"/>
    <n v="3761.9"/>
    <n v="4324.49"/>
    <n v="12300"/>
    <n v="12300"/>
    <n v="13200"/>
    <n v="13500"/>
    <n v="13700"/>
    <n v="13700"/>
    <n v="13700"/>
    <n v="13800"/>
    <n v="13800"/>
    <n v="130982.95"/>
    <n v="-26917.050000000003"/>
    <m/>
    <m/>
    <n v="0"/>
    <m/>
    <n v="-26917.050000000003"/>
    <m/>
    <n v="2896.56"/>
    <n v="3761.9"/>
    <n v="4324.49"/>
    <n v="12300"/>
    <n v="12300"/>
    <n v="13200"/>
    <n v="13500"/>
    <n v="13700"/>
    <n v="13700"/>
    <n v="13700"/>
    <n v="13800"/>
    <n v="13800"/>
    <n v="130982.95"/>
    <n v="2896.56"/>
    <n v="3761.9"/>
    <n v="4324.49"/>
    <n v="12300"/>
    <n v="12300"/>
    <n v="13200"/>
    <n v="13500"/>
    <n v="13700"/>
    <n v="13700"/>
    <n v="13700"/>
    <n v="13800"/>
    <n v="13800"/>
    <n v="130982.95"/>
  </r>
  <r>
    <s v="L-ERP-169"/>
    <s v="Ganesan, Srinivasan_TELECOMMUNICATIONS_Telecom001"/>
    <s v="ERP"/>
    <x v="1"/>
    <s v="Ganesan, Srinivasan"/>
    <s v="DeHart, Lynn"/>
    <x v="10"/>
    <s v="Telecommunications"/>
    <m/>
    <m/>
    <s v="Telecom001"/>
    <m/>
    <m/>
    <m/>
    <s v="None"/>
    <m/>
    <m/>
    <n v="0"/>
    <n v="0"/>
    <n v="0"/>
    <n v="0"/>
    <n v="-39.24"/>
    <n v="78.33"/>
    <n v="0"/>
    <n v="0"/>
    <n v="0"/>
    <n v="0"/>
    <n v="0"/>
    <n v="0"/>
    <n v="0"/>
    <n v="0"/>
    <n v="0"/>
    <n v="0"/>
    <n v="39.089999999999996"/>
    <n v="39.089999999999996"/>
    <m/>
    <m/>
    <n v="0"/>
    <m/>
    <n v="39.089999999999996"/>
    <m/>
    <n v="-39.24"/>
    <n v="78.33"/>
    <n v="0"/>
    <n v="0"/>
    <n v="0"/>
    <n v="0"/>
    <n v="0"/>
    <n v="0"/>
    <n v="0"/>
    <n v="0"/>
    <n v="0"/>
    <n v="0"/>
    <n v="39.089999999999996"/>
    <n v="-39.24"/>
    <n v="78.33"/>
    <n v="0"/>
    <n v="0"/>
    <n v="0"/>
    <n v="0"/>
    <n v="0"/>
    <n v="0"/>
    <n v="0"/>
    <n v="0"/>
    <n v="0"/>
    <n v="0"/>
    <n v="39.089999999999996"/>
  </r>
  <r>
    <s v="L-ERP-251"/>
    <s v="Jajodia, Amit_TELECOMMUNICATIONS_Telecom001"/>
    <s v="ERP"/>
    <x v="1"/>
    <s v="Jajodia, Amit"/>
    <s v="DeHart, Lynn"/>
    <x v="10"/>
    <s v="Telecommunications"/>
    <m/>
    <m/>
    <s v="Telecom001"/>
    <m/>
    <m/>
    <m/>
    <s v="None"/>
    <m/>
    <m/>
    <n v="0"/>
    <n v="0"/>
    <n v="0"/>
    <n v="0"/>
    <n v="-76.86"/>
    <n v="111.1"/>
    <n v="174.69"/>
    <n v="0"/>
    <n v="0"/>
    <n v="0"/>
    <n v="0"/>
    <n v="0"/>
    <n v="0"/>
    <n v="0"/>
    <n v="0"/>
    <n v="0"/>
    <n v="208.93"/>
    <n v="208.93"/>
    <m/>
    <m/>
    <n v="2.8421709430404007E-14"/>
    <m/>
    <n v="208.93"/>
    <m/>
    <n v="-76.86"/>
    <n v="111.1"/>
    <n v="174.69"/>
    <n v="0"/>
    <n v="0"/>
    <n v="0"/>
    <n v="0"/>
    <n v="0"/>
    <n v="0"/>
    <n v="0"/>
    <n v="0"/>
    <n v="0"/>
    <n v="208.93"/>
    <n v="-76.86"/>
    <n v="111.1"/>
    <n v="174.69"/>
    <n v="0"/>
    <n v="0"/>
    <n v="0"/>
    <n v="0"/>
    <n v="0"/>
    <n v="0"/>
    <n v="0"/>
    <n v="0"/>
    <n v="0"/>
    <n v="208.93"/>
  </r>
  <r>
    <s v="L-ERP-415"/>
    <s v="McGettigan, David_TELECOMMUNICATIONS_Telecom001"/>
    <s v="ERP"/>
    <x v="2"/>
    <s v="McGettigan, David"/>
    <s v="McGettigan, David"/>
    <x v="10"/>
    <s v="Telecommunications"/>
    <m/>
    <m/>
    <s v="Telecom001"/>
    <m/>
    <m/>
    <m/>
    <s v="None"/>
    <m/>
    <m/>
    <n v="3200"/>
    <n v="3200"/>
    <n v="3200"/>
    <n v="0"/>
    <n v="470.66"/>
    <n v="1081.01"/>
    <n v="665.61"/>
    <n v="200"/>
    <n v="300"/>
    <n v="300"/>
    <n v="200"/>
    <n v="200"/>
    <n v="200"/>
    <n v="200"/>
    <n v="200"/>
    <n v="200"/>
    <n v="4217.2800000000007"/>
    <n v="1017.2800000000007"/>
    <m/>
    <m/>
    <n v="0"/>
    <m/>
    <n v="1017.2800000000007"/>
    <m/>
    <n v="470.66"/>
    <n v="1081.01"/>
    <n v="665.61"/>
    <n v="200"/>
    <n v="300"/>
    <n v="300"/>
    <n v="200"/>
    <n v="200"/>
    <n v="200"/>
    <n v="200"/>
    <n v="200"/>
    <n v="200"/>
    <n v="4217.2800000000007"/>
    <n v="470.66"/>
    <n v="1081.01"/>
    <n v="665.61"/>
    <n v="200"/>
    <n v="300"/>
    <n v="300"/>
    <n v="200"/>
    <n v="200"/>
    <n v="200"/>
    <n v="200"/>
    <n v="200"/>
    <n v="200"/>
    <n v="4217.2800000000007"/>
  </r>
  <r>
    <s v="L-ERP-493"/>
    <s v="Robertson, Jerome_TELECOMMUNICATIONS_Telecom001"/>
    <s v="ERP"/>
    <x v="3"/>
    <s v="Robertson, Jerome"/>
    <s v="Robertson, Jerome"/>
    <x v="10"/>
    <s v="Telecommunications"/>
    <m/>
    <m/>
    <s v="Telecom001"/>
    <m/>
    <m/>
    <m/>
    <s v="None"/>
    <m/>
    <m/>
    <n v="18800"/>
    <n v="18800"/>
    <n v="18800"/>
    <n v="0"/>
    <n v="102"/>
    <n v="121"/>
    <n v="675"/>
    <n v="1600"/>
    <n v="1500"/>
    <n v="1500"/>
    <n v="1500"/>
    <n v="1700"/>
    <n v="1700"/>
    <n v="1700"/>
    <n v="1700"/>
    <n v="1700"/>
    <n v="15498"/>
    <n v="-3302"/>
    <m/>
    <m/>
    <n v="0"/>
    <m/>
    <n v="-3302"/>
    <m/>
    <n v="102"/>
    <n v="121"/>
    <n v="675"/>
    <n v="1600"/>
    <n v="1500"/>
    <n v="1500"/>
    <n v="1500"/>
    <n v="1700"/>
    <n v="1700"/>
    <n v="1700"/>
    <n v="1700"/>
    <n v="1700"/>
    <n v="15498"/>
    <n v="102"/>
    <n v="121"/>
    <n v="675"/>
    <n v="1600"/>
    <n v="1500"/>
    <n v="1500"/>
    <n v="1500"/>
    <n v="1700"/>
    <n v="1700"/>
    <n v="1700"/>
    <n v="1700"/>
    <n v="1700"/>
    <n v="15498"/>
  </r>
  <r>
    <s v="L-ERP-122"/>
    <s v="Dougherty, Chris_TRAVEL &amp; ENTERTAINMENT_TravelEnt001"/>
    <s v="ERP"/>
    <x v="0"/>
    <s v="Dougherty, Chris"/>
    <s v="Maguire, Karla"/>
    <x v="4"/>
    <s v="Travel and Entertainment"/>
    <m/>
    <m/>
    <s v="TravelEnt001"/>
    <m/>
    <m/>
    <m/>
    <s v="T&amp;E"/>
    <m/>
    <m/>
    <n v="0"/>
    <n v="0"/>
    <n v="0"/>
    <n v="0"/>
    <m/>
    <n v="-101"/>
    <n v="105"/>
    <n v="0"/>
    <n v="0"/>
    <n v="0"/>
    <n v="0"/>
    <n v="0"/>
    <n v="0"/>
    <n v="0"/>
    <n v="0"/>
    <n v="0"/>
    <n v="4"/>
    <n v="4"/>
    <m/>
    <m/>
    <n v="0"/>
    <m/>
    <n v="4"/>
    <m/>
    <m/>
    <n v="-101"/>
    <n v="105"/>
    <n v="0"/>
    <n v="0"/>
    <n v="0"/>
    <n v="0"/>
    <n v="0"/>
    <n v="0"/>
    <n v="0"/>
    <n v="0"/>
    <n v="0"/>
    <n v="4"/>
    <m/>
    <n v="-101"/>
    <n v="105"/>
    <n v="0"/>
    <n v="0"/>
    <n v="0"/>
    <n v="0"/>
    <n v="0"/>
    <n v="0"/>
    <n v="0"/>
    <n v="0"/>
    <n v="0"/>
    <n v="4"/>
  </r>
  <r>
    <s v="L-ERP-347"/>
    <s v="Maguire, Karla_TRAVEL &amp; ENTERTAINMENT_TravelEnt001"/>
    <s v="ERP"/>
    <x v="0"/>
    <s v="Maguire, Karla"/>
    <s v="Maguire, Karla"/>
    <x v="4"/>
    <s v="Travel and Entertainment"/>
    <m/>
    <m/>
    <s v="TravelEnt001"/>
    <m/>
    <m/>
    <m/>
    <s v="T&amp;E"/>
    <m/>
    <m/>
    <n v="0"/>
    <n v="0"/>
    <n v="0"/>
    <n v="0"/>
    <n v="302.32"/>
    <n v="-468.02"/>
    <n v="7390.82"/>
    <n v="0"/>
    <n v="0"/>
    <n v="0"/>
    <n v="0"/>
    <n v="0"/>
    <n v="0"/>
    <n v="0"/>
    <n v="0"/>
    <n v="0"/>
    <n v="7225.12"/>
    <n v="7225.12"/>
    <m/>
    <m/>
    <n v="0"/>
    <m/>
    <n v="7225.12"/>
    <m/>
    <n v="302.32"/>
    <n v="-468.02"/>
    <n v="7390.82"/>
    <n v="0"/>
    <n v="0"/>
    <n v="0"/>
    <n v="0"/>
    <n v="0"/>
    <n v="0"/>
    <n v="0"/>
    <n v="0"/>
    <n v="0"/>
    <n v="7225.12"/>
    <n v="302.32"/>
    <n v="-468.02"/>
    <n v="7390.82"/>
    <n v="0"/>
    <n v="0"/>
    <n v="0"/>
    <n v="0"/>
    <n v="0"/>
    <n v="0"/>
    <n v="0"/>
    <n v="0"/>
    <n v="0"/>
    <n v="7225.12"/>
  </r>
  <r>
    <s v="L-ERP-049"/>
    <s v="DeHart, Lynn_TRAVEL &amp; ENTERTAINMENT_TravelEnt001"/>
    <s v="ERP"/>
    <x v="1"/>
    <s v="DeHart, Lynn"/>
    <s v="DeHart, Lynn"/>
    <x v="4"/>
    <s v="Travel and Entertainment"/>
    <m/>
    <m/>
    <s v="TravelEnt001"/>
    <m/>
    <m/>
    <m/>
    <s v="T&amp;E"/>
    <m/>
    <m/>
    <n v="0"/>
    <n v="0"/>
    <n v="0"/>
    <n v="0"/>
    <n v="10095.790000000001"/>
    <n v="9921.4500000000007"/>
    <n v="3959.13"/>
    <n v="0"/>
    <n v="0"/>
    <n v="0"/>
    <n v="0"/>
    <n v="0"/>
    <n v="0"/>
    <n v="0"/>
    <n v="0"/>
    <n v="0"/>
    <n v="23976.370000000003"/>
    <n v="23976.370000000003"/>
    <m/>
    <m/>
    <n v="9.0949470177292824E-13"/>
    <m/>
    <n v="23976.370000000003"/>
    <m/>
    <n v="10095.790000000001"/>
    <n v="9921.4500000000007"/>
    <n v="3959.13"/>
    <n v="0"/>
    <n v="0"/>
    <n v="0"/>
    <n v="0"/>
    <n v="0"/>
    <n v="0"/>
    <n v="0"/>
    <n v="0"/>
    <n v="0"/>
    <n v="23976.370000000003"/>
    <n v="10095.790000000001"/>
    <n v="9921.4500000000007"/>
    <n v="3959.13"/>
    <n v="0"/>
    <n v="0"/>
    <n v="0"/>
    <n v="0"/>
    <n v="0"/>
    <n v="0"/>
    <n v="0"/>
    <n v="0"/>
    <n v="0"/>
    <n v="23976.370000000003"/>
  </r>
  <r>
    <s v="L-ERP-176"/>
    <s v="Ganesan, Srinivasan_TRAVEL &amp; ENTERTAINMENT_TravelEnt001"/>
    <s v="ERP"/>
    <x v="1"/>
    <s v="Ganesan, Srinivasan"/>
    <s v="DeHart, Lynn"/>
    <x v="4"/>
    <s v="Travel and Entertainment"/>
    <m/>
    <m/>
    <s v="TravelEnt001"/>
    <m/>
    <m/>
    <m/>
    <s v="T&amp;E"/>
    <m/>
    <m/>
    <n v="0"/>
    <n v="0"/>
    <n v="0"/>
    <n v="0"/>
    <n v="948.99"/>
    <n v="0"/>
    <n v="46.35"/>
    <n v="0"/>
    <n v="0"/>
    <n v="0"/>
    <n v="0"/>
    <n v="0"/>
    <n v="0"/>
    <n v="0"/>
    <n v="0"/>
    <n v="0"/>
    <n v="995.34"/>
    <n v="995.34"/>
    <m/>
    <m/>
    <n v="2.1316282072803006E-14"/>
    <m/>
    <n v="995.34"/>
    <m/>
    <n v="948.99"/>
    <n v="0"/>
    <n v="46.35"/>
    <n v="0"/>
    <n v="0"/>
    <n v="0"/>
    <n v="0"/>
    <n v="0"/>
    <n v="0"/>
    <n v="0"/>
    <n v="0"/>
    <n v="0"/>
    <n v="995.34"/>
    <n v="948.99"/>
    <n v="0"/>
    <n v="46.35"/>
    <n v="0"/>
    <n v="0"/>
    <n v="0"/>
    <n v="0"/>
    <n v="0"/>
    <n v="0"/>
    <n v="0"/>
    <n v="0"/>
    <n v="0"/>
    <n v="995.34"/>
  </r>
  <r>
    <s v="L-ERP-257"/>
    <s v="Jajodia, Amit_TRAVEL &amp; ENTERTAINMENT_TravelEnt001"/>
    <s v="ERP"/>
    <x v="1"/>
    <s v="Jajodia, Amit"/>
    <s v="DeHart, Lynn"/>
    <x v="4"/>
    <s v="Travel and Entertainment"/>
    <m/>
    <m/>
    <s v="TravelEnt001"/>
    <m/>
    <m/>
    <m/>
    <s v="T&amp;E"/>
    <m/>
    <m/>
    <n v="0"/>
    <n v="0"/>
    <n v="0"/>
    <n v="0"/>
    <n v="1400.32"/>
    <n v="547.13"/>
    <n v="0"/>
    <n v="0"/>
    <n v="0"/>
    <n v="0"/>
    <n v="0"/>
    <n v="0"/>
    <n v="0"/>
    <n v="0"/>
    <n v="0"/>
    <n v="0"/>
    <n v="1947.4499999999998"/>
    <n v="1947.4499999999998"/>
    <m/>
    <m/>
    <n v="-1.1368683772161603E-13"/>
    <m/>
    <n v="1947.4499999999998"/>
    <m/>
    <n v="1400.32"/>
    <n v="547.13"/>
    <n v="0"/>
    <n v="0"/>
    <n v="0"/>
    <n v="0"/>
    <n v="0"/>
    <n v="0"/>
    <n v="0"/>
    <n v="0"/>
    <n v="0"/>
    <n v="0"/>
    <n v="1947.4499999999998"/>
    <n v="1400.32"/>
    <n v="547.13"/>
    <n v="0"/>
    <n v="0"/>
    <n v="0"/>
    <n v="0"/>
    <n v="0"/>
    <n v="0"/>
    <n v="0"/>
    <n v="0"/>
    <n v="0"/>
    <n v="0"/>
    <n v="1947.4499999999998"/>
  </r>
  <r>
    <s v="L-ERP-384"/>
    <s v="McGettigan, David_TRAVEL &amp; ENTERTAINMENT_TravelEnt001"/>
    <s v="ERP"/>
    <x v="2"/>
    <s v="McGettigan, David"/>
    <s v="McGettigan, David"/>
    <x v="4"/>
    <s v="Travel and Entertainment"/>
    <m/>
    <m/>
    <s v="TravelEnt001"/>
    <m/>
    <m/>
    <m/>
    <s v="T&amp;E"/>
    <m/>
    <m/>
    <n v="0"/>
    <n v="0"/>
    <n v="0"/>
    <n v="0"/>
    <n v="-478537.04"/>
    <n v="11513.92"/>
    <n v="-1000.11"/>
    <n v="0"/>
    <n v="0"/>
    <n v="0"/>
    <n v="0"/>
    <n v="0"/>
    <n v="0"/>
    <n v="0"/>
    <n v="0"/>
    <n v="0"/>
    <n v="-468023.23"/>
    <n v="-468023.23"/>
    <m/>
    <m/>
    <n v="-2.3874235921539366E-12"/>
    <m/>
    <n v="-468023.23"/>
    <m/>
    <n v="-478537.04"/>
    <n v="11513.92"/>
    <n v="-1000.11"/>
    <n v="0"/>
    <n v="0"/>
    <n v="0"/>
    <n v="0"/>
    <n v="0"/>
    <n v="0"/>
    <n v="0"/>
    <n v="0"/>
    <n v="0"/>
    <n v="-468023.23"/>
    <n v="-478537.04"/>
    <n v="11513.92"/>
    <n v="-1000.11"/>
    <n v="0"/>
    <n v="0"/>
    <n v="0"/>
    <n v="0"/>
    <n v="0"/>
    <n v="0"/>
    <n v="0"/>
    <n v="0"/>
    <n v="0"/>
    <n v="-468023.23"/>
  </r>
  <r>
    <s v="L-ERP-501"/>
    <s v="Robertson, Jerome_TRAVEL &amp; ENTERTAINMENT_TravelEnt001"/>
    <s v="ERP"/>
    <x v="3"/>
    <s v="Robertson, Jerome"/>
    <s v="Robertson, Jerome"/>
    <x v="4"/>
    <s v="Travel and Entertainment"/>
    <m/>
    <m/>
    <s v="TravelEnt001"/>
    <m/>
    <m/>
    <m/>
    <s v="T&amp;E"/>
    <m/>
    <m/>
    <n v="0"/>
    <n v="0"/>
    <n v="0"/>
    <n v="0"/>
    <n v="401"/>
    <n v="11440.6"/>
    <n v="6155.71"/>
    <n v="0"/>
    <n v="0"/>
    <n v="0"/>
    <n v="0"/>
    <n v="0"/>
    <n v="0"/>
    <n v="0"/>
    <n v="0"/>
    <n v="0"/>
    <n v="17997.310000000001"/>
    <n v="17997.310000000001"/>
    <m/>
    <m/>
    <n v="9.0949470177292824E-13"/>
    <m/>
    <n v="17997.310000000001"/>
    <m/>
    <n v="401"/>
    <n v="11440.6"/>
    <n v="6155.71"/>
    <n v="0"/>
    <n v="0"/>
    <n v="0"/>
    <n v="0"/>
    <n v="0"/>
    <n v="0"/>
    <n v="0"/>
    <n v="0"/>
    <n v="0"/>
    <n v="17997.310000000001"/>
    <n v="401"/>
    <n v="11440.6"/>
    <n v="6155.71"/>
    <n v="0"/>
    <n v="0"/>
    <n v="0"/>
    <n v="0"/>
    <n v="0"/>
    <n v="0"/>
    <n v="0"/>
    <n v="0"/>
    <n v="0"/>
    <n v="17997.310000000001"/>
  </r>
  <r>
    <s v="L-ERP-427"/>
    <s v="McGettigan, David_TRAVEL &amp; ENTERTAINMENT_TravelEnt001_Reserve"/>
    <s v="ERP"/>
    <x v="2"/>
    <s v="McGettigan, David"/>
    <s v="McGettigan, David"/>
    <x v="4"/>
    <s v="TravelEnt001_Reserve"/>
    <m/>
    <m/>
    <s v="TravelEnt001_Reserve"/>
    <m/>
    <m/>
    <m/>
    <s v="Reserve"/>
    <m/>
    <m/>
    <n v="285714.29000400001"/>
    <n v="285714.29000400001"/>
    <n v="285714.29000400001"/>
    <n v="0"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  <n v="-71428.572501000017"/>
    <m/>
    <m/>
    <n v="0"/>
    <m/>
    <n v="-71428.572501000017"/>
    <m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</r>
  <r>
    <s v="L-ERP-386"/>
    <s v="McGettigan, David_COMPENSATION_VacancyFactor001"/>
    <s v="ERP"/>
    <x v="2"/>
    <s v="McGettigan, David"/>
    <s v="McGettigan, David"/>
    <x v="5"/>
    <s v="Vacancy Factor"/>
    <m/>
    <m/>
    <s v="VacancyFactor001"/>
    <m/>
    <m/>
    <m/>
    <s v="Reserve"/>
    <m/>
    <m/>
    <n v="-472222.21000000008"/>
    <n v="-472222.21000000008"/>
    <n v="-472222.21000000008"/>
    <n v="0"/>
    <m/>
    <m/>
    <m/>
    <m/>
    <n v="-20000"/>
    <n v="-20000"/>
    <n v="-20000"/>
    <n v="-20000"/>
    <n v="-20000"/>
    <n v="-20000"/>
    <n v="-20000"/>
    <n v="-20000"/>
    <n v="-160000"/>
    <n v="312222.21000000008"/>
    <m/>
    <m/>
    <n v="0"/>
    <m/>
    <n v="312222.21000000008"/>
    <m/>
    <m/>
    <m/>
    <m/>
    <m/>
    <n v="-20000"/>
    <n v="-20000"/>
    <n v="-20000"/>
    <n v="-20000"/>
    <n v="-20000"/>
    <n v="-20000"/>
    <n v="-20000"/>
    <n v="-20000"/>
    <n v="-160000"/>
    <m/>
    <m/>
    <m/>
    <n v="-47222.220999999998"/>
    <n v="-47222.220999999998"/>
    <n v="-47222.220999999998"/>
    <n v="-47222.220999999998"/>
    <n v="-47222.220999999998"/>
    <n v="-47222.220999999998"/>
    <n v="-47222.220999999998"/>
    <n v="-47222.220999999998"/>
    <n v="-47222.220999999998"/>
    <n v="-424999.98900000006"/>
  </r>
  <r>
    <s v="ERP-001"/>
    <s v="Ganesan, Srinivasan_SOFTWARE"/>
    <s v="ERP"/>
    <x v="1"/>
    <s v="Ganesan, Srinivasan"/>
    <s v="DeHart, Lynn"/>
    <x v="0"/>
    <s v="ShipERP"/>
    <m/>
    <m/>
    <m/>
    <m/>
    <m/>
    <m/>
    <m/>
    <s v="4/30 - New add with Team"/>
    <n v="0"/>
    <m/>
    <n v="0"/>
    <m/>
    <n v="0"/>
    <m/>
    <m/>
    <m/>
    <m/>
    <m/>
    <m/>
    <m/>
    <m/>
    <m/>
    <n v="143000"/>
    <m/>
    <m/>
    <n v="143000"/>
    <n v="143000"/>
    <m/>
    <m/>
    <n v="0"/>
    <m/>
    <n v="143000"/>
    <m/>
    <m/>
    <m/>
    <m/>
    <m/>
    <m/>
    <m/>
    <m/>
    <m/>
    <m/>
    <n v="143000"/>
    <m/>
    <m/>
    <n v="143000"/>
    <m/>
    <m/>
    <m/>
    <m/>
    <m/>
    <m/>
    <m/>
    <m/>
    <m/>
    <m/>
    <m/>
    <m/>
    <m/>
  </r>
  <r>
    <s v="ERP-002"/>
    <s v="Dougherty, Chris_SOFTWARE"/>
    <s v="ERP"/>
    <x v="0"/>
    <s v="Dougherty, Chris"/>
    <s v="DeHart, Lynn"/>
    <x v="0"/>
    <s v="SAP ME - Review at LE3"/>
    <m/>
    <m/>
    <m/>
    <m/>
    <m/>
    <m/>
    <m/>
    <s v="5/12 CHW - New added based on May Prepaid emails for review at LE3"/>
    <n v="0"/>
    <m/>
    <n v="0"/>
    <m/>
    <n v="0"/>
    <m/>
    <m/>
    <m/>
    <m/>
    <m/>
    <m/>
    <m/>
    <m/>
    <m/>
    <m/>
    <m/>
    <n v="624226"/>
    <n v="624226"/>
    <n v="624226"/>
    <m/>
    <m/>
    <n v="0"/>
    <m/>
    <n v="624226"/>
    <m/>
    <m/>
    <m/>
    <m/>
    <m/>
    <m/>
    <m/>
    <m/>
    <m/>
    <m/>
    <m/>
    <m/>
    <n v="624226"/>
    <n v="624226"/>
    <m/>
    <m/>
    <m/>
    <m/>
    <m/>
    <m/>
    <m/>
    <m/>
    <m/>
    <m/>
    <m/>
    <m/>
    <m/>
  </r>
  <r>
    <s v="ERP-006"/>
    <s v="Tamavada, Ram_SOFTWARE_IT-MGS0202-OG-US-00"/>
    <s v="ERP"/>
    <x v="0"/>
    <s v="Tamavada, Ram"/>
    <m/>
    <x v="0"/>
    <s v="Oracle EBS Software Licenses"/>
    <m/>
    <m/>
    <s v="IT-MGS0202-OG-US-00"/>
    <m/>
    <m/>
    <m/>
    <m/>
    <s v="5/12 CHW - Zeroed line per Kinjal and added new software item"/>
    <n v="0"/>
    <m/>
    <n v="0"/>
    <m/>
    <n v="0"/>
    <m/>
    <m/>
    <m/>
    <m/>
    <m/>
    <m/>
    <m/>
    <n v="123539"/>
    <m/>
    <m/>
    <m/>
    <m/>
    <n v="123539"/>
    <n v="123539"/>
    <m/>
    <m/>
    <n v="0"/>
    <m/>
    <n v="123539"/>
    <s v="Acct Mvmt - Mgd Services to Software IT-MGS0202-OG-US-00"/>
    <m/>
    <m/>
    <m/>
    <m/>
    <m/>
    <m/>
    <m/>
    <n v="123539"/>
    <m/>
    <m/>
    <m/>
    <m/>
    <n v="123539"/>
    <m/>
    <m/>
    <m/>
    <m/>
    <m/>
    <m/>
    <m/>
    <m/>
    <m/>
    <m/>
    <m/>
    <m/>
    <m/>
  </r>
  <r>
    <s v="ERP-007"/>
    <s v="Dougherty, Chris_CONTRACTORS_EnhanceChargeout001"/>
    <s v="ERP"/>
    <x v="0"/>
    <s v="Dougherty, Chris"/>
    <m/>
    <x v="2"/>
    <s v="EnhanceChargeout001 AP04 Tie-Out"/>
    <m/>
    <m/>
    <s v="EnhanceChargeout001"/>
    <m/>
    <m/>
    <m/>
    <m/>
    <s v="5/17 CHW - Added Enhance Tie-out to match AP04 Actuals"/>
    <n v="0"/>
    <m/>
    <n v="0"/>
    <m/>
    <n v="0"/>
    <m/>
    <m/>
    <m/>
    <n v="237411"/>
    <n v="-237411"/>
    <m/>
    <m/>
    <m/>
    <m/>
    <m/>
    <m/>
    <m/>
    <n v="0"/>
    <n v="0"/>
    <m/>
    <m/>
    <n v="0"/>
    <m/>
    <n v="0"/>
    <m/>
    <m/>
    <m/>
    <m/>
    <n v="237411"/>
    <n v="-237411"/>
    <m/>
    <m/>
    <m/>
    <m/>
    <m/>
    <m/>
    <m/>
    <n v="0"/>
    <m/>
    <m/>
    <m/>
    <m/>
    <m/>
    <m/>
    <m/>
    <m/>
    <m/>
    <m/>
    <m/>
    <m/>
    <m/>
  </r>
  <r>
    <s v="ERP-008"/>
    <s v="Hase, Raj_CONTRACTORS_EnhanceChargeout001"/>
    <s v="ERP"/>
    <x v="1"/>
    <s v="Hase, Raj"/>
    <m/>
    <x v="2"/>
    <s v="EnhanceChargeout001 AP04 Tie-Out"/>
    <m/>
    <m/>
    <s v="EnhanceChargeout001"/>
    <m/>
    <m/>
    <m/>
    <m/>
    <s v="5/17 CHW - Added Enhance Tie-out to match AP04 Actuals"/>
    <n v="0"/>
    <m/>
    <n v="0"/>
    <m/>
    <n v="0"/>
    <m/>
    <m/>
    <m/>
    <n v="715490"/>
    <n v="-715490"/>
    <m/>
    <m/>
    <m/>
    <m/>
    <m/>
    <m/>
    <m/>
    <n v="0"/>
    <n v="0"/>
    <m/>
    <m/>
    <n v="0"/>
    <m/>
    <n v="0"/>
    <m/>
    <m/>
    <m/>
    <m/>
    <n v="715490"/>
    <n v="-715490"/>
    <m/>
    <m/>
    <m/>
    <m/>
    <m/>
    <m/>
    <m/>
    <n v="0"/>
    <m/>
    <m/>
    <m/>
    <m/>
    <m/>
    <m/>
    <m/>
    <m/>
    <m/>
    <m/>
    <m/>
    <m/>
    <m/>
  </r>
  <r>
    <s v="ERP-009"/>
    <s v="Robertson, Jerome_CONTRACTORS_EnhanceChargeout001"/>
    <s v="ERP"/>
    <x v="3"/>
    <s v="Robertson, Jerome"/>
    <m/>
    <x v="2"/>
    <s v="EnhanceChargeout001 AP04 Tie-Out"/>
    <m/>
    <m/>
    <s v="EnhanceChargeout001"/>
    <m/>
    <m/>
    <m/>
    <m/>
    <s v="5/17 CHW - Added Enhance Tie-out to match AP04 Actuals"/>
    <n v="0"/>
    <m/>
    <n v="0"/>
    <m/>
    <n v="0"/>
    <m/>
    <m/>
    <m/>
    <n v="28331"/>
    <n v="-28331"/>
    <m/>
    <m/>
    <m/>
    <m/>
    <m/>
    <m/>
    <m/>
    <n v="0"/>
    <n v="0"/>
    <m/>
    <m/>
    <n v="0"/>
    <m/>
    <n v="0"/>
    <m/>
    <m/>
    <m/>
    <m/>
    <n v="28331"/>
    <n v="-28331"/>
    <m/>
    <m/>
    <m/>
    <m/>
    <m/>
    <m/>
    <m/>
    <n v="0"/>
    <m/>
    <m/>
    <m/>
    <m/>
    <m/>
    <m/>
    <m/>
    <m/>
    <m/>
    <m/>
    <m/>
    <m/>
    <m/>
  </r>
  <r>
    <s v="ERP-010"/>
    <s v="Hase, Raj_MANAGED SERVICES_EnhanceChargeout001"/>
    <s v="ERP"/>
    <x v="1"/>
    <s v="Hase, Raj"/>
    <m/>
    <x v="1"/>
    <s v="EnhanceChargeout001 AP04 Tie-Out"/>
    <m/>
    <m/>
    <s v="EnhanceChargeout001"/>
    <m/>
    <m/>
    <m/>
    <m/>
    <s v="5/17 CHW - Added Enhance Tie-out to match AP04 Actuals"/>
    <n v="0"/>
    <m/>
    <n v="0"/>
    <m/>
    <n v="0"/>
    <m/>
    <m/>
    <m/>
    <n v="7780"/>
    <n v="-7780"/>
    <m/>
    <m/>
    <m/>
    <m/>
    <m/>
    <m/>
    <m/>
    <n v="0"/>
    <n v="0"/>
    <m/>
    <m/>
    <n v="0"/>
    <m/>
    <n v="0"/>
    <m/>
    <m/>
    <m/>
    <m/>
    <n v="7780"/>
    <n v="-7780"/>
    <m/>
    <m/>
    <m/>
    <m/>
    <m/>
    <m/>
    <m/>
    <n v="0"/>
    <m/>
    <m/>
    <m/>
    <m/>
    <m/>
    <m/>
    <m/>
    <m/>
    <m/>
    <m/>
    <m/>
    <m/>
    <m/>
  </r>
  <r>
    <s v="ERP-011"/>
    <s v="Hase, Raj_SOFTWARE_EnhanceChargeout001"/>
    <s v="ERP"/>
    <x v="1"/>
    <s v="Hase, Raj"/>
    <m/>
    <x v="0"/>
    <s v="EnhanceChargeout001 AP04 Tie-Out"/>
    <m/>
    <m/>
    <s v="EnhanceChargeout001"/>
    <m/>
    <m/>
    <m/>
    <m/>
    <s v="5/17 CHW - Added Enhance Tie-out to match AP04 Actuals"/>
    <n v="0"/>
    <m/>
    <n v="0"/>
    <m/>
    <n v="0"/>
    <m/>
    <m/>
    <m/>
    <n v="180"/>
    <n v="-180"/>
    <m/>
    <m/>
    <m/>
    <m/>
    <m/>
    <m/>
    <m/>
    <n v="0"/>
    <n v="0"/>
    <m/>
    <m/>
    <n v="0"/>
    <m/>
    <n v="0"/>
    <m/>
    <m/>
    <m/>
    <m/>
    <n v="180"/>
    <n v="-180"/>
    <m/>
    <m/>
    <m/>
    <m/>
    <m/>
    <m/>
    <m/>
    <n v="0"/>
    <m/>
    <m/>
    <m/>
    <m/>
    <m/>
    <m/>
    <m/>
    <m/>
    <m/>
    <m/>
    <m/>
    <m/>
    <m/>
  </r>
  <r>
    <s v="ERP-012"/>
    <m/>
    <s v="ERP"/>
    <x v="0"/>
    <s v="Dougherty, Chris"/>
    <m/>
    <x v="3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16084.39"/>
    <n v="16084.39"/>
    <m/>
    <m/>
    <m/>
    <m/>
    <m/>
    <m/>
    <m/>
    <n v="0"/>
    <n v="0"/>
    <m/>
    <m/>
    <n v="0"/>
    <m/>
    <n v="0"/>
    <m/>
    <m/>
    <m/>
    <m/>
    <n v="-16084.39"/>
    <n v="16084.39"/>
    <m/>
    <m/>
    <m/>
    <m/>
    <m/>
    <m/>
    <m/>
    <n v="0"/>
    <m/>
    <m/>
    <m/>
    <m/>
    <m/>
    <m/>
    <m/>
    <m/>
    <m/>
    <m/>
    <m/>
    <m/>
    <m/>
  </r>
  <r>
    <s v="ERP-013"/>
    <s v="McGettigan, David_HW MAINTENANCE_BillSweepMisc"/>
    <s v="ERP"/>
    <x v="2"/>
    <s v="McGettigan, David"/>
    <m/>
    <x v="3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13303.91"/>
    <n v="13303.91"/>
    <m/>
    <m/>
    <m/>
    <m/>
    <m/>
    <m/>
    <m/>
    <n v="0"/>
    <n v="0"/>
    <m/>
    <m/>
    <n v="0"/>
    <m/>
    <n v="0"/>
    <m/>
    <m/>
    <m/>
    <m/>
    <n v="-13303.91"/>
    <n v="13303.91"/>
    <m/>
    <m/>
    <m/>
    <m/>
    <m/>
    <m/>
    <m/>
    <n v="0"/>
    <m/>
    <m/>
    <m/>
    <m/>
    <m/>
    <m/>
    <m/>
    <m/>
    <m/>
    <m/>
    <m/>
    <m/>
    <m/>
  </r>
  <r>
    <s v="ERP-014"/>
    <s v="Dougherty, Chris_MANAGED SERVICES_BillSweepMisc"/>
    <s v="ERP"/>
    <x v="0"/>
    <s v="Dougherty, Chris"/>
    <m/>
    <x v="1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9141.65"/>
    <n v="9141.65"/>
    <m/>
    <m/>
    <m/>
    <m/>
    <m/>
    <m/>
    <m/>
    <n v="0"/>
    <n v="0"/>
    <m/>
    <m/>
    <n v="0"/>
    <m/>
    <n v="0"/>
    <m/>
    <m/>
    <m/>
    <m/>
    <n v="-9141.65"/>
    <n v="9141.65"/>
    <m/>
    <m/>
    <m/>
    <m/>
    <m/>
    <m/>
    <m/>
    <n v="0"/>
    <m/>
    <m/>
    <m/>
    <m/>
    <m/>
    <m/>
    <m/>
    <m/>
    <m/>
    <m/>
    <m/>
    <m/>
    <m/>
  </r>
  <r>
    <s v="ERP-015"/>
    <s v="McGettigan, David_MANAGED SERVICES_BillSweepMisc"/>
    <s v="ERP"/>
    <x v="2"/>
    <s v="McGettigan, David"/>
    <m/>
    <x v="1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5045.4799999999996"/>
    <n v="5045.4799999999996"/>
    <m/>
    <m/>
    <m/>
    <m/>
    <m/>
    <m/>
    <m/>
    <n v="0"/>
    <n v="0"/>
    <m/>
    <m/>
    <n v="0"/>
    <m/>
    <n v="0"/>
    <m/>
    <m/>
    <m/>
    <m/>
    <n v="-5045.4799999999996"/>
    <n v="5045.4799999999996"/>
    <m/>
    <m/>
    <m/>
    <m/>
    <m/>
    <m/>
    <m/>
    <n v="0"/>
    <m/>
    <m/>
    <m/>
    <m/>
    <m/>
    <m/>
    <m/>
    <m/>
    <m/>
    <m/>
    <m/>
    <m/>
    <m/>
  </r>
  <r>
    <s v="ERP-016"/>
    <s v="Dougherty, Chris_SOFTWARE_BillSweepMisc"/>
    <s v="ERP"/>
    <x v="0"/>
    <s v="Dougherty, Chris"/>
    <m/>
    <x v="0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84081.45"/>
    <n v="84081.45"/>
    <m/>
    <m/>
    <m/>
    <m/>
    <m/>
    <m/>
    <m/>
    <n v="0"/>
    <n v="0"/>
    <m/>
    <m/>
    <n v="0"/>
    <m/>
    <n v="0"/>
    <m/>
    <m/>
    <m/>
    <m/>
    <n v="-84081.45"/>
    <n v="84081.45"/>
    <m/>
    <m/>
    <m/>
    <m/>
    <m/>
    <m/>
    <m/>
    <n v="0"/>
    <m/>
    <m/>
    <m/>
    <m/>
    <m/>
    <m/>
    <m/>
    <m/>
    <m/>
    <m/>
    <m/>
    <m/>
    <m/>
  </r>
  <r>
    <s v="ERP-017"/>
    <s v="McGettigan, David_SOFTWARE_BillSweepMisc"/>
    <s v="ERP"/>
    <x v="2"/>
    <s v="McGettigan, David"/>
    <m/>
    <x v="0"/>
    <s v="Billing Sweep AP04 Tie-Out"/>
    <m/>
    <m/>
    <s v="BillSweepMisc"/>
    <m/>
    <m/>
    <m/>
    <m/>
    <s v="5/17 CHW - Added Enhance Tie-out to match AP04 Actuals"/>
    <n v="0"/>
    <m/>
    <n v="0"/>
    <m/>
    <n v="0"/>
    <m/>
    <m/>
    <m/>
    <n v="-7671.84"/>
    <n v="7671.84"/>
    <m/>
    <m/>
    <m/>
    <m/>
    <m/>
    <m/>
    <m/>
    <n v="0"/>
    <n v="0"/>
    <m/>
    <m/>
    <n v="0"/>
    <m/>
    <n v="0"/>
    <m/>
    <m/>
    <m/>
    <m/>
    <n v="-7671.84"/>
    <n v="7671.84"/>
    <m/>
    <m/>
    <m/>
    <m/>
    <m/>
    <m/>
    <m/>
    <n v="0"/>
    <m/>
    <m/>
    <m/>
    <m/>
    <m/>
    <m/>
    <m/>
    <m/>
    <m/>
    <m/>
    <m/>
    <m/>
    <m/>
  </r>
  <r>
    <s v="ERP-018"/>
    <s v="McGettigan, David_OTHER"/>
    <s v="ERP"/>
    <x v="2"/>
    <s v="McGettigan, David"/>
    <m/>
    <x v="7"/>
    <s v="LE2 ME"/>
    <m/>
    <m/>
    <m/>
    <m/>
    <m/>
    <m/>
    <m/>
    <s v="5/18/26 CHW - Added LE2 ME to adjust to Target"/>
    <n v="0"/>
    <m/>
    <n v="0"/>
    <m/>
    <n v="0"/>
    <m/>
    <m/>
    <m/>
    <m/>
    <m/>
    <m/>
    <m/>
    <m/>
    <n v="-1601829.62"/>
    <n v="-1601829.62"/>
    <n v="-1601829.62"/>
    <n v="-1601829.62"/>
    <n v="-6407318.4800000004"/>
    <n v="-6407318.4800000004"/>
    <m/>
    <m/>
    <n v="0"/>
    <m/>
    <n v="-6407318.4800000004"/>
    <m/>
    <m/>
    <m/>
    <m/>
    <m/>
    <m/>
    <m/>
    <m/>
    <m/>
    <n v="-1601829.62"/>
    <n v="-1601829.62"/>
    <n v="-1601829.62"/>
    <n v="-1601829.62"/>
    <n v="-6407318.4800000004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x v="0"/>
    <x v="0"/>
    <s v="ERP"/>
    <x v="0"/>
    <x v="0"/>
    <s v="Maguire, Karla"/>
    <x v="0"/>
    <x v="0"/>
    <m/>
    <m/>
    <s v="2026-XFR-0007-A"/>
    <m/>
    <m/>
    <m/>
    <s v="2026 Budget Transfer"/>
    <m/>
    <m/>
    <n v="103465.00000000001"/>
    <n v="77598.720000000001"/>
    <m/>
    <m/>
    <m/>
    <m/>
    <m/>
    <s v=""/>
    <n v="0"/>
    <n v="8622.08"/>
    <n v="8622.08"/>
    <n v="8622.08"/>
    <n v="8622.08"/>
    <n v="8622.08"/>
    <n v="8622.08"/>
    <n v="8622.08"/>
    <n v="60354.560000000005"/>
    <n v="-17244.159999999996"/>
    <n v="8622.08"/>
    <n v="-8622.08"/>
    <n v="-17244.16"/>
    <m/>
    <n v="-17244.159999999996"/>
    <m/>
    <m/>
    <m/>
    <m/>
    <n v="8622.08"/>
    <n v="8622.08"/>
    <n v="8622.08"/>
    <n v="8622.08"/>
    <n v="8622.08"/>
    <n v="8622.08"/>
    <n v="8622.08"/>
    <n v="8622.08"/>
    <n v="8622.08"/>
    <n v="77598.720000000001"/>
    <m/>
    <m/>
    <m/>
    <n v="8622.08"/>
    <n v="8622.08"/>
    <n v="8622.08"/>
    <n v="8622.08"/>
    <n v="8622.08"/>
    <n v="8622.08"/>
    <n v="8622.08"/>
    <n v="8622.08"/>
    <n v="8622.08"/>
    <n v="77598.720000000001"/>
  </r>
  <r>
    <x v="1"/>
    <x v="1"/>
    <s v="ERP"/>
    <x v="0"/>
    <x v="1"/>
    <s v="Maguire, Karla"/>
    <x v="1"/>
    <x v="1"/>
    <m/>
    <m/>
    <s v="2026-XFR-0008-B"/>
    <m/>
    <m/>
    <m/>
    <s v="2026 Budget Transfer"/>
    <s v="4/28/26 CHW New add to tie-out 0223 to 0317 Planful Extracts DS - Ram already took actions to optimize cost to $200k, doesn't believe there is further opportunity. 2027 goes down to $169k."/>
    <m/>
    <n v="183105"/>
    <n v="0"/>
    <m/>
    <m/>
    <m/>
    <m/>
    <m/>
    <s v=""/>
    <n v="0"/>
    <m/>
    <m/>
    <m/>
    <m/>
    <m/>
    <m/>
    <m/>
    <n v="0"/>
    <n v="0"/>
    <m/>
    <n v="0"/>
    <n v="0"/>
    <n v="-183105"/>
    <n v="183105"/>
    <s v="Per Leslie - Fieldglass, no payment is due in 2026 for support under IBM. It will resume in 2027 @ $169,020"/>
    <m/>
    <m/>
    <m/>
    <m/>
    <m/>
    <m/>
    <m/>
    <m/>
    <m/>
    <m/>
    <m/>
    <m/>
    <n v="0"/>
    <n v="15258.75"/>
    <n v="15258.75"/>
    <n v="15258.75"/>
    <n v="15258.75"/>
    <n v="15258.75"/>
    <n v="15258.75"/>
    <n v="15258.75"/>
    <n v="15258.75"/>
    <n v="15258.75"/>
    <n v="15258.75"/>
    <n v="15258.75"/>
    <n v="15258.75"/>
    <n v="183105"/>
  </r>
  <r>
    <x v="2"/>
    <x v="2"/>
    <s v="ERP"/>
    <x v="0"/>
    <x v="0"/>
    <s v="Maguire, Karla"/>
    <x v="0"/>
    <x v="2"/>
    <m/>
    <m/>
    <s v="2026-XFR-0013-A"/>
    <m/>
    <m/>
    <m/>
    <s v="2026 Budget Transfer"/>
    <s v="5/12 CHW - added back 51K to reflect 204K XFR total &amp; shifted forecast to OTC "/>
    <m/>
    <n v="204127.99999999994"/>
    <n v="204128"/>
    <m/>
    <m/>
    <m/>
    <m/>
    <m/>
    <s v=""/>
    <n v="0"/>
    <n v="0"/>
    <n v="0"/>
    <n v="0"/>
    <n v="0"/>
    <n v="204128"/>
    <n v="0"/>
    <n v="0"/>
    <n v="204128"/>
    <n v="0"/>
    <n v="0"/>
    <n v="0"/>
    <n v="0"/>
    <m/>
    <n v="0"/>
    <m/>
    <m/>
    <m/>
    <m/>
    <n v="0"/>
    <n v="0"/>
    <n v="0"/>
    <n v="0"/>
    <n v="0"/>
    <n v="0"/>
    <n v="204128"/>
    <n v="0"/>
    <n v="0"/>
    <n v="204128"/>
    <m/>
    <m/>
    <m/>
    <n v="17010.669999999998"/>
    <n v="17010.669999999998"/>
    <n v="17010.669999999998"/>
    <n v="17010.669999999998"/>
    <n v="17010.669999999998"/>
    <n v="17010.669999999998"/>
    <n v="17010.669999999998"/>
    <n v="17010.669999999998"/>
    <n v="17010.669999999998"/>
    <n v="153096.02999999997"/>
  </r>
  <r>
    <x v="3"/>
    <x v="3"/>
    <s v="ERP"/>
    <x v="1"/>
    <x v="2"/>
    <s v="DeHart, Lynn"/>
    <x v="1"/>
    <x v="3"/>
    <m/>
    <m/>
    <s v="2026-XFR-0014-A"/>
    <m/>
    <m/>
    <m/>
    <s v="2026 Budget Transfer"/>
    <s v="5/4 CHW - Giveback"/>
    <m/>
    <n v="86119.999999999985"/>
    <m/>
    <m/>
    <m/>
    <m/>
    <m/>
    <m/>
    <s v=""/>
    <n v="0"/>
    <m/>
    <m/>
    <m/>
    <m/>
    <m/>
    <m/>
    <m/>
    <m/>
    <n v="0"/>
    <m/>
    <n v="0"/>
    <n v="0"/>
    <m/>
    <n v="0"/>
    <s v="We will cover with existing colleagues and AMS contract."/>
    <m/>
    <m/>
    <m/>
    <m/>
    <m/>
    <m/>
    <m/>
    <m/>
    <m/>
    <m/>
    <m/>
    <m/>
    <m/>
    <m/>
    <m/>
    <m/>
    <n v="8612"/>
    <n v="8612"/>
    <n v="8612"/>
    <n v="8612"/>
    <n v="8612"/>
    <n v="8612"/>
    <n v="8612"/>
    <n v="8612"/>
    <n v="8612"/>
    <n v="77508"/>
  </r>
  <r>
    <x v="4"/>
    <x v="4"/>
    <s v="ERP"/>
    <x v="1"/>
    <x v="2"/>
    <s v="DeHart, Lynn"/>
    <x v="0"/>
    <x v="4"/>
    <m/>
    <m/>
    <s v="2026-XFR-0014-B"/>
    <m/>
    <m/>
    <m/>
    <s v="2026 Budget Transfer"/>
    <s v="5/4 CHW - Giveback"/>
    <m/>
    <n v="39999.960000000014"/>
    <n v="0"/>
    <m/>
    <m/>
    <m/>
    <m/>
    <m/>
    <s v=""/>
    <n v="0"/>
    <m/>
    <m/>
    <m/>
    <m/>
    <m/>
    <m/>
    <m/>
    <n v="0"/>
    <n v="0"/>
    <m/>
    <n v="0"/>
    <n v="0"/>
    <m/>
    <n v="0"/>
    <s v="SAC license is not needed. Forecast removed."/>
    <m/>
    <m/>
    <m/>
    <m/>
    <m/>
    <m/>
    <m/>
    <m/>
    <m/>
    <m/>
    <m/>
    <m/>
    <n v="0"/>
    <m/>
    <m/>
    <m/>
    <n v="4000"/>
    <n v="4000"/>
    <n v="4000"/>
    <n v="4000"/>
    <n v="4000"/>
    <n v="4000"/>
    <n v="4000"/>
    <n v="4000"/>
    <n v="4000"/>
    <n v="36000"/>
  </r>
  <r>
    <x v="5"/>
    <x v="5"/>
    <s v="ERP"/>
    <x v="1"/>
    <x v="3"/>
    <s v="DeHart, Lynn"/>
    <x v="0"/>
    <x v="5"/>
    <m/>
    <m/>
    <s v="2026-XFR-0015-A"/>
    <m/>
    <m/>
    <m/>
    <s v="2026 Budget Transfer"/>
    <s v="Reclass to business, SAP annual invoice $81,120 expected 8/15"/>
    <m/>
    <n v="0"/>
    <n v="0"/>
    <m/>
    <m/>
    <m/>
    <m/>
    <m/>
    <s v=""/>
    <n v="0"/>
    <n v="0"/>
    <n v="0"/>
    <n v="81120"/>
    <n v="-81120"/>
    <n v="0"/>
    <n v="0"/>
    <n v="0"/>
    <n v="0"/>
    <n v="0"/>
    <n v="0"/>
    <n v="0"/>
    <n v="0"/>
    <m/>
    <n v="0"/>
    <m/>
    <m/>
    <m/>
    <m/>
    <n v="0"/>
    <n v="0"/>
    <n v="0"/>
    <n v="0"/>
    <n v="81120"/>
    <n v="-81120"/>
    <n v="0"/>
    <n v="0"/>
    <n v="0"/>
    <n v="0"/>
    <m/>
    <m/>
    <m/>
    <n v="3235.5"/>
    <n v="3235.5"/>
    <n v="3235.5"/>
    <n v="3235.5"/>
    <n v="3235.5"/>
    <n v="3235.5"/>
    <n v="3235.5"/>
    <n v="3235.5"/>
    <n v="-35590.5"/>
    <n v="-9706.5"/>
  </r>
  <r>
    <x v="6"/>
    <x v="6"/>
    <s v="ERP"/>
    <x v="0"/>
    <x v="0"/>
    <s v="Maguire, Karla"/>
    <x v="0"/>
    <x v="6"/>
    <m/>
    <m/>
    <s v="2026-XFR-0017-A"/>
    <m/>
    <m/>
    <m/>
    <s v="2026 Budget Transfer"/>
    <m/>
    <m/>
    <n v="0"/>
    <n v="650000"/>
    <m/>
    <m/>
    <m/>
    <m/>
    <m/>
    <s v=""/>
    <n v="0"/>
    <n v="650000"/>
    <n v="0"/>
    <n v="0"/>
    <n v="0"/>
    <n v="0"/>
    <n v="0"/>
    <n v="0"/>
    <n v="650000"/>
    <n v="0"/>
    <m/>
    <n v="0"/>
    <n v="0"/>
    <m/>
    <n v="0"/>
    <s v="Acct Movement from Mike Hovanyetz to Chris Dougherty "/>
    <m/>
    <m/>
    <m/>
    <m/>
    <m/>
    <n v="650000"/>
    <n v="0"/>
    <n v="0"/>
    <n v="0"/>
    <n v="0"/>
    <n v="0"/>
    <n v="0"/>
    <n v="650000"/>
    <m/>
    <m/>
    <m/>
    <m/>
    <m/>
    <n v="650000"/>
    <n v="0"/>
    <n v="0"/>
    <n v="0"/>
    <n v="0"/>
    <n v="0"/>
    <n v="0"/>
    <n v="650000"/>
  </r>
  <r>
    <x v="7"/>
    <x v="7"/>
    <s v="ERP"/>
    <x v="1"/>
    <x v="4"/>
    <s v="DeHart, Lynn"/>
    <x v="0"/>
    <x v="6"/>
    <m/>
    <m/>
    <s v="2026-XFR-0017-A"/>
    <m/>
    <m/>
    <m/>
    <s v="2026 Budget Transfer"/>
    <s v="4/28/26 CHW New add to tie-out 0223 to 0317 Planful Extracts Cost center change from Mike Hovanyetz to Chris Dougherty &amp; removed forecast"/>
    <m/>
    <n v="65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650000"/>
    <n v="0"/>
    <n v="0"/>
    <n v="0"/>
    <n v="0"/>
    <n v="0"/>
    <n v="0"/>
    <n v="650000"/>
  </r>
  <r>
    <x v="8"/>
    <x v="8"/>
    <s v="ERP"/>
    <x v="0"/>
    <x v="0"/>
    <s v="Maguire, Karla"/>
    <x v="0"/>
    <x v="7"/>
    <m/>
    <m/>
    <s v="2026-XFR-0017-B"/>
    <m/>
    <m/>
    <m/>
    <s v="2026 Budget Transfer"/>
    <m/>
    <m/>
    <n v="0"/>
    <n v="300000"/>
    <m/>
    <m/>
    <m/>
    <m/>
    <m/>
    <s v=""/>
    <n v="0"/>
    <n v="300000"/>
    <n v="0"/>
    <n v="0"/>
    <n v="0"/>
    <n v="0"/>
    <n v="0"/>
    <n v="0"/>
    <n v="300000"/>
    <n v="0"/>
    <m/>
    <n v="0"/>
    <n v="0"/>
    <m/>
    <n v="0"/>
    <s v="Acct Movement from Mike Hovanyetz to Chris Dougherty "/>
    <m/>
    <m/>
    <m/>
    <m/>
    <m/>
    <n v="300000"/>
    <n v="0"/>
    <n v="0"/>
    <n v="0"/>
    <n v="0"/>
    <n v="0"/>
    <n v="0"/>
    <n v="300000"/>
    <m/>
    <m/>
    <m/>
    <m/>
    <m/>
    <n v="300000"/>
    <n v="0"/>
    <n v="0"/>
    <n v="0"/>
    <n v="0"/>
    <n v="0"/>
    <n v="0"/>
    <n v="300000"/>
  </r>
  <r>
    <x v="9"/>
    <x v="9"/>
    <s v="ERP"/>
    <x v="1"/>
    <x v="4"/>
    <s v="DeHart, Lynn"/>
    <x v="0"/>
    <x v="7"/>
    <m/>
    <m/>
    <s v="2026-XFR-0017-B"/>
    <m/>
    <m/>
    <m/>
    <s v="2026 Budget Transfer"/>
    <s v="4/28/26 CHW New add to tie-out 0223 to 0317 Planful Extracts Cost center change from Mike Hovanyetz to Chris Dougherty &amp; removed forecast"/>
    <m/>
    <n v="3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n v="0"/>
    <n v="300000"/>
  </r>
  <r>
    <x v="10"/>
    <x v="10"/>
    <s v="ERP"/>
    <x v="0"/>
    <x v="1"/>
    <s v="Maguire, Karla"/>
    <x v="1"/>
    <x v="8"/>
    <m/>
    <m/>
    <s v="2026-XFR-0017-C"/>
    <m/>
    <m/>
    <m/>
    <s v="2026 Budget Transfer"/>
    <m/>
    <m/>
    <n v="0"/>
    <n v="112500"/>
    <m/>
    <m/>
    <m/>
    <m/>
    <m/>
    <s v=""/>
    <n v="0"/>
    <n v="12500"/>
    <n v="12500"/>
    <n v="12500"/>
    <n v="12500"/>
    <n v="12500"/>
    <n v="12500"/>
    <n v="12500"/>
    <n v="87500"/>
    <n v="-25000"/>
    <n v="12500"/>
    <n v="-12500"/>
    <n v="-25000"/>
    <m/>
    <n v="-25000"/>
    <m/>
    <m/>
    <m/>
    <m/>
    <n v="12500"/>
    <n v="12500"/>
    <n v="12500"/>
    <n v="12500"/>
    <n v="12500"/>
    <n v="12500"/>
    <n v="12500"/>
    <n v="12500"/>
    <n v="12500"/>
    <n v="112500"/>
    <m/>
    <m/>
    <m/>
    <n v="12500"/>
    <n v="12500"/>
    <n v="12500"/>
    <n v="12500"/>
    <n v="12500"/>
    <n v="12500"/>
    <n v="12500"/>
    <n v="12500"/>
    <n v="12500"/>
    <n v="112500"/>
  </r>
  <r>
    <x v="11"/>
    <x v="11"/>
    <s v="ERP"/>
    <x v="1"/>
    <x v="4"/>
    <s v="DeHart, Lynn"/>
    <x v="1"/>
    <x v="8"/>
    <m/>
    <m/>
    <s v="2026-XFR-0017-C"/>
    <m/>
    <m/>
    <m/>
    <s v="2026 Budget Transfer"/>
    <s v="4/28/26 CHW New add to tie-out 0223 to 0317 Planful Extracts Transferred from Mike H to Chris Dougherty; zero forecast as moved to Chris"/>
    <m/>
    <n v="125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12500"/>
    <n v="12500"/>
    <n v="12500"/>
    <n v="12500"/>
    <n v="12500"/>
    <n v="12500"/>
    <n v="12500"/>
    <n v="12500"/>
    <n v="12500"/>
    <n v="12500"/>
    <n v="125000"/>
  </r>
  <r>
    <x v="12"/>
    <x v="12"/>
    <s v="ERP"/>
    <x v="0"/>
    <x v="1"/>
    <s v="Maguire, Karla"/>
    <x v="1"/>
    <x v="9"/>
    <m/>
    <m/>
    <s v="2026-XFR-0017-D"/>
    <m/>
    <m/>
    <m/>
    <s v="2026 Budget Transfer"/>
    <m/>
    <m/>
    <n v="0"/>
    <n v="90000"/>
    <m/>
    <m/>
    <m/>
    <m/>
    <m/>
    <s v=""/>
    <n v="0"/>
    <n v="10000"/>
    <n v="10000"/>
    <n v="10000"/>
    <n v="10000"/>
    <n v="10000"/>
    <n v="10000"/>
    <n v="10000"/>
    <n v="70000"/>
    <n v="-20000"/>
    <n v="10000"/>
    <n v="-10000"/>
    <n v="-20000"/>
    <m/>
    <n v="-20000"/>
    <m/>
    <m/>
    <m/>
    <m/>
    <n v="10000"/>
    <n v="10000"/>
    <n v="10000"/>
    <n v="10000"/>
    <n v="10000"/>
    <n v="10000"/>
    <n v="10000"/>
    <n v="10000"/>
    <n v="10000"/>
    <n v="90000"/>
    <m/>
    <m/>
    <m/>
    <n v="10000"/>
    <n v="10000"/>
    <n v="10000"/>
    <n v="10000"/>
    <n v="10000"/>
    <n v="10000"/>
    <n v="10000"/>
    <n v="10000"/>
    <n v="10000"/>
    <n v="90000"/>
  </r>
  <r>
    <x v="13"/>
    <x v="13"/>
    <s v="ERP"/>
    <x v="1"/>
    <x v="4"/>
    <s v="DeHart, Lynn"/>
    <x v="1"/>
    <x v="9"/>
    <m/>
    <m/>
    <s v="2026-XFR-0017-D"/>
    <m/>
    <m/>
    <m/>
    <s v="2026 Budget Transfer"/>
    <s v="4/28/26 CHW New add to tie-out 0223 to 0317 Planful Extracts Transferred from Mike H to Chris Dougherty; zero forecast as moved to Chris"/>
    <m/>
    <n v="1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0"/>
  </r>
  <r>
    <x v="14"/>
    <x v="14"/>
    <s v="ERP"/>
    <x v="0"/>
    <x v="1"/>
    <s v="Maguire, Karla"/>
    <x v="1"/>
    <x v="10"/>
    <m/>
    <m/>
    <s v="2026-XFR-0020-A"/>
    <m/>
    <m/>
    <m/>
    <s v="2026 Budget Transfer; AMS"/>
    <m/>
    <m/>
    <n v="0"/>
    <n v="56250"/>
    <m/>
    <m/>
    <m/>
    <m/>
    <m/>
    <s v=""/>
    <n v="0"/>
    <n v="6250"/>
    <n v="6250"/>
    <n v="6250"/>
    <n v="6250"/>
    <n v="6250"/>
    <n v="6250"/>
    <n v="6250"/>
    <n v="43750"/>
    <n v="-12500"/>
    <n v="6250"/>
    <n v="-6250"/>
    <n v="-12500"/>
    <m/>
    <n v="-12500"/>
    <m/>
    <m/>
    <m/>
    <m/>
    <n v="6250"/>
    <n v="6250"/>
    <n v="6250"/>
    <n v="6250"/>
    <n v="6250"/>
    <n v="6250"/>
    <n v="6250"/>
    <n v="6250"/>
    <n v="6250"/>
    <n v="56250"/>
    <m/>
    <m/>
    <m/>
    <n v="6250"/>
    <n v="6250"/>
    <n v="6250"/>
    <n v="6250"/>
    <n v="6250"/>
    <n v="6250"/>
    <n v="6250"/>
    <n v="6250"/>
    <n v="6250"/>
    <n v="56250"/>
  </r>
  <r>
    <x v="15"/>
    <x v="15"/>
    <s v="ERP"/>
    <x v="1"/>
    <x v="4"/>
    <s v="DeHart, Lynn"/>
    <x v="1"/>
    <x v="11"/>
    <m/>
    <m/>
    <s v="2026-XFR-0020-A"/>
    <m/>
    <m/>
    <m/>
    <s v="2026 Budget Transfer"/>
    <s v="4/28/26 CHW New add to tie-out 0223 to 0317 Planful Extracts Transferred from Mike H to Chris Dougherty; zero forecast as moved to Chris"/>
    <m/>
    <n v="75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250"/>
    <n v="6250"/>
    <n v="6250"/>
    <n v="6250"/>
    <n v="6250"/>
    <n v="6250"/>
    <n v="6250"/>
    <n v="6250"/>
    <n v="6250"/>
    <n v="6250"/>
    <n v="6250"/>
    <n v="6250"/>
    <n v="75000"/>
  </r>
  <r>
    <x v="16"/>
    <x v="16"/>
    <s v="ERP"/>
    <x v="1"/>
    <x v="5"/>
    <s v="DeHart, Lynn"/>
    <x v="2"/>
    <x v="12"/>
    <m/>
    <m/>
    <s v="2026-XFR-0023-A"/>
    <m/>
    <m/>
    <m/>
    <s v="2026 Budget Transfer"/>
    <s v="4/28/26 CHW New add to tie-out 0223 to 0317 Planful Extracts"/>
    <m/>
    <n v="70000.000000000015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70000"/>
    <n v="-7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x v="17"/>
    <x v="17"/>
    <s v="ERP"/>
    <x v="1"/>
    <x v="5"/>
    <s v="DeHart, Lynn"/>
    <x v="2"/>
    <x v="13"/>
    <m/>
    <m/>
    <s v="2026-XFR-0024-A"/>
    <m/>
    <m/>
    <m/>
    <s v="2026 Budget Transfer"/>
    <s v="4/28/26 CHW New add to tie-out 0223 to 0317 Planful Extracts 2/20 Updated per RG - able to leverate existing contractors"/>
    <m/>
    <n v="12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120000"/>
    <n v="-120000"/>
    <s v="XFRs not needed in 2026"/>
    <m/>
    <m/>
    <m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"/>
    <n v="10000"/>
    <n v="120000"/>
  </r>
  <r>
    <x v="18"/>
    <x v="18"/>
    <s v="ERP"/>
    <x v="1"/>
    <x v="6"/>
    <s v="DeHart, Lynn"/>
    <x v="2"/>
    <x v="14"/>
    <m/>
    <m/>
    <s v="2026-XFR-0028-A"/>
    <m/>
    <m/>
    <m/>
    <s v="2026 Budget Transfer"/>
    <s v="4/28/26 CHW New add to tie-out 0223 to 0317 Planful Extracts Funding would go back to business. Want to combine this into IT-FBT0785_x000a_' XfR-0028-A had a transfer for 266K. This transfer is being merged in the WBS FBT0785 (original 325K). The forecast has been reduced to 378K, effectively reducing the forecast by $210K - AJ - 05/01"/>
    <m/>
    <n v="2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vmnt -'IT-FBT0785-OG-US-00/2026-XFR-0028-A Merged"/>
    <m/>
    <m/>
    <m/>
    <n v="0"/>
    <n v="0"/>
    <n v="0"/>
    <n v="0"/>
    <n v="0"/>
    <n v="0"/>
    <n v="0"/>
    <n v="0"/>
    <n v="0"/>
    <n v="0"/>
    <n v="16667"/>
    <n v="16667"/>
    <n v="16667"/>
    <n v="16667"/>
    <n v="16667"/>
    <n v="16667"/>
    <n v="16667"/>
    <n v="16667"/>
    <n v="16666"/>
    <n v="16666"/>
    <n v="16666"/>
    <n v="16666"/>
    <n v="200000"/>
  </r>
  <r>
    <x v="19"/>
    <x v="19"/>
    <s v="ERP"/>
    <x v="1"/>
    <x v="6"/>
    <s v="DeHart, Lynn"/>
    <x v="0"/>
    <x v="15"/>
    <m/>
    <m/>
    <s v="2026-XFR-0032-A"/>
    <m/>
    <m/>
    <m/>
    <s v="2026 Budget Transfer"/>
    <m/>
    <m/>
    <n v="18000"/>
    <n v="13500"/>
    <m/>
    <m/>
    <m/>
    <m/>
    <m/>
    <s v=""/>
    <n v="0"/>
    <n v="1500"/>
    <n v="1500"/>
    <n v="1500"/>
    <n v="1500"/>
    <n v="1500"/>
    <n v="1500"/>
    <n v="1500"/>
    <n v="10500"/>
    <n v="-3000"/>
    <n v="1500"/>
    <n v="-1500"/>
    <n v="-3000"/>
    <m/>
    <n v="-3000"/>
    <m/>
    <m/>
    <m/>
    <m/>
    <n v="1500"/>
    <n v="1500"/>
    <n v="1500"/>
    <n v="1500"/>
    <n v="1500"/>
    <n v="1500"/>
    <n v="1500"/>
    <n v="1500"/>
    <n v="1500"/>
    <n v="13500"/>
    <m/>
    <m/>
    <m/>
    <n v="1500"/>
    <n v="1500"/>
    <n v="1500"/>
    <n v="1500"/>
    <n v="1500"/>
    <n v="1500"/>
    <n v="1500"/>
    <n v="1500"/>
    <n v="1500"/>
    <n v="13500"/>
  </r>
  <r>
    <x v="20"/>
    <x v="20"/>
    <s v="ERP"/>
    <x v="1"/>
    <x v="2"/>
    <s v="DeHart, Lynn"/>
    <x v="1"/>
    <x v="16"/>
    <m/>
    <m/>
    <s v="2026-XFR-0033-A"/>
    <m/>
    <m/>
    <m/>
    <s v="2026 Budget Transfer"/>
    <s v="5/4 CHW - Intentional giveback as decom discussion on-going"/>
    <m/>
    <n v="100000.00000000001"/>
    <n v="60000"/>
    <m/>
    <m/>
    <m/>
    <m/>
    <m/>
    <s v=""/>
    <n v="0"/>
    <m/>
    <n v="10000"/>
    <n v="10000"/>
    <n v="10000"/>
    <n v="10000"/>
    <n v="10000"/>
    <n v="10000"/>
    <n v="60000"/>
    <n v="0"/>
    <m/>
    <n v="0"/>
    <n v="0"/>
    <m/>
    <n v="0"/>
    <s v="Removed Q2 coverage until a decision is made on Celonis BAU / Replatforming"/>
    <m/>
    <m/>
    <m/>
    <m/>
    <m/>
    <m/>
    <n v="10000"/>
    <n v="10000"/>
    <n v="10000"/>
    <n v="10000"/>
    <n v="10000"/>
    <n v="10000"/>
    <n v="60000"/>
    <m/>
    <m/>
    <m/>
    <n v="10000"/>
    <n v="10000"/>
    <n v="10000"/>
    <n v="10000"/>
    <n v="10000"/>
    <n v="10000"/>
    <n v="10000"/>
    <n v="10000"/>
    <n v="10000"/>
    <n v="90000"/>
  </r>
  <r>
    <x v="21"/>
    <x v="21"/>
    <s v="ERP"/>
    <x v="0"/>
    <x v="0"/>
    <s v="Maguire, Karla"/>
    <x v="0"/>
    <x v="17"/>
    <m/>
    <m/>
    <s v="2026-XFR-0034-A"/>
    <m/>
    <m/>
    <m/>
    <s v="2026 Budget Transfer"/>
    <m/>
    <m/>
    <n v="0"/>
    <n v="2475"/>
    <m/>
    <m/>
    <m/>
    <m/>
    <m/>
    <s v=""/>
    <n v="0"/>
    <n v="275"/>
    <n v="275"/>
    <n v="275"/>
    <n v="275"/>
    <n v="275"/>
    <n v="275"/>
    <n v="275"/>
    <n v="1925"/>
    <n v="-550"/>
    <n v="275"/>
    <n v="-275"/>
    <n v="-550"/>
    <m/>
    <n v="-550"/>
    <m/>
    <m/>
    <m/>
    <m/>
    <n v="275"/>
    <n v="275"/>
    <n v="275"/>
    <n v="275"/>
    <n v="275"/>
    <n v="275"/>
    <n v="275"/>
    <n v="275"/>
    <n v="275"/>
    <n v="2475"/>
    <m/>
    <m/>
    <m/>
    <n v="275"/>
    <n v="275"/>
    <n v="275"/>
    <n v="275"/>
    <n v="275"/>
    <n v="275"/>
    <n v="275"/>
    <n v="275"/>
    <n v="275"/>
    <n v="2475"/>
  </r>
  <r>
    <x v="22"/>
    <x v="22"/>
    <s v="ERP"/>
    <x v="1"/>
    <x v="4"/>
    <s v="DeHart, Lynn"/>
    <x v="0"/>
    <x v="17"/>
    <m/>
    <m/>
    <s v="2026-XFR-0034-A"/>
    <m/>
    <m/>
    <m/>
    <s v="2026 Budget Transfer"/>
    <s v="4/28/26 CHW New add to tie-out 0223 to 0317 Planful Extracts Cost center change from Mike Hovanyetz to Chris Dougherty &amp; removed forecast"/>
    <m/>
    <n v="33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75"/>
    <n v="275"/>
    <n v="275"/>
    <n v="275"/>
    <n v="275"/>
    <n v="275"/>
    <n v="275"/>
    <n v="275"/>
    <n v="275"/>
    <n v="275"/>
    <n v="275"/>
    <n v="275"/>
    <n v="3300"/>
  </r>
  <r>
    <x v="23"/>
    <x v="23"/>
    <s v="ERP"/>
    <x v="1"/>
    <x v="2"/>
    <s v="DeHart, Lynn"/>
    <x v="1"/>
    <x v="18"/>
    <m/>
    <m/>
    <s v="2026-XFR-0035-A"/>
    <m/>
    <m/>
    <m/>
    <s v="2026 Budget Transfer"/>
    <s v="5/4 CHW - Intentional giveback as decom discussion on-going"/>
    <m/>
    <n v="64999.999999999985"/>
    <n v="39000"/>
    <m/>
    <m/>
    <m/>
    <m/>
    <m/>
    <s v=""/>
    <n v="0"/>
    <m/>
    <n v="6500"/>
    <n v="6500"/>
    <n v="6500"/>
    <n v="6500"/>
    <n v="6500"/>
    <n v="6500"/>
    <n v="39000"/>
    <n v="0"/>
    <m/>
    <n v="0"/>
    <n v="0"/>
    <m/>
    <n v="0"/>
    <s v="Removed Q2 coverage until a decision is made on Celonis BAU / Replatforming"/>
    <m/>
    <m/>
    <m/>
    <m/>
    <m/>
    <m/>
    <n v="6500"/>
    <n v="6500"/>
    <n v="6500"/>
    <n v="6500"/>
    <n v="6500"/>
    <n v="6500"/>
    <n v="39000"/>
    <m/>
    <m/>
    <m/>
    <n v="6500"/>
    <n v="6500"/>
    <n v="6500"/>
    <n v="6500"/>
    <n v="6500"/>
    <n v="6500"/>
    <n v="6500"/>
    <n v="6500"/>
    <n v="6500"/>
    <n v="58500"/>
  </r>
  <r>
    <x v="24"/>
    <x v="24"/>
    <s v="ERP"/>
    <x v="0"/>
    <x v="1"/>
    <s v="Maguire, Karla"/>
    <x v="0"/>
    <x v="19"/>
    <m/>
    <m/>
    <s v="2026-XFR-0036-A"/>
    <m/>
    <m/>
    <m/>
    <s v="2026 Budget Transfer"/>
    <m/>
    <m/>
    <n v="0"/>
    <n v="-118715.37"/>
    <m/>
    <m/>
    <m/>
    <n v="-118715.37"/>
    <n v="0"/>
    <n v="0"/>
    <n v="0"/>
    <n v="0"/>
    <n v="0"/>
    <m/>
    <n v="0"/>
    <n v="0"/>
    <n v="0"/>
    <n v="0"/>
    <n v="-118715.37"/>
    <n v="0"/>
    <n v="0"/>
    <n v="0"/>
    <n v="0"/>
    <m/>
    <n v="0"/>
    <m/>
    <m/>
    <n v="-118715.37"/>
    <n v="0"/>
    <n v="0"/>
    <n v="0"/>
    <n v="0"/>
    <n v="0"/>
    <m/>
    <n v="0"/>
    <n v="0"/>
    <n v="0"/>
    <n v="0"/>
    <n v="-118715.37"/>
    <m/>
    <n v="-118715.37"/>
    <n v="0"/>
    <n v="0"/>
    <n v="0"/>
    <n v="0"/>
    <n v="0"/>
    <n v="0"/>
    <n v="0"/>
    <n v="0"/>
    <n v="0"/>
    <n v="0"/>
    <n v="-118715.37"/>
  </r>
  <r>
    <x v="25"/>
    <x v="25"/>
    <s v="ERP"/>
    <x v="1"/>
    <x v="5"/>
    <s v="DeHart, Lynn"/>
    <x v="2"/>
    <x v="20"/>
    <m/>
    <m/>
    <s v="2026-XFR-0043-A"/>
    <m/>
    <m/>
    <m/>
    <s v="2026 Budget Transfer"/>
    <s v="4/28/26 CHW New add to tie-out 0223 to 0317 Planful Extracts"/>
    <m/>
    <n v="70000.000000000015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70000"/>
    <n v="-7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x v="26"/>
    <x v="26"/>
    <s v="ERP"/>
    <x v="1"/>
    <x v="6"/>
    <s v="DeHart, Lynn"/>
    <x v="2"/>
    <x v="21"/>
    <m/>
    <m/>
    <s v="2026-XFR-0050-A"/>
    <m/>
    <m/>
    <m/>
    <s v="2026 Budget Transfer"/>
    <s v=" XfR-0050-A had a transfer for 150K. This transfer is being merged wth WBS  CTR0041 (original 824K). The forecast has been reduced to 592K, effectively reducing the forecast by $362K, XFR-0050 will 0 - AJ - 05/01"/>
    <m/>
    <n v="15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12500"/>
    <n v="12500"/>
    <n v="12500"/>
    <n v="12500"/>
    <n v="12500"/>
    <n v="12500"/>
    <n v="12500"/>
    <n v="12500"/>
    <n v="12500"/>
    <n v="112500"/>
  </r>
  <r>
    <x v="27"/>
    <x v="27"/>
    <s v="ERP"/>
    <x v="1"/>
    <x v="5"/>
    <s v="DeHart, Lynn"/>
    <x v="2"/>
    <x v="22"/>
    <m/>
    <m/>
    <s v="2026-XFR-0051-A"/>
    <m/>
    <m/>
    <m/>
    <s v="2026 Budget Transfer"/>
    <s v="4/28/26 CHW New add to tie-out 0223 to 0317 Planful Extracts"/>
    <m/>
    <n v="14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140000"/>
    <n v="-140000"/>
    <s v="XFRs not needed in 2026"/>
    <m/>
    <m/>
    <m/>
    <n v="0"/>
    <n v="0"/>
    <n v="0"/>
    <n v="0"/>
    <n v="0"/>
    <n v="0"/>
    <n v="0"/>
    <n v="0"/>
    <n v="0"/>
    <n v="0"/>
    <n v="11666.63"/>
    <n v="11666.67"/>
    <n v="11666.67"/>
    <n v="11666.67"/>
    <n v="11666.67"/>
    <n v="11666.67"/>
    <n v="11666.67"/>
    <n v="11666.67"/>
    <n v="11666.67"/>
    <n v="11666.67"/>
    <n v="11666.67"/>
    <n v="11666.67"/>
    <n v="140000"/>
  </r>
  <r>
    <x v="28"/>
    <x v="28"/>
    <s v="ERP"/>
    <x v="1"/>
    <x v="6"/>
    <s v="DeHart, Lynn"/>
    <x v="2"/>
    <x v="23"/>
    <m/>
    <m/>
    <s v="2026-XFR-0053-A"/>
    <m/>
    <m/>
    <m/>
    <s v="2026 Budget Transfer"/>
    <s v="4/28/26 CHW New add to tie-out 0223 to 0317 Planful Extracts"/>
    <m/>
    <n v="-199716"/>
    <n v="-149787"/>
    <m/>
    <m/>
    <m/>
    <m/>
    <m/>
    <s v=""/>
    <n v="0"/>
    <n v="-16643"/>
    <n v="-16643"/>
    <n v="-16643"/>
    <n v="-16643"/>
    <n v="-16643"/>
    <n v="-16643"/>
    <n v="-16643"/>
    <n v="-116501"/>
    <n v="33286"/>
    <n v="-16643"/>
    <n v="16643"/>
    <n v="33286"/>
    <m/>
    <n v="33286"/>
    <m/>
    <m/>
    <m/>
    <m/>
    <n v="-16643"/>
    <n v="-16643"/>
    <n v="-16643"/>
    <n v="-16643"/>
    <n v="-16643"/>
    <n v="-16643"/>
    <n v="-16643"/>
    <n v="-16643"/>
    <n v="-16643"/>
    <n v="-149787"/>
    <n v="-16643"/>
    <n v="-16643"/>
    <n v="-16643"/>
    <n v="-16643"/>
    <n v="-16643"/>
    <n v="-16643"/>
    <n v="-16643"/>
    <n v="-16643"/>
    <n v="-16643"/>
    <n v="-16643"/>
    <n v="-16643"/>
    <n v="-16643"/>
    <n v="-199716"/>
  </r>
  <r>
    <x v="29"/>
    <x v="29"/>
    <s v="ERP"/>
    <x v="1"/>
    <x v="6"/>
    <s v="DeHart, Lynn"/>
    <x v="2"/>
    <x v="24"/>
    <m/>
    <m/>
    <s v="2026-XFR-0054-A"/>
    <m/>
    <m/>
    <m/>
    <s v="2026 Budget Transfer"/>
    <s v="4/28/26 CHW New add to tie-out 0223 to 0317 Planful Extracts"/>
    <m/>
    <n v="-289999.99999999988"/>
    <n v="-217500.02999999997"/>
    <m/>
    <m/>
    <m/>
    <m/>
    <m/>
    <s v=""/>
    <n v="0"/>
    <n v="-24166.67"/>
    <n v="-24166.67"/>
    <n v="-24166.67"/>
    <n v="-24166.67"/>
    <n v="-24166.67"/>
    <n v="-24166.67"/>
    <n v="-24166.67"/>
    <n v="-169166.69"/>
    <n v="48333.339999999967"/>
    <n v="-24166.67"/>
    <n v="24166.67"/>
    <n v="48333.34"/>
    <m/>
    <n v="48333.339999999967"/>
    <m/>
    <m/>
    <m/>
    <m/>
    <n v="-24166.67"/>
    <n v="-24166.67"/>
    <n v="-24166.67"/>
    <n v="-24166.67"/>
    <n v="-24166.67"/>
    <n v="-24166.67"/>
    <n v="-24166.67"/>
    <n v="-24166.67"/>
    <n v="-24166.67"/>
    <n v="-217500.02999999997"/>
    <n v="-24166.63"/>
    <n v="-24166.67"/>
    <n v="-24166.67"/>
    <n v="-24166.67"/>
    <n v="-24166.67"/>
    <n v="-24166.67"/>
    <n v="-24166.67"/>
    <n v="-24166.67"/>
    <n v="-24166.67"/>
    <n v="-24166.67"/>
    <n v="-24166.67"/>
    <n v="-24166.67"/>
    <n v="-289999.99999999988"/>
  </r>
  <r>
    <x v="30"/>
    <x v="30"/>
    <s v="ERP"/>
    <x v="1"/>
    <x v="4"/>
    <s v="DeHart, Lynn"/>
    <x v="0"/>
    <x v="25"/>
    <m/>
    <m/>
    <s v="2026-XFR-0059-A"/>
    <m/>
    <m/>
    <m/>
    <s v="2026 Budget Transfer"/>
    <m/>
    <m/>
    <n v="0"/>
    <n v="24000"/>
    <m/>
    <m/>
    <n v="24000"/>
    <n v="0"/>
    <n v="0"/>
    <n v="5.0699999999999363"/>
    <n v="-7.8299999999999272"/>
    <n v="0"/>
    <n v="0"/>
    <n v="0"/>
    <n v="0"/>
    <n v="0"/>
    <n v="0"/>
    <n v="0"/>
    <n v="23997.239999999998"/>
    <n v="-2.7600000000020373"/>
    <n v="0"/>
    <n v="-7.8299999999999272"/>
    <n v="-2.7600000000020373"/>
    <m/>
    <n v="-2.7600000000020373"/>
    <m/>
    <n v="24000"/>
    <n v="0"/>
    <n v="0"/>
    <n v="0"/>
    <n v="0"/>
    <n v="0"/>
    <n v="0"/>
    <n v="0"/>
    <n v="0"/>
    <n v="0"/>
    <n v="0"/>
    <n v="0"/>
    <n v="24000"/>
    <n v="24000"/>
    <n v="0"/>
    <n v="0"/>
    <n v="0"/>
    <n v="0"/>
    <n v="0"/>
    <n v="0"/>
    <n v="0"/>
    <n v="0"/>
    <n v="0"/>
    <n v="0"/>
    <n v="0"/>
    <n v="24000"/>
  </r>
  <r>
    <x v="31"/>
    <x v="31"/>
    <s v="ERP"/>
    <x v="1"/>
    <x v="7"/>
    <s v="DeHart, Lynn"/>
    <x v="1"/>
    <x v="26"/>
    <m/>
    <m/>
    <s v="2026-XFR-0063-A"/>
    <m/>
    <m/>
    <m/>
    <s v="2026 Budget Transfer"/>
    <m/>
    <m/>
    <n v="31560"/>
    <n v="23670"/>
    <m/>
    <m/>
    <m/>
    <m/>
    <m/>
    <s v=""/>
    <n v="0"/>
    <n v="2630"/>
    <n v="2630"/>
    <n v="2630"/>
    <n v="2630"/>
    <n v="2630"/>
    <n v="2630"/>
    <n v="2630"/>
    <n v="18410"/>
    <n v="-5260"/>
    <n v="2630"/>
    <n v="-2630"/>
    <n v="-5260"/>
    <m/>
    <n v="-5260"/>
    <m/>
    <m/>
    <m/>
    <m/>
    <n v="2630"/>
    <n v="2630"/>
    <n v="2630"/>
    <n v="2630"/>
    <n v="2630"/>
    <n v="2630"/>
    <n v="2630"/>
    <n v="2630"/>
    <n v="2630"/>
    <n v="23670"/>
    <m/>
    <m/>
    <m/>
    <n v="2630"/>
    <n v="2630"/>
    <n v="2630"/>
    <n v="2630"/>
    <n v="2630"/>
    <n v="2630"/>
    <n v="2630"/>
    <n v="2630"/>
    <n v="2630"/>
    <n v="23670"/>
  </r>
  <r>
    <x v="32"/>
    <x v="32"/>
    <s v="ERP"/>
    <x v="0"/>
    <x v="8"/>
    <s v="Maguire, Karla"/>
    <x v="0"/>
    <x v="27"/>
    <m/>
    <m/>
    <s v="2026-XFR-KM001"/>
    <m/>
    <m/>
    <m/>
    <s v="5/15 CHW - Syniti paid thru 12/30/2027; 2026 Budget Transfer"/>
    <m/>
    <m/>
    <n v="282999.99999599991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283000"/>
    <n v="283000"/>
    <s v="Syniti paid thru 12/30/2027"/>
    <m/>
    <m/>
    <m/>
    <n v="0"/>
    <n v="0"/>
    <n v="0"/>
    <n v="0"/>
    <n v="0"/>
    <n v="0"/>
    <n v="0"/>
    <n v="0"/>
    <n v="0"/>
    <n v="0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82999.99999599991"/>
  </r>
  <r>
    <x v="33"/>
    <x v="33"/>
    <s v="ERP"/>
    <x v="1"/>
    <x v="4"/>
    <s v="Hovanyetz, Mike"/>
    <x v="0"/>
    <x v="28"/>
    <m/>
    <m/>
    <s v="2026-XFR-LD001"/>
    <s v="CHW - Ok"/>
    <m/>
    <m/>
    <s v="2026 Budget Transfer"/>
    <s v="CHW 5/5 - removed forecast as covered in IT-FBT0281-OG-US-00 per Leslie; LZ 4/27 - Move forecast from Raj H to Mike H"/>
    <m/>
    <m/>
    <n v="0"/>
    <m/>
    <m/>
    <m/>
    <m/>
    <m/>
    <s v=""/>
    <n v="0"/>
    <m/>
    <m/>
    <m/>
    <m/>
    <n v="0"/>
    <n v="0"/>
    <n v="0"/>
    <n v="0"/>
    <n v="0"/>
    <m/>
    <n v="0"/>
    <n v="0"/>
    <m/>
    <n v="0"/>
    <m/>
    <m/>
    <m/>
    <m/>
    <m/>
    <m/>
    <m/>
    <m/>
    <m/>
    <m/>
    <n v="0"/>
    <n v="0"/>
    <n v="0"/>
    <n v="0"/>
    <m/>
    <m/>
    <m/>
    <m/>
    <m/>
    <m/>
    <m/>
    <m/>
    <m/>
    <m/>
    <m/>
    <m/>
    <m/>
  </r>
  <r>
    <x v="34"/>
    <x v="34"/>
    <s v="ERP"/>
    <x v="1"/>
    <x v="3"/>
    <s v="DeHart, Lynn"/>
    <x v="0"/>
    <x v="28"/>
    <m/>
    <m/>
    <s v="2026-XFR-LD001"/>
    <s v="CHW - Ok"/>
    <m/>
    <m/>
    <s v="2026 Budget Transfer"/>
    <s v="LZ 4/27 - Move forecast from Raj H to Mike H"/>
    <m/>
    <n v="17424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14520"/>
    <n v="14520"/>
    <n v="14520"/>
    <n v="14520"/>
    <n v="14520"/>
    <n v="14520"/>
    <n v="14520"/>
    <n v="14520"/>
    <n v="14520"/>
    <n v="130680"/>
  </r>
  <r>
    <x v="35"/>
    <x v="35"/>
    <s v="ERP"/>
    <x v="1"/>
    <x v="4"/>
    <s v="Hovanyetz, Mike"/>
    <x v="0"/>
    <x v="29"/>
    <m/>
    <m/>
    <s v="2026-XFR-LD002"/>
    <s v="CHW - Ok"/>
    <m/>
    <m/>
    <s v="2026 Budget Transfer"/>
    <s v="CHW 5/5 - removed forecast as covered in IT-SFT1009-46 per Leslie; 'LZ 4/27 - Move forecast from Raj H to Mike H"/>
    <m/>
    <m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x v="36"/>
    <x v="36"/>
    <s v="ERP"/>
    <x v="1"/>
    <x v="3"/>
    <s v="DeHart, Lynn"/>
    <x v="0"/>
    <x v="29"/>
    <m/>
    <m/>
    <s v="2026-XFR-LD002"/>
    <s v="CHW - Ok"/>
    <m/>
    <m/>
    <s v="2026 Budget Transfer"/>
    <s v="LZ 4/27 - Move forecast from Raj H to Mike H"/>
    <m/>
    <n v="266860.9999999998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22238.42"/>
    <n v="22238.42"/>
    <n v="22238.42"/>
    <n v="22238.42"/>
    <n v="22238.42"/>
    <n v="22238.42"/>
    <n v="22238.42"/>
    <n v="22238.42"/>
    <n v="22238.42"/>
    <n v="200145.77999999997"/>
  </r>
  <r>
    <x v="37"/>
    <x v="37"/>
    <s v="ERP"/>
    <x v="0"/>
    <x v="9"/>
    <s v="Maguire, Karla"/>
    <x v="3"/>
    <x v="30"/>
    <m/>
    <m/>
    <s v="2026-XFR-ML001"/>
    <m/>
    <m/>
    <m/>
    <s v="2026 Budget Transfer"/>
    <m/>
    <m/>
    <n v="51615"/>
    <n v="38711.25"/>
    <m/>
    <m/>
    <m/>
    <m/>
    <m/>
    <s v=""/>
    <n v="0"/>
    <n v="4301.25"/>
    <n v="4301.25"/>
    <n v="4301.25"/>
    <n v="4301.25"/>
    <n v="4301.25"/>
    <n v="4301.25"/>
    <n v="4301.25"/>
    <n v="30108.75"/>
    <n v="-8602.5"/>
    <n v="4301.25"/>
    <n v="-4301.25"/>
    <n v="-8602.5"/>
    <m/>
    <n v="-8602.5"/>
    <m/>
    <m/>
    <m/>
    <m/>
    <n v="4301.25"/>
    <n v="4301.25"/>
    <n v="4301.25"/>
    <n v="4301.25"/>
    <n v="4301.25"/>
    <n v="4301.25"/>
    <n v="4301.25"/>
    <n v="4301.25"/>
    <n v="4301.25"/>
    <n v="38711.25"/>
    <m/>
    <m/>
    <m/>
    <n v="4301.25"/>
    <n v="4301.25"/>
    <n v="4301.25"/>
    <n v="4301.25"/>
    <n v="4301.25"/>
    <n v="4301.25"/>
    <n v="4301.25"/>
    <n v="4301.25"/>
    <n v="4301.25"/>
    <n v="38711.25"/>
  </r>
  <r>
    <x v="38"/>
    <x v="38"/>
    <s v="ERP"/>
    <x v="0"/>
    <x v="9"/>
    <s v="Maguire, Karla"/>
    <x v="3"/>
    <x v="31"/>
    <m/>
    <m/>
    <s v="2026-XFR-ML002"/>
    <m/>
    <m/>
    <m/>
    <s v="2026 Budget Transfer"/>
    <m/>
    <m/>
    <n v="-12195"/>
    <n v="-9146.25"/>
    <m/>
    <m/>
    <m/>
    <m/>
    <m/>
    <s v=""/>
    <n v="0"/>
    <n v="-1016.25"/>
    <n v="-1016.25"/>
    <n v="-1016.25"/>
    <n v="-1016.25"/>
    <n v="-1016.25"/>
    <n v="-1016.25"/>
    <n v="-1016.25"/>
    <n v="-7113.75"/>
    <n v="2032.5"/>
    <n v="-1016.25"/>
    <n v="1016.25"/>
    <n v="2032.5"/>
    <m/>
    <n v="2032.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x v="39"/>
    <x v="39"/>
    <s v="ERP"/>
    <x v="0"/>
    <x v="9"/>
    <s v="Maguire, Karla"/>
    <x v="3"/>
    <x v="32"/>
    <m/>
    <m/>
    <s v="2026-XFR-ML003"/>
    <m/>
    <m/>
    <m/>
    <s v="2026 Budget Transfer"/>
    <m/>
    <m/>
    <n v="-12195"/>
    <n v="-9146.25"/>
    <m/>
    <m/>
    <m/>
    <m/>
    <m/>
    <s v=""/>
    <n v="0"/>
    <n v="-1016.25"/>
    <n v="-1016.25"/>
    <n v="-1016.25"/>
    <n v="-1016.25"/>
    <n v="-1016.25"/>
    <n v="-1016.25"/>
    <n v="-1016.25"/>
    <n v="-7113.75"/>
    <n v="2032.5"/>
    <n v="-1016.25"/>
    <n v="1016.25"/>
    <n v="2032.5"/>
    <m/>
    <n v="2032.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x v="40"/>
    <x v="40"/>
    <s v="ERP"/>
    <x v="0"/>
    <x v="9"/>
    <s v="McCormick, Pete"/>
    <x v="1"/>
    <x v="33"/>
    <m/>
    <s v="2329614"/>
    <s v="AD-RAOCBINT3-PD-15-US-00"/>
    <m/>
    <m/>
    <m/>
    <m/>
    <m/>
    <m/>
    <m/>
    <m/>
    <m/>
    <m/>
    <m/>
    <m/>
    <m/>
    <n v="19"/>
    <n v="0"/>
    <m/>
    <m/>
    <m/>
    <m/>
    <m/>
    <m/>
    <m/>
    <n v="19"/>
    <n v="19"/>
    <m/>
    <n v="0"/>
    <n v="19"/>
    <m/>
    <n v="19"/>
    <m/>
    <m/>
    <m/>
    <m/>
    <m/>
    <m/>
    <m/>
    <m/>
    <m/>
    <m/>
    <m/>
    <m/>
    <m/>
    <m/>
    <m/>
    <m/>
    <m/>
    <m/>
    <m/>
    <m/>
    <m/>
    <m/>
    <m/>
    <m/>
    <m/>
    <m/>
    <m/>
  </r>
  <r>
    <x v="41"/>
    <x v="41"/>
    <s v="ERP"/>
    <x v="0"/>
    <x v="9"/>
    <s v="McCormick, Pete"/>
    <x v="1"/>
    <x v="34"/>
    <m/>
    <s v="2329614"/>
    <s v="AR-700001184-1400"/>
    <m/>
    <m/>
    <m/>
    <m/>
    <m/>
    <m/>
    <m/>
    <m/>
    <m/>
    <m/>
    <m/>
    <m/>
    <m/>
    <n v="190"/>
    <n v="0"/>
    <m/>
    <m/>
    <m/>
    <m/>
    <m/>
    <m/>
    <m/>
    <n v="190"/>
    <n v="190"/>
    <m/>
    <n v="0"/>
    <n v="190"/>
    <m/>
    <n v="190"/>
    <m/>
    <m/>
    <m/>
    <m/>
    <m/>
    <m/>
    <m/>
    <m/>
    <m/>
    <m/>
    <m/>
    <m/>
    <m/>
    <m/>
    <m/>
    <m/>
    <m/>
    <m/>
    <m/>
    <m/>
    <m/>
    <m/>
    <m/>
    <m/>
    <m/>
    <m/>
    <m/>
  </r>
  <r>
    <x v="42"/>
    <x v="42"/>
    <s v="ERP"/>
    <x v="0"/>
    <x v="10"/>
    <s v="Maguire, Karla"/>
    <x v="1"/>
    <x v="35"/>
    <m/>
    <m/>
    <s v="BillingRev001"/>
    <m/>
    <s v="N/A"/>
    <m/>
    <s v="Billing Related - Cloud Brokerage"/>
    <m/>
    <m/>
    <n v="0"/>
    <n v="0"/>
    <m/>
    <m/>
    <m/>
    <n v="0"/>
    <n v="0"/>
    <n v="-1732.97"/>
    <n v="0"/>
    <n v="0"/>
    <n v="0"/>
    <n v="0"/>
    <n v="0"/>
    <n v="0"/>
    <n v="0"/>
    <n v="0"/>
    <n v="-1732.97"/>
    <n v="-1732.97"/>
    <n v="0"/>
    <n v="0"/>
    <n v="-1732.97"/>
    <m/>
    <n v="-1732.97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43"/>
    <x v="43"/>
    <s v="ERP"/>
    <x v="2"/>
    <x v="11"/>
    <s v="McGettigan, David"/>
    <x v="1"/>
    <x v="35"/>
    <m/>
    <m/>
    <s v="BillingRev001"/>
    <m/>
    <s v="N/A"/>
    <m/>
    <s v="Billing Related - Cloud Brokerage"/>
    <m/>
    <m/>
    <n v="0"/>
    <n v="0"/>
    <m/>
    <m/>
    <m/>
    <n v="0"/>
    <n v="0"/>
    <n v="-5.07"/>
    <n v="0"/>
    <n v="0"/>
    <n v="0"/>
    <n v="0"/>
    <n v="0"/>
    <n v="0"/>
    <n v="0"/>
    <n v="0"/>
    <n v="-5.07"/>
    <n v="-5.07"/>
    <n v="0"/>
    <n v="0"/>
    <n v="-5.07"/>
    <m/>
    <n v="-5.07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44"/>
    <x v="44"/>
    <s v="ERP"/>
    <x v="2"/>
    <x v="11"/>
    <s v="McGettigan, David"/>
    <x v="0"/>
    <x v="36"/>
    <m/>
    <s v="2635052"/>
    <s v="BILLINGREV001CN"/>
    <m/>
    <m/>
    <m/>
    <m/>
    <m/>
    <m/>
    <m/>
    <m/>
    <m/>
    <m/>
    <m/>
    <m/>
    <m/>
    <n v="-920.3"/>
    <n v="0"/>
    <m/>
    <m/>
    <m/>
    <m/>
    <m/>
    <m/>
    <m/>
    <n v="-920.3"/>
    <n v="-920.3"/>
    <m/>
    <n v="0"/>
    <n v="-920.3"/>
    <m/>
    <n v="-920.3"/>
    <m/>
    <m/>
    <m/>
    <m/>
    <m/>
    <m/>
    <m/>
    <m/>
    <m/>
    <m/>
    <m/>
    <m/>
    <m/>
    <m/>
    <m/>
    <m/>
    <m/>
    <m/>
    <m/>
    <m/>
    <m/>
    <m/>
    <m/>
    <m/>
    <m/>
    <m/>
    <m/>
  </r>
  <r>
    <x v="45"/>
    <x v="45"/>
    <s v="ERP"/>
    <x v="0"/>
    <x v="10"/>
    <s v="Maguire, Karla"/>
    <x v="0"/>
    <x v="36"/>
    <m/>
    <s v="2661893"/>
    <s v="BILLINGREV001CN"/>
    <m/>
    <m/>
    <m/>
    <m/>
    <m/>
    <m/>
    <m/>
    <m/>
    <m/>
    <m/>
    <m/>
    <m/>
    <m/>
    <n v="-4832.8900000000003"/>
    <n v="0"/>
    <m/>
    <m/>
    <m/>
    <m/>
    <m/>
    <m/>
    <m/>
    <n v="-4832.8900000000003"/>
    <n v="-4832.8900000000003"/>
    <m/>
    <n v="0"/>
    <n v="-4832.8900000000003"/>
    <m/>
    <n v="-4832.8900000000003"/>
    <m/>
    <m/>
    <m/>
    <m/>
    <m/>
    <m/>
    <m/>
    <m/>
    <m/>
    <m/>
    <m/>
    <m/>
    <m/>
    <m/>
    <m/>
    <m/>
    <m/>
    <m/>
    <m/>
    <m/>
    <m/>
    <m/>
    <m/>
    <m/>
    <m/>
    <m/>
    <m/>
  </r>
  <r>
    <x v="46"/>
    <x v="46"/>
    <s v="ERP"/>
    <x v="2"/>
    <x v="11"/>
    <s v="McGettigan, David"/>
    <x v="0"/>
    <x v="37"/>
    <m/>
    <s v="2635052"/>
    <s v="BILLINGREV009B"/>
    <m/>
    <m/>
    <m/>
    <m/>
    <m/>
    <m/>
    <m/>
    <m/>
    <m/>
    <m/>
    <m/>
    <m/>
    <m/>
    <n v="-6115.8"/>
    <n v="0"/>
    <m/>
    <m/>
    <m/>
    <m/>
    <m/>
    <m/>
    <m/>
    <n v="-6115.8"/>
    <n v="-6115.8"/>
    <m/>
    <n v="0"/>
    <n v="-6115.8"/>
    <m/>
    <n v="-6115.8"/>
    <m/>
    <m/>
    <m/>
    <m/>
    <m/>
    <m/>
    <m/>
    <m/>
    <m/>
    <m/>
    <m/>
    <m/>
    <m/>
    <m/>
    <m/>
    <m/>
    <m/>
    <m/>
    <m/>
    <m/>
    <m/>
    <m/>
    <m/>
    <m/>
    <m/>
    <m/>
    <m/>
  </r>
  <r>
    <x v="47"/>
    <x v="47"/>
    <s v="ERP"/>
    <x v="0"/>
    <x v="10"/>
    <s v="Maguire, Karla"/>
    <x v="0"/>
    <x v="38"/>
    <m/>
    <s v="2661893"/>
    <s v="BILLINGREV009B"/>
    <m/>
    <m/>
    <m/>
    <m/>
    <m/>
    <m/>
    <m/>
    <m/>
    <m/>
    <m/>
    <m/>
    <m/>
    <m/>
    <n v="-38080.83"/>
    <n v="0"/>
    <m/>
    <m/>
    <m/>
    <m/>
    <m/>
    <m/>
    <m/>
    <n v="-38080.83"/>
    <n v="-38080.83"/>
    <m/>
    <n v="0"/>
    <n v="-38080.83"/>
    <m/>
    <n v="-38080.83"/>
    <m/>
    <m/>
    <m/>
    <m/>
    <m/>
    <m/>
    <m/>
    <m/>
    <m/>
    <m/>
    <m/>
    <m/>
    <m/>
    <m/>
    <m/>
    <m/>
    <m/>
    <m/>
    <m/>
    <m/>
    <m/>
    <m/>
    <m/>
    <m/>
    <m/>
    <m/>
    <m/>
  </r>
  <r>
    <x v="48"/>
    <x v="48"/>
    <s v="ERP"/>
    <x v="0"/>
    <x v="0"/>
    <s v="Maguire, Karla"/>
    <x v="1"/>
    <x v="39"/>
    <m/>
    <m/>
    <s v="BillingRev019"/>
    <m/>
    <s v="N/A"/>
    <m/>
    <s v="Billing Related - UC4 Automic"/>
    <s v="4/28/26 CHW New add to tie-out 0223 to 0317 Planful Extracts 0"/>
    <m/>
    <n v="-21666.659999999996"/>
    <n v="-15000"/>
    <m/>
    <m/>
    <m/>
    <m/>
    <m/>
    <s v=""/>
    <n v="0"/>
    <n v="-3333.33"/>
    <n v="-1666.67"/>
    <n v="-1666.67"/>
    <n v="-1666.67"/>
    <n v="0"/>
    <n v="0"/>
    <n v="0"/>
    <n v="-8333.34"/>
    <n v="6666.66"/>
    <n v="-3333.33"/>
    <n v="3333.33"/>
    <n v="6666.66"/>
    <m/>
    <n v="6666.66"/>
    <m/>
    <m/>
    <m/>
    <m/>
    <n v="-3333.33"/>
    <n v="-3333.33"/>
    <n v="-3333.33"/>
    <n v="-1666.67"/>
    <n v="-1666.67"/>
    <n v="-1666.67"/>
    <n v="0"/>
    <n v="0"/>
    <n v="0"/>
    <n v="-15000"/>
    <n v="0"/>
    <n v="-3333.33"/>
    <n v="-3333.33"/>
    <n v="-3333.33"/>
    <n v="-3333.33"/>
    <n v="-3333.33"/>
    <n v="-1666.67"/>
    <n v="-1666.67"/>
    <n v="-1666.67"/>
    <n v="0"/>
    <n v="0"/>
    <n v="0"/>
    <n v="-21666.659999999996"/>
  </r>
  <r>
    <x v="49"/>
    <x v="49"/>
    <s v="ERP"/>
    <x v="0"/>
    <x v="10"/>
    <s v="Maguire, Karla"/>
    <x v="0"/>
    <x v="40"/>
    <m/>
    <m/>
    <s v="BillingSweep001"/>
    <s v="CHW - Ok"/>
    <s v="N/A"/>
    <m/>
    <s v="None"/>
    <m/>
    <m/>
    <n v="0"/>
    <n v="0"/>
    <m/>
    <m/>
    <n v="-18074.080000000002"/>
    <n v="18074.080000000002"/>
    <n v="0"/>
    <s v=""/>
    <n v="0"/>
    <n v="0"/>
    <n v="0"/>
    <n v="0"/>
    <n v="0"/>
    <n v="0"/>
    <n v="0"/>
    <n v="0"/>
    <n v="0"/>
    <n v="0"/>
    <n v="0"/>
    <n v="0"/>
    <n v="0"/>
    <m/>
    <n v="0"/>
    <m/>
    <n v="-18074.080000000002"/>
    <n v="18074.080000000002"/>
    <n v="0"/>
    <n v="0"/>
    <n v="0"/>
    <n v="0"/>
    <n v="0"/>
    <n v="0"/>
    <n v="0"/>
    <n v="0"/>
    <n v="0"/>
    <n v="0"/>
    <n v="0"/>
    <n v="-18074.080000000002"/>
    <n v="18074.080000000002"/>
    <n v="0"/>
    <n v="0"/>
    <n v="0"/>
    <n v="0"/>
    <n v="0"/>
    <n v="0"/>
    <n v="0"/>
    <n v="0"/>
    <n v="0"/>
    <n v="0"/>
    <n v="0"/>
  </r>
  <r>
    <x v="50"/>
    <x v="50"/>
    <s v="ERP"/>
    <x v="2"/>
    <x v="11"/>
    <s v="McGettigan, David"/>
    <x v="0"/>
    <x v="40"/>
    <m/>
    <m/>
    <s v="BillingSweep001"/>
    <s v="CHW - Ok"/>
    <s v="N/A"/>
    <m/>
    <s v="None"/>
    <m/>
    <m/>
    <n v="0"/>
    <n v="0"/>
    <m/>
    <m/>
    <n v="-6074.45"/>
    <n v="6074.45"/>
    <n v="0"/>
    <s v=""/>
    <n v="0"/>
    <n v="0"/>
    <n v="0"/>
    <n v="0"/>
    <n v="0"/>
    <n v="0"/>
    <n v="0"/>
    <n v="0"/>
    <n v="0"/>
    <n v="0"/>
    <n v="0"/>
    <n v="0"/>
    <n v="0"/>
    <m/>
    <n v="0"/>
    <m/>
    <n v="-6074.45"/>
    <n v="6074.45"/>
    <n v="0"/>
    <n v="0"/>
    <n v="0"/>
    <n v="0"/>
    <n v="0"/>
    <n v="0"/>
    <n v="0"/>
    <n v="0"/>
    <n v="0"/>
    <n v="0"/>
    <n v="0"/>
    <n v="-6074.45"/>
    <n v="6074.45"/>
    <n v="0"/>
    <n v="0"/>
    <n v="0"/>
    <n v="0"/>
    <n v="0"/>
    <n v="0"/>
    <n v="0"/>
    <n v="0"/>
    <n v="0"/>
    <n v="0"/>
    <n v="0"/>
  </r>
  <r>
    <x v="51"/>
    <x v="51"/>
    <s v="ERP"/>
    <x v="0"/>
    <x v="10"/>
    <s v="Maguire, Karla"/>
    <x v="0"/>
    <x v="40"/>
    <m/>
    <m/>
    <s v="BillingSweep002"/>
    <s v="CHW - Ok"/>
    <s v="N/A"/>
    <m/>
    <s v="None"/>
    <m/>
    <m/>
    <n v="0"/>
    <n v="0"/>
    <m/>
    <m/>
    <n v="-1922.23"/>
    <n v="1922.23"/>
    <n v="0"/>
    <s v=""/>
    <n v="0"/>
    <n v="0"/>
    <n v="0"/>
    <n v="0"/>
    <n v="0"/>
    <n v="0"/>
    <n v="0"/>
    <n v="0"/>
    <n v="0"/>
    <n v="0"/>
    <n v="0"/>
    <n v="0"/>
    <n v="0"/>
    <m/>
    <n v="0"/>
    <m/>
    <n v="-1922.23"/>
    <n v="1922.23"/>
    <n v="0"/>
    <n v="0"/>
    <n v="0"/>
    <n v="0"/>
    <n v="0"/>
    <n v="0"/>
    <n v="0"/>
    <n v="0"/>
    <n v="0"/>
    <n v="0"/>
    <n v="0"/>
    <n v="-1922.23"/>
    <n v="1922.23"/>
    <n v="0"/>
    <n v="0"/>
    <n v="0"/>
    <n v="0"/>
    <n v="0"/>
    <n v="0"/>
    <n v="0"/>
    <n v="0"/>
    <n v="0"/>
    <n v="0"/>
    <n v="0"/>
  </r>
  <r>
    <x v="52"/>
    <x v="52"/>
    <s v="ERP"/>
    <x v="2"/>
    <x v="11"/>
    <s v="McGettigan, David"/>
    <x v="0"/>
    <x v="40"/>
    <m/>
    <m/>
    <s v="BillingSweep002"/>
    <s v="CHW - Ok"/>
    <s v="N/A"/>
    <m/>
    <s v="None"/>
    <m/>
    <m/>
    <n v="0"/>
    <n v="0"/>
    <m/>
    <m/>
    <n v="-1978.48"/>
    <n v="1978.48"/>
    <n v="0"/>
    <s v=""/>
    <n v="0"/>
    <n v="0"/>
    <n v="0"/>
    <n v="0"/>
    <n v="0"/>
    <n v="0"/>
    <n v="0"/>
    <n v="0"/>
    <n v="0"/>
    <n v="0"/>
    <n v="0"/>
    <n v="0"/>
    <n v="0"/>
    <m/>
    <n v="0"/>
    <m/>
    <n v="-1978.48"/>
    <n v="1978.48"/>
    <n v="0"/>
    <n v="0"/>
    <n v="0"/>
    <n v="0"/>
    <n v="0"/>
    <n v="0"/>
    <n v="0"/>
    <n v="0"/>
    <n v="0"/>
    <n v="0"/>
    <n v="0"/>
    <n v="-1978.48"/>
    <n v="1978.48"/>
    <n v="0"/>
    <n v="0"/>
    <n v="0"/>
    <n v="0"/>
    <n v="0"/>
    <n v="0"/>
    <n v="0"/>
    <n v="0"/>
    <n v="0"/>
    <n v="0"/>
    <n v="0"/>
  </r>
  <r>
    <x v="53"/>
    <x v="53"/>
    <s v="ERP"/>
    <x v="1"/>
    <x v="12"/>
    <s v="DeHart, Lynn"/>
    <x v="3"/>
    <x v="40"/>
    <m/>
    <m/>
    <s v="BillingSweep005"/>
    <s v="CHW - Ok"/>
    <s v="N/A"/>
    <m/>
    <s v="None"/>
    <m/>
    <m/>
    <n v="0"/>
    <n v="904.37"/>
    <m/>
    <m/>
    <n v="904.37"/>
    <n v="0"/>
    <n v="0"/>
    <s v=""/>
    <n v="0"/>
    <n v="0"/>
    <n v="0"/>
    <n v="0"/>
    <n v="0"/>
    <n v="0"/>
    <n v="0"/>
    <n v="0"/>
    <n v="904.37"/>
    <n v="0"/>
    <n v="0"/>
    <n v="0"/>
    <n v="0"/>
    <m/>
    <n v="0"/>
    <m/>
    <n v="904.37"/>
    <n v="0"/>
    <n v="0"/>
    <n v="0"/>
    <n v="0"/>
    <n v="0"/>
    <n v="0"/>
    <n v="0"/>
    <n v="0"/>
    <n v="0"/>
    <n v="0"/>
    <n v="0"/>
    <n v="904.37"/>
    <n v="904.37"/>
    <n v="0"/>
    <n v="0"/>
    <n v="0"/>
    <n v="0"/>
    <n v="0"/>
    <n v="0"/>
    <n v="0"/>
    <n v="0"/>
    <n v="0"/>
    <n v="0"/>
    <n v="0"/>
    <n v="904.37"/>
  </r>
  <r>
    <x v="54"/>
    <x v="54"/>
    <s v="ERP"/>
    <x v="1"/>
    <x v="12"/>
    <s v="DeHart, Lynn"/>
    <x v="1"/>
    <x v="40"/>
    <m/>
    <m/>
    <s v="BillingSweep005"/>
    <s v="CHW - Ok"/>
    <s v="N/A"/>
    <m/>
    <s v="None"/>
    <m/>
    <m/>
    <n v="0"/>
    <n v="108.52"/>
    <m/>
    <m/>
    <n v="108.52"/>
    <n v="0"/>
    <n v="0"/>
    <s v=""/>
    <n v="0"/>
    <n v="0"/>
    <n v="0"/>
    <n v="0"/>
    <n v="0"/>
    <n v="0"/>
    <n v="0"/>
    <n v="0"/>
    <n v="108.52"/>
    <n v="0"/>
    <n v="0"/>
    <n v="0"/>
    <n v="0"/>
    <m/>
    <n v="0"/>
    <m/>
    <n v="108.52"/>
    <n v="0"/>
    <n v="0"/>
    <n v="0"/>
    <n v="0"/>
    <n v="0"/>
    <n v="0"/>
    <n v="0"/>
    <n v="0"/>
    <n v="0"/>
    <n v="0"/>
    <n v="0"/>
    <n v="108.52"/>
    <n v="108.52"/>
    <n v="0"/>
    <n v="0"/>
    <n v="0"/>
    <n v="0"/>
    <n v="0"/>
    <n v="0"/>
    <n v="0"/>
    <n v="0"/>
    <n v="0"/>
    <n v="0"/>
    <n v="0"/>
    <n v="108.52"/>
  </r>
  <r>
    <x v="55"/>
    <x v="55"/>
    <s v="ERP"/>
    <x v="1"/>
    <x v="12"/>
    <s v="DeHart, Lynn"/>
    <x v="0"/>
    <x v="40"/>
    <m/>
    <m/>
    <s v="BillingSweep005"/>
    <s v="CHW - Ok"/>
    <s v="N/A"/>
    <m/>
    <s v="None"/>
    <m/>
    <m/>
    <n v="0"/>
    <n v="0"/>
    <m/>
    <m/>
    <n v="-256.76"/>
    <n v="256.76"/>
    <n v="0"/>
    <n v="0"/>
    <n v="0"/>
    <n v="0"/>
    <n v="0"/>
    <n v="0"/>
    <n v="0"/>
    <n v="0"/>
    <n v="0"/>
    <n v="0"/>
    <n v="0"/>
    <n v="0"/>
    <n v="0"/>
    <n v="0"/>
    <n v="0"/>
    <m/>
    <n v="0"/>
    <m/>
    <n v="-256.76"/>
    <n v="256.76"/>
    <n v="0"/>
    <n v="0"/>
    <n v="0"/>
    <n v="0"/>
    <n v="0"/>
    <n v="0"/>
    <n v="0"/>
    <n v="0"/>
    <n v="0"/>
    <n v="0"/>
    <n v="0"/>
    <n v="-256.76"/>
    <n v="256.76"/>
    <n v="0"/>
    <n v="0"/>
    <n v="0"/>
    <n v="0"/>
    <n v="0"/>
    <n v="0"/>
    <n v="0"/>
    <n v="0"/>
    <n v="0"/>
    <n v="0"/>
    <n v="0"/>
  </r>
  <r>
    <x v="56"/>
    <x v="56"/>
    <s v="ERP"/>
    <x v="0"/>
    <x v="10"/>
    <s v="Maguire, Karla"/>
    <x v="3"/>
    <x v="40"/>
    <m/>
    <m/>
    <s v="BillingSweep005"/>
    <s v="CHW - Ok"/>
    <s v="N/A"/>
    <m/>
    <s v="None"/>
    <m/>
    <m/>
    <n v="0"/>
    <n v="-904.37"/>
    <m/>
    <m/>
    <m/>
    <n v="-904.37"/>
    <n v="0"/>
    <n v="0"/>
    <n v="0"/>
    <n v="0"/>
    <n v="0"/>
    <n v="0"/>
    <n v="0"/>
    <n v="0"/>
    <n v="0"/>
    <n v="0"/>
    <n v="-904.37"/>
    <n v="0"/>
    <n v="0"/>
    <n v="0"/>
    <n v="0"/>
    <m/>
    <n v="0"/>
    <m/>
    <m/>
    <n v="-904.37"/>
    <n v="0"/>
    <n v="0"/>
    <n v="0"/>
    <n v="0"/>
    <n v="0"/>
    <n v="0"/>
    <n v="0"/>
    <n v="0"/>
    <n v="0"/>
    <n v="0"/>
    <n v="-904.37"/>
    <m/>
    <n v="-904.37"/>
    <n v="0"/>
    <n v="0"/>
    <n v="0"/>
    <n v="0"/>
    <n v="0"/>
    <n v="0"/>
    <n v="0"/>
    <n v="0"/>
    <n v="0"/>
    <n v="0"/>
    <n v="-904.37"/>
  </r>
  <r>
    <x v="57"/>
    <x v="57"/>
    <s v="ERP"/>
    <x v="0"/>
    <x v="10"/>
    <s v="Maguire, Karla"/>
    <x v="1"/>
    <x v="40"/>
    <m/>
    <m/>
    <s v="BillingSweep005"/>
    <s v="CHW - Ok"/>
    <s v="N/A"/>
    <m/>
    <s v="None"/>
    <m/>
    <m/>
    <n v="0"/>
    <n v="-108.52"/>
    <m/>
    <m/>
    <m/>
    <n v="-108.52"/>
    <n v="0"/>
    <n v="0"/>
    <n v="0"/>
    <n v="0"/>
    <n v="0"/>
    <n v="0"/>
    <n v="0"/>
    <n v="0"/>
    <n v="0"/>
    <n v="0"/>
    <n v="-108.52"/>
    <n v="0"/>
    <n v="0"/>
    <n v="0"/>
    <n v="0"/>
    <m/>
    <n v="0"/>
    <m/>
    <m/>
    <n v="-108.52"/>
    <n v="0"/>
    <n v="0"/>
    <n v="0"/>
    <n v="0"/>
    <n v="0"/>
    <n v="0"/>
    <n v="0"/>
    <n v="0"/>
    <n v="0"/>
    <n v="0"/>
    <n v="-108.52"/>
    <m/>
    <n v="-108.52"/>
    <n v="0"/>
    <n v="0"/>
    <n v="0"/>
    <n v="0"/>
    <n v="0"/>
    <n v="0"/>
    <n v="0"/>
    <n v="0"/>
    <n v="0"/>
    <n v="0"/>
    <n v="-108.52"/>
  </r>
  <r>
    <x v="58"/>
    <x v="58"/>
    <s v="ERP"/>
    <x v="0"/>
    <x v="10"/>
    <s v="Maguire, Karla"/>
    <x v="0"/>
    <x v="40"/>
    <m/>
    <m/>
    <s v="BillingSweep006"/>
    <s v="CHW - Ok"/>
    <s v="N/A"/>
    <m/>
    <s v="None"/>
    <m/>
    <m/>
    <n v="0"/>
    <n v="0"/>
    <m/>
    <m/>
    <n v="-11.41"/>
    <n v="11.41"/>
    <n v="0"/>
    <n v="0"/>
    <n v="0"/>
    <n v="0"/>
    <n v="0"/>
    <n v="0"/>
    <n v="0"/>
    <n v="0"/>
    <n v="0"/>
    <n v="0"/>
    <n v="0"/>
    <n v="0"/>
    <n v="0"/>
    <n v="0"/>
    <n v="0"/>
    <m/>
    <n v="0"/>
    <m/>
    <n v="-11.41"/>
    <n v="11.41"/>
    <n v="0"/>
    <n v="0"/>
    <n v="0"/>
    <n v="0"/>
    <n v="0"/>
    <n v="0"/>
    <n v="0"/>
    <n v="0"/>
    <n v="0"/>
    <n v="0"/>
    <n v="0"/>
    <n v="-11.41"/>
    <n v="11.41"/>
    <n v="0"/>
    <n v="0"/>
    <n v="0"/>
    <n v="0"/>
    <n v="0"/>
    <n v="0"/>
    <n v="0"/>
    <n v="0"/>
    <n v="0"/>
    <n v="0"/>
    <n v="0"/>
  </r>
  <r>
    <x v="59"/>
    <x v="59"/>
    <s v="ERP"/>
    <x v="2"/>
    <x v="11"/>
    <s v="McGettigan, David"/>
    <x v="0"/>
    <x v="40"/>
    <m/>
    <m/>
    <s v="BillingSweep006"/>
    <s v="CHW - Ok"/>
    <s v="N/A"/>
    <m/>
    <s v="None"/>
    <m/>
    <m/>
    <n v="0"/>
    <n v="0"/>
    <m/>
    <m/>
    <m/>
    <m/>
    <n v="0"/>
    <n v="-184.67"/>
    <n v="0"/>
    <n v="0"/>
    <n v="0"/>
    <n v="0"/>
    <n v="0"/>
    <n v="0"/>
    <n v="0"/>
    <n v="0"/>
    <n v="-184.67"/>
    <n v="-184.67"/>
    <n v="0"/>
    <n v="0"/>
    <n v="-184.67"/>
    <m/>
    <n v="-184.67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0"/>
    <x v="60"/>
    <s v="ERP"/>
    <x v="0"/>
    <x v="10"/>
    <s v="Maguire, Karla"/>
    <x v="3"/>
    <x v="41"/>
    <m/>
    <m/>
    <s v="BillingSweep011"/>
    <s v="CHW - Ok"/>
    <s v="N/A"/>
    <m/>
    <s v="None"/>
    <m/>
    <m/>
    <n v="0"/>
    <n v="0"/>
    <m/>
    <m/>
    <m/>
    <m/>
    <n v="0"/>
    <n v="-12412.23"/>
    <n v="0"/>
    <n v="0"/>
    <n v="0"/>
    <n v="0"/>
    <n v="0"/>
    <n v="0"/>
    <n v="0"/>
    <n v="0"/>
    <n v="-12412.23"/>
    <n v="-12412.23"/>
    <n v="0"/>
    <n v="0"/>
    <n v="-12412.23"/>
    <m/>
    <n v="-12412.23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1"/>
    <x v="61"/>
    <s v="ERP"/>
    <x v="0"/>
    <x v="10"/>
    <s v="Maguire, Karla"/>
    <x v="1"/>
    <x v="41"/>
    <m/>
    <m/>
    <s v="BillingSweep011"/>
    <s v="CHW - Ok"/>
    <s v="N/A"/>
    <m/>
    <s v="None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2"/>
    <x v="62"/>
    <s v="ERP"/>
    <x v="2"/>
    <x v="11"/>
    <s v="McGettigan, David"/>
    <x v="3"/>
    <x v="41"/>
    <m/>
    <m/>
    <s v="BillingSweep011"/>
    <s v="CHW - Ok"/>
    <s v="N/A"/>
    <m/>
    <s v="None"/>
    <m/>
    <m/>
    <n v="0"/>
    <n v="0"/>
    <m/>
    <m/>
    <m/>
    <m/>
    <n v="0"/>
    <n v="-11818.05"/>
    <n v="0"/>
    <n v="0"/>
    <n v="0"/>
    <n v="0"/>
    <n v="0"/>
    <n v="0"/>
    <n v="0"/>
    <n v="0"/>
    <n v="-11818.05"/>
    <n v="-11818.05"/>
    <n v="0"/>
    <n v="0"/>
    <n v="-11818.05"/>
    <m/>
    <n v="-11818.05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3"/>
    <x v="63"/>
    <s v="ERP"/>
    <x v="2"/>
    <x v="11"/>
    <s v="McGettigan, David"/>
    <x v="1"/>
    <x v="41"/>
    <m/>
    <m/>
    <s v="BillingSweep011"/>
    <s v="CHW - Ok"/>
    <s v="N/A"/>
    <m/>
    <s v="None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4"/>
    <x v="64"/>
    <s v="ERP"/>
    <x v="0"/>
    <x v="10"/>
    <s v="Maguire, Karla"/>
    <x v="3"/>
    <x v="42"/>
    <m/>
    <m/>
    <s v="BillingSweep012"/>
    <m/>
    <s v="N/A"/>
    <m/>
    <s v="None"/>
    <m/>
    <m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65"/>
    <x v="65"/>
    <s v="ERP"/>
    <x v="0"/>
    <x v="10"/>
    <s v="Maguire, Karla"/>
    <x v="3"/>
    <x v="43"/>
    <m/>
    <m/>
    <s v="BillingSweep016"/>
    <s v="CHW - Ok"/>
    <s v="N/A"/>
    <m/>
    <s v="None"/>
    <m/>
    <m/>
    <n v="0"/>
    <n v="0"/>
    <m/>
    <m/>
    <m/>
    <n v="0"/>
    <n v="0"/>
    <n v="-3033.45"/>
    <n v="0"/>
    <n v="0"/>
    <n v="0"/>
    <n v="0"/>
    <n v="0"/>
    <n v="0"/>
    <n v="0"/>
    <n v="0"/>
    <n v="-3033.45"/>
    <n v="-3033.45"/>
    <n v="0"/>
    <n v="0"/>
    <n v="-3033.45"/>
    <m/>
    <n v="-3033.45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66"/>
    <x v="66"/>
    <s v="ERP"/>
    <x v="2"/>
    <x v="11"/>
    <s v="McGettigan, David"/>
    <x v="3"/>
    <x v="43"/>
    <m/>
    <m/>
    <s v="BillingSweep016"/>
    <s v="CHW - Ok"/>
    <s v="N/A"/>
    <m/>
    <s v="None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7"/>
    <x v="67"/>
    <s v="ERP"/>
    <x v="0"/>
    <x v="10"/>
    <s v="Maguire, Karla"/>
    <x v="3"/>
    <x v="44"/>
    <m/>
    <s v="2661893"/>
    <s v="BILLINGSWEEP017"/>
    <m/>
    <m/>
    <m/>
    <m/>
    <m/>
    <m/>
    <m/>
    <m/>
    <m/>
    <m/>
    <m/>
    <m/>
    <m/>
    <n v="-638.70000000000005"/>
    <n v="0"/>
    <m/>
    <m/>
    <m/>
    <m/>
    <m/>
    <m/>
    <m/>
    <n v="-638.70000000000005"/>
    <n v="-638.70000000000005"/>
    <m/>
    <n v="0"/>
    <n v="-638.70000000000005"/>
    <m/>
    <n v="-638.70000000000005"/>
    <m/>
    <m/>
    <m/>
    <m/>
    <m/>
    <m/>
    <m/>
    <m/>
    <m/>
    <m/>
    <m/>
    <m/>
    <m/>
    <m/>
    <m/>
    <m/>
    <m/>
    <m/>
    <m/>
    <m/>
    <m/>
    <m/>
    <m/>
    <m/>
    <m/>
    <m/>
    <m/>
  </r>
  <r>
    <x v="68"/>
    <x v="68"/>
    <s v="ERP"/>
    <x v="2"/>
    <x v="11"/>
    <s v="McGettigan, David"/>
    <x v="3"/>
    <x v="45"/>
    <m/>
    <m/>
    <s v="BillingSweep017"/>
    <m/>
    <s v="N/A"/>
    <m/>
    <s v="None"/>
    <m/>
    <m/>
    <n v="0"/>
    <n v="0"/>
    <m/>
    <m/>
    <m/>
    <m/>
    <n v="0"/>
    <n v="-1485.86"/>
    <n v="0"/>
    <n v="0"/>
    <n v="0"/>
    <n v="0"/>
    <n v="0"/>
    <n v="0"/>
    <n v="0"/>
    <n v="0"/>
    <n v="-1485.86"/>
    <n v="-1485.86"/>
    <n v="0"/>
    <n v="0"/>
    <n v="-1485.86"/>
    <m/>
    <n v="-1485.86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69"/>
    <x v="69"/>
    <s v="ERP"/>
    <x v="0"/>
    <x v="10"/>
    <s v="Maguire, Karla"/>
    <x v="3"/>
    <x v="46"/>
    <m/>
    <m/>
    <s v="BillingSweep019"/>
    <m/>
    <s v="N/A"/>
    <m/>
    <s v="None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x v="70"/>
    <x v="70"/>
    <s v="ERP"/>
    <x v="2"/>
    <x v="11"/>
    <s v="McGettigan, David"/>
    <x v="0"/>
    <x v="47"/>
    <m/>
    <s v="2635052"/>
    <s v="BILLINGSWEEP021"/>
    <m/>
    <m/>
    <m/>
    <m/>
    <m/>
    <m/>
    <m/>
    <m/>
    <m/>
    <m/>
    <m/>
    <m/>
    <m/>
    <n v="-451.1"/>
    <n v="0"/>
    <m/>
    <m/>
    <m/>
    <m/>
    <m/>
    <m/>
    <m/>
    <n v="-451.1"/>
    <n v="-451.1"/>
    <m/>
    <n v="0"/>
    <n v="-451.1"/>
    <m/>
    <n v="-451.1"/>
    <m/>
    <m/>
    <m/>
    <m/>
    <m/>
    <m/>
    <m/>
    <m/>
    <m/>
    <m/>
    <m/>
    <m/>
    <m/>
    <m/>
    <m/>
    <m/>
    <m/>
    <m/>
    <m/>
    <m/>
    <m/>
    <m/>
    <m/>
    <m/>
    <m/>
    <m/>
    <m/>
  </r>
  <r>
    <x v="71"/>
    <x v="71"/>
    <s v="ERP"/>
    <x v="0"/>
    <x v="10"/>
    <s v="Maguire, Karla"/>
    <x v="0"/>
    <x v="47"/>
    <m/>
    <s v="2661893"/>
    <s v="BILLINGSWEEP021"/>
    <m/>
    <m/>
    <m/>
    <m/>
    <m/>
    <m/>
    <m/>
    <m/>
    <m/>
    <m/>
    <m/>
    <m/>
    <m/>
    <n v="-41167.729999999996"/>
    <n v="0"/>
    <m/>
    <m/>
    <m/>
    <m/>
    <m/>
    <m/>
    <m/>
    <n v="-41167.729999999996"/>
    <n v="-41167.729999999996"/>
    <m/>
    <n v="0"/>
    <n v="-41167.729999999996"/>
    <m/>
    <n v="-41167.729999999996"/>
    <m/>
    <m/>
    <m/>
    <m/>
    <m/>
    <m/>
    <m/>
    <m/>
    <m/>
    <m/>
    <m/>
    <m/>
    <m/>
    <m/>
    <m/>
    <m/>
    <m/>
    <m/>
    <m/>
    <m/>
    <m/>
    <m/>
    <m/>
    <m/>
    <m/>
    <m/>
    <m/>
  </r>
  <r>
    <x v="72"/>
    <x v="72"/>
    <s v="ERP"/>
    <x v="0"/>
    <x v="10"/>
    <s v="Maguire, Karla"/>
    <x v="1"/>
    <x v="48"/>
    <m/>
    <m/>
    <s v="BillingSweep021"/>
    <s v="CHW - Ok"/>
    <s v="N/A"/>
    <m/>
    <s v="None"/>
    <m/>
    <m/>
    <n v="0"/>
    <n v="0"/>
    <m/>
    <m/>
    <m/>
    <n v="0"/>
    <n v="0"/>
    <n v="-10742.01"/>
    <n v="0"/>
    <n v="0"/>
    <n v="0"/>
    <n v="0"/>
    <n v="0"/>
    <n v="0"/>
    <n v="0"/>
    <n v="0"/>
    <n v="-10742.01"/>
    <n v="-10742.01"/>
    <n v="0"/>
    <n v="0"/>
    <n v="-10742.01"/>
    <m/>
    <n v="-10742.01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73"/>
    <x v="73"/>
    <s v="ERP"/>
    <x v="2"/>
    <x v="11"/>
    <s v="McGettigan, David"/>
    <x v="1"/>
    <x v="48"/>
    <m/>
    <m/>
    <s v="BillingSweep021"/>
    <s v="CHW - Ok"/>
    <s v="N/A"/>
    <m/>
    <s v="None"/>
    <m/>
    <m/>
    <n v="0"/>
    <n v="0"/>
    <m/>
    <m/>
    <m/>
    <n v="0"/>
    <n v="0"/>
    <n v="-5040.41"/>
    <n v="0"/>
    <n v="0"/>
    <n v="0"/>
    <n v="0"/>
    <n v="0"/>
    <n v="0"/>
    <n v="0"/>
    <n v="0"/>
    <n v="-5040.41"/>
    <n v="-5040.41"/>
    <n v="0"/>
    <n v="0"/>
    <n v="-5040.41"/>
    <m/>
    <n v="-5040.41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x v="74"/>
    <x v="74"/>
    <s v="ERP"/>
    <x v="0"/>
    <x v="0"/>
    <s v="Dougherty, Chris"/>
    <x v="3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16084.39"/>
    <n v="-16084.39"/>
    <n v="0"/>
    <m/>
    <n v="0"/>
    <m/>
    <m/>
    <m/>
    <m/>
    <n v="-16084.39"/>
    <n v="16084.39"/>
    <m/>
    <m/>
    <m/>
    <m/>
    <m/>
    <m/>
    <m/>
    <n v="0"/>
    <m/>
    <m/>
    <m/>
    <m/>
    <m/>
    <m/>
    <m/>
    <m/>
    <m/>
    <m/>
    <m/>
    <m/>
    <m/>
  </r>
  <r>
    <x v="75"/>
    <x v="75"/>
    <s v="ERP"/>
    <x v="2"/>
    <x v="11"/>
    <s v="McGettigan, David"/>
    <x v="3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13303.91"/>
    <n v="-13303.91"/>
    <n v="0"/>
    <m/>
    <n v="0"/>
    <m/>
    <m/>
    <m/>
    <m/>
    <n v="-13303.91"/>
    <n v="13303.91"/>
    <m/>
    <m/>
    <m/>
    <m/>
    <m/>
    <m/>
    <m/>
    <n v="0"/>
    <m/>
    <m/>
    <m/>
    <m/>
    <m/>
    <m/>
    <m/>
    <m/>
    <m/>
    <m/>
    <m/>
    <m/>
    <m/>
  </r>
  <r>
    <x v="76"/>
    <x v="76"/>
    <s v="ERP"/>
    <x v="0"/>
    <x v="0"/>
    <s v="Dougherty, Chris"/>
    <x v="1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9141.65"/>
    <n v="-9141.65"/>
    <n v="0"/>
    <m/>
    <n v="0"/>
    <m/>
    <m/>
    <m/>
    <m/>
    <n v="-9141.65"/>
    <n v="9141.65"/>
    <m/>
    <m/>
    <m/>
    <m/>
    <m/>
    <m/>
    <m/>
    <n v="0"/>
    <m/>
    <m/>
    <m/>
    <m/>
    <m/>
    <m/>
    <m/>
    <m/>
    <m/>
    <m/>
    <m/>
    <m/>
    <m/>
  </r>
  <r>
    <x v="77"/>
    <x v="77"/>
    <s v="ERP"/>
    <x v="2"/>
    <x v="11"/>
    <s v="McGettigan, David"/>
    <x v="1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5045.4799999999996"/>
    <n v="-5045.4799999999996"/>
    <n v="0"/>
    <m/>
    <n v="0"/>
    <m/>
    <m/>
    <m/>
    <m/>
    <n v="-5045.4799999999996"/>
    <n v="5045.4799999999996"/>
    <m/>
    <m/>
    <m/>
    <m/>
    <m/>
    <m/>
    <m/>
    <n v="0"/>
    <m/>
    <m/>
    <m/>
    <m/>
    <m/>
    <m/>
    <m/>
    <m/>
    <m/>
    <m/>
    <m/>
    <m/>
    <m/>
  </r>
  <r>
    <x v="78"/>
    <x v="78"/>
    <s v="ERP"/>
    <x v="0"/>
    <x v="0"/>
    <s v="Dougherty, Chris"/>
    <x v="0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84081.45"/>
    <n v="-84081.45"/>
    <n v="0"/>
    <m/>
    <n v="0"/>
    <m/>
    <m/>
    <m/>
    <m/>
    <n v="-84081.45"/>
    <n v="84081.45"/>
    <m/>
    <m/>
    <m/>
    <m/>
    <m/>
    <m/>
    <m/>
    <n v="0"/>
    <m/>
    <m/>
    <m/>
    <m/>
    <m/>
    <m/>
    <m/>
    <m/>
    <m/>
    <m/>
    <m/>
    <m/>
    <m/>
  </r>
  <r>
    <x v="79"/>
    <x v="79"/>
    <s v="ERP"/>
    <x v="2"/>
    <x v="11"/>
    <s v="McGettigan, David"/>
    <x v="0"/>
    <x v="49"/>
    <m/>
    <m/>
    <s v="BillSweepMisc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7671.84"/>
    <n v="-7671.84"/>
    <n v="0"/>
    <m/>
    <n v="0"/>
    <m/>
    <m/>
    <m/>
    <m/>
    <n v="-7671.84"/>
    <n v="7671.84"/>
    <m/>
    <m/>
    <m/>
    <m/>
    <m/>
    <m/>
    <m/>
    <n v="0"/>
    <m/>
    <m/>
    <m/>
    <m/>
    <m/>
    <m/>
    <m/>
    <m/>
    <m/>
    <m/>
    <m/>
    <m/>
    <m/>
  </r>
  <r>
    <x v="80"/>
    <x v="80"/>
    <s v="ERP"/>
    <x v="2"/>
    <x v="11"/>
    <s v="McGettigan, David"/>
    <x v="1"/>
    <x v="50"/>
    <m/>
    <s v="2329955"/>
    <s v="CC-BTF25001-02-EX"/>
    <m/>
    <m/>
    <m/>
    <m/>
    <m/>
    <m/>
    <m/>
    <m/>
    <m/>
    <m/>
    <m/>
    <m/>
    <m/>
    <n v="142.1"/>
    <n v="309.31"/>
    <m/>
    <m/>
    <m/>
    <m/>
    <m/>
    <m/>
    <m/>
    <n v="451.40999999999997"/>
    <n v="451.40999999999997"/>
    <m/>
    <n v="309.31"/>
    <n v="451.40999999999997"/>
    <m/>
    <n v="451.40999999999997"/>
    <m/>
    <m/>
    <m/>
    <m/>
    <m/>
    <m/>
    <m/>
    <m/>
    <m/>
    <m/>
    <m/>
    <m/>
    <m/>
    <m/>
    <m/>
    <m/>
    <m/>
    <m/>
    <m/>
    <m/>
    <m/>
    <m/>
    <m/>
    <m/>
    <m/>
    <m/>
    <m/>
  </r>
  <r>
    <x v="81"/>
    <x v="81"/>
    <s v="ERP"/>
    <x v="2"/>
    <x v="11"/>
    <s v="McGettigan, David"/>
    <x v="2"/>
    <x v="51"/>
    <m/>
    <s v="9501157002"/>
    <s v="CC-BTF25001-02-EX"/>
    <m/>
    <m/>
    <m/>
    <s v="Digital Funded Project"/>
    <m/>
    <m/>
    <n v="0"/>
    <n v="823483"/>
    <m/>
    <m/>
    <m/>
    <m/>
    <n v="110350.46"/>
    <n v="184516.84999999998"/>
    <n v="-60761.06"/>
    <n v="92590"/>
    <n v="70690"/>
    <n v="76090"/>
    <n v="110690"/>
    <n v="60690"/>
    <n v="76090"/>
    <n v="70690"/>
    <n v="791636.25"/>
    <n v="-31846.75"/>
    <n v="-28062.46"/>
    <n v="-32698.6"/>
    <n v="-31846.75"/>
    <m/>
    <n v="-31846.75"/>
    <m/>
    <m/>
    <m/>
    <n v="110350.46"/>
    <n v="183665"/>
    <n v="-28062.46"/>
    <n v="92590"/>
    <n v="70690"/>
    <n v="76090"/>
    <n v="110690"/>
    <n v="60690"/>
    <n v="76090"/>
    <n v="70690"/>
    <n v="823483"/>
    <m/>
    <m/>
    <n v="110350.46"/>
    <n v="95789"/>
    <n v="102589"/>
    <n v="121289"/>
    <n v="121389"/>
    <n v="101000"/>
    <n v="98422"/>
    <n v="129000"/>
    <n v="66600"/>
    <n v="63668"/>
    <n v="1010096.46"/>
  </r>
  <r>
    <x v="82"/>
    <x v="82"/>
    <s v="ERP"/>
    <x v="2"/>
    <x v="11"/>
    <s v="McGettigan, David"/>
    <x v="0"/>
    <x v="52"/>
    <m/>
    <s v="2329955"/>
    <s v="CE-BTF22001-02-EX"/>
    <m/>
    <m/>
    <m/>
    <m/>
    <m/>
    <m/>
    <m/>
    <m/>
    <m/>
    <m/>
    <m/>
    <m/>
    <m/>
    <m/>
    <n v="227"/>
    <m/>
    <m/>
    <m/>
    <m/>
    <m/>
    <m/>
    <m/>
    <n v="227"/>
    <n v="227"/>
    <m/>
    <n v="227"/>
    <n v="227"/>
    <m/>
    <n v="227"/>
    <m/>
    <m/>
    <m/>
    <m/>
    <m/>
    <m/>
    <m/>
    <m/>
    <m/>
    <m/>
    <m/>
    <m/>
    <m/>
    <m/>
    <m/>
    <m/>
    <m/>
    <m/>
    <m/>
    <m/>
    <m/>
    <m/>
    <m/>
    <m/>
    <m/>
    <m/>
    <m/>
  </r>
  <r>
    <x v="83"/>
    <x v="83"/>
    <s v="ERP"/>
    <x v="1"/>
    <x v="3"/>
    <s v="DeHart, Lynn"/>
    <x v="1"/>
    <x v="53"/>
    <m/>
    <m/>
    <s v="CE-BTF22001-02-EX"/>
    <s v="CHW - Ok"/>
    <m/>
    <m/>
    <s v="Digital Funded Project; 2023 Carry-over project"/>
    <m/>
    <m/>
    <n v="0"/>
    <n v="2263.3900000000003"/>
    <m/>
    <m/>
    <n v="1841.45"/>
    <n v="1719.99"/>
    <n v="-1298.05"/>
    <n v="1990.16"/>
    <n v="-2552.9100000000003"/>
    <n v="0"/>
    <n v="0"/>
    <n v="0"/>
    <n v="0"/>
    <n v="0"/>
    <n v="0"/>
    <n v="0"/>
    <n v="1700.6399999999999"/>
    <n v="-562.75000000000045"/>
    <n v="0"/>
    <n v="-2552.9100000000003"/>
    <n v="-562.75000000000045"/>
    <m/>
    <n v="-562.75000000000045"/>
    <m/>
    <n v="1841.45"/>
    <n v="1719.99"/>
    <n v="-1298.05"/>
    <n v="0"/>
    <n v="0"/>
    <n v="0"/>
    <n v="0"/>
    <n v="0"/>
    <n v="0"/>
    <n v="0"/>
    <n v="0"/>
    <n v="0"/>
    <n v="2263.3900000000003"/>
    <n v="1841.45"/>
    <n v="1719.99"/>
    <n v="-1298.05"/>
    <n v="0"/>
    <n v="0"/>
    <n v="0"/>
    <n v="0"/>
    <n v="0"/>
    <n v="0"/>
    <n v="0"/>
    <n v="0"/>
    <n v="0"/>
    <n v="2263.3900000000003"/>
  </r>
  <r>
    <x v="84"/>
    <x v="84"/>
    <s v="ERP"/>
    <x v="2"/>
    <x v="11"/>
    <s v="McGettigan, David"/>
    <x v="1"/>
    <x v="53"/>
    <m/>
    <m/>
    <s v="CE-BTF22001-02-EX"/>
    <s v="CHW - Ok"/>
    <m/>
    <m/>
    <s v="Digital Funded Project; 2023 Carry-over project"/>
    <m/>
    <m/>
    <n v="0"/>
    <n v="23735.440000000002"/>
    <m/>
    <m/>
    <m/>
    <m/>
    <n v="3561.44"/>
    <n v="0"/>
    <n v="6253.55"/>
    <n v="1990"/>
    <n v="1990"/>
    <n v="1990"/>
    <n v="1990"/>
    <n v="1990"/>
    <n v="1990"/>
    <n v="1990"/>
    <n v="23744.989999999998"/>
    <n v="9.5499999999956344"/>
    <n v="6244"/>
    <n v="9.5500000000001819"/>
    <n v="9.5499999999992724"/>
    <m/>
    <n v="9.5499999999956344"/>
    <m/>
    <m/>
    <m/>
    <n v="3561.44"/>
    <n v="0"/>
    <n v="6244"/>
    <n v="1990"/>
    <n v="1990"/>
    <n v="1990"/>
    <n v="1990"/>
    <n v="1990"/>
    <n v="1990"/>
    <n v="1990"/>
    <n v="23735.440000000002"/>
    <m/>
    <m/>
    <n v="3561.44"/>
    <n v="0"/>
    <n v="0"/>
    <n v="0"/>
    <n v="0"/>
    <n v="0"/>
    <n v="0"/>
    <n v="0"/>
    <n v="0"/>
    <n v="0"/>
    <n v="3561.44"/>
  </r>
  <r>
    <x v="85"/>
    <x v="85"/>
    <s v="ERP"/>
    <x v="2"/>
    <x v="11"/>
    <s v="McGettigan, David"/>
    <x v="2"/>
    <x v="53"/>
    <m/>
    <m/>
    <s v="CE-BTF22001-02-EX"/>
    <s v="CHW - Ok"/>
    <m/>
    <m/>
    <s v="Digital Funded Project; 2023 Carry-over project"/>
    <m/>
    <m/>
    <n v="1080865"/>
    <n v="1057129.56"/>
    <m/>
    <m/>
    <m/>
    <m/>
    <n v="250144.68"/>
    <n v="54863.060000000005"/>
    <n v="179345.82"/>
    <n v="98010"/>
    <n v="93010"/>
    <n v="93010"/>
    <n v="93010"/>
    <n v="93010"/>
    <n v="93010"/>
    <n v="85636"/>
    <n v="1133049.56"/>
    <n v="75920"/>
    <n v="103425.82"/>
    <n v="75920"/>
    <n v="75920"/>
    <m/>
    <n v="75920"/>
    <m/>
    <m/>
    <m/>
    <n v="250144.68"/>
    <n v="54863.060000000005"/>
    <n v="103425.82"/>
    <n v="98010"/>
    <n v="93010"/>
    <n v="93010"/>
    <n v="93010"/>
    <n v="93010"/>
    <n v="93010"/>
    <n v="85636"/>
    <n v="1057129.56"/>
    <m/>
    <m/>
    <n v="250144.68"/>
    <n v="100000"/>
    <n v="100000"/>
    <n v="101635"/>
    <n v="100000"/>
    <n v="100000"/>
    <n v="100000"/>
    <n v="100000"/>
    <n v="100000"/>
    <n v="80033"/>
    <n v="1131812.68"/>
  </r>
  <r>
    <x v="86"/>
    <x v="86"/>
    <s v="ERP"/>
    <x v="2"/>
    <x v="11"/>
    <s v="McGettigan, David"/>
    <x v="2"/>
    <x v="54"/>
    <m/>
    <m/>
    <s v="CE-BTF24000-02-EX"/>
    <m/>
    <m/>
    <m/>
    <s v="Digital Funded Project"/>
    <m/>
    <m/>
    <n v="270062"/>
    <n v="100070"/>
    <m/>
    <m/>
    <m/>
    <m/>
    <m/>
    <s v=""/>
    <n v="0"/>
    <n v="0"/>
    <n v="0"/>
    <n v="5000"/>
    <n v="24000"/>
    <n v="71070"/>
    <n v="0"/>
    <n v="0"/>
    <n v="100070"/>
    <n v="0"/>
    <n v="0"/>
    <n v="0"/>
    <n v="0"/>
    <m/>
    <n v="0"/>
    <m/>
    <m/>
    <m/>
    <m/>
    <n v="0"/>
    <n v="0"/>
    <n v="0"/>
    <n v="0"/>
    <n v="5000"/>
    <n v="24000"/>
    <n v="71070"/>
    <n v="0"/>
    <n v="0"/>
    <n v="100070"/>
    <m/>
    <m/>
    <m/>
    <m/>
    <n v="67296"/>
    <n v="67296"/>
    <n v="0"/>
    <n v="135470"/>
    <n v="0"/>
    <n v="0"/>
    <n v="0"/>
    <n v="0"/>
    <n v="270062"/>
  </r>
  <r>
    <x v="87"/>
    <x v="87"/>
    <s v="ERP"/>
    <x v="2"/>
    <x v="11"/>
    <s v="McGettigan, David"/>
    <x v="2"/>
    <x v="55"/>
    <m/>
    <m/>
    <s v="CE-BTF24002-02-EX"/>
    <m/>
    <m/>
    <m/>
    <s v="Digital Funded Project"/>
    <s v="4/28/26 CHW New add to tie-out 0223 to 0317 Planful Extracts"/>
    <m/>
    <n v="49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900"/>
    <n v="0"/>
    <n v="0"/>
    <n v="0"/>
    <n v="0"/>
    <n v="0"/>
    <n v="0"/>
    <n v="0"/>
    <n v="0"/>
    <n v="0"/>
    <n v="0"/>
    <n v="0"/>
    <n v="4900"/>
  </r>
  <r>
    <x v="88"/>
    <x v="88"/>
    <s v="ERP"/>
    <x v="2"/>
    <x v="11"/>
    <s v="McGettigan, David"/>
    <x v="1"/>
    <x v="56"/>
    <m/>
    <s v="2329955"/>
    <s v="CE-BTF24003-02-EX"/>
    <m/>
    <s v="9501054188"/>
    <m/>
    <m/>
    <m/>
    <m/>
    <m/>
    <m/>
    <m/>
    <m/>
    <m/>
    <m/>
    <m/>
    <m/>
    <n v="-10419.43"/>
    <m/>
    <m/>
    <m/>
    <m/>
    <m/>
    <m/>
    <m/>
    <n v="-10419.43"/>
    <n v="-10419.43"/>
    <m/>
    <n v="-10419.43"/>
    <n v="-10419.43"/>
    <m/>
    <n v="-10419.43"/>
    <m/>
    <m/>
    <m/>
    <m/>
    <m/>
    <m/>
    <m/>
    <m/>
    <m/>
    <m/>
    <m/>
    <m/>
    <m/>
    <m/>
    <m/>
    <m/>
    <m/>
    <m/>
    <m/>
    <m/>
    <m/>
    <m/>
    <m/>
    <m/>
    <m/>
    <m/>
    <m/>
  </r>
  <r>
    <x v="89"/>
    <x v="89"/>
    <s v="ERP"/>
    <x v="2"/>
    <x v="11"/>
    <s v="McGettigan, David"/>
    <x v="2"/>
    <x v="57"/>
    <m/>
    <m/>
    <s v="CE-BTF24003-02-EX"/>
    <m/>
    <m/>
    <m/>
    <s v="Digital Funded Project"/>
    <m/>
    <m/>
    <n v="96677"/>
    <n v="96677"/>
    <m/>
    <m/>
    <m/>
    <m/>
    <n v="-1032"/>
    <n v="0"/>
    <n v="0"/>
    <n v="100"/>
    <n v="100"/>
    <n v="250"/>
    <n v="76422"/>
    <n v="250"/>
    <n v="10290"/>
    <n v="10297"/>
    <n v="96677"/>
    <n v="0"/>
    <n v="0"/>
    <n v="0"/>
    <n v="0"/>
    <m/>
    <n v="0"/>
    <m/>
    <m/>
    <m/>
    <n v="-1032"/>
    <n v="0"/>
    <n v="0"/>
    <n v="100"/>
    <n v="100"/>
    <n v="250"/>
    <n v="76422"/>
    <n v="250"/>
    <n v="10290"/>
    <n v="10297"/>
    <n v="96677"/>
    <m/>
    <m/>
    <n v="-1032"/>
    <n v="-19688"/>
    <n v="25767"/>
    <n v="31112"/>
    <n v="0"/>
    <n v="10040"/>
    <n v="5023"/>
    <n v="0"/>
    <n v="0"/>
    <n v="0"/>
    <n v="51222"/>
  </r>
  <r>
    <x v="90"/>
    <x v="90"/>
    <s v="ERP"/>
    <x v="2"/>
    <x v="11"/>
    <s v="McGettigan, David"/>
    <x v="2"/>
    <x v="58"/>
    <m/>
    <m/>
    <s v="CE-BTF26000-02-EX"/>
    <m/>
    <m/>
    <m/>
    <s v="Digital Funded Project"/>
    <m/>
    <m/>
    <n v="49920"/>
    <n v="37752"/>
    <m/>
    <m/>
    <m/>
    <m/>
    <m/>
    <s v=""/>
    <n v="0"/>
    <n v="0"/>
    <n v="7550"/>
    <n v="9060"/>
    <n v="9060"/>
    <n v="0"/>
    <n v="6040"/>
    <n v="6042"/>
    <n v="37752"/>
    <n v="0"/>
    <n v="0"/>
    <n v="0"/>
    <n v="0"/>
    <m/>
    <n v="0"/>
    <m/>
    <m/>
    <m/>
    <m/>
    <n v="0"/>
    <n v="0"/>
    <n v="0"/>
    <n v="7550"/>
    <n v="9060"/>
    <n v="9060"/>
    <n v="0"/>
    <n v="6040"/>
    <n v="6042"/>
    <n v="37752"/>
    <m/>
    <m/>
    <m/>
    <n v="2500"/>
    <n v="2500"/>
    <n v="10050"/>
    <n v="17644"/>
    <n v="17644"/>
    <n v="8540"/>
    <n v="6042"/>
    <n v="0"/>
    <n v="-40000"/>
    <n v="24920"/>
  </r>
  <r>
    <x v="91"/>
    <x v="91"/>
    <s v="ERP"/>
    <x v="1"/>
    <x v="12"/>
    <s v="DeHart, Lynn"/>
    <x v="4"/>
    <x v="59"/>
    <m/>
    <m/>
    <s v="CE-BTS23000-02-EX-GR"/>
    <m/>
    <m/>
    <m/>
    <s v="Digital Funded Project"/>
    <m/>
    <m/>
    <n v="0"/>
    <n v="485.43"/>
    <m/>
    <m/>
    <m/>
    <m/>
    <n v="485.43"/>
    <s v=""/>
    <n v="0"/>
    <n v="0"/>
    <n v="0"/>
    <n v="0"/>
    <n v="0"/>
    <n v="0"/>
    <n v="0"/>
    <n v="0"/>
    <n v="485.43"/>
    <n v="0"/>
    <n v="0"/>
    <n v="0"/>
    <n v="0"/>
    <m/>
    <n v="0"/>
    <m/>
    <m/>
    <m/>
    <n v="485.43"/>
    <n v="0"/>
    <n v="0"/>
    <n v="0"/>
    <n v="0"/>
    <n v="0"/>
    <n v="0"/>
    <n v="0"/>
    <n v="0"/>
    <n v="0"/>
    <n v="485.43"/>
    <m/>
    <m/>
    <n v="485.43"/>
    <n v="0"/>
    <n v="0"/>
    <n v="0"/>
    <n v="0"/>
    <n v="0"/>
    <n v="0"/>
    <n v="0"/>
    <n v="0"/>
    <n v="0"/>
    <n v="485.43"/>
  </r>
  <r>
    <x v="92"/>
    <x v="92"/>
    <s v="ERP"/>
    <x v="1"/>
    <x v="12"/>
    <s v="DeHart, Lynn"/>
    <x v="0"/>
    <x v="60"/>
    <m/>
    <m/>
    <s v="ColleagueSolutions001"/>
    <s v="CHW - Ok"/>
    <s v="N/A"/>
    <m/>
    <s v="None"/>
    <m/>
    <m/>
    <n v="0"/>
    <n v="3227.2200000000003"/>
    <m/>
    <m/>
    <m/>
    <n v="1859.42"/>
    <n v="1367.8"/>
    <n v="0"/>
    <n v="682.06"/>
    <n v="0"/>
    <n v="0"/>
    <n v="0"/>
    <n v="0"/>
    <n v="0"/>
    <n v="0"/>
    <n v="0"/>
    <n v="3909.28"/>
    <n v="682.06"/>
    <n v="0"/>
    <n v="682.06"/>
    <n v="682.06"/>
    <m/>
    <n v="682.06"/>
    <m/>
    <m/>
    <n v="1859.42"/>
    <n v="1367.8"/>
    <n v="0"/>
    <n v="0"/>
    <n v="0"/>
    <n v="0"/>
    <n v="0"/>
    <n v="0"/>
    <n v="0"/>
    <n v="0"/>
    <n v="0"/>
    <n v="3227.2200000000003"/>
    <m/>
    <n v="1859.42"/>
    <n v="1367.8"/>
    <n v="0"/>
    <n v="0"/>
    <n v="0"/>
    <n v="0"/>
    <n v="0"/>
    <n v="0"/>
    <n v="0"/>
    <n v="0"/>
    <n v="0"/>
    <n v="3227.2200000000003"/>
  </r>
  <r>
    <x v="93"/>
    <x v="93"/>
    <s v="ERP"/>
    <x v="0"/>
    <x v="0"/>
    <s v="Maguire, Karla"/>
    <x v="0"/>
    <x v="60"/>
    <m/>
    <m/>
    <s v="ColleagueSolutions001"/>
    <s v="CHW - Ok"/>
    <s v="N/A"/>
    <m/>
    <s v="None"/>
    <m/>
    <m/>
    <n v="0"/>
    <n v="3777.33"/>
    <m/>
    <m/>
    <m/>
    <n v="3777.33"/>
    <n v="0"/>
    <n v="83.61"/>
    <n v="0"/>
    <n v="0"/>
    <n v="0"/>
    <n v="0"/>
    <n v="0"/>
    <n v="0"/>
    <n v="0"/>
    <n v="0"/>
    <n v="3860.94"/>
    <n v="83.610000000000127"/>
    <n v="0"/>
    <n v="0"/>
    <n v="83.610000000000127"/>
    <m/>
    <n v="83.610000000000127"/>
    <m/>
    <m/>
    <n v="3777.33"/>
    <n v="0"/>
    <n v="0"/>
    <n v="0"/>
    <n v="0"/>
    <n v="0"/>
    <n v="0"/>
    <n v="0"/>
    <n v="0"/>
    <n v="0"/>
    <n v="0"/>
    <n v="3777.33"/>
    <m/>
    <n v="3777.33"/>
    <n v="0"/>
    <n v="0"/>
    <n v="0"/>
    <n v="0"/>
    <n v="0"/>
    <n v="0"/>
    <n v="0"/>
    <n v="0"/>
    <n v="0"/>
    <n v="0"/>
    <n v="3777.33"/>
  </r>
  <r>
    <x v="94"/>
    <x v="94"/>
    <s v="ERP"/>
    <x v="1"/>
    <x v="5"/>
    <s v="DeHart, Lynn"/>
    <x v="0"/>
    <x v="60"/>
    <m/>
    <m/>
    <s v="ColleagueSolutions001"/>
    <s v="CHW - Ok"/>
    <s v="N/A"/>
    <m/>
    <s v="None"/>
    <m/>
    <m/>
    <n v="0"/>
    <n v="2288.52"/>
    <m/>
    <m/>
    <m/>
    <n v="2188.1999999999998"/>
    <n v="100.32"/>
    <n v="0"/>
    <n v="0"/>
    <n v="0"/>
    <n v="0"/>
    <n v="0"/>
    <n v="0"/>
    <n v="0"/>
    <n v="0"/>
    <n v="0"/>
    <n v="2288.52"/>
    <n v="0"/>
    <n v="0"/>
    <n v="0"/>
    <n v="0"/>
    <m/>
    <n v="0"/>
    <m/>
    <m/>
    <n v="2188.1999999999998"/>
    <n v="100.32"/>
    <n v="0"/>
    <n v="0"/>
    <n v="0"/>
    <n v="0"/>
    <n v="0"/>
    <n v="0"/>
    <n v="0"/>
    <n v="0"/>
    <n v="0"/>
    <n v="2288.52"/>
    <m/>
    <n v="2188.1999999999998"/>
    <n v="100.32"/>
    <n v="0"/>
    <n v="0"/>
    <n v="0"/>
    <n v="0"/>
    <n v="0"/>
    <n v="0"/>
    <n v="0"/>
    <n v="0"/>
    <n v="0"/>
    <n v="2288.52"/>
  </r>
  <r>
    <x v="95"/>
    <x v="95"/>
    <s v="ERP"/>
    <x v="1"/>
    <x v="3"/>
    <s v="DeHart, Lynn"/>
    <x v="0"/>
    <x v="60"/>
    <m/>
    <m/>
    <s v="ColleagueSolutions001"/>
    <s v="CHW - Ok"/>
    <s v="N/A"/>
    <m/>
    <s v="None"/>
    <m/>
    <m/>
    <n v="0"/>
    <n v="218.76"/>
    <m/>
    <m/>
    <m/>
    <n v="218.76"/>
    <n v="0"/>
    <n v="0"/>
    <n v="0"/>
    <n v="0"/>
    <n v="0"/>
    <n v="0"/>
    <n v="0"/>
    <n v="0"/>
    <n v="0"/>
    <n v="0"/>
    <n v="218.76"/>
    <n v="0"/>
    <n v="0"/>
    <n v="0"/>
    <n v="0"/>
    <m/>
    <n v="0"/>
    <m/>
    <m/>
    <n v="218.76"/>
    <n v="0"/>
    <n v="0"/>
    <n v="0"/>
    <n v="0"/>
    <n v="0"/>
    <n v="0"/>
    <n v="0"/>
    <n v="0"/>
    <n v="0"/>
    <n v="0"/>
    <n v="218.76"/>
    <m/>
    <n v="218.76"/>
    <n v="0"/>
    <n v="0"/>
    <n v="0"/>
    <n v="0"/>
    <n v="0"/>
    <n v="0"/>
    <n v="0"/>
    <n v="0"/>
    <n v="0"/>
    <n v="0"/>
    <n v="218.76"/>
  </r>
  <r>
    <x v="96"/>
    <x v="96"/>
    <s v="ERP"/>
    <x v="1"/>
    <x v="13"/>
    <s v="DeHart, Lynn"/>
    <x v="0"/>
    <x v="60"/>
    <m/>
    <m/>
    <s v="ColleagueSolutions001"/>
    <s v="CHW - Ok"/>
    <s v="N/A"/>
    <m/>
    <s v="None"/>
    <m/>
    <m/>
    <n v="0"/>
    <n v="431.03"/>
    <m/>
    <m/>
    <m/>
    <n v="431.03"/>
    <n v="0"/>
    <n v="0"/>
    <n v="0"/>
    <n v="0"/>
    <n v="0"/>
    <n v="0"/>
    <n v="0"/>
    <n v="0"/>
    <n v="0"/>
    <n v="0"/>
    <n v="431.03"/>
    <n v="0"/>
    <n v="0"/>
    <n v="0"/>
    <n v="0"/>
    <m/>
    <n v="0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x v="97"/>
    <x v="97"/>
    <s v="ERP"/>
    <x v="0"/>
    <x v="10"/>
    <s v="Maguire, Karla"/>
    <x v="2"/>
    <x v="60"/>
    <m/>
    <m/>
    <s v="ColleagueSolutions001"/>
    <s v="CHW - Ok"/>
    <s v="N/A"/>
    <m/>
    <s v="None"/>
    <m/>
    <m/>
    <n v="1214.4000000000003"/>
    <n v="910.80000000000018"/>
    <m/>
    <m/>
    <m/>
    <m/>
    <m/>
    <s v=""/>
    <n v="0"/>
    <n v="101.2"/>
    <n v="101.2"/>
    <n v="101.2"/>
    <n v="101.2"/>
    <n v="101.2"/>
    <n v="101.2"/>
    <n v="101.2"/>
    <n v="708.40000000000009"/>
    <n v="-202.40000000000009"/>
    <n v="101.2"/>
    <n v="-101.2"/>
    <n v="-202.4"/>
    <m/>
    <n v="-202.40000000000009"/>
    <m/>
    <m/>
    <m/>
    <m/>
    <n v="101.2"/>
    <n v="101.2"/>
    <n v="101.2"/>
    <n v="101.2"/>
    <n v="101.2"/>
    <n v="101.2"/>
    <n v="101.2"/>
    <n v="101.2"/>
    <n v="101.2"/>
    <n v="910.80000000000018"/>
    <m/>
    <m/>
    <m/>
    <n v="101.2"/>
    <n v="101.2"/>
    <n v="101.2"/>
    <n v="101.2"/>
    <n v="101.2"/>
    <n v="101.2"/>
    <n v="101.2"/>
    <n v="101.2"/>
    <n v="101.2"/>
    <n v="910.80000000000018"/>
  </r>
  <r>
    <x v="98"/>
    <x v="98"/>
    <s v="ERP"/>
    <x v="0"/>
    <x v="10"/>
    <s v="Maguire, Karla"/>
    <x v="0"/>
    <x v="60"/>
    <m/>
    <m/>
    <s v="ColleagueSolutions001"/>
    <s v="CHW - Ok"/>
    <s v="N/A"/>
    <m/>
    <s v="None"/>
    <m/>
    <m/>
    <n v="0"/>
    <n v="1742.3400000000001"/>
    <m/>
    <m/>
    <m/>
    <n v="984.48"/>
    <n v="757.86"/>
    <n v="0"/>
    <n v="0"/>
    <n v="0"/>
    <n v="0"/>
    <n v="0"/>
    <n v="0"/>
    <n v="0"/>
    <n v="0"/>
    <n v="0"/>
    <n v="1742.3400000000001"/>
    <n v="0"/>
    <n v="0"/>
    <n v="0"/>
    <n v="0"/>
    <m/>
    <n v="0"/>
    <m/>
    <m/>
    <n v="984.48"/>
    <n v="757.86"/>
    <n v="0"/>
    <n v="0"/>
    <n v="0"/>
    <n v="0"/>
    <n v="0"/>
    <n v="0"/>
    <n v="0"/>
    <n v="0"/>
    <n v="0"/>
    <n v="1742.3400000000001"/>
    <m/>
    <n v="984.48"/>
    <n v="757.86"/>
    <n v="0"/>
    <n v="0"/>
    <n v="0"/>
    <n v="0"/>
    <n v="0"/>
    <n v="0"/>
    <n v="0"/>
    <n v="0"/>
    <n v="0"/>
    <n v="1742.3400000000001"/>
  </r>
  <r>
    <x v="99"/>
    <x v="99"/>
    <s v="ERP"/>
    <x v="0"/>
    <x v="9"/>
    <s v="Maguire, Karla"/>
    <x v="2"/>
    <x v="60"/>
    <m/>
    <m/>
    <s v="ColleagueSolutions001"/>
    <s v="CHW - Ok"/>
    <s v="N/A"/>
    <m/>
    <s v="None"/>
    <m/>
    <m/>
    <n v="1800"/>
    <n v="3600"/>
    <m/>
    <m/>
    <m/>
    <m/>
    <m/>
    <s v=""/>
    <n v="0"/>
    <n v="1800"/>
    <n v="0"/>
    <n v="0"/>
    <n v="0"/>
    <n v="0"/>
    <n v="0"/>
    <n v="0"/>
    <n v="1800"/>
    <n v="-1800"/>
    <n v="0"/>
    <n v="0"/>
    <n v="-1800"/>
    <m/>
    <n v="-1800"/>
    <m/>
    <m/>
    <m/>
    <m/>
    <n v="1800"/>
    <n v="0"/>
    <n v="1800"/>
    <n v="0"/>
    <n v="0"/>
    <n v="0"/>
    <n v="0"/>
    <n v="0"/>
    <n v="0"/>
    <n v="3600"/>
    <m/>
    <m/>
    <m/>
    <n v="1800"/>
    <n v="0"/>
    <n v="1800"/>
    <n v="0"/>
    <n v="0"/>
    <n v="0"/>
    <n v="0"/>
    <n v="0"/>
    <n v="0"/>
    <n v="3600"/>
  </r>
  <r>
    <x v="100"/>
    <x v="100"/>
    <s v="ERP"/>
    <x v="0"/>
    <x v="9"/>
    <s v="Maguire, Karla"/>
    <x v="0"/>
    <x v="60"/>
    <m/>
    <m/>
    <s v="ColleagueSolutions001"/>
    <s v="CHW - Ok"/>
    <s v="N/A"/>
    <m/>
    <s v="None"/>
    <m/>
    <m/>
    <n v="0"/>
    <n v="1312.56"/>
    <m/>
    <m/>
    <m/>
    <n v="1312.56"/>
    <n v="0"/>
    <n v="0"/>
    <n v="0"/>
    <n v="0"/>
    <n v="0"/>
    <n v="0"/>
    <n v="0"/>
    <n v="0"/>
    <n v="0"/>
    <n v="0"/>
    <n v="1312.56"/>
    <n v="0"/>
    <n v="0"/>
    <n v="0"/>
    <n v="0"/>
    <m/>
    <n v="0"/>
    <m/>
    <m/>
    <n v="1312.56"/>
    <n v="0"/>
    <n v="0"/>
    <n v="0"/>
    <n v="0"/>
    <n v="0"/>
    <n v="0"/>
    <n v="0"/>
    <n v="0"/>
    <n v="0"/>
    <n v="0"/>
    <n v="1312.56"/>
    <m/>
    <n v="1312.56"/>
    <n v="0"/>
    <n v="0"/>
    <n v="0"/>
    <n v="0"/>
    <n v="0"/>
    <n v="0"/>
    <n v="0"/>
    <n v="0"/>
    <n v="0"/>
    <n v="0"/>
    <n v="1312.56"/>
  </r>
  <r>
    <x v="101"/>
    <x v="101"/>
    <s v="ERP"/>
    <x v="2"/>
    <x v="11"/>
    <s v="McGettigan, David"/>
    <x v="0"/>
    <x v="60"/>
    <m/>
    <m/>
    <s v="ColleagueSolutions001"/>
    <s v="CHW - Ok"/>
    <s v="N/A"/>
    <m/>
    <s v="None"/>
    <m/>
    <m/>
    <n v="0"/>
    <n v="257.52"/>
    <m/>
    <m/>
    <m/>
    <n v="257.52"/>
    <n v="0"/>
    <n v="0"/>
    <n v="0"/>
    <n v="0"/>
    <n v="0"/>
    <n v="0"/>
    <n v="0"/>
    <n v="0"/>
    <n v="0"/>
    <n v="0"/>
    <n v="257.52"/>
    <n v="0"/>
    <n v="0"/>
    <n v="0"/>
    <n v="0"/>
    <m/>
    <n v="0"/>
    <m/>
    <m/>
    <n v="257.52"/>
    <n v="0"/>
    <n v="0"/>
    <n v="0"/>
    <n v="0"/>
    <n v="0"/>
    <n v="0"/>
    <n v="0"/>
    <n v="0"/>
    <n v="0"/>
    <n v="0"/>
    <n v="257.52"/>
    <m/>
    <n v="257.52"/>
    <n v="0"/>
    <n v="0"/>
    <n v="0"/>
    <n v="0"/>
    <n v="0"/>
    <n v="0"/>
    <n v="0"/>
    <n v="0"/>
    <n v="0"/>
    <n v="0"/>
    <n v="257.52"/>
  </r>
  <r>
    <x v="102"/>
    <x v="102"/>
    <s v="ERP"/>
    <x v="3"/>
    <x v="14"/>
    <s v="Robertson, Jerome"/>
    <x v="0"/>
    <x v="60"/>
    <m/>
    <m/>
    <s v="ColleagueSolutions001"/>
    <s v="CHW - Ok"/>
    <s v="N/A"/>
    <m/>
    <s v="None"/>
    <m/>
    <m/>
    <n v="0"/>
    <n v="200.42"/>
    <m/>
    <m/>
    <m/>
    <m/>
    <n v="200.42"/>
    <n v="0"/>
    <n v="0"/>
    <n v="0"/>
    <n v="0"/>
    <n v="0"/>
    <n v="0"/>
    <n v="0"/>
    <n v="0"/>
    <n v="0"/>
    <n v="200.42"/>
    <n v="0"/>
    <n v="0"/>
    <n v="0"/>
    <n v="0"/>
    <m/>
    <n v="0"/>
    <m/>
    <m/>
    <m/>
    <n v="200.42"/>
    <n v="0"/>
    <n v="0"/>
    <n v="0"/>
    <n v="0"/>
    <n v="0"/>
    <n v="0"/>
    <n v="0"/>
    <n v="0"/>
    <n v="0"/>
    <n v="200.42"/>
    <m/>
    <m/>
    <n v="200.42"/>
    <n v="0"/>
    <n v="0"/>
    <n v="0"/>
    <n v="0"/>
    <n v="0"/>
    <n v="0"/>
    <n v="0"/>
    <n v="0"/>
    <n v="0"/>
    <n v="200.42"/>
  </r>
  <r>
    <x v="103"/>
    <x v="103"/>
    <s v="ERP"/>
    <x v="0"/>
    <x v="1"/>
    <s v="Maguire, Karla"/>
    <x v="0"/>
    <x v="60"/>
    <m/>
    <m/>
    <s v="ColleagueSolutions001"/>
    <s v="CHW - Ok"/>
    <s v="N/A"/>
    <m/>
    <s v="None"/>
    <m/>
    <m/>
    <n v="0"/>
    <n v="3879.27"/>
    <m/>
    <m/>
    <m/>
    <n v="3879.27"/>
    <n v="0"/>
    <n v="0"/>
    <n v="0"/>
    <n v="0"/>
    <n v="0"/>
    <n v="0"/>
    <n v="0"/>
    <n v="0"/>
    <n v="0"/>
    <n v="0"/>
    <n v="3879.27"/>
    <n v="0"/>
    <n v="0"/>
    <n v="0"/>
    <n v="0"/>
    <m/>
    <n v="0"/>
    <m/>
    <m/>
    <n v="3879.27"/>
    <n v="0"/>
    <n v="0"/>
    <n v="0"/>
    <n v="0"/>
    <n v="0"/>
    <n v="0"/>
    <n v="0"/>
    <n v="0"/>
    <n v="0"/>
    <n v="0"/>
    <n v="3879.27"/>
    <m/>
    <n v="3879.27"/>
    <n v="0"/>
    <n v="0"/>
    <n v="0"/>
    <n v="0"/>
    <n v="0"/>
    <n v="0"/>
    <n v="0"/>
    <n v="0"/>
    <n v="0"/>
    <n v="0"/>
    <n v="3879.27"/>
  </r>
  <r>
    <x v="104"/>
    <x v="104"/>
    <s v="ERP"/>
    <x v="1"/>
    <x v="2"/>
    <s v="DeHart, Lynn"/>
    <x v="0"/>
    <x v="60"/>
    <m/>
    <m/>
    <s v="ColleagueSolutions001"/>
    <s v="CHW - Ok"/>
    <s v="N/A"/>
    <m/>
    <s v="None"/>
    <m/>
    <m/>
    <n v="0"/>
    <n v="431.03"/>
    <m/>
    <m/>
    <m/>
    <n v="431.03"/>
    <n v="0"/>
    <n v="0"/>
    <n v="0"/>
    <n v="0"/>
    <n v="0"/>
    <n v="0"/>
    <n v="0"/>
    <n v="0"/>
    <n v="0"/>
    <n v="0"/>
    <n v="431.03"/>
    <n v="0"/>
    <n v="0"/>
    <n v="0"/>
    <n v="0"/>
    <m/>
    <n v="0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x v="105"/>
    <x v="105"/>
    <s v="ERP"/>
    <x v="1"/>
    <x v="3"/>
    <s v="DeHart, Lynn"/>
    <x v="2"/>
    <x v="60"/>
    <m/>
    <m/>
    <s v="ColleagueSolutions001"/>
    <s v="CHW - Ok"/>
    <s v="N/A"/>
    <m/>
    <s v="None"/>
    <s v="4/28/26 CHW New add to tie-out 0223 to 0317 Planful Extracts"/>
    <m/>
    <n v="437.3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437.38"/>
    <n v="0"/>
    <n v="0"/>
    <n v="0"/>
    <n v="0"/>
    <n v="0"/>
    <n v="0"/>
    <n v="0"/>
    <n v="0"/>
    <n v="0"/>
    <n v="0"/>
    <n v="437.38"/>
  </r>
  <r>
    <x v="106"/>
    <x v="106"/>
    <s v="ERP"/>
    <x v="1"/>
    <x v="12"/>
    <s v="DeHart, Lynn"/>
    <x v="5"/>
    <x v="61"/>
    <m/>
    <m/>
    <s v="CompBenefits001"/>
    <s v="CHW - Ok"/>
    <s v="N/A"/>
    <m/>
    <s v="None"/>
    <m/>
    <m/>
    <n v="6952243.9899999993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423409.35"/>
    <n v="937161.13"/>
    <n v="426573.21"/>
    <n v="561924.32999999996"/>
    <n v="560912.64000000001"/>
    <n v="576476.29"/>
    <n v="585831.80000000005"/>
    <n v="590499.77"/>
    <n v="590499.77"/>
    <n v="590499.77"/>
    <n v="592897.86"/>
    <n v="592897.86"/>
    <n v="7029583.7799999993"/>
  </r>
  <r>
    <x v="107"/>
    <x v="107"/>
    <s v="ERP"/>
    <x v="0"/>
    <x v="0"/>
    <s v="Maguire, Karla"/>
    <x v="5"/>
    <x v="61"/>
    <m/>
    <m/>
    <s v="CompBenefit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7678"/>
    <n v="267678"/>
    <n v="267678"/>
    <n v="0"/>
    <n v="0"/>
    <n v="0"/>
    <n v="0"/>
    <n v="0"/>
    <n v="0"/>
    <n v="0"/>
    <n v="0"/>
    <n v="0"/>
    <n v="803034"/>
  </r>
  <r>
    <x v="108"/>
    <x v="108"/>
    <s v="ERP"/>
    <x v="1"/>
    <x v="5"/>
    <s v="DeHart, Lynn"/>
    <x v="5"/>
    <x v="61"/>
    <m/>
    <m/>
    <s v="CompBenefit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835.35"/>
    <n v="2416.25"/>
    <n v="3735.66"/>
    <n v="0"/>
    <n v="0"/>
    <n v="0"/>
    <n v="0"/>
    <n v="0"/>
    <n v="0"/>
    <n v="0"/>
    <n v="0"/>
    <n v="0"/>
    <n v="9987.26"/>
  </r>
  <r>
    <x v="109"/>
    <x v="109"/>
    <s v="ERP"/>
    <x v="1"/>
    <x v="6"/>
    <s v="DeHart, Lynn"/>
    <x v="5"/>
    <x v="61"/>
    <m/>
    <m/>
    <s v="CompBenefit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989.38"/>
    <n v="2792.24"/>
    <n v="4195.3599999999997"/>
    <n v="0"/>
    <n v="0"/>
    <n v="0"/>
    <n v="0"/>
    <n v="0"/>
    <n v="0"/>
    <n v="0"/>
    <n v="0"/>
    <n v="0"/>
    <n v="8976.98"/>
  </r>
  <r>
    <x v="110"/>
    <x v="110"/>
    <s v="ERP"/>
    <x v="0"/>
    <x v="10"/>
    <s v="Maguire, Karla"/>
    <x v="5"/>
    <x v="61"/>
    <m/>
    <m/>
    <s v="CompBenefits001"/>
    <s v="CHW - Ok"/>
    <s v="N/A"/>
    <m/>
    <s v="None"/>
    <m/>
    <m/>
    <n v="3920122.6999999993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5760.76"/>
    <n v="93858.59"/>
    <n v="103661.36"/>
    <n v="322835.13"/>
    <n v="322835.13"/>
    <n v="322835.13"/>
    <n v="330985.75"/>
    <n v="330985.75"/>
    <n v="338079.72"/>
    <n v="338079.72"/>
    <n v="338079.72"/>
    <n v="338079.72"/>
    <n v="3276076.4799999995"/>
  </r>
  <r>
    <x v="111"/>
    <x v="111"/>
    <s v="ERP"/>
    <x v="2"/>
    <x v="11"/>
    <s v="McGettigan, David"/>
    <x v="5"/>
    <x v="61"/>
    <m/>
    <m/>
    <s v="CompBenefits001"/>
    <s v="CHW - Ok"/>
    <s v="N/A"/>
    <m/>
    <s v="None"/>
    <m/>
    <m/>
    <n v="330694.30999999988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2230.9"/>
    <n v="-4919.59"/>
    <n v="59978.67"/>
    <n v="20638.45"/>
    <n v="34028.449999999997"/>
    <n v="32963.75"/>
    <n v="22316.67"/>
    <n v="22316.67"/>
    <n v="22316.67"/>
    <n v="22316.67"/>
    <n v="22316.67"/>
    <n v="22316.67"/>
    <n v="368820.64999999991"/>
  </r>
  <r>
    <x v="112"/>
    <x v="112"/>
    <s v="ERP"/>
    <x v="3"/>
    <x v="14"/>
    <s v="Robertson, Jerome"/>
    <x v="5"/>
    <x v="61"/>
    <m/>
    <m/>
    <s v="CompBenefits001"/>
    <s v="CHW - Ok"/>
    <s v="N/A"/>
    <m/>
    <s v="None"/>
    <m/>
    <m/>
    <n v="763217.94999999984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60869.22"/>
    <n v="66348.7"/>
    <n v="65556.320000000007"/>
    <n v="66648.33"/>
    <n v="58804.22"/>
    <n v="58804.22"/>
    <n v="58804.22"/>
    <n v="66557.960000000006"/>
    <n v="66703.34"/>
    <n v="66703.34"/>
    <n v="66703.34"/>
    <n v="66703.34"/>
    <n v="769206.54999999993"/>
  </r>
  <r>
    <x v="113"/>
    <x v="113"/>
    <s v="ERP"/>
    <x v="2"/>
    <x v="11"/>
    <s v="McGettigan, David"/>
    <x v="5"/>
    <x v="62"/>
    <m/>
    <m/>
    <s v="CompBenefitsCar001"/>
    <m/>
    <s v="N/A"/>
    <m/>
    <s v="None"/>
    <m/>
    <m/>
    <n v="144000"/>
    <n v="108000"/>
    <m/>
    <m/>
    <m/>
    <m/>
    <m/>
    <s v=""/>
    <n v="0"/>
    <n v="12000"/>
    <n v="12000"/>
    <n v="12000"/>
    <n v="12000"/>
    <n v="12000"/>
    <n v="12000"/>
    <n v="12000"/>
    <n v="84000"/>
    <n v="-24000"/>
    <n v="12000"/>
    <n v="-12000"/>
    <n v="-24000"/>
    <m/>
    <n v="-24000"/>
    <m/>
    <m/>
    <m/>
    <m/>
    <n v="12000"/>
    <n v="12000"/>
    <n v="12000"/>
    <n v="12000"/>
    <n v="12000"/>
    <n v="12000"/>
    <n v="12000"/>
    <n v="12000"/>
    <n v="12000"/>
    <n v="108000"/>
    <m/>
    <m/>
    <m/>
    <n v="12000"/>
    <n v="12000"/>
    <n v="12000"/>
    <n v="12000"/>
    <n v="12000"/>
    <n v="12000"/>
    <n v="12000"/>
    <n v="12000"/>
    <n v="12000"/>
    <n v="108000"/>
  </r>
  <r>
    <x v="114"/>
    <x v="114"/>
    <s v="ERP"/>
    <x v="1"/>
    <x v="12"/>
    <s v="DeHart, Lynn"/>
    <x v="5"/>
    <x v="63"/>
    <m/>
    <m/>
    <s v="CompBonus001"/>
    <s v="CHW - Ok"/>
    <s v="N/A"/>
    <m/>
    <s v="None"/>
    <m/>
    <m/>
    <n v="2865793.42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195133.21"/>
    <n v="214325.71"/>
    <n v="291685.48"/>
    <n v="233173.12"/>
    <n v="232919.73"/>
    <n v="238777.23"/>
    <n v="240555.68"/>
    <n v="242084.56"/>
    <n v="242084.56"/>
    <n v="242084.56"/>
    <n v="242516.91"/>
    <n v="242516.91"/>
    <n v="2857857.66"/>
  </r>
  <r>
    <x v="115"/>
    <x v="115"/>
    <s v="ERP"/>
    <x v="0"/>
    <x v="0"/>
    <s v="Maguire, Karla"/>
    <x v="5"/>
    <x v="63"/>
    <m/>
    <m/>
    <s v="CompBonu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19429"/>
    <n v="107869"/>
    <n v="119891"/>
    <n v="0"/>
    <n v="0"/>
    <n v="0"/>
    <n v="0"/>
    <n v="0"/>
    <n v="0"/>
    <n v="0"/>
    <n v="0"/>
    <n v="0"/>
    <n v="347189"/>
  </r>
  <r>
    <x v="116"/>
    <x v="116"/>
    <s v="ERP"/>
    <x v="1"/>
    <x v="5"/>
    <s v="DeHart, Lynn"/>
    <x v="5"/>
    <x v="63"/>
    <m/>
    <m/>
    <s v="CompBonu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779.53"/>
    <n v="7255.22"/>
    <n v="5363.84"/>
    <n v="0"/>
    <n v="0"/>
    <n v="0"/>
    <n v="0"/>
    <n v="0"/>
    <n v="0"/>
    <n v="0"/>
    <n v="0"/>
    <n v="0"/>
    <n v="16398.59"/>
  </r>
  <r>
    <x v="117"/>
    <x v="117"/>
    <s v="ERP"/>
    <x v="1"/>
    <x v="6"/>
    <s v="DeHart, Lynn"/>
    <x v="5"/>
    <x v="63"/>
    <m/>
    <m/>
    <s v="CompBonu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51.11"/>
    <n v="1336.03"/>
    <n v="1800.7"/>
    <n v="0"/>
    <n v="0"/>
    <n v="0"/>
    <n v="0"/>
    <n v="0"/>
    <n v="0"/>
    <n v="0"/>
    <n v="0"/>
    <n v="0"/>
    <n v="5787.84"/>
  </r>
  <r>
    <x v="118"/>
    <x v="118"/>
    <s v="ERP"/>
    <x v="0"/>
    <x v="10"/>
    <s v="Maguire, Karla"/>
    <x v="5"/>
    <x v="63"/>
    <m/>
    <m/>
    <s v="CompBonus001"/>
    <s v="CHW - Ok"/>
    <s v="N/A"/>
    <m/>
    <s v="None"/>
    <m/>
    <m/>
    <n v="1729258.84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0770.12"/>
    <n v="51960.62"/>
    <n v="52695.87"/>
    <n v="142100.94"/>
    <n v="142100.94"/>
    <n v="142100.94"/>
    <n v="146019.5"/>
    <n v="146019.5"/>
    <n v="150075.81"/>
    <n v="150075.81"/>
    <n v="150075.81"/>
    <n v="150075.81"/>
    <n v="1474071.6700000002"/>
  </r>
  <r>
    <x v="119"/>
    <x v="119"/>
    <s v="ERP"/>
    <x v="2"/>
    <x v="11"/>
    <s v="McGettigan, David"/>
    <x v="5"/>
    <x v="63"/>
    <m/>
    <m/>
    <s v="CompBonus001"/>
    <s v="CHW - Ok"/>
    <s v="N/A"/>
    <m/>
    <s v="None"/>
    <m/>
    <m/>
    <n v="204823.02000000002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1562.58"/>
    <n v="27159.83"/>
    <n v="40975"/>
    <n v="11866.46"/>
    <n v="21522.71"/>
    <n v="20882.86"/>
    <n v="14484.38"/>
    <n v="14484.38"/>
    <n v="14484.38"/>
    <n v="14484.38"/>
    <n v="14484.38"/>
    <n v="14484.38"/>
    <n v="260875.72000000003"/>
  </r>
  <r>
    <x v="120"/>
    <x v="120"/>
    <s v="ERP"/>
    <x v="3"/>
    <x v="14"/>
    <s v="Robertson, Jerome"/>
    <x v="5"/>
    <x v="63"/>
    <m/>
    <m/>
    <s v="CompBonus001"/>
    <s v="CHW - Ok"/>
    <s v="N/A"/>
    <m/>
    <s v="None"/>
    <m/>
    <m/>
    <n v="355072.04000000004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27497.84"/>
    <n v="27805.69"/>
    <n v="37986.93"/>
    <n v="30575.919999999998"/>
    <n v="26871.200000000001"/>
    <n v="26871.200000000001"/>
    <n v="26871.200000000001"/>
    <n v="31487.49"/>
    <n v="31751.82"/>
    <n v="31751.82"/>
    <n v="31751.82"/>
    <n v="31751.82"/>
    <n v="362974.75"/>
  </r>
  <r>
    <x v="121"/>
    <x v="121"/>
    <s v="ERP"/>
    <x v="1"/>
    <x v="3"/>
    <s v="DeHart, Lynn"/>
    <x v="5"/>
    <x v="64"/>
    <m/>
    <m/>
    <s v="CompSalary001"/>
    <s v="CHW - Ok"/>
    <s v="N/A"/>
    <m/>
    <s v="None"/>
    <s v="4/23 SMO: AP05 has severance reversals"/>
    <m/>
    <n v="16484280.790000003"/>
    <n v="21816549.886619337"/>
    <m/>
    <m/>
    <n v="1733430.9899999991"/>
    <n v="2659121.5100000012"/>
    <n v="1591278.1799999983"/>
    <n v="2358182.7000000007"/>
    <n v="54442.760000000351"/>
    <n v="1790825.862228709"/>
    <n v="1785306.7237904386"/>
    <n v="1781851.6968221199"/>
    <n v="1807055.77390462"/>
    <n v="1862531.492714915"/>
    <n v="1871209.9824649149"/>
    <n v="1871209.9824649149"/>
    <n v="21166447.654390626"/>
    <n v="-650102.23222871125"/>
    <n v="657407.65222870966"/>
    <n v="-602964.8922287093"/>
    <n v="-650102.23222870938"/>
    <m/>
    <n v="-650102.23222871125"/>
    <m/>
    <n v="1733430.9899999991"/>
    <n v="2659121.5100000012"/>
    <n v="1591278.1799999983"/>
    <n v="2405320.04"/>
    <n v="657407.65222870966"/>
    <n v="1790825.862228709"/>
    <n v="1785306.7237904386"/>
    <n v="1781851.6968221199"/>
    <n v="1807055.77390462"/>
    <n v="1862531.492714915"/>
    <n v="1871209.9824649149"/>
    <n v="1871209.9824649149"/>
    <n v="21816549.886619337"/>
    <n v="1086387.3400000001"/>
    <n v="1551142.73"/>
    <n v="857806.14"/>
    <n v="1328752.27"/>
    <n v="1328097.83"/>
    <n v="1371182.86"/>
    <n v="1392643.5"/>
    <n v="1403661.35"/>
    <n v="1403661.35"/>
    <n v="1403661.35"/>
    <n v="1409426"/>
    <n v="1409426"/>
    <n v="15945848.720000001"/>
  </r>
  <r>
    <x v="122"/>
    <x v="122"/>
    <s v="ERP"/>
    <x v="0"/>
    <x v="0"/>
    <s v="Maguire, Karla"/>
    <x v="5"/>
    <x v="64"/>
    <m/>
    <m/>
    <s v="CompSalary001"/>
    <s v="CHW - Ok"/>
    <s v="N/A"/>
    <m/>
    <s v="None"/>
    <m/>
    <m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43457"/>
    <n v="643457"/>
    <n v="643457"/>
    <n v="0"/>
    <n v="0"/>
    <n v="0"/>
    <n v="0"/>
    <n v="0"/>
    <n v="0"/>
    <n v="0"/>
    <n v="0"/>
    <n v="0"/>
    <n v="1930371"/>
  </r>
  <r>
    <x v="123"/>
    <x v="123"/>
    <s v="ERP"/>
    <x v="1"/>
    <x v="5"/>
    <s v="DeHart, Lynn"/>
    <x v="5"/>
    <x v="64"/>
    <m/>
    <m/>
    <s v="CompSalary001"/>
    <s v="CHW - Ok"/>
    <s v="N/A"/>
    <m/>
    <s v="None"/>
    <m/>
    <m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685.48"/>
    <n v="-19872.71"/>
    <n v="7440.92"/>
    <n v="0"/>
    <n v="0"/>
    <n v="0"/>
    <n v="0"/>
    <n v="0"/>
    <n v="0"/>
    <n v="0"/>
    <n v="0"/>
    <n v="0"/>
    <n v="-5746.3099999999995"/>
  </r>
  <r>
    <x v="124"/>
    <x v="124"/>
    <s v="ERP"/>
    <x v="1"/>
    <x v="6"/>
    <s v="DeHart, Lynn"/>
    <x v="5"/>
    <x v="64"/>
    <m/>
    <m/>
    <s v="CompSalary001"/>
    <s v="CHW - Ok"/>
    <s v="N/A"/>
    <m/>
    <s v="None"/>
    <m/>
    <m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779.9"/>
    <n v="9779.8799999999992"/>
    <n v="9779.8799999999992"/>
    <n v="0"/>
    <n v="0"/>
    <n v="0"/>
    <n v="0"/>
    <n v="0"/>
    <n v="0"/>
    <n v="0"/>
    <n v="0"/>
    <n v="0"/>
    <n v="29339.659999999996"/>
  </r>
  <r>
    <x v="125"/>
    <x v="125"/>
    <s v="ERP"/>
    <x v="0"/>
    <x v="10"/>
    <s v="Maguire, Karla"/>
    <x v="5"/>
    <x v="64"/>
    <m/>
    <m/>
    <s v="CompSalary001"/>
    <s v="CHW - Ok"/>
    <s v="N/A"/>
    <m/>
    <s v="None"/>
    <m/>
    <m/>
    <n v="9831851.3300000001"/>
    <n v="15406112.624272117"/>
    <m/>
    <m/>
    <n v="1402914.3999999987"/>
    <n v="1397677.6399999992"/>
    <n v="1375284.8299999998"/>
    <n v="1433399.4699999997"/>
    <n v="1510809.23"/>
    <n v="1235426.0682136698"/>
    <n v="1208851.7277970032"/>
    <n v="1221091.4455470033"/>
    <n v="1194419.2817703367"/>
    <n v="1239489.2742341459"/>
    <n v="1239489.2742341459"/>
    <n v="1254635.0692481461"/>
    <n v="15713487.711044449"/>
    <n v="307375.08677233197"/>
    <n v="1250571.8632276698"/>
    <n v="260237.36677233013"/>
    <n v="307375.08677233197"/>
    <m/>
    <n v="307375.08677233197"/>
    <m/>
    <n v="1402914.3999999987"/>
    <n v="1397677.6399999992"/>
    <n v="1375284.8299999998"/>
    <n v="1386261.7499999984"/>
    <n v="1250571.8632276698"/>
    <n v="1235426.0682136698"/>
    <n v="1208851.7277970032"/>
    <n v="1221091.4455470033"/>
    <n v="1194419.2817703367"/>
    <n v="1239489.2742341459"/>
    <n v="1239489.2742341459"/>
    <n v="1254635.0692481461"/>
    <n v="15406112.624272117"/>
    <n v="270417.52"/>
    <n v="276999.43"/>
    <n v="232520.6"/>
    <n v="809656.43"/>
    <n v="809656.43"/>
    <n v="809656.43"/>
    <n v="829249.26"/>
    <n v="829249.26"/>
    <n v="854062.66"/>
    <n v="854062.66"/>
    <n v="854062.66"/>
    <n v="854062.66"/>
    <n v="8283656.0000000009"/>
  </r>
  <r>
    <x v="126"/>
    <x v="126"/>
    <s v="ERP"/>
    <x v="2"/>
    <x v="11"/>
    <s v="McGettigan, David"/>
    <x v="5"/>
    <x v="64"/>
    <m/>
    <m/>
    <s v="CompSalary001"/>
    <s v="CHW - Ok"/>
    <s v="N/A"/>
    <m/>
    <s v="None"/>
    <s v="5/3 SMO: AP05 has GPP ex-US credit"/>
    <m/>
    <n v="794938.1799999997"/>
    <n v="806177.41999999993"/>
    <m/>
    <m/>
    <n v="358290.86"/>
    <n v="-25689.760000000002"/>
    <n v="41090.669999999984"/>
    <n v="85849.400000000009"/>
    <n v="-59378.359999999986"/>
    <n v="55233.75"/>
    <n v="55233.75"/>
    <n v="55233.75"/>
    <n v="55233.75"/>
    <n v="55233.75"/>
    <n v="55233.75"/>
    <n v="55233.75"/>
    <n v="786799.06"/>
    <n v="-19378.35999999987"/>
    <n v="-40000"/>
    <n v="-19378.359999999986"/>
    <n v="-19378.359999999986"/>
    <m/>
    <n v="-19378.35999999987"/>
    <m/>
    <n v="358290.86"/>
    <n v="-25689.760000000002"/>
    <n v="41090.669999999984"/>
    <n v="85849.400000000009"/>
    <n v="-40000"/>
    <n v="55233.75"/>
    <n v="55233.75"/>
    <n v="55233.75"/>
    <n v="55233.75"/>
    <n v="55233.75"/>
    <n v="55233.75"/>
    <n v="55233.75"/>
    <n v="806177.41999999993"/>
    <n v="214497.38"/>
    <n v="-47930"/>
    <n v="-59863"/>
    <n v="49611.67"/>
    <n v="81799.17"/>
    <n v="79239.77"/>
    <n v="53645.83"/>
    <n v="53645.83"/>
    <n v="53645.83"/>
    <n v="53645.83"/>
    <n v="53645.83"/>
    <n v="53645.83"/>
    <n v="639229.97"/>
  </r>
  <r>
    <x v="127"/>
    <x v="127"/>
    <s v="ERP"/>
    <x v="3"/>
    <x v="14"/>
    <s v="Robertson, Jerome"/>
    <x v="5"/>
    <x v="64"/>
    <m/>
    <m/>
    <s v="CompSalary001"/>
    <s v="CHW - Ok"/>
    <s v="N/A"/>
    <m/>
    <s v="None"/>
    <m/>
    <m/>
    <n v="2029390.9400000004"/>
    <n v="3060870.8486933634"/>
    <m/>
    <m/>
    <n v="238474.06999999998"/>
    <n v="255306.30000000005"/>
    <n v="190399.43"/>
    <n v="293204.89"/>
    <n v="312206.57999999996"/>
    <n v="239240.83906981352"/>
    <n v="239240.83906981352"/>
    <n v="265188.32548648014"/>
    <n v="265188.32548648014"/>
    <n v="278462.33017032093"/>
    <n v="278462.33017032093"/>
    <n v="278462.33017032093"/>
    <n v="3133836.58962355"/>
    <n v="72965.740930186585"/>
    <n v="239240.83906981352"/>
    <n v="72965.740930186439"/>
    <n v="72965.740930186352"/>
    <m/>
    <n v="72965.740930186585"/>
    <m/>
    <n v="238474.06999999998"/>
    <n v="255306.30000000005"/>
    <n v="190399.43"/>
    <n v="293204.89"/>
    <n v="239240.83906981352"/>
    <n v="239240.83906981352"/>
    <n v="239240.83906981352"/>
    <n v="265188.32548648014"/>
    <n v="265188.32548648014"/>
    <n v="278462.33017032093"/>
    <n v="278462.33017032093"/>
    <n v="278462.33017032093"/>
    <n v="3060870.8486933634"/>
    <n v="150107.01"/>
    <n v="161151.91"/>
    <n v="86856.18"/>
    <n v="173603.4"/>
    <n v="155785.32"/>
    <n v="155785.32"/>
    <n v="155785.32"/>
    <n v="180905.4"/>
    <n v="182227.08"/>
    <n v="182227.08"/>
    <n v="182227.08"/>
    <n v="182227.08"/>
    <n v="1948888.1800000004"/>
  </r>
  <r>
    <x v="128"/>
    <x v="128"/>
    <s v="ERP"/>
    <x v="0"/>
    <x v="1"/>
    <s v="Tamavada, Ram"/>
    <x v="2"/>
    <x v="65"/>
    <s v="IBM"/>
    <s v="2339537"/>
    <s v="EnhanceChargeout001"/>
    <m/>
    <m/>
    <m/>
    <m/>
    <m/>
    <m/>
    <m/>
    <m/>
    <m/>
    <m/>
    <m/>
    <m/>
    <m/>
    <n v="24147"/>
    <n v="-46130"/>
    <m/>
    <m/>
    <m/>
    <m/>
    <m/>
    <m/>
    <m/>
    <n v="-21983"/>
    <n v="-21983"/>
    <m/>
    <n v="-46130"/>
    <n v="-21983"/>
    <m/>
    <n v="-21983"/>
    <m/>
    <m/>
    <m/>
    <m/>
    <m/>
    <m/>
    <m/>
    <m/>
    <m/>
    <m/>
    <m/>
    <m/>
    <m/>
    <m/>
    <m/>
    <m/>
    <m/>
    <m/>
    <m/>
    <m/>
    <m/>
    <m/>
    <m/>
    <m/>
    <m/>
    <m/>
    <m/>
  </r>
  <r>
    <x v="129"/>
    <x v="129"/>
    <s v="ERP"/>
    <x v="1"/>
    <x v="5"/>
    <s v="DeHart, Lynn"/>
    <x v="0"/>
    <x v="66"/>
    <m/>
    <s v="2340697"/>
    <s v="EnhanceChargeout001"/>
    <m/>
    <m/>
    <m/>
    <m/>
    <m/>
    <m/>
    <m/>
    <m/>
    <m/>
    <m/>
    <m/>
    <m/>
    <m/>
    <n v="90"/>
    <n v="0"/>
    <m/>
    <m/>
    <m/>
    <m/>
    <m/>
    <m/>
    <m/>
    <n v="90"/>
    <n v="90"/>
    <m/>
    <n v="0"/>
    <n v="90"/>
    <m/>
    <n v="90"/>
    <m/>
    <m/>
    <m/>
    <m/>
    <m/>
    <m/>
    <m/>
    <m/>
    <m/>
    <m/>
    <m/>
    <m/>
    <m/>
    <m/>
    <m/>
    <m/>
    <m/>
    <m/>
    <m/>
    <m/>
    <m/>
    <m/>
    <m/>
    <m/>
    <m/>
    <m/>
    <m/>
  </r>
  <r>
    <x v="130"/>
    <x v="130"/>
    <s v="ERP"/>
    <x v="1"/>
    <x v="6"/>
    <s v="Jajodia, Amit"/>
    <x v="0"/>
    <x v="67"/>
    <m/>
    <s v="2329901"/>
    <s v="EnhanceChargeout001"/>
    <m/>
    <m/>
    <m/>
    <m/>
    <m/>
    <m/>
    <m/>
    <m/>
    <m/>
    <m/>
    <m/>
    <m/>
    <m/>
    <m/>
    <n v="227"/>
    <m/>
    <m/>
    <m/>
    <m/>
    <m/>
    <m/>
    <m/>
    <n v="227"/>
    <n v="227"/>
    <m/>
    <n v="227"/>
    <n v="227"/>
    <m/>
    <n v="227"/>
    <m/>
    <m/>
    <m/>
    <m/>
    <m/>
    <m/>
    <m/>
    <m/>
    <m/>
    <m/>
    <m/>
    <m/>
    <m/>
    <m/>
    <m/>
    <m/>
    <m/>
    <m/>
    <m/>
    <m/>
    <m/>
    <m/>
    <m/>
    <m/>
    <m/>
    <m/>
    <m/>
  </r>
  <r>
    <x v="131"/>
    <x v="131"/>
    <s v="ERP"/>
    <x v="1"/>
    <x v="3"/>
    <s v="Hase, Raj"/>
    <x v="0"/>
    <x v="68"/>
    <m/>
    <m/>
    <s v="EnhanceChargeout001"/>
    <m/>
    <m/>
    <m/>
    <m/>
    <s v="5/17 CHW - Added Enhance Tie-out to match AP04 Actuals"/>
    <m/>
    <m/>
    <n v="0"/>
    <m/>
    <m/>
    <m/>
    <m/>
    <m/>
    <s v=""/>
    <n v="0"/>
    <m/>
    <m/>
    <m/>
    <m/>
    <m/>
    <m/>
    <m/>
    <n v="0"/>
    <n v="0"/>
    <n v="-180"/>
    <n v="180"/>
    <n v="0"/>
    <m/>
    <n v="0"/>
    <m/>
    <m/>
    <m/>
    <m/>
    <n v="180"/>
    <n v="-180"/>
    <m/>
    <m/>
    <m/>
    <m/>
    <m/>
    <m/>
    <m/>
    <n v="0"/>
    <m/>
    <m/>
    <m/>
    <m/>
    <m/>
    <m/>
    <m/>
    <m/>
    <m/>
    <m/>
    <m/>
    <m/>
    <m/>
  </r>
  <r>
    <x v="132"/>
    <x v="132"/>
    <s v="ERP"/>
    <x v="0"/>
    <x v="0"/>
    <s v="Maguire, Karla"/>
    <x v="2"/>
    <x v="69"/>
    <m/>
    <m/>
    <s v="EnhanceChargeout001"/>
    <s v="CHW - Ok ~9500"/>
    <m/>
    <m/>
    <s v="None"/>
    <m/>
    <m/>
    <n v="0"/>
    <n v="-51577"/>
    <m/>
    <m/>
    <n v="44340"/>
    <n v="-23011"/>
    <n v="-72906"/>
    <n v="9489"/>
    <n v="-2647"/>
    <n v="0"/>
    <n v="0"/>
    <n v="0"/>
    <n v="0"/>
    <n v="0"/>
    <n v="0"/>
    <n v="0"/>
    <n v="-44735"/>
    <n v="6842"/>
    <n v="0"/>
    <n v="-2647"/>
    <n v="6842"/>
    <m/>
    <n v="6842"/>
    <m/>
    <n v="44340"/>
    <n v="-23011"/>
    <n v="-72906"/>
    <n v="0"/>
    <n v="0"/>
    <n v="0"/>
    <n v="0"/>
    <n v="0"/>
    <n v="0"/>
    <n v="0"/>
    <n v="0"/>
    <n v="0"/>
    <n v="-51577"/>
    <n v="44340"/>
    <n v="-23011"/>
    <n v="-72906"/>
    <n v="0"/>
    <n v="0"/>
    <n v="0"/>
    <n v="0"/>
    <n v="0"/>
    <n v="0"/>
    <n v="0"/>
    <n v="0"/>
    <n v="0"/>
    <n v="-51577"/>
  </r>
  <r>
    <x v="133"/>
    <x v="133"/>
    <s v="ERP"/>
    <x v="0"/>
    <x v="0"/>
    <s v="Maguire, Karla"/>
    <x v="1"/>
    <x v="69"/>
    <m/>
    <m/>
    <s v="EnhanceChargeout001"/>
    <s v="CHW - F/U"/>
    <m/>
    <m/>
    <s v="None"/>
    <m/>
    <m/>
    <n v="0"/>
    <n v="2101"/>
    <m/>
    <m/>
    <n v="1821"/>
    <n v="140"/>
    <n v="140"/>
    <n v="139"/>
    <n v="2028.9999999999998"/>
    <n v="0"/>
    <n v="0"/>
    <n v="0"/>
    <n v="0"/>
    <n v="0"/>
    <n v="0"/>
    <n v="0"/>
    <n v="4269"/>
    <n v="2168"/>
    <n v="0"/>
    <n v="2028.9999999999998"/>
    <n v="2168"/>
    <m/>
    <n v="2168"/>
    <m/>
    <n v="1821"/>
    <n v="140"/>
    <n v="140"/>
    <n v="0"/>
    <n v="0"/>
    <n v="0"/>
    <n v="0"/>
    <n v="0"/>
    <n v="0"/>
    <n v="0"/>
    <n v="0"/>
    <n v="0"/>
    <n v="2101"/>
    <n v="1821"/>
    <n v="140"/>
    <n v="140"/>
    <n v="0"/>
    <n v="0"/>
    <n v="0"/>
    <n v="0"/>
    <n v="0"/>
    <n v="0"/>
    <n v="0"/>
    <n v="0"/>
    <n v="0"/>
    <n v="2101"/>
  </r>
  <r>
    <x v="134"/>
    <x v="134"/>
    <s v="ERP"/>
    <x v="1"/>
    <x v="5"/>
    <s v="DeHart, Lynn"/>
    <x v="2"/>
    <x v="69"/>
    <m/>
    <m/>
    <s v="EnhanceChargeout001"/>
    <s v="CHW - F/U"/>
    <m/>
    <m/>
    <s v="None"/>
    <s v="4/30 - CHW Team to F/U as thinks these should be reclassed elsewhere in AP05"/>
    <m/>
    <n v="0"/>
    <n v="130143"/>
    <m/>
    <m/>
    <n v="91657"/>
    <n v="-50311"/>
    <n v="88797"/>
    <n v="142812"/>
    <n v="-181452"/>
    <n v="0"/>
    <n v="0"/>
    <n v="0"/>
    <n v="0"/>
    <n v="0"/>
    <n v="0"/>
    <n v="0"/>
    <n v="91503"/>
    <n v="-38640"/>
    <n v="0"/>
    <n v="-181452"/>
    <n v="-38640"/>
    <m/>
    <n v="-38640"/>
    <s v="Needs to be investigated. "/>
    <n v="91657"/>
    <n v="-50311"/>
    <n v="88797"/>
    <n v="0"/>
    <n v="0"/>
    <n v="0"/>
    <n v="0"/>
    <n v="0"/>
    <n v="0"/>
    <n v="0"/>
    <n v="0"/>
    <n v="0"/>
    <n v="130143"/>
    <n v="91657"/>
    <n v="-50311"/>
    <n v="88797"/>
    <n v="0"/>
    <n v="0"/>
    <n v="0"/>
    <n v="0"/>
    <n v="0"/>
    <n v="0"/>
    <n v="0"/>
    <n v="0"/>
    <n v="0"/>
    <n v="130143"/>
  </r>
  <r>
    <x v="135"/>
    <x v="135"/>
    <s v="ERP"/>
    <x v="1"/>
    <x v="5"/>
    <s v="DeHart, Lynn"/>
    <x v="1"/>
    <x v="69"/>
    <m/>
    <m/>
    <s v="EnhanceChargeout001"/>
    <s v="CHW - F/U"/>
    <m/>
    <m/>
    <s v="None"/>
    <m/>
    <m/>
    <n v="0"/>
    <n v="387"/>
    <m/>
    <m/>
    <n v="129"/>
    <n v="129"/>
    <n v="129"/>
    <n v="129"/>
    <n v="129"/>
    <n v="0"/>
    <n v="0"/>
    <n v="0"/>
    <n v="0"/>
    <n v="0"/>
    <n v="0"/>
    <n v="0"/>
    <n v="645"/>
    <n v="258"/>
    <n v="0"/>
    <n v="129"/>
    <n v="258"/>
    <m/>
    <n v="258"/>
    <m/>
    <n v="129"/>
    <n v="129"/>
    <n v="129"/>
    <n v="0"/>
    <n v="0"/>
    <n v="0"/>
    <n v="0"/>
    <n v="0"/>
    <n v="0"/>
    <n v="0"/>
    <n v="0"/>
    <n v="0"/>
    <n v="387"/>
    <n v="129"/>
    <n v="129"/>
    <n v="129"/>
    <n v="0"/>
    <n v="0"/>
    <n v="0"/>
    <n v="0"/>
    <n v="0"/>
    <n v="0"/>
    <n v="0"/>
    <n v="0"/>
    <n v="0"/>
    <n v="387"/>
  </r>
  <r>
    <x v="136"/>
    <x v="136"/>
    <s v="ERP"/>
    <x v="1"/>
    <x v="3"/>
    <s v="DeHart, Lynn"/>
    <x v="2"/>
    <x v="69"/>
    <m/>
    <m/>
    <s v="EnhanceChargeout001"/>
    <s v="CHW - F/U"/>
    <m/>
    <m/>
    <s v="None"/>
    <m/>
    <m/>
    <n v="0"/>
    <n v="0"/>
    <m/>
    <m/>
    <n v="579568"/>
    <n v="-598991"/>
    <n v="-317436"/>
    <n v="577046"/>
    <n v="-397395"/>
    <n v="116859"/>
    <m/>
    <m/>
    <m/>
    <m/>
    <m/>
    <m/>
    <n v="-40349"/>
    <n v="-40349"/>
    <n v="110000"/>
    <n v="-507395"/>
    <n v="-40349"/>
    <m/>
    <n v="-40349"/>
    <m/>
    <n v="579568"/>
    <n v="-598991"/>
    <n v="-317436"/>
    <n v="110000"/>
    <n v="110000"/>
    <n v="116859"/>
    <m/>
    <m/>
    <m/>
    <m/>
    <m/>
    <m/>
    <n v="0"/>
    <n v="579568"/>
    <n v="-598991"/>
    <n v="-317436"/>
    <n v="0"/>
    <n v="0"/>
    <n v="0"/>
    <n v="0"/>
    <n v="0"/>
    <n v="0"/>
    <n v="0"/>
    <n v="0"/>
    <n v="0"/>
    <n v="-336859"/>
  </r>
  <r>
    <x v="137"/>
    <x v="137"/>
    <s v="ERP"/>
    <x v="1"/>
    <x v="3"/>
    <s v="DeHart, Lynn"/>
    <x v="1"/>
    <x v="69"/>
    <m/>
    <m/>
    <s v="EnhanceChargeout001"/>
    <s v="CHW - F/U"/>
    <m/>
    <m/>
    <s v="None"/>
    <m/>
    <m/>
    <n v="0"/>
    <n v="0"/>
    <m/>
    <m/>
    <m/>
    <m/>
    <n v="7840"/>
    <n v="4772"/>
    <n v="4772"/>
    <n v="-2840"/>
    <n v="0"/>
    <n v="0"/>
    <n v="0"/>
    <n v="0"/>
    <n v="0"/>
    <n v="0"/>
    <n v="14544"/>
    <n v="14544"/>
    <n v="-2500"/>
    <n v="7272"/>
    <n v="14544"/>
    <m/>
    <n v="14544"/>
    <m/>
    <m/>
    <m/>
    <n v="7840"/>
    <n v="-2500"/>
    <n v="-2500"/>
    <n v="-2840"/>
    <n v="0"/>
    <n v="0"/>
    <n v="0"/>
    <n v="0"/>
    <n v="0"/>
    <n v="0"/>
    <n v="0"/>
    <m/>
    <m/>
    <n v="7840"/>
    <n v="0"/>
    <n v="0"/>
    <n v="0"/>
    <n v="0"/>
    <n v="0"/>
    <n v="0"/>
    <n v="0"/>
    <n v="0"/>
    <n v="0"/>
    <n v="7840"/>
  </r>
  <r>
    <x v="138"/>
    <x v="138"/>
    <s v="ERP"/>
    <x v="1"/>
    <x v="6"/>
    <s v="DeHart, Lynn"/>
    <x v="2"/>
    <x v="69"/>
    <m/>
    <m/>
    <s v="EnhanceChargeout001"/>
    <s v="CHW - F/U"/>
    <m/>
    <m/>
    <s v="None"/>
    <m/>
    <m/>
    <n v="0"/>
    <n v="-29144"/>
    <m/>
    <m/>
    <n v="101571"/>
    <n v="-210932"/>
    <n v="80217"/>
    <n v="105632.00000000001"/>
    <n v="-36244"/>
    <n v="0"/>
    <n v="0"/>
    <n v="0"/>
    <n v="0"/>
    <n v="0"/>
    <n v="0"/>
    <n v="0"/>
    <n v="40244.000000000015"/>
    <n v="69388.000000000015"/>
    <n v="0"/>
    <n v="-36244"/>
    <n v="69388.000000000015"/>
    <m/>
    <n v="69388.000000000015"/>
    <m/>
    <n v="101571"/>
    <n v="-210932"/>
    <n v="80217"/>
    <n v="0"/>
    <n v="0"/>
    <n v="0"/>
    <n v="0"/>
    <n v="0"/>
    <n v="0"/>
    <n v="0"/>
    <n v="0"/>
    <n v="0"/>
    <n v="-29144"/>
    <n v="101571"/>
    <n v="-210932"/>
    <n v="80217"/>
    <n v="0"/>
    <n v="0"/>
    <n v="0"/>
    <n v="0"/>
    <n v="0"/>
    <n v="0"/>
    <n v="0"/>
    <n v="0"/>
    <n v="0"/>
    <n v="-29144"/>
  </r>
  <r>
    <x v="139"/>
    <x v="139"/>
    <s v="ERP"/>
    <x v="1"/>
    <x v="6"/>
    <s v="DeHart, Lynn"/>
    <x v="1"/>
    <x v="69"/>
    <m/>
    <m/>
    <s v="EnhanceChargeout001"/>
    <s v="CHW - F/U"/>
    <m/>
    <m/>
    <s v="None"/>
    <m/>
    <m/>
    <n v="0"/>
    <n v="1177"/>
    <m/>
    <m/>
    <n v="-14023"/>
    <n v="60"/>
    <n v="15140"/>
    <n v="60"/>
    <n v="60"/>
    <n v="0"/>
    <n v="0"/>
    <n v="0"/>
    <n v="0"/>
    <n v="0"/>
    <n v="0"/>
    <n v="0"/>
    <n v="1297"/>
    <n v="120"/>
    <n v="0"/>
    <n v="60"/>
    <n v="120"/>
    <m/>
    <n v="120"/>
    <m/>
    <n v="-14023"/>
    <n v="60"/>
    <n v="15140"/>
    <n v="0"/>
    <n v="0"/>
    <n v="0"/>
    <n v="0"/>
    <n v="0"/>
    <n v="0"/>
    <n v="0"/>
    <n v="0"/>
    <n v="0"/>
    <n v="1177"/>
    <n v="-14023"/>
    <n v="60"/>
    <n v="15140"/>
    <n v="0"/>
    <n v="0"/>
    <n v="0"/>
    <n v="0"/>
    <n v="0"/>
    <n v="0"/>
    <n v="0"/>
    <n v="0"/>
    <n v="0"/>
    <n v="1177"/>
  </r>
  <r>
    <x v="140"/>
    <x v="140"/>
    <s v="ERP"/>
    <x v="0"/>
    <x v="9"/>
    <s v="Maguire, Karla"/>
    <x v="2"/>
    <x v="69"/>
    <m/>
    <m/>
    <s v="EnhanceChargeout001"/>
    <s v="CHW - F/U"/>
    <m/>
    <m/>
    <s v="None"/>
    <m/>
    <m/>
    <n v="-694940"/>
    <n v="-587120.73"/>
    <m/>
    <m/>
    <m/>
    <n v="-20640.86"/>
    <n v="-10639.87"/>
    <n v="148175"/>
    <n v="-155623.00000000006"/>
    <n v="-43800"/>
    <n v="-75000"/>
    <n v="-75000"/>
    <n v="-75000"/>
    <n v="-75000"/>
    <n v="-75000"/>
    <n v="-75000"/>
    <n v="-532528.7300000001"/>
    <n v="54591.999999999884"/>
    <n v="-6440"/>
    <n v="-149183.00000000006"/>
    <n v="54591.999999999942"/>
    <m/>
    <n v="54591.999999999884"/>
    <m/>
    <m/>
    <n v="-20640.86"/>
    <n v="-10639.87"/>
    <n v="-55600"/>
    <n v="-6440"/>
    <n v="-43800"/>
    <n v="-75000"/>
    <n v="-75000"/>
    <n v="-75000"/>
    <n v="-75000"/>
    <n v="-75000"/>
    <n v="-75000"/>
    <n v="-587120.73"/>
    <m/>
    <n v="-20640.86"/>
    <n v="-10639.87"/>
    <n v="-54600"/>
    <n v="-50000"/>
    <n v="-33840"/>
    <n v="-75000"/>
    <n v="-75000"/>
    <n v="-75000"/>
    <n v="-75000"/>
    <n v="-75000"/>
    <n v="-75000"/>
    <n v="-619720.73"/>
  </r>
  <r>
    <x v="141"/>
    <x v="141"/>
    <s v="ERP"/>
    <x v="0"/>
    <x v="8"/>
    <s v="Maguire, Karla"/>
    <x v="2"/>
    <x v="69"/>
    <m/>
    <m/>
    <s v="EnhanceChargeout001"/>
    <s v="CHW - F/U"/>
    <m/>
    <m/>
    <s v="None"/>
    <m/>
    <m/>
    <n v="0"/>
    <n v="-1440"/>
    <m/>
    <m/>
    <m/>
    <n v="-1440"/>
    <n v="0"/>
    <n v="0"/>
    <n v="0"/>
    <n v="0"/>
    <n v="0"/>
    <n v="0"/>
    <n v="0"/>
    <n v="0"/>
    <n v="0"/>
    <n v="0"/>
    <n v="-1440"/>
    <n v="0"/>
    <n v="0"/>
    <n v="0"/>
    <n v="0"/>
    <m/>
    <n v="0"/>
    <m/>
    <m/>
    <n v="-1440"/>
    <n v="0"/>
    <n v="0"/>
    <n v="0"/>
    <n v="0"/>
    <n v="0"/>
    <n v="0"/>
    <n v="0"/>
    <n v="0"/>
    <n v="0"/>
    <n v="0"/>
    <n v="-1440"/>
    <m/>
    <n v="-1440"/>
    <n v="0"/>
    <n v="0"/>
    <n v="0"/>
    <n v="0"/>
    <n v="0"/>
    <n v="0"/>
    <n v="0"/>
    <n v="0"/>
    <n v="0"/>
    <n v="0"/>
    <n v="-1440"/>
  </r>
  <r>
    <x v="142"/>
    <x v="142"/>
    <s v="ERP"/>
    <x v="0"/>
    <x v="15"/>
    <s v="Maguire, Karla"/>
    <x v="2"/>
    <x v="69"/>
    <m/>
    <m/>
    <s v="EnhanceChargeout001"/>
    <s v="CHW - F/U"/>
    <m/>
    <m/>
    <s v="None"/>
    <m/>
    <m/>
    <n v="0"/>
    <n v="-68766"/>
    <m/>
    <m/>
    <m/>
    <n v="-57216"/>
    <n v="-11550"/>
    <s v=""/>
    <n v="0"/>
    <n v="0"/>
    <n v="0"/>
    <n v="0"/>
    <n v="0"/>
    <n v="0"/>
    <n v="0"/>
    <n v="0"/>
    <n v="-68766"/>
    <n v="0"/>
    <n v="0"/>
    <n v="0"/>
    <n v="0"/>
    <m/>
    <n v="0"/>
    <m/>
    <m/>
    <n v="-57216"/>
    <n v="-11550"/>
    <n v="0"/>
    <n v="0"/>
    <n v="0"/>
    <n v="0"/>
    <n v="0"/>
    <n v="0"/>
    <n v="0"/>
    <n v="0"/>
    <n v="0"/>
    <n v="-68766"/>
    <m/>
    <n v="-57216"/>
    <n v="-11550"/>
    <n v="0"/>
    <n v="0"/>
    <n v="0"/>
    <n v="0"/>
    <n v="0"/>
    <n v="0"/>
    <n v="0"/>
    <n v="0"/>
    <n v="0"/>
    <n v="-68766"/>
  </r>
  <r>
    <x v="143"/>
    <x v="143"/>
    <s v="ERP"/>
    <x v="0"/>
    <x v="15"/>
    <s v="Maguire, Karla"/>
    <x v="0"/>
    <x v="69"/>
    <m/>
    <m/>
    <s v="EnhanceChargeout001"/>
    <s v="CHW - F/U"/>
    <s v="N/A"/>
    <m/>
    <s v="None"/>
    <m/>
    <m/>
    <n v="0"/>
    <n v="227"/>
    <m/>
    <m/>
    <m/>
    <n v="227"/>
    <n v="0"/>
    <s v="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x v="144"/>
    <x v="144"/>
    <s v="ERP"/>
    <x v="3"/>
    <x v="14"/>
    <s v="Robertson, Jerome"/>
    <x v="2"/>
    <x v="69"/>
    <m/>
    <m/>
    <s v="EnhanceChargeout001"/>
    <s v="CHW - F/U"/>
    <m/>
    <m/>
    <s v="None"/>
    <s v="4/28 - (JAR) updated to $0 since factory contract has been terminated no scheduled chargebacks are expected. "/>
    <m/>
    <n v="-99996"/>
    <n v="-82720"/>
    <m/>
    <m/>
    <m/>
    <n v="-54900"/>
    <n v="-27820"/>
    <n v="28331"/>
    <n v="34717"/>
    <n v="0"/>
    <n v="0"/>
    <n v="0"/>
    <n v="0"/>
    <n v="0"/>
    <n v="0"/>
    <n v="0"/>
    <n v="-19672"/>
    <n v="63048"/>
    <n v="0"/>
    <n v="34717"/>
    <n v="63048"/>
    <m/>
    <n v="63048"/>
    <m/>
    <m/>
    <n v="-54900"/>
    <n v="-27820"/>
    <n v="0"/>
    <n v="0"/>
    <n v="0"/>
    <n v="0"/>
    <n v="0"/>
    <n v="0"/>
    <n v="0"/>
    <n v="0"/>
    <n v="0"/>
    <n v="-82720"/>
    <m/>
    <n v="-54900"/>
    <n v="27080"/>
    <n v="-8333"/>
    <n v="-8333"/>
    <n v="-8333"/>
    <n v="-8333"/>
    <n v="-8333"/>
    <n v="-8333"/>
    <n v="-8333"/>
    <n v="-8333"/>
    <n v="-8333"/>
    <n v="-102817"/>
  </r>
  <r>
    <x v="145"/>
    <x v="145"/>
    <s v="ERP"/>
    <x v="1"/>
    <x v="16"/>
    <s v="DeHart, Lynn"/>
    <x v="2"/>
    <x v="69"/>
    <m/>
    <m/>
    <s v="EnhanceChargeout001"/>
    <s v="CHW - F/U"/>
    <m/>
    <m/>
    <s v="None"/>
    <s v="Sachin (4/30): OK"/>
    <m/>
    <n v="0"/>
    <n v="0"/>
    <m/>
    <m/>
    <n v="279973"/>
    <n v="-451174"/>
    <n v="173459"/>
    <n v="771452.00000000012"/>
    <n v="-143797.00000000006"/>
    <n v="0"/>
    <n v="0"/>
    <n v="0"/>
    <n v="0"/>
    <n v="0"/>
    <n v="0"/>
    <n v="0"/>
    <n v="629913"/>
    <n v="629913"/>
    <n v="-773710"/>
    <n v="629913"/>
    <n v="629913"/>
    <m/>
    <n v="629913"/>
    <m/>
    <n v="279973"/>
    <n v="-451174"/>
    <n v="173459"/>
    <n v="771452"/>
    <n v="-773710"/>
    <n v="0"/>
    <n v="0"/>
    <n v="0"/>
    <n v="0"/>
    <n v="0"/>
    <n v="0"/>
    <n v="0"/>
    <n v="0"/>
    <n v="279973"/>
    <n v="-451174"/>
    <n v="173459"/>
    <n v="0"/>
    <n v="51201"/>
    <n v="0"/>
    <n v="0"/>
    <n v="0"/>
    <n v="0"/>
    <n v="0"/>
    <n v="0"/>
    <n v="0"/>
    <n v="53459"/>
  </r>
  <r>
    <x v="146"/>
    <x v="146"/>
    <s v="ERP"/>
    <x v="1"/>
    <x v="16"/>
    <s v="DeHart, Lynn"/>
    <x v="1"/>
    <x v="69"/>
    <m/>
    <m/>
    <s v="EnhanceChargeout001"/>
    <s v="CHW - F/U"/>
    <m/>
    <m/>
    <s v="None"/>
    <s v="Sachin (4/30): Not managed by me"/>
    <m/>
    <n v="0"/>
    <n v="2360"/>
    <m/>
    <m/>
    <m/>
    <n v="2180"/>
    <n v="180"/>
    <n v="180"/>
    <n v="180"/>
    <n v="0"/>
    <n v="0"/>
    <n v="0"/>
    <n v="0"/>
    <n v="0"/>
    <n v="0"/>
    <n v="0"/>
    <n v="2720"/>
    <n v="360"/>
    <n v="0"/>
    <n v="180"/>
    <n v="360"/>
    <m/>
    <n v="360"/>
    <m/>
    <m/>
    <n v="2180"/>
    <n v="180"/>
    <n v="0"/>
    <n v="0"/>
    <n v="0"/>
    <n v="0"/>
    <n v="0"/>
    <n v="0"/>
    <n v="0"/>
    <n v="0"/>
    <n v="0"/>
    <n v="2360"/>
    <m/>
    <n v="2180"/>
    <n v="180"/>
    <n v="0"/>
    <n v="0"/>
    <n v="0"/>
    <n v="0"/>
    <n v="0"/>
    <n v="0"/>
    <n v="0"/>
    <n v="0"/>
    <n v="0"/>
    <n v="2360"/>
  </r>
  <r>
    <x v="147"/>
    <x v="147"/>
    <s v="ERP"/>
    <x v="1"/>
    <x v="16"/>
    <s v="DeHart, Lynn"/>
    <x v="0"/>
    <x v="69"/>
    <m/>
    <m/>
    <s v="EnhanceChargeout001"/>
    <s v="CHW - F/U"/>
    <s v="N/A"/>
    <m/>
    <s v="None"/>
    <s v="Sachin (4/30): Not managed by me"/>
    <m/>
    <n v="0"/>
    <n v="1520"/>
    <m/>
    <m/>
    <m/>
    <n v="1520"/>
    <n v="0"/>
    <n v="0"/>
    <n v="0"/>
    <n v="0"/>
    <n v="0"/>
    <n v="0"/>
    <n v="0"/>
    <n v="0"/>
    <n v="0"/>
    <n v="0"/>
    <n v="1520"/>
    <n v="0"/>
    <n v="0"/>
    <n v="0"/>
    <n v="0"/>
    <m/>
    <n v="0"/>
    <m/>
    <m/>
    <n v="1520"/>
    <n v="0"/>
    <n v="0"/>
    <n v="0"/>
    <n v="0"/>
    <n v="0"/>
    <n v="0"/>
    <n v="0"/>
    <n v="0"/>
    <n v="0"/>
    <n v="0"/>
    <n v="1520"/>
    <m/>
    <n v="1520"/>
    <n v="0"/>
    <n v="0"/>
    <n v="0"/>
    <n v="0"/>
    <n v="0"/>
    <n v="0"/>
    <n v="0"/>
    <n v="0"/>
    <n v="0"/>
    <n v="0"/>
    <n v="1520"/>
  </r>
  <r>
    <x v="148"/>
    <x v="148"/>
    <s v="ERP"/>
    <x v="0"/>
    <x v="0"/>
    <s v="Dougherty, Chris"/>
    <x v="2"/>
    <x v="70"/>
    <m/>
    <s v="2321402"/>
    <s v="EP&amp;SCharges001"/>
    <m/>
    <m/>
    <m/>
    <m/>
    <m/>
    <m/>
    <m/>
    <m/>
    <m/>
    <m/>
    <m/>
    <m/>
    <m/>
    <m/>
    <n v="550"/>
    <m/>
    <m/>
    <m/>
    <m/>
    <m/>
    <m/>
    <m/>
    <n v="550"/>
    <n v="550"/>
    <m/>
    <n v="550"/>
    <n v="550"/>
    <m/>
    <n v="550"/>
    <m/>
    <m/>
    <m/>
    <m/>
    <m/>
    <m/>
    <m/>
    <m/>
    <m/>
    <m/>
    <m/>
    <m/>
    <m/>
    <m/>
    <m/>
    <m/>
    <m/>
    <m/>
    <m/>
    <m/>
    <m/>
    <m/>
    <m/>
    <m/>
    <m/>
    <m/>
    <m/>
  </r>
  <r>
    <x v="149"/>
    <x v="149"/>
    <s v="ERP"/>
    <x v="1"/>
    <x v="12"/>
    <s v="DeHart, Lynn"/>
    <x v="1"/>
    <x v="71"/>
    <m/>
    <m/>
    <s v="EP&amp;SCharges001"/>
    <m/>
    <s v="N/A"/>
    <m/>
    <s v="EP&amp;S"/>
    <m/>
    <m/>
    <n v="19212"/>
    <n v="19118.86"/>
    <m/>
    <m/>
    <n v="1556.11"/>
    <n v="1531.5"/>
    <n v="1622.25"/>
    <n v="1712.9899999999998"/>
    <n v="1903.18"/>
    <n v="1601"/>
    <n v="1601"/>
    <n v="1601"/>
    <n v="1601"/>
    <n v="1601"/>
    <n v="1601"/>
    <n v="1601"/>
    <n v="19533.03"/>
    <n v="414.16999999999825"/>
    <n v="1601"/>
    <n v="302.18000000000006"/>
    <n v="414.16999999999916"/>
    <m/>
    <n v="414.16999999999825"/>
    <m/>
    <n v="1556.11"/>
    <n v="1531.5"/>
    <n v="1622.25"/>
    <n v="1601"/>
    <n v="1601"/>
    <n v="1601"/>
    <n v="1601"/>
    <n v="1601"/>
    <n v="1601"/>
    <n v="1601"/>
    <n v="1601"/>
    <n v="1601"/>
    <n v="19118.86"/>
    <n v="1556.11"/>
    <n v="1531.5"/>
    <n v="1622.25"/>
    <n v="1601"/>
    <n v="1601"/>
    <n v="1601"/>
    <n v="1601"/>
    <n v="1601"/>
    <n v="1601"/>
    <n v="1601"/>
    <n v="1601"/>
    <n v="1601"/>
    <n v="19118.86"/>
  </r>
  <r>
    <x v="150"/>
    <x v="150"/>
    <s v="ERP"/>
    <x v="0"/>
    <x v="0"/>
    <s v="Maguire, Karla"/>
    <x v="3"/>
    <x v="71"/>
    <m/>
    <m/>
    <s v="EP&amp;SCharges001"/>
    <s v="CHW - Ok"/>
    <s v="N/A"/>
    <m/>
    <s v="EP&amp;S"/>
    <m/>
    <m/>
    <n v="0"/>
    <n v="2120"/>
    <m/>
    <m/>
    <n v="2120"/>
    <n v="0"/>
    <n v="0"/>
    <s v=""/>
    <n v="0"/>
    <n v="0"/>
    <n v="0"/>
    <n v="0"/>
    <n v="0"/>
    <n v="0"/>
    <n v="0"/>
    <n v="0"/>
    <n v="2120"/>
    <n v="0"/>
    <n v="0"/>
    <n v="0"/>
    <n v="0"/>
    <m/>
    <n v="0"/>
    <m/>
    <n v="2120"/>
    <n v="0"/>
    <n v="0"/>
    <n v="0"/>
    <n v="0"/>
    <n v="0"/>
    <n v="0"/>
    <n v="0"/>
    <n v="0"/>
    <n v="0"/>
    <n v="0"/>
    <n v="0"/>
    <n v="2120"/>
    <n v="2120"/>
    <n v="0"/>
    <n v="0"/>
    <n v="0"/>
    <n v="0"/>
    <n v="0"/>
    <n v="0"/>
    <n v="0"/>
    <n v="0"/>
    <n v="0"/>
    <n v="0"/>
    <n v="0"/>
    <n v="2120"/>
  </r>
  <r>
    <x v="151"/>
    <x v="151"/>
    <s v="ERP"/>
    <x v="0"/>
    <x v="0"/>
    <s v="Maguire, Karla"/>
    <x v="1"/>
    <x v="71"/>
    <m/>
    <m/>
    <s v="EP&amp;SCharges001"/>
    <s v="CHW - Ok"/>
    <s v="N/A"/>
    <m/>
    <s v="EP&amp;S"/>
    <m/>
    <m/>
    <n v="48000"/>
    <n v="49773.74"/>
    <m/>
    <m/>
    <n v="4838.91"/>
    <n v="4409.8999999999996"/>
    <n v="4524.93"/>
    <n v="3908.87"/>
    <n v="4454.8399999999992"/>
    <n v="4000"/>
    <n v="4000"/>
    <n v="4000"/>
    <n v="4000"/>
    <n v="4000"/>
    <n v="4000"/>
    <n v="4000"/>
    <n v="50137.45"/>
    <n v="363.70999999999913"/>
    <n v="4000"/>
    <n v="454.83999999999924"/>
    <n v="363.71000000000276"/>
    <m/>
    <n v="363.70999999999913"/>
    <m/>
    <n v="4838.91"/>
    <n v="4409.8999999999996"/>
    <n v="4524.93"/>
    <n v="4000"/>
    <n v="4000"/>
    <n v="4000"/>
    <n v="4000"/>
    <n v="4000"/>
    <n v="4000"/>
    <n v="4000"/>
    <n v="4000"/>
    <n v="4000"/>
    <n v="49773.74"/>
    <n v="4838.91"/>
    <n v="4409.8999999999996"/>
    <n v="4524.93"/>
    <n v="4000"/>
    <n v="4000"/>
    <n v="4000"/>
    <n v="4000"/>
    <n v="4000"/>
    <n v="4000"/>
    <n v="4000"/>
    <n v="4000"/>
    <n v="4000"/>
    <n v="49773.74"/>
  </r>
  <r>
    <x v="152"/>
    <x v="152"/>
    <s v="ERP"/>
    <x v="0"/>
    <x v="0"/>
    <s v="Maguire, Karla"/>
    <x v="0"/>
    <x v="71"/>
    <m/>
    <m/>
    <s v="EP&amp;SCharges001"/>
    <m/>
    <s v="N/A"/>
    <m/>
    <s v="EP&amp;S"/>
    <m/>
    <m/>
    <n v="0"/>
    <n v="4158.38"/>
    <m/>
    <m/>
    <n v="279.45999999999998"/>
    <n v="279.45999999999998"/>
    <n v="899.46"/>
    <n v="139.72999999999999"/>
    <n v="139.72999999999999"/>
    <n v="300"/>
    <n v="300"/>
    <n v="300"/>
    <n v="300"/>
    <n v="300"/>
    <n v="300"/>
    <n v="300"/>
    <n v="3837.84"/>
    <n v="-320.53999999999996"/>
    <n v="300"/>
    <n v="-160.27000000000001"/>
    <n v="-320.53999999999996"/>
    <m/>
    <n v="-320.53999999999996"/>
    <m/>
    <n v="279.45999999999998"/>
    <n v="279.45999999999998"/>
    <n v="899.46"/>
    <n v="300"/>
    <n v="300"/>
    <n v="300"/>
    <n v="300"/>
    <n v="300"/>
    <n v="300"/>
    <n v="300"/>
    <n v="300"/>
    <n v="300"/>
    <n v="4158.38"/>
    <n v="279.45999999999998"/>
    <n v="279.45999999999998"/>
    <n v="899.46"/>
    <n v="0"/>
    <n v="0"/>
    <n v="0"/>
    <n v="0"/>
    <n v="0"/>
    <n v="0"/>
    <n v="0"/>
    <n v="0"/>
    <n v="0"/>
    <n v="1458.38"/>
  </r>
  <r>
    <x v="153"/>
    <x v="153"/>
    <s v="ERP"/>
    <x v="1"/>
    <x v="5"/>
    <s v="DeHart, Lynn"/>
    <x v="1"/>
    <x v="71"/>
    <m/>
    <m/>
    <s v="EP&amp;SCharges001"/>
    <m/>
    <s v="N/A"/>
    <m/>
    <s v="EP&amp;S"/>
    <m/>
    <m/>
    <n v="18000"/>
    <n v="16521.98"/>
    <m/>
    <m/>
    <n v="920.95"/>
    <n v="1065.45"/>
    <n v="1035.58"/>
    <n v="1019.5500000000001"/>
    <n v="110.62"/>
    <n v="1500"/>
    <n v="1500"/>
    <n v="1500"/>
    <n v="1500"/>
    <n v="1500"/>
    <n v="1500"/>
    <n v="1500"/>
    <n v="14652.150000000001"/>
    <n v="-1869.8299999999981"/>
    <n v="1500"/>
    <n v="-1389.38"/>
    <n v="-1869.829999999999"/>
    <m/>
    <n v="-1869.8299999999981"/>
    <m/>
    <n v="920.95"/>
    <n v="1065.45"/>
    <n v="1035.58"/>
    <n v="1500"/>
    <n v="1500"/>
    <n v="1500"/>
    <n v="1500"/>
    <n v="1500"/>
    <n v="1500"/>
    <n v="1500"/>
    <n v="1500"/>
    <n v="1500"/>
    <n v="16521.98"/>
    <n v="920.95"/>
    <n v="1065.45"/>
    <n v="1035.58"/>
    <n v="1500"/>
    <n v="1500"/>
    <n v="1500"/>
    <n v="1500"/>
    <n v="1500"/>
    <n v="1500"/>
    <n v="1500"/>
    <n v="1500"/>
    <n v="1500"/>
    <n v="16521.98"/>
  </r>
  <r>
    <x v="154"/>
    <x v="154"/>
    <s v="ERP"/>
    <x v="1"/>
    <x v="5"/>
    <s v="DeHart, Lynn"/>
    <x v="0"/>
    <x v="71"/>
    <m/>
    <m/>
    <s v="EP&amp;SCharges001"/>
    <m/>
    <s v="N/A"/>
    <m/>
    <s v="EP&amp;S"/>
    <m/>
    <m/>
    <n v="4200"/>
    <n v="3888.09"/>
    <m/>
    <m/>
    <n v="251.53"/>
    <n v="246.74"/>
    <n v="239.82"/>
    <n v="236.11"/>
    <n v="0"/>
    <n v="350"/>
    <n v="350"/>
    <n v="350"/>
    <n v="350"/>
    <n v="350"/>
    <n v="350"/>
    <n v="350"/>
    <n v="3424.2"/>
    <n v="-463.89000000000033"/>
    <n v="350"/>
    <n v="-350"/>
    <n v="-463.89"/>
    <m/>
    <n v="-463.89000000000033"/>
    <m/>
    <n v="251.53"/>
    <n v="246.74"/>
    <n v="239.82"/>
    <n v="350"/>
    <n v="350"/>
    <n v="350"/>
    <n v="350"/>
    <n v="350"/>
    <n v="350"/>
    <n v="350"/>
    <n v="350"/>
    <n v="350"/>
    <n v="3888.09"/>
    <n v="251.53"/>
    <n v="246.74"/>
    <n v="239.82"/>
    <n v="350"/>
    <n v="350"/>
    <n v="350"/>
    <n v="350"/>
    <n v="350"/>
    <n v="350"/>
    <n v="350"/>
    <n v="350"/>
    <n v="350"/>
    <n v="3888.09"/>
  </r>
  <r>
    <x v="155"/>
    <x v="155"/>
    <s v="ERP"/>
    <x v="1"/>
    <x v="3"/>
    <s v="DeHart, Lynn"/>
    <x v="1"/>
    <x v="71"/>
    <m/>
    <m/>
    <s v="EP&amp;SCharges001"/>
    <m/>
    <s v="N/A"/>
    <m/>
    <s v="EP&amp;S"/>
    <m/>
    <m/>
    <n v="10233"/>
    <n v="10178.029999999999"/>
    <m/>
    <m/>
    <n v="961.55"/>
    <n v="816.59"/>
    <n v="725.14"/>
    <n v="139.44999999999999"/>
    <n v="1450.2800000000002"/>
    <n v="852.75"/>
    <n v="852.75"/>
    <n v="852.75"/>
    <n v="852.75"/>
    <n v="852.75"/>
    <n v="852.75"/>
    <n v="852.75"/>
    <n v="10062.26"/>
    <n v="-115.76999999999862"/>
    <n v="852.75"/>
    <n v="597.5300000000002"/>
    <n v="-115.76999999999998"/>
    <m/>
    <n v="-115.76999999999862"/>
    <m/>
    <n v="961.55"/>
    <n v="816.59"/>
    <n v="725.14"/>
    <n v="852.75"/>
    <n v="852.75"/>
    <n v="852.75"/>
    <n v="852.75"/>
    <n v="852.75"/>
    <n v="852.75"/>
    <n v="852.75"/>
    <n v="852.75"/>
    <n v="852.75"/>
    <n v="10178.029999999999"/>
    <n v="961.55"/>
    <n v="816.59"/>
    <n v="725.14"/>
    <n v="852.75"/>
    <n v="852.75"/>
    <n v="852.75"/>
    <n v="852.75"/>
    <n v="852.75"/>
    <n v="852.75"/>
    <n v="852.75"/>
    <n v="852.75"/>
    <n v="852.75"/>
    <n v="10178.029999999999"/>
  </r>
  <r>
    <x v="156"/>
    <x v="156"/>
    <s v="ERP"/>
    <x v="1"/>
    <x v="13"/>
    <s v="DeHart, Lynn"/>
    <x v="2"/>
    <x v="71"/>
    <m/>
    <m/>
    <s v="EP&amp;SCharges001"/>
    <m/>
    <s v="N/A"/>
    <m/>
    <s v="EP&amp;S"/>
    <m/>
    <m/>
    <n v="0"/>
    <n v="2893.46"/>
    <m/>
    <m/>
    <n v="183.12"/>
    <n v="1029.04"/>
    <n v="1681.3"/>
    <n v="1593.8"/>
    <n v="85.08"/>
    <n v="0"/>
    <n v="0"/>
    <n v="0"/>
    <n v="0"/>
    <n v="0"/>
    <n v="0"/>
    <n v="0"/>
    <n v="4572.34"/>
    <n v="1678.88"/>
    <n v="0"/>
    <n v="85.08"/>
    <n v="1678.88"/>
    <m/>
    <n v="1678.88"/>
    <m/>
    <n v="183.12"/>
    <n v="1029.04"/>
    <n v="1681.3"/>
    <n v="0"/>
    <n v="0"/>
    <n v="0"/>
    <n v="0"/>
    <n v="0"/>
    <n v="0"/>
    <n v="0"/>
    <n v="0"/>
    <n v="0"/>
    <n v="2893.46"/>
    <n v="183.12"/>
    <n v="1029.04"/>
    <n v="1681.3"/>
    <n v="0"/>
    <n v="0"/>
    <n v="0"/>
    <n v="0"/>
    <n v="0"/>
    <n v="0"/>
    <n v="0"/>
    <n v="0"/>
    <n v="0"/>
    <n v="2893.46"/>
  </r>
  <r>
    <x v="157"/>
    <x v="157"/>
    <s v="ERP"/>
    <x v="1"/>
    <x v="13"/>
    <s v="DeHart, Lynn"/>
    <x v="1"/>
    <x v="71"/>
    <m/>
    <m/>
    <s v="EP&amp;SCharges001"/>
    <m/>
    <s v="N/A"/>
    <m/>
    <s v="EP&amp;S"/>
    <m/>
    <m/>
    <n v="24000"/>
    <n v="21077.66"/>
    <m/>
    <m/>
    <n v="1075.3900000000001"/>
    <n v="1075.5999999999999"/>
    <n v="926.67"/>
    <n v="1030.1999999999998"/>
    <n v="1176.04"/>
    <n v="2000"/>
    <n v="2000"/>
    <n v="2000"/>
    <n v="2000"/>
    <n v="2000"/>
    <n v="2000"/>
    <n v="2000"/>
    <n v="19283.900000000001"/>
    <n v="-1793.7599999999984"/>
    <n v="2000"/>
    <n v="-823.96"/>
    <n v="-1793.7600000000002"/>
    <m/>
    <n v="-1793.7599999999984"/>
    <m/>
    <n v="1075.3900000000001"/>
    <n v="1075.5999999999999"/>
    <n v="926.67"/>
    <n v="2000"/>
    <n v="2000"/>
    <n v="2000"/>
    <n v="2000"/>
    <n v="2000"/>
    <n v="2000"/>
    <n v="2000"/>
    <n v="2000"/>
    <n v="2000"/>
    <n v="21077.66"/>
    <n v="1075.3900000000001"/>
    <n v="1075.5999999999999"/>
    <n v="926.67"/>
    <n v="2000"/>
    <n v="2000"/>
    <n v="2000"/>
    <n v="2000"/>
    <n v="2000"/>
    <n v="2000"/>
    <n v="2000"/>
    <n v="2000"/>
    <n v="2000"/>
    <n v="21077.66"/>
  </r>
  <r>
    <x v="158"/>
    <x v="158"/>
    <s v="ERP"/>
    <x v="1"/>
    <x v="4"/>
    <s v="DeHart, Lynn"/>
    <x v="1"/>
    <x v="71"/>
    <m/>
    <m/>
    <s v="EP&amp;SCharges001"/>
    <m/>
    <s v="N/A"/>
    <m/>
    <s v="EP&amp;S"/>
    <s v="CHW 4/30 - Tie-back to Planful transaction details"/>
    <m/>
    <n v="36000"/>
    <n v="38955.51"/>
    <m/>
    <m/>
    <n v="4414.1899999999996"/>
    <n v="3932.76"/>
    <n v="3608.56"/>
    <n v="3606.4999999999995"/>
    <n v="3644.34"/>
    <n v="3000"/>
    <n v="3000"/>
    <n v="3000"/>
    <n v="3000"/>
    <n v="3000"/>
    <n v="3000"/>
    <n v="3000"/>
    <n v="40206.35"/>
    <n v="1250.8399999999965"/>
    <n v="3000"/>
    <n v="644.34000000000015"/>
    <n v="1250.8399999999965"/>
    <m/>
    <n v="1250.8399999999965"/>
    <m/>
    <n v="4414.1899999999996"/>
    <n v="3932.76"/>
    <n v="3608.56"/>
    <n v="3000"/>
    <n v="3000"/>
    <n v="3000"/>
    <n v="3000"/>
    <n v="3000"/>
    <n v="3000"/>
    <n v="3000"/>
    <n v="3000"/>
    <n v="3000"/>
    <n v="38955.51"/>
    <n v="4414.1899999999996"/>
    <n v="3932.76"/>
    <n v="3608.56"/>
    <n v="3000"/>
    <n v="3000"/>
    <n v="3000"/>
    <n v="3000"/>
    <n v="3000"/>
    <n v="3000"/>
    <n v="3000"/>
    <n v="3000"/>
    <n v="3000"/>
    <n v="38955.51"/>
  </r>
  <r>
    <x v="159"/>
    <x v="159"/>
    <s v="ERP"/>
    <x v="0"/>
    <x v="10"/>
    <s v="Maguire, Karla"/>
    <x v="1"/>
    <x v="71"/>
    <m/>
    <m/>
    <s v="EP&amp;SCharges001"/>
    <s v="CHW - Ok"/>
    <s v="N/A"/>
    <m/>
    <s v="EP&amp;S"/>
    <m/>
    <m/>
    <n v="0"/>
    <n v="1.26"/>
    <m/>
    <m/>
    <n v="0.42"/>
    <n v="0.36"/>
    <n v="0.48"/>
    <n v="1.31"/>
    <n v="209.68999999999997"/>
    <n v="0"/>
    <n v="0"/>
    <n v="0"/>
    <n v="0"/>
    <n v="0"/>
    <n v="0"/>
    <n v="0"/>
    <n v="212.25999999999996"/>
    <n v="210.99999999999997"/>
    <n v="0"/>
    <n v="209.68999999999997"/>
    <n v="210.99999999999997"/>
    <m/>
    <n v="210.99999999999997"/>
    <m/>
    <n v="0.42"/>
    <n v="0.36"/>
    <n v="0.48"/>
    <n v="0"/>
    <n v="0"/>
    <n v="0"/>
    <n v="0"/>
    <n v="0"/>
    <n v="0"/>
    <n v="0"/>
    <n v="0"/>
    <n v="0"/>
    <n v="1.26"/>
    <n v="0.42"/>
    <n v="0.36"/>
    <n v="0.48"/>
    <n v="0"/>
    <n v="0"/>
    <n v="0"/>
    <n v="0"/>
    <n v="0"/>
    <n v="0"/>
    <n v="0"/>
    <n v="0"/>
    <n v="0"/>
    <n v="1.26"/>
  </r>
  <r>
    <x v="160"/>
    <x v="160"/>
    <s v="ERP"/>
    <x v="0"/>
    <x v="9"/>
    <s v="Maguire, Karla"/>
    <x v="1"/>
    <x v="71"/>
    <m/>
    <m/>
    <s v="EP&amp;SCharges001"/>
    <s v="CHW - F/U"/>
    <s v="N/A"/>
    <m/>
    <s v="EP&amp;S"/>
    <m/>
    <m/>
    <n v="672000"/>
    <n v="633103.17999999993"/>
    <m/>
    <m/>
    <n v="45611.11"/>
    <n v="43675.76"/>
    <n v="39816.31"/>
    <n v="40357.590000000004"/>
    <n v="42129.81"/>
    <n v="56000"/>
    <n v="56000"/>
    <n v="56000"/>
    <n v="56000"/>
    <n v="56000"/>
    <n v="56000"/>
    <n v="56000"/>
    <n v="603590.57999999996"/>
    <n v="-29512.599999999977"/>
    <n v="56000"/>
    <n v="-13870.190000000002"/>
    <n v="-29512.600000000006"/>
    <m/>
    <n v="-29512.599999999977"/>
    <m/>
    <n v="45611.11"/>
    <n v="43675.76"/>
    <n v="39816.31"/>
    <n v="56000"/>
    <n v="56000"/>
    <n v="56000"/>
    <n v="56000"/>
    <n v="56000"/>
    <n v="56000"/>
    <n v="56000"/>
    <n v="56000"/>
    <n v="56000"/>
    <n v="633103.17999999993"/>
    <n v="45611.11"/>
    <n v="43675.76"/>
    <n v="39816.31"/>
    <n v="56000"/>
    <n v="56000"/>
    <n v="56000"/>
    <n v="56000"/>
    <n v="56000"/>
    <n v="56000"/>
    <n v="56000"/>
    <n v="56000"/>
    <n v="56000"/>
    <n v="633103.17999999993"/>
  </r>
  <r>
    <x v="161"/>
    <x v="161"/>
    <s v="ERP"/>
    <x v="0"/>
    <x v="9"/>
    <s v="Maguire, Karla"/>
    <x v="0"/>
    <x v="71"/>
    <m/>
    <m/>
    <s v="EP&amp;SCharges001"/>
    <m/>
    <s v="N/A"/>
    <m/>
    <s v="EP&amp;S"/>
    <m/>
    <m/>
    <n v="48000"/>
    <n v="47938.130000000005"/>
    <m/>
    <m/>
    <n v="4052.17"/>
    <n v="3772.71"/>
    <n v="4113.25"/>
    <n v="3493.25"/>
    <n v="3493.25"/>
    <n v="4000"/>
    <n v="4000"/>
    <n v="4000"/>
    <n v="4000"/>
    <n v="4000"/>
    <n v="4000"/>
    <n v="4000"/>
    <n v="46924.630000000005"/>
    <n v="-1013.5"/>
    <n v="4000"/>
    <n v="-506.75"/>
    <n v="-1013.5"/>
    <m/>
    <n v="-1013.5"/>
    <m/>
    <n v="4052.17"/>
    <n v="3772.71"/>
    <n v="4113.25"/>
    <n v="4000"/>
    <n v="4000"/>
    <n v="4000"/>
    <n v="4000"/>
    <n v="4000"/>
    <n v="4000"/>
    <n v="4000"/>
    <n v="4000"/>
    <n v="4000"/>
    <n v="47938.130000000005"/>
    <n v="4052.17"/>
    <n v="3772.71"/>
    <n v="4113.25"/>
    <n v="4000"/>
    <n v="4000"/>
    <n v="4000"/>
    <n v="4000"/>
    <n v="4000"/>
    <n v="4000"/>
    <n v="4000"/>
    <n v="4000"/>
    <n v="4000"/>
    <n v="47938.130000000005"/>
  </r>
  <r>
    <x v="162"/>
    <x v="162"/>
    <s v="ERP"/>
    <x v="2"/>
    <x v="11"/>
    <s v="McGettigan, David"/>
    <x v="2"/>
    <x v="71"/>
    <m/>
    <m/>
    <s v="EP&amp;SCharges001"/>
    <m/>
    <s v="N/A"/>
    <m/>
    <s v="EP&amp;S"/>
    <m/>
    <m/>
    <n v="0"/>
    <n v="13071.14"/>
    <m/>
    <m/>
    <n v="5323.5"/>
    <n v="2811.9"/>
    <n v="4935.74"/>
    <n v="5810.54"/>
    <n v="6233.85"/>
    <n v="0"/>
    <n v="0"/>
    <n v="0"/>
    <n v="0"/>
    <n v="0"/>
    <n v="0"/>
    <n v="0"/>
    <n v="25115.53"/>
    <n v="12044.39"/>
    <n v="0"/>
    <n v="6233.85"/>
    <n v="12044.39"/>
    <m/>
    <n v="12044.39"/>
    <m/>
    <n v="5323.5"/>
    <n v="2811.9"/>
    <n v="4935.74"/>
    <n v="0"/>
    <n v="0"/>
    <n v="0"/>
    <n v="0"/>
    <n v="0"/>
    <n v="0"/>
    <n v="0"/>
    <n v="0"/>
    <n v="0"/>
    <n v="13071.14"/>
    <n v="5323.5"/>
    <n v="2811.9"/>
    <n v="4935.74"/>
    <n v="0"/>
    <n v="0"/>
    <n v="0"/>
    <n v="0"/>
    <n v="0"/>
    <n v="0"/>
    <n v="0"/>
    <n v="0"/>
    <n v="0"/>
    <n v="13071.14"/>
  </r>
  <r>
    <x v="163"/>
    <x v="163"/>
    <s v="ERP"/>
    <x v="2"/>
    <x v="11"/>
    <s v="McGettigan, David"/>
    <x v="1"/>
    <x v="71"/>
    <m/>
    <m/>
    <s v="EP&amp;SCharges001"/>
    <m/>
    <s v="N/A"/>
    <m/>
    <s v="EP&amp;S"/>
    <m/>
    <m/>
    <n v="42000"/>
    <n v="36969.919999999998"/>
    <m/>
    <m/>
    <n v="1654.46"/>
    <n v="2175.66"/>
    <n v="1639.8"/>
    <n v="3229.0899999999997"/>
    <n v="4136.0599999999995"/>
    <n v="3500"/>
    <n v="3500"/>
    <n v="3500"/>
    <n v="3500"/>
    <n v="3500"/>
    <n v="3500"/>
    <n v="3500"/>
    <n v="37335.07"/>
    <n v="365.15000000000146"/>
    <n v="3500"/>
    <n v="636.05999999999949"/>
    <n v="365.14999999999964"/>
    <m/>
    <n v="365.15000000000146"/>
    <m/>
    <n v="1654.46"/>
    <n v="2175.66"/>
    <n v="1639.8"/>
    <n v="3500"/>
    <n v="3500"/>
    <n v="3500"/>
    <n v="3500"/>
    <n v="3500"/>
    <n v="3500"/>
    <n v="3500"/>
    <n v="3500"/>
    <n v="3500"/>
    <n v="36969.919999999998"/>
    <n v="1654.46"/>
    <n v="2175.66"/>
    <n v="1639.8"/>
    <n v="3500"/>
    <n v="3500"/>
    <n v="3500"/>
    <n v="3500"/>
    <n v="3500"/>
    <n v="3500"/>
    <n v="3500"/>
    <n v="3500"/>
    <n v="3500"/>
    <n v="36969.919999999998"/>
  </r>
  <r>
    <x v="164"/>
    <x v="164"/>
    <s v="ERP"/>
    <x v="3"/>
    <x v="14"/>
    <s v="Robertson, Jerome"/>
    <x v="2"/>
    <x v="71"/>
    <m/>
    <m/>
    <s v="EP&amp;SCharges001"/>
    <m/>
    <s v="N/A"/>
    <m/>
    <s v="EP&amp;S"/>
    <m/>
    <m/>
    <n v="0"/>
    <n v="400"/>
    <m/>
    <m/>
    <m/>
    <n v="400"/>
    <n v="0"/>
    <n v="0"/>
    <n v="0"/>
    <n v="0"/>
    <n v="0"/>
    <n v="0"/>
    <n v="0"/>
    <n v="0"/>
    <n v="0"/>
    <n v="0"/>
    <n v="400"/>
    <n v="0"/>
    <n v="0"/>
    <n v="0"/>
    <n v="0"/>
    <m/>
    <n v="0"/>
    <m/>
    <m/>
    <n v="400"/>
    <n v="0"/>
    <n v="0"/>
    <n v="0"/>
    <n v="0"/>
    <n v="0"/>
    <n v="0"/>
    <n v="0"/>
    <n v="0"/>
    <n v="0"/>
    <n v="0"/>
    <n v="400"/>
    <m/>
    <n v="400"/>
    <n v="0"/>
    <n v="0"/>
    <n v="0"/>
    <n v="0"/>
    <n v="0"/>
    <n v="0"/>
    <n v="0"/>
    <n v="0"/>
    <n v="0"/>
    <n v="0"/>
    <n v="400"/>
  </r>
  <r>
    <x v="165"/>
    <x v="165"/>
    <s v="ERP"/>
    <x v="3"/>
    <x v="14"/>
    <s v="Robertson, Jerome"/>
    <x v="3"/>
    <x v="71"/>
    <m/>
    <m/>
    <s v="EP&amp;SCharges001"/>
    <m/>
    <s v="N/A"/>
    <m/>
    <s v="EP&amp;S"/>
    <m/>
    <m/>
    <n v="0"/>
    <n v="1060"/>
    <m/>
    <m/>
    <m/>
    <n v="1060"/>
    <n v="0"/>
    <s v=""/>
    <n v="0"/>
    <n v="0"/>
    <n v="0"/>
    <n v="0"/>
    <n v="0"/>
    <n v="0"/>
    <n v="0"/>
    <n v="0"/>
    <n v="1060"/>
    <n v="0"/>
    <n v="0"/>
    <n v="0"/>
    <n v="0"/>
    <m/>
    <n v="0"/>
    <m/>
    <m/>
    <n v="1060"/>
    <n v="0"/>
    <n v="0"/>
    <n v="0"/>
    <n v="0"/>
    <n v="0"/>
    <n v="0"/>
    <n v="0"/>
    <n v="0"/>
    <n v="0"/>
    <n v="0"/>
    <n v="1060"/>
    <m/>
    <n v="1060"/>
    <n v="0"/>
    <n v="0"/>
    <n v="0"/>
    <n v="0"/>
    <n v="0"/>
    <n v="0"/>
    <n v="0"/>
    <n v="0"/>
    <n v="0"/>
    <n v="0"/>
    <n v="1060"/>
  </r>
  <r>
    <x v="166"/>
    <x v="166"/>
    <s v="ERP"/>
    <x v="0"/>
    <x v="1"/>
    <s v="Maguire, Karla"/>
    <x v="2"/>
    <x v="71"/>
    <m/>
    <m/>
    <s v="EP&amp;SCharges001"/>
    <s v="CHW - Ok"/>
    <s v="N/A"/>
    <m/>
    <s v="EP&amp;S"/>
    <m/>
    <m/>
    <n v="0"/>
    <n v="1080"/>
    <m/>
    <m/>
    <n v="360"/>
    <n v="360"/>
    <n v="360"/>
    <n v="0"/>
    <n v="0"/>
    <n v="0"/>
    <n v="0"/>
    <n v="0"/>
    <n v="0"/>
    <n v="0"/>
    <n v="0"/>
    <n v="0"/>
    <n v="1080"/>
    <n v="0"/>
    <n v="0"/>
    <n v="0"/>
    <n v="0"/>
    <m/>
    <n v="0"/>
    <m/>
    <n v="360"/>
    <n v="360"/>
    <n v="360"/>
    <n v="0"/>
    <n v="0"/>
    <n v="0"/>
    <n v="0"/>
    <n v="0"/>
    <n v="0"/>
    <n v="0"/>
    <n v="0"/>
    <n v="0"/>
    <n v="1080"/>
    <n v="360"/>
    <n v="360"/>
    <n v="360"/>
    <n v="0"/>
    <n v="0"/>
    <n v="0"/>
    <n v="0"/>
    <n v="0"/>
    <n v="0"/>
    <n v="0"/>
    <n v="0"/>
    <n v="0"/>
    <n v="1080"/>
  </r>
  <r>
    <x v="167"/>
    <x v="167"/>
    <s v="ERP"/>
    <x v="0"/>
    <x v="1"/>
    <s v="Maguire, Karla"/>
    <x v="1"/>
    <x v="71"/>
    <m/>
    <m/>
    <s v="EP&amp;SCharges001"/>
    <m/>
    <s v="N/A"/>
    <m/>
    <s v="EP&amp;S"/>
    <m/>
    <m/>
    <n v="480000"/>
    <n v="717425.61"/>
    <m/>
    <m/>
    <n v="61804.2"/>
    <n v="58988.63"/>
    <n v="56632.78"/>
    <n v="54081.419999999991"/>
    <n v="51184.079999999994"/>
    <n v="60000"/>
    <n v="60000"/>
    <n v="60000"/>
    <n v="60000"/>
    <n v="60000"/>
    <n v="60000"/>
    <n v="60000"/>
    <n v="702691.11"/>
    <n v="-14734.5"/>
    <n v="60000"/>
    <n v="-8815.9200000000055"/>
    <n v="-14734.5"/>
    <m/>
    <n v="-14734.5"/>
    <m/>
    <n v="61804.2"/>
    <n v="58988.63"/>
    <n v="56632.78"/>
    <n v="60000"/>
    <n v="60000"/>
    <n v="60000"/>
    <n v="60000"/>
    <n v="60000"/>
    <n v="60000"/>
    <n v="60000"/>
    <n v="60000"/>
    <n v="60000"/>
    <n v="717425.61"/>
    <n v="61804.2"/>
    <n v="58988.63"/>
    <n v="56632.78"/>
    <n v="40000"/>
    <n v="40000"/>
    <n v="40000"/>
    <n v="40000"/>
    <n v="40000"/>
    <n v="40000"/>
    <n v="40000"/>
    <n v="40000"/>
    <n v="40000"/>
    <n v="537425.61"/>
  </r>
  <r>
    <x v="168"/>
    <x v="168"/>
    <s v="ERP"/>
    <x v="0"/>
    <x v="1"/>
    <s v="Maguire, Karla"/>
    <x v="0"/>
    <x v="71"/>
    <m/>
    <m/>
    <s v="EP&amp;SCharges001"/>
    <m/>
    <s v="N/A"/>
    <m/>
    <s v="EP&amp;S"/>
    <m/>
    <m/>
    <n v="8383.7999999999975"/>
    <n v="8383.76"/>
    <m/>
    <m/>
    <n v="698.65"/>
    <n v="558.91999999999996"/>
    <n v="419.19"/>
    <n v="279.45999999999998"/>
    <n v="279.45999999999998"/>
    <n v="750"/>
    <n v="750"/>
    <n v="750"/>
    <n v="750"/>
    <n v="750"/>
    <n v="750"/>
    <n v="750"/>
    <n v="7485.68"/>
    <n v="-898.07999999999993"/>
    <n v="767"/>
    <n v="-487.54"/>
    <n v="-898.08000000000038"/>
    <m/>
    <n v="-898.07999999999993"/>
    <m/>
    <n v="698.65"/>
    <n v="558.91999999999996"/>
    <n v="419.19"/>
    <n v="690"/>
    <n v="767"/>
    <n v="750"/>
    <n v="750"/>
    <n v="750"/>
    <n v="750"/>
    <n v="750"/>
    <n v="750"/>
    <n v="750"/>
    <n v="8383.76"/>
    <n v="698.65"/>
    <n v="558.91999999999996"/>
    <n v="419.19"/>
    <n v="698.65"/>
    <n v="698.65"/>
    <n v="698.65"/>
    <n v="698.65"/>
    <n v="698.65"/>
    <n v="698.65"/>
    <n v="698.65"/>
    <n v="698.65"/>
    <n v="698.65"/>
    <n v="7964.6099999999979"/>
  </r>
  <r>
    <x v="169"/>
    <x v="169"/>
    <s v="ERP"/>
    <x v="1"/>
    <x v="2"/>
    <s v="DeHart, Lynn"/>
    <x v="2"/>
    <x v="71"/>
    <m/>
    <m/>
    <s v="EP&amp;SCharges001"/>
    <m/>
    <s v="N/A"/>
    <m/>
    <s v="EP&amp;S"/>
    <m/>
    <m/>
    <n v="24000"/>
    <n v="18457.8"/>
    <m/>
    <m/>
    <n v="366.24"/>
    <n v="0"/>
    <n v="91.56"/>
    <n v="0"/>
    <n v="0"/>
    <n v="2000"/>
    <n v="2000"/>
    <n v="2000"/>
    <n v="2000"/>
    <n v="2000"/>
    <n v="2000"/>
    <n v="2000"/>
    <n v="14457.8"/>
    <n v="-4000"/>
    <n v="2000"/>
    <n v="-2000"/>
    <n v="-4000"/>
    <m/>
    <n v="-4000"/>
    <m/>
    <n v="366.24"/>
    <n v="0"/>
    <n v="91.56"/>
    <n v="2000"/>
    <n v="2000"/>
    <n v="2000"/>
    <n v="2000"/>
    <n v="2000"/>
    <n v="2000"/>
    <n v="2000"/>
    <n v="2000"/>
    <n v="2000"/>
    <n v="18457.8"/>
    <n v="366.24"/>
    <n v="0"/>
    <n v="91.56"/>
    <n v="2000"/>
    <n v="2000"/>
    <n v="2000"/>
    <n v="2000"/>
    <n v="2000"/>
    <n v="2000"/>
    <n v="2000"/>
    <n v="2000"/>
    <n v="2000"/>
    <n v="18457.8"/>
  </r>
  <r>
    <x v="170"/>
    <x v="170"/>
    <s v="ERP"/>
    <x v="1"/>
    <x v="2"/>
    <s v="DeHart, Lynn"/>
    <x v="1"/>
    <x v="71"/>
    <m/>
    <m/>
    <s v="EP&amp;SCharges001"/>
    <m/>
    <s v="N/A"/>
    <m/>
    <s v="EP&amp;S"/>
    <m/>
    <m/>
    <n v="68292"/>
    <n v="61982.03"/>
    <m/>
    <m/>
    <n v="3349.03"/>
    <n v="3352.38"/>
    <n v="4061.62"/>
    <n v="3971.33"/>
    <n v="5537.35"/>
    <n v="5691"/>
    <n v="5691"/>
    <n v="5691"/>
    <n v="5691"/>
    <n v="5691"/>
    <n v="5691"/>
    <n v="5691"/>
    <n v="60108.71"/>
    <n v="-1873.3199999999997"/>
    <n v="5691"/>
    <n v="-153.64999999999964"/>
    <n v="-1873.3199999999997"/>
    <m/>
    <n v="-1873.3199999999997"/>
    <m/>
    <n v="3349.03"/>
    <n v="3352.38"/>
    <n v="4061.62"/>
    <n v="5691"/>
    <n v="5691"/>
    <n v="5691"/>
    <n v="5691"/>
    <n v="5691"/>
    <n v="5691"/>
    <n v="5691"/>
    <n v="5691"/>
    <n v="5691"/>
    <n v="61982.03"/>
    <n v="3349.03"/>
    <n v="3352.38"/>
    <n v="4061.62"/>
    <n v="5691"/>
    <n v="5691"/>
    <n v="5691"/>
    <n v="5691"/>
    <n v="5691"/>
    <n v="5691"/>
    <n v="5691"/>
    <n v="5691"/>
    <n v="5691"/>
    <n v="61982.03"/>
  </r>
  <r>
    <x v="171"/>
    <x v="171"/>
    <s v="ERP"/>
    <x v="1"/>
    <x v="2"/>
    <s v="DeHart, Lynn"/>
    <x v="0"/>
    <x v="71"/>
    <m/>
    <m/>
    <s v="EP&amp;SCharges001"/>
    <m/>
    <s v="N/A"/>
    <m/>
    <s v="EP&amp;S"/>
    <m/>
    <m/>
    <n v="23474.640000000003"/>
    <n v="27085.450000000004"/>
    <m/>
    <m/>
    <n v="1816.49"/>
    <n v="1816.49"/>
    <n v="5846.49"/>
    <n v="1816.49"/>
    <n v="1816.49"/>
    <n v="1956.22"/>
    <n v="1956.22"/>
    <n v="1956.22"/>
    <n v="1956.22"/>
    <n v="1956.22"/>
    <n v="1956.22"/>
    <n v="1956.22"/>
    <n v="26805.990000000005"/>
    <n v="-279.45999999999913"/>
    <n v="1956.22"/>
    <n v="-139.73000000000002"/>
    <n v="-279.45999999999913"/>
    <m/>
    <n v="-279.45999999999913"/>
    <m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</r>
  <r>
    <x v="172"/>
    <x v="172"/>
    <s v="ERP"/>
    <x v="2"/>
    <x v="11"/>
    <s v="McGettigan, David"/>
    <x v="0"/>
    <x v="72"/>
    <m/>
    <m/>
    <s v="ERP_Amort001"/>
    <m/>
    <s v="N/A"/>
    <m/>
    <s v="Celonis / CCA"/>
    <m/>
    <m/>
    <n v="0"/>
    <n v="0"/>
    <m/>
    <m/>
    <n v="16675.14"/>
    <n v="0"/>
    <n v="-16675.14"/>
    <s v=""/>
    <n v="0"/>
    <m/>
    <m/>
    <m/>
    <m/>
    <m/>
    <m/>
    <m/>
    <n v="0"/>
    <n v="0"/>
    <m/>
    <n v="0"/>
    <n v="0"/>
    <m/>
    <n v="0"/>
    <m/>
    <n v="16675.14"/>
    <n v="0"/>
    <n v="-16675.14"/>
    <m/>
    <m/>
    <m/>
    <m/>
    <m/>
    <m/>
    <m/>
    <m/>
    <m/>
    <n v="0"/>
    <n v="16675.14"/>
    <n v="0"/>
    <n v="-16675.14"/>
    <m/>
    <m/>
    <m/>
    <m/>
    <m/>
    <m/>
    <m/>
    <m/>
    <m/>
    <n v="0"/>
  </r>
  <r>
    <x v="173"/>
    <x v="173"/>
    <s v="ERP"/>
    <x v="1"/>
    <x v="12"/>
    <s v="DeHart, Lynn"/>
    <x v="6"/>
    <x v="73"/>
    <m/>
    <m/>
    <s v="ERP_Depre001"/>
    <m/>
    <s v="N/A"/>
    <m/>
    <s v="None"/>
    <s v="5/18/26 CHW - Updated "/>
    <m/>
    <n v="0"/>
    <n v="19503"/>
    <m/>
    <m/>
    <n v="336"/>
    <n v="337"/>
    <n v="1883"/>
    <n v="852.00000000000011"/>
    <n v="1823.6399999999999"/>
    <n v="1883"/>
    <n v="1883"/>
    <n v="1883"/>
    <n v="1883"/>
    <n v="1883"/>
    <n v="1883"/>
    <n v="1883"/>
    <n v="18412.64"/>
    <n v="-1090.3600000000006"/>
    <n v="1883"/>
    <n v="-59.360000000000127"/>
    <n v="-1090.3600000000006"/>
    <m/>
    <n v="-1090.3600000000006"/>
    <m/>
    <n v="336"/>
    <n v="337"/>
    <n v="1883"/>
    <n v="1883"/>
    <n v="1883"/>
    <n v="1883"/>
    <n v="1883"/>
    <n v="1883"/>
    <n v="1883"/>
    <n v="1883"/>
    <n v="1883"/>
    <n v="1883"/>
    <n v="19503"/>
    <n v="336"/>
    <n v="337"/>
    <n v="1883"/>
    <n v="0"/>
    <n v="0"/>
    <n v="0"/>
    <n v="0"/>
    <n v="0"/>
    <n v="0"/>
    <n v="0"/>
    <n v="0"/>
    <n v="0"/>
    <n v="2556"/>
  </r>
  <r>
    <x v="174"/>
    <x v="174"/>
    <s v="ERP"/>
    <x v="1"/>
    <x v="5"/>
    <s v="DeHart, Lynn"/>
    <x v="6"/>
    <x v="73"/>
    <m/>
    <m/>
    <s v="ERP_Depre001"/>
    <m/>
    <s v="N/A"/>
    <m/>
    <s v="None"/>
    <s v="5/18/26 CHW - Updated "/>
    <m/>
    <n v="0"/>
    <n v="6232.2000000000016"/>
    <m/>
    <m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0"/>
    <n v="519.35"/>
    <n v="0"/>
    <n v="0"/>
    <m/>
    <n v="0"/>
    <m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519.35"/>
    <n v="519.35"/>
    <n v="519.35"/>
    <n v="0"/>
    <n v="0"/>
    <n v="0"/>
    <n v="0"/>
    <n v="0"/>
    <n v="0"/>
    <n v="0"/>
    <n v="0"/>
    <n v="0"/>
    <n v="1558.0500000000002"/>
  </r>
  <r>
    <x v="175"/>
    <x v="175"/>
    <s v="ERP"/>
    <x v="0"/>
    <x v="10"/>
    <s v="Maguire, Karla"/>
    <x v="6"/>
    <x v="73"/>
    <m/>
    <m/>
    <s v="ERP_Depre001"/>
    <m/>
    <s v="N/A"/>
    <m/>
    <s v="None"/>
    <s v="5/18/26 CHW - Updated "/>
    <m/>
    <n v="0"/>
    <n v="22573.91"/>
    <m/>
    <m/>
    <n v="656"/>
    <n v="1537.91"/>
    <n v="2038"/>
    <n v="1762"/>
    <n v="2888.0000000000005"/>
    <n v="2038"/>
    <n v="2038"/>
    <n v="2038"/>
    <n v="2038"/>
    <n v="2038"/>
    <n v="2038"/>
    <n v="2038"/>
    <n v="23147.91"/>
    <n v="574"/>
    <n v="2038"/>
    <n v="850.00000000000045"/>
    <n v="574"/>
    <m/>
    <n v="574"/>
    <m/>
    <n v="656"/>
    <n v="1537.91"/>
    <n v="2038"/>
    <n v="2038"/>
    <n v="2038"/>
    <n v="2038"/>
    <n v="2038"/>
    <n v="2038"/>
    <n v="2038"/>
    <n v="2038"/>
    <n v="2038"/>
    <n v="2038"/>
    <n v="22573.91"/>
    <n v="656"/>
    <n v="1537.91"/>
    <n v="2038"/>
    <n v="0"/>
    <n v="0"/>
    <n v="0"/>
    <n v="0"/>
    <n v="0"/>
    <n v="0"/>
    <n v="0"/>
    <n v="0"/>
    <n v="0"/>
    <n v="4231.91"/>
  </r>
  <r>
    <x v="176"/>
    <x v="176"/>
    <s v="ERP"/>
    <x v="2"/>
    <x v="11"/>
    <s v="McGettigan, David"/>
    <x v="6"/>
    <x v="73"/>
    <m/>
    <m/>
    <s v="ERP_Depre001"/>
    <m/>
    <s v="N/A"/>
    <m/>
    <s v="None"/>
    <s v="5/18/26 CHW - Updated "/>
    <m/>
    <n v="32110933.16"/>
    <n v="34757461.509999998"/>
    <m/>
    <m/>
    <n v="2815065.65"/>
    <n v="3048410.85"/>
    <n v="3021391.85"/>
    <n v="2973057.3200000008"/>
    <n v="3070156.0000000009"/>
    <n v="3021020.07"/>
    <n v="2977460.79"/>
    <n v="2957767.97"/>
    <n v="2824180.51"/>
    <n v="2683373.61"/>
    <n v="2683374.5"/>
    <n v="2683373.5699999998"/>
    <n v="34758632.689999998"/>
    <n v="1171.179999999702"/>
    <n v="3021022.03"/>
    <n v="49133.970000001136"/>
    <n v="1171.1800000034273"/>
    <m/>
    <n v="1171.179999999702"/>
    <m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</r>
  <r>
    <x v="177"/>
    <x v="177"/>
    <s v="ERP"/>
    <x v="2"/>
    <x v="11"/>
    <s v="McGettigan, David"/>
    <x v="6"/>
    <x v="74"/>
    <m/>
    <m/>
    <s v="ERP_DepreAUC001"/>
    <m/>
    <s v="N/A"/>
    <m/>
    <s v="AUC"/>
    <m/>
    <m/>
    <n v="3047384"/>
    <n v="147762.3031111111"/>
    <m/>
    <m/>
    <m/>
    <m/>
    <m/>
    <s v=""/>
    <n v="0"/>
    <n v="14915.704555555556"/>
    <n v="14915.704555555556"/>
    <n v="14915.704555555556"/>
    <n v="14915.704555555556"/>
    <n v="23394.593444444443"/>
    <n v="23394.593444444443"/>
    <n v="28460.260111111111"/>
    <n v="134912.26522222222"/>
    <n v="-12850.037888888881"/>
    <n v="12850.03788888889"/>
    <n v="-12850.03788888889"/>
    <n v="-12850.03788888889"/>
    <m/>
    <n v="-12850.037888888881"/>
    <m/>
    <m/>
    <m/>
    <m/>
    <n v="0"/>
    <n v="12850.03788888889"/>
    <n v="14915.704555555556"/>
    <n v="14915.704555555556"/>
    <n v="14915.704555555556"/>
    <n v="14915.704555555556"/>
    <n v="23394.593444444443"/>
    <n v="23394.593444444443"/>
    <n v="28460.260111111111"/>
    <n v="147762.3031111111"/>
    <m/>
    <m/>
    <m/>
    <n v="12436.91"/>
    <n v="17183.39"/>
    <n v="19249.060000000001"/>
    <n v="19249.060000000001"/>
    <n v="20917.810000000001"/>
    <n v="38739.129999999997"/>
    <n v="52766.07"/>
    <n v="52766.07"/>
    <n v="65150.49"/>
    <n v="298457.99"/>
  </r>
  <r>
    <x v="178"/>
    <x v="178"/>
    <s v="ERP"/>
    <x v="2"/>
    <x v="11"/>
    <s v="McGettigan, David"/>
    <x v="2"/>
    <x v="75"/>
    <m/>
    <m/>
    <s v="ERP_Digital Funded Project_002"/>
    <m/>
    <s v="N/A"/>
    <m/>
    <s v="Digital Funded Project"/>
    <m/>
    <m/>
    <n v="100000"/>
    <n v="100000"/>
    <m/>
    <m/>
    <m/>
    <m/>
    <m/>
    <s v=""/>
    <n v="0"/>
    <n v="25000"/>
    <n v="25000"/>
    <n v="0"/>
    <n v="0"/>
    <n v="0"/>
    <n v="0"/>
    <n v="0"/>
    <n v="50000"/>
    <n v="-50000"/>
    <n v="25000"/>
    <n v="-25000"/>
    <n v="-50000"/>
    <m/>
    <n v="-50000"/>
    <m/>
    <m/>
    <m/>
    <m/>
    <n v="25000"/>
    <n v="25000"/>
    <n v="25000"/>
    <n v="25000"/>
    <n v="0"/>
    <n v="0"/>
    <n v="0"/>
    <n v="0"/>
    <n v="0"/>
    <n v="100000"/>
    <m/>
    <m/>
    <m/>
    <n v="25000"/>
    <n v="25000"/>
    <n v="25000"/>
    <n v="25000"/>
    <n v="0"/>
    <n v="0"/>
    <n v="0"/>
    <n v="0"/>
    <n v="0"/>
    <n v="100000"/>
  </r>
  <r>
    <x v="179"/>
    <x v="179"/>
    <s v="ERP"/>
    <x v="2"/>
    <x v="11"/>
    <s v="McGettigan, David"/>
    <x v="2"/>
    <x v="76"/>
    <m/>
    <m/>
    <s v="ERP_DigitalFundedProject001"/>
    <m/>
    <s v="N/A"/>
    <m/>
    <s v="Digital Funded Project"/>
    <m/>
    <m/>
    <n v="45000"/>
    <n v="30000"/>
    <m/>
    <m/>
    <m/>
    <m/>
    <m/>
    <s v=""/>
    <n v="0"/>
    <n v="0"/>
    <n v="0"/>
    <n v="0"/>
    <n v="0"/>
    <n v="0"/>
    <n v="0"/>
    <n v="0"/>
    <n v="0"/>
    <n v="-30000"/>
    <n v="15000"/>
    <n v="-15000"/>
    <n v="-30000"/>
    <m/>
    <n v="-30000"/>
    <m/>
    <m/>
    <m/>
    <m/>
    <n v="15000"/>
    <n v="15000"/>
    <n v="0"/>
    <n v="0"/>
    <n v="0"/>
    <n v="0"/>
    <n v="0"/>
    <n v="0"/>
    <n v="0"/>
    <n v="30000"/>
    <m/>
    <m/>
    <m/>
    <n v="15000"/>
    <n v="15000"/>
    <n v="0"/>
    <n v="0"/>
    <n v="0"/>
    <n v="0"/>
    <n v="0"/>
    <n v="0"/>
    <n v="0"/>
    <n v="30000"/>
  </r>
  <r>
    <x v="180"/>
    <x v="180"/>
    <s v="ERP"/>
    <x v="2"/>
    <x v="11"/>
    <s v="McGettigan, David"/>
    <x v="2"/>
    <x v="77"/>
    <m/>
    <m/>
    <s v="ERP_ProjectQuantaME001"/>
    <m/>
    <s v="N/A"/>
    <m/>
    <s v="ME"/>
    <s v="5/13/26 CHW - Removed this ME as reduction S/B covered across LT"/>
    <m/>
    <n v="-351124.00000199996"/>
    <n v="0"/>
    <m/>
    <m/>
    <m/>
    <m/>
    <m/>
    <s v=""/>
    <n v="0"/>
    <m/>
    <n v="0"/>
    <n v="0"/>
    <n v="0"/>
    <n v="0"/>
    <n v="0"/>
    <n v="0"/>
    <n v="0"/>
    <n v="0"/>
    <m/>
    <n v="0"/>
    <n v="0"/>
    <m/>
    <n v="0"/>
    <m/>
    <m/>
    <m/>
    <m/>
    <m/>
    <m/>
    <m/>
    <n v="0"/>
    <n v="0"/>
    <n v="0"/>
    <n v="0"/>
    <n v="0"/>
    <n v="0"/>
    <n v="0"/>
    <m/>
    <m/>
    <m/>
    <m/>
    <m/>
    <m/>
    <n v="-58520.666666999998"/>
    <n v="-58520.666666999998"/>
    <n v="-58520.666666999998"/>
    <n v="-58520.666666999998"/>
    <n v="-58520.666666999998"/>
    <n v="-58520.666666999998"/>
    <n v="-351124.00000199996"/>
  </r>
  <r>
    <x v="181"/>
    <x v="181"/>
    <s v="ERP"/>
    <x v="0"/>
    <x v="1"/>
    <s v="Maguire, Karla"/>
    <x v="1"/>
    <x v="78"/>
    <m/>
    <m/>
    <s v="IT-17BTF01-01"/>
    <m/>
    <m/>
    <m/>
    <s v="None"/>
    <m/>
    <m/>
    <n v="0"/>
    <n v="2006.44"/>
    <m/>
    <m/>
    <n v="0.45"/>
    <n v="1838.45"/>
    <n v="167.54"/>
    <n v="3132.21"/>
    <n v="3012.3"/>
    <n v="0"/>
    <n v="0"/>
    <n v="0"/>
    <n v="0"/>
    <n v="0"/>
    <n v="0"/>
    <n v="0"/>
    <n v="8150.95"/>
    <n v="6144.51"/>
    <n v="0"/>
    <n v="3012.3"/>
    <n v="6144.51"/>
    <m/>
    <n v="6144.51"/>
    <m/>
    <n v="0.45"/>
    <n v="1838.45"/>
    <n v="167.54"/>
    <n v="0"/>
    <n v="0"/>
    <n v="0"/>
    <n v="0"/>
    <n v="0"/>
    <n v="0"/>
    <n v="0"/>
    <n v="0"/>
    <n v="0"/>
    <n v="2006.44"/>
    <n v="0.45"/>
    <n v="1838.45"/>
    <n v="167.54"/>
    <n v="0"/>
    <n v="0"/>
    <n v="0"/>
    <n v="0"/>
    <n v="0"/>
    <n v="0"/>
    <n v="0"/>
    <n v="0"/>
    <n v="0"/>
    <n v="2006.44"/>
  </r>
  <r>
    <x v="182"/>
    <x v="182"/>
    <s v="ERP"/>
    <x v="1"/>
    <x v="6"/>
    <s v="DeHart, Lynn"/>
    <x v="2"/>
    <x v="79"/>
    <m/>
    <m/>
    <s v="IT-CTR0023-OG-US-00"/>
    <m/>
    <s v="N"/>
    <m/>
    <s v="None"/>
    <m/>
    <m/>
    <n v="0"/>
    <n v="0"/>
    <m/>
    <m/>
    <n v="0.36"/>
    <n v="-0.36"/>
    <m/>
    <n v="-5357.64"/>
    <n v="0"/>
    <m/>
    <m/>
    <m/>
    <m/>
    <m/>
    <m/>
    <m/>
    <n v="-5357.64"/>
    <n v="-5357.64"/>
    <m/>
    <n v="0"/>
    <n v="-5357.64"/>
    <m/>
    <n v="-5357.64"/>
    <m/>
    <n v="0.36"/>
    <n v="-0.36"/>
    <m/>
    <m/>
    <m/>
    <m/>
    <m/>
    <m/>
    <m/>
    <m/>
    <m/>
    <m/>
    <n v="0"/>
    <n v="0.36"/>
    <n v="-0.36"/>
    <m/>
    <m/>
    <m/>
    <m/>
    <m/>
    <m/>
    <m/>
    <m/>
    <m/>
    <m/>
    <n v="0"/>
  </r>
  <r>
    <x v="183"/>
    <x v="183"/>
    <s v="ERP"/>
    <x v="1"/>
    <x v="13"/>
    <s v="DeHart, Lynn"/>
    <x v="2"/>
    <x v="80"/>
    <s v="ACCENTURE LLP"/>
    <s v="2329611"/>
    <s v="IT-CTR0024-OG-US-00"/>
    <m/>
    <s v="9501157539"/>
    <m/>
    <s v="None"/>
    <m/>
    <m/>
    <n v="400000"/>
    <n v="300897.52"/>
    <m/>
    <m/>
    <n v="123337.5"/>
    <n v="19442.91"/>
    <n v="113117.11"/>
    <n v="5172.1500000000306"/>
    <n v="-24184.46000000001"/>
    <n v="30000"/>
    <n v="30000"/>
    <n v="30000"/>
    <n v="30000"/>
    <n v="40000"/>
    <n v="40000"/>
    <n v="40000"/>
    <n v="476885.21"/>
    <n v="175987.69"/>
    <n v="-200000"/>
    <n v="175815.53999999998"/>
    <n v="175987.69"/>
    <m/>
    <n v="175987.69"/>
    <s v="Onshore/Offshore Mix Adjustment"/>
    <n v="123337.5"/>
    <n v="19442.91"/>
    <n v="113117.11"/>
    <n v="5000"/>
    <n v="-200000"/>
    <n v="30000"/>
    <n v="30000"/>
    <n v="30000"/>
    <n v="30000"/>
    <n v="40000"/>
    <n v="40000"/>
    <n v="40000"/>
    <n v="300897.52"/>
    <n v="123337.5"/>
    <n v="19442.91"/>
    <n v="113117.11"/>
    <n v="30000"/>
    <n v="30000"/>
    <n v="30000"/>
    <n v="30000"/>
    <n v="30000"/>
    <n v="20000"/>
    <n v="20000"/>
    <n v="20000"/>
    <n v="20000"/>
    <n v="485897.52"/>
  </r>
  <r>
    <x v="184"/>
    <x v="184"/>
    <s v="ERP"/>
    <x v="1"/>
    <x v="6"/>
    <s v="DeHart, Lynn"/>
    <x v="2"/>
    <x v="81"/>
    <s v="IBM CORP"/>
    <s v="2321216"/>
    <s v="IT-CTR0027-OG-US-00"/>
    <m/>
    <s v="9501228166"/>
    <m/>
    <s v="None"/>
    <m/>
    <m/>
    <n v="553800"/>
    <n v="496255"/>
    <m/>
    <m/>
    <n v="-0.24"/>
    <n v="98366.34"/>
    <n v="-98366.1"/>
    <n v="27396.55"/>
    <n v="29503.98"/>
    <n v="31546.666666666668"/>
    <n v="48381.166666666672"/>
    <n v="48381.166666666672"/>
    <n v="48381.166666666672"/>
    <n v="85490.5"/>
    <n v="85490.5"/>
    <n v="85490.5"/>
    <n v="490062.19666666671"/>
    <n v="-6192.803333333286"/>
    <n v="31546.666666666668"/>
    <n v="-2042.6866666666683"/>
    <n v="-6192.8033333333369"/>
    <m/>
    <n v="-6192.803333333286"/>
    <m/>
    <n v="-0.24"/>
    <n v="98366.34"/>
    <n v="-98366.1"/>
    <n v="31546.666666666668"/>
    <n v="31546.666666666668"/>
    <n v="31546.666666666668"/>
    <n v="48381.166666666672"/>
    <n v="48381.166666666672"/>
    <n v="48381.166666666672"/>
    <n v="85490.5"/>
    <n v="85490.5"/>
    <n v="85490.5"/>
    <n v="496255"/>
    <n v="-0.24"/>
    <n v="98366.34"/>
    <n v="-98366.1"/>
    <n v="57403.99"/>
    <n v="57403.99"/>
    <n v="57403.99"/>
    <n v="57403.99"/>
    <n v="57403.99"/>
    <n v="57403.99"/>
    <n v="57403.99"/>
    <n v="57403.99"/>
    <n v="57403.99"/>
    <n v="516635.90999999992"/>
  </r>
  <r>
    <x v="185"/>
    <x v="185"/>
    <s v="ERP"/>
    <x v="1"/>
    <x v="6"/>
    <s v="DeHart, Lynn"/>
    <x v="2"/>
    <x v="82"/>
    <s v="IBM CORP"/>
    <s v="2321216"/>
    <s v="IT-CTR0030-OG-US-00"/>
    <m/>
    <s v="9501163821"/>
    <m/>
    <s v="None"/>
    <m/>
    <m/>
    <n v="269997.96000000008"/>
    <n v="268017.38"/>
    <m/>
    <m/>
    <n v="19158.79"/>
    <n v="20603.919999999998"/>
    <n v="25754.67"/>
    <n v="20603.73"/>
    <n v="33243.729999999996"/>
    <n v="22500"/>
    <n v="22500"/>
    <n v="22500"/>
    <n v="22500"/>
    <n v="22500"/>
    <n v="22500"/>
    <n v="22500"/>
    <n v="276864.83999999997"/>
    <n v="8847.4599999999627"/>
    <n v="22500"/>
    <n v="10743.729999999996"/>
    <n v="8847.4599999999919"/>
    <m/>
    <n v="8847.4599999999627"/>
    <m/>
    <n v="19158.79"/>
    <n v="20603.919999999998"/>
    <n v="25754.67"/>
    <n v="22500"/>
    <n v="22500"/>
    <n v="22500"/>
    <n v="22500"/>
    <n v="22500"/>
    <n v="22500"/>
    <n v="22500"/>
    <n v="22500"/>
    <n v="22500"/>
    <n v="268017.38"/>
    <n v="19158.79"/>
    <n v="20603.919999999998"/>
    <n v="25754.67"/>
    <n v="23474.3"/>
    <n v="23474.3"/>
    <n v="23474.3"/>
    <n v="23474.3"/>
    <n v="23474.3"/>
    <n v="23474.3"/>
    <n v="23474.3"/>
    <n v="23474.3"/>
    <n v="23474.3"/>
    <n v="276786.07999999996"/>
  </r>
  <r>
    <x v="186"/>
    <x v="186"/>
    <s v="ERP"/>
    <x v="1"/>
    <x v="6"/>
    <s v="DeHart, Lynn"/>
    <x v="2"/>
    <x v="83"/>
    <m/>
    <m/>
    <s v="IT-CTR0031-OG-US-00"/>
    <m/>
    <s v="N"/>
    <m/>
    <s v="None"/>
    <s v="4/28/26 CHW New add to tie-out 0223 to 0317 Planful Extracts Timing - ES Lifecycle Solutions Support_XFR0933 &amp; XFR0936 delay spending"/>
    <m/>
    <n v="489720"/>
    <n v="367290"/>
    <m/>
    <m/>
    <m/>
    <m/>
    <m/>
    <s v=""/>
    <n v="0"/>
    <n v="40810"/>
    <n v="40810"/>
    <n v="40810"/>
    <n v="40810"/>
    <n v="40810"/>
    <n v="40810"/>
    <n v="40810"/>
    <n v="285670"/>
    <n v="-81620"/>
    <n v="40810"/>
    <n v="-40810"/>
    <n v="-81620"/>
    <m/>
    <n v="-81620"/>
    <m/>
    <m/>
    <m/>
    <m/>
    <n v="40810"/>
    <n v="40810"/>
    <n v="40810"/>
    <n v="40810"/>
    <n v="40810"/>
    <n v="40810"/>
    <n v="40810"/>
    <n v="40810"/>
    <n v="40810"/>
    <n v="367290"/>
    <n v="40810"/>
    <n v="40810"/>
    <n v="40810"/>
    <n v="40810"/>
    <n v="40810"/>
    <n v="40810"/>
    <n v="40810"/>
    <n v="40810"/>
    <n v="40810"/>
    <n v="40810"/>
    <n v="40810"/>
    <n v="40810"/>
    <n v="489720"/>
  </r>
  <r>
    <x v="187"/>
    <x v="187"/>
    <s v="ERP"/>
    <x v="1"/>
    <x v="12"/>
    <s v="DeHart, Lynn"/>
    <x v="2"/>
    <x v="84"/>
    <s v="IBM"/>
    <s v="2321399"/>
    <s v="IT-CTR0034-OG-US-00"/>
    <m/>
    <s v="9501273936"/>
    <m/>
    <m/>
    <m/>
    <m/>
    <m/>
    <m/>
    <m/>
    <m/>
    <m/>
    <m/>
    <m/>
    <m/>
    <m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188"/>
    <x v="188"/>
    <s v="ERP"/>
    <x v="1"/>
    <x v="6"/>
    <s v="DeHart, Lynn"/>
    <x v="2"/>
    <x v="85"/>
    <s v="ACCENTURE LLP"/>
    <s v="2321216"/>
    <s v="IT-CTR0034-OG-US-00"/>
    <m/>
    <s v="9501173617"/>
    <m/>
    <s v="None"/>
    <m/>
    <m/>
    <n v="529998.96000000008"/>
    <n v="367389.04999999993"/>
    <m/>
    <m/>
    <n v="31387.97"/>
    <n v="29660.06"/>
    <n v="28355.06"/>
    <n v="376.37999999999738"/>
    <n v="30599.67"/>
    <n v="36080.219999999994"/>
    <n v="36080.219999999994"/>
    <n v="26514.909999999996"/>
    <n v="26514.909999999996"/>
    <n v="36080.219999999994"/>
    <n v="36080.219999999994"/>
    <n v="36080.219999999994"/>
    <n v="353810.05999999994"/>
    <n v="-13578.989999999991"/>
    <n v="36080.219999999994"/>
    <n v="-5480.5499999999956"/>
    <n v="-13578.990000000005"/>
    <m/>
    <n v="-13578.989999999991"/>
    <m/>
    <n v="31387.97"/>
    <n v="29660.06"/>
    <n v="28355.06"/>
    <n v="8474.82"/>
    <n v="36080.219999999994"/>
    <n v="36080.219999999994"/>
    <n v="36080.219999999994"/>
    <n v="26514.909999999996"/>
    <n v="26514.909999999996"/>
    <n v="36080.219999999994"/>
    <n v="36080.219999999994"/>
    <n v="36080.219999999994"/>
    <n v="367389.04999999993"/>
    <n v="31387.97"/>
    <n v="29660.06"/>
    <n v="28355.06"/>
    <n v="44166.58"/>
    <n v="44166.58"/>
    <n v="44166.58"/>
    <n v="44166.58"/>
    <n v="44166.58"/>
    <n v="44166.58"/>
    <n v="44166.58"/>
    <n v="44166.58"/>
    <n v="44166.58"/>
    <n v="486902.31000000011"/>
  </r>
  <r>
    <x v="189"/>
    <x v="189"/>
    <s v="ERP"/>
    <x v="1"/>
    <x v="13"/>
    <s v="DeHart, Lynn"/>
    <x v="2"/>
    <x v="86"/>
    <s v="IBM CORP"/>
    <s v="2329611"/>
    <s v="IT-CTR0037-OG-US-00"/>
    <m/>
    <s v="9501242577"/>
    <m/>
    <s v="None"/>
    <m/>
    <m/>
    <n v="270000"/>
    <n v="201492"/>
    <m/>
    <m/>
    <n v="-5507.82"/>
    <n v="-0.18"/>
    <n v="0"/>
    <n v="92692.25"/>
    <n v="25462.14"/>
    <n v="20000"/>
    <n v="20000"/>
    <n v="20000"/>
    <n v="15000"/>
    <n v="10000"/>
    <n v="10000"/>
    <n v="10000"/>
    <n v="217646.39"/>
    <n v="16154.390000000014"/>
    <n v="0"/>
    <n v="25462.14"/>
    <n v="16154.39"/>
    <m/>
    <n v="16154.390000000014"/>
    <s v="Onshore/Offshore Mix Adjustment"/>
    <n v="-5507.82"/>
    <n v="-0.18"/>
    <n v="0"/>
    <n v="102000"/>
    <n v="0"/>
    <n v="20000"/>
    <n v="20000"/>
    <n v="20000"/>
    <n v="15000"/>
    <n v="10000"/>
    <n v="10000"/>
    <n v="10000"/>
    <n v="201492"/>
    <n v="-5507.82"/>
    <n v="-0.18"/>
    <n v="0"/>
    <n v="20000"/>
    <n v="20000"/>
    <n v="25000"/>
    <n v="30000"/>
    <n v="30000"/>
    <n v="30000"/>
    <n v="30000"/>
    <n v="30000"/>
    <n v="30000"/>
    <n v="239492"/>
  </r>
  <r>
    <x v="190"/>
    <x v="190"/>
    <s v="ERP"/>
    <x v="1"/>
    <x v="13"/>
    <s v="DeHart, Lynn"/>
    <x v="2"/>
    <x v="87"/>
    <m/>
    <m/>
    <s v="IT-CTR0039-OG-US-00"/>
    <m/>
    <s v="N"/>
    <m/>
    <s v="None"/>
    <m/>
    <m/>
    <n v="100000"/>
    <n v="66000"/>
    <m/>
    <m/>
    <m/>
    <m/>
    <m/>
    <s v=""/>
    <n v="0"/>
    <n v="8000"/>
    <n v="8000"/>
    <n v="8000"/>
    <n v="8000"/>
    <n v="8000"/>
    <n v="8000"/>
    <n v="8000"/>
    <n v="56000"/>
    <n v="-10000"/>
    <n v="5000"/>
    <n v="-5000"/>
    <n v="-10000"/>
    <m/>
    <n v="-10000"/>
    <s v="Onshore/Offshore Mix Adjustment"/>
    <m/>
    <m/>
    <m/>
    <n v="5000"/>
    <n v="5000"/>
    <n v="8000"/>
    <n v="8000"/>
    <n v="8000"/>
    <n v="8000"/>
    <n v="8000"/>
    <n v="8000"/>
    <n v="8000"/>
    <n v="66000"/>
    <m/>
    <m/>
    <m/>
    <n v="10000"/>
    <n v="10000"/>
    <n v="10000"/>
    <n v="10000"/>
    <n v="10000"/>
    <n v="10000"/>
    <n v="10000"/>
    <n v="10000"/>
    <n v="10000"/>
    <n v="90000"/>
  </r>
  <r>
    <x v="191"/>
    <x v="191"/>
    <s v="ERP"/>
    <x v="1"/>
    <x v="5"/>
    <s v="DeHart, Lynn"/>
    <x v="2"/>
    <x v="88"/>
    <m/>
    <s v="2320521"/>
    <s v="IT-CTR0040-OG-US-00"/>
    <m/>
    <s v="9501226983"/>
    <m/>
    <s v="None"/>
    <m/>
    <m/>
    <n v="0"/>
    <n v="0.1499999999996362"/>
    <m/>
    <m/>
    <m/>
    <n v="-16768"/>
    <n v="12756.15"/>
    <n v="6266.17"/>
    <n v="6266.17"/>
    <n v="0"/>
    <n v="0"/>
    <n v="0"/>
    <n v="0"/>
    <n v="0"/>
    <n v="0"/>
    <n v="0"/>
    <n v="8520.49"/>
    <n v="8520.34"/>
    <n v="4012"/>
    <n v="2254.17"/>
    <n v="8520.34"/>
    <m/>
    <n v="8520.34"/>
    <s v="IERP Support costs. Incorrectly transferred to Karla's cost center. This should have been transferred to Jerome. "/>
    <m/>
    <n v="-16768"/>
    <n v="12756.15"/>
    <n v="0"/>
    <n v="4012"/>
    <n v="0"/>
    <n v="0"/>
    <n v="0"/>
    <n v="0"/>
    <n v="0"/>
    <n v="0"/>
    <n v="0"/>
    <n v="0.1499999999996362"/>
    <m/>
    <n v="-16768"/>
    <n v="12756.15"/>
    <n v="0"/>
    <n v="0"/>
    <n v="0"/>
    <n v="0"/>
    <n v="0"/>
    <n v="0"/>
    <n v="0"/>
    <n v="0"/>
    <n v="0"/>
    <n v="-4011.8500000000004"/>
  </r>
  <r>
    <x v="192"/>
    <x v="192"/>
    <s v="ERP"/>
    <x v="1"/>
    <x v="6"/>
    <s v="DeHart, Lynn"/>
    <x v="2"/>
    <x v="89"/>
    <m/>
    <s v="2321216"/>
    <s v="IT-CTR0041-OG-US-00"/>
    <m/>
    <s v="Multiple"/>
    <m/>
    <s v="None"/>
    <s v=" XfR-0050-A had a transfer for 150K. This transfer is being merged wth WBS  CTR0041 (original 824K). The forecast has been reduced to 592K, effectively reducing the forecast by $362K, XFR-0050 will 0 - AJ - 05/01"/>
    <m/>
    <n v="624000"/>
    <n v="592260.42999999993"/>
    <m/>
    <m/>
    <n v="67126.64"/>
    <n v="74377.41"/>
    <n v="83640.33"/>
    <n v="-58284.780000000013"/>
    <n v="17767.169999999998"/>
    <n v="37705.5"/>
    <n v="37705.5"/>
    <n v="47270.81"/>
    <n v="47270.81"/>
    <n v="47270.81"/>
    <n v="47270.81"/>
    <n v="47270.81"/>
    <n v="496391.81999999995"/>
    <n v="-95868.609999999986"/>
    <n v="37705.5"/>
    <n v="-19938.330000000002"/>
    <n v="-95868.610000000044"/>
    <m/>
    <n v="-95868.609999999986"/>
    <m/>
    <n v="67126.64"/>
    <n v="74377.41"/>
    <n v="83640.33"/>
    <n v="17645.5"/>
    <n v="37705.5"/>
    <n v="37705.5"/>
    <n v="37705.5"/>
    <n v="47270.81"/>
    <n v="47270.81"/>
    <n v="47270.81"/>
    <n v="47270.81"/>
    <n v="47270.81"/>
    <n v="592260.42999999993"/>
    <n v="67126.64"/>
    <n v="74377.41"/>
    <n v="83640.33"/>
    <n v="71858"/>
    <n v="71858"/>
    <n v="71858"/>
    <n v="71858"/>
    <n v="71858"/>
    <n v="71858"/>
    <n v="71858"/>
    <n v="71858"/>
    <n v="71858"/>
    <n v="871866.38"/>
  </r>
  <r>
    <x v="193"/>
    <x v="193"/>
    <s v="ERP"/>
    <x v="0"/>
    <x v="1"/>
    <s v="Tamavada, Ram"/>
    <x v="1"/>
    <x v="90"/>
    <s v="IBM"/>
    <s v="2320843"/>
    <s v="IT-CTR0044-OG-US-00"/>
    <m/>
    <s v="9501250402"/>
    <m/>
    <m/>
    <m/>
    <m/>
    <m/>
    <m/>
    <m/>
    <m/>
    <m/>
    <m/>
    <m/>
    <n v="35539.5"/>
    <n v="-35539.5"/>
    <m/>
    <m/>
    <m/>
    <m/>
    <m/>
    <m/>
    <m/>
    <n v="0"/>
    <n v="0"/>
    <m/>
    <n v="-35539.5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194"/>
    <x v="194"/>
    <s v="ERP"/>
    <x v="0"/>
    <x v="8"/>
    <s v="Meadows, Leslie"/>
    <x v="1"/>
    <x v="91"/>
    <m/>
    <s v="2321511"/>
    <s v="IT-CTR0044-OG-US-00"/>
    <m/>
    <s v="9501250402"/>
    <m/>
    <m/>
    <m/>
    <m/>
    <m/>
    <m/>
    <m/>
    <m/>
    <m/>
    <m/>
    <m/>
    <m/>
    <n v="45743"/>
    <m/>
    <m/>
    <m/>
    <m/>
    <m/>
    <m/>
    <m/>
    <n v="45743"/>
    <n v="45743"/>
    <m/>
    <n v="45743"/>
    <n v="45743"/>
    <m/>
    <n v="45743"/>
    <m/>
    <m/>
    <m/>
    <m/>
    <m/>
    <m/>
    <m/>
    <m/>
    <m/>
    <m/>
    <m/>
    <m/>
    <m/>
    <m/>
    <m/>
    <m/>
    <m/>
    <m/>
    <m/>
    <m/>
    <m/>
    <m/>
    <m/>
    <m/>
    <m/>
    <m/>
    <m/>
  </r>
  <r>
    <x v="195"/>
    <x v="195"/>
    <s v="ERP"/>
    <x v="0"/>
    <x v="8"/>
    <s v="Maguire, Karla"/>
    <x v="2"/>
    <x v="92"/>
    <m/>
    <m/>
    <s v="IT-CTR0044-OG-US-00"/>
    <m/>
    <m/>
    <m/>
    <s v="None"/>
    <m/>
    <m/>
    <n v="551723.03999999992"/>
    <n v="460642"/>
    <m/>
    <m/>
    <m/>
    <m/>
    <m/>
    <n v="0"/>
    <n v="29102.65"/>
    <n v="49848"/>
    <n v="40857"/>
    <n v="40681"/>
    <n v="37645"/>
    <n v="37694"/>
    <n v="37645"/>
    <n v="37694"/>
    <n v="311166.65000000002"/>
    <n v="-149475.34999999998"/>
    <n v="141912"/>
    <n v="-112809.35"/>
    <n v="-149475.35"/>
    <n v="-91081"/>
    <n v="-58394.349999999977"/>
    <s v="testing factory adjustment"/>
    <m/>
    <m/>
    <m/>
    <n v="36666"/>
    <n v="141912"/>
    <n v="49848"/>
    <n v="40857"/>
    <n v="40681"/>
    <n v="37645"/>
    <n v="37694"/>
    <n v="37645"/>
    <n v="37694"/>
    <n v="460642"/>
    <m/>
    <m/>
    <m/>
    <n v="61303"/>
    <n v="61303"/>
    <n v="61303"/>
    <n v="61303"/>
    <n v="61303"/>
    <n v="61303"/>
    <n v="61303"/>
    <n v="61303"/>
    <n v="61303"/>
    <n v="551727"/>
  </r>
  <r>
    <x v="196"/>
    <x v="196"/>
    <s v="ERP"/>
    <x v="1"/>
    <x v="5"/>
    <s v="DeHart, Lynn"/>
    <x v="2"/>
    <x v="93"/>
    <m/>
    <m/>
    <s v="IT-CTR0045-OG-US-00"/>
    <s v="CHW - Ok"/>
    <m/>
    <m/>
    <s v="None"/>
    <m/>
    <m/>
    <n v="0"/>
    <n v="3558.41"/>
    <m/>
    <m/>
    <n v="3558.41"/>
    <n v="0"/>
    <n v="0"/>
    <n v="0"/>
    <n v="0"/>
    <n v="0"/>
    <n v="0"/>
    <n v="0"/>
    <n v="0"/>
    <n v="0"/>
    <n v="0"/>
    <n v="0"/>
    <n v="3558.41"/>
    <n v="0"/>
    <n v="0"/>
    <n v="0"/>
    <n v="0"/>
    <m/>
    <n v="0"/>
    <s v="Don't know what this is. - This is Glenn White's PO 9500912136"/>
    <n v="3558.41"/>
    <n v="0"/>
    <n v="0"/>
    <n v="0"/>
    <n v="0"/>
    <n v="0"/>
    <n v="0"/>
    <n v="0"/>
    <n v="0"/>
    <n v="0"/>
    <n v="0"/>
    <n v="0"/>
    <n v="3558.41"/>
    <n v="3558.41"/>
    <n v="0"/>
    <n v="0"/>
    <n v="0"/>
    <n v="0"/>
    <n v="0"/>
    <n v="0"/>
    <n v="0"/>
    <n v="0"/>
    <n v="0"/>
    <n v="0"/>
    <n v="0"/>
    <n v="3558.41"/>
  </r>
  <r>
    <x v="197"/>
    <x v="197"/>
    <s v="ERP"/>
    <x v="1"/>
    <x v="6"/>
    <s v="DeHart, Lynn"/>
    <x v="2"/>
    <x v="93"/>
    <m/>
    <m/>
    <s v="IT-CTR0045-OG-US-00"/>
    <s v="CHW - Ok"/>
    <m/>
    <m/>
    <s v="None"/>
    <m/>
    <m/>
    <n v="270422.03999999992"/>
    <n v="166650"/>
    <m/>
    <m/>
    <m/>
    <m/>
    <m/>
    <s v=""/>
    <n v="0"/>
    <n v="7837.5"/>
    <n v="7837.5"/>
    <n v="7837.5"/>
    <n v="7837.5"/>
    <n v="7837.5"/>
    <n v="7837.5"/>
    <n v="7837.5"/>
    <n v="54862.5"/>
    <n v="-111787.5"/>
    <n v="111787.5"/>
    <n v="-111787.5"/>
    <n v="-111787.5"/>
    <m/>
    <n v="-111787.5"/>
    <m/>
    <m/>
    <m/>
    <m/>
    <n v="0"/>
    <n v="111787.5"/>
    <n v="7837.5"/>
    <n v="7837.5"/>
    <n v="7837.5"/>
    <n v="7837.5"/>
    <n v="7837.5"/>
    <n v="7837.5"/>
    <n v="7837.5"/>
    <n v="166650"/>
    <m/>
    <m/>
    <m/>
    <n v="26158"/>
    <n v="26158"/>
    <n v="26158"/>
    <n v="26158"/>
    <n v="26158"/>
    <n v="26158"/>
    <n v="26158"/>
    <n v="26158"/>
    <n v="26158"/>
    <n v="235422"/>
  </r>
  <r>
    <x v="198"/>
    <x v="198"/>
    <s v="ERP"/>
    <x v="1"/>
    <x v="13"/>
    <s v="DeHart, Lynn"/>
    <x v="2"/>
    <x v="94"/>
    <m/>
    <m/>
    <s v="IT-CTR0046-OG-US-00"/>
    <m/>
    <s v="N"/>
    <m/>
    <s v="None"/>
    <m/>
    <m/>
    <n v="70000"/>
    <n v="40000"/>
    <m/>
    <m/>
    <m/>
    <m/>
    <m/>
    <s v=""/>
    <n v="0"/>
    <n v="5000"/>
    <n v="5000"/>
    <n v="5000"/>
    <n v="5000"/>
    <n v="5000"/>
    <n v="5000"/>
    <n v="10000"/>
    <n v="40000"/>
    <n v="0"/>
    <m/>
    <n v="0"/>
    <n v="0"/>
    <m/>
    <n v="0"/>
    <s v="Onshore/Offshore Mix Adjustment"/>
    <m/>
    <m/>
    <m/>
    <m/>
    <m/>
    <n v="5000"/>
    <n v="5000"/>
    <n v="5000"/>
    <n v="5000"/>
    <n v="5000"/>
    <n v="5000"/>
    <n v="10000"/>
    <n v="40000"/>
    <m/>
    <m/>
    <m/>
    <n v="7000"/>
    <n v="7000"/>
    <n v="7000"/>
    <n v="7000"/>
    <n v="7000"/>
    <n v="7000"/>
    <n v="7000"/>
    <n v="7000"/>
    <n v="7000"/>
    <n v="63000"/>
  </r>
  <r>
    <x v="199"/>
    <x v="199"/>
    <s v="ERP"/>
    <x v="1"/>
    <x v="5"/>
    <s v="DeHart, Lynn"/>
    <x v="2"/>
    <x v="95"/>
    <m/>
    <m/>
    <s v="IT-CTR0049-OG-US-00"/>
    <s v="9501015433"/>
    <m/>
    <m/>
    <s v="2026 Budget Transfer"/>
    <m/>
    <m/>
    <n v="50000"/>
    <n v="50000"/>
    <m/>
    <m/>
    <m/>
    <m/>
    <m/>
    <s v=""/>
    <n v="0"/>
    <n v="11400"/>
    <n v="0"/>
    <n v="0"/>
    <n v="9000"/>
    <n v="9000"/>
    <n v="9500"/>
    <n v="0"/>
    <n v="38900"/>
    <n v="-11100"/>
    <n v="11100"/>
    <n v="-11100"/>
    <n v="-11100"/>
    <m/>
    <n v="-11100"/>
    <m/>
    <m/>
    <m/>
    <m/>
    <n v="0"/>
    <n v="11100"/>
    <n v="11400"/>
    <n v="0"/>
    <n v="0"/>
    <n v="9000"/>
    <n v="9000"/>
    <n v="9500"/>
    <n v="0"/>
    <n v="50000"/>
    <m/>
    <m/>
    <m/>
    <m/>
    <m/>
    <m/>
    <n v="10000"/>
    <n v="10000"/>
    <n v="10000"/>
    <n v="10000"/>
    <n v="10000"/>
    <n v="0"/>
    <n v="50000"/>
  </r>
  <r>
    <x v="200"/>
    <x v="200"/>
    <s v="ERP"/>
    <x v="0"/>
    <x v="10"/>
    <s v="Maguire, Karla"/>
    <x v="2"/>
    <x v="96"/>
    <m/>
    <m/>
    <s v="IT-CTR0067-OG-CR-00"/>
    <m/>
    <m/>
    <m/>
    <s v="None"/>
    <m/>
    <m/>
    <n v="0"/>
    <n v="214.49"/>
    <m/>
    <m/>
    <n v="215.71"/>
    <n v="-1.22"/>
    <n v="0"/>
    <s v=""/>
    <n v="0"/>
    <n v="0"/>
    <n v="0"/>
    <n v="0"/>
    <n v="0"/>
    <n v="0"/>
    <n v="0"/>
    <n v="0"/>
    <n v="214.49"/>
    <n v="0"/>
    <n v="0"/>
    <n v="0"/>
    <n v="0"/>
    <m/>
    <n v="0"/>
    <m/>
    <n v="215.71"/>
    <n v="-1.22"/>
    <n v="0"/>
    <n v="0"/>
    <n v="0"/>
    <n v="0"/>
    <n v="0"/>
    <n v="0"/>
    <n v="0"/>
    <n v="0"/>
    <n v="0"/>
    <n v="0"/>
    <n v="214.49"/>
    <n v="215.71"/>
    <n v="-1.22"/>
    <n v="0"/>
    <n v="0"/>
    <n v="0"/>
    <n v="0"/>
    <n v="0"/>
    <n v="0"/>
    <n v="0"/>
    <n v="0"/>
    <n v="0"/>
    <n v="0"/>
    <n v="214.49"/>
  </r>
  <r>
    <x v="201"/>
    <x v="201"/>
    <s v="ERP"/>
    <x v="1"/>
    <x v="5"/>
    <s v="DeHart, Lynn"/>
    <x v="2"/>
    <x v="97"/>
    <m/>
    <m/>
    <s v="IT-CTR0075-OG-MX-00"/>
    <m/>
    <m/>
    <m/>
    <s v="None"/>
    <m/>
    <m/>
    <n v="6000"/>
    <n v="6000"/>
    <m/>
    <m/>
    <m/>
    <m/>
    <m/>
    <s v=""/>
    <n v="0"/>
    <m/>
    <m/>
    <m/>
    <n v="6000"/>
    <n v="0"/>
    <n v="0"/>
    <n v="0"/>
    <n v="6000"/>
    <n v="0"/>
    <m/>
    <n v="0"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x v="202"/>
    <x v="202"/>
    <s v="ERP"/>
    <x v="1"/>
    <x v="5"/>
    <s v="DeHart, Lynn"/>
    <x v="2"/>
    <x v="98"/>
    <m/>
    <m/>
    <s v="IT-CTR0076-OG-MX-00"/>
    <m/>
    <m/>
    <m/>
    <s v="None"/>
    <m/>
    <m/>
    <n v="6000"/>
    <n v="6000"/>
    <m/>
    <m/>
    <m/>
    <m/>
    <m/>
    <s v=""/>
    <n v="0"/>
    <m/>
    <m/>
    <m/>
    <n v="6000"/>
    <n v="0"/>
    <n v="0"/>
    <n v="0"/>
    <n v="6000"/>
    <n v="0"/>
    <m/>
    <n v="0"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x v="203"/>
    <x v="203"/>
    <s v="ERP"/>
    <x v="1"/>
    <x v="5"/>
    <s v="DeHart, Lynn"/>
    <x v="2"/>
    <x v="99"/>
    <m/>
    <m/>
    <s v="IT-CTR0077-OG-MX-00"/>
    <m/>
    <m/>
    <m/>
    <s v="None"/>
    <m/>
    <m/>
    <n v="45000"/>
    <n v="45000"/>
    <m/>
    <m/>
    <m/>
    <m/>
    <m/>
    <s v=""/>
    <n v="0"/>
    <m/>
    <m/>
    <m/>
    <n v="45000"/>
    <n v="0"/>
    <n v="0"/>
    <n v="0"/>
    <n v="45000"/>
    <n v="0"/>
    <m/>
    <n v="0"/>
    <n v="0"/>
    <m/>
    <n v="0"/>
    <m/>
    <m/>
    <m/>
    <m/>
    <m/>
    <m/>
    <m/>
    <m/>
    <m/>
    <n v="45000"/>
    <n v="0"/>
    <n v="0"/>
    <n v="0"/>
    <n v="45000"/>
    <m/>
    <m/>
    <m/>
    <m/>
    <m/>
    <m/>
    <m/>
    <m/>
    <n v="45000"/>
    <n v="0"/>
    <n v="0"/>
    <n v="0"/>
    <n v="45000"/>
  </r>
  <r>
    <x v="204"/>
    <x v="204"/>
    <s v="ERP"/>
    <x v="2"/>
    <x v="11"/>
    <s v="McGettigan, David"/>
    <x v="2"/>
    <x v="100"/>
    <m/>
    <m/>
    <s v="IT-CTR0089-OG-US-00"/>
    <m/>
    <m/>
    <m/>
    <s v="Billing Related - Datacenter Hosting Products"/>
    <m/>
    <m/>
    <n v="0"/>
    <n v="0"/>
    <m/>
    <m/>
    <n v="-1104045.58"/>
    <n v="1104045.58"/>
    <m/>
    <n v="0"/>
    <n v="0"/>
    <m/>
    <m/>
    <m/>
    <m/>
    <m/>
    <m/>
    <m/>
    <n v="0"/>
    <n v="0"/>
    <m/>
    <n v="0"/>
    <n v="0"/>
    <m/>
    <n v="0"/>
    <m/>
    <n v="-1104045.58"/>
    <n v="1104045.58"/>
    <m/>
    <m/>
    <m/>
    <m/>
    <m/>
    <m/>
    <m/>
    <m/>
    <m/>
    <m/>
    <n v="0"/>
    <n v="-1104045.58"/>
    <n v="1104045.58"/>
    <m/>
    <m/>
    <m/>
    <m/>
    <m/>
    <m/>
    <m/>
    <m/>
    <m/>
    <m/>
    <n v="0"/>
  </r>
  <r>
    <x v="205"/>
    <x v="205"/>
    <s v="ERP"/>
    <x v="1"/>
    <x v="6"/>
    <s v="DeHart, Lynn"/>
    <x v="2"/>
    <x v="101"/>
    <m/>
    <m/>
    <s v="IT-CTR0090-OG-US-00"/>
    <m/>
    <m/>
    <m/>
    <s v="None"/>
    <m/>
    <m/>
    <n v="10277"/>
    <n v="10277"/>
    <m/>
    <m/>
    <m/>
    <m/>
    <m/>
    <s v=""/>
    <n v="0"/>
    <n v="0"/>
    <n v="0"/>
    <n v="5723"/>
    <n v="0"/>
    <n v="0"/>
    <n v="0"/>
    <n v="0"/>
    <n v="5723"/>
    <n v="-4554"/>
    <n v="4554"/>
    <n v="-4554"/>
    <n v="-4554"/>
    <m/>
    <n v="-4554"/>
    <m/>
    <m/>
    <m/>
    <m/>
    <m/>
    <n v="4554"/>
    <n v="0"/>
    <n v="0"/>
    <n v="5723"/>
    <n v="0"/>
    <n v="0"/>
    <n v="0"/>
    <n v="0"/>
    <n v="10277"/>
    <m/>
    <m/>
    <m/>
    <m/>
    <n v="4554"/>
    <n v="0"/>
    <n v="0"/>
    <n v="5723"/>
    <n v="0"/>
    <n v="0"/>
    <n v="0"/>
    <n v="0"/>
    <n v="10277"/>
  </r>
  <r>
    <x v="206"/>
    <x v="206"/>
    <s v="ERP"/>
    <x v="0"/>
    <x v="9"/>
    <s v="Maguire, Karla"/>
    <x v="2"/>
    <x v="102"/>
    <m/>
    <s v="2329614"/>
    <s v="IT-CTR0093-OG-US-00"/>
    <m/>
    <s v="Multiple"/>
    <m/>
    <s v="2024 Transfer"/>
    <m/>
    <m/>
    <n v="345518.86"/>
    <n v="345670.24"/>
    <m/>
    <m/>
    <n v="35812"/>
    <n v="40109.440000000002"/>
    <n v="50136.800000000003"/>
    <n v="40109.449999999997"/>
    <n v="40109.449999999997"/>
    <n v="28897"/>
    <n v="23013"/>
    <n v="22297"/>
    <n v="19127"/>
    <n v="19127"/>
    <n v="19127"/>
    <n v="19127"/>
    <n v="356992.14"/>
    <n v="11321.900000000023"/>
    <n v="28897"/>
    <n v="11212.449999999997"/>
    <n v="11321.900000000023"/>
    <m/>
    <n v="11321.900000000023"/>
    <m/>
    <n v="35812"/>
    <n v="40109.440000000002"/>
    <n v="50136.800000000003"/>
    <n v="40000"/>
    <n v="28897"/>
    <n v="28897"/>
    <n v="23013"/>
    <n v="22297"/>
    <n v="19127"/>
    <n v="19127"/>
    <n v="19127"/>
    <n v="19127"/>
    <n v="345670.24"/>
    <n v="35812"/>
    <n v="40109.440000000002"/>
    <n v="50136.800000000003"/>
    <n v="40000"/>
    <n v="28897"/>
    <n v="28897"/>
    <n v="23013"/>
    <n v="22297"/>
    <n v="22297"/>
    <n v="22297"/>
    <n v="22297"/>
    <n v="22297"/>
    <n v="358350.24"/>
  </r>
  <r>
    <x v="207"/>
    <x v="207"/>
    <s v="ERP"/>
    <x v="0"/>
    <x v="0"/>
    <s v="Maguire, Karla"/>
    <x v="2"/>
    <x v="103"/>
    <s v="åŒ—äº¬å¾®ç§‘ç§‘æŠ€æœ‰é™å…¬å¸"/>
    <s v="2137469"/>
    <s v="IT-CTR0094-OG-US-00"/>
    <m/>
    <s v="9501146792"/>
    <m/>
    <s v="SAP"/>
    <m/>
    <m/>
    <n v="216000"/>
    <n v="197423.06"/>
    <m/>
    <m/>
    <n v="14166"/>
    <n v="18835.37"/>
    <n v="16863.689999999999"/>
    <n v="15866.15"/>
    <n v="15866.160000000003"/>
    <n v="17000"/>
    <n v="17000"/>
    <n v="17000"/>
    <n v="17000"/>
    <n v="17000"/>
    <n v="17000"/>
    <n v="17000"/>
    <n v="200597.37"/>
    <n v="3174.3099999999977"/>
    <n v="17000"/>
    <n v="-1133.8399999999965"/>
    <n v="3174.3099999999977"/>
    <m/>
    <n v="3174.3099999999977"/>
    <m/>
    <n v="14166"/>
    <n v="18835.37"/>
    <n v="16863.689999999999"/>
    <n v="11558"/>
    <n v="17000"/>
    <n v="17000"/>
    <n v="17000"/>
    <n v="17000"/>
    <n v="17000"/>
    <n v="17000"/>
    <n v="17000"/>
    <n v="17000"/>
    <n v="197423.06"/>
    <n v="14166"/>
    <n v="18835.37"/>
    <n v="16863.689999999999"/>
    <n v="18000"/>
    <n v="18000"/>
    <n v="18000"/>
    <n v="18000"/>
    <n v="18000"/>
    <n v="18000"/>
    <n v="18000"/>
    <n v="18000"/>
    <n v="18000"/>
    <n v="211865.06"/>
  </r>
  <r>
    <x v="208"/>
    <x v="208"/>
    <s v="ERP"/>
    <x v="0"/>
    <x v="0"/>
    <s v="Maguire, Karla"/>
    <x v="2"/>
    <x v="104"/>
    <s v="MPHASIS CORPORATION"/>
    <s v="2321402"/>
    <s v="IT-CTR0096-OG-US-00"/>
    <m/>
    <s v="9501172399"/>
    <m/>
    <s v="SAP"/>
    <m/>
    <m/>
    <n v="237888"/>
    <n v="236045.4"/>
    <m/>
    <m/>
    <n v="16372"/>
    <n v="18336.62"/>
    <n v="22920.78"/>
    <n v="18336.629999999997"/>
    <n v="18336.63"/>
    <n v="19824"/>
    <n v="19824"/>
    <n v="19824"/>
    <n v="19824"/>
    <n v="19824"/>
    <n v="19824"/>
    <n v="19824"/>
    <n v="233070.66"/>
    <n v="-2974.7399999999907"/>
    <n v="19824"/>
    <n v="-1487.369999999999"/>
    <n v="-2974.7399999999907"/>
    <m/>
    <n v="-2974.7399999999907"/>
    <m/>
    <n v="16372"/>
    <n v="18336.62"/>
    <n v="22920.78"/>
    <n v="19824"/>
    <n v="19824"/>
    <n v="19824"/>
    <n v="19824"/>
    <n v="19824"/>
    <n v="19824"/>
    <n v="19824"/>
    <n v="19824"/>
    <n v="19824"/>
    <n v="236045.4"/>
    <n v="16372"/>
    <n v="18336.62"/>
    <n v="22920.78"/>
    <n v="19824"/>
    <n v="19824"/>
    <n v="19824"/>
    <n v="19824"/>
    <n v="19824"/>
    <n v="19824"/>
    <n v="19824"/>
    <n v="19824"/>
    <n v="19824"/>
    <n v="236045.4"/>
  </r>
  <r>
    <x v="209"/>
    <x v="209"/>
    <s v="ERP"/>
    <x v="0"/>
    <x v="0"/>
    <s v="Maguire, Karla"/>
    <x v="2"/>
    <x v="105"/>
    <s v="JUDGE TECHNICAL STAFFING"/>
    <s v="2321402"/>
    <s v="IT-CTR0097-OG-US-00"/>
    <m/>
    <s v="9501146194"/>
    <m/>
    <s v="2024 Transfer"/>
    <m/>
    <m/>
    <n v="230004"/>
    <n v="211390.3"/>
    <m/>
    <m/>
    <n v="14973"/>
    <n v="18162.759999999998"/>
    <n v="19567.54"/>
    <n v="16769.23"/>
    <n v="16769.23"/>
    <n v="17440"/>
    <n v="17440"/>
    <n v="17440"/>
    <n v="17440"/>
    <n v="17440"/>
    <n v="17440"/>
    <n v="17440"/>
    <n v="208321.76"/>
    <n v="-3068.539999999979"/>
    <n v="17440"/>
    <n v="-670.77000000000044"/>
    <n v="-3068.5399999999936"/>
    <m/>
    <n v="-3068.539999999979"/>
    <m/>
    <n v="14973"/>
    <n v="18162.759999999998"/>
    <n v="19567.54"/>
    <n v="19167"/>
    <n v="17440"/>
    <n v="17440"/>
    <n v="17440"/>
    <n v="17440"/>
    <n v="17440"/>
    <n v="17440"/>
    <n v="17440"/>
    <n v="17440"/>
    <n v="211390.3"/>
    <n v="14973"/>
    <n v="18162.759999999998"/>
    <n v="19567.54"/>
    <n v="19167"/>
    <n v="19167"/>
    <n v="19167"/>
    <n v="19167"/>
    <n v="19167"/>
    <n v="19167"/>
    <n v="19167"/>
    <n v="19167"/>
    <n v="19167"/>
    <n v="225206.3"/>
  </r>
  <r>
    <x v="210"/>
    <x v="210"/>
    <s v="ERP"/>
    <x v="0"/>
    <x v="0"/>
    <s v="Maguire, Karla"/>
    <x v="2"/>
    <x v="106"/>
    <s v="COMBINED COMPUTER RESOURCES INC"/>
    <s v="2321402"/>
    <s v="IT-CTR0098-OG-US-00"/>
    <m/>
    <s v="9501146188"/>
    <m/>
    <s v="2024 Transfer"/>
    <m/>
    <m/>
    <n v="187200"/>
    <n v="185657.15"/>
    <m/>
    <m/>
    <n v="12857"/>
    <n v="18823.150000000001"/>
    <n v="13577"/>
    <n v="14400"/>
    <n v="17263"/>
    <n v="15600"/>
    <n v="15600"/>
    <n v="15600"/>
    <n v="15600"/>
    <n v="15600"/>
    <n v="15600"/>
    <n v="15600"/>
    <n v="186120.15"/>
    <n v="463"/>
    <n v="15600"/>
    <n v="1663"/>
    <n v="463"/>
    <m/>
    <n v="463"/>
    <m/>
    <n v="12857"/>
    <n v="18823.150000000001"/>
    <n v="13577"/>
    <n v="15600"/>
    <n v="15600"/>
    <n v="15600"/>
    <n v="15600"/>
    <n v="15600"/>
    <n v="15600"/>
    <n v="15600"/>
    <n v="15600"/>
    <n v="15600"/>
    <n v="185657.15"/>
    <n v="12857"/>
    <n v="18823.150000000001"/>
    <n v="13577"/>
    <n v="15600"/>
    <n v="15600"/>
    <n v="15600"/>
    <n v="15600"/>
    <n v="15600"/>
    <n v="15600"/>
    <n v="15600"/>
    <n v="15600"/>
    <n v="15600"/>
    <n v="185657.15"/>
  </r>
  <r>
    <x v="211"/>
    <x v="211"/>
    <s v="ERP"/>
    <x v="0"/>
    <x v="0"/>
    <s v="Maguire, Karla"/>
    <x v="2"/>
    <x v="107"/>
    <s v="ACCENTURE LLP"/>
    <s v="2321402"/>
    <s v="IT-CTR0099-OG-US-00"/>
    <m/>
    <s v="9501155447"/>
    <m/>
    <s v="2024 Transfer"/>
    <m/>
    <m/>
    <n v="141310.95000000001"/>
    <n v="132735.51"/>
    <m/>
    <m/>
    <n v="9654"/>
    <n v="14825.74"/>
    <n v="12851.77"/>
    <n v="7463.62"/>
    <n v="16343.609999999997"/>
    <n v="9590"/>
    <n v="9590"/>
    <n v="10718"/>
    <n v="11090"/>
    <n v="11090"/>
    <n v="9590"/>
    <n v="11076"/>
    <n v="133882.74"/>
    <n v="1147.2299999999814"/>
    <n v="10718"/>
    <n v="5625.6099999999969"/>
    <n v="1147.2299999999959"/>
    <m/>
    <n v="1147.2299999999814"/>
    <m/>
    <n v="9654"/>
    <n v="14825.74"/>
    <n v="12851.77"/>
    <n v="11942"/>
    <n v="10718"/>
    <n v="9590"/>
    <n v="9590"/>
    <n v="10718"/>
    <n v="11090"/>
    <n v="11090"/>
    <n v="9590"/>
    <n v="11076"/>
    <n v="132735.51"/>
    <n v="9654"/>
    <n v="14825.74"/>
    <n v="12851.77"/>
    <n v="10870.45"/>
    <n v="11986"/>
    <n v="11986"/>
    <n v="11986"/>
    <n v="11986"/>
    <n v="11986"/>
    <n v="11986"/>
    <n v="11986"/>
    <n v="11986"/>
    <n v="144089.96"/>
  </r>
  <r>
    <x v="212"/>
    <x v="212"/>
    <s v="ERP"/>
    <x v="0"/>
    <x v="0"/>
    <s v="Maguire, Karla"/>
    <x v="2"/>
    <x v="108"/>
    <s v="INFOSYS LIMITED"/>
    <s v="2321402"/>
    <s v="IT-CTR0101-OG-US-00"/>
    <m/>
    <s v="9501140303"/>
    <m/>
    <s v="None"/>
    <m/>
    <m/>
    <n v="97500"/>
    <n v="90751.67"/>
    <m/>
    <m/>
    <n v="10704.42"/>
    <n v="11988.8"/>
    <n v="9558.4500000000007"/>
    <n v="6923.07"/>
    <n v="8819.08"/>
    <n v="6000"/>
    <n v="6000"/>
    <n v="6000"/>
    <n v="6000"/>
    <n v="7500"/>
    <n v="7500"/>
    <n v="7500"/>
    <n v="94493.82"/>
    <n v="3742.1500000000087"/>
    <n v="6000"/>
    <n v="2819.08"/>
    <n v="3742.1500000000087"/>
    <m/>
    <n v="3742.1500000000087"/>
    <m/>
    <n v="10704.42"/>
    <n v="11988.8"/>
    <n v="9558.4500000000007"/>
    <n v="6000"/>
    <n v="6000"/>
    <n v="6000"/>
    <n v="6000"/>
    <n v="6000"/>
    <n v="6000"/>
    <n v="7500"/>
    <n v="7500"/>
    <n v="7500"/>
    <n v="90751.67"/>
    <n v="10704.42"/>
    <n v="11988.8"/>
    <n v="9558.4500000000007"/>
    <n v="8125"/>
    <n v="8125"/>
    <n v="8125"/>
    <n v="8125"/>
    <n v="8125"/>
    <n v="8125"/>
    <n v="8125"/>
    <n v="8125"/>
    <n v="8125"/>
    <n v="105376.67"/>
  </r>
  <r>
    <x v="213"/>
    <x v="213"/>
    <s v="ERP"/>
    <x v="0"/>
    <x v="0"/>
    <s v="Maguire, Karla"/>
    <x v="2"/>
    <x v="109"/>
    <s v="INFOSYS LIMITED"/>
    <s v="2321402"/>
    <s v="IT-CTR0102-OG-US-00"/>
    <m/>
    <s v="9501145077"/>
    <m/>
    <s v="None"/>
    <m/>
    <m/>
    <n v="107910"/>
    <n v="99679.13"/>
    <m/>
    <m/>
    <n v="6841"/>
    <n v="9759.2000000000007"/>
    <n v="7478.93"/>
    <n v="7661.53"/>
    <n v="9759.5400000000009"/>
    <n v="8400"/>
    <n v="8400"/>
    <n v="8400"/>
    <n v="8400"/>
    <n v="8400"/>
    <n v="8400"/>
    <n v="8400"/>
    <n v="100300.2"/>
    <n v="621.06999999999243"/>
    <n v="8400"/>
    <n v="1359.5400000000009"/>
    <n v="621.06999999999243"/>
    <m/>
    <n v="621.06999999999243"/>
    <m/>
    <n v="6841"/>
    <n v="9759.2000000000007"/>
    <n v="7478.93"/>
    <n v="8400"/>
    <n v="8400"/>
    <n v="8400"/>
    <n v="8400"/>
    <n v="8400"/>
    <n v="8400"/>
    <n v="8400"/>
    <n v="8400"/>
    <n v="8400"/>
    <n v="99679.13"/>
    <n v="6841"/>
    <n v="9759.2000000000007"/>
    <n v="7478.93"/>
    <n v="8992.5"/>
    <n v="8992.5"/>
    <n v="8992.5"/>
    <n v="8992.5"/>
    <n v="8992.5"/>
    <n v="8992.5"/>
    <n v="8992.5"/>
    <n v="8992.5"/>
    <n v="8992.5"/>
    <n v="105011.63"/>
  </r>
  <r>
    <x v="214"/>
    <x v="214"/>
    <s v="ERP"/>
    <x v="0"/>
    <x v="0"/>
    <s v="Maguire, Karla"/>
    <x v="2"/>
    <x v="110"/>
    <s v="JUDGE TECHNICAL STAFFING"/>
    <s v="2321402"/>
    <s v="IT-CTR0103-OG-US-00"/>
    <m/>
    <s v="9501145076"/>
    <m/>
    <s v="None"/>
    <m/>
    <m/>
    <n v="87360"/>
    <n v="83873.7"/>
    <m/>
    <m/>
    <n v="11538"/>
    <n v="8258.77"/>
    <n v="1796.93"/>
    <n v="5175.54"/>
    <n v="10565.529999999999"/>
    <n v="7000"/>
    <n v="7000"/>
    <n v="7000"/>
    <n v="7000"/>
    <n v="7000"/>
    <n v="7000"/>
    <n v="7280"/>
    <n v="86614.77"/>
    <n v="2741.070000000007"/>
    <n v="7000"/>
    <n v="3565.5299999999988"/>
    <n v="2741.070000000007"/>
    <m/>
    <n v="2741.070000000007"/>
    <m/>
    <n v="11538"/>
    <n v="8258.77"/>
    <n v="1796.93"/>
    <n v="6000"/>
    <n v="7000"/>
    <n v="7000"/>
    <n v="7000"/>
    <n v="7000"/>
    <n v="7000"/>
    <n v="7000"/>
    <n v="7000"/>
    <n v="7280"/>
    <n v="83873.7"/>
    <n v="11538"/>
    <n v="8258.77"/>
    <n v="1796.93"/>
    <n v="7280"/>
    <n v="7280"/>
    <n v="7280"/>
    <n v="7280"/>
    <n v="7280"/>
    <n v="7280"/>
    <n v="7280"/>
    <n v="7280"/>
    <n v="7280"/>
    <n v="87113.7"/>
  </r>
  <r>
    <x v="215"/>
    <x v="215"/>
    <s v="ERP"/>
    <x v="0"/>
    <x v="8"/>
    <s v="Maguire, Karla"/>
    <x v="2"/>
    <x v="111"/>
    <m/>
    <m/>
    <s v="IT-CTR0105-OG-US-00"/>
    <m/>
    <s v="N"/>
    <m/>
    <s v="None"/>
    <m/>
    <m/>
    <n v="750"/>
    <n v="0"/>
    <m/>
    <m/>
    <m/>
    <m/>
    <m/>
    <s v=""/>
    <n v="0"/>
    <m/>
    <m/>
    <m/>
    <m/>
    <m/>
    <m/>
    <m/>
    <n v="0"/>
    <n v="0"/>
    <m/>
    <n v="0"/>
    <n v="0"/>
    <n v="-750"/>
    <n v="750"/>
    <s v="Services Discontinued as per Leslie - Kinjal"/>
    <m/>
    <m/>
    <m/>
    <m/>
    <m/>
    <m/>
    <m/>
    <m/>
    <m/>
    <m/>
    <m/>
    <m/>
    <n v="0"/>
    <m/>
    <m/>
    <m/>
    <n v="62.5"/>
    <n v="62.5"/>
    <n v="62.5"/>
    <n v="62.5"/>
    <n v="62.5"/>
    <n v="62.5"/>
    <n v="62.5"/>
    <n v="62.5"/>
    <n v="62.5"/>
    <n v="562.5"/>
  </r>
  <r>
    <x v="216"/>
    <x v="216"/>
    <s v="ERP"/>
    <x v="2"/>
    <x v="11"/>
    <s v="McGettigan, David"/>
    <x v="2"/>
    <x v="112"/>
    <m/>
    <s v="2321210"/>
    <s v="IT-CTR0124-OT-US-00"/>
    <m/>
    <s v="Multiple"/>
    <m/>
    <s v="None"/>
    <m/>
    <m/>
    <n v="0"/>
    <n v="50489.729999999996"/>
    <m/>
    <m/>
    <m/>
    <n v="38877.699999999997"/>
    <n v="11612.03"/>
    <n v="17061.96"/>
    <n v="5873.3499999999995"/>
    <n v="0"/>
    <n v="0"/>
    <n v="0"/>
    <n v="0"/>
    <n v="0"/>
    <n v="0"/>
    <n v="0"/>
    <n v="73425.040000000008"/>
    <n v="22935.310000000012"/>
    <n v="0"/>
    <n v="5873.3499999999995"/>
    <n v="22935.310000000012"/>
    <m/>
    <n v="22935.310000000012"/>
    <m/>
    <m/>
    <n v="38877.699999999997"/>
    <n v="11612.03"/>
    <n v="0"/>
    <n v="0"/>
    <n v="0"/>
    <n v="0"/>
    <n v="0"/>
    <n v="0"/>
    <n v="0"/>
    <n v="0"/>
    <n v="0"/>
    <n v="50489.729999999996"/>
    <m/>
    <n v="38877.699999999997"/>
    <n v="11612.03"/>
    <n v="0"/>
    <n v="0"/>
    <n v="0"/>
    <n v="0"/>
    <n v="0"/>
    <n v="0"/>
    <n v="0"/>
    <n v="0"/>
    <n v="0"/>
    <n v="50489.729999999996"/>
  </r>
  <r>
    <x v="217"/>
    <x v="217"/>
    <s v="ERP"/>
    <x v="0"/>
    <x v="9"/>
    <s v="Maguire, Karla"/>
    <x v="2"/>
    <x v="113"/>
    <m/>
    <s v="2329614"/>
    <s v="IT-CTR0130-OG-US-00"/>
    <m/>
    <s v="9501143253"/>
    <m/>
    <s v="None"/>
    <m/>
    <m/>
    <n v="357000"/>
    <n v="356999.8"/>
    <m/>
    <m/>
    <n v="24570"/>
    <n v="27517.439999999999"/>
    <n v="34397.360000000001"/>
    <n v="27517.89"/>
    <n v="27517.89"/>
    <n v="29750"/>
    <n v="29750"/>
    <n v="29750"/>
    <n v="29750"/>
    <n v="29750"/>
    <n v="29750"/>
    <n v="29750"/>
    <n v="349770.58"/>
    <n v="-7229.2199999999721"/>
    <n v="29750"/>
    <n v="-2232.1100000000006"/>
    <n v="-7229.2199999999721"/>
    <m/>
    <n v="-7229.2199999999721"/>
    <m/>
    <n v="24570"/>
    <n v="27517.439999999999"/>
    <n v="34397.360000000001"/>
    <n v="32515"/>
    <n v="29750"/>
    <n v="29750"/>
    <n v="29750"/>
    <n v="29750"/>
    <n v="29750"/>
    <n v="29750"/>
    <n v="29750"/>
    <n v="29750"/>
    <n v="356999.8"/>
    <n v="24570"/>
    <n v="27517.439999999999"/>
    <n v="34397.360000000001"/>
    <n v="37163"/>
    <n v="29750"/>
    <n v="29750"/>
    <n v="29750"/>
    <n v="29750"/>
    <n v="29750"/>
    <n v="29750"/>
    <n v="29750"/>
    <n v="29750"/>
    <n v="361647.8"/>
  </r>
  <r>
    <x v="218"/>
    <x v="218"/>
    <s v="ERP"/>
    <x v="0"/>
    <x v="0"/>
    <s v="Maguire, Karla"/>
    <x v="2"/>
    <x v="114"/>
    <s v="Prepaid - SAP AMERICA INC"/>
    <s v="2321402"/>
    <s v="IT-CTR0132-OT-US-00"/>
    <m/>
    <s v="9501158603"/>
    <m/>
    <s v="None"/>
    <s v="5/7 CHW - Updated for soft close on prepaid at 137,279 monthly or AP03 1,647,350 Invoice"/>
    <m/>
    <n v="1678341.6000000003"/>
    <n v="1647348.3599999999"/>
    <m/>
    <m/>
    <n v="113142.14"/>
    <n v="160853.85999999999"/>
    <n v="137841.35999999999"/>
    <n v="0"/>
    <n v="274558.24"/>
    <n v="137279"/>
    <n v="0"/>
    <n v="274558"/>
    <n v="137279"/>
    <n v="0"/>
    <n v="274558"/>
    <n v="137279"/>
    <n v="1647348.6"/>
    <n v="0.24000000022351742"/>
    <n v="274558"/>
    <n v="0.23999999999068677"/>
    <n v="0.23999999999068677"/>
    <m/>
    <n v="0.24000000022351742"/>
    <s v="5/7 CHW - Diff is prepaid amort on invoiced amt"/>
    <n v="113142.14"/>
    <n v="160853.85999999999"/>
    <n v="137841.35999999999"/>
    <n v="0"/>
    <n v="274558"/>
    <n v="137279"/>
    <n v="0"/>
    <n v="274558"/>
    <n v="137279"/>
    <n v="0"/>
    <n v="274558"/>
    <n v="137279"/>
    <n v="1647348.3599999999"/>
    <n v="113142.14"/>
    <n v="160853.85999999999"/>
    <n v="137841.35999999999"/>
    <n v="136998"/>
    <n v="136998"/>
    <n v="136998"/>
    <n v="136998"/>
    <n v="136998"/>
    <n v="136998"/>
    <n v="136998"/>
    <n v="136998"/>
    <n v="136998"/>
    <n v="1644819.3599999999"/>
  </r>
  <r>
    <x v="219"/>
    <x v="219"/>
    <s v="ERP"/>
    <x v="0"/>
    <x v="0"/>
    <s v="Maguire, Karla"/>
    <x v="2"/>
    <x v="115"/>
    <m/>
    <m/>
    <s v="IT-CTR0132-OT-US-00/BDC"/>
    <m/>
    <s v="9501158603"/>
    <m/>
    <s v="None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213108"/>
    <n v="0"/>
    <n v="0"/>
    <n v="0"/>
    <n v="0"/>
    <n v="0"/>
    <n v="0"/>
    <n v="-213108"/>
  </r>
  <r>
    <x v="220"/>
    <x v="220"/>
    <s v="ERP"/>
    <x v="0"/>
    <x v="0"/>
    <s v="Maguire, Karla"/>
    <x v="2"/>
    <x v="116"/>
    <m/>
    <m/>
    <s v="IT-CTR0132-OT-US-00/Colalborate 360"/>
    <m/>
    <s v="9501158603"/>
    <m/>
    <s v="None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x v="221"/>
    <x v="221"/>
    <s v="ERP"/>
    <x v="0"/>
    <x v="0"/>
    <s v="Maguire, Karla"/>
    <x v="2"/>
    <x v="117"/>
    <m/>
    <m/>
    <s v="IT-CTR0132-OT-US-00/iERP"/>
    <m/>
    <s v="9501158603"/>
    <m/>
    <s v="None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91332"/>
    <n v="0"/>
    <n v="0"/>
    <n v="0"/>
    <n v="0"/>
    <n v="0"/>
    <n v="0"/>
    <n v="-91332"/>
  </r>
  <r>
    <x v="222"/>
    <x v="222"/>
    <s v="ERP"/>
    <x v="0"/>
    <x v="0"/>
    <s v="Maguire, Karla"/>
    <x v="2"/>
    <x v="118"/>
    <m/>
    <m/>
    <s v="IT-CTR0132-OT-US-00/S4 Innovation"/>
    <m/>
    <s v="9501158603"/>
    <m/>
    <s v="None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x v="223"/>
    <x v="223"/>
    <s v="ERP"/>
    <x v="0"/>
    <x v="0"/>
    <s v="Maguire, Karla"/>
    <x v="2"/>
    <x v="116"/>
    <m/>
    <m/>
    <s v="IT-CTR0132-OT-US-01"/>
    <m/>
    <s v="9501158603"/>
    <m/>
    <s v="None"/>
    <s v="6/4 CHW - Removed AP06 Forecast as items hit in AP05"/>
    <m/>
    <n v="0"/>
    <n v="-76110"/>
    <m/>
    <m/>
    <m/>
    <m/>
    <m/>
    <s v=""/>
    <n v="-76110"/>
    <n v="0"/>
    <n v="0"/>
    <n v="0"/>
    <n v="0"/>
    <n v="0"/>
    <n v="0"/>
    <n v="0"/>
    <n v="-76110"/>
    <n v="0"/>
    <m/>
    <n v="-76110"/>
    <n v="-76110"/>
    <m/>
    <n v="0"/>
    <m/>
    <m/>
    <m/>
    <m/>
    <m/>
    <m/>
    <n v="-76110"/>
    <n v="0"/>
    <n v="0"/>
    <n v="0"/>
    <n v="0"/>
    <n v="0"/>
    <n v="0"/>
    <n v="-76110"/>
    <m/>
    <m/>
    <m/>
    <m/>
    <m/>
    <n v="-76110"/>
    <n v="0"/>
    <n v="0"/>
    <n v="0"/>
    <n v="0"/>
    <n v="0"/>
    <n v="0"/>
    <n v="-76110"/>
  </r>
  <r>
    <x v="224"/>
    <x v="224"/>
    <s v="ERP"/>
    <x v="0"/>
    <x v="0"/>
    <s v="Maguire, Karla"/>
    <x v="2"/>
    <x v="118"/>
    <m/>
    <m/>
    <s v="IT-CTR0132-OT-US-02"/>
    <m/>
    <s v="9501158603"/>
    <m/>
    <s v="None"/>
    <s v="6/4 CHW - Removed AP06 Forecast as items hit in AP05"/>
    <m/>
    <n v="0"/>
    <n v="-136110"/>
    <m/>
    <m/>
    <m/>
    <m/>
    <n v="-60000"/>
    <n v="0"/>
    <n v="-76110"/>
    <n v="0"/>
    <n v="0"/>
    <n v="0"/>
    <n v="0"/>
    <n v="0"/>
    <n v="0"/>
    <n v="0"/>
    <n v="-136110"/>
    <n v="0"/>
    <n v="0"/>
    <n v="-76110"/>
    <n v="-76110"/>
    <m/>
    <n v="0"/>
    <m/>
    <m/>
    <m/>
    <n v="-60000"/>
    <n v="0"/>
    <n v="0"/>
    <n v="-76110"/>
    <n v="0"/>
    <n v="0"/>
    <n v="0"/>
    <n v="0"/>
    <n v="0"/>
    <n v="0"/>
    <n v="-136110"/>
    <m/>
    <m/>
    <n v="-60000"/>
    <n v="0"/>
    <n v="0"/>
    <n v="-76110"/>
    <n v="0"/>
    <n v="0"/>
    <n v="0"/>
    <n v="0"/>
    <n v="0"/>
    <n v="0"/>
    <n v="-136110"/>
  </r>
  <r>
    <x v="225"/>
    <x v="225"/>
    <s v="ERP"/>
    <x v="0"/>
    <x v="0"/>
    <s v="Maguire, Karla"/>
    <x v="2"/>
    <x v="117"/>
    <m/>
    <m/>
    <s v="IT-CTR0132-OT-US-03"/>
    <m/>
    <s v="9501158603"/>
    <m/>
    <s v="None"/>
    <s v="6/4 CHW - Removed AP06 Forecast as items hit in AP05"/>
    <m/>
    <n v="0"/>
    <n v="-91332"/>
    <m/>
    <m/>
    <m/>
    <m/>
    <m/>
    <s v=""/>
    <n v="-91332"/>
    <n v="0"/>
    <n v="0"/>
    <n v="0"/>
    <n v="0"/>
    <n v="0"/>
    <n v="0"/>
    <n v="0"/>
    <n v="-91332"/>
    <n v="0"/>
    <m/>
    <n v="-91332"/>
    <n v="-91332"/>
    <m/>
    <n v="0"/>
    <m/>
    <m/>
    <m/>
    <m/>
    <m/>
    <m/>
    <n v="-91332"/>
    <n v="0"/>
    <n v="0"/>
    <n v="0"/>
    <n v="0"/>
    <n v="0"/>
    <n v="0"/>
    <n v="-91332"/>
    <m/>
    <m/>
    <m/>
    <m/>
    <m/>
    <n v="-91332"/>
    <n v="0"/>
    <n v="0"/>
    <n v="0"/>
    <n v="0"/>
    <n v="0"/>
    <n v="0"/>
    <n v="-91332"/>
  </r>
  <r>
    <x v="226"/>
    <x v="226"/>
    <s v="ERP"/>
    <x v="0"/>
    <x v="0"/>
    <s v="Maguire, Karla"/>
    <x v="2"/>
    <x v="115"/>
    <m/>
    <m/>
    <s v="IT-CTR0132-OT-US-04"/>
    <m/>
    <s v="9501158603"/>
    <m/>
    <s v="None"/>
    <s v="6/4 CHW - Removed AP06 Forecast as items hit in AP05"/>
    <m/>
    <n v="0"/>
    <n v="-213108"/>
    <m/>
    <m/>
    <m/>
    <m/>
    <m/>
    <s v=""/>
    <n v="-213108"/>
    <n v="0"/>
    <n v="0"/>
    <n v="0"/>
    <n v="0"/>
    <n v="0"/>
    <n v="0"/>
    <n v="0"/>
    <n v="-213108"/>
    <n v="0"/>
    <m/>
    <n v="-213108"/>
    <n v="-213108"/>
    <m/>
    <n v="0"/>
    <m/>
    <m/>
    <m/>
    <m/>
    <m/>
    <m/>
    <n v="-213108"/>
    <n v="0"/>
    <n v="0"/>
    <n v="0"/>
    <n v="0"/>
    <n v="0"/>
    <n v="0"/>
    <n v="-213108"/>
    <m/>
    <m/>
    <m/>
    <m/>
    <m/>
    <n v="-213108"/>
    <n v="0"/>
    <n v="0"/>
    <n v="0"/>
    <n v="0"/>
    <n v="0"/>
    <n v="0"/>
    <n v="-213108"/>
  </r>
  <r>
    <x v="227"/>
    <x v="227"/>
    <s v="ERP"/>
    <x v="0"/>
    <x v="8"/>
    <s v="Maguire, Karla"/>
    <x v="2"/>
    <x v="119"/>
    <s v="TRICENTIS USA CORP"/>
    <s v="2321403"/>
    <s v="IT-CTR0140-OT-US-00"/>
    <m/>
    <s v="9501021870"/>
    <m/>
    <s v="None"/>
    <s v="4/28/26 CHW New add to tie-out 0223 to 0317 Planful Extracts 2026 Tricentis Tosca Professional Services has been reduced from $8,000 to $0 by deferring upgrade/optimization work and will be revisited in 2027"/>
    <m/>
    <n v="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x v="228"/>
    <x v="228"/>
    <s v="ERP"/>
    <x v="0"/>
    <x v="0"/>
    <s v="Maguire, Karla"/>
    <x v="2"/>
    <x v="120"/>
    <s v="ACCENTURE LLP"/>
    <s v="2321402"/>
    <s v="IT-CTR0147-OG-US-00"/>
    <m/>
    <s v="9501182158"/>
    <m/>
    <s v="None"/>
    <m/>
    <m/>
    <n v="178000"/>
    <n v="136206.91999999998"/>
    <m/>
    <m/>
    <m/>
    <n v="53852.77"/>
    <n v="35563.15"/>
    <n v="1016.0800000000017"/>
    <n v="-9701"/>
    <m/>
    <n v="0"/>
    <n v="0"/>
    <n v="0"/>
    <n v="0"/>
    <n v="0"/>
    <n v="0"/>
    <n v="80731"/>
    <n v="-55475.919999999984"/>
    <n v="27738"/>
    <n v="-37439"/>
    <n v="-55475.919999999984"/>
    <m/>
    <n v="-55475.919999999984"/>
    <m/>
    <m/>
    <n v="53852.77"/>
    <n v="35563.15"/>
    <n v="19053"/>
    <n v="27738"/>
    <m/>
    <n v="0"/>
    <n v="0"/>
    <n v="0"/>
    <n v="0"/>
    <n v="0"/>
    <n v="0"/>
    <n v="136206.91999999998"/>
    <m/>
    <n v="53852.77"/>
    <n v="35563.15"/>
    <n v="29666.67"/>
    <n v="29666.67"/>
    <n v="29666.67"/>
    <n v="0"/>
    <n v="0"/>
    <n v="0"/>
    <n v="0"/>
    <n v="0"/>
    <n v="0"/>
    <n v="178415.93"/>
  </r>
  <r>
    <x v="229"/>
    <x v="229"/>
    <s v="ERP"/>
    <x v="0"/>
    <x v="0"/>
    <s v="Maguire, Karla"/>
    <x v="2"/>
    <x v="121"/>
    <s v="ACCENTURE LLP"/>
    <s v="2321402"/>
    <s v="IT-CTR0148-OG-US-00"/>
    <m/>
    <s v="9501235860"/>
    <m/>
    <s v="None"/>
    <m/>
    <m/>
    <n v="222000"/>
    <n v="134302.39999999999"/>
    <m/>
    <m/>
    <m/>
    <n v="72114.23"/>
    <n v="40652.339999999997"/>
    <n v="64472.479999999989"/>
    <n v="-4813.7299999999959"/>
    <m/>
    <n v="0"/>
    <n v="0"/>
    <n v="0"/>
    <n v="0"/>
    <n v="0"/>
    <n v="0"/>
    <n v="172425.32"/>
    <n v="38122.920000000013"/>
    <n v="33359.4"/>
    <n v="-38173.129999999997"/>
    <n v="38122.920000000013"/>
    <m/>
    <n v="38122.920000000013"/>
    <m/>
    <m/>
    <n v="72114.23"/>
    <n v="40652.339999999997"/>
    <n v="-11823.57"/>
    <n v="33359.4"/>
    <m/>
    <n v="0"/>
    <n v="0"/>
    <n v="0"/>
    <n v="0"/>
    <n v="0"/>
    <n v="0"/>
    <n v="134302.39999999999"/>
    <m/>
    <n v="72114.23"/>
    <n v="40652.339999999997"/>
    <n v="37000"/>
    <n v="37000"/>
    <n v="37000"/>
    <n v="0"/>
    <n v="0"/>
    <n v="0"/>
    <n v="0"/>
    <n v="0"/>
    <n v="0"/>
    <n v="223766.57"/>
  </r>
  <r>
    <x v="230"/>
    <x v="230"/>
    <s v="ERP"/>
    <x v="1"/>
    <x v="5"/>
    <s v="DeHart, Lynn"/>
    <x v="2"/>
    <x v="122"/>
    <m/>
    <s v="2320521"/>
    <s v="IT-CTR0149-OG-US-00"/>
    <m/>
    <s v="9501178401"/>
    <m/>
    <s v="None"/>
    <m/>
    <m/>
    <n v="515000"/>
    <n v="335362.38"/>
    <m/>
    <m/>
    <m/>
    <n v="66916.990000000005"/>
    <n v="75010.39"/>
    <n v="45158.709999999992"/>
    <n v="45158.710000000006"/>
    <n v="43581"/>
    <n v="35000"/>
    <n v="34000"/>
    <n v="0"/>
    <n v="0"/>
    <n v="0"/>
    <n v="0"/>
    <n v="344825.8"/>
    <n v="9463.4199999999837"/>
    <n v="40792"/>
    <n v="4366.7100000000064"/>
    <n v="9463.4199999999837"/>
    <n v="180000"/>
    <n v="-170536.58000000002"/>
    <s v="Combination of XFR 0027A, 0038A, 0039A, 0042A.  Reduced to $335K"/>
    <m/>
    <n v="66916.990000000005"/>
    <n v="75010.39"/>
    <n v="40062"/>
    <n v="40792"/>
    <n v="43581"/>
    <n v="35000"/>
    <n v="34000"/>
    <n v="0"/>
    <n v="0"/>
    <n v="0"/>
    <n v="0"/>
    <n v="335362.38"/>
    <m/>
    <n v="66916.990000000005"/>
    <n v="75010.39"/>
    <n v="48286"/>
    <n v="48386"/>
    <n v="48286"/>
    <n v="38449"/>
    <n v="38449"/>
    <n v="44462"/>
    <n v="44462"/>
    <n v="44462"/>
    <n v="44462"/>
    <n v="541631.38"/>
  </r>
  <r>
    <x v="231"/>
    <x v="231"/>
    <s v="ERP"/>
    <x v="0"/>
    <x v="0"/>
    <s v="Maguire, Karla"/>
    <x v="2"/>
    <x v="123"/>
    <s v="BACKOFFICE ASSOCIATES LLC"/>
    <s v="2329946"/>
    <s v="IT-CTR0150-OG-US-00"/>
    <m/>
    <s v="9501234927"/>
    <m/>
    <s v="None"/>
    <m/>
    <m/>
    <n v="100000"/>
    <n v="100000"/>
    <m/>
    <m/>
    <m/>
    <m/>
    <m/>
    <s v=""/>
    <n v="0"/>
    <n v="11111"/>
    <n v="11111"/>
    <n v="11111"/>
    <n v="11111"/>
    <n v="11111"/>
    <n v="11111"/>
    <n v="11112"/>
    <n v="77778"/>
    <n v="-22222"/>
    <n v="11111"/>
    <n v="-11111"/>
    <n v="-22222"/>
    <m/>
    <n v="-22222"/>
    <m/>
    <m/>
    <m/>
    <m/>
    <n v="11111"/>
    <n v="11111"/>
    <n v="11111"/>
    <n v="11111"/>
    <n v="11111"/>
    <n v="11111"/>
    <n v="11111"/>
    <n v="11111"/>
    <n v="11112"/>
    <n v="100000"/>
    <m/>
    <m/>
    <m/>
    <n v="11111"/>
    <n v="11111"/>
    <n v="11111"/>
    <n v="11111"/>
    <n v="11111"/>
    <n v="11111"/>
    <n v="11111"/>
    <n v="11111"/>
    <n v="11112"/>
    <n v="100000"/>
  </r>
  <r>
    <x v="232"/>
    <x v="232"/>
    <s v="ERP"/>
    <x v="1"/>
    <x v="16"/>
    <s v="DeHart, Lynn"/>
    <x v="2"/>
    <x v="124"/>
    <m/>
    <s v="2329610"/>
    <s v="IT-CTR0151-OG-US-00"/>
    <m/>
    <s v="9501237041"/>
    <m/>
    <s v="None"/>
    <s v="4/29 CHW  Looks like duplicate; Review UID N-ERP-617_x000a_Sachin (4/30): OK"/>
    <m/>
    <n v="0"/>
    <n v="120000"/>
    <m/>
    <m/>
    <n v="0"/>
    <n v="0"/>
    <n v="0"/>
    <n v="39011.32"/>
    <n v="42012.189999999995"/>
    <n v="35640"/>
    <n v="13080"/>
    <m/>
    <m/>
    <m/>
    <m/>
    <m/>
    <n v="129743.51"/>
    <n v="9743.5099999999948"/>
    <n v="35640"/>
    <n v="6372.1899999999951"/>
    <n v="9743.5099999999948"/>
    <m/>
    <n v="9743.5099999999948"/>
    <s v="Acct Mvmnt - IT-CTR0151-OG-US-00/IT-SFT1462-OG-US-00"/>
    <n v="0"/>
    <n v="0"/>
    <n v="0"/>
    <n v="35640"/>
    <n v="35640"/>
    <n v="35640"/>
    <n v="13080"/>
    <m/>
    <m/>
    <m/>
    <m/>
    <m/>
    <n v="120000"/>
    <m/>
    <m/>
    <m/>
    <m/>
    <m/>
    <m/>
    <n v="20000"/>
    <n v="20000"/>
    <n v="20000"/>
    <n v="20000"/>
    <n v="20000"/>
    <n v="20000"/>
    <n v="120000"/>
  </r>
  <r>
    <x v="233"/>
    <x v="233"/>
    <s v="ERP"/>
    <x v="1"/>
    <x v="5"/>
    <s v="DeHart, Lynn"/>
    <x v="2"/>
    <x v="125"/>
    <m/>
    <m/>
    <s v="IT-CTR0153-OG-US-00"/>
    <m/>
    <m/>
    <m/>
    <s v="None"/>
    <m/>
    <m/>
    <n v="0"/>
    <n v="0"/>
    <m/>
    <m/>
    <m/>
    <m/>
    <m/>
    <s v=""/>
    <n v="0"/>
    <m/>
    <n v="0"/>
    <n v="0"/>
    <n v="0"/>
    <n v="0"/>
    <n v="0"/>
    <n v="0"/>
    <n v="0"/>
    <n v="0"/>
    <m/>
    <n v="0"/>
    <n v="0"/>
    <n v="280000"/>
    <n v="-280000"/>
    <s v="0043, 0051)"/>
    <m/>
    <m/>
    <m/>
    <m/>
    <m/>
    <m/>
    <n v="0"/>
    <n v="0"/>
    <n v="0"/>
    <n v="0"/>
    <n v="0"/>
    <n v="0"/>
    <n v="0"/>
    <m/>
    <m/>
    <m/>
    <m/>
    <m/>
    <m/>
    <n v="46666.666666999998"/>
    <n v="46666.666666999998"/>
    <n v="46666.666666999998"/>
    <n v="46666.666666999998"/>
    <n v="46666.666666999998"/>
    <n v="46666.666666999998"/>
    <n v="280000.00000199996"/>
  </r>
  <r>
    <x v="234"/>
    <x v="234"/>
    <s v="ERP"/>
    <x v="1"/>
    <x v="2"/>
    <s v="DeHart, Lynn"/>
    <x v="0"/>
    <x v="126"/>
    <s v="SYSDIG INC"/>
    <s v="2320611"/>
    <s v="IT-DATAIKU-01"/>
    <m/>
    <s v="9501152538"/>
    <m/>
    <s v="None"/>
    <m/>
    <m/>
    <n v="0"/>
    <n v="729.19"/>
    <m/>
    <m/>
    <n v="139.72999999999999"/>
    <n v="139.72999999999999"/>
    <n v="449.73"/>
    <n v="139.72999999999999"/>
    <n v="139.72999999999999"/>
    <n v="0"/>
    <n v="0"/>
    <n v="0"/>
    <n v="0"/>
    <n v="0"/>
    <n v="0"/>
    <n v="0"/>
    <n v="1008.6500000000001"/>
    <n v="279.46000000000004"/>
    <n v="0"/>
    <n v="139.72999999999999"/>
    <n v="279.46000000000004"/>
    <m/>
    <n v="279.46000000000004"/>
    <m/>
    <n v="139.72999999999999"/>
    <n v="139.72999999999999"/>
    <n v="449.73"/>
    <n v="0"/>
    <n v="0"/>
    <n v="0"/>
    <n v="0"/>
    <n v="0"/>
    <n v="0"/>
    <n v="0"/>
    <n v="0"/>
    <n v="0"/>
    <n v="729.19"/>
    <n v="139.72999999999999"/>
    <n v="139.72999999999999"/>
    <n v="449.73"/>
    <n v="0"/>
    <n v="0"/>
    <n v="0"/>
    <n v="0"/>
    <n v="0"/>
    <n v="0"/>
    <n v="0"/>
    <n v="0"/>
    <n v="0"/>
    <n v="729.19"/>
  </r>
  <r>
    <x v="235"/>
    <x v="235"/>
    <s v="ERP"/>
    <x v="0"/>
    <x v="1"/>
    <s v="Maguire, Karla"/>
    <x v="2"/>
    <x v="127"/>
    <m/>
    <m/>
    <s v="IT-FBT0066-OG-IN-00"/>
    <m/>
    <m/>
    <m/>
    <s v="India"/>
    <m/>
    <m/>
    <n v="39781.000000000015"/>
    <n v="37314.43"/>
    <m/>
    <m/>
    <n v="3217.02"/>
    <n v="2578.4899999999998"/>
    <n v="2874.84"/>
    <n v="3540.9"/>
    <n v="2797.94"/>
    <n v="3190"/>
    <n v="3159"/>
    <n v="3190"/>
    <n v="3150"/>
    <n v="3150"/>
    <n v="3150"/>
    <n v="3150"/>
    <n v="37148.19"/>
    <n v="-166.23999999999796"/>
    <n v="3190"/>
    <n v="-392.05999999999995"/>
    <n v="-166.23999999999978"/>
    <m/>
    <n v="-166.23999999999796"/>
    <m/>
    <n v="3217.02"/>
    <n v="2578.4899999999998"/>
    <n v="2874.84"/>
    <n v="3315.08"/>
    <n v="3190"/>
    <n v="3190"/>
    <n v="3159"/>
    <n v="3190"/>
    <n v="3150"/>
    <n v="3150"/>
    <n v="3150"/>
    <n v="3150"/>
    <n v="37314.43"/>
    <n v="3217.02"/>
    <n v="2578.4899999999998"/>
    <n v="2874.84"/>
    <n v="3315.08"/>
    <n v="3315.08"/>
    <n v="3315.08"/>
    <n v="3315.08"/>
    <n v="3315.08"/>
    <n v="3315.08"/>
    <n v="3315.08"/>
    <n v="3315.08"/>
    <n v="3315.12"/>
    <n v="38506.110000000008"/>
  </r>
  <r>
    <x v="236"/>
    <x v="236"/>
    <s v="ERP"/>
    <x v="0"/>
    <x v="1"/>
    <s v="Maguire, Karla"/>
    <x v="1"/>
    <x v="128"/>
    <m/>
    <m/>
    <s v="IT-FBT0074-OG-US-00"/>
    <m/>
    <m/>
    <m/>
    <s v="None"/>
    <m/>
    <m/>
    <n v="116304"/>
    <n v="67844"/>
    <m/>
    <m/>
    <m/>
    <m/>
    <m/>
    <s v=""/>
    <n v="0"/>
    <n v="9692"/>
    <n v="9692"/>
    <n v="9692"/>
    <n v="9692"/>
    <n v="9692"/>
    <n v="9692"/>
    <n v="9692"/>
    <n v="67844"/>
    <n v="0"/>
    <m/>
    <n v="0"/>
    <n v="0"/>
    <n v="-48460"/>
    <n v="48460"/>
    <s v="Per Kinjal - reforecasted from June until EOY as per Ram."/>
    <m/>
    <m/>
    <m/>
    <m/>
    <m/>
    <n v="9692"/>
    <n v="9692"/>
    <n v="9692"/>
    <n v="9692"/>
    <n v="9692"/>
    <n v="9692"/>
    <n v="9692"/>
    <n v="67844"/>
    <m/>
    <m/>
    <m/>
    <n v="9692"/>
    <n v="9692"/>
    <n v="9692"/>
    <n v="9692"/>
    <n v="9692"/>
    <n v="9692"/>
    <n v="9692"/>
    <n v="9692"/>
    <n v="9692"/>
    <n v="87228"/>
  </r>
  <r>
    <x v="237"/>
    <x v="237"/>
    <s v="ERP"/>
    <x v="1"/>
    <x v="3"/>
    <s v="Hase, Raj"/>
    <x v="1"/>
    <x v="129"/>
    <m/>
    <m/>
    <s v="IT-FBT0157-OG-US-00"/>
    <m/>
    <m/>
    <m/>
    <s v="EP&amp;S"/>
    <s v="LZ 4/27 - Move forecast from Mike H to Raj H"/>
    <m/>
    <m/>
    <n v="63000"/>
    <m/>
    <m/>
    <m/>
    <m/>
    <m/>
    <s v=""/>
    <n v="0"/>
    <n v="7000"/>
    <n v="7000"/>
    <n v="7000"/>
    <n v="7000"/>
    <n v="7000"/>
    <n v="7000"/>
    <n v="7000"/>
    <n v="49000"/>
    <n v="-14000"/>
    <n v="7000"/>
    <n v="-7000"/>
    <n v="-14000"/>
    <m/>
    <m/>
    <m/>
    <m/>
    <m/>
    <m/>
    <n v="7000"/>
    <n v="7000"/>
    <n v="7000"/>
    <n v="7000"/>
    <n v="7000"/>
    <n v="7000"/>
    <n v="7000"/>
    <n v="7000"/>
    <n v="7000"/>
    <n v="63000"/>
    <m/>
    <m/>
    <m/>
    <m/>
    <m/>
    <m/>
    <m/>
    <m/>
    <m/>
    <m/>
    <m/>
    <m/>
    <m/>
  </r>
  <r>
    <x v="238"/>
    <x v="238"/>
    <s v="ERP"/>
    <x v="1"/>
    <x v="4"/>
    <s v="DeHart, Lynn"/>
    <x v="1"/>
    <x v="129"/>
    <m/>
    <m/>
    <s v="IT-FBT0157-OG-US-00"/>
    <m/>
    <m/>
    <m/>
    <s v="EP&amp;S"/>
    <s v="LZ 4/27 - Move forecast from Mike H to Raj H"/>
    <m/>
    <n v="84000"/>
    <n v="-14686.309999999998"/>
    <m/>
    <m/>
    <n v="6710.29"/>
    <n v="-18265.05"/>
    <n v="-3131.55"/>
    <n v="7060.4400000000005"/>
    <n v="6784.5"/>
    <n v="0"/>
    <n v="0"/>
    <n v="0"/>
    <n v="0"/>
    <n v="0"/>
    <n v="0"/>
    <n v="0"/>
    <n v="-841.36999999999716"/>
    <n v="13844.94"/>
    <n v="0"/>
    <n v="6784.5"/>
    <n v="13844.94"/>
    <m/>
    <n v="13844.94"/>
    <m/>
    <n v="6710.29"/>
    <n v="-18265.05"/>
    <n v="-3131.55"/>
    <n v="0"/>
    <n v="0"/>
    <n v="0"/>
    <n v="0"/>
    <n v="0"/>
    <n v="0"/>
    <n v="0"/>
    <n v="0"/>
    <n v="0"/>
    <n v="-14686.309999999998"/>
    <n v="6710.29"/>
    <n v="-18265.05"/>
    <n v="-3131.55"/>
    <n v="7000"/>
    <n v="7000"/>
    <n v="7000"/>
    <n v="7000"/>
    <n v="7000"/>
    <n v="7000"/>
    <n v="7000"/>
    <n v="7000"/>
    <n v="7000"/>
    <n v="48313.69"/>
  </r>
  <r>
    <x v="239"/>
    <x v="239"/>
    <s v="ERP"/>
    <x v="0"/>
    <x v="8"/>
    <s v="Maguire, Karla"/>
    <x v="1"/>
    <x v="130"/>
    <m/>
    <m/>
    <s v="IT-FBT0210-OG-US-00"/>
    <m/>
    <m/>
    <m/>
    <s v="SAP"/>
    <m/>
    <m/>
    <n v="588064.00000000012"/>
    <n v="588064.16999999993"/>
    <m/>
    <m/>
    <n v="40389"/>
    <n v="55285.58"/>
    <n v="47994.59"/>
    <n v="42517.659999999996"/>
    <n v="63850.67"/>
    <n v="49495"/>
    <n v="49400"/>
    <n v="49000"/>
    <n v="49000"/>
    <n v="49000"/>
    <n v="49000"/>
    <n v="49000"/>
    <n v="593932.5"/>
    <n v="5868.3300000000745"/>
    <n v="49500"/>
    <n v="14350.669999999998"/>
    <n v="5868.3300000000163"/>
    <m/>
    <n v="5868.3300000000745"/>
    <m/>
    <n v="40389"/>
    <n v="55285.58"/>
    <n v="47994.59"/>
    <n v="51000"/>
    <n v="49500"/>
    <n v="49495"/>
    <n v="49400"/>
    <n v="49000"/>
    <n v="49000"/>
    <n v="49000"/>
    <n v="49000"/>
    <n v="49000"/>
    <n v="588064.16999999993"/>
    <n v="40389"/>
    <n v="55285.58"/>
    <n v="47994.59"/>
    <n v="49068"/>
    <n v="51240"/>
    <n v="37911"/>
    <n v="48731"/>
    <n v="52076"/>
    <n v="52390"/>
    <n v="54876"/>
    <n v="42961"/>
    <n v="40649"/>
    <n v="573571.16999999993"/>
  </r>
  <r>
    <x v="240"/>
    <x v="240"/>
    <s v="ERP"/>
    <x v="0"/>
    <x v="9"/>
    <s v="Maguire, Karla"/>
    <x v="2"/>
    <x v="131"/>
    <m/>
    <s v="2329947"/>
    <s v="IT-FBT0213-OG-US-00"/>
    <m/>
    <s v="Multiple"/>
    <m/>
    <s v="SAP"/>
    <m/>
    <m/>
    <n v="948000"/>
    <n v="948000.73"/>
    <m/>
    <m/>
    <n v="59013"/>
    <n v="227334.86"/>
    <n v="185217.87"/>
    <s v=""/>
    <n v="0"/>
    <n v="0"/>
    <n v="61297"/>
    <n v="61297"/>
    <n v="61297"/>
    <n v="61297"/>
    <n v="61297"/>
    <n v="61297"/>
    <n v="839347.73"/>
    <n v="-108653"/>
    <n v="29653"/>
    <n v="-29653"/>
    <n v="-108653"/>
    <m/>
    <n v="-108653"/>
    <m/>
    <n v="59013"/>
    <n v="227334.86"/>
    <n v="185217.87"/>
    <n v="79000"/>
    <n v="29653"/>
    <n v="0"/>
    <n v="61297"/>
    <n v="61297"/>
    <n v="61297"/>
    <n v="61297"/>
    <n v="61297"/>
    <n v="61297"/>
    <n v="948000.73"/>
    <n v="59013"/>
    <n v="227334.86"/>
    <n v="185217.87"/>
    <n v="79000"/>
    <n v="29653"/>
    <n v="0"/>
    <n v="79000"/>
    <n v="79000"/>
    <n v="79000"/>
    <n v="79000"/>
    <n v="79000"/>
    <n v="79000"/>
    <n v="1054218.73"/>
  </r>
  <r>
    <x v="241"/>
    <x v="241"/>
    <s v="ERP"/>
    <x v="0"/>
    <x v="0"/>
    <s v="Maguire, Karla"/>
    <x v="2"/>
    <x v="132"/>
    <m/>
    <m/>
    <s v="IT-FBT0219-OG-US-00"/>
    <m/>
    <s v="N"/>
    <m/>
    <s v="MuleSoft"/>
    <m/>
    <m/>
    <n v="71440"/>
    <n v="71440"/>
    <m/>
    <m/>
    <m/>
    <m/>
    <m/>
    <s v=""/>
    <n v="0"/>
    <m/>
    <m/>
    <n v="71440"/>
    <n v="0"/>
    <n v="0"/>
    <n v="0"/>
    <n v="0"/>
    <n v="71440"/>
    <n v="0"/>
    <m/>
    <n v="0"/>
    <n v="0"/>
    <m/>
    <n v="0"/>
    <m/>
    <m/>
    <m/>
    <m/>
    <m/>
    <m/>
    <m/>
    <m/>
    <n v="71440"/>
    <n v="0"/>
    <n v="0"/>
    <n v="0"/>
    <n v="0"/>
    <n v="71440"/>
    <m/>
    <m/>
    <m/>
    <m/>
    <m/>
    <m/>
    <m/>
    <n v="71440"/>
    <n v="0"/>
    <n v="0"/>
    <n v="0"/>
    <n v="0"/>
    <n v="71440"/>
  </r>
  <r>
    <x v="242"/>
    <x v="242"/>
    <s v="ERP"/>
    <x v="0"/>
    <x v="10"/>
    <s v="Maguire, Karla"/>
    <x v="2"/>
    <x v="133"/>
    <m/>
    <m/>
    <s v="IT-FBT0245-OG-US-00"/>
    <m/>
    <m/>
    <m/>
    <s v="EIH"/>
    <m/>
    <m/>
    <n v="0"/>
    <n v="0"/>
    <m/>
    <m/>
    <n v="10113"/>
    <n v="11863.11"/>
    <n v="-21976.11"/>
    <n v="0"/>
    <n v="0"/>
    <m/>
    <m/>
    <m/>
    <m/>
    <m/>
    <m/>
    <m/>
    <n v="0"/>
    <n v="0"/>
    <m/>
    <n v="0"/>
    <n v="0"/>
    <m/>
    <n v="0"/>
    <m/>
    <n v="10113"/>
    <n v="11863.11"/>
    <n v="-21976.11"/>
    <m/>
    <m/>
    <m/>
    <m/>
    <m/>
    <m/>
    <m/>
    <m/>
    <m/>
    <n v="0"/>
    <n v="10113"/>
    <n v="11863.11"/>
    <n v="-21976.11"/>
    <m/>
    <m/>
    <m/>
    <m/>
    <m/>
    <m/>
    <m/>
    <m/>
    <m/>
    <n v="0"/>
  </r>
  <r>
    <x v="243"/>
    <x v="243"/>
    <s v="ERP"/>
    <x v="0"/>
    <x v="1"/>
    <s v="Maguire, Karla"/>
    <x v="2"/>
    <x v="133"/>
    <m/>
    <m/>
    <s v="IT-FBT0245-OG-US-00"/>
    <m/>
    <m/>
    <m/>
    <s v="EIH"/>
    <m/>
    <m/>
    <n v="150000"/>
    <n v="149999.65"/>
    <m/>
    <m/>
    <m/>
    <m/>
    <n v="36597.65"/>
    <n v="17284.68"/>
    <n v="12179.44"/>
    <n v="12602"/>
    <n v="12500"/>
    <n v="12500"/>
    <n v="12500"/>
    <n v="12500"/>
    <n v="12500"/>
    <n v="12500"/>
    <n v="153663.77000000002"/>
    <n v="3664.1200000000244"/>
    <n v="12900"/>
    <n v="-720.55999999999949"/>
    <n v="3664.1200000000026"/>
    <m/>
    <n v="3664.1200000000244"/>
    <m/>
    <m/>
    <m/>
    <n v="36597.65"/>
    <n v="12900"/>
    <n v="12900"/>
    <n v="12602"/>
    <n v="12500"/>
    <n v="12500"/>
    <n v="12500"/>
    <n v="12500"/>
    <n v="12500"/>
    <n v="12500"/>
    <n v="149999.65"/>
    <m/>
    <m/>
    <n v="36597.65"/>
    <n v="12500"/>
    <n v="12500"/>
    <n v="12500"/>
    <n v="12500"/>
    <n v="12500"/>
    <n v="12500"/>
    <n v="12500"/>
    <n v="12500"/>
    <n v="12500"/>
    <n v="149097.65"/>
  </r>
  <r>
    <x v="244"/>
    <x v="244"/>
    <s v="ERP"/>
    <x v="1"/>
    <x v="13"/>
    <s v="DeHart, Lynn"/>
    <x v="2"/>
    <x v="134"/>
    <m/>
    <m/>
    <s v="IT-FBT0262-OG-US-00"/>
    <m/>
    <m/>
    <m/>
    <s v="Metastorm"/>
    <m/>
    <m/>
    <n v="35000"/>
    <n v="0"/>
    <m/>
    <m/>
    <m/>
    <m/>
    <m/>
    <s v=""/>
    <n v="0"/>
    <m/>
    <m/>
    <m/>
    <m/>
    <m/>
    <m/>
    <m/>
    <n v="0"/>
    <n v="0"/>
    <m/>
    <n v="0"/>
    <n v="0"/>
    <m/>
    <n v="0"/>
    <s v="Moved to Managed Services"/>
    <m/>
    <m/>
    <m/>
    <m/>
    <m/>
    <m/>
    <m/>
    <m/>
    <m/>
    <m/>
    <m/>
    <m/>
    <n v="0"/>
    <m/>
    <m/>
    <m/>
    <n v="2917"/>
    <n v="2917"/>
    <n v="2917"/>
    <n v="2917"/>
    <n v="2917"/>
    <n v="2916"/>
    <n v="2916"/>
    <n v="2916"/>
    <n v="2916"/>
    <n v="26249"/>
  </r>
  <r>
    <x v="245"/>
    <x v="245"/>
    <s v="ERP"/>
    <x v="1"/>
    <x v="13"/>
    <s v="DeHart, Lynn"/>
    <x v="1"/>
    <x v="134"/>
    <m/>
    <m/>
    <s v="IT-FBT0262-OG-US-00"/>
    <m/>
    <m/>
    <m/>
    <s v="Metastorm"/>
    <m/>
    <m/>
    <n v="0"/>
    <n v="35000"/>
    <m/>
    <m/>
    <m/>
    <m/>
    <n v="8751"/>
    <n v="0"/>
    <n v="5834"/>
    <n v="2917"/>
    <n v="2917"/>
    <n v="2917"/>
    <n v="2916"/>
    <n v="2916"/>
    <n v="2916"/>
    <n v="2916"/>
    <n v="35000"/>
    <n v="0"/>
    <n v="2917"/>
    <n v="2917"/>
    <n v="0"/>
    <m/>
    <n v="0"/>
    <s v="Moved from Contractors"/>
    <m/>
    <m/>
    <n v="8751"/>
    <n v="2917"/>
    <n v="2917"/>
    <n v="2917"/>
    <n v="2917"/>
    <n v="2917"/>
    <n v="2916"/>
    <n v="2916"/>
    <n v="2916"/>
    <n v="2916"/>
    <n v="35000"/>
    <m/>
    <m/>
    <n v="8751"/>
    <n v="0"/>
    <n v="0"/>
    <n v="0"/>
    <n v="0"/>
    <n v="0"/>
    <n v="0"/>
    <n v="0"/>
    <n v="0"/>
    <n v="0"/>
    <n v="8751"/>
  </r>
  <r>
    <x v="246"/>
    <x v="246"/>
    <s v="ERP"/>
    <x v="0"/>
    <x v="1"/>
    <s v="Maguire, Karla"/>
    <x v="1"/>
    <x v="135"/>
    <m/>
    <m/>
    <s v="IT-FBT0281-OG-US-00"/>
    <m/>
    <m/>
    <m/>
    <s v="BTAMS"/>
    <s v="As per Leslie's chat, for $245K - $200k is under 1009/46 &amp; 45k is under 'IT-FBT0281-OG-US-00&quot; IBM AMS support agreement "/>
    <m/>
    <n v="4651599.96"/>
    <n v="4701598.17"/>
    <m/>
    <m/>
    <n v="387633.4"/>
    <n v="404902.73"/>
    <n v="356492.04"/>
    <n v="363571.96"/>
    <n v="461544.87000000005"/>
    <n v="391800"/>
    <n v="391800"/>
    <n v="391800"/>
    <n v="391800"/>
    <n v="391800"/>
    <n v="391800"/>
    <n v="387633"/>
    <n v="4712578"/>
    <n v="10979.830000000075"/>
    <n v="391800"/>
    <n v="69744.870000000054"/>
    <n v="10979.830000000075"/>
    <m/>
    <n v="10979.830000000075"/>
    <m/>
    <n v="387633.4"/>
    <n v="404902.73"/>
    <n v="356492.04"/>
    <n v="422337"/>
    <n v="391800"/>
    <n v="391800"/>
    <n v="391800"/>
    <n v="391800"/>
    <n v="391800"/>
    <n v="391800"/>
    <n v="391800"/>
    <n v="387633"/>
    <n v="4701598.17"/>
    <n v="387633.4"/>
    <n v="404902.73"/>
    <n v="356492.04"/>
    <n v="387633.33"/>
    <n v="387633.33"/>
    <n v="387633.33"/>
    <n v="387633.33"/>
    <n v="387633.33"/>
    <n v="387633.33"/>
    <n v="387633.33"/>
    <n v="387633.33"/>
    <n v="387633.33"/>
    <n v="4637728.1400000006"/>
  </r>
  <r>
    <x v="247"/>
    <x v="247"/>
    <s v="ERP"/>
    <x v="0"/>
    <x v="1"/>
    <s v="Maguire, Karla"/>
    <x v="1"/>
    <x v="136"/>
    <m/>
    <m/>
    <s v="IT-FBT0282-OG-US-00"/>
    <m/>
    <m/>
    <m/>
    <s v="BTAMS"/>
    <m/>
    <m/>
    <n v="1832799.9600000002"/>
    <n v="1832798.4200000002"/>
    <m/>
    <m/>
    <m/>
    <n v="293304.34999999998"/>
    <n v="164894.1"/>
    <n v="142089.47"/>
    <n v="163378.12"/>
    <n v="152733.32999999999"/>
    <n v="152733.32999999999"/>
    <n v="152733.32999999999"/>
    <n v="152733.32999999999"/>
    <n v="152733.32999999999"/>
    <n v="152733.32999999999"/>
    <n v="152733.32999999999"/>
    <n v="1832799.3500000003"/>
    <n v="0.93000000016763806"/>
    <n v="152733.32999999999"/>
    <n v="10644.790000000008"/>
    <n v="0.93000000005122274"/>
    <m/>
    <n v="0.93000000016763806"/>
    <m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</r>
  <r>
    <x v="248"/>
    <x v="248"/>
    <s v="ERP"/>
    <x v="1"/>
    <x v="12"/>
    <s v="DeHart, Lynn"/>
    <x v="1"/>
    <x v="137"/>
    <m/>
    <m/>
    <s v="IT-FBT0285-OG-ES-00"/>
    <m/>
    <s v="N"/>
    <m/>
    <s v="Car"/>
    <s v="4/28/26 CHW New add to tie-out 0223 to 0317 Planful Extracts Agusti on a wave and leaves Pfizer Feb 28"/>
    <m/>
    <n v="12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12"/>
    <n v="412"/>
    <n v="412"/>
    <n v="0"/>
    <n v="0"/>
    <n v="0"/>
    <n v="0"/>
    <n v="0"/>
    <n v="0"/>
    <n v="0"/>
    <n v="0"/>
    <n v="0"/>
    <n v="1236"/>
  </r>
  <r>
    <x v="249"/>
    <x v="249"/>
    <s v="ERP"/>
    <x v="1"/>
    <x v="12"/>
    <s v="DeHart, Lynn"/>
    <x v="1"/>
    <x v="138"/>
    <m/>
    <m/>
    <s v="IT-FBT0286-OG-BE-00"/>
    <m/>
    <m/>
    <m/>
    <s v="Car"/>
    <m/>
    <m/>
    <n v="42000"/>
    <n v="37871.96"/>
    <m/>
    <m/>
    <n v="1370.43"/>
    <n v="3605.56"/>
    <n v="1395.97"/>
    <n v="1255.79"/>
    <n v="2734.6699999999996"/>
    <n v="3500"/>
    <n v="3500"/>
    <n v="3500"/>
    <n v="3500"/>
    <n v="3500"/>
    <n v="3500"/>
    <n v="3500"/>
    <n v="34862.42"/>
    <n v="-3009.5400000000009"/>
    <n v="3500"/>
    <n v="-765.33000000000038"/>
    <n v="-3009.5399999999991"/>
    <m/>
    <n v="-3009.5400000000009"/>
    <m/>
    <n v="1370.43"/>
    <n v="3605.56"/>
    <n v="1395.97"/>
    <n v="3500"/>
    <n v="3500"/>
    <n v="3500"/>
    <n v="3500"/>
    <n v="3500"/>
    <n v="3500"/>
    <n v="3500"/>
    <n v="3500"/>
    <n v="3500"/>
    <n v="37871.96"/>
    <n v="1370.43"/>
    <n v="3605.56"/>
    <n v="1395.97"/>
    <n v="3500"/>
    <n v="3500"/>
    <n v="3500"/>
    <n v="3500"/>
    <n v="3500"/>
    <n v="3500"/>
    <n v="3500"/>
    <n v="3500"/>
    <n v="3500"/>
    <n v="37871.96"/>
  </r>
  <r>
    <x v="250"/>
    <x v="250"/>
    <s v="ERP"/>
    <x v="0"/>
    <x v="10"/>
    <s v="Maguire, Karla"/>
    <x v="1"/>
    <x v="139"/>
    <m/>
    <m/>
    <s v="IT-FBT0288-OG-BE-00"/>
    <m/>
    <m/>
    <m/>
    <s v="Car"/>
    <m/>
    <m/>
    <n v="18000"/>
    <n v="19824.739999999998"/>
    <m/>
    <m/>
    <n v="531.82000000000005"/>
    <n v="3988.46"/>
    <n v="1804.46"/>
    <n v="988.66"/>
    <n v="162.79999999999998"/>
    <n v="1500"/>
    <n v="1500"/>
    <n v="1500"/>
    <n v="1500"/>
    <n v="1500"/>
    <n v="1500"/>
    <n v="1500"/>
    <n v="17976.2"/>
    <n v="-1848.5399999999972"/>
    <n v="1500"/>
    <n v="-1337.2"/>
    <n v="-1848.54"/>
    <m/>
    <n v="-1848.5399999999972"/>
    <m/>
    <n v="531.82000000000005"/>
    <n v="3988.46"/>
    <n v="1804.46"/>
    <n v="1500"/>
    <n v="1500"/>
    <n v="1500"/>
    <n v="1500"/>
    <n v="1500"/>
    <n v="1500"/>
    <n v="1500"/>
    <n v="1500"/>
    <n v="1500"/>
    <n v="19824.739999999998"/>
    <n v="531.82000000000005"/>
    <n v="3988.46"/>
    <n v="1804.46"/>
    <n v="1500"/>
    <n v="1500"/>
    <n v="1500"/>
    <n v="1500"/>
    <n v="1500"/>
    <n v="1500"/>
    <n v="1500"/>
    <n v="1500"/>
    <n v="1500"/>
    <n v="19824.739999999998"/>
  </r>
  <r>
    <x v="251"/>
    <x v="251"/>
    <s v="ERP"/>
    <x v="0"/>
    <x v="1"/>
    <s v="Maguire, Karla"/>
    <x v="1"/>
    <x v="140"/>
    <m/>
    <m/>
    <s v="IT-FBT0393-OG-JP-00"/>
    <m/>
    <m/>
    <m/>
    <s v="Japan"/>
    <m/>
    <m/>
    <n v="141887.51999999996"/>
    <n v="62335.31"/>
    <m/>
    <m/>
    <n v="11347.01"/>
    <n v="7087.77"/>
    <n v="10590.53"/>
    <n v="13238.160000000002"/>
    <n v="10590.539999999999"/>
    <n v="10590"/>
    <m/>
    <m/>
    <m/>
    <m/>
    <m/>
    <m/>
    <n v="63444.01"/>
    <n v="1108.7000000000044"/>
    <n v="12130"/>
    <n v="-1539.4600000000009"/>
    <n v="1108.7000000000044"/>
    <m/>
    <n v="1108.7000000000044"/>
    <m/>
    <n v="11347.01"/>
    <n v="7087.77"/>
    <n v="10590.53"/>
    <n v="10590"/>
    <n v="12130"/>
    <n v="10590"/>
    <m/>
    <m/>
    <m/>
    <m/>
    <m/>
    <m/>
    <n v="62335.31"/>
    <n v="11347.01"/>
    <n v="7087.77"/>
    <n v="10590.53"/>
    <n v="11157"/>
    <n v="11157"/>
    <n v="11157"/>
    <n v="11157"/>
    <n v="11157"/>
    <n v="11157"/>
    <n v="11157"/>
    <n v="11157"/>
    <n v="11157"/>
    <n v="129438.31"/>
  </r>
  <r>
    <x v="252"/>
    <x v="252"/>
    <s v="ERP"/>
    <x v="1"/>
    <x v="3"/>
    <s v="Hase, Raj"/>
    <x v="2"/>
    <x v="141"/>
    <m/>
    <s v="2329609"/>
    <s v="IT-FBT0450-OG-US-00"/>
    <m/>
    <s v="9501148914"/>
    <m/>
    <m/>
    <m/>
    <m/>
    <m/>
    <m/>
    <m/>
    <m/>
    <m/>
    <m/>
    <m/>
    <m/>
    <n v="50000"/>
    <m/>
    <m/>
    <m/>
    <m/>
    <m/>
    <m/>
    <m/>
    <n v="50000"/>
    <n v="50000"/>
    <m/>
    <n v="50000"/>
    <n v="50000"/>
    <m/>
    <n v="50000"/>
    <m/>
    <m/>
    <m/>
    <m/>
    <m/>
    <m/>
    <m/>
    <m/>
    <m/>
    <m/>
    <m/>
    <m/>
    <m/>
    <m/>
    <m/>
    <m/>
    <m/>
    <m/>
    <m/>
    <m/>
    <m/>
    <m/>
    <m/>
    <m/>
    <m/>
    <m/>
    <m/>
  </r>
  <r>
    <x v="253"/>
    <x v="253"/>
    <s v="ERP"/>
    <x v="1"/>
    <x v="3"/>
    <s v="DeHart, Lynn"/>
    <x v="1"/>
    <x v="142"/>
    <m/>
    <m/>
    <s v="IT-FBT0450-OG-US-00"/>
    <m/>
    <m/>
    <m/>
    <s v="CLD"/>
    <s v="Forecast moved from Mike H to Raj H"/>
    <m/>
    <n v="0"/>
    <n v="200000"/>
    <m/>
    <m/>
    <m/>
    <m/>
    <n v="50000"/>
    <n v="0"/>
    <n v="0"/>
    <n v="0"/>
    <n v="0"/>
    <n v="50000"/>
    <n v="0"/>
    <n v="50000"/>
    <n v="0"/>
    <n v="0"/>
    <n v="150000"/>
    <n v="-50000"/>
    <n v="50000"/>
    <n v="-50000"/>
    <n v="-50000"/>
    <m/>
    <n v="-50000"/>
    <m/>
    <m/>
    <m/>
    <n v="50000"/>
    <n v="0"/>
    <n v="50000"/>
    <n v="0"/>
    <n v="0"/>
    <n v="50000"/>
    <n v="0"/>
    <n v="50000"/>
    <n v="0"/>
    <n v="0"/>
    <n v="200000"/>
    <m/>
    <m/>
    <n v="50000"/>
    <n v="0"/>
    <n v="0"/>
    <n v="0"/>
    <n v="0"/>
    <n v="0"/>
    <n v="0"/>
    <n v="0"/>
    <n v="0"/>
    <n v="0"/>
    <n v="50000"/>
  </r>
  <r>
    <x v="254"/>
    <x v="254"/>
    <s v="ERP"/>
    <x v="1"/>
    <x v="4"/>
    <s v="DeHart, Lynn"/>
    <x v="2"/>
    <x v="142"/>
    <m/>
    <m/>
    <s v="IT-FBT0450-OG-US-00"/>
    <m/>
    <m/>
    <m/>
    <s v="CLD"/>
    <s v="CHW 4/30 - Added AP04 actuals and AP05 reclass as PO updated to move to Raj H"/>
    <m/>
    <n v="0"/>
    <n v="0"/>
    <m/>
    <m/>
    <n v="50000"/>
    <n v="0"/>
    <n v="-50000"/>
    <n v="50000"/>
    <n v="-50000"/>
    <m/>
    <m/>
    <m/>
    <m/>
    <m/>
    <m/>
    <m/>
    <n v="0"/>
    <n v="0"/>
    <n v="-50000"/>
    <n v="0"/>
    <n v="0"/>
    <m/>
    <n v="0"/>
    <m/>
    <n v="50000"/>
    <n v="0"/>
    <n v="-50000"/>
    <n v="50000"/>
    <n v="-50000"/>
    <m/>
    <m/>
    <m/>
    <m/>
    <m/>
    <m/>
    <m/>
    <n v="0"/>
    <n v="50000"/>
    <n v="0"/>
    <n v="-50000"/>
    <m/>
    <m/>
    <m/>
    <m/>
    <m/>
    <m/>
    <m/>
    <m/>
    <m/>
    <n v="0"/>
  </r>
  <r>
    <x v="255"/>
    <x v="255"/>
    <s v="ERP"/>
    <x v="1"/>
    <x v="4"/>
    <s v="DeHart, Lynn"/>
    <x v="1"/>
    <x v="142"/>
    <m/>
    <m/>
    <s v="IT-FBT0450-OG-US-00"/>
    <m/>
    <m/>
    <m/>
    <s v="CLD"/>
    <s v="Forecast moved from Mike H to Raj H"/>
    <m/>
    <n v="2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m/>
    <n v="0"/>
    <n v="0"/>
    <n v="0"/>
    <n v="0"/>
    <n v="0"/>
    <n v="0"/>
    <n v="0"/>
    <n v="0"/>
    <n v="0"/>
    <m/>
    <m/>
    <m/>
    <m/>
    <n v="50000"/>
    <n v="0"/>
    <n v="0"/>
    <n v="50000"/>
    <n v="0"/>
    <n v="50000"/>
    <n v="0"/>
    <n v="0"/>
    <n v="150000"/>
  </r>
  <r>
    <x v="256"/>
    <x v="256"/>
    <s v="ERP"/>
    <x v="0"/>
    <x v="9"/>
    <s v="Maguire, Karla"/>
    <x v="2"/>
    <x v="143"/>
    <m/>
    <m/>
    <s v="IT-FBT0509-OG-US-00"/>
    <m/>
    <m/>
    <m/>
    <s v="BlueBoot"/>
    <m/>
    <m/>
    <n v="115200"/>
    <n v="89600"/>
    <m/>
    <m/>
    <m/>
    <m/>
    <m/>
    <n v="0"/>
    <n v="0"/>
    <n v="12800"/>
    <n v="12800"/>
    <n v="12800"/>
    <n v="12800"/>
    <n v="12800"/>
    <n v="12800"/>
    <n v="12800"/>
    <n v="89600"/>
    <n v="0"/>
    <n v="0"/>
    <n v="0"/>
    <n v="0"/>
    <m/>
    <n v="0"/>
    <m/>
    <m/>
    <m/>
    <m/>
    <n v="0"/>
    <n v="0"/>
    <n v="12800"/>
    <n v="12800"/>
    <n v="12800"/>
    <n v="12800"/>
    <n v="12800"/>
    <n v="12800"/>
    <n v="12800"/>
    <n v="89600"/>
    <m/>
    <m/>
    <m/>
    <n v="12800"/>
    <n v="12800"/>
    <n v="12800"/>
    <n v="12800"/>
    <n v="12800"/>
    <n v="12800"/>
    <n v="12800"/>
    <n v="12800"/>
    <n v="12800"/>
    <n v="115200"/>
  </r>
  <r>
    <x v="257"/>
    <x v="257"/>
    <s v="ERP"/>
    <x v="0"/>
    <x v="8"/>
    <s v="Maguire, Karla"/>
    <x v="1"/>
    <x v="144"/>
    <m/>
    <m/>
    <s v="IT-FBT0524-OG-US-00"/>
    <m/>
    <m/>
    <m/>
    <s v="EP&amp;S"/>
    <m/>
    <m/>
    <n v="4558"/>
    <n v="3418.5099999999998"/>
    <m/>
    <m/>
    <m/>
    <m/>
    <m/>
    <s v=""/>
    <n v="0"/>
    <n v="379.83"/>
    <n v="379.83"/>
    <n v="379.83"/>
    <n v="379.83"/>
    <n v="379.83"/>
    <n v="379.83"/>
    <n v="379.87"/>
    <n v="2658.85"/>
    <n v="-759.65999999999985"/>
    <n v="379.83"/>
    <n v="-379.83"/>
    <n v="-759.66"/>
    <m/>
    <n v="-759.65999999999985"/>
    <m/>
    <m/>
    <m/>
    <m/>
    <n v="379.83"/>
    <n v="379.83"/>
    <n v="379.83"/>
    <n v="379.83"/>
    <n v="379.83"/>
    <n v="379.83"/>
    <n v="379.83"/>
    <n v="379.83"/>
    <n v="379.87"/>
    <n v="3418.5099999999998"/>
    <m/>
    <m/>
    <m/>
    <n v="379.83"/>
    <n v="379.83"/>
    <n v="379.83"/>
    <n v="379.83"/>
    <n v="379.83"/>
    <n v="379.83"/>
    <n v="379.83"/>
    <n v="379.83"/>
    <n v="379.87"/>
    <n v="3418.5099999999998"/>
  </r>
  <r>
    <x v="258"/>
    <x v="258"/>
    <s v="ERP"/>
    <x v="0"/>
    <x v="1"/>
    <s v="Maguire, Karla"/>
    <x v="1"/>
    <x v="144"/>
    <m/>
    <m/>
    <s v="IT-FBT0524-OG-US-00"/>
    <m/>
    <m/>
    <m/>
    <s v="EP&amp;S"/>
    <m/>
    <m/>
    <n v="0"/>
    <n v="1351.1499999999999"/>
    <m/>
    <m/>
    <n v="696.35"/>
    <n v="599.02"/>
    <n v="55.78"/>
    <n v="27.89"/>
    <n v="596.58999999999992"/>
    <n v="0"/>
    <n v="0"/>
    <n v="0"/>
    <n v="0"/>
    <n v="0"/>
    <n v="0"/>
    <n v="0"/>
    <n v="1975.6299999999999"/>
    <n v="624.48"/>
    <n v="0"/>
    <n v="596.58999999999992"/>
    <n v="624.48"/>
    <m/>
    <n v="624.48"/>
    <m/>
    <n v="696.35"/>
    <n v="599.02"/>
    <n v="55.78"/>
    <n v="0"/>
    <n v="0"/>
    <n v="0"/>
    <n v="0"/>
    <n v="0"/>
    <n v="0"/>
    <n v="0"/>
    <n v="0"/>
    <n v="0"/>
    <n v="1351.1499999999999"/>
    <n v="696.35"/>
    <n v="599.02"/>
    <n v="55.78"/>
    <n v="600"/>
    <n v="600"/>
    <n v="600"/>
    <n v="600"/>
    <n v="600"/>
    <n v="600"/>
    <n v="600"/>
    <n v="600"/>
    <n v="600"/>
    <n v="6751.15"/>
  </r>
  <r>
    <x v="259"/>
    <x v="259"/>
    <s v="ERP"/>
    <x v="0"/>
    <x v="1"/>
    <s v="Maguire, Karla"/>
    <x v="1"/>
    <x v="145"/>
    <m/>
    <m/>
    <s v="IT-FBT0528-OG-US-00"/>
    <m/>
    <m/>
    <m/>
    <s v="Ariba"/>
    <m/>
    <m/>
    <n v="60000"/>
    <n v="59587"/>
    <m/>
    <m/>
    <m/>
    <m/>
    <n v="7840"/>
    <n v="4772.18"/>
    <n v="4772.17"/>
    <n v="5000"/>
    <n v="5000"/>
    <n v="5000"/>
    <n v="5000"/>
    <n v="5000"/>
    <n v="5000"/>
    <n v="5000"/>
    <n v="52384.35"/>
    <n v="-7202.6500000000015"/>
    <n v="5000"/>
    <n v="-227.82999999999993"/>
    <n v="-7202.6500000000015"/>
    <m/>
    <n v="-7202.6500000000015"/>
    <m/>
    <m/>
    <m/>
    <n v="7840"/>
    <n v="11747"/>
    <n v="5000"/>
    <n v="5000"/>
    <n v="5000"/>
    <n v="5000"/>
    <n v="5000"/>
    <n v="5000"/>
    <n v="5000"/>
    <n v="5000"/>
    <n v="59587"/>
    <m/>
    <m/>
    <n v="7840"/>
    <n v="5000"/>
    <n v="5000"/>
    <n v="5000"/>
    <n v="5000"/>
    <n v="5000"/>
    <n v="5000"/>
    <n v="5000"/>
    <n v="5000"/>
    <n v="5000"/>
    <n v="52840"/>
  </r>
  <r>
    <x v="260"/>
    <x v="260"/>
    <s v="ERP"/>
    <x v="1"/>
    <x v="13"/>
    <s v="DeHart, Lynn"/>
    <x v="2"/>
    <x v="146"/>
    <m/>
    <m/>
    <s v="IT-FBT0541-OG-US-00"/>
    <m/>
    <m/>
    <m/>
    <s v="Ariba / EP&amp;S"/>
    <m/>
    <m/>
    <n v="6000"/>
    <n v="0"/>
    <m/>
    <m/>
    <m/>
    <m/>
    <m/>
    <n v="0"/>
    <n v="79.41"/>
    <m/>
    <m/>
    <m/>
    <m/>
    <m/>
    <m/>
    <m/>
    <n v="79.41"/>
    <n v="79.41"/>
    <m/>
    <n v="79.41"/>
    <n v="79.41"/>
    <m/>
    <n v="79.41"/>
    <s v="Moved to Managed Services"/>
    <m/>
    <m/>
    <m/>
    <m/>
    <m/>
    <m/>
    <m/>
    <m/>
    <m/>
    <m/>
    <m/>
    <m/>
    <n v="0"/>
    <m/>
    <m/>
    <m/>
    <n v="500"/>
    <n v="500"/>
    <n v="500"/>
    <n v="500"/>
    <n v="500"/>
    <n v="500"/>
    <n v="500"/>
    <n v="500"/>
    <n v="500"/>
    <n v="4500"/>
  </r>
  <r>
    <x v="261"/>
    <x v="261"/>
    <s v="ERP"/>
    <x v="1"/>
    <x v="13"/>
    <s v="DeHart, Lynn"/>
    <x v="1"/>
    <x v="146"/>
    <m/>
    <m/>
    <s v="IT-FBT0541-OG-US-00"/>
    <m/>
    <m/>
    <m/>
    <s v="Ariba / EP&amp;S"/>
    <m/>
    <m/>
    <n v="0"/>
    <n v="7906.64"/>
    <m/>
    <m/>
    <n v="988.33"/>
    <n v="988.33"/>
    <n v="988.33"/>
    <n v="1792.83"/>
    <n v="988.32999999999993"/>
    <n v="988.33"/>
    <n v="988.33"/>
    <n v="988.33"/>
    <n v="0"/>
    <n v="0"/>
    <n v="0"/>
    <n v="0"/>
    <n v="8711.14"/>
    <n v="804.49999999999909"/>
    <n v="988.33"/>
    <n v="0"/>
    <n v="804.49999999999909"/>
    <m/>
    <n v="804.49999999999909"/>
    <s v="Moved from Contractors"/>
    <n v="988.33"/>
    <n v="988.33"/>
    <n v="988.33"/>
    <n v="988.33"/>
    <n v="988.33"/>
    <n v="988.33"/>
    <n v="988.33"/>
    <n v="988.33"/>
    <n v="0"/>
    <n v="0"/>
    <n v="0"/>
    <n v="0"/>
    <n v="7906.64"/>
    <n v="988.33"/>
    <n v="988.33"/>
    <n v="988.33"/>
    <n v="0"/>
    <n v="0"/>
    <n v="0"/>
    <n v="0"/>
    <n v="0"/>
    <n v="0"/>
    <n v="0"/>
    <n v="0"/>
    <n v="0"/>
    <n v="2964.9900000000002"/>
  </r>
  <r>
    <x v="262"/>
    <x v="262"/>
    <s v="ERP"/>
    <x v="1"/>
    <x v="5"/>
    <s v="DeHart, Lynn"/>
    <x v="2"/>
    <x v="147"/>
    <s v="IBM CORP"/>
    <s v="2320521"/>
    <s v="IT-FBT0544-OG-US-00"/>
    <m/>
    <s v="9501181803"/>
    <m/>
    <s v="None"/>
    <m/>
    <m/>
    <n v="1452300"/>
    <n v="963567.79"/>
    <m/>
    <m/>
    <n v="48462.57"/>
    <n v="207334.66"/>
    <n v="98620.56"/>
    <n v="116861"/>
    <n v="28181.629999999976"/>
    <n v="132050"/>
    <n v="68000"/>
    <n v="29000"/>
    <n v="29000"/>
    <n v="29000"/>
    <n v="29000"/>
    <n v="29000"/>
    <n v="844510.42"/>
    <n v="-119057.37"/>
    <n v="132050"/>
    <n v="-103868.37000000002"/>
    <n v="-119057.37"/>
    <n v="488000"/>
    <n v="-607057.37"/>
    <s v="Reduce BAU contractors, Move contractors to offshore.Move contractors to Project funding."/>
    <n v="48462.57"/>
    <n v="207334.66"/>
    <n v="98620.56"/>
    <n v="132050"/>
    <n v="132050"/>
    <n v="132050"/>
    <n v="68000"/>
    <n v="29000"/>
    <n v="29000"/>
    <n v="29000"/>
    <n v="29000"/>
    <n v="29000"/>
    <n v="963567.79"/>
    <n v="48462.57"/>
    <n v="207334.66"/>
    <n v="98620.56"/>
    <n v="132050"/>
    <n v="132050"/>
    <n v="132050"/>
    <n v="108302.77"/>
    <n v="100000"/>
    <n v="100000"/>
    <n v="100000"/>
    <n v="100000"/>
    <n v="100000"/>
    <n v="1358870.56"/>
  </r>
  <r>
    <x v="263"/>
    <x v="263"/>
    <s v="ERP"/>
    <x v="1"/>
    <x v="5"/>
    <s v="DeHart, Lynn"/>
    <x v="2"/>
    <x v="148"/>
    <s v="IBM CORP"/>
    <s v="2320521"/>
    <s v="IT-FBT0545-OG-US-00"/>
    <m/>
    <s v="9501178403"/>
    <m/>
    <s v="None"/>
    <m/>
    <m/>
    <n v="486372.24000000005"/>
    <n v="426376.62"/>
    <m/>
    <m/>
    <n v="58570.53"/>
    <n v="65599.81"/>
    <n v="81999.28"/>
    <n v="65599.430000000008"/>
    <n v="65599.420000000013"/>
    <n v="70019"/>
    <n v="10150"/>
    <n v="0"/>
    <n v="0"/>
    <n v="0"/>
    <n v="0"/>
    <n v="0"/>
    <n v="417537.47"/>
    <n v="-8839.1500000000233"/>
    <n v="70019"/>
    <n v="-4419.5799999999872"/>
    <n v="-8839.1500000000233"/>
    <n v="60000"/>
    <n v="-68839.150000000023"/>
    <s v="Leverage existing contractors."/>
    <n v="58570.53"/>
    <n v="65599.81"/>
    <n v="81999.28"/>
    <n v="70019"/>
    <n v="70019"/>
    <n v="70019"/>
    <n v="10150"/>
    <n v="0"/>
    <n v="0"/>
    <n v="0"/>
    <n v="0"/>
    <n v="0"/>
    <n v="426376.62"/>
    <n v="58570.53"/>
    <n v="65599.81"/>
    <n v="81999.28"/>
    <n v="69224"/>
    <n v="69224"/>
    <n v="69224"/>
    <n v="71025"/>
    <n v="15160"/>
    <n v="0"/>
    <n v="0"/>
    <n v="0"/>
    <n v="0"/>
    <n v="500026.62"/>
  </r>
  <r>
    <x v="264"/>
    <x v="264"/>
    <s v="ERP"/>
    <x v="1"/>
    <x v="5"/>
    <s v="DeHart, Lynn"/>
    <x v="2"/>
    <x v="149"/>
    <m/>
    <m/>
    <s v="IT-FBT0546-OG-US-00"/>
    <m/>
    <m/>
    <m/>
    <s v="MuleSoft"/>
    <m/>
    <m/>
    <n v="50000"/>
    <n v="50000"/>
    <m/>
    <m/>
    <m/>
    <m/>
    <m/>
    <s v=""/>
    <n v="0"/>
    <m/>
    <m/>
    <n v="50000"/>
    <n v="0"/>
    <n v="0"/>
    <n v="0"/>
    <n v="0"/>
    <n v="50000"/>
    <n v="0"/>
    <m/>
    <n v="0"/>
    <n v="0"/>
    <m/>
    <n v="0"/>
    <m/>
    <m/>
    <m/>
    <m/>
    <m/>
    <m/>
    <m/>
    <m/>
    <n v="50000"/>
    <n v="0"/>
    <n v="0"/>
    <n v="0"/>
    <n v="0"/>
    <n v="50000"/>
    <m/>
    <m/>
    <m/>
    <m/>
    <m/>
    <m/>
    <m/>
    <n v="50000"/>
    <n v="0"/>
    <n v="0"/>
    <n v="0"/>
    <n v="0"/>
    <n v="50000"/>
  </r>
  <r>
    <x v="265"/>
    <x v="265"/>
    <s v="ERP"/>
    <x v="3"/>
    <x v="14"/>
    <s v="Robertson, Jerome"/>
    <x v="2"/>
    <x v="150"/>
    <m/>
    <m/>
    <s v="IT-FBT0572-OG-US-00"/>
    <m/>
    <m/>
    <m/>
    <s v="Dev Factory"/>
    <s v="4/28 - (JAR) Reduced to $0 from 4/1 as we have terminated the contract for the factory model team with IBM. "/>
    <m/>
    <n v="224004"/>
    <n v="53297.440000000002"/>
    <m/>
    <m/>
    <n v="15089.11"/>
    <n v="16899.45"/>
    <n v="21308.880000000001"/>
    <n v="16899.62"/>
    <n v="-34566.71"/>
    <n v="0"/>
    <n v="0"/>
    <n v="0"/>
    <n v="0"/>
    <n v="0"/>
    <n v="0"/>
    <n v="0"/>
    <n v="35630.35"/>
    <n v="-17667.090000000004"/>
    <n v="0"/>
    <n v="-34566.71"/>
    <n v="-17667.090000000004"/>
    <m/>
    <n v="-17667.090000000004"/>
    <m/>
    <n v="15089.11"/>
    <n v="16899.45"/>
    <n v="21308.880000000001"/>
    <n v="0"/>
    <n v="0"/>
    <n v="0"/>
    <n v="0"/>
    <n v="0"/>
    <n v="0"/>
    <n v="0"/>
    <n v="0"/>
    <n v="0"/>
    <n v="53297.440000000002"/>
    <n v="15089.11"/>
    <n v="16899.45"/>
    <n v="21308.880000000001"/>
    <n v="18667"/>
    <n v="18667"/>
    <n v="18667"/>
    <n v="18667"/>
    <n v="18667"/>
    <n v="18667"/>
    <n v="18667"/>
    <n v="18667"/>
    <n v="18667"/>
    <n v="221300.44"/>
  </r>
  <r>
    <x v="266"/>
    <x v="266"/>
    <s v="ERP"/>
    <x v="3"/>
    <x v="14"/>
    <s v="Robertson, Jerome"/>
    <x v="2"/>
    <x v="151"/>
    <m/>
    <m/>
    <s v="IT-FBT0573-OG-US-00"/>
    <m/>
    <m/>
    <m/>
    <s v="SAP"/>
    <m/>
    <m/>
    <n v="0"/>
    <n v="112717.21"/>
    <m/>
    <m/>
    <n v="94047.88"/>
    <n v="124852.13"/>
    <n v="-106182.8"/>
    <n v="0"/>
    <n v="0"/>
    <n v="0"/>
    <n v="0"/>
    <n v="0"/>
    <n v="0"/>
    <n v="0"/>
    <n v="0"/>
    <n v="0"/>
    <n v="112717.21"/>
    <n v="0"/>
    <n v="0"/>
    <n v="0"/>
    <n v="0"/>
    <m/>
    <n v="0"/>
    <m/>
    <n v="94047.88"/>
    <n v="124852.13"/>
    <n v="-106182.8"/>
    <n v="0"/>
    <n v="0"/>
    <n v="0"/>
    <n v="0"/>
    <n v="0"/>
    <n v="0"/>
    <n v="0"/>
    <n v="0"/>
    <n v="0"/>
    <n v="112717.21"/>
    <n v="94047.88"/>
    <n v="124852.13"/>
    <n v="-106182.8"/>
    <n v="0"/>
    <n v="0"/>
    <n v="0"/>
    <n v="0"/>
    <n v="0"/>
    <n v="0"/>
    <n v="0"/>
    <n v="0"/>
    <n v="0"/>
    <n v="112717.21"/>
  </r>
  <r>
    <x v="267"/>
    <x v="267"/>
    <s v="ERP"/>
    <x v="3"/>
    <x v="14"/>
    <s v="Robertson, Jerome"/>
    <x v="1"/>
    <x v="151"/>
    <m/>
    <m/>
    <s v="IT-FBT0573-OG-US-00"/>
    <m/>
    <m/>
    <m/>
    <s v="SAP"/>
    <m/>
    <m/>
    <n v="1274196"/>
    <n v="1157512.03"/>
    <m/>
    <m/>
    <m/>
    <m/>
    <n v="201865.03"/>
    <n v="98015.38"/>
    <n v="98015.39"/>
    <n v="106183"/>
    <n v="106183"/>
    <n v="106183"/>
    <n v="106183"/>
    <n v="106183"/>
    <n v="106183"/>
    <n v="106183"/>
    <n v="1141176.8"/>
    <n v="-16335.229999999981"/>
    <n v="106183"/>
    <n v="-8167.6100000000006"/>
    <n v="-16335.229999999981"/>
    <m/>
    <n v="-16335.229999999981"/>
    <m/>
    <m/>
    <m/>
    <n v="201865.03"/>
    <n v="106183"/>
    <n v="106183"/>
    <n v="106183"/>
    <n v="106183"/>
    <n v="106183"/>
    <n v="106183"/>
    <n v="106183"/>
    <n v="106183"/>
    <n v="106183"/>
    <n v="1157512.03"/>
    <m/>
    <m/>
    <n v="201865.03"/>
    <n v="106183"/>
    <n v="106183"/>
    <n v="106183"/>
    <n v="106183"/>
    <n v="106183"/>
    <n v="106183"/>
    <n v="106183"/>
    <n v="106183"/>
    <n v="106183"/>
    <n v="1157512.03"/>
  </r>
  <r>
    <x v="268"/>
    <x v="268"/>
    <s v="ERP"/>
    <x v="3"/>
    <x v="14"/>
    <s v="Robertson, Jerome"/>
    <x v="1"/>
    <x v="151"/>
    <m/>
    <m/>
    <s v="IT-FBT0573-OG-US-00-CB"/>
    <m/>
    <m/>
    <m/>
    <s v="SAP"/>
    <s v="4/28 - (JAR) updated to $0 since factory contract has been terminated no scheduled chargebacks are expected. "/>
    <m/>
    <n v="-12000"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m/>
    <m/>
    <n v="0"/>
    <n v="0"/>
    <n v="0"/>
    <n v="0"/>
    <n v="0"/>
    <n v="0"/>
    <n v="0"/>
    <n v="0"/>
    <m/>
    <m/>
    <m/>
    <m/>
    <m/>
    <n v="-3000"/>
    <n v="0"/>
    <n v="0"/>
    <n v="-3000"/>
    <n v="0"/>
    <n v="0"/>
    <n v="-3000"/>
    <n v="-9000"/>
  </r>
  <r>
    <x v="269"/>
    <x v="269"/>
    <s v="ERP"/>
    <x v="0"/>
    <x v="0"/>
    <s v="Maguire, Karla"/>
    <x v="1"/>
    <x v="152"/>
    <m/>
    <m/>
    <s v="IT-FBT0587-OG-US-00"/>
    <m/>
    <m/>
    <m/>
    <s v="EP&amp;S"/>
    <m/>
    <m/>
    <n v="0"/>
    <n v="10582.559999999998"/>
    <m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0"/>
    <n v="881.88"/>
    <n v="0"/>
    <n v="0"/>
    <m/>
    <n v="0"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881.88"/>
    <n v="881.88"/>
    <n v="881.88"/>
    <n v="0"/>
    <n v="0"/>
    <n v="0"/>
    <n v="0"/>
    <n v="0"/>
    <n v="0"/>
    <n v="0"/>
    <n v="0"/>
    <n v="0"/>
    <n v="2645.64"/>
  </r>
  <r>
    <x v="270"/>
    <x v="270"/>
    <s v="ERP"/>
    <x v="0"/>
    <x v="1"/>
    <s v="Maguire, Karla"/>
    <x v="1"/>
    <x v="152"/>
    <m/>
    <m/>
    <s v="IT-FBT0587-OG-US-00"/>
    <m/>
    <m/>
    <m/>
    <s v="EP&amp;S"/>
    <m/>
    <m/>
    <n v="10599.999996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10600"/>
    <n v="10600"/>
    <m/>
    <m/>
    <m/>
    <m/>
    <n v="0"/>
    <n v="0"/>
    <n v="0"/>
    <n v="0"/>
    <n v="0"/>
    <n v="0"/>
    <n v="0"/>
    <n v="0"/>
    <n v="0"/>
    <n v="0"/>
    <m/>
    <m/>
    <m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7949.9999970000026"/>
  </r>
  <r>
    <x v="271"/>
    <x v="271"/>
    <s v="ERP"/>
    <x v="0"/>
    <x v="1"/>
    <s v="Maguire, Karla"/>
    <x v="1"/>
    <x v="153"/>
    <m/>
    <m/>
    <s v="IT-FBT0588-OG-US-00"/>
    <m/>
    <m/>
    <m/>
    <s v="EP&amp;S"/>
    <m/>
    <m/>
    <n v="10599.999996000004"/>
    <n v="10595.639997000004"/>
    <m/>
    <m/>
    <n v="881.88"/>
    <n v="881.88"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10592.733331000003"/>
    <n v="-2.9066660000007687"/>
    <n v="883.33333300000004"/>
    <n v="-1.4533330000000433"/>
    <n v="-2.9066660000007687"/>
    <m/>
    <n v="-2.9066660000007687"/>
    <m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</r>
  <r>
    <x v="272"/>
    <x v="272"/>
    <s v="ERP"/>
    <x v="0"/>
    <x v="1"/>
    <s v="Maguire, Karla"/>
    <x v="2"/>
    <x v="154"/>
    <m/>
    <m/>
    <s v="IT-FBT0636-OG-IN-00"/>
    <m/>
    <m/>
    <m/>
    <s v="India"/>
    <m/>
    <m/>
    <n v="73711"/>
    <n v="70191.98000000001"/>
    <m/>
    <m/>
    <n v="5439.05"/>
    <n v="4406.87"/>
    <n v="5062.8"/>
    <n v="6561.0900000000011"/>
    <n v="5184.41"/>
    <n v="6142.58"/>
    <n v="6142.58"/>
    <n v="6142.58"/>
    <n v="6142.58"/>
    <n v="6142.58"/>
    <n v="6142.58"/>
    <n v="6142.62"/>
    <n v="69652.320000000007"/>
    <n v="-539.66000000000349"/>
    <n v="6142.58"/>
    <n v="-958.17000000000007"/>
    <n v="-539.66000000000349"/>
    <m/>
    <n v="-539.66000000000349"/>
    <m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</r>
  <r>
    <x v="273"/>
    <x v="273"/>
    <s v="ERP"/>
    <x v="0"/>
    <x v="1"/>
    <s v="Maguire, Karla"/>
    <x v="2"/>
    <x v="155"/>
    <m/>
    <m/>
    <s v="IT-FBT0637-OG-IN-00"/>
    <m/>
    <m/>
    <m/>
    <s v="India"/>
    <m/>
    <m/>
    <n v="9592.0000000000018"/>
    <n v="9470.880000000001"/>
    <m/>
    <m/>
    <n v="844.81"/>
    <n v="677.12"/>
    <n v="754.94"/>
    <n v="991.85"/>
    <n v="673.53"/>
    <n v="799.33"/>
    <n v="799.33"/>
    <n v="799.33"/>
    <n v="799.33"/>
    <n v="799.33"/>
    <n v="799.33"/>
    <n v="799.37"/>
    <n v="9537.6"/>
    <n v="66.719999999999345"/>
    <n v="799.33"/>
    <n v="-125.80000000000007"/>
    <n v="66.720000000000255"/>
    <m/>
    <n v="66.719999999999345"/>
    <m/>
    <n v="844.81"/>
    <n v="677.12"/>
    <n v="754.94"/>
    <n v="799.33"/>
    <n v="799.33"/>
    <n v="799.33"/>
    <n v="799.33"/>
    <n v="799.33"/>
    <n v="799.33"/>
    <n v="799.33"/>
    <n v="799.33"/>
    <n v="799.37"/>
    <n v="9470.880000000001"/>
    <n v="844.81"/>
    <n v="677.12"/>
    <n v="754.94"/>
    <n v="799.33"/>
    <n v="799.33"/>
    <n v="799.33"/>
    <n v="799.33"/>
    <n v="799.33"/>
    <n v="799.33"/>
    <n v="799.33"/>
    <n v="799.33"/>
    <n v="799.37"/>
    <n v="9470.880000000001"/>
  </r>
  <r>
    <x v="274"/>
    <x v="274"/>
    <s v="ERP"/>
    <x v="0"/>
    <x v="1"/>
    <s v="Maguire, Karla"/>
    <x v="1"/>
    <x v="156"/>
    <m/>
    <m/>
    <s v="IT-FBT0638-OG-JP-00"/>
    <m/>
    <m/>
    <m/>
    <s v="Japan"/>
    <m/>
    <m/>
    <n v="132431.04000000001"/>
    <n v="123849.26"/>
    <m/>
    <m/>
    <n v="10548.89"/>
    <n v="8790.74"/>
    <n v="9845.6299999999992"/>
    <n v="12307.019999999999"/>
    <n v="9845.619999999999"/>
    <n v="10296"/>
    <n v="10296"/>
    <n v="10296"/>
    <n v="10296"/>
    <n v="10296"/>
    <n v="10296"/>
    <n v="10296"/>
    <n v="123409.9"/>
    <n v="-439.36000000000058"/>
    <n v="10296"/>
    <n v="-450.38000000000102"/>
    <n v="-439.36000000000058"/>
    <m/>
    <n v="-439.36000000000058"/>
    <m/>
    <n v="10548.89"/>
    <n v="8790.74"/>
    <n v="9845.6299999999992"/>
    <n v="12296"/>
    <n v="10296"/>
    <n v="10296"/>
    <n v="10296"/>
    <n v="10296"/>
    <n v="10296"/>
    <n v="10296"/>
    <n v="10296"/>
    <n v="10296"/>
    <n v="123849.26"/>
    <n v="10548.89"/>
    <n v="8790.74"/>
    <n v="9845.6299999999992"/>
    <n v="11035.92"/>
    <n v="11035.92"/>
    <n v="11035.92"/>
    <n v="11035.92"/>
    <n v="11035.92"/>
    <n v="11035.92"/>
    <n v="11035.92"/>
    <n v="11035.92"/>
    <n v="11035.92"/>
    <n v="128508.53999999998"/>
  </r>
  <r>
    <x v="275"/>
    <x v="275"/>
    <s v="ERP"/>
    <x v="0"/>
    <x v="10"/>
    <s v="Maguire, Karla"/>
    <x v="1"/>
    <x v="157"/>
    <m/>
    <m/>
    <s v="IT-FBT0651-OG-US-00"/>
    <m/>
    <s v="N"/>
    <m/>
    <s v="EP&amp;S"/>
    <s v="4/28/26 CHW New add to tie-out 0223 to 0317 Planful Extracts"/>
    <m/>
    <n v="6000"/>
    <n v="4500"/>
    <m/>
    <m/>
    <m/>
    <m/>
    <m/>
    <s v=""/>
    <n v="0"/>
    <n v="500"/>
    <n v="500"/>
    <n v="500"/>
    <n v="500"/>
    <n v="500"/>
    <n v="500"/>
    <n v="500"/>
    <n v="3500"/>
    <n v="-1000"/>
    <n v="500"/>
    <n v="-500"/>
    <n v="-1000"/>
    <m/>
    <n v="-1000"/>
    <m/>
    <m/>
    <m/>
    <m/>
    <n v="500"/>
    <n v="500"/>
    <n v="500"/>
    <n v="500"/>
    <n v="500"/>
    <n v="500"/>
    <n v="500"/>
    <n v="500"/>
    <n v="500"/>
    <n v="4500"/>
    <n v="500"/>
    <n v="500"/>
    <n v="500"/>
    <n v="500"/>
    <n v="500"/>
    <n v="500"/>
    <n v="500"/>
    <n v="500"/>
    <n v="500"/>
    <n v="500"/>
    <n v="500"/>
    <n v="500"/>
    <n v="6000"/>
  </r>
  <r>
    <x v="276"/>
    <x v="276"/>
    <s v="ERP"/>
    <x v="1"/>
    <x v="5"/>
    <s v="DeHart, Lynn"/>
    <x v="2"/>
    <x v="158"/>
    <m/>
    <m/>
    <s v="IT-FBT0657-OG-US-00"/>
    <m/>
    <m/>
    <m/>
    <s v="MuleSoft"/>
    <m/>
    <m/>
    <n v="25000"/>
    <n v="25000"/>
    <m/>
    <m/>
    <m/>
    <m/>
    <m/>
    <s v=""/>
    <n v="0"/>
    <m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x v="277"/>
    <x v="277"/>
    <s v="ERP"/>
    <x v="1"/>
    <x v="5"/>
    <s v="DeHart, Lynn"/>
    <x v="1"/>
    <x v="159"/>
    <m/>
    <m/>
    <s v="IT-FBT0658-OG-US-00"/>
    <m/>
    <s v="N/A"/>
    <m/>
    <s v="EP&amp;S"/>
    <m/>
    <m/>
    <n v="8600"/>
    <n v="8392.24"/>
    <m/>
    <m/>
    <n v="540.58000000000004"/>
    <n v="540.04999999999995"/>
    <n v="511.61"/>
    <n v="547.18999999999994"/>
    <n v="534.1099999999999"/>
    <n v="600"/>
    <n v="600"/>
    <n v="600"/>
    <n v="600"/>
    <n v="600"/>
    <n v="600"/>
    <n v="2000"/>
    <n v="8273.5400000000009"/>
    <n v="-118.69999999999891"/>
    <n v="600"/>
    <n v="-65.8900000000001"/>
    <n v="-118.70000000000027"/>
    <m/>
    <n v="-118.69999999999891"/>
    <m/>
    <n v="540.58000000000004"/>
    <n v="540.04999999999995"/>
    <n v="511.61"/>
    <n v="600"/>
    <n v="600"/>
    <n v="600"/>
    <n v="600"/>
    <n v="600"/>
    <n v="600"/>
    <n v="600"/>
    <n v="600"/>
    <n v="2000"/>
    <n v="8392.24"/>
    <n v="540.58000000000004"/>
    <n v="540.04999999999995"/>
    <n v="511.61"/>
    <n v="600"/>
    <n v="600"/>
    <n v="600"/>
    <n v="600"/>
    <n v="600"/>
    <n v="600"/>
    <n v="600"/>
    <n v="600"/>
    <n v="2000"/>
    <n v="8392.24"/>
  </r>
  <r>
    <x v="278"/>
    <x v="278"/>
    <s v="ERP"/>
    <x v="1"/>
    <x v="5"/>
    <s v="DeHart, Lynn"/>
    <x v="0"/>
    <x v="159"/>
    <m/>
    <m/>
    <s v="IT-FBT0658-OG-US-00"/>
    <m/>
    <s v="N/A"/>
    <m/>
    <s v="EP&amp;S"/>
    <m/>
    <m/>
    <n v="3348"/>
    <n v="3659.38"/>
    <m/>
    <m/>
    <n v="279.45999999999998"/>
    <n v="279.45999999999998"/>
    <n v="589.46"/>
    <n v="279.45999999999998"/>
    <n v="279.45999999999998"/>
    <n v="279"/>
    <n v="279"/>
    <n v="279"/>
    <n v="279"/>
    <n v="279"/>
    <n v="279"/>
    <n v="279"/>
    <n v="3660.3"/>
    <n v="0.92000000000007276"/>
    <n v="279"/>
    <n v="0.45999999999997954"/>
    <n v="0.92000000000007276"/>
    <m/>
    <n v="0.92000000000007276"/>
    <s v="Related to Manhattan software. Don't know why this is being separated."/>
    <n v="279.45999999999998"/>
    <n v="279.45999999999998"/>
    <n v="589.46"/>
    <n v="279"/>
    <n v="279"/>
    <n v="279"/>
    <n v="279"/>
    <n v="279"/>
    <n v="279"/>
    <n v="279"/>
    <n v="279"/>
    <n v="279"/>
    <n v="3659.38"/>
    <n v="279.45999999999998"/>
    <n v="279.45999999999998"/>
    <n v="589.46"/>
    <n v="279"/>
    <n v="279"/>
    <n v="279"/>
    <n v="279"/>
    <n v="279"/>
    <n v="279"/>
    <n v="279"/>
    <n v="279"/>
    <n v="279"/>
    <n v="3659.38"/>
  </r>
  <r>
    <x v="279"/>
    <x v="279"/>
    <s v="ERP"/>
    <x v="1"/>
    <x v="5"/>
    <s v="DeHart, Lynn"/>
    <x v="1"/>
    <x v="160"/>
    <m/>
    <m/>
    <s v="IT-FBT0659-OG-US-00"/>
    <m/>
    <m/>
    <m/>
    <s v="None"/>
    <m/>
    <m/>
    <n v="1560"/>
    <n v="1536.8899999999999"/>
    <m/>
    <m/>
    <n v="124.95"/>
    <n v="125.88"/>
    <n v="116.06"/>
    <n v="129.38999999999999"/>
    <n v="122.35"/>
    <n v="130"/>
    <n v="130"/>
    <n v="130"/>
    <n v="130"/>
    <n v="130"/>
    <n v="130"/>
    <n v="130"/>
    <n v="1528.63"/>
    <n v="-8.2599999999997635"/>
    <n v="130"/>
    <n v="-7.6500000000000057"/>
    <n v="-8.2599999999999909"/>
    <m/>
    <n v="-8.2599999999997635"/>
    <m/>
    <n v="124.95"/>
    <n v="125.88"/>
    <n v="116.06"/>
    <n v="130"/>
    <n v="130"/>
    <n v="130"/>
    <n v="130"/>
    <n v="130"/>
    <n v="130"/>
    <n v="130"/>
    <n v="130"/>
    <n v="130"/>
    <n v="1536.8899999999999"/>
    <n v="124.95"/>
    <n v="125.88"/>
    <n v="116.06"/>
    <n v="130"/>
    <n v="130"/>
    <n v="130"/>
    <n v="130"/>
    <n v="130"/>
    <n v="130"/>
    <n v="130"/>
    <n v="130"/>
    <n v="130"/>
    <n v="1536.8899999999999"/>
  </r>
  <r>
    <x v="280"/>
    <x v="280"/>
    <s v="ERP"/>
    <x v="1"/>
    <x v="6"/>
    <s v="DeHart, Lynn"/>
    <x v="1"/>
    <x v="160"/>
    <m/>
    <m/>
    <s v="IT-FBT0659-OG-US-00"/>
    <m/>
    <m/>
    <m/>
    <s v="None"/>
    <m/>
    <m/>
    <n v="4213"/>
    <n v="3403"/>
    <m/>
    <m/>
    <m/>
    <m/>
    <m/>
    <s v=""/>
    <n v="0"/>
    <n v="267"/>
    <n v="267"/>
    <n v="267"/>
    <n v="267"/>
    <n v="267"/>
    <n v="267"/>
    <n v="1267"/>
    <n v="2869"/>
    <n v="-534"/>
    <n v="267"/>
    <n v="-267"/>
    <n v="-534"/>
    <m/>
    <n v="-534"/>
    <m/>
    <m/>
    <m/>
    <m/>
    <n v="267"/>
    <n v="267"/>
    <n v="267"/>
    <n v="267"/>
    <n v="267"/>
    <n v="267"/>
    <n v="267"/>
    <n v="267"/>
    <n v="1267"/>
    <n v="3403"/>
    <m/>
    <m/>
    <m/>
    <n v="267"/>
    <n v="267"/>
    <n v="267"/>
    <n v="267"/>
    <n v="267"/>
    <n v="267"/>
    <n v="267"/>
    <n v="267"/>
    <n v="1267"/>
    <n v="3403"/>
  </r>
  <r>
    <x v="281"/>
    <x v="281"/>
    <s v="ERP"/>
    <x v="1"/>
    <x v="5"/>
    <s v="DeHart, Lynn"/>
    <x v="1"/>
    <x v="161"/>
    <m/>
    <m/>
    <s v="IT-FBT0660-OG-US-00"/>
    <m/>
    <m/>
    <m/>
    <s v="EP&amp;S"/>
    <m/>
    <m/>
    <n v="0"/>
    <n v="354.76"/>
    <m/>
    <m/>
    <n v="129.77000000000001"/>
    <n v="129.72"/>
    <n v="95.27"/>
    <n v="108.61"/>
    <n v="126.27000000000001"/>
    <n v="0"/>
    <n v="0"/>
    <n v="0"/>
    <n v="0"/>
    <n v="0"/>
    <n v="0"/>
    <n v="0"/>
    <n v="589.64"/>
    <n v="234.88"/>
    <n v="0"/>
    <n v="126.27000000000001"/>
    <n v="234.88"/>
    <m/>
    <n v="234.88"/>
    <m/>
    <n v="129.77000000000001"/>
    <n v="129.72"/>
    <n v="95.27"/>
    <n v="0"/>
    <n v="0"/>
    <n v="0"/>
    <n v="0"/>
    <n v="0"/>
    <n v="0"/>
    <n v="0"/>
    <n v="0"/>
    <n v="0"/>
    <n v="354.76"/>
    <n v="129.77000000000001"/>
    <n v="129.72"/>
    <n v="95.27"/>
    <n v="0"/>
    <n v="0"/>
    <n v="0"/>
    <n v="0"/>
    <n v="0"/>
    <n v="0"/>
    <n v="0"/>
    <n v="0"/>
    <n v="0"/>
    <n v="354.76"/>
  </r>
  <r>
    <x v="282"/>
    <x v="282"/>
    <s v="ERP"/>
    <x v="1"/>
    <x v="6"/>
    <s v="DeHart, Lynn"/>
    <x v="1"/>
    <x v="161"/>
    <m/>
    <m/>
    <s v="IT-FBT0660-OG-US-00"/>
    <m/>
    <m/>
    <m/>
    <s v="EP&amp;S"/>
    <m/>
    <m/>
    <n v="3260"/>
    <n v="2780"/>
    <m/>
    <m/>
    <m/>
    <m/>
    <m/>
    <s v=""/>
    <n v="0"/>
    <n v="160"/>
    <n v="160"/>
    <n v="160"/>
    <n v="160"/>
    <n v="160"/>
    <n v="160"/>
    <n v="1500"/>
    <n v="2460"/>
    <n v="-320"/>
    <n v="160"/>
    <n v="-160"/>
    <n v="-320"/>
    <m/>
    <n v="-320"/>
    <m/>
    <m/>
    <m/>
    <m/>
    <n v="160"/>
    <n v="160"/>
    <n v="160"/>
    <n v="160"/>
    <n v="160"/>
    <n v="160"/>
    <n v="160"/>
    <n v="160"/>
    <n v="1500"/>
    <n v="2780"/>
    <m/>
    <m/>
    <m/>
    <n v="160"/>
    <n v="160"/>
    <n v="160"/>
    <n v="160"/>
    <n v="160"/>
    <n v="160"/>
    <n v="160"/>
    <n v="160"/>
    <n v="1500"/>
    <n v="2780"/>
  </r>
  <r>
    <x v="283"/>
    <x v="283"/>
    <s v="ERP"/>
    <x v="1"/>
    <x v="5"/>
    <s v="DeHart, Lynn"/>
    <x v="2"/>
    <x v="162"/>
    <m/>
    <m/>
    <s v="IT-FBT0661-OG-US-00"/>
    <m/>
    <m/>
    <m/>
    <s v="None"/>
    <s v="4/30 - Team to reclass btwn MG &amp; Contractors"/>
    <m/>
    <n v="47697"/>
    <n v="53620"/>
    <m/>
    <m/>
    <m/>
    <m/>
    <m/>
    <n v="0"/>
    <n v="5850"/>
    <n v="0"/>
    <n v="23247"/>
    <n v="0"/>
    <n v="9523"/>
    <n v="0"/>
    <n v="0"/>
    <n v="0"/>
    <n v="38620"/>
    <n v="-15000"/>
    <n v="5850"/>
    <n v="0"/>
    <n v="-15000"/>
    <m/>
    <n v="-15000"/>
    <m/>
    <m/>
    <m/>
    <m/>
    <n v="15000"/>
    <n v="5850"/>
    <n v="0"/>
    <n v="23247"/>
    <n v="0"/>
    <n v="9523"/>
    <n v="0"/>
    <n v="0"/>
    <n v="0"/>
    <n v="53620"/>
    <m/>
    <m/>
    <m/>
    <n v="15000"/>
    <n v="0"/>
    <n v="0"/>
    <n v="23247"/>
    <n v="0"/>
    <n v="9523"/>
    <n v="0"/>
    <n v="0"/>
    <n v="0"/>
    <n v="47770"/>
  </r>
  <r>
    <x v="284"/>
    <x v="284"/>
    <s v="ERP"/>
    <x v="1"/>
    <x v="5"/>
    <s v="DeHart, Lynn"/>
    <x v="1"/>
    <x v="162"/>
    <m/>
    <m/>
    <s v="IT-FBT0661-OG-US-00"/>
    <m/>
    <m/>
    <m/>
    <s v="None"/>
    <s v="4/30 - Team to reclass btwn MG &amp; Contractors"/>
    <m/>
    <n v="0"/>
    <n v="0"/>
    <m/>
    <m/>
    <m/>
    <m/>
    <n v="5850"/>
    <n v="0"/>
    <n v="-5800.26"/>
    <n v="0"/>
    <n v="0"/>
    <n v="0"/>
    <n v="0"/>
    <n v="0"/>
    <n v="0"/>
    <n v="0"/>
    <n v="49.739999999999782"/>
    <n v="49.739999999999782"/>
    <n v="-5850"/>
    <n v="49.739999999999782"/>
    <n v="49.739999999999782"/>
    <m/>
    <n v="49.739999999999782"/>
    <m/>
    <m/>
    <m/>
    <n v="5850"/>
    <m/>
    <n v="-5850"/>
    <n v="0"/>
    <n v="0"/>
    <n v="0"/>
    <n v="0"/>
    <n v="0"/>
    <n v="0"/>
    <n v="0"/>
    <n v="0"/>
    <m/>
    <m/>
    <n v="5850"/>
    <n v="0"/>
    <n v="0"/>
    <n v="0"/>
    <n v="0"/>
    <n v="0"/>
    <n v="0"/>
    <n v="0"/>
    <n v="0"/>
    <n v="0"/>
    <n v="5850"/>
  </r>
  <r>
    <x v="285"/>
    <x v="285"/>
    <s v="ERP"/>
    <x v="0"/>
    <x v="0"/>
    <s v="Maguire, Karla"/>
    <x v="1"/>
    <x v="163"/>
    <m/>
    <m/>
    <s v="IT-FBT0665-OG-US-00"/>
    <m/>
    <s v="N/A"/>
    <m/>
    <s v="EP&amp;S"/>
    <m/>
    <m/>
    <n v="0"/>
    <n v="9126"/>
    <m/>
    <m/>
    <m/>
    <m/>
    <m/>
    <s v=""/>
    <n v="0"/>
    <n v="1014"/>
    <n v="1014"/>
    <n v="1014"/>
    <n v="1014"/>
    <n v="1014"/>
    <n v="1014"/>
    <n v="1014"/>
    <n v="7098"/>
    <n v="-2028"/>
    <n v="1014"/>
    <n v="-1014"/>
    <n v="-2028"/>
    <m/>
    <n v="-2028"/>
    <m/>
    <m/>
    <m/>
    <m/>
    <n v="1014"/>
    <n v="1014"/>
    <n v="1014"/>
    <n v="1014"/>
    <n v="1014"/>
    <n v="1014"/>
    <n v="1014"/>
    <n v="1014"/>
    <n v="1014"/>
    <n v="9126"/>
    <m/>
    <m/>
    <m/>
    <n v="1014"/>
    <n v="1014"/>
    <n v="1014"/>
    <n v="1014"/>
    <n v="1014"/>
    <n v="1014"/>
    <n v="1014"/>
    <n v="1014"/>
    <n v="1014"/>
    <n v="9126"/>
  </r>
  <r>
    <x v="286"/>
    <x v="286"/>
    <s v="ERP"/>
    <x v="0"/>
    <x v="1"/>
    <s v="Maguire, Karla"/>
    <x v="1"/>
    <x v="163"/>
    <m/>
    <m/>
    <s v="IT-FBT0665-OG-US-00"/>
    <m/>
    <s v="N/A"/>
    <m/>
    <s v="EP&amp;S"/>
    <m/>
    <m/>
    <n v="12168"/>
    <n v="9604.119999999999"/>
    <m/>
    <m/>
    <n v="243.06"/>
    <n v="235.06"/>
    <n v="0"/>
    <n v="527.16999999999996"/>
    <n v="288.64999999999998"/>
    <n v="1014"/>
    <n v="1014"/>
    <n v="1014"/>
    <n v="1014"/>
    <n v="1014"/>
    <n v="1014"/>
    <n v="1014"/>
    <n v="8391.94"/>
    <n v="-1212.1799999999985"/>
    <n v="1014"/>
    <n v="-725.35"/>
    <n v="-1212.1799999999998"/>
    <m/>
    <n v="-1212.1799999999985"/>
    <m/>
    <n v="243.06"/>
    <n v="235.06"/>
    <n v="0"/>
    <n v="1014"/>
    <n v="1014"/>
    <n v="1014"/>
    <n v="1014"/>
    <n v="1014"/>
    <n v="1014"/>
    <n v="1014"/>
    <n v="1014"/>
    <n v="1014"/>
    <n v="9604.119999999999"/>
    <n v="243.06"/>
    <n v="235.06"/>
    <n v="0"/>
    <n v="1014"/>
    <n v="1014"/>
    <n v="1014"/>
    <n v="1014"/>
    <n v="1014"/>
    <n v="1014"/>
    <n v="1014"/>
    <n v="1014"/>
    <n v="1014"/>
    <n v="9604.119999999999"/>
  </r>
  <r>
    <x v="287"/>
    <x v="287"/>
    <s v="ERP"/>
    <x v="0"/>
    <x v="1"/>
    <s v="Maguire, Karla"/>
    <x v="0"/>
    <x v="163"/>
    <m/>
    <m/>
    <s v="IT-FBT0665-OG-US-00"/>
    <m/>
    <s v="N/A"/>
    <m/>
    <s v="EP&amp;S"/>
    <m/>
    <m/>
    <n v="0"/>
    <n v="838.37999999999988"/>
    <m/>
    <m/>
    <n v="279.45999999999998"/>
    <n v="279.45999999999998"/>
    <n v="279.45999999999998"/>
    <n v="279.45999999999998"/>
    <n v="139.72999999999999"/>
    <n v="0"/>
    <n v="0"/>
    <n v="0"/>
    <n v="0"/>
    <n v="0"/>
    <n v="0"/>
    <n v="0"/>
    <n v="1257.57"/>
    <n v="419.19000000000005"/>
    <n v="0"/>
    <n v="139.72999999999999"/>
    <n v="419.19000000000005"/>
    <m/>
    <n v="419.19000000000005"/>
    <m/>
    <n v="279.45999999999998"/>
    <n v="279.45999999999998"/>
    <n v="279.45999999999998"/>
    <n v="0"/>
    <n v="0"/>
    <n v="0"/>
    <n v="0"/>
    <n v="0"/>
    <n v="0"/>
    <n v="0"/>
    <n v="0"/>
    <n v="0"/>
    <n v="838.37999999999988"/>
    <n v="279.45999999999998"/>
    <n v="279.45999999999998"/>
    <n v="279.45999999999998"/>
    <n v="0"/>
    <n v="0"/>
    <n v="0"/>
    <n v="0"/>
    <n v="0"/>
    <n v="0"/>
    <n v="0"/>
    <n v="0"/>
    <n v="0"/>
    <n v="838.37999999999988"/>
  </r>
  <r>
    <x v="288"/>
    <x v="288"/>
    <s v="ERP"/>
    <x v="0"/>
    <x v="1"/>
    <s v="Maguire, Karla"/>
    <x v="1"/>
    <x v="129"/>
    <m/>
    <m/>
    <s v="IT-FBT0675-OG-US-00"/>
    <m/>
    <s v="N/A"/>
    <m/>
    <s v="EP&amp;S"/>
    <m/>
    <m/>
    <n v="26558.000004000005"/>
    <n v="24873.730003000001"/>
    <m/>
    <m/>
    <n v="1680.68"/>
    <n v="1679.61"/>
    <n v="1594.94"/>
    <n v="1713.8500000000004"/>
    <n v="1788.77"/>
    <n v="2213.166667"/>
    <n v="2213.166667"/>
    <n v="2213.166667"/>
    <n v="2213.166667"/>
    <n v="2213.166667"/>
    <n v="2213.166667"/>
    <n v="2213.166667"/>
    <n v="23950.016669000004"/>
    <n v="-923.71333399999639"/>
    <n v="2213.166667"/>
    <n v="-424.39666699999998"/>
    <n v="-923.71333399999821"/>
    <m/>
    <n v="-923.71333399999639"/>
    <m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</r>
  <r>
    <x v="289"/>
    <x v="289"/>
    <s v="ERP"/>
    <x v="0"/>
    <x v="1"/>
    <s v="Maguire, Karla"/>
    <x v="0"/>
    <x v="129"/>
    <m/>
    <m/>
    <s v="IT-FBT0675-OG-US-00"/>
    <m/>
    <s v="N/A"/>
    <m/>
    <s v="EP&amp;S"/>
    <m/>
    <m/>
    <n v="1854.9999960000002"/>
    <n v="2120.4399970000004"/>
    <m/>
    <m/>
    <n v="139.72999999999999"/>
    <n v="139.72999999999999"/>
    <n v="449.73"/>
    <n v="139.72999999999999"/>
    <n v="139.72999999999999"/>
    <n v="154.58333300000001"/>
    <n v="154.58333300000001"/>
    <n v="154.58333300000001"/>
    <n v="154.58333300000001"/>
    <n v="154.58333300000001"/>
    <n v="154.58333300000001"/>
    <n v="154.58333300000001"/>
    <n v="2090.7333310000004"/>
    <n v="-29.706666000000041"/>
    <n v="154.58333300000001"/>
    <n v="-14.853333000000021"/>
    <n v="-29.706666000000041"/>
    <m/>
    <n v="-29.706666000000041"/>
    <m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</r>
  <r>
    <x v="290"/>
    <x v="290"/>
    <s v="ERP"/>
    <x v="0"/>
    <x v="0"/>
    <s v="Maguire, Karla"/>
    <x v="1"/>
    <x v="129"/>
    <m/>
    <m/>
    <s v="IT-FBT0693-OG-US-00"/>
    <m/>
    <m/>
    <m/>
    <s v="EP&amp;S"/>
    <m/>
    <m/>
    <n v="60000"/>
    <n v="58916.17"/>
    <m/>
    <m/>
    <n v="5046.78"/>
    <n v="4733.08"/>
    <n v="4136.3100000000004"/>
    <n v="1611.3500000000001"/>
    <n v="1548.42"/>
    <n v="5000"/>
    <n v="5000"/>
    <n v="5000"/>
    <n v="5000"/>
    <n v="5000"/>
    <n v="5000"/>
    <n v="5000"/>
    <n v="52075.94"/>
    <n v="-6840.2299999999959"/>
    <n v="5000"/>
    <n v="-3451.58"/>
    <n v="-6840.23"/>
    <m/>
    <n v="-6840.2299999999959"/>
    <m/>
    <n v="5046.78"/>
    <n v="4733.08"/>
    <n v="4136.3100000000004"/>
    <n v="5000"/>
    <n v="5000"/>
    <n v="5000"/>
    <n v="5000"/>
    <n v="5000"/>
    <n v="5000"/>
    <n v="5000"/>
    <n v="5000"/>
    <n v="5000"/>
    <n v="58916.17"/>
    <n v="5046.78"/>
    <n v="4733.08"/>
    <n v="4136.3100000000004"/>
    <n v="5000"/>
    <n v="5000"/>
    <n v="5000"/>
    <n v="5000"/>
    <n v="5000"/>
    <n v="5000"/>
    <n v="5000"/>
    <n v="5000"/>
    <n v="5000"/>
    <n v="58916.17"/>
  </r>
  <r>
    <x v="291"/>
    <x v="291"/>
    <s v="ERP"/>
    <x v="0"/>
    <x v="9"/>
    <s v="Maguire, Karla"/>
    <x v="1"/>
    <x v="129"/>
    <m/>
    <m/>
    <s v="IT-FBT0693-OG-US-00"/>
    <m/>
    <m/>
    <m/>
    <s v="EP&amp;S"/>
    <m/>
    <m/>
    <n v="0"/>
    <n v="81"/>
    <m/>
    <m/>
    <n v="1.65"/>
    <n v="76.819999999999993"/>
    <n v="2.5299999999999998"/>
    <n v="1008.71"/>
    <n v="1060.44"/>
    <n v="0"/>
    <n v="0"/>
    <n v="0"/>
    <n v="0"/>
    <n v="0"/>
    <n v="0"/>
    <n v="0"/>
    <n v="2150.15"/>
    <n v="2069.15"/>
    <n v="0"/>
    <n v="1060.44"/>
    <n v="2069.15"/>
    <m/>
    <n v="2069.15"/>
    <m/>
    <n v="1.65"/>
    <n v="76.819999999999993"/>
    <n v="2.5299999999999998"/>
    <n v="0"/>
    <n v="0"/>
    <n v="0"/>
    <n v="0"/>
    <n v="0"/>
    <n v="0"/>
    <n v="0"/>
    <n v="0"/>
    <n v="0"/>
    <n v="81"/>
    <n v="1.65"/>
    <n v="76.819999999999993"/>
    <n v="2.5299999999999998"/>
    <n v="0"/>
    <n v="0"/>
    <n v="0"/>
    <n v="0"/>
    <n v="0"/>
    <n v="0"/>
    <n v="0"/>
    <n v="0"/>
    <n v="0"/>
    <n v="81"/>
  </r>
  <r>
    <x v="292"/>
    <x v="292"/>
    <s v="ERP"/>
    <x v="0"/>
    <x v="1"/>
    <s v="Maguire, Karla"/>
    <x v="1"/>
    <x v="129"/>
    <m/>
    <m/>
    <s v="IT-FBT0693-OG-US-00"/>
    <m/>
    <m/>
    <m/>
    <s v="EP&amp;S"/>
    <m/>
    <m/>
    <n v="14400"/>
    <n v="11192.33"/>
    <m/>
    <m/>
    <n v="200.57"/>
    <n v="191.76"/>
    <n v="0"/>
    <n v="14.350000000000001"/>
    <n v="11.24"/>
    <n v="1200"/>
    <n v="1200"/>
    <n v="1200"/>
    <n v="1200"/>
    <n v="1200"/>
    <n v="1200"/>
    <n v="1200"/>
    <n v="8817.92"/>
    <n v="-2374.41"/>
    <n v="1200"/>
    <n v="-1188.76"/>
    <n v="-2374.41"/>
    <m/>
    <n v="-2374.41"/>
    <m/>
    <n v="200.57"/>
    <n v="191.76"/>
    <n v="0"/>
    <n v="1200"/>
    <n v="1200"/>
    <n v="1200"/>
    <n v="1200"/>
    <n v="1200"/>
    <n v="1200"/>
    <n v="1200"/>
    <n v="1200"/>
    <n v="1200"/>
    <n v="11192.33"/>
    <n v="200.57"/>
    <n v="191.76"/>
    <n v="0"/>
    <n v="1200"/>
    <n v="1200"/>
    <n v="1200"/>
    <n v="1200"/>
    <n v="1200"/>
    <n v="1200"/>
    <n v="1200"/>
    <n v="1200"/>
    <n v="1200"/>
    <n v="11192.33"/>
  </r>
  <r>
    <x v="293"/>
    <x v="293"/>
    <s v="ERP"/>
    <x v="0"/>
    <x v="1"/>
    <s v="Maguire, Karla"/>
    <x v="1"/>
    <x v="164"/>
    <m/>
    <m/>
    <s v="IT-FBT0700-OG-US-00"/>
    <m/>
    <m/>
    <m/>
    <s v="BTAMS"/>
    <m/>
    <m/>
    <n v="376200"/>
    <n v="376200.45999999996"/>
    <m/>
    <m/>
    <n v="25838"/>
    <n v="36872.379999999997"/>
    <n v="31340.080000000002"/>
    <n v="25837.46"/>
    <n v="36862.460000000006"/>
    <n v="31350"/>
    <n v="31350"/>
    <n v="31350"/>
    <n v="31350"/>
    <n v="31350"/>
    <n v="31350"/>
    <n v="31350"/>
    <n v="376200.38"/>
    <n v="-7.9999999958090484E-2"/>
    <n v="31350"/>
    <n v="5512.4600000000064"/>
    <n v="-7.9999999987194315E-2"/>
    <m/>
    <n v="-7.9999999958090484E-2"/>
    <m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</r>
  <r>
    <x v="294"/>
    <x v="294"/>
    <s v="ERP"/>
    <x v="1"/>
    <x v="13"/>
    <s v="DeHart, Lynn"/>
    <x v="2"/>
    <x v="165"/>
    <m/>
    <m/>
    <s v="IT-FBT0702-OG-US-00"/>
    <m/>
    <m/>
    <m/>
    <s v="SAP"/>
    <m/>
    <m/>
    <n v="50000"/>
    <n v="50000"/>
    <m/>
    <m/>
    <m/>
    <m/>
    <m/>
    <n v="0"/>
    <n v="49060"/>
    <n v="0"/>
    <n v="0"/>
    <n v="0"/>
    <n v="0"/>
    <n v="0"/>
    <n v="0"/>
    <n v="0"/>
    <n v="49060"/>
    <n v="-940"/>
    <n v="50000"/>
    <n v="-940"/>
    <n v="-940"/>
    <m/>
    <n v="-940"/>
    <m/>
    <m/>
    <m/>
    <m/>
    <n v="0"/>
    <n v="50000"/>
    <n v="0"/>
    <n v="0"/>
    <n v="0"/>
    <n v="0"/>
    <n v="0"/>
    <n v="0"/>
    <n v="0"/>
    <n v="50000"/>
    <m/>
    <m/>
    <m/>
    <n v="50000"/>
    <n v="0"/>
    <n v="0"/>
    <n v="0"/>
    <n v="0"/>
    <n v="0"/>
    <n v="0"/>
    <n v="0"/>
    <n v="0"/>
    <n v="50000"/>
  </r>
  <r>
    <x v="295"/>
    <x v="295"/>
    <s v="ERP"/>
    <x v="2"/>
    <x v="11"/>
    <s v="McGettigan, David"/>
    <x v="2"/>
    <x v="166"/>
    <m/>
    <m/>
    <s v="IT-FBT0748-OT-US-00"/>
    <m/>
    <m/>
    <m/>
    <s v="Digital Funded Project"/>
    <m/>
    <m/>
    <n v="-1080865"/>
    <n v="-1080865"/>
    <m/>
    <m/>
    <m/>
    <m/>
    <n v="-180144.16"/>
    <n v="0"/>
    <n v="-270216.24"/>
    <n v="-90072"/>
    <n v="0"/>
    <n v="-180144"/>
    <n v="-90072"/>
    <n v="0"/>
    <n v="-180144"/>
    <n v="-90072.84"/>
    <n v="-1080865.24"/>
    <n v="-0.23999999999068677"/>
    <n v="-270216"/>
    <n v="-0.23999999999068677"/>
    <n v="-0.23999999999068677"/>
    <m/>
    <n v="-0.23999999999068677"/>
    <m/>
    <m/>
    <m/>
    <n v="-180144.16"/>
    <n v="0"/>
    <n v="-270216"/>
    <n v="-90072"/>
    <n v="0"/>
    <n v="-180144"/>
    <n v="-90072"/>
    <n v="0"/>
    <n v="-180144"/>
    <n v="-90072.84"/>
    <n v="-1080865"/>
    <m/>
    <m/>
    <n v="-180144.16"/>
    <n v="0"/>
    <n v="-180144.16"/>
    <n v="-90072.08"/>
    <n v="0"/>
    <n v="-180144.16"/>
    <n v="-90072.08"/>
    <n v="0"/>
    <n v="-180144.16"/>
    <n v="-90072.12"/>
    <n v="-990792.92"/>
  </r>
  <r>
    <x v="296"/>
    <x v="296"/>
    <s v="ERP"/>
    <x v="0"/>
    <x v="1"/>
    <s v="Maguire, Karla"/>
    <x v="1"/>
    <x v="167"/>
    <m/>
    <m/>
    <s v="IT-FBT0753-OT-US-00"/>
    <m/>
    <m/>
    <m/>
    <s v="None"/>
    <m/>
    <m/>
    <n v="335904"/>
    <n v="335903.61"/>
    <m/>
    <m/>
    <n v="0.04"/>
    <n v="55984.1"/>
    <n v="27991.47"/>
    <n v="23070.760000000002"/>
    <n v="32913.769999999997"/>
    <n v="27992"/>
    <n v="27992"/>
    <n v="27992"/>
    <n v="27992"/>
    <n v="27992"/>
    <n v="27992"/>
    <n v="27992"/>
    <n v="335904.14"/>
    <n v="0.53000000002793968"/>
    <n v="27992"/>
    <n v="4921.7699999999968"/>
    <n v="0.52999999999883585"/>
    <m/>
    <n v="0.53000000002793968"/>
    <m/>
    <n v="0.04"/>
    <n v="55984.1"/>
    <n v="27991.47"/>
    <n v="27992"/>
    <n v="27992"/>
    <n v="27992"/>
    <n v="27992"/>
    <n v="27992"/>
    <n v="27992"/>
    <n v="27992"/>
    <n v="27992"/>
    <n v="27992"/>
    <n v="335903.61"/>
    <n v="0.04"/>
    <n v="55984.1"/>
    <n v="27991.47"/>
    <n v="27992"/>
    <n v="27992"/>
    <n v="27992"/>
    <n v="27992"/>
    <n v="27992"/>
    <n v="27992"/>
    <n v="27992"/>
    <n v="27992"/>
    <n v="27992"/>
    <n v="335903.61"/>
  </r>
  <r>
    <x v="297"/>
    <x v="297"/>
    <s v="ERP"/>
    <x v="1"/>
    <x v="6"/>
    <s v="DeHart, Lynn"/>
    <x v="2"/>
    <x v="168"/>
    <m/>
    <s v="2321216"/>
    <s v="IT-FBT0757-OG-US-00"/>
    <m/>
    <s v="9501184649"/>
    <m/>
    <s v="None"/>
    <m/>
    <m/>
    <n v="357309.48"/>
    <n v="263234.2"/>
    <m/>
    <m/>
    <m/>
    <m/>
    <n v="168756.2"/>
    <n v="54312.340000000011"/>
    <n v="54312.34"/>
    <n v="11809.75"/>
    <n v="11809.75"/>
    <n v="11809.75"/>
    <n v="11809.75"/>
    <n v="11809.75"/>
    <n v="11809.75"/>
    <n v="11809.75"/>
    <n v="360049.13"/>
    <n v="96814.93"/>
    <n v="11809.75"/>
    <n v="42502.59"/>
    <n v="96814.93"/>
    <m/>
    <n v="96814.93"/>
    <m/>
    <m/>
    <m/>
    <n v="168756.2"/>
    <n v="0"/>
    <n v="11809.75"/>
    <n v="11809.75"/>
    <n v="11809.75"/>
    <n v="11809.75"/>
    <n v="11809.75"/>
    <n v="11809.75"/>
    <n v="11809.75"/>
    <n v="11809.75"/>
    <n v="263234.2"/>
    <m/>
    <m/>
    <n v="168756.2"/>
    <n v="29775.79"/>
    <n v="29775.79"/>
    <n v="29775.79"/>
    <n v="29775.79"/>
    <n v="29775.79"/>
    <n v="29775.79"/>
    <n v="29775.79"/>
    <n v="29775.79"/>
    <n v="29775.79"/>
    <n v="436738.30999999994"/>
  </r>
  <r>
    <x v="298"/>
    <x v="298"/>
    <s v="ERP"/>
    <x v="0"/>
    <x v="1"/>
    <s v="Maguire, Karla"/>
    <x v="1"/>
    <x v="169"/>
    <m/>
    <m/>
    <s v="IT-FBT0769-OT-US-00"/>
    <m/>
    <m/>
    <m/>
    <s v="EP&amp;S"/>
    <m/>
    <m/>
    <n v="4212"/>
    <n v="0"/>
    <m/>
    <m/>
    <n v="212.71"/>
    <n v="212.88"/>
    <n v="-425.59"/>
    <n v="421.78999999999996"/>
    <n v="11.3"/>
    <m/>
    <m/>
    <m/>
    <m/>
    <m/>
    <m/>
    <m/>
    <n v="433.09000000000003"/>
    <n v="433.09000000000003"/>
    <m/>
    <n v="11.3"/>
    <n v="433.09000000000003"/>
    <m/>
    <n v="433.09000000000003"/>
    <m/>
    <n v="212.71"/>
    <n v="212.88"/>
    <n v="-425.59"/>
    <m/>
    <m/>
    <m/>
    <m/>
    <m/>
    <m/>
    <m/>
    <m/>
    <m/>
    <n v="0"/>
    <n v="212.71"/>
    <n v="212.88"/>
    <n v="-425.59"/>
    <m/>
    <m/>
    <m/>
    <m/>
    <m/>
    <m/>
    <m/>
    <m/>
    <m/>
    <n v="0"/>
  </r>
  <r>
    <x v="299"/>
    <x v="299"/>
    <s v="ERP"/>
    <x v="1"/>
    <x v="2"/>
    <s v="DeHart, Lynn"/>
    <x v="1"/>
    <x v="169"/>
    <m/>
    <m/>
    <s v="IT-FBT0769-OT-US-00"/>
    <m/>
    <m/>
    <m/>
    <s v="EP&amp;S"/>
    <m/>
    <m/>
    <n v="6600"/>
    <n v="497.06000000000006"/>
    <m/>
    <m/>
    <n v="521.38"/>
    <n v="527.30999999999995"/>
    <n v="-551.63"/>
    <n v="523.94000000000005"/>
    <n v="21.2"/>
    <n v="0"/>
    <n v="0"/>
    <n v="0"/>
    <n v="0"/>
    <n v="0"/>
    <n v="0"/>
    <n v="0"/>
    <n v="1042.2"/>
    <n v="545.14"/>
    <n v="0"/>
    <n v="21.2"/>
    <n v="545.14"/>
    <m/>
    <n v="545.14"/>
    <m/>
    <n v="521.38"/>
    <n v="527.30999999999995"/>
    <n v="-551.63"/>
    <n v="0"/>
    <n v="0"/>
    <n v="0"/>
    <n v="0"/>
    <n v="0"/>
    <n v="0"/>
    <n v="0"/>
    <n v="0"/>
    <n v="0"/>
    <n v="497.06000000000006"/>
    <n v="521.38"/>
    <n v="527.30999999999995"/>
    <n v="-551.63"/>
    <n v="0"/>
    <n v="0"/>
    <n v="0"/>
    <n v="0"/>
    <n v="0"/>
    <n v="0"/>
    <n v="0"/>
    <n v="0"/>
    <n v="0"/>
    <n v="497.06000000000006"/>
  </r>
  <r>
    <x v="300"/>
    <x v="300"/>
    <s v="ERP"/>
    <x v="0"/>
    <x v="1"/>
    <s v="Tamavada, Ram"/>
    <x v="2"/>
    <x v="170"/>
    <m/>
    <s v="2320843"/>
    <s v="IT-FBT0770-OT-US-00"/>
    <m/>
    <m/>
    <m/>
    <m/>
    <m/>
    <m/>
    <m/>
    <m/>
    <m/>
    <m/>
    <m/>
    <m/>
    <m/>
    <m/>
    <n v="28.36"/>
    <m/>
    <m/>
    <m/>
    <m/>
    <m/>
    <m/>
    <m/>
    <n v="28.36"/>
    <n v="28.36"/>
    <m/>
    <n v="28.36"/>
    <n v="28.36"/>
    <m/>
    <n v="28.36"/>
    <m/>
    <m/>
    <m/>
    <m/>
    <m/>
    <m/>
    <m/>
    <m/>
    <m/>
    <m/>
    <m/>
    <m/>
    <m/>
    <m/>
    <m/>
    <m/>
    <m/>
    <m/>
    <m/>
    <m/>
    <m/>
    <m/>
    <m/>
    <m/>
    <m/>
    <m/>
    <m/>
  </r>
  <r>
    <x v="301"/>
    <x v="301"/>
    <s v="ERP"/>
    <x v="0"/>
    <x v="1"/>
    <s v="Maguire, Karla"/>
    <x v="1"/>
    <x v="171"/>
    <m/>
    <m/>
    <s v="IT-FBT0770-OT-US-00"/>
    <m/>
    <m/>
    <m/>
    <s v="None"/>
    <m/>
    <m/>
    <n v="0"/>
    <n v="0"/>
    <m/>
    <m/>
    <n v="95.28"/>
    <n v="31.62"/>
    <n v="-126.9"/>
    <n v="66.959999999999994"/>
    <n v="61.6"/>
    <m/>
    <m/>
    <m/>
    <m/>
    <m/>
    <m/>
    <m/>
    <n v="128.56"/>
    <n v="128.56"/>
    <m/>
    <n v="61.6"/>
    <n v="128.56"/>
    <m/>
    <n v="128.56"/>
    <m/>
    <n v="95.28"/>
    <n v="31.62"/>
    <n v="-126.9"/>
    <m/>
    <m/>
    <m/>
    <m/>
    <m/>
    <m/>
    <m/>
    <m/>
    <m/>
    <n v="0"/>
    <n v="95.28"/>
    <n v="31.62"/>
    <n v="-126.9"/>
    <m/>
    <m/>
    <m/>
    <m/>
    <m/>
    <m/>
    <m/>
    <m/>
    <m/>
    <n v="0"/>
  </r>
  <r>
    <x v="302"/>
    <x v="302"/>
    <s v="ERP"/>
    <x v="1"/>
    <x v="6"/>
    <s v="DeHart, Lynn"/>
    <x v="2"/>
    <x v="172"/>
    <m/>
    <m/>
    <s v="IT-FBT0771-OG-US-00"/>
    <m/>
    <m/>
    <m/>
    <s v="MuleSoft"/>
    <m/>
    <m/>
    <n v="25000"/>
    <n v="25000"/>
    <m/>
    <m/>
    <m/>
    <m/>
    <m/>
    <s v=""/>
    <n v="0"/>
    <m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x v="303"/>
    <x v="303"/>
    <s v="ERP"/>
    <x v="1"/>
    <x v="6"/>
    <s v="DeHart, Lynn"/>
    <x v="1"/>
    <x v="173"/>
    <m/>
    <m/>
    <s v="IT-FBT0772-OG-US-00"/>
    <m/>
    <m/>
    <m/>
    <s v="EP&amp;S"/>
    <m/>
    <m/>
    <n v="17000"/>
    <n v="13700"/>
    <m/>
    <m/>
    <m/>
    <m/>
    <m/>
    <s v=""/>
    <n v="0"/>
    <n v="1100"/>
    <n v="1100"/>
    <n v="1100"/>
    <n v="1100"/>
    <n v="1100"/>
    <n v="3000"/>
    <n v="3000"/>
    <n v="11500"/>
    <n v="-2200"/>
    <n v="1100"/>
    <n v="-1100"/>
    <n v="-2200"/>
    <m/>
    <n v="-2200"/>
    <m/>
    <m/>
    <m/>
    <m/>
    <n v="1100"/>
    <n v="1100"/>
    <n v="1100"/>
    <n v="1100"/>
    <n v="1100"/>
    <n v="1100"/>
    <n v="1100"/>
    <n v="3000"/>
    <n v="3000"/>
    <n v="13700"/>
    <m/>
    <m/>
    <m/>
    <n v="1100"/>
    <n v="1100"/>
    <n v="1100"/>
    <n v="1100"/>
    <n v="1100"/>
    <n v="1100"/>
    <n v="1100"/>
    <n v="3000"/>
    <n v="3000"/>
    <n v="13700"/>
  </r>
  <r>
    <x v="304"/>
    <x v="304"/>
    <s v="ERP"/>
    <x v="1"/>
    <x v="5"/>
    <s v="DeHart, Lynn"/>
    <x v="2"/>
    <x v="174"/>
    <m/>
    <m/>
    <s v="IT-FBT0778-OT-US-00"/>
    <m/>
    <m/>
    <m/>
    <s v="Metastorm"/>
    <s v="4/30 CHW - duplicate lines moved to match actuals"/>
    <m/>
    <n v="252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2100"/>
    <n v="2100"/>
    <n v="2100"/>
    <n v="2100"/>
    <n v="2100"/>
    <n v="2100"/>
    <n v="2100"/>
    <n v="2100"/>
    <n v="2100"/>
    <n v="18900"/>
  </r>
  <r>
    <x v="305"/>
    <x v="305"/>
    <s v="ERP"/>
    <x v="1"/>
    <x v="5"/>
    <s v="DeHart, Lynn"/>
    <x v="1"/>
    <x v="174"/>
    <m/>
    <m/>
    <s v="IT-FBT0778-OT-US-00"/>
    <m/>
    <m/>
    <m/>
    <s v="Metastorm"/>
    <s v="4/30 CHW - duplicate lines moved to match actuals"/>
    <m/>
    <n v="0"/>
    <n v="25200"/>
    <m/>
    <m/>
    <m/>
    <m/>
    <n v="6300"/>
    <n v="0"/>
    <n v="4200"/>
    <n v="2100"/>
    <n v="2100"/>
    <n v="2100"/>
    <n v="2100"/>
    <n v="2100"/>
    <n v="2100"/>
    <n v="2100"/>
    <n v="25200"/>
    <n v="0"/>
    <n v="2100"/>
    <n v="2100"/>
    <n v="0"/>
    <m/>
    <n v="0"/>
    <m/>
    <m/>
    <m/>
    <n v="6300"/>
    <n v="2100"/>
    <n v="2100"/>
    <n v="2100"/>
    <n v="2100"/>
    <n v="2100"/>
    <n v="2100"/>
    <n v="2100"/>
    <n v="2100"/>
    <n v="2100"/>
    <n v="25200"/>
    <m/>
    <m/>
    <n v="6300"/>
    <n v="0"/>
    <n v="0"/>
    <n v="0"/>
    <n v="0"/>
    <n v="0"/>
    <n v="0"/>
    <n v="0"/>
    <n v="0"/>
    <n v="0"/>
    <n v="6300"/>
  </r>
  <r>
    <x v="306"/>
    <x v="306"/>
    <s v="ERP"/>
    <x v="1"/>
    <x v="5"/>
    <s v="DeHart, Lynn"/>
    <x v="1"/>
    <x v="175"/>
    <m/>
    <m/>
    <s v="IT-FBT0779-OT-US-00"/>
    <m/>
    <m/>
    <m/>
    <s v="Metastorm"/>
    <m/>
    <m/>
    <n v="0"/>
    <n v="8751"/>
    <m/>
    <m/>
    <m/>
    <m/>
    <n v="8751"/>
    <n v="0"/>
    <n v="5834"/>
    <n v="0"/>
    <n v="0"/>
    <n v="0"/>
    <n v="0"/>
    <n v="0"/>
    <n v="0"/>
    <n v="0"/>
    <n v="14585"/>
    <n v="5834"/>
    <n v="0"/>
    <n v="5834"/>
    <n v="5834"/>
    <m/>
    <n v="5834"/>
    <m/>
    <m/>
    <m/>
    <n v="8751"/>
    <n v="0"/>
    <n v="0"/>
    <n v="0"/>
    <n v="0"/>
    <n v="0"/>
    <n v="0"/>
    <n v="0"/>
    <n v="0"/>
    <n v="0"/>
    <n v="8751"/>
    <m/>
    <m/>
    <n v="8751"/>
    <n v="0"/>
    <n v="0"/>
    <n v="0"/>
    <n v="0"/>
    <n v="0"/>
    <n v="0"/>
    <n v="0"/>
    <n v="0"/>
    <n v="0"/>
    <n v="8751"/>
  </r>
  <r>
    <x v="307"/>
    <x v="307"/>
    <s v="ERP"/>
    <x v="1"/>
    <x v="13"/>
    <s v="DeHart, Lynn"/>
    <x v="2"/>
    <x v="175"/>
    <m/>
    <m/>
    <s v="IT-FBT0779-OT-US-00"/>
    <m/>
    <m/>
    <m/>
    <s v="Metastorm"/>
    <m/>
    <m/>
    <n v="35000"/>
    <n v="26249"/>
    <m/>
    <m/>
    <m/>
    <m/>
    <m/>
    <s v=""/>
    <n v="0"/>
    <n v="2917"/>
    <n v="2917"/>
    <n v="2917"/>
    <n v="2916"/>
    <n v="2916"/>
    <n v="2916"/>
    <n v="2916"/>
    <n v="20415"/>
    <n v="-5834"/>
    <n v="2917"/>
    <n v="-2917"/>
    <n v="-5834"/>
    <m/>
    <n v="-5834"/>
    <m/>
    <m/>
    <m/>
    <m/>
    <n v="2917"/>
    <n v="2917"/>
    <n v="2917"/>
    <n v="2917"/>
    <n v="2917"/>
    <n v="2916"/>
    <n v="2916"/>
    <n v="2916"/>
    <n v="2916"/>
    <n v="26249"/>
    <m/>
    <m/>
    <m/>
    <n v="2917"/>
    <n v="2917"/>
    <n v="2917"/>
    <n v="2917"/>
    <n v="2917"/>
    <n v="2916"/>
    <n v="2916"/>
    <n v="2916"/>
    <n v="2916"/>
    <n v="26249"/>
  </r>
  <r>
    <x v="308"/>
    <x v="308"/>
    <s v="ERP"/>
    <x v="0"/>
    <x v="8"/>
    <s v="Meadows, Leslie"/>
    <x v="1"/>
    <x v="176"/>
    <s v="ALLEGIS GLOBAL SOLUTIONS INC"/>
    <s v="2321511"/>
    <s v="IT-FBT0780-OT-US-00"/>
    <m/>
    <s v="9501143554"/>
    <m/>
    <m/>
    <m/>
    <m/>
    <m/>
    <m/>
    <m/>
    <m/>
    <m/>
    <m/>
    <m/>
    <m/>
    <n v="76500"/>
    <m/>
    <m/>
    <m/>
    <m/>
    <m/>
    <m/>
    <m/>
    <n v="76500"/>
    <n v="76500"/>
    <m/>
    <n v="76500"/>
    <n v="76500"/>
    <m/>
    <n v="76500"/>
    <m/>
    <m/>
    <m/>
    <m/>
    <m/>
    <m/>
    <m/>
    <m/>
    <m/>
    <m/>
    <m/>
    <m/>
    <m/>
    <m/>
    <m/>
    <m/>
    <m/>
    <m/>
    <m/>
    <m/>
    <m/>
    <m/>
    <m/>
    <m/>
    <m/>
    <m/>
    <m/>
  </r>
  <r>
    <x v="309"/>
    <x v="309"/>
    <s v="ERP"/>
    <x v="0"/>
    <x v="8"/>
    <s v="Maguire, Karla"/>
    <x v="2"/>
    <x v="177"/>
    <m/>
    <m/>
    <s v="IT-FBT0780-OT-US-00"/>
    <m/>
    <m/>
    <m/>
    <s v="None"/>
    <m/>
    <m/>
    <n v="499304.03999999986"/>
    <n v="502636.17"/>
    <m/>
    <m/>
    <n v="30113.96"/>
    <n v="19240.66"/>
    <n v="44681.55"/>
    <n v="28059.239999999998"/>
    <n v="37177.21"/>
    <n v="44000"/>
    <n v="35600"/>
    <n v="44000"/>
    <n v="36000"/>
    <n v="40000"/>
    <n v="36000"/>
    <n v="43000"/>
    <n v="437872.62"/>
    <n v="-64763.549999999988"/>
    <n v="90000"/>
    <n v="-52822.79"/>
    <n v="-64763.549999999988"/>
    <m/>
    <n v="-64763.549999999988"/>
    <m/>
    <n v="30113.96"/>
    <n v="19240.66"/>
    <n v="44681.55"/>
    <n v="40000"/>
    <n v="90000"/>
    <n v="44000"/>
    <n v="35600"/>
    <n v="44000"/>
    <n v="36000"/>
    <n v="40000"/>
    <n v="36000"/>
    <n v="43000"/>
    <n v="502636.17"/>
    <n v="30113.96"/>
    <n v="19240.66"/>
    <n v="44681.55"/>
    <n v="44995"/>
    <n v="44995"/>
    <n v="44995"/>
    <n v="44995"/>
    <n v="44995"/>
    <n v="44995"/>
    <n v="44995"/>
    <n v="44995"/>
    <n v="44995"/>
    <n v="498991.17"/>
  </r>
  <r>
    <x v="310"/>
    <x v="310"/>
    <s v="ERP"/>
    <x v="1"/>
    <x v="5"/>
    <s v="DeHart, Lynn"/>
    <x v="2"/>
    <x v="178"/>
    <s v="IBM CORP"/>
    <s v="2320521"/>
    <s v="IT-FBT0784-OG-US-00"/>
    <s v="CHW - F/U"/>
    <s v="9501171323"/>
    <m/>
    <s v="None"/>
    <s v="4/30 - CHW follow-up with Sashi M on XFR and LE2 status"/>
    <m/>
    <n v="1129982.58"/>
    <n v="874707.09"/>
    <m/>
    <m/>
    <n v="77285"/>
    <n v="177053.54"/>
    <n v="-2920.45"/>
    <n v="86558.849999999991"/>
    <n v="86558.85"/>
    <n v="97087"/>
    <n v="55338"/>
    <n v="55338"/>
    <n v="55338"/>
    <n v="55338"/>
    <n v="55338"/>
    <n v="55338"/>
    <n v="853650.79"/>
    <n v="-21056.29999999993"/>
    <n v="97087"/>
    <n v="-10528.149999999994"/>
    <n v="-21056.29999999993"/>
    <n v="255000"/>
    <n v="-276056.29999999993"/>
    <s v="$770K to be transferred to Sashi in 2027"/>
    <n v="77285"/>
    <n v="177053.54"/>
    <n v="-2920.45"/>
    <n v="97087"/>
    <n v="97087"/>
    <n v="97087"/>
    <n v="55338"/>
    <n v="55338"/>
    <n v="55338"/>
    <n v="55338"/>
    <n v="55338"/>
    <n v="55338"/>
    <n v="874707.09"/>
    <n v="77285"/>
    <n v="177053.54"/>
    <n v="-2920.45"/>
    <n v="90495"/>
    <n v="90495"/>
    <n v="99200"/>
    <n v="54165"/>
    <n v="54165"/>
    <n v="54165"/>
    <n v="54165"/>
    <n v="54165"/>
    <n v="54165"/>
    <n v="856598.09"/>
  </r>
  <r>
    <x v="311"/>
    <x v="311"/>
    <s v="ERP"/>
    <x v="1"/>
    <x v="5"/>
    <s v="DeHart, Lynn"/>
    <x v="0"/>
    <x v="178"/>
    <m/>
    <m/>
    <s v="IT-FBT0784-OG-US-00"/>
    <s v="CHW - F/U"/>
    <s v="9501171323"/>
    <m/>
    <s v="None"/>
    <m/>
    <m/>
    <n v="0"/>
    <n v="292.39999999999998"/>
    <m/>
    <m/>
    <m/>
    <m/>
    <n v="292.39999999999998"/>
    <n v="0"/>
    <n v="0"/>
    <n v="0"/>
    <n v="0"/>
    <n v="0"/>
    <n v="0"/>
    <n v="0"/>
    <n v="0"/>
    <n v="0"/>
    <n v="292.39999999999998"/>
    <n v="0"/>
    <n v="0"/>
    <n v="0"/>
    <n v="0"/>
    <m/>
    <n v="0"/>
    <s v="Jira License for GLNS Analytics. Budget availabile under IT-SFT1267-xx"/>
    <m/>
    <m/>
    <n v="292.39999999999998"/>
    <n v="0"/>
    <n v="0"/>
    <n v="0"/>
    <n v="0"/>
    <n v="0"/>
    <n v="0"/>
    <n v="0"/>
    <n v="0"/>
    <n v="0"/>
    <n v="292.39999999999998"/>
    <m/>
    <m/>
    <n v="292.39999999999998"/>
    <n v="0"/>
    <n v="0"/>
    <n v="0"/>
    <n v="0"/>
    <n v="0"/>
    <n v="0"/>
    <n v="0"/>
    <n v="0"/>
    <n v="0"/>
    <n v="292.39999999999998"/>
  </r>
  <r>
    <x v="312"/>
    <x v="312"/>
    <s v="ERP"/>
    <x v="1"/>
    <x v="6"/>
    <s v="DeHart, Lynn"/>
    <x v="2"/>
    <x v="179"/>
    <m/>
    <s v="2321216"/>
    <s v="IT-FBT0785-OG-US-00"/>
    <m/>
    <s v="Multiple"/>
    <m/>
    <s v="None"/>
    <s v=" XfR-0028-A had a transfer for 266K. This transfer is being merged in the WBS FBT0785 (original 325K). The forecast has been reduced to 378K, effectively reducing the forecast by $210K - AJ - 05/01"/>
    <m/>
    <n v="325000.08000000007"/>
    <n v="378801.32"/>
    <m/>
    <m/>
    <n v="43362"/>
    <n v="48564.89"/>
    <n v="60706.43"/>
    <n v="-38405.19000000001"/>
    <n v="41122.75"/>
    <n v="11500"/>
    <n v="29000"/>
    <n v="29000"/>
    <n v="28000"/>
    <n v="28500"/>
    <n v="28500"/>
    <n v="28500"/>
    <n v="338350.88"/>
    <n v="-40450.44"/>
    <n v="11500"/>
    <n v="29622.75"/>
    <n v="-40450.44"/>
    <m/>
    <n v="-40450.44"/>
    <s v="Acct Mvmnt -'IT-FBT0785-OG-US-00/2026-XFR-0028-A Merged"/>
    <n v="43362"/>
    <n v="48564.89"/>
    <n v="60706.43"/>
    <n v="31668"/>
    <n v="11500"/>
    <n v="11500"/>
    <n v="29000"/>
    <n v="29000"/>
    <n v="28000"/>
    <n v="28500"/>
    <n v="28500"/>
    <n v="28500"/>
    <n v="378801.32"/>
    <n v="43362"/>
    <n v="48564.89"/>
    <n v="60706.43"/>
    <n v="49897"/>
    <n v="49897"/>
    <n v="49897"/>
    <n v="49897"/>
    <n v="49897"/>
    <n v="49897"/>
    <n v="49897"/>
    <n v="49897"/>
    <n v="49897"/>
    <n v="601706.32000000007"/>
  </r>
  <r>
    <x v="313"/>
    <x v="313"/>
    <s v="ERP"/>
    <x v="1"/>
    <x v="5"/>
    <s v="DeHart, Lynn"/>
    <x v="2"/>
    <x v="180"/>
    <m/>
    <m/>
    <s v="IT-FBT0790-OG-US-00"/>
    <m/>
    <m/>
    <m/>
    <s v="None"/>
    <m/>
    <m/>
    <n v="513000"/>
    <n v="384928.75"/>
    <m/>
    <m/>
    <n v="98474.5"/>
    <n v="-21757.25"/>
    <n v="-81628.5"/>
    <n v="-18382.5"/>
    <n v="0"/>
    <n v="0"/>
    <n v="64140"/>
    <n v="64140"/>
    <n v="64140"/>
    <n v="64140"/>
    <n v="64140"/>
    <n v="69140"/>
    <n v="366546.25"/>
    <n v="-18382.5"/>
    <n v="0"/>
    <n v="0"/>
    <n v="-18382.5"/>
    <n v="128000"/>
    <n v="-146382.5"/>
    <s v="Giveback is the portain earmarked for colleague vacant position that was already accounted for in Compensation."/>
    <n v="98474.5"/>
    <n v="-21757.25"/>
    <n v="-81628.5"/>
    <n v="0"/>
    <n v="0"/>
    <n v="0"/>
    <n v="64140"/>
    <n v="64140"/>
    <n v="64140"/>
    <n v="64140"/>
    <n v="64140"/>
    <n v="69140"/>
    <n v="384928.75"/>
    <n v="98474.5"/>
    <n v="-21757.25"/>
    <n v="-81628.5"/>
    <n v="7667"/>
    <n v="9667"/>
    <n v="15667"/>
    <n v="70892"/>
    <n v="65000"/>
    <n v="65000"/>
    <n v="65000"/>
    <n v="65000"/>
    <n v="65000"/>
    <n v="423981.75"/>
  </r>
  <r>
    <x v="314"/>
    <x v="314"/>
    <s v="ERP"/>
    <x v="1"/>
    <x v="5"/>
    <s v="DeHart, Lynn"/>
    <x v="1"/>
    <x v="181"/>
    <m/>
    <m/>
    <s v="IT-FBT0793-OG-US-00"/>
    <m/>
    <s v="N"/>
    <m/>
    <s v="None"/>
    <s v="4/28/26 CHW New add to tie-out 0223 to 0317 Planful Extracts"/>
    <m/>
    <n v="125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12500"/>
  </r>
  <r>
    <x v="315"/>
    <x v="315"/>
    <s v="ERP"/>
    <x v="1"/>
    <x v="5"/>
    <s v="DeHart, Lynn"/>
    <x v="1"/>
    <x v="181"/>
    <m/>
    <m/>
    <s v="IT-FBT0793-OG-US-00/CB"/>
    <m/>
    <m/>
    <m/>
    <s v="None"/>
    <s v="4/28/26 CHW New add to tie-out 0223 to 0317 Planful Extracts"/>
    <m/>
    <n v="-125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-12500"/>
    <n v="0"/>
    <n v="0"/>
    <n v="0"/>
    <n v="0"/>
    <n v="0"/>
    <n v="0"/>
    <n v="0"/>
    <n v="0"/>
    <n v="0"/>
    <n v="-12500"/>
  </r>
  <r>
    <x v="316"/>
    <x v="316"/>
    <s v="ERP"/>
    <x v="1"/>
    <x v="12"/>
    <s v="DeHart, Lynn"/>
    <x v="1"/>
    <x v="182"/>
    <m/>
    <m/>
    <s v="IT-FBT0798-OG-BE-00"/>
    <m/>
    <m/>
    <m/>
    <s v="Car"/>
    <m/>
    <m/>
    <n v="0"/>
    <n v="3866.47"/>
    <m/>
    <m/>
    <n v="387.61"/>
    <n v="1445.99"/>
    <n v="2032.87"/>
    <n v="1085.24"/>
    <n v="866.11"/>
    <n v="0"/>
    <n v="0"/>
    <n v="0"/>
    <n v="0"/>
    <n v="0"/>
    <n v="0"/>
    <n v="0"/>
    <n v="5817.82"/>
    <n v="1951.35"/>
    <n v="0"/>
    <n v="866.11"/>
    <n v="1951.35"/>
    <m/>
    <n v="1951.35"/>
    <m/>
    <n v="387.61"/>
    <n v="1445.99"/>
    <n v="2032.87"/>
    <n v="0"/>
    <n v="0"/>
    <n v="0"/>
    <n v="0"/>
    <n v="0"/>
    <n v="0"/>
    <n v="0"/>
    <n v="0"/>
    <n v="0"/>
    <n v="3866.47"/>
    <n v="387.61"/>
    <n v="1445.99"/>
    <n v="2032.87"/>
    <n v="0"/>
    <n v="0"/>
    <n v="0"/>
    <n v="0"/>
    <n v="0"/>
    <n v="0"/>
    <n v="0"/>
    <n v="0"/>
    <n v="0"/>
    <n v="3866.47"/>
  </r>
  <r>
    <x v="317"/>
    <x v="317"/>
    <s v="ERP"/>
    <x v="1"/>
    <x v="5"/>
    <s v="DeHart, Lynn"/>
    <x v="1"/>
    <x v="182"/>
    <m/>
    <m/>
    <s v="IT-FBT0798-OG-BE-00"/>
    <m/>
    <m/>
    <m/>
    <s v="Car"/>
    <m/>
    <m/>
    <n v="14400"/>
    <n v="10800"/>
    <m/>
    <m/>
    <m/>
    <m/>
    <m/>
    <s v=""/>
    <n v="0"/>
    <n v="1200"/>
    <n v="1200"/>
    <n v="1200"/>
    <n v="1200"/>
    <n v="1200"/>
    <n v="1200"/>
    <n v="1200"/>
    <n v="8400"/>
    <n v="-2400"/>
    <n v="1200"/>
    <n v="-1200"/>
    <n v="-2400"/>
    <m/>
    <n v="-2400"/>
    <m/>
    <m/>
    <m/>
    <m/>
    <n v="1200"/>
    <n v="1200"/>
    <n v="1200"/>
    <n v="1200"/>
    <n v="1200"/>
    <n v="1200"/>
    <n v="1200"/>
    <n v="1200"/>
    <n v="1200"/>
    <n v="10800"/>
    <m/>
    <m/>
    <m/>
    <n v="1200"/>
    <n v="1200"/>
    <n v="1200"/>
    <n v="1200"/>
    <n v="1200"/>
    <n v="1200"/>
    <n v="1200"/>
    <n v="1200"/>
    <n v="1200"/>
    <n v="10800"/>
  </r>
  <r>
    <x v="318"/>
    <x v="318"/>
    <s v="ERP"/>
    <x v="1"/>
    <x v="5"/>
    <s v="DeHart, Lynn"/>
    <x v="1"/>
    <x v="183"/>
    <m/>
    <m/>
    <s v="IT-FBT0799-OG-MX-00"/>
    <m/>
    <m/>
    <m/>
    <s v="Car"/>
    <m/>
    <m/>
    <n v="3000"/>
    <n v="2250"/>
    <m/>
    <m/>
    <m/>
    <m/>
    <m/>
    <s v=""/>
    <n v="0"/>
    <n v="250"/>
    <n v="250"/>
    <n v="250"/>
    <n v="250"/>
    <n v="250"/>
    <n v="250"/>
    <n v="250"/>
    <n v="1750"/>
    <n v="-500"/>
    <n v="250"/>
    <n v="-250"/>
    <n v="-500"/>
    <m/>
    <n v="-500"/>
    <m/>
    <m/>
    <m/>
    <m/>
    <n v="250"/>
    <n v="250"/>
    <n v="250"/>
    <n v="250"/>
    <n v="250"/>
    <n v="250"/>
    <n v="250"/>
    <n v="250"/>
    <n v="250"/>
    <n v="2250"/>
    <m/>
    <m/>
    <m/>
    <n v="250"/>
    <n v="250"/>
    <n v="250"/>
    <n v="250"/>
    <n v="250"/>
    <n v="250"/>
    <n v="250"/>
    <n v="250"/>
    <n v="250"/>
    <n v="2250"/>
  </r>
  <r>
    <x v="319"/>
    <x v="319"/>
    <s v="ERP"/>
    <x v="0"/>
    <x v="8"/>
    <s v="Maguire, Karla"/>
    <x v="2"/>
    <x v="184"/>
    <m/>
    <m/>
    <s v="IT-FBT0801-OG-US-00"/>
    <m/>
    <m/>
    <m/>
    <s v="None"/>
    <m/>
    <m/>
    <n v="216000"/>
    <n v="178669.02"/>
    <m/>
    <m/>
    <n v="13712.98"/>
    <n v="15359.13"/>
    <n v="67493.539999999994"/>
    <n v="42271.619999999995"/>
    <n v="42271.62000000001"/>
    <n v="6000"/>
    <n v="6000"/>
    <n v="6000"/>
    <n v="6000"/>
    <n v="6000"/>
    <n v="6000"/>
    <n v="6000"/>
    <n v="223108.89"/>
    <n v="44439.870000000024"/>
    <n v="35803.370000000003"/>
    <n v="6468.2500000000073"/>
    <n v="44439.870000000024"/>
    <n v="-32339"/>
    <n v="76778.870000000024"/>
    <s v="testing factory adjustment"/>
    <n v="13712.98"/>
    <n v="15359.13"/>
    <n v="67493.539999999994"/>
    <n v="4300"/>
    <n v="35803.370000000003"/>
    <n v="6000"/>
    <n v="6000"/>
    <n v="6000"/>
    <n v="6000"/>
    <n v="6000"/>
    <n v="6000"/>
    <n v="6000"/>
    <n v="178669.02"/>
    <n v="13712.98"/>
    <n v="15359.13"/>
    <n v="67493.539999999994"/>
    <n v="18693"/>
    <n v="18693"/>
    <n v="18693"/>
    <n v="18693"/>
    <n v="18693"/>
    <n v="18693"/>
    <n v="18693"/>
    <n v="18693"/>
    <n v="18693"/>
    <n v="264802.65000000002"/>
  </r>
  <r>
    <x v="320"/>
    <x v="320"/>
    <s v="ERP"/>
    <x v="1"/>
    <x v="4"/>
    <s v="DeHart, Lynn"/>
    <x v="1"/>
    <x v="185"/>
    <m/>
    <m/>
    <s v="IT-FBT0824-OT-US-00"/>
    <m/>
    <m/>
    <m/>
    <s v="Snowflake"/>
    <s v="LZ 4/27 - Move forecast from Mike H to Raj H"/>
    <m/>
    <n v="26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m/>
    <n v="0"/>
    <n v="0"/>
    <n v="0"/>
    <n v="0"/>
    <n v="0"/>
    <n v="0"/>
    <n v="0"/>
    <n v="0"/>
    <n v="0"/>
    <m/>
    <m/>
    <m/>
    <m/>
    <n v="13000"/>
    <n v="0"/>
    <n v="0"/>
    <n v="0"/>
    <n v="0"/>
    <n v="13000"/>
    <n v="0"/>
    <n v="0"/>
    <n v="26000"/>
  </r>
  <r>
    <x v="321"/>
    <x v="321"/>
    <s v="ERP"/>
    <x v="1"/>
    <x v="3"/>
    <s v="Hase, Raj"/>
    <x v="1"/>
    <x v="185"/>
    <m/>
    <m/>
    <s v="IT-FBT0824-OT-US-00"/>
    <m/>
    <m/>
    <m/>
    <s v="Snowflake"/>
    <s v="LZ 4/27 - Move forecast from Mike H to Raj H"/>
    <m/>
    <m/>
    <n v="26000"/>
    <m/>
    <m/>
    <m/>
    <m/>
    <m/>
    <s v=""/>
    <n v="0"/>
    <m/>
    <m/>
    <m/>
    <m/>
    <n v="13000"/>
    <m/>
    <m/>
    <n v="13000"/>
    <n v="-13000"/>
    <n v="13000"/>
    <n v="-13000"/>
    <n v="-13000"/>
    <m/>
    <m/>
    <m/>
    <m/>
    <m/>
    <m/>
    <m/>
    <n v="13000"/>
    <m/>
    <m/>
    <m/>
    <m/>
    <n v="13000"/>
    <m/>
    <m/>
    <n v="26000"/>
    <m/>
    <m/>
    <m/>
    <m/>
    <m/>
    <m/>
    <m/>
    <m/>
    <m/>
    <m/>
    <m/>
    <m/>
    <m/>
  </r>
  <r>
    <x v="322"/>
    <x v="322"/>
    <s v="ERP"/>
    <x v="0"/>
    <x v="8"/>
    <s v="Maguire, Karla"/>
    <x v="2"/>
    <x v="186"/>
    <m/>
    <m/>
    <s v="IT-FBT0826-OG-US-00"/>
    <m/>
    <m/>
    <m/>
    <s v="None"/>
    <m/>
    <m/>
    <n v="96720"/>
    <n v="96720.44"/>
    <m/>
    <m/>
    <n v="6643.44"/>
    <n v="5644"/>
    <n v="8304"/>
    <n v="6762"/>
    <n v="9499"/>
    <n v="8184"/>
    <n v="8556"/>
    <n v="7812"/>
    <n v="8184"/>
    <n v="8184"/>
    <n v="7812"/>
    <n v="8556"/>
    <n v="94140.44"/>
    <n v="-2580"/>
    <n v="7812"/>
    <n v="1687"/>
    <n v="-2580"/>
    <m/>
    <n v="-2580"/>
    <m/>
    <n v="6643.44"/>
    <n v="5644"/>
    <n v="8304"/>
    <n v="11029"/>
    <n v="7812"/>
    <n v="8184"/>
    <n v="8556"/>
    <n v="7812"/>
    <n v="8184"/>
    <n v="8184"/>
    <n v="7812"/>
    <n v="8556"/>
    <n v="96720.44"/>
    <n v="6643.44"/>
    <n v="5644"/>
    <n v="8304"/>
    <n v="8184"/>
    <n v="7812"/>
    <n v="8184"/>
    <n v="8556"/>
    <n v="7812"/>
    <n v="8184"/>
    <n v="8184"/>
    <n v="7812"/>
    <n v="8556"/>
    <n v="93875.44"/>
  </r>
  <r>
    <x v="323"/>
    <x v="323"/>
    <s v="ERP"/>
    <x v="2"/>
    <x v="11"/>
    <s v="McGettigan, David"/>
    <x v="1"/>
    <x v="187"/>
    <m/>
    <m/>
    <s v="IT-FBT0830-OT-US-00"/>
    <m/>
    <m/>
    <m/>
    <s v="Digital Funded Project"/>
    <m/>
    <m/>
    <n v="-30"/>
    <n v="-30"/>
    <m/>
    <m/>
    <m/>
    <m/>
    <n v="-30"/>
    <n v="0"/>
    <n v="0"/>
    <n v="0"/>
    <n v="0"/>
    <n v="0"/>
    <n v="0"/>
    <n v="0"/>
    <n v="0"/>
    <n v="0"/>
    <n v="-30"/>
    <n v="0"/>
    <n v="0"/>
    <n v="0"/>
    <n v="0"/>
    <m/>
    <n v="0"/>
    <m/>
    <m/>
    <m/>
    <n v="-30"/>
    <n v="0"/>
    <n v="0"/>
    <n v="0"/>
    <n v="0"/>
    <n v="0"/>
    <n v="0"/>
    <n v="0"/>
    <n v="0"/>
    <n v="0"/>
    <n v="-30"/>
    <m/>
    <m/>
    <n v="-30"/>
    <n v="0"/>
    <n v="0"/>
    <n v="5000"/>
    <n v="0"/>
    <n v="0"/>
    <n v="5000"/>
    <n v="0"/>
    <n v="0"/>
    <n v="-15000"/>
    <n v="-5030"/>
  </r>
  <r>
    <x v="324"/>
    <x v="324"/>
    <s v="ERP"/>
    <x v="0"/>
    <x v="9"/>
    <s v="Maguire, Karla"/>
    <x v="2"/>
    <x v="188"/>
    <m/>
    <s v="2329614"/>
    <s v="IT-FBT0831-OT-US-00"/>
    <m/>
    <s v="9501155336"/>
    <m/>
    <s v="None"/>
    <m/>
    <m/>
    <n v="49000"/>
    <n v="48800.63"/>
    <m/>
    <m/>
    <n v="3356.36"/>
    <n v="3758.72"/>
    <n v="4698.63"/>
    <n v="3758.8999999999978"/>
    <n v="659.46"/>
    <n v="17384.919999999998"/>
    <n v="0"/>
    <n v="0"/>
    <n v="12250"/>
    <n v="0"/>
    <n v="0"/>
    <n v="7352"/>
    <n v="53218.989999999991"/>
    <n v="4418.3599999999933"/>
    <n v="0"/>
    <n v="659.46"/>
    <n v="4418.3599999999969"/>
    <m/>
    <n v="4418.3599999999933"/>
    <m/>
    <n v="3356.36"/>
    <n v="3758.72"/>
    <n v="4698.63"/>
    <n v="0"/>
    <n v="0"/>
    <n v="17384.919999999998"/>
    <n v="0"/>
    <n v="0"/>
    <n v="12250"/>
    <n v="0"/>
    <n v="0"/>
    <n v="7352"/>
    <n v="48800.63"/>
    <n v="3356.36"/>
    <n v="3758.72"/>
    <n v="4698.63"/>
    <n v="0"/>
    <n v="0"/>
    <n v="17384.919999999998"/>
    <n v="0"/>
    <n v="0"/>
    <n v="12250"/>
    <n v="0"/>
    <n v="0"/>
    <n v="12250"/>
    <n v="53698.63"/>
  </r>
  <r>
    <x v="325"/>
    <x v="325"/>
    <s v="ERP"/>
    <x v="0"/>
    <x v="9"/>
    <s v="Maguire, Karla"/>
    <x v="2"/>
    <x v="189"/>
    <m/>
    <s v="2329614"/>
    <s v="IT-FBT0832-OT-US-00"/>
    <m/>
    <s v="9501153160"/>
    <m/>
    <s v="None"/>
    <m/>
    <m/>
    <n v="23000"/>
    <n v="21621.640000000003"/>
    <m/>
    <m/>
    <n v="1355"/>
    <n v="1517.05"/>
    <n v="1896.64"/>
    <n v="4517.2999999999993"/>
    <n v="-462.13999999999965"/>
    <n v="13000"/>
    <n v="0"/>
    <n v="0"/>
    <n v="3852.95"/>
    <n v="0"/>
    <n v="0"/>
    <n v="0"/>
    <n v="25676.799999999999"/>
    <n v="4055.1599999999962"/>
    <n v="0"/>
    <n v="-462.13999999999965"/>
    <n v="4055.16"/>
    <m/>
    <n v="4055.1599999999962"/>
    <m/>
    <n v="1355"/>
    <n v="1517.05"/>
    <n v="1896.64"/>
    <n v="0"/>
    <n v="0"/>
    <n v="13000"/>
    <n v="0"/>
    <n v="0"/>
    <n v="3852.95"/>
    <n v="0"/>
    <n v="0"/>
    <n v="0"/>
    <n v="21621.640000000003"/>
    <n v="1355"/>
    <n v="1517.05"/>
    <n v="1896.64"/>
    <n v="0"/>
    <n v="0"/>
    <n v="13000"/>
    <n v="0"/>
    <n v="0"/>
    <n v="3852.95"/>
    <n v="0"/>
    <n v="0"/>
    <n v="0"/>
    <n v="21621.640000000003"/>
  </r>
  <r>
    <x v="326"/>
    <x v="326"/>
    <s v="ERP"/>
    <x v="2"/>
    <x v="11"/>
    <s v="McGettigan, David"/>
    <x v="2"/>
    <x v="190"/>
    <m/>
    <m/>
    <s v="IT-FBT0934-OT-US-00"/>
    <m/>
    <m/>
    <m/>
    <s v="Digital Funded Project (2025 One-time project)"/>
    <m/>
    <m/>
    <n v="-2578"/>
    <n v="-51385.37"/>
    <m/>
    <m/>
    <m/>
    <m/>
    <n v="-2578.37"/>
    <n v="0"/>
    <n v="0"/>
    <n v="0"/>
    <n v="0"/>
    <n v="0"/>
    <n v="0"/>
    <n v="0"/>
    <n v="0"/>
    <n v="0"/>
    <n v="-2578.37"/>
    <n v="48807"/>
    <n v="-48807"/>
    <n v="48807"/>
    <n v="48807"/>
    <m/>
    <n v="48807"/>
    <m/>
    <m/>
    <m/>
    <n v="-2578.37"/>
    <n v="0"/>
    <n v="-48807"/>
    <n v="0"/>
    <n v="0"/>
    <n v="0"/>
    <n v="0"/>
    <n v="0"/>
    <n v="0"/>
    <n v="0"/>
    <n v="-51385.37"/>
    <m/>
    <m/>
    <n v="-2578.37"/>
    <n v="0"/>
    <n v="0"/>
    <n v="0"/>
    <n v="0"/>
    <n v="0"/>
    <n v="0"/>
    <n v="0"/>
    <n v="0"/>
    <n v="0"/>
    <n v="-2578.37"/>
  </r>
  <r>
    <x v="327"/>
    <x v="327"/>
    <s v="ERP"/>
    <x v="1"/>
    <x v="12"/>
    <s v="DeHart, Lynn"/>
    <x v="1"/>
    <x v="191"/>
    <m/>
    <m/>
    <s v="IT-FBT0980-OT-US-00"/>
    <m/>
    <s v="N"/>
    <m/>
    <s v="Digital Funded Project"/>
    <m/>
    <m/>
    <n v="0"/>
    <n v="275.15000000000055"/>
    <m/>
    <m/>
    <n v="2699.63"/>
    <n v="2847.71"/>
    <n v="-5272.19"/>
    <n v="3353.36"/>
    <n v="2931.3300000000004"/>
    <n v="0"/>
    <n v="0"/>
    <n v="0"/>
    <n v="0"/>
    <n v="0"/>
    <n v="0"/>
    <n v="0"/>
    <n v="6559.8400000000011"/>
    <n v="6284.6900000000005"/>
    <n v="0"/>
    <n v="2931.3300000000004"/>
    <n v="6284.6900000000005"/>
    <m/>
    <n v="6284.6900000000005"/>
    <m/>
    <n v="2699.63"/>
    <n v="2847.71"/>
    <n v="-5272.19"/>
    <n v="0"/>
    <n v="0"/>
    <n v="0"/>
    <n v="0"/>
    <n v="0"/>
    <n v="0"/>
    <n v="0"/>
    <n v="0"/>
    <n v="0"/>
    <n v="275.15000000000055"/>
    <n v="2699.63"/>
    <n v="2847.71"/>
    <n v="-5272.19"/>
    <n v="2847.71"/>
    <n v="2847.71"/>
    <n v="2847.71"/>
    <n v="2847.71"/>
    <n v="2847.71"/>
    <n v="2847.71"/>
    <n v="2847.71"/>
    <n v="2847.71"/>
    <n v="2847.71"/>
    <n v="25904.539999999997"/>
  </r>
  <r>
    <x v="328"/>
    <x v="328"/>
    <s v="ERP"/>
    <x v="1"/>
    <x v="12"/>
    <s v="DeHart, Lynn"/>
    <x v="0"/>
    <x v="191"/>
    <m/>
    <m/>
    <s v="IT-FBT0980-OT-US-00"/>
    <m/>
    <s v="N"/>
    <m/>
    <s v="Digital Funded Project"/>
    <m/>
    <m/>
    <n v="0"/>
    <n v="139.72999999999999"/>
    <m/>
    <m/>
    <n v="139.72999999999999"/>
    <n v="139.72999999999999"/>
    <n v="-139.72999999999999"/>
    <n v="0"/>
    <n v="0"/>
    <n v="0"/>
    <n v="0"/>
    <n v="0"/>
    <n v="0"/>
    <n v="0"/>
    <n v="0"/>
    <n v="0"/>
    <n v="139.72999999999999"/>
    <n v="0"/>
    <n v="0"/>
    <n v="0"/>
    <n v="0"/>
    <m/>
    <n v="0"/>
    <m/>
    <n v="139.72999999999999"/>
    <n v="139.72999999999999"/>
    <n v="-139.72999999999999"/>
    <n v="0"/>
    <n v="0"/>
    <n v="0"/>
    <n v="0"/>
    <n v="0"/>
    <n v="0"/>
    <n v="0"/>
    <n v="0"/>
    <n v="0"/>
    <n v="139.72999999999999"/>
    <n v="139.72999999999999"/>
    <n v="139.72999999999999"/>
    <n v="-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7.3"/>
  </r>
  <r>
    <x v="329"/>
    <x v="329"/>
    <s v="ERP"/>
    <x v="2"/>
    <x v="11"/>
    <s v="McGettigan, David"/>
    <x v="2"/>
    <x v="192"/>
    <m/>
    <m/>
    <s v="IT-FBT0992-OT-US-00"/>
    <m/>
    <m/>
    <m/>
    <s v="Digital Funded Project"/>
    <s v="4/28/26 CHW New add to tie-out 0223 to 0317 Planful Extracts"/>
    <m/>
    <n v="1078625"/>
    <n v="0"/>
    <m/>
    <m/>
    <m/>
    <m/>
    <m/>
    <s v=""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63566"/>
    <n v="71261"/>
    <n v="89885"/>
    <n v="89885"/>
    <n v="134828"/>
    <n v="134828"/>
    <n v="134828"/>
    <n v="91283"/>
    <n v="89885"/>
    <n v="89885"/>
    <n v="44942"/>
    <n v="43549"/>
    <n v="1078625"/>
  </r>
  <r>
    <x v="330"/>
    <x v="330"/>
    <s v="ERP"/>
    <x v="2"/>
    <x v="11"/>
    <s v="McGettigan, David"/>
    <x v="1"/>
    <x v="193"/>
    <m/>
    <m/>
    <s v="IT-FBT1017-OT-US-00"/>
    <m/>
    <m/>
    <m/>
    <s v="Digital Funded Project"/>
    <m/>
    <m/>
    <n v="0"/>
    <n v="2089.6999999999998"/>
    <m/>
    <m/>
    <m/>
    <m/>
    <n v="2089.6999999999998"/>
    <n v="0"/>
    <n v="2520.12"/>
    <n v="0"/>
    <n v="0"/>
    <n v="0"/>
    <n v="0"/>
    <n v="0"/>
    <n v="0"/>
    <n v="0"/>
    <n v="4609.82"/>
    <n v="2520.12"/>
    <n v="0"/>
    <n v="2520.12"/>
    <n v="2520.12"/>
    <m/>
    <n v="2520.12"/>
    <m/>
    <m/>
    <m/>
    <n v="2089.6999999999998"/>
    <n v="0"/>
    <n v="0"/>
    <n v="0"/>
    <n v="0"/>
    <n v="0"/>
    <n v="0"/>
    <n v="0"/>
    <n v="0"/>
    <n v="0"/>
    <n v="2089.6999999999998"/>
    <m/>
    <m/>
    <n v="2089.6999999999998"/>
    <n v="0"/>
    <n v="0"/>
    <n v="0"/>
    <n v="0"/>
    <n v="0"/>
    <n v="0"/>
    <n v="0"/>
    <n v="0"/>
    <n v="0"/>
    <n v="2089.6999999999998"/>
  </r>
  <r>
    <x v="331"/>
    <x v="331"/>
    <s v="ERP"/>
    <x v="2"/>
    <x v="11"/>
    <s v="McGettigan, David"/>
    <x v="2"/>
    <x v="193"/>
    <m/>
    <m/>
    <s v="IT-FBT1017-OT-US-00"/>
    <m/>
    <m/>
    <m/>
    <s v="Digital Funded Project"/>
    <s v="4/28/26 CHW New add to tie-out 0223 to 0317 Planful Extracts"/>
    <m/>
    <n v="785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2090"/>
    <n v="0"/>
    <n v="0"/>
    <n v="0"/>
    <n v="0"/>
    <n v="0"/>
    <n v="0"/>
    <n v="0"/>
    <n v="0"/>
    <n v="0"/>
    <n v="0"/>
    <n v="5760"/>
    <n v="7850"/>
  </r>
  <r>
    <x v="332"/>
    <x v="332"/>
    <s v="ERP"/>
    <x v="2"/>
    <x v="11"/>
    <s v="McGettigan, David"/>
    <x v="2"/>
    <x v="194"/>
    <m/>
    <s v="2329955"/>
    <s v="IT-FBU0828-OT-US-00"/>
    <m/>
    <s v="9500724675"/>
    <m/>
    <m/>
    <m/>
    <m/>
    <m/>
    <m/>
    <m/>
    <m/>
    <m/>
    <m/>
    <m/>
    <m/>
    <n v="-48806.7"/>
    <m/>
    <m/>
    <m/>
    <m/>
    <m/>
    <m/>
    <m/>
    <n v="-48806.7"/>
    <n v="-48806.7"/>
    <m/>
    <n v="-48806.7"/>
    <n v="-48806.7"/>
    <m/>
    <n v="-48806.7"/>
    <m/>
    <m/>
    <m/>
    <m/>
    <m/>
    <m/>
    <m/>
    <m/>
    <m/>
    <m/>
    <m/>
    <m/>
    <m/>
    <m/>
    <m/>
    <m/>
    <m/>
    <m/>
    <m/>
    <m/>
    <m/>
    <m/>
    <m/>
    <m/>
    <m/>
    <m/>
    <m/>
  </r>
  <r>
    <x v="333"/>
    <x v="333"/>
    <s v="ERP"/>
    <x v="1"/>
    <x v="12"/>
    <s v="Hase, Raj"/>
    <x v="2"/>
    <x v="195"/>
    <s v="TATA CONSULTANCY SERVICES"/>
    <s v="2321399"/>
    <s v="IT-FBU0966-OT-US-00"/>
    <m/>
    <s v="9501226595"/>
    <m/>
    <m/>
    <m/>
    <m/>
    <m/>
    <m/>
    <m/>
    <m/>
    <m/>
    <m/>
    <m/>
    <n v="12507.9"/>
    <n v="13470.05"/>
    <m/>
    <m/>
    <m/>
    <m/>
    <m/>
    <m/>
    <m/>
    <n v="25977.949999999997"/>
    <n v="25977.949999999997"/>
    <m/>
    <n v="13470.05"/>
    <n v="25977.949999999997"/>
    <m/>
    <n v="25977.949999999997"/>
    <m/>
    <m/>
    <m/>
    <m/>
    <m/>
    <m/>
    <m/>
    <m/>
    <m/>
    <m/>
    <m/>
    <m/>
    <m/>
    <m/>
    <m/>
    <m/>
    <m/>
    <m/>
    <m/>
    <m/>
    <m/>
    <m/>
    <m/>
    <m/>
    <m/>
    <m/>
    <m/>
  </r>
  <r>
    <x v="334"/>
    <x v="334"/>
    <s v="ERP"/>
    <x v="0"/>
    <x v="1"/>
    <s v="Tamavada, Ram"/>
    <x v="1"/>
    <x v="196"/>
    <m/>
    <s v="2320843"/>
    <s v="IT-FGS0296-OG-US-00"/>
    <m/>
    <m/>
    <m/>
    <m/>
    <m/>
    <m/>
    <m/>
    <m/>
    <m/>
    <m/>
    <m/>
    <m/>
    <m/>
    <n v="18.2"/>
    <n v="0"/>
    <m/>
    <m/>
    <m/>
    <m/>
    <m/>
    <m/>
    <m/>
    <n v="18.2"/>
    <n v="18.2"/>
    <m/>
    <n v="0"/>
    <n v="18.2"/>
    <m/>
    <n v="18.2"/>
    <m/>
    <m/>
    <m/>
    <m/>
    <m/>
    <m/>
    <m/>
    <m/>
    <m/>
    <m/>
    <m/>
    <m/>
    <m/>
    <m/>
    <m/>
    <m/>
    <m/>
    <m/>
    <m/>
    <m/>
    <m/>
    <m/>
    <m/>
    <m/>
    <m/>
    <m/>
    <m/>
  </r>
  <r>
    <x v="335"/>
    <x v="335"/>
    <s v="ERP"/>
    <x v="0"/>
    <x v="9"/>
    <s v="Maguire, Karla"/>
    <x v="0"/>
    <x v="197"/>
    <m/>
    <m/>
    <s v="IT-FGS0298-SW-US-00"/>
    <m/>
    <s v="N/A"/>
    <m/>
    <s v="EP&amp;S"/>
    <m/>
    <m/>
    <n v="0"/>
    <n v="616.66"/>
    <m/>
    <m/>
    <n v="308.33"/>
    <n v="0"/>
    <n v="308.33"/>
    <n v="308.33"/>
    <n v="308.33"/>
    <n v="0"/>
    <n v="0"/>
    <n v="0"/>
    <n v="0"/>
    <n v="0"/>
    <n v="0"/>
    <n v="0"/>
    <n v="1233.32"/>
    <n v="616.66"/>
    <n v="0"/>
    <n v="308.33"/>
    <n v="616.66"/>
    <m/>
    <n v="616.66"/>
    <m/>
    <n v="308.33"/>
    <n v="0"/>
    <n v="308.33"/>
    <n v="0"/>
    <n v="0"/>
    <n v="0"/>
    <n v="0"/>
    <n v="0"/>
    <n v="0"/>
    <n v="0"/>
    <n v="0"/>
    <n v="0"/>
    <n v="616.66"/>
    <n v="308.33"/>
    <n v="0"/>
    <n v="308.33"/>
    <n v="0"/>
    <n v="0"/>
    <n v="0"/>
    <n v="0"/>
    <n v="0"/>
    <n v="0"/>
    <n v="0"/>
    <n v="0"/>
    <n v="0"/>
    <n v="616.66"/>
  </r>
  <r>
    <x v="336"/>
    <x v="336"/>
    <s v="ERP"/>
    <x v="0"/>
    <x v="1"/>
    <s v="Maguire, Karla"/>
    <x v="0"/>
    <x v="197"/>
    <m/>
    <m/>
    <s v="IT-FGS0298-SW-US-00"/>
    <m/>
    <s v="N/A"/>
    <m/>
    <s v="EP&amp;S"/>
    <m/>
    <m/>
    <n v="11109.88"/>
    <n v="9249.9"/>
    <m/>
    <m/>
    <n v="616.66"/>
    <n v="0"/>
    <n v="308.33"/>
    <n v="308.33"/>
    <n v="308.33"/>
    <n v="924.99"/>
    <n v="924.99"/>
    <n v="924.99"/>
    <n v="924.99"/>
    <n v="924.99"/>
    <n v="924.99"/>
    <n v="924.99"/>
    <n v="8016.579999999999"/>
    <n v="-1233.3200000000006"/>
    <n v="924.99"/>
    <n v="-616.66000000000008"/>
    <n v="-1233.3200000000004"/>
    <m/>
    <n v="-1233.3200000000006"/>
    <m/>
    <n v="616.66"/>
    <n v="0"/>
    <n v="308.33"/>
    <n v="924.99"/>
    <n v="924.99"/>
    <n v="924.99"/>
    <n v="924.99"/>
    <n v="924.99"/>
    <n v="924.99"/>
    <n v="924.99"/>
    <n v="924.99"/>
    <n v="924.99"/>
    <n v="9249.9"/>
    <n v="616.66"/>
    <n v="0"/>
    <n v="308.33"/>
    <n v="924.99"/>
    <n v="924.99"/>
    <n v="924.99"/>
    <n v="924.99"/>
    <n v="924.99"/>
    <n v="924.99"/>
    <n v="924.99"/>
    <n v="924.99"/>
    <n v="924.99"/>
    <n v="9249.9"/>
  </r>
  <r>
    <x v="337"/>
    <x v="337"/>
    <s v="ERP"/>
    <x v="1"/>
    <x v="2"/>
    <s v="DeHart, Lynn"/>
    <x v="0"/>
    <x v="197"/>
    <m/>
    <m/>
    <s v="IT-FGS0298-SW-US-00"/>
    <m/>
    <s v="N/A"/>
    <m/>
    <s v="EP&amp;S"/>
    <m/>
    <m/>
    <n v="18499.8"/>
    <n v="16958.149999999998"/>
    <m/>
    <m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0"/>
    <n v="1541.65"/>
    <n v="0"/>
    <n v="0"/>
    <m/>
    <n v="0"/>
    <m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</r>
  <r>
    <x v="338"/>
    <x v="338"/>
    <s v="ERP"/>
    <x v="1"/>
    <x v="12"/>
    <s v="DeHart, Lynn"/>
    <x v="0"/>
    <x v="198"/>
    <m/>
    <s v="2321399"/>
    <s v="IT-FGS0299-OG-US-00"/>
    <m/>
    <m/>
    <m/>
    <m/>
    <m/>
    <m/>
    <m/>
    <m/>
    <m/>
    <m/>
    <m/>
    <m/>
    <m/>
    <m/>
    <n v="200"/>
    <m/>
    <m/>
    <m/>
    <m/>
    <m/>
    <m/>
    <m/>
    <n v="200"/>
    <n v="200"/>
    <m/>
    <n v="200"/>
    <n v="200"/>
    <m/>
    <n v="200"/>
    <m/>
    <m/>
    <m/>
    <m/>
    <m/>
    <m/>
    <m/>
    <m/>
    <m/>
    <m/>
    <m/>
    <m/>
    <m/>
    <m/>
    <m/>
    <m/>
    <m/>
    <m/>
    <m/>
    <m/>
    <m/>
    <m/>
    <m/>
    <m/>
    <m/>
    <m/>
    <m/>
  </r>
  <r>
    <x v="339"/>
    <x v="339"/>
    <s v="ERP"/>
    <x v="1"/>
    <x v="12"/>
    <s v="DeHart, Lynn"/>
    <x v="3"/>
    <x v="199"/>
    <m/>
    <m/>
    <s v="IT-FGS0299-OG-US-00"/>
    <m/>
    <s v="N/A"/>
    <m/>
    <s v="EP&amp;S"/>
    <m/>
    <m/>
    <n v="0"/>
    <n v="4063.1000000000004"/>
    <m/>
    <m/>
    <n v="322.64"/>
    <n v="376.04"/>
    <n v="3364.42"/>
    <n v="389.04999999999995"/>
    <n v="3602.75"/>
    <n v="0"/>
    <n v="0"/>
    <n v="0"/>
    <n v="0"/>
    <n v="0"/>
    <n v="0"/>
    <n v="0"/>
    <n v="8054.9000000000005"/>
    <n v="3991.8"/>
    <n v="0"/>
    <n v="3602.75"/>
    <n v="3991.8"/>
    <m/>
    <n v="3991.8"/>
    <m/>
    <n v="322.64"/>
    <n v="376.04"/>
    <n v="3364.42"/>
    <n v="0"/>
    <n v="0"/>
    <n v="0"/>
    <n v="0"/>
    <n v="0"/>
    <n v="0"/>
    <n v="0"/>
    <n v="0"/>
    <n v="0"/>
    <n v="4063.1000000000004"/>
    <n v="322.64"/>
    <n v="376.04"/>
    <n v="3364.42"/>
    <n v="0"/>
    <n v="0"/>
    <n v="0"/>
    <n v="0"/>
    <n v="0"/>
    <n v="0"/>
    <n v="0"/>
    <n v="0"/>
    <n v="0"/>
    <n v="4063.1000000000004"/>
  </r>
  <r>
    <x v="340"/>
    <x v="340"/>
    <s v="ERP"/>
    <x v="1"/>
    <x v="12"/>
    <s v="DeHart, Lynn"/>
    <x v="1"/>
    <x v="199"/>
    <m/>
    <m/>
    <s v="IT-FGS0299-OG-US-00"/>
    <m/>
    <s v="N/A"/>
    <m/>
    <s v="EP&amp;S"/>
    <m/>
    <m/>
    <n v="0"/>
    <n v="2000"/>
    <m/>
    <m/>
    <n v="2000"/>
    <n v="0"/>
    <n v="0"/>
    <n v="0"/>
    <n v="90.2"/>
    <n v="0"/>
    <n v="0"/>
    <n v="0"/>
    <n v="0"/>
    <n v="0"/>
    <n v="0"/>
    <n v="0"/>
    <n v="2090.1999999999998"/>
    <n v="90.199999999999818"/>
    <n v="0"/>
    <n v="90.2"/>
    <n v="90.199999999999818"/>
    <m/>
    <n v="90.199999999999818"/>
    <m/>
    <n v="2000"/>
    <n v="0"/>
    <n v="0"/>
    <n v="0"/>
    <n v="0"/>
    <n v="0"/>
    <n v="0"/>
    <n v="0"/>
    <n v="0"/>
    <n v="0"/>
    <n v="0"/>
    <n v="0"/>
    <n v="2000"/>
    <n v="2000"/>
    <n v="0"/>
    <n v="0"/>
    <n v="0"/>
    <n v="0"/>
    <n v="0"/>
    <n v="0"/>
    <n v="0"/>
    <n v="0"/>
    <n v="0"/>
    <n v="0"/>
    <n v="0"/>
    <n v="2000"/>
  </r>
  <r>
    <x v="341"/>
    <x v="341"/>
    <s v="ERP"/>
    <x v="0"/>
    <x v="0"/>
    <s v="Maguire, Karla"/>
    <x v="3"/>
    <x v="199"/>
    <m/>
    <m/>
    <s v="IT-FGS0299-OG-US-00"/>
    <m/>
    <s v="N/A"/>
    <m/>
    <s v="EP&amp;S"/>
    <m/>
    <m/>
    <n v="0"/>
    <n v="20"/>
    <m/>
    <m/>
    <n v="20"/>
    <n v="0"/>
    <n v="0"/>
    <n v="22"/>
    <n v="0"/>
    <n v="0"/>
    <n v="0"/>
    <n v="0"/>
    <n v="0"/>
    <n v="0"/>
    <n v="0"/>
    <n v="0"/>
    <n v="42"/>
    <n v="22"/>
    <n v="0"/>
    <n v="0"/>
    <n v="22"/>
    <m/>
    <n v="22"/>
    <m/>
    <n v="2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20"/>
  </r>
  <r>
    <x v="342"/>
    <x v="342"/>
    <s v="ERP"/>
    <x v="0"/>
    <x v="0"/>
    <s v="Maguire, Karla"/>
    <x v="1"/>
    <x v="199"/>
    <m/>
    <m/>
    <s v="IT-FGS0299-OG-US-00"/>
    <m/>
    <s v="N/A"/>
    <m/>
    <s v="EP&amp;S"/>
    <m/>
    <m/>
    <n v="0"/>
    <n v="5151.76"/>
    <m/>
    <m/>
    <n v="1210.3599999999999"/>
    <n v="1569.34"/>
    <n v="2372.06"/>
    <n v="345.21"/>
    <n v="674.56"/>
    <n v="0"/>
    <n v="0"/>
    <n v="0"/>
    <n v="0"/>
    <n v="0"/>
    <n v="0"/>
    <n v="0"/>
    <n v="6171.5300000000007"/>
    <n v="1019.7700000000004"/>
    <n v="0"/>
    <n v="674.56"/>
    <n v="1019.7700000000004"/>
    <m/>
    <n v="1019.7700000000004"/>
    <m/>
    <n v="1210.3599999999999"/>
    <n v="1569.34"/>
    <n v="2372.06"/>
    <n v="0"/>
    <n v="0"/>
    <n v="0"/>
    <n v="0"/>
    <n v="0"/>
    <n v="0"/>
    <n v="0"/>
    <n v="0"/>
    <n v="0"/>
    <n v="5151.76"/>
    <n v="1210.3599999999999"/>
    <n v="1569.34"/>
    <n v="2372.06"/>
    <n v="0"/>
    <n v="0"/>
    <n v="0"/>
    <n v="0"/>
    <n v="0"/>
    <n v="0"/>
    <n v="0"/>
    <n v="0"/>
    <n v="0"/>
    <n v="5151.76"/>
  </r>
  <r>
    <x v="343"/>
    <x v="343"/>
    <s v="ERP"/>
    <x v="0"/>
    <x v="0"/>
    <s v="Maguire, Karla"/>
    <x v="0"/>
    <x v="199"/>
    <m/>
    <m/>
    <s v="IT-FGS0299-OG-US-00"/>
    <m/>
    <s v="N/A"/>
    <m/>
    <s v="EP&amp;S"/>
    <m/>
    <m/>
    <n v="0"/>
    <n v="288"/>
    <m/>
    <m/>
    <m/>
    <n v="288"/>
    <n v="0"/>
    <n v="0"/>
    <n v="800"/>
    <n v="0"/>
    <n v="0"/>
    <n v="0"/>
    <n v="0"/>
    <n v="0"/>
    <n v="0"/>
    <n v="0"/>
    <n v="1088"/>
    <n v="800"/>
    <n v="0"/>
    <n v="800"/>
    <n v="800"/>
    <m/>
    <n v="800"/>
    <m/>
    <m/>
    <n v="288"/>
    <n v="0"/>
    <n v="0"/>
    <n v="0"/>
    <n v="0"/>
    <n v="0"/>
    <n v="0"/>
    <n v="0"/>
    <n v="0"/>
    <n v="0"/>
    <n v="0"/>
    <n v="288"/>
    <m/>
    <n v="288"/>
    <n v="0"/>
    <n v="0"/>
    <n v="0"/>
    <n v="0"/>
    <n v="0"/>
    <n v="0"/>
    <n v="0"/>
    <n v="0"/>
    <n v="0"/>
    <n v="0"/>
    <n v="288"/>
  </r>
  <r>
    <x v="344"/>
    <x v="344"/>
    <s v="ERP"/>
    <x v="1"/>
    <x v="13"/>
    <s v="DeHart, Lynn"/>
    <x v="1"/>
    <x v="199"/>
    <m/>
    <m/>
    <s v="IT-FGS0299-OG-US-00"/>
    <m/>
    <s v="N/A"/>
    <m/>
    <s v="EP&amp;S"/>
    <m/>
    <m/>
    <n v="8220"/>
    <n v="7536.92"/>
    <m/>
    <m/>
    <n v="685.96"/>
    <n v="685.96"/>
    <n v="0"/>
    <n v="510.91"/>
    <n v="685.96"/>
    <n v="685"/>
    <n v="685"/>
    <n v="685"/>
    <n v="685"/>
    <n v="685"/>
    <n v="685"/>
    <n v="685"/>
    <n v="7363.79"/>
    <n v="-173.13000000000011"/>
    <n v="685"/>
    <n v="0.96000000000003638"/>
    <n v="-173.13000000000011"/>
    <m/>
    <n v="-173.13000000000011"/>
    <m/>
    <n v="685.96"/>
    <n v="685.96"/>
    <n v="0"/>
    <n v="685"/>
    <n v="685"/>
    <n v="685"/>
    <n v="685"/>
    <n v="685"/>
    <n v="685"/>
    <n v="685"/>
    <n v="685"/>
    <n v="685"/>
    <n v="7536.92"/>
    <n v="685.96"/>
    <n v="685.96"/>
    <n v="0"/>
    <n v="685"/>
    <n v="685"/>
    <n v="685"/>
    <n v="685"/>
    <n v="685"/>
    <n v="685"/>
    <n v="685"/>
    <n v="685"/>
    <n v="685"/>
    <n v="7536.92"/>
  </r>
  <r>
    <x v="345"/>
    <x v="345"/>
    <s v="ERP"/>
    <x v="0"/>
    <x v="10"/>
    <s v="Maguire, Karla"/>
    <x v="3"/>
    <x v="199"/>
    <m/>
    <m/>
    <s v="IT-FGS0299-OG-US-00"/>
    <m/>
    <s v="N/A"/>
    <m/>
    <s v="EP&amp;S"/>
    <m/>
    <m/>
    <n v="0"/>
    <n v="2955.3"/>
    <m/>
    <m/>
    <n v="1146.01"/>
    <n v="0"/>
    <n v="1809.29"/>
    <n v="5504.11"/>
    <n v="299.02999999999997"/>
    <n v="0"/>
    <n v="0"/>
    <n v="0"/>
    <n v="0"/>
    <n v="0"/>
    <n v="0"/>
    <n v="0"/>
    <n v="8758.44"/>
    <n v="5803.14"/>
    <n v="0"/>
    <n v="299.02999999999997"/>
    <n v="5803.14"/>
    <m/>
    <n v="5803.14"/>
    <m/>
    <n v="1146.01"/>
    <n v="0"/>
    <n v="1809.29"/>
    <n v="0"/>
    <n v="0"/>
    <n v="0"/>
    <n v="0"/>
    <n v="0"/>
    <n v="0"/>
    <n v="0"/>
    <n v="0"/>
    <n v="0"/>
    <n v="2955.3"/>
    <n v="1146.01"/>
    <n v="0"/>
    <n v="1809.29"/>
    <n v="0"/>
    <n v="0"/>
    <n v="0"/>
    <n v="0"/>
    <n v="0"/>
    <n v="0"/>
    <n v="0"/>
    <n v="0"/>
    <n v="0"/>
    <n v="2955.3"/>
  </r>
  <r>
    <x v="346"/>
    <x v="346"/>
    <s v="ERP"/>
    <x v="0"/>
    <x v="10"/>
    <s v="Maguire, Karla"/>
    <x v="1"/>
    <x v="199"/>
    <m/>
    <m/>
    <s v="IT-FGS0299-OG-US-00"/>
    <m/>
    <s v="N/A"/>
    <m/>
    <s v="EP&amp;S"/>
    <m/>
    <m/>
    <n v="3300"/>
    <n v="1500"/>
    <m/>
    <m/>
    <m/>
    <m/>
    <m/>
    <n v="0"/>
    <n v="0"/>
    <n v="300"/>
    <n v="300"/>
    <n v="300"/>
    <n v="0"/>
    <n v="0"/>
    <n v="0"/>
    <n v="0"/>
    <n v="900"/>
    <n v="-600"/>
    <n v="300"/>
    <n v="-300"/>
    <n v="-600"/>
    <m/>
    <n v="-600"/>
    <m/>
    <m/>
    <m/>
    <m/>
    <n v="300"/>
    <n v="300"/>
    <n v="300"/>
    <n v="300"/>
    <n v="300"/>
    <n v="0"/>
    <n v="0"/>
    <n v="0"/>
    <n v="0"/>
    <n v="1500"/>
    <m/>
    <m/>
    <m/>
    <n v="300"/>
    <n v="300"/>
    <n v="300"/>
    <n v="300"/>
    <n v="300"/>
    <n v="0"/>
    <n v="0"/>
    <n v="0"/>
    <n v="0"/>
    <n v="1500"/>
  </r>
  <r>
    <x v="347"/>
    <x v="347"/>
    <s v="ERP"/>
    <x v="0"/>
    <x v="9"/>
    <s v="Maguire, Karla"/>
    <x v="1"/>
    <x v="199"/>
    <m/>
    <m/>
    <s v="IT-FGS0299-OG-US-00"/>
    <m/>
    <s v="N/A"/>
    <m/>
    <s v="EP&amp;S"/>
    <m/>
    <m/>
    <n v="240000"/>
    <n v="230345.91999999998"/>
    <m/>
    <m/>
    <n v="18590.2"/>
    <n v="19113.38"/>
    <n v="12642.34"/>
    <n v="21280.7"/>
    <n v="14563.560000000001"/>
    <n v="20000"/>
    <n v="20000"/>
    <n v="20000"/>
    <n v="20000"/>
    <n v="20000"/>
    <n v="20000"/>
    <n v="20000"/>
    <n v="226190.18"/>
    <n v="-4155.7399999999907"/>
    <n v="20000"/>
    <n v="-5436.4399999999987"/>
    <n v="-4155.7400000000052"/>
    <m/>
    <n v="-4155.7399999999907"/>
    <m/>
    <n v="18590.2"/>
    <n v="19113.38"/>
    <n v="12642.34"/>
    <n v="20000"/>
    <n v="20000"/>
    <n v="20000"/>
    <n v="20000"/>
    <n v="20000"/>
    <n v="20000"/>
    <n v="20000"/>
    <n v="20000"/>
    <n v="20000"/>
    <n v="230345.91999999998"/>
    <n v="18590.2"/>
    <n v="19113.38"/>
    <n v="12642.34"/>
    <n v="20000"/>
    <n v="20000"/>
    <n v="20000"/>
    <n v="20000"/>
    <n v="20000"/>
    <n v="20000"/>
    <n v="20000"/>
    <n v="20000"/>
    <n v="20000"/>
    <n v="230345.91999999998"/>
  </r>
  <r>
    <x v="348"/>
    <x v="348"/>
    <s v="ERP"/>
    <x v="2"/>
    <x v="11"/>
    <s v="McGettigan, David"/>
    <x v="1"/>
    <x v="199"/>
    <m/>
    <m/>
    <s v="IT-FGS0299-OG-US-00"/>
    <m/>
    <s v="N/A"/>
    <m/>
    <s v="EP&amp;S"/>
    <m/>
    <m/>
    <n v="18000"/>
    <n v="15727.5"/>
    <m/>
    <m/>
    <n v="2227.5"/>
    <n v="0"/>
    <n v="0"/>
    <n v="0"/>
    <n v="1.86"/>
    <n v="1500"/>
    <n v="1500"/>
    <n v="1500"/>
    <n v="1500"/>
    <n v="1500"/>
    <n v="1500"/>
    <n v="1500"/>
    <n v="12729.36"/>
    <n v="-2998.1399999999994"/>
    <n v="1500"/>
    <n v="-1498.14"/>
    <n v="-2998.14"/>
    <m/>
    <n v="-2998.1399999999994"/>
    <m/>
    <n v="2227.5"/>
    <n v="0"/>
    <n v="0"/>
    <n v="1500"/>
    <n v="1500"/>
    <n v="1500"/>
    <n v="1500"/>
    <n v="1500"/>
    <n v="1500"/>
    <n v="1500"/>
    <n v="1500"/>
    <n v="1500"/>
    <n v="15727.5"/>
    <n v="2227.5"/>
    <n v="0"/>
    <n v="0"/>
    <n v="1500"/>
    <n v="1500"/>
    <n v="1500"/>
    <n v="1500"/>
    <n v="1500"/>
    <n v="1500"/>
    <n v="1500"/>
    <n v="1500"/>
    <n v="1500"/>
    <n v="15727.5"/>
  </r>
  <r>
    <x v="349"/>
    <x v="349"/>
    <s v="ERP"/>
    <x v="3"/>
    <x v="14"/>
    <s v="Robertson, Jerome"/>
    <x v="3"/>
    <x v="199"/>
    <m/>
    <m/>
    <s v="IT-FGS0299-OG-US-00"/>
    <m/>
    <s v="N/A"/>
    <m/>
    <s v="EP&amp;S"/>
    <m/>
    <m/>
    <n v="0"/>
    <n v="2902.66"/>
    <m/>
    <m/>
    <m/>
    <m/>
    <n v="2902.66"/>
    <n v="229.1"/>
    <n v="87.28"/>
    <n v="0"/>
    <n v="0"/>
    <n v="0"/>
    <n v="0"/>
    <n v="0"/>
    <n v="0"/>
    <n v="0"/>
    <n v="3219.04"/>
    <n v="316.38000000000011"/>
    <n v="0"/>
    <n v="87.28"/>
    <n v="316.38000000000011"/>
    <m/>
    <n v="316.38000000000011"/>
    <m/>
    <m/>
    <m/>
    <n v="2902.66"/>
    <n v="0"/>
    <n v="0"/>
    <n v="0"/>
    <n v="0"/>
    <n v="0"/>
    <n v="0"/>
    <n v="0"/>
    <n v="0"/>
    <n v="0"/>
    <n v="2902.66"/>
    <m/>
    <m/>
    <n v="2902.66"/>
    <n v="0"/>
    <n v="0"/>
    <n v="0"/>
    <n v="0"/>
    <n v="0"/>
    <n v="0"/>
    <n v="0"/>
    <n v="0"/>
    <n v="0"/>
    <n v="2902.66"/>
  </r>
  <r>
    <x v="350"/>
    <x v="350"/>
    <s v="ERP"/>
    <x v="0"/>
    <x v="1"/>
    <s v="Maguire, Karla"/>
    <x v="1"/>
    <x v="199"/>
    <m/>
    <m/>
    <s v="IT-FGS0299-OG-US-00"/>
    <m/>
    <s v="N/A"/>
    <m/>
    <s v="EP&amp;S"/>
    <m/>
    <m/>
    <n v="12000"/>
    <n v="20372.89"/>
    <m/>
    <m/>
    <n v="3485.94"/>
    <n v="4743.4799999999996"/>
    <n v="3143.47"/>
    <n v="1703.44"/>
    <n v="1676.8800000000003"/>
    <n v="1000"/>
    <n v="1000"/>
    <n v="1000"/>
    <n v="1000"/>
    <n v="1000"/>
    <n v="1000"/>
    <n v="1000"/>
    <n v="21753.21"/>
    <n v="1380.3199999999997"/>
    <n v="1000"/>
    <n v="676.88000000000034"/>
    <n v="1380.3200000000015"/>
    <m/>
    <n v="1380.3199999999997"/>
    <m/>
    <n v="3485.94"/>
    <n v="4743.4799999999996"/>
    <n v="3143.47"/>
    <n v="1000"/>
    <n v="1000"/>
    <n v="1000"/>
    <n v="1000"/>
    <n v="1000"/>
    <n v="1000"/>
    <n v="1000"/>
    <n v="1000"/>
    <n v="1000"/>
    <n v="20372.89"/>
    <n v="3485.94"/>
    <n v="4743.4799999999996"/>
    <n v="3143.47"/>
    <n v="1000"/>
    <n v="1000"/>
    <n v="1000"/>
    <n v="1000"/>
    <n v="1000"/>
    <n v="1000"/>
    <n v="1000"/>
    <n v="1000"/>
    <n v="1000"/>
    <n v="20372.89"/>
  </r>
  <r>
    <x v="351"/>
    <x v="351"/>
    <s v="ERP"/>
    <x v="0"/>
    <x v="1"/>
    <s v="Maguire, Karla"/>
    <x v="0"/>
    <x v="199"/>
    <m/>
    <m/>
    <s v="IT-FGS0299-OG-US-00"/>
    <m/>
    <s v="N/A"/>
    <m/>
    <s v="EP&amp;S"/>
    <m/>
    <m/>
    <n v="0"/>
    <n v="18.920000000000002"/>
    <m/>
    <m/>
    <m/>
    <n v="18.920000000000002"/>
    <n v="0"/>
    <n v="0"/>
    <n v="0"/>
    <n v="0"/>
    <n v="0"/>
    <n v="0"/>
    <n v="0"/>
    <n v="0"/>
    <n v="0"/>
    <n v="0"/>
    <n v="18.920000000000002"/>
    <n v="0"/>
    <n v="0"/>
    <n v="0"/>
    <n v="0"/>
    <m/>
    <n v="0"/>
    <m/>
    <m/>
    <n v="18.920000000000002"/>
    <n v="0"/>
    <n v="0"/>
    <n v="0"/>
    <n v="0"/>
    <n v="0"/>
    <n v="0"/>
    <n v="0"/>
    <n v="0"/>
    <n v="0"/>
    <n v="0"/>
    <n v="18.920000000000002"/>
    <m/>
    <n v="18.920000000000002"/>
    <n v="0"/>
    <n v="0"/>
    <n v="0"/>
    <n v="0"/>
    <n v="0"/>
    <n v="0"/>
    <n v="0"/>
    <n v="0"/>
    <n v="0"/>
    <n v="0"/>
    <n v="18.920000000000002"/>
  </r>
  <r>
    <x v="352"/>
    <x v="352"/>
    <s v="ERP"/>
    <x v="1"/>
    <x v="2"/>
    <s v="DeHart, Lynn"/>
    <x v="1"/>
    <x v="199"/>
    <m/>
    <m/>
    <s v="IT-FGS0299-OG-US-00"/>
    <m/>
    <s v="N/A"/>
    <m/>
    <s v="EP&amp;S"/>
    <m/>
    <m/>
    <n v="29055.720000000005"/>
    <n v="28350.190000000002"/>
    <m/>
    <m/>
    <n v="2204.83"/>
    <n v="2275.48"/>
    <n v="2078.09"/>
    <n v="6776.0599999999995"/>
    <n v="5361.06"/>
    <n v="2421.31"/>
    <n v="2421.31"/>
    <n v="2421.31"/>
    <n v="2421.31"/>
    <n v="2421.31"/>
    <n v="2421.31"/>
    <n v="2421.31"/>
    <n v="35644.69"/>
    <n v="7294.5"/>
    <n v="2421.31"/>
    <n v="2939.7500000000005"/>
    <n v="7294.5000000000018"/>
    <m/>
    <n v="7294.5"/>
    <m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</r>
  <r>
    <x v="353"/>
    <x v="353"/>
    <s v="ERP"/>
    <x v="1"/>
    <x v="5"/>
    <s v="DeHart, Lynn"/>
    <x v="0"/>
    <x v="67"/>
    <m/>
    <s v="2320521"/>
    <s v="IT-FGS0300-SW-US-00"/>
    <m/>
    <m/>
    <m/>
    <m/>
    <m/>
    <m/>
    <m/>
    <m/>
    <m/>
    <m/>
    <m/>
    <m/>
    <m/>
    <n v="454"/>
    <n v="227"/>
    <m/>
    <m/>
    <m/>
    <m/>
    <m/>
    <m/>
    <m/>
    <n v="681"/>
    <n v="681"/>
    <m/>
    <n v="227"/>
    <n v="681"/>
    <m/>
    <n v="681"/>
    <m/>
    <m/>
    <m/>
    <m/>
    <m/>
    <m/>
    <m/>
    <m/>
    <m/>
    <m/>
    <m/>
    <m/>
    <m/>
    <m/>
    <m/>
    <m/>
    <m/>
    <m/>
    <m/>
    <m/>
    <m/>
    <m/>
    <m/>
    <m/>
    <m/>
    <m/>
    <m/>
  </r>
  <r>
    <x v="354"/>
    <x v="354"/>
    <s v="ERP"/>
    <x v="1"/>
    <x v="12"/>
    <s v="DeHart, Lynn"/>
    <x v="0"/>
    <x v="200"/>
    <m/>
    <m/>
    <s v="IT-FGS0300-SW-US-00"/>
    <m/>
    <s v="N/A"/>
    <m/>
    <s v="Copilot"/>
    <m/>
    <m/>
    <n v="6000"/>
    <n v="13404.42"/>
    <m/>
    <m/>
    <n v="542.75"/>
    <n v="6823.51"/>
    <n v="1538.16"/>
    <n v="1141.3400000000001"/>
    <n v="2127.96"/>
    <n v="500"/>
    <n v="500"/>
    <n v="500"/>
    <n v="500"/>
    <n v="500"/>
    <n v="500"/>
    <n v="500"/>
    <n v="15673.720000000001"/>
    <n v="2269.3000000000011"/>
    <n v="500"/>
    <n v="1627.96"/>
    <n v="2269.3000000000011"/>
    <m/>
    <n v="2269.3000000000011"/>
    <m/>
    <n v="542.75"/>
    <n v="6823.51"/>
    <n v="1538.16"/>
    <n v="500"/>
    <n v="500"/>
    <n v="500"/>
    <n v="500"/>
    <n v="500"/>
    <n v="500"/>
    <n v="500"/>
    <n v="500"/>
    <n v="500"/>
    <n v="13404.42"/>
    <n v="542.75"/>
    <n v="6823.51"/>
    <n v="1538.16"/>
    <n v="500"/>
    <n v="500"/>
    <n v="500"/>
    <n v="500"/>
    <n v="500"/>
    <n v="500"/>
    <n v="500"/>
    <n v="500"/>
    <n v="500"/>
    <n v="13404.42"/>
  </r>
  <r>
    <x v="355"/>
    <x v="355"/>
    <s v="ERP"/>
    <x v="0"/>
    <x v="0"/>
    <s v="Maguire, Karla"/>
    <x v="0"/>
    <x v="200"/>
    <m/>
    <m/>
    <s v="IT-FGS0300-SW-US-00"/>
    <m/>
    <s v="N/A"/>
    <m/>
    <s v="Copilot"/>
    <m/>
    <m/>
    <n v="6000"/>
    <n v="10540"/>
    <m/>
    <m/>
    <m/>
    <n v="4313"/>
    <n v="227"/>
    <n v="0"/>
    <n v="1362"/>
    <n v="0"/>
    <n v="0"/>
    <n v="6000"/>
    <n v="0"/>
    <n v="0"/>
    <n v="0"/>
    <n v="0"/>
    <n v="11902"/>
    <n v="1362"/>
    <n v="0"/>
    <n v="1362"/>
    <n v="1362"/>
    <m/>
    <n v="1362"/>
    <m/>
    <m/>
    <n v="4313"/>
    <n v="227"/>
    <n v="0"/>
    <n v="0"/>
    <n v="0"/>
    <n v="0"/>
    <n v="6000"/>
    <n v="0"/>
    <n v="0"/>
    <n v="0"/>
    <n v="0"/>
    <n v="10540"/>
    <m/>
    <n v="4313"/>
    <n v="227"/>
    <n v="0"/>
    <n v="0"/>
    <n v="0"/>
    <n v="0"/>
    <n v="6000"/>
    <n v="0"/>
    <n v="0"/>
    <n v="0"/>
    <n v="0"/>
    <n v="10540"/>
  </r>
  <r>
    <x v="356"/>
    <x v="356"/>
    <s v="ERP"/>
    <x v="1"/>
    <x v="3"/>
    <s v="DeHart, Lynn"/>
    <x v="0"/>
    <x v="200"/>
    <m/>
    <m/>
    <s v="IT-FGS0300-SW-US-00"/>
    <m/>
    <s v="N/A"/>
    <m/>
    <s v="Copilot"/>
    <m/>
    <m/>
    <n v="275"/>
    <n v="227"/>
    <m/>
    <m/>
    <m/>
    <n v="227"/>
    <n v="0"/>
    <n v="0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x v="357"/>
    <x v="357"/>
    <s v="ERP"/>
    <x v="1"/>
    <x v="4"/>
    <s v="DeHart, Lynn"/>
    <x v="0"/>
    <x v="200"/>
    <m/>
    <m/>
    <s v="IT-FGS0300-SW-US-00"/>
    <m/>
    <s v="N/A"/>
    <m/>
    <s v="Copilot"/>
    <m/>
    <m/>
    <n v="1100"/>
    <n v="825"/>
    <m/>
    <m/>
    <m/>
    <m/>
    <m/>
    <s v=""/>
    <n v="0"/>
    <n v="275"/>
    <n v="0"/>
    <n v="0"/>
    <n v="275"/>
    <n v="0"/>
    <n v="0"/>
    <n v="275"/>
    <n v="825"/>
    <n v="0"/>
    <m/>
    <n v="0"/>
    <n v="0"/>
    <m/>
    <n v="0"/>
    <m/>
    <m/>
    <m/>
    <m/>
    <m/>
    <m/>
    <n v="275"/>
    <n v="0"/>
    <n v="0"/>
    <n v="275"/>
    <n v="0"/>
    <n v="0"/>
    <n v="275"/>
    <n v="825"/>
    <m/>
    <m/>
    <m/>
    <m/>
    <m/>
    <n v="275"/>
    <n v="0"/>
    <n v="0"/>
    <n v="275"/>
    <n v="0"/>
    <n v="0"/>
    <n v="275"/>
    <n v="825"/>
  </r>
  <r>
    <x v="358"/>
    <x v="358"/>
    <s v="ERP"/>
    <x v="1"/>
    <x v="6"/>
    <s v="DeHart, Lynn"/>
    <x v="0"/>
    <x v="200"/>
    <m/>
    <m/>
    <s v="IT-FGS0300-SW-US-00"/>
    <m/>
    <s v="N/A"/>
    <m/>
    <s v="Copilot"/>
    <m/>
    <m/>
    <n v="0"/>
    <n v="218.38"/>
    <m/>
    <m/>
    <m/>
    <m/>
    <n v="218.38"/>
    <n v="0"/>
    <n v="0"/>
    <n v="0"/>
    <n v="0"/>
    <n v="0"/>
    <n v="0"/>
    <n v="0"/>
    <n v="0"/>
    <n v="0"/>
    <n v="218.38"/>
    <n v="0"/>
    <n v="0"/>
    <n v="0"/>
    <n v="0"/>
    <m/>
    <n v="0"/>
    <m/>
    <m/>
    <m/>
    <n v="218.38"/>
    <n v="0"/>
    <n v="0"/>
    <n v="0"/>
    <n v="0"/>
    <n v="0"/>
    <n v="0"/>
    <n v="0"/>
    <n v="0"/>
    <n v="0"/>
    <n v="218.38"/>
    <m/>
    <m/>
    <n v="218.38"/>
    <n v="0"/>
    <n v="0"/>
    <n v="0"/>
    <n v="0"/>
    <n v="0"/>
    <n v="0"/>
    <n v="0"/>
    <n v="0"/>
    <n v="0"/>
    <n v="218.38"/>
  </r>
  <r>
    <x v="359"/>
    <x v="359"/>
    <s v="ERP"/>
    <x v="0"/>
    <x v="10"/>
    <s v="Maguire, Karla"/>
    <x v="0"/>
    <x v="200"/>
    <m/>
    <m/>
    <s v="IT-FGS0300-SW-US-00"/>
    <m/>
    <s v="N/A"/>
    <m/>
    <s v="Copilot"/>
    <m/>
    <m/>
    <n v="10000"/>
    <n v="12811.43"/>
    <m/>
    <m/>
    <n v="553.5"/>
    <n v="681"/>
    <n v="1576.93"/>
    <n v="227"/>
    <n v="496.48"/>
    <n v="5000"/>
    <n v="0"/>
    <n v="0"/>
    <n v="0"/>
    <n v="0"/>
    <n v="0"/>
    <n v="5000"/>
    <n v="13534.91"/>
    <n v="723.47999999999956"/>
    <n v="0"/>
    <n v="496.48"/>
    <n v="723.48"/>
    <m/>
    <n v="723.47999999999956"/>
    <m/>
    <n v="553.5"/>
    <n v="681"/>
    <n v="1576.93"/>
    <n v="0"/>
    <n v="0"/>
    <n v="5000"/>
    <n v="0"/>
    <n v="0"/>
    <n v="0"/>
    <n v="0"/>
    <n v="0"/>
    <n v="5000"/>
    <n v="12811.43"/>
    <n v="553.5"/>
    <n v="681"/>
    <n v="1576.93"/>
    <n v="0"/>
    <n v="0"/>
    <n v="5000"/>
    <n v="0"/>
    <n v="0"/>
    <n v="0"/>
    <n v="0"/>
    <n v="0"/>
    <n v="5000"/>
    <n v="12811.43"/>
  </r>
  <r>
    <x v="360"/>
    <x v="360"/>
    <s v="ERP"/>
    <x v="0"/>
    <x v="9"/>
    <s v="Maguire, Karla"/>
    <x v="0"/>
    <x v="200"/>
    <m/>
    <m/>
    <s v="IT-FGS0300-SW-US-00"/>
    <m/>
    <s v="N/A"/>
    <m/>
    <s v="Copilot"/>
    <m/>
    <m/>
    <n v="550"/>
    <n v="777"/>
    <m/>
    <m/>
    <m/>
    <n v="227"/>
    <n v="0"/>
    <n v="0"/>
    <n v="454"/>
    <n v="0"/>
    <n v="0"/>
    <n v="0"/>
    <n v="0"/>
    <n v="0"/>
    <n v="0"/>
    <n v="0"/>
    <n v="681"/>
    <n v="-96"/>
    <n v="0"/>
    <n v="454"/>
    <n v="-96"/>
    <m/>
    <n v="-96"/>
    <m/>
    <m/>
    <n v="227"/>
    <n v="0"/>
    <n v="550"/>
    <n v="0"/>
    <n v="0"/>
    <n v="0"/>
    <n v="0"/>
    <n v="0"/>
    <n v="0"/>
    <n v="0"/>
    <n v="0"/>
    <n v="777"/>
    <m/>
    <n v="227"/>
    <n v="0"/>
    <n v="550"/>
    <n v="0"/>
    <n v="0"/>
    <n v="0"/>
    <n v="0"/>
    <n v="0"/>
    <n v="0"/>
    <n v="0"/>
    <n v="0"/>
    <n v="777"/>
  </r>
  <r>
    <x v="361"/>
    <x v="361"/>
    <s v="ERP"/>
    <x v="2"/>
    <x v="11"/>
    <s v="McGettigan, David"/>
    <x v="0"/>
    <x v="200"/>
    <m/>
    <m/>
    <s v="IT-FGS0300-SW-US-00"/>
    <m/>
    <s v="N/A"/>
    <m/>
    <s v="Copilot"/>
    <m/>
    <m/>
    <n v="0"/>
    <n v="934.17"/>
    <m/>
    <m/>
    <n v="253.17"/>
    <n v="681"/>
    <n v="0"/>
    <n v="0"/>
    <n v="681"/>
    <n v="0"/>
    <n v="0"/>
    <n v="0"/>
    <n v="0"/>
    <n v="0"/>
    <n v="0"/>
    <n v="0"/>
    <n v="1615.17"/>
    <n v="681.00000000000011"/>
    <n v="0"/>
    <n v="681"/>
    <n v="681.00000000000011"/>
    <m/>
    <n v="681.00000000000011"/>
    <m/>
    <n v="253.17"/>
    <n v="681"/>
    <n v="0"/>
    <n v="0"/>
    <n v="0"/>
    <n v="0"/>
    <n v="0"/>
    <n v="0"/>
    <n v="0"/>
    <n v="0"/>
    <n v="0"/>
    <n v="0"/>
    <n v="934.17"/>
    <n v="253.17"/>
    <n v="681"/>
    <n v="0"/>
    <n v="0"/>
    <n v="0"/>
    <n v="0"/>
    <n v="0"/>
    <n v="0"/>
    <n v="0"/>
    <n v="0"/>
    <n v="0"/>
    <n v="0"/>
    <n v="934.17"/>
  </r>
  <r>
    <x v="362"/>
    <x v="362"/>
    <s v="ERP"/>
    <x v="3"/>
    <x v="14"/>
    <s v="Robertson, Jerome"/>
    <x v="0"/>
    <x v="200"/>
    <m/>
    <m/>
    <s v="IT-FGS0300-SW-US-00"/>
    <m/>
    <s v="N/A"/>
    <m/>
    <s v="Copilot"/>
    <m/>
    <m/>
    <n v="838.44"/>
    <n v="1759.95"/>
    <m/>
    <m/>
    <m/>
    <n v="921.51"/>
    <n v="0"/>
    <n v="717.38"/>
    <n v="227"/>
    <n v="0"/>
    <n v="0"/>
    <n v="550"/>
    <n v="288.44"/>
    <n v="0"/>
    <n v="0"/>
    <n v="0"/>
    <n v="2704.33"/>
    <n v="944.37999999999988"/>
    <n v="0"/>
    <n v="227"/>
    <n v="944.37999999999988"/>
    <m/>
    <n v="944.37999999999988"/>
    <m/>
    <m/>
    <n v="921.51"/>
    <n v="0"/>
    <n v="0"/>
    <n v="0"/>
    <n v="0"/>
    <n v="0"/>
    <n v="550"/>
    <n v="288.44"/>
    <n v="0"/>
    <n v="0"/>
    <n v="0"/>
    <n v="1759.95"/>
    <m/>
    <n v="921.51"/>
    <n v="0"/>
    <n v="0"/>
    <n v="0"/>
    <n v="0"/>
    <n v="0"/>
    <n v="550"/>
    <n v="288.44"/>
    <n v="0"/>
    <n v="0"/>
    <n v="0"/>
    <n v="1759.95"/>
  </r>
  <r>
    <x v="363"/>
    <x v="363"/>
    <s v="ERP"/>
    <x v="1"/>
    <x v="12"/>
    <s v="DeHart, Lynn"/>
    <x v="1"/>
    <x v="157"/>
    <m/>
    <m/>
    <s v="IT-FGS0301-OG-US-00"/>
    <m/>
    <s v="N/A"/>
    <m/>
    <s v="EP&amp;S"/>
    <m/>
    <m/>
    <n v="60000"/>
    <n v="76216.11"/>
    <m/>
    <m/>
    <n v="14407.17"/>
    <n v="13803.08"/>
    <n v="3005.86"/>
    <n v="15296.21"/>
    <n v="17035.269999999997"/>
    <n v="5000"/>
    <n v="5000"/>
    <n v="5000"/>
    <n v="5000"/>
    <n v="5000"/>
    <n v="5000"/>
    <n v="5000"/>
    <n v="98547.59"/>
    <n v="22331.479999999996"/>
    <n v="5000"/>
    <n v="12035.269999999997"/>
    <n v="22331.479999999996"/>
    <m/>
    <n v="22331.479999999996"/>
    <m/>
    <n v="14407.17"/>
    <n v="13803.08"/>
    <n v="3005.86"/>
    <n v="5000"/>
    <n v="5000"/>
    <n v="5000"/>
    <n v="5000"/>
    <n v="5000"/>
    <n v="5000"/>
    <n v="5000"/>
    <n v="5000"/>
    <n v="5000"/>
    <n v="76216.11"/>
    <n v="14407.17"/>
    <n v="13803.08"/>
    <n v="3005.86"/>
    <n v="5000"/>
    <n v="5000"/>
    <n v="5000"/>
    <n v="5000"/>
    <n v="5000"/>
    <n v="5000"/>
    <n v="5000"/>
    <n v="5000"/>
    <n v="5000"/>
    <n v="76216.11"/>
  </r>
  <r>
    <x v="364"/>
    <x v="364"/>
    <s v="ERP"/>
    <x v="0"/>
    <x v="0"/>
    <s v="Maguire, Karla"/>
    <x v="1"/>
    <x v="157"/>
    <m/>
    <m/>
    <s v="IT-FGS0301-OG-US-00"/>
    <m/>
    <s v="N/A"/>
    <m/>
    <s v="EP&amp;S"/>
    <m/>
    <m/>
    <n v="120000"/>
    <n v="141134"/>
    <m/>
    <m/>
    <n v="17770"/>
    <n v="18328"/>
    <n v="15036"/>
    <n v="16438"/>
    <n v="18792"/>
    <n v="10000"/>
    <n v="10000"/>
    <n v="10000"/>
    <n v="10000"/>
    <n v="10000"/>
    <n v="10000"/>
    <n v="10000"/>
    <n v="156364"/>
    <n v="15230"/>
    <n v="10000"/>
    <n v="8792"/>
    <n v="15230"/>
    <m/>
    <n v="15230"/>
    <m/>
    <n v="17770"/>
    <n v="18328"/>
    <n v="15036"/>
    <n v="10000"/>
    <n v="10000"/>
    <n v="10000"/>
    <n v="10000"/>
    <n v="10000"/>
    <n v="10000"/>
    <n v="10000"/>
    <n v="10000"/>
    <n v="10000"/>
    <n v="141134"/>
    <n v="17770"/>
    <n v="18328"/>
    <n v="15036"/>
    <n v="10000"/>
    <n v="10000"/>
    <n v="10000"/>
    <n v="10000"/>
    <n v="10000"/>
    <n v="10000"/>
    <n v="10000"/>
    <n v="10000"/>
    <n v="10000"/>
    <n v="141134"/>
  </r>
  <r>
    <x v="365"/>
    <x v="365"/>
    <s v="ERP"/>
    <x v="1"/>
    <x v="5"/>
    <s v="DeHart, Lynn"/>
    <x v="1"/>
    <x v="157"/>
    <m/>
    <m/>
    <s v="IT-FGS0301-OG-US-00"/>
    <m/>
    <s v="N/A"/>
    <m/>
    <s v="EP&amp;S"/>
    <m/>
    <m/>
    <n v="26400"/>
    <n v="26962"/>
    <m/>
    <m/>
    <n v="2359"/>
    <n v="1615"/>
    <n v="3188"/>
    <n v="2158"/>
    <n v="2091"/>
    <n v="2200"/>
    <n v="2200"/>
    <n v="2200"/>
    <n v="2200"/>
    <n v="2200"/>
    <n v="2200"/>
    <n v="2200"/>
    <n v="26811"/>
    <n v="-151"/>
    <n v="2200"/>
    <n v="-109"/>
    <n v="-151"/>
    <m/>
    <n v="-151"/>
    <m/>
    <n v="2359"/>
    <n v="1615"/>
    <n v="3188"/>
    <n v="2200"/>
    <n v="2200"/>
    <n v="2200"/>
    <n v="2200"/>
    <n v="2200"/>
    <n v="2200"/>
    <n v="2200"/>
    <n v="2200"/>
    <n v="2200"/>
    <n v="26962"/>
    <n v="2359"/>
    <n v="1615"/>
    <n v="3188"/>
    <n v="2200"/>
    <n v="2200"/>
    <n v="2200"/>
    <n v="2200"/>
    <n v="2200"/>
    <n v="2200"/>
    <n v="2200"/>
    <n v="2200"/>
    <n v="2200"/>
    <n v="26962"/>
  </r>
  <r>
    <x v="366"/>
    <x v="366"/>
    <s v="ERP"/>
    <x v="1"/>
    <x v="3"/>
    <s v="DeHart, Lynn"/>
    <x v="1"/>
    <x v="157"/>
    <m/>
    <m/>
    <s v="IT-FGS0301-OG-US-00"/>
    <m/>
    <s v="N/A"/>
    <m/>
    <s v="EP&amp;S"/>
    <m/>
    <m/>
    <n v="19176"/>
    <n v="21479"/>
    <m/>
    <m/>
    <n v="1566"/>
    <n v="1439"/>
    <n v="4092"/>
    <n v="1259"/>
    <n v="1259"/>
    <n v="1598"/>
    <n v="1598"/>
    <n v="1598"/>
    <n v="1598"/>
    <n v="1598"/>
    <n v="1598"/>
    <n v="1598"/>
    <n v="20801"/>
    <n v="-678"/>
    <n v="1598"/>
    <n v="-339"/>
    <n v="-678"/>
    <m/>
    <n v="-678"/>
    <m/>
    <n v="1566"/>
    <n v="1439"/>
    <n v="4092"/>
    <n v="1598"/>
    <n v="1598"/>
    <n v="1598"/>
    <n v="1598"/>
    <n v="1598"/>
    <n v="1598"/>
    <n v="1598"/>
    <n v="1598"/>
    <n v="1598"/>
    <n v="21479"/>
    <n v="1566"/>
    <n v="1439"/>
    <n v="4092"/>
    <n v="1598"/>
    <n v="1598"/>
    <n v="1598"/>
    <n v="1598"/>
    <n v="1598"/>
    <n v="1598"/>
    <n v="1598"/>
    <n v="1598"/>
    <n v="1598"/>
    <n v="21479"/>
  </r>
  <r>
    <x v="367"/>
    <x v="367"/>
    <s v="ERP"/>
    <x v="1"/>
    <x v="13"/>
    <s v="DeHart, Lynn"/>
    <x v="1"/>
    <x v="157"/>
    <m/>
    <m/>
    <s v="IT-FGS0301-OG-US-00"/>
    <m/>
    <s v="N/A"/>
    <m/>
    <s v="EP&amp;S"/>
    <m/>
    <m/>
    <n v="36000"/>
    <n v="34822"/>
    <m/>
    <m/>
    <n v="2137"/>
    <n v="1809"/>
    <n v="3876"/>
    <n v="1749"/>
    <n v="1548"/>
    <n v="3000"/>
    <n v="3000"/>
    <n v="3000"/>
    <n v="3000"/>
    <n v="3000"/>
    <n v="3000"/>
    <n v="3000"/>
    <n v="32119"/>
    <n v="-2703"/>
    <n v="3000"/>
    <n v="-1452"/>
    <n v="-2703"/>
    <m/>
    <n v="-2703"/>
    <m/>
    <n v="2137"/>
    <n v="1809"/>
    <n v="3876"/>
    <n v="3000"/>
    <n v="3000"/>
    <n v="3000"/>
    <n v="3000"/>
    <n v="3000"/>
    <n v="3000"/>
    <n v="3000"/>
    <n v="3000"/>
    <n v="3000"/>
    <n v="34822"/>
    <n v="2137"/>
    <n v="1809"/>
    <n v="3876"/>
    <n v="3000"/>
    <n v="3000"/>
    <n v="3000"/>
    <n v="3000"/>
    <n v="3000"/>
    <n v="3000"/>
    <n v="3000"/>
    <n v="3000"/>
    <n v="3000"/>
    <n v="34822"/>
  </r>
  <r>
    <x v="368"/>
    <x v="368"/>
    <s v="ERP"/>
    <x v="1"/>
    <x v="4"/>
    <s v="DeHart, Lynn"/>
    <x v="1"/>
    <x v="157"/>
    <m/>
    <m/>
    <s v="IT-FGS0301-OG-US-00"/>
    <m/>
    <s v="N/A"/>
    <m/>
    <s v="EP&amp;S"/>
    <m/>
    <m/>
    <n v="27000"/>
    <n v="26481"/>
    <m/>
    <m/>
    <n v="1883"/>
    <n v="1481"/>
    <n v="2867"/>
    <n v="1442"/>
    <n v="1442"/>
    <n v="2250"/>
    <n v="2250"/>
    <n v="2250"/>
    <n v="2250"/>
    <n v="2250"/>
    <n v="2250"/>
    <n v="2250"/>
    <n v="24865"/>
    <n v="-1616"/>
    <n v="2250"/>
    <n v="-808"/>
    <n v="-1616"/>
    <m/>
    <n v="-1616"/>
    <m/>
    <n v="1883"/>
    <n v="1481"/>
    <n v="2867"/>
    <n v="2250"/>
    <n v="2250"/>
    <n v="2250"/>
    <n v="2250"/>
    <n v="2250"/>
    <n v="2250"/>
    <n v="2250"/>
    <n v="2250"/>
    <n v="2250"/>
    <n v="26481"/>
    <n v="1883"/>
    <n v="1481"/>
    <n v="2867"/>
    <n v="2250"/>
    <n v="2250"/>
    <n v="2250"/>
    <n v="2250"/>
    <n v="2250"/>
    <n v="2250"/>
    <n v="2250"/>
    <n v="2250"/>
    <n v="2250"/>
    <n v="26481"/>
  </r>
  <r>
    <x v="369"/>
    <x v="369"/>
    <s v="ERP"/>
    <x v="1"/>
    <x v="6"/>
    <s v="DeHart, Lynn"/>
    <x v="1"/>
    <x v="157"/>
    <m/>
    <m/>
    <s v="IT-FGS0301-OG-US-00"/>
    <m/>
    <s v="N/A"/>
    <m/>
    <s v="EP&amp;S"/>
    <m/>
    <m/>
    <n v="0"/>
    <n v="3562"/>
    <m/>
    <m/>
    <n v="60"/>
    <n v="0"/>
    <n v="3502"/>
    <n v="0"/>
    <n v="0"/>
    <n v="0"/>
    <n v="0"/>
    <n v="0"/>
    <n v="0"/>
    <n v="0"/>
    <n v="0"/>
    <n v="0"/>
    <n v="3562"/>
    <n v="0"/>
    <n v="0"/>
    <n v="0"/>
    <n v="0"/>
    <m/>
    <n v="0"/>
    <m/>
    <n v="60"/>
    <n v="0"/>
    <n v="3502"/>
    <n v="0"/>
    <n v="0"/>
    <n v="0"/>
    <n v="0"/>
    <n v="0"/>
    <n v="0"/>
    <n v="0"/>
    <n v="0"/>
    <n v="0"/>
    <n v="3562"/>
    <n v="60"/>
    <n v="0"/>
    <n v="3502"/>
    <n v="0"/>
    <n v="0"/>
    <n v="0"/>
    <n v="0"/>
    <n v="0"/>
    <n v="0"/>
    <n v="0"/>
    <n v="0"/>
    <n v="0"/>
    <n v="3562"/>
  </r>
  <r>
    <x v="370"/>
    <x v="370"/>
    <s v="ERP"/>
    <x v="0"/>
    <x v="10"/>
    <s v="Maguire, Karla"/>
    <x v="1"/>
    <x v="157"/>
    <m/>
    <m/>
    <s v="IT-FGS0301-OG-US-00"/>
    <m/>
    <s v="N/A"/>
    <m/>
    <s v="EP&amp;S"/>
    <m/>
    <m/>
    <n v="0"/>
    <n v="12459.34"/>
    <m/>
    <m/>
    <n v="3067.29"/>
    <n v="2981.39"/>
    <n v="1910.66"/>
    <n v="1410.86"/>
    <n v="2830.8900000000003"/>
    <n v="500"/>
    <n v="500"/>
    <n v="500"/>
    <n v="500"/>
    <n v="500"/>
    <n v="500"/>
    <n v="500"/>
    <n v="15701.09"/>
    <n v="3241.75"/>
    <n v="500"/>
    <n v="2330.8900000000003"/>
    <n v="3241.75"/>
    <m/>
    <n v="3241.75"/>
    <m/>
    <n v="3067.29"/>
    <n v="2981.39"/>
    <n v="1910.66"/>
    <n v="500"/>
    <n v="500"/>
    <n v="500"/>
    <n v="500"/>
    <n v="500"/>
    <n v="500"/>
    <n v="500"/>
    <n v="500"/>
    <n v="500"/>
    <n v="12459.34"/>
    <n v="3067.29"/>
    <n v="2981.39"/>
    <n v="1910.66"/>
    <n v="500"/>
    <n v="500"/>
    <n v="500"/>
    <n v="500"/>
    <n v="500"/>
    <n v="500"/>
    <n v="500"/>
    <n v="500"/>
    <n v="500"/>
    <n v="12459.34"/>
  </r>
  <r>
    <x v="371"/>
    <x v="371"/>
    <s v="ERP"/>
    <x v="0"/>
    <x v="9"/>
    <s v="Maguire, Karla"/>
    <x v="1"/>
    <x v="157"/>
    <m/>
    <m/>
    <s v="IT-FGS0301-OG-US-00"/>
    <m/>
    <s v="N/A"/>
    <m/>
    <s v="EP&amp;S"/>
    <m/>
    <m/>
    <n v="42000"/>
    <n v="31512"/>
    <m/>
    <m/>
    <n v="3202"/>
    <n v="2807"/>
    <n v="240"/>
    <n v="2458"/>
    <n v="2458"/>
    <n v="2807"/>
    <n v="2807"/>
    <n v="2807"/>
    <n v="2807"/>
    <n v="2807"/>
    <n v="2807"/>
    <n v="2807"/>
    <n v="30814"/>
    <n v="-698"/>
    <n v="2807"/>
    <n v="-349"/>
    <n v="-698"/>
    <m/>
    <n v="-698"/>
    <m/>
    <n v="3202"/>
    <n v="2807"/>
    <n v="240"/>
    <n v="2807"/>
    <n v="2807"/>
    <n v="2807"/>
    <n v="2807"/>
    <n v="2807"/>
    <n v="2807"/>
    <n v="2807"/>
    <n v="2807"/>
    <n v="2807"/>
    <n v="31512"/>
    <n v="3202"/>
    <n v="2807"/>
    <n v="240"/>
    <n v="2807"/>
    <n v="2807"/>
    <n v="2807"/>
    <n v="2807"/>
    <n v="2807"/>
    <n v="2807"/>
    <n v="2807"/>
    <n v="2807"/>
    <n v="2807"/>
    <n v="31512"/>
  </r>
  <r>
    <x v="372"/>
    <x v="372"/>
    <s v="ERP"/>
    <x v="2"/>
    <x v="11"/>
    <s v="McGettigan, David"/>
    <x v="1"/>
    <x v="157"/>
    <m/>
    <m/>
    <s v="IT-FGS0301-OG-US-00"/>
    <m/>
    <s v="N/A"/>
    <m/>
    <s v="EP&amp;S"/>
    <m/>
    <m/>
    <n v="0"/>
    <n v="882"/>
    <m/>
    <m/>
    <n v="194"/>
    <n v="194"/>
    <n v="494"/>
    <n v="688"/>
    <n v="501"/>
    <n v="0"/>
    <n v="0"/>
    <n v="0"/>
    <n v="0"/>
    <n v="0"/>
    <n v="0"/>
    <n v="0"/>
    <n v="2071"/>
    <n v="1189"/>
    <n v="0"/>
    <n v="501"/>
    <n v="1189"/>
    <m/>
    <n v="1189"/>
    <m/>
    <n v="194"/>
    <n v="194"/>
    <n v="494"/>
    <n v="0"/>
    <n v="0"/>
    <n v="0"/>
    <n v="0"/>
    <n v="0"/>
    <n v="0"/>
    <n v="0"/>
    <n v="0"/>
    <n v="0"/>
    <n v="882"/>
    <n v="194"/>
    <n v="194"/>
    <n v="494"/>
    <n v="0"/>
    <n v="0"/>
    <n v="0"/>
    <n v="0"/>
    <n v="0"/>
    <n v="0"/>
    <n v="0"/>
    <n v="0"/>
    <n v="0"/>
    <n v="882"/>
  </r>
  <r>
    <x v="373"/>
    <x v="373"/>
    <s v="ERP"/>
    <x v="0"/>
    <x v="8"/>
    <s v="Maguire, Karla"/>
    <x v="1"/>
    <x v="157"/>
    <m/>
    <m/>
    <s v="IT-FGS0301-OG-US-00"/>
    <m/>
    <s v="N/A"/>
    <m/>
    <s v="EP&amp;S"/>
    <m/>
    <m/>
    <n v="0"/>
    <n v="3535"/>
    <m/>
    <m/>
    <n v="60"/>
    <n v="0"/>
    <n v="3475"/>
    <n v="0"/>
    <n v="0"/>
    <n v="0"/>
    <n v="0"/>
    <n v="0"/>
    <n v="0"/>
    <n v="0"/>
    <n v="0"/>
    <n v="0"/>
    <n v="3535"/>
    <n v="0"/>
    <n v="0"/>
    <n v="0"/>
    <n v="0"/>
    <m/>
    <n v="0"/>
    <m/>
    <n v="60"/>
    <n v="0"/>
    <n v="3475"/>
    <n v="0"/>
    <n v="0"/>
    <n v="0"/>
    <n v="0"/>
    <n v="0"/>
    <n v="0"/>
    <n v="0"/>
    <n v="0"/>
    <n v="0"/>
    <n v="3535"/>
    <n v="60"/>
    <n v="0"/>
    <n v="3475"/>
    <n v="0"/>
    <n v="0"/>
    <n v="0"/>
    <n v="0"/>
    <n v="0"/>
    <n v="0"/>
    <n v="0"/>
    <n v="0"/>
    <n v="0"/>
    <n v="3535"/>
  </r>
  <r>
    <x v="374"/>
    <x v="374"/>
    <s v="ERP"/>
    <x v="0"/>
    <x v="15"/>
    <s v="Maguire, Karla"/>
    <x v="1"/>
    <x v="157"/>
    <m/>
    <m/>
    <s v="IT-FGS0301-OG-US-00"/>
    <m/>
    <s v="N/A"/>
    <m/>
    <s v="EP&amp;S"/>
    <m/>
    <m/>
    <n v="0"/>
    <n v="1245"/>
    <m/>
    <m/>
    <m/>
    <m/>
    <n v="1245"/>
    <n v="0"/>
    <n v="0"/>
    <n v="0"/>
    <n v="0"/>
    <n v="0"/>
    <n v="0"/>
    <n v="0"/>
    <n v="0"/>
    <n v="0"/>
    <n v="1245"/>
    <n v="0"/>
    <n v="0"/>
    <n v="0"/>
    <n v="0"/>
    <m/>
    <n v="0"/>
    <m/>
    <m/>
    <m/>
    <n v="1245"/>
    <n v="0"/>
    <n v="0"/>
    <n v="0"/>
    <n v="0"/>
    <n v="0"/>
    <n v="0"/>
    <n v="0"/>
    <n v="0"/>
    <n v="0"/>
    <n v="1245"/>
    <m/>
    <m/>
    <n v="1245"/>
    <n v="0"/>
    <n v="0"/>
    <n v="0"/>
    <n v="0"/>
    <n v="0"/>
    <n v="0"/>
    <n v="0"/>
    <n v="0"/>
    <n v="0"/>
    <n v="1245"/>
  </r>
  <r>
    <x v="375"/>
    <x v="375"/>
    <s v="ERP"/>
    <x v="3"/>
    <x v="14"/>
    <s v="Robertson, Jerome"/>
    <x v="1"/>
    <x v="157"/>
    <m/>
    <m/>
    <s v="IT-FGS0301-OG-US-00"/>
    <m/>
    <s v="N/A"/>
    <m/>
    <s v="EP&amp;S"/>
    <m/>
    <m/>
    <n v="0"/>
    <n v="11571"/>
    <m/>
    <m/>
    <n v="681"/>
    <n v="981"/>
    <n v="2709"/>
    <n v="2441"/>
    <n v="2448"/>
    <n v="800"/>
    <n v="800"/>
    <n v="800"/>
    <n v="800"/>
    <n v="800"/>
    <n v="800"/>
    <n v="800"/>
    <n v="14860"/>
    <n v="3289"/>
    <n v="800"/>
    <n v="1648"/>
    <n v="3289"/>
    <m/>
    <n v="3289"/>
    <m/>
    <n v="681"/>
    <n v="981"/>
    <n v="2709"/>
    <n v="800"/>
    <n v="800"/>
    <n v="800"/>
    <n v="800"/>
    <n v="800"/>
    <n v="800"/>
    <n v="800"/>
    <n v="800"/>
    <n v="800"/>
    <n v="11571"/>
    <n v="681"/>
    <n v="981"/>
    <n v="2709"/>
    <n v="800"/>
    <n v="800"/>
    <n v="800"/>
    <n v="800"/>
    <n v="800"/>
    <n v="800"/>
    <n v="800"/>
    <n v="800"/>
    <n v="800"/>
    <n v="11571"/>
  </r>
  <r>
    <x v="376"/>
    <x v="376"/>
    <s v="ERP"/>
    <x v="0"/>
    <x v="1"/>
    <s v="Maguire, Karla"/>
    <x v="1"/>
    <x v="157"/>
    <m/>
    <m/>
    <s v="IT-FGS0301-OG-US-00"/>
    <m/>
    <s v="N/A"/>
    <m/>
    <s v="EP&amp;S"/>
    <m/>
    <m/>
    <n v="120000"/>
    <n v="114396"/>
    <m/>
    <m/>
    <n v="8661"/>
    <n v="6471"/>
    <n v="9264"/>
    <n v="5219"/>
    <n v="5092"/>
    <n v="10000"/>
    <n v="10000"/>
    <n v="10000"/>
    <n v="10000"/>
    <n v="10000"/>
    <n v="10000"/>
    <n v="10000"/>
    <n v="104707"/>
    <n v="-9689"/>
    <n v="10000"/>
    <n v="-4908"/>
    <n v="-9689"/>
    <m/>
    <n v="-9689"/>
    <m/>
    <n v="8661"/>
    <n v="6471"/>
    <n v="9264"/>
    <n v="10000"/>
    <n v="10000"/>
    <n v="10000"/>
    <n v="10000"/>
    <n v="10000"/>
    <n v="10000"/>
    <n v="10000"/>
    <n v="10000"/>
    <n v="10000"/>
    <n v="114396"/>
    <n v="8661"/>
    <n v="6471"/>
    <n v="9264"/>
    <n v="10000"/>
    <n v="10000"/>
    <n v="10000"/>
    <n v="10000"/>
    <n v="10000"/>
    <n v="10000"/>
    <n v="10000"/>
    <n v="10000"/>
    <n v="10000"/>
    <n v="114396"/>
  </r>
  <r>
    <x v="377"/>
    <x v="377"/>
    <s v="ERP"/>
    <x v="1"/>
    <x v="16"/>
    <s v="DeHart, Lynn"/>
    <x v="1"/>
    <x v="157"/>
    <m/>
    <m/>
    <s v="IT-FGS0301-OG-US-00"/>
    <m/>
    <s v="N/A"/>
    <m/>
    <s v="EP&amp;S"/>
    <s v="Sachin (4/30): Not managed by me"/>
    <m/>
    <n v="18852"/>
    <n v="18092"/>
    <m/>
    <m/>
    <n v="1206"/>
    <n v="1139"/>
    <n v="1608"/>
    <n v="1206"/>
    <n v="1206"/>
    <n v="1571"/>
    <n v="1571"/>
    <n v="1571"/>
    <n v="1571"/>
    <n v="1571"/>
    <n v="1571"/>
    <n v="1571"/>
    <n v="17362"/>
    <n v="-730"/>
    <n v="1571"/>
    <n v="-365"/>
    <n v="-730"/>
    <m/>
    <n v="-730"/>
    <m/>
    <n v="1206"/>
    <n v="1139"/>
    <n v="1608"/>
    <n v="1571"/>
    <n v="1571"/>
    <n v="1571"/>
    <n v="1571"/>
    <n v="1571"/>
    <n v="1571"/>
    <n v="1571"/>
    <n v="1571"/>
    <n v="1571"/>
    <n v="18092"/>
    <n v="1206"/>
    <n v="1139"/>
    <n v="1608"/>
    <n v="1571"/>
    <n v="1571"/>
    <n v="1571"/>
    <n v="1571"/>
    <n v="1571"/>
    <n v="1571"/>
    <n v="1571"/>
    <n v="1571"/>
    <n v="1571"/>
    <n v="18092"/>
  </r>
  <r>
    <x v="378"/>
    <x v="378"/>
    <s v="ERP"/>
    <x v="1"/>
    <x v="2"/>
    <s v="DeHart, Lynn"/>
    <x v="1"/>
    <x v="157"/>
    <m/>
    <m/>
    <s v="IT-FGS0301-OG-US-00"/>
    <m/>
    <s v="N/A"/>
    <m/>
    <s v="EP&amp;S"/>
    <m/>
    <m/>
    <n v="22800"/>
    <n v="20679"/>
    <m/>
    <m/>
    <n v="1636"/>
    <n v="1153"/>
    <n v="790"/>
    <n v="1287"/>
    <n v="1227"/>
    <n v="1900"/>
    <n v="1900"/>
    <n v="1900"/>
    <n v="1900"/>
    <n v="1900"/>
    <n v="1900"/>
    <n v="1900"/>
    <n v="19393"/>
    <n v="-1286"/>
    <n v="1900"/>
    <n v="-673"/>
    <n v="-1286"/>
    <m/>
    <n v="-1286"/>
    <m/>
    <n v="1636"/>
    <n v="1153"/>
    <n v="790"/>
    <n v="1900"/>
    <n v="1900"/>
    <n v="1900"/>
    <n v="1900"/>
    <n v="1900"/>
    <n v="1900"/>
    <n v="1900"/>
    <n v="1900"/>
    <n v="1900"/>
    <n v="20679"/>
    <n v="1636"/>
    <n v="1153"/>
    <n v="790"/>
    <n v="1900"/>
    <n v="1900"/>
    <n v="1900"/>
    <n v="1900"/>
    <n v="1900"/>
    <n v="1900"/>
    <n v="1900"/>
    <n v="1900"/>
    <n v="1900"/>
    <n v="20679"/>
  </r>
  <r>
    <x v="379"/>
    <x v="379"/>
    <s v="ERP"/>
    <x v="1"/>
    <x v="6"/>
    <s v="Jajodia, Amit"/>
    <x v="0"/>
    <x v="201"/>
    <m/>
    <s v="1639002"/>
    <s v="IT-FGS0302-SW-US-00"/>
    <m/>
    <m/>
    <m/>
    <m/>
    <m/>
    <m/>
    <m/>
    <m/>
    <m/>
    <m/>
    <m/>
    <m/>
    <m/>
    <m/>
    <n v="417.44"/>
    <m/>
    <m/>
    <m/>
    <m/>
    <m/>
    <m/>
    <m/>
    <n v="417.44"/>
    <n v="417.44"/>
    <m/>
    <n v="417.44"/>
    <n v="417.44"/>
    <m/>
    <n v="417.44"/>
    <m/>
    <m/>
    <m/>
    <m/>
    <m/>
    <m/>
    <m/>
    <m/>
    <m/>
    <m/>
    <m/>
    <m/>
    <m/>
    <m/>
    <m/>
    <m/>
    <m/>
    <m/>
    <m/>
    <m/>
    <m/>
    <m/>
    <m/>
    <m/>
    <m/>
    <m/>
    <m/>
  </r>
  <r>
    <x v="380"/>
    <x v="380"/>
    <s v="ERP"/>
    <x v="1"/>
    <x v="12"/>
    <s v="DeHart, Lynn"/>
    <x v="0"/>
    <x v="202"/>
    <m/>
    <m/>
    <s v="IT-FGS0302-SW-US-00"/>
    <m/>
    <s v="N/A"/>
    <m/>
    <s v="M365 / O365"/>
    <m/>
    <m/>
    <n v="36000"/>
    <n v="46414.39"/>
    <m/>
    <m/>
    <n v="6465"/>
    <n v="5197.6400000000003"/>
    <n v="7751.75"/>
    <n v="17671"/>
    <n v="9482"/>
    <n v="3000"/>
    <n v="3000"/>
    <n v="3000"/>
    <n v="3000"/>
    <n v="3000"/>
    <n v="3000"/>
    <n v="3000"/>
    <n v="67567.39"/>
    <n v="21153"/>
    <n v="3000"/>
    <n v="6482"/>
    <n v="21153"/>
    <m/>
    <n v="21153"/>
    <m/>
    <n v="6465"/>
    <n v="5197.6400000000003"/>
    <n v="7751.75"/>
    <n v="3000"/>
    <n v="3000"/>
    <n v="3000"/>
    <n v="3000"/>
    <n v="3000"/>
    <n v="3000"/>
    <n v="3000"/>
    <n v="3000"/>
    <n v="3000"/>
    <n v="46414.39"/>
    <n v="6465"/>
    <n v="5197.6400000000003"/>
    <n v="7751.75"/>
    <n v="3000"/>
    <n v="3000"/>
    <n v="3000"/>
    <n v="3000"/>
    <n v="3000"/>
    <n v="3000"/>
    <n v="3000"/>
    <n v="3000"/>
    <n v="3000"/>
    <n v="46414.39"/>
  </r>
  <r>
    <x v="381"/>
    <x v="381"/>
    <s v="ERP"/>
    <x v="0"/>
    <x v="0"/>
    <s v="Maguire, Karla"/>
    <x v="0"/>
    <x v="202"/>
    <m/>
    <m/>
    <s v="IT-FGS0302-SW-US-00"/>
    <s v="CHW - F/U"/>
    <s v="N/A"/>
    <m/>
    <s v="M365 / O365"/>
    <m/>
    <m/>
    <n v="180000"/>
    <n v="164308"/>
    <m/>
    <m/>
    <n v="8189"/>
    <n v="13361"/>
    <n v="7758"/>
    <n v="16378"/>
    <n v="11637"/>
    <n v="15000"/>
    <n v="15000"/>
    <n v="15000"/>
    <n v="15000"/>
    <n v="15000"/>
    <n v="15000"/>
    <n v="15000"/>
    <n v="162323"/>
    <n v="-1985"/>
    <n v="15000"/>
    <n v="-3363"/>
    <n v="-1985"/>
    <m/>
    <n v="-1985"/>
    <m/>
    <n v="8189"/>
    <n v="13361"/>
    <n v="7758"/>
    <n v="15000"/>
    <n v="15000"/>
    <n v="15000"/>
    <n v="15000"/>
    <n v="15000"/>
    <n v="15000"/>
    <n v="15000"/>
    <n v="15000"/>
    <n v="15000"/>
    <n v="164308"/>
    <n v="8189"/>
    <n v="13361"/>
    <n v="7758"/>
    <n v="15000"/>
    <n v="15000"/>
    <n v="15000"/>
    <n v="15000"/>
    <n v="15000"/>
    <n v="15000"/>
    <n v="15000"/>
    <n v="15000"/>
    <n v="15000"/>
    <n v="164308"/>
  </r>
  <r>
    <x v="382"/>
    <x v="382"/>
    <s v="ERP"/>
    <x v="1"/>
    <x v="5"/>
    <s v="DeHart, Lynn"/>
    <x v="0"/>
    <x v="202"/>
    <m/>
    <m/>
    <s v="IT-FGS0302-SW-US-00"/>
    <m/>
    <s v="N/A"/>
    <m/>
    <s v="M365 / O365"/>
    <m/>
    <m/>
    <n v="6000"/>
    <n v="4931"/>
    <m/>
    <m/>
    <n v="431"/>
    <n v="0"/>
    <n v="0"/>
    <n v="0"/>
    <n v="0"/>
    <n v="500"/>
    <n v="500"/>
    <n v="500"/>
    <n v="500"/>
    <n v="500"/>
    <n v="500"/>
    <n v="500"/>
    <n v="3931"/>
    <n v="-1000"/>
    <n v="500"/>
    <n v="-500"/>
    <n v="-1000"/>
    <m/>
    <n v="-1000"/>
    <m/>
    <n v="431"/>
    <n v="0"/>
    <n v="0"/>
    <n v="500"/>
    <n v="500"/>
    <n v="500"/>
    <n v="500"/>
    <n v="500"/>
    <n v="500"/>
    <n v="500"/>
    <n v="500"/>
    <n v="500"/>
    <n v="4931"/>
    <n v="431"/>
    <n v="0"/>
    <n v="0"/>
    <n v="500"/>
    <n v="500"/>
    <n v="500"/>
    <n v="500"/>
    <n v="500"/>
    <n v="500"/>
    <n v="500"/>
    <n v="500"/>
    <n v="500"/>
    <n v="4931"/>
  </r>
  <r>
    <x v="383"/>
    <x v="383"/>
    <s v="ERP"/>
    <x v="1"/>
    <x v="4"/>
    <s v="DeHart, Lynn"/>
    <x v="0"/>
    <x v="202"/>
    <m/>
    <m/>
    <s v="IT-FGS0302-SW-US-00"/>
    <m/>
    <s v="N/A"/>
    <m/>
    <s v="M365 / O365"/>
    <m/>
    <m/>
    <n v="370"/>
    <n v="370"/>
    <m/>
    <m/>
    <m/>
    <m/>
    <m/>
    <s v=""/>
    <n v="0"/>
    <n v="0"/>
    <n v="0"/>
    <n v="0"/>
    <n v="0"/>
    <n v="0"/>
    <n v="0"/>
    <n v="0"/>
    <n v="0"/>
    <n v="-370"/>
    <n v="0"/>
    <n v="0"/>
    <n v="-370"/>
    <m/>
    <n v="-37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x v="384"/>
    <x v="384"/>
    <s v="ERP"/>
    <x v="0"/>
    <x v="10"/>
    <s v="Maguire, Karla"/>
    <x v="0"/>
    <x v="202"/>
    <m/>
    <m/>
    <s v="IT-FGS0302-SW-US-00"/>
    <s v="CHW - F/U"/>
    <s v="N/A"/>
    <m/>
    <s v="M365 / O365"/>
    <m/>
    <m/>
    <n v="12000"/>
    <n v="13503.74"/>
    <m/>
    <m/>
    <n v="3614.02"/>
    <n v="0"/>
    <n v="889.72"/>
    <n v="917.6"/>
    <n v="3154.91"/>
    <n v="1000"/>
    <n v="1000"/>
    <n v="1000"/>
    <n v="1000"/>
    <n v="1000"/>
    <n v="1000"/>
    <n v="1000"/>
    <n v="15576.25"/>
    <n v="2072.5100000000002"/>
    <n v="1000"/>
    <n v="2154.91"/>
    <n v="2072.5100000000002"/>
    <m/>
    <n v="2072.5100000000002"/>
    <m/>
    <n v="3614.02"/>
    <n v="0"/>
    <n v="889.72"/>
    <n v="1000"/>
    <n v="1000"/>
    <n v="1000"/>
    <n v="1000"/>
    <n v="1000"/>
    <n v="1000"/>
    <n v="1000"/>
    <n v="1000"/>
    <n v="1000"/>
    <n v="13503.74"/>
    <n v="3614.02"/>
    <n v="0"/>
    <n v="889.72"/>
    <n v="1000"/>
    <n v="1000"/>
    <n v="1000"/>
    <n v="1000"/>
    <n v="1000"/>
    <n v="1000"/>
    <n v="1000"/>
    <n v="1000"/>
    <n v="1000"/>
    <n v="13503.74"/>
  </r>
  <r>
    <x v="385"/>
    <x v="385"/>
    <s v="ERP"/>
    <x v="0"/>
    <x v="9"/>
    <s v="Maguire, Karla"/>
    <x v="0"/>
    <x v="202"/>
    <m/>
    <m/>
    <s v="IT-FGS0302-SW-US-00"/>
    <s v="CHW - F/U"/>
    <s v="N/A"/>
    <m/>
    <s v="M365 / O365"/>
    <m/>
    <m/>
    <n v="370"/>
    <n v="370"/>
    <m/>
    <m/>
    <m/>
    <m/>
    <m/>
    <s v=""/>
    <n v="0"/>
    <n v="0"/>
    <n v="0"/>
    <n v="0"/>
    <n v="0"/>
    <n v="0"/>
    <n v="0"/>
    <n v="0"/>
    <n v="0"/>
    <n v="-370"/>
    <n v="0"/>
    <n v="0"/>
    <n v="-370"/>
    <m/>
    <n v="-37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x v="386"/>
    <x v="386"/>
    <s v="ERP"/>
    <x v="2"/>
    <x v="11"/>
    <s v="McGettigan, David"/>
    <x v="0"/>
    <x v="202"/>
    <m/>
    <m/>
    <s v="IT-FGS0302-SW-US-00"/>
    <m/>
    <s v="N/A"/>
    <m/>
    <s v="M365 / O365"/>
    <m/>
    <m/>
    <n v="0"/>
    <n v="2155"/>
    <m/>
    <m/>
    <m/>
    <m/>
    <n v="2155"/>
    <n v="0"/>
    <n v="0"/>
    <n v="0"/>
    <n v="0"/>
    <n v="0"/>
    <n v="0"/>
    <n v="0"/>
    <n v="0"/>
    <n v="0"/>
    <n v="2155"/>
    <n v="0"/>
    <n v="0"/>
    <n v="0"/>
    <n v="0"/>
    <m/>
    <n v="0"/>
    <m/>
    <m/>
    <m/>
    <n v="2155"/>
    <n v="0"/>
    <n v="0"/>
    <n v="0"/>
    <n v="0"/>
    <n v="0"/>
    <n v="0"/>
    <n v="0"/>
    <n v="0"/>
    <n v="0"/>
    <n v="2155"/>
    <m/>
    <m/>
    <n v="2155"/>
    <n v="0"/>
    <n v="0"/>
    <n v="0"/>
    <n v="0"/>
    <n v="0"/>
    <n v="0"/>
    <n v="0"/>
    <n v="0"/>
    <n v="0"/>
    <n v="2155"/>
  </r>
  <r>
    <x v="387"/>
    <x v="387"/>
    <s v="ERP"/>
    <x v="3"/>
    <x v="14"/>
    <s v="Robertson, Jerome"/>
    <x v="0"/>
    <x v="202"/>
    <m/>
    <m/>
    <s v="IT-FGS0302-SW-US-00"/>
    <m/>
    <s v="N/A"/>
    <m/>
    <s v="M365 / O365"/>
    <m/>
    <m/>
    <n v="4500"/>
    <n v="8574.7199999999993"/>
    <m/>
    <m/>
    <n v="431"/>
    <n v="2586"/>
    <n v="2182.7199999999998"/>
    <n v="431"/>
    <n v="0"/>
    <n v="375"/>
    <n v="375"/>
    <n v="375"/>
    <n v="375"/>
    <n v="375"/>
    <n v="375"/>
    <n v="375"/>
    <n v="8255.7199999999993"/>
    <n v="-319"/>
    <n v="375"/>
    <n v="-375"/>
    <n v="-319"/>
    <m/>
    <n v="-319"/>
    <m/>
    <n v="431"/>
    <n v="2586"/>
    <n v="2182.7199999999998"/>
    <n v="375"/>
    <n v="375"/>
    <n v="375"/>
    <n v="375"/>
    <n v="375"/>
    <n v="375"/>
    <n v="375"/>
    <n v="375"/>
    <n v="375"/>
    <n v="8574.7199999999993"/>
    <n v="431"/>
    <n v="2586"/>
    <n v="2182.7199999999998"/>
    <n v="375"/>
    <n v="375"/>
    <n v="375"/>
    <n v="375"/>
    <n v="375"/>
    <n v="375"/>
    <n v="375"/>
    <n v="375"/>
    <n v="375"/>
    <n v="8574.7199999999993"/>
  </r>
  <r>
    <x v="388"/>
    <x v="388"/>
    <s v="ERP"/>
    <x v="0"/>
    <x v="1"/>
    <s v="Maguire, Karla"/>
    <x v="0"/>
    <x v="202"/>
    <m/>
    <m/>
    <s v="IT-FGS0302-SW-US-00"/>
    <s v="CHW - F/U"/>
    <s v="N/A"/>
    <m/>
    <s v="M365 / O365"/>
    <m/>
    <m/>
    <n v="0"/>
    <n v="1293"/>
    <m/>
    <m/>
    <m/>
    <n v="1293"/>
    <n v="0"/>
    <n v="0"/>
    <n v="0"/>
    <n v="0"/>
    <n v="0"/>
    <n v="0"/>
    <n v="0"/>
    <n v="0"/>
    <n v="0"/>
    <n v="0"/>
    <n v="1293"/>
    <n v="0"/>
    <n v="0"/>
    <n v="0"/>
    <n v="0"/>
    <m/>
    <n v="0"/>
    <m/>
    <m/>
    <n v="1293"/>
    <n v="0"/>
    <n v="0"/>
    <n v="0"/>
    <n v="0"/>
    <n v="0"/>
    <n v="0"/>
    <n v="0"/>
    <n v="0"/>
    <n v="0"/>
    <n v="0"/>
    <n v="1293"/>
    <m/>
    <n v="1293"/>
    <n v="0"/>
    <n v="0"/>
    <n v="0"/>
    <n v="0"/>
    <n v="0"/>
    <n v="0"/>
    <n v="0"/>
    <n v="0"/>
    <n v="0"/>
    <n v="0"/>
    <n v="1293"/>
  </r>
  <r>
    <x v="389"/>
    <x v="389"/>
    <s v="ERP"/>
    <x v="0"/>
    <x v="9"/>
    <s v="Maguire, Karla"/>
    <x v="3"/>
    <x v="203"/>
    <m/>
    <m/>
    <s v="IT-HRD0003-OG-US-DH"/>
    <m/>
    <s v="9501140551"/>
    <s v="Yes"/>
    <s v="Power 10s; 2026 Pullforward"/>
    <s v="4/28/26 CHW New add to tie-out 0223 to 0317 Planful Extracts"/>
    <m/>
    <n v="749252.7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749252.78"/>
    <n v="0"/>
    <n v="0"/>
    <n v="0"/>
    <n v="0"/>
    <n v="0"/>
    <n v="0"/>
    <n v="0"/>
    <n v="0"/>
    <n v="0"/>
    <n v="0"/>
    <n v="0"/>
    <n v="749252.78"/>
  </r>
  <r>
    <x v="390"/>
    <x v="390"/>
    <s v="ERP"/>
    <x v="0"/>
    <x v="9"/>
    <s v="Maguire, Karla"/>
    <x v="3"/>
    <x v="204"/>
    <m/>
    <m/>
    <s v="IT-HRD0003-OG-US-DH/PF"/>
    <m/>
    <s v="9501140551"/>
    <s v="Yes"/>
    <s v="Power 10s; 2026 Pullforward"/>
    <s v="4/28/26 CHW New add to tie-out 0223 to 0317 Planful Extracts"/>
    <m/>
    <n v="-749252.7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749252.78"/>
    <n v="0"/>
    <n v="0"/>
    <n v="0"/>
    <n v="0"/>
    <n v="0"/>
    <n v="0"/>
    <n v="0"/>
    <n v="0"/>
    <n v="0"/>
    <n v="0"/>
    <n v="0"/>
    <n v="-749252.78"/>
  </r>
  <r>
    <x v="391"/>
    <x v="391"/>
    <s v="ERP"/>
    <x v="0"/>
    <x v="9"/>
    <s v="Maguire, Karla"/>
    <x v="3"/>
    <x v="205"/>
    <m/>
    <m/>
    <s v="IT-HRD0004-OG-US-SS"/>
    <m/>
    <s v="9501140459"/>
    <s v="Yes"/>
    <s v="Power 10s; 2026 Pullforward"/>
    <s v="4/28/26 CHW New add to tie-out 0223 to 0317 Planful Extracts"/>
    <m/>
    <n v="783580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783580.73"/>
    <n v="0"/>
    <n v="0"/>
    <n v="0"/>
    <n v="0"/>
    <n v="0"/>
    <n v="0"/>
    <n v="0"/>
    <n v="0"/>
    <n v="0"/>
    <n v="0"/>
    <n v="0"/>
    <n v="783580.73"/>
  </r>
  <r>
    <x v="392"/>
    <x v="392"/>
    <s v="ERP"/>
    <x v="0"/>
    <x v="9"/>
    <s v="Maguire, Karla"/>
    <x v="3"/>
    <x v="206"/>
    <m/>
    <m/>
    <s v="IT-HRD0004-OG-US-SS/PF"/>
    <m/>
    <s v="9501140459"/>
    <s v="Yes"/>
    <s v="Power 10s; 2026 Pullforward"/>
    <s v="4/28/26 CHW New add to tie-out 0223 to 0317 Planful Extracts"/>
    <m/>
    <n v="-783580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783580.73"/>
    <n v="0"/>
    <n v="0"/>
    <n v="0"/>
    <n v="0"/>
    <n v="0"/>
    <n v="0"/>
    <n v="0"/>
    <n v="0"/>
    <n v="0"/>
    <n v="0"/>
    <n v="0"/>
    <n v="-783580.73"/>
  </r>
  <r>
    <x v="393"/>
    <x v="393"/>
    <s v="ERP"/>
    <x v="0"/>
    <x v="9"/>
    <s v="Maguire, Karla"/>
    <x v="1"/>
    <x v="207"/>
    <m/>
    <s v="2329614"/>
    <s v="IT-HRD0005-OG-US-SS"/>
    <m/>
    <s v="9501133010"/>
    <m/>
    <s v="None"/>
    <m/>
    <m/>
    <n v="301000"/>
    <n v="305973.58"/>
    <m/>
    <m/>
    <n v="80223.58"/>
    <n v="0"/>
    <n v="0"/>
    <n v="80223.58"/>
    <n v="0"/>
    <n v="0"/>
    <n v="75250"/>
    <n v="0"/>
    <n v="0"/>
    <n v="75250"/>
    <n v="0"/>
    <n v="0"/>
    <n v="310947.16000000003"/>
    <n v="4973.5800000000163"/>
    <n v="0"/>
    <n v="0"/>
    <n v="4973.5799999999872"/>
    <m/>
    <n v="4973.5800000000163"/>
    <m/>
    <n v="80223.58"/>
    <n v="0"/>
    <n v="0"/>
    <n v="75250"/>
    <n v="0"/>
    <n v="0"/>
    <n v="75250"/>
    <n v="0"/>
    <n v="0"/>
    <n v="75250"/>
    <n v="0"/>
    <n v="0"/>
    <n v="305973.58"/>
    <n v="80223.58"/>
    <n v="0"/>
    <n v="0"/>
    <n v="75250"/>
    <n v="0"/>
    <n v="0"/>
    <n v="75250"/>
    <n v="0"/>
    <n v="0"/>
    <n v="75250"/>
    <n v="0"/>
    <n v="0"/>
    <n v="305973.58"/>
  </r>
  <r>
    <x v="394"/>
    <x v="394"/>
    <s v="ERP"/>
    <x v="0"/>
    <x v="9"/>
    <s v="Maguire, Karla"/>
    <x v="1"/>
    <x v="208"/>
    <m/>
    <s v="2329614"/>
    <s v="IT-HRD0006-OG-US-DH"/>
    <m/>
    <s v="9501133994"/>
    <m/>
    <s v="None"/>
    <m/>
    <m/>
    <n v="282792"/>
    <n v="282791.93"/>
    <m/>
    <m/>
    <n v="70697.440000000002"/>
    <n v="0.49"/>
    <n v="0"/>
    <n v="9484.4399999999951"/>
    <n v="0"/>
    <n v="0"/>
    <n v="70698"/>
    <n v="0"/>
    <n v="0"/>
    <n v="70698"/>
    <n v="0"/>
    <n v="0"/>
    <n v="221578.37"/>
    <n v="-61213.56"/>
    <n v="0"/>
    <n v="0"/>
    <n v="-61213.56"/>
    <m/>
    <n v="-61213.56"/>
    <m/>
    <n v="70697.440000000002"/>
    <n v="0.49"/>
    <n v="0"/>
    <n v="70698"/>
    <n v="0"/>
    <n v="0"/>
    <n v="70698"/>
    <n v="0"/>
    <n v="0"/>
    <n v="70698"/>
    <n v="0"/>
    <n v="0"/>
    <n v="282791.93"/>
    <n v="70697.440000000002"/>
    <n v="0.49"/>
    <n v="0"/>
    <n v="70698"/>
    <n v="0"/>
    <n v="0"/>
    <n v="70698"/>
    <n v="0"/>
    <n v="0"/>
    <n v="70698"/>
    <n v="0"/>
    <n v="0"/>
    <n v="282791.93"/>
  </r>
  <r>
    <x v="395"/>
    <x v="395"/>
    <s v="ERP"/>
    <x v="1"/>
    <x v="12"/>
    <s v="DeHart, Lynn"/>
    <x v="3"/>
    <x v="209"/>
    <m/>
    <m/>
    <s v="IT-HRD0058-OG-US-00"/>
    <m/>
    <m/>
    <m/>
    <s v="None"/>
    <m/>
    <m/>
    <n v="1659"/>
    <n v="1209"/>
    <m/>
    <m/>
    <m/>
    <m/>
    <m/>
    <s v=""/>
    <n v="0"/>
    <n v="150"/>
    <n v="150"/>
    <n v="150"/>
    <n v="150"/>
    <n v="150"/>
    <n v="0"/>
    <n v="150"/>
    <n v="900"/>
    <n v="-309"/>
    <n v="159"/>
    <n v="-159"/>
    <n v="-309"/>
    <m/>
    <n v="-309"/>
    <m/>
    <m/>
    <m/>
    <m/>
    <n v="150"/>
    <n v="159"/>
    <n v="150"/>
    <n v="150"/>
    <n v="150"/>
    <n v="150"/>
    <n v="150"/>
    <n v="0"/>
    <n v="150"/>
    <n v="1209"/>
    <m/>
    <m/>
    <m/>
    <n v="150"/>
    <n v="159"/>
    <n v="150"/>
    <n v="150"/>
    <n v="150"/>
    <n v="150"/>
    <n v="150"/>
    <n v="0"/>
    <n v="150"/>
    <n v="1209"/>
  </r>
  <r>
    <x v="396"/>
    <x v="396"/>
    <s v="ERP"/>
    <x v="1"/>
    <x v="12"/>
    <s v="DeHart, Lynn"/>
    <x v="1"/>
    <x v="210"/>
    <m/>
    <m/>
    <s v="IT-MGS0158-OG-US-00"/>
    <m/>
    <m/>
    <m/>
    <s v="None"/>
    <m/>
    <m/>
    <n v="4032"/>
    <n v="3024"/>
    <m/>
    <m/>
    <m/>
    <m/>
    <m/>
    <s v=""/>
    <n v="0"/>
    <n v="336"/>
    <n v="336"/>
    <n v="336"/>
    <n v="336"/>
    <n v="336"/>
    <n v="336"/>
    <n v="336"/>
    <n v="2352"/>
    <n v="-672"/>
    <n v="336"/>
    <n v="-336"/>
    <n v="-672"/>
    <m/>
    <n v="-672"/>
    <m/>
    <m/>
    <m/>
    <m/>
    <n v="336"/>
    <n v="336"/>
    <n v="336"/>
    <n v="336"/>
    <n v="336"/>
    <n v="336"/>
    <n v="336"/>
    <n v="336"/>
    <n v="336"/>
    <n v="3024"/>
    <m/>
    <m/>
    <m/>
    <n v="336"/>
    <n v="336"/>
    <n v="336"/>
    <n v="336"/>
    <n v="336"/>
    <n v="336"/>
    <n v="336"/>
    <n v="336"/>
    <n v="336"/>
    <n v="3024"/>
  </r>
  <r>
    <x v="397"/>
    <x v="397"/>
    <s v="ERP"/>
    <x v="3"/>
    <x v="14"/>
    <s v="Robertson, Jerome"/>
    <x v="1"/>
    <x v="211"/>
    <m/>
    <m/>
    <s v="IT-MGS0165-OG-US-00"/>
    <m/>
    <m/>
    <m/>
    <s v="None"/>
    <m/>
    <m/>
    <n v="12000"/>
    <n v="12000"/>
    <m/>
    <m/>
    <m/>
    <m/>
    <m/>
    <s v=""/>
    <n v="0"/>
    <n v="12000"/>
    <n v="0"/>
    <n v="0"/>
    <n v="0"/>
    <n v="0"/>
    <n v="0"/>
    <n v="0"/>
    <n v="12000"/>
    <n v="0"/>
    <m/>
    <n v="0"/>
    <n v="0"/>
    <m/>
    <n v="0"/>
    <m/>
    <m/>
    <m/>
    <m/>
    <m/>
    <m/>
    <n v="12000"/>
    <n v="0"/>
    <n v="0"/>
    <n v="0"/>
    <n v="0"/>
    <n v="0"/>
    <n v="0"/>
    <n v="12000"/>
    <m/>
    <m/>
    <m/>
    <m/>
    <m/>
    <n v="12000"/>
    <n v="0"/>
    <n v="0"/>
    <n v="0"/>
    <n v="0"/>
    <n v="0"/>
    <n v="0"/>
    <n v="12000"/>
  </r>
  <r>
    <x v="398"/>
    <x v="398"/>
    <s v="ERP"/>
    <x v="3"/>
    <x v="14"/>
    <s v="Robertson, Jerome"/>
    <x v="0"/>
    <x v="212"/>
    <m/>
    <m/>
    <s v="IT-MGS0167-OG-US-00"/>
    <m/>
    <s v="N/A"/>
    <m/>
    <s v="iERP"/>
    <s v="4/28/26 CHW New add to tie-out 0223 to 0317 Planful Extracts"/>
    <m/>
    <n v="340000"/>
    <n v="340000"/>
    <m/>
    <m/>
    <m/>
    <m/>
    <m/>
    <s v=""/>
    <n v="0"/>
    <n v="0"/>
    <n v="0"/>
    <n v="340000"/>
    <n v="0"/>
    <n v="0"/>
    <n v="0"/>
    <n v="0"/>
    <n v="340000"/>
    <n v="0"/>
    <n v="0"/>
    <n v="0"/>
    <n v="0"/>
    <m/>
    <n v="0"/>
    <m/>
    <m/>
    <m/>
    <m/>
    <n v="0"/>
    <n v="0"/>
    <n v="0"/>
    <n v="0"/>
    <n v="340000"/>
    <n v="0"/>
    <n v="0"/>
    <n v="0"/>
    <n v="0"/>
    <n v="340000"/>
    <n v="0"/>
    <n v="0"/>
    <n v="340000"/>
    <n v="0"/>
    <n v="0"/>
    <n v="0"/>
    <n v="0"/>
    <n v="0"/>
    <n v="0"/>
    <n v="0"/>
    <n v="0"/>
    <n v="0"/>
    <n v="340000"/>
  </r>
  <r>
    <x v="399"/>
    <x v="399"/>
    <s v="ERP"/>
    <x v="0"/>
    <x v="0"/>
    <s v="Maguire, Karla"/>
    <x v="1"/>
    <x v="213"/>
    <m/>
    <m/>
    <s v="IT-MGS0168-OG-US-00"/>
    <s v="CHW - Ok"/>
    <m/>
    <m/>
    <s v="None"/>
    <m/>
    <m/>
    <n v="0"/>
    <n v="1472196.6600000001"/>
    <m/>
    <m/>
    <m/>
    <n v="245366"/>
    <n v="122683.66"/>
    <n v="101112.98"/>
    <n v="144254.16"/>
    <n v="122683"/>
    <n v="122683"/>
    <n v="122683"/>
    <n v="122683"/>
    <n v="122683"/>
    <n v="122683"/>
    <n v="122683"/>
    <n v="1472197.8"/>
    <n v="1.1399999998975545"/>
    <n v="122683"/>
    <n v="21571.160000000003"/>
    <n v="1.1400000000139698"/>
    <m/>
    <n v="1.1399999998975545"/>
    <m/>
    <m/>
    <n v="245366"/>
    <n v="122683.66"/>
    <n v="122683"/>
    <n v="122683"/>
    <n v="122683"/>
    <n v="122683"/>
    <n v="122683"/>
    <n v="122683"/>
    <n v="122683"/>
    <n v="122683"/>
    <n v="122683"/>
    <n v="1472196.6600000001"/>
    <m/>
    <n v="245366"/>
    <n v="122683.66"/>
    <n v="122683"/>
    <n v="122683"/>
    <n v="122683"/>
    <n v="122683"/>
    <n v="122683"/>
    <n v="122683"/>
    <n v="122683"/>
    <n v="122683"/>
    <n v="122683"/>
    <n v="1472196.6600000001"/>
  </r>
  <r>
    <x v="400"/>
    <x v="400"/>
    <s v="ERP"/>
    <x v="0"/>
    <x v="0"/>
    <s v="Maguire, Karla"/>
    <x v="2"/>
    <x v="213"/>
    <m/>
    <m/>
    <s v="IT-MGS0168-OG-US-00"/>
    <s v="CHW - Ok"/>
    <m/>
    <m/>
    <s v="None"/>
    <s v="4/28/26 CHW New add to tie-out 0223 to 0317 Planful Extracts Account Movement - IBM AMS forecast is recorded under Contractors, while actuals are posted to Managed Services. Zeroed remaining forecast as forecasted under Managed Services"/>
    <m/>
    <n v="14721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22683"/>
    <n v="122683"/>
    <n v="122683"/>
    <n v="122683"/>
    <n v="122683"/>
    <n v="122683"/>
    <n v="122683"/>
    <n v="122683"/>
    <n v="122683"/>
    <n v="122683"/>
    <n v="122683"/>
    <n v="122683"/>
    <n v="1472196"/>
  </r>
  <r>
    <x v="401"/>
    <x v="401"/>
    <s v="ERP"/>
    <x v="0"/>
    <x v="1"/>
    <s v="Tamavada, Ram"/>
    <x v="0"/>
    <x v="214"/>
    <m/>
    <m/>
    <s v="IT-MGS0202-OG-US-00"/>
    <m/>
    <m/>
    <m/>
    <m/>
    <s v="5/12 CHW - Zeroed line per Kinjal and added new software item"/>
    <m/>
    <m/>
    <n v="123539"/>
    <m/>
    <m/>
    <m/>
    <m/>
    <m/>
    <s v=""/>
    <n v="0"/>
    <m/>
    <m/>
    <n v="123539"/>
    <m/>
    <m/>
    <m/>
    <m/>
    <n v="123539"/>
    <n v="0"/>
    <m/>
    <n v="0"/>
    <n v="0"/>
    <m/>
    <n v="0"/>
    <s v="Acct Mvmt - Mgd Services to Software IT-MGS0202-OG-US-00"/>
    <m/>
    <m/>
    <m/>
    <m/>
    <m/>
    <m/>
    <m/>
    <n v="123539"/>
    <m/>
    <m/>
    <m/>
    <m/>
    <n v="123539"/>
    <m/>
    <m/>
    <m/>
    <m/>
    <m/>
    <m/>
    <m/>
    <m/>
    <m/>
    <m/>
    <m/>
    <m/>
    <m/>
  </r>
  <r>
    <x v="402"/>
    <x v="402"/>
    <s v="ERP"/>
    <x v="0"/>
    <x v="1"/>
    <s v="Maguire, Karla"/>
    <x v="1"/>
    <x v="214"/>
    <m/>
    <m/>
    <s v="IT-MGS0202-OG-US-00"/>
    <m/>
    <m/>
    <m/>
    <s v="None"/>
    <s v="5/12 CHW - Zeroed line per Kinjal and added new software item"/>
    <m/>
    <n v="123538.9999999999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vmt - Mgd Services to Software IT-MGS0202-OG-US-00"/>
    <m/>
    <m/>
    <m/>
    <n v="0"/>
    <n v="0"/>
    <n v="0"/>
    <n v="0"/>
    <n v="0"/>
    <n v="0"/>
    <n v="0"/>
    <n v="0"/>
    <n v="0"/>
    <n v="0"/>
    <m/>
    <m/>
    <m/>
    <n v="10294.92"/>
    <n v="10294.92"/>
    <n v="10294.92"/>
    <n v="10294.92"/>
    <n v="10294.92"/>
    <n v="10294.92"/>
    <n v="10294.92"/>
    <n v="10294.92"/>
    <n v="10294.92"/>
    <n v="92654.28"/>
  </r>
  <r>
    <x v="403"/>
    <x v="403"/>
    <s v="ERP"/>
    <x v="0"/>
    <x v="1"/>
    <s v="Maguire, Karla"/>
    <x v="1"/>
    <x v="215"/>
    <m/>
    <m/>
    <s v="IT-MGS0203-OG-US-00"/>
    <m/>
    <m/>
    <m/>
    <s v="None"/>
    <m/>
    <m/>
    <n v="264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26400"/>
    <n v="26400"/>
    <m/>
    <m/>
    <m/>
    <m/>
    <n v="0"/>
    <n v="0"/>
    <n v="0"/>
    <n v="0"/>
    <n v="0"/>
    <n v="0"/>
    <n v="0"/>
    <n v="0"/>
    <n v="0"/>
    <n v="0"/>
    <m/>
    <m/>
    <m/>
    <n v="2200"/>
    <n v="2200"/>
    <n v="2200"/>
    <n v="2200"/>
    <n v="2200"/>
    <n v="2200"/>
    <n v="2200"/>
    <n v="2200"/>
    <n v="2200"/>
    <n v="19800"/>
  </r>
  <r>
    <x v="404"/>
    <x v="404"/>
    <s v="ERP"/>
    <x v="0"/>
    <x v="1"/>
    <s v="Maguire, Karla"/>
    <x v="1"/>
    <x v="216"/>
    <m/>
    <m/>
    <s v="IT-MGS0204-OG-US-00"/>
    <m/>
    <m/>
    <m/>
    <s v="AMS"/>
    <m/>
    <m/>
    <n v="36000"/>
    <n v="36000.300000000003"/>
    <m/>
    <m/>
    <m/>
    <n v="5999.76"/>
    <n v="2703.54"/>
    <n v="2769.23"/>
    <n v="3527.23"/>
    <n v="3000"/>
    <n v="3000"/>
    <n v="3000"/>
    <n v="3000"/>
    <n v="3000"/>
    <n v="3000"/>
    <n v="3000"/>
    <n v="35999.759999999995"/>
    <n v="-0.54000000000814907"/>
    <n v="3000"/>
    <n v="527.23"/>
    <n v="-0.54000000000087311"/>
    <m/>
    <n v="-0.54000000000814907"/>
    <m/>
    <m/>
    <n v="5999.76"/>
    <n v="2703.54"/>
    <n v="3297"/>
    <n v="3000"/>
    <n v="3000"/>
    <n v="3000"/>
    <n v="3000"/>
    <n v="3000"/>
    <n v="3000"/>
    <n v="3000"/>
    <n v="3000"/>
    <n v="36000.300000000003"/>
    <m/>
    <n v="5999.76"/>
    <n v="2703.54"/>
    <n v="3000"/>
    <n v="3000"/>
    <n v="3000"/>
    <n v="3000"/>
    <n v="3000"/>
    <n v="3000"/>
    <n v="3000"/>
    <n v="3000"/>
    <n v="3000"/>
    <n v="35703.300000000003"/>
  </r>
  <r>
    <x v="405"/>
    <x v="405"/>
    <s v="ERP"/>
    <x v="0"/>
    <x v="1"/>
    <s v="Maguire, Karla"/>
    <x v="1"/>
    <x v="217"/>
    <m/>
    <m/>
    <s v="IT-MGS0205-OG-US-00"/>
    <m/>
    <m/>
    <m/>
    <s v="AMS"/>
    <m/>
    <m/>
    <n v="345000"/>
    <n v="333579.34999999998"/>
    <m/>
    <m/>
    <m/>
    <m/>
    <n v="80924.350000000006"/>
    <n v="25748.649999999994"/>
    <n v="35684.65"/>
    <n v="28215"/>
    <n v="29498"/>
    <n v="26933"/>
    <n v="28215"/>
    <n v="28215"/>
    <n v="26933"/>
    <n v="29498"/>
    <n v="339864.65"/>
    <n v="6285.3000000000466"/>
    <n v="26933"/>
    <n v="8751.6500000000015"/>
    <n v="6285.2999999999884"/>
    <m/>
    <n v="6285.3000000000466"/>
    <m/>
    <m/>
    <m/>
    <n v="80924.350000000006"/>
    <n v="28215"/>
    <n v="26933"/>
    <n v="28215"/>
    <n v="29498"/>
    <n v="26933"/>
    <n v="28215"/>
    <n v="28215"/>
    <n v="26933"/>
    <n v="29498"/>
    <n v="333579.34999999998"/>
    <m/>
    <m/>
    <n v="80924.350000000006"/>
    <n v="27894"/>
    <n v="27894"/>
    <n v="27894"/>
    <n v="27894"/>
    <n v="27894"/>
    <n v="27894"/>
    <n v="27894"/>
    <n v="27894"/>
    <n v="27894"/>
    <n v="331970.34999999998"/>
  </r>
  <r>
    <x v="406"/>
    <x v="406"/>
    <s v="ERP"/>
    <x v="0"/>
    <x v="0"/>
    <s v="Maguire, Karla"/>
    <x v="1"/>
    <x v="39"/>
    <m/>
    <m/>
    <s v="IT-MGS0207-OG-US-00"/>
    <m/>
    <m/>
    <m/>
    <s v="Billing Related - UC4 Automic"/>
    <m/>
    <m/>
    <n v="0"/>
    <n v="-18450"/>
    <m/>
    <m/>
    <m/>
    <m/>
    <n v="-3450"/>
    <n v="0"/>
    <n v="-7116.77"/>
    <n v="-3333.33"/>
    <n v="-1666.67"/>
    <n v="-1666.67"/>
    <n v="-1666.67"/>
    <n v="0"/>
    <n v="0"/>
    <n v="0"/>
    <n v="-18900.11"/>
    <n v="-450.11000000000058"/>
    <n v="-3333.33"/>
    <n v="-3783.4400000000005"/>
    <n v="-450.11000000000058"/>
    <m/>
    <n v="-450.11000000000058"/>
    <m/>
    <m/>
    <m/>
    <n v="-3450"/>
    <n v="-3333.33"/>
    <n v="-3333.33"/>
    <n v="-3333.33"/>
    <n v="-1666.67"/>
    <n v="-1666.67"/>
    <n v="-1666.67"/>
    <n v="0"/>
    <n v="0"/>
    <n v="0"/>
    <n v="-18450"/>
    <m/>
    <m/>
    <n v="-3450"/>
    <n v="-3333.33"/>
    <n v="-3333.33"/>
    <n v="-3333.33"/>
    <n v="-1666.67"/>
    <n v="-1666.67"/>
    <n v="-1666.67"/>
    <n v="0"/>
    <n v="0"/>
    <n v="0"/>
    <n v="-18450"/>
  </r>
  <r>
    <x v="407"/>
    <x v="407"/>
    <s v="ERP"/>
    <x v="1"/>
    <x v="12"/>
    <s v="DeHart, Lynn"/>
    <x v="1"/>
    <x v="218"/>
    <m/>
    <m/>
    <s v="IT-MGS0208-OG-US-00"/>
    <m/>
    <s v="N/A"/>
    <m/>
    <s v="EP&amp;S"/>
    <m/>
    <m/>
    <n v="0"/>
    <n v="31176.729999999992"/>
    <m/>
    <m/>
    <m/>
    <m/>
    <n v="5547.34"/>
    <n v="0"/>
    <n v="112.07"/>
    <n v="2847.71"/>
    <n v="2847.71"/>
    <n v="2847.71"/>
    <n v="2847.71"/>
    <n v="2847.71"/>
    <n v="2847.71"/>
    <n v="2847.71"/>
    <n v="25593.379999999994"/>
    <n v="-5583.3499999999985"/>
    <n v="2847.71"/>
    <n v="-2735.64"/>
    <n v="-5583.3499999999985"/>
    <m/>
    <n v="-5583.3499999999985"/>
    <m/>
    <m/>
    <m/>
    <n v="5547.34"/>
    <n v="2847.71"/>
    <n v="2847.71"/>
    <n v="2847.71"/>
    <n v="2847.71"/>
    <n v="2847.71"/>
    <n v="2847.71"/>
    <n v="2847.71"/>
    <n v="2847.71"/>
    <n v="2847.71"/>
    <n v="31176.729999999992"/>
    <m/>
    <m/>
    <n v="5547.34"/>
    <n v="0"/>
    <n v="0"/>
    <n v="0"/>
    <n v="0"/>
    <n v="0"/>
    <n v="0"/>
    <n v="0"/>
    <n v="0"/>
    <n v="0"/>
    <n v="5547.34"/>
  </r>
  <r>
    <x v="408"/>
    <x v="408"/>
    <s v="ERP"/>
    <x v="1"/>
    <x v="12"/>
    <s v="DeHart, Lynn"/>
    <x v="0"/>
    <x v="218"/>
    <m/>
    <m/>
    <s v="IT-MGS0208-OG-US-00"/>
    <m/>
    <s v="N/A"/>
    <m/>
    <s v="EP&amp;S"/>
    <m/>
    <m/>
    <n v="0"/>
    <n v="1537.03"/>
    <m/>
    <m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n v="0"/>
    <n v="139.72999999999999"/>
    <n v="0"/>
    <n v="0"/>
    <m/>
    <n v="0"/>
    <m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m/>
    <m/>
    <n v="279.45999999999998"/>
    <n v="0"/>
    <n v="0"/>
    <n v="0"/>
    <n v="0"/>
    <n v="0"/>
    <n v="0"/>
    <n v="0"/>
    <n v="0"/>
    <n v="0"/>
    <n v="279.45999999999998"/>
  </r>
  <r>
    <x v="409"/>
    <x v="409"/>
    <s v="ERP"/>
    <x v="0"/>
    <x v="1"/>
    <s v="Maguire, Karla"/>
    <x v="1"/>
    <x v="219"/>
    <m/>
    <m/>
    <s v="IT-MGS0209-OG-US-00"/>
    <m/>
    <m/>
    <m/>
    <s v="EP&amp;S"/>
    <m/>
    <m/>
    <n v="0"/>
    <n v="3711.49"/>
    <m/>
    <m/>
    <m/>
    <m/>
    <n v="552.49"/>
    <n v="0"/>
    <n v="0"/>
    <n v="351"/>
    <n v="351"/>
    <n v="351"/>
    <n v="351"/>
    <n v="351"/>
    <n v="351"/>
    <n v="351"/>
    <n v="3009.49"/>
    <n v="-702"/>
    <n v="351"/>
    <n v="-351"/>
    <n v="-702"/>
    <m/>
    <n v="-702"/>
    <m/>
    <m/>
    <m/>
    <n v="552.49"/>
    <n v="351"/>
    <n v="351"/>
    <n v="351"/>
    <n v="351"/>
    <n v="351"/>
    <n v="351"/>
    <n v="351"/>
    <n v="351"/>
    <n v="351"/>
    <n v="3711.49"/>
    <m/>
    <m/>
    <n v="552.49"/>
    <n v="351"/>
    <n v="351"/>
    <n v="351"/>
    <n v="351"/>
    <n v="351"/>
    <n v="351"/>
    <n v="351"/>
    <n v="351"/>
    <n v="351"/>
    <n v="3711.49"/>
  </r>
  <r>
    <x v="410"/>
    <x v="410"/>
    <s v="ERP"/>
    <x v="1"/>
    <x v="2"/>
    <s v="DeHart, Lynn"/>
    <x v="1"/>
    <x v="220"/>
    <m/>
    <m/>
    <s v="IT-MGS0210-OG-US-00"/>
    <m/>
    <m/>
    <m/>
    <s v="EP&amp;S"/>
    <m/>
    <m/>
    <n v="0"/>
    <n v="5998.6900000000005"/>
    <m/>
    <m/>
    <m/>
    <m/>
    <n v="1048.69"/>
    <n v="0"/>
    <n v="0"/>
    <n v="550"/>
    <n v="550"/>
    <n v="550"/>
    <n v="550"/>
    <n v="550"/>
    <n v="550"/>
    <n v="550"/>
    <n v="4898.6900000000005"/>
    <n v="-1100"/>
    <n v="550"/>
    <n v="-550"/>
    <n v="-1100"/>
    <m/>
    <n v="-1100"/>
    <m/>
    <m/>
    <m/>
    <n v="1048.69"/>
    <n v="550"/>
    <n v="550"/>
    <n v="550"/>
    <n v="550"/>
    <n v="550"/>
    <n v="550"/>
    <n v="550"/>
    <n v="550"/>
    <n v="550"/>
    <n v="5998.6900000000005"/>
    <m/>
    <m/>
    <n v="1048.69"/>
    <n v="550"/>
    <n v="550"/>
    <n v="550"/>
    <n v="550"/>
    <n v="550"/>
    <n v="550"/>
    <n v="550"/>
    <n v="550"/>
    <n v="550"/>
    <n v="5998.6900000000005"/>
  </r>
  <r>
    <x v="411"/>
    <x v="411"/>
    <s v="ERP"/>
    <x v="1"/>
    <x v="16"/>
    <s v="DeHart, Lynn"/>
    <x v="7"/>
    <x v="221"/>
    <m/>
    <m/>
    <s v="IT-OTH0062-OG-US-00"/>
    <m/>
    <m/>
    <m/>
    <s v="None"/>
    <s v="Sachin (4/30): Underspend projected for 2026 (could go back up to $80K in 2027)"/>
    <m/>
    <n v="80000"/>
    <n v="40000"/>
    <m/>
    <m/>
    <m/>
    <m/>
    <m/>
    <s v=""/>
    <n v="0"/>
    <n v="0"/>
    <n v="0"/>
    <n v="10000"/>
    <n v="10000"/>
    <n v="10000"/>
    <n v="10000"/>
    <n v="0"/>
    <n v="40000"/>
    <n v="0"/>
    <n v="0"/>
    <n v="0"/>
    <n v="0"/>
    <m/>
    <n v="0"/>
    <m/>
    <m/>
    <m/>
    <m/>
    <n v="0"/>
    <n v="0"/>
    <n v="0"/>
    <n v="0"/>
    <n v="10000"/>
    <n v="10000"/>
    <n v="10000"/>
    <n v="10000"/>
    <n v="0"/>
    <n v="40000"/>
    <m/>
    <m/>
    <m/>
    <n v="20000"/>
    <n v="20000"/>
    <n v="20000"/>
    <n v="20000"/>
    <n v="0"/>
    <n v="0"/>
    <n v="0"/>
    <n v="0"/>
    <n v="0"/>
    <n v="80000"/>
  </r>
  <r>
    <x v="412"/>
    <x v="412"/>
    <s v="ERP"/>
    <x v="1"/>
    <x v="13"/>
    <s v="DeHart, Lynn"/>
    <x v="2"/>
    <x v="222"/>
    <m/>
    <m/>
    <s v="IT-OTH0063-OG-US-00"/>
    <m/>
    <m/>
    <m/>
    <s v="2026 Budget Transfer"/>
    <m/>
    <m/>
    <n v="90000"/>
    <n v="90000"/>
    <m/>
    <m/>
    <m/>
    <m/>
    <m/>
    <s v=""/>
    <n v="0"/>
    <n v="0"/>
    <n v="0"/>
    <n v="4000"/>
    <n v="4000"/>
    <n v="0"/>
    <n v="0"/>
    <n v="0"/>
    <n v="8000"/>
    <n v="-82000"/>
    <n v="82000"/>
    <n v="-82000"/>
    <n v="-82000"/>
    <m/>
    <n v="-82000"/>
    <m/>
    <m/>
    <m/>
    <m/>
    <n v="0"/>
    <n v="82000"/>
    <n v="0"/>
    <n v="0"/>
    <n v="4000"/>
    <n v="4000"/>
    <n v="0"/>
    <n v="0"/>
    <n v="0"/>
    <n v="90000"/>
    <m/>
    <m/>
    <m/>
    <n v="8000"/>
    <n v="8000"/>
    <n v="8000"/>
    <n v="8000"/>
    <n v="10000"/>
    <n v="10000"/>
    <n v="10000"/>
    <n v="10000"/>
    <n v="10000"/>
    <n v="82000"/>
  </r>
  <r>
    <x v="413"/>
    <x v="413"/>
    <s v="ERP"/>
    <x v="1"/>
    <x v="13"/>
    <s v="DeHart, Lynn"/>
    <x v="2"/>
    <x v="223"/>
    <m/>
    <m/>
    <s v="IT-PBS0936-OT-US-00"/>
    <m/>
    <m/>
    <m/>
    <s v="None"/>
    <m/>
    <m/>
    <n v="0"/>
    <n v="70950"/>
    <m/>
    <m/>
    <m/>
    <m/>
    <n v="70950"/>
    <n v="0"/>
    <n v="0"/>
    <n v="0"/>
    <n v="0"/>
    <n v="0"/>
    <n v="0"/>
    <n v="0"/>
    <n v="0"/>
    <n v="0"/>
    <n v="70950"/>
    <n v="0"/>
    <n v="0"/>
    <n v="0"/>
    <n v="0"/>
    <m/>
    <n v="0"/>
    <m/>
    <m/>
    <m/>
    <n v="70950"/>
    <n v="0"/>
    <n v="0"/>
    <n v="0"/>
    <n v="0"/>
    <n v="0"/>
    <n v="0"/>
    <n v="0"/>
    <n v="0"/>
    <n v="0"/>
    <n v="70950"/>
    <m/>
    <m/>
    <n v="70950"/>
    <n v="0"/>
    <n v="0"/>
    <n v="0"/>
    <n v="0"/>
    <n v="0"/>
    <n v="0"/>
    <n v="0"/>
    <n v="0"/>
    <n v="0"/>
    <n v="70950"/>
  </r>
  <r>
    <x v="414"/>
    <x v="414"/>
    <s v="ERP"/>
    <x v="1"/>
    <x v="12"/>
    <s v="DeHart, Lynn"/>
    <x v="2"/>
    <x v="224"/>
    <m/>
    <s v="2351818"/>
    <s v="IT-PBU0901-OT-US-00"/>
    <m/>
    <s v="9501182061"/>
    <m/>
    <s v="None"/>
    <m/>
    <m/>
    <n v="0"/>
    <n v="0.33000000000174623"/>
    <m/>
    <m/>
    <m/>
    <n v="63054.92"/>
    <n v="-63054.59"/>
    <n v="0"/>
    <n v="0"/>
    <n v="0"/>
    <n v="0"/>
    <n v="0"/>
    <n v="0"/>
    <n v="0"/>
    <n v="0"/>
    <n v="0"/>
    <n v="0.33000000000174623"/>
    <n v="0"/>
    <n v="0"/>
    <n v="0"/>
    <n v="0"/>
    <m/>
    <n v="0"/>
    <m/>
    <m/>
    <n v="63054.92"/>
    <n v="-63054.59"/>
    <n v="0"/>
    <n v="0"/>
    <n v="0"/>
    <n v="0"/>
    <n v="0"/>
    <n v="0"/>
    <n v="0"/>
    <n v="0"/>
    <n v="0"/>
    <n v="0.33000000000174623"/>
    <m/>
    <n v="63054.92"/>
    <n v="-63054.59"/>
    <n v="0"/>
    <n v="0"/>
    <n v="0"/>
    <n v="0"/>
    <n v="0"/>
    <n v="0"/>
    <n v="0"/>
    <n v="0"/>
    <n v="0"/>
    <n v="0.33000000000174623"/>
  </r>
  <r>
    <x v="415"/>
    <x v="415"/>
    <s v="ERP"/>
    <x v="1"/>
    <x v="12"/>
    <s v="DeHart, Lynn"/>
    <x v="2"/>
    <x v="225"/>
    <m/>
    <s v="2351818"/>
    <s v="IT-PBU1059-OT-US-00"/>
    <m/>
    <s v="Multiple "/>
    <m/>
    <s v="None"/>
    <m/>
    <m/>
    <n v="0"/>
    <n v="0"/>
    <m/>
    <m/>
    <m/>
    <n v="89550.8"/>
    <n v="-89550.8"/>
    <n v="0"/>
    <n v="0"/>
    <m/>
    <m/>
    <m/>
    <m/>
    <m/>
    <m/>
    <m/>
    <n v="0"/>
    <n v="0"/>
    <m/>
    <n v="0"/>
    <n v="0"/>
    <m/>
    <n v="0"/>
    <m/>
    <m/>
    <n v="89550.8"/>
    <n v="-89550.8"/>
    <m/>
    <m/>
    <m/>
    <m/>
    <m/>
    <m/>
    <m/>
    <m/>
    <m/>
    <n v="0"/>
    <m/>
    <n v="89550.8"/>
    <n v="-89550.8"/>
    <m/>
    <m/>
    <m/>
    <m/>
    <m/>
    <m/>
    <m/>
    <m/>
    <m/>
    <n v="0"/>
  </r>
  <r>
    <x v="416"/>
    <x v="416"/>
    <s v="ERP"/>
    <x v="1"/>
    <x v="12"/>
    <s v="DeHart, Lynn"/>
    <x v="4"/>
    <x v="226"/>
    <m/>
    <m/>
    <s v="IT-PBU1070-OT-IE-00"/>
    <m/>
    <m/>
    <m/>
    <s v="None"/>
    <m/>
    <m/>
    <n v="0"/>
    <n v="1583.99"/>
    <m/>
    <m/>
    <m/>
    <m/>
    <n v="1583.99"/>
    <s v=""/>
    <n v="0"/>
    <n v="0"/>
    <n v="0"/>
    <n v="0"/>
    <n v="0"/>
    <n v="0"/>
    <n v="0"/>
    <n v="0"/>
    <n v="1583.99"/>
    <n v="0"/>
    <n v="0"/>
    <n v="0"/>
    <n v="0"/>
    <m/>
    <n v="0"/>
    <m/>
    <m/>
    <m/>
    <n v="1583.99"/>
    <n v="0"/>
    <n v="0"/>
    <n v="0"/>
    <n v="0"/>
    <n v="0"/>
    <n v="0"/>
    <n v="0"/>
    <n v="0"/>
    <n v="0"/>
    <n v="1583.99"/>
    <m/>
    <m/>
    <n v="1583.99"/>
    <n v="0"/>
    <n v="0"/>
    <n v="0"/>
    <n v="0"/>
    <n v="0"/>
    <n v="0"/>
    <n v="0"/>
    <n v="0"/>
    <n v="0"/>
    <n v="1583.99"/>
  </r>
  <r>
    <x v="417"/>
    <x v="417"/>
    <s v="ERP"/>
    <x v="0"/>
    <x v="1"/>
    <s v="Maguire, Karla"/>
    <x v="0"/>
    <x v="227"/>
    <s v="ORACLE CORP"/>
    <s v="2321403"/>
    <s v="IT-SFT0159-86-OG-US"/>
    <m/>
    <s v="9501159633"/>
    <s v="Yes"/>
    <s v="E1; 2026 Pullforward"/>
    <m/>
    <m/>
    <n v="146492.82999999999"/>
    <n v="-115764.16"/>
    <m/>
    <m/>
    <n v="-115764.16"/>
    <n v="0"/>
    <m/>
    <n v="0"/>
    <n v="0"/>
    <m/>
    <m/>
    <m/>
    <m/>
    <m/>
    <m/>
    <m/>
    <n v="-115764.16"/>
    <n v="0"/>
    <m/>
    <n v="0"/>
    <n v="0"/>
    <m/>
    <n v="0"/>
    <m/>
    <n v="-115764.16"/>
    <n v="0"/>
    <m/>
    <m/>
    <m/>
    <m/>
    <m/>
    <m/>
    <m/>
    <m/>
    <m/>
    <m/>
    <n v="-115764.16"/>
    <n v="-115764.16"/>
    <n v="115764.16"/>
    <m/>
    <m/>
    <m/>
    <m/>
    <m/>
    <m/>
    <m/>
    <m/>
    <m/>
    <m/>
    <n v="0"/>
  </r>
  <r>
    <x v="418"/>
    <x v="418"/>
    <s v="ERP"/>
    <x v="0"/>
    <x v="1"/>
    <s v="Maguire, Karla"/>
    <x v="0"/>
    <x v="228"/>
    <m/>
    <m/>
    <s v="IT-SFT0159-86-OG-US/PF"/>
    <m/>
    <s v="9501159633"/>
    <s v="Yes "/>
    <s v="E1; 2026 Pullforward"/>
    <s v="4/28/26 CHW New add to tie-out 0223 to 0317 Planful Extracts 0"/>
    <m/>
    <n v="-146492.82999999999"/>
    <n v="115764.16"/>
    <m/>
    <m/>
    <m/>
    <n v="115764.16"/>
    <m/>
    <s v=""/>
    <n v="0"/>
    <n v="0"/>
    <n v="0"/>
    <n v="0"/>
    <n v="0"/>
    <n v="0"/>
    <n v="0"/>
    <n v="0"/>
    <n v="115764.16"/>
    <n v="0"/>
    <n v="0"/>
    <n v="0"/>
    <n v="0"/>
    <m/>
    <n v="0"/>
    <m/>
    <m/>
    <n v="115764.16"/>
    <m/>
    <n v="0"/>
    <n v="0"/>
    <n v="0"/>
    <n v="0"/>
    <n v="0"/>
    <n v="0"/>
    <n v="0"/>
    <n v="0"/>
    <n v="0"/>
    <n v="115764.16"/>
    <n v="-146492.82999999999"/>
    <n v="0"/>
    <n v="0"/>
    <n v="0"/>
    <n v="0"/>
    <n v="0"/>
    <n v="0"/>
    <n v="0"/>
    <n v="0"/>
    <n v="0"/>
    <n v="0"/>
    <n v="0"/>
    <n v="-146492.82999999999"/>
  </r>
  <r>
    <x v="419"/>
    <x v="419"/>
    <s v="ERP"/>
    <x v="0"/>
    <x v="1"/>
    <s v="Maguire, Karla"/>
    <x v="0"/>
    <x v="229"/>
    <s v="WORLD WIDE TECHNOLOGY LLC"/>
    <s v="2329614"/>
    <s v="IT-SFT0170-86-OG-US"/>
    <m/>
    <s v="9500579215"/>
    <s v="Yes"/>
    <s v="Broadcom; 2026 Pullforward"/>
    <s v="4/28/26 CHW New add to tie-out 0223 to 0317 Planful Extracts"/>
    <m/>
    <n v="169727.1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727.17"/>
    <n v="0"/>
    <n v="0"/>
    <n v="0"/>
    <n v="0"/>
    <n v="0"/>
    <n v="0"/>
    <n v="0"/>
    <n v="0"/>
    <n v="0"/>
    <n v="0"/>
    <n v="0"/>
    <n v="169727.17"/>
  </r>
  <r>
    <x v="420"/>
    <x v="420"/>
    <s v="ERP"/>
    <x v="0"/>
    <x v="1"/>
    <s v="Maguire, Karla"/>
    <x v="0"/>
    <x v="230"/>
    <m/>
    <m/>
    <s v="IT-SFT0170-86-OG-US/PF"/>
    <m/>
    <s v="9500579215"/>
    <s v="Yes"/>
    <s v="Broadcom; 2026 Pullforward"/>
    <s v="4/28/26 CHW New add to tie-out 0223 to 0317 Planful Extracts"/>
    <m/>
    <n v="-169727.1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727.17"/>
    <n v="0"/>
    <n v="0"/>
    <n v="0"/>
    <n v="0"/>
    <n v="0"/>
    <n v="0"/>
    <n v="0"/>
    <n v="0"/>
    <n v="0"/>
    <n v="0"/>
    <n v="0"/>
    <n v="-169727.17"/>
  </r>
  <r>
    <x v="421"/>
    <x v="421"/>
    <s v="ERP"/>
    <x v="1"/>
    <x v="5"/>
    <s v="DeHart, Lynn"/>
    <x v="0"/>
    <x v="231"/>
    <m/>
    <m/>
    <s v="IT-SFT0486-86-OG-MX"/>
    <m/>
    <m/>
    <m/>
    <s v="Stocklin"/>
    <m/>
    <m/>
    <n v="50000"/>
    <n v="50000"/>
    <m/>
    <m/>
    <m/>
    <m/>
    <m/>
    <s v=""/>
    <n v="0"/>
    <m/>
    <m/>
    <m/>
    <m/>
    <n v="50000"/>
    <n v="0"/>
    <n v="0"/>
    <n v="50000"/>
    <n v="0"/>
    <m/>
    <n v="0"/>
    <n v="0"/>
    <m/>
    <n v="0"/>
    <m/>
    <m/>
    <m/>
    <m/>
    <m/>
    <m/>
    <m/>
    <m/>
    <m/>
    <m/>
    <n v="50000"/>
    <n v="0"/>
    <n v="0"/>
    <n v="50000"/>
    <m/>
    <m/>
    <m/>
    <m/>
    <m/>
    <m/>
    <m/>
    <m/>
    <m/>
    <n v="50000"/>
    <n v="0"/>
    <n v="0"/>
    <n v="50000"/>
  </r>
  <r>
    <x v="422"/>
    <x v="422"/>
    <s v="ERP"/>
    <x v="0"/>
    <x v="15"/>
    <s v="Maguire, Karla"/>
    <x v="0"/>
    <x v="232"/>
    <s v="GATE SOFTWARE LLC"/>
    <s v="2321403"/>
    <s v="IT-SFT0673-86-OG-US"/>
    <m/>
    <s v="9501113089"/>
    <m/>
    <s v="None"/>
    <m/>
    <m/>
    <n v="11026"/>
    <n v="11026"/>
    <m/>
    <m/>
    <m/>
    <m/>
    <m/>
    <s v=""/>
    <n v="0"/>
    <m/>
    <m/>
    <m/>
    <m/>
    <m/>
    <n v="11026"/>
    <n v="0"/>
    <n v="11026"/>
    <n v="0"/>
    <m/>
    <n v="0"/>
    <n v="0"/>
    <m/>
    <n v="0"/>
    <m/>
    <m/>
    <m/>
    <m/>
    <m/>
    <m/>
    <m/>
    <m/>
    <m/>
    <m/>
    <m/>
    <n v="11026"/>
    <n v="0"/>
    <n v="11026"/>
    <m/>
    <m/>
    <m/>
    <m/>
    <m/>
    <m/>
    <m/>
    <m/>
    <m/>
    <m/>
    <n v="11026"/>
    <n v="0"/>
    <n v="11026"/>
  </r>
  <r>
    <x v="423"/>
    <x v="423"/>
    <s v="ERP"/>
    <x v="0"/>
    <x v="9"/>
    <s v="Maguire, Karla"/>
    <x v="0"/>
    <x v="233"/>
    <s v="AXWAY INC"/>
    <s v="2321402"/>
    <s v="IT-SFT1003-86-OG-US"/>
    <m/>
    <s v="9501158822"/>
    <s v="Yes"/>
    <s v="Security Bridge; 2026 Pullforward"/>
    <s v="4/28/26 CHW New add to tie-out 0223 to 0317 Planful Extracts"/>
    <m/>
    <n v="32562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25620"/>
    <n v="0"/>
    <n v="0"/>
    <n v="0"/>
    <n v="0"/>
    <n v="0"/>
    <n v="0"/>
    <n v="0"/>
    <n v="0"/>
    <n v="0"/>
    <n v="0"/>
    <n v="0"/>
    <n v="325620"/>
  </r>
  <r>
    <x v="424"/>
    <x v="424"/>
    <s v="ERP"/>
    <x v="0"/>
    <x v="9"/>
    <s v="Maguire, Karla"/>
    <x v="0"/>
    <x v="234"/>
    <m/>
    <m/>
    <s v="IT-SFT1003-86-OG-US/PF"/>
    <m/>
    <s v="9501158822"/>
    <s v="Yes"/>
    <s v="Security Bridge; 2026 Pullforward"/>
    <s v="4/28/26 CHW New add to tie-out 0223 to 0317 Planful Extracts"/>
    <m/>
    <n v="-32562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25620"/>
    <n v="0"/>
    <n v="0"/>
    <n v="0"/>
    <n v="0"/>
    <n v="0"/>
    <n v="0"/>
    <n v="0"/>
    <n v="0"/>
    <n v="0"/>
    <n v="0"/>
    <n v="0"/>
    <n v="-325620"/>
  </r>
  <r>
    <x v="425"/>
    <x v="425"/>
    <s v="ERP"/>
    <x v="0"/>
    <x v="9"/>
    <s v="Maguire, Karla"/>
    <x v="0"/>
    <x v="235"/>
    <s v="ORACLE CORP"/>
    <s v="2329614"/>
    <s v="IT-SFT1006-86-OG-US"/>
    <m/>
    <s v="9501159599"/>
    <m/>
    <s v="Onapsis"/>
    <m/>
    <m/>
    <n v="54093.63"/>
    <n v="55716.44"/>
    <m/>
    <m/>
    <m/>
    <n v="55716.44"/>
    <n v="0"/>
    <n v="0"/>
    <n v="0"/>
    <n v="0"/>
    <n v="0"/>
    <n v="0"/>
    <n v="0"/>
    <n v="0"/>
    <n v="0"/>
    <n v="0"/>
    <n v="55716.44"/>
    <n v="0"/>
    <n v="0"/>
    <n v="0"/>
    <n v="0"/>
    <m/>
    <n v="0"/>
    <m/>
    <m/>
    <n v="55716.44"/>
    <n v="0"/>
    <n v="0"/>
    <n v="0"/>
    <n v="0"/>
    <n v="0"/>
    <n v="0"/>
    <n v="0"/>
    <n v="0"/>
    <n v="0"/>
    <n v="0"/>
    <n v="55716.44"/>
    <m/>
    <n v="55716.44"/>
    <n v="0"/>
    <n v="0"/>
    <n v="0"/>
    <n v="0"/>
    <n v="0"/>
    <n v="0"/>
    <n v="0"/>
    <n v="0"/>
    <n v="0"/>
    <n v="0"/>
    <n v="55716.44"/>
  </r>
  <r>
    <x v="426"/>
    <x v="426"/>
    <s v="ERP"/>
    <x v="0"/>
    <x v="0"/>
    <s v="Maguire, Karla"/>
    <x v="0"/>
    <x v="236"/>
    <s v="Prepaid - SAP AMERICA INC"/>
    <s v="2321402"/>
    <s v="IT-SFT1009-86-OG-US"/>
    <m/>
    <s v="9501133254"/>
    <m/>
    <s v="SAP on Prem"/>
    <s v="5/7 CHW - Adj to match prepaid schedule"/>
    <m/>
    <n v="3581394.5999999992"/>
    <n v="3026808.87"/>
    <m/>
    <m/>
    <n v="3026811.49"/>
    <n v="-3073725.16"/>
    <n v="803616.54"/>
    <n v="0"/>
    <n v="1470681.36"/>
    <n v="252234"/>
    <n v="0"/>
    <n v="504468"/>
    <n v="252234"/>
    <n v="0"/>
    <n v="504468"/>
    <n v="252234"/>
    <n v="3993022.2300000004"/>
    <n v="966213.36000000034"/>
    <n v="504468"/>
    <n v="966213.3600000001"/>
    <n v="966213.36000000034"/>
    <m/>
    <n v="966213.36000000034"/>
    <m/>
    <n v="3026811.49"/>
    <n v="-3073725.16"/>
    <n v="803616.54"/>
    <n v="0"/>
    <n v="504468"/>
    <n v="252234"/>
    <n v="0"/>
    <n v="504468"/>
    <n v="252234"/>
    <n v="0"/>
    <n v="504468"/>
    <n v="252234"/>
    <n v="3026808.87"/>
    <n v="3026811.49"/>
    <n v="-3073725.16"/>
    <n v="803616.54"/>
    <n v="252234"/>
    <n v="252234"/>
    <n v="252234"/>
    <n v="252234"/>
    <n v="252234"/>
    <n v="252234"/>
    <n v="252234"/>
    <n v="252234"/>
    <n v="252234"/>
    <n v="3026808.87"/>
  </r>
  <r>
    <x v="427"/>
    <x v="427"/>
    <s v="ERP"/>
    <x v="0"/>
    <x v="0"/>
    <s v="Maguire, Karla"/>
    <x v="0"/>
    <x v="237"/>
    <s v=" SAP AMERICA INC"/>
    <s v="2321402"/>
    <s v="IT-SFT1009-86-OG-US/02"/>
    <m/>
    <s v="9501133254"/>
    <s v="Yes"/>
    <s v="SAP on Prem; 2026 Pullforward"/>
    <s v="4/28/26 CHW New add to tie-out 0223 to 0317 Planful Extracts"/>
    <m/>
    <n v="678893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78893.73"/>
    <n v="0"/>
    <n v="0"/>
    <n v="0"/>
    <n v="0"/>
    <n v="0"/>
    <n v="0"/>
    <n v="0"/>
    <n v="0"/>
    <n v="0"/>
    <n v="0"/>
    <n v="0"/>
    <n v="678893.73"/>
  </r>
  <r>
    <x v="428"/>
    <x v="428"/>
    <s v="ERP"/>
    <x v="0"/>
    <x v="0"/>
    <s v="Maguire, Karla"/>
    <x v="0"/>
    <x v="238"/>
    <s v=" SAP AMERICA INC"/>
    <s v="2321402"/>
    <s v="IT-SFT1009-86-OG-US/02/PF"/>
    <m/>
    <s v="9501133254"/>
    <s v="Yes"/>
    <s v="SAP on Prem; 2026 Pullforward"/>
    <s v="4/28/26 CHW New add to tie-out 0223 to 0317 Planful Extracts"/>
    <m/>
    <n v="-678893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78893.73"/>
    <n v="0"/>
    <n v="0"/>
    <n v="0"/>
    <n v="0"/>
    <n v="0"/>
    <n v="0"/>
    <n v="0"/>
    <n v="0"/>
    <n v="0"/>
    <n v="0"/>
    <n v="0"/>
    <n v="-678893.73"/>
  </r>
  <r>
    <x v="429"/>
    <x v="429"/>
    <s v="ERP"/>
    <x v="0"/>
    <x v="0"/>
    <s v="Maguire, Karla"/>
    <x v="0"/>
    <x v="239"/>
    <s v=" SAP AMERICA INC"/>
    <s v="2321402"/>
    <s v="IT-SFT1009-86-OG-US/04"/>
    <m/>
    <s v="9501133254"/>
    <s v="Yes"/>
    <s v="SAP on Prem; 2026 Pullforward"/>
    <s v="4/28/26 CHW New add to tie-out 0223 to 0317 Planful Extracts"/>
    <m/>
    <n v="4128.4799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128.4799999999996"/>
    <n v="0"/>
    <n v="0"/>
    <n v="0"/>
    <n v="0"/>
    <n v="0"/>
    <n v="0"/>
    <n v="0"/>
    <n v="0"/>
    <n v="0"/>
    <n v="0"/>
    <n v="0"/>
    <n v="4128.4799999999996"/>
  </r>
  <r>
    <x v="430"/>
    <x v="430"/>
    <s v="ERP"/>
    <x v="0"/>
    <x v="0"/>
    <s v="Maguire, Karla"/>
    <x v="0"/>
    <x v="240"/>
    <s v=" SAP AMERICA INC"/>
    <s v="2321402"/>
    <s v="IT-SFT1009-86-OG-US/04/PF"/>
    <m/>
    <s v="9501133254"/>
    <s v="Yes"/>
    <s v="SAP on Prem; 2026 Pullforward"/>
    <s v="4/28/26 CHW New add to tie-out 0223 to 0317 Planful Extracts"/>
    <m/>
    <n v="-4128.4799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128.4799999999996"/>
    <n v="0"/>
    <n v="0"/>
    <n v="0"/>
    <n v="0"/>
    <n v="0"/>
    <n v="0"/>
    <n v="0"/>
    <n v="0"/>
    <n v="0"/>
    <n v="0"/>
    <n v="0"/>
    <n v="-4128.4799999999996"/>
  </r>
  <r>
    <x v="431"/>
    <x v="431"/>
    <s v="ERP"/>
    <x v="0"/>
    <x v="0"/>
    <s v="Maguire, Karla"/>
    <x v="0"/>
    <x v="241"/>
    <s v=" SAP AMERICA INC"/>
    <s v="2321402"/>
    <s v="IT-SFT1009-86-OG-US/05"/>
    <m/>
    <s v="9501133254"/>
    <s v="Yes"/>
    <s v="SAP on Prem; 2026 Pullforward"/>
    <s v="4/28/26 CHW New add to tie-out 0223 to 0317 Planful Extracts"/>
    <m/>
    <n v="37248.41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7248.410000000003"/>
    <n v="0"/>
    <n v="0"/>
    <n v="0"/>
    <n v="0"/>
    <n v="0"/>
    <n v="0"/>
    <n v="0"/>
    <n v="0"/>
    <n v="0"/>
    <n v="0"/>
    <n v="0"/>
    <n v="37248.410000000003"/>
  </r>
  <r>
    <x v="432"/>
    <x v="432"/>
    <s v="ERP"/>
    <x v="0"/>
    <x v="0"/>
    <s v="Maguire, Karla"/>
    <x v="0"/>
    <x v="242"/>
    <s v=" SAP AMERICA INC"/>
    <s v="2321402"/>
    <s v="IT-SFT1009-86-OG-US/05/PF"/>
    <m/>
    <s v="9501133254"/>
    <s v="Yes"/>
    <s v="SAP on Prem; 2026 Pullforward"/>
    <s v="4/28/26 CHW New add to tie-out 0223 to 0317 Planful Extracts"/>
    <m/>
    <n v="-37248.41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7248.410000000003"/>
    <n v="0"/>
    <n v="0"/>
    <n v="0"/>
    <n v="0"/>
    <n v="0"/>
    <n v="0"/>
    <n v="0"/>
    <n v="0"/>
    <n v="0"/>
    <n v="0"/>
    <n v="0"/>
    <n v="-37248.410000000003"/>
  </r>
  <r>
    <x v="433"/>
    <x v="433"/>
    <s v="ERP"/>
    <x v="0"/>
    <x v="0"/>
    <s v="Maguire, Karla"/>
    <x v="0"/>
    <x v="243"/>
    <s v=" SAP AMERICA INC"/>
    <s v="2321402"/>
    <s v="IT-SFT1009-86-OG-US/07"/>
    <m/>
    <s v="9501133254"/>
    <s v="Yes"/>
    <s v="SAP on Prem; 2026 Pullforward"/>
    <s v="4/28/26 CHW New add to tie-out 0223 to 0317 Planful Extracts"/>
    <m/>
    <n v="40181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0181.519999999997"/>
    <n v="0"/>
    <n v="0"/>
    <n v="0"/>
    <n v="0"/>
    <n v="0"/>
    <n v="0"/>
    <n v="0"/>
    <n v="0"/>
    <n v="0"/>
    <n v="0"/>
    <n v="0"/>
    <n v="40181.519999999997"/>
  </r>
  <r>
    <x v="434"/>
    <x v="434"/>
    <s v="ERP"/>
    <x v="0"/>
    <x v="0"/>
    <s v="Maguire, Karla"/>
    <x v="0"/>
    <x v="244"/>
    <s v=" SAP AMERICA INC"/>
    <s v="2321402"/>
    <s v="IT-SFT1009-86-OG-US/07/PF"/>
    <m/>
    <s v="9501133254"/>
    <s v="Yes"/>
    <s v="SAP on Prem; 2026 Pullforward"/>
    <s v="4/28/26 CHW New add to tie-out 0223 to 0317 Planful Extracts"/>
    <m/>
    <n v="-4018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0181"/>
    <n v="0"/>
    <n v="0"/>
    <n v="0"/>
    <n v="0"/>
    <n v="0"/>
    <n v="0"/>
    <n v="0"/>
    <n v="0"/>
    <n v="0"/>
    <n v="0"/>
    <n v="0"/>
    <n v="-40181"/>
  </r>
  <r>
    <x v="435"/>
    <x v="435"/>
    <s v="ERP"/>
    <x v="0"/>
    <x v="0"/>
    <s v="Maguire, Karla"/>
    <x v="0"/>
    <x v="245"/>
    <s v=" SAP AMERICA INC"/>
    <s v="2321402"/>
    <s v="IT-SFT1009-86-OG-US/08"/>
    <m/>
    <s v="9501133254"/>
    <s v="Yes"/>
    <s v="SAP on Prem; 2026 Pullforward"/>
    <s v="4/28/26 CHW New add to tie-out 0223 to 0317 Planful Extracts"/>
    <m/>
    <n v="253752.1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53752.12"/>
    <n v="0"/>
    <n v="0"/>
    <n v="0"/>
    <n v="0"/>
    <n v="0"/>
    <n v="0"/>
    <n v="0"/>
    <n v="0"/>
    <n v="0"/>
    <n v="0"/>
    <n v="0"/>
    <n v="253752.12"/>
  </r>
  <r>
    <x v="436"/>
    <x v="436"/>
    <s v="ERP"/>
    <x v="0"/>
    <x v="0"/>
    <s v="Maguire, Karla"/>
    <x v="0"/>
    <x v="246"/>
    <s v=" SAP AMERICA INC"/>
    <s v="2321402"/>
    <s v="IT-SFT1009-86-OG-US/08/PF"/>
    <m/>
    <s v="9501133254"/>
    <s v="Yes"/>
    <s v="SAP on Prem; 2026 Pullforward"/>
    <s v="4/28/26 CHW New add to tie-out 0223 to 0317 Planful Extracts"/>
    <m/>
    <n v="-253752.1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53752.12"/>
    <n v="0"/>
    <n v="0"/>
    <n v="0"/>
    <n v="0"/>
    <n v="0"/>
    <n v="0"/>
    <n v="0"/>
    <n v="0"/>
    <n v="0"/>
    <n v="0"/>
    <n v="0"/>
    <n v="-253752.12"/>
  </r>
  <r>
    <x v="437"/>
    <x v="437"/>
    <s v="ERP"/>
    <x v="0"/>
    <x v="0"/>
    <s v="Maguire, Karla"/>
    <x v="0"/>
    <x v="247"/>
    <s v=" SAP AMERICA INC"/>
    <s v="2321402"/>
    <s v="IT-SFT1009-86-OG-US/13"/>
    <m/>
    <s v="9501133254"/>
    <s v="Yes"/>
    <s v="SAP on Prem; 2026 Pullforward"/>
    <s v="4/28/26 CHW New add to tie-out 0223 to 0317 Planful Extracts"/>
    <m/>
    <n v="6285.5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285.51"/>
    <n v="0"/>
    <n v="0"/>
    <n v="0"/>
    <n v="0"/>
    <n v="0"/>
    <n v="0"/>
    <n v="0"/>
    <n v="0"/>
    <n v="0"/>
    <n v="0"/>
    <n v="0"/>
    <n v="6285.51"/>
  </r>
  <r>
    <x v="438"/>
    <x v="438"/>
    <s v="ERP"/>
    <x v="0"/>
    <x v="0"/>
    <s v="Maguire, Karla"/>
    <x v="0"/>
    <x v="248"/>
    <s v=" SAP AMERICA INC"/>
    <s v="2321402"/>
    <s v="IT-SFT1009-86-OG-US/13/PF"/>
    <m/>
    <s v="9501133254"/>
    <s v="Yes"/>
    <s v="SAP on Prem; 2026 Pullforward"/>
    <s v="4/28/26 CHW New add to tie-out 0223 to 0317 Planful Extracts"/>
    <m/>
    <n v="-6285.5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285.51"/>
    <n v="0"/>
    <n v="0"/>
    <n v="0"/>
    <n v="0"/>
    <n v="0"/>
    <n v="0"/>
    <n v="0"/>
    <n v="0"/>
    <n v="0"/>
    <n v="0"/>
    <n v="0"/>
    <n v="-6285.51"/>
  </r>
  <r>
    <x v="439"/>
    <x v="439"/>
    <s v="ERP"/>
    <x v="0"/>
    <x v="0"/>
    <s v="Maguire, Karla"/>
    <x v="0"/>
    <x v="249"/>
    <s v=" SAP AMERICA INC"/>
    <s v="2321402"/>
    <s v="IT-SFT1009-86-OG-US/17"/>
    <m/>
    <s v="9501133254"/>
    <s v="Yes"/>
    <s v="SAP on Prem; 2026 Pullforward"/>
    <s v="4/28/26 CHW New add to tie-out 0223 to 0317 Planful Extracts"/>
    <m/>
    <n v="30136.08000000000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0136.080000000002"/>
    <n v="0"/>
    <n v="0"/>
    <n v="0"/>
    <n v="0"/>
    <n v="0"/>
    <n v="0"/>
    <n v="0"/>
    <n v="0"/>
    <n v="0"/>
    <n v="0"/>
    <n v="0"/>
    <n v="30136.080000000002"/>
  </r>
  <r>
    <x v="440"/>
    <x v="440"/>
    <s v="ERP"/>
    <x v="0"/>
    <x v="0"/>
    <s v="Maguire, Karla"/>
    <x v="0"/>
    <x v="250"/>
    <s v=" SAP AMERICA INC"/>
    <s v="2321402"/>
    <s v="IT-SFT1009-86-OG-US/17/PF"/>
    <m/>
    <s v="9501133254"/>
    <s v="Yes"/>
    <s v="SAP on Prem; 2026 Pullforward"/>
    <s v="4/28/26 CHW New add to tie-out 0223 to 0317 Planful Extracts"/>
    <m/>
    <n v="-30136.08000000000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0136.080000000002"/>
    <n v="0"/>
    <n v="0"/>
    <n v="0"/>
    <n v="0"/>
    <n v="0"/>
    <n v="0"/>
    <n v="0"/>
    <n v="0"/>
    <n v="0"/>
    <n v="0"/>
    <n v="0"/>
    <n v="-30136.080000000002"/>
  </r>
  <r>
    <x v="441"/>
    <x v="441"/>
    <s v="ERP"/>
    <x v="0"/>
    <x v="0"/>
    <s v="Maguire, Karla"/>
    <x v="0"/>
    <x v="251"/>
    <s v=" SAP AMERICA INC"/>
    <s v="2321402"/>
    <s v="IT-SFT1009-86-OG-US/19"/>
    <m/>
    <s v="9501133254"/>
    <s v="Yes"/>
    <s v="SAP on Prem; 2026 Pullforward"/>
    <s v="4/28/26 CHW New add to tie-out 0223 to 0317 Planful Extracts"/>
    <m/>
    <n v="17349.8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7349.84"/>
    <n v="0"/>
    <n v="0"/>
    <n v="0"/>
    <n v="0"/>
    <n v="0"/>
    <n v="0"/>
    <n v="0"/>
    <n v="0"/>
    <n v="0"/>
    <n v="0"/>
    <n v="0"/>
    <n v="17349.84"/>
  </r>
  <r>
    <x v="442"/>
    <x v="442"/>
    <s v="ERP"/>
    <x v="0"/>
    <x v="0"/>
    <s v="Maguire, Karla"/>
    <x v="0"/>
    <x v="252"/>
    <s v=" SAP AMERICA INC"/>
    <s v="2321402"/>
    <s v="IT-SFT1009-86-OG-US/19/PF"/>
    <m/>
    <s v="9501133254"/>
    <s v="Yes"/>
    <s v="SAP on Prem; 2026 Pullforward"/>
    <s v="4/28/26 CHW New add to tie-out 0223 to 0317 Planful Extracts"/>
    <m/>
    <n v="-17349.8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7349.84"/>
    <n v="0"/>
    <n v="0"/>
    <n v="0"/>
    <n v="0"/>
    <n v="0"/>
    <n v="0"/>
    <n v="0"/>
    <n v="0"/>
    <n v="0"/>
    <n v="0"/>
    <n v="0"/>
    <n v="-17349.84"/>
  </r>
  <r>
    <x v="443"/>
    <x v="443"/>
    <s v="ERP"/>
    <x v="0"/>
    <x v="0"/>
    <s v="Maguire, Karla"/>
    <x v="0"/>
    <x v="253"/>
    <s v=" SAP AMERICA INC"/>
    <s v="2321402"/>
    <s v="IT-SFT1009-86-OG-US/23"/>
    <m/>
    <s v="9501133254"/>
    <s v="Yes"/>
    <s v="SAP on Prem; 2026 Pullforward"/>
    <s v="4/28/26 CHW New add to tie-out 0223 to 0317 Planful Extracts"/>
    <m/>
    <n v="5357.5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357.52"/>
    <n v="0"/>
    <n v="0"/>
    <n v="0"/>
    <n v="0"/>
    <n v="0"/>
    <n v="0"/>
    <n v="0"/>
    <n v="0"/>
    <n v="0"/>
    <n v="0"/>
    <n v="0"/>
    <n v="5357.52"/>
  </r>
  <r>
    <x v="444"/>
    <x v="444"/>
    <s v="ERP"/>
    <x v="0"/>
    <x v="0"/>
    <s v="Maguire, Karla"/>
    <x v="0"/>
    <x v="254"/>
    <s v=" SAP AMERICA INC"/>
    <s v="2321402"/>
    <s v="IT-SFT1009-86-OG-US/23/PF"/>
    <m/>
    <s v="9501133254"/>
    <s v="Yes"/>
    <s v="SAP on Prem; 2026 Pullforward"/>
    <s v="4/28/26 CHW New add to tie-out 0223 to 0317 Planful Extracts"/>
    <m/>
    <n v="-5357.5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357.52"/>
    <n v="0"/>
    <n v="0"/>
    <n v="0"/>
    <n v="0"/>
    <n v="0"/>
    <n v="0"/>
    <n v="0"/>
    <n v="0"/>
    <n v="0"/>
    <n v="0"/>
    <n v="0"/>
    <n v="-5357.52"/>
  </r>
  <r>
    <x v="445"/>
    <x v="445"/>
    <s v="ERP"/>
    <x v="0"/>
    <x v="0"/>
    <s v="Maguire, Karla"/>
    <x v="0"/>
    <x v="255"/>
    <s v=" SAP AMERICA INC"/>
    <s v="2321402"/>
    <s v="IT-SFT1009-86-OG-US/25"/>
    <m/>
    <s v="9501133254"/>
    <s v="Yes"/>
    <s v="SAP on Prem; 2026 Pullforward"/>
    <s v="4/28/26 CHW New add to tie-out 0223 to 0317 Planful Extracts"/>
    <m/>
    <n v="101279.3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01279.37"/>
    <n v="0"/>
    <n v="0"/>
    <n v="0"/>
    <n v="0"/>
    <n v="0"/>
    <n v="0"/>
    <n v="0"/>
    <n v="0"/>
    <n v="0"/>
    <n v="0"/>
    <n v="0"/>
    <n v="101279.37"/>
  </r>
  <r>
    <x v="446"/>
    <x v="446"/>
    <s v="ERP"/>
    <x v="0"/>
    <x v="0"/>
    <s v="Maguire, Karla"/>
    <x v="0"/>
    <x v="256"/>
    <s v=" SAP AMERICA INC"/>
    <s v="2321402"/>
    <s v="IT-SFT1009-86-OG-US/25/PF"/>
    <m/>
    <s v="9501133254"/>
    <s v="Yes"/>
    <s v="SAP on Prem; 2026 Pullforward"/>
    <s v="4/28/26 CHW New add to tie-out 0223 to 0317 Planful Extracts"/>
    <m/>
    <n v="-101279.3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01279.37"/>
    <n v="0"/>
    <n v="0"/>
    <n v="0"/>
    <n v="0"/>
    <n v="0"/>
    <n v="0"/>
    <n v="0"/>
    <n v="0"/>
    <n v="0"/>
    <n v="0"/>
    <n v="0"/>
    <n v="-101279.37"/>
  </r>
  <r>
    <x v="447"/>
    <x v="447"/>
    <s v="ERP"/>
    <x v="0"/>
    <x v="0"/>
    <s v="Maguire, Karla"/>
    <x v="0"/>
    <x v="257"/>
    <s v=" SAP AMERICA INC"/>
    <s v="2321402"/>
    <s v="IT-SFT1009-86-OG-US/29"/>
    <m/>
    <s v="9501133254"/>
    <s v="Yes"/>
    <s v="SAP on Prem; 2026 Pullforward"/>
    <s v="4/28/26 CHW New add to tie-out 0223 to 0317 Planful Extracts"/>
    <m/>
    <n v="169017.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017.36"/>
    <n v="0"/>
    <n v="0"/>
    <n v="0"/>
    <n v="0"/>
    <n v="0"/>
    <n v="0"/>
    <n v="0"/>
    <n v="0"/>
    <n v="0"/>
    <n v="0"/>
    <n v="0"/>
    <n v="169017.36"/>
  </r>
  <r>
    <x v="448"/>
    <x v="448"/>
    <s v="ERP"/>
    <x v="0"/>
    <x v="0"/>
    <s v="Maguire, Karla"/>
    <x v="0"/>
    <x v="258"/>
    <s v=" SAP AMERICA INC"/>
    <s v="2321402"/>
    <s v="IT-SFT1009-86-OG-US/29/PF"/>
    <m/>
    <s v="9501133254"/>
    <s v="Yes"/>
    <s v="SAP on Prem; 2026 Pullforward"/>
    <s v="4/28/26 CHW New add to tie-out 0223 to 0317 Planful Extracts"/>
    <m/>
    <n v="-169017.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017.36"/>
    <n v="0"/>
    <n v="0"/>
    <n v="0"/>
    <n v="0"/>
    <n v="0"/>
    <n v="0"/>
    <n v="0"/>
    <n v="0"/>
    <n v="0"/>
    <n v="0"/>
    <n v="0"/>
    <n v="-169017.36"/>
  </r>
  <r>
    <x v="449"/>
    <x v="449"/>
    <s v="ERP"/>
    <x v="0"/>
    <x v="0"/>
    <s v="Maguire, Karla"/>
    <x v="0"/>
    <x v="259"/>
    <s v=" SAP AMERICA INC"/>
    <s v="2321402"/>
    <s v="IT-SFT1009-86-OG-US/30"/>
    <m/>
    <s v="9501133254"/>
    <s v="Yes"/>
    <s v="SAP on Prem; 2026 Pullforward"/>
    <s v="4/28/26 CHW New add to tie-out 0223 to 0317 Planful Extracts"/>
    <m/>
    <n v="872512.0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872512.08"/>
    <n v="0"/>
    <n v="0"/>
    <n v="0"/>
    <n v="0"/>
    <n v="0"/>
    <n v="0"/>
    <n v="0"/>
    <n v="0"/>
    <n v="0"/>
    <n v="0"/>
    <n v="0"/>
    <n v="872512.08"/>
  </r>
  <r>
    <x v="450"/>
    <x v="450"/>
    <s v="ERP"/>
    <x v="0"/>
    <x v="0"/>
    <s v="Maguire, Karla"/>
    <x v="0"/>
    <x v="260"/>
    <s v=" SAP AMERICA INC"/>
    <s v="2321402"/>
    <s v="IT-SFT1009-86-OG-US/30/PF"/>
    <m/>
    <s v="9501133254"/>
    <s v="Yes"/>
    <s v="SAP on Prem; 2026 Pullforward"/>
    <s v="4/28/26 CHW New add to tie-out 0223 to 0317 Planful Extracts"/>
    <m/>
    <n v="-872512.0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872512.08"/>
    <n v="0"/>
    <n v="0"/>
    <n v="0"/>
    <n v="0"/>
    <n v="0"/>
    <n v="0"/>
    <n v="0"/>
    <n v="0"/>
    <n v="0"/>
    <n v="0"/>
    <n v="0"/>
    <n v="-872512.08"/>
  </r>
  <r>
    <x v="451"/>
    <x v="451"/>
    <s v="ERP"/>
    <x v="0"/>
    <x v="0"/>
    <s v="Maguire, Karla"/>
    <x v="0"/>
    <x v="261"/>
    <s v=" SAP AMERICA INC"/>
    <s v="2321402"/>
    <s v="IT-SFT1009-86-OG-US/32"/>
    <m/>
    <s v="9501133254"/>
    <s v="Yes"/>
    <s v="SAP on Prem; 2026 Pullforward"/>
    <s v="4/28/26 CHW New add to tie-out 0223 to 0317 Planful Extracts"/>
    <m/>
    <n v="267876.4799999999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7876.47999999998"/>
    <n v="0"/>
    <n v="0"/>
    <n v="0"/>
    <n v="0"/>
    <n v="0"/>
    <n v="0"/>
    <n v="0"/>
    <n v="0"/>
    <n v="0"/>
    <n v="0"/>
    <n v="0"/>
    <n v="267876.47999999998"/>
  </r>
  <r>
    <x v="452"/>
    <x v="452"/>
    <s v="ERP"/>
    <x v="0"/>
    <x v="0"/>
    <s v="Maguire, Karla"/>
    <x v="0"/>
    <x v="262"/>
    <s v=" SAP AMERICA INC"/>
    <s v="2321402"/>
    <s v="IT-SFT1009-86-OG-US/32/PF"/>
    <m/>
    <s v="9501133254"/>
    <s v="Yes"/>
    <s v="SAP on Prem; 2026 Pullforward"/>
    <s v="4/28/26 CHW New add to tie-out 0223 to 0317 Planful Extracts"/>
    <m/>
    <n v="-267876.4799999999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7876.47999999998"/>
    <n v="0"/>
    <n v="0"/>
    <n v="0"/>
    <n v="0"/>
    <n v="0"/>
    <n v="0"/>
    <n v="0"/>
    <n v="0"/>
    <n v="0"/>
    <n v="0"/>
    <n v="0"/>
    <n v="-267876.47999999998"/>
  </r>
  <r>
    <x v="453"/>
    <x v="453"/>
    <s v="ERP"/>
    <x v="0"/>
    <x v="0"/>
    <s v="Maguire, Karla"/>
    <x v="0"/>
    <x v="263"/>
    <s v="Prepaid - SAP AMERICA INC"/>
    <s v="2321402"/>
    <s v="IT-SFT1009-86-OG-US/35"/>
    <m/>
    <s v="9501133254"/>
    <m/>
    <s v="SAP on Prem"/>
    <s v="5/7 CHW - Adj to match prepaid schedule"/>
    <m/>
    <n v="2542329.3599999994"/>
    <n v="2542329.36"/>
    <m/>
    <m/>
    <n v="2542329.37"/>
    <n v="-2118607.81"/>
    <n v="211860.78"/>
    <s v=""/>
    <n v="0"/>
    <n v="211860.78"/>
    <n v="0"/>
    <n v="423721.56"/>
    <n v="211860.78"/>
    <n v="0"/>
    <n v="423721.56"/>
    <n v="211860.78"/>
    <n v="2118607.8000000003"/>
    <n v="-423721.55999999959"/>
    <n v="423721.56"/>
    <n v="-423721.56"/>
    <n v="-423721.56000000006"/>
    <m/>
    <n v="-423721.55999999959"/>
    <m/>
    <n v="2542329.37"/>
    <n v="-2118607.81"/>
    <n v="211860.78"/>
    <n v="0"/>
    <n v="423721.56"/>
    <n v="211860.78"/>
    <n v="0"/>
    <n v="423721.56"/>
    <n v="211860.78"/>
    <n v="0"/>
    <n v="423721.56"/>
    <n v="211860.78"/>
    <n v="2542329.36"/>
    <n v="2542329.37"/>
    <n v="-2118607.81"/>
    <n v="211860.78"/>
    <n v="211860.78"/>
    <n v="211860.78"/>
    <n v="211860.78"/>
    <n v="211860.78"/>
    <n v="211860.78"/>
    <n v="211860.78"/>
    <n v="211860.78"/>
    <n v="211860.78"/>
    <n v="211860.78"/>
    <n v="2542329.36"/>
  </r>
  <r>
    <x v="454"/>
    <x v="454"/>
    <s v="ERP"/>
    <x v="0"/>
    <x v="0"/>
    <s v="Maguire, Karla"/>
    <x v="0"/>
    <x v="264"/>
    <s v=" SAP AMERICA INC"/>
    <s v="2321402"/>
    <s v="IT-SFT1009-86-OG-US/37"/>
    <m/>
    <s v="9501133254"/>
    <s v="Yes"/>
    <s v="SAP on Prem; 2026 Pullforward"/>
    <s v="4/28/26 CHW New add to tie-out 0223 to 0317 Planful Extracts"/>
    <m/>
    <n v="539731.92000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39731.92000000004"/>
    <n v="0"/>
    <n v="0"/>
    <n v="0"/>
    <n v="0"/>
    <n v="0"/>
    <n v="0"/>
    <n v="0"/>
    <n v="0"/>
    <n v="0"/>
    <n v="0"/>
    <n v="0"/>
    <n v="539731.92000000004"/>
  </r>
  <r>
    <x v="455"/>
    <x v="455"/>
    <s v="ERP"/>
    <x v="0"/>
    <x v="0"/>
    <s v="Maguire, Karla"/>
    <x v="0"/>
    <x v="265"/>
    <s v=" SAP AMERICA INC"/>
    <s v="2321402"/>
    <s v="IT-SFT1009-86-OG-US/37/PF"/>
    <m/>
    <s v="9501133254"/>
    <s v="Yes"/>
    <s v="SAP on Prem; 2026 Pullforward"/>
    <s v="4/28/26 CHW New add to tie-out 0223 to 0317 Planful Extracts"/>
    <m/>
    <n v="-539731.92000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39731.92000000004"/>
    <n v="0"/>
    <n v="0"/>
    <n v="0"/>
    <n v="0"/>
    <n v="0"/>
    <n v="0"/>
    <n v="0"/>
    <n v="0"/>
    <n v="0"/>
    <n v="0"/>
    <n v="0"/>
    <n v="-539731.92000000004"/>
  </r>
  <r>
    <x v="456"/>
    <x v="456"/>
    <s v="ERP"/>
    <x v="0"/>
    <x v="0"/>
    <s v="Maguire, Karla"/>
    <x v="0"/>
    <x v="266"/>
    <s v=" SAP AMERICA INC"/>
    <s v="2321402"/>
    <s v="IT-SFT1009-86-OG-US/38"/>
    <m/>
    <s v="9501133254"/>
    <s v="Yes"/>
    <s v="SAP on Prem; 2026 Pullforward"/>
    <s v="4/28/26 CHW New add to tie-out 0223 to 0317 Planful Extracts"/>
    <m/>
    <n v="60272.16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0272.160000000003"/>
    <n v="0"/>
    <n v="0"/>
    <n v="0"/>
    <n v="0"/>
    <n v="0"/>
    <n v="0"/>
    <n v="0"/>
    <n v="0"/>
    <n v="0"/>
    <n v="0"/>
    <n v="0"/>
    <n v="60272.160000000003"/>
  </r>
  <r>
    <x v="457"/>
    <x v="457"/>
    <s v="ERP"/>
    <x v="0"/>
    <x v="0"/>
    <s v="Maguire, Karla"/>
    <x v="0"/>
    <x v="267"/>
    <s v=" SAP AMERICA INC"/>
    <s v="2321402"/>
    <s v="IT-SFT1009-86-OG-US/38/PF"/>
    <m/>
    <s v="9501133254"/>
    <s v="Yes"/>
    <s v="SAP on Prem; 2026 Pullforward"/>
    <s v="4/28/26 CHW New add to tie-out 0223 to 0317 Planful Extracts"/>
    <m/>
    <n v="-60272.16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0272.160000000003"/>
    <n v="0"/>
    <n v="0"/>
    <n v="0"/>
    <n v="0"/>
    <n v="0"/>
    <n v="0"/>
    <n v="0"/>
    <n v="0"/>
    <n v="0"/>
    <n v="0"/>
    <n v="0"/>
    <n v="-60272.160000000003"/>
  </r>
  <r>
    <x v="458"/>
    <x v="458"/>
    <s v="ERP"/>
    <x v="0"/>
    <x v="0"/>
    <s v="Maguire, Karla"/>
    <x v="0"/>
    <x v="268"/>
    <s v=" SAP AMERICA INC"/>
    <s v="2321402"/>
    <s v="IT-SFT1009-86-OG-US/41"/>
    <m/>
    <s v="9501133254"/>
    <s v="Yes"/>
    <s v="SAP on Prem; 2026 Pullforward"/>
    <s v="4/28/26 CHW New add to tie-out 0223 to 0317 Planful Extracts"/>
    <m/>
    <n v="626867.82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26867.82999999996"/>
    <n v="0"/>
    <n v="0"/>
    <n v="0"/>
    <n v="0"/>
    <n v="0"/>
    <n v="0"/>
    <n v="0"/>
    <n v="0"/>
    <n v="0"/>
    <n v="0"/>
    <n v="0"/>
    <n v="626867.82999999996"/>
  </r>
  <r>
    <x v="459"/>
    <x v="459"/>
    <s v="ERP"/>
    <x v="0"/>
    <x v="0"/>
    <s v="Maguire, Karla"/>
    <x v="0"/>
    <x v="269"/>
    <s v=" SAP AMERICA INC"/>
    <s v="2321402"/>
    <s v="IT-SFT1009-86-OG-US/41/PF"/>
    <m/>
    <s v="9501133254"/>
    <s v="Yes"/>
    <s v="SAP on Prem; 2026 Pullforward"/>
    <s v="4/28/26 CHW New add to tie-out 0223 to 0317 Planful Extracts"/>
    <m/>
    <n v="-626867.82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26867.82999999996"/>
    <n v="0"/>
    <n v="0"/>
    <n v="0"/>
    <n v="0"/>
    <n v="0"/>
    <n v="0"/>
    <n v="0"/>
    <n v="0"/>
    <n v="0"/>
    <n v="0"/>
    <n v="0"/>
    <n v="-626867.82999999996"/>
  </r>
  <r>
    <x v="460"/>
    <x v="460"/>
    <s v="ERP"/>
    <x v="0"/>
    <x v="0"/>
    <s v="Maguire, Karla"/>
    <x v="0"/>
    <x v="270"/>
    <s v=" SAP AMERICA INC"/>
    <s v="2321402"/>
    <s v="IT-SFT1009-86-OG-US/45"/>
    <m/>
    <s v="9501133254"/>
    <s v="Yes"/>
    <s v="SAP on Prem; 2026 Pullforward"/>
    <s v="4/28/26 CHW New add to tie-out 0223 to 0317 Planful Extracts"/>
    <m/>
    <n v="15713.1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5713.16"/>
    <n v="0"/>
    <n v="0"/>
    <n v="0"/>
    <n v="0"/>
    <n v="0"/>
    <n v="0"/>
    <n v="0"/>
    <n v="0"/>
    <n v="0"/>
    <n v="0"/>
    <n v="0"/>
    <n v="15713.16"/>
  </r>
  <r>
    <x v="461"/>
    <x v="461"/>
    <s v="ERP"/>
    <x v="0"/>
    <x v="0"/>
    <s v="Maguire, Karla"/>
    <x v="0"/>
    <x v="271"/>
    <s v=" SAP AMERICA INC"/>
    <s v="2321402"/>
    <s v="IT-SFT1009-86-OG-US/45/PF"/>
    <m/>
    <s v="9501133254"/>
    <s v="Yes"/>
    <s v="SAP on Prem; 2026 Pullforward"/>
    <s v="4/28/26 CHW New add to tie-out 0223 to 0317 Planful Extracts"/>
    <m/>
    <n v="-15713.1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5713.16"/>
    <n v="0"/>
    <n v="0"/>
    <n v="0"/>
    <n v="0"/>
    <n v="0"/>
    <n v="0"/>
    <n v="0"/>
    <n v="0"/>
    <n v="0"/>
    <n v="0"/>
    <n v="0"/>
    <n v="-15713.16"/>
  </r>
  <r>
    <x v="462"/>
    <x v="462"/>
    <s v="ERP"/>
    <x v="0"/>
    <x v="0"/>
    <s v="Maguire, Karla"/>
    <x v="0"/>
    <x v="272"/>
    <s v=" SAP AMERICA INC"/>
    <s v="2321402"/>
    <s v="IT-SFT1009-86-OG-US/46"/>
    <m/>
    <s v="9501133254"/>
    <s v="Yes"/>
    <s v="SAP on Prem; 2026 Pullforward"/>
    <s v="4/28/26 CHW New add to tie-out 0223 to 0317 Planful Extracts"/>
    <m/>
    <n v="93075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30750"/>
    <n v="0"/>
    <n v="0"/>
    <n v="0"/>
    <n v="0"/>
    <n v="0"/>
    <n v="0"/>
    <n v="0"/>
    <n v="0"/>
    <n v="0"/>
    <n v="0"/>
    <n v="0"/>
    <n v="930750"/>
  </r>
  <r>
    <x v="463"/>
    <x v="463"/>
    <s v="ERP"/>
    <x v="0"/>
    <x v="0"/>
    <s v="Maguire, Karla"/>
    <x v="0"/>
    <x v="273"/>
    <s v=" SAP AMERICA INC"/>
    <s v="2321402"/>
    <s v="IT-SFT1009-86-OG-US/46/PF"/>
    <m/>
    <s v="9501133254"/>
    <s v="Yes"/>
    <s v="SAP on Prem; 2026 Pullforward"/>
    <s v="4/28/26 CHW New add to tie-out 0223 to 0317 Planful Extracts"/>
    <m/>
    <n v="-93075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30750"/>
    <n v="0"/>
    <n v="0"/>
    <n v="0"/>
    <n v="0"/>
    <n v="0"/>
    <n v="0"/>
    <n v="0"/>
    <n v="0"/>
    <n v="0"/>
    <n v="0"/>
    <n v="0"/>
    <n v="-930750"/>
  </r>
  <r>
    <x v="464"/>
    <x v="464"/>
    <s v="ERP"/>
    <x v="0"/>
    <x v="0"/>
    <s v="Maguire, Karla"/>
    <x v="0"/>
    <x v="274"/>
    <s v=" SAP AMERICA INC"/>
    <s v="2321402"/>
    <s v="IT-SFT1009-86-OG-US/FV"/>
    <m/>
    <s v="9501133254"/>
    <s v="Yes"/>
    <s v="SAP on Prem; 2026 Pullforward"/>
    <s v="4/28/26 CHW New add to tie-out 0223 to 0317 Planful Extracts"/>
    <m/>
    <n v="956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567"/>
    <n v="0"/>
    <n v="0"/>
    <n v="0"/>
    <n v="0"/>
    <n v="0"/>
    <n v="0"/>
    <n v="0"/>
    <n v="0"/>
    <n v="0"/>
    <n v="0"/>
    <n v="0"/>
    <n v="9567"/>
  </r>
  <r>
    <x v="465"/>
    <x v="465"/>
    <s v="ERP"/>
    <x v="0"/>
    <x v="0"/>
    <s v="Maguire, Karla"/>
    <x v="0"/>
    <x v="275"/>
    <s v=" SAP AMERICA INC"/>
    <s v="2321402"/>
    <s v="IT-SFT1009-86-OG-US/FV/PF"/>
    <m/>
    <s v="9501133254"/>
    <s v="Yes"/>
    <s v="SAP on Prem; 2026 Pullforward"/>
    <s v="4/28/26 CHW New add to tie-out 0223 to 0317 Planful Extracts"/>
    <m/>
    <n v="-956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567"/>
    <n v="0"/>
    <n v="0"/>
    <n v="0"/>
    <n v="0"/>
    <n v="0"/>
    <n v="0"/>
    <n v="0"/>
    <n v="0"/>
    <n v="0"/>
    <n v="0"/>
    <n v="0"/>
    <n v="-9567"/>
  </r>
  <r>
    <x v="466"/>
    <x v="466"/>
    <s v="ERP"/>
    <x v="0"/>
    <x v="0"/>
    <s v="Maguire, Karla"/>
    <x v="0"/>
    <x v="276"/>
    <m/>
    <m/>
    <s v="IT-SFT1009-86-OG-US-CB"/>
    <m/>
    <m/>
    <m/>
    <s v="SAP"/>
    <m/>
    <m/>
    <n v="-551382.25"/>
    <n v="-551382.25"/>
    <m/>
    <m/>
    <m/>
    <m/>
    <n v="-551382.25"/>
    <s v=""/>
    <n v="0"/>
    <n v="0"/>
    <n v="0"/>
    <n v="0"/>
    <n v="0"/>
    <n v="0"/>
    <n v="0"/>
    <n v="0"/>
    <n v="-551382.25"/>
    <n v="0"/>
    <n v="0"/>
    <n v="0"/>
    <n v="0"/>
    <m/>
    <n v="0"/>
    <m/>
    <m/>
    <m/>
    <n v="-551382.25"/>
    <n v="0"/>
    <n v="0"/>
    <n v="0"/>
    <n v="0"/>
    <n v="0"/>
    <n v="0"/>
    <n v="0"/>
    <n v="0"/>
    <n v="0"/>
    <n v="-551382.25"/>
    <m/>
    <m/>
    <n v="-551382.25"/>
    <n v="0"/>
    <n v="0"/>
    <n v="0"/>
    <n v="0"/>
    <n v="0"/>
    <n v="0"/>
    <n v="0"/>
    <n v="0"/>
    <n v="0"/>
    <n v="-551382.25"/>
  </r>
  <r>
    <x v="467"/>
    <x v="467"/>
    <s v="ERP"/>
    <x v="0"/>
    <x v="0"/>
    <s v="Maguire, Karla"/>
    <x v="7"/>
    <x v="277"/>
    <m/>
    <m/>
    <s v="IT-SFT1010-86-OG-US"/>
    <m/>
    <m/>
    <m/>
    <s v="SAP SaaS"/>
    <m/>
    <m/>
    <n v="0"/>
    <n v="0"/>
    <m/>
    <m/>
    <n v="4356992.08"/>
    <n v="-4356992.08"/>
    <m/>
    <s v=""/>
    <n v="0"/>
    <m/>
    <m/>
    <m/>
    <m/>
    <m/>
    <m/>
    <m/>
    <n v="0"/>
    <n v="0"/>
    <m/>
    <n v="0"/>
    <n v="0"/>
    <m/>
    <n v="0"/>
    <m/>
    <n v="4356992.08"/>
    <n v="-4356992.08"/>
    <m/>
    <m/>
    <m/>
    <m/>
    <m/>
    <m/>
    <m/>
    <m/>
    <m/>
    <m/>
    <n v="0"/>
    <n v="4356992.08"/>
    <n v="-4356992.08"/>
    <m/>
    <m/>
    <m/>
    <m/>
    <m/>
    <m/>
    <m/>
    <m/>
    <m/>
    <m/>
    <n v="0"/>
  </r>
  <r>
    <x v="468"/>
    <x v="468"/>
    <s v="ERP"/>
    <x v="0"/>
    <x v="0"/>
    <s v="Maguire, Karla"/>
    <x v="0"/>
    <x v="277"/>
    <s v="Prepaid - SAP AMERICA INC"/>
    <s v="2321402"/>
    <s v="IT-SFT1010-86-OG-US"/>
    <m/>
    <s v="9501147739"/>
    <m/>
    <s v="SAP SaaS"/>
    <s v="5/7 CHW - Updated to reflect prepaid schedule"/>
    <m/>
    <n v="4356984"/>
    <n v="4356986.0199999996"/>
    <m/>
    <m/>
    <m/>
    <n v="726165.35"/>
    <n v="363082.67"/>
    <n v="0"/>
    <n v="726165.34"/>
    <n v="363082"/>
    <n v="0"/>
    <n v="726164"/>
    <n v="363082"/>
    <n v="0"/>
    <n v="726164"/>
    <n v="363082"/>
    <n v="4356987.3599999994"/>
    <n v="1.3399999998509884"/>
    <n v="726164"/>
    <n v="1.3399999999674037"/>
    <n v="1.3399999998509884"/>
    <m/>
    <n v="1.3399999998509884"/>
    <m/>
    <m/>
    <n v="726165.35"/>
    <n v="363082.67"/>
    <n v="0"/>
    <n v="726164"/>
    <n v="363082"/>
    <n v="0"/>
    <n v="726164"/>
    <n v="363082"/>
    <n v="0"/>
    <n v="726164"/>
    <n v="363082"/>
    <n v="4356986.0199999996"/>
    <m/>
    <n v="726165.35"/>
    <n v="363082.67"/>
    <n v="363082"/>
    <n v="363082"/>
    <n v="363082"/>
    <n v="363082"/>
    <n v="363082"/>
    <n v="363082"/>
    <n v="363082"/>
    <n v="363082"/>
    <n v="363082"/>
    <n v="4356986.0199999996"/>
  </r>
  <r>
    <x v="469"/>
    <x v="469"/>
    <s v="ERP"/>
    <x v="0"/>
    <x v="0"/>
    <s v="Maguire, Karla"/>
    <x v="0"/>
    <x v="278"/>
    <s v="SEAL SYSTEMS INC"/>
    <s v="2321402"/>
    <s v="IT-SFT1012-86-OG-US"/>
    <m/>
    <m/>
    <m/>
    <s v="Seal"/>
    <m/>
    <m/>
    <n v="5012"/>
    <n v="2512"/>
    <m/>
    <m/>
    <m/>
    <m/>
    <m/>
    <s v=""/>
    <n v="0"/>
    <m/>
    <n v="0"/>
    <n v="0"/>
    <n v="0"/>
    <n v="0"/>
    <n v="2512"/>
    <n v="0"/>
    <n v="2512"/>
    <n v="0"/>
    <m/>
    <n v="0"/>
    <n v="0"/>
    <m/>
    <n v="0"/>
    <m/>
    <m/>
    <m/>
    <m/>
    <m/>
    <m/>
    <m/>
    <n v="0"/>
    <n v="0"/>
    <n v="0"/>
    <n v="0"/>
    <n v="2512"/>
    <n v="0"/>
    <n v="2512"/>
    <m/>
    <m/>
    <m/>
    <m/>
    <m/>
    <n v="2500"/>
    <n v="0"/>
    <n v="0"/>
    <n v="0"/>
    <n v="0"/>
    <n v="2512"/>
    <n v="0"/>
    <n v="5012"/>
  </r>
  <r>
    <x v="470"/>
    <x v="470"/>
    <s v="ERP"/>
    <x v="0"/>
    <x v="15"/>
    <s v="Maguire, Karla"/>
    <x v="0"/>
    <x v="279"/>
    <s v="MarKov"/>
    <s v="2321403"/>
    <s v="IT-SFT1023-86-OG-US"/>
    <m/>
    <s v="9501113130"/>
    <s v="Yes"/>
    <s v="Markov; 2026 Pullforward"/>
    <s v="4/28/26 CHW New add to tie-out 0223 to 0317 Planful Extracts"/>
    <m/>
    <n v="564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6404"/>
    <n v="0"/>
    <n v="0"/>
    <n v="0"/>
    <n v="0"/>
    <n v="0"/>
    <n v="0"/>
    <n v="0"/>
    <n v="0"/>
    <n v="0"/>
    <n v="0"/>
    <n v="0"/>
    <n v="56404"/>
  </r>
  <r>
    <x v="471"/>
    <x v="471"/>
    <s v="ERP"/>
    <x v="0"/>
    <x v="15"/>
    <s v="Maguire, Karla"/>
    <x v="0"/>
    <x v="280"/>
    <s v="MarKov"/>
    <s v="2321403"/>
    <s v="IT-SFT1023-86-OG-US/PF"/>
    <m/>
    <s v="9501113130"/>
    <s v="Yes"/>
    <s v="Markov; 2026 Pullforward"/>
    <s v="4/28/26 CHW New add to tie-out 0223 to 0317 Planful Extracts"/>
    <m/>
    <n v="-564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6404"/>
    <n v="0"/>
    <n v="0"/>
    <n v="0"/>
    <n v="0"/>
    <n v="0"/>
    <n v="0"/>
    <n v="0"/>
    <n v="0"/>
    <n v="0"/>
    <n v="0"/>
    <n v="0"/>
    <n v="-56404"/>
  </r>
  <r>
    <x v="472"/>
    <x v="472"/>
    <s v="ERP"/>
    <x v="1"/>
    <x v="4"/>
    <s v="DeHart, Lynn"/>
    <x v="0"/>
    <x v="281"/>
    <s v="Descartes"/>
    <s v="2321347"/>
    <s v="IT-SFT1040-02-OG-US"/>
    <m/>
    <s v="9501157278"/>
    <s v="Yes"/>
    <s v="2026 Pullforward"/>
    <s v="4/28/26 CHW New add to tie-out 0223 to 0317 Planful Extracts"/>
    <m/>
    <n v="26967.21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967.21"/>
    <n v="0"/>
    <n v="0"/>
    <n v="0"/>
    <n v="0"/>
    <n v="0"/>
    <n v="0"/>
    <n v="0"/>
    <n v="0"/>
    <n v="0"/>
    <n v="0"/>
    <n v="0"/>
    <n v="26967.21"/>
  </r>
  <r>
    <x v="473"/>
    <x v="473"/>
    <s v="ERP"/>
    <x v="1"/>
    <x v="4"/>
    <s v="DeHart, Lynn"/>
    <x v="0"/>
    <x v="282"/>
    <s v="Descartes"/>
    <s v="2321347"/>
    <s v="IT-SFT1040-02-OG-US/PF"/>
    <m/>
    <s v="9501157278"/>
    <s v="Yes"/>
    <s v="2026 Pullforward"/>
    <s v="4/28/26 CHW New add to tie-out 0223 to 0317 Planful Extracts"/>
    <m/>
    <n v="-26967.2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967.21"/>
    <n v="0"/>
    <n v="0"/>
    <n v="0"/>
    <n v="0"/>
    <n v="0"/>
    <n v="0"/>
    <n v="0"/>
    <n v="0"/>
    <n v="0"/>
    <n v="0"/>
    <n v="0"/>
    <n v="-26967.21"/>
  </r>
  <r>
    <x v="474"/>
    <x v="474"/>
    <s v="ERP"/>
    <x v="1"/>
    <x v="5"/>
    <s v="DeHart, Lynn"/>
    <x v="0"/>
    <x v="283"/>
    <m/>
    <m/>
    <s v="IT-SFT1042-02-OG-US"/>
    <m/>
    <m/>
    <m/>
    <s v="None"/>
    <m/>
    <m/>
    <n v="5000"/>
    <n v="5000"/>
    <m/>
    <m/>
    <m/>
    <m/>
    <m/>
    <s v=""/>
    <n v="0"/>
    <m/>
    <m/>
    <m/>
    <m/>
    <m/>
    <m/>
    <n v="5000"/>
    <n v="5000"/>
    <n v="0"/>
    <m/>
    <n v="0"/>
    <n v="0"/>
    <m/>
    <n v="0"/>
    <s v="Visual Compliance"/>
    <m/>
    <m/>
    <m/>
    <m/>
    <m/>
    <m/>
    <m/>
    <m/>
    <m/>
    <m/>
    <m/>
    <n v="5000"/>
    <n v="5000"/>
    <m/>
    <m/>
    <m/>
    <m/>
    <m/>
    <m/>
    <m/>
    <m/>
    <m/>
    <m/>
    <m/>
    <n v="5000"/>
    <n v="5000"/>
  </r>
  <r>
    <x v="475"/>
    <x v="475"/>
    <s v="ERP"/>
    <x v="0"/>
    <x v="10"/>
    <s v="Maguire, Karla"/>
    <x v="0"/>
    <x v="284"/>
    <m/>
    <m/>
    <s v="IT-SFT1119-86-OG-US"/>
    <m/>
    <m/>
    <m/>
    <s v="M365 / O365"/>
    <m/>
    <m/>
    <n v="1200"/>
    <n v="600"/>
    <m/>
    <m/>
    <m/>
    <m/>
    <m/>
    <s v=""/>
    <n v="0"/>
    <m/>
    <n v="600"/>
    <n v="0"/>
    <n v="0"/>
    <n v="0"/>
    <n v="0"/>
    <n v="0"/>
    <n v="600"/>
    <n v="0"/>
    <m/>
    <n v="0"/>
    <n v="0"/>
    <m/>
    <n v="0"/>
    <m/>
    <m/>
    <m/>
    <m/>
    <m/>
    <m/>
    <m/>
    <n v="600"/>
    <n v="0"/>
    <n v="0"/>
    <n v="0"/>
    <n v="0"/>
    <n v="0"/>
    <n v="600"/>
    <m/>
    <m/>
    <m/>
    <m/>
    <m/>
    <m/>
    <n v="600"/>
    <n v="0"/>
    <n v="0"/>
    <n v="0"/>
    <n v="0"/>
    <n v="0"/>
    <n v="600"/>
  </r>
  <r>
    <x v="476"/>
    <x v="476"/>
    <s v="ERP"/>
    <x v="0"/>
    <x v="10"/>
    <s v="Maguire, Karla"/>
    <x v="0"/>
    <x v="285"/>
    <m/>
    <m/>
    <s v="IT-SFT1121-86-OG-US"/>
    <m/>
    <m/>
    <m/>
    <s v="M365 / O365"/>
    <m/>
    <m/>
    <n v="600"/>
    <n v="600"/>
    <m/>
    <m/>
    <m/>
    <m/>
    <m/>
    <s v=""/>
    <n v="0"/>
    <m/>
    <m/>
    <m/>
    <m/>
    <m/>
    <m/>
    <n v="600"/>
    <n v="600"/>
    <n v="0"/>
    <m/>
    <n v="0"/>
    <n v="0"/>
    <m/>
    <n v="0"/>
    <m/>
    <m/>
    <m/>
    <m/>
    <m/>
    <m/>
    <m/>
    <m/>
    <m/>
    <m/>
    <m/>
    <m/>
    <n v="600"/>
    <n v="600"/>
    <m/>
    <m/>
    <m/>
    <m/>
    <m/>
    <m/>
    <m/>
    <m/>
    <m/>
    <m/>
    <m/>
    <n v="600"/>
    <n v="600"/>
  </r>
  <r>
    <x v="477"/>
    <x v="477"/>
    <s v="ERP"/>
    <x v="1"/>
    <x v="5"/>
    <s v="DeHart, Lynn"/>
    <x v="0"/>
    <x v="286"/>
    <m/>
    <m/>
    <s v="IT-SFT1126-86-OG-US"/>
    <m/>
    <m/>
    <m/>
    <s v="MuleSoft"/>
    <m/>
    <m/>
    <n v="25000"/>
    <n v="25000"/>
    <m/>
    <m/>
    <m/>
    <m/>
    <m/>
    <s v=""/>
    <n v="0"/>
    <m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x v="478"/>
    <x v="478"/>
    <s v="ERP"/>
    <x v="1"/>
    <x v="2"/>
    <s v="DeHart, Lynn"/>
    <x v="0"/>
    <x v="287"/>
    <m/>
    <m/>
    <s v="IT-SFT1139-86-OG-US"/>
    <m/>
    <s v="9501082709"/>
    <m/>
    <s v="Celonis"/>
    <s v="5/4 CHW adjusted prepaid schedule"/>
    <m/>
    <n v="7299999.96"/>
    <n v="7299999.96"/>
    <m/>
    <m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n v="0"/>
    <n v="1216666.6599999999"/>
    <n v="0"/>
    <n v="0"/>
    <m/>
    <n v="0"/>
    <m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m/>
    <n v="1216666.6599999999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7299999.96"/>
  </r>
  <r>
    <x v="479"/>
    <x v="479"/>
    <s v="ERP"/>
    <x v="0"/>
    <x v="8"/>
    <s v="Maguire, Karla"/>
    <x v="0"/>
    <x v="288"/>
    <s v="TRICENTIS USA CORP"/>
    <s v="2321403"/>
    <s v="IT-SFT1147-86-OG-US"/>
    <m/>
    <s v="9500837875"/>
    <s v="Yes"/>
    <s v="SAP Tosca Automation"/>
    <s v="5/13/26 CHW - For review as not sure this hit in 2025"/>
    <m/>
    <n v="12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20000"/>
    <n v="0"/>
    <n v="0"/>
    <n v="0"/>
    <n v="0"/>
    <n v="0"/>
    <n v="0"/>
    <n v="0"/>
    <n v="0"/>
    <n v="0"/>
    <n v="0"/>
    <n v="0"/>
    <n v="120000"/>
  </r>
  <r>
    <x v="480"/>
    <x v="480"/>
    <s v="ERP"/>
    <x v="0"/>
    <x v="8"/>
    <s v="Maguire, Karla"/>
    <x v="0"/>
    <x v="289"/>
    <s v="TRICENTIS USA CORP"/>
    <s v="2321403"/>
    <s v="IT-SFT1147-86-OG-US/PF"/>
    <m/>
    <s v="9500837875"/>
    <s v="Yes"/>
    <s v="SAP Tosca Automation"/>
    <s v="5/13/26 CHW - For review as not sure this hit in 2025"/>
    <m/>
    <n v="-12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20000"/>
    <n v="0"/>
    <n v="0"/>
    <n v="0"/>
    <n v="0"/>
    <n v="0"/>
    <n v="0"/>
    <n v="0"/>
    <n v="0"/>
    <n v="0"/>
    <n v="0"/>
    <n v="0"/>
    <n v="-120000"/>
  </r>
  <r>
    <x v="481"/>
    <x v="481"/>
    <s v="ERP"/>
    <x v="0"/>
    <x v="9"/>
    <s v="Maguire, Karla"/>
    <x v="0"/>
    <x v="290"/>
    <s v="Avalon"/>
    <s v="2329614"/>
    <s v="IT-SFT1172-86-OG-US"/>
    <m/>
    <s v="9501143257"/>
    <s v="Yes"/>
    <s v="Radio Freq devices; 2026 Budget Transfer; 2026 Pullforward"/>
    <s v="4/28/26 CHW New add to tie-out 0223 to 0317 Planful Extracts"/>
    <m/>
    <n v="99064.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9064.42"/>
    <n v="0"/>
    <n v="0"/>
    <n v="0"/>
    <n v="0"/>
    <n v="0"/>
    <n v="0"/>
    <n v="0"/>
    <n v="0"/>
    <n v="0"/>
    <n v="0"/>
    <n v="0"/>
    <n v="99064.42"/>
  </r>
  <r>
    <x v="482"/>
    <x v="482"/>
    <s v="ERP"/>
    <x v="0"/>
    <x v="9"/>
    <s v="Maguire, Karla"/>
    <x v="0"/>
    <x v="291"/>
    <s v="Avalon"/>
    <s v="2329614"/>
    <s v="IT-SFT1172-86-OG-US/PF"/>
    <m/>
    <s v="9501143257"/>
    <s v="Yes"/>
    <s v="Radio Freq devices; 2026 Budget Transfer; 2026 Pullforward"/>
    <s v="4/28/26 CHW New add to tie-out 0223 to 0317 Planful Extracts"/>
    <m/>
    <n v="-99064.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9064.42"/>
    <n v="0"/>
    <n v="0"/>
    <n v="0"/>
    <n v="0"/>
    <n v="0"/>
    <n v="0"/>
    <n v="0"/>
    <n v="0"/>
    <n v="0"/>
    <n v="0"/>
    <n v="0"/>
    <n v="-99064.42"/>
  </r>
  <r>
    <x v="483"/>
    <x v="483"/>
    <s v="ERP"/>
    <x v="0"/>
    <x v="0"/>
    <s v="Maguire, Karla"/>
    <x v="0"/>
    <x v="292"/>
    <s v="Prepaid - SAP AMERICA INC"/>
    <s v="2321402"/>
    <s v="IT-SFT1185-86-OG-US"/>
    <m/>
    <m/>
    <m/>
    <s v="SAP SaaS; 2026 Budget Transfer"/>
    <s v="5/7 CHW - Adj to match prepaid schedule which run 10/1/2025 to 9/30/2026; 3% increase added to renewal"/>
    <m/>
    <n v="1136537.76"/>
    <n v="1100039.77"/>
    <m/>
    <m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0"/>
    <n v="181839.84"/>
    <n v="0"/>
    <n v="0"/>
    <m/>
    <n v="0"/>
    <m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818279"/>
    <n v="-636439.42000000004"/>
    <n v="90919.92"/>
    <n v="90919.92"/>
    <n v="90919.92"/>
    <n v="90919.92"/>
    <n v="90919.92"/>
    <n v="90919.92"/>
    <n v="90919.92"/>
    <n v="106085.92"/>
    <n v="106085.92"/>
    <n v="106085.92"/>
    <n v="1136536.78"/>
  </r>
  <r>
    <x v="484"/>
    <x v="484"/>
    <s v="ERP"/>
    <x v="0"/>
    <x v="0"/>
    <s v="Maguire, Karla"/>
    <x v="0"/>
    <x v="293"/>
    <m/>
    <m/>
    <s v="IT-SFT1185-86-OG-US/01"/>
    <m/>
    <m/>
    <m/>
    <s v="2024 Transfer"/>
    <s v="5/7 CHW - Add 3% renewal"/>
    <m/>
    <n v="287700"/>
    <n v="297194"/>
    <m/>
    <m/>
    <m/>
    <m/>
    <m/>
    <s v=""/>
    <n v="0"/>
    <m/>
    <m/>
    <m/>
    <m/>
    <n v="297194"/>
    <n v="0"/>
    <n v="0"/>
    <n v="297194"/>
    <n v="0"/>
    <m/>
    <n v="0"/>
    <n v="0"/>
    <m/>
    <n v="0"/>
    <m/>
    <m/>
    <m/>
    <m/>
    <m/>
    <m/>
    <m/>
    <m/>
    <m/>
    <m/>
    <n v="297194"/>
    <n v="0"/>
    <n v="0"/>
    <n v="297194"/>
    <m/>
    <m/>
    <m/>
    <m/>
    <m/>
    <m/>
    <m/>
    <m/>
    <m/>
    <n v="287700"/>
    <n v="0"/>
    <n v="0"/>
    <n v="287700"/>
  </r>
  <r>
    <x v="485"/>
    <x v="485"/>
    <s v="ERP"/>
    <x v="0"/>
    <x v="0"/>
    <s v="Maguire, Karla"/>
    <x v="0"/>
    <x v="294"/>
    <m/>
    <m/>
    <s v="IT-SFT1186-86-OG-US"/>
    <m/>
    <m/>
    <m/>
    <s v="SAP"/>
    <m/>
    <m/>
    <n v="58000"/>
    <n v="58000"/>
    <m/>
    <m/>
    <m/>
    <m/>
    <m/>
    <s v=""/>
    <n v="0"/>
    <m/>
    <m/>
    <m/>
    <n v="22000"/>
    <n v="0"/>
    <n v="36000"/>
    <n v="0"/>
    <n v="58000"/>
    <n v="0"/>
    <m/>
    <n v="0"/>
    <n v="0"/>
    <m/>
    <n v="0"/>
    <m/>
    <m/>
    <m/>
    <m/>
    <m/>
    <m/>
    <m/>
    <m/>
    <m/>
    <n v="22000"/>
    <n v="0"/>
    <n v="36000"/>
    <n v="0"/>
    <n v="58000"/>
    <m/>
    <m/>
    <m/>
    <m/>
    <m/>
    <m/>
    <m/>
    <m/>
    <n v="22000"/>
    <n v="0"/>
    <n v="36000"/>
    <n v="0"/>
    <n v="58000"/>
  </r>
  <r>
    <x v="486"/>
    <x v="486"/>
    <s v="ERP"/>
    <x v="1"/>
    <x v="12"/>
    <s v="DeHart, Lynn"/>
    <x v="0"/>
    <x v="295"/>
    <m/>
    <m/>
    <s v="IT-SFT1194-86-OG-US"/>
    <m/>
    <s v="N/A"/>
    <m/>
    <s v="DevSecOps"/>
    <m/>
    <m/>
    <n v="0"/>
    <n v="3886.48"/>
    <m/>
    <m/>
    <m/>
    <m/>
    <n v="3886.48"/>
    <n v="174.65"/>
    <n v="0"/>
    <n v="0"/>
    <n v="0"/>
    <n v="0"/>
    <n v="0"/>
    <n v="0"/>
    <n v="0"/>
    <n v="0"/>
    <n v="4061.13"/>
    <n v="174.65000000000009"/>
    <n v="0"/>
    <n v="0"/>
    <n v="174.65000000000009"/>
    <m/>
    <n v="174.65000000000009"/>
    <m/>
    <m/>
    <m/>
    <n v="3886.48"/>
    <n v="0"/>
    <n v="0"/>
    <n v="0"/>
    <n v="0"/>
    <n v="0"/>
    <n v="0"/>
    <n v="0"/>
    <n v="0"/>
    <n v="0"/>
    <n v="3886.48"/>
    <m/>
    <m/>
    <n v="3886.48"/>
    <n v="0"/>
    <n v="0"/>
    <n v="0"/>
    <n v="0"/>
    <n v="0"/>
    <n v="0"/>
    <n v="0"/>
    <n v="0"/>
    <n v="0"/>
    <n v="3886.48"/>
  </r>
  <r>
    <x v="487"/>
    <x v="487"/>
    <s v="ERP"/>
    <x v="0"/>
    <x v="0"/>
    <s v="Maguire, Karla"/>
    <x v="0"/>
    <x v="295"/>
    <m/>
    <m/>
    <s v="IT-SFT1194-86-OG-US"/>
    <m/>
    <s v="N/A"/>
    <m/>
    <s v="DevSecOps"/>
    <m/>
    <m/>
    <n v="124504"/>
    <n v="146423.48000000001"/>
    <m/>
    <m/>
    <m/>
    <m/>
    <n v="61919.48"/>
    <n v="0"/>
    <n v="0"/>
    <n v="40000"/>
    <n v="0"/>
    <n v="0"/>
    <n v="40000"/>
    <n v="0"/>
    <n v="4504"/>
    <n v="0"/>
    <n v="146423.48000000001"/>
    <n v="0"/>
    <n v="0"/>
    <n v="0"/>
    <n v="0"/>
    <m/>
    <n v="0"/>
    <m/>
    <m/>
    <m/>
    <n v="61919.48"/>
    <n v="0"/>
    <n v="0"/>
    <n v="40000"/>
    <n v="0"/>
    <n v="0"/>
    <n v="40000"/>
    <n v="0"/>
    <n v="4504"/>
    <n v="0"/>
    <n v="146423.48000000001"/>
    <m/>
    <m/>
    <n v="61919.48"/>
    <n v="0"/>
    <n v="0"/>
    <n v="40000"/>
    <n v="0"/>
    <n v="0"/>
    <n v="40000"/>
    <n v="0"/>
    <n v="4504"/>
    <n v="0"/>
    <n v="146423.48000000001"/>
  </r>
  <r>
    <x v="488"/>
    <x v="488"/>
    <s v="ERP"/>
    <x v="1"/>
    <x v="5"/>
    <s v="DeHart, Lynn"/>
    <x v="0"/>
    <x v="295"/>
    <m/>
    <m/>
    <s v="IT-SFT1194-86-OG-US"/>
    <m/>
    <s v="N/A"/>
    <m/>
    <s v="DevSecOps"/>
    <m/>
    <m/>
    <n v="8000"/>
    <n v="16362.7"/>
    <m/>
    <m/>
    <m/>
    <m/>
    <n v="10362.700000000001"/>
    <n v="0"/>
    <n v="0"/>
    <n v="2000"/>
    <n v="0"/>
    <n v="0"/>
    <n v="2000"/>
    <n v="0"/>
    <n v="2000"/>
    <n v="0"/>
    <n v="16362.7"/>
    <n v="0"/>
    <n v="0"/>
    <n v="0"/>
    <n v="0"/>
    <m/>
    <n v="0"/>
    <m/>
    <m/>
    <m/>
    <n v="10362.700000000001"/>
    <n v="0"/>
    <n v="0"/>
    <n v="2000"/>
    <n v="0"/>
    <n v="0"/>
    <n v="2000"/>
    <n v="0"/>
    <n v="2000"/>
    <n v="0"/>
    <n v="16362.7"/>
    <m/>
    <m/>
    <n v="10362.700000000001"/>
    <n v="0"/>
    <n v="0"/>
    <n v="2000"/>
    <n v="0"/>
    <n v="0"/>
    <n v="2000"/>
    <n v="0"/>
    <n v="2000"/>
    <n v="0"/>
    <n v="16362.7"/>
  </r>
  <r>
    <x v="489"/>
    <x v="489"/>
    <s v="ERP"/>
    <x v="1"/>
    <x v="3"/>
    <s v="DeHart, Lynn"/>
    <x v="0"/>
    <x v="295"/>
    <m/>
    <m/>
    <s v="IT-SFT1194-86-OG-US"/>
    <m/>
    <s v="N/A"/>
    <m/>
    <s v="DevSecOps"/>
    <m/>
    <m/>
    <n v="13200"/>
    <n v="19370.91"/>
    <m/>
    <m/>
    <m/>
    <m/>
    <n v="9470.91"/>
    <n v="0"/>
    <n v="0"/>
    <n v="3300"/>
    <n v="0"/>
    <n v="0"/>
    <n v="3300"/>
    <n v="0"/>
    <n v="0"/>
    <n v="3300"/>
    <n v="19370.91"/>
    <n v="0"/>
    <n v="0"/>
    <n v="0"/>
    <n v="0"/>
    <m/>
    <n v="0"/>
    <m/>
    <m/>
    <m/>
    <n v="9470.91"/>
    <n v="0"/>
    <n v="0"/>
    <n v="3300"/>
    <n v="0"/>
    <n v="0"/>
    <n v="3300"/>
    <n v="0"/>
    <n v="0"/>
    <n v="3300"/>
    <n v="19370.91"/>
    <m/>
    <m/>
    <n v="9470.91"/>
    <n v="0"/>
    <n v="0"/>
    <n v="3300"/>
    <n v="0"/>
    <n v="0"/>
    <n v="3300"/>
    <n v="0"/>
    <n v="0"/>
    <n v="3300"/>
    <n v="19370.91"/>
  </r>
  <r>
    <x v="490"/>
    <x v="490"/>
    <s v="ERP"/>
    <x v="1"/>
    <x v="13"/>
    <s v="DeHart, Lynn"/>
    <x v="0"/>
    <x v="295"/>
    <m/>
    <m/>
    <s v="IT-SFT1194-86-OG-US"/>
    <m/>
    <s v="N/A"/>
    <m/>
    <s v="DevSecOps"/>
    <m/>
    <m/>
    <n v="12000"/>
    <n v="19022.099999999999"/>
    <m/>
    <m/>
    <m/>
    <m/>
    <n v="10022.1"/>
    <n v="0"/>
    <n v="0"/>
    <n v="3000"/>
    <n v="0"/>
    <n v="0"/>
    <n v="3000"/>
    <n v="0"/>
    <n v="0"/>
    <n v="3000"/>
    <n v="19022.099999999999"/>
    <n v="0"/>
    <n v="0"/>
    <n v="0"/>
    <n v="0"/>
    <m/>
    <n v="0"/>
    <m/>
    <m/>
    <m/>
    <n v="10022.1"/>
    <n v="0"/>
    <n v="0"/>
    <n v="3000"/>
    <n v="0"/>
    <n v="0"/>
    <n v="3000"/>
    <n v="0"/>
    <n v="0"/>
    <n v="3000"/>
    <n v="19022.099999999999"/>
    <m/>
    <m/>
    <n v="10022.1"/>
    <n v="0"/>
    <n v="0"/>
    <n v="3000"/>
    <n v="0"/>
    <n v="0"/>
    <n v="3000"/>
    <n v="0"/>
    <n v="0"/>
    <n v="3000"/>
    <n v="19022.099999999999"/>
  </r>
  <r>
    <x v="491"/>
    <x v="491"/>
    <s v="ERP"/>
    <x v="1"/>
    <x v="4"/>
    <s v="DeHart, Lynn"/>
    <x v="0"/>
    <x v="295"/>
    <m/>
    <m/>
    <s v="IT-SFT1194-86-OG-US"/>
    <m/>
    <s v="N/A"/>
    <m/>
    <s v="DevSecOps"/>
    <m/>
    <m/>
    <n v="30000"/>
    <n v="33718.54"/>
    <m/>
    <m/>
    <m/>
    <m/>
    <n v="11218.54"/>
    <n v="0"/>
    <n v="0"/>
    <n v="7500"/>
    <n v="0"/>
    <n v="0"/>
    <n v="7500"/>
    <n v="0"/>
    <n v="7500"/>
    <n v="0"/>
    <n v="33718.54"/>
    <n v="0"/>
    <n v="0"/>
    <n v="0"/>
    <n v="0"/>
    <m/>
    <n v="0"/>
    <m/>
    <m/>
    <m/>
    <n v="11218.54"/>
    <n v="0"/>
    <n v="0"/>
    <n v="7500"/>
    <n v="0"/>
    <n v="0"/>
    <n v="7500"/>
    <n v="0"/>
    <n v="7500"/>
    <n v="0"/>
    <n v="33718.54"/>
    <m/>
    <m/>
    <n v="11218.54"/>
    <n v="0"/>
    <n v="0"/>
    <n v="7500"/>
    <n v="0"/>
    <n v="0"/>
    <n v="7500"/>
    <n v="0"/>
    <n v="7500"/>
    <n v="0"/>
    <n v="33718.54"/>
  </r>
  <r>
    <x v="492"/>
    <x v="492"/>
    <s v="ERP"/>
    <x v="1"/>
    <x v="6"/>
    <s v="DeHart, Lynn"/>
    <x v="0"/>
    <x v="295"/>
    <m/>
    <m/>
    <s v="IT-SFT1194-86-OG-US"/>
    <m/>
    <s v="N/A"/>
    <m/>
    <s v="DevSecOps"/>
    <m/>
    <m/>
    <n v="8000"/>
    <n v="17389.7"/>
    <m/>
    <m/>
    <m/>
    <m/>
    <n v="11389.7"/>
    <n v="0"/>
    <n v="0"/>
    <n v="2000"/>
    <n v="0"/>
    <n v="0"/>
    <n v="2000"/>
    <n v="0"/>
    <n v="2000"/>
    <n v="0"/>
    <n v="17389.7"/>
    <n v="0"/>
    <n v="0"/>
    <n v="0"/>
    <n v="0"/>
    <m/>
    <n v="0"/>
    <m/>
    <m/>
    <m/>
    <n v="11389.7"/>
    <n v="0"/>
    <n v="0"/>
    <n v="2000"/>
    <n v="0"/>
    <n v="0"/>
    <n v="2000"/>
    <n v="0"/>
    <n v="2000"/>
    <n v="0"/>
    <n v="17389.7"/>
    <m/>
    <m/>
    <n v="11389.7"/>
    <n v="0"/>
    <n v="0"/>
    <n v="2000"/>
    <n v="0"/>
    <n v="0"/>
    <n v="2000"/>
    <n v="0"/>
    <n v="2000"/>
    <n v="0"/>
    <n v="17389.7"/>
  </r>
  <r>
    <x v="493"/>
    <x v="493"/>
    <s v="ERP"/>
    <x v="0"/>
    <x v="10"/>
    <s v="Maguire, Karla"/>
    <x v="0"/>
    <x v="295"/>
    <m/>
    <m/>
    <s v="IT-SFT1194-86-OG-US"/>
    <m/>
    <s v="N/A"/>
    <m/>
    <s v="DevSecOps"/>
    <m/>
    <m/>
    <n v="50000"/>
    <n v="38665"/>
    <m/>
    <m/>
    <m/>
    <m/>
    <n v="1165"/>
    <n v="0"/>
    <n v="0"/>
    <n v="12500"/>
    <n v="0"/>
    <n v="0"/>
    <n v="12500"/>
    <n v="0"/>
    <n v="12500"/>
    <n v="0"/>
    <n v="38665"/>
    <n v="0"/>
    <n v="0"/>
    <n v="0"/>
    <n v="0"/>
    <m/>
    <n v="0"/>
    <m/>
    <m/>
    <m/>
    <n v="1165"/>
    <n v="0"/>
    <n v="0"/>
    <n v="12500"/>
    <n v="0"/>
    <n v="0"/>
    <n v="12500"/>
    <n v="0"/>
    <n v="12500"/>
    <n v="0"/>
    <n v="38665"/>
    <m/>
    <m/>
    <n v="1165"/>
    <n v="0"/>
    <n v="0"/>
    <n v="12500"/>
    <n v="0"/>
    <n v="0"/>
    <n v="12500"/>
    <n v="0"/>
    <n v="12500"/>
    <n v="0"/>
    <n v="38665"/>
  </r>
  <r>
    <x v="494"/>
    <x v="494"/>
    <s v="ERP"/>
    <x v="0"/>
    <x v="9"/>
    <s v="Maguire, Karla"/>
    <x v="0"/>
    <x v="295"/>
    <m/>
    <m/>
    <s v="IT-SFT1194-86-OG-US"/>
    <m/>
    <s v="N/A"/>
    <m/>
    <s v="DevSecOps"/>
    <m/>
    <m/>
    <n v="3000"/>
    <n v="3010.21"/>
    <m/>
    <m/>
    <m/>
    <m/>
    <n v="410.21"/>
    <n v="0"/>
    <n v="0"/>
    <n v="0"/>
    <n v="0"/>
    <n v="0"/>
    <n v="0"/>
    <n v="0"/>
    <n v="0"/>
    <n v="0"/>
    <n v="410.21"/>
    <n v="-2600"/>
    <n v="0"/>
    <n v="0"/>
    <n v="-2600"/>
    <m/>
    <n v="-2600"/>
    <m/>
    <m/>
    <m/>
    <n v="410.21"/>
    <n v="2600"/>
    <n v="0"/>
    <n v="0"/>
    <n v="0"/>
    <n v="0"/>
    <n v="0"/>
    <n v="0"/>
    <n v="0"/>
    <n v="0"/>
    <n v="3010.21"/>
    <m/>
    <m/>
    <n v="410.21"/>
    <n v="3000"/>
    <n v="0"/>
    <n v="0"/>
    <n v="0"/>
    <n v="0"/>
    <n v="0"/>
    <n v="0"/>
    <n v="0"/>
    <n v="0"/>
    <n v="3410.21"/>
  </r>
  <r>
    <x v="495"/>
    <x v="495"/>
    <s v="ERP"/>
    <x v="2"/>
    <x v="11"/>
    <s v="McGettigan, David"/>
    <x v="0"/>
    <x v="295"/>
    <m/>
    <m/>
    <s v="IT-SFT1194-86-OG-US"/>
    <m/>
    <s v="N/A"/>
    <m/>
    <s v="DevSecOps"/>
    <m/>
    <m/>
    <n v="0"/>
    <n v="95.05"/>
    <m/>
    <m/>
    <m/>
    <m/>
    <n v="95.05"/>
    <n v="0"/>
    <n v="0"/>
    <n v="0"/>
    <n v="0"/>
    <n v="0"/>
    <n v="0"/>
    <n v="0"/>
    <n v="0"/>
    <n v="0"/>
    <n v="95.05"/>
    <n v="0"/>
    <n v="0"/>
    <n v="0"/>
    <n v="0"/>
    <m/>
    <n v="0"/>
    <m/>
    <m/>
    <m/>
    <n v="95.05"/>
    <n v="0"/>
    <n v="0"/>
    <n v="0"/>
    <n v="0"/>
    <n v="0"/>
    <n v="0"/>
    <n v="0"/>
    <n v="0"/>
    <n v="0"/>
    <n v="95.05"/>
    <m/>
    <m/>
    <n v="95.05"/>
    <n v="0"/>
    <n v="0"/>
    <n v="0"/>
    <n v="0"/>
    <n v="0"/>
    <n v="0"/>
    <n v="0"/>
    <n v="0"/>
    <n v="0"/>
    <n v="95.05"/>
  </r>
  <r>
    <x v="496"/>
    <x v="496"/>
    <s v="ERP"/>
    <x v="0"/>
    <x v="8"/>
    <s v="Maguire, Karla"/>
    <x v="0"/>
    <x v="295"/>
    <m/>
    <m/>
    <s v="IT-SFT1194-86-OG-US"/>
    <m/>
    <s v="N/A"/>
    <m/>
    <s v="DevSecOps"/>
    <m/>
    <m/>
    <n v="2800"/>
    <n v="11294.74"/>
    <m/>
    <m/>
    <m/>
    <m/>
    <n v="3116.74"/>
    <n v="0"/>
    <n v="0"/>
    <n v="2726"/>
    <n v="0"/>
    <n v="0"/>
    <n v="2726"/>
    <n v="0"/>
    <n v="2726"/>
    <n v="0"/>
    <n v="11294.74"/>
    <n v="0"/>
    <n v="0"/>
    <n v="0"/>
    <n v="0"/>
    <m/>
    <n v="0"/>
    <m/>
    <m/>
    <m/>
    <n v="3116.74"/>
    <n v="0"/>
    <n v="0"/>
    <n v="2726"/>
    <n v="0"/>
    <n v="0"/>
    <n v="2726"/>
    <n v="0"/>
    <n v="2726"/>
    <n v="0"/>
    <n v="11294.74"/>
    <m/>
    <m/>
    <n v="3116.74"/>
    <n v="0"/>
    <n v="0"/>
    <n v="700"/>
    <n v="0"/>
    <n v="0"/>
    <n v="700"/>
    <n v="0"/>
    <n v="700"/>
    <n v="0"/>
    <n v="5216.74"/>
  </r>
  <r>
    <x v="497"/>
    <x v="497"/>
    <s v="ERP"/>
    <x v="0"/>
    <x v="15"/>
    <s v="Maguire, Karla"/>
    <x v="0"/>
    <x v="295"/>
    <m/>
    <m/>
    <s v="IT-SFT1194-86-OG-US"/>
    <m/>
    <s v="N/A"/>
    <m/>
    <s v="DevSecOps"/>
    <m/>
    <m/>
    <n v="800"/>
    <n v="4147.87"/>
    <m/>
    <m/>
    <m/>
    <m/>
    <n v="3547.87"/>
    <n v="0"/>
    <n v="0"/>
    <n v="200"/>
    <n v="0"/>
    <n v="0"/>
    <n v="200"/>
    <n v="0"/>
    <n v="200"/>
    <n v="0"/>
    <n v="4147.87"/>
    <n v="0"/>
    <n v="0"/>
    <n v="0"/>
    <n v="0"/>
    <m/>
    <n v="0"/>
    <m/>
    <m/>
    <m/>
    <n v="3547.87"/>
    <n v="0"/>
    <n v="0"/>
    <n v="200"/>
    <n v="0"/>
    <n v="0"/>
    <n v="200"/>
    <n v="0"/>
    <n v="200"/>
    <n v="0"/>
    <n v="4147.87"/>
    <m/>
    <m/>
    <n v="3547.87"/>
    <n v="0"/>
    <n v="0"/>
    <n v="200"/>
    <n v="0"/>
    <n v="0"/>
    <n v="200"/>
    <n v="0"/>
    <n v="200"/>
    <n v="0"/>
    <n v="4147.87"/>
  </r>
  <r>
    <x v="498"/>
    <x v="498"/>
    <s v="ERP"/>
    <x v="3"/>
    <x v="14"/>
    <s v="Robertson, Jerome"/>
    <x v="0"/>
    <x v="295"/>
    <m/>
    <m/>
    <s v="IT-SFT1194-86-OG-US"/>
    <m/>
    <s v="N/A"/>
    <m/>
    <s v="DevSecOps"/>
    <s v="4/28 - (JAR) updated subsequent months with $8224"/>
    <m/>
    <n v="17784.52"/>
    <n v="32897.279999999999"/>
    <m/>
    <m/>
    <m/>
    <m/>
    <n v="8224.32"/>
    <n v="0"/>
    <n v="0"/>
    <n v="8224.32"/>
    <n v="0"/>
    <n v="0"/>
    <n v="8224.32"/>
    <n v="0"/>
    <n v="8224.32"/>
    <n v="0"/>
    <n v="32897.279999999999"/>
    <n v="0"/>
    <n v="0"/>
    <n v="0"/>
    <n v="0"/>
    <m/>
    <n v="0"/>
    <m/>
    <m/>
    <m/>
    <n v="8224.32"/>
    <n v="0"/>
    <n v="0"/>
    <n v="8224.32"/>
    <n v="0"/>
    <n v="0"/>
    <n v="8224.32"/>
    <n v="0"/>
    <n v="8224.32"/>
    <n v="0"/>
    <n v="32897.279999999999"/>
    <m/>
    <m/>
    <n v="8224.32"/>
    <n v="0"/>
    <n v="0"/>
    <n v="4446.13"/>
    <n v="0"/>
    <n v="0"/>
    <n v="4446.13"/>
    <n v="0"/>
    <n v="4446.13"/>
    <n v="0"/>
    <n v="21562.710000000003"/>
  </r>
  <r>
    <x v="499"/>
    <x v="499"/>
    <s v="ERP"/>
    <x v="0"/>
    <x v="1"/>
    <s v="Maguire, Karla"/>
    <x v="0"/>
    <x v="295"/>
    <m/>
    <m/>
    <s v="IT-SFT1194-86-OG-US"/>
    <m/>
    <s v="N/A"/>
    <m/>
    <s v="DevSecOps"/>
    <m/>
    <m/>
    <n v="12119.24"/>
    <n v="21230.870000000003"/>
    <m/>
    <m/>
    <m/>
    <m/>
    <n v="12141.44"/>
    <n v="0"/>
    <n v="0"/>
    <n v="3029.81"/>
    <n v="0"/>
    <n v="0"/>
    <n v="3029.81"/>
    <n v="0"/>
    <n v="3029.81"/>
    <n v="0"/>
    <n v="21230.870000000003"/>
    <n v="0"/>
    <n v="0"/>
    <n v="0"/>
    <n v="0"/>
    <m/>
    <n v="0"/>
    <m/>
    <m/>
    <m/>
    <n v="12141.44"/>
    <n v="0"/>
    <n v="0"/>
    <n v="3029.81"/>
    <n v="0"/>
    <n v="0"/>
    <n v="3029.81"/>
    <n v="0"/>
    <n v="3029.81"/>
    <n v="0"/>
    <n v="21230.870000000003"/>
    <m/>
    <m/>
    <n v="12141.44"/>
    <n v="0"/>
    <n v="0"/>
    <n v="3029.81"/>
    <n v="0"/>
    <n v="0"/>
    <n v="3029.81"/>
    <n v="0"/>
    <n v="3029.81"/>
    <n v="0"/>
    <n v="21230.870000000003"/>
  </r>
  <r>
    <x v="500"/>
    <x v="500"/>
    <s v="ERP"/>
    <x v="1"/>
    <x v="16"/>
    <s v="DeHart, Lynn"/>
    <x v="0"/>
    <x v="295"/>
    <m/>
    <m/>
    <s v="IT-SFT1194-86-OG-US"/>
    <m/>
    <s v="N/A"/>
    <m/>
    <s v="DevSecOps"/>
    <s v="Sachin (4/30): Not managed by me"/>
    <m/>
    <n v="7176"/>
    <n v="11702.54"/>
    <m/>
    <m/>
    <m/>
    <m/>
    <n v="6320.54"/>
    <n v="0"/>
    <n v="0"/>
    <n v="1794"/>
    <n v="0"/>
    <n v="0"/>
    <n v="1794"/>
    <n v="0"/>
    <n v="1794"/>
    <n v="0"/>
    <n v="11702.54"/>
    <n v="0"/>
    <n v="0"/>
    <n v="0"/>
    <n v="0"/>
    <m/>
    <n v="0"/>
    <m/>
    <m/>
    <m/>
    <n v="6320.54"/>
    <n v="0"/>
    <n v="0"/>
    <n v="1794"/>
    <n v="0"/>
    <n v="0"/>
    <n v="1794"/>
    <n v="0"/>
    <n v="1794"/>
    <n v="0"/>
    <n v="11702.54"/>
    <m/>
    <m/>
    <n v="6320.54"/>
    <n v="0"/>
    <n v="0"/>
    <n v="1794"/>
    <n v="0"/>
    <n v="0"/>
    <n v="1794"/>
    <n v="0"/>
    <n v="1794"/>
    <n v="0"/>
    <n v="11702.54"/>
  </r>
  <r>
    <x v="501"/>
    <x v="501"/>
    <s v="ERP"/>
    <x v="1"/>
    <x v="5"/>
    <s v="DeHart, Lynn"/>
    <x v="2"/>
    <x v="296"/>
    <m/>
    <m/>
    <s v="IT-SFT1205-86-OG-US"/>
    <m/>
    <m/>
    <m/>
    <s v="None"/>
    <m/>
    <m/>
    <n v="0"/>
    <n v="3710"/>
    <m/>
    <m/>
    <m/>
    <n v="3710"/>
    <n v="0"/>
    <n v="0"/>
    <n v="0"/>
    <n v="0"/>
    <n v="0"/>
    <n v="0"/>
    <n v="0"/>
    <n v="0"/>
    <n v="0"/>
    <n v="0"/>
    <n v="3710"/>
    <n v="0"/>
    <n v="0"/>
    <n v="0"/>
    <n v="0"/>
    <m/>
    <n v="0"/>
    <s v="Need to be cross charged to projects. "/>
    <m/>
    <n v="3710"/>
    <n v="0"/>
    <n v="0"/>
    <n v="0"/>
    <n v="0"/>
    <n v="0"/>
    <n v="0"/>
    <n v="0"/>
    <n v="0"/>
    <n v="0"/>
    <n v="0"/>
    <n v="3710"/>
    <m/>
    <n v="3710"/>
    <n v="0"/>
    <n v="0"/>
    <n v="0"/>
    <n v="0"/>
    <n v="0"/>
    <n v="0"/>
    <n v="0"/>
    <n v="0"/>
    <n v="0"/>
    <n v="0"/>
    <n v="3710"/>
  </r>
  <r>
    <x v="502"/>
    <x v="502"/>
    <s v="ERP"/>
    <x v="1"/>
    <x v="5"/>
    <s v="DeHart, Lynn"/>
    <x v="0"/>
    <x v="296"/>
    <m/>
    <m/>
    <s v="IT-SFT1205-86-OG-US"/>
    <m/>
    <m/>
    <m/>
    <s v="None"/>
    <m/>
    <m/>
    <n v="21665.519999999993"/>
    <n v="21665.52"/>
    <m/>
    <m/>
    <m/>
    <m/>
    <m/>
    <s v=""/>
    <n v="0"/>
    <m/>
    <m/>
    <m/>
    <m/>
    <n v="21665.52"/>
    <m/>
    <m/>
    <n v="21665.52"/>
    <n v="0"/>
    <m/>
    <n v="0"/>
    <n v="0"/>
    <m/>
    <n v="0"/>
    <s v="Logistics E2Open Software Support"/>
    <m/>
    <m/>
    <m/>
    <m/>
    <m/>
    <m/>
    <m/>
    <m/>
    <m/>
    <n v="21665.52"/>
    <m/>
    <m/>
    <n v="21665.52"/>
    <m/>
    <m/>
    <m/>
    <n v="1805.46"/>
    <n v="1805.46"/>
    <n v="1805.46"/>
    <n v="1805.46"/>
    <n v="1805.46"/>
    <n v="1805.46"/>
    <n v="1805.46"/>
    <n v="1805.46"/>
    <n v="1805.46"/>
    <n v="16249.139999999996"/>
  </r>
  <r>
    <x v="503"/>
    <x v="503"/>
    <s v="ERP"/>
    <x v="0"/>
    <x v="0"/>
    <s v="Maguire, Karla"/>
    <x v="0"/>
    <x v="297"/>
    <s v="SAP AMERICA INC"/>
    <s v="2321402"/>
    <s v="IT-SFT1208-86-OG-US"/>
    <m/>
    <s v="Multiple"/>
    <m/>
    <s v="S4 HANA"/>
    <s v="Carry forward credit: $76,107.06 from prior agreement"/>
    <m/>
    <n v="280976"/>
    <n v="290275.11"/>
    <m/>
    <m/>
    <m/>
    <m/>
    <m/>
    <s v=""/>
    <n v="390539.25000000006"/>
    <n v="0"/>
    <n v="0"/>
    <n v="0"/>
    <n v="0"/>
    <n v="0"/>
    <n v="0"/>
    <n v="0"/>
    <n v="390539.25000000006"/>
    <n v="100264.14000000007"/>
    <n v="290275.11"/>
    <n v="100264.14000000007"/>
    <n v="100264.14000000007"/>
    <m/>
    <n v="100264.14000000007"/>
    <m/>
    <m/>
    <m/>
    <m/>
    <m/>
    <n v="290275.11"/>
    <n v="0"/>
    <n v="0"/>
    <n v="0"/>
    <n v="0"/>
    <n v="0"/>
    <n v="0"/>
    <n v="0"/>
    <n v="290275.11"/>
    <m/>
    <m/>
    <m/>
    <m/>
    <n v="280976"/>
    <n v="0"/>
    <n v="0"/>
    <n v="0"/>
    <n v="0"/>
    <n v="0"/>
    <n v="0"/>
    <n v="0"/>
    <n v="280976"/>
  </r>
  <r>
    <x v="504"/>
    <x v="504"/>
    <s v="ERP"/>
    <x v="1"/>
    <x v="12"/>
    <s v="DeHart, Lynn"/>
    <x v="0"/>
    <x v="298"/>
    <m/>
    <m/>
    <s v="IT-SFT1220-86-OG-US"/>
    <m/>
    <m/>
    <m/>
    <s v="EP&amp;S"/>
    <m/>
    <m/>
    <n v="3348"/>
    <n v="2511"/>
    <m/>
    <m/>
    <m/>
    <m/>
    <m/>
    <s v=""/>
    <n v="0"/>
    <n v="279"/>
    <n v="279"/>
    <n v="279"/>
    <n v="279"/>
    <n v="279"/>
    <n v="279"/>
    <n v="279"/>
    <n v="1953"/>
    <n v="-558"/>
    <n v="279"/>
    <n v="-279"/>
    <n v="-558"/>
    <m/>
    <n v="-558"/>
    <m/>
    <m/>
    <m/>
    <m/>
    <n v="279"/>
    <n v="279"/>
    <n v="279"/>
    <n v="279"/>
    <n v="279"/>
    <n v="279"/>
    <n v="279"/>
    <n v="279"/>
    <n v="279"/>
    <n v="2511"/>
    <m/>
    <m/>
    <m/>
    <n v="279"/>
    <n v="279"/>
    <n v="279"/>
    <n v="279"/>
    <n v="279"/>
    <n v="279"/>
    <n v="279"/>
    <n v="279"/>
    <n v="279"/>
    <n v="2511"/>
  </r>
  <r>
    <x v="505"/>
    <x v="505"/>
    <s v="ERP"/>
    <x v="1"/>
    <x v="5"/>
    <s v="DeHart, Lynn"/>
    <x v="0"/>
    <x v="299"/>
    <m/>
    <m/>
    <s v="IT-SFT1224-86-OG-US"/>
    <m/>
    <m/>
    <m/>
    <s v="None"/>
    <s v="4/28/26 CHW New add to tie-out 0223 to 0317 Planful Extracts"/>
    <m/>
    <n v="65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65000"/>
  </r>
  <r>
    <x v="506"/>
    <x v="506"/>
    <s v="ERP"/>
    <x v="0"/>
    <x v="0"/>
    <s v="Maguire, Karla"/>
    <x v="0"/>
    <x v="300"/>
    <m/>
    <m/>
    <s v="IT-SFT1235-86-OG-US"/>
    <m/>
    <m/>
    <m/>
    <s v="SAP SaaS"/>
    <m/>
    <m/>
    <n v="849804"/>
    <n v="637353"/>
    <m/>
    <m/>
    <m/>
    <m/>
    <n v="-212451"/>
    <n v="0"/>
    <n v="0"/>
    <n v="0"/>
    <n v="0"/>
    <n v="0"/>
    <n v="849804"/>
    <n v="0"/>
    <n v="0"/>
    <n v="0"/>
    <n v="637353"/>
    <n v="0"/>
    <n v="0"/>
    <n v="0"/>
    <n v="0"/>
    <m/>
    <n v="0"/>
    <m/>
    <m/>
    <m/>
    <n v="-212451"/>
    <n v="0"/>
    <n v="0"/>
    <n v="0"/>
    <n v="0"/>
    <n v="0"/>
    <n v="849804"/>
    <n v="0"/>
    <n v="0"/>
    <n v="0"/>
    <n v="637353"/>
    <m/>
    <m/>
    <n v="-212451"/>
    <n v="0"/>
    <n v="0"/>
    <n v="0"/>
    <n v="0"/>
    <n v="0"/>
    <n v="849804"/>
    <n v="0"/>
    <n v="0"/>
    <n v="0"/>
    <n v="637353"/>
  </r>
  <r>
    <x v="507"/>
    <x v="507"/>
    <s v="ERP"/>
    <x v="0"/>
    <x v="0"/>
    <s v="Maguire, Karla"/>
    <x v="0"/>
    <x v="301"/>
    <s v="SAP AMERICA INC"/>
    <s v="2321402"/>
    <s v="IT-SFT1236-86-OG-US"/>
    <m/>
    <s v="9501165170"/>
    <s v="Yes"/>
    <s v="SAP SaaS; 2026 Pullforward"/>
    <s v="4/28/26 CHW New add to tie-out 0223 to 0317 Planful Extracts"/>
    <m/>
    <n v="44842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4842"/>
    <n v="0"/>
    <n v="0"/>
    <n v="0"/>
    <n v="0"/>
    <n v="0"/>
    <n v="0"/>
    <n v="0"/>
    <n v="0"/>
    <n v="0"/>
    <n v="0"/>
    <n v="0"/>
    <n v="44842"/>
  </r>
  <r>
    <x v="508"/>
    <x v="508"/>
    <s v="ERP"/>
    <x v="0"/>
    <x v="0"/>
    <s v="Maguire, Karla"/>
    <x v="0"/>
    <x v="302"/>
    <s v="SAP AMERICA INC"/>
    <s v="2321402"/>
    <s v="IT-SFT1236-86-OG-US/PF"/>
    <m/>
    <s v="9501165170"/>
    <s v="Yes"/>
    <s v="SAP SaaS; 2026 Pullforward"/>
    <s v="4/28/26 CHW New add to tie-out 0223 to 0317 Planful Extracts"/>
    <m/>
    <n v="-448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4842"/>
    <n v="0"/>
    <n v="0"/>
    <n v="0"/>
    <n v="0"/>
    <n v="0"/>
    <n v="0"/>
    <n v="0"/>
    <n v="0"/>
    <n v="0"/>
    <n v="0"/>
    <n v="0"/>
    <n v="-44842"/>
  </r>
  <r>
    <x v="509"/>
    <x v="509"/>
    <s v="ERP"/>
    <x v="0"/>
    <x v="0"/>
    <s v="Maguire, Karla"/>
    <x v="0"/>
    <x v="303"/>
    <s v="SAP AMERICA INC"/>
    <s v="2321402"/>
    <s v="IT-SFT1237-86-US-00"/>
    <m/>
    <s v="9501150254"/>
    <s v="Yes"/>
    <s v="SAP SaaS; 2026 Pullforward"/>
    <s v="4/28/26 CHW New add to tie-out 0223 to 0317 Planful Extracts See PF Comment "/>
    <m/>
    <n v="66496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64963"/>
    <n v="0"/>
    <n v="0"/>
    <n v="0"/>
    <n v="0"/>
    <n v="0"/>
    <n v="0"/>
    <n v="0"/>
    <n v="0"/>
    <n v="0"/>
    <n v="0"/>
    <n v="0"/>
    <n v="664963"/>
  </r>
  <r>
    <x v="510"/>
    <x v="510"/>
    <s v="ERP"/>
    <x v="0"/>
    <x v="0"/>
    <s v="Maguire, Karla"/>
    <x v="0"/>
    <x v="304"/>
    <s v="SAP AMERICA INC"/>
    <s v="2321402"/>
    <s v="IT-SFT1237-86-US-00/PF"/>
    <m/>
    <s v="9501150254"/>
    <s v="Yes"/>
    <s v="SAP SaaS; 2026 Pullforward"/>
    <s v="4/28/26 CHW New add to tie-out 0223 to 0317 Planful Extracts should credit be included in LE2 submission?; AP2 comment: missing PF credit"/>
    <m/>
    <n v="-66496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64963"/>
    <n v="0"/>
    <n v="0"/>
    <n v="0"/>
    <n v="0"/>
    <n v="0"/>
    <n v="0"/>
    <n v="0"/>
    <n v="0"/>
    <n v="0"/>
    <n v="0"/>
    <n v="0"/>
    <n v="-664963"/>
  </r>
  <r>
    <x v="511"/>
    <x v="511"/>
    <s v="ERP"/>
    <x v="0"/>
    <x v="0"/>
    <s v="Maguire, Karla"/>
    <x v="0"/>
    <x v="305"/>
    <s v="SAP AMERICA INC"/>
    <s v="2321402"/>
    <s v="IT-SFT1238-86-OG-US"/>
    <m/>
    <s v="9501149103"/>
    <s v="Yes"/>
    <s v="SAP SaaS; 2026 Pullforward"/>
    <s v="4/28/26 CHW New add to tie-out 0223 to 0317 Planful Extracts See PF Comment "/>
    <m/>
    <n v="663273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63273"/>
    <n v="0"/>
    <n v="0"/>
    <n v="0"/>
    <n v="0"/>
    <n v="0"/>
    <n v="0"/>
    <n v="0"/>
    <n v="0"/>
    <n v="0"/>
    <n v="0"/>
    <n v="0"/>
    <n v="663273"/>
  </r>
  <r>
    <x v="512"/>
    <x v="512"/>
    <s v="ERP"/>
    <x v="0"/>
    <x v="0"/>
    <s v="Maguire, Karla"/>
    <x v="0"/>
    <x v="306"/>
    <s v="SAP AMERICA INC"/>
    <s v="2321402"/>
    <s v="IT-SFT1238-86-OG-US/PF"/>
    <m/>
    <s v="9501149103"/>
    <s v="Yes"/>
    <s v="SAP SaaS; 2026 Pullforward"/>
    <s v="4/28/26 CHW New add to tie-out 0223 to 0317 Planful Extracts should credit be included in LE2 submission?; AP2 comment: missing PF credit"/>
    <m/>
    <n v="-6632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63273"/>
    <n v="0"/>
    <n v="0"/>
    <n v="0"/>
    <n v="0"/>
    <n v="0"/>
    <n v="0"/>
    <n v="0"/>
    <n v="0"/>
    <n v="0"/>
    <n v="0"/>
    <n v="0"/>
    <n v="-663273"/>
  </r>
  <r>
    <x v="513"/>
    <x v="513"/>
    <s v="ERP"/>
    <x v="0"/>
    <x v="0"/>
    <s v="Maguire, Karla"/>
    <x v="0"/>
    <x v="307"/>
    <m/>
    <m/>
    <s v="IT-SFT1239-86-OG-US"/>
    <m/>
    <m/>
    <m/>
    <s v="SAP SaaS"/>
    <m/>
    <m/>
    <n v="107212"/>
    <n v="107212"/>
    <m/>
    <m/>
    <m/>
    <m/>
    <m/>
    <s v=""/>
    <n v="0"/>
    <n v="0"/>
    <n v="0"/>
    <n v="0"/>
    <n v="0"/>
    <n v="0"/>
    <n v="0"/>
    <n v="0"/>
    <n v="0"/>
    <n v="-107212"/>
    <n v="107212"/>
    <n v="-107212"/>
    <n v="-107212"/>
    <m/>
    <n v="-107212"/>
    <m/>
    <m/>
    <m/>
    <m/>
    <m/>
    <n v="107212"/>
    <n v="0"/>
    <n v="0"/>
    <n v="0"/>
    <n v="0"/>
    <n v="0"/>
    <n v="0"/>
    <n v="0"/>
    <n v="107212"/>
    <m/>
    <m/>
    <m/>
    <m/>
    <n v="107212"/>
    <n v="0"/>
    <n v="0"/>
    <n v="0"/>
    <n v="0"/>
    <n v="0"/>
    <n v="0"/>
    <n v="0"/>
    <n v="107212"/>
  </r>
  <r>
    <x v="514"/>
    <x v="514"/>
    <s v="ERP"/>
    <x v="0"/>
    <x v="0"/>
    <s v="Maguire, Karla"/>
    <x v="0"/>
    <x v="308"/>
    <s v="Prepaid - SAP AMERICA INC"/>
    <s v="2321402"/>
    <s v="IT-SFT1240-86-OG-US"/>
    <m/>
    <s v="9501145874"/>
    <m/>
    <s v="SAP SaaS"/>
    <s v="5/7 CHW - Adj to match prepaid schedule"/>
    <m/>
    <n v="1155056.04"/>
    <n v="1155043.3"/>
    <m/>
    <m/>
    <n v="1155005.0900000001"/>
    <n v="-962504.24"/>
    <n v="96250.42"/>
    <n v="0"/>
    <n v="192500.84"/>
    <n v="96254.67"/>
    <n v="0"/>
    <n v="192509.34"/>
    <n v="96254.67"/>
    <n v="0"/>
    <n v="192509.34"/>
    <n v="96254.67"/>
    <n v="1155034.8"/>
    <n v="-8.5"/>
    <n v="192509.34"/>
    <n v="-8.5"/>
    <n v="-8.5"/>
    <m/>
    <n v="-8.5"/>
    <m/>
    <n v="1155005.0900000001"/>
    <n v="-962504.24"/>
    <n v="96250.42"/>
    <n v="0"/>
    <n v="192509.34"/>
    <n v="96254.67"/>
    <n v="0"/>
    <n v="192509.34"/>
    <n v="96254.67"/>
    <n v="0"/>
    <n v="192509.34"/>
    <n v="96254.67"/>
    <n v="1155043.3"/>
    <n v="1155005.0900000001"/>
    <n v="-962504.24"/>
    <n v="96250.42"/>
    <n v="96254.67"/>
    <n v="96254.67"/>
    <n v="96254.67"/>
    <n v="96254.67"/>
    <n v="96254.67"/>
    <n v="96254.67"/>
    <n v="96254.67"/>
    <n v="96254.67"/>
    <n v="96254.67"/>
    <n v="1155043.3"/>
  </r>
  <r>
    <x v="515"/>
    <x v="515"/>
    <s v="ERP"/>
    <x v="0"/>
    <x v="0"/>
    <s v="Maguire, Karla"/>
    <x v="0"/>
    <x v="309"/>
    <s v="Prepaid - SAP AMERICA INC"/>
    <s v="2321402"/>
    <s v="IT-SFT1247-86-OG-US"/>
    <m/>
    <s v="9501133254"/>
    <m/>
    <s v="SAP on Prem/SAP S/4"/>
    <s v="5/7 CHW - Adj to match prepaid schedule"/>
    <m/>
    <n v="3290595.8399999994"/>
    <n v="3254950.82"/>
    <m/>
    <m/>
    <n v="3254947.27"/>
    <n v="-2712456.06"/>
    <n v="271245.61"/>
    <s v=""/>
    <n v="0"/>
    <n v="271246"/>
    <n v="0"/>
    <n v="542492"/>
    <n v="271246"/>
    <n v="0"/>
    <n v="542492"/>
    <n v="271246"/>
    <n v="2712458.82"/>
    <n v="-542492"/>
    <n v="542492"/>
    <n v="-542492"/>
    <n v="-542491.99999999988"/>
    <m/>
    <n v="-542492"/>
    <m/>
    <n v="3254947.27"/>
    <n v="-2712456.06"/>
    <n v="271245.61"/>
    <n v="0"/>
    <n v="542492"/>
    <n v="271246"/>
    <n v="0"/>
    <n v="542492"/>
    <n v="271246"/>
    <n v="0"/>
    <n v="542492"/>
    <n v="271246"/>
    <n v="3254950.82"/>
    <n v="3254947.27"/>
    <n v="-2712456.06"/>
    <n v="271245.61"/>
    <n v="271246"/>
    <n v="271246"/>
    <n v="271246"/>
    <n v="271246"/>
    <n v="271246"/>
    <n v="271246"/>
    <n v="271246"/>
    <n v="271246"/>
    <n v="271246"/>
    <n v="3254950.82"/>
  </r>
  <r>
    <x v="516"/>
    <x v="516"/>
    <s v="ERP"/>
    <x v="0"/>
    <x v="9"/>
    <s v="Maguire, Karla"/>
    <x v="7"/>
    <x v="310"/>
    <m/>
    <s v="2329614"/>
    <s v="IT-SFT1249-86-OG-US"/>
    <s v="CHW - F/U"/>
    <s v="9501114816"/>
    <s v="Yes"/>
    <s v="SAP; 2026 Pullforward"/>
    <m/>
    <m/>
    <n v="0"/>
    <n v="0"/>
    <m/>
    <m/>
    <n v="-11125"/>
    <n v="11125"/>
    <m/>
    <s v=""/>
    <n v="0"/>
    <m/>
    <m/>
    <m/>
    <m/>
    <m/>
    <m/>
    <m/>
    <n v="0"/>
    <n v="0"/>
    <m/>
    <n v="0"/>
    <n v="0"/>
    <m/>
    <n v="0"/>
    <m/>
    <n v="-11125"/>
    <n v="11125"/>
    <m/>
    <m/>
    <m/>
    <m/>
    <m/>
    <m/>
    <m/>
    <m/>
    <m/>
    <m/>
    <n v="0"/>
    <n v="-11125"/>
    <n v="11125"/>
    <m/>
    <m/>
    <m/>
    <m/>
    <m/>
    <m/>
    <m/>
    <m/>
    <m/>
    <m/>
    <n v="0"/>
  </r>
  <r>
    <x v="517"/>
    <x v="517"/>
    <s v="ERP"/>
    <x v="0"/>
    <x v="9"/>
    <s v="Maguire, Karla"/>
    <x v="0"/>
    <x v="311"/>
    <m/>
    <s v="2329614"/>
    <s v="IT-SFT1249-86-OG-US"/>
    <s v="CHW - F/U"/>
    <s v="9501114816"/>
    <s v="Yes"/>
    <s v="SAP; 2026 Pullforward"/>
    <s v="4/28/26 CHW New add to tie-out 0223 to 0317 Planful Extracts 0"/>
    <m/>
    <n v="1112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1125"/>
    <n v="0"/>
    <n v="0"/>
    <n v="0"/>
    <n v="0"/>
    <n v="0"/>
    <n v="0"/>
    <n v="0"/>
    <n v="0"/>
    <n v="0"/>
    <n v="0"/>
    <n v="0"/>
    <n v="11125"/>
  </r>
  <r>
    <x v="518"/>
    <x v="518"/>
    <s v="ERP"/>
    <x v="0"/>
    <x v="9"/>
    <s v="Maguire, Karla"/>
    <x v="0"/>
    <x v="312"/>
    <s v="SAP AMERICA INC"/>
    <s v="2329614"/>
    <s v="IT-SFT1249-86-OG-US/PF"/>
    <m/>
    <s v="9501114816"/>
    <s v="Yes"/>
    <s v="SAP; 2026 Pullforward"/>
    <s v="4/28/26 CHW New add to tie-out 0223 to 0317 Planful Extracts"/>
    <m/>
    <n v="-1112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1125"/>
    <n v="0"/>
    <n v="0"/>
    <n v="0"/>
    <n v="0"/>
    <n v="0"/>
    <n v="0"/>
    <n v="0"/>
    <n v="0"/>
    <n v="0"/>
    <n v="0"/>
    <n v="0"/>
    <n v="-11125"/>
  </r>
  <r>
    <x v="519"/>
    <x v="519"/>
    <s v="ERP"/>
    <x v="0"/>
    <x v="9"/>
    <s v="Maguire, Karla"/>
    <x v="0"/>
    <x v="313"/>
    <m/>
    <s v="2329614"/>
    <s v="IT-SFT1257-86-OG-US"/>
    <m/>
    <s v="Multiple"/>
    <m/>
    <s v="Power 10s"/>
    <m/>
    <m/>
    <n v="307237.74"/>
    <n v="331713.26"/>
    <m/>
    <m/>
    <n v="67277.88"/>
    <n v="13527.14"/>
    <n v="16908.240000000002"/>
    <n v="36231.229999999996"/>
    <n v="37708.980000000003"/>
    <n v="78000"/>
    <n v="0"/>
    <n v="0"/>
    <n v="78000"/>
    <n v="0"/>
    <n v="0"/>
    <n v="78000"/>
    <n v="405653.47"/>
    <n v="73940.209999999963"/>
    <n v="0"/>
    <n v="37708.980000000003"/>
    <n v="73940.209999999992"/>
    <m/>
    <n v="73940.209999999963"/>
    <m/>
    <n v="67277.88"/>
    <n v="13527.14"/>
    <n v="16908.240000000002"/>
    <n v="0"/>
    <n v="0"/>
    <n v="78000"/>
    <n v="0"/>
    <n v="0"/>
    <n v="78000"/>
    <n v="0"/>
    <n v="0"/>
    <n v="78000"/>
    <n v="331713.26"/>
    <n v="67277.88"/>
    <n v="13527.14"/>
    <n v="16908.240000000002"/>
    <n v="0"/>
    <n v="0"/>
    <n v="78000"/>
    <n v="0"/>
    <n v="0"/>
    <n v="78000"/>
    <n v="0"/>
    <n v="0"/>
    <n v="78000"/>
    <n v="331713.26"/>
  </r>
  <r>
    <x v="520"/>
    <x v="520"/>
    <s v="ERP"/>
    <x v="1"/>
    <x v="5"/>
    <s v="DeHart, Lynn"/>
    <x v="0"/>
    <x v="314"/>
    <m/>
    <m/>
    <s v="IT-SFT1262-86-OG-US"/>
    <m/>
    <m/>
    <m/>
    <s v="None"/>
    <s v="4/28/26 CHW New add to tie-out 0223 to 0317 Planful Extracts replaced by ShipERP "/>
    <m/>
    <n v="32000"/>
    <n v="32000"/>
    <m/>
    <m/>
    <m/>
    <m/>
    <m/>
    <s v=""/>
    <n v="0"/>
    <n v="0"/>
    <n v="0"/>
    <n v="0"/>
    <n v="0"/>
    <n v="32000"/>
    <n v="0"/>
    <n v="0"/>
    <n v="32000"/>
    <n v="0"/>
    <n v="0"/>
    <n v="0"/>
    <n v="0"/>
    <m/>
    <n v="0"/>
    <s v="ShipItControl Tower"/>
    <m/>
    <m/>
    <m/>
    <n v="0"/>
    <n v="0"/>
    <n v="0"/>
    <n v="0"/>
    <n v="0"/>
    <n v="0"/>
    <n v="32000"/>
    <n v="0"/>
    <n v="0"/>
    <n v="32000"/>
    <n v="0"/>
    <n v="32000"/>
    <n v="0"/>
    <n v="0"/>
    <n v="0"/>
    <n v="0"/>
    <n v="0"/>
    <n v="0"/>
    <n v="0"/>
    <n v="0"/>
    <n v="0"/>
    <n v="0"/>
    <n v="32000"/>
  </r>
  <r>
    <x v="521"/>
    <x v="521"/>
    <s v="ERP"/>
    <x v="1"/>
    <x v="5"/>
    <s v="DeHart, Lynn"/>
    <x v="0"/>
    <x v="315"/>
    <m/>
    <m/>
    <s v="IT-SFT1266-86-OG-US"/>
    <m/>
    <m/>
    <m/>
    <s v="None"/>
    <m/>
    <m/>
    <n v="5000"/>
    <n v="5000"/>
    <m/>
    <m/>
    <m/>
    <m/>
    <m/>
    <s v=""/>
    <n v="0"/>
    <m/>
    <m/>
    <m/>
    <n v="5000"/>
    <n v="0"/>
    <n v="0"/>
    <n v="0"/>
    <n v="5000"/>
    <n v="0"/>
    <m/>
    <n v="0"/>
    <n v="0"/>
    <m/>
    <n v="0"/>
    <m/>
    <m/>
    <m/>
    <m/>
    <m/>
    <m/>
    <m/>
    <m/>
    <m/>
    <n v="5000"/>
    <n v="0"/>
    <n v="0"/>
    <n v="0"/>
    <n v="5000"/>
    <m/>
    <m/>
    <m/>
    <m/>
    <m/>
    <m/>
    <m/>
    <m/>
    <n v="5000"/>
    <n v="0"/>
    <n v="0"/>
    <n v="0"/>
    <n v="5000"/>
  </r>
  <r>
    <x v="522"/>
    <x v="522"/>
    <s v="ERP"/>
    <x v="1"/>
    <x v="5"/>
    <s v="DeHart, Lynn"/>
    <x v="0"/>
    <x v="316"/>
    <m/>
    <m/>
    <s v="IT-SFT1267-86-OG-US"/>
    <m/>
    <m/>
    <m/>
    <s v="None"/>
    <m/>
    <m/>
    <n v="6000"/>
    <n v="4500"/>
    <m/>
    <m/>
    <m/>
    <m/>
    <m/>
    <s v=""/>
    <n v="0"/>
    <n v="1500"/>
    <n v="0"/>
    <n v="0"/>
    <n v="1500"/>
    <n v="0"/>
    <n v="0"/>
    <n v="1500"/>
    <n v="4500"/>
    <n v="0"/>
    <m/>
    <n v="0"/>
    <n v="0"/>
    <m/>
    <n v="0"/>
    <m/>
    <m/>
    <m/>
    <m/>
    <m/>
    <m/>
    <n v="1500"/>
    <n v="0"/>
    <n v="0"/>
    <n v="1500"/>
    <n v="0"/>
    <n v="0"/>
    <n v="1500"/>
    <n v="4500"/>
    <m/>
    <m/>
    <m/>
    <m/>
    <m/>
    <n v="1500"/>
    <n v="0"/>
    <n v="0"/>
    <n v="1500"/>
    <n v="0"/>
    <n v="0"/>
    <n v="1500"/>
    <n v="4500"/>
  </r>
  <r>
    <x v="523"/>
    <x v="523"/>
    <s v="ERP"/>
    <x v="1"/>
    <x v="5"/>
    <s v="DeHart, Lynn"/>
    <x v="0"/>
    <x v="317"/>
    <s v="MANHATTAN ASSOCIATES"/>
    <s v="2320521"/>
    <s v="IT-SFT1269-86-OG-US"/>
    <m/>
    <s v="9501147319"/>
    <s v="Yes"/>
    <s v="2026 Pullforward"/>
    <s v="5/12/26 CHW - Current PO covers 1/1 to 12/31 2026 Removed forecast"/>
    <m/>
    <n v="111372.91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s v="Manhatan LMS - Need to discuss plan for 2027"/>
    <m/>
    <m/>
    <m/>
    <n v="0"/>
    <n v="0"/>
    <n v="0"/>
    <n v="0"/>
    <n v="0"/>
    <n v="0"/>
    <n v="0"/>
    <n v="0"/>
    <m/>
    <n v="0"/>
    <n v="111372.91"/>
    <n v="0"/>
    <n v="0"/>
    <n v="0"/>
    <n v="0"/>
    <n v="0"/>
    <n v="0"/>
    <n v="0"/>
    <n v="0"/>
    <n v="0"/>
    <n v="0"/>
    <n v="0"/>
    <n v="111372.91"/>
  </r>
  <r>
    <x v="524"/>
    <x v="524"/>
    <s v="ERP"/>
    <x v="1"/>
    <x v="5"/>
    <s v="DeHart, Lynn"/>
    <x v="0"/>
    <x v="318"/>
    <s v="MANHATTAN ASSOCIATES"/>
    <s v="2320521"/>
    <s v="IT-SFT1269-86-OG-US/PF"/>
    <m/>
    <s v="9501147319"/>
    <s v="Yes"/>
    <s v="2026 Pullforward"/>
    <s v="5/12/26 CHW - Current PO covers 1/1 to 12/31 2026"/>
    <m/>
    <n v="-111372.9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Manhatan LMS - Need to discuss plan for 2027"/>
    <m/>
    <m/>
    <m/>
    <n v="0"/>
    <n v="0"/>
    <n v="0"/>
    <n v="0"/>
    <n v="0"/>
    <n v="0"/>
    <n v="0"/>
    <n v="0"/>
    <n v="0"/>
    <n v="0"/>
    <n v="-111372.91"/>
    <n v="0"/>
    <n v="0"/>
    <n v="0"/>
    <n v="0"/>
    <n v="0"/>
    <n v="0"/>
    <n v="0"/>
    <n v="0"/>
    <n v="0"/>
    <n v="0"/>
    <n v="0"/>
    <n v="-111372.91"/>
  </r>
  <r>
    <x v="525"/>
    <x v="525"/>
    <s v="ERP"/>
    <x v="0"/>
    <x v="0"/>
    <s v="Maguire, Karla"/>
    <x v="0"/>
    <x v="319"/>
    <m/>
    <m/>
    <s v="IT-SFT1270-86-OG-US"/>
    <s v="CHW - F/U"/>
    <m/>
    <m/>
    <s v="2024 Transfer"/>
    <m/>
    <m/>
    <n v="1527544"/>
    <n v="1513628.4099999997"/>
    <m/>
    <m/>
    <m/>
    <m/>
    <n v="367969.99"/>
    <n v="0"/>
    <n v="254590.76"/>
    <n v="127295.38"/>
    <n v="127295.38"/>
    <n v="127295.38"/>
    <n v="127295.38"/>
    <n v="127295.38"/>
    <n v="127295.38"/>
    <n v="127295.38"/>
    <n v="1513628.4099999997"/>
    <n v="0"/>
    <n v="127295.38"/>
    <n v="127295.38"/>
    <n v="0"/>
    <m/>
    <n v="0"/>
    <m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</r>
  <r>
    <x v="526"/>
    <x v="526"/>
    <s v="ERP"/>
    <x v="0"/>
    <x v="9"/>
    <s v="Maguire, Karla"/>
    <x v="0"/>
    <x v="319"/>
    <m/>
    <m/>
    <s v="IT-SFT1270-86-OG-US"/>
    <s v="CHW - F/U"/>
    <m/>
    <m/>
    <s v="2024 Transfer"/>
    <m/>
    <m/>
    <n v="0"/>
    <n v="0"/>
    <m/>
    <m/>
    <n v="127295.39"/>
    <n v="113379.22"/>
    <n v="-240674.61"/>
    <n v="0"/>
    <n v="0"/>
    <m/>
    <m/>
    <m/>
    <m/>
    <m/>
    <m/>
    <m/>
    <n v="0"/>
    <n v="0"/>
    <m/>
    <n v="0"/>
    <n v="0"/>
    <m/>
    <n v="0"/>
    <m/>
    <n v="127295.39"/>
    <n v="113379.22"/>
    <n v="-240674.61"/>
    <m/>
    <m/>
    <m/>
    <m/>
    <m/>
    <m/>
    <m/>
    <m/>
    <m/>
    <n v="0"/>
    <n v="127295.39"/>
    <n v="113379.22"/>
    <n v="-240674.61"/>
    <m/>
    <m/>
    <m/>
    <m/>
    <m/>
    <m/>
    <m/>
    <m/>
    <m/>
    <n v="0"/>
  </r>
  <r>
    <x v="527"/>
    <x v="527"/>
    <s v="ERP"/>
    <x v="1"/>
    <x v="5"/>
    <s v="DeHart, Lynn"/>
    <x v="0"/>
    <x v="320"/>
    <m/>
    <m/>
    <s v="IT-SFT1281-86-OG-US"/>
    <m/>
    <m/>
    <m/>
    <s v="Copilot"/>
    <m/>
    <m/>
    <n v="0"/>
    <n v="227"/>
    <m/>
    <m/>
    <m/>
    <n v="227"/>
    <n v="0"/>
    <n v="0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x v="528"/>
    <x v="528"/>
    <s v="ERP"/>
    <x v="0"/>
    <x v="0"/>
    <s v="Maguire, Karla"/>
    <x v="1"/>
    <x v="321"/>
    <m/>
    <m/>
    <s v="IT-SFT1282-86-OG-US"/>
    <s v="CHW - F/U"/>
    <m/>
    <m/>
    <s v="Billing Related - File Transfer/Autosys Cloud"/>
    <m/>
    <m/>
    <n v="-608600"/>
    <n v="-597160"/>
    <m/>
    <m/>
    <m/>
    <m/>
    <n v="-123760"/>
    <n v="0"/>
    <n v="-113731.04000000001"/>
    <n v="-52600"/>
    <n v="-52600"/>
    <n v="-52600"/>
    <n v="-52600"/>
    <n v="-52600"/>
    <n v="-52600"/>
    <n v="-52600"/>
    <n v="-605691.04"/>
    <n v="-8531.0400000000373"/>
    <n v="-52600"/>
    <n v="-61131.040000000008"/>
    <n v="-8531.0400000000081"/>
    <m/>
    <n v="-8531.0400000000373"/>
    <m/>
    <m/>
    <m/>
    <n v="-123760"/>
    <n v="-52600"/>
    <n v="-52600"/>
    <n v="-52600"/>
    <n v="-52600"/>
    <n v="-52600"/>
    <n v="-52600"/>
    <n v="-52600"/>
    <n v="-52600"/>
    <n v="-52600"/>
    <n v="-597160"/>
    <m/>
    <m/>
    <n v="-123760"/>
    <n v="-52600"/>
    <n v="-52600"/>
    <n v="-52600"/>
    <n v="-52600"/>
    <n v="-52600"/>
    <n v="-52600"/>
    <n v="-52600"/>
    <n v="-52600"/>
    <n v="-52600"/>
    <n v="-597160"/>
  </r>
  <r>
    <x v="529"/>
    <x v="529"/>
    <s v="ERP"/>
    <x v="0"/>
    <x v="0"/>
    <s v="Maguire, Karla"/>
    <x v="0"/>
    <x v="321"/>
    <m/>
    <m/>
    <s v="IT-SFT1282-86-OG-US"/>
    <s v="CHW - F/U"/>
    <m/>
    <m/>
    <s v="Billing Related - File Transfer/Autosys Cloud"/>
    <m/>
    <m/>
    <n v="-937488"/>
    <n v="-925916"/>
    <m/>
    <m/>
    <m/>
    <m/>
    <n v="-222800"/>
    <n v="0"/>
    <n v="-128741.87"/>
    <n v="-78124"/>
    <n v="-78124"/>
    <n v="-78124"/>
    <n v="-78124"/>
    <n v="-78124"/>
    <n v="-78124"/>
    <n v="-78124"/>
    <n v="-898409.87"/>
    <n v="27506.130000000005"/>
    <n v="-78124"/>
    <n v="-50617.869999999995"/>
    <n v="27506.130000000005"/>
    <m/>
    <n v="27506.130000000005"/>
    <m/>
    <m/>
    <m/>
    <n v="-222800"/>
    <n v="-78124"/>
    <n v="-78124"/>
    <n v="-78124"/>
    <n v="-78124"/>
    <n v="-78124"/>
    <n v="-78124"/>
    <n v="-78124"/>
    <n v="-78124"/>
    <n v="-78124"/>
    <n v="-925916"/>
    <m/>
    <m/>
    <n v="-222800"/>
    <n v="-78124"/>
    <n v="-78124"/>
    <n v="-78124"/>
    <n v="-78124"/>
    <n v="-78124"/>
    <n v="-78124"/>
    <n v="-78124"/>
    <n v="-78124"/>
    <n v="-78124"/>
    <n v="-925916"/>
  </r>
  <r>
    <x v="530"/>
    <x v="530"/>
    <s v="ERP"/>
    <x v="0"/>
    <x v="9"/>
    <s v="Maguire, Karla"/>
    <x v="1"/>
    <x v="321"/>
    <m/>
    <m/>
    <s v="IT-SFT1282-86-OG-US"/>
    <s v="CHW - F/U"/>
    <m/>
    <m/>
    <s v="Billing Related - File Transfer/Autosys Cloud"/>
    <m/>
    <m/>
    <n v="0"/>
    <n v="0"/>
    <m/>
    <m/>
    <m/>
    <n v="-68030"/>
    <n v="68030"/>
    <n v="0"/>
    <n v="0"/>
    <m/>
    <m/>
    <m/>
    <m/>
    <m/>
    <m/>
    <m/>
    <n v="0"/>
    <n v="0"/>
    <m/>
    <n v="0"/>
    <n v="0"/>
    <m/>
    <n v="0"/>
    <m/>
    <m/>
    <n v="-68030"/>
    <n v="68030"/>
    <m/>
    <m/>
    <m/>
    <m/>
    <m/>
    <m/>
    <m/>
    <m/>
    <m/>
    <n v="0"/>
    <m/>
    <n v="-68030"/>
    <n v="68030"/>
    <m/>
    <m/>
    <m/>
    <m/>
    <m/>
    <m/>
    <m/>
    <m/>
    <m/>
    <n v="0"/>
  </r>
  <r>
    <x v="531"/>
    <x v="531"/>
    <s v="ERP"/>
    <x v="0"/>
    <x v="9"/>
    <s v="Maguire, Karla"/>
    <x v="0"/>
    <x v="321"/>
    <m/>
    <m/>
    <s v="IT-SFT1282-86-OG-US"/>
    <s v="CHW - F/U"/>
    <m/>
    <m/>
    <s v="Billing Related - File Transfer/Autosys Cloud"/>
    <m/>
    <m/>
    <n v="0"/>
    <n v="0"/>
    <m/>
    <m/>
    <m/>
    <n v="-158800"/>
    <n v="158800"/>
    <n v="0"/>
    <n v="0"/>
    <m/>
    <m/>
    <m/>
    <m/>
    <m/>
    <m/>
    <m/>
    <n v="0"/>
    <n v="0"/>
    <m/>
    <n v="0"/>
    <n v="0"/>
    <m/>
    <n v="0"/>
    <m/>
    <m/>
    <n v="-158800"/>
    <n v="158800"/>
    <m/>
    <m/>
    <m/>
    <m/>
    <m/>
    <m/>
    <m/>
    <m/>
    <m/>
    <n v="0"/>
    <m/>
    <n v="-158800"/>
    <n v="158800"/>
    <m/>
    <m/>
    <m/>
    <m/>
    <m/>
    <m/>
    <m/>
    <m/>
    <m/>
    <n v="0"/>
  </r>
  <r>
    <x v="532"/>
    <x v="532"/>
    <s v="ERP"/>
    <x v="0"/>
    <x v="9"/>
    <s v="Maguire, Karla"/>
    <x v="0"/>
    <x v="322"/>
    <s v="WORLD WIDE TECHNOLOGY"/>
    <s v="2329614"/>
    <s v="IT-SFT1283-86-OG-US"/>
    <m/>
    <s v="9501140459"/>
    <s v="Yes"/>
    <s v="Power 10s; 2026 Pullforward"/>
    <s v="4/28/26 CHW New add to tie-out 0223 to 0317 Planful Extracts"/>
    <m/>
    <n v="40902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0902.519999999997"/>
    <n v="0"/>
    <n v="0"/>
    <n v="0"/>
    <n v="0"/>
    <n v="0"/>
    <n v="0"/>
    <n v="0"/>
    <n v="0"/>
    <n v="0"/>
    <n v="0"/>
    <n v="0"/>
    <n v="40902.519999999997"/>
  </r>
  <r>
    <x v="533"/>
    <x v="533"/>
    <s v="ERP"/>
    <x v="0"/>
    <x v="9"/>
    <s v="Maguire, Karla"/>
    <x v="0"/>
    <x v="323"/>
    <s v="WORLD WIDE TECHNOLOGY"/>
    <s v="2329614"/>
    <s v="IT-SFT1283-86-OG-US/PF"/>
    <m/>
    <s v="9501140459"/>
    <s v="Yes"/>
    <s v="Power 10s; 2026 Pullforward"/>
    <s v="4/28/26 CHW New add to tie-out 0223 to 0317 Planful Extracts"/>
    <m/>
    <n v="-40902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0902.519999999997"/>
    <n v="0"/>
    <n v="0"/>
    <n v="0"/>
    <n v="0"/>
    <n v="0"/>
    <n v="0"/>
    <n v="0"/>
    <n v="0"/>
    <n v="0"/>
    <n v="0"/>
    <n v="0"/>
    <n v="-40902.519999999997"/>
  </r>
  <r>
    <x v="534"/>
    <x v="534"/>
    <s v="ERP"/>
    <x v="0"/>
    <x v="9"/>
    <s v="Maguire, Karla"/>
    <x v="0"/>
    <x v="324"/>
    <s v="WORLD WIDE TECHNOLOGY"/>
    <s v="2329614"/>
    <s v="IT-SFT1284-86-OG-US"/>
    <m/>
    <s v="9501140551"/>
    <s v="Yes"/>
    <s v="Power 10s; 2026 Pullforward"/>
    <s v="4/28/26 CHW New add to tie-out 0223 to 0317 Planful Extracts"/>
    <m/>
    <n v="26386.8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386.85"/>
    <n v="0"/>
    <n v="0"/>
    <n v="0"/>
    <n v="0"/>
    <n v="0"/>
    <n v="0"/>
    <n v="0"/>
    <n v="0"/>
    <n v="0"/>
    <n v="0"/>
    <n v="0"/>
    <n v="26386.85"/>
  </r>
  <r>
    <x v="535"/>
    <x v="535"/>
    <s v="ERP"/>
    <x v="0"/>
    <x v="9"/>
    <s v="Maguire, Karla"/>
    <x v="0"/>
    <x v="325"/>
    <s v="WORLD WIDE TECHNOLOGY"/>
    <s v="2329614"/>
    <s v="IT-SFT1284-86-OG-US/PF"/>
    <m/>
    <s v="9501140551"/>
    <s v="Yes"/>
    <s v="Power 10s; 2026 Pullforward"/>
    <s v="4/28/26 CHW New add to tie-out 0223 to 0317 Planful Extracts"/>
    <m/>
    <n v="-26386.8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386.85"/>
    <n v="0"/>
    <n v="0"/>
    <n v="0"/>
    <n v="0"/>
    <n v="0"/>
    <n v="0"/>
    <n v="0"/>
    <n v="0"/>
    <n v="0"/>
    <n v="0"/>
    <n v="0"/>
    <n v="-26386.85"/>
  </r>
  <r>
    <x v="536"/>
    <x v="536"/>
    <s v="ERP"/>
    <x v="1"/>
    <x v="12"/>
    <s v="DeHart, Lynn"/>
    <x v="0"/>
    <x v="326"/>
    <m/>
    <m/>
    <s v="IT-SFT1346-OG-US-00"/>
    <m/>
    <m/>
    <m/>
    <s v="None"/>
    <m/>
    <m/>
    <n v="500"/>
    <n v="500"/>
    <m/>
    <m/>
    <m/>
    <m/>
    <m/>
    <s v=""/>
    <n v="0"/>
    <m/>
    <m/>
    <m/>
    <m/>
    <m/>
    <n v="500"/>
    <n v="0"/>
    <n v="500"/>
    <n v="0"/>
    <m/>
    <n v="0"/>
    <n v="0"/>
    <m/>
    <n v="0"/>
    <m/>
    <m/>
    <m/>
    <m/>
    <m/>
    <m/>
    <m/>
    <m/>
    <m/>
    <m/>
    <m/>
    <n v="500"/>
    <n v="0"/>
    <n v="500"/>
    <m/>
    <m/>
    <m/>
    <m/>
    <m/>
    <m/>
    <m/>
    <m/>
    <m/>
    <m/>
    <n v="500"/>
    <n v="0"/>
    <n v="500"/>
  </r>
  <r>
    <x v="537"/>
    <x v="537"/>
    <s v="ERP"/>
    <x v="1"/>
    <x v="12"/>
    <s v="DeHart, Lynn"/>
    <x v="0"/>
    <x v="327"/>
    <m/>
    <m/>
    <s v="IT-SFT1347-OG-US-00"/>
    <m/>
    <m/>
    <m/>
    <s v="None"/>
    <m/>
    <m/>
    <n v="130"/>
    <n v="130"/>
    <m/>
    <m/>
    <m/>
    <m/>
    <m/>
    <s v=""/>
    <n v="0"/>
    <n v="130"/>
    <n v="0"/>
    <n v="0"/>
    <n v="0"/>
    <n v="0"/>
    <n v="0"/>
    <n v="0"/>
    <n v="130"/>
    <n v="0"/>
    <m/>
    <n v="0"/>
    <n v="0"/>
    <m/>
    <n v="0"/>
    <m/>
    <m/>
    <m/>
    <m/>
    <m/>
    <m/>
    <n v="130"/>
    <n v="0"/>
    <n v="0"/>
    <n v="0"/>
    <n v="0"/>
    <n v="0"/>
    <n v="0"/>
    <n v="130"/>
    <m/>
    <m/>
    <m/>
    <m/>
    <m/>
    <n v="130"/>
    <n v="0"/>
    <n v="0"/>
    <n v="0"/>
    <n v="0"/>
    <n v="0"/>
    <n v="0"/>
    <n v="130"/>
  </r>
  <r>
    <x v="538"/>
    <x v="538"/>
    <s v="ERP"/>
    <x v="1"/>
    <x v="12"/>
    <s v="DeHart, Lynn"/>
    <x v="0"/>
    <x v="328"/>
    <m/>
    <m/>
    <s v="IT-SFT1398-OG-US-00"/>
    <m/>
    <m/>
    <m/>
    <s v="None"/>
    <s v="Transfer to Durga Y"/>
    <m/>
    <n v="250000"/>
    <n v="250000"/>
    <m/>
    <m/>
    <m/>
    <m/>
    <m/>
    <s v=""/>
    <n v="0"/>
    <n v="250000"/>
    <n v="0"/>
    <n v="0"/>
    <n v="0"/>
    <n v="0"/>
    <n v="0"/>
    <n v="0"/>
    <n v="250000"/>
    <n v="0"/>
    <m/>
    <n v="0"/>
    <n v="0"/>
    <m/>
    <n v="0"/>
    <m/>
    <m/>
    <m/>
    <m/>
    <m/>
    <m/>
    <n v="250000"/>
    <n v="0"/>
    <n v="0"/>
    <n v="0"/>
    <n v="0"/>
    <n v="0"/>
    <n v="0"/>
    <n v="250000"/>
    <m/>
    <m/>
    <m/>
    <m/>
    <m/>
    <n v="250000"/>
    <n v="0"/>
    <n v="0"/>
    <n v="0"/>
    <n v="0"/>
    <n v="0"/>
    <n v="0"/>
    <n v="250000"/>
  </r>
  <r>
    <x v="539"/>
    <x v="539"/>
    <s v="ERP"/>
    <x v="0"/>
    <x v="9"/>
    <s v="Maguire, Karla"/>
    <x v="0"/>
    <x v="329"/>
    <s v="SIRIUS COMPUTER SOLUTIONS"/>
    <s v="2329614"/>
    <s v="IT-SFT1401-OG-US-00"/>
    <m/>
    <s v="9501130232"/>
    <s v="Yes"/>
    <s v="2026 Pullforward"/>
    <s v="4/28/26 CHW New add to tie-out 0223 to 0317 Planful Extracts"/>
    <m/>
    <n v="21386.72000000000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1386.720000000001"/>
    <n v="0"/>
    <n v="0"/>
    <n v="0"/>
    <n v="0"/>
    <n v="0"/>
    <n v="0"/>
    <n v="0"/>
    <n v="0"/>
    <n v="0"/>
    <n v="0"/>
    <n v="0"/>
    <n v="21386.720000000001"/>
  </r>
  <r>
    <x v="540"/>
    <x v="540"/>
    <s v="ERP"/>
    <x v="0"/>
    <x v="9"/>
    <s v="Maguire, Karla"/>
    <x v="0"/>
    <x v="330"/>
    <s v="SIRIUS COMPUTER SOLUTIONS"/>
    <s v="2329614"/>
    <s v="IT-SFT1401-OG-US-00/PF"/>
    <m/>
    <s v="9501130232"/>
    <s v="Yes"/>
    <s v="2026 Pullforward"/>
    <s v="4/28/26 CHW New add to tie-out 0223 to 0317 Planful Extracts"/>
    <m/>
    <n v="-21386.72000000000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1386.720000000001"/>
    <n v="0"/>
    <n v="0"/>
    <n v="0"/>
    <n v="0"/>
    <n v="0"/>
    <n v="0"/>
    <n v="0"/>
    <n v="0"/>
    <n v="0"/>
    <n v="0"/>
    <n v="0"/>
    <n v="-21386.720000000001"/>
  </r>
  <r>
    <x v="541"/>
    <x v="541"/>
    <s v="ERP"/>
    <x v="0"/>
    <x v="0"/>
    <s v="Maguire, Karla"/>
    <x v="0"/>
    <x v="331"/>
    <s v="IBM"/>
    <s v="2321402"/>
    <s v="IT-SFT1402-OG-US-00"/>
    <m/>
    <s v="9500996366"/>
    <m/>
    <s v="2024 Transfer"/>
    <m/>
    <m/>
    <n v="207900"/>
    <n v="196875"/>
    <m/>
    <m/>
    <n v="15750"/>
    <n v="15750"/>
    <n v="15750"/>
    <n v="15750"/>
    <n v="15750"/>
    <n v="15750"/>
    <n v="15750"/>
    <n v="17325"/>
    <n v="17325"/>
    <n v="17325"/>
    <n v="17325"/>
    <n v="17325"/>
    <n v="196875"/>
    <n v="0"/>
    <n v="15750"/>
    <n v="0"/>
    <n v="0"/>
    <m/>
    <n v="0"/>
    <m/>
    <n v="15750"/>
    <n v="15750"/>
    <n v="15750"/>
    <n v="15750"/>
    <n v="15750"/>
    <n v="15750"/>
    <n v="15750"/>
    <n v="17325"/>
    <n v="17325"/>
    <n v="17325"/>
    <n v="17325"/>
    <n v="17325"/>
    <n v="196875"/>
    <n v="15750"/>
    <n v="15750"/>
    <n v="15750"/>
    <n v="17325"/>
    <n v="17325"/>
    <n v="17325"/>
    <n v="17325"/>
    <n v="17325"/>
    <n v="17325"/>
    <n v="17325"/>
    <n v="17325"/>
    <n v="17325"/>
    <n v="203175"/>
  </r>
  <r>
    <x v="542"/>
    <x v="542"/>
    <s v="ERP"/>
    <x v="0"/>
    <x v="0"/>
    <s v="Maguire, Karla"/>
    <x v="0"/>
    <x v="332"/>
    <m/>
    <m/>
    <s v="IT-SFT1406-OG-US-00"/>
    <m/>
    <m/>
    <m/>
    <s v="2026 Budget Transfer"/>
    <m/>
    <m/>
    <n v="37661"/>
    <n v="37661"/>
    <m/>
    <m/>
    <m/>
    <m/>
    <m/>
    <s v=""/>
    <n v="0"/>
    <m/>
    <m/>
    <m/>
    <m/>
    <n v="37661"/>
    <n v="0"/>
    <n v="0"/>
    <n v="37661"/>
    <n v="0"/>
    <m/>
    <n v="0"/>
    <n v="0"/>
    <m/>
    <n v="0"/>
    <m/>
    <m/>
    <m/>
    <m/>
    <m/>
    <m/>
    <m/>
    <m/>
    <m/>
    <m/>
    <n v="37661"/>
    <n v="0"/>
    <n v="0"/>
    <n v="37661"/>
    <m/>
    <m/>
    <m/>
    <m/>
    <m/>
    <m/>
    <m/>
    <m/>
    <m/>
    <n v="37661"/>
    <n v="0"/>
    <n v="0"/>
    <n v="37661"/>
  </r>
  <r>
    <x v="543"/>
    <x v="543"/>
    <s v="ERP"/>
    <x v="0"/>
    <x v="0"/>
    <s v="Maguire, Karla"/>
    <x v="0"/>
    <x v="333"/>
    <m/>
    <m/>
    <s v="IT-SFT1408-OG-US-00"/>
    <m/>
    <m/>
    <m/>
    <s v="None"/>
    <m/>
    <m/>
    <n v="24500"/>
    <n v="24500"/>
    <m/>
    <m/>
    <m/>
    <m/>
    <m/>
    <s v=""/>
    <n v="0"/>
    <m/>
    <m/>
    <m/>
    <n v="24500"/>
    <n v="0"/>
    <n v="0"/>
    <n v="0"/>
    <n v="24500"/>
    <n v="0"/>
    <m/>
    <n v="0"/>
    <n v="0"/>
    <m/>
    <n v="0"/>
    <m/>
    <m/>
    <m/>
    <m/>
    <m/>
    <m/>
    <m/>
    <m/>
    <m/>
    <n v="24500"/>
    <n v="0"/>
    <n v="0"/>
    <n v="0"/>
    <n v="24500"/>
    <m/>
    <m/>
    <m/>
    <m/>
    <m/>
    <m/>
    <m/>
    <m/>
    <n v="24500"/>
    <n v="0"/>
    <n v="0"/>
    <n v="0"/>
    <n v="24500"/>
  </r>
  <r>
    <x v="544"/>
    <x v="544"/>
    <s v="ERP"/>
    <x v="0"/>
    <x v="9"/>
    <s v="Maguire, Karla"/>
    <x v="0"/>
    <x v="334"/>
    <s v="IBM"/>
    <s v="2329614"/>
    <s v="IT-SFT1410-OG-US-00"/>
    <m/>
    <s v="9501116519"/>
    <s v="Yes"/>
    <s v="New Power 10s; 2026 Pullforward"/>
    <m/>
    <m/>
    <n v="14353.4"/>
    <n v="0"/>
    <m/>
    <m/>
    <n v="0.28000000000000003"/>
    <n v="-0.28000000000000003"/>
    <m/>
    <n v="-11391.72"/>
    <n v="0"/>
    <m/>
    <m/>
    <m/>
    <m/>
    <m/>
    <m/>
    <m/>
    <n v="-11391.72"/>
    <n v="-11391.72"/>
    <m/>
    <n v="0"/>
    <n v="-11391.72"/>
    <m/>
    <n v="-11391.72"/>
    <m/>
    <n v="0.28000000000000003"/>
    <n v="-0.28000000000000003"/>
    <m/>
    <m/>
    <m/>
    <m/>
    <m/>
    <m/>
    <m/>
    <m/>
    <m/>
    <m/>
    <n v="0"/>
    <n v="0.28000000000000003"/>
    <n v="-0.28000000000000003"/>
    <m/>
    <m/>
    <m/>
    <m/>
    <m/>
    <m/>
    <m/>
    <m/>
    <m/>
    <m/>
    <n v="0"/>
  </r>
  <r>
    <x v="545"/>
    <x v="545"/>
    <s v="ERP"/>
    <x v="0"/>
    <x v="9"/>
    <s v="Maguire, Karla"/>
    <x v="0"/>
    <x v="335"/>
    <s v="IBM"/>
    <s v="2329614"/>
    <s v="IT-SFT1410-OG-US-00/PF"/>
    <m/>
    <s v="9501116519"/>
    <s v="Yes "/>
    <s v="New Power 10s; 2026 Pullforward"/>
    <s v="4/28/26 CHW New add to tie-out 0223 to 0317 Planful Extracts 0"/>
    <m/>
    <n v="-14353.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4353.4"/>
    <n v="0"/>
    <n v="0"/>
    <n v="0"/>
    <n v="0"/>
    <n v="0"/>
    <n v="0"/>
    <n v="0"/>
    <n v="0"/>
    <n v="0"/>
    <n v="0"/>
    <n v="0"/>
    <n v="-14353.4"/>
  </r>
  <r>
    <x v="546"/>
    <x v="546"/>
    <s v="ERP"/>
    <x v="0"/>
    <x v="9"/>
    <s v="Maguire, Karla"/>
    <x v="0"/>
    <x v="336"/>
    <m/>
    <m/>
    <s v="IT-SFT1412-OG-US-00"/>
    <m/>
    <m/>
    <m/>
    <s v="Power 10s"/>
    <m/>
    <m/>
    <n v="4000"/>
    <n v="4000"/>
    <m/>
    <m/>
    <n v="0.1"/>
    <n v="-0.1"/>
    <m/>
    <n v="0"/>
    <n v="0"/>
    <n v="2000"/>
    <n v="2000"/>
    <n v="0"/>
    <n v="0"/>
    <n v="0"/>
    <n v="0"/>
    <n v="0"/>
    <n v="4000"/>
    <n v="0"/>
    <m/>
    <n v="0"/>
    <n v="0"/>
    <m/>
    <n v="0"/>
    <m/>
    <n v="0.1"/>
    <n v="-0.1"/>
    <m/>
    <m/>
    <m/>
    <n v="2000"/>
    <n v="2000"/>
    <n v="0"/>
    <n v="0"/>
    <n v="0"/>
    <n v="0"/>
    <n v="0"/>
    <n v="4000"/>
    <n v="0.1"/>
    <n v="-0.1"/>
    <m/>
    <m/>
    <m/>
    <n v="2000"/>
    <n v="2000"/>
    <n v="0"/>
    <n v="0"/>
    <n v="0"/>
    <n v="0"/>
    <n v="0"/>
    <n v="4000"/>
  </r>
  <r>
    <x v="547"/>
    <x v="547"/>
    <s v="ERP"/>
    <x v="0"/>
    <x v="0"/>
    <s v="Maguire, Karla"/>
    <x v="0"/>
    <x v="337"/>
    <m/>
    <m/>
    <s v="IT-SFT1413-OG-US-00"/>
    <m/>
    <s v="N"/>
    <m/>
    <s v="2024 Transfer"/>
    <m/>
    <m/>
    <n v="144819"/>
    <n v="144819"/>
    <m/>
    <m/>
    <m/>
    <m/>
    <m/>
    <s v=""/>
    <n v="0"/>
    <n v="0"/>
    <n v="0"/>
    <n v="0"/>
    <n v="0"/>
    <n v="0"/>
    <n v="0"/>
    <n v="0"/>
    <n v="0"/>
    <n v="-144819"/>
    <n v="144819"/>
    <n v="-144819"/>
    <n v="-144819"/>
    <m/>
    <n v="-144819"/>
    <m/>
    <m/>
    <m/>
    <m/>
    <m/>
    <n v="144819"/>
    <n v="0"/>
    <n v="0"/>
    <n v="0"/>
    <n v="0"/>
    <n v="0"/>
    <n v="0"/>
    <n v="0"/>
    <n v="144819"/>
    <m/>
    <m/>
    <m/>
    <n v="144819"/>
    <n v="0"/>
    <n v="0"/>
    <n v="0"/>
    <n v="0"/>
    <n v="0"/>
    <n v="0"/>
    <n v="0"/>
    <n v="0"/>
    <n v="144819"/>
  </r>
  <r>
    <x v="548"/>
    <x v="548"/>
    <s v="ERP"/>
    <x v="0"/>
    <x v="0"/>
    <s v="Maguire, Karla"/>
    <x v="0"/>
    <x v="338"/>
    <s v="AXWAY Inc."/>
    <s v="2321402"/>
    <s v="IT-SFT1414-OG-US-00"/>
    <m/>
    <s v="9501158822"/>
    <s v="Yes"/>
    <s v="2024 Transfer; 2026 Pullforward"/>
    <s v="4/28/26 CHW New add to tie-out 0223 to 0317 Planful Extracts 0"/>
    <m/>
    <n v="64566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4566"/>
    <n v="0"/>
    <n v="0"/>
    <n v="0"/>
    <n v="0"/>
    <n v="0"/>
    <n v="0"/>
    <n v="0"/>
    <n v="0"/>
    <n v="0"/>
    <n v="0"/>
    <n v="0"/>
    <n v="64566"/>
  </r>
  <r>
    <x v="549"/>
    <x v="549"/>
    <s v="ERP"/>
    <x v="0"/>
    <x v="0"/>
    <s v="Maguire, Karla"/>
    <x v="0"/>
    <x v="339"/>
    <s v="AXWAY Inc."/>
    <s v="2321402"/>
    <s v="IT-SFT1414-OG-US-00/PF"/>
    <m/>
    <s v="9501158822"/>
    <s v="Yes"/>
    <s v="2024 Transfer; 2026 Pullforward"/>
    <s v="4/28/26 CHW New add to tie-out 0223 to 0317 Planful Extracts should credit be included in LE2 submission?; AP2 comment: missing PF credit"/>
    <m/>
    <n v="-6456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4566"/>
    <n v="0"/>
    <n v="0"/>
    <n v="0"/>
    <n v="0"/>
    <n v="0"/>
    <n v="0"/>
    <n v="0"/>
    <n v="0"/>
    <n v="0"/>
    <n v="0"/>
    <n v="0"/>
    <n v="-64566"/>
  </r>
  <r>
    <x v="550"/>
    <x v="550"/>
    <s v="ERP"/>
    <x v="0"/>
    <x v="0"/>
    <s v="Maguire, Karla"/>
    <x v="0"/>
    <x v="340"/>
    <s v="EDIFECS INC"/>
    <s v="2321402"/>
    <s v="IT-SFT1415-OG-US-00"/>
    <m/>
    <s v="9501196586"/>
    <m/>
    <s v="2024 Transfer"/>
    <m/>
    <m/>
    <n v="0"/>
    <n v="5298.95"/>
    <m/>
    <m/>
    <m/>
    <m/>
    <n v="5298.95"/>
    <n v="0"/>
    <n v="0"/>
    <n v="0"/>
    <n v="0"/>
    <n v="0"/>
    <n v="0"/>
    <n v="0"/>
    <n v="0"/>
    <n v="0"/>
    <n v="5298.95"/>
    <n v="0"/>
    <n v="0"/>
    <n v="0"/>
    <n v="0"/>
    <m/>
    <n v="0"/>
    <m/>
    <m/>
    <m/>
    <n v="5298.95"/>
    <n v="0"/>
    <n v="0"/>
    <n v="0"/>
    <n v="0"/>
    <n v="0"/>
    <n v="0"/>
    <n v="0"/>
    <n v="0"/>
    <n v="0"/>
    <n v="5298.95"/>
    <m/>
    <m/>
    <n v="5298.95"/>
    <n v="0"/>
    <n v="0"/>
    <n v="0"/>
    <n v="0"/>
    <n v="0"/>
    <n v="0"/>
    <n v="0"/>
    <n v="0"/>
    <n v="0"/>
    <n v="5298.95"/>
  </r>
  <r>
    <x v="551"/>
    <x v="551"/>
    <s v="ERP"/>
    <x v="0"/>
    <x v="9"/>
    <s v="Maguire, Karla"/>
    <x v="0"/>
    <x v="341"/>
    <m/>
    <m/>
    <s v="IT-SFT1416-OG-US-00"/>
    <m/>
    <m/>
    <m/>
    <s v="None"/>
    <m/>
    <m/>
    <n v="1190.6600000000001"/>
    <n v="1190.6600000000001"/>
    <m/>
    <m/>
    <m/>
    <m/>
    <m/>
    <s v=""/>
    <n v="0"/>
    <n v="1190.6600000000001"/>
    <n v="0"/>
    <n v="0"/>
    <n v="0"/>
    <n v="0"/>
    <n v="0"/>
    <n v="0"/>
    <n v="1190.6600000000001"/>
    <n v="0"/>
    <m/>
    <n v="0"/>
    <n v="0"/>
    <m/>
    <n v="0"/>
    <m/>
    <m/>
    <m/>
    <m/>
    <m/>
    <m/>
    <n v="1190.6600000000001"/>
    <n v="0"/>
    <n v="0"/>
    <n v="0"/>
    <n v="0"/>
    <n v="0"/>
    <n v="0"/>
    <n v="1190.6600000000001"/>
    <m/>
    <m/>
    <m/>
    <m/>
    <m/>
    <n v="1190.6600000000001"/>
    <n v="0"/>
    <n v="0"/>
    <n v="0"/>
    <n v="0"/>
    <n v="0"/>
    <n v="0"/>
    <n v="1190.6600000000001"/>
  </r>
  <r>
    <x v="552"/>
    <x v="552"/>
    <s v="ERP"/>
    <x v="0"/>
    <x v="1"/>
    <s v="Maguire, Karla"/>
    <x v="1"/>
    <x v="342"/>
    <m/>
    <m/>
    <s v="IT-SFT1434-OG-US-00"/>
    <s v="CHW - F/U"/>
    <m/>
    <m/>
    <s v="AIOPS"/>
    <m/>
    <m/>
    <n v="3999.9999999999995"/>
    <n v="4632.7199999999993"/>
    <m/>
    <m/>
    <n v="571.28"/>
    <n v="587.64"/>
    <n v="473.79"/>
    <n v="590.85"/>
    <n v="588.03"/>
    <n v="333.33"/>
    <n v="333.33"/>
    <n v="333.33"/>
    <n v="333.33"/>
    <n v="333.33"/>
    <n v="333.33"/>
    <n v="333.37"/>
    <n v="5144.9399999999996"/>
    <n v="512.22000000000025"/>
    <n v="333.33"/>
    <n v="254.7"/>
    <n v="512.22000000000025"/>
    <m/>
    <n v="512.22000000000025"/>
    <m/>
    <n v="571.28"/>
    <n v="587.64"/>
    <n v="473.79"/>
    <n v="333.33"/>
    <n v="333.33"/>
    <n v="333.33"/>
    <n v="333.33"/>
    <n v="333.33"/>
    <n v="333.33"/>
    <n v="333.33"/>
    <n v="333.33"/>
    <n v="333.37"/>
    <n v="4632.7199999999993"/>
    <n v="571.28"/>
    <n v="587.64"/>
    <n v="473.79"/>
    <n v="333.33"/>
    <n v="333.33"/>
    <n v="333.33"/>
    <n v="333.33"/>
    <n v="333.33"/>
    <n v="333.33"/>
    <n v="333.33"/>
    <n v="333.33"/>
    <n v="333.37"/>
    <n v="4632.7199999999993"/>
  </r>
  <r>
    <x v="553"/>
    <x v="553"/>
    <s v="ERP"/>
    <x v="0"/>
    <x v="1"/>
    <s v="Maguire, Karla"/>
    <x v="0"/>
    <x v="342"/>
    <m/>
    <m/>
    <s v="IT-SFT1434-OG-US-00"/>
    <s v="CHW - F/U"/>
    <m/>
    <m/>
    <s v="AIOPS"/>
    <m/>
    <m/>
    <n v="23000"/>
    <n v="21098.22"/>
    <m/>
    <m/>
    <m/>
    <m/>
    <n v="21098.22"/>
    <n v="0"/>
    <n v="0"/>
    <n v="0"/>
    <n v="0"/>
    <n v="0"/>
    <n v="0"/>
    <n v="0"/>
    <n v="0"/>
    <n v="0"/>
    <n v="21098.22"/>
    <n v="0"/>
    <n v="0"/>
    <n v="0"/>
    <n v="0"/>
    <m/>
    <n v="0"/>
    <m/>
    <m/>
    <m/>
    <n v="21098.22"/>
    <n v="0"/>
    <n v="0"/>
    <n v="0"/>
    <n v="0"/>
    <n v="0"/>
    <n v="0"/>
    <n v="0"/>
    <n v="0"/>
    <n v="0"/>
    <n v="21098.22"/>
    <m/>
    <m/>
    <n v="21098.22"/>
    <n v="21098.22"/>
    <n v="0"/>
    <n v="0"/>
    <n v="0"/>
    <n v="0"/>
    <n v="0"/>
    <n v="0"/>
    <n v="0"/>
    <n v="0"/>
    <n v="42196.44"/>
  </r>
  <r>
    <x v="554"/>
    <x v="554"/>
    <s v="ERP"/>
    <x v="1"/>
    <x v="3"/>
    <s v="DeHart, Lynn"/>
    <x v="1"/>
    <x v="343"/>
    <m/>
    <m/>
    <s v="IT-SFT1436-OG-US-00"/>
    <m/>
    <m/>
    <m/>
    <s v="None"/>
    <m/>
    <m/>
    <n v="9476.7599999999984"/>
    <n v="8989.8399999999983"/>
    <m/>
    <m/>
    <n v="730.3"/>
    <n v="738.84"/>
    <n v="752.07"/>
    <n v="738.27"/>
    <n v="704.13"/>
    <n v="752.07"/>
    <n v="752.07"/>
    <n v="752.07"/>
    <n v="752.07"/>
    <n v="752.07"/>
    <n v="752.07"/>
    <n v="752.07"/>
    <n v="8928.0999999999985"/>
    <n v="-61.739999999999782"/>
    <n v="752.07"/>
    <n v="-47.940000000000055"/>
    <n v="-61.740000000000236"/>
    <m/>
    <n v="-61.739999999999782"/>
    <m/>
    <n v="730.3"/>
    <n v="738.84"/>
    <n v="752.07"/>
    <n v="752.07"/>
    <n v="752.07"/>
    <n v="752.07"/>
    <n v="752.07"/>
    <n v="752.07"/>
    <n v="752.07"/>
    <n v="752.07"/>
    <n v="752.07"/>
    <n v="752.07"/>
    <n v="8989.8399999999983"/>
    <n v="730.3"/>
    <n v="738.84"/>
    <n v="752.07"/>
    <n v="789.73"/>
    <n v="789.73"/>
    <n v="789.73"/>
    <n v="789.73"/>
    <n v="789.73"/>
    <n v="789.73"/>
    <n v="789.73"/>
    <n v="789.73"/>
    <n v="789.73"/>
    <n v="9328.779999999997"/>
  </r>
  <r>
    <x v="555"/>
    <x v="555"/>
    <s v="ERP"/>
    <x v="0"/>
    <x v="1"/>
    <s v="Maguire, Karla"/>
    <x v="0"/>
    <x v="344"/>
    <m/>
    <m/>
    <s v="IT-SFT1441-OG-US-00"/>
    <m/>
    <m/>
    <m/>
    <s v="AIOPS"/>
    <m/>
    <m/>
    <n v="35569"/>
    <n v="35569"/>
    <m/>
    <m/>
    <m/>
    <m/>
    <m/>
    <s v=""/>
    <n v="0"/>
    <n v="35569"/>
    <n v="0"/>
    <n v="0"/>
    <n v="0"/>
    <n v="0"/>
    <n v="0"/>
    <n v="0"/>
    <n v="35569"/>
    <n v="0"/>
    <m/>
    <n v="0"/>
    <n v="0"/>
    <m/>
    <n v="0"/>
    <m/>
    <m/>
    <m/>
    <m/>
    <m/>
    <m/>
    <n v="35569"/>
    <n v="0"/>
    <n v="0"/>
    <n v="0"/>
    <n v="0"/>
    <n v="0"/>
    <n v="0"/>
    <n v="35569"/>
    <m/>
    <m/>
    <m/>
    <m/>
    <m/>
    <n v="35569"/>
    <n v="0"/>
    <n v="0"/>
    <n v="0"/>
    <n v="0"/>
    <n v="0"/>
    <n v="0"/>
    <n v="35569"/>
  </r>
  <r>
    <x v="556"/>
    <x v="556"/>
    <s v="ERP"/>
    <x v="2"/>
    <x v="11"/>
    <s v="McGettigan, David"/>
    <x v="1"/>
    <x v="345"/>
    <m/>
    <m/>
    <s v="IT-SFT1442-OG-US-00"/>
    <m/>
    <m/>
    <m/>
    <s v="None"/>
    <m/>
    <m/>
    <n v="0"/>
    <n v="21.89"/>
    <m/>
    <m/>
    <n v="11.06"/>
    <n v="5.54"/>
    <n v="5.29"/>
    <n v="5.5299999999999994"/>
    <n v="5.33"/>
    <n v="0"/>
    <n v="0"/>
    <n v="0"/>
    <n v="0"/>
    <n v="0"/>
    <n v="0"/>
    <n v="0"/>
    <n v="32.75"/>
    <n v="10.86"/>
    <n v="0"/>
    <n v="5.33"/>
    <n v="10.86"/>
    <m/>
    <n v="10.86"/>
    <m/>
    <n v="11.06"/>
    <n v="5.54"/>
    <n v="5.29"/>
    <n v="0"/>
    <n v="0"/>
    <n v="0"/>
    <n v="0"/>
    <n v="0"/>
    <n v="0"/>
    <n v="0"/>
    <n v="0"/>
    <n v="0"/>
    <n v="21.89"/>
    <n v="11.06"/>
    <n v="5.54"/>
    <n v="5.29"/>
    <n v="0"/>
    <n v="0"/>
    <n v="0"/>
    <n v="0"/>
    <n v="0"/>
    <n v="0"/>
    <n v="0"/>
    <n v="0"/>
    <n v="0"/>
    <n v="21.89"/>
  </r>
  <r>
    <x v="557"/>
    <x v="557"/>
    <s v="ERP"/>
    <x v="0"/>
    <x v="0"/>
    <s v="Maguire, Karla"/>
    <x v="0"/>
    <x v="346"/>
    <m/>
    <m/>
    <s v="IT-SFT1445-OG-US-00"/>
    <m/>
    <m/>
    <m/>
    <s v="None"/>
    <m/>
    <m/>
    <n v="30000"/>
    <n v="30000"/>
    <m/>
    <m/>
    <m/>
    <m/>
    <m/>
    <s v=""/>
    <n v="0"/>
    <m/>
    <m/>
    <n v="30000"/>
    <n v="0"/>
    <n v="0"/>
    <n v="0"/>
    <n v="0"/>
    <n v="30000"/>
    <n v="0"/>
    <m/>
    <n v="0"/>
    <n v="0"/>
    <m/>
    <n v="0"/>
    <m/>
    <m/>
    <m/>
    <m/>
    <m/>
    <m/>
    <m/>
    <m/>
    <n v="30000"/>
    <n v="0"/>
    <n v="0"/>
    <n v="0"/>
    <n v="0"/>
    <n v="30000"/>
    <m/>
    <m/>
    <m/>
    <m/>
    <m/>
    <m/>
    <m/>
    <n v="30000"/>
    <n v="0"/>
    <n v="0"/>
    <n v="0"/>
    <n v="0"/>
    <n v="30000"/>
  </r>
  <r>
    <x v="558"/>
    <x v="558"/>
    <s v="ERP"/>
    <x v="1"/>
    <x v="2"/>
    <s v="DeHart, Lynn"/>
    <x v="0"/>
    <x v="347"/>
    <s v="Celonis"/>
    <s v="2329612"/>
    <s v="IT-SFT1449-OG-US-00"/>
    <m/>
    <s v="9501131787"/>
    <s v="Yes"/>
    <s v="2026 Pullforward"/>
    <s v="4/28/26 CHW New add to tie-out 0223 to 0317 Planful Extracts"/>
    <m/>
    <n v="231903.7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31903.75"/>
    <n v="0"/>
    <n v="0"/>
    <n v="0"/>
    <n v="0"/>
    <n v="0"/>
    <n v="0"/>
    <n v="0"/>
    <n v="0"/>
    <n v="0"/>
    <n v="0"/>
    <n v="0"/>
    <n v="231903.75"/>
  </r>
  <r>
    <x v="559"/>
    <x v="559"/>
    <s v="ERP"/>
    <x v="1"/>
    <x v="2"/>
    <s v="DeHart, Lynn"/>
    <x v="0"/>
    <x v="348"/>
    <s v="Celonis"/>
    <s v="2329612"/>
    <s v="IT-SFT1449-OG-US-00/PF"/>
    <m/>
    <s v="9501131787"/>
    <s v="Yes"/>
    <s v="2026 Pullforward"/>
    <s v="4/28/26 CHW New add to tie-out 0223 to 0317 Planful Extracts"/>
    <m/>
    <n v="-231903.7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31903.75"/>
    <n v="0"/>
    <n v="0"/>
    <n v="0"/>
    <n v="0"/>
    <n v="0"/>
    <n v="0"/>
    <n v="0"/>
    <n v="0"/>
    <n v="0"/>
    <n v="0"/>
    <n v="0"/>
    <n v="-231903.75"/>
  </r>
  <r>
    <x v="560"/>
    <x v="560"/>
    <s v="ERP"/>
    <x v="3"/>
    <x v="14"/>
    <s v="Robertson, Jerome"/>
    <x v="0"/>
    <x v="349"/>
    <m/>
    <m/>
    <s v="IT-SFT1453-OG-US-00"/>
    <m/>
    <m/>
    <m/>
    <s v="None"/>
    <m/>
    <m/>
    <n v="156778.01999999999"/>
    <n v="156778.01999999999"/>
    <m/>
    <m/>
    <n v="10768"/>
    <n v="146010.01999999999"/>
    <n v="0"/>
    <n v="0"/>
    <n v="0"/>
    <n v="0"/>
    <n v="0"/>
    <n v="0"/>
    <n v="0"/>
    <n v="0"/>
    <n v="0"/>
    <n v="0"/>
    <n v="156778.01999999999"/>
    <n v="0"/>
    <n v="0"/>
    <n v="0"/>
    <n v="0"/>
    <m/>
    <n v="0"/>
    <m/>
    <n v="10768"/>
    <n v="146010.01999999999"/>
    <n v="0"/>
    <n v="0"/>
    <n v="0"/>
    <n v="0"/>
    <n v="0"/>
    <n v="0"/>
    <n v="0"/>
    <n v="0"/>
    <n v="0"/>
    <n v="0"/>
    <n v="156778.01999999999"/>
    <n v="10768"/>
    <n v="146010.01999999999"/>
    <n v="0"/>
    <n v="0"/>
    <n v="0"/>
    <n v="0"/>
    <n v="0"/>
    <n v="0"/>
    <n v="0"/>
    <n v="0"/>
    <n v="0"/>
    <n v="0"/>
    <n v="156778.01999999999"/>
  </r>
  <r>
    <x v="561"/>
    <x v="561"/>
    <s v="ERP"/>
    <x v="0"/>
    <x v="0"/>
    <s v="Maguire, Karla"/>
    <x v="0"/>
    <x v="350"/>
    <s v="SAP AMERICA INC"/>
    <s v="2321402"/>
    <s v="IT-SFT1457-OG-US-00"/>
    <m/>
    <s v="9501147826"/>
    <s v="Yes"/>
    <s v="2026 Pullforward"/>
    <s v="4/28/26 CHW New add to tie-out 0223 to 0317 Planful Extracts 0"/>
    <m/>
    <n v="169614.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614.9"/>
    <n v="0"/>
    <n v="0"/>
    <n v="0"/>
    <n v="0"/>
    <n v="0"/>
    <n v="0"/>
    <n v="0"/>
    <n v="0"/>
    <n v="0"/>
    <n v="0"/>
    <n v="0"/>
    <n v="169614.9"/>
  </r>
  <r>
    <x v="562"/>
    <x v="562"/>
    <s v="ERP"/>
    <x v="0"/>
    <x v="0"/>
    <s v="Maguire, Karla"/>
    <x v="0"/>
    <x v="351"/>
    <s v="SAP AMERICA INC"/>
    <s v="2321402"/>
    <s v="IT-SFT1457-OG-US-00/PF"/>
    <m/>
    <s v="9501147826"/>
    <s v="Yes"/>
    <s v="2026 Pullforward"/>
    <s v="4/28/26 CHW New add to tie-out 0223 to 0317 Planful Extracts should credit be included in LE2 submission?; AP2 comment: missing PF credit"/>
    <m/>
    <n v="-169614.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614.9"/>
    <n v="0"/>
    <n v="0"/>
    <n v="0"/>
    <n v="0"/>
    <n v="0"/>
    <n v="0"/>
    <n v="0"/>
    <n v="0"/>
    <n v="0"/>
    <n v="0"/>
    <n v="0"/>
    <n v="-169614.9"/>
  </r>
  <r>
    <x v="563"/>
    <x v="563"/>
    <s v="ERP"/>
    <x v="1"/>
    <x v="16"/>
    <s v="DeHart, Lynn"/>
    <x v="2"/>
    <x v="352"/>
    <m/>
    <m/>
    <s v="IT-SFT1458-OG-US-00"/>
    <m/>
    <m/>
    <m/>
    <s v="None"/>
    <s v="Sachin (4/30): This WBS was created with the wrong expense category hence the charge was reversed. This row can be removed. Its replaced by row 422."/>
    <m/>
    <n v="0"/>
    <n v="0"/>
    <m/>
    <m/>
    <m/>
    <n v="304987.09999999998"/>
    <n v="-304987.09999999998"/>
    <n v="0"/>
    <n v="0"/>
    <m/>
    <m/>
    <m/>
    <m/>
    <m/>
    <m/>
    <m/>
    <n v="0"/>
    <n v="0"/>
    <m/>
    <n v="0"/>
    <n v="0"/>
    <m/>
    <n v="0"/>
    <m/>
    <m/>
    <n v="304987.09999999998"/>
    <n v="-304987.09999999998"/>
    <m/>
    <m/>
    <m/>
    <m/>
    <m/>
    <m/>
    <m/>
    <m/>
    <m/>
    <n v="0"/>
    <m/>
    <n v="304987.09999999998"/>
    <n v="-304987.09999999998"/>
    <m/>
    <m/>
    <m/>
    <m/>
    <m/>
    <m/>
    <m/>
    <m/>
    <m/>
    <n v="0"/>
  </r>
  <r>
    <x v="564"/>
    <x v="564"/>
    <s v="ERP"/>
    <x v="1"/>
    <x v="16"/>
    <s v="DeHart, Lynn"/>
    <x v="0"/>
    <x v="352"/>
    <m/>
    <m/>
    <s v="IT-SFT1458-OG-US-00"/>
    <m/>
    <m/>
    <m/>
    <s v="None"/>
    <s v="Sachin (4/30): OK"/>
    <m/>
    <n v="353631"/>
    <n v="353631"/>
    <m/>
    <m/>
    <m/>
    <m/>
    <n v="304987.09999999998"/>
    <n v="0"/>
    <n v="0"/>
    <n v="0"/>
    <n v="0"/>
    <n v="0"/>
    <n v="48643.9"/>
    <n v="0"/>
    <n v="0"/>
    <n v="0"/>
    <n v="353631"/>
    <n v="0"/>
    <n v="0"/>
    <n v="0"/>
    <n v="0"/>
    <m/>
    <n v="0"/>
    <m/>
    <m/>
    <m/>
    <n v="304987.09999999998"/>
    <n v="0"/>
    <n v="0"/>
    <n v="0"/>
    <n v="0"/>
    <n v="0"/>
    <n v="48643.9"/>
    <n v="0"/>
    <n v="0"/>
    <n v="0"/>
    <n v="353631"/>
    <m/>
    <m/>
    <n v="304987.09999999998"/>
    <n v="0"/>
    <n v="0"/>
    <n v="0"/>
    <n v="24321.95"/>
    <n v="24321.95"/>
    <n v="0"/>
    <n v="0"/>
    <n v="0"/>
    <n v="0"/>
    <n v="353631"/>
  </r>
  <r>
    <x v="565"/>
    <x v="565"/>
    <s v="ERP"/>
    <x v="1"/>
    <x v="16"/>
    <s v="DeHart, Lynn"/>
    <x v="2"/>
    <x v="353"/>
    <m/>
    <m/>
    <s v="IT-SFT1459-OG-US-00"/>
    <m/>
    <m/>
    <m/>
    <s v="None"/>
    <s v="Sachin (4/30): This WBS was created with the wrong expense category hence the charge was reversed. This row can be removed. Its replaced by row 423."/>
    <m/>
    <n v="0"/>
    <n v="0"/>
    <m/>
    <m/>
    <m/>
    <n v="331000"/>
    <n v="-331000"/>
    <n v="0"/>
    <n v="0"/>
    <m/>
    <m/>
    <m/>
    <m/>
    <m/>
    <m/>
    <m/>
    <n v="0"/>
    <n v="0"/>
    <m/>
    <n v="0"/>
    <n v="0"/>
    <m/>
    <n v="0"/>
    <m/>
    <m/>
    <n v="331000"/>
    <n v="-331000"/>
    <m/>
    <m/>
    <m/>
    <m/>
    <m/>
    <m/>
    <m/>
    <m/>
    <m/>
    <n v="0"/>
    <m/>
    <n v="331000"/>
    <n v="-331000"/>
    <m/>
    <m/>
    <m/>
    <m/>
    <m/>
    <m/>
    <m/>
    <m/>
    <m/>
    <n v="0"/>
  </r>
  <r>
    <x v="566"/>
    <x v="566"/>
    <s v="ERP"/>
    <x v="1"/>
    <x v="16"/>
    <s v="DeHart, Lynn"/>
    <x v="0"/>
    <x v="353"/>
    <m/>
    <m/>
    <s v="IT-SFT1459-OG-US-00"/>
    <m/>
    <m/>
    <m/>
    <s v="None"/>
    <s v="Sachin (4/30): OK"/>
    <m/>
    <n v="434000"/>
    <n v="434000"/>
    <m/>
    <m/>
    <m/>
    <m/>
    <n v="331000"/>
    <n v="0"/>
    <n v="0"/>
    <n v="81000"/>
    <n v="0"/>
    <n v="0"/>
    <n v="0"/>
    <n v="22000"/>
    <n v="0"/>
    <n v="0"/>
    <n v="434000"/>
    <n v="0"/>
    <n v="0"/>
    <n v="0"/>
    <n v="0"/>
    <m/>
    <n v="0"/>
    <m/>
    <m/>
    <m/>
    <n v="331000"/>
    <n v="0"/>
    <n v="0"/>
    <n v="81000"/>
    <n v="0"/>
    <n v="0"/>
    <n v="0"/>
    <n v="22000"/>
    <n v="0"/>
    <n v="0"/>
    <n v="434000"/>
    <m/>
    <m/>
    <n v="331000"/>
    <n v="0"/>
    <n v="0"/>
    <n v="0"/>
    <n v="0"/>
    <n v="103000"/>
    <n v="0"/>
    <n v="0"/>
    <n v="0"/>
    <n v="0"/>
    <n v="434000"/>
  </r>
  <r>
    <x v="567"/>
    <x v="567"/>
    <s v="ERP"/>
    <x v="1"/>
    <x v="16"/>
    <s v="DeHart, Lynn"/>
    <x v="0"/>
    <x v="354"/>
    <m/>
    <m/>
    <s v="IT-SFT1461-OG-US-00"/>
    <m/>
    <m/>
    <m/>
    <s v="None"/>
    <s v="Sachin (4/30): This funding is no longer needed"/>
    <m/>
    <n v="150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m/>
    <m/>
    <n v="15096"/>
    <n v="0"/>
    <n v="0"/>
    <n v="0"/>
    <n v="0"/>
    <n v="0"/>
    <n v="0"/>
    <n v="15096"/>
  </r>
  <r>
    <x v="568"/>
    <x v="568"/>
    <s v="ERP"/>
    <x v="1"/>
    <x v="16"/>
    <s v="DeHart, Lynn"/>
    <x v="0"/>
    <x v="124"/>
    <m/>
    <m/>
    <s v="IT-SFT1462-OG-US-00"/>
    <m/>
    <m/>
    <m/>
    <s v="None"/>
    <s v="4/28/26 CHW New add to tie-out 0223 to 0317 Planful Extracts_x000a_Sachin (4/30): This row can be removed. Its duplicate of row 284"/>
    <m/>
    <n v="120000"/>
    <n v="0"/>
    <m/>
    <m/>
    <n v="0"/>
    <n v="0"/>
    <n v="0"/>
    <s v=""/>
    <n v="0"/>
    <n v="0"/>
    <n v="0"/>
    <n v="0"/>
    <n v="0"/>
    <n v="0"/>
    <n v="0"/>
    <n v="0"/>
    <n v="0"/>
    <n v="0"/>
    <n v="0"/>
    <n v="0"/>
    <n v="0"/>
    <m/>
    <n v="0"/>
    <s v="Acct Mvmnt - IT-CTR0151-OG-US-00/IT-SFT1462-OG-US-00; Sachin (4/30): This row can be removed. Its duplicate of row 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20000"/>
    <n v="20000"/>
    <n v="20000"/>
    <n v="20000"/>
    <n v="20000"/>
    <n v="120000"/>
  </r>
  <r>
    <x v="569"/>
    <x v="569"/>
    <s v="ERP"/>
    <x v="1"/>
    <x v="6"/>
    <s v="DeHart, Lynn"/>
    <x v="8"/>
    <x v="355"/>
    <m/>
    <m/>
    <s v="KM_CompanyCar001"/>
    <m/>
    <m/>
    <m/>
    <s v="Other / Car"/>
    <m/>
    <m/>
    <n v="17000"/>
    <n v="15576.84"/>
    <m/>
    <m/>
    <m/>
    <n v="1512.59"/>
    <n v="814.25"/>
    <s v=""/>
    <n v="0"/>
    <n v="1500"/>
    <n v="1500"/>
    <n v="1500"/>
    <n v="1500"/>
    <n v="1500"/>
    <n v="1500"/>
    <n v="1500"/>
    <n v="12826.84"/>
    <n v="-2750"/>
    <n v="1500"/>
    <n v="-1500"/>
    <n v="-2750"/>
    <m/>
    <n v="-2750"/>
    <m/>
    <m/>
    <n v="1512.59"/>
    <n v="814.25"/>
    <n v="1250"/>
    <n v="1500"/>
    <n v="1500"/>
    <n v="1500"/>
    <n v="1500"/>
    <n v="1500"/>
    <n v="1500"/>
    <n v="1500"/>
    <n v="1500"/>
    <n v="15576.84"/>
    <m/>
    <n v="1512.59"/>
    <n v="814.25"/>
    <n v="1250"/>
    <n v="1500"/>
    <n v="1500"/>
    <n v="1500"/>
    <n v="1500"/>
    <n v="1500"/>
    <n v="1500"/>
    <n v="1500"/>
    <n v="1500"/>
    <n v="15576.84"/>
  </r>
  <r>
    <x v="570"/>
    <x v="570"/>
    <s v="ERP"/>
    <x v="1"/>
    <x v="3"/>
    <s v="Hase, Raj"/>
    <x v="2"/>
    <x v="356"/>
    <m/>
    <s v="2329609"/>
    <s v="MISC001"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571"/>
    <x v="571"/>
    <s v="ERP"/>
    <x v="1"/>
    <x v="4"/>
    <s v="Hovanyetz, Mike"/>
    <x v="2"/>
    <x v="356"/>
    <m/>
    <s v="2321347"/>
    <s v="MISC001"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572"/>
    <x v="572"/>
    <s v="ERP"/>
    <x v="2"/>
    <x v="11"/>
    <s v="McGettigan, David"/>
    <x v="8"/>
    <x v="356"/>
    <m/>
    <s v="2321210"/>
    <s v="MISC001"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573"/>
    <x v="573"/>
    <s v="ERP"/>
    <x v="1"/>
    <x v="16"/>
    <s v="Vaidya, Sachin"/>
    <x v="1"/>
    <x v="356"/>
    <m/>
    <s v="2329610"/>
    <s v="MISC001"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574"/>
    <x v="574"/>
    <s v="ERP"/>
    <x v="0"/>
    <x v="0"/>
    <s v="Dougherty, Chris"/>
    <x v="3"/>
    <x v="356"/>
    <m/>
    <s v="2321402"/>
    <s v="MISC001"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x v="575"/>
    <x v="575"/>
    <s v="ERP"/>
    <x v="1"/>
    <x v="12"/>
    <s v="DeHart, Lynn"/>
    <x v="2"/>
    <x v="356"/>
    <m/>
    <m/>
    <s v="MISC001"/>
    <m/>
    <m/>
    <m/>
    <s v="None"/>
    <m/>
    <m/>
    <n v="0"/>
    <n v="19969.14"/>
    <m/>
    <m/>
    <n v="6818.85"/>
    <n v="9998.51"/>
    <n v="3151.78"/>
    <n v="13245.82"/>
    <n v="11713.649999999994"/>
    <n v="0"/>
    <n v="0"/>
    <n v="0"/>
    <n v="0"/>
    <n v="0"/>
    <n v="0"/>
    <n v="0"/>
    <n v="44928.609999999993"/>
    <n v="24959.469999999994"/>
    <n v="0"/>
    <n v="11713.649999999994"/>
    <n v="24959.469999999994"/>
    <m/>
    <n v="24959.469999999994"/>
    <m/>
    <n v="6818.85"/>
    <n v="9998.51"/>
    <n v="3151.78"/>
    <n v="0"/>
    <n v="0"/>
    <n v="0"/>
    <n v="0"/>
    <n v="0"/>
    <n v="0"/>
    <n v="0"/>
    <n v="0"/>
    <n v="0"/>
    <n v="19969.14"/>
    <n v="6818.85"/>
    <n v="9998.51"/>
    <n v="3151.78"/>
    <n v="0"/>
    <n v="0"/>
    <n v="0"/>
    <n v="0"/>
    <n v="0"/>
    <n v="0"/>
    <n v="0"/>
    <n v="0"/>
    <n v="0"/>
    <n v="19969.14"/>
  </r>
  <r>
    <x v="576"/>
    <x v="576"/>
    <s v="ERP"/>
    <x v="1"/>
    <x v="12"/>
    <s v="DeHart, Lynn"/>
    <x v="3"/>
    <x v="356"/>
    <m/>
    <m/>
    <s v="MISC001"/>
    <m/>
    <m/>
    <m/>
    <s v="None"/>
    <m/>
    <m/>
    <n v="0"/>
    <n v="835.42000000000007"/>
    <m/>
    <m/>
    <n v="-0.14000000000000001"/>
    <n v="464.29"/>
    <n v="371.27"/>
    <n v="-0.06"/>
    <n v="2499.4899999999998"/>
    <n v="0"/>
    <n v="0"/>
    <n v="0"/>
    <n v="0"/>
    <n v="0"/>
    <n v="0"/>
    <n v="0"/>
    <n v="3334.85"/>
    <n v="2499.4299999999998"/>
    <n v="0"/>
    <n v="2499.4899999999998"/>
    <n v="2499.4299999999998"/>
    <m/>
    <n v="2499.4299999999998"/>
    <m/>
    <n v="-0.14000000000000001"/>
    <n v="464.29"/>
    <n v="371.27"/>
    <n v="0"/>
    <n v="0"/>
    <n v="0"/>
    <n v="0"/>
    <n v="0"/>
    <n v="0"/>
    <n v="0"/>
    <n v="0"/>
    <n v="0"/>
    <n v="835.42000000000007"/>
    <n v="-0.14000000000000001"/>
    <n v="464.29"/>
    <n v="371.27"/>
    <n v="0"/>
    <n v="0"/>
    <n v="0"/>
    <n v="0"/>
    <n v="0"/>
    <n v="0"/>
    <n v="0"/>
    <n v="0"/>
    <n v="0"/>
    <n v="835.42000000000007"/>
  </r>
  <r>
    <x v="577"/>
    <x v="577"/>
    <s v="ERP"/>
    <x v="1"/>
    <x v="12"/>
    <s v="DeHart, Lynn"/>
    <x v="1"/>
    <x v="356"/>
    <m/>
    <m/>
    <s v="MISC001"/>
    <m/>
    <m/>
    <m/>
    <s v="None"/>
    <m/>
    <m/>
    <n v="0"/>
    <n v="-991.60999999999967"/>
    <m/>
    <m/>
    <n v="2949.13"/>
    <n v="-734.7"/>
    <n v="-3206.04"/>
    <n v="1083.7399999999998"/>
    <n v="2193.66"/>
    <n v="0"/>
    <n v="0"/>
    <n v="0"/>
    <n v="0"/>
    <n v="0"/>
    <n v="0"/>
    <n v="0"/>
    <n v="2285.79"/>
    <n v="3277.3999999999996"/>
    <n v="0"/>
    <n v="2193.66"/>
    <n v="3277.3999999999996"/>
    <m/>
    <n v="3277.3999999999996"/>
    <m/>
    <n v="2949.13"/>
    <n v="-734.7"/>
    <n v="-3206.04"/>
    <n v="0"/>
    <n v="0"/>
    <n v="0"/>
    <n v="0"/>
    <n v="0"/>
    <n v="0"/>
    <n v="0"/>
    <n v="0"/>
    <n v="0"/>
    <n v="-991.60999999999967"/>
    <n v="2949.13"/>
    <n v="-734.7"/>
    <n v="-3206.04"/>
    <n v="0"/>
    <n v="0"/>
    <n v="0"/>
    <n v="0"/>
    <n v="0"/>
    <n v="0"/>
    <n v="0"/>
    <n v="0"/>
    <n v="0"/>
    <n v="-991.60999999999967"/>
  </r>
  <r>
    <x v="578"/>
    <x v="578"/>
    <s v="ERP"/>
    <x v="1"/>
    <x v="12"/>
    <s v="DeHart, Lynn"/>
    <x v="8"/>
    <x v="356"/>
    <m/>
    <m/>
    <s v="MISC001"/>
    <m/>
    <m/>
    <m/>
    <s v="None"/>
    <m/>
    <m/>
    <n v="0"/>
    <n v="7191.02"/>
    <m/>
    <m/>
    <n v="843.69"/>
    <n v="4879.99"/>
    <n v="1467.34"/>
    <s v=""/>
    <n v="0"/>
    <n v="0"/>
    <n v="0"/>
    <n v="0"/>
    <n v="0"/>
    <n v="0"/>
    <n v="0"/>
    <n v="0"/>
    <n v="7191.02"/>
    <n v="0"/>
    <n v="0"/>
    <n v="0"/>
    <n v="0"/>
    <m/>
    <n v="0"/>
    <m/>
    <n v="843.69"/>
    <n v="4879.99"/>
    <n v="1467.34"/>
    <n v="0"/>
    <n v="0"/>
    <n v="0"/>
    <n v="0"/>
    <n v="0"/>
    <n v="0"/>
    <n v="0"/>
    <n v="0"/>
    <n v="0"/>
    <n v="7191.02"/>
    <n v="843.69"/>
    <n v="4879.99"/>
    <n v="1467.34"/>
    <n v="0"/>
    <n v="0"/>
    <n v="0"/>
    <n v="0"/>
    <n v="0"/>
    <n v="0"/>
    <n v="0"/>
    <n v="0"/>
    <n v="0"/>
    <n v="7191.02"/>
  </r>
  <r>
    <x v="579"/>
    <x v="579"/>
    <s v="ERP"/>
    <x v="1"/>
    <x v="12"/>
    <s v="DeHart, Lynn"/>
    <x v="0"/>
    <x v="356"/>
    <m/>
    <m/>
    <s v="MISC001"/>
    <m/>
    <m/>
    <m/>
    <s v="None"/>
    <m/>
    <m/>
    <n v="0"/>
    <n v="2702.75"/>
    <m/>
    <m/>
    <n v="45.54"/>
    <n v="0.09"/>
    <n v="2657.12"/>
    <n v="12.72"/>
    <n v="29.21"/>
    <n v="0"/>
    <n v="0"/>
    <n v="0"/>
    <n v="0"/>
    <n v="0"/>
    <n v="0"/>
    <n v="0"/>
    <n v="2744.68"/>
    <n v="41.929999999999836"/>
    <n v="0"/>
    <n v="29.21"/>
    <n v="41.929999999999836"/>
    <m/>
    <n v="41.929999999999836"/>
    <m/>
    <n v="45.54"/>
    <n v="0.09"/>
    <n v="2657.12"/>
    <n v="0"/>
    <n v="0"/>
    <n v="0"/>
    <n v="0"/>
    <n v="0"/>
    <n v="0"/>
    <n v="0"/>
    <n v="0"/>
    <n v="0"/>
    <n v="2702.75"/>
    <n v="45.54"/>
    <n v="0.09"/>
    <n v="2657.12"/>
    <n v="0"/>
    <n v="0"/>
    <n v="0"/>
    <n v="0"/>
    <n v="0"/>
    <n v="0"/>
    <n v="0"/>
    <n v="0"/>
    <n v="0"/>
    <n v="2702.75"/>
  </r>
  <r>
    <x v="580"/>
    <x v="580"/>
    <s v="ERP"/>
    <x v="0"/>
    <x v="0"/>
    <s v="Maguire, Karla"/>
    <x v="2"/>
    <x v="356"/>
    <m/>
    <m/>
    <s v="MISC001"/>
    <m/>
    <m/>
    <m/>
    <s v="None"/>
    <m/>
    <m/>
    <n v="0"/>
    <n v="-0.11000000000058208"/>
    <m/>
    <m/>
    <n v="20093.099999999999"/>
    <n v="22504.89"/>
    <n v="-42598.1"/>
    <n v="-0.33"/>
    <n v="0.71"/>
    <n v="0"/>
    <n v="0"/>
    <n v="0"/>
    <n v="0"/>
    <n v="0"/>
    <n v="0"/>
    <n v="0"/>
    <n v="0.26999999999941787"/>
    <n v="0.37999999999999995"/>
    <n v="0"/>
    <n v="0.71"/>
    <n v="0.37999999999999995"/>
    <m/>
    <n v="0.37999999999999995"/>
    <m/>
    <n v="20093.099999999999"/>
    <n v="22504.89"/>
    <n v="-42598.1"/>
    <n v="0"/>
    <n v="0"/>
    <n v="0"/>
    <n v="0"/>
    <n v="0"/>
    <n v="0"/>
    <n v="0"/>
    <n v="0"/>
    <n v="0"/>
    <n v="-0.11000000000058208"/>
    <n v="20093.099999999999"/>
    <n v="22504.89"/>
    <n v="-42598.1"/>
    <n v="0"/>
    <n v="0"/>
    <n v="0"/>
    <n v="0"/>
    <n v="0"/>
    <n v="0"/>
    <n v="0"/>
    <n v="0"/>
    <n v="0"/>
    <n v="-0.11000000000058208"/>
  </r>
  <r>
    <x v="581"/>
    <x v="581"/>
    <s v="ERP"/>
    <x v="0"/>
    <x v="0"/>
    <s v="Maguire, Karla"/>
    <x v="1"/>
    <x v="356"/>
    <m/>
    <m/>
    <s v="MISC001"/>
    <m/>
    <m/>
    <m/>
    <s v="None"/>
    <m/>
    <m/>
    <n v="0"/>
    <n v="0.03"/>
    <m/>
    <m/>
    <n v="7.0000000000000007E-2"/>
    <n v="-0.2"/>
    <n v="0.16"/>
    <n v="-0.28999999999999998"/>
    <n v="71439.95"/>
    <n v="0"/>
    <n v="0"/>
    <n v="0"/>
    <n v="0"/>
    <n v="0"/>
    <n v="0"/>
    <n v="0"/>
    <n v="71439.69"/>
    <n v="71439.66"/>
    <n v="0"/>
    <n v="71439.95"/>
    <n v="71439.66"/>
    <m/>
    <n v="71439.66"/>
    <m/>
    <n v="7.0000000000000007E-2"/>
    <n v="-0.2"/>
    <n v="0.16"/>
    <n v="0"/>
    <n v="0"/>
    <n v="0"/>
    <n v="0"/>
    <n v="0"/>
    <n v="0"/>
    <n v="0"/>
    <n v="0"/>
    <n v="0"/>
    <n v="0.03"/>
    <n v="7.0000000000000007E-2"/>
    <n v="-0.2"/>
    <n v="0.16"/>
    <n v="0"/>
    <n v="0"/>
    <n v="0"/>
    <n v="0"/>
    <n v="0"/>
    <n v="0"/>
    <n v="0"/>
    <n v="0"/>
    <n v="0"/>
    <n v="0.03"/>
  </r>
  <r>
    <x v="582"/>
    <x v="582"/>
    <s v="ERP"/>
    <x v="0"/>
    <x v="0"/>
    <s v="Maguire, Karla"/>
    <x v="0"/>
    <x v="356"/>
    <m/>
    <m/>
    <s v="MISC001"/>
    <m/>
    <m/>
    <m/>
    <s v="None"/>
    <m/>
    <m/>
    <n v="0"/>
    <n v="0.3"/>
    <m/>
    <m/>
    <n v="0.32"/>
    <n v="-0.45"/>
    <n v="0.43"/>
    <n v="-0.34"/>
    <n v="30694.750000000004"/>
    <n v="0"/>
    <n v="0"/>
    <n v="0"/>
    <n v="0"/>
    <n v="0"/>
    <n v="0"/>
    <n v="0"/>
    <n v="30694.710000000003"/>
    <n v="30694.410000000003"/>
    <n v="0"/>
    <n v="30694.750000000004"/>
    <n v="30694.410000000003"/>
    <m/>
    <n v="30694.410000000003"/>
    <m/>
    <n v="0.32"/>
    <n v="-0.45"/>
    <n v="0.43"/>
    <n v="0"/>
    <n v="0"/>
    <n v="0"/>
    <n v="0"/>
    <n v="0"/>
    <n v="0"/>
    <n v="0"/>
    <n v="0"/>
    <n v="0"/>
    <n v="0.3"/>
    <n v="0.32"/>
    <n v="-0.45"/>
    <n v="0.43"/>
    <n v="0"/>
    <n v="0"/>
    <n v="0"/>
    <n v="0"/>
    <n v="0"/>
    <n v="0"/>
    <n v="0"/>
    <n v="0"/>
    <n v="0"/>
    <n v="0.3"/>
  </r>
  <r>
    <x v="583"/>
    <x v="583"/>
    <s v="ERP"/>
    <x v="1"/>
    <x v="5"/>
    <s v="DeHart, Lynn"/>
    <x v="2"/>
    <x v="356"/>
    <m/>
    <m/>
    <s v="MISC001"/>
    <m/>
    <m/>
    <m/>
    <s v="None"/>
    <m/>
    <m/>
    <n v="0"/>
    <n v="-0.47"/>
    <m/>
    <m/>
    <n v="-0.28999999999999998"/>
    <n v="0.43"/>
    <n v="-0.61"/>
    <n v="0.34"/>
    <n v="0.22"/>
    <n v="0"/>
    <n v="0"/>
    <n v="0"/>
    <n v="0"/>
    <n v="0"/>
    <n v="0"/>
    <n v="0"/>
    <n v="9.0000000000000052E-2"/>
    <n v="0.56000000000000005"/>
    <n v="0"/>
    <n v="0.22"/>
    <n v="0.56000000000000005"/>
    <m/>
    <n v="0.56000000000000005"/>
    <m/>
    <n v="-0.28999999999999998"/>
    <n v="0.43"/>
    <n v="-0.61"/>
    <n v="0"/>
    <n v="0"/>
    <n v="0"/>
    <n v="0"/>
    <n v="0"/>
    <n v="0"/>
    <n v="0"/>
    <n v="0"/>
    <n v="0"/>
    <n v="-0.47"/>
    <n v="-0.28999999999999998"/>
    <n v="0.43"/>
    <n v="-0.61"/>
    <n v="0"/>
    <n v="0"/>
    <n v="0"/>
    <n v="0"/>
    <n v="0"/>
    <n v="0"/>
    <n v="0"/>
    <n v="0"/>
    <n v="0"/>
    <n v="-0.47"/>
  </r>
  <r>
    <x v="584"/>
    <x v="584"/>
    <s v="ERP"/>
    <x v="1"/>
    <x v="5"/>
    <s v="DeHart, Lynn"/>
    <x v="1"/>
    <x v="356"/>
    <m/>
    <m/>
    <s v="MISC001"/>
    <m/>
    <m/>
    <m/>
    <s v="None"/>
    <m/>
    <m/>
    <n v="0"/>
    <n v="799.29000000000008"/>
    <m/>
    <m/>
    <n v="-79.28"/>
    <n v="124.37"/>
    <n v="754.2"/>
    <n v="171.12"/>
    <n v="538.97"/>
    <n v="0"/>
    <n v="0"/>
    <n v="0"/>
    <n v="0"/>
    <n v="0"/>
    <n v="0"/>
    <n v="0"/>
    <n v="1509.38"/>
    <n v="710.09"/>
    <n v="0"/>
    <n v="538.97"/>
    <n v="710.09"/>
    <m/>
    <n v="710.09"/>
    <m/>
    <n v="-79.28"/>
    <n v="124.37"/>
    <n v="754.2"/>
    <n v="0"/>
    <n v="0"/>
    <n v="0"/>
    <n v="0"/>
    <n v="0"/>
    <n v="0"/>
    <n v="0"/>
    <n v="0"/>
    <n v="0"/>
    <n v="799.29000000000008"/>
    <n v="-79.28"/>
    <n v="124.37"/>
    <n v="754.2"/>
    <n v="0"/>
    <n v="0"/>
    <n v="0"/>
    <n v="0"/>
    <n v="0"/>
    <n v="0"/>
    <n v="0"/>
    <n v="0"/>
    <n v="0"/>
    <n v="799.29000000000008"/>
  </r>
  <r>
    <x v="585"/>
    <x v="585"/>
    <s v="ERP"/>
    <x v="1"/>
    <x v="5"/>
    <s v="DeHart, Lynn"/>
    <x v="0"/>
    <x v="356"/>
    <m/>
    <m/>
    <s v="MISC001"/>
    <m/>
    <m/>
    <m/>
    <s v="None"/>
    <m/>
    <m/>
    <n v="0"/>
    <n v="44.39"/>
    <m/>
    <m/>
    <n v="44.95"/>
    <n v="-0.67"/>
    <n v="0.11"/>
    <n v="0.56000000000000005"/>
    <n v="-0.46"/>
    <n v="0"/>
    <n v="0"/>
    <n v="0"/>
    <n v="0"/>
    <n v="0"/>
    <n v="0"/>
    <n v="0"/>
    <n v="44.49"/>
    <n v="0.10000000000000142"/>
    <n v="0"/>
    <n v="-0.46"/>
    <n v="0.10000000000000142"/>
    <m/>
    <n v="0.10000000000000142"/>
    <m/>
    <n v="44.95"/>
    <n v="-0.67"/>
    <n v="0.11"/>
    <n v="0"/>
    <n v="0"/>
    <n v="0"/>
    <n v="0"/>
    <n v="0"/>
    <n v="0"/>
    <n v="0"/>
    <n v="0"/>
    <n v="0"/>
    <n v="44.39"/>
    <n v="44.95"/>
    <n v="-0.67"/>
    <n v="0.11"/>
    <n v="0"/>
    <n v="0"/>
    <n v="0"/>
    <n v="0"/>
    <n v="0"/>
    <n v="0"/>
    <n v="0"/>
    <n v="0"/>
    <n v="0"/>
    <n v="44.39"/>
  </r>
  <r>
    <x v="586"/>
    <x v="586"/>
    <s v="ERP"/>
    <x v="1"/>
    <x v="3"/>
    <s v="DeHart, Lynn"/>
    <x v="1"/>
    <x v="356"/>
    <m/>
    <m/>
    <s v="MISC001"/>
    <m/>
    <m/>
    <m/>
    <s v="None"/>
    <m/>
    <m/>
    <n v="0"/>
    <n v="0.11999999999999997"/>
    <m/>
    <m/>
    <n v="-0.3"/>
    <n v="0.57999999999999996"/>
    <n v="-0.16"/>
    <n v="0.12"/>
    <n v="-0.5"/>
    <n v="0"/>
    <n v="0"/>
    <n v="0"/>
    <n v="0"/>
    <n v="0"/>
    <n v="0"/>
    <n v="0"/>
    <n v="-0.26"/>
    <n v="-0.38"/>
    <n v="0"/>
    <n v="-0.5"/>
    <n v="-0.38"/>
    <m/>
    <n v="-0.38"/>
    <m/>
    <n v="-0.3"/>
    <n v="0.57999999999999996"/>
    <n v="-0.16"/>
    <n v="0"/>
    <n v="0"/>
    <n v="0"/>
    <n v="0"/>
    <n v="0"/>
    <n v="0"/>
    <n v="0"/>
    <n v="0"/>
    <n v="0"/>
    <n v="0.11999999999999997"/>
    <n v="-0.3"/>
    <n v="0.57999999999999996"/>
    <n v="-0.16"/>
    <n v="0"/>
    <n v="0"/>
    <n v="0"/>
    <n v="0"/>
    <n v="0"/>
    <n v="0"/>
    <n v="0"/>
    <n v="0"/>
    <n v="0"/>
    <n v="0.11999999999999997"/>
  </r>
  <r>
    <x v="587"/>
    <x v="587"/>
    <s v="ERP"/>
    <x v="1"/>
    <x v="3"/>
    <s v="DeHart, Lynn"/>
    <x v="0"/>
    <x v="356"/>
    <m/>
    <m/>
    <s v="MISC001"/>
    <m/>
    <m/>
    <m/>
    <s v="None"/>
    <m/>
    <m/>
    <n v="0"/>
    <n v="0.32999999999999996"/>
    <m/>
    <m/>
    <m/>
    <n v="0.24"/>
    <n v="0.09"/>
    <n v="0"/>
    <n v="0"/>
    <n v="0"/>
    <n v="0"/>
    <n v="0"/>
    <n v="0"/>
    <n v="0"/>
    <n v="0"/>
    <n v="0"/>
    <n v="0.32999999999999996"/>
    <n v="0"/>
    <n v="0"/>
    <n v="0"/>
    <n v="0"/>
    <m/>
    <n v="0"/>
    <m/>
    <m/>
    <n v="0.24"/>
    <n v="0.09"/>
    <n v="0"/>
    <n v="0"/>
    <n v="0"/>
    <n v="0"/>
    <n v="0"/>
    <n v="0"/>
    <n v="0"/>
    <n v="0"/>
    <n v="0"/>
    <n v="0.32999999999999996"/>
    <m/>
    <n v="0.24"/>
    <n v="0.09"/>
    <n v="0"/>
    <n v="0"/>
    <n v="0"/>
    <n v="0"/>
    <n v="0"/>
    <n v="0"/>
    <n v="0"/>
    <n v="0"/>
    <n v="0"/>
    <n v="0.32999999999999996"/>
  </r>
  <r>
    <x v="588"/>
    <x v="588"/>
    <s v="ERP"/>
    <x v="1"/>
    <x v="13"/>
    <s v="DeHart, Lynn"/>
    <x v="2"/>
    <x v="356"/>
    <m/>
    <m/>
    <s v="MISC001"/>
    <m/>
    <m/>
    <m/>
    <s v="None"/>
    <m/>
    <m/>
    <n v="0"/>
    <n v="-0.32999999999999996"/>
    <m/>
    <m/>
    <n v="-0.15"/>
    <n v="0.23"/>
    <n v="-0.41"/>
    <n v="0.8"/>
    <n v="-0.17"/>
    <n v="0"/>
    <n v="0"/>
    <n v="0"/>
    <n v="0"/>
    <n v="0"/>
    <n v="0"/>
    <n v="0"/>
    <n v="0.30000000000000004"/>
    <n v="0.63"/>
    <n v="0"/>
    <n v="-0.17"/>
    <n v="0.63"/>
    <m/>
    <n v="0.63"/>
    <m/>
    <n v="-0.15"/>
    <n v="0.23"/>
    <n v="-0.41"/>
    <n v="0"/>
    <n v="0"/>
    <n v="0"/>
    <n v="0"/>
    <n v="0"/>
    <n v="0"/>
    <n v="0"/>
    <n v="0"/>
    <n v="0"/>
    <n v="-0.32999999999999996"/>
    <n v="-0.15"/>
    <n v="0.23"/>
    <n v="-0.41"/>
    <n v="0"/>
    <n v="0"/>
    <n v="0"/>
    <n v="0"/>
    <n v="0"/>
    <n v="0"/>
    <n v="0"/>
    <n v="0"/>
    <n v="0"/>
    <n v="-0.32999999999999996"/>
  </r>
  <r>
    <x v="589"/>
    <x v="589"/>
    <s v="ERP"/>
    <x v="1"/>
    <x v="13"/>
    <s v="DeHart, Lynn"/>
    <x v="1"/>
    <x v="356"/>
    <m/>
    <m/>
    <s v="MISC001"/>
    <m/>
    <m/>
    <m/>
    <s v="None"/>
    <m/>
    <m/>
    <n v="0"/>
    <n v="0.43"/>
    <m/>
    <m/>
    <n v="0.32"/>
    <n v="0.11"/>
    <n v="0"/>
    <n v="0.06"/>
    <n v="-0.33"/>
    <n v="0"/>
    <n v="0"/>
    <n v="0"/>
    <n v="0"/>
    <n v="0"/>
    <n v="0"/>
    <n v="0"/>
    <n v="0.15999999999999998"/>
    <n v="-0.27"/>
    <n v="0"/>
    <n v="-0.33"/>
    <n v="-0.27"/>
    <m/>
    <n v="-0.27"/>
    <m/>
    <n v="0.32"/>
    <n v="0.11"/>
    <n v="0"/>
    <n v="0"/>
    <n v="0"/>
    <n v="0"/>
    <n v="0"/>
    <n v="0"/>
    <n v="0"/>
    <n v="0"/>
    <n v="0"/>
    <n v="0"/>
    <n v="0.43"/>
    <n v="0.32"/>
    <n v="0.11"/>
    <n v="0"/>
    <n v="0"/>
    <n v="0"/>
    <n v="0"/>
    <n v="0"/>
    <n v="0"/>
    <n v="0"/>
    <n v="0"/>
    <n v="0"/>
    <n v="0"/>
    <n v="0.43"/>
  </r>
  <r>
    <x v="590"/>
    <x v="590"/>
    <s v="ERP"/>
    <x v="1"/>
    <x v="13"/>
    <s v="DeHart, Lynn"/>
    <x v="0"/>
    <x v="356"/>
    <m/>
    <m/>
    <s v="MISC001"/>
    <m/>
    <m/>
    <m/>
    <s v="None"/>
    <m/>
    <m/>
    <n v="0"/>
    <n v="-0.13"/>
    <m/>
    <m/>
    <m/>
    <n v="-0.03"/>
    <n v="-0.1"/>
    <n v="0"/>
    <n v="0"/>
    <n v="0"/>
    <n v="0"/>
    <n v="0"/>
    <n v="0"/>
    <n v="0"/>
    <n v="0"/>
    <n v="0"/>
    <n v="-0.13"/>
    <n v="0"/>
    <n v="0"/>
    <n v="0"/>
    <n v="0"/>
    <m/>
    <n v="0"/>
    <m/>
    <m/>
    <n v="-0.03"/>
    <n v="-0.1"/>
    <n v="0"/>
    <n v="0"/>
    <n v="0"/>
    <n v="0"/>
    <n v="0"/>
    <n v="0"/>
    <n v="0"/>
    <n v="0"/>
    <n v="0"/>
    <n v="-0.13"/>
    <m/>
    <n v="-0.03"/>
    <n v="-0.1"/>
    <n v="0"/>
    <n v="0"/>
    <n v="0"/>
    <n v="0"/>
    <n v="0"/>
    <n v="0"/>
    <n v="0"/>
    <n v="0"/>
    <n v="0"/>
    <n v="-0.13"/>
  </r>
  <r>
    <x v="591"/>
    <x v="591"/>
    <s v="ERP"/>
    <x v="1"/>
    <x v="4"/>
    <s v="DeHart, Lynn"/>
    <x v="1"/>
    <x v="356"/>
    <m/>
    <m/>
    <s v="MISC001"/>
    <m/>
    <m/>
    <m/>
    <s v="None"/>
    <m/>
    <m/>
    <n v="0"/>
    <n v="-0.2"/>
    <m/>
    <m/>
    <n v="-0.48"/>
    <n v="0.28999999999999998"/>
    <n v="-0.01"/>
    <n v="0.06"/>
    <n v="0.16"/>
    <n v="0"/>
    <n v="0"/>
    <n v="0"/>
    <n v="0"/>
    <n v="0"/>
    <n v="0"/>
    <n v="0"/>
    <n v="1.999999999999999E-2"/>
    <n v="0.22"/>
    <n v="0"/>
    <n v="0.16"/>
    <n v="0.22"/>
    <m/>
    <n v="0.22"/>
    <m/>
    <n v="-0.48"/>
    <n v="0.28999999999999998"/>
    <n v="-0.01"/>
    <n v="0"/>
    <n v="0"/>
    <n v="0"/>
    <n v="0"/>
    <n v="0"/>
    <n v="0"/>
    <n v="0"/>
    <n v="0"/>
    <n v="0"/>
    <n v="-0.2"/>
    <n v="-0.48"/>
    <n v="0.28999999999999998"/>
    <n v="-0.01"/>
    <n v="0"/>
    <n v="0"/>
    <n v="0"/>
    <n v="0"/>
    <n v="0"/>
    <n v="0"/>
    <n v="0"/>
    <n v="0"/>
    <n v="0"/>
    <n v="-0.2"/>
  </r>
  <r>
    <x v="592"/>
    <x v="592"/>
    <s v="ERP"/>
    <x v="1"/>
    <x v="4"/>
    <s v="DeHart, Lynn"/>
    <x v="0"/>
    <x v="356"/>
    <m/>
    <m/>
    <s v="MISC001"/>
    <m/>
    <m/>
    <m/>
    <s v="None"/>
    <m/>
    <m/>
    <n v="0"/>
    <n v="16.46"/>
    <m/>
    <m/>
    <m/>
    <n v="18"/>
    <n v="-1.54"/>
    <n v="-7.0000000000000007E-2"/>
    <n v="0.83"/>
    <n v="0"/>
    <n v="0"/>
    <n v="0"/>
    <n v="0"/>
    <n v="0"/>
    <n v="0"/>
    <n v="0"/>
    <n v="17.22"/>
    <n v="0.75999999999999801"/>
    <n v="0"/>
    <n v="0.83"/>
    <n v="0.75999999999999801"/>
    <m/>
    <n v="0.75999999999999801"/>
    <m/>
    <m/>
    <n v="18"/>
    <n v="-1.54"/>
    <n v="0"/>
    <n v="0"/>
    <n v="0"/>
    <n v="0"/>
    <n v="0"/>
    <n v="0"/>
    <n v="0"/>
    <n v="0"/>
    <n v="0"/>
    <n v="16.46"/>
    <m/>
    <n v="18"/>
    <n v="-1.54"/>
    <n v="0"/>
    <n v="0"/>
    <n v="0"/>
    <n v="0"/>
    <n v="0"/>
    <n v="0"/>
    <n v="0"/>
    <n v="0"/>
    <n v="0"/>
    <n v="16.46"/>
  </r>
  <r>
    <x v="593"/>
    <x v="593"/>
    <s v="ERP"/>
    <x v="1"/>
    <x v="6"/>
    <s v="DeHart, Lynn"/>
    <x v="2"/>
    <x v="356"/>
    <m/>
    <m/>
    <s v="MISC001"/>
    <m/>
    <m/>
    <m/>
    <s v="None"/>
    <m/>
    <m/>
    <n v="0"/>
    <n v="19639.919999999998"/>
    <m/>
    <m/>
    <n v="-0.23"/>
    <n v="-0.24"/>
    <n v="19640.39"/>
    <n v="0.61"/>
    <n v="-19640.97"/>
    <n v="0"/>
    <n v="0"/>
    <n v="0"/>
    <n v="0"/>
    <n v="0"/>
    <n v="0"/>
    <n v="0"/>
    <n v="-0.44000000000232831"/>
    <n v="-19640.36"/>
    <n v="0"/>
    <n v="-19640.97"/>
    <n v="-19640.36"/>
    <m/>
    <n v="-19640.36"/>
    <m/>
    <n v="-0.23"/>
    <n v="-0.24"/>
    <n v="19640.39"/>
    <n v="0"/>
    <n v="0"/>
    <n v="0"/>
    <n v="0"/>
    <n v="0"/>
    <n v="0"/>
    <n v="0"/>
    <n v="0"/>
    <n v="0"/>
    <n v="19639.919999999998"/>
    <n v="-0.23"/>
    <n v="-0.24"/>
    <n v="19640.39"/>
    <n v="0"/>
    <n v="0"/>
    <n v="0"/>
    <n v="0"/>
    <n v="0"/>
    <n v="0"/>
    <n v="0"/>
    <n v="0"/>
    <n v="0"/>
    <n v="19639.919999999998"/>
  </r>
  <r>
    <x v="594"/>
    <x v="594"/>
    <s v="ERP"/>
    <x v="1"/>
    <x v="6"/>
    <s v="DeHart, Lynn"/>
    <x v="8"/>
    <x v="356"/>
    <m/>
    <m/>
    <s v="MISC001"/>
    <m/>
    <m/>
    <m/>
    <s v="None"/>
    <m/>
    <m/>
    <n v="0"/>
    <n v="1.999999999999999E-2"/>
    <m/>
    <m/>
    <m/>
    <n v="0.21"/>
    <n v="-0.19"/>
    <n v="0"/>
    <n v="2430.29"/>
    <n v="0"/>
    <n v="0"/>
    <n v="0"/>
    <n v="0"/>
    <n v="0"/>
    <n v="0"/>
    <n v="0"/>
    <n v="2430.31"/>
    <n v="2430.29"/>
    <n v="0"/>
    <n v="2430.29"/>
    <n v="2430.29"/>
    <m/>
    <n v="2430.29"/>
    <m/>
    <m/>
    <n v="0.21"/>
    <n v="-0.19"/>
    <n v="0"/>
    <n v="0"/>
    <n v="0"/>
    <n v="0"/>
    <n v="0"/>
    <n v="0"/>
    <n v="0"/>
    <n v="0"/>
    <n v="0"/>
    <n v="1.999999999999999E-2"/>
    <m/>
    <n v="0.21"/>
    <n v="-0.19"/>
    <n v="0"/>
    <n v="0"/>
    <n v="0"/>
    <n v="0"/>
    <n v="0"/>
    <n v="0"/>
    <n v="0"/>
    <n v="0"/>
    <n v="0"/>
    <n v="1.999999999999999E-2"/>
  </r>
  <r>
    <x v="595"/>
    <x v="595"/>
    <s v="ERP"/>
    <x v="1"/>
    <x v="6"/>
    <s v="DeHart, Lynn"/>
    <x v="0"/>
    <x v="356"/>
    <m/>
    <m/>
    <s v="MISC001"/>
    <m/>
    <m/>
    <m/>
    <s v="None"/>
    <m/>
    <m/>
    <n v="0"/>
    <n v="0.63"/>
    <m/>
    <m/>
    <m/>
    <m/>
    <n v="0.63"/>
    <n v="0"/>
    <n v="-0.28000000000000003"/>
    <n v="0"/>
    <n v="0"/>
    <n v="0"/>
    <n v="0"/>
    <n v="0"/>
    <n v="0"/>
    <n v="0"/>
    <n v="0.35"/>
    <n v="-0.28000000000000003"/>
    <n v="0"/>
    <n v="-0.28000000000000003"/>
    <n v="-0.28000000000000003"/>
    <m/>
    <n v="-0.28000000000000003"/>
    <m/>
    <m/>
    <m/>
    <n v="0.63"/>
    <n v="0"/>
    <n v="0"/>
    <n v="0"/>
    <n v="0"/>
    <n v="0"/>
    <n v="0"/>
    <n v="0"/>
    <n v="0"/>
    <n v="0"/>
    <n v="0.63"/>
    <m/>
    <m/>
    <n v="0.63"/>
    <n v="0"/>
    <n v="0"/>
    <n v="0"/>
    <n v="0"/>
    <n v="0"/>
    <n v="0"/>
    <n v="0"/>
    <n v="0"/>
    <n v="0"/>
    <n v="0.63"/>
  </r>
  <r>
    <x v="596"/>
    <x v="596"/>
    <s v="ERP"/>
    <x v="0"/>
    <x v="10"/>
    <s v="Maguire, Karla"/>
    <x v="2"/>
    <x v="356"/>
    <m/>
    <m/>
    <s v="MISC001"/>
    <m/>
    <m/>
    <m/>
    <s v="None"/>
    <m/>
    <m/>
    <n v="0"/>
    <n v="1220.75"/>
    <m/>
    <m/>
    <n v="669.53"/>
    <n v="7.26"/>
    <n v="543.96"/>
    <n v="129.34999999999997"/>
    <n v="286.95999999999998"/>
    <n v="0"/>
    <n v="0"/>
    <n v="0"/>
    <n v="0"/>
    <n v="0"/>
    <n v="0"/>
    <n v="0"/>
    <n v="1637.06"/>
    <n v="416.30999999999995"/>
    <n v="0"/>
    <n v="286.95999999999998"/>
    <n v="416.30999999999995"/>
    <m/>
    <n v="416.30999999999995"/>
    <m/>
    <n v="669.53"/>
    <n v="7.26"/>
    <n v="543.96"/>
    <n v="0"/>
    <n v="0"/>
    <n v="0"/>
    <n v="0"/>
    <n v="0"/>
    <n v="0"/>
    <n v="0"/>
    <n v="0"/>
    <n v="0"/>
    <n v="1220.75"/>
    <n v="669.53"/>
    <n v="7.26"/>
    <n v="543.96"/>
    <n v="0"/>
    <n v="0"/>
    <n v="0"/>
    <n v="0"/>
    <n v="0"/>
    <n v="0"/>
    <n v="0"/>
    <n v="0"/>
    <n v="0"/>
    <n v="1220.75"/>
  </r>
  <r>
    <x v="597"/>
    <x v="597"/>
    <s v="ERP"/>
    <x v="0"/>
    <x v="10"/>
    <s v="Maguire, Karla"/>
    <x v="3"/>
    <x v="356"/>
    <m/>
    <m/>
    <s v="MISC001"/>
    <m/>
    <m/>
    <m/>
    <s v="None"/>
    <m/>
    <m/>
    <n v="0"/>
    <n v="0.62000000000000011"/>
    <m/>
    <m/>
    <n v="-0.1"/>
    <n v="-0.09"/>
    <n v="0.81"/>
    <n v="-0.53"/>
    <n v="0.61"/>
    <n v="0"/>
    <n v="0"/>
    <n v="0"/>
    <n v="0"/>
    <n v="0"/>
    <n v="0"/>
    <n v="0"/>
    <n v="0.70000000000000007"/>
    <n v="7.999999999999996E-2"/>
    <n v="0"/>
    <n v="0.61"/>
    <n v="7.999999999999996E-2"/>
    <m/>
    <n v="7.999999999999996E-2"/>
    <m/>
    <n v="-0.1"/>
    <n v="-0.09"/>
    <n v="0.81"/>
    <n v="0"/>
    <n v="0"/>
    <n v="0"/>
    <n v="0"/>
    <n v="0"/>
    <n v="0"/>
    <n v="0"/>
    <n v="0"/>
    <n v="0"/>
    <n v="0.62000000000000011"/>
    <n v="-0.1"/>
    <n v="-0.09"/>
    <n v="0.81"/>
    <n v="0"/>
    <n v="0"/>
    <n v="0"/>
    <n v="0"/>
    <n v="0"/>
    <n v="0"/>
    <n v="0"/>
    <n v="0"/>
    <n v="0"/>
    <n v="0.62000000000000011"/>
  </r>
  <r>
    <x v="598"/>
    <x v="598"/>
    <s v="ERP"/>
    <x v="0"/>
    <x v="10"/>
    <s v="Maguire, Karla"/>
    <x v="1"/>
    <x v="356"/>
    <m/>
    <m/>
    <s v="MISC001"/>
    <m/>
    <m/>
    <m/>
    <s v="None"/>
    <m/>
    <m/>
    <n v="0"/>
    <n v="1777.1799999999998"/>
    <m/>
    <m/>
    <n v="843.63"/>
    <n v="-313.26"/>
    <n v="1246.81"/>
    <n v="1159.5900000000001"/>
    <n v="1531.64"/>
    <n v="0"/>
    <n v="0"/>
    <n v="0"/>
    <n v="0"/>
    <n v="0"/>
    <n v="0"/>
    <n v="0"/>
    <n v="4468.41"/>
    <n v="2691.23"/>
    <n v="0"/>
    <n v="1531.64"/>
    <n v="2691.23"/>
    <m/>
    <n v="2691.23"/>
    <m/>
    <n v="843.63"/>
    <n v="-313.26"/>
    <n v="1246.81"/>
    <n v="0"/>
    <n v="0"/>
    <n v="0"/>
    <n v="0"/>
    <n v="0"/>
    <n v="0"/>
    <n v="0"/>
    <n v="0"/>
    <n v="0"/>
    <n v="1777.1799999999998"/>
    <n v="843.63"/>
    <n v="-313.26"/>
    <n v="1246.81"/>
    <n v="0"/>
    <n v="0"/>
    <n v="0"/>
    <n v="0"/>
    <n v="0"/>
    <n v="0"/>
    <n v="0"/>
    <n v="0"/>
    <n v="0"/>
    <n v="1777.1799999999998"/>
  </r>
  <r>
    <x v="599"/>
    <x v="599"/>
    <s v="ERP"/>
    <x v="0"/>
    <x v="10"/>
    <s v="Maguire, Karla"/>
    <x v="0"/>
    <x v="356"/>
    <m/>
    <m/>
    <s v="MISC001"/>
    <m/>
    <m/>
    <m/>
    <s v="None"/>
    <m/>
    <m/>
    <n v="0"/>
    <n v="-1868.9199999999998"/>
    <m/>
    <m/>
    <n v="0.19"/>
    <n v="-0.3"/>
    <n v="-1868.81"/>
    <n v="0"/>
    <n v="0"/>
    <n v="0"/>
    <n v="0"/>
    <n v="0"/>
    <n v="0"/>
    <n v="0"/>
    <n v="0"/>
    <n v="0"/>
    <n v="-1868.9199999999998"/>
    <n v="0"/>
    <n v="0"/>
    <n v="0"/>
    <n v="0"/>
    <m/>
    <n v="0"/>
    <m/>
    <n v="0.19"/>
    <n v="-0.3"/>
    <n v="-1868.81"/>
    <n v="0"/>
    <n v="0"/>
    <n v="0"/>
    <n v="0"/>
    <n v="0"/>
    <n v="0"/>
    <n v="0"/>
    <n v="0"/>
    <n v="0"/>
    <n v="-1868.9199999999998"/>
    <n v="0.19"/>
    <n v="-0.3"/>
    <n v="-1868.81"/>
    <n v="0"/>
    <n v="0"/>
    <n v="0"/>
    <n v="0"/>
    <n v="0"/>
    <n v="0"/>
    <n v="0"/>
    <n v="0"/>
    <n v="0"/>
    <n v="-1868.9199999999998"/>
  </r>
  <r>
    <x v="600"/>
    <x v="600"/>
    <s v="ERP"/>
    <x v="0"/>
    <x v="9"/>
    <s v="Maguire, Karla"/>
    <x v="2"/>
    <x v="356"/>
    <m/>
    <m/>
    <s v="MISC001"/>
    <m/>
    <m/>
    <m/>
    <s v="None"/>
    <m/>
    <m/>
    <n v="0"/>
    <n v="5030.5599999999995"/>
    <m/>
    <m/>
    <n v="-0.36"/>
    <n v="0.35"/>
    <n v="5030.57"/>
    <n v="0.46"/>
    <n v="0.34"/>
    <n v="0"/>
    <n v="0"/>
    <n v="0"/>
    <n v="0"/>
    <n v="0"/>
    <n v="0"/>
    <n v="0"/>
    <n v="5031.3599999999997"/>
    <n v="0.8000000000001819"/>
    <n v="0"/>
    <n v="0.34"/>
    <n v="0.8000000000001819"/>
    <m/>
    <n v="0.8000000000001819"/>
    <m/>
    <n v="-0.36"/>
    <n v="0.35"/>
    <n v="5030.57"/>
    <n v="0"/>
    <n v="0"/>
    <n v="0"/>
    <n v="0"/>
    <n v="0"/>
    <n v="0"/>
    <n v="0"/>
    <n v="0"/>
    <n v="0"/>
    <n v="5030.5599999999995"/>
    <n v="-0.36"/>
    <n v="0.35"/>
    <n v="5030.57"/>
    <n v="0"/>
    <n v="0"/>
    <n v="0"/>
    <n v="0"/>
    <n v="0"/>
    <n v="0"/>
    <n v="0"/>
    <n v="0"/>
    <n v="0"/>
    <n v="5030.5599999999995"/>
  </r>
  <r>
    <x v="601"/>
    <x v="601"/>
    <s v="ERP"/>
    <x v="0"/>
    <x v="9"/>
    <s v="Maguire, Karla"/>
    <x v="1"/>
    <x v="356"/>
    <m/>
    <m/>
    <s v="MISC001"/>
    <m/>
    <m/>
    <m/>
    <s v="None"/>
    <m/>
    <m/>
    <n v="0"/>
    <n v="-0.12"/>
    <m/>
    <m/>
    <n v="0.02"/>
    <n v="0.04"/>
    <n v="-0.18"/>
    <n v="-0.02"/>
    <n v="0.19"/>
    <n v="0"/>
    <n v="0"/>
    <n v="0"/>
    <n v="0"/>
    <n v="0"/>
    <n v="0"/>
    <n v="0"/>
    <n v="5.0000000000000017E-2"/>
    <n v="0.17"/>
    <n v="0"/>
    <n v="0.19"/>
    <n v="0.17"/>
    <m/>
    <n v="0.17"/>
    <m/>
    <n v="0.02"/>
    <n v="0.04"/>
    <n v="-0.18"/>
    <n v="0"/>
    <n v="0"/>
    <n v="0"/>
    <n v="0"/>
    <n v="0"/>
    <n v="0"/>
    <n v="0"/>
    <n v="0"/>
    <n v="0"/>
    <n v="-0.12"/>
    <n v="0.02"/>
    <n v="0.04"/>
    <n v="-0.18"/>
    <n v="0"/>
    <n v="0"/>
    <n v="0"/>
    <n v="0"/>
    <n v="0"/>
    <n v="0"/>
    <n v="0"/>
    <n v="0"/>
    <n v="0"/>
    <n v="-0.12"/>
  </r>
  <r>
    <x v="602"/>
    <x v="602"/>
    <s v="ERP"/>
    <x v="0"/>
    <x v="9"/>
    <s v="Maguire, Karla"/>
    <x v="0"/>
    <x v="356"/>
    <m/>
    <m/>
    <s v="MISC001"/>
    <m/>
    <m/>
    <m/>
    <s v="None"/>
    <m/>
    <m/>
    <n v="0"/>
    <n v="-0.26"/>
    <m/>
    <m/>
    <n v="-0.15"/>
    <n v="0.31"/>
    <n v="-0.42"/>
    <n v="-8.9999999999918145E-2"/>
    <n v="0.44"/>
    <n v="0"/>
    <n v="0"/>
    <n v="0"/>
    <n v="0"/>
    <n v="0"/>
    <n v="0"/>
    <n v="0"/>
    <n v="9.0000000000081848E-2"/>
    <n v="0.35000000000008186"/>
    <n v="0"/>
    <n v="0.44"/>
    <n v="0.35000000000008186"/>
    <m/>
    <n v="0.35000000000008186"/>
    <m/>
    <n v="-0.15"/>
    <n v="0.31"/>
    <n v="-0.42"/>
    <n v="0"/>
    <n v="0"/>
    <n v="0"/>
    <n v="0"/>
    <n v="0"/>
    <n v="0"/>
    <n v="0"/>
    <n v="0"/>
    <n v="0"/>
    <n v="-0.26"/>
    <n v="-0.15"/>
    <n v="0.31"/>
    <n v="-0.42"/>
    <n v="0"/>
    <n v="0"/>
    <n v="0"/>
    <n v="0"/>
    <n v="0"/>
    <n v="0"/>
    <n v="0"/>
    <n v="0"/>
    <n v="0"/>
    <n v="-0.26"/>
  </r>
  <r>
    <x v="603"/>
    <x v="603"/>
    <s v="ERP"/>
    <x v="2"/>
    <x v="11"/>
    <s v="McGettigan, David"/>
    <x v="2"/>
    <x v="356"/>
    <m/>
    <m/>
    <s v="MISC001"/>
    <m/>
    <m/>
    <m/>
    <s v="None"/>
    <m/>
    <m/>
    <n v="0"/>
    <n v="-2284.04"/>
    <m/>
    <m/>
    <n v="0.08"/>
    <n v="-0.17"/>
    <n v="-2283.9499999999998"/>
    <n v="5124.1100000000006"/>
    <n v="-6526.2599999999993"/>
    <n v="0"/>
    <n v="0"/>
    <n v="0"/>
    <n v="0"/>
    <n v="0"/>
    <n v="0"/>
    <n v="0"/>
    <n v="-3686.1899999999987"/>
    <n v="-1402.1499999999987"/>
    <n v="0"/>
    <n v="-6526.2599999999993"/>
    <n v="-1402.1499999999987"/>
    <m/>
    <n v="-1402.1499999999987"/>
    <m/>
    <n v="0.08"/>
    <n v="-0.17"/>
    <n v="-2283.9499999999998"/>
    <n v="0"/>
    <n v="0"/>
    <n v="0"/>
    <n v="0"/>
    <n v="0"/>
    <n v="0"/>
    <n v="0"/>
    <n v="0"/>
    <n v="0"/>
    <n v="-2284.04"/>
    <n v="0.08"/>
    <n v="-0.17"/>
    <n v="-2283.9499999999998"/>
    <n v="0"/>
    <n v="0"/>
    <n v="0"/>
    <n v="0"/>
    <n v="0"/>
    <n v="0"/>
    <n v="0"/>
    <n v="0"/>
    <n v="0"/>
    <n v="-2284.04"/>
  </r>
  <r>
    <x v="604"/>
    <x v="604"/>
    <s v="ERP"/>
    <x v="2"/>
    <x v="11"/>
    <s v="McGettigan, David"/>
    <x v="0"/>
    <x v="356"/>
    <m/>
    <m/>
    <s v="MISC001"/>
    <m/>
    <m/>
    <m/>
    <s v="None"/>
    <m/>
    <m/>
    <n v="0"/>
    <n v="-711.61"/>
    <m/>
    <m/>
    <n v="-0.39"/>
    <n v="0.11"/>
    <n v="-711.33"/>
    <n v="0"/>
    <n v="0"/>
    <n v="0"/>
    <n v="0"/>
    <n v="0"/>
    <n v="0"/>
    <n v="0"/>
    <n v="0"/>
    <n v="0"/>
    <n v="-711.61"/>
    <n v="0"/>
    <n v="0"/>
    <n v="0"/>
    <n v="0"/>
    <m/>
    <n v="0"/>
    <m/>
    <n v="-0.39"/>
    <n v="0.11"/>
    <n v="-711.33"/>
    <n v="0"/>
    <n v="0"/>
    <n v="0"/>
    <n v="0"/>
    <n v="0"/>
    <n v="0"/>
    <n v="0"/>
    <n v="0"/>
    <n v="0"/>
    <n v="-711.61"/>
    <n v="-0.39"/>
    <n v="0.11"/>
    <n v="-711.33"/>
    <n v="0"/>
    <n v="0"/>
    <n v="0"/>
    <n v="0"/>
    <n v="0"/>
    <n v="0"/>
    <n v="0"/>
    <n v="0"/>
    <n v="0"/>
    <n v="-711.61"/>
  </r>
  <r>
    <x v="605"/>
    <x v="605"/>
    <s v="ERP"/>
    <x v="2"/>
    <x v="11"/>
    <s v="McGettigan, David"/>
    <x v="3"/>
    <x v="356"/>
    <m/>
    <m/>
    <s v="MISC001"/>
    <m/>
    <m/>
    <m/>
    <s v="None"/>
    <m/>
    <m/>
    <n v="0"/>
    <n v="-0.23"/>
    <m/>
    <m/>
    <m/>
    <m/>
    <n v="-0.23"/>
    <n v="-0.01"/>
    <n v="0"/>
    <n v="0"/>
    <n v="0"/>
    <n v="0"/>
    <n v="0"/>
    <n v="0"/>
    <n v="0"/>
    <n v="0"/>
    <n v="-0.24000000000000002"/>
    <n v="-1.0000000000000009E-2"/>
    <n v="0"/>
    <n v="0"/>
    <n v="-1.0000000000000009E-2"/>
    <m/>
    <n v="-1.0000000000000009E-2"/>
    <m/>
    <m/>
    <m/>
    <n v="-0.23"/>
    <n v="0"/>
    <n v="0"/>
    <n v="0"/>
    <n v="0"/>
    <n v="0"/>
    <n v="0"/>
    <n v="0"/>
    <n v="0"/>
    <n v="0"/>
    <n v="-0.23"/>
    <m/>
    <m/>
    <n v="-0.23"/>
    <n v="0"/>
    <n v="0"/>
    <n v="0"/>
    <n v="0"/>
    <n v="0"/>
    <n v="0"/>
    <n v="0"/>
    <n v="0"/>
    <n v="0"/>
    <n v="-0.23"/>
  </r>
  <r>
    <x v="606"/>
    <x v="606"/>
    <s v="ERP"/>
    <x v="2"/>
    <x v="11"/>
    <s v="McGettigan, David"/>
    <x v="1"/>
    <x v="356"/>
    <m/>
    <m/>
    <s v="MISC001"/>
    <m/>
    <m/>
    <m/>
    <s v="None"/>
    <m/>
    <m/>
    <n v="0"/>
    <n v="1501.59"/>
    <m/>
    <m/>
    <n v="-0.46"/>
    <n v="0.71"/>
    <n v="1501.34"/>
    <n v="0.24"/>
    <n v="0.2"/>
    <n v="0"/>
    <n v="0"/>
    <n v="0"/>
    <n v="0"/>
    <n v="0"/>
    <n v="0"/>
    <n v="0"/>
    <n v="1502.03"/>
    <n v="0.44000000000005457"/>
    <n v="0"/>
    <n v="0.2"/>
    <n v="0.44000000000005457"/>
    <m/>
    <n v="0.44000000000005457"/>
    <m/>
    <n v="-0.46"/>
    <n v="0.71"/>
    <n v="1501.34"/>
    <n v="0"/>
    <n v="0"/>
    <n v="0"/>
    <n v="0"/>
    <n v="0"/>
    <n v="0"/>
    <n v="0"/>
    <n v="0"/>
    <n v="0"/>
    <n v="1501.59"/>
    <n v="-0.46"/>
    <n v="0.71"/>
    <n v="1501.34"/>
    <n v="0"/>
    <n v="0"/>
    <n v="0"/>
    <n v="0"/>
    <n v="0"/>
    <n v="0"/>
    <n v="0"/>
    <n v="0"/>
    <n v="0"/>
    <n v="1501.59"/>
  </r>
  <r>
    <x v="607"/>
    <x v="607"/>
    <s v="ERP"/>
    <x v="0"/>
    <x v="8"/>
    <s v="Maguire, Karla"/>
    <x v="2"/>
    <x v="356"/>
    <m/>
    <m/>
    <s v="MISC001"/>
    <m/>
    <m/>
    <m/>
    <s v="None"/>
    <m/>
    <m/>
    <n v="0"/>
    <n v="-0.26"/>
    <m/>
    <m/>
    <n v="-0.38"/>
    <n v="0.21"/>
    <n v="-0.09"/>
    <n v="0.14000000000000001"/>
    <n v="0.52"/>
    <n v="0"/>
    <n v="0"/>
    <n v="0"/>
    <n v="0"/>
    <n v="0"/>
    <n v="0"/>
    <n v="0"/>
    <n v="0.4"/>
    <n v="0.66"/>
    <n v="0"/>
    <n v="0.52"/>
    <n v="0.66"/>
    <m/>
    <n v="0.66"/>
    <m/>
    <n v="-0.38"/>
    <n v="0.21"/>
    <n v="-0.09"/>
    <n v="0"/>
    <n v="0"/>
    <n v="0"/>
    <n v="0"/>
    <n v="0"/>
    <n v="0"/>
    <n v="0"/>
    <n v="0"/>
    <n v="0"/>
    <n v="-0.26"/>
    <n v="-0.38"/>
    <n v="0.21"/>
    <n v="-0.09"/>
    <n v="0"/>
    <n v="0"/>
    <n v="0"/>
    <n v="0"/>
    <n v="0"/>
    <n v="0"/>
    <n v="0"/>
    <n v="0"/>
    <n v="0"/>
    <n v="-0.26"/>
  </r>
  <r>
    <x v="608"/>
    <x v="608"/>
    <s v="ERP"/>
    <x v="0"/>
    <x v="8"/>
    <s v="Maguire, Karla"/>
    <x v="1"/>
    <x v="356"/>
    <m/>
    <m/>
    <s v="MISC001"/>
    <m/>
    <m/>
    <m/>
    <s v="None"/>
    <m/>
    <m/>
    <n v="0"/>
    <n v="-0.16999999999999998"/>
    <m/>
    <m/>
    <m/>
    <n v="0.42"/>
    <n v="-0.59"/>
    <n v="0.34"/>
    <n v="0.33"/>
    <n v="0"/>
    <n v="0"/>
    <n v="0"/>
    <n v="0"/>
    <n v="0"/>
    <n v="0"/>
    <n v="0"/>
    <n v="0.5"/>
    <n v="0.66999999999999993"/>
    <n v="0"/>
    <n v="0.33"/>
    <n v="0.66999999999999993"/>
    <m/>
    <n v="0.66999999999999993"/>
    <m/>
    <m/>
    <n v="0.42"/>
    <n v="-0.59"/>
    <n v="0"/>
    <n v="0"/>
    <n v="0"/>
    <n v="0"/>
    <n v="0"/>
    <n v="0"/>
    <n v="0"/>
    <n v="0"/>
    <n v="0"/>
    <n v="-0.16999999999999998"/>
    <m/>
    <n v="0.42"/>
    <n v="-0.59"/>
    <n v="0"/>
    <n v="0"/>
    <n v="0"/>
    <n v="0"/>
    <n v="0"/>
    <n v="0"/>
    <n v="0"/>
    <n v="0"/>
    <n v="0"/>
    <n v="-0.16999999999999998"/>
  </r>
  <r>
    <x v="609"/>
    <x v="609"/>
    <s v="ERP"/>
    <x v="0"/>
    <x v="8"/>
    <s v="Maguire, Karla"/>
    <x v="0"/>
    <x v="356"/>
    <m/>
    <m/>
    <s v="MISC001"/>
    <m/>
    <m/>
    <m/>
    <s v="None"/>
    <m/>
    <m/>
    <n v="0"/>
    <n v="0.26"/>
    <m/>
    <m/>
    <m/>
    <m/>
    <n v="0.26"/>
    <n v="0"/>
    <n v="0"/>
    <n v="0"/>
    <n v="0"/>
    <n v="0"/>
    <n v="0"/>
    <n v="0"/>
    <n v="0"/>
    <n v="0"/>
    <n v="0.26"/>
    <n v="0"/>
    <n v="0"/>
    <n v="0"/>
    <n v="0"/>
    <m/>
    <n v="0"/>
    <m/>
    <m/>
    <m/>
    <n v="0.26"/>
    <n v="0"/>
    <n v="0"/>
    <n v="0"/>
    <n v="0"/>
    <n v="0"/>
    <n v="0"/>
    <n v="0"/>
    <n v="0"/>
    <n v="0"/>
    <n v="0.26"/>
    <m/>
    <m/>
    <n v="0.26"/>
    <n v="0"/>
    <n v="0"/>
    <n v="0"/>
    <n v="0"/>
    <n v="0"/>
    <n v="0"/>
    <n v="0"/>
    <n v="0"/>
    <n v="0"/>
    <n v="0.26"/>
  </r>
  <r>
    <x v="610"/>
    <x v="610"/>
    <s v="ERP"/>
    <x v="0"/>
    <x v="15"/>
    <s v="Maguire, Karla"/>
    <x v="0"/>
    <x v="356"/>
    <m/>
    <m/>
    <s v="MISC001"/>
    <m/>
    <m/>
    <m/>
    <s v="None"/>
    <m/>
    <m/>
    <n v="0"/>
    <n v="0.13"/>
    <m/>
    <m/>
    <m/>
    <m/>
    <n v="0.13"/>
    <n v="0"/>
    <n v="0"/>
    <n v="0"/>
    <n v="0"/>
    <n v="0"/>
    <n v="0"/>
    <n v="0"/>
    <n v="0"/>
    <n v="0"/>
    <n v="0.13"/>
    <n v="0"/>
    <n v="0"/>
    <n v="0"/>
    <n v="0"/>
    <m/>
    <n v="0"/>
    <m/>
    <m/>
    <m/>
    <n v="0.13"/>
    <n v="0"/>
    <n v="0"/>
    <n v="0"/>
    <n v="0"/>
    <n v="0"/>
    <n v="0"/>
    <n v="0"/>
    <n v="0"/>
    <n v="0"/>
    <n v="0.13"/>
    <m/>
    <m/>
    <n v="0.13"/>
    <n v="0"/>
    <n v="0"/>
    <n v="0"/>
    <n v="0"/>
    <n v="0"/>
    <n v="0"/>
    <n v="0"/>
    <n v="0"/>
    <n v="0"/>
    <n v="0.13"/>
  </r>
  <r>
    <x v="611"/>
    <x v="611"/>
    <s v="ERP"/>
    <x v="3"/>
    <x v="14"/>
    <s v="Robertson, Jerome"/>
    <x v="2"/>
    <x v="356"/>
    <m/>
    <m/>
    <s v="MISC001"/>
    <m/>
    <m/>
    <m/>
    <s v="None"/>
    <m/>
    <m/>
    <n v="0"/>
    <n v="79.110000000000298"/>
    <m/>
    <m/>
    <n v="0.01"/>
    <n v="0.42"/>
    <n v="78.680000000000291"/>
    <n v="-0.62"/>
    <n v="-20720.55"/>
    <n v="0"/>
    <n v="0"/>
    <n v="0"/>
    <n v="0"/>
    <n v="0"/>
    <n v="0"/>
    <n v="0"/>
    <n v="-20642.059999999998"/>
    <n v="-20721.169999999998"/>
    <n v="0"/>
    <n v="-20720.55"/>
    <n v="-20721.169999999998"/>
    <m/>
    <n v="-20721.169999999998"/>
    <m/>
    <n v="0.01"/>
    <n v="0.42"/>
    <n v="78.680000000000291"/>
    <n v="0"/>
    <n v="0"/>
    <n v="0"/>
    <n v="0"/>
    <n v="0"/>
    <n v="0"/>
    <n v="0"/>
    <n v="0"/>
    <n v="0"/>
    <n v="79.110000000000298"/>
    <n v="0.01"/>
    <n v="0.42"/>
    <n v="-54821.32"/>
    <n v="0"/>
    <n v="0"/>
    <n v="0"/>
    <n v="0"/>
    <n v="0"/>
    <n v="0"/>
    <n v="0"/>
    <n v="0"/>
    <n v="0"/>
    <n v="-54820.89"/>
  </r>
  <r>
    <x v="612"/>
    <x v="612"/>
    <s v="ERP"/>
    <x v="3"/>
    <x v="14"/>
    <s v="Robertson, Jerome"/>
    <x v="3"/>
    <x v="356"/>
    <m/>
    <m/>
    <s v="MISC001"/>
    <m/>
    <m/>
    <m/>
    <s v="None"/>
    <m/>
    <m/>
    <n v="0"/>
    <n v="420.97"/>
    <m/>
    <m/>
    <m/>
    <m/>
    <n v="420.97"/>
    <n v="-0.11"/>
    <n v="0.21"/>
    <n v="0"/>
    <n v="0"/>
    <n v="0"/>
    <n v="0"/>
    <n v="0"/>
    <n v="0"/>
    <n v="0"/>
    <n v="421.07"/>
    <n v="9.9999999999965894E-2"/>
    <n v="0"/>
    <n v="0.21"/>
    <n v="9.9999999999965894E-2"/>
    <m/>
    <n v="9.9999999999965894E-2"/>
    <m/>
    <m/>
    <m/>
    <n v="420.97"/>
    <n v="0"/>
    <n v="0"/>
    <n v="0"/>
    <n v="0"/>
    <n v="0"/>
    <n v="0"/>
    <n v="0"/>
    <n v="0"/>
    <n v="0"/>
    <n v="420.97"/>
    <m/>
    <m/>
    <n v="420.97"/>
    <n v="0"/>
    <n v="0"/>
    <n v="0"/>
    <n v="0"/>
    <n v="0"/>
    <n v="0"/>
    <n v="0"/>
    <n v="0"/>
    <n v="0"/>
    <n v="420.97"/>
  </r>
  <r>
    <x v="613"/>
    <x v="613"/>
    <s v="ERP"/>
    <x v="3"/>
    <x v="14"/>
    <s v="Robertson, Jerome"/>
    <x v="1"/>
    <x v="356"/>
    <m/>
    <m/>
    <s v="MISC001"/>
    <m/>
    <m/>
    <m/>
    <s v="None"/>
    <m/>
    <m/>
    <n v="0"/>
    <n v="-0.03"/>
    <m/>
    <m/>
    <m/>
    <m/>
    <n v="-0.03"/>
    <n v="-0.38"/>
    <n v="0.61"/>
    <n v="0"/>
    <n v="0"/>
    <n v="0"/>
    <n v="0"/>
    <n v="0"/>
    <n v="0"/>
    <n v="0"/>
    <n v="0.19999999999999996"/>
    <n v="0.22999999999999995"/>
    <n v="0"/>
    <n v="0.61"/>
    <n v="0.22999999999999995"/>
    <m/>
    <n v="0.22999999999999995"/>
    <m/>
    <m/>
    <m/>
    <n v="-0.03"/>
    <n v="0"/>
    <n v="0"/>
    <n v="0"/>
    <n v="0"/>
    <n v="0"/>
    <n v="0"/>
    <n v="0"/>
    <n v="0"/>
    <n v="0"/>
    <n v="-0.03"/>
    <m/>
    <m/>
    <n v="-0.03"/>
    <n v="0"/>
    <n v="0"/>
    <n v="0"/>
    <n v="0"/>
    <n v="0"/>
    <n v="0"/>
    <n v="0"/>
    <n v="0"/>
    <n v="0"/>
    <n v="-0.03"/>
  </r>
  <r>
    <x v="614"/>
    <x v="614"/>
    <s v="ERP"/>
    <x v="3"/>
    <x v="14"/>
    <s v="Robertson, Jerome"/>
    <x v="0"/>
    <x v="356"/>
    <m/>
    <m/>
    <s v="MISC001"/>
    <m/>
    <m/>
    <m/>
    <s v="None"/>
    <m/>
    <m/>
    <n v="0"/>
    <n v="227.23999999999998"/>
    <m/>
    <m/>
    <m/>
    <n v="-0.02"/>
    <n v="227.26"/>
    <n v="0"/>
    <n v="0"/>
    <n v="0"/>
    <n v="0"/>
    <n v="0"/>
    <n v="0"/>
    <n v="0"/>
    <n v="0"/>
    <n v="0"/>
    <n v="227.23999999999998"/>
    <n v="0"/>
    <n v="0"/>
    <n v="0"/>
    <n v="0"/>
    <m/>
    <n v="0"/>
    <m/>
    <m/>
    <n v="-0.02"/>
    <n v="227.26"/>
    <n v="0"/>
    <n v="0"/>
    <n v="0"/>
    <n v="0"/>
    <n v="0"/>
    <n v="0"/>
    <n v="0"/>
    <n v="0"/>
    <n v="0"/>
    <n v="227.23999999999998"/>
    <m/>
    <n v="-0.02"/>
    <n v="227.26"/>
    <n v="0"/>
    <n v="0"/>
    <n v="0"/>
    <n v="0"/>
    <n v="0"/>
    <n v="0"/>
    <n v="0"/>
    <n v="0"/>
    <n v="0"/>
    <n v="227.23999999999998"/>
  </r>
  <r>
    <x v="615"/>
    <x v="615"/>
    <s v="ERP"/>
    <x v="0"/>
    <x v="1"/>
    <s v="Maguire, Karla"/>
    <x v="2"/>
    <x v="356"/>
    <m/>
    <m/>
    <s v="MISC001"/>
    <m/>
    <m/>
    <m/>
    <s v="None"/>
    <m/>
    <m/>
    <n v="0"/>
    <n v="0.35000000000000003"/>
    <m/>
    <m/>
    <m/>
    <n v="0.01"/>
    <n v="0.34"/>
    <n v="-0.67"/>
    <n v="0.2"/>
    <n v="0"/>
    <n v="0"/>
    <n v="0"/>
    <n v="0"/>
    <n v="0"/>
    <n v="0"/>
    <n v="0"/>
    <n v="-0.12"/>
    <n v="-0.47000000000000003"/>
    <n v="0"/>
    <n v="0.2"/>
    <n v="-0.47000000000000003"/>
    <m/>
    <n v="-0.47000000000000003"/>
    <m/>
    <m/>
    <n v="0.01"/>
    <n v="0.34"/>
    <n v="0"/>
    <n v="0"/>
    <n v="0"/>
    <n v="0"/>
    <n v="0"/>
    <n v="0"/>
    <n v="0"/>
    <n v="0"/>
    <n v="0"/>
    <n v="0.35000000000000003"/>
    <m/>
    <n v="0.01"/>
    <n v="0.34"/>
    <n v="0"/>
    <n v="0"/>
    <n v="0"/>
    <n v="0"/>
    <n v="0"/>
    <n v="0"/>
    <n v="0"/>
    <n v="0"/>
    <n v="0"/>
    <n v="0.35000000000000003"/>
  </r>
  <r>
    <x v="616"/>
    <x v="616"/>
    <s v="ERP"/>
    <x v="0"/>
    <x v="1"/>
    <s v="Maguire, Karla"/>
    <x v="1"/>
    <x v="356"/>
    <m/>
    <m/>
    <s v="MISC001"/>
    <m/>
    <m/>
    <m/>
    <s v="None"/>
    <m/>
    <m/>
    <n v="0"/>
    <n v="39996"/>
    <m/>
    <m/>
    <n v="0.22"/>
    <n v="45000.28"/>
    <n v="-5004.5"/>
    <n v="-0.6"/>
    <n v="-84995.74"/>
    <n v="0"/>
    <n v="0"/>
    <n v="0"/>
    <n v="0"/>
    <n v="0"/>
    <n v="0"/>
    <n v="0"/>
    <n v="-45000.340000000004"/>
    <n v="-84996.34"/>
    <n v="0"/>
    <n v="-84995.74"/>
    <n v="-84996.34"/>
    <m/>
    <n v="-84996.34"/>
    <m/>
    <n v="0.22"/>
    <n v="45000.28"/>
    <n v="-5004.5"/>
    <n v="0"/>
    <n v="0"/>
    <n v="0"/>
    <n v="0"/>
    <n v="0"/>
    <n v="0"/>
    <n v="0"/>
    <n v="0"/>
    <n v="0"/>
    <n v="39996"/>
    <n v="0.22"/>
    <n v="45000.28"/>
    <n v="-5004.5"/>
    <n v="0"/>
    <n v="0"/>
    <n v="0"/>
    <n v="0"/>
    <n v="0"/>
    <n v="0"/>
    <n v="0"/>
    <n v="0"/>
    <n v="0"/>
    <n v="39996"/>
  </r>
  <r>
    <x v="617"/>
    <x v="617"/>
    <s v="ERP"/>
    <x v="0"/>
    <x v="1"/>
    <s v="Maguire, Karla"/>
    <x v="0"/>
    <x v="356"/>
    <m/>
    <m/>
    <s v="MISC001"/>
    <m/>
    <m/>
    <m/>
    <s v="None"/>
    <m/>
    <m/>
    <n v="0"/>
    <n v="0.19999999999999996"/>
    <m/>
    <m/>
    <n v="-0.34"/>
    <n v="-0.09"/>
    <n v="0.63"/>
    <n v="-0.98"/>
    <n v="0.75"/>
    <n v="0"/>
    <n v="0"/>
    <n v="0"/>
    <n v="0"/>
    <n v="0"/>
    <n v="0"/>
    <n v="0"/>
    <n v="-3.0000000000000027E-2"/>
    <n v="-0.22999999999999998"/>
    <n v="0"/>
    <n v="0.75"/>
    <n v="-0.22999999999999998"/>
    <m/>
    <n v="-0.22999999999999998"/>
    <m/>
    <n v="-0.34"/>
    <n v="-0.09"/>
    <n v="0.63"/>
    <n v="0"/>
    <n v="0"/>
    <n v="0"/>
    <n v="0"/>
    <n v="0"/>
    <n v="0"/>
    <n v="0"/>
    <n v="0"/>
    <n v="0"/>
    <n v="0.19999999999999996"/>
    <n v="-0.34"/>
    <n v="-0.09"/>
    <n v="0.63"/>
    <n v="0"/>
    <n v="0"/>
    <n v="0"/>
    <n v="0"/>
    <n v="0"/>
    <n v="0"/>
    <n v="0"/>
    <n v="0"/>
    <n v="0"/>
    <n v="0.19999999999999996"/>
  </r>
  <r>
    <x v="618"/>
    <x v="618"/>
    <s v="ERP"/>
    <x v="1"/>
    <x v="16"/>
    <s v="DeHart, Lynn"/>
    <x v="2"/>
    <x v="356"/>
    <m/>
    <m/>
    <s v="MISC001"/>
    <m/>
    <m/>
    <m/>
    <s v="None"/>
    <s v="Sachin (4/30): Not managed by me"/>
    <m/>
    <n v="0"/>
    <n v="0"/>
    <m/>
    <m/>
    <m/>
    <n v="-0.1"/>
    <n v="0.1"/>
    <n v="-0.32"/>
    <n v="0.81"/>
    <m/>
    <m/>
    <m/>
    <m/>
    <m/>
    <m/>
    <m/>
    <n v="0.49000000000000005"/>
    <n v="0.49000000000000005"/>
    <m/>
    <n v="0.81"/>
    <n v="0.49000000000000005"/>
    <m/>
    <n v="0.49000000000000005"/>
    <m/>
    <m/>
    <n v="-0.1"/>
    <n v="0.1"/>
    <m/>
    <m/>
    <m/>
    <m/>
    <m/>
    <m/>
    <m/>
    <m/>
    <m/>
    <n v="0"/>
    <m/>
    <n v="-0.1"/>
    <n v="0.1"/>
    <m/>
    <m/>
    <m/>
    <m/>
    <m/>
    <m/>
    <m/>
    <m/>
    <m/>
    <n v="0"/>
  </r>
  <r>
    <x v="619"/>
    <x v="619"/>
    <s v="ERP"/>
    <x v="1"/>
    <x v="16"/>
    <s v="DeHart, Lynn"/>
    <x v="0"/>
    <x v="356"/>
    <m/>
    <m/>
    <s v="MISC001"/>
    <m/>
    <m/>
    <m/>
    <s v="None"/>
    <s v="Sachin (4/30): Not managed by me"/>
    <m/>
    <n v="0"/>
    <n v="0.36"/>
    <m/>
    <m/>
    <m/>
    <m/>
    <n v="0.36"/>
    <n v="0"/>
    <n v="0"/>
    <n v="0"/>
    <n v="0"/>
    <n v="0"/>
    <n v="0"/>
    <n v="0"/>
    <n v="0"/>
    <n v="0"/>
    <n v="0.36"/>
    <n v="0"/>
    <n v="0"/>
    <n v="0"/>
    <n v="0"/>
    <m/>
    <n v="0"/>
    <m/>
    <m/>
    <m/>
    <n v="0.36"/>
    <n v="0"/>
    <n v="0"/>
    <n v="0"/>
    <n v="0"/>
    <n v="0"/>
    <n v="0"/>
    <n v="0"/>
    <n v="0"/>
    <n v="0"/>
    <n v="0.36"/>
    <m/>
    <m/>
    <n v="0.36"/>
    <n v="0"/>
    <n v="0"/>
    <n v="0"/>
    <n v="0"/>
    <n v="0"/>
    <n v="0"/>
    <n v="0"/>
    <n v="0"/>
    <n v="0"/>
    <n v="0.36"/>
  </r>
  <r>
    <x v="620"/>
    <x v="620"/>
    <s v="ERP"/>
    <x v="1"/>
    <x v="2"/>
    <s v="DeHart, Lynn"/>
    <x v="2"/>
    <x v="356"/>
    <m/>
    <m/>
    <s v="MISC001"/>
    <m/>
    <m/>
    <m/>
    <s v="None"/>
    <m/>
    <m/>
    <n v="0"/>
    <n v="0.33999999999999997"/>
    <m/>
    <m/>
    <n v="-0.1"/>
    <n v="0"/>
    <n v="0.44"/>
    <n v="0"/>
    <n v="0"/>
    <n v="0"/>
    <n v="0"/>
    <n v="0"/>
    <n v="0"/>
    <n v="0"/>
    <n v="0"/>
    <n v="0"/>
    <n v="0.33999999999999997"/>
    <n v="0"/>
    <n v="0"/>
    <n v="0"/>
    <n v="0"/>
    <m/>
    <n v="0"/>
    <m/>
    <n v="-0.1"/>
    <n v="0"/>
    <n v="0.44"/>
    <n v="0"/>
    <n v="0"/>
    <n v="0"/>
    <n v="0"/>
    <n v="0"/>
    <n v="0"/>
    <n v="0"/>
    <n v="0"/>
    <n v="0"/>
    <n v="0.33999999999999997"/>
    <n v="-0.1"/>
    <n v="0"/>
    <n v="0.44"/>
    <n v="0"/>
    <n v="0"/>
    <n v="0"/>
    <n v="0"/>
    <n v="0"/>
    <n v="0"/>
    <n v="0"/>
    <n v="0"/>
    <n v="0"/>
    <n v="0.33999999999999997"/>
  </r>
  <r>
    <x v="621"/>
    <x v="621"/>
    <s v="ERP"/>
    <x v="1"/>
    <x v="2"/>
    <s v="DeHart, Lynn"/>
    <x v="1"/>
    <x v="356"/>
    <m/>
    <m/>
    <s v="MISC001"/>
    <m/>
    <m/>
    <m/>
    <s v="None"/>
    <m/>
    <m/>
    <n v="0"/>
    <n v="-0.18000000000000002"/>
    <m/>
    <m/>
    <n v="-0.24"/>
    <n v="-0.17"/>
    <n v="0.23"/>
    <n v="0.67"/>
    <n v="-0.61"/>
    <n v="0"/>
    <n v="0"/>
    <n v="0"/>
    <n v="0"/>
    <n v="0"/>
    <n v="0"/>
    <n v="0"/>
    <n v="-0.12"/>
    <n v="6.0000000000000026E-2"/>
    <n v="0"/>
    <n v="-0.61"/>
    <n v="6.0000000000000026E-2"/>
    <m/>
    <n v="6.0000000000000026E-2"/>
    <m/>
    <n v="-0.24"/>
    <n v="-0.17"/>
    <n v="0.23"/>
    <n v="0"/>
    <n v="0"/>
    <n v="0"/>
    <n v="0"/>
    <n v="0"/>
    <n v="0"/>
    <n v="0"/>
    <n v="0"/>
    <n v="0"/>
    <n v="-0.18000000000000002"/>
    <n v="-0.24"/>
    <n v="-0.17"/>
    <n v="0.23"/>
    <n v="0"/>
    <n v="0"/>
    <n v="0"/>
    <n v="0"/>
    <n v="0"/>
    <n v="0"/>
    <n v="0"/>
    <n v="0"/>
    <n v="0"/>
    <n v="-0.18000000000000002"/>
  </r>
  <r>
    <x v="622"/>
    <x v="622"/>
    <s v="ERP"/>
    <x v="1"/>
    <x v="2"/>
    <s v="DeHart, Lynn"/>
    <x v="0"/>
    <x v="356"/>
    <m/>
    <m/>
    <s v="MISC001"/>
    <m/>
    <m/>
    <m/>
    <s v="None"/>
    <m/>
    <m/>
    <n v="0"/>
    <n v="1.999999999999999E-2"/>
    <m/>
    <m/>
    <n v="0.13"/>
    <n v="0.09"/>
    <n v="-0.2"/>
    <n v="0.13"/>
    <n v="-0.53"/>
    <n v="0"/>
    <n v="0"/>
    <n v="0"/>
    <n v="0"/>
    <n v="0"/>
    <n v="0"/>
    <n v="0"/>
    <n v="-0.38"/>
    <n v="-0.4"/>
    <n v="0"/>
    <n v="-0.53"/>
    <n v="-0.4"/>
    <m/>
    <n v="-0.4"/>
    <m/>
    <n v="0.13"/>
    <n v="0.09"/>
    <n v="-0.2"/>
    <n v="0"/>
    <n v="0"/>
    <n v="0"/>
    <n v="0"/>
    <n v="0"/>
    <n v="0"/>
    <n v="0"/>
    <n v="0"/>
    <n v="0"/>
    <n v="1.999999999999999E-2"/>
    <n v="0.13"/>
    <n v="0.09"/>
    <n v="-0.2"/>
    <n v="0"/>
    <n v="0"/>
    <n v="0"/>
    <n v="0"/>
    <n v="0"/>
    <n v="0"/>
    <n v="0"/>
    <n v="0"/>
    <n v="0"/>
    <n v="1.999999999999999E-2"/>
  </r>
  <r>
    <x v="623"/>
    <x v="623"/>
    <s v="ERP"/>
    <x v="1"/>
    <x v="12"/>
    <s v="DeHart, Lynn"/>
    <x v="7"/>
    <x v="357"/>
    <m/>
    <m/>
    <s v="NondigitalCatering001"/>
    <m/>
    <m/>
    <m/>
    <s v="None"/>
    <m/>
    <m/>
    <n v="0"/>
    <n v="614.69000000000005"/>
    <m/>
    <m/>
    <m/>
    <n v="260.76"/>
    <n v="353.93"/>
    <s v=""/>
    <n v="0"/>
    <n v="0"/>
    <n v="0"/>
    <n v="0"/>
    <n v="0"/>
    <n v="0"/>
    <n v="0"/>
    <n v="0"/>
    <n v="614.69000000000005"/>
    <n v="0"/>
    <n v="0"/>
    <n v="0"/>
    <n v="0"/>
    <m/>
    <n v="0"/>
    <m/>
    <m/>
    <n v="260.76"/>
    <n v="353.93"/>
    <n v="0"/>
    <n v="0"/>
    <n v="0"/>
    <n v="0"/>
    <n v="0"/>
    <n v="0"/>
    <n v="0"/>
    <n v="0"/>
    <n v="0"/>
    <n v="614.69000000000005"/>
    <m/>
    <n v="260.76"/>
    <n v="353.93"/>
    <n v="0"/>
    <n v="0"/>
    <n v="0"/>
    <n v="0"/>
    <n v="0"/>
    <n v="0"/>
    <n v="0"/>
    <n v="0"/>
    <n v="0"/>
    <n v="614.69000000000005"/>
  </r>
  <r>
    <x v="624"/>
    <x v="624"/>
    <s v="ERP"/>
    <x v="2"/>
    <x v="11"/>
    <s v="McGettigan, David"/>
    <x v="7"/>
    <x v="357"/>
    <m/>
    <m/>
    <s v="NondigitalCatering001"/>
    <m/>
    <m/>
    <m/>
    <s v="None"/>
    <m/>
    <m/>
    <n v="0"/>
    <n v="11815.17"/>
    <m/>
    <m/>
    <m/>
    <n v="11815.17"/>
    <n v="0"/>
    <s v=""/>
    <n v="0"/>
    <n v="0"/>
    <n v="0"/>
    <n v="0"/>
    <n v="0"/>
    <n v="0"/>
    <n v="0"/>
    <n v="0"/>
    <n v="11815.17"/>
    <n v="0"/>
    <n v="0"/>
    <n v="0"/>
    <n v="0"/>
    <m/>
    <n v="0"/>
    <m/>
    <m/>
    <n v="11815.17"/>
    <n v="0"/>
    <n v="0"/>
    <n v="0"/>
    <n v="0"/>
    <n v="0"/>
    <n v="0"/>
    <n v="0"/>
    <n v="0"/>
    <n v="0"/>
    <n v="0"/>
    <n v="11815.17"/>
    <m/>
    <n v="11815.17"/>
    <n v="0"/>
    <n v="0"/>
    <n v="0"/>
    <n v="0"/>
    <n v="0"/>
    <n v="0"/>
    <n v="0"/>
    <n v="0"/>
    <n v="0"/>
    <n v="0"/>
    <n v="11815.17"/>
  </r>
  <r>
    <x v="625"/>
    <x v="625"/>
    <s v="ERP"/>
    <x v="2"/>
    <x v="11"/>
    <s v="McGettigan, David"/>
    <x v="1"/>
    <x v="358"/>
    <m/>
    <m/>
    <s v="OnetimeCredit002"/>
    <m/>
    <m/>
    <m/>
    <s v="Reserve"/>
    <m/>
    <m/>
    <n v="-338500"/>
    <n v="-435500"/>
    <m/>
    <m/>
    <m/>
    <m/>
    <m/>
    <s v=""/>
    <n v="0"/>
    <n v="-135400"/>
    <n v="0"/>
    <n v="0"/>
    <n v="-203100"/>
    <n v="0"/>
    <n v="0"/>
    <n v="-97000"/>
    <n v="-435500"/>
    <n v="0"/>
    <m/>
    <n v="0"/>
    <n v="0"/>
    <m/>
    <n v="0"/>
    <m/>
    <m/>
    <m/>
    <m/>
    <m/>
    <m/>
    <n v="-135400"/>
    <n v="0"/>
    <n v="0"/>
    <n v="-203100"/>
    <n v="0"/>
    <n v="0"/>
    <n v="-97000"/>
    <n v="-435500"/>
    <m/>
    <m/>
    <m/>
    <m/>
    <m/>
    <n v="-135400"/>
    <n v="0"/>
    <n v="0"/>
    <n v="-203100"/>
    <n v="0"/>
    <n v="0"/>
    <n v="-97000"/>
    <n v="-435500"/>
  </r>
  <r>
    <x v="626"/>
    <x v="626"/>
    <s v="ERP"/>
    <x v="1"/>
    <x v="4"/>
    <s v="Hovanyetz, Mike"/>
    <x v="7"/>
    <x v="359"/>
    <m/>
    <s v="2321347"/>
    <s v="Others001"/>
    <m/>
    <m/>
    <m/>
    <m/>
    <m/>
    <m/>
    <m/>
    <m/>
    <m/>
    <m/>
    <m/>
    <m/>
    <m/>
    <m/>
    <n v="693"/>
    <m/>
    <m/>
    <m/>
    <m/>
    <m/>
    <m/>
    <m/>
    <n v="693"/>
    <n v="693"/>
    <m/>
    <n v="693"/>
    <n v="693"/>
    <m/>
    <n v="693"/>
    <m/>
    <m/>
    <m/>
    <m/>
    <m/>
    <m/>
    <m/>
    <m/>
    <m/>
    <m/>
    <m/>
    <m/>
    <m/>
    <m/>
    <m/>
    <m/>
    <m/>
    <m/>
    <m/>
    <m/>
    <m/>
    <m/>
    <m/>
    <m/>
    <m/>
    <m/>
    <m/>
  </r>
  <r>
    <x v="627"/>
    <x v="627"/>
    <s v="ERP"/>
    <x v="0"/>
    <x v="9"/>
    <s v="McCormick, Pete"/>
    <x v="7"/>
    <x v="360"/>
    <s v="FEDERAL EXPRESS CORP"/>
    <s v="2329614"/>
    <s v="Others001"/>
    <m/>
    <m/>
    <m/>
    <m/>
    <m/>
    <m/>
    <m/>
    <m/>
    <m/>
    <m/>
    <m/>
    <m/>
    <m/>
    <m/>
    <n v="16"/>
    <m/>
    <m/>
    <m/>
    <m/>
    <m/>
    <m/>
    <m/>
    <n v="16"/>
    <n v="16"/>
    <m/>
    <n v="16"/>
    <n v="16"/>
    <m/>
    <n v="16"/>
    <m/>
    <m/>
    <m/>
    <m/>
    <m/>
    <m/>
    <m/>
    <m/>
    <m/>
    <m/>
    <m/>
    <m/>
    <m/>
    <m/>
    <m/>
    <m/>
    <m/>
    <m/>
    <m/>
    <m/>
    <m/>
    <m/>
    <m/>
    <m/>
    <m/>
    <m/>
    <m/>
  </r>
  <r>
    <x v="628"/>
    <x v="628"/>
    <s v="ERP"/>
    <x v="1"/>
    <x v="12"/>
    <s v="DeHart, Lynn"/>
    <x v="7"/>
    <x v="361"/>
    <m/>
    <m/>
    <s v="Others001"/>
    <m/>
    <m/>
    <m/>
    <s v="Other"/>
    <m/>
    <m/>
    <n v="0"/>
    <n v="9893.24"/>
    <m/>
    <m/>
    <n v="478.59"/>
    <n v="9120.75"/>
    <n v="293.89999999999998"/>
    <n v="94.080000000000013"/>
    <n v="275.29999999999984"/>
    <n v="0"/>
    <n v="0"/>
    <n v="0"/>
    <n v="0"/>
    <n v="0"/>
    <n v="0"/>
    <n v="0"/>
    <n v="10262.619999999999"/>
    <n v="369.3799999999992"/>
    <n v="0"/>
    <n v="275.29999999999984"/>
    <n v="369.3799999999992"/>
    <m/>
    <n v="369.3799999999992"/>
    <m/>
    <n v="478.59"/>
    <n v="9120.75"/>
    <n v="293.89999999999998"/>
    <n v="0"/>
    <n v="0"/>
    <n v="0"/>
    <n v="0"/>
    <n v="0"/>
    <n v="0"/>
    <n v="0"/>
    <n v="0"/>
    <n v="0"/>
    <n v="9893.24"/>
    <n v="478.59"/>
    <n v="9120.75"/>
    <n v="293.89999999999998"/>
    <n v="0"/>
    <n v="0"/>
    <n v="0"/>
    <n v="0"/>
    <n v="0"/>
    <n v="0"/>
    <n v="0"/>
    <n v="0"/>
    <n v="0"/>
    <n v="9893.24"/>
  </r>
  <r>
    <x v="629"/>
    <x v="629"/>
    <s v="ERP"/>
    <x v="1"/>
    <x v="12"/>
    <s v="DeHart, Lynn"/>
    <x v="9"/>
    <x v="361"/>
    <m/>
    <m/>
    <s v="Others001"/>
    <m/>
    <m/>
    <m/>
    <s v="Other"/>
    <m/>
    <m/>
    <n v="0"/>
    <n v="20.21"/>
    <m/>
    <m/>
    <n v="16.29"/>
    <n v="0"/>
    <n v="3.92"/>
    <s v=""/>
    <n v="0"/>
    <n v="0"/>
    <n v="0"/>
    <n v="0"/>
    <n v="0"/>
    <n v="0"/>
    <n v="0"/>
    <n v="0"/>
    <n v="20.21"/>
    <n v="0"/>
    <n v="0"/>
    <n v="0"/>
    <n v="0"/>
    <m/>
    <n v="0"/>
    <m/>
    <n v="16.29"/>
    <n v="0"/>
    <n v="3.92"/>
    <n v="0"/>
    <n v="0"/>
    <n v="0"/>
    <n v="0"/>
    <n v="0"/>
    <n v="0"/>
    <n v="0"/>
    <n v="0"/>
    <n v="0"/>
    <n v="20.21"/>
    <n v="16.29"/>
    <n v="0"/>
    <n v="3.92"/>
    <n v="0"/>
    <n v="0"/>
    <n v="0"/>
    <n v="0"/>
    <n v="0"/>
    <n v="0"/>
    <n v="0"/>
    <n v="0"/>
    <n v="0"/>
    <n v="20.21"/>
  </r>
  <r>
    <x v="630"/>
    <x v="630"/>
    <s v="ERP"/>
    <x v="0"/>
    <x v="0"/>
    <s v="Maguire, Karla"/>
    <x v="7"/>
    <x v="361"/>
    <m/>
    <m/>
    <s v="Others001"/>
    <m/>
    <m/>
    <m/>
    <s v="Other"/>
    <m/>
    <m/>
    <n v="0"/>
    <n v="69"/>
    <m/>
    <m/>
    <n v="-0.08"/>
    <n v="69.08"/>
    <n v="0"/>
    <n v="61"/>
    <n v="104"/>
    <n v="0"/>
    <n v="0"/>
    <n v="0"/>
    <n v="0"/>
    <n v="0"/>
    <n v="0"/>
    <n v="0"/>
    <n v="234"/>
    <n v="165"/>
    <n v="0"/>
    <n v="104"/>
    <n v="165"/>
    <m/>
    <n v="165"/>
    <m/>
    <n v="-0.08"/>
    <n v="69.08"/>
    <n v="0"/>
    <n v="0"/>
    <n v="0"/>
    <n v="0"/>
    <n v="0"/>
    <n v="0"/>
    <n v="0"/>
    <n v="0"/>
    <n v="0"/>
    <n v="0"/>
    <n v="69"/>
    <n v="-0.08"/>
    <n v="69.08"/>
    <n v="0"/>
    <n v="0"/>
    <n v="0"/>
    <n v="0"/>
    <n v="0"/>
    <n v="0"/>
    <n v="0"/>
    <n v="0"/>
    <n v="0"/>
    <n v="0"/>
    <n v="69"/>
  </r>
  <r>
    <x v="631"/>
    <x v="631"/>
    <s v="ERP"/>
    <x v="1"/>
    <x v="5"/>
    <s v="DeHart, Lynn"/>
    <x v="7"/>
    <x v="361"/>
    <m/>
    <m/>
    <s v="Others001"/>
    <m/>
    <m/>
    <m/>
    <s v="Other"/>
    <m/>
    <m/>
    <n v="0"/>
    <n v="85.04"/>
    <m/>
    <m/>
    <n v="38.450000000000003"/>
    <n v="0"/>
    <n v="46.59"/>
    <n v="0"/>
    <n v="91.13"/>
    <n v="0"/>
    <n v="0"/>
    <n v="0"/>
    <n v="0"/>
    <n v="0"/>
    <n v="0"/>
    <n v="0"/>
    <n v="176.17000000000002"/>
    <n v="91.13000000000001"/>
    <n v="0"/>
    <n v="91.13"/>
    <n v="91.13000000000001"/>
    <m/>
    <n v="91.13000000000001"/>
    <m/>
    <n v="38.450000000000003"/>
    <n v="0"/>
    <n v="46.59"/>
    <n v="0"/>
    <n v="0"/>
    <n v="0"/>
    <n v="0"/>
    <n v="0"/>
    <n v="0"/>
    <n v="0"/>
    <n v="0"/>
    <n v="0"/>
    <n v="85.04"/>
    <n v="38.450000000000003"/>
    <n v="0"/>
    <n v="46.59"/>
    <n v="0"/>
    <n v="0"/>
    <n v="0"/>
    <n v="0"/>
    <n v="0"/>
    <n v="0"/>
    <n v="0"/>
    <n v="0"/>
    <n v="0"/>
    <n v="85.04"/>
  </r>
  <r>
    <x v="632"/>
    <x v="632"/>
    <s v="ERP"/>
    <x v="1"/>
    <x v="3"/>
    <s v="DeHart, Lynn"/>
    <x v="7"/>
    <x v="361"/>
    <m/>
    <m/>
    <s v="Others001"/>
    <m/>
    <m/>
    <m/>
    <s v="Other"/>
    <m/>
    <m/>
    <n v="0"/>
    <n v="57"/>
    <m/>
    <m/>
    <n v="57"/>
    <n v="0"/>
    <n v="0"/>
    <n v="0"/>
    <n v="16"/>
    <n v="0"/>
    <n v="0"/>
    <n v="0"/>
    <n v="0"/>
    <n v="0"/>
    <n v="0"/>
    <n v="0"/>
    <n v="73"/>
    <n v="16"/>
    <n v="0"/>
    <n v="16"/>
    <n v="16"/>
    <m/>
    <n v="16"/>
    <m/>
    <n v="57"/>
    <n v="0"/>
    <n v="0"/>
    <n v="0"/>
    <n v="0"/>
    <n v="0"/>
    <n v="0"/>
    <n v="0"/>
    <n v="0"/>
    <n v="0"/>
    <n v="0"/>
    <n v="0"/>
    <n v="57"/>
    <n v="57"/>
    <n v="0"/>
    <n v="0"/>
    <n v="0"/>
    <n v="0"/>
    <n v="0"/>
    <n v="0"/>
    <n v="0"/>
    <n v="0"/>
    <n v="0"/>
    <n v="0"/>
    <n v="0"/>
    <n v="57"/>
  </r>
  <r>
    <x v="633"/>
    <x v="633"/>
    <s v="ERP"/>
    <x v="1"/>
    <x v="6"/>
    <s v="DeHart, Lynn"/>
    <x v="7"/>
    <x v="361"/>
    <m/>
    <m/>
    <s v="Others001"/>
    <m/>
    <m/>
    <m/>
    <s v="Other"/>
    <m/>
    <m/>
    <n v="0"/>
    <n v="414.36"/>
    <m/>
    <m/>
    <m/>
    <m/>
    <n v="414.36"/>
    <n v="0"/>
    <n v="0"/>
    <n v="0"/>
    <n v="0"/>
    <n v="0"/>
    <n v="0"/>
    <n v="0"/>
    <n v="0"/>
    <n v="0"/>
    <n v="414.36"/>
    <n v="0"/>
    <n v="0"/>
    <n v="0"/>
    <n v="0"/>
    <m/>
    <n v="0"/>
    <m/>
    <m/>
    <m/>
    <n v="414.36"/>
    <n v="0"/>
    <n v="0"/>
    <n v="0"/>
    <n v="0"/>
    <n v="0"/>
    <n v="0"/>
    <n v="0"/>
    <n v="0"/>
    <n v="0"/>
    <n v="414.36"/>
    <m/>
    <m/>
    <n v="414.36"/>
    <n v="0"/>
    <n v="0"/>
    <n v="0"/>
    <n v="0"/>
    <n v="0"/>
    <n v="0"/>
    <n v="0"/>
    <n v="0"/>
    <n v="0"/>
    <n v="414.36"/>
  </r>
  <r>
    <x v="634"/>
    <x v="634"/>
    <s v="ERP"/>
    <x v="0"/>
    <x v="10"/>
    <s v="Maguire, Karla"/>
    <x v="7"/>
    <x v="361"/>
    <m/>
    <m/>
    <s v="Others001"/>
    <m/>
    <m/>
    <m/>
    <s v="Other"/>
    <m/>
    <m/>
    <n v="0"/>
    <n v="9271.2199999999993"/>
    <m/>
    <m/>
    <n v="497.32"/>
    <n v="7672.35"/>
    <n v="1101.55"/>
    <n v="216.08999999999983"/>
    <n v="402.42000000000007"/>
    <n v="0"/>
    <n v="0"/>
    <n v="0"/>
    <n v="0"/>
    <n v="0"/>
    <n v="0"/>
    <n v="0"/>
    <n v="9889.73"/>
    <n v="618.51000000000022"/>
    <n v="0"/>
    <n v="402.42000000000007"/>
    <n v="618.51000000000022"/>
    <m/>
    <n v="618.51000000000022"/>
    <m/>
    <n v="497.32"/>
    <n v="7672.35"/>
    <n v="1101.55"/>
    <n v="0"/>
    <n v="0"/>
    <n v="0"/>
    <n v="0"/>
    <n v="0"/>
    <n v="0"/>
    <n v="0"/>
    <n v="0"/>
    <n v="0"/>
    <n v="9271.2199999999993"/>
    <n v="497.32"/>
    <n v="7672.35"/>
    <n v="1101.55"/>
    <n v="0"/>
    <n v="0"/>
    <n v="0"/>
    <n v="0"/>
    <n v="0"/>
    <n v="0"/>
    <n v="0"/>
    <n v="0"/>
    <n v="0"/>
    <n v="9271.2199999999993"/>
  </r>
  <r>
    <x v="635"/>
    <x v="635"/>
    <s v="ERP"/>
    <x v="2"/>
    <x v="11"/>
    <s v="McGettigan, David"/>
    <x v="7"/>
    <x v="361"/>
    <m/>
    <m/>
    <s v="Others001"/>
    <m/>
    <m/>
    <m/>
    <s v="Other"/>
    <m/>
    <m/>
    <n v="0"/>
    <n v="18.829999999999998"/>
    <m/>
    <m/>
    <n v="19"/>
    <n v="-0.17"/>
    <n v="0"/>
    <n v="4245.9400000000005"/>
    <n v="16"/>
    <n v="0"/>
    <n v="0"/>
    <n v="0"/>
    <n v="0"/>
    <n v="0"/>
    <n v="0"/>
    <n v="0"/>
    <n v="4280.7700000000004"/>
    <n v="4261.9400000000005"/>
    <n v="0"/>
    <n v="16"/>
    <n v="4261.9400000000005"/>
    <m/>
    <n v="4261.9400000000005"/>
    <m/>
    <n v="19"/>
    <n v="-0.17"/>
    <n v="0"/>
    <n v="0"/>
    <n v="0"/>
    <n v="0"/>
    <n v="0"/>
    <n v="0"/>
    <n v="0"/>
    <n v="0"/>
    <n v="0"/>
    <n v="0"/>
    <n v="18.829999999999998"/>
    <n v="19"/>
    <n v="-0.17"/>
    <n v="0"/>
    <n v="0"/>
    <n v="0"/>
    <n v="0"/>
    <n v="0"/>
    <n v="0"/>
    <n v="0"/>
    <n v="0"/>
    <n v="0"/>
    <n v="0"/>
    <n v="18.829999999999998"/>
  </r>
  <r>
    <x v="636"/>
    <x v="636"/>
    <s v="ERP"/>
    <x v="3"/>
    <x v="14"/>
    <s v="Robertson, Jerome"/>
    <x v="7"/>
    <x v="361"/>
    <m/>
    <m/>
    <s v="Others001"/>
    <m/>
    <m/>
    <m/>
    <s v="Other"/>
    <m/>
    <m/>
    <n v="0"/>
    <n v="28.1"/>
    <m/>
    <m/>
    <m/>
    <n v="27.55"/>
    <n v="0.55000000000000004"/>
    <n v="2.16"/>
    <n v="4.129999999999999"/>
    <n v="0"/>
    <n v="0"/>
    <n v="0"/>
    <n v="0"/>
    <n v="0"/>
    <n v="0"/>
    <n v="0"/>
    <n v="34.39"/>
    <n v="6.2899999999999991"/>
    <n v="0"/>
    <n v="4.129999999999999"/>
    <n v="6.2899999999999991"/>
    <m/>
    <n v="6.2899999999999991"/>
    <m/>
    <m/>
    <n v="27.55"/>
    <n v="0.55000000000000004"/>
    <n v="0"/>
    <n v="0"/>
    <n v="0"/>
    <n v="0"/>
    <n v="0"/>
    <n v="0"/>
    <n v="0"/>
    <n v="0"/>
    <n v="0"/>
    <n v="28.1"/>
    <m/>
    <n v="27.55"/>
    <n v="0.55000000000000004"/>
    <n v="0"/>
    <n v="0"/>
    <n v="0"/>
    <n v="0"/>
    <n v="0"/>
    <n v="0"/>
    <n v="0"/>
    <n v="0"/>
    <n v="0"/>
    <n v="28.1"/>
  </r>
  <r>
    <x v="637"/>
    <x v="637"/>
    <s v="ERP"/>
    <x v="0"/>
    <x v="0"/>
    <s v="Maguire, Karla"/>
    <x v="2"/>
    <x v="362"/>
    <m/>
    <m/>
    <s v="POClosure001"/>
    <s v="CHW - Ok"/>
    <m/>
    <m/>
    <s v="None"/>
    <m/>
    <m/>
    <n v="0"/>
    <n v="-16166.66"/>
    <m/>
    <m/>
    <n v="0.34"/>
    <n v="-10499.16"/>
    <n v="-5667.84"/>
    <n v="0"/>
    <n v="0"/>
    <n v="0"/>
    <n v="0"/>
    <n v="0"/>
    <n v="0"/>
    <n v="0"/>
    <n v="0"/>
    <n v="0"/>
    <n v="-16166.66"/>
    <n v="0"/>
    <n v="0"/>
    <n v="0"/>
    <n v="0"/>
    <m/>
    <n v="0"/>
    <m/>
    <n v="0.34"/>
    <n v="-10499.16"/>
    <n v="-5667.84"/>
    <n v="0"/>
    <n v="0"/>
    <n v="0"/>
    <n v="0"/>
    <n v="0"/>
    <n v="0"/>
    <n v="0"/>
    <n v="0"/>
    <n v="0"/>
    <n v="-16166.66"/>
    <n v="0.34"/>
    <n v="-10499.16"/>
    <n v="-5667.84"/>
    <n v="0"/>
    <n v="0"/>
    <n v="0"/>
    <n v="0"/>
    <n v="0"/>
    <n v="0"/>
    <n v="0"/>
    <n v="0"/>
    <n v="0"/>
    <n v="-16166.66"/>
  </r>
  <r>
    <x v="638"/>
    <x v="638"/>
    <s v="ERP"/>
    <x v="1"/>
    <x v="5"/>
    <s v="DeHart, Lynn"/>
    <x v="2"/>
    <x v="362"/>
    <m/>
    <m/>
    <s v="POClosure001"/>
    <s v="CHW - Ok"/>
    <m/>
    <m/>
    <s v="None"/>
    <m/>
    <m/>
    <n v="0"/>
    <n v="-8178.7199999999993"/>
    <m/>
    <m/>
    <n v="-879.72"/>
    <n v="-0.18"/>
    <n v="-7298.82"/>
    <n v="0"/>
    <n v="0"/>
    <n v="0"/>
    <n v="0"/>
    <n v="0"/>
    <n v="0"/>
    <n v="0"/>
    <n v="0"/>
    <n v="0"/>
    <n v="-8178.7199999999993"/>
    <n v="0"/>
    <n v="0"/>
    <n v="0"/>
    <n v="0"/>
    <m/>
    <n v="0"/>
    <m/>
    <n v="-879.72"/>
    <n v="-0.18"/>
    <n v="-7298.82"/>
    <n v="0"/>
    <n v="0"/>
    <n v="0"/>
    <n v="0"/>
    <n v="0"/>
    <n v="0"/>
    <n v="0"/>
    <n v="0"/>
    <n v="0"/>
    <n v="-8178.7199999999993"/>
    <n v="-879.72"/>
    <n v="-0.18"/>
    <n v="-7298.82"/>
    <n v="0"/>
    <n v="0"/>
    <n v="0"/>
    <n v="0"/>
    <n v="0"/>
    <n v="0"/>
    <n v="0"/>
    <n v="0"/>
    <n v="0"/>
    <n v="-8178.7199999999993"/>
  </r>
  <r>
    <x v="639"/>
    <x v="639"/>
    <s v="ERP"/>
    <x v="1"/>
    <x v="13"/>
    <s v="DeHart, Lynn"/>
    <x v="2"/>
    <x v="362"/>
    <m/>
    <m/>
    <s v="POClosure001"/>
    <s v="CHW - Ok"/>
    <m/>
    <m/>
    <s v="None"/>
    <m/>
    <m/>
    <n v="0"/>
    <n v="-4283.6499999999996"/>
    <m/>
    <m/>
    <n v="-487.65"/>
    <n v="-3796"/>
    <n v="0"/>
    <n v="0"/>
    <n v="0"/>
    <n v="0"/>
    <n v="0"/>
    <n v="0"/>
    <n v="0"/>
    <n v="0"/>
    <n v="0"/>
    <n v="0"/>
    <n v="-4283.6499999999996"/>
    <n v="0"/>
    <n v="0"/>
    <n v="0"/>
    <n v="0"/>
    <m/>
    <n v="0"/>
    <m/>
    <n v="-487.65"/>
    <n v="-3796"/>
    <n v="0"/>
    <n v="0"/>
    <n v="0"/>
    <n v="0"/>
    <n v="0"/>
    <n v="0"/>
    <n v="0"/>
    <n v="0"/>
    <n v="0"/>
    <n v="0"/>
    <n v="-4283.6499999999996"/>
    <n v="-487.65"/>
    <n v="-3796"/>
    <n v="0"/>
    <n v="0"/>
    <n v="0"/>
    <n v="0"/>
    <n v="0"/>
    <n v="0"/>
    <n v="0"/>
    <n v="0"/>
    <n v="0"/>
    <n v="0"/>
    <n v="-4283.6499999999996"/>
  </r>
  <r>
    <x v="640"/>
    <x v="640"/>
    <s v="ERP"/>
    <x v="1"/>
    <x v="6"/>
    <s v="DeHart, Lynn"/>
    <x v="2"/>
    <x v="362"/>
    <m/>
    <m/>
    <s v="POClosure001"/>
    <s v="CHW - Ok"/>
    <m/>
    <m/>
    <s v="None"/>
    <m/>
    <m/>
    <n v="0"/>
    <n v="-54295.289999999994"/>
    <m/>
    <m/>
    <n v="-4506.29"/>
    <n v="-29540.02"/>
    <n v="-20248.98"/>
    <n v="0"/>
    <n v="0"/>
    <n v="0"/>
    <n v="0"/>
    <n v="0"/>
    <n v="0"/>
    <n v="0"/>
    <n v="0"/>
    <n v="0"/>
    <n v="-54295.289999999994"/>
    <n v="0"/>
    <n v="0"/>
    <n v="0"/>
    <n v="0"/>
    <m/>
    <n v="0"/>
    <m/>
    <n v="-4506.29"/>
    <n v="-29540.02"/>
    <n v="-20248.98"/>
    <n v="0"/>
    <n v="0"/>
    <n v="0"/>
    <n v="0"/>
    <n v="0"/>
    <n v="0"/>
    <n v="0"/>
    <n v="0"/>
    <n v="0"/>
    <n v="-54295.289999999994"/>
    <n v="-4506.29"/>
    <n v="-29540.02"/>
    <n v="-20248.98"/>
    <n v="0"/>
    <n v="0"/>
    <n v="0"/>
    <n v="0"/>
    <n v="0"/>
    <n v="0"/>
    <n v="0"/>
    <n v="0"/>
    <n v="0"/>
    <n v="-54295.289999999994"/>
  </r>
  <r>
    <x v="641"/>
    <x v="641"/>
    <s v="ERP"/>
    <x v="0"/>
    <x v="8"/>
    <s v="Maguire, Karla"/>
    <x v="2"/>
    <x v="362"/>
    <m/>
    <m/>
    <s v="POClosure001"/>
    <s v="CHW - Ok"/>
    <m/>
    <m/>
    <s v="None"/>
    <m/>
    <m/>
    <n v="0"/>
    <n v="-14694"/>
    <m/>
    <m/>
    <m/>
    <m/>
    <n v="-14694"/>
    <n v="0"/>
    <n v="0"/>
    <n v="0"/>
    <n v="0"/>
    <n v="0"/>
    <n v="0"/>
    <n v="0"/>
    <n v="0"/>
    <n v="0"/>
    <n v="-14694"/>
    <n v="0"/>
    <n v="0"/>
    <n v="0"/>
    <n v="0"/>
    <m/>
    <n v="0"/>
    <m/>
    <m/>
    <m/>
    <n v="-14694"/>
    <n v="0"/>
    <n v="0"/>
    <n v="0"/>
    <n v="0"/>
    <n v="0"/>
    <n v="0"/>
    <n v="0"/>
    <n v="0"/>
    <n v="0"/>
    <n v="-14694"/>
    <m/>
    <m/>
    <n v="-14694"/>
    <n v="0"/>
    <n v="0"/>
    <n v="0"/>
    <n v="0"/>
    <n v="0"/>
    <n v="0"/>
    <n v="0"/>
    <n v="0"/>
    <n v="0"/>
    <n v="-14694"/>
  </r>
  <r>
    <x v="642"/>
    <x v="642"/>
    <s v="ERP"/>
    <x v="1"/>
    <x v="2"/>
    <s v="DeHart, Lynn"/>
    <x v="2"/>
    <x v="362"/>
    <m/>
    <m/>
    <s v="POClosure001"/>
    <s v="CHW - Ok"/>
    <m/>
    <m/>
    <s v="None"/>
    <m/>
    <m/>
    <n v="0"/>
    <n v="-4133.1400000000003"/>
    <m/>
    <m/>
    <n v="-4133.1400000000003"/>
    <n v="0"/>
    <n v="0"/>
    <n v="0"/>
    <n v="0"/>
    <n v="0"/>
    <n v="0"/>
    <n v="0"/>
    <n v="0"/>
    <n v="0"/>
    <n v="0"/>
    <n v="0"/>
    <n v="-4133.1400000000003"/>
    <n v="0"/>
    <n v="0"/>
    <n v="0"/>
    <n v="0"/>
    <m/>
    <n v="0"/>
    <m/>
    <n v="-4133.1400000000003"/>
    <n v="0"/>
    <n v="0"/>
    <n v="0"/>
    <n v="0"/>
    <n v="0"/>
    <n v="0"/>
    <n v="0"/>
    <n v="0"/>
    <n v="0"/>
    <n v="0"/>
    <n v="0"/>
    <n v="-4133.1400000000003"/>
    <n v="-4133.1400000000003"/>
    <n v="0"/>
    <n v="0"/>
    <n v="0"/>
    <n v="0"/>
    <n v="0"/>
    <n v="0"/>
    <n v="0"/>
    <n v="0"/>
    <n v="0"/>
    <n v="0"/>
    <n v="0"/>
    <n v="-4133.1400000000003"/>
  </r>
  <r>
    <x v="643"/>
    <x v="643"/>
    <s v="ERP"/>
    <x v="1"/>
    <x v="5"/>
    <s v="DeHart, Lynn"/>
    <x v="1"/>
    <x v="363"/>
    <m/>
    <m/>
    <s v="PR-252001-0000007901"/>
    <m/>
    <m/>
    <m/>
    <s v="None"/>
    <m/>
    <m/>
    <n v="0"/>
    <n v="298.89999999999998"/>
    <m/>
    <m/>
    <m/>
    <n v="256.18"/>
    <n v="42.72"/>
    <n v="0"/>
    <n v="0"/>
    <n v="0"/>
    <n v="0"/>
    <n v="0"/>
    <n v="0"/>
    <n v="0"/>
    <n v="0"/>
    <n v="0"/>
    <n v="298.89999999999998"/>
    <n v="0"/>
    <n v="0"/>
    <n v="0"/>
    <n v="0"/>
    <m/>
    <n v="0"/>
    <m/>
    <m/>
    <n v="256.18"/>
    <n v="42.72"/>
    <n v="0"/>
    <n v="0"/>
    <n v="0"/>
    <n v="0"/>
    <n v="0"/>
    <n v="0"/>
    <n v="0"/>
    <n v="0"/>
    <n v="0"/>
    <n v="298.89999999999998"/>
    <m/>
    <n v="256.18"/>
    <n v="42.72"/>
    <n v="0"/>
    <n v="0"/>
    <n v="0"/>
    <n v="0"/>
    <n v="0"/>
    <n v="0"/>
    <n v="0"/>
    <n v="0"/>
    <n v="0"/>
    <n v="298.89999999999998"/>
  </r>
  <r>
    <x v="644"/>
    <x v="644"/>
    <s v="ERP"/>
    <x v="2"/>
    <x v="11"/>
    <s v="McGettigan, David"/>
    <x v="10"/>
    <x v="363"/>
    <m/>
    <m/>
    <s v="PR-320001-0000007901"/>
    <m/>
    <m/>
    <m/>
    <s v="None"/>
    <m/>
    <m/>
    <n v="0"/>
    <n v="8.51"/>
    <m/>
    <m/>
    <m/>
    <n v="8.51"/>
    <n v="0"/>
    <s v=""/>
    <n v="0"/>
    <n v="0"/>
    <n v="0"/>
    <n v="0"/>
    <n v="0"/>
    <n v="0"/>
    <n v="0"/>
    <n v="0"/>
    <n v="8.51"/>
    <n v="0"/>
    <n v="0"/>
    <n v="0"/>
    <n v="0"/>
    <m/>
    <n v="0"/>
    <m/>
    <m/>
    <n v="8.51"/>
    <n v="0"/>
    <n v="0"/>
    <n v="0"/>
    <n v="0"/>
    <n v="0"/>
    <n v="0"/>
    <n v="0"/>
    <n v="0"/>
    <n v="0"/>
    <n v="0"/>
    <n v="8.51"/>
    <m/>
    <n v="8.51"/>
    <n v="0"/>
    <n v="0"/>
    <n v="0"/>
    <n v="0"/>
    <n v="0"/>
    <n v="0"/>
    <n v="0"/>
    <n v="0"/>
    <n v="0"/>
    <n v="0"/>
    <n v="8.51"/>
  </r>
  <r>
    <x v="645"/>
    <x v="645"/>
    <s v="ERP"/>
    <x v="2"/>
    <x v="11"/>
    <s v="McGettigan, David"/>
    <x v="2"/>
    <x v="363"/>
    <m/>
    <m/>
    <s v="PR-320001-0000007901"/>
    <m/>
    <m/>
    <m/>
    <s v="None"/>
    <m/>
    <m/>
    <n v="0"/>
    <n v="7271.4"/>
    <m/>
    <m/>
    <m/>
    <n v="7271.4"/>
    <n v="0"/>
    <n v="0"/>
    <n v="0"/>
    <n v="0"/>
    <n v="0"/>
    <n v="0"/>
    <n v="0"/>
    <n v="0"/>
    <n v="0"/>
    <n v="0"/>
    <n v="7271.4"/>
    <n v="0"/>
    <n v="0"/>
    <n v="0"/>
    <n v="0"/>
    <m/>
    <n v="0"/>
    <m/>
    <m/>
    <n v="7271.4"/>
    <n v="0"/>
    <n v="0"/>
    <n v="0"/>
    <n v="0"/>
    <n v="0"/>
    <n v="0"/>
    <n v="0"/>
    <n v="0"/>
    <n v="0"/>
    <n v="0"/>
    <n v="7271.4"/>
    <m/>
    <n v="7271.4"/>
    <n v="0"/>
    <n v="0"/>
    <n v="0"/>
    <n v="0"/>
    <n v="0"/>
    <n v="0"/>
    <n v="0"/>
    <n v="0"/>
    <n v="0"/>
    <n v="0"/>
    <n v="7271.4"/>
  </r>
  <r>
    <x v="646"/>
    <x v="646"/>
    <s v="ERP"/>
    <x v="1"/>
    <x v="12"/>
    <s v="DeHart, Lynn"/>
    <x v="8"/>
    <x v="364"/>
    <m/>
    <m/>
    <s v="PR-320001-0000007986"/>
    <m/>
    <m/>
    <m/>
    <s v="None"/>
    <m/>
    <m/>
    <n v="0"/>
    <n v="961.71"/>
    <m/>
    <m/>
    <m/>
    <n v="961.71"/>
    <n v="0"/>
    <s v=""/>
    <n v="0"/>
    <n v="0"/>
    <n v="0"/>
    <n v="0"/>
    <n v="0"/>
    <n v="0"/>
    <n v="0"/>
    <n v="0"/>
    <n v="961.71"/>
    <n v="0"/>
    <n v="0"/>
    <n v="0"/>
    <n v="0"/>
    <m/>
    <n v="0"/>
    <m/>
    <m/>
    <n v="961.71"/>
    <n v="0"/>
    <n v="0"/>
    <n v="0"/>
    <n v="0"/>
    <n v="0"/>
    <n v="0"/>
    <n v="0"/>
    <n v="0"/>
    <n v="0"/>
    <n v="0"/>
    <n v="961.71"/>
    <m/>
    <n v="961.71"/>
    <n v="0"/>
    <n v="0"/>
    <n v="0"/>
    <n v="0"/>
    <n v="0"/>
    <n v="0"/>
    <n v="0"/>
    <n v="0"/>
    <n v="0"/>
    <n v="0"/>
    <n v="961.71"/>
  </r>
  <r>
    <x v="647"/>
    <x v="647"/>
    <s v="ERP"/>
    <x v="1"/>
    <x v="12"/>
    <s v="DeHart, Lynn"/>
    <x v="10"/>
    <x v="364"/>
    <m/>
    <m/>
    <s v="PR-320001-0000007986"/>
    <m/>
    <m/>
    <m/>
    <s v="None"/>
    <m/>
    <m/>
    <n v="0"/>
    <n v="11.32"/>
    <m/>
    <m/>
    <m/>
    <n v="11.32"/>
    <n v="0"/>
    <s v=""/>
    <n v="0"/>
    <n v="0"/>
    <n v="0"/>
    <n v="0"/>
    <n v="0"/>
    <n v="0"/>
    <n v="0"/>
    <n v="0"/>
    <n v="11.32"/>
    <n v="0"/>
    <n v="0"/>
    <n v="0"/>
    <n v="0"/>
    <m/>
    <n v="0"/>
    <m/>
    <m/>
    <n v="11.32"/>
    <n v="0"/>
    <n v="0"/>
    <n v="0"/>
    <n v="0"/>
    <n v="0"/>
    <n v="0"/>
    <n v="0"/>
    <n v="0"/>
    <n v="0"/>
    <n v="0"/>
    <n v="11.32"/>
    <m/>
    <n v="11.32"/>
    <n v="0"/>
    <n v="0"/>
    <n v="0"/>
    <n v="0"/>
    <n v="0"/>
    <n v="0"/>
    <n v="0"/>
    <n v="0"/>
    <n v="0"/>
    <n v="0"/>
    <n v="11.32"/>
  </r>
  <r>
    <x v="648"/>
    <x v="648"/>
    <s v="ERP"/>
    <x v="1"/>
    <x v="12"/>
    <s v="DeHart, Lynn"/>
    <x v="2"/>
    <x v="364"/>
    <m/>
    <m/>
    <s v="PR-587101-0000007986"/>
    <m/>
    <m/>
    <m/>
    <s v="None"/>
    <m/>
    <m/>
    <n v="0"/>
    <n v="130.62"/>
    <m/>
    <m/>
    <m/>
    <n v="130.62"/>
    <n v="0"/>
    <s v=""/>
    <n v="0"/>
    <n v="0"/>
    <n v="0"/>
    <n v="0"/>
    <n v="0"/>
    <n v="0"/>
    <n v="0"/>
    <n v="0"/>
    <n v="130.62"/>
    <n v="0"/>
    <n v="0"/>
    <n v="0"/>
    <n v="0"/>
    <m/>
    <n v="0"/>
    <m/>
    <m/>
    <n v="130.62"/>
    <n v="0"/>
    <n v="0"/>
    <n v="0"/>
    <n v="0"/>
    <n v="0"/>
    <n v="0"/>
    <n v="0"/>
    <n v="0"/>
    <n v="0"/>
    <n v="0"/>
    <n v="130.62"/>
    <m/>
    <n v="130.62"/>
    <n v="0"/>
    <n v="0"/>
    <n v="0"/>
    <n v="0"/>
    <n v="0"/>
    <n v="0"/>
    <n v="0"/>
    <n v="0"/>
    <n v="0"/>
    <n v="0"/>
    <n v="130.62"/>
  </r>
  <r>
    <x v="649"/>
    <x v="649"/>
    <s v="ERP"/>
    <x v="1"/>
    <x v="12"/>
    <s v="DeHart, Lynn"/>
    <x v="1"/>
    <x v="364"/>
    <m/>
    <m/>
    <s v="PR-587101-0000007986"/>
    <m/>
    <m/>
    <m/>
    <s v="None"/>
    <m/>
    <m/>
    <n v="0"/>
    <n v="356.72"/>
    <m/>
    <m/>
    <m/>
    <n v="356.72"/>
    <n v="0"/>
    <s v=""/>
    <n v="0"/>
    <n v="0"/>
    <n v="0"/>
    <n v="0"/>
    <n v="0"/>
    <n v="0"/>
    <n v="0"/>
    <n v="0"/>
    <n v="356.72"/>
    <n v="0"/>
    <n v="0"/>
    <n v="0"/>
    <n v="0"/>
    <m/>
    <n v="0"/>
    <m/>
    <m/>
    <n v="356.72"/>
    <n v="0"/>
    <n v="0"/>
    <n v="0"/>
    <n v="0"/>
    <n v="0"/>
    <n v="0"/>
    <n v="0"/>
    <n v="0"/>
    <n v="0"/>
    <n v="0"/>
    <n v="356.72"/>
    <m/>
    <n v="356.72"/>
    <n v="0"/>
    <n v="0"/>
    <n v="0"/>
    <n v="0"/>
    <n v="0"/>
    <n v="0"/>
    <n v="0"/>
    <n v="0"/>
    <n v="0"/>
    <n v="0"/>
    <n v="356.72"/>
  </r>
  <r>
    <x v="650"/>
    <x v="650"/>
    <s v="ERP"/>
    <x v="1"/>
    <x v="12"/>
    <s v="DeHart, Lynn"/>
    <x v="7"/>
    <x v="364"/>
    <m/>
    <m/>
    <s v="PR-587101-0000007986"/>
    <m/>
    <m/>
    <m/>
    <s v="None"/>
    <m/>
    <m/>
    <n v="0"/>
    <n v="220.29"/>
    <m/>
    <m/>
    <m/>
    <n v="220.29"/>
    <n v="0"/>
    <s v=""/>
    <n v="0"/>
    <n v="0"/>
    <n v="0"/>
    <n v="0"/>
    <n v="0"/>
    <n v="0"/>
    <n v="0"/>
    <n v="0"/>
    <n v="220.29"/>
    <n v="0"/>
    <n v="0"/>
    <n v="0"/>
    <n v="0"/>
    <m/>
    <n v="0"/>
    <m/>
    <m/>
    <n v="220.29"/>
    <n v="0"/>
    <n v="0"/>
    <n v="0"/>
    <n v="0"/>
    <n v="0"/>
    <n v="0"/>
    <n v="0"/>
    <n v="0"/>
    <n v="0"/>
    <n v="0"/>
    <n v="220.29"/>
    <m/>
    <n v="220.29"/>
    <n v="0"/>
    <n v="0"/>
    <n v="0"/>
    <n v="0"/>
    <n v="0"/>
    <n v="0"/>
    <n v="0"/>
    <n v="0"/>
    <n v="0"/>
    <n v="0"/>
    <n v="220.29"/>
  </r>
  <r>
    <x v="651"/>
    <x v="651"/>
    <s v="ERP"/>
    <x v="1"/>
    <x v="12"/>
    <s v="DeHart, Lynn"/>
    <x v="9"/>
    <x v="364"/>
    <m/>
    <m/>
    <s v="PR-587101-0000007986"/>
    <m/>
    <m/>
    <m/>
    <s v="None"/>
    <m/>
    <m/>
    <n v="0"/>
    <n v="3.5"/>
    <m/>
    <m/>
    <m/>
    <n v="3.5"/>
    <n v="0"/>
    <s v=""/>
    <n v="0"/>
    <n v="0"/>
    <n v="0"/>
    <n v="0"/>
    <n v="0"/>
    <n v="0"/>
    <n v="0"/>
    <n v="0"/>
    <n v="3.5"/>
    <n v="0"/>
    <n v="0"/>
    <n v="0"/>
    <n v="0"/>
    <m/>
    <n v="0"/>
    <m/>
    <m/>
    <n v="3.5"/>
    <n v="0"/>
    <n v="0"/>
    <n v="0"/>
    <n v="0"/>
    <n v="0"/>
    <n v="0"/>
    <n v="0"/>
    <n v="0"/>
    <n v="0"/>
    <n v="0"/>
    <n v="3.5"/>
    <m/>
    <n v="3.5"/>
    <n v="0"/>
    <n v="0"/>
    <n v="0"/>
    <n v="0"/>
    <n v="0"/>
    <n v="0"/>
    <n v="0"/>
    <n v="0"/>
    <n v="0"/>
    <n v="0"/>
    <n v="3.5"/>
  </r>
  <r>
    <x v="652"/>
    <x v="652"/>
    <s v="ERP"/>
    <x v="1"/>
    <x v="12"/>
    <s v="DeHart, Lynn"/>
    <x v="8"/>
    <x v="364"/>
    <m/>
    <m/>
    <s v="PR-587101-0000007986"/>
    <m/>
    <m/>
    <m/>
    <s v="None"/>
    <m/>
    <m/>
    <n v="0"/>
    <n v="1672.26"/>
    <m/>
    <m/>
    <m/>
    <n v="1672.26"/>
    <n v="0"/>
    <s v=""/>
    <n v="0"/>
    <n v="0"/>
    <n v="0"/>
    <n v="0"/>
    <n v="0"/>
    <n v="0"/>
    <n v="0"/>
    <n v="0"/>
    <n v="1672.26"/>
    <n v="0"/>
    <n v="0"/>
    <n v="0"/>
    <n v="0"/>
    <m/>
    <n v="0"/>
    <m/>
    <m/>
    <n v="1672.26"/>
    <n v="0"/>
    <n v="0"/>
    <n v="0"/>
    <n v="0"/>
    <n v="0"/>
    <n v="0"/>
    <n v="0"/>
    <n v="0"/>
    <n v="0"/>
    <n v="0"/>
    <n v="1672.26"/>
    <m/>
    <n v="1672.26"/>
    <n v="0"/>
    <n v="0"/>
    <n v="0"/>
    <n v="0"/>
    <n v="0"/>
    <n v="0"/>
    <n v="0"/>
    <n v="0"/>
    <n v="0"/>
    <n v="0"/>
    <n v="1672.26"/>
  </r>
  <r>
    <x v="653"/>
    <x v="653"/>
    <s v="ERP"/>
    <x v="1"/>
    <x v="12"/>
    <s v="DeHart, Lynn"/>
    <x v="4"/>
    <x v="364"/>
    <m/>
    <m/>
    <s v="PR-587101-0000007986"/>
    <m/>
    <m/>
    <m/>
    <s v="None"/>
    <m/>
    <m/>
    <n v="0"/>
    <n v="64.67"/>
    <m/>
    <m/>
    <m/>
    <n v="64.67"/>
    <n v="0"/>
    <s v=""/>
    <n v="0"/>
    <n v="0"/>
    <n v="0"/>
    <n v="0"/>
    <n v="0"/>
    <n v="0"/>
    <n v="0"/>
    <n v="0"/>
    <n v="64.67"/>
    <n v="0"/>
    <n v="0"/>
    <n v="0"/>
    <n v="0"/>
    <m/>
    <n v="0"/>
    <m/>
    <m/>
    <n v="64.67"/>
    <n v="0"/>
    <n v="0"/>
    <n v="0"/>
    <n v="0"/>
    <n v="0"/>
    <n v="0"/>
    <n v="0"/>
    <n v="0"/>
    <n v="0"/>
    <n v="0"/>
    <n v="64.67"/>
    <m/>
    <n v="64.67"/>
    <n v="0"/>
    <n v="0"/>
    <n v="0"/>
    <n v="0"/>
    <n v="0"/>
    <n v="0"/>
    <n v="0"/>
    <n v="0"/>
    <n v="0"/>
    <n v="0"/>
    <n v="64.67"/>
  </r>
  <r>
    <x v="654"/>
    <x v="654"/>
    <s v="ERP"/>
    <x v="1"/>
    <x v="12"/>
    <s v="DeHart, Lynn"/>
    <x v="10"/>
    <x v="365"/>
    <m/>
    <m/>
    <s v="Telecom001"/>
    <m/>
    <m/>
    <m/>
    <s v="None"/>
    <m/>
    <m/>
    <n v="157900"/>
    <n v="130982.95"/>
    <m/>
    <m/>
    <n v="2896.56"/>
    <n v="3761.9"/>
    <n v="4324.49"/>
    <n v="5457.6899999999987"/>
    <n v="8526.0100000000039"/>
    <n v="13200"/>
    <n v="13500"/>
    <n v="13700"/>
    <n v="13700"/>
    <n v="13700"/>
    <n v="13800"/>
    <n v="13800"/>
    <n v="120366.65"/>
    <n v="-10616.300000000003"/>
    <n v="12300"/>
    <n v="-3773.9899999999961"/>
    <n v="-10616.299999999996"/>
    <m/>
    <n v="-10616.300000000003"/>
    <m/>
    <n v="2896.56"/>
    <n v="3761.9"/>
    <n v="4324.49"/>
    <n v="12300"/>
    <n v="12300"/>
    <n v="13200"/>
    <n v="13500"/>
    <n v="13700"/>
    <n v="13700"/>
    <n v="13700"/>
    <n v="13800"/>
    <n v="13800"/>
    <n v="130982.95"/>
    <n v="2896.56"/>
    <n v="3761.9"/>
    <n v="4324.49"/>
    <n v="12300"/>
    <n v="12300"/>
    <n v="13200"/>
    <n v="13500"/>
    <n v="13700"/>
    <n v="13700"/>
    <n v="13700"/>
    <n v="13800"/>
    <n v="13800"/>
    <n v="130982.95"/>
  </r>
  <r>
    <x v="655"/>
    <x v="655"/>
    <s v="ERP"/>
    <x v="0"/>
    <x v="0"/>
    <s v="Maguire, Karla"/>
    <x v="10"/>
    <x v="365"/>
    <m/>
    <m/>
    <s v="Telecom001"/>
    <m/>
    <m/>
    <m/>
    <s v="None"/>
    <m/>
    <m/>
    <n v="0"/>
    <n v="4741"/>
    <m/>
    <m/>
    <n v="876"/>
    <n v="1712"/>
    <n v="2153"/>
    <n v="1577"/>
    <n v="1546.0000000000002"/>
    <n v="0"/>
    <n v="0"/>
    <n v="0"/>
    <n v="0"/>
    <n v="0"/>
    <n v="0"/>
    <n v="0"/>
    <n v="7864"/>
    <n v="3123"/>
    <n v="0"/>
    <n v="1546.0000000000002"/>
    <n v="3123"/>
    <m/>
    <n v="3123"/>
    <m/>
    <n v="876"/>
    <n v="1712"/>
    <n v="2153"/>
    <n v="0"/>
    <n v="0"/>
    <n v="0"/>
    <n v="0"/>
    <n v="0"/>
    <n v="0"/>
    <n v="0"/>
    <n v="0"/>
    <n v="0"/>
    <n v="4741"/>
    <n v="876"/>
    <n v="1712"/>
    <n v="2153"/>
    <n v="0"/>
    <n v="0"/>
    <n v="0"/>
    <n v="0"/>
    <n v="0"/>
    <n v="0"/>
    <n v="0"/>
    <n v="0"/>
    <n v="0"/>
    <n v="4741"/>
  </r>
  <r>
    <x v="656"/>
    <x v="656"/>
    <s v="ERP"/>
    <x v="1"/>
    <x v="5"/>
    <s v="DeHart, Lynn"/>
    <x v="10"/>
    <x v="365"/>
    <m/>
    <m/>
    <s v="Telecom001"/>
    <m/>
    <m/>
    <m/>
    <s v="None"/>
    <m/>
    <m/>
    <n v="0"/>
    <n v="39.089999999999996"/>
    <m/>
    <m/>
    <n v="-39.24"/>
    <n v="78.33"/>
    <n v="0"/>
    <n v="101.53"/>
    <n v="0"/>
    <n v="0"/>
    <n v="0"/>
    <n v="0"/>
    <n v="0"/>
    <n v="0"/>
    <n v="0"/>
    <n v="0"/>
    <n v="140.62"/>
    <n v="101.53"/>
    <n v="0"/>
    <n v="0"/>
    <n v="101.53"/>
    <m/>
    <n v="101.53"/>
    <m/>
    <n v="-39.24"/>
    <n v="78.33"/>
    <n v="0"/>
    <n v="0"/>
    <n v="0"/>
    <n v="0"/>
    <n v="0"/>
    <n v="0"/>
    <n v="0"/>
    <n v="0"/>
    <n v="0"/>
    <n v="0"/>
    <n v="39.089999999999996"/>
    <n v="-39.24"/>
    <n v="78.33"/>
    <n v="0"/>
    <n v="0"/>
    <n v="0"/>
    <n v="0"/>
    <n v="0"/>
    <n v="0"/>
    <n v="0"/>
    <n v="0"/>
    <n v="0"/>
    <n v="0"/>
    <n v="39.089999999999996"/>
  </r>
  <r>
    <x v="657"/>
    <x v="657"/>
    <s v="ERP"/>
    <x v="1"/>
    <x v="6"/>
    <s v="DeHart, Lynn"/>
    <x v="10"/>
    <x v="365"/>
    <m/>
    <m/>
    <s v="Telecom001"/>
    <m/>
    <m/>
    <m/>
    <s v="None"/>
    <m/>
    <m/>
    <n v="0"/>
    <n v="208.93"/>
    <m/>
    <m/>
    <n v="-76.86"/>
    <n v="111.1"/>
    <n v="174.69"/>
    <n v="0"/>
    <n v="108.31"/>
    <n v="0"/>
    <n v="0"/>
    <n v="0"/>
    <n v="0"/>
    <n v="0"/>
    <n v="0"/>
    <n v="0"/>
    <n v="317.24"/>
    <n v="108.31"/>
    <n v="0"/>
    <n v="108.31"/>
    <n v="108.31"/>
    <m/>
    <n v="108.31"/>
    <m/>
    <n v="-76.86"/>
    <n v="111.1"/>
    <n v="174.69"/>
    <n v="0"/>
    <n v="0"/>
    <n v="0"/>
    <n v="0"/>
    <n v="0"/>
    <n v="0"/>
    <n v="0"/>
    <n v="0"/>
    <n v="0"/>
    <n v="208.93"/>
    <n v="-76.86"/>
    <n v="111.1"/>
    <n v="174.69"/>
    <n v="0"/>
    <n v="0"/>
    <n v="0"/>
    <n v="0"/>
    <n v="0"/>
    <n v="0"/>
    <n v="0"/>
    <n v="0"/>
    <n v="0"/>
    <n v="208.93"/>
  </r>
  <r>
    <x v="658"/>
    <x v="658"/>
    <s v="ERP"/>
    <x v="0"/>
    <x v="10"/>
    <s v="Maguire, Karla"/>
    <x v="10"/>
    <x v="365"/>
    <m/>
    <m/>
    <s v="Telecom001"/>
    <m/>
    <m/>
    <m/>
    <s v="None"/>
    <m/>
    <m/>
    <n v="78300"/>
    <n v="62093.21"/>
    <m/>
    <m/>
    <n v="350.82"/>
    <n v="683.3"/>
    <n v="1259.0899999999999"/>
    <n v="404.51000000000005"/>
    <n v="2183.5099999999993"/>
    <n v="6400"/>
    <n v="6500"/>
    <n v="6500"/>
    <n v="6900"/>
    <n v="6900"/>
    <n v="6900"/>
    <n v="6900"/>
    <n v="51881.229999999996"/>
    <n v="-10211.980000000003"/>
    <n v="6400"/>
    <n v="-4216.4900000000007"/>
    <n v="-10211.98"/>
    <m/>
    <n v="-10211.980000000003"/>
    <m/>
    <n v="350.82"/>
    <n v="683.3"/>
    <n v="1259.0899999999999"/>
    <n v="6400"/>
    <n v="6400"/>
    <n v="6400"/>
    <n v="6500"/>
    <n v="6500"/>
    <n v="6900"/>
    <n v="6900"/>
    <n v="6900"/>
    <n v="6900"/>
    <n v="62093.21"/>
    <n v="350.82"/>
    <n v="683.3"/>
    <n v="1259.0899999999999"/>
    <n v="6400"/>
    <n v="6400"/>
    <n v="6400"/>
    <n v="6500"/>
    <n v="6500"/>
    <n v="6900"/>
    <n v="6900"/>
    <n v="6900"/>
    <n v="6900"/>
    <n v="62093.21"/>
  </r>
  <r>
    <x v="659"/>
    <x v="659"/>
    <s v="ERP"/>
    <x v="2"/>
    <x v="11"/>
    <s v="McGettigan, David"/>
    <x v="10"/>
    <x v="365"/>
    <m/>
    <m/>
    <s v="Telecom001"/>
    <m/>
    <m/>
    <m/>
    <s v="None"/>
    <m/>
    <m/>
    <n v="3200"/>
    <n v="4217.2800000000007"/>
    <m/>
    <m/>
    <n v="470.66"/>
    <n v="1081.01"/>
    <n v="665.61"/>
    <n v="309.95"/>
    <n v="41.64"/>
    <n v="300"/>
    <n v="200"/>
    <n v="200"/>
    <n v="200"/>
    <n v="200"/>
    <n v="200"/>
    <n v="200"/>
    <n v="4068.87"/>
    <n v="-148.41000000000076"/>
    <n v="300"/>
    <n v="-258.36"/>
    <n v="-148.41000000000031"/>
    <m/>
    <n v="-148.41000000000076"/>
    <m/>
    <n v="470.66"/>
    <n v="1081.01"/>
    <n v="665.61"/>
    <n v="200"/>
    <n v="300"/>
    <n v="300"/>
    <n v="200"/>
    <n v="200"/>
    <n v="200"/>
    <n v="200"/>
    <n v="200"/>
    <n v="200"/>
    <n v="4217.2800000000007"/>
    <n v="470.66"/>
    <n v="1081.01"/>
    <n v="665.61"/>
    <n v="200"/>
    <n v="300"/>
    <n v="300"/>
    <n v="200"/>
    <n v="200"/>
    <n v="200"/>
    <n v="200"/>
    <n v="200"/>
    <n v="200"/>
    <n v="4217.2800000000007"/>
  </r>
  <r>
    <x v="660"/>
    <x v="660"/>
    <s v="ERP"/>
    <x v="3"/>
    <x v="14"/>
    <s v="Robertson, Jerome"/>
    <x v="10"/>
    <x v="365"/>
    <m/>
    <m/>
    <s v="Telecom001"/>
    <m/>
    <m/>
    <m/>
    <s v="None"/>
    <m/>
    <m/>
    <n v="18800"/>
    <n v="15498"/>
    <m/>
    <m/>
    <n v="102"/>
    <n v="121"/>
    <n v="675"/>
    <n v="1883.5499999999997"/>
    <n v="861.93999999999994"/>
    <n v="1500"/>
    <n v="1500"/>
    <n v="1700"/>
    <n v="1700"/>
    <n v="1700"/>
    <n v="1700"/>
    <n v="1700"/>
    <n v="15143.49"/>
    <n v="-354.51000000000022"/>
    <n v="1500"/>
    <n v="-638.06000000000006"/>
    <n v="-354.51000000000022"/>
    <m/>
    <n v="-354.51000000000022"/>
    <m/>
    <n v="102"/>
    <n v="121"/>
    <n v="675"/>
    <n v="1600"/>
    <n v="1500"/>
    <n v="1500"/>
    <n v="1500"/>
    <n v="1700"/>
    <n v="1700"/>
    <n v="1700"/>
    <n v="1700"/>
    <n v="1700"/>
    <n v="15498"/>
    <n v="102"/>
    <n v="121"/>
    <n v="675"/>
    <n v="1600"/>
    <n v="1500"/>
    <n v="1500"/>
    <n v="1500"/>
    <n v="1700"/>
    <n v="1700"/>
    <n v="1700"/>
    <n v="1700"/>
    <n v="1700"/>
    <n v="15498"/>
  </r>
  <r>
    <x v="661"/>
    <x v="661"/>
    <s v="ERP"/>
    <x v="1"/>
    <x v="12"/>
    <s v="DeHart, Lynn"/>
    <x v="4"/>
    <x v="366"/>
    <m/>
    <m/>
    <s v="TravelEnt001"/>
    <m/>
    <s v="N/A"/>
    <m/>
    <s v="T&amp;E"/>
    <m/>
    <m/>
    <n v="0"/>
    <n v="23976.370000000003"/>
    <m/>
    <m/>
    <n v="10095.790000000001"/>
    <n v="9921.4500000000007"/>
    <n v="3959.13"/>
    <n v="7339.65"/>
    <n v="-891.2900000000003"/>
    <n v="0"/>
    <n v="0"/>
    <n v="0"/>
    <n v="0"/>
    <n v="0"/>
    <n v="0"/>
    <n v="0"/>
    <n v="30424.730000000003"/>
    <n v="6448.3600000000006"/>
    <n v="0"/>
    <n v="-891.2900000000003"/>
    <n v="6448.3600000000006"/>
    <m/>
    <n v="6448.3600000000006"/>
    <m/>
    <n v="10095.790000000001"/>
    <n v="9921.4500000000007"/>
    <n v="3959.13"/>
    <n v="0"/>
    <n v="0"/>
    <n v="0"/>
    <n v="0"/>
    <n v="0"/>
    <n v="0"/>
    <n v="0"/>
    <n v="0"/>
    <n v="0"/>
    <n v="23976.370000000003"/>
    <n v="10095.790000000001"/>
    <n v="9921.4500000000007"/>
    <n v="3959.13"/>
    <n v="0"/>
    <n v="0"/>
    <n v="0"/>
    <n v="0"/>
    <n v="0"/>
    <n v="0"/>
    <n v="0"/>
    <n v="0"/>
    <n v="0"/>
    <n v="23976.370000000003"/>
  </r>
  <r>
    <x v="662"/>
    <x v="662"/>
    <s v="ERP"/>
    <x v="0"/>
    <x v="0"/>
    <s v="Maguire, Karla"/>
    <x v="4"/>
    <x v="366"/>
    <m/>
    <m/>
    <s v="TravelEnt001"/>
    <m/>
    <s v="N/A"/>
    <m/>
    <s v="T&amp;E"/>
    <m/>
    <m/>
    <n v="0"/>
    <n v="4"/>
    <m/>
    <m/>
    <m/>
    <n v="-101"/>
    <n v="105"/>
    <n v="479"/>
    <n v="66"/>
    <n v="0"/>
    <n v="0"/>
    <n v="0"/>
    <n v="0"/>
    <n v="0"/>
    <n v="0"/>
    <n v="0"/>
    <n v="549"/>
    <n v="545"/>
    <n v="0"/>
    <n v="66"/>
    <n v="545"/>
    <m/>
    <n v="545"/>
    <m/>
    <m/>
    <n v="-101"/>
    <n v="105"/>
    <n v="0"/>
    <n v="0"/>
    <n v="0"/>
    <n v="0"/>
    <n v="0"/>
    <n v="0"/>
    <n v="0"/>
    <n v="0"/>
    <n v="0"/>
    <n v="4"/>
    <m/>
    <n v="-101"/>
    <n v="105"/>
    <n v="0"/>
    <n v="0"/>
    <n v="0"/>
    <n v="0"/>
    <n v="0"/>
    <n v="0"/>
    <n v="0"/>
    <n v="0"/>
    <n v="0"/>
    <n v="4"/>
  </r>
  <r>
    <x v="663"/>
    <x v="663"/>
    <s v="ERP"/>
    <x v="1"/>
    <x v="5"/>
    <s v="DeHart, Lynn"/>
    <x v="4"/>
    <x v="366"/>
    <m/>
    <m/>
    <s v="TravelEnt001"/>
    <m/>
    <s v="N/A"/>
    <m/>
    <s v="T&amp;E"/>
    <m/>
    <m/>
    <n v="0"/>
    <n v="995.34"/>
    <m/>
    <m/>
    <n v="948.99"/>
    <n v="0"/>
    <n v="46.35"/>
    <n v="0"/>
    <n v="0"/>
    <n v="0"/>
    <n v="0"/>
    <n v="0"/>
    <n v="0"/>
    <n v="0"/>
    <n v="0"/>
    <n v="0"/>
    <n v="995.34"/>
    <n v="0"/>
    <n v="0"/>
    <n v="0"/>
    <n v="0"/>
    <m/>
    <n v="0"/>
    <m/>
    <n v="948.99"/>
    <n v="0"/>
    <n v="46.35"/>
    <n v="0"/>
    <n v="0"/>
    <n v="0"/>
    <n v="0"/>
    <n v="0"/>
    <n v="0"/>
    <n v="0"/>
    <n v="0"/>
    <n v="0"/>
    <n v="995.34"/>
    <n v="948.99"/>
    <n v="0"/>
    <n v="46.35"/>
    <n v="0"/>
    <n v="0"/>
    <n v="0"/>
    <n v="0"/>
    <n v="0"/>
    <n v="0"/>
    <n v="0"/>
    <n v="0"/>
    <n v="0"/>
    <n v="995.34"/>
  </r>
  <r>
    <x v="664"/>
    <x v="664"/>
    <s v="ERP"/>
    <x v="1"/>
    <x v="6"/>
    <s v="DeHart, Lynn"/>
    <x v="4"/>
    <x v="366"/>
    <m/>
    <m/>
    <s v="TravelEnt001"/>
    <m/>
    <s v="N/A"/>
    <m/>
    <s v="T&amp;E"/>
    <m/>
    <m/>
    <n v="0"/>
    <n v="1947.4499999999998"/>
    <m/>
    <m/>
    <n v="1400.32"/>
    <n v="547.13"/>
    <n v="0"/>
    <n v="0"/>
    <n v="0"/>
    <n v="0"/>
    <n v="0"/>
    <n v="0"/>
    <n v="0"/>
    <n v="0"/>
    <n v="0"/>
    <n v="0"/>
    <n v="1947.4499999999998"/>
    <n v="0"/>
    <n v="0"/>
    <n v="0"/>
    <n v="0"/>
    <m/>
    <n v="0"/>
    <m/>
    <n v="1400.32"/>
    <n v="547.13"/>
    <n v="0"/>
    <n v="0"/>
    <n v="0"/>
    <n v="0"/>
    <n v="0"/>
    <n v="0"/>
    <n v="0"/>
    <n v="0"/>
    <n v="0"/>
    <n v="0"/>
    <n v="1947.4499999999998"/>
    <n v="1400.32"/>
    <n v="547.13"/>
    <n v="0"/>
    <n v="0"/>
    <n v="0"/>
    <n v="0"/>
    <n v="0"/>
    <n v="0"/>
    <n v="0"/>
    <n v="0"/>
    <n v="0"/>
    <n v="0"/>
    <n v="1947.4499999999998"/>
  </r>
  <r>
    <x v="665"/>
    <x v="665"/>
    <s v="ERP"/>
    <x v="0"/>
    <x v="10"/>
    <s v="Maguire, Karla"/>
    <x v="4"/>
    <x v="366"/>
    <m/>
    <m/>
    <s v="TravelEnt001"/>
    <m/>
    <s v="N/A"/>
    <m/>
    <s v="T&amp;E"/>
    <m/>
    <m/>
    <n v="0"/>
    <n v="7225.12"/>
    <m/>
    <m/>
    <n v="302.32"/>
    <n v="-468.02"/>
    <n v="7390.82"/>
    <n v="10390.350000000002"/>
    <n v="-6560.7800000000007"/>
    <n v="0"/>
    <n v="0"/>
    <n v="0"/>
    <n v="0"/>
    <n v="0"/>
    <n v="0"/>
    <n v="0"/>
    <n v="11054.69"/>
    <n v="3829.5700000000006"/>
    <n v="0"/>
    <n v="-6560.7800000000007"/>
    <n v="3829.5700000000006"/>
    <m/>
    <n v="3829.5700000000006"/>
    <m/>
    <n v="302.32"/>
    <n v="-468.02"/>
    <n v="7390.82"/>
    <n v="0"/>
    <n v="0"/>
    <n v="0"/>
    <n v="0"/>
    <n v="0"/>
    <n v="0"/>
    <n v="0"/>
    <n v="0"/>
    <n v="0"/>
    <n v="7225.12"/>
    <n v="302.32"/>
    <n v="-468.02"/>
    <n v="7390.82"/>
    <n v="0"/>
    <n v="0"/>
    <n v="0"/>
    <n v="0"/>
    <n v="0"/>
    <n v="0"/>
    <n v="0"/>
    <n v="0"/>
    <n v="0"/>
    <n v="7225.12"/>
  </r>
  <r>
    <x v="666"/>
    <x v="666"/>
    <s v="ERP"/>
    <x v="2"/>
    <x v="11"/>
    <s v="McGettigan, David"/>
    <x v="4"/>
    <x v="366"/>
    <m/>
    <m/>
    <s v="TravelEnt001"/>
    <m/>
    <s v="N/A"/>
    <m/>
    <s v="T&amp;E"/>
    <m/>
    <m/>
    <n v="0"/>
    <n v="-468023.23"/>
    <m/>
    <m/>
    <n v="-478537.04"/>
    <n v="11513.92"/>
    <n v="-1000.11"/>
    <n v="5133"/>
    <n v="288"/>
    <n v="0"/>
    <n v="0"/>
    <n v="0"/>
    <n v="0"/>
    <n v="0"/>
    <n v="0"/>
    <n v="0"/>
    <n v="-462602.23"/>
    <n v="5421"/>
    <n v="0"/>
    <n v="288"/>
    <n v="5421"/>
    <m/>
    <n v="5421"/>
    <m/>
    <n v="-478537.04"/>
    <n v="11513.92"/>
    <n v="-1000.11"/>
    <n v="0"/>
    <n v="0"/>
    <n v="0"/>
    <n v="0"/>
    <n v="0"/>
    <n v="0"/>
    <n v="0"/>
    <n v="0"/>
    <n v="0"/>
    <n v="-468023.23"/>
    <n v="-478537.04"/>
    <n v="11513.92"/>
    <n v="-1000.11"/>
    <n v="0"/>
    <n v="0"/>
    <n v="0"/>
    <n v="0"/>
    <n v="0"/>
    <n v="0"/>
    <n v="0"/>
    <n v="0"/>
    <n v="0"/>
    <n v="-468023.23"/>
  </r>
  <r>
    <x v="667"/>
    <x v="667"/>
    <s v="ERP"/>
    <x v="3"/>
    <x v="14"/>
    <s v="Robertson, Jerome"/>
    <x v="4"/>
    <x v="366"/>
    <m/>
    <m/>
    <s v="TravelEnt001"/>
    <m/>
    <s v="N/A"/>
    <m/>
    <s v="T&amp;E"/>
    <m/>
    <m/>
    <n v="0"/>
    <n v="17997.310000000001"/>
    <m/>
    <m/>
    <n v="401"/>
    <n v="11440.6"/>
    <n v="6155.71"/>
    <n v="1364.6499999999996"/>
    <n v="535.48"/>
    <n v="0"/>
    <n v="0"/>
    <n v="0"/>
    <n v="0"/>
    <n v="0"/>
    <n v="0"/>
    <n v="0"/>
    <n v="19897.439999999999"/>
    <n v="1900.1299999999974"/>
    <n v="0"/>
    <n v="535.48"/>
    <n v="1900.1299999999974"/>
    <m/>
    <n v="1900.1299999999974"/>
    <m/>
    <n v="401"/>
    <n v="11440.6"/>
    <n v="6155.71"/>
    <n v="0"/>
    <n v="0"/>
    <n v="0"/>
    <n v="0"/>
    <n v="0"/>
    <n v="0"/>
    <n v="0"/>
    <n v="0"/>
    <n v="0"/>
    <n v="17997.310000000001"/>
    <n v="401"/>
    <n v="11440.6"/>
    <n v="6155.71"/>
    <n v="0"/>
    <n v="0"/>
    <n v="0"/>
    <n v="0"/>
    <n v="0"/>
    <n v="0"/>
    <n v="0"/>
    <n v="0"/>
    <n v="0"/>
    <n v="17997.310000000001"/>
  </r>
  <r>
    <x v="668"/>
    <x v="668"/>
    <s v="ERP"/>
    <x v="2"/>
    <x v="11"/>
    <s v="McGettigan, David"/>
    <x v="4"/>
    <x v="367"/>
    <m/>
    <m/>
    <s v="TravelEnt001_Reserve"/>
    <m/>
    <s v="N/A"/>
    <m/>
    <s v="Reserve"/>
    <m/>
    <m/>
    <n v="285714.29000400001"/>
    <n v="214285.71750299999"/>
    <m/>
    <m/>
    <m/>
    <m/>
    <m/>
    <s v=""/>
    <n v="0"/>
    <n v="23809.524167"/>
    <n v="23809.524167"/>
    <n v="23809.524167"/>
    <n v="23809.524167"/>
    <n v="23809.524167"/>
    <n v="23809.524167"/>
    <n v="23809.524167"/>
    <n v="166666.669169"/>
    <n v="-47619.048333999992"/>
    <n v="23809.524167"/>
    <n v="-23809.524167"/>
    <n v="-47619.048333999999"/>
    <m/>
    <n v="-47619.048333999992"/>
    <m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</r>
  <r>
    <x v="669"/>
    <x v="669"/>
    <s v="ERP"/>
    <x v="2"/>
    <x v="11"/>
    <s v="McGettigan, David"/>
    <x v="5"/>
    <x v="368"/>
    <m/>
    <m/>
    <s v="VacancyFactor001"/>
    <m/>
    <s v="N/A"/>
    <m/>
    <s v="Reserve"/>
    <m/>
    <m/>
    <n v="-472222.21000000008"/>
    <n v="-160000"/>
    <m/>
    <m/>
    <m/>
    <m/>
    <m/>
    <s v=""/>
    <n v="0"/>
    <n v="-20000"/>
    <n v="-20000"/>
    <n v="-20000"/>
    <n v="-20000"/>
    <n v="-20000"/>
    <n v="-20000"/>
    <n v="-20000"/>
    <n v="-140000"/>
    <n v="20000"/>
    <n v="-20000"/>
    <n v="20000"/>
    <n v="20000"/>
    <m/>
    <n v="20000"/>
    <m/>
    <m/>
    <m/>
    <m/>
    <m/>
    <n v="-20000"/>
    <n v="-20000"/>
    <n v="-20000"/>
    <n v="-20000"/>
    <n v="-20000"/>
    <n v="-20000"/>
    <n v="-20000"/>
    <n v="-20000"/>
    <n v="-160000"/>
    <m/>
    <m/>
    <m/>
    <n v="-47222.220999999998"/>
    <n v="-47222.220999999998"/>
    <n v="-47222.220999999998"/>
    <n v="-47222.220999999998"/>
    <n v="-47222.220999999998"/>
    <n v="-47222.220999999998"/>
    <n v="-47222.220999999998"/>
    <n v="-47222.220999999998"/>
    <n v="-47222.220999999998"/>
    <n v="-424999.98900000006"/>
  </r>
  <r>
    <x v="670"/>
    <x v="670"/>
    <s v="ERP"/>
    <x v="1"/>
    <x v="5"/>
    <s v="DeHart, Lynn"/>
    <x v="0"/>
    <x v="369"/>
    <s v="#N/A"/>
    <m/>
    <m/>
    <m/>
    <m/>
    <m/>
    <m/>
    <s v="4/30 - New add with Team"/>
    <m/>
    <m/>
    <n v="143000"/>
    <m/>
    <m/>
    <m/>
    <m/>
    <m/>
    <s v=""/>
    <n v="0"/>
    <m/>
    <m/>
    <m/>
    <m/>
    <n v="143000"/>
    <m/>
    <m/>
    <n v="143000"/>
    <n v="0"/>
    <m/>
    <n v="0"/>
    <n v="0"/>
    <m/>
    <n v="0"/>
    <m/>
    <m/>
    <m/>
    <m/>
    <m/>
    <m/>
    <m/>
    <m/>
    <m/>
    <m/>
    <n v="143000"/>
    <m/>
    <m/>
    <n v="143000"/>
    <m/>
    <m/>
    <m/>
    <m/>
    <m/>
    <m/>
    <m/>
    <m/>
    <m/>
    <m/>
    <m/>
    <m/>
    <m/>
  </r>
  <r>
    <x v="671"/>
    <x v="671"/>
    <s v="ERP"/>
    <x v="0"/>
    <x v="0"/>
    <s v="DeHart, Lynn"/>
    <x v="0"/>
    <x v="370"/>
    <s v="#N/A"/>
    <m/>
    <m/>
    <m/>
    <m/>
    <m/>
    <m/>
    <s v="5/12 CHW - New added based on May Prepaid emails for review at LE3"/>
    <m/>
    <m/>
    <n v="624226"/>
    <m/>
    <m/>
    <m/>
    <m/>
    <m/>
    <s v=""/>
    <n v="0"/>
    <m/>
    <m/>
    <m/>
    <m/>
    <m/>
    <m/>
    <n v="624226"/>
    <n v="624226"/>
    <n v="0"/>
    <m/>
    <n v="0"/>
    <n v="0"/>
    <m/>
    <n v="0"/>
    <m/>
    <m/>
    <m/>
    <m/>
    <m/>
    <m/>
    <m/>
    <m/>
    <m/>
    <m/>
    <m/>
    <m/>
    <n v="624226"/>
    <n v="624226"/>
    <m/>
    <m/>
    <m/>
    <m/>
    <m/>
    <m/>
    <m/>
    <m/>
    <m/>
    <m/>
    <m/>
    <m/>
    <m/>
  </r>
  <r>
    <x v="672"/>
    <x v="672"/>
    <s v="ERP"/>
    <x v="2"/>
    <x v="11"/>
    <s v="McGettigan, David"/>
    <x v="7"/>
    <x v="371"/>
    <m/>
    <m/>
    <m/>
    <m/>
    <m/>
    <m/>
    <m/>
    <s v="5/18/26 CHW - Added LE2 ME to adjust to Target"/>
    <m/>
    <m/>
    <n v="-6407318.4800000004"/>
    <m/>
    <m/>
    <m/>
    <m/>
    <m/>
    <s v=""/>
    <n v="0"/>
    <m/>
    <m/>
    <m/>
    <n v="-1601829.62"/>
    <n v="-1601829.62"/>
    <n v="-1601829.62"/>
    <n v="-1601829.62"/>
    <n v="-6407318.4800000004"/>
    <n v="0"/>
    <m/>
    <n v="0"/>
    <n v="0"/>
    <m/>
    <n v="0"/>
    <m/>
    <m/>
    <m/>
    <m/>
    <m/>
    <m/>
    <m/>
    <m/>
    <m/>
    <n v="-1601829.62"/>
    <n v="-1601829.62"/>
    <n v="-1601829.62"/>
    <n v="-1601829.62"/>
    <n v="-6407318.4800000004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s v="L-ERP-324"/>
    <x v="0"/>
    <s v="Maguire, Karla_CONTRACTORS_ColleagueSolutions001"/>
    <s v="ERP"/>
    <s v="Patel, Apurva"/>
    <s v="Dougherty, Chris"/>
    <s v="Dougherty, Chris"/>
    <s v="Dougherty, Chris"/>
    <s v="Maguire, Karla"/>
    <s v="Maguire, Karla"/>
    <x v="0"/>
    <s v="Colleague Solutions Delivery Chargebacks"/>
    <m/>
    <m/>
    <x v="0"/>
    <s v="CHW - Ok"/>
    <s v="N/A"/>
    <m/>
    <x v="0"/>
    <s v="KP- Could you confirm who this line was transferred to?"/>
    <m/>
    <n v="1214.4000000000003"/>
    <n v="910.80000000000018"/>
    <m/>
    <m/>
    <m/>
    <m/>
    <m/>
    <s v=""/>
    <n v="0"/>
    <n v="0"/>
    <n v="101.2"/>
    <n v="101.2"/>
    <n v="101.2"/>
    <n v="101.2"/>
    <n v="101.2"/>
    <n v="101.2"/>
    <n v="607.20000000000005"/>
    <n v="-303.60000000000014"/>
    <n v="101.2"/>
    <n v="-101.2"/>
    <n v="-303.60000000000002"/>
    <m/>
    <n v="-303.60000000000014"/>
    <m/>
    <m/>
    <m/>
    <m/>
    <n v="101.2"/>
    <n v="101.2"/>
    <n v="101.2"/>
    <n v="101.2"/>
    <n v="101.2"/>
    <n v="101.2"/>
    <n v="101.2"/>
    <n v="101.2"/>
    <n v="101.2"/>
    <n v="910.80000000000018"/>
    <m/>
    <m/>
    <m/>
    <n v="101.2"/>
    <n v="101.2"/>
    <n v="101.2"/>
    <n v="101.2"/>
    <n v="101.2"/>
    <n v="101.2"/>
    <n v="101.2"/>
    <n v="101.2"/>
    <n v="101.2"/>
    <n v="910.80000000000018"/>
  </r>
  <r>
    <s v="L-ERP-369"/>
    <x v="0"/>
    <s v="McCormick, Pete_CONTRACTORS_ColleagueSolutions001"/>
    <s v="ERP"/>
    <s v="Patel, Apurva"/>
    <s v="Dougherty, Chris"/>
    <s v="McCormick, Pete"/>
    <s v="Dougherty, Chris"/>
    <s v="McCormick, Pete"/>
    <s v="Maguire, Karla"/>
    <x v="0"/>
    <s v="Colleague Solutions Delivery Chargebacks"/>
    <m/>
    <m/>
    <x v="0"/>
    <s v="CHW - Ok"/>
    <s v="N/A"/>
    <m/>
    <x v="0"/>
    <m/>
    <m/>
    <n v="1800"/>
    <n v="3600"/>
    <m/>
    <m/>
    <m/>
    <m/>
    <m/>
    <s v=""/>
    <n v="0"/>
    <n v="0"/>
    <n v="0"/>
    <n v="0"/>
    <n v="0"/>
    <n v="0"/>
    <n v="0"/>
    <n v="0"/>
    <n v="0"/>
    <n v="-3600"/>
    <n v="0"/>
    <n v="0"/>
    <n v="-3600"/>
    <m/>
    <n v="-3600"/>
    <m/>
    <m/>
    <m/>
    <m/>
    <n v="1800"/>
    <n v="0"/>
    <n v="1800"/>
    <n v="0"/>
    <n v="0"/>
    <n v="0"/>
    <n v="0"/>
    <n v="0"/>
    <n v="0"/>
    <n v="3600"/>
    <m/>
    <m/>
    <m/>
    <n v="1800"/>
    <n v="0"/>
    <n v="1800"/>
    <n v="0"/>
    <n v="0"/>
    <n v="0"/>
    <n v="0"/>
    <n v="0"/>
    <n v="0"/>
    <n v="3600"/>
  </r>
  <r>
    <s v="L-ERP-092"/>
    <x v="1"/>
    <s v="Dougherty, Chris_CONTRACTORS_EnhanceChargeout001"/>
    <s v="ERP"/>
    <s v="Patel, Apurva"/>
    <s v="Dougherty, Chris"/>
    <s v="Dougherty, Chris"/>
    <s v="Dougherty, Chris"/>
    <s v="Dougherty, Chris"/>
    <s v="Maguire, Karla"/>
    <x v="0"/>
    <s v="Enhance Chargeout Cost Centers"/>
    <m/>
    <m/>
    <x v="1"/>
    <s v="CHW - Ok ~9500"/>
    <m/>
    <m/>
    <x v="0"/>
    <m/>
    <m/>
    <n v="0"/>
    <n v="-51577"/>
    <m/>
    <m/>
    <n v="44340"/>
    <n v="-23011"/>
    <n v="-72906"/>
    <n v="9489"/>
    <n v="-2647"/>
    <n v="5440"/>
    <n v="0"/>
    <n v="0"/>
    <n v="0"/>
    <n v="0"/>
    <n v="0"/>
    <n v="0"/>
    <n v="-39295"/>
    <n v="12282"/>
    <n v="0"/>
    <n v="5440"/>
    <n v="12282"/>
    <m/>
    <n v="12282"/>
    <m/>
    <n v="44340"/>
    <n v="-23011"/>
    <n v="-72906"/>
    <n v="0"/>
    <n v="0"/>
    <n v="0"/>
    <n v="0"/>
    <n v="0"/>
    <n v="0"/>
    <n v="0"/>
    <n v="0"/>
    <n v="0"/>
    <n v="-51577"/>
    <n v="44340"/>
    <n v="-23011"/>
    <n v="-72906"/>
    <n v="0"/>
    <n v="0"/>
    <n v="0"/>
    <n v="0"/>
    <n v="0"/>
    <n v="0"/>
    <n v="0"/>
    <n v="0"/>
    <n v="0"/>
    <n v="-51577"/>
  </r>
  <r>
    <s v="L-ERP-007"/>
    <x v="2"/>
    <s v="DeHart, Lynn_TRAVEL &amp; ENTERTAINMENT_CE-BTS23000-02-EX-GR"/>
    <s v="ERP"/>
    <s v="Patel, Apurva"/>
    <s v="Patel, Apurva"/>
    <s v="Patel, Apurva"/>
    <s v="Hase, Raj"/>
    <s v="DeHart, Lynn"/>
    <s v="DeHart, Lynn"/>
    <x v="1"/>
    <s v="P322-0008813 - Next Gen Planning &amp; Sched"/>
    <m/>
    <m/>
    <x v="2"/>
    <m/>
    <m/>
    <m/>
    <x v="1"/>
    <m/>
    <m/>
    <n v="0"/>
    <n v="485.43"/>
    <m/>
    <m/>
    <m/>
    <m/>
    <n v="485.43"/>
    <s v=""/>
    <n v="0"/>
    <n v="0"/>
    <n v="0"/>
    <n v="0"/>
    <n v="0"/>
    <n v="0"/>
    <n v="0"/>
    <n v="0"/>
    <n v="485.43"/>
    <n v="0"/>
    <n v="0"/>
    <n v="0"/>
    <n v="0"/>
    <m/>
    <n v="0"/>
    <m/>
    <m/>
    <m/>
    <n v="485.43"/>
    <n v="0"/>
    <n v="0"/>
    <n v="0"/>
    <n v="0"/>
    <n v="0"/>
    <n v="0"/>
    <n v="0"/>
    <n v="0"/>
    <n v="0"/>
    <n v="485.43"/>
    <m/>
    <m/>
    <n v="485.43"/>
    <n v="0"/>
    <n v="0"/>
    <n v="0"/>
    <n v="0"/>
    <n v="0"/>
    <n v="0"/>
    <n v="0"/>
    <n v="0"/>
    <n v="0"/>
    <n v="485.43"/>
  </r>
  <r>
    <s v="L-ERP-370"/>
    <x v="1"/>
    <s v="McCormick, Pete_CONTRACTORS_EnhanceChargeout001"/>
    <s v="ERP"/>
    <s v="Patel, Apurva"/>
    <s v="Dougherty, Chris"/>
    <s v="McCormick, Pete"/>
    <s v="Dougherty, Chris"/>
    <s v="McCormick, Pete"/>
    <s v="Maguire, Karla"/>
    <x v="0"/>
    <s v="Enhance Chargeout Cost Centers"/>
    <m/>
    <m/>
    <x v="1"/>
    <s v="CHW - F/U"/>
    <m/>
    <m/>
    <x v="0"/>
    <m/>
    <m/>
    <n v="-694940"/>
    <n v="-587120.73"/>
    <m/>
    <m/>
    <m/>
    <n v="-20640.86"/>
    <n v="-10639.87"/>
    <n v="148175"/>
    <n v="-155623.00000000006"/>
    <n v="-142264"/>
    <n v="-11640"/>
    <n v="-116400"/>
    <n v="-75000"/>
    <n v="-75000"/>
    <n v="-75000"/>
    <n v="-75000"/>
    <n v="-609032.7300000001"/>
    <n v="-21912.000000000116"/>
    <n v="-6440"/>
    <n v="-135824"/>
    <n v="-43872.000000000058"/>
    <m/>
    <n v="-21912.000000000116"/>
    <m/>
    <m/>
    <n v="-20640.86"/>
    <n v="-10639.87"/>
    <n v="-55600"/>
    <n v="-6440"/>
    <n v="-43800"/>
    <n v="-75000"/>
    <n v="-75000"/>
    <n v="-75000"/>
    <n v="-75000"/>
    <n v="-75000"/>
    <n v="-75000"/>
    <n v="-587120.73"/>
    <m/>
    <n v="-20640.86"/>
    <n v="-10639.87"/>
    <n v="-54600"/>
    <n v="-50000"/>
    <n v="-33840"/>
    <n v="-75000"/>
    <n v="-75000"/>
    <n v="-75000"/>
    <n v="-75000"/>
    <n v="-75000"/>
    <n v="-75000"/>
    <n v="-619720.73"/>
  </r>
  <r>
    <s v="L-ERP-043"/>
    <x v="3"/>
    <s v="DeHart, Lynn_COMPENSATION_CompBenefits001"/>
    <s v="ERP"/>
    <s v="Patel, Apurva"/>
    <s v="Patel, Apurva"/>
    <s v="Patel, Apurva"/>
    <s v="Hase, Raj"/>
    <s v="DeHart, Lynn"/>
    <s v="DeHart, Lynn"/>
    <x v="2"/>
    <s v="Benefits"/>
    <m/>
    <m/>
    <x v="3"/>
    <s v="CHW - Ok"/>
    <s v="N/A"/>
    <m/>
    <x v="0"/>
    <m/>
    <m/>
    <n v="6952243.9899999993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423409.35"/>
    <n v="937161.13"/>
    <n v="426573.21"/>
    <n v="561924.32999999996"/>
    <n v="560912.64000000001"/>
    <n v="576476.29"/>
    <n v="585831.80000000005"/>
    <n v="590499.77"/>
    <n v="590499.77"/>
    <n v="590499.77"/>
    <n v="592897.86"/>
    <n v="592897.86"/>
    <n v="7029583.7799999993"/>
  </r>
  <r>
    <s v="L-ERP-044"/>
    <x v="4"/>
    <s v="DeHart, Lynn_COMPENSATION_CompBonus001"/>
    <s v="ERP"/>
    <s v="Patel, Apurva"/>
    <s v="Patel, Apurva"/>
    <s v="Patel, Apurva"/>
    <s v="Hase, Raj"/>
    <s v="DeHart, Lynn"/>
    <s v="DeHart, Lynn"/>
    <x v="2"/>
    <s v="Bonus"/>
    <m/>
    <m/>
    <x v="4"/>
    <s v="CHW - Ok"/>
    <s v="N/A"/>
    <m/>
    <x v="0"/>
    <m/>
    <m/>
    <n v="2865793.42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195133.21"/>
    <n v="214325.71"/>
    <n v="291685.48"/>
    <n v="233173.12"/>
    <n v="232919.73"/>
    <n v="238777.23"/>
    <n v="240555.68"/>
    <n v="242084.56"/>
    <n v="242084.56"/>
    <n v="242084.56"/>
    <n v="242516.91"/>
    <n v="242516.91"/>
    <n v="2857857.66"/>
  </r>
  <r>
    <s v="L-ERP-444"/>
    <x v="1"/>
    <s v="Meadows, Leslie_CONTRACTORS_EnhanceChargeout001"/>
    <s v="ERP"/>
    <s v="Patel, Apurva"/>
    <s v="Dougherty, Chris"/>
    <s v="Meadows, Leslie"/>
    <s v="Dougherty, Chris"/>
    <s v="Meadows, Leslie"/>
    <s v="Maguire, Karla"/>
    <x v="0"/>
    <s v="Enhance Chargeout Cost Centers"/>
    <m/>
    <m/>
    <x v="1"/>
    <s v="CHW - F/U"/>
    <m/>
    <m/>
    <x v="0"/>
    <s v="KP - ER #'s in Project Code comments"/>
    <m/>
    <n v="0"/>
    <n v="-1440"/>
    <m/>
    <m/>
    <m/>
    <n v="-1440"/>
    <n v="0"/>
    <n v="0"/>
    <n v="0"/>
    <n v="-18000"/>
    <n v="0"/>
    <n v="0"/>
    <n v="0"/>
    <n v="0"/>
    <n v="0"/>
    <n v="0"/>
    <n v="-19440"/>
    <n v="-18000"/>
    <n v="0"/>
    <n v="-18000"/>
    <n v="-18000"/>
    <m/>
    <n v="-18000"/>
    <m/>
    <m/>
    <n v="-1440"/>
    <n v="0"/>
    <n v="0"/>
    <n v="0"/>
    <n v="0"/>
    <n v="0"/>
    <n v="0"/>
    <n v="0"/>
    <n v="0"/>
    <n v="0"/>
    <n v="0"/>
    <n v="-1440"/>
    <m/>
    <n v="-1440"/>
    <n v="0"/>
    <n v="0"/>
    <n v="0"/>
    <n v="0"/>
    <n v="0"/>
    <n v="0"/>
    <n v="0"/>
    <n v="0"/>
    <n v="0"/>
    <n v="0"/>
    <n v="-1440"/>
  </r>
  <r>
    <s v="L-ERP-046"/>
    <x v="5"/>
    <s v="DeHart, Lynn_DEPRECIATION_ERP_Depre001"/>
    <s v="ERP"/>
    <s v="Patel, Apurva"/>
    <s v="Patel, Apurva"/>
    <s v="Patel, Apurva"/>
    <s v="Hase, Raj"/>
    <s v="DeHart, Lynn"/>
    <s v="DeHart, Lynn"/>
    <x v="3"/>
    <s v="ERP Activated Assets"/>
    <m/>
    <m/>
    <x v="5"/>
    <m/>
    <s v="N/A"/>
    <m/>
    <x v="0"/>
    <s v="5/18/26 CHW - Updated "/>
    <m/>
    <n v="0"/>
    <n v="19503"/>
    <m/>
    <m/>
    <n v="336"/>
    <n v="337"/>
    <n v="1883"/>
    <n v="852.00000000000011"/>
    <n v="1823.6399999999999"/>
    <n v="1823.62"/>
    <n v="1883"/>
    <n v="1883"/>
    <n v="1883"/>
    <n v="1883"/>
    <n v="1883"/>
    <n v="1883"/>
    <n v="18353.259999999998"/>
    <n v="-1149.7400000000016"/>
    <n v="1883"/>
    <n v="-59.380000000000109"/>
    <n v="-1149.7400000000007"/>
    <m/>
    <n v="-1149.7400000000016"/>
    <m/>
    <n v="336"/>
    <n v="337"/>
    <n v="1883"/>
    <n v="1883"/>
    <n v="1883"/>
    <n v="1883"/>
    <n v="1883"/>
    <n v="1883"/>
    <n v="1883"/>
    <n v="1883"/>
    <n v="1883"/>
    <n v="1883"/>
    <n v="19503"/>
    <n v="336"/>
    <n v="337"/>
    <n v="1883"/>
    <n v="0"/>
    <n v="0"/>
    <n v="0"/>
    <n v="0"/>
    <n v="0"/>
    <n v="0"/>
    <n v="0"/>
    <n v="0"/>
    <n v="0"/>
    <n v="2556"/>
  </r>
  <r>
    <s v="L-ERP-473"/>
    <x v="1"/>
    <s v="Patel, Nikunj Rohitkumar_CONTRACTORS_EnhanceChargeout001"/>
    <s v="ERP"/>
    <s v="Patel, Apurva"/>
    <s v="Dougherty, Chris"/>
    <s v="Patel, Nikunj Rohitkumar"/>
    <s v="Dougherty, Chris"/>
    <s v="Patel, Nikunj Rohitkumar"/>
    <s v="Maguire, Karla"/>
    <x v="0"/>
    <s v="Enhance Chargeout Cost Centers"/>
    <m/>
    <m/>
    <x v="1"/>
    <s v="CHW - F/U"/>
    <m/>
    <m/>
    <x v="0"/>
    <s v="KP - Where would i be able to get more details on this? Please advise. thank you"/>
    <m/>
    <n v="0"/>
    <n v="-68766"/>
    <m/>
    <m/>
    <m/>
    <n v="-57216"/>
    <n v="-11550"/>
    <s v=""/>
    <n v="0"/>
    <n v="0"/>
    <n v="0"/>
    <n v="0"/>
    <n v="0"/>
    <n v="0"/>
    <n v="0"/>
    <n v="0"/>
    <n v="-68766"/>
    <n v="0"/>
    <n v="0"/>
    <n v="0"/>
    <n v="0"/>
    <m/>
    <n v="0"/>
    <m/>
    <m/>
    <n v="-57216"/>
    <n v="-11550"/>
    <n v="0"/>
    <n v="0"/>
    <n v="0"/>
    <n v="0"/>
    <n v="0"/>
    <n v="0"/>
    <n v="0"/>
    <n v="0"/>
    <n v="0"/>
    <n v="-68766"/>
    <m/>
    <n v="-57216"/>
    <n v="-11550"/>
    <n v="0"/>
    <n v="0"/>
    <n v="0"/>
    <n v="0"/>
    <n v="0"/>
    <n v="0"/>
    <n v="0"/>
    <n v="0"/>
    <n v="0"/>
    <n v="-68766"/>
  </r>
  <r>
    <s v="ERP-026"/>
    <x v="1"/>
    <s v="Tamavada, Ram_CONTRACTORS_EnhanceChargeout001"/>
    <s v="ERP"/>
    <s v="Patel, Apurva"/>
    <s v="Dougherty, Chris"/>
    <s v="Tamavada, Ram"/>
    <s v="Dougherty, Chris"/>
    <s v="Tamavada, Ram"/>
    <s v="Tamavada, Ram"/>
    <x v="0"/>
    <s v="SAP SECURITY CLIENT PROJECTS-IBM"/>
    <s v="IBM"/>
    <s v="2339537"/>
    <x v="1"/>
    <m/>
    <m/>
    <m/>
    <x v="2"/>
    <m/>
    <m/>
    <m/>
    <m/>
    <m/>
    <m/>
    <m/>
    <m/>
    <m/>
    <n v="24147"/>
    <n v="-46130"/>
    <n v="-215360"/>
    <m/>
    <m/>
    <m/>
    <m/>
    <m/>
    <m/>
    <n v="-237343"/>
    <n v="-237343"/>
    <m/>
    <n v="-215360"/>
    <n v="-237343"/>
    <m/>
    <n v="-237343"/>
    <m/>
    <m/>
    <m/>
    <m/>
    <m/>
    <m/>
    <m/>
    <m/>
    <m/>
    <m/>
    <m/>
    <m/>
    <m/>
    <m/>
    <m/>
    <m/>
    <m/>
    <m/>
    <m/>
    <m/>
    <m/>
    <m/>
    <m/>
    <m/>
    <m/>
    <m/>
    <m/>
  </r>
  <r>
    <s v="ERP-037"/>
    <x v="6"/>
    <s v="Dougherty, Chris_CONTRACTORS_EP&amp;SCharges001"/>
    <s v="ERP"/>
    <s v="Patel, Apurva"/>
    <s v="Dougherty, Chris"/>
    <s v="Dougherty, Chris"/>
    <s v="Dougherty, Chris"/>
    <s v="Dougherty, Chris"/>
    <s v="Dougherty, Chris"/>
    <x v="0"/>
    <s v="DIGITAL-CITRIX-APPSTREAMING"/>
    <m/>
    <s v="2321402"/>
    <x v="6"/>
    <m/>
    <m/>
    <m/>
    <x v="2"/>
    <m/>
    <m/>
    <m/>
    <m/>
    <m/>
    <m/>
    <m/>
    <m/>
    <m/>
    <m/>
    <n v="550"/>
    <n v="0"/>
    <m/>
    <m/>
    <m/>
    <m/>
    <m/>
    <m/>
    <n v="550"/>
    <n v="550"/>
    <m/>
    <n v="0"/>
    <n v="550"/>
    <m/>
    <n v="550"/>
    <m/>
    <m/>
    <m/>
    <m/>
    <m/>
    <m/>
    <m/>
    <m/>
    <m/>
    <m/>
    <m/>
    <m/>
    <m/>
    <m/>
    <m/>
    <m/>
    <m/>
    <m/>
    <m/>
    <m/>
    <m/>
    <m/>
    <m/>
    <m/>
    <m/>
    <m/>
    <m/>
  </r>
  <r>
    <s v="L-ERP-518"/>
    <x v="6"/>
    <s v="Tamavada, Ram_CONTRACTORS_EP&amp;SCharges001"/>
    <s v="ERP"/>
    <s v="Patel, Apurva"/>
    <s v="Dougherty, Chris"/>
    <s v="Tamavada, Ram"/>
    <s v="Dougherty, Chris"/>
    <s v="Tamavada, Ram"/>
    <s v="Maguire, Karla"/>
    <x v="0"/>
    <s v="Infrastructure Billing Charges"/>
    <m/>
    <m/>
    <x v="6"/>
    <s v="CHW - Ok"/>
    <s v="N/A"/>
    <m/>
    <x v="3"/>
    <m/>
    <m/>
    <n v="0"/>
    <n v="1080"/>
    <m/>
    <m/>
    <n v="360"/>
    <n v="360"/>
    <n v="360"/>
    <n v="0"/>
    <n v="0"/>
    <n v="0"/>
    <n v="0"/>
    <n v="0"/>
    <n v="0"/>
    <n v="0"/>
    <n v="0"/>
    <n v="0"/>
    <n v="1080"/>
    <n v="0"/>
    <n v="0"/>
    <n v="0"/>
    <n v="0"/>
    <m/>
    <n v="0"/>
    <m/>
    <n v="360"/>
    <n v="360"/>
    <n v="360"/>
    <n v="0"/>
    <n v="0"/>
    <n v="0"/>
    <n v="0"/>
    <n v="0"/>
    <n v="0"/>
    <n v="0"/>
    <n v="0"/>
    <n v="0"/>
    <n v="1080"/>
    <n v="360"/>
    <n v="360"/>
    <n v="360"/>
    <n v="0"/>
    <n v="0"/>
    <n v="0"/>
    <n v="0"/>
    <n v="0"/>
    <n v="0"/>
    <n v="0"/>
    <n v="0"/>
    <n v="0"/>
    <n v="1080"/>
  </r>
  <r>
    <s v="L-ERP-439"/>
    <x v="7"/>
    <s v="Meadows, Leslie_CONTRACTORS_IT-CTR0044-OG-US-00"/>
    <s v="ERP"/>
    <s v="Patel, Apurva"/>
    <s v="Dougherty, Chris"/>
    <s v="Meadows, Leslie"/>
    <s v="Dougherty, Chris"/>
    <s v="Meadows, Leslie"/>
    <s v="Maguire, Karla"/>
    <x v="0"/>
    <s v="SSCS Services (Karla)_XFR0954 &amp; XFR0934 &amp; XFR0932 &amp; XFR0913 &amp; XFR0940 &amp; XFR0941"/>
    <m/>
    <m/>
    <x v="7"/>
    <m/>
    <m/>
    <m/>
    <x v="0"/>
    <m/>
    <m/>
    <n v="551723.03999999992"/>
    <n v="460642"/>
    <m/>
    <m/>
    <m/>
    <m/>
    <m/>
    <n v="0"/>
    <n v="29102.65"/>
    <n v="67355.899999999994"/>
    <n v="58020"/>
    <n v="58020"/>
    <n v="62525"/>
    <n v="48020"/>
    <n v="42525"/>
    <n v="34020"/>
    <n v="399588.55"/>
    <n v="-61053.450000000012"/>
    <n v="141912"/>
    <n v="-74556.100000000006"/>
    <n v="-131967.45000000001"/>
    <n v="-91081"/>
    <n v="30027.549999999988"/>
    <s v="testing factory adjustment"/>
    <m/>
    <m/>
    <m/>
    <n v="36666"/>
    <n v="141912"/>
    <n v="49848"/>
    <n v="40857"/>
    <n v="40681"/>
    <n v="37645"/>
    <n v="37694"/>
    <n v="37645"/>
    <n v="37694"/>
    <n v="460642"/>
    <m/>
    <m/>
    <m/>
    <n v="61303"/>
    <n v="61303"/>
    <n v="61303"/>
    <n v="61303"/>
    <n v="61303"/>
    <n v="61303"/>
    <n v="61303"/>
    <n v="61303"/>
    <n v="61303"/>
    <n v="551727"/>
  </r>
  <r>
    <s v="L-ERP-323"/>
    <x v="8"/>
    <s v="Maguire, Karla_CONTRACTORS_IT-CTR0067-OG-CR-00"/>
    <s v="ERP"/>
    <s v="Patel, Apurva"/>
    <s v="Dougherty, Chris"/>
    <s v="Dougherty, Chris"/>
    <s v="Dougherty, Chris"/>
    <s v="Maguire, Karla"/>
    <s v="Maguire, Karla"/>
    <x v="0"/>
    <s v="*RonMendler*_EPS203076 - Edicom CR Recepcion Enero-Diciembre 2025"/>
    <m/>
    <m/>
    <x v="8"/>
    <m/>
    <m/>
    <m/>
    <x v="0"/>
    <m/>
    <m/>
    <n v="0"/>
    <n v="214.49"/>
    <m/>
    <m/>
    <n v="215.71"/>
    <n v="-1.22"/>
    <n v="0"/>
    <s v=""/>
    <n v="0"/>
    <n v="0"/>
    <n v="0"/>
    <n v="0"/>
    <n v="0"/>
    <n v="0"/>
    <n v="0"/>
    <n v="0"/>
    <n v="214.49"/>
    <n v="0"/>
    <n v="0"/>
    <n v="0"/>
    <n v="0"/>
    <m/>
    <n v="0"/>
    <m/>
    <n v="215.71"/>
    <n v="-1.22"/>
    <n v="0"/>
    <n v="0"/>
    <n v="0"/>
    <n v="0"/>
    <n v="0"/>
    <n v="0"/>
    <n v="0"/>
    <n v="0"/>
    <n v="0"/>
    <n v="0"/>
    <n v="214.49"/>
    <n v="215.71"/>
    <n v="-1.22"/>
    <n v="0"/>
    <n v="0"/>
    <n v="0"/>
    <n v="0"/>
    <n v="0"/>
    <n v="0"/>
    <n v="0"/>
    <n v="0"/>
    <n v="0"/>
    <n v="0"/>
    <n v="214.49"/>
  </r>
  <r>
    <s v="L-ERP-348"/>
    <x v="9"/>
    <s v="McCormick, Pete_CONTRACTORS_IT-CTR0093-OG-US-00"/>
    <s v="ERP"/>
    <s v="Patel, Apurva"/>
    <s v="Dougherty, Chris"/>
    <s v="McCormick, Pete"/>
    <s v="Dougherty, Chris"/>
    <s v="McCormick, Pete"/>
    <s v="Maguire, Karla"/>
    <x v="0"/>
    <s v="SAP Platform Engineers (Judge)"/>
    <m/>
    <s v="2329614"/>
    <x v="9"/>
    <m/>
    <s v="Multiple"/>
    <m/>
    <x v="4"/>
    <m/>
    <m/>
    <n v="345518.86"/>
    <n v="345670.24"/>
    <m/>
    <m/>
    <n v="35812"/>
    <n v="40109.440000000002"/>
    <n v="50136.800000000003"/>
    <n v="40109.449999999997"/>
    <n v="40109.449999999997"/>
    <n v="29136.779999999995"/>
    <n v="22297"/>
    <n v="19127"/>
    <n v="19127"/>
    <n v="19127"/>
    <n v="19127"/>
    <n v="19127"/>
    <n v="353345.92000000004"/>
    <n v="7675.6800000000512"/>
    <n v="28897"/>
    <n v="239.7799999999952"/>
    <n v="11561.680000000022"/>
    <m/>
    <n v="7675.6800000000512"/>
    <m/>
    <n v="35812"/>
    <n v="40109.440000000002"/>
    <n v="50136.800000000003"/>
    <n v="40000"/>
    <n v="28897"/>
    <n v="28897"/>
    <n v="23013"/>
    <n v="22297"/>
    <n v="19127"/>
    <n v="19127"/>
    <n v="19127"/>
    <n v="19127"/>
    <n v="345670.24"/>
    <n v="35812"/>
    <n v="40109.440000000002"/>
    <n v="50136.800000000003"/>
    <n v="40000"/>
    <n v="28897"/>
    <n v="28897"/>
    <n v="23013"/>
    <n v="22297"/>
    <n v="22297"/>
    <n v="22297"/>
    <n v="22297"/>
    <n v="22297"/>
    <n v="358350.24"/>
  </r>
  <r>
    <s v="L-ERP-108"/>
    <x v="10"/>
    <s v="Dougherty, Chris_CONTRACTORS_IT-CTR0094-OG-US-00"/>
    <s v="ERP"/>
    <s v="Patel, Apurva"/>
    <s v="Dougherty, Chris"/>
    <s v="Dougherty, Chris"/>
    <s v="Dougherty, Chris"/>
    <s v="Dougherty, Chris"/>
    <s v="Maguire, Karla"/>
    <x v="0"/>
    <s v="BPAI Axway B2Bi - L4 Engineer (ML-0024)"/>
    <s v="åŒ—äº¬å¾®ç§‘ç§‘æŠ€æœ‰é™å…¬å¸"/>
    <s v="2137469"/>
    <x v="10"/>
    <m/>
    <s v="9501146792"/>
    <m/>
    <x v="5"/>
    <m/>
    <m/>
    <n v="216000"/>
    <n v="197423.06"/>
    <m/>
    <m/>
    <n v="14166"/>
    <n v="18835.37"/>
    <n v="16863.689999999999"/>
    <n v="15866.15"/>
    <n v="15866.160000000003"/>
    <n v="19832.689999999999"/>
    <n v="17000"/>
    <n v="17000"/>
    <n v="17000"/>
    <n v="17000"/>
    <n v="17000"/>
    <n v="17000"/>
    <n v="203430.06"/>
    <n v="6007"/>
    <n v="17000"/>
    <n v="2832.6899999999987"/>
    <n v="6007"/>
    <m/>
    <n v="6007"/>
    <m/>
    <n v="14166"/>
    <n v="18835.37"/>
    <n v="16863.689999999999"/>
    <n v="11558"/>
    <n v="17000"/>
    <n v="17000"/>
    <n v="17000"/>
    <n v="17000"/>
    <n v="17000"/>
    <n v="17000"/>
    <n v="17000"/>
    <n v="17000"/>
    <n v="197423.06"/>
    <n v="14166"/>
    <n v="18835.37"/>
    <n v="16863.689999999999"/>
    <n v="18000"/>
    <n v="18000"/>
    <n v="18000"/>
    <n v="18000"/>
    <n v="18000"/>
    <n v="18000"/>
    <n v="18000"/>
    <n v="18000"/>
    <n v="18000"/>
    <n v="211865.06"/>
  </r>
  <r>
    <s v="L-ERP-109"/>
    <x v="11"/>
    <s v="Dougherty, Chris_CONTRACTORS_IT-CTR0096-OG-US-00"/>
    <s v="ERP"/>
    <s v="Patel, Apurva"/>
    <s v="Dougherty, Chris"/>
    <s v="Dougherty, Chris"/>
    <s v="Dougherty, Chris"/>
    <s v="Dougherty, Chris"/>
    <s v="Maguire, Karla"/>
    <x v="0"/>
    <s v="SAP PI L4 Engineer"/>
    <s v="MPHASIS CORPORATION"/>
    <s v="2321402"/>
    <x v="11"/>
    <m/>
    <s v="9501172399"/>
    <m/>
    <x v="5"/>
    <m/>
    <m/>
    <n v="237888"/>
    <n v="236045.4"/>
    <m/>
    <m/>
    <n v="16372"/>
    <n v="18336.62"/>
    <n v="22920.78"/>
    <n v="18336.629999999997"/>
    <n v="18336.63"/>
    <n v="22920.78"/>
    <n v="19824"/>
    <n v="19824"/>
    <n v="19824"/>
    <n v="19824"/>
    <n v="19824"/>
    <n v="19824"/>
    <n v="236167.44"/>
    <n v="122.04000000000815"/>
    <n v="19824"/>
    <n v="3096.7799999999988"/>
    <n v="122.04000000000815"/>
    <m/>
    <n v="122.04000000000815"/>
    <m/>
    <n v="16372"/>
    <n v="18336.62"/>
    <n v="22920.78"/>
    <n v="19824"/>
    <n v="19824"/>
    <n v="19824"/>
    <n v="19824"/>
    <n v="19824"/>
    <n v="19824"/>
    <n v="19824"/>
    <n v="19824"/>
    <n v="19824"/>
    <n v="236045.4"/>
    <n v="16372"/>
    <n v="18336.62"/>
    <n v="22920.78"/>
    <n v="19824"/>
    <n v="19824"/>
    <n v="19824"/>
    <n v="19824"/>
    <n v="19824"/>
    <n v="19824"/>
    <n v="19824"/>
    <n v="19824"/>
    <n v="19824"/>
    <n v="236045.4"/>
  </r>
  <r>
    <s v="L-ERP-050"/>
    <x v="12"/>
    <s v="Dougherty, Chris_CONTRACTORS_IT-CTR0097-OG-US-00"/>
    <s v="ERP"/>
    <s v="Patel, Apurva"/>
    <s v="Dougherty, Chris"/>
    <s v="Dougherty, Chris"/>
    <s v="Dougherty, Chris"/>
    <s v="Dougherty, Chris"/>
    <s v="Maguire, Karla"/>
    <x v="0"/>
    <s v="BPAI IBM B2Bi - GMFT L4 Engineer (ML-0738)"/>
    <s v="JUDGE TECHNICAL STAFFING"/>
    <s v="2321402"/>
    <x v="12"/>
    <m/>
    <s v="9501146194"/>
    <m/>
    <x v="4"/>
    <m/>
    <m/>
    <n v="230004"/>
    <n v="211390.3"/>
    <m/>
    <m/>
    <n v="14973"/>
    <n v="18162.759999999998"/>
    <n v="19567.54"/>
    <n v="16769.23"/>
    <n v="16769.23"/>
    <n v="-21713.759999999998"/>
    <n v="17440"/>
    <n v="17440"/>
    <n v="17440"/>
    <n v="17440"/>
    <n v="17440"/>
    <n v="17440"/>
    <n v="169168"/>
    <n v="-42222.299999999988"/>
    <n v="17440"/>
    <n v="-39153.759999999995"/>
    <n v="-42222.299999999988"/>
    <m/>
    <n v="-42222.299999999988"/>
    <m/>
    <n v="14973"/>
    <n v="18162.759999999998"/>
    <n v="19567.54"/>
    <n v="19167"/>
    <n v="17440"/>
    <n v="17440"/>
    <n v="17440"/>
    <n v="17440"/>
    <n v="17440"/>
    <n v="17440"/>
    <n v="17440"/>
    <n v="17440"/>
    <n v="211390.3"/>
    <n v="14973"/>
    <n v="18162.759999999998"/>
    <n v="19567.54"/>
    <n v="19167"/>
    <n v="19167"/>
    <n v="19167"/>
    <n v="19167"/>
    <n v="19167"/>
    <n v="19167"/>
    <n v="19167"/>
    <n v="19167"/>
    <n v="19167"/>
    <n v="225206.3"/>
  </r>
  <r>
    <s v="L-ERP-051"/>
    <x v="13"/>
    <s v="Dougherty, Chris_CONTRACTORS_IT-CTR0098-OG-US-00"/>
    <s v="ERP"/>
    <s v="Patel, Apurva"/>
    <s v="Dougherty, Chris"/>
    <s v="Dougherty, Chris"/>
    <s v="Dougherty, Chris"/>
    <s v="Dougherty, Chris"/>
    <s v="Maguire, Karla"/>
    <x v="0"/>
    <s v="BPAI IBM B2Bi - EDI L4 Engineer (ML-0728)"/>
    <s v="COMBINED COMPUTER RESOURCES INC"/>
    <s v="2321402"/>
    <x v="13"/>
    <m/>
    <s v="9501146188"/>
    <m/>
    <x v="4"/>
    <m/>
    <m/>
    <n v="187200"/>
    <n v="185657.15"/>
    <m/>
    <m/>
    <n v="12857"/>
    <n v="18823.150000000001"/>
    <n v="13577"/>
    <n v="14400"/>
    <n v="17263"/>
    <n v="36956.74"/>
    <n v="15600"/>
    <n v="15600"/>
    <n v="15600"/>
    <n v="15600"/>
    <n v="15600"/>
    <n v="15600"/>
    <n v="207476.88999999998"/>
    <n v="21819.739999999991"/>
    <n v="15600"/>
    <n v="21356.739999999998"/>
    <n v="21819.739999999991"/>
    <m/>
    <n v="21819.739999999991"/>
    <m/>
    <n v="12857"/>
    <n v="18823.150000000001"/>
    <n v="13577"/>
    <n v="15600"/>
    <n v="15600"/>
    <n v="15600"/>
    <n v="15600"/>
    <n v="15600"/>
    <n v="15600"/>
    <n v="15600"/>
    <n v="15600"/>
    <n v="15600"/>
    <n v="185657.15"/>
    <n v="12857"/>
    <n v="18823.150000000001"/>
    <n v="13577"/>
    <n v="15600"/>
    <n v="15600"/>
    <n v="15600"/>
    <n v="15600"/>
    <n v="15600"/>
    <n v="15600"/>
    <n v="15600"/>
    <n v="15600"/>
    <n v="15600"/>
    <n v="185657.15"/>
  </r>
  <r>
    <s v="L-ERP-052"/>
    <x v="14"/>
    <s v="Dougherty, Chris_CONTRACTORS_IT-CTR0099-OG-US-00"/>
    <s v="ERP"/>
    <s v="Patel, Apurva"/>
    <s v="Dougherty, Chris"/>
    <s v="Dougherty, Chris"/>
    <s v="Dougherty, Chris"/>
    <s v="Dougherty, Chris"/>
    <s v="Maguire, Karla"/>
    <x v="0"/>
    <s v="BPAI MQ/MB - L4 Engineer (ML-0730)"/>
    <s v="ACCENTURE LLP"/>
    <s v="2321402"/>
    <x v="14"/>
    <m/>
    <s v="9501155447"/>
    <m/>
    <x v="4"/>
    <m/>
    <m/>
    <n v="141310.95000000001"/>
    <n v="132735.51"/>
    <m/>
    <m/>
    <n v="9654"/>
    <n v="14825.74"/>
    <n v="12851.77"/>
    <n v="7463.62"/>
    <n v="16343.609999999997"/>
    <n v="13997.279999999999"/>
    <n v="6534"/>
    <n v="6534"/>
    <n v="6534"/>
    <n v="6534"/>
    <n v="6534"/>
    <n v="6534"/>
    <n v="114340.01999999999"/>
    <n v="-18395.49000000002"/>
    <n v="10718"/>
    <n v="3279.2799999999988"/>
    <n v="5554.5099999999948"/>
    <m/>
    <n v="-18395.49000000002"/>
    <m/>
    <n v="9654"/>
    <n v="14825.74"/>
    <n v="12851.77"/>
    <n v="11942"/>
    <n v="10718"/>
    <n v="9590"/>
    <n v="9590"/>
    <n v="10718"/>
    <n v="11090"/>
    <n v="11090"/>
    <n v="9590"/>
    <n v="11076"/>
    <n v="132735.51"/>
    <n v="9654"/>
    <n v="14825.74"/>
    <n v="12851.77"/>
    <n v="10870.45"/>
    <n v="11986"/>
    <n v="11986"/>
    <n v="11986"/>
    <n v="11986"/>
    <n v="11986"/>
    <n v="11986"/>
    <n v="11986"/>
    <n v="11986"/>
    <n v="144089.96"/>
  </r>
  <r>
    <s v="L-ERP-081"/>
    <x v="15"/>
    <s v="Dougherty, Chris_CONTRACTORS_IT-CTR0101-OG-US-00"/>
    <s v="ERP"/>
    <s v="Patel, Apurva"/>
    <s v="Dougherty, Chris"/>
    <s v="Dougherty, Chris"/>
    <s v="Dougherty, Chris"/>
    <s v="Dougherty, Chris"/>
    <s v="Maguire, Karla"/>
    <x v="0"/>
    <s v="BPAI IBM B2Bi - GMFT L4 Engineer (ML-0732)"/>
    <s v="INFOSYS LIMITED"/>
    <s v="2321402"/>
    <x v="15"/>
    <m/>
    <s v="9501140303"/>
    <m/>
    <x v="0"/>
    <m/>
    <m/>
    <n v="97500"/>
    <n v="90751.67"/>
    <m/>
    <m/>
    <n v="10704.42"/>
    <n v="11988.8"/>
    <n v="9558.4500000000007"/>
    <n v="6923.07"/>
    <n v="8819.08"/>
    <n v="6012.1100000000006"/>
    <n v="6000"/>
    <n v="6000"/>
    <n v="6000"/>
    <n v="7500"/>
    <n v="7500"/>
    <n v="7500"/>
    <n v="94505.930000000008"/>
    <n v="3754.2600000000093"/>
    <n v="6000"/>
    <n v="12.110000000000582"/>
    <n v="3754.2600000000093"/>
    <m/>
    <n v="3754.2600000000093"/>
    <m/>
    <n v="10704.42"/>
    <n v="11988.8"/>
    <n v="9558.4500000000007"/>
    <n v="6000"/>
    <n v="6000"/>
    <n v="6000"/>
    <n v="6000"/>
    <n v="6000"/>
    <n v="6000"/>
    <n v="7500"/>
    <n v="7500"/>
    <n v="7500"/>
    <n v="90751.67"/>
    <n v="10704.42"/>
    <n v="11988.8"/>
    <n v="9558.4500000000007"/>
    <n v="8125"/>
    <n v="8125"/>
    <n v="8125"/>
    <n v="8125"/>
    <n v="8125"/>
    <n v="8125"/>
    <n v="8125"/>
    <n v="8125"/>
    <n v="8125"/>
    <n v="105376.67"/>
  </r>
  <r>
    <s v="L-ERP-082"/>
    <x v="16"/>
    <s v="Dougherty, Chris_CONTRACTORS_IT-CTR0102-OG-US-00"/>
    <s v="ERP"/>
    <s v="Patel, Apurva"/>
    <s v="Dougherty, Chris"/>
    <s v="Dougherty, Chris"/>
    <s v="Dougherty, Chris"/>
    <s v="Dougherty, Chris"/>
    <s v="Maguire, Karla"/>
    <x v="0"/>
    <s v="BPAI AutoSys/UC4 - L4 Engineer (ML-0733)"/>
    <s v="INFOSYS LIMITED"/>
    <s v="2321402"/>
    <x v="16"/>
    <m/>
    <s v="9501145077"/>
    <m/>
    <x v="0"/>
    <m/>
    <m/>
    <n v="107910"/>
    <n v="99679.13"/>
    <m/>
    <m/>
    <n v="6841"/>
    <n v="9759.2000000000007"/>
    <n v="7478.93"/>
    <n v="7661.53"/>
    <n v="9759.5400000000009"/>
    <n v="8299.7900000000009"/>
    <n v="8300"/>
    <n v="8300"/>
    <n v="8300"/>
    <n v="8300"/>
    <n v="8300"/>
    <n v="8300"/>
    <n v="99599.989999999991"/>
    <n v="-79.14000000001397"/>
    <n v="8400"/>
    <n v="-100.20999999999913"/>
    <n v="520.85999999999331"/>
    <m/>
    <n v="-79.14000000001397"/>
    <m/>
    <n v="6841"/>
    <n v="9759.2000000000007"/>
    <n v="7478.93"/>
    <n v="8400"/>
    <n v="8400"/>
    <n v="8400"/>
    <n v="8400"/>
    <n v="8400"/>
    <n v="8400"/>
    <n v="8400"/>
    <n v="8400"/>
    <n v="8400"/>
    <n v="99679.13"/>
    <n v="6841"/>
    <n v="9759.2000000000007"/>
    <n v="7478.93"/>
    <n v="8992.5"/>
    <n v="8992.5"/>
    <n v="8992.5"/>
    <n v="8992.5"/>
    <n v="8992.5"/>
    <n v="8992.5"/>
    <n v="8992.5"/>
    <n v="8992.5"/>
    <n v="8992.5"/>
    <n v="105011.63"/>
  </r>
  <r>
    <s v="L-ERP-083"/>
    <x v="17"/>
    <s v="Dougherty, Chris_CONTRACTORS_IT-CTR0103-OG-US-00"/>
    <s v="ERP"/>
    <s v="Patel, Apurva"/>
    <s v="Dougherty, Chris"/>
    <s v="Dougherty, Chris"/>
    <s v="Dougherty, Chris"/>
    <s v="Dougherty, Chris"/>
    <s v="Maguire, Karla"/>
    <x v="0"/>
    <s v="BPAI Cross-Functional Audit Specialist (ML-0735)"/>
    <s v="JUDGE TECHNICAL STAFFING"/>
    <s v="2321402"/>
    <x v="17"/>
    <m/>
    <s v="9501145076"/>
    <m/>
    <x v="0"/>
    <m/>
    <m/>
    <n v="87360"/>
    <n v="83873.7"/>
    <m/>
    <m/>
    <n v="11538"/>
    <n v="8258.77"/>
    <n v="1796.93"/>
    <n v="5175.54"/>
    <n v="10565.529999999999"/>
    <n v="3972.9300000000003"/>
    <n v="7000"/>
    <n v="7000"/>
    <n v="7000"/>
    <n v="7000"/>
    <n v="7000"/>
    <n v="7000"/>
    <n v="83307.700000000012"/>
    <n v="-565.99999999998545"/>
    <n v="7000"/>
    <n v="-3027.0699999999997"/>
    <n v="-285.99999999999272"/>
    <m/>
    <n v="-565.99999999998545"/>
    <m/>
    <n v="11538"/>
    <n v="8258.77"/>
    <n v="1796.93"/>
    <n v="6000"/>
    <n v="7000"/>
    <n v="7000"/>
    <n v="7000"/>
    <n v="7000"/>
    <n v="7000"/>
    <n v="7000"/>
    <n v="7000"/>
    <n v="7280"/>
    <n v="83873.7"/>
    <n v="11538"/>
    <n v="8258.77"/>
    <n v="1796.93"/>
    <n v="7280"/>
    <n v="7280"/>
    <n v="7280"/>
    <n v="7280"/>
    <n v="7280"/>
    <n v="7280"/>
    <n v="7280"/>
    <n v="7280"/>
    <n v="7280"/>
    <n v="87113.7"/>
  </r>
  <r>
    <s v="L-ERP-440"/>
    <x v="18"/>
    <s v="Meadows, Leslie_CONTRACTORS_IT-CTR0105-OG-US-00"/>
    <s v="ERP"/>
    <s v="Patel, Apurva"/>
    <s v="Dougherty, Chris"/>
    <s v="Meadows, Leslie"/>
    <s v="Dougherty, Chris"/>
    <s v="Meadows, Leslie"/>
    <s v="Maguire, Karla"/>
    <x v="0"/>
    <s v="Chargeback / ERP Change Management Solution PA APP"/>
    <m/>
    <m/>
    <x v="18"/>
    <m/>
    <s v="N"/>
    <m/>
    <x v="0"/>
    <s v="KP - 'Services Discontinued as per Leslie."/>
    <m/>
    <n v="750"/>
    <n v="0"/>
    <m/>
    <m/>
    <m/>
    <m/>
    <m/>
    <s v=""/>
    <n v="0"/>
    <n v="0"/>
    <m/>
    <m/>
    <m/>
    <m/>
    <m/>
    <m/>
    <n v="0"/>
    <n v="0"/>
    <m/>
    <n v="0"/>
    <n v="0"/>
    <n v="-750"/>
    <n v="750"/>
    <s v="Services Discontinued as per Leslie - Kinjal"/>
    <m/>
    <m/>
    <m/>
    <m/>
    <m/>
    <m/>
    <m/>
    <m/>
    <m/>
    <m/>
    <m/>
    <m/>
    <n v="0"/>
    <m/>
    <m/>
    <m/>
    <n v="62.5"/>
    <n v="62.5"/>
    <n v="62.5"/>
    <n v="62.5"/>
    <n v="62.5"/>
    <n v="62.5"/>
    <n v="62.5"/>
    <n v="62.5"/>
    <n v="62.5"/>
    <n v="562.5"/>
  </r>
  <r>
    <s v="L-ERP-366"/>
    <x v="19"/>
    <s v="McCormick, Pete_CONTRACTORS_IT-CTR0130-OG-US-00"/>
    <s v="ERP"/>
    <s v="Patel, Apurva"/>
    <s v="Dougherty, Chris"/>
    <s v="McCormick, Pete"/>
    <s v="Dougherty, Chris"/>
    <s v="McCormick, Pete"/>
    <s v="Maguire, Karla"/>
    <x v="0"/>
    <s v="SAP Basis Engineering Projects (IBM)"/>
    <m/>
    <s v="2329614"/>
    <x v="19"/>
    <m/>
    <s v="9501143253"/>
    <m/>
    <x v="0"/>
    <s v="PO 9501143253 ($357k)"/>
    <m/>
    <n v="357000"/>
    <n v="356999.8"/>
    <m/>
    <m/>
    <n v="24570"/>
    <n v="27517.439999999999"/>
    <n v="34397.360000000001"/>
    <n v="27517.89"/>
    <n v="27517.89"/>
    <n v="34397.360000000001"/>
    <n v="29750"/>
    <n v="29750"/>
    <n v="37050"/>
    <n v="29750"/>
    <n v="29750"/>
    <n v="29750"/>
    <n v="361717.94"/>
    <n v="4718.140000000014"/>
    <n v="29750"/>
    <n v="4647.3600000000006"/>
    <n v="-2581.859999999986"/>
    <m/>
    <n v="4718.140000000014"/>
    <m/>
    <n v="24570"/>
    <n v="27517.439999999999"/>
    <n v="34397.360000000001"/>
    <n v="32515"/>
    <n v="29750"/>
    <n v="29750"/>
    <n v="29750"/>
    <n v="29750"/>
    <n v="29750"/>
    <n v="29750"/>
    <n v="29750"/>
    <n v="29750"/>
    <n v="356999.8"/>
    <n v="24570"/>
    <n v="27517.439999999999"/>
    <n v="34397.360000000001"/>
    <n v="37163"/>
    <n v="29750"/>
    <n v="29750"/>
    <n v="29750"/>
    <n v="29750"/>
    <n v="29750"/>
    <n v="29750"/>
    <n v="29750"/>
    <n v="29750"/>
    <n v="361647.8"/>
  </r>
  <r>
    <s v="L-ERP-084"/>
    <x v="20"/>
    <s v="Dougherty, Chris_CONTRACTORS_IT-CTR0132-OT-US-00"/>
    <s v="ERP"/>
    <s v="Patel, Apurva"/>
    <s v="Dougherty, Chris"/>
    <s v="Dougherty, Chris"/>
    <s v="Dougherty, Chris"/>
    <s v="Dougherty, Chris"/>
    <s v="Maguire, Karla"/>
    <x v="0"/>
    <s v="2026 SAP Max Attention Days"/>
    <s v="Prepaid - SAP AMERICA INC"/>
    <s v="2321402"/>
    <x v="20"/>
    <m/>
    <s v="9501158603"/>
    <m/>
    <x v="0"/>
    <s v="5/7 CHW - Updated for soft close on prepaid at 137,279 monthly or AP03 1,647,350 Invoice"/>
    <m/>
    <n v="1678341.6000000003"/>
    <n v="1647348.3599999999"/>
    <m/>
    <m/>
    <n v="113142.14"/>
    <n v="160853.85999999999"/>
    <n v="137841.35999999999"/>
    <n v="0"/>
    <n v="274558.24"/>
    <n v="137279.12"/>
    <n v="0"/>
    <n v="274558"/>
    <n v="137279"/>
    <n v="0"/>
    <n v="274558"/>
    <n v="137279"/>
    <n v="1647348.72"/>
    <n v="0.36000000010244548"/>
    <n v="274558"/>
    <n v="-137278.88"/>
    <n v="0.35999999998603016"/>
    <m/>
    <n v="0.36000000010244548"/>
    <s v="5/7 CHW - Diff is prepaid amort on invoiced amt"/>
    <n v="113142.14"/>
    <n v="160853.85999999999"/>
    <n v="137841.35999999999"/>
    <n v="0"/>
    <n v="274558"/>
    <n v="137279"/>
    <n v="0"/>
    <n v="274558"/>
    <n v="137279"/>
    <n v="0"/>
    <n v="274558"/>
    <n v="137279"/>
    <n v="1647348.3599999999"/>
    <n v="113142.14"/>
    <n v="160853.85999999999"/>
    <n v="137841.35999999999"/>
    <n v="136998"/>
    <n v="136998"/>
    <n v="136998"/>
    <n v="136998"/>
    <n v="136998"/>
    <n v="136998"/>
    <n v="136998"/>
    <n v="136998"/>
    <n v="136998"/>
    <n v="1644819.3599999999"/>
  </r>
  <r>
    <s v="N-ERP-503"/>
    <x v="21"/>
    <s v="Dougherty, Chris_CONTRACTORS_IT-CTR0132-OT-US-00/BDC"/>
    <s v="ERP"/>
    <s v="Patel, Apurva"/>
    <s v="Dougherty, Chris"/>
    <s v="Dougherty, Chris"/>
    <s v="Dougherty, Chris"/>
    <s v="Dougherty, Chris"/>
    <s v="Maguire, Karla"/>
    <x v="0"/>
    <s v="BDC Reclass - 2026 SAP Max Attention Days"/>
    <m/>
    <m/>
    <x v="21"/>
    <m/>
    <s v="9501158603"/>
    <m/>
    <x v="0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213108"/>
    <n v="0"/>
    <n v="0"/>
    <n v="0"/>
    <n v="0"/>
    <n v="0"/>
    <n v="0"/>
    <n v="-213108"/>
  </r>
  <r>
    <s v="L-ERP-041"/>
    <x v="22"/>
    <s v="DeHart, Lynn_TRAVEL &amp; ENTERTAINMENT_IT-PBU1070-OT-IE-00"/>
    <s v="ERP"/>
    <s v="Patel, Apurva"/>
    <s v="Patel, Apurva"/>
    <s v="Patel, Apurva"/>
    <s v="Hase, Raj"/>
    <s v="DeHart, Lynn"/>
    <s v="DeHart, Lynn"/>
    <x v="1"/>
    <s v="P325-0016287-Customer Screening Expansio"/>
    <m/>
    <m/>
    <x v="22"/>
    <m/>
    <m/>
    <m/>
    <x v="0"/>
    <m/>
    <m/>
    <n v="0"/>
    <n v="1583.99"/>
    <m/>
    <m/>
    <m/>
    <m/>
    <n v="1583.99"/>
    <s v=""/>
    <n v="0"/>
    <n v="0"/>
    <n v="0"/>
    <n v="0"/>
    <n v="0"/>
    <n v="0"/>
    <n v="0"/>
    <n v="0"/>
    <n v="1583.99"/>
    <n v="0"/>
    <n v="0"/>
    <n v="0"/>
    <n v="0"/>
    <m/>
    <n v="0"/>
    <m/>
    <m/>
    <m/>
    <n v="1583.99"/>
    <n v="0"/>
    <n v="0"/>
    <n v="0"/>
    <n v="0"/>
    <n v="0"/>
    <n v="0"/>
    <n v="0"/>
    <n v="0"/>
    <n v="0"/>
    <n v="1583.99"/>
    <m/>
    <m/>
    <n v="1583.99"/>
    <n v="0"/>
    <n v="0"/>
    <n v="0"/>
    <n v="0"/>
    <n v="0"/>
    <n v="0"/>
    <n v="0"/>
    <n v="0"/>
    <n v="0"/>
    <n v="1583.99"/>
  </r>
  <r>
    <s v="N-ERP-504"/>
    <x v="23"/>
    <s v="Dougherty, Chris_CONTRACTORS_IT-CTR0132-OT-US-00/Colalborate 360"/>
    <s v="ERP"/>
    <s v="Patel, Apurva"/>
    <s v="Dougherty, Chris"/>
    <s v="Dougherty, Chris"/>
    <s v="Dougherty, Chris"/>
    <s v="Dougherty, Chris"/>
    <s v="Maguire, Karla"/>
    <x v="0"/>
    <s v="Colalborate 360 Reclass - 2026 SAP Max Attention Days"/>
    <m/>
    <m/>
    <x v="23"/>
    <m/>
    <s v="9501158603"/>
    <m/>
    <x v="0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s v="N-ERP-505"/>
    <x v="24"/>
    <s v="Dougherty, Chris_CONTRACTORS_IT-CTR0132-OT-US-00/iERP"/>
    <s v="ERP"/>
    <s v="Patel, Apurva"/>
    <s v="Dougherty, Chris"/>
    <s v="Dougherty, Chris"/>
    <s v="Dougherty, Chris"/>
    <s v="Dougherty, Chris"/>
    <s v="Maguire, Karla"/>
    <x v="0"/>
    <s v="iERP Reclass - 2026 SAP Max Attention Days"/>
    <m/>
    <m/>
    <x v="24"/>
    <m/>
    <s v="9501158603"/>
    <m/>
    <x v="0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91332"/>
    <n v="0"/>
    <n v="0"/>
    <n v="0"/>
    <n v="0"/>
    <n v="0"/>
    <n v="0"/>
    <n v="-91332"/>
  </r>
  <r>
    <s v="N-ERP-506"/>
    <x v="25"/>
    <s v="Dougherty, Chris_CONTRACTORS_IT-CTR0132-OT-US-00/S4 Innovation"/>
    <s v="ERP"/>
    <s v="Patel, Apurva"/>
    <s v="Dougherty, Chris"/>
    <s v="Dougherty, Chris"/>
    <s v="Dougherty, Chris"/>
    <s v="Dougherty, Chris"/>
    <s v="Maguire, Karla"/>
    <x v="0"/>
    <s v="S4 Innovation Reclass - 2026 SAP Max Attention Days"/>
    <m/>
    <m/>
    <x v="25"/>
    <m/>
    <s v="9501158603"/>
    <m/>
    <x v="0"/>
    <m/>
    <m/>
    <n v="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0"/>
    <n v="0"/>
    <n v="0"/>
    <n v="0"/>
    <n v="0"/>
    <n v="-76110"/>
    <n v="0"/>
    <n v="0"/>
    <n v="0"/>
    <n v="0"/>
    <n v="0"/>
    <n v="0"/>
    <n v="-76110"/>
  </r>
  <r>
    <s v="L-ERP-085"/>
    <x v="26"/>
    <s v="Dougherty, Chris_CONTRACTORS_IT-CTR0132-OT-US-01"/>
    <s v="ERP"/>
    <s v="Patel, Apurva"/>
    <s v="Dougherty, Chris"/>
    <s v="Dougherty, Chris"/>
    <s v="Dougherty, Chris"/>
    <s v="Dougherty, Chris"/>
    <s v="Maguire, Karla"/>
    <x v="0"/>
    <s v="Colalborate 360 Reclass - 2026 SAP Max Attention Days"/>
    <m/>
    <m/>
    <x v="26"/>
    <m/>
    <s v="9501158603"/>
    <m/>
    <x v="0"/>
    <s v="6/4 CHW - Removed AP06 Forecast as items hit in AP05"/>
    <m/>
    <n v="0"/>
    <n v="-76110"/>
    <m/>
    <m/>
    <m/>
    <m/>
    <m/>
    <s v=""/>
    <n v="-76110"/>
    <n v="0"/>
    <n v="0"/>
    <n v="0"/>
    <n v="0"/>
    <n v="0"/>
    <n v="0"/>
    <n v="0"/>
    <n v="-76110"/>
    <n v="0"/>
    <m/>
    <n v="0"/>
    <n v="0"/>
    <m/>
    <n v="0"/>
    <m/>
    <m/>
    <m/>
    <m/>
    <m/>
    <m/>
    <n v="-76110"/>
    <n v="0"/>
    <n v="0"/>
    <n v="0"/>
    <n v="0"/>
    <n v="0"/>
    <n v="0"/>
    <n v="-76110"/>
    <m/>
    <m/>
    <m/>
    <m/>
    <m/>
    <n v="-76110"/>
    <n v="0"/>
    <n v="0"/>
    <n v="0"/>
    <n v="0"/>
    <n v="0"/>
    <n v="0"/>
    <n v="-76110"/>
  </r>
  <r>
    <s v="L-ERP-086"/>
    <x v="27"/>
    <s v="Dougherty, Chris_CONTRACTORS_IT-CTR0132-OT-US-02"/>
    <s v="ERP"/>
    <s v="Patel, Apurva"/>
    <s v="Dougherty, Chris"/>
    <s v="Dougherty, Chris"/>
    <s v="Dougherty, Chris"/>
    <s v="Dougherty, Chris"/>
    <s v="Maguire, Karla"/>
    <x v="0"/>
    <s v="S4 Innovation Reclass - 2026 SAP Max Attention Days"/>
    <m/>
    <m/>
    <x v="27"/>
    <m/>
    <s v="9501158603"/>
    <m/>
    <x v="0"/>
    <s v="6/4 CHW - Removed AP06 Forecast as items hit in AP05"/>
    <m/>
    <n v="0"/>
    <n v="-136110"/>
    <m/>
    <m/>
    <m/>
    <m/>
    <n v="-60000"/>
    <n v="0"/>
    <n v="-76110"/>
    <n v="0"/>
    <n v="0"/>
    <n v="0"/>
    <n v="0"/>
    <n v="0"/>
    <n v="0"/>
    <n v="0"/>
    <n v="-136110"/>
    <n v="0"/>
    <n v="0"/>
    <n v="0"/>
    <n v="0"/>
    <m/>
    <n v="0"/>
    <m/>
    <m/>
    <m/>
    <n v="-60000"/>
    <n v="0"/>
    <n v="0"/>
    <n v="-76110"/>
    <n v="0"/>
    <n v="0"/>
    <n v="0"/>
    <n v="0"/>
    <n v="0"/>
    <n v="0"/>
    <n v="-136110"/>
    <m/>
    <m/>
    <n v="-60000"/>
    <n v="0"/>
    <n v="0"/>
    <n v="-76110"/>
    <n v="0"/>
    <n v="0"/>
    <n v="0"/>
    <n v="0"/>
    <n v="0"/>
    <n v="0"/>
    <n v="-136110"/>
  </r>
  <r>
    <s v="L-ERP-087"/>
    <x v="28"/>
    <s v="Dougherty, Chris_CONTRACTORS_IT-CTR0132-OT-US-03"/>
    <s v="ERP"/>
    <s v="Patel, Apurva"/>
    <s v="Dougherty, Chris"/>
    <s v="Dougherty, Chris"/>
    <s v="Dougherty, Chris"/>
    <s v="Dougherty, Chris"/>
    <s v="Maguire, Karla"/>
    <x v="0"/>
    <s v="iERP Reclass - 2026 SAP Max Attention Days"/>
    <m/>
    <m/>
    <x v="28"/>
    <m/>
    <s v="9501158603"/>
    <m/>
    <x v="0"/>
    <s v="6/4 CHW - Removed AP06 Forecast as items hit in AP05"/>
    <m/>
    <n v="0"/>
    <n v="-91332"/>
    <m/>
    <m/>
    <m/>
    <m/>
    <m/>
    <s v=""/>
    <n v="-91332"/>
    <n v="0"/>
    <n v="0"/>
    <n v="0"/>
    <n v="0"/>
    <n v="0"/>
    <n v="0"/>
    <n v="0"/>
    <n v="-91332"/>
    <n v="0"/>
    <m/>
    <n v="0"/>
    <n v="0"/>
    <m/>
    <n v="0"/>
    <m/>
    <m/>
    <m/>
    <m/>
    <m/>
    <m/>
    <n v="-91332"/>
    <n v="0"/>
    <n v="0"/>
    <n v="0"/>
    <n v="0"/>
    <n v="0"/>
    <n v="0"/>
    <n v="-91332"/>
    <m/>
    <m/>
    <m/>
    <m/>
    <m/>
    <n v="-91332"/>
    <n v="0"/>
    <n v="0"/>
    <n v="0"/>
    <n v="0"/>
    <n v="0"/>
    <n v="0"/>
    <n v="-91332"/>
  </r>
  <r>
    <s v="L-ERP-088"/>
    <x v="29"/>
    <s v="Dougherty, Chris_CONTRACTORS_IT-CTR0132-OT-US-04"/>
    <s v="ERP"/>
    <s v="Patel, Apurva"/>
    <s v="Dougherty, Chris"/>
    <s v="Dougherty, Chris"/>
    <s v="Dougherty, Chris"/>
    <s v="Dougherty, Chris"/>
    <s v="Maguire, Karla"/>
    <x v="0"/>
    <s v="BDC Reclass - 2026 SAP Max Attention Days"/>
    <m/>
    <m/>
    <x v="29"/>
    <m/>
    <s v="9501158603"/>
    <m/>
    <x v="0"/>
    <s v="6/4 CHW - Removed AP06 Forecast as items hit in AP05"/>
    <m/>
    <n v="0"/>
    <n v="-213108"/>
    <m/>
    <m/>
    <m/>
    <m/>
    <m/>
    <s v=""/>
    <n v="-213108"/>
    <n v="0"/>
    <n v="0"/>
    <n v="0"/>
    <n v="0"/>
    <n v="0"/>
    <n v="0"/>
    <n v="0"/>
    <n v="-213108"/>
    <n v="0"/>
    <m/>
    <n v="0"/>
    <n v="0"/>
    <m/>
    <n v="0"/>
    <m/>
    <m/>
    <m/>
    <m/>
    <m/>
    <m/>
    <n v="-213108"/>
    <n v="0"/>
    <n v="0"/>
    <n v="0"/>
    <n v="0"/>
    <n v="0"/>
    <n v="0"/>
    <n v="-213108"/>
    <m/>
    <m/>
    <m/>
    <m/>
    <m/>
    <n v="-213108"/>
    <n v="0"/>
    <n v="0"/>
    <n v="0"/>
    <n v="0"/>
    <n v="0"/>
    <n v="0"/>
    <n v="-213108"/>
  </r>
  <r>
    <s v="N-ERP-606"/>
    <x v="30"/>
    <s v="Meadows, Leslie_CONTRACTORS_IT-CTR0140-OT-US-00"/>
    <s v="ERP"/>
    <s v="Patel, Apurva"/>
    <s v="Dougherty, Chris"/>
    <s v="Meadows, Leslie"/>
    <s v="Dougherty, Chris"/>
    <s v="Meadows, Leslie"/>
    <s v="Maguire, Karla"/>
    <x v="0"/>
    <s v="Tricentis Tosca Professional Services"/>
    <s v="TRICENTIS USA CORP"/>
    <s v="2321403"/>
    <x v="30"/>
    <m/>
    <s v="9501021870"/>
    <m/>
    <x v="0"/>
    <s v="4/28/26 CHW New add to tie-out 0223 to 0317 Planful Extracts 2026 Tricentis Tosca Professional Services has been reduced from $8,000 to $0 by deferring upgrade/optimization work and will be revisited in 2027"/>
    <m/>
    <n v="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L-ERP-089"/>
    <x v="31"/>
    <s v="Dougherty, Chris_CONTRACTORS_IT-CTR0147-OG-US-00"/>
    <s v="ERP"/>
    <s v="Patel, Apurva"/>
    <s v="Dougherty, Chris"/>
    <s v="Dougherty, Chris"/>
    <s v="Dougherty, Chris"/>
    <s v="Dougherty, Chris"/>
    <s v="Maguire, Karla"/>
    <x v="0"/>
    <s v="Accenture: eWM Integration"/>
    <s v="ACCENTURE LLP"/>
    <s v="2321402"/>
    <x v="31"/>
    <m/>
    <s v="9501182158"/>
    <m/>
    <x v="0"/>
    <m/>
    <m/>
    <n v="178000"/>
    <n v="136206.91999999998"/>
    <m/>
    <m/>
    <m/>
    <n v="53852.77"/>
    <n v="35563.15"/>
    <n v="1016.0800000000017"/>
    <n v="-9701"/>
    <n v="0"/>
    <n v="0"/>
    <n v="0"/>
    <n v="0"/>
    <n v="0"/>
    <n v="0"/>
    <n v="0"/>
    <n v="80731"/>
    <n v="-55475.919999999984"/>
    <n v="27738"/>
    <n v="-27738"/>
    <n v="-55475.919999999984"/>
    <m/>
    <n v="-55475.919999999984"/>
    <m/>
    <m/>
    <n v="53852.77"/>
    <n v="35563.15"/>
    <n v="19053"/>
    <n v="27738"/>
    <m/>
    <n v="0"/>
    <n v="0"/>
    <n v="0"/>
    <n v="0"/>
    <n v="0"/>
    <n v="0"/>
    <n v="136206.91999999998"/>
    <m/>
    <n v="53852.77"/>
    <n v="35563.15"/>
    <n v="29666.67"/>
    <n v="29666.67"/>
    <n v="29666.67"/>
    <n v="0"/>
    <n v="0"/>
    <n v="0"/>
    <n v="0"/>
    <n v="0"/>
    <n v="0"/>
    <n v="178415.93"/>
  </r>
  <r>
    <s v="L-ERP-090"/>
    <x v="32"/>
    <s v="Dougherty, Chris_CONTRACTORS_IT-CTR0148-OG-US-00"/>
    <s v="ERP"/>
    <s v="Patel, Apurva"/>
    <s v="Dougherty, Chris"/>
    <s v="Dougherty, Chris"/>
    <s v="Dougherty, Chris"/>
    <s v="Dougherty, Chris"/>
    <s v="Maguire, Karla"/>
    <x v="0"/>
    <s v="Accenture: Technical Development Support"/>
    <s v="ACCENTURE LLP"/>
    <s v="2321402"/>
    <x v="32"/>
    <m/>
    <s v="9501235860"/>
    <m/>
    <x v="0"/>
    <m/>
    <m/>
    <n v="222000"/>
    <n v="134302.39999999999"/>
    <m/>
    <m/>
    <m/>
    <n v="72114.23"/>
    <n v="40652.339999999997"/>
    <n v="64472.479999999989"/>
    <n v="-4813.7299999999959"/>
    <n v="-14788.650000000001"/>
    <n v="0"/>
    <n v="0"/>
    <n v="0"/>
    <n v="0"/>
    <n v="0"/>
    <n v="0"/>
    <n v="157636.67000000001"/>
    <n v="23334.270000000019"/>
    <n v="33359.4"/>
    <n v="-48148.05"/>
    <n v="23334.270000000019"/>
    <m/>
    <n v="23334.270000000019"/>
    <m/>
    <m/>
    <n v="72114.23"/>
    <n v="40652.339999999997"/>
    <n v="-11823.57"/>
    <n v="33359.4"/>
    <m/>
    <n v="0"/>
    <n v="0"/>
    <n v="0"/>
    <n v="0"/>
    <n v="0"/>
    <n v="0"/>
    <n v="134302.39999999999"/>
    <m/>
    <n v="72114.23"/>
    <n v="40652.339999999997"/>
    <n v="37000"/>
    <n v="37000"/>
    <n v="37000"/>
    <n v="0"/>
    <n v="0"/>
    <n v="0"/>
    <n v="0"/>
    <n v="0"/>
    <n v="0"/>
    <n v="223766.57"/>
  </r>
  <r>
    <s v="L-ERP-091"/>
    <x v="33"/>
    <s v="Dougherty, Chris_CONTRACTORS_IT-CTR0150-OG-US-00"/>
    <s v="ERP"/>
    <s v="Patel, Apurva"/>
    <s v="Dougherty, Chris"/>
    <s v="Dougherty, Chris"/>
    <s v="Dougherty, Chris"/>
    <s v="Dougherty, Chris"/>
    <s v="Maguire, Karla"/>
    <x v="0"/>
    <s v="Syniti Knowledge Platform Support"/>
    <s v="BACKOFFICE ASSOCIATES LLC"/>
    <s v="2329946"/>
    <x v="33"/>
    <m/>
    <s v="9501234927"/>
    <m/>
    <x v="0"/>
    <m/>
    <m/>
    <n v="100000"/>
    <n v="100000"/>
    <m/>
    <m/>
    <m/>
    <m/>
    <m/>
    <s v=""/>
    <n v="0"/>
    <n v="0"/>
    <n v="14286"/>
    <n v="14286"/>
    <n v="14286"/>
    <n v="14286"/>
    <n v="14286"/>
    <n v="14286"/>
    <n v="85716"/>
    <n v="-14284"/>
    <n v="11111"/>
    <n v="-11111"/>
    <n v="-33333"/>
    <m/>
    <n v="-14284"/>
    <m/>
    <m/>
    <m/>
    <m/>
    <n v="11111"/>
    <n v="11111"/>
    <n v="11111"/>
    <n v="11111"/>
    <n v="11111"/>
    <n v="11111"/>
    <n v="11111"/>
    <n v="11111"/>
    <n v="11112"/>
    <n v="100000"/>
    <m/>
    <m/>
    <m/>
    <n v="11111"/>
    <n v="11111"/>
    <n v="11111"/>
    <n v="11111"/>
    <n v="11111"/>
    <n v="11111"/>
    <n v="11111"/>
    <n v="11111"/>
    <n v="11112"/>
    <n v="100000"/>
  </r>
  <r>
    <s v="L-ERP-535"/>
    <x v="34"/>
    <s v="Tamavada, Ram_CONTRACTORS_IT-FBT0066-OG-IN-00"/>
    <s v="ERP"/>
    <s v="Patel, Apurva"/>
    <s v="Dougherty, Chris"/>
    <s v="Tamavada, Ram"/>
    <s v="Dougherty, Chris"/>
    <s v="Tamavada, Ram"/>
    <s v="Maguire, Karla"/>
    <x v="0"/>
    <s v="India Sales Order Management Support (SAP SME Support)"/>
    <m/>
    <m/>
    <x v="34"/>
    <m/>
    <m/>
    <m/>
    <x v="6"/>
    <m/>
    <m/>
    <n v="39781.000000000015"/>
    <n v="37314.43"/>
    <m/>
    <m/>
    <n v="3217.02"/>
    <n v="2578.4899999999998"/>
    <n v="2874.84"/>
    <n v="3540.9"/>
    <n v="2797.94"/>
    <n v="2743.02"/>
    <n v="3159"/>
    <n v="3190"/>
    <n v="3150"/>
    <n v="3150"/>
    <n v="3150"/>
    <n v="3150"/>
    <n v="36701.21"/>
    <n v="-613.22000000000116"/>
    <n v="3190"/>
    <n v="-446.98"/>
    <n v="-613.22000000000116"/>
    <m/>
    <n v="-613.22000000000116"/>
    <m/>
    <n v="3217.02"/>
    <n v="2578.4899999999998"/>
    <n v="2874.84"/>
    <n v="3315.08"/>
    <n v="3190"/>
    <n v="3190"/>
    <n v="3159"/>
    <n v="3190"/>
    <n v="3150"/>
    <n v="3150"/>
    <n v="3150"/>
    <n v="3150"/>
    <n v="37314.43"/>
    <n v="3217.02"/>
    <n v="2578.4899999999998"/>
    <n v="2874.84"/>
    <n v="3315.08"/>
    <n v="3315.08"/>
    <n v="3315.08"/>
    <n v="3315.08"/>
    <n v="3315.08"/>
    <n v="3315.08"/>
    <n v="3315.08"/>
    <n v="3315.08"/>
    <n v="3315.12"/>
    <n v="38506.110000000008"/>
  </r>
  <r>
    <s v="L-ERP-048"/>
    <x v="35"/>
    <s v="DeHart, Lynn_OUTSIDE COUNSEL_Others001"/>
    <s v="ERP"/>
    <s v="Patel, Apurva"/>
    <s v="Patel, Apurva"/>
    <s v="Patel, Apurva"/>
    <s v="Hase, Raj"/>
    <s v="DeHart, Lynn"/>
    <s v="DeHart, Lynn"/>
    <x v="4"/>
    <s v="Other"/>
    <m/>
    <m/>
    <x v="35"/>
    <m/>
    <m/>
    <m/>
    <x v="7"/>
    <m/>
    <m/>
    <n v="0"/>
    <n v="20.21"/>
    <m/>
    <m/>
    <n v="16.29"/>
    <n v="0"/>
    <n v="3.92"/>
    <s v=""/>
    <n v="0"/>
    <n v="0"/>
    <n v="0"/>
    <n v="0"/>
    <n v="0"/>
    <n v="0"/>
    <n v="0"/>
    <n v="0"/>
    <n v="20.21"/>
    <n v="0"/>
    <n v="0"/>
    <n v="0"/>
    <n v="0"/>
    <m/>
    <n v="0"/>
    <m/>
    <n v="16.29"/>
    <n v="0"/>
    <n v="3.92"/>
    <n v="0"/>
    <n v="0"/>
    <n v="0"/>
    <n v="0"/>
    <n v="0"/>
    <n v="0"/>
    <n v="0"/>
    <n v="0"/>
    <n v="0"/>
    <n v="20.21"/>
    <n v="16.29"/>
    <n v="0"/>
    <n v="3.92"/>
    <n v="0"/>
    <n v="0"/>
    <n v="0"/>
    <n v="0"/>
    <n v="0"/>
    <n v="0"/>
    <n v="0"/>
    <n v="0"/>
    <n v="0"/>
    <n v="20.21"/>
  </r>
  <r>
    <s v="L-ERP-381"/>
    <x v="36"/>
    <s v="McCormick, Pete_CONTRACTORS_IT-FBT0213-OG-US-00"/>
    <s v="ERP"/>
    <s v="Patel, Apurva"/>
    <s v="Dougherty, Chris"/>
    <s v="McCormick, Pete"/>
    <s v="Dougherty, Chris"/>
    <s v="McCormick, Pete"/>
    <s v="Maguire, Karla"/>
    <x v="0"/>
    <s v="SAP Basis Engineering Projects (Compucom)"/>
    <m/>
    <s v="2329947"/>
    <x v="36"/>
    <m/>
    <s v="Multiple"/>
    <m/>
    <x v="5"/>
    <s v="PO 9501164195, 9501158807, 9501164196 ($948k)"/>
    <m/>
    <n v="948000"/>
    <n v="948000.73"/>
    <m/>
    <m/>
    <n v="59013"/>
    <n v="227334.86"/>
    <n v="185217.87"/>
    <s v=""/>
    <n v="0"/>
    <n v="0"/>
    <n v="79161"/>
    <n v="79161"/>
    <n v="79161"/>
    <n v="79161"/>
    <n v="79161"/>
    <n v="80630"/>
    <n v="948000.73"/>
    <n v="0"/>
    <n v="29653"/>
    <n v="-29653"/>
    <n v="-108653"/>
    <m/>
    <n v="0"/>
    <m/>
    <n v="59013"/>
    <n v="227334.86"/>
    <n v="185217.87"/>
    <n v="79000"/>
    <n v="29653"/>
    <n v="0"/>
    <n v="61297"/>
    <n v="61297"/>
    <n v="61297"/>
    <n v="61297"/>
    <n v="61297"/>
    <n v="61297"/>
    <n v="948000.73"/>
    <n v="59013"/>
    <n v="227334.86"/>
    <n v="185217.87"/>
    <n v="79000"/>
    <n v="29653"/>
    <n v="0"/>
    <n v="79000"/>
    <n v="79000"/>
    <n v="79000"/>
    <n v="79000"/>
    <n v="79000"/>
    <n v="79000"/>
    <n v="1054218.73"/>
  </r>
  <r>
    <s v="L-ERP-039"/>
    <x v="37"/>
    <s v="DeHart, Lynn_TELECOMMUNICATIONS_PR-320001-0000007986"/>
    <s v="ERP"/>
    <s v="Patel, Apurva"/>
    <s v="Patel, Apurva"/>
    <s v="Patel, Apurva"/>
    <s v="Hase, Raj"/>
    <s v="DeHart, Lynn"/>
    <s v="DeHart, Lynn"/>
    <x v="5"/>
    <s v="WBS Override Project"/>
    <m/>
    <m/>
    <x v="37"/>
    <m/>
    <m/>
    <m/>
    <x v="0"/>
    <m/>
    <m/>
    <n v="0"/>
    <n v="11.32"/>
    <m/>
    <m/>
    <m/>
    <n v="11.32"/>
    <n v="0"/>
    <s v=""/>
    <n v="0"/>
    <n v="0"/>
    <n v="0"/>
    <n v="0"/>
    <n v="0"/>
    <n v="0"/>
    <n v="0"/>
    <n v="0"/>
    <n v="11.32"/>
    <n v="0"/>
    <n v="0"/>
    <n v="0"/>
    <n v="0"/>
    <m/>
    <n v="0"/>
    <m/>
    <m/>
    <n v="11.32"/>
    <n v="0"/>
    <n v="0"/>
    <n v="0"/>
    <n v="0"/>
    <n v="0"/>
    <n v="0"/>
    <n v="0"/>
    <n v="0"/>
    <n v="0"/>
    <n v="0"/>
    <n v="11.32"/>
    <m/>
    <n v="11.32"/>
    <n v="0"/>
    <n v="0"/>
    <n v="0"/>
    <n v="0"/>
    <n v="0"/>
    <n v="0"/>
    <n v="0"/>
    <n v="0"/>
    <n v="0"/>
    <n v="0"/>
    <n v="11.32"/>
  </r>
  <r>
    <s v="L-ERP-080"/>
    <x v="38"/>
    <s v="Dougherty, Chris_CONTRACTORS_IT-FBT0219-OG-US-00"/>
    <s v="ERP"/>
    <s v="Patel, Apurva"/>
    <s v="Dougherty, Chris"/>
    <s v="Dougherty, Chris"/>
    <s v="Dougherty, Chris"/>
    <s v="Dougherty, Chris"/>
    <s v="Maguire, Karla"/>
    <x v="0"/>
    <s v="ESC/AIS APP &amp; Platform Support: ESC/AIS Mulesoft M"/>
    <m/>
    <m/>
    <x v="38"/>
    <m/>
    <s v="N"/>
    <m/>
    <x v="8"/>
    <m/>
    <m/>
    <n v="71440"/>
    <n v="71440"/>
    <m/>
    <m/>
    <m/>
    <m/>
    <m/>
    <s v=""/>
    <n v="0"/>
    <n v="0"/>
    <m/>
    <n v="71440"/>
    <n v="0"/>
    <n v="0"/>
    <n v="0"/>
    <n v="0"/>
    <n v="71440"/>
    <n v="0"/>
    <m/>
    <n v="0"/>
    <n v="0"/>
    <m/>
    <n v="0"/>
    <m/>
    <m/>
    <m/>
    <m/>
    <m/>
    <m/>
    <m/>
    <m/>
    <n v="71440"/>
    <n v="0"/>
    <n v="0"/>
    <n v="0"/>
    <n v="0"/>
    <n v="71440"/>
    <m/>
    <m/>
    <m/>
    <m/>
    <m/>
    <m/>
    <m/>
    <n v="71440"/>
    <n v="0"/>
    <n v="0"/>
    <n v="0"/>
    <n v="0"/>
    <n v="71440"/>
  </r>
  <r>
    <s v="L-ERP-315"/>
    <x v="39"/>
    <s v="Maguire, Karla_CONTRACTORS_IT-FBT0245-OG-US-00"/>
    <s v="ERP"/>
    <s v="Patel, Apurva"/>
    <s v="Dougherty, Chris"/>
    <s v="Dougherty, Chris"/>
    <s v="Dougherty, Chris"/>
    <s v="Maguire, Karla"/>
    <s v="Maguire, Karla"/>
    <x v="0"/>
    <s v="Enterprise Integration Hub (EIH) - Code repository, DevOps and API"/>
    <m/>
    <m/>
    <x v="39"/>
    <m/>
    <m/>
    <m/>
    <x v="9"/>
    <m/>
    <m/>
    <n v="0"/>
    <n v="0"/>
    <m/>
    <m/>
    <n v="10113"/>
    <n v="11863.11"/>
    <n v="-21976.11"/>
    <n v="0"/>
    <n v="0"/>
    <n v="0"/>
    <m/>
    <m/>
    <m/>
    <m/>
    <m/>
    <m/>
    <n v="0"/>
    <n v="0"/>
    <m/>
    <n v="0"/>
    <n v="0"/>
    <m/>
    <n v="0"/>
    <m/>
    <n v="10113"/>
    <n v="11863.11"/>
    <n v="-21976.11"/>
    <m/>
    <m/>
    <m/>
    <m/>
    <m/>
    <m/>
    <m/>
    <m/>
    <m/>
    <n v="0"/>
    <n v="10113"/>
    <n v="11863.11"/>
    <n v="-21976.11"/>
    <m/>
    <m/>
    <m/>
    <m/>
    <m/>
    <m/>
    <m/>
    <m/>
    <m/>
    <n v="0"/>
  </r>
  <r>
    <s v="L-ERP-517"/>
    <x v="39"/>
    <s v="Tamavada, Ram_CONTRACTORS_IT-FBT0245-OG-US-00"/>
    <s v="ERP"/>
    <s v="Patel, Apurva"/>
    <s v="Dougherty, Chris"/>
    <s v="Tamavada, Ram"/>
    <s v="Dougherty, Chris"/>
    <s v="Tamavada, Ram"/>
    <s v="Maguire, Karla"/>
    <x v="0"/>
    <s v="Enterprise Integration Hub (EIH) - Code repository, DevOps and API"/>
    <m/>
    <m/>
    <x v="39"/>
    <m/>
    <m/>
    <m/>
    <x v="9"/>
    <m/>
    <m/>
    <n v="150000"/>
    <n v="149999.65"/>
    <m/>
    <m/>
    <m/>
    <m/>
    <n v="36597.65"/>
    <n v="17284.68"/>
    <n v="12179.44"/>
    <n v="11999.990000000002"/>
    <n v="12000"/>
    <n v="12000"/>
    <n v="12000"/>
    <n v="12000"/>
    <n v="12000"/>
    <n v="12000"/>
    <n v="150061.76000000001"/>
    <n v="62.110000000015134"/>
    <n v="12900"/>
    <n v="-900.0099999999984"/>
    <n v="3062.1100000000151"/>
    <m/>
    <n v="62.110000000015134"/>
    <m/>
    <m/>
    <m/>
    <n v="36597.65"/>
    <n v="12900"/>
    <n v="12900"/>
    <n v="12602"/>
    <n v="12500"/>
    <n v="12500"/>
    <n v="12500"/>
    <n v="12500"/>
    <n v="12500"/>
    <n v="12500"/>
    <n v="149999.65"/>
    <m/>
    <m/>
    <n v="36597.65"/>
    <n v="12500"/>
    <n v="12500"/>
    <n v="12500"/>
    <n v="12500"/>
    <n v="12500"/>
    <n v="12500"/>
    <n v="12500"/>
    <n v="12500"/>
    <n v="12500"/>
    <n v="149097.65"/>
  </r>
  <r>
    <s v="L-ERP-029"/>
    <x v="40"/>
    <s v="DeHart, Lynn_OUTSIDE COUNSEL_PR-587101-0000007986"/>
    <s v="ERP"/>
    <s v="Patel, Apurva"/>
    <s v="Patel, Apurva"/>
    <s v="Patel, Apurva"/>
    <s v="Hase, Raj"/>
    <s v="DeHart, Lynn"/>
    <s v="DeHart, Lynn"/>
    <x v="4"/>
    <s v="WBS Override Project"/>
    <m/>
    <m/>
    <x v="40"/>
    <m/>
    <m/>
    <m/>
    <x v="0"/>
    <m/>
    <m/>
    <n v="0"/>
    <n v="3.5"/>
    <m/>
    <m/>
    <m/>
    <n v="3.5"/>
    <n v="0"/>
    <s v=""/>
    <n v="0"/>
    <n v="0"/>
    <n v="0"/>
    <n v="0"/>
    <n v="0"/>
    <n v="0"/>
    <n v="0"/>
    <n v="0"/>
    <n v="3.5"/>
    <n v="0"/>
    <n v="0"/>
    <n v="0"/>
    <n v="0"/>
    <m/>
    <n v="0"/>
    <m/>
    <m/>
    <n v="3.5"/>
    <n v="0"/>
    <n v="0"/>
    <n v="0"/>
    <n v="0"/>
    <n v="0"/>
    <n v="0"/>
    <n v="0"/>
    <n v="0"/>
    <n v="0"/>
    <n v="0"/>
    <n v="3.5"/>
    <m/>
    <n v="3.5"/>
    <n v="0"/>
    <n v="0"/>
    <n v="0"/>
    <n v="0"/>
    <n v="0"/>
    <n v="0"/>
    <n v="0"/>
    <n v="0"/>
    <n v="0"/>
    <n v="0"/>
    <n v="3.5"/>
  </r>
  <r>
    <s v="ERP-061"/>
    <x v="41"/>
    <s v="Tamavada, Ram_CONTRACTORS_IT-FBT0393-OG-JP-00"/>
    <s v="ERP"/>
    <s v="Patel, Apurva"/>
    <s v="Dougherty, Chris"/>
    <s v="Tamavada, Ram"/>
    <s v="Dougherty, Chris"/>
    <s v="Tamavada, Ram"/>
    <s v="Tamavada, Ram"/>
    <x v="0"/>
    <s v="SAP Finance (FI) Level 2 application support / IT-FBT0393-OG-JP-00 / June 01, 2026 - December 31, 2"/>
    <s v="IBM Corp"/>
    <n v="2321403"/>
    <x v="41"/>
    <m/>
    <n v="9501275938"/>
    <m/>
    <x v="2"/>
    <m/>
    <m/>
    <m/>
    <m/>
    <m/>
    <m/>
    <m/>
    <m/>
    <m/>
    <m/>
    <m/>
    <m/>
    <n v="9500"/>
    <n v="10125"/>
    <n v="9500"/>
    <n v="9500"/>
    <n v="10125"/>
    <n v="10125"/>
    <n v="58875"/>
    <n v="58875"/>
    <m/>
    <n v="0"/>
    <n v="0"/>
    <m/>
    <n v="58875"/>
    <m/>
    <m/>
    <m/>
    <m/>
    <m/>
    <m/>
    <m/>
    <m/>
    <m/>
    <m/>
    <m/>
    <m/>
    <m/>
    <m/>
    <m/>
    <m/>
    <m/>
    <m/>
    <m/>
    <m/>
    <m/>
    <m/>
    <m/>
    <m/>
    <m/>
    <m/>
    <m/>
  </r>
  <r>
    <s v="L-ERP-042"/>
    <x v="42"/>
    <s v="DeHart, Lynn_TRAVEL &amp; ENTERTAINMENT_PR-587101-0000007986"/>
    <s v="ERP"/>
    <s v="Patel, Apurva"/>
    <s v="Patel, Apurva"/>
    <s v="Patel, Apurva"/>
    <s v="Hase, Raj"/>
    <s v="DeHart, Lynn"/>
    <s v="DeHart, Lynn"/>
    <x v="1"/>
    <s v="WBS Override Project"/>
    <m/>
    <m/>
    <x v="40"/>
    <m/>
    <m/>
    <m/>
    <x v="0"/>
    <m/>
    <m/>
    <n v="0"/>
    <n v="64.67"/>
    <m/>
    <m/>
    <m/>
    <n v="64.67"/>
    <n v="0"/>
    <s v=""/>
    <n v="0"/>
    <n v="0"/>
    <n v="0"/>
    <n v="0"/>
    <n v="0"/>
    <n v="0"/>
    <n v="0"/>
    <n v="0"/>
    <n v="64.67"/>
    <n v="0"/>
    <n v="0"/>
    <n v="0"/>
    <n v="0"/>
    <m/>
    <n v="0"/>
    <m/>
    <m/>
    <n v="64.67"/>
    <n v="0"/>
    <n v="0"/>
    <n v="0"/>
    <n v="0"/>
    <n v="0"/>
    <n v="0"/>
    <n v="0"/>
    <n v="0"/>
    <n v="0"/>
    <n v="0"/>
    <n v="64.67"/>
    <m/>
    <n v="64.67"/>
    <n v="0"/>
    <n v="0"/>
    <n v="0"/>
    <n v="0"/>
    <n v="0"/>
    <n v="0"/>
    <n v="0"/>
    <n v="0"/>
    <n v="0"/>
    <n v="0"/>
    <n v="64.67"/>
  </r>
  <r>
    <s v="L-ERP-040"/>
    <x v="43"/>
    <s v="DeHart, Lynn_TELECOMMUNICATIONS_Telecom001"/>
    <s v="ERP"/>
    <s v="Patel, Apurva"/>
    <s v="Patel, Apurva"/>
    <s v="Patel, Apurva"/>
    <s v="Hase, Raj"/>
    <s v="DeHart, Lynn"/>
    <s v="DeHart, Lynn"/>
    <x v="5"/>
    <s v="Telecommunications"/>
    <m/>
    <m/>
    <x v="42"/>
    <m/>
    <m/>
    <m/>
    <x v="0"/>
    <m/>
    <m/>
    <n v="157900"/>
    <n v="130982.95"/>
    <m/>
    <m/>
    <n v="2896.56"/>
    <n v="3761.9"/>
    <n v="4324.49"/>
    <n v="5457.6899999999987"/>
    <n v="8526.0100000000039"/>
    <n v="5199.119999999999"/>
    <n v="13500"/>
    <n v="13700"/>
    <n v="13700"/>
    <n v="13700"/>
    <n v="13800"/>
    <n v="13800"/>
    <n v="112365.77"/>
    <n v="-18617.179999999993"/>
    <n v="12300"/>
    <n v="-7100.880000000001"/>
    <n v="-18617.179999999997"/>
    <m/>
    <n v="-18617.179999999993"/>
    <m/>
    <n v="2896.56"/>
    <n v="3761.9"/>
    <n v="4324.49"/>
    <n v="12300"/>
    <n v="12300"/>
    <n v="13200"/>
    <n v="13500"/>
    <n v="13700"/>
    <n v="13700"/>
    <n v="13700"/>
    <n v="13800"/>
    <n v="13800"/>
    <n v="130982.95"/>
    <n v="2896.56"/>
    <n v="3761.9"/>
    <n v="4324.49"/>
    <n v="12300"/>
    <n v="12300"/>
    <n v="13200"/>
    <n v="13500"/>
    <n v="13700"/>
    <n v="13700"/>
    <n v="13700"/>
    <n v="13800"/>
    <n v="13800"/>
    <n v="130982.95"/>
  </r>
  <r>
    <s v="L-ERP-049"/>
    <x v="44"/>
    <s v="DeHart, Lynn_TRAVEL &amp; ENTERTAINMENT_TravelEnt001"/>
    <s v="ERP"/>
    <s v="Patel, Apurva"/>
    <s v="Patel, Apurva"/>
    <s v="Patel, Apurva"/>
    <s v="Hase, Raj"/>
    <s v="DeHart, Lynn"/>
    <s v="DeHart, Lynn"/>
    <x v="1"/>
    <s v="Travel and Entertainment"/>
    <m/>
    <m/>
    <x v="43"/>
    <m/>
    <s v="N/A"/>
    <m/>
    <x v="10"/>
    <m/>
    <m/>
    <n v="0"/>
    <n v="23976.370000000003"/>
    <m/>
    <m/>
    <n v="10095.790000000001"/>
    <n v="9921.4500000000007"/>
    <n v="3959.13"/>
    <n v="7339.65"/>
    <n v="-891.2900000000003"/>
    <n v="4400.72"/>
    <n v="0"/>
    <n v="0"/>
    <n v="0"/>
    <n v="0"/>
    <n v="0"/>
    <n v="0"/>
    <n v="34825.450000000004"/>
    <n v="10849.080000000002"/>
    <n v="0"/>
    <n v="4400.72"/>
    <n v="10849.080000000002"/>
    <m/>
    <n v="10849.080000000002"/>
    <m/>
    <n v="10095.790000000001"/>
    <n v="9921.4500000000007"/>
    <n v="3959.13"/>
    <n v="0"/>
    <n v="0"/>
    <n v="0"/>
    <n v="0"/>
    <n v="0"/>
    <n v="0"/>
    <n v="0"/>
    <n v="0"/>
    <n v="0"/>
    <n v="23976.370000000003"/>
    <n v="10095.790000000001"/>
    <n v="9921.4500000000007"/>
    <n v="3959.13"/>
    <n v="0"/>
    <n v="0"/>
    <n v="0"/>
    <n v="0"/>
    <n v="0"/>
    <n v="0"/>
    <n v="0"/>
    <n v="0"/>
    <n v="0"/>
    <n v="23976.370000000003"/>
  </r>
  <r>
    <s v="L-ERP-355"/>
    <x v="45"/>
    <s v="McCormick, Pete_CONTRACTORS_IT-FBT0509-OG-US-00"/>
    <s v="ERP"/>
    <s v="Patel, Apurva"/>
    <s v="Dougherty, Chris"/>
    <s v="McCormick, Pete"/>
    <s v="Dougherty, Chris"/>
    <s v="McCormick, Pete"/>
    <s v="Maguire, Karla"/>
    <x v="0"/>
    <s v="SAP BTP Level 4 Engineer"/>
    <m/>
    <m/>
    <x v="44"/>
    <m/>
    <m/>
    <m/>
    <x v="11"/>
    <m/>
    <m/>
    <n v="115200"/>
    <n v="89600"/>
    <m/>
    <m/>
    <m/>
    <m/>
    <m/>
    <n v="0"/>
    <n v="0"/>
    <n v="0"/>
    <n v="16400"/>
    <n v="16400"/>
    <n v="12800"/>
    <n v="12800"/>
    <n v="12800"/>
    <n v="12800"/>
    <n v="84000"/>
    <n v="-5600"/>
    <n v="0"/>
    <n v="0"/>
    <n v="-12800"/>
    <m/>
    <n v="-5600"/>
    <m/>
    <m/>
    <m/>
    <m/>
    <n v="0"/>
    <n v="0"/>
    <n v="12800"/>
    <n v="12800"/>
    <n v="12800"/>
    <n v="12800"/>
    <n v="12800"/>
    <n v="12800"/>
    <n v="12800"/>
    <n v="89600"/>
    <m/>
    <m/>
    <m/>
    <n v="12800"/>
    <n v="12800"/>
    <n v="12800"/>
    <n v="12800"/>
    <n v="12800"/>
    <n v="12800"/>
    <n v="12800"/>
    <n v="12800"/>
    <n v="12800"/>
    <n v="115200"/>
  </r>
  <r>
    <s v="L-ERP-536"/>
    <x v="46"/>
    <s v="Tamavada, Ram_CONTRACTORS_IT-FBT0636-OG-IN-00"/>
    <s v="ERP"/>
    <s v="Patel, Apurva"/>
    <s v="Dougherty, Chris"/>
    <s v="Tamavada, Ram"/>
    <s v="Dougherty, Chris"/>
    <s v="Tamavada, Ram"/>
    <s v="Maguire, Karla"/>
    <x v="0"/>
    <s v="India SAP Helpdesk Support / Team Computers L1/L1.5"/>
    <m/>
    <m/>
    <x v="45"/>
    <m/>
    <m/>
    <m/>
    <x v="6"/>
    <m/>
    <m/>
    <n v="73711"/>
    <n v="70191.98000000001"/>
    <m/>
    <m/>
    <n v="5439.05"/>
    <n v="4406.87"/>
    <n v="5062.8"/>
    <n v="6561.0900000000011"/>
    <n v="5184.41"/>
    <n v="5082.6499999999987"/>
    <n v="6142.58"/>
    <n v="6200"/>
    <n v="6200"/>
    <n v="6200"/>
    <n v="6200"/>
    <n v="6200"/>
    <n v="68879.45"/>
    <n v="-1312.5300000000134"/>
    <n v="6142.58"/>
    <n v="-1059.9300000000012"/>
    <n v="-1599.5900000000074"/>
    <m/>
    <n v="-1312.5300000000134"/>
    <m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  <n v="5439.05"/>
    <n v="4406.87"/>
    <n v="5062.8"/>
    <n v="6142.58"/>
    <n v="6142.58"/>
    <n v="6142.58"/>
    <n v="6142.58"/>
    <n v="6142.58"/>
    <n v="6142.58"/>
    <n v="6142.58"/>
    <n v="6142.58"/>
    <n v="6142.62"/>
    <n v="70191.98000000001"/>
  </r>
  <r>
    <s v="L-ERP-537"/>
    <x v="47"/>
    <s v="Tamavada, Ram_CONTRACTORS_IT-FBT0637-OG-IN-00"/>
    <s v="ERP"/>
    <s v="Patel, Apurva"/>
    <s v="Dougherty, Chris"/>
    <s v="Tamavada, Ram"/>
    <s v="Dougherty, Chris"/>
    <s v="Tamavada, Ram"/>
    <s v="Maguire, Karla"/>
    <x v="0"/>
    <s v="India Prime Solution Maintenance"/>
    <m/>
    <m/>
    <x v="46"/>
    <m/>
    <m/>
    <m/>
    <x v="6"/>
    <m/>
    <m/>
    <n v="9592.0000000000018"/>
    <n v="9470.880000000001"/>
    <m/>
    <m/>
    <n v="844.81"/>
    <n v="677.12"/>
    <n v="754.94"/>
    <n v="991.85"/>
    <n v="673.53"/>
    <n v="720.34"/>
    <n v="799.33"/>
    <n v="799.33"/>
    <n v="799.33"/>
    <n v="799.33"/>
    <n v="799.33"/>
    <n v="799.37"/>
    <n v="9458.61"/>
    <n v="-12.270000000000437"/>
    <n v="799.33"/>
    <n v="-78.990000000000009"/>
    <n v="-12.269999999999527"/>
    <m/>
    <n v="-12.270000000000437"/>
    <m/>
    <n v="844.81"/>
    <n v="677.12"/>
    <n v="754.94"/>
    <n v="799.33"/>
    <n v="799.33"/>
    <n v="799.33"/>
    <n v="799.33"/>
    <n v="799.33"/>
    <n v="799.33"/>
    <n v="799.33"/>
    <n v="799.33"/>
    <n v="799.37"/>
    <n v="9470.880000000001"/>
    <n v="844.81"/>
    <n v="677.12"/>
    <n v="754.94"/>
    <n v="799.33"/>
    <n v="799.33"/>
    <n v="799.33"/>
    <n v="799.33"/>
    <n v="799.33"/>
    <n v="799.33"/>
    <n v="799.33"/>
    <n v="799.33"/>
    <n v="799.37"/>
    <n v="9470.880000000001"/>
  </r>
  <r>
    <s v="ERP-051"/>
    <x v="48"/>
    <s v="Tamavada, Ram_CONTRACTORS_IT-FBT0770-OT-US-00"/>
    <s v="ERP"/>
    <s v="Patel, Apurva"/>
    <s v="Dougherty, Chris"/>
    <s v="Tamavada, Ram"/>
    <s v="Dougherty, Chris"/>
    <s v="Tamavada, Ram"/>
    <s v="Tamavada, Ram"/>
    <x v="0"/>
    <s v="DIGITAL-APPHOSTING-DATABASE-PROJECT"/>
    <m/>
    <s v="2320843"/>
    <x v="47"/>
    <m/>
    <m/>
    <m/>
    <x v="2"/>
    <m/>
    <m/>
    <m/>
    <m/>
    <m/>
    <m/>
    <m/>
    <m/>
    <m/>
    <m/>
    <n v="28.36"/>
    <n v="0"/>
    <m/>
    <m/>
    <m/>
    <m/>
    <m/>
    <m/>
    <n v="28.36"/>
    <n v="28.36"/>
    <m/>
    <n v="0"/>
    <n v="28.36"/>
    <m/>
    <n v="28.36"/>
    <m/>
    <m/>
    <m/>
    <m/>
    <m/>
    <m/>
    <m/>
    <m/>
    <m/>
    <m/>
    <m/>
    <m/>
    <m/>
    <m/>
    <m/>
    <m/>
    <m/>
    <m/>
    <m/>
    <m/>
    <m/>
    <m/>
    <m/>
    <m/>
    <m/>
    <m/>
    <m/>
  </r>
  <r>
    <s v="L-ERP-441"/>
    <x v="49"/>
    <s v="Meadows, Leslie_CONTRACTORS_IT-FBT0780-OT-US-00"/>
    <s v="ERP"/>
    <s v="Patel, Apurva"/>
    <s v="Dougherty, Chris"/>
    <s v="Meadows, Leslie"/>
    <s v="Dougherty, Chris"/>
    <s v="Meadows, Leslie"/>
    <s v="Maguire, Karla"/>
    <x v="0"/>
    <s v="SSCS Operational Support"/>
    <m/>
    <n v="2321511"/>
    <x v="48"/>
    <m/>
    <s v="9501157382 9501158432_x000a_9501157088"/>
    <m/>
    <x v="0"/>
    <s v="AP06 - Accrual Reversal for PO 9500800241(44,938)_x000a_"/>
    <m/>
    <n v="499304.03999999986"/>
    <n v="502636.17"/>
    <m/>
    <m/>
    <n v="30113.96"/>
    <n v="19240.66"/>
    <n v="44681.55"/>
    <n v="28059.239999999998"/>
    <n v="37177.21"/>
    <n v="-26229.880000000005"/>
    <n v="11200"/>
    <n v="14000"/>
    <n v="11200"/>
    <n v="14000"/>
    <n v="11200"/>
    <n v="12000"/>
    <n v="206642.74"/>
    <n v="-295993.43"/>
    <n v="90000"/>
    <n v="-116229.88"/>
    <n v="-134993.43"/>
    <m/>
    <n v="-295993.43"/>
    <m/>
    <n v="30113.96"/>
    <n v="19240.66"/>
    <n v="44681.55"/>
    <n v="40000"/>
    <n v="90000"/>
    <n v="44000"/>
    <n v="35600"/>
    <n v="44000"/>
    <n v="36000"/>
    <n v="40000"/>
    <n v="36000"/>
    <n v="43000"/>
    <n v="502636.17"/>
    <n v="30113.96"/>
    <n v="19240.66"/>
    <n v="44681.55"/>
    <n v="44995"/>
    <n v="44995"/>
    <n v="44995"/>
    <n v="44995"/>
    <n v="44995"/>
    <n v="44995"/>
    <n v="44995"/>
    <n v="44995"/>
    <n v="44995"/>
    <n v="498991.17"/>
  </r>
  <r>
    <s v="L-ERP-442"/>
    <x v="50"/>
    <s v="Meadows, Leslie_CONTRACTORS_IT-FBT0801-OG-US-00"/>
    <s v="ERP"/>
    <s v="Patel, Apurva"/>
    <s v="Dougherty, Chris"/>
    <s v="Meadows, Leslie"/>
    <s v="Dougherty, Chris"/>
    <s v="Meadows, Leslie"/>
    <s v="Maguire, Karla"/>
    <x v="0"/>
    <s v="SSCS - Functional Support (ACN Testing, IBM testing)"/>
    <m/>
    <n v="2321511"/>
    <x v="49"/>
    <m/>
    <m/>
    <m/>
    <x v="0"/>
    <m/>
    <m/>
    <n v="216000"/>
    <n v="178669.02"/>
    <m/>
    <m/>
    <n v="13712.98"/>
    <n v="15359.13"/>
    <n v="67493.539999999994"/>
    <n v="42271.619999999995"/>
    <n v="42271.62000000001"/>
    <n v="-40929.350000000006"/>
    <m/>
    <m/>
    <m/>
    <m/>
    <m/>
    <m/>
    <n v="140179.54"/>
    <n v="-38489.479999999981"/>
    <n v="35803.370000000003"/>
    <n v="-76732.72"/>
    <n v="-2489.4799999999814"/>
    <n v="-32339"/>
    <n v="-6150.4799999999814"/>
    <s v="testing factory adjustment"/>
    <n v="13712.98"/>
    <n v="15359.13"/>
    <n v="67493.539999999994"/>
    <n v="4300"/>
    <n v="35803.370000000003"/>
    <n v="6000"/>
    <n v="6000"/>
    <n v="6000"/>
    <n v="6000"/>
    <n v="6000"/>
    <n v="6000"/>
    <n v="6000"/>
    <n v="178669.02"/>
    <n v="13712.98"/>
    <n v="15359.13"/>
    <n v="67493.539999999994"/>
    <n v="18693"/>
    <n v="18693"/>
    <n v="18693"/>
    <n v="18693"/>
    <n v="18693"/>
    <n v="18693"/>
    <n v="18693"/>
    <n v="18693"/>
    <n v="18693"/>
    <n v="264802.65000000002"/>
  </r>
  <r>
    <s v="L-ERP-443"/>
    <x v="51"/>
    <s v="Meadows, Leslie_CONTRACTORS_IT-FBT0826-OG-US-00"/>
    <s v="ERP"/>
    <s v="Patel, Apurva"/>
    <s v="Dougherty, Chris"/>
    <s v="Meadows, Leslie"/>
    <s v="Dougherty, Chris"/>
    <s v="Meadows, Leslie"/>
    <s v="Maguire, Karla"/>
    <x v="0"/>
    <s v="Insight GlobaL: SAP Support Services"/>
    <m/>
    <m/>
    <x v="50"/>
    <m/>
    <s v="KP - 9501160146"/>
    <m/>
    <x v="0"/>
    <m/>
    <m/>
    <n v="96720"/>
    <n v="96720.44"/>
    <m/>
    <m/>
    <n v="6643.44"/>
    <n v="5644"/>
    <n v="8304"/>
    <n v="6762"/>
    <n v="9499"/>
    <n v="8310.9599999999991"/>
    <n v="8600"/>
    <n v="7900"/>
    <n v="8600"/>
    <n v="8600"/>
    <n v="8600"/>
    <n v="8968"/>
    <n v="96431.4"/>
    <n v="-289.04000000000815"/>
    <n v="7812"/>
    <n v="498.95999999999913"/>
    <n v="-2453.0400000000009"/>
    <m/>
    <n v="-289.04000000000815"/>
    <m/>
    <n v="6643.44"/>
    <n v="5644"/>
    <n v="8304"/>
    <n v="11029"/>
    <n v="7812"/>
    <n v="8184"/>
    <n v="8556"/>
    <n v="7812"/>
    <n v="8184"/>
    <n v="8184"/>
    <n v="7812"/>
    <n v="8556"/>
    <n v="96720.44"/>
    <n v="6643.44"/>
    <n v="5644"/>
    <n v="8304"/>
    <n v="8184"/>
    <n v="7812"/>
    <n v="8184"/>
    <n v="8556"/>
    <n v="7812"/>
    <n v="8184"/>
    <n v="8184"/>
    <n v="7812"/>
    <n v="8556"/>
    <n v="93875.44"/>
  </r>
  <r>
    <s v="L-ERP-367"/>
    <x v="52"/>
    <s v="McCormick, Pete_CONTRACTORS_IT-FBT0831-OT-US-00"/>
    <s v="ERP"/>
    <s v="Patel, Apurva"/>
    <s v="Dougherty, Chris"/>
    <s v="McCormick, Pete"/>
    <s v="Dougherty, Chris"/>
    <s v="McCormick, Pete"/>
    <s v="Maguire, Karla"/>
    <x v="0"/>
    <s v="SAP Platform- IBM Power Lab Consulting"/>
    <m/>
    <s v="2329614"/>
    <x v="51"/>
    <m/>
    <s v="9501155336"/>
    <m/>
    <x v="0"/>
    <m/>
    <m/>
    <n v="49000"/>
    <n v="48800.63"/>
    <m/>
    <m/>
    <n v="3356.36"/>
    <n v="3758.72"/>
    <n v="4698.63"/>
    <n v="3758.8999999999978"/>
    <n v="659.46"/>
    <n v="4698.630000000001"/>
    <n v="0"/>
    <n v="0"/>
    <m/>
    <n v="12250"/>
    <n v="12250"/>
    <n v="8000"/>
    <n v="53430.7"/>
    <n v="4630.07"/>
    <n v="0"/>
    <n v="4698.630000000001"/>
    <n v="-8267.93"/>
    <m/>
    <n v="4630.07"/>
    <m/>
    <n v="3356.36"/>
    <n v="3758.72"/>
    <n v="4698.63"/>
    <n v="0"/>
    <n v="0"/>
    <n v="17384.919999999998"/>
    <n v="0"/>
    <n v="0"/>
    <n v="12250"/>
    <n v="0"/>
    <n v="0"/>
    <n v="7352"/>
    <n v="48800.63"/>
    <n v="3356.36"/>
    <n v="3758.72"/>
    <n v="4698.63"/>
    <n v="0"/>
    <n v="0"/>
    <n v="17384.919999999998"/>
    <n v="0"/>
    <n v="0"/>
    <n v="12250"/>
    <n v="0"/>
    <n v="0"/>
    <n v="12250"/>
    <n v="53698.63"/>
  </r>
  <r>
    <s v="L-ERP-368"/>
    <x v="53"/>
    <s v="McCormick, Pete_CONTRACTORS_IT-FBT0832-OT-US-00"/>
    <s v="ERP"/>
    <s v="Patel, Apurva"/>
    <s v="Dougherty, Chris"/>
    <s v="McCormick, Pete"/>
    <s v="Dougherty, Chris"/>
    <s v="McCormick, Pete"/>
    <s v="Maguire, Karla"/>
    <x v="0"/>
    <s v="SAP Platform- IBM Power Breakfix Consulting"/>
    <m/>
    <s v="2329614"/>
    <x v="52"/>
    <m/>
    <s v="9501153160"/>
    <m/>
    <x v="0"/>
    <m/>
    <m/>
    <n v="23000"/>
    <n v="21621.640000000003"/>
    <m/>
    <m/>
    <n v="1355"/>
    <n v="1517.05"/>
    <n v="1896.64"/>
    <n v="4517.2999999999993"/>
    <n v="-462.13999999999965"/>
    <n v="1896.6400000000003"/>
    <n v="0"/>
    <n v="0"/>
    <m/>
    <n v="9000"/>
    <n v="3852.95"/>
    <n v="0"/>
    <n v="23573.440000000002"/>
    <n v="1951.7999999999993"/>
    <n v="0"/>
    <n v="1896.6400000000003"/>
    <n v="-7048.2000000000007"/>
    <m/>
    <n v="1951.7999999999993"/>
    <m/>
    <n v="1355"/>
    <n v="1517.05"/>
    <n v="1896.64"/>
    <n v="0"/>
    <n v="0"/>
    <n v="13000"/>
    <n v="0"/>
    <n v="0"/>
    <n v="3852.95"/>
    <n v="0"/>
    <n v="0"/>
    <n v="0"/>
    <n v="21621.640000000003"/>
    <n v="1355"/>
    <n v="1517.05"/>
    <n v="1896.64"/>
    <n v="0"/>
    <n v="0"/>
    <n v="13000"/>
    <n v="0"/>
    <n v="0"/>
    <n v="3852.95"/>
    <n v="0"/>
    <n v="0"/>
    <n v="0"/>
    <n v="21621.640000000003"/>
  </r>
  <r>
    <s v="N-ERP-507"/>
    <x v="54"/>
    <s v="Dougherty, Chris_CONTRACTORS_IT-MGS0168-OG-US-00"/>
    <s v="ERP"/>
    <s v="Patel, Apurva"/>
    <s v="Dougherty, Chris"/>
    <s v="Dougherty, Chris"/>
    <s v="Dougherty, Chris"/>
    <s v="Dougherty, Chris"/>
    <s v="Maguire, Karla"/>
    <x v="0"/>
    <s v="IBM BPAI AMS (ML-0726)"/>
    <m/>
    <m/>
    <x v="53"/>
    <s v="CHW - Ok"/>
    <m/>
    <m/>
    <x v="0"/>
    <s v="4/28/26 CHW New add to tie-out 0223 to 0317 Planful Extracts Account Movement - IBM AMS forecast is recorded under Contractors, while actuals are posted to Managed Services. Zeroed remaining forecast as forecasted under Managed Services"/>
    <m/>
    <n v="14721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22683"/>
    <n v="122683"/>
    <n v="122683"/>
    <n v="122683"/>
    <n v="122683"/>
    <n v="122683"/>
    <n v="122683"/>
    <n v="122683"/>
    <n v="122683"/>
    <n v="122683"/>
    <n v="122683"/>
    <n v="122683"/>
    <n v="1472196"/>
  </r>
  <r>
    <s v="L-ERP-093"/>
    <x v="55"/>
    <s v="Dougherty, Chris_CONTRACTORS_MISC001"/>
    <s v="ERP"/>
    <s v="Patel, Apurva"/>
    <s v="Dougherty, Chris"/>
    <s v="Dougherty, Chris"/>
    <s v="Dougherty, Chris"/>
    <s v="Dougherty, Chris"/>
    <s v="Maguire, Karla"/>
    <x v="0"/>
    <s v="Miscellaneous Charges"/>
    <m/>
    <m/>
    <x v="54"/>
    <m/>
    <m/>
    <m/>
    <x v="0"/>
    <m/>
    <m/>
    <n v="0"/>
    <n v="-0.11000000000058208"/>
    <m/>
    <m/>
    <n v="20093.099999999999"/>
    <n v="22504.89"/>
    <n v="-42598.1"/>
    <n v="-0.33"/>
    <n v="0.71"/>
    <n v="-0.03"/>
    <n v="0"/>
    <n v="0"/>
    <n v="0"/>
    <n v="0"/>
    <n v="0"/>
    <n v="0"/>
    <n v="0.23999999999941787"/>
    <n v="0.35"/>
    <n v="0"/>
    <n v="-0.03"/>
    <n v="0.35"/>
    <m/>
    <n v="0.35"/>
    <m/>
    <n v="20093.099999999999"/>
    <n v="22504.89"/>
    <n v="-42598.1"/>
    <n v="0"/>
    <n v="0"/>
    <n v="0"/>
    <n v="0"/>
    <n v="0"/>
    <n v="0"/>
    <n v="0"/>
    <n v="0"/>
    <n v="0"/>
    <n v="-0.11000000000058208"/>
    <n v="20093.099999999999"/>
    <n v="22504.89"/>
    <n v="-42598.1"/>
    <n v="0"/>
    <n v="0"/>
    <n v="0"/>
    <n v="0"/>
    <n v="0"/>
    <n v="0"/>
    <n v="0"/>
    <n v="0"/>
    <n v="0"/>
    <n v="-0.11000000000058208"/>
  </r>
  <r>
    <s v="L-ERP-325"/>
    <x v="55"/>
    <s v="Maguire, Karla_CONTRACTORS_MISC001"/>
    <s v="ERP"/>
    <s v="Patel, Apurva"/>
    <s v="Dougherty, Chris"/>
    <s v="Dougherty, Chris"/>
    <s v="Dougherty, Chris"/>
    <s v="Maguire, Karla"/>
    <s v="Maguire, Karla"/>
    <x v="0"/>
    <s v="Miscellaneous Charges"/>
    <m/>
    <m/>
    <x v="54"/>
    <m/>
    <m/>
    <m/>
    <x v="0"/>
    <s v="KP- Could you confirm who this line was transferred to?"/>
    <m/>
    <n v="0"/>
    <n v="1220.75"/>
    <m/>
    <m/>
    <n v="669.53"/>
    <n v="7.26"/>
    <n v="543.96"/>
    <n v="129.34999999999997"/>
    <n v="286.95999999999998"/>
    <n v="206.12999999999997"/>
    <n v="0"/>
    <n v="0"/>
    <n v="0"/>
    <n v="0"/>
    <n v="0"/>
    <n v="0"/>
    <n v="1843.1899999999998"/>
    <n v="622.43999999999983"/>
    <n v="0"/>
    <n v="206.12999999999997"/>
    <n v="622.43999999999983"/>
    <m/>
    <n v="622.43999999999983"/>
    <m/>
    <n v="669.53"/>
    <n v="7.26"/>
    <n v="543.96"/>
    <n v="0"/>
    <n v="0"/>
    <n v="0"/>
    <n v="0"/>
    <n v="0"/>
    <n v="0"/>
    <n v="0"/>
    <n v="0"/>
    <n v="0"/>
    <n v="1220.75"/>
    <n v="669.53"/>
    <n v="7.26"/>
    <n v="543.96"/>
    <n v="0"/>
    <n v="0"/>
    <n v="0"/>
    <n v="0"/>
    <n v="0"/>
    <n v="0"/>
    <n v="0"/>
    <n v="0"/>
    <n v="0"/>
    <n v="1220.75"/>
  </r>
  <r>
    <s v="L-ERP-103"/>
    <x v="56"/>
    <s v="Dougherty, Chris_COMPENSATION_CompBenefits001"/>
    <s v="ERP"/>
    <s v="Patel, Apurva"/>
    <s v="Dougherty, Chris"/>
    <s v="Dougherty, Chris"/>
    <s v="Dougherty, Chris"/>
    <s v="Dougherty, Chris"/>
    <s v="Maguire, Karla"/>
    <x v="2"/>
    <s v="Benefits"/>
    <m/>
    <m/>
    <x v="3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7678"/>
    <n v="267678"/>
    <n v="267678"/>
    <n v="0"/>
    <n v="0"/>
    <n v="0"/>
    <n v="0"/>
    <n v="0"/>
    <n v="0"/>
    <n v="0"/>
    <n v="0"/>
    <n v="0"/>
    <n v="803034"/>
  </r>
  <r>
    <s v="L-ERP-104"/>
    <x v="57"/>
    <s v="Dougherty, Chris_COMPENSATION_CompBonus001"/>
    <s v="ERP"/>
    <s v="Patel, Apurva"/>
    <s v="Dougherty, Chris"/>
    <s v="Dougherty, Chris"/>
    <s v="Dougherty, Chris"/>
    <s v="Dougherty, Chris"/>
    <s v="Maguire, Karla"/>
    <x v="2"/>
    <s v="Bonus"/>
    <m/>
    <m/>
    <x v="4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19429"/>
    <n v="107869"/>
    <n v="119891"/>
    <n v="0"/>
    <n v="0"/>
    <n v="0"/>
    <n v="0"/>
    <n v="0"/>
    <n v="0"/>
    <n v="0"/>
    <n v="0"/>
    <n v="0"/>
    <n v="347189"/>
  </r>
  <r>
    <s v="L-ERP-105"/>
    <x v="58"/>
    <s v="Dougherty, Chris_COMPENSATION_CompSalary001"/>
    <s v="ERP"/>
    <s v="Patel, Apurva"/>
    <s v="Dougherty, Chris"/>
    <s v="Dougherty, Chris"/>
    <s v="Dougherty, Chris"/>
    <s v="Dougherty, Chris"/>
    <s v="Maguire, Karla"/>
    <x v="2"/>
    <s v="Salary"/>
    <m/>
    <m/>
    <x v="55"/>
    <s v="CHW - Ok"/>
    <s v="N/A"/>
    <m/>
    <x v="0"/>
    <m/>
    <m/>
    <n v="0"/>
    <n v="0"/>
    <m/>
    <m/>
    <m/>
    <m/>
    <m/>
    <m/>
    <m/>
    <n v="1060974"/>
    <n v="0"/>
    <n v="0"/>
    <n v="0"/>
    <n v="0"/>
    <n v="0"/>
    <n v="0"/>
    <n v="1060974"/>
    <n v="1060974"/>
    <n v="0"/>
    <n v="1060974"/>
    <n v="1060974"/>
    <m/>
    <n v="1060974"/>
    <m/>
    <m/>
    <m/>
    <m/>
    <n v="0"/>
    <n v="0"/>
    <n v="0"/>
    <n v="0"/>
    <n v="0"/>
    <n v="0"/>
    <n v="0"/>
    <n v="0"/>
    <n v="0"/>
    <n v="0"/>
    <n v="643457"/>
    <n v="643457"/>
    <n v="643457"/>
    <n v="0"/>
    <n v="0"/>
    <n v="0"/>
    <n v="0"/>
    <n v="0"/>
    <n v="0"/>
    <n v="0"/>
    <n v="0"/>
    <n v="0"/>
    <n v="1930371"/>
  </r>
  <r>
    <s v="L-ERP-371"/>
    <x v="55"/>
    <s v="McCormick, Pete_CONTRACTORS_MISC001"/>
    <s v="ERP"/>
    <s v="Patel, Apurva"/>
    <s v="Dougherty, Chris"/>
    <s v="McCormick, Pete"/>
    <s v="Dougherty, Chris"/>
    <s v="McCormick, Pete"/>
    <s v="Maguire, Karla"/>
    <x v="0"/>
    <s v="Miscellaneous Charges"/>
    <m/>
    <m/>
    <x v="54"/>
    <m/>
    <m/>
    <m/>
    <x v="0"/>
    <m/>
    <m/>
    <n v="0"/>
    <n v="5030.5599999999995"/>
    <m/>
    <m/>
    <n v="-0.36"/>
    <n v="0.35"/>
    <n v="5030.57"/>
    <n v="0.46"/>
    <n v="0.34"/>
    <n v="-0.41"/>
    <n v="0"/>
    <n v="0"/>
    <n v="0"/>
    <n v="0"/>
    <n v="0"/>
    <n v="0"/>
    <n v="5030.95"/>
    <n v="0.39000000000032742"/>
    <n v="0"/>
    <n v="-0.41"/>
    <n v="0.39000000000032742"/>
    <m/>
    <n v="0.39000000000032742"/>
    <m/>
    <n v="-0.36"/>
    <n v="0.35"/>
    <n v="5030.57"/>
    <n v="0"/>
    <n v="0"/>
    <n v="0"/>
    <n v="0"/>
    <n v="0"/>
    <n v="0"/>
    <n v="0"/>
    <n v="0"/>
    <n v="0"/>
    <n v="5030.5599999999995"/>
    <n v="-0.36"/>
    <n v="0.35"/>
    <n v="5030.57"/>
    <n v="0"/>
    <n v="0"/>
    <n v="0"/>
    <n v="0"/>
    <n v="0"/>
    <n v="0"/>
    <n v="0"/>
    <n v="0"/>
    <n v="0"/>
    <n v="5030.5599999999995"/>
  </r>
  <r>
    <s v="L-ERP-445"/>
    <x v="55"/>
    <s v="Meadows, Leslie_CONTRACTORS_MISC001"/>
    <s v="ERP"/>
    <s v="Patel, Apurva"/>
    <s v="Dougherty, Chris"/>
    <s v="Meadows, Leslie"/>
    <s v="Dougherty, Chris"/>
    <s v="Meadows, Leslie"/>
    <s v="Maguire, Karla"/>
    <x v="0"/>
    <s v="Miscellaneous Charges"/>
    <m/>
    <m/>
    <x v="54"/>
    <m/>
    <m/>
    <m/>
    <x v="0"/>
    <m/>
    <m/>
    <n v="0"/>
    <n v="-0.26"/>
    <m/>
    <m/>
    <n v="-0.38"/>
    <n v="0.21"/>
    <n v="-0.09"/>
    <n v="0.14000000000000001"/>
    <n v="0.52"/>
    <n v="-0.63"/>
    <n v="0"/>
    <n v="0"/>
    <n v="0"/>
    <n v="0"/>
    <n v="0"/>
    <n v="0"/>
    <n v="-0.22999999999999998"/>
    <n v="3.0000000000000027E-2"/>
    <n v="0"/>
    <n v="-0.63"/>
    <n v="3.0000000000000027E-2"/>
    <m/>
    <n v="3.0000000000000027E-2"/>
    <m/>
    <n v="-0.38"/>
    <n v="0.21"/>
    <n v="-0.09"/>
    <n v="0"/>
    <n v="0"/>
    <n v="0"/>
    <n v="0"/>
    <n v="0"/>
    <n v="0"/>
    <n v="0"/>
    <n v="0"/>
    <n v="0"/>
    <n v="-0.26"/>
    <n v="-0.38"/>
    <n v="0.21"/>
    <n v="-0.09"/>
    <n v="0"/>
    <n v="0"/>
    <n v="0"/>
    <n v="0"/>
    <n v="0"/>
    <n v="0"/>
    <n v="0"/>
    <n v="0"/>
    <n v="0"/>
    <n v="-0.26"/>
  </r>
  <r>
    <s v="L-ERP-541"/>
    <x v="55"/>
    <s v="Tamavada, Ram_CONTRACTORS_MISC001"/>
    <s v="ERP"/>
    <s v="Patel, Apurva"/>
    <s v="Dougherty, Chris"/>
    <s v="Tamavada, Ram"/>
    <s v="Dougherty, Chris"/>
    <s v="Tamavada, Ram"/>
    <s v="Maguire, Karla"/>
    <x v="0"/>
    <s v="Miscellaneous Charges"/>
    <m/>
    <m/>
    <x v="54"/>
    <m/>
    <m/>
    <m/>
    <x v="0"/>
    <s v="KP - May i please get more details on this actual? Can't find it in the actuals file."/>
    <m/>
    <n v="0"/>
    <n v="0.35000000000000003"/>
    <m/>
    <m/>
    <m/>
    <n v="0.01"/>
    <n v="0.34"/>
    <n v="-0.67"/>
    <n v="0.2"/>
    <n v="8111.01"/>
    <n v="0"/>
    <n v="0"/>
    <n v="0"/>
    <n v="0"/>
    <n v="0"/>
    <n v="0"/>
    <n v="8110.89"/>
    <n v="8110.54"/>
    <n v="0"/>
    <n v="8111.01"/>
    <n v="8110.54"/>
    <m/>
    <n v="8110.54"/>
    <m/>
    <m/>
    <n v="0.01"/>
    <n v="0.34"/>
    <n v="0"/>
    <n v="0"/>
    <n v="0"/>
    <n v="0"/>
    <n v="0"/>
    <n v="0"/>
    <n v="0"/>
    <n v="0"/>
    <n v="0"/>
    <n v="0.35000000000000003"/>
    <m/>
    <n v="0.01"/>
    <n v="0.34"/>
    <n v="0"/>
    <n v="0"/>
    <n v="0"/>
    <n v="0"/>
    <n v="0"/>
    <n v="0"/>
    <n v="0"/>
    <n v="0"/>
    <n v="0"/>
    <n v="0.35000000000000003"/>
  </r>
  <r>
    <s v="L-ERP-094"/>
    <x v="59"/>
    <s v="Dougherty, Chris_CONTRACTORS_POClosure001"/>
    <s v="ERP"/>
    <s v="Patel, Apurva"/>
    <s v="Dougherty, Chris"/>
    <s v="Dougherty, Chris"/>
    <s v="Dougherty, Chris"/>
    <s v="Dougherty, Chris"/>
    <s v="Maguire, Karla"/>
    <x v="0"/>
    <s v="PO Closure Credit"/>
    <m/>
    <m/>
    <x v="56"/>
    <s v="CHW - Ok"/>
    <m/>
    <m/>
    <x v="0"/>
    <m/>
    <m/>
    <n v="0"/>
    <n v="-16166.66"/>
    <m/>
    <m/>
    <n v="0.34"/>
    <n v="-10499.16"/>
    <n v="-5667.84"/>
    <n v="0"/>
    <n v="0"/>
    <n v="0"/>
    <n v="0"/>
    <n v="0"/>
    <n v="0"/>
    <n v="0"/>
    <n v="0"/>
    <n v="0"/>
    <n v="-16166.66"/>
    <n v="0"/>
    <n v="0"/>
    <n v="0"/>
    <n v="0"/>
    <m/>
    <n v="0"/>
    <m/>
    <n v="0.34"/>
    <n v="-10499.16"/>
    <n v="-5667.84"/>
    <n v="0"/>
    <n v="0"/>
    <n v="0"/>
    <n v="0"/>
    <n v="0"/>
    <n v="0"/>
    <n v="0"/>
    <n v="0"/>
    <n v="0"/>
    <n v="-16166.66"/>
    <n v="0.34"/>
    <n v="-10499.16"/>
    <n v="-5667.84"/>
    <n v="0"/>
    <n v="0"/>
    <n v="0"/>
    <n v="0"/>
    <n v="0"/>
    <n v="0"/>
    <n v="0"/>
    <n v="0"/>
    <n v="0"/>
    <n v="-16166.66"/>
  </r>
  <r>
    <s v="L-ERP-446"/>
    <x v="59"/>
    <s v="Meadows, Leslie_CONTRACTORS_POClosure001"/>
    <s v="ERP"/>
    <s v="Patel, Apurva"/>
    <s v="Dougherty, Chris"/>
    <s v="Meadows, Leslie"/>
    <s v="Dougherty, Chris"/>
    <s v="Meadows, Leslie"/>
    <s v="Maguire, Karla"/>
    <x v="0"/>
    <s v="PO Closure Credit"/>
    <m/>
    <m/>
    <x v="56"/>
    <s v="CHW - Ok"/>
    <m/>
    <m/>
    <x v="0"/>
    <m/>
    <m/>
    <n v="0"/>
    <n v="-14694"/>
    <m/>
    <m/>
    <m/>
    <m/>
    <n v="-14694"/>
    <n v="0"/>
    <n v="0"/>
    <n v="0"/>
    <n v="0"/>
    <n v="0"/>
    <n v="0"/>
    <n v="0"/>
    <n v="0"/>
    <n v="0"/>
    <n v="-14694"/>
    <n v="0"/>
    <n v="0"/>
    <n v="0"/>
    <n v="0"/>
    <m/>
    <n v="0"/>
    <m/>
    <m/>
    <m/>
    <n v="-14694"/>
    <n v="0"/>
    <n v="0"/>
    <n v="0"/>
    <n v="0"/>
    <n v="0"/>
    <n v="0"/>
    <n v="0"/>
    <n v="0"/>
    <n v="0"/>
    <n v="-14694"/>
    <m/>
    <m/>
    <n v="-14694"/>
    <n v="0"/>
    <n v="0"/>
    <n v="0"/>
    <n v="0"/>
    <n v="0"/>
    <n v="0"/>
    <n v="0"/>
    <n v="0"/>
    <n v="0"/>
    <n v="-14694"/>
  </r>
  <r>
    <s v="L-ERP-350"/>
    <x v="60"/>
    <s v="McCormick, Pete_HW MAINTENANCE_2026-XFR-ML001"/>
    <s v="ERP"/>
    <s v="Patel, Apurva"/>
    <s v="Dougherty, Chris"/>
    <s v="McCormick, Pete"/>
    <s v="Dougherty, Chris"/>
    <s v="McCormick, Pete"/>
    <s v="Maguire, Karla"/>
    <x v="6"/>
    <s v="SAP ERP - 2025 Lifecycle Management Projects - Citrix Servers - Production AWS"/>
    <m/>
    <m/>
    <x v="57"/>
    <m/>
    <m/>
    <m/>
    <x v="12"/>
    <m/>
    <m/>
    <n v="51615"/>
    <n v="38711.25"/>
    <m/>
    <m/>
    <m/>
    <m/>
    <m/>
    <s v=""/>
    <n v="0"/>
    <n v="0"/>
    <n v="4301.25"/>
    <n v="4301.25"/>
    <n v="4301.25"/>
    <n v="4301.25"/>
    <n v="4301.25"/>
    <n v="4301.25"/>
    <n v="25807.5"/>
    <n v="-12903.75"/>
    <n v="1000"/>
    <n v="-1000"/>
    <n v="-12903.75"/>
    <m/>
    <n v="-12903.75"/>
    <m/>
    <m/>
    <m/>
    <m/>
    <n v="4301.25"/>
    <n v="4301.25"/>
    <n v="4301.25"/>
    <n v="4301.25"/>
    <n v="4301.25"/>
    <n v="4301.25"/>
    <n v="4301.25"/>
    <n v="4301.25"/>
    <n v="4301.25"/>
    <n v="38711.25"/>
    <m/>
    <m/>
    <m/>
    <n v="4301.25"/>
    <n v="4301.25"/>
    <n v="4301.25"/>
    <n v="4301.25"/>
    <n v="4301.25"/>
    <n v="4301.25"/>
    <n v="4301.25"/>
    <n v="4301.25"/>
    <n v="4301.25"/>
    <n v="38711.25"/>
  </r>
  <r>
    <s v="L-ERP-351"/>
    <x v="61"/>
    <s v="McCormick, Pete_HW MAINTENANCE_2026-XFR-ML002"/>
    <s v="ERP"/>
    <s v="Patel, Apurva"/>
    <s v="Dougherty, Chris"/>
    <s v="McCormick, Pete"/>
    <s v="Dougherty, Chris"/>
    <s v="McCormick, Pete"/>
    <s v="Maguire, Karla"/>
    <x v="6"/>
    <s v="SAP ERP - 2025 Lifecycle Management Projects - Citrix Servers - On Prem - Durham"/>
    <m/>
    <m/>
    <x v="58"/>
    <m/>
    <m/>
    <m/>
    <x v="12"/>
    <m/>
    <m/>
    <n v="-12195"/>
    <n v="-9146.25"/>
    <m/>
    <m/>
    <m/>
    <m/>
    <m/>
    <s v=""/>
    <n v="0"/>
    <n v="0"/>
    <n v="-1016.25"/>
    <n v="-1016.25"/>
    <n v="-1016.25"/>
    <n v="-1016.25"/>
    <n v="-1016.25"/>
    <n v="-1016.25"/>
    <n v="-6097.5"/>
    <n v="3048.75"/>
    <n v="0"/>
    <n v="0"/>
    <n v="3048.75"/>
    <m/>
    <n v="3048.7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s v="L-ERP-352"/>
    <x v="62"/>
    <s v="McCormick, Pete_HW MAINTENANCE_2026-XFR-ML003"/>
    <s v="ERP"/>
    <s v="Patel, Apurva"/>
    <s v="Dougherty, Chris"/>
    <s v="McCormick, Pete"/>
    <s v="Dougherty, Chris"/>
    <s v="McCormick, Pete"/>
    <s v="Maguire, Karla"/>
    <x v="6"/>
    <s v="SAP ERP - 2025 Lifecycle Management Projects - Citrix Servers - On Prem - Somerset"/>
    <m/>
    <m/>
    <x v="59"/>
    <m/>
    <m/>
    <m/>
    <x v="12"/>
    <m/>
    <m/>
    <n v="-12195"/>
    <n v="-9146.25"/>
    <m/>
    <m/>
    <m/>
    <m/>
    <m/>
    <s v=""/>
    <n v="0"/>
    <n v="0"/>
    <n v="-1016.25"/>
    <n v="-1016.25"/>
    <n v="-1016.25"/>
    <n v="-1016.25"/>
    <n v="-1016.25"/>
    <n v="-1016.25"/>
    <n v="-6097.5"/>
    <n v="3048.75"/>
    <n v="10000"/>
    <n v="-10000"/>
    <n v="3048.75"/>
    <m/>
    <n v="3048.75"/>
    <m/>
    <m/>
    <m/>
    <m/>
    <n v="-1016.25"/>
    <n v="-1016.25"/>
    <n v="-1016.25"/>
    <n v="-1016.25"/>
    <n v="-1016.25"/>
    <n v="-1016.25"/>
    <n v="-1016.25"/>
    <n v="-1016.25"/>
    <n v="-1016.25"/>
    <n v="-9146.25"/>
    <m/>
    <m/>
    <m/>
    <n v="-1016.25"/>
    <n v="-1016.25"/>
    <n v="-1016.25"/>
    <n v="-1016.25"/>
    <n v="-1016.25"/>
    <n v="-1016.25"/>
    <n v="-1016.25"/>
    <n v="-1016.25"/>
    <n v="-1016.25"/>
    <n v="-9146.25"/>
  </r>
  <r>
    <s v="L-ERP-326"/>
    <x v="63"/>
    <s v="Maguire, Karla_HW MAINTENANCE_BillingSweep005"/>
    <s v="ERP"/>
    <s v="Patel, Apurva"/>
    <s v="Dougherty, Chris"/>
    <s v="Dougherty, Chris"/>
    <s v="Dougherty, Chris"/>
    <s v="Maguire, Karla"/>
    <s v="Maguire, Karla"/>
    <x v="6"/>
    <s v="Billing Sweep"/>
    <m/>
    <m/>
    <x v="60"/>
    <s v="CHW - Ok"/>
    <s v="N/A"/>
    <m/>
    <x v="0"/>
    <s v="KP- Could you confirm who this line was transferred to?"/>
    <m/>
    <n v="0"/>
    <n v="-904.37"/>
    <m/>
    <m/>
    <m/>
    <n v="-904.37"/>
    <n v="0"/>
    <n v="0"/>
    <n v="0"/>
    <n v="0"/>
    <n v="0"/>
    <n v="0"/>
    <n v="0"/>
    <n v="0"/>
    <n v="0"/>
    <n v="0"/>
    <n v="-904.37"/>
    <n v="0"/>
    <n v="0"/>
    <n v="0"/>
    <n v="0"/>
    <m/>
    <n v="0"/>
    <m/>
    <m/>
    <n v="-904.37"/>
    <n v="0"/>
    <n v="0"/>
    <n v="0"/>
    <n v="0"/>
    <n v="0"/>
    <n v="0"/>
    <n v="0"/>
    <n v="0"/>
    <n v="0"/>
    <n v="0"/>
    <n v="-904.37"/>
    <m/>
    <n v="-904.37"/>
    <n v="0"/>
    <n v="0"/>
    <n v="0"/>
    <n v="0"/>
    <n v="0"/>
    <n v="0"/>
    <n v="0"/>
    <n v="0"/>
    <n v="0"/>
    <n v="0"/>
    <n v="-904.37"/>
  </r>
  <r>
    <s v="L-ERP-327"/>
    <x v="64"/>
    <s v="Maguire, Karla_HW MAINTENANCE_BillingSweep011"/>
    <s v="ERP"/>
    <s v="Patel, Apurva"/>
    <s v="Dougherty, Chris"/>
    <s v="Dougherty, Chris"/>
    <s v="Dougherty, Chris"/>
    <s v="Maguire, Karla"/>
    <s v="Maguire, Karla"/>
    <x v="6"/>
    <s v="BillingSweep011"/>
    <m/>
    <m/>
    <x v="61"/>
    <s v="CHW - Ok"/>
    <s v="N/A"/>
    <m/>
    <x v="0"/>
    <s v="KP- Could you confirm who this line was transferred to?"/>
    <m/>
    <n v="0"/>
    <n v="0"/>
    <m/>
    <m/>
    <m/>
    <m/>
    <n v="0"/>
    <n v="-12412.23"/>
    <n v="0"/>
    <n v="0"/>
    <n v="0"/>
    <n v="0"/>
    <n v="0"/>
    <n v="0"/>
    <n v="0"/>
    <n v="0"/>
    <n v="-12412.23"/>
    <n v="-12412.23"/>
    <n v="0"/>
    <n v="0"/>
    <n v="-12412.23"/>
    <m/>
    <n v="-12412.23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28"/>
    <x v="65"/>
    <s v="Maguire, Karla_HW MAINTENANCE_BillingSweep012"/>
    <s v="ERP"/>
    <s v="Patel, Apurva"/>
    <s v="Dougherty, Chris"/>
    <s v="Dougherty, Chris"/>
    <s v="Dougherty, Chris"/>
    <s v="Maguire, Karla"/>
    <s v="Maguire, Karla"/>
    <x v="6"/>
    <s v="BillingSweep012"/>
    <m/>
    <m/>
    <x v="62"/>
    <m/>
    <s v="N/A"/>
    <m/>
    <x v="0"/>
    <m/>
    <m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329"/>
    <x v="66"/>
    <s v="Maguire, Karla_HW MAINTENANCE_BillingSweep016"/>
    <s v="ERP"/>
    <s v="Patel, Apurva"/>
    <s v="Dougherty, Chris"/>
    <s v="Dougherty, Chris"/>
    <s v="Dougherty, Chris"/>
    <s v="Maguire, Karla"/>
    <s v="Maguire, Karla"/>
    <x v="6"/>
    <s v="BillingSweep016"/>
    <m/>
    <m/>
    <x v="63"/>
    <s v="CHW - Ok"/>
    <s v="N/A"/>
    <m/>
    <x v="0"/>
    <s v="KP- Could you confirm who this line was transferred to?"/>
    <m/>
    <n v="0"/>
    <n v="0"/>
    <m/>
    <m/>
    <m/>
    <n v="0"/>
    <n v="0"/>
    <n v="-3033.45"/>
    <n v="0"/>
    <n v="0"/>
    <n v="0"/>
    <n v="0"/>
    <n v="0"/>
    <n v="0"/>
    <n v="0"/>
    <n v="0"/>
    <n v="-3033.45"/>
    <n v="-3033.45"/>
    <n v="0"/>
    <n v="0"/>
    <n v="-3033.45"/>
    <m/>
    <n v="-3033.45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ERP-032"/>
    <x v="67"/>
    <s v="Maguire, Karla_HW MAINTENANCE_BILLINGSWEEP017"/>
    <s v="ERP"/>
    <s v="Patel, Apurva"/>
    <s v="Dougherty, Chris"/>
    <s v="Dougherty, Chris"/>
    <s v="Dougherty, Chris"/>
    <s v="Maguire, Karla"/>
    <s v="Maguire, Karla"/>
    <x v="6"/>
    <s v="ITFM-DIGITAL-CS232234-ITONBOARD"/>
    <m/>
    <s v="2661893"/>
    <x v="64"/>
    <m/>
    <m/>
    <m/>
    <x v="2"/>
    <s v="KP- Could you confirm who this line was transferred to?"/>
    <m/>
    <m/>
    <m/>
    <m/>
    <m/>
    <m/>
    <m/>
    <m/>
    <n v="-638.70000000000005"/>
    <n v="0"/>
    <n v="0"/>
    <m/>
    <m/>
    <m/>
    <m/>
    <m/>
    <m/>
    <n v="-638.70000000000005"/>
    <n v="-638.70000000000005"/>
    <m/>
    <n v="0"/>
    <n v="-638.70000000000005"/>
    <m/>
    <n v="-638.70000000000005"/>
    <m/>
    <m/>
    <m/>
    <m/>
    <m/>
    <m/>
    <m/>
    <m/>
    <m/>
    <m/>
    <m/>
    <m/>
    <m/>
    <m/>
    <m/>
    <m/>
    <m/>
    <m/>
    <m/>
    <m/>
    <m/>
    <m/>
    <m/>
    <m/>
    <m/>
    <m/>
    <m/>
  </r>
  <r>
    <s v="L-ERP-330"/>
    <x v="68"/>
    <s v="Maguire, Karla_HW MAINTENANCE_BillingSweep019"/>
    <s v="ERP"/>
    <s v="Patel, Apurva"/>
    <s v="Dougherty, Chris"/>
    <s v="Dougherty, Chris"/>
    <s v="Dougherty, Chris"/>
    <s v="Maguire, Karla"/>
    <s v="Maguire, Karla"/>
    <x v="6"/>
    <s v="BillingSweep019"/>
    <m/>
    <m/>
    <x v="65"/>
    <m/>
    <s v="N/A"/>
    <m/>
    <x v="0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ERP-012"/>
    <x v="69"/>
    <s v="Dougherty, Chris_HW MAINTENANCE_BillSweepMisc"/>
    <s v="ERP"/>
    <s v="Patel, Apurva"/>
    <s v="Dougherty, Chris"/>
    <s v="Dougherty, Chris"/>
    <s v="Dougherty, Chris"/>
    <s v="Dougherty, Chris"/>
    <s v="Dougherty, Chris"/>
    <x v="6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16084.39"/>
    <n v="-16084.39"/>
    <n v="0"/>
    <m/>
    <n v="0"/>
    <m/>
    <m/>
    <m/>
    <m/>
    <n v="-16084.39"/>
    <n v="16084.39"/>
    <m/>
    <m/>
    <m/>
    <m/>
    <m/>
    <m/>
    <m/>
    <n v="0"/>
    <m/>
    <m/>
    <m/>
    <m/>
    <m/>
    <m/>
    <m/>
    <m/>
    <m/>
    <m/>
    <m/>
    <m/>
    <m/>
  </r>
  <r>
    <s v="L-ERP-070"/>
    <x v="70"/>
    <s v="Dougherty, Chris_HW MAINTENANCE_EP&amp;SCharges001"/>
    <s v="ERP"/>
    <s v="Patel, Apurva"/>
    <s v="Dougherty, Chris"/>
    <s v="Dougherty, Chris"/>
    <s v="Dougherty, Chris"/>
    <s v="Dougherty, Chris"/>
    <s v="Maguire, Karla"/>
    <x v="6"/>
    <s v="Infrastructure Billing Charges"/>
    <m/>
    <m/>
    <x v="6"/>
    <s v="CHW - Ok"/>
    <s v="N/A"/>
    <m/>
    <x v="3"/>
    <m/>
    <m/>
    <n v="0"/>
    <n v="2120"/>
    <m/>
    <m/>
    <n v="2120"/>
    <n v="0"/>
    <n v="0"/>
    <s v=""/>
    <n v="0"/>
    <n v="0"/>
    <n v="0"/>
    <n v="0"/>
    <n v="0"/>
    <n v="0"/>
    <n v="0"/>
    <n v="0"/>
    <n v="2120"/>
    <n v="0"/>
    <n v="0"/>
    <n v="0"/>
    <n v="0"/>
    <m/>
    <n v="0"/>
    <m/>
    <n v="2120"/>
    <n v="0"/>
    <n v="0"/>
    <n v="0"/>
    <n v="0"/>
    <n v="0"/>
    <n v="0"/>
    <n v="0"/>
    <n v="0"/>
    <n v="0"/>
    <n v="0"/>
    <n v="0"/>
    <n v="2120"/>
    <n v="2120"/>
    <n v="0"/>
    <n v="0"/>
    <n v="0"/>
    <n v="0"/>
    <n v="0"/>
    <n v="0"/>
    <n v="0"/>
    <n v="0"/>
    <n v="0"/>
    <n v="0"/>
    <n v="0"/>
    <n v="2120"/>
  </r>
  <r>
    <s v="L-ERP-069"/>
    <x v="71"/>
    <s v="Dougherty, Chris_HW MAINTENANCE_IT-FGS0299-OG-US-00"/>
    <s v="ERP"/>
    <s v="Patel, Apurva"/>
    <s v="Dougherty, Chris"/>
    <s v="Dougherty, Chris"/>
    <s v="Dougherty, Chris"/>
    <s v="Dougherty, Chris"/>
    <s v="Maguire, Karla"/>
    <x v="6"/>
    <s v="Others (Vending, Meeting event, Devices Unreturned, Applecare, Mac-mgmt, IT Onboard, etc.)"/>
    <m/>
    <m/>
    <x v="67"/>
    <m/>
    <s v="N/A"/>
    <m/>
    <x v="3"/>
    <m/>
    <m/>
    <n v="0"/>
    <n v="20"/>
    <m/>
    <m/>
    <n v="20"/>
    <n v="0"/>
    <n v="0"/>
    <n v="22"/>
    <n v="0"/>
    <n v="2147"/>
    <n v="0"/>
    <n v="0"/>
    <n v="0"/>
    <n v="0"/>
    <n v="0"/>
    <n v="0"/>
    <n v="2189"/>
    <n v="2169"/>
    <n v="0"/>
    <n v="2147"/>
    <n v="2169"/>
    <m/>
    <n v="2169"/>
    <m/>
    <n v="2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20"/>
  </r>
  <r>
    <s v="L-ERP-316"/>
    <x v="71"/>
    <s v="Maguire, Karla_HW MAINTENANCE_IT-FGS0299-OG-US-00"/>
    <s v="ERP"/>
    <s v="Patel, Apurva"/>
    <s v="Dougherty, Chris"/>
    <s v="Dougherty, Chris"/>
    <s v="Dougherty, Chris"/>
    <s v="Maguire, Karla"/>
    <s v="Maguire, Karla"/>
    <x v="6"/>
    <s v="Others (Vending, Meeting event, Devices Unreturned, Applecare, Mac-mgmt, IT Onboard, etc.)"/>
    <m/>
    <m/>
    <x v="67"/>
    <m/>
    <s v="N/A"/>
    <m/>
    <x v="3"/>
    <s v="KP- Could you confirm who this line was transferred to?"/>
    <m/>
    <n v="0"/>
    <n v="2955.3"/>
    <m/>
    <m/>
    <n v="1146.01"/>
    <n v="0"/>
    <n v="1809.29"/>
    <n v="5504.11"/>
    <n v="299.02999999999997"/>
    <n v="0"/>
    <n v="0"/>
    <n v="0"/>
    <n v="0"/>
    <n v="0"/>
    <n v="0"/>
    <n v="0"/>
    <n v="8758.44"/>
    <n v="5803.14"/>
    <n v="0"/>
    <n v="0"/>
    <n v="5803.14"/>
    <m/>
    <n v="5803.14"/>
    <m/>
    <n v="1146.01"/>
    <n v="0"/>
    <n v="1809.29"/>
    <n v="0"/>
    <n v="0"/>
    <n v="0"/>
    <n v="0"/>
    <n v="0"/>
    <n v="0"/>
    <n v="0"/>
    <n v="0"/>
    <n v="0"/>
    <n v="2955.3"/>
    <n v="1146.01"/>
    <n v="0"/>
    <n v="1809.29"/>
    <n v="0"/>
    <n v="0"/>
    <n v="0"/>
    <n v="0"/>
    <n v="0"/>
    <n v="0"/>
    <n v="0"/>
    <n v="0"/>
    <n v="0"/>
    <n v="2955.3"/>
  </r>
  <r>
    <s v="N-ERP-586"/>
    <x v="72"/>
    <s v="McCormick, Pete_HW MAINTENANCE_IT-HRD0003-OG-US-DH"/>
    <s v="ERP"/>
    <s v="Patel, Apurva"/>
    <s v="Dougherty, Chris"/>
    <s v="McCormick, Pete"/>
    <s v="Dougherty, Chris"/>
    <s v="McCormick, Pete"/>
    <s v="Maguire, Karla"/>
    <x v="6"/>
    <s v="DELL PowerMax &amp; CISCO San Switches HW Maintenance - Durham (Pullforward Debit)"/>
    <m/>
    <m/>
    <x v="68"/>
    <m/>
    <s v="9501140551"/>
    <s v="Yes"/>
    <x v="13"/>
    <s v="4/28/26 CHW New add to tie-out 0223 to 0317 Planful Extracts"/>
    <m/>
    <n v="749252.7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749252.78"/>
    <n v="0"/>
    <n v="0"/>
    <n v="0"/>
    <n v="0"/>
    <n v="0"/>
    <n v="0"/>
    <n v="0"/>
    <n v="0"/>
    <n v="0"/>
    <n v="0"/>
    <n v="0"/>
    <n v="749252.78"/>
  </r>
  <r>
    <s v="N-ERP-587"/>
    <x v="73"/>
    <s v="McCormick, Pete_HW MAINTENANCE_IT-HRD0003-OG-US-DH/PF"/>
    <s v="ERP"/>
    <s v="Patel, Apurva"/>
    <s v="Dougherty, Chris"/>
    <s v="McCormick, Pete"/>
    <s v="Dougherty, Chris"/>
    <s v="McCormick, Pete"/>
    <s v="Maguire, Karla"/>
    <x v="6"/>
    <s v="DELL PowerMax &amp; CISCO San Switches HW Maintenance - Durham (Pullforward Credit)"/>
    <m/>
    <m/>
    <x v="69"/>
    <m/>
    <s v="9501140551"/>
    <s v="Yes"/>
    <x v="13"/>
    <s v="4/28/26 CHW New add to tie-out 0223 to 0317 Planful Extracts"/>
    <m/>
    <n v="-749252.7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749252.78"/>
    <n v="0"/>
    <n v="0"/>
    <n v="0"/>
    <n v="0"/>
    <n v="0"/>
    <n v="0"/>
    <n v="0"/>
    <n v="0"/>
    <n v="0"/>
    <n v="0"/>
    <n v="0"/>
    <n v="-749252.78"/>
  </r>
  <r>
    <s v="N-ERP-588"/>
    <x v="74"/>
    <s v="McCormick, Pete_HW MAINTENANCE_IT-HRD0004-OG-US-SS"/>
    <s v="ERP"/>
    <s v="Patel, Apurva"/>
    <s v="Dougherty, Chris"/>
    <s v="McCormick, Pete"/>
    <s v="Dougherty, Chris"/>
    <s v="McCormick, Pete"/>
    <s v="Maguire, Karla"/>
    <x v="6"/>
    <s v="DELL PowerMax &amp; CISCO San Switches HW Maintenance - Somerset (Pullforward Debit)"/>
    <m/>
    <m/>
    <x v="70"/>
    <m/>
    <s v="9501140459"/>
    <s v="Yes"/>
    <x v="13"/>
    <s v="4/28/26 CHW New add to tie-out 0223 to 0317 Planful Extracts"/>
    <m/>
    <n v="783580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783580.73"/>
    <n v="0"/>
    <n v="0"/>
    <n v="0"/>
    <n v="0"/>
    <n v="0"/>
    <n v="0"/>
    <n v="0"/>
    <n v="0"/>
    <n v="0"/>
    <n v="0"/>
    <n v="0"/>
    <n v="783580.73"/>
  </r>
  <r>
    <s v="N-ERP-589"/>
    <x v="75"/>
    <s v="McCormick, Pete_HW MAINTENANCE_IT-HRD0004-OG-US-SS/PF"/>
    <s v="ERP"/>
    <s v="Patel, Apurva"/>
    <s v="Dougherty, Chris"/>
    <s v="McCormick, Pete"/>
    <s v="Dougherty, Chris"/>
    <s v="McCormick, Pete"/>
    <s v="Maguire, Karla"/>
    <x v="6"/>
    <s v="DELL PowerMax &amp; CISCO San Switches HW Maintenance - Somerset (Pullforward Credit)"/>
    <m/>
    <m/>
    <x v="71"/>
    <m/>
    <s v="9501140459"/>
    <s v="Yes"/>
    <x v="13"/>
    <s v="4/28/26 CHW New add to tie-out 0223 to 0317 Planful Extracts"/>
    <m/>
    <n v="-783580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783580.73"/>
    <n v="0"/>
    <n v="0"/>
    <n v="0"/>
    <n v="0"/>
    <n v="0"/>
    <n v="0"/>
    <n v="0"/>
    <n v="0"/>
    <n v="0"/>
    <n v="0"/>
    <n v="0"/>
    <n v="-783580.73"/>
  </r>
  <r>
    <s v="ERP-053"/>
    <x v="76"/>
    <s v="Dougherty, Chris_HW MAINTENANCE_MISC001"/>
    <s v="ERP"/>
    <s v="Patel, Apurva"/>
    <s v="Dougherty, Chris"/>
    <s v="Dougherty, Chris"/>
    <s v="Dougherty, Chris"/>
    <s v="Dougherty, Chris"/>
    <s v="Dougherty, Chris"/>
    <x v="6"/>
    <s v="Miscellaneous Charges"/>
    <m/>
    <s v="2321402"/>
    <x v="54"/>
    <m/>
    <m/>
    <m/>
    <x v="2"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331"/>
    <x v="76"/>
    <s v="Maguire, Karla_HW MAINTENANCE_MISC001"/>
    <s v="ERP"/>
    <s v="Patel, Apurva"/>
    <s v="Dougherty, Chris"/>
    <s v="Dougherty, Chris"/>
    <s v="Dougherty, Chris"/>
    <s v="Maguire, Karla"/>
    <s v="Maguire, Karla"/>
    <x v="6"/>
    <s v="Miscellaneous Charges"/>
    <m/>
    <m/>
    <x v="54"/>
    <m/>
    <m/>
    <m/>
    <x v="0"/>
    <s v="KP- Could you confirm who this line was transferred to?"/>
    <m/>
    <n v="0"/>
    <n v="0.62000000000000011"/>
    <m/>
    <m/>
    <n v="-0.1"/>
    <n v="-0.09"/>
    <n v="0.81"/>
    <n v="-0.53"/>
    <n v="0.61"/>
    <n v="0"/>
    <n v="0"/>
    <n v="0"/>
    <n v="0"/>
    <n v="0"/>
    <n v="0"/>
    <n v="0"/>
    <n v="0.70000000000000007"/>
    <n v="7.999999999999996E-2"/>
    <n v="0"/>
    <n v="0"/>
    <n v="7.999999999999996E-2"/>
    <m/>
    <n v="7.999999999999996E-2"/>
    <m/>
    <n v="-0.1"/>
    <n v="-0.09"/>
    <n v="0.81"/>
    <n v="0"/>
    <n v="0"/>
    <n v="0"/>
    <n v="0"/>
    <n v="0"/>
    <n v="0"/>
    <n v="0"/>
    <n v="0"/>
    <n v="0"/>
    <n v="0.62000000000000011"/>
    <n v="-0.1"/>
    <n v="-0.09"/>
    <n v="0.81"/>
    <n v="0"/>
    <n v="0"/>
    <n v="0"/>
    <n v="0"/>
    <n v="0"/>
    <n v="0"/>
    <n v="0"/>
    <n v="0"/>
    <n v="0"/>
    <n v="0.62000000000000011"/>
  </r>
  <r>
    <s v="N-ERP-613"/>
    <x v="77"/>
    <s v="Tamavada, Ram_MANAGED SERVICES_2026-XFR-0008-B"/>
    <s v="ERP"/>
    <s v="Patel, Apurva"/>
    <s v="Dougherty, Chris"/>
    <s v="Tamavada, Ram"/>
    <s v="Dougherty, Chris"/>
    <s v="Tamavada, Ram"/>
    <s v="Maguire, Karla"/>
    <x v="7"/>
    <s v="SAP Fieldglass Vendor Management System Implementation: - Application/Platform support and maintenance"/>
    <m/>
    <m/>
    <x v="72"/>
    <m/>
    <m/>
    <m/>
    <x v="12"/>
    <s v="4/28/26 CHW New add to tie-out 0223 to 0317 Planful Extracts DS - Ram already took actions to optimize cost to $200k, doesn't believe there is further opportunity. 2027 goes down to $169k."/>
    <m/>
    <n v="183105"/>
    <n v="0"/>
    <m/>
    <m/>
    <m/>
    <m/>
    <m/>
    <s v=""/>
    <n v="0"/>
    <n v="0"/>
    <m/>
    <m/>
    <m/>
    <m/>
    <m/>
    <m/>
    <n v="0"/>
    <n v="0"/>
    <n v="16071"/>
    <n v="-16071"/>
    <n v="0"/>
    <n v="-183105"/>
    <n v="183105"/>
    <s v="Per Leslie - Fieldglass, no payment is due in 2026 for support under IBM. It will resume in 2027 @ $169,020"/>
    <m/>
    <m/>
    <m/>
    <m/>
    <m/>
    <m/>
    <m/>
    <m/>
    <m/>
    <m/>
    <m/>
    <m/>
    <n v="0"/>
    <n v="15258.75"/>
    <n v="15258.75"/>
    <n v="15258.75"/>
    <n v="15258.75"/>
    <n v="15258.75"/>
    <n v="15258.75"/>
    <n v="15258.75"/>
    <n v="15258.75"/>
    <n v="15258.75"/>
    <n v="15258.75"/>
    <n v="15258.75"/>
    <n v="15258.75"/>
    <n v="183105"/>
  </r>
  <r>
    <s v="L-ERP-502"/>
    <x v="78"/>
    <s v="Tamavada, Ram_MANAGED SERVICES_2026-XFR-0017-C"/>
    <s v="ERP"/>
    <s v="Patel, Apurva"/>
    <s v="Dougherty, Chris"/>
    <s v="Tamavada, Ram"/>
    <s v="Dougherty, Chris"/>
    <s v="Tamavada, Ram"/>
    <s v="Maguire, Karla"/>
    <x v="7"/>
    <s v="Dedicated US PRIME Commerce Cloud - US Prime Cloud Support"/>
    <m/>
    <m/>
    <x v="73"/>
    <m/>
    <m/>
    <m/>
    <x v="12"/>
    <m/>
    <m/>
    <n v="0"/>
    <n v="112500"/>
    <m/>
    <m/>
    <m/>
    <m/>
    <m/>
    <s v=""/>
    <n v="0"/>
    <n v="0"/>
    <n v="19000"/>
    <n v="19000"/>
    <n v="19000"/>
    <n v="18500"/>
    <n v="18500"/>
    <n v="18500"/>
    <n v="112500"/>
    <n v="0"/>
    <n v="0"/>
    <n v="0"/>
    <n v="-37500"/>
    <m/>
    <n v="0"/>
    <m/>
    <m/>
    <m/>
    <m/>
    <n v="12500"/>
    <n v="12500"/>
    <n v="12500"/>
    <n v="12500"/>
    <n v="12500"/>
    <n v="12500"/>
    <n v="12500"/>
    <n v="12500"/>
    <n v="12500"/>
    <n v="112500"/>
    <m/>
    <m/>
    <m/>
    <n v="12500"/>
    <n v="12500"/>
    <n v="12500"/>
    <n v="12500"/>
    <n v="12500"/>
    <n v="12500"/>
    <n v="12500"/>
    <n v="12500"/>
    <n v="12500"/>
    <n v="112500"/>
  </r>
  <r>
    <s v="L-ERP-503"/>
    <x v="79"/>
    <s v="Tamavada, Ram_MANAGED SERVICES_2026-XFR-0017-D"/>
    <s v="ERP"/>
    <s v="Patel, Apurva"/>
    <s v="Dougherty, Chris"/>
    <s v="Tamavada, Ram"/>
    <s v="Dougherty, Chris"/>
    <s v="Tamavada, Ram"/>
    <s v="Maguire, Karla"/>
    <x v="7"/>
    <s v="Dedicated US PRIME Commerce Cloud - ACES/Inmar Support"/>
    <m/>
    <m/>
    <x v="74"/>
    <m/>
    <m/>
    <m/>
    <x v="12"/>
    <m/>
    <m/>
    <n v="0"/>
    <n v="90000"/>
    <m/>
    <m/>
    <m/>
    <m/>
    <m/>
    <s v=""/>
    <n v="0"/>
    <n v="0"/>
    <n v="15000"/>
    <n v="15000"/>
    <n v="15000"/>
    <n v="15000"/>
    <n v="15000"/>
    <n v="15000"/>
    <n v="90000"/>
    <n v="0"/>
    <n v="3190"/>
    <n v="-3190"/>
    <n v="-30000"/>
    <m/>
    <n v="0"/>
    <m/>
    <m/>
    <m/>
    <m/>
    <n v="10000"/>
    <n v="10000"/>
    <n v="10000"/>
    <n v="10000"/>
    <n v="10000"/>
    <n v="10000"/>
    <n v="10000"/>
    <n v="10000"/>
    <n v="10000"/>
    <n v="90000"/>
    <m/>
    <m/>
    <m/>
    <n v="10000"/>
    <n v="10000"/>
    <n v="10000"/>
    <n v="10000"/>
    <n v="10000"/>
    <n v="10000"/>
    <n v="10000"/>
    <n v="10000"/>
    <n v="10000"/>
    <n v="90000"/>
  </r>
  <r>
    <s v="L-ERP-505"/>
    <x v="80"/>
    <s v="Tamavada, Ram_MANAGED SERVICES_2026-XFR-0020-A"/>
    <s v="ERP"/>
    <s v="Patel, Apurva"/>
    <s v="Dougherty, Chris"/>
    <s v="Tamavada, Ram"/>
    <s v="Dougherty, Chris"/>
    <s v="Tamavada, Ram"/>
    <s v="Maguire, Karla"/>
    <x v="7"/>
    <s v="IBM: SAP Prime Global Customer Experience - IBM AMS support costs - SAP Commerce Cloud Prime GCx"/>
    <m/>
    <m/>
    <x v="75"/>
    <m/>
    <m/>
    <m/>
    <x v="14"/>
    <m/>
    <m/>
    <n v="0"/>
    <n v="56250"/>
    <m/>
    <m/>
    <m/>
    <m/>
    <m/>
    <s v=""/>
    <n v="0"/>
    <n v="0"/>
    <n v="9500"/>
    <n v="9250"/>
    <n v="9500"/>
    <n v="9250"/>
    <n v="9500"/>
    <n v="9250"/>
    <n v="56250"/>
    <n v="0"/>
    <n v="12602"/>
    <n v="-12602"/>
    <n v="-18750"/>
    <m/>
    <n v="0"/>
    <m/>
    <m/>
    <m/>
    <m/>
    <n v="6250"/>
    <n v="6250"/>
    <n v="6250"/>
    <n v="6250"/>
    <n v="6250"/>
    <n v="6250"/>
    <n v="6250"/>
    <n v="6250"/>
    <n v="6250"/>
    <n v="56250"/>
    <m/>
    <m/>
    <m/>
    <n v="6250"/>
    <n v="6250"/>
    <n v="6250"/>
    <n v="6250"/>
    <n v="6250"/>
    <n v="6250"/>
    <n v="6250"/>
    <n v="6250"/>
    <n v="6250"/>
    <n v="56250"/>
  </r>
  <r>
    <s v="ERP-020"/>
    <x v="81"/>
    <s v="McCormick, Pete_MANAGED SERVICES_AD-RAOCBINT3-PD-15-US-00"/>
    <s v="ERP"/>
    <s v="Patel, Apurva"/>
    <s v="Dougherty, Chris"/>
    <s v="McCormick, Pete"/>
    <s v="Dougherty, Chris"/>
    <s v="McCormick, Pete"/>
    <s v="McCormick, Pete"/>
    <x v="7"/>
    <s v="DIGITAL-DATAPROTECTION-2026-003"/>
    <m/>
    <s v="2329614"/>
    <x v="76"/>
    <m/>
    <m/>
    <m/>
    <x v="2"/>
    <m/>
    <m/>
    <m/>
    <m/>
    <m/>
    <m/>
    <m/>
    <m/>
    <m/>
    <n v="19"/>
    <n v="0"/>
    <n v="0"/>
    <m/>
    <m/>
    <m/>
    <m/>
    <m/>
    <m/>
    <n v="19"/>
    <n v="19"/>
    <n v="0"/>
    <n v="0"/>
    <n v="19"/>
    <m/>
    <n v="19"/>
    <m/>
    <m/>
    <m/>
    <m/>
    <m/>
    <m/>
    <m/>
    <m/>
    <m/>
    <m/>
    <m/>
    <m/>
    <m/>
    <m/>
    <m/>
    <m/>
    <m/>
    <m/>
    <m/>
    <m/>
    <m/>
    <m/>
    <m/>
    <m/>
    <m/>
    <m/>
    <m/>
  </r>
  <r>
    <s v="ERP-021"/>
    <x v="82"/>
    <s v="McCormick, Pete_MANAGED SERVICES_AR-700001184-1400"/>
    <s v="ERP"/>
    <s v="Patel, Apurva"/>
    <s v="Dougherty, Chris"/>
    <s v="McCormick, Pete"/>
    <s v="Dougherty, Chris"/>
    <s v="McCormick, Pete"/>
    <s v="McCormick, Pete"/>
    <x v="7"/>
    <s v="MS BT SUST - DIGITAL-DATAPROTECTION"/>
    <m/>
    <s v="2329614"/>
    <x v="77"/>
    <m/>
    <m/>
    <m/>
    <x v="2"/>
    <m/>
    <m/>
    <m/>
    <m/>
    <m/>
    <m/>
    <m/>
    <m/>
    <m/>
    <n v="190"/>
    <n v="0"/>
    <n v="0"/>
    <m/>
    <m/>
    <m/>
    <m/>
    <m/>
    <m/>
    <n v="190"/>
    <n v="190"/>
    <m/>
    <n v="0"/>
    <n v="190"/>
    <m/>
    <n v="190"/>
    <m/>
    <m/>
    <m/>
    <m/>
    <m/>
    <m/>
    <m/>
    <m/>
    <m/>
    <m/>
    <m/>
    <m/>
    <m/>
    <m/>
    <m/>
    <m/>
    <m/>
    <m/>
    <m/>
    <m/>
    <m/>
    <m/>
    <m/>
    <m/>
    <m/>
    <m/>
    <m/>
  </r>
  <r>
    <s v="L-ERP-311"/>
    <x v="83"/>
    <s v="Maguire, Karla_MANAGED SERVICES_BillingRev001"/>
    <s v="ERP"/>
    <s v="Patel, Apurva"/>
    <s v="Dougherty, Chris"/>
    <s v="Dougherty, Chris"/>
    <s v="Dougherty, Chris"/>
    <s v="Maguire, Karla"/>
    <s v="Maguire, Karla"/>
    <x v="7"/>
    <s v="Billing Forecast - Cloud Brokerage"/>
    <m/>
    <m/>
    <x v="78"/>
    <m/>
    <s v="N/A"/>
    <m/>
    <x v="15"/>
    <s v="KP- Could you confirm who this line was transferred to?"/>
    <m/>
    <n v="0"/>
    <n v="0"/>
    <m/>
    <m/>
    <m/>
    <n v="0"/>
    <n v="0"/>
    <n v="-1732.97"/>
    <n v="0"/>
    <n v="0"/>
    <n v="0"/>
    <n v="0"/>
    <n v="0"/>
    <n v="0"/>
    <n v="0"/>
    <n v="0"/>
    <n v="-1732.97"/>
    <n v="-1732.97"/>
    <n v="0"/>
    <n v="0"/>
    <n v="-1732.97"/>
    <m/>
    <n v="-1732.97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N-ERP-508"/>
    <x v="84"/>
    <s v="Dougherty, Chris_MANAGED SERVICES_BillingRev019"/>
    <s v="ERP"/>
    <s v="Patel, Apurva"/>
    <s v="Dougherty, Chris"/>
    <s v="Dougherty, Chris"/>
    <s v="Dougherty, Chris"/>
    <s v="Dougherty, Chris"/>
    <s v="Maguire, Karla"/>
    <x v="7"/>
    <s v="Billing Forecast - UC4 Automic"/>
    <m/>
    <m/>
    <x v="79"/>
    <m/>
    <s v="N/A"/>
    <m/>
    <x v="16"/>
    <s v="4/28/26 CHW New add to tie-out 0223 to 0317 Planful Extracts 0"/>
    <m/>
    <n v="-21666.659999999996"/>
    <n v="-15000"/>
    <m/>
    <m/>
    <m/>
    <m/>
    <m/>
    <s v=""/>
    <n v="0"/>
    <n v="0"/>
    <n v="-1666.67"/>
    <n v="-1666.67"/>
    <n v="-1666.67"/>
    <n v="0"/>
    <n v="0"/>
    <n v="0"/>
    <n v="-5000.01"/>
    <n v="9999.99"/>
    <n v="0"/>
    <n v="0"/>
    <n v="9999.99"/>
    <m/>
    <n v="9999.99"/>
    <m/>
    <m/>
    <m/>
    <m/>
    <n v="-3333.33"/>
    <n v="-3333.33"/>
    <n v="-3333.33"/>
    <n v="-1666.67"/>
    <n v="-1666.67"/>
    <n v="-1666.67"/>
    <n v="0"/>
    <n v="0"/>
    <n v="0"/>
    <n v="-15000"/>
    <n v="0"/>
    <n v="-3333.33"/>
    <n v="-3333.33"/>
    <n v="-3333.33"/>
    <n v="-3333.33"/>
    <n v="-3333.33"/>
    <n v="-1666.67"/>
    <n v="-1666.67"/>
    <n v="-1666.67"/>
    <n v="0"/>
    <n v="0"/>
    <n v="0"/>
    <n v="-21666.659999999996"/>
  </r>
  <r>
    <s v="L-ERP-332"/>
    <x v="85"/>
    <s v="Maguire, Karla_MANAGED SERVICES_BillingSweep005"/>
    <s v="ERP"/>
    <s v="Patel, Apurva"/>
    <s v="Dougherty, Chris"/>
    <s v="Dougherty, Chris"/>
    <s v="Dougherty, Chris"/>
    <s v="Maguire, Karla"/>
    <s v="Maguire, Karla"/>
    <x v="7"/>
    <s v="Billing Sweep"/>
    <m/>
    <m/>
    <x v="60"/>
    <s v="CHW - Ok"/>
    <s v="N/A"/>
    <m/>
    <x v="0"/>
    <s v="KP- Could you confirm who this line was transferred to?"/>
    <m/>
    <n v="0"/>
    <n v="-108.52"/>
    <m/>
    <m/>
    <m/>
    <n v="-108.52"/>
    <n v="0"/>
    <n v="0"/>
    <n v="0"/>
    <n v="0"/>
    <n v="0"/>
    <n v="0"/>
    <n v="0"/>
    <n v="0"/>
    <n v="0"/>
    <n v="0"/>
    <n v="-108.52"/>
    <n v="0"/>
    <n v="0"/>
    <n v="0"/>
    <n v="0"/>
    <m/>
    <n v="0"/>
    <m/>
    <m/>
    <n v="-108.52"/>
    <n v="0"/>
    <n v="0"/>
    <n v="0"/>
    <n v="0"/>
    <n v="0"/>
    <n v="0"/>
    <n v="0"/>
    <n v="0"/>
    <n v="0"/>
    <n v="0"/>
    <n v="-108.52"/>
    <m/>
    <n v="-108.52"/>
    <n v="0"/>
    <n v="0"/>
    <n v="0"/>
    <n v="0"/>
    <n v="0"/>
    <n v="0"/>
    <n v="0"/>
    <n v="0"/>
    <n v="0"/>
    <n v="0"/>
    <n v="-108.52"/>
  </r>
  <r>
    <s v="ERP-056"/>
    <x v="86"/>
    <s v="Tamavada, Ram_MANAGED SERVICES_BILLINGSWEEP006"/>
    <s v="ERP"/>
    <s v="Patel, Apurva"/>
    <s v="Dougherty, Chris"/>
    <s v="Tamavada, Ram"/>
    <s v="Dougherty, Chris"/>
    <s v="Tamavada, Ram"/>
    <s v="Tamavada, Ram"/>
    <x v="7"/>
    <m/>
    <m/>
    <m/>
    <x v="80"/>
    <m/>
    <m/>
    <m/>
    <x v="2"/>
    <m/>
    <m/>
    <m/>
    <m/>
    <m/>
    <m/>
    <m/>
    <m/>
    <m/>
    <m/>
    <m/>
    <n v="-269.45"/>
    <m/>
    <m/>
    <m/>
    <m/>
    <m/>
    <m/>
    <n v="-269.45"/>
    <n v="-269.45"/>
    <m/>
    <n v="-269.45"/>
    <n v="-269.45"/>
    <m/>
    <n v="-269.45"/>
    <m/>
    <m/>
    <m/>
    <m/>
    <m/>
    <m/>
    <m/>
    <m/>
    <m/>
    <m/>
    <m/>
    <m/>
    <m/>
    <m/>
    <m/>
    <m/>
    <m/>
    <m/>
    <m/>
    <m/>
    <m/>
    <m/>
    <m/>
    <m/>
    <m/>
    <m/>
    <m/>
  </r>
  <r>
    <s v="L-ERP-333"/>
    <x v="87"/>
    <s v="Maguire, Karla_MANAGED SERVICES_BillingSweep011"/>
    <s v="ERP"/>
    <s v="Patel, Apurva"/>
    <s v="Dougherty, Chris"/>
    <s v="Dougherty, Chris"/>
    <s v="Dougherty, Chris"/>
    <s v="Maguire, Karla"/>
    <s v="Maguire, Karla"/>
    <x v="7"/>
    <s v="BillingSweep011"/>
    <m/>
    <m/>
    <x v="61"/>
    <s v="CHW - Ok"/>
    <s v="N/A"/>
    <m/>
    <x v="0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34"/>
    <x v="88"/>
    <s v="Maguire, Karla_MANAGED SERVICES_BillingSweep021"/>
    <s v="ERP"/>
    <s v="Patel, Apurva"/>
    <s v="Dougherty, Chris"/>
    <s v="Dougherty, Chris"/>
    <s v="Dougherty, Chris"/>
    <s v="Maguire, Karla"/>
    <s v="Maguire, Karla"/>
    <x v="7"/>
    <s v="BillingSweep021"/>
    <m/>
    <m/>
    <x v="81"/>
    <s v="CHW - Ok"/>
    <s v="N/A"/>
    <m/>
    <x v="0"/>
    <s v="KP- Could you confirm who this line was transferred to?"/>
    <m/>
    <n v="0"/>
    <n v="0"/>
    <m/>
    <m/>
    <m/>
    <n v="0"/>
    <n v="0"/>
    <n v="-10742.01"/>
    <n v="0"/>
    <n v="0"/>
    <n v="0"/>
    <n v="0"/>
    <n v="0"/>
    <n v="0"/>
    <n v="0"/>
    <n v="0"/>
    <n v="-10742.01"/>
    <n v="-10742.01"/>
    <n v="0"/>
    <n v="0"/>
    <n v="-10742.01"/>
    <m/>
    <n v="-10742.01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ERP-014"/>
    <x v="89"/>
    <s v="Dougherty, Chris_MANAGED SERVICES_BillSweepMisc"/>
    <s v="ERP"/>
    <s v="Patel, Apurva"/>
    <s v="Dougherty, Chris"/>
    <s v="Dougherty, Chris"/>
    <s v="Dougherty, Chris"/>
    <s v="Dougherty, Chris"/>
    <s v="Dougherty, Chris"/>
    <x v="7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9141.65"/>
    <n v="-9141.65"/>
    <n v="0"/>
    <m/>
    <n v="0"/>
    <m/>
    <m/>
    <m/>
    <m/>
    <n v="-9141.65"/>
    <n v="9141.65"/>
    <m/>
    <m/>
    <m/>
    <m/>
    <m/>
    <m/>
    <m/>
    <n v="0"/>
    <m/>
    <m/>
    <m/>
    <m/>
    <m/>
    <m/>
    <m/>
    <m/>
    <m/>
    <m/>
    <m/>
    <m/>
    <m/>
  </r>
  <r>
    <s v="L-ERP-096"/>
    <x v="90"/>
    <s v="Dougherty, Chris_MANAGED SERVICES_EnhanceChargeout001"/>
    <s v="ERP"/>
    <s v="Patel, Apurva"/>
    <s v="Dougherty, Chris"/>
    <s v="Dougherty, Chris"/>
    <s v="Dougherty, Chris"/>
    <s v="Dougherty, Chris"/>
    <s v="Maguire, Karla"/>
    <x v="7"/>
    <s v="Enhance Chargeout Cost Centers"/>
    <m/>
    <m/>
    <x v="1"/>
    <s v="CHW - F/U"/>
    <m/>
    <m/>
    <x v="0"/>
    <m/>
    <m/>
    <n v="0"/>
    <n v="2101"/>
    <m/>
    <m/>
    <n v="1821"/>
    <n v="140"/>
    <n v="140"/>
    <n v="139"/>
    <n v="2028.9999999999998"/>
    <n v="0"/>
    <n v="0"/>
    <n v="0"/>
    <n v="0"/>
    <n v="0"/>
    <n v="0"/>
    <n v="0"/>
    <n v="4269"/>
    <n v="2168"/>
    <n v="0"/>
    <n v="0"/>
    <n v="2168"/>
    <m/>
    <n v="2168"/>
    <m/>
    <n v="1821"/>
    <n v="140"/>
    <n v="140"/>
    <n v="0"/>
    <n v="0"/>
    <n v="0"/>
    <n v="0"/>
    <n v="0"/>
    <n v="0"/>
    <n v="0"/>
    <n v="0"/>
    <n v="0"/>
    <n v="2101"/>
    <n v="1821"/>
    <n v="140"/>
    <n v="140"/>
    <n v="0"/>
    <n v="0"/>
    <n v="0"/>
    <n v="0"/>
    <n v="0"/>
    <n v="0"/>
    <n v="0"/>
    <n v="0"/>
    <n v="0"/>
    <n v="2101"/>
  </r>
  <r>
    <s v="L-ERP-076"/>
    <x v="91"/>
    <s v="Dougherty, Chris_MANAGED SERVICES_EP&amp;SCharges001"/>
    <s v="ERP"/>
    <s v="Patel, Apurva"/>
    <s v="Dougherty, Chris"/>
    <s v="Dougherty, Chris"/>
    <s v="Dougherty, Chris"/>
    <s v="Dougherty, Chris"/>
    <s v="Maguire, Karla"/>
    <x v="7"/>
    <s v="Infrastructure Billing Charges"/>
    <m/>
    <m/>
    <x v="6"/>
    <s v="CHW - Ok"/>
    <s v="N/A"/>
    <m/>
    <x v="3"/>
    <m/>
    <m/>
    <n v="48000"/>
    <n v="49773.74"/>
    <m/>
    <m/>
    <n v="4838.91"/>
    <n v="4409.8999999999996"/>
    <n v="4524.93"/>
    <n v="3908.87"/>
    <n v="4454.8399999999992"/>
    <n v="4602.9500000000007"/>
    <n v="4000"/>
    <n v="4000"/>
    <n v="4000"/>
    <n v="4000"/>
    <n v="4000"/>
    <n v="4000"/>
    <n v="50740.4"/>
    <n v="966.66000000000349"/>
    <n v="4000"/>
    <n v="602.95000000000073"/>
    <n v="966.66000000000349"/>
    <m/>
    <n v="966.66000000000349"/>
    <m/>
    <n v="4838.91"/>
    <n v="4409.8999999999996"/>
    <n v="4524.93"/>
    <n v="4000"/>
    <n v="4000"/>
    <n v="4000"/>
    <n v="4000"/>
    <n v="4000"/>
    <n v="4000"/>
    <n v="4000"/>
    <n v="4000"/>
    <n v="4000"/>
    <n v="49773.74"/>
    <n v="4838.91"/>
    <n v="4409.8999999999996"/>
    <n v="4524.93"/>
    <n v="4000"/>
    <n v="4000"/>
    <n v="4000"/>
    <n v="4000"/>
    <n v="4000"/>
    <n v="4000"/>
    <n v="4000"/>
    <n v="4000"/>
    <n v="4000"/>
    <n v="49773.74"/>
  </r>
  <r>
    <s v="L-ERP-319"/>
    <x v="91"/>
    <s v="Maguire, Karla_MANAGED SERVICES_EP&amp;SCharges001"/>
    <s v="ERP"/>
    <s v="Patel, Apurva"/>
    <s v="Dougherty, Chris"/>
    <s v="Dougherty, Chris"/>
    <s v="Dougherty, Chris"/>
    <s v="Maguire, Karla"/>
    <s v="Maguire, Karla"/>
    <x v="7"/>
    <s v="Infrastructure Billing Charges"/>
    <m/>
    <m/>
    <x v="6"/>
    <s v="CHW - Ok"/>
    <s v="N/A"/>
    <m/>
    <x v="3"/>
    <s v="KP- Could you confirm who this line was transferred to?"/>
    <m/>
    <n v="0"/>
    <n v="1.26"/>
    <m/>
    <m/>
    <n v="0.42"/>
    <n v="0.36"/>
    <n v="0.48"/>
    <n v="1.31"/>
    <n v="209.68999999999997"/>
    <n v="192.01"/>
    <n v="0"/>
    <n v="0"/>
    <n v="0"/>
    <n v="0"/>
    <n v="0"/>
    <n v="0"/>
    <n v="404.27"/>
    <n v="403.01"/>
    <n v="0"/>
    <n v="192.01"/>
    <n v="403.01"/>
    <m/>
    <n v="403.01"/>
    <m/>
    <n v="0.42"/>
    <n v="0.36"/>
    <n v="0.48"/>
    <n v="0"/>
    <n v="0"/>
    <n v="0"/>
    <n v="0"/>
    <n v="0"/>
    <n v="0"/>
    <n v="0"/>
    <n v="0"/>
    <n v="0"/>
    <n v="1.26"/>
    <n v="0.42"/>
    <n v="0.36"/>
    <n v="0.48"/>
    <n v="0"/>
    <n v="0"/>
    <n v="0"/>
    <n v="0"/>
    <n v="0"/>
    <n v="0"/>
    <n v="0"/>
    <n v="0"/>
    <n v="0"/>
    <n v="1.26"/>
  </r>
  <r>
    <s v="L-ERP-361"/>
    <x v="91"/>
    <s v="McCormick, Pete_MANAGED SERVICES_EP&amp;SCharges001"/>
    <s v="ERP"/>
    <s v="Patel, Apurva"/>
    <s v="Dougherty, Chris"/>
    <s v="McCormick, Pete"/>
    <s v="Dougherty, Chris"/>
    <s v="McCormick, Pete"/>
    <s v="Maguire, Karla"/>
    <x v="7"/>
    <s v="Infrastructure Billing Charges"/>
    <m/>
    <m/>
    <x v="6"/>
    <s v="CHW - F/U"/>
    <s v="N/A"/>
    <m/>
    <x v="3"/>
    <m/>
    <m/>
    <n v="672000"/>
    <n v="633103.17999999993"/>
    <m/>
    <m/>
    <n v="45611.11"/>
    <n v="43675.76"/>
    <n v="39816.31"/>
    <n v="40357.590000000004"/>
    <n v="42129.81"/>
    <n v="42451.69000000001"/>
    <n v="42318"/>
    <n v="42318"/>
    <n v="56000"/>
    <n v="56000"/>
    <n v="56000"/>
    <n v="56000"/>
    <n v="562678.27"/>
    <n v="-70424.909999999916"/>
    <n v="56000"/>
    <n v="-13548.30999999999"/>
    <n v="-43060.91"/>
    <m/>
    <n v="-70424.909999999916"/>
    <m/>
    <n v="45611.11"/>
    <n v="43675.76"/>
    <n v="39816.31"/>
    <n v="56000"/>
    <n v="56000"/>
    <n v="56000"/>
    <n v="56000"/>
    <n v="56000"/>
    <n v="56000"/>
    <n v="56000"/>
    <n v="56000"/>
    <n v="56000"/>
    <n v="633103.17999999993"/>
    <n v="45611.11"/>
    <n v="43675.76"/>
    <n v="39816.31"/>
    <n v="56000"/>
    <n v="56000"/>
    <n v="56000"/>
    <n v="56000"/>
    <n v="56000"/>
    <n v="56000"/>
    <n v="56000"/>
    <n v="56000"/>
    <n v="56000"/>
    <n v="633103.17999999993"/>
  </r>
  <r>
    <s v="L-ERP-529"/>
    <x v="91"/>
    <s v="Tamavada, Ram_MANAGED SERVICES_EP&amp;SCharges001"/>
    <s v="ERP"/>
    <s v="Patel, Apurva"/>
    <s v="Dougherty, Chris"/>
    <s v="Tamavada, Ram"/>
    <s v="Dougherty, Chris"/>
    <s v="Tamavada, Ram"/>
    <s v="Maguire, Karla"/>
    <x v="7"/>
    <s v="Infrastructure Billing Charges"/>
    <m/>
    <m/>
    <x v="6"/>
    <m/>
    <s v="N/A"/>
    <m/>
    <x v="3"/>
    <m/>
    <m/>
    <n v="480000"/>
    <n v="717425.61"/>
    <m/>
    <m/>
    <n v="61804.2"/>
    <n v="58988.63"/>
    <n v="56632.78"/>
    <n v="54081.419999999991"/>
    <n v="51184.079999999994"/>
    <n v="49707.65"/>
    <n v="62000"/>
    <n v="62000"/>
    <n v="62000"/>
    <n v="62000"/>
    <n v="62000"/>
    <n v="62734"/>
    <n v="705132.76"/>
    <n v="-12292.849999999977"/>
    <n v="60000"/>
    <n v="-10292.349999999999"/>
    <n v="-25026.849999999977"/>
    <m/>
    <n v="-12292.849999999977"/>
    <m/>
    <n v="61804.2"/>
    <n v="58988.63"/>
    <n v="56632.78"/>
    <n v="60000"/>
    <n v="60000"/>
    <n v="60000"/>
    <n v="60000"/>
    <n v="60000"/>
    <n v="60000"/>
    <n v="60000"/>
    <n v="60000"/>
    <n v="60000"/>
    <n v="717425.61"/>
    <n v="61804.2"/>
    <n v="58988.63"/>
    <n v="56632.78"/>
    <n v="40000"/>
    <n v="40000"/>
    <n v="40000"/>
    <n v="40000"/>
    <n v="40000"/>
    <n v="40000"/>
    <n v="40000"/>
    <n v="40000"/>
    <n v="40000"/>
    <n v="537425.61"/>
  </r>
  <r>
    <s v="L-ERP-542"/>
    <x v="92"/>
    <s v="Tamavada, Ram_MANAGED SERVICES_IT-17BTF01-01"/>
    <s v="ERP"/>
    <s v="Patel, Apurva"/>
    <s v="Dougherty, Chris"/>
    <s v="Tamavada, Ram"/>
    <s v="Dougherty, Chris"/>
    <s v="Tamavada, Ram"/>
    <s v="Maguire, Karla"/>
    <x v="7"/>
    <s v="DIGITAL-CLOUD-AWS-CHARGES"/>
    <m/>
    <m/>
    <x v="82"/>
    <m/>
    <m/>
    <m/>
    <x v="0"/>
    <m/>
    <m/>
    <n v="0"/>
    <n v="2006.44"/>
    <m/>
    <m/>
    <n v="0.45"/>
    <n v="1838.45"/>
    <n v="167.54"/>
    <n v="3132.21"/>
    <n v="3012.3"/>
    <n v="0.82999999999992724"/>
    <n v="0"/>
    <n v="0"/>
    <n v="0"/>
    <n v="0"/>
    <n v="0"/>
    <n v="0"/>
    <n v="8151.78"/>
    <n v="6145.34"/>
    <n v="0"/>
    <n v="0.82999999999992724"/>
    <n v="6145.34"/>
    <m/>
    <n v="6145.34"/>
    <m/>
    <n v="0.45"/>
    <n v="1838.45"/>
    <n v="167.54"/>
    <n v="0"/>
    <n v="0"/>
    <n v="0"/>
    <n v="0"/>
    <n v="0"/>
    <n v="0"/>
    <n v="0"/>
    <n v="0"/>
    <n v="0"/>
    <n v="2006.44"/>
    <n v="0.45"/>
    <n v="1838.45"/>
    <n v="167.54"/>
    <n v="0"/>
    <n v="0"/>
    <n v="0"/>
    <n v="0"/>
    <n v="0"/>
    <n v="0"/>
    <n v="0"/>
    <n v="0"/>
    <n v="0"/>
    <n v="2006.44"/>
  </r>
  <r>
    <s v="ERP-049"/>
    <x v="93"/>
    <s v="Meadows, Leslie_MANAGED SERVICES_IT-CTR0044-OG-US-00"/>
    <s v="ERP"/>
    <s v="Patel, Apurva"/>
    <s v="Dougherty, Chris"/>
    <s v="Meadows, Leslie"/>
    <s v="Dougherty, Chris"/>
    <s v="Meadows, Leslie"/>
    <s v="Meadows, Leslie"/>
    <x v="7"/>
    <s v="Launch Agility - ATTP ADDITIONAL SUPPORT - JAN TO JUNE'20"/>
    <m/>
    <s v="2321511"/>
    <x v="7"/>
    <m/>
    <s v="9501250402"/>
    <m/>
    <x v="2"/>
    <s v="KP - 9501250402_x000a_9501258229_x000a_9501258235_x000a_Reclass Dynatrace_x000a_9501271398"/>
    <m/>
    <m/>
    <m/>
    <m/>
    <m/>
    <m/>
    <m/>
    <m/>
    <m/>
    <n v="45743"/>
    <n v="9404.5"/>
    <m/>
    <m/>
    <m/>
    <m/>
    <m/>
    <m/>
    <n v="55147.5"/>
    <n v="55147.5"/>
    <m/>
    <n v="9404.5"/>
    <n v="55147.5"/>
    <m/>
    <n v="55147.5"/>
    <m/>
    <m/>
    <m/>
    <m/>
    <m/>
    <m/>
    <m/>
    <m/>
    <m/>
    <m/>
    <m/>
    <m/>
    <m/>
    <m/>
    <m/>
    <m/>
    <m/>
    <m/>
    <m/>
    <m/>
    <m/>
    <m/>
    <m/>
    <m/>
    <m/>
    <m/>
    <m/>
  </r>
  <r>
    <s v="ERP-027"/>
    <x v="93"/>
    <s v="Tamavada, Ram_MANAGED SERVICES_IT-CTR0044-OG-US-00"/>
    <s v="ERP"/>
    <s v="Patel, Apurva"/>
    <s v="Dougherty, Chris"/>
    <s v="Tamavada, Ram"/>
    <s v="Dougherty, Chris"/>
    <s v="Tamavada, Ram"/>
    <s v="Tamavada, Ram"/>
    <x v="7"/>
    <s v="Launch Agility - IBM ATTP additional Support"/>
    <s v="IBM"/>
    <s v="2320843"/>
    <x v="7"/>
    <m/>
    <s v="9501250402"/>
    <m/>
    <x v="2"/>
    <m/>
    <m/>
    <m/>
    <m/>
    <m/>
    <m/>
    <m/>
    <m/>
    <m/>
    <n v="35539.5"/>
    <n v="-35539.5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43"/>
    <x v="94"/>
    <s v="Tamavada, Ram_MANAGED SERVICES_IT-FBT0074-OG-US-00"/>
    <s v="ERP"/>
    <s v="Patel, Apurva"/>
    <s v="Dougherty, Chris"/>
    <s v="Tamavada, Ram"/>
    <s v="Dougherty, Chris"/>
    <s v="Tamavada, Ram"/>
    <s v="Maguire, Karla"/>
    <x v="7"/>
    <s v="Oracle E-Business Suite Archive Solutions"/>
    <m/>
    <m/>
    <x v="83"/>
    <m/>
    <m/>
    <m/>
    <x v="0"/>
    <m/>
    <m/>
    <n v="116304"/>
    <n v="67844"/>
    <m/>
    <m/>
    <m/>
    <m/>
    <m/>
    <s v=""/>
    <n v="0"/>
    <n v="0"/>
    <n v="9692"/>
    <n v="9692"/>
    <n v="9692"/>
    <n v="9692"/>
    <n v="9692"/>
    <n v="9692"/>
    <n v="58152"/>
    <n v="-9692"/>
    <m/>
    <n v="0"/>
    <n v="-9692"/>
    <n v="-48460"/>
    <n v="38768"/>
    <s v="Per Kinjal - reforecasted from June until EOY as per Ram."/>
    <m/>
    <m/>
    <m/>
    <m/>
    <m/>
    <n v="9692"/>
    <n v="9692"/>
    <n v="9692"/>
    <n v="9692"/>
    <n v="9692"/>
    <n v="9692"/>
    <n v="9692"/>
    <n v="67844"/>
    <m/>
    <m/>
    <m/>
    <n v="9692"/>
    <n v="9692"/>
    <n v="9692"/>
    <n v="9692"/>
    <n v="9692"/>
    <n v="9692"/>
    <n v="9692"/>
    <n v="9692"/>
    <n v="9692"/>
    <n v="87228"/>
  </r>
  <r>
    <s v="L-ERP-449"/>
    <x v="95"/>
    <s v="Meadows, Leslie_MANAGED SERVICES_IT-FBT0210-OG-US-00"/>
    <s v="ERP"/>
    <s v="Patel, Apurva"/>
    <s v="Dougherty, Chris"/>
    <s v="Meadows, Leslie"/>
    <s v="Dougherty, Chris"/>
    <s v="Meadows, Leslie"/>
    <s v="Maguire, Karla"/>
    <x v="7"/>
    <s v="Compucom: SAP and EOM Support"/>
    <m/>
    <m/>
    <x v="84"/>
    <m/>
    <m/>
    <m/>
    <x v="5"/>
    <m/>
    <m/>
    <n v="588064.00000000012"/>
    <n v="588064.16999999993"/>
    <m/>
    <m/>
    <n v="40389"/>
    <n v="55285.58"/>
    <n v="47994.59"/>
    <n v="42517.659999999996"/>
    <n v="63850.67"/>
    <n v="47308.070000000007"/>
    <n v="49400"/>
    <n v="48000"/>
    <n v="48000"/>
    <n v="48000"/>
    <n v="48000"/>
    <n v="48000"/>
    <n v="586745.57000000007"/>
    <n v="-1318.5999999998603"/>
    <n v="49500"/>
    <n v="-2191.929999999993"/>
    <n v="3681.4000000000233"/>
    <m/>
    <n v="-1318.5999999998603"/>
    <m/>
    <n v="40389"/>
    <n v="55285.58"/>
    <n v="47994.59"/>
    <n v="51000"/>
    <n v="49500"/>
    <n v="49495"/>
    <n v="49400"/>
    <n v="49000"/>
    <n v="49000"/>
    <n v="49000"/>
    <n v="49000"/>
    <n v="49000"/>
    <n v="588064.16999999993"/>
    <n v="40389"/>
    <n v="55285.58"/>
    <n v="47994.59"/>
    <n v="49068"/>
    <n v="51240"/>
    <n v="37911"/>
    <n v="48731"/>
    <n v="52076"/>
    <n v="52390"/>
    <n v="54876"/>
    <n v="42961"/>
    <n v="40649"/>
    <n v="573571.16999999993"/>
  </r>
  <r>
    <s v="L-ERP-512"/>
    <x v="96"/>
    <s v="Tamavada, Ram_MANAGED SERVICES_IT-FBT0281-OG-US-00"/>
    <s v="ERP"/>
    <s v="Patel, Apurva"/>
    <s v="Dougherty, Chris"/>
    <s v="Tamavada, Ram"/>
    <s v="Dougherty, Chris"/>
    <s v="Tamavada, Ram"/>
    <s v="Maguire, Karla"/>
    <x v="7"/>
    <s v="IBM: SAP AMS (CORE) &amp; PCR 01(Collaboration360 Support)"/>
    <m/>
    <m/>
    <x v="85"/>
    <m/>
    <m/>
    <m/>
    <x v="17"/>
    <s v="KP - We have 2 PO's - 9501166164 $4,651,600.00 AND 9501190667 $62,500.00 'As per Leslie's chat, for $245K - $200k is under 1009/46 &amp; 45k is under 'IT-FBT0281-OG-US-00&quot; IBM AMS support agreement "/>
    <m/>
    <n v="4651599.96"/>
    <n v="4701598.17"/>
    <m/>
    <m/>
    <n v="387633.4"/>
    <n v="404902.73"/>
    <n v="356492.04"/>
    <n v="363571.96"/>
    <n v="461544.87000000005"/>
    <n v="394829.05999999994"/>
    <n v="391800"/>
    <n v="391800"/>
    <n v="391800"/>
    <n v="391800"/>
    <n v="391800"/>
    <n v="387633"/>
    <n v="4715607.0600000005"/>
    <n v="14008.890000000596"/>
    <n v="391800"/>
    <n v="3029.0599999999395"/>
    <n v="14008.89000000013"/>
    <m/>
    <n v="14008.890000000596"/>
    <m/>
    <n v="387633.4"/>
    <n v="404902.73"/>
    <n v="356492.04"/>
    <n v="422337"/>
    <n v="391800"/>
    <n v="391800"/>
    <n v="391800"/>
    <n v="391800"/>
    <n v="391800"/>
    <n v="391800"/>
    <n v="391800"/>
    <n v="387633"/>
    <n v="4701598.17"/>
    <n v="387633.4"/>
    <n v="404902.73"/>
    <n v="356492.04"/>
    <n v="387633.33"/>
    <n v="387633.33"/>
    <n v="387633.33"/>
    <n v="387633.33"/>
    <n v="387633.33"/>
    <n v="387633.33"/>
    <n v="387633.33"/>
    <n v="387633.33"/>
    <n v="387633.33"/>
    <n v="4637728.1400000006"/>
  </r>
  <r>
    <s v="L-ERP-513"/>
    <x v="97"/>
    <s v="Tamavada, Ram_MANAGED SERVICES_IT-FBT0282-OG-US-00"/>
    <s v="ERP"/>
    <s v="Patel, Apurva"/>
    <s v="Dougherty, Chris"/>
    <s v="Tamavada, Ram"/>
    <s v="Dougherty, Chris"/>
    <s v="Tamavada, Ram"/>
    <s v="Maguire, Karla"/>
    <x v="7"/>
    <s v="IBM - SAP Ariba BOD; On Prem; Concur (T&amp;E); FBO Apps (GBS BTAMS Debit)"/>
    <m/>
    <m/>
    <x v="86"/>
    <m/>
    <m/>
    <m/>
    <x v="17"/>
    <s v="KP - There seems to be an issue in LE2 &amp; LE3 File. LE0 already had this forecast in full, Not sure why LE3 file is showing variance. It shouldnt. thanks "/>
    <m/>
    <n v="1832799.9600000002"/>
    <n v="1832798.4200000002"/>
    <m/>
    <m/>
    <m/>
    <n v="293304.34999999998"/>
    <n v="164894.1"/>
    <n v="142089.47"/>
    <n v="163378.12"/>
    <n v="152732.93000000002"/>
    <n v="172399"/>
    <n v="172399"/>
    <n v="172399"/>
    <n v="172399"/>
    <n v="172399"/>
    <n v="172399"/>
    <n v="1950792.97"/>
    <n v="117994.54999999981"/>
    <n v="152733.32999999999"/>
    <n v="-0.3999999999650754"/>
    <n v="0.530000000144355"/>
    <m/>
    <n v="117994.54999999981"/>
    <m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  <m/>
    <n v="293304.34999999998"/>
    <n v="164894.1"/>
    <n v="152733.32999999999"/>
    <n v="152733.32999999999"/>
    <n v="152733.32999999999"/>
    <n v="152733.32999999999"/>
    <n v="152733.32999999999"/>
    <n v="152733.32999999999"/>
    <n v="152733.32999999999"/>
    <n v="152733.32999999999"/>
    <n v="152733.32999999999"/>
    <n v="1832798.4200000002"/>
  </r>
  <r>
    <s v="L-ERP-312"/>
    <x v="98"/>
    <s v="Maguire, Karla_MANAGED SERVICES_IT-FBT0288-OG-BE-00"/>
    <s v="ERP"/>
    <s v="Patel, Apurva"/>
    <s v="Dougherty, Chris"/>
    <s v="Dougherty, Chris"/>
    <s v="Dougherty, Chris"/>
    <s v="Maguire, Karla"/>
    <s v="Maguire, Karla"/>
    <x v="7"/>
    <s v="Company car related expenses and other charges"/>
    <m/>
    <m/>
    <x v="87"/>
    <m/>
    <m/>
    <m/>
    <x v="18"/>
    <s v="KP- Could you confirm who this line was transferred to?"/>
    <m/>
    <n v="18000"/>
    <n v="19824.739999999998"/>
    <m/>
    <m/>
    <n v="531.82000000000005"/>
    <n v="3988.46"/>
    <n v="1804.46"/>
    <n v="988.66"/>
    <n v="162.79999999999998"/>
    <n v="0"/>
    <n v="1500"/>
    <n v="1500"/>
    <n v="1500"/>
    <n v="1500"/>
    <n v="1500"/>
    <n v="1500"/>
    <n v="16476.2"/>
    <n v="-3348.5399999999972"/>
    <n v="1500"/>
    <n v="-1500"/>
    <n v="-3348.54"/>
    <m/>
    <n v="-3348.5399999999972"/>
    <m/>
    <n v="531.82000000000005"/>
    <n v="3988.46"/>
    <n v="1804.46"/>
    <n v="1500"/>
    <n v="1500"/>
    <n v="1500"/>
    <n v="1500"/>
    <n v="1500"/>
    <n v="1500"/>
    <n v="1500"/>
    <n v="1500"/>
    <n v="1500"/>
    <n v="19824.739999999998"/>
    <n v="531.82000000000005"/>
    <n v="3988.46"/>
    <n v="1804.46"/>
    <n v="1500"/>
    <n v="1500"/>
    <n v="1500"/>
    <n v="1500"/>
    <n v="1500"/>
    <n v="1500"/>
    <n v="1500"/>
    <n v="1500"/>
    <n v="1500"/>
    <n v="19824.739999999998"/>
  </r>
  <r>
    <s v="L-ERP-538"/>
    <x v="99"/>
    <s v="Tamavada, Ram_MANAGED SERVICES_IT-FBT0393-OG-JP-00"/>
    <s v="ERP"/>
    <s v="Patel, Apurva"/>
    <s v="Dougherty, Chris"/>
    <s v="Tamavada, Ram"/>
    <s v="Dougherty, Chris"/>
    <s v="Tamavada, Ram"/>
    <s v="Maguire, Karla"/>
    <x v="7"/>
    <s v="Infosys: Japan L1/L2 SAP FICO L2 Support"/>
    <s v="Infosys LTD"/>
    <n v="2430238"/>
    <x v="41"/>
    <m/>
    <n v="9501133449"/>
    <m/>
    <x v="19"/>
    <m/>
    <m/>
    <n v="141887.51999999996"/>
    <n v="62335.31"/>
    <m/>
    <m/>
    <n v="11347.01"/>
    <n v="7087.77"/>
    <n v="10590.53"/>
    <n v="13238.160000000002"/>
    <n v="10590.539999999999"/>
    <n v="10590.54"/>
    <m/>
    <m/>
    <m/>
    <m/>
    <m/>
    <m/>
    <n v="63444.55"/>
    <n v="1109.2400000000052"/>
    <n v="12130"/>
    <n v="-1539.4599999999991"/>
    <n v="1109.2400000000052"/>
    <m/>
    <n v="1109.2400000000052"/>
    <m/>
    <n v="11347.01"/>
    <n v="7087.77"/>
    <n v="10590.53"/>
    <n v="10590"/>
    <n v="12130"/>
    <n v="10590"/>
    <m/>
    <m/>
    <m/>
    <m/>
    <m/>
    <m/>
    <n v="62335.31"/>
    <n v="11347.01"/>
    <n v="7087.77"/>
    <n v="10590.53"/>
    <n v="11157"/>
    <n v="11157"/>
    <n v="11157"/>
    <n v="11157"/>
    <n v="11157"/>
    <n v="11157"/>
    <n v="11157"/>
    <n v="11157"/>
    <n v="11157"/>
    <n v="129438.31"/>
  </r>
  <r>
    <s v="L-ERP-437"/>
    <x v="100"/>
    <s v="Meadows, Leslie_MANAGED SERVICES_IT-FBT0524-OG-US-00"/>
    <s v="ERP"/>
    <s v="Patel, Apurva"/>
    <s v="Dougherty, Chris"/>
    <s v="Meadows, Leslie"/>
    <s v="Dougherty, Chris"/>
    <s v="Meadows, Leslie"/>
    <s v="Maguire, Karla"/>
    <x v="7"/>
    <s v="&amp;#39;Infrastructure Charges - TRICENTIS TOSCA (ERP) - Cloud AWS &amp; Data Protection"/>
    <m/>
    <m/>
    <x v="88"/>
    <m/>
    <m/>
    <m/>
    <x v="3"/>
    <s v="KP - Trying to figure out if it belongs to Ram OR Leslie."/>
    <m/>
    <n v="4558"/>
    <n v="3418.5099999999998"/>
    <m/>
    <m/>
    <m/>
    <m/>
    <m/>
    <s v=""/>
    <n v="0"/>
    <n v="0"/>
    <n v="379.83"/>
    <n v="379.83"/>
    <n v="379.83"/>
    <n v="379.83"/>
    <n v="379.83"/>
    <n v="379.87"/>
    <n v="2279.02"/>
    <n v="-1139.4899999999998"/>
    <n v="379.83"/>
    <n v="-379.83"/>
    <n v="-1139.49"/>
    <m/>
    <n v="-1139.4899999999998"/>
    <m/>
    <m/>
    <m/>
    <m/>
    <n v="379.83"/>
    <n v="379.83"/>
    <n v="379.83"/>
    <n v="379.83"/>
    <n v="379.83"/>
    <n v="379.83"/>
    <n v="379.83"/>
    <n v="379.83"/>
    <n v="379.87"/>
    <n v="3418.5099999999998"/>
    <m/>
    <m/>
    <m/>
    <n v="379.83"/>
    <n v="379.83"/>
    <n v="379.83"/>
    <n v="379.83"/>
    <n v="379.83"/>
    <n v="379.83"/>
    <n v="379.83"/>
    <n v="379.83"/>
    <n v="379.87"/>
    <n v="3418.5099999999998"/>
  </r>
  <r>
    <s v="L-ERP-519"/>
    <x v="100"/>
    <s v="Tamavada, Ram_MANAGED SERVICES_IT-FBT0524-OG-US-00"/>
    <s v="ERP"/>
    <s v="Patel, Apurva"/>
    <s v="Dougherty, Chris"/>
    <s v="Tamavada, Ram"/>
    <s v="Dougherty, Chris"/>
    <s v="Tamavada, Ram"/>
    <s v="Maguire, Karla"/>
    <x v="7"/>
    <s v="&amp;#39;Infrastructure Charges - TRICENTIS TOSCA (ERP) - Cloud AWS &amp; Data Protection"/>
    <m/>
    <m/>
    <x v="88"/>
    <m/>
    <m/>
    <m/>
    <x v="3"/>
    <s v="KP - Trying to figure out if it belongs to Ram OR Leslie."/>
    <m/>
    <n v="0"/>
    <n v="1351.1499999999999"/>
    <m/>
    <m/>
    <n v="696.35"/>
    <n v="599.02"/>
    <n v="55.78"/>
    <n v="27.89"/>
    <n v="596.58999999999992"/>
    <n v="549.04999999999995"/>
    <n v="0"/>
    <n v="0"/>
    <n v="0"/>
    <n v="0"/>
    <n v="0"/>
    <n v="0"/>
    <n v="2524.6799999999998"/>
    <n v="1173.53"/>
    <n v="0"/>
    <n v="549.04999999999995"/>
    <n v="1173.53"/>
    <m/>
    <n v="1173.53"/>
    <m/>
    <n v="696.35"/>
    <n v="599.02"/>
    <n v="55.78"/>
    <n v="0"/>
    <n v="0"/>
    <n v="0"/>
    <n v="0"/>
    <n v="0"/>
    <n v="0"/>
    <n v="0"/>
    <n v="0"/>
    <n v="0"/>
    <n v="1351.1499999999999"/>
    <n v="696.35"/>
    <n v="599.02"/>
    <n v="55.78"/>
    <n v="600"/>
    <n v="600"/>
    <n v="600"/>
    <n v="600"/>
    <n v="600"/>
    <n v="600"/>
    <n v="600"/>
    <n v="600"/>
    <n v="600"/>
    <n v="6751.15"/>
  </r>
  <r>
    <s v="L-ERP-511"/>
    <x v="101"/>
    <s v="Tamavada, Ram_MANAGED SERVICES_IT-FBT0528-OG-US-00"/>
    <s v="ERP"/>
    <s v="Patel, Apurva"/>
    <s v="Dougherty, Chris"/>
    <s v="Tamavada, Ram"/>
    <s v="Dougherty, Chris"/>
    <s v="Tamavada, Ram"/>
    <s v="Maguire, Karla"/>
    <x v="7"/>
    <s v="SAP: Ariba Offshore Technical Consultant (Ariba/SAP Product Vendor)"/>
    <m/>
    <m/>
    <x v="89"/>
    <m/>
    <m/>
    <m/>
    <x v="20"/>
    <m/>
    <m/>
    <n v="60000"/>
    <n v="59587"/>
    <m/>
    <m/>
    <m/>
    <m/>
    <n v="7840"/>
    <n v="4772.18"/>
    <n v="4772.17"/>
    <n v="4075.2199999999993"/>
    <n v="5000"/>
    <n v="5000"/>
    <n v="5000"/>
    <n v="5000"/>
    <n v="5000"/>
    <n v="5000"/>
    <n v="51459.57"/>
    <n v="-8127.43"/>
    <n v="5000"/>
    <n v="-924.78000000000065"/>
    <n v="-8127.43"/>
    <m/>
    <n v="-8127.43"/>
    <m/>
    <m/>
    <m/>
    <n v="7840"/>
    <n v="11747"/>
    <n v="5000"/>
    <n v="5000"/>
    <n v="5000"/>
    <n v="5000"/>
    <n v="5000"/>
    <n v="5000"/>
    <n v="5000"/>
    <n v="5000"/>
    <n v="59587"/>
    <m/>
    <m/>
    <n v="7840"/>
    <n v="5000"/>
    <n v="5000"/>
    <n v="5000"/>
    <n v="5000"/>
    <n v="5000"/>
    <n v="5000"/>
    <n v="5000"/>
    <n v="5000"/>
    <n v="5000"/>
    <n v="52840"/>
  </r>
  <r>
    <s v="L-ERP-071"/>
    <x v="102"/>
    <s v="Dougherty, Chris_MANAGED SERVICES_IT-FBT0587-OG-US-00"/>
    <s v="ERP"/>
    <s v="Patel, Apurva"/>
    <s v="Dougherty, Chris"/>
    <s v="Dougherty, Chris"/>
    <s v="Dougherty, Chris"/>
    <s v="Dougherty, Chris"/>
    <s v="Maguire, Karla"/>
    <x v="7"/>
    <s v="Infrastructure Charges - Oracle EPM Cloud FastConnect MPLS circuit"/>
    <m/>
    <m/>
    <x v="90"/>
    <m/>
    <m/>
    <m/>
    <x v="3"/>
    <m/>
    <m/>
    <n v="0"/>
    <n v="10582.559999999998"/>
    <m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0"/>
    <n v="881.88"/>
    <n v="0"/>
    <n v="0"/>
    <m/>
    <n v="0"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881.88"/>
    <n v="881.88"/>
    <n v="881.88"/>
    <n v="0"/>
    <n v="0"/>
    <n v="0"/>
    <n v="0"/>
    <n v="0"/>
    <n v="0"/>
    <n v="0"/>
    <n v="0"/>
    <n v="0"/>
    <n v="2645.64"/>
  </r>
  <r>
    <s v="L-ERP-520"/>
    <x v="102"/>
    <s v="Tamavada, Ram_MANAGED SERVICES_IT-FBT0587-OG-US-00"/>
    <s v="ERP"/>
    <s v="Patel, Apurva"/>
    <s v="Dougherty, Chris"/>
    <s v="Tamavada, Ram"/>
    <s v="Dougherty, Chris"/>
    <s v="Tamavada, Ram"/>
    <s v="Maguire, Karla"/>
    <x v="7"/>
    <s v="Infrastructure Charges - Oracle EPM Cloud FastConnect MPLS circuit"/>
    <m/>
    <m/>
    <x v="90"/>
    <m/>
    <m/>
    <m/>
    <x v="3"/>
    <m/>
    <m/>
    <n v="10599.999996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10600"/>
    <n v="10600"/>
    <m/>
    <m/>
    <m/>
    <m/>
    <n v="0"/>
    <n v="0"/>
    <n v="0"/>
    <n v="0"/>
    <n v="0"/>
    <n v="0"/>
    <n v="0"/>
    <n v="0"/>
    <n v="0"/>
    <n v="0"/>
    <m/>
    <m/>
    <m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7949.9999970000026"/>
  </r>
  <r>
    <s v="L-ERP-521"/>
    <x v="103"/>
    <s v="Tamavada, Ram_MANAGED SERVICES_IT-FBT0588-OG-US-00"/>
    <s v="ERP"/>
    <s v="Patel, Apurva"/>
    <s v="Dougherty, Chris"/>
    <s v="Tamavada, Ram"/>
    <s v="Dougherty, Chris"/>
    <s v="Tamavada, Ram"/>
    <s v="Maguire, Karla"/>
    <x v="7"/>
    <s v="Infrastructure Charges - SAP AG iVPN site-to-site"/>
    <m/>
    <m/>
    <x v="91"/>
    <m/>
    <m/>
    <m/>
    <x v="3"/>
    <m/>
    <m/>
    <n v="10599.999996000004"/>
    <n v="10595.639997000004"/>
    <m/>
    <m/>
    <n v="881.88"/>
    <n v="881.88"/>
    <n v="881.88"/>
    <n v="881.88"/>
    <n v="881.88"/>
    <n v="881.88"/>
    <n v="883.33333300000004"/>
    <n v="883.33333300000004"/>
    <n v="883.33333300000004"/>
    <n v="883.33333300000004"/>
    <n v="883.33333300000004"/>
    <n v="883.33333300000004"/>
    <n v="10591.279998000002"/>
    <n v="-4.3599990000020625"/>
    <n v="883.33333300000004"/>
    <n v="-1.4533330000000433"/>
    <n v="-4.359999000001153"/>
    <m/>
    <n v="-4.3599990000020625"/>
    <m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  <n v="881.88"/>
    <n v="881.88"/>
    <n v="881.88"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10595.639997000004"/>
  </r>
  <r>
    <s v="L-ERP-539"/>
    <x v="104"/>
    <s v="Tamavada, Ram_MANAGED SERVICES_IT-FBT0638-OG-JP-00"/>
    <s v="ERP"/>
    <s v="Patel, Apurva"/>
    <s v="Dougherty, Chris"/>
    <s v="Tamavada, Ram"/>
    <s v="Dougherty, Chris"/>
    <s v="Tamavada, Ram"/>
    <s v="Maguire, Karla"/>
    <x v="7"/>
    <s v="Japan SAP BI &amp; SD Support"/>
    <m/>
    <m/>
    <x v="92"/>
    <m/>
    <m/>
    <m/>
    <x v="19"/>
    <m/>
    <m/>
    <n v="132431.04000000001"/>
    <n v="123849.26"/>
    <m/>
    <m/>
    <n v="10548.89"/>
    <n v="8790.74"/>
    <n v="9845.6299999999992"/>
    <n v="12307.019999999999"/>
    <n v="9845.619999999999"/>
    <n v="9845.64"/>
    <n v="10296"/>
    <n v="10296"/>
    <n v="10296"/>
    <n v="10296"/>
    <n v="10296"/>
    <n v="10296"/>
    <n v="122959.54"/>
    <n v="-889.72000000000116"/>
    <n v="10296"/>
    <n v="-450.36000000000058"/>
    <n v="-889.72000000000116"/>
    <m/>
    <n v="-889.72000000000116"/>
    <m/>
    <n v="10548.89"/>
    <n v="8790.74"/>
    <n v="9845.6299999999992"/>
    <n v="12296"/>
    <n v="10296"/>
    <n v="10296"/>
    <n v="10296"/>
    <n v="10296"/>
    <n v="10296"/>
    <n v="10296"/>
    <n v="10296"/>
    <n v="10296"/>
    <n v="123849.26"/>
    <n v="10548.89"/>
    <n v="8790.74"/>
    <n v="9845.6299999999992"/>
    <n v="11035.92"/>
    <n v="11035.92"/>
    <n v="11035.92"/>
    <n v="11035.92"/>
    <n v="11035.92"/>
    <n v="11035.92"/>
    <n v="11035.92"/>
    <n v="11035.92"/>
    <n v="11035.92"/>
    <n v="128508.53999999998"/>
  </r>
  <r>
    <s v="N-ERP-585"/>
    <x v="105"/>
    <s v="Maguire, Karla_MANAGED SERVICES_IT-FBT0651-OG-US-00"/>
    <s v="ERP"/>
    <s v="Patel, Apurva"/>
    <s v="Dougherty, Chris"/>
    <s v="Dougherty, Chris"/>
    <s v="Dougherty, Chris"/>
    <s v="Maguire, Karla"/>
    <s v="Maguire, Karla"/>
    <x v="7"/>
    <s v="Desktop on Demand (VDS)"/>
    <m/>
    <m/>
    <x v="93"/>
    <m/>
    <s v="N"/>
    <m/>
    <x v="3"/>
    <s v="KP- Could you confirm who this line was transferred to? '4/28/26 CHW New add to tie-out 0223 to 0317 Planful Extracts"/>
    <m/>
    <n v="6000"/>
    <n v="4500"/>
    <m/>
    <m/>
    <m/>
    <m/>
    <m/>
    <s v=""/>
    <n v="0"/>
    <n v="0"/>
    <n v="500"/>
    <n v="500"/>
    <n v="500"/>
    <n v="500"/>
    <n v="500"/>
    <n v="500"/>
    <n v="3000"/>
    <n v="-1500"/>
    <n v="500"/>
    <n v="-500"/>
    <n v="-1500"/>
    <m/>
    <n v="-1500"/>
    <m/>
    <m/>
    <m/>
    <m/>
    <n v="500"/>
    <n v="500"/>
    <n v="500"/>
    <n v="500"/>
    <n v="500"/>
    <n v="500"/>
    <n v="500"/>
    <n v="500"/>
    <n v="500"/>
    <n v="4500"/>
    <n v="500"/>
    <n v="500"/>
    <n v="500"/>
    <n v="500"/>
    <n v="500"/>
    <n v="500"/>
    <n v="500"/>
    <n v="500"/>
    <n v="500"/>
    <n v="500"/>
    <n v="500"/>
    <n v="500"/>
    <n v="6000"/>
  </r>
  <r>
    <s v="L-ERP-072"/>
    <x v="106"/>
    <s v="Dougherty, Chris_MANAGED SERVICES_IT-FBT0665-OG-US-00"/>
    <s v="ERP"/>
    <s v="Patel, Apurva"/>
    <s v="Dougherty, Chris"/>
    <s v="Dougherty, Chris"/>
    <s v="Dougherty, Chris"/>
    <s v="Dougherty, Chris"/>
    <s v="Maguire, Karla"/>
    <x v="7"/>
    <s v="Syniti: Infrastructure Charges - SAP Backoffice - Cloud AWS"/>
    <m/>
    <m/>
    <x v="94"/>
    <m/>
    <s v="N/A"/>
    <m/>
    <x v="3"/>
    <m/>
    <m/>
    <n v="0"/>
    <n v="9126"/>
    <m/>
    <m/>
    <m/>
    <m/>
    <m/>
    <s v=""/>
    <n v="0"/>
    <n v="0"/>
    <n v="1300"/>
    <n v="1300"/>
    <n v="1300"/>
    <n v="1300"/>
    <n v="1300"/>
    <n v="1326"/>
    <n v="7826"/>
    <n v="-1300"/>
    <n v="1014"/>
    <n v="-1014"/>
    <n v="-3042"/>
    <m/>
    <n v="-1300"/>
    <m/>
    <m/>
    <m/>
    <m/>
    <n v="1014"/>
    <n v="1014"/>
    <n v="1014"/>
    <n v="1014"/>
    <n v="1014"/>
    <n v="1014"/>
    <n v="1014"/>
    <n v="1014"/>
    <n v="1014"/>
    <n v="9126"/>
    <m/>
    <m/>
    <m/>
    <n v="1014"/>
    <n v="1014"/>
    <n v="1014"/>
    <n v="1014"/>
    <n v="1014"/>
    <n v="1014"/>
    <n v="1014"/>
    <n v="1014"/>
    <n v="1014"/>
    <n v="9126"/>
  </r>
  <r>
    <s v="L-ERP-522"/>
    <x v="106"/>
    <s v="Tamavada, Ram_MANAGED SERVICES_IT-FBT0665-OG-US-00"/>
    <s v="ERP"/>
    <s v="Patel, Apurva"/>
    <s v="Dougherty, Chris"/>
    <s v="Tamavada, Ram"/>
    <s v="Dougherty, Chris"/>
    <s v="Tamavada, Ram"/>
    <s v="Maguire, Karla"/>
    <x v="7"/>
    <s v="Syniti: Infrastructure Charges - SAP Backoffice - Cloud AWS"/>
    <m/>
    <m/>
    <x v="94"/>
    <m/>
    <s v="N/A"/>
    <m/>
    <x v="3"/>
    <m/>
    <m/>
    <n v="12168"/>
    <n v="9604.119999999999"/>
    <m/>
    <m/>
    <n v="243.06"/>
    <n v="235.06"/>
    <n v="0"/>
    <n v="527.16999999999996"/>
    <n v="288.64999999999998"/>
    <n v="209.08999999999997"/>
    <n v="1014"/>
    <n v="1014"/>
    <n v="1014"/>
    <n v="1014"/>
    <n v="1014"/>
    <n v="1014"/>
    <n v="7587.03"/>
    <n v="-2017.0899999999992"/>
    <n v="1014"/>
    <n v="-804.91000000000008"/>
    <n v="-2017.09"/>
    <m/>
    <n v="-2017.0899999999992"/>
    <m/>
    <n v="243.06"/>
    <n v="235.06"/>
    <n v="0"/>
    <n v="1014"/>
    <n v="1014"/>
    <n v="1014"/>
    <n v="1014"/>
    <n v="1014"/>
    <n v="1014"/>
    <n v="1014"/>
    <n v="1014"/>
    <n v="1014"/>
    <n v="9604.119999999999"/>
    <n v="243.06"/>
    <n v="235.06"/>
    <n v="0"/>
    <n v="1014"/>
    <n v="1014"/>
    <n v="1014"/>
    <n v="1014"/>
    <n v="1014"/>
    <n v="1014"/>
    <n v="1014"/>
    <n v="1014"/>
    <n v="1014"/>
    <n v="9604.119999999999"/>
  </r>
  <r>
    <s v="L-ERP-523"/>
    <x v="107"/>
    <s v="Tamavada, Ram_MANAGED SERVICES_IT-FBT0675-OG-US-00"/>
    <s v="ERP"/>
    <s v="Patel, Apurva"/>
    <s v="Dougherty, Chris"/>
    <s v="Tamavada, Ram"/>
    <s v="Dougherty, Chris"/>
    <s v="Tamavada, Ram"/>
    <s v="Maguire, Karla"/>
    <x v="7"/>
    <s v="Infrastructure charges"/>
    <m/>
    <m/>
    <x v="95"/>
    <m/>
    <s v="N/A"/>
    <m/>
    <x v="3"/>
    <m/>
    <m/>
    <n v="26558.000004000005"/>
    <n v="24873.730003000001"/>
    <m/>
    <m/>
    <n v="1680.68"/>
    <n v="1679.61"/>
    <n v="1594.94"/>
    <n v="1713.8500000000004"/>
    <n v="1788.77"/>
    <n v="1781.77"/>
    <n v="2213.166667"/>
    <n v="2213.166667"/>
    <n v="2213.166667"/>
    <n v="2213.166667"/>
    <n v="2213.166667"/>
    <n v="2213.166667"/>
    <n v="23518.620002000003"/>
    <n v="-1355.1100009999973"/>
    <n v="2213.166667"/>
    <n v="-431.39666699999998"/>
    <n v="-1355.1100009999973"/>
    <m/>
    <n v="-1355.1100009999973"/>
    <m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  <n v="1680.68"/>
    <n v="1679.61"/>
    <n v="1594.94"/>
    <n v="2213.166667"/>
    <n v="2213.166667"/>
    <n v="2213.166667"/>
    <n v="2213.166667"/>
    <n v="2213.166667"/>
    <n v="2213.166667"/>
    <n v="2213.166667"/>
    <n v="2213.166667"/>
    <n v="2213.166667"/>
    <n v="24873.730003000001"/>
  </r>
  <r>
    <s v="L-ERP-073"/>
    <x v="108"/>
    <s v="Dougherty, Chris_MANAGED SERVICES_IT-FBT0693-OG-US-00"/>
    <s v="ERP"/>
    <s v="Patel, Apurva"/>
    <s v="Dougherty, Chris"/>
    <s v="Dougherty, Chris"/>
    <s v="Dougherty, Chris"/>
    <s v="Dougherty, Chris"/>
    <s v="Maguire, Karla"/>
    <x v="7"/>
    <s v="Infrastructure charges"/>
    <m/>
    <m/>
    <x v="96"/>
    <m/>
    <m/>
    <m/>
    <x v="3"/>
    <m/>
    <m/>
    <n v="60000"/>
    <n v="58916.17"/>
    <m/>
    <m/>
    <n v="5046.78"/>
    <n v="4733.08"/>
    <n v="4136.3100000000004"/>
    <n v="1611.3500000000001"/>
    <n v="1548.42"/>
    <n v="448.77000000000004"/>
    <n v="5000"/>
    <n v="5000"/>
    <n v="5000"/>
    <n v="5000"/>
    <n v="5000"/>
    <n v="5000"/>
    <n v="47524.710000000006"/>
    <n v="-11391.459999999992"/>
    <n v="5000"/>
    <n v="-4551.2299999999996"/>
    <n v="-11391.46"/>
    <m/>
    <n v="-11391.459999999992"/>
    <m/>
    <n v="5046.78"/>
    <n v="4733.08"/>
    <n v="4136.3100000000004"/>
    <n v="5000"/>
    <n v="5000"/>
    <n v="5000"/>
    <n v="5000"/>
    <n v="5000"/>
    <n v="5000"/>
    <n v="5000"/>
    <n v="5000"/>
    <n v="5000"/>
    <n v="58916.17"/>
    <n v="5046.78"/>
    <n v="4733.08"/>
    <n v="4136.3100000000004"/>
    <n v="5000"/>
    <n v="5000"/>
    <n v="5000"/>
    <n v="5000"/>
    <n v="5000"/>
    <n v="5000"/>
    <n v="5000"/>
    <n v="5000"/>
    <n v="5000"/>
    <n v="58916.17"/>
  </r>
  <r>
    <s v="L-ERP-358"/>
    <x v="108"/>
    <s v="McCormick, Pete_MANAGED SERVICES_IT-FBT0693-OG-US-00"/>
    <s v="ERP"/>
    <s v="Patel, Apurva"/>
    <s v="Dougherty, Chris"/>
    <s v="McCormick, Pete"/>
    <s v="Dougherty, Chris"/>
    <s v="McCormick, Pete"/>
    <s v="Maguire, Karla"/>
    <x v="7"/>
    <s v="Infrastructure charges"/>
    <m/>
    <m/>
    <x v="96"/>
    <m/>
    <m/>
    <m/>
    <x v="3"/>
    <m/>
    <m/>
    <n v="0"/>
    <n v="81"/>
    <m/>
    <m/>
    <n v="1.65"/>
    <n v="76.819999999999993"/>
    <n v="2.5299999999999998"/>
    <n v="1008.71"/>
    <n v="1060.44"/>
    <n v="17.300000000000068"/>
    <n v="0"/>
    <n v="0"/>
    <n v="0"/>
    <n v="0"/>
    <n v="0"/>
    <n v="0"/>
    <n v="2167.4500000000003"/>
    <n v="2086.4500000000003"/>
    <n v="0"/>
    <n v="17.300000000000068"/>
    <n v="2086.4500000000003"/>
    <m/>
    <n v="2086.4500000000003"/>
    <m/>
    <n v="1.65"/>
    <n v="76.819999999999993"/>
    <n v="2.5299999999999998"/>
    <n v="0"/>
    <n v="0"/>
    <n v="0"/>
    <n v="0"/>
    <n v="0"/>
    <n v="0"/>
    <n v="0"/>
    <n v="0"/>
    <n v="0"/>
    <n v="81"/>
    <n v="1.65"/>
    <n v="76.819999999999993"/>
    <n v="2.5299999999999998"/>
    <n v="0"/>
    <n v="0"/>
    <n v="0"/>
    <n v="0"/>
    <n v="0"/>
    <n v="0"/>
    <n v="0"/>
    <n v="0"/>
    <n v="0"/>
    <n v="81"/>
  </r>
  <r>
    <s v="L-ERP-524"/>
    <x v="108"/>
    <s v="Tamavada, Ram_MANAGED SERVICES_IT-FBT0693-OG-US-00"/>
    <s v="ERP"/>
    <s v="Patel, Apurva"/>
    <s v="Dougherty, Chris"/>
    <s v="Tamavada, Ram"/>
    <s v="Dougherty, Chris"/>
    <s v="Tamavada, Ram"/>
    <s v="Maguire, Karla"/>
    <x v="7"/>
    <s v="Infrastructure charges"/>
    <m/>
    <m/>
    <x v="96"/>
    <m/>
    <m/>
    <m/>
    <x v="3"/>
    <m/>
    <m/>
    <n v="14400"/>
    <n v="11192.33"/>
    <m/>
    <m/>
    <n v="200.57"/>
    <n v="191.76"/>
    <n v="0"/>
    <n v="14.350000000000001"/>
    <n v="11.24"/>
    <n v="0"/>
    <n v="1200"/>
    <n v="1200"/>
    <n v="1200"/>
    <n v="1200"/>
    <n v="1200"/>
    <n v="1200"/>
    <n v="7617.92"/>
    <n v="-3574.41"/>
    <n v="1200"/>
    <n v="-1200"/>
    <n v="-3574.41"/>
    <m/>
    <n v="-3574.41"/>
    <m/>
    <n v="200.57"/>
    <n v="191.76"/>
    <n v="0"/>
    <n v="1200"/>
    <n v="1200"/>
    <n v="1200"/>
    <n v="1200"/>
    <n v="1200"/>
    <n v="1200"/>
    <n v="1200"/>
    <n v="1200"/>
    <n v="1200"/>
    <n v="11192.33"/>
    <n v="200.57"/>
    <n v="191.76"/>
    <n v="0"/>
    <n v="1200"/>
    <n v="1200"/>
    <n v="1200"/>
    <n v="1200"/>
    <n v="1200"/>
    <n v="1200"/>
    <n v="1200"/>
    <n v="1200"/>
    <n v="1200"/>
    <n v="11192.33"/>
  </r>
  <r>
    <s v="L-ERP-514"/>
    <x v="109"/>
    <s v="Tamavada, Ram_MANAGED SERVICES_IT-FBT0700-OG-US-00"/>
    <s v="ERP"/>
    <s v="Patel, Apurva"/>
    <s v="Dougherty, Chris"/>
    <s v="Tamavada, Ram"/>
    <s v="Dougherty, Chris"/>
    <s v="Tamavada, Ram"/>
    <s v="Maguire, Karla"/>
    <x v="7"/>
    <s v="IBM: SAP Application Managed Service - Celonis"/>
    <m/>
    <m/>
    <x v="97"/>
    <m/>
    <m/>
    <m/>
    <x v="17"/>
    <m/>
    <m/>
    <n v="376200"/>
    <n v="376200.45999999996"/>
    <m/>
    <m/>
    <n v="25838"/>
    <n v="36872.379999999997"/>
    <n v="31340.080000000002"/>
    <n v="25837.46"/>
    <n v="36862.460000000006"/>
    <n v="31349.62"/>
    <n v="31350"/>
    <n v="31350"/>
    <n v="31350"/>
    <n v="31350"/>
    <n v="31350"/>
    <n v="31350"/>
    <n v="376200"/>
    <n v="-0.4599999999627471"/>
    <n v="31350"/>
    <n v="-0.38000000000101863"/>
    <n v="-0.45999999999185093"/>
    <m/>
    <n v="-0.4599999999627471"/>
    <m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  <n v="25838"/>
    <n v="36872.379999999997"/>
    <n v="31340.080000000002"/>
    <n v="31350"/>
    <n v="31350"/>
    <n v="31350"/>
    <n v="31350"/>
    <n v="31350"/>
    <n v="31350"/>
    <n v="31350"/>
    <n v="31350"/>
    <n v="31350"/>
    <n v="376200.45999999996"/>
  </r>
  <r>
    <s v="L-ERP-544"/>
    <x v="110"/>
    <s v="Tamavada, Ram_MANAGED SERVICES_IT-FBT0753-OT-US-00"/>
    <s v="ERP"/>
    <s v="Patel, Apurva"/>
    <s v="Dougherty, Chris"/>
    <s v="Tamavada, Ram"/>
    <s v="Dougherty, Chris"/>
    <s v="Tamavada, Ram"/>
    <s v="Maguire, Karla"/>
    <x v="7"/>
    <s v="IBM: SAP Application Managed Service - Delta Applications - FBO Scope"/>
    <m/>
    <m/>
    <x v="98"/>
    <m/>
    <m/>
    <m/>
    <x v="0"/>
    <m/>
    <m/>
    <n v="335904"/>
    <n v="335903.61"/>
    <m/>
    <m/>
    <n v="0.04"/>
    <n v="55984.1"/>
    <n v="27991.47"/>
    <n v="23070.760000000002"/>
    <n v="32913.769999999997"/>
    <n v="27991.9"/>
    <n v="27992"/>
    <n v="27992"/>
    <n v="27992"/>
    <n v="27992"/>
    <n v="27992"/>
    <n v="27992"/>
    <n v="335904.04"/>
    <n v="0.42999999999301508"/>
    <n v="27992"/>
    <n v="-9.9999999998544808E-2"/>
    <n v="0.42999999999301508"/>
    <m/>
    <n v="0.42999999999301508"/>
    <m/>
    <n v="0.04"/>
    <n v="55984.1"/>
    <n v="27991.47"/>
    <n v="27992"/>
    <n v="27992"/>
    <n v="27992"/>
    <n v="27992"/>
    <n v="27992"/>
    <n v="27992"/>
    <n v="27992"/>
    <n v="27992"/>
    <n v="27992"/>
    <n v="335903.61"/>
    <n v="0.04"/>
    <n v="55984.1"/>
    <n v="27991.47"/>
    <n v="27992"/>
    <n v="27992"/>
    <n v="27992"/>
    <n v="27992"/>
    <n v="27992"/>
    <n v="27992"/>
    <n v="27992"/>
    <n v="27992"/>
    <n v="27992"/>
    <n v="335903.61"/>
  </r>
  <r>
    <s v="L-ERP-525"/>
    <x v="111"/>
    <s v="Tamavada, Ram_MANAGED SERVICES_IT-FBT0769-OT-US-00"/>
    <s v="ERP"/>
    <s v="Patel, Apurva"/>
    <s v="Dougherty, Chris"/>
    <s v="Tamavada, Ram"/>
    <s v="Dougherty, Chris"/>
    <s v="Tamavada, Ram"/>
    <s v="Maguire, Karla"/>
    <x v="7"/>
    <s v="PFIZER APPS related charges (Cloud AWS, Data Protection)"/>
    <m/>
    <m/>
    <x v="99"/>
    <m/>
    <m/>
    <m/>
    <x v="3"/>
    <m/>
    <m/>
    <n v="4212"/>
    <n v="0"/>
    <m/>
    <m/>
    <n v="212.71"/>
    <n v="212.88"/>
    <n v="-425.59"/>
    <n v="421.78999999999996"/>
    <n v="11.3"/>
    <n v="0"/>
    <m/>
    <m/>
    <m/>
    <m/>
    <m/>
    <m/>
    <n v="433.09000000000003"/>
    <n v="433.09000000000003"/>
    <m/>
    <n v="0"/>
    <n v="433.09000000000003"/>
    <m/>
    <n v="433.09000000000003"/>
    <m/>
    <n v="212.71"/>
    <n v="212.88"/>
    <n v="-425.59"/>
    <m/>
    <m/>
    <m/>
    <m/>
    <m/>
    <m/>
    <m/>
    <m/>
    <m/>
    <n v="0"/>
    <n v="212.71"/>
    <n v="212.88"/>
    <n v="-425.59"/>
    <m/>
    <m/>
    <m/>
    <m/>
    <m/>
    <m/>
    <m/>
    <m/>
    <m/>
    <n v="0"/>
  </r>
  <r>
    <s v="L-ERP-545"/>
    <x v="112"/>
    <s v="Tamavada, Ram_MANAGED SERVICES_IT-FBT0770-OT-US-00"/>
    <s v="ERP"/>
    <s v="Patel, Apurva"/>
    <s v="Dougherty, Chris"/>
    <s v="Tamavada, Ram"/>
    <s v="Dougherty, Chris"/>
    <s v="Tamavada, Ram"/>
    <s v="Maguire, Karla"/>
    <x v="7"/>
    <s v="Legacy PS HR &amp; GRW Related charges"/>
    <m/>
    <m/>
    <x v="47"/>
    <m/>
    <m/>
    <m/>
    <x v="0"/>
    <m/>
    <m/>
    <n v="0"/>
    <n v="0"/>
    <m/>
    <m/>
    <n v="95.28"/>
    <n v="31.62"/>
    <n v="-126.9"/>
    <n v="66.959999999999994"/>
    <n v="61.6"/>
    <n v="63.66"/>
    <m/>
    <m/>
    <m/>
    <m/>
    <m/>
    <m/>
    <n v="192.22"/>
    <n v="192.22"/>
    <m/>
    <n v="63.66"/>
    <n v="192.22"/>
    <m/>
    <n v="192.22"/>
    <m/>
    <n v="95.28"/>
    <n v="31.62"/>
    <n v="-126.9"/>
    <m/>
    <m/>
    <m/>
    <m/>
    <m/>
    <m/>
    <m/>
    <m/>
    <m/>
    <n v="0"/>
    <n v="95.28"/>
    <n v="31.62"/>
    <n v="-126.9"/>
    <m/>
    <m/>
    <m/>
    <m/>
    <m/>
    <m/>
    <m/>
    <m/>
    <m/>
    <n v="0"/>
  </r>
  <r>
    <s v="ERP-050"/>
    <x v="113"/>
    <s v="Meadows, Leslie_MANAGED SERVICES_IT-FBT0780-OT-US-00"/>
    <s v="ERP"/>
    <s v="Patel, Apurva"/>
    <s v="Dougherty, Chris"/>
    <s v="Meadows, Leslie"/>
    <s v="Dougherty, Chris"/>
    <s v="Meadows, Leslie"/>
    <s v="Meadows, Leslie"/>
    <x v="7"/>
    <s v="SSCS Operational Sup"/>
    <s v="ALLEGIS GLOBAL SOLUTIONS INC"/>
    <s v="2321511"/>
    <x v="48"/>
    <m/>
    <s v="9501143554"/>
    <m/>
    <x v="2"/>
    <m/>
    <m/>
    <m/>
    <m/>
    <m/>
    <m/>
    <m/>
    <m/>
    <m/>
    <m/>
    <n v="76500"/>
    <n v="12000"/>
    <n v="12000"/>
    <n v="12000"/>
    <n v="12000"/>
    <n v="12000"/>
    <n v="12000"/>
    <n v="12000"/>
    <n v="160500"/>
    <n v="160500"/>
    <m/>
    <n v="12000"/>
    <n v="88500"/>
    <m/>
    <n v="160500"/>
    <m/>
    <m/>
    <m/>
    <m/>
    <m/>
    <m/>
    <m/>
    <m/>
    <m/>
    <m/>
    <m/>
    <m/>
    <m/>
    <m/>
    <m/>
    <m/>
    <m/>
    <m/>
    <m/>
    <m/>
    <m/>
    <m/>
    <m/>
    <m/>
    <m/>
    <m/>
    <m/>
  </r>
  <r>
    <s v="ERP-028"/>
    <x v="114"/>
    <s v="Tamavada, Ram_MANAGED SERVICES_IT-FGS0296-OG-US-00"/>
    <s v="ERP"/>
    <s v="Patel, Apurva"/>
    <s v="Dougherty, Chris"/>
    <s v="Tamavada, Ram"/>
    <s v="Dougherty, Chris"/>
    <s v="Tamavada, Ram"/>
    <s v="Tamavada, Ram"/>
    <x v="7"/>
    <s v="Opex WBS code for EP - DIGITAL-DATAPROTECTION"/>
    <m/>
    <s v="2320843"/>
    <x v="100"/>
    <m/>
    <m/>
    <m/>
    <x v="2"/>
    <m/>
    <m/>
    <m/>
    <m/>
    <m/>
    <m/>
    <m/>
    <m/>
    <m/>
    <n v="18.2"/>
    <n v="0"/>
    <n v="0"/>
    <m/>
    <m/>
    <m/>
    <m/>
    <m/>
    <m/>
    <n v="18.2"/>
    <n v="18.2"/>
    <m/>
    <n v="0"/>
    <n v="18.2"/>
    <m/>
    <n v="18.2"/>
    <m/>
    <m/>
    <m/>
    <m/>
    <m/>
    <m/>
    <m/>
    <m/>
    <m/>
    <m/>
    <m/>
    <m/>
    <m/>
    <m/>
    <m/>
    <m/>
    <m/>
    <m/>
    <m/>
    <m/>
    <m/>
    <m/>
    <m/>
    <m/>
    <m/>
    <m/>
    <m/>
  </r>
  <r>
    <s v="L-ERP-074"/>
    <x v="115"/>
    <s v="Dougherty, Chris_MANAGED SERVICES_IT-FGS0299-OG-US-00"/>
    <s v="ERP"/>
    <s v="Patel, Apurva"/>
    <s v="Dougherty, Chris"/>
    <s v="Dougherty, Chris"/>
    <s v="Dougherty, Chris"/>
    <s v="Dougherty, Chris"/>
    <s v="Maguire, Karla"/>
    <x v="7"/>
    <s v="Others (Vending, Meeting event, Devices Unreturned, Applecare, Mac-mgmt, IT Onboard, etc.)"/>
    <m/>
    <m/>
    <x v="67"/>
    <m/>
    <s v="N/A"/>
    <m/>
    <x v="3"/>
    <m/>
    <m/>
    <n v="0"/>
    <n v="5151.76"/>
    <m/>
    <m/>
    <n v="1210.3599999999999"/>
    <n v="1569.34"/>
    <n v="2372.06"/>
    <n v="345.21"/>
    <n v="674.56"/>
    <n v="13726.56"/>
    <n v="0"/>
    <n v="0"/>
    <n v="0"/>
    <n v="0"/>
    <n v="0"/>
    <n v="0"/>
    <n v="19898.09"/>
    <n v="14746.33"/>
    <n v="0"/>
    <n v="13726.56"/>
    <n v="14746.33"/>
    <m/>
    <n v="14746.33"/>
    <m/>
    <n v="1210.3599999999999"/>
    <n v="1569.34"/>
    <n v="2372.06"/>
    <n v="0"/>
    <n v="0"/>
    <n v="0"/>
    <n v="0"/>
    <n v="0"/>
    <n v="0"/>
    <n v="0"/>
    <n v="0"/>
    <n v="0"/>
    <n v="5151.76"/>
    <n v="1210.3599999999999"/>
    <n v="1569.34"/>
    <n v="2372.06"/>
    <n v="0"/>
    <n v="0"/>
    <n v="0"/>
    <n v="0"/>
    <n v="0"/>
    <n v="0"/>
    <n v="0"/>
    <n v="0"/>
    <n v="0"/>
    <n v="5151.76"/>
  </r>
  <r>
    <s v="L-ERP-317"/>
    <x v="115"/>
    <s v="Maguire, Karla_MANAGED SERVICES_IT-FGS0299-OG-US-00"/>
    <s v="ERP"/>
    <s v="Patel, Apurva"/>
    <s v="Dougherty, Chris"/>
    <s v="Dougherty, Chris"/>
    <s v="Dougherty, Chris"/>
    <s v="Maguire, Karla"/>
    <s v="Maguire, Karla"/>
    <x v="7"/>
    <s v="Others (Vending, Meeting event, Devices Unreturned, Applecare, Mac-mgmt, IT Onboard, etc.)"/>
    <m/>
    <m/>
    <x v="67"/>
    <m/>
    <s v="N/A"/>
    <m/>
    <x v="3"/>
    <s v="KP- Could you confirm who this line was transferred to?"/>
    <m/>
    <n v="3300"/>
    <n v="1500"/>
    <m/>
    <m/>
    <m/>
    <m/>
    <m/>
    <n v="0"/>
    <n v="0"/>
    <n v="-1.6999999999999886"/>
    <n v="300"/>
    <n v="300"/>
    <n v="0"/>
    <n v="0"/>
    <n v="0"/>
    <n v="0"/>
    <n v="598.29999999999995"/>
    <n v="-901.7"/>
    <n v="300"/>
    <n v="-301.7"/>
    <n v="-901.7"/>
    <m/>
    <n v="-901.7"/>
    <m/>
    <m/>
    <m/>
    <m/>
    <n v="300"/>
    <n v="300"/>
    <n v="300"/>
    <n v="300"/>
    <n v="300"/>
    <n v="0"/>
    <n v="0"/>
    <n v="0"/>
    <n v="0"/>
    <n v="1500"/>
    <m/>
    <m/>
    <m/>
    <n v="300"/>
    <n v="300"/>
    <n v="300"/>
    <n v="300"/>
    <n v="300"/>
    <n v="0"/>
    <n v="0"/>
    <n v="0"/>
    <n v="0"/>
    <n v="1500"/>
  </r>
  <r>
    <s v="L-ERP-359"/>
    <x v="115"/>
    <s v="McCormick, Pete_MANAGED SERVICES_IT-FGS0299-OG-US-00"/>
    <s v="ERP"/>
    <s v="Patel, Apurva"/>
    <s v="Dougherty, Chris"/>
    <s v="McCormick, Pete"/>
    <s v="Dougherty, Chris"/>
    <s v="McCormick, Pete"/>
    <s v="Maguire, Karla"/>
    <x v="7"/>
    <s v="Others (Vending, Meeting event, Devices Unreturned, Applecare, Mac-mgmt, IT Onboard, etc.)"/>
    <m/>
    <m/>
    <x v="67"/>
    <m/>
    <s v="N/A"/>
    <m/>
    <x v="3"/>
    <m/>
    <m/>
    <n v="240000"/>
    <n v="230345.91999999998"/>
    <m/>
    <m/>
    <n v="18590.2"/>
    <n v="19113.38"/>
    <n v="12642.34"/>
    <n v="21280.7"/>
    <n v="14563.560000000001"/>
    <n v="26235.370000000003"/>
    <n v="19000"/>
    <n v="19000"/>
    <n v="19000"/>
    <n v="19000"/>
    <n v="19000"/>
    <n v="19000"/>
    <n v="226425.55"/>
    <n v="-3920.3699999999953"/>
    <n v="20000"/>
    <n v="6235.3700000000026"/>
    <n v="2079.6299999999901"/>
    <m/>
    <n v="-3920.3699999999953"/>
    <m/>
    <n v="18590.2"/>
    <n v="19113.38"/>
    <n v="12642.34"/>
    <n v="20000"/>
    <n v="20000"/>
    <n v="20000"/>
    <n v="20000"/>
    <n v="20000"/>
    <n v="20000"/>
    <n v="20000"/>
    <n v="20000"/>
    <n v="20000"/>
    <n v="230345.91999999998"/>
    <n v="18590.2"/>
    <n v="19113.38"/>
    <n v="12642.34"/>
    <n v="20000"/>
    <n v="20000"/>
    <n v="20000"/>
    <n v="20000"/>
    <n v="20000"/>
    <n v="20000"/>
    <n v="20000"/>
    <n v="20000"/>
    <n v="20000"/>
    <n v="230345.91999999998"/>
  </r>
  <r>
    <s v="L-ERP-526"/>
    <x v="115"/>
    <s v="Tamavada, Ram_MANAGED SERVICES_IT-FGS0299-OG-US-00"/>
    <s v="ERP"/>
    <s v="Patel, Apurva"/>
    <s v="Dougherty, Chris"/>
    <s v="Tamavada, Ram"/>
    <s v="Dougherty, Chris"/>
    <s v="Tamavada, Ram"/>
    <s v="Maguire, Karla"/>
    <x v="7"/>
    <s v="Others (Vending, Meeting event, Devices Unreturned, Applecare, Mac-mgmt, IT Onboard, etc.)"/>
    <m/>
    <m/>
    <x v="67"/>
    <m/>
    <s v="N/A"/>
    <m/>
    <x v="3"/>
    <m/>
    <m/>
    <n v="12000"/>
    <n v="20372.89"/>
    <m/>
    <m/>
    <n v="3485.94"/>
    <n v="4743.4799999999996"/>
    <n v="3143.47"/>
    <n v="1703.44"/>
    <n v="1676.8800000000003"/>
    <n v="3062.17"/>
    <n v="1000"/>
    <n v="1000"/>
    <n v="1000"/>
    <n v="1000"/>
    <n v="1000"/>
    <n v="1000"/>
    <n v="23815.38"/>
    <n v="3442.4900000000016"/>
    <n v="1000"/>
    <n v="2062.17"/>
    <n v="3442.4900000000016"/>
    <m/>
    <n v="3442.4900000000016"/>
    <m/>
    <n v="3485.94"/>
    <n v="4743.4799999999996"/>
    <n v="3143.47"/>
    <n v="1000"/>
    <n v="1000"/>
    <n v="1000"/>
    <n v="1000"/>
    <n v="1000"/>
    <n v="1000"/>
    <n v="1000"/>
    <n v="1000"/>
    <n v="1000"/>
    <n v="20372.89"/>
    <n v="3485.94"/>
    <n v="4743.4799999999996"/>
    <n v="3143.47"/>
    <n v="1000"/>
    <n v="1000"/>
    <n v="1000"/>
    <n v="1000"/>
    <n v="1000"/>
    <n v="1000"/>
    <n v="1000"/>
    <n v="1000"/>
    <n v="1000"/>
    <n v="20372.89"/>
  </r>
  <r>
    <s v="L-ERP-075"/>
    <x v="116"/>
    <s v="Dougherty, Chris_MANAGED SERVICES_IT-FGS0301-OG-US-00"/>
    <s v="ERP"/>
    <s v="Patel, Apurva"/>
    <s v="Dougherty, Chris"/>
    <s v="Dougherty, Chris"/>
    <s v="Dougherty, Chris"/>
    <s v="Dougherty, Chris"/>
    <s v="Maguire, Karla"/>
    <x v="7"/>
    <s v="Desktop on Demand (VDS)"/>
    <m/>
    <m/>
    <x v="101"/>
    <m/>
    <s v="N/A"/>
    <m/>
    <x v="3"/>
    <m/>
    <m/>
    <n v="120000"/>
    <n v="141134"/>
    <m/>
    <m/>
    <n v="17770"/>
    <n v="18328"/>
    <n v="15036"/>
    <n v="16438"/>
    <n v="18792"/>
    <n v="20125"/>
    <n v="10000"/>
    <n v="10000"/>
    <n v="10000"/>
    <n v="10000"/>
    <n v="10000"/>
    <n v="10000"/>
    <n v="166489"/>
    <n v="25355"/>
    <n v="10000"/>
    <n v="10125"/>
    <n v="25355"/>
    <m/>
    <n v="25355"/>
    <m/>
    <n v="17770"/>
    <n v="18328"/>
    <n v="15036"/>
    <n v="10000"/>
    <n v="10000"/>
    <n v="10000"/>
    <n v="10000"/>
    <n v="10000"/>
    <n v="10000"/>
    <n v="10000"/>
    <n v="10000"/>
    <n v="10000"/>
    <n v="141134"/>
    <n v="17770"/>
    <n v="18328"/>
    <n v="15036"/>
    <n v="10000"/>
    <n v="10000"/>
    <n v="10000"/>
    <n v="10000"/>
    <n v="10000"/>
    <n v="10000"/>
    <n v="10000"/>
    <n v="10000"/>
    <n v="10000"/>
    <n v="141134"/>
  </r>
  <r>
    <s v="L-ERP-318"/>
    <x v="116"/>
    <s v="Maguire, Karla_MANAGED SERVICES_IT-FGS0301-OG-US-00"/>
    <s v="ERP"/>
    <s v="Patel, Apurva"/>
    <s v="Dougherty, Chris"/>
    <s v="Dougherty, Chris"/>
    <s v="Dougherty, Chris"/>
    <s v="Maguire, Karla"/>
    <s v="Maguire, Karla"/>
    <x v="7"/>
    <s v="Desktop on Demand (VDS)"/>
    <m/>
    <m/>
    <x v="101"/>
    <m/>
    <s v="N/A"/>
    <m/>
    <x v="3"/>
    <s v="KP- Could you confirm who this line was transferred to?"/>
    <m/>
    <n v="0"/>
    <n v="12459.34"/>
    <m/>
    <m/>
    <n v="3067.29"/>
    <n v="2981.39"/>
    <n v="1910.66"/>
    <n v="1410.86"/>
    <n v="2830.8900000000003"/>
    <n v="2863"/>
    <n v="500"/>
    <n v="500"/>
    <n v="500"/>
    <n v="500"/>
    <n v="500"/>
    <n v="500"/>
    <n v="18064.09"/>
    <n v="5604.75"/>
    <n v="500"/>
    <n v="2363"/>
    <n v="5604.75"/>
    <m/>
    <n v="5604.75"/>
    <m/>
    <n v="3067.29"/>
    <n v="2981.39"/>
    <n v="1910.66"/>
    <n v="500"/>
    <n v="500"/>
    <n v="500"/>
    <n v="500"/>
    <n v="500"/>
    <n v="500"/>
    <n v="500"/>
    <n v="500"/>
    <n v="500"/>
    <n v="12459.34"/>
    <n v="3067.29"/>
    <n v="2981.39"/>
    <n v="1910.66"/>
    <n v="500"/>
    <n v="500"/>
    <n v="500"/>
    <n v="500"/>
    <n v="500"/>
    <n v="500"/>
    <n v="500"/>
    <n v="500"/>
    <n v="500"/>
    <n v="12459.34"/>
  </r>
  <r>
    <s v="L-ERP-360"/>
    <x v="116"/>
    <s v="McCormick, Pete_MANAGED SERVICES_IT-FGS0301-OG-US-00"/>
    <s v="ERP"/>
    <s v="Patel, Apurva"/>
    <s v="Dougherty, Chris"/>
    <s v="McCormick, Pete"/>
    <s v="Dougherty, Chris"/>
    <s v="McCormick, Pete"/>
    <s v="Maguire, Karla"/>
    <x v="7"/>
    <s v="Desktop on Demand (VDS)"/>
    <m/>
    <m/>
    <x v="101"/>
    <m/>
    <s v="N/A"/>
    <m/>
    <x v="3"/>
    <m/>
    <m/>
    <n v="42000"/>
    <n v="31512"/>
    <m/>
    <m/>
    <n v="3202"/>
    <n v="2807"/>
    <n v="240"/>
    <n v="2458"/>
    <n v="2458"/>
    <n v="2786"/>
    <n v="2458"/>
    <n v="2458"/>
    <n v="2458"/>
    <n v="2458"/>
    <n v="2458"/>
    <n v="2458"/>
    <n v="28699"/>
    <n v="-2813"/>
    <n v="2807"/>
    <n v="-21"/>
    <n v="-719"/>
    <m/>
    <n v="-2813"/>
    <m/>
    <n v="3202"/>
    <n v="2807"/>
    <n v="240"/>
    <n v="2807"/>
    <n v="2807"/>
    <n v="2807"/>
    <n v="2807"/>
    <n v="2807"/>
    <n v="2807"/>
    <n v="2807"/>
    <n v="2807"/>
    <n v="2807"/>
    <n v="31512"/>
    <n v="3202"/>
    <n v="2807"/>
    <n v="240"/>
    <n v="2807"/>
    <n v="2807"/>
    <n v="2807"/>
    <n v="2807"/>
    <n v="2807"/>
    <n v="2807"/>
    <n v="2807"/>
    <n v="2807"/>
    <n v="2807"/>
    <n v="31512"/>
  </r>
  <r>
    <s v="L-ERP-438"/>
    <x v="116"/>
    <s v="Meadows, Leslie_MANAGED SERVICES_IT-FGS0301-OG-US-00"/>
    <s v="ERP"/>
    <s v="Patel, Apurva"/>
    <s v="Dougherty, Chris"/>
    <s v="Meadows, Leslie"/>
    <s v="Dougherty, Chris"/>
    <s v="Meadows, Leslie"/>
    <s v="Maguire, Karla"/>
    <x v="7"/>
    <s v="Desktop on Demand (VDS)"/>
    <m/>
    <m/>
    <x v="101"/>
    <m/>
    <s v="N/A"/>
    <m/>
    <x v="3"/>
    <m/>
    <m/>
    <n v="0"/>
    <n v="3535"/>
    <m/>
    <m/>
    <n v="60"/>
    <n v="0"/>
    <n v="3475"/>
    <n v="0"/>
    <n v="0"/>
    <n v="0"/>
    <n v="0"/>
    <n v="0"/>
    <n v="0"/>
    <n v="0"/>
    <n v="0"/>
    <n v="0"/>
    <n v="3535"/>
    <n v="0"/>
    <n v="0"/>
    <n v="0"/>
    <n v="0"/>
    <m/>
    <n v="0"/>
    <m/>
    <n v="60"/>
    <n v="0"/>
    <n v="3475"/>
    <n v="0"/>
    <n v="0"/>
    <n v="0"/>
    <n v="0"/>
    <n v="0"/>
    <n v="0"/>
    <n v="0"/>
    <n v="0"/>
    <n v="0"/>
    <n v="3535"/>
    <n v="60"/>
    <n v="0"/>
    <n v="3475"/>
    <n v="0"/>
    <n v="0"/>
    <n v="0"/>
    <n v="0"/>
    <n v="0"/>
    <n v="0"/>
    <n v="0"/>
    <n v="0"/>
    <n v="0"/>
    <n v="3535"/>
  </r>
  <r>
    <s v="L-ERP-472"/>
    <x v="116"/>
    <s v="Patel, Nikunj Rohitkumar_MANAGED SERVICES_IT-FGS0301-OG-US-00"/>
    <s v="ERP"/>
    <s v="Patel, Apurva"/>
    <s v="Dougherty, Chris"/>
    <s v="Patel, Nikunj Rohitkumar"/>
    <s v="Dougherty, Chris"/>
    <s v="Patel, Nikunj Rohitkumar"/>
    <s v="Maguire, Karla"/>
    <x v="7"/>
    <s v="Desktop on Demand (VDS)"/>
    <m/>
    <m/>
    <x v="101"/>
    <m/>
    <s v="N/A"/>
    <m/>
    <x v="3"/>
    <m/>
    <m/>
    <n v="0"/>
    <n v="1245"/>
    <m/>
    <m/>
    <m/>
    <m/>
    <n v="1245"/>
    <n v="0"/>
    <n v="0"/>
    <n v="0"/>
    <n v="0"/>
    <n v="0"/>
    <n v="0"/>
    <n v="0"/>
    <n v="0"/>
    <n v="0"/>
    <n v="1245"/>
    <n v="0"/>
    <n v="0"/>
    <n v="0"/>
    <n v="0"/>
    <m/>
    <n v="0"/>
    <m/>
    <m/>
    <m/>
    <n v="1245"/>
    <n v="0"/>
    <n v="0"/>
    <n v="0"/>
    <n v="0"/>
    <n v="0"/>
    <n v="0"/>
    <n v="0"/>
    <n v="0"/>
    <n v="0"/>
    <n v="1245"/>
    <m/>
    <m/>
    <n v="1245"/>
    <n v="0"/>
    <n v="0"/>
    <n v="0"/>
    <n v="0"/>
    <n v="0"/>
    <n v="0"/>
    <n v="0"/>
    <n v="0"/>
    <n v="0"/>
    <n v="1245"/>
  </r>
  <r>
    <s v="L-ERP-527"/>
    <x v="116"/>
    <s v="Tamavada, Ram_MANAGED SERVICES_IT-FGS0301-OG-US-00"/>
    <s v="ERP"/>
    <s v="Patel, Apurva"/>
    <s v="Dougherty, Chris"/>
    <s v="Tamavada, Ram"/>
    <s v="Dougherty, Chris"/>
    <s v="Tamavada, Ram"/>
    <s v="Maguire, Karla"/>
    <x v="7"/>
    <s v="Desktop on Demand (VDS)"/>
    <m/>
    <m/>
    <x v="101"/>
    <m/>
    <s v="N/A"/>
    <m/>
    <x v="3"/>
    <m/>
    <m/>
    <n v="120000"/>
    <n v="114396"/>
    <m/>
    <m/>
    <n v="8661"/>
    <n v="6471"/>
    <n v="9264"/>
    <n v="5219"/>
    <n v="5092"/>
    <n v="6559"/>
    <n v="10000"/>
    <n v="10000"/>
    <n v="10000"/>
    <n v="10000"/>
    <n v="10000"/>
    <n v="10000"/>
    <n v="101266"/>
    <n v="-13130"/>
    <n v="10000"/>
    <n v="-3441"/>
    <n v="-13130"/>
    <m/>
    <n v="-13130"/>
    <m/>
    <n v="8661"/>
    <n v="6471"/>
    <n v="9264"/>
    <n v="10000"/>
    <n v="10000"/>
    <n v="10000"/>
    <n v="10000"/>
    <n v="10000"/>
    <n v="10000"/>
    <n v="10000"/>
    <n v="10000"/>
    <n v="10000"/>
    <n v="114396"/>
    <n v="8661"/>
    <n v="6471"/>
    <n v="9264"/>
    <n v="10000"/>
    <n v="10000"/>
    <n v="10000"/>
    <n v="10000"/>
    <n v="10000"/>
    <n v="10000"/>
    <n v="10000"/>
    <n v="10000"/>
    <n v="10000"/>
    <n v="114396"/>
  </r>
  <r>
    <s v="L-ERP-372"/>
    <x v="117"/>
    <s v="McCormick, Pete_MANAGED SERVICES_IT-HRD0005-OG-US-SS"/>
    <s v="ERP"/>
    <s v="Patel, Apurva"/>
    <s v="Dougherty, Chris"/>
    <s v="McCormick, Pete"/>
    <s v="Dougherty, Chris"/>
    <s v="McCormick, Pete"/>
    <s v="Maguire, Karla"/>
    <x v="7"/>
    <s v="SAP Platform - IBM Power10 HWMA and HMC - SOMERSET"/>
    <m/>
    <s v="2329614"/>
    <x v="102"/>
    <m/>
    <s v="9501133010"/>
    <m/>
    <x v="0"/>
    <s v="PO 9501133010 ($282k+$18.7k tax = $301k total)"/>
    <m/>
    <n v="301000"/>
    <n v="305973.58"/>
    <m/>
    <m/>
    <n v="80223.58"/>
    <n v="0"/>
    <n v="0"/>
    <n v="80223.58"/>
    <n v="0"/>
    <n v="0"/>
    <n v="0"/>
    <n v="70500"/>
    <n v="0"/>
    <n v="70500"/>
    <n v="0"/>
    <n v="0"/>
    <n v="301447.16000000003"/>
    <n v="-4526.4199999999837"/>
    <n v="0"/>
    <n v="0"/>
    <n v="4973.5799999999872"/>
    <m/>
    <n v="-4526.4199999999837"/>
    <m/>
    <n v="80223.58"/>
    <n v="0"/>
    <n v="0"/>
    <n v="75250"/>
    <n v="0"/>
    <n v="0"/>
    <n v="75250"/>
    <n v="0"/>
    <n v="0"/>
    <n v="75250"/>
    <n v="0"/>
    <n v="0"/>
    <n v="305973.58"/>
    <n v="80223.58"/>
    <n v="0"/>
    <n v="0"/>
    <n v="75250"/>
    <n v="0"/>
    <n v="0"/>
    <n v="75250"/>
    <n v="0"/>
    <n v="0"/>
    <n v="75250"/>
    <n v="0"/>
    <n v="0"/>
    <n v="305973.58"/>
  </r>
  <r>
    <s v="L-ERP-373"/>
    <x v="118"/>
    <s v="McCormick, Pete_MANAGED SERVICES_IT-HRD0006-OG-US-DH"/>
    <s v="ERP"/>
    <s v="Patel, Apurva"/>
    <s v="Dougherty, Chris"/>
    <s v="McCormick, Pete"/>
    <s v="Dougherty, Chris"/>
    <s v="McCormick, Pete"/>
    <s v="Maguire, Karla"/>
    <x v="7"/>
    <s v="SAP Platform - IBM Power10 HWMA and HMC - DURHAM"/>
    <m/>
    <s v="2329614"/>
    <x v="103"/>
    <m/>
    <s v="9501133994"/>
    <m/>
    <x v="0"/>
    <s v="PO 9501133994 ($262k+$19.7k taxes = $282k total)"/>
    <m/>
    <n v="282792"/>
    <n v="282791.93"/>
    <m/>
    <m/>
    <n v="70697.440000000002"/>
    <n v="0.49"/>
    <n v="0"/>
    <n v="9484.4399999999951"/>
    <n v="0"/>
    <n v="0"/>
    <m/>
    <n v="60500"/>
    <n v="0"/>
    <n v="70698"/>
    <n v="70698"/>
    <n v="0"/>
    <n v="282078.37"/>
    <n v="-713.55999999999767"/>
    <n v="0"/>
    <n v="0"/>
    <n v="-61213.56"/>
    <m/>
    <n v="-713.55999999999767"/>
    <m/>
    <n v="70697.440000000002"/>
    <n v="0.49"/>
    <n v="0"/>
    <n v="70698"/>
    <n v="0"/>
    <n v="0"/>
    <n v="70698"/>
    <n v="0"/>
    <n v="0"/>
    <n v="70698"/>
    <n v="0"/>
    <n v="0"/>
    <n v="282791.93"/>
    <n v="70697.440000000002"/>
    <n v="0.49"/>
    <n v="0"/>
    <n v="70698"/>
    <n v="0"/>
    <n v="0"/>
    <n v="70698"/>
    <n v="0"/>
    <n v="0"/>
    <n v="70698"/>
    <n v="0"/>
    <n v="0"/>
    <n v="282791.93"/>
  </r>
  <r>
    <s v="L-ERP-095"/>
    <x v="119"/>
    <s v="Dougherty, Chris_MANAGED SERVICES_IT-MGS0168-OG-US-00"/>
    <s v="ERP"/>
    <s v="Patel, Apurva"/>
    <s v="Dougherty, Chris"/>
    <s v="Dougherty, Chris"/>
    <s v="Dougherty, Chris"/>
    <s v="Dougherty, Chris"/>
    <s v="Maguire, Karla"/>
    <x v="7"/>
    <s v="IBM BPAI AMS (ML-0726)"/>
    <m/>
    <m/>
    <x v="53"/>
    <s v="CHW - Ok"/>
    <m/>
    <m/>
    <x v="0"/>
    <m/>
    <m/>
    <n v="0"/>
    <n v="1472196.6600000001"/>
    <m/>
    <m/>
    <m/>
    <n v="245366"/>
    <n v="122683.66"/>
    <n v="101112.98"/>
    <n v="144254.16"/>
    <n v="122682.85"/>
    <n v="122683"/>
    <n v="122683"/>
    <n v="122683"/>
    <n v="122683"/>
    <n v="122683"/>
    <n v="122683"/>
    <n v="1472197.65"/>
    <n v="0.98999999975785613"/>
    <n v="122683"/>
    <n v="-0.14999999999417923"/>
    <n v="0.98999999999068677"/>
    <m/>
    <n v="0.98999999975785613"/>
    <m/>
    <m/>
    <n v="245366"/>
    <n v="122683.66"/>
    <n v="122683"/>
    <n v="122683"/>
    <n v="122683"/>
    <n v="122683"/>
    <n v="122683"/>
    <n v="122683"/>
    <n v="122683"/>
    <n v="122683"/>
    <n v="122683"/>
    <n v="1472196.6600000001"/>
    <m/>
    <n v="245366"/>
    <n v="122683.66"/>
    <n v="122683"/>
    <n v="122683"/>
    <n v="122683"/>
    <n v="122683"/>
    <n v="122683"/>
    <n v="122683"/>
    <n v="122683"/>
    <n v="122683"/>
    <n v="122683"/>
    <n v="1472196.6600000001"/>
  </r>
  <r>
    <s v="L-ERP-546"/>
    <x v="120"/>
    <s v="Tamavada, Ram_MANAGED SERVICES_IT-MGS0202-OG-US-00"/>
    <s v="ERP"/>
    <s v="Patel, Apurva"/>
    <s v="Dougherty, Chris"/>
    <s v="Tamavada, Ram"/>
    <s v="Dougherty, Chris"/>
    <s v="Tamavada, Ram"/>
    <s v="Maguire, Karla"/>
    <x v="7"/>
    <s v="Oracle EBS Software Licenses"/>
    <m/>
    <m/>
    <x v="104"/>
    <m/>
    <m/>
    <m/>
    <x v="0"/>
    <s v="5/12 CHW - Zeroed line per Kinjal and added new software item"/>
    <m/>
    <n v="123538.9999999999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vmt - Mgd Services to Software IT-MGS0202-OG-US-00"/>
    <m/>
    <m/>
    <m/>
    <n v="0"/>
    <n v="0"/>
    <n v="0"/>
    <n v="0"/>
    <n v="0"/>
    <n v="0"/>
    <n v="0"/>
    <n v="0"/>
    <n v="0"/>
    <n v="0"/>
    <m/>
    <m/>
    <m/>
    <n v="10294.92"/>
    <n v="10294.92"/>
    <n v="10294.92"/>
    <n v="10294.92"/>
    <n v="10294.92"/>
    <n v="10294.92"/>
    <n v="10294.92"/>
    <n v="10294.92"/>
    <n v="10294.92"/>
    <n v="92654.28"/>
  </r>
  <r>
    <s v="L-ERP-547"/>
    <x v="121"/>
    <s v="Tamavada, Ram_MANAGED SERVICES_IT-MGS0203-OG-US-00"/>
    <s v="ERP"/>
    <s v="Patel, Apurva"/>
    <s v="Dougherty, Chris"/>
    <s v="Tamavada, Ram"/>
    <s v="Dougherty, Chris"/>
    <s v="Tamavada, Ram"/>
    <s v="Maguire, Karla"/>
    <x v="7"/>
    <s v="Oracle OCI Software Usage"/>
    <m/>
    <m/>
    <x v="105"/>
    <m/>
    <m/>
    <m/>
    <x v="0"/>
    <m/>
    <m/>
    <n v="264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26400"/>
    <n v="26400"/>
    <m/>
    <m/>
    <m/>
    <m/>
    <n v="0"/>
    <n v="0"/>
    <n v="0"/>
    <n v="0"/>
    <n v="0"/>
    <n v="0"/>
    <n v="0"/>
    <n v="0"/>
    <n v="0"/>
    <n v="0"/>
    <m/>
    <m/>
    <m/>
    <n v="2200"/>
    <n v="2200"/>
    <n v="2200"/>
    <n v="2200"/>
    <n v="2200"/>
    <n v="2200"/>
    <n v="2200"/>
    <n v="2200"/>
    <n v="2200"/>
    <n v="19800"/>
  </r>
  <r>
    <s v="L-ERP-509"/>
    <x v="122"/>
    <s v="Tamavada, Ram_MANAGED SERVICES_IT-MGS0204-OG-US-00"/>
    <s v="ERP"/>
    <s v="Patel, Apurva"/>
    <s v="Dougherty, Chris"/>
    <s v="Tamavada, Ram"/>
    <s v="Dougherty, Chris"/>
    <s v="Tamavada, Ram"/>
    <s v="Maguire, Karla"/>
    <x v="7"/>
    <s v="IBM: SAP Application Managed Service - Seagen_Oracle (long term support)"/>
    <m/>
    <m/>
    <x v="106"/>
    <m/>
    <m/>
    <m/>
    <x v="21"/>
    <m/>
    <m/>
    <n v="36000"/>
    <n v="36000.300000000003"/>
    <m/>
    <m/>
    <m/>
    <n v="5999.76"/>
    <n v="2703.54"/>
    <n v="2769.23"/>
    <n v="3527.23"/>
    <n v="2703.54"/>
    <n v="3000"/>
    <n v="3000"/>
    <n v="3000"/>
    <n v="3000"/>
    <n v="3000"/>
    <n v="3000"/>
    <n v="35703.300000000003"/>
    <n v="-297"/>
    <n v="3000"/>
    <n v="-296.46000000000004"/>
    <n v="-297"/>
    <m/>
    <n v="-297"/>
    <m/>
    <m/>
    <n v="5999.76"/>
    <n v="2703.54"/>
    <n v="3297"/>
    <n v="3000"/>
    <n v="3000"/>
    <n v="3000"/>
    <n v="3000"/>
    <n v="3000"/>
    <n v="3000"/>
    <n v="3000"/>
    <n v="3000"/>
    <n v="36000.300000000003"/>
    <m/>
    <n v="5999.76"/>
    <n v="2703.54"/>
    <n v="3000"/>
    <n v="3000"/>
    <n v="3000"/>
    <n v="3000"/>
    <n v="3000"/>
    <n v="3000"/>
    <n v="3000"/>
    <n v="3000"/>
    <n v="3000"/>
    <n v="35703.300000000003"/>
  </r>
  <r>
    <s v="L-ERP-510"/>
    <x v="123"/>
    <s v="Tamavada, Ram_MANAGED SERVICES_IT-MGS0205-OG-US-00"/>
    <s v="ERP"/>
    <s v="Patel, Apurva"/>
    <s v="Dougherty, Chris"/>
    <s v="Tamavada, Ram"/>
    <s v="Dougherty, Chris"/>
    <s v="Tamavada, Ram"/>
    <s v="Maguire, Karla"/>
    <x v="7"/>
    <s v="IBM: GLNS AMS Support"/>
    <m/>
    <m/>
    <x v="107"/>
    <m/>
    <m/>
    <m/>
    <x v="21"/>
    <m/>
    <m/>
    <n v="345000"/>
    <n v="333579.34999999998"/>
    <m/>
    <m/>
    <m/>
    <m/>
    <n v="80924.350000000006"/>
    <n v="25748.649999999994"/>
    <n v="35684.65"/>
    <n v="28214.84"/>
    <n v="29498"/>
    <n v="26933"/>
    <n v="28215"/>
    <n v="28215"/>
    <n v="26933"/>
    <n v="29498"/>
    <n v="339864.49"/>
    <n v="6285.140000000014"/>
    <n v="26933"/>
    <n v="1281.8400000000001"/>
    <n v="6285.1399999999849"/>
    <m/>
    <n v="6285.140000000014"/>
    <m/>
    <m/>
    <m/>
    <n v="80924.350000000006"/>
    <n v="28215"/>
    <n v="26933"/>
    <n v="28215"/>
    <n v="29498"/>
    <n v="26933"/>
    <n v="28215"/>
    <n v="28215"/>
    <n v="26933"/>
    <n v="29498"/>
    <n v="333579.34999999998"/>
    <m/>
    <m/>
    <n v="80924.350000000006"/>
    <n v="27894"/>
    <n v="27894"/>
    <n v="27894"/>
    <n v="27894"/>
    <n v="27894"/>
    <n v="27894"/>
    <n v="27894"/>
    <n v="27894"/>
    <n v="27894"/>
    <n v="331970.34999999998"/>
  </r>
  <r>
    <s v="L-ERP-066"/>
    <x v="124"/>
    <s v="Dougherty, Chris_MANAGED SERVICES_IT-MGS0207-OG-US-00"/>
    <s v="ERP"/>
    <s v="Patel, Apurva"/>
    <s v="Dougherty, Chris"/>
    <s v="Dougherty, Chris"/>
    <s v="Dougherty, Chris"/>
    <s v="Dougherty, Chris"/>
    <s v="Maguire, Karla"/>
    <x v="7"/>
    <s v="Billing Forecast - UC4 Automic"/>
    <m/>
    <m/>
    <x v="108"/>
    <m/>
    <m/>
    <m/>
    <x v="16"/>
    <m/>
    <m/>
    <n v="0"/>
    <n v="-18450"/>
    <m/>
    <m/>
    <m/>
    <m/>
    <n v="-3450"/>
    <n v="0"/>
    <n v="-7116.77"/>
    <n v="-3658.57"/>
    <n v="-1666.67"/>
    <n v="-1666.67"/>
    <n v="-1666.67"/>
    <n v="0"/>
    <n v="0"/>
    <n v="0"/>
    <n v="-19225.349999999999"/>
    <n v="-775.34999999999854"/>
    <n v="-3333.33"/>
    <n v="-325.24000000000024"/>
    <n v="-775.35000000000036"/>
    <m/>
    <n v="-775.34999999999854"/>
    <m/>
    <m/>
    <m/>
    <n v="-3450"/>
    <n v="-3333.33"/>
    <n v="-3333.33"/>
    <n v="-3333.33"/>
    <n v="-1666.67"/>
    <n v="-1666.67"/>
    <n v="-1666.67"/>
    <n v="0"/>
    <n v="0"/>
    <n v="0"/>
    <n v="-18450"/>
    <m/>
    <m/>
    <n v="-3450"/>
    <n v="-3333.33"/>
    <n v="-3333.33"/>
    <n v="-3333.33"/>
    <n v="-1666.67"/>
    <n v="-1666.67"/>
    <n v="-1666.67"/>
    <n v="0"/>
    <n v="0"/>
    <n v="0"/>
    <n v="-18450"/>
  </r>
  <r>
    <s v="L-ERP-528"/>
    <x v="125"/>
    <s v="Tamavada, Ram_MANAGED SERVICES_IT-MGS0209-OG-US-00"/>
    <s v="ERP"/>
    <s v="Patel, Apurva"/>
    <s v="Dougherty, Chris"/>
    <s v="Tamavada, Ram"/>
    <s v="Dougherty, Chris"/>
    <s v="Tamavada, Ram"/>
    <s v="Maguire, Karla"/>
    <x v="7"/>
    <s v="RingFence Modfac (AWS, DP)"/>
    <m/>
    <m/>
    <x v="109"/>
    <m/>
    <m/>
    <m/>
    <x v="3"/>
    <m/>
    <m/>
    <n v="0"/>
    <n v="3711.49"/>
    <m/>
    <m/>
    <m/>
    <m/>
    <n v="552.49"/>
    <n v="0"/>
    <n v="0"/>
    <n v="0"/>
    <n v="351"/>
    <n v="351"/>
    <n v="351"/>
    <n v="351"/>
    <n v="351"/>
    <n v="351"/>
    <n v="2658.49"/>
    <n v="-1053"/>
    <n v="351"/>
    <n v="-351"/>
    <n v="-1053"/>
    <m/>
    <n v="-1053"/>
    <m/>
    <m/>
    <m/>
    <n v="552.49"/>
    <n v="351"/>
    <n v="351"/>
    <n v="351"/>
    <n v="351"/>
    <n v="351"/>
    <n v="351"/>
    <n v="351"/>
    <n v="351"/>
    <n v="351"/>
    <n v="3711.49"/>
    <m/>
    <m/>
    <n v="552.49"/>
    <n v="351"/>
    <n v="351"/>
    <n v="351"/>
    <n v="351"/>
    <n v="351"/>
    <n v="351"/>
    <n v="351"/>
    <n v="351"/>
    <n v="351"/>
    <n v="3711.49"/>
  </r>
  <r>
    <s v="L-ERP-064"/>
    <x v="126"/>
    <s v="Dougherty, Chris_MANAGED SERVICES_IT-SFT1282-86-OG-US"/>
    <s v="ERP"/>
    <s v="Patel, Apurva"/>
    <s v="Dougherty, Chris"/>
    <s v="Dougherty, Chris"/>
    <s v="Dougherty, Chris"/>
    <s v="Dougherty, Chris"/>
    <s v="Maguire, Karla"/>
    <x v="7"/>
    <s v="BPAI File Transfer &amp; Workload Automation Services - Monthly Libra reclasses (ML-0726)"/>
    <m/>
    <m/>
    <x v="110"/>
    <s v="CHW - F/U"/>
    <m/>
    <m/>
    <x v="22"/>
    <m/>
    <m/>
    <n v="-608600"/>
    <n v="-597160"/>
    <m/>
    <m/>
    <m/>
    <m/>
    <n v="-123760"/>
    <n v="0"/>
    <n v="-113731.04000000001"/>
    <n v="-60567.46"/>
    <n v="-52600"/>
    <n v="-52600"/>
    <n v="-52600"/>
    <n v="-52600"/>
    <n v="-52600"/>
    <n v="-52600"/>
    <n v="-613658.5"/>
    <n v="-16498.5"/>
    <n v="-52600"/>
    <n v="-7967.4599999999991"/>
    <n v="-16498.5"/>
    <m/>
    <n v="-16498.5"/>
    <m/>
    <m/>
    <m/>
    <n v="-123760"/>
    <n v="-52600"/>
    <n v="-52600"/>
    <n v="-52600"/>
    <n v="-52600"/>
    <n v="-52600"/>
    <n v="-52600"/>
    <n v="-52600"/>
    <n v="-52600"/>
    <n v="-52600"/>
    <n v="-597160"/>
    <m/>
    <m/>
    <n v="-123760"/>
    <n v="-52600"/>
    <n v="-52600"/>
    <n v="-52600"/>
    <n v="-52600"/>
    <n v="-52600"/>
    <n v="-52600"/>
    <n v="-52600"/>
    <n v="-52600"/>
    <n v="-52600"/>
    <n v="-597160"/>
  </r>
  <r>
    <s v="L-ERP-353"/>
    <x v="126"/>
    <s v="McCormick, Pete_MANAGED SERVICES_IT-SFT1282-86-OG-US"/>
    <s v="ERP"/>
    <s v="Patel, Apurva"/>
    <s v="Dougherty, Chris"/>
    <s v="McCormick, Pete"/>
    <s v="Dougherty, Chris"/>
    <s v="McCormick, Pete"/>
    <s v="Maguire, Karla"/>
    <x v="7"/>
    <s v="BPAI File Transfer &amp; Workload Automation Services - Monthly Libra reclasses (ML-0726)"/>
    <m/>
    <m/>
    <x v="110"/>
    <s v="CHW - F/U"/>
    <m/>
    <m/>
    <x v="22"/>
    <m/>
    <m/>
    <n v="0"/>
    <n v="0"/>
    <m/>
    <m/>
    <m/>
    <n v="-68030"/>
    <n v="68030"/>
    <n v="0"/>
    <n v="0"/>
    <n v="0"/>
    <m/>
    <m/>
    <m/>
    <m/>
    <m/>
    <m/>
    <n v="0"/>
    <n v="0"/>
    <m/>
    <n v="0"/>
    <n v="0"/>
    <m/>
    <n v="0"/>
    <m/>
    <m/>
    <n v="-68030"/>
    <n v="68030"/>
    <m/>
    <m/>
    <m/>
    <m/>
    <m/>
    <m/>
    <m/>
    <m/>
    <m/>
    <n v="0"/>
    <m/>
    <n v="-68030"/>
    <n v="68030"/>
    <m/>
    <m/>
    <m/>
    <m/>
    <m/>
    <m/>
    <m/>
    <m/>
    <m/>
    <n v="0"/>
  </r>
  <r>
    <s v="L-ERP-506"/>
    <x v="127"/>
    <s v="Tamavada, Ram_MANAGED SERVICES_IT-SFT1434-OG-US-00"/>
    <s v="ERP"/>
    <s v="Patel, Apurva"/>
    <s v="Dougherty, Chris"/>
    <s v="Tamavada, Ram"/>
    <s v="Dougherty, Chris"/>
    <s v="Tamavada, Ram"/>
    <s v="Maguire, Karla"/>
    <x v="7"/>
    <s v="Infrastructure: Pfizer Pfynix AIOPS solution"/>
    <m/>
    <m/>
    <x v="111"/>
    <s v="CHW - F/U"/>
    <m/>
    <m/>
    <x v="23"/>
    <m/>
    <m/>
    <n v="3999.9999999999995"/>
    <n v="4632.7199999999993"/>
    <m/>
    <m/>
    <n v="571.28"/>
    <n v="587.64"/>
    <n v="473.79"/>
    <n v="590.85"/>
    <n v="588.03"/>
    <n v="718.07"/>
    <n v="333.33"/>
    <n v="333.33"/>
    <n v="333.33"/>
    <n v="333.33"/>
    <n v="333.33"/>
    <n v="333.37"/>
    <n v="5529.68"/>
    <n v="896.96000000000095"/>
    <n v="333.33"/>
    <n v="384.74000000000007"/>
    <n v="896.96000000000049"/>
    <m/>
    <n v="896.96000000000095"/>
    <m/>
    <n v="571.28"/>
    <n v="587.64"/>
    <n v="473.79"/>
    <n v="333.33"/>
    <n v="333.33"/>
    <n v="333.33"/>
    <n v="333.33"/>
    <n v="333.33"/>
    <n v="333.33"/>
    <n v="333.33"/>
    <n v="333.33"/>
    <n v="333.37"/>
    <n v="4632.7199999999993"/>
    <n v="571.28"/>
    <n v="587.64"/>
    <n v="473.79"/>
    <n v="333.33"/>
    <n v="333.33"/>
    <n v="333.33"/>
    <n v="333.33"/>
    <n v="333.33"/>
    <n v="333.33"/>
    <n v="333.33"/>
    <n v="333.33"/>
    <n v="333.37"/>
    <n v="4632.7199999999993"/>
  </r>
  <r>
    <s v="L-ERP-097"/>
    <x v="128"/>
    <s v="Dougherty, Chris_MANAGED SERVICES_MISC001"/>
    <s v="ERP"/>
    <s v="Patel, Apurva"/>
    <s v="Dougherty, Chris"/>
    <s v="Dougherty, Chris"/>
    <s v="Dougherty, Chris"/>
    <s v="Dougherty, Chris"/>
    <s v="Maguire, Karla"/>
    <x v="7"/>
    <s v="Miscellaneous Charges"/>
    <m/>
    <m/>
    <x v="54"/>
    <m/>
    <m/>
    <m/>
    <x v="0"/>
    <m/>
    <m/>
    <n v="0"/>
    <n v="0.03"/>
    <m/>
    <m/>
    <n v="7.0000000000000007E-2"/>
    <n v="-0.2"/>
    <n v="0.16"/>
    <n v="-0.28999999999999998"/>
    <n v="71439.95"/>
    <n v="1.9999999999999997E-2"/>
    <n v="0"/>
    <n v="0"/>
    <n v="0"/>
    <n v="0"/>
    <n v="0"/>
    <n v="0"/>
    <n v="71439.710000000006"/>
    <n v="71439.680000000008"/>
    <n v="0"/>
    <n v="1.9999999999999997E-2"/>
    <n v="71439.680000000008"/>
    <m/>
    <n v="71439.680000000008"/>
    <m/>
    <n v="7.0000000000000007E-2"/>
    <n v="-0.2"/>
    <n v="0.16"/>
    <n v="0"/>
    <n v="0"/>
    <n v="0"/>
    <n v="0"/>
    <n v="0"/>
    <n v="0"/>
    <n v="0"/>
    <n v="0"/>
    <n v="0"/>
    <n v="0.03"/>
    <n v="7.0000000000000007E-2"/>
    <n v="-0.2"/>
    <n v="0.16"/>
    <n v="0"/>
    <n v="0"/>
    <n v="0"/>
    <n v="0"/>
    <n v="0"/>
    <n v="0"/>
    <n v="0"/>
    <n v="0"/>
    <n v="0"/>
    <n v="0.03"/>
  </r>
  <r>
    <s v="L-ERP-335"/>
    <x v="128"/>
    <s v="Maguire, Karla_MANAGED SERVICES_MISC001"/>
    <s v="ERP"/>
    <s v="Patel, Apurva"/>
    <s v="Dougherty, Chris"/>
    <s v="Dougherty, Chris"/>
    <s v="Dougherty, Chris"/>
    <s v="Maguire, Karla"/>
    <s v="Maguire, Karla"/>
    <x v="7"/>
    <s v="Miscellaneous Charges"/>
    <m/>
    <m/>
    <x v="54"/>
    <m/>
    <m/>
    <m/>
    <x v="0"/>
    <s v="KP- Could you confirm who this line was transferred to?"/>
    <m/>
    <n v="0"/>
    <n v="1777.1799999999998"/>
    <m/>
    <m/>
    <n v="843.63"/>
    <n v="-313.26"/>
    <n v="1246.81"/>
    <n v="1159.5900000000001"/>
    <n v="1531.64"/>
    <n v="324.64"/>
    <n v="0"/>
    <n v="0"/>
    <n v="0"/>
    <n v="0"/>
    <n v="0"/>
    <n v="0"/>
    <n v="4793.05"/>
    <n v="3015.8700000000003"/>
    <n v="0"/>
    <n v="324.64"/>
    <n v="3015.8700000000003"/>
    <m/>
    <n v="3015.8700000000003"/>
    <m/>
    <n v="843.63"/>
    <n v="-313.26"/>
    <n v="1246.81"/>
    <n v="0"/>
    <n v="0"/>
    <n v="0"/>
    <n v="0"/>
    <n v="0"/>
    <n v="0"/>
    <n v="0"/>
    <n v="0"/>
    <n v="0"/>
    <n v="1777.1799999999998"/>
    <n v="843.63"/>
    <n v="-313.26"/>
    <n v="1246.81"/>
    <n v="0"/>
    <n v="0"/>
    <n v="0"/>
    <n v="0"/>
    <n v="0"/>
    <n v="0"/>
    <n v="0"/>
    <n v="0"/>
    <n v="0"/>
    <n v="1777.1799999999998"/>
  </r>
  <r>
    <s v="L-ERP-374"/>
    <x v="128"/>
    <s v="McCormick, Pete_MANAGED SERVICES_MISC001"/>
    <s v="ERP"/>
    <s v="Patel, Apurva"/>
    <s v="Dougherty, Chris"/>
    <s v="McCormick, Pete"/>
    <s v="Dougherty, Chris"/>
    <s v="McCormick, Pete"/>
    <s v="Maguire, Karla"/>
    <x v="7"/>
    <s v="Miscellaneous Charges"/>
    <m/>
    <m/>
    <x v="54"/>
    <m/>
    <m/>
    <m/>
    <x v="0"/>
    <m/>
    <m/>
    <n v="0"/>
    <n v="-0.12"/>
    <m/>
    <m/>
    <n v="0.02"/>
    <n v="0.04"/>
    <n v="-0.18"/>
    <n v="-0.02"/>
    <n v="0.19"/>
    <n v="-0.36"/>
    <n v="0"/>
    <n v="0"/>
    <n v="0"/>
    <n v="0"/>
    <n v="0"/>
    <n v="0"/>
    <n v="-0.30999999999999994"/>
    <n v="-0.18999999999999995"/>
    <n v="0"/>
    <n v="-0.36"/>
    <n v="-0.18999999999999995"/>
    <m/>
    <n v="-0.18999999999999995"/>
    <m/>
    <n v="0.02"/>
    <n v="0.04"/>
    <n v="-0.18"/>
    <n v="0"/>
    <n v="0"/>
    <n v="0"/>
    <n v="0"/>
    <n v="0"/>
    <n v="0"/>
    <n v="0"/>
    <n v="0"/>
    <n v="0"/>
    <n v="-0.12"/>
    <n v="0.02"/>
    <n v="0.04"/>
    <n v="-0.18"/>
    <n v="0"/>
    <n v="0"/>
    <n v="0"/>
    <n v="0"/>
    <n v="0"/>
    <n v="0"/>
    <n v="0"/>
    <n v="0"/>
    <n v="0"/>
    <n v="-0.12"/>
  </r>
  <r>
    <s v="L-ERP-447"/>
    <x v="128"/>
    <s v="Meadows, Leslie_MANAGED SERVICES_MISC001"/>
    <s v="ERP"/>
    <s v="Patel, Apurva"/>
    <s v="Dougherty, Chris"/>
    <s v="Meadows, Leslie"/>
    <s v="Dougherty, Chris"/>
    <s v="Meadows, Leslie"/>
    <s v="Maguire, Karla"/>
    <x v="7"/>
    <s v="Miscellaneous Charges"/>
    <m/>
    <m/>
    <x v="54"/>
    <m/>
    <m/>
    <m/>
    <x v="0"/>
    <m/>
    <m/>
    <n v="0"/>
    <n v="-0.16999999999999998"/>
    <m/>
    <m/>
    <m/>
    <n v="0.42"/>
    <n v="-0.59"/>
    <n v="0.34"/>
    <n v="0.33"/>
    <n v="-0.56999999999999995"/>
    <n v="0"/>
    <n v="0"/>
    <n v="0"/>
    <n v="0"/>
    <n v="0"/>
    <n v="0"/>
    <n v="-6.9999999999999951E-2"/>
    <n v="0.10000000000000003"/>
    <n v="0"/>
    <n v="-0.56999999999999995"/>
    <n v="0.10000000000000003"/>
    <m/>
    <n v="0.10000000000000003"/>
    <m/>
    <m/>
    <n v="0.42"/>
    <n v="-0.59"/>
    <n v="0"/>
    <n v="0"/>
    <n v="0"/>
    <n v="0"/>
    <n v="0"/>
    <n v="0"/>
    <n v="0"/>
    <n v="0"/>
    <n v="0"/>
    <n v="-0.16999999999999998"/>
    <m/>
    <n v="0.42"/>
    <n v="-0.59"/>
    <n v="0"/>
    <n v="0"/>
    <n v="0"/>
    <n v="0"/>
    <n v="0"/>
    <n v="0"/>
    <n v="0"/>
    <n v="0"/>
    <n v="0"/>
    <n v="-0.16999999999999998"/>
  </r>
  <r>
    <s v="L-ERP-548"/>
    <x v="128"/>
    <s v="Tamavada, Ram_MANAGED SERVICES_MISC001"/>
    <s v="ERP"/>
    <s v="Patel, Apurva"/>
    <s v="Dougherty, Chris"/>
    <s v="Tamavada, Ram"/>
    <s v="Dougherty, Chris"/>
    <s v="Tamavada, Ram"/>
    <s v="Maguire, Karla"/>
    <x v="7"/>
    <s v="Miscellaneous Charges"/>
    <m/>
    <m/>
    <x v="54"/>
    <m/>
    <m/>
    <m/>
    <x v="0"/>
    <s v="KP - May i please get more details on this actual? Can't find it in the actuals file."/>
    <m/>
    <n v="0"/>
    <n v="39996"/>
    <m/>
    <m/>
    <n v="0.22"/>
    <n v="45000.28"/>
    <n v="-5004.5"/>
    <n v="-0.6"/>
    <n v="-84995.74"/>
    <n v="44999.83"/>
    <n v="0"/>
    <n v="0"/>
    <n v="0"/>
    <n v="0"/>
    <n v="0"/>
    <n v="0"/>
    <n v="-0.51000000000203727"/>
    <n v="-39996.51"/>
    <n v="0"/>
    <n v="44999.83"/>
    <n v="-39996.51"/>
    <m/>
    <n v="-39996.51"/>
    <m/>
    <n v="0.22"/>
    <n v="45000.28"/>
    <n v="-5004.5"/>
    <n v="0"/>
    <n v="0"/>
    <n v="0"/>
    <n v="0"/>
    <n v="0"/>
    <n v="0"/>
    <n v="0"/>
    <n v="0"/>
    <n v="0"/>
    <n v="39996"/>
    <n v="0.22"/>
    <n v="45000.28"/>
    <n v="-5004.5"/>
    <n v="0"/>
    <n v="0"/>
    <n v="0"/>
    <n v="0"/>
    <n v="0"/>
    <n v="0"/>
    <n v="0"/>
    <n v="0"/>
    <n v="0"/>
    <n v="39996"/>
  </r>
  <r>
    <s v="L-ERP-115"/>
    <x v="129"/>
    <s v="Dougherty, Chris_OTHER_IT-SFT1010-86-OG-US"/>
    <s v="ERP"/>
    <s v="Patel, Apurva"/>
    <s v="Dougherty, Chris"/>
    <s v="Dougherty, Chris"/>
    <s v="Dougherty, Chris"/>
    <s v="Dougherty, Chris"/>
    <s v="Maguire, Karla"/>
    <x v="8"/>
    <s v="SAP SaaS Software Maintenance (IBP #3061986150)"/>
    <m/>
    <m/>
    <x v="112"/>
    <m/>
    <m/>
    <m/>
    <x v="24"/>
    <m/>
    <m/>
    <n v="0"/>
    <n v="0"/>
    <m/>
    <m/>
    <n v="4356992.08"/>
    <n v="-4356992.08"/>
    <m/>
    <s v=""/>
    <n v="0"/>
    <n v="0"/>
    <m/>
    <m/>
    <m/>
    <m/>
    <m/>
    <m/>
    <n v="0"/>
    <n v="0"/>
    <m/>
    <n v="0"/>
    <n v="0"/>
    <m/>
    <n v="0"/>
    <m/>
    <n v="4356992.08"/>
    <n v="-4356992.08"/>
    <m/>
    <m/>
    <m/>
    <m/>
    <m/>
    <m/>
    <m/>
    <m/>
    <m/>
    <m/>
    <n v="0"/>
    <n v="4356992.08"/>
    <n v="-4356992.08"/>
    <m/>
    <m/>
    <m/>
    <m/>
    <m/>
    <m/>
    <m/>
    <m/>
    <m/>
    <m/>
    <n v="0"/>
  </r>
  <r>
    <s v="L-ERP-382"/>
    <x v="130"/>
    <s v="McCormick, Pete_OTHER_IT-SFT1249-86-OG-US"/>
    <s v="ERP"/>
    <s v="Patel, Apurva"/>
    <s v="Dougherty, Chris"/>
    <s v="McCormick, Pete"/>
    <s v="Dougherty, Chris"/>
    <s v="McCormick, Pete"/>
    <s v="Maguire, Karla"/>
    <x v="8"/>
    <s v="SAP User Group Yearly Membership (ASUG) (Pullforward Debit)"/>
    <m/>
    <s v="2329614"/>
    <x v="113"/>
    <s v="CHW - F/U"/>
    <s v="9501114816"/>
    <s v="Yes"/>
    <x v="25"/>
    <m/>
    <m/>
    <n v="0"/>
    <n v="0"/>
    <m/>
    <m/>
    <n v="-11125"/>
    <n v="11125"/>
    <m/>
    <s v=""/>
    <n v="0"/>
    <n v="0"/>
    <m/>
    <m/>
    <m/>
    <m/>
    <m/>
    <m/>
    <n v="0"/>
    <n v="0"/>
    <m/>
    <n v="0"/>
    <n v="0"/>
    <m/>
    <n v="0"/>
    <m/>
    <n v="-11125"/>
    <n v="11125"/>
    <m/>
    <m/>
    <m/>
    <m/>
    <m/>
    <m/>
    <m/>
    <m/>
    <m/>
    <m/>
    <n v="0"/>
    <n v="-11125"/>
    <n v="11125"/>
    <m/>
    <m/>
    <m/>
    <m/>
    <m/>
    <m/>
    <m/>
    <m/>
    <m/>
    <m/>
    <n v="0"/>
  </r>
  <r>
    <s v="L-ERP-106"/>
    <x v="131"/>
    <s v="Dougherty, Chris_OTHER_Others001"/>
    <s v="ERP"/>
    <s v="Patel, Apurva"/>
    <s v="Dougherty, Chris"/>
    <s v="Dougherty, Chris"/>
    <s v="Dougherty, Chris"/>
    <s v="Dougherty, Chris"/>
    <s v="Maguire, Karla"/>
    <x v="8"/>
    <s v="Other"/>
    <m/>
    <m/>
    <x v="35"/>
    <m/>
    <m/>
    <m/>
    <x v="7"/>
    <m/>
    <m/>
    <n v="0"/>
    <n v="69"/>
    <m/>
    <m/>
    <n v="-0.08"/>
    <n v="69.08"/>
    <n v="0"/>
    <n v="61"/>
    <n v="104"/>
    <n v="88"/>
    <n v="0"/>
    <n v="0"/>
    <n v="0"/>
    <n v="0"/>
    <n v="0"/>
    <n v="0"/>
    <n v="322"/>
    <n v="253"/>
    <n v="0"/>
    <n v="88"/>
    <n v="253"/>
    <m/>
    <n v="253"/>
    <m/>
    <n v="-0.08"/>
    <n v="69.08"/>
    <n v="0"/>
    <n v="0"/>
    <n v="0"/>
    <n v="0"/>
    <n v="0"/>
    <n v="0"/>
    <n v="0"/>
    <n v="0"/>
    <n v="0"/>
    <n v="0"/>
    <n v="69"/>
    <n v="-0.08"/>
    <n v="69.08"/>
    <n v="0"/>
    <n v="0"/>
    <n v="0"/>
    <n v="0"/>
    <n v="0"/>
    <n v="0"/>
    <n v="0"/>
    <n v="0"/>
    <n v="0"/>
    <n v="0"/>
    <n v="69"/>
  </r>
  <r>
    <s v="L-ERP-346"/>
    <x v="131"/>
    <s v="Maguire, Karla_OTHER_Others001"/>
    <s v="ERP"/>
    <s v="Patel, Apurva"/>
    <s v="Dougherty, Chris"/>
    <s v="Dougherty, Chris"/>
    <s v="Dougherty, Chris"/>
    <s v="Maguire, Karla"/>
    <s v="Maguire, Karla"/>
    <x v="8"/>
    <s v="Other"/>
    <m/>
    <m/>
    <x v="35"/>
    <m/>
    <m/>
    <m/>
    <x v="7"/>
    <s v="KP- Could you confirm who this line was transferred to?"/>
    <m/>
    <n v="0"/>
    <n v="9271.2199999999993"/>
    <m/>
    <m/>
    <n v="497.32"/>
    <n v="7672.35"/>
    <n v="1101.55"/>
    <n v="216.08999999999983"/>
    <n v="402.42000000000007"/>
    <n v="209.19"/>
    <n v="0"/>
    <n v="0"/>
    <n v="0"/>
    <n v="0"/>
    <n v="0"/>
    <n v="0"/>
    <n v="10098.92"/>
    <n v="827.70000000000073"/>
    <n v="0"/>
    <n v="209.19"/>
    <n v="827.70000000000073"/>
    <m/>
    <n v="827.70000000000073"/>
    <m/>
    <n v="497.32"/>
    <n v="7672.35"/>
    <n v="1101.55"/>
    <n v="0"/>
    <n v="0"/>
    <n v="0"/>
    <n v="0"/>
    <n v="0"/>
    <n v="0"/>
    <n v="0"/>
    <n v="0"/>
    <n v="0"/>
    <n v="9271.2199999999993"/>
    <n v="497.32"/>
    <n v="7672.35"/>
    <n v="1101.55"/>
    <n v="0"/>
    <n v="0"/>
    <n v="0"/>
    <n v="0"/>
    <n v="0"/>
    <n v="0"/>
    <n v="0"/>
    <n v="0"/>
    <n v="0"/>
    <n v="9271.2199999999993"/>
  </r>
  <r>
    <s v="ERP-044"/>
    <x v="131"/>
    <s v="McCormick, Pete_OTHER_Others001"/>
    <s v="ERP"/>
    <s v="Patel, Apurva"/>
    <s v="Dougherty, Chris"/>
    <s v="McCormick, Pete"/>
    <s v="Dougherty, Chris"/>
    <s v="McCormick, Pete"/>
    <s v="McCormick, Pete"/>
    <x v="8"/>
    <s v="FEDERAL EXPRESS CORP"/>
    <s v="FEDERAL EXPRESS CORP"/>
    <s v="2329614"/>
    <x v="35"/>
    <m/>
    <m/>
    <m/>
    <x v="2"/>
    <m/>
    <m/>
    <m/>
    <m/>
    <m/>
    <m/>
    <m/>
    <m/>
    <m/>
    <m/>
    <n v="16"/>
    <n v="0"/>
    <m/>
    <m/>
    <m/>
    <m/>
    <m/>
    <m/>
    <n v="16"/>
    <n v="16"/>
    <m/>
    <n v="0"/>
    <n v="16"/>
    <m/>
    <n v="16"/>
    <m/>
    <m/>
    <m/>
    <m/>
    <m/>
    <m/>
    <m/>
    <m/>
    <m/>
    <m/>
    <m/>
    <m/>
    <m/>
    <m/>
    <m/>
    <m/>
    <m/>
    <m/>
    <m/>
    <m/>
    <m/>
    <m/>
    <m/>
    <m/>
    <m/>
    <m/>
    <m/>
  </r>
  <r>
    <s v="ERP-002"/>
    <x v="132"/>
    <s v="Dougherty, Chris_SOFTWARE"/>
    <s v="ERP"/>
    <s v="Patel, Apurva"/>
    <s v="Dougherty, Chris"/>
    <s v="Dougherty, Chris"/>
    <s v="Dougherty, Chris"/>
    <s v="Dougherty, Chris"/>
    <s v="DeHart, Lynn"/>
    <x v="9"/>
    <s v="SAP ME - Review at LE3"/>
    <s v="0"/>
    <m/>
    <x v="114"/>
    <m/>
    <m/>
    <m/>
    <x v="2"/>
    <s v="5/12 CHW - New added based on May Prepaid emails for review at LE3"/>
    <m/>
    <m/>
    <n v="624226"/>
    <m/>
    <m/>
    <m/>
    <m/>
    <m/>
    <s v=""/>
    <n v="0"/>
    <n v="0"/>
    <m/>
    <m/>
    <m/>
    <m/>
    <m/>
    <n v="624226"/>
    <n v="624226"/>
    <n v="0"/>
    <m/>
    <n v="0"/>
    <n v="0"/>
    <m/>
    <n v="0"/>
    <m/>
    <m/>
    <m/>
    <m/>
    <m/>
    <m/>
    <m/>
    <m/>
    <m/>
    <m/>
    <m/>
    <m/>
    <n v="624226"/>
    <n v="624226"/>
    <m/>
    <m/>
    <m/>
    <m/>
    <m/>
    <m/>
    <m/>
    <m/>
    <m/>
    <m/>
    <m/>
    <m/>
    <m/>
  </r>
  <r>
    <s v="L-ERP-059"/>
    <x v="133"/>
    <s v="Dougherty, Chris_SOFTWARE_2026-XFR-0007-A"/>
    <s v="ERP"/>
    <s v="Patel, Apurva"/>
    <s v="Dougherty, Chris"/>
    <s v="Dougherty, Chris"/>
    <s v="Dougherty, Chris"/>
    <s v="Dougherty, Chris"/>
    <s v="Maguire, Karla"/>
    <x v="9"/>
    <s v="Serialization - SAP ATTP License - Software maintenance (on-premise)"/>
    <m/>
    <m/>
    <x v="115"/>
    <m/>
    <m/>
    <m/>
    <x v="12"/>
    <m/>
    <m/>
    <n v="103465.00000000001"/>
    <n v="77598.720000000001"/>
    <m/>
    <m/>
    <m/>
    <m/>
    <m/>
    <s v=""/>
    <n v="0"/>
    <n v="0"/>
    <n v="17244"/>
    <n v="17244"/>
    <n v="17244"/>
    <n v="17244"/>
    <n v="17244"/>
    <n v="17244"/>
    <n v="103464"/>
    <n v="25865.279999999999"/>
    <m/>
    <n v="0"/>
    <n v="-25866.239999999998"/>
    <m/>
    <n v="25865.279999999999"/>
    <m/>
    <m/>
    <m/>
    <m/>
    <n v="8622.08"/>
    <n v="8622.08"/>
    <n v="8622.08"/>
    <n v="8622.08"/>
    <n v="8622.08"/>
    <n v="8622.08"/>
    <n v="8622.08"/>
    <n v="8622.08"/>
    <n v="8622.08"/>
    <n v="77598.720000000001"/>
    <m/>
    <m/>
    <m/>
    <n v="8622.08"/>
    <n v="8622.08"/>
    <n v="8622.08"/>
    <n v="8622.08"/>
    <n v="8622.08"/>
    <n v="8622.08"/>
    <n v="8622.08"/>
    <n v="8622.08"/>
    <n v="8622.08"/>
    <n v="77598.720000000001"/>
  </r>
  <r>
    <s v="L-ERP-060"/>
    <x v="134"/>
    <s v="Dougherty, Chris_SOFTWARE_2026-XFR-0013-A"/>
    <s v="ERP"/>
    <s v="Patel, Apurva"/>
    <s v="Dougherty, Chris"/>
    <s v="Dougherty, Chris"/>
    <s v="Dougherty, Chris"/>
    <s v="Dougherty, Chris"/>
    <s v="Maguire, Karla"/>
    <x v="9"/>
    <s v="Serialization - SAP ICH License - SAP ICH regulatory collaboration and Regulatory reporting services"/>
    <m/>
    <m/>
    <x v="116"/>
    <m/>
    <m/>
    <m/>
    <x v="12"/>
    <s v="5/12 CHW - added back 51K to reflect 204K XFR total &amp; shifted forecast to OTC "/>
    <m/>
    <n v="204127.99999999994"/>
    <n v="204128"/>
    <m/>
    <m/>
    <m/>
    <m/>
    <m/>
    <s v=""/>
    <n v="0"/>
    <n v="0"/>
    <n v="0"/>
    <n v="0"/>
    <n v="0"/>
    <n v="204128"/>
    <n v="0"/>
    <n v="0"/>
    <n v="204128"/>
    <n v="0"/>
    <n v="14200"/>
    <n v="-14200"/>
    <n v="0"/>
    <m/>
    <n v="0"/>
    <m/>
    <m/>
    <m/>
    <m/>
    <n v="0"/>
    <n v="0"/>
    <n v="0"/>
    <n v="0"/>
    <n v="0"/>
    <n v="0"/>
    <n v="204128"/>
    <n v="0"/>
    <n v="0"/>
    <n v="204128"/>
    <m/>
    <m/>
    <m/>
    <n v="17010.669999999998"/>
    <n v="17010.669999999998"/>
    <n v="17010.669999999998"/>
    <n v="17010.669999999998"/>
    <n v="17010.669999999998"/>
    <n v="17010.669999999998"/>
    <n v="17010.669999999998"/>
    <n v="17010.669999999998"/>
    <n v="17010.669999999998"/>
    <n v="153096.02999999997"/>
  </r>
  <r>
    <s v="L-ERP-061"/>
    <x v="135"/>
    <s v="Dougherty, Chris_SOFTWARE_2026-XFR-0017-A"/>
    <s v="ERP"/>
    <s v="Patel, Apurva"/>
    <s v="Dougherty, Chris"/>
    <s v="Dougherty, Chris"/>
    <s v="Dougherty, Chris"/>
    <s v="Dougherty, Chris"/>
    <s v="Maguire, Karla"/>
    <x v="9"/>
    <s v="Dedicated US PRIME Commerce Cloud - SAP Licenses"/>
    <m/>
    <m/>
    <x v="117"/>
    <m/>
    <m/>
    <m/>
    <x v="12"/>
    <m/>
    <m/>
    <n v="0"/>
    <n v="650000"/>
    <m/>
    <m/>
    <m/>
    <m/>
    <m/>
    <s v=""/>
    <n v="0"/>
    <n v="0"/>
    <n v="0"/>
    <n v="0"/>
    <n v="0"/>
    <n v="650000"/>
    <n v="0"/>
    <n v="0"/>
    <n v="650000"/>
    <n v="0"/>
    <m/>
    <n v="0"/>
    <n v="-650000"/>
    <m/>
    <n v="0"/>
    <s v="Acct Movement from Mike Hovanyetz to Chris Dougherty "/>
    <m/>
    <m/>
    <m/>
    <m/>
    <m/>
    <n v="650000"/>
    <n v="0"/>
    <n v="0"/>
    <n v="0"/>
    <n v="0"/>
    <n v="0"/>
    <n v="0"/>
    <n v="650000"/>
    <m/>
    <m/>
    <m/>
    <m/>
    <m/>
    <n v="650000"/>
    <n v="0"/>
    <n v="0"/>
    <n v="0"/>
    <n v="0"/>
    <n v="0"/>
    <n v="0"/>
    <n v="650000"/>
  </r>
  <r>
    <s v="L-ERP-062"/>
    <x v="136"/>
    <s v="Dougherty, Chris_SOFTWARE_2026-XFR-0017-B"/>
    <s v="ERP"/>
    <s v="Patel, Apurva"/>
    <s v="Dougherty, Chris"/>
    <s v="Dougherty, Chris"/>
    <s v="Dougherty, Chris"/>
    <s v="Dougherty, Chris"/>
    <s v="Maguire, Karla"/>
    <x v="9"/>
    <s v="Dedicated US PRIME Commerce Cloud - Middleware"/>
    <m/>
    <m/>
    <x v="118"/>
    <m/>
    <m/>
    <m/>
    <x v="12"/>
    <m/>
    <m/>
    <n v="0"/>
    <n v="300000"/>
    <m/>
    <m/>
    <m/>
    <m/>
    <m/>
    <s v=""/>
    <n v="0"/>
    <n v="0"/>
    <n v="0"/>
    <n v="0"/>
    <n v="0"/>
    <n v="300000"/>
    <n v="0"/>
    <n v="0"/>
    <n v="300000"/>
    <n v="0"/>
    <n v="62000"/>
    <n v="-62000"/>
    <n v="-300000"/>
    <m/>
    <n v="0"/>
    <s v="Acct Movement from Mike Hovanyetz to Chris Dougherty "/>
    <m/>
    <m/>
    <m/>
    <m/>
    <m/>
    <n v="300000"/>
    <n v="0"/>
    <n v="0"/>
    <n v="0"/>
    <n v="0"/>
    <n v="0"/>
    <n v="0"/>
    <n v="300000"/>
    <m/>
    <m/>
    <m/>
    <m/>
    <m/>
    <n v="300000"/>
    <n v="0"/>
    <n v="0"/>
    <n v="0"/>
    <n v="0"/>
    <n v="0"/>
    <n v="0"/>
    <n v="300000"/>
  </r>
  <r>
    <s v="L-ERP-063"/>
    <x v="137"/>
    <s v="Dougherty, Chris_SOFTWARE_2026-XFR-0034-A"/>
    <s v="ERP"/>
    <s v="Patel, Apurva"/>
    <s v="Dougherty, Chris"/>
    <s v="Dougherty, Chris"/>
    <s v="Dougherty, Chris"/>
    <s v="Dougherty, Chris"/>
    <s v="Maguire, Karla"/>
    <x v="9"/>
    <s v="GLNS E2E Global Import Broker Integration - OpenText server storage costs for archived documents added to OpenText every year"/>
    <m/>
    <m/>
    <x v="119"/>
    <m/>
    <m/>
    <m/>
    <x v="12"/>
    <m/>
    <m/>
    <n v="0"/>
    <n v="2475"/>
    <m/>
    <m/>
    <m/>
    <m/>
    <m/>
    <s v=""/>
    <n v="0"/>
    <n v="0"/>
    <n v="413"/>
    <n v="413"/>
    <n v="413"/>
    <n v="412"/>
    <n v="412"/>
    <n v="412"/>
    <n v="2475"/>
    <n v="0"/>
    <n v="883.33333300000004"/>
    <n v="-883.33333300000004"/>
    <n v="-825"/>
    <m/>
    <n v="0"/>
    <m/>
    <m/>
    <m/>
    <m/>
    <n v="275"/>
    <n v="275"/>
    <n v="275"/>
    <n v="275"/>
    <n v="275"/>
    <n v="275"/>
    <n v="275"/>
    <n v="275"/>
    <n v="275"/>
    <n v="2475"/>
    <m/>
    <m/>
    <m/>
    <n v="275"/>
    <n v="275"/>
    <n v="275"/>
    <n v="275"/>
    <n v="275"/>
    <n v="275"/>
    <n v="275"/>
    <n v="275"/>
    <n v="275"/>
    <n v="2475"/>
  </r>
  <r>
    <s v="L-ERP-504"/>
    <x v="138"/>
    <s v="Tamavada, Ram_SOFTWARE_2026-XFR-0036-A"/>
    <s v="ERP"/>
    <s v="Patel, Apurva"/>
    <s v="Dougherty, Chris"/>
    <s v="Tamavada, Ram"/>
    <s v="Dougherty, Chris"/>
    <s v="Tamavada, Ram"/>
    <s v="Maguire, Karla"/>
    <x v="9"/>
    <s v="2026 L-SGN Budget Transfer for incremental ERP Costs - Budget transfer for Oracle EBS Software License Costs"/>
    <m/>
    <m/>
    <x v="120"/>
    <m/>
    <m/>
    <m/>
    <x v="12"/>
    <m/>
    <m/>
    <n v="0"/>
    <n v="-118715.37"/>
    <m/>
    <m/>
    <m/>
    <n v="-118715.37"/>
    <n v="0"/>
    <n v="0"/>
    <n v="0"/>
    <n v="0"/>
    <n v="0"/>
    <m/>
    <n v="0"/>
    <n v="0"/>
    <n v="0"/>
    <n v="0"/>
    <n v="-118715.37"/>
    <n v="0"/>
    <n v="10296"/>
    <n v="-10296"/>
    <n v="0"/>
    <m/>
    <n v="0"/>
    <m/>
    <m/>
    <n v="-118715.37"/>
    <n v="0"/>
    <n v="0"/>
    <n v="0"/>
    <n v="0"/>
    <n v="0"/>
    <m/>
    <n v="0"/>
    <n v="0"/>
    <n v="0"/>
    <n v="0"/>
    <n v="-118715.37"/>
    <m/>
    <n v="-118715.37"/>
    <n v="0"/>
    <n v="0"/>
    <n v="0"/>
    <n v="0"/>
    <n v="0"/>
    <n v="0"/>
    <n v="0"/>
    <n v="0"/>
    <n v="0"/>
    <n v="0"/>
    <n v="-118715.37"/>
  </r>
  <r>
    <s v="N-ERP-607"/>
    <x v="139"/>
    <s v="Meadows, Leslie_SOFTWARE_2026-XFR-KM001"/>
    <s v="ERP"/>
    <s v="Patel, Apurva"/>
    <s v="Dougherty, Chris"/>
    <s v="Meadows, Leslie"/>
    <s v="Dougherty, Chris"/>
    <s v="Meadows, Leslie"/>
    <s v="Maguire, Karla"/>
    <x v="9"/>
    <s v="Syniti DSP Upgrade to Cloud SKP (Syniti Knowledge Platform) - TBD"/>
    <m/>
    <m/>
    <x v="121"/>
    <m/>
    <m/>
    <m/>
    <x v="26"/>
    <s v="KP-'Give Back"/>
    <m/>
    <n v="282999.99999599991"/>
    <n v="0"/>
    <m/>
    <m/>
    <m/>
    <m/>
    <m/>
    <s v=""/>
    <n v="0"/>
    <n v="0"/>
    <n v="0"/>
    <n v="0"/>
    <n v="0"/>
    <n v="0"/>
    <n v="0"/>
    <n v="0"/>
    <n v="0"/>
    <n v="0"/>
    <m/>
    <n v="0"/>
    <n v="0"/>
    <n v="-283000"/>
    <n v="283000"/>
    <s v="Syniti paid thru 12/30/2027"/>
    <m/>
    <m/>
    <m/>
    <n v="0"/>
    <n v="0"/>
    <n v="0"/>
    <n v="0"/>
    <n v="0"/>
    <n v="0"/>
    <n v="0"/>
    <n v="0"/>
    <n v="0"/>
    <n v="0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3583.333332999999"/>
    <n v="282999.99999599991"/>
  </r>
  <r>
    <s v="ERP-029"/>
    <x v="140"/>
    <s v="Maguire, Karla_SOFTWARE_BILLINGREV001CN"/>
    <s v="ERP"/>
    <s v="Patel, Apurva"/>
    <s v="Dougherty, Chris"/>
    <s v="Dougherty, Chris"/>
    <s v="Dougherty, Chris"/>
    <s v="Maguire, Karla"/>
    <s v="Maguire, Karla"/>
    <x v="9"/>
    <s v="ITFM-DIGITAL-COPILOT"/>
    <m/>
    <s v="2661893"/>
    <x v="122"/>
    <m/>
    <m/>
    <m/>
    <x v="2"/>
    <s v="KP- Could you confirm who this line was transferred to?"/>
    <m/>
    <m/>
    <m/>
    <m/>
    <m/>
    <m/>
    <m/>
    <m/>
    <n v="-4832.8900000000003"/>
    <n v="0"/>
    <n v="0"/>
    <m/>
    <m/>
    <m/>
    <m/>
    <m/>
    <m/>
    <n v="-4832.8900000000003"/>
    <n v="-4832.8900000000003"/>
    <n v="28215"/>
    <n v="-28215"/>
    <n v="-4832.8900000000003"/>
    <m/>
    <n v="-4832.8900000000003"/>
    <m/>
    <m/>
    <m/>
    <m/>
    <m/>
    <m/>
    <m/>
    <m/>
    <m/>
    <m/>
    <m/>
    <m/>
    <m/>
    <m/>
    <m/>
    <m/>
    <m/>
    <m/>
    <m/>
    <m/>
    <m/>
    <m/>
    <m/>
    <m/>
    <m/>
    <m/>
    <m/>
  </r>
  <r>
    <s v="ERP-030"/>
    <x v="141"/>
    <s v="Maguire, Karla_SOFTWARE_BILLINGREV009B"/>
    <s v="ERP"/>
    <s v="Patel, Apurva"/>
    <s v="Dougherty, Chris"/>
    <s v="Dougherty, Chris"/>
    <s v="Dougherty, Chris"/>
    <s v="Maguire, Karla"/>
    <s v="Maguire, Karla"/>
    <x v="9"/>
    <s v="ITFM-DIGITAL-M365-LICENSE"/>
    <m/>
    <s v="2661893"/>
    <x v="123"/>
    <m/>
    <m/>
    <m/>
    <x v="2"/>
    <s v="KP- Could you confirm who this line was transferred to?"/>
    <m/>
    <m/>
    <m/>
    <m/>
    <m/>
    <m/>
    <m/>
    <m/>
    <n v="-38080.83"/>
    <n v="0"/>
    <n v="0"/>
    <m/>
    <m/>
    <m/>
    <m/>
    <m/>
    <m/>
    <n v="-38080.83"/>
    <n v="-38080.83"/>
    <m/>
    <n v="0"/>
    <n v="-38080.83"/>
    <m/>
    <n v="-38080.83"/>
    <m/>
    <m/>
    <m/>
    <m/>
    <m/>
    <m/>
    <m/>
    <m/>
    <m/>
    <m/>
    <m/>
    <m/>
    <m/>
    <m/>
    <m/>
    <m/>
    <m/>
    <m/>
    <m/>
    <m/>
    <m/>
    <m/>
    <m/>
    <m/>
    <m/>
    <m/>
    <m/>
  </r>
  <r>
    <s v="L-ERP-336"/>
    <x v="142"/>
    <s v="Maguire, Karla_SOFTWARE_BillingSweep001"/>
    <s v="ERP"/>
    <s v="Patel, Apurva"/>
    <s v="Dougherty, Chris"/>
    <s v="Dougherty, Chris"/>
    <s v="Dougherty, Chris"/>
    <s v="Maguire, Karla"/>
    <s v="Maguire, Karla"/>
    <x v="9"/>
    <s v="Billing Sweep"/>
    <m/>
    <m/>
    <x v="124"/>
    <s v="CHW - Ok"/>
    <s v="N/A"/>
    <m/>
    <x v="0"/>
    <m/>
    <m/>
    <n v="0"/>
    <n v="0"/>
    <m/>
    <m/>
    <n v="-18074.080000000002"/>
    <n v="18074.080000000002"/>
    <n v="0"/>
    <s v=""/>
    <n v="0"/>
    <n v="0"/>
    <n v="0"/>
    <n v="0"/>
    <n v="0"/>
    <n v="0"/>
    <n v="0"/>
    <n v="0"/>
    <n v="0"/>
    <n v="0"/>
    <n v="0"/>
    <n v="0"/>
    <n v="0"/>
    <m/>
    <n v="0"/>
    <m/>
    <n v="-18074.080000000002"/>
    <n v="18074.080000000002"/>
    <n v="0"/>
    <n v="0"/>
    <n v="0"/>
    <n v="0"/>
    <n v="0"/>
    <n v="0"/>
    <n v="0"/>
    <n v="0"/>
    <n v="0"/>
    <n v="0"/>
    <n v="0"/>
    <n v="-18074.080000000002"/>
    <n v="18074.080000000002"/>
    <n v="0"/>
    <n v="0"/>
    <n v="0"/>
    <n v="0"/>
    <n v="0"/>
    <n v="0"/>
    <n v="0"/>
    <n v="0"/>
    <n v="0"/>
    <n v="0"/>
    <n v="0"/>
  </r>
  <r>
    <s v="L-ERP-337"/>
    <x v="143"/>
    <s v="Maguire, Karla_SOFTWARE_BillingSweep002"/>
    <s v="ERP"/>
    <s v="Patel, Apurva"/>
    <s v="Dougherty, Chris"/>
    <s v="Dougherty, Chris"/>
    <s v="Dougherty, Chris"/>
    <s v="Maguire, Karla"/>
    <s v="Maguire, Karla"/>
    <x v="9"/>
    <s v="Billing Sweep"/>
    <m/>
    <m/>
    <x v="125"/>
    <s v="CHW - Ok"/>
    <s v="N/A"/>
    <m/>
    <x v="0"/>
    <m/>
    <m/>
    <n v="0"/>
    <n v="0"/>
    <m/>
    <m/>
    <n v="-1922.23"/>
    <n v="1922.23"/>
    <n v="0"/>
    <s v=""/>
    <n v="0"/>
    <n v="0"/>
    <n v="0"/>
    <n v="0"/>
    <n v="0"/>
    <n v="0"/>
    <n v="0"/>
    <n v="0"/>
    <n v="0"/>
    <n v="0"/>
    <n v="3029.81"/>
    <n v="-3029.81"/>
    <n v="0"/>
    <m/>
    <n v="0"/>
    <m/>
    <n v="-1922.23"/>
    <n v="1922.23"/>
    <n v="0"/>
    <n v="0"/>
    <n v="0"/>
    <n v="0"/>
    <n v="0"/>
    <n v="0"/>
    <n v="0"/>
    <n v="0"/>
    <n v="0"/>
    <n v="0"/>
    <n v="0"/>
    <n v="-1922.23"/>
    <n v="1922.23"/>
    <n v="0"/>
    <n v="0"/>
    <n v="0"/>
    <n v="0"/>
    <n v="0"/>
    <n v="0"/>
    <n v="0"/>
    <n v="0"/>
    <n v="0"/>
    <n v="0"/>
    <n v="0"/>
  </r>
  <r>
    <s v="L-ERP-338"/>
    <x v="144"/>
    <s v="Maguire, Karla_SOFTWARE_BillingSweep006"/>
    <s v="ERP"/>
    <s v="Patel, Apurva"/>
    <s v="Dougherty, Chris"/>
    <s v="Dougherty, Chris"/>
    <s v="Dougherty, Chris"/>
    <s v="Maguire, Karla"/>
    <s v="Maguire, Karla"/>
    <x v="9"/>
    <s v="Billing Sweep"/>
    <m/>
    <m/>
    <x v="80"/>
    <s v="CHW - Ok"/>
    <s v="N/A"/>
    <m/>
    <x v="0"/>
    <m/>
    <m/>
    <n v="0"/>
    <n v="0"/>
    <m/>
    <m/>
    <n v="-11.41"/>
    <n v="11.41"/>
    <n v="0"/>
    <n v="0"/>
    <n v="0"/>
    <n v="0"/>
    <n v="0"/>
    <n v="0"/>
    <n v="0"/>
    <n v="0"/>
    <n v="0"/>
    <n v="0"/>
    <n v="0"/>
    <n v="0"/>
    <n v="0"/>
    <n v="0"/>
    <n v="0"/>
    <m/>
    <n v="0"/>
    <m/>
    <n v="-11.41"/>
    <n v="11.41"/>
    <n v="0"/>
    <n v="0"/>
    <n v="0"/>
    <n v="0"/>
    <n v="0"/>
    <n v="0"/>
    <n v="0"/>
    <n v="0"/>
    <n v="0"/>
    <n v="0"/>
    <n v="0"/>
    <n v="-11.41"/>
    <n v="11.41"/>
    <n v="0"/>
    <n v="0"/>
    <n v="0"/>
    <n v="0"/>
    <n v="0"/>
    <n v="0"/>
    <n v="0"/>
    <n v="0"/>
    <n v="0"/>
    <n v="0"/>
    <n v="0"/>
  </r>
  <r>
    <s v="ERP-031"/>
    <x v="145"/>
    <s v="Maguire, Karla_SOFTWARE_BILLINGSWEEP021"/>
    <s v="ERP"/>
    <s v="Patel, Apurva"/>
    <s v="Dougherty, Chris"/>
    <s v="Dougherty, Chris"/>
    <s v="Dougherty, Chris"/>
    <s v="Maguire, Karla"/>
    <s v="Maguire, Karla"/>
    <x v="9"/>
    <s v="ITFM-DIGITAL-DEVSECOPS"/>
    <m/>
    <s v="2661893"/>
    <x v="81"/>
    <m/>
    <m/>
    <m/>
    <x v="2"/>
    <s v="KP- Could you confirm who this line was transferred to?"/>
    <m/>
    <m/>
    <m/>
    <m/>
    <m/>
    <m/>
    <m/>
    <m/>
    <n v="-41167.729999999996"/>
    <n v="0"/>
    <n v="0"/>
    <m/>
    <m/>
    <m/>
    <m/>
    <m/>
    <m/>
    <n v="-41167.729999999996"/>
    <n v="-41167.729999999996"/>
    <m/>
    <n v="0"/>
    <n v="-41167.729999999996"/>
    <m/>
    <n v="-41167.729999999996"/>
    <m/>
    <m/>
    <m/>
    <m/>
    <m/>
    <m/>
    <m/>
    <m/>
    <m/>
    <m/>
    <m/>
    <m/>
    <m/>
    <m/>
    <m/>
    <m/>
    <m/>
    <m/>
    <m/>
    <m/>
    <m/>
    <m/>
    <m/>
    <m/>
    <m/>
    <m/>
    <m/>
  </r>
  <r>
    <s v="ERP-016"/>
    <x v="146"/>
    <s v="Dougherty, Chris_SOFTWARE_BillSweepMisc"/>
    <s v="ERP"/>
    <s v="Patel, Apurva"/>
    <s v="Dougherty, Chris"/>
    <s v="Dougherty, Chris"/>
    <s v="Dougherty, Chris"/>
    <s v="Dougherty, Chris"/>
    <s v="Dougherty, Chris"/>
    <x v="9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84081.45"/>
    <n v="-84081.45"/>
    <n v="0"/>
    <m/>
    <n v="0"/>
    <m/>
    <m/>
    <m/>
    <m/>
    <n v="-84081.45"/>
    <n v="84081.45"/>
    <m/>
    <m/>
    <m/>
    <m/>
    <m/>
    <m/>
    <m/>
    <n v="0"/>
    <m/>
    <m/>
    <m/>
    <m/>
    <m/>
    <m/>
    <m/>
    <m/>
    <m/>
    <m/>
    <m/>
    <m/>
    <m/>
  </r>
  <r>
    <s v="L-ERP-102"/>
    <x v="147"/>
    <s v="Dougherty, Chris_TELECOMMUNICATIONS_Telecom001"/>
    <s v="ERP"/>
    <s v="Patel, Apurva"/>
    <s v="Dougherty, Chris"/>
    <s v="Dougherty, Chris"/>
    <s v="Dougherty, Chris"/>
    <s v="Dougherty, Chris"/>
    <s v="Maguire, Karla"/>
    <x v="5"/>
    <s v="Telecommunications"/>
    <m/>
    <m/>
    <x v="42"/>
    <m/>
    <m/>
    <m/>
    <x v="0"/>
    <m/>
    <m/>
    <n v="0"/>
    <n v="4741"/>
    <m/>
    <m/>
    <n v="876"/>
    <n v="1712"/>
    <n v="2153"/>
    <n v="1577"/>
    <n v="1546.0000000000002"/>
    <n v="2107.0000000000005"/>
    <n v="0"/>
    <n v="0"/>
    <n v="0"/>
    <n v="0"/>
    <n v="0"/>
    <n v="0"/>
    <n v="9971"/>
    <n v="5230"/>
    <n v="0"/>
    <n v="2107.0000000000005"/>
    <n v="5230"/>
    <m/>
    <n v="5230"/>
    <m/>
    <n v="876"/>
    <n v="1712"/>
    <n v="2153"/>
    <n v="0"/>
    <n v="0"/>
    <n v="0"/>
    <n v="0"/>
    <n v="0"/>
    <n v="0"/>
    <n v="0"/>
    <n v="0"/>
    <n v="0"/>
    <n v="4741"/>
    <n v="876"/>
    <n v="1712"/>
    <n v="2153"/>
    <n v="0"/>
    <n v="0"/>
    <n v="0"/>
    <n v="0"/>
    <n v="0"/>
    <n v="0"/>
    <n v="0"/>
    <n v="0"/>
    <n v="0"/>
    <n v="4741"/>
  </r>
  <r>
    <s v="L-ERP-122"/>
    <x v="148"/>
    <s v="Dougherty, Chris_TRAVEL &amp; ENTERTAINMENT_TravelEnt001"/>
    <s v="ERP"/>
    <s v="Patel, Apurva"/>
    <s v="Dougherty, Chris"/>
    <s v="Dougherty, Chris"/>
    <s v="Dougherty, Chris"/>
    <s v="Dougherty, Chris"/>
    <s v="Maguire, Karla"/>
    <x v="1"/>
    <s v="Travel and Entertainment"/>
    <m/>
    <m/>
    <x v="43"/>
    <m/>
    <s v="N/A"/>
    <m/>
    <x v="10"/>
    <m/>
    <m/>
    <n v="0"/>
    <n v="4"/>
    <m/>
    <m/>
    <m/>
    <n v="-101"/>
    <n v="105"/>
    <n v="479"/>
    <n v="66"/>
    <n v="2208.0000000000005"/>
    <n v="0"/>
    <n v="0"/>
    <n v="0"/>
    <n v="0"/>
    <n v="0"/>
    <n v="0"/>
    <n v="2757.0000000000005"/>
    <n v="2753.0000000000005"/>
    <n v="0"/>
    <n v="2208.0000000000005"/>
    <n v="2753.0000000000005"/>
    <m/>
    <n v="2753.0000000000005"/>
    <m/>
    <m/>
    <n v="-101"/>
    <n v="105"/>
    <n v="0"/>
    <n v="0"/>
    <n v="0"/>
    <n v="0"/>
    <n v="0"/>
    <n v="0"/>
    <n v="0"/>
    <n v="0"/>
    <n v="0"/>
    <n v="4"/>
    <m/>
    <n v="-101"/>
    <n v="105"/>
    <n v="0"/>
    <n v="0"/>
    <n v="0"/>
    <n v="0"/>
    <n v="0"/>
    <n v="0"/>
    <n v="0"/>
    <n v="0"/>
    <n v="0"/>
    <n v="4"/>
  </r>
  <r>
    <s v="L-ERP-100"/>
    <x v="149"/>
    <s v="Dougherty, Chris_SOFTWARE_ColleagueSolutions001"/>
    <s v="ERP"/>
    <s v="Patel, Apurva"/>
    <s v="Dougherty, Chris"/>
    <s v="Dougherty, Chris"/>
    <s v="Dougherty, Chris"/>
    <s v="Dougherty, Chris"/>
    <s v="Maguire, Karla"/>
    <x v="9"/>
    <s v="Colleague Solutions Delivery Chargebacks"/>
    <m/>
    <m/>
    <x v="0"/>
    <s v="CHW - Ok"/>
    <s v="N/A"/>
    <m/>
    <x v="0"/>
    <m/>
    <m/>
    <n v="0"/>
    <n v="3777.33"/>
    <m/>
    <m/>
    <m/>
    <n v="3777.33"/>
    <n v="0"/>
    <n v="83.61"/>
    <n v="0"/>
    <n v="0"/>
    <n v="0"/>
    <n v="0"/>
    <n v="0"/>
    <n v="0"/>
    <n v="0"/>
    <n v="0"/>
    <n v="3860.94"/>
    <n v="83.610000000000127"/>
    <n v="0"/>
    <n v="0"/>
    <n v="83.610000000000127"/>
    <m/>
    <n v="83.610000000000127"/>
    <m/>
    <m/>
    <n v="3777.33"/>
    <n v="0"/>
    <n v="0"/>
    <n v="0"/>
    <n v="0"/>
    <n v="0"/>
    <n v="0"/>
    <n v="0"/>
    <n v="0"/>
    <n v="0"/>
    <n v="0"/>
    <n v="3777.33"/>
    <m/>
    <n v="3777.33"/>
    <n v="0"/>
    <n v="0"/>
    <n v="0"/>
    <n v="0"/>
    <n v="0"/>
    <n v="0"/>
    <n v="0"/>
    <n v="0"/>
    <n v="0"/>
    <n v="0"/>
    <n v="3777.33"/>
  </r>
  <r>
    <s v="L-ERP-339"/>
    <x v="149"/>
    <s v="Maguire, Karla_SOFTWARE_ColleagueSolutions001"/>
    <s v="ERP"/>
    <s v="Patel, Apurva"/>
    <s v="Dougherty, Chris"/>
    <s v="Dougherty, Chris"/>
    <s v="Dougherty, Chris"/>
    <s v="Maguire, Karla"/>
    <s v="Maguire, Karla"/>
    <x v="9"/>
    <s v="Colleague Solutions Delivery Chargebacks"/>
    <m/>
    <m/>
    <x v="0"/>
    <s v="CHW - Ok"/>
    <s v="N/A"/>
    <m/>
    <x v="0"/>
    <s v="KP- Could you confirm who this line was transferred to?"/>
    <m/>
    <n v="0"/>
    <n v="1742.3400000000001"/>
    <m/>
    <m/>
    <m/>
    <n v="984.48"/>
    <n v="757.86"/>
    <n v="0"/>
    <n v="0"/>
    <n v="0"/>
    <n v="0"/>
    <n v="0"/>
    <n v="0"/>
    <n v="0"/>
    <n v="0"/>
    <n v="0"/>
    <n v="1742.3400000000001"/>
    <n v="0"/>
    <n v="0"/>
    <n v="0"/>
    <n v="0"/>
    <m/>
    <n v="0"/>
    <m/>
    <m/>
    <n v="984.48"/>
    <n v="757.86"/>
    <n v="0"/>
    <n v="0"/>
    <n v="0"/>
    <n v="0"/>
    <n v="0"/>
    <n v="0"/>
    <n v="0"/>
    <n v="0"/>
    <n v="0"/>
    <n v="1742.3400000000001"/>
    <m/>
    <n v="984.48"/>
    <n v="757.86"/>
    <n v="0"/>
    <n v="0"/>
    <n v="0"/>
    <n v="0"/>
    <n v="0"/>
    <n v="0"/>
    <n v="0"/>
    <n v="0"/>
    <n v="0"/>
    <n v="1742.3400000000001"/>
  </r>
  <r>
    <s v="L-ERP-376"/>
    <x v="149"/>
    <s v="McCormick, Pete_SOFTWARE_ColleagueSolutions001"/>
    <s v="ERP"/>
    <s v="Patel, Apurva"/>
    <s v="Dougherty, Chris"/>
    <s v="McCormick, Pete"/>
    <s v="Dougherty, Chris"/>
    <s v="McCormick, Pete"/>
    <s v="Maguire, Karla"/>
    <x v="9"/>
    <s v="Colleague Solutions Delivery Chargebacks"/>
    <m/>
    <m/>
    <x v="0"/>
    <s v="CHW - Ok"/>
    <s v="N/A"/>
    <m/>
    <x v="0"/>
    <m/>
    <m/>
    <n v="0"/>
    <n v="1312.56"/>
    <m/>
    <m/>
    <m/>
    <n v="1312.56"/>
    <n v="0"/>
    <n v="0"/>
    <n v="0"/>
    <n v="0"/>
    <n v="0"/>
    <n v="0"/>
    <n v="0"/>
    <n v="0"/>
    <n v="0"/>
    <n v="0"/>
    <n v="1312.56"/>
    <n v="0"/>
    <n v="0"/>
    <n v="0"/>
    <n v="0"/>
    <m/>
    <n v="0"/>
    <m/>
    <m/>
    <n v="1312.56"/>
    <n v="0"/>
    <n v="0"/>
    <n v="0"/>
    <n v="0"/>
    <n v="0"/>
    <n v="0"/>
    <n v="0"/>
    <n v="0"/>
    <n v="0"/>
    <n v="0"/>
    <n v="1312.56"/>
    <m/>
    <n v="1312.56"/>
    <n v="0"/>
    <n v="0"/>
    <n v="0"/>
    <n v="0"/>
    <n v="0"/>
    <n v="0"/>
    <n v="0"/>
    <n v="0"/>
    <n v="0"/>
    <n v="0"/>
    <n v="1312.56"/>
  </r>
  <r>
    <s v="L-ERP-549"/>
    <x v="149"/>
    <s v="Tamavada, Ram_SOFTWARE_ColleagueSolutions001"/>
    <s v="ERP"/>
    <s v="Patel, Apurva"/>
    <s v="Dougherty, Chris"/>
    <s v="Tamavada, Ram"/>
    <s v="Dougherty, Chris"/>
    <s v="Tamavada, Ram"/>
    <s v="Maguire, Karla"/>
    <x v="9"/>
    <s v="Colleague Solutions Delivery Chargebacks"/>
    <m/>
    <m/>
    <x v="0"/>
    <s v="CHW - Ok"/>
    <s v="N/A"/>
    <m/>
    <x v="0"/>
    <m/>
    <m/>
    <n v="0"/>
    <n v="3879.27"/>
    <m/>
    <m/>
    <m/>
    <n v="3879.27"/>
    <n v="0"/>
    <n v="0"/>
    <n v="0"/>
    <n v="0"/>
    <n v="0"/>
    <n v="0"/>
    <n v="0"/>
    <n v="0"/>
    <n v="0"/>
    <n v="0"/>
    <n v="3879.27"/>
    <n v="0"/>
    <n v="0"/>
    <n v="0"/>
    <n v="0"/>
    <m/>
    <n v="0"/>
    <m/>
    <m/>
    <n v="3879.27"/>
    <n v="0"/>
    <n v="0"/>
    <n v="0"/>
    <n v="0"/>
    <n v="0"/>
    <n v="0"/>
    <n v="0"/>
    <n v="0"/>
    <n v="0"/>
    <n v="0"/>
    <n v="3879.27"/>
    <m/>
    <n v="3879.27"/>
    <n v="0"/>
    <n v="0"/>
    <n v="0"/>
    <n v="0"/>
    <n v="0"/>
    <n v="0"/>
    <n v="0"/>
    <n v="0"/>
    <n v="0"/>
    <n v="0"/>
    <n v="3879.27"/>
  </r>
  <r>
    <s v="L-ERP-475"/>
    <x v="150"/>
    <s v="Patel, Nikunj Rohitkumar_SOFTWARE_EnhanceChargeout001"/>
    <s v="ERP"/>
    <s v="Patel, Apurva"/>
    <s v="Dougherty, Chris"/>
    <s v="Patel, Nikunj Rohitkumar"/>
    <s v="Dougherty, Chris"/>
    <s v="Patel, Nikunj Rohitkumar"/>
    <s v="Maguire, Karla"/>
    <x v="9"/>
    <s v="Enhance Chargeout Cost Centers"/>
    <m/>
    <m/>
    <x v="1"/>
    <s v="CHW - F/U"/>
    <s v="N/A"/>
    <m/>
    <x v="0"/>
    <s v="KP - 'Where would i be able to get more details on this? Please advise. thank you"/>
    <m/>
    <n v="0"/>
    <n v="227"/>
    <m/>
    <m/>
    <m/>
    <n v="227"/>
    <n v="0"/>
    <s v="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078"/>
    <x v="151"/>
    <s v="Dougherty, Chris_SOFTWARE_EP&amp;SCharges001"/>
    <s v="ERP"/>
    <s v="Patel, Apurva"/>
    <s v="Dougherty, Chris"/>
    <s v="Dougherty, Chris"/>
    <s v="Dougherty, Chris"/>
    <s v="Dougherty, Chris"/>
    <s v="Maguire, Karla"/>
    <x v="9"/>
    <s v="Infrastructure Billing Charges"/>
    <m/>
    <m/>
    <x v="6"/>
    <m/>
    <s v="N/A"/>
    <m/>
    <x v="3"/>
    <m/>
    <m/>
    <n v="0"/>
    <n v="4158.38"/>
    <m/>
    <m/>
    <n v="279.45999999999998"/>
    <n v="279.45999999999998"/>
    <n v="899.46"/>
    <n v="139.72999999999999"/>
    <n v="139.72999999999999"/>
    <n v="139.72999999999999"/>
    <n v="300"/>
    <n v="300"/>
    <n v="300"/>
    <n v="300"/>
    <n v="300"/>
    <n v="300"/>
    <n v="3677.57"/>
    <n v="-480.80999999999995"/>
    <n v="300"/>
    <n v="-160.27000000000001"/>
    <n v="-480.80999999999995"/>
    <m/>
    <n v="-480.80999999999995"/>
    <m/>
    <n v="279.45999999999998"/>
    <n v="279.45999999999998"/>
    <n v="899.46"/>
    <n v="300"/>
    <n v="300"/>
    <n v="300"/>
    <n v="300"/>
    <n v="300"/>
    <n v="300"/>
    <n v="300"/>
    <n v="300"/>
    <n v="300"/>
    <n v="4158.38"/>
    <n v="279.45999999999998"/>
    <n v="279.45999999999998"/>
    <n v="899.46"/>
    <n v="0"/>
    <n v="0"/>
    <n v="0"/>
    <n v="0"/>
    <n v="0"/>
    <n v="0"/>
    <n v="0"/>
    <n v="0"/>
    <n v="0"/>
    <n v="1458.38"/>
  </r>
  <r>
    <s v="L-ERP-170"/>
    <x v="152"/>
    <s v="Ganesan, Srinivasan_COMPENSATION_CompBenefits001"/>
    <s v="ERP"/>
    <s v="Patel, Apurva"/>
    <s v="Ganesan, Srinivasan"/>
    <s v="Ganesan, Srinivasan"/>
    <s v="Hase, Raj"/>
    <s v="Ganesan, Srinivasan"/>
    <s v="DeHart, Lynn"/>
    <x v="2"/>
    <s v="Benefits"/>
    <m/>
    <m/>
    <x v="3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835.35"/>
    <n v="2416.25"/>
    <n v="3735.66"/>
    <n v="0"/>
    <n v="0"/>
    <n v="0"/>
    <n v="0"/>
    <n v="0"/>
    <n v="0"/>
    <n v="0"/>
    <n v="0"/>
    <n v="0"/>
    <n v="9987.26"/>
  </r>
  <r>
    <s v="L-ERP-171"/>
    <x v="153"/>
    <s v="Ganesan, Srinivasan_COMPENSATION_CompBonus001"/>
    <s v="ERP"/>
    <s v="Patel, Apurva"/>
    <s v="Ganesan, Srinivasan"/>
    <s v="Ganesan, Srinivasan"/>
    <s v="Hase, Raj"/>
    <s v="Ganesan, Srinivasan"/>
    <s v="DeHart, Lynn"/>
    <x v="2"/>
    <s v="Bonus"/>
    <m/>
    <m/>
    <x v="4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779.53"/>
    <n v="7255.22"/>
    <n v="5363.84"/>
    <n v="0"/>
    <n v="0"/>
    <n v="0"/>
    <n v="0"/>
    <n v="0"/>
    <n v="0"/>
    <n v="0"/>
    <n v="0"/>
    <n v="0"/>
    <n v="16398.59"/>
  </r>
  <r>
    <s v="L-ERP-172"/>
    <x v="154"/>
    <s v="Ganesan, Srinivasan_COMPENSATION_CompSalary001"/>
    <s v="ERP"/>
    <s v="Patel, Apurva"/>
    <s v="Ganesan, Srinivasan"/>
    <s v="Ganesan, Srinivasan"/>
    <s v="Hase, Raj"/>
    <s v="Ganesan, Srinivasan"/>
    <s v="DeHart, Lynn"/>
    <x v="2"/>
    <s v="Salary"/>
    <m/>
    <m/>
    <x v="55"/>
    <s v="CHW - Ok"/>
    <s v="N/A"/>
    <m/>
    <x v="0"/>
    <m/>
    <m/>
    <n v="0"/>
    <n v="0"/>
    <m/>
    <m/>
    <m/>
    <m/>
    <m/>
    <m/>
    <m/>
    <n v="11264.339999999998"/>
    <n v="0"/>
    <n v="0"/>
    <n v="0"/>
    <n v="0"/>
    <n v="0"/>
    <n v="0"/>
    <n v="11264.339999999998"/>
    <n v="11264.339999999998"/>
    <n v="0"/>
    <n v="11264.339999999998"/>
    <n v="11264.339999999998"/>
    <m/>
    <n v="11264.339999999998"/>
    <m/>
    <m/>
    <m/>
    <m/>
    <n v="0"/>
    <n v="0"/>
    <n v="0"/>
    <n v="0"/>
    <n v="0"/>
    <n v="0"/>
    <n v="0"/>
    <n v="0"/>
    <n v="0"/>
    <n v="0"/>
    <n v="6685.48"/>
    <n v="-19872.71"/>
    <n v="7440.92"/>
    <n v="0"/>
    <n v="0"/>
    <n v="0"/>
    <n v="0"/>
    <n v="0"/>
    <n v="0"/>
    <n v="0"/>
    <n v="0"/>
    <n v="0"/>
    <n v="-5746.3099999999995"/>
  </r>
  <r>
    <s v="L-ERP-363"/>
    <x v="151"/>
    <s v="McCormick, Pete_SOFTWARE_EP&amp;SCharges001"/>
    <s v="ERP"/>
    <s v="Patel, Apurva"/>
    <s v="Dougherty, Chris"/>
    <s v="McCormick, Pete"/>
    <s v="Dougherty, Chris"/>
    <s v="McCormick, Pete"/>
    <s v="Maguire, Karla"/>
    <x v="9"/>
    <s v="Infrastructure Billing Charges"/>
    <m/>
    <m/>
    <x v="6"/>
    <m/>
    <s v="N/A"/>
    <m/>
    <x v="3"/>
    <m/>
    <m/>
    <n v="48000"/>
    <n v="47938.130000000005"/>
    <m/>
    <m/>
    <n v="4052.17"/>
    <n v="3772.71"/>
    <n v="4113.25"/>
    <n v="3493.25"/>
    <n v="3493.25"/>
    <n v="3493.25"/>
    <n v="4000"/>
    <n v="4000"/>
    <n v="4000"/>
    <n v="4000"/>
    <n v="4000"/>
    <n v="4000"/>
    <n v="46417.880000000005"/>
    <n v="-1520.25"/>
    <n v="4000"/>
    <n v="-506.75"/>
    <n v="-1520.25"/>
    <m/>
    <n v="-1520.25"/>
    <m/>
    <n v="4052.17"/>
    <n v="3772.71"/>
    <n v="4113.25"/>
    <n v="4000"/>
    <n v="4000"/>
    <n v="4000"/>
    <n v="4000"/>
    <n v="4000"/>
    <n v="4000"/>
    <n v="4000"/>
    <n v="4000"/>
    <n v="4000"/>
    <n v="47938.130000000005"/>
    <n v="4052.17"/>
    <n v="3772.71"/>
    <n v="4113.25"/>
    <n v="4000"/>
    <n v="4000"/>
    <n v="4000"/>
    <n v="4000"/>
    <n v="4000"/>
    <n v="4000"/>
    <n v="4000"/>
    <n v="4000"/>
    <n v="4000"/>
    <n v="47938.130000000005"/>
  </r>
  <r>
    <s v="L-ERP-534"/>
    <x v="151"/>
    <s v="Tamavada, Ram_SOFTWARE_EP&amp;SCharges001"/>
    <s v="ERP"/>
    <s v="Patel, Apurva"/>
    <s v="Dougherty, Chris"/>
    <s v="Tamavada, Ram"/>
    <s v="Dougherty, Chris"/>
    <s v="Tamavada, Ram"/>
    <s v="Maguire, Karla"/>
    <x v="9"/>
    <s v="Infrastructure Billing Charges"/>
    <m/>
    <m/>
    <x v="6"/>
    <m/>
    <s v="N/A"/>
    <m/>
    <x v="3"/>
    <m/>
    <m/>
    <n v="8383.7999999999975"/>
    <n v="8383.76"/>
    <m/>
    <m/>
    <n v="698.65"/>
    <n v="558.91999999999996"/>
    <n v="419.19"/>
    <n v="279.45999999999998"/>
    <n v="279.45999999999998"/>
    <n v="279.45999999999998"/>
    <n v="750"/>
    <n v="750"/>
    <n v="750"/>
    <n v="750"/>
    <n v="750"/>
    <n v="750"/>
    <n v="7015.1399999999994"/>
    <n v="-1368.6200000000008"/>
    <n v="767"/>
    <n v="-487.54"/>
    <n v="-1368.6200000000003"/>
    <m/>
    <n v="-1368.6200000000008"/>
    <m/>
    <n v="698.65"/>
    <n v="558.91999999999996"/>
    <n v="419.19"/>
    <n v="690"/>
    <n v="767"/>
    <n v="750"/>
    <n v="750"/>
    <n v="750"/>
    <n v="750"/>
    <n v="750"/>
    <n v="750"/>
    <n v="750"/>
    <n v="8383.76"/>
    <n v="698.65"/>
    <n v="558.91999999999996"/>
    <n v="419.19"/>
    <n v="698.65"/>
    <n v="698.65"/>
    <n v="698.65"/>
    <n v="698.65"/>
    <n v="698.65"/>
    <n v="698.65"/>
    <n v="698.65"/>
    <n v="698.65"/>
    <n v="698.65"/>
    <n v="7964.6099999999979"/>
  </r>
  <r>
    <s v="L-ERP-530"/>
    <x v="155"/>
    <s v="Tamavada, Ram_SOFTWARE_IT-FBT0665-OG-US-00"/>
    <s v="ERP"/>
    <s v="Patel, Apurva"/>
    <s v="Dougherty, Chris"/>
    <s v="Tamavada, Ram"/>
    <s v="Dougherty, Chris"/>
    <s v="Tamavada, Ram"/>
    <s v="Maguire, Karla"/>
    <x v="9"/>
    <s v="Syniti: Infrastructure Charges - SAP Backoffice - Cloud AWS"/>
    <m/>
    <m/>
    <x v="94"/>
    <m/>
    <s v="N/A"/>
    <m/>
    <x v="3"/>
    <m/>
    <m/>
    <n v="0"/>
    <n v="838.37999999999988"/>
    <m/>
    <m/>
    <n v="279.45999999999998"/>
    <n v="279.45999999999998"/>
    <n v="279.45999999999998"/>
    <n v="279.45999999999998"/>
    <n v="139.72999999999999"/>
    <n v="139.72999999999999"/>
    <n v="0"/>
    <n v="0"/>
    <n v="0"/>
    <n v="0"/>
    <n v="0"/>
    <n v="0"/>
    <n v="1397.3"/>
    <n v="558.92000000000007"/>
    <n v="0"/>
    <n v="139.72999999999999"/>
    <n v="558.92000000000007"/>
    <m/>
    <n v="558.92000000000007"/>
    <m/>
    <n v="279.45999999999998"/>
    <n v="279.45999999999998"/>
    <n v="279.45999999999998"/>
    <n v="0"/>
    <n v="0"/>
    <n v="0"/>
    <n v="0"/>
    <n v="0"/>
    <n v="0"/>
    <n v="0"/>
    <n v="0"/>
    <n v="0"/>
    <n v="838.37999999999988"/>
    <n v="279.45999999999998"/>
    <n v="279.45999999999998"/>
    <n v="279.45999999999998"/>
    <n v="0"/>
    <n v="0"/>
    <n v="0"/>
    <n v="0"/>
    <n v="0"/>
    <n v="0"/>
    <n v="0"/>
    <n v="0"/>
    <n v="0"/>
    <n v="838.37999999999988"/>
  </r>
  <r>
    <s v="L-ERP-531"/>
    <x v="156"/>
    <s v="Tamavada, Ram_SOFTWARE_IT-FBT0675-OG-US-00"/>
    <s v="ERP"/>
    <s v="Patel, Apurva"/>
    <s v="Dougherty, Chris"/>
    <s v="Tamavada, Ram"/>
    <s v="Dougherty, Chris"/>
    <s v="Tamavada, Ram"/>
    <s v="Maguire, Karla"/>
    <x v="9"/>
    <s v="Infrastructure charges"/>
    <m/>
    <m/>
    <x v="95"/>
    <m/>
    <s v="N/A"/>
    <m/>
    <x v="3"/>
    <m/>
    <m/>
    <n v="1854.9999960000002"/>
    <n v="2120.4399970000004"/>
    <m/>
    <m/>
    <n v="139.72999999999999"/>
    <n v="139.72999999999999"/>
    <n v="449.73"/>
    <n v="139.72999999999999"/>
    <n v="139.72999999999999"/>
    <n v="139.72999999999999"/>
    <n v="154.58333300000001"/>
    <n v="154.58333300000001"/>
    <n v="154.58333300000001"/>
    <n v="154.58333300000001"/>
    <n v="154.58333300000001"/>
    <n v="154.58333300000001"/>
    <n v="2075.8799980000003"/>
    <n v="-44.559999000000062"/>
    <n v="154.58333300000001"/>
    <n v="-14.853333000000021"/>
    <n v="-44.559999000000062"/>
    <m/>
    <n v="-44.559999000000062"/>
    <m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  <n v="139.72999999999999"/>
    <n v="139.72999999999999"/>
    <n v="449.73"/>
    <n v="154.58333300000001"/>
    <n v="154.58333300000001"/>
    <n v="154.58333300000001"/>
    <n v="154.58333300000001"/>
    <n v="154.58333300000001"/>
    <n v="154.58333300000001"/>
    <n v="154.58333300000001"/>
    <n v="154.58333300000001"/>
    <n v="154.58333300000001"/>
    <n v="2120.4399970000004"/>
  </r>
  <r>
    <s v="ERP-058"/>
    <x v="157"/>
    <s v="Dougherty, Chris_SOFTWARE_IT-FGS0298-SW-US-00"/>
    <s v="ERP"/>
    <s v="Patel, Apurva"/>
    <s v="Dougherty, Chris"/>
    <s v="Dougherty, Chris"/>
    <s v="Dougherty, Chris"/>
    <s v="Dougherty, Chris"/>
    <s v="Dougherty, Chris"/>
    <x v="9"/>
    <m/>
    <m/>
    <m/>
    <x v="126"/>
    <m/>
    <m/>
    <m/>
    <x v="2"/>
    <m/>
    <m/>
    <m/>
    <m/>
    <m/>
    <m/>
    <m/>
    <m/>
    <m/>
    <m/>
    <m/>
    <n v="308.33"/>
    <m/>
    <m/>
    <m/>
    <m/>
    <m/>
    <m/>
    <n v="308.33"/>
    <n v="308.33"/>
    <m/>
    <n v="308.33"/>
    <n v="308.33"/>
    <m/>
    <n v="308.33"/>
    <m/>
    <m/>
    <m/>
    <m/>
    <m/>
    <m/>
    <m/>
    <m/>
    <m/>
    <m/>
    <m/>
    <m/>
    <m/>
    <m/>
    <m/>
    <m/>
    <m/>
    <m/>
    <m/>
    <m/>
    <m/>
    <m/>
    <m/>
    <m/>
    <m/>
    <m/>
    <m/>
  </r>
  <r>
    <s v="L-ERP-173"/>
    <x v="158"/>
    <s v="Ganesan, Srinivasan_DEPRECIATION_ERP_Depre001"/>
    <s v="ERP"/>
    <s v="Patel, Apurva"/>
    <s v="Ganesan, Srinivasan"/>
    <s v="Ganesan, Srinivasan"/>
    <s v="Hase, Raj"/>
    <s v="Ganesan, Srinivasan"/>
    <s v="DeHart, Lynn"/>
    <x v="3"/>
    <s v="ERP Activated Assets"/>
    <m/>
    <m/>
    <x v="5"/>
    <m/>
    <s v="N/A"/>
    <m/>
    <x v="0"/>
    <s v="5/18/26 CHW - Updated "/>
    <m/>
    <n v="0"/>
    <n v="6232.2000000000016"/>
    <m/>
    <m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0"/>
    <n v="519.35"/>
    <n v="0"/>
    <n v="0"/>
    <m/>
    <n v="0"/>
    <m/>
    <n v="519.35"/>
    <n v="519.35"/>
    <n v="519.35"/>
    <n v="519.35"/>
    <n v="519.35"/>
    <n v="519.35"/>
    <n v="519.35"/>
    <n v="519.35"/>
    <n v="519.35"/>
    <n v="519.35"/>
    <n v="519.35"/>
    <n v="519.35"/>
    <n v="6232.2000000000016"/>
    <n v="519.35"/>
    <n v="519.35"/>
    <n v="519.35"/>
    <n v="0"/>
    <n v="0"/>
    <n v="0"/>
    <n v="0"/>
    <n v="0"/>
    <n v="0"/>
    <n v="0"/>
    <n v="0"/>
    <n v="0"/>
    <n v="1558.0500000000002"/>
  </r>
  <r>
    <s v="L-ERP-362"/>
    <x v="157"/>
    <s v="McCormick, Pete_SOFTWARE_IT-FGS0298-SW-US-00"/>
    <s v="ERP"/>
    <s v="Patel, Apurva"/>
    <s v="Dougherty, Chris"/>
    <s v="McCormick, Pete"/>
    <s v="Dougherty, Chris"/>
    <s v="McCormick, Pete"/>
    <s v="Maguire, Karla"/>
    <x v="9"/>
    <s v="JFrog Artifactory Repository Monthly Charge"/>
    <m/>
    <m/>
    <x v="126"/>
    <m/>
    <s v="N/A"/>
    <m/>
    <x v="3"/>
    <m/>
    <m/>
    <n v="0"/>
    <n v="616.66"/>
    <m/>
    <m/>
    <n v="308.33"/>
    <n v="0"/>
    <n v="308.33"/>
    <n v="308.33"/>
    <n v="308.33"/>
    <n v="0"/>
    <n v="0"/>
    <n v="0"/>
    <n v="0"/>
    <n v="0"/>
    <n v="0"/>
    <n v="0"/>
    <n v="1233.32"/>
    <n v="616.66"/>
    <n v="0"/>
    <n v="0"/>
    <n v="616.66"/>
    <m/>
    <n v="616.66"/>
    <m/>
    <n v="308.33"/>
    <n v="0"/>
    <n v="308.33"/>
    <n v="0"/>
    <n v="0"/>
    <n v="0"/>
    <n v="0"/>
    <n v="0"/>
    <n v="0"/>
    <n v="0"/>
    <n v="0"/>
    <n v="0"/>
    <n v="616.66"/>
    <n v="308.33"/>
    <n v="0"/>
    <n v="308.33"/>
    <n v="0"/>
    <n v="0"/>
    <n v="0"/>
    <n v="0"/>
    <n v="0"/>
    <n v="0"/>
    <n v="0"/>
    <n v="0"/>
    <n v="0"/>
    <n v="616.66"/>
  </r>
  <r>
    <s v="L-ERP-532"/>
    <x v="157"/>
    <s v="Tamavada, Ram_SOFTWARE_IT-FGS0298-SW-US-00"/>
    <s v="ERP"/>
    <s v="Patel, Apurva"/>
    <s v="Dougherty, Chris"/>
    <s v="Tamavada, Ram"/>
    <s v="Dougherty, Chris"/>
    <s v="Tamavada, Ram"/>
    <s v="Maguire, Karla"/>
    <x v="9"/>
    <s v="JFrog Artifactory Repository Monthly Charge"/>
    <m/>
    <m/>
    <x v="126"/>
    <m/>
    <s v="N/A"/>
    <m/>
    <x v="3"/>
    <m/>
    <m/>
    <n v="11109.88"/>
    <n v="9249.9"/>
    <m/>
    <m/>
    <n v="616.66"/>
    <n v="0"/>
    <n v="308.33"/>
    <n v="308.33"/>
    <n v="308.33"/>
    <n v="308.33"/>
    <n v="924.99"/>
    <n v="924.99"/>
    <n v="924.99"/>
    <n v="924.99"/>
    <n v="924.99"/>
    <n v="924.99"/>
    <n v="7399.9199999999992"/>
    <n v="-1849.9800000000005"/>
    <n v="924.99"/>
    <n v="-616.66000000000008"/>
    <n v="-1849.9800000000002"/>
    <m/>
    <n v="-1849.9800000000005"/>
    <m/>
    <n v="616.66"/>
    <n v="0"/>
    <n v="308.33"/>
    <n v="924.99"/>
    <n v="924.99"/>
    <n v="924.99"/>
    <n v="924.99"/>
    <n v="924.99"/>
    <n v="924.99"/>
    <n v="924.99"/>
    <n v="924.99"/>
    <n v="924.99"/>
    <n v="9249.9"/>
    <n v="616.66"/>
    <n v="0"/>
    <n v="308.33"/>
    <n v="924.99"/>
    <n v="924.99"/>
    <n v="924.99"/>
    <n v="924.99"/>
    <n v="924.99"/>
    <n v="924.99"/>
    <n v="924.99"/>
    <n v="924.99"/>
    <n v="924.99"/>
    <n v="9249.9"/>
  </r>
  <r>
    <s v="L-ERP-077"/>
    <x v="159"/>
    <s v="Dougherty, Chris_SOFTWARE_IT-FGS0299-OG-US-00"/>
    <s v="ERP"/>
    <s v="Patel, Apurva"/>
    <s v="Dougherty, Chris"/>
    <s v="Dougherty, Chris"/>
    <s v="Dougherty, Chris"/>
    <s v="Dougherty, Chris"/>
    <s v="Maguire, Karla"/>
    <x v="9"/>
    <s v="Others (Vending, Meeting event, Devices Unreturned, Applecare, Mac-mgmt, IT Onboard, etc.)"/>
    <m/>
    <m/>
    <x v="67"/>
    <m/>
    <s v="N/A"/>
    <m/>
    <x v="3"/>
    <m/>
    <m/>
    <n v="0"/>
    <n v="288"/>
    <m/>
    <m/>
    <m/>
    <n v="288"/>
    <n v="0"/>
    <n v="0"/>
    <n v="800"/>
    <n v="0"/>
    <n v="0"/>
    <n v="0"/>
    <n v="0"/>
    <n v="0"/>
    <n v="0"/>
    <n v="0"/>
    <n v="1088"/>
    <n v="800"/>
    <n v="0"/>
    <n v="0"/>
    <n v="800"/>
    <m/>
    <n v="800"/>
    <m/>
    <m/>
    <n v="288"/>
    <n v="0"/>
    <n v="0"/>
    <n v="0"/>
    <n v="0"/>
    <n v="0"/>
    <n v="0"/>
    <n v="0"/>
    <n v="0"/>
    <n v="0"/>
    <n v="0"/>
    <n v="288"/>
    <m/>
    <n v="288"/>
    <n v="0"/>
    <n v="0"/>
    <n v="0"/>
    <n v="0"/>
    <n v="0"/>
    <n v="0"/>
    <n v="0"/>
    <n v="0"/>
    <n v="0"/>
    <n v="0"/>
    <n v="288"/>
  </r>
  <r>
    <s v="ERP-059"/>
    <x v="159"/>
    <s v="Maguire, Karla_SOFTWARE_IT-FGS0299-OG-US-00"/>
    <s v="ERP"/>
    <s v="Patel, Apurva"/>
    <s v="Dougherty, Chris"/>
    <s v="Dougherty, Chris"/>
    <s v="Dougherty, Chris"/>
    <s v="Maguire, Karla"/>
    <s v="Dougherty, Chris"/>
    <x v="9"/>
    <m/>
    <m/>
    <m/>
    <x v="67"/>
    <m/>
    <m/>
    <m/>
    <x v="2"/>
    <s v="KP- Could you confirm who this line was transferred to?"/>
    <m/>
    <m/>
    <m/>
    <m/>
    <m/>
    <m/>
    <m/>
    <m/>
    <m/>
    <m/>
    <n v="446.19"/>
    <m/>
    <m/>
    <m/>
    <m/>
    <m/>
    <m/>
    <n v="446.19"/>
    <n v="446.19"/>
    <m/>
    <n v="446.19"/>
    <n v="446.19"/>
    <m/>
    <n v="446.19"/>
    <m/>
    <m/>
    <m/>
    <m/>
    <m/>
    <m/>
    <m/>
    <m/>
    <m/>
    <m/>
    <m/>
    <m/>
    <m/>
    <m/>
    <m/>
    <m/>
    <m/>
    <m/>
    <m/>
    <m/>
    <m/>
    <m/>
    <m/>
    <m/>
    <m/>
    <m/>
    <m/>
  </r>
  <r>
    <s v="L-ERP-533"/>
    <x v="159"/>
    <s v="Tamavada, Ram_SOFTWARE_IT-FGS0299-OG-US-00"/>
    <s v="ERP"/>
    <s v="Patel, Apurva"/>
    <s v="Dougherty, Chris"/>
    <s v="Tamavada, Ram"/>
    <s v="Dougherty, Chris"/>
    <s v="Tamavada, Ram"/>
    <s v="Maguire, Karla"/>
    <x v="9"/>
    <s v="Others (Vending, Meeting event, Devices Unreturned, Applecare, Mac-mgmt, IT Onboard, etc.)"/>
    <m/>
    <m/>
    <x v="67"/>
    <m/>
    <s v="N/A"/>
    <m/>
    <x v="3"/>
    <m/>
    <m/>
    <n v="0"/>
    <n v="18.920000000000002"/>
    <m/>
    <m/>
    <m/>
    <n v="18.920000000000002"/>
    <n v="0"/>
    <n v="0"/>
    <n v="0"/>
    <n v="0"/>
    <n v="0"/>
    <n v="0"/>
    <n v="0"/>
    <n v="0"/>
    <n v="0"/>
    <n v="0"/>
    <n v="18.920000000000002"/>
    <n v="0"/>
    <n v="0"/>
    <n v="0"/>
    <n v="0"/>
    <m/>
    <n v="0"/>
    <m/>
    <m/>
    <n v="18.920000000000002"/>
    <n v="0"/>
    <n v="0"/>
    <n v="0"/>
    <n v="0"/>
    <n v="0"/>
    <n v="0"/>
    <n v="0"/>
    <n v="0"/>
    <n v="0"/>
    <n v="0"/>
    <n v="18.920000000000002"/>
    <m/>
    <n v="18.920000000000002"/>
    <n v="0"/>
    <n v="0"/>
    <n v="0"/>
    <n v="0"/>
    <n v="0"/>
    <n v="0"/>
    <n v="0"/>
    <n v="0"/>
    <n v="0"/>
    <n v="0"/>
    <n v="18.920000000000002"/>
  </r>
  <r>
    <s v="L-ERP-067"/>
    <x v="160"/>
    <s v="Dougherty, Chris_SOFTWARE_IT-FGS0300-SW-US-00"/>
    <s v="ERP"/>
    <s v="Patel, Apurva"/>
    <s v="Dougherty, Chris"/>
    <s v="Dougherty, Chris"/>
    <s v="Dougherty, Chris"/>
    <s v="Dougherty, Chris"/>
    <s v="Maguire, Karla"/>
    <x v="9"/>
    <s v="Microsoft Copilot Licenses"/>
    <m/>
    <m/>
    <x v="127"/>
    <m/>
    <s v="N/A"/>
    <m/>
    <x v="27"/>
    <m/>
    <m/>
    <n v="6000"/>
    <n v="10540"/>
    <m/>
    <m/>
    <m/>
    <n v="4313"/>
    <n v="227"/>
    <n v="0"/>
    <n v="1362"/>
    <n v="0"/>
    <n v="0"/>
    <n v="6000"/>
    <n v="0"/>
    <n v="0"/>
    <n v="0"/>
    <n v="0"/>
    <n v="11902"/>
    <n v="1362"/>
    <n v="0"/>
    <n v="0"/>
    <n v="1362"/>
    <m/>
    <n v="1362"/>
    <m/>
    <m/>
    <n v="4313"/>
    <n v="227"/>
    <n v="0"/>
    <n v="0"/>
    <n v="0"/>
    <n v="0"/>
    <n v="6000"/>
    <n v="0"/>
    <n v="0"/>
    <n v="0"/>
    <n v="0"/>
    <n v="10540"/>
    <m/>
    <n v="4313"/>
    <n v="227"/>
    <n v="0"/>
    <n v="0"/>
    <n v="0"/>
    <n v="0"/>
    <n v="6000"/>
    <n v="0"/>
    <n v="0"/>
    <n v="0"/>
    <n v="0"/>
    <n v="10540"/>
  </r>
  <r>
    <s v="L-ERP-313"/>
    <x v="160"/>
    <s v="Maguire, Karla_SOFTWARE_IT-FGS0300-SW-US-00"/>
    <s v="ERP"/>
    <s v="Patel, Apurva"/>
    <s v="Dougherty, Chris"/>
    <s v="Dougherty, Chris"/>
    <s v="Dougherty, Chris"/>
    <s v="Maguire, Karla"/>
    <s v="Maguire, Karla"/>
    <x v="9"/>
    <s v="Microsoft Copilot Licenses"/>
    <m/>
    <m/>
    <x v="127"/>
    <m/>
    <s v="N/A"/>
    <m/>
    <x v="27"/>
    <s v="KP- Could you confirm who this line was transferred to?"/>
    <m/>
    <n v="10000"/>
    <n v="12811.43"/>
    <m/>
    <m/>
    <n v="553.5"/>
    <n v="681"/>
    <n v="1576.93"/>
    <n v="227"/>
    <n v="496.48"/>
    <n v="0"/>
    <n v="0"/>
    <n v="0"/>
    <n v="0"/>
    <n v="0"/>
    <n v="0"/>
    <n v="5000"/>
    <n v="8534.91"/>
    <n v="-4276.5200000000004"/>
    <n v="0"/>
    <n v="0"/>
    <n v="-4276.5200000000004"/>
    <m/>
    <n v="-4276.5200000000004"/>
    <m/>
    <n v="553.5"/>
    <n v="681"/>
    <n v="1576.93"/>
    <n v="0"/>
    <n v="0"/>
    <n v="5000"/>
    <n v="0"/>
    <n v="0"/>
    <n v="0"/>
    <n v="0"/>
    <n v="0"/>
    <n v="5000"/>
    <n v="12811.43"/>
    <n v="553.5"/>
    <n v="681"/>
    <n v="1576.93"/>
    <n v="0"/>
    <n v="0"/>
    <n v="5000"/>
    <n v="0"/>
    <n v="0"/>
    <n v="0"/>
    <n v="0"/>
    <n v="0"/>
    <n v="5000"/>
    <n v="12811.43"/>
  </r>
  <r>
    <s v="L-ERP-356"/>
    <x v="160"/>
    <s v="McCormick, Pete_SOFTWARE_IT-FGS0300-SW-US-00"/>
    <s v="ERP"/>
    <s v="Patel, Apurva"/>
    <s v="Dougherty, Chris"/>
    <s v="McCormick, Pete"/>
    <s v="Dougherty, Chris"/>
    <s v="McCormick, Pete"/>
    <s v="Maguire, Karla"/>
    <x v="9"/>
    <s v="Microsoft Copilot Licenses"/>
    <m/>
    <m/>
    <x v="127"/>
    <m/>
    <s v="N/A"/>
    <m/>
    <x v="27"/>
    <m/>
    <m/>
    <n v="550"/>
    <n v="777"/>
    <m/>
    <m/>
    <m/>
    <n v="227"/>
    <n v="0"/>
    <n v="0"/>
    <n v="454"/>
    <n v="0"/>
    <n v="0"/>
    <n v="0"/>
    <n v="0"/>
    <n v="0"/>
    <n v="0"/>
    <n v="0"/>
    <n v="681"/>
    <n v="-96"/>
    <n v="0"/>
    <n v="0"/>
    <n v="-96"/>
    <m/>
    <n v="-96"/>
    <m/>
    <m/>
    <n v="227"/>
    <n v="0"/>
    <n v="550"/>
    <n v="0"/>
    <n v="0"/>
    <n v="0"/>
    <n v="0"/>
    <n v="0"/>
    <n v="0"/>
    <n v="0"/>
    <n v="0"/>
    <n v="777"/>
    <m/>
    <n v="227"/>
    <n v="0"/>
    <n v="550"/>
    <n v="0"/>
    <n v="0"/>
    <n v="0"/>
    <n v="0"/>
    <n v="0"/>
    <n v="0"/>
    <n v="0"/>
    <n v="0"/>
    <n v="777"/>
  </r>
  <r>
    <s v="L-ERP-079"/>
    <x v="161"/>
    <s v="Dougherty, Chris_SOFTWARE_IT-FGS0302-SW-US-00"/>
    <s v="ERP"/>
    <s v="Patel, Apurva"/>
    <s v="Dougherty, Chris"/>
    <s v="Dougherty, Chris"/>
    <s v="Dougherty, Chris"/>
    <s v="Dougherty, Chris"/>
    <s v="Maguire, Karla"/>
    <x v="9"/>
    <s v="Microsoft O365/M365 Licenses"/>
    <m/>
    <m/>
    <x v="128"/>
    <s v="CHW - F/U"/>
    <s v="N/A"/>
    <m/>
    <x v="28"/>
    <m/>
    <m/>
    <n v="180000"/>
    <n v="164308"/>
    <m/>
    <m/>
    <n v="8189"/>
    <n v="13361"/>
    <n v="7758"/>
    <n v="16378"/>
    <n v="11637"/>
    <n v="10775"/>
    <n v="15500"/>
    <n v="15500"/>
    <n v="15500"/>
    <n v="15485"/>
    <n v="15000"/>
    <n v="15000"/>
    <n v="160083"/>
    <n v="-4225"/>
    <n v="15000"/>
    <n v="-4225"/>
    <n v="-6210"/>
    <m/>
    <n v="-4225"/>
    <m/>
    <n v="8189"/>
    <n v="13361"/>
    <n v="7758"/>
    <n v="15000"/>
    <n v="15000"/>
    <n v="15000"/>
    <n v="15000"/>
    <n v="15000"/>
    <n v="15000"/>
    <n v="15000"/>
    <n v="15000"/>
    <n v="15000"/>
    <n v="164308"/>
    <n v="8189"/>
    <n v="13361"/>
    <n v="7758"/>
    <n v="15000"/>
    <n v="15000"/>
    <n v="15000"/>
    <n v="15000"/>
    <n v="15000"/>
    <n v="15000"/>
    <n v="15000"/>
    <n v="15000"/>
    <n v="15000"/>
    <n v="164308"/>
  </r>
  <r>
    <s v="L-ERP-320"/>
    <x v="161"/>
    <s v="Maguire, Karla_SOFTWARE_IT-FGS0302-SW-US-00"/>
    <s v="ERP"/>
    <s v="Patel, Apurva"/>
    <s v="Dougherty, Chris"/>
    <s v="Dougherty, Chris"/>
    <s v="Dougherty, Chris"/>
    <s v="Maguire, Karla"/>
    <s v="Maguire, Karla"/>
    <x v="9"/>
    <s v="Microsoft O365/M365 Licenses"/>
    <m/>
    <m/>
    <x v="128"/>
    <s v="CHW - F/U"/>
    <s v="N/A"/>
    <m/>
    <x v="28"/>
    <s v="KP- Could you confirm who this line was transferred to?"/>
    <m/>
    <n v="12000"/>
    <n v="13503.74"/>
    <m/>
    <m/>
    <n v="3614.02"/>
    <n v="0"/>
    <n v="889.72"/>
    <n v="917.6"/>
    <n v="3154.91"/>
    <n v="4127.83"/>
    <n v="1000"/>
    <n v="1000"/>
    <n v="1000"/>
    <n v="1000"/>
    <n v="1000"/>
    <n v="1000"/>
    <n v="18704.080000000002"/>
    <n v="5200.340000000002"/>
    <n v="1000"/>
    <n v="3127.83"/>
    <n v="5200.34"/>
    <m/>
    <n v="5200.340000000002"/>
    <m/>
    <n v="3614.02"/>
    <n v="0"/>
    <n v="889.72"/>
    <n v="1000"/>
    <n v="1000"/>
    <n v="1000"/>
    <n v="1000"/>
    <n v="1000"/>
    <n v="1000"/>
    <n v="1000"/>
    <n v="1000"/>
    <n v="1000"/>
    <n v="13503.74"/>
    <n v="3614.02"/>
    <n v="0"/>
    <n v="889.72"/>
    <n v="1000"/>
    <n v="1000"/>
    <n v="1000"/>
    <n v="1000"/>
    <n v="1000"/>
    <n v="1000"/>
    <n v="1000"/>
    <n v="1000"/>
    <n v="1000"/>
    <n v="13503.74"/>
  </r>
  <r>
    <s v="L-ERP-364"/>
    <x v="161"/>
    <s v="McCormick, Pete_SOFTWARE_IT-FGS0302-SW-US-00"/>
    <s v="ERP"/>
    <s v="Patel, Apurva"/>
    <s v="Dougherty, Chris"/>
    <s v="McCormick, Pete"/>
    <s v="Dougherty, Chris"/>
    <s v="McCormick, Pete"/>
    <s v="Maguire, Karla"/>
    <x v="9"/>
    <s v="Microsoft O365/M365 Licenses"/>
    <m/>
    <m/>
    <x v="128"/>
    <s v="CHW - F/U"/>
    <s v="N/A"/>
    <m/>
    <x v="28"/>
    <m/>
    <m/>
    <n v="370"/>
    <n v="370"/>
    <m/>
    <m/>
    <m/>
    <m/>
    <m/>
    <s v=""/>
    <n v="0"/>
    <n v="0"/>
    <n v="0"/>
    <n v="0"/>
    <n v="0"/>
    <n v="0"/>
    <n v="0"/>
    <n v="0"/>
    <n v="0"/>
    <n v="-370"/>
    <n v="0"/>
    <n v="0"/>
    <n v="-370"/>
    <m/>
    <n v="-37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s v="L-ERP-540"/>
    <x v="161"/>
    <s v="Tamavada, Ram_SOFTWARE_IT-FGS0302-SW-US-00"/>
    <s v="ERP"/>
    <s v="Patel, Apurva"/>
    <s v="Dougherty, Chris"/>
    <s v="Tamavada, Ram"/>
    <s v="Dougherty, Chris"/>
    <s v="Tamavada, Ram"/>
    <s v="Maguire, Karla"/>
    <x v="9"/>
    <s v="Microsoft O365/M365 Licenses"/>
    <m/>
    <m/>
    <x v="128"/>
    <s v="CHW - F/U"/>
    <s v="N/A"/>
    <m/>
    <x v="28"/>
    <m/>
    <m/>
    <n v="0"/>
    <n v="1293"/>
    <m/>
    <m/>
    <m/>
    <n v="1293"/>
    <n v="0"/>
    <n v="0"/>
    <n v="0"/>
    <n v="431"/>
    <n v="0"/>
    <n v="0"/>
    <n v="0"/>
    <n v="0"/>
    <n v="0"/>
    <n v="0"/>
    <n v="1724"/>
    <n v="431"/>
    <n v="0"/>
    <n v="431"/>
    <n v="431"/>
    <m/>
    <n v="431"/>
    <m/>
    <m/>
    <n v="1293"/>
    <n v="0"/>
    <n v="0"/>
    <n v="0"/>
    <n v="0"/>
    <n v="0"/>
    <n v="0"/>
    <n v="0"/>
    <n v="0"/>
    <n v="0"/>
    <n v="0"/>
    <n v="1293"/>
    <m/>
    <n v="1293"/>
    <n v="0"/>
    <n v="0"/>
    <n v="0"/>
    <n v="0"/>
    <n v="0"/>
    <n v="0"/>
    <n v="0"/>
    <n v="0"/>
    <n v="0"/>
    <n v="0"/>
    <n v="1293"/>
  </r>
  <r>
    <s v="ERP-006"/>
    <x v="162"/>
    <s v="Tamavada, Ram_SOFTWARE_IT-MGS0202-OG-US-00"/>
    <s v="ERP"/>
    <s v="Patel, Apurva"/>
    <s v="Dougherty, Chris"/>
    <s v="Tamavada, Ram"/>
    <s v="Dougherty, Chris"/>
    <s v="Tamavada, Ram"/>
    <s v="Tamavada, Ram"/>
    <x v="9"/>
    <s v="Oracle EBS Software Licenses"/>
    <m/>
    <m/>
    <x v="104"/>
    <m/>
    <m/>
    <m/>
    <x v="2"/>
    <s v="5/12 CHW - Zeroed line per Kinjal and added new software item"/>
    <m/>
    <m/>
    <n v="123539"/>
    <m/>
    <m/>
    <m/>
    <m/>
    <m/>
    <s v=""/>
    <n v="0"/>
    <n v="0"/>
    <m/>
    <n v="123539"/>
    <m/>
    <m/>
    <m/>
    <m/>
    <n v="123539"/>
    <n v="0"/>
    <m/>
    <n v="0"/>
    <n v="0"/>
    <m/>
    <n v="0"/>
    <s v="Acct Mvmt - Mgd Services to Software IT-MGS0202-OG-US-00"/>
    <m/>
    <m/>
    <m/>
    <m/>
    <m/>
    <m/>
    <m/>
    <n v="123539"/>
    <m/>
    <m/>
    <m/>
    <m/>
    <n v="123539"/>
    <m/>
    <m/>
    <m/>
    <m/>
    <m/>
    <m/>
    <m/>
    <m/>
    <m/>
    <m/>
    <m/>
    <m/>
    <m/>
  </r>
  <r>
    <s v="L-ERP-516"/>
    <x v="163"/>
    <s v="Tamavada, Ram_SOFTWARE_IT-SFT0159-86-OG-US"/>
    <s v="ERP"/>
    <s v="Patel, Apurva"/>
    <s v="Dougherty, Chris"/>
    <s v="Tamavada, Ram"/>
    <s v="Dougherty, Chris"/>
    <s v="Tamavada, Ram"/>
    <s v="Maguire, Karla"/>
    <x v="9"/>
    <s v="E1 Oracle Hosting and Maintenance - OCI"/>
    <s v="ORACLE CORP"/>
    <s v="2321403"/>
    <x v="129"/>
    <m/>
    <s v="9501159633"/>
    <s v="Yes"/>
    <x v="29"/>
    <m/>
    <m/>
    <n v="146492.82999999999"/>
    <n v="-115764.16"/>
    <m/>
    <m/>
    <n v="-115764.16"/>
    <n v="0"/>
    <m/>
    <n v="0"/>
    <n v="0"/>
    <n v="0"/>
    <m/>
    <m/>
    <m/>
    <m/>
    <m/>
    <m/>
    <n v="-115764.16"/>
    <n v="0"/>
    <m/>
    <n v="0"/>
    <n v="0"/>
    <m/>
    <n v="0"/>
    <m/>
    <n v="-115764.16"/>
    <n v="0"/>
    <m/>
    <m/>
    <m/>
    <m/>
    <m/>
    <m/>
    <m/>
    <m/>
    <m/>
    <m/>
    <n v="-115764.16"/>
    <n v="-115764.16"/>
    <n v="115764.16"/>
    <m/>
    <m/>
    <m/>
    <m/>
    <m/>
    <m/>
    <m/>
    <m/>
    <m/>
    <m/>
    <n v="0"/>
  </r>
  <r>
    <s v="N-ERP-614"/>
    <x v="164"/>
    <s v="Tamavada, Ram_SOFTWARE_IT-SFT0159-86-OG-US/PF"/>
    <s v="ERP"/>
    <s v="Patel, Apurva"/>
    <s v="Dougherty, Chris"/>
    <s v="Tamavada, Ram"/>
    <s v="Dougherty, Chris"/>
    <s v="Tamavada, Ram"/>
    <s v="Maguire, Karla"/>
    <x v="9"/>
    <s v="E1 Oracle Hosting and Maintenance - OCI (Pullforward Credit)"/>
    <m/>
    <m/>
    <x v="130"/>
    <m/>
    <s v="9501159633"/>
    <s v="Yes "/>
    <x v="29"/>
    <s v="4/28/26 CHW New add to tie-out 0223 to 0317 Planful Extracts 0"/>
    <m/>
    <n v="-146492.82999999999"/>
    <n v="115764.16"/>
    <m/>
    <m/>
    <m/>
    <n v="115764.16"/>
    <m/>
    <s v=""/>
    <n v="0"/>
    <n v="0"/>
    <n v="0"/>
    <n v="0"/>
    <n v="0"/>
    <n v="0"/>
    <n v="0"/>
    <n v="0"/>
    <n v="115764.16"/>
    <n v="0"/>
    <n v="0"/>
    <n v="0"/>
    <n v="0"/>
    <m/>
    <n v="0"/>
    <m/>
    <m/>
    <n v="115764.16"/>
    <m/>
    <n v="0"/>
    <n v="0"/>
    <n v="0"/>
    <n v="0"/>
    <n v="0"/>
    <n v="0"/>
    <n v="0"/>
    <n v="0"/>
    <n v="0"/>
    <n v="115764.16"/>
    <n v="-146492.82999999999"/>
    <n v="0"/>
    <n v="0"/>
    <n v="0"/>
    <n v="0"/>
    <n v="0"/>
    <n v="0"/>
    <n v="0"/>
    <n v="0"/>
    <n v="0"/>
    <n v="0"/>
    <n v="0"/>
    <n v="-146492.82999999999"/>
  </r>
  <r>
    <s v="N-ERP-615"/>
    <x v="165"/>
    <s v="Tamavada, Ram_SOFTWARE_IT-SFT0170-86-OG-US"/>
    <s v="ERP"/>
    <s v="Patel, Apurva"/>
    <s v="Dougherty, Chris"/>
    <s v="Tamavada, Ram"/>
    <s v="Dougherty, Chris"/>
    <s v="Tamavada, Ram"/>
    <s v="Maguire, Karla"/>
    <x v="9"/>
    <s v="Broadcom (Job Scheduler)"/>
    <s v="WORLD WIDE TECHNOLOGY LLC"/>
    <s v="2329614"/>
    <x v="131"/>
    <m/>
    <s v="9500579215"/>
    <s v="Yes"/>
    <x v="30"/>
    <s v="4/28/26 CHW New add to tie-out 0223 to 0317 Planful Extracts"/>
    <m/>
    <n v="169727.1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727.17"/>
    <n v="0"/>
    <n v="0"/>
    <n v="0"/>
    <n v="0"/>
    <n v="0"/>
    <n v="0"/>
    <n v="0"/>
    <n v="0"/>
    <n v="0"/>
    <n v="0"/>
    <n v="0"/>
    <n v="169727.17"/>
  </r>
  <r>
    <s v="N-ERP-616"/>
    <x v="166"/>
    <s v="Tamavada, Ram_SOFTWARE_IT-SFT0170-86-OG-US/PF"/>
    <s v="ERP"/>
    <s v="Patel, Apurva"/>
    <s v="Dougherty, Chris"/>
    <s v="Tamavada, Ram"/>
    <s v="Dougherty, Chris"/>
    <s v="Tamavada, Ram"/>
    <s v="Maguire, Karla"/>
    <x v="9"/>
    <s v="Broadcom (Job Scheduler) (Pullforward Credit)"/>
    <m/>
    <m/>
    <x v="132"/>
    <m/>
    <s v="9500579215"/>
    <s v="Yes"/>
    <x v="30"/>
    <s v="4/28/26 CHW New add to tie-out 0223 to 0317 Planful Extracts"/>
    <m/>
    <n v="-169727.1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727.17"/>
    <n v="0"/>
    <n v="0"/>
    <n v="0"/>
    <n v="0"/>
    <n v="0"/>
    <n v="0"/>
    <n v="0"/>
    <n v="0"/>
    <n v="0"/>
    <n v="0"/>
    <n v="0"/>
    <n v="-169727.17"/>
  </r>
  <r>
    <s v="L-ERP-474"/>
    <x v="167"/>
    <s v="Patel, Nikunj Rohitkumar_SOFTWARE_IT-SFT0673-86-OG-US"/>
    <s v="ERP"/>
    <s v="Patel, Apurva"/>
    <s v="Dougherty, Chris"/>
    <s v="Patel, Nikunj Rohitkumar"/>
    <s v="Dougherty, Chris"/>
    <s v="Patel, Nikunj Rohitkumar"/>
    <s v="Maguire, Karla"/>
    <x v="9"/>
    <s v="Gate Software ALLOut Security"/>
    <s v="GATE SOFTWARE LLC"/>
    <s v="2321403"/>
    <x v="133"/>
    <m/>
    <s v="9501113089"/>
    <m/>
    <x v="0"/>
    <s v="KP-Need new PO by Nov from Dec 26-Dec 27"/>
    <m/>
    <n v="11026"/>
    <n v="11026"/>
    <m/>
    <m/>
    <m/>
    <m/>
    <m/>
    <s v=""/>
    <n v="0"/>
    <n v="0"/>
    <m/>
    <m/>
    <m/>
    <m/>
    <n v="11026"/>
    <n v="0"/>
    <n v="11026"/>
    <n v="0"/>
    <m/>
    <n v="0"/>
    <n v="0"/>
    <m/>
    <n v="0"/>
    <m/>
    <m/>
    <m/>
    <m/>
    <m/>
    <m/>
    <m/>
    <m/>
    <m/>
    <m/>
    <m/>
    <n v="11026"/>
    <n v="0"/>
    <n v="11026"/>
    <m/>
    <m/>
    <m/>
    <m/>
    <m/>
    <m/>
    <m/>
    <m/>
    <m/>
    <m/>
    <n v="11026"/>
    <n v="0"/>
    <n v="11026"/>
  </r>
  <r>
    <s v="N-ERP-590"/>
    <x v="168"/>
    <s v="McCormick, Pete_SOFTWARE_IT-SFT1003-86-OG-US"/>
    <s v="ERP"/>
    <s v="Patel, Apurva"/>
    <s v="Dougherty, Chris"/>
    <s v="McCormick, Pete"/>
    <s v="Dougherty, Chris"/>
    <s v="McCormick, Pete"/>
    <s v="Maguire, Karla"/>
    <x v="9"/>
    <s v="Security Bridge (Pullforward Debit)"/>
    <s v="AXWAY INC"/>
    <s v="2321402"/>
    <x v="134"/>
    <m/>
    <s v="9501158822"/>
    <s v="Yes"/>
    <x v="31"/>
    <s v="4/28/26 CHW New add to tie-out 0223 to 0317 Planful Extracts"/>
    <m/>
    <n v="32562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25620"/>
    <n v="0"/>
    <n v="0"/>
    <n v="0"/>
    <n v="0"/>
    <n v="0"/>
    <n v="0"/>
    <n v="0"/>
    <n v="0"/>
    <n v="0"/>
    <n v="0"/>
    <n v="0"/>
    <n v="325620"/>
  </r>
  <r>
    <s v="N-ERP-591"/>
    <x v="169"/>
    <s v="McCormick, Pete_SOFTWARE_IT-SFT1003-86-OG-US/PF"/>
    <s v="ERP"/>
    <s v="Patel, Apurva"/>
    <s v="Dougherty, Chris"/>
    <s v="McCormick, Pete"/>
    <s v="Dougherty, Chris"/>
    <s v="McCormick, Pete"/>
    <s v="Maguire, Karla"/>
    <x v="9"/>
    <s v="Security Bridge (Pullforward Credit)"/>
    <m/>
    <m/>
    <x v="135"/>
    <m/>
    <s v="9501158822"/>
    <s v="Yes"/>
    <x v="31"/>
    <s v="4/28/26 CHW New add to tie-out 0223 to 0317 Planful Extracts"/>
    <m/>
    <n v="-32562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25620"/>
    <n v="0"/>
    <n v="0"/>
    <n v="0"/>
    <n v="0"/>
    <n v="0"/>
    <n v="0"/>
    <n v="0"/>
    <n v="0"/>
    <n v="0"/>
    <n v="0"/>
    <n v="0"/>
    <n v="-325620"/>
  </r>
  <r>
    <s v="L-ERP-378"/>
    <x v="170"/>
    <s v="McCormick, Pete_SOFTWARE_IT-SFT1006-86-OG-US"/>
    <s v="ERP"/>
    <s v="Patel, Apurva"/>
    <s v="Dougherty, Chris"/>
    <s v="McCormick, Pete"/>
    <s v="Dougherty, Chris"/>
    <s v="McCormick, Pete"/>
    <s v="Maguire, Karla"/>
    <x v="9"/>
    <s v="Oracle Diagnostics Pack"/>
    <s v="ORACLE CORP"/>
    <s v="2329614"/>
    <x v="136"/>
    <m/>
    <s v="9501159599"/>
    <m/>
    <x v="32"/>
    <m/>
    <m/>
    <n v="54093.63"/>
    <n v="55716.44"/>
    <m/>
    <m/>
    <m/>
    <n v="55716.44"/>
    <n v="0"/>
    <n v="0"/>
    <n v="0"/>
    <n v="0"/>
    <n v="0"/>
    <n v="0"/>
    <n v="0"/>
    <n v="0"/>
    <n v="0"/>
    <n v="0"/>
    <n v="55716.44"/>
    <n v="0"/>
    <n v="0"/>
    <n v="0"/>
    <n v="0"/>
    <m/>
    <n v="0"/>
    <m/>
    <m/>
    <n v="55716.44"/>
    <n v="0"/>
    <n v="0"/>
    <n v="0"/>
    <n v="0"/>
    <n v="0"/>
    <n v="0"/>
    <n v="0"/>
    <n v="0"/>
    <n v="0"/>
    <n v="0"/>
    <n v="55716.44"/>
    <m/>
    <n v="55716.44"/>
    <n v="0"/>
    <n v="0"/>
    <n v="0"/>
    <n v="0"/>
    <n v="0"/>
    <n v="0"/>
    <n v="0"/>
    <n v="0"/>
    <n v="0"/>
    <n v="0"/>
    <n v="55716.44"/>
  </r>
  <r>
    <s v="L-ERP-112"/>
    <x v="171"/>
    <s v="Dougherty, Chris_SOFTWARE_IT-SFT1009-86-OG-US"/>
    <s v="ERP"/>
    <s v="Patel, Apurva"/>
    <s v="Dougherty, Chris"/>
    <s v="Dougherty, Chris"/>
    <s v="Dougherty, Chris"/>
    <s v="Dougherty, Chris"/>
    <s v="Maguire, Karla"/>
    <x v="9"/>
    <s v="SAP on Premise Software Maintenance (Appendix 1)"/>
    <s v="Prepaid - SAP AMERICA INC"/>
    <s v="2321402"/>
    <x v="137"/>
    <m/>
    <s v="9501133254"/>
    <m/>
    <x v="33"/>
    <s v="5/7 CHW - Adj to match prepaid schedule"/>
    <m/>
    <n v="3581394.5999999992"/>
    <n v="3026808.87"/>
    <m/>
    <m/>
    <n v="3026811.49"/>
    <n v="-3073725.16"/>
    <n v="803616.54"/>
    <n v="0"/>
    <n v="1470681.36"/>
    <n v="735340.67999999993"/>
    <n v="0"/>
    <n v="504468"/>
    <n v="252234"/>
    <n v="0"/>
    <n v="504468"/>
    <n v="252234"/>
    <n v="4476128.91"/>
    <n v="1449320.04"/>
    <n v="504468"/>
    <n v="230872.67999999993"/>
    <n v="1449320.04"/>
    <m/>
    <n v="1449320.04"/>
    <m/>
    <n v="3026811.49"/>
    <n v="-3073725.16"/>
    <n v="803616.54"/>
    <n v="0"/>
    <n v="504468"/>
    <n v="252234"/>
    <n v="0"/>
    <n v="504468"/>
    <n v="252234"/>
    <n v="0"/>
    <n v="504468"/>
    <n v="252234"/>
    <n v="3026808.87"/>
    <n v="3026811.49"/>
    <n v="-3073725.16"/>
    <n v="803616.54"/>
    <n v="252234"/>
    <n v="252234"/>
    <n v="252234"/>
    <n v="252234"/>
    <n v="252234"/>
    <n v="252234"/>
    <n v="252234"/>
    <n v="252234"/>
    <n v="252234"/>
    <n v="3026808.87"/>
  </r>
  <r>
    <s v="N-ERP-509"/>
    <x v="172"/>
    <s v="Dougherty, Chris_SOFTWARE_IT-SFT1009-86-OG-US/02"/>
    <s v="ERP"/>
    <s v="Patel, Apurva"/>
    <s v="Dougherty, Chris"/>
    <s v="Dougherty, Chris"/>
    <s v="Dougherty, Chris"/>
    <s v="Dougherty, Chris"/>
    <s v="Maguire, Karla"/>
    <x v="9"/>
    <s v="SAP on Premise Software Maintenance (Appendix 2) (Pullforward Debit)"/>
    <s v=" SAP AMERICA INC"/>
    <s v="2321402"/>
    <x v="138"/>
    <m/>
    <s v="9501133254"/>
    <s v="Yes"/>
    <x v="34"/>
    <s v="7/15 - KP - as per Leslie - Update on WBS IT-SFT1009-86-OG US &amp; IT-SFT1247-86 OG-US, be reducing WBS IT SFT1009 86 OG US and IT SFT1247 86 OG US by a combined total of $580,664.66._x0009_'4/28/26 CHW New add to tie-out 0223 to 0317 Planful Extracts"/>
    <m/>
    <n v="678893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78893.73"/>
    <n v="0"/>
    <n v="0"/>
    <n v="0"/>
    <n v="0"/>
    <n v="0"/>
    <n v="0"/>
    <n v="0"/>
    <n v="0"/>
    <n v="0"/>
    <n v="0"/>
    <n v="0"/>
    <n v="678893.73"/>
  </r>
  <r>
    <s v="N-ERP-510"/>
    <x v="173"/>
    <s v="Dougherty, Chris_SOFTWARE_IT-SFT1009-86-OG-US/02/PF"/>
    <s v="ERP"/>
    <s v="Patel, Apurva"/>
    <s v="Dougherty, Chris"/>
    <s v="Dougherty, Chris"/>
    <s v="Dougherty, Chris"/>
    <s v="Dougherty, Chris"/>
    <s v="Maguire, Karla"/>
    <x v="9"/>
    <s v="SAP on Premise Software Maintenance (Appendix 2) (Pullforward Credit)"/>
    <s v=" SAP AMERICA INC"/>
    <s v="2321402"/>
    <x v="139"/>
    <m/>
    <s v="9501133254"/>
    <s v="Yes"/>
    <x v="34"/>
    <s v="4/28/26 CHW New add to tie-out 0223 to 0317 Planful Extracts"/>
    <m/>
    <n v="-678893.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78893.73"/>
    <n v="0"/>
    <n v="0"/>
    <n v="0"/>
    <n v="0"/>
    <n v="0"/>
    <n v="0"/>
    <n v="0"/>
    <n v="0"/>
    <n v="0"/>
    <n v="0"/>
    <n v="0"/>
    <n v="-678893.73"/>
  </r>
  <r>
    <s v="N-ERP-511"/>
    <x v="174"/>
    <s v="Dougherty, Chris_SOFTWARE_IT-SFT1009-86-OG-US/04"/>
    <s v="ERP"/>
    <s v="Patel, Apurva"/>
    <s v="Dougherty, Chris"/>
    <s v="Dougherty, Chris"/>
    <s v="Dougherty, Chris"/>
    <s v="Dougherty, Chris"/>
    <s v="Maguire, Karla"/>
    <x v="9"/>
    <s v="SAP on Premise Software Maintenance (Appendix 4) (Pullforward Debit)"/>
    <s v=" SAP AMERICA INC"/>
    <s v="2321402"/>
    <x v="140"/>
    <m/>
    <s v="9501133254"/>
    <s v="Yes"/>
    <x v="34"/>
    <s v="4/28/26 CHW New add to tie-out 0223 to 0317 Planful Extracts"/>
    <m/>
    <n v="4128.4799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128.4799999999996"/>
    <n v="0"/>
    <n v="0"/>
    <n v="0"/>
    <n v="0"/>
    <n v="0"/>
    <n v="0"/>
    <n v="0"/>
    <n v="0"/>
    <n v="0"/>
    <n v="0"/>
    <n v="0"/>
    <n v="4128.4799999999996"/>
  </r>
  <r>
    <s v="N-ERP-512"/>
    <x v="175"/>
    <s v="Dougherty, Chris_SOFTWARE_IT-SFT1009-86-OG-US/04/PF"/>
    <s v="ERP"/>
    <s v="Patel, Apurva"/>
    <s v="Dougherty, Chris"/>
    <s v="Dougherty, Chris"/>
    <s v="Dougherty, Chris"/>
    <s v="Dougherty, Chris"/>
    <s v="Maguire, Karla"/>
    <x v="9"/>
    <s v="SAP on Premise Software Maintenance (Appendix 4) (Pullforward Credit)"/>
    <s v=" SAP AMERICA INC"/>
    <s v="2321402"/>
    <x v="141"/>
    <m/>
    <s v="9501133254"/>
    <s v="Yes"/>
    <x v="34"/>
    <s v="4/28/26 CHW New add to tie-out 0223 to 0317 Planful Extracts"/>
    <m/>
    <n v="-4128.4799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128.4799999999996"/>
    <n v="0"/>
    <n v="0"/>
    <n v="0"/>
    <n v="0"/>
    <n v="0"/>
    <n v="0"/>
    <n v="0"/>
    <n v="0"/>
    <n v="0"/>
    <n v="0"/>
    <n v="0"/>
    <n v="-4128.4799999999996"/>
  </r>
  <r>
    <s v="N-ERP-513"/>
    <x v="176"/>
    <s v="Dougherty, Chris_SOFTWARE_IT-SFT1009-86-OG-US/05"/>
    <s v="ERP"/>
    <s v="Patel, Apurva"/>
    <s v="Dougherty, Chris"/>
    <s v="Dougherty, Chris"/>
    <s v="Dougherty, Chris"/>
    <s v="Dougherty, Chris"/>
    <s v="Maguire, Karla"/>
    <x v="9"/>
    <s v="SAP on Premise Software Maintenance (Appendix 5) (Pullforward Debit)"/>
    <s v=" SAP AMERICA INC"/>
    <s v="2321402"/>
    <x v="142"/>
    <m/>
    <s v="9501133254"/>
    <s v="Yes"/>
    <x v="34"/>
    <s v="4/28/26 CHW New add to tie-out 0223 to 0317 Planful Extracts"/>
    <m/>
    <n v="37248.41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7248.410000000003"/>
    <n v="0"/>
    <n v="0"/>
    <n v="0"/>
    <n v="0"/>
    <n v="0"/>
    <n v="0"/>
    <n v="0"/>
    <n v="0"/>
    <n v="0"/>
    <n v="0"/>
    <n v="0"/>
    <n v="37248.410000000003"/>
  </r>
  <r>
    <s v="N-ERP-514"/>
    <x v="177"/>
    <s v="Dougherty, Chris_SOFTWARE_IT-SFT1009-86-OG-US/05/PF"/>
    <s v="ERP"/>
    <s v="Patel, Apurva"/>
    <s v="Dougherty, Chris"/>
    <s v="Dougherty, Chris"/>
    <s v="Dougherty, Chris"/>
    <s v="Dougherty, Chris"/>
    <s v="Maguire, Karla"/>
    <x v="9"/>
    <s v="SAP on Premise Software Maintenance (Appendix 5) (Pullforward Credit)"/>
    <s v=" SAP AMERICA INC"/>
    <s v="2321402"/>
    <x v="143"/>
    <m/>
    <s v="9501133254"/>
    <s v="Yes"/>
    <x v="34"/>
    <s v="4/28/26 CHW New add to tie-out 0223 to 0317 Planful Extracts"/>
    <m/>
    <n v="-37248.41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7248.410000000003"/>
    <n v="0"/>
    <n v="0"/>
    <n v="0"/>
    <n v="0"/>
    <n v="0"/>
    <n v="0"/>
    <n v="0"/>
    <n v="0"/>
    <n v="0"/>
    <n v="0"/>
    <n v="0"/>
    <n v="-37248.410000000003"/>
  </r>
  <r>
    <s v="N-ERP-515"/>
    <x v="178"/>
    <s v="Dougherty, Chris_SOFTWARE_IT-SFT1009-86-OG-US/07"/>
    <s v="ERP"/>
    <s v="Patel, Apurva"/>
    <s v="Dougherty, Chris"/>
    <s v="Dougherty, Chris"/>
    <s v="Dougherty, Chris"/>
    <s v="Dougherty, Chris"/>
    <s v="Maguire, Karla"/>
    <x v="9"/>
    <s v="SAP on Premise Software Maintenance (Appendix 7) (Pullforward Debit)"/>
    <s v=" SAP AMERICA INC"/>
    <s v="2321402"/>
    <x v="144"/>
    <m/>
    <s v="9501133254"/>
    <s v="Yes"/>
    <x v="34"/>
    <s v="4/28/26 CHW New add to tie-out 0223 to 0317 Planful Extracts"/>
    <m/>
    <n v="40181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0181.519999999997"/>
    <n v="0"/>
    <n v="0"/>
    <n v="0"/>
    <n v="0"/>
    <n v="0"/>
    <n v="0"/>
    <n v="0"/>
    <n v="0"/>
    <n v="0"/>
    <n v="0"/>
    <n v="0"/>
    <n v="40181.519999999997"/>
  </r>
  <r>
    <s v="N-ERP-516"/>
    <x v="179"/>
    <s v="Dougherty, Chris_SOFTWARE_IT-SFT1009-86-OG-US/07/PF"/>
    <s v="ERP"/>
    <s v="Patel, Apurva"/>
    <s v="Dougherty, Chris"/>
    <s v="Dougherty, Chris"/>
    <s v="Dougherty, Chris"/>
    <s v="Dougherty, Chris"/>
    <s v="Maguire, Karla"/>
    <x v="9"/>
    <s v="SAP on Premise Software Maintenance (Appendix 7) (Pullforward Credit)"/>
    <s v=" SAP AMERICA INC"/>
    <s v="2321402"/>
    <x v="145"/>
    <m/>
    <s v="9501133254"/>
    <s v="Yes"/>
    <x v="34"/>
    <s v="4/28/26 CHW New add to tie-out 0223 to 0317 Planful Extracts"/>
    <m/>
    <n v="-4018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0181"/>
    <n v="0"/>
    <n v="0"/>
    <n v="0"/>
    <n v="0"/>
    <n v="0"/>
    <n v="0"/>
    <n v="0"/>
    <n v="0"/>
    <n v="0"/>
    <n v="0"/>
    <n v="0"/>
    <n v="-40181"/>
  </r>
  <r>
    <s v="N-ERP-517"/>
    <x v="180"/>
    <s v="Dougherty, Chris_SOFTWARE_IT-SFT1009-86-OG-US/08"/>
    <s v="ERP"/>
    <s v="Patel, Apurva"/>
    <s v="Dougherty, Chris"/>
    <s v="Dougherty, Chris"/>
    <s v="Dougherty, Chris"/>
    <s v="Dougherty, Chris"/>
    <s v="Maguire, Karla"/>
    <x v="9"/>
    <s v="SAP on Premise Software Maintenance (Appendix 8) (Pullforward Debit)"/>
    <s v=" SAP AMERICA INC"/>
    <s v="2321402"/>
    <x v="146"/>
    <m/>
    <s v="9501133254"/>
    <s v="Yes"/>
    <x v="34"/>
    <s v="4/28/26 CHW New add to tie-out 0223 to 0317 Planful Extracts"/>
    <m/>
    <n v="253752.1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53752.12"/>
    <n v="0"/>
    <n v="0"/>
    <n v="0"/>
    <n v="0"/>
    <n v="0"/>
    <n v="0"/>
    <n v="0"/>
    <n v="0"/>
    <n v="0"/>
    <n v="0"/>
    <n v="0"/>
    <n v="253752.12"/>
  </r>
  <r>
    <s v="N-ERP-518"/>
    <x v="181"/>
    <s v="Dougherty, Chris_SOFTWARE_IT-SFT1009-86-OG-US/08/PF"/>
    <s v="ERP"/>
    <s v="Patel, Apurva"/>
    <s v="Dougherty, Chris"/>
    <s v="Dougherty, Chris"/>
    <s v="Dougherty, Chris"/>
    <s v="Dougherty, Chris"/>
    <s v="Maguire, Karla"/>
    <x v="9"/>
    <s v="SAP on Premise Software Maintenance (Appendix 8) (Pullforward Credit)"/>
    <s v=" SAP AMERICA INC"/>
    <s v="2321402"/>
    <x v="147"/>
    <m/>
    <s v="9501133254"/>
    <s v="Yes"/>
    <x v="34"/>
    <s v="4/28/26 CHW New add to tie-out 0223 to 0317 Planful Extracts"/>
    <m/>
    <n v="-253752.1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53752.12"/>
    <n v="0"/>
    <n v="0"/>
    <n v="0"/>
    <n v="0"/>
    <n v="0"/>
    <n v="0"/>
    <n v="0"/>
    <n v="0"/>
    <n v="0"/>
    <n v="0"/>
    <n v="0"/>
    <n v="-253752.12"/>
  </r>
  <r>
    <s v="N-ERP-519"/>
    <x v="182"/>
    <s v="Dougherty, Chris_SOFTWARE_IT-SFT1009-86-OG-US/13"/>
    <s v="ERP"/>
    <s v="Patel, Apurva"/>
    <s v="Dougherty, Chris"/>
    <s v="Dougherty, Chris"/>
    <s v="Dougherty, Chris"/>
    <s v="Dougherty, Chris"/>
    <s v="Maguire, Karla"/>
    <x v="9"/>
    <s v="SAP on Premise Software Maintenance (Appendix 13) (Pullforward Debit)"/>
    <s v=" SAP AMERICA INC"/>
    <s v="2321402"/>
    <x v="148"/>
    <m/>
    <s v="9501133254"/>
    <s v="Yes"/>
    <x v="34"/>
    <s v="4/28/26 CHW New add to tie-out 0223 to 0317 Planful Extracts"/>
    <m/>
    <n v="6285.5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285.51"/>
    <n v="0"/>
    <n v="0"/>
    <n v="0"/>
    <n v="0"/>
    <n v="0"/>
    <n v="0"/>
    <n v="0"/>
    <n v="0"/>
    <n v="0"/>
    <n v="0"/>
    <n v="0"/>
    <n v="6285.51"/>
  </r>
  <r>
    <s v="N-ERP-520"/>
    <x v="183"/>
    <s v="Dougherty, Chris_SOFTWARE_IT-SFT1009-86-OG-US/13/PF"/>
    <s v="ERP"/>
    <s v="Patel, Apurva"/>
    <s v="Dougherty, Chris"/>
    <s v="Dougherty, Chris"/>
    <s v="Dougherty, Chris"/>
    <s v="Dougherty, Chris"/>
    <s v="Maguire, Karla"/>
    <x v="9"/>
    <s v="SAP on Premise Software Maintenance (Appendix 13) (Pullforward Credit)"/>
    <s v=" SAP AMERICA INC"/>
    <s v="2321402"/>
    <x v="149"/>
    <m/>
    <s v="9501133254"/>
    <s v="Yes"/>
    <x v="34"/>
    <s v="4/28/26 CHW New add to tie-out 0223 to 0317 Planful Extracts"/>
    <m/>
    <n v="-6285.5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285.51"/>
    <n v="0"/>
    <n v="0"/>
    <n v="0"/>
    <n v="0"/>
    <n v="0"/>
    <n v="0"/>
    <n v="0"/>
    <n v="0"/>
    <n v="0"/>
    <n v="0"/>
    <n v="0"/>
    <n v="-6285.51"/>
  </r>
  <r>
    <s v="N-ERP-521"/>
    <x v="184"/>
    <s v="Dougherty, Chris_SOFTWARE_IT-SFT1009-86-OG-US/17"/>
    <s v="ERP"/>
    <s v="Patel, Apurva"/>
    <s v="Dougherty, Chris"/>
    <s v="Dougherty, Chris"/>
    <s v="Dougherty, Chris"/>
    <s v="Dougherty, Chris"/>
    <s v="Maguire, Karla"/>
    <x v="9"/>
    <s v="SAP on Premise Software Maintenance (Appendix 17) (Pullforward Debit)"/>
    <s v=" SAP AMERICA INC"/>
    <s v="2321402"/>
    <x v="150"/>
    <m/>
    <s v="9501133254"/>
    <s v="Yes"/>
    <x v="34"/>
    <s v="4/28/26 CHW New add to tie-out 0223 to 0317 Planful Extracts"/>
    <m/>
    <n v="30136.08000000000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30136.080000000002"/>
    <n v="0"/>
    <n v="0"/>
    <n v="0"/>
    <n v="0"/>
    <n v="0"/>
    <n v="0"/>
    <n v="0"/>
    <n v="0"/>
    <n v="0"/>
    <n v="0"/>
    <n v="0"/>
    <n v="30136.080000000002"/>
  </r>
  <r>
    <s v="N-ERP-522"/>
    <x v="185"/>
    <s v="Dougherty, Chris_SOFTWARE_IT-SFT1009-86-OG-US/17/PF"/>
    <s v="ERP"/>
    <s v="Patel, Apurva"/>
    <s v="Dougherty, Chris"/>
    <s v="Dougherty, Chris"/>
    <s v="Dougherty, Chris"/>
    <s v="Dougherty, Chris"/>
    <s v="Maguire, Karla"/>
    <x v="9"/>
    <s v="SAP on Premise Software Maintenance (Appendix 17) (Pullforward Credit)"/>
    <s v=" SAP AMERICA INC"/>
    <s v="2321402"/>
    <x v="151"/>
    <m/>
    <s v="9501133254"/>
    <s v="Yes"/>
    <x v="34"/>
    <s v="4/28/26 CHW New add to tie-out 0223 to 0317 Planful Extracts"/>
    <m/>
    <n v="-30136.08000000000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30136.080000000002"/>
    <n v="0"/>
    <n v="0"/>
    <n v="0"/>
    <n v="0"/>
    <n v="0"/>
    <n v="0"/>
    <n v="0"/>
    <n v="0"/>
    <n v="0"/>
    <n v="0"/>
    <n v="0"/>
    <n v="-30136.080000000002"/>
  </r>
  <r>
    <s v="N-ERP-523"/>
    <x v="186"/>
    <s v="Dougherty, Chris_SOFTWARE_IT-SFT1009-86-OG-US/19"/>
    <s v="ERP"/>
    <s v="Patel, Apurva"/>
    <s v="Dougherty, Chris"/>
    <s v="Dougherty, Chris"/>
    <s v="Dougherty, Chris"/>
    <s v="Dougherty, Chris"/>
    <s v="Maguire, Karla"/>
    <x v="9"/>
    <s v="SAP on Premise Software Maintenance (Appendix 19) (Pullforward Debit)"/>
    <s v=" SAP AMERICA INC"/>
    <s v="2321402"/>
    <x v="152"/>
    <m/>
    <s v="9501133254"/>
    <s v="Yes"/>
    <x v="34"/>
    <s v="4/28/26 CHW New add to tie-out 0223 to 0317 Planful Extracts"/>
    <m/>
    <n v="17349.8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7349.84"/>
    <n v="0"/>
    <n v="0"/>
    <n v="0"/>
    <n v="0"/>
    <n v="0"/>
    <n v="0"/>
    <n v="0"/>
    <n v="0"/>
    <n v="0"/>
    <n v="0"/>
    <n v="0"/>
    <n v="17349.84"/>
  </r>
  <r>
    <s v="N-ERP-524"/>
    <x v="187"/>
    <s v="Dougherty, Chris_SOFTWARE_IT-SFT1009-86-OG-US/19/PF"/>
    <s v="ERP"/>
    <s v="Patel, Apurva"/>
    <s v="Dougherty, Chris"/>
    <s v="Dougherty, Chris"/>
    <s v="Dougherty, Chris"/>
    <s v="Dougherty, Chris"/>
    <s v="Maguire, Karla"/>
    <x v="9"/>
    <s v="SAP on Premise Software Maintenance (Appendix 19) (Pullforward Credit)"/>
    <s v=" SAP AMERICA INC"/>
    <s v="2321402"/>
    <x v="153"/>
    <m/>
    <s v="9501133254"/>
    <s v="Yes"/>
    <x v="34"/>
    <s v="4/28/26 CHW New add to tie-out 0223 to 0317 Planful Extracts"/>
    <m/>
    <n v="-17349.8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7349.84"/>
    <n v="0"/>
    <n v="0"/>
    <n v="0"/>
    <n v="0"/>
    <n v="0"/>
    <n v="0"/>
    <n v="0"/>
    <n v="0"/>
    <n v="0"/>
    <n v="0"/>
    <n v="0"/>
    <n v="-17349.84"/>
  </r>
  <r>
    <s v="N-ERP-525"/>
    <x v="188"/>
    <s v="Dougherty, Chris_SOFTWARE_IT-SFT1009-86-OG-US/23"/>
    <s v="ERP"/>
    <s v="Patel, Apurva"/>
    <s v="Dougherty, Chris"/>
    <s v="Dougherty, Chris"/>
    <s v="Dougherty, Chris"/>
    <s v="Dougherty, Chris"/>
    <s v="Maguire, Karla"/>
    <x v="9"/>
    <s v="SAP on Premise Software Maintenance (Order Form No. 23) (Pullforward Debit)"/>
    <s v=" SAP AMERICA INC"/>
    <s v="2321402"/>
    <x v="154"/>
    <m/>
    <s v="9501133254"/>
    <s v="Yes"/>
    <x v="34"/>
    <s v="4/28/26 CHW New add to tie-out 0223 to 0317 Planful Extracts"/>
    <m/>
    <n v="5357.5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357.52"/>
    <n v="0"/>
    <n v="0"/>
    <n v="0"/>
    <n v="0"/>
    <n v="0"/>
    <n v="0"/>
    <n v="0"/>
    <n v="0"/>
    <n v="0"/>
    <n v="0"/>
    <n v="0"/>
    <n v="5357.52"/>
  </r>
  <r>
    <s v="N-ERP-526"/>
    <x v="189"/>
    <s v="Dougherty, Chris_SOFTWARE_IT-SFT1009-86-OG-US/23/PF"/>
    <s v="ERP"/>
    <s v="Patel, Apurva"/>
    <s v="Dougherty, Chris"/>
    <s v="Dougherty, Chris"/>
    <s v="Dougherty, Chris"/>
    <s v="Dougherty, Chris"/>
    <s v="Maguire, Karla"/>
    <x v="9"/>
    <s v="SAP on Premise Software Maintenance (Order Form No. 23) (Pullforward Credit)"/>
    <s v=" SAP AMERICA INC"/>
    <s v="2321402"/>
    <x v="155"/>
    <m/>
    <s v="9501133254"/>
    <s v="Yes"/>
    <x v="34"/>
    <s v="4/28/26 CHW New add to tie-out 0223 to 0317 Planful Extracts"/>
    <m/>
    <n v="-5357.5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357.52"/>
    <n v="0"/>
    <n v="0"/>
    <n v="0"/>
    <n v="0"/>
    <n v="0"/>
    <n v="0"/>
    <n v="0"/>
    <n v="0"/>
    <n v="0"/>
    <n v="0"/>
    <n v="0"/>
    <n v="-5357.52"/>
  </r>
  <r>
    <s v="N-ERP-527"/>
    <x v="190"/>
    <s v="Dougherty, Chris_SOFTWARE_IT-SFT1009-86-OG-US/25"/>
    <s v="ERP"/>
    <s v="Patel, Apurva"/>
    <s v="Dougherty, Chris"/>
    <s v="Dougherty, Chris"/>
    <s v="Dougherty, Chris"/>
    <s v="Dougherty, Chris"/>
    <s v="Maguire, Karla"/>
    <x v="9"/>
    <s v="SAP on Premise Software Maintenance (Order Form No. 25) (Pullforward Debit)"/>
    <s v=" SAP AMERICA INC"/>
    <s v="2321402"/>
    <x v="156"/>
    <m/>
    <s v="9501133254"/>
    <s v="Yes"/>
    <x v="34"/>
    <s v="4/28/26 CHW New add to tie-out 0223 to 0317 Planful Extracts"/>
    <m/>
    <n v="101279.3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01279.37"/>
    <n v="0"/>
    <n v="0"/>
    <n v="0"/>
    <n v="0"/>
    <n v="0"/>
    <n v="0"/>
    <n v="0"/>
    <n v="0"/>
    <n v="0"/>
    <n v="0"/>
    <n v="0"/>
    <n v="101279.37"/>
  </r>
  <r>
    <s v="N-ERP-528"/>
    <x v="191"/>
    <s v="Dougherty, Chris_SOFTWARE_IT-SFT1009-86-OG-US/25/PF"/>
    <s v="ERP"/>
    <s v="Patel, Apurva"/>
    <s v="Dougherty, Chris"/>
    <s v="Dougherty, Chris"/>
    <s v="Dougherty, Chris"/>
    <s v="Dougherty, Chris"/>
    <s v="Maguire, Karla"/>
    <x v="9"/>
    <s v="SAP on Premise Software Maintenance (Order Form No. 25) (Pullforward Credit)"/>
    <s v=" SAP AMERICA INC"/>
    <s v="2321402"/>
    <x v="157"/>
    <m/>
    <s v="9501133254"/>
    <s v="Yes"/>
    <x v="34"/>
    <s v="4/28/26 CHW New add to tie-out 0223 to 0317 Planful Extracts"/>
    <m/>
    <n v="-101279.3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01279.37"/>
    <n v="0"/>
    <n v="0"/>
    <n v="0"/>
    <n v="0"/>
    <n v="0"/>
    <n v="0"/>
    <n v="0"/>
    <n v="0"/>
    <n v="0"/>
    <n v="0"/>
    <n v="0"/>
    <n v="-101279.37"/>
  </r>
  <r>
    <s v="N-ERP-529"/>
    <x v="192"/>
    <s v="Dougherty, Chris_SOFTWARE_IT-SFT1009-86-OG-US/29"/>
    <s v="ERP"/>
    <s v="Patel, Apurva"/>
    <s v="Dougherty, Chris"/>
    <s v="Dougherty, Chris"/>
    <s v="Dougherty, Chris"/>
    <s v="Dougherty, Chris"/>
    <s v="Maguire, Karla"/>
    <x v="9"/>
    <s v="SAP on Premise Software Maintenance (Order Form No. 29) (Pullforward Debit)"/>
    <s v=" SAP AMERICA INC"/>
    <s v="2321402"/>
    <x v="158"/>
    <m/>
    <s v="9501133254"/>
    <s v="Yes"/>
    <x v="34"/>
    <s v="4/28/26 CHW New add to tie-out 0223 to 0317 Planful Extracts"/>
    <m/>
    <n v="169017.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017.36"/>
    <n v="0"/>
    <n v="0"/>
    <n v="0"/>
    <n v="0"/>
    <n v="0"/>
    <n v="0"/>
    <n v="0"/>
    <n v="0"/>
    <n v="0"/>
    <n v="0"/>
    <n v="0"/>
    <n v="169017.36"/>
  </r>
  <r>
    <s v="N-ERP-530"/>
    <x v="193"/>
    <s v="Dougherty, Chris_SOFTWARE_IT-SFT1009-86-OG-US/29/PF"/>
    <s v="ERP"/>
    <s v="Patel, Apurva"/>
    <s v="Dougherty, Chris"/>
    <s v="Dougherty, Chris"/>
    <s v="Dougherty, Chris"/>
    <s v="Dougherty, Chris"/>
    <s v="Maguire, Karla"/>
    <x v="9"/>
    <s v="SAP on Premise Software Maintenance (Order Form No. 29) (Pullforward Credit)"/>
    <s v=" SAP AMERICA INC"/>
    <s v="2321402"/>
    <x v="159"/>
    <m/>
    <s v="9501133254"/>
    <s v="Yes"/>
    <x v="34"/>
    <s v="4/28/26 CHW New add to tie-out 0223 to 0317 Planful Extracts"/>
    <m/>
    <n v="-169017.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017.36"/>
    <n v="0"/>
    <n v="0"/>
    <n v="0"/>
    <n v="0"/>
    <n v="0"/>
    <n v="0"/>
    <n v="0"/>
    <n v="0"/>
    <n v="0"/>
    <n v="0"/>
    <n v="0"/>
    <n v="-169017.36"/>
  </r>
  <r>
    <s v="N-ERP-531"/>
    <x v="194"/>
    <s v="Dougherty, Chris_SOFTWARE_IT-SFT1009-86-OG-US/30"/>
    <s v="ERP"/>
    <s v="Patel, Apurva"/>
    <s v="Dougherty, Chris"/>
    <s v="Dougherty, Chris"/>
    <s v="Dougherty, Chris"/>
    <s v="Dougherty, Chris"/>
    <s v="Maguire, Karla"/>
    <x v="9"/>
    <s v="SAP on Premise Software Maintenance (Order Form No. 30) (Pullforward Debit)"/>
    <s v=" SAP AMERICA INC"/>
    <s v="2321402"/>
    <x v="160"/>
    <m/>
    <s v="9501133254"/>
    <s v="Yes"/>
    <x v="34"/>
    <s v="4/28/26 CHW New add to tie-out 0223 to 0317 Planful Extracts"/>
    <m/>
    <n v="872512.0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872512.08"/>
    <n v="0"/>
    <n v="0"/>
    <n v="0"/>
    <n v="0"/>
    <n v="0"/>
    <n v="0"/>
    <n v="0"/>
    <n v="0"/>
    <n v="0"/>
    <n v="0"/>
    <n v="0"/>
    <n v="872512.08"/>
  </r>
  <r>
    <s v="N-ERP-532"/>
    <x v="195"/>
    <s v="Dougherty, Chris_SOFTWARE_IT-SFT1009-86-OG-US/30/PF"/>
    <s v="ERP"/>
    <s v="Patel, Apurva"/>
    <s v="Dougherty, Chris"/>
    <s v="Dougherty, Chris"/>
    <s v="Dougherty, Chris"/>
    <s v="Dougherty, Chris"/>
    <s v="Maguire, Karla"/>
    <x v="9"/>
    <s v="SAP on Premise Software Maintenance (Order Form No. 30) (Pullforward Credit)"/>
    <s v=" SAP AMERICA INC"/>
    <s v="2321402"/>
    <x v="161"/>
    <m/>
    <s v="9501133254"/>
    <s v="Yes"/>
    <x v="34"/>
    <s v="4/28/26 CHW New add to tie-out 0223 to 0317 Planful Extracts"/>
    <m/>
    <n v="-872512.0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872512.08"/>
    <n v="0"/>
    <n v="0"/>
    <n v="0"/>
    <n v="0"/>
    <n v="0"/>
    <n v="0"/>
    <n v="0"/>
    <n v="0"/>
    <n v="0"/>
    <n v="0"/>
    <n v="0"/>
    <n v="-872512.08"/>
  </r>
  <r>
    <s v="N-ERP-533"/>
    <x v="196"/>
    <s v="Dougherty, Chris_SOFTWARE_IT-SFT1009-86-OG-US/32"/>
    <s v="ERP"/>
    <s v="Patel, Apurva"/>
    <s v="Dougherty, Chris"/>
    <s v="Dougherty, Chris"/>
    <s v="Dougherty, Chris"/>
    <s v="Dougherty, Chris"/>
    <s v="Maguire, Karla"/>
    <x v="9"/>
    <s v="SAP on Premise Software Maintenance (Order Form No. 32) (Pullforward Debit)"/>
    <s v=" SAP AMERICA INC"/>
    <s v="2321402"/>
    <x v="162"/>
    <m/>
    <s v="9501133254"/>
    <s v="Yes"/>
    <x v="34"/>
    <s v="4/28/26 CHW New add to tie-out 0223 to 0317 Planful Extracts"/>
    <m/>
    <n v="267876.4799999999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7876.47999999998"/>
    <n v="0"/>
    <n v="0"/>
    <n v="0"/>
    <n v="0"/>
    <n v="0"/>
    <n v="0"/>
    <n v="0"/>
    <n v="0"/>
    <n v="0"/>
    <n v="0"/>
    <n v="0"/>
    <n v="267876.47999999998"/>
  </r>
  <r>
    <s v="N-ERP-534"/>
    <x v="197"/>
    <s v="Dougherty, Chris_SOFTWARE_IT-SFT1009-86-OG-US/32/PF"/>
    <s v="ERP"/>
    <s v="Patel, Apurva"/>
    <s v="Dougherty, Chris"/>
    <s v="Dougherty, Chris"/>
    <s v="Dougherty, Chris"/>
    <s v="Dougherty, Chris"/>
    <s v="Maguire, Karla"/>
    <x v="9"/>
    <s v="SAP on Premise Software Maintenance (Order Form No. 32) (Pullforward Credit)"/>
    <s v=" SAP AMERICA INC"/>
    <s v="2321402"/>
    <x v="163"/>
    <m/>
    <s v="9501133254"/>
    <s v="Yes"/>
    <x v="34"/>
    <s v="4/28/26 CHW New add to tie-out 0223 to 0317 Planful Extracts"/>
    <m/>
    <n v="-267876.4799999999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7876.47999999998"/>
    <n v="0"/>
    <n v="0"/>
    <n v="0"/>
    <n v="0"/>
    <n v="0"/>
    <n v="0"/>
    <n v="0"/>
    <n v="0"/>
    <n v="0"/>
    <n v="0"/>
    <n v="0"/>
    <n v="-267876.47999999998"/>
  </r>
  <r>
    <s v="L-ERP-113"/>
    <x v="198"/>
    <s v="Dougherty, Chris_SOFTWARE_IT-SFT1009-86-OG-US/35"/>
    <s v="ERP"/>
    <s v="Patel, Apurva"/>
    <s v="Dougherty, Chris"/>
    <s v="Dougherty, Chris"/>
    <s v="Dougherty, Chris"/>
    <s v="Dougherty, Chris"/>
    <s v="Maguire, Karla"/>
    <x v="9"/>
    <s v="SAP on Premise Software Maintenance (Order Form No. 35)"/>
    <s v="Prepaid - SAP AMERICA INC"/>
    <s v="2321402"/>
    <x v="164"/>
    <m/>
    <s v="9501133254"/>
    <m/>
    <x v="33"/>
    <s v="5/7 CHW - Adj to match prepaid schedule"/>
    <m/>
    <n v="2542329.3599999994"/>
    <n v="2542329.36"/>
    <m/>
    <m/>
    <n v="2542329.37"/>
    <n v="-2118607.81"/>
    <n v="211860.78"/>
    <s v=""/>
    <n v="0"/>
    <n v="0"/>
    <n v="0"/>
    <n v="423721.56"/>
    <n v="211860.78"/>
    <n v="0"/>
    <n v="423721.56"/>
    <n v="211860.78"/>
    <n v="1906747.0200000003"/>
    <n v="-635582.33999999962"/>
    <n v="423721.56"/>
    <n v="-423721.56"/>
    <n v="-635582.34000000008"/>
    <m/>
    <n v="-635582.33999999962"/>
    <m/>
    <n v="2542329.37"/>
    <n v="-2118607.81"/>
    <n v="211860.78"/>
    <n v="0"/>
    <n v="423721.56"/>
    <n v="211860.78"/>
    <n v="0"/>
    <n v="423721.56"/>
    <n v="211860.78"/>
    <n v="0"/>
    <n v="423721.56"/>
    <n v="211860.78"/>
    <n v="2542329.36"/>
    <n v="2542329.37"/>
    <n v="-2118607.81"/>
    <n v="211860.78"/>
    <n v="211860.78"/>
    <n v="211860.78"/>
    <n v="211860.78"/>
    <n v="211860.78"/>
    <n v="211860.78"/>
    <n v="211860.78"/>
    <n v="211860.78"/>
    <n v="211860.78"/>
    <n v="211860.78"/>
    <n v="2542329.36"/>
  </r>
  <r>
    <s v="N-ERP-535"/>
    <x v="199"/>
    <s v="Dougherty, Chris_SOFTWARE_IT-SFT1009-86-OG-US/37"/>
    <s v="ERP"/>
    <s v="Patel, Apurva"/>
    <s v="Dougherty, Chris"/>
    <s v="Dougherty, Chris"/>
    <s v="Dougherty, Chris"/>
    <s v="Dougherty, Chris"/>
    <s v="Maguire, Karla"/>
    <x v="9"/>
    <s v="SAP on Premise Software Maintenance (Order Form No. 37 A&amp;B) (Pullforward Debit)"/>
    <s v=" SAP AMERICA INC"/>
    <s v="2321402"/>
    <x v="165"/>
    <m/>
    <s v="9501133254"/>
    <s v="Yes"/>
    <x v="34"/>
    <s v="4/28/26 CHW New add to tie-out 0223 to 0317 Planful Extracts"/>
    <m/>
    <n v="539731.92000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39731.92000000004"/>
    <n v="0"/>
    <n v="0"/>
    <n v="0"/>
    <n v="0"/>
    <n v="0"/>
    <n v="0"/>
    <n v="0"/>
    <n v="0"/>
    <n v="0"/>
    <n v="0"/>
    <n v="0"/>
    <n v="539731.92000000004"/>
  </r>
  <r>
    <s v="L-ERP-169"/>
    <x v="200"/>
    <s v="Ganesan, Srinivasan_TELECOMMUNICATIONS_Telecom001"/>
    <s v="ERP"/>
    <s v="Patel, Apurva"/>
    <s v="Ganesan, Srinivasan"/>
    <s v="Ganesan, Srinivasan"/>
    <s v="Hase, Raj"/>
    <s v="Ganesan, Srinivasan"/>
    <s v="DeHart, Lynn"/>
    <x v="5"/>
    <s v="Telecommunications"/>
    <m/>
    <m/>
    <x v="42"/>
    <m/>
    <m/>
    <m/>
    <x v="0"/>
    <m/>
    <m/>
    <n v="0"/>
    <n v="39.089999999999996"/>
    <m/>
    <m/>
    <n v="-39.24"/>
    <n v="78.33"/>
    <n v="0"/>
    <n v="101.53"/>
    <n v="0"/>
    <n v="0"/>
    <n v="0"/>
    <n v="0"/>
    <n v="0"/>
    <n v="0"/>
    <n v="0"/>
    <n v="0"/>
    <n v="140.62"/>
    <n v="101.53"/>
    <n v="0"/>
    <n v="0"/>
    <n v="101.53"/>
    <m/>
    <n v="101.53"/>
    <m/>
    <n v="-39.24"/>
    <n v="78.33"/>
    <n v="0"/>
    <n v="0"/>
    <n v="0"/>
    <n v="0"/>
    <n v="0"/>
    <n v="0"/>
    <n v="0"/>
    <n v="0"/>
    <n v="0"/>
    <n v="0"/>
    <n v="39.089999999999996"/>
    <n v="-39.24"/>
    <n v="78.33"/>
    <n v="0"/>
    <n v="0"/>
    <n v="0"/>
    <n v="0"/>
    <n v="0"/>
    <n v="0"/>
    <n v="0"/>
    <n v="0"/>
    <n v="0"/>
    <n v="0"/>
    <n v="39.089999999999996"/>
  </r>
  <r>
    <s v="L-ERP-176"/>
    <x v="201"/>
    <s v="Ganesan, Srinivasan_TRAVEL &amp; ENTERTAINMENT_TravelEnt001"/>
    <s v="ERP"/>
    <s v="Patel, Apurva"/>
    <s v="Ganesan, Srinivasan"/>
    <s v="Ganesan, Srinivasan"/>
    <s v="Hase, Raj"/>
    <s v="Ganesan, Srinivasan"/>
    <s v="DeHart, Lynn"/>
    <x v="1"/>
    <s v="Travel and Entertainment"/>
    <m/>
    <m/>
    <x v="43"/>
    <m/>
    <s v="N/A"/>
    <m/>
    <x v="10"/>
    <m/>
    <m/>
    <n v="0"/>
    <n v="995.34"/>
    <m/>
    <m/>
    <n v="948.99"/>
    <n v="0"/>
    <n v="46.35"/>
    <n v="0"/>
    <n v="0"/>
    <n v="0"/>
    <n v="0"/>
    <n v="0"/>
    <n v="0"/>
    <n v="0"/>
    <n v="0"/>
    <n v="0"/>
    <n v="995.34"/>
    <n v="0"/>
    <n v="0"/>
    <n v="0"/>
    <n v="0"/>
    <m/>
    <n v="0"/>
    <m/>
    <n v="948.99"/>
    <n v="0"/>
    <n v="46.35"/>
    <n v="0"/>
    <n v="0"/>
    <n v="0"/>
    <n v="0"/>
    <n v="0"/>
    <n v="0"/>
    <n v="0"/>
    <n v="0"/>
    <n v="0"/>
    <n v="995.34"/>
    <n v="948.99"/>
    <n v="0"/>
    <n v="46.35"/>
    <n v="0"/>
    <n v="0"/>
    <n v="0"/>
    <n v="0"/>
    <n v="0"/>
    <n v="0"/>
    <n v="0"/>
    <n v="0"/>
    <n v="0"/>
    <n v="995.34"/>
  </r>
  <r>
    <s v="N-ERP-536"/>
    <x v="202"/>
    <s v="Dougherty, Chris_SOFTWARE_IT-SFT1009-86-OG-US/37/PF"/>
    <s v="ERP"/>
    <s v="Patel, Apurva"/>
    <s v="Dougherty, Chris"/>
    <s v="Dougherty, Chris"/>
    <s v="Dougherty, Chris"/>
    <s v="Dougherty, Chris"/>
    <s v="Maguire, Karla"/>
    <x v="9"/>
    <s v="SAP on Premise Software Maintenance (Order Form No. 37 A&amp;B) (Pullforward Credit)"/>
    <s v=" SAP AMERICA INC"/>
    <s v="2321402"/>
    <x v="166"/>
    <m/>
    <s v="9501133254"/>
    <s v="Yes"/>
    <x v="34"/>
    <s v="4/28/26 CHW New add to tie-out 0223 to 0317 Planful Extracts"/>
    <m/>
    <n v="-539731.92000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39731.92000000004"/>
    <n v="0"/>
    <n v="0"/>
    <n v="0"/>
    <n v="0"/>
    <n v="0"/>
    <n v="0"/>
    <n v="0"/>
    <n v="0"/>
    <n v="0"/>
    <n v="0"/>
    <n v="0"/>
    <n v="-539731.92000000004"/>
  </r>
  <r>
    <s v="N-ERP-537"/>
    <x v="203"/>
    <s v="Dougherty, Chris_SOFTWARE_IT-SFT1009-86-OG-US/38"/>
    <s v="ERP"/>
    <s v="Patel, Apurva"/>
    <s v="Dougherty, Chris"/>
    <s v="Dougherty, Chris"/>
    <s v="Dougherty, Chris"/>
    <s v="Dougherty, Chris"/>
    <s v="Maguire, Karla"/>
    <x v="9"/>
    <s v="SAP on Premise Software Maintenance (Order Form No. 38) (Pullforward Debit)"/>
    <s v=" SAP AMERICA INC"/>
    <s v="2321402"/>
    <x v="167"/>
    <m/>
    <s v="9501133254"/>
    <s v="Yes"/>
    <x v="34"/>
    <s v="4/28/26 CHW New add to tie-out 0223 to 0317 Planful Extracts"/>
    <m/>
    <n v="60272.16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0272.160000000003"/>
    <n v="0"/>
    <n v="0"/>
    <n v="0"/>
    <n v="0"/>
    <n v="0"/>
    <n v="0"/>
    <n v="0"/>
    <n v="0"/>
    <n v="0"/>
    <n v="0"/>
    <n v="0"/>
    <n v="60272.160000000003"/>
  </r>
  <r>
    <s v="N-ERP-538"/>
    <x v="204"/>
    <s v="Dougherty, Chris_SOFTWARE_IT-SFT1009-86-OG-US/38/PF"/>
    <s v="ERP"/>
    <s v="Patel, Apurva"/>
    <s v="Dougherty, Chris"/>
    <s v="Dougherty, Chris"/>
    <s v="Dougherty, Chris"/>
    <s v="Dougherty, Chris"/>
    <s v="Maguire, Karla"/>
    <x v="9"/>
    <s v="SAP on Premise Software Maintenance (Order Form No. 38) (Pullforward Credit)"/>
    <s v=" SAP AMERICA INC"/>
    <s v="2321402"/>
    <x v="168"/>
    <m/>
    <s v="9501133254"/>
    <s v="Yes"/>
    <x v="34"/>
    <s v="4/28/26 CHW New add to tie-out 0223 to 0317 Planful Extracts"/>
    <m/>
    <n v="-60272.16000000000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0272.160000000003"/>
    <n v="0"/>
    <n v="0"/>
    <n v="0"/>
    <n v="0"/>
    <n v="0"/>
    <n v="0"/>
    <n v="0"/>
    <n v="0"/>
    <n v="0"/>
    <n v="0"/>
    <n v="0"/>
    <n v="-60272.160000000003"/>
  </r>
  <r>
    <s v="N-ERP-539"/>
    <x v="205"/>
    <s v="Dougherty, Chris_SOFTWARE_IT-SFT1009-86-OG-US/41"/>
    <s v="ERP"/>
    <s v="Patel, Apurva"/>
    <s v="Dougherty, Chris"/>
    <s v="Dougherty, Chris"/>
    <s v="Dougherty, Chris"/>
    <s v="Dougherty, Chris"/>
    <s v="Maguire, Karla"/>
    <x v="9"/>
    <s v="SAP on Premise Software Maintenance (Order Form No. 41) (Pullforward Debit)"/>
    <s v=" SAP AMERICA INC"/>
    <s v="2321402"/>
    <x v="169"/>
    <m/>
    <s v="9501133254"/>
    <s v="Yes"/>
    <x v="34"/>
    <s v="4/28/26 CHW New add to tie-out 0223 to 0317 Planful Extracts"/>
    <m/>
    <n v="626867.82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26867.82999999996"/>
    <n v="0"/>
    <n v="0"/>
    <n v="0"/>
    <n v="0"/>
    <n v="0"/>
    <n v="0"/>
    <n v="0"/>
    <n v="0"/>
    <n v="0"/>
    <n v="0"/>
    <n v="0"/>
    <n v="626867.82999999996"/>
  </r>
  <r>
    <s v="N-ERP-540"/>
    <x v="206"/>
    <s v="Dougherty, Chris_SOFTWARE_IT-SFT1009-86-OG-US/41/PF"/>
    <s v="ERP"/>
    <s v="Patel, Apurva"/>
    <s v="Dougherty, Chris"/>
    <s v="Dougherty, Chris"/>
    <s v="Dougherty, Chris"/>
    <s v="Dougherty, Chris"/>
    <s v="Maguire, Karla"/>
    <x v="9"/>
    <s v="SAP on Premise Software Maintenance (Order Form No. 41) (Pullforward Credit)"/>
    <s v=" SAP AMERICA INC"/>
    <s v="2321402"/>
    <x v="170"/>
    <m/>
    <s v="9501133254"/>
    <s v="Yes"/>
    <x v="34"/>
    <s v="4/28/26 CHW New add to tie-out 0223 to 0317 Planful Extracts"/>
    <m/>
    <n v="-626867.829999999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26867.82999999996"/>
    <n v="0"/>
    <n v="0"/>
    <n v="0"/>
    <n v="0"/>
    <n v="0"/>
    <n v="0"/>
    <n v="0"/>
    <n v="0"/>
    <n v="0"/>
    <n v="0"/>
    <n v="0"/>
    <n v="-626867.82999999996"/>
  </r>
  <r>
    <s v="N-ERP-541"/>
    <x v="207"/>
    <s v="Dougherty, Chris_SOFTWARE_IT-SFT1009-86-OG-US/45"/>
    <s v="ERP"/>
    <s v="Patel, Apurva"/>
    <s v="Dougherty, Chris"/>
    <s v="Dougherty, Chris"/>
    <s v="Dougherty, Chris"/>
    <s v="Dougherty, Chris"/>
    <s v="Maguire, Karla"/>
    <x v="9"/>
    <s v="SAP on Premise Software Maintenance (Order Form No. 45) (Pullforward Debit)"/>
    <s v=" SAP AMERICA INC"/>
    <s v="2321402"/>
    <x v="171"/>
    <m/>
    <s v="9501133254"/>
    <s v="Yes"/>
    <x v="34"/>
    <s v="4/28/26 CHW New add to tie-out 0223 to 0317 Planful Extracts"/>
    <m/>
    <n v="15713.1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5713.16"/>
    <n v="0"/>
    <n v="0"/>
    <n v="0"/>
    <n v="0"/>
    <n v="0"/>
    <n v="0"/>
    <n v="0"/>
    <n v="0"/>
    <n v="0"/>
    <n v="0"/>
    <n v="0"/>
    <n v="15713.16"/>
  </r>
  <r>
    <s v="N-ERP-542"/>
    <x v="208"/>
    <s v="Dougherty, Chris_SOFTWARE_IT-SFT1009-86-OG-US/45/PF"/>
    <s v="ERP"/>
    <s v="Patel, Apurva"/>
    <s v="Dougherty, Chris"/>
    <s v="Dougherty, Chris"/>
    <s v="Dougherty, Chris"/>
    <s v="Dougherty, Chris"/>
    <s v="Maguire, Karla"/>
    <x v="9"/>
    <s v="SAP on Premise Software Maintenance (Order Form No. 45) (Pullforward Credit)"/>
    <s v=" SAP AMERICA INC"/>
    <s v="2321402"/>
    <x v="172"/>
    <m/>
    <s v="9501133254"/>
    <s v="Yes"/>
    <x v="34"/>
    <s v="4/28/26 CHW New add to tie-out 0223 to 0317 Planful Extracts"/>
    <m/>
    <n v="-15713.1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5713.16"/>
    <n v="0"/>
    <n v="0"/>
    <n v="0"/>
    <n v="0"/>
    <n v="0"/>
    <n v="0"/>
    <n v="0"/>
    <n v="0"/>
    <n v="0"/>
    <n v="0"/>
    <n v="0"/>
    <n v="-15713.16"/>
  </r>
  <r>
    <s v="L-ERP-045"/>
    <x v="209"/>
    <s v="Hase, Raj_COMPENSATION_CompSalary001"/>
    <s v="ERP"/>
    <s v="Patel, Apurva"/>
    <s v="Hase, Raj"/>
    <s v="Hase, Raj"/>
    <s v="Hase, Raj"/>
    <s v="Hase, Raj"/>
    <s v="DeHart, Lynn"/>
    <x v="2"/>
    <s v="Salary"/>
    <m/>
    <m/>
    <x v="55"/>
    <s v="CHW - Ok"/>
    <s v="N/A"/>
    <m/>
    <x v="0"/>
    <s v="4/23 SMO: AP05 has severance reversals"/>
    <m/>
    <n v="16484280.790000003"/>
    <n v="21816549.886619337"/>
    <m/>
    <m/>
    <n v="1733430.9899999991"/>
    <n v="2659121.5100000012"/>
    <n v="1591278.1799999983"/>
    <n v="2358182.7000000007"/>
    <n v="54442.760000000351"/>
    <n v="1905380.4099999985"/>
    <n v="1785306.7237904386"/>
    <n v="1781851.6968221199"/>
    <n v="1807055.77390462"/>
    <n v="1862531.492714915"/>
    <n v="1871209.9824649149"/>
    <n v="1871209.9824649149"/>
    <n v="21281002.202161916"/>
    <n v="-535547.6844574213"/>
    <n v="657407.65222870966"/>
    <n v="1247972.757771289"/>
    <n v="-535547.68445741944"/>
    <m/>
    <n v="-535547.6844574213"/>
    <m/>
    <n v="1733430.9899999991"/>
    <n v="2659121.5100000012"/>
    <n v="1591278.1799999983"/>
    <n v="2405320.04"/>
    <n v="657407.65222870966"/>
    <n v="1790825.862228709"/>
    <n v="1785306.7237904386"/>
    <n v="1781851.6968221199"/>
    <n v="1807055.77390462"/>
    <n v="1862531.492714915"/>
    <n v="1871209.9824649149"/>
    <n v="1871209.9824649149"/>
    <n v="21816549.886619337"/>
    <n v="1086387.3400000001"/>
    <n v="1551142.73"/>
    <n v="857806.14"/>
    <n v="1328752.27"/>
    <n v="1328097.83"/>
    <n v="1371182.86"/>
    <n v="1392643.5"/>
    <n v="1403661.35"/>
    <n v="1403661.35"/>
    <n v="1403661.35"/>
    <n v="1409426"/>
    <n v="1409426"/>
    <n v="15945848.720000001"/>
  </r>
  <r>
    <s v="N-ERP-543"/>
    <x v="210"/>
    <s v="Dougherty, Chris_SOFTWARE_IT-SFT1009-86-OG-US/46"/>
    <s v="ERP"/>
    <s v="Patel, Apurva"/>
    <s v="Dougherty, Chris"/>
    <s v="Dougherty, Chris"/>
    <s v="Dougherty, Chris"/>
    <s v="Dougherty, Chris"/>
    <s v="Maguire, Karla"/>
    <x v="9"/>
    <s v="SAP GTS Licenses for HANA (Order 46) (Pullforward Debit)"/>
    <s v=" SAP AMERICA INC"/>
    <s v="2321402"/>
    <x v="173"/>
    <m/>
    <s v="9501133254"/>
    <s v="Yes"/>
    <x v="34"/>
    <s v="4/28/26 CHW New add to tie-out 0223 to 0317 Planful Extracts"/>
    <m/>
    <n v="93075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30750"/>
    <n v="0"/>
    <n v="0"/>
    <n v="0"/>
    <n v="0"/>
    <n v="0"/>
    <n v="0"/>
    <n v="0"/>
    <n v="0"/>
    <n v="0"/>
    <n v="0"/>
    <n v="0"/>
    <n v="930750"/>
  </r>
  <r>
    <s v="N-ERP-544"/>
    <x v="211"/>
    <s v="Dougherty, Chris_SOFTWARE_IT-SFT1009-86-OG-US/46/PF"/>
    <s v="ERP"/>
    <s v="Patel, Apurva"/>
    <s v="Dougherty, Chris"/>
    <s v="Dougherty, Chris"/>
    <s v="Dougherty, Chris"/>
    <s v="Dougherty, Chris"/>
    <s v="Maguire, Karla"/>
    <x v="9"/>
    <s v="SAP GTS Licenses for HANA (Order 46) (Pullforward Credit)"/>
    <s v=" SAP AMERICA INC"/>
    <s v="2321402"/>
    <x v="174"/>
    <m/>
    <s v="9501133254"/>
    <s v="Yes"/>
    <x v="34"/>
    <s v="4/28/26 CHW New add to tie-out 0223 to 0317 Planful Extracts"/>
    <m/>
    <n v="-93075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30750"/>
    <n v="0"/>
    <n v="0"/>
    <n v="0"/>
    <n v="0"/>
    <n v="0"/>
    <n v="0"/>
    <n v="0"/>
    <n v="0"/>
    <n v="0"/>
    <n v="0"/>
    <n v="0"/>
    <n v="-930750"/>
  </r>
  <r>
    <s v="N-ERP-545"/>
    <x v="212"/>
    <s v="Dougherty, Chris_SOFTWARE_IT-SFT1009-86-OG-US/FV"/>
    <s v="ERP"/>
    <s v="Patel, Apurva"/>
    <s v="Dougherty, Chris"/>
    <s v="Dougherty, Chris"/>
    <s v="Dougherty, Chris"/>
    <s v="Dougherty, Chris"/>
    <s v="Maguire, Karla"/>
    <x v="9"/>
    <s v="SAP on Premise Software Maintenance (Firefighter / Virsa) (Pullforward Debit)"/>
    <s v=" SAP AMERICA INC"/>
    <s v="2321402"/>
    <x v="175"/>
    <m/>
    <s v="9501133254"/>
    <s v="Yes"/>
    <x v="34"/>
    <s v="4/28/26 CHW New add to tie-out 0223 to 0317 Planful Extracts"/>
    <m/>
    <n v="956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567"/>
    <n v="0"/>
    <n v="0"/>
    <n v="0"/>
    <n v="0"/>
    <n v="0"/>
    <n v="0"/>
    <n v="0"/>
    <n v="0"/>
    <n v="0"/>
    <n v="0"/>
    <n v="0"/>
    <n v="9567"/>
  </r>
  <r>
    <s v="N-ERP-546"/>
    <x v="213"/>
    <s v="Dougherty, Chris_SOFTWARE_IT-SFT1009-86-OG-US/FV/PF"/>
    <s v="ERP"/>
    <s v="Patel, Apurva"/>
    <s v="Dougherty, Chris"/>
    <s v="Dougherty, Chris"/>
    <s v="Dougherty, Chris"/>
    <s v="Dougherty, Chris"/>
    <s v="Maguire, Karla"/>
    <x v="9"/>
    <s v="SAP on Premise Software Maintenance (Firefighter / Virsa) (Pullforward Credit)"/>
    <s v=" SAP AMERICA INC"/>
    <s v="2321402"/>
    <x v="176"/>
    <m/>
    <s v="9501133254"/>
    <s v="Yes"/>
    <x v="34"/>
    <s v="4/28/26 CHW New add to tie-out 0223 to 0317 Planful Extracts"/>
    <m/>
    <n v="-956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567"/>
    <n v="0"/>
    <n v="0"/>
    <n v="0"/>
    <n v="0"/>
    <n v="0"/>
    <n v="0"/>
    <n v="0"/>
    <n v="0"/>
    <n v="0"/>
    <n v="0"/>
    <n v="0"/>
    <n v="-9567"/>
  </r>
  <r>
    <s v="L-ERP-111"/>
    <x v="214"/>
    <s v="Dougherty, Chris_SOFTWARE_IT-SFT1009-86-OG-US-CB"/>
    <s v="ERP"/>
    <s v="Patel, Apurva"/>
    <s v="Dougherty, Chris"/>
    <s v="Dougherty, Chris"/>
    <s v="Dougherty, Chris"/>
    <s v="Dougherty, Chris"/>
    <s v="Maguire, Karla"/>
    <x v="9"/>
    <s v="SAP on Premise Chargeback"/>
    <m/>
    <m/>
    <x v="177"/>
    <m/>
    <m/>
    <m/>
    <x v="5"/>
    <m/>
    <m/>
    <n v="-551382.25"/>
    <n v="-551382.25"/>
    <m/>
    <m/>
    <m/>
    <m/>
    <n v="-551382.25"/>
    <s v=""/>
    <n v="0"/>
    <n v="0"/>
    <n v="0"/>
    <n v="0"/>
    <n v="0"/>
    <n v="0"/>
    <n v="0"/>
    <n v="0"/>
    <n v="-551382.25"/>
    <n v="0"/>
    <n v="0"/>
    <n v="0"/>
    <n v="0"/>
    <m/>
    <n v="0"/>
    <m/>
    <m/>
    <m/>
    <n v="-551382.25"/>
    <n v="0"/>
    <n v="0"/>
    <n v="0"/>
    <n v="0"/>
    <n v="0"/>
    <n v="0"/>
    <n v="0"/>
    <n v="0"/>
    <n v="0"/>
    <n v="-551382.25"/>
    <m/>
    <m/>
    <n v="-551382.25"/>
    <n v="0"/>
    <n v="0"/>
    <n v="0"/>
    <n v="0"/>
    <n v="0"/>
    <n v="0"/>
    <n v="0"/>
    <n v="0"/>
    <n v="0"/>
    <n v="-551382.25"/>
  </r>
  <r>
    <s v="L-ERP-116"/>
    <x v="215"/>
    <s v="Dougherty, Chris_SOFTWARE_IT-SFT1010-86-OG-US"/>
    <s v="ERP"/>
    <s v="Patel, Apurva"/>
    <s v="Dougherty, Chris"/>
    <s v="Dougherty, Chris"/>
    <s v="Dougherty, Chris"/>
    <s v="Dougherty, Chris"/>
    <s v="Maguire, Karla"/>
    <x v="9"/>
    <s v="SAP SaaS Software Maintenance (IBP #3061986150)"/>
    <s v="Prepaid - SAP AMERICA INC"/>
    <s v="2321402"/>
    <x v="112"/>
    <m/>
    <s v="9501147739"/>
    <m/>
    <x v="24"/>
    <s v="5/7 CHW - Updated to reflect prepaid schedule"/>
    <m/>
    <n v="4356984"/>
    <n v="4356986.0199999996"/>
    <m/>
    <m/>
    <m/>
    <n v="726165.35"/>
    <n v="363082.67"/>
    <n v="0"/>
    <n v="726165.34"/>
    <n v="363082.67"/>
    <n v="0"/>
    <n v="726164"/>
    <n v="363082"/>
    <n v="0"/>
    <n v="726164"/>
    <n v="363082"/>
    <n v="4356988.0299999993"/>
    <n v="2.0099999997764826"/>
    <n v="726164"/>
    <n v="-363081.33"/>
    <n v="2.0099999997764826"/>
    <m/>
    <n v="2.0099999997764826"/>
    <m/>
    <m/>
    <n v="726165.35"/>
    <n v="363082.67"/>
    <n v="0"/>
    <n v="726164"/>
    <n v="363082"/>
    <n v="0"/>
    <n v="726164"/>
    <n v="363082"/>
    <n v="0"/>
    <n v="726164"/>
    <n v="363082"/>
    <n v="4356986.0199999996"/>
    <m/>
    <n v="726165.35"/>
    <n v="363082.67"/>
    <n v="363082"/>
    <n v="363082"/>
    <n v="363082"/>
    <n v="363082"/>
    <n v="363082"/>
    <n v="363082"/>
    <n v="363082"/>
    <n v="363082"/>
    <n v="363082"/>
    <n v="4356986.0199999996"/>
  </r>
  <r>
    <s v="L-ERP-121"/>
    <x v="216"/>
    <s v="Dougherty, Chris_SOFTWARE_IT-SFT1012-86-OG-US"/>
    <s v="ERP"/>
    <s v="Patel, Apurva"/>
    <s v="Dougherty, Chris"/>
    <s v="Dougherty, Chris"/>
    <s v="Dougherty, Chris"/>
    <s v="Dougherty, Chris"/>
    <s v="Maguire, Karla"/>
    <x v="9"/>
    <s v="Seal Systems"/>
    <s v="SEAL SYSTEMS INC"/>
    <s v="2321402"/>
    <x v="178"/>
    <m/>
    <m/>
    <m/>
    <x v="35"/>
    <m/>
    <m/>
    <n v="5012"/>
    <n v="2512"/>
    <m/>
    <m/>
    <m/>
    <m/>
    <m/>
    <s v=""/>
    <n v="0"/>
    <n v="0"/>
    <n v="0"/>
    <n v="0"/>
    <n v="0"/>
    <n v="0"/>
    <n v="2512"/>
    <n v="0"/>
    <n v="2512"/>
    <n v="0"/>
    <m/>
    <n v="0"/>
    <n v="0"/>
    <m/>
    <n v="0"/>
    <m/>
    <m/>
    <m/>
    <m/>
    <m/>
    <m/>
    <m/>
    <n v="0"/>
    <n v="0"/>
    <n v="0"/>
    <n v="0"/>
    <n v="2512"/>
    <n v="0"/>
    <n v="2512"/>
    <m/>
    <m/>
    <m/>
    <m/>
    <m/>
    <n v="2500"/>
    <n v="0"/>
    <n v="0"/>
    <n v="0"/>
    <n v="0"/>
    <n v="2512"/>
    <n v="0"/>
    <n v="5012"/>
  </r>
  <r>
    <s v="N-ERP-610"/>
    <x v="217"/>
    <s v="Patel, Nikunj Rohitkumar_SOFTWARE_IT-SFT1023-86-OG-US"/>
    <s v="ERP"/>
    <s v="Patel, Apurva"/>
    <s v="Dougherty, Chris"/>
    <s v="Patel, Nikunj Rohitkumar"/>
    <s v="Dougherty, Chris"/>
    <s v="Patel, Nikunj Rohitkumar"/>
    <s v="Maguire, Karla"/>
    <x v="9"/>
    <s v="Markov (Mainteannce Renewal) (Pullforward Debit)"/>
    <s v="MarKov"/>
    <s v="2321403"/>
    <x v="179"/>
    <m/>
    <s v="9501113130"/>
    <s v="Yes"/>
    <x v="36"/>
    <s v="7/9 - KP-3 years paid from 1/1/26 - 12/31/28 PAID IN FULL._x000a__x000a_2026 Year 1 $53,688.88_x000a__x000a_2027 Year 2 $56,352.45_x000a__x000a_2028 Year 3 $59,169.97                                                                                   '4/28/26 CHW New add to tie-out 0223 to 0317 Planful Extracts"/>
    <m/>
    <n v="564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56404"/>
    <n v="0"/>
    <n v="0"/>
    <n v="0"/>
    <n v="0"/>
    <n v="0"/>
    <n v="0"/>
    <n v="0"/>
    <n v="0"/>
    <n v="0"/>
    <n v="0"/>
    <n v="0"/>
    <n v="56404"/>
  </r>
  <r>
    <s v="N-ERP-611"/>
    <x v="218"/>
    <s v="Patel, Nikunj Rohitkumar_SOFTWARE_IT-SFT1023-86-OG-US/PF"/>
    <s v="ERP"/>
    <s v="Patel, Apurva"/>
    <s v="Dougherty, Chris"/>
    <s v="Patel, Nikunj Rohitkumar"/>
    <s v="Dougherty, Chris"/>
    <s v="Patel, Nikunj Rohitkumar"/>
    <s v="Maguire, Karla"/>
    <x v="9"/>
    <s v="Markov (Mainteannce Renewal) (Pullforward Credit)"/>
    <s v="MarKov"/>
    <s v="2321403"/>
    <x v="180"/>
    <m/>
    <s v="9501113130"/>
    <s v="Yes"/>
    <x v="36"/>
    <s v="7/9 - KP-3 years paid from 1/1/26 - 12/31/28 PAID IN FULL._x000a__x000a_2026 Year 1 $53,688.88_x000a__x000a_2027 Year 2 $56,352.45_x000a__x000a_2028 Year 3 $59,169.97                       '4/28/26 CHW New add to tie-out 0223 to 0317 Planful Extracts"/>
    <m/>
    <n v="-564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56404"/>
    <n v="0"/>
    <n v="0"/>
    <n v="0"/>
    <n v="0"/>
    <n v="0"/>
    <n v="0"/>
    <n v="0"/>
    <n v="0"/>
    <n v="0"/>
    <n v="0"/>
    <n v="0"/>
    <n v="-56404"/>
  </r>
  <r>
    <s v="L-ERP-321"/>
    <x v="219"/>
    <s v="Maguire, Karla_SOFTWARE_IT-SFT1119-86-OG-US"/>
    <s v="ERP"/>
    <s v="Patel, Apurva"/>
    <s v="Dougherty, Chris"/>
    <s v="Dougherty, Chris"/>
    <s v="Dougherty, Chris"/>
    <s v="Maguire, Karla"/>
    <s v="Maguire, Karla"/>
    <x v="9"/>
    <s v="Visio O365 Licenses"/>
    <m/>
    <m/>
    <x v="181"/>
    <m/>
    <m/>
    <m/>
    <x v="28"/>
    <m/>
    <m/>
    <n v="1200"/>
    <n v="600"/>
    <m/>
    <m/>
    <m/>
    <m/>
    <m/>
    <s v=""/>
    <n v="0"/>
    <n v="0"/>
    <n v="600"/>
    <n v="0"/>
    <n v="0"/>
    <n v="0"/>
    <n v="0"/>
    <n v="0"/>
    <n v="600"/>
    <n v="0"/>
    <m/>
    <n v="0"/>
    <n v="0"/>
    <m/>
    <n v="0"/>
    <m/>
    <m/>
    <m/>
    <m/>
    <m/>
    <m/>
    <m/>
    <n v="600"/>
    <n v="0"/>
    <n v="0"/>
    <n v="0"/>
    <n v="0"/>
    <n v="0"/>
    <n v="600"/>
    <m/>
    <m/>
    <m/>
    <m/>
    <m/>
    <m/>
    <n v="600"/>
    <n v="0"/>
    <n v="0"/>
    <n v="0"/>
    <n v="0"/>
    <n v="0"/>
    <n v="600"/>
  </r>
  <r>
    <s v="L-ERP-322"/>
    <x v="220"/>
    <s v="Maguire, Karla_SOFTWARE_IT-SFT1121-86-OG-US"/>
    <s v="ERP"/>
    <s v="Patel, Apurva"/>
    <s v="Dougherty, Chris"/>
    <s v="Dougherty, Chris"/>
    <s v="Dougherty, Chris"/>
    <s v="Maguire, Karla"/>
    <s v="Maguire, Karla"/>
    <x v="9"/>
    <s v="Project O365 Licenses"/>
    <m/>
    <m/>
    <x v="182"/>
    <m/>
    <m/>
    <m/>
    <x v="28"/>
    <s v="KP- Could you confirm who this line was transferred to?"/>
    <m/>
    <n v="600"/>
    <n v="600"/>
    <m/>
    <m/>
    <m/>
    <m/>
    <m/>
    <s v=""/>
    <n v="0"/>
    <n v="0"/>
    <m/>
    <m/>
    <m/>
    <m/>
    <m/>
    <n v="600"/>
    <n v="600"/>
    <n v="0"/>
    <m/>
    <n v="0"/>
    <n v="0"/>
    <m/>
    <n v="0"/>
    <m/>
    <m/>
    <m/>
    <m/>
    <m/>
    <m/>
    <m/>
    <m/>
    <m/>
    <m/>
    <m/>
    <m/>
    <n v="600"/>
    <n v="600"/>
    <m/>
    <m/>
    <m/>
    <m/>
    <m/>
    <m/>
    <m/>
    <m/>
    <m/>
    <m/>
    <m/>
    <n v="600"/>
    <n v="600"/>
  </r>
  <r>
    <s v="N-ERP-608"/>
    <x v="221"/>
    <s v="Meadows, Leslie_SOFTWARE_IT-SFT1147-86-OG-US"/>
    <s v="ERP"/>
    <s v="Patel, Apurva"/>
    <s v="Dougherty, Chris"/>
    <s v="Meadows, Leslie"/>
    <s v="Dougherty, Chris"/>
    <s v="Meadows, Leslie"/>
    <s v="Maguire, Karla"/>
    <x v="9"/>
    <s v="Tricentis Tosca, Connect &amp; Execution Licenses (Pullforward Debit)"/>
    <s v="TRICENTIS USA CORP"/>
    <s v="2321403"/>
    <x v="183"/>
    <m/>
    <s v="9500837875"/>
    <s v="Yes"/>
    <x v="37"/>
    <s v="5/13/26 CHW - For review as not sure this hit in 2025"/>
    <m/>
    <n v="12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20000"/>
    <n v="0"/>
    <n v="0"/>
    <n v="0"/>
    <n v="0"/>
    <n v="0"/>
    <n v="0"/>
    <n v="0"/>
    <n v="0"/>
    <n v="0"/>
    <n v="0"/>
    <n v="0"/>
    <n v="120000"/>
  </r>
  <r>
    <s v="N-ERP-609"/>
    <x v="222"/>
    <s v="Meadows, Leslie_SOFTWARE_IT-SFT1147-86-OG-US/PF"/>
    <s v="ERP"/>
    <s v="Patel, Apurva"/>
    <s v="Dougherty, Chris"/>
    <s v="Meadows, Leslie"/>
    <s v="Dougherty, Chris"/>
    <s v="Meadows, Leslie"/>
    <s v="Maguire, Karla"/>
    <x v="9"/>
    <s v="Tricentis Tosca, Connect &amp; Execution Licenses (Pullforward Credit)"/>
    <s v="TRICENTIS USA CORP"/>
    <s v="2321403"/>
    <x v="184"/>
    <m/>
    <s v="9500837875"/>
    <s v="Yes"/>
    <x v="37"/>
    <s v="5/13/26 CHW - For review as not sure this hit in 2025"/>
    <m/>
    <n v="-12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20000"/>
    <n v="0"/>
    <n v="0"/>
    <n v="0"/>
    <n v="0"/>
    <n v="0"/>
    <n v="0"/>
    <n v="0"/>
    <n v="0"/>
    <n v="0"/>
    <n v="0"/>
    <n v="0"/>
    <n v="-120000"/>
  </r>
  <r>
    <s v="N-ERP-592"/>
    <x v="223"/>
    <s v="McCormick, Pete_SOFTWARE_IT-SFT1172-86-OG-US"/>
    <s v="ERP"/>
    <s v="Patel, Apurva"/>
    <s v="Dougherty, Chris"/>
    <s v="McCormick, Pete"/>
    <s v="Dougherty, Chris"/>
    <s v="McCormick, Pete"/>
    <s v="Maguire, Karla"/>
    <x v="9"/>
    <s v="Radio Frequency device licenses at plants - 42Gears - SureMDM Suite license (Pullforward Debit)"/>
    <s v="Avalon"/>
    <s v="2329614"/>
    <x v="185"/>
    <m/>
    <s v="9501143257"/>
    <s v="Yes"/>
    <x v="38"/>
    <s v="4/28/26 CHW New add to tie-out 0223 to 0317 Planful Extracts"/>
    <m/>
    <n v="99064.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99064.42"/>
    <n v="0"/>
    <n v="0"/>
    <n v="0"/>
    <n v="0"/>
    <n v="0"/>
    <n v="0"/>
    <n v="0"/>
    <n v="0"/>
    <n v="0"/>
    <n v="0"/>
    <n v="0"/>
    <n v="99064.42"/>
  </r>
  <r>
    <s v="N-ERP-593"/>
    <x v="224"/>
    <s v="McCormick, Pete_SOFTWARE_IT-SFT1172-86-OG-US/PF"/>
    <s v="ERP"/>
    <s v="Patel, Apurva"/>
    <s v="Dougherty, Chris"/>
    <s v="McCormick, Pete"/>
    <s v="Dougherty, Chris"/>
    <s v="McCormick, Pete"/>
    <s v="Maguire, Karla"/>
    <x v="9"/>
    <s v="Radio Frequency device licenses at plants - 42Gears - SureMDM Suite license (Pullforward Credit)"/>
    <s v="Avalon"/>
    <s v="2329614"/>
    <x v="186"/>
    <m/>
    <s v="9501143257"/>
    <s v="Yes"/>
    <x v="38"/>
    <s v="4/28/26 CHW New add to tie-out 0223 to 0317 Planful Extracts"/>
    <m/>
    <n v="-99064.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99064.42"/>
    <n v="0"/>
    <n v="0"/>
    <n v="0"/>
    <n v="0"/>
    <n v="0"/>
    <n v="0"/>
    <n v="0"/>
    <n v="0"/>
    <n v="0"/>
    <n v="0"/>
    <n v="0"/>
    <n v="-99064.42"/>
  </r>
  <r>
    <s v="L-ERP-120"/>
    <x v="225"/>
    <s v="Dougherty, Chris_SOFTWARE_IT-SFT1185-86-OG-US"/>
    <s v="ERP"/>
    <s v="Patel, Apurva"/>
    <s v="Dougherty, Chris"/>
    <s v="Dougherty, Chris"/>
    <s v="Dougherty, Chris"/>
    <s v="Dougherty, Chris"/>
    <s v="Maguire, Karla"/>
    <x v="9"/>
    <s v="Serialization - SAP ICH License- Software subscription (SaaS) - (Contract #3061804516)"/>
    <s v="Prepaid - SAP AMERICA INC"/>
    <s v="2321402"/>
    <x v="187"/>
    <m/>
    <m/>
    <m/>
    <x v="39"/>
    <s v="5/7 CHW - Adj to match prepaid schedule which run 10/1/2025 to 9/30/2026; 3% increase added to renewal"/>
    <m/>
    <n v="1136537.76"/>
    <n v="1100039.77"/>
    <m/>
    <m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0"/>
    <n v="181839.84"/>
    <n v="-90919.92"/>
    <n v="0"/>
    <m/>
    <n v="0"/>
    <m/>
    <n v="818279"/>
    <n v="-636439.42000000004"/>
    <n v="90919.92"/>
    <n v="0"/>
    <n v="181839.84"/>
    <n v="90919.92"/>
    <n v="0"/>
    <n v="181839.84"/>
    <n v="90919.92"/>
    <n v="0"/>
    <n v="187840.5"/>
    <n v="93920.25"/>
    <n v="1100039.77"/>
    <n v="818279"/>
    <n v="-636439.42000000004"/>
    <n v="90919.92"/>
    <n v="90919.92"/>
    <n v="90919.92"/>
    <n v="90919.92"/>
    <n v="90919.92"/>
    <n v="90919.92"/>
    <n v="90919.92"/>
    <n v="106085.92"/>
    <n v="106085.92"/>
    <n v="106085.92"/>
    <n v="1136536.78"/>
  </r>
  <r>
    <s v="L-ERP-053"/>
    <x v="226"/>
    <s v="Dougherty, Chris_SOFTWARE_IT-SFT1185-86-OG-US/01"/>
    <s v="ERP"/>
    <s v="Patel, Apurva"/>
    <s v="Dougherty, Chris"/>
    <s v="Dougherty, Chris"/>
    <s v="Dougherty, Chris"/>
    <s v="Dougherty, Chris"/>
    <s v="Maguire, Karla"/>
    <x v="9"/>
    <s v="SAP ICH incremental cost for GLN/Non-GLN portal- Additional Licenses (Contract#3062358011)"/>
    <m/>
    <m/>
    <x v="188"/>
    <m/>
    <m/>
    <m/>
    <x v="4"/>
    <s v="5/7 CHW - Add 3% renewal"/>
    <m/>
    <n v="287700"/>
    <n v="297194"/>
    <m/>
    <m/>
    <m/>
    <m/>
    <m/>
    <s v=""/>
    <n v="0"/>
    <n v="0"/>
    <m/>
    <m/>
    <m/>
    <n v="297194"/>
    <n v="0"/>
    <n v="0"/>
    <n v="297194"/>
    <n v="0"/>
    <m/>
    <n v="0"/>
    <n v="0"/>
    <m/>
    <n v="0"/>
    <m/>
    <m/>
    <m/>
    <m/>
    <m/>
    <m/>
    <m/>
    <m/>
    <m/>
    <m/>
    <n v="297194"/>
    <n v="0"/>
    <n v="0"/>
    <n v="297194"/>
    <m/>
    <m/>
    <m/>
    <m/>
    <m/>
    <m/>
    <m/>
    <m/>
    <m/>
    <n v="287700"/>
    <n v="0"/>
    <n v="0"/>
    <n v="287700"/>
  </r>
  <r>
    <s v="L-ERP-110"/>
    <x v="227"/>
    <s v="Dougherty, Chris_SOFTWARE_IT-SFT1186-86-OG-US"/>
    <s v="ERP"/>
    <s v="Patel, Apurva"/>
    <s v="Dougherty, Chris"/>
    <s v="Dougherty, Chris"/>
    <s v="Dougherty, Chris"/>
    <s v="Dougherty, Chris"/>
    <s v="Maguire, Karla"/>
    <x v="9"/>
    <s v="SAP on Premise Software Maintenance - JDNet Connector"/>
    <m/>
    <m/>
    <x v="189"/>
    <m/>
    <m/>
    <m/>
    <x v="5"/>
    <m/>
    <m/>
    <n v="58000"/>
    <n v="58000"/>
    <m/>
    <m/>
    <m/>
    <m/>
    <m/>
    <s v=""/>
    <n v="0"/>
    <n v="0"/>
    <m/>
    <m/>
    <n v="22000"/>
    <n v="0"/>
    <n v="36000"/>
    <n v="0"/>
    <n v="58000"/>
    <n v="0"/>
    <m/>
    <n v="0"/>
    <n v="0"/>
    <m/>
    <n v="0"/>
    <m/>
    <m/>
    <m/>
    <m/>
    <m/>
    <m/>
    <m/>
    <m/>
    <m/>
    <n v="22000"/>
    <n v="0"/>
    <n v="36000"/>
    <n v="0"/>
    <n v="58000"/>
    <m/>
    <m/>
    <m/>
    <m/>
    <m/>
    <m/>
    <m/>
    <m/>
    <n v="22000"/>
    <n v="0"/>
    <n v="36000"/>
    <n v="0"/>
    <n v="58000"/>
  </r>
  <r>
    <s v="L-ERP-068"/>
    <x v="228"/>
    <s v="Dougherty, Chris_SOFTWARE_IT-SFT1194-86-OG-US"/>
    <s v="ERP"/>
    <s v="Patel, Apurva"/>
    <s v="Dougherty, Chris"/>
    <s v="Dougherty, Chris"/>
    <s v="Dougherty, Chris"/>
    <s v="Dougherty, Chris"/>
    <s v="Maguire, Karla"/>
    <x v="9"/>
    <s v="DevSecOps"/>
    <m/>
    <m/>
    <x v="190"/>
    <m/>
    <s v="N/A"/>
    <m/>
    <x v="40"/>
    <m/>
    <m/>
    <n v="124504"/>
    <n v="146423.48000000001"/>
    <m/>
    <m/>
    <m/>
    <m/>
    <n v="61919.48"/>
    <n v="0"/>
    <n v="0"/>
    <n v="45968.679999999993"/>
    <n v="0"/>
    <n v="0"/>
    <n v="40000"/>
    <n v="0"/>
    <n v="4504"/>
    <n v="0"/>
    <n v="152392.16"/>
    <n v="5968.679999999993"/>
    <n v="0"/>
    <n v="45968.679999999993"/>
    <n v="5968.679999999993"/>
    <m/>
    <n v="5968.679999999993"/>
    <m/>
    <m/>
    <m/>
    <n v="61919.48"/>
    <n v="0"/>
    <n v="0"/>
    <n v="40000"/>
    <n v="0"/>
    <n v="0"/>
    <n v="40000"/>
    <n v="0"/>
    <n v="4504"/>
    <n v="0"/>
    <n v="146423.48000000001"/>
    <m/>
    <m/>
    <n v="61919.48"/>
    <n v="0"/>
    <n v="0"/>
    <n v="40000"/>
    <n v="0"/>
    <n v="0"/>
    <n v="40000"/>
    <n v="0"/>
    <n v="4504"/>
    <n v="0"/>
    <n v="146423.48000000001"/>
  </r>
  <r>
    <s v="L-ERP-314"/>
    <x v="228"/>
    <s v="Maguire, Karla_SOFTWARE_IT-SFT1194-86-OG-US"/>
    <s v="ERP"/>
    <s v="Patel, Apurva"/>
    <s v="Dougherty, Chris"/>
    <s v="Dougherty, Chris"/>
    <s v="Dougherty, Chris"/>
    <s v="Maguire, Karla"/>
    <s v="Maguire, Karla"/>
    <x v="9"/>
    <s v="DevSecOps"/>
    <m/>
    <m/>
    <x v="190"/>
    <m/>
    <s v="N/A"/>
    <m/>
    <x v="40"/>
    <s v="KP- Could you confirm who this line was transferred to?"/>
    <m/>
    <n v="50000"/>
    <n v="38665"/>
    <m/>
    <m/>
    <m/>
    <m/>
    <n v="1165"/>
    <n v="0"/>
    <n v="0"/>
    <n v="1720.74"/>
    <n v="0"/>
    <n v="0"/>
    <n v="12500"/>
    <n v="0"/>
    <n v="12500"/>
    <n v="0"/>
    <n v="27885.739999999998"/>
    <n v="-10779.260000000002"/>
    <n v="0"/>
    <n v="1720.74"/>
    <n v="-10779.26"/>
    <m/>
    <n v="-10779.260000000002"/>
    <m/>
    <m/>
    <m/>
    <n v="1165"/>
    <n v="0"/>
    <n v="0"/>
    <n v="12500"/>
    <n v="0"/>
    <n v="0"/>
    <n v="12500"/>
    <n v="0"/>
    <n v="12500"/>
    <n v="0"/>
    <n v="38665"/>
    <m/>
    <m/>
    <n v="1165"/>
    <n v="0"/>
    <n v="0"/>
    <n v="12500"/>
    <n v="0"/>
    <n v="0"/>
    <n v="12500"/>
    <n v="0"/>
    <n v="12500"/>
    <n v="0"/>
    <n v="38665"/>
  </r>
  <r>
    <s v="L-ERP-357"/>
    <x v="228"/>
    <s v="McCormick, Pete_SOFTWARE_IT-SFT1194-86-OG-US"/>
    <s v="ERP"/>
    <s v="Patel, Apurva"/>
    <s v="Dougherty, Chris"/>
    <s v="McCormick, Pete"/>
    <s v="Dougherty, Chris"/>
    <s v="McCormick, Pete"/>
    <s v="Maguire, Karla"/>
    <x v="9"/>
    <s v="DevSecOps"/>
    <m/>
    <m/>
    <x v="190"/>
    <m/>
    <s v="N/A"/>
    <m/>
    <x v="40"/>
    <m/>
    <m/>
    <n v="3000"/>
    <n v="3010.21"/>
    <m/>
    <m/>
    <m/>
    <m/>
    <n v="410.21"/>
    <n v="0"/>
    <n v="0"/>
    <n v="398.24"/>
    <n v="0"/>
    <n v="0"/>
    <n v="0"/>
    <n v="0"/>
    <n v="0"/>
    <n v="0"/>
    <n v="808.45"/>
    <n v="-2201.7600000000002"/>
    <n v="0"/>
    <n v="398.24"/>
    <n v="-2201.7600000000002"/>
    <m/>
    <n v="-2201.7600000000002"/>
    <m/>
    <m/>
    <m/>
    <n v="410.21"/>
    <n v="2600"/>
    <n v="0"/>
    <n v="0"/>
    <n v="0"/>
    <n v="0"/>
    <n v="0"/>
    <n v="0"/>
    <n v="0"/>
    <n v="0"/>
    <n v="3010.21"/>
    <m/>
    <m/>
    <n v="410.21"/>
    <n v="3000"/>
    <n v="0"/>
    <n v="0"/>
    <n v="0"/>
    <n v="0"/>
    <n v="0"/>
    <n v="0"/>
    <n v="0"/>
    <n v="0"/>
    <n v="3410.21"/>
  </r>
  <r>
    <s v="L-ERP-436"/>
    <x v="228"/>
    <s v="Meadows, Leslie_SOFTWARE_IT-SFT1194-86-OG-US"/>
    <s v="ERP"/>
    <s v="Patel, Apurva"/>
    <s v="Dougherty, Chris"/>
    <s v="Meadows, Leslie"/>
    <s v="Dougherty, Chris"/>
    <s v="Meadows, Leslie"/>
    <s v="Maguire, Karla"/>
    <x v="9"/>
    <s v="DevSecOps"/>
    <m/>
    <m/>
    <x v="190"/>
    <m/>
    <s v="N/A"/>
    <m/>
    <x v="40"/>
    <s v="KP - increase is due to increase in Licensing fees by DevSecOps."/>
    <m/>
    <n v="2800"/>
    <n v="11294.74"/>
    <m/>
    <m/>
    <m/>
    <m/>
    <n v="3116.74"/>
    <n v="0"/>
    <n v="0"/>
    <n v="2380"/>
    <n v="0"/>
    <n v="0"/>
    <n v="2726"/>
    <n v="0"/>
    <n v="2726"/>
    <n v="0"/>
    <n v="10948.74"/>
    <n v="-346"/>
    <n v="0"/>
    <n v="2380"/>
    <n v="-346"/>
    <m/>
    <n v="-346"/>
    <m/>
    <m/>
    <m/>
    <n v="3116.74"/>
    <n v="0"/>
    <n v="0"/>
    <n v="2726"/>
    <n v="0"/>
    <n v="0"/>
    <n v="2726"/>
    <n v="0"/>
    <n v="2726"/>
    <n v="0"/>
    <n v="11294.74"/>
    <m/>
    <m/>
    <n v="3116.74"/>
    <n v="0"/>
    <n v="0"/>
    <n v="700"/>
    <n v="0"/>
    <n v="0"/>
    <n v="700"/>
    <n v="0"/>
    <n v="700"/>
    <n v="0"/>
    <n v="5216.74"/>
  </r>
  <r>
    <s v="L-ERP-471"/>
    <x v="228"/>
    <s v="Patel, Nikunj Rohitkumar_SOFTWARE_IT-SFT1194-86-OG-US"/>
    <s v="ERP"/>
    <s v="Patel, Apurva"/>
    <s v="Dougherty, Chris"/>
    <s v="Patel, Nikunj Rohitkumar"/>
    <s v="Dougherty, Chris"/>
    <s v="Patel, Nikunj Rohitkumar"/>
    <s v="Maguire, Karla"/>
    <x v="9"/>
    <s v="DevSecOps"/>
    <m/>
    <m/>
    <x v="190"/>
    <m/>
    <s v="N/A"/>
    <m/>
    <x v="40"/>
    <m/>
    <m/>
    <n v="800"/>
    <n v="4147.87"/>
    <m/>
    <m/>
    <m/>
    <m/>
    <n v="3547.87"/>
    <n v="0"/>
    <n v="0"/>
    <n v="3172.87"/>
    <n v="0"/>
    <n v="0"/>
    <n v="200"/>
    <n v="0"/>
    <n v="200"/>
    <n v="0"/>
    <n v="7120.74"/>
    <n v="2972.87"/>
    <n v="0"/>
    <n v="3172.87"/>
    <n v="2972.87"/>
    <m/>
    <n v="2972.87"/>
    <m/>
    <m/>
    <m/>
    <n v="3547.87"/>
    <n v="0"/>
    <n v="0"/>
    <n v="200"/>
    <n v="0"/>
    <n v="0"/>
    <n v="200"/>
    <n v="0"/>
    <n v="200"/>
    <n v="0"/>
    <n v="4147.87"/>
    <m/>
    <m/>
    <n v="3547.87"/>
    <n v="0"/>
    <n v="0"/>
    <n v="200"/>
    <n v="0"/>
    <n v="0"/>
    <n v="200"/>
    <n v="0"/>
    <n v="200"/>
    <n v="0"/>
    <n v="4147.87"/>
  </r>
  <r>
    <s v="L-ERP-515"/>
    <x v="228"/>
    <s v="Tamavada, Ram_SOFTWARE_IT-SFT1194-86-OG-US"/>
    <s v="ERP"/>
    <s v="Patel, Apurva"/>
    <s v="Dougherty, Chris"/>
    <s v="Tamavada, Ram"/>
    <s v="Dougherty, Chris"/>
    <s v="Tamavada, Ram"/>
    <s v="Maguire, Karla"/>
    <x v="9"/>
    <s v="DevSecOps"/>
    <m/>
    <m/>
    <x v="190"/>
    <m/>
    <s v="N/A"/>
    <m/>
    <x v="40"/>
    <m/>
    <m/>
    <n v="12119.24"/>
    <n v="21230.870000000003"/>
    <m/>
    <m/>
    <m/>
    <m/>
    <n v="12141.44"/>
    <n v="0"/>
    <n v="0"/>
    <n v="10504.75"/>
    <n v="0"/>
    <n v="0"/>
    <n v="3029.81"/>
    <n v="0"/>
    <n v="3029.81"/>
    <n v="0"/>
    <n v="28705.810000000005"/>
    <n v="7474.9400000000023"/>
    <n v="0"/>
    <n v="10504.75"/>
    <n v="7474.9400000000023"/>
    <m/>
    <n v="7474.9400000000023"/>
    <m/>
    <m/>
    <m/>
    <n v="12141.44"/>
    <n v="0"/>
    <n v="0"/>
    <n v="3029.81"/>
    <n v="0"/>
    <n v="0"/>
    <n v="3029.81"/>
    <n v="0"/>
    <n v="3029.81"/>
    <n v="0"/>
    <n v="21230.870000000003"/>
    <m/>
    <m/>
    <n v="12141.44"/>
    <n v="0"/>
    <n v="0"/>
    <n v="3029.81"/>
    <n v="0"/>
    <n v="0"/>
    <n v="3029.81"/>
    <n v="0"/>
    <n v="3029.81"/>
    <n v="0"/>
    <n v="21230.870000000003"/>
  </r>
  <r>
    <s v="L-ERP-107"/>
    <x v="229"/>
    <s v="Dougherty, Chris_SOFTWARE_IT-SFT1208-86-OG-US"/>
    <s v="ERP"/>
    <s v="Patel, Apurva"/>
    <s v="Dougherty, Chris"/>
    <s v="Dougherty, Chris"/>
    <s v="Dougherty, Chris"/>
    <s v="Dougherty, Chris"/>
    <s v="Maguire, Karla"/>
    <x v="9"/>
    <s v="Enable Now &amp; WalkMe Cloud Subscription Fee for S/4 HANA Order #3061964355"/>
    <s v="SAP AMERICA INC"/>
    <s v="2321402"/>
    <x v="191"/>
    <m/>
    <s v="Multiple"/>
    <m/>
    <x v="41"/>
    <s v="Carry forward credit: $76,107.06 from prior agreement"/>
    <m/>
    <n v="280976"/>
    <n v="290275.11"/>
    <m/>
    <m/>
    <m/>
    <m/>
    <m/>
    <s v=""/>
    <n v="390539.25000000006"/>
    <n v="-88688.920000000013"/>
    <m/>
    <n v="0"/>
    <n v="0"/>
    <n v="0"/>
    <n v="0"/>
    <n v="0"/>
    <n v="301850.33000000007"/>
    <n v="11575.220000000088"/>
    <n v="290275.11"/>
    <n v="-378964.03"/>
    <n v="11575.220000000088"/>
    <m/>
    <n v="11575.220000000088"/>
    <m/>
    <m/>
    <m/>
    <m/>
    <m/>
    <n v="290275.11"/>
    <n v="0"/>
    <n v="0"/>
    <n v="0"/>
    <n v="0"/>
    <n v="0"/>
    <n v="0"/>
    <n v="0"/>
    <n v="290275.11"/>
    <m/>
    <m/>
    <m/>
    <m/>
    <n v="280976"/>
    <n v="0"/>
    <n v="0"/>
    <n v="0"/>
    <n v="0"/>
    <n v="0"/>
    <n v="0"/>
    <n v="0"/>
    <n v="280976"/>
  </r>
  <r>
    <s v="L-ERP-117"/>
    <x v="230"/>
    <s v="Dougherty, Chris_SOFTWARE_IT-SFT1235-86-OG-US"/>
    <s v="ERP"/>
    <s v="Patel, Apurva"/>
    <s v="Dougherty, Chris"/>
    <s v="Dougherty, Chris"/>
    <s v="Dougherty, Chris"/>
    <s v="Dougherty, Chris"/>
    <s v="Maguire, Karla"/>
    <x v="9"/>
    <s v="SAP SaaS Software License (CCv2 Contract) Order #3061700877"/>
    <m/>
    <m/>
    <x v="192"/>
    <m/>
    <m/>
    <m/>
    <x v="24"/>
    <m/>
    <m/>
    <n v="849804"/>
    <n v="637353"/>
    <m/>
    <m/>
    <m/>
    <m/>
    <n v="-212451"/>
    <n v="0"/>
    <n v="0"/>
    <n v="0"/>
    <n v="0"/>
    <n v="0"/>
    <n v="849804"/>
    <n v="0"/>
    <n v="0"/>
    <n v="0"/>
    <n v="637353"/>
    <n v="0"/>
    <n v="0"/>
    <n v="0"/>
    <n v="0"/>
    <m/>
    <n v="0"/>
    <m/>
    <m/>
    <m/>
    <n v="-212451"/>
    <n v="0"/>
    <n v="0"/>
    <n v="0"/>
    <n v="0"/>
    <n v="0"/>
    <n v="849804"/>
    <n v="0"/>
    <n v="0"/>
    <n v="0"/>
    <n v="637353"/>
    <m/>
    <m/>
    <n v="-212451"/>
    <n v="0"/>
    <n v="0"/>
    <n v="0"/>
    <n v="0"/>
    <n v="0"/>
    <n v="849804"/>
    <n v="0"/>
    <n v="0"/>
    <n v="0"/>
    <n v="637353"/>
  </r>
  <r>
    <s v="N-ERP-547"/>
    <x v="231"/>
    <s v="Dougherty, Chris_SOFTWARE_IT-SFT1236-86-OG-US"/>
    <s v="ERP"/>
    <s v="Patel, Apurva"/>
    <s v="Dougherty, Chris"/>
    <s v="Dougherty, Chris"/>
    <s v="Dougherty, Chris"/>
    <s v="Dougherty, Chris"/>
    <s v="Maguire, Karla"/>
    <x v="9"/>
    <s v="SAP SaaS Software Maintenance (CCv1 - C4C Contract &amp; Add&amp;#39;l licenses ) - Order #3061810212"/>
    <s v="SAP AMERICA INC"/>
    <s v="2321402"/>
    <x v="193"/>
    <m/>
    <s v="9501165170"/>
    <s v="Yes"/>
    <x v="42"/>
    <s v="4/28/26 CHW New add to tie-out 0223 to 0317 Planful Extracts"/>
    <m/>
    <n v="44842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4842"/>
    <n v="0"/>
    <n v="0"/>
    <n v="0"/>
    <n v="0"/>
    <n v="0"/>
    <n v="0"/>
    <n v="0"/>
    <n v="0"/>
    <n v="0"/>
    <n v="0"/>
    <n v="0"/>
    <n v="44842"/>
  </r>
  <r>
    <s v="N-ERP-548"/>
    <x v="232"/>
    <s v="Dougherty, Chris_SOFTWARE_IT-SFT1236-86-OG-US/PF"/>
    <s v="ERP"/>
    <s v="Patel, Apurva"/>
    <s v="Dougherty, Chris"/>
    <s v="Dougherty, Chris"/>
    <s v="Dougherty, Chris"/>
    <s v="Dougherty, Chris"/>
    <s v="Maguire, Karla"/>
    <x v="9"/>
    <s v="SAP SaaS Software Maintenance (CCv1 - C4C Contract &amp; Add&amp;#39;l licenses ) - Order #3061810212 (Pullforward Credit)"/>
    <s v="SAP AMERICA INC"/>
    <s v="2321402"/>
    <x v="194"/>
    <m/>
    <s v="9501165170"/>
    <s v="Yes"/>
    <x v="42"/>
    <s v="4/28/26 CHW New add to tie-out 0223 to 0317 Planful Extracts"/>
    <m/>
    <n v="-44842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4842"/>
    <n v="0"/>
    <n v="0"/>
    <n v="0"/>
    <n v="0"/>
    <n v="0"/>
    <n v="0"/>
    <n v="0"/>
    <n v="0"/>
    <n v="0"/>
    <n v="0"/>
    <n v="0"/>
    <n v="-44842"/>
  </r>
  <r>
    <s v="N-ERP-549"/>
    <x v="233"/>
    <s v="Dougherty, Chris_SOFTWARE_IT-SFT1237-86-US-00"/>
    <s v="ERP"/>
    <s v="Patel, Apurva"/>
    <s v="Dougherty, Chris"/>
    <s v="Dougherty, Chris"/>
    <s v="Dougherty, Chris"/>
    <s v="Dougherty, Chris"/>
    <s v="Maguire, Karla"/>
    <x v="9"/>
    <s v="SAP SaaS Software Maintenance (SCP Analytics #3062255314) (Pullforward Debit)"/>
    <s v="SAP AMERICA INC"/>
    <s v="2321402"/>
    <x v="195"/>
    <m/>
    <s v="9501150254"/>
    <s v="Yes"/>
    <x v="42"/>
    <s v="4/28/26 CHW New add to tie-out 0223 to 0317 Planful Extracts See PF Comment "/>
    <m/>
    <n v="66496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64963"/>
    <n v="0"/>
    <n v="0"/>
    <n v="0"/>
    <n v="0"/>
    <n v="0"/>
    <n v="0"/>
    <n v="0"/>
    <n v="0"/>
    <n v="0"/>
    <n v="0"/>
    <n v="0"/>
    <n v="664963"/>
  </r>
  <r>
    <s v="N-ERP-550"/>
    <x v="234"/>
    <s v="Dougherty, Chris_SOFTWARE_IT-SFT1237-86-US-00/PF"/>
    <s v="ERP"/>
    <s v="Patel, Apurva"/>
    <s v="Dougherty, Chris"/>
    <s v="Dougherty, Chris"/>
    <s v="Dougherty, Chris"/>
    <s v="Dougherty, Chris"/>
    <s v="Maguire, Karla"/>
    <x v="9"/>
    <s v="SAP SaaS Software Maintenance (SCP Analytics #3062255314) (Pullforward Credit)"/>
    <s v="SAP AMERICA INC"/>
    <s v="2321402"/>
    <x v="196"/>
    <m/>
    <s v="9501150254"/>
    <s v="Yes"/>
    <x v="42"/>
    <s v="4/28/26 CHW New add to tie-out 0223 to 0317 Planful Extracts should credit be included in LE2 submission?; AP2 comment: missing PF credit"/>
    <m/>
    <n v="-66496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64963"/>
    <n v="0"/>
    <n v="0"/>
    <n v="0"/>
    <n v="0"/>
    <n v="0"/>
    <n v="0"/>
    <n v="0"/>
    <n v="0"/>
    <n v="0"/>
    <n v="0"/>
    <n v="0"/>
    <n v="-664963"/>
  </r>
  <r>
    <s v="N-ERP-551"/>
    <x v="235"/>
    <s v="Dougherty, Chris_SOFTWARE_IT-SFT1238-86-OG-US"/>
    <s v="ERP"/>
    <s v="Patel, Apurva"/>
    <s v="Dougherty, Chris"/>
    <s v="Dougherty, Chris"/>
    <s v="Dougherty, Chris"/>
    <s v="Dougherty, Chris"/>
    <s v="Maguire, Karla"/>
    <x v="9"/>
    <s v="SAP SaaS Software Maintenance (CPEA #3062117959/old# 2212499928 ) (Pullforward Debit)"/>
    <s v="SAP AMERICA INC"/>
    <s v="2321402"/>
    <x v="197"/>
    <m/>
    <s v="9501149103"/>
    <s v="Yes"/>
    <x v="42"/>
    <s v="4/28/26 CHW New add to tie-out 0223 to 0317 Planful Extracts See PF Comment "/>
    <m/>
    <n v="663273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63273"/>
    <n v="0"/>
    <n v="0"/>
    <n v="0"/>
    <n v="0"/>
    <n v="0"/>
    <n v="0"/>
    <n v="0"/>
    <n v="0"/>
    <n v="0"/>
    <n v="0"/>
    <n v="0"/>
    <n v="663273"/>
  </r>
  <r>
    <s v="N-ERP-552"/>
    <x v="236"/>
    <s v="Dougherty, Chris_SOFTWARE_IT-SFT1238-86-OG-US/PF"/>
    <s v="ERP"/>
    <s v="Patel, Apurva"/>
    <s v="Dougherty, Chris"/>
    <s v="Dougherty, Chris"/>
    <s v="Dougherty, Chris"/>
    <s v="Dougherty, Chris"/>
    <s v="Maguire, Karla"/>
    <x v="9"/>
    <s v="SAP SaaS Software Maintenance (CPEA #3062117959/old# 2212499928 ) (Pullforward Credit)"/>
    <s v="SAP AMERICA INC"/>
    <s v="2321402"/>
    <x v="198"/>
    <m/>
    <s v="9501149103"/>
    <s v="Yes"/>
    <x v="42"/>
    <s v="4/28/26 CHW New add to tie-out 0223 to 0317 Planful Extracts should credit be included in LE2 submission?; AP2 comment: missing PF credit"/>
    <m/>
    <n v="-663273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63273"/>
    <n v="0"/>
    <n v="0"/>
    <n v="0"/>
    <n v="0"/>
    <n v="0"/>
    <n v="0"/>
    <n v="0"/>
    <n v="0"/>
    <n v="0"/>
    <n v="0"/>
    <n v="0"/>
    <n v="-663273"/>
  </r>
  <r>
    <s v="L-ERP-118"/>
    <x v="237"/>
    <s v="Dougherty, Chris_SOFTWARE_IT-SFT1239-86-OG-US"/>
    <s v="ERP"/>
    <s v="Patel, Apurva"/>
    <s v="Dougherty, Chris"/>
    <s v="Dougherty, Chris"/>
    <s v="Dougherty, Chris"/>
    <s v="Dougherty, Chris"/>
    <s v="Maguire, Karla"/>
    <x v="9"/>
    <s v="SAP SaaS Software Maint (SCP Integration/Enterprise Edition #3061467781)"/>
    <m/>
    <m/>
    <x v="199"/>
    <m/>
    <m/>
    <m/>
    <x v="24"/>
    <m/>
    <m/>
    <n v="107212"/>
    <n v="107212"/>
    <m/>
    <m/>
    <m/>
    <m/>
    <m/>
    <s v=""/>
    <n v="0"/>
    <n v="0"/>
    <n v="0"/>
    <n v="0"/>
    <n v="0"/>
    <n v="0"/>
    <n v="0"/>
    <n v="0"/>
    <n v="0"/>
    <n v="-107212"/>
    <n v="107212"/>
    <n v="-107212"/>
    <n v="-107212"/>
    <m/>
    <n v="-107212"/>
    <m/>
    <m/>
    <m/>
    <m/>
    <m/>
    <n v="107212"/>
    <n v="0"/>
    <n v="0"/>
    <n v="0"/>
    <n v="0"/>
    <n v="0"/>
    <n v="0"/>
    <n v="0"/>
    <n v="107212"/>
    <m/>
    <m/>
    <m/>
    <m/>
    <n v="107212"/>
    <n v="0"/>
    <n v="0"/>
    <n v="0"/>
    <n v="0"/>
    <n v="0"/>
    <n v="0"/>
    <n v="0"/>
    <n v="107212"/>
  </r>
  <r>
    <s v="L-ERP-119"/>
    <x v="238"/>
    <s v="Dougherty, Chris_SOFTWARE_IT-SFT1240-86-OG-US"/>
    <s v="ERP"/>
    <s v="Patel, Apurva"/>
    <s v="Dougherty, Chris"/>
    <s v="Dougherty, Chris"/>
    <s v="Dougherty, Chris"/>
    <s v="Dougherty, Chris"/>
    <s v="Maguire, Karla"/>
    <x v="9"/>
    <s v="SAP Supply Chain Collaboration (SCC) &amp; Quality Add On Contract #3072512098_XFR0956"/>
    <s v="Prepaid - SAP AMERICA INC"/>
    <s v="2321402"/>
    <x v="200"/>
    <m/>
    <s v="9501145874"/>
    <m/>
    <x v="24"/>
    <s v="5/7 CHW - Adj to match prepaid schedule"/>
    <m/>
    <n v="1155056.04"/>
    <n v="1155043.3"/>
    <m/>
    <m/>
    <n v="1155005.0900000001"/>
    <n v="-962504.24"/>
    <n v="96250.42"/>
    <n v="0"/>
    <n v="192500.84"/>
    <n v="96250.42"/>
    <n v="0"/>
    <n v="192509.34"/>
    <n v="96254.67"/>
    <n v="0"/>
    <n v="192509.34"/>
    <n v="96254.67"/>
    <n v="1155030.55"/>
    <n v="-12.75"/>
    <n v="192509.34"/>
    <n v="-96258.92"/>
    <n v="-12.75"/>
    <m/>
    <n v="-12.75"/>
    <m/>
    <n v="1155005.0900000001"/>
    <n v="-962504.24"/>
    <n v="96250.42"/>
    <n v="0"/>
    <n v="192509.34"/>
    <n v="96254.67"/>
    <n v="0"/>
    <n v="192509.34"/>
    <n v="96254.67"/>
    <n v="0"/>
    <n v="192509.34"/>
    <n v="96254.67"/>
    <n v="1155043.3"/>
    <n v="1155005.0900000001"/>
    <n v="-962504.24"/>
    <n v="96250.42"/>
    <n v="96254.67"/>
    <n v="96254.67"/>
    <n v="96254.67"/>
    <n v="96254.67"/>
    <n v="96254.67"/>
    <n v="96254.67"/>
    <n v="96254.67"/>
    <n v="96254.67"/>
    <n v="96254.67"/>
    <n v="1155043.3"/>
  </r>
  <r>
    <s v="L-ERP-114"/>
    <x v="239"/>
    <s v="Dougherty, Chris_SOFTWARE_IT-SFT1247-86-OG-US"/>
    <s v="ERP"/>
    <s v="Patel, Apurva"/>
    <s v="Dougherty, Chris"/>
    <s v="Dougherty, Chris"/>
    <s v="Dougherty, Chris"/>
    <s v="Dougherty, Chris"/>
    <s v="Maguire, Karla"/>
    <x v="9"/>
    <s v="SAP S/4 HANA Software Yearly Maint. (Order 43)"/>
    <s v="Prepaid - SAP AMERICA INC"/>
    <s v="2321402"/>
    <x v="201"/>
    <m/>
    <s v="9501133254"/>
    <m/>
    <x v="43"/>
    <s v="5/7 CHW - Adj to match prepaid schedule"/>
    <m/>
    <n v="3290595.8399999994"/>
    <n v="3254950.82"/>
    <m/>
    <m/>
    <n v="3254947.27"/>
    <n v="-2712456.06"/>
    <n v="271245.61"/>
    <s v=""/>
    <n v="0"/>
    <n v="0"/>
    <n v="0"/>
    <n v="542492"/>
    <n v="271246"/>
    <n v="0"/>
    <n v="542492"/>
    <n v="271246"/>
    <n v="2441212.8199999998"/>
    <n v="-813738"/>
    <n v="542492"/>
    <n v="-542492"/>
    <n v="-813737.99999999988"/>
    <m/>
    <n v="-813738"/>
    <m/>
    <n v="3254947.27"/>
    <n v="-2712456.06"/>
    <n v="271245.61"/>
    <n v="0"/>
    <n v="542492"/>
    <n v="271246"/>
    <n v="0"/>
    <n v="542492"/>
    <n v="271246"/>
    <n v="0"/>
    <n v="542492"/>
    <n v="271246"/>
    <n v="3254950.82"/>
    <n v="3254947.27"/>
    <n v="-2712456.06"/>
    <n v="271245.61"/>
    <n v="271246"/>
    <n v="271246"/>
    <n v="271246"/>
    <n v="271246"/>
    <n v="271246"/>
    <n v="271246"/>
    <n v="271246"/>
    <n v="271246"/>
    <n v="271246"/>
    <n v="3254950.82"/>
  </r>
  <r>
    <s v="N-ERP-594"/>
    <x v="240"/>
    <s v="McCormick, Pete_SOFTWARE_IT-SFT1249-86-OG-US"/>
    <s v="ERP"/>
    <s v="Patel, Apurva"/>
    <s v="Dougherty, Chris"/>
    <s v="McCormick, Pete"/>
    <s v="Dougherty, Chris"/>
    <s v="McCormick, Pete"/>
    <s v="Maguire, Karla"/>
    <x v="9"/>
    <s v="SAP User Group Yearly Membership (ASUG)"/>
    <m/>
    <s v="2329614"/>
    <x v="113"/>
    <s v="CHW - F/U"/>
    <s v="9501114816"/>
    <s v="Yes"/>
    <x v="25"/>
    <s v="4/28/26 CHW New add to tie-out 0223 to 0317 Planful Extracts 0"/>
    <m/>
    <n v="1112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1125"/>
    <n v="0"/>
    <n v="0"/>
    <n v="0"/>
    <n v="0"/>
    <n v="0"/>
    <n v="0"/>
    <n v="0"/>
    <n v="0"/>
    <n v="0"/>
    <n v="0"/>
    <n v="0"/>
    <n v="11125"/>
  </r>
  <r>
    <s v="N-ERP-595"/>
    <x v="241"/>
    <s v="McCormick, Pete_SOFTWARE_IT-SFT1249-86-OG-US/PF"/>
    <s v="ERP"/>
    <s v="Patel, Apurva"/>
    <s v="Dougherty, Chris"/>
    <s v="McCormick, Pete"/>
    <s v="Dougherty, Chris"/>
    <s v="McCormick, Pete"/>
    <s v="Maguire, Karla"/>
    <x v="9"/>
    <s v="SAP User Group Yearly Membership (ASUG) (Pullforward Credit)"/>
    <s v="SAP AMERICA INC"/>
    <s v="2329614"/>
    <x v="202"/>
    <m/>
    <s v="9501114816"/>
    <s v="Yes"/>
    <x v="25"/>
    <s v="4/28/26 CHW New add to tie-out 0223 to 0317 Planful Extracts"/>
    <m/>
    <n v="-1112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1125"/>
    <n v="0"/>
    <n v="0"/>
    <n v="0"/>
    <n v="0"/>
    <n v="0"/>
    <n v="0"/>
    <n v="0"/>
    <n v="0"/>
    <n v="0"/>
    <n v="0"/>
    <n v="0"/>
    <n v="-11125"/>
  </r>
  <r>
    <s v="L-ERP-379"/>
    <x v="242"/>
    <s v="McCormick, Pete_SOFTWARE_IT-SFT1257-86-OG-US"/>
    <s v="ERP"/>
    <s v="Patel, Apurva"/>
    <s v="Dougherty, Chris"/>
    <s v="McCormick, Pete"/>
    <s v="Dougherty, Chris"/>
    <s v="McCormick, Pete"/>
    <s v="Maguire, Karla"/>
    <x v="9"/>
    <s v="SAP Platform - Power10 and PowerHA S/W Maint - Somerset &amp; Durham"/>
    <m/>
    <s v="2329614"/>
    <x v="203"/>
    <m/>
    <s v="Multiple"/>
    <m/>
    <x v="44"/>
    <s v="PO 9501131788, 9501132561 (both 2026) total $313.4k"/>
    <m/>
    <n v="307237.74"/>
    <n v="331713.26"/>
    <m/>
    <m/>
    <n v="67277.88"/>
    <n v="13527.14"/>
    <n v="16908.240000000002"/>
    <n v="36231.229999999996"/>
    <n v="37708.980000000003"/>
    <n v="0"/>
    <n v="47249"/>
    <m/>
    <m/>
    <n v="47249"/>
    <n v="0"/>
    <n v="47249"/>
    <n v="313400.46999999997"/>
    <n v="-18312.790000000037"/>
    <n v="0"/>
    <n v="0"/>
    <n v="-4059.7900000000081"/>
    <m/>
    <n v="-18312.790000000037"/>
    <m/>
    <n v="67277.88"/>
    <n v="13527.14"/>
    <n v="16908.240000000002"/>
    <n v="0"/>
    <n v="0"/>
    <n v="78000"/>
    <n v="0"/>
    <n v="0"/>
    <n v="78000"/>
    <n v="0"/>
    <n v="0"/>
    <n v="78000"/>
    <n v="331713.26"/>
    <n v="67277.88"/>
    <n v="13527.14"/>
    <n v="16908.240000000002"/>
    <n v="0"/>
    <n v="0"/>
    <n v="78000"/>
    <n v="0"/>
    <n v="0"/>
    <n v="78000"/>
    <n v="0"/>
    <n v="0"/>
    <n v="78000"/>
    <n v="331713.26"/>
  </r>
  <r>
    <s v="L-ERP-054"/>
    <x v="243"/>
    <s v="Dougherty, Chris_SOFTWARE_IT-SFT1270-86-OG-US"/>
    <s v="ERP"/>
    <s v="Patel, Apurva"/>
    <s v="Dougherty, Chris"/>
    <s v="Dougherty, Chris"/>
    <s v="Dougherty, Chris"/>
    <s v="Dougherty, Chris"/>
    <s v="Maguire, Karla"/>
    <x v="9"/>
    <s v="BPAI S/W - Broadcom Autosys/Automic (ML-0714)"/>
    <m/>
    <m/>
    <x v="204"/>
    <s v="CHW - F/U"/>
    <m/>
    <m/>
    <x v="4"/>
    <m/>
    <m/>
    <n v="1527544"/>
    <n v="1513628.4099999997"/>
    <m/>
    <m/>
    <m/>
    <m/>
    <n v="367969.99"/>
    <n v="0"/>
    <n v="254590.76"/>
    <n v="127295.38"/>
    <n v="127295.38"/>
    <n v="127295.38"/>
    <n v="127295.38"/>
    <n v="127295.38"/>
    <n v="127295.38"/>
    <n v="127295.38"/>
    <n v="1513628.4099999997"/>
    <n v="0"/>
    <n v="127295.38"/>
    <n v="0"/>
    <n v="0"/>
    <m/>
    <n v="0"/>
    <m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</r>
  <r>
    <s v="L-ERP-349"/>
    <x v="243"/>
    <s v="McCormick, Pete_SOFTWARE_IT-SFT1270-86-OG-US"/>
    <s v="ERP"/>
    <s v="Patel, Apurva"/>
    <s v="Dougherty, Chris"/>
    <s v="McCormick, Pete"/>
    <s v="Dougherty, Chris"/>
    <s v="McCormick, Pete"/>
    <s v="Maguire, Karla"/>
    <x v="9"/>
    <s v="BPAI S/W - Broadcom Autosys/Automic (ML-0714)"/>
    <m/>
    <m/>
    <x v="204"/>
    <s v="CHW - F/U"/>
    <m/>
    <m/>
    <x v="4"/>
    <m/>
    <m/>
    <n v="0"/>
    <n v="0"/>
    <m/>
    <m/>
    <n v="127295.39"/>
    <n v="113379.22"/>
    <n v="-240674.61"/>
    <n v="0"/>
    <n v="0"/>
    <n v="0"/>
    <m/>
    <m/>
    <m/>
    <m/>
    <m/>
    <m/>
    <n v="0"/>
    <n v="0"/>
    <m/>
    <n v="0"/>
    <n v="0"/>
    <m/>
    <n v="0"/>
    <m/>
    <n v="127295.39"/>
    <n v="113379.22"/>
    <n v="-240674.61"/>
    <m/>
    <m/>
    <m/>
    <m/>
    <m/>
    <m/>
    <m/>
    <m/>
    <m/>
    <n v="0"/>
    <n v="127295.39"/>
    <n v="113379.22"/>
    <n v="-240674.61"/>
    <m/>
    <m/>
    <m/>
    <m/>
    <m/>
    <m/>
    <m/>
    <m/>
    <m/>
    <n v="0"/>
  </r>
  <r>
    <s v="L-ERP-065"/>
    <x v="244"/>
    <s v="Dougherty, Chris_SOFTWARE_IT-SFT1282-86-OG-US"/>
    <s v="ERP"/>
    <s v="Patel, Apurva"/>
    <s v="Dougherty, Chris"/>
    <s v="Dougherty, Chris"/>
    <s v="Dougherty, Chris"/>
    <s v="Dougherty, Chris"/>
    <s v="Maguire, Karla"/>
    <x v="9"/>
    <s v="BPAI File Transfer &amp; Workload Automation Services - Monthly Libra reclasses (ML-0726)"/>
    <m/>
    <m/>
    <x v="110"/>
    <s v="CHW - F/U"/>
    <m/>
    <m/>
    <x v="22"/>
    <m/>
    <m/>
    <n v="-937488"/>
    <n v="-925916"/>
    <m/>
    <m/>
    <m/>
    <m/>
    <n v="-222800"/>
    <n v="0"/>
    <n v="-128741.87"/>
    <n v="-52011.25"/>
    <n v="-78124"/>
    <n v="-78124"/>
    <n v="-78124"/>
    <n v="-78124"/>
    <n v="-78124"/>
    <n v="-78124"/>
    <n v="-872297.12"/>
    <n v="53618.880000000005"/>
    <n v="-78124"/>
    <n v="26112.75"/>
    <n v="53618.880000000005"/>
    <m/>
    <n v="53618.880000000005"/>
    <m/>
    <m/>
    <m/>
    <n v="-222800"/>
    <n v="-78124"/>
    <n v="-78124"/>
    <n v="-78124"/>
    <n v="-78124"/>
    <n v="-78124"/>
    <n v="-78124"/>
    <n v="-78124"/>
    <n v="-78124"/>
    <n v="-78124"/>
    <n v="-925916"/>
    <m/>
    <m/>
    <n v="-222800"/>
    <n v="-78124"/>
    <n v="-78124"/>
    <n v="-78124"/>
    <n v="-78124"/>
    <n v="-78124"/>
    <n v="-78124"/>
    <n v="-78124"/>
    <n v="-78124"/>
    <n v="-78124"/>
    <n v="-925916"/>
  </r>
  <r>
    <s v="L-ERP-354"/>
    <x v="244"/>
    <s v="McCormick, Pete_SOFTWARE_IT-SFT1282-86-OG-US"/>
    <s v="ERP"/>
    <s v="Patel, Apurva"/>
    <s v="Dougherty, Chris"/>
    <s v="McCormick, Pete"/>
    <s v="Dougherty, Chris"/>
    <s v="McCormick, Pete"/>
    <s v="Maguire, Karla"/>
    <x v="9"/>
    <s v="BPAI File Transfer &amp; Workload Automation Services - Monthly Libra reclasses (ML-0726)"/>
    <m/>
    <m/>
    <x v="110"/>
    <s v="CHW - F/U"/>
    <m/>
    <m/>
    <x v="22"/>
    <m/>
    <m/>
    <n v="0"/>
    <n v="0"/>
    <m/>
    <m/>
    <m/>
    <n v="-158800"/>
    <n v="158800"/>
    <n v="0"/>
    <n v="0"/>
    <n v="0"/>
    <m/>
    <m/>
    <m/>
    <m/>
    <m/>
    <m/>
    <n v="0"/>
    <n v="0"/>
    <m/>
    <n v="0"/>
    <n v="0"/>
    <m/>
    <n v="0"/>
    <m/>
    <m/>
    <n v="-158800"/>
    <n v="158800"/>
    <m/>
    <m/>
    <m/>
    <m/>
    <m/>
    <m/>
    <m/>
    <m/>
    <m/>
    <n v="0"/>
    <m/>
    <n v="-158800"/>
    <n v="158800"/>
    <m/>
    <m/>
    <m/>
    <m/>
    <m/>
    <m/>
    <m/>
    <m/>
    <m/>
    <n v="0"/>
  </r>
  <r>
    <s v="N-ERP-596"/>
    <x v="245"/>
    <s v="McCormick, Pete_SOFTWARE_IT-SFT1283-86-OG-US"/>
    <s v="ERP"/>
    <s v="Patel, Apurva"/>
    <s v="Dougherty, Chris"/>
    <s v="McCormick, Pete"/>
    <s v="Dougherty, Chris"/>
    <s v="McCormick, Pete"/>
    <s v="Maguire, Karla"/>
    <x v="9"/>
    <s v="DELL PowerMax &amp; CISCO San Switches SW Maintenance - Somerset (Pullforward Debit)"/>
    <s v="WORLD WIDE TECHNOLOGY"/>
    <s v="2329614"/>
    <x v="205"/>
    <m/>
    <s v="9501140459"/>
    <s v="Yes"/>
    <x v="13"/>
    <s v="4/28/26 CHW New add to tie-out 0223 to 0317 Planful Extracts"/>
    <m/>
    <n v="40902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0902.519999999997"/>
    <n v="0"/>
    <n v="0"/>
    <n v="0"/>
    <n v="0"/>
    <n v="0"/>
    <n v="0"/>
    <n v="0"/>
    <n v="0"/>
    <n v="0"/>
    <n v="0"/>
    <n v="0"/>
    <n v="40902.519999999997"/>
  </r>
  <r>
    <s v="N-ERP-597"/>
    <x v="246"/>
    <s v="McCormick, Pete_SOFTWARE_IT-SFT1283-86-OG-US/PF"/>
    <s v="ERP"/>
    <s v="Patel, Apurva"/>
    <s v="Dougherty, Chris"/>
    <s v="McCormick, Pete"/>
    <s v="Dougherty, Chris"/>
    <s v="McCormick, Pete"/>
    <s v="Maguire, Karla"/>
    <x v="9"/>
    <s v="DELL PowerMax &amp; CISCO San Switches SW Maintenance - Somerset (Pullforward Credit)"/>
    <s v="WORLD WIDE TECHNOLOGY"/>
    <s v="2329614"/>
    <x v="206"/>
    <m/>
    <s v="9501140459"/>
    <s v="Yes"/>
    <x v="13"/>
    <s v="4/28/26 CHW New add to tie-out 0223 to 0317 Planful Extracts"/>
    <m/>
    <n v="-40902.519999999997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40902.519999999997"/>
    <n v="0"/>
    <n v="0"/>
    <n v="0"/>
    <n v="0"/>
    <n v="0"/>
    <n v="0"/>
    <n v="0"/>
    <n v="0"/>
    <n v="0"/>
    <n v="0"/>
    <n v="0"/>
    <n v="-40902.519999999997"/>
  </r>
  <r>
    <s v="N-ERP-598"/>
    <x v="247"/>
    <s v="McCormick, Pete_SOFTWARE_IT-SFT1284-86-OG-US"/>
    <s v="ERP"/>
    <s v="Patel, Apurva"/>
    <s v="Dougherty, Chris"/>
    <s v="McCormick, Pete"/>
    <s v="Dougherty, Chris"/>
    <s v="McCormick, Pete"/>
    <s v="Maguire, Karla"/>
    <x v="9"/>
    <s v="DELL PowerMax &amp; CISCO San Switches SW Maintenance - Durham (Pullforward Debit)"/>
    <s v="WORLD WIDE TECHNOLOGY"/>
    <s v="2329614"/>
    <x v="207"/>
    <m/>
    <s v="9501140551"/>
    <s v="Yes"/>
    <x v="13"/>
    <s v="4/28/26 CHW New add to tie-out 0223 to 0317 Planful Extracts"/>
    <m/>
    <n v="26386.8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386.85"/>
    <n v="0"/>
    <n v="0"/>
    <n v="0"/>
    <n v="0"/>
    <n v="0"/>
    <n v="0"/>
    <n v="0"/>
    <n v="0"/>
    <n v="0"/>
    <n v="0"/>
    <n v="0"/>
    <n v="26386.85"/>
  </r>
  <r>
    <s v="N-ERP-599"/>
    <x v="248"/>
    <s v="McCormick, Pete_SOFTWARE_IT-SFT1284-86-OG-US/PF"/>
    <s v="ERP"/>
    <s v="Patel, Apurva"/>
    <s v="Dougherty, Chris"/>
    <s v="McCormick, Pete"/>
    <s v="Dougherty, Chris"/>
    <s v="McCormick, Pete"/>
    <s v="Maguire, Karla"/>
    <x v="9"/>
    <s v="DELL PowerMax &amp; CISCO San Switches SW Maintenance - Durham (Pullforward Credit)"/>
    <s v="WORLD WIDE TECHNOLOGY"/>
    <s v="2329614"/>
    <x v="208"/>
    <m/>
    <s v="9501140551"/>
    <s v="Yes"/>
    <x v="13"/>
    <s v="4/28/26 CHW New add to tie-out 0223 to 0317 Planful Extracts"/>
    <m/>
    <n v="-26386.8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386.85"/>
    <n v="0"/>
    <n v="0"/>
    <n v="0"/>
    <n v="0"/>
    <n v="0"/>
    <n v="0"/>
    <n v="0"/>
    <n v="0"/>
    <n v="0"/>
    <n v="0"/>
    <n v="0"/>
    <n v="-26386.85"/>
  </r>
  <r>
    <s v="N-ERP-600"/>
    <x v="249"/>
    <s v="McCormick, Pete_SOFTWARE_IT-SFT1401-OG-US-00"/>
    <s v="ERP"/>
    <s v="Patel, Apurva"/>
    <s v="Dougherty, Chris"/>
    <s v="McCormick, Pete"/>
    <s v="Dougherty, Chris"/>
    <s v="McCormick, Pete"/>
    <s v="Maguire, Karla"/>
    <x v="9"/>
    <s v="Storix Linux Storage Licenses"/>
    <s v="SIRIUS COMPUTER SOLUTIONS"/>
    <s v="2329614"/>
    <x v="209"/>
    <m/>
    <s v="9501130232"/>
    <s v="Yes"/>
    <x v="45"/>
    <s v="4/28/26 CHW New add to tie-out 0223 to 0317 Planful Extracts"/>
    <m/>
    <n v="21386.72000000000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1386.720000000001"/>
    <n v="0"/>
    <n v="0"/>
    <n v="0"/>
    <n v="0"/>
    <n v="0"/>
    <n v="0"/>
    <n v="0"/>
    <n v="0"/>
    <n v="0"/>
    <n v="0"/>
    <n v="0"/>
    <n v="21386.720000000001"/>
  </r>
  <r>
    <s v="N-ERP-601"/>
    <x v="250"/>
    <s v="McCormick, Pete_SOFTWARE_IT-SFT1401-OG-US-00/PF"/>
    <s v="ERP"/>
    <s v="Patel, Apurva"/>
    <s v="Dougherty, Chris"/>
    <s v="McCormick, Pete"/>
    <s v="Dougherty, Chris"/>
    <s v="McCormick, Pete"/>
    <s v="Maguire, Karla"/>
    <x v="9"/>
    <s v="Storix Linux Storage Licenses (Pullforward Credit)"/>
    <s v="SIRIUS COMPUTER SOLUTIONS"/>
    <s v="2329614"/>
    <x v="210"/>
    <m/>
    <s v="9501130232"/>
    <s v="Yes"/>
    <x v="45"/>
    <s v="4/28/26 CHW New add to tie-out 0223 to 0317 Planful Extracts"/>
    <m/>
    <n v="-21386.72000000000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1386.720000000001"/>
    <n v="0"/>
    <n v="0"/>
    <n v="0"/>
    <n v="0"/>
    <n v="0"/>
    <n v="0"/>
    <n v="0"/>
    <n v="0"/>
    <n v="0"/>
    <n v="0"/>
    <n v="0"/>
    <n v="-21386.720000000001"/>
  </r>
  <r>
    <s v="L-ERP-055"/>
    <x v="251"/>
    <s v="Dougherty, Chris_SOFTWARE_IT-SFT1402-OG-US-00"/>
    <s v="ERP"/>
    <s v="Patel, Apurva"/>
    <s v="Dougherty, Chris"/>
    <s v="Dougherty, Chris"/>
    <s v="Dougherty, Chris"/>
    <s v="Dougherty, Chris"/>
    <s v="Maguire, Karla"/>
    <x v="9"/>
    <s v="BPAI S/W - IBM Value Added Network (VAN) (ML-0729)"/>
    <s v="IBM"/>
    <s v="2321402"/>
    <x v="211"/>
    <m/>
    <s v="9500996366"/>
    <m/>
    <x v="4"/>
    <m/>
    <m/>
    <n v="207900"/>
    <n v="196875"/>
    <m/>
    <m/>
    <n v="15750"/>
    <n v="15750"/>
    <n v="15750"/>
    <n v="15750"/>
    <n v="15750"/>
    <n v="15750"/>
    <n v="15750"/>
    <n v="17325"/>
    <n v="17325"/>
    <n v="17325"/>
    <n v="17325"/>
    <n v="17325"/>
    <n v="196875"/>
    <n v="0"/>
    <n v="15750"/>
    <n v="0"/>
    <n v="0"/>
    <m/>
    <n v="0"/>
    <m/>
    <n v="15750"/>
    <n v="15750"/>
    <n v="15750"/>
    <n v="15750"/>
    <n v="15750"/>
    <n v="15750"/>
    <n v="15750"/>
    <n v="17325"/>
    <n v="17325"/>
    <n v="17325"/>
    <n v="17325"/>
    <n v="17325"/>
    <n v="196875"/>
    <n v="15750"/>
    <n v="15750"/>
    <n v="15750"/>
    <n v="17325"/>
    <n v="17325"/>
    <n v="17325"/>
    <n v="17325"/>
    <n v="17325"/>
    <n v="17325"/>
    <n v="17325"/>
    <n v="17325"/>
    <n v="17325"/>
    <n v="203175"/>
  </r>
  <r>
    <s v="L-ERP-058"/>
    <x v="252"/>
    <s v="Dougherty, Chris_SOFTWARE_IT-SFT1406-OG-US-00"/>
    <s v="ERP"/>
    <s v="Patel, Apurva"/>
    <s v="Dougherty, Chris"/>
    <s v="Dougherty, Chris"/>
    <s v="Dougherty, Chris"/>
    <s v="Dougherty, Chris"/>
    <s v="Maguire, Karla"/>
    <x v="9"/>
    <s v="SAP ICH Quality Add-on Contract #3062678905_XFR0707"/>
    <m/>
    <m/>
    <x v="212"/>
    <m/>
    <m/>
    <m/>
    <x v="12"/>
    <m/>
    <m/>
    <n v="37661"/>
    <n v="37661"/>
    <m/>
    <m/>
    <m/>
    <m/>
    <m/>
    <s v=""/>
    <n v="0"/>
    <n v="0"/>
    <m/>
    <m/>
    <m/>
    <n v="37661"/>
    <n v="0"/>
    <n v="0"/>
    <n v="37661"/>
    <n v="0"/>
    <m/>
    <n v="0"/>
    <n v="0"/>
    <m/>
    <n v="0"/>
    <m/>
    <m/>
    <m/>
    <m/>
    <m/>
    <m/>
    <m/>
    <m/>
    <m/>
    <m/>
    <n v="37661"/>
    <n v="0"/>
    <n v="0"/>
    <n v="37661"/>
    <m/>
    <m/>
    <m/>
    <m/>
    <m/>
    <m/>
    <m/>
    <m/>
    <m/>
    <n v="37661"/>
    <n v="0"/>
    <n v="0"/>
    <n v="37661"/>
  </r>
  <r>
    <s v="L-ERP-098"/>
    <x v="253"/>
    <s v="Dougherty, Chris_SOFTWARE_IT-SFT1408-OG-US-00"/>
    <s v="ERP"/>
    <s v="Patel, Apurva"/>
    <s v="Dougherty, Chris"/>
    <s v="Dougherty, Chris"/>
    <s v="Dougherty, Chris"/>
    <s v="Dougherty, Chris"/>
    <s v="Maguire, Karla"/>
    <x v="9"/>
    <s v="SAP license &amp; support costs for SAP at Sanford North(P323-0010203)_2025-XFR-0036-A"/>
    <m/>
    <m/>
    <x v="213"/>
    <m/>
    <m/>
    <m/>
    <x v="0"/>
    <m/>
    <m/>
    <n v="24500"/>
    <n v="24500"/>
    <m/>
    <m/>
    <m/>
    <m/>
    <m/>
    <s v=""/>
    <n v="0"/>
    <n v="0"/>
    <m/>
    <m/>
    <n v="24500"/>
    <n v="0"/>
    <n v="0"/>
    <n v="0"/>
    <n v="24500"/>
    <n v="0"/>
    <m/>
    <n v="0"/>
    <n v="0"/>
    <m/>
    <n v="0"/>
    <m/>
    <m/>
    <m/>
    <m/>
    <m/>
    <m/>
    <m/>
    <m/>
    <m/>
    <n v="24500"/>
    <n v="0"/>
    <n v="0"/>
    <n v="0"/>
    <n v="24500"/>
    <m/>
    <m/>
    <m/>
    <m/>
    <m/>
    <m/>
    <m/>
    <m/>
    <n v="24500"/>
    <n v="0"/>
    <n v="0"/>
    <n v="0"/>
    <n v="24500"/>
  </r>
  <r>
    <s v="L-ERP-365"/>
    <x v="254"/>
    <s v="McCormick, Pete_SOFTWARE_IT-SFT1410-OG-US-00"/>
    <s v="ERP"/>
    <s v="Patel, Apurva"/>
    <s v="Dougherty, Chris"/>
    <s v="McCormick, Pete"/>
    <s v="Dougherty, Chris"/>
    <s v="McCormick, Pete"/>
    <s v="Maguire, Karla"/>
    <x v="9"/>
    <s v="Power 10 AIX 7.1 Extended Support (for APO, GIS, PPM, SAP PI 7.1, MQ, BOBJ, VPSX)"/>
    <s v="IBM"/>
    <s v="2329614"/>
    <x v="214"/>
    <m/>
    <s v="9501116519"/>
    <s v="Yes"/>
    <x v="46"/>
    <m/>
    <m/>
    <n v="14353.4"/>
    <n v="0"/>
    <m/>
    <m/>
    <n v="0.28000000000000003"/>
    <n v="-0.28000000000000003"/>
    <m/>
    <n v="-11391.72"/>
    <n v="0"/>
    <n v="0"/>
    <m/>
    <m/>
    <m/>
    <m/>
    <m/>
    <m/>
    <n v="-11391.72"/>
    <n v="-11391.72"/>
    <m/>
    <n v="0"/>
    <n v="-11391.72"/>
    <m/>
    <n v="-11391.72"/>
    <m/>
    <n v="0.28000000000000003"/>
    <n v="-0.28000000000000003"/>
    <m/>
    <m/>
    <m/>
    <m/>
    <m/>
    <m/>
    <m/>
    <m/>
    <m/>
    <m/>
    <n v="0"/>
    <n v="0.28000000000000003"/>
    <n v="-0.28000000000000003"/>
    <m/>
    <m/>
    <m/>
    <m/>
    <m/>
    <m/>
    <m/>
    <m/>
    <m/>
    <m/>
    <n v="0"/>
  </r>
  <r>
    <s v="N-ERP-602"/>
    <x v="255"/>
    <s v="McCormick, Pete_SOFTWARE_IT-SFT1410-OG-US-00/PF"/>
    <s v="ERP"/>
    <s v="Patel, Apurva"/>
    <s v="Dougherty, Chris"/>
    <s v="McCormick, Pete"/>
    <s v="Dougherty, Chris"/>
    <s v="McCormick, Pete"/>
    <s v="Maguire, Karla"/>
    <x v="9"/>
    <s v="Power 10 AIX 7.1 Extended Support (for APO, GIS, PPM, SAP PI 7.1, MQ, BOBJ, VPSX) (Pullforward Credit)"/>
    <s v="IBM"/>
    <s v="2329614"/>
    <x v="215"/>
    <m/>
    <s v="9501116519"/>
    <s v="Yes "/>
    <x v="46"/>
    <s v="4/28/26 CHW New add to tie-out 0223 to 0317 Planful Extracts 0"/>
    <m/>
    <n v="-14353.4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4353.4"/>
    <n v="0"/>
    <n v="0"/>
    <n v="0"/>
    <n v="0"/>
    <n v="0"/>
    <n v="0"/>
    <n v="0"/>
    <n v="0"/>
    <n v="0"/>
    <n v="0"/>
    <n v="0"/>
    <n v="-14353.4"/>
  </r>
  <r>
    <s v="L-ERP-380"/>
    <x v="256"/>
    <s v="McCormick, Pete_SOFTWARE_IT-SFT1412-OG-US-00"/>
    <s v="ERP"/>
    <s v="Patel, Apurva"/>
    <s v="Dougherty, Chris"/>
    <s v="McCormick, Pete"/>
    <s v="Dougherty, Chris"/>
    <s v="McCormick, Pete"/>
    <s v="Maguire, Karla"/>
    <x v="9"/>
    <s v="PEP 2.0 Credits"/>
    <m/>
    <m/>
    <x v="216"/>
    <m/>
    <m/>
    <m/>
    <x v="44"/>
    <m/>
    <m/>
    <n v="4000"/>
    <n v="4000"/>
    <m/>
    <m/>
    <n v="0.1"/>
    <n v="-0.1"/>
    <m/>
    <n v="0"/>
    <n v="0"/>
    <n v="0"/>
    <n v="4000"/>
    <n v="0"/>
    <n v="0"/>
    <n v="0"/>
    <n v="0"/>
    <n v="0"/>
    <n v="4000"/>
    <n v="0"/>
    <m/>
    <n v="0"/>
    <n v="-2000"/>
    <m/>
    <n v="0"/>
    <m/>
    <n v="0.1"/>
    <n v="-0.1"/>
    <m/>
    <m/>
    <m/>
    <n v="2000"/>
    <n v="2000"/>
    <n v="0"/>
    <n v="0"/>
    <n v="0"/>
    <n v="0"/>
    <n v="0"/>
    <n v="4000"/>
    <n v="0.1"/>
    <n v="-0.1"/>
    <m/>
    <m/>
    <m/>
    <n v="2000"/>
    <n v="2000"/>
    <n v="0"/>
    <n v="0"/>
    <n v="0"/>
    <n v="0"/>
    <n v="0"/>
    <n v="4000"/>
  </r>
  <r>
    <s v="L-ERP-056"/>
    <x v="257"/>
    <s v="Dougherty, Chris_SOFTWARE_IT-SFT1413-OG-US-00"/>
    <s v="ERP"/>
    <s v="Patel, Apurva"/>
    <s v="Dougherty, Chris"/>
    <s v="Dougherty, Chris"/>
    <s v="Dougherty, Chris"/>
    <s v="Dougherty, Chris"/>
    <s v="Maguire, Karla"/>
    <x v="9"/>
    <s v="BPAI S/W - IBM B2B Integrator (ML-0731)"/>
    <m/>
    <m/>
    <x v="217"/>
    <m/>
    <s v="9501163151 "/>
    <m/>
    <x v="4"/>
    <m/>
    <m/>
    <n v="144819"/>
    <n v="144819"/>
    <m/>
    <m/>
    <m/>
    <m/>
    <m/>
    <s v=""/>
    <n v="0"/>
    <n v="159302.39999999999"/>
    <n v="0"/>
    <n v="0"/>
    <n v="0"/>
    <n v="0"/>
    <n v="0"/>
    <n v="0"/>
    <n v="159302.39999999999"/>
    <n v="14483.399999999994"/>
    <n v="144819"/>
    <n v="14483.399999999994"/>
    <n v="14483.399999999994"/>
    <m/>
    <n v="14483.399999999994"/>
    <m/>
    <m/>
    <m/>
    <m/>
    <m/>
    <n v="144819"/>
    <n v="0"/>
    <n v="0"/>
    <n v="0"/>
    <n v="0"/>
    <n v="0"/>
    <n v="0"/>
    <n v="0"/>
    <n v="144819"/>
    <m/>
    <m/>
    <m/>
    <n v="144819"/>
    <n v="0"/>
    <n v="0"/>
    <n v="0"/>
    <n v="0"/>
    <n v="0"/>
    <n v="0"/>
    <n v="0"/>
    <n v="0"/>
    <n v="144819"/>
  </r>
  <r>
    <s v="N-ERP-553"/>
    <x v="258"/>
    <s v="Dougherty, Chris_SOFTWARE_IT-SFT1414-OG-US-00"/>
    <s v="ERP"/>
    <s v="Patel, Apurva"/>
    <s v="Dougherty, Chris"/>
    <s v="Dougherty, Chris"/>
    <s v="Dougherty, Chris"/>
    <s v="Dougherty, Chris"/>
    <s v="Maguire, Karla"/>
    <x v="9"/>
    <s v="BPAI S/W - Axway B2Bi (ML-0736)"/>
    <s v="AXWAY Inc."/>
    <s v="2321402"/>
    <x v="218"/>
    <m/>
    <s v="9501158822"/>
    <s v="Yes"/>
    <x v="47"/>
    <s v="4/28/26 CHW New add to tie-out 0223 to 0317 Planful Extracts 0"/>
    <m/>
    <n v="64566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64566"/>
    <n v="0"/>
    <n v="0"/>
    <n v="0"/>
    <n v="0"/>
    <n v="0"/>
    <n v="0"/>
    <n v="0"/>
    <n v="0"/>
    <n v="0"/>
    <n v="0"/>
    <n v="0"/>
    <n v="64566"/>
  </r>
  <r>
    <s v="N-ERP-554"/>
    <x v="259"/>
    <s v="Dougherty, Chris_SOFTWARE_IT-SFT1414-OG-US-00/PF"/>
    <s v="ERP"/>
    <s v="Patel, Apurva"/>
    <s v="Dougherty, Chris"/>
    <s v="Dougherty, Chris"/>
    <s v="Dougherty, Chris"/>
    <s v="Dougherty, Chris"/>
    <s v="Maguire, Karla"/>
    <x v="9"/>
    <s v="BPAI S/W - Axway B2Bi (ML-0736) (Pullforward Credit)"/>
    <s v="AXWAY Inc."/>
    <s v="2321402"/>
    <x v="219"/>
    <m/>
    <s v="9501158822"/>
    <s v="Yes"/>
    <x v="47"/>
    <s v="4/28/26 CHW New add to tie-out 0223 to 0317 Planful Extracts should credit be included in LE2 submission?; AP2 comment: missing PF credit"/>
    <m/>
    <n v="-6456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64566"/>
    <n v="0"/>
    <n v="0"/>
    <n v="0"/>
    <n v="0"/>
    <n v="0"/>
    <n v="0"/>
    <n v="0"/>
    <n v="0"/>
    <n v="0"/>
    <n v="0"/>
    <n v="0"/>
    <n v="-64566"/>
  </r>
  <r>
    <s v="L-ERP-057"/>
    <x v="260"/>
    <s v="Dougherty, Chris_SOFTWARE_IT-SFT1415-OG-US-00"/>
    <s v="ERP"/>
    <s v="Patel, Apurva"/>
    <s v="Dougherty, Chris"/>
    <s v="Dougherty, Chris"/>
    <s v="Dougherty, Chris"/>
    <s v="Dougherty, Chris"/>
    <s v="Maguire, Karla"/>
    <x v="9"/>
    <s v="BPAI S/W - EDIFECS SpecBuilder (ML-0737)"/>
    <s v="EDIFECS INC"/>
    <s v="2321402"/>
    <x v="220"/>
    <m/>
    <s v="9501196586"/>
    <m/>
    <x v="4"/>
    <m/>
    <m/>
    <n v="0"/>
    <n v="5298.95"/>
    <m/>
    <m/>
    <m/>
    <m/>
    <n v="5298.95"/>
    <n v="0"/>
    <n v="0"/>
    <n v="0"/>
    <n v="0"/>
    <n v="0"/>
    <n v="0"/>
    <n v="0"/>
    <n v="0"/>
    <n v="0"/>
    <n v="5298.95"/>
    <n v="0"/>
    <n v="0"/>
    <n v="0"/>
    <n v="0"/>
    <m/>
    <n v="0"/>
    <m/>
    <m/>
    <m/>
    <n v="5298.95"/>
    <n v="0"/>
    <n v="0"/>
    <n v="0"/>
    <n v="0"/>
    <n v="0"/>
    <n v="0"/>
    <n v="0"/>
    <n v="0"/>
    <n v="0"/>
    <n v="5298.95"/>
    <m/>
    <m/>
    <n v="5298.95"/>
    <n v="0"/>
    <n v="0"/>
    <n v="0"/>
    <n v="0"/>
    <n v="0"/>
    <n v="0"/>
    <n v="0"/>
    <n v="0"/>
    <n v="0"/>
    <n v="5298.95"/>
  </r>
  <r>
    <s v="L-ERP-375"/>
    <x v="261"/>
    <s v="McCormick, Pete_SOFTWARE_IT-SFT1416-OG-US-00"/>
    <s v="ERP"/>
    <s v="Patel, Apurva"/>
    <s v="Dougherty, Chris"/>
    <s v="McCormick, Pete"/>
    <s v="Dougherty, Chris"/>
    <s v="McCormick, Pete"/>
    <s v="Maguire, Karla"/>
    <x v="9"/>
    <s v="M&amp;S Pro Renewal"/>
    <m/>
    <m/>
    <x v="221"/>
    <m/>
    <m/>
    <m/>
    <x v="0"/>
    <m/>
    <m/>
    <n v="1190.6600000000001"/>
    <n v="1190.6600000000001"/>
    <m/>
    <m/>
    <m/>
    <m/>
    <m/>
    <s v=""/>
    <n v="0"/>
    <n v="0"/>
    <n v="0"/>
    <n v="0"/>
    <n v="0"/>
    <n v="0"/>
    <n v="0"/>
    <n v="0"/>
    <n v="0"/>
    <n v="-1190.6600000000001"/>
    <m/>
    <n v="0"/>
    <n v="-1190.6600000000001"/>
    <m/>
    <n v="-1190.6600000000001"/>
    <m/>
    <m/>
    <m/>
    <m/>
    <m/>
    <m/>
    <n v="1190.6600000000001"/>
    <n v="0"/>
    <n v="0"/>
    <n v="0"/>
    <n v="0"/>
    <n v="0"/>
    <n v="0"/>
    <n v="1190.6600000000001"/>
    <m/>
    <m/>
    <m/>
    <m/>
    <m/>
    <n v="1190.6600000000001"/>
    <n v="0"/>
    <n v="0"/>
    <n v="0"/>
    <n v="0"/>
    <n v="0"/>
    <n v="0"/>
    <n v="1190.6600000000001"/>
  </r>
  <r>
    <s v="L-ERP-507"/>
    <x v="262"/>
    <s v="Tamavada, Ram_SOFTWARE_IT-SFT1434-OG-US-00"/>
    <s v="ERP"/>
    <s v="Patel, Apurva"/>
    <s v="Dougherty, Chris"/>
    <s v="Tamavada, Ram"/>
    <s v="Dougherty, Chris"/>
    <s v="Tamavada, Ram"/>
    <s v="Maguire, Karla"/>
    <x v="9"/>
    <s v="Infrastructure: Pfizer Pfynix AIOPS solution"/>
    <m/>
    <m/>
    <x v="111"/>
    <s v="CHW - F/U"/>
    <m/>
    <m/>
    <x v="23"/>
    <m/>
    <m/>
    <n v="23000"/>
    <n v="21098.22"/>
    <m/>
    <m/>
    <m/>
    <m/>
    <n v="21098.22"/>
    <n v="0"/>
    <n v="0"/>
    <n v="0"/>
    <n v="0"/>
    <n v="0"/>
    <n v="0"/>
    <n v="0"/>
    <n v="0"/>
    <n v="0"/>
    <n v="21098.22"/>
    <n v="0"/>
    <n v="0"/>
    <n v="0"/>
    <n v="0"/>
    <m/>
    <n v="0"/>
    <m/>
    <m/>
    <m/>
    <n v="21098.22"/>
    <n v="0"/>
    <n v="0"/>
    <n v="0"/>
    <n v="0"/>
    <n v="0"/>
    <n v="0"/>
    <n v="0"/>
    <n v="0"/>
    <n v="0"/>
    <n v="21098.22"/>
    <m/>
    <m/>
    <n v="21098.22"/>
    <n v="21098.22"/>
    <n v="0"/>
    <n v="0"/>
    <n v="0"/>
    <n v="0"/>
    <n v="0"/>
    <n v="0"/>
    <n v="0"/>
    <n v="0"/>
    <n v="42196.44"/>
  </r>
  <r>
    <s v="L-ERP-508"/>
    <x v="263"/>
    <s v="Tamavada, Ram_SOFTWARE_IT-SFT1441-OG-US-00"/>
    <s v="ERP"/>
    <s v="Patel, Apurva"/>
    <s v="Dougherty, Chris"/>
    <s v="Tamavada, Ram"/>
    <s v="Dougherty, Chris"/>
    <s v="Tamavada, Ram"/>
    <s v="Maguire, Karla"/>
    <x v="9"/>
    <s v="IBM: Pfynix AIOps - IBM Process Automation Manager"/>
    <m/>
    <m/>
    <x v="222"/>
    <m/>
    <m/>
    <m/>
    <x v="23"/>
    <m/>
    <m/>
    <n v="35569"/>
    <n v="35569"/>
    <m/>
    <m/>
    <m/>
    <m/>
    <m/>
    <s v=""/>
    <n v="0"/>
    <n v="0"/>
    <m/>
    <n v="35569"/>
    <n v="0"/>
    <n v="0"/>
    <n v="0"/>
    <n v="0"/>
    <n v="35569"/>
    <n v="0"/>
    <m/>
    <n v="0"/>
    <n v="-35569"/>
    <m/>
    <n v="0"/>
    <m/>
    <m/>
    <m/>
    <m/>
    <m/>
    <m/>
    <n v="35569"/>
    <n v="0"/>
    <n v="0"/>
    <n v="0"/>
    <n v="0"/>
    <n v="0"/>
    <n v="0"/>
    <n v="35569"/>
    <m/>
    <m/>
    <m/>
    <m/>
    <m/>
    <n v="35569"/>
    <n v="0"/>
    <n v="0"/>
    <n v="0"/>
    <n v="0"/>
    <n v="0"/>
    <n v="0"/>
    <n v="35569"/>
  </r>
  <r>
    <s v="L-ERP-099"/>
    <x v="264"/>
    <s v="Dougherty, Chris_SOFTWARE_IT-SFT1445-OG-US-00"/>
    <s v="ERP"/>
    <s v="Patel, Apurva"/>
    <s v="Dougherty, Chris"/>
    <s v="Dougherty, Chris"/>
    <s v="Dougherty, Chris"/>
    <s v="Dougherty, Chris"/>
    <s v="Maguire, Karla"/>
    <x v="9"/>
    <s v="ESC/AIS APP &amp; Platform Support: Software"/>
    <m/>
    <m/>
    <x v="223"/>
    <m/>
    <m/>
    <m/>
    <x v="0"/>
    <m/>
    <m/>
    <n v="30000"/>
    <n v="30000"/>
    <m/>
    <m/>
    <m/>
    <m/>
    <m/>
    <s v=""/>
    <n v="0"/>
    <n v="0"/>
    <m/>
    <n v="30000"/>
    <n v="0"/>
    <n v="0"/>
    <n v="0"/>
    <n v="0"/>
    <n v="30000"/>
    <n v="0"/>
    <m/>
    <n v="0"/>
    <n v="0"/>
    <m/>
    <n v="0"/>
    <m/>
    <m/>
    <m/>
    <m/>
    <m/>
    <m/>
    <m/>
    <m/>
    <n v="30000"/>
    <n v="0"/>
    <n v="0"/>
    <n v="0"/>
    <n v="0"/>
    <n v="30000"/>
    <m/>
    <m/>
    <m/>
    <m/>
    <m/>
    <m/>
    <m/>
    <n v="30000"/>
    <n v="0"/>
    <n v="0"/>
    <n v="0"/>
    <n v="0"/>
    <n v="30000"/>
  </r>
  <r>
    <s v="N-ERP-555"/>
    <x v="265"/>
    <s v="Dougherty, Chris_SOFTWARE_IT-SFT1457-OG-US-00"/>
    <s v="ERP"/>
    <s v="Patel, Apurva"/>
    <s v="Dougherty, Chris"/>
    <s v="Dougherty, Chris"/>
    <s v="Dougherty, Chris"/>
    <s v="Dougherty, Chris"/>
    <s v="Maguire, Karla"/>
    <x v="9"/>
    <s v="SAP DI New Contract"/>
    <s v="SAP AMERICA INC"/>
    <s v="2321402"/>
    <x v="224"/>
    <m/>
    <s v="9501147826"/>
    <s v="Yes"/>
    <x v="45"/>
    <s v="4/28/26 CHW New add to tie-out 0223 to 0317 Planful Extracts 0"/>
    <m/>
    <n v="169614.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69614.9"/>
    <n v="0"/>
    <n v="0"/>
    <n v="0"/>
    <n v="0"/>
    <n v="0"/>
    <n v="0"/>
    <n v="0"/>
    <n v="0"/>
    <n v="0"/>
    <n v="0"/>
    <n v="0"/>
    <n v="169614.9"/>
  </r>
  <r>
    <s v="N-ERP-556"/>
    <x v="266"/>
    <s v="Dougherty, Chris_SOFTWARE_IT-SFT1457-OG-US-00/PF"/>
    <s v="ERP"/>
    <s v="Patel, Apurva"/>
    <s v="Dougherty, Chris"/>
    <s v="Dougherty, Chris"/>
    <s v="Dougherty, Chris"/>
    <s v="Dougherty, Chris"/>
    <s v="Maguire, Karla"/>
    <x v="9"/>
    <s v="SAP DI New Contract (Pullforward Credit)"/>
    <s v="SAP AMERICA INC"/>
    <s v="2321402"/>
    <x v="225"/>
    <m/>
    <s v="9501147826"/>
    <s v="Yes"/>
    <x v="45"/>
    <s v="4/28/26 CHW New add to tie-out 0223 to 0317 Planful Extracts should credit be included in LE2 submission?; AP2 comment: missing PF credit"/>
    <m/>
    <n v="-169614.9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169614.9"/>
    <n v="0"/>
    <n v="0"/>
    <n v="0"/>
    <n v="0"/>
    <n v="0"/>
    <n v="0"/>
    <n v="0"/>
    <n v="0"/>
    <n v="0"/>
    <n v="0"/>
    <n v="0"/>
    <n v="-169614.9"/>
  </r>
  <r>
    <s v="L-ERP-101"/>
    <x v="267"/>
    <s v="Dougherty, Chris_SOFTWARE_MISC001"/>
    <s v="ERP"/>
    <s v="Patel, Apurva"/>
    <s v="Dougherty, Chris"/>
    <s v="Dougherty, Chris"/>
    <s v="Dougherty, Chris"/>
    <s v="Dougherty, Chris"/>
    <s v="Maguire, Karla"/>
    <x v="9"/>
    <s v="Miscellaneous Charges"/>
    <m/>
    <m/>
    <x v="54"/>
    <m/>
    <m/>
    <m/>
    <x v="0"/>
    <m/>
    <m/>
    <n v="0"/>
    <n v="0.3"/>
    <m/>
    <m/>
    <n v="0.32"/>
    <n v="-0.45"/>
    <n v="0.43"/>
    <n v="-0.34"/>
    <n v="30694.750000000004"/>
    <n v="0.96"/>
    <n v="0"/>
    <n v="0"/>
    <n v="0"/>
    <n v="0"/>
    <n v="0"/>
    <n v="0"/>
    <n v="30695.670000000002"/>
    <n v="30695.370000000003"/>
    <n v="0"/>
    <n v="0.96"/>
    <n v="30695.370000000003"/>
    <m/>
    <n v="30695.370000000003"/>
    <m/>
    <n v="0.32"/>
    <n v="-0.45"/>
    <n v="0.43"/>
    <n v="0"/>
    <n v="0"/>
    <n v="0"/>
    <n v="0"/>
    <n v="0"/>
    <n v="0"/>
    <n v="0"/>
    <n v="0"/>
    <n v="0"/>
    <n v="0.3"/>
    <n v="0.32"/>
    <n v="-0.45"/>
    <n v="0.43"/>
    <n v="0"/>
    <n v="0"/>
    <n v="0"/>
    <n v="0"/>
    <n v="0"/>
    <n v="0"/>
    <n v="0"/>
    <n v="0"/>
    <n v="0"/>
    <n v="0.3"/>
  </r>
  <r>
    <s v="L-ERP-340"/>
    <x v="267"/>
    <s v="Maguire, Karla_SOFTWARE_MISC001"/>
    <s v="ERP"/>
    <s v="Patel, Apurva"/>
    <s v="Dougherty, Chris"/>
    <s v="Dougherty, Chris"/>
    <s v="Dougherty, Chris"/>
    <s v="Maguire, Karla"/>
    <s v="Maguire, Karla"/>
    <x v="9"/>
    <s v="Miscellaneous Charges"/>
    <m/>
    <m/>
    <x v="54"/>
    <m/>
    <m/>
    <m/>
    <x v="0"/>
    <s v="KP- Could you confirm who this line was transferred to?"/>
    <m/>
    <n v="0"/>
    <n v="-1868.9199999999998"/>
    <m/>
    <m/>
    <n v="0.19"/>
    <n v="-0.3"/>
    <n v="-1868.81"/>
    <n v="0"/>
    <n v="0"/>
    <n v="11.07"/>
    <n v="0"/>
    <n v="0"/>
    <n v="0"/>
    <n v="0"/>
    <n v="0"/>
    <n v="0"/>
    <n v="-1857.85"/>
    <n v="11.069999999999936"/>
    <n v="0"/>
    <n v="11.07"/>
    <n v="11.069999999999936"/>
    <m/>
    <n v="11.069999999999936"/>
    <m/>
    <n v="0.19"/>
    <n v="-0.3"/>
    <n v="-1868.81"/>
    <n v="0"/>
    <n v="0"/>
    <n v="0"/>
    <n v="0"/>
    <n v="0"/>
    <n v="0"/>
    <n v="0"/>
    <n v="0"/>
    <n v="0"/>
    <n v="-1868.9199999999998"/>
    <n v="0.19"/>
    <n v="-0.3"/>
    <n v="-1868.81"/>
    <n v="0"/>
    <n v="0"/>
    <n v="0"/>
    <n v="0"/>
    <n v="0"/>
    <n v="0"/>
    <n v="0"/>
    <n v="0"/>
    <n v="0"/>
    <n v="-1868.9199999999998"/>
  </r>
  <r>
    <s v="L-ERP-377"/>
    <x v="267"/>
    <s v="McCormick, Pete_SOFTWARE_MISC001"/>
    <s v="ERP"/>
    <s v="Patel, Apurva"/>
    <s v="Dougherty, Chris"/>
    <s v="McCormick, Pete"/>
    <s v="Dougherty, Chris"/>
    <s v="McCormick, Pete"/>
    <s v="Maguire, Karla"/>
    <x v="9"/>
    <s v="Miscellaneous Charges"/>
    <m/>
    <m/>
    <x v="54"/>
    <m/>
    <m/>
    <m/>
    <x v="0"/>
    <m/>
    <m/>
    <n v="0"/>
    <n v="-0.26"/>
    <m/>
    <m/>
    <n v="-0.15"/>
    <n v="0.31"/>
    <n v="-0.42"/>
    <n v="-8.9999999999918145E-2"/>
    <n v="0.44"/>
    <n v="-0.49"/>
    <n v="0"/>
    <n v="0"/>
    <n v="0"/>
    <n v="0"/>
    <n v="0"/>
    <n v="0"/>
    <n v="-0.39999999999991814"/>
    <n v="-0.13999999999991813"/>
    <n v="0"/>
    <n v="-0.49"/>
    <n v="-0.13999999999991813"/>
    <m/>
    <n v="-0.13999999999991813"/>
    <m/>
    <n v="-0.15"/>
    <n v="0.31"/>
    <n v="-0.42"/>
    <n v="0"/>
    <n v="0"/>
    <n v="0"/>
    <n v="0"/>
    <n v="0"/>
    <n v="0"/>
    <n v="0"/>
    <n v="0"/>
    <n v="0"/>
    <n v="-0.26"/>
    <n v="-0.15"/>
    <n v="0.31"/>
    <n v="-0.42"/>
    <n v="0"/>
    <n v="0"/>
    <n v="0"/>
    <n v="0"/>
    <n v="0"/>
    <n v="0"/>
    <n v="0"/>
    <n v="0"/>
    <n v="0"/>
    <n v="-0.26"/>
  </r>
  <r>
    <s v="L-ERP-252"/>
    <x v="268"/>
    <s v="Jajodia, Amit_COMPENSATION_CompBenefits001"/>
    <s v="ERP"/>
    <s v="Patel, Apurva"/>
    <s v="Jajodia, Amit"/>
    <s v="Jajodia, Amit"/>
    <s v="Hase, Raj"/>
    <s v="Jajodia, Amit"/>
    <s v="DeHart, Lynn"/>
    <x v="2"/>
    <s v="Benefits"/>
    <m/>
    <m/>
    <x v="3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989.38"/>
    <n v="2792.24"/>
    <n v="4195.3599999999997"/>
    <n v="0"/>
    <n v="0"/>
    <n v="0"/>
    <n v="0"/>
    <n v="0"/>
    <n v="0"/>
    <n v="0"/>
    <n v="0"/>
    <n v="0"/>
    <n v="8976.98"/>
  </r>
  <r>
    <s v="L-ERP-253"/>
    <x v="269"/>
    <s v="Jajodia, Amit_COMPENSATION_CompBonus001"/>
    <s v="ERP"/>
    <s v="Patel, Apurva"/>
    <s v="Jajodia, Amit"/>
    <s v="Jajodia, Amit"/>
    <s v="Hase, Raj"/>
    <s v="Jajodia, Amit"/>
    <s v="DeHart, Lynn"/>
    <x v="2"/>
    <s v="Bonus"/>
    <m/>
    <m/>
    <x v="4"/>
    <s v="CHW - Ok"/>
    <s v="N/A"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51.11"/>
    <n v="1336.03"/>
    <n v="1800.7"/>
    <n v="0"/>
    <n v="0"/>
    <n v="0"/>
    <n v="0"/>
    <n v="0"/>
    <n v="0"/>
    <n v="0"/>
    <n v="0"/>
    <n v="0"/>
    <n v="5787.84"/>
  </r>
  <r>
    <s v="L-ERP-254"/>
    <x v="270"/>
    <s v="Jajodia, Amit_COMPENSATION_CompSalary001"/>
    <s v="ERP"/>
    <s v="Patel, Apurva"/>
    <s v="Jajodia, Amit"/>
    <s v="Jajodia, Amit"/>
    <s v="Hase, Raj"/>
    <s v="Jajodia, Amit"/>
    <s v="DeHart, Lynn"/>
    <x v="2"/>
    <s v="Salary"/>
    <m/>
    <m/>
    <x v="55"/>
    <s v="CHW - Ok"/>
    <s v="N/A"/>
    <m/>
    <x v="0"/>
    <m/>
    <m/>
    <n v="0"/>
    <n v="0"/>
    <m/>
    <m/>
    <m/>
    <m/>
    <m/>
    <m/>
    <m/>
    <n v="14481.86"/>
    <n v="0"/>
    <n v="0"/>
    <n v="0"/>
    <n v="0"/>
    <n v="0"/>
    <n v="0"/>
    <n v="14481.86"/>
    <n v="14481.86"/>
    <n v="0"/>
    <n v="14481.86"/>
    <n v="14481.86"/>
    <m/>
    <n v="14481.86"/>
    <m/>
    <m/>
    <m/>
    <m/>
    <n v="0"/>
    <n v="0"/>
    <n v="0"/>
    <n v="0"/>
    <n v="0"/>
    <n v="0"/>
    <n v="0"/>
    <n v="0"/>
    <n v="0"/>
    <n v="0"/>
    <n v="9779.9"/>
    <n v="9779.8799999999992"/>
    <n v="9779.8799999999992"/>
    <n v="0"/>
    <n v="0"/>
    <n v="0"/>
    <n v="0"/>
    <n v="0"/>
    <n v="0"/>
    <n v="0"/>
    <n v="0"/>
    <n v="0"/>
    <n v="29339.659999999996"/>
  </r>
  <r>
    <s v="L-ERP-448"/>
    <x v="267"/>
    <s v="Meadows, Leslie_SOFTWARE_MISC001"/>
    <s v="ERP"/>
    <s v="Patel, Apurva"/>
    <s v="Dougherty, Chris"/>
    <s v="Meadows, Leslie"/>
    <s v="Dougherty, Chris"/>
    <s v="Meadows, Leslie"/>
    <s v="Maguire, Karla"/>
    <x v="9"/>
    <s v="Miscellaneous Charges"/>
    <m/>
    <m/>
    <x v="54"/>
    <m/>
    <m/>
    <m/>
    <x v="0"/>
    <m/>
    <m/>
    <n v="0"/>
    <n v="0.26"/>
    <m/>
    <m/>
    <m/>
    <m/>
    <n v="0.26"/>
    <n v="0"/>
    <n v="0"/>
    <n v="0"/>
    <n v="0"/>
    <n v="0"/>
    <n v="0"/>
    <n v="0"/>
    <n v="0"/>
    <n v="0"/>
    <n v="0.26"/>
    <n v="0"/>
    <n v="0"/>
    <n v="0"/>
    <n v="0"/>
    <m/>
    <n v="0"/>
    <m/>
    <m/>
    <m/>
    <n v="0.26"/>
    <n v="0"/>
    <n v="0"/>
    <n v="0"/>
    <n v="0"/>
    <n v="0"/>
    <n v="0"/>
    <n v="0"/>
    <n v="0"/>
    <n v="0"/>
    <n v="0.26"/>
    <m/>
    <m/>
    <n v="0.26"/>
    <n v="0"/>
    <n v="0"/>
    <n v="0"/>
    <n v="0"/>
    <n v="0"/>
    <n v="0"/>
    <n v="0"/>
    <n v="0"/>
    <n v="0"/>
    <n v="0.26"/>
  </r>
  <r>
    <s v="L-ERP-476"/>
    <x v="267"/>
    <s v="Patel, Nikunj Rohitkumar_SOFTWARE_MISC001"/>
    <s v="ERP"/>
    <s v="Patel, Apurva"/>
    <s v="Dougherty, Chris"/>
    <s v="Patel, Nikunj Rohitkumar"/>
    <s v="Dougherty, Chris"/>
    <s v="Patel, Nikunj Rohitkumar"/>
    <s v="Maguire, Karla"/>
    <x v="9"/>
    <s v="Miscellaneous Charges"/>
    <m/>
    <m/>
    <x v="54"/>
    <m/>
    <m/>
    <m/>
    <x v="0"/>
    <m/>
    <m/>
    <n v="0"/>
    <n v="0.13"/>
    <m/>
    <m/>
    <m/>
    <m/>
    <n v="0.13"/>
    <n v="0"/>
    <n v="0"/>
    <n v="0.13"/>
    <n v="0"/>
    <n v="0"/>
    <n v="0"/>
    <n v="0"/>
    <n v="0"/>
    <n v="0"/>
    <n v="0.26"/>
    <n v="0.13"/>
    <n v="0"/>
    <n v="0.13"/>
    <n v="0.13"/>
    <m/>
    <n v="0.13"/>
    <m/>
    <m/>
    <m/>
    <n v="0.13"/>
    <n v="0"/>
    <n v="0"/>
    <n v="0"/>
    <n v="0"/>
    <n v="0"/>
    <n v="0"/>
    <n v="0"/>
    <n v="0"/>
    <n v="0"/>
    <n v="0.13"/>
    <m/>
    <m/>
    <n v="0.13"/>
    <n v="0"/>
    <n v="0"/>
    <n v="0"/>
    <n v="0"/>
    <n v="0"/>
    <n v="0"/>
    <n v="0"/>
    <n v="0"/>
    <n v="0"/>
    <n v="0.13"/>
  </r>
  <r>
    <s v="L-ERP-550"/>
    <x v="267"/>
    <s v="Tamavada, Ram_SOFTWARE_MISC001"/>
    <s v="ERP"/>
    <s v="Patel, Apurva"/>
    <s v="Dougherty, Chris"/>
    <s v="Tamavada, Ram"/>
    <s v="Dougherty, Chris"/>
    <s v="Tamavada, Ram"/>
    <s v="Maguire, Karla"/>
    <x v="9"/>
    <s v="Miscellaneous Charges"/>
    <m/>
    <m/>
    <x v="54"/>
    <m/>
    <m/>
    <m/>
    <x v="0"/>
    <s v="KP - May i please get more details on this actual? Can't find it in the actuals file."/>
    <m/>
    <n v="0"/>
    <n v="0.19999999999999996"/>
    <m/>
    <m/>
    <n v="-0.34"/>
    <n v="-0.09"/>
    <n v="0.63"/>
    <n v="-0.98"/>
    <n v="0.75"/>
    <n v="0"/>
    <n v="0"/>
    <n v="0"/>
    <n v="0"/>
    <n v="0"/>
    <n v="0"/>
    <n v="0"/>
    <n v="-3.0000000000000027E-2"/>
    <n v="-0.22999999999999998"/>
    <n v="0"/>
    <n v="0"/>
    <n v="-0.22999999999999998"/>
    <m/>
    <n v="-0.22999999999999998"/>
    <m/>
    <n v="-0.34"/>
    <n v="-0.09"/>
    <n v="0.63"/>
    <n v="0"/>
    <n v="0"/>
    <n v="0"/>
    <n v="0"/>
    <n v="0"/>
    <n v="0"/>
    <n v="0"/>
    <n v="0"/>
    <n v="0"/>
    <n v="0.19999999999999996"/>
    <n v="-0.34"/>
    <n v="-0.09"/>
    <n v="0.63"/>
    <n v="0"/>
    <n v="0"/>
    <n v="0"/>
    <n v="0"/>
    <n v="0"/>
    <n v="0"/>
    <n v="0"/>
    <n v="0"/>
    <n v="0"/>
    <n v="0.19999999999999996"/>
  </r>
  <r>
    <s v="N-ERP-557"/>
    <x v="271"/>
    <s v="Ganesan, Srinivasan_CONTRACTORS_2026-XFR-0023-A"/>
    <s v="ERP"/>
    <s v="Patel, Apurva"/>
    <s v="Ganesan, Srinivasan"/>
    <s v="Ganesan, Srinivasan"/>
    <s v="Hase, Raj"/>
    <s v="Ganesan, Srinivasan"/>
    <s v="DeHart, Lynn"/>
    <x v="0"/>
    <s v="GSC AMER - Last Mile Strategy - Delivery Milestones &amp; Dashboards - 50% One offshore contractor; New Global Capability. Only 0.5FTE requested for support. Eventually, will be transferred to BTAMS"/>
    <m/>
    <m/>
    <x v="226"/>
    <m/>
    <m/>
    <m/>
    <x v="12"/>
    <s v="4/28/26 CHW New add to tie-out 0223 to 0317 Planful Extracts"/>
    <m/>
    <n v="70000.000000000015"/>
    <n v="0"/>
    <m/>
    <m/>
    <m/>
    <m/>
    <m/>
    <s v=""/>
    <n v="0"/>
    <n v="0"/>
    <n v="0"/>
    <n v="0"/>
    <n v="0"/>
    <n v="0"/>
    <n v="0"/>
    <n v="0"/>
    <n v="0"/>
    <n v="0"/>
    <n v="270798"/>
    <n v="-270798"/>
    <n v="0"/>
    <n v="70000"/>
    <n v="-7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s v="N-ERP-558"/>
    <x v="272"/>
    <s v="Ganesan, Srinivasan_CONTRACTORS_2026-XFR-0024-A"/>
    <s v="ERP"/>
    <s v="Patel, Apurva"/>
    <s v="Ganesan, Srinivasan"/>
    <s v="Ganesan, Srinivasan"/>
    <s v="Hase, Raj"/>
    <s v="Ganesan, Srinivasan"/>
    <s v="DeHart, Lynn"/>
    <x v="0"/>
    <s v="GSC AMER: MIRT Replacement - Phase II and deploy to other markets - 1 Offshore contractor. New capability for Late repackaging. This is a solution resource."/>
    <m/>
    <m/>
    <x v="227"/>
    <m/>
    <m/>
    <m/>
    <x v="12"/>
    <s v="4/28/26 CHW New add to tie-out 0223 to 0317 Planful Extracts 2/20 Updated per RG - able to leverate existing contractors"/>
    <m/>
    <n v="120000"/>
    <n v="0"/>
    <m/>
    <m/>
    <m/>
    <m/>
    <m/>
    <s v=""/>
    <n v="0"/>
    <n v="0"/>
    <n v="0"/>
    <n v="0"/>
    <n v="0"/>
    <n v="0"/>
    <n v="0"/>
    <n v="0"/>
    <n v="0"/>
    <n v="0"/>
    <n v="8695"/>
    <n v="-8695"/>
    <n v="0"/>
    <n v="120000"/>
    <n v="-120000"/>
    <s v="XFRs not needed in 2026"/>
    <m/>
    <m/>
    <m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"/>
    <n v="10000"/>
    <n v="120000"/>
  </r>
  <r>
    <s v="N-ERP-559"/>
    <x v="273"/>
    <s v="Ganesan, Srinivasan_CONTRACTORS_2026-XFR-0043-A"/>
    <s v="ERP"/>
    <s v="Patel, Apurva"/>
    <s v="Ganesan, Srinivasan"/>
    <s v="Ganesan, Srinivasan"/>
    <s v="Hase, Raj"/>
    <s v="Ganesan, Srinivasan"/>
    <s v="DeHart, Lynn"/>
    <x v="0"/>
    <s v="GSC GLNS ALC Redressing - 50% One offshore contractor; New Global Capability. Only 0.5FTE requested for support. Eventually, will be transferred to BTAMS"/>
    <m/>
    <m/>
    <x v="228"/>
    <m/>
    <m/>
    <m/>
    <x v="12"/>
    <s v="4/28/26 CHW New add to tie-out 0223 to 0317 Planful Extracts"/>
    <m/>
    <n v="70000.000000000015"/>
    <n v="0"/>
    <m/>
    <m/>
    <m/>
    <m/>
    <m/>
    <s v=""/>
    <n v="0"/>
    <n v="0"/>
    <n v="0"/>
    <n v="0"/>
    <n v="0"/>
    <n v="0"/>
    <n v="0"/>
    <n v="0"/>
    <n v="0"/>
    <n v="0"/>
    <n v="1014"/>
    <n v="-1014"/>
    <n v="0"/>
    <n v="70000"/>
    <n v="-70000"/>
    <s v="XFRs not needed in 2026"/>
    <m/>
    <m/>
    <m/>
    <n v="0"/>
    <n v="0"/>
    <n v="0"/>
    <n v="0"/>
    <n v="0"/>
    <n v="0"/>
    <n v="0"/>
    <n v="0"/>
    <n v="0"/>
    <n v="0"/>
    <n v="5833.37"/>
    <n v="5833.33"/>
    <n v="5833.33"/>
    <n v="5833.33"/>
    <n v="5833.33"/>
    <n v="5833.33"/>
    <n v="5833.33"/>
    <n v="5833.33"/>
    <n v="5833.33"/>
    <n v="5833.33"/>
    <n v="5833.33"/>
    <n v="5833.33"/>
    <n v="70000.000000000015"/>
  </r>
  <r>
    <s v="N-ERP-560"/>
    <x v="274"/>
    <s v="Ganesan, Srinivasan_CONTRACTORS_2026-XFR-0051-A"/>
    <s v="ERP"/>
    <s v="Patel, Apurva"/>
    <s v="Ganesan, Srinivasan"/>
    <s v="Ganesan, Srinivasan"/>
    <s v="Hase, Raj"/>
    <s v="Ganesan, Srinivasan"/>
    <s v="DeHart, Lynn"/>
    <x v="0"/>
    <s v="GSC Comirnaty Launch 2025 - One offshore contractor to support new capabilities are built as part of this initiative, including new interfaces and Fiori Apps and dashboards"/>
    <m/>
    <m/>
    <x v="229"/>
    <m/>
    <m/>
    <m/>
    <x v="12"/>
    <s v="4/28/26 CHW New add to tie-out 0223 to 0317 Planful Extracts"/>
    <m/>
    <n v="140000"/>
    <n v="0"/>
    <m/>
    <m/>
    <m/>
    <m/>
    <m/>
    <s v=""/>
    <n v="0"/>
    <n v="0"/>
    <n v="0"/>
    <n v="0"/>
    <n v="0"/>
    <n v="0"/>
    <n v="0"/>
    <n v="0"/>
    <n v="0"/>
    <n v="0"/>
    <n v="2213.166667"/>
    <n v="-2213.166667"/>
    <n v="0"/>
    <n v="140000"/>
    <n v="-140000"/>
    <s v="XFRs not needed in 2026"/>
    <m/>
    <m/>
    <m/>
    <n v="0"/>
    <n v="0"/>
    <n v="0"/>
    <n v="0"/>
    <n v="0"/>
    <n v="0"/>
    <n v="0"/>
    <n v="0"/>
    <n v="0"/>
    <n v="0"/>
    <n v="11666.63"/>
    <n v="11666.67"/>
    <n v="11666.67"/>
    <n v="11666.67"/>
    <n v="11666.67"/>
    <n v="11666.67"/>
    <n v="11666.67"/>
    <n v="11666.67"/>
    <n v="11666.67"/>
    <n v="11666.67"/>
    <n v="11666.67"/>
    <n v="11666.67"/>
    <n v="140000"/>
  </r>
  <r>
    <s v="L-ERP-154"/>
    <x v="275"/>
    <s v="Ganesan, Srinivasan_CONTRACTORS_EnhanceChargeout001"/>
    <s v="ERP"/>
    <s v="Patel, Apurva"/>
    <s v="Ganesan, Srinivasan"/>
    <s v="Ganesan, Srinivasan"/>
    <s v="Hase, Raj"/>
    <s v="Ganesan, Srinivasan"/>
    <s v="DeHart, Lynn"/>
    <x v="0"/>
    <s v="Enhance Chargeout Cost Centers"/>
    <m/>
    <m/>
    <x v="1"/>
    <s v="CHW - F/U"/>
    <m/>
    <m/>
    <x v="0"/>
    <s v="4/30 - CHW Team to F/U as thinks these should be reclassed elsewhere in AP05"/>
    <m/>
    <n v="0"/>
    <n v="130143"/>
    <m/>
    <m/>
    <n v="91657"/>
    <n v="-50311"/>
    <n v="88797"/>
    <n v="142812"/>
    <n v="-181452"/>
    <n v="124380"/>
    <n v="0"/>
    <n v="0"/>
    <n v="0"/>
    <n v="0"/>
    <n v="0"/>
    <n v="38640"/>
    <n v="254523"/>
    <n v="124380"/>
    <n v="0"/>
    <n v="124380"/>
    <n v="85740"/>
    <m/>
    <n v="124380"/>
    <s v="Needs to be investigated. "/>
    <n v="91657"/>
    <n v="-50311"/>
    <n v="88797"/>
    <n v="0"/>
    <n v="0"/>
    <n v="0"/>
    <n v="0"/>
    <n v="0"/>
    <n v="0"/>
    <n v="0"/>
    <n v="0"/>
    <n v="0"/>
    <n v="130143"/>
    <n v="91657"/>
    <n v="-50311"/>
    <n v="88797"/>
    <n v="0"/>
    <n v="0"/>
    <n v="0"/>
    <n v="0"/>
    <n v="0"/>
    <n v="0"/>
    <n v="0"/>
    <n v="0"/>
    <n v="0"/>
    <n v="130143"/>
  </r>
  <r>
    <s v="L-ERP-141"/>
    <x v="276"/>
    <s v="Ganesan, Srinivasan_CONTRACTORS_IT-CTR0040-OG-US-00"/>
    <s v="ERP"/>
    <s v="Patel, Apurva"/>
    <s v="Ganesan, Srinivasan"/>
    <s v="Ganesan, Srinivasan"/>
    <s v="Hase, Raj"/>
    <s v="Ganesan, Srinivasan"/>
    <s v="DeHart, Lynn"/>
    <x v="0"/>
    <s v="GLNS IERP Budget Tool ABAP_XFR0948"/>
    <m/>
    <s v="2320521"/>
    <x v="230"/>
    <m/>
    <s v="9501226983"/>
    <m/>
    <x v="0"/>
    <m/>
    <m/>
    <n v="0"/>
    <n v="0.1499999999996362"/>
    <m/>
    <m/>
    <m/>
    <n v="-16768"/>
    <n v="12756.15"/>
    <n v="6266.17"/>
    <n v="6266.17"/>
    <n v="7832.72"/>
    <n v="-8520"/>
    <n v="0"/>
    <n v="0"/>
    <n v="0"/>
    <n v="0"/>
    <n v="0"/>
    <n v="7833.2099999999991"/>
    <n v="7833.0599999999995"/>
    <n v="4012"/>
    <n v="3820.7200000000003"/>
    <n v="16353.06"/>
    <m/>
    <n v="7833.0599999999995"/>
    <s v="IERP Support costs. Incorrectly transferred to Karla's cost center. This should have been transferred to Jerome. "/>
    <m/>
    <n v="-16768"/>
    <n v="12756.15"/>
    <n v="0"/>
    <n v="4012"/>
    <n v="0"/>
    <n v="0"/>
    <n v="0"/>
    <n v="0"/>
    <n v="0"/>
    <n v="0"/>
    <n v="0"/>
    <n v="0.1499999999996362"/>
    <m/>
    <n v="-16768"/>
    <n v="12756.15"/>
    <n v="0"/>
    <n v="0"/>
    <n v="0"/>
    <n v="0"/>
    <n v="0"/>
    <n v="0"/>
    <n v="0"/>
    <n v="0"/>
    <n v="0"/>
    <n v="-4011.8500000000004"/>
  </r>
  <r>
    <s v="L-ERP-142"/>
    <x v="277"/>
    <s v="Ganesan, Srinivasan_CONTRACTORS_IT-CTR0045-OG-US-00"/>
    <s v="ERP"/>
    <s v="Patel, Apurva"/>
    <s v="Ganesan, Srinivasan"/>
    <s v="Ganesan, Srinivasan"/>
    <s v="Hase, Raj"/>
    <s v="Ganesan, Srinivasan"/>
    <s v="DeHart, Lynn"/>
    <x v="0"/>
    <s v="Planning Pfizer Connect Specialist Support_XFR0670 &amp; XFR0955"/>
    <m/>
    <m/>
    <x v="231"/>
    <s v="CHW - Ok"/>
    <m/>
    <m/>
    <x v="0"/>
    <m/>
    <m/>
    <n v="0"/>
    <n v="3558.41"/>
    <m/>
    <m/>
    <n v="3558.41"/>
    <n v="0"/>
    <n v="0"/>
    <n v="0"/>
    <n v="0"/>
    <n v="0"/>
    <n v="0"/>
    <n v="0"/>
    <n v="0"/>
    <n v="0"/>
    <n v="0"/>
    <n v="0"/>
    <n v="3558.41"/>
    <n v="0"/>
    <n v="0"/>
    <n v="0"/>
    <n v="0"/>
    <m/>
    <n v="0"/>
    <s v="Don't know what this is. - This is Glenn White's PO 9500912136"/>
    <n v="3558.41"/>
    <n v="0"/>
    <n v="0"/>
    <n v="0"/>
    <n v="0"/>
    <n v="0"/>
    <n v="0"/>
    <n v="0"/>
    <n v="0"/>
    <n v="0"/>
    <n v="0"/>
    <n v="0"/>
    <n v="3558.41"/>
    <n v="3558.41"/>
    <n v="0"/>
    <n v="0"/>
    <n v="0"/>
    <n v="0"/>
    <n v="0"/>
    <n v="0"/>
    <n v="0"/>
    <n v="0"/>
    <n v="0"/>
    <n v="0"/>
    <n v="0"/>
    <n v="3558.41"/>
  </r>
  <r>
    <s v="L-ERP-123"/>
    <x v="278"/>
    <s v="Ganesan, Srinivasan_CONTRACTORS_IT-CTR0049-OG-US-00"/>
    <s v="ERP"/>
    <s v="Patel, Apurva"/>
    <s v="Ganesan, Srinivasan"/>
    <s v="Ganesan, Srinivasan"/>
    <s v="Hase, Raj"/>
    <s v="Ganesan, Srinivasan"/>
    <s v="DeHart, Lynn"/>
    <x v="0"/>
    <s v="GLNS Ingestion of IOT to UDH-CDM_XFR0962"/>
    <m/>
    <m/>
    <x v="232"/>
    <s v="9501015433"/>
    <m/>
    <m/>
    <x v="12"/>
    <m/>
    <m/>
    <n v="50000"/>
    <n v="50000"/>
    <m/>
    <m/>
    <m/>
    <m/>
    <m/>
    <s v=""/>
    <n v="0"/>
    <n v="0"/>
    <n v="8520"/>
    <n v="10000"/>
    <n v="10000"/>
    <n v="10000"/>
    <n v="11480"/>
    <n v="0"/>
    <n v="50000"/>
    <n v="0"/>
    <n v="11100"/>
    <n v="-11100"/>
    <n v="-22500"/>
    <m/>
    <n v="0"/>
    <m/>
    <m/>
    <m/>
    <m/>
    <n v="0"/>
    <n v="11100"/>
    <n v="11400"/>
    <n v="0"/>
    <n v="0"/>
    <n v="9000"/>
    <n v="9000"/>
    <n v="9500"/>
    <n v="0"/>
    <n v="50000"/>
    <m/>
    <m/>
    <m/>
    <m/>
    <m/>
    <m/>
    <n v="10000"/>
    <n v="10000"/>
    <n v="10000"/>
    <n v="10000"/>
    <n v="10000"/>
    <n v="0"/>
    <n v="50000"/>
  </r>
  <r>
    <s v="L-ERP-143"/>
    <x v="279"/>
    <s v="Ganesan, Srinivasan_CONTRACTORS_IT-CTR0075-OG-MX-00"/>
    <s v="ERP"/>
    <s v="Patel, Apurva"/>
    <s v="Ganesan, Srinivasan"/>
    <s v="Ganesan, Srinivasan"/>
    <s v="Hase, Raj"/>
    <s v="Ganesan, Srinivasan"/>
    <s v="DeHart, Lynn"/>
    <x v="0"/>
    <s v="Logistics Cyclical Counting Calendar Mexico"/>
    <m/>
    <m/>
    <x v="233"/>
    <m/>
    <m/>
    <m/>
    <x v="0"/>
    <m/>
    <m/>
    <n v="6000"/>
    <n v="6000"/>
    <m/>
    <m/>
    <m/>
    <m/>
    <m/>
    <s v=""/>
    <n v="0"/>
    <n v="0"/>
    <m/>
    <m/>
    <n v="6000"/>
    <n v="0"/>
    <n v="0"/>
    <n v="0"/>
    <n v="6000"/>
    <n v="0"/>
    <m/>
    <n v="0"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s v="L-ERP-144"/>
    <x v="280"/>
    <s v="Ganesan, Srinivasan_CONTRACTORS_IT-CTR0076-OG-MX-00"/>
    <s v="ERP"/>
    <s v="Patel, Apurva"/>
    <s v="Ganesan, Srinivasan"/>
    <s v="Ganesan, Srinivasan"/>
    <s v="Hase, Raj"/>
    <s v="Ganesan, Srinivasan"/>
    <s v="DeHart, Lynn"/>
    <x v="0"/>
    <s v="Logistics Financial Reserve in Mexico"/>
    <m/>
    <m/>
    <x v="234"/>
    <m/>
    <m/>
    <m/>
    <x v="0"/>
    <m/>
    <m/>
    <n v="6000"/>
    <n v="6000"/>
    <m/>
    <m/>
    <m/>
    <m/>
    <m/>
    <s v=""/>
    <n v="0"/>
    <n v="0"/>
    <m/>
    <m/>
    <n v="6000"/>
    <n v="0"/>
    <n v="0"/>
    <n v="0"/>
    <n v="6000"/>
    <n v="0"/>
    <m/>
    <n v="0"/>
    <n v="0"/>
    <m/>
    <n v="0"/>
    <m/>
    <m/>
    <m/>
    <m/>
    <m/>
    <m/>
    <m/>
    <m/>
    <m/>
    <n v="6000"/>
    <n v="0"/>
    <n v="0"/>
    <n v="0"/>
    <n v="6000"/>
    <m/>
    <m/>
    <m/>
    <m/>
    <m/>
    <m/>
    <m/>
    <m/>
    <n v="6000"/>
    <n v="0"/>
    <n v="0"/>
    <n v="0"/>
    <n v="6000"/>
  </r>
  <r>
    <s v="L-ERP-145"/>
    <x v="281"/>
    <s v="Ganesan, Srinivasan_CONTRACTORS_IT-CTR0077-OG-MX-00"/>
    <s v="ERP"/>
    <s v="Patel, Apurva"/>
    <s v="Ganesan, Srinivasan"/>
    <s v="Ganesan, Srinivasan"/>
    <s v="Hase, Raj"/>
    <s v="Ganesan, Srinivasan"/>
    <s v="DeHart, Lynn"/>
    <x v="0"/>
    <s v="Logistics LATAM Support"/>
    <m/>
    <m/>
    <x v="235"/>
    <m/>
    <m/>
    <m/>
    <x v="0"/>
    <m/>
    <m/>
    <n v="45000"/>
    <n v="45000"/>
    <m/>
    <m/>
    <m/>
    <m/>
    <m/>
    <s v=""/>
    <n v="0"/>
    <n v="0"/>
    <m/>
    <m/>
    <n v="45000"/>
    <n v="0"/>
    <n v="0"/>
    <n v="0"/>
    <n v="45000"/>
    <n v="0"/>
    <m/>
    <n v="0"/>
    <n v="0"/>
    <m/>
    <n v="0"/>
    <m/>
    <m/>
    <m/>
    <m/>
    <m/>
    <m/>
    <m/>
    <m/>
    <m/>
    <n v="45000"/>
    <n v="0"/>
    <n v="0"/>
    <n v="0"/>
    <n v="45000"/>
    <m/>
    <m/>
    <m/>
    <m/>
    <m/>
    <m/>
    <m/>
    <m/>
    <n v="45000"/>
    <n v="0"/>
    <n v="0"/>
    <n v="0"/>
    <n v="45000"/>
  </r>
  <r>
    <s v="L-ERP-146"/>
    <x v="282"/>
    <s v="Ganesan, Srinivasan_CONTRACTORS_IT-CTR0149-OG-US-00"/>
    <s v="ERP"/>
    <s v="Patel, Apurva"/>
    <s v="Ganesan, Srinivasan"/>
    <s v="Ganesan, Srinivasan"/>
    <s v="Hase, Raj"/>
    <s v="Ganesan, Srinivasan"/>
    <s v="DeHart, Lynn"/>
    <x v="0"/>
    <s v="GLNS - E2E Functional Support"/>
    <m/>
    <s v="2320521"/>
    <x v="236"/>
    <m/>
    <s v="9501178401"/>
    <m/>
    <x v="0"/>
    <m/>
    <m/>
    <n v="515000"/>
    <n v="335362.38"/>
    <m/>
    <m/>
    <m/>
    <n v="66916.990000000005"/>
    <n v="75010.39"/>
    <n v="45158.709999999992"/>
    <n v="45158.710000000006"/>
    <n v="56448.39"/>
    <n v="25000"/>
    <n v="22236"/>
    <n v="0"/>
    <n v="0"/>
    <n v="0"/>
    <n v="0"/>
    <n v="335929.19"/>
    <n v="566.80999999999767"/>
    <n v="40792"/>
    <n v="15656.39"/>
    <n v="22330.809999999998"/>
    <n v="180000"/>
    <n v="-179433.19"/>
    <s v="Combination of XFR 0027A, 0038A, 0039A, 0042A.  Reduced to $335K"/>
    <m/>
    <n v="66916.990000000005"/>
    <n v="75010.39"/>
    <n v="40062"/>
    <n v="40792"/>
    <n v="43581"/>
    <n v="35000"/>
    <n v="34000"/>
    <n v="0"/>
    <n v="0"/>
    <n v="0"/>
    <n v="0"/>
    <n v="335362.38"/>
    <m/>
    <n v="66916.990000000005"/>
    <n v="75010.39"/>
    <n v="48286"/>
    <n v="48386"/>
    <n v="48286"/>
    <n v="38449"/>
    <n v="38449"/>
    <n v="44462"/>
    <n v="44462"/>
    <n v="44462"/>
    <n v="44462"/>
    <n v="541631.38"/>
  </r>
  <r>
    <s v="L-ERP-147"/>
    <x v="283"/>
    <s v="Ganesan, Srinivasan_CONTRACTORS_IT-CTR0153-OG-US-00"/>
    <s v="ERP"/>
    <s v="Patel, Apurva"/>
    <s v="Ganesan, Srinivasan"/>
    <s v="Ganesan, Srinivasan"/>
    <s v="Hase, Raj"/>
    <s v="Ganesan, Srinivasan"/>
    <s v="DeHart, Lynn"/>
    <x v="0"/>
    <s v="Global Supply Chain Market Logistics 2026 XFERs-0023,0043,0051"/>
    <m/>
    <m/>
    <x v="237"/>
    <m/>
    <m/>
    <m/>
    <x v="0"/>
    <m/>
    <m/>
    <n v="0"/>
    <n v="0"/>
    <m/>
    <m/>
    <m/>
    <m/>
    <m/>
    <s v=""/>
    <n v="0"/>
    <n v="0"/>
    <n v="0"/>
    <n v="0"/>
    <n v="0"/>
    <n v="0"/>
    <n v="0"/>
    <n v="0"/>
    <n v="0"/>
    <n v="0"/>
    <m/>
    <n v="0"/>
    <n v="0"/>
    <n v="280000"/>
    <n v="-280000"/>
    <s v="0043, 0051)"/>
    <m/>
    <m/>
    <m/>
    <m/>
    <m/>
    <m/>
    <n v="0"/>
    <n v="0"/>
    <n v="0"/>
    <n v="0"/>
    <n v="0"/>
    <n v="0"/>
    <n v="0"/>
    <m/>
    <m/>
    <m/>
    <m/>
    <m/>
    <m/>
    <n v="46666.666666999998"/>
    <n v="46666.666666999998"/>
    <n v="46666.666666999998"/>
    <n v="46666.666666999998"/>
    <n v="46666.666666999998"/>
    <n v="46666.666666999998"/>
    <n v="280000.00000199996"/>
  </r>
  <r>
    <s v="L-ERP-148"/>
    <x v="284"/>
    <s v="Ganesan, Srinivasan_CONTRACTORS_IT-FBT0544-OG-US-00"/>
    <s v="ERP"/>
    <s v="Patel, Apurva"/>
    <s v="Ganesan, Srinivasan"/>
    <s v="Ganesan, Srinivasan"/>
    <s v="Hase, Raj"/>
    <s v="Ganesan, Srinivasan"/>
    <s v="DeHart, Lynn"/>
    <x v="0"/>
    <s v="Market Logistics Functional Support"/>
    <s v="IBM Corp"/>
    <s v="2320521"/>
    <x v="238"/>
    <m/>
    <s v="9501181803"/>
    <m/>
    <x v="0"/>
    <m/>
    <m/>
    <n v="1452300"/>
    <n v="963567.79"/>
    <m/>
    <m/>
    <n v="48462.57"/>
    <n v="207334.66"/>
    <n v="98620.56"/>
    <n v="116861"/>
    <n v="28181.629999999976"/>
    <n v="293546.2"/>
    <n v="70000"/>
    <n v="70000"/>
    <n v="70000"/>
    <n v="70000"/>
    <n v="70000"/>
    <n v="54107"/>
    <n v="1197113.6200000001"/>
    <n v="233545.83000000007"/>
    <n v="132050"/>
    <n v="161496.20000000001"/>
    <n v="42438.830000000075"/>
    <n v="488000"/>
    <n v="-254454.16999999993"/>
    <s v="Reduce BAU contractors, Move contractors to offshore.Move contractors to Project funding."/>
    <n v="48462.57"/>
    <n v="207334.66"/>
    <n v="98620.56"/>
    <n v="132050"/>
    <n v="132050"/>
    <n v="132050"/>
    <n v="68000"/>
    <n v="29000"/>
    <n v="29000"/>
    <n v="29000"/>
    <n v="29000"/>
    <n v="29000"/>
    <n v="963567.79"/>
    <n v="48462.57"/>
    <n v="207334.66"/>
    <n v="98620.56"/>
    <n v="132050"/>
    <n v="132050"/>
    <n v="132050"/>
    <n v="108302.77"/>
    <n v="100000"/>
    <n v="100000"/>
    <n v="100000"/>
    <n v="100000"/>
    <n v="100000"/>
    <n v="1358870.56"/>
  </r>
  <r>
    <s v="L-ERP-149"/>
    <x v="285"/>
    <s v="Ganesan, Srinivasan_CONTRACTORS_IT-FBT0545-OG-US-00"/>
    <s v="ERP"/>
    <s v="Patel, Apurva"/>
    <s v="Ganesan, Srinivasan"/>
    <s v="Ganesan, Srinivasan"/>
    <s v="Hase, Raj"/>
    <s v="Ganesan, Srinivasan"/>
    <s v="DeHart, Lynn"/>
    <x v="0"/>
    <s v="GLNS Functional Support"/>
    <s v="IBM Corp"/>
    <s v="2320521"/>
    <x v="239"/>
    <m/>
    <s v="9501178403"/>
    <m/>
    <x v="0"/>
    <m/>
    <m/>
    <n v="486372.24000000005"/>
    <n v="426376.62"/>
    <m/>
    <m/>
    <n v="58570.53"/>
    <n v="65599.81"/>
    <n v="81999.28"/>
    <n v="65599.430000000008"/>
    <n v="65599.420000000013"/>
    <n v="66848.250000000015"/>
    <n v="11682"/>
    <n v="0"/>
    <n v="0"/>
    <n v="0"/>
    <n v="0"/>
    <n v="0"/>
    <n v="415898.72"/>
    <n v="-10477.900000000023"/>
    <n v="70019"/>
    <n v="-3170.7499999999854"/>
    <n v="-12009.900000000023"/>
    <n v="60000"/>
    <n v="-70477.900000000023"/>
    <s v="Leverage existing contractors."/>
    <n v="58570.53"/>
    <n v="65599.81"/>
    <n v="81999.28"/>
    <n v="70019"/>
    <n v="70019"/>
    <n v="70019"/>
    <n v="10150"/>
    <n v="0"/>
    <n v="0"/>
    <n v="0"/>
    <n v="0"/>
    <n v="0"/>
    <n v="426376.62"/>
    <n v="58570.53"/>
    <n v="65599.81"/>
    <n v="81999.28"/>
    <n v="69224"/>
    <n v="69224"/>
    <n v="69224"/>
    <n v="71025"/>
    <n v="15160"/>
    <n v="0"/>
    <n v="0"/>
    <n v="0"/>
    <n v="0"/>
    <n v="500026.62"/>
  </r>
  <r>
    <s v="L-ERP-138"/>
    <x v="286"/>
    <s v="Ganesan, Srinivasan_CONTRACTORS_IT-FBT0546-OG-US-00"/>
    <s v="ERP"/>
    <s v="Patel, Apurva"/>
    <s v="Ganesan, Srinivasan"/>
    <s v="Ganesan, Srinivasan"/>
    <s v="Hase, Raj"/>
    <s v="Ganesan, Srinivasan"/>
    <s v="DeHart, Lynn"/>
    <x v="0"/>
    <s v="MuleSoft - GLNS (Contractors)_XFR0786"/>
    <m/>
    <m/>
    <x v="240"/>
    <m/>
    <m/>
    <m/>
    <x v="8"/>
    <m/>
    <m/>
    <n v="50000"/>
    <n v="50000"/>
    <m/>
    <m/>
    <m/>
    <m/>
    <m/>
    <s v=""/>
    <n v="0"/>
    <n v="0"/>
    <m/>
    <n v="50000"/>
    <n v="0"/>
    <n v="0"/>
    <n v="0"/>
    <n v="0"/>
    <n v="50000"/>
    <n v="0"/>
    <m/>
    <n v="0"/>
    <n v="0"/>
    <m/>
    <n v="0"/>
    <m/>
    <m/>
    <m/>
    <m/>
    <m/>
    <m/>
    <m/>
    <m/>
    <n v="50000"/>
    <n v="0"/>
    <n v="0"/>
    <n v="0"/>
    <n v="0"/>
    <n v="50000"/>
    <m/>
    <m/>
    <m/>
    <m/>
    <m/>
    <m/>
    <m/>
    <n v="50000"/>
    <n v="0"/>
    <n v="0"/>
    <n v="0"/>
    <n v="0"/>
    <n v="50000"/>
  </r>
  <r>
    <s v="L-ERP-139"/>
    <x v="287"/>
    <s v="Ganesan, Srinivasan_CONTRACTORS_IT-FBT0657-OG-US-00"/>
    <s v="ERP"/>
    <s v="Patel, Apurva"/>
    <s v="Ganesan, Srinivasan"/>
    <s v="Ganesan, Srinivasan"/>
    <s v="Hase, Raj"/>
    <s v="Ganesan, Srinivasan"/>
    <s v="DeHart, Lynn"/>
    <x v="0"/>
    <s v="Mulesoft - Logistics (Contractors)"/>
    <m/>
    <m/>
    <x v="241"/>
    <m/>
    <m/>
    <m/>
    <x v="8"/>
    <m/>
    <m/>
    <n v="25000"/>
    <n v="25000"/>
    <m/>
    <m/>
    <m/>
    <m/>
    <m/>
    <s v=""/>
    <n v="0"/>
    <n v="0"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150"/>
    <x v="288"/>
    <s v="Ganesan, Srinivasan_CONTRACTORS_IT-FBT0661-OG-US-00"/>
    <s v="ERP"/>
    <s v="Patel, Apurva"/>
    <s v="Ganesan, Srinivasan"/>
    <s v="Ganesan, Srinivasan"/>
    <s v="Hase, Raj"/>
    <s v="Ganesan, Srinivasan"/>
    <s v="DeHart, Lynn"/>
    <x v="0"/>
    <s v="GLNS Process Optimization &amp; Compliance Contractor"/>
    <m/>
    <m/>
    <x v="242"/>
    <m/>
    <m/>
    <m/>
    <x v="0"/>
    <s v="4/30 - Team to reclass btwn MG &amp; Contractors"/>
    <m/>
    <n v="47697"/>
    <n v="53620"/>
    <m/>
    <m/>
    <m/>
    <m/>
    <m/>
    <n v="0"/>
    <n v="5850"/>
    <n v="0"/>
    <n v="20000"/>
    <n v="11847"/>
    <m/>
    <n v="0"/>
    <n v="0"/>
    <n v="0"/>
    <n v="37697"/>
    <n v="-15923"/>
    <n v="5850"/>
    <n v="-5850"/>
    <n v="-15000"/>
    <m/>
    <n v="-15923"/>
    <m/>
    <m/>
    <m/>
    <m/>
    <n v="15000"/>
    <n v="5850"/>
    <n v="0"/>
    <n v="23247"/>
    <n v="0"/>
    <n v="9523"/>
    <n v="0"/>
    <n v="0"/>
    <n v="0"/>
    <n v="53620"/>
    <m/>
    <m/>
    <m/>
    <n v="15000"/>
    <n v="0"/>
    <n v="0"/>
    <n v="23247"/>
    <n v="0"/>
    <n v="9523"/>
    <n v="0"/>
    <n v="0"/>
    <n v="0"/>
    <n v="47770"/>
  </r>
  <r>
    <s v="L-ERP-135"/>
    <x v="289"/>
    <s v="Ganesan, Srinivasan_CONTRACTORS_IT-FBT0778-OT-US-00"/>
    <s v="ERP"/>
    <s v="Patel, Apurva"/>
    <s v="Ganesan, Srinivasan"/>
    <s v="Ganesan, Srinivasan"/>
    <s v="Hase, Raj"/>
    <s v="Ganesan, Srinivasan"/>
    <s v="DeHart, Lynn"/>
    <x v="0"/>
    <s v="MetaStorm - Import Manager Contractor Support"/>
    <m/>
    <m/>
    <x v="243"/>
    <m/>
    <m/>
    <m/>
    <x v="48"/>
    <s v="4/30 CHW - duplicate lines moved to match actuals"/>
    <m/>
    <n v="252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2100"/>
    <n v="2100"/>
    <n v="2100"/>
    <n v="2100"/>
    <n v="2100"/>
    <n v="2100"/>
    <n v="2100"/>
    <n v="2100"/>
    <n v="2100"/>
    <n v="18900"/>
  </r>
  <r>
    <s v="L-ERP-151"/>
    <x v="290"/>
    <s v="Ganesan, Srinivasan_CONTRACTORS_IT-FBT0784-OG-US-00"/>
    <s v="ERP"/>
    <s v="Patel, Apurva"/>
    <s v="Ganesan, Srinivasan"/>
    <s v="Ganesan, Srinivasan"/>
    <s v="Hase, Raj"/>
    <s v="Ganesan, Srinivasan"/>
    <s v="DeHart, Lynn"/>
    <x v="0"/>
    <s v="GLNS Analytics Resources"/>
    <s v="IBM Corp"/>
    <s v="2320521"/>
    <x v="244"/>
    <s v="CHW - F/U"/>
    <s v="9501171323"/>
    <m/>
    <x v="0"/>
    <s v="4/30 - CHW follow-up with Sashi M on XFR and LE2 status"/>
    <m/>
    <n v="1129982.58"/>
    <n v="874707.09"/>
    <m/>
    <m/>
    <n v="77285"/>
    <n v="177053.54"/>
    <n v="-2920.45"/>
    <n v="86558.849999999991"/>
    <n v="86558.85"/>
    <n v="98924.389999999985"/>
    <n v="62406"/>
    <n v="62406"/>
    <n v="62406"/>
    <n v="55438"/>
    <n v="55438"/>
    <n v="55438"/>
    <n v="876992.18"/>
    <n v="2285.0900000000838"/>
    <n v="97087"/>
    <n v="1837.3899999999849"/>
    <n v="-19218.909999999916"/>
    <n v="255000"/>
    <n v="-252714.90999999992"/>
    <s v="$770K to be transferred to Sashi in 2027"/>
    <n v="77285"/>
    <n v="177053.54"/>
    <n v="-2920.45"/>
    <n v="97087"/>
    <n v="97087"/>
    <n v="97087"/>
    <n v="55338"/>
    <n v="55338"/>
    <n v="55338"/>
    <n v="55338"/>
    <n v="55338"/>
    <n v="55338"/>
    <n v="874707.09"/>
    <n v="77285"/>
    <n v="177053.54"/>
    <n v="-2920.45"/>
    <n v="90495"/>
    <n v="90495"/>
    <n v="99200"/>
    <n v="54165"/>
    <n v="54165"/>
    <n v="54165"/>
    <n v="54165"/>
    <n v="54165"/>
    <n v="54165"/>
    <n v="856598.09"/>
  </r>
  <r>
    <s v="L-ERP-152"/>
    <x v="291"/>
    <s v="Ganesan, Srinivasan_CONTRACTORS_IT-FBT0790-OG-US-00"/>
    <s v="ERP"/>
    <s v="Patel, Apurva"/>
    <s v="Ganesan, Srinivasan"/>
    <s v="Ganesan, Srinivasan"/>
    <s v="Hase, Raj"/>
    <s v="Ganesan, Srinivasan"/>
    <s v="DeHart, Lynn"/>
    <x v="0"/>
    <s v="GLNS Functional Support_XFR0974 &amp; XFR0929 &amp; XFR0906 &amp; XFR0959"/>
    <m/>
    <m/>
    <x v="245"/>
    <m/>
    <m/>
    <m/>
    <x v="0"/>
    <m/>
    <m/>
    <n v="513000"/>
    <n v="384928.75"/>
    <m/>
    <m/>
    <n v="98474.5"/>
    <n v="-21757.25"/>
    <n v="-81628.5"/>
    <n v="-18382.5"/>
    <n v="0"/>
    <n v="0"/>
    <n v="69140"/>
    <n v="69140"/>
    <n v="69140"/>
    <n v="69140"/>
    <n v="69140"/>
    <n v="62523"/>
    <n v="384929.25"/>
    <n v="0.5"/>
    <n v="0"/>
    <n v="0"/>
    <n v="-18382.5"/>
    <n v="128000"/>
    <n v="-127999.5"/>
    <s v="Giveback is the portain earmarked for colleague vacant position that was already accounted for in Compensation."/>
    <n v="98474.5"/>
    <n v="-21757.25"/>
    <n v="-81628.5"/>
    <n v="0"/>
    <n v="0"/>
    <n v="0"/>
    <n v="64140"/>
    <n v="64140"/>
    <n v="64140"/>
    <n v="64140"/>
    <n v="64140"/>
    <n v="69140"/>
    <n v="384928.75"/>
    <n v="98474.5"/>
    <n v="-21757.25"/>
    <n v="-81628.5"/>
    <n v="7667"/>
    <n v="9667"/>
    <n v="15667"/>
    <n v="70892"/>
    <n v="65000"/>
    <n v="65000"/>
    <n v="65000"/>
    <n v="65000"/>
    <n v="65000"/>
    <n v="423981.75"/>
  </r>
  <r>
    <s v="L-ERP-153"/>
    <x v="292"/>
    <s v="Ganesan, Srinivasan_CONTRACTORS_IT-SFT1205-86-OG-US"/>
    <s v="ERP"/>
    <s v="Patel, Apurva"/>
    <s v="Ganesan, Srinivasan"/>
    <s v="Ganesan, Srinivasan"/>
    <s v="Hase, Raj"/>
    <s v="Ganesan, Srinivasan"/>
    <s v="DeHart, Lynn"/>
    <x v="0"/>
    <s v="Logistics E2Open Software Support"/>
    <m/>
    <m/>
    <x v="246"/>
    <m/>
    <m/>
    <m/>
    <x v="0"/>
    <m/>
    <m/>
    <n v="0"/>
    <n v="3710"/>
    <m/>
    <m/>
    <m/>
    <n v="3710"/>
    <n v="0"/>
    <n v="0"/>
    <n v="0"/>
    <n v="0"/>
    <n v="0"/>
    <n v="0"/>
    <n v="0"/>
    <n v="0"/>
    <n v="0"/>
    <n v="0"/>
    <n v="3710"/>
    <n v="0"/>
    <n v="0"/>
    <n v="0"/>
    <n v="0"/>
    <m/>
    <n v="0"/>
    <s v="Need to be cross charged to projects. "/>
    <m/>
    <n v="3710"/>
    <n v="0"/>
    <n v="0"/>
    <n v="0"/>
    <n v="0"/>
    <n v="0"/>
    <n v="0"/>
    <n v="0"/>
    <n v="0"/>
    <n v="0"/>
    <n v="0"/>
    <n v="3710"/>
    <m/>
    <n v="3710"/>
    <n v="0"/>
    <n v="0"/>
    <n v="0"/>
    <n v="0"/>
    <n v="0"/>
    <n v="0"/>
    <n v="0"/>
    <n v="0"/>
    <n v="0"/>
    <n v="0"/>
    <n v="3710"/>
  </r>
  <r>
    <s v="L-ERP-155"/>
    <x v="293"/>
    <s v="Ganesan, Srinivasan_CONTRACTORS_MISC001"/>
    <s v="ERP"/>
    <s v="Patel, Apurva"/>
    <s v="Ganesan, Srinivasan"/>
    <s v="Ganesan, Srinivasan"/>
    <s v="Hase, Raj"/>
    <s v="Ganesan, Srinivasan"/>
    <s v="DeHart, Lynn"/>
    <x v="0"/>
    <s v="Miscellaneous Charges"/>
    <m/>
    <m/>
    <x v="54"/>
    <m/>
    <m/>
    <m/>
    <x v="0"/>
    <m/>
    <m/>
    <n v="0"/>
    <n v="-0.47"/>
    <m/>
    <m/>
    <n v="-0.28999999999999998"/>
    <n v="0.43"/>
    <n v="-0.61"/>
    <n v="0.34"/>
    <n v="0.22"/>
    <n v="0.05"/>
    <n v="0"/>
    <n v="0"/>
    <n v="0"/>
    <n v="0"/>
    <n v="0"/>
    <n v="0"/>
    <n v="0.14000000000000007"/>
    <n v="0.6100000000000001"/>
    <n v="0"/>
    <n v="0.05"/>
    <n v="0.6100000000000001"/>
    <m/>
    <n v="0.6100000000000001"/>
    <m/>
    <n v="-0.28999999999999998"/>
    <n v="0.43"/>
    <n v="-0.61"/>
    <n v="0"/>
    <n v="0"/>
    <n v="0"/>
    <n v="0"/>
    <n v="0"/>
    <n v="0"/>
    <n v="0"/>
    <n v="0"/>
    <n v="0"/>
    <n v="-0.47"/>
    <n v="-0.28999999999999998"/>
    <n v="0.43"/>
    <n v="-0.61"/>
    <n v="0"/>
    <n v="0"/>
    <n v="0"/>
    <n v="0"/>
    <n v="0"/>
    <n v="0"/>
    <n v="0"/>
    <n v="0"/>
    <n v="0"/>
    <n v="-0.47"/>
  </r>
  <r>
    <s v="L-ERP-156"/>
    <x v="294"/>
    <s v="Ganesan, Srinivasan_CONTRACTORS_POClosure001"/>
    <s v="ERP"/>
    <s v="Patel, Apurva"/>
    <s v="Ganesan, Srinivasan"/>
    <s v="Ganesan, Srinivasan"/>
    <s v="Hase, Raj"/>
    <s v="Ganesan, Srinivasan"/>
    <s v="DeHart, Lynn"/>
    <x v="0"/>
    <s v="PO Closure Credit"/>
    <m/>
    <m/>
    <x v="56"/>
    <s v="CHW - Ok"/>
    <m/>
    <m/>
    <x v="0"/>
    <m/>
    <m/>
    <n v="0"/>
    <n v="-8178.7199999999993"/>
    <m/>
    <m/>
    <n v="-879.72"/>
    <n v="-0.18"/>
    <n v="-7298.82"/>
    <n v="0"/>
    <n v="0"/>
    <n v="0"/>
    <n v="0"/>
    <n v="0"/>
    <n v="0"/>
    <n v="0"/>
    <n v="0"/>
    <n v="0"/>
    <n v="-8178.7199999999993"/>
    <n v="0"/>
    <n v="0"/>
    <n v="0"/>
    <n v="0"/>
    <m/>
    <n v="0"/>
    <m/>
    <n v="-879.72"/>
    <n v="-0.18"/>
    <n v="-7298.82"/>
    <n v="0"/>
    <n v="0"/>
    <n v="0"/>
    <n v="0"/>
    <n v="0"/>
    <n v="0"/>
    <n v="0"/>
    <n v="0"/>
    <n v="0"/>
    <n v="-8178.7199999999993"/>
    <n v="-879.72"/>
    <n v="-0.18"/>
    <n v="-7298.82"/>
    <n v="0"/>
    <n v="0"/>
    <n v="0"/>
    <n v="0"/>
    <n v="0"/>
    <n v="0"/>
    <n v="0"/>
    <n v="0"/>
    <n v="0"/>
    <n v="-8178.7199999999993"/>
  </r>
  <r>
    <s v="L-ERP-251"/>
    <x v="295"/>
    <s v="Jajodia, Amit_TELECOMMUNICATIONS_Telecom001"/>
    <s v="ERP"/>
    <s v="Patel, Apurva"/>
    <s v="Jajodia, Amit"/>
    <s v="Jajodia, Amit"/>
    <s v="Hase, Raj"/>
    <s v="Jajodia, Amit"/>
    <s v="DeHart, Lynn"/>
    <x v="5"/>
    <s v="Telecommunications"/>
    <m/>
    <m/>
    <x v="42"/>
    <m/>
    <m/>
    <m/>
    <x v="0"/>
    <m/>
    <m/>
    <n v="0"/>
    <n v="208.93"/>
    <m/>
    <m/>
    <n v="-76.86"/>
    <n v="111.1"/>
    <n v="174.69"/>
    <n v="0"/>
    <n v="108.31"/>
    <n v="60.089999999999996"/>
    <n v="0"/>
    <n v="0"/>
    <n v="0"/>
    <n v="0"/>
    <n v="0"/>
    <n v="0"/>
    <n v="377.33"/>
    <n v="168.39999999999998"/>
    <n v="0"/>
    <n v="60.089999999999996"/>
    <n v="168.39999999999998"/>
    <m/>
    <n v="168.39999999999998"/>
    <m/>
    <n v="-76.86"/>
    <n v="111.1"/>
    <n v="174.69"/>
    <n v="0"/>
    <n v="0"/>
    <n v="0"/>
    <n v="0"/>
    <n v="0"/>
    <n v="0"/>
    <n v="0"/>
    <n v="0"/>
    <n v="0"/>
    <n v="208.93"/>
    <n v="-76.86"/>
    <n v="111.1"/>
    <n v="174.69"/>
    <n v="0"/>
    <n v="0"/>
    <n v="0"/>
    <n v="0"/>
    <n v="0"/>
    <n v="0"/>
    <n v="0"/>
    <n v="0"/>
    <n v="0"/>
    <n v="208.93"/>
  </r>
  <r>
    <s v="L-ERP-257"/>
    <x v="296"/>
    <s v="Jajodia, Amit_TRAVEL &amp; ENTERTAINMENT_TravelEnt001"/>
    <s v="ERP"/>
    <s v="Patel, Apurva"/>
    <s v="Jajodia, Amit"/>
    <s v="Jajodia, Amit"/>
    <s v="Hase, Raj"/>
    <s v="Jajodia, Amit"/>
    <s v="DeHart, Lynn"/>
    <x v="1"/>
    <s v="Travel and Entertainment"/>
    <m/>
    <m/>
    <x v="43"/>
    <m/>
    <s v="N/A"/>
    <m/>
    <x v="10"/>
    <m/>
    <m/>
    <n v="0"/>
    <n v="1947.4499999999998"/>
    <m/>
    <m/>
    <n v="1400.32"/>
    <n v="547.13"/>
    <n v="0"/>
    <n v="0"/>
    <n v="0"/>
    <n v="0"/>
    <n v="0"/>
    <n v="0"/>
    <n v="0"/>
    <n v="0"/>
    <n v="0"/>
    <n v="0"/>
    <n v="1947.4499999999998"/>
    <n v="0"/>
    <n v="0"/>
    <n v="0"/>
    <n v="0"/>
    <m/>
    <n v="0"/>
    <m/>
    <n v="1400.32"/>
    <n v="547.13"/>
    <n v="0"/>
    <n v="0"/>
    <n v="0"/>
    <n v="0"/>
    <n v="0"/>
    <n v="0"/>
    <n v="0"/>
    <n v="0"/>
    <n v="0"/>
    <n v="0"/>
    <n v="1947.4499999999998"/>
    <n v="1400.32"/>
    <n v="547.13"/>
    <n v="0"/>
    <n v="0"/>
    <n v="0"/>
    <n v="0"/>
    <n v="0"/>
    <n v="0"/>
    <n v="0"/>
    <n v="0"/>
    <n v="0"/>
    <n v="0"/>
    <n v="1947.4499999999998"/>
  </r>
  <r>
    <s v="L-ERP-160"/>
    <x v="297"/>
    <s v="Ganesan, Srinivasan_MANAGED SERVICES_EnhanceChargeout001"/>
    <s v="ERP"/>
    <s v="Patel, Apurva"/>
    <s v="Ganesan, Srinivasan"/>
    <s v="Ganesan, Srinivasan"/>
    <s v="Hase, Raj"/>
    <s v="Ganesan, Srinivasan"/>
    <s v="DeHart, Lynn"/>
    <x v="7"/>
    <s v="Enhance Chargeout Cost Centers"/>
    <m/>
    <m/>
    <x v="1"/>
    <s v="CHW - F/U"/>
    <m/>
    <m/>
    <x v="0"/>
    <m/>
    <m/>
    <n v="0"/>
    <n v="387"/>
    <m/>
    <m/>
    <n v="129"/>
    <n v="129"/>
    <n v="129"/>
    <n v="129"/>
    <n v="129"/>
    <n v="129"/>
    <n v="0"/>
    <n v="0"/>
    <n v="0"/>
    <n v="0"/>
    <n v="0"/>
    <n v="0"/>
    <n v="774"/>
    <n v="387"/>
    <n v="0"/>
    <n v="129"/>
    <n v="387"/>
    <m/>
    <n v="387"/>
    <m/>
    <n v="129"/>
    <n v="129"/>
    <n v="129"/>
    <n v="0"/>
    <n v="0"/>
    <n v="0"/>
    <n v="0"/>
    <n v="0"/>
    <n v="0"/>
    <n v="0"/>
    <n v="0"/>
    <n v="0"/>
    <n v="387"/>
    <n v="129"/>
    <n v="129"/>
    <n v="129"/>
    <n v="0"/>
    <n v="0"/>
    <n v="0"/>
    <n v="0"/>
    <n v="0"/>
    <n v="0"/>
    <n v="0"/>
    <n v="0"/>
    <n v="0"/>
    <n v="387"/>
  </r>
  <r>
    <s v="L-ERP-131"/>
    <x v="298"/>
    <s v="Ganesan, Srinivasan_MANAGED SERVICES_EP&amp;SCharges001"/>
    <s v="ERP"/>
    <s v="Patel, Apurva"/>
    <s v="Ganesan, Srinivasan"/>
    <s v="Ganesan, Srinivasan"/>
    <s v="Hase, Raj"/>
    <s v="Ganesan, Srinivasan"/>
    <s v="DeHart, Lynn"/>
    <x v="7"/>
    <s v="Infrastructure Billing Charges"/>
    <m/>
    <m/>
    <x v="6"/>
    <m/>
    <s v="N/A"/>
    <m/>
    <x v="3"/>
    <m/>
    <m/>
    <n v="18000"/>
    <n v="16521.98"/>
    <m/>
    <m/>
    <n v="920.95"/>
    <n v="1065.45"/>
    <n v="1035.58"/>
    <n v="1019.5500000000001"/>
    <n v="110.62"/>
    <n v="219.57999999999998"/>
    <n v="1500"/>
    <n v="1500"/>
    <n v="1500"/>
    <n v="1500"/>
    <n v="1500"/>
    <n v="1500"/>
    <n v="13371.73"/>
    <n v="-3150.25"/>
    <n v="1500"/>
    <n v="-1280.42"/>
    <n v="-3150.2499999999991"/>
    <m/>
    <n v="-3150.25"/>
    <m/>
    <n v="920.95"/>
    <n v="1065.45"/>
    <n v="1035.58"/>
    <n v="1500"/>
    <n v="1500"/>
    <n v="1500"/>
    <n v="1500"/>
    <n v="1500"/>
    <n v="1500"/>
    <n v="1500"/>
    <n v="1500"/>
    <n v="1500"/>
    <n v="16521.98"/>
    <n v="920.95"/>
    <n v="1065.45"/>
    <n v="1035.58"/>
    <n v="1500"/>
    <n v="1500"/>
    <n v="1500"/>
    <n v="1500"/>
    <n v="1500"/>
    <n v="1500"/>
    <n v="1500"/>
    <n v="1500"/>
    <n v="1500"/>
    <n v="16521.98"/>
  </r>
  <r>
    <s v="L-ERP-128"/>
    <x v="299"/>
    <s v="Ganesan, Srinivasan_MANAGED SERVICES_IT-FBT0658-OG-US-00"/>
    <s v="ERP"/>
    <s v="Patel, Apurva"/>
    <s v="Ganesan, Srinivasan"/>
    <s v="Ganesan, Srinivasan"/>
    <s v="Hase, Raj"/>
    <s v="Ganesan, Srinivasan"/>
    <s v="DeHart, Lynn"/>
    <x v="7"/>
    <s v="Logistics LMS &amp; Manhattan IoD"/>
    <m/>
    <m/>
    <x v="247"/>
    <m/>
    <s v="N/A"/>
    <m/>
    <x v="3"/>
    <m/>
    <m/>
    <n v="8600"/>
    <n v="8392.24"/>
    <m/>
    <m/>
    <n v="540.58000000000004"/>
    <n v="540.04999999999995"/>
    <n v="511.61"/>
    <n v="547.18999999999994"/>
    <n v="534.1099999999999"/>
    <n v="539.85"/>
    <n v="600"/>
    <n v="600"/>
    <n v="600"/>
    <n v="600"/>
    <n v="600"/>
    <n v="2000"/>
    <n v="8213.39"/>
    <n v="-178.85000000000036"/>
    <n v="600"/>
    <n v="-60.149999999999977"/>
    <n v="-178.85000000000036"/>
    <m/>
    <n v="-178.85000000000036"/>
    <m/>
    <n v="540.58000000000004"/>
    <n v="540.04999999999995"/>
    <n v="511.61"/>
    <n v="600"/>
    <n v="600"/>
    <n v="600"/>
    <n v="600"/>
    <n v="600"/>
    <n v="600"/>
    <n v="600"/>
    <n v="600"/>
    <n v="2000"/>
    <n v="8392.24"/>
    <n v="540.58000000000004"/>
    <n v="540.04999999999995"/>
    <n v="511.61"/>
    <n v="600"/>
    <n v="600"/>
    <n v="600"/>
    <n v="600"/>
    <n v="600"/>
    <n v="600"/>
    <n v="600"/>
    <n v="600"/>
    <n v="2000"/>
    <n v="8392.24"/>
  </r>
  <r>
    <s v="L-ERP-157"/>
    <x v="300"/>
    <s v="Ganesan, Srinivasan_MANAGED SERVICES_IT-FBT0659-OG-US-00"/>
    <s v="ERP"/>
    <s v="Patel, Apurva"/>
    <s v="Ganesan, Srinivasan"/>
    <s v="Ganesan, Srinivasan"/>
    <s v="Hase, Raj"/>
    <s v="Ganesan, Srinivasan"/>
    <s v="DeHart, Lynn"/>
    <x v="7"/>
    <s v="Infrastructure Charges - ES Collaborative Manufacturing - IoD"/>
    <m/>
    <m/>
    <x v="248"/>
    <m/>
    <m/>
    <m/>
    <x v="0"/>
    <m/>
    <m/>
    <n v="1560"/>
    <n v="1536.8899999999999"/>
    <m/>
    <m/>
    <n v="124.95"/>
    <n v="125.88"/>
    <n v="116.06"/>
    <n v="129.38999999999999"/>
    <n v="122.35"/>
    <n v="125.51999999999998"/>
    <n v="130"/>
    <n v="130"/>
    <n v="130"/>
    <n v="130"/>
    <n v="130"/>
    <n v="130"/>
    <n v="1524.15"/>
    <n v="-12.739999999999782"/>
    <n v="130"/>
    <n v="-4.4800000000000182"/>
    <n v="-12.740000000000009"/>
    <m/>
    <n v="-12.739999999999782"/>
    <m/>
    <n v="124.95"/>
    <n v="125.88"/>
    <n v="116.06"/>
    <n v="130"/>
    <n v="130"/>
    <n v="130"/>
    <n v="130"/>
    <n v="130"/>
    <n v="130"/>
    <n v="130"/>
    <n v="130"/>
    <n v="130"/>
    <n v="1536.8899999999999"/>
    <n v="124.95"/>
    <n v="125.88"/>
    <n v="116.06"/>
    <n v="130"/>
    <n v="130"/>
    <n v="130"/>
    <n v="130"/>
    <n v="130"/>
    <n v="130"/>
    <n v="130"/>
    <n v="130"/>
    <n v="130"/>
    <n v="1536.8899999999999"/>
  </r>
  <r>
    <s v="L-ERP-129"/>
    <x v="301"/>
    <s v="Ganesan, Srinivasan_MANAGED SERVICES_IT-FBT0660-OG-US-00"/>
    <s v="ERP"/>
    <s v="Patel, Apurva"/>
    <s v="Ganesan, Srinivasan"/>
    <s v="Ganesan, Srinivasan"/>
    <s v="Hase, Raj"/>
    <s v="Ganesan, Srinivasan"/>
    <s v="DeHart, Lynn"/>
    <x v="7"/>
    <s v="Planning Excel Citrix Server - IoD Infrastructure (Server)"/>
    <m/>
    <m/>
    <x v="249"/>
    <m/>
    <m/>
    <m/>
    <x v="3"/>
    <m/>
    <m/>
    <n v="0"/>
    <n v="354.76"/>
    <m/>
    <m/>
    <n v="129.77000000000001"/>
    <n v="129.72"/>
    <n v="95.27"/>
    <n v="108.61"/>
    <n v="126.27000000000001"/>
    <n v="130.19999999999999"/>
    <n v="0"/>
    <n v="0"/>
    <n v="0"/>
    <n v="0"/>
    <n v="0"/>
    <n v="0"/>
    <n v="719.83999999999992"/>
    <n v="365.07999999999993"/>
    <n v="0"/>
    <n v="130.19999999999999"/>
    <n v="365.07999999999993"/>
    <m/>
    <n v="365.07999999999993"/>
    <m/>
    <n v="129.77000000000001"/>
    <n v="129.72"/>
    <n v="95.27"/>
    <n v="0"/>
    <n v="0"/>
    <n v="0"/>
    <n v="0"/>
    <n v="0"/>
    <n v="0"/>
    <n v="0"/>
    <n v="0"/>
    <n v="0"/>
    <n v="354.76"/>
    <n v="129.77000000000001"/>
    <n v="129.72"/>
    <n v="95.27"/>
    <n v="0"/>
    <n v="0"/>
    <n v="0"/>
    <n v="0"/>
    <n v="0"/>
    <n v="0"/>
    <n v="0"/>
    <n v="0"/>
    <n v="0"/>
    <n v="354.76"/>
  </r>
  <r>
    <s v="L-ERP-158"/>
    <x v="302"/>
    <s v="Ganesan, Srinivasan_MANAGED SERVICES_IT-FBT0661-OG-US-00"/>
    <s v="ERP"/>
    <s v="Patel, Apurva"/>
    <s v="Ganesan, Srinivasan"/>
    <s v="Ganesan, Srinivasan"/>
    <s v="Hase, Raj"/>
    <s v="Ganesan, Srinivasan"/>
    <s v="DeHart, Lynn"/>
    <x v="7"/>
    <s v="GLNS Process Optimization &amp; Compliance Contractor"/>
    <m/>
    <m/>
    <x v="242"/>
    <m/>
    <m/>
    <m/>
    <x v="0"/>
    <s v="4/30 - Team to reclass btwn MG &amp; Contractors"/>
    <m/>
    <n v="0"/>
    <n v="0"/>
    <m/>
    <m/>
    <m/>
    <m/>
    <n v="5850"/>
    <n v="0"/>
    <n v="-5800.26"/>
    <n v="63.66"/>
    <n v="0"/>
    <n v="0"/>
    <n v="0"/>
    <n v="0"/>
    <n v="0"/>
    <n v="0"/>
    <n v="113.39999999999978"/>
    <n v="113.39999999999978"/>
    <n v="-5850"/>
    <n v="5913.66"/>
    <n v="113.39999999999978"/>
    <m/>
    <n v="113.39999999999978"/>
    <m/>
    <m/>
    <m/>
    <n v="5850"/>
    <m/>
    <n v="-5850"/>
    <n v="0"/>
    <n v="0"/>
    <n v="0"/>
    <n v="0"/>
    <n v="0"/>
    <n v="0"/>
    <n v="0"/>
    <n v="0"/>
    <m/>
    <m/>
    <n v="5850"/>
    <n v="0"/>
    <n v="0"/>
    <n v="0"/>
    <n v="0"/>
    <n v="0"/>
    <n v="0"/>
    <n v="0"/>
    <n v="0"/>
    <n v="0"/>
    <n v="5850"/>
  </r>
  <r>
    <s v="L-ERP-136"/>
    <x v="303"/>
    <s v="Ganesan, Srinivasan_MANAGED SERVICES_IT-FBT0778-OT-US-00"/>
    <s v="ERP"/>
    <s v="Patel, Apurva"/>
    <s v="Ganesan, Srinivasan"/>
    <s v="Ganesan, Srinivasan"/>
    <s v="Hase, Raj"/>
    <s v="Ganesan, Srinivasan"/>
    <s v="DeHart, Lynn"/>
    <x v="7"/>
    <s v="MetaStorm - Import Manager Contractor Support"/>
    <m/>
    <m/>
    <x v="243"/>
    <m/>
    <m/>
    <m/>
    <x v="48"/>
    <s v="4/30 CHW - duplicate lines moved to match actuals"/>
    <m/>
    <n v="0"/>
    <n v="25200"/>
    <m/>
    <m/>
    <m/>
    <m/>
    <n v="6300"/>
    <n v="0"/>
    <n v="4200"/>
    <n v="0"/>
    <n v="2100"/>
    <n v="2100"/>
    <n v="2100"/>
    <n v="2100"/>
    <n v="2100"/>
    <n v="2100"/>
    <n v="23100"/>
    <n v="-2100"/>
    <n v="2100"/>
    <n v="-2100"/>
    <n v="-2100"/>
    <m/>
    <n v="-2100"/>
    <m/>
    <m/>
    <m/>
    <n v="6300"/>
    <n v="2100"/>
    <n v="2100"/>
    <n v="2100"/>
    <n v="2100"/>
    <n v="2100"/>
    <n v="2100"/>
    <n v="2100"/>
    <n v="2100"/>
    <n v="2100"/>
    <n v="25200"/>
    <m/>
    <m/>
    <n v="6300"/>
    <n v="0"/>
    <n v="0"/>
    <n v="0"/>
    <n v="0"/>
    <n v="0"/>
    <n v="0"/>
    <n v="0"/>
    <n v="0"/>
    <n v="0"/>
    <n v="6300"/>
  </r>
  <r>
    <s v="L-ERP-137"/>
    <x v="304"/>
    <s v="Ganesan, Srinivasan_MANAGED SERVICES_IT-FBT0779-OT-US-00"/>
    <s v="ERP"/>
    <s v="Patel, Apurva"/>
    <s v="Ganesan, Srinivasan"/>
    <s v="Ganesan, Srinivasan"/>
    <s v="Hase, Raj"/>
    <s v="Ganesan, Srinivasan"/>
    <s v="DeHart, Lynn"/>
    <x v="7"/>
    <s v="MetaStorm - MD eSponsor Application Support &amp; Maintenance"/>
    <m/>
    <m/>
    <x v="250"/>
    <m/>
    <m/>
    <m/>
    <x v="48"/>
    <m/>
    <m/>
    <n v="0"/>
    <n v="8751"/>
    <m/>
    <m/>
    <m/>
    <m/>
    <n v="8751"/>
    <n v="0"/>
    <n v="5834"/>
    <n v="0"/>
    <n v="0"/>
    <n v="0"/>
    <n v="0"/>
    <n v="0"/>
    <n v="0"/>
    <n v="0"/>
    <n v="14585"/>
    <n v="5834"/>
    <n v="0"/>
    <n v="0"/>
    <n v="5834"/>
    <m/>
    <n v="5834"/>
    <m/>
    <m/>
    <m/>
    <n v="8751"/>
    <n v="0"/>
    <n v="0"/>
    <n v="0"/>
    <n v="0"/>
    <n v="0"/>
    <n v="0"/>
    <n v="0"/>
    <n v="0"/>
    <n v="0"/>
    <n v="8751"/>
    <m/>
    <m/>
    <n v="8751"/>
    <n v="0"/>
    <n v="0"/>
    <n v="0"/>
    <n v="0"/>
    <n v="0"/>
    <n v="0"/>
    <n v="0"/>
    <n v="0"/>
    <n v="0"/>
    <n v="8751"/>
  </r>
  <r>
    <s v="N-ERP-561"/>
    <x v="305"/>
    <s v="Ganesan, Srinivasan_MANAGED SERVICES_IT-FBT0793-OG-US-00"/>
    <s v="ERP"/>
    <s v="Patel, Apurva"/>
    <s v="Ganesan, Srinivasan"/>
    <s v="Ganesan, Srinivasan"/>
    <s v="Hase, Raj"/>
    <s v="Ganesan, Srinivasan"/>
    <s v="DeHart, Lynn"/>
    <x v="7"/>
    <s v="GLNS Trade Collaborator"/>
    <m/>
    <m/>
    <x v="251"/>
    <m/>
    <s v="N"/>
    <m/>
    <x v="0"/>
    <s v="4/28/26 CHW New add to tie-out 0223 to 0317 Planful Extracts"/>
    <m/>
    <n v="125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12500"/>
  </r>
  <r>
    <s v="N-ERP-562"/>
    <x v="306"/>
    <s v="Ganesan, Srinivasan_MANAGED SERVICES_IT-FBT0793-OG-US-00/CB"/>
    <s v="ERP"/>
    <s v="Patel, Apurva"/>
    <s v="Ganesan, Srinivasan"/>
    <s v="Ganesan, Srinivasan"/>
    <s v="Hase, Raj"/>
    <s v="Ganesan, Srinivasan"/>
    <s v="DeHart, Lynn"/>
    <x v="7"/>
    <s v="GLNS Trade Collaborator"/>
    <m/>
    <m/>
    <x v="252"/>
    <m/>
    <m/>
    <m/>
    <x v="0"/>
    <s v="4/28/26 CHW New add to tie-out 0223 to 0317 Planful Extracts"/>
    <m/>
    <n v="-125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-12500"/>
    <n v="0"/>
    <n v="0"/>
    <n v="0"/>
    <n v="0"/>
    <n v="0"/>
    <n v="0"/>
    <n v="0"/>
    <n v="0"/>
    <n v="0"/>
    <n v="-12500"/>
  </r>
  <r>
    <s v="L-ERP-124"/>
    <x v="307"/>
    <s v="Ganesan, Srinivasan_MANAGED SERVICES_IT-FBT0798-OG-BE-00"/>
    <s v="ERP"/>
    <s v="Patel, Apurva"/>
    <s v="Ganesan, Srinivasan"/>
    <s v="Ganesan, Srinivasan"/>
    <s v="Hase, Raj"/>
    <s v="Ganesan, Srinivasan"/>
    <s v="DeHart, Lynn"/>
    <x v="7"/>
    <s v="Company Car - Belgium (LE5923) - Maria Gkountouva Plate 2CBY846"/>
    <m/>
    <m/>
    <x v="253"/>
    <m/>
    <m/>
    <m/>
    <x v="18"/>
    <m/>
    <m/>
    <n v="14400"/>
    <n v="10800"/>
    <m/>
    <m/>
    <m/>
    <m/>
    <m/>
    <s v=""/>
    <n v="0"/>
    <n v="0"/>
    <n v="1200"/>
    <n v="1200"/>
    <n v="1200"/>
    <n v="1200"/>
    <n v="1200"/>
    <n v="1200"/>
    <n v="7200"/>
    <n v="-3600"/>
    <n v="1200"/>
    <n v="-1200"/>
    <n v="-3600"/>
    <m/>
    <n v="-3600"/>
    <m/>
    <m/>
    <m/>
    <m/>
    <n v="1200"/>
    <n v="1200"/>
    <n v="1200"/>
    <n v="1200"/>
    <n v="1200"/>
    <n v="1200"/>
    <n v="1200"/>
    <n v="1200"/>
    <n v="1200"/>
    <n v="10800"/>
    <m/>
    <m/>
    <m/>
    <n v="1200"/>
    <n v="1200"/>
    <n v="1200"/>
    <n v="1200"/>
    <n v="1200"/>
    <n v="1200"/>
    <n v="1200"/>
    <n v="1200"/>
    <n v="1200"/>
    <n v="10800"/>
  </r>
  <r>
    <s v="L-ERP-125"/>
    <x v="308"/>
    <s v="Ganesan, Srinivasan_MANAGED SERVICES_IT-FBT0799-OG-MX-00"/>
    <s v="ERP"/>
    <s v="Patel, Apurva"/>
    <s v="Ganesan, Srinivasan"/>
    <s v="Ganesan, Srinivasan"/>
    <s v="Hase, Raj"/>
    <s v="Ganesan, Srinivasan"/>
    <s v="DeHart, Lynn"/>
    <x v="7"/>
    <s v="Company Car - Mexico LE 2520 - David Ortiz"/>
    <m/>
    <m/>
    <x v="254"/>
    <m/>
    <m/>
    <m/>
    <x v="18"/>
    <m/>
    <m/>
    <n v="3000"/>
    <n v="2250"/>
    <m/>
    <m/>
    <m/>
    <m/>
    <m/>
    <s v=""/>
    <n v="0"/>
    <n v="0"/>
    <n v="250"/>
    <n v="250"/>
    <n v="250"/>
    <n v="250"/>
    <n v="250"/>
    <n v="250"/>
    <n v="1500"/>
    <n v="-750"/>
    <n v="250"/>
    <n v="-250"/>
    <n v="-750"/>
    <m/>
    <n v="-750"/>
    <m/>
    <m/>
    <m/>
    <m/>
    <n v="250"/>
    <n v="250"/>
    <n v="250"/>
    <n v="250"/>
    <n v="250"/>
    <n v="250"/>
    <n v="250"/>
    <n v="250"/>
    <n v="250"/>
    <n v="2250"/>
    <m/>
    <m/>
    <m/>
    <n v="250"/>
    <n v="250"/>
    <n v="250"/>
    <n v="250"/>
    <n v="250"/>
    <n v="250"/>
    <n v="250"/>
    <n v="250"/>
    <n v="250"/>
    <n v="2250"/>
  </r>
  <r>
    <s v="L-ERP-130"/>
    <x v="309"/>
    <s v="Ganesan, Srinivasan_MANAGED SERVICES_IT-FGS0301-OG-US-00"/>
    <s v="ERP"/>
    <s v="Patel, Apurva"/>
    <s v="Ganesan, Srinivasan"/>
    <s v="Ganesan, Srinivasan"/>
    <s v="Hase, Raj"/>
    <s v="Ganesan, Srinivasan"/>
    <s v="DeHart, Lynn"/>
    <x v="7"/>
    <s v="Desktop on Demand (VDS)"/>
    <m/>
    <m/>
    <x v="101"/>
    <m/>
    <s v="N/A"/>
    <m/>
    <x v="3"/>
    <m/>
    <m/>
    <n v="26400"/>
    <n v="26962"/>
    <m/>
    <m/>
    <n v="2359"/>
    <n v="1615"/>
    <n v="3188"/>
    <n v="2158"/>
    <n v="2091"/>
    <n v="1890"/>
    <n v="2200"/>
    <n v="2200"/>
    <n v="2200"/>
    <n v="2200"/>
    <n v="2200"/>
    <n v="2200"/>
    <n v="26501"/>
    <n v="-461"/>
    <n v="2200"/>
    <n v="-310"/>
    <n v="-461"/>
    <m/>
    <n v="-461"/>
    <m/>
    <n v="2359"/>
    <n v="1615"/>
    <n v="3188"/>
    <n v="2200"/>
    <n v="2200"/>
    <n v="2200"/>
    <n v="2200"/>
    <n v="2200"/>
    <n v="2200"/>
    <n v="2200"/>
    <n v="2200"/>
    <n v="2200"/>
    <n v="26962"/>
    <n v="2359"/>
    <n v="1615"/>
    <n v="3188"/>
    <n v="2200"/>
    <n v="2200"/>
    <n v="2200"/>
    <n v="2200"/>
    <n v="2200"/>
    <n v="2200"/>
    <n v="2200"/>
    <n v="2200"/>
    <n v="2200"/>
    <n v="26962"/>
  </r>
  <r>
    <s v="L-ERP-161"/>
    <x v="310"/>
    <s v="Ganesan, Srinivasan_MANAGED SERVICES_MISC001"/>
    <s v="ERP"/>
    <s v="Patel, Apurva"/>
    <s v="Ganesan, Srinivasan"/>
    <s v="Ganesan, Srinivasan"/>
    <s v="Hase, Raj"/>
    <s v="Ganesan, Srinivasan"/>
    <s v="DeHart, Lynn"/>
    <x v="7"/>
    <s v="Miscellaneous Charges"/>
    <m/>
    <m/>
    <x v="54"/>
    <m/>
    <m/>
    <m/>
    <x v="0"/>
    <m/>
    <m/>
    <n v="0"/>
    <n v="799.29000000000008"/>
    <m/>
    <m/>
    <n v="-79.28"/>
    <n v="124.37"/>
    <n v="754.2"/>
    <n v="171.12"/>
    <n v="538.97"/>
    <n v="255.20999999999992"/>
    <n v="0"/>
    <n v="0"/>
    <n v="0"/>
    <n v="0"/>
    <n v="0"/>
    <n v="0"/>
    <n v="1764.5900000000001"/>
    <n v="965.30000000000007"/>
    <n v="0"/>
    <n v="255.20999999999992"/>
    <n v="965.30000000000007"/>
    <m/>
    <n v="965.30000000000007"/>
    <m/>
    <n v="-79.28"/>
    <n v="124.37"/>
    <n v="754.2"/>
    <n v="0"/>
    <n v="0"/>
    <n v="0"/>
    <n v="0"/>
    <n v="0"/>
    <n v="0"/>
    <n v="0"/>
    <n v="0"/>
    <n v="0"/>
    <n v="799.29000000000008"/>
    <n v="-79.28"/>
    <n v="124.37"/>
    <n v="754.2"/>
    <n v="0"/>
    <n v="0"/>
    <n v="0"/>
    <n v="0"/>
    <n v="0"/>
    <n v="0"/>
    <n v="0"/>
    <n v="0"/>
    <n v="0"/>
    <n v="799.29000000000008"/>
  </r>
  <r>
    <s v="L-ERP-159"/>
    <x v="311"/>
    <s v="Ganesan, Srinivasan_MANAGED SERVICES_PR-252001-0000007901"/>
    <s v="ERP"/>
    <s v="Patel, Apurva"/>
    <s v="Ganesan, Srinivasan"/>
    <s v="Ganesan, Srinivasan"/>
    <s v="Hase, Raj"/>
    <s v="Ganesan, Srinivasan"/>
    <s v="DeHart, Lynn"/>
    <x v="7"/>
    <s v="Default"/>
    <m/>
    <m/>
    <x v="255"/>
    <m/>
    <m/>
    <m/>
    <x v="0"/>
    <m/>
    <m/>
    <n v="0"/>
    <n v="298.89999999999998"/>
    <m/>
    <m/>
    <m/>
    <n v="256.18"/>
    <n v="42.72"/>
    <n v="0"/>
    <n v="0"/>
    <n v="0"/>
    <n v="0"/>
    <n v="0"/>
    <n v="0"/>
    <n v="0"/>
    <n v="0"/>
    <n v="0"/>
    <n v="298.89999999999998"/>
    <n v="0"/>
    <n v="0"/>
    <n v="0"/>
    <n v="0"/>
    <m/>
    <n v="0"/>
    <m/>
    <m/>
    <n v="256.18"/>
    <n v="42.72"/>
    <n v="0"/>
    <n v="0"/>
    <n v="0"/>
    <n v="0"/>
    <n v="0"/>
    <n v="0"/>
    <n v="0"/>
    <n v="0"/>
    <n v="0"/>
    <n v="298.89999999999998"/>
    <m/>
    <n v="256.18"/>
    <n v="42.72"/>
    <n v="0"/>
    <n v="0"/>
    <n v="0"/>
    <n v="0"/>
    <n v="0"/>
    <n v="0"/>
    <n v="0"/>
    <n v="0"/>
    <n v="0"/>
    <n v="298.89999999999998"/>
  </r>
  <r>
    <s v="L-ERP-174"/>
    <x v="312"/>
    <s v="Ganesan, Srinivasan_OTHER_Others001"/>
    <s v="ERP"/>
    <s v="Patel, Apurva"/>
    <s v="Ganesan, Srinivasan"/>
    <s v="Ganesan, Srinivasan"/>
    <s v="Hase, Raj"/>
    <s v="Ganesan, Srinivasan"/>
    <s v="DeHart, Lynn"/>
    <x v="8"/>
    <s v="Other"/>
    <m/>
    <m/>
    <x v="35"/>
    <m/>
    <m/>
    <m/>
    <x v="7"/>
    <m/>
    <m/>
    <n v="0"/>
    <n v="85.04"/>
    <m/>
    <m/>
    <n v="38.450000000000003"/>
    <n v="0"/>
    <n v="46.59"/>
    <n v="0"/>
    <n v="91.13"/>
    <n v="37.570000000000007"/>
    <n v="0"/>
    <n v="0"/>
    <n v="0"/>
    <n v="0"/>
    <n v="0"/>
    <n v="0"/>
    <n v="213.74"/>
    <n v="128.69999999999999"/>
    <n v="0"/>
    <n v="37.570000000000007"/>
    <n v="128.69999999999999"/>
    <m/>
    <n v="128.69999999999999"/>
    <m/>
    <n v="38.450000000000003"/>
    <n v="0"/>
    <n v="46.59"/>
    <n v="0"/>
    <n v="0"/>
    <n v="0"/>
    <n v="0"/>
    <n v="0"/>
    <n v="0"/>
    <n v="0"/>
    <n v="0"/>
    <n v="0"/>
    <n v="85.04"/>
    <n v="38.450000000000003"/>
    <n v="0"/>
    <n v="46.59"/>
    <n v="0"/>
    <n v="0"/>
    <n v="0"/>
    <n v="0"/>
    <n v="0"/>
    <n v="0"/>
    <n v="0"/>
    <n v="0"/>
    <n v="0"/>
    <n v="85.04"/>
  </r>
  <r>
    <s v="ERP-001"/>
    <x v="313"/>
    <s v="Ganesan, Srinivasan_SOFTWARE"/>
    <s v="ERP"/>
    <s v="Patel, Apurva"/>
    <s v="Ganesan, Srinivasan"/>
    <s v="Ganesan, Srinivasan"/>
    <s v="Hase, Raj"/>
    <s v="Ganesan, Srinivasan"/>
    <s v="DeHart, Lynn"/>
    <x v="9"/>
    <s v="ShipERP"/>
    <s v="0"/>
    <m/>
    <x v="114"/>
    <m/>
    <m/>
    <m/>
    <x v="2"/>
    <s v="4/30 - New add with Team"/>
    <m/>
    <m/>
    <n v="143000"/>
    <m/>
    <m/>
    <m/>
    <m/>
    <m/>
    <s v=""/>
    <n v="0"/>
    <n v="0"/>
    <m/>
    <m/>
    <m/>
    <n v="143000"/>
    <m/>
    <m/>
    <n v="143000"/>
    <n v="0"/>
    <m/>
    <n v="0"/>
    <n v="0"/>
    <m/>
    <n v="0"/>
    <m/>
    <m/>
    <m/>
    <m/>
    <m/>
    <m/>
    <m/>
    <m/>
    <m/>
    <m/>
    <n v="143000"/>
    <m/>
    <m/>
    <n v="143000"/>
    <m/>
    <m/>
    <m/>
    <m/>
    <m/>
    <m/>
    <m/>
    <m/>
    <m/>
    <m/>
    <m/>
    <m/>
    <m/>
  </r>
  <r>
    <s v="L-ERP-167"/>
    <x v="314"/>
    <s v="Ganesan, Srinivasan_SOFTWARE_ColleagueSolutions001"/>
    <s v="ERP"/>
    <s v="Patel, Apurva"/>
    <s v="Ganesan, Srinivasan"/>
    <s v="Ganesan, Srinivasan"/>
    <s v="Hase, Raj"/>
    <s v="Ganesan, Srinivasan"/>
    <s v="DeHart, Lynn"/>
    <x v="9"/>
    <s v="Colleague Solutions Delivery Chargebacks"/>
    <m/>
    <m/>
    <x v="0"/>
    <s v="CHW - Ok"/>
    <s v="N/A"/>
    <m/>
    <x v="0"/>
    <m/>
    <m/>
    <n v="0"/>
    <n v="2288.52"/>
    <m/>
    <m/>
    <m/>
    <n v="2188.1999999999998"/>
    <n v="100.32"/>
    <n v="0"/>
    <n v="0"/>
    <n v="0"/>
    <n v="0"/>
    <n v="0"/>
    <n v="0"/>
    <n v="0"/>
    <n v="0"/>
    <n v="0"/>
    <n v="2288.52"/>
    <n v="0"/>
    <n v="0"/>
    <n v="0"/>
    <n v="0"/>
    <m/>
    <n v="0"/>
    <m/>
    <m/>
    <n v="2188.1999999999998"/>
    <n v="100.32"/>
    <n v="0"/>
    <n v="0"/>
    <n v="0"/>
    <n v="0"/>
    <n v="0"/>
    <n v="0"/>
    <n v="0"/>
    <n v="0"/>
    <n v="0"/>
    <n v="2288.52"/>
    <m/>
    <n v="2188.1999999999998"/>
    <n v="100.32"/>
    <n v="0"/>
    <n v="0"/>
    <n v="0"/>
    <n v="0"/>
    <n v="0"/>
    <n v="0"/>
    <n v="0"/>
    <n v="0"/>
    <n v="0"/>
    <n v="2288.52"/>
  </r>
  <r>
    <s v="ERP-033"/>
    <x v="315"/>
    <s v="Ganesan, Srinivasan_SOFTWARE_EnhanceChargeout001"/>
    <s v="ERP"/>
    <s v="Patel, Apurva"/>
    <s v="Ganesan, Srinivasan"/>
    <s v="Ganesan, Srinivasan"/>
    <s v="Hase, Raj"/>
    <s v="Ganesan, Srinivasan"/>
    <s v="DeHart, Lynn"/>
    <x v="9"/>
    <s v="DIGITAL-MICROSOFTEA"/>
    <m/>
    <s v="2340697"/>
    <x v="1"/>
    <m/>
    <m/>
    <m/>
    <x v="2"/>
    <m/>
    <m/>
    <m/>
    <m/>
    <m/>
    <m/>
    <m/>
    <m/>
    <m/>
    <n v="90"/>
    <n v="0"/>
    <n v="0"/>
    <m/>
    <m/>
    <m/>
    <m/>
    <m/>
    <m/>
    <n v="90"/>
    <n v="90"/>
    <m/>
    <n v="0"/>
    <n v="90"/>
    <m/>
    <n v="90"/>
    <m/>
    <m/>
    <m/>
    <m/>
    <m/>
    <m/>
    <m/>
    <m/>
    <m/>
    <m/>
    <m/>
    <m/>
    <m/>
    <m/>
    <m/>
    <m/>
    <m/>
    <m/>
    <m/>
    <m/>
    <m/>
    <m/>
    <m/>
    <m/>
    <m/>
    <m/>
    <m/>
  </r>
  <r>
    <s v="L-ERP-342"/>
    <x v="56"/>
    <s v="Maguire, Karla_COMPENSATION_CompBenefits001"/>
    <s v="ERP"/>
    <s v="Patel, Apurva"/>
    <s v="Dougherty, Chris"/>
    <s v="Dougherty, Chris"/>
    <s v="Dougherty, Chris"/>
    <s v="Maguire, Karla"/>
    <s v="Maguire, Karla"/>
    <x v="2"/>
    <s v="Benefits"/>
    <m/>
    <m/>
    <x v="3"/>
    <s v="CHW - Ok"/>
    <s v="N/A"/>
    <m/>
    <x v="0"/>
    <m/>
    <m/>
    <n v="3920122.6999999993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5760.76"/>
    <n v="93858.59"/>
    <n v="103661.36"/>
    <n v="322835.13"/>
    <n v="322835.13"/>
    <n v="322835.13"/>
    <n v="330985.75"/>
    <n v="330985.75"/>
    <n v="338079.72"/>
    <n v="338079.72"/>
    <n v="338079.72"/>
    <n v="338079.72"/>
    <n v="3276076.4799999995"/>
  </r>
  <r>
    <s v="L-ERP-343"/>
    <x v="57"/>
    <s v="Maguire, Karla_COMPENSATION_CompBonus001"/>
    <s v="ERP"/>
    <s v="Patel, Apurva"/>
    <s v="Dougherty, Chris"/>
    <s v="Dougherty, Chris"/>
    <s v="Dougherty, Chris"/>
    <s v="Maguire, Karla"/>
    <s v="Maguire, Karla"/>
    <x v="2"/>
    <s v="Bonus"/>
    <m/>
    <m/>
    <x v="4"/>
    <s v="CHW - Ok"/>
    <s v="N/A"/>
    <m/>
    <x v="0"/>
    <m/>
    <m/>
    <n v="1729258.84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0770.12"/>
    <n v="51960.62"/>
    <n v="52695.87"/>
    <n v="142100.94"/>
    <n v="142100.94"/>
    <n v="142100.94"/>
    <n v="146019.5"/>
    <n v="146019.5"/>
    <n v="150075.81"/>
    <n v="150075.81"/>
    <n v="150075.81"/>
    <n v="150075.81"/>
    <n v="1474071.6700000002"/>
  </r>
  <r>
    <s v="L-ERP-344"/>
    <x v="58"/>
    <s v="Maguire, Karla_COMPENSATION_CompSalary001"/>
    <s v="ERP"/>
    <s v="Patel, Apurva"/>
    <s v="Dougherty, Chris"/>
    <s v="Dougherty, Chris"/>
    <s v="Dougherty, Chris"/>
    <s v="Maguire, Karla"/>
    <s v="Maguire, Karla"/>
    <x v="2"/>
    <s v="Salary"/>
    <m/>
    <m/>
    <x v="55"/>
    <s v="CHW - Ok"/>
    <s v="N/A"/>
    <m/>
    <x v="0"/>
    <s v="KP- Could you confirm who this line was transferred to?"/>
    <m/>
    <n v="9831851.3300000001"/>
    <n v="15406112.624272117"/>
    <m/>
    <m/>
    <n v="1402914.3999999987"/>
    <n v="1397677.6399999992"/>
    <n v="1375284.8299999998"/>
    <n v="1433399.4699999997"/>
    <n v="1510809.23"/>
    <n v="372672.31999999989"/>
    <n v="1208851.7277970032"/>
    <n v="1221091.4455470033"/>
    <n v="1194419.2817703367"/>
    <n v="1239489.2742341459"/>
    <n v="1239489.2742341459"/>
    <n v="1254635.0692481461"/>
    <n v="14850733.96283078"/>
    <n v="-555378.66144133732"/>
    <n v="1250571.8632276698"/>
    <n v="-877899.54322767002"/>
    <n v="-555378.66144133732"/>
    <m/>
    <n v="-555378.66144133732"/>
    <m/>
    <n v="1402914.3999999987"/>
    <n v="1397677.6399999992"/>
    <n v="1375284.8299999998"/>
    <n v="1386261.7499999984"/>
    <n v="1250571.8632276698"/>
    <n v="1235426.0682136698"/>
    <n v="1208851.7277970032"/>
    <n v="1221091.4455470033"/>
    <n v="1194419.2817703367"/>
    <n v="1239489.2742341459"/>
    <n v="1239489.2742341459"/>
    <n v="1254635.0692481461"/>
    <n v="15406112.624272117"/>
    <n v="270417.52"/>
    <n v="276999.43"/>
    <n v="232520.6"/>
    <n v="809656.43"/>
    <n v="809656.43"/>
    <n v="809656.43"/>
    <n v="829249.26"/>
    <n v="829249.26"/>
    <n v="854062.66"/>
    <n v="854062.66"/>
    <n v="854062.66"/>
    <n v="854062.66"/>
    <n v="8283656.0000000009"/>
  </r>
  <r>
    <s v="L-ERP-133"/>
    <x v="316"/>
    <s v="Ganesan, Srinivasan_SOFTWARE_EP&amp;SCharges001"/>
    <s v="ERP"/>
    <s v="Patel, Apurva"/>
    <s v="Ganesan, Srinivasan"/>
    <s v="Ganesan, Srinivasan"/>
    <s v="Hase, Raj"/>
    <s v="Ganesan, Srinivasan"/>
    <s v="DeHart, Lynn"/>
    <x v="9"/>
    <s v="Infrastructure Billing Charges"/>
    <m/>
    <m/>
    <x v="6"/>
    <m/>
    <s v="N/A"/>
    <m/>
    <x v="3"/>
    <m/>
    <m/>
    <n v="4200"/>
    <n v="3888.09"/>
    <m/>
    <m/>
    <n v="251.53"/>
    <n v="246.74"/>
    <n v="239.82"/>
    <n v="236.11"/>
    <n v="0"/>
    <n v="0"/>
    <n v="350"/>
    <n v="350"/>
    <n v="350"/>
    <n v="350"/>
    <n v="350"/>
    <n v="350"/>
    <n v="3074.2"/>
    <n v="-813.89000000000033"/>
    <n v="350"/>
    <n v="-350"/>
    <n v="-813.89"/>
    <m/>
    <n v="-813.89000000000033"/>
    <m/>
    <n v="251.53"/>
    <n v="246.74"/>
    <n v="239.82"/>
    <n v="350"/>
    <n v="350"/>
    <n v="350"/>
    <n v="350"/>
    <n v="350"/>
    <n v="350"/>
    <n v="350"/>
    <n v="350"/>
    <n v="350"/>
    <n v="3888.09"/>
    <n v="251.53"/>
    <n v="246.74"/>
    <n v="239.82"/>
    <n v="350"/>
    <n v="350"/>
    <n v="350"/>
    <n v="350"/>
    <n v="350"/>
    <n v="350"/>
    <n v="350"/>
    <n v="350"/>
    <n v="350"/>
    <n v="3888.09"/>
  </r>
  <r>
    <s v="L-ERP-345"/>
    <x v="317"/>
    <s v="Maguire, Karla_DEPRECIATION_ERP_Depre001"/>
    <s v="ERP"/>
    <s v="Patel, Apurva"/>
    <s v="Dougherty, Chris"/>
    <s v="Dougherty, Chris"/>
    <s v="Dougherty, Chris"/>
    <s v="Maguire, Karla"/>
    <s v="Maguire, Karla"/>
    <x v="3"/>
    <s v="ERP Activated Assets"/>
    <m/>
    <m/>
    <x v="5"/>
    <m/>
    <s v="N/A"/>
    <m/>
    <x v="0"/>
    <s v="KP - Would you mind to provide more details please - thank you '5/18/26 CHW - Updated "/>
    <m/>
    <n v="0"/>
    <n v="22573.91"/>
    <m/>
    <m/>
    <n v="656"/>
    <n v="1537.91"/>
    <n v="2038"/>
    <n v="1762"/>
    <n v="2888.0000000000005"/>
    <n v="1761.9999999999998"/>
    <n v="2038"/>
    <n v="2038"/>
    <n v="2038"/>
    <n v="2038"/>
    <n v="2038"/>
    <n v="2038"/>
    <n v="22871.91"/>
    <n v="298"/>
    <n v="2038"/>
    <n v="-276.00000000000023"/>
    <n v="298"/>
    <m/>
    <n v="298"/>
    <m/>
    <n v="656"/>
    <n v="1537.91"/>
    <n v="2038"/>
    <n v="2038"/>
    <n v="2038"/>
    <n v="2038"/>
    <n v="2038"/>
    <n v="2038"/>
    <n v="2038"/>
    <n v="2038"/>
    <n v="2038"/>
    <n v="2038"/>
    <n v="22573.91"/>
    <n v="656"/>
    <n v="1537.91"/>
    <n v="2038"/>
    <n v="0"/>
    <n v="0"/>
    <n v="0"/>
    <n v="0"/>
    <n v="0"/>
    <n v="0"/>
    <n v="0"/>
    <n v="0"/>
    <n v="0"/>
    <n v="4231.91"/>
  </r>
  <r>
    <s v="L-ERP-132"/>
    <x v="318"/>
    <s v="Ganesan, Srinivasan_SOFTWARE_IT-FBT0658-OG-US-00"/>
    <s v="ERP"/>
    <s v="Patel, Apurva"/>
    <s v="Ganesan, Srinivasan"/>
    <s v="Ganesan, Srinivasan"/>
    <s v="Hase, Raj"/>
    <s v="Ganesan, Srinivasan"/>
    <s v="DeHart, Lynn"/>
    <x v="9"/>
    <s v="Logistics LMS &amp; Manhattan IoD"/>
    <m/>
    <m/>
    <x v="247"/>
    <m/>
    <s v="N/A"/>
    <m/>
    <x v="3"/>
    <m/>
    <m/>
    <n v="3348"/>
    <n v="3659.38"/>
    <m/>
    <m/>
    <n v="279.45999999999998"/>
    <n v="279.45999999999998"/>
    <n v="589.46"/>
    <n v="279.45999999999998"/>
    <n v="279.45999999999998"/>
    <n v="279.45999999999998"/>
    <n v="279"/>
    <n v="279"/>
    <n v="279"/>
    <n v="279"/>
    <n v="279"/>
    <n v="279"/>
    <n v="3660.76"/>
    <n v="1.3800000000001091"/>
    <n v="279"/>
    <n v="0.45999999999997954"/>
    <n v="1.3800000000001091"/>
    <m/>
    <n v="1.3800000000001091"/>
    <s v="Related to Manhattan software. Don't know why this is being separated."/>
    <n v="279.45999999999998"/>
    <n v="279.45999999999998"/>
    <n v="589.46"/>
    <n v="279"/>
    <n v="279"/>
    <n v="279"/>
    <n v="279"/>
    <n v="279"/>
    <n v="279"/>
    <n v="279"/>
    <n v="279"/>
    <n v="279"/>
    <n v="3659.38"/>
    <n v="279.45999999999998"/>
    <n v="279.45999999999998"/>
    <n v="589.46"/>
    <n v="279"/>
    <n v="279"/>
    <n v="279"/>
    <n v="279"/>
    <n v="279"/>
    <n v="279"/>
    <n v="279"/>
    <n v="279"/>
    <n v="279"/>
    <n v="3659.38"/>
  </r>
  <r>
    <s v="L-ERP-162"/>
    <x v="319"/>
    <s v="Ganesan, Srinivasan_SOFTWARE_IT-FBT0784-OG-US-00"/>
    <s v="ERP"/>
    <s v="Patel, Apurva"/>
    <s v="Ganesan, Srinivasan"/>
    <s v="Ganesan, Srinivasan"/>
    <s v="Hase, Raj"/>
    <s v="Ganesan, Srinivasan"/>
    <s v="DeHart, Lynn"/>
    <x v="9"/>
    <s v="GLNS Analytics Resources"/>
    <m/>
    <m/>
    <x v="244"/>
    <s v="CHW - F/U"/>
    <s v="9501171323"/>
    <m/>
    <x v="0"/>
    <m/>
    <m/>
    <n v="0"/>
    <n v="292.39999999999998"/>
    <m/>
    <m/>
    <m/>
    <m/>
    <n v="292.39999999999998"/>
    <n v="0"/>
    <n v="0"/>
    <n v="0"/>
    <n v="0"/>
    <n v="0"/>
    <n v="0"/>
    <n v="0"/>
    <n v="0"/>
    <n v="0"/>
    <n v="292.39999999999998"/>
    <n v="0"/>
    <n v="0"/>
    <n v="0"/>
    <n v="0"/>
    <m/>
    <n v="0"/>
    <s v="Jira License for GLNS Analytics. Budget availabile under IT-SFT1267-xx"/>
    <m/>
    <m/>
    <n v="292.39999999999998"/>
    <n v="0"/>
    <n v="0"/>
    <n v="0"/>
    <n v="0"/>
    <n v="0"/>
    <n v="0"/>
    <n v="0"/>
    <n v="0"/>
    <n v="0"/>
    <n v="292.39999999999998"/>
    <m/>
    <m/>
    <n v="292.39999999999998"/>
    <n v="0"/>
    <n v="0"/>
    <n v="0"/>
    <n v="0"/>
    <n v="0"/>
    <n v="0"/>
    <n v="0"/>
    <n v="0"/>
    <n v="0"/>
    <n v="292.39999999999998"/>
  </r>
  <r>
    <s v="ERP-034"/>
    <x v="320"/>
    <s v="Ganesan, Srinivasan_SOFTWARE_IT-FGS0300-SW-US-00"/>
    <s v="ERP"/>
    <s v="Patel, Apurva"/>
    <s v="Ganesan, Srinivasan"/>
    <s v="Ganesan, Srinivasan"/>
    <s v="Hase, Raj"/>
    <s v="Ganesan, Srinivasan"/>
    <s v="DeHart, Lynn"/>
    <x v="9"/>
    <s v="DIGITAL-COPILOT"/>
    <m/>
    <s v="2320521"/>
    <x v="127"/>
    <m/>
    <m/>
    <m/>
    <x v="2"/>
    <m/>
    <m/>
    <m/>
    <m/>
    <m/>
    <m/>
    <m/>
    <m/>
    <m/>
    <n v="454"/>
    <n v="227"/>
    <n v="227"/>
    <m/>
    <m/>
    <m/>
    <m/>
    <m/>
    <m/>
    <n v="908"/>
    <n v="908"/>
    <m/>
    <n v="227"/>
    <n v="908"/>
    <m/>
    <n v="908"/>
    <m/>
    <m/>
    <m/>
    <m/>
    <m/>
    <m/>
    <m/>
    <m/>
    <m/>
    <m/>
    <m/>
    <m/>
    <m/>
    <m/>
    <m/>
    <m/>
    <m/>
    <m/>
    <m/>
    <m/>
    <m/>
    <m/>
    <m/>
    <m/>
    <m/>
    <m/>
    <m/>
  </r>
  <r>
    <s v="L-ERP-134"/>
    <x v="321"/>
    <s v="Ganesan, Srinivasan_SOFTWARE_IT-FGS0302-SW-US-00"/>
    <s v="ERP"/>
    <s v="Patel, Apurva"/>
    <s v="Ganesan, Srinivasan"/>
    <s v="Ganesan, Srinivasan"/>
    <s v="Hase, Raj"/>
    <s v="Ganesan, Srinivasan"/>
    <s v="DeHart, Lynn"/>
    <x v="9"/>
    <s v="Microsoft O365/M365 Licenses"/>
    <m/>
    <m/>
    <x v="128"/>
    <m/>
    <s v="N/A"/>
    <m/>
    <x v="28"/>
    <m/>
    <m/>
    <n v="6000"/>
    <n v="4931"/>
    <m/>
    <m/>
    <n v="431"/>
    <n v="0"/>
    <n v="0"/>
    <n v="0"/>
    <n v="0"/>
    <n v="431"/>
    <n v="500"/>
    <n v="500"/>
    <n v="500"/>
    <n v="500"/>
    <n v="500"/>
    <n v="500"/>
    <n v="3862"/>
    <n v="-1069"/>
    <n v="500"/>
    <n v="-69"/>
    <n v="-1069"/>
    <m/>
    <n v="-1069"/>
    <m/>
    <n v="431"/>
    <n v="0"/>
    <n v="0"/>
    <n v="500"/>
    <n v="500"/>
    <n v="500"/>
    <n v="500"/>
    <n v="500"/>
    <n v="500"/>
    <n v="500"/>
    <n v="500"/>
    <n v="500"/>
    <n v="4931"/>
    <n v="431"/>
    <n v="0"/>
    <n v="0"/>
    <n v="500"/>
    <n v="500"/>
    <n v="500"/>
    <n v="500"/>
    <n v="500"/>
    <n v="500"/>
    <n v="500"/>
    <n v="500"/>
    <n v="500"/>
    <n v="4931"/>
  </r>
  <r>
    <s v="L-ERP-175"/>
    <x v="322"/>
    <s v="Ganesan, Srinivasan_SOFTWARE_IT-SFT0486-86-OG-MX"/>
    <s v="ERP"/>
    <s v="Patel, Apurva"/>
    <s v="Ganesan, Srinivasan"/>
    <s v="Ganesan, Srinivasan"/>
    <s v="Hase, Raj"/>
    <s v="Ganesan, Srinivasan"/>
    <s v="DeHart, Lynn"/>
    <x v="9"/>
    <s v="Logistics Lakos WMS Software (Stocklin)_XFR1019"/>
    <m/>
    <m/>
    <x v="256"/>
    <m/>
    <m/>
    <m/>
    <x v="49"/>
    <m/>
    <m/>
    <n v="50000"/>
    <n v="50000"/>
    <m/>
    <m/>
    <m/>
    <m/>
    <m/>
    <s v=""/>
    <n v="0"/>
    <n v="0"/>
    <m/>
    <m/>
    <m/>
    <n v="50000"/>
    <n v="0"/>
    <n v="0"/>
    <n v="50000"/>
    <n v="0"/>
    <m/>
    <n v="0"/>
    <n v="0"/>
    <m/>
    <n v="0"/>
    <m/>
    <m/>
    <m/>
    <m/>
    <m/>
    <m/>
    <m/>
    <m/>
    <m/>
    <m/>
    <n v="50000"/>
    <n v="0"/>
    <n v="0"/>
    <n v="50000"/>
    <m/>
    <m/>
    <m/>
    <m/>
    <m/>
    <m/>
    <m/>
    <m/>
    <m/>
    <n v="50000"/>
    <n v="0"/>
    <n v="0"/>
    <n v="50000"/>
  </r>
  <r>
    <s v="L-ERP-163"/>
    <x v="323"/>
    <s v="Ganesan, Srinivasan_SOFTWARE_IT-SFT1042-02-OG-US"/>
    <s v="ERP"/>
    <s v="Patel, Apurva"/>
    <s v="Ganesan, Srinivasan"/>
    <s v="Ganesan, Srinivasan"/>
    <s v="Hase, Raj"/>
    <s v="Ganesan, Srinivasan"/>
    <s v="DeHart, Lynn"/>
    <x v="9"/>
    <s v="GLNS Visual Compliance"/>
    <m/>
    <m/>
    <x v="257"/>
    <m/>
    <m/>
    <m/>
    <x v="0"/>
    <m/>
    <m/>
    <n v="5000"/>
    <n v="5000"/>
    <m/>
    <m/>
    <m/>
    <m/>
    <m/>
    <s v=""/>
    <n v="0"/>
    <n v="0"/>
    <m/>
    <m/>
    <m/>
    <m/>
    <m/>
    <n v="5000"/>
    <n v="5000"/>
    <n v="0"/>
    <m/>
    <n v="0"/>
    <n v="0"/>
    <m/>
    <n v="0"/>
    <s v="Visual Compliance"/>
    <m/>
    <m/>
    <m/>
    <m/>
    <m/>
    <m/>
    <m/>
    <m/>
    <m/>
    <m/>
    <m/>
    <n v="5000"/>
    <n v="5000"/>
    <m/>
    <m/>
    <m/>
    <m/>
    <m/>
    <m/>
    <m/>
    <m/>
    <m/>
    <m/>
    <m/>
    <n v="5000"/>
    <n v="5000"/>
  </r>
  <r>
    <s v="L-ERP-140"/>
    <x v="324"/>
    <s v="Ganesan, Srinivasan_SOFTWARE_IT-SFT1126-86-OG-US"/>
    <s v="ERP"/>
    <s v="Patel, Apurva"/>
    <s v="Ganesan, Srinivasan"/>
    <s v="Ganesan, Srinivasan"/>
    <s v="Hase, Raj"/>
    <s v="Ganesan, Srinivasan"/>
    <s v="DeHart, Lynn"/>
    <x v="9"/>
    <s v="Mulesoft - License Maintenance_XFR0926"/>
    <m/>
    <m/>
    <x v="258"/>
    <m/>
    <m/>
    <m/>
    <x v="8"/>
    <m/>
    <m/>
    <n v="25000"/>
    <n v="25000"/>
    <m/>
    <m/>
    <m/>
    <m/>
    <m/>
    <s v=""/>
    <n v="0"/>
    <n v="0"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127"/>
    <x v="325"/>
    <s v="Ganesan, Srinivasan_SOFTWARE_IT-SFT1194-86-OG-US"/>
    <s v="ERP"/>
    <s v="Patel, Apurva"/>
    <s v="Ganesan, Srinivasan"/>
    <s v="Ganesan, Srinivasan"/>
    <s v="Hase, Raj"/>
    <s v="Ganesan, Srinivasan"/>
    <s v="DeHart, Lynn"/>
    <x v="9"/>
    <s v="DevSecOps"/>
    <m/>
    <m/>
    <x v="190"/>
    <m/>
    <s v="N/A"/>
    <m/>
    <x v="40"/>
    <m/>
    <m/>
    <n v="8000"/>
    <n v="16362.7"/>
    <m/>
    <m/>
    <m/>
    <m/>
    <n v="10362.700000000001"/>
    <n v="0"/>
    <n v="0"/>
    <n v="8211.1"/>
    <n v="0"/>
    <n v="0"/>
    <n v="2000"/>
    <n v="0"/>
    <n v="2000"/>
    <n v="0"/>
    <n v="22573.800000000003"/>
    <n v="6211.1000000000022"/>
    <n v="0"/>
    <n v="8211.1"/>
    <n v="6211.1000000000022"/>
    <m/>
    <n v="6211.1000000000022"/>
    <m/>
    <m/>
    <m/>
    <n v="10362.700000000001"/>
    <n v="0"/>
    <n v="0"/>
    <n v="2000"/>
    <n v="0"/>
    <n v="0"/>
    <n v="2000"/>
    <n v="0"/>
    <n v="2000"/>
    <n v="0"/>
    <n v="16362.7"/>
    <m/>
    <m/>
    <n v="10362.700000000001"/>
    <n v="0"/>
    <n v="0"/>
    <n v="2000"/>
    <n v="0"/>
    <n v="0"/>
    <n v="2000"/>
    <n v="0"/>
    <n v="2000"/>
    <n v="0"/>
    <n v="16362.7"/>
  </r>
  <r>
    <s v="L-ERP-164"/>
    <x v="326"/>
    <s v="Ganesan, Srinivasan_SOFTWARE_IT-SFT1205-86-OG-US"/>
    <s v="ERP"/>
    <s v="Patel, Apurva"/>
    <s v="Ganesan, Srinivasan"/>
    <s v="Ganesan, Srinivasan"/>
    <s v="Hase, Raj"/>
    <s v="Ganesan, Srinivasan"/>
    <s v="DeHart, Lynn"/>
    <x v="9"/>
    <s v="Logistics E2Open Software Support"/>
    <m/>
    <m/>
    <x v="246"/>
    <m/>
    <m/>
    <m/>
    <x v="0"/>
    <m/>
    <m/>
    <n v="21665.519999999993"/>
    <n v="21665.52"/>
    <m/>
    <m/>
    <m/>
    <m/>
    <m/>
    <s v=""/>
    <n v="0"/>
    <n v="0"/>
    <m/>
    <m/>
    <m/>
    <n v="21665.52"/>
    <m/>
    <m/>
    <n v="21665.52"/>
    <n v="0"/>
    <m/>
    <n v="0"/>
    <n v="0"/>
    <m/>
    <n v="0"/>
    <s v="Logistics E2Open Software Support"/>
    <m/>
    <m/>
    <m/>
    <m/>
    <m/>
    <m/>
    <m/>
    <m/>
    <m/>
    <n v="21665.52"/>
    <m/>
    <m/>
    <n v="21665.52"/>
    <m/>
    <m/>
    <m/>
    <n v="1805.46"/>
    <n v="1805.46"/>
    <n v="1805.46"/>
    <n v="1805.46"/>
    <n v="1805.46"/>
    <n v="1805.46"/>
    <n v="1805.46"/>
    <n v="1805.46"/>
    <n v="1805.46"/>
    <n v="16249.139999999996"/>
  </r>
  <r>
    <s v="N-ERP-563"/>
    <x v="327"/>
    <s v="Ganesan, Srinivasan_SOFTWARE_IT-SFT1224-86-OG-US"/>
    <s v="ERP"/>
    <s v="Patel, Apurva"/>
    <s v="Ganesan, Srinivasan"/>
    <s v="Ganesan, Srinivasan"/>
    <s v="Hase, Raj"/>
    <s v="Ganesan, Srinivasan"/>
    <s v="DeHart, Lynn"/>
    <x v="9"/>
    <s v="GLNS Analytics - Snowflake Compute Software"/>
    <m/>
    <m/>
    <x v="259"/>
    <m/>
    <m/>
    <m/>
    <x v="0"/>
    <s v="4/28/26 CHW New add to tie-out 0223 to 0317 Planful Extracts"/>
    <m/>
    <n v="65000"/>
    <n v="0"/>
    <m/>
    <m/>
    <m/>
    <m/>
    <m/>
    <s v=""/>
    <n v="0"/>
    <n v="0"/>
    <n v="0"/>
    <n v="0"/>
    <n v="0"/>
    <n v="65000"/>
    <n v="0"/>
    <n v="0"/>
    <n v="65000"/>
    <n v="65000"/>
    <n v="0"/>
    <n v="0"/>
    <n v="0"/>
    <m/>
    <n v="65000"/>
    <m/>
    <m/>
    <m/>
    <m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65000"/>
  </r>
  <r>
    <s v="N-ERP-564"/>
    <x v="328"/>
    <s v="Ganesan, Srinivasan_SOFTWARE_IT-SFT1262-86-OG-US"/>
    <s v="ERP"/>
    <s v="Patel, Apurva"/>
    <s v="Ganesan, Srinivasan"/>
    <s v="Ganesan, Srinivasan"/>
    <s v="Hase, Raj"/>
    <s v="Ganesan, Srinivasan"/>
    <s v="DeHart, Lynn"/>
    <x v="9"/>
    <s v="Logistics Ship It Control Tower"/>
    <m/>
    <m/>
    <x v="260"/>
    <m/>
    <m/>
    <m/>
    <x v="0"/>
    <s v="4/28/26 CHW New add to tie-out 0223 to 0317 Planful Extracts replaced by ShipERP "/>
    <m/>
    <n v="32000"/>
    <n v="32000"/>
    <m/>
    <m/>
    <m/>
    <m/>
    <m/>
    <s v=""/>
    <n v="0"/>
    <n v="0"/>
    <n v="0"/>
    <n v="0"/>
    <n v="0"/>
    <n v="32000"/>
    <n v="0"/>
    <n v="0"/>
    <n v="32000"/>
    <n v="0"/>
    <n v="0"/>
    <n v="0"/>
    <n v="0"/>
    <m/>
    <n v="0"/>
    <s v="ShipItControl Tower"/>
    <m/>
    <m/>
    <m/>
    <n v="0"/>
    <n v="0"/>
    <n v="0"/>
    <n v="0"/>
    <n v="0"/>
    <n v="0"/>
    <n v="32000"/>
    <n v="0"/>
    <n v="0"/>
    <n v="32000"/>
    <n v="0"/>
    <n v="32000"/>
    <n v="0"/>
    <n v="0"/>
    <n v="0"/>
    <n v="0"/>
    <n v="0"/>
    <n v="0"/>
    <n v="0"/>
    <n v="0"/>
    <n v="0"/>
    <n v="0"/>
    <n v="32000"/>
  </r>
  <r>
    <s v="L-ERP-165"/>
    <x v="329"/>
    <s v="Ganesan, Srinivasan_SOFTWARE_IT-SFT1266-86-OG-US"/>
    <s v="ERP"/>
    <s v="Patel, Apurva"/>
    <s v="Ganesan, Srinivasan"/>
    <s v="Ganesan, Srinivasan"/>
    <s v="Hase, Raj"/>
    <s v="Ganesan, Srinivasan"/>
    <s v="DeHart, Lynn"/>
    <x v="9"/>
    <s v="GLNS Cloud Orchestration Airflow license for BI"/>
    <m/>
    <m/>
    <x v="261"/>
    <m/>
    <m/>
    <m/>
    <x v="0"/>
    <m/>
    <m/>
    <n v="5000"/>
    <n v="5000"/>
    <m/>
    <m/>
    <m/>
    <m/>
    <m/>
    <s v=""/>
    <n v="0"/>
    <n v="0"/>
    <m/>
    <m/>
    <n v="5000"/>
    <n v="0"/>
    <n v="0"/>
    <n v="0"/>
    <n v="5000"/>
    <n v="0"/>
    <m/>
    <n v="0"/>
    <n v="0"/>
    <m/>
    <n v="0"/>
    <m/>
    <m/>
    <m/>
    <m/>
    <m/>
    <m/>
    <m/>
    <m/>
    <m/>
    <n v="5000"/>
    <n v="0"/>
    <n v="0"/>
    <n v="0"/>
    <n v="5000"/>
    <m/>
    <m/>
    <m/>
    <m/>
    <m/>
    <m/>
    <m/>
    <m/>
    <n v="5000"/>
    <n v="0"/>
    <n v="0"/>
    <n v="0"/>
    <n v="5000"/>
  </r>
  <r>
    <s v="L-ERP-166"/>
    <x v="330"/>
    <s v="Ganesan, Srinivasan_SOFTWARE_IT-SFT1267-86-OG-US"/>
    <s v="ERP"/>
    <s v="Patel, Apurva"/>
    <s v="Ganesan, Srinivasan"/>
    <s v="Ganesan, Srinivasan"/>
    <s v="Hase, Raj"/>
    <s v="Ganesan, Srinivasan"/>
    <s v="DeHart, Lynn"/>
    <x v="9"/>
    <s v="GLNS Annual Jira licenses"/>
    <m/>
    <m/>
    <x v="262"/>
    <m/>
    <m/>
    <m/>
    <x v="0"/>
    <m/>
    <m/>
    <n v="6000"/>
    <n v="4500"/>
    <m/>
    <m/>
    <m/>
    <m/>
    <m/>
    <s v=""/>
    <n v="0"/>
    <n v="2323.36"/>
    <n v="0"/>
    <n v="0"/>
    <n v="1500"/>
    <n v="0"/>
    <n v="0"/>
    <n v="1500"/>
    <n v="5323.3600000000006"/>
    <n v="823.36000000000058"/>
    <m/>
    <n v="2323.36"/>
    <n v="823.36000000000013"/>
    <m/>
    <n v="823.36000000000058"/>
    <m/>
    <m/>
    <m/>
    <m/>
    <m/>
    <m/>
    <n v="1500"/>
    <n v="0"/>
    <n v="0"/>
    <n v="1500"/>
    <n v="0"/>
    <n v="0"/>
    <n v="1500"/>
    <n v="4500"/>
    <m/>
    <m/>
    <m/>
    <m/>
    <m/>
    <n v="1500"/>
    <n v="0"/>
    <n v="0"/>
    <n v="1500"/>
    <n v="0"/>
    <n v="0"/>
    <n v="1500"/>
    <n v="4500"/>
  </r>
  <r>
    <s v="N-ERP-565"/>
    <x v="331"/>
    <s v="Ganesan, Srinivasan_SOFTWARE_IT-SFT1269-86-OG-US"/>
    <s v="ERP"/>
    <s v="Patel, Apurva"/>
    <s v="Ganesan, Srinivasan"/>
    <s v="Ganesan, Srinivasan"/>
    <s v="Hase, Raj"/>
    <s v="Ganesan, Srinivasan"/>
    <s v="DeHart, Lynn"/>
    <x v="9"/>
    <s v="Logistics LMS Manhattan Maintenance Support"/>
    <s v="MANHATTAN ASSOCIATES"/>
    <s v="2320521"/>
    <x v="263"/>
    <m/>
    <s v="9501147319"/>
    <s v="Yes"/>
    <x v="45"/>
    <s v="5/12/26 CHW - Current PO covers 1/1 to 12/31 2026 Removed forecast"/>
    <m/>
    <n v="111372.91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s v="Manhatan LMS - Need to discuss plan for 2027"/>
    <m/>
    <m/>
    <m/>
    <n v="0"/>
    <n v="0"/>
    <n v="0"/>
    <n v="0"/>
    <n v="0"/>
    <n v="0"/>
    <n v="0"/>
    <n v="0"/>
    <m/>
    <n v="0"/>
    <n v="111372.91"/>
    <n v="0"/>
    <n v="0"/>
    <n v="0"/>
    <n v="0"/>
    <n v="0"/>
    <n v="0"/>
    <n v="0"/>
    <n v="0"/>
    <n v="0"/>
    <n v="0"/>
    <n v="0"/>
    <n v="111372.91"/>
  </r>
  <r>
    <s v="N-ERP-566"/>
    <x v="332"/>
    <s v="Ganesan, Srinivasan_SOFTWARE_IT-SFT1269-86-OG-US/PF"/>
    <s v="ERP"/>
    <s v="Patel, Apurva"/>
    <s v="Ganesan, Srinivasan"/>
    <s v="Ganesan, Srinivasan"/>
    <s v="Hase, Raj"/>
    <s v="Ganesan, Srinivasan"/>
    <s v="DeHart, Lynn"/>
    <x v="9"/>
    <s v="Logistics LMS Manhattan Maintenance Support (Pullforward Credit)"/>
    <s v="MANHATTAN ASSOCIATES"/>
    <s v="2320521"/>
    <x v="264"/>
    <m/>
    <s v="9501147319"/>
    <s v="Yes"/>
    <x v="45"/>
    <s v="5/12/26 CHW - Current PO covers 1/1 to 12/31 2026"/>
    <m/>
    <n v="-111372.9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Manhatan LMS - Need to discuss plan for 2027"/>
    <m/>
    <m/>
    <m/>
    <n v="0"/>
    <n v="0"/>
    <n v="0"/>
    <n v="0"/>
    <n v="0"/>
    <n v="0"/>
    <n v="0"/>
    <n v="0"/>
    <n v="0"/>
    <n v="0"/>
    <n v="-111372.91"/>
    <n v="0"/>
    <n v="0"/>
    <n v="0"/>
    <n v="0"/>
    <n v="0"/>
    <n v="0"/>
    <n v="0"/>
    <n v="0"/>
    <n v="0"/>
    <n v="0"/>
    <n v="0"/>
    <n v="-111372.91"/>
  </r>
  <r>
    <s v="L-ERP-126"/>
    <x v="333"/>
    <s v="Ganesan, Srinivasan_SOFTWARE_IT-SFT1281-86-OG-US"/>
    <s v="ERP"/>
    <s v="Patel, Apurva"/>
    <s v="Ganesan, Srinivasan"/>
    <s v="Ganesan, Srinivasan"/>
    <s v="Hase, Raj"/>
    <s v="Ganesan, Srinivasan"/>
    <s v="DeHart, Lynn"/>
    <x v="9"/>
    <s v="CoPilot Licenses"/>
    <m/>
    <m/>
    <x v="265"/>
    <m/>
    <m/>
    <m/>
    <x v="27"/>
    <m/>
    <m/>
    <n v="0"/>
    <n v="227"/>
    <m/>
    <m/>
    <m/>
    <n v="227"/>
    <n v="0"/>
    <n v="0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168"/>
    <x v="334"/>
    <s v="Ganesan, Srinivasan_SOFTWARE_MISC001"/>
    <s v="ERP"/>
    <s v="Patel, Apurva"/>
    <s v="Ganesan, Srinivasan"/>
    <s v="Ganesan, Srinivasan"/>
    <s v="Hase, Raj"/>
    <s v="Ganesan, Srinivasan"/>
    <s v="DeHart, Lynn"/>
    <x v="9"/>
    <s v="Miscellaneous Charges"/>
    <m/>
    <m/>
    <x v="54"/>
    <m/>
    <m/>
    <m/>
    <x v="0"/>
    <m/>
    <m/>
    <n v="0"/>
    <n v="44.39"/>
    <m/>
    <m/>
    <n v="44.95"/>
    <n v="-0.67"/>
    <n v="0.11"/>
    <n v="0.56000000000000005"/>
    <n v="-0.46"/>
    <n v="0.08"/>
    <n v="0"/>
    <n v="0"/>
    <n v="0"/>
    <n v="0"/>
    <n v="0"/>
    <n v="0"/>
    <n v="44.57"/>
    <n v="0.17999999999999972"/>
    <n v="0"/>
    <n v="0.08"/>
    <n v="0.17999999999999972"/>
    <m/>
    <n v="0.17999999999999972"/>
    <m/>
    <n v="44.95"/>
    <n v="-0.67"/>
    <n v="0.11"/>
    <n v="0"/>
    <n v="0"/>
    <n v="0"/>
    <n v="0"/>
    <n v="0"/>
    <n v="0"/>
    <n v="0"/>
    <n v="0"/>
    <n v="0"/>
    <n v="44.39"/>
    <n v="44.95"/>
    <n v="-0.67"/>
    <n v="0.11"/>
    <n v="0"/>
    <n v="0"/>
    <n v="0"/>
    <n v="0"/>
    <n v="0"/>
    <n v="0"/>
    <n v="0"/>
    <n v="0"/>
    <n v="0"/>
    <n v="44.39"/>
  </r>
  <r>
    <s v="N-ERP-567"/>
    <x v="335"/>
    <s v="Hase, Raj_CONTRACTORS_ColleagueSolutions001"/>
    <s v="ERP"/>
    <s v="Patel, Apurva"/>
    <s v="Hase, Raj"/>
    <s v="Hase, Raj"/>
    <s v="Hase, Raj"/>
    <s v="Hase, Raj"/>
    <s v="DeHart, Lynn"/>
    <x v="0"/>
    <s v="Colleague Solutions Delivery Chargebacks"/>
    <m/>
    <m/>
    <x v="0"/>
    <s v="CHW - Ok"/>
    <s v="N/A"/>
    <m/>
    <x v="0"/>
    <s v="4/28/26 CHW New add to tie-out 0223 to 0317 Planful Extracts"/>
    <m/>
    <n v="437.38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0"/>
    <n v="437.38"/>
    <n v="0"/>
    <n v="0"/>
    <n v="0"/>
    <n v="0"/>
    <n v="0"/>
    <n v="0"/>
    <n v="0"/>
    <n v="0"/>
    <n v="0"/>
    <n v="0"/>
    <n v="437.38"/>
  </r>
  <r>
    <s v="L-ERP-341"/>
    <x v="147"/>
    <s v="Maguire, Karla_TELECOMMUNICATIONS_Telecom001"/>
    <s v="ERP"/>
    <s v="Patel, Apurva"/>
    <s v="Dougherty, Chris"/>
    <s v="Dougherty, Chris"/>
    <s v="Dougherty, Chris"/>
    <s v="Maguire, Karla"/>
    <s v="Maguire, Karla"/>
    <x v="5"/>
    <s v="Telecommunications"/>
    <m/>
    <m/>
    <x v="42"/>
    <m/>
    <m/>
    <m/>
    <x v="0"/>
    <s v="KP- Could you confirm who this line was transferred to?"/>
    <m/>
    <n v="78300"/>
    <n v="62093.21"/>
    <m/>
    <m/>
    <n v="350.82"/>
    <n v="683.3"/>
    <n v="1259.0899999999999"/>
    <n v="404.51000000000005"/>
    <n v="2183.5099999999993"/>
    <n v="2294.7200000000003"/>
    <n v="6500"/>
    <n v="6500"/>
    <n v="6900"/>
    <n v="6900"/>
    <n v="6900"/>
    <n v="6900"/>
    <n v="47775.95"/>
    <n v="-14317.260000000002"/>
    <n v="6400"/>
    <n v="-4105.28"/>
    <n v="-14317.259999999998"/>
    <m/>
    <n v="-14317.260000000002"/>
    <m/>
    <n v="350.82"/>
    <n v="683.3"/>
    <n v="1259.0899999999999"/>
    <n v="6400"/>
    <n v="6400"/>
    <n v="6400"/>
    <n v="6500"/>
    <n v="6500"/>
    <n v="6900"/>
    <n v="6900"/>
    <n v="6900"/>
    <n v="6900"/>
    <n v="62093.21"/>
    <n v="350.82"/>
    <n v="683.3"/>
    <n v="1259.0899999999999"/>
    <n v="6400"/>
    <n v="6400"/>
    <n v="6400"/>
    <n v="6500"/>
    <n v="6500"/>
    <n v="6900"/>
    <n v="6900"/>
    <n v="6900"/>
    <n v="6900"/>
    <n v="62093.21"/>
  </r>
  <r>
    <s v="L-ERP-347"/>
    <x v="148"/>
    <s v="Maguire, Karla_TRAVEL &amp; ENTERTAINMENT_TravelEnt001"/>
    <s v="ERP"/>
    <s v="Patel, Apurva"/>
    <s v="Dougherty, Chris"/>
    <s v="Dougherty, Chris"/>
    <s v="Dougherty, Chris"/>
    <s v="Maguire, Karla"/>
    <s v="Maguire, Karla"/>
    <x v="1"/>
    <s v="Travel and Entertainment"/>
    <m/>
    <m/>
    <x v="43"/>
    <m/>
    <s v="N/A"/>
    <m/>
    <x v="10"/>
    <s v="KP- Could you confirm who this line was transferred to?"/>
    <m/>
    <n v="0"/>
    <n v="7225.12"/>
    <m/>
    <m/>
    <n v="302.32"/>
    <n v="-468.02"/>
    <n v="7390.82"/>
    <n v="10390.350000000002"/>
    <n v="-6560.7800000000007"/>
    <n v="1751.47"/>
    <n v="0"/>
    <n v="0"/>
    <n v="0"/>
    <n v="0"/>
    <n v="0"/>
    <n v="0"/>
    <n v="12806.16"/>
    <n v="5581.04"/>
    <n v="0"/>
    <n v="1751.47"/>
    <n v="5581.04"/>
    <m/>
    <n v="5581.04"/>
    <m/>
    <n v="302.32"/>
    <n v="-468.02"/>
    <n v="7390.82"/>
    <n v="0"/>
    <n v="0"/>
    <n v="0"/>
    <n v="0"/>
    <n v="0"/>
    <n v="0"/>
    <n v="0"/>
    <n v="0"/>
    <n v="0"/>
    <n v="7225.12"/>
    <n v="302.32"/>
    <n v="-468.02"/>
    <n v="7390.82"/>
    <n v="0"/>
    <n v="0"/>
    <n v="0"/>
    <n v="0"/>
    <n v="0"/>
    <n v="0"/>
    <n v="0"/>
    <n v="0"/>
    <n v="0"/>
    <n v="7225.12"/>
  </r>
  <r>
    <s v="L-ERP-186"/>
    <x v="336"/>
    <s v="Hase, Raj_CONTRACTORS_EnhanceChargeout001"/>
    <s v="ERP"/>
    <s v="Patel, Apurva"/>
    <s v="Hase, Raj"/>
    <s v="Hase, Raj"/>
    <s v="Hase, Raj"/>
    <s v="Hase, Raj"/>
    <s v="DeHart, Lynn"/>
    <x v="0"/>
    <s v="Enhance Chargeout Cost Centers"/>
    <m/>
    <m/>
    <x v="1"/>
    <s v="CHW - F/U"/>
    <m/>
    <m/>
    <x v="0"/>
    <s v="6/15 - balance to zero"/>
    <m/>
    <n v="0"/>
    <n v="0"/>
    <m/>
    <m/>
    <n v="579568"/>
    <n v="-598991"/>
    <n v="-317436"/>
    <n v="577046"/>
    <n v="-397395"/>
    <n v="179883.00000000012"/>
    <m/>
    <m/>
    <m/>
    <m/>
    <m/>
    <m/>
    <n v="22675.000000000116"/>
    <n v="22675.000000000116"/>
    <n v="110000"/>
    <n v="69883.000000000116"/>
    <n v="22675.000000000116"/>
    <m/>
    <n v="22675.000000000116"/>
    <m/>
    <n v="579568"/>
    <n v="-598991"/>
    <n v="-317436"/>
    <n v="110000"/>
    <n v="110000"/>
    <n v="116859"/>
    <m/>
    <m/>
    <m/>
    <m/>
    <m/>
    <m/>
    <n v="0"/>
    <n v="579568"/>
    <n v="-598991"/>
    <n v="-317436"/>
    <n v="0"/>
    <n v="0"/>
    <n v="0"/>
    <n v="0"/>
    <n v="0"/>
    <n v="0"/>
    <n v="0"/>
    <n v="0"/>
    <n v="0"/>
    <n v="-336859"/>
  </r>
  <r>
    <s v="L-ERP-570"/>
    <x v="337"/>
    <s v="Yeluri, Durga_CONTRACTORS_EP&amp;SCharges001"/>
    <s v="ERP"/>
    <s v="Patel, Apurva"/>
    <s v="Hase, Raj"/>
    <s v="Yeluri, Durga"/>
    <s v="Hase, Raj"/>
    <s v="Yeluri, Durga"/>
    <s v="DeHart, Lynn"/>
    <x v="0"/>
    <s v="Infrastructure Billing Charges"/>
    <m/>
    <m/>
    <x v="6"/>
    <m/>
    <s v="N/A"/>
    <m/>
    <x v="3"/>
    <m/>
    <m/>
    <n v="24000"/>
    <n v="18457.8"/>
    <m/>
    <m/>
    <n v="366.24"/>
    <n v="0"/>
    <n v="91.56"/>
    <n v="0"/>
    <n v="0"/>
    <n v="0"/>
    <n v="2000"/>
    <n v="2000"/>
    <n v="2000"/>
    <n v="2000"/>
    <n v="2000"/>
    <n v="2000"/>
    <n v="12457.8"/>
    <n v="-6000"/>
    <n v="2000"/>
    <n v="-2000"/>
    <n v="-6000"/>
    <m/>
    <n v="-6000"/>
    <m/>
    <n v="366.24"/>
    <n v="0"/>
    <n v="91.56"/>
    <n v="2000"/>
    <n v="2000"/>
    <n v="2000"/>
    <n v="2000"/>
    <n v="2000"/>
    <n v="2000"/>
    <n v="2000"/>
    <n v="2000"/>
    <n v="2000"/>
    <n v="18457.8"/>
    <n v="366.24"/>
    <n v="0"/>
    <n v="91.56"/>
    <n v="2000"/>
    <n v="2000"/>
    <n v="2000"/>
    <n v="2000"/>
    <n v="2000"/>
    <n v="2000"/>
    <n v="2000"/>
    <n v="2000"/>
    <n v="2000"/>
    <n v="18457.8"/>
  </r>
  <r>
    <s v="ERP-038"/>
    <x v="338"/>
    <s v="Hase, Raj_CONTRACTORS_IT-FBT0450-OG-US-00"/>
    <s v="ERP"/>
    <s v="Patel, Apurva"/>
    <s v="Hase, Raj"/>
    <s v="Hase, Raj"/>
    <s v="Hase, Raj"/>
    <s v="Hase, Raj"/>
    <s v="Hase, Raj"/>
    <x v="0"/>
    <s v="CLD Retrieval Servic - RC03-RC05--MEDICAID CLAIMS LEVEL DETAIL (CLD) QUA"/>
    <m/>
    <s v="2329609"/>
    <x v="266"/>
    <m/>
    <s v="9501148914"/>
    <m/>
    <x v="2"/>
    <s v="6/15 Forecast moved from Managed Services L-ERP-180 to Contractors line ERP-038 to align with PO Actuals_x000a_Forecast moved from Mike H to Raj H"/>
    <m/>
    <m/>
    <m/>
    <m/>
    <m/>
    <m/>
    <m/>
    <m/>
    <m/>
    <n v="50000"/>
    <n v="0"/>
    <m/>
    <n v="50000"/>
    <m/>
    <n v="50000"/>
    <m/>
    <m/>
    <n v="150000"/>
    <n v="150000"/>
    <m/>
    <n v="0"/>
    <n v="50000"/>
    <m/>
    <n v="150000"/>
    <m/>
    <m/>
    <m/>
    <m/>
    <m/>
    <m/>
    <m/>
    <m/>
    <m/>
    <m/>
    <m/>
    <m/>
    <m/>
    <m/>
    <m/>
    <m/>
    <m/>
    <m/>
    <m/>
    <m/>
    <m/>
    <m/>
    <m/>
    <m/>
    <m/>
    <m/>
    <m/>
  </r>
  <r>
    <s v="ERP-039"/>
    <x v="339"/>
    <s v="Hase, Raj_CONTRACTORS_MISC001"/>
    <s v="ERP"/>
    <s v="Patel, Apurva"/>
    <s v="Hase, Raj"/>
    <s v="Hase, Raj"/>
    <s v="Hase, Raj"/>
    <s v="Hase, Raj"/>
    <s v="Hase, Raj"/>
    <x v="0"/>
    <s v="Miscellaneous Charges"/>
    <m/>
    <s v="2329609"/>
    <x v="54"/>
    <m/>
    <m/>
    <m/>
    <x v="2"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78"/>
    <x v="339"/>
    <s v="Yeluri, Durga_CONTRACTORS_MISC001"/>
    <s v="ERP"/>
    <s v="Patel, Apurva"/>
    <s v="Hase, Raj"/>
    <s v="Yeluri, Durga"/>
    <s v="Hase, Raj"/>
    <s v="Yeluri, Durga"/>
    <s v="DeHart, Lynn"/>
    <x v="0"/>
    <s v="Miscellaneous Charges"/>
    <m/>
    <m/>
    <x v="54"/>
    <m/>
    <m/>
    <m/>
    <x v="0"/>
    <m/>
    <m/>
    <n v="0"/>
    <n v="0.33999999999999997"/>
    <m/>
    <m/>
    <n v="-0.1"/>
    <n v="0"/>
    <n v="0.44"/>
    <n v="0"/>
    <n v="0"/>
    <n v="0"/>
    <n v="0"/>
    <n v="0"/>
    <n v="0"/>
    <n v="0"/>
    <n v="0"/>
    <n v="0"/>
    <n v="0.33999999999999997"/>
    <n v="0"/>
    <n v="0"/>
    <n v="0"/>
    <n v="0"/>
    <m/>
    <n v="0"/>
    <m/>
    <n v="-0.1"/>
    <n v="0"/>
    <n v="0.44"/>
    <n v="0"/>
    <n v="0"/>
    <n v="0"/>
    <n v="0"/>
    <n v="0"/>
    <n v="0"/>
    <n v="0"/>
    <n v="0"/>
    <n v="0"/>
    <n v="0.33999999999999997"/>
    <n v="-0.1"/>
    <n v="0"/>
    <n v="0.44"/>
    <n v="0"/>
    <n v="0"/>
    <n v="0"/>
    <n v="0"/>
    <n v="0"/>
    <n v="0"/>
    <n v="0"/>
    <n v="0"/>
    <n v="0"/>
    <n v="0.33999999999999997"/>
  </r>
  <r>
    <s v="L-ERP-579"/>
    <x v="340"/>
    <s v="Yeluri, Durga_CONTRACTORS_POClosure001"/>
    <s v="ERP"/>
    <s v="Patel, Apurva"/>
    <s v="Hase, Raj"/>
    <s v="Yeluri, Durga"/>
    <s v="Hase, Raj"/>
    <s v="Yeluri, Durga"/>
    <s v="DeHart, Lynn"/>
    <x v="0"/>
    <s v="PO Closure Credit"/>
    <m/>
    <m/>
    <x v="56"/>
    <s v="CHW - Ok"/>
    <m/>
    <m/>
    <x v="0"/>
    <m/>
    <m/>
    <n v="0"/>
    <n v="-4133.1400000000003"/>
    <m/>
    <m/>
    <n v="-4133.1400000000003"/>
    <n v="0"/>
    <n v="0"/>
    <n v="0"/>
    <n v="0"/>
    <n v="0"/>
    <n v="0"/>
    <n v="0"/>
    <n v="0"/>
    <n v="0"/>
    <n v="0"/>
    <n v="0"/>
    <n v="-4133.1400000000003"/>
    <n v="0"/>
    <n v="0"/>
    <n v="0"/>
    <n v="0"/>
    <m/>
    <n v="0"/>
    <m/>
    <n v="-4133.1400000000003"/>
    <n v="0"/>
    <n v="0"/>
    <n v="0"/>
    <n v="0"/>
    <n v="0"/>
    <n v="0"/>
    <n v="0"/>
    <n v="0"/>
    <n v="0"/>
    <n v="0"/>
    <n v="0"/>
    <n v="-4133.1400000000003"/>
    <n v="-4133.1400000000003"/>
    <n v="0"/>
    <n v="0"/>
    <n v="0"/>
    <n v="0"/>
    <n v="0"/>
    <n v="0"/>
    <n v="0"/>
    <n v="0"/>
    <n v="0"/>
    <n v="0"/>
    <n v="0"/>
    <n v="-4133.1400000000003"/>
  </r>
  <r>
    <s v="L-ERP-565"/>
    <x v="341"/>
    <s v="Yeluri, Durga_MANAGED SERVICES_2026-XFR-0014-A"/>
    <s v="ERP"/>
    <s v="Patel, Apurva"/>
    <s v="Hase, Raj"/>
    <s v="Yeluri, Durga"/>
    <s v="Hase, Raj"/>
    <s v="Yeluri, Durga"/>
    <s v="DeHart, Lynn"/>
    <x v="7"/>
    <s v="Cash Flow Automation Project - Cash Flow Functionality for: SAP S/4 HANA ($51,120); Celonis ($35,000)"/>
    <m/>
    <m/>
    <x v="267"/>
    <m/>
    <m/>
    <m/>
    <x v="12"/>
    <s v="5/4 CHW - Giveback"/>
    <m/>
    <n v="86119.999999999985"/>
    <m/>
    <m/>
    <m/>
    <m/>
    <m/>
    <m/>
    <s v=""/>
    <n v="0"/>
    <n v="0"/>
    <m/>
    <m/>
    <m/>
    <m/>
    <m/>
    <m/>
    <m/>
    <n v="0"/>
    <n v="6250"/>
    <n v="-6250"/>
    <n v="0"/>
    <m/>
    <n v="0"/>
    <s v="We will cover with existing colleagues and AMS contract."/>
    <m/>
    <m/>
    <m/>
    <m/>
    <m/>
    <m/>
    <m/>
    <m/>
    <m/>
    <m/>
    <m/>
    <m/>
    <m/>
    <m/>
    <m/>
    <m/>
    <n v="8612"/>
    <n v="8612"/>
    <n v="8612"/>
    <n v="8612"/>
    <n v="8612"/>
    <n v="8612"/>
    <n v="8612"/>
    <n v="8612"/>
    <n v="8612"/>
    <n v="77508"/>
  </r>
  <r>
    <s v="L-ERP-566"/>
    <x v="342"/>
    <s v="Yeluri, Durga_MANAGED SERVICES_2026-XFR-0033-A"/>
    <s v="ERP"/>
    <s v="Patel, Apurva"/>
    <s v="Hase, Raj"/>
    <s v="Yeluri, Durga"/>
    <s v="Hase, Raj"/>
    <s v="Yeluri, Durga"/>
    <s v="DeHart, Lynn"/>
    <x v="7"/>
    <s v="GSC Cx: Cost to Serve - Cost to Transport - BTAMS support costs"/>
    <m/>
    <m/>
    <x v="268"/>
    <m/>
    <m/>
    <m/>
    <x v="12"/>
    <s v="5/4 CHW - Intentional giveback as decom discussion on-going"/>
    <m/>
    <n v="100000.00000000001"/>
    <n v="60000"/>
    <m/>
    <m/>
    <m/>
    <m/>
    <m/>
    <s v=""/>
    <n v="0"/>
    <n v="0"/>
    <n v="10000"/>
    <n v="10000"/>
    <n v="10000"/>
    <n v="10000"/>
    <n v="10000"/>
    <n v="10000"/>
    <n v="60000"/>
    <n v="0"/>
    <n v="0"/>
    <n v="0"/>
    <n v="0"/>
    <m/>
    <n v="0"/>
    <s v="Removed Q2 coverage until a decision is made on Celonis BAU / Replatforming"/>
    <m/>
    <m/>
    <m/>
    <m/>
    <m/>
    <m/>
    <n v="10000"/>
    <n v="10000"/>
    <n v="10000"/>
    <n v="10000"/>
    <n v="10000"/>
    <n v="10000"/>
    <n v="60000"/>
    <m/>
    <m/>
    <m/>
    <n v="10000"/>
    <n v="10000"/>
    <n v="10000"/>
    <n v="10000"/>
    <n v="10000"/>
    <n v="10000"/>
    <n v="10000"/>
    <n v="10000"/>
    <n v="10000"/>
    <n v="90000"/>
  </r>
  <r>
    <s v="L-ERP-567"/>
    <x v="343"/>
    <s v="Yeluri, Durga_MANAGED SERVICES_2026-XFR-0035-A"/>
    <s v="ERP"/>
    <s v="Patel, Apurva"/>
    <s v="Hase, Raj"/>
    <s v="Yeluri, Durga"/>
    <s v="Hase, Raj"/>
    <s v="Yeluri, Durga"/>
    <s v="DeHart, Lynn"/>
    <x v="7"/>
    <s v="ESG: Migration of GLNS Calculations from Tableau - BTAMS support costs"/>
    <m/>
    <m/>
    <x v="269"/>
    <m/>
    <m/>
    <m/>
    <x v="12"/>
    <s v="5/4 CHW - Intentional giveback as decom discussion on-going"/>
    <m/>
    <n v="64999.999999999985"/>
    <n v="39000"/>
    <m/>
    <m/>
    <m/>
    <m/>
    <m/>
    <s v=""/>
    <n v="0"/>
    <n v="0"/>
    <n v="6500"/>
    <n v="6500"/>
    <n v="6500"/>
    <n v="6500"/>
    <n v="6500"/>
    <n v="6500"/>
    <n v="39000"/>
    <n v="0"/>
    <n v="799.33"/>
    <n v="-799.33"/>
    <n v="0"/>
    <m/>
    <n v="0"/>
    <s v="Removed Q2 coverage until a decision is made on Celonis BAU / Replatforming"/>
    <m/>
    <m/>
    <m/>
    <m/>
    <m/>
    <m/>
    <n v="6500"/>
    <n v="6500"/>
    <n v="6500"/>
    <n v="6500"/>
    <n v="6500"/>
    <n v="6500"/>
    <n v="39000"/>
    <m/>
    <m/>
    <m/>
    <n v="6500"/>
    <n v="6500"/>
    <n v="6500"/>
    <n v="6500"/>
    <n v="6500"/>
    <n v="6500"/>
    <n v="6500"/>
    <n v="6500"/>
    <n v="6500"/>
    <n v="58500"/>
  </r>
  <r>
    <s v="ERP-057"/>
    <x v="344"/>
    <s v="Yeluri, Durga_MANAGED SERVICES_BILLINGSWEEP006"/>
    <s v="ERP"/>
    <s v="Patel, Apurva"/>
    <s v="Hase, Raj"/>
    <s v="Yeluri, Durga"/>
    <s v="Hase, Raj"/>
    <s v="Yeluri, Durga"/>
    <s v="Yeluri, Durga"/>
    <x v="7"/>
    <m/>
    <m/>
    <m/>
    <x v="80"/>
    <m/>
    <m/>
    <m/>
    <x v="2"/>
    <m/>
    <m/>
    <m/>
    <m/>
    <m/>
    <m/>
    <m/>
    <m/>
    <m/>
    <m/>
    <m/>
    <n v="-2915.6"/>
    <m/>
    <m/>
    <m/>
    <m/>
    <m/>
    <m/>
    <n v="-2915.6"/>
    <n v="-2915.6"/>
    <m/>
    <n v="-2915.6"/>
    <n v="-2915.6"/>
    <m/>
    <n v="-2915.6"/>
    <m/>
    <m/>
    <m/>
    <m/>
    <m/>
    <m/>
    <m/>
    <m/>
    <m/>
    <m/>
    <m/>
    <m/>
    <m/>
    <m/>
    <m/>
    <m/>
    <m/>
    <m/>
    <m/>
    <m/>
    <m/>
    <m/>
    <m/>
    <m/>
    <m/>
    <m/>
    <m/>
  </r>
  <r>
    <s v="L-ERP-183"/>
    <x v="345"/>
    <s v="Hase, Raj_MANAGED SERVICES_CE-BTF22001-02-EX"/>
    <s v="ERP"/>
    <s v="Patel, Apurva"/>
    <s v="Hase, Raj"/>
    <s v="Hase, Raj"/>
    <s v="Hase, Raj"/>
    <s v="Hase, Raj"/>
    <s v="DeHart, Lynn"/>
    <x v="7"/>
    <s v="SAP / S4 HANA"/>
    <m/>
    <m/>
    <x v="270"/>
    <s v="CHW - Ok"/>
    <m/>
    <m/>
    <x v="50"/>
    <m/>
    <m/>
    <n v="0"/>
    <n v="2263.3900000000003"/>
    <m/>
    <m/>
    <n v="1841.45"/>
    <n v="1719.99"/>
    <n v="-1298.05"/>
    <n v="1990.16"/>
    <n v="-2552.9100000000003"/>
    <n v="903.75000000000023"/>
    <n v="0"/>
    <n v="0"/>
    <n v="0"/>
    <n v="0"/>
    <n v="0"/>
    <n v="0"/>
    <n v="2604.3900000000003"/>
    <n v="341"/>
    <n v="0"/>
    <n v="903.75000000000023"/>
    <n v="341"/>
    <m/>
    <n v="341"/>
    <m/>
    <n v="1841.45"/>
    <n v="1719.99"/>
    <n v="-1298.05"/>
    <n v="0"/>
    <n v="0"/>
    <n v="0"/>
    <n v="0"/>
    <n v="0"/>
    <n v="0"/>
    <n v="0"/>
    <n v="0"/>
    <n v="0"/>
    <n v="2263.3900000000003"/>
    <n v="1841.45"/>
    <n v="1719.99"/>
    <n v="-1298.05"/>
    <n v="0"/>
    <n v="0"/>
    <n v="0"/>
    <n v="0"/>
    <n v="0"/>
    <n v="0"/>
    <n v="0"/>
    <n v="0"/>
    <n v="0"/>
    <n v="2263.3900000000003"/>
  </r>
  <r>
    <s v="L-ERP-188"/>
    <x v="346"/>
    <s v="Hase, Raj_MANAGED SERVICES_EnhanceChargeout001"/>
    <s v="ERP"/>
    <s v="Patel, Apurva"/>
    <s v="Hase, Raj"/>
    <s v="Hase, Raj"/>
    <s v="Hase, Raj"/>
    <s v="Hase, Raj"/>
    <s v="DeHart, Lynn"/>
    <x v="7"/>
    <s v="Enhance Chargeout Cost Centers"/>
    <m/>
    <m/>
    <x v="1"/>
    <s v="CHW - F/U"/>
    <m/>
    <m/>
    <x v="0"/>
    <s v="6/15 - balance to zero"/>
    <m/>
    <n v="0"/>
    <n v="0"/>
    <m/>
    <m/>
    <m/>
    <m/>
    <n v="7840"/>
    <n v="4772"/>
    <n v="4772"/>
    <n v="5965.9999999999991"/>
    <n v="0"/>
    <n v="0"/>
    <n v="0"/>
    <n v="0"/>
    <n v="0"/>
    <n v="0"/>
    <n v="23350"/>
    <n v="23350"/>
    <n v="-2500"/>
    <n v="8466"/>
    <n v="23350"/>
    <m/>
    <n v="23350"/>
    <m/>
    <m/>
    <m/>
    <n v="7840"/>
    <n v="-2500"/>
    <n v="-2500"/>
    <n v="-2840"/>
    <n v="0"/>
    <n v="0"/>
    <n v="0"/>
    <n v="0"/>
    <n v="0"/>
    <n v="0"/>
    <n v="0"/>
    <m/>
    <m/>
    <n v="7840"/>
    <n v="0"/>
    <n v="0"/>
    <n v="0"/>
    <n v="0"/>
    <n v="0"/>
    <n v="0"/>
    <n v="0"/>
    <n v="0"/>
    <n v="0"/>
    <n v="7840"/>
  </r>
  <r>
    <s v="L-ERP-185"/>
    <x v="347"/>
    <s v="Hase, Raj_MANAGED SERVICES_EP&amp;SCharges001"/>
    <s v="ERP"/>
    <s v="Patel, Apurva"/>
    <s v="Hase, Raj"/>
    <s v="Hase, Raj"/>
    <s v="Hase, Raj"/>
    <s v="Hase, Raj"/>
    <s v="DeHart, Lynn"/>
    <x v="7"/>
    <s v="Infrastructure Billing Charges"/>
    <m/>
    <m/>
    <x v="6"/>
    <m/>
    <s v="N/A"/>
    <m/>
    <x v="3"/>
    <m/>
    <m/>
    <n v="10233"/>
    <n v="10178.029999999999"/>
    <m/>
    <m/>
    <n v="961.55"/>
    <n v="816.59"/>
    <n v="725.14"/>
    <n v="139.44999999999999"/>
    <n v="1450.2800000000002"/>
    <n v="0"/>
    <n v="852.75"/>
    <n v="852.75"/>
    <n v="852.75"/>
    <n v="852.75"/>
    <n v="852.75"/>
    <n v="852.75"/>
    <n v="9209.51"/>
    <n v="-968.51999999999862"/>
    <n v="852.75"/>
    <n v="-852.75"/>
    <n v="-968.52"/>
    <m/>
    <n v="-968.51999999999862"/>
    <m/>
    <n v="961.55"/>
    <n v="816.59"/>
    <n v="725.14"/>
    <n v="852.75"/>
    <n v="852.75"/>
    <n v="852.75"/>
    <n v="852.75"/>
    <n v="852.75"/>
    <n v="852.75"/>
    <n v="852.75"/>
    <n v="852.75"/>
    <n v="852.75"/>
    <n v="10178.029999999999"/>
    <n v="961.55"/>
    <n v="816.59"/>
    <n v="725.14"/>
    <n v="852.75"/>
    <n v="852.75"/>
    <n v="852.75"/>
    <n v="852.75"/>
    <n v="852.75"/>
    <n v="852.75"/>
    <n v="852.75"/>
    <n v="852.75"/>
    <n v="852.75"/>
    <n v="10178.029999999999"/>
  </r>
  <r>
    <s v="L-ERP-575"/>
    <x v="347"/>
    <s v="Yeluri, Durga_MANAGED SERVICES_EP&amp;SCharges001"/>
    <s v="ERP"/>
    <s v="Patel, Apurva"/>
    <s v="Hase, Raj"/>
    <s v="Yeluri, Durga"/>
    <s v="Hase, Raj"/>
    <s v="Yeluri, Durga"/>
    <s v="DeHart, Lynn"/>
    <x v="7"/>
    <s v="Infrastructure Billing Charges"/>
    <m/>
    <m/>
    <x v="6"/>
    <m/>
    <s v="N/A"/>
    <m/>
    <x v="3"/>
    <m/>
    <m/>
    <n v="68292"/>
    <n v="61982.03"/>
    <m/>
    <m/>
    <n v="3349.03"/>
    <n v="3352.38"/>
    <n v="4061.62"/>
    <n v="3971.33"/>
    <n v="5537.35"/>
    <n v="4773.54"/>
    <n v="5691"/>
    <n v="5691"/>
    <n v="5691"/>
    <n v="5691"/>
    <n v="5691"/>
    <n v="5691"/>
    <n v="59191.25"/>
    <n v="-2790.7799999999988"/>
    <n v="5691"/>
    <n v="-917.46"/>
    <n v="-2790.7799999999988"/>
    <m/>
    <n v="-2790.7799999999988"/>
    <m/>
    <n v="3349.03"/>
    <n v="3352.38"/>
    <n v="4061.62"/>
    <n v="5691"/>
    <n v="5691"/>
    <n v="5691"/>
    <n v="5691"/>
    <n v="5691"/>
    <n v="5691"/>
    <n v="5691"/>
    <n v="5691"/>
    <n v="5691"/>
    <n v="61982.03"/>
    <n v="3349.03"/>
    <n v="3352.38"/>
    <n v="4061.62"/>
    <n v="5691"/>
    <n v="5691"/>
    <n v="5691"/>
    <n v="5691"/>
    <n v="5691"/>
    <n v="5691"/>
    <n v="5691"/>
    <n v="5691"/>
    <n v="5691"/>
    <n v="61982.03"/>
  </r>
  <r>
    <s v="ERP-005"/>
    <x v="348"/>
    <s v="Hase, Raj_MANAGED SERVICES_IT-FBT0157-OG-US-00"/>
    <s v="ERP"/>
    <s v="Patel, Apurva"/>
    <s v="Hase, Raj"/>
    <s v="Hase, Raj"/>
    <s v="Hase, Raj"/>
    <s v="Hase, Raj"/>
    <s v="Hase, Raj"/>
    <x v="7"/>
    <s v="Infrastructure charges"/>
    <m/>
    <m/>
    <x v="271"/>
    <m/>
    <m/>
    <m/>
    <x v="3"/>
    <s v="LZ 4/27 - Move forecast from Mike H to Raj H"/>
    <m/>
    <m/>
    <n v="63000"/>
    <m/>
    <m/>
    <m/>
    <m/>
    <m/>
    <s v=""/>
    <n v="0"/>
    <n v="0"/>
    <n v="7000"/>
    <n v="7000"/>
    <n v="7000"/>
    <n v="7000"/>
    <n v="7000"/>
    <n v="7000"/>
    <n v="42000"/>
    <n v="-21000"/>
    <n v="7000"/>
    <n v="-7000"/>
    <n v="-21000"/>
    <m/>
    <m/>
    <m/>
    <m/>
    <m/>
    <m/>
    <n v="7000"/>
    <n v="7000"/>
    <n v="7000"/>
    <n v="7000"/>
    <n v="7000"/>
    <n v="7000"/>
    <n v="7000"/>
    <n v="7000"/>
    <n v="7000"/>
    <n v="63000"/>
    <m/>
    <m/>
    <m/>
    <m/>
    <m/>
    <m/>
    <m/>
    <m/>
    <m/>
    <m/>
    <m/>
    <m/>
    <m/>
  </r>
  <r>
    <s v="L-ERP-180"/>
    <x v="349"/>
    <s v="Hase, Raj_MANAGED SERVICES_IT-FBT0450-OG-US-00"/>
    <s v="ERP"/>
    <s v="Patel, Apurva"/>
    <s v="Hase, Raj"/>
    <s v="Hase, Raj"/>
    <s v="Hase, Raj"/>
    <s v="Hase, Raj"/>
    <s v="DeHart, Lynn"/>
    <x v="7"/>
    <s v="Claim Level Detail (CLD) Retrieval Service"/>
    <m/>
    <m/>
    <x v="266"/>
    <m/>
    <m/>
    <m/>
    <x v="51"/>
    <s v="6/15 Forecast moved from Managed Services L-ERP-180 to Contractors line ERP-038 to align with PO Actuals_x000a_Forecast moved from Mike H to Raj H"/>
    <m/>
    <n v="0"/>
    <n v="200000"/>
    <m/>
    <m/>
    <m/>
    <m/>
    <n v="50000"/>
    <n v="0"/>
    <n v="0"/>
    <n v="0"/>
    <n v="0"/>
    <n v="0"/>
    <n v="0"/>
    <n v="0"/>
    <n v="0"/>
    <n v="0"/>
    <n v="50000"/>
    <n v="-150000"/>
    <n v="50000"/>
    <n v="-50000"/>
    <n v="-50000"/>
    <m/>
    <n v="-150000"/>
    <m/>
    <m/>
    <m/>
    <n v="50000"/>
    <n v="0"/>
    <n v="50000"/>
    <n v="0"/>
    <n v="0"/>
    <n v="50000"/>
    <n v="0"/>
    <n v="50000"/>
    <n v="0"/>
    <n v="0"/>
    <n v="200000"/>
    <m/>
    <m/>
    <n v="50000"/>
    <n v="0"/>
    <n v="0"/>
    <n v="0"/>
    <n v="0"/>
    <n v="0"/>
    <n v="0"/>
    <n v="0"/>
    <n v="0"/>
    <n v="0"/>
    <n v="50000"/>
  </r>
  <r>
    <s v="L-ERP-571"/>
    <x v="350"/>
    <s v="Yeluri, Durga_MANAGED SERVICES_IT-FBT0769-OT-US-00"/>
    <s v="ERP"/>
    <s v="Patel, Apurva"/>
    <s v="Hase, Raj"/>
    <s v="Yeluri, Durga"/>
    <s v="Hase, Raj"/>
    <s v="Yeluri, Durga"/>
    <s v="DeHart, Lynn"/>
    <x v="7"/>
    <s v="PFIZER APPS related charges (Cloud AWS, Data Protection)"/>
    <m/>
    <m/>
    <x v="99"/>
    <m/>
    <m/>
    <m/>
    <x v="3"/>
    <m/>
    <m/>
    <n v="6600"/>
    <n v="497.06000000000006"/>
    <m/>
    <m/>
    <n v="521.38"/>
    <n v="527.30999999999995"/>
    <n v="-551.63"/>
    <n v="523.94000000000005"/>
    <n v="21.2"/>
    <n v="0"/>
    <n v="0"/>
    <n v="0"/>
    <n v="0"/>
    <n v="0"/>
    <n v="0"/>
    <n v="0"/>
    <n v="1042.2"/>
    <n v="545.14"/>
    <n v="0"/>
    <n v="0"/>
    <n v="545.14"/>
    <m/>
    <n v="545.14"/>
    <m/>
    <n v="521.38"/>
    <n v="527.30999999999995"/>
    <n v="-551.63"/>
    <n v="0"/>
    <n v="0"/>
    <n v="0"/>
    <n v="0"/>
    <n v="0"/>
    <n v="0"/>
    <n v="0"/>
    <n v="0"/>
    <n v="0"/>
    <n v="497.06000000000006"/>
    <n v="521.38"/>
    <n v="527.30999999999995"/>
    <n v="-551.63"/>
    <n v="0"/>
    <n v="0"/>
    <n v="0"/>
    <n v="0"/>
    <n v="0"/>
    <n v="0"/>
    <n v="0"/>
    <n v="0"/>
    <n v="0"/>
    <n v="497.06000000000006"/>
  </r>
  <r>
    <s v="L-ERP-584"/>
    <x v="351"/>
    <s v="Hase, Raj_MANAGED SERVICES_IT-FBT0824-OT-US-00"/>
    <s v="ERP"/>
    <s v="Patel, Apurva"/>
    <s v="Hase, Raj"/>
    <s v="Hase, Raj"/>
    <s v="Hase, Raj"/>
    <s v="Hase, Raj"/>
    <s v="Hase, Raj"/>
    <x v="7"/>
    <s v="FUDH Snowflake for Nexus &amp; Infrastructure Costs"/>
    <m/>
    <m/>
    <x v="272"/>
    <m/>
    <m/>
    <m/>
    <x v="52"/>
    <s v="LZ 4/27 - Move forecast from Mike H to Raj H"/>
    <m/>
    <m/>
    <n v="26000"/>
    <m/>
    <m/>
    <m/>
    <m/>
    <m/>
    <s v=""/>
    <n v="0"/>
    <n v="0"/>
    <m/>
    <m/>
    <m/>
    <n v="13000"/>
    <m/>
    <m/>
    <n v="13000"/>
    <n v="-13000"/>
    <n v="13000"/>
    <n v="-13000"/>
    <n v="-13000"/>
    <m/>
    <m/>
    <m/>
    <m/>
    <m/>
    <m/>
    <m/>
    <n v="13000"/>
    <m/>
    <m/>
    <m/>
    <m/>
    <n v="13000"/>
    <m/>
    <m/>
    <n v="26000"/>
    <m/>
    <m/>
    <m/>
    <m/>
    <m/>
    <m/>
    <m/>
    <m/>
    <m/>
    <m/>
    <m/>
    <m/>
    <m/>
  </r>
  <r>
    <s v="L-ERP-572"/>
    <x v="352"/>
    <s v="Yeluri, Durga_MANAGED SERVICES_IT-FGS0299-OG-US-00"/>
    <s v="ERP"/>
    <s v="Patel, Apurva"/>
    <s v="Hase, Raj"/>
    <s v="Yeluri, Durga"/>
    <s v="Hase, Raj"/>
    <s v="Yeluri, Durga"/>
    <s v="DeHart, Lynn"/>
    <x v="7"/>
    <s v="Others (Vending, Meeting event, Devices Unreturned, Applecare, Mac-mgmt, IT Onboard, etc.)"/>
    <m/>
    <m/>
    <x v="67"/>
    <m/>
    <s v="N/A"/>
    <m/>
    <x v="3"/>
    <m/>
    <m/>
    <n v="29055.720000000005"/>
    <n v="28350.190000000002"/>
    <m/>
    <m/>
    <n v="2204.83"/>
    <n v="2275.48"/>
    <n v="2078.09"/>
    <n v="6776.0599999999995"/>
    <n v="5361.06"/>
    <n v="754.37999999999988"/>
    <n v="2421.31"/>
    <n v="2421.31"/>
    <n v="2421.31"/>
    <n v="2421.31"/>
    <n v="2421.31"/>
    <n v="2421.31"/>
    <n v="33977.760000000009"/>
    <n v="5627.570000000007"/>
    <n v="2421.31"/>
    <n v="-1666.93"/>
    <n v="5627.5700000000033"/>
    <m/>
    <n v="5627.570000000007"/>
    <m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  <n v="2204.83"/>
    <n v="2275.48"/>
    <n v="2078.09"/>
    <n v="2421.31"/>
    <n v="2421.31"/>
    <n v="2421.31"/>
    <n v="2421.31"/>
    <n v="2421.31"/>
    <n v="2421.31"/>
    <n v="2421.31"/>
    <n v="2421.31"/>
    <n v="2421.31"/>
    <n v="28350.190000000002"/>
  </r>
  <r>
    <s v="L-ERP-184"/>
    <x v="353"/>
    <s v="Hase, Raj_MANAGED SERVICES_IT-FGS0301-OG-US-00"/>
    <s v="ERP"/>
    <s v="Patel, Apurva"/>
    <s v="Hase, Raj"/>
    <s v="Hase, Raj"/>
    <s v="Hase, Raj"/>
    <s v="Hase, Raj"/>
    <s v="DeHart, Lynn"/>
    <x v="7"/>
    <s v="Desktop on Demand (VDS)"/>
    <m/>
    <m/>
    <x v="101"/>
    <m/>
    <s v="N/A"/>
    <m/>
    <x v="3"/>
    <m/>
    <m/>
    <n v="19176"/>
    <n v="21479"/>
    <m/>
    <m/>
    <n v="1566"/>
    <n v="1439"/>
    <n v="4092"/>
    <n v="1259"/>
    <n v="1259"/>
    <n v="1192"/>
    <n v="1598"/>
    <n v="1598"/>
    <n v="1598"/>
    <n v="1598"/>
    <n v="1598"/>
    <n v="1598"/>
    <n v="20395"/>
    <n v="-1084"/>
    <n v="1598"/>
    <n v="-406"/>
    <n v="-1084"/>
    <m/>
    <n v="-1084"/>
    <m/>
    <n v="1566"/>
    <n v="1439"/>
    <n v="4092"/>
    <n v="1598"/>
    <n v="1598"/>
    <n v="1598"/>
    <n v="1598"/>
    <n v="1598"/>
    <n v="1598"/>
    <n v="1598"/>
    <n v="1598"/>
    <n v="1598"/>
    <n v="21479"/>
    <n v="1566"/>
    <n v="1439"/>
    <n v="4092"/>
    <n v="1598"/>
    <n v="1598"/>
    <n v="1598"/>
    <n v="1598"/>
    <n v="1598"/>
    <n v="1598"/>
    <n v="1598"/>
    <n v="1598"/>
    <n v="1598"/>
    <n v="21479"/>
  </r>
  <r>
    <s v="L-ERP-573"/>
    <x v="353"/>
    <s v="Yeluri, Durga_MANAGED SERVICES_IT-FGS0301-OG-US-00"/>
    <s v="ERP"/>
    <s v="Patel, Apurva"/>
    <s v="Hase, Raj"/>
    <s v="Yeluri, Durga"/>
    <s v="Hase, Raj"/>
    <s v="Yeluri, Durga"/>
    <s v="DeHart, Lynn"/>
    <x v="7"/>
    <s v="Desktop on Demand (VDS)"/>
    <m/>
    <m/>
    <x v="101"/>
    <m/>
    <s v="N/A"/>
    <m/>
    <x v="3"/>
    <m/>
    <m/>
    <n v="22800"/>
    <n v="20679"/>
    <m/>
    <m/>
    <n v="1636"/>
    <n v="1153"/>
    <n v="790"/>
    <n v="1287"/>
    <n v="1227"/>
    <n v="1227"/>
    <n v="1900"/>
    <n v="1900"/>
    <n v="1900"/>
    <n v="1900"/>
    <n v="1900"/>
    <n v="1900"/>
    <n v="18720"/>
    <n v="-1959"/>
    <n v="1900"/>
    <n v="-673"/>
    <n v="-1959"/>
    <m/>
    <n v="-1959"/>
    <m/>
    <n v="1636"/>
    <n v="1153"/>
    <n v="790"/>
    <n v="1900"/>
    <n v="1900"/>
    <n v="1900"/>
    <n v="1900"/>
    <n v="1900"/>
    <n v="1900"/>
    <n v="1900"/>
    <n v="1900"/>
    <n v="1900"/>
    <n v="20679"/>
    <n v="1636"/>
    <n v="1153"/>
    <n v="790"/>
    <n v="1900"/>
    <n v="1900"/>
    <n v="1900"/>
    <n v="1900"/>
    <n v="1900"/>
    <n v="1900"/>
    <n v="1900"/>
    <n v="1900"/>
    <n v="1900"/>
    <n v="20679"/>
  </r>
  <r>
    <s v="L-ERP-574"/>
    <x v="354"/>
    <s v="Yeluri, Durga_MANAGED SERVICES_IT-MGS0210-OG-US-00"/>
    <s v="ERP"/>
    <s v="Patel, Apurva"/>
    <s v="Hase, Raj"/>
    <s v="Yeluri, Durga"/>
    <s v="Hase, Raj"/>
    <s v="Yeluri, Durga"/>
    <s v="DeHart, Lynn"/>
    <x v="7"/>
    <s v="RingFence Modfac (AWS, DATABASE)"/>
    <m/>
    <m/>
    <x v="273"/>
    <m/>
    <m/>
    <m/>
    <x v="3"/>
    <m/>
    <m/>
    <n v="0"/>
    <n v="5998.6900000000005"/>
    <m/>
    <m/>
    <m/>
    <m/>
    <n v="1048.69"/>
    <n v="0"/>
    <n v="0"/>
    <n v="0"/>
    <n v="550"/>
    <n v="550"/>
    <n v="550"/>
    <n v="550"/>
    <n v="550"/>
    <n v="550"/>
    <n v="4348.6900000000005"/>
    <n v="-1650"/>
    <n v="550"/>
    <n v="-550"/>
    <n v="-1650"/>
    <m/>
    <n v="-1650"/>
    <m/>
    <m/>
    <m/>
    <n v="1048.69"/>
    <n v="550"/>
    <n v="550"/>
    <n v="550"/>
    <n v="550"/>
    <n v="550"/>
    <n v="550"/>
    <n v="550"/>
    <n v="550"/>
    <n v="550"/>
    <n v="5998.6900000000005"/>
    <m/>
    <m/>
    <n v="1048.69"/>
    <n v="550"/>
    <n v="550"/>
    <n v="550"/>
    <n v="550"/>
    <n v="550"/>
    <n v="550"/>
    <n v="550"/>
    <n v="550"/>
    <n v="550"/>
    <n v="5998.6900000000005"/>
  </r>
  <r>
    <s v="L-ERP-187"/>
    <x v="355"/>
    <s v="Hase, Raj_MANAGED SERVICES_IT-SFT1436-OG-US-00"/>
    <s v="ERP"/>
    <s v="Patel, Apurva"/>
    <s v="Hase, Raj"/>
    <s v="Hase, Raj"/>
    <s v="Hase, Raj"/>
    <s v="Hase, Raj"/>
    <s v="DeHart, Lynn"/>
    <x v="7"/>
    <s v="DIGITAL-CLOUD-AZURE-ARENA DYNAMICS 365"/>
    <m/>
    <m/>
    <x v="274"/>
    <m/>
    <m/>
    <m/>
    <x v="0"/>
    <m/>
    <m/>
    <n v="9476.7599999999984"/>
    <n v="8989.8399999999983"/>
    <m/>
    <m/>
    <n v="730.3"/>
    <n v="738.84"/>
    <n v="752.07"/>
    <n v="738.27"/>
    <n v="704.13"/>
    <n v="719.83999999999992"/>
    <n v="752.07"/>
    <n v="752.07"/>
    <n v="752.07"/>
    <n v="752.07"/>
    <n v="752.07"/>
    <n v="752.07"/>
    <n v="8895.869999999999"/>
    <n v="-93.969999999999345"/>
    <n v="752.07"/>
    <n v="-32.230000000000132"/>
    <n v="-93.970000000000255"/>
    <m/>
    <n v="-93.969999999999345"/>
    <m/>
    <n v="730.3"/>
    <n v="738.84"/>
    <n v="752.07"/>
    <n v="752.07"/>
    <n v="752.07"/>
    <n v="752.07"/>
    <n v="752.07"/>
    <n v="752.07"/>
    <n v="752.07"/>
    <n v="752.07"/>
    <n v="752.07"/>
    <n v="752.07"/>
    <n v="8989.8399999999983"/>
    <n v="730.3"/>
    <n v="738.84"/>
    <n v="752.07"/>
    <n v="789.73"/>
    <n v="789.73"/>
    <n v="789.73"/>
    <n v="789.73"/>
    <n v="789.73"/>
    <n v="789.73"/>
    <n v="789.73"/>
    <n v="789.73"/>
    <n v="789.73"/>
    <n v="9328.779999999997"/>
  </r>
  <r>
    <s v="L-ERP-189"/>
    <x v="356"/>
    <s v="Hase, Raj_MANAGED SERVICES_MISC001"/>
    <s v="ERP"/>
    <s v="Patel, Apurva"/>
    <s v="Hase, Raj"/>
    <s v="Hase, Raj"/>
    <s v="Hase, Raj"/>
    <s v="Hase, Raj"/>
    <s v="DeHart, Lynn"/>
    <x v="7"/>
    <s v="Miscellaneous Charges"/>
    <m/>
    <m/>
    <x v="54"/>
    <m/>
    <m/>
    <m/>
    <x v="0"/>
    <m/>
    <m/>
    <n v="0"/>
    <n v="0.11999999999999997"/>
    <m/>
    <m/>
    <n v="-0.3"/>
    <n v="0.57999999999999996"/>
    <n v="-0.16"/>
    <n v="0.12"/>
    <n v="-0.5"/>
    <n v="0.41"/>
    <n v="0"/>
    <n v="0"/>
    <n v="0"/>
    <n v="0"/>
    <n v="0"/>
    <n v="0"/>
    <n v="0.14999999999999997"/>
    <n v="0.03"/>
    <n v="0"/>
    <n v="0.41"/>
    <n v="0.03"/>
    <m/>
    <n v="0.03"/>
    <m/>
    <n v="-0.3"/>
    <n v="0.57999999999999996"/>
    <n v="-0.16"/>
    <n v="0"/>
    <n v="0"/>
    <n v="0"/>
    <n v="0"/>
    <n v="0"/>
    <n v="0"/>
    <n v="0"/>
    <n v="0"/>
    <n v="0"/>
    <n v="0.11999999999999997"/>
    <n v="-0.3"/>
    <n v="0.57999999999999996"/>
    <n v="-0.16"/>
    <n v="0"/>
    <n v="0"/>
    <n v="0"/>
    <n v="0"/>
    <n v="0"/>
    <n v="0"/>
    <n v="0"/>
    <n v="0"/>
    <n v="0"/>
    <n v="0.11999999999999997"/>
  </r>
  <r>
    <s v="L-ERP-580"/>
    <x v="356"/>
    <s v="Yeluri, Durga_MANAGED SERVICES_MISC001"/>
    <s v="ERP"/>
    <s v="Patel, Apurva"/>
    <s v="Hase, Raj"/>
    <s v="Yeluri, Durga"/>
    <s v="Hase, Raj"/>
    <s v="Yeluri, Durga"/>
    <s v="DeHart, Lynn"/>
    <x v="7"/>
    <s v="Miscellaneous Charges"/>
    <m/>
    <m/>
    <x v="54"/>
    <m/>
    <m/>
    <m/>
    <x v="0"/>
    <m/>
    <m/>
    <n v="0"/>
    <n v="-0.18000000000000002"/>
    <m/>
    <m/>
    <n v="-0.24"/>
    <n v="-0.17"/>
    <n v="0.23"/>
    <n v="0.67"/>
    <n v="-0.61"/>
    <n v="-0.32"/>
    <n v="0"/>
    <n v="0"/>
    <n v="0"/>
    <n v="0"/>
    <n v="0"/>
    <n v="0"/>
    <n v="-0.44"/>
    <n v="-0.26"/>
    <n v="0"/>
    <n v="-0.32"/>
    <n v="-0.26"/>
    <m/>
    <n v="-0.26"/>
    <m/>
    <n v="-0.24"/>
    <n v="-0.17"/>
    <n v="0.23"/>
    <n v="0"/>
    <n v="0"/>
    <n v="0"/>
    <n v="0"/>
    <n v="0"/>
    <n v="0"/>
    <n v="0"/>
    <n v="0"/>
    <n v="0"/>
    <n v="-0.18000000000000002"/>
    <n v="-0.24"/>
    <n v="-0.17"/>
    <n v="0.23"/>
    <n v="0"/>
    <n v="0"/>
    <n v="0"/>
    <n v="0"/>
    <n v="0"/>
    <n v="0"/>
    <n v="0"/>
    <n v="0"/>
    <n v="0"/>
    <n v="-0.18000000000000002"/>
  </r>
  <r>
    <s v="L-ERP-192"/>
    <x v="357"/>
    <s v="Hase, Raj_OTHER_Others001"/>
    <s v="ERP"/>
    <s v="Patel, Apurva"/>
    <s v="Hase, Raj"/>
    <s v="Hase, Raj"/>
    <s v="Hase, Raj"/>
    <s v="Hase, Raj"/>
    <s v="DeHart, Lynn"/>
    <x v="8"/>
    <s v="Other"/>
    <m/>
    <m/>
    <x v="35"/>
    <m/>
    <m/>
    <m/>
    <x v="7"/>
    <m/>
    <m/>
    <n v="0"/>
    <n v="57"/>
    <m/>
    <m/>
    <n v="57"/>
    <n v="0"/>
    <n v="0"/>
    <n v="0"/>
    <n v="16"/>
    <n v="0"/>
    <n v="0"/>
    <n v="0"/>
    <n v="0"/>
    <n v="0"/>
    <n v="0"/>
    <n v="0"/>
    <n v="73"/>
    <n v="16"/>
    <n v="0"/>
    <n v="0"/>
    <n v="16"/>
    <m/>
    <n v="16"/>
    <m/>
    <n v="57"/>
    <n v="0"/>
    <n v="0"/>
    <n v="0"/>
    <n v="0"/>
    <n v="0"/>
    <n v="0"/>
    <n v="0"/>
    <n v="0"/>
    <n v="0"/>
    <n v="0"/>
    <n v="0"/>
    <n v="57"/>
    <n v="57"/>
    <n v="0"/>
    <n v="0"/>
    <n v="0"/>
    <n v="0"/>
    <n v="0"/>
    <n v="0"/>
    <n v="0"/>
    <n v="0"/>
    <n v="0"/>
    <n v="0"/>
    <n v="0"/>
    <n v="57"/>
  </r>
  <r>
    <s v="L-ERP-568"/>
    <x v="358"/>
    <s v="Yeluri, Durga_SOFTWARE_2026-XFR-0014-B"/>
    <s v="ERP"/>
    <s v="Patel, Apurva"/>
    <s v="Hase, Raj"/>
    <s v="Yeluri, Durga"/>
    <s v="Hase, Raj"/>
    <s v="Yeluri, Durga"/>
    <s v="DeHart, Lynn"/>
    <x v="9"/>
    <s v="Cash Flow Automation Project - Software License cost for SAP Analytics on Cloud (included as part of SAP S/4 HANA FSA)"/>
    <m/>
    <m/>
    <x v="275"/>
    <m/>
    <m/>
    <m/>
    <x v="12"/>
    <s v="5/4 CHW - Giveback"/>
    <m/>
    <n v="39999.960000000014"/>
    <n v="0"/>
    <m/>
    <m/>
    <m/>
    <m/>
    <m/>
    <s v=""/>
    <n v="0"/>
    <n v="0"/>
    <m/>
    <m/>
    <m/>
    <m/>
    <m/>
    <m/>
    <n v="0"/>
    <n v="0"/>
    <n v="0"/>
    <n v="0"/>
    <n v="0"/>
    <m/>
    <n v="0"/>
    <s v="SAC license is not needed. Forecast removed."/>
    <m/>
    <m/>
    <m/>
    <m/>
    <m/>
    <m/>
    <m/>
    <m/>
    <m/>
    <m/>
    <m/>
    <m/>
    <n v="0"/>
    <m/>
    <m/>
    <m/>
    <n v="4000"/>
    <n v="4000"/>
    <n v="4000"/>
    <n v="4000"/>
    <n v="4000"/>
    <n v="4000"/>
    <n v="4000"/>
    <n v="4000"/>
    <n v="4000"/>
    <n v="36000"/>
  </r>
  <r>
    <s v="L-ERP-177"/>
    <x v="359"/>
    <s v="Hase, Raj_SOFTWARE_2026-XFR-0015-A"/>
    <s v="ERP"/>
    <s v="Patel, Apurva"/>
    <s v="Hase, Raj"/>
    <s v="Hase, Raj"/>
    <s v="Hase, Raj"/>
    <s v="Hase, Raj"/>
    <s v="DeHart, Lynn"/>
    <x v="9"/>
    <s v="Brazil Tax Reform and SAP GRC Replacement - SAP Document and Risk Compliance Cloud Subscription"/>
    <m/>
    <m/>
    <x v="276"/>
    <m/>
    <m/>
    <m/>
    <x v="12"/>
    <s v="Reclass to business, SAP annual invoice $81,120 expected 8/15"/>
    <m/>
    <n v="0"/>
    <n v="0"/>
    <m/>
    <m/>
    <m/>
    <m/>
    <m/>
    <s v=""/>
    <n v="0"/>
    <n v="0"/>
    <n v="0"/>
    <n v="81120"/>
    <n v="-81120"/>
    <n v="0"/>
    <n v="0"/>
    <n v="0"/>
    <n v="0"/>
    <n v="0"/>
    <n v="0"/>
    <n v="0"/>
    <n v="0"/>
    <m/>
    <n v="0"/>
    <m/>
    <m/>
    <m/>
    <m/>
    <n v="0"/>
    <n v="0"/>
    <n v="0"/>
    <n v="0"/>
    <n v="81120"/>
    <n v="-81120"/>
    <n v="0"/>
    <n v="0"/>
    <n v="0"/>
    <n v="0"/>
    <m/>
    <m/>
    <m/>
    <n v="3235.5"/>
    <n v="3235.5"/>
    <n v="3235.5"/>
    <n v="3235.5"/>
    <n v="3235.5"/>
    <n v="3235.5"/>
    <n v="3235.5"/>
    <n v="3235.5"/>
    <n v="-35590.5"/>
    <n v="-9706.5"/>
  </r>
  <r>
    <s v="L-ERP-178"/>
    <x v="360"/>
    <s v="Hase, Raj_SOFTWARE_2026-XFR-LD001"/>
    <s v="ERP"/>
    <s v="Patel, Apurva"/>
    <s v="Hase, Raj"/>
    <s v="Hase, Raj"/>
    <s v="Hase, Raj"/>
    <s v="Hase, Raj"/>
    <s v="DeHart, Lynn"/>
    <x v="9"/>
    <s v="SAP Global Trade Services Upgrade: offshore support - Offshore ERP support cost"/>
    <m/>
    <m/>
    <x v="277"/>
    <s v="CHW - Ok"/>
    <m/>
    <m/>
    <x v="12"/>
    <s v="LZ 4/27 - Move forecast from Raj H to Mike H"/>
    <m/>
    <n v="174240"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14520"/>
    <n v="14520"/>
    <n v="14520"/>
    <n v="14520"/>
    <n v="14520"/>
    <n v="14520"/>
    <n v="14520"/>
    <n v="14520"/>
    <n v="14520"/>
    <n v="130680"/>
  </r>
  <r>
    <s v="L-ERP-179"/>
    <x v="361"/>
    <s v="Hase, Raj_SOFTWARE_2026-XFR-LD002"/>
    <s v="ERP"/>
    <s v="Patel, Apurva"/>
    <s v="Hase, Raj"/>
    <s v="Hase, Raj"/>
    <s v="Hase, Raj"/>
    <s v="Hase, Raj"/>
    <s v="DeHart, Lynn"/>
    <x v="9"/>
    <s v="SAP Global Trade Services Upgrade: software maintenance - SAP annual software maintenance"/>
    <m/>
    <m/>
    <x v="278"/>
    <s v="CHW - Ok"/>
    <m/>
    <m/>
    <x v="12"/>
    <s v="LZ 4/27 - Move forecast from Raj H to Mike H"/>
    <m/>
    <n v="266860.99999999988"/>
    <n v="0"/>
    <m/>
    <m/>
    <m/>
    <m/>
    <m/>
    <s v=""/>
    <n v="0"/>
    <n v="0"/>
    <n v="0"/>
    <n v="0"/>
    <n v="0"/>
    <n v="0"/>
    <n v="0"/>
    <n v="0"/>
    <n v="0"/>
    <n v="0"/>
    <n v="924.99"/>
    <n v="-924.99"/>
    <n v="0"/>
    <m/>
    <n v="0"/>
    <m/>
    <m/>
    <m/>
    <m/>
    <n v="0"/>
    <n v="0"/>
    <n v="0"/>
    <n v="0"/>
    <n v="0"/>
    <n v="0"/>
    <n v="0"/>
    <n v="0"/>
    <n v="0"/>
    <n v="0"/>
    <m/>
    <m/>
    <m/>
    <n v="22238.42"/>
    <n v="22238.42"/>
    <n v="22238.42"/>
    <n v="22238.42"/>
    <n v="22238.42"/>
    <n v="22238.42"/>
    <n v="22238.42"/>
    <n v="22238.42"/>
    <n v="22238.42"/>
    <n v="200145.77999999997"/>
  </r>
  <r>
    <s v="L-ERP-190"/>
    <x v="362"/>
    <s v="Hase, Raj_SOFTWARE_ColleagueSolutions001"/>
    <s v="ERP"/>
    <s v="Patel, Apurva"/>
    <s v="Hase, Raj"/>
    <s v="Hase, Raj"/>
    <s v="Hase, Raj"/>
    <s v="Hase, Raj"/>
    <s v="DeHart, Lynn"/>
    <x v="9"/>
    <s v="Colleague Solutions Delivery Chargebacks"/>
    <m/>
    <m/>
    <x v="0"/>
    <s v="CHW - Ok"/>
    <s v="N/A"/>
    <m/>
    <x v="0"/>
    <m/>
    <m/>
    <n v="0"/>
    <n v="218.76"/>
    <m/>
    <m/>
    <m/>
    <n v="218.76"/>
    <n v="0"/>
    <n v="0"/>
    <n v="0"/>
    <n v="0"/>
    <n v="0"/>
    <n v="0"/>
    <n v="0"/>
    <n v="0"/>
    <n v="0"/>
    <n v="0"/>
    <n v="218.76"/>
    <n v="0"/>
    <n v="0"/>
    <n v="0"/>
    <n v="0"/>
    <m/>
    <n v="0"/>
    <m/>
    <m/>
    <n v="218.76"/>
    <n v="0"/>
    <n v="0"/>
    <n v="0"/>
    <n v="0"/>
    <n v="0"/>
    <n v="0"/>
    <n v="0"/>
    <n v="0"/>
    <n v="0"/>
    <n v="0"/>
    <n v="218.76"/>
    <m/>
    <n v="218.76"/>
    <n v="0"/>
    <n v="0"/>
    <n v="0"/>
    <n v="0"/>
    <n v="0"/>
    <n v="0"/>
    <n v="0"/>
    <n v="0"/>
    <n v="0"/>
    <n v="0"/>
    <n v="218.76"/>
  </r>
  <r>
    <s v="L-ERP-582"/>
    <x v="362"/>
    <s v="Yeluri, Durga_SOFTWARE_ColleagueSolutions001"/>
    <s v="ERP"/>
    <s v="Patel, Apurva"/>
    <s v="Hase, Raj"/>
    <s v="Yeluri, Durga"/>
    <s v="Hase, Raj"/>
    <s v="Yeluri, Durga"/>
    <s v="DeHart, Lynn"/>
    <x v="9"/>
    <s v="Colleague Solutions Delivery Chargebacks"/>
    <m/>
    <m/>
    <x v="0"/>
    <s v="CHW - Ok"/>
    <s v="N/A"/>
    <m/>
    <x v="0"/>
    <m/>
    <m/>
    <n v="0"/>
    <n v="431.03"/>
    <m/>
    <m/>
    <m/>
    <n v="431.03"/>
    <n v="0"/>
    <n v="0"/>
    <n v="0"/>
    <n v="0"/>
    <n v="0"/>
    <n v="0"/>
    <n v="0"/>
    <n v="0"/>
    <n v="0"/>
    <n v="0"/>
    <n v="431.03"/>
    <n v="0"/>
    <n v="0"/>
    <n v="0"/>
    <n v="0"/>
    <m/>
    <n v="0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s v="ERP-011"/>
    <x v="363"/>
    <s v="Hase, Raj_SOFTWARE_EnhanceChargeout001"/>
    <s v="ERP"/>
    <s v="Patel, Apurva"/>
    <s v="Hase, Raj"/>
    <s v="Hase, Raj"/>
    <s v="Hase, Raj"/>
    <s v="Hase, Raj"/>
    <s v="Hase, Raj"/>
    <x v="9"/>
    <s v="EnhanceChargeout001 AP04 Tie-Out"/>
    <m/>
    <m/>
    <x v="1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-180"/>
    <n v="180"/>
    <n v="0"/>
    <m/>
    <n v="0"/>
    <m/>
    <m/>
    <m/>
    <m/>
    <n v="180"/>
    <n v="-180"/>
    <m/>
    <m/>
    <m/>
    <m/>
    <m/>
    <m/>
    <m/>
    <n v="0"/>
    <m/>
    <m/>
    <m/>
    <m/>
    <m/>
    <m/>
    <m/>
    <m/>
    <m/>
    <m/>
    <m/>
    <m/>
    <m/>
  </r>
  <r>
    <s v="L-ERP-577"/>
    <x v="364"/>
    <s v="Yeluri, Durga_SOFTWARE_EP&amp;SCharges001"/>
    <s v="ERP"/>
    <s v="Patel, Apurva"/>
    <s v="Hase, Raj"/>
    <s v="Yeluri, Durga"/>
    <s v="Hase, Raj"/>
    <s v="Yeluri, Durga"/>
    <s v="DeHart, Lynn"/>
    <x v="9"/>
    <s v="Infrastructure Billing Charges"/>
    <m/>
    <m/>
    <x v="6"/>
    <m/>
    <s v="N/A"/>
    <m/>
    <x v="3"/>
    <m/>
    <m/>
    <n v="23474.640000000003"/>
    <n v="27085.450000000004"/>
    <m/>
    <m/>
    <n v="1816.49"/>
    <n v="1816.49"/>
    <n v="5846.49"/>
    <n v="1816.49"/>
    <n v="1816.49"/>
    <n v="1816.49"/>
    <n v="1956.22"/>
    <n v="1956.22"/>
    <n v="1956.22"/>
    <n v="1956.22"/>
    <n v="1956.22"/>
    <n v="1956.22"/>
    <n v="26666.260000000006"/>
    <n v="-419.18999999999869"/>
    <n v="1956.22"/>
    <n v="-139.73000000000002"/>
    <n v="-419.18999999999869"/>
    <m/>
    <n v="-419.18999999999869"/>
    <m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  <n v="1816.49"/>
    <n v="1816.49"/>
    <n v="5846.49"/>
    <n v="1956.22"/>
    <n v="1956.22"/>
    <n v="1956.22"/>
    <n v="1956.22"/>
    <n v="1956.22"/>
    <n v="1956.22"/>
    <n v="1956.22"/>
    <n v="1956.22"/>
    <n v="1956.22"/>
    <n v="27085.450000000004"/>
  </r>
  <r>
    <s v="L-ERP-581"/>
    <x v="365"/>
    <s v="Yeluri, Durga_SOFTWARE_IT-DATAIKU-01"/>
    <s v="ERP"/>
    <s v="Patel, Apurva"/>
    <s v="Hase, Raj"/>
    <s v="Yeluri, Durga"/>
    <s v="Hase, Raj"/>
    <s v="Yeluri, Durga"/>
    <s v="DeHart, Lynn"/>
    <x v="9"/>
    <s v="Dataiku"/>
    <s v="SYSDIG INC"/>
    <s v="2320611"/>
    <x v="279"/>
    <m/>
    <s v="9501152538"/>
    <m/>
    <x v="0"/>
    <m/>
    <m/>
    <n v="0"/>
    <n v="729.19"/>
    <m/>
    <m/>
    <n v="139.72999999999999"/>
    <n v="139.72999999999999"/>
    <n v="449.73"/>
    <n v="139.72999999999999"/>
    <n v="139.72999999999999"/>
    <n v="139.72999999999999"/>
    <n v="0"/>
    <n v="0"/>
    <n v="0"/>
    <n v="0"/>
    <n v="0"/>
    <n v="0"/>
    <n v="1148.3800000000001"/>
    <n v="419.19000000000005"/>
    <n v="0"/>
    <n v="139.72999999999999"/>
    <n v="419.19000000000005"/>
    <m/>
    <n v="419.19000000000005"/>
    <m/>
    <n v="139.72999999999999"/>
    <n v="139.72999999999999"/>
    <n v="449.73"/>
    <n v="0"/>
    <n v="0"/>
    <n v="0"/>
    <n v="0"/>
    <n v="0"/>
    <n v="0"/>
    <n v="0"/>
    <n v="0"/>
    <n v="0"/>
    <n v="729.19"/>
    <n v="139.72999999999999"/>
    <n v="139.72999999999999"/>
    <n v="449.73"/>
    <n v="0"/>
    <n v="0"/>
    <n v="0"/>
    <n v="0"/>
    <n v="0"/>
    <n v="0"/>
    <n v="0"/>
    <n v="0"/>
    <n v="0"/>
    <n v="729.19"/>
  </r>
  <r>
    <s v="L-ERP-576"/>
    <x v="366"/>
    <s v="Yeluri, Durga_SOFTWARE_IT-FGS0298-SW-US-00"/>
    <s v="ERP"/>
    <s v="Patel, Apurva"/>
    <s v="Hase, Raj"/>
    <s v="Yeluri, Durga"/>
    <s v="Hase, Raj"/>
    <s v="Yeluri, Durga"/>
    <s v="DeHart, Lynn"/>
    <x v="9"/>
    <s v="JFrog Artifactory Repository Monthly Charge"/>
    <m/>
    <m/>
    <x v="126"/>
    <m/>
    <s v="N/A"/>
    <m/>
    <x v="3"/>
    <m/>
    <m/>
    <n v="18499.8"/>
    <n v="16958.149999999998"/>
    <m/>
    <m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0"/>
    <n v="1541.65"/>
    <n v="0"/>
    <n v="0"/>
    <m/>
    <n v="0"/>
    <m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  <n v="1541.65"/>
    <n v="0"/>
    <n v="1541.65"/>
    <n v="1541.65"/>
    <n v="1541.65"/>
    <n v="1541.65"/>
    <n v="1541.65"/>
    <n v="1541.65"/>
    <n v="1541.65"/>
    <n v="1541.65"/>
    <n v="1541.65"/>
    <n v="1541.65"/>
    <n v="16958.149999999998"/>
  </r>
  <r>
    <s v="L-ERP-181"/>
    <x v="367"/>
    <s v="Hase, Raj_SOFTWARE_IT-FGS0300-SW-US-00"/>
    <s v="ERP"/>
    <s v="Patel, Apurva"/>
    <s v="Hase, Raj"/>
    <s v="Hase, Raj"/>
    <s v="Hase, Raj"/>
    <s v="Hase, Raj"/>
    <s v="DeHart, Lynn"/>
    <x v="9"/>
    <s v="Microsoft Copilot Licenses"/>
    <m/>
    <m/>
    <x v="127"/>
    <m/>
    <s v="N/A"/>
    <m/>
    <x v="27"/>
    <m/>
    <m/>
    <n v="275"/>
    <n v="227"/>
    <m/>
    <m/>
    <m/>
    <n v="227"/>
    <n v="0"/>
    <n v="0"/>
    <n v="0"/>
    <n v="0"/>
    <n v="0"/>
    <n v="0"/>
    <n v="0"/>
    <n v="0"/>
    <n v="0"/>
    <n v="0"/>
    <n v="227"/>
    <n v="0"/>
    <n v="0"/>
    <n v="0"/>
    <n v="0"/>
    <m/>
    <n v="0"/>
    <m/>
    <m/>
    <n v="227"/>
    <n v="0"/>
    <n v="0"/>
    <n v="0"/>
    <n v="0"/>
    <n v="0"/>
    <n v="0"/>
    <n v="0"/>
    <n v="0"/>
    <n v="0"/>
    <n v="0"/>
    <n v="227"/>
    <m/>
    <n v="227"/>
    <n v="0"/>
    <n v="0"/>
    <n v="0"/>
    <n v="0"/>
    <n v="0"/>
    <n v="0"/>
    <n v="0"/>
    <n v="0"/>
    <n v="0"/>
    <n v="0"/>
    <n v="227"/>
  </r>
  <r>
    <s v="L-ERP-569"/>
    <x v="368"/>
    <s v="Yeluri, Durga_SOFTWARE_IT-SFT1139-86-OG-US"/>
    <s v="ERP"/>
    <s v="Patel, Apurva"/>
    <s v="Hase, Raj"/>
    <s v="Yeluri, Durga"/>
    <s v="Hase, Raj"/>
    <s v="Yeluri, Durga"/>
    <s v="DeHart, Lynn"/>
    <x v="9"/>
    <s v="Celonis Monthly Fee for IBC access + Action Engine Licenses"/>
    <m/>
    <m/>
    <x v="280"/>
    <m/>
    <s v="9501082709"/>
    <m/>
    <x v="53"/>
    <s v="5/4 CHW adjusted prepaid schedule"/>
    <m/>
    <n v="7299999.96"/>
    <n v="7299999.96"/>
    <m/>
    <m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n v="0"/>
    <n v="1216666.6599999999"/>
    <n v="-608333.32999999996"/>
    <n v="0"/>
    <m/>
    <n v="0"/>
    <m/>
    <m/>
    <n v="1216666.6599999999"/>
    <n v="608333.32999999996"/>
    <n v="0"/>
    <n v="1216666.6599999999"/>
    <n v="608333.32999999996"/>
    <n v="0"/>
    <n v="1216666.6599999999"/>
    <n v="608333.32999999996"/>
    <n v="0"/>
    <n v="1216666.6599999999"/>
    <n v="608333.32999999996"/>
    <n v="7299999.96"/>
    <m/>
    <n v="1216666.6599999999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608333.32999999996"/>
    <n v="7299999.96"/>
  </r>
  <r>
    <s v="L-ERP-182"/>
    <x v="369"/>
    <s v="Hase, Raj_SOFTWARE_IT-SFT1194-86-OG-US"/>
    <s v="ERP"/>
    <s v="Patel, Apurva"/>
    <s v="Hase, Raj"/>
    <s v="Hase, Raj"/>
    <s v="Hase, Raj"/>
    <s v="Hase, Raj"/>
    <s v="DeHart, Lynn"/>
    <x v="9"/>
    <s v="DevSecOps"/>
    <m/>
    <m/>
    <x v="190"/>
    <m/>
    <s v="N/A"/>
    <m/>
    <x v="40"/>
    <m/>
    <m/>
    <n v="13200"/>
    <n v="19370.91"/>
    <m/>
    <m/>
    <m/>
    <m/>
    <n v="9470.91"/>
    <n v="0"/>
    <n v="0"/>
    <n v="6148.3"/>
    <n v="0"/>
    <n v="0"/>
    <n v="3300"/>
    <n v="0"/>
    <n v="0"/>
    <n v="3300"/>
    <n v="22219.21"/>
    <n v="2848.2999999999993"/>
    <n v="0"/>
    <n v="6148.3"/>
    <n v="2848.2999999999993"/>
    <m/>
    <n v="2848.2999999999993"/>
    <m/>
    <m/>
    <m/>
    <n v="9470.91"/>
    <n v="0"/>
    <n v="0"/>
    <n v="3300"/>
    <n v="0"/>
    <n v="0"/>
    <n v="3300"/>
    <n v="0"/>
    <n v="0"/>
    <n v="3300"/>
    <n v="19370.91"/>
    <m/>
    <m/>
    <n v="9470.91"/>
    <n v="0"/>
    <n v="0"/>
    <n v="3300"/>
    <n v="0"/>
    <n v="0"/>
    <n v="3300"/>
    <n v="0"/>
    <n v="0"/>
    <n v="3300"/>
    <n v="19370.91"/>
  </r>
  <r>
    <s v="ERP-060"/>
    <x v="369"/>
    <s v="Yeluri, Durga_SOFTWARE_IT-SFT1194-86-OG-US"/>
    <s v="ERP"/>
    <s v="Patel, Apurva"/>
    <s v="Hase, Raj"/>
    <s v="Yeluri, Durga"/>
    <s v="Hase, Raj"/>
    <s v="Yeluri, Durga"/>
    <s v="Yeluri, Durga"/>
    <x v="9"/>
    <m/>
    <m/>
    <m/>
    <x v="190"/>
    <m/>
    <m/>
    <m/>
    <x v="2"/>
    <m/>
    <m/>
    <m/>
    <m/>
    <m/>
    <m/>
    <m/>
    <m/>
    <m/>
    <m/>
    <m/>
    <n v="3285.0699999999997"/>
    <m/>
    <m/>
    <m/>
    <m/>
    <m/>
    <m/>
    <n v="3285.0699999999997"/>
    <n v="3285.0699999999997"/>
    <m/>
    <n v="3285.0699999999997"/>
    <n v="3285.0699999999997"/>
    <m/>
    <n v="3285.0699999999997"/>
    <m/>
    <m/>
    <m/>
    <m/>
    <m/>
    <m/>
    <m/>
    <m/>
    <m/>
    <m/>
    <m/>
    <m/>
    <m/>
    <m/>
    <m/>
    <m/>
    <m/>
    <m/>
    <m/>
    <m/>
    <m/>
    <m/>
    <m/>
    <m/>
    <m/>
    <m/>
    <m/>
  </r>
  <r>
    <s v="N-ERP-618"/>
    <x v="370"/>
    <s v="Yeluri, Durga_SOFTWARE_IT-SFT1449-OG-US-00"/>
    <s v="ERP"/>
    <s v="Patel, Apurva"/>
    <s v="Hase, Raj"/>
    <s v="Yeluri, Durga"/>
    <s v="Hase, Raj"/>
    <s v="Yeluri, Durga"/>
    <s v="DeHart, Lynn"/>
    <x v="9"/>
    <s v="Celonis AI/ML Workbench License"/>
    <s v="Celonis"/>
    <s v="2329612"/>
    <x v="281"/>
    <m/>
    <s v="9501131787"/>
    <s v="Yes"/>
    <x v="45"/>
    <s v="4/28/26 CHW New add to tie-out 0223 to 0317 Planful Extracts"/>
    <m/>
    <n v="231903.7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31903.75"/>
    <n v="0"/>
    <n v="0"/>
    <n v="0"/>
    <n v="0"/>
    <n v="0"/>
    <n v="0"/>
    <n v="0"/>
    <n v="0"/>
    <n v="0"/>
    <n v="0"/>
    <n v="0"/>
    <n v="231903.75"/>
  </r>
  <r>
    <s v="N-ERP-619"/>
    <x v="371"/>
    <s v="Yeluri, Durga_SOFTWARE_IT-SFT1449-OG-US-00/PF"/>
    <s v="ERP"/>
    <s v="Patel, Apurva"/>
    <s v="Hase, Raj"/>
    <s v="Yeluri, Durga"/>
    <s v="Hase, Raj"/>
    <s v="Yeluri, Durga"/>
    <s v="DeHart, Lynn"/>
    <x v="9"/>
    <s v="Celonis AI/ML Workbench License (Pullforward Credit)"/>
    <s v="Celonis"/>
    <s v="2329612"/>
    <x v="282"/>
    <m/>
    <s v="9501131787"/>
    <s v="Yes"/>
    <x v="45"/>
    <s v="4/28/26 CHW New add to tie-out 0223 to 0317 Planful Extracts"/>
    <m/>
    <n v="-231903.75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31903.75"/>
    <n v="0"/>
    <n v="0"/>
    <n v="0"/>
    <n v="0"/>
    <n v="0"/>
    <n v="0"/>
    <n v="0"/>
    <n v="0"/>
    <n v="0"/>
    <n v="0"/>
    <n v="0"/>
    <n v="-231903.75"/>
  </r>
  <r>
    <s v="L-ERP-191"/>
    <x v="372"/>
    <s v="Hase, Raj_SOFTWARE_MISC001"/>
    <s v="ERP"/>
    <s v="Patel, Apurva"/>
    <s v="Hase, Raj"/>
    <s v="Hase, Raj"/>
    <s v="Hase, Raj"/>
    <s v="Hase, Raj"/>
    <s v="DeHart, Lynn"/>
    <x v="9"/>
    <s v="Miscellaneous Charges"/>
    <m/>
    <m/>
    <x v="54"/>
    <m/>
    <m/>
    <m/>
    <x v="0"/>
    <m/>
    <m/>
    <n v="0"/>
    <n v="0.32999999999999996"/>
    <m/>
    <m/>
    <m/>
    <n v="0.24"/>
    <n v="0.09"/>
    <n v="0"/>
    <n v="0"/>
    <n v="-0.3"/>
    <n v="0"/>
    <n v="0"/>
    <n v="0"/>
    <n v="0"/>
    <n v="0"/>
    <n v="0"/>
    <n v="2.9999999999999971E-2"/>
    <n v="-0.3"/>
    <n v="0"/>
    <n v="-0.3"/>
    <n v="-0.3"/>
    <m/>
    <n v="-0.3"/>
    <m/>
    <m/>
    <n v="0.24"/>
    <n v="0.09"/>
    <n v="0"/>
    <n v="0"/>
    <n v="0"/>
    <n v="0"/>
    <n v="0"/>
    <n v="0"/>
    <n v="0"/>
    <n v="0"/>
    <n v="0"/>
    <n v="0.32999999999999996"/>
    <m/>
    <n v="0.24"/>
    <n v="0.09"/>
    <n v="0"/>
    <n v="0"/>
    <n v="0"/>
    <n v="0"/>
    <n v="0"/>
    <n v="0"/>
    <n v="0"/>
    <n v="0"/>
    <n v="0"/>
    <n v="0.32999999999999996"/>
  </r>
  <r>
    <s v="L-ERP-583"/>
    <x v="372"/>
    <s v="Yeluri, Durga_SOFTWARE_MISC001"/>
    <s v="ERP"/>
    <s v="Patel, Apurva"/>
    <s v="Hase, Raj"/>
    <s v="Yeluri, Durga"/>
    <s v="Hase, Raj"/>
    <s v="Yeluri, Durga"/>
    <s v="DeHart, Lynn"/>
    <x v="9"/>
    <s v="Miscellaneous Charges"/>
    <m/>
    <m/>
    <x v="54"/>
    <m/>
    <m/>
    <m/>
    <x v="0"/>
    <m/>
    <m/>
    <n v="0"/>
    <n v="1.999999999999999E-2"/>
    <m/>
    <m/>
    <n v="0.13"/>
    <n v="0.09"/>
    <n v="-0.2"/>
    <n v="0.13"/>
    <n v="-0.53"/>
    <n v="0.73"/>
    <n v="0"/>
    <n v="0"/>
    <n v="0"/>
    <n v="0"/>
    <n v="0"/>
    <n v="0"/>
    <n v="0.35"/>
    <n v="0.32999999999999996"/>
    <n v="0"/>
    <n v="0.73"/>
    <n v="0.32999999999999996"/>
    <m/>
    <n v="0.32999999999999996"/>
    <m/>
    <n v="0.13"/>
    <n v="0.09"/>
    <n v="-0.2"/>
    <n v="0"/>
    <n v="0"/>
    <n v="0"/>
    <n v="0"/>
    <n v="0"/>
    <n v="0"/>
    <n v="0"/>
    <n v="0"/>
    <n v="0"/>
    <n v="1.999999999999999E-2"/>
    <n v="0.13"/>
    <n v="0.09"/>
    <n v="-0.2"/>
    <n v="0"/>
    <n v="0"/>
    <n v="0"/>
    <n v="0"/>
    <n v="0"/>
    <n v="0"/>
    <n v="0"/>
    <n v="0"/>
    <n v="0"/>
    <n v="1.999999999999999E-2"/>
  </r>
  <r>
    <s v="L-ERP-197"/>
    <x v="373"/>
    <s v="Herman, Shaun_CONTRACTORS_EP&amp;SCharges001"/>
    <s v="ERP"/>
    <s v="Patel, Apurva"/>
    <s v="Herman, Shaun"/>
    <s v="Herman, Shaun"/>
    <s v="Hase, Raj"/>
    <s v="Herman, Shaun"/>
    <s v="DeHart, Lynn"/>
    <x v="0"/>
    <s v="Infrastructure Billing Charges"/>
    <m/>
    <m/>
    <x v="6"/>
    <m/>
    <s v="N/A"/>
    <m/>
    <x v="3"/>
    <m/>
    <m/>
    <n v="0"/>
    <n v="2893.46"/>
    <m/>
    <m/>
    <n v="183.12"/>
    <n v="1029.04"/>
    <n v="1681.3"/>
    <n v="1593.8"/>
    <n v="85.08"/>
    <n v="0"/>
    <n v="0"/>
    <n v="0"/>
    <n v="0"/>
    <n v="0"/>
    <n v="0"/>
    <n v="0"/>
    <n v="4572.34"/>
    <n v="1678.88"/>
    <n v="0"/>
    <n v="0"/>
    <n v="1678.88"/>
    <m/>
    <n v="1678.88"/>
    <m/>
    <n v="183.12"/>
    <n v="1029.04"/>
    <n v="1681.3"/>
    <n v="0"/>
    <n v="0"/>
    <n v="0"/>
    <n v="0"/>
    <n v="0"/>
    <n v="0"/>
    <n v="0"/>
    <n v="0"/>
    <n v="0"/>
    <n v="2893.46"/>
    <n v="183.12"/>
    <n v="1029.04"/>
    <n v="1681.3"/>
    <n v="0"/>
    <n v="0"/>
    <n v="0"/>
    <n v="0"/>
    <n v="0"/>
    <n v="0"/>
    <n v="0"/>
    <n v="0"/>
    <n v="0"/>
    <n v="2893.46"/>
  </r>
  <r>
    <s v="L-ERP-204"/>
    <x v="374"/>
    <s v="Herman, Shaun_CONTRACTORS_IT-CTR0024-OG-US-00"/>
    <s v="ERP"/>
    <s v="Patel, Apurva"/>
    <s v="Herman, Shaun"/>
    <s v="Herman, Shaun"/>
    <s v="Hase, Raj"/>
    <s v="Herman, Shaun"/>
    <s v="DeHart, Lynn"/>
    <x v="0"/>
    <s v="Master Data BAU support_XFR0672 &amp; XFR0938 &amp; XFR0934 &amp; XFR0932 &amp; XFR0846 &amp; XFR0913"/>
    <s v="ACCENTURE LLP"/>
    <s v="2329611"/>
    <x v="283"/>
    <m/>
    <s v="9501157539"/>
    <m/>
    <x v="0"/>
    <m/>
    <m/>
    <n v="400000"/>
    <n v="300897.52"/>
    <m/>
    <m/>
    <n v="123337.5"/>
    <n v="19442.91"/>
    <n v="113117.11"/>
    <n v="5172.1500000000306"/>
    <n v="-24184.46000000001"/>
    <n v="-229891"/>
    <n v="-13416"/>
    <n v="61248"/>
    <n v="61248"/>
    <n v="61248"/>
    <n v="61248"/>
    <n v="61248"/>
    <n v="299818.21000000002"/>
    <n v="-1079.3099999999977"/>
    <n v="-200000"/>
    <n v="-29891"/>
    <n v="-83903.31"/>
    <m/>
    <n v="-1079.3099999999977"/>
    <s v="Onshore/Offshore Mix Adjustment"/>
    <n v="123337.5"/>
    <n v="19442.91"/>
    <n v="113117.11"/>
    <n v="5000"/>
    <n v="-200000"/>
    <n v="30000"/>
    <n v="30000"/>
    <n v="30000"/>
    <n v="30000"/>
    <n v="40000"/>
    <n v="40000"/>
    <n v="40000"/>
    <n v="300897.52"/>
    <n v="123337.5"/>
    <n v="19442.91"/>
    <n v="113117.11"/>
    <n v="30000"/>
    <n v="30000"/>
    <n v="30000"/>
    <n v="30000"/>
    <n v="30000"/>
    <n v="20000"/>
    <n v="20000"/>
    <n v="20000"/>
    <n v="20000"/>
    <n v="485897.52"/>
  </r>
  <r>
    <s v="L-ERP-205"/>
    <x v="375"/>
    <s v="Herman, Shaun_CONTRACTORS_IT-CTR0037-OG-US-00"/>
    <s v="ERP"/>
    <s v="Patel, Apurva"/>
    <s v="Herman, Shaun"/>
    <s v="Herman, Shaun"/>
    <s v="Hase, Raj"/>
    <s v="Herman, Shaun"/>
    <s v="DeHart, Lynn"/>
    <x v="0"/>
    <s v="MD Packaging Support_XFR0934"/>
    <s v="IBM CORP"/>
    <s v="2329611"/>
    <x v="284"/>
    <m/>
    <s v="9501242577"/>
    <m/>
    <x v="0"/>
    <m/>
    <m/>
    <n v="270000"/>
    <n v="201492"/>
    <m/>
    <m/>
    <n v="-5507.82"/>
    <n v="-0.18"/>
    <n v="0"/>
    <n v="92692.25"/>
    <n v="25462.14"/>
    <n v="31827.680000000008"/>
    <n v="0"/>
    <n v="5434"/>
    <n v="12523"/>
    <n v="12523"/>
    <n v="12523"/>
    <n v="12523"/>
    <n v="200000.07"/>
    <n v="-1491.929999999993"/>
    <n v="0"/>
    <n v="31827.680000000008"/>
    <n v="27982.070000000007"/>
    <m/>
    <n v="-1491.929999999993"/>
    <s v="Onshore/Offshore Mix Adjustment"/>
    <n v="-5507.82"/>
    <n v="-0.18"/>
    <n v="0"/>
    <n v="102000"/>
    <n v="0"/>
    <n v="20000"/>
    <n v="20000"/>
    <n v="20000"/>
    <n v="15000"/>
    <n v="10000"/>
    <n v="10000"/>
    <n v="10000"/>
    <n v="201492"/>
    <n v="-5507.82"/>
    <n v="-0.18"/>
    <n v="0"/>
    <n v="20000"/>
    <n v="20000"/>
    <n v="25000"/>
    <n v="30000"/>
    <n v="30000"/>
    <n v="30000"/>
    <n v="30000"/>
    <n v="30000"/>
    <n v="30000"/>
    <n v="239492"/>
  </r>
  <r>
    <s v="L-ERP-206"/>
    <x v="376"/>
    <s v="Herman, Shaun_CONTRACTORS_IT-CTR0039-OG-US-00"/>
    <s v="ERP"/>
    <s v="Patel, Apurva"/>
    <s v="Herman, Shaun"/>
    <s v="Herman, Shaun"/>
    <s v="Hase, Raj"/>
    <s v="Herman, Shaun"/>
    <s v="DeHart, Lynn"/>
    <x v="0"/>
    <s v="MD ABAP NPL Integration_XFR0849"/>
    <m/>
    <m/>
    <x v="285"/>
    <m/>
    <s v="N"/>
    <m/>
    <x v="0"/>
    <m/>
    <m/>
    <n v="100000"/>
    <n v="66000"/>
    <m/>
    <m/>
    <m/>
    <m/>
    <m/>
    <s v=""/>
    <n v="0"/>
    <n v="0"/>
    <n v="0"/>
    <n v="12000"/>
    <n v="13500"/>
    <n v="13500"/>
    <n v="13500"/>
    <n v="13500"/>
    <n v="66000"/>
    <n v="0"/>
    <n v="5000"/>
    <n v="-5000"/>
    <n v="-18000"/>
    <m/>
    <n v="0"/>
    <s v="Onshore/Offshore Mix Adjustment"/>
    <m/>
    <m/>
    <m/>
    <n v="5000"/>
    <n v="5000"/>
    <n v="8000"/>
    <n v="8000"/>
    <n v="8000"/>
    <n v="8000"/>
    <n v="8000"/>
    <n v="8000"/>
    <n v="8000"/>
    <n v="66000"/>
    <m/>
    <m/>
    <m/>
    <n v="10000"/>
    <n v="10000"/>
    <n v="10000"/>
    <n v="10000"/>
    <n v="10000"/>
    <n v="10000"/>
    <n v="10000"/>
    <n v="10000"/>
    <n v="10000"/>
    <n v="90000"/>
  </r>
  <r>
    <s v="L-ERP-207"/>
    <x v="377"/>
    <s v="Herman, Shaun_CONTRACTORS_IT-CTR0046-OG-US-00"/>
    <s v="ERP"/>
    <s v="Patel, Apurva"/>
    <s v="Herman, Shaun"/>
    <s v="Herman, Shaun"/>
    <s v="Hase, Raj"/>
    <s v="Herman, Shaun"/>
    <s v="DeHart, Lynn"/>
    <x v="0"/>
    <s v="MD TINS Support_XFR1020"/>
    <m/>
    <m/>
    <x v="286"/>
    <m/>
    <s v="N"/>
    <m/>
    <x v="0"/>
    <m/>
    <m/>
    <n v="70000"/>
    <n v="40000"/>
    <m/>
    <m/>
    <m/>
    <m/>
    <m/>
    <s v=""/>
    <n v="0"/>
    <n v="0"/>
    <n v="0"/>
    <n v="9500"/>
    <n v="0"/>
    <n v="20000"/>
    <n v="0"/>
    <n v="20000"/>
    <n v="49500"/>
    <n v="9500"/>
    <m/>
    <n v="0"/>
    <n v="-5000"/>
    <m/>
    <n v="9500"/>
    <s v="Onshore/Offshore Mix Adjustment"/>
    <m/>
    <m/>
    <m/>
    <m/>
    <m/>
    <n v="5000"/>
    <n v="5000"/>
    <n v="5000"/>
    <n v="5000"/>
    <n v="5000"/>
    <n v="5000"/>
    <n v="10000"/>
    <n v="40000"/>
    <m/>
    <m/>
    <m/>
    <n v="7000"/>
    <n v="7000"/>
    <n v="7000"/>
    <n v="7000"/>
    <n v="7000"/>
    <n v="7000"/>
    <n v="7000"/>
    <n v="7000"/>
    <n v="7000"/>
    <n v="63000"/>
  </r>
  <r>
    <s v="L-ERP-201"/>
    <x v="378"/>
    <s v="Herman, Shaun_CONTRACTORS_IT-FBT0262-OG-US-00"/>
    <s v="ERP"/>
    <s v="Patel, Apurva"/>
    <s v="Herman, Shaun"/>
    <s v="Herman, Shaun"/>
    <s v="Hase, Raj"/>
    <s v="Herman, Shaun"/>
    <s v="DeHart, Lynn"/>
    <x v="0"/>
    <s v="Metastorm Platform - PAL Application Support"/>
    <m/>
    <m/>
    <x v="287"/>
    <m/>
    <m/>
    <m/>
    <x v="48"/>
    <m/>
    <m/>
    <n v="35000"/>
    <n v="0"/>
    <m/>
    <m/>
    <m/>
    <m/>
    <m/>
    <s v=""/>
    <n v="0"/>
    <n v="0"/>
    <m/>
    <m/>
    <m/>
    <m/>
    <m/>
    <m/>
    <n v="0"/>
    <n v="0"/>
    <m/>
    <n v="0"/>
    <n v="0"/>
    <m/>
    <n v="0"/>
    <s v="Moved to Managed Services"/>
    <m/>
    <m/>
    <m/>
    <m/>
    <m/>
    <m/>
    <m/>
    <m/>
    <m/>
    <m/>
    <m/>
    <m/>
    <n v="0"/>
    <m/>
    <m/>
    <m/>
    <n v="2917"/>
    <n v="2917"/>
    <n v="2917"/>
    <n v="2917"/>
    <n v="2917"/>
    <n v="2916"/>
    <n v="2916"/>
    <n v="2916"/>
    <n v="2916"/>
    <n v="26249"/>
  </r>
  <r>
    <s v="L-ERP-194"/>
    <x v="379"/>
    <s v="Herman, Shaun_CONTRACTORS_IT-FBT0541-OG-US-00"/>
    <s v="ERP"/>
    <s v="Patel, Apurva"/>
    <s v="Herman, Shaun"/>
    <s v="Herman, Shaun"/>
    <s v="Hase, Raj"/>
    <s v="Herman, Shaun"/>
    <s v="DeHart, Lynn"/>
    <x v="0"/>
    <s v="Infrastructure Charges - Ariba Server Superclusters Support"/>
    <m/>
    <m/>
    <x v="288"/>
    <m/>
    <m/>
    <m/>
    <x v="54"/>
    <m/>
    <m/>
    <n v="6000"/>
    <n v="0"/>
    <m/>
    <m/>
    <m/>
    <m/>
    <m/>
    <n v="0"/>
    <n v="79.41"/>
    <n v="0"/>
    <m/>
    <m/>
    <m/>
    <m/>
    <m/>
    <m/>
    <n v="79.41"/>
    <n v="79.41"/>
    <m/>
    <n v="0"/>
    <n v="79.41"/>
    <m/>
    <n v="79.41"/>
    <s v="Moved to Managed Services"/>
    <m/>
    <m/>
    <m/>
    <m/>
    <m/>
    <m/>
    <m/>
    <m/>
    <m/>
    <m/>
    <m/>
    <m/>
    <n v="0"/>
    <m/>
    <m/>
    <m/>
    <n v="500"/>
    <n v="500"/>
    <n v="500"/>
    <n v="500"/>
    <n v="500"/>
    <n v="500"/>
    <n v="500"/>
    <n v="500"/>
    <n v="500"/>
    <n v="4500"/>
  </r>
  <r>
    <s v="L-ERP-214"/>
    <x v="380"/>
    <s v="Herman, Shaun_CONTRACTORS_IT-FBT0702-OG-US-00"/>
    <s v="ERP"/>
    <s v="Patel, Apurva"/>
    <s v="Herman, Shaun"/>
    <s v="Herman, Shaun"/>
    <s v="Hase, Raj"/>
    <s v="Herman, Shaun"/>
    <s v="DeHart, Lynn"/>
    <x v="0"/>
    <s v="SAP CIG Annual Upgrade Support"/>
    <m/>
    <m/>
    <x v="289"/>
    <m/>
    <m/>
    <m/>
    <x v="5"/>
    <m/>
    <m/>
    <n v="50000"/>
    <n v="50000"/>
    <m/>
    <m/>
    <m/>
    <m/>
    <m/>
    <n v="0"/>
    <n v="49060"/>
    <n v="0"/>
    <n v="0"/>
    <n v="0"/>
    <n v="0"/>
    <n v="0"/>
    <n v="0"/>
    <n v="0"/>
    <n v="49060"/>
    <n v="-940"/>
    <n v="50000"/>
    <n v="-50000"/>
    <n v="-940"/>
    <m/>
    <n v="-940"/>
    <m/>
    <m/>
    <m/>
    <m/>
    <n v="0"/>
    <n v="50000"/>
    <n v="0"/>
    <n v="0"/>
    <n v="0"/>
    <n v="0"/>
    <n v="0"/>
    <n v="0"/>
    <n v="0"/>
    <n v="50000"/>
    <m/>
    <m/>
    <m/>
    <n v="50000"/>
    <n v="0"/>
    <n v="0"/>
    <n v="0"/>
    <n v="0"/>
    <n v="0"/>
    <n v="0"/>
    <n v="0"/>
    <n v="0"/>
    <n v="50000"/>
  </r>
  <r>
    <s v="L-ERP-202"/>
    <x v="381"/>
    <s v="Herman, Shaun_CONTRACTORS_IT-FBT0779-OT-US-00"/>
    <s v="ERP"/>
    <s v="Patel, Apurva"/>
    <s v="Herman, Shaun"/>
    <s v="Herman, Shaun"/>
    <s v="Hase, Raj"/>
    <s v="Herman, Shaun"/>
    <s v="DeHart, Lynn"/>
    <x v="0"/>
    <s v="MetaStorm - MD eSponsor Application Support &amp; Maintenance"/>
    <m/>
    <m/>
    <x v="250"/>
    <m/>
    <m/>
    <m/>
    <x v="48"/>
    <m/>
    <m/>
    <n v="35000"/>
    <n v="26249"/>
    <m/>
    <m/>
    <m/>
    <m/>
    <m/>
    <s v=""/>
    <n v="0"/>
    <n v="0"/>
    <m/>
    <n v="8751"/>
    <n v="2916"/>
    <n v="2916"/>
    <n v="2916"/>
    <n v="2916"/>
    <n v="20415"/>
    <n v="-5834"/>
    <n v="2917"/>
    <n v="-2917"/>
    <n v="-8751"/>
    <m/>
    <n v="-5834"/>
    <m/>
    <m/>
    <m/>
    <m/>
    <n v="2917"/>
    <n v="2917"/>
    <n v="2917"/>
    <n v="2917"/>
    <n v="2917"/>
    <n v="2916"/>
    <n v="2916"/>
    <n v="2916"/>
    <n v="2916"/>
    <n v="26249"/>
    <m/>
    <m/>
    <m/>
    <n v="2917"/>
    <n v="2917"/>
    <n v="2917"/>
    <n v="2917"/>
    <n v="2917"/>
    <n v="2916"/>
    <n v="2916"/>
    <n v="2916"/>
    <n v="2916"/>
    <n v="26249"/>
  </r>
  <r>
    <s v="L-ERP-193"/>
    <x v="382"/>
    <s v="Herman, Shaun_CONTRACTORS_IT-OTH0063-OG-US-00"/>
    <s v="ERP"/>
    <s v="Patel, Apurva"/>
    <s v="Herman, Shaun"/>
    <s v="Herman, Shaun"/>
    <s v="Hase, Raj"/>
    <s v="Herman, Shaun"/>
    <s v="DeHart, Lynn"/>
    <x v="0"/>
    <s v="Strategic Sourcing Solution Phase 1 - 60% 1 offshore contractor - New Product Application to Support Global Strategic Sourcing; Assumes MetaStorm $40,000 offshore contractor to cover the entire year"/>
    <m/>
    <m/>
    <x v="290"/>
    <m/>
    <m/>
    <m/>
    <x v="12"/>
    <m/>
    <m/>
    <n v="90000"/>
    <n v="90000"/>
    <m/>
    <m/>
    <m/>
    <m/>
    <m/>
    <s v=""/>
    <n v="0"/>
    <n v="82121"/>
    <m/>
    <n v="0"/>
    <n v="0"/>
    <n v="0"/>
    <n v="0"/>
    <n v="7879"/>
    <n v="90000"/>
    <n v="0"/>
    <n v="82000"/>
    <n v="121"/>
    <n v="121"/>
    <m/>
    <n v="0"/>
    <m/>
    <m/>
    <m/>
    <m/>
    <n v="0"/>
    <n v="82000"/>
    <n v="0"/>
    <n v="0"/>
    <n v="4000"/>
    <n v="4000"/>
    <n v="0"/>
    <n v="0"/>
    <n v="0"/>
    <n v="90000"/>
    <m/>
    <m/>
    <m/>
    <n v="8000"/>
    <n v="8000"/>
    <n v="8000"/>
    <n v="8000"/>
    <n v="10000"/>
    <n v="10000"/>
    <n v="10000"/>
    <n v="10000"/>
    <n v="10000"/>
    <n v="82000"/>
  </r>
  <r>
    <s v="L-ERP-208"/>
    <x v="383"/>
    <s v="Herman, Shaun_CONTRACTORS_IT-PBS0936-OT-US-00"/>
    <s v="ERP"/>
    <s v="Patel, Apurva"/>
    <s v="Herman, Shaun"/>
    <s v="Herman, Shaun"/>
    <s v="Hase, Raj"/>
    <s v="Herman, Shaun"/>
    <s v="DeHart, Lynn"/>
    <x v="0"/>
    <s v="P324-0014105-Strategic Sourcing Solution"/>
    <m/>
    <m/>
    <x v="291"/>
    <m/>
    <m/>
    <m/>
    <x v="0"/>
    <m/>
    <m/>
    <n v="0"/>
    <n v="70950"/>
    <m/>
    <m/>
    <m/>
    <m/>
    <n v="70950"/>
    <n v="0"/>
    <n v="0"/>
    <n v="0"/>
    <n v="0"/>
    <n v="0"/>
    <n v="0"/>
    <n v="0"/>
    <n v="0"/>
    <n v="0"/>
    <n v="70950"/>
    <n v="0"/>
    <n v="0"/>
    <n v="0"/>
    <n v="0"/>
    <m/>
    <n v="0"/>
    <m/>
    <m/>
    <m/>
    <n v="70950"/>
    <n v="0"/>
    <n v="0"/>
    <n v="0"/>
    <n v="0"/>
    <n v="0"/>
    <n v="0"/>
    <n v="0"/>
    <n v="0"/>
    <n v="0"/>
    <n v="70950"/>
    <m/>
    <m/>
    <n v="70950"/>
    <n v="0"/>
    <n v="0"/>
    <n v="0"/>
    <n v="0"/>
    <n v="0"/>
    <n v="0"/>
    <n v="0"/>
    <n v="0"/>
    <n v="0"/>
    <n v="70950"/>
  </r>
  <r>
    <s v="L-ERP-209"/>
    <x v="384"/>
    <s v="Herman, Shaun_CONTRACTORS_MISC001"/>
    <s v="ERP"/>
    <s v="Patel, Apurva"/>
    <s v="Herman, Shaun"/>
    <s v="Herman, Shaun"/>
    <s v="Hase, Raj"/>
    <s v="Herman, Shaun"/>
    <s v="DeHart, Lynn"/>
    <x v="0"/>
    <s v="Miscellaneous Charges"/>
    <m/>
    <m/>
    <x v="54"/>
    <m/>
    <m/>
    <m/>
    <x v="0"/>
    <m/>
    <m/>
    <n v="0"/>
    <n v="-0.32999999999999996"/>
    <m/>
    <m/>
    <n v="-0.15"/>
    <n v="0.23"/>
    <n v="-0.41"/>
    <n v="0.8"/>
    <n v="-0.17"/>
    <n v="-0.68"/>
    <n v="0"/>
    <n v="0"/>
    <n v="0"/>
    <n v="0"/>
    <n v="0"/>
    <n v="0"/>
    <n v="-0.38"/>
    <n v="-5.0000000000000044E-2"/>
    <n v="0"/>
    <n v="-0.68"/>
    <n v="-5.0000000000000044E-2"/>
    <m/>
    <n v="-5.0000000000000044E-2"/>
    <m/>
    <n v="-0.15"/>
    <n v="0.23"/>
    <n v="-0.41"/>
    <n v="0"/>
    <n v="0"/>
    <n v="0"/>
    <n v="0"/>
    <n v="0"/>
    <n v="0"/>
    <n v="0"/>
    <n v="0"/>
    <n v="0"/>
    <n v="-0.32999999999999996"/>
    <n v="-0.15"/>
    <n v="0.23"/>
    <n v="-0.41"/>
    <n v="0"/>
    <n v="0"/>
    <n v="0"/>
    <n v="0"/>
    <n v="0"/>
    <n v="0"/>
    <n v="0"/>
    <n v="0"/>
    <n v="0"/>
    <n v="-0.32999999999999996"/>
  </r>
  <r>
    <s v="L-ERP-210"/>
    <x v="385"/>
    <s v="Herman, Shaun_CONTRACTORS_POClosure001"/>
    <s v="ERP"/>
    <s v="Patel, Apurva"/>
    <s v="Herman, Shaun"/>
    <s v="Herman, Shaun"/>
    <s v="Hase, Raj"/>
    <s v="Herman, Shaun"/>
    <s v="DeHart, Lynn"/>
    <x v="0"/>
    <s v="PO Closure Credit"/>
    <m/>
    <m/>
    <x v="56"/>
    <s v="CHW - Ok"/>
    <m/>
    <m/>
    <x v="0"/>
    <m/>
    <m/>
    <n v="0"/>
    <n v="-4283.6499999999996"/>
    <m/>
    <m/>
    <n v="-487.65"/>
    <n v="-3796"/>
    <n v="0"/>
    <n v="0"/>
    <n v="0"/>
    <n v="0"/>
    <n v="0"/>
    <n v="0"/>
    <n v="0"/>
    <n v="0"/>
    <n v="0"/>
    <n v="0"/>
    <n v="-4283.6499999999996"/>
    <n v="0"/>
    <n v="0"/>
    <n v="0"/>
    <n v="0"/>
    <m/>
    <n v="0"/>
    <m/>
    <n v="-487.65"/>
    <n v="-3796"/>
    <n v="0"/>
    <n v="0"/>
    <n v="0"/>
    <n v="0"/>
    <n v="0"/>
    <n v="0"/>
    <n v="0"/>
    <n v="0"/>
    <n v="0"/>
    <n v="0"/>
    <n v="-4283.6499999999996"/>
    <n v="-487.65"/>
    <n v="-3796"/>
    <n v="0"/>
    <n v="0"/>
    <n v="0"/>
    <n v="0"/>
    <n v="0"/>
    <n v="0"/>
    <n v="0"/>
    <n v="0"/>
    <n v="0"/>
    <n v="0"/>
    <n v="-4283.6499999999996"/>
  </r>
  <r>
    <s v="L-ERP-200"/>
    <x v="386"/>
    <s v="Herman, Shaun_MANAGED SERVICES_EP&amp;SCharges001"/>
    <s v="ERP"/>
    <s v="Patel, Apurva"/>
    <s v="Herman, Shaun"/>
    <s v="Herman, Shaun"/>
    <s v="Hase, Raj"/>
    <s v="Herman, Shaun"/>
    <s v="DeHart, Lynn"/>
    <x v="7"/>
    <s v="Infrastructure Billing Charges"/>
    <m/>
    <m/>
    <x v="6"/>
    <m/>
    <s v="N/A"/>
    <m/>
    <x v="3"/>
    <m/>
    <m/>
    <n v="24000"/>
    <n v="21077.66"/>
    <m/>
    <m/>
    <n v="1075.3900000000001"/>
    <n v="1075.5999999999999"/>
    <n v="926.67"/>
    <n v="1030.1999999999998"/>
    <n v="1176.04"/>
    <n v="1160.54"/>
    <n v="2000"/>
    <n v="2000"/>
    <n v="2000"/>
    <n v="2000"/>
    <n v="2000"/>
    <n v="2000"/>
    <n v="18444.439999999999"/>
    <n v="-2633.2200000000012"/>
    <n v="2000"/>
    <n v="-839.46"/>
    <n v="-2633.2200000000003"/>
    <m/>
    <n v="-2633.2200000000012"/>
    <m/>
    <n v="1075.3900000000001"/>
    <n v="1075.5999999999999"/>
    <n v="926.67"/>
    <n v="2000"/>
    <n v="2000"/>
    <n v="2000"/>
    <n v="2000"/>
    <n v="2000"/>
    <n v="2000"/>
    <n v="2000"/>
    <n v="2000"/>
    <n v="2000"/>
    <n v="21077.66"/>
    <n v="1075.3900000000001"/>
    <n v="1075.5999999999999"/>
    <n v="926.67"/>
    <n v="2000"/>
    <n v="2000"/>
    <n v="2000"/>
    <n v="2000"/>
    <n v="2000"/>
    <n v="2000"/>
    <n v="2000"/>
    <n v="2000"/>
    <n v="2000"/>
    <n v="21077.66"/>
  </r>
  <r>
    <s v="L-ERP-203"/>
    <x v="387"/>
    <s v="Herman, Shaun_MANAGED SERVICES_IT-FBT0262-OG-US-00"/>
    <s v="ERP"/>
    <s v="Patel, Apurva"/>
    <s v="Herman, Shaun"/>
    <s v="Herman, Shaun"/>
    <s v="Hase, Raj"/>
    <s v="Herman, Shaun"/>
    <s v="DeHart, Lynn"/>
    <x v="7"/>
    <s v="Metastorm Platform - PAL Application Support"/>
    <m/>
    <m/>
    <x v="287"/>
    <m/>
    <m/>
    <m/>
    <x v="48"/>
    <m/>
    <m/>
    <n v="0"/>
    <n v="35000"/>
    <m/>
    <m/>
    <m/>
    <m/>
    <n v="8751"/>
    <n v="0"/>
    <n v="5834"/>
    <n v="0"/>
    <n v="2917"/>
    <n v="2917"/>
    <n v="2916"/>
    <n v="2916"/>
    <n v="2916"/>
    <n v="2916"/>
    <n v="32083"/>
    <n v="-2917"/>
    <n v="2917"/>
    <n v="-2917"/>
    <n v="-2917"/>
    <m/>
    <n v="-2917"/>
    <s v="Moved from Contractors"/>
    <m/>
    <m/>
    <n v="8751"/>
    <n v="2917"/>
    <n v="2917"/>
    <n v="2917"/>
    <n v="2917"/>
    <n v="2917"/>
    <n v="2916"/>
    <n v="2916"/>
    <n v="2916"/>
    <n v="2916"/>
    <n v="35000"/>
    <m/>
    <m/>
    <n v="8751"/>
    <n v="0"/>
    <n v="0"/>
    <n v="0"/>
    <n v="0"/>
    <n v="0"/>
    <n v="0"/>
    <n v="0"/>
    <n v="0"/>
    <n v="0"/>
    <n v="8751"/>
  </r>
  <r>
    <s v="L-ERP-195"/>
    <x v="388"/>
    <s v="Herman, Shaun_MANAGED SERVICES_IT-FBT0541-OG-US-00"/>
    <s v="ERP"/>
    <s v="Patel, Apurva"/>
    <s v="Herman, Shaun"/>
    <s v="Herman, Shaun"/>
    <s v="Hase, Raj"/>
    <s v="Herman, Shaun"/>
    <s v="DeHart, Lynn"/>
    <x v="7"/>
    <s v="Infrastructure Charges - Ariba Server Superclusters Support"/>
    <m/>
    <m/>
    <x v="288"/>
    <m/>
    <m/>
    <m/>
    <x v="54"/>
    <m/>
    <m/>
    <n v="0"/>
    <n v="7906.64"/>
    <m/>
    <m/>
    <n v="988.33"/>
    <n v="988.33"/>
    <n v="988.33"/>
    <n v="1792.83"/>
    <n v="988.32999999999993"/>
    <n v="10337.959999999999"/>
    <n v="988.33"/>
    <n v="988.33"/>
    <n v="0"/>
    <n v="0"/>
    <n v="0"/>
    <n v="0"/>
    <n v="18060.77"/>
    <n v="10154.130000000001"/>
    <n v="988.33"/>
    <n v="9349.6299999999992"/>
    <n v="10154.129999999997"/>
    <m/>
    <n v="10154.130000000001"/>
    <s v="Moved from Contractors"/>
    <n v="988.33"/>
    <n v="988.33"/>
    <n v="988.33"/>
    <n v="988.33"/>
    <n v="988.33"/>
    <n v="988.33"/>
    <n v="988.33"/>
    <n v="988.33"/>
    <n v="0"/>
    <n v="0"/>
    <n v="0"/>
    <n v="0"/>
    <n v="7906.64"/>
    <n v="988.33"/>
    <n v="988.33"/>
    <n v="988.33"/>
    <n v="0"/>
    <n v="0"/>
    <n v="0"/>
    <n v="0"/>
    <n v="0"/>
    <n v="0"/>
    <n v="0"/>
    <n v="0"/>
    <n v="0"/>
    <n v="2964.9900000000002"/>
  </r>
  <r>
    <s v="L-ERP-198"/>
    <x v="389"/>
    <s v="Herman, Shaun_MANAGED SERVICES_IT-FGS0299-OG-US-00"/>
    <s v="ERP"/>
    <s v="Patel, Apurva"/>
    <s v="Herman, Shaun"/>
    <s v="Herman, Shaun"/>
    <s v="Hase, Raj"/>
    <s v="Herman, Shaun"/>
    <s v="DeHart, Lynn"/>
    <x v="7"/>
    <s v="Others (Vending, Meeting event, Devices Unreturned, Applecare, Mac-mgmt, IT Onboard, etc.)"/>
    <m/>
    <m/>
    <x v="67"/>
    <m/>
    <s v="N/A"/>
    <m/>
    <x v="3"/>
    <m/>
    <m/>
    <n v="8220"/>
    <n v="7536.92"/>
    <m/>
    <m/>
    <n v="685.96"/>
    <n v="685.96"/>
    <n v="0"/>
    <n v="510.91"/>
    <n v="685.96"/>
    <n v="685.96"/>
    <n v="685"/>
    <n v="685"/>
    <n v="685"/>
    <n v="685"/>
    <n v="685"/>
    <n v="685"/>
    <n v="7364.75"/>
    <n v="-172.17000000000007"/>
    <n v="685"/>
    <n v="0.96000000000003638"/>
    <n v="-172.17000000000007"/>
    <m/>
    <n v="-172.17000000000007"/>
    <m/>
    <n v="685.96"/>
    <n v="685.96"/>
    <n v="0"/>
    <n v="685"/>
    <n v="685"/>
    <n v="685"/>
    <n v="685"/>
    <n v="685"/>
    <n v="685"/>
    <n v="685"/>
    <n v="685"/>
    <n v="685"/>
    <n v="7536.92"/>
    <n v="685.96"/>
    <n v="685.96"/>
    <n v="0"/>
    <n v="685"/>
    <n v="685"/>
    <n v="685"/>
    <n v="685"/>
    <n v="685"/>
    <n v="685"/>
    <n v="685"/>
    <n v="685"/>
    <n v="685"/>
    <n v="7536.92"/>
  </r>
  <r>
    <s v="L-ERP-199"/>
    <x v="390"/>
    <s v="Herman, Shaun_MANAGED SERVICES_IT-FGS0301-OG-US-00"/>
    <s v="ERP"/>
    <s v="Patel, Apurva"/>
    <s v="Herman, Shaun"/>
    <s v="Herman, Shaun"/>
    <s v="Hase, Raj"/>
    <s v="Herman, Shaun"/>
    <s v="DeHart, Lynn"/>
    <x v="7"/>
    <s v="Desktop on Demand (VDS)"/>
    <m/>
    <m/>
    <x v="101"/>
    <m/>
    <s v="N/A"/>
    <m/>
    <x v="3"/>
    <m/>
    <m/>
    <n v="36000"/>
    <n v="34822"/>
    <m/>
    <m/>
    <n v="2137"/>
    <n v="1809"/>
    <n v="3876"/>
    <n v="1749"/>
    <n v="1548"/>
    <n v="1273"/>
    <n v="3000"/>
    <n v="3000"/>
    <n v="3000"/>
    <n v="3000"/>
    <n v="3000"/>
    <n v="3000"/>
    <n v="30392"/>
    <n v="-4430"/>
    <n v="3000"/>
    <n v="-1727"/>
    <n v="-4430"/>
    <m/>
    <n v="-4430"/>
    <m/>
    <n v="2137"/>
    <n v="1809"/>
    <n v="3876"/>
    <n v="3000"/>
    <n v="3000"/>
    <n v="3000"/>
    <n v="3000"/>
    <n v="3000"/>
    <n v="3000"/>
    <n v="3000"/>
    <n v="3000"/>
    <n v="3000"/>
    <n v="34822"/>
    <n v="2137"/>
    <n v="1809"/>
    <n v="3876"/>
    <n v="3000"/>
    <n v="3000"/>
    <n v="3000"/>
    <n v="3000"/>
    <n v="3000"/>
    <n v="3000"/>
    <n v="3000"/>
    <n v="3000"/>
    <n v="3000"/>
    <n v="34822"/>
  </r>
  <r>
    <s v="L-ERP-211"/>
    <x v="391"/>
    <s v="Herman, Shaun_MANAGED SERVICES_MISC001"/>
    <s v="ERP"/>
    <s v="Patel, Apurva"/>
    <s v="Herman, Shaun"/>
    <s v="Herman, Shaun"/>
    <s v="Hase, Raj"/>
    <s v="Herman, Shaun"/>
    <s v="DeHart, Lynn"/>
    <x v="7"/>
    <s v="Miscellaneous Charges"/>
    <m/>
    <m/>
    <x v="54"/>
    <m/>
    <m/>
    <m/>
    <x v="0"/>
    <m/>
    <m/>
    <n v="0"/>
    <n v="0.43"/>
    <m/>
    <m/>
    <n v="0.32"/>
    <n v="0.11"/>
    <n v="0"/>
    <n v="0.06"/>
    <n v="-0.33"/>
    <n v="-0.46"/>
    <n v="0"/>
    <n v="0"/>
    <n v="0"/>
    <n v="0"/>
    <n v="0"/>
    <n v="0"/>
    <n v="-0.30000000000000004"/>
    <n v="-0.73"/>
    <n v="0"/>
    <n v="-0.46"/>
    <n v="-0.73"/>
    <m/>
    <n v="-0.73"/>
    <m/>
    <n v="0.32"/>
    <n v="0.11"/>
    <n v="0"/>
    <n v="0"/>
    <n v="0"/>
    <n v="0"/>
    <n v="0"/>
    <n v="0"/>
    <n v="0"/>
    <n v="0"/>
    <n v="0"/>
    <n v="0"/>
    <n v="0.43"/>
    <n v="0.32"/>
    <n v="0.11"/>
    <n v="0"/>
    <n v="0"/>
    <n v="0"/>
    <n v="0"/>
    <n v="0"/>
    <n v="0"/>
    <n v="0"/>
    <n v="0"/>
    <n v="0"/>
    <n v="0"/>
    <n v="0.43"/>
  </r>
  <r>
    <s v="L-ERP-212"/>
    <x v="392"/>
    <s v="Herman, Shaun_SOFTWARE_ColleagueSolutions001"/>
    <s v="ERP"/>
    <s v="Patel, Apurva"/>
    <s v="Herman, Shaun"/>
    <s v="Herman, Shaun"/>
    <s v="Hase, Raj"/>
    <s v="Herman, Shaun"/>
    <s v="DeHart, Lynn"/>
    <x v="9"/>
    <s v="Colleague Solutions Delivery Chargebacks"/>
    <m/>
    <m/>
    <x v="0"/>
    <s v="CHW - Ok"/>
    <s v="N/A"/>
    <m/>
    <x v="0"/>
    <m/>
    <m/>
    <n v="0"/>
    <n v="431.03"/>
    <m/>
    <m/>
    <m/>
    <n v="431.03"/>
    <n v="0"/>
    <n v="0"/>
    <n v="0"/>
    <n v="0"/>
    <n v="0"/>
    <n v="0"/>
    <n v="0"/>
    <n v="0"/>
    <n v="0"/>
    <n v="0"/>
    <n v="431.03"/>
    <n v="0"/>
    <n v="0"/>
    <n v="0"/>
    <n v="0"/>
    <m/>
    <n v="0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s v="L-ERP-196"/>
    <x v="393"/>
    <s v="Herman, Shaun_SOFTWARE_IT-SFT1194-86-OG-US"/>
    <s v="ERP"/>
    <s v="Patel, Apurva"/>
    <s v="Herman, Shaun"/>
    <s v="Herman, Shaun"/>
    <s v="Hase, Raj"/>
    <s v="Herman, Shaun"/>
    <s v="DeHart, Lynn"/>
    <x v="9"/>
    <s v="DevSecOps"/>
    <m/>
    <m/>
    <x v="190"/>
    <m/>
    <s v="N/A"/>
    <m/>
    <x v="40"/>
    <m/>
    <m/>
    <n v="12000"/>
    <n v="19022.099999999999"/>
    <m/>
    <m/>
    <m/>
    <m/>
    <n v="10022.1"/>
    <n v="0"/>
    <n v="0"/>
    <n v="7983.4299999999994"/>
    <n v="0"/>
    <n v="0"/>
    <n v="10000"/>
    <n v="0"/>
    <n v="0"/>
    <n v="10000"/>
    <n v="38005.53"/>
    <n v="18983.43"/>
    <n v="0"/>
    <n v="7983.4299999999994"/>
    <n v="4983.4299999999985"/>
    <m/>
    <n v="18983.43"/>
    <m/>
    <m/>
    <m/>
    <n v="10022.1"/>
    <n v="0"/>
    <n v="0"/>
    <n v="3000"/>
    <n v="0"/>
    <n v="0"/>
    <n v="3000"/>
    <n v="0"/>
    <n v="0"/>
    <n v="3000"/>
    <n v="19022.099999999999"/>
    <m/>
    <m/>
    <n v="10022.1"/>
    <n v="0"/>
    <n v="0"/>
    <n v="3000"/>
    <n v="0"/>
    <n v="0"/>
    <n v="3000"/>
    <n v="0"/>
    <n v="0"/>
    <n v="3000"/>
    <n v="19022.099999999999"/>
  </r>
  <r>
    <s v="L-ERP-213"/>
    <x v="394"/>
    <s v="Herman, Shaun_SOFTWARE_MISC001"/>
    <s v="ERP"/>
    <s v="Patel, Apurva"/>
    <s v="Herman, Shaun"/>
    <s v="Herman, Shaun"/>
    <s v="Hase, Raj"/>
    <s v="Herman, Shaun"/>
    <s v="DeHart, Lynn"/>
    <x v="9"/>
    <s v="Miscellaneous Charges"/>
    <m/>
    <m/>
    <x v="54"/>
    <m/>
    <m/>
    <m/>
    <x v="0"/>
    <m/>
    <m/>
    <n v="0"/>
    <n v="-0.13"/>
    <m/>
    <m/>
    <m/>
    <n v="-0.03"/>
    <n v="-0.1"/>
    <n v="0"/>
    <n v="0"/>
    <n v="0.56999999999999995"/>
    <n v="0"/>
    <n v="0"/>
    <n v="0"/>
    <n v="0"/>
    <n v="0"/>
    <n v="0"/>
    <n v="0.43999999999999995"/>
    <n v="0.56999999999999995"/>
    <n v="0"/>
    <n v="0.56999999999999995"/>
    <n v="0.56999999999999995"/>
    <m/>
    <n v="0.56999999999999995"/>
    <m/>
    <m/>
    <n v="-0.03"/>
    <n v="-0.1"/>
    <n v="0"/>
    <n v="0"/>
    <n v="0"/>
    <n v="0"/>
    <n v="0"/>
    <n v="0"/>
    <n v="0"/>
    <n v="0"/>
    <n v="0"/>
    <n v="-0.13"/>
    <m/>
    <n v="-0.03"/>
    <n v="-0.1"/>
    <n v="0"/>
    <n v="0"/>
    <n v="0"/>
    <n v="0"/>
    <n v="0"/>
    <n v="0"/>
    <n v="0"/>
    <n v="0"/>
    <n v="0"/>
    <n v="-0.13"/>
  </r>
  <r>
    <s v="L-ERP-556"/>
    <x v="395"/>
    <s v="Vaidya, Sachin_CONTRACTORS_EnhanceChargeout001"/>
    <s v="ERP"/>
    <s v="Patel, Apurva"/>
    <s v="Hovanyetz, Mike"/>
    <s v="Vaidya, Sachin"/>
    <s v="Hase, Raj"/>
    <s v="Vaidya, Sachin"/>
    <s v="DeHart, Lynn"/>
    <x v="0"/>
    <s v="Enhance Chargeout Cost Centers"/>
    <m/>
    <m/>
    <x v="1"/>
    <s v="CHW - F/U"/>
    <m/>
    <m/>
    <x v="0"/>
    <s v="Sachin (4/30): OK"/>
    <m/>
    <n v="0"/>
    <n v="0"/>
    <m/>
    <m/>
    <n v="279973"/>
    <n v="-451174"/>
    <n v="173459"/>
    <n v="771452.00000000012"/>
    <n v="-143797.00000000006"/>
    <n v="-449247"/>
    <n v="0"/>
    <n v="0"/>
    <n v="0"/>
    <n v="0"/>
    <n v="0"/>
    <n v="0"/>
    <n v="180666"/>
    <n v="180666"/>
    <n v="-773710"/>
    <n v="324463"/>
    <n v="180666"/>
    <m/>
    <n v="180666"/>
    <m/>
    <n v="279973"/>
    <n v="-451174"/>
    <n v="173459"/>
    <n v="771452"/>
    <n v="-773710"/>
    <n v="0"/>
    <n v="0"/>
    <n v="0"/>
    <n v="0"/>
    <n v="0"/>
    <n v="0"/>
    <n v="0"/>
    <n v="0"/>
    <n v="279973"/>
    <n v="-451174"/>
    <n v="173459"/>
    <n v="0"/>
    <n v="51201"/>
    <n v="0"/>
    <n v="0"/>
    <n v="0"/>
    <n v="0"/>
    <n v="0"/>
    <n v="0"/>
    <n v="0"/>
    <n v="53459"/>
  </r>
  <r>
    <s v="L-ERP-553"/>
    <x v="396"/>
    <s v="Vaidya, Sachin_CONTRACTORS_IT-CTR0151-OG-US-00"/>
    <s v="ERP"/>
    <s v="Patel, Apurva"/>
    <s v="Hovanyetz, Mike"/>
    <s v="Vaidya, Sachin"/>
    <s v="Hase, Raj"/>
    <s v="Vaidya, Sachin"/>
    <s v="DeHart, Lynn"/>
    <x v="0"/>
    <s v="SAP Intelligent Service Cloud - IBM BTAMS support costs (1 FTE)"/>
    <m/>
    <s v="2329610"/>
    <x v="292"/>
    <m/>
    <s v="9501237041"/>
    <m/>
    <x v="0"/>
    <s v="4/29 CHW  Looks like duplicate; Review UID N-ERP-617_x000a_Sachin (4/30): OK"/>
    <m/>
    <n v="0"/>
    <n v="120000"/>
    <m/>
    <m/>
    <n v="0"/>
    <n v="0"/>
    <n v="0"/>
    <n v="39011.32"/>
    <n v="42012.189999999995"/>
    <n v="52515.23"/>
    <n v="13080"/>
    <m/>
    <m/>
    <m/>
    <m/>
    <m/>
    <n v="146618.74"/>
    <n v="26618.739999999991"/>
    <n v="35640"/>
    <n v="16875.230000000003"/>
    <n v="26618.739999999991"/>
    <m/>
    <n v="26618.739999999991"/>
    <s v="Acct Mvmnt - IT-CTR0151-OG-US-00/IT-SFT1462-OG-US-00"/>
    <n v="0"/>
    <n v="0"/>
    <n v="0"/>
    <n v="35640"/>
    <n v="35640"/>
    <n v="35640"/>
    <n v="13080"/>
    <m/>
    <m/>
    <m/>
    <m/>
    <m/>
    <n v="120000"/>
    <m/>
    <m/>
    <m/>
    <m/>
    <m/>
    <m/>
    <n v="20000"/>
    <n v="20000"/>
    <n v="20000"/>
    <n v="20000"/>
    <n v="20000"/>
    <n v="20000"/>
    <n v="120000"/>
  </r>
  <r>
    <s v="L-ERP-216"/>
    <x v="397"/>
    <s v="Hovanyetz, Mike_CONTRACTORS_IT-FBT0450-OG-US-00"/>
    <s v="ERP"/>
    <s v="Patel, Apurva"/>
    <s v="Hovanyetz, Mike"/>
    <s v="Hovanyetz, Mike"/>
    <s v="Hase, Raj"/>
    <s v="Hovanyetz, Mike"/>
    <s v="DeHart, Lynn"/>
    <x v="0"/>
    <s v="Claim Level Detail (CLD) Retrieval Service"/>
    <m/>
    <m/>
    <x v="266"/>
    <m/>
    <m/>
    <m/>
    <x v="51"/>
    <s v="CHW 4/30 - Added AP04 actuals and AP05 reclass as PO updated to move to Raj H"/>
    <m/>
    <n v="0"/>
    <n v="0"/>
    <m/>
    <m/>
    <n v="50000"/>
    <n v="0"/>
    <n v="-50000"/>
    <n v="50000"/>
    <n v="-50000"/>
    <n v="0"/>
    <m/>
    <m/>
    <m/>
    <m/>
    <m/>
    <m/>
    <n v="0"/>
    <n v="0"/>
    <n v="-50000"/>
    <n v="50000"/>
    <n v="0"/>
    <m/>
    <n v="0"/>
    <m/>
    <n v="50000"/>
    <n v="0"/>
    <n v="-50000"/>
    <n v="50000"/>
    <n v="-50000"/>
    <m/>
    <m/>
    <m/>
    <m/>
    <m/>
    <m/>
    <m/>
    <n v="0"/>
    <n v="50000"/>
    <n v="0"/>
    <n v="-50000"/>
    <m/>
    <m/>
    <m/>
    <m/>
    <m/>
    <m/>
    <m/>
    <m/>
    <m/>
    <n v="0"/>
  </r>
  <r>
    <s v="L-ERP-554"/>
    <x v="398"/>
    <s v="Vaidya, Sachin_CONTRACTORS_IT-SFT1458-OG-US-00"/>
    <s v="ERP"/>
    <s v="Patel, Apurva"/>
    <s v="Hovanyetz, Mike"/>
    <s v="Vaidya, Sachin"/>
    <s v="Hase, Raj"/>
    <s v="Vaidya, Sachin"/>
    <s v="DeHart, Lynn"/>
    <x v="0"/>
    <s v="SAP Intelligent Service Cloud (ISC) Software and AI cost"/>
    <m/>
    <m/>
    <x v="293"/>
    <m/>
    <m/>
    <m/>
    <x v="0"/>
    <s v="Sachin (4/30): This WBS was created with the wrong expense category hence the charge was reversed. This row can be removed. Its replaced by row 422."/>
    <m/>
    <n v="0"/>
    <n v="0"/>
    <m/>
    <m/>
    <m/>
    <n v="304987.09999999998"/>
    <n v="-304987.09999999998"/>
    <n v="0"/>
    <n v="0"/>
    <n v="0"/>
    <m/>
    <m/>
    <m/>
    <m/>
    <m/>
    <m/>
    <n v="0"/>
    <n v="0"/>
    <m/>
    <n v="0"/>
    <n v="0"/>
    <m/>
    <n v="0"/>
    <m/>
    <m/>
    <n v="304987.09999999998"/>
    <n v="-304987.09999999998"/>
    <m/>
    <m/>
    <m/>
    <m/>
    <m/>
    <m/>
    <m/>
    <m/>
    <m/>
    <n v="0"/>
    <m/>
    <n v="304987.09999999998"/>
    <n v="-304987.09999999998"/>
    <m/>
    <m/>
    <m/>
    <m/>
    <m/>
    <m/>
    <m/>
    <m/>
    <m/>
    <n v="0"/>
  </r>
  <r>
    <s v="L-ERP-555"/>
    <x v="399"/>
    <s v="Vaidya, Sachin_CONTRACTORS_IT-SFT1459-OG-US-00"/>
    <s v="ERP"/>
    <s v="Patel, Apurva"/>
    <s v="Hovanyetz, Mike"/>
    <s v="Vaidya, Sachin"/>
    <s v="Hase, Raj"/>
    <s v="Vaidya, Sachin"/>
    <s v="DeHart, Lynn"/>
    <x v="0"/>
    <s v="Conexiom Software and Support cost"/>
    <m/>
    <m/>
    <x v="294"/>
    <m/>
    <m/>
    <m/>
    <x v="0"/>
    <s v="Sachin (4/30): This WBS was created with the wrong expense category hence the charge was reversed. This row can be removed. Its replaced by row 423."/>
    <m/>
    <n v="0"/>
    <n v="0"/>
    <m/>
    <m/>
    <m/>
    <n v="331000"/>
    <n v="-331000"/>
    <n v="0"/>
    <n v="0"/>
    <n v="9981.0499999999993"/>
    <m/>
    <m/>
    <m/>
    <m/>
    <m/>
    <m/>
    <n v="9981.0499999999993"/>
    <n v="9981.0499999999993"/>
    <m/>
    <n v="9981.0499999999993"/>
    <n v="9981.0499999999993"/>
    <m/>
    <n v="9981.0499999999993"/>
    <m/>
    <m/>
    <n v="331000"/>
    <n v="-331000"/>
    <m/>
    <m/>
    <m/>
    <m/>
    <m/>
    <m/>
    <m/>
    <m/>
    <m/>
    <n v="0"/>
    <m/>
    <n v="331000"/>
    <n v="-331000"/>
    <m/>
    <m/>
    <m/>
    <m/>
    <m/>
    <m/>
    <m/>
    <m/>
    <m/>
    <n v="0"/>
  </r>
  <r>
    <s v="ERP-040"/>
    <x v="400"/>
    <s v="Hovanyetz, Mike_CONTRACTORS_MISC001"/>
    <s v="ERP"/>
    <s v="Patel, Apurva"/>
    <s v="Hovanyetz, Mike"/>
    <s v="Hovanyetz, Mike"/>
    <s v="Hase, Raj"/>
    <s v="Hovanyetz, Mike"/>
    <s v="Hovanyetz, Mike"/>
    <x v="0"/>
    <s v="Miscellaneous Charges"/>
    <m/>
    <s v="2321347"/>
    <x v="54"/>
    <m/>
    <m/>
    <m/>
    <x v="2"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57"/>
    <x v="400"/>
    <s v="Vaidya, Sachin_CONTRACTORS_MISC001"/>
    <s v="ERP"/>
    <s v="Patel, Apurva"/>
    <s v="Hovanyetz, Mike"/>
    <s v="Vaidya, Sachin"/>
    <s v="Hase, Raj"/>
    <s v="Vaidya, Sachin"/>
    <s v="DeHart, Lynn"/>
    <x v="0"/>
    <s v="Miscellaneous Charges"/>
    <m/>
    <m/>
    <x v="54"/>
    <m/>
    <m/>
    <m/>
    <x v="0"/>
    <s v="Sachin (4/30): Not managed by me"/>
    <m/>
    <n v="0"/>
    <n v="0"/>
    <m/>
    <m/>
    <m/>
    <n v="-0.1"/>
    <n v="0.1"/>
    <n v="-0.32"/>
    <n v="0.81"/>
    <n v="-0.28000000000000003"/>
    <m/>
    <m/>
    <m/>
    <m/>
    <m/>
    <m/>
    <n v="0.21000000000000002"/>
    <n v="0.21000000000000002"/>
    <m/>
    <n v="-0.28000000000000003"/>
    <n v="0.21000000000000002"/>
    <m/>
    <n v="0.21000000000000002"/>
    <m/>
    <m/>
    <n v="-0.1"/>
    <n v="0.1"/>
    <m/>
    <m/>
    <m/>
    <m/>
    <m/>
    <m/>
    <m/>
    <m/>
    <m/>
    <n v="0"/>
    <m/>
    <n v="-0.1"/>
    <n v="0.1"/>
    <m/>
    <m/>
    <m/>
    <m/>
    <m/>
    <m/>
    <m/>
    <m/>
    <m/>
    <n v="0"/>
  </r>
  <r>
    <s v="N-ERP-568"/>
    <x v="401"/>
    <s v="Hovanyetz, Mike_MANAGED SERVICES_2026-XFR-0017-C"/>
    <s v="ERP"/>
    <s v="Patel, Apurva"/>
    <s v="Hovanyetz, Mike"/>
    <s v="Hovanyetz, Mike"/>
    <s v="Hase, Raj"/>
    <s v="Hovanyetz, Mike"/>
    <s v="DeHart, Lynn"/>
    <x v="7"/>
    <s v="Dedicated US PRIME Commerce Cloud - US Prime Cloud Support"/>
    <m/>
    <m/>
    <x v="73"/>
    <m/>
    <m/>
    <m/>
    <x v="12"/>
    <s v="4/28/26 CHW New add to tie-out 0223 to 0317 Planful Extracts Transferred from Mike H to Chris Dougherty; zero forecast as moved to Chris"/>
    <m/>
    <n v="125000"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n v="0"/>
    <n v="0"/>
    <n v="0"/>
    <n v="0"/>
    <n v="0"/>
    <n v="0"/>
    <n v="0"/>
    <n v="0"/>
    <n v="0"/>
    <n v="0"/>
    <n v="0"/>
    <n v="0"/>
    <n v="12500"/>
    <n v="12500"/>
    <n v="12500"/>
    <n v="12500"/>
    <n v="12500"/>
    <n v="12500"/>
    <n v="12500"/>
    <n v="12500"/>
    <n v="12500"/>
    <n v="12500"/>
    <n v="125000"/>
  </r>
  <r>
    <s v="N-ERP-569"/>
    <x v="402"/>
    <s v="Hovanyetz, Mike_MANAGED SERVICES_2026-XFR-0017-D"/>
    <s v="ERP"/>
    <s v="Patel, Apurva"/>
    <s v="Hovanyetz, Mike"/>
    <s v="Hovanyetz, Mike"/>
    <s v="Hase, Raj"/>
    <s v="Hovanyetz, Mike"/>
    <s v="DeHart, Lynn"/>
    <x v="7"/>
    <s v="Dedicated US PRIME Commerce Cloud - ACES/Inmar Support"/>
    <m/>
    <m/>
    <x v="74"/>
    <m/>
    <m/>
    <m/>
    <x v="12"/>
    <s v="4/28/26 CHW New add to tie-out 0223 to 0317 Planful Extracts Transferred from Mike H to Chris Dougherty; zero forecast as moved to Chris"/>
    <m/>
    <n v="100000"/>
    <n v="0"/>
    <m/>
    <m/>
    <m/>
    <m/>
    <m/>
    <s v=""/>
    <n v="0"/>
    <n v="0"/>
    <n v="0"/>
    <n v="0"/>
    <n v="0"/>
    <n v="0"/>
    <n v="0"/>
    <n v="0"/>
    <n v="0"/>
    <n v="0"/>
    <n v="9692"/>
    <n v="-9692"/>
    <n v="0"/>
    <m/>
    <n v="0"/>
    <m/>
    <m/>
    <m/>
    <m/>
    <n v="0"/>
    <n v="0"/>
    <n v="0"/>
    <n v="0"/>
    <n v="0"/>
    <n v="0"/>
    <n v="0"/>
    <n v="0"/>
    <n v="0"/>
    <n v="0"/>
    <n v="0"/>
    <n v="0"/>
    <n v="10000"/>
    <n v="10000"/>
    <n v="10000"/>
    <n v="10000"/>
    <n v="10000"/>
    <n v="10000"/>
    <n v="10000"/>
    <n v="10000"/>
    <n v="10000"/>
    <n v="10000"/>
    <n v="100000"/>
  </r>
  <r>
    <s v="N-ERP-570"/>
    <x v="403"/>
    <s v="Hovanyetz, Mike_MANAGED SERVICES_2026-XFR-0020-A"/>
    <s v="ERP"/>
    <s v="Patel, Apurva"/>
    <s v="Hovanyetz, Mike"/>
    <s v="Hovanyetz, Mike"/>
    <s v="Hase, Raj"/>
    <s v="Hovanyetz, Mike"/>
    <s v="DeHart, Lynn"/>
    <x v="7"/>
    <s v="SAP Prime Global Customer Experience - IBM BTAMS support costs - SAP Commerce Cloud Prime GCx"/>
    <m/>
    <m/>
    <x v="75"/>
    <m/>
    <m/>
    <m/>
    <x v="12"/>
    <s v="4/28/26 CHW New add to tie-out 0223 to 0317 Planful Extracts Transferred from Mike H to Chris Dougherty; zero forecast as moved to Chris"/>
    <m/>
    <n v="75000"/>
    <n v="0"/>
    <m/>
    <m/>
    <m/>
    <m/>
    <m/>
    <s v=""/>
    <n v="0"/>
    <n v="0"/>
    <n v="0"/>
    <n v="0"/>
    <n v="0"/>
    <n v="0"/>
    <n v="0"/>
    <n v="0"/>
    <n v="0"/>
    <n v="0"/>
    <n v="391800"/>
    <n v="-391800"/>
    <n v="0"/>
    <m/>
    <n v="0"/>
    <m/>
    <m/>
    <m/>
    <m/>
    <n v="0"/>
    <n v="0"/>
    <n v="0"/>
    <n v="0"/>
    <n v="0"/>
    <n v="0"/>
    <n v="0"/>
    <n v="0"/>
    <n v="0"/>
    <n v="0"/>
    <n v="6250"/>
    <n v="6250"/>
    <n v="6250"/>
    <n v="6250"/>
    <n v="6250"/>
    <n v="6250"/>
    <n v="6250"/>
    <n v="6250"/>
    <n v="6250"/>
    <n v="6250"/>
    <n v="6250"/>
    <n v="6250"/>
    <n v="75000"/>
  </r>
  <r>
    <s v="L-ERP-558"/>
    <x v="404"/>
    <s v="Vaidya, Sachin_MANAGED SERVICES_EnhanceChargeout001"/>
    <s v="ERP"/>
    <s v="Patel, Apurva"/>
    <s v="Hovanyetz, Mike"/>
    <s v="Vaidya, Sachin"/>
    <s v="Hase, Raj"/>
    <s v="Vaidya, Sachin"/>
    <s v="DeHart, Lynn"/>
    <x v="7"/>
    <s v="Enhance Chargeout Cost Centers"/>
    <m/>
    <m/>
    <x v="1"/>
    <s v="CHW - F/U"/>
    <m/>
    <m/>
    <x v="0"/>
    <s v="Sachin (4/30): Not managed by me"/>
    <m/>
    <n v="0"/>
    <n v="2360"/>
    <m/>
    <m/>
    <m/>
    <n v="2180"/>
    <n v="180"/>
    <n v="180"/>
    <n v="180"/>
    <n v="60"/>
    <n v="0"/>
    <n v="0"/>
    <n v="0"/>
    <n v="0"/>
    <n v="0"/>
    <n v="0"/>
    <n v="2780"/>
    <n v="420"/>
    <n v="0"/>
    <n v="60"/>
    <n v="420"/>
    <m/>
    <n v="420"/>
    <m/>
    <m/>
    <n v="2180"/>
    <n v="180"/>
    <n v="0"/>
    <n v="0"/>
    <n v="0"/>
    <n v="0"/>
    <n v="0"/>
    <n v="0"/>
    <n v="0"/>
    <n v="0"/>
    <n v="0"/>
    <n v="2360"/>
    <m/>
    <n v="2180"/>
    <n v="180"/>
    <n v="0"/>
    <n v="0"/>
    <n v="0"/>
    <n v="0"/>
    <n v="0"/>
    <n v="0"/>
    <n v="0"/>
    <n v="0"/>
    <n v="0"/>
    <n v="2360"/>
  </r>
  <r>
    <s v="L-ERP-222"/>
    <x v="405"/>
    <s v="Hovanyetz, Mike_MANAGED SERVICES_EP&amp;SCharges001"/>
    <s v="ERP"/>
    <s v="Patel, Apurva"/>
    <s v="Hovanyetz, Mike"/>
    <s v="Hovanyetz, Mike"/>
    <s v="Hase, Raj"/>
    <s v="Hovanyetz, Mike"/>
    <s v="DeHart, Lynn"/>
    <x v="7"/>
    <s v="Infrastructure Billing Charges"/>
    <m/>
    <m/>
    <x v="6"/>
    <m/>
    <s v="N/A"/>
    <m/>
    <x v="3"/>
    <s v="CHW 4/30 - Tie-back to Planful transaction details"/>
    <m/>
    <n v="36000"/>
    <n v="38955.51"/>
    <m/>
    <m/>
    <n v="4414.1899999999996"/>
    <n v="3932.76"/>
    <n v="3608.56"/>
    <n v="3606.4999999999995"/>
    <n v="3644.34"/>
    <n v="3811.5099999999998"/>
    <n v="3700"/>
    <n v="3700"/>
    <n v="3700"/>
    <n v="3700"/>
    <n v="3700"/>
    <n v="3700"/>
    <n v="45217.86"/>
    <n v="6262.3499999999985"/>
    <n v="3000"/>
    <n v="811.50999999999976"/>
    <n v="2062.3499999999949"/>
    <m/>
    <n v="6262.3499999999985"/>
    <m/>
    <n v="4414.1899999999996"/>
    <n v="3932.76"/>
    <n v="3608.56"/>
    <n v="3000"/>
    <n v="3000"/>
    <n v="3000"/>
    <n v="3000"/>
    <n v="3000"/>
    <n v="3000"/>
    <n v="3000"/>
    <n v="3000"/>
    <n v="3000"/>
    <n v="38955.51"/>
    <n v="4414.1899999999996"/>
    <n v="3932.76"/>
    <n v="3608.56"/>
    <n v="3000"/>
    <n v="3000"/>
    <n v="3000"/>
    <n v="3000"/>
    <n v="3000"/>
    <n v="3000"/>
    <n v="3000"/>
    <n v="3000"/>
    <n v="3000"/>
    <n v="38955.51"/>
  </r>
  <r>
    <s v="L-ERP-220"/>
    <x v="406"/>
    <s v="Hovanyetz, Mike_MANAGED SERVICES_IT-FBT0157-OG-US-00"/>
    <s v="ERP"/>
    <s v="Patel, Apurva"/>
    <s v="Hovanyetz, Mike"/>
    <s v="Hovanyetz, Mike"/>
    <s v="Hase, Raj"/>
    <s v="Hovanyetz, Mike"/>
    <s v="DeHart, Lynn"/>
    <x v="7"/>
    <s v="Infrastructure charges"/>
    <m/>
    <m/>
    <x v="271"/>
    <m/>
    <m/>
    <m/>
    <x v="3"/>
    <s v="LZ 4/27 - Move forecast from Mike H to Raj H"/>
    <m/>
    <n v="84000"/>
    <n v="-14686.309999999998"/>
    <m/>
    <m/>
    <n v="6710.29"/>
    <n v="-18265.05"/>
    <n v="-3131.55"/>
    <n v="7060.4400000000005"/>
    <n v="6784.5"/>
    <n v="-12968.59"/>
    <n v="0"/>
    <n v="0"/>
    <n v="0"/>
    <n v="0"/>
    <n v="0"/>
    <n v="0"/>
    <n v="-13809.959999999997"/>
    <n v="876.35000000000036"/>
    <n v="0"/>
    <n v="-12968.59"/>
    <n v="876.35000000000036"/>
    <m/>
    <n v="876.35000000000036"/>
    <m/>
    <n v="6710.29"/>
    <n v="-18265.05"/>
    <n v="-3131.55"/>
    <n v="0"/>
    <n v="0"/>
    <n v="0"/>
    <n v="0"/>
    <n v="0"/>
    <n v="0"/>
    <n v="0"/>
    <n v="0"/>
    <n v="0"/>
    <n v="-14686.309999999998"/>
    <n v="6710.29"/>
    <n v="-18265.05"/>
    <n v="-3131.55"/>
    <n v="7000"/>
    <n v="7000"/>
    <n v="7000"/>
    <n v="7000"/>
    <n v="7000"/>
    <n v="7000"/>
    <n v="7000"/>
    <n v="7000"/>
    <n v="7000"/>
    <n v="48313.69"/>
  </r>
  <r>
    <s v="L-ERP-217"/>
    <x v="407"/>
    <s v="Hovanyetz, Mike_MANAGED SERVICES_IT-FBT0450-OG-US-00"/>
    <s v="ERP"/>
    <s v="Patel, Apurva"/>
    <s v="Hovanyetz, Mike"/>
    <s v="Hovanyetz, Mike"/>
    <s v="Hase, Raj"/>
    <s v="Hovanyetz, Mike"/>
    <s v="DeHart, Lynn"/>
    <x v="7"/>
    <s v="Claim Level Detail (CLD) Retrieval Service"/>
    <m/>
    <m/>
    <x v="266"/>
    <m/>
    <m/>
    <m/>
    <x v="51"/>
    <s v="Forecast moved from Mike H to Raj H"/>
    <m/>
    <n v="2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m/>
    <n v="0"/>
    <n v="0"/>
    <n v="0"/>
    <n v="0"/>
    <n v="0"/>
    <n v="0"/>
    <n v="0"/>
    <n v="0"/>
    <n v="0"/>
    <m/>
    <m/>
    <m/>
    <m/>
    <n v="50000"/>
    <n v="0"/>
    <n v="0"/>
    <n v="50000"/>
    <n v="0"/>
    <n v="50000"/>
    <n v="0"/>
    <n v="0"/>
    <n v="150000"/>
  </r>
  <r>
    <s v="L-ERP-226"/>
    <x v="408"/>
    <s v="Hovanyetz, Mike_MANAGED SERVICES_IT-FBT0824-OT-US-00"/>
    <s v="ERP"/>
    <s v="Patel, Apurva"/>
    <s v="Hovanyetz, Mike"/>
    <s v="Hovanyetz, Mike"/>
    <s v="Hase, Raj"/>
    <s v="Hovanyetz, Mike"/>
    <s v="DeHart, Lynn"/>
    <x v="7"/>
    <s v="FUDH Snowflake for Nexus &amp; Infrastructure Costs"/>
    <m/>
    <m/>
    <x v="272"/>
    <m/>
    <m/>
    <m/>
    <x v="52"/>
    <s v="LZ 4/27 - Move forecast from Mike H to Raj H"/>
    <m/>
    <n v="26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m/>
    <n v="0"/>
    <n v="0"/>
    <n v="0"/>
    <n v="0"/>
    <n v="0"/>
    <n v="0"/>
    <n v="0"/>
    <n v="0"/>
    <n v="0"/>
    <m/>
    <m/>
    <m/>
    <m/>
    <n v="13000"/>
    <n v="0"/>
    <n v="0"/>
    <n v="0"/>
    <n v="0"/>
    <n v="13000"/>
    <n v="0"/>
    <n v="0"/>
    <n v="26000"/>
  </r>
  <r>
    <s v="L-ERP-431"/>
    <x v="3"/>
    <s v="McGettigan, David_COMPENSATION_CompBenefits001"/>
    <s v="ERP"/>
    <s v="Patel, Apurva"/>
    <s v="Patel, Apurva"/>
    <s v="Patel, Apurva"/>
    <s v="McGettigan, David"/>
    <s v="McGettigan, David"/>
    <s v="McGettigan, David"/>
    <x v="2"/>
    <s v="Benefits"/>
    <m/>
    <m/>
    <x v="3"/>
    <s v="CHW - Ok"/>
    <s v="N/A"/>
    <m/>
    <x v="0"/>
    <m/>
    <m/>
    <n v="330694.30999999988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2230.9"/>
    <n v="-4919.59"/>
    <n v="59978.67"/>
    <n v="20638.45"/>
    <n v="34028.449999999997"/>
    <n v="32963.75"/>
    <n v="22316.67"/>
    <n v="22316.67"/>
    <n v="22316.67"/>
    <n v="22316.67"/>
    <n v="22316.67"/>
    <n v="22316.67"/>
    <n v="368820.64999999991"/>
  </r>
  <r>
    <s v="L-ERP-426"/>
    <x v="409"/>
    <s v="McGettigan, David_COMPENSATION_CompBenefitsCar001"/>
    <s v="ERP"/>
    <s v="Patel, Apurva"/>
    <s v="Patel, Apurva"/>
    <s v="Patel, Apurva"/>
    <s v="McGettigan, David"/>
    <s v="McGettigan, David"/>
    <s v="McGettigan, David"/>
    <x v="2"/>
    <s v="Car Allowance"/>
    <m/>
    <m/>
    <x v="295"/>
    <m/>
    <s v="N/A"/>
    <m/>
    <x v="0"/>
    <m/>
    <m/>
    <n v="144000"/>
    <n v="108000"/>
    <m/>
    <m/>
    <m/>
    <m/>
    <m/>
    <s v=""/>
    <n v="0"/>
    <n v="0"/>
    <n v="12000"/>
    <n v="12000"/>
    <n v="12000"/>
    <n v="12000"/>
    <n v="12000"/>
    <n v="12000"/>
    <n v="72000"/>
    <n v="-36000"/>
    <n v="12000"/>
    <n v="-12000"/>
    <n v="-36000"/>
    <m/>
    <n v="-36000"/>
    <m/>
    <m/>
    <m/>
    <m/>
    <n v="12000"/>
    <n v="12000"/>
    <n v="12000"/>
    <n v="12000"/>
    <n v="12000"/>
    <n v="12000"/>
    <n v="12000"/>
    <n v="12000"/>
    <n v="12000"/>
    <n v="108000"/>
    <m/>
    <m/>
    <m/>
    <n v="12000"/>
    <n v="12000"/>
    <n v="12000"/>
    <n v="12000"/>
    <n v="12000"/>
    <n v="12000"/>
    <n v="12000"/>
    <n v="12000"/>
    <n v="12000"/>
    <n v="108000"/>
  </r>
  <r>
    <s v="L-ERP-428"/>
    <x v="4"/>
    <s v="McGettigan, David_COMPENSATION_CompBonus001"/>
    <s v="ERP"/>
    <s v="Patel, Apurva"/>
    <s v="Patel, Apurva"/>
    <s v="Patel, Apurva"/>
    <s v="McGettigan, David"/>
    <s v="McGettigan, David"/>
    <s v="McGettigan, David"/>
    <x v="2"/>
    <s v="Bonus"/>
    <m/>
    <m/>
    <x v="4"/>
    <s v="CHW - Ok"/>
    <s v="N/A"/>
    <m/>
    <x v="0"/>
    <m/>
    <m/>
    <n v="204823.02000000002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1562.58"/>
    <n v="27159.83"/>
    <n v="40975"/>
    <n v="11866.46"/>
    <n v="21522.71"/>
    <n v="20882.86"/>
    <n v="14484.38"/>
    <n v="14484.38"/>
    <n v="14484.38"/>
    <n v="14484.38"/>
    <n v="14484.38"/>
    <n v="14484.38"/>
    <n v="260875.72000000003"/>
  </r>
  <r>
    <s v="L-ERP-432"/>
    <x v="410"/>
    <s v="McGettigan, David_COMPENSATION_CompSalary001"/>
    <s v="ERP"/>
    <s v="Patel, Apurva"/>
    <s v="Patel, Apurva"/>
    <s v="Patel, Apurva"/>
    <s v="McGettigan, David"/>
    <s v="McGettigan, David"/>
    <s v="McGettigan, David"/>
    <x v="2"/>
    <s v="Salary"/>
    <m/>
    <m/>
    <x v="55"/>
    <s v="CHW - Ok"/>
    <s v="N/A"/>
    <m/>
    <x v="0"/>
    <s v="5/3 SMO: AP05 has GPP ex-US credit"/>
    <m/>
    <n v="794938.1799999997"/>
    <n v="806177.41999999993"/>
    <m/>
    <m/>
    <n v="358290.86"/>
    <n v="-25689.760000000002"/>
    <n v="41090.669999999984"/>
    <n v="85849.400000000009"/>
    <n v="-59378.359999999986"/>
    <n v="-23605.23000000001"/>
    <n v="55233.75"/>
    <n v="55233.75"/>
    <n v="55233.75"/>
    <n v="55233.75"/>
    <n v="55233.75"/>
    <n v="55233.75"/>
    <n v="707960.08"/>
    <n v="-98217.339999999967"/>
    <n v="-40000"/>
    <n v="16394.76999999999"/>
    <n v="-98217.340000000026"/>
    <m/>
    <n v="-98217.339999999967"/>
    <m/>
    <n v="358290.86"/>
    <n v="-25689.760000000002"/>
    <n v="41090.669999999984"/>
    <n v="85849.400000000009"/>
    <n v="-40000"/>
    <n v="55233.75"/>
    <n v="55233.75"/>
    <n v="55233.75"/>
    <n v="55233.75"/>
    <n v="55233.75"/>
    <n v="55233.75"/>
    <n v="55233.75"/>
    <n v="806177.41999999993"/>
    <n v="214497.38"/>
    <n v="-47930"/>
    <n v="-59863"/>
    <n v="49611.67"/>
    <n v="81799.17"/>
    <n v="79239.77"/>
    <n v="53645.83"/>
    <n v="53645.83"/>
    <n v="53645.83"/>
    <n v="53645.83"/>
    <n v="53645.83"/>
    <n v="53645.83"/>
    <n v="639229.97"/>
  </r>
  <r>
    <s v="L-ERP-221"/>
    <x v="411"/>
    <s v="Hovanyetz, Mike_MANAGED SERVICES_IT-FGS0301-OG-US-00"/>
    <s v="ERP"/>
    <s v="Patel, Apurva"/>
    <s v="Hovanyetz, Mike"/>
    <s v="Hovanyetz, Mike"/>
    <s v="Hase, Raj"/>
    <s v="Hovanyetz, Mike"/>
    <s v="DeHart, Lynn"/>
    <x v="7"/>
    <s v="Desktop on Demand (VDS)"/>
    <m/>
    <m/>
    <x v="101"/>
    <m/>
    <s v="N/A"/>
    <m/>
    <x v="3"/>
    <m/>
    <m/>
    <n v="27000"/>
    <n v="26481"/>
    <m/>
    <m/>
    <n v="1883"/>
    <n v="1481"/>
    <n v="2867"/>
    <n v="1442"/>
    <n v="1442"/>
    <n v="1375"/>
    <n v="2250"/>
    <n v="2250"/>
    <n v="2250"/>
    <n v="2250"/>
    <n v="2250"/>
    <n v="2250"/>
    <n v="23990"/>
    <n v="-2491"/>
    <n v="2250"/>
    <n v="-875"/>
    <n v="-2491"/>
    <m/>
    <n v="-2491"/>
    <m/>
    <n v="1883"/>
    <n v="1481"/>
    <n v="2867"/>
    <n v="2250"/>
    <n v="2250"/>
    <n v="2250"/>
    <n v="2250"/>
    <n v="2250"/>
    <n v="2250"/>
    <n v="2250"/>
    <n v="2250"/>
    <n v="2250"/>
    <n v="26481"/>
    <n v="1883"/>
    <n v="1481"/>
    <n v="2867"/>
    <n v="2250"/>
    <n v="2250"/>
    <n v="2250"/>
    <n v="2250"/>
    <n v="2250"/>
    <n v="2250"/>
    <n v="2250"/>
    <n v="2250"/>
    <n v="2250"/>
    <n v="26481"/>
  </r>
  <r>
    <s v="L-ERP-552"/>
    <x v="411"/>
    <s v="Vaidya, Sachin_MANAGED SERVICES_IT-FGS0301-OG-US-00"/>
    <s v="ERP"/>
    <s v="Patel, Apurva"/>
    <s v="Hovanyetz, Mike"/>
    <s v="Vaidya, Sachin"/>
    <s v="Hase, Raj"/>
    <s v="Vaidya, Sachin"/>
    <s v="DeHart, Lynn"/>
    <x v="7"/>
    <s v="Desktop on Demand (VDS)"/>
    <m/>
    <m/>
    <x v="101"/>
    <m/>
    <s v="N/A"/>
    <m/>
    <x v="3"/>
    <s v="Sachin (4/30): Not managed by me"/>
    <m/>
    <n v="18852"/>
    <n v="18092"/>
    <m/>
    <m/>
    <n v="1206"/>
    <n v="1139"/>
    <n v="1608"/>
    <n v="1206"/>
    <n v="1206"/>
    <n v="1206"/>
    <n v="1571"/>
    <n v="1571"/>
    <n v="1571"/>
    <n v="1571"/>
    <n v="1571"/>
    <n v="1571"/>
    <n v="16997"/>
    <n v="-1095"/>
    <n v="1571"/>
    <n v="-365"/>
    <n v="-1095"/>
    <m/>
    <n v="-1095"/>
    <m/>
    <n v="1206"/>
    <n v="1139"/>
    <n v="1608"/>
    <n v="1571"/>
    <n v="1571"/>
    <n v="1571"/>
    <n v="1571"/>
    <n v="1571"/>
    <n v="1571"/>
    <n v="1571"/>
    <n v="1571"/>
    <n v="1571"/>
    <n v="18092"/>
    <n v="1206"/>
    <n v="1139"/>
    <n v="1608"/>
    <n v="1571"/>
    <n v="1571"/>
    <n v="1571"/>
    <n v="1571"/>
    <n v="1571"/>
    <n v="1571"/>
    <n v="1571"/>
    <n v="1571"/>
    <n v="1571"/>
    <n v="18092"/>
  </r>
  <r>
    <s v="L-ERP-224"/>
    <x v="412"/>
    <s v="Hovanyetz, Mike_MANAGED SERVICES_MISC001"/>
    <s v="ERP"/>
    <s v="Patel, Apurva"/>
    <s v="Hovanyetz, Mike"/>
    <s v="Hovanyetz, Mike"/>
    <s v="Hase, Raj"/>
    <s v="Hovanyetz, Mike"/>
    <s v="DeHart, Lynn"/>
    <x v="7"/>
    <s v="Miscellaneous Charges"/>
    <m/>
    <m/>
    <x v="54"/>
    <m/>
    <m/>
    <m/>
    <x v="0"/>
    <m/>
    <m/>
    <n v="0"/>
    <n v="-0.2"/>
    <m/>
    <m/>
    <n v="-0.48"/>
    <n v="0.28999999999999998"/>
    <n v="-0.01"/>
    <n v="0.06"/>
    <n v="0.16"/>
    <n v="0.08"/>
    <n v="0"/>
    <n v="0"/>
    <n v="0"/>
    <n v="0"/>
    <n v="0"/>
    <n v="0"/>
    <n v="9.9999999999999992E-2"/>
    <n v="0.3"/>
    <n v="0"/>
    <n v="0.08"/>
    <n v="0.3"/>
    <m/>
    <n v="0.3"/>
    <m/>
    <n v="-0.48"/>
    <n v="0.28999999999999998"/>
    <n v="-0.01"/>
    <n v="0"/>
    <n v="0"/>
    <n v="0"/>
    <n v="0"/>
    <n v="0"/>
    <n v="0"/>
    <n v="0"/>
    <n v="0"/>
    <n v="0"/>
    <n v="-0.2"/>
    <n v="-0.48"/>
    <n v="0.28999999999999998"/>
    <n v="-0.01"/>
    <n v="0"/>
    <n v="0"/>
    <n v="0"/>
    <n v="0"/>
    <n v="0"/>
    <n v="0"/>
    <n v="0"/>
    <n v="0"/>
    <n v="0"/>
    <n v="-0.2"/>
  </r>
  <r>
    <s v="L-ERP-435"/>
    <x v="5"/>
    <s v="McGettigan, David_DEPRECIATION_ERP_Depre001"/>
    <s v="ERP"/>
    <s v="Patel, Apurva"/>
    <s v="Patel, Apurva"/>
    <s v="Patel, Apurva"/>
    <s v="McGettigan, David"/>
    <s v="McGettigan, David"/>
    <s v="McGettigan, David"/>
    <x v="3"/>
    <s v="ERP Activated Assets"/>
    <m/>
    <m/>
    <x v="5"/>
    <m/>
    <s v="N/A"/>
    <m/>
    <x v="0"/>
    <s v="5/18/26 CHW - Updated "/>
    <m/>
    <n v="32110933.16"/>
    <n v="34757461.509999998"/>
    <m/>
    <m/>
    <n v="2815065.65"/>
    <n v="3048410.85"/>
    <n v="3021391.85"/>
    <n v="2973057.3200000008"/>
    <n v="3070156.0000000009"/>
    <n v="2999435.120000001"/>
    <n v="2977460.79"/>
    <n v="2957767.97"/>
    <n v="2824180.51"/>
    <n v="2683373.61"/>
    <n v="2683374.5"/>
    <n v="2683373.5699999998"/>
    <n v="34737047.740000002"/>
    <n v="-20413.769999995828"/>
    <n v="3021022.03"/>
    <n v="-21586.909999998752"/>
    <n v="-20413.769999995828"/>
    <m/>
    <n v="-20413.769999995828"/>
    <m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</r>
  <r>
    <s v="L-ERP-430"/>
    <x v="413"/>
    <s v="McGettigan, David_DEPRECIATION_ERP_DepreAUC001"/>
    <s v="ERP"/>
    <s v="Patel, Apurva"/>
    <s v="Patel, Apurva"/>
    <s v="Patel, Apurva"/>
    <s v="McGettigan, David"/>
    <s v="McGettigan, David"/>
    <s v="McGettigan, David"/>
    <x v="3"/>
    <s v="ERP AUC - New Projects"/>
    <m/>
    <m/>
    <x v="296"/>
    <m/>
    <s v="N/A"/>
    <m/>
    <x v="55"/>
    <m/>
    <m/>
    <n v="3047384"/>
    <n v="147762.3031111111"/>
    <m/>
    <m/>
    <m/>
    <m/>
    <m/>
    <s v=""/>
    <n v="0"/>
    <n v="0"/>
    <n v="14573.083333333334"/>
    <n v="14573.083333333334"/>
    <n v="14573.083333333334"/>
    <n v="23051.972222222223"/>
    <n v="23190.861111111109"/>
    <n v="28256.527777777777"/>
    <n v="118218.61111111111"/>
    <n v="-29543.691999999995"/>
    <n v="12850.03788888889"/>
    <n v="-12850.03788888889"/>
    <n v="-27765.742444444448"/>
    <m/>
    <n v="-29543.691999999995"/>
    <m/>
    <m/>
    <m/>
    <m/>
    <n v="0"/>
    <n v="12850.03788888889"/>
    <n v="14915.704555555556"/>
    <n v="14915.704555555556"/>
    <n v="14915.704555555556"/>
    <n v="14915.704555555556"/>
    <n v="23394.593444444443"/>
    <n v="23394.593444444443"/>
    <n v="28460.260111111111"/>
    <n v="147762.3031111111"/>
    <m/>
    <m/>
    <m/>
    <n v="12436.91"/>
    <n v="17183.39"/>
    <n v="19249.060000000001"/>
    <n v="19249.060000000001"/>
    <n v="20917.810000000001"/>
    <n v="38739.129999999997"/>
    <n v="52766.07"/>
    <n v="52766.07"/>
    <n v="65150.49"/>
    <n v="298457.99"/>
  </r>
  <r>
    <s v="ERP-052"/>
    <x v="412"/>
    <s v="Vaidya, Sachin_MANAGED SERVICES_MISC001"/>
    <s v="ERP"/>
    <s v="Patel, Apurva"/>
    <s v="Hovanyetz, Mike"/>
    <s v="Vaidya, Sachin"/>
    <s v="Hase, Raj"/>
    <s v="Vaidya, Sachin"/>
    <s v="Vaidya, Sachin"/>
    <x v="7"/>
    <s v="Miscellaneous Charges"/>
    <m/>
    <s v="2329610"/>
    <x v="54"/>
    <m/>
    <m/>
    <m/>
    <x v="2"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59"/>
    <x v="414"/>
    <s v="Vaidya, Sachin_OTHER_IT-OTH0062-OG-US-00"/>
    <s v="ERP"/>
    <s v="Patel, Apurva"/>
    <s v="Hovanyetz, Mike"/>
    <s v="Vaidya, Sachin"/>
    <s v="Hase, Raj"/>
    <s v="Vaidya, Sachin"/>
    <s v="DeHart, Lynn"/>
    <x v="8"/>
    <s v="Intelligent Service Cloud (ISC) Maintenance and BTP cost"/>
    <m/>
    <m/>
    <x v="297"/>
    <m/>
    <m/>
    <m/>
    <x v="0"/>
    <s v="Sachin (4/30): Underspend projected for 2026 (could go back up to $80K in 2027)"/>
    <m/>
    <n v="80000"/>
    <n v="40000"/>
    <m/>
    <m/>
    <m/>
    <m/>
    <m/>
    <s v=""/>
    <n v="0"/>
    <n v="0"/>
    <n v="0"/>
    <n v="10000"/>
    <n v="10000"/>
    <n v="10000"/>
    <n v="10000"/>
    <n v="0"/>
    <n v="40000"/>
    <n v="0"/>
    <n v="0"/>
    <n v="0"/>
    <n v="0"/>
    <m/>
    <n v="0"/>
    <m/>
    <m/>
    <m/>
    <m/>
    <n v="0"/>
    <n v="0"/>
    <n v="0"/>
    <n v="0"/>
    <n v="10000"/>
    <n v="10000"/>
    <n v="10000"/>
    <n v="10000"/>
    <n v="0"/>
    <n v="40000"/>
    <m/>
    <m/>
    <m/>
    <n v="20000"/>
    <n v="20000"/>
    <n v="20000"/>
    <n v="20000"/>
    <n v="0"/>
    <n v="0"/>
    <n v="0"/>
    <n v="0"/>
    <n v="0"/>
    <n v="80000"/>
  </r>
  <r>
    <s v="ERP-041"/>
    <x v="415"/>
    <s v="Hovanyetz, Mike_OTHER_Others001"/>
    <s v="ERP"/>
    <s v="Patel, Apurva"/>
    <s v="Hovanyetz, Mike"/>
    <s v="Hovanyetz, Mike"/>
    <s v="Hase, Raj"/>
    <s v="Hovanyetz, Mike"/>
    <s v="Hovanyetz, Mike"/>
    <x v="8"/>
    <s v="NON-DIGITAL-CATERING-VAIDYS05"/>
    <m/>
    <s v="2321347"/>
    <x v="35"/>
    <m/>
    <m/>
    <m/>
    <x v="2"/>
    <m/>
    <m/>
    <m/>
    <m/>
    <m/>
    <m/>
    <m/>
    <m/>
    <m/>
    <m/>
    <n v="693"/>
    <n v="0"/>
    <m/>
    <m/>
    <m/>
    <m/>
    <m/>
    <m/>
    <n v="693"/>
    <n v="693"/>
    <m/>
    <n v="0"/>
    <n v="693"/>
    <m/>
    <n v="693"/>
    <m/>
    <m/>
    <m/>
    <m/>
    <m/>
    <m/>
    <m/>
    <m/>
    <m/>
    <m/>
    <m/>
    <m/>
    <m/>
    <m/>
    <m/>
    <m/>
    <m/>
    <m/>
    <m/>
    <m/>
    <m/>
    <m/>
    <m/>
    <m/>
    <m/>
    <m/>
    <m/>
  </r>
  <r>
    <s v="N-ERP-571"/>
    <x v="416"/>
    <s v="Hovanyetz, Mike_SOFTWARE_2026-XFR-0017-A"/>
    <s v="ERP"/>
    <s v="Patel, Apurva"/>
    <s v="Hovanyetz, Mike"/>
    <s v="Hovanyetz, Mike"/>
    <s v="Hase, Raj"/>
    <s v="Hovanyetz, Mike"/>
    <s v="DeHart, Lynn"/>
    <x v="9"/>
    <s v="Dedicated US PRIME Commerce Cloud - SAP Licenses"/>
    <m/>
    <m/>
    <x v="117"/>
    <m/>
    <m/>
    <m/>
    <x v="12"/>
    <s v="4/28/26 CHW New add to tie-out 0223 to 0317 Planful Extracts Cost center change from Mike Hovanyetz to Chris Dougherty &amp; removed forecast"/>
    <m/>
    <n v="65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650000"/>
    <n v="0"/>
    <n v="0"/>
    <n v="0"/>
    <n v="0"/>
    <n v="0"/>
    <n v="0"/>
    <n v="650000"/>
  </r>
  <r>
    <s v="N-ERP-572"/>
    <x v="417"/>
    <s v="Hovanyetz, Mike_SOFTWARE_2026-XFR-0017-B"/>
    <s v="ERP"/>
    <s v="Patel, Apurva"/>
    <s v="Hovanyetz, Mike"/>
    <s v="Hovanyetz, Mike"/>
    <s v="Hase, Raj"/>
    <s v="Hovanyetz, Mike"/>
    <s v="DeHart, Lynn"/>
    <x v="9"/>
    <s v="Dedicated US PRIME Commerce Cloud - Middleware"/>
    <m/>
    <m/>
    <x v="118"/>
    <m/>
    <m/>
    <m/>
    <x v="12"/>
    <s v="4/28/26 CHW New add to tie-out 0223 to 0317 Planful Extracts Cost center change from Mike Hovanyetz to Chris Dougherty &amp; removed forecast"/>
    <m/>
    <n v="300000"/>
    <n v="0"/>
    <m/>
    <m/>
    <m/>
    <m/>
    <m/>
    <s v=""/>
    <n v="0"/>
    <n v="0"/>
    <n v="0"/>
    <n v="0"/>
    <n v="0"/>
    <n v="0"/>
    <n v="0"/>
    <n v="0"/>
    <n v="0"/>
    <n v="0"/>
    <n v="750"/>
    <n v="-750"/>
    <n v="0"/>
    <m/>
    <n v="0"/>
    <s v="Acct Movement from Mike Hovanyetz to Chris Dougherty "/>
    <m/>
    <m/>
    <m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n v="0"/>
    <n v="300000"/>
  </r>
  <r>
    <s v="N-ERP-573"/>
    <x v="418"/>
    <s v="Hovanyetz, Mike_SOFTWARE_2026-XFR-0034-A"/>
    <s v="ERP"/>
    <s v="Patel, Apurva"/>
    <s v="Hovanyetz, Mike"/>
    <s v="Hovanyetz, Mike"/>
    <s v="Hase, Raj"/>
    <s v="Hovanyetz, Mike"/>
    <s v="DeHart, Lynn"/>
    <x v="9"/>
    <s v="GLNS E2E Global Import Broker Integration - OpenText server storage costs for archived documents added to OpenText every year"/>
    <m/>
    <m/>
    <x v="119"/>
    <m/>
    <m/>
    <m/>
    <x v="12"/>
    <s v="4/28/26 CHW New add to tie-out 0223 to 0317 Planful Extracts Cost center change from Mike Hovanyetz to Chris Dougherty &amp; removed forecast"/>
    <m/>
    <n v="3300"/>
    <n v="0"/>
    <m/>
    <m/>
    <m/>
    <m/>
    <m/>
    <s v=""/>
    <n v="0"/>
    <n v="0"/>
    <n v="0"/>
    <n v="0"/>
    <n v="0"/>
    <n v="0"/>
    <n v="0"/>
    <n v="0"/>
    <n v="0"/>
    <n v="0"/>
    <n v="6142.58"/>
    <n v="-6142.58"/>
    <n v="0"/>
    <m/>
    <n v="0"/>
    <m/>
    <m/>
    <m/>
    <m/>
    <n v="0"/>
    <n v="0"/>
    <n v="0"/>
    <n v="0"/>
    <n v="0"/>
    <n v="0"/>
    <n v="0"/>
    <n v="0"/>
    <n v="0"/>
    <n v="0"/>
    <n v="275"/>
    <n v="275"/>
    <n v="275"/>
    <n v="275"/>
    <n v="275"/>
    <n v="275"/>
    <n v="275"/>
    <n v="275"/>
    <n v="275"/>
    <n v="275"/>
    <n v="275"/>
    <n v="275"/>
    <n v="3300"/>
  </r>
  <r>
    <s v="L-ERP-215"/>
    <x v="419"/>
    <s v="Hovanyetz, Mike_SOFTWARE_2026-XFR-0059-A"/>
    <s v="ERP"/>
    <s v="Patel, Apurva"/>
    <s v="Hovanyetz, Mike"/>
    <s v="Hovanyetz, Mike"/>
    <s v="Hase, Raj"/>
    <s v="Hovanyetz, Mike"/>
    <s v="DeHart, Lynn"/>
    <x v="9"/>
    <s v="2026 L-SGN Budget Transfer for incremental ERP Costs - Budget transfer for Oracle OCI Software Usage Costs"/>
    <m/>
    <m/>
    <x v="298"/>
    <m/>
    <m/>
    <m/>
    <x v="12"/>
    <m/>
    <m/>
    <n v="0"/>
    <n v="24000"/>
    <m/>
    <m/>
    <n v="24000"/>
    <n v="0"/>
    <n v="0"/>
    <n v="5.0699999999999363"/>
    <n v="-7.8299999999999272"/>
    <n v="-15479.01"/>
    <n v="0"/>
    <n v="0"/>
    <n v="0"/>
    <n v="0"/>
    <n v="0"/>
    <n v="0"/>
    <n v="8518.2299999999977"/>
    <n v="-15481.770000000002"/>
    <n v="31350"/>
    <n v="-46829.01"/>
    <n v="-15481.770000000002"/>
    <m/>
    <n v="-15481.770000000002"/>
    <m/>
    <n v="24000"/>
    <n v="0"/>
    <n v="0"/>
    <n v="0"/>
    <n v="0"/>
    <n v="0"/>
    <n v="0"/>
    <n v="0"/>
    <n v="0"/>
    <n v="0"/>
    <n v="0"/>
    <n v="0"/>
    <n v="24000"/>
    <n v="24000"/>
    <n v="0"/>
    <n v="0"/>
    <n v="0"/>
    <n v="0"/>
    <n v="0"/>
    <n v="0"/>
    <n v="0"/>
    <n v="0"/>
    <n v="0"/>
    <n v="0"/>
    <n v="0"/>
    <n v="24000"/>
  </r>
  <r>
    <s v="ERP-003"/>
    <x v="420"/>
    <s v="Hovanyetz, Mike_SOFTWARE_2026-XFR-LD001"/>
    <s v="ERP"/>
    <s v="Patel, Apurva"/>
    <s v="Hovanyetz, Mike"/>
    <s v="Hovanyetz, Mike"/>
    <s v="Hase, Raj"/>
    <s v="Hovanyetz, Mike"/>
    <s v="Hovanyetz, Mike"/>
    <x v="9"/>
    <s v="SAP Global Trade Services Upgrade: offshore support - Offshore ERP support cost"/>
    <m/>
    <m/>
    <x v="277"/>
    <s v="CHW - Ok"/>
    <m/>
    <m/>
    <x v="12"/>
    <s v="CHW 5/5 - removed forecast as covered in IT-FBT0281-OG-US-00 per Leslie; LZ 4/27 - Move forecast from Raj H to Mike H"/>
    <m/>
    <m/>
    <n v="0"/>
    <m/>
    <m/>
    <m/>
    <m/>
    <m/>
    <s v=""/>
    <n v="0"/>
    <n v="0"/>
    <m/>
    <m/>
    <m/>
    <n v="0"/>
    <n v="0"/>
    <n v="0"/>
    <n v="0"/>
    <n v="0"/>
    <m/>
    <n v="0"/>
    <n v="0"/>
    <m/>
    <n v="0"/>
    <m/>
    <m/>
    <m/>
    <m/>
    <m/>
    <m/>
    <m/>
    <m/>
    <m/>
    <m/>
    <n v="0"/>
    <n v="0"/>
    <n v="0"/>
    <n v="0"/>
    <m/>
    <m/>
    <m/>
    <m/>
    <m/>
    <m/>
    <m/>
    <m/>
    <m/>
    <m/>
    <m/>
    <m/>
    <m/>
  </r>
  <r>
    <s v="ERP-004"/>
    <x v="421"/>
    <s v="Hovanyetz, Mike_SOFTWARE_2026-XFR-LD002"/>
    <s v="ERP"/>
    <s v="Patel, Apurva"/>
    <s v="Hovanyetz, Mike"/>
    <s v="Hovanyetz, Mike"/>
    <s v="Hase, Raj"/>
    <s v="Hovanyetz, Mike"/>
    <s v="Hovanyetz, Mike"/>
    <x v="9"/>
    <s v="SAP Global Trade Services Upgrade: software maintenance - SAP annual software maintenance"/>
    <m/>
    <m/>
    <x v="278"/>
    <s v="CHW - Ok"/>
    <m/>
    <m/>
    <x v="12"/>
    <s v="CHW 5/5 - removed forecast as covered in IT-SFT1009-46 per Leslie; 'LZ 4/27 - Move forecast from Raj H to Mike H"/>
    <m/>
    <m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</r>
  <r>
    <s v="L-ERP-563"/>
    <x v="422"/>
    <s v="Vaidya, Sachin_SOFTWARE_EnhanceChargeout001"/>
    <s v="ERP"/>
    <s v="Patel, Apurva"/>
    <s v="Hovanyetz, Mike"/>
    <s v="Vaidya, Sachin"/>
    <s v="Hase, Raj"/>
    <s v="Vaidya, Sachin"/>
    <s v="DeHart, Lynn"/>
    <x v="9"/>
    <s v="Enhance Chargeout Cost Centers"/>
    <m/>
    <m/>
    <x v="1"/>
    <s v="CHW - F/U"/>
    <s v="N/A"/>
    <m/>
    <x v="0"/>
    <s v="Sachin (4/30): Not managed by me"/>
    <m/>
    <n v="0"/>
    <n v="1520"/>
    <m/>
    <m/>
    <m/>
    <n v="1520"/>
    <n v="0"/>
    <n v="0"/>
    <n v="0"/>
    <n v="0"/>
    <n v="0"/>
    <n v="0"/>
    <n v="0"/>
    <n v="0"/>
    <n v="0"/>
    <n v="0"/>
    <n v="1520"/>
    <n v="0"/>
    <n v="0"/>
    <n v="0"/>
    <n v="0"/>
    <m/>
    <n v="0"/>
    <m/>
    <m/>
    <n v="1520"/>
    <n v="0"/>
    <n v="0"/>
    <n v="0"/>
    <n v="0"/>
    <n v="0"/>
    <n v="0"/>
    <n v="0"/>
    <n v="0"/>
    <n v="0"/>
    <n v="0"/>
    <n v="1520"/>
    <m/>
    <n v="1520"/>
    <n v="0"/>
    <n v="0"/>
    <n v="0"/>
    <n v="0"/>
    <n v="0"/>
    <n v="0"/>
    <n v="0"/>
    <n v="0"/>
    <n v="0"/>
    <n v="0"/>
    <n v="1520"/>
  </r>
  <r>
    <s v="L-ERP-218"/>
    <x v="423"/>
    <s v="Hovanyetz, Mike_SOFTWARE_IT-FGS0300-SW-US-00"/>
    <s v="ERP"/>
    <s v="Patel, Apurva"/>
    <s v="Hovanyetz, Mike"/>
    <s v="Hovanyetz, Mike"/>
    <s v="Hase, Raj"/>
    <s v="Hovanyetz, Mike"/>
    <s v="DeHart, Lynn"/>
    <x v="9"/>
    <s v="Microsoft Copilot Licenses"/>
    <m/>
    <m/>
    <x v="127"/>
    <m/>
    <s v="N/A"/>
    <m/>
    <x v="27"/>
    <m/>
    <m/>
    <n v="1100"/>
    <n v="825"/>
    <m/>
    <m/>
    <m/>
    <m/>
    <m/>
    <s v=""/>
    <n v="0"/>
    <n v="0"/>
    <n v="0"/>
    <n v="0"/>
    <n v="275"/>
    <n v="0"/>
    <n v="0"/>
    <n v="275"/>
    <n v="550"/>
    <n v="-275"/>
    <m/>
    <n v="0"/>
    <n v="-275"/>
    <m/>
    <n v="-275"/>
    <m/>
    <m/>
    <m/>
    <m/>
    <m/>
    <m/>
    <n v="275"/>
    <n v="0"/>
    <n v="0"/>
    <n v="275"/>
    <n v="0"/>
    <n v="0"/>
    <n v="275"/>
    <n v="825"/>
    <m/>
    <m/>
    <m/>
    <m/>
    <m/>
    <n v="275"/>
    <n v="0"/>
    <n v="0"/>
    <n v="275"/>
    <n v="0"/>
    <n v="0"/>
    <n v="275"/>
    <n v="825"/>
  </r>
  <r>
    <s v="L-ERP-223"/>
    <x v="424"/>
    <s v="Hovanyetz, Mike_SOFTWARE_IT-FGS0302-SW-US-00"/>
    <s v="ERP"/>
    <s v="Patel, Apurva"/>
    <s v="Hovanyetz, Mike"/>
    <s v="Hovanyetz, Mike"/>
    <s v="Hase, Raj"/>
    <s v="Hovanyetz, Mike"/>
    <s v="DeHart, Lynn"/>
    <x v="9"/>
    <s v="Microsoft O365/M365 Licenses"/>
    <m/>
    <m/>
    <x v="128"/>
    <m/>
    <s v="N/A"/>
    <m/>
    <x v="28"/>
    <m/>
    <m/>
    <n v="370"/>
    <n v="370"/>
    <m/>
    <m/>
    <m/>
    <m/>
    <m/>
    <s v=""/>
    <n v="0"/>
    <n v="0"/>
    <n v="0"/>
    <n v="0"/>
    <n v="0"/>
    <n v="0"/>
    <n v="0"/>
    <n v="0"/>
    <n v="0"/>
    <n v="-370"/>
    <n v="0"/>
    <n v="0"/>
    <n v="-370"/>
    <m/>
    <n v="-37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s v="N-ERP-574"/>
    <x v="425"/>
    <s v="Hovanyetz, Mike_SOFTWARE_IT-SFT1040-02-OG-US"/>
    <s v="ERP"/>
    <s v="Patel, Apurva"/>
    <s v="Hovanyetz, Mike"/>
    <s v="Hovanyetz, Mike"/>
    <s v="Hase, Raj"/>
    <s v="Hovanyetz, Mike"/>
    <s v="DeHart, Lynn"/>
    <x v="9"/>
    <s v="ERP Ancillary Software Maintenance - GTS Denied Party Screening"/>
    <s v="Descartes"/>
    <s v="2321347"/>
    <x v="299"/>
    <m/>
    <s v="9501157278"/>
    <s v="Yes"/>
    <x v="45"/>
    <s v="4/28/26 CHW New add to tie-out 0223 to 0317 Planful Extracts"/>
    <m/>
    <n v="26967.21"/>
    <n v="0"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967.21"/>
    <n v="0"/>
    <n v="0"/>
    <n v="0"/>
    <n v="0"/>
    <n v="0"/>
    <n v="0"/>
    <n v="0"/>
    <n v="0"/>
    <n v="0"/>
    <n v="0"/>
    <n v="0"/>
    <n v="26967.21"/>
  </r>
  <r>
    <s v="N-ERP-575"/>
    <x v="426"/>
    <s v="Hovanyetz, Mike_SOFTWARE_IT-SFT1040-02-OG-US/PF"/>
    <s v="ERP"/>
    <s v="Patel, Apurva"/>
    <s v="Hovanyetz, Mike"/>
    <s v="Hovanyetz, Mike"/>
    <s v="Hase, Raj"/>
    <s v="Hovanyetz, Mike"/>
    <s v="DeHart, Lynn"/>
    <x v="9"/>
    <s v="ERP Ancillary Software Maintenance - GTS Denied Party Screening (Pullforward Credit)"/>
    <s v="Descartes"/>
    <s v="2321347"/>
    <x v="300"/>
    <m/>
    <s v="9501157278"/>
    <s v="Yes"/>
    <x v="45"/>
    <s v="4/28/26 CHW New add to tie-out 0223 to 0317 Planful Extracts"/>
    <m/>
    <n v="-26967.21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-26967.21"/>
    <n v="0"/>
    <n v="0"/>
    <n v="0"/>
    <n v="0"/>
    <n v="0"/>
    <n v="0"/>
    <n v="0"/>
    <n v="0"/>
    <n v="0"/>
    <n v="0"/>
    <n v="0"/>
    <n v="-26967.21"/>
  </r>
  <r>
    <s v="L-ERP-219"/>
    <x v="427"/>
    <s v="Hovanyetz, Mike_SOFTWARE_IT-SFT1194-86-OG-US"/>
    <s v="ERP"/>
    <s v="Patel, Apurva"/>
    <s v="Hovanyetz, Mike"/>
    <s v="Hovanyetz, Mike"/>
    <s v="Hase, Raj"/>
    <s v="Hovanyetz, Mike"/>
    <s v="DeHart, Lynn"/>
    <x v="9"/>
    <s v="DevSecOps"/>
    <m/>
    <m/>
    <x v="190"/>
    <m/>
    <s v="N/A"/>
    <m/>
    <x v="40"/>
    <m/>
    <m/>
    <n v="30000"/>
    <n v="33718.54"/>
    <m/>
    <m/>
    <m/>
    <m/>
    <n v="11218.54"/>
    <n v="0"/>
    <n v="0"/>
    <n v="15527.55"/>
    <n v="0"/>
    <n v="0"/>
    <n v="7500"/>
    <n v="0"/>
    <n v="7500"/>
    <n v="0"/>
    <n v="41746.089999999997"/>
    <n v="8027.5499999999956"/>
    <n v="0"/>
    <n v="15527.55"/>
    <n v="8027.5499999999993"/>
    <m/>
    <n v="8027.5499999999956"/>
    <m/>
    <m/>
    <m/>
    <n v="11218.54"/>
    <n v="0"/>
    <n v="0"/>
    <n v="7500"/>
    <n v="0"/>
    <n v="0"/>
    <n v="7500"/>
    <n v="0"/>
    <n v="7500"/>
    <n v="0"/>
    <n v="33718.54"/>
    <m/>
    <m/>
    <n v="11218.54"/>
    <n v="0"/>
    <n v="0"/>
    <n v="7500"/>
    <n v="0"/>
    <n v="0"/>
    <n v="7500"/>
    <n v="0"/>
    <n v="7500"/>
    <n v="0"/>
    <n v="33718.54"/>
  </r>
  <r>
    <s v="L-ERP-551"/>
    <x v="427"/>
    <s v="Vaidya, Sachin_SOFTWARE_IT-SFT1194-86-OG-US"/>
    <s v="ERP"/>
    <s v="Patel, Apurva"/>
    <s v="Hovanyetz, Mike"/>
    <s v="Vaidya, Sachin"/>
    <s v="Hase, Raj"/>
    <s v="Vaidya, Sachin"/>
    <s v="DeHart, Lynn"/>
    <x v="9"/>
    <s v="DevSecOps"/>
    <m/>
    <m/>
    <x v="190"/>
    <m/>
    <s v="N/A"/>
    <m/>
    <x v="40"/>
    <s v="Sachin (4/30): Not managed by me"/>
    <m/>
    <n v="7176"/>
    <n v="11702.54"/>
    <m/>
    <m/>
    <m/>
    <m/>
    <n v="6320.54"/>
    <n v="0"/>
    <n v="0"/>
    <n v="0"/>
    <n v="0"/>
    <n v="0"/>
    <n v="1794"/>
    <n v="0"/>
    <n v="1794"/>
    <n v="0"/>
    <n v="9908.5400000000009"/>
    <n v="-1794"/>
    <n v="0"/>
    <n v="0"/>
    <n v="-1794"/>
    <m/>
    <n v="-1794"/>
    <m/>
    <m/>
    <m/>
    <n v="6320.54"/>
    <n v="0"/>
    <n v="0"/>
    <n v="1794"/>
    <n v="0"/>
    <n v="0"/>
    <n v="1794"/>
    <n v="0"/>
    <n v="1794"/>
    <n v="0"/>
    <n v="11702.54"/>
    <m/>
    <m/>
    <n v="6320.54"/>
    <n v="0"/>
    <n v="0"/>
    <n v="1794"/>
    <n v="0"/>
    <n v="0"/>
    <n v="1794"/>
    <n v="0"/>
    <n v="1794"/>
    <n v="0"/>
    <n v="11702.54"/>
  </r>
  <r>
    <s v="L-ERP-560"/>
    <x v="428"/>
    <s v="Vaidya, Sachin_SOFTWARE_IT-SFT1458-OG-US-00"/>
    <s v="ERP"/>
    <s v="Patel, Apurva"/>
    <s v="Hovanyetz, Mike"/>
    <s v="Vaidya, Sachin"/>
    <s v="Hase, Raj"/>
    <s v="Vaidya, Sachin"/>
    <s v="DeHart, Lynn"/>
    <x v="9"/>
    <s v="SAP Intelligent Service Cloud (ISC) Software and AI cost"/>
    <m/>
    <m/>
    <x v="293"/>
    <m/>
    <m/>
    <m/>
    <x v="0"/>
    <s v="Sachin (4/30): OK"/>
    <m/>
    <n v="353631"/>
    <n v="353631"/>
    <m/>
    <m/>
    <m/>
    <m/>
    <n v="304987.09999999998"/>
    <n v="0"/>
    <n v="0"/>
    <n v="0"/>
    <n v="0"/>
    <n v="0"/>
    <n v="48643.9"/>
    <n v="0"/>
    <n v="0"/>
    <n v="0"/>
    <n v="353631"/>
    <n v="0"/>
    <n v="0"/>
    <n v="0"/>
    <n v="0"/>
    <m/>
    <n v="0"/>
    <m/>
    <m/>
    <m/>
    <n v="304987.09999999998"/>
    <n v="0"/>
    <n v="0"/>
    <n v="0"/>
    <n v="0"/>
    <n v="0"/>
    <n v="48643.9"/>
    <n v="0"/>
    <n v="0"/>
    <n v="0"/>
    <n v="353631"/>
    <m/>
    <m/>
    <n v="304987.09999999998"/>
    <n v="0"/>
    <n v="0"/>
    <n v="0"/>
    <n v="24321.95"/>
    <n v="24321.95"/>
    <n v="0"/>
    <n v="0"/>
    <n v="0"/>
    <n v="0"/>
    <n v="353631"/>
  </r>
  <r>
    <s v="L-ERP-561"/>
    <x v="429"/>
    <s v="Vaidya, Sachin_SOFTWARE_IT-SFT1459-OG-US-00"/>
    <s v="ERP"/>
    <s v="Patel, Apurva"/>
    <s v="Hovanyetz, Mike"/>
    <s v="Vaidya, Sachin"/>
    <s v="Hase, Raj"/>
    <s v="Vaidya, Sachin"/>
    <s v="DeHart, Lynn"/>
    <x v="9"/>
    <s v="Conexiom Software and Support cost"/>
    <m/>
    <m/>
    <x v="294"/>
    <m/>
    <m/>
    <m/>
    <x v="0"/>
    <s v="Sachin (4/30): OK"/>
    <m/>
    <n v="434000"/>
    <n v="434000"/>
    <m/>
    <m/>
    <m/>
    <m/>
    <n v="331000"/>
    <n v="0"/>
    <n v="0"/>
    <n v="0"/>
    <n v="0"/>
    <n v="0"/>
    <n v="0"/>
    <n v="22000"/>
    <n v="0"/>
    <n v="0"/>
    <n v="353000"/>
    <n v="-81000"/>
    <n v="0"/>
    <n v="0"/>
    <n v="-81000"/>
    <m/>
    <n v="-81000"/>
    <m/>
    <m/>
    <m/>
    <n v="331000"/>
    <n v="0"/>
    <n v="0"/>
    <n v="81000"/>
    <n v="0"/>
    <n v="0"/>
    <n v="0"/>
    <n v="22000"/>
    <n v="0"/>
    <n v="0"/>
    <n v="434000"/>
    <m/>
    <m/>
    <n v="331000"/>
    <n v="0"/>
    <n v="0"/>
    <n v="0"/>
    <n v="0"/>
    <n v="103000"/>
    <n v="0"/>
    <n v="0"/>
    <n v="0"/>
    <n v="0"/>
    <n v="434000"/>
  </r>
  <r>
    <s v="L-ERP-562"/>
    <x v="430"/>
    <s v="Vaidya, Sachin_SOFTWARE_IT-SFT1461-OG-US-00"/>
    <s v="ERP"/>
    <s v="Patel, Apurva"/>
    <s v="Hovanyetz, Mike"/>
    <s v="Vaidya, Sachin"/>
    <s v="Hase, Raj"/>
    <s v="Vaidya, Sachin"/>
    <s v="DeHart, Lynn"/>
    <x v="9"/>
    <s v="Kazakhstan Legal Entity in SAP - Edicom Connection Fees"/>
    <m/>
    <m/>
    <x v="301"/>
    <m/>
    <m/>
    <m/>
    <x v="0"/>
    <s v="Sachin (4/30): This funding is no longer needed"/>
    <m/>
    <n v="1509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m/>
    <m/>
    <n v="15096"/>
    <n v="0"/>
    <n v="0"/>
    <n v="0"/>
    <n v="0"/>
    <n v="0"/>
    <n v="0"/>
    <n v="15096"/>
  </r>
  <r>
    <s v="N-ERP-617"/>
    <x v="431"/>
    <s v="Vaidya, Sachin_SOFTWARE_IT-SFT1462-OG-US-00"/>
    <s v="ERP"/>
    <s v="Patel, Apurva"/>
    <s v="Hovanyetz, Mike"/>
    <s v="Vaidya, Sachin"/>
    <s v="Hase, Raj"/>
    <s v="Vaidya, Sachin"/>
    <s v="DeHart, Lynn"/>
    <x v="9"/>
    <s v="SAP Intelligent Service Cloud - IBM BTAMS support costs (1 FTE)"/>
    <m/>
    <m/>
    <x v="302"/>
    <m/>
    <m/>
    <m/>
    <x v="0"/>
    <s v="4/28/26 CHW New add to tie-out 0223 to 0317 Planful Extracts_x000a_Sachin (4/30): This row can be removed. Its duplicate of row 284"/>
    <m/>
    <n v="120000"/>
    <n v="0"/>
    <m/>
    <m/>
    <n v="0"/>
    <n v="0"/>
    <n v="0"/>
    <s v=""/>
    <n v="0"/>
    <n v="0"/>
    <n v="0"/>
    <n v="0"/>
    <n v="0"/>
    <n v="0"/>
    <n v="0"/>
    <n v="0"/>
    <n v="0"/>
    <n v="0"/>
    <n v="0"/>
    <n v="0"/>
    <n v="0"/>
    <m/>
    <n v="0"/>
    <s v="Acct Mvmnt - IT-CTR0151-OG-US-00/IT-SFT1462-OG-US-00; Sachin (4/30): This row can be removed. Its duplicate of row 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20000"/>
    <n v="20000"/>
    <n v="20000"/>
    <n v="20000"/>
    <n v="20000"/>
    <n v="120000"/>
  </r>
  <r>
    <s v="L-ERP-225"/>
    <x v="432"/>
    <s v="Hovanyetz, Mike_SOFTWARE_MISC001"/>
    <s v="ERP"/>
    <s v="Patel, Apurva"/>
    <s v="Hovanyetz, Mike"/>
    <s v="Hovanyetz, Mike"/>
    <s v="Hase, Raj"/>
    <s v="Hovanyetz, Mike"/>
    <s v="DeHart, Lynn"/>
    <x v="9"/>
    <s v="Miscellaneous Charges"/>
    <m/>
    <m/>
    <x v="54"/>
    <m/>
    <m/>
    <m/>
    <x v="0"/>
    <m/>
    <m/>
    <n v="0"/>
    <n v="16.46"/>
    <m/>
    <m/>
    <m/>
    <n v="18"/>
    <n v="-1.54"/>
    <n v="-7.0000000000000007E-2"/>
    <n v="0.83"/>
    <n v="-0.54"/>
    <n v="0"/>
    <n v="0"/>
    <n v="0"/>
    <n v="0"/>
    <n v="0"/>
    <n v="0"/>
    <n v="16.68"/>
    <n v="0.21999999999999886"/>
    <n v="0"/>
    <n v="-0.54"/>
    <n v="0.21999999999999886"/>
    <m/>
    <n v="0.21999999999999886"/>
    <m/>
    <m/>
    <n v="18"/>
    <n v="-1.54"/>
    <n v="0"/>
    <n v="0"/>
    <n v="0"/>
    <n v="0"/>
    <n v="0"/>
    <n v="0"/>
    <n v="0"/>
    <n v="0"/>
    <n v="0"/>
    <n v="16.46"/>
    <m/>
    <n v="18"/>
    <n v="-1.54"/>
    <n v="0"/>
    <n v="0"/>
    <n v="0"/>
    <n v="0"/>
    <n v="0"/>
    <n v="0"/>
    <n v="0"/>
    <n v="0"/>
    <n v="0"/>
    <n v="16.46"/>
  </r>
  <r>
    <s v="L-ERP-564"/>
    <x v="432"/>
    <s v="Vaidya, Sachin_SOFTWARE_MISC001"/>
    <s v="ERP"/>
    <s v="Patel, Apurva"/>
    <s v="Hovanyetz, Mike"/>
    <s v="Vaidya, Sachin"/>
    <s v="Hase, Raj"/>
    <s v="Vaidya, Sachin"/>
    <s v="DeHart, Lynn"/>
    <x v="9"/>
    <s v="Miscellaneous Charges"/>
    <m/>
    <m/>
    <x v="54"/>
    <m/>
    <m/>
    <m/>
    <x v="0"/>
    <s v="Sachin (4/30): Not managed by me"/>
    <m/>
    <n v="0"/>
    <n v="0.36"/>
    <m/>
    <m/>
    <m/>
    <m/>
    <n v="0.36"/>
    <n v="0"/>
    <n v="0"/>
    <n v="0"/>
    <n v="0"/>
    <n v="0"/>
    <n v="0"/>
    <n v="0"/>
    <n v="0"/>
    <n v="0"/>
    <n v="0.36"/>
    <n v="0"/>
    <n v="0"/>
    <n v="0"/>
    <n v="0"/>
    <m/>
    <n v="0"/>
    <m/>
    <m/>
    <m/>
    <n v="0.36"/>
    <n v="0"/>
    <n v="0"/>
    <n v="0"/>
    <n v="0"/>
    <n v="0"/>
    <n v="0"/>
    <n v="0"/>
    <n v="0"/>
    <n v="0"/>
    <n v="0.36"/>
    <m/>
    <m/>
    <n v="0.36"/>
    <n v="0"/>
    <n v="0"/>
    <n v="0"/>
    <n v="0"/>
    <n v="0"/>
    <n v="0"/>
    <n v="0"/>
    <n v="0"/>
    <n v="0"/>
    <n v="0.36"/>
  </r>
  <r>
    <s v="N-ERP-576"/>
    <x v="433"/>
    <s v="Jajodia, Amit_CONTRACTORS_2026-XFR-0028-A"/>
    <s v="ERP"/>
    <s v="Patel, Apurva"/>
    <s v="Jajodia, Amit"/>
    <s v="Jajodia, Amit"/>
    <s v="Hase, Raj"/>
    <s v="Jajodia, Amit"/>
    <s v="DeHart, Lynn"/>
    <x v="0"/>
    <s v="External Supply 2025 SCC Supply Chain Collaboration - DP &amp; SCC Solutions / Sustaining lifecycle Resources - Consultants. Deferred from 2025 to 2026, agreed with Susan - XFR0953"/>
    <m/>
    <m/>
    <x v="303"/>
    <m/>
    <m/>
    <m/>
    <x v="12"/>
    <s v="4/28/26 CHW New add to tie-out 0223 to 0317 Planful Extracts Funding would go back to business. Want to combine this into IT-FBT0785_x000a_' XfR-0028-A had a transfer for 266K. This transfer is being merged in the WBS FBT0785 (original 325K). The forecast has been reduced to 378K, effectively reducing the forecast by $210K - AJ - 05/01"/>
    <m/>
    <n v="20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s v="Acct Mvmnt -'IT-FBT0785-OG-US-00/2026-XFR-0028-A Merged"/>
    <m/>
    <m/>
    <m/>
    <n v="0"/>
    <n v="0"/>
    <n v="0"/>
    <n v="0"/>
    <n v="0"/>
    <n v="0"/>
    <n v="0"/>
    <n v="0"/>
    <n v="0"/>
    <n v="0"/>
    <n v="16667"/>
    <n v="16667"/>
    <n v="16667"/>
    <n v="16667"/>
    <n v="16667"/>
    <n v="16667"/>
    <n v="16667"/>
    <n v="16667"/>
    <n v="16666"/>
    <n v="16666"/>
    <n v="16666"/>
    <n v="16666"/>
    <n v="200000"/>
  </r>
  <r>
    <s v="L-ERP-227"/>
    <x v="434"/>
    <s v="Jajodia, Amit_CONTRACTORS_2026-XFR-0050-A"/>
    <s v="ERP"/>
    <s v="Patel, Apurva"/>
    <s v="Jajodia, Amit"/>
    <s v="Jajodia, Amit"/>
    <s v="Hase, Raj"/>
    <s v="Jajodia, Amit"/>
    <s v="DeHart, Lynn"/>
    <x v="0"/>
    <s v="2024 BRM - Quality Q Ship Project - New project going live in Nov 2025. Support costs for new solution and fine tuning"/>
    <m/>
    <m/>
    <x v="304"/>
    <m/>
    <m/>
    <m/>
    <x v="12"/>
    <s v=" XfR-0050-A had a transfer for 150K. This transfer is being merged wth WBS  CTR0041 (original 824K). The forecast has been reduced to 592K, effectively reducing the forecast by $362K, XFR-0050 will 0 - AJ - 05/01"/>
    <m/>
    <n v="1500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m/>
    <m/>
    <m/>
    <n v="12500"/>
    <n v="12500"/>
    <n v="12500"/>
    <n v="12500"/>
    <n v="12500"/>
    <n v="12500"/>
    <n v="12500"/>
    <n v="12500"/>
    <n v="12500"/>
    <n v="112500"/>
  </r>
  <r>
    <s v="N-ERP-577"/>
    <x v="435"/>
    <s v="Jajodia, Amit_CONTRACTORS_2026-XFR-0053-A"/>
    <s v="ERP"/>
    <s v="Patel, Apurva"/>
    <s v="Jajodia, Amit"/>
    <s v="Jajodia, Amit"/>
    <s v="Hase, Raj"/>
    <s v="Jajodia, Amit"/>
    <s v="DeHart, Lynn"/>
    <x v="0"/>
    <s v="2024 External Supply Portfolio Lifecycle - Sustain &amp; Grow - External Supply - Solutions functional support"/>
    <m/>
    <m/>
    <x v="305"/>
    <m/>
    <m/>
    <m/>
    <x v="12"/>
    <s v="4/28/26 CHW New add to tie-out 0223 to 0317 Planful Extracts"/>
    <m/>
    <n v="-199716"/>
    <n v="-149787"/>
    <m/>
    <m/>
    <m/>
    <m/>
    <m/>
    <s v=""/>
    <n v="0"/>
    <n v="0"/>
    <n v="-16643"/>
    <n v="-16643"/>
    <n v="-16643"/>
    <n v="-16643"/>
    <n v="-16643"/>
    <n v="-16643"/>
    <n v="-99858"/>
    <n v="49929"/>
    <n v="154.58333300000001"/>
    <n v="-154.58333300000001"/>
    <n v="49929"/>
    <m/>
    <n v="49929"/>
    <m/>
    <m/>
    <m/>
    <m/>
    <n v="-16643"/>
    <n v="-16643"/>
    <n v="-16643"/>
    <n v="-16643"/>
    <n v="-16643"/>
    <n v="-16643"/>
    <n v="-16643"/>
    <n v="-16643"/>
    <n v="-16643"/>
    <n v="-149787"/>
    <n v="-16643"/>
    <n v="-16643"/>
    <n v="-16643"/>
    <n v="-16643"/>
    <n v="-16643"/>
    <n v="-16643"/>
    <n v="-16643"/>
    <n v="-16643"/>
    <n v="-16643"/>
    <n v="-16643"/>
    <n v="-16643"/>
    <n v="-16643"/>
    <n v="-199716"/>
  </r>
  <r>
    <s v="N-ERP-578"/>
    <x v="436"/>
    <s v="Jajodia, Amit_CONTRACTORS_2026-XFR-0054-A"/>
    <s v="ERP"/>
    <s v="Patel, Apurva"/>
    <s v="Jajodia, Amit"/>
    <s v="Jajodia, Amit"/>
    <s v="Hase, Raj"/>
    <s v="Jajodia, Amit"/>
    <s v="DeHart, Lynn"/>
    <x v="0"/>
    <s v="External Supply Portfolio Lifecycle - Service Now - External Supply - Solutions functional support"/>
    <m/>
    <m/>
    <x v="306"/>
    <m/>
    <m/>
    <m/>
    <x v="12"/>
    <s v="4/28/26 CHW New add to tie-out 0223 to 0317 Planful Extracts"/>
    <m/>
    <n v="-289999.99999999988"/>
    <n v="-217500.02999999997"/>
    <m/>
    <m/>
    <m/>
    <m/>
    <m/>
    <s v=""/>
    <n v="0"/>
    <n v="0"/>
    <n v="-24166.67"/>
    <n v="-24166.67"/>
    <n v="-24166.67"/>
    <n v="-24166.67"/>
    <n v="-24166.67"/>
    <n v="-24166.67"/>
    <n v="-145000.01999999999"/>
    <n v="72500.00999999998"/>
    <n v="1200"/>
    <n v="-1200"/>
    <n v="72500.009999999995"/>
    <m/>
    <n v="72500.00999999998"/>
    <m/>
    <m/>
    <m/>
    <m/>
    <n v="-24166.67"/>
    <n v="-24166.67"/>
    <n v="-24166.67"/>
    <n v="-24166.67"/>
    <n v="-24166.67"/>
    <n v="-24166.67"/>
    <n v="-24166.67"/>
    <n v="-24166.67"/>
    <n v="-24166.67"/>
    <n v="-217500.02999999997"/>
    <n v="-24166.63"/>
    <n v="-24166.67"/>
    <n v="-24166.67"/>
    <n v="-24166.67"/>
    <n v="-24166.67"/>
    <n v="-24166.67"/>
    <n v="-24166.67"/>
    <n v="-24166.67"/>
    <n v="-24166.67"/>
    <n v="-24166.67"/>
    <n v="-24166.67"/>
    <n v="-24166.67"/>
    <n v="-289999.99999999988"/>
  </r>
  <r>
    <s v="L-ERP-404"/>
    <x v="437"/>
    <s v="McGettigan, David_TELECOMMUNICATIONS_PR-320001-0000007901"/>
    <s v="ERP"/>
    <s v="Patel, Apurva"/>
    <s v="Patel, Apurva"/>
    <s v="Patel, Apurva"/>
    <s v="McGettigan, David"/>
    <s v="McGettigan, David"/>
    <s v="McGettigan, David"/>
    <x v="5"/>
    <s v="Default"/>
    <m/>
    <m/>
    <x v="307"/>
    <m/>
    <m/>
    <m/>
    <x v="0"/>
    <m/>
    <m/>
    <n v="0"/>
    <n v="8.51"/>
    <m/>
    <m/>
    <m/>
    <n v="8.51"/>
    <n v="0"/>
    <s v=""/>
    <n v="0"/>
    <n v="0"/>
    <n v="0"/>
    <n v="0"/>
    <n v="0"/>
    <n v="0"/>
    <n v="0"/>
    <n v="0"/>
    <n v="8.51"/>
    <n v="0"/>
    <n v="0"/>
    <n v="0"/>
    <n v="0"/>
    <m/>
    <n v="0"/>
    <m/>
    <m/>
    <n v="8.51"/>
    <n v="0"/>
    <n v="0"/>
    <n v="0"/>
    <n v="0"/>
    <n v="0"/>
    <n v="0"/>
    <n v="0"/>
    <n v="0"/>
    <n v="0"/>
    <n v="0"/>
    <n v="8.51"/>
    <m/>
    <n v="8.51"/>
    <n v="0"/>
    <n v="0"/>
    <n v="0"/>
    <n v="0"/>
    <n v="0"/>
    <n v="0"/>
    <n v="0"/>
    <n v="0"/>
    <n v="0"/>
    <n v="0"/>
    <n v="8.51"/>
  </r>
  <r>
    <s v="L-ERP-244"/>
    <x v="438"/>
    <s v="Jajodia, Amit_CONTRACTORS_EnhanceChargeout001"/>
    <s v="ERP"/>
    <s v="Patel, Apurva"/>
    <s v="Jajodia, Amit"/>
    <s v="Jajodia, Amit"/>
    <s v="Hase, Raj"/>
    <s v="Jajodia, Amit"/>
    <s v="DeHart, Lynn"/>
    <x v="0"/>
    <s v="Enhance Chargeout Cost Centers"/>
    <m/>
    <m/>
    <x v="1"/>
    <s v="CHW - F/U"/>
    <m/>
    <m/>
    <x v="0"/>
    <m/>
    <m/>
    <n v="0"/>
    <n v="-29144"/>
    <m/>
    <m/>
    <n v="101571"/>
    <n v="-210932"/>
    <n v="80217"/>
    <n v="105632.00000000001"/>
    <n v="-36244"/>
    <n v="24284.000000000029"/>
    <n v="0"/>
    <n v="0"/>
    <n v="0"/>
    <n v="0"/>
    <n v="0"/>
    <n v="0"/>
    <n v="64528.000000000044"/>
    <n v="93672.000000000044"/>
    <n v="0"/>
    <n v="24284.000000000029"/>
    <n v="93672.000000000044"/>
    <m/>
    <n v="93672.000000000044"/>
    <m/>
    <n v="101571"/>
    <n v="-210932"/>
    <n v="80217"/>
    <n v="0"/>
    <n v="0"/>
    <n v="0"/>
    <n v="0"/>
    <n v="0"/>
    <n v="0"/>
    <n v="0"/>
    <n v="0"/>
    <n v="0"/>
    <n v="-29144"/>
    <n v="101571"/>
    <n v="-210932"/>
    <n v="80217"/>
    <n v="0"/>
    <n v="0"/>
    <n v="0"/>
    <n v="0"/>
    <n v="0"/>
    <n v="0"/>
    <n v="0"/>
    <n v="0"/>
    <n v="0"/>
    <n v="-29144"/>
  </r>
  <r>
    <s v="L-ERP-415"/>
    <x v="43"/>
    <s v="McGettigan, David_TELECOMMUNICATIONS_Telecom001"/>
    <s v="ERP"/>
    <s v="Patel, Apurva"/>
    <s v="Patel, Apurva"/>
    <s v="Patel, Apurva"/>
    <s v="McGettigan, David"/>
    <s v="McGettigan, David"/>
    <s v="McGettigan, David"/>
    <x v="5"/>
    <s v="Telecommunications"/>
    <m/>
    <m/>
    <x v="42"/>
    <m/>
    <m/>
    <m/>
    <x v="0"/>
    <m/>
    <m/>
    <n v="3200"/>
    <n v="4217.2800000000007"/>
    <m/>
    <m/>
    <n v="470.66"/>
    <n v="1081.01"/>
    <n v="665.61"/>
    <n v="309.95"/>
    <n v="41.64"/>
    <n v="76.3"/>
    <n v="200"/>
    <n v="200"/>
    <n v="200"/>
    <n v="200"/>
    <n v="200"/>
    <n v="200"/>
    <n v="3845.17"/>
    <n v="-372.11000000000058"/>
    <n v="300"/>
    <n v="-223.7"/>
    <n v="-372.11000000000013"/>
    <m/>
    <n v="-372.11000000000058"/>
    <m/>
    <n v="470.66"/>
    <n v="1081.01"/>
    <n v="665.61"/>
    <n v="200"/>
    <n v="300"/>
    <n v="300"/>
    <n v="200"/>
    <n v="200"/>
    <n v="200"/>
    <n v="200"/>
    <n v="200"/>
    <n v="200"/>
    <n v="4217.2800000000007"/>
    <n v="470.66"/>
    <n v="1081.01"/>
    <n v="665.61"/>
    <n v="200"/>
    <n v="300"/>
    <n v="300"/>
    <n v="200"/>
    <n v="200"/>
    <n v="200"/>
    <n v="200"/>
    <n v="200"/>
    <n v="200"/>
    <n v="4217.2800000000007"/>
  </r>
  <r>
    <s v="L-ERP-384"/>
    <x v="44"/>
    <s v="McGettigan, David_TRAVEL &amp; ENTERTAINMENT_TravelEnt001"/>
    <s v="ERP"/>
    <s v="Patel, Apurva"/>
    <s v="Patel, Apurva"/>
    <s v="Patel, Apurva"/>
    <s v="McGettigan, David"/>
    <s v="McGettigan, David"/>
    <s v="McGettigan, David"/>
    <x v="1"/>
    <s v="Travel and Entertainment"/>
    <m/>
    <m/>
    <x v="43"/>
    <m/>
    <s v="N/A"/>
    <m/>
    <x v="10"/>
    <m/>
    <m/>
    <n v="0"/>
    <n v="-468023.23"/>
    <m/>
    <m/>
    <n v="-478537.04"/>
    <n v="11513.92"/>
    <n v="-1000.11"/>
    <n v="5133"/>
    <n v="288"/>
    <n v="864"/>
    <n v="0"/>
    <n v="0"/>
    <n v="0"/>
    <n v="0"/>
    <n v="0"/>
    <n v="0"/>
    <n v="-461738.23"/>
    <n v="6285"/>
    <n v="0"/>
    <n v="864"/>
    <n v="6285"/>
    <m/>
    <n v="6285"/>
    <m/>
    <n v="-478537.04"/>
    <n v="11513.92"/>
    <n v="-1000.11"/>
    <n v="0"/>
    <n v="0"/>
    <n v="0"/>
    <n v="0"/>
    <n v="0"/>
    <n v="0"/>
    <n v="0"/>
    <n v="0"/>
    <n v="0"/>
    <n v="-468023.23"/>
    <n v="-478537.04"/>
    <n v="11513.92"/>
    <n v="-1000.11"/>
    <n v="0"/>
    <n v="0"/>
    <n v="0"/>
    <n v="0"/>
    <n v="0"/>
    <n v="0"/>
    <n v="0"/>
    <n v="0"/>
    <n v="0"/>
    <n v="-468023.23"/>
  </r>
  <r>
    <s v="L-ERP-427"/>
    <x v="439"/>
    <s v="McGettigan, David_TRAVEL &amp; ENTERTAINMENT_TravelEnt001_Reserve"/>
    <s v="ERP"/>
    <s v="Patel, Apurva"/>
    <s v="Patel, Apurva"/>
    <s v="Patel, Apurva"/>
    <s v="McGettigan, David"/>
    <s v="McGettigan, David"/>
    <s v="McGettigan, David"/>
    <x v="1"/>
    <s v="TravelEnt001_Reserve"/>
    <m/>
    <m/>
    <x v="308"/>
    <m/>
    <s v="N/A"/>
    <m/>
    <x v="56"/>
    <m/>
    <m/>
    <n v="285714.29000400001"/>
    <n v="214285.71750299999"/>
    <m/>
    <m/>
    <m/>
    <m/>
    <m/>
    <s v=""/>
    <n v="0"/>
    <n v="0"/>
    <n v="23809.524167"/>
    <n v="23809.524167"/>
    <n v="23809.524167"/>
    <n v="23809.524167"/>
    <n v="23809.524167"/>
    <n v="23809.524167"/>
    <n v="142857.145002"/>
    <n v="-71428.572500999988"/>
    <n v="23809.524167"/>
    <n v="-23809.524167"/>
    <n v="-71428.572501000002"/>
    <m/>
    <n v="-71428.572500999988"/>
    <m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  <m/>
    <m/>
    <m/>
    <n v="23809.524167"/>
    <n v="23809.524167"/>
    <n v="23809.524167"/>
    <n v="23809.524167"/>
    <n v="23809.524167"/>
    <n v="23809.524167"/>
    <n v="23809.524167"/>
    <n v="23809.524167"/>
    <n v="23809.524167"/>
    <n v="214285.71750299999"/>
  </r>
  <r>
    <s v="L-ERP-386"/>
    <x v="440"/>
    <s v="McGettigan, David_COMPENSATION_VacancyFactor001"/>
    <s v="ERP"/>
    <s v="Patel, Apurva"/>
    <s v="Patel, Apurva"/>
    <s v="Patel, Apurva"/>
    <s v="McGettigan, David"/>
    <s v="McGettigan, David"/>
    <s v="McGettigan, David"/>
    <x v="2"/>
    <s v="Vacancy Factor"/>
    <m/>
    <m/>
    <x v="309"/>
    <m/>
    <s v="N/A"/>
    <m/>
    <x v="56"/>
    <m/>
    <m/>
    <n v="-472222.21000000008"/>
    <n v="-160000"/>
    <m/>
    <m/>
    <m/>
    <m/>
    <m/>
    <s v=""/>
    <n v="0"/>
    <n v="0"/>
    <n v="-20000"/>
    <n v="-20000"/>
    <n v="-20000"/>
    <n v="-20000"/>
    <n v="-20000"/>
    <n v="-20000"/>
    <n v="-120000"/>
    <n v="40000"/>
    <n v="-20000"/>
    <n v="20000"/>
    <n v="40000"/>
    <m/>
    <n v="40000"/>
    <m/>
    <m/>
    <m/>
    <m/>
    <m/>
    <n v="-20000"/>
    <n v="-20000"/>
    <n v="-20000"/>
    <n v="-20000"/>
    <n v="-20000"/>
    <n v="-20000"/>
    <n v="-20000"/>
    <n v="-20000"/>
    <n v="-160000"/>
    <m/>
    <m/>
    <m/>
    <n v="-47222.220999999998"/>
    <n v="-47222.220999999998"/>
    <n v="-47222.220999999998"/>
    <n v="-47222.220999999998"/>
    <n v="-47222.220999999998"/>
    <n v="-47222.220999999998"/>
    <n v="-47222.220999999998"/>
    <n v="-47222.220999999998"/>
    <n v="-47222.220999999998"/>
    <n v="-424999.98900000006"/>
  </r>
  <r>
    <s v="L-ERP-235"/>
    <x v="441"/>
    <s v="Jajodia, Amit_CONTRACTORS_IT-CTR0023-OG-US-00"/>
    <s v="ERP"/>
    <s v="Patel, Apurva"/>
    <s v="Jajodia, Amit"/>
    <s v="Jajodia, Amit"/>
    <s v="Hase, Raj"/>
    <s v="Jajodia, Amit"/>
    <s v="DeHart, Lynn"/>
    <x v="0"/>
    <s v="Manufacturing ABAP support_XFR0942"/>
    <m/>
    <m/>
    <x v="310"/>
    <m/>
    <s v="N"/>
    <m/>
    <x v="0"/>
    <m/>
    <m/>
    <n v="0"/>
    <n v="0"/>
    <m/>
    <m/>
    <n v="0.36"/>
    <n v="-0.36"/>
    <m/>
    <n v="-5357.64"/>
    <n v="0"/>
    <n v="0"/>
    <m/>
    <m/>
    <m/>
    <m/>
    <m/>
    <m/>
    <n v="-5357.64"/>
    <n v="-5357.64"/>
    <m/>
    <n v="0"/>
    <n v="-5357.64"/>
    <m/>
    <n v="-5357.64"/>
    <m/>
    <n v="0.36"/>
    <n v="-0.36"/>
    <m/>
    <m/>
    <m/>
    <m/>
    <m/>
    <m/>
    <m/>
    <m/>
    <m/>
    <m/>
    <n v="0"/>
    <n v="0.36"/>
    <n v="-0.36"/>
    <m/>
    <m/>
    <m/>
    <m/>
    <m/>
    <m/>
    <m/>
    <m/>
    <m/>
    <m/>
    <n v="0"/>
  </r>
  <r>
    <s v="L-ERP-236"/>
    <x v="442"/>
    <s v="Jajodia, Amit_CONTRACTORS_IT-CTR0027-OG-US-00"/>
    <s v="ERP"/>
    <s v="Patel, Apurva"/>
    <s v="Jajodia, Amit"/>
    <s v="Jajodia, Amit"/>
    <s v="Hase, Raj"/>
    <s v="Jajodia, Amit"/>
    <s v="DeHart, Lynn"/>
    <x v="0"/>
    <s v="Manufacturing EWM ASRS &amp; ZDI Support_XFR1023"/>
    <s v="IBM CORP"/>
    <s v="2321216"/>
    <x v="311"/>
    <m/>
    <s v="9501228166"/>
    <m/>
    <x v="0"/>
    <m/>
    <m/>
    <n v="553800"/>
    <n v="496255"/>
    <m/>
    <m/>
    <n v="-0.24"/>
    <n v="98366.34"/>
    <n v="-98366.1"/>
    <n v="27396.55"/>
    <n v="29503.98"/>
    <n v="36879.97"/>
    <n v="48381.166666666672"/>
    <n v="48381.166666666672"/>
    <n v="48381.166666666672"/>
    <n v="85490.5"/>
    <n v="85490.5"/>
    <n v="85490.5"/>
    <n v="495395.5"/>
    <n v="-859.5"/>
    <n v="31546.666666666668"/>
    <n v="5333.3033333333333"/>
    <n v="-859.5"/>
    <m/>
    <n v="-859.5"/>
    <m/>
    <n v="-0.24"/>
    <n v="98366.34"/>
    <n v="-98366.1"/>
    <n v="31546.666666666668"/>
    <n v="31546.666666666668"/>
    <n v="31546.666666666668"/>
    <n v="48381.166666666672"/>
    <n v="48381.166666666672"/>
    <n v="48381.166666666672"/>
    <n v="85490.5"/>
    <n v="85490.5"/>
    <n v="85490.5"/>
    <n v="496255"/>
    <n v="-0.24"/>
    <n v="98366.34"/>
    <n v="-98366.1"/>
    <n v="57403.99"/>
    <n v="57403.99"/>
    <n v="57403.99"/>
    <n v="57403.99"/>
    <n v="57403.99"/>
    <n v="57403.99"/>
    <n v="57403.99"/>
    <n v="57403.99"/>
    <n v="57403.99"/>
    <n v="516635.90999999992"/>
  </r>
  <r>
    <s v="L-ERP-237"/>
    <x v="443"/>
    <s v="Jajodia, Amit_CONTRACTORS_IT-CTR0030-OG-US-00"/>
    <s v="ERP"/>
    <s v="Patel, Apurva"/>
    <s v="Jajodia, Amit"/>
    <s v="Jajodia, Amit"/>
    <s v="Hase, Raj"/>
    <s v="Jajodia, Amit"/>
    <s v="DeHart, Lynn"/>
    <x v="0"/>
    <s v="Planning IBP Demand &amp; Forecasting Support_XFR0933 &amp; XFR0957"/>
    <s v="IBM CORP"/>
    <s v="2321216"/>
    <x v="312"/>
    <m/>
    <s v="9501163821"/>
    <m/>
    <x v="0"/>
    <m/>
    <m/>
    <n v="269997.96000000008"/>
    <n v="268017.38"/>
    <m/>
    <m/>
    <n v="19158.79"/>
    <n v="20603.919999999998"/>
    <n v="25754.67"/>
    <n v="20603.73"/>
    <n v="33243.729999999996"/>
    <n v="25754.660000000003"/>
    <n v="22500"/>
    <n v="22500"/>
    <n v="22500"/>
    <n v="22500"/>
    <n v="22500"/>
    <n v="22500"/>
    <n v="280119.5"/>
    <n v="12102.119999999995"/>
    <n v="22500"/>
    <n v="3254.6600000000035"/>
    <n v="12102.119999999995"/>
    <m/>
    <n v="12102.119999999995"/>
    <m/>
    <n v="19158.79"/>
    <n v="20603.919999999998"/>
    <n v="25754.67"/>
    <n v="22500"/>
    <n v="22500"/>
    <n v="22500"/>
    <n v="22500"/>
    <n v="22500"/>
    <n v="22500"/>
    <n v="22500"/>
    <n v="22500"/>
    <n v="22500"/>
    <n v="268017.38"/>
    <n v="19158.79"/>
    <n v="20603.919999999998"/>
    <n v="25754.67"/>
    <n v="23474.3"/>
    <n v="23474.3"/>
    <n v="23474.3"/>
    <n v="23474.3"/>
    <n v="23474.3"/>
    <n v="23474.3"/>
    <n v="23474.3"/>
    <n v="23474.3"/>
    <n v="23474.3"/>
    <n v="276786.07999999996"/>
  </r>
  <r>
    <s v="N-ERP-579"/>
    <x v="444"/>
    <s v="Jajodia, Amit_CONTRACTORS_IT-CTR0031-OG-US-00"/>
    <s v="ERP"/>
    <s v="Patel, Apurva"/>
    <s v="Jajodia, Amit"/>
    <s v="Jajodia, Amit"/>
    <s v="Hase, Raj"/>
    <s v="Jajodia, Amit"/>
    <s v="DeHart, Lynn"/>
    <x v="0"/>
    <s v="ES Lifecycle Solutions Support_XFR0933 &amp; XFR0936"/>
    <m/>
    <m/>
    <x v="313"/>
    <m/>
    <s v="N"/>
    <m/>
    <x v="0"/>
    <s v="4/28/26 CHW New add to tie-out 0223 to 0317 Planful Extracts Timing - ES Lifecycle Solutions Support_XFR0933 &amp; XFR0936 delay spending"/>
    <m/>
    <n v="489720"/>
    <n v="367290"/>
    <m/>
    <m/>
    <m/>
    <m/>
    <m/>
    <s v=""/>
    <n v="0"/>
    <n v="0"/>
    <n v="40810"/>
    <n v="40810"/>
    <n v="40810"/>
    <n v="40810"/>
    <n v="40810"/>
    <n v="40810"/>
    <n v="244860"/>
    <n v="-122430"/>
    <n v="40810"/>
    <n v="-40810"/>
    <n v="-122430"/>
    <m/>
    <n v="-122430"/>
    <m/>
    <m/>
    <m/>
    <m/>
    <n v="40810"/>
    <n v="40810"/>
    <n v="40810"/>
    <n v="40810"/>
    <n v="40810"/>
    <n v="40810"/>
    <n v="40810"/>
    <n v="40810"/>
    <n v="40810"/>
    <n v="367290"/>
    <n v="40810"/>
    <n v="40810"/>
    <n v="40810"/>
    <n v="40810"/>
    <n v="40810"/>
    <n v="40810"/>
    <n v="40810"/>
    <n v="40810"/>
    <n v="40810"/>
    <n v="40810"/>
    <n v="40810"/>
    <n v="40810"/>
    <n v="489720"/>
  </r>
  <r>
    <s v="L-ERP-238"/>
    <x v="445"/>
    <s v="Jajodia, Amit_CONTRACTORS_IT-CTR0034-OG-US-00"/>
    <s v="ERP"/>
    <s v="Patel, Apurva"/>
    <s v="Jajodia, Amit"/>
    <s v="Jajodia, Amit"/>
    <s v="Hase, Raj"/>
    <s v="Jajodia, Amit"/>
    <s v="DeHart, Lynn"/>
    <x v="0"/>
    <s v="Quality Audit, Investigations, SMS &amp; Fiori_XFR0910"/>
    <s v="ACCENTURE LLP"/>
    <s v="2321216"/>
    <x v="314"/>
    <m/>
    <s v="9501173617"/>
    <m/>
    <x v="0"/>
    <m/>
    <m/>
    <n v="529998.96000000008"/>
    <n v="367389.04999999993"/>
    <m/>
    <m/>
    <n v="31387.97"/>
    <n v="29660.06"/>
    <n v="28355.06"/>
    <n v="376.37999999999738"/>
    <n v="30599.67"/>
    <n v="50661.62"/>
    <n v="36080.219999999994"/>
    <n v="26514.909999999996"/>
    <n v="26514.909999999996"/>
    <n v="36080.219999999994"/>
    <n v="36080.219999999994"/>
    <n v="36080.219999999994"/>
    <n v="368391.45999999996"/>
    <n v="1002.4100000000326"/>
    <n v="36080.219999999994"/>
    <n v="14581.400000000009"/>
    <n v="1002.4100000000035"/>
    <m/>
    <n v="1002.4100000000326"/>
    <m/>
    <n v="31387.97"/>
    <n v="29660.06"/>
    <n v="28355.06"/>
    <n v="8474.82"/>
    <n v="36080.219999999994"/>
    <n v="36080.219999999994"/>
    <n v="36080.219999999994"/>
    <n v="26514.909999999996"/>
    <n v="26514.909999999996"/>
    <n v="36080.219999999994"/>
    <n v="36080.219999999994"/>
    <n v="36080.219999999994"/>
    <n v="367389.04999999993"/>
    <n v="31387.97"/>
    <n v="29660.06"/>
    <n v="28355.06"/>
    <n v="44166.58"/>
    <n v="44166.58"/>
    <n v="44166.58"/>
    <n v="44166.58"/>
    <n v="44166.58"/>
    <n v="44166.58"/>
    <n v="44166.58"/>
    <n v="44166.58"/>
    <n v="44166.58"/>
    <n v="486902.31000000011"/>
  </r>
  <r>
    <s v="L-ERP-239"/>
    <x v="446"/>
    <s v="Jajodia, Amit_CONTRACTORS_IT-CTR0041-OG-US-00"/>
    <s v="ERP"/>
    <s v="Patel, Apurva"/>
    <s v="Jajodia, Amit"/>
    <s v="Jajodia, Amit"/>
    <s v="Hase, Raj"/>
    <s v="Jajodia, Amit"/>
    <s v="DeHart, Lynn"/>
    <x v="0"/>
    <s v="Quality SAP QC, Quadra, BRM &amp; MR_XFR0667 &amp; XFR0964 &amp; XFR0857"/>
    <m/>
    <s v="2321216"/>
    <x v="315"/>
    <m/>
    <s v="Multiple"/>
    <m/>
    <x v="0"/>
    <s v=" XfR-0050-A had a transfer for 150K. This transfer is being merged wth WBS  CTR0041 (original 824K). The forecast has been reduced to 592K, effectively reducing the forecast by $362K, XFR-0050 will 0 - AJ - 05/01"/>
    <m/>
    <n v="624000"/>
    <n v="592260.42999999993"/>
    <m/>
    <m/>
    <n v="67126.64"/>
    <n v="74377.41"/>
    <n v="83640.33"/>
    <n v="-58284.780000000013"/>
    <n v="17767.169999999998"/>
    <n v="-37705.19"/>
    <n v="37705.5"/>
    <n v="47270.81"/>
    <n v="47270.81"/>
    <n v="47270.81"/>
    <n v="47270.81"/>
    <n v="47270.81"/>
    <n v="420981.12999999995"/>
    <n v="-171279.3"/>
    <n v="37705.5"/>
    <n v="-75410.69"/>
    <n v="-171279.30000000005"/>
    <m/>
    <n v="-171279.3"/>
    <m/>
    <n v="67126.64"/>
    <n v="74377.41"/>
    <n v="83640.33"/>
    <n v="17645.5"/>
    <n v="37705.5"/>
    <n v="37705.5"/>
    <n v="37705.5"/>
    <n v="47270.81"/>
    <n v="47270.81"/>
    <n v="47270.81"/>
    <n v="47270.81"/>
    <n v="47270.81"/>
    <n v="592260.42999999993"/>
    <n v="67126.64"/>
    <n v="74377.41"/>
    <n v="83640.33"/>
    <n v="71858"/>
    <n v="71858"/>
    <n v="71858"/>
    <n v="71858"/>
    <n v="71858"/>
    <n v="71858"/>
    <n v="71858"/>
    <n v="71858"/>
    <n v="71858"/>
    <n v="871866.38"/>
  </r>
  <r>
    <s v="L-ERP-240"/>
    <x v="447"/>
    <s v="Jajodia, Amit_CONTRACTORS_IT-CTR0045-OG-US-00"/>
    <s v="ERP"/>
    <s v="Patel, Apurva"/>
    <s v="Jajodia, Amit"/>
    <s v="Jajodia, Amit"/>
    <s v="Hase, Raj"/>
    <s v="Jajodia, Amit"/>
    <s v="DeHart, Lynn"/>
    <x v="0"/>
    <s v="Planning Pfizer Connect Specialist Support_XFR0670 &amp; XFR0955"/>
    <m/>
    <m/>
    <x v="231"/>
    <s v="CHW - Ok"/>
    <m/>
    <m/>
    <x v="0"/>
    <m/>
    <m/>
    <n v="270422.03999999992"/>
    <n v="166650"/>
    <m/>
    <m/>
    <m/>
    <m/>
    <m/>
    <s v=""/>
    <n v="0"/>
    <n v="0"/>
    <n v="7837.5"/>
    <n v="7837.5"/>
    <n v="7837.5"/>
    <n v="7837.5"/>
    <n v="7837.5"/>
    <n v="7837.5"/>
    <n v="47025"/>
    <n v="-119625"/>
    <n v="111787.5"/>
    <n v="-111787.5"/>
    <n v="-119625"/>
    <m/>
    <n v="-119625"/>
    <m/>
    <m/>
    <m/>
    <m/>
    <n v="0"/>
    <n v="111787.5"/>
    <n v="7837.5"/>
    <n v="7837.5"/>
    <n v="7837.5"/>
    <n v="7837.5"/>
    <n v="7837.5"/>
    <n v="7837.5"/>
    <n v="7837.5"/>
    <n v="166650"/>
    <m/>
    <m/>
    <m/>
    <n v="26158"/>
    <n v="26158"/>
    <n v="26158"/>
    <n v="26158"/>
    <n v="26158"/>
    <n v="26158"/>
    <n v="26158"/>
    <n v="26158"/>
    <n v="26158"/>
    <n v="235422"/>
  </r>
  <r>
    <s v="L-ERP-241"/>
    <x v="448"/>
    <s v="Jajodia, Amit_CONTRACTORS_IT-CTR0090-OG-US-00"/>
    <s v="ERP"/>
    <s v="Patel, Apurva"/>
    <s v="Jajodia, Amit"/>
    <s v="Jajodia, Amit"/>
    <s v="Hase, Raj"/>
    <s v="Jajodia, Amit"/>
    <s v="DeHart, Lynn"/>
    <x v="0"/>
    <s v="Enterprise Integration MTES"/>
    <m/>
    <m/>
    <x v="316"/>
    <m/>
    <m/>
    <m/>
    <x v="0"/>
    <m/>
    <m/>
    <n v="10277"/>
    <n v="10277"/>
    <m/>
    <m/>
    <m/>
    <m/>
    <m/>
    <s v=""/>
    <n v="0"/>
    <n v="0"/>
    <n v="0"/>
    <n v="5723"/>
    <n v="0"/>
    <n v="0"/>
    <n v="0"/>
    <n v="0"/>
    <n v="5723"/>
    <n v="-4554"/>
    <n v="4554"/>
    <n v="-4554"/>
    <n v="-4554"/>
    <m/>
    <n v="-4554"/>
    <m/>
    <m/>
    <m/>
    <m/>
    <m/>
    <n v="4554"/>
    <n v="0"/>
    <n v="0"/>
    <n v="5723"/>
    <n v="0"/>
    <n v="0"/>
    <n v="0"/>
    <n v="0"/>
    <n v="10277"/>
    <m/>
    <m/>
    <m/>
    <m/>
    <n v="4554"/>
    <n v="0"/>
    <n v="0"/>
    <n v="5723"/>
    <n v="0"/>
    <n v="0"/>
    <n v="0"/>
    <n v="0"/>
    <n v="10277"/>
  </r>
  <r>
    <s v="L-ERP-242"/>
    <x v="449"/>
    <s v="Jajodia, Amit_CONTRACTORS_IT-FBT0757-OG-US-00"/>
    <s v="ERP"/>
    <s v="Patel, Apurva"/>
    <s v="Jajodia, Amit"/>
    <s v="Jajodia, Amit"/>
    <s v="Hase, Raj"/>
    <s v="Jajodia, Amit"/>
    <s v="DeHart, Lynn"/>
    <x v="0"/>
    <s v="Planning nGPS Support"/>
    <m/>
    <s v="2321216"/>
    <x v="317"/>
    <m/>
    <s v="9501184649"/>
    <m/>
    <x v="0"/>
    <m/>
    <m/>
    <n v="357309.48"/>
    <n v="263234.2"/>
    <m/>
    <m/>
    <m/>
    <m/>
    <n v="168756.2"/>
    <n v="54312.340000000011"/>
    <n v="54312.34"/>
    <n v="67890.420000000013"/>
    <n v="11809.75"/>
    <n v="11809.75"/>
    <n v="11809.75"/>
    <n v="11809.75"/>
    <n v="11809.75"/>
    <n v="11809.75"/>
    <n v="416129.80000000005"/>
    <n v="152895.60000000003"/>
    <n v="11809.75"/>
    <n v="56080.670000000013"/>
    <n v="152895.60000000003"/>
    <m/>
    <n v="152895.60000000003"/>
    <m/>
    <m/>
    <m/>
    <n v="168756.2"/>
    <n v="0"/>
    <n v="11809.75"/>
    <n v="11809.75"/>
    <n v="11809.75"/>
    <n v="11809.75"/>
    <n v="11809.75"/>
    <n v="11809.75"/>
    <n v="11809.75"/>
    <n v="11809.75"/>
    <n v="263234.2"/>
    <m/>
    <m/>
    <n v="168756.2"/>
    <n v="29775.79"/>
    <n v="29775.79"/>
    <n v="29775.79"/>
    <n v="29775.79"/>
    <n v="29775.79"/>
    <n v="29775.79"/>
    <n v="29775.79"/>
    <n v="29775.79"/>
    <n v="29775.79"/>
    <n v="436738.30999999994"/>
  </r>
  <r>
    <s v="L-ERP-234"/>
    <x v="450"/>
    <s v="Jajodia, Amit_CONTRACTORS_IT-FBT0771-OG-US-00"/>
    <s v="ERP"/>
    <s v="Patel, Apurva"/>
    <s v="Jajodia, Amit"/>
    <s v="Jajodia, Amit"/>
    <s v="Hase, Raj"/>
    <s v="Jajodia, Amit"/>
    <s v="DeHart, Lynn"/>
    <x v="0"/>
    <s v="Mulesoft - Quality Mulesoft (Contractors)"/>
    <m/>
    <m/>
    <x v="318"/>
    <m/>
    <m/>
    <m/>
    <x v="8"/>
    <m/>
    <m/>
    <n v="25000"/>
    <n v="25000"/>
    <m/>
    <m/>
    <m/>
    <m/>
    <m/>
    <s v=""/>
    <n v="0"/>
    <n v="0"/>
    <m/>
    <n v="25000"/>
    <n v="0"/>
    <n v="0"/>
    <n v="0"/>
    <n v="0"/>
    <n v="25000"/>
    <n v="0"/>
    <m/>
    <n v="0"/>
    <n v="0"/>
    <m/>
    <n v="0"/>
    <m/>
    <m/>
    <m/>
    <m/>
    <m/>
    <m/>
    <m/>
    <m/>
    <n v="25000"/>
    <n v="0"/>
    <n v="0"/>
    <n v="0"/>
    <n v="0"/>
    <n v="25000"/>
    <m/>
    <m/>
    <m/>
    <m/>
    <m/>
    <m/>
    <m/>
    <n v="25000"/>
    <n v="0"/>
    <n v="0"/>
    <n v="0"/>
    <n v="0"/>
    <n v="25000"/>
  </r>
  <r>
    <s v="L-ERP-243"/>
    <x v="451"/>
    <s v="Jajodia, Amit_CONTRACTORS_IT-FBT0785-OG-US-00"/>
    <s v="ERP"/>
    <s v="Patel, Apurva"/>
    <s v="Jajodia, Amit"/>
    <s v="Jajodia, Amit"/>
    <s v="Hase, Raj"/>
    <s v="Jajodia, Amit"/>
    <s v="DeHart, Lynn"/>
    <x v="0"/>
    <s v="ES SCC &amp; CMO Support_XFR0923 &amp; XFR0862 &amp; XFR0924"/>
    <m/>
    <s v="2321216"/>
    <x v="319"/>
    <m/>
    <s v="Multiple"/>
    <m/>
    <x v="0"/>
    <s v=" XfR-0028-A had a transfer for 266K. This transfer is being merged in the WBS FBT0785 (original 325K). The forecast has been reduced to 378K, effectively reducing the forecast by $210K - AJ - 05/01"/>
    <m/>
    <n v="325000.08000000007"/>
    <n v="378801.32"/>
    <m/>
    <m/>
    <n v="43362"/>
    <n v="48564.89"/>
    <n v="60706.43"/>
    <n v="-38405.19000000001"/>
    <n v="41122.75"/>
    <n v="42728.490000000005"/>
    <n v="29000"/>
    <n v="29000"/>
    <n v="28000"/>
    <n v="28500"/>
    <n v="28500"/>
    <n v="28500"/>
    <n v="369579.37"/>
    <n v="-9221.9500000000116"/>
    <n v="11500"/>
    <n v="31228.490000000005"/>
    <n v="-9221.9500000000116"/>
    <m/>
    <n v="-9221.9500000000116"/>
    <s v="Acct Mvmnt -'IT-FBT0785-OG-US-00/2026-XFR-0028-A Merged"/>
    <n v="43362"/>
    <n v="48564.89"/>
    <n v="60706.43"/>
    <n v="31668"/>
    <n v="11500"/>
    <n v="11500"/>
    <n v="29000"/>
    <n v="29000"/>
    <n v="28000"/>
    <n v="28500"/>
    <n v="28500"/>
    <n v="28500"/>
    <n v="378801.32"/>
    <n v="43362"/>
    <n v="48564.89"/>
    <n v="60706.43"/>
    <n v="49897"/>
    <n v="49897"/>
    <n v="49897"/>
    <n v="49897"/>
    <n v="49897"/>
    <n v="49897"/>
    <n v="49897"/>
    <n v="49897"/>
    <n v="49897"/>
    <n v="601706.32000000007"/>
  </r>
  <r>
    <s v="L-ERP-245"/>
    <x v="452"/>
    <s v="Jajodia, Amit_CONTRACTORS_MISC001"/>
    <s v="ERP"/>
    <s v="Patel, Apurva"/>
    <s v="Jajodia, Amit"/>
    <s v="Jajodia, Amit"/>
    <s v="Hase, Raj"/>
    <s v="Jajodia, Amit"/>
    <s v="DeHart, Lynn"/>
    <x v="0"/>
    <s v="Miscellaneous Charges"/>
    <m/>
    <m/>
    <x v="54"/>
    <m/>
    <m/>
    <m/>
    <x v="0"/>
    <m/>
    <m/>
    <n v="0"/>
    <n v="19639.919999999998"/>
    <m/>
    <m/>
    <n v="-0.23"/>
    <n v="-0.24"/>
    <n v="19640.39"/>
    <n v="0.61"/>
    <n v="-19640.97"/>
    <n v="0.03"/>
    <n v="0"/>
    <n v="0"/>
    <n v="0"/>
    <n v="0"/>
    <n v="0"/>
    <n v="0"/>
    <n v="-0.41000000000232828"/>
    <n v="-19640.330000000002"/>
    <n v="0"/>
    <n v="0.03"/>
    <n v="-19640.330000000002"/>
    <m/>
    <n v="-19640.330000000002"/>
    <m/>
    <n v="-0.23"/>
    <n v="-0.24"/>
    <n v="19640.39"/>
    <n v="0"/>
    <n v="0"/>
    <n v="0"/>
    <n v="0"/>
    <n v="0"/>
    <n v="0"/>
    <n v="0"/>
    <n v="0"/>
    <n v="0"/>
    <n v="19639.919999999998"/>
    <n v="-0.23"/>
    <n v="-0.24"/>
    <n v="19640.39"/>
    <n v="0"/>
    <n v="0"/>
    <n v="0"/>
    <n v="0"/>
    <n v="0"/>
    <n v="0"/>
    <n v="0"/>
    <n v="0"/>
    <n v="0"/>
    <n v="19639.919999999998"/>
  </r>
  <r>
    <s v="L-ERP-246"/>
    <x v="453"/>
    <s v="Jajodia, Amit_CONTRACTORS_POClosure001"/>
    <s v="ERP"/>
    <s v="Patel, Apurva"/>
    <s v="Jajodia, Amit"/>
    <s v="Jajodia, Amit"/>
    <s v="Hase, Raj"/>
    <s v="Jajodia, Amit"/>
    <s v="DeHart, Lynn"/>
    <x v="0"/>
    <s v="PO Closure Credit"/>
    <m/>
    <m/>
    <x v="56"/>
    <s v="CHW - Ok"/>
    <m/>
    <m/>
    <x v="0"/>
    <m/>
    <m/>
    <n v="0"/>
    <n v="-54295.289999999994"/>
    <m/>
    <m/>
    <n v="-4506.29"/>
    <n v="-29540.02"/>
    <n v="-20248.98"/>
    <n v="0"/>
    <n v="0"/>
    <n v="0"/>
    <n v="0"/>
    <n v="0"/>
    <n v="0"/>
    <n v="0"/>
    <n v="0"/>
    <n v="0"/>
    <n v="-54295.289999999994"/>
    <n v="0"/>
    <n v="0"/>
    <n v="0"/>
    <n v="0"/>
    <m/>
    <n v="0"/>
    <m/>
    <n v="-4506.29"/>
    <n v="-29540.02"/>
    <n v="-20248.98"/>
    <n v="0"/>
    <n v="0"/>
    <n v="0"/>
    <n v="0"/>
    <n v="0"/>
    <n v="0"/>
    <n v="0"/>
    <n v="0"/>
    <n v="0"/>
    <n v="-54295.289999999994"/>
    <n v="-4506.29"/>
    <n v="-29540.02"/>
    <n v="-20248.98"/>
    <n v="0"/>
    <n v="0"/>
    <n v="0"/>
    <n v="0"/>
    <n v="0"/>
    <n v="0"/>
    <n v="0"/>
    <n v="0"/>
    <n v="0"/>
    <n v="-54295.289999999994"/>
  </r>
  <r>
    <s v="L-ERP-248"/>
    <x v="454"/>
    <s v="Jajodia, Amit_MANAGED SERVICES_EnhanceChargeout001"/>
    <s v="ERP"/>
    <s v="Patel, Apurva"/>
    <s v="Jajodia, Amit"/>
    <s v="Jajodia, Amit"/>
    <s v="Hase, Raj"/>
    <s v="Jajodia, Amit"/>
    <s v="DeHart, Lynn"/>
    <x v="7"/>
    <s v="Enhance Chargeout Cost Centers"/>
    <m/>
    <m/>
    <x v="1"/>
    <s v="CHW - F/U"/>
    <m/>
    <m/>
    <x v="0"/>
    <m/>
    <m/>
    <n v="0"/>
    <n v="1177"/>
    <m/>
    <m/>
    <n v="-14023"/>
    <n v="60"/>
    <n v="15140"/>
    <n v="60"/>
    <n v="60"/>
    <n v="-1401"/>
    <n v="0"/>
    <n v="0"/>
    <n v="0"/>
    <n v="0"/>
    <n v="0"/>
    <n v="0"/>
    <n v="-104"/>
    <n v="-1281"/>
    <n v="0"/>
    <n v="-1401"/>
    <n v="-1281"/>
    <m/>
    <n v="-1281"/>
    <m/>
    <n v="-14023"/>
    <n v="60"/>
    <n v="15140"/>
    <n v="0"/>
    <n v="0"/>
    <n v="0"/>
    <n v="0"/>
    <n v="0"/>
    <n v="0"/>
    <n v="0"/>
    <n v="0"/>
    <n v="0"/>
    <n v="1177"/>
    <n v="-14023"/>
    <n v="60"/>
    <n v="15140"/>
    <n v="0"/>
    <n v="0"/>
    <n v="0"/>
    <n v="0"/>
    <n v="0"/>
    <n v="0"/>
    <n v="0"/>
    <n v="0"/>
    <n v="0"/>
    <n v="1177"/>
  </r>
  <r>
    <s v="L-ERP-247"/>
    <x v="455"/>
    <s v="Jajodia, Amit_MANAGED SERVICES_IT-FBT0659-OG-US-00"/>
    <s v="ERP"/>
    <s v="Patel, Apurva"/>
    <s v="Jajodia, Amit"/>
    <s v="Jajodia, Amit"/>
    <s v="Hase, Raj"/>
    <s v="Jajodia, Amit"/>
    <s v="DeHart, Lynn"/>
    <x v="7"/>
    <s v="Infrastructure Charges - ES Collaborative Manufacturing - IoD"/>
    <m/>
    <m/>
    <x v="248"/>
    <m/>
    <m/>
    <m/>
    <x v="0"/>
    <m/>
    <m/>
    <n v="4213"/>
    <n v="3403"/>
    <m/>
    <m/>
    <m/>
    <m/>
    <m/>
    <s v=""/>
    <n v="0"/>
    <n v="0"/>
    <n v="267"/>
    <n v="267"/>
    <n v="267"/>
    <n v="267"/>
    <n v="267"/>
    <n v="1267"/>
    <n v="2602"/>
    <n v="-801"/>
    <n v="267"/>
    <n v="-267"/>
    <n v="-801"/>
    <m/>
    <n v="-801"/>
    <m/>
    <m/>
    <m/>
    <m/>
    <n v="267"/>
    <n v="267"/>
    <n v="267"/>
    <n v="267"/>
    <n v="267"/>
    <n v="267"/>
    <n v="267"/>
    <n v="267"/>
    <n v="1267"/>
    <n v="3403"/>
    <m/>
    <m/>
    <m/>
    <n v="267"/>
    <n v="267"/>
    <n v="267"/>
    <n v="267"/>
    <n v="267"/>
    <n v="267"/>
    <n v="267"/>
    <n v="267"/>
    <n v="1267"/>
    <n v="3403"/>
  </r>
  <r>
    <s v="L-ERP-231"/>
    <x v="456"/>
    <s v="Jajodia, Amit_MANAGED SERVICES_IT-FBT0660-OG-US-00"/>
    <s v="ERP"/>
    <s v="Patel, Apurva"/>
    <s v="Jajodia, Amit"/>
    <s v="Jajodia, Amit"/>
    <s v="Hase, Raj"/>
    <s v="Jajodia, Amit"/>
    <s v="DeHart, Lynn"/>
    <x v="7"/>
    <s v="Planning Excel Citrix Server - IoD Infrastructure (Server)"/>
    <m/>
    <m/>
    <x v="249"/>
    <m/>
    <m/>
    <m/>
    <x v="3"/>
    <m/>
    <m/>
    <n v="3260"/>
    <n v="2780"/>
    <m/>
    <m/>
    <m/>
    <m/>
    <m/>
    <s v=""/>
    <n v="0"/>
    <n v="0"/>
    <n v="160"/>
    <n v="160"/>
    <n v="160"/>
    <n v="160"/>
    <n v="160"/>
    <n v="1500"/>
    <n v="2300"/>
    <n v="-480"/>
    <n v="160"/>
    <n v="-160"/>
    <n v="-480"/>
    <m/>
    <n v="-480"/>
    <m/>
    <m/>
    <m/>
    <m/>
    <n v="160"/>
    <n v="160"/>
    <n v="160"/>
    <n v="160"/>
    <n v="160"/>
    <n v="160"/>
    <n v="160"/>
    <n v="160"/>
    <n v="1500"/>
    <n v="2780"/>
    <m/>
    <m/>
    <m/>
    <n v="160"/>
    <n v="160"/>
    <n v="160"/>
    <n v="160"/>
    <n v="160"/>
    <n v="160"/>
    <n v="160"/>
    <n v="160"/>
    <n v="1500"/>
    <n v="2780"/>
  </r>
  <r>
    <s v="L-ERP-232"/>
    <x v="457"/>
    <s v="Jajodia, Amit_MANAGED SERVICES_IT-FBT0772-OG-US-00"/>
    <s v="ERP"/>
    <s v="Patel, Apurva"/>
    <s v="Jajodia, Amit"/>
    <s v="Jajodia, Amit"/>
    <s v="Hase, Raj"/>
    <s v="Jajodia, Amit"/>
    <s v="DeHart, Lynn"/>
    <x v="7"/>
    <s v="Manufacturing MarKov - IoD and Ring Fencing"/>
    <m/>
    <m/>
    <x v="320"/>
    <m/>
    <m/>
    <m/>
    <x v="3"/>
    <m/>
    <m/>
    <n v="17000"/>
    <n v="13700"/>
    <m/>
    <m/>
    <m/>
    <m/>
    <m/>
    <s v=""/>
    <n v="0"/>
    <n v="0"/>
    <n v="1100"/>
    <n v="1100"/>
    <n v="1100"/>
    <n v="1100"/>
    <n v="3000"/>
    <n v="3000"/>
    <n v="10400"/>
    <n v="-3300"/>
    <n v="1100"/>
    <n v="-1100"/>
    <n v="-3300"/>
    <m/>
    <n v="-3300"/>
    <m/>
    <m/>
    <m/>
    <m/>
    <n v="1100"/>
    <n v="1100"/>
    <n v="1100"/>
    <n v="1100"/>
    <n v="1100"/>
    <n v="1100"/>
    <n v="1100"/>
    <n v="3000"/>
    <n v="3000"/>
    <n v="13700"/>
    <m/>
    <m/>
    <m/>
    <n v="1100"/>
    <n v="1100"/>
    <n v="1100"/>
    <n v="1100"/>
    <n v="1100"/>
    <n v="1100"/>
    <n v="1100"/>
    <n v="3000"/>
    <n v="3000"/>
    <n v="13700"/>
  </r>
  <r>
    <s v="L-ERP-233"/>
    <x v="458"/>
    <s v="Jajodia, Amit_MANAGED SERVICES_IT-FGS0301-OG-US-00"/>
    <s v="ERP"/>
    <s v="Patel, Apurva"/>
    <s v="Jajodia, Amit"/>
    <s v="Jajodia, Amit"/>
    <s v="Hase, Raj"/>
    <s v="Jajodia, Amit"/>
    <s v="DeHart, Lynn"/>
    <x v="7"/>
    <s v="Desktop on Demand (VDS)"/>
    <m/>
    <m/>
    <x v="101"/>
    <m/>
    <s v="N/A"/>
    <m/>
    <x v="3"/>
    <m/>
    <m/>
    <n v="0"/>
    <n v="3562"/>
    <m/>
    <m/>
    <n v="60"/>
    <n v="0"/>
    <n v="3502"/>
    <n v="0"/>
    <n v="0"/>
    <n v="60"/>
    <n v="0"/>
    <n v="0"/>
    <n v="0"/>
    <n v="0"/>
    <n v="0"/>
    <n v="0"/>
    <n v="3622"/>
    <n v="60"/>
    <n v="0"/>
    <n v="60"/>
    <n v="60"/>
    <m/>
    <n v="60"/>
    <m/>
    <n v="60"/>
    <n v="0"/>
    <n v="3502"/>
    <n v="0"/>
    <n v="0"/>
    <n v="0"/>
    <n v="0"/>
    <n v="0"/>
    <n v="0"/>
    <n v="0"/>
    <n v="0"/>
    <n v="0"/>
    <n v="3562"/>
    <n v="60"/>
    <n v="0"/>
    <n v="3502"/>
    <n v="0"/>
    <n v="0"/>
    <n v="0"/>
    <n v="0"/>
    <n v="0"/>
    <n v="0"/>
    <n v="0"/>
    <n v="0"/>
    <n v="0"/>
    <n v="3562"/>
  </r>
  <r>
    <s v="L-ERP-255"/>
    <x v="459"/>
    <s v="Jajodia, Amit_OTHER_Others001"/>
    <s v="ERP"/>
    <s v="Patel, Apurva"/>
    <s v="Jajodia, Amit"/>
    <s v="Jajodia, Amit"/>
    <s v="Hase, Raj"/>
    <s v="Jajodia, Amit"/>
    <s v="DeHart, Lynn"/>
    <x v="8"/>
    <s v="Other"/>
    <m/>
    <m/>
    <x v="35"/>
    <m/>
    <m/>
    <m/>
    <x v="7"/>
    <m/>
    <m/>
    <n v="0"/>
    <n v="414.36"/>
    <m/>
    <m/>
    <m/>
    <m/>
    <n v="414.36"/>
    <n v="0"/>
    <n v="0"/>
    <n v="0"/>
    <n v="0"/>
    <n v="0"/>
    <n v="0"/>
    <n v="0"/>
    <n v="0"/>
    <n v="0"/>
    <n v="414.36"/>
    <n v="0"/>
    <n v="0"/>
    <n v="0"/>
    <n v="0"/>
    <m/>
    <n v="0"/>
    <m/>
    <m/>
    <m/>
    <n v="414.36"/>
    <n v="0"/>
    <n v="0"/>
    <n v="0"/>
    <n v="0"/>
    <n v="0"/>
    <n v="0"/>
    <n v="0"/>
    <n v="0"/>
    <n v="0"/>
    <n v="414.36"/>
    <m/>
    <m/>
    <n v="414.36"/>
    <n v="0"/>
    <n v="0"/>
    <n v="0"/>
    <n v="0"/>
    <n v="0"/>
    <n v="0"/>
    <n v="0"/>
    <n v="0"/>
    <n v="0"/>
    <n v="414.36"/>
  </r>
  <r>
    <s v="L-ERP-256"/>
    <x v="460"/>
    <s v="Jajodia, Amit_RENT AND UTILITIES_KM_CompanyCar001"/>
    <s v="ERP"/>
    <s v="Patel, Apurva"/>
    <s v="Jajodia, Amit"/>
    <s v="Jajodia, Amit"/>
    <s v="Hase, Raj"/>
    <s v="Jajodia, Amit"/>
    <s v="DeHart, Lynn"/>
    <x v="10"/>
    <s v="Company Car - Canada - Jean Francois Bouthillier (vehicle number on Fleet Billing) 23227"/>
    <m/>
    <m/>
    <x v="321"/>
    <m/>
    <m/>
    <m/>
    <x v="57"/>
    <m/>
    <m/>
    <n v="17000"/>
    <n v="15576.84"/>
    <m/>
    <m/>
    <m/>
    <n v="1512.59"/>
    <n v="814.25"/>
    <s v=""/>
    <n v="0"/>
    <n v="0"/>
    <n v="1500"/>
    <n v="1500"/>
    <n v="1500"/>
    <n v="1500"/>
    <n v="1500"/>
    <n v="1500"/>
    <n v="11326.84"/>
    <n v="-4250"/>
    <n v="1500"/>
    <n v="-1500"/>
    <n v="-4250"/>
    <m/>
    <n v="-4250"/>
    <m/>
    <m/>
    <n v="1512.59"/>
    <n v="814.25"/>
    <n v="1250"/>
    <n v="1500"/>
    <n v="1500"/>
    <n v="1500"/>
    <n v="1500"/>
    <n v="1500"/>
    <n v="1500"/>
    <n v="1500"/>
    <n v="1500"/>
    <n v="15576.84"/>
    <m/>
    <n v="1512.59"/>
    <n v="814.25"/>
    <n v="1250"/>
    <n v="1500"/>
    <n v="1500"/>
    <n v="1500"/>
    <n v="1500"/>
    <n v="1500"/>
    <n v="1500"/>
    <n v="1500"/>
    <n v="1500"/>
    <n v="15576.84"/>
  </r>
  <r>
    <s v="L-ERP-249"/>
    <x v="461"/>
    <s v="Jajodia, Amit_RENT AND UTILITIES_MISC001"/>
    <s v="ERP"/>
    <s v="Patel, Apurva"/>
    <s v="Jajodia, Amit"/>
    <s v="Jajodia, Amit"/>
    <s v="Hase, Raj"/>
    <s v="Jajodia, Amit"/>
    <s v="DeHart, Lynn"/>
    <x v="10"/>
    <s v="Miscellaneous Charges"/>
    <m/>
    <m/>
    <x v="54"/>
    <m/>
    <m/>
    <m/>
    <x v="0"/>
    <m/>
    <m/>
    <n v="0"/>
    <n v="1.999999999999999E-2"/>
    <m/>
    <m/>
    <m/>
    <n v="0.21"/>
    <n v="-0.19"/>
    <n v="0"/>
    <n v="2430.29"/>
    <n v="1250.79"/>
    <n v="0"/>
    <n v="0"/>
    <n v="0"/>
    <n v="0"/>
    <n v="0"/>
    <n v="0"/>
    <n v="3681.1"/>
    <n v="3681.08"/>
    <n v="0"/>
    <n v="1250.79"/>
    <n v="3681.08"/>
    <m/>
    <n v="3681.08"/>
    <m/>
    <m/>
    <n v="0.21"/>
    <n v="-0.19"/>
    <n v="0"/>
    <n v="0"/>
    <n v="0"/>
    <n v="0"/>
    <n v="0"/>
    <n v="0"/>
    <n v="0"/>
    <n v="0"/>
    <n v="0"/>
    <n v="1.999999999999999E-2"/>
    <m/>
    <n v="0.21"/>
    <n v="-0.19"/>
    <n v="0"/>
    <n v="0"/>
    <n v="0"/>
    <n v="0"/>
    <n v="0"/>
    <n v="0"/>
    <n v="0"/>
    <n v="0"/>
    <n v="0"/>
    <n v="1.999999999999999E-2"/>
  </r>
  <r>
    <s v="L-ERP-228"/>
    <x v="462"/>
    <s v="Jajodia, Amit_SOFTWARE_2026-XFR-0032-A"/>
    <s v="ERP"/>
    <s v="Patel, Apurva"/>
    <s v="Jajodia, Amit"/>
    <s v="Jajodia, Amit"/>
    <s v="Hase, Raj"/>
    <s v="Jajodia, Amit"/>
    <s v="DeHart, Lynn"/>
    <x v="9"/>
    <s v="SAP Extended Warehouse Management for Vizag - SAP EWM (advanced Licenses) Need starting 2026"/>
    <m/>
    <m/>
    <x v="322"/>
    <m/>
    <m/>
    <m/>
    <x v="12"/>
    <m/>
    <m/>
    <n v="18000"/>
    <n v="13500"/>
    <m/>
    <m/>
    <m/>
    <m/>
    <m/>
    <s v=""/>
    <n v="0"/>
    <n v="0"/>
    <n v="1500"/>
    <n v="1500"/>
    <n v="1500"/>
    <n v="1500"/>
    <n v="1500"/>
    <n v="1500"/>
    <n v="9000"/>
    <n v="-4500"/>
    <n v="5000"/>
    <n v="-5000"/>
    <n v="-4500"/>
    <m/>
    <n v="-4500"/>
    <m/>
    <m/>
    <m/>
    <m/>
    <n v="1500"/>
    <n v="1500"/>
    <n v="1500"/>
    <n v="1500"/>
    <n v="1500"/>
    <n v="1500"/>
    <n v="1500"/>
    <n v="1500"/>
    <n v="1500"/>
    <n v="13500"/>
    <m/>
    <m/>
    <m/>
    <n v="1500"/>
    <n v="1500"/>
    <n v="1500"/>
    <n v="1500"/>
    <n v="1500"/>
    <n v="1500"/>
    <n v="1500"/>
    <n v="1500"/>
    <n v="1500"/>
    <n v="13500"/>
  </r>
  <r>
    <s v="ERP-042"/>
    <x v="463"/>
    <s v="Jajodia, Amit_SOFTWARE_EnhanceChargeout001"/>
    <s v="ERP"/>
    <s v="Patel, Apurva"/>
    <s v="Jajodia, Amit"/>
    <s v="Jajodia, Amit"/>
    <s v="Hase, Raj"/>
    <s v="Jajodia, Amit"/>
    <s v="Jajodia, Amit"/>
    <x v="9"/>
    <s v="DIGITAL-COPILOT"/>
    <m/>
    <s v="2329901"/>
    <x v="1"/>
    <m/>
    <m/>
    <m/>
    <x v="2"/>
    <m/>
    <m/>
    <m/>
    <m/>
    <m/>
    <m/>
    <m/>
    <m/>
    <m/>
    <m/>
    <n v="227"/>
    <n v="0"/>
    <m/>
    <m/>
    <m/>
    <m/>
    <m/>
    <m/>
    <n v="227"/>
    <n v="227"/>
    <m/>
    <n v="0"/>
    <n v="227"/>
    <m/>
    <n v="227"/>
    <m/>
    <m/>
    <m/>
    <m/>
    <m/>
    <m/>
    <m/>
    <m/>
    <m/>
    <m/>
    <m/>
    <m/>
    <m/>
    <m/>
    <m/>
    <m/>
    <m/>
    <m/>
    <m/>
    <m/>
    <m/>
    <m/>
    <m/>
    <m/>
    <m/>
    <m/>
    <m/>
  </r>
  <r>
    <s v="L-ERP-229"/>
    <x v="464"/>
    <s v="Jajodia, Amit_SOFTWARE_IT-FGS0300-SW-US-00"/>
    <s v="ERP"/>
    <s v="Patel, Apurva"/>
    <s v="Jajodia, Amit"/>
    <s v="Jajodia, Amit"/>
    <s v="Hase, Raj"/>
    <s v="Jajodia, Amit"/>
    <s v="DeHart, Lynn"/>
    <x v="9"/>
    <s v="Microsoft Copilot Licenses"/>
    <m/>
    <m/>
    <x v="127"/>
    <m/>
    <s v="N/A"/>
    <m/>
    <x v="27"/>
    <m/>
    <m/>
    <n v="0"/>
    <n v="218.38"/>
    <m/>
    <m/>
    <m/>
    <m/>
    <n v="218.38"/>
    <n v="0"/>
    <n v="0"/>
    <n v="0"/>
    <n v="0"/>
    <n v="0"/>
    <n v="0"/>
    <n v="0"/>
    <n v="0"/>
    <n v="0"/>
    <n v="218.38"/>
    <n v="0"/>
    <n v="0"/>
    <n v="0"/>
    <n v="0"/>
    <m/>
    <n v="0"/>
    <m/>
    <m/>
    <m/>
    <n v="218.38"/>
    <n v="0"/>
    <n v="0"/>
    <n v="0"/>
    <n v="0"/>
    <n v="0"/>
    <n v="0"/>
    <n v="0"/>
    <n v="0"/>
    <n v="0"/>
    <n v="218.38"/>
    <m/>
    <m/>
    <n v="218.38"/>
    <n v="0"/>
    <n v="0"/>
    <n v="0"/>
    <n v="0"/>
    <n v="0"/>
    <n v="0"/>
    <n v="0"/>
    <n v="0"/>
    <n v="0"/>
    <n v="218.38"/>
  </r>
  <r>
    <s v="ERP-043"/>
    <x v="465"/>
    <s v="Jajodia, Amit_SOFTWARE_IT-FGS0302-SW-US-00"/>
    <s v="ERP"/>
    <s v="Patel, Apurva"/>
    <s v="Jajodia, Amit"/>
    <s v="Jajodia, Amit"/>
    <s v="Hase, Raj"/>
    <s v="Jajodia, Amit"/>
    <s v="Jajodia, Amit"/>
    <x v="9"/>
    <s v="DIGITAL-M365"/>
    <m/>
    <s v="1639002"/>
    <x v="128"/>
    <m/>
    <m/>
    <m/>
    <x v="2"/>
    <m/>
    <m/>
    <m/>
    <m/>
    <m/>
    <m/>
    <m/>
    <m/>
    <m/>
    <m/>
    <n v="417.44"/>
    <n v="0"/>
    <m/>
    <m/>
    <m/>
    <m/>
    <m/>
    <m/>
    <n v="417.44"/>
    <n v="417.44"/>
    <m/>
    <n v="0"/>
    <n v="417.44"/>
    <m/>
    <n v="417.44"/>
    <m/>
    <m/>
    <m/>
    <m/>
    <m/>
    <m/>
    <m/>
    <m/>
    <m/>
    <m/>
    <m/>
    <m/>
    <m/>
    <m/>
    <m/>
    <m/>
    <m/>
    <m/>
    <m/>
    <m/>
    <m/>
    <m/>
    <m/>
    <m/>
    <m/>
    <m/>
    <m/>
  </r>
  <r>
    <s v="L-ERP-230"/>
    <x v="466"/>
    <s v="Jajodia, Amit_SOFTWARE_IT-SFT1194-86-OG-US"/>
    <s v="ERP"/>
    <s v="Patel, Apurva"/>
    <s v="Jajodia, Amit"/>
    <s v="Jajodia, Amit"/>
    <s v="Hase, Raj"/>
    <s v="Jajodia, Amit"/>
    <s v="DeHart, Lynn"/>
    <x v="9"/>
    <s v="DevSecOps"/>
    <m/>
    <m/>
    <x v="190"/>
    <m/>
    <s v="N/A"/>
    <m/>
    <x v="40"/>
    <m/>
    <m/>
    <n v="8000"/>
    <n v="17389.7"/>
    <m/>
    <m/>
    <m/>
    <m/>
    <n v="11389.7"/>
    <n v="0"/>
    <n v="0"/>
    <n v="8531.9"/>
    <n v="0"/>
    <n v="0"/>
    <n v="2000"/>
    <n v="0"/>
    <n v="2000"/>
    <n v="0"/>
    <n v="23921.599999999999"/>
    <n v="6531.8999999999978"/>
    <n v="0"/>
    <n v="8531.9"/>
    <n v="6531.8999999999978"/>
    <m/>
    <n v="6531.8999999999978"/>
    <m/>
    <m/>
    <m/>
    <n v="11389.7"/>
    <n v="0"/>
    <n v="0"/>
    <n v="2000"/>
    <n v="0"/>
    <n v="0"/>
    <n v="2000"/>
    <n v="0"/>
    <n v="2000"/>
    <n v="0"/>
    <n v="17389.7"/>
    <m/>
    <m/>
    <n v="11389.7"/>
    <n v="0"/>
    <n v="0"/>
    <n v="2000"/>
    <n v="0"/>
    <n v="0"/>
    <n v="2000"/>
    <n v="0"/>
    <n v="2000"/>
    <n v="0"/>
    <n v="17389.7"/>
  </r>
  <r>
    <s v="L-ERP-250"/>
    <x v="467"/>
    <s v="Jajodia, Amit_SOFTWARE_MISC001"/>
    <s v="ERP"/>
    <s v="Patel, Apurva"/>
    <s v="Jajodia, Amit"/>
    <s v="Jajodia, Amit"/>
    <s v="Hase, Raj"/>
    <s v="Jajodia, Amit"/>
    <s v="DeHart, Lynn"/>
    <x v="9"/>
    <s v="Miscellaneous Charges"/>
    <m/>
    <m/>
    <x v="54"/>
    <m/>
    <m/>
    <m/>
    <x v="0"/>
    <m/>
    <m/>
    <n v="0"/>
    <n v="0.63"/>
    <m/>
    <m/>
    <m/>
    <m/>
    <n v="0.63"/>
    <n v="0"/>
    <n v="-0.28000000000000003"/>
    <n v="0.1"/>
    <n v="0"/>
    <n v="0"/>
    <n v="0"/>
    <n v="0"/>
    <n v="0"/>
    <n v="0"/>
    <n v="0.44999999999999996"/>
    <n v="-0.18000000000000005"/>
    <n v="0"/>
    <n v="0.1"/>
    <n v="-0.18000000000000005"/>
    <m/>
    <n v="-0.18000000000000005"/>
    <m/>
    <m/>
    <m/>
    <n v="0.63"/>
    <n v="0"/>
    <n v="0"/>
    <n v="0"/>
    <n v="0"/>
    <n v="0"/>
    <n v="0"/>
    <n v="0"/>
    <n v="0"/>
    <n v="0"/>
    <n v="0.63"/>
    <m/>
    <m/>
    <n v="0.63"/>
    <n v="0"/>
    <n v="0"/>
    <n v="0"/>
    <n v="0"/>
    <n v="0"/>
    <n v="0"/>
    <n v="0"/>
    <n v="0"/>
    <n v="0"/>
    <n v="0.63"/>
  </r>
  <r>
    <s v="L-ERP-433"/>
    <x v="468"/>
    <s v="McGettigan, David_CONTRACTORS_CC-BTF25001-02-EX"/>
    <s v="ERP"/>
    <s v="Patel, Apurva"/>
    <s v="Patel, Apurva"/>
    <s v="Patel, Apurva"/>
    <s v="McGettigan, David"/>
    <s v="McGettigan, David"/>
    <s v="Jerome Robertson"/>
    <x v="0"/>
    <s v="P323-0011535 - SAP BW/4HANA Upgrade"/>
    <m/>
    <s v="9501157002"/>
    <x v="323"/>
    <m/>
    <m/>
    <m/>
    <x v="1"/>
    <m/>
    <m/>
    <n v="0"/>
    <n v="823483"/>
    <m/>
    <m/>
    <m/>
    <m/>
    <n v="110350.46"/>
    <n v="184516.84999999998"/>
    <n v="-60761.06"/>
    <n v="93499.999999999985"/>
    <n v="71600"/>
    <n v="77000"/>
    <n v="111600"/>
    <n v="61600"/>
    <n v="77000"/>
    <n v="71600"/>
    <n v="798006.25"/>
    <n v="-25476.75"/>
    <n v="-28062.46"/>
    <n v="121562.45999999999"/>
    <n v="-30936.75"/>
    <m/>
    <n v="-25476.75"/>
    <m/>
    <m/>
    <m/>
    <n v="110350.46"/>
    <n v="183665"/>
    <n v="-28062.46"/>
    <n v="92590"/>
    <n v="70690"/>
    <n v="76090"/>
    <n v="110690"/>
    <n v="60690"/>
    <n v="76090"/>
    <n v="70690"/>
    <n v="823483"/>
    <m/>
    <m/>
    <n v="110350.46"/>
    <n v="95789"/>
    <n v="102589"/>
    <n v="121289"/>
    <n v="121389"/>
    <n v="101000"/>
    <n v="98422"/>
    <n v="129000"/>
    <n v="66600"/>
    <n v="63668"/>
    <n v="1010096.46"/>
  </r>
  <r>
    <s v="L-ERP-434"/>
    <x v="469"/>
    <s v="McGettigan, David_CONTRACTORS_CE-BTF22001-02-EX"/>
    <s v="ERP"/>
    <s v="Patel, Apurva"/>
    <s v="Patel, Apurva"/>
    <s v="Patel, Apurva"/>
    <s v="McGettigan, David"/>
    <s v="McGettigan, David"/>
    <s v="McGettigan, David"/>
    <x v="0"/>
    <s v="SAP / S4 HANA"/>
    <m/>
    <m/>
    <x v="270"/>
    <s v="CHW - Ok"/>
    <m/>
    <m/>
    <x v="50"/>
    <m/>
    <m/>
    <n v="1080865"/>
    <n v="1057129.56"/>
    <m/>
    <m/>
    <m/>
    <m/>
    <n v="250144.68"/>
    <n v="54863.060000000005"/>
    <n v="179345.82"/>
    <n v="111181.9"/>
    <n v="64574"/>
    <n v="93010"/>
    <n v="93010"/>
    <n v="93010"/>
    <n v="93010"/>
    <n v="85636"/>
    <n v="1117785.46"/>
    <n v="60655.899999999907"/>
    <n v="103425.82"/>
    <n v="7756.0799999999872"/>
    <n v="89091.899999999965"/>
    <m/>
    <n v="60655.899999999907"/>
    <m/>
    <m/>
    <m/>
    <n v="250144.68"/>
    <n v="54863.060000000005"/>
    <n v="103425.82"/>
    <n v="98010"/>
    <n v="93010"/>
    <n v="93010"/>
    <n v="93010"/>
    <n v="93010"/>
    <n v="93010"/>
    <n v="85636"/>
    <n v="1057129.56"/>
    <m/>
    <m/>
    <n v="250144.68"/>
    <n v="100000"/>
    <n v="100000"/>
    <n v="101635"/>
    <n v="100000"/>
    <n v="100000"/>
    <n v="100000"/>
    <n v="100000"/>
    <n v="100000"/>
    <n v="80033"/>
    <n v="1131812.68"/>
  </r>
  <r>
    <s v="L-ERP-429"/>
    <x v="470"/>
    <s v="McGettigan, David_CONTRACTORS_CE-BTF24000-02-EX"/>
    <s v="ERP"/>
    <s v="Patel, Apurva"/>
    <s v="Patel, Apurva"/>
    <s v="Patel, Apurva"/>
    <s v="McGettigan, David"/>
    <s v="McGettigan, David"/>
    <s v="McGettigan, David"/>
    <x v="0"/>
    <s v="SAP ERP - 2024 Lifecycle Management Projects (P323-0010999)"/>
    <m/>
    <m/>
    <x v="324"/>
    <m/>
    <m/>
    <m/>
    <x v="1"/>
    <m/>
    <m/>
    <n v="270062"/>
    <n v="100070"/>
    <m/>
    <m/>
    <m/>
    <m/>
    <m/>
    <s v=""/>
    <n v="0"/>
    <n v="0"/>
    <n v="0"/>
    <n v="5000"/>
    <n v="24000"/>
    <n v="71070"/>
    <n v="0"/>
    <n v="0"/>
    <n v="100070"/>
    <n v="0"/>
    <n v="0"/>
    <n v="0"/>
    <n v="0"/>
    <m/>
    <n v="0"/>
    <m/>
    <m/>
    <m/>
    <m/>
    <n v="0"/>
    <n v="0"/>
    <n v="0"/>
    <n v="0"/>
    <n v="5000"/>
    <n v="24000"/>
    <n v="71070"/>
    <n v="0"/>
    <n v="0"/>
    <n v="100070"/>
    <m/>
    <m/>
    <m/>
    <m/>
    <n v="67296"/>
    <n v="67296"/>
    <n v="0"/>
    <n v="135470"/>
    <n v="0"/>
    <n v="0"/>
    <n v="0"/>
    <n v="0"/>
    <n v="270062"/>
  </r>
  <r>
    <s v="L-ERP-494"/>
    <x v="471"/>
    <s v="Robertson, Jerome_COMPENSATION_CompBenefits001"/>
    <s v="ERP"/>
    <s v="Patel, Apurva"/>
    <s v="Robertson, Jerome"/>
    <s v="Robertson, Jerome"/>
    <s v="Robertson, Jerome"/>
    <s v="Robertson, Jerome"/>
    <s v="Robertson, Jerome"/>
    <x v="2"/>
    <s v="Benefits"/>
    <m/>
    <m/>
    <x v="3"/>
    <s v="CHW - Ok"/>
    <s v="N/A"/>
    <m/>
    <x v="0"/>
    <m/>
    <m/>
    <n v="763217.94999999984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60869.22"/>
    <n v="66348.7"/>
    <n v="65556.320000000007"/>
    <n v="66648.33"/>
    <n v="58804.22"/>
    <n v="58804.22"/>
    <n v="58804.22"/>
    <n v="66557.960000000006"/>
    <n v="66703.34"/>
    <n v="66703.34"/>
    <n v="66703.34"/>
    <n v="66703.34"/>
    <n v="769206.54999999993"/>
  </r>
  <r>
    <s v="L-ERP-495"/>
    <x v="472"/>
    <s v="Robertson, Jerome_COMPENSATION_CompBonus001"/>
    <s v="ERP"/>
    <s v="Patel, Apurva"/>
    <s v="Robertson, Jerome"/>
    <s v="Robertson, Jerome"/>
    <s v="Robertson, Jerome"/>
    <s v="Robertson, Jerome"/>
    <s v="Robertson, Jerome"/>
    <x v="2"/>
    <s v="Bonus"/>
    <m/>
    <m/>
    <x v="4"/>
    <s v="CHW - Ok"/>
    <s v="N/A"/>
    <m/>
    <x v="0"/>
    <m/>
    <m/>
    <n v="355072.04000000004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27497.84"/>
    <n v="27805.69"/>
    <n v="37986.93"/>
    <n v="30575.919999999998"/>
    <n v="26871.200000000001"/>
    <n v="26871.200000000001"/>
    <n v="26871.200000000001"/>
    <n v="31487.49"/>
    <n v="31751.82"/>
    <n v="31751.82"/>
    <n v="31751.82"/>
    <n v="31751.82"/>
    <n v="362974.75"/>
  </r>
  <r>
    <s v="L-ERP-496"/>
    <x v="473"/>
    <s v="Robertson, Jerome_COMPENSATION_CompSalary001"/>
    <s v="ERP"/>
    <s v="Patel, Apurva"/>
    <s v="Robertson, Jerome"/>
    <s v="Robertson, Jerome"/>
    <s v="Robertson, Jerome"/>
    <s v="Robertson, Jerome"/>
    <s v="Robertson, Jerome"/>
    <x v="2"/>
    <s v="Salary"/>
    <m/>
    <m/>
    <x v="55"/>
    <s v="CHW - Ok"/>
    <s v="N/A"/>
    <m/>
    <x v="0"/>
    <m/>
    <m/>
    <n v="2029390.9400000004"/>
    <n v="3060870.8486933634"/>
    <m/>
    <m/>
    <n v="238474.06999999998"/>
    <n v="255306.30000000005"/>
    <n v="190399.43"/>
    <n v="293204.89"/>
    <n v="312206.57999999996"/>
    <n v="165290.4"/>
    <n v="239240.83906981352"/>
    <n v="265188.32548648014"/>
    <n v="265188.32548648014"/>
    <n v="278462.33017032093"/>
    <n v="278462.33017032093"/>
    <n v="278462.33017032093"/>
    <n v="3059886.1505537364"/>
    <n v="-984.69813962699845"/>
    <n v="239240.83906981352"/>
    <n v="-73950.439069813525"/>
    <n v="-984.69813962723128"/>
    <m/>
    <n v="-984.69813962699845"/>
    <m/>
    <n v="238474.06999999998"/>
    <n v="255306.30000000005"/>
    <n v="190399.43"/>
    <n v="293204.89"/>
    <n v="239240.83906981352"/>
    <n v="239240.83906981352"/>
    <n v="239240.83906981352"/>
    <n v="265188.32548648014"/>
    <n v="265188.32548648014"/>
    <n v="278462.33017032093"/>
    <n v="278462.33017032093"/>
    <n v="278462.33017032093"/>
    <n v="3060870.8486933634"/>
    <n v="150107.01"/>
    <n v="161151.91"/>
    <n v="86856.18"/>
    <n v="173603.4"/>
    <n v="155785.32"/>
    <n v="155785.32"/>
    <n v="155785.32"/>
    <n v="180905.4"/>
    <n v="182227.08"/>
    <n v="182227.08"/>
    <n v="182227.08"/>
    <n v="182227.08"/>
    <n v="1948888.1800000004"/>
  </r>
  <r>
    <s v="N-ERP-603"/>
    <x v="474"/>
    <s v="McGettigan, David_CONTRACTORS_CE-BTF24002-02-EX"/>
    <s v="ERP"/>
    <s v="Patel, Apurva"/>
    <s v="Patel, Apurva"/>
    <s v="Patel, Apurva"/>
    <s v="McGettigan, David"/>
    <s v="McGettigan, David"/>
    <s v="McGettigan, David"/>
    <x v="0"/>
    <s v="SAP GTS Upgrade"/>
    <m/>
    <m/>
    <x v="325"/>
    <m/>
    <m/>
    <m/>
    <x v="1"/>
    <s v="4/28/26 CHW New add to tie-out 0223 to 0317 Planful Extracts"/>
    <m/>
    <n v="490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900"/>
    <n v="0"/>
    <n v="0"/>
    <n v="0"/>
    <n v="0"/>
    <n v="0"/>
    <n v="0"/>
    <n v="0"/>
    <n v="0"/>
    <n v="0"/>
    <n v="0"/>
    <n v="0"/>
    <n v="4900"/>
  </r>
  <r>
    <s v="L-ERP-424"/>
    <x v="475"/>
    <s v="McGettigan, David_CONTRACTORS_CE-BTF24003-02-EX"/>
    <s v="ERP"/>
    <s v="Patel, Apurva"/>
    <s v="Patel, Apurva"/>
    <s v="Patel, Apurva"/>
    <s v="McGettigan, David"/>
    <s v="McGettigan, David"/>
    <s v="McGettigan, David"/>
    <x v="0"/>
    <s v="SAP ERP - 2025 Lifecycle Management Projects (P324-0013058)"/>
    <m/>
    <m/>
    <x v="326"/>
    <m/>
    <m/>
    <m/>
    <x v="1"/>
    <m/>
    <m/>
    <n v="96677"/>
    <n v="96677"/>
    <m/>
    <m/>
    <m/>
    <m/>
    <n v="-1032"/>
    <n v="0"/>
    <n v="0"/>
    <n v="0"/>
    <n v="100"/>
    <n v="250"/>
    <n v="76422"/>
    <n v="250"/>
    <n v="10290"/>
    <n v="10297"/>
    <n v="96577"/>
    <n v="-100"/>
    <n v="0"/>
    <n v="0"/>
    <n v="-100"/>
    <m/>
    <n v="-100"/>
    <m/>
    <m/>
    <m/>
    <n v="-1032"/>
    <n v="0"/>
    <n v="0"/>
    <n v="100"/>
    <n v="100"/>
    <n v="250"/>
    <n v="76422"/>
    <n v="250"/>
    <n v="10290"/>
    <n v="10297"/>
    <n v="96677"/>
    <m/>
    <m/>
    <n v="-1032"/>
    <n v="-19688"/>
    <n v="25767"/>
    <n v="31112"/>
    <n v="0"/>
    <n v="10040"/>
    <n v="5023"/>
    <n v="0"/>
    <n v="0"/>
    <n v="0"/>
    <n v="51222"/>
  </r>
  <r>
    <s v="L-ERP-420"/>
    <x v="476"/>
    <s v="McGettigan, David_CONTRACTORS_CE-BTF26000-02-EX"/>
    <s v="ERP"/>
    <s v="Patel, Apurva"/>
    <s v="Patel, Apurva"/>
    <s v="Patel, Apurva"/>
    <s v="McGettigan, David"/>
    <s v="McGettigan, David"/>
    <s v="McGettigan, David"/>
    <x v="0"/>
    <s v="SAP ERP - 2026 Lifecycle Management"/>
    <m/>
    <m/>
    <x v="327"/>
    <m/>
    <m/>
    <m/>
    <x v="1"/>
    <m/>
    <m/>
    <n v="49920"/>
    <n v="37752"/>
    <m/>
    <m/>
    <m/>
    <m/>
    <m/>
    <s v=""/>
    <n v="0"/>
    <n v="0"/>
    <n v="7550"/>
    <n v="9060"/>
    <n v="9060"/>
    <n v="0"/>
    <n v="6040"/>
    <n v="6042"/>
    <n v="37752"/>
    <n v="0"/>
    <n v="0"/>
    <n v="0"/>
    <n v="0"/>
    <m/>
    <n v="0"/>
    <m/>
    <m/>
    <m/>
    <m/>
    <n v="0"/>
    <n v="0"/>
    <n v="0"/>
    <n v="7550"/>
    <n v="9060"/>
    <n v="9060"/>
    <n v="0"/>
    <n v="6040"/>
    <n v="6042"/>
    <n v="37752"/>
    <m/>
    <m/>
    <m/>
    <n v="2500"/>
    <n v="2500"/>
    <n v="10050"/>
    <n v="17644"/>
    <n v="17644"/>
    <n v="8540"/>
    <n v="6042"/>
    <n v="0"/>
    <n v="-40000"/>
    <n v="24920"/>
  </r>
  <r>
    <s v="L-ERP-418"/>
    <x v="477"/>
    <s v="McGettigan, David_CONTRACTORS_EP&amp;SCharges001"/>
    <s v="ERP"/>
    <s v="Patel, Apurva"/>
    <s v="Patel, Apurva"/>
    <s v="Patel, Apurva"/>
    <s v="McGettigan, David"/>
    <s v="McGettigan, David"/>
    <s v="McGettigan, David"/>
    <x v="0"/>
    <s v="Infrastructure Billing Charges"/>
    <m/>
    <m/>
    <x v="6"/>
    <m/>
    <s v="N/A"/>
    <m/>
    <x v="3"/>
    <m/>
    <m/>
    <n v="0"/>
    <n v="13071.14"/>
    <m/>
    <m/>
    <n v="5323.5"/>
    <n v="2811.9"/>
    <n v="4935.74"/>
    <n v="5810.54"/>
    <n v="6233.85"/>
    <n v="6212.75"/>
    <n v="0"/>
    <n v="0"/>
    <n v="0"/>
    <n v="0"/>
    <n v="0"/>
    <n v="0"/>
    <n v="31328.28"/>
    <n v="18257.14"/>
    <n v="0"/>
    <n v="6212.75"/>
    <n v="18257.14"/>
    <m/>
    <n v="18257.14"/>
    <m/>
    <n v="5323.5"/>
    <n v="2811.9"/>
    <n v="4935.74"/>
    <n v="0"/>
    <n v="0"/>
    <n v="0"/>
    <n v="0"/>
    <n v="0"/>
    <n v="0"/>
    <n v="0"/>
    <n v="0"/>
    <n v="0"/>
    <n v="13071.14"/>
    <n v="5323.5"/>
    <n v="2811.9"/>
    <n v="4935.74"/>
    <n v="0"/>
    <n v="0"/>
    <n v="0"/>
    <n v="0"/>
    <n v="0"/>
    <n v="0"/>
    <n v="0"/>
    <n v="0"/>
    <n v="0"/>
    <n v="13071.14"/>
  </r>
  <r>
    <s v="L-ERP-425"/>
    <x v="478"/>
    <s v="McGettigan, David_CONTRACTORS_ERP_Digital Funded Project_002"/>
    <s v="ERP"/>
    <s v="Patel, Apurva"/>
    <s v="Patel, Apurva"/>
    <s v="Patel, Apurva"/>
    <s v="McGettigan, David"/>
    <s v="McGettigan, David"/>
    <s v="McGettigan, David"/>
    <x v="0"/>
    <s v="Accord Remediation - Access Certification in SailPoint"/>
    <m/>
    <m/>
    <x v="328"/>
    <m/>
    <s v="N/A"/>
    <m/>
    <x v="1"/>
    <m/>
    <m/>
    <n v="100000"/>
    <n v="100000"/>
    <m/>
    <m/>
    <m/>
    <m/>
    <m/>
    <s v=""/>
    <n v="0"/>
    <n v="0"/>
    <n v="25000"/>
    <n v="25000"/>
    <n v="25000"/>
    <n v="0"/>
    <n v="0"/>
    <n v="0"/>
    <n v="75000"/>
    <n v="-25000"/>
    <n v="25000"/>
    <n v="-25000"/>
    <n v="-75000"/>
    <m/>
    <n v="-25000"/>
    <m/>
    <m/>
    <m/>
    <m/>
    <n v="25000"/>
    <n v="25000"/>
    <n v="25000"/>
    <n v="25000"/>
    <n v="0"/>
    <n v="0"/>
    <n v="0"/>
    <n v="0"/>
    <n v="0"/>
    <n v="100000"/>
    <m/>
    <m/>
    <m/>
    <n v="25000"/>
    <n v="25000"/>
    <n v="25000"/>
    <n v="25000"/>
    <n v="0"/>
    <n v="0"/>
    <n v="0"/>
    <n v="0"/>
    <n v="0"/>
    <n v="100000"/>
  </r>
  <r>
    <s v="L-ERP-421"/>
    <x v="479"/>
    <s v="McGettigan, David_CONTRACTORS_ERP_DigitalFundedProject001"/>
    <s v="ERP"/>
    <s v="Patel, Apurva"/>
    <s v="Patel, Apurva"/>
    <s v="Patel, Apurva"/>
    <s v="McGettigan, David"/>
    <s v="McGettigan, David"/>
    <s v="McGettigan, David"/>
    <x v="0"/>
    <s v="VOX Remediation"/>
    <m/>
    <m/>
    <x v="329"/>
    <m/>
    <s v="N/A"/>
    <m/>
    <x v="1"/>
    <m/>
    <m/>
    <n v="45000"/>
    <n v="30000"/>
    <m/>
    <m/>
    <m/>
    <m/>
    <m/>
    <s v=""/>
    <n v="0"/>
    <n v="0"/>
    <n v="5000"/>
    <n v="5000"/>
    <n v="5000"/>
    <n v="5000"/>
    <n v="5000"/>
    <n v="5000"/>
    <n v="30000"/>
    <n v="0"/>
    <n v="15000"/>
    <n v="-15000"/>
    <n v="-30000"/>
    <m/>
    <n v="0"/>
    <m/>
    <m/>
    <m/>
    <m/>
    <n v="15000"/>
    <n v="15000"/>
    <n v="0"/>
    <n v="0"/>
    <n v="0"/>
    <n v="0"/>
    <n v="0"/>
    <n v="0"/>
    <n v="0"/>
    <n v="30000"/>
    <m/>
    <m/>
    <m/>
    <n v="15000"/>
    <n v="15000"/>
    <n v="0"/>
    <n v="0"/>
    <n v="0"/>
    <n v="0"/>
    <n v="0"/>
    <n v="0"/>
    <n v="0"/>
    <n v="30000"/>
  </r>
  <r>
    <s v="L-ERP-387"/>
    <x v="480"/>
    <s v="McGettigan, David_CONTRACTORS_ERP_ProjectQuantaME001"/>
    <s v="ERP"/>
    <s v="Patel, Apurva"/>
    <s v="Patel, Apurva"/>
    <s v="Patel, Apurva"/>
    <s v="McGettigan, David"/>
    <s v="McGettigan, David"/>
    <s v="McGettigan, David"/>
    <x v="0"/>
    <s v="Project Quanta ME"/>
    <m/>
    <m/>
    <x v="330"/>
    <m/>
    <s v="N/A"/>
    <m/>
    <x v="58"/>
    <s v="5/13/26 CHW - Removed this ME as reduction S/B covered across LT"/>
    <m/>
    <n v="-351124.00000199996"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m/>
    <m/>
    <m/>
    <n v="0"/>
    <n v="0"/>
    <n v="0"/>
    <n v="0"/>
    <n v="0"/>
    <n v="0"/>
    <n v="0"/>
    <m/>
    <m/>
    <m/>
    <m/>
    <m/>
    <m/>
    <n v="-58520.666666999998"/>
    <n v="-58520.666666999998"/>
    <n v="-58520.666666999998"/>
    <n v="-58520.666666999998"/>
    <n v="-58520.666666999998"/>
    <n v="-58520.666666999998"/>
    <n v="-351124.00000199996"/>
  </r>
  <r>
    <s v="ERP-035"/>
    <x v="481"/>
    <s v="DeHart, Lynn_CONTRACTORS_IT-CTR0034-OG-US-00"/>
    <s v="ERP"/>
    <s v="Patel, Apurva"/>
    <s v="Patel, Apurva"/>
    <s v="Patel, Apurva"/>
    <s v="Hase, Raj"/>
    <s v="DeHart, Lynn"/>
    <s v="DeHart, Lynn"/>
    <x v="0"/>
    <s v="Quality audit - SAP QM Offshore Consultant "/>
    <s v="IBM"/>
    <s v="2321399"/>
    <x v="314"/>
    <m/>
    <s v="9501273936"/>
    <m/>
    <x v="2"/>
    <m/>
    <m/>
    <m/>
    <m/>
    <m/>
    <m/>
    <m/>
    <m/>
    <m/>
    <m/>
    <m/>
    <n v="62153.7"/>
    <m/>
    <m/>
    <m/>
    <m/>
    <m/>
    <m/>
    <n v="62153.7"/>
    <n v="62153.7"/>
    <m/>
    <n v="62153.7"/>
    <n v="62153.7"/>
    <m/>
    <n v="62153.7"/>
    <m/>
    <m/>
    <m/>
    <m/>
    <m/>
    <m/>
    <m/>
    <m/>
    <m/>
    <m/>
    <m/>
    <m/>
    <m/>
    <m/>
    <m/>
    <m/>
    <m/>
    <m/>
    <m/>
    <m/>
    <m/>
    <m/>
    <m/>
    <m/>
    <m/>
    <m/>
    <m/>
  </r>
  <r>
    <s v="ERP-054"/>
    <x v="482"/>
    <s v="DeHart, Lynn_CONTRACTORS_IT-CTR0041-OG-US-00"/>
    <s v="ERP"/>
    <s v="Patel, Apurva"/>
    <s v="Patel, Apurva"/>
    <s v="Patel, Apurva"/>
    <s v="Hase, Raj"/>
    <s v="DeHart, Lynn"/>
    <s v="DeHart, Lynn"/>
    <x v="0"/>
    <m/>
    <m/>
    <m/>
    <x v="315"/>
    <m/>
    <m/>
    <m/>
    <x v="2"/>
    <m/>
    <m/>
    <m/>
    <m/>
    <m/>
    <m/>
    <m/>
    <m/>
    <m/>
    <m/>
    <m/>
    <n v="80877.63"/>
    <m/>
    <m/>
    <m/>
    <m/>
    <m/>
    <m/>
    <n v="80877.63"/>
    <n v="80877.63"/>
    <m/>
    <n v="80877.63"/>
    <n v="80877.63"/>
    <m/>
    <n v="80877.63"/>
    <m/>
    <m/>
    <m/>
    <m/>
    <m/>
    <m/>
    <m/>
    <m/>
    <m/>
    <m/>
    <m/>
    <m/>
    <m/>
    <m/>
    <m/>
    <m/>
    <m/>
    <m/>
    <m/>
    <m/>
    <m/>
    <m/>
    <m/>
    <m/>
    <m/>
    <m/>
    <m/>
  </r>
  <r>
    <s v="L-ERP-394"/>
    <x v="483"/>
    <s v="McGettigan, David_CONTRACTORS_IT-CTR0089-OG-US-00"/>
    <s v="ERP"/>
    <s v="Patel, Apurva"/>
    <s v="Patel, Apurva"/>
    <s v="Patel, Apurva"/>
    <s v="McGettigan, David"/>
    <s v="McGettigan, David"/>
    <s v="McGettigan, David"/>
    <x v="0"/>
    <s v="EPS200126_Accrual reversal as result Dell/EMC buyout 2321210 DM"/>
    <m/>
    <m/>
    <x v="331"/>
    <m/>
    <m/>
    <m/>
    <x v="59"/>
    <m/>
    <m/>
    <n v="0"/>
    <n v="0"/>
    <m/>
    <m/>
    <n v="-1104045.58"/>
    <n v="1104045.58"/>
    <m/>
    <n v="0"/>
    <n v="0"/>
    <n v="0"/>
    <m/>
    <m/>
    <m/>
    <m/>
    <m/>
    <m/>
    <n v="0"/>
    <n v="0"/>
    <m/>
    <n v="0"/>
    <n v="0"/>
    <m/>
    <n v="0"/>
    <m/>
    <n v="-1104045.58"/>
    <n v="1104045.58"/>
    <m/>
    <m/>
    <m/>
    <m/>
    <m/>
    <m/>
    <m/>
    <m/>
    <m/>
    <m/>
    <n v="0"/>
    <n v="-1104045.58"/>
    <n v="1104045.58"/>
    <m/>
    <m/>
    <m/>
    <m/>
    <m/>
    <m/>
    <m/>
    <m/>
    <m/>
    <m/>
    <n v="0"/>
  </r>
  <r>
    <s v="L-ERP-423"/>
    <x v="484"/>
    <s v="McGettigan, David_CONTRACTORS_IT-CTR0124-OT-US-00"/>
    <s v="ERP"/>
    <s v="Patel, Apurva"/>
    <s v="Patel, Apurva"/>
    <s v="Patel, Apurva"/>
    <s v="McGettigan, David"/>
    <s v="McGettigan, David"/>
    <s v="McGettigan, David"/>
    <x v="0"/>
    <s v="Executive Coaching for LT"/>
    <m/>
    <s v="2321210"/>
    <x v="332"/>
    <m/>
    <s v="Multiple"/>
    <m/>
    <x v="0"/>
    <m/>
    <m/>
    <n v="0"/>
    <n v="50489.729999999996"/>
    <m/>
    <m/>
    <m/>
    <n v="38877.699999999997"/>
    <n v="11612.03"/>
    <n v="17061.96"/>
    <n v="5873.3499999999995"/>
    <n v="-6492.8099999999995"/>
    <n v="0"/>
    <n v="0"/>
    <n v="0"/>
    <n v="0"/>
    <n v="0"/>
    <n v="0"/>
    <n v="66932.23000000001"/>
    <n v="16442.500000000015"/>
    <n v="0"/>
    <n v="-6492.8099999999995"/>
    <n v="16442.500000000015"/>
    <m/>
    <n v="16442.500000000015"/>
    <m/>
    <m/>
    <n v="38877.699999999997"/>
    <n v="11612.03"/>
    <n v="0"/>
    <n v="0"/>
    <n v="0"/>
    <n v="0"/>
    <n v="0"/>
    <n v="0"/>
    <n v="0"/>
    <n v="0"/>
    <n v="0"/>
    <n v="50489.729999999996"/>
    <m/>
    <n v="38877.699999999997"/>
    <n v="11612.03"/>
    <n v="0"/>
    <n v="0"/>
    <n v="0"/>
    <n v="0"/>
    <n v="0"/>
    <n v="0"/>
    <n v="0"/>
    <n v="0"/>
    <n v="0"/>
    <n v="50489.729999999996"/>
  </r>
  <r>
    <s v="L-ERP-383"/>
    <x v="485"/>
    <s v="McGettigan, David_CONTRACTORS_IT-FBT0748-OT-US-00"/>
    <s v="ERP"/>
    <s v="Patel, Apurva"/>
    <s v="Patel, Apurva"/>
    <s v="Patel, Apurva"/>
    <s v="McGettigan, David"/>
    <s v="McGettigan, David"/>
    <s v="McGettigan, David"/>
    <x v="0"/>
    <s v="SAP / S4 HANA - reclass to Lidia"/>
    <m/>
    <m/>
    <x v="333"/>
    <m/>
    <m/>
    <m/>
    <x v="1"/>
    <m/>
    <m/>
    <n v="-1080865"/>
    <n v="-1080865"/>
    <m/>
    <m/>
    <m/>
    <m/>
    <n v="-180144.16"/>
    <n v="0"/>
    <n v="-270216.24"/>
    <n v="-90072.08"/>
    <n v="0"/>
    <n v="-180144"/>
    <n v="-90072"/>
    <n v="0"/>
    <n v="-180144"/>
    <n v="-90072.84"/>
    <n v="-1080865.32"/>
    <n v="-0.32000000006519258"/>
    <n v="-270216"/>
    <n v="180143.91999999998"/>
    <n v="-0.31999999994877726"/>
    <m/>
    <n v="-0.32000000006519258"/>
    <m/>
    <m/>
    <m/>
    <n v="-180144.16"/>
    <n v="0"/>
    <n v="-270216"/>
    <n v="-90072"/>
    <n v="0"/>
    <n v="-180144"/>
    <n v="-90072"/>
    <n v="0"/>
    <n v="-180144"/>
    <n v="-90072.84"/>
    <n v="-1080865"/>
    <m/>
    <m/>
    <n v="-180144.16"/>
    <n v="0"/>
    <n v="-180144.16"/>
    <n v="-90072.08"/>
    <n v="0"/>
    <n v="-180144.16"/>
    <n v="-90072.08"/>
    <n v="0"/>
    <n v="-180144.16"/>
    <n v="-90072.12"/>
    <n v="-990792.92"/>
  </r>
  <r>
    <s v="L-ERP-389"/>
    <x v="486"/>
    <s v="McGettigan, David_CONTRACTORS_IT-FBT0934-OT-US-00"/>
    <s v="ERP"/>
    <s v="Patel, Apurva"/>
    <s v="Patel, Apurva"/>
    <s v="Patel, Apurva"/>
    <s v="McGettigan, David"/>
    <s v="McGettigan, David"/>
    <s v="McGettigan, David"/>
    <x v="0"/>
    <s v="Digital C-TIES Marketing (2025)"/>
    <m/>
    <m/>
    <x v="334"/>
    <m/>
    <m/>
    <m/>
    <x v="60"/>
    <m/>
    <m/>
    <n v="-2578"/>
    <n v="-51385.37"/>
    <m/>
    <m/>
    <m/>
    <m/>
    <n v="-2578.37"/>
    <n v="0"/>
    <n v="0"/>
    <n v="0"/>
    <n v="0"/>
    <n v="0"/>
    <n v="0"/>
    <n v="0"/>
    <n v="0"/>
    <n v="0"/>
    <n v="-2578.37"/>
    <n v="48807"/>
    <n v="-48807"/>
    <n v="48807"/>
    <n v="48807"/>
    <m/>
    <n v="48807"/>
    <m/>
    <m/>
    <m/>
    <n v="-2578.37"/>
    <n v="0"/>
    <n v="-48807"/>
    <n v="0"/>
    <n v="0"/>
    <n v="0"/>
    <n v="0"/>
    <n v="0"/>
    <n v="0"/>
    <n v="0"/>
    <n v="-51385.37"/>
    <m/>
    <m/>
    <n v="-2578.37"/>
    <n v="0"/>
    <n v="0"/>
    <n v="0"/>
    <n v="0"/>
    <n v="0"/>
    <n v="0"/>
    <n v="0"/>
    <n v="0"/>
    <n v="0"/>
    <n v="-2578.37"/>
  </r>
  <r>
    <s v="N-ERP-604"/>
    <x v="487"/>
    <s v="McGettigan, David_CONTRACTORS_IT-FBT0992-OT-US-00"/>
    <s v="ERP"/>
    <s v="Patel, Apurva"/>
    <s v="Patel, Apurva"/>
    <s v="Patel, Apurva"/>
    <s v="McGettigan, David"/>
    <s v="McGettigan, David"/>
    <s v="McGettigan, David"/>
    <x v="0"/>
    <s v="P323-0011535-SAP BW4HANA Program"/>
    <m/>
    <m/>
    <x v="335"/>
    <m/>
    <m/>
    <m/>
    <x v="1"/>
    <s v="4/28/26 CHW New add to tie-out 0223 to 0317 Planful Extracts"/>
    <m/>
    <n v="1078625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63566"/>
    <n v="71261"/>
    <n v="89885"/>
    <n v="89885"/>
    <n v="134828"/>
    <n v="134828"/>
    <n v="134828"/>
    <n v="91283"/>
    <n v="89885"/>
    <n v="89885"/>
    <n v="44942"/>
    <n v="43549"/>
    <n v="1078625"/>
  </r>
  <r>
    <s v="N-ERP-605"/>
    <x v="488"/>
    <s v="McGettigan, David_CONTRACTORS_IT-FBT1017-OT-US-00"/>
    <s v="ERP"/>
    <s v="Patel, Apurva"/>
    <s v="Patel, Apurva"/>
    <s v="Patel, Apurva"/>
    <s v="McGettigan, David"/>
    <s v="McGettigan, David"/>
    <s v="McGettigan, David"/>
    <x v="0"/>
    <s v="xECM Functional Review &amp; Upgrade Assessment"/>
    <m/>
    <m/>
    <x v="336"/>
    <m/>
    <m/>
    <m/>
    <x v="1"/>
    <s v="4/28/26 CHW New add to tie-out 0223 to 0317 Planful Extracts"/>
    <m/>
    <n v="7850"/>
    <n v="0"/>
    <m/>
    <m/>
    <m/>
    <m/>
    <m/>
    <s v=""/>
    <n v="0"/>
    <n v="0"/>
    <n v="0"/>
    <n v="0"/>
    <n v="0"/>
    <n v="0"/>
    <n v="0"/>
    <m/>
    <n v="0"/>
    <n v="0"/>
    <n v="0"/>
    <n v="0"/>
    <n v="0"/>
    <m/>
    <n v="0"/>
    <m/>
    <m/>
    <m/>
    <m/>
    <n v="0"/>
    <n v="0"/>
    <n v="0"/>
    <n v="0"/>
    <n v="0"/>
    <n v="0"/>
    <n v="0"/>
    <n v="0"/>
    <m/>
    <n v="0"/>
    <n v="2090"/>
    <n v="0"/>
    <n v="0"/>
    <n v="0"/>
    <n v="0"/>
    <n v="0"/>
    <n v="0"/>
    <n v="0"/>
    <n v="0"/>
    <n v="0"/>
    <n v="0"/>
    <n v="5760"/>
    <n v="7850"/>
  </r>
  <r>
    <s v="ERP-045"/>
    <x v="489"/>
    <s v="McGettigan, David_CONTRACTORS_IT-FBU0828-OT-US-00"/>
    <s v="ERP"/>
    <s v="Patel, Apurva"/>
    <s v="Patel, Apurva"/>
    <s v="Patel, Apurva"/>
    <s v="McGettigan, David"/>
    <s v="McGettigan, David"/>
    <s v="McGettigan, David"/>
    <x v="0"/>
    <s v="DFP RECLASS-P324-0013734-PFIZER DIGITAL POWER SKIL"/>
    <m/>
    <s v="2329955"/>
    <x v="337"/>
    <m/>
    <s v="9500724675"/>
    <m/>
    <x v="61"/>
    <m/>
    <m/>
    <m/>
    <m/>
    <m/>
    <m/>
    <m/>
    <m/>
    <m/>
    <m/>
    <n v="-48806.7"/>
    <n v="0"/>
    <m/>
    <m/>
    <m/>
    <m/>
    <m/>
    <m/>
    <n v="-48806.7"/>
    <n v="-48806.7"/>
    <m/>
    <n v="0"/>
    <n v="-48806.7"/>
    <m/>
    <n v="-48806.7"/>
    <m/>
    <m/>
    <m/>
    <m/>
    <m/>
    <m/>
    <m/>
    <m/>
    <m/>
    <m/>
    <m/>
    <m/>
    <m/>
    <m/>
    <m/>
    <m/>
    <m/>
    <m/>
    <m/>
    <m/>
    <m/>
    <m/>
    <m/>
    <m/>
    <m/>
    <m/>
    <m/>
  </r>
  <r>
    <s v="ERP-019"/>
    <x v="490"/>
    <s v="DeHart, Lynn_CONTRACTORS_IT-FBU0966-OT-US-00"/>
    <s v="ERP"/>
    <s v="Patel, Apurva"/>
    <s v="Patel, Apurva"/>
    <s v="Patel, Apurva"/>
    <s v="Hase, Raj"/>
    <s v="DeHart, Lynn"/>
    <s v="Hase, Raj"/>
    <x v="0"/>
    <s v="PRIME AUTOMATION TEST LEAD - COMPETE _ R"/>
    <s v="TATA CONSULTANCY SERVICES"/>
    <s v="2321399"/>
    <x v="338"/>
    <m/>
    <s v="9501226595"/>
    <m/>
    <x v="2"/>
    <m/>
    <m/>
    <m/>
    <m/>
    <m/>
    <m/>
    <m/>
    <m/>
    <m/>
    <n v="12507.9"/>
    <n v="13470.05"/>
    <n v="13318.529999999999"/>
    <m/>
    <m/>
    <m/>
    <m/>
    <m/>
    <m/>
    <n v="39296.479999999996"/>
    <n v="39296.479999999996"/>
    <m/>
    <n v="13318.529999999999"/>
    <n v="39296.479999999996"/>
    <m/>
    <n v="39296.479999999996"/>
    <m/>
    <m/>
    <m/>
    <m/>
    <m/>
    <m/>
    <m/>
    <m/>
    <m/>
    <m/>
    <m/>
    <m/>
    <m/>
    <m/>
    <m/>
    <m/>
    <m/>
    <m/>
    <m/>
    <m/>
    <m/>
    <m/>
    <m/>
    <m/>
    <m/>
    <m/>
    <m/>
  </r>
  <r>
    <s v="L-ERP-016"/>
    <x v="491"/>
    <s v="DeHart, Lynn_CONTRACTORS_IT-PBU0901-OT-US-00"/>
    <s v="ERP"/>
    <s v="Patel, Apurva"/>
    <s v="Patel, Apurva"/>
    <s v="Patel, Apurva"/>
    <s v="Hase, Raj"/>
    <s v="DeHart, Lynn"/>
    <s v="DeHart, Lynn"/>
    <x v="0"/>
    <s v="P324-0013439-GSC EMEA: Dx Sub-cluster –"/>
    <m/>
    <s v="2351818"/>
    <x v="339"/>
    <m/>
    <s v="9501182061"/>
    <m/>
    <x v="0"/>
    <m/>
    <m/>
    <n v="0"/>
    <n v="0.33000000000174623"/>
    <m/>
    <m/>
    <m/>
    <n v="63054.92"/>
    <n v="-63054.59"/>
    <n v="0"/>
    <n v="0"/>
    <n v="0"/>
    <n v="0"/>
    <n v="0"/>
    <n v="0"/>
    <n v="0"/>
    <n v="0"/>
    <n v="0"/>
    <n v="0.33000000000174623"/>
    <n v="0"/>
    <n v="0"/>
    <n v="0"/>
    <n v="0"/>
    <m/>
    <n v="0"/>
    <m/>
    <m/>
    <n v="63054.92"/>
    <n v="-63054.59"/>
    <n v="0"/>
    <n v="0"/>
    <n v="0"/>
    <n v="0"/>
    <n v="0"/>
    <n v="0"/>
    <n v="0"/>
    <n v="0"/>
    <n v="0"/>
    <n v="0.33000000000174623"/>
    <m/>
    <n v="63054.92"/>
    <n v="-63054.59"/>
    <n v="0"/>
    <n v="0"/>
    <n v="0"/>
    <n v="0"/>
    <n v="0"/>
    <n v="0"/>
    <n v="0"/>
    <n v="0"/>
    <n v="0"/>
    <n v="0.33000000000174623"/>
  </r>
  <r>
    <s v="L-ERP-017"/>
    <x v="492"/>
    <s v="DeHart, Lynn_CONTRACTORS_IT-PBU1059-OT-US-00"/>
    <s v="ERP"/>
    <s v="Patel, Apurva"/>
    <s v="Patel, Apurva"/>
    <s v="Patel, Apurva"/>
    <s v="Hase, Raj"/>
    <s v="DeHart, Lynn"/>
    <s v="DeHart, Lynn"/>
    <x v="0"/>
    <s v="P325-0016309-2026 GSC Regions: Logistics"/>
    <m/>
    <s v="2351818"/>
    <x v="340"/>
    <m/>
    <s v="Multiple "/>
    <m/>
    <x v="0"/>
    <m/>
    <m/>
    <n v="0"/>
    <n v="0"/>
    <m/>
    <m/>
    <m/>
    <n v="89550.8"/>
    <n v="-89550.8"/>
    <n v="0"/>
    <n v="0"/>
    <n v="0"/>
    <m/>
    <m/>
    <m/>
    <m/>
    <m/>
    <m/>
    <n v="0"/>
    <n v="0"/>
    <m/>
    <n v="0"/>
    <n v="0"/>
    <m/>
    <n v="0"/>
    <m/>
    <m/>
    <n v="89550.8"/>
    <n v="-89550.8"/>
    <m/>
    <m/>
    <m/>
    <m/>
    <m/>
    <m/>
    <m/>
    <m/>
    <m/>
    <n v="0"/>
    <m/>
    <n v="89550.8"/>
    <n v="-89550.8"/>
    <m/>
    <m/>
    <m/>
    <m/>
    <m/>
    <m/>
    <m/>
    <m/>
    <m/>
    <n v="0"/>
  </r>
  <r>
    <s v="ERP-055"/>
    <x v="493"/>
    <s v="DeHart, Lynn_CONTRACTORS_IT-PBU1070-OT-IE-00"/>
    <s v="ERP"/>
    <s v="Patel, Apurva"/>
    <s v="Patel, Apurva"/>
    <s v="Patel, Apurva"/>
    <s v="Hase, Raj"/>
    <s v="DeHart, Lynn"/>
    <s v="DeHart, Lynn"/>
    <x v="0"/>
    <m/>
    <m/>
    <m/>
    <x v="22"/>
    <m/>
    <m/>
    <m/>
    <x v="2"/>
    <m/>
    <m/>
    <m/>
    <m/>
    <m/>
    <m/>
    <m/>
    <m/>
    <m/>
    <m/>
    <m/>
    <n v="-1584"/>
    <m/>
    <m/>
    <m/>
    <m/>
    <m/>
    <m/>
    <n v="-1584"/>
    <n v="-1584"/>
    <m/>
    <n v="-1584"/>
    <n v="-1584"/>
    <m/>
    <n v="-1584"/>
    <m/>
    <m/>
    <m/>
    <m/>
    <m/>
    <m/>
    <m/>
    <m/>
    <m/>
    <m/>
    <m/>
    <m/>
    <m/>
    <m/>
    <m/>
    <m/>
    <m/>
    <m/>
    <m/>
    <m/>
    <m/>
    <m/>
    <m/>
    <m/>
    <m/>
    <m/>
    <m/>
  </r>
  <r>
    <s v="L-ERP-493"/>
    <x v="494"/>
    <s v="Robertson, Jerome_TELECOMMUNICATIONS_Telecom001"/>
    <s v="ERP"/>
    <s v="Patel, Apurva"/>
    <s v="Robertson, Jerome"/>
    <s v="Robertson, Jerome"/>
    <s v="Robertson, Jerome"/>
    <s v="Robertson, Jerome"/>
    <s v="Robertson, Jerome"/>
    <x v="5"/>
    <s v="Telecommunications"/>
    <m/>
    <m/>
    <x v="42"/>
    <m/>
    <m/>
    <m/>
    <x v="0"/>
    <m/>
    <m/>
    <n v="18800"/>
    <n v="15498"/>
    <m/>
    <m/>
    <n v="102"/>
    <n v="121"/>
    <n v="675"/>
    <n v="1883.5499999999997"/>
    <n v="861.93999999999994"/>
    <n v="234.03"/>
    <n v="1500"/>
    <n v="1700"/>
    <n v="1700"/>
    <n v="1700"/>
    <n v="1700"/>
    <n v="1700"/>
    <n v="13877.52"/>
    <n v="-1620.4799999999996"/>
    <n v="1500"/>
    <n v="-1265.97"/>
    <n v="-1620.48"/>
    <m/>
    <n v="-1620.4799999999996"/>
    <m/>
    <n v="102"/>
    <n v="121"/>
    <n v="675"/>
    <n v="1600"/>
    <n v="1500"/>
    <n v="1500"/>
    <n v="1500"/>
    <n v="1700"/>
    <n v="1700"/>
    <n v="1700"/>
    <n v="1700"/>
    <n v="1700"/>
    <n v="15498"/>
    <n v="102"/>
    <n v="121"/>
    <n v="675"/>
    <n v="1600"/>
    <n v="1500"/>
    <n v="1500"/>
    <n v="1500"/>
    <n v="1700"/>
    <n v="1700"/>
    <n v="1700"/>
    <n v="1700"/>
    <n v="1700"/>
    <n v="15498"/>
  </r>
  <r>
    <s v="L-ERP-501"/>
    <x v="495"/>
    <s v="Robertson, Jerome_TRAVEL &amp; ENTERTAINMENT_TravelEnt001"/>
    <s v="ERP"/>
    <s v="Patel, Apurva"/>
    <s v="Robertson, Jerome"/>
    <s v="Robertson, Jerome"/>
    <s v="Robertson, Jerome"/>
    <s v="Robertson, Jerome"/>
    <s v="Robertson, Jerome"/>
    <x v="1"/>
    <s v="Travel and Entertainment"/>
    <m/>
    <m/>
    <x v="43"/>
    <m/>
    <s v="N/A"/>
    <m/>
    <x v="10"/>
    <m/>
    <m/>
    <n v="0"/>
    <n v="17997.310000000001"/>
    <m/>
    <m/>
    <n v="401"/>
    <n v="11440.6"/>
    <n v="6155.71"/>
    <n v="1364.6499999999996"/>
    <n v="535.48"/>
    <n v="1808.77"/>
    <n v="0"/>
    <n v="0"/>
    <n v="0"/>
    <n v="0"/>
    <n v="0"/>
    <n v="0"/>
    <n v="21706.21"/>
    <n v="3708.8999999999978"/>
    <n v="0"/>
    <n v="1808.77"/>
    <n v="3708.8999999999978"/>
    <m/>
    <n v="3708.8999999999978"/>
    <m/>
    <n v="401"/>
    <n v="11440.6"/>
    <n v="6155.71"/>
    <n v="0"/>
    <n v="0"/>
    <n v="0"/>
    <n v="0"/>
    <n v="0"/>
    <n v="0"/>
    <n v="0"/>
    <n v="0"/>
    <n v="0"/>
    <n v="17997.310000000001"/>
    <n v="401"/>
    <n v="11440.6"/>
    <n v="6155.71"/>
    <n v="0"/>
    <n v="0"/>
    <n v="0"/>
    <n v="0"/>
    <n v="0"/>
    <n v="0"/>
    <n v="0"/>
    <n v="0"/>
    <n v="0"/>
    <n v="17997.310000000001"/>
  </r>
  <r>
    <s v="L-ERP-019"/>
    <x v="496"/>
    <s v="DeHart, Lynn_CONTRACTORS_MISC001"/>
    <s v="ERP"/>
    <s v="Patel, Apurva"/>
    <s v="Patel, Apurva"/>
    <s v="Patel, Apurva"/>
    <s v="Hase, Raj"/>
    <s v="DeHart, Lynn"/>
    <s v="DeHart, Lynn"/>
    <x v="0"/>
    <s v="Miscellaneous Charges"/>
    <m/>
    <m/>
    <x v="54"/>
    <m/>
    <m/>
    <m/>
    <x v="0"/>
    <m/>
    <m/>
    <n v="0"/>
    <n v="19969.14"/>
    <m/>
    <m/>
    <n v="6818.85"/>
    <n v="9998.51"/>
    <n v="3151.78"/>
    <n v="13245.82"/>
    <n v="11713.649999999994"/>
    <n v="24135.279999999999"/>
    <n v="0"/>
    <n v="0"/>
    <n v="0"/>
    <n v="0"/>
    <n v="0"/>
    <n v="0"/>
    <n v="69063.889999999985"/>
    <n v="49094.749999999985"/>
    <n v="0"/>
    <n v="24135.279999999999"/>
    <n v="49094.749999999985"/>
    <m/>
    <n v="49094.749999999985"/>
    <m/>
    <n v="6818.85"/>
    <n v="9998.51"/>
    <n v="3151.78"/>
    <n v="0"/>
    <n v="0"/>
    <n v="0"/>
    <n v="0"/>
    <n v="0"/>
    <n v="0"/>
    <n v="0"/>
    <n v="0"/>
    <n v="0"/>
    <n v="19969.14"/>
    <n v="6818.85"/>
    <n v="9998.51"/>
    <n v="3151.78"/>
    <n v="0"/>
    <n v="0"/>
    <n v="0"/>
    <n v="0"/>
    <n v="0"/>
    <n v="0"/>
    <n v="0"/>
    <n v="0"/>
    <n v="0"/>
    <n v="19969.14"/>
  </r>
  <r>
    <s v="L-ERP-390"/>
    <x v="496"/>
    <s v="McGettigan, David_CONTRACTORS_MISC001"/>
    <s v="ERP"/>
    <s v="Patel, Apurva"/>
    <s v="Patel, Apurva"/>
    <s v="Patel, Apurva"/>
    <s v="McGettigan, David"/>
    <s v="McGettigan, David"/>
    <s v="McGettigan, David"/>
    <x v="0"/>
    <s v="Miscellaneous Charges"/>
    <m/>
    <m/>
    <x v="54"/>
    <m/>
    <m/>
    <m/>
    <x v="0"/>
    <m/>
    <m/>
    <n v="0"/>
    <n v="-2284.04"/>
    <m/>
    <m/>
    <n v="0.08"/>
    <n v="-0.17"/>
    <n v="-2283.9499999999998"/>
    <n v="5124.1100000000006"/>
    <n v="-6526.2599999999993"/>
    <n v="97626.25"/>
    <n v="0"/>
    <n v="0"/>
    <n v="0"/>
    <n v="0"/>
    <n v="0"/>
    <n v="0"/>
    <n v="93940.06"/>
    <n v="96224.099999999991"/>
    <n v="0"/>
    <n v="97626.25"/>
    <n v="96224.099999999991"/>
    <m/>
    <n v="96224.099999999991"/>
    <m/>
    <n v="0.08"/>
    <n v="-0.17"/>
    <n v="-2283.9499999999998"/>
    <n v="0"/>
    <n v="0"/>
    <n v="0"/>
    <n v="0"/>
    <n v="0"/>
    <n v="0"/>
    <n v="0"/>
    <n v="0"/>
    <n v="0"/>
    <n v="-2284.04"/>
    <n v="0.08"/>
    <n v="-0.17"/>
    <n v="-2283.9499999999998"/>
    <n v="0"/>
    <n v="0"/>
    <n v="0"/>
    <n v="0"/>
    <n v="0"/>
    <n v="0"/>
    <n v="0"/>
    <n v="0"/>
    <n v="0"/>
    <n v="-2284.04"/>
  </r>
  <r>
    <s v="L-ERP-416"/>
    <x v="497"/>
    <s v="McGettigan, David_CONTRACTORS_PR-320001-0000007901"/>
    <s v="ERP"/>
    <s v="Patel, Apurva"/>
    <s v="Patel, Apurva"/>
    <s v="Patel, Apurva"/>
    <s v="McGettigan, David"/>
    <s v="McGettigan, David"/>
    <s v="McGettigan, David"/>
    <x v="0"/>
    <s v="Default"/>
    <m/>
    <m/>
    <x v="307"/>
    <m/>
    <m/>
    <m/>
    <x v="0"/>
    <m/>
    <m/>
    <n v="0"/>
    <n v="7271.4"/>
    <m/>
    <m/>
    <m/>
    <n v="7271.4"/>
    <n v="0"/>
    <n v="0"/>
    <n v="0"/>
    <n v="0"/>
    <n v="0"/>
    <n v="0"/>
    <n v="0"/>
    <n v="0"/>
    <n v="0"/>
    <n v="0"/>
    <n v="7271.4"/>
    <n v="0"/>
    <n v="0"/>
    <n v="0"/>
    <n v="0"/>
    <m/>
    <n v="0"/>
    <m/>
    <m/>
    <n v="7271.4"/>
    <n v="0"/>
    <n v="0"/>
    <n v="0"/>
    <n v="0"/>
    <n v="0"/>
    <n v="0"/>
    <n v="0"/>
    <n v="0"/>
    <n v="0"/>
    <n v="0"/>
    <n v="7271.4"/>
    <m/>
    <n v="7271.4"/>
    <n v="0"/>
    <n v="0"/>
    <n v="0"/>
    <n v="0"/>
    <n v="0"/>
    <n v="0"/>
    <n v="0"/>
    <n v="0"/>
    <n v="0"/>
    <n v="0"/>
    <n v="7271.4"/>
  </r>
  <r>
    <s v="L-ERP-018"/>
    <x v="498"/>
    <s v="DeHart, Lynn_CONTRACTORS_PR-587101-0000007986"/>
    <s v="ERP"/>
    <s v="Patel, Apurva"/>
    <s v="Patel, Apurva"/>
    <s v="Patel, Apurva"/>
    <s v="Hase, Raj"/>
    <s v="DeHart, Lynn"/>
    <s v="DeHart, Lynn"/>
    <x v="0"/>
    <s v="WBS Override Project"/>
    <m/>
    <m/>
    <x v="40"/>
    <m/>
    <m/>
    <m/>
    <x v="0"/>
    <m/>
    <m/>
    <n v="0"/>
    <n v="130.62"/>
    <m/>
    <m/>
    <m/>
    <n v="130.62"/>
    <n v="0"/>
    <s v=""/>
    <n v="0"/>
    <n v="0"/>
    <n v="0"/>
    <n v="0"/>
    <n v="0"/>
    <n v="0"/>
    <n v="0"/>
    <n v="0"/>
    <n v="130.62"/>
    <n v="0"/>
    <n v="0"/>
    <n v="0"/>
    <n v="0"/>
    <m/>
    <n v="0"/>
    <m/>
    <m/>
    <n v="130.62"/>
    <n v="0"/>
    <n v="0"/>
    <n v="0"/>
    <n v="0"/>
    <n v="0"/>
    <n v="0"/>
    <n v="0"/>
    <n v="0"/>
    <n v="0"/>
    <n v="0"/>
    <n v="130.62"/>
    <m/>
    <n v="130.62"/>
    <n v="0"/>
    <n v="0"/>
    <n v="0"/>
    <n v="0"/>
    <n v="0"/>
    <n v="0"/>
    <n v="0"/>
    <n v="0"/>
    <n v="0"/>
    <n v="0"/>
    <n v="130.62"/>
  </r>
  <r>
    <s v="L-ERP-021"/>
    <x v="499"/>
    <s v="DeHart, Lynn_HW MAINTENANCE_BillingSweep005"/>
    <s v="ERP"/>
    <s v="Patel, Apurva"/>
    <s v="Patel, Apurva"/>
    <s v="Patel, Apurva"/>
    <s v="Hase, Raj"/>
    <s v="DeHart, Lynn"/>
    <s v="DeHart, Lynn"/>
    <x v="6"/>
    <s v="Billing Sweep"/>
    <m/>
    <m/>
    <x v="60"/>
    <s v="CHW - Ok"/>
    <s v="N/A"/>
    <m/>
    <x v="0"/>
    <m/>
    <m/>
    <n v="0"/>
    <n v="904.37"/>
    <m/>
    <m/>
    <n v="904.37"/>
    <n v="0"/>
    <n v="0"/>
    <s v=""/>
    <n v="0"/>
    <n v="0"/>
    <n v="0"/>
    <n v="0"/>
    <n v="0"/>
    <n v="0"/>
    <n v="0"/>
    <n v="0"/>
    <n v="904.37"/>
    <n v="0"/>
    <n v="0"/>
    <n v="0"/>
    <n v="0"/>
    <m/>
    <n v="0"/>
    <m/>
    <n v="904.37"/>
    <n v="0"/>
    <n v="0"/>
    <n v="0"/>
    <n v="0"/>
    <n v="0"/>
    <n v="0"/>
    <n v="0"/>
    <n v="0"/>
    <n v="0"/>
    <n v="0"/>
    <n v="0"/>
    <n v="904.37"/>
    <n v="904.37"/>
    <n v="0"/>
    <n v="0"/>
    <n v="0"/>
    <n v="0"/>
    <n v="0"/>
    <n v="0"/>
    <n v="0"/>
    <n v="0"/>
    <n v="0"/>
    <n v="0"/>
    <n v="0"/>
    <n v="904.37"/>
  </r>
  <r>
    <s v="L-ERP-396"/>
    <x v="500"/>
    <s v="McGettigan, David_HW MAINTENANCE_BillingSweep011"/>
    <s v="ERP"/>
    <s v="Patel, Apurva"/>
    <s v="Patel, Apurva"/>
    <s v="Patel, Apurva"/>
    <s v="McGettigan, David"/>
    <s v="McGettigan, David"/>
    <s v="McGettigan, David"/>
    <x v="6"/>
    <s v="BillingSweep011"/>
    <m/>
    <m/>
    <x v="61"/>
    <s v="CHW - Ok"/>
    <s v="N/A"/>
    <m/>
    <x v="0"/>
    <m/>
    <m/>
    <n v="0"/>
    <n v="0"/>
    <m/>
    <m/>
    <m/>
    <m/>
    <n v="0"/>
    <n v="-11818.05"/>
    <n v="0"/>
    <n v="0"/>
    <n v="0"/>
    <n v="0"/>
    <n v="0"/>
    <n v="0"/>
    <n v="0"/>
    <n v="0"/>
    <n v="-11818.05"/>
    <n v="-11818.05"/>
    <n v="0"/>
    <n v="0"/>
    <n v="-11818.05"/>
    <m/>
    <n v="-11818.05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97"/>
    <x v="501"/>
    <s v="McGettigan, David_HW MAINTENANCE_BillingSweep016"/>
    <s v="ERP"/>
    <s v="Patel, Apurva"/>
    <s v="Patel, Apurva"/>
    <s v="Patel, Apurva"/>
    <s v="McGettigan, David"/>
    <s v="McGettigan, David"/>
    <s v="McGettigan, David"/>
    <x v="6"/>
    <s v="BillingSweep016"/>
    <m/>
    <m/>
    <x v="63"/>
    <s v="CHW - Ok"/>
    <s v="N/A"/>
    <m/>
    <x v="0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398"/>
    <x v="502"/>
    <s v="McGettigan, David_HW MAINTENANCE_BillingSweep017"/>
    <s v="ERP"/>
    <s v="Patel, Apurva"/>
    <s v="Patel, Apurva"/>
    <s v="Patel, Apurva"/>
    <s v="McGettigan, David"/>
    <s v="McGettigan, David"/>
    <s v="McGettigan, David"/>
    <x v="6"/>
    <s v="BillingSweep017"/>
    <m/>
    <m/>
    <x v="64"/>
    <m/>
    <s v="N/A"/>
    <m/>
    <x v="0"/>
    <m/>
    <m/>
    <n v="0"/>
    <n v="0"/>
    <m/>
    <m/>
    <m/>
    <m/>
    <n v="0"/>
    <n v="-1485.86"/>
    <n v="0"/>
    <n v="0"/>
    <n v="0"/>
    <n v="0"/>
    <n v="0"/>
    <n v="0"/>
    <n v="0"/>
    <n v="0"/>
    <n v="-1485.86"/>
    <n v="-1485.86"/>
    <n v="0"/>
    <n v="0"/>
    <n v="-1485.86"/>
    <m/>
    <n v="-1485.86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ERP-013"/>
    <x v="503"/>
    <s v="McGettigan, David_HW MAINTENANCE_BillSweepMisc"/>
    <s v="ERP"/>
    <s v="Patel, Apurva"/>
    <s v="Patel, Apurva"/>
    <s v="Patel, Apurva"/>
    <s v="McGettigan, David"/>
    <s v="McGettigan, David"/>
    <s v="McGettigan, David"/>
    <x v="6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13303.91"/>
    <n v="-13303.91"/>
    <n v="0"/>
    <m/>
    <n v="0"/>
    <m/>
    <m/>
    <m/>
    <m/>
    <n v="-13303.91"/>
    <n v="13303.91"/>
    <m/>
    <m/>
    <m/>
    <m/>
    <m/>
    <m/>
    <m/>
    <n v="0"/>
    <m/>
    <m/>
    <m/>
    <m/>
    <m/>
    <m/>
    <m/>
    <m/>
    <m/>
    <m/>
    <m/>
    <m/>
    <m/>
  </r>
  <r>
    <s v="L-ERP-008"/>
    <x v="504"/>
    <s v="DeHart, Lynn_HW MAINTENANCE_IT-FGS0299-OG-US-00"/>
    <s v="ERP"/>
    <s v="Patel, Apurva"/>
    <s v="Patel, Apurva"/>
    <s v="Patel, Apurva"/>
    <s v="Hase, Raj"/>
    <s v="DeHart, Lynn"/>
    <s v="DeHart, Lynn"/>
    <x v="6"/>
    <s v="Others (Vending, Meeting event, Devices Unreturned, Applecare, Mac-mgmt, IT Onboard, etc.)"/>
    <m/>
    <m/>
    <x v="67"/>
    <m/>
    <s v="N/A"/>
    <m/>
    <x v="3"/>
    <m/>
    <m/>
    <n v="0"/>
    <n v="4063.1000000000004"/>
    <m/>
    <m/>
    <n v="322.64"/>
    <n v="376.04"/>
    <n v="3364.42"/>
    <n v="389.04999999999995"/>
    <n v="3602.75"/>
    <n v="278.59000000000003"/>
    <n v="0"/>
    <n v="0"/>
    <n v="0"/>
    <n v="0"/>
    <n v="0"/>
    <n v="0"/>
    <n v="8333.49"/>
    <n v="4270.3899999999994"/>
    <n v="0"/>
    <n v="278.59000000000003"/>
    <n v="4270.3899999999994"/>
    <m/>
    <n v="4270.3899999999994"/>
    <m/>
    <n v="322.64"/>
    <n v="376.04"/>
    <n v="3364.42"/>
    <n v="0"/>
    <n v="0"/>
    <n v="0"/>
    <n v="0"/>
    <n v="0"/>
    <n v="0"/>
    <n v="0"/>
    <n v="0"/>
    <n v="0"/>
    <n v="4063.1000000000004"/>
    <n v="322.64"/>
    <n v="376.04"/>
    <n v="3364.42"/>
    <n v="0"/>
    <n v="0"/>
    <n v="0"/>
    <n v="0"/>
    <n v="0"/>
    <n v="0"/>
    <n v="0"/>
    <n v="0"/>
    <n v="0"/>
    <n v="4063.1000000000004"/>
  </r>
  <r>
    <s v="L-ERP-020"/>
    <x v="505"/>
    <s v="DeHart, Lynn_HW MAINTENANCE_IT-HRD0058-OG-US-00"/>
    <s v="ERP"/>
    <s v="Patel, Apurva"/>
    <s v="Patel, Apurva"/>
    <s v="Patel, Apurva"/>
    <s v="Hase, Raj"/>
    <s v="DeHart, Lynn"/>
    <s v="DeHart, Lynn"/>
    <x v="6"/>
    <s v="Hardware Maintenance"/>
    <m/>
    <m/>
    <x v="341"/>
    <m/>
    <m/>
    <m/>
    <x v="0"/>
    <m/>
    <m/>
    <n v="1659"/>
    <n v="1209"/>
    <m/>
    <m/>
    <m/>
    <m/>
    <m/>
    <s v=""/>
    <n v="0"/>
    <n v="0"/>
    <n v="150"/>
    <n v="150"/>
    <n v="150"/>
    <n v="150"/>
    <n v="0"/>
    <n v="150"/>
    <n v="750"/>
    <n v="-459"/>
    <n v="159"/>
    <n v="-159"/>
    <n v="-459"/>
    <m/>
    <n v="-459"/>
    <m/>
    <m/>
    <m/>
    <m/>
    <n v="150"/>
    <n v="159"/>
    <n v="150"/>
    <n v="150"/>
    <n v="150"/>
    <n v="150"/>
    <n v="150"/>
    <n v="0"/>
    <n v="150"/>
    <n v="1209"/>
    <m/>
    <m/>
    <m/>
    <n v="150"/>
    <n v="159"/>
    <n v="150"/>
    <n v="150"/>
    <n v="150"/>
    <n v="150"/>
    <n v="150"/>
    <n v="0"/>
    <n v="150"/>
    <n v="1209"/>
  </r>
  <r>
    <s v="L-ERP-022"/>
    <x v="506"/>
    <s v="DeHart, Lynn_HW MAINTENANCE_MISC001"/>
    <s v="ERP"/>
    <s v="Patel, Apurva"/>
    <s v="Patel, Apurva"/>
    <s v="Patel, Apurva"/>
    <s v="Hase, Raj"/>
    <s v="DeHart, Lynn"/>
    <s v="DeHart, Lynn"/>
    <x v="6"/>
    <s v="Miscellaneous Charges"/>
    <m/>
    <m/>
    <x v="54"/>
    <m/>
    <m/>
    <m/>
    <x v="0"/>
    <m/>
    <m/>
    <n v="0"/>
    <n v="835.42000000000007"/>
    <m/>
    <m/>
    <n v="-0.14000000000000001"/>
    <n v="464.29"/>
    <n v="371.27"/>
    <n v="-0.06"/>
    <n v="2499.4899999999998"/>
    <n v="-0.11"/>
    <n v="0"/>
    <n v="0"/>
    <n v="0"/>
    <n v="0"/>
    <n v="0"/>
    <n v="0"/>
    <n v="3334.74"/>
    <n v="2499.3199999999997"/>
    <n v="0"/>
    <n v="-0.11"/>
    <n v="2499.3199999999997"/>
    <m/>
    <n v="2499.3199999999997"/>
    <m/>
    <n v="-0.14000000000000001"/>
    <n v="464.29"/>
    <n v="371.27"/>
    <n v="0"/>
    <n v="0"/>
    <n v="0"/>
    <n v="0"/>
    <n v="0"/>
    <n v="0"/>
    <n v="0"/>
    <n v="0"/>
    <n v="0"/>
    <n v="835.42000000000007"/>
    <n v="-0.14000000000000001"/>
    <n v="464.29"/>
    <n v="371.27"/>
    <n v="0"/>
    <n v="0"/>
    <n v="0"/>
    <n v="0"/>
    <n v="0"/>
    <n v="0"/>
    <n v="0"/>
    <n v="0"/>
    <n v="0"/>
    <n v="835.42000000000007"/>
  </r>
  <r>
    <s v="L-ERP-392"/>
    <x v="506"/>
    <s v="McGettigan, David_HW MAINTENANCE_MISC001"/>
    <s v="ERP"/>
    <s v="Patel, Apurva"/>
    <s v="Patel, Apurva"/>
    <s v="Patel, Apurva"/>
    <s v="McGettigan, David"/>
    <s v="McGettigan, David"/>
    <s v="McGettigan, David"/>
    <x v="6"/>
    <s v="Miscellaneous Charges"/>
    <m/>
    <m/>
    <x v="54"/>
    <m/>
    <m/>
    <m/>
    <x v="0"/>
    <m/>
    <m/>
    <n v="0"/>
    <n v="-0.23"/>
    <m/>
    <m/>
    <m/>
    <m/>
    <n v="-0.23"/>
    <n v="-0.01"/>
    <n v="0"/>
    <n v="0"/>
    <n v="0"/>
    <n v="0"/>
    <n v="0"/>
    <n v="0"/>
    <n v="0"/>
    <n v="0"/>
    <n v="-0.24000000000000002"/>
    <n v="-1.0000000000000009E-2"/>
    <n v="0"/>
    <n v="0"/>
    <n v="-1.0000000000000009E-2"/>
    <m/>
    <n v="-1.0000000000000009E-2"/>
    <m/>
    <m/>
    <m/>
    <n v="-0.23"/>
    <n v="0"/>
    <n v="0"/>
    <n v="0"/>
    <n v="0"/>
    <n v="0"/>
    <n v="0"/>
    <n v="0"/>
    <n v="0"/>
    <n v="0"/>
    <n v="-0.23"/>
    <m/>
    <m/>
    <n v="-0.23"/>
    <n v="0"/>
    <n v="0"/>
    <n v="0"/>
    <n v="0"/>
    <n v="0"/>
    <n v="0"/>
    <n v="0"/>
    <n v="0"/>
    <n v="0"/>
    <n v="-0.23"/>
  </r>
  <r>
    <s v="L-ERP-393"/>
    <x v="507"/>
    <s v="McGettigan, David_MANAGED SERVICES_BillingRev001"/>
    <s v="ERP"/>
    <s v="Patel, Apurva"/>
    <s v="Patel, Apurva"/>
    <s v="Patel, Apurva"/>
    <s v="McGettigan, David"/>
    <s v="McGettigan, David"/>
    <s v="McGettigan, David"/>
    <x v="7"/>
    <s v="Billing Forecast - Cloud Brokerage"/>
    <m/>
    <m/>
    <x v="78"/>
    <m/>
    <s v="N/A"/>
    <m/>
    <x v="15"/>
    <m/>
    <m/>
    <n v="0"/>
    <n v="0"/>
    <m/>
    <m/>
    <m/>
    <n v="0"/>
    <n v="0"/>
    <n v="-5.07"/>
    <n v="0"/>
    <n v="0"/>
    <n v="0"/>
    <n v="0"/>
    <n v="0"/>
    <n v="0"/>
    <n v="0"/>
    <n v="0"/>
    <n v="-5.07"/>
    <n v="-5.07"/>
    <n v="0"/>
    <n v="0"/>
    <n v="-5.07"/>
    <m/>
    <n v="-5.07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L-ERP-025"/>
    <x v="508"/>
    <s v="DeHart, Lynn_MANAGED SERVICES_BillingSweep005"/>
    <s v="ERP"/>
    <s v="Patel, Apurva"/>
    <s v="Patel, Apurva"/>
    <s v="Patel, Apurva"/>
    <s v="Hase, Raj"/>
    <s v="DeHart, Lynn"/>
    <s v="DeHart, Lynn"/>
    <x v="7"/>
    <s v="Billing Sweep"/>
    <m/>
    <m/>
    <x v="60"/>
    <s v="CHW - Ok"/>
    <s v="N/A"/>
    <m/>
    <x v="0"/>
    <m/>
    <m/>
    <n v="0"/>
    <n v="108.52"/>
    <m/>
    <m/>
    <n v="108.52"/>
    <n v="0"/>
    <n v="0"/>
    <s v=""/>
    <n v="0"/>
    <n v="0"/>
    <n v="0"/>
    <n v="0"/>
    <n v="0"/>
    <n v="0"/>
    <n v="0"/>
    <n v="0"/>
    <n v="108.52"/>
    <n v="0"/>
    <m/>
    <n v="0"/>
    <n v="0"/>
    <m/>
    <n v="0"/>
    <m/>
    <n v="108.52"/>
    <n v="0"/>
    <n v="0"/>
    <n v="0"/>
    <n v="0"/>
    <n v="0"/>
    <n v="0"/>
    <n v="0"/>
    <n v="0"/>
    <n v="0"/>
    <n v="0"/>
    <n v="0"/>
    <n v="108.52"/>
    <n v="108.52"/>
    <n v="0"/>
    <n v="0"/>
    <n v="0"/>
    <n v="0"/>
    <n v="0"/>
    <n v="0"/>
    <n v="0"/>
    <n v="0"/>
    <n v="0"/>
    <n v="0"/>
    <n v="0"/>
    <n v="108.52"/>
  </r>
  <r>
    <s v="L-ERP-399"/>
    <x v="509"/>
    <s v="McGettigan, David_MANAGED SERVICES_BillingSweep011"/>
    <s v="ERP"/>
    <s v="Patel, Apurva"/>
    <s v="Patel, Apurva"/>
    <s v="Patel, Apurva"/>
    <s v="McGettigan, David"/>
    <s v="McGettigan, David"/>
    <s v="McGettigan, David"/>
    <x v="7"/>
    <s v="BillingSweep011"/>
    <m/>
    <m/>
    <x v="61"/>
    <s v="CHW - Ok"/>
    <s v="N/A"/>
    <m/>
    <x v="0"/>
    <m/>
    <m/>
    <n v="0"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L-ERP-400"/>
    <x v="510"/>
    <s v="McGettigan, David_MANAGED SERVICES_BillingSweep021"/>
    <s v="ERP"/>
    <s v="Patel, Apurva"/>
    <s v="Patel, Apurva"/>
    <s v="Patel, Apurva"/>
    <s v="McGettigan, David"/>
    <s v="McGettigan, David"/>
    <s v="McGettigan, David"/>
    <x v="7"/>
    <s v="BillingSweep021"/>
    <m/>
    <m/>
    <x v="81"/>
    <s v="CHW - Ok"/>
    <s v="N/A"/>
    <m/>
    <x v="0"/>
    <m/>
    <m/>
    <n v="0"/>
    <n v="0"/>
    <m/>
    <m/>
    <m/>
    <n v="0"/>
    <n v="0"/>
    <n v="-5040.41"/>
    <n v="0"/>
    <n v="0"/>
    <n v="0"/>
    <n v="0"/>
    <n v="0"/>
    <n v="0"/>
    <n v="0"/>
    <n v="0"/>
    <n v="-5040.41"/>
    <n v="-5040.41"/>
    <n v="0"/>
    <n v="0"/>
    <n v="-5040.41"/>
    <m/>
    <n v="-5040.41"/>
    <m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</r>
  <r>
    <s v="ERP-015"/>
    <x v="511"/>
    <s v="McGettigan, David_MANAGED SERVICES_BillSweepMisc"/>
    <s v="ERP"/>
    <s v="Patel, Apurva"/>
    <s v="Patel, Apurva"/>
    <s v="Patel, Apurva"/>
    <s v="McGettigan, David"/>
    <s v="McGettigan, David"/>
    <s v="McGettigan, David"/>
    <x v="7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5045.4799999999996"/>
    <n v="-5045.4799999999996"/>
    <n v="0"/>
    <m/>
    <n v="0"/>
    <m/>
    <m/>
    <m/>
    <m/>
    <n v="-5045.4799999999996"/>
    <n v="5045.4799999999996"/>
    <m/>
    <m/>
    <m/>
    <m/>
    <m/>
    <m/>
    <m/>
    <n v="0"/>
    <m/>
    <m/>
    <m/>
    <m/>
    <m/>
    <m/>
    <m/>
    <m/>
    <m/>
    <m/>
    <m/>
    <m/>
    <m/>
  </r>
  <r>
    <s v="ERP-025"/>
    <x v="512"/>
    <s v="McGettigan, David_MANAGED SERVICES_CC-BTF25001-02-EX"/>
    <s v="ERP"/>
    <s v="Patel, Apurva"/>
    <s v="Patel, Apurva"/>
    <s v="Patel, Apurva"/>
    <s v="McGettigan, David"/>
    <s v="McGettigan, David"/>
    <s v="McGettigan, David"/>
    <x v="7"/>
    <s v="DIGITAL-CLOUD-AWS-DATAPROTECTION"/>
    <m/>
    <s v="2329955"/>
    <x v="323"/>
    <m/>
    <m/>
    <m/>
    <x v="2"/>
    <m/>
    <m/>
    <m/>
    <m/>
    <m/>
    <m/>
    <m/>
    <m/>
    <m/>
    <n v="142.1"/>
    <n v="309.31"/>
    <n v="316.74"/>
    <m/>
    <m/>
    <m/>
    <m/>
    <m/>
    <m/>
    <n v="768.15"/>
    <n v="768.15"/>
    <m/>
    <n v="316.74"/>
    <n v="768.15"/>
    <m/>
    <n v="768.15"/>
    <m/>
    <m/>
    <m/>
    <m/>
    <m/>
    <m/>
    <m/>
    <m/>
    <m/>
    <m/>
    <m/>
    <m/>
    <m/>
    <m/>
    <m/>
    <m/>
    <m/>
    <m/>
    <m/>
    <m/>
    <m/>
    <m/>
    <m/>
    <m/>
    <m/>
    <m/>
    <m/>
  </r>
  <r>
    <s v="L-ERP-414"/>
    <x v="513"/>
    <s v="McGettigan, David_MANAGED SERVICES_CE-BTF22001-02-EX"/>
    <s v="ERP"/>
    <s v="Patel, Apurva"/>
    <s v="Patel, Apurva"/>
    <s v="Patel, Apurva"/>
    <s v="McGettigan, David"/>
    <s v="McGettigan, David"/>
    <s v="McGettigan, David"/>
    <x v="7"/>
    <s v="SAP / S4 HANA"/>
    <m/>
    <m/>
    <x v="270"/>
    <s v="CHW - Ok"/>
    <m/>
    <m/>
    <x v="50"/>
    <m/>
    <m/>
    <n v="0"/>
    <n v="23735.440000000002"/>
    <m/>
    <m/>
    <m/>
    <m/>
    <n v="3561.44"/>
    <n v="0"/>
    <n v="6253.55"/>
    <n v="3700.6400000000003"/>
    <n v="1990"/>
    <n v="1990"/>
    <n v="1990"/>
    <n v="1990"/>
    <n v="1990"/>
    <n v="1990"/>
    <n v="25455.63"/>
    <n v="1720.1899999999987"/>
    <n v="6244"/>
    <n v="-2543.3599999999997"/>
    <n v="1720.1900000000005"/>
    <m/>
    <n v="1720.1899999999987"/>
    <m/>
    <m/>
    <m/>
    <n v="3561.44"/>
    <n v="0"/>
    <n v="6244"/>
    <n v="1990"/>
    <n v="1990"/>
    <n v="1990"/>
    <n v="1990"/>
    <n v="1990"/>
    <n v="1990"/>
    <n v="1990"/>
    <n v="23735.440000000002"/>
    <m/>
    <m/>
    <n v="3561.44"/>
    <n v="0"/>
    <n v="0"/>
    <n v="0"/>
    <n v="0"/>
    <n v="0"/>
    <n v="0"/>
    <n v="0"/>
    <n v="0"/>
    <n v="0"/>
    <n v="3561.44"/>
  </r>
  <r>
    <s v="ERP-046"/>
    <x v="514"/>
    <s v="McGettigan, David_MANAGED SERVICES_CE-BTF24003-02-EX"/>
    <s v="ERP"/>
    <s v="Patel, Apurva"/>
    <s v="Patel, Apurva"/>
    <s v="Patel, Apurva"/>
    <s v="McGettigan, David"/>
    <s v="McGettigan, David"/>
    <s v="McGettigan, David"/>
    <x v="7"/>
    <s v="DFP RECLASS-P324-0013058-SAP ERP - 2025 LIFECYCLE"/>
    <m/>
    <s v="2329955"/>
    <x v="326"/>
    <m/>
    <s v="9501054188"/>
    <m/>
    <x v="2"/>
    <m/>
    <m/>
    <m/>
    <m/>
    <m/>
    <m/>
    <m/>
    <m/>
    <m/>
    <m/>
    <n v="-10419.43"/>
    <n v="0"/>
    <m/>
    <m/>
    <m/>
    <m/>
    <m/>
    <m/>
    <n v="-10419.43"/>
    <n v="-10419.43"/>
    <m/>
    <n v="0"/>
    <n v="-10419.43"/>
    <m/>
    <n v="-10419.43"/>
    <m/>
    <m/>
    <m/>
    <m/>
    <m/>
    <m/>
    <m/>
    <m/>
    <m/>
    <m/>
    <m/>
    <m/>
    <m/>
    <m/>
    <m/>
    <m/>
    <m/>
    <m/>
    <m/>
    <m/>
    <m/>
    <m/>
    <m/>
    <m/>
    <m/>
    <m/>
    <m/>
  </r>
  <r>
    <s v="L-ERP-012"/>
    <x v="515"/>
    <s v="DeHart, Lynn_MANAGED SERVICES_EP&amp;SCharges001"/>
    <s v="ERP"/>
    <s v="Patel, Apurva"/>
    <s v="Patel, Apurva"/>
    <s v="Patel, Apurva"/>
    <s v="Hase, Raj"/>
    <s v="DeHart, Lynn"/>
    <s v="DeHart, Lynn"/>
    <x v="7"/>
    <s v="Infrastructure Billing Charges"/>
    <m/>
    <m/>
    <x v="6"/>
    <m/>
    <s v="N/A"/>
    <m/>
    <x v="3"/>
    <m/>
    <m/>
    <n v="19212"/>
    <n v="19118.86"/>
    <m/>
    <m/>
    <n v="1556.11"/>
    <n v="1531.5"/>
    <n v="1622.25"/>
    <n v="1712.9899999999998"/>
    <n v="1903.18"/>
    <n v="456.33000000000004"/>
    <n v="1601"/>
    <n v="1601"/>
    <n v="1601"/>
    <n v="1601"/>
    <n v="1601"/>
    <n v="1601"/>
    <n v="18388.36"/>
    <n v="-730.5"/>
    <n v="1601"/>
    <n v="-1144.67"/>
    <n v="-730.50000000000182"/>
    <m/>
    <n v="-730.5"/>
    <m/>
    <n v="1556.11"/>
    <n v="1531.5"/>
    <n v="1622.25"/>
    <n v="1601"/>
    <n v="1601"/>
    <n v="1601"/>
    <n v="1601"/>
    <n v="1601"/>
    <n v="1601"/>
    <n v="1601"/>
    <n v="1601"/>
    <n v="1601"/>
    <n v="19118.86"/>
    <n v="1556.11"/>
    <n v="1531.5"/>
    <n v="1622.25"/>
    <n v="1601"/>
    <n v="1601"/>
    <n v="1601"/>
    <n v="1601"/>
    <n v="1601"/>
    <n v="1601"/>
    <n v="1601"/>
    <n v="1601"/>
    <n v="1601"/>
    <n v="19118.86"/>
  </r>
  <r>
    <s v="L-ERP-422"/>
    <x v="515"/>
    <s v="McGettigan, David_MANAGED SERVICES_EP&amp;SCharges001"/>
    <s v="ERP"/>
    <s v="Patel, Apurva"/>
    <s v="Patel, Apurva"/>
    <s v="Patel, Apurva"/>
    <s v="McGettigan, David"/>
    <s v="McGettigan, David"/>
    <s v="McGettigan, David"/>
    <x v="7"/>
    <s v="Infrastructure Billing Charges"/>
    <m/>
    <m/>
    <x v="6"/>
    <m/>
    <s v="N/A"/>
    <m/>
    <x v="3"/>
    <m/>
    <m/>
    <n v="42000"/>
    <n v="36969.919999999998"/>
    <m/>
    <m/>
    <n v="1654.46"/>
    <n v="2175.66"/>
    <n v="1639.8"/>
    <n v="3229.0899999999997"/>
    <n v="4136.0599999999995"/>
    <n v="4975.22"/>
    <n v="3500"/>
    <n v="3500"/>
    <n v="3500"/>
    <n v="3500"/>
    <n v="3500"/>
    <n v="3500"/>
    <n v="38810.29"/>
    <n v="1840.3700000000026"/>
    <n v="3500"/>
    <n v="1475.2200000000003"/>
    <n v="1840.3700000000008"/>
    <m/>
    <n v="1840.3700000000026"/>
    <m/>
    <n v="1654.46"/>
    <n v="2175.66"/>
    <n v="1639.8"/>
    <n v="3500"/>
    <n v="3500"/>
    <n v="3500"/>
    <n v="3500"/>
    <n v="3500"/>
    <n v="3500"/>
    <n v="3500"/>
    <n v="3500"/>
    <n v="3500"/>
    <n v="36969.919999999998"/>
    <n v="1654.46"/>
    <n v="2175.66"/>
    <n v="1639.8"/>
    <n v="3500"/>
    <n v="3500"/>
    <n v="3500"/>
    <n v="3500"/>
    <n v="3500"/>
    <n v="3500"/>
    <n v="3500"/>
    <n v="3500"/>
    <n v="3500"/>
    <n v="36969.919999999998"/>
  </r>
  <r>
    <s v="N-ERP-502"/>
    <x v="516"/>
    <s v="DeHart, Lynn_MANAGED SERVICES_IT-FBT0285-OG-ES-00"/>
    <s v="ERP"/>
    <s v="Patel, Apurva"/>
    <s v="Patel, Apurva"/>
    <s v="Patel, Apurva"/>
    <s v="Hase, Raj"/>
    <s v="DeHart, Lynn"/>
    <s v="DeHart, Lynn"/>
    <x v="7"/>
    <s v="Company Car - Spain - Agusti Miralves"/>
    <m/>
    <m/>
    <x v="342"/>
    <m/>
    <s v="N"/>
    <m/>
    <x v="18"/>
    <s v="4/28/26 CHW New add to tie-out 0223 to 0317 Planful Extracts Agusti on a wave and leaves Pfizer Feb 28"/>
    <m/>
    <n v="1236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412"/>
    <n v="412"/>
    <n v="412"/>
    <n v="0"/>
    <n v="0"/>
    <n v="0"/>
    <n v="0"/>
    <n v="0"/>
    <n v="0"/>
    <n v="0"/>
    <n v="0"/>
    <n v="0"/>
    <n v="1236"/>
  </r>
  <r>
    <s v="L-ERP-001"/>
    <x v="517"/>
    <s v="DeHart, Lynn_MANAGED SERVICES_IT-FBT0286-OG-BE-00"/>
    <s v="ERP"/>
    <s v="Patel, Apurva"/>
    <s v="Patel, Apurva"/>
    <s v="Patel, Apurva"/>
    <s v="Hase, Raj"/>
    <s v="DeHart, Lynn"/>
    <s v="DeHart, Lynn"/>
    <x v="7"/>
    <s v="Company Car -Belgium - Fabrice Mathy, Thierry Briglia and Rik Vermeir"/>
    <m/>
    <m/>
    <x v="343"/>
    <m/>
    <m/>
    <m/>
    <x v="18"/>
    <m/>
    <m/>
    <n v="42000"/>
    <n v="37871.96"/>
    <m/>
    <m/>
    <n v="1370.43"/>
    <n v="3605.56"/>
    <n v="1395.97"/>
    <n v="1255.79"/>
    <n v="2734.6699999999996"/>
    <n v="2056.0299999999997"/>
    <n v="3500"/>
    <n v="3500"/>
    <n v="3500"/>
    <n v="3500"/>
    <n v="3500"/>
    <n v="3500"/>
    <n v="33418.449999999997"/>
    <n v="-4453.510000000002"/>
    <n v="3500"/>
    <n v="-1443.9700000000003"/>
    <n v="-4453.5099999999984"/>
    <m/>
    <n v="-4453.510000000002"/>
    <m/>
    <n v="1370.43"/>
    <n v="3605.56"/>
    <n v="1395.97"/>
    <n v="3500"/>
    <n v="3500"/>
    <n v="3500"/>
    <n v="3500"/>
    <n v="3500"/>
    <n v="3500"/>
    <n v="3500"/>
    <n v="3500"/>
    <n v="3500"/>
    <n v="37871.96"/>
    <n v="1370.43"/>
    <n v="3605.56"/>
    <n v="1395.97"/>
    <n v="3500"/>
    <n v="3500"/>
    <n v="3500"/>
    <n v="3500"/>
    <n v="3500"/>
    <n v="3500"/>
    <n v="3500"/>
    <n v="3500"/>
    <n v="3500"/>
    <n v="37871.96"/>
  </r>
  <r>
    <s v="L-ERP-002"/>
    <x v="518"/>
    <s v="DeHart, Lynn_MANAGED SERVICES_IT-FBT0798-OG-BE-00"/>
    <s v="ERP"/>
    <s v="Patel, Apurva"/>
    <s v="Patel, Apurva"/>
    <s v="Patel, Apurva"/>
    <s v="Hase, Raj"/>
    <s v="DeHart, Lynn"/>
    <s v="DeHart, Lynn"/>
    <x v="7"/>
    <s v="Company Car - Belgium (LE5923) - Maria Gkountouva Plate 2CBY846"/>
    <m/>
    <m/>
    <x v="253"/>
    <m/>
    <m/>
    <m/>
    <x v="18"/>
    <m/>
    <m/>
    <n v="0"/>
    <n v="3866.47"/>
    <m/>
    <m/>
    <n v="387.61"/>
    <n v="1445.99"/>
    <n v="2032.87"/>
    <n v="1085.24"/>
    <n v="866.11"/>
    <n v="938.15"/>
    <n v="0"/>
    <n v="0"/>
    <n v="0"/>
    <n v="0"/>
    <n v="0"/>
    <n v="0"/>
    <n v="6755.9699999999993"/>
    <n v="2889.4999999999995"/>
    <n v="0"/>
    <n v="938.15"/>
    <n v="2889.4999999999995"/>
    <m/>
    <n v="2889.4999999999995"/>
    <m/>
    <n v="387.61"/>
    <n v="1445.99"/>
    <n v="2032.87"/>
    <n v="0"/>
    <n v="0"/>
    <n v="0"/>
    <n v="0"/>
    <n v="0"/>
    <n v="0"/>
    <n v="0"/>
    <n v="0"/>
    <n v="0"/>
    <n v="3866.47"/>
    <n v="387.61"/>
    <n v="1445.99"/>
    <n v="2032.87"/>
    <n v="0"/>
    <n v="0"/>
    <n v="0"/>
    <n v="0"/>
    <n v="0"/>
    <n v="0"/>
    <n v="0"/>
    <n v="0"/>
    <n v="0"/>
    <n v="3866.47"/>
  </r>
  <r>
    <s v="L-ERP-388"/>
    <x v="519"/>
    <s v="McGettigan, David_MANAGED SERVICES_IT-FBT0830-OT-US-00"/>
    <s v="ERP"/>
    <s v="Patel, Apurva"/>
    <s v="Patel, Apurva"/>
    <s v="Patel, Apurva"/>
    <s v="McGettigan, David"/>
    <s v="McGettigan, David"/>
    <s v="McGettigan, David"/>
    <x v="7"/>
    <s v="P324-0013837 Enhance SharePoint site upgrade"/>
    <m/>
    <m/>
    <x v="344"/>
    <m/>
    <m/>
    <m/>
    <x v="1"/>
    <m/>
    <m/>
    <n v="-30"/>
    <n v="-30"/>
    <m/>
    <m/>
    <m/>
    <m/>
    <n v="-30"/>
    <n v="0"/>
    <n v="0"/>
    <n v="650"/>
    <n v="0"/>
    <n v="0"/>
    <n v="1550"/>
    <n v="0"/>
    <n v="0"/>
    <n v="0"/>
    <n v="2170"/>
    <n v="2200"/>
    <n v="0"/>
    <n v="650"/>
    <n v="650"/>
    <m/>
    <n v="2200"/>
    <m/>
    <m/>
    <m/>
    <n v="-30"/>
    <n v="0"/>
    <n v="0"/>
    <n v="0"/>
    <n v="0"/>
    <n v="0"/>
    <n v="0"/>
    <n v="0"/>
    <n v="0"/>
    <n v="0"/>
    <n v="-30"/>
    <m/>
    <m/>
    <n v="-30"/>
    <n v="0"/>
    <n v="0"/>
    <n v="5000"/>
    <n v="0"/>
    <n v="0"/>
    <n v="5000"/>
    <n v="0"/>
    <n v="0"/>
    <n v="-15000"/>
    <n v="-5030"/>
  </r>
  <r>
    <s v="L-ERP-005"/>
    <x v="520"/>
    <s v="DeHart, Lynn_MANAGED SERVICES_IT-FBT0980-OT-US-00"/>
    <s v="ERP"/>
    <s v="Patel, Apurva"/>
    <s v="Patel, Apurva"/>
    <s v="Patel, Apurva"/>
    <s v="Hase, Raj"/>
    <s v="DeHart, Lynn"/>
    <s v="DeHart, Lynn"/>
    <x v="7"/>
    <s v="P324-0014646-Pfizer Apps - App &amp; DB Upgrade"/>
    <m/>
    <m/>
    <x v="345"/>
    <m/>
    <s v="N"/>
    <m/>
    <x v="1"/>
    <m/>
    <m/>
    <n v="0"/>
    <n v="275.15000000000055"/>
    <m/>
    <m/>
    <n v="2699.63"/>
    <n v="2847.71"/>
    <n v="-5272.19"/>
    <n v="3353.36"/>
    <n v="2931.3300000000004"/>
    <n v="3022.73"/>
    <n v="0"/>
    <n v="0"/>
    <n v="0"/>
    <n v="0"/>
    <n v="0"/>
    <n v="0"/>
    <n v="9582.5700000000015"/>
    <n v="9307.4200000000019"/>
    <n v="0"/>
    <n v="3022.73"/>
    <n v="9307.4200000000019"/>
    <m/>
    <n v="9307.4200000000019"/>
    <m/>
    <n v="2699.63"/>
    <n v="2847.71"/>
    <n v="-5272.19"/>
    <n v="0"/>
    <n v="0"/>
    <n v="0"/>
    <n v="0"/>
    <n v="0"/>
    <n v="0"/>
    <n v="0"/>
    <n v="0"/>
    <n v="0"/>
    <n v="275.15000000000055"/>
    <n v="2699.63"/>
    <n v="2847.71"/>
    <n v="-5272.19"/>
    <n v="2847.71"/>
    <n v="2847.71"/>
    <n v="2847.71"/>
    <n v="2847.71"/>
    <n v="2847.71"/>
    <n v="2847.71"/>
    <n v="2847.71"/>
    <n v="2847.71"/>
    <n v="2847.71"/>
    <n v="25904.539999999997"/>
  </r>
  <r>
    <s v="L-ERP-412"/>
    <x v="521"/>
    <s v="McGettigan, David_MANAGED SERVICES_IT-FBT1017-OT-US-00"/>
    <s v="ERP"/>
    <s v="Patel, Apurva"/>
    <s v="Patel, Apurva"/>
    <s v="Patel, Apurva"/>
    <s v="McGettigan, David"/>
    <s v="McGettigan, David"/>
    <s v="McGettigan, David"/>
    <x v="7"/>
    <s v="xECM Functional Review &amp; Upgrade Assessment"/>
    <m/>
    <m/>
    <x v="336"/>
    <m/>
    <m/>
    <m/>
    <x v="1"/>
    <m/>
    <m/>
    <n v="0"/>
    <n v="2089.6999999999998"/>
    <m/>
    <m/>
    <m/>
    <m/>
    <n v="2089.6999999999998"/>
    <n v="0"/>
    <n v="2520.12"/>
    <n v="0"/>
    <n v="0"/>
    <n v="3240"/>
    <n v="0"/>
    <n v="0"/>
    <n v="0"/>
    <n v="0"/>
    <n v="7849.82"/>
    <n v="5760.12"/>
    <n v="0"/>
    <n v="0"/>
    <n v="2520.12"/>
    <m/>
    <n v="5760.12"/>
    <m/>
    <m/>
    <m/>
    <n v="2089.6999999999998"/>
    <n v="0"/>
    <n v="0"/>
    <n v="0"/>
    <n v="0"/>
    <n v="0"/>
    <n v="0"/>
    <n v="0"/>
    <n v="0"/>
    <n v="0"/>
    <n v="2089.6999999999998"/>
    <m/>
    <m/>
    <n v="2089.6999999999998"/>
    <n v="0"/>
    <n v="0"/>
    <n v="0"/>
    <n v="0"/>
    <n v="0"/>
    <n v="0"/>
    <n v="0"/>
    <n v="0"/>
    <n v="0"/>
    <n v="2089.6999999999998"/>
  </r>
  <r>
    <s v="L-ERP-009"/>
    <x v="522"/>
    <s v="DeHart, Lynn_MANAGED SERVICES_IT-FGS0299-OG-US-00"/>
    <s v="ERP"/>
    <s v="Patel, Apurva"/>
    <s v="Patel, Apurva"/>
    <s v="Patel, Apurva"/>
    <s v="Hase, Raj"/>
    <s v="DeHart, Lynn"/>
    <s v="DeHart, Lynn"/>
    <x v="7"/>
    <s v="Others (Vending, Meeting event, Devices Unreturned, Applecare, Mac-mgmt, IT Onboard, etc.)"/>
    <m/>
    <m/>
    <x v="67"/>
    <m/>
    <s v="N/A"/>
    <m/>
    <x v="3"/>
    <m/>
    <m/>
    <n v="0"/>
    <n v="2000"/>
    <m/>
    <m/>
    <n v="2000"/>
    <n v="0"/>
    <n v="0"/>
    <n v="0"/>
    <n v="90.2"/>
    <n v="90.2"/>
    <n v="0"/>
    <n v="0"/>
    <n v="0"/>
    <n v="0"/>
    <n v="0"/>
    <n v="0"/>
    <n v="2180.3999999999996"/>
    <n v="180.39999999999964"/>
    <n v="0"/>
    <n v="90.2"/>
    <n v="180.39999999999964"/>
    <m/>
    <n v="180.39999999999964"/>
    <m/>
    <n v="2000"/>
    <n v="0"/>
    <n v="0"/>
    <n v="0"/>
    <n v="0"/>
    <n v="0"/>
    <n v="0"/>
    <n v="0"/>
    <n v="0"/>
    <n v="0"/>
    <n v="0"/>
    <n v="0"/>
    <n v="2000"/>
    <n v="2000"/>
    <n v="0"/>
    <n v="0"/>
    <n v="0"/>
    <n v="0"/>
    <n v="0"/>
    <n v="0"/>
    <n v="0"/>
    <n v="0"/>
    <n v="0"/>
    <n v="0"/>
    <n v="0"/>
    <n v="2000"/>
  </r>
  <r>
    <s v="L-ERP-419"/>
    <x v="522"/>
    <s v="McGettigan, David_MANAGED SERVICES_IT-FGS0299-OG-US-00"/>
    <s v="ERP"/>
    <s v="Patel, Apurva"/>
    <s v="Patel, Apurva"/>
    <s v="Patel, Apurva"/>
    <s v="McGettigan, David"/>
    <s v="McGettigan, David"/>
    <s v="McGettigan, David"/>
    <x v="7"/>
    <s v="Others (Vending, Meeting event, Devices Unreturned, Applecare, Mac-mgmt, IT Onboard, etc.)"/>
    <m/>
    <m/>
    <x v="67"/>
    <m/>
    <s v="N/A"/>
    <m/>
    <x v="3"/>
    <m/>
    <m/>
    <n v="18000"/>
    <n v="15727.5"/>
    <m/>
    <m/>
    <n v="2227.5"/>
    <n v="0"/>
    <n v="0"/>
    <n v="0"/>
    <n v="1.86"/>
    <n v="388.92"/>
    <n v="1500"/>
    <n v="1500"/>
    <n v="1500"/>
    <n v="1500"/>
    <n v="1500"/>
    <n v="1500"/>
    <n v="11618.28"/>
    <n v="-4109.2199999999993"/>
    <n v="1500"/>
    <n v="-1111.08"/>
    <n v="-4109.2199999999993"/>
    <m/>
    <n v="-4109.2199999999993"/>
    <m/>
    <n v="2227.5"/>
    <n v="0"/>
    <n v="0"/>
    <n v="1500"/>
    <n v="1500"/>
    <n v="1500"/>
    <n v="1500"/>
    <n v="1500"/>
    <n v="1500"/>
    <n v="1500"/>
    <n v="1500"/>
    <n v="1500"/>
    <n v="15727.5"/>
    <n v="2227.5"/>
    <n v="0"/>
    <n v="0"/>
    <n v="1500"/>
    <n v="1500"/>
    <n v="1500"/>
    <n v="1500"/>
    <n v="1500"/>
    <n v="1500"/>
    <n v="1500"/>
    <n v="1500"/>
    <n v="1500"/>
    <n v="15727.5"/>
  </r>
  <r>
    <s v="L-ERP-010"/>
    <x v="523"/>
    <s v="DeHart, Lynn_MANAGED SERVICES_IT-FGS0301-OG-US-00"/>
    <s v="ERP"/>
    <s v="Patel, Apurva"/>
    <s v="Patel, Apurva"/>
    <s v="Patel, Apurva"/>
    <s v="Hase, Raj"/>
    <s v="DeHart, Lynn"/>
    <s v="DeHart, Lynn"/>
    <x v="7"/>
    <s v="Desktop on Demand (VDS)"/>
    <m/>
    <m/>
    <x v="101"/>
    <m/>
    <s v="N/A"/>
    <m/>
    <x v="3"/>
    <m/>
    <m/>
    <n v="60000"/>
    <n v="76216.11"/>
    <m/>
    <m/>
    <n v="14407.17"/>
    <n v="13803.08"/>
    <n v="3005.86"/>
    <n v="15296.21"/>
    <n v="17035.269999999997"/>
    <n v="17290.900000000001"/>
    <n v="5000"/>
    <n v="5000"/>
    <n v="5000"/>
    <n v="5000"/>
    <n v="5000"/>
    <n v="5000"/>
    <n v="110838.48999999999"/>
    <n v="34622.37999999999"/>
    <n v="5000"/>
    <n v="12290.900000000001"/>
    <n v="34622.37999999999"/>
    <m/>
    <n v="34622.37999999999"/>
    <m/>
    <n v="14407.17"/>
    <n v="13803.08"/>
    <n v="3005.86"/>
    <n v="5000"/>
    <n v="5000"/>
    <n v="5000"/>
    <n v="5000"/>
    <n v="5000"/>
    <n v="5000"/>
    <n v="5000"/>
    <n v="5000"/>
    <n v="5000"/>
    <n v="76216.11"/>
    <n v="14407.17"/>
    <n v="13803.08"/>
    <n v="3005.86"/>
    <n v="5000"/>
    <n v="5000"/>
    <n v="5000"/>
    <n v="5000"/>
    <n v="5000"/>
    <n v="5000"/>
    <n v="5000"/>
    <n v="5000"/>
    <n v="5000"/>
    <n v="76216.11"/>
  </r>
  <r>
    <s v="L-ERP-409"/>
    <x v="523"/>
    <s v="McGettigan, David_MANAGED SERVICES_IT-FGS0301-OG-US-00"/>
    <s v="ERP"/>
    <s v="Patel, Apurva"/>
    <s v="Patel, Apurva"/>
    <s v="Patel, Apurva"/>
    <s v="McGettigan, David"/>
    <s v="McGettigan, David"/>
    <s v="McGettigan, David"/>
    <x v="7"/>
    <s v="Desktop on Demand (VDS)"/>
    <m/>
    <m/>
    <x v="101"/>
    <m/>
    <s v="N/A"/>
    <m/>
    <x v="3"/>
    <m/>
    <m/>
    <n v="0"/>
    <n v="882"/>
    <m/>
    <m/>
    <n v="194"/>
    <n v="194"/>
    <n v="494"/>
    <n v="688"/>
    <n v="501"/>
    <n v="441"/>
    <n v="0"/>
    <n v="0"/>
    <n v="0"/>
    <n v="0"/>
    <n v="0"/>
    <n v="0"/>
    <n v="2512"/>
    <n v="1630"/>
    <n v="0"/>
    <n v="441"/>
    <n v="1630"/>
    <m/>
    <n v="1630"/>
    <m/>
    <n v="194"/>
    <n v="194"/>
    <n v="494"/>
    <n v="0"/>
    <n v="0"/>
    <n v="0"/>
    <n v="0"/>
    <n v="0"/>
    <n v="0"/>
    <n v="0"/>
    <n v="0"/>
    <n v="0"/>
    <n v="882"/>
    <n v="194"/>
    <n v="194"/>
    <n v="494"/>
    <n v="0"/>
    <n v="0"/>
    <n v="0"/>
    <n v="0"/>
    <n v="0"/>
    <n v="0"/>
    <n v="0"/>
    <n v="0"/>
    <n v="0"/>
    <n v="882"/>
  </r>
  <r>
    <s v="L-ERP-023"/>
    <x v="524"/>
    <s v="DeHart, Lynn_MANAGED SERVICES_IT-MGS0158-OG-US-00"/>
    <s v="ERP"/>
    <s v="Patel, Apurva"/>
    <s v="Patel, Apurva"/>
    <s v="Patel, Apurva"/>
    <s v="Hase, Raj"/>
    <s v="DeHart, Lynn"/>
    <s v="DeHart, Lynn"/>
    <x v="7"/>
    <s v="Database"/>
    <m/>
    <m/>
    <x v="346"/>
    <m/>
    <m/>
    <m/>
    <x v="0"/>
    <m/>
    <m/>
    <n v="4032"/>
    <n v="3024"/>
    <m/>
    <m/>
    <m/>
    <m/>
    <m/>
    <s v=""/>
    <n v="0"/>
    <n v="0"/>
    <n v="336"/>
    <n v="336"/>
    <n v="336"/>
    <n v="336"/>
    <n v="336"/>
    <n v="336"/>
    <n v="2016"/>
    <n v="-1008"/>
    <n v="336"/>
    <n v="-336"/>
    <n v="-1008"/>
    <m/>
    <n v="-1008"/>
    <m/>
    <m/>
    <m/>
    <m/>
    <n v="336"/>
    <n v="336"/>
    <n v="336"/>
    <n v="336"/>
    <n v="336"/>
    <n v="336"/>
    <n v="336"/>
    <n v="336"/>
    <n v="336"/>
    <n v="3024"/>
    <m/>
    <m/>
    <m/>
    <n v="336"/>
    <n v="336"/>
    <n v="336"/>
    <n v="336"/>
    <n v="336"/>
    <n v="336"/>
    <n v="336"/>
    <n v="336"/>
    <n v="336"/>
    <n v="3024"/>
  </r>
  <r>
    <s v="L-ERP-011"/>
    <x v="525"/>
    <s v="DeHart, Lynn_MANAGED SERVICES_IT-MGS0208-OG-US-00"/>
    <s v="ERP"/>
    <s v="Patel, Apurva"/>
    <s v="Patel, Apurva"/>
    <s v="Patel, Apurva"/>
    <s v="Hase, Raj"/>
    <s v="DeHart, Lynn"/>
    <s v="DeHart, Lynn"/>
    <x v="7"/>
    <s v="Pfizer Apps - Digital Billing"/>
    <m/>
    <m/>
    <x v="347"/>
    <m/>
    <s v="N/A"/>
    <m/>
    <x v="3"/>
    <m/>
    <m/>
    <n v="0"/>
    <n v="31176.729999999992"/>
    <m/>
    <m/>
    <m/>
    <m/>
    <n v="5547.34"/>
    <n v="0"/>
    <n v="112.07"/>
    <n v="112.07"/>
    <n v="2847.71"/>
    <n v="2847.71"/>
    <n v="2847.71"/>
    <n v="2847.71"/>
    <n v="2847.71"/>
    <n v="2847.71"/>
    <n v="22857.739999999994"/>
    <n v="-8318.989999999998"/>
    <n v="2847.71"/>
    <n v="-2735.64"/>
    <n v="-8318.989999999998"/>
    <m/>
    <n v="-8318.989999999998"/>
    <m/>
    <m/>
    <m/>
    <n v="5547.34"/>
    <n v="2847.71"/>
    <n v="2847.71"/>
    <n v="2847.71"/>
    <n v="2847.71"/>
    <n v="2847.71"/>
    <n v="2847.71"/>
    <n v="2847.71"/>
    <n v="2847.71"/>
    <n v="2847.71"/>
    <n v="31176.729999999992"/>
    <m/>
    <m/>
    <n v="5547.34"/>
    <n v="0"/>
    <n v="0"/>
    <n v="0"/>
    <n v="0"/>
    <n v="0"/>
    <n v="0"/>
    <n v="0"/>
    <n v="0"/>
    <n v="0"/>
    <n v="5547.34"/>
  </r>
  <r>
    <s v="L-ERP-406"/>
    <x v="526"/>
    <s v="McGettigan, David_MANAGED SERVICES_IT-SFT1442-OG-US-00"/>
    <s v="ERP"/>
    <s v="Patel, Apurva"/>
    <s v="Patel, Apurva"/>
    <s v="Patel, Apurva"/>
    <s v="McGettigan, David"/>
    <s v="McGettigan, David"/>
    <s v="McGettigan, David"/>
    <x v="7"/>
    <s v="C-TIES Copilot Studio"/>
    <m/>
    <m/>
    <x v="348"/>
    <m/>
    <m/>
    <m/>
    <x v="0"/>
    <m/>
    <m/>
    <n v="0"/>
    <n v="21.89"/>
    <m/>
    <m/>
    <n v="11.06"/>
    <n v="5.54"/>
    <n v="5.29"/>
    <n v="5.5299999999999994"/>
    <n v="5.33"/>
    <n v="5.5299999999999994"/>
    <n v="0"/>
    <n v="0"/>
    <n v="0"/>
    <n v="0"/>
    <n v="0"/>
    <n v="0"/>
    <n v="38.28"/>
    <n v="16.39"/>
    <n v="0"/>
    <n v="5.5299999999999994"/>
    <n v="16.39"/>
    <m/>
    <n v="16.39"/>
    <m/>
    <n v="11.06"/>
    <n v="5.54"/>
    <n v="5.29"/>
    <n v="0"/>
    <n v="0"/>
    <n v="0"/>
    <n v="0"/>
    <n v="0"/>
    <n v="0"/>
    <n v="0"/>
    <n v="0"/>
    <n v="0"/>
    <n v="21.89"/>
    <n v="11.06"/>
    <n v="5.54"/>
    <n v="5.29"/>
    <n v="0"/>
    <n v="0"/>
    <n v="0"/>
    <n v="0"/>
    <n v="0"/>
    <n v="0"/>
    <n v="0"/>
    <n v="0"/>
    <n v="0"/>
    <n v="21.89"/>
  </r>
  <r>
    <s v="L-ERP-026"/>
    <x v="527"/>
    <s v="DeHart, Lynn_MANAGED SERVICES_MISC001"/>
    <s v="ERP"/>
    <s v="Patel, Apurva"/>
    <s v="Patel, Apurva"/>
    <s v="Patel, Apurva"/>
    <s v="Hase, Raj"/>
    <s v="DeHart, Lynn"/>
    <s v="DeHart, Lynn"/>
    <x v="7"/>
    <s v="Miscellaneous Charges"/>
    <m/>
    <m/>
    <x v="54"/>
    <m/>
    <m/>
    <m/>
    <x v="0"/>
    <m/>
    <m/>
    <n v="0"/>
    <n v="-991.60999999999967"/>
    <m/>
    <m/>
    <n v="2949.13"/>
    <n v="-734.7"/>
    <n v="-3206.04"/>
    <n v="1083.7399999999998"/>
    <n v="2193.66"/>
    <n v="2312.1299999999997"/>
    <n v="0"/>
    <n v="0"/>
    <n v="0"/>
    <n v="0"/>
    <n v="0"/>
    <n v="0"/>
    <n v="4597.92"/>
    <n v="5589.53"/>
    <n v="0"/>
    <n v="2312.1299999999997"/>
    <n v="5589.53"/>
    <m/>
    <n v="5589.53"/>
    <m/>
    <n v="2949.13"/>
    <n v="-734.7"/>
    <n v="-3206.04"/>
    <n v="0"/>
    <n v="0"/>
    <n v="0"/>
    <n v="0"/>
    <n v="0"/>
    <n v="0"/>
    <n v="0"/>
    <n v="0"/>
    <n v="0"/>
    <n v="-991.60999999999967"/>
    <n v="2949.13"/>
    <n v="-734.7"/>
    <n v="-3206.04"/>
    <n v="0"/>
    <n v="0"/>
    <n v="0"/>
    <n v="0"/>
    <n v="0"/>
    <n v="0"/>
    <n v="0"/>
    <n v="0"/>
    <n v="0"/>
    <n v="-991.60999999999967"/>
  </r>
  <r>
    <s v="L-ERP-411"/>
    <x v="527"/>
    <s v="McGettigan, David_MANAGED SERVICES_MISC001"/>
    <s v="ERP"/>
    <s v="Patel, Apurva"/>
    <s v="Patel, Apurva"/>
    <s v="Patel, Apurva"/>
    <s v="McGettigan, David"/>
    <s v="McGettigan, David"/>
    <s v="McGettigan, David"/>
    <x v="7"/>
    <s v="Miscellaneous Charges"/>
    <m/>
    <m/>
    <x v="54"/>
    <m/>
    <m/>
    <m/>
    <x v="0"/>
    <m/>
    <m/>
    <n v="0"/>
    <n v="1501.59"/>
    <m/>
    <m/>
    <n v="-0.46"/>
    <n v="0.71"/>
    <n v="1501.34"/>
    <n v="0.24"/>
    <n v="0.2"/>
    <n v="1249.95"/>
    <n v="0"/>
    <n v="0"/>
    <n v="0"/>
    <n v="0"/>
    <n v="0"/>
    <n v="0"/>
    <n v="2751.98"/>
    <n v="1250.3900000000001"/>
    <n v="0"/>
    <n v="1249.95"/>
    <n v="1250.3900000000001"/>
    <m/>
    <n v="1250.3900000000001"/>
    <m/>
    <n v="-0.46"/>
    <n v="0.71"/>
    <n v="1501.34"/>
    <n v="0"/>
    <n v="0"/>
    <n v="0"/>
    <n v="0"/>
    <n v="0"/>
    <n v="0"/>
    <n v="0"/>
    <n v="0"/>
    <n v="0"/>
    <n v="1501.59"/>
    <n v="-0.46"/>
    <n v="0.71"/>
    <n v="1501.34"/>
    <n v="0"/>
    <n v="0"/>
    <n v="0"/>
    <n v="0"/>
    <n v="0"/>
    <n v="0"/>
    <n v="0"/>
    <n v="0"/>
    <n v="0"/>
    <n v="1501.59"/>
  </r>
  <r>
    <s v="L-ERP-385"/>
    <x v="528"/>
    <s v="McGettigan, David_MANAGED SERVICES_OnetimeCredit002"/>
    <s v="ERP"/>
    <s v="Patel, Apurva"/>
    <s v="Patel, Apurva"/>
    <s v="Patel, Apurva"/>
    <s v="McGettigan, David"/>
    <s v="McGettigan, David"/>
    <s v="McGettigan, David"/>
    <x v="7"/>
    <s v="Credit for SAP BW through AWS"/>
    <m/>
    <m/>
    <x v="349"/>
    <m/>
    <m/>
    <m/>
    <x v="56"/>
    <m/>
    <m/>
    <n v="-338500"/>
    <n v="-435500"/>
    <m/>
    <m/>
    <m/>
    <m/>
    <m/>
    <s v=""/>
    <n v="0"/>
    <n v="0"/>
    <n v="0"/>
    <n v="0"/>
    <n v="-203100"/>
    <n v="0"/>
    <n v="0"/>
    <n v="-97000"/>
    <n v="-300100"/>
    <n v="135400"/>
    <m/>
    <n v="0"/>
    <n v="135400"/>
    <m/>
    <n v="135400"/>
    <m/>
    <m/>
    <m/>
    <m/>
    <m/>
    <m/>
    <n v="-135400"/>
    <n v="0"/>
    <n v="0"/>
    <n v="-203100"/>
    <n v="0"/>
    <n v="0"/>
    <n v="-97000"/>
    <n v="-435500"/>
    <m/>
    <m/>
    <m/>
    <m/>
    <m/>
    <n v="-135400"/>
    <n v="0"/>
    <n v="0"/>
    <n v="-203100"/>
    <n v="0"/>
    <n v="0"/>
    <n v="-97000"/>
    <n v="-435500"/>
  </r>
  <r>
    <s v="L-ERP-024"/>
    <x v="529"/>
    <s v="DeHart, Lynn_MANAGED SERVICES_PR-587101-0000007986"/>
    <s v="ERP"/>
    <s v="Patel, Apurva"/>
    <s v="Patel, Apurva"/>
    <s v="Patel, Apurva"/>
    <s v="Hase, Raj"/>
    <s v="DeHart, Lynn"/>
    <s v="DeHart, Lynn"/>
    <x v="7"/>
    <s v="WBS Override Project"/>
    <m/>
    <m/>
    <x v="40"/>
    <m/>
    <m/>
    <m/>
    <x v="0"/>
    <m/>
    <m/>
    <n v="0"/>
    <n v="356.72"/>
    <m/>
    <m/>
    <m/>
    <n v="356.72"/>
    <n v="0"/>
    <s v=""/>
    <n v="0"/>
    <n v="0"/>
    <n v="0"/>
    <n v="0"/>
    <n v="0"/>
    <n v="0"/>
    <n v="0"/>
    <n v="0"/>
    <n v="356.72"/>
    <n v="0"/>
    <n v="0"/>
    <n v="0"/>
    <n v="0"/>
    <m/>
    <n v="0"/>
    <m/>
    <m/>
    <n v="356.72"/>
    <n v="0"/>
    <n v="0"/>
    <n v="0"/>
    <n v="0"/>
    <n v="0"/>
    <n v="0"/>
    <n v="0"/>
    <n v="0"/>
    <n v="0"/>
    <n v="0"/>
    <n v="356.72"/>
    <m/>
    <n v="356.72"/>
    <n v="0"/>
    <n v="0"/>
    <n v="0"/>
    <n v="0"/>
    <n v="0"/>
    <n v="0"/>
    <n v="0"/>
    <n v="0"/>
    <n v="0"/>
    <n v="0"/>
    <n v="356.72"/>
  </r>
  <r>
    <s v="ERP-018"/>
    <x v="530"/>
    <s v="McGettigan, David_OTHER"/>
    <s v="ERP"/>
    <s v="Patel, Apurva"/>
    <s v="Patel, Apurva"/>
    <s v="Patel, Apurva"/>
    <s v="McGettigan, David"/>
    <s v="McGettigan, David"/>
    <s v="McGettigan, David"/>
    <x v="8"/>
    <s v="LE2 ME"/>
    <m/>
    <m/>
    <x v="114"/>
    <m/>
    <m/>
    <m/>
    <x v="2"/>
    <s v="5/18/26 CHW - Added LE2 ME to adjust to Target"/>
    <m/>
    <m/>
    <n v="-6407318.4800000004"/>
    <m/>
    <m/>
    <m/>
    <m/>
    <m/>
    <s v=""/>
    <n v="0"/>
    <n v="0"/>
    <m/>
    <m/>
    <n v="-1601829.62"/>
    <n v="-1601829.62"/>
    <n v="-1601829.62"/>
    <n v="-1601829.62"/>
    <n v="-6407318.4800000004"/>
    <n v="0"/>
    <m/>
    <n v="0"/>
    <n v="0"/>
    <m/>
    <n v="0"/>
    <m/>
    <m/>
    <m/>
    <m/>
    <m/>
    <m/>
    <m/>
    <m/>
    <m/>
    <n v="-1601829.62"/>
    <n v="-1601829.62"/>
    <n v="-1601829.62"/>
    <n v="-1601829.62"/>
    <n v="-6407318.4800000004"/>
    <m/>
    <m/>
    <m/>
    <m/>
    <m/>
    <m/>
    <m/>
    <m/>
    <m/>
    <m/>
    <m/>
    <m/>
    <m/>
  </r>
  <r>
    <s v="L-ERP-028"/>
    <x v="531"/>
    <s v="DeHart, Lynn_OTHER_NondigitalCatering001"/>
    <s v="ERP"/>
    <s v="Patel, Apurva"/>
    <s v="Patel, Apurva"/>
    <s v="Patel, Apurva"/>
    <s v="Hase, Raj"/>
    <s v="DeHart, Lynn"/>
    <s v="DeHart, Lynn"/>
    <x v="8"/>
    <s v="Non-digital catering charges"/>
    <m/>
    <m/>
    <x v="350"/>
    <m/>
    <m/>
    <m/>
    <x v="0"/>
    <m/>
    <m/>
    <n v="0"/>
    <n v="614.69000000000005"/>
    <m/>
    <m/>
    <m/>
    <n v="260.76"/>
    <n v="353.93"/>
    <s v=""/>
    <n v="0"/>
    <n v="0"/>
    <n v="0"/>
    <n v="0"/>
    <n v="0"/>
    <n v="0"/>
    <n v="0"/>
    <n v="0"/>
    <n v="614.69000000000005"/>
    <n v="0"/>
    <n v="0"/>
    <n v="0"/>
    <n v="0"/>
    <m/>
    <n v="0"/>
    <m/>
    <m/>
    <n v="260.76"/>
    <n v="353.93"/>
    <n v="0"/>
    <n v="0"/>
    <n v="0"/>
    <n v="0"/>
    <n v="0"/>
    <n v="0"/>
    <n v="0"/>
    <n v="0"/>
    <n v="0"/>
    <n v="614.69000000000005"/>
    <m/>
    <n v="260.76"/>
    <n v="353.93"/>
    <n v="0"/>
    <n v="0"/>
    <n v="0"/>
    <n v="0"/>
    <n v="0"/>
    <n v="0"/>
    <n v="0"/>
    <n v="0"/>
    <n v="0"/>
    <n v="614.69000000000005"/>
  </r>
  <r>
    <s v="L-ERP-417"/>
    <x v="531"/>
    <s v="McGettigan, David_OTHER_NondigitalCatering001"/>
    <s v="ERP"/>
    <s v="Patel, Apurva"/>
    <s v="Patel, Apurva"/>
    <s v="Patel, Apurva"/>
    <s v="McGettigan, David"/>
    <s v="McGettigan, David"/>
    <s v="McGettigan, David"/>
    <x v="8"/>
    <s v="Non-digital catering charges"/>
    <m/>
    <m/>
    <x v="350"/>
    <m/>
    <m/>
    <m/>
    <x v="0"/>
    <m/>
    <m/>
    <n v="0"/>
    <n v="11815.17"/>
    <m/>
    <m/>
    <m/>
    <n v="11815.17"/>
    <n v="0"/>
    <s v=""/>
    <n v="0"/>
    <n v="0"/>
    <n v="0"/>
    <n v="0"/>
    <n v="0"/>
    <n v="0"/>
    <n v="0"/>
    <n v="0"/>
    <n v="11815.17"/>
    <n v="0"/>
    <n v="0"/>
    <n v="0"/>
    <n v="0"/>
    <m/>
    <n v="0"/>
    <m/>
    <m/>
    <n v="11815.17"/>
    <n v="0"/>
    <n v="0"/>
    <n v="0"/>
    <n v="0"/>
    <n v="0"/>
    <n v="0"/>
    <n v="0"/>
    <n v="0"/>
    <n v="0"/>
    <n v="0"/>
    <n v="11815.17"/>
    <m/>
    <n v="11815.17"/>
    <n v="0"/>
    <n v="0"/>
    <n v="0"/>
    <n v="0"/>
    <n v="0"/>
    <n v="0"/>
    <n v="0"/>
    <n v="0"/>
    <n v="0"/>
    <n v="0"/>
    <n v="11815.17"/>
  </r>
  <r>
    <s v="L-ERP-047"/>
    <x v="532"/>
    <s v="DeHart, Lynn_OTHER_Others001"/>
    <s v="ERP"/>
    <s v="Patel, Apurva"/>
    <s v="Patel, Apurva"/>
    <s v="Patel, Apurva"/>
    <s v="Hase, Raj"/>
    <s v="DeHart, Lynn"/>
    <s v="DeHart, Lynn"/>
    <x v="8"/>
    <s v="Other"/>
    <m/>
    <m/>
    <x v="35"/>
    <m/>
    <m/>
    <m/>
    <x v="7"/>
    <m/>
    <m/>
    <n v="0"/>
    <n v="9893.24"/>
    <m/>
    <m/>
    <n v="478.59"/>
    <n v="9120.75"/>
    <n v="293.89999999999998"/>
    <n v="94.080000000000013"/>
    <n v="275.29999999999984"/>
    <n v="-458.89999999999986"/>
    <n v="0"/>
    <n v="0"/>
    <n v="0"/>
    <n v="0"/>
    <n v="0"/>
    <n v="0"/>
    <n v="9803.7199999999993"/>
    <n v="-89.520000000000437"/>
    <n v="0"/>
    <n v="-458.89999999999986"/>
    <n v="-89.520000000000437"/>
    <m/>
    <n v="-89.520000000000437"/>
    <m/>
    <n v="478.59"/>
    <n v="9120.75"/>
    <n v="293.89999999999998"/>
    <n v="0"/>
    <n v="0"/>
    <n v="0"/>
    <n v="0"/>
    <n v="0"/>
    <n v="0"/>
    <n v="0"/>
    <n v="0"/>
    <n v="0"/>
    <n v="9893.24"/>
    <n v="478.59"/>
    <n v="9120.75"/>
    <n v="293.89999999999998"/>
    <n v="0"/>
    <n v="0"/>
    <n v="0"/>
    <n v="0"/>
    <n v="0"/>
    <n v="0"/>
    <n v="0"/>
    <n v="0"/>
    <n v="0"/>
    <n v="9893.24"/>
  </r>
  <r>
    <s v="L-ERP-405"/>
    <x v="532"/>
    <s v="McGettigan, David_OTHER_Others001"/>
    <s v="ERP"/>
    <s v="Patel, Apurva"/>
    <s v="Patel, Apurva"/>
    <s v="Patel, Apurva"/>
    <s v="McGettigan, David"/>
    <s v="McGettigan, David"/>
    <s v="McGettigan, David"/>
    <x v="8"/>
    <s v="Other"/>
    <m/>
    <m/>
    <x v="35"/>
    <m/>
    <m/>
    <m/>
    <x v="7"/>
    <m/>
    <m/>
    <n v="0"/>
    <n v="18.829999999999998"/>
    <m/>
    <m/>
    <n v="19"/>
    <n v="-0.17"/>
    <n v="0"/>
    <n v="4245.9400000000005"/>
    <n v="16"/>
    <n v="0"/>
    <n v="0"/>
    <n v="0"/>
    <n v="0"/>
    <n v="0"/>
    <n v="0"/>
    <n v="0"/>
    <n v="4280.7700000000004"/>
    <n v="4261.9400000000005"/>
    <n v="0"/>
    <n v="0"/>
    <n v="4261.9400000000005"/>
    <m/>
    <n v="4261.9400000000005"/>
    <m/>
    <n v="19"/>
    <n v="-0.17"/>
    <n v="0"/>
    <n v="0"/>
    <n v="0"/>
    <n v="0"/>
    <n v="0"/>
    <n v="0"/>
    <n v="0"/>
    <n v="0"/>
    <n v="0"/>
    <n v="0"/>
    <n v="18.829999999999998"/>
    <n v="19"/>
    <n v="-0.17"/>
    <n v="0"/>
    <n v="0"/>
    <n v="0"/>
    <n v="0"/>
    <n v="0"/>
    <n v="0"/>
    <n v="0"/>
    <n v="0"/>
    <n v="0"/>
    <n v="0"/>
    <n v="18.829999999999998"/>
  </r>
  <r>
    <s v="L-ERP-027"/>
    <x v="533"/>
    <s v="DeHart, Lynn_OTHER_PR-587101-0000007986"/>
    <s v="ERP"/>
    <s v="Patel, Apurva"/>
    <s v="Patel, Apurva"/>
    <s v="Patel, Apurva"/>
    <s v="Hase, Raj"/>
    <s v="DeHart, Lynn"/>
    <s v="DeHart, Lynn"/>
    <x v="8"/>
    <s v="WBS Override Project"/>
    <m/>
    <m/>
    <x v="40"/>
    <m/>
    <m/>
    <m/>
    <x v="0"/>
    <m/>
    <m/>
    <n v="0"/>
    <n v="220.29"/>
    <m/>
    <m/>
    <m/>
    <n v="220.29"/>
    <n v="0"/>
    <s v=""/>
    <n v="0"/>
    <n v="0"/>
    <n v="0"/>
    <n v="0"/>
    <n v="0"/>
    <n v="0"/>
    <n v="0"/>
    <n v="0"/>
    <n v="220.29"/>
    <n v="0"/>
    <n v="0"/>
    <n v="0"/>
    <n v="0"/>
    <m/>
    <n v="0"/>
    <m/>
    <m/>
    <n v="220.29"/>
    <n v="0"/>
    <n v="0"/>
    <n v="0"/>
    <n v="0"/>
    <n v="0"/>
    <n v="0"/>
    <n v="0"/>
    <n v="0"/>
    <n v="0"/>
    <n v="0"/>
    <n v="220.29"/>
    <m/>
    <n v="220.29"/>
    <n v="0"/>
    <n v="0"/>
    <n v="0"/>
    <n v="0"/>
    <n v="0"/>
    <n v="0"/>
    <n v="0"/>
    <n v="0"/>
    <n v="0"/>
    <n v="0"/>
    <n v="220.29"/>
  </r>
  <r>
    <s v="L-ERP-032"/>
    <x v="534"/>
    <s v="DeHart, Lynn_RENT AND UTILITIES_MISC001"/>
    <s v="ERP"/>
    <s v="Patel, Apurva"/>
    <s v="Patel, Apurva"/>
    <s v="Patel, Apurva"/>
    <s v="Hase, Raj"/>
    <s v="DeHart, Lynn"/>
    <s v="DeHart, Lynn"/>
    <x v="10"/>
    <s v="Miscellaneous Charges"/>
    <m/>
    <m/>
    <x v="54"/>
    <m/>
    <m/>
    <m/>
    <x v="0"/>
    <m/>
    <m/>
    <n v="0"/>
    <n v="7191.02"/>
    <m/>
    <m/>
    <n v="843.69"/>
    <n v="4879.99"/>
    <n v="1467.34"/>
    <s v=""/>
    <n v="0"/>
    <n v="237.8"/>
    <n v="0"/>
    <n v="0"/>
    <n v="0"/>
    <n v="0"/>
    <n v="0"/>
    <n v="0"/>
    <n v="7428.8200000000006"/>
    <n v="237.80000000000018"/>
    <n v="0"/>
    <n v="237.8"/>
    <n v="237.80000000000018"/>
    <m/>
    <n v="237.80000000000018"/>
    <m/>
    <n v="843.69"/>
    <n v="4879.99"/>
    <n v="1467.34"/>
    <n v="0"/>
    <n v="0"/>
    <n v="0"/>
    <n v="0"/>
    <n v="0"/>
    <n v="0"/>
    <n v="0"/>
    <n v="0"/>
    <n v="0"/>
    <n v="7191.02"/>
    <n v="843.69"/>
    <n v="4879.99"/>
    <n v="1467.34"/>
    <n v="0"/>
    <n v="0"/>
    <n v="0"/>
    <n v="0"/>
    <n v="0"/>
    <n v="0"/>
    <n v="0"/>
    <n v="0"/>
    <n v="0"/>
    <n v="7191.02"/>
  </r>
  <r>
    <s v="ERP-047"/>
    <x v="534"/>
    <s v="McGettigan, David_RENT AND UTILITIES_MISC001"/>
    <s v="ERP"/>
    <s v="Patel, Apurva"/>
    <s v="Patel, Apurva"/>
    <s v="Patel, Apurva"/>
    <s v="McGettigan, David"/>
    <s v="McGettigan, David"/>
    <s v="McGettigan, David"/>
    <x v="10"/>
    <s v="Miscellaneous Charges"/>
    <m/>
    <s v="2321210"/>
    <x v="54"/>
    <m/>
    <m/>
    <m/>
    <x v="2"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030"/>
    <x v="535"/>
    <s v="DeHart, Lynn_RENT AND UTILITIES_PR-320001-0000007986"/>
    <s v="ERP"/>
    <s v="Patel, Apurva"/>
    <s v="Patel, Apurva"/>
    <s v="Patel, Apurva"/>
    <s v="Hase, Raj"/>
    <s v="DeHart, Lynn"/>
    <s v="DeHart, Lynn"/>
    <x v="10"/>
    <s v="WBS Override Project"/>
    <m/>
    <m/>
    <x v="37"/>
    <m/>
    <m/>
    <m/>
    <x v="0"/>
    <m/>
    <m/>
    <n v="0"/>
    <n v="961.71"/>
    <m/>
    <m/>
    <m/>
    <n v="961.71"/>
    <n v="0"/>
    <s v=""/>
    <n v="0"/>
    <n v="0"/>
    <n v="0"/>
    <n v="0"/>
    <n v="0"/>
    <n v="0"/>
    <n v="0"/>
    <n v="0"/>
    <n v="961.71"/>
    <n v="0"/>
    <n v="0"/>
    <n v="0"/>
    <n v="0"/>
    <m/>
    <n v="0"/>
    <m/>
    <m/>
    <n v="961.71"/>
    <n v="0"/>
    <n v="0"/>
    <n v="0"/>
    <n v="0"/>
    <n v="0"/>
    <n v="0"/>
    <n v="0"/>
    <n v="0"/>
    <n v="0"/>
    <n v="0"/>
    <n v="961.71"/>
    <m/>
    <n v="961.71"/>
    <n v="0"/>
    <n v="0"/>
    <n v="0"/>
    <n v="0"/>
    <n v="0"/>
    <n v="0"/>
    <n v="0"/>
    <n v="0"/>
    <n v="0"/>
    <n v="0"/>
    <n v="961.71"/>
  </r>
  <r>
    <s v="L-ERP-031"/>
    <x v="536"/>
    <s v="DeHart, Lynn_RENT AND UTILITIES_PR-587101-0000007986"/>
    <s v="ERP"/>
    <s v="Patel, Apurva"/>
    <s v="Patel, Apurva"/>
    <s v="Patel, Apurva"/>
    <s v="Hase, Raj"/>
    <s v="DeHart, Lynn"/>
    <s v="DeHart, Lynn"/>
    <x v="10"/>
    <s v="WBS Override Project"/>
    <m/>
    <m/>
    <x v="40"/>
    <m/>
    <m/>
    <m/>
    <x v="0"/>
    <m/>
    <m/>
    <n v="0"/>
    <n v="1672.26"/>
    <m/>
    <m/>
    <m/>
    <n v="1672.26"/>
    <n v="0"/>
    <s v=""/>
    <n v="0"/>
    <n v="0"/>
    <n v="0"/>
    <n v="0"/>
    <n v="0"/>
    <n v="0"/>
    <n v="0"/>
    <n v="0"/>
    <n v="1672.26"/>
    <n v="0"/>
    <n v="0"/>
    <n v="0"/>
    <n v="0"/>
    <m/>
    <n v="0"/>
    <m/>
    <m/>
    <n v="1672.26"/>
    <n v="0"/>
    <n v="0"/>
    <n v="0"/>
    <n v="0"/>
    <n v="0"/>
    <n v="0"/>
    <n v="0"/>
    <n v="0"/>
    <n v="0"/>
    <n v="0"/>
    <n v="1672.26"/>
    <m/>
    <n v="1672.26"/>
    <n v="0"/>
    <n v="0"/>
    <n v="0"/>
    <n v="0"/>
    <n v="0"/>
    <n v="0"/>
    <n v="0"/>
    <n v="0"/>
    <n v="0"/>
    <n v="0"/>
    <n v="1672.26"/>
  </r>
  <r>
    <s v="ERP-022"/>
    <x v="537"/>
    <s v="McGettigan, David_SOFTWARE_BILLINGREV001CN"/>
    <s v="ERP"/>
    <s v="Patel, Apurva"/>
    <s v="Patel, Apurva"/>
    <s v="Patel, Apurva"/>
    <s v="McGettigan, David"/>
    <s v="McGettigan, David"/>
    <s v="McGettigan, David"/>
    <x v="9"/>
    <s v="ITFM-DIGITAL-COPILOT"/>
    <m/>
    <s v="2635052"/>
    <x v="122"/>
    <m/>
    <m/>
    <m/>
    <x v="2"/>
    <m/>
    <m/>
    <m/>
    <m/>
    <m/>
    <m/>
    <m/>
    <m/>
    <m/>
    <n v="-920.3"/>
    <n v="0"/>
    <n v="0"/>
    <m/>
    <m/>
    <m/>
    <m/>
    <m/>
    <m/>
    <n v="-920.3"/>
    <n v="-920.3"/>
    <n v="3000"/>
    <n v="-3000"/>
    <n v="-920.3"/>
    <m/>
    <n v="-920.3"/>
    <m/>
    <m/>
    <m/>
    <m/>
    <m/>
    <m/>
    <m/>
    <m/>
    <m/>
    <m/>
    <m/>
    <m/>
    <m/>
    <m/>
    <m/>
    <m/>
    <m/>
    <m/>
    <m/>
    <m/>
    <m/>
    <m/>
    <m/>
    <m/>
    <m/>
    <m/>
    <m/>
  </r>
  <r>
    <s v="ERP-023"/>
    <x v="538"/>
    <s v="McGettigan, David_SOFTWARE_BILLINGREV009B"/>
    <s v="ERP"/>
    <s v="Patel, Apurva"/>
    <s v="Patel, Apurva"/>
    <s v="Patel, Apurva"/>
    <s v="McGettigan, David"/>
    <s v="McGettigan, David"/>
    <s v="McGettigan, David"/>
    <x v="9"/>
    <s v="ITFM-DIGITAL-M365-LICENSE-2025"/>
    <m/>
    <s v="2635052"/>
    <x v="123"/>
    <m/>
    <m/>
    <m/>
    <x v="2"/>
    <m/>
    <m/>
    <m/>
    <m/>
    <m/>
    <m/>
    <m/>
    <m/>
    <m/>
    <n v="-6115.8"/>
    <n v="0"/>
    <n v="0"/>
    <m/>
    <m/>
    <m/>
    <m/>
    <m/>
    <m/>
    <n v="-6115.8"/>
    <n v="-6115.8"/>
    <n v="351"/>
    <n v="-351"/>
    <n v="-6115.8"/>
    <m/>
    <n v="-6115.8"/>
    <m/>
    <m/>
    <m/>
    <m/>
    <m/>
    <m/>
    <m/>
    <m/>
    <m/>
    <m/>
    <m/>
    <m/>
    <m/>
    <m/>
    <m/>
    <m/>
    <m/>
    <m/>
    <m/>
    <m/>
    <m/>
    <m/>
    <m/>
    <m/>
    <m/>
    <m/>
    <m/>
  </r>
  <r>
    <s v="L-ERP-401"/>
    <x v="539"/>
    <s v="McGettigan, David_SOFTWARE_BillingSweep001"/>
    <s v="ERP"/>
    <s v="Patel, Apurva"/>
    <s v="Patel, Apurva"/>
    <s v="Patel, Apurva"/>
    <s v="McGettigan, David"/>
    <s v="McGettigan, David"/>
    <s v="McGettigan, David"/>
    <x v="9"/>
    <s v="Billing Sweep"/>
    <m/>
    <m/>
    <x v="124"/>
    <s v="CHW - Ok"/>
    <s v="N/A"/>
    <m/>
    <x v="0"/>
    <m/>
    <m/>
    <n v="0"/>
    <n v="0"/>
    <m/>
    <m/>
    <n v="-6074.45"/>
    <n v="6074.45"/>
    <n v="0"/>
    <s v=""/>
    <n v="0"/>
    <n v="0"/>
    <n v="0"/>
    <n v="0"/>
    <n v="0"/>
    <n v="0"/>
    <n v="0"/>
    <n v="0"/>
    <n v="0"/>
    <n v="0"/>
    <n v="0"/>
    <n v="0"/>
    <n v="0"/>
    <m/>
    <n v="0"/>
    <m/>
    <n v="-6074.45"/>
    <n v="6074.45"/>
    <n v="0"/>
    <n v="0"/>
    <n v="0"/>
    <n v="0"/>
    <n v="0"/>
    <n v="0"/>
    <n v="0"/>
    <n v="0"/>
    <n v="0"/>
    <n v="0"/>
    <n v="0"/>
    <n v="-6074.45"/>
    <n v="6074.45"/>
    <n v="0"/>
    <n v="0"/>
    <n v="0"/>
    <n v="0"/>
    <n v="0"/>
    <n v="0"/>
    <n v="0"/>
    <n v="0"/>
    <n v="0"/>
    <n v="0"/>
    <n v="0"/>
  </r>
  <r>
    <s v="L-ERP-402"/>
    <x v="540"/>
    <s v="McGettigan, David_SOFTWARE_BillingSweep002"/>
    <s v="ERP"/>
    <s v="Patel, Apurva"/>
    <s v="Patel, Apurva"/>
    <s v="Patel, Apurva"/>
    <s v="McGettigan, David"/>
    <s v="McGettigan, David"/>
    <s v="McGettigan, David"/>
    <x v="9"/>
    <s v="Billing Sweep"/>
    <m/>
    <m/>
    <x v="125"/>
    <s v="CHW - Ok"/>
    <s v="N/A"/>
    <m/>
    <x v="0"/>
    <m/>
    <m/>
    <n v="0"/>
    <n v="0"/>
    <m/>
    <m/>
    <n v="-1978.48"/>
    <n v="1978.48"/>
    <n v="0"/>
    <s v=""/>
    <n v="0"/>
    <n v="0"/>
    <n v="0"/>
    <n v="0"/>
    <n v="0"/>
    <n v="0"/>
    <n v="0"/>
    <n v="0"/>
    <n v="0"/>
    <n v="0"/>
    <n v="333.33"/>
    <n v="-333.33"/>
    <n v="0"/>
    <m/>
    <n v="0"/>
    <m/>
    <n v="-1978.48"/>
    <n v="1978.48"/>
    <n v="0"/>
    <n v="0"/>
    <n v="0"/>
    <n v="0"/>
    <n v="0"/>
    <n v="0"/>
    <n v="0"/>
    <n v="0"/>
    <n v="0"/>
    <n v="0"/>
    <n v="0"/>
    <n v="-1978.48"/>
    <n v="1978.48"/>
    <n v="0"/>
    <n v="0"/>
    <n v="0"/>
    <n v="0"/>
    <n v="0"/>
    <n v="0"/>
    <n v="0"/>
    <n v="0"/>
    <n v="0"/>
    <n v="0"/>
    <n v="0"/>
  </r>
  <r>
    <s v="L-ERP-036"/>
    <x v="541"/>
    <s v="DeHart, Lynn_SOFTWARE_BillingSweep005"/>
    <s v="ERP"/>
    <s v="Patel, Apurva"/>
    <s v="Patel, Apurva"/>
    <s v="Patel, Apurva"/>
    <s v="Hase, Raj"/>
    <s v="DeHart, Lynn"/>
    <s v="DeHart, Lynn"/>
    <x v="9"/>
    <s v="Billing Sweep"/>
    <m/>
    <m/>
    <x v="60"/>
    <s v="CHW - Ok"/>
    <s v="N/A"/>
    <m/>
    <x v="0"/>
    <m/>
    <m/>
    <n v="0"/>
    <n v="0"/>
    <m/>
    <m/>
    <n v="-256.76"/>
    <n v="256.76"/>
    <n v="0"/>
    <n v="0"/>
    <n v="0"/>
    <n v="0"/>
    <n v="0"/>
    <n v="0"/>
    <n v="0"/>
    <n v="0"/>
    <n v="0"/>
    <n v="0"/>
    <n v="0"/>
    <n v="0"/>
    <n v="0"/>
    <n v="0"/>
    <n v="0"/>
    <m/>
    <n v="0"/>
    <m/>
    <n v="-256.76"/>
    <n v="256.76"/>
    <n v="0"/>
    <n v="0"/>
    <n v="0"/>
    <n v="0"/>
    <n v="0"/>
    <n v="0"/>
    <n v="0"/>
    <n v="0"/>
    <n v="0"/>
    <n v="0"/>
    <n v="0"/>
    <n v="-256.76"/>
    <n v="256.76"/>
    <n v="0"/>
    <n v="0"/>
    <n v="0"/>
    <n v="0"/>
    <n v="0"/>
    <n v="0"/>
    <n v="0"/>
    <n v="0"/>
    <n v="0"/>
    <n v="0"/>
    <n v="0"/>
  </r>
  <r>
    <s v="L-ERP-403"/>
    <x v="542"/>
    <s v="McGettigan, David_SOFTWARE_BillingSweep006"/>
    <s v="ERP"/>
    <s v="Patel, Apurva"/>
    <s v="Patel, Apurva"/>
    <s v="Patel, Apurva"/>
    <s v="McGettigan, David"/>
    <s v="McGettigan, David"/>
    <s v="McGettigan, David"/>
    <x v="9"/>
    <s v="Billing Sweep"/>
    <m/>
    <m/>
    <x v="80"/>
    <s v="CHW - Ok"/>
    <s v="N/A"/>
    <m/>
    <x v="0"/>
    <m/>
    <m/>
    <n v="0"/>
    <n v="0"/>
    <m/>
    <m/>
    <m/>
    <m/>
    <n v="0"/>
    <n v="-184.67"/>
    <n v="0"/>
    <n v="0"/>
    <n v="0"/>
    <n v="0"/>
    <n v="0"/>
    <n v="0"/>
    <n v="0"/>
    <n v="0"/>
    <n v="-184.67"/>
    <n v="-184.67"/>
    <n v="0"/>
    <n v="0"/>
    <n v="-184.67"/>
    <m/>
    <n v="-184.67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</r>
  <r>
    <s v="ERP-024"/>
    <x v="543"/>
    <s v="McGettigan, David_SOFTWARE_BILLINGSWEEP021"/>
    <s v="ERP"/>
    <s v="Patel, Apurva"/>
    <s v="Patel, Apurva"/>
    <s v="Patel, Apurva"/>
    <s v="McGettigan, David"/>
    <s v="McGettigan, David"/>
    <s v="McGettigan, David"/>
    <x v="9"/>
    <s v="ITFM-DIGITAL-DEVSECOPS"/>
    <m/>
    <s v="2635052"/>
    <x v="81"/>
    <m/>
    <m/>
    <m/>
    <x v="2"/>
    <m/>
    <m/>
    <m/>
    <m/>
    <m/>
    <m/>
    <m/>
    <m/>
    <m/>
    <n v="-451.1"/>
    <n v="0"/>
    <n v="0"/>
    <m/>
    <m/>
    <m/>
    <m/>
    <m/>
    <m/>
    <n v="-451.1"/>
    <n v="-451.1"/>
    <m/>
    <n v="0"/>
    <n v="-451.1"/>
    <m/>
    <n v="-451.1"/>
    <m/>
    <m/>
    <m/>
    <m/>
    <m/>
    <m/>
    <m/>
    <m/>
    <m/>
    <m/>
    <m/>
    <m/>
    <m/>
    <m/>
    <m/>
    <m/>
    <m/>
    <m/>
    <m/>
    <m/>
    <m/>
    <m/>
    <m/>
    <m/>
    <m/>
    <m/>
    <m/>
  </r>
  <r>
    <s v="ERP-017"/>
    <x v="544"/>
    <s v="McGettigan, David_SOFTWARE_BillSweepMisc"/>
    <s v="ERP"/>
    <s v="Patel, Apurva"/>
    <s v="Patel, Apurva"/>
    <s v="Patel, Apurva"/>
    <s v="McGettigan, David"/>
    <s v="McGettigan, David"/>
    <s v="McGettigan, David"/>
    <x v="9"/>
    <s v="Billing Sweep AP04 Tie-Out"/>
    <m/>
    <m/>
    <x v="66"/>
    <m/>
    <m/>
    <m/>
    <x v="2"/>
    <s v="5/17 CHW - Added Enhance Tie-out to match AP04 Actuals"/>
    <m/>
    <m/>
    <n v="0"/>
    <m/>
    <m/>
    <m/>
    <m/>
    <m/>
    <s v=""/>
    <n v="0"/>
    <n v="0"/>
    <m/>
    <m/>
    <m/>
    <m/>
    <m/>
    <m/>
    <n v="0"/>
    <n v="0"/>
    <n v="7671.84"/>
    <n v="-7671.84"/>
    <n v="0"/>
    <m/>
    <n v="0"/>
    <m/>
    <m/>
    <m/>
    <m/>
    <n v="-7671.84"/>
    <n v="7671.84"/>
    <m/>
    <m/>
    <m/>
    <m/>
    <m/>
    <m/>
    <m/>
    <n v="0"/>
    <m/>
    <m/>
    <m/>
    <m/>
    <m/>
    <m/>
    <m/>
    <m/>
    <m/>
    <m/>
    <m/>
    <m/>
    <m/>
  </r>
  <r>
    <s v="ERP-048"/>
    <x v="545"/>
    <s v="McGettigan, David_SOFTWARE_CE-BTF22001-02-EX"/>
    <s v="ERP"/>
    <s v="Patel, Apurva"/>
    <s v="Patel, Apurva"/>
    <s v="Patel, Apurva"/>
    <s v="McGettigan, David"/>
    <s v="McGettigan, David"/>
    <s v="McGettigan, David"/>
    <x v="9"/>
    <s v="P321-0006710 SAP S4 - DIGITAL-COPILOT"/>
    <m/>
    <s v="2329955"/>
    <x v="270"/>
    <m/>
    <m/>
    <m/>
    <x v="61"/>
    <m/>
    <m/>
    <m/>
    <m/>
    <m/>
    <m/>
    <m/>
    <m/>
    <m/>
    <m/>
    <n v="227"/>
    <n v="0"/>
    <m/>
    <m/>
    <m/>
    <m/>
    <m/>
    <m/>
    <n v="227"/>
    <n v="227"/>
    <m/>
    <n v="0"/>
    <n v="227"/>
    <m/>
    <n v="227"/>
    <m/>
    <m/>
    <m/>
    <m/>
    <m/>
    <m/>
    <m/>
    <m/>
    <m/>
    <m/>
    <m/>
    <m/>
    <m/>
    <m/>
    <m/>
    <m/>
    <m/>
    <m/>
    <m/>
    <m/>
    <m/>
    <m/>
    <m/>
    <m/>
    <m/>
    <m/>
    <m/>
  </r>
  <r>
    <s v="L-ERP-037"/>
    <x v="546"/>
    <s v="DeHart, Lynn_SOFTWARE_ColleagueSolutions001"/>
    <s v="ERP"/>
    <s v="Patel, Apurva"/>
    <s v="Patel, Apurva"/>
    <s v="Patel, Apurva"/>
    <s v="Hase, Raj"/>
    <s v="DeHart, Lynn"/>
    <s v="DeHart, Lynn"/>
    <x v="9"/>
    <s v="Colleague Solutions Delivery Chargebacks"/>
    <m/>
    <m/>
    <x v="0"/>
    <s v="CHW - Ok"/>
    <s v="N/A"/>
    <m/>
    <x v="0"/>
    <m/>
    <m/>
    <n v="0"/>
    <n v="3227.2200000000003"/>
    <m/>
    <m/>
    <m/>
    <n v="1859.42"/>
    <n v="1367.8"/>
    <n v="0"/>
    <n v="682.06"/>
    <n v="91.56"/>
    <n v="0"/>
    <n v="0"/>
    <n v="0"/>
    <n v="0"/>
    <n v="0"/>
    <n v="0"/>
    <n v="4000.84"/>
    <n v="773.61999999999989"/>
    <n v="0"/>
    <n v="91.56"/>
    <n v="773.61999999999989"/>
    <m/>
    <n v="773.61999999999989"/>
    <m/>
    <m/>
    <n v="1859.42"/>
    <n v="1367.8"/>
    <n v="0"/>
    <n v="0"/>
    <n v="0"/>
    <n v="0"/>
    <n v="0"/>
    <n v="0"/>
    <n v="0"/>
    <n v="0"/>
    <n v="0"/>
    <n v="3227.2200000000003"/>
    <m/>
    <n v="1859.42"/>
    <n v="1367.8"/>
    <n v="0"/>
    <n v="0"/>
    <n v="0"/>
    <n v="0"/>
    <n v="0"/>
    <n v="0"/>
    <n v="0"/>
    <n v="0"/>
    <n v="0"/>
    <n v="3227.2200000000003"/>
  </r>
  <r>
    <s v="L-ERP-408"/>
    <x v="546"/>
    <s v="McGettigan, David_SOFTWARE_ColleagueSolutions001"/>
    <s v="ERP"/>
    <s v="Patel, Apurva"/>
    <s v="Patel, Apurva"/>
    <s v="Patel, Apurva"/>
    <s v="McGettigan, David"/>
    <s v="McGettigan, David"/>
    <s v="McGettigan, David"/>
    <x v="9"/>
    <s v="Colleague Solutions Delivery Chargebacks"/>
    <m/>
    <m/>
    <x v="0"/>
    <s v="CHW - Ok"/>
    <s v="N/A"/>
    <m/>
    <x v="0"/>
    <m/>
    <m/>
    <n v="0"/>
    <n v="257.52"/>
    <m/>
    <m/>
    <m/>
    <n v="257.52"/>
    <n v="0"/>
    <n v="0"/>
    <n v="0"/>
    <n v="0"/>
    <n v="0"/>
    <n v="0"/>
    <n v="0"/>
    <n v="0"/>
    <n v="0"/>
    <n v="0"/>
    <n v="257.52"/>
    <n v="0"/>
    <n v="0"/>
    <n v="0"/>
    <n v="0"/>
    <m/>
    <n v="0"/>
    <m/>
    <m/>
    <n v="257.52"/>
    <n v="0"/>
    <n v="0"/>
    <n v="0"/>
    <n v="0"/>
    <n v="0"/>
    <n v="0"/>
    <n v="0"/>
    <n v="0"/>
    <n v="0"/>
    <n v="0"/>
    <n v="257.52"/>
    <m/>
    <n v="257.52"/>
    <n v="0"/>
    <n v="0"/>
    <n v="0"/>
    <n v="0"/>
    <n v="0"/>
    <n v="0"/>
    <n v="0"/>
    <n v="0"/>
    <n v="0"/>
    <n v="0"/>
    <n v="257.52"/>
  </r>
  <r>
    <s v="L-ERP-395"/>
    <x v="547"/>
    <s v="McGettigan, David_SOFTWARE_ERP_Amort001"/>
    <s v="ERP"/>
    <s v="Patel, Apurva"/>
    <s v="Patel, Apurva"/>
    <s v="Patel, Apurva"/>
    <s v="McGettigan, David"/>
    <s v="McGettigan, David"/>
    <s v="McGettigan, David"/>
    <x v="9"/>
    <s v="CCA - Process Mining Celonis-EMEA/US/PGS- Amortization"/>
    <m/>
    <m/>
    <x v="351"/>
    <m/>
    <s v="N/A"/>
    <m/>
    <x v="62"/>
    <m/>
    <m/>
    <n v="0"/>
    <n v="0"/>
    <m/>
    <m/>
    <n v="16675.14"/>
    <n v="0"/>
    <n v="-16675.14"/>
    <s v=""/>
    <n v="0"/>
    <n v="0"/>
    <m/>
    <m/>
    <m/>
    <m/>
    <m/>
    <m/>
    <n v="0"/>
    <n v="0"/>
    <m/>
    <n v="0"/>
    <n v="0"/>
    <m/>
    <n v="0"/>
    <m/>
    <n v="16675.14"/>
    <n v="0"/>
    <n v="-16675.14"/>
    <m/>
    <m/>
    <m/>
    <m/>
    <m/>
    <m/>
    <m/>
    <m/>
    <m/>
    <n v="0"/>
    <n v="16675.14"/>
    <n v="0"/>
    <n v="-16675.14"/>
    <m/>
    <m/>
    <m/>
    <m/>
    <m/>
    <m/>
    <m/>
    <m/>
    <m/>
    <n v="0"/>
  </r>
  <r>
    <s v="L-ERP-006"/>
    <x v="548"/>
    <s v="DeHart, Lynn_SOFTWARE_IT-FBT0980-OT-US-00"/>
    <s v="ERP"/>
    <s v="Patel, Apurva"/>
    <s v="Patel, Apurva"/>
    <s v="Patel, Apurva"/>
    <s v="Hase, Raj"/>
    <s v="DeHart, Lynn"/>
    <s v="DeHart, Lynn"/>
    <x v="9"/>
    <s v="P324-0014646-Pfizer Apps - App &amp; DB Upgrade"/>
    <m/>
    <m/>
    <x v="345"/>
    <m/>
    <s v="N"/>
    <m/>
    <x v="1"/>
    <m/>
    <m/>
    <n v="0"/>
    <n v="139.72999999999999"/>
    <m/>
    <m/>
    <n v="139.72999999999999"/>
    <n v="139.72999999999999"/>
    <n v="-139.72999999999999"/>
    <n v="0"/>
    <n v="0"/>
    <n v="0"/>
    <n v="0"/>
    <n v="0"/>
    <n v="0"/>
    <n v="0"/>
    <n v="0"/>
    <n v="0"/>
    <n v="139.72999999999999"/>
    <n v="0"/>
    <n v="0"/>
    <n v="0"/>
    <n v="0"/>
    <m/>
    <n v="0"/>
    <m/>
    <n v="139.72999999999999"/>
    <n v="139.72999999999999"/>
    <n v="-139.72999999999999"/>
    <n v="0"/>
    <n v="0"/>
    <n v="0"/>
    <n v="0"/>
    <n v="0"/>
    <n v="0"/>
    <n v="0"/>
    <n v="0"/>
    <n v="0"/>
    <n v="139.72999999999999"/>
    <n v="139.72999999999999"/>
    <n v="139.72999999999999"/>
    <n v="-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397.3"/>
  </r>
  <r>
    <s v="ERP-036"/>
    <x v="549"/>
    <s v="DeHart, Lynn_SOFTWARE_IT-FGS0299-OG-US-00"/>
    <s v="ERP"/>
    <s v="Patel, Apurva"/>
    <s v="Patel, Apurva"/>
    <s v="Patel, Apurva"/>
    <s v="Hase, Raj"/>
    <s v="DeHart, Lynn"/>
    <s v="DeHart, Lynn"/>
    <x v="9"/>
    <s v="DIGITAL-MAC"/>
    <m/>
    <s v="2321399"/>
    <x v="67"/>
    <m/>
    <m/>
    <m/>
    <x v="2"/>
    <m/>
    <m/>
    <m/>
    <m/>
    <m/>
    <m/>
    <m/>
    <m/>
    <m/>
    <m/>
    <n v="200"/>
    <n v="223.09"/>
    <m/>
    <m/>
    <m/>
    <m/>
    <m/>
    <m/>
    <n v="423.09000000000003"/>
    <n v="423.09000000000003"/>
    <m/>
    <n v="223.09"/>
    <n v="423.09000000000003"/>
    <m/>
    <n v="423.09000000000003"/>
    <m/>
    <m/>
    <m/>
    <m/>
    <m/>
    <m/>
    <m/>
    <m/>
    <m/>
    <m/>
    <m/>
    <m/>
    <m/>
    <m/>
    <m/>
    <m/>
    <m/>
    <m/>
    <m/>
    <m/>
    <m/>
    <m/>
    <m/>
    <m/>
    <m/>
    <m/>
    <m/>
  </r>
  <r>
    <s v="L-ERP-003"/>
    <x v="550"/>
    <s v="DeHart, Lynn_SOFTWARE_IT-FGS0300-SW-US-00"/>
    <s v="ERP"/>
    <s v="Patel, Apurva"/>
    <s v="Patel, Apurva"/>
    <s v="Patel, Apurva"/>
    <s v="Hase, Raj"/>
    <s v="DeHart, Lynn"/>
    <s v="DeHart, Lynn"/>
    <x v="9"/>
    <s v="Microsoft Copilot Licenses"/>
    <m/>
    <m/>
    <x v="127"/>
    <m/>
    <s v="N/A"/>
    <m/>
    <x v="27"/>
    <m/>
    <m/>
    <n v="6000"/>
    <n v="13404.42"/>
    <m/>
    <m/>
    <n v="542.75"/>
    <n v="6823.51"/>
    <n v="1538.16"/>
    <n v="1141.3400000000001"/>
    <n v="2127.96"/>
    <n v="672.49"/>
    <n v="500"/>
    <n v="500"/>
    <n v="500"/>
    <n v="500"/>
    <n v="500"/>
    <n v="500"/>
    <n v="15846.210000000001"/>
    <n v="2441.7900000000009"/>
    <n v="500"/>
    <n v="172.49"/>
    <n v="2441.7900000000009"/>
    <m/>
    <n v="2441.7900000000009"/>
    <m/>
    <n v="542.75"/>
    <n v="6823.51"/>
    <n v="1538.16"/>
    <n v="500"/>
    <n v="500"/>
    <n v="500"/>
    <n v="500"/>
    <n v="500"/>
    <n v="500"/>
    <n v="500"/>
    <n v="500"/>
    <n v="500"/>
    <n v="13404.42"/>
    <n v="542.75"/>
    <n v="6823.51"/>
    <n v="1538.16"/>
    <n v="500"/>
    <n v="500"/>
    <n v="500"/>
    <n v="500"/>
    <n v="500"/>
    <n v="500"/>
    <n v="500"/>
    <n v="500"/>
    <n v="500"/>
    <n v="13404.42"/>
  </r>
  <r>
    <s v="L-ERP-410"/>
    <x v="550"/>
    <s v="McGettigan, David_SOFTWARE_IT-FGS0300-SW-US-00"/>
    <s v="ERP"/>
    <s v="Patel, Apurva"/>
    <s v="Patel, Apurva"/>
    <s v="Patel, Apurva"/>
    <s v="McGettigan, David"/>
    <s v="McGettigan, David"/>
    <s v="McGettigan, David"/>
    <x v="9"/>
    <s v="Microsoft Copilot Licenses"/>
    <m/>
    <m/>
    <x v="127"/>
    <m/>
    <s v="N/A"/>
    <m/>
    <x v="27"/>
    <m/>
    <m/>
    <n v="0"/>
    <n v="934.17"/>
    <m/>
    <m/>
    <n v="253.17"/>
    <n v="681"/>
    <n v="0"/>
    <n v="0"/>
    <n v="681"/>
    <n v="0"/>
    <n v="0"/>
    <n v="0"/>
    <n v="0"/>
    <n v="0"/>
    <n v="0"/>
    <n v="0"/>
    <n v="1615.17"/>
    <n v="681.00000000000011"/>
    <n v="0"/>
    <n v="0"/>
    <n v="681.00000000000011"/>
    <m/>
    <n v="681.00000000000011"/>
    <m/>
    <n v="253.17"/>
    <n v="681"/>
    <n v="0"/>
    <n v="0"/>
    <n v="0"/>
    <n v="0"/>
    <n v="0"/>
    <n v="0"/>
    <n v="0"/>
    <n v="0"/>
    <n v="0"/>
    <n v="0"/>
    <n v="934.17"/>
    <n v="253.17"/>
    <n v="681"/>
    <n v="0"/>
    <n v="0"/>
    <n v="0"/>
    <n v="0"/>
    <n v="0"/>
    <n v="0"/>
    <n v="0"/>
    <n v="0"/>
    <n v="0"/>
    <n v="0"/>
    <n v="934.17"/>
  </r>
  <r>
    <s v="L-ERP-015"/>
    <x v="551"/>
    <s v="DeHart, Lynn_SOFTWARE_IT-FGS0302-SW-US-00"/>
    <s v="ERP"/>
    <s v="Patel, Apurva"/>
    <s v="Patel, Apurva"/>
    <s v="Patel, Apurva"/>
    <s v="Hase, Raj"/>
    <s v="DeHart, Lynn"/>
    <s v="DeHart, Lynn"/>
    <x v="9"/>
    <s v="Microsoft O365/M365 Licenses"/>
    <m/>
    <m/>
    <x v="128"/>
    <m/>
    <s v="N/A"/>
    <m/>
    <x v="28"/>
    <m/>
    <m/>
    <n v="36000"/>
    <n v="46414.39"/>
    <m/>
    <m/>
    <n v="6465"/>
    <n v="5197.6400000000003"/>
    <n v="7751.75"/>
    <n v="17671"/>
    <n v="9482"/>
    <n v="14223"/>
    <n v="3000"/>
    <n v="3000"/>
    <n v="3000"/>
    <n v="3000"/>
    <n v="3000"/>
    <n v="3000"/>
    <n v="78790.39"/>
    <n v="32376"/>
    <n v="3000"/>
    <n v="11223"/>
    <n v="32376"/>
    <m/>
    <n v="32376"/>
    <m/>
    <n v="6465"/>
    <n v="5197.6400000000003"/>
    <n v="7751.75"/>
    <n v="3000"/>
    <n v="3000"/>
    <n v="3000"/>
    <n v="3000"/>
    <n v="3000"/>
    <n v="3000"/>
    <n v="3000"/>
    <n v="3000"/>
    <n v="3000"/>
    <n v="46414.39"/>
    <n v="6465"/>
    <n v="5197.6400000000003"/>
    <n v="7751.75"/>
    <n v="3000"/>
    <n v="3000"/>
    <n v="3000"/>
    <n v="3000"/>
    <n v="3000"/>
    <n v="3000"/>
    <n v="3000"/>
    <n v="3000"/>
    <n v="3000"/>
    <n v="46414.39"/>
  </r>
  <r>
    <s v="L-ERP-413"/>
    <x v="551"/>
    <s v="McGettigan, David_SOFTWARE_IT-FGS0302-SW-US-00"/>
    <s v="ERP"/>
    <s v="Patel, Apurva"/>
    <s v="Patel, Apurva"/>
    <s v="Patel, Apurva"/>
    <s v="McGettigan, David"/>
    <s v="McGettigan, David"/>
    <s v="McGettigan, David"/>
    <x v="9"/>
    <s v="Microsoft O365/M365 Licenses"/>
    <m/>
    <m/>
    <x v="128"/>
    <m/>
    <s v="N/A"/>
    <m/>
    <x v="28"/>
    <m/>
    <m/>
    <n v="0"/>
    <n v="2155"/>
    <m/>
    <m/>
    <m/>
    <m/>
    <n v="2155"/>
    <n v="0"/>
    <n v="0"/>
    <n v="0"/>
    <n v="0"/>
    <n v="0"/>
    <n v="0"/>
    <n v="0"/>
    <n v="0"/>
    <n v="0"/>
    <n v="2155"/>
    <n v="0"/>
    <n v="0"/>
    <n v="0"/>
    <n v="0"/>
    <m/>
    <n v="0"/>
    <m/>
    <m/>
    <m/>
    <n v="2155"/>
    <n v="0"/>
    <n v="0"/>
    <n v="0"/>
    <n v="0"/>
    <n v="0"/>
    <n v="0"/>
    <n v="0"/>
    <n v="0"/>
    <n v="0"/>
    <n v="2155"/>
    <m/>
    <m/>
    <n v="2155"/>
    <n v="0"/>
    <n v="0"/>
    <n v="0"/>
    <n v="0"/>
    <n v="0"/>
    <n v="0"/>
    <n v="0"/>
    <n v="0"/>
    <n v="0"/>
    <n v="2155"/>
  </r>
  <r>
    <s v="L-ERP-013"/>
    <x v="552"/>
    <s v="DeHart, Lynn_SOFTWARE_IT-MGS0208-OG-US-00"/>
    <s v="ERP"/>
    <s v="Patel, Apurva"/>
    <s v="Patel, Apurva"/>
    <s v="Patel, Apurva"/>
    <s v="Hase, Raj"/>
    <s v="DeHart, Lynn"/>
    <s v="DeHart, Lynn"/>
    <x v="9"/>
    <s v="Pfizer Apps - Digital Billing"/>
    <m/>
    <m/>
    <x v="347"/>
    <m/>
    <s v="N/A"/>
    <m/>
    <x v="3"/>
    <m/>
    <m/>
    <n v="0"/>
    <n v="1537.03"/>
    <m/>
    <m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n v="0"/>
    <n v="139.72999999999999"/>
    <n v="0"/>
    <n v="0"/>
    <m/>
    <n v="0"/>
    <m/>
    <m/>
    <m/>
    <n v="279.45999999999998"/>
    <n v="139.72999999999999"/>
    <n v="139.72999999999999"/>
    <n v="139.72999999999999"/>
    <n v="139.72999999999999"/>
    <n v="139.72999999999999"/>
    <n v="139.72999999999999"/>
    <n v="139.72999999999999"/>
    <n v="139.72999999999999"/>
    <n v="139.72999999999999"/>
    <n v="1537.03"/>
    <m/>
    <m/>
    <n v="279.45999999999998"/>
    <n v="0"/>
    <n v="0"/>
    <n v="0"/>
    <n v="0"/>
    <n v="0"/>
    <n v="0"/>
    <n v="0"/>
    <n v="0"/>
    <n v="0"/>
    <n v="279.45999999999998"/>
  </r>
  <r>
    <s v="L-ERP-004"/>
    <x v="553"/>
    <s v="DeHart, Lynn_SOFTWARE_IT-SFT1194-86-OG-US"/>
    <s v="ERP"/>
    <s v="Patel, Apurva"/>
    <s v="Patel, Apurva"/>
    <s v="Patel, Apurva"/>
    <s v="Hase, Raj"/>
    <s v="DeHart, Lynn"/>
    <s v="DeHart, Lynn"/>
    <x v="9"/>
    <s v="DevSecOps"/>
    <m/>
    <m/>
    <x v="190"/>
    <m/>
    <s v="N/A"/>
    <m/>
    <x v="40"/>
    <m/>
    <m/>
    <n v="0"/>
    <n v="3886.48"/>
    <m/>
    <m/>
    <m/>
    <m/>
    <n v="3886.48"/>
    <n v="174.65"/>
    <n v="0"/>
    <n v="3826.04"/>
    <n v="0"/>
    <n v="0"/>
    <n v="0"/>
    <n v="0"/>
    <n v="0"/>
    <n v="0"/>
    <n v="7887.17"/>
    <n v="4000.69"/>
    <n v="0"/>
    <n v="3826.04"/>
    <n v="4000.69"/>
    <m/>
    <n v="4000.69"/>
    <m/>
    <m/>
    <m/>
    <n v="3886.48"/>
    <n v="0"/>
    <n v="0"/>
    <n v="0"/>
    <n v="0"/>
    <n v="0"/>
    <n v="0"/>
    <n v="0"/>
    <n v="0"/>
    <n v="0"/>
    <n v="3886.48"/>
    <m/>
    <m/>
    <n v="3886.48"/>
    <n v="0"/>
    <n v="0"/>
    <n v="0"/>
    <n v="0"/>
    <n v="0"/>
    <n v="0"/>
    <n v="0"/>
    <n v="0"/>
    <n v="0"/>
    <n v="3886.48"/>
  </r>
  <r>
    <s v="L-ERP-407"/>
    <x v="553"/>
    <s v="McGettigan, David_SOFTWARE_IT-SFT1194-86-OG-US"/>
    <s v="ERP"/>
    <s v="Patel, Apurva"/>
    <s v="Patel, Apurva"/>
    <s v="Patel, Apurva"/>
    <s v="McGettigan, David"/>
    <s v="McGettigan, David"/>
    <s v="McGettigan, David"/>
    <x v="9"/>
    <s v="DevSecOps"/>
    <m/>
    <m/>
    <x v="190"/>
    <m/>
    <s v="N/A"/>
    <m/>
    <x v="40"/>
    <m/>
    <m/>
    <n v="0"/>
    <n v="95.05"/>
    <m/>
    <m/>
    <m/>
    <m/>
    <n v="95.05"/>
    <n v="0"/>
    <n v="0"/>
    <n v="160.29"/>
    <n v="0"/>
    <n v="0"/>
    <n v="0"/>
    <n v="0"/>
    <n v="0"/>
    <n v="0"/>
    <n v="255.33999999999997"/>
    <n v="160.28999999999996"/>
    <n v="0"/>
    <n v="160.29"/>
    <n v="160.28999999999996"/>
    <m/>
    <n v="160.28999999999996"/>
    <m/>
    <m/>
    <m/>
    <n v="95.05"/>
    <n v="0"/>
    <n v="0"/>
    <n v="0"/>
    <n v="0"/>
    <n v="0"/>
    <n v="0"/>
    <n v="0"/>
    <n v="0"/>
    <n v="0"/>
    <n v="95.05"/>
    <m/>
    <m/>
    <n v="95.05"/>
    <n v="0"/>
    <n v="0"/>
    <n v="0"/>
    <n v="0"/>
    <n v="0"/>
    <n v="0"/>
    <n v="0"/>
    <n v="0"/>
    <n v="0"/>
    <n v="95.05"/>
  </r>
  <r>
    <s v="L-ERP-014"/>
    <x v="554"/>
    <s v="DeHart, Lynn_SOFTWARE_IT-SFT1220-86-OG-US"/>
    <s v="ERP"/>
    <s v="Patel, Apurva"/>
    <s v="Patel, Apurva"/>
    <s v="Patel, Apurva"/>
    <s v="Hase, Raj"/>
    <s v="DeHart, Lynn"/>
    <s v="DeHart, Lynn"/>
    <x v="9"/>
    <s v="Infrastructure Charges - Cloud AWS - RHEL"/>
    <m/>
    <m/>
    <x v="352"/>
    <m/>
    <m/>
    <m/>
    <x v="3"/>
    <m/>
    <m/>
    <n v="3348"/>
    <n v="2511"/>
    <m/>
    <m/>
    <m/>
    <m/>
    <m/>
    <s v=""/>
    <n v="0"/>
    <n v="0"/>
    <n v="279"/>
    <n v="279"/>
    <n v="279"/>
    <n v="279"/>
    <n v="279"/>
    <n v="279"/>
    <n v="1674"/>
    <n v="-837"/>
    <n v="279"/>
    <n v="-279"/>
    <n v="-837"/>
    <m/>
    <n v="-837"/>
    <m/>
    <m/>
    <m/>
    <m/>
    <n v="279"/>
    <n v="279"/>
    <n v="279"/>
    <n v="279"/>
    <n v="279"/>
    <n v="279"/>
    <n v="279"/>
    <n v="279"/>
    <n v="279"/>
    <n v="2511"/>
    <m/>
    <m/>
    <m/>
    <n v="279"/>
    <n v="279"/>
    <n v="279"/>
    <n v="279"/>
    <n v="279"/>
    <n v="279"/>
    <n v="279"/>
    <n v="279"/>
    <n v="279"/>
    <n v="2511"/>
  </r>
  <r>
    <s v="L-ERP-033"/>
    <x v="555"/>
    <s v="DeHart, Lynn_SOFTWARE_IT-SFT1346-OG-US-00"/>
    <s v="ERP"/>
    <s v="Patel, Apurva"/>
    <s v="Patel, Apurva"/>
    <s v="Patel, Apurva"/>
    <s v="Hase, Raj"/>
    <s v="DeHart, Lynn"/>
    <s v="DeHart, Lynn"/>
    <x v="9"/>
    <s v="Office Timeline Pro Plus"/>
    <m/>
    <m/>
    <x v="353"/>
    <m/>
    <m/>
    <m/>
    <x v="0"/>
    <m/>
    <m/>
    <n v="500"/>
    <n v="500"/>
    <m/>
    <m/>
    <m/>
    <m/>
    <m/>
    <s v=""/>
    <n v="0"/>
    <n v="0"/>
    <m/>
    <m/>
    <m/>
    <m/>
    <n v="500"/>
    <n v="0"/>
    <n v="500"/>
    <n v="0"/>
    <m/>
    <n v="0"/>
    <n v="0"/>
    <m/>
    <n v="0"/>
    <m/>
    <m/>
    <m/>
    <m/>
    <m/>
    <m/>
    <m/>
    <m/>
    <m/>
    <m/>
    <m/>
    <n v="500"/>
    <n v="0"/>
    <n v="500"/>
    <m/>
    <m/>
    <m/>
    <m/>
    <m/>
    <m/>
    <m/>
    <m/>
    <m/>
    <m/>
    <n v="500"/>
    <n v="0"/>
    <n v="500"/>
  </r>
  <r>
    <s v="L-ERP-034"/>
    <x v="556"/>
    <s v="DeHart, Lynn_SOFTWARE_IT-SFT1347-OG-US-00"/>
    <s v="ERP"/>
    <s v="Patel, Apurva"/>
    <s v="Patel, Apurva"/>
    <s v="Patel, Apurva"/>
    <s v="Hase, Raj"/>
    <s v="DeHart, Lynn"/>
    <s v="DeHart, Lynn"/>
    <x v="9"/>
    <s v="Power Automate Licenses"/>
    <m/>
    <m/>
    <x v="354"/>
    <m/>
    <m/>
    <m/>
    <x v="0"/>
    <m/>
    <m/>
    <n v="130"/>
    <n v="130"/>
    <m/>
    <m/>
    <m/>
    <m/>
    <m/>
    <s v=""/>
    <n v="0"/>
    <n v="0"/>
    <n v="0"/>
    <n v="0"/>
    <n v="0"/>
    <n v="0"/>
    <n v="0"/>
    <n v="0"/>
    <n v="0"/>
    <n v="-130"/>
    <m/>
    <n v="0"/>
    <n v="-130"/>
    <m/>
    <n v="-130"/>
    <m/>
    <m/>
    <m/>
    <m/>
    <m/>
    <m/>
    <n v="130"/>
    <n v="0"/>
    <n v="0"/>
    <n v="0"/>
    <n v="0"/>
    <n v="0"/>
    <n v="0"/>
    <n v="130"/>
    <m/>
    <m/>
    <m/>
    <m/>
    <m/>
    <n v="130"/>
    <n v="0"/>
    <n v="0"/>
    <n v="0"/>
    <n v="0"/>
    <n v="0"/>
    <n v="0"/>
    <n v="130"/>
  </r>
  <r>
    <s v="L-ERP-035"/>
    <x v="557"/>
    <s v="DeHart, Lynn_SOFTWARE_IT-SFT1398-OG-US-00"/>
    <s v="ERP"/>
    <s v="Patel, Apurva"/>
    <s v="Patel, Apurva"/>
    <s v="Patel, Apurva"/>
    <s v="Hase, Raj"/>
    <s v="DeHart, Lynn"/>
    <s v="DeHart, Lynn"/>
    <x v="9"/>
    <s v="Celonis Climatiq License for 10M shipments annually_XFR0921"/>
    <m/>
    <m/>
    <x v="355"/>
    <m/>
    <m/>
    <m/>
    <x v="0"/>
    <s v="Transfer to Durga Y"/>
    <m/>
    <n v="250000"/>
    <n v="250000"/>
    <m/>
    <m/>
    <m/>
    <m/>
    <m/>
    <s v=""/>
    <n v="0"/>
    <n v="0"/>
    <n v="0"/>
    <n v="0"/>
    <n v="0"/>
    <n v="0"/>
    <n v="0"/>
    <n v="0"/>
    <n v="0"/>
    <n v="-250000"/>
    <m/>
    <n v="0"/>
    <n v="-250000"/>
    <m/>
    <n v="-250000"/>
    <m/>
    <m/>
    <m/>
    <m/>
    <m/>
    <m/>
    <n v="250000"/>
    <n v="0"/>
    <n v="0"/>
    <n v="0"/>
    <n v="0"/>
    <n v="0"/>
    <n v="0"/>
    <n v="250000"/>
    <m/>
    <m/>
    <m/>
    <m/>
    <m/>
    <n v="250000"/>
    <n v="0"/>
    <n v="0"/>
    <n v="0"/>
    <n v="0"/>
    <n v="0"/>
    <n v="0"/>
    <n v="250000"/>
  </r>
  <r>
    <s v="L-ERP-038"/>
    <x v="558"/>
    <s v="DeHart, Lynn_SOFTWARE_MISC001"/>
    <s v="ERP"/>
    <s v="Patel, Apurva"/>
    <s v="Patel, Apurva"/>
    <s v="Patel, Apurva"/>
    <s v="Hase, Raj"/>
    <s v="DeHart, Lynn"/>
    <s v="DeHart, Lynn"/>
    <x v="9"/>
    <s v="Miscellaneous Charges"/>
    <m/>
    <m/>
    <x v="54"/>
    <m/>
    <m/>
    <m/>
    <x v="0"/>
    <m/>
    <m/>
    <n v="0"/>
    <n v="2702.75"/>
    <m/>
    <m/>
    <n v="45.54"/>
    <n v="0.09"/>
    <n v="2657.12"/>
    <n v="12.72"/>
    <n v="29.21"/>
    <n v="7.47"/>
    <n v="0"/>
    <n v="0"/>
    <n v="0"/>
    <n v="0"/>
    <n v="0"/>
    <n v="0"/>
    <n v="2752.1499999999996"/>
    <n v="49.399999999999636"/>
    <n v="0"/>
    <n v="7.47"/>
    <n v="49.399999999999636"/>
    <m/>
    <n v="49.399999999999636"/>
    <m/>
    <n v="45.54"/>
    <n v="0.09"/>
    <n v="2657.12"/>
    <n v="0"/>
    <n v="0"/>
    <n v="0"/>
    <n v="0"/>
    <n v="0"/>
    <n v="0"/>
    <n v="0"/>
    <n v="0"/>
    <n v="0"/>
    <n v="2702.75"/>
    <n v="45.54"/>
    <n v="0.09"/>
    <n v="2657.12"/>
    <n v="0"/>
    <n v="0"/>
    <n v="0"/>
    <n v="0"/>
    <n v="0"/>
    <n v="0"/>
    <n v="0"/>
    <n v="0"/>
    <n v="0"/>
    <n v="2702.75"/>
  </r>
  <r>
    <s v="L-ERP-391"/>
    <x v="558"/>
    <s v="McGettigan, David_SOFTWARE_MISC001"/>
    <s v="ERP"/>
    <s v="Patel, Apurva"/>
    <s v="Patel, Apurva"/>
    <s v="Patel, Apurva"/>
    <s v="McGettigan, David"/>
    <s v="McGettigan, David"/>
    <s v="McGettigan, David"/>
    <x v="9"/>
    <s v="Miscellaneous Charges"/>
    <m/>
    <m/>
    <x v="54"/>
    <m/>
    <m/>
    <m/>
    <x v="0"/>
    <m/>
    <m/>
    <n v="0"/>
    <n v="-711.61"/>
    <m/>
    <m/>
    <n v="-0.39"/>
    <n v="0.11"/>
    <n v="-711.33"/>
    <n v="0"/>
    <n v="0"/>
    <n v="-0.28999999999999998"/>
    <n v="0"/>
    <n v="0"/>
    <n v="0"/>
    <n v="0"/>
    <n v="0"/>
    <n v="0"/>
    <n v="-711.9"/>
    <n v="-0.28999999999996362"/>
    <n v="0"/>
    <n v="-0.28999999999999998"/>
    <n v="-0.28999999999996362"/>
    <m/>
    <n v="-0.28999999999996362"/>
    <m/>
    <n v="-0.39"/>
    <n v="0.11"/>
    <n v="-711.33"/>
    <n v="0"/>
    <n v="0"/>
    <n v="0"/>
    <n v="0"/>
    <n v="0"/>
    <n v="0"/>
    <n v="0"/>
    <n v="0"/>
    <n v="0"/>
    <n v="-711.61"/>
    <n v="-0.39"/>
    <n v="0.11"/>
    <n v="-711.33"/>
    <n v="0"/>
    <n v="0"/>
    <n v="0"/>
    <n v="0"/>
    <n v="0"/>
    <n v="0"/>
    <n v="0"/>
    <n v="0"/>
    <n v="0"/>
    <n v="-711.61"/>
  </r>
  <r>
    <s v="L-ERP-258"/>
    <x v="559"/>
    <s v="Johnson, Paul_MANAGED SERVICES_2026-XFR-0063-A"/>
    <s v="ERP"/>
    <s v="Patel, Apurva"/>
    <s v="Raj/Paul/Lynn"/>
    <s v="Raj/Paul/Lynn"/>
    <s v="Hase, Raj"/>
    <s v="Johnson, Paul"/>
    <s v="DeHart, Lynn"/>
    <x v="7"/>
    <s v="Regulatory Intelligence - 2026 Annual amount as $2,630/mo * 12 months = $31,560"/>
    <m/>
    <m/>
    <x v="356"/>
    <m/>
    <m/>
    <m/>
    <x v="12"/>
    <m/>
    <m/>
    <n v="31560"/>
    <n v="23670"/>
    <m/>
    <m/>
    <m/>
    <m/>
    <m/>
    <s v=""/>
    <n v="0"/>
    <n v="0"/>
    <n v="2630"/>
    <n v="2630"/>
    <n v="2630"/>
    <n v="2630"/>
    <n v="2630"/>
    <n v="2630"/>
    <n v="15780"/>
    <n v="-7890"/>
    <n v="27992"/>
    <n v="-27992"/>
    <n v="-7890"/>
    <m/>
    <n v="-7890"/>
    <m/>
    <m/>
    <m/>
    <m/>
    <n v="2630"/>
    <n v="2630"/>
    <n v="2630"/>
    <n v="2630"/>
    <n v="2630"/>
    <n v="2630"/>
    <n v="2630"/>
    <n v="2630"/>
    <n v="2630"/>
    <n v="23670"/>
    <m/>
    <m/>
    <m/>
    <n v="2630"/>
    <n v="2630"/>
    <n v="2630"/>
    <n v="2630"/>
    <n v="2630"/>
    <n v="2630"/>
    <n v="2630"/>
    <n v="2630"/>
    <n v="2630"/>
    <n v="23670"/>
  </r>
  <r>
    <s v="L-ERP-485"/>
    <x v="560"/>
    <s v="Robertson, Jerome_CONTRACTORS_EnhanceChargeout001"/>
    <s v="ERP"/>
    <s v="Patel, Apurva"/>
    <s v="Robertson, Jerome"/>
    <s v="Robertson, Jerome"/>
    <s v="Robertson, Jerome"/>
    <s v="Robertson, Jerome"/>
    <s v="Robertson, Jerome"/>
    <x v="0"/>
    <s v="Enhance Chargeout Cost Centers"/>
    <m/>
    <m/>
    <x v="1"/>
    <s v="CHW - F/U"/>
    <m/>
    <m/>
    <x v="0"/>
    <s v="4/28 - (JAR) updated to $0 since factory contract has been terminated no scheduled chargebacks are expected. "/>
    <m/>
    <n v="-99996"/>
    <n v="-82720"/>
    <m/>
    <m/>
    <m/>
    <n v="-54900"/>
    <n v="-27820"/>
    <n v="28331"/>
    <n v="34717"/>
    <n v="17146.999999999996"/>
    <n v="0"/>
    <n v="0"/>
    <n v="0"/>
    <n v="0"/>
    <n v="0"/>
    <n v="0"/>
    <n v="-2525.0000000000036"/>
    <n v="80195"/>
    <n v="0"/>
    <n v="17146.999999999996"/>
    <n v="80195"/>
    <m/>
    <n v="80195"/>
    <m/>
    <m/>
    <n v="-54900"/>
    <n v="-27820"/>
    <n v="0"/>
    <n v="0"/>
    <n v="0"/>
    <n v="0"/>
    <n v="0"/>
    <n v="0"/>
    <n v="0"/>
    <n v="0"/>
    <n v="0"/>
    <n v="-82720"/>
    <m/>
    <n v="-54900"/>
    <n v="27080"/>
    <n v="-8333"/>
    <n v="-8333"/>
    <n v="-8333"/>
    <n v="-8333"/>
    <n v="-8333"/>
    <n v="-8333"/>
    <n v="-8333"/>
    <n v="-8333"/>
    <n v="-8333"/>
    <n v="-102817"/>
  </r>
  <r>
    <s v="L-ERP-480"/>
    <x v="561"/>
    <s v="Robertson, Jerome_CONTRACTORS_EP&amp;SCharges001"/>
    <s v="ERP"/>
    <s v="Patel, Apurva"/>
    <s v="Robertson, Jerome"/>
    <s v="Robertson, Jerome"/>
    <s v="Robertson, Jerome"/>
    <s v="Robertson, Jerome"/>
    <s v="Robertson, Jerome"/>
    <x v="0"/>
    <s v="Infrastructure Billing Charges"/>
    <m/>
    <m/>
    <x v="6"/>
    <m/>
    <s v="N/A"/>
    <m/>
    <x v="3"/>
    <m/>
    <m/>
    <n v="0"/>
    <n v="400"/>
    <m/>
    <m/>
    <m/>
    <n v="400"/>
    <n v="0"/>
    <n v="0"/>
    <n v="0"/>
    <n v="0"/>
    <n v="0"/>
    <n v="0"/>
    <n v="0"/>
    <n v="0"/>
    <n v="0"/>
    <n v="0"/>
    <n v="400"/>
    <n v="0"/>
    <n v="0"/>
    <n v="0"/>
    <n v="0"/>
    <m/>
    <n v="0"/>
    <m/>
    <m/>
    <n v="400"/>
    <n v="0"/>
    <n v="0"/>
    <n v="0"/>
    <n v="0"/>
    <n v="0"/>
    <n v="0"/>
    <n v="0"/>
    <n v="0"/>
    <n v="0"/>
    <n v="0"/>
    <n v="400"/>
    <m/>
    <n v="400"/>
    <n v="0"/>
    <n v="0"/>
    <n v="0"/>
    <n v="0"/>
    <n v="0"/>
    <n v="0"/>
    <n v="0"/>
    <n v="0"/>
    <n v="0"/>
    <n v="0"/>
    <n v="400"/>
  </r>
  <r>
    <s v="L-ERP-478"/>
    <x v="562"/>
    <s v="Robertson, Jerome_CONTRACTORS_IT-FBT0572-OG-US-00"/>
    <s v="ERP"/>
    <s v="Patel, Apurva"/>
    <s v="Robertson, Jerome"/>
    <s v="Robertson, Jerome"/>
    <s v="Robertson, Jerome"/>
    <s v="Robertson, Jerome"/>
    <s v="Robertson, Jerome"/>
    <x v="0"/>
    <s v="SAP BI (ERP BI Development Factory) (IBM)"/>
    <m/>
    <m/>
    <x v="357"/>
    <m/>
    <m/>
    <m/>
    <x v="63"/>
    <s v="4/28 - (JAR) Reduced to $0 from 4/1 as we have terminated the contract for the factory model team with IBM. "/>
    <m/>
    <n v="224004"/>
    <n v="53297.440000000002"/>
    <m/>
    <m/>
    <n v="15089.11"/>
    <n v="16899.45"/>
    <n v="21308.880000000001"/>
    <n v="16899.62"/>
    <n v="-34566.71"/>
    <n v="0"/>
    <n v="0"/>
    <n v="0"/>
    <n v="0"/>
    <n v="0"/>
    <n v="0"/>
    <n v="0"/>
    <n v="35630.35"/>
    <n v="-17667.090000000004"/>
    <n v="0"/>
    <n v="0"/>
    <n v="-17667.090000000004"/>
    <m/>
    <n v="-17667.090000000004"/>
    <m/>
    <n v="15089.11"/>
    <n v="16899.45"/>
    <n v="21308.880000000001"/>
    <n v="0"/>
    <n v="0"/>
    <n v="0"/>
    <n v="0"/>
    <n v="0"/>
    <n v="0"/>
    <n v="0"/>
    <n v="0"/>
    <n v="0"/>
    <n v="53297.440000000002"/>
    <n v="15089.11"/>
    <n v="16899.45"/>
    <n v="21308.880000000001"/>
    <n v="18667"/>
    <n v="18667"/>
    <n v="18667"/>
    <n v="18667"/>
    <n v="18667"/>
    <n v="18667"/>
    <n v="18667"/>
    <n v="18667"/>
    <n v="18667"/>
    <n v="221300.44"/>
  </r>
  <r>
    <s v="L-ERP-498"/>
    <x v="563"/>
    <s v="Robertson, Jerome_CONTRACTORS_IT-FBT0573-OG-US-00"/>
    <s v="ERP"/>
    <s v="Patel, Apurva"/>
    <s v="Robertson, Jerome"/>
    <s v="Robertson, Jerome"/>
    <s v="Robertson, Jerome"/>
    <s v="Robertson, Jerome"/>
    <s v="Robertson, Jerome"/>
    <x v="0"/>
    <s v="SAP BI Support"/>
    <m/>
    <m/>
    <x v="358"/>
    <m/>
    <m/>
    <m/>
    <x v="5"/>
    <m/>
    <m/>
    <n v="0"/>
    <n v="112717.21"/>
    <m/>
    <m/>
    <n v="94047.88"/>
    <n v="124852.13"/>
    <n v="-106182.8"/>
    <n v="0"/>
    <n v="0"/>
    <n v="0"/>
    <n v="0"/>
    <n v="0"/>
    <n v="0"/>
    <n v="0"/>
    <n v="0"/>
    <n v="0"/>
    <n v="112717.21"/>
    <n v="0"/>
    <n v="0"/>
    <n v="0"/>
    <n v="0"/>
    <m/>
    <n v="0"/>
    <m/>
    <n v="94047.88"/>
    <n v="124852.13"/>
    <n v="-106182.8"/>
    <n v="0"/>
    <n v="0"/>
    <n v="0"/>
    <n v="0"/>
    <n v="0"/>
    <n v="0"/>
    <n v="0"/>
    <n v="0"/>
    <n v="0"/>
    <n v="112717.21"/>
    <n v="94047.88"/>
    <n v="124852.13"/>
    <n v="-106182.8"/>
    <n v="0"/>
    <n v="0"/>
    <n v="0"/>
    <n v="0"/>
    <n v="0"/>
    <n v="0"/>
    <n v="0"/>
    <n v="0"/>
    <n v="0"/>
    <n v="112717.21"/>
  </r>
  <r>
    <s v="L-ERP-486"/>
    <x v="564"/>
    <s v="Robertson, Jerome_CONTRACTORS_MISC001"/>
    <s v="ERP"/>
    <s v="Patel, Apurva"/>
    <s v="Robertson, Jerome"/>
    <s v="Robertson, Jerome"/>
    <s v="Robertson, Jerome"/>
    <s v="Robertson, Jerome"/>
    <s v="Robertson, Jerome"/>
    <x v="0"/>
    <s v="Miscellaneous Charges"/>
    <m/>
    <m/>
    <x v="54"/>
    <m/>
    <m/>
    <m/>
    <x v="0"/>
    <m/>
    <m/>
    <n v="0"/>
    <n v="79.110000000000298"/>
    <m/>
    <m/>
    <n v="0.01"/>
    <n v="0.42"/>
    <n v="78.680000000000291"/>
    <n v="-0.62"/>
    <n v="-20720.55"/>
    <n v="0"/>
    <n v="0"/>
    <n v="0"/>
    <n v="0"/>
    <n v="0"/>
    <n v="0"/>
    <n v="0"/>
    <n v="-20642.059999999998"/>
    <n v="-20721.169999999998"/>
    <n v="0"/>
    <n v="0"/>
    <n v="-20721.169999999998"/>
    <m/>
    <n v="-20721.169999999998"/>
    <m/>
    <n v="0.01"/>
    <n v="0.42"/>
    <n v="78.680000000000291"/>
    <n v="0"/>
    <n v="0"/>
    <n v="0"/>
    <n v="0"/>
    <n v="0"/>
    <n v="0"/>
    <n v="0"/>
    <n v="0"/>
    <n v="0"/>
    <n v="79.110000000000298"/>
    <n v="0.01"/>
    <n v="0.42"/>
    <n v="-54821.32"/>
    <n v="0"/>
    <n v="0"/>
    <n v="0"/>
    <n v="0"/>
    <n v="0"/>
    <n v="0"/>
    <n v="0"/>
    <n v="0"/>
    <n v="0"/>
    <n v="-54820.89"/>
  </r>
  <r>
    <s v="L-ERP-482"/>
    <x v="565"/>
    <s v="Robertson, Jerome_HW MAINTENANCE_EP&amp;SCharges001"/>
    <s v="ERP"/>
    <s v="Patel, Apurva"/>
    <s v="Robertson, Jerome"/>
    <s v="Robertson, Jerome"/>
    <s v="Robertson, Jerome"/>
    <s v="Robertson, Jerome"/>
    <s v="Robertson, Jerome"/>
    <x v="6"/>
    <s v="Infrastructure Billing Charges"/>
    <m/>
    <m/>
    <x v="6"/>
    <m/>
    <s v="N/A"/>
    <m/>
    <x v="3"/>
    <m/>
    <m/>
    <n v="0"/>
    <n v="1060"/>
    <m/>
    <m/>
    <m/>
    <n v="1060"/>
    <n v="0"/>
    <s v=""/>
    <n v="0"/>
    <n v="0"/>
    <n v="0"/>
    <n v="0"/>
    <n v="0"/>
    <n v="0"/>
    <n v="0"/>
    <n v="0"/>
    <n v="1060"/>
    <n v="0"/>
    <n v="0"/>
    <n v="0"/>
    <n v="0"/>
    <m/>
    <n v="0"/>
    <m/>
    <m/>
    <n v="1060"/>
    <n v="0"/>
    <n v="0"/>
    <n v="0"/>
    <n v="0"/>
    <n v="0"/>
    <n v="0"/>
    <n v="0"/>
    <n v="0"/>
    <n v="0"/>
    <n v="0"/>
    <n v="1060"/>
    <m/>
    <n v="1060"/>
    <n v="0"/>
    <n v="0"/>
    <n v="0"/>
    <n v="0"/>
    <n v="0"/>
    <n v="0"/>
    <n v="0"/>
    <n v="0"/>
    <n v="0"/>
    <n v="0"/>
    <n v="1060"/>
  </r>
  <r>
    <s v="L-ERP-481"/>
    <x v="566"/>
    <s v="Robertson, Jerome_HW MAINTENANCE_IT-FGS0299-OG-US-00"/>
    <s v="ERP"/>
    <s v="Patel, Apurva"/>
    <s v="Robertson, Jerome"/>
    <s v="Robertson, Jerome"/>
    <s v="Robertson, Jerome"/>
    <s v="Robertson, Jerome"/>
    <s v="Robertson, Jerome"/>
    <x v="6"/>
    <s v="Others (Vending, Meeting event, Devices Unreturned, Applecare, Mac-mgmt, IT Onboard, etc.)"/>
    <m/>
    <m/>
    <x v="67"/>
    <m/>
    <s v="N/A"/>
    <m/>
    <x v="3"/>
    <m/>
    <m/>
    <n v="0"/>
    <n v="2902.66"/>
    <m/>
    <m/>
    <m/>
    <m/>
    <n v="2902.66"/>
    <n v="229.1"/>
    <n v="87.28"/>
    <n v="0"/>
    <n v="0"/>
    <n v="0"/>
    <n v="0"/>
    <n v="0"/>
    <n v="0"/>
    <n v="0"/>
    <n v="3219.04"/>
    <n v="316.38000000000011"/>
    <n v="0"/>
    <n v="0"/>
    <n v="316.38000000000011"/>
    <m/>
    <n v="316.38000000000011"/>
    <m/>
    <m/>
    <m/>
    <n v="2902.66"/>
    <n v="0"/>
    <n v="0"/>
    <n v="0"/>
    <n v="0"/>
    <n v="0"/>
    <n v="0"/>
    <n v="0"/>
    <n v="0"/>
    <n v="0"/>
    <n v="2902.66"/>
    <m/>
    <m/>
    <n v="2902.66"/>
    <n v="0"/>
    <n v="0"/>
    <n v="0"/>
    <n v="0"/>
    <n v="0"/>
    <n v="0"/>
    <n v="0"/>
    <n v="0"/>
    <n v="0"/>
    <n v="2902.66"/>
  </r>
  <r>
    <s v="L-ERP-487"/>
    <x v="567"/>
    <s v="Robertson, Jerome_HW MAINTENANCE_MISC001"/>
    <s v="ERP"/>
    <s v="Patel, Apurva"/>
    <s v="Robertson, Jerome"/>
    <s v="Robertson, Jerome"/>
    <s v="Robertson, Jerome"/>
    <s v="Robertson, Jerome"/>
    <s v="Robertson, Jerome"/>
    <x v="6"/>
    <s v="Miscellaneous Charges"/>
    <m/>
    <m/>
    <x v="54"/>
    <m/>
    <m/>
    <m/>
    <x v="0"/>
    <m/>
    <m/>
    <n v="0"/>
    <n v="420.97"/>
    <m/>
    <m/>
    <m/>
    <m/>
    <n v="420.97"/>
    <n v="-0.11"/>
    <n v="0.21"/>
    <n v="0"/>
    <n v="0"/>
    <n v="0"/>
    <n v="0"/>
    <n v="0"/>
    <n v="0"/>
    <n v="0"/>
    <n v="421.07"/>
    <n v="9.9999999999965894E-2"/>
    <n v="0"/>
    <n v="0"/>
    <n v="9.9999999999965894E-2"/>
    <m/>
    <n v="9.9999999999965894E-2"/>
    <m/>
    <m/>
    <m/>
    <n v="420.97"/>
    <n v="0"/>
    <n v="0"/>
    <n v="0"/>
    <n v="0"/>
    <n v="0"/>
    <n v="0"/>
    <n v="0"/>
    <n v="0"/>
    <n v="0"/>
    <n v="420.97"/>
    <m/>
    <m/>
    <n v="420.97"/>
    <n v="0"/>
    <n v="0"/>
    <n v="0"/>
    <n v="0"/>
    <n v="0"/>
    <n v="0"/>
    <n v="0"/>
    <n v="0"/>
    <n v="0"/>
    <n v="420.97"/>
  </r>
  <r>
    <s v="L-ERP-499"/>
    <x v="568"/>
    <s v="Robertson, Jerome_MANAGED SERVICES_IT-FBT0573-OG-US-00"/>
    <s v="ERP"/>
    <s v="Patel, Apurva"/>
    <s v="Robertson, Jerome"/>
    <s v="Robertson, Jerome"/>
    <s v="Robertson, Jerome"/>
    <s v="Robertson, Jerome"/>
    <s v="Robertson, Jerome"/>
    <x v="7"/>
    <s v="SAP BI Support"/>
    <m/>
    <m/>
    <x v="358"/>
    <m/>
    <m/>
    <m/>
    <x v="5"/>
    <m/>
    <m/>
    <n v="1274196"/>
    <n v="1157512.03"/>
    <m/>
    <m/>
    <m/>
    <m/>
    <n v="201865.03"/>
    <n v="98015.38"/>
    <n v="98015.39"/>
    <n v="122519.23000000001"/>
    <n v="106183"/>
    <n v="106183"/>
    <n v="106183"/>
    <n v="106183"/>
    <n v="106183"/>
    <n v="106183"/>
    <n v="1157513.03"/>
    <n v="1"/>
    <n v="106183"/>
    <n v="16336.23000000001"/>
    <n v="1"/>
    <m/>
    <n v="1"/>
    <m/>
    <m/>
    <m/>
    <n v="201865.03"/>
    <n v="106183"/>
    <n v="106183"/>
    <n v="106183"/>
    <n v="106183"/>
    <n v="106183"/>
    <n v="106183"/>
    <n v="106183"/>
    <n v="106183"/>
    <n v="106183"/>
    <n v="1157512.03"/>
    <m/>
    <m/>
    <n v="201865.03"/>
    <n v="106183"/>
    <n v="106183"/>
    <n v="106183"/>
    <n v="106183"/>
    <n v="106183"/>
    <n v="106183"/>
    <n v="106183"/>
    <n v="106183"/>
    <n v="106183"/>
    <n v="1157512.03"/>
  </r>
  <r>
    <s v="L-ERP-500"/>
    <x v="569"/>
    <s v="Robertson, Jerome_MANAGED SERVICES_IT-FBT0573-OG-US-00-CB"/>
    <s v="ERP"/>
    <s v="Patel, Apurva"/>
    <s v="Robertson, Jerome"/>
    <s v="Robertson, Jerome"/>
    <s v="Robertson, Jerome"/>
    <s v="Robertson, Jerome"/>
    <s v="Robertson, Jerome"/>
    <x v="7"/>
    <s v="SAP BI Support"/>
    <m/>
    <m/>
    <x v="359"/>
    <m/>
    <m/>
    <m/>
    <x v="5"/>
    <s v="4/28 - (JAR) updated to $0 since factory contract has been terminated no scheduled chargebacks are expected. "/>
    <m/>
    <n v="-12000"/>
    <n v="0"/>
    <m/>
    <m/>
    <m/>
    <m/>
    <m/>
    <s v=""/>
    <n v="0"/>
    <n v="0"/>
    <n v="0"/>
    <n v="0"/>
    <n v="0"/>
    <n v="0"/>
    <n v="0"/>
    <n v="0"/>
    <n v="0"/>
    <n v="0"/>
    <m/>
    <n v="0"/>
    <n v="0"/>
    <m/>
    <n v="0"/>
    <m/>
    <m/>
    <m/>
    <m/>
    <m/>
    <m/>
    <n v="0"/>
    <n v="0"/>
    <n v="0"/>
    <n v="0"/>
    <n v="0"/>
    <n v="0"/>
    <n v="0"/>
    <n v="0"/>
    <m/>
    <m/>
    <m/>
    <m/>
    <m/>
    <n v="-3000"/>
    <n v="0"/>
    <n v="0"/>
    <n v="-3000"/>
    <n v="0"/>
    <n v="0"/>
    <n v="-3000"/>
    <n v="-9000"/>
  </r>
  <r>
    <s v="L-ERP-483"/>
    <x v="570"/>
    <s v="Robertson, Jerome_MANAGED SERVICES_IT-FGS0301-OG-US-00"/>
    <s v="ERP"/>
    <s v="Patel, Apurva"/>
    <s v="Robertson, Jerome"/>
    <s v="Robertson, Jerome"/>
    <s v="Robertson, Jerome"/>
    <s v="Robertson, Jerome"/>
    <s v="Robertson, Jerome"/>
    <x v="7"/>
    <s v="Desktop on Demand (VDS)"/>
    <m/>
    <m/>
    <x v="101"/>
    <m/>
    <s v="N/A"/>
    <m/>
    <x v="3"/>
    <m/>
    <m/>
    <n v="0"/>
    <n v="11571"/>
    <m/>
    <m/>
    <n v="681"/>
    <n v="981"/>
    <n v="2709"/>
    <n v="2441"/>
    <n v="2448"/>
    <n v="1771"/>
    <n v="800"/>
    <n v="800"/>
    <n v="800"/>
    <n v="800"/>
    <n v="800"/>
    <n v="800"/>
    <n v="15831"/>
    <n v="4260"/>
    <n v="800"/>
    <n v="971"/>
    <n v="4260"/>
    <m/>
    <n v="4260"/>
    <m/>
    <n v="681"/>
    <n v="981"/>
    <n v="2709"/>
    <n v="800"/>
    <n v="800"/>
    <n v="800"/>
    <n v="800"/>
    <n v="800"/>
    <n v="800"/>
    <n v="800"/>
    <n v="800"/>
    <n v="800"/>
    <n v="11571"/>
    <n v="681"/>
    <n v="981"/>
    <n v="2709"/>
    <n v="800"/>
    <n v="800"/>
    <n v="800"/>
    <n v="800"/>
    <n v="800"/>
    <n v="800"/>
    <n v="800"/>
    <n v="800"/>
    <n v="800"/>
    <n v="11571"/>
  </r>
  <r>
    <s v="L-ERP-488"/>
    <x v="571"/>
    <s v="Robertson, Jerome_MANAGED SERVICES_IT-MGS0165-OG-US-00"/>
    <s v="ERP"/>
    <s v="Patel, Apurva"/>
    <s v="Robertson, Jerome"/>
    <s v="Robertson, Jerome"/>
    <s v="Robertson, Jerome"/>
    <s v="Robertson, Jerome"/>
    <s v="Robertson, Jerome"/>
    <x v="7"/>
    <s v="SAP BW Oracle Landing Zone"/>
    <m/>
    <m/>
    <x v="360"/>
    <m/>
    <m/>
    <m/>
    <x v="0"/>
    <m/>
    <m/>
    <n v="12000"/>
    <n v="12000"/>
    <m/>
    <m/>
    <m/>
    <m/>
    <m/>
    <s v=""/>
    <n v="0"/>
    <n v="0"/>
    <n v="0"/>
    <n v="0"/>
    <n v="0"/>
    <n v="0"/>
    <n v="0"/>
    <n v="0"/>
    <n v="0"/>
    <n v="-12000"/>
    <m/>
    <n v="0"/>
    <n v="-12000"/>
    <m/>
    <n v="-12000"/>
    <m/>
    <m/>
    <m/>
    <m/>
    <m/>
    <m/>
    <n v="12000"/>
    <n v="0"/>
    <n v="0"/>
    <n v="0"/>
    <n v="0"/>
    <n v="0"/>
    <n v="0"/>
    <n v="12000"/>
    <m/>
    <m/>
    <m/>
    <m/>
    <m/>
    <n v="12000"/>
    <n v="0"/>
    <n v="0"/>
    <n v="0"/>
    <n v="0"/>
    <n v="0"/>
    <n v="0"/>
    <n v="12000"/>
  </r>
  <r>
    <s v="L-ERP-489"/>
    <x v="572"/>
    <s v="Robertson, Jerome_MANAGED SERVICES_MISC001"/>
    <s v="ERP"/>
    <s v="Patel, Apurva"/>
    <s v="Robertson, Jerome"/>
    <s v="Robertson, Jerome"/>
    <s v="Robertson, Jerome"/>
    <s v="Robertson, Jerome"/>
    <s v="Robertson, Jerome"/>
    <x v="7"/>
    <s v="Miscellaneous Charges"/>
    <m/>
    <m/>
    <x v="54"/>
    <m/>
    <m/>
    <m/>
    <x v="0"/>
    <s v="Chargeback in AP06 for RD/AI JUN0097 DATAIKU DSS ERP/SAP was originally forecasted for AP08 under IT-MGS0167-OG-US-00 in Software"/>
    <m/>
    <n v="0"/>
    <n v="-0.03"/>
    <m/>
    <m/>
    <m/>
    <m/>
    <n v="-0.03"/>
    <n v="-0.38"/>
    <n v="0.61"/>
    <n v="341292.15"/>
    <n v="0"/>
    <n v="0"/>
    <n v="0"/>
    <n v="0"/>
    <n v="0"/>
    <n v="0"/>
    <n v="341292.35000000003"/>
    <n v="341292.38000000006"/>
    <n v="0"/>
    <n v="341292.15"/>
    <n v="341292.38000000006"/>
    <m/>
    <n v="341292.38000000006"/>
    <m/>
    <m/>
    <m/>
    <n v="-0.03"/>
    <n v="0"/>
    <n v="0"/>
    <n v="0"/>
    <n v="0"/>
    <n v="0"/>
    <n v="0"/>
    <n v="0"/>
    <n v="0"/>
    <n v="0"/>
    <n v="-0.03"/>
    <m/>
    <m/>
    <n v="-0.03"/>
    <n v="0"/>
    <n v="0"/>
    <n v="0"/>
    <n v="0"/>
    <n v="0"/>
    <n v="0"/>
    <n v="0"/>
    <n v="0"/>
    <n v="0"/>
    <n v="-0.03"/>
  </r>
  <r>
    <s v="L-ERP-497"/>
    <x v="573"/>
    <s v="Robertson, Jerome_OTHER_Others001"/>
    <s v="ERP"/>
    <s v="Patel, Apurva"/>
    <s v="Robertson, Jerome"/>
    <s v="Robertson, Jerome"/>
    <s v="Robertson, Jerome"/>
    <s v="Robertson, Jerome"/>
    <s v="Robertson, Jerome"/>
    <x v="8"/>
    <s v="Other"/>
    <m/>
    <m/>
    <x v="35"/>
    <m/>
    <m/>
    <m/>
    <x v="7"/>
    <m/>
    <m/>
    <n v="0"/>
    <n v="28.1"/>
    <m/>
    <m/>
    <m/>
    <n v="27.55"/>
    <n v="0.55000000000000004"/>
    <n v="2.16"/>
    <n v="4.129999999999999"/>
    <n v="57.92"/>
    <n v="0"/>
    <n v="0"/>
    <n v="0"/>
    <n v="0"/>
    <n v="0"/>
    <n v="0"/>
    <n v="92.31"/>
    <n v="64.210000000000008"/>
    <n v="0"/>
    <n v="57.92"/>
    <n v="64.210000000000008"/>
    <m/>
    <n v="64.210000000000008"/>
    <m/>
    <m/>
    <n v="27.55"/>
    <n v="0.55000000000000004"/>
    <n v="0"/>
    <n v="0"/>
    <n v="0"/>
    <n v="0"/>
    <n v="0"/>
    <n v="0"/>
    <n v="0"/>
    <n v="0"/>
    <n v="0"/>
    <n v="28.1"/>
    <m/>
    <n v="27.55"/>
    <n v="0.55000000000000004"/>
    <n v="0"/>
    <n v="0"/>
    <n v="0"/>
    <n v="0"/>
    <n v="0"/>
    <n v="0"/>
    <n v="0"/>
    <n v="0"/>
    <n v="0"/>
    <n v="28.1"/>
  </r>
  <r>
    <s v="L-ERP-491"/>
    <x v="574"/>
    <s v="Robertson, Jerome_SOFTWARE_ColleagueSolutions001"/>
    <s v="ERP"/>
    <s v="Patel, Apurva"/>
    <s v="Robertson, Jerome"/>
    <s v="Robertson, Jerome"/>
    <s v="Robertson, Jerome"/>
    <s v="Robertson, Jerome"/>
    <s v="Robertson, Jerome"/>
    <x v="9"/>
    <s v="Colleague Solutions Delivery Chargebacks"/>
    <m/>
    <m/>
    <x v="0"/>
    <s v="CHW - Ok"/>
    <s v="N/A"/>
    <m/>
    <x v="0"/>
    <m/>
    <m/>
    <n v="0"/>
    <n v="200.42"/>
    <m/>
    <m/>
    <m/>
    <m/>
    <n v="200.42"/>
    <n v="0"/>
    <n v="0"/>
    <n v="0"/>
    <n v="0"/>
    <n v="0"/>
    <n v="0"/>
    <n v="0"/>
    <n v="0"/>
    <n v="0"/>
    <n v="200.42"/>
    <n v="0"/>
    <n v="0"/>
    <n v="0"/>
    <n v="0"/>
    <m/>
    <n v="0"/>
    <m/>
    <m/>
    <m/>
    <n v="200.42"/>
    <n v="0"/>
    <n v="0"/>
    <n v="0"/>
    <n v="0"/>
    <n v="0"/>
    <n v="0"/>
    <n v="0"/>
    <n v="0"/>
    <n v="0"/>
    <n v="200.42"/>
    <m/>
    <m/>
    <n v="200.42"/>
    <n v="0"/>
    <n v="0"/>
    <n v="0"/>
    <n v="0"/>
    <n v="0"/>
    <n v="0"/>
    <n v="0"/>
    <n v="0"/>
    <n v="0"/>
    <n v="200.42"/>
  </r>
  <r>
    <s v="L-ERP-477"/>
    <x v="575"/>
    <s v="Robertson, Jerome_SOFTWARE_IT-FGS0300-SW-US-00"/>
    <s v="ERP"/>
    <s v="Patel, Apurva"/>
    <s v="Robertson, Jerome"/>
    <s v="Robertson, Jerome"/>
    <s v="Robertson, Jerome"/>
    <s v="Robertson, Jerome"/>
    <s v="Robertson, Jerome"/>
    <x v="9"/>
    <s v="Microsoft Copilot Licenses"/>
    <m/>
    <m/>
    <x v="127"/>
    <m/>
    <s v="N/A"/>
    <m/>
    <x v="27"/>
    <m/>
    <m/>
    <n v="838.44"/>
    <n v="1759.95"/>
    <m/>
    <m/>
    <m/>
    <n v="921.51"/>
    <n v="0"/>
    <n v="717.38"/>
    <n v="227"/>
    <n v="0"/>
    <n v="0"/>
    <n v="550"/>
    <n v="288.44"/>
    <n v="0"/>
    <n v="0"/>
    <n v="0"/>
    <n v="2704.33"/>
    <n v="944.37999999999988"/>
    <n v="0"/>
    <n v="0"/>
    <n v="944.37999999999988"/>
    <m/>
    <n v="944.37999999999988"/>
    <m/>
    <m/>
    <n v="921.51"/>
    <n v="0"/>
    <n v="0"/>
    <n v="0"/>
    <n v="0"/>
    <n v="0"/>
    <n v="550"/>
    <n v="288.44"/>
    <n v="0"/>
    <n v="0"/>
    <n v="0"/>
    <n v="1759.95"/>
    <m/>
    <n v="921.51"/>
    <n v="0"/>
    <n v="0"/>
    <n v="0"/>
    <n v="0"/>
    <n v="0"/>
    <n v="550"/>
    <n v="288.44"/>
    <n v="0"/>
    <n v="0"/>
    <n v="0"/>
    <n v="1759.95"/>
  </r>
  <r>
    <s v="L-ERP-484"/>
    <x v="576"/>
    <s v="Robertson, Jerome_SOFTWARE_IT-FGS0302-SW-US-00"/>
    <s v="ERP"/>
    <s v="Patel, Apurva"/>
    <s v="Robertson, Jerome"/>
    <s v="Robertson, Jerome"/>
    <s v="Robertson, Jerome"/>
    <s v="Robertson, Jerome"/>
    <s v="Robertson, Jerome"/>
    <x v="9"/>
    <s v="Microsoft O365/M365 Licenses"/>
    <m/>
    <m/>
    <x v="128"/>
    <m/>
    <s v="N/A"/>
    <m/>
    <x v="28"/>
    <m/>
    <m/>
    <n v="4500"/>
    <n v="8574.7199999999993"/>
    <m/>
    <m/>
    <n v="431"/>
    <n v="2586"/>
    <n v="2182.7199999999998"/>
    <n v="431"/>
    <n v="0"/>
    <n v="1724"/>
    <n v="375"/>
    <n v="375"/>
    <n v="375"/>
    <n v="375"/>
    <n v="375"/>
    <n v="375"/>
    <n v="9604.7199999999993"/>
    <n v="1030"/>
    <n v="375"/>
    <n v="1349"/>
    <n v="1030"/>
    <m/>
    <n v="1030"/>
    <m/>
    <n v="431"/>
    <n v="2586"/>
    <n v="2182.7199999999998"/>
    <n v="375"/>
    <n v="375"/>
    <n v="375"/>
    <n v="375"/>
    <n v="375"/>
    <n v="375"/>
    <n v="375"/>
    <n v="375"/>
    <n v="375"/>
    <n v="8574.7199999999993"/>
    <n v="431"/>
    <n v="2586"/>
    <n v="2182.7199999999998"/>
    <n v="375"/>
    <n v="375"/>
    <n v="375"/>
    <n v="375"/>
    <n v="375"/>
    <n v="375"/>
    <n v="375"/>
    <n v="375"/>
    <n v="375"/>
    <n v="8574.7199999999993"/>
  </r>
  <r>
    <s v="N-ERP-612"/>
    <x v="577"/>
    <s v="Robertson, Jerome_SOFTWARE_IT-MGS0167-OG-US-00"/>
    <s v="ERP"/>
    <s v="Patel, Apurva"/>
    <s v="Robertson, Jerome"/>
    <s v="Robertson, Jerome"/>
    <s v="Robertson, Jerome"/>
    <s v="Robertson, Jerome"/>
    <s v="Robertson, Jerome"/>
    <x v="9"/>
    <s v="2329547_Virtual Analytics Workbench (VAW) DSS - Data Science Studio Tools"/>
    <m/>
    <m/>
    <x v="361"/>
    <m/>
    <s v="N/A"/>
    <m/>
    <x v="64"/>
    <s v="4/28/26 CHW New add to tie-out 0223 to 0317 Planful Extracts; 7/14 TW zeroed out this line - actuals pulled in under  MISC001 Managed Services in AP06"/>
    <m/>
    <n v="340000"/>
    <n v="340000"/>
    <m/>
    <m/>
    <m/>
    <m/>
    <m/>
    <s v=""/>
    <n v="0"/>
    <n v="0"/>
    <n v="0"/>
    <n v="0"/>
    <n v="0"/>
    <n v="0"/>
    <n v="0"/>
    <n v="0"/>
    <n v="0"/>
    <n v="-340000"/>
    <n v="0"/>
    <n v="0"/>
    <n v="0"/>
    <m/>
    <n v="-340000"/>
    <m/>
    <m/>
    <m/>
    <m/>
    <n v="0"/>
    <n v="0"/>
    <n v="0"/>
    <n v="0"/>
    <n v="340000"/>
    <n v="0"/>
    <n v="0"/>
    <n v="0"/>
    <n v="0"/>
    <n v="340000"/>
    <n v="0"/>
    <n v="0"/>
    <n v="340000"/>
    <n v="0"/>
    <n v="0"/>
    <n v="0"/>
    <n v="0"/>
    <n v="0"/>
    <n v="0"/>
    <n v="0"/>
    <n v="0"/>
    <n v="0"/>
    <n v="340000"/>
  </r>
  <r>
    <s v="L-ERP-479"/>
    <x v="578"/>
    <s v="Robertson, Jerome_SOFTWARE_IT-SFT1194-86-OG-US"/>
    <s v="ERP"/>
    <s v="Patel, Apurva"/>
    <s v="Robertson, Jerome"/>
    <s v="Robertson, Jerome"/>
    <s v="Robertson, Jerome"/>
    <s v="Robertson, Jerome"/>
    <s v="Robertson, Jerome"/>
    <x v="9"/>
    <s v="DevSecOps"/>
    <m/>
    <m/>
    <x v="190"/>
    <m/>
    <s v="N/A"/>
    <m/>
    <x v="40"/>
    <s v="4/28 - (JAR) updated subsequent months with $8224"/>
    <m/>
    <n v="17784.52"/>
    <n v="32897.279999999999"/>
    <m/>
    <m/>
    <m/>
    <m/>
    <n v="8224.32"/>
    <n v="0"/>
    <n v="0"/>
    <n v="10506.24"/>
    <n v="0"/>
    <n v="0"/>
    <n v="8224.32"/>
    <n v="0"/>
    <n v="8224.32"/>
    <n v="0"/>
    <n v="35179.199999999997"/>
    <n v="2281.9199999999983"/>
    <n v="0"/>
    <n v="10506.24"/>
    <n v="2281.9199999999983"/>
    <m/>
    <n v="2281.9199999999983"/>
    <m/>
    <m/>
    <m/>
    <n v="8224.32"/>
    <n v="0"/>
    <n v="0"/>
    <n v="8224.32"/>
    <n v="0"/>
    <n v="0"/>
    <n v="8224.32"/>
    <n v="0"/>
    <n v="8224.32"/>
    <n v="0"/>
    <n v="32897.279999999999"/>
    <m/>
    <m/>
    <n v="8224.32"/>
    <n v="0"/>
    <n v="0"/>
    <n v="4446.13"/>
    <n v="0"/>
    <n v="0"/>
    <n v="4446.13"/>
    <n v="0"/>
    <n v="4446.13"/>
    <n v="0"/>
    <n v="21562.710000000003"/>
  </r>
  <r>
    <s v="L-ERP-490"/>
    <x v="579"/>
    <s v="Robertson, Jerome_SOFTWARE_IT-SFT1453-OG-US-00"/>
    <s v="ERP"/>
    <s v="Patel, Apurva"/>
    <s v="Robertson, Jerome"/>
    <s v="Robertson, Jerome"/>
    <s v="Robertson, Jerome"/>
    <s v="Robertson, Jerome"/>
    <s v="Robertson, Jerome"/>
    <x v="9"/>
    <s v="SAP BDC License"/>
    <m/>
    <m/>
    <x v="362"/>
    <m/>
    <m/>
    <m/>
    <x v="0"/>
    <m/>
    <m/>
    <n v="156778.01999999999"/>
    <n v="156778.01999999999"/>
    <m/>
    <m/>
    <n v="10768"/>
    <n v="146010.01999999999"/>
    <n v="0"/>
    <n v="0"/>
    <n v="0"/>
    <n v="0"/>
    <n v="0"/>
    <n v="0"/>
    <n v="0"/>
    <n v="0"/>
    <n v="0"/>
    <n v="0"/>
    <n v="156778.01999999999"/>
    <n v="0"/>
    <n v="0"/>
    <n v="0"/>
    <n v="0"/>
    <m/>
    <n v="0"/>
    <m/>
    <n v="10768"/>
    <n v="146010.01999999999"/>
    <n v="0"/>
    <n v="0"/>
    <n v="0"/>
    <n v="0"/>
    <n v="0"/>
    <n v="0"/>
    <n v="0"/>
    <n v="0"/>
    <n v="0"/>
    <n v="0"/>
    <n v="156778.01999999999"/>
    <n v="10768"/>
    <n v="146010.01999999999"/>
    <n v="0"/>
    <n v="0"/>
    <n v="0"/>
    <n v="0"/>
    <n v="0"/>
    <n v="0"/>
    <n v="0"/>
    <n v="0"/>
    <n v="0"/>
    <n v="0"/>
    <n v="156778.01999999999"/>
  </r>
  <r>
    <s v="L-ERP-492"/>
    <x v="580"/>
    <s v="Robertson, Jerome_SOFTWARE_MISC001"/>
    <s v="ERP"/>
    <s v="Patel, Apurva"/>
    <s v="Robertson, Jerome"/>
    <s v="Robertson, Jerome"/>
    <s v="Robertson, Jerome"/>
    <s v="Robertson, Jerome"/>
    <s v="Robertson, Jerome"/>
    <x v="9"/>
    <s v="Miscellaneous Charges"/>
    <m/>
    <m/>
    <x v="54"/>
    <m/>
    <m/>
    <m/>
    <x v="0"/>
    <m/>
    <m/>
    <n v="0"/>
    <n v="227.23999999999998"/>
    <m/>
    <m/>
    <m/>
    <n v="-0.02"/>
    <n v="227.26"/>
    <n v="0"/>
    <n v="0"/>
    <n v="-0.24"/>
    <n v="0"/>
    <n v="0"/>
    <n v="0"/>
    <n v="0"/>
    <n v="0"/>
    <n v="0"/>
    <n v="226.99999999999997"/>
    <n v="-0.24000000000000909"/>
    <n v="0"/>
    <n v="-0.24"/>
    <n v="-0.24000000000000909"/>
    <m/>
    <n v="-0.24000000000000909"/>
    <m/>
    <m/>
    <n v="-0.02"/>
    <n v="227.26"/>
    <n v="0"/>
    <n v="0"/>
    <n v="0"/>
    <n v="0"/>
    <n v="0"/>
    <n v="0"/>
    <n v="0"/>
    <n v="0"/>
    <n v="0"/>
    <n v="227.23999999999998"/>
    <m/>
    <n v="-0.02"/>
    <n v="227.26"/>
    <n v="0"/>
    <n v="0"/>
    <n v="0"/>
    <n v="0"/>
    <n v="0"/>
    <n v="0"/>
    <n v="0"/>
    <n v="0"/>
    <n v="0"/>
    <n v="227.2399999999999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L-ERP-324"/>
    <x v="0"/>
    <x v="0"/>
    <s v="Maguire, Karla_CONTRACTORS_ColleagueSolutions001"/>
    <s v="ERP"/>
    <s v="Patel, Apurva"/>
    <x v="0"/>
    <s v="Dougherty, Chris"/>
    <s v="Dougherty, Chris"/>
    <s v="Maguire, Karla"/>
    <s v="Maguire, Karla"/>
    <x v="0"/>
    <s v="Colleague Solutions Delivery Chargebacks"/>
    <m/>
    <m/>
    <s v="ColleagueSolutions001"/>
    <s v="CHW - Ok"/>
    <s v="N/A"/>
    <m/>
    <s v="None"/>
    <s v="KP- Could you confirm who this line was transferred to?"/>
    <m/>
    <n v="1214.4000000000003"/>
    <n v="910.80000000000018"/>
    <m/>
    <m/>
    <m/>
    <m/>
    <m/>
    <s v=""/>
    <n v="0"/>
    <n v="0"/>
    <n v="101.2"/>
    <n v="101.2"/>
    <n v="101.2"/>
    <n v="101.2"/>
    <n v="101.2"/>
    <n v="101.2"/>
    <n v="607.20000000000005"/>
    <n v="-303.60000000000014"/>
    <n v="101.2"/>
    <n v="-101.2"/>
    <n v="-303.60000000000002"/>
    <m/>
    <n v="-303.60000000000014"/>
    <m/>
    <m/>
    <m/>
    <m/>
    <n v="101.2"/>
    <n v="101.2"/>
    <n v="101.2"/>
    <n v="101.2"/>
    <n v="101.2"/>
    <n v="101.2"/>
    <n v="101.2"/>
    <n v="101.2"/>
    <n v="101.2"/>
    <n v="910.80000000000018"/>
    <m/>
    <m/>
    <m/>
    <n v="101.2"/>
    <n v="101.2"/>
    <n v="101.2"/>
    <n v="101.2"/>
    <n v="101.2"/>
    <n v="101.2"/>
    <n v="101.2"/>
    <n v="101.2"/>
    <n v="101.2"/>
    <n v="910.80000000000018"/>
  </r>
  <r>
    <s v="L-ERP-100"/>
    <x v="0"/>
    <x v="1"/>
    <s v="Dougherty, Chris_SOFTWARE_ColleagueSolutions001"/>
    <s v="ERP"/>
    <s v="Patel, Apurva"/>
    <x v="0"/>
    <s v="Dougherty, Chris"/>
    <s v="Dougherty, Chris"/>
    <s v="Dougherty, Chris"/>
    <s v="Maguire, Karla"/>
    <x v="1"/>
    <s v="Colleague Solutions Delivery Chargebacks"/>
    <m/>
    <m/>
    <s v="ColleagueSolutions001"/>
    <s v="CHW - Ok"/>
    <s v="N/A"/>
    <m/>
    <s v="None"/>
    <m/>
    <m/>
    <n v="0"/>
    <n v="3777.33"/>
    <m/>
    <m/>
    <m/>
    <n v="3777.33"/>
    <n v="0"/>
    <n v="83.61"/>
    <n v="0"/>
    <n v="0"/>
    <n v="0"/>
    <n v="0"/>
    <n v="0"/>
    <n v="0"/>
    <n v="0"/>
    <n v="0"/>
    <n v="3860.94"/>
    <n v="83.610000000000127"/>
    <n v="0"/>
    <n v="0"/>
    <n v="83.610000000000127"/>
    <m/>
    <n v="83.610000000000127"/>
    <m/>
    <m/>
    <n v="3777.33"/>
    <n v="0"/>
    <n v="0"/>
    <n v="0"/>
    <n v="0"/>
    <n v="0"/>
    <n v="0"/>
    <n v="0"/>
    <n v="0"/>
    <n v="0"/>
    <n v="0"/>
    <n v="3777.33"/>
    <m/>
    <n v="3777.33"/>
    <n v="0"/>
    <n v="0"/>
    <n v="0"/>
    <n v="0"/>
    <n v="0"/>
    <n v="0"/>
    <n v="0"/>
    <n v="0"/>
    <n v="0"/>
    <n v="0"/>
    <n v="3777.33"/>
  </r>
  <r>
    <s v="L-ERP-190"/>
    <x v="0"/>
    <x v="2"/>
    <s v="Hase, Raj_SOFTWARE_ColleagueSolutions001"/>
    <s v="ERP"/>
    <s v="Patel, Apurva"/>
    <x v="1"/>
    <s v="Hase, Raj"/>
    <s v="Hase, Raj"/>
    <s v="Hase, Raj"/>
    <s v="DeHart, Lynn"/>
    <x v="1"/>
    <s v="Colleague Solutions Delivery Chargebacks"/>
    <m/>
    <m/>
    <s v="ColleagueSolutions001"/>
    <s v="CHW - Ok"/>
    <s v="N/A"/>
    <m/>
    <s v="None"/>
    <m/>
    <m/>
    <n v="0"/>
    <n v="218.76"/>
    <m/>
    <m/>
    <m/>
    <n v="218.76"/>
    <n v="0"/>
    <n v="0"/>
    <n v="0"/>
    <n v="0"/>
    <n v="0"/>
    <n v="0"/>
    <n v="0"/>
    <n v="0"/>
    <n v="0"/>
    <n v="0"/>
    <n v="218.76"/>
    <n v="0"/>
    <n v="0"/>
    <n v="0"/>
    <n v="0"/>
    <m/>
    <n v="0"/>
    <m/>
    <m/>
    <n v="218.76"/>
    <n v="0"/>
    <n v="0"/>
    <n v="0"/>
    <n v="0"/>
    <n v="0"/>
    <n v="0"/>
    <n v="0"/>
    <n v="0"/>
    <n v="0"/>
    <n v="0"/>
    <n v="218.76"/>
    <m/>
    <n v="218.76"/>
    <n v="0"/>
    <n v="0"/>
    <n v="0"/>
    <n v="0"/>
    <n v="0"/>
    <n v="0"/>
    <n v="0"/>
    <n v="0"/>
    <n v="0"/>
    <n v="0"/>
    <n v="218.76"/>
  </r>
  <r>
    <s v="L-ERP-037"/>
    <x v="0"/>
    <x v="3"/>
    <s v="DeHart, Lynn_SOFTWARE_ColleagueSolutions001"/>
    <s v="ERP"/>
    <s v="Patel, Apurva"/>
    <x v="2"/>
    <s v="Patel, Apurva"/>
    <s v="Hase, Raj"/>
    <s v="DeHart, Lynn"/>
    <s v="DeHart, Lynn"/>
    <x v="1"/>
    <s v="Colleague Solutions Delivery Chargebacks"/>
    <m/>
    <m/>
    <s v="ColleagueSolutions001"/>
    <s v="CHW - Ok"/>
    <s v="N/A"/>
    <m/>
    <s v="None"/>
    <m/>
    <m/>
    <n v="0"/>
    <n v="3227.2200000000003"/>
    <m/>
    <m/>
    <m/>
    <n v="1859.42"/>
    <n v="1367.8"/>
    <n v="0"/>
    <n v="682.06"/>
    <n v="91.56"/>
    <n v="0"/>
    <n v="0"/>
    <n v="0"/>
    <n v="0"/>
    <n v="0"/>
    <n v="0"/>
    <n v="4000.84"/>
    <n v="773.61999999999989"/>
    <n v="0"/>
    <n v="91.56"/>
    <n v="773.61999999999989"/>
    <m/>
    <n v="773.61999999999989"/>
    <m/>
    <m/>
    <n v="1859.42"/>
    <n v="1367.8"/>
    <n v="0"/>
    <n v="0"/>
    <n v="0"/>
    <n v="0"/>
    <n v="0"/>
    <n v="0"/>
    <n v="0"/>
    <n v="0"/>
    <n v="0"/>
    <n v="3227.2200000000003"/>
    <m/>
    <n v="1859.42"/>
    <n v="1367.8"/>
    <n v="0"/>
    <n v="0"/>
    <n v="0"/>
    <n v="0"/>
    <n v="0"/>
    <n v="0"/>
    <n v="0"/>
    <n v="0"/>
    <n v="0"/>
    <n v="3227.2200000000003"/>
  </r>
  <r>
    <s v="L-ERP-369"/>
    <x v="1"/>
    <x v="0"/>
    <s v="McCormick, Pete_CONTRACTORS_ColleagueSolutions001"/>
    <s v="ERP"/>
    <s v="Patel, Apurva"/>
    <x v="0"/>
    <s v="McCormick, Pete"/>
    <s v="Dougherty, Chris"/>
    <s v="McCormick, Pete"/>
    <s v="Maguire, Karla"/>
    <x v="0"/>
    <s v="Colleague Solutions Delivery Chargebacks"/>
    <m/>
    <m/>
    <s v="ColleagueSolutions001"/>
    <s v="CHW - Ok"/>
    <s v="N/A"/>
    <m/>
    <s v="None"/>
    <m/>
    <m/>
    <n v="1800"/>
    <n v="3600"/>
    <m/>
    <m/>
    <m/>
    <m/>
    <m/>
    <s v=""/>
    <n v="0"/>
    <n v="0"/>
    <n v="0"/>
    <n v="0"/>
    <n v="0"/>
    <n v="0"/>
    <n v="0"/>
    <n v="0"/>
    <n v="0"/>
    <n v="-3600"/>
    <n v="0"/>
    <n v="0"/>
    <n v="-3600"/>
    <m/>
    <n v="-3600"/>
    <m/>
    <m/>
    <m/>
    <m/>
    <n v="1800"/>
    <n v="0"/>
    <n v="1800"/>
    <n v="0"/>
    <n v="0"/>
    <n v="0"/>
    <n v="0"/>
    <n v="0"/>
    <n v="0"/>
    <n v="3600"/>
    <m/>
    <m/>
    <m/>
    <n v="1800"/>
    <n v="0"/>
    <n v="1800"/>
    <n v="0"/>
    <n v="0"/>
    <n v="0"/>
    <n v="0"/>
    <n v="0"/>
    <n v="0"/>
    <n v="3600"/>
  </r>
  <r>
    <s v="L-ERP-339"/>
    <x v="1"/>
    <x v="1"/>
    <s v="Maguire, Karla_SOFTWARE_ColleagueSolutions001"/>
    <s v="ERP"/>
    <s v="Patel, Apurva"/>
    <x v="0"/>
    <s v="Dougherty, Chris"/>
    <s v="Dougherty, Chris"/>
    <s v="Maguire, Karla"/>
    <s v="Maguire, Karla"/>
    <x v="1"/>
    <s v="Colleague Solutions Delivery Chargebacks"/>
    <m/>
    <m/>
    <s v="ColleagueSolutions001"/>
    <s v="CHW - Ok"/>
    <s v="N/A"/>
    <m/>
    <s v="None"/>
    <s v="KP- Could you confirm who this line was transferred to?"/>
    <m/>
    <n v="0"/>
    <n v="1742.3400000000001"/>
    <m/>
    <m/>
    <m/>
    <n v="984.48"/>
    <n v="757.86"/>
    <n v="0"/>
    <n v="0"/>
    <n v="0"/>
    <n v="0"/>
    <n v="0"/>
    <n v="0"/>
    <n v="0"/>
    <n v="0"/>
    <n v="0"/>
    <n v="1742.3400000000001"/>
    <n v="0"/>
    <n v="0"/>
    <n v="0"/>
    <n v="0"/>
    <m/>
    <n v="0"/>
    <m/>
    <m/>
    <n v="984.48"/>
    <n v="757.86"/>
    <n v="0"/>
    <n v="0"/>
    <n v="0"/>
    <n v="0"/>
    <n v="0"/>
    <n v="0"/>
    <n v="0"/>
    <n v="0"/>
    <n v="0"/>
    <n v="1742.3400000000001"/>
    <m/>
    <n v="984.48"/>
    <n v="757.86"/>
    <n v="0"/>
    <n v="0"/>
    <n v="0"/>
    <n v="0"/>
    <n v="0"/>
    <n v="0"/>
    <n v="0"/>
    <n v="0"/>
    <n v="0"/>
    <n v="1742.3400000000001"/>
  </r>
  <r>
    <s v="L-ERP-376"/>
    <x v="1"/>
    <x v="1"/>
    <s v="McCormick, Pete_SOFTWARE_ColleagueSolutions001"/>
    <s v="ERP"/>
    <s v="Patel, Apurva"/>
    <x v="0"/>
    <s v="McCormick, Pete"/>
    <s v="Dougherty, Chris"/>
    <s v="McCormick, Pete"/>
    <s v="Maguire, Karla"/>
    <x v="1"/>
    <s v="Colleague Solutions Delivery Chargebacks"/>
    <m/>
    <m/>
    <s v="ColleagueSolutions001"/>
    <s v="CHW - Ok"/>
    <s v="N/A"/>
    <m/>
    <s v="None"/>
    <m/>
    <m/>
    <n v="0"/>
    <n v="1312.56"/>
    <m/>
    <m/>
    <m/>
    <n v="1312.56"/>
    <n v="0"/>
    <n v="0"/>
    <n v="0"/>
    <n v="0"/>
    <n v="0"/>
    <n v="0"/>
    <n v="0"/>
    <n v="0"/>
    <n v="0"/>
    <n v="0"/>
    <n v="1312.56"/>
    <n v="0"/>
    <n v="0"/>
    <n v="0"/>
    <n v="0"/>
    <m/>
    <n v="0"/>
    <m/>
    <m/>
    <n v="1312.56"/>
    <n v="0"/>
    <n v="0"/>
    <n v="0"/>
    <n v="0"/>
    <n v="0"/>
    <n v="0"/>
    <n v="0"/>
    <n v="0"/>
    <n v="0"/>
    <n v="0"/>
    <n v="1312.56"/>
    <m/>
    <n v="1312.56"/>
    <n v="0"/>
    <n v="0"/>
    <n v="0"/>
    <n v="0"/>
    <n v="0"/>
    <n v="0"/>
    <n v="0"/>
    <n v="0"/>
    <n v="0"/>
    <n v="0"/>
    <n v="1312.56"/>
  </r>
  <r>
    <s v="L-ERP-549"/>
    <x v="1"/>
    <x v="1"/>
    <s v="Tamavada, Ram_SOFTWARE_ColleagueSolutions001"/>
    <s v="ERP"/>
    <s v="Patel, Apurva"/>
    <x v="0"/>
    <s v="Tamavada, Ram"/>
    <s v="Dougherty, Chris"/>
    <s v="Tamavada, Ram"/>
    <s v="Maguire, Karla"/>
    <x v="1"/>
    <s v="Colleague Solutions Delivery Chargebacks"/>
    <m/>
    <m/>
    <s v="ColleagueSolutions001"/>
    <s v="CHW - Ok"/>
    <s v="N/A"/>
    <m/>
    <s v="None"/>
    <m/>
    <m/>
    <n v="0"/>
    <n v="3879.27"/>
    <m/>
    <m/>
    <m/>
    <n v="3879.27"/>
    <n v="0"/>
    <n v="0"/>
    <n v="0"/>
    <n v="0"/>
    <n v="0"/>
    <n v="0"/>
    <n v="0"/>
    <n v="0"/>
    <n v="0"/>
    <n v="0"/>
    <n v="3879.27"/>
    <n v="0"/>
    <n v="0"/>
    <n v="0"/>
    <n v="0"/>
    <m/>
    <n v="0"/>
    <m/>
    <m/>
    <n v="3879.27"/>
    <n v="0"/>
    <n v="0"/>
    <n v="0"/>
    <n v="0"/>
    <n v="0"/>
    <n v="0"/>
    <n v="0"/>
    <n v="0"/>
    <n v="0"/>
    <n v="0"/>
    <n v="3879.27"/>
    <m/>
    <n v="3879.27"/>
    <n v="0"/>
    <n v="0"/>
    <n v="0"/>
    <n v="0"/>
    <n v="0"/>
    <n v="0"/>
    <n v="0"/>
    <n v="0"/>
    <n v="0"/>
    <n v="0"/>
    <n v="3879.27"/>
  </r>
  <r>
    <s v="L-ERP-582"/>
    <x v="1"/>
    <x v="2"/>
    <s v="Yeluri, Durga_SOFTWARE_ColleagueSolutions001"/>
    <s v="ERP"/>
    <s v="Patel, Apurva"/>
    <x v="1"/>
    <s v="Yeluri, Durga"/>
    <s v="Hase, Raj"/>
    <s v="Yeluri, Durga"/>
    <s v="DeHart, Lynn"/>
    <x v="1"/>
    <s v="Colleague Solutions Delivery Chargebacks"/>
    <m/>
    <m/>
    <s v="ColleagueSolutions001"/>
    <s v="CHW - Ok"/>
    <s v="N/A"/>
    <m/>
    <s v="None"/>
    <m/>
    <m/>
    <n v="0"/>
    <n v="431.03"/>
    <m/>
    <m/>
    <m/>
    <n v="431.03"/>
    <n v="0"/>
    <n v="0"/>
    <n v="0"/>
    <n v="0"/>
    <n v="0"/>
    <n v="0"/>
    <n v="0"/>
    <n v="0"/>
    <n v="0"/>
    <n v="0"/>
    <n v="431.03"/>
    <n v="0"/>
    <n v="0"/>
    <n v="0"/>
    <n v="0"/>
    <m/>
    <n v="0"/>
    <m/>
    <m/>
    <n v="431.03"/>
    <n v="0"/>
    <n v="0"/>
    <n v="0"/>
    <n v="0"/>
    <n v="0"/>
    <n v="0"/>
    <n v="0"/>
    <n v="0"/>
    <n v="0"/>
    <n v="0"/>
    <n v="431.03"/>
    <m/>
    <n v="431.03"/>
    <n v="0"/>
    <n v="0"/>
    <n v="0"/>
    <n v="0"/>
    <n v="0"/>
    <n v="0"/>
    <n v="0"/>
    <n v="0"/>
    <n v="0"/>
    <n v="0"/>
    <n v="431.03"/>
  </r>
  <r>
    <s v="L-ERP-408"/>
    <x v="1"/>
    <x v="3"/>
    <s v="McGettigan, David_SOFTWARE_ColleagueSolutions001"/>
    <s v="ERP"/>
    <s v="Patel, Apurva"/>
    <x v="2"/>
    <s v="Patel, Apurva"/>
    <s v="McGettigan, David"/>
    <s v="McGettigan, David"/>
    <s v="McGettigan, David"/>
    <x v="1"/>
    <s v="Colleague Solutions Delivery Chargebacks"/>
    <m/>
    <m/>
    <s v="ColleagueSolutions001"/>
    <s v="CHW - Ok"/>
    <s v="N/A"/>
    <m/>
    <s v="None"/>
    <m/>
    <m/>
    <n v="0"/>
    <n v="257.52"/>
    <m/>
    <m/>
    <m/>
    <n v="257.52"/>
    <n v="0"/>
    <n v="0"/>
    <n v="0"/>
    <n v="0"/>
    <n v="0"/>
    <n v="0"/>
    <n v="0"/>
    <n v="0"/>
    <n v="0"/>
    <n v="0"/>
    <n v="257.52"/>
    <n v="0"/>
    <n v="0"/>
    <n v="0"/>
    <n v="0"/>
    <m/>
    <n v="0"/>
    <m/>
    <m/>
    <n v="257.52"/>
    <n v="0"/>
    <n v="0"/>
    <n v="0"/>
    <n v="0"/>
    <n v="0"/>
    <n v="0"/>
    <n v="0"/>
    <n v="0"/>
    <n v="0"/>
    <n v="0"/>
    <n v="257.52"/>
    <m/>
    <n v="257.52"/>
    <n v="0"/>
    <n v="0"/>
    <n v="0"/>
    <n v="0"/>
    <n v="0"/>
    <n v="0"/>
    <n v="0"/>
    <n v="0"/>
    <n v="0"/>
    <n v="0"/>
    <n v="257.52"/>
  </r>
  <r>
    <s v="L-ERP-043"/>
    <x v="1"/>
    <x v="4"/>
    <s v="DeHart, Lynn_COMPENSATION_CompBenefits001"/>
    <s v="ERP"/>
    <s v="Patel, Apurva"/>
    <x v="2"/>
    <s v="Patel, Apurva"/>
    <s v="Hase, Raj"/>
    <s v="DeHart, Lynn"/>
    <s v="DeHart, Lynn"/>
    <x v="2"/>
    <s v="Benefits"/>
    <m/>
    <m/>
    <s v="CompBenefits001"/>
    <s v="CHW - Ok"/>
    <s v="N/A"/>
    <m/>
    <s v="None"/>
    <m/>
    <m/>
    <n v="6952243.9899999993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423409.35"/>
    <n v="937161.13"/>
    <n v="426573.21"/>
    <n v="561924.32999999996"/>
    <n v="560912.64000000001"/>
    <n v="576476.29"/>
    <n v="585831.80000000005"/>
    <n v="590499.77"/>
    <n v="590499.77"/>
    <n v="590499.77"/>
    <n v="592897.86"/>
    <n v="592897.86"/>
    <n v="7029583.7799999993"/>
  </r>
  <r>
    <s v="L-ERP-103"/>
    <x v="1"/>
    <x v="5"/>
    <s v="Dougherty, Chris_COMPENSATION_CompBenefits001"/>
    <s v="ERP"/>
    <s v="Patel, Apurva"/>
    <x v="0"/>
    <s v="Dougherty, Chris"/>
    <s v="Dougherty, Chris"/>
    <s v="Dougherty, Chris"/>
    <s v="Maguire, Karla"/>
    <x v="2"/>
    <s v="Benefits"/>
    <m/>
    <m/>
    <s v="CompBenefit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267678"/>
    <n v="267678"/>
    <n v="267678"/>
    <n v="0"/>
    <n v="0"/>
    <n v="0"/>
    <n v="0"/>
    <n v="0"/>
    <n v="0"/>
    <n v="0"/>
    <n v="0"/>
    <n v="0"/>
    <n v="803034"/>
  </r>
  <r>
    <s v="L-ERP-342"/>
    <x v="1"/>
    <x v="5"/>
    <s v="Maguire, Karla_COMPENSATION_CompBenefits001"/>
    <s v="ERP"/>
    <s v="Patel, Apurva"/>
    <x v="0"/>
    <s v="Dougherty, Chris"/>
    <s v="Dougherty, Chris"/>
    <s v="Maguire, Karla"/>
    <s v="Maguire, Karla"/>
    <x v="2"/>
    <s v="Benefits"/>
    <m/>
    <m/>
    <s v="CompBenefits001"/>
    <s v="CHW - Ok"/>
    <s v="N/A"/>
    <m/>
    <s v="None"/>
    <m/>
    <m/>
    <n v="3920122.6999999993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5760.76"/>
    <n v="93858.59"/>
    <n v="103661.36"/>
    <n v="322835.13"/>
    <n v="322835.13"/>
    <n v="322835.13"/>
    <n v="330985.75"/>
    <n v="330985.75"/>
    <n v="338079.72"/>
    <n v="338079.72"/>
    <n v="338079.72"/>
    <n v="338079.72"/>
    <n v="3276076.4799999995"/>
  </r>
  <r>
    <s v="L-ERP-431"/>
    <x v="1"/>
    <x v="4"/>
    <s v="McGettigan, David_COMPENSATION_CompBenefits001"/>
    <s v="ERP"/>
    <s v="Patel, Apurva"/>
    <x v="2"/>
    <s v="Patel, Apurva"/>
    <s v="McGettigan, David"/>
    <s v="McGettigan, David"/>
    <s v="McGettigan, David"/>
    <x v="2"/>
    <s v="Benefits"/>
    <m/>
    <m/>
    <s v="CompBenefits001"/>
    <s v="CHW - Ok"/>
    <s v="N/A"/>
    <m/>
    <s v="None"/>
    <m/>
    <m/>
    <n v="330694.30999999988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92230.9"/>
    <n v="-4919.59"/>
    <n v="59978.67"/>
    <n v="20638.45"/>
    <n v="34028.449999999997"/>
    <n v="32963.75"/>
    <n v="22316.67"/>
    <n v="22316.67"/>
    <n v="22316.67"/>
    <n v="22316.67"/>
    <n v="22316.67"/>
    <n v="22316.67"/>
    <n v="368820.64999999991"/>
  </r>
  <r>
    <s v="L-ERP-044"/>
    <x v="1"/>
    <x v="6"/>
    <s v="DeHart, Lynn_COMPENSATION_CompBonus001"/>
    <s v="ERP"/>
    <s v="Patel, Apurva"/>
    <x v="2"/>
    <s v="Patel, Apurva"/>
    <s v="Hase, Raj"/>
    <s v="DeHart, Lynn"/>
    <s v="DeHart, Lynn"/>
    <x v="2"/>
    <s v="Bonus"/>
    <m/>
    <m/>
    <s v="CompBonus001"/>
    <s v="CHW - Ok"/>
    <s v="N/A"/>
    <m/>
    <s v="None"/>
    <m/>
    <m/>
    <n v="2865793.42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195133.21"/>
    <n v="214325.71"/>
    <n v="291685.48"/>
    <n v="233173.12"/>
    <n v="232919.73"/>
    <n v="238777.23"/>
    <n v="240555.68"/>
    <n v="242084.56"/>
    <n v="242084.56"/>
    <n v="242084.56"/>
    <n v="242516.91"/>
    <n v="242516.91"/>
    <n v="2857857.66"/>
  </r>
  <r>
    <s v="L-ERP-104"/>
    <x v="1"/>
    <x v="7"/>
    <s v="Dougherty, Chris_COMPENSATION_CompBonus001"/>
    <s v="ERP"/>
    <s v="Patel, Apurva"/>
    <x v="0"/>
    <s v="Dougherty, Chris"/>
    <s v="Dougherty, Chris"/>
    <s v="Dougherty, Chris"/>
    <s v="Maguire, Karla"/>
    <x v="2"/>
    <s v="Bonus"/>
    <m/>
    <m/>
    <s v="CompBonus001"/>
    <s v="CHW - Ok"/>
    <s v="N/A"/>
    <m/>
    <s v="None"/>
    <m/>
    <m/>
    <n v="0"/>
    <n v="0"/>
    <m/>
    <m/>
    <m/>
    <m/>
    <m/>
    <s v=""/>
    <n v="0"/>
    <n v="0"/>
    <n v="0"/>
    <n v="0"/>
    <n v="0"/>
    <n v="0"/>
    <n v="0"/>
    <n v="0"/>
    <n v="0"/>
    <n v="0"/>
    <n v="0"/>
    <n v="0"/>
    <n v="0"/>
    <m/>
    <n v="0"/>
    <m/>
    <m/>
    <m/>
    <m/>
    <n v="0"/>
    <n v="0"/>
    <n v="0"/>
    <n v="0"/>
    <n v="0"/>
    <n v="0"/>
    <n v="0"/>
    <n v="0"/>
    <n v="0"/>
    <n v="0"/>
    <n v="119429"/>
    <n v="107869"/>
    <n v="119891"/>
    <n v="0"/>
    <n v="0"/>
    <n v="0"/>
    <n v="0"/>
    <n v="0"/>
    <n v="0"/>
    <n v="0"/>
    <n v="0"/>
    <n v="0"/>
    <n v="347189"/>
  </r>
  <r>
    <s v="L-ERP-343"/>
    <x v="1"/>
    <x v="7"/>
    <s v="Maguire, Karla_COMPENSATION_CompBonus001"/>
    <s v="ERP"/>
    <s v="Patel, Apurva"/>
    <x v="0"/>
    <s v="Dougherty, Chris"/>
    <s v="Dougherty, Chris"/>
    <s v="Maguire, Karla"/>
    <s v="Maguire, Karla"/>
    <x v="2"/>
    <s v="Bonus"/>
    <m/>
    <m/>
    <s v="CompBonus001"/>
    <s v="CHW - Ok"/>
    <s v="N/A"/>
    <m/>
    <s v="None"/>
    <m/>
    <m/>
    <n v="1729258.84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0770.12"/>
    <n v="51960.62"/>
    <n v="52695.87"/>
    <n v="142100.94"/>
    <n v="142100.94"/>
    <n v="142100.94"/>
    <n v="146019.5"/>
    <n v="146019.5"/>
    <n v="150075.81"/>
    <n v="150075.81"/>
    <n v="150075.81"/>
    <n v="150075.81"/>
    <n v="1474071.6700000002"/>
  </r>
  <r>
    <s v="L-ERP-428"/>
    <x v="1"/>
    <x v="6"/>
    <s v="McGettigan, David_COMPENSATION_CompBonus001"/>
    <s v="ERP"/>
    <s v="Patel, Apurva"/>
    <x v="2"/>
    <s v="Patel, Apurva"/>
    <s v="McGettigan, David"/>
    <s v="McGettigan, David"/>
    <s v="McGettigan, David"/>
    <x v="2"/>
    <s v="Bonus"/>
    <m/>
    <m/>
    <s v="CompBonus001"/>
    <s v="CHW - Ok"/>
    <s v="N/A"/>
    <m/>
    <s v="None"/>
    <m/>
    <m/>
    <n v="204823.02000000002"/>
    <n v="0"/>
    <m/>
    <m/>
    <m/>
    <m/>
    <m/>
    <s v=""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n v="0"/>
    <n v="51562.58"/>
    <n v="27159.83"/>
    <n v="40975"/>
    <n v="11866.46"/>
    <n v="21522.71"/>
    <n v="20882.86"/>
    <n v="14484.38"/>
    <n v="14484.38"/>
    <n v="14484.38"/>
    <n v="14484.38"/>
    <n v="14484.38"/>
    <n v="14484.38"/>
    <n v="260875.72000000003"/>
  </r>
  <r>
    <s v="L-ERP-344"/>
    <x v="0"/>
    <x v="8"/>
    <s v="Maguire, Karla_COMPENSATION_CompSalary001"/>
    <s v="ERP"/>
    <s v="Patel, Apurva"/>
    <x v="0"/>
    <s v="Dougherty, Chris"/>
    <s v="Dougherty, Chris"/>
    <s v="Maguire, Karla"/>
    <s v="Maguire, Karla"/>
    <x v="2"/>
    <s v="Salary"/>
    <m/>
    <m/>
    <s v="CompSalary001"/>
    <s v="CHW - Ok"/>
    <s v="N/A"/>
    <m/>
    <s v="None"/>
    <s v="KP- Could you confirm who this line was transferred to?"/>
    <m/>
    <n v="9831851.3300000001"/>
    <n v="15406112.624272117"/>
    <m/>
    <m/>
    <n v="1402914.3999999987"/>
    <n v="1397677.6399999992"/>
    <n v="1375284.8299999998"/>
    <n v="1433399.4699999997"/>
    <n v="1510809.23"/>
    <n v="372672.31999999989"/>
    <n v="1208851.7277970032"/>
    <n v="1221091.4455470033"/>
    <n v="1194419.2817703367"/>
    <n v="1239489.2742341459"/>
    <n v="1239489.2742341459"/>
    <n v="1254635.0692481461"/>
    <n v="14850733.96283078"/>
    <n v="-555378.66144133732"/>
    <n v="1250571.8632276698"/>
    <n v="-877899.54322767002"/>
    <n v="-555378.66144133732"/>
    <m/>
    <n v="-555378.66144133732"/>
    <m/>
    <n v="1402914.3999999987"/>
    <n v="1397677.6399999992"/>
    <n v="1375284.8299999998"/>
    <n v="1386261.7499999984"/>
    <n v="1250571.8632276698"/>
    <n v="1235426.0682136698"/>
    <n v="1208851.7277970032"/>
    <n v="1221091.4455470033"/>
    <n v="1194419.2817703367"/>
    <n v="1239489.2742341459"/>
    <n v="1239489.2742341459"/>
    <n v="1254635.0692481461"/>
    <n v="15406112.624272117"/>
    <n v="270417.52"/>
    <n v="276999.43"/>
    <n v="232520.6"/>
    <n v="809656.43"/>
    <n v="809656.43"/>
    <n v="809656.43"/>
    <n v="829249.26"/>
    <n v="829249.26"/>
    <n v="854062.66"/>
    <n v="854062.66"/>
    <n v="854062.66"/>
    <n v="854062.66"/>
    <n v="8283656.0000000009"/>
  </r>
  <r>
    <s v="L-ERP-105"/>
    <x v="1"/>
    <x v="8"/>
    <s v="Dougherty, Chris_COMPENSATION_CompSalary001"/>
    <s v="ERP"/>
    <s v="Patel, Apurva"/>
    <x v="0"/>
    <s v="Dougherty, Chris"/>
    <s v="Dougherty, Chris"/>
    <s v="Dougherty, Chris"/>
    <s v="Maguire, Karla"/>
    <x v="2"/>
    <s v="Salary"/>
    <m/>
    <m/>
    <s v="CompSalary001"/>
    <s v="CHW - Ok"/>
    <s v="N/A"/>
    <m/>
    <s v="None"/>
    <m/>
    <m/>
    <n v="0"/>
    <n v="0"/>
    <m/>
    <m/>
    <m/>
    <m/>
    <m/>
    <m/>
    <m/>
    <n v="1060974"/>
    <n v="0"/>
    <n v="0"/>
    <n v="0"/>
    <n v="0"/>
    <n v="0"/>
    <n v="0"/>
    <n v="1060974"/>
    <n v="1060974"/>
    <n v="0"/>
    <n v="1060974"/>
    <n v="1060974"/>
    <m/>
    <n v="1060974"/>
    <m/>
    <m/>
    <m/>
    <m/>
    <n v="0"/>
    <n v="0"/>
    <n v="0"/>
    <n v="0"/>
    <n v="0"/>
    <n v="0"/>
    <n v="0"/>
    <n v="0"/>
    <n v="0"/>
    <n v="0"/>
    <n v="643457"/>
    <n v="643457"/>
    <n v="643457"/>
    <n v="0"/>
    <n v="0"/>
    <n v="0"/>
    <n v="0"/>
    <n v="0"/>
    <n v="0"/>
    <n v="0"/>
    <n v="0"/>
    <n v="0"/>
    <n v="1930371"/>
  </r>
  <r>
    <s v="L-ERP-370"/>
    <x v="0"/>
    <x v="9"/>
    <s v="McCormick, Pete_CONTRACTORS_EnhanceChargeout001"/>
    <s v="ERP"/>
    <s v="Patel, Apurva"/>
    <x v="0"/>
    <s v="McCormick, Pete"/>
    <s v="Dougherty, Chris"/>
    <s v="McCormick, Pete"/>
    <s v="Maguire, Karla"/>
    <x v="0"/>
    <s v="Enhance Chargeout Cost Centers"/>
    <m/>
    <m/>
    <s v="EnhanceChargeout001"/>
    <s v="CHW - F/U"/>
    <m/>
    <m/>
    <s v="None"/>
    <m/>
    <m/>
    <n v="-694940"/>
    <n v="-587120.73"/>
    <m/>
    <m/>
    <m/>
    <n v="-20640.86"/>
    <n v="-10639.87"/>
    <n v="148175"/>
    <n v="-155623.00000000006"/>
    <n v="-142264"/>
    <n v="-11640"/>
    <n v="-116400"/>
    <n v="-75000"/>
    <n v="-75000"/>
    <n v="-75000"/>
    <n v="-75000"/>
    <n v="-609032.7300000001"/>
    <n v="-21912.000000000116"/>
    <n v="-6440"/>
    <n v="-135824"/>
    <n v="-43872.000000000058"/>
    <m/>
    <n v="-21912.000000000116"/>
    <m/>
    <m/>
    <n v="-20640.86"/>
    <n v="-10639.87"/>
    <n v="-55600"/>
    <n v="-6440"/>
    <n v="-43800"/>
    <n v="-75000"/>
    <n v="-75000"/>
    <n v="-75000"/>
    <n v="-75000"/>
    <n v="-75000"/>
    <n v="-75000"/>
    <n v="-587120.73"/>
    <m/>
    <n v="-20640.86"/>
    <n v="-10639.87"/>
    <n v="-54600"/>
    <n v="-50000"/>
    <n v="-33840"/>
    <n v="-75000"/>
    <n v="-75000"/>
    <n v="-75000"/>
    <n v="-75000"/>
    <n v="-75000"/>
    <n v="-75000"/>
    <n v="-619720.73"/>
  </r>
  <r>
    <s v="L-ERP-092"/>
    <x v="1"/>
    <x v="9"/>
    <s v="Dougherty, Chris_CONTRACTORS_EnhanceChargeout001"/>
    <s v="ERP"/>
    <s v="Patel, Apurva"/>
    <x v="0"/>
    <s v="Dougherty, Chris"/>
    <s v="Dougherty, Chris"/>
    <s v="Dougherty, Chris"/>
    <s v="Maguire, Karla"/>
    <x v="0"/>
    <s v="Enhance Chargeout Cost Centers"/>
    <m/>
    <m/>
    <s v="EnhanceChargeout001"/>
    <s v="CHW - Ok ~9500"/>
    <m/>
    <m/>
    <s v="None"/>
    <m/>
    <m/>
    <n v="0"/>
    <n v="-51577"/>
    <m/>
    <m/>
    <n v="44340"/>
    <n v="-23011"/>
    <n v="-72906"/>
    <n v="9489"/>
    <n v="-2647"/>
    <n v="5440"/>
    <n v="0"/>
    <n v="0"/>
    <n v="0"/>
    <n v="0"/>
    <n v="0"/>
    <n v="0"/>
    <n v="-39295"/>
    <n v="12282"/>
    <n v="0"/>
    <n v="5440"/>
    <n v="12282"/>
    <m/>
    <n v="12282"/>
    <m/>
    <n v="44340"/>
    <n v="-23011"/>
    <n v="-72906"/>
    <n v="0"/>
    <n v="0"/>
    <n v="0"/>
    <n v="0"/>
    <n v="0"/>
    <n v="0"/>
    <n v="0"/>
    <n v="0"/>
    <n v="0"/>
    <n v="-51577"/>
    <n v="44340"/>
    <n v="-23011"/>
    <n v="-72906"/>
    <n v="0"/>
    <n v="0"/>
    <n v="0"/>
    <n v="0"/>
    <n v="0"/>
    <n v="0"/>
    <n v="0"/>
    <n v="0"/>
    <n v="0"/>
    <n v="-51577"/>
  </r>
  <r>
    <s v="L-ERP-444"/>
    <x v="1"/>
    <x v="9"/>
    <s v="Meadows, Leslie_CONTRACTORS_EnhanceChargeout001"/>
    <s v="ERP"/>
    <s v="Patel, Apurva"/>
    <x v="0"/>
    <s v="Meadows, Leslie"/>
    <s v="Dougherty, Chris"/>
    <s v="Meadows, Leslie"/>
    <s v="Maguire, Karla"/>
    <x v="0"/>
    <s v="Enhance Chargeout Cost Centers"/>
    <m/>
    <m/>
    <s v="EnhanceChargeout001"/>
    <s v="CHW - F/U"/>
    <m/>
    <m/>
    <s v="None"/>
    <s v="KP - ER #'s in Project Code comments"/>
    <m/>
    <n v="0"/>
    <n v="-1440"/>
    <m/>
    <m/>
    <m/>
    <n v="-1440"/>
    <n v="0"/>
    <n v="0"/>
    <n v="0"/>
    <n v="-18000"/>
    <n v="0"/>
    <n v="0"/>
    <n v="0"/>
    <n v="0"/>
    <n v="0"/>
    <n v="0"/>
    <n v="-19440"/>
    <n v="-18000"/>
    <n v="0"/>
    <n v="-18000"/>
    <n v="-18000"/>
    <m/>
    <n v="-18000"/>
    <m/>
    <m/>
    <n v="-1440"/>
    <n v="0"/>
    <n v="0"/>
    <n v="0"/>
    <n v="0"/>
    <n v="0"/>
    <n v="0"/>
    <n v="0"/>
    <n v="0"/>
    <n v="0"/>
    <n v="0"/>
    <n v="-1440"/>
    <m/>
    <n v="-1440"/>
    <n v="0"/>
    <n v="0"/>
    <n v="0"/>
    <n v="0"/>
    <n v="0"/>
    <n v="0"/>
    <n v="0"/>
    <n v="0"/>
    <n v="0"/>
    <n v="0"/>
    <n v="-1440"/>
  </r>
  <r>
    <s v="L-ERP-473"/>
    <x v="1"/>
    <x v="9"/>
    <s v="Patel, Nikunj Rohitkumar_CONTRACTORS_EnhanceChargeout001"/>
    <s v="ERP"/>
    <s v="Patel, Apurva"/>
    <x v="0"/>
    <s v="Patel, Nikunj Rohitkumar"/>
    <s v="Dougherty, Chris"/>
    <s v="Patel, Nikunj Rohitkumar"/>
    <s v="Maguire, Karla"/>
    <x v="0"/>
    <s v="Enhance Chargeout Cost Centers"/>
    <m/>
    <m/>
    <s v="EnhanceChargeout001"/>
    <s v="CHW - F/U"/>
    <m/>
    <m/>
    <s v="None"/>
    <s v="KP - Where would i be able to get more details on this? Please advise. thank you"/>
    <m/>
    <n v="0"/>
    <n v="-68766"/>
    <m/>
    <m/>
    <m/>
    <n v="-57216"/>
    <n v="-11550"/>
    <s v=""/>
    <n v="0"/>
    <n v="0"/>
    <n v="0"/>
    <n v="0"/>
    <n v="0"/>
    <n v="0"/>
    <n v="0"/>
    <n v="0"/>
    <n v="-68766"/>
    <n v="0"/>
    <n v="0"/>
    <n v="0"/>
    <n v="0"/>
    <m/>
    <n v="0"/>
    <m/>
    <m/>
    <n v="-57216"/>
    <n v="-11550"/>
    <n v="0"/>
    <n v="0"/>
    <n v="0"/>
    <n v="0"/>
    <n v="0"/>
    <n v="0"/>
    <n v="0"/>
    <n v="0"/>
    <n v="0"/>
    <n v="-68766"/>
    <m/>
    <n v="-57216"/>
    <n v="-11550"/>
    <n v="0"/>
    <n v="0"/>
    <n v="0"/>
    <n v="0"/>
    <n v="0"/>
    <n v="0"/>
    <n v="0"/>
    <n v="0"/>
    <n v="0"/>
    <n v="-68766"/>
  </r>
  <r>
    <s v="ERP-026"/>
    <x v="1"/>
    <x v="9"/>
    <s v="Tamavada, Ram_CONTRACTORS_EnhanceChargeout001"/>
    <s v="ERP"/>
    <s v="Patel, Apurva"/>
    <x v="0"/>
    <s v="Tamavada, Ram"/>
    <s v="Dougherty, Chris"/>
    <s v="Tamavada, Ram"/>
    <s v="Tamavada, Ram"/>
    <x v="0"/>
    <s v="SAP SECURITY CLIENT PROJECTS-IBM"/>
    <s v="IBM"/>
    <s v="2339537"/>
    <s v="EnhanceChargeout001"/>
    <m/>
    <m/>
    <m/>
    <m/>
    <m/>
    <m/>
    <m/>
    <m/>
    <m/>
    <m/>
    <m/>
    <m/>
    <m/>
    <n v="24147"/>
    <n v="-46130"/>
    <n v="-215360"/>
    <m/>
    <m/>
    <m/>
    <m/>
    <m/>
    <m/>
    <n v="-237343"/>
    <n v="-237343"/>
    <m/>
    <n v="-215360"/>
    <n v="-237343"/>
    <m/>
    <n v="-237343"/>
    <m/>
    <m/>
    <m/>
    <m/>
    <m/>
    <m/>
    <m/>
    <m/>
    <m/>
    <m/>
    <m/>
    <m/>
    <m/>
    <m/>
    <m/>
    <m/>
    <m/>
    <m/>
    <m/>
    <m/>
    <m/>
    <m/>
    <m/>
    <m/>
    <m/>
    <m/>
    <m/>
  </r>
  <r>
    <s v="ERP-037"/>
    <x v="0"/>
    <x v="10"/>
    <s v="Dougherty, Chris_CONTRACTORS_EP&amp;SCharges001"/>
    <s v="ERP"/>
    <s v="Patel, Apurva"/>
    <x v="0"/>
    <s v="Dougherty, Chris"/>
    <s v="Dougherty, Chris"/>
    <s v="Dougherty, Chris"/>
    <s v="Dougherty, Chris"/>
    <x v="0"/>
    <s v="DIGITAL-CITRIX-APPSTREAMING"/>
    <m/>
    <s v="2321402"/>
    <s v="EP&amp;SCharges001"/>
    <m/>
    <m/>
    <m/>
    <m/>
    <m/>
    <m/>
    <m/>
    <m/>
    <m/>
    <m/>
    <m/>
    <m/>
    <m/>
    <m/>
    <n v="550"/>
    <n v="0"/>
    <m/>
    <m/>
    <m/>
    <m/>
    <m/>
    <m/>
    <n v="550"/>
    <n v="550"/>
    <m/>
    <n v="0"/>
    <n v="550"/>
    <m/>
    <n v="550"/>
    <m/>
    <m/>
    <m/>
    <m/>
    <m/>
    <m/>
    <m/>
    <m/>
    <m/>
    <m/>
    <m/>
    <m/>
    <m/>
    <m/>
    <m/>
    <m/>
    <m/>
    <m/>
    <m/>
    <m/>
    <m/>
    <m/>
    <m/>
    <m/>
    <m/>
    <m/>
    <m/>
  </r>
  <r>
    <s v="L-ERP-529"/>
    <x v="0"/>
    <x v="11"/>
    <s v="Tamavada, Ram_MANAGED SERVICES_EP&amp;SCharges001"/>
    <s v="ERP"/>
    <s v="Patel, Apurva"/>
    <x v="0"/>
    <s v="Tamavada, Ram"/>
    <s v="Dougherty, Chris"/>
    <s v="Tamavada, Ram"/>
    <s v="Maguire, Karla"/>
    <x v="3"/>
    <s v="Infrastructure Billing Charges"/>
    <m/>
    <m/>
    <s v="EP&amp;SCharges001"/>
    <m/>
    <s v="N/A"/>
    <m/>
    <s v="EP&amp;S"/>
    <m/>
    <m/>
    <n v="480000"/>
    <n v="717425.61"/>
    <m/>
    <m/>
    <n v="61804.2"/>
    <n v="58988.63"/>
    <n v="56632.78"/>
    <n v="54081.419999999991"/>
    <n v="51184.079999999994"/>
    <n v="49707.65"/>
    <n v="62000"/>
    <n v="62000"/>
    <n v="62000"/>
    <n v="62000"/>
    <n v="62000"/>
    <n v="62734"/>
    <n v="705132.76"/>
    <n v="-12292.849999999977"/>
    <n v="60000"/>
    <n v="-10292.349999999999"/>
    <n v="-25026.849999999977"/>
    <m/>
    <n v="-12292.849999999977"/>
    <m/>
    <n v="61804.2"/>
    <n v="58988.63"/>
    <n v="56632.78"/>
    <n v="60000"/>
    <n v="60000"/>
    <n v="60000"/>
    <n v="60000"/>
    <n v="60000"/>
    <n v="60000"/>
    <n v="60000"/>
    <n v="60000"/>
    <n v="60000"/>
    <n v="717425.61"/>
    <n v="61804.2"/>
    <n v="58988.63"/>
    <n v="56632.78"/>
    <n v="40000"/>
    <n v="40000"/>
    <n v="40000"/>
    <n v="40000"/>
    <n v="40000"/>
    <n v="40000"/>
    <n v="40000"/>
    <n v="40000"/>
    <n v="40000"/>
    <n v="537425.61"/>
  </r>
  <r>
    <s v="L-ERP-363"/>
    <x v="0"/>
    <x v="12"/>
    <s v="McCormick, Pete_SOFTWARE_EP&amp;SCharges001"/>
    <s v="ERP"/>
    <s v="Patel, Apurva"/>
    <x v="0"/>
    <s v="McCormick, Pete"/>
    <s v="Dougherty, Chris"/>
    <s v="McCormick, Pete"/>
    <s v="Maguire, Karla"/>
    <x v="1"/>
    <s v="Infrastructure Billing Charges"/>
    <m/>
    <m/>
    <s v="EP&amp;SCharges001"/>
    <m/>
    <s v="N/A"/>
    <m/>
    <s v="EP&amp;S"/>
    <m/>
    <m/>
    <n v="48000"/>
    <n v="47938.130000000005"/>
    <m/>
    <m/>
    <n v="4052.17"/>
    <n v="3772.71"/>
    <n v="4113.25"/>
    <n v="3493.25"/>
    <n v="3493.25"/>
    <n v="3493.25"/>
    <n v="4000"/>
    <n v="4000"/>
    <n v="4000"/>
    <n v="4000"/>
    <n v="4000"/>
    <n v="4000"/>
    <n v="46417.880000000005"/>
    <n v="-1520.25"/>
    <n v="4000"/>
    <n v="-506.75"/>
    <n v="-1520.25"/>
    <m/>
    <n v="-1520.25"/>
    <m/>
    <n v="4052.17"/>
    <n v="3772.71"/>
    <n v="4113.25"/>
    <n v="4000"/>
    <n v="4000"/>
    <n v="4000"/>
    <n v="4000"/>
    <n v="4000"/>
    <n v="4000"/>
    <n v="4000"/>
    <n v="4000"/>
    <n v="4000"/>
    <n v="47938.130000000005"/>
    <n v="4052.17"/>
    <n v="3772.71"/>
    <n v="4113.25"/>
    <n v="4000"/>
    <n v="4000"/>
    <n v="4000"/>
    <n v="4000"/>
    <n v="4000"/>
    <n v="4000"/>
    <n v="4000"/>
    <n v="4000"/>
    <n v="4000"/>
    <n v="47938.130000000005"/>
  </r>
  <r>
    <s v="L-ERP-575"/>
    <x v="0"/>
    <x v="13"/>
    <s v="Yeluri, Durga_MANAGED SERVICES_EP&amp;SCharges001"/>
    <s v="ERP"/>
    <s v="Patel, Apurva"/>
    <x v="1"/>
    <s v="Yeluri, Durga"/>
    <s v="Hase, Raj"/>
    <s v="Yeluri, Durga"/>
    <s v="DeHart, Lynn"/>
    <x v="3"/>
    <s v="Infrastructure Billing Charges"/>
    <m/>
    <m/>
    <s v="EP&amp;SCharges001"/>
    <m/>
    <s v="N/A"/>
    <m/>
    <s v="EP&amp;S"/>
    <m/>
    <m/>
    <n v="68292"/>
    <n v="61982.03"/>
    <m/>
    <m/>
    <n v="3349.03"/>
    <n v="3352.38"/>
    <n v="4061.62"/>
    <n v="3971.33"/>
    <n v="5537.35"/>
    <n v="4773.54"/>
    <n v="5691"/>
    <n v="5691"/>
    <n v="5691"/>
    <n v="5691"/>
    <n v="5691"/>
    <n v="5691"/>
    <n v="59191.25"/>
    <n v="-2790.7799999999988"/>
    <n v="5691"/>
    <n v="-917.46"/>
    <n v="-2790.7799999999988"/>
    <m/>
    <n v="-2790.7799999999988"/>
    <m/>
    <n v="3349.03"/>
    <n v="3352.38"/>
    <n v="4061.62"/>
    <n v="5691"/>
    <n v="5691"/>
    <n v="5691"/>
    <n v="5691"/>
    <n v="5691"/>
    <n v="5691"/>
    <n v="5691"/>
    <n v="5691"/>
    <n v="5691"/>
    <n v="61982.03"/>
    <n v="3349.03"/>
    <n v="3352.38"/>
    <n v="4061.62"/>
    <n v="5691"/>
    <n v="5691"/>
    <n v="5691"/>
    <n v="5691"/>
    <n v="5691"/>
    <n v="5691"/>
    <n v="5691"/>
    <n v="5691"/>
    <n v="5691"/>
    <n v="61982.03"/>
  </r>
  <r>
    <s v="L-ERP-422"/>
    <x v="0"/>
    <x v="14"/>
    <s v="McGettigan, David_MANAGED SERVICES_EP&amp;SCharges001"/>
    <s v="ERP"/>
    <s v="Patel, Apurva"/>
    <x v="2"/>
    <s v="Patel, Apurva"/>
    <s v="McGettigan, David"/>
    <s v="McGettigan, David"/>
    <s v="McGettigan, David"/>
    <x v="3"/>
    <s v="Infrastructure Billing Charges"/>
    <m/>
    <m/>
    <s v="EP&amp;SCharges001"/>
    <m/>
    <s v="N/A"/>
    <m/>
    <s v="EP&amp;S"/>
    <m/>
    <m/>
    <n v="42000"/>
    <n v="36969.919999999998"/>
    <m/>
    <m/>
    <n v="1654.46"/>
    <n v="2175.66"/>
    <n v="1639.8"/>
    <n v="3229.0899999999997"/>
    <n v="4136.0599999999995"/>
    <n v="4975.22"/>
    <n v="3500"/>
    <n v="3500"/>
    <n v="3500"/>
    <n v="3500"/>
    <n v="3500"/>
    <n v="3500"/>
    <n v="38810.29"/>
    <n v="1840.3700000000026"/>
    <n v="3500"/>
    <n v="1475.2200000000003"/>
    <n v="1840.3700000000008"/>
    <m/>
    <n v="1840.3700000000026"/>
    <m/>
    <n v="1654.46"/>
    <n v="2175.66"/>
    <n v="1639.8"/>
    <n v="3500"/>
    <n v="3500"/>
    <n v="3500"/>
    <n v="3500"/>
    <n v="3500"/>
    <n v="3500"/>
    <n v="3500"/>
    <n v="3500"/>
    <n v="3500"/>
    <n v="36969.919999999998"/>
    <n v="1654.46"/>
    <n v="2175.66"/>
    <n v="1639.8"/>
    <n v="3500"/>
    <n v="3500"/>
    <n v="3500"/>
    <n v="3500"/>
    <n v="3500"/>
    <n v="3500"/>
    <n v="3500"/>
    <n v="3500"/>
    <n v="3500"/>
    <n v="36969.919999999998"/>
  </r>
  <r>
    <s v="L-ERP-518"/>
    <x v="1"/>
    <x v="10"/>
    <s v="Tamavada, Ram_CONTRACTORS_EP&amp;SCharges001"/>
    <s v="ERP"/>
    <s v="Patel, Apurva"/>
    <x v="0"/>
    <s v="Tamavada, Ram"/>
    <s v="Dougherty, Chris"/>
    <s v="Tamavada, Ram"/>
    <s v="Maguire, Karla"/>
    <x v="0"/>
    <s v="Infrastructure Billing Charges"/>
    <m/>
    <m/>
    <s v="EP&amp;SCharges001"/>
    <s v="CHW - Ok"/>
    <s v="N/A"/>
    <m/>
    <s v="EP&amp;S"/>
    <m/>
    <m/>
    <n v="0"/>
    <n v="1080"/>
    <m/>
    <m/>
    <n v="360"/>
    <n v="360"/>
    <n v="360"/>
    <n v="0"/>
    <n v="0"/>
    <n v="0"/>
    <n v="0"/>
    <n v="0"/>
    <n v="0"/>
    <n v="0"/>
    <n v="0"/>
    <n v="0"/>
    <n v="1080"/>
    <n v="0"/>
    <n v="0"/>
    <n v="0"/>
    <n v="0"/>
    <m/>
    <n v="0"/>
    <m/>
    <n v="360"/>
    <n v="360"/>
    <n v="360"/>
    <n v="0"/>
    <n v="0"/>
    <n v="0"/>
    <n v="0"/>
    <n v="0"/>
    <n v="0"/>
    <n v="0"/>
    <n v="0"/>
    <n v="0"/>
    <n v="1080"/>
    <n v="360"/>
    <n v="360"/>
    <n v="360"/>
    <n v="0"/>
    <n v="0"/>
    <n v="0"/>
    <n v="0"/>
    <n v="0"/>
    <n v="0"/>
    <n v="0"/>
    <n v="0"/>
    <n v="0"/>
    <n v="1080"/>
  </r>
  <r>
    <s v="L-ERP-076"/>
    <x v="1"/>
    <x v="11"/>
    <s v="Dougherty, Chris_MANAGED SERVICES_EP&amp;SCharges001"/>
    <s v="ERP"/>
    <s v="Patel, Apurva"/>
    <x v="0"/>
    <s v="Dougherty, Chris"/>
    <s v="Dougherty, Chris"/>
    <s v="Dougherty, Chris"/>
    <s v="Maguire, Karla"/>
    <x v="3"/>
    <s v="Infrastructure Billing Charges"/>
    <m/>
    <m/>
    <s v="EP&amp;SCharges001"/>
    <s v="CHW - Ok"/>
    <s v="N/A"/>
    <m/>
    <s v="EP&amp;S"/>
    <m/>
    <m/>
    <n v="48000"/>
    <n v="49773.74"/>
    <m/>
    <m/>
    <n v="4838.91"/>
    <n v="4409.8999999999996"/>
    <n v="4524.93"/>
    <n v="3908.87"/>
    <n v="4454.8399999999992"/>
    <n v="4602.9500000000007"/>
    <n v="4000"/>
    <n v="4000"/>
    <n v="4000"/>
    <n v="4000"/>
    <n v="4000"/>
    <n v="4000"/>
    <n v="50740.4"/>
    <n v="966.66000000000349"/>
    <n v="4000"/>
    <n v="602.95000000000073"/>
    <n v="966.66000000000349"/>
    <m/>
    <n v="966.66000000000349"/>
    <m/>
    <n v="4838.91"/>
    <n v="4409.8999999999996"/>
    <n v="4524.93"/>
    <n v="4000"/>
    <n v="4000"/>
    <n v="4000"/>
    <n v="4000"/>
    <n v="4000"/>
    <n v="4000"/>
    <n v="4000"/>
    <n v="4000"/>
    <n v="4000"/>
    <n v="49773.74"/>
    <n v="4838.91"/>
    <n v="4409.8999999999996"/>
    <n v="4524.93"/>
    <n v="4000"/>
    <n v="4000"/>
    <n v="4000"/>
    <n v="4000"/>
    <n v="4000"/>
    <n v="4000"/>
    <n v="4000"/>
    <n v="4000"/>
    <n v="4000"/>
    <n v="49773.74"/>
  </r>
  <r>
    <s v="L-ERP-319"/>
    <x v="1"/>
    <x v="11"/>
    <s v="Maguire, Karla_MANAGED SERVICES_EP&amp;SCharges001"/>
    <s v="ERP"/>
    <s v="Patel, Apurva"/>
    <x v="0"/>
    <s v="Dougherty, Chris"/>
    <s v="Dougherty, Chris"/>
    <s v="Maguire, Karla"/>
    <s v="Maguire, Karla"/>
    <x v="3"/>
    <s v="Infrastructure Billing Charges"/>
    <m/>
    <m/>
    <s v="EP&amp;SCharges001"/>
    <s v="CHW - Ok"/>
    <s v="N/A"/>
    <m/>
    <s v="EP&amp;S"/>
    <s v="KP- Could you confirm who this line was transferred to?"/>
    <m/>
    <n v="0"/>
    <n v="1.26"/>
    <m/>
    <m/>
    <n v="0.42"/>
    <n v="0.36"/>
    <n v="0.48"/>
    <n v="1.31"/>
    <n v="209.68999999999997"/>
    <n v="192.01"/>
    <n v="0"/>
    <n v="0"/>
    <n v="0"/>
    <n v="0"/>
    <n v="0"/>
    <n v="0"/>
    <n v="404.27"/>
    <n v="403.01"/>
    <n v="0"/>
    <n v="192.01"/>
    <n v="403.01"/>
    <m/>
    <n v="403.01"/>
    <m/>
    <n v="0.42"/>
    <n v="0.36"/>
    <n v="0.48"/>
    <n v="0"/>
    <n v="0"/>
    <n v="0"/>
    <n v="0"/>
    <n v="0"/>
    <n v="0"/>
    <n v="0"/>
    <n v="0"/>
    <n v="0"/>
    <n v="1.26"/>
    <n v="0.42"/>
    <n v="0.36"/>
    <n v="0.48"/>
    <n v="0"/>
    <n v="0"/>
    <n v="0"/>
    <n v="0"/>
    <n v="0"/>
    <n v="0"/>
    <n v="0"/>
    <n v="0"/>
    <n v="0"/>
    <n v="1.26"/>
  </r>
  <r>
    <s v="L-ERP-361"/>
    <x v="1"/>
    <x v="11"/>
    <s v="McCormick, Pete_MANAGED SERVICES_EP&amp;SCharges001"/>
    <s v="ERP"/>
    <s v="Patel, Apurva"/>
    <x v="0"/>
    <s v="McCormick, Pete"/>
    <s v="Dougherty, Chris"/>
    <s v="McCormick, Pete"/>
    <s v="Maguire, Karla"/>
    <x v="3"/>
    <s v="Infrastructure Billing Charges"/>
    <m/>
    <m/>
    <s v="EP&amp;SCharges001"/>
    <s v="CHW - F/U"/>
    <s v="N/A"/>
    <m/>
    <s v="EP&amp;S"/>
    <m/>
    <m/>
    <n v="672000"/>
    <n v="633103.17999999993"/>
    <m/>
    <m/>
    <n v="45611.11"/>
    <n v="43675.76"/>
    <n v="39816.31"/>
    <n v="40357.590000000004"/>
    <n v="42129.81"/>
    <n v="42451.69000000001"/>
    <n v="42318"/>
    <n v="42318"/>
    <n v="56000"/>
    <n v="56000"/>
    <n v="56000"/>
    <n v="56000"/>
    <n v="562678.27"/>
    <n v="-70424.909999999916"/>
    <n v="56000"/>
    <n v="-13548.30999999999"/>
    <n v="-43060.91"/>
    <m/>
    <n v="-70424.909999999916"/>
    <m/>
    <n v="45611.11"/>
    <n v="43675.76"/>
    <n v="39816.31"/>
    <n v="56000"/>
    <n v="56000"/>
    <n v="56000"/>
    <n v="56000"/>
    <n v="56000"/>
    <n v="56000"/>
    <n v="56000"/>
    <n v="56000"/>
    <n v="56000"/>
    <n v="633103.17999999993"/>
    <n v="45611.11"/>
    <n v="43675.76"/>
    <n v="39816.31"/>
    <n v="56000"/>
    <n v="56000"/>
    <n v="56000"/>
    <n v="56000"/>
    <n v="56000"/>
    <n v="56000"/>
    <n v="56000"/>
    <n v="56000"/>
    <n v="56000"/>
    <n v="633103.17999999993"/>
  </r>
  <r>
    <s v="L-ERP-078"/>
    <x v="1"/>
    <x v="12"/>
    <s v="Dougherty, Chris_SOFTWARE_EP&amp;SCharges001"/>
    <s v="ERP"/>
    <s v="Patel, Apurva"/>
    <x v="0"/>
    <s v="Dougherty, Chris"/>
    <s v="Dougherty, Chris"/>
    <s v="Dougherty, Chris"/>
    <s v="Maguire, Karla"/>
    <x v="1"/>
    <s v="Infrastructure Billing Charges"/>
    <m/>
    <m/>
    <s v="EP&amp;SCharges001"/>
    <m/>
    <s v="N/A"/>
    <m/>
    <s v="EP&amp;S"/>
    <m/>
    <m/>
    <n v="0"/>
    <n v="4158.38"/>
    <m/>
    <m/>
    <n v="279.45999999999998"/>
    <n v="279.45999999999998"/>
    <n v="899.46"/>
    <n v="139.72999999999999"/>
    <n v="139.72999999999999"/>
    <n v="139.72999999999999"/>
    <n v="300"/>
    <n v="300"/>
    <n v="300"/>
    <n v="300"/>
    <n v="300"/>
    <n v="300"/>
    <n v="3677.57"/>
    <n v="-480.80999999999995"/>
    <n v="300"/>
    <n v="-160.27000000000001"/>
    <n v="-480.80999999999995"/>
    <m/>
    <n v="-480.80999999999995"/>
    <m/>
    <n v="279.45999999999998"/>
    <n v="279.45999999999998"/>
    <n v="899.46"/>
    <n v="300"/>
    <n v="300"/>
    <n v="300"/>
    <n v="300"/>
    <n v="300"/>
    <n v="300"/>
    <n v="300"/>
    <n v="300"/>
    <n v="300"/>
    <n v="4158.38"/>
    <n v="279.45999999999998"/>
    <n v="279.45999999999998"/>
    <n v="899.46"/>
    <n v="0"/>
    <n v="0"/>
    <n v="0"/>
    <n v="0"/>
    <n v="0"/>
    <n v="0"/>
    <n v="0"/>
    <n v="0"/>
    <n v="0"/>
    <n v="1458.38"/>
  </r>
  <r>
    <s v="L-ERP-534"/>
    <x v="1"/>
    <x v="12"/>
    <s v="Tamavada, Ram_SOFTWARE_EP&amp;SCharges001"/>
    <s v="ERP"/>
    <s v="Patel, Apurva"/>
    <x v="0"/>
    <s v="Tamavada, Ram"/>
    <s v="Dougherty, Chris"/>
    <s v="Tamavada, Ram"/>
    <s v="Maguire, Karla"/>
    <x v="1"/>
    <s v="Infrastructure Billing Charges"/>
    <m/>
    <m/>
    <s v="EP&amp;SCharges001"/>
    <m/>
    <s v="N/A"/>
    <m/>
    <s v="EP&amp;S"/>
    <m/>
    <m/>
    <n v="8383.7999999999975"/>
    <n v="8383.76"/>
    <m/>
    <m/>
    <n v="698.65"/>
    <n v="558.91999999999996"/>
    <n v="419.19"/>
    <n v="279.45999999999998"/>
    <n v="279.45999999999998"/>
    <n v="279.45999999999998"/>
    <n v="750"/>
    <n v="750"/>
    <n v="750"/>
    <n v="750"/>
    <n v="750"/>
    <n v="750"/>
    <n v="7015.1399999999994"/>
    <n v="-1368.6200000000008"/>
    <n v="767"/>
    <n v="-487.54"/>
    <n v="-1368.6200000000003"/>
    <m/>
    <n v="-1368.6200000000008"/>
    <m/>
    <n v="698.65"/>
    <n v="558.91999999999996"/>
    <n v="419.19"/>
    <n v="690"/>
    <n v="767"/>
    <n v="750"/>
    <n v="750"/>
    <n v="750"/>
    <n v="750"/>
    <n v="750"/>
    <n v="750"/>
    <n v="750"/>
    <n v="8383.76"/>
    <n v="698.65"/>
    <n v="558.91999999999996"/>
    <n v="419.19"/>
    <n v="698.65"/>
    <n v="698.65"/>
    <n v="698.65"/>
    <n v="698.65"/>
    <n v="698.65"/>
    <n v="698.65"/>
    <n v="698.65"/>
    <n v="698.65"/>
    <n v="698.65"/>
    <n v="7964.6099999999979"/>
  </r>
  <r>
    <s v="L-ERP-185"/>
    <x v="1"/>
    <x v="13"/>
    <s v="Hase, Raj_MANAGED SERVICES_EP&amp;SCharges001"/>
    <s v="ERP"/>
    <s v="Patel, Apurva"/>
    <x v="1"/>
    <s v="Hase, Raj"/>
    <s v="Hase, Raj"/>
    <s v="Hase, Raj"/>
    <s v="DeHart, Lynn"/>
    <x v="3"/>
    <s v="Infrastructure Billing Charges"/>
    <m/>
    <m/>
    <s v="EP&amp;SCharges001"/>
    <m/>
    <s v="N/A"/>
    <m/>
    <s v="EP&amp;S"/>
    <m/>
    <m/>
    <n v="10233"/>
    <n v="10178.029999999999"/>
    <m/>
    <m/>
    <n v="961.55"/>
    <n v="816.59"/>
    <n v="725.14"/>
    <n v="139.44999999999999"/>
    <n v="1450.2800000000002"/>
    <n v="0"/>
    <n v="852.75"/>
    <n v="852.75"/>
    <n v="852.75"/>
    <n v="852.75"/>
    <n v="852.75"/>
    <n v="852.75"/>
    <n v="9209.51"/>
    <n v="-968.51999999999862"/>
    <n v="852.75"/>
    <n v="-852.75"/>
    <n v="-968.52"/>
    <m/>
    <n v="-968.51999999999862"/>
    <m/>
    <n v="961.55"/>
    <n v="816.59"/>
    <n v="725.14"/>
    <n v="852.75"/>
    <n v="852.75"/>
    <n v="852.75"/>
    <n v="852.75"/>
    <n v="852.75"/>
    <n v="852.75"/>
    <n v="852.75"/>
    <n v="852.75"/>
    <n v="852.75"/>
    <n v="10178.029999999999"/>
    <n v="961.55"/>
    <n v="816.59"/>
    <n v="725.14"/>
    <n v="852.75"/>
    <n v="852.75"/>
    <n v="852.75"/>
    <n v="852.75"/>
    <n v="852.75"/>
    <n v="852.75"/>
    <n v="852.75"/>
    <n v="852.75"/>
    <n v="852.75"/>
    <n v="10178.029999999999"/>
  </r>
  <r>
    <s v="L-ERP-012"/>
    <x v="1"/>
    <x v="14"/>
    <s v="DeHart, Lynn_MANAGED SERVICES_EP&amp;SCharges001"/>
    <s v="ERP"/>
    <s v="Patel, Apurva"/>
    <x v="2"/>
    <s v="Patel, Apurva"/>
    <s v="Hase, Raj"/>
    <s v="DeHart, Lynn"/>
    <s v="DeHart, Lynn"/>
    <x v="3"/>
    <s v="Infrastructure Billing Charges"/>
    <m/>
    <m/>
    <s v="EP&amp;SCharges001"/>
    <m/>
    <s v="N/A"/>
    <m/>
    <s v="EP&amp;S"/>
    <m/>
    <m/>
    <n v="19212"/>
    <n v="19118.86"/>
    <m/>
    <m/>
    <n v="1556.11"/>
    <n v="1531.5"/>
    <n v="1622.25"/>
    <n v="1712.9899999999998"/>
    <n v="1903.18"/>
    <n v="456.33000000000004"/>
    <n v="1601"/>
    <n v="1601"/>
    <n v="1601"/>
    <n v="1601"/>
    <n v="1601"/>
    <n v="1601"/>
    <n v="18388.36"/>
    <n v="-730.5"/>
    <n v="1601"/>
    <n v="-1144.67"/>
    <n v="-730.50000000000182"/>
    <m/>
    <n v="-730.5"/>
    <m/>
    <n v="1556.11"/>
    <n v="1531.5"/>
    <n v="1622.25"/>
    <n v="1601"/>
    <n v="1601"/>
    <n v="1601"/>
    <n v="1601"/>
    <n v="1601"/>
    <n v="1601"/>
    <n v="1601"/>
    <n v="1601"/>
    <n v="1601"/>
    <n v="19118.86"/>
    <n v="1556.11"/>
    <n v="1531.5"/>
    <n v="1622.25"/>
    <n v="1601"/>
    <n v="1601"/>
    <n v="1601"/>
    <n v="1601"/>
    <n v="1601"/>
    <n v="1601"/>
    <n v="1601"/>
    <n v="1601"/>
    <n v="1601"/>
    <n v="19118.86"/>
  </r>
  <r>
    <s v="L-ERP-435"/>
    <x v="0"/>
    <x v="15"/>
    <s v="McGettigan, David_DEPRECIATION_ERP_Depre001"/>
    <s v="ERP"/>
    <s v="Patel, Apurva"/>
    <x v="2"/>
    <s v="Patel, Apurva"/>
    <s v="McGettigan, David"/>
    <s v="McGettigan, David"/>
    <s v="McGettigan, David"/>
    <x v="4"/>
    <s v="ERP Activated Assets"/>
    <m/>
    <m/>
    <s v="ERP_Depre001"/>
    <m/>
    <s v="N/A"/>
    <m/>
    <s v="None"/>
    <s v="5/18/26 CHW - Updated "/>
    <m/>
    <n v="32110933.16"/>
    <n v="34757461.509999998"/>
    <m/>
    <m/>
    <n v="2815065.65"/>
    <n v="3048410.85"/>
    <n v="3021391.85"/>
    <n v="2973057.3200000008"/>
    <n v="3070156.0000000009"/>
    <n v="2999435.120000001"/>
    <n v="2977460.79"/>
    <n v="2957767.97"/>
    <n v="2824180.51"/>
    <n v="2683373.61"/>
    <n v="2683374.5"/>
    <n v="2683373.5699999998"/>
    <n v="34737047.740000002"/>
    <n v="-20413.769999995828"/>
    <n v="3021022.03"/>
    <n v="-21586.909999998752"/>
    <n v="-20413.769999995828"/>
    <m/>
    <n v="-20413.769999995828"/>
    <m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  <n v="2815065.65"/>
    <n v="3048410.85"/>
    <n v="3021391.85"/>
    <n v="3021020.11"/>
    <n v="3021022.03"/>
    <n v="3021020.07"/>
    <n v="2977460.79"/>
    <n v="2957767.97"/>
    <n v="2824180.51"/>
    <n v="2683373.61"/>
    <n v="2683374.5"/>
    <n v="2683373.5699999998"/>
    <n v="34757461.509999998"/>
  </r>
  <r>
    <s v="L-ERP-046"/>
    <x v="1"/>
    <x v="15"/>
    <s v="DeHart, Lynn_DEPRECIATION_ERP_Depre001"/>
    <s v="ERP"/>
    <s v="Patel, Apurva"/>
    <x v="2"/>
    <s v="Patel, Apurva"/>
    <s v="Hase, Raj"/>
    <s v="DeHart, Lynn"/>
    <s v="DeHart, Lynn"/>
    <x v="4"/>
    <s v="ERP Activated Assets"/>
    <m/>
    <m/>
    <s v="ERP_Depre001"/>
    <m/>
    <s v="N/A"/>
    <m/>
    <s v="None"/>
    <s v="5/18/26 CHW - Updated "/>
    <m/>
    <n v="0"/>
    <n v="19503"/>
    <m/>
    <m/>
    <n v="336"/>
    <n v="337"/>
    <n v="1883"/>
    <n v="852.00000000000011"/>
    <n v="1823.6399999999999"/>
    <n v="1823.62"/>
    <n v="1883"/>
    <n v="1883"/>
    <n v="1883"/>
    <n v="1883"/>
    <n v="1883"/>
    <n v="1883"/>
    <n v="18353.259999999998"/>
    <n v="-1149.7400000000016"/>
    <n v="1883"/>
    <n v="-59.380000000000109"/>
    <n v="-1149.7400000000007"/>
    <m/>
    <n v="-1149.7400000000016"/>
    <m/>
    <n v="336"/>
    <n v="337"/>
    <n v="1883"/>
    <n v="1883"/>
    <n v="1883"/>
    <n v="1883"/>
    <n v="1883"/>
    <n v="1883"/>
    <n v="1883"/>
    <n v="1883"/>
    <n v="1883"/>
    <n v="1883"/>
    <n v="19503"/>
    <n v="336"/>
    <n v="337"/>
    <n v="1883"/>
    <n v="0"/>
    <n v="0"/>
    <n v="0"/>
    <n v="0"/>
    <n v="0"/>
    <n v="0"/>
    <n v="0"/>
    <n v="0"/>
    <n v="0"/>
    <n v="2556"/>
  </r>
  <r>
    <s v="ERP-049"/>
    <x v="0"/>
    <x v="16"/>
    <s v="Meadows, Leslie_MANAGED SERVICES_IT-CTR0044-OG-US-00"/>
    <s v="ERP"/>
    <s v="Patel, Apurva"/>
    <x v="0"/>
    <s v="Meadows, Leslie"/>
    <s v="Dougherty, Chris"/>
    <s v="Meadows, Leslie"/>
    <s v="Meadows, Leslie"/>
    <x v="3"/>
    <s v="Launch Agility - ATTP ADDITIONAL SUPPORT - JAN TO JUNE'20"/>
    <m/>
    <s v="2321511"/>
    <s v="IT-CTR0044-OG-US-00"/>
    <m/>
    <s v="9501250402"/>
    <m/>
    <m/>
    <s v="KP - 9501250402_x000a_9501258229_x000a_9501258235_x000a_Reclass Dynatrace_x000a_9501271398"/>
    <m/>
    <m/>
    <m/>
    <m/>
    <m/>
    <m/>
    <m/>
    <m/>
    <m/>
    <n v="45743"/>
    <n v="9404.5"/>
    <m/>
    <m/>
    <m/>
    <m/>
    <m/>
    <m/>
    <n v="55147.5"/>
    <n v="55147.5"/>
    <m/>
    <n v="9404.5"/>
    <n v="55147.5"/>
    <m/>
    <n v="55147.5"/>
    <m/>
    <m/>
    <m/>
    <m/>
    <m/>
    <m/>
    <m/>
    <m/>
    <m/>
    <m/>
    <m/>
    <m/>
    <m/>
    <m/>
    <m/>
    <m/>
    <m/>
    <m/>
    <m/>
    <m/>
    <m/>
    <m/>
    <m/>
    <m/>
    <m/>
    <m/>
    <m/>
  </r>
  <r>
    <s v="ERP-027"/>
    <x v="1"/>
    <x v="16"/>
    <s v="Tamavada, Ram_MANAGED SERVICES_IT-CTR0044-OG-US-00"/>
    <s v="ERP"/>
    <s v="Patel, Apurva"/>
    <x v="0"/>
    <s v="Tamavada, Ram"/>
    <s v="Dougherty, Chris"/>
    <s v="Tamavada, Ram"/>
    <s v="Tamavada, Ram"/>
    <x v="3"/>
    <s v="Launch Agility - IBM ATTP additional Support"/>
    <s v="IBM"/>
    <s v="2320843"/>
    <s v="IT-CTR0044-OG-US-00"/>
    <m/>
    <s v="9501250402"/>
    <m/>
    <m/>
    <m/>
    <m/>
    <m/>
    <m/>
    <m/>
    <m/>
    <m/>
    <m/>
    <m/>
    <n v="35539.5"/>
    <n v="-35539.5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17"/>
    <x v="0"/>
    <x v="17"/>
    <s v="Tamavada, Ram_CONTRACTORS_IT-FBT0245-OG-US-00"/>
    <s v="ERP"/>
    <s v="Patel, Apurva"/>
    <x v="0"/>
    <s v="Tamavada, Ram"/>
    <s v="Dougherty, Chris"/>
    <s v="Tamavada, Ram"/>
    <s v="Maguire, Karla"/>
    <x v="0"/>
    <s v="Enterprise Integration Hub (EIH) - Code repository, DevOps and API"/>
    <m/>
    <m/>
    <s v="IT-FBT0245-OG-US-00"/>
    <m/>
    <m/>
    <m/>
    <s v="EIH"/>
    <m/>
    <m/>
    <n v="150000"/>
    <n v="149999.65"/>
    <m/>
    <m/>
    <m/>
    <m/>
    <n v="36597.65"/>
    <n v="17284.68"/>
    <n v="12179.44"/>
    <n v="11999.990000000002"/>
    <n v="12000"/>
    <n v="12000"/>
    <n v="12000"/>
    <n v="12000"/>
    <n v="12000"/>
    <n v="12000"/>
    <n v="150061.76000000001"/>
    <n v="62.110000000015134"/>
    <n v="12900"/>
    <n v="-900.0099999999984"/>
    <n v="3062.1100000000151"/>
    <m/>
    <n v="62.110000000015134"/>
    <m/>
    <m/>
    <m/>
    <n v="36597.65"/>
    <n v="12900"/>
    <n v="12900"/>
    <n v="12602"/>
    <n v="12500"/>
    <n v="12500"/>
    <n v="12500"/>
    <n v="12500"/>
    <n v="12500"/>
    <n v="12500"/>
    <n v="149999.65"/>
    <m/>
    <m/>
    <n v="36597.65"/>
    <n v="12500"/>
    <n v="12500"/>
    <n v="12500"/>
    <n v="12500"/>
    <n v="12500"/>
    <n v="12500"/>
    <n v="12500"/>
    <n v="12500"/>
    <n v="12500"/>
    <n v="149097.65"/>
  </r>
  <r>
    <s v="L-ERP-315"/>
    <x v="1"/>
    <x v="17"/>
    <s v="Maguire, Karla_CONTRACTORS_IT-FBT0245-OG-US-00"/>
    <s v="ERP"/>
    <s v="Patel, Apurva"/>
    <x v="0"/>
    <s v="Dougherty, Chris"/>
    <s v="Dougherty, Chris"/>
    <s v="Maguire, Karla"/>
    <s v="Maguire, Karla"/>
    <x v="0"/>
    <s v="Enterprise Integration Hub (EIH) - Code repository, DevOps and API"/>
    <m/>
    <m/>
    <s v="IT-FBT0245-OG-US-00"/>
    <m/>
    <m/>
    <m/>
    <s v="EIH"/>
    <m/>
    <m/>
    <n v="0"/>
    <n v="0"/>
    <m/>
    <m/>
    <n v="10113"/>
    <n v="11863.11"/>
    <n v="-21976.11"/>
    <n v="0"/>
    <n v="0"/>
    <n v="0"/>
    <m/>
    <m/>
    <m/>
    <m/>
    <m/>
    <m/>
    <n v="0"/>
    <n v="0"/>
    <m/>
    <n v="0"/>
    <n v="0"/>
    <m/>
    <n v="0"/>
    <m/>
    <n v="10113"/>
    <n v="11863.11"/>
    <n v="-21976.11"/>
    <m/>
    <m/>
    <m/>
    <m/>
    <m/>
    <m/>
    <m/>
    <m/>
    <m/>
    <n v="0"/>
    <n v="10113"/>
    <n v="11863.11"/>
    <n v="-21976.11"/>
    <m/>
    <m/>
    <m/>
    <m/>
    <m/>
    <m/>
    <m/>
    <m/>
    <m/>
    <n v="0"/>
  </r>
  <r>
    <s v="L-ERP-437"/>
    <x v="0"/>
    <x v="18"/>
    <s v="Meadows, Leslie_MANAGED SERVICES_IT-FBT0524-OG-US-00"/>
    <s v="ERP"/>
    <s v="Patel, Apurva"/>
    <x v="0"/>
    <s v="Meadows, Leslie"/>
    <s v="Dougherty, Chris"/>
    <s v="Meadows, Leslie"/>
    <s v="Maguire, Karla"/>
    <x v="3"/>
    <s v="&amp;#39;Infrastructure Charges - TRICENTIS TOSCA (ERP) - Cloud AWS &amp; Data Protection"/>
    <m/>
    <m/>
    <s v="IT-FBT0524-OG-US-00"/>
    <m/>
    <m/>
    <m/>
    <s v="EP&amp;S"/>
    <s v="KP - Trying to figure out if it belongs to Ram OR Leslie."/>
    <m/>
    <n v="4558"/>
    <n v="3418.5099999999998"/>
    <m/>
    <m/>
    <m/>
    <m/>
    <m/>
    <s v=""/>
    <n v="0"/>
    <n v="0"/>
    <n v="379.83"/>
    <n v="379.83"/>
    <n v="379.83"/>
    <n v="379.83"/>
    <n v="379.83"/>
    <n v="379.87"/>
    <n v="2279.02"/>
    <n v="-1139.4899999999998"/>
    <n v="379.83"/>
    <n v="-379.83"/>
    <n v="-1139.49"/>
    <m/>
    <n v="-1139.4899999999998"/>
    <m/>
    <m/>
    <m/>
    <m/>
    <n v="379.83"/>
    <n v="379.83"/>
    <n v="379.83"/>
    <n v="379.83"/>
    <n v="379.83"/>
    <n v="379.83"/>
    <n v="379.83"/>
    <n v="379.83"/>
    <n v="379.87"/>
    <n v="3418.5099999999998"/>
    <m/>
    <m/>
    <m/>
    <n v="379.83"/>
    <n v="379.83"/>
    <n v="379.83"/>
    <n v="379.83"/>
    <n v="379.83"/>
    <n v="379.83"/>
    <n v="379.83"/>
    <n v="379.83"/>
    <n v="379.87"/>
    <n v="3418.5099999999998"/>
  </r>
  <r>
    <s v="L-ERP-519"/>
    <x v="1"/>
    <x v="18"/>
    <s v="Tamavada, Ram_MANAGED SERVICES_IT-FBT0524-OG-US-00"/>
    <s v="ERP"/>
    <s v="Patel, Apurva"/>
    <x v="0"/>
    <s v="Tamavada, Ram"/>
    <s v="Dougherty, Chris"/>
    <s v="Tamavada, Ram"/>
    <s v="Maguire, Karla"/>
    <x v="3"/>
    <s v="&amp;#39;Infrastructure Charges - TRICENTIS TOSCA (ERP) - Cloud AWS &amp; Data Protection"/>
    <m/>
    <m/>
    <s v="IT-FBT0524-OG-US-00"/>
    <m/>
    <m/>
    <m/>
    <s v="EP&amp;S"/>
    <s v="KP - Trying to figure out if it belongs to Ram OR Leslie."/>
    <m/>
    <n v="0"/>
    <n v="1351.1499999999999"/>
    <m/>
    <m/>
    <n v="696.35"/>
    <n v="599.02"/>
    <n v="55.78"/>
    <n v="27.89"/>
    <n v="596.58999999999992"/>
    <n v="549.04999999999995"/>
    <n v="0"/>
    <n v="0"/>
    <n v="0"/>
    <n v="0"/>
    <n v="0"/>
    <n v="0"/>
    <n v="2524.6799999999998"/>
    <n v="1173.53"/>
    <n v="0"/>
    <n v="549.04999999999995"/>
    <n v="1173.53"/>
    <m/>
    <n v="1173.53"/>
    <m/>
    <n v="696.35"/>
    <n v="599.02"/>
    <n v="55.78"/>
    <n v="0"/>
    <n v="0"/>
    <n v="0"/>
    <n v="0"/>
    <n v="0"/>
    <n v="0"/>
    <n v="0"/>
    <n v="0"/>
    <n v="0"/>
    <n v="1351.1499999999999"/>
    <n v="696.35"/>
    <n v="599.02"/>
    <n v="55.78"/>
    <n v="600"/>
    <n v="600"/>
    <n v="600"/>
    <n v="600"/>
    <n v="600"/>
    <n v="600"/>
    <n v="600"/>
    <n v="600"/>
    <n v="600"/>
    <n v="6751.15"/>
  </r>
  <r>
    <s v="L-ERP-071"/>
    <x v="0"/>
    <x v="19"/>
    <s v="Dougherty, Chris_MANAGED SERVICES_IT-FBT0587-OG-US-00"/>
    <s v="ERP"/>
    <s v="Patel, Apurva"/>
    <x v="0"/>
    <s v="Dougherty, Chris"/>
    <s v="Dougherty, Chris"/>
    <s v="Dougherty, Chris"/>
    <s v="Maguire, Karla"/>
    <x v="3"/>
    <s v="Infrastructure Charges - Oracle EPM Cloud FastConnect MPLS circuit"/>
    <m/>
    <m/>
    <s v="IT-FBT0587-OG-US-00"/>
    <m/>
    <m/>
    <m/>
    <s v="EP&amp;S"/>
    <m/>
    <m/>
    <n v="0"/>
    <n v="10582.559999999998"/>
    <m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0"/>
    <n v="881.88"/>
    <n v="0"/>
    <n v="0"/>
    <m/>
    <n v="0"/>
    <m/>
    <n v="881.88"/>
    <n v="881.88"/>
    <n v="881.88"/>
    <n v="881.88"/>
    <n v="881.88"/>
    <n v="881.88"/>
    <n v="881.88"/>
    <n v="881.88"/>
    <n v="881.88"/>
    <n v="881.88"/>
    <n v="881.88"/>
    <n v="881.88"/>
    <n v="10582.559999999998"/>
    <n v="881.88"/>
    <n v="881.88"/>
    <n v="881.88"/>
    <n v="0"/>
    <n v="0"/>
    <n v="0"/>
    <n v="0"/>
    <n v="0"/>
    <n v="0"/>
    <n v="0"/>
    <n v="0"/>
    <n v="0"/>
    <n v="2645.64"/>
  </r>
  <r>
    <s v="L-ERP-520"/>
    <x v="1"/>
    <x v="19"/>
    <s v="Tamavada, Ram_MANAGED SERVICES_IT-FBT0587-OG-US-00"/>
    <s v="ERP"/>
    <s v="Patel, Apurva"/>
    <x v="0"/>
    <s v="Tamavada, Ram"/>
    <s v="Dougherty, Chris"/>
    <s v="Tamavada, Ram"/>
    <s v="Maguire, Karla"/>
    <x v="3"/>
    <s v="Infrastructure Charges - Oracle EPM Cloud FastConnect MPLS circuit"/>
    <m/>
    <m/>
    <s v="IT-FBT0587-OG-US-00"/>
    <m/>
    <m/>
    <m/>
    <s v="EP&amp;S"/>
    <m/>
    <m/>
    <n v="10599.999996000004"/>
    <n v="0"/>
    <m/>
    <m/>
    <m/>
    <m/>
    <m/>
    <s v=""/>
    <n v="0"/>
    <n v="0"/>
    <n v="0"/>
    <n v="0"/>
    <n v="0"/>
    <n v="0"/>
    <n v="0"/>
    <n v="0"/>
    <n v="0"/>
    <n v="0"/>
    <n v="0"/>
    <n v="0"/>
    <n v="0"/>
    <n v="-10600"/>
    <n v="10600"/>
    <m/>
    <m/>
    <m/>
    <m/>
    <n v="0"/>
    <n v="0"/>
    <n v="0"/>
    <n v="0"/>
    <n v="0"/>
    <n v="0"/>
    <n v="0"/>
    <n v="0"/>
    <n v="0"/>
    <n v="0"/>
    <m/>
    <m/>
    <m/>
    <n v="883.33333300000004"/>
    <n v="883.33333300000004"/>
    <n v="883.33333300000004"/>
    <n v="883.33333300000004"/>
    <n v="883.33333300000004"/>
    <n v="883.33333300000004"/>
    <n v="883.33333300000004"/>
    <n v="883.33333300000004"/>
    <n v="883.33333300000004"/>
    <n v="7949.9999970000026"/>
  </r>
  <r>
    <s v="L-ERP-072"/>
    <x v="0"/>
    <x v="20"/>
    <s v="Dougherty, Chris_MANAGED SERVICES_IT-FBT0665-OG-US-00"/>
    <s v="ERP"/>
    <s v="Patel, Apurva"/>
    <x v="0"/>
    <s v="Dougherty, Chris"/>
    <s v="Dougherty, Chris"/>
    <s v="Dougherty, Chris"/>
    <s v="Maguire, Karla"/>
    <x v="3"/>
    <s v="Syniti: Infrastructure Charges - SAP Backoffice - Cloud AWS"/>
    <m/>
    <m/>
    <s v="IT-FBT0665-OG-US-00"/>
    <m/>
    <s v="N/A"/>
    <m/>
    <s v="EP&amp;S"/>
    <m/>
    <m/>
    <n v="0"/>
    <n v="9126"/>
    <m/>
    <m/>
    <m/>
    <m/>
    <m/>
    <s v=""/>
    <n v="0"/>
    <n v="0"/>
    <n v="1300"/>
    <n v="1300"/>
    <n v="1300"/>
    <n v="1300"/>
    <n v="1300"/>
    <n v="1326"/>
    <n v="7826"/>
    <n v="-1300"/>
    <n v="1014"/>
    <n v="-1014"/>
    <n v="-3042"/>
    <m/>
    <n v="-1300"/>
    <m/>
    <m/>
    <m/>
    <m/>
    <n v="1014"/>
    <n v="1014"/>
    <n v="1014"/>
    <n v="1014"/>
    <n v="1014"/>
    <n v="1014"/>
    <n v="1014"/>
    <n v="1014"/>
    <n v="1014"/>
    <n v="9126"/>
    <m/>
    <m/>
    <m/>
    <n v="1014"/>
    <n v="1014"/>
    <n v="1014"/>
    <n v="1014"/>
    <n v="1014"/>
    <n v="1014"/>
    <n v="1014"/>
    <n v="1014"/>
    <n v="1014"/>
    <n v="9126"/>
  </r>
  <r>
    <s v="L-ERP-522"/>
    <x v="1"/>
    <x v="20"/>
    <s v="Tamavada, Ram_MANAGED SERVICES_IT-FBT0665-OG-US-00"/>
    <s v="ERP"/>
    <s v="Patel, Apurva"/>
    <x v="0"/>
    <s v="Tamavada, Ram"/>
    <s v="Dougherty, Chris"/>
    <s v="Tamavada, Ram"/>
    <s v="Maguire, Karla"/>
    <x v="3"/>
    <s v="Syniti: Infrastructure Charges - SAP Backoffice - Cloud AWS"/>
    <m/>
    <m/>
    <s v="IT-FBT0665-OG-US-00"/>
    <m/>
    <s v="N/A"/>
    <m/>
    <s v="EP&amp;S"/>
    <m/>
    <m/>
    <n v="12168"/>
    <n v="9604.119999999999"/>
    <m/>
    <m/>
    <n v="243.06"/>
    <n v="235.06"/>
    <n v="0"/>
    <n v="527.16999999999996"/>
    <n v="288.64999999999998"/>
    <n v="209.08999999999997"/>
    <n v="1014"/>
    <n v="1014"/>
    <n v="1014"/>
    <n v="1014"/>
    <n v="1014"/>
    <n v="1014"/>
    <n v="7587.03"/>
    <n v="-2017.0899999999992"/>
    <n v="1014"/>
    <n v="-804.91000000000008"/>
    <n v="-2017.09"/>
    <m/>
    <n v="-2017.0899999999992"/>
    <m/>
    <n v="243.06"/>
    <n v="235.06"/>
    <n v="0"/>
    <n v="1014"/>
    <n v="1014"/>
    <n v="1014"/>
    <n v="1014"/>
    <n v="1014"/>
    <n v="1014"/>
    <n v="1014"/>
    <n v="1014"/>
    <n v="1014"/>
    <n v="9604.119999999999"/>
    <n v="243.06"/>
    <n v="235.06"/>
    <n v="0"/>
    <n v="1014"/>
    <n v="1014"/>
    <n v="1014"/>
    <n v="1014"/>
    <n v="1014"/>
    <n v="1014"/>
    <n v="1014"/>
    <n v="1014"/>
    <n v="1014"/>
    <n v="9604.119999999999"/>
  </r>
  <r>
    <s v="L-ERP-073"/>
    <x v="0"/>
    <x v="21"/>
    <s v="Dougherty, Chris_MANAGED SERVICES_IT-FBT0693-OG-US-00"/>
    <s v="ERP"/>
    <s v="Patel, Apurva"/>
    <x v="0"/>
    <s v="Dougherty, Chris"/>
    <s v="Dougherty, Chris"/>
    <s v="Dougherty, Chris"/>
    <s v="Maguire, Karla"/>
    <x v="3"/>
    <s v="Infrastructure charges"/>
    <m/>
    <m/>
    <s v="IT-FBT0693-OG-US-00"/>
    <m/>
    <m/>
    <m/>
    <s v="EP&amp;S"/>
    <m/>
    <m/>
    <n v="60000"/>
    <n v="58916.17"/>
    <m/>
    <m/>
    <n v="5046.78"/>
    <n v="4733.08"/>
    <n v="4136.3100000000004"/>
    <n v="1611.3500000000001"/>
    <n v="1548.42"/>
    <n v="448.77000000000004"/>
    <n v="5000"/>
    <n v="5000"/>
    <n v="5000"/>
    <n v="5000"/>
    <n v="5000"/>
    <n v="5000"/>
    <n v="47524.710000000006"/>
    <n v="-11391.459999999992"/>
    <n v="5000"/>
    <n v="-4551.2299999999996"/>
    <n v="-11391.46"/>
    <m/>
    <n v="-11391.459999999992"/>
    <m/>
    <n v="5046.78"/>
    <n v="4733.08"/>
    <n v="4136.3100000000004"/>
    <n v="5000"/>
    <n v="5000"/>
    <n v="5000"/>
    <n v="5000"/>
    <n v="5000"/>
    <n v="5000"/>
    <n v="5000"/>
    <n v="5000"/>
    <n v="5000"/>
    <n v="58916.17"/>
    <n v="5046.78"/>
    <n v="4733.08"/>
    <n v="4136.3100000000004"/>
    <n v="5000"/>
    <n v="5000"/>
    <n v="5000"/>
    <n v="5000"/>
    <n v="5000"/>
    <n v="5000"/>
    <n v="5000"/>
    <n v="5000"/>
    <n v="5000"/>
    <n v="58916.17"/>
  </r>
  <r>
    <s v="L-ERP-358"/>
    <x v="1"/>
    <x v="21"/>
    <s v="McCormick, Pete_MANAGED SERVICES_IT-FBT0693-OG-US-00"/>
    <s v="ERP"/>
    <s v="Patel, Apurva"/>
    <x v="0"/>
    <s v="McCormick, Pete"/>
    <s v="Dougherty, Chris"/>
    <s v="McCormick, Pete"/>
    <s v="Maguire, Karla"/>
    <x v="3"/>
    <s v="Infrastructure charges"/>
    <m/>
    <m/>
    <s v="IT-FBT0693-OG-US-00"/>
    <m/>
    <m/>
    <m/>
    <s v="EP&amp;S"/>
    <m/>
    <m/>
    <n v="0"/>
    <n v="81"/>
    <m/>
    <m/>
    <n v="1.65"/>
    <n v="76.819999999999993"/>
    <n v="2.5299999999999998"/>
    <n v="1008.71"/>
    <n v="1060.44"/>
    <n v="17.300000000000068"/>
    <n v="0"/>
    <n v="0"/>
    <n v="0"/>
    <n v="0"/>
    <n v="0"/>
    <n v="0"/>
    <n v="2167.4500000000003"/>
    <n v="2086.4500000000003"/>
    <n v="0"/>
    <n v="17.300000000000068"/>
    <n v="2086.4500000000003"/>
    <m/>
    <n v="2086.4500000000003"/>
    <m/>
    <n v="1.65"/>
    <n v="76.819999999999993"/>
    <n v="2.5299999999999998"/>
    <n v="0"/>
    <n v="0"/>
    <n v="0"/>
    <n v="0"/>
    <n v="0"/>
    <n v="0"/>
    <n v="0"/>
    <n v="0"/>
    <n v="0"/>
    <n v="81"/>
    <n v="1.65"/>
    <n v="76.819999999999993"/>
    <n v="2.5299999999999998"/>
    <n v="0"/>
    <n v="0"/>
    <n v="0"/>
    <n v="0"/>
    <n v="0"/>
    <n v="0"/>
    <n v="0"/>
    <n v="0"/>
    <n v="0"/>
    <n v="81"/>
  </r>
  <r>
    <s v="L-ERP-524"/>
    <x v="1"/>
    <x v="21"/>
    <s v="Tamavada, Ram_MANAGED SERVICES_IT-FBT0693-OG-US-00"/>
    <s v="ERP"/>
    <s v="Patel, Apurva"/>
    <x v="0"/>
    <s v="Tamavada, Ram"/>
    <s v="Dougherty, Chris"/>
    <s v="Tamavada, Ram"/>
    <s v="Maguire, Karla"/>
    <x v="3"/>
    <s v="Infrastructure charges"/>
    <m/>
    <m/>
    <s v="IT-FBT0693-OG-US-00"/>
    <m/>
    <m/>
    <m/>
    <s v="EP&amp;S"/>
    <m/>
    <m/>
    <n v="14400"/>
    <n v="11192.33"/>
    <m/>
    <m/>
    <n v="200.57"/>
    <n v="191.76"/>
    <n v="0"/>
    <n v="14.350000000000001"/>
    <n v="11.24"/>
    <n v="0"/>
    <n v="1200"/>
    <n v="1200"/>
    <n v="1200"/>
    <n v="1200"/>
    <n v="1200"/>
    <n v="1200"/>
    <n v="7617.92"/>
    <n v="-3574.41"/>
    <n v="1200"/>
    <n v="-1200"/>
    <n v="-3574.41"/>
    <m/>
    <n v="-3574.41"/>
    <m/>
    <n v="200.57"/>
    <n v="191.76"/>
    <n v="0"/>
    <n v="1200"/>
    <n v="1200"/>
    <n v="1200"/>
    <n v="1200"/>
    <n v="1200"/>
    <n v="1200"/>
    <n v="1200"/>
    <n v="1200"/>
    <n v="1200"/>
    <n v="11192.33"/>
    <n v="200.57"/>
    <n v="191.76"/>
    <n v="0"/>
    <n v="1200"/>
    <n v="1200"/>
    <n v="1200"/>
    <n v="1200"/>
    <n v="1200"/>
    <n v="1200"/>
    <n v="1200"/>
    <n v="1200"/>
    <n v="1200"/>
    <n v="11192.33"/>
  </r>
  <r>
    <s v="L-ERP-532"/>
    <x v="0"/>
    <x v="22"/>
    <s v="Tamavada, Ram_SOFTWARE_IT-FGS0298-SW-US-00"/>
    <s v="ERP"/>
    <s v="Patel, Apurva"/>
    <x v="0"/>
    <s v="Tamavada, Ram"/>
    <s v="Dougherty, Chris"/>
    <s v="Tamavada, Ram"/>
    <s v="Maguire, Karla"/>
    <x v="1"/>
    <s v="JFrog Artifactory Repository Monthly Charge"/>
    <m/>
    <m/>
    <s v="IT-FGS0298-SW-US-00"/>
    <m/>
    <s v="N/A"/>
    <m/>
    <s v="EP&amp;S"/>
    <m/>
    <m/>
    <n v="11109.88"/>
    <n v="9249.9"/>
    <m/>
    <m/>
    <n v="616.66"/>
    <n v="0"/>
    <n v="308.33"/>
    <n v="308.33"/>
    <n v="308.33"/>
    <n v="308.33"/>
    <n v="924.99"/>
    <n v="924.99"/>
    <n v="924.99"/>
    <n v="924.99"/>
    <n v="924.99"/>
    <n v="924.99"/>
    <n v="7399.9199999999992"/>
    <n v="-1849.9800000000005"/>
    <n v="924.99"/>
    <n v="-616.66000000000008"/>
    <n v="-1849.9800000000002"/>
    <m/>
    <n v="-1849.9800000000005"/>
    <m/>
    <n v="616.66"/>
    <n v="0"/>
    <n v="308.33"/>
    <n v="924.99"/>
    <n v="924.99"/>
    <n v="924.99"/>
    <n v="924.99"/>
    <n v="924.99"/>
    <n v="924.99"/>
    <n v="924.99"/>
    <n v="924.99"/>
    <n v="924.99"/>
    <n v="9249.9"/>
    <n v="616.66"/>
    <n v="0"/>
    <n v="308.33"/>
    <n v="924.99"/>
    <n v="924.99"/>
    <n v="924.99"/>
    <n v="924.99"/>
    <n v="924.99"/>
    <n v="924.99"/>
    <n v="924.99"/>
    <n v="924.99"/>
    <n v="924.99"/>
    <n v="9249.9"/>
  </r>
  <r>
    <s v="ERP-058"/>
    <x v="1"/>
    <x v="22"/>
    <s v="Dougherty, Chris_SOFTWARE_IT-FGS0298-SW-US-00"/>
    <s v="ERP"/>
    <s v="Patel, Apurva"/>
    <x v="0"/>
    <s v="Dougherty, Chris"/>
    <s v="Dougherty, Chris"/>
    <s v="Dougherty, Chris"/>
    <s v="Dougherty, Chris"/>
    <x v="1"/>
    <m/>
    <m/>
    <m/>
    <s v="IT-FGS0298-SW-US-00"/>
    <m/>
    <m/>
    <m/>
    <m/>
    <m/>
    <m/>
    <m/>
    <m/>
    <m/>
    <m/>
    <m/>
    <m/>
    <m/>
    <m/>
    <m/>
    <n v="308.33"/>
    <m/>
    <m/>
    <m/>
    <m/>
    <m/>
    <m/>
    <n v="308.33"/>
    <n v="308.33"/>
    <m/>
    <n v="308.33"/>
    <n v="308.33"/>
    <m/>
    <n v="308.33"/>
    <m/>
    <m/>
    <m/>
    <m/>
    <m/>
    <m/>
    <m/>
    <m/>
    <m/>
    <m/>
    <m/>
    <m/>
    <m/>
    <m/>
    <m/>
    <m/>
    <m/>
    <m/>
    <m/>
    <m/>
    <m/>
    <m/>
    <m/>
    <m/>
    <m/>
    <m/>
    <m/>
  </r>
  <r>
    <s v="L-ERP-362"/>
    <x v="1"/>
    <x v="22"/>
    <s v="McCormick, Pete_SOFTWARE_IT-FGS0298-SW-US-00"/>
    <s v="ERP"/>
    <s v="Patel, Apurva"/>
    <x v="0"/>
    <s v="McCormick, Pete"/>
    <s v="Dougherty, Chris"/>
    <s v="McCormick, Pete"/>
    <s v="Maguire, Karla"/>
    <x v="1"/>
    <s v="JFrog Artifactory Repository Monthly Charge"/>
    <m/>
    <m/>
    <s v="IT-FGS0298-SW-US-00"/>
    <m/>
    <s v="N/A"/>
    <m/>
    <s v="EP&amp;S"/>
    <m/>
    <m/>
    <n v="0"/>
    <n v="616.66"/>
    <m/>
    <m/>
    <n v="308.33"/>
    <n v="0"/>
    <n v="308.33"/>
    <n v="308.33"/>
    <n v="308.33"/>
    <n v="0"/>
    <n v="0"/>
    <n v="0"/>
    <n v="0"/>
    <n v="0"/>
    <n v="0"/>
    <n v="0"/>
    <n v="1233.32"/>
    <n v="616.66"/>
    <n v="0"/>
    <n v="0"/>
    <n v="616.66"/>
    <m/>
    <n v="616.66"/>
    <m/>
    <n v="308.33"/>
    <n v="0"/>
    <n v="308.33"/>
    <n v="0"/>
    <n v="0"/>
    <n v="0"/>
    <n v="0"/>
    <n v="0"/>
    <n v="0"/>
    <n v="0"/>
    <n v="0"/>
    <n v="0"/>
    <n v="616.66"/>
    <n v="308.33"/>
    <n v="0"/>
    <n v="308.33"/>
    <n v="0"/>
    <n v="0"/>
    <n v="0"/>
    <n v="0"/>
    <n v="0"/>
    <n v="0"/>
    <n v="0"/>
    <n v="0"/>
    <n v="0"/>
    <n v="616.66"/>
  </r>
  <r>
    <s v="L-ERP-316"/>
    <x v="0"/>
    <x v="23"/>
    <s v="Maguire, Karla_HW MAINTENANCE_IT-FGS0299-OG-US-00"/>
    <s v="ERP"/>
    <s v="Patel, Apurva"/>
    <x v="0"/>
    <s v="Dougherty, Chris"/>
    <s v="Dougherty, Chris"/>
    <s v="Maguire, Karla"/>
    <s v="Maguire, Karla"/>
    <x v="5"/>
    <s v="Others (Vending, Meeting event, Devices Unreturned, Applecare, Mac-mgmt, IT Onboard, etc.)"/>
    <m/>
    <m/>
    <s v="IT-FGS0299-OG-US-00"/>
    <m/>
    <s v="N/A"/>
    <m/>
    <s v="EP&amp;S"/>
    <s v="KP- Could you confirm who this line was transferred to?"/>
    <m/>
    <n v="0"/>
    <n v="2955.3"/>
    <m/>
    <m/>
    <n v="1146.01"/>
    <n v="0"/>
    <n v="1809.29"/>
    <n v="5504.11"/>
    <n v="299.02999999999997"/>
    <n v="0"/>
    <n v="0"/>
    <n v="0"/>
    <n v="0"/>
    <n v="0"/>
    <n v="0"/>
    <n v="0"/>
    <n v="8758.44"/>
    <n v="5803.14"/>
    <n v="0"/>
    <n v="0"/>
    <n v="5803.14"/>
    <m/>
    <n v="5803.14"/>
    <m/>
    <n v="1146.01"/>
    <n v="0"/>
    <n v="1809.29"/>
    <n v="0"/>
    <n v="0"/>
    <n v="0"/>
    <n v="0"/>
    <n v="0"/>
    <n v="0"/>
    <n v="0"/>
    <n v="0"/>
    <n v="0"/>
    <n v="2955.3"/>
    <n v="1146.01"/>
    <n v="0"/>
    <n v="1809.29"/>
    <n v="0"/>
    <n v="0"/>
    <n v="0"/>
    <n v="0"/>
    <n v="0"/>
    <n v="0"/>
    <n v="0"/>
    <n v="0"/>
    <n v="0"/>
    <n v="2955.3"/>
  </r>
  <r>
    <s v="L-ERP-359"/>
    <x v="0"/>
    <x v="24"/>
    <s v="McCormick, Pete_MANAGED SERVICES_IT-FGS0299-OG-US-00"/>
    <s v="ERP"/>
    <s v="Patel, Apurva"/>
    <x v="0"/>
    <s v="McCormick, Pete"/>
    <s v="Dougherty, Chris"/>
    <s v="McCormick, Pete"/>
    <s v="Maguire, Karla"/>
    <x v="3"/>
    <s v="Others (Vending, Meeting event, Devices Unreturned, Applecare, Mac-mgmt, IT Onboard, etc.)"/>
    <m/>
    <m/>
    <s v="IT-FGS0299-OG-US-00"/>
    <m/>
    <s v="N/A"/>
    <m/>
    <s v="EP&amp;S"/>
    <m/>
    <m/>
    <n v="240000"/>
    <n v="230345.91999999998"/>
    <m/>
    <m/>
    <n v="18590.2"/>
    <n v="19113.38"/>
    <n v="12642.34"/>
    <n v="21280.7"/>
    <n v="14563.560000000001"/>
    <n v="26235.370000000003"/>
    <n v="19000"/>
    <n v="19000"/>
    <n v="19000"/>
    <n v="19000"/>
    <n v="19000"/>
    <n v="19000"/>
    <n v="226425.55"/>
    <n v="-3920.3699999999953"/>
    <n v="20000"/>
    <n v="6235.3700000000026"/>
    <n v="2079.6299999999901"/>
    <m/>
    <n v="-3920.3699999999953"/>
    <m/>
    <n v="18590.2"/>
    <n v="19113.38"/>
    <n v="12642.34"/>
    <n v="20000"/>
    <n v="20000"/>
    <n v="20000"/>
    <n v="20000"/>
    <n v="20000"/>
    <n v="20000"/>
    <n v="20000"/>
    <n v="20000"/>
    <n v="20000"/>
    <n v="230345.91999999998"/>
    <n v="18590.2"/>
    <n v="19113.38"/>
    <n v="12642.34"/>
    <n v="20000"/>
    <n v="20000"/>
    <n v="20000"/>
    <n v="20000"/>
    <n v="20000"/>
    <n v="20000"/>
    <n v="20000"/>
    <n v="20000"/>
    <n v="20000"/>
    <n v="230345.91999999998"/>
  </r>
  <r>
    <s v="ERP-059"/>
    <x v="0"/>
    <x v="25"/>
    <s v="Maguire, Karla_SOFTWARE_IT-FGS0299-OG-US-00"/>
    <s v="ERP"/>
    <s v="Patel, Apurva"/>
    <x v="0"/>
    <s v="Dougherty, Chris"/>
    <s v="Dougherty, Chris"/>
    <s v="Maguire, Karla"/>
    <s v="Dougherty, Chris"/>
    <x v="1"/>
    <m/>
    <m/>
    <m/>
    <s v="IT-FGS0299-OG-US-00"/>
    <m/>
    <m/>
    <m/>
    <m/>
    <s v="KP- Could you confirm who this line was transferred to?"/>
    <m/>
    <m/>
    <m/>
    <m/>
    <m/>
    <m/>
    <m/>
    <m/>
    <m/>
    <m/>
    <n v="446.19"/>
    <m/>
    <m/>
    <m/>
    <m/>
    <m/>
    <m/>
    <n v="446.19"/>
    <n v="446.19"/>
    <m/>
    <n v="446.19"/>
    <n v="446.19"/>
    <m/>
    <n v="446.19"/>
    <m/>
    <m/>
    <m/>
    <m/>
    <m/>
    <m/>
    <m/>
    <m/>
    <m/>
    <m/>
    <m/>
    <m/>
    <m/>
    <m/>
    <m/>
    <m/>
    <m/>
    <m/>
    <m/>
    <m/>
    <m/>
    <m/>
    <m/>
    <m/>
    <m/>
    <m/>
    <m/>
  </r>
  <r>
    <s v="L-ERP-419"/>
    <x v="0"/>
    <x v="26"/>
    <s v="McGettigan, David_MANAGED SERVICES_IT-FGS0299-OG-US-00"/>
    <s v="ERP"/>
    <s v="Patel, Apurva"/>
    <x v="2"/>
    <s v="Patel, Apurva"/>
    <s v="McGettigan, David"/>
    <s v="McGettigan, David"/>
    <s v="McGettigan, David"/>
    <x v="3"/>
    <s v="Others (Vending, Meeting event, Devices Unreturned, Applecare, Mac-mgmt, IT Onboard, etc.)"/>
    <m/>
    <m/>
    <s v="IT-FGS0299-OG-US-00"/>
    <m/>
    <s v="N/A"/>
    <m/>
    <s v="EP&amp;S"/>
    <m/>
    <m/>
    <n v="18000"/>
    <n v="15727.5"/>
    <m/>
    <m/>
    <n v="2227.5"/>
    <n v="0"/>
    <n v="0"/>
    <n v="0"/>
    <n v="1.86"/>
    <n v="388.92"/>
    <n v="1500"/>
    <n v="1500"/>
    <n v="1500"/>
    <n v="1500"/>
    <n v="1500"/>
    <n v="1500"/>
    <n v="11618.28"/>
    <n v="-4109.2199999999993"/>
    <n v="1500"/>
    <n v="-1111.08"/>
    <n v="-4109.2199999999993"/>
    <m/>
    <n v="-4109.2199999999993"/>
    <m/>
    <n v="2227.5"/>
    <n v="0"/>
    <n v="0"/>
    <n v="1500"/>
    <n v="1500"/>
    <n v="1500"/>
    <n v="1500"/>
    <n v="1500"/>
    <n v="1500"/>
    <n v="1500"/>
    <n v="1500"/>
    <n v="1500"/>
    <n v="15727.5"/>
    <n v="2227.5"/>
    <n v="0"/>
    <n v="0"/>
    <n v="1500"/>
    <n v="1500"/>
    <n v="1500"/>
    <n v="1500"/>
    <n v="1500"/>
    <n v="1500"/>
    <n v="1500"/>
    <n v="1500"/>
    <n v="1500"/>
    <n v="15727.5"/>
  </r>
  <r>
    <s v="L-ERP-069"/>
    <x v="1"/>
    <x v="23"/>
    <s v="Dougherty, Chris_HW MAINTENANCE_IT-FGS0299-OG-US-00"/>
    <s v="ERP"/>
    <s v="Patel, Apurva"/>
    <x v="0"/>
    <s v="Dougherty, Chris"/>
    <s v="Dougherty, Chris"/>
    <s v="Dougherty, Chris"/>
    <s v="Maguire, Karla"/>
    <x v="5"/>
    <s v="Others (Vending, Meeting event, Devices Unreturned, Applecare, Mac-mgmt, IT Onboard, etc.)"/>
    <m/>
    <m/>
    <s v="IT-FGS0299-OG-US-00"/>
    <m/>
    <s v="N/A"/>
    <m/>
    <s v="EP&amp;S"/>
    <m/>
    <m/>
    <n v="0"/>
    <n v="20"/>
    <m/>
    <m/>
    <n v="20"/>
    <n v="0"/>
    <n v="0"/>
    <n v="22"/>
    <n v="0"/>
    <n v="2147"/>
    <n v="0"/>
    <n v="0"/>
    <n v="0"/>
    <n v="0"/>
    <n v="0"/>
    <n v="0"/>
    <n v="2189"/>
    <n v="2169"/>
    <n v="0"/>
    <n v="2147"/>
    <n v="2169"/>
    <m/>
    <n v="2169"/>
    <m/>
    <n v="2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20"/>
  </r>
  <r>
    <s v="L-ERP-074"/>
    <x v="1"/>
    <x v="24"/>
    <s v="Dougherty, Chris_MANAGED SERVICES_IT-FGS0299-OG-US-00"/>
    <s v="ERP"/>
    <s v="Patel, Apurva"/>
    <x v="0"/>
    <s v="Dougherty, Chris"/>
    <s v="Dougherty, Chris"/>
    <s v="Dougherty, Chris"/>
    <s v="Maguire, Karla"/>
    <x v="3"/>
    <s v="Others (Vending, Meeting event, Devices Unreturned, Applecare, Mac-mgmt, IT Onboard, etc.)"/>
    <m/>
    <m/>
    <s v="IT-FGS0299-OG-US-00"/>
    <m/>
    <s v="N/A"/>
    <m/>
    <s v="EP&amp;S"/>
    <m/>
    <m/>
    <n v="0"/>
    <n v="5151.76"/>
    <m/>
    <m/>
    <n v="1210.3599999999999"/>
    <n v="1569.34"/>
    <n v="2372.06"/>
    <n v="345.21"/>
    <n v="674.56"/>
    <n v="13726.56"/>
    <n v="0"/>
    <n v="0"/>
    <n v="0"/>
    <n v="0"/>
    <n v="0"/>
    <n v="0"/>
    <n v="19898.09"/>
    <n v="14746.33"/>
    <n v="0"/>
    <n v="13726.56"/>
    <n v="14746.33"/>
    <m/>
    <n v="14746.33"/>
    <m/>
    <n v="1210.3599999999999"/>
    <n v="1569.34"/>
    <n v="2372.06"/>
    <n v="0"/>
    <n v="0"/>
    <n v="0"/>
    <n v="0"/>
    <n v="0"/>
    <n v="0"/>
    <n v="0"/>
    <n v="0"/>
    <n v="0"/>
    <n v="5151.76"/>
    <n v="1210.3599999999999"/>
    <n v="1569.34"/>
    <n v="2372.06"/>
    <n v="0"/>
    <n v="0"/>
    <n v="0"/>
    <n v="0"/>
    <n v="0"/>
    <n v="0"/>
    <n v="0"/>
    <n v="0"/>
    <n v="0"/>
    <n v="5151.76"/>
  </r>
  <r>
    <s v="L-ERP-317"/>
    <x v="1"/>
    <x v="24"/>
    <s v="Maguire, Karla_MANAGED SERVICES_IT-FGS0299-OG-US-00"/>
    <s v="ERP"/>
    <s v="Patel, Apurva"/>
    <x v="0"/>
    <s v="Dougherty, Chris"/>
    <s v="Dougherty, Chris"/>
    <s v="Maguire, Karla"/>
    <s v="Maguire, Karla"/>
    <x v="3"/>
    <s v="Others (Vending, Meeting event, Devices Unreturned, Applecare, Mac-mgmt, IT Onboard, etc.)"/>
    <m/>
    <m/>
    <s v="IT-FGS0299-OG-US-00"/>
    <m/>
    <s v="N/A"/>
    <m/>
    <s v="EP&amp;S"/>
    <s v="KP- Could you confirm who this line was transferred to?"/>
    <m/>
    <n v="3300"/>
    <n v="1500"/>
    <m/>
    <m/>
    <m/>
    <m/>
    <m/>
    <n v="0"/>
    <n v="0"/>
    <n v="-1.6999999999999886"/>
    <n v="300"/>
    <n v="300"/>
    <n v="0"/>
    <n v="0"/>
    <n v="0"/>
    <n v="0"/>
    <n v="598.29999999999995"/>
    <n v="-901.7"/>
    <n v="300"/>
    <n v="-301.7"/>
    <n v="-901.7"/>
    <m/>
    <n v="-901.7"/>
    <m/>
    <m/>
    <m/>
    <m/>
    <n v="300"/>
    <n v="300"/>
    <n v="300"/>
    <n v="300"/>
    <n v="300"/>
    <n v="0"/>
    <n v="0"/>
    <n v="0"/>
    <n v="0"/>
    <n v="1500"/>
    <m/>
    <m/>
    <m/>
    <n v="300"/>
    <n v="300"/>
    <n v="300"/>
    <n v="300"/>
    <n v="300"/>
    <n v="0"/>
    <n v="0"/>
    <n v="0"/>
    <n v="0"/>
    <n v="1500"/>
  </r>
  <r>
    <s v="L-ERP-526"/>
    <x v="1"/>
    <x v="24"/>
    <s v="Tamavada, Ram_MANAGED SERVICES_IT-FGS0299-OG-US-00"/>
    <s v="ERP"/>
    <s v="Patel, Apurva"/>
    <x v="0"/>
    <s v="Tamavada, Ram"/>
    <s v="Dougherty, Chris"/>
    <s v="Tamavada, Ram"/>
    <s v="Maguire, Karla"/>
    <x v="3"/>
    <s v="Others (Vending, Meeting event, Devices Unreturned, Applecare, Mac-mgmt, IT Onboard, etc.)"/>
    <m/>
    <m/>
    <s v="IT-FGS0299-OG-US-00"/>
    <m/>
    <s v="N/A"/>
    <m/>
    <s v="EP&amp;S"/>
    <m/>
    <m/>
    <n v="12000"/>
    <n v="20372.89"/>
    <m/>
    <m/>
    <n v="3485.94"/>
    <n v="4743.4799999999996"/>
    <n v="3143.47"/>
    <n v="1703.44"/>
    <n v="1676.8800000000003"/>
    <n v="3062.17"/>
    <n v="1000"/>
    <n v="1000"/>
    <n v="1000"/>
    <n v="1000"/>
    <n v="1000"/>
    <n v="1000"/>
    <n v="23815.38"/>
    <n v="3442.4900000000016"/>
    <n v="1000"/>
    <n v="2062.17"/>
    <n v="3442.4900000000016"/>
    <m/>
    <n v="3442.4900000000016"/>
    <m/>
    <n v="3485.94"/>
    <n v="4743.4799999999996"/>
    <n v="3143.47"/>
    <n v="1000"/>
    <n v="1000"/>
    <n v="1000"/>
    <n v="1000"/>
    <n v="1000"/>
    <n v="1000"/>
    <n v="1000"/>
    <n v="1000"/>
    <n v="1000"/>
    <n v="20372.89"/>
    <n v="3485.94"/>
    <n v="4743.4799999999996"/>
    <n v="3143.47"/>
    <n v="1000"/>
    <n v="1000"/>
    <n v="1000"/>
    <n v="1000"/>
    <n v="1000"/>
    <n v="1000"/>
    <n v="1000"/>
    <n v="1000"/>
    <n v="1000"/>
    <n v="20372.89"/>
  </r>
  <r>
    <s v="L-ERP-077"/>
    <x v="1"/>
    <x v="25"/>
    <s v="Dougherty, Chris_SOFTWARE_IT-FGS0299-OG-US-00"/>
    <s v="ERP"/>
    <s v="Patel, Apurva"/>
    <x v="0"/>
    <s v="Dougherty, Chris"/>
    <s v="Dougherty, Chris"/>
    <s v="Dougherty, Chris"/>
    <s v="Maguire, Karla"/>
    <x v="1"/>
    <s v="Others (Vending, Meeting event, Devices Unreturned, Applecare, Mac-mgmt, IT Onboard, etc.)"/>
    <m/>
    <m/>
    <s v="IT-FGS0299-OG-US-00"/>
    <m/>
    <s v="N/A"/>
    <m/>
    <s v="EP&amp;S"/>
    <m/>
    <m/>
    <n v="0"/>
    <n v="288"/>
    <m/>
    <m/>
    <m/>
    <n v="288"/>
    <n v="0"/>
    <n v="0"/>
    <n v="800"/>
    <n v="0"/>
    <n v="0"/>
    <n v="0"/>
    <n v="0"/>
    <n v="0"/>
    <n v="0"/>
    <n v="0"/>
    <n v="1088"/>
    <n v="800"/>
    <n v="0"/>
    <n v="0"/>
    <n v="800"/>
    <m/>
    <n v="800"/>
    <m/>
    <m/>
    <n v="288"/>
    <n v="0"/>
    <n v="0"/>
    <n v="0"/>
    <n v="0"/>
    <n v="0"/>
    <n v="0"/>
    <n v="0"/>
    <n v="0"/>
    <n v="0"/>
    <n v="0"/>
    <n v="288"/>
    <m/>
    <n v="288"/>
    <n v="0"/>
    <n v="0"/>
    <n v="0"/>
    <n v="0"/>
    <n v="0"/>
    <n v="0"/>
    <n v="0"/>
    <n v="0"/>
    <n v="0"/>
    <n v="0"/>
    <n v="288"/>
  </r>
  <r>
    <s v="L-ERP-533"/>
    <x v="1"/>
    <x v="25"/>
    <s v="Tamavada, Ram_SOFTWARE_IT-FGS0299-OG-US-00"/>
    <s v="ERP"/>
    <s v="Patel, Apurva"/>
    <x v="0"/>
    <s v="Tamavada, Ram"/>
    <s v="Dougherty, Chris"/>
    <s v="Tamavada, Ram"/>
    <s v="Maguire, Karla"/>
    <x v="1"/>
    <s v="Others (Vending, Meeting event, Devices Unreturned, Applecare, Mac-mgmt, IT Onboard, etc.)"/>
    <m/>
    <m/>
    <s v="IT-FGS0299-OG-US-00"/>
    <m/>
    <s v="N/A"/>
    <m/>
    <s v="EP&amp;S"/>
    <m/>
    <m/>
    <n v="0"/>
    <n v="18.920000000000002"/>
    <m/>
    <m/>
    <m/>
    <n v="18.920000000000002"/>
    <n v="0"/>
    <n v="0"/>
    <n v="0"/>
    <n v="0"/>
    <n v="0"/>
    <n v="0"/>
    <n v="0"/>
    <n v="0"/>
    <n v="0"/>
    <n v="0"/>
    <n v="18.920000000000002"/>
    <n v="0"/>
    <n v="0"/>
    <n v="0"/>
    <n v="0"/>
    <m/>
    <n v="0"/>
    <m/>
    <m/>
    <n v="18.920000000000002"/>
    <n v="0"/>
    <n v="0"/>
    <n v="0"/>
    <n v="0"/>
    <n v="0"/>
    <n v="0"/>
    <n v="0"/>
    <n v="0"/>
    <n v="0"/>
    <n v="0"/>
    <n v="18.920000000000002"/>
    <m/>
    <n v="18.920000000000002"/>
    <n v="0"/>
    <n v="0"/>
    <n v="0"/>
    <n v="0"/>
    <n v="0"/>
    <n v="0"/>
    <n v="0"/>
    <n v="0"/>
    <n v="0"/>
    <n v="0"/>
    <n v="18.920000000000002"/>
  </r>
  <r>
    <s v="L-ERP-009"/>
    <x v="1"/>
    <x v="26"/>
    <s v="DeHart, Lynn_MANAGED SERVICES_IT-FGS0299-OG-US-00"/>
    <s v="ERP"/>
    <s v="Patel, Apurva"/>
    <x v="2"/>
    <s v="Patel, Apurva"/>
    <s v="Hase, Raj"/>
    <s v="DeHart, Lynn"/>
    <s v="DeHart, Lynn"/>
    <x v="3"/>
    <s v="Others (Vending, Meeting event, Devices Unreturned, Applecare, Mac-mgmt, IT Onboard, etc.)"/>
    <m/>
    <m/>
    <s v="IT-FGS0299-OG-US-00"/>
    <m/>
    <s v="N/A"/>
    <m/>
    <s v="EP&amp;S"/>
    <m/>
    <m/>
    <n v="0"/>
    <n v="2000"/>
    <m/>
    <m/>
    <n v="2000"/>
    <n v="0"/>
    <n v="0"/>
    <n v="0"/>
    <n v="90.2"/>
    <n v="90.2"/>
    <n v="0"/>
    <n v="0"/>
    <n v="0"/>
    <n v="0"/>
    <n v="0"/>
    <n v="0"/>
    <n v="2180.3999999999996"/>
    <n v="180.39999999999964"/>
    <n v="0"/>
    <n v="90.2"/>
    <n v="180.39999999999964"/>
    <m/>
    <n v="180.39999999999964"/>
    <m/>
    <n v="2000"/>
    <n v="0"/>
    <n v="0"/>
    <n v="0"/>
    <n v="0"/>
    <n v="0"/>
    <n v="0"/>
    <n v="0"/>
    <n v="0"/>
    <n v="0"/>
    <n v="0"/>
    <n v="0"/>
    <n v="2000"/>
    <n v="2000"/>
    <n v="0"/>
    <n v="0"/>
    <n v="0"/>
    <n v="0"/>
    <n v="0"/>
    <n v="0"/>
    <n v="0"/>
    <n v="0"/>
    <n v="0"/>
    <n v="0"/>
    <n v="0"/>
    <n v="2000"/>
  </r>
  <r>
    <s v="L-ERP-067"/>
    <x v="0"/>
    <x v="27"/>
    <s v="Dougherty, Chris_SOFTWARE_IT-FGS0300-SW-US-00"/>
    <s v="ERP"/>
    <s v="Patel, Apurva"/>
    <x v="0"/>
    <s v="Dougherty, Chris"/>
    <s v="Dougherty, Chris"/>
    <s v="Dougherty, Chris"/>
    <s v="Maguire, Karla"/>
    <x v="1"/>
    <s v="Microsoft Copilot Licenses"/>
    <m/>
    <m/>
    <s v="IT-FGS0300-SW-US-00"/>
    <m/>
    <s v="N/A"/>
    <m/>
    <s v="Copilot"/>
    <m/>
    <m/>
    <n v="6000"/>
    <n v="10540"/>
    <m/>
    <m/>
    <m/>
    <n v="4313"/>
    <n v="227"/>
    <n v="0"/>
    <n v="1362"/>
    <n v="0"/>
    <n v="0"/>
    <n v="6000"/>
    <n v="0"/>
    <n v="0"/>
    <n v="0"/>
    <n v="0"/>
    <n v="11902"/>
    <n v="1362"/>
    <n v="0"/>
    <n v="0"/>
    <n v="1362"/>
    <m/>
    <n v="1362"/>
    <m/>
    <m/>
    <n v="4313"/>
    <n v="227"/>
    <n v="0"/>
    <n v="0"/>
    <n v="0"/>
    <n v="0"/>
    <n v="6000"/>
    <n v="0"/>
    <n v="0"/>
    <n v="0"/>
    <n v="0"/>
    <n v="10540"/>
    <m/>
    <n v="4313"/>
    <n v="227"/>
    <n v="0"/>
    <n v="0"/>
    <n v="0"/>
    <n v="0"/>
    <n v="6000"/>
    <n v="0"/>
    <n v="0"/>
    <n v="0"/>
    <n v="0"/>
    <n v="10540"/>
  </r>
  <r>
    <s v="L-ERP-410"/>
    <x v="0"/>
    <x v="28"/>
    <s v="McGettigan, David_SOFTWARE_IT-FGS0300-SW-US-00"/>
    <s v="ERP"/>
    <s v="Patel, Apurva"/>
    <x v="2"/>
    <s v="Patel, Apurva"/>
    <s v="McGettigan, David"/>
    <s v="McGettigan, David"/>
    <s v="McGettigan, David"/>
    <x v="1"/>
    <s v="Microsoft Copilot Licenses"/>
    <m/>
    <m/>
    <s v="IT-FGS0300-SW-US-00"/>
    <m/>
    <s v="N/A"/>
    <m/>
    <s v="Copilot"/>
    <m/>
    <m/>
    <n v="0"/>
    <n v="934.17"/>
    <m/>
    <m/>
    <n v="253.17"/>
    <n v="681"/>
    <n v="0"/>
    <n v="0"/>
    <n v="681"/>
    <n v="0"/>
    <n v="0"/>
    <n v="0"/>
    <n v="0"/>
    <n v="0"/>
    <n v="0"/>
    <n v="0"/>
    <n v="1615.17"/>
    <n v="681.00000000000011"/>
    <n v="0"/>
    <n v="0"/>
    <n v="681.00000000000011"/>
    <m/>
    <n v="681.00000000000011"/>
    <m/>
    <n v="253.17"/>
    <n v="681"/>
    <n v="0"/>
    <n v="0"/>
    <n v="0"/>
    <n v="0"/>
    <n v="0"/>
    <n v="0"/>
    <n v="0"/>
    <n v="0"/>
    <n v="0"/>
    <n v="0"/>
    <n v="934.17"/>
    <n v="253.17"/>
    <n v="681"/>
    <n v="0"/>
    <n v="0"/>
    <n v="0"/>
    <n v="0"/>
    <n v="0"/>
    <n v="0"/>
    <n v="0"/>
    <n v="0"/>
    <n v="0"/>
    <n v="0"/>
    <n v="934.17"/>
  </r>
  <r>
    <s v="L-ERP-313"/>
    <x v="1"/>
    <x v="27"/>
    <s v="Maguire, Karla_SOFTWARE_IT-FGS0300-SW-US-00"/>
    <s v="ERP"/>
    <s v="Patel, Apurva"/>
    <x v="0"/>
    <s v="Dougherty, Chris"/>
    <s v="Dougherty, Chris"/>
    <s v="Maguire, Karla"/>
    <s v="Maguire, Karla"/>
    <x v="1"/>
    <s v="Microsoft Copilot Licenses"/>
    <m/>
    <m/>
    <s v="IT-FGS0300-SW-US-00"/>
    <m/>
    <s v="N/A"/>
    <m/>
    <s v="Copilot"/>
    <s v="KP- Could you confirm who this line was transferred to?"/>
    <m/>
    <n v="10000"/>
    <n v="12811.43"/>
    <m/>
    <m/>
    <n v="553.5"/>
    <n v="681"/>
    <n v="1576.93"/>
    <n v="227"/>
    <n v="496.48"/>
    <n v="0"/>
    <n v="0"/>
    <n v="0"/>
    <n v="0"/>
    <n v="0"/>
    <n v="0"/>
    <n v="5000"/>
    <n v="8534.91"/>
    <n v="-4276.5200000000004"/>
    <n v="0"/>
    <n v="0"/>
    <n v="-4276.5200000000004"/>
    <m/>
    <n v="-4276.5200000000004"/>
    <m/>
    <n v="553.5"/>
    <n v="681"/>
    <n v="1576.93"/>
    <n v="0"/>
    <n v="0"/>
    <n v="5000"/>
    <n v="0"/>
    <n v="0"/>
    <n v="0"/>
    <n v="0"/>
    <n v="0"/>
    <n v="5000"/>
    <n v="12811.43"/>
    <n v="553.5"/>
    <n v="681"/>
    <n v="1576.93"/>
    <n v="0"/>
    <n v="0"/>
    <n v="5000"/>
    <n v="0"/>
    <n v="0"/>
    <n v="0"/>
    <n v="0"/>
    <n v="0"/>
    <n v="5000"/>
    <n v="12811.43"/>
  </r>
  <r>
    <s v="L-ERP-356"/>
    <x v="1"/>
    <x v="27"/>
    <s v="McCormick, Pete_SOFTWARE_IT-FGS0300-SW-US-00"/>
    <s v="ERP"/>
    <s v="Patel, Apurva"/>
    <x v="0"/>
    <s v="McCormick, Pete"/>
    <s v="Dougherty, Chris"/>
    <s v="McCormick, Pete"/>
    <s v="Maguire, Karla"/>
    <x v="1"/>
    <s v="Microsoft Copilot Licenses"/>
    <m/>
    <m/>
    <s v="IT-FGS0300-SW-US-00"/>
    <m/>
    <s v="N/A"/>
    <m/>
    <s v="Copilot"/>
    <m/>
    <m/>
    <n v="550"/>
    <n v="777"/>
    <m/>
    <m/>
    <m/>
    <n v="227"/>
    <n v="0"/>
    <n v="0"/>
    <n v="454"/>
    <n v="0"/>
    <n v="0"/>
    <n v="0"/>
    <n v="0"/>
    <n v="0"/>
    <n v="0"/>
    <n v="0"/>
    <n v="681"/>
    <n v="-96"/>
    <n v="0"/>
    <n v="0"/>
    <n v="-96"/>
    <m/>
    <n v="-96"/>
    <m/>
    <m/>
    <n v="227"/>
    <n v="0"/>
    <n v="550"/>
    <n v="0"/>
    <n v="0"/>
    <n v="0"/>
    <n v="0"/>
    <n v="0"/>
    <n v="0"/>
    <n v="0"/>
    <n v="0"/>
    <n v="777"/>
    <m/>
    <n v="227"/>
    <n v="0"/>
    <n v="550"/>
    <n v="0"/>
    <n v="0"/>
    <n v="0"/>
    <n v="0"/>
    <n v="0"/>
    <n v="0"/>
    <n v="0"/>
    <n v="0"/>
    <n v="777"/>
  </r>
  <r>
    <s v="L-ERP-003"/>
    <x v="1"/>
    <x v="28"/>
    <s v="DeHart, Lynn_SOFTWARE_IT-FGS0300-SW-US-00"/>
    <s v="ERP"/>
    <s v="Patel, Apurva"/>
    <x v="2"/>
    <s v="Patel, Apurva"/>
    <s v="Hase, Raj"/>
    <s v="DeHart, Lynn"/>
    <s v="DeHart, Lynn"/>
    <x v="1"/>
    <s v="Microsoft Copilot Licenses"/>
    <m/>
    <m/>
    <s v="IT-FGS0300-SW-US-00"/>
    <m/>
    <s v="N/A"/>
    <m/>
    <s v="Copilot"/>
    <m/>
    <m/>
    <n v="6000"/>
    <n v="13404.42"/>
    <m/>
    <m/>
    <n v="542.75"/>
    <n v="6823.51"/>
    <n v="1538.16"/>
    <n v="1141.3400000000001"/>
    <n v="2127.96"/>
    <n v="672.49"/>
    <n v="500"/>
    <n v="500"/>
    <n v="500"/>
    <n v="500"/>
    <n v="500"/>
    <n v="500"/>
    <n v="15846.210000000001"/>
    <n v="2441.7900000000009"/>
    <n v="500"/>
    <n v="172.49"/>
    <n v="2441.7900000000009"/>
    <m/>
    <n v="2441.7900000000009"/>
    <m/>
    <n v="542.75"/>
    <n v="6823.51"/>
    <n v="1538.16"/>
    <n v="500"/>
    <n v="500"/>
    <n v="500"/>
    <n v="500"/>
    <n v="500"/>
    <n v="500"/>
    <n v="500"/>
    <n v="500"/>
    <n v="500"/>
    <n v="13404.42"/>
    <n v="542.75"/>
    <n v="6823.51"/>
    <n v="1538.16"/>
    <n v="500"/>
    <n v="500"/>
    <n v="500"/>
    <n v="500"/>
    <n v="500"/>
    <n v="500"/>
    <n v="500"/>
    <n v="500"/>
    <n v="500"/>
    <n v="13404.42"/>
  </r>
  <r>
    <s v="L-ERP-075"/>
    <x v="0"/>
    <x v="29"/>
    <s v="Dougherty, Chris_MANAGED SERVICES_IT-FGS0301-OG-US-00"/>
    <s v="ERP"/>
    <s v="Patel, Apurva"/>
    <x v="0"/>
    <s v="Dougherty, Chris"/>
    <s v="Dougherty, Chris"/>
    <s v="Dougherty, Chris"/>
    <s v="Maguire, Karla"/>
    <x v="3"/>
    <s v="Desktop on Demand (VDS)"/>
    <m/>
    <m/>
    <s v="IT-FGS0301-OG-US-00"/>
    <m/>
    <s v="N/A"/>
    <m/>
    <s v="EP&amp;S"/>
    <m/>
    <m/>
    <n v="120000"/>
    <n v="141134"/>
    <m/>
    <m/>
    <n v="17770"/>
    <n v="18328"/>
    <n v="15036"/>
    <n v="16438"/>
    <n v="18792"/>
    <n v="20125"/>
    <n v="10000"/>
    <n v="10000"/>
    <n v="10000"/>
    <n v="10000"/>
    <n v="10000"/>
    <n v="10000"/>
    <n v="166489"/>
    <n v="25355"/>
    <n v="10000"/>
    <n v="10125"/>
    <n v="25355"/>
    <m/>
    <n v="25355"/>
    <m/>
    <n v="17770"/>
    <n v="18328"/>
    <n v="15036"/>
    <n v="10000"/>
    <n v="10000"/>
    <n v="10000"/>
    <n v="10000"/>
    <n v="10000"/>
    <n v="10000"/>
    <n v="10000"/>
    <n v="10000"/>
    <n v="10000"/>
    <n v="141134"/>
    <n v="17770"/>
    <n v="18328"/>
    <n v="15036"/>
    <n v="10000"/>
    <n v="10000"/>
    <n v="10000"/>
    <n v="10000"/>
    <n v="10000"/>
    <n v="10000"/>
    <n v="10000"/>
    <n v="10000"/>
    <n v="10000"/>
    <n v="141134"/>
  </r>
  <r>
    <s v="L-ERP-184"/>
    <x v="0"/>
    <x v="30"/>
    <s v="Hase, Raj_MANAGED SERVICES_IT-FGS0301-OG-US-00"/>
    <s v="ERP"/>
    <s v="Patel, Apurva"/>
    <x v="1"/>
    <s v="Hase, Raj"/>
    <s v="Hase, Raj"/>
    <s v="Hase, Raj"/>
    <s v="DeHart, Lynn"/>
    <x v="3"/>
    <s v="Desktop on Demand (VDS)"/>
    <m/>
    <m/>
    <s v="IT-FGS0301-OG-US-00"/>
    <m/>
    <s v="N/A"/>
    <m/>
    <s v="EP&amp;S"/>
    <m/>
    <m/>
    <n v="19176"/>
    <n v="21479"/>
    <m/>
    <m/>
    <n v="1566"/>
    <n v="1439"/>
    <n v="4092"/>
    <n v="1259"/>
    <n v="1259"/>
    <n v="1192"/>
    <n v="1598"/>
    <n v="1598"/>
    <n v="1598"/>
    <n v="1598"/>
    <n v="1598"/>
    <n v="1598"/>
    <n v="20395"/>
    <n v="-1084"/>
    <n v="1598"/>
    <n v="-406"/>
    <n v="-1084"/>
    <m/>
    <n v="-1084"/>
    <m/>
    <n v="1566"/>
    <n v="1439"/>
    <n v="4092"/>
    <n v="1598"/>
    <n v="1598"/>
    <n v="1598"/>
    <n v="1598"/>
    <n v="1598"/>
    <n v="1598"/>
    <n v="1598"/>
    <n v="1598"/>
    <n v="1598"/>
    <n v="21479"/>
    <n v="1566"/>
    <n v="1439"/>
    <n v="4092"/>
    <n v="1598"/>
    <n v="1598"/>
    <n v="1598"/>
    <n v="1598"/>
    <n v="1598"/>
    <n v="1598"/>
    <n v="1598"/>
    <n v="1598"/>
    <n v="1598"/>
    <n v="21479"/>
  </r>
  <r>
    <s v="L-ERP-221"/>
    <x v="0"/>
    <x v="31"/>
    <s v="Hovanyetz, Mike_MANAGED SERVICES_IT-FGS0301-OG-US-00"/>
    <s v="ERP"/>
    <s v="Patel, Apurva"/>
    <x v="3"/>
    <s v="Hovanyetz, Mike"/>
    <s v="Hase, Raj"/>
    <s v="Hovanyetz, Mike"/>
    <s v="DeHart, Lynn"/>
    <x v="3"/>
    <s v="Desktop on Demand (VDS)"/>
    <m/>
    <m/>
    <s v="IT-FGS0301-OG-US-00"/>
    <m/>
    <s v="N/A"/>
    <m/>
    <s v="EP&amp;S"/>
    <m/>
    <m/>
    <n v="27000"/>
    <n v="26481"/>
    <m/>
    <m/>
    <n v="1883"/>
    <n v="1481"/>
    <n v="2867"/>
    <n v="1442"/>
    <n v="1442"/>
    <n v="1375"/>
    <n v="2250"/>
    <n v="2250"/>
    <n v="2250"/>
    <n v="2250"/>
    <n v="2250"/>
    <n v="2250"/>
    <n v="23990"/>
    <n v="-2491"/>
    <n v="2250"/>
    <n v="-875"/>
    <n v="-2491"/>
    <m/>
    <n v="-2491"/>
    <m/>
    <n v="1883"/>
    <n v="1481"/>
    <n v="2867"/>
    <n v="2250"/>
    <n v="2250"/>
    <n v="2250"/>
    <n v="2250"/>
    <n v="2250"/>
    <n v="2250"/>
    <n v="2250"/>
    <n v="2250"/>
    <n v="2250"/>
    <n v="26481"/>
    <n v="1883"/>
    <n v="1481"/>
    <n v="2867"/>
    <n v="2250"/>
    <n v="2250"/>
    <n v="2250"/>
    <n v="2250"/>
    <n v="2250"/>
    <n v="2250"/>
    <n v="2250"/>
    <n v="2250"/>
    <n v="2250"/>
    <n v="26481"/>
  </r>
  <r>
    <s v="L-ERP-409"/>
    <x v="0"/>
    <x v="32"/>
    <s v="McGettigan, David_MANAGED SERVICES_IT-FGS0301-OG-US-00"/>
    <s v="ERP"/>
    <s v="Patel, Apurva"/>
    <x v="2"/>
    <s v="Patel, Apurva"/>
    <s v="McGettigan, David"/>
    <s v="McGettigan, David"/>
    <s v="McGettigan, David"/>
    <x v="3"/>
    <s v="Desktop on Demand (VDS)"/>
    <m/>
    <m/>
    <s v="IT-FGS0301-OG-US-00"/>
    <m/>
    <s v="N/A"/>
    <m/>
    <s v="EP&amp;S"/>
    <m/>
    <m/>
    <n v="0"/>
    <n v="882"/>
    <m/>
    <m/>
    <n v="194"/>
    <n v="194"/>
    <n v="494"/>
    <n v="688"/>
    <n v="501"/>
    <n v="441"/>
    <n v="0"/>
    <n v="0"/>
    <n v="0"/>
    <n v="0"/>
    <n v="0"/>
    <n v="0"/>
    <n v="2512"/>
    <n v="1630"/>
    <n v="0"/>
    <n v="441"/>
    <n v="1630"/>
    <m/>
    <n v="1630"/>
    <m/>
    <n v="194"/>
    <n v="194"/>
    <n v="494"/>
    <n v="0"/>
    <n v="0"/>
    <n v="0"/>
    <n v="0"/>
    <n v="0"/>
    <n v="0"/>
    <n v="0"/>
    <n v="0"/>
    <n v="0"/>
    <n v="882"/>
    <n v="194"/>
    <n v="194"/>
    <n v="494"/>
    <n v="0"/>
    <n v="0"/>
    <n v="0"/>
    <n v="0"/>
    <n v="0"/>
    <n v="0"/>
    <n v="0"/>
    <n v="0"/>
    <n v="0"/>
    <n v="882"/>
  </r>
  <r>
    <s v="L-ERP-318"/>
    <x v="1"/>
    <x v="29"/>
    <s v="Maguire, Karla_MANAGED SERVICES_IT-FGS0301-OG-US-00"/>
    <s v="ERP"/>
    <s v="Patel, Apurva"/>
    <x v="0"/>
    <s v="Dougherty, Chris"/>
    <s v="Dougherty, Chris"/>
    <s v="Maguire, Karla"/>
    <s v="Maguire, Karla"/>
    <x v="3"/>
    <s v="Desktop on Demand (VDS)"/>
    <m/>
    <m/>
    <s v="IT-FGS0301-OG-US-00"/>
    <m/>
    <s v="N/A"/>
    <m/>
    <s v="EP&amp;S"/>
    <s v="KP- Could you confirm who this line was transferred to?"/>
    <m/>
    <n v="0"/>
    <n v="12459.34"/>
    <m/>
    <m/>
    <n v="3067.29"/>
    <n v="2981.39"/>
    <n v="1910.66"/>
    <n v="1410.86"/>
    <n v="2830.8900000000003"/>
    <n v="2863"/>
    <n v="500"/>
    <n v="500"/>
    <n v="500"/>
    <n v="500"/>
    <n v="500"/>
    <n v="500"/>
    <n v="18064.09"/>
    <n v="5604.75"/>
    <n v="500"/>
    <n v="2363"/>
    <n v="5604.75"/>
    <m/>
    <n v="5604.75"/>
    <m/>
    <n v="3067.29"/>
    <n v="2981.39"/>
    <n v="1910.66"/>
    <n v="500"/>
    <n v="500"/>
    <n v="500"/>
    <n v="500"/>
    <n v="500"/>
    <n v="500"/>
    <n v="500"/>
    <n v="500"/>
    <n v="500"/>
    <n v="12459.34"/>
    <n v="3067.29"/>
    <n v="2981.39"/>
    <n v="1910.66"/>
    <n v="500"/>
    <n v="500"/>
    <n v="500"/>
    <n v="500"/>
    <n v="500"/>
    <n v="500"/>
    <n v="500"/>
    <n v="500"/>
    <n v="500"/>
    <n v="12459.34"/>
  </r>
  <r>
    <s v="L-ERP-360"/>
    <x v="1"/>
    <x v="29"/>
    <s v="McCormick, Pete_MANAGED SERVICES_IT-FGS0301-OG-US-00"/>
    <s v="ERP"/>
    <s v="Patel, Apurva"/>
    <x v="0"/>
    <s v="McCormick, Pete"/>
    <s v="Dougherty, Chris"/>
    <s v="McCormick, Pete"/>
    <s v="Maguire, Karla"/>
    <x v="3"/>
    <s v="Desktop on Demand (VDS)"/>
    <m/>
    <m/>
    <s v="IT-FGS0301-OG-US-00"/>
    <m/>
    <s v="N/A"/>
    <m/>
    <s v="EP&amp;S"/>
    <m/>
    <m/>
    <n v="42000"/>
    <n v="31512"/>
    <m/>
    <m/>
    <n v="3202"/>
    <n v="2807"/>
    <n v="240"/>
    <n v="2458"/>
    <n v="2458"/>
    <n v="2786"/>
    <n v="2458"/>
    <n v="2458"/>
    <n v="2458"/>
    <n v="2458"/>
    <n v="2458"/>
    <n v="2458"/>
    <n v="28699"/>
    <n v="-2813"/>
    <n v="2807"/>
    <n v="-21"/>
    <n v="-719"/>
    <m/>
    <n v="-2813"/>
    <m/>
    <n v="3202"/>
    <n v="2807"/>
    <n v="240"/>
    <n v="2807"/>
    <n v="2807"/>
    <n v="2807"/>
    <n v="2807"/>
    <n v="2807"/>
    <n v="2807"/>
    <n v="2807"/>
    <n v="2807"/>
    <n v="2807"/>
    <n v="31512"/>
    <n v="3202"/>
    <n v="2807"/>
    <n v="240"/>
    <n v="2807"/>
    <n v="2807"/>
    <n v="2807"/>
    <n v="2807"/>
    <n v="2807"/>
    <n v="2807"/>
    <n v="2807"/>
    <n v="2807"/>
    <n v="2807"/>
    <n v="31512"/>
  </r>
  <r>
    <s v="L-ERP-438"/>
    <x v="1"/>
    <x v="29"/>
    <s v="Meadows, Leslie_MANAGED SERVICES_IT-FGS0301-OG-US-00"/>
    <s v="ERP"/>
    <s v="Patel, Apurva"/>
    <x v="0"/>
    <s v="Meadows, Leslie"/>
    <s v="Dougherty, Chris"/>
    <s v="Meadows, Leslie"/>
    <s v="Maguire, Karla"/>
    <x v="3"/>
    <s v="Desktop on Demand (VDS)"/>
    <m/>
    <m/>
    <s v="IT-FGS0301-OG-US-00"/>
    <m/>
    <s v="N/A"/>
    <m/>
    <s v="EP&amp;S"/>
    <m/>
    <m/>
    <n v="0"/>
    <n v="3535"/>
    <m/>
    <m/>
    <n v="60"/>
    <n v="0"/>
    <n v="3475"/>
    <n v="0"/>
    <n v="0"/>
    <n v="0"/>
    <n v="0"/>
    <n v="0"/>
    <n v="0"/>
    <n v="0"/>
    <n v="0"/>
    <n v="0"/>
    <n v="3535"/>
    <n v="0"/>
    <n v="0"/>
    <n v="0"/>
    <n v="0"/>
    <m/>
    <n v="0"/>
    <m/>
    <n v="60"/>
    <n v="0"/>
    <n v="3475"/>
    <n v="0"/>
    <n v="0"/>
    <n v="0"/>
    <n v="0"/>
    <n v="0"/>
    <n v="0"/>
    <n v="0"/>
    <n v="0"/>
    <n v="0"/>
    <n v="3535"/>
    <n v="60"/>
    <n v="0"/>
    <n v="3475"/>
    <n v="0"/>
    <n v="0"/>
    <n v="0"/>
    <n v="0"/>
    <n v="0"/>
    <n v="0"/>
    <n v="0"/>
    <n v="0"/>
    <n v="0"/>
    <n v="3535"/>
  </r>
  <r>
    <s v="L-ERP-472"/>
    <x v="1"/>
    <x v="29"/>
    <s v="Patel, Nikunj Rohitkumar_MANAGED SERVICES_IT-FGS0301-OG-US-00"/>
    <s v="ERP"/>
    <s v="Patel, Apurva"/>
    <x v="0"/>
    <s v="Patel, Nikunj Rohitkumar"/>
    <s v="Dougherty, Chris"/>
    <s v="Patel, Nikunj Rohitkumar"/>
    <s v="Maguire, Karla"/>
    <x v="3"/>
    <s v="Desktop on Demand (VDS)"/>
    <m/>
    <m/>
    <s v="IT-FGS0301-OG-US-00"/>
    <m/>
    <s v="N/A"/>
    <m/>
    <s v="EP&amp;S"/>
    <m/>
    <m/>
    <n v="0"/>
    <n v="1245"/>
    <m/>
    <m/>
    <m/>
    <m/>
    <n v="1245"/>
    <n v="0"/>
    <n v="0"/>
    <n v="0"/>
    <n v="0"/>
    <n v="0"/>
    <n v="0"/>
    <n v="0"/>
    <n v="0"/>
    <n v="0"/>
    <n v="1245"/>
    <n v="0"/>
    <n v="0"/>
    <n v="0"/>
    <n v="0"/>
    <m/>
    <n v="0"/>
    <m/>
    <m/>
    <m/>
    <n v="1245"/>
    <n v="0"/>
    <n v="0"/>
    <n v="0"/>
    <n v="0"/>
    <n v="0"/>
    <n v="0"/>
    <n v="0"/>
    <n v="0"/>
    <n v="0"/>
    <n v="1245"/>
    <m/>
    <m/>
    <n v="1245"/>
    <n v="0"/>
    <n v="0"/>
    <n v="0"/>
    <n v="0"/>
    <n v="0"/>
    <n v="0"/>
    <n v="0"/>
    <n v="0"/>
    <n v="0"/>
    <n v="1245"/>
  </r>
  <r>
    <s v="L-ERP-527"/>
    <x v="1"/>
    <x v="29"/>
    <s v="Tamavada, Ram_MANAGED SERVICES_IT-FGS0301-OG-US-00"/>
    <s v="ERP"/>
    <s v="Patel, Apurva"/>
    <x v="0"/>
    <s v="Tamavada, Ram"/>
    <s v="Dougherty, Chris"/>
    <s v="Tamavada, Ram"/>
    <s v="Maguire, Karla"/>
    <x v="3"/>
    <s v="Desktop on Demand (VDS)"/>
    <m/>
    <m/>
    <s v="IT-FGS0301-OG-US-00"/>
    <m/>
    <s v="N/A"/>
    <m/>
    <s v="EP&amp;S"/>
    <m/>
    <m/>
    <n v="120000"/>
    <n v="114396"/>
    <m/>
    <m/>
    <n v="8661"/>
    <n v="6471"/>
    <n v="9264"/>
    <n v="5219"/>
    <n v="5092"/>
    <n v="6559"/>
    <n v="10000"/>
    <n v="10000"/>
    <n v="10000"/>
    <n v="10000"/>
    <n v="10000"/>
    <n v="10000"/>
    <n v="101266"/>
    <n v="-13130"/>
    <n v="10000"/>
    <n v="-3441"/>
    <n v="-13130"/>
    <m/>
    <n v="-13130"/>
    <m/>
    <n v="8661"/>
    <n v="6471"/>
    <n v="9264"/>
    <n v="10000"/>
    <n v="10000"/>
    <n v="10000"/>
    <n v="10000"/>
    <n v="10000"/>
    <n v="10000"/>
    <n v="10000"/>
    <n v="10000"/>
    <n v="10000"/>
    <n v="114396"/>
    <n v="8661"/>
    <n v="6471"/>
    <n v="9264"/>
    <n v="10000"/>
    <n v="10000"/>
    <n v="10000"/>
    <n v="10000"/>
    <n v="10000"/>
    <n v="10000"/>
    <n v="10000"/>
    <n v="10000"/>
    <n v="10000"/>
    <n v="114396"/>
  </r>
  <r>
    <s v="L-ERP-573"/>
    <x v="1"/>
    <x v="30"/>
    <s v="Yeluri, Durga_MANAGED SERVICES_IT-FGS0301-OG-US-00"/>
    <s v="ERP"/>
    <s v="Patel, Apurva"/>
    <x v="1"/>
    <s v="Yeluri, Durga"/>
    <s v="Hase, Raj"/>
    <s v="Yeluri, Durga"/>
    <s v="DeHart, Lynn"/>
    <x v="3"/>
    <s v="Desktop on Demand (VDS)"/>
    <m/>
    <m/>
    <s v="IT-FGS0301-OG-US-00"/>
    <m/>
    <s v="N/A"/>
    <m/>
    <s v="EP&amp;S"/>
    <m/>
    <m/>
    <n v="22800"/>
    <n v="20679"/>
    <m/>
    <m/>
    <n v="1636"/>
    <n v="1153"/>
    <n v="790"/>
    <n v="1287"/>
    <n v="1227"/>
    <n v="1227"/>
    <n v="1900"/>
    <n v="1900"/>
    <n v="1900"/>
    <n v="1900"/>
    <n v="1900"/>
    <n v="1900"/>
    <n v="18720"/>
    <n v="-1959"/>
    <n v="1900"/>
    <n v="-673"/>
    <n v="-1959"/>
    <m/>
    <n v="-1959"/>
    <m/>
    <n v="1636"/>
    <n v="1153"/>
    <n v="790"/>
    <n v="1900"/>
    <n v="1900"/>
    <n v="1900"/>
    <n v="1900"/>
    <n v="1900"/>
    <n v="1900"/>
    <n v="1900"/>
    <n v="1900"/>
    <n v="1900"/>
    <n v="20679"/>
    <n v="1636"/>
    <n v="1153"/>
    <n v="790"/>
    <n v="1900"/>
    <n v="1900"/>
    <n v="1900"/>
    <n v="1900"/>
    <n v="1900"/>
    <n v="1900"/>
    <n v="1900"/>
    <n v="1900"/>
    <n v="1900"/>
    <n v="20679"/>
  </r>
  <r>
    <s v="L-ERP-552"/>
    <x v="1"/>
    <x v="31"/>
    <s v="Vaidya, Sachin_MANAGED SERVICES_IT-FGS0301-OG-US-00"/>
    <s v="ERP"/>
    <s v="Patel, Apurva"/>
    <x v="3"/>
    <s v="Vaidya, Sachin"/>
    <s v="Hase, Raj"/>
    <s v="Vaidya, Sachin"/>
    <s v="DeHart, Lynn"/>
    <x v="3"/>
    <s v="Desktop on Demand (VDS)"/>
    <m/>
    <m/>
    <s v="IT-FGS0301-OG-US-00"/>
    <m/>
    <s v="N/A"/>
    <m/>
    <s v="EP&amp;S"/>
    <s v="Sachin (4/30): Not managed by me"/>
    <m/>
    <n v="18852"/>
    <n v="18092"/>
    <m/>
    <m/>
    <n v="1206"/>
    <n v="1139"/>
    <n v="1608"/>
    <n v="1206"/>
    <n v="1206"/>
    <n v="1206"/>
    <n v="1571"/>
    <n v="1571"/>
    <n v="1571"/>
    <n v="1571"/>
    <n v="1571"/>
    <n v="1571"/>
    <n v="16997"/>
    <n v="-1095"/>
    <n v="1571"/>
    <n v="-365"/>
    <n v="-1095"/>
    <m/>
    <n v="-1095"/>
    <m/>
    <n v="1206"/>
    <n v="1139"/>
    <n v="1608"/>
    <n v="1571"/>
    <n v="1571"/>
    <n v="1571"/>
    <n v="1571"/>
    <n v="1571"/>
    <n v="1571"/>
    <n v="1571"/>
    <n v="1571"/>
    <n v="1571"/>
    <n v="18092"/>
    <n v="1206"/>
    <n v="1139"/>
    <n v="1608"/>
    <n v="1571"/>
    <n v="1571"/>
    <n v="1571"/>
    <n v="1571"/>
    <n v="1571"/>
    <n v="1571"/>
    <n v="1571"/>
    <n v="1571"/>
    <n v="1571"/>
    <n v="18092"/>
  </r>
  <r>
    <s v="L-ERP-010"/>
    <x v="1"/>
    <x v="32"/>
    <s v="DeHart, Lynn_MANAGED SERVICES_IT-FGS0301-OG-US-00"/>
    <s v="ERP"/>
    <s v="Patel, Apurva"/>
    <x v="2"/>
    <s v="Patel, Apurva"/>
    <s v="Hase, Raj"/>
    <s v="DeHart, Lynn"/>
    <s v="DeHart, Lynn"/>
    <x v="3"/>
    <s v="Desktop on Demand (VDS)"/>
    <m/>
    <m/>
    <s v="IT-FGS0301-OG-US-00"/>
    <m/>
    <s v="N/A"/>
    <m/>
    <s v="EP&amp;S"/>
    <m/>
    <m/>
    <n v="60000"/>
    <n v="76216.11"/>
    <m/>
    <m/>
    <n v="14407.17"/>
    <n v="13803.08"/>
    <n v="3005.86"/>
    <n v="15296.21"/>
    <n v="17035.269999999997"/>
    <n v="17290.900000000001"/>
    <n v="5000"/>
    <n v="5000"/>
    <n v="5000"/>
    <n v="5000"/>
    <n v="5000"/>
    <n v="5000"/>
    <n v="110838.48999999999"/>
    <n v="34622.37999999999"/>
    <n v="5000"/>
    <n v="12290.900000000001"/>
    <n v="34622.37999999999"/>
    <m/>
    <n v="34622.37999999999"/>
    <m/>
    <n v="14407.17"/>
    <n v="13803.08"/>
    <n v="3005.86"/>
    <n v="5000"/>
    <n v="5000"/>
    <n v="5000"/>
    <n v="5000"/>
    <n v="5000"/>
    <n v="5000"/>
    <n v="5000"/>
    <n v="5000"/>
    <n v="5000"/>
    <n v="76216.11"/>
    <n v="14407.17"/>
    <n v="13803.08"/>
    <n v="3005.86"/>
    <n v="5000"/>
    <n v="5000"/>
    <n v="5000"/>
    <n v="5000"/>
    <n v="5000"/>
    <n v="5000"/>
    <n v="5000"/>
    <n v="5000"/>
    <n v="5000"/>
    <n v="76216.11"/>
  </r>
  <r>
    <s v="L-ERP-079"/>
    <x v="0"/>
    <x v="33"/>
    <s v="Dougherty, Chris_SOFTWARE_IT-FGS0302-SW-US-00"/>
    <s v="ERP"/>
    <s v="Patel, Apurva"/>
    <x v="0"/>
    <s v="Dougherty, Chris"/>
    <s v="Dougherty, Chris"/>
    <s v="Dougherty, Chris"/>
    <s v="Maguire, Karla"/>
    <x v="1"/>
    <s v="Microsoft O365/M365 Licenses"/>
    <m/>
    <m/>
    <s v="IT-FGS0302-SW-US-00"/>
    <s v="CHW - F/U"/>
    <s v="N/A"/>
    <m/>
    <s v="M365 / O365"/>
    <m/>
    <m/>
    <n v="180000"/>
    <n v="164308"/>
    <m/>
    <m/>
    <n v="8189"/>
    <n v="13361"/>
    <n v="7758"/>
    <n v="16378"/>
    <n v="11637"/>
    <n v="10775"/>
    <n v="15500"/>
    <n v="15500"/>
    <n v="15500"/>
    <n v="15485"/>
    <n v="15000"/>
    <n v="15000"/>
    <n v="160083"/>
    <n v="-4225"/>
    <n v="15000"/>
    <n v="-4225"/>
    <n v="-6210"/>
    <m/>
    <n v="-4225"/>
    <m/>
    <n v="8189"/>
    <n v="13361"/>
    <n v="7758"/>
    <n v="15000"/>
    <n v="15000"/>
    <n v="15000"/>
    <n v="15000"/>
    <n v="15000"/>
    <n v="15000"/>
    <n v="15000"/>
    <n v="15000"/>
    <n v="15000"/>
    <n v="164308"/>
    <n v="8189"/>
    <n v="13361"/>
    <n v="7758"/>
    <n v="15000"/>
    <n v="15000"/>
    <n v="15000"/>
    <n v="15000"/>
    <n v="15000"/>
    <n v="15000"/>
    <n v="15000"/>
    <n v="15000"/>
    <n v="15000"/>
    <n v="164308"/>
  </r>
  <r>
    <s v="L-ERP-015"/>
    <x v="0"/>
    <x v="34"/>
    <s v="DeHart, Lynn_SOFTWARE_IT-FGS0302-SW-US-00"/>
    <s v="ERP"/>
    <s v="Patel, Apurva"/>
    <x v="2"/>
    <s v="Patel, Apurva"/>
    <s v="Hase, Raj"/>
    <s v="DeHart, Lynn"/>
    <s v="DeHart, Lynn"/>
    <x v="1"/>
    <s v="Microsoft O365/M365 Licenses"/>
    <m/>
    <m/>
    <s v="IT-FGS0302-SW-US-00"/>
    <m/>
    <s v="N/A"/>
    <m/>
    <s v="M365 / O365"/>
    <m/>
    <m/>
    <n v="36000"/>
    <n v="46414.39"/>
    <m/>
    <m/>
    <n v="6465"/>
    <n v="5197.6400000000003"/>
    <n v="7751.75"/>
    <n v="17671"/>
    <n v="9482"/>
    <n v="14223"/>
    <n v="3000"/>
    <n v="3000"/>
    <n v="3000"/>
    <n v="3000"/>
    <n v="3000"/>
    <n v="3000"/>
    <n v="78790.39"/>
    <n v="32376"/>
    <n v="3000"/>
    <n v="11223"/>
    <n v="32376"/>
    <m/>
    <n v="32376"/>
    <m/>
    <n v="6465"/>
    <n v="5197.6400000000003"/>
    <n v="7751.75"/>
    <n v="3000"/>
    <n v="3000"/>
    <n v="3000"/>
    <n v="3000"/>
    <n v="3000"/>
    <n v="3000"/>
    <n v="3000"/>
    <n v="3000"/>
    <n v="3000"/>
    <n v="46414.39"/>
    <n v="6465"/>
    <n v="5197.6400000000003"/>
    <n v="7751.75"/>
    <n v="3000"/>
    <n v="3000"/>
    <n v="3000"/>
    <n v="3000"/>
    <n v="3000"/>
    <n v="3000"/>
    <n v="3000"/>
    <n v="3000"/>
    <n v="3000"/>
    <n v="46414.39"/>
  </r>
  <r>
    <s v="L-ERP-320"/>
    <x v="1"/>
    <x v="33"/>
    <s v="Maguire, Karla_SOFTWARE_IT-FGS0302-SW-US-00"/>
    <s v="ERP"/>
    <s v="Patel, Apurva"/>
    <x v="0"/>
    <s v="Dougherty, Chris"/>
    <s v="Dougherty, Chris"/>
    <s v="Maguire, Karla"/>
    <s v="Maguire, Karla"/>
    <x v="1"/>
    <s v="Microsoft O365/M365 Licenses"/>
    <m/>
    <m/>
    <s v="IT-FGS0302-SW-US-00"/>
    <s v="CHW - F/U"/>
    <s v="N/A"/>
    <m/>
    <s v="M365 / O365"/>
    <s v="KP- Could you confirm who this line was transferred to?"/>
    <m/>
    <n v="12000"/>
    <n v="13503.74"/>
    <m/>
    <m/>
    <n v="3614.02"/>
    <n v="0"/>
    <n v="889.72"/>
    <n v="917.6"/>
    <n v="3154.91"/>
    <n v="4127.83"/>
    <n v="1000"/>
    <n v="1000"/>
    <n v="1000"/>
    <n v="1000"/>
    <n v="1000"/>
    <n v="1000"/>
    <n v="18704.080000000002"/>
    <n v="5200.340000000002"/>
    <n v="1000"/>
    <n v="3127.83"/>
    <n v="5200.34"/>
    <m/>
    <n v="5200.340000000002"/>
    <m/>
    <n v="3614.02"/>
    <n v="0"/>
    <n v="889.72"/>
    <n v="1000"/>
    <n v="1000"/>
    <n v="1000"/>
    <n v="1000"/>
    <n v="1000"/>
    <n v="1000"/>
    <n v="1000"/>
    <n v="1000"/>
    <n v="1000"/>
    <n v="13503.74"/>
    <n v="3614.02"/>
    <n v="0"/>
    <n v="889.72"/>
    <n v="1000"/>
    <n v="1000"/>
    <n v="1000"/>
    <n v="1000"/>
    <n v="1000"/>
    <n v="1000"/>
    <n v="1000"/>
    <n v="1000"/>
    <n v="1000"/>
    <n v="13503.74"/>
  </r>
  <r>
    <s v="L-ERP-364"/>
    <x v="1"/>
    <x v="33"/>
    <s v="McCormick, Pete_SOFTWARE_IT-FGS0302-SW-US-00"/>
    <s v="ERP"/>
    <s v="Patel, Apurva"/>
    <x v="0"/>
    <s v="McCormick, Pete"/>
    <s v="Dougherty, Chris"/>
    <s v="McCormick, Pete"/>
    <s v="Maguire, Karla"/>
    <x v="1"/>
    <s v="Microsoft O365/M365 Licenses"/>
    <m/>
    <m/>
    <s v="IT-FGS0302-SW-US-00"/>
    <s v="CHW - F/U"/>
    <s v="N/A"/>
    <m/>
    <s v="M365 / O365"/>
    <m/>
    <m/>
    <n v="370"/>
    <n v="370"/>
    <m/>
    <m/>
    <m/>
    <m/>
    <m/>
    <s v=""/>
    <n v="0"/>
    <n v="0"/>
    <n v="0"/>
    <n v="0"/>
    <n v="0"/>
    <n v="0"/>
    <n v="0"/>
    <n v="0"/>
    <n v="0"/>
    <n v="-370"/>
    <n v="0"/>
    <n v="0"/>
    <n v="-370"/>
    <m/>
    <n v="-370"/>
    <m/>
    <m/>
    <m/>
    <m/>
    <n v="370"/>
    <n v="0"/>
    <n v="0"/>
    <n v="0"/>
    <n v="0"/>
    <n v="0"/>
    <n v="0"/>
    <n v="0"/>
    <n v="0"/>
    <n v="370"/>
    <m/>
    <m/>
    <m/>
    <n v="370"/>
    <n v="0"/>
    <n v="0"/>
    <n v="0"/>
    <n v="0"/>
    <n v="0"/>
    <n v="0"/>
    <n v="0"/>
    <n v="0"/>
    <n v="370"/>
  </r>
  <r>
    <s v="L-ERP-540"/>
    <x v="1"/>
    <x v="33"/>
    <s v="Tamavada, Ram_SOFTWARE_IT-FGS0302-SW-US-00"/>
    <s v="ERP"/>
    <s v="Patel, Apurva"/>
    <x v="0"/>
    <s v="Tamavada, Ram"/>
    <s v="Dougherty, Chris"/>
    <s v="Tamavada, Ram"/>
    <s v="Maguire, Karla"/>
    <x v="1"/>
    <s v="Microsoft O365/M365 Licenses"/>
    <m/>
    <m/>
    <s v="IT-FGS0302-SW-US-00"/>
    <s v="CHW - F/U"/>
    <s v="N/A"/>
    <m/>
    <s v="M365 / O365"/>
    <m/>
    <m/>
    <n v="0"/>
    <n v="1293"/>
    <m/>
    <m/>
    <m/>
    <n v="1293"/>
    <n v="0"/>
    <n v="0"/>
    <n v="0"/>
    <n v="431"/>
    <n v="0"/>
    <n v="0"/>
    <n v="0"/>
    <n v="0"/>
    <n v="0"/>
    <n v="0"/>
    <n v="1724"/>
    <n v="431"/>
    <n v="0"/>
    <n v="431"/>
    <n v="431"/>
    <m/>
    <n v="431"/>
    <m/>
    <m/>
    <n v="1293"/>
    <n v="0"/>
    <n v="0"/>
    <n v="0"/>
    <n v="0"/>
    <n v="0"/>
    <n v="0"/>
    <n v="0"/>
    <n v="0"/>
    <n v="0"/>
    <n v="0"/>
    <n v="1293"/>
    <m/>
    <n v="1293"/>
    <n v="0"/>
    <n v="0"/>
    <n v="0"/>
    <n v="0"/>
    <n v="0"/>
    <n v="0"/>
    <n v="0"/>
    <n v="0"/>
    <n v="0"/>
    <n v="0"/>
    <n v="1293"/>
  </r>
  <r>
    <s v="L-ERP-413"/>
    <x v="1"/>
    <x v="34"/>
    <s v="McGettigan, David_SOFTWARE_IT-FGS0302-SW-US-00"/>
    <s v="ERP"/>
    <s v="Patel, Apurva"/>
    <x v="2"/>
    <s v="Patel, Apurva"/>
    <s v="McGettigan, David"/>
    <s v="McGettigan, David"/>
    <s v="McGettigan, David"/>
    <x v="1"/>
    <s v="Microsoft O365/M365 Licenses"/>
    <m/>
    <m/>
    <s v="IT-FGS0302-SW-US-00"/>
    <m/>
    <s v="N/A"/>
    <m/>
    <s v="M365 / O365"/>
    <m/>
    <m/>
    <n v="0"/>
    <n v="2155"/>
    <m/>
    <m/>
    <m/>
    <m/>
    <n v="2155"/>
    <n v="0"/>
    <n v="0"/>
    <n v="0"/>
    <n v="0"/>
    <n v="0"/>
    <n v="0"/>
    <n v="0"/>
    <n v="0"/>
    <n v="0"/>
    <n v="2155"/>
    <n v="0"/>
    <n v="0"/>
    <n v="0"/>
    <n v="0"/>
    <m/>
    <n v="0"/>
    <m/>
    <m/>
    <m/>
    <n v="2155"/>
    <n v="0"/>
    <n v="0"/>
    <n v="0"/>
    <n v="0"/>
    <n v="0"/>
    <n v="0"/>
    <n v="0"/>
    <n v="0"/>
    <n v="0"/>
    <n v="2155"/>
    <m/>
    <m/>
    <n v="2155"/>
    <n v="0"/>
    <n v="0"/>
    <n v="0"/>
    <n v="0"/>
    <n v="0"/>
    <n v="0"/>
    <n v="0"/>
    <n v="0"/>
    <n v="0"/>
    <n v="2155"/>
  </r>
  <r>
    <s v="L-ERP-068"/>
    <x v="0"/>
    <x v="35"/>
    <s v="Dougherty, Chris_SOFTWARE_IT-SFT1194-86-OG-US"/>
    <s v="ERP"/>
    <s v="Patel, Apurva"/>
    <x v="0"/>
    <s v="Dougherty, Chris"/>
    <s v="Dougherty, Chris"/>
    <s v="Dougherty, Chris"/>
    <s v="Maguire, Karla"/>
    <x v="1"/>
    <s v="DevSecOps"/>
    <m/>
    <m/>
    <s v="IT-SFT1194-86-OG-US"/>
    <m/>
    <s v="N/A"/>
    <m/>
    <s v="DevSecOps"/>
    <m/>
    <m/>
    <n v="124504"/>
    <n v="146423.48000000001"/>
    <m/>
    <m/>
    <m/>
    <m/>
    <n v="61919.48"/>
    <n v="0"/>
    <n v="0"/>
    <n v="45968.679999999993"/>
    <n v="0"/>
    <n v="0"/>
    <n v="40000"/>
    <n v="0"/>
    <n v="4504"/>
    <n v="0"/>
    <n v="152392.16"/>
    <n v="5968.679999999993"/>
    <n v="0"/>
    <n v="45968.679999999993"/>
    <n v="5968.679999999993"/>
    <m/>
    <n v="5968.679999999993"/>
    <m/>
    <m/>
    <m/>
    <n v="61919.48"/>
    <n v="0"/>
    <n v="0"/>
    <n v="40000"/>
    <n v="0"/>
    <n v="0"/>
    <n v="40000"/>
    <n v="0"/>
    <n v="4504"/>
    <n v="0"/>
    <n v="146423.48000000001"/>
    <m/>
    <m/>
    <n v="61919.48"/>
    <n v="0"/>
    <n v="0"/>
    <n v="40000"/>
    <n v="0"/>
    <n v="0"/>
    <n v="40000"/>
    <n v="0"/>
    <n v="4504"/>
    <n v="0"/>
    <n v="146423.48000000001"/>
  </r>
  <r>
    <s v="L-ERP-182"/>
    <x v="0"/>
    <x v="36"/>
    <s v="Hase, Raj_SOFTWARE_IT-SFT1194-86-OG-US"/>
    <s v="ERP"/>
    <s v="Patel, Apurva"/>
    <x v="1"/>
    <s v="Hase, Raj"/>
    <s v="Hase, Raj"/>
    <s v="Hase, Raj"/>
    <s v="DeHart, Lynn"/>
    <x v="1"/>
    <s v="DevSecOps"/>
    <m/>
    <m/>
    <s v="IT-SFT1194-86-OG-US"/>
    <m/>
    <s v="N/A"/>
    <m/>
    <s v="DevSecOps"/>
    <m/>
    <m/>
    <n v="13200"/>
    <n v="19370.91"/>
    <m/>
    <m/>
    <m/>
    <m/>
    <n v="9470.91"/>
    <n v="0"/>
    <n v="0"/>
    <n v="6148.3"/>
    <n v="0"/>
    <n v="0"/>
    <n v="3300"/>
    <n v="0"/>
    <n v="0"/>
    <n v="3300"/>
    <n v="22219.21"/>
    <n v="2848.2999999999993"/>
    <n v="0"/>
    <n v="6148.3"/>
    <n v="2848.2999999999993"/>
    <m/>
    <n v="2848.2999999999993"/>
    <m/>
    <m/>
    <m/>
    <n v="9470.91"/>
    <n v="0"/>
    <n v="0"/>
    <n v="3300"/>
    <n v="0"/>
    <n v="0"/>
    <n v="3300"/>
    <n v="0"/>
    <n v="0"/>
    <n v="3300"/>
    <n v="19370.91"/>
    <m/>
    <m/>
    <n v="9470.91"/>
    <n v="0"/>
    <n v="0"/>
    <n v="3300"/>
    <n v="0"/>
    <n v="0"/>
    <n v="3300"/>
    <n v="0"/>
    <n v="0"/>
    <n v="3300"/>
    <n v="19370.91"/>
  </r>
  <r>
    <s v="L-ERP-219"/>
    <x v="0"/>
    <x v="37"/>
    <s v="Hovanyetz, Mike_SOFTWARE_IT-SFT1194-86-OG-US"/>
    <s v="ERP"/>
    <s v="Patel, Apurva"/>
    <x v="3"/>
    <s v="Hovanyetz, Mike"/>
    <s v="Hase, Raj"/>
    <s v="Hovanyetz, Mike"/>
    <s v="DeHart, Lynn"/>
    <x v="1"/>
    <s v="DevSecOps"/>
    <m/>
    <m/>
    <s v="IT-SFT1194-86-OG-US"/>
    <m/>
    <s v="N/A"/>
    <m/>
    <s v="DevSecOps"/>
    <m/>
    <m/>
    <n v="30000"/>
    <n v="33718.54"/>
    <m/>
    <m/>
    <m/>
    <m/>
    <n v="11218.54"/>
    <n v="0"/>
    <n v="0"/>
    <n v="15527.55"/>
    <n v="0"/>
    <n v="0"/>
    <n v="7500"/>
    <n v="0"/>
    <n v="7500"/>
    <n v="0"/>
    <n v="41746.089999999997"/>
    <n v="8027.5499999999956"/>
    <n v="0"/>
    <n v="15527.55"/>
    <n v="8027.5499999999993"/>
    <m/>
    <n v="8027.5499999999956"/>
    <m/>
    <m/>
    <m/>
    <n v="11218.54"/>
    <n v="0"/>
    <n v="0"/>
    <n v="7500"/>
    <n v="0"/>
    <n v="0"/>
    <n v="7500"/>
    <n v="0"/>
    <n v="7500"/>
    <n v="0"/>
    <n v="33718.54"/>
    <m/>
    <m/>
    <n v="11218.54"/>
    <n v="0"/>
    <n v="0"/>
    <n v="7500"/>
    <n v="0"/>
    <n v="0"/>
    <n v="7500"/>
    <n v="0"/>
    <n v="7500"/>
    <n v="0"/>
    <n v="33718.54"/>
  </r>
  <r>
    <s v="L-ERP-004"/>
    <x v="0"/>
    <x v="38"/>
    <s v="DeHart, Lynn_SOFTWARE_IT-SFT1194-86-OG-US"/>
    <s v="ERP"/>
    <s v="Patel, Apurva"/>
    <x v="2"/>
    <s v="Patel, Apurva"/>
    <s v="Hase, Raj"/>
    <s v="DeHart, Lynn"/>
    <s v="DeHart, Lynn"/>
    <x v="1"/>
    <s v="DevSecOps"/>
    <m/>
    <m/>
    <s v="IT-SFT1194-86-OG-US"/>
    <m/>
    <s v="N/A"/>
    <m/>
    <s v="DevSecOps"/>
    <m/>
    <m/>
    <n v="0"/>
    <n v="3886.48"/>
    <m/>
    <m/>
    <m/>
    <m/>
    <n v="3886.48"/>
    <n v="174.65"/>
    <n v="0"/>
    <n v="3826.04"/>
    <n v="0"/>
    <n v="0"/>
    <n v="0"/>
    <n v="0"/>
    <n v="0"/>
    <n v="0"/>
    <n v="7887.17"/>
    <n v="4000.69"/>
    <n v="0"/>
    <n v="3826.04"/>
    <n v="4000.69"/>
    <m/>
    <n v="4000.69"/>
    <m/>
    <m/>
    <m/>
    <n v="3886.48"/>
    <n v="0"/>
    <n v="0"/>
    <n v="0"/>
    <n v="0"/>
    <n v="0"/>
    <n v="0"/>
    <n v="0"/>
    <n v="0"/>
    <n v="0"/>
    <n v="3886.48"/>
    <m/>
    <m/>
    <n v="3886.48"/>
    <n v="0"/>
    <n v="0"/>
    <n v="0"/>
    <n v="0"/>
    <n v="0"/>
    <n v="0"/>
    <n v="0"/>
    <n v="0"/>
    <n v="0"/>
    <n v="3886.48"/>
  </r>
  <r>
    <s v="L-ERP-314"/>
    <x v="1"/>
    <x v="35"/>
    <s v="Maguire, Karla_SOFTWARE_IT-SFT1194-86-OG-US"/>
    <s v="ERP"/>
    <s v="Patel, Apurva"/>
    <x v="0"/>
    <s v="Dougherty, Chris"/>
    <s v="Dougherty, Chris"/>
    <s v="Maguire, Karla"/>
    <s v="Maguire, Karla"/>
    <x v="1"/>
    <s v="DevSecOps"/>
    <m/>
    <m/>
    <s v="IT-SFT1194-86-OG-US"/>
    <m/>
    <s v="N/A"/>
    <m/>
    <s v="DevSecOps"/>
    <s v="KP- Could you confirm who this line was transferred to?"/>
    <m/>
    <n v="50000"/>
    <n v="38665"/>
    <m/>
    <m/>
    <m/>
    <m/>
    <n v="1165"/>
    <n v="0"/>
    <n v="0"/>
    <n v="1720.74"/>
    <n v="0"/>
    <n v="0"/>
    <n v="12500"/>
    <n v="0"/>
    <n v="12500"/>
    <n v="0"/>
    <n v="27885.739999999998"/>
    <n v="-10779.260000000002"/>
    <n v="0"/>
    <n v="1720.74"/>
    <n v="-10779.26"/>
    <m/>
    <n v="-10779.260000000002"/>
    <m/>
    <m/>
    <m/>
    <n v="1165"/>
    <n v="0"/>
    <n v="0"/>
    <n v="12500"/>
    <n v="0"/>
    <n v="0"/>
    <n v="12500"/>
    <n v="0"/>
    <n v="12500"/>
    <n v="0"/>
    <n v="38665"/>
    <m/>
    <m/>
    <n v="1165"/>
    <n v="0"/>
    <n v="0"/>
    <n v="12500"/>
    <n v="0"/>
    <n v="0"/>
    <n v="12500"/>
    <n v="0"/>
    <n v="12500"/>
    <n v="0"/>
    <n v="38665"/>
  </r>
  <r>
    <s v="L-ERP-357"/>
    <x v="1"/>
    <x v="35"/>
    <s v="McCormick, Pete_SOFTWARE_IT-SFT1194-86-OG-US"/>
    <s v="ERP"/>
    <s v="Patel, Apurva"/>
    <x v="0"/>
    <s v="McCormick, Pete"/>
    <s v="Dougherty, Chris"/>
    <s v="McCormick, Pete"/>
    <s v="Maguire, Karla"/>
    <x v="1"/>
    <s v="DevSecOps"/>
    <m/>
    <m/>
    <s v="IT-SFT1194-86-OG-US"/>
    <m/>
    <s v="N/A"/>
    <m/>
    <s v="DevSecOps"/>
    <m/>
    <m/>
    <n v="3000"/>
    <n v="3010.21"/>
    <m/>
    <m/>
    <m/>
    <m/>
    <n v="410.21"/>
    <n v="0"/>
    <n v="0"/>
    <n v="398.24"/>
    <n v="0"/>
    <n v="0"/>
    <n v="0"/>
    <n v="0"/>
    <n v="0"/>
    <n v="0"/>
    <n v="808.45"/>
    <n v="-2201.7600000000002"/>
    <n v="0"/>
    <n v="398.24"/>
    <n v="-2201.7600000000002"/>
    <m/>
    <n v="-2201.7600000000002"/>
    <m/>
    <m/>
    <m/>
    <n v="410.21"/>
    <n v="2600"/>
    <n v="0"/>
    <n v="0"/>
    <n v="0"/>
    <n v="0"/>
    <n v="0"/>
    <n v="0"/>
    <n v="0"/>
    <n v="0"/>
    <n v="3010.21"/>
    <m/>
    <m/>
    <n v="410.21"/>
    <n v="3000"/>
    <n v="0"/>
    <n v="0"/>
    <n v="0"/>
    <n v="0"/>
    <n v="0"/>
    <n v="0"/>
    <n v="0"/>
    <n v="0"/>
    <n v="3410.21"/>
  </r>
  <r>
    <s v="L-ERP-436"/>
    <x v="1"/>
    <x v="35"/>
    <s v="Meadows, Leslie_SOFTWARE_IT-SFT1194-86-OG-US"/>
    <s v="ERP"/>
    <s v="Patel, Apurva"/>
    <x v="0"/>
    <s v="Meadows, Leslie"/>
    <s v="Dougherty, Chris"/>
    <s v="Meadows, Leslie"/>
    <s v="Maguire, Karla"/>
    <x v="1"/>
    <s v="DevSecOps"/>
    <m/>
    <m/>
    <s v="IT-SFT1194-86-OG-US"/>
    <m/>
    <s v="N/A"/>
    <m/>
    <s v="DevSecOps"/>
    <s v="KP - increase is due to increase in Licensing fees by DevSecOps."/>
    <m/>
    <n v="2800"/>
    <n v="11294.74"/>
    <m/>
    <m/>
    <m/>
    <m/>
    <n v="3116.74"/>
    <n v="0"/>
    <n v="0"/>
    <n v="2380"/>
    <n v="0"/>
    <n v="0"/>
    <n v="2726"/>
    <n v="0"/>
    <n v="2726"/>
    <n v="0"/>
    <n v="10948.74"/>
    <n v="-346"/>
    <n v="0"/>
    <n v="2380"/>
    <n v="-346"/>
    <m/>
    <n v="-346"/>
    <m/>
    <m/>
    <m/>
    <n v="3116.74"/>
    <n v="0"/>
    <n v="0"/>
    <n v="2726"/>
    <n v="0"/>
    <n v="0"/>
    <n v="2726"/>
    <n v="0"/>
    <n v="2726"/>
    <n v="0"/>
    <n v="11294.74"/>
    <m/>
    <m/>
    <n v="3116.74"/>
    <n v="0"/>
    <n v="0"/>
    <n v="700"/>
    <n v="0"/>
    <n v="0"/>
    <n v="700"/>
    <n v="0"/>
    <n v="700"/>
    <n v="0"/>
    <n v="5216.74"/>
  </r>
  <r>
    <s v="L-ERP-471"/>
    <x v="1"/>
    <x v="35"/>
    <s v="Patel, Nikunj Rohitkumar_SOFTWARE_IT-SFT1194-86-OG-US"/>
    <s v="ERP"/>
    <s v="Patel, Apurva"/>
    <x v="0"/>
    <s v="Patel, Nikunj Rohitkumar"/>
    <s v="Dougherty, Chris"/>
    <s v="Patel, Nikunj Rohitkumar"/>
    <s v="Maguire, Karla"/>
    <x v="1"/>
    <s v="DevSecOps"/>
    <m/>
    <m/>
    <s v="IT-SFT1194-86-OG-US"/>
    <m/>
    <s v="N/A"/>
    <m/>
    <s v="DevSecOps"/>
    <m/>
    <m/>
    <n v="800"/>
    <n v="4147.87"/>
    <m/>
    <m/>
    <m/>
    <m/>
    <n v="3547.87"/>
    <n v="0"/>
    <n v="0"/>
    <n v="3172.87"/>
    <n v="0"/>
    <n v="0"/>
    <n v="200"/>
    <n v="0"/>
    <n v="200"/>
    <n v="0"/>
    <n v="7120.74"/>
    <n v="2972.87"/>
    <n v="0"/>
    <n v="3172.87"/>
    <n v="2972.87"/>
    <m/>
    <n v="2972.87"/>
    <m/>
    <m/>
    <m/>
    <n v="3547.87"/>
    <n v="0"/>
    <n v="0"/>
    <n v="200"/>
    <n v="0"/>
    <n v="0"/>
    <n v="200"/>
    <n v="0"/>
    <n v="200"/>
    <n v="0"/>
    <n v="4147.87"/>
    <m/>
    <m/>
    <n v="3547.87"/>
    <n v="0"/>
    <n v="0"/>
    <n v="200"/>
    <n v="0"/>
    <n v="0"/>
    <n v="200"/>
    <n v="0"/>
    <n v="200"/>
    <n v="0"/>
    <n v="4147.87"/>
  </r>
  <r>
    <s v="L-ERP-515"/>
    <x v="1"/>
    <x v="35"/>
    <s v="Tamavada, Ram_SOFTWARE_IT-SFT1194-86-OG-US"/>
    <s v="ERP"/>
    <s v="Patel, Apurva"/>
    <x v="0"/>
    <s v="Tamavada, Ram"/>
    <s v="Dougherty, Chris"/>
    <s v="Tamavada, Ram"/>
    <s v="Maguire, Karla"/>
    <x v="1"/>
    <s v="DevSecOps"/>
    <m/>
    <m/>
    <s v="IT-SFT1194-86-OG-US"/>
    <m/>
    <s v="N/A"/>
    <m/>
    <s v="DevSecOps"/>
    <m/>
    <m/>
    <n v="12119.24"/>
    <n v="21230.870000000003"/>
    <m/>
    <m/>
    <m/>
    <m/>
    <n v="12141.44"/>
    <n v="0"/>
    <n v="0"/>
    <n v="10504.75"/>
    <n v="0"/>
    <n v="0"/>
    <n v="3029.81"/>
    <n v="0"/>
    <n v="3029.81"/>
    <n v="0"/>
    <n v="28705.810000000005"/>
    <n v="7474.9400000000023"/>
    <n v="0"/>
    <n v="10504.75"/>
    <n v="7474.9400000000023"/>
    <m/>
    <n v="7474.9400000000023"/>
    <m/>
    <m/>
    <m/>
    <n v="12141.44"/>
    <n v="0"/>
    <n v="0"/>
    <n v="3029.81"/>
    <n v="0"/>
    <n v="0"/>
    <n v="3029.81"/>
    <n v="0"/>
    <n v="3029.81"/>
    <n v="0"/>
    <n v="21230.870000000003"/>
    <m/>
    <m/>
    <n v="12141.44"/>
    <n v="0"/>
    <n v="0"/>
    <n v="3029.81"/>
    <n v="0"/>
    <n v="0"/>
    <n v="3029.81"/>
    <n v="0"/>
    <n v="3029.81"/>
    <n v="0"/>
    <n v="21230.870000000003"/>
  </r>
  <r>
    <s v="ERP-060"/>
    <x v="1"/>
    <x v="36"/>
    <s v="Yeluri, Durga_SOFTWARE_IT-SFT1194-86-OG-US"/>
    <s v="ERP"/>
    <s v="Patel, Apurva"/>
    <x v="1"/>
    <s v="Yeluri, Durga"/>
    <s v="Hase, Raj"/>
    <s v="Yeluri, Durga"/>
    <s v="Yeluri, Durga"/>
    <x v="1"/>
    <m/>
    <m/>
    <m/>
    <s v="IT-SFT1194-86-OG-US"/>
    <m/>
    <m/>
    <m/>
    <m/>
    <m/>
    <m/>
    <m/>
    <m/>
    <m/>
    <m/>
    <m/>
    <m/>
    <m/>
    <m/>
    <m/>
    <n v="3285.0699999999997"/>
    <m/>
    <m/>
    <m/>
    <m/>
    <m/>
    <m/>
    <n v="3285.0699999999997"/>
    <n v="3285.0699999999997"/>
    <m/>
    <n v="3285.0699999999997"/>
    <n v="3285.0699999999997"/>
    <m/>
    <n v="3285.0699999999997"/>
    <m/>
    <m/>
    <m/>
    <m/>
    <m/>
    <m/>
    <m/>
    <m/>
    <m/>
    <m/>
    <m/>
    <m/>
    <m/>
    <m/>
    <m/>
    <m/>
    <m/>
    <m/>
    <m/>
    <m/>
    <m/>
    <m/>
    <m/>
    <m/>
    <m/>
    <m/>
    <m/>
  </r>
  <r>
    <s v="L-ERP-551"/>
    <x v="1"/>
    <x v="37"/>
    <s v="Vaidya, Sachin_SOFTWARE_IT-SFT1194-86-OG-US"/>
    <s v="ERP"/>
    <s v="Patel, Apurva"/>
    <x v="3"/>
    <s v="Vaidya, Sachin"/>
    <s v="Hase, Raj"/>
    <s v="Vaidya, Sachin"/>
    <s v="DeHart, Lynn"/>
    <x v="1"/>
    <s v="DevSecOps"/>
    <m/>
    <m/>
    <s v="IT-SFT1194-86-OG-US"/>
    <m/>
    <s v="N/A"/>
    <m/>
    <s v="DevSecOps"/>
    <s v="Sachin (4/30): Not managed by me"/>
    <m/>
    <n v="7176"/>
    <n v="11702.54"/>
    <m/>
    <m/>
    <m/>
    <m/>
    <n v="6320.54"/>
    <n v="0"/>
    <n v="0"/>
    <n v="0"/>
    <n v="0"/>
    <n v="0"/>
    <n v="1794"/>
    <n v="0"/>
    <n v="1794"/>
    <n v="0"/>
    <n v="9908.5400000000009"/>
    <n v="-1794"/>
    <n v="0"/>
    <n v="0"/>
    <n v="-1794"/>
    <m/>
    <n v="-1794"/>
    <m/>
    <m/>
    <m/>
    <n v="6320.54"/>
    <n v="0"/>
    <n v="0"/>
    <n v="1794"/>
    <n v="0"/>
    <n v="0"/>
    <n v="1794"/>
    <n v="0"/>
    <n v="1794"/>
    <n v="0"/>
    <n v="11702.54"/>
    <m/>
    <m/>
    <n v="6320.54"/>
    <n v="0"/>
    <n v="0"/>
    <n v="1794"/>
    <n v="0"/>
    <n v="0"/>
    <n v="1794"/>
    <n v="0"/>
    <n v="1794"/>
    <n v="0"/>
    <n v="11702.54"/>
  </r>
  <r>
    <s v="L-ERP-407"/>
    <x v="1"/>
    <x v="38"/>
    <s v="McGettigan, David_SOFTWARE_IT-SFT1194-86-OG-US"/>
    <s v="ERP"/>
    <s v="Patel, Apurva"/>
    <x v="2"/>
    <s v="Patel, Apurva"/>
    <s v="McGettigan, David"/>
    <s v="McGettigan, David"/>
    <s v="McGettigan, David"/>
    <x v="1"/>
    <s v="DevSecOps"/>
    <m/>
    <m/>
    <s v="IT-SFT1194-86-OG-US"/>
    <m/>
    <s v="N/A"/>
    <m/>
    <s v="DevSecOps"/>
    <m/>
    <m/>
    <n v="0"/>
    <n v="95.05"/>
    <m/>
    <m/>
    <m/>
    <m/>
    <n v="95.05"/>
    <n v="0"/>
    <n v="0"/>
    <n v="160.29"/>
    <n v="0"/>
    <n v="0"/>
    <n v="0"/>
    <n v="0"/>
    <n v="0"/>
    <n v="0"/>
    <n v="255.33999999999997"/>
    <n v="160.28999999999996"/>
    <n v="0"/>
    <n v="160.29"/>
    <n v="160.28999999999996"/>
    <m/>
    <n v="160.28999999999996"/>
    <m/>
    <m/>
    <m/>
    <n v="95.05"/>
    <n v="0"/>
    <n v="0"/>
    <n v="0"/>
    <n v="0"/>
    <n v="0"/>
    <n v="0"/>
    <n v="0"/>
    <n v="0"/>
    <n v="0"/>
    <n v="95.05"/>
    <m/>
    <m/>
    <n v="95.05"/>
    <n v="0"/>
    <n v="0"/>
    <n v="0"/>
    <n v="0"/>
    <n v="0"/>
    <n v="0"/>
    <n v="0"/>
    <n v="0"/>
    <n v="0"/>
    <n v="95.05"/>
  </r>
  <r>
    <s v="L-ERP-054"/>
    <x v="0"/>
    <x v="39"/>
    <s v="Dougherty, Chris_SOFTWARE_IT-SFT1270-86-OG-US"/>
    <s v="ERP"/>
    <s v="Patel, Apurva"/>
    <x v="0"/>
    <s v="Dougherty, Chris"/>
    <s v="Dougherty, Chris"/>
    <s v="Dougherty, Chris"/>
    <s v="Maguire, Karla"/>
    <x v="1"/>
    <s v="BPAI S/W - Broadcom Autosys/Automic (ML-0714)"/>
    <m/>
    <m/>
    <s v="IT-SFT1270-86-OG-US"/>
    <s v="CHW - F/U"/>
    <m/>
    <m/>
    <s v="2024 Transfer"/>
    <m/>
    <m/>
    <n v="1527544"/>
    <n v="1513628.4099999997"/>
    <m/>
    <m/>
    <m/>
    <m/>
    <n v="367969.99"/>
    <n v="0"/>
    <n v="254590.76"/>
    <n v="127295.38"/>
    <n v="127295.38"/>
    <n v="127295.38"/>
    <n v="127295.38"/>
    <n v="127295.38"/>
    <n v="127295.38"/>
    <n v="127295.38"/>
    <n v="1513628.4099999997"/>
    <n v="0"/>
    <n v="127295.38"/>
    <n v="0"/>
    <n v="0"/>
    <m/>
    <n v="0"/>
    <m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  <m/>
    <m/>
    <n v="367969.99"/>
    <n v="127295.38"/>
    <n v="127295.38"/>
    <n v="127295.38"/>
    <n v="127295.38"/>
    <n v="127295.38"/>
    <n v="127295.38"/>
    <n v="127295.38"/>
    <n v="127295.38"/>
    <n v="127295.38"/>
    <n v="1513628.4099999997"/>
  </r>
  <r>
    <s v="L-ERP-349"/>
    <x v="1"/>
    <x v="39"/>
    <s v="McCormick, Pete_SOFTWARE_IT-SFT1270-86-OG-US"/>
    <s v="ERP"/>
    <s v="Patel, Apurva"/>
    <x v="0"/>
    <s v="McCormick, Pete"/>
    <s v="Dougherty, Chris"/>
    <s v="McCormick, Pete"/>
    <s v="Maguire, Karla"/>
    <x v="1"/>
    <s v="BPAI S/W - Broadcom Autosys/Automic (ML-0714)"/>
    <m/>
    <m/>
    <s v="IT-SFT1270-86-OG-US"/>
    <s v="CHW - F/U"/>
    <m/>
    <m/>
    <s v="2024 Transfer"/>
    <m/>
    <m/>
    <n v="0"/>
    <n v="0"/>
    <m/>
    <m/>
    <n v="127295.39"/>
    <n v="113379.22"/>
    <n v="-240674.61"/>
    <n v="0"/>
    <n v="0"/>
    <n v="0"/>
    <m/>
    <m/>
    <m/>
    <m/>
    <m/>
    <m/>
    <n v="0"/>
    <n v="0"/>
    <m/>
    <n v="0"/>
    <n v="0"/>
    <m/>
    <n v="0"/>
    <m/>
    <n v="127295.39"/>
    <n v="113379.22"/>
    <n v="-240674.61"/>
    <m/>
    <m/>
    <m/>
    <m/>
    <m/>
    <m/>
    <m/>
    <m/>
    <m/>
    <n v="0"/>
    <n v="127295.39"/>
    <n v="113379.22"/>
    <n v="-240674.61"/>
    <m/>
    <m/>
    <m/>
    <m/>
    <m/>
    <m/>
    <m/>
    <m/>
    <m/>
    <n v="0"/>
  </r>
  <r>
    <s v="L-ERP-064"/>
    <x v="0"/>
    <x v="40"/>
    <s v="Dougherty, Chris_MANAGED SERVICES_IT-SFT1282-86-OG-US"/>
    <s v="ERP"/>
    <s v="Patel, Apurva"/>
    <x v="0"/>
    <s v="Dougherty, Chris"/>
    <s v="Dougherty, Chris"/>
    <s v="Dougherty, Chris"/>
    <s v="Maguire, Karla"/>
    <x v="3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-608600"/>
    <n v="-597160"/>
    <m/>
    <m/>
    <m/>
    <m/>
    <n v="-123760"/>
    <n v="0"/>
    <n v="-113731.04000000001"/>
    <n v="-60567.46"/>
    <n v="-52600"/>
    <n v="-52600"/>
    <n v="-52600"/>
    <n v="-52600"/>
    <n v="-52600"/>
    <n v="-52600"/>
    <n v="-613658.5"/>
    <n v="-16498.5"/>
    <n v="-52600"/>
    <n v="-7967.4599999999991"/>
    <n v="-16498.5"/>
    <m/>
    <n v="-16498.5"/>
    <m/>
    <m/>
    <m/>
    <n v="-123760"/>
    <n v="-52600"/>
    <n v="-52600"/>
    <n v="-52600"/>
    <n v="-52600"/>
    <n v="-52600"/>
    <n v="-52600"/>
    <n v="-52600"/>
    <n v="-52600"/>
    <n v="-52600"/>
    <n v="-597160"/>
    <m/>
    <m/>
    <n v="-123760"/>
    <n v="-52600"/>
    <n v="-52600"/>
    <n v="-52600"/>
    <n v="-52600"/>
    <n v="-52600"/>
    <n v="-52600"/>
    <n v="-52600"/>
    <n v="-52600"/>
    <n v="-52600"/>
    <n v="-597160"/>
  </r>
  <r>
    <s v="L-ERP-065"/>
    <x v="0"/>
    <x v="41"/>
    <s v="Dougherty, Chris_SOFTWARE_IT-SFT1282-86-OG-US"/>
    <s v="ERP"/>
    <s v="Patel, Apurva"/>
    <x v="0"/>
    <s v="Dougherty, Chris"/>
    <s v="Dougherty, Chris"/>
    <s v="Dougherty, Chris"/>
    <s v="Maguire, Karla"/>
    <x v="1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-937488"/>
    <n v="-925916"/>
    <m/>
    <m/>
    <m/>
    <m/>
    <n v="-222800"/>
    <n v="0"/>
    <n v="-128741.87"/>
    <n v="-52011.25"/>
    <n v="-78124"/>
    <n v="-78124"/>
    <n v="-78124"/>
    <n v="-78124"/>
    <n v="-78124"/>
    <n v="-78124"/>
    <n v="-872297.12"/>
    <n v="53618.880000000005"/>
    <n v="-78124"/>
    <n v="26112.75"/>
    <n v="53618.880000000005"/>
    <m/>
    <n v="53618.880000000005"/>
    <m/>
    <m/>
    <m/>
    <n v="-222800"/>
    <n v="-78124"/>
    <n v="-78124"/>
    <n v="-78124"/>
    <n v="-78124"/>
    <n v="-78124"/>
    <n v="-78124"/>
    <n v="-78124"/>
    <n v="-78124"/>
    <n v="-78124"/>
    <n v="-925916"/>
    <m/>
    <m/>
    <n v="-222800"/>
    <n v="-78124"/>
    <n v="-78124"/>
    <n v="-78124"/>
    <n v="-78124"/>
    <n v="-78124"/>
    <n v="-78124"/>
    <n v="-78124"/>
    <n v="-78124"/>
    <n v="-78124"/>
    <n v="-925916"/>
  </r>
  <r>
    <s v="L-ERP-353"/>
    <x v="1"/>
    <x v="40"/>
    <s v="McCormick, Pete_MANAGED SERVICES_IT-SFT1282-86-OG-US"/>
    <s v="ERP"/>
    <s v="Patel, Apurva"/>
    <x v="0"/>
    <s v="McCormick, Pete"/>
    <s v="Dougherty, Chris"/>
    <s v="McCormick, Pete"/>
    <s v="Maguire, Karla"/>
    <x v="3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0"/>
    <n v="0"/>
    <m/>
    <m/>
    <m/>
    <n v="-68030"/>
    <n v="68030"/>
    <n v="0"/>
    <n v="0"/>
    <n v="0"/>
    <m/>
    <m/>
    <m/>
    <m/>
    <m/>
    <m/>
    <n v="0"/>
    <n v="0"/>
    <m/>
    <n v="0"/>
    <n v="0"/>
    <m/>
    <n v="0"/>
    <m/>
    <m/>
    <n v="-68030"/>
    <n v="68030"/>
    <m/>
    <m/>
    <m/>
    <m/>
    <m/>
    <m/>
    <m/>
    <m/>
    <m/>
    <n v="0"/>
    <m/>
    <n v="-68030"/>
    <n v="68030"/>
    <m/>
    <m/>
    <m/>
    <m/>
    <m/>
    <m/>
    <m/>
    <m/>
    <m/>
    <n v="0"/>
  </r>
  <r>
    <s v="L-ERP-354"/>
    <x v="1"/>
    <x v="41"/>
    <s v="McCormick, Pete_SOFTWARE_IT-SFT1282-86-OG-US"/>
    <s v="ERP"/>
    <s v="Patel, Apurva"/>
    <x v="0"/>
    <s v="McCormick, Pete"/>
    <s v="Dougherty, Chris"/>
    <s v="McCormick, Pete"/>
    <s v="Maguire, Karla"/>
    <x v="1"/>
    <s v="BPAI File Transfer &amp; Workload Automation Services - Monthly Libra reclasses (ML-0726)"/>
    <m/>
    <m/>
    <s v="IT-SFT1282-86-OG-US"/>
    <s v="CHW - F/U"/>
    <m/>
    <m/>
    <s v="Billing Related - File Transfer/Autosys Cloud"/>
    <m/>
    <m/>
    <n v="0"/>
    <n v="0"/>
    <m/>
    <m/>
    <m/>
    <n v="-158800"/>
    <n v="158800"/>
    <n v="0"/>
    <n v="0"/>
    <n v="0"/>
    <m/>
    <m/>
    <m/>
    <m/>
    <m/>
    <m/>
    <n v="0"/>
    <n v="0"/>
    <m/>
    <n v="0"/>
    <n v="0"/>
    <m/>
    <n v="0"/>
    <m/>
    <m/>
    <n v="-158800"/>
    <n v="158800"/>
    <m/>
    <m/>
    <m/>
    <m/>
    <m/>
    <m/>
    <m/>
    <m/>
    <m/>
    <n v="0"/>
    <m/>
    <n v="-158800"/>
    <n v="158800"/>
    <m/>
    <m/>
    <m/>
    <m/>
    <m/>
    <m/>
    <m/>
    <m/>
    <m/>
    <n v="0"/>
  </r>
  <r>
    <s v="L-ERP-093"/>
    <x v="0"/>
    <x v="42"/>
    <s v="Dougherty, Chris_CONTRACTORS_MISC001"/>
    <s v="ERP"/>
    <s v="Patel, Apurva"/>
    <x v="0"/>
    <s v="Dougherty, Chris"/>
    <s v="Dougherty, Chris"/>
    <s v="Dougherty, Chris"/>
    <s v="Maguire, Karla"/>
    <x v="0"/>
    <s v="Miscellaneous Charges"/>
    <m/>
    <m/>
    <s v="MISC001"/>
    <m/>
    <m/>
    <m/>
    <s v="None"/>
    <m/>
    <m/>
    <n v="0"/>
    <n v="-0.11000000000058208"/>
    <m/>
    <m/>
    <n v="20093.099999999999"/>
    <n v="22504.89"/>
    <n v="-42598.1"/>
    <n v="-0.33"/>
    <n v="0.71"/>
    <n v="-0.03"/>
    <n v="0"/>
    <n v="0"/>
    <n v="0"/>
    <n v="0"/>
    <n v="0"/>
    <n v="0"/>
    <n v="0.23999999999941787"/>
    <n v="0.35"/>
    <n v="0"/>
    <n v="-0.03"/>
    <n v="0.35"/>
    <m/>
    <n v="0.35"/>
    <m/>
    <n v="20093.099999999999"/>
    <n v="22504.89"/>
    <n v="-42598.1"/>
    <n v="0"/>
    <n v="0"/>
    <n v="0"/>
    <n v="0"/>
    <n v="0"/>
    <n v="0"/>
    <n v="0"/>
    <n v="0"/>
    <n v="0"/>
    <n v="-0.11000000000058208"/>
    <n v="20093.099999999999"/>
    <n v="22504.89"/>
    <n v="-42598.1"/>
    <n v="0"/>
    <n v="0"/>
    <n v="0"/>
    <n v="0"/>
    <n v="0"/>
    <n v="0"/>
    <n v="0"/>
    <n v="0"/>
    <n v="0"/>
    <n v="-0.11000000000058208"/>
  </r>
  <r>
    <s v="ERP-053"/>
    <x v="0"/>
    <x v="43"/>
    <s v="Dougherty, Chris_HW MAINTENANCE_MISC001"/>
    <s v="ERP"/>
    <s v="Patel, Apurva"/>
    <x v="0"/>
    <s v="Dougherty, Chris"/>
    <s v="Dougherty, Chris"/>
    <s v="Dougherty, Chris"/>
    <s v="Dougherty, Chris"/>
    <x v="5"/>
    <s v="Miscellaneous Charges"/>
    <m/>
    <s v="2321402"/>
    <s v="MISC001"/>
    <m/>
    <m/>
    <m/>
    <m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48"/>
    <x v="0"/>
    <x v="44"/>
    <s v="Tamavada, Ram_MANAGED SERVICES_MISC001"/>
    <s v="ERP"/>
    <s v="Patel, Apurva"/>
    <x v="0"/>
    <s v="Tamavada, Ram"/>
    <s v="Dougherty, Chris"/>
    <s v="Tamavada, Ram"/>
    <s v="Maguire, Karla"/>
    <x v="3"/>
    <s v="Miscellaneous Charges"/>
    <m/>
    <m/>
    <s v="MISC001"/>
    <m/>
    <m/>
    <m/>
    <s v="None"/>
    <s v="KP - May i please get more details on this actual? Can't find it in the actuals file."/>
    <m/>
    <n v="0"/>
    <n v="39996"/>
    <m/>
    <m/>
    <n v="0.22"/>
    <n v="45000.28"/>
    <n v="-5004.5"/>
    <n v="-0.6"/>
    <n v="-84995.74"/>
    <n v="44999.83"/>
    <n v="0"/>
    <n v="0"/>
    <n v="0"/>
    <n v="0"/>
    <n v="0"/>
    <n v="0"/>
    <n v="-0.51000000000203727"/>
    <n v="-39996.51"/>
    <n v="0"/>
    <n v="44999.83"/>
    <n v="-39996.51"/>
    <m/>
    <n v="-39996.51"/>
    <m/>
    <n v="0.22"/>
    <n v="45000.28"/>
    <n v="-5004.5"/>
    <n v="0"/>
    <n v="0"/>
    <n v="0"/>
    <n v="0"/>
    <n v="0"/>
    <n v="0"/>
    <n v="0"/>
    <n v="0"/>
    <n v="0"/>
    <n v="39996"/>
    <n v="0.22"/>
    <n v="45000.28"/>
    <n v="-5004.5"/>
    <n v="0"/>
    <n v="0"/>
    <n v="0"/>
    <n v="0"/>
    <n v="0"/>
    <n v="0"/>
    <n v="0"/>
    <n v="0"/>
    <n v="0"/>
    <n v="39996"/>
  </r>
  <r>
    <s v="L-ERP-101"/>
    <x v="0"/>
    <x v="45"/>
    <s v="Dougherty, Chris_SOFTWARE_MISC001"/>
    <s v="ERP"/>
    <s v="Patel, Apurva"/>
    <x v="0"/>
    <s v="Dougherty, Chris"/>
    <s v="Dougherty, Chris"/>
    <s v="Dougherty, Chris"/>
    <s v="Maguire, Karla"/>
    <x v="1"/>
    <s v="Miscellaneous Charges"/>
    <m/>
    <m/>
    <s v="MISC001"/>
    <m/>
    <m/>
    <m/>
    <s v="None"/>
    <m/>
    <m/>
    <n v="0"/>
    <n v="0.3"/>
    <m/>
    <m/>
    <n v="0.32"/>
    <n v="-0.45"/>
    <n v="0.43"/>
    <n v="-0.34"/>
    <n v="30694.750000000004"/>
    <n v="0.96"/>
    <n v="0"/>
    <n v="0"/>
    <n v="0"/>
    <n v="0"/>
    <n v="0"/>
    <n v="0"/>
    <n v="30695.670000000002"/>
    <n v="30695.370000000003"/>
    <n v="0"/>
    <n v="0.96"/>
    <n v="30695.370000000003"/>
    <m/>
    <n v="30695.370000000003"/>
    <m/>
    <n v="0.32"/>
    <n v="-0.45"/>
    <n v="0.43"/>
    <n v="0"/>
    <n v="0"/>
    <n v="0"/>
    <n v="0"/>
    <n v="0"/>
    <n v="0"/>
    <n v="0"/>
    <n v="0"/>
    <n v="0"/>
    <n v="0.3"/>
    <n v="0.32"/>
    <n v="-0.45"/>
    <n v="0.43"/>
    <n v="0"/>
    <n v="0"/>
    <n v="0"/>
    <n v="0"/>
    <n v="0"/>
    <n v="0"/>
    <n v="0"/>
    <n v="0"/>
    <n v="0"/>
    <n v="0.3"/>
  </r>
  <r>
    <s v="ERP-039"/>
    <x v="0"/>
    <x v="46"/>
    <s v="Hase, Raj_CONTRACTORS_MISC001"/>
    <s v="ERP"/>
    <s v="Patel, Apurva"/>
    <x v="1"/>
    <s v="Hase, Raj"/>
    <s v="Hase, Raj"/>
    <s v="Hase, Raj"/>
    <s v="Hase, Raj"/>
    <x v="0"/>
    <s v="Miscellaneous Charges"/>
    <m/>
    <s v="2329609"/>
    <s v="MISC001"/>
    <m/>
    <m/>
    <m/>
    <m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189"/>
    <x v="0"/>
    <x v="47"/>
    <s v="Hase, Raj_MANAGED SERVICES_MISC001"/>
    <s v="ERP"/>
    <s v="Patel, Apurva"/>
    <x v="1"/>
    <s v="Hase, Raj"/>
    <s v="Hase, Raj"/>
    <s v="Hase, Raj"/>
    <s v="DeHart, Lynn"/>
    <x v="3"/>
    <s v="Miscellaneous Charges"/>
    <m/>
    <m/>
    <s v="MISC001"/>
    <m/>
    <m/>
    <m/>
    <s v="None"/>
    <m/>
    <m/>
    <n v="0"/>
    <n v="0.11999999999999997"/>
    <m/>
    <m/>
    <n v="-0.3"/>
    <n v="0.57999999999999996"/>
    <n v="-0.16"/>
    <n v="0.12"/>
    <n v="-0.5"/>
    <n v="0.41"/>
    <n v="0"/>
    <n v="0"/>
    <n v="0"/>
    <n v="0"/>
    <n v="0"/>
    <n v="0"/>
    <n v="0.14999999999999997"/>
    <n v="0.03"/>
    <n v="0"/>
    <n v="0.41"/>
    <n v="0.03"/>
    <m/>
    <n v="0.03"/>
    <m/>
    <n v="-0.3"/>
    <n v="0.57999999999999996"/>
    <n v="-0.16"/>
    <n v="0"/>
    <n v="0"/>
    <n v="0"/>
    <n v="0"/>
    <n v="0"/>
    <n v="0"/>
    <n v="0"/>
    <n v="0"/>
    <n v="0"/>
    <n v="0.11999999999999997"/>
    <n v="-0.3"/>
    <n v="0.57999999999999996"/>
    <n v="-0.16"/>
    <n v="0"/>
    <n v="0"/>
    <n v="0"/>
    <n v="0"/>
    <n v="0"/>
    <n v="0"/>
    <n v="0"/>
    <n v="0"/>
    <n v="0"/>
    <n v="0.11999999999999997"/>
  </r>
  <r>
    <s v="L-ERP-191"/>
    <x v="0"/>
    <x v="48"/>
    <s v="Hase, Raj_SOFTWARE_MISC001"/>
    <s v="ERP"/>
    <s v="Patel, Apurva"/>
    <x v="1"/>
    <s v="Hase, Raj"/>
    <s v="Hase, Raj"/>
    <s v="Hase, Raj"/>
    <s v="DeHart, Lynn"/>
    <x v="1"/>
    <s v="Miscellaneous Charges"/>
    <m/>
    <m/>
    <s v="MISC001"/>
    <m/>
    <m/>
    <m/>
    <s v="None"/>
    <m/>
    <m/>
    <n v="0"/>
    <n v="0.32999999999999996"/>
    <m/>
    <m/>
    <m/>
    <n v="0.24"/>
    <n v="0.09"/>
    <n v="0"/>
    <n v="0"/>
    <n v="-0.3"/>
    <n v="0"/>
    <n v="0"/>
    <n v="0"/>
    <n v="0"/>
    <n v="0"/>
    <n v="0"/>
    <n v="2.9999999999999971E-2"/>
    <n v="-0.3"/>
    <n v="0"/>
    <n v="-0.3"/>
    <n v="-0.3"/>
    <m/>
    <n v="-0.3"/>
    <m/>
    <m/>
    <n v="0.24"/>
    <n v="0.09"/>
    <n v="0"/>
    <n v="0"/>
    <n v="0"/>
    <n v="0"/>
    <n v="0"/>
    <n v="0"/>
    <n v="0"/>
    <n v="0"/>
    <n v="0"/>
    <n v="0.32999999999999996"/>
    <m/>
    <n v="0.24"/>
    <n v="0.09"/>
    <n v="0"/>
    <n v="0"/>
    <n v="0"/>
    <n v="0"/>
    <n v="0"/>
    <n v="0"/>
    <n v="0"/>
    <n v="0"/>
    <n v="0"/>
    <n v="0.32999999999999996"/>
  </r>
  <r>
    <s v="ERP-040"/>
    <x v="0"/>
    <x v="49"/>
    <s v="Hovanyetz, Mike_CONTRACTORS_MISC001"/>
    <s v="ERP"/>
    <s v="Patel, Apurva"/>
    <x v="3"/>
    <s v="Hovanyetz, Mike"/>
    <s v="Hase, Raj"/>
    <s v="Hovanyetz, Mike"/>
    <s v="Hovanyetz, Mike"/>
    <x v="0"/>
    <s v="Miscellaneous Charges"/>
    <m/>
    <s v="2321347"/>
    <s v="MISC001"/>
    <m/>
    <m/>
    <m/>
    <m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224"/>
    <x v="0"/>
    <x v="50"/>
    <s v="Hovanyetz, Mike_MANAGED SERVICES_MISC001"/>
    <s v="ERP"/>
    <s v="Patel, Apurva"/>
    <x v="3"/>
    <s v="Hovanyetz, Mike"/>
    <s v="Hase, Raj"/>
    <s v="Hovanyetz, Mike"/>
    <s v="DeHart, Lynn"/>
    <x v="3"/>
    <s v="Miscellaneous Charges"/>
    <m/>
    <m/>
    <s v="MISC001"/>
    <m/>
    <m/>
    <m/>
    <s v="None"/>
    <m/>
    <m/>
    <n v="0"/>
    <n v="-0.2"/>
    <m/>
    <m/>
    <n v="-0.48"/>
    <n v="0.28999999999999998"/>
    <n v="-0.01"/>
    <n v="0.06"/>
    <n v="0.16"/>
    <n v="0.08"/>
    <n v="0"/>
    <n v="0"/>
    <n v="0"/>
    <n v="0"/>
    <n v="0"/>
    <n v="0"/>
    <n v="9.9999999999999992E-2"/>
    <n v="0.3"/>
    <n v="0"/>
    <n v="0.08"/>
    <n v="0.3"/>
    <m/>
    <n v="0.3"/>
    <m/>
    <n v="-0.48"/>
    <n v="0.28999999999999998"/>
    <n v="-0.01"/>
    <n v="0"/>
    <n v="0"/>
    <n v="0"/>
    <n v="0"/>
    <n v="0"/>
    <n v="0"/>
    <n v="0"/>
    <n v="0"/>
    <n v="0"/>
    <n v="-0.2"/>
    <n v="-0.48"/>
    <n v="0.28999999999999998"/>
    <n v="-0.01"/>
    <n v="0"/>
    <n v="0"/>
    <n v="0"/>
    <n v="0"/>
    <n v="0"/>
    <n v="0"/>
    <n v="0"/>
    <n v="0"/>
    <n v="0"/>
    <n v="-0.2"/>
  </r>
  <r>
    <s v="L-ERP-225"/>
    <x v="0"/>
    <x v="51"/>
    <s v="Hovanyetz, Mike_SOFTWARE_MISC001"/>
    <s v="ERP"/>
    <s v="Patel, Apurva"/>
    <x v="3"/>
    <s v="Hovanyetz, Mike"/>
    <s v="Hase, Raj"/>
    <s v="Hovanyetz, Mike"/>
    <s v="DeHart, Lynn"/>
    <x v="1"/>
    <s v="Miscellaneous Charges"/>
    <m/>
    <m/>
    <s v="MISC001"/>
    <m/>
    <m/>
    <m/>
    <s v="None"/>
    <m/>
    <m/>
    <n v="0"/>
    <n v="16.46"/>
    <m/>
    <m/>
    <m/>
    <n v="18"/>
    <n v="-1.54"/>
    <n v="-7.0000000000000007E-2"/>
    <n v="0.83"/>
    <n v="-0.54"/>
    <n v="0"/>
    <n v="0"/>
    <n v="0"/>
    <n v="0"/>
    <n v="0"/>
    <n v="0"/>
    <n v="16.68"/>
    <n v="0.21999999999999886"/>
    <n v="0"/>
    <n v="-0.54"/>
    <n v="0.21999999999999886"/>
    <m/>
    <n v="0.21999999999999886"/>
    <m/>
    <m/>
    <n v="18"/>
    <n v="-1.54"/>
    <n v="0"/>
    <n v="0"/>
    <n v="0"/>
    <n v="0"/>
    <n v="0"/>
    <n v="0"/>
    <n v="0"/>
    <n v="0"/>
    <n v="0"/>
    <n v="16.46"/>
    <m/>
    <n v="18"/>
    <n v="-1.54"/>
    <n v="0"/>
    <n v="0"/>
    <n v="0"/>
    <n v="0"/>
    <n v="0"/>
    <n v="0"/>
    <n v="0"/>
    <n v="0"/>
    <n v="0"/>
    <n v="16.46"/>
  </r>
  <r>
    <s v="L-ERP-390"/>
    <x v="0"/>
    <x v="52"/>
    <s v="McGettigan, David_CONTRACTORS_MISC001"/>
    <s v="ERP"/>
    <s v="Patel, Apurva"/>
    <x v="2"/>
    <s v="Patel, Apurva"/>
    <s v="McGettigan, David"/>
    <s v="McGettigan, David"/>
    <s v="McGettigan, David"/>
    <x v="0"/>
    <s v="Miscellaneous Charges"/>
    <m/>
    <m/>
    <s v="MISC001"/>
    <m/>
    <m/>
    <m/>
    <s v="None"/>
    <m/>
    <m/>
    <n v="0"/>
    <n v="-2284.04"/>
    <m/>
    <m/>
    <n v="0.08"/>
    <n v="-0.17"/>
    <n v="-2283.9499999999998"/>
    <n v="5124.1100000000006"/>
    <n v="-6526.2599999999993"/>
    <n v="97626.25"/>
    <n v="0"/>
    <n v="0"/>
    <n v="0"/>
    <n v="0"/>
    <n v="0"/>
    <n v="0"/>
    <n v="93940.06"/>
    <n v="96224.099999999991"/>
    <n v="0"/>
    <n v="97626.25"/>
    <n v="96224.099999999991"/>
    <m/>
    <n v="96224.099999999991"/>
    <m/>
    <n v="0.08"/>
    <n v="-0.17"/>
    <n v="-2283.9499999999998"/>
    <n v="0"/>
    <n v="0"/>
    <n v="0"/>
    <n v="0"/>
    <n v="0"/>
    <n v="0"/>
    <n v="0"/>
    <n v="0"/>
    <n v="0"/>
    <n v="-2284.04"/>
    <n v="0.08"/>
    <n v="-0.17"/>
    <n v="-2283.9499999999998"/>
    <n v="0"/>
    <n v="0"/>
    <n v="0"/>
    <n v="0"/>
    <n v="0"/>
    <n v="0"/>
    <n v="0"/>
    <n v="0"/>
    <n v="0"/>
    <n v="-2284.04"/>
  </r>
  <r>
    <s v="L-ERP-022"/>
    <x v="0"/>
    <x v="53"/>
    <s v="DeHart, Lynn_HW MAINTENANCE_MISC001"/>
    <s v="ERP"/>
    <s v="Patel, Apurva"/>
    <x v="2"/>
    <s v="Patel, Apurva"/>
    <s v="Hase, Raj"/>
    <s v="DeHart, Lynn"/>
    <s v="DeHart, Lynn"/>
    <x v="5"/>
    <s v="Miscellaneous Charges"/>
    <m/>
    <m/>
    <s v="MISC001"/>
    <m/>
    <m/>
    <m/>
    <s v="None"/>
    <m/>
    <m/>
    <n v="0"/>
    <n v="835.42000000000007"/>
    <m/>
    <m/>
    <n v="-0.14000000000000001"/>
    <n v="464.29"/>
    <n v="371.27"/>
    <n v="-0.06"/>
    <n v="2499.4899999999998"/>
    <n v="-0.11"/>
    <n v="0"/>
    <n v="0"/>
    <n v="0"/>
    <n v="0"/>
    <n v="0"/>
    <n v="0"/>
    <n v="3334.74"/>
    <n v="2499.3199999999997"/>
    <n v="0"/>
    <n v="-0.11"/>
    <n v="2499.3199999999997"/>
    <m/>
    <n v="2499.3199999999997"/>
    <m/>
    <n v="-0.14000000000000001"/>
    <n v="464.29"/>
    <n v="371.27"/>
    <n v="0"/>
    <n v="0"/>
    <n v="0"/>
    <n v="0"/>
    <n v="0"/>
    <n v="0"/>
    <n v="0"/>
    <n v="0"/>
    <n v="0"/>
    <n v="835.42000000000007"/>
    <n v="-0.14000000000000001"/>
    <n v="464.29"/>
    <n v="371.27"/>
    <n v="0"/>
    <n v="0"/>
    <n v="0"/>
    <n v="0"/>
    <n v="0"/>
    <n v="0"/>
    <n v="0"/>
    <n v="0"/>
    <n v="0"/>
    <n v="835.42000000000007"/>
  </r>
  <r>
    <s v="L-ERP-411"/>
    <x v="0"/>
    <x v="54"/>
    <s v="McGettigan, David_MANAGED SERVICES_MISC001"/>
    <s v="ERP"/>
    <s v="Patel, Apurva"/>
    <x v="2"/>
    <s v="Patel, Apurva"/>
    <s v="McGettigan, David"/>
    <s v="McGettigan, David"/>
    <s v="McGettigan, David"/>
    <x v="3"/>
    <s v="Miscellaneous Charges"/>
    <m/>
    <m/>
    <s v="MISC001"/>
    <m/>
    <m/>
    <m/>
    <s v="None"/>
    <m/>
    <m/>
    <n v="0"/>
    <n v="1501.59"/>
    <m/>
    <m/>
    <n v="-0.46"/>
    <n v="0.71"/>
    <n v="1501.34"/>
    <n v="0.24"/>
    <n v="0.2"/>
    <n v="1249.95"/>
    <n v="0"/>
    <n v="0"/>
    <n v="0"/>
    <n v="0"/>
    <n v="0"/>
    <n v="0"/>
    <n v="2751.98"/>
    <n v="1250.3900000000001"/>
    <n v="0"/>
    <n v="1249.95"/>
    <n v="1250.3900000000001"/>
    <m/>
    <n v="1250.3900000000001"/>
    <m/>
    <n v="-0.46"/>
    <n v="0.71"/>
    <n v="1501.34"/>
    <n v="0"/>
    <n v="0"/>
    <n v="0"/>
    <n v="0"/>
    <n v="0"/>
    <n v="0"/>
    <n v="0"/>
    <n v="0"/>
    <n v="0"/>
    <n v="1501.59"/>
    <n v="-0.46"/>
    <n v="0.71"/>
    <n v="1501.34"/>
    <n v="0"/>
    <n v="0"/>
    <n v="0"/>
    <n v="0"/>
    <n v="0"/>
    <n v="0"/>
    <n v="0"/>
    <n v="0"/>
    <n v="0"/>
    <n v="1501.59"/>
  </r>
  <r>
    <s v="ERP-047"/>
    <x v="0"/>
    <x v="55"/>
    <s v="McGettigan, David_RENT AND UTILITIES_MISC001"/>
    <s v="ERP"/>
    <s v="Patel, Apurva"/>
    <x v="2"/>
    <s v="Patel, Apurva"/>
    <s v="McGettigan, David"/>
    <s v="McGettigan, David"/>
    <s v="McGettigan, David"/>
    <x v="6"/>
    <s v="Miscellaneous Charges"/>
    <m/>
    <s v="2321210"/>
    <s v="MISC001"/>
    <m/>
    <m/>
    <m/>
    <m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038"/>
    <x v="0"/>
    <x v="56"/>
    <s v="DeHart, Lynn_SOFTWARE_MISC001"/>
    <s v="ERP"/>
    <s v="Patel, Apurva"/>
    <x v="2"/>
    <s v="Patel, Apurva"/>
    <s v="Hase, Raj"/>
    <s v="DeHart, Lynn"/>
    <s v="DeHart, Lynn"/>
    <x v="1"/>
    <s v="Miscellaneous Charges"/>
    <m/>
    <m/>
    <s v="MISC001"/>
    <m/>
    <m/>
    <m/>
    <s v="None"/>
    <m/>
    <m/>
    <n v="0"/>
    <n v="2702.75"/>
    <m/>
    <m/>
    <n v="45.54"/>
    <n v="0.09"/>
    <n v="2657.12"/>
    <n v="12.72"/>
    <n v="29.21"/>
    <n v="7.47"/>
    <n v="0"/>
    <n v="0"/>
    <n v="0"/>
    <n v="0"/>
    <n v="0"/>
    <n v="0"/>
    <n v="2752.1499999999996"/>
    <n v="49.399999999999636"/>
    <n v="0"/>
    <n v="7.47"/>
    <n v="49.399999999999636"/>
    <m/>
    <n v="49.399999999999636"/>
    <m/>
    <n v="45.54"/>
    <n v="0.09"/>
    <n v="2657.12"/>
    <n v="0"/>
    <n v="0"/>
    <n v="0"/>
    <n v="0"/>
    <n v="0"/>
    <n v="0"/>
    <n v="0"/>
    <n v="0"/>
    <n v="0"/>
    <n v="2702.75"/>
    <n v="45.54"/>
    <n v="0.09"/>
    <n v="2657.12"/>
    <n v="0"/>
    <n v="0"/>
    <n v="0"/>
    <n v="0"/>
    <n v="0"/>
    <n v="0"/>
    <n v="0"/>
    <n v="0"/>
    <n v="0"/>
    <n v="2702.75"/>
  </r>
  <r>
    <s v="L-ERP-325"/>
    <x v="1"/>
    <x v="42"/>
    <s v="Maguire, Karla_CONTRACTORS_MISC001"/>
    <s v="ERP"/>
    <s v="Patel, Apurva"/>
    <x v="0"/>
    <s v="Dougherty, Chris"/>
    <s v="Dougherty, Chris"/>
    <s v="Maguire, Karla"/>
    <s v="Maguire, Karla"/>
    <x v="0"/>
    <s v="Miscellaneous Charges"/>
    <m/>
    <m/>
    <s v="MISC001"/>
    <m/>
    <m/>
    <m/>
    <s v="None"/>
    <s v="KP- Could you confirm who this line was transferred to?"/>
    <m/>
    <n v="0"/>
    <n v="1220.75"/>
    <m/>
    <m/>
    <n v="669.53"/>
    <n v="7.26"/>
    <n v="543.96"/>
    <n v="129.34999999999997"/>
    <n v="286.95999999999998"/>
    <n v="206.12999999999997"/>
    <n v="0"/>
    <n v="0"/>
    <n v="0"/>
    <n v="0"/>
    <n v="0"/>
    <n v="0"/>
    <n v="1843.1899999999998"/>
    <n v="622.43999999999983"/>
    <n v="0"/>
    <n v="206.12999999999997"/>
    <n v="622.43999999999983"/>
    <m/>
    <n v="622.43999999999983"/>
    <m/>
    <n v="669.53"/>
    <n v="7.26"/>
    <n v="543.96"/>
    <n v="0"/>
    <n v="0"/>
    <n v="0"/>
    <n v="0"/>
    <n v="0"/>
    <n v="0"/>
    <n v="0"/>
    <n v="0"/>
    <n v="0"/>
    <n v="1220.75"/>
    <n v="669.53"/>
    <n v="7.26"/>
    <n v="543.96"/>
    <n v="0"/>
    <n v="0"/>
    <n v="0"/>
    <n v="0"/>
    <n v="0"/>
    <n v="0"/>
    <n v="0"/>
    <n v="0"/>
    <n v="0"/>
    <n v="1220.75"/>
  </r>
  <r>
    <s v="L-ERP-371"/>
    <x v="1"/>
    <x v="42"/>
    <s v="McCormick, Pete_CONTRACTORS_MISC001"/>
    <s v="ERP"/>
    <s v="Patel, Apurva"/>
    <x v="0"/>
    <s v="McCormick, Pete"/>
    <s v="Dougherty, Chris"/>
    <s v="McCormick, Pete"/>
    <s v="Maguire, Karla"/>
    <x v="0"/>
    <s v="Miscellaneous Charges"/>
    <m/>
    <m/>
    <s v="MISC001"/>
    <m/>
    <m/>
    <m/>
    <s v="None"/>
    <m/>
    <m/>
    <n v="0"/>
    <n v="5030.5599999999995"/>
    <m/>
    <m/>
    <n v="-0.36"/>
    <n v="0.35"/>
    <n v="5030.57"/>
    <n v="0.46"/>
    <n v="0.34"/>
    <n v="-0.41"/>
    <n v="0"/>
    <n v="0"/>
    <n v="0"/>
    <n v="0"/>
    <n v="0"/>
    <n v="0"/>
    <n v="5030.95"/>
    <n v="0.39000000000032742"/>
    <n v="0"/>
    <n v="-0.41"/>
    <n v="0.39000000000032742"/>
    <m/>
    <n v="0.39000000000032742"/>
    <m/>
    <n v="-0.36"/>
    <n v="0.35"/>
    <n v="5030.57"/>
    <n v="0"/>
    <n v="0"/>
    <n v="0"/>
    <n v="0"/>
    <n v="0"/>
    <n v="0"/>
    <n v="0"/>
    <n v="0"/>
    <n v="0"/>
    <n v="5030.5599999999995"/>
    <n v="-0.36"/>
    <n v="0.35"/>
    <n v="5030.57"/>
    <n v="0"/>
    <n v="0"/>
    <n v="0"/>
    <n v="0"/>
    <n v="0"/>
    <n v="0"/>
    <n v="0"/>
    <n v="0"/>
    <n v="0"/>
    <n v="5030.5599999999995"/>
  </r>
  <r>
    <s v="L-ERP-445"/>
    <x v="1"/>
    <x v="42"/>
    <s v="Meadows, Leslie_CONTRACTORS_MISC001"/>
    <s v="ERP"/>
    <s v="Patel, Apurva"/>
    <x v="0"/>
    <s v="Meadows, Leslie"/>
    <s v="Dougherty, Chris"/>
    <s v="Meadows, Leslie"/>
    <s v="Maguire, Karla"/>
    <x v="0"/>
    <s v="Miscellaneous Charges"/>
    <m/>
    <m/>
    <s v="MISC001"/>
    <m/>
    <m/>
    <m/>
    <s v="None"/>
    <m/>
    <m/>
    <n v="0"/>
    <n v="-0.26"/>
    <m/>
    <m/>
    <n v="-0.38"/>
    <n v="0.21"/>
    <n v="-0.09"/>
    <n v="0.14000000000000001"/>
    <n v="0.52"/>
    <n v="-0.63"/>
    <n v="0"/>
    <n v="0"/>
    <n v="0"/>
    <n v="0"/>
    <n v="0"/>
    <n v="0"/>
    <n v="-0.22999999999999998"/>
    <n v="3.0000000000000027E-2"/>
    <n v="0"/>
    <n v="-0.63"/>
    <n v="3.0000000000000027E-2"/>
    <m/>
    <n v="3.0000000000000027E-2"/>
    <m/>
    <n v="-0.38"/>
    <n v="0.21"/>
    <n v="-0.09"/>
    <n v="0"/>
    <n v="0"/>
    <n v="0"/>
    <n v="0"/>
    <n v="0"/>
    <n v="0"/>
    <n v="0"/>
    <n v="0"/>
    <n v="0"/>
    <n v="-0.26"/>
    <n v="-0.38"/>
    <n v="0.21"/>
    <n v="-0.09"/>
    <n v="0"/>
    <n v="0"/>
    <n v="0"/>
    <n v="0"/>
    <n v="0"/>
    <n v="0"/>
    <n v="0"/>
    <n v="0"/>
    <n v="0"/>
    <n v="-0.26"/>
  </r>
  <r>
    <s v="L-ERP-541"/>
    <x v="1"/>
    <x v="42"/>
    <s v="Tamavada, Ram_CONTRACTORS_MISC001"/>
    <s v="ERP"/>
    <s v="Patel, Apurva"/>
    <x v="0"/>
    <s v="Tamavada, Ram"/>
    <s v="Dougherty, Chris"/>
    <s v="Tamavada, Ram"/>
    <s v="Maguire, Karla"/>
    <x v="0"/>
    <s v="Miscellaneous Charges"/>
    <m/>
    <m/>
    <s v="MISC001"/>
    <m/>
    <m/>
    <m/>
    <s v="None"/>
    <s v="KP - May i please get more details on this actual? Can't find it in the actuals file."/>
    <m/>
    <n v="0"/>
    <n v="0.35000000000000003"/>
    <m/>
    <m/>
    <m/>
    <n v="0.01"/>
    <n v="0.34"/>
    <n v="-0.67"/>
    <n v="0.2"/>
    <n v="8111.01"/>
    <n v="0"/>
    <n v="0"/>
    <n v="0"/>
    <n v="0"/>
    <n v="0"/>
    <n v="0"/>
    <n v="8110.89"/>
    <n v="8110.54"/>
    <n v="0"/>
    <n v="8111.01"/>
    <n v="8110.54"/>
    <m/>
    <n v="8110.54"/>
    <m/>
    <m/>
    <n v="0.01"/>
    <n v="0.34"/>
    <n v="0"/>
    <n v="0"/>
    <n v="0"/>
    <n v="0"/>
    <n v="0"/>
    <n v="0"/>
    <n v="0"/>
    <n v="0"/>
    <n v="0"/>
    <n v="0.35000000000000003"/>
    <m/>
    <n v="0.01"/>
    <n v="0.34"/>
    <n v="0"/>
    <n v="0"/>
    <n v="0"/>
    <n v="0"/>
    <n v="0"/>
    <n v="0"/>
    <n v="0"/>
    <n v="0"/>
    <n v="0"/>
    <n v="0.35000000000000003"/>
  </r>
  <r>
    <s v="L-ERP-331"/>
    <x v="1"/>
    <x v="43"/>
    <s v="Maguire, Karla_HW MAINTENANCE_MISC001"/>
    <s v="ERP"/>
    <s v="Patel, Apurva"/>
    <x v="0"/>
    <s v="Dougherty, Chris"/>
    <s v="Dougherty, Chris"/>
    <s v="Maguire, Karla"/>
    <s v="Maguire, Karla"/>
    <x v="5"/>
    <s v="Miscellaneous Charges"/>
    <m/>
    <m/>
    <s v="MISC001"/>
    <m/>
    <m/>
    <m/>
    <s v="None"/>
    <s v="KP- Could you confirm who this line was transferred to?"/>
    <m/>
    <n v="0"/>
    <n v="0.62000000000000011"/>
    <m/>
    <m/>
    <n v="-0.1"/>
    <n v="-0.09"/>
    <n v="0.81"/>
    <n v="-0.53"/>
    <n v="0.61"/>
    <n v="0"/>
    <n v="0"/>
    <n v="0"/>
    <n v="0"/>
    <n v="0"/>
    <n v="0"/>
    <n v="0"/>
    <n v="0.70000000000000007"/>
    <n v="7.999999999999996E-2"/>
    <n v="0"/>
    <n v="0"/>
    <n v="7.999999999999996E-2"/>
    <m/>
    <n v="7.999999999999996E-2"/>
    <m/>
    <n v="-0.1"/>
    <n v="-0.09"/>
    <n v="0.81"/>
    <n v="0"/>
    <n v="0"/>
    <n v="0"/>
    <n v="0"/>
    <n v="0"/>
    <n v="0"/>
    <n v="0"/>
    <n v="0"/>
    <n v="0"/>
    <n v="0.62000000000000011"/>
    <n v="-0.1"/>
    <n v="-0.09"/>
    <n v="0.81"/>
    <n v="0"/>
    <n v="0"/>
    <n v="0"/>
    <n v="0"/>
    <n v="0"/>
    <n v="0"/>
    <n v="0"/>
    <n v="0"/>
    <n v="0"/>
    <n v="0.62000000000000011"/>
  </r>
  <r>
    <s v="L-ERP-097"/>
    <x v="1"/>
    <x v="44"/>
    <s v="Dougherty, Chris_MANAGED SERVICES_MISC001"/>
    <s v="ERP"/>
    <s v="Patel, Apurva"/>
    <x v="0"/>
    <s v="Dougherty, Chris"/>
    <s v="Dougherty, Chris"/>
    <s v="Dougherty, Chris"/>
    <s v="Maguire, Karla"/>
    <x v="3"/>
    <s v="Miscellaneous Charges"/>
    <m/>
    <m/>
    <s v="MISC001"/>
    <m/>
    <m/>
    <m/>
    <s v="None"/>
    <m/>
    <m/>
    <n v="0"/>
    <n v="0.03"/>
    <m/>
    <m/>
    <n v="7.0000000000000007E-2"/>
    <n v="-0.2"/>
    <n v="0.16"/>
    <n v="-0.28999999999999998"/>
    <n v="71439.95"/>
    <n v="1.9999999999999997E-2"/>
    <n v="0"/>
    <n v="0"/>
    <n v="0"/>
    <n v="0"/>
    <n v="0"/>
    <n v="0"/>
    <n v="71439.710000000006"/>
    <n v="71439.680000000008"/>
    <n v="0"/>
    <n v="1.9999999999999997E-2"/>
    <n v="71439.680000000008"/>
    <m/>
    <n v="71439.680000000008"/>
    <m/>
    <n v="7.0000000000000007E-2"/>
    <n v="-0.2"/>
    <n v="0.16"/>
    <n v="0"/>
    <n v="0"/>
    <n v="0"/>
    <n v="0"/>
    <n v="0"/>
    <n v="0"/>
    <n v="0"/>
    <n v="0"/>
    <n v="0"/>
    <n v="0.03"/>
    <n v="7.0000000000000007E-2"/>
    <n v="-0.2"/>
    <n v="0.16"/>
    <n v="0"/>
    <n v="0"/>
    <n v="0"/>
    <n v="0"/>
    <n v="0"/>
    <n v="0"/>
    <n v="0"/>
    <n v="0"/>
    <n v="0"/>
    <n v="0.03"/>
  </r>
  <r>
    <s v="L-ERP-335"/>
    <x v="1"/>
    <x v="44"/>
    <s v="Maguire, Karla_MANAGED SERVICES_MISC001"/>
    <s v="ERP"/>
    <s v="Patel, Apurva"/>
    <x v="0"/>
    <s v="Dougherty, Chris"/>
    <s v="Dougherty, Chris"/>
    <s v="Maguire, Karla"/>
    <s v="Maguire, Karla"/>
    <x v="3"/>
    <s v="Miscellaneous Charges"/>
    <m/>
    <m/>
    <s v="MISC001"/>
    <m/>
    <m/>
    <m/>
    <s v="None"/>
    <s v="KP- Could you confirm who this line was transferred to?"/>
    <m/>
    <n v="0"/>
    <n v="1777.1799999999998"/>
    <m/>
    <m/>
    <n v="843.63"/>
    <n v="-313.26"/>
    <n v="1246.81"/>
    <n v="1159.5900000000001"/>
    <n v="1531.64"/>
    <n v="324.64"/>
    <n v="0"/>
    <n v="0"/>
    <n v="0"/>
    <n v="0"/>
    <n v="0"/>
    <n v="0"/>
    <n v="4793.05"/>
    <n v="3015.8700000000003"/>
    <n v="0"/>
    <n v="324.64"/>
    <n v="3015.8700000000003"/>
    <m/>
    <n v="3015.8700000000003"/>
    <m/>
    <n v="843.63"/>
    <n v="-313.26"/>
    <n v="1246.81"/>
    <n v="0"/>
    <n v="0"/>
    <n v="0"/>
    <n v="0"/>
    <n v="0"/>
    <n v="0"/>
    <n v="0"/>
    <n v="0"/>
    <n v="0"/>
    <n v="1777.1799999999998"/>
    <n v="843.63"/>
    <n v="-313.26"/>
    <n v="1246.81"/>
    <n v="0"/>
    <n v="0"/>
    <n v="0"/>
    <n v="0"/>
    <n v="0"/>
    <n v="0"/>
    <n v="0"/>
    <n v="0"/>
    <n v="0"/>
    <n v="1777.1799999999998"/>
  </r>
  <r>
    <s v="L-ERP-374"/>
    <x v="1"/>
    <x v="44"/>
    <s v="McCormick, Pete_MANAGED SERVICES_MISC001"/>
    <s v="ERP"/>
    <s v="Patel, Apurva"/>
    <x v="0"/>
    <s v="McCormick, Pete"/>
    <s v="Dougherty, Chris"/>
    <s v="McCormick, Pete"/>
    <s v="Maguire, Karla"/>
    <x v="3"/>
    <s v="Miscellaneous Charges"/>
    <m/>
    <m/>
    <s v="MISC001"/>
    <m/>
    <m/>
    <m/>
    <s v="None"/>
    <m/>
    <m/>
    <n v="0"/>
    <n v="-0.12"/>
    <m/>
    <m/>
    <n v="0.02"/>
    <n v="0.04"/>
    <n v="-0.18"/>
    <n v="-0.02"/>
    <n v="0.19"/>
    <n v="-0.36"/>
    <n v="0"/>
    <n v="0"/>
    <n v="0"/>
    <n v="0"/>
    <n v="0"/>
    <n v="0"/>
    <n v="-0.30999999999999994"/>
    <n v="-0.18999999999999995"/>
    <n v="0"/>
    <n v="-0.36"/>
    <n v="-0.18999999999999995"/>
    <m/>
    <n v="-0.18999999999999995"/>
    <m/>
    <n v="0.02"/>
    <n v="0.04"/>
    <n v="-0.18"/>
    <n v="0"/>
    <n v="0"/>
    <n v="0"/>
    <n v="0"/>
    <n v="0"/>
    <n v="0"/>
    <n v="0"/>
    <n v="0"/>
    <n v="0"/>
    <n v="-0.12"/>
    <n v="0.02"/>
    <n v="0.04"/>
    <n v="-0.18"/>
    <n v="0"/>
    <n v="0"/>
    <n v="0"/>
    <n v="0"/>
    <n v="0"/>
    <n v="0"/>
    <n v="0"/>
    <n v="0"/>
    <n v="0"/>
    <n v="-0.12"/>
  </r>
  <r>
    <s v="L-ERP-447"/>
    <x v="1"/>
    <x v="44"/>
    <s v="Meadows, Leslie_MANAGED SERVICES_MISC001"/>
    <s v="ERP"/>
    <s v="Patel, Apurva"/>
    <x v="0"/>
    <s v="Meadows, Leslie"/>
    <s v="Dougherty, Chris"/>
    <s v="Meadows, Leslie"/>
    <s v="Maguire, Karla"/>
    <x v="3"/>
    <s v="Miscellaneous Charges"/>
    <m/>
    <m/>
    <s v="MISC001"/>
    <m/>
    <m/>
    <m/>
    <s v="None"/>
    <m/>
    <m/>
    <n v="0"/>
    <n v="-0.16999999999999998"/>
    <m/>
    <m/>
    <m/>
    <n v="0.42"/>
    <n v="-0.59"/>
    <n v="0.34"/>
    <n v="0.33"/>
    <n v="-0.56999999999999995"/>
    <n v="0"/>
    <n v="0"/>
    <n v="0"/>
    <n v="0"/>
    <n v="0"/>
    <n v="0"/>
    <n v="-6.9999999999999951E-2"/>
    <n v="0.10000000000000003"/>
    <n v="0"/>
    <n v="-0.56999999999999995"/>
    <n v="0.10000000000000003"/>
    <m/>
    <n v="0.10000000000000003"/>
    <m/>
    <m/>
    <n v="0.42"/>
    <n v="-0.59"/>
    <n v="0"/>
    <n v="0"/>
    <n v="0"/>
    <n v="0"/>
    <n v="0"/>
    <n v="0"/>
    <n v="0"/>
    <n v="0"/>
    <n v="0"/>
    <n v="-0.16999999999999998"/>
    <m/>
    <n v="0.42"/>
    <n v="-0.59"/>
    <n v="0"/>
    <n v="0"/>
    <n v="0"/>
    <n v="0"/>
    <n v="0"/>
    <n v="0"/>
    <n v="0"/>
    <n v="0"/>
    <n v="0"/>
    <n v="-0.16999999999999998"/>
  </r>
  <r>
    <s v="L-ERP-340"/>
    <x v="1"/>
    <x v="45"/>
    <s v="Maguire, Karla_SOFTWARE_MISC001"/>
    <s v="ERP"/>
    <s v="Patel, Apurva"/>
    <x v="0"/>
    <s v="Dougherty, Chris"/>
    <s v="Dougherty, Chris"/>
    <s v="Maguire, Karla"/>
    <s v="Maguire, Karla"/>
    <x v="1"/>
    <s v="Miscellaneous Charges"/>
    <m/>
    <m/>
    <s v="MISC001"/>
    <m/>
    <m/>
    <m/>
    <s v="None"/>
    <s v="KP- Could you confirm who this line was transferred to?"/>
    <m/>
    <n v="0"/>
    <n v="-1868.9199999999998"/>
    <m/>
    <m/>
    <n v="0.19"/>
    <n v="-0.3"/>
    <n v="-1868.81"/>
    <n v="0"/>
    <n v="0"/>
    <n v="11.07"/>
    <n v="0"/>
    <n v="0"/>
    <n v="0"/>
    <n v="0"/>
    <n v="0"/>
    <n v="0"/>
    <n v="-1857.85"/>
    <n v="11.069999999999936"/>
    <n v="0"/>
    <n v="11.07"/>
    <n v="11.069999999999936"/>
    <m/>
    <n v="11.069999999999936"/>
    <m/>
    <n v="0.19"/>
    <n v="-0.3"/>
    <n v="-1868.81"/>
    <n v="0"/>
    <n v="0"/>
    <n v="0"/>
    <n v="0"/>
    <n v="0"/>
    <n v="0"/>
    <n v="0"/>
    <n v="0"/>
    <n v="0"/>
    <n v="-1868.9199999999998"/>
    <n v="0.19"/>
    <n v="-0.3"/>
    <n v="-1868.81"/>
    <n v="0"/>
    <n v="0"/>
    <n v="0"/>
    <n v="0"/>
    <n v="0"/>
    <n v="0"/>
    <n v="0"/>
    <n v="0"/>
    <n v="0"/>
    <n v="-1868.9199999999998"/>
  </r>
  <r>
    <s v="L-ERP-377"/>
    <x v="1"/>
    <x v="45"/>
    <s v="McCormick, Pete_SOFTWARE_MISC001"/>
    <s v="ERP"/>
    <s v="Patel, Apurva"/>
    <x v="0"/>
    <s v="McCormick, Pete"/>
    <s v="Dougherty, Chris"/>
    <s v="McCormick, Pete"/>
    <s v="Maguire, Karla"/>
    <x v="1"/>
    <s v="Miscellaneous Charges"/>
    <m/>
    <m/>
    <s v="MISC001"/>
    <m/>
    <m/>
    <m/>
    <s v="None"/>
    <m/>
    <m/>
    <n v="0"/>
    <n v="-0.26"/>
    <m/>
    <m/>
    <n v="-0.15"/>
    <n v="0.31"/>
    <n v="-0.42"/>
    <n v="-8.9999999999918145E-2"/>
    <n v="0.44"/>
    <n v="-0.49"/>
    <n v="0"/>
    <n v="0"/>
    <n v="0"/>
    <n v="0"/>
    <n v="0"/>
    <n v="0"/>
    <n v="-0.39999999999991814"/>
    <n v="-0.13999999999991813"/>
    <n v="0"/>
    <n v="-0.49"/>
    <n v="-0.13999999999991813"/>
    <m/>
    <n v="-0.13999999999991813"/>
    <m/>
    <n v="-0.15"/>
    <n v="0.31"/>
    <n v="-0.42"/>
    <n v="0"/>
    <n v="0"/>
    <n v="0"/>
    <n v="0"/>
    <n v="0"/>
    <n v="0"/>
    <n v="0"/>
    <n v="0"/>
    <n v="0"/>
    <n v="-0.26"/>
    <n v="-0.15"/>
    <n v="0.31"/>
    <n v="-0.42"/>
    <n v="0"/>
    <n v="0"/>
    <n v="0"/>
    <n v="0"/>
    <n v="0"/>
    <n v="0"/>
    <n v="0"/>
    <n v="0"/>
    <n v="0"/>
    <n v="-0.26"/>
  </r>
  <r>
    <s v="L-ERP-448"/>
    <x v="1"/>
    <x v="45"/>
    <s v="Meadows, Leslie_SOFTWARE_MISC001"/>
    <s v="ERP"/>
    <s v="Patel, Apurva"/>
    <x v="0"/>
    <s v="Meadows, Leslie"/>
    <s v="Dougherty, Chris"/>
    <s v="Meadows, Leslie"/>
    <s v="Maguire, Karla"/>
    <x v="1"/>
    <s v="Miscellaneous Charges"/>
    <m/>
    <m/>
    <s v="MISC001"/>
    <m/>
    <m/>
    <m/>
    <s v="None"/>
    <m/>
    <m/>
    <n v="0"/>
    <n v="0.26"/>
    <m/>
    <m/>
    <m/>
    <m/>
    <n v="0.26"/>
    <n v="0"/>
    <n v="0"/>
    <n v="0"/>
    <n v="0"/>
    <n v="0"/>
    <n v="0"/>
    <n v="0"/>
    <n v="0"/>
    <n v="0"/>
    <n v="0.26"/>
    <n v="0"/>
    <n v="0"/>
    <n v="0"/>
    <n v="0"/>
    <m/>
    <n v="0"/>
    <m/>
    <m/>
    <m/>
    <n v="0.26"/>
    <n v="0"/>
    <n v="0"/>
    <n v="0"/>
    <n v="0"/>
    <n v="0"/>
    <n v="0"/>
    <n v="0"/>
    <n v="0"/>
    <n v="0"/>
    <n v="0.26"/>
    <m/>
    <m/>
    <n v="0.26"/>
    <n v="0"/>
    <n v="0"/>
    <n v="0"/>
    <n v="0"/>
    <n v="0"/>
    <n v="0"/>
    <n v="0"/>
    <n v="0"/>
    <n v="0"/>
    <n v="0.26"/>
  </r>
  <r>
    <s v="L-ERP-476"/>
    <x v="1"/>
    <x v="45"/>
    <s v="Patel, Nikunj Rohitkumar_SOFTWARE_MISC001"/>
    <s v="ERP"/>
    <s v="Patel, Apurva"/>
    <x v="0"/>
    <s v="Patel, Nikunj Rohitkumar"/>
    <s v="Dougherty, Chris"/>
    <s v="Patel, Nikunj Rohitkumar"/>
    <s v="Maguire, Karla"/>
    <x v="1"/>
    <s v="Miscellaneous Charges"/>
    <m/>
    <m/>
    <s v="MISC001"/>
    <m/>
    <m/>
    <m/>
    <s v="None"/>
    <m/>
    <m/>
    <n v="0"/>
    <n v="0.13"/>
    <m/>
    <m/>
    <m/>
    <m/>
    <n v="0.13"/>
    <n v="0"/>
    <n v="0"/>
    <n v="0.13"/>
    <n v="0"/>
    <n v="0"/>
    <n v="0"/>
    <n v="0"/>
    <n v="0"/>
    <n v="0"/>
    <n v="0.26"/>
    <n v="0.13"/>
    <n v="0"/>
    <n v="0.13"/>
    <n v="0.13"/>
    <m/>
    <n v="0.13"/>
    <m/>
    <m/>
    <m/>
    <n v="0.13"/>
    <n v="0"/>
    <n v="0"/>
    <n v="0"/>
    <n v="0"/>
    <n v="0"/>
    <n v="0"/>
    <n v="0"/>
    <n v="0"/>
    <n v="0"/>
    <n v="0.13"/>
    <m/>
    <m/>
    <n v="0.13"/>
    <n v="0"/>
    <n v="0"/>
    <n v="0"/>
    <n v="0"/>
    <n v="0"/>
    <n v="0"/>
    <n v="0"/>
    <n v="0"/>
    <n v="0"/>
    <n v="0.13"/>
  </r>
  <r>
    <s v="L-ERP-550"/>
    <x v="1"/>
    <x v="45"/>
    <s v="Tamavada, Ram_SOFTWARE_MISC001"/>
    <s v="ERP"/>
    <s v="Patel, Apurva"/>
    <x v="0"/>
    <s v="Tamavada, Ram"/>
    <s v="Dougherty, Chris"/>
    <s v="Tamavada, Ram"/>
    <s v="Maguire, Karla"/>
    <x v="1"/>
    <s v="Miscellaneous Charges"/>
    <m/>
    <m/>
    <s v="MISC001"/>
    <m/>
    <m/>
    <m/>
    <s v="None"/>
    <s v="KP - May i please get more details on this actual? Can't find it in the actuals file."/>
    <m/>
    <n v="0"/>
    <n v="0.19999999999999996"/>
    <m/>
    <m/>
    <n v="-0.34"/>
    <n v="-0.09"/>
    <n v="0.63"/>
    <n v="-0.98"/>
    <n v="0.75"/>
    <n v="0"/>
    <n v="0"/>
    <n v="0"/>
    <n v="0"/>
    <n v="0"/>
    <n v="0"/>
    <n v="0"/>
    <n v="-3.0000000000000027E-2"/>
    <n v="-0.22999999999999998"/>
    <n v="0"/>
    <n v="0"/>
    <n v="-0.22999999999999998"/>
    <m/>
    <n v="-0.22999999999999998"/>
    <m/>
    <n v="-0.34"/>
    <n v="-0.09"/>
    <n v="0.63"/>
    <n v="0"/>
    <n v="0"/>
    <n v="0"/>
    <n v="0"/>
    <n v="0"/>
    <n v="0"/>
    <n v="0"/>
    <n v="0"/>
    <n v="0"/>
    <n v="0.19999999999999996"/>
    <n v="-0.34"/>
    <n v="-0.09"/>
    <n v="0.63"/>
    <n v="0"/>
    <n v="0"/>
    <n v="0"/>
    <n v="0"/>
    <n v="0"/>
    <n v="0"/>
    <n v="0"/>
    <n v="0"/>
    <n v="0"/>
    <n v="0.19999999999999996"/>
  </r>
  <r>
    <s v="L-ERP-578"/>
    <x v="1"/>
    <x v="46"/>
    <s v="Yeluri, Durga_CONTRACTORS_MISC001"/>
    <s v="ERP"/>
    <s v="Patel, Apurva"/>
    <x v="1"/>
    <s v="Yeluri, Durga"/>
    <s v="Hase, Raj"/>
    <s v="Yeluri, Durga"/>
    <s v="DeHart, Lynn"/>
    <x v="0"/>
    <s v="Miscellaneous Charges"/>
    <m/>
    <m/>
    <s v="MISC001"/>
    <m/>
    <m/>
    <m/>
    <s v="None"/>
    <m/>
    <m/>
    <n v="0"/>
    <n v="0.33999999999999997"/>
    <m/>
    <m/>
    <n v="-0.1"/>
    <n v="0"/>
    <n v="0.44"/>
    <n v="0"/>
    <n v="0"/>
    <n v="0"/>
    <n v="0"/>
    <n v="0"/>
    <n v="0"/>
    <n v="0"/>
    <n v="0"/>
    <n v="0"/>
    <n v="0.33999999999999997"/>
    <n v="0"/>
    <n v="0"/>
    <n v="0"/>
    <n v="0"/>
    <m/>
    <n v="0"/>
    <m/>
    <n v="-0.1"/>
    <n v="0"/>
    <n v="0.44"/>
    <n v="0"/>
    <n v="0"/>
    <n v="0"/>
    <n v="0"/>
    <n v="0"/>
    <n v="0"/>
    <n v="0"/>
    <n v="0"/>
    <n v="0"/>
    <n v="0.33999999999999997"/>
    <n v="-0.1"/>
    <n v="0"/>
    <n v="0.44"/>
    <n v="0"/>
    <n v="0"/>
    <n v="0"/>
    <n v="0"/>
    <n v="0"/>
    <n v="0"/>
    <n v="0"/>
    <n v="0"/>
    <n v="0"/>
    <n v="0.33999999999999997"/>
  </r>
  <r>
    <s v="L-ERP-580"/>
    <x v="1"/>
    <x v="47"/>
    <s v="Yeluri, Durga_MANAGED SERVICES_MISC001"/>
    <s v="ERP"/>
    <s v="Patel, Apurva"/>
    <x v="1"/>
    <s v="Yeluri, Durga"/>
    <s v="Hase, Raj"/>
    <s v="Yeluri, Durga"/>
    <s v="DeHart, Lynn"/>
    <x v="3"/>
    <s v="Miscellaneous Charges"/>
    <m/>
    <m/>
    <s v="MISC001"/>
    <m/>
    <m/>
    <m/>
    <s v="None"/>
    <m/>
    <m/>
    <n v="0"/>
    <n v="-0.18000000000000002"/>
    <m/>
    <m/>
    <n v="-0.24"/>
    <n v="-0.17"/>
    <n v="0.23"/>
    <n v="0.67"/>
    <n v="-0.61"/>
    <n v="-0.32"/>
    <n v="0"/>
    <n v="0"/>
    <n v="0"/>
    <n v="0"/>
    <n v="0"/>
    <n v="0"/>
    <n v="-0.44"/>
    <n v="-0.26"/>
    <n v="0"/>
    <n v="-0.32"/>
    <n v="-0.26"/>
    <m/>
    <n v="-0.26"/>
    <m/>
    <n v="-0.24"/>
    <n v="-0.17"/>
    <n v="0.23"/>
    <n v="0"/>
    <n v="0"/>
    <n v="0"/>
    <n v="0"/>
    <n v="0"/>
    <n v="0"/>
    <n v="0"/>
    <n v="0"/>
    <n v="0"/>
    <n v="-0.18000000000000002"/>
    <n v="-0.24"/>
    <n v="-0.17"/>
    <n v="0.23"/>
    <n v="0"/>
    <n v="0"/>
    <n v="0"/>
    <n v="0"/>
    <n v="0"/>
    <n v="0"/>
    <n v="0"/>
    <n v="0"/>
    <n v="0"/>
    <n v="-0.18000000000000002"/>
  </r>
  <r>
    <s v="L-ERP-583"/>
    <x v="1"/>
    <x v="48"/>
    <s v="Yeluri, Durga_SOFTWARE_MISC001"/>
    <s v="ERP"/>
    <s v="Patel, Apurva"/>
    <x v="1"/>
    <s v="Yeluri, Durga"/>
    <s v="Hase, Raj"/>
    <s v="Yeluri, Durga"/>
    <s v="DeHart, Lynn"/>
    <x v="1"/>
    <s v="Miscellaneous Charges"/>
    <m/>
    <m/>
    <s v="MISC001"/>
    <m/>
    <m/>
    <m/>
    <s v="None"/>
    <m/>
    <m/>
    <n v="0"/>
    <n v="1.999999999999999E-2"/>
    <m/>
    <m/>
    <n v="0.13"/>
    <n v="0.09"/>
    <n v="-0.2"/>
    <n v="0.13"/>
    <n v="-0.53"/>
    <n v="0.73"/>
    <n v="0"/>
    <n v="0"/>
    <n v="0"/>
    <n v="0"/>
    <n v="0"/>
    <n v="0"/>
    <n v="0.35"/>
    <n v="0.32999999999999996"/>
    <n v="0"/>
    <n v="0.73"/>
    <n v="0.32999999999999996"/>
    <m/>
    <n v="0.32999999999999996"/>
    <m/>
    <n v="0.13"/>
    <n v="0.09"/>
    <n v="-0.2"/>
    <n v="0"/>
    <n v="0"/>
    <n v="0"/>
    <n v="0"/>
    <n v="0"/>
    <n v="0"/>
    <n v="0"/>
    <n v="0"/>
    <n v="0"/>
    <n v="1.999999999999999E-2"/>
    <n v="0.13"/>
    <n v="0.09"/>
    <n v="-0.2"/>
    <n v="0"/>
    <n v="0"/>
    <n v="0"/>
    <n v="0"/>
    <n v="0"/>
    <n v="0"/>
    <n v="0"/>
    <n v="0"/>
    <n v="0"/>
    <n v="1.999999999999999E-2"/>
  </r>
  <r>
    <s v="L-ERP-557"/>
    <x v="1"/>
    <x v="49"/>
    <s v="Vaidya, Sachin_CONTRACTORS_MISC001"/>
    <s v="ERP"/>
    <s v="Patel, Apurva"/>
    <x v="3"/>
    <s v="Vaidya, Sachin"/>
    <s v="Hase, Raj"/>
    <s v="Vaidya, Sachin"/>
    <s v="DeHart, Lynn"/>
    <x v="0"/>
    <s v="Miscellaneous Charges"/>
    <m/>
    <m/>
    <s v="MISC001"/>
    <m/>
    <m/>
    <m/>
    <s v="None"/>
    <s v="Sachin (4/30): Not managed by me"/>
    <m/>
    <n v="0"/>
    <n v="0"/>
    <m/>
    <m/>
    <m/>
    <n v="-0.1"/>
    <n v="0.1"/>
    <n v="-0.32"/>
    <n v="0.81"/>
    <n v="-0.28000000000000003"/>
    <m/>
    <m/>
    <m/>
    <m/>
    <m/>
    <m/>
    <n v="0.21000000000000002"/>
    <n v="0.21000000000000002"/>
    <m/>
    <n v="-0.28000000000000003"/>
    <n v="0.21000000000000002"/>
    <m/>
    <n v="0.21000000000000002"/>
    <m/>
    <m/>
    <n v="-0.1"/>
    <n v="0.1"/>
    <m/>
    <m/>
    <m/>
    <m/>
    <m/>
    <m/>
    <m/>
    <m/>
    <m/>
    <n v="0"/>
    <m/>
    <n v="-0.1"/>
    <n v="0.1"/>
    <m/>
    <m/>
    <m/>
    <m/>
    <m/>
    <m/>
    <m/>
    <m/>
    <m/>
    <n v="0"/>
  </r>
  <r>
    <s v="ERP-052"/>
    <x v="1"/>
    <x v="50"/>
    <s v="Vaidya, Sachin_MANAGED SERVICES_MISC001"/>
    <s v="ERP"/>
    <s v="Patel, Apurva"/>
    <x v="3"/>
    <s v="Vaidya, Sachin"/>
    <s v="Hase, Raj"/>
    <s v="Vaidya, Sachin"/>
    <s v="Vaidya, Sachin"/>
    <x v="3"/>
    <s v="Miscellaneous Charges"/>
    <m/>
    <s v="2329610"/>
    <s v="MISC001"/>
    <m/>
    <m/>
    <m/>
    <m/>
    <m/>
    <m/>
    <m/>
    <m/>
    <m/>
    <m/>
    <m/>
    <m/>
    <m/>
    <m/>
    <n v="0"/>
    <n v="0"/>
    <m/>
    <m/>
    <m/>
    <m/>
    <m/>
    <m/>
    <n v="0"/>
    <n v="0"/>
    <m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</r>
  <r>
    <s v="L-ERP-564"/>
    <x v="1"/>
    <x v="51"/>
    <s v="Vaidya, Sachin_SOFTWARE_MISC001"/>
    <s v="ERP"/>
    <s v="Patel, Apurva"/>
    <x v="3"/>
    <s v="Vaidya, Sachin"/>
    <s v="Hase, Raj"/>
    <s v="Vaidya, Sachin"/>
    <s v="DeHart, Lynn"/>
    <x v="1"/>
    <s v="Miscellaneous Charges"/>
    <m/>
    <m/>
    <s v="MISC001"/>
    <m/>
    <m/>
    <m/>
    <s v="None"/>
    <s v="Sachin (4/30): Not managed by me"/>
    <m/>
    <n v="0"/>
    <n v="0.36"/>
    <m/>
    <m/>
    <m/>
    <m/>
    <n v="0.36"/>
    <n v="0"/>
    <n v="0"/>
    <n v="0"/>
    <n v="0"/>
    <n v="0"/>
    <n v="0"/>
    <n v="0"/>
    <n v="0"/>
    <n v="0"/>
    <n v="0.36"/>
    <n v="0"/>
    <n v="0"/>
    <n v="0"/>
    <n v="0"/>
    <m/>
    <n v="0"/>
    <m/>
    <m/>
    <m/>
    <n v="0.36"/>
    <n v="0"/>
    <n v="0"/>
    <n v="0"/>
    <n v="0"/>
    <n v="0"/>
    <n v="0"/>
    <n v="0"/>
    <n v="0"/>
    <n v="0"/>
    <n v="0.36"/>
    <m/>
    <m/>
    <n v="0.36"/>
    <n v="0"/>
    <n v="0"/>
    <n v="0"/>
    <n v="0"/>
    <n v="0"/>
    <n v="0"/>
    <n v="0"/>
    <n v="0"/>
    <n v="0"/>
    <n v="0.36"/>
  </r>
  <r>
    <s v="L-ERP-019"/>
    <x v="1"/>
    <x v="52"/>
    <s v="DeHart, Lynn_CONTRACTORS_MISC001"/>
    <s v="ERP"/>
    <s v="Patel, Apurva"/>
    <x v="2"/>
    <s v="Patel, Apurva"/>
    <s v="Hase, Raj"/>
    <s v="DeHart, Lynn"/>
    <s v="DeHart, Lynn"/>
    <x v="0"/>
    <s v="Miscellaneous Charges"/>
    <m/>
    <m/>
    <s v="MISC001"/>
    <m/>
    <m/>
    <m/>
    <s v="None"/>
    <m/>
    <m/>
    <n v="0"/>
    <n v="19969.14"/>
    <m/>
    <m/>
    <n v="6818.85"/>
    <n v="9998.51"/>
    <n v="3151.78"/>
    <n v="13245.82"/>
    <n v="11713.649999999994"/>
    <n v="24135.279999999999"/>
    <n v="0"/>
    <n v="0"/>
    <n v="0"/>
    <n v="0"/>
    <n v="0"/>
    <n v="0"/>
    <n v="69063.889999999985"/>
    <n v="49094.749999999985"/>
    <n v="0"/>
    <n v="24135.279999999999"/>
    <n v="49094.749999999985"/>
    <m/>
    <n v="49094.749999999985"/>
    <m/>
    <n v="6818.85"/>
    <n v="9998.51"/>
    <n v="3151.78"/>
    <n v="0"/>
    <n v="0"/>
    <n v="0"/>
    <n v="0"/>
    <n v="0"/>
    <n v="0"/>
    <n v="0"/>
    <n v="0"/>
    <n v="0"/>
    <n v="19969.14"/>
    <n v="6818.85"/>
    <n v="9998.51"/>
    <n v="3151.78"/>
    <n v="0"/>
    <n v="0"/>
    <n v="0"/>
    <n v="0"/>
    <n v="0"/>
    <n v="0"/>
    <n v="0"/>
    <n v="0"/>
    <n v="0"/>
    <n v="19969.14"/>
  </r>
  <r>
    <s v="L-ERP-392"/>
    <x v="1"/>
    <x v="53"/>
    <s v="McGettigan, David_HW MAINTENANCE_MISC001"/>
    <s v="ERP"/>
    <s v="Patel, Apurva"/>
    <x v="2"/>
    <s v="Patel, Apurva"/>
    <s v="McGettigan, David"/>
    <s v="McGettigan, David"/>
    <s v="McGettigan, David"/>
    <x v="5"/>
    <s v="Miscellaneous Charges"/>
    <m/>
    <m/>
    <s v="MISC001"/>
    <m/>
    <m/>
    <m/>
    <s v="None"/>
    <m/>
    <m/>
    <n v="0"/>
    <n v="-0.23"/>
    <m/>
    <m/>
    <m/>
    <m/>
    <n v="-0.23"/>
    <n v="-0.01"/>
    <n v="0"/>
    <n v="0"/>
    <n v="0"/>
    <n v="0"/>
    <n v="0"/>
    <n v="0"/>
    <n v="0"/>
    <n v="0"/>
    <n v="-0.24000000000000002"/>
    <n v="-1.0000000000000009E-2"/>
    <n v="0"/>
    <n v="0"/>
    <n v="-1.0000000000000009E-2"/>
    <m/>
    <n v="-1.0000000000000009E-2"/>
    <m/>
    <m/>
    <m/>
    <n v="-0.23"/>
    <n v="0"/>
    <n v="0"/>
    <n v="0"/>
    <n v="0"/>
    <n v="0"/>
    <n v="0"/>
    <n v="0"/>
    <n v="0"/>
    <n v="0"/>
    <n v="-0.23"/>
    <m/>
    <m/>
    <n v="-0.23"/>
    <n v="0"/>
    <n v="0"/>
    <n v="0"/>
    <n v="0"/>
    <n v="0"/>
    <n v="0"/>
    <n v="0"/>
    <n v="0"/>
    <n v="0"/>
    <n v="-0.23"/>
  </r>
  <r>
    <s v="L-ERP-026"/>
    <x v="1"/>
    <x v="54"/>
    <s v="DeHart, Lynn_MANAGED SERVICES_MISC001"/>
    <s v="ERP"/>
    <s v="Patel, Apurva"/>
    <x v="2"/>
    <s v="Patel, Apurva"/>
    <s v="Hase, Raj"/>
    <s v="DeHart, Lynn"/>
    <s v="DeHart, Lynn"/>
    <x v="3"/>
    <s v="Miscellaneous Charges"/>
    <m/>
    <m/>
    <s v="MISC001"/>
    <m/>
    <m/>
    <m/>
    <s v="None"/>
    <m/>
    <m/>
    <n v="0"/>
    <n v="-991.60999999999967"/>
    <m/>
    <m/>
    <n v="2949.13"/>
    <n v="-734.7"/>
    <n v="-3206.04"/>
    <n v="1083.7399999999998"/>
    <n v="2193.66"/>
    <n v="2312.1299999999997"/>
    <n v="0"/>
    <n v="0"/>
    <n v="0"/>
    <n v="0"/>
    <n v="0"/>
    <n v="0"/>
    <n v="4597.92"/>
    <n v="5589.53"/>
    <n v="0"/>
    <n v="2312.1299999999997"/>
    <n v="5589.53"/>
    <m/>
    <n v="5589.53"/>
    <m/>
    <n v="2949.13"/>
    <n v="-734.7"/>
    <n v="-3206.04"/>
    <n v="0"/>
    <n v="0"/>
    <n v="0"/>
    <n v="0"/>
    <n v="0"/>
    <n v="0"/>
    <n v="0"/>
    <n v="0"/>
    <n v="0"/>
    <n v="-991.60999999999967"/>
    <n v="2949.13"/>
    <n v="-734.7"/>
    <n v="-3206.04"/>
    <n v="0"/>
    <n v="0"/>
    <n v="0"/>
    <n v="0"/>
    <n v="0"/>
    <n v="0"/>
    <n v="0"/>
    <n v="0"/>
    <n v="0"/>
    <n v="-991.60999999999967"/>
  </r>
  <r>
    <s v="L-ERP-032"/>
    <x v="1"/>
    <x v="55"/>
    <s v="DeHart, Lynn_RENT AND UTILITIES_MISC001"/>
    <s v="ERP"/>
    <s v="Patel, Apurva"/>
    <x v="2"/>
    <s v="Patel, Apurva"/>
    <s v="Hase, Raj"/>
    <s v="DeHart, Lynn"/>
    <s v="DeHart, Lynn"/>
    <x v="6"/>
    <s v="Miscellaneous Charges"/>
    <m/>
    <m/>
    <s v="MISC001"/>
    <m/>
    <m/>
    <m/>
    <s v="None"/>
    <m/>
    <m/>
    <n v="0"/>
    <n v="7191.02"/>
    <m/>
    <m/>
    <n v="843.69"/>
    <n v="4879.99"/>
    <n v="1467.34"/>
    <s v=""/>
    <n v="0"/>
    <n v="237.8"/>
    <n v="0"/>
    <n v="0"/>
    <n v="0"/>
    <n v="0"/>
    <n v="0"/>
    <n v="0"/>
    <n v="7428.8200000000006"/>
    <n v="237.80000000000018"/>
    <n v="0"/>
    <n v="237.8"/>
    <n v="237.80000000000018"/>
    <m/>
    <n v="237.80000000000018"/>
    <m/>
    <n v="843.69"/>
    <n v="4879.99"/>
    <n v="1467.34"/>
    <n v="0"/>
    <n v="0"/>
    <n v="0"/>
    <n v="0"/>
    <n v="0"/>
    <n v="0"/>
    <n v="0"/>
    <n v="0"/>
    <n v="0"/>
    <n v="7191.02"/>
    <n v="843.69"/>
    <n v="4879.99"/>
    <n v="1467.34"/>
    <n v="0"/>
    <n v="0"/>
    <n v="0"/>
    <n v="0"/>
    <n v="0"/>
    <n v="0"/>
    <n v="0"/>
    <n v="0"/>
    <n v="0"/>
    <n v="7191.02"/>
  </r>
  <r>
    <s v="L-ERP-391"/>
    <x v="1"/>
    <x v="56"/>
    <s v="McGettigan, David_SOFTWARE_MISC001"/>
    <s v="ERP"/>
    <s v="Patel, Apurva"/>
    <x v="2"/>
    <s v="Patel, Apurva"/>
    <s v="McGettigan, David"/>
    <s v="McGettigan, David"/>
    <s v="McGettigan, David"/>
    <x v="1"/>
    <s v="Miscellaneous Charges"/>
    <m/>
    <m/>
    <s v="MISC001"/>
    <m/>
    <m/>
    <m/>
    <s v="None"/>
    <m/>
    <m/>
    <n v="0"/>
    <n v="-711.61"/>
    <m/>
    <m/>
    <n v="-0.39"/>
    <n v="0.11"/>
    <n v="-711.33"/>
    <n v="0"/>
    <n v="0"/>
    <n v="-0.28999999999999998"/>
    <n v="0"/>
    <n v="0"/>
    <n v="0"/>
    <n v="0"/>
    <n v="0"/>
    <n v="0"/>
    <n v="-711.9"/>
    <n v="-0.28999999999996362"/>
    <n v="0"/>
    <n v="-0.28999999999999998"/>
    <n v="-0.28999999999996362"/>
    <m/>
    <n v="-0.28999999999996362"/>
    <m/>
    <n v="-0.39"/>
    <n v="0.11"/>
    <n v="-711.33"/>
    <n v="0"/>
    <n v="0"/>
    <n v="0"/>
    <n v="0"/>
    <n v="0"/>
    <n v="0"/>
    <n v="0"/>
    <n v="0"/>
    <n v="0"/>
    <n v="-711.61"/>
    <n v="-0.39"/>
    <n v="0.11"/>
    <n v="-711.33"/>
    <n v="0"/>
    <n v="0"/>
    <n v="0"/>
    <n v="0"/>
    <n v="0"/>
    <n v="0"/>
    <n v="0"/>
    <n v="0"/>
    <n v="0"/>
    <n v="-711.61"/>
  </r>
  <r>
    <s v="L-ERP-417"/>
    <x v="0"/>
    <x v="57"/>
    <s v="McGettigan, David_OTHER_NondigitalCatering001"/>
    <s v="ERP"/>
    <s v="Patel, Apurva"/>
    <x v="2"/>
    <s v="Patel, Apurva"/>
    <s v="McGettigan, David"/>
    <s v="McGettigan, David"/>
    <s v="McGettigan, David"/>
    <x v="7"/>
    <s v="Non-digital catering charges"/>
    <m/>
    <m/>
    <s v="NondigitalCatering001"/>
    <m/>
    <m/>
    <m/>
    <s v="None"/>
    <m/>
    <m/>
    <n v="0"/>
    <n v="11815.17"/>
    <m/>
    <m/>
    <m/>
    <n v="11815.17"/>
    <n v="0"/>
    <s v=""/>
    <n v="0"/>
    <n v="0"/>
    <n v="0"/>
    <n v="0"/>
    <n v="0"/>
    <n v="0"/>
    <n v="0"/>
    <n v="0"/>
    <n v="11815.17"/>
    <n v="0"/>
    <n v="0"/>
    <n v="0"/>
    <n v="0"/>
    <m/>
    <n v="0"/>
    <m/>
    <m/>
    <n v="11815.17"/>
    <n v="0"/>
    <n v="0"/>
    <n v="0"/>
    <n v="0"/>
    <n v="0"/>
    <n v="0"/>
    <n v="0"/>
    <n v="0"/>
    <n v="0"/>
    <n v="0"/>
    <n v="11815.17"/>
    <m/>
    <n v="11815.17"/>
    <n v="0"/>
    <n v="0"/>
    <n v="0"/>
    <n v="0"/>
    <n v="0"/>
    <n v="0"/>
    <n v="0"/>
    <n v="0"/>
    <n v="0"/>
    <n v="0"/>
    <n v="11815.17"/>
  </r>
  <r>
    <s v="L-ERP-028"/>
    <x v="1"/>
    <x v="57"/>
    <s v="DeHart, Lynn_OTHER_NondigitalCatering001"/>
    <s v="ERP"/>
    <s v="Patel, Apurva"/>
    <x v="2"/>
    <s v="Patel, Apurva"/>
    <s v="Hase, Raj"/>
    <s v="DeHart, Lynn"/>
    <s v="DeHart, Lynn"/>
    <x v="7"/>
    <s v="Non-digital catering charges"/>
    <m/>
    <m/>
    <s v="NondigitalCatering001"/>
    <m/>
    <m/>
    <m/>
    <s v="None"/>
    <m/>
    <m/>
    <n v="0"/>
    <n v="614.69000000000005"/>
    <m/>
    <m/>
    <m/>
    <n v="260.76"/>
    <n v="353.93"/>
    <s v=""/>
    <n v="0"/>
    <n v="0"/>
    <n v="0"/>
    <n v="0"/>
    <n v="0"/>
    <n v="0"/>
    <n v="0"/>
    <n v="0"/>
    <n v="614.69000000000005"/>
    <n v="0"/>
    <n v="0"/>
    <n v="0"/>
    <n v="0"/>
    <m/>
    <n v="0"/>
    <m/>
    <m/>
    <n v="260.76"/>
    <n v="353.93"/>
    <n v="0"/>
    <n v="0"/>
    <n v="0"/>
    <n v="0"/>
    <n v="0"/>
    <n v="0"/>
    <n v="0"/>
    <n v="0"/>
    <n v="0"/>
    <n v="614.69000000000005"/>
    <m/>
    <n v="260.76"/>
    <n v="353.93"/>
    <n v="0"/>
    <n v="0"/>
    <n v="0"/>
    <n v="0"/>
    <n v="0"/>
    <n v="0"/>
    <n v="0"/>
    <n v="0"/>
    <n v="0"/>
    <n v="614.69000000000005"/>
  </r>
  <r>
    <s v="L-ERP-106"/>
    <x v="0"/>
    <x v="58"/>
    <s v="Dougherty, Chris_OTHER_Others001"/>
    <s v="ERP"/>
    <s v="Patel, Apurva"/>
    <x v="0"/>
    <s v="Dougherty, Chris"/>
    <s v="Dougherty, Chris"/>
    <s v="Dougherty, Chris"/>
    <s v="Maguire, Karla"/>
    <x v="7"/>
    <s v="Other"/>
    <m/>
    <m/>
    <s v="Others001"/>
    <m/>
    <m/>
    <m/>
    <s v="Other"/>
    <m/>
    <m/>
    <n v="0"/>
    <n v="69"/>
    <m/>
    <m/>
    <n v="-0.08"/>
    <n v="69.08"/>
    <n v="0"/>
    <n v="61"/>
    <n v="104"/>
    <n v="88"/>
    <n v="0"/>
    <n v="0"/>
    <n v="0"/>
    <n v="0"/>
    <n v="0"/>
    <n v="0"/>
    <n v="322"/>
    <n v="253"/>
    <n v="0"/>
    <n v="88"/>
    <n v="253"/>
    <m/>
    <n v="253"/>
    <m/>
    <n v="-0.08"/>
    <n v="69.08"/>
    <n v="0"/>
    <n v="0"/>
    <n v="0"/>
    <n v="0"/>
    <n v="0"/>
    <n v="0"/>
    <n v="0"/>
    <n v="0"/>
    <n v="0"/>
    <n v="0"/>
    <n v="69"/>
    <n v="-0.08"/>
    <n v="69.08"/>
    <n v="0"/>
    <n v="0"/>
    <n v="0"/>
    <n v="0"/>
    <n v="0"/>
    <n v="0"/>
    <n v="0"/>
    <n v="0"/>
    <n v="0"/>
    <n v="0"/>
    <n v="69"/>
  </r>
  <r>
    <s v="L-ERP-047"/>
    <x v="0"/>
    <x v="59"/>
    <s v="DeHart, Lynn_OTHER_Others001"/>
    <s v="ERP"/>
    <s v="Patel, Apurva"/>
    <x v="2"/>
    <s v="Patel, Apurva"/>
    <s v="Hase, Raj"/>
    <s v="DeHart, Lynn"/>
    <s v="DeHart, Lynn"/>
    <x v="7"/>
    <s v="Other"/>
    <m/>
    <m/>
    <s v="Others001"/>
    <m/>
    <m/>
    <m/>
    <s v="Other"/>
    <m/>
    <m/>
    <n v="0"/>
    <n v="9893.24"/>
    <m/>
    <m/>
    <n v="478.59"/>
    <n v="9120.75"/>
    <n v="293.89999999999998"/>
    <n v="94.080000000000013"/>
    <n v="275.29999999999984"/>
    <n v="-458.89999999999986"/>
    <n v="0"/>
    <n v="0"/>
    <n v="0"/>
    <n v="0"/>
    <n v="0"/>
    <n v="0"/>
    <n v="9803.7199999999993"/>
    <n v="-89.520000000000437"/>
    <n v="0"/>
    <n v="-458.89999999999986"/>
    <n v="-89.520000000000437"/>
    <m/>
    <n v="-89.520000000000437"/>
    <m/>
    <n v="478.59"/>
    <n v="9120.75"/>
    <n v="293.89999999999998"/>
    <n v="0"/>
    <n v="0"/>
    <n v="0"/>
    <n v="0"/>
    <n v="0"/>
    <n v="0"/>
    <n v="0"/>
    <n v="0"/>
    <n v="0"/>
    <n v="9893.24"/>
    <n v="478.59"/>
    <n v="9120.75"/>
    <n v="293.89999999999998"/>
    <n v="0"/>
    <n v="0"/>
    <n v="0"/>
    <n v="0"/>
    <n v="0"/>
    <n v="0"/>
    <n v="0"/>
    <n v="0"/>
    <n v="0"/>
    <n v="9893.24"/>
  </r>
  <r>
    <s v="L-ERP-346"/>
    <x v="1"/>
    <x v="58"/>
    <s v="Maguire, Karla_OTHER_Others001"/>
    <s v="ERP"/>
    <s v="Patel, Apurva"/>
    <x v="0"/>
    <s v="Dougherty, Chris"/>
    <s v="Dougherty, Chris"/>
    <s v="Maguire, Karla"/>
    <s v="Maguire, Karla"/>
    <x v="7"/>
    <s v="Other"/>
    <m/>
    <m/>
    <s v="Others001"/>
    <m/>
    <m/>
    <m/>
    <s v="Other"/>
    <s v="KP- Could you confirm who this line was transferred to?"/>
    <m/>
    <n v="0"/>
    <n v="9271.2199999999993"/>
    <m/>
    <m/>
    <n v="497.32"/>
    <n v="7672.35"/>
    <n v="1101.55"/>
    <n v="216.08999999999983"/>
    <n v="402.42000000000007"/>
    <n v="209.19"/>
    <n v="0"/>
    <n v="0"/>
    <n v="0"/>
    <n v="0"/>
    <n v="0"/>
    <n v="0"/>
    <n v="10098.92"/>
    <n v="827.70000000000073"/>
    <n v="0"/>
    <n v="209.19"/>
    <n v="827.70000000000073"/>
    <m/>
    <n v="827.70000000000073"/>
    <m/>
    <n v="497.32"/>
    <n v="7672.35"/>
    <n v="1101.55"/>
    <n v="0"/>
    <n v="0"/>
    <n v="0"/>
    <n v="0"/>
    <n v="0"/>
    <n v="0"/>
    <n v="0"/>
    <n v="0"/>
    <n v="0"/>
    <n v="9271.2199999999993"/>
    <n v="497.32"/>
    <n v="7672.35"/>
    <n v="1101.55"/>
    <n v="0"/>
    <n v="0"/>
    <n v="0"/>
    <n v="0"/>
    <n v="0"/>
    <n v="0"/>
    <n v="0"/>
    <n v="0"/>
    <n v="0"/>
    <n v="9271.2199999999993"/>
  </r>
  <r>
    <s v="ERP-044"/>
    <x v="1"/>
    <x v="58"/>
    <s v="McCormick, Pete_OTHER_Others001"/>
    <s v="ERP"/>
    <s v="Patel, Apurva"/>
    <x v="0"/>
    <s v="McCormick, Pete"/>
    <s v="Dougherty, Chris"/>
    <s v="McCormick, Pete"/>
    <s v="McCormick, Pete"/>
    <x v="7"/>
    <s v="FEDERAL EXPRESS CORP"/>
    <s v="FEDERAL EXPRESS CORP"/>
    <s v="2329614"/>
    <s v="Others001"/>
    <m/>
    <m/>
    <m/>
    <m/>
    <m/>
    <m/>
    <m/>
    <m/>
    <m/>
    <m/>
    <m/>
    <m/>
    <m/>
    <m/>
    <n v="16"/>
    <n v="0"/>
    <m/>
    <m/>
    <m/>
    <m/>
    <m/>
    <m/>
    <n v="16"/>
    <n v="16"/>
    <m/>
    <n v="0"/>
    <n v="16"/>
    <m/>
    <n v="16"/>
    <m/>
    <m/>
    <m/>
    <m/>
    <m/>
    <m/>
    <m/>
    <m/>
    <m/>
    <m/>
    <m/>
    <m/>
    <m/>
    <m/>
    <m/>
    <m/>
    <m/>
    <m/>
    <m/>
    <m/>
    <m/>
    <m/>
    <m/>
    <m/>
    <m/>
    <m/>
    <m/>
  </r>
  <r>
    <s v="L-ERP-405"/>
    <x v="1"/>
    <x v="59"/>
    <s v="McGettigan, David_OTHER_Others001"/>
    <s v="ERP"/>
    <s v="Patel, Apurva"/>
    <x v="2"/>
    <s v="Patel, Apurva"/>
    <s v="McGettigan, David"/>
    <s v="McGettigan, David"/>
    <s v="McGettigan, David"/>
    <x v="7"/>
    <s v="Other"/>
    <m/>
    <m/>
    <s v="Others001"/>
    <m/>
    <m/>
    <m/>
    <s v="Other"/>
    <m/>
    <m/>
    <n v="0"/>
    <n v="18.829999999999998"/>
    <m/>
    <m/>
    <n v="19"/>
    <n v="-0.17"/>
    <n v="0"/>
    <n v="4245.9400000000005"/>
    <n v="16"/>
    <n v="0"/>
    <n v="0"/>
    <n v="0"/>
    <n v="0"/>
    <n v="0"/>
    <n v="0"/>
    <n v="0"/>
    <n v="4280.7700000000004"/>
    <n v="4261.9400000000005"/>
    <n v="0"/>
    <n v="0"/>
    <n v="4261.9400000000005"/>
    <m/>
    <n v="4261.9400000000005"/>
    <m/>
    <n v="19"/>
    <n v="-0.17"/>
    <n v="0"/>
    <n v="0"/>
    <n v="0"/>
    <n v="0"/>
    <n v="0"/>
    <n v="0"/>
    <n v="0"/>
    <n v="0"/>
    <n v="0"/>
    <n v="0"/>
    <n v="18.829999999999998"/>
    <n v="19"/>
    <n v="-0.17"/>
    <n v="0"/>
    <n v="0"/>
    <n v="0"/>
    <n v="0"/>
    <n v="0"/>
    <n v="0"/>
    <n v="0"/>
    <n v="0"/>
    <n v="0"/>
    <n v="0"/>
    <n v="18.829999999999998"/>
  </r>
  <r>
    <s v="L-ERP-094"/>
    <x v="0"/>
    <x v="60"/>
    <s v="Dougherty, Chris_CONTRACTORS_POClosure001"/>
    <s v="ERP"/>
    <s v="Patel, Apurva"/>
    <x v="0"/>
    <s v="Dougherty, Chris"/>
    <s v="Dougherty, Chris"/>
    <s v="Dougherty, Chris"/>
    <s v="Maguire, Karla"/>
    <x v="0"/>
    <s v="PO Closure Credit"/>
    <m/>
    <m/>
    <s v="POClosure001"/>
    <s v="CHW - Ok"/>
    <m/>
    <m/>
    <s v="None"/>
    <m/>
    <m/>
    <n v="0"/>
    <n v="-16166.66"/>
    <m/>
    <m/>
    <n v="0.34"/>
    <n v="-10499.16"/>
    <n v="-5667.84"/>
    <n v="0"/>
    <n v="0"/>
    <n v="0"/>
    <n v="0"/>
    <n v="0"/>
    <n v="0"/>
    <n v="0"/>
    <n v="0"/>
    <n v="0"/>
    <n v="-16166.66"/>
    <n v="0"/>
    <n v="0"/>
    <n v="0"/>
    <n v="0"/>
    <m/>
    <n v="0"/>
    <m/>
    <n v="0.34"/>
    <n v="-10499.16"/>
    <n v="-5667.84"/>
    <n v="0"/>
    <n v="0"/>
    <n v="0"/>
    <n v="0"/>
    <n v="0"/>
    <n v="0"/>
    <n v="0"/>
    <n v="0"/>
    <n v="0"/>
    <n v="-16166.66"/>
    <n v="0.34"/>
    <n v="-10499.16"/>
    <n v="-5667.84"/>
    <n v="0"/>
    <n v="0"/>
    <n v="0"/>
    <n v="0"/>
    <n v="0"/>
    <n v="0"/>
    <n v="0"/>
    <n v="0"/>
    <n v="0"/>
    <n v="-16166.66"/>
  </r>
  <r>
    <s v="L-ERP-446"/>
    <x v="1"/>
    <x v="60"/>
    <s v="Meadows, Leslie_CONTRACTORS_POClosure001"/>
    <s v="ERP"/>
    <s v="Patel, Apurva"/>
    <x v="0"/>
    <s v="Meadows, Leslie"/>
    <s v="Dougherty, Chris"/>
    <s v="Meadows, Leslie"/>
    <s v="Maguire, Karla"/>
    <x v="0"/>
    <s v="PO Closure Credit"/>
    <m/>
    <m/>
    <s v="POClosure001"/>
    <s v="CHW - Ok"/>
    <m/>
    <m/>
    <s v="None"/>
    <m/>
    <m/>
    <n v="0"/>
    <n v="-14694"/>
    <m/>
    <m/>
    <m/>
    <m/>
    <n v="-14694"/>
    <n v="0"/>
    <n v="0"/>
    <n v="0"/>
    <n v="0"/>
    <n v="0"/>
    <n v="0"/>
    <n v="0"/>
    <n v="0"/>
    <n v="0"/>
    <n v="-14694"/>
    <n v="0"/>
    <n v="0"/>
    <n v="0"/>
    <n v="0"/>
    <m/>
    <n v="0"/>
    <m/>
    <m/>
    <m/>
    <n v="-14694"/>
    <n v="0"/>
    <n v="0"/>
    <n v="0"/>
    <n v="0"/>
    <n v="0"/>
    <n v="0"/>
    <n v="0"/>
    <n v="0"/>
    <n v="0"/>
    <n v="-14694"/>
    <m/>
    <m/>
    <n v="-14694"/>
    <n v="0"/>
    <n v="0"/>
    <n v="0"/>
    <n v="0"/>
    <n v="0"/>
    <n v="0"/>
    <n v="0"/>
    <n v="0"/>
    <n v="0"/>
    <n v="-14694"/>
  </r>
  <r>
    <s v="L-ERP-102"/>
    <x v="0"/>
    <x v="61"/>
    <s v="Dougherty, Chris_TELECOMMUNICATIONS_Telecom001"/>
    <s v="ERP"/>
    <s v="Patel, Apurva"/>
    <x v="0"/>
    <s v="Dougherty, Chris"/>
    <s v="Dougherty, Chris"/>
    <s v="Dougherty, Chris"/>
    <s v="Maguire, Karla"/>
    <x v="8"/>
    <s v="Telecommunications"/>
    <m/>
    <m/>
    <s v="Telecom001"/>
    <m/>
    <m/>
    <m/>
    <s v="None"/>
    <m/>
    <m/>
    <n v="0"/>
    <n v="4741"/>
    <m/>
    <m/>
    <n v="876"/>
    <n v="1712"/>
    <n v="2153"/>
    <n v="1577"/>
    <n v="1546.0000000000002"/>
    <n v="2107.0000000000005"/>
    <n v="0"/>
    <n v="0"/>
    <n v="0"/>
    <n v="0"/>
    <n v="0"/>
    <n v="0"/>
    <n v="9971"/>
    <n v="5230"/>
    <n v="0"/>
    <n v="2107.0000000000005"/>
    <n v="5230"/>
    <m/>
    <n v="5230"/>
    <m/>
    <n v="876"/>
    <n v="1712"/>
    <n v="2153"/>
    <n v="0"/>
    <n v="0"/>
    <n v="0"/>
    <n v="0"/>
    <n v="0"/>
    <n v="0"/>
    <n v="0"/>
    <n v="0"/>
    <n v="0"/>
    <n v="4741"/>
    <n v="876"/>
    <n v="1712"/>
    <n v="2153"/>
    <n v="0"/>
    <n v="0"/>
    <n v="0"/>
    <n v="0"/>
    <n v="0"/>
    <n v="0"/>
    <n v="0"/>
    <n v="0"/>
    <n v="0"/>
    <n v="4741"/>
  </r>
  <r>
    <s v="L-ERP-415"/>
    <x v="0"/>
    <x v="62"/>
    <s v="McGettigan, David_TELECOMMUNICATIONS_Telecom001"/>
    <s v="ERP"/>
    <s v="Patel, Apurva"/>
    <x v="2"/>
    <s v="Patel, Apurva"/>
    <s v="McGettigan, David"/>
    <s v="McGettigan, David"/>
    <s v="McGettigan, David"/>
    <x v="8"/>
    <s v="Telecommunications"/>
    <m/>
    <m/>
    <s v="Telecom001"/>
    <m/>
    <m/>
    <m/>
    <s v="None"/>
    <m/>
    <m/>
    <n v="3200"/>
    <n v="4217.2800000000007"/>
    <m/>
    <m/>
    <n v="470.66"/>
    <n v="1081.01"/>
    <n v="665.61"/>
    <n v="309.95"/>
    <n v="41.64"/>
    <n v="76.3"/>
    <n v="200"/>
    <n v="200"/>
    <n v="200"/>
    <n v="200"/>
    <n v="200"/>
    <n v="200"/>
    <n v="3845.17"/>
    <n v="-372.11000000000058"/>
    <n v="300"/>
    <n v="-223.7"/>
    <n v="-372.11000000000013"/>
    <m/>
    <n v="-372.11000000000058"/>
    <m/>
    <n v="470.66"/>
    <n v="1081.01"/>
    <n v="665.61"/>
    <n v="200"/>
    <n v="300"/>
    <n v="300"/>
    <n v="200"/>
    <n v="200"/>
    <n v="200"/>
    <n v="200"/>
    <n v="200"/>
    <n v="200"/>
    <n v="4217.2800000000007"/>
    <n v="470.66"/>
    <n v="1081.01"/>
    <n v="665.61"/>
    <n v="200"/>
    <n v="300"/>
    <n v="300"/>
    <n v="200"/>
    <n v="200"/>
    <n v="200"/>
    <n v="200"/>
    <n v="200"/>
    <n v="200"/>
    <n v="4217.2800000000007"/>
  </r>
  <r>
    <s v="L-ERP-040"/>
    <x v="1"/>
    <x v="62"/>
    <s v="DeHart, Lynn_TELECOMMUNICATIONS_Telecom001"/>
    <s v="ERP"/>
    <s v="Patel, Apurva"/>
    <x v="2"/>
    <s v="Patel, Apurva"/>
    <s v="Hase, Raj"/>
    <s v="DeHart, Lynn"/>
    <s v="DeHart, Lynn"/>
    <x v="8"/>
    <s v="Telecommunications"/>
    <m/>
    <m/>
    <s v="Telecom001"/>
    <m/>
    <m/>
    <m/>
    <s v="None"/>
    <m/>
    <m/>
    <n v="157900"/>
    <n v="130982.95"/>
    <m/>
    <m/>
    <n v="2896.56"/>
    <n v="3761.9"/>
    <n v="4324.49"/>
    <n v="5457.6899999999987"/>
    <n v="8526.0100000000039"/>
    <n v="5199.119999999999"/>
    <n v="13500"/>
    <n v="13700"/>
    <n v="13700"/>
    <n v="13700"/>
    <n v="13800"/>
    <n v="13800"/>
    <n v="112365.77"/>
    <n v="-18617.179999999993"/>
    <n v="12300"/>
    <n v="-7100.880000000001"/>
    <n v="-18617.179999999997"/>
    <m/>
    <n v="-18617.179999999993"/>
    <m/>
    <n v="2896.56"/>
    <n v="3761.9"/>
    <n v="4324.49"/>
    <n v="12300"/>
    <n v="12300"/>
    <n v="13200"/>
    <n v="13500"/>
    <n v="13700"/>
    <n v="13700"/>
    <n v="13700"/>
    <n v="13800"/>
    <n v="13800"/>
    <n v="130982.95"/>
    <n v="2896.56"/>
    <n v="3761.9"/>
    <n v="4324.49"/>
    <n v="12300"/>
    <n v="12300"/>
    <n v="13200"/>
    <n v="13500"/>
    <n v="13700"/>
    <n v="13700"/>
    <n v="13700"/>
    <n v="13800"/>
    <n v="13800"/>
    <n v="130982.95"/>
  </r>
  <r>
    <s v="L-ERP-341"/>
    <x v="1"/>
    <x v="61"/>
    <s v="Maguire, Karla_TELECOMMUNICATIONS_Telecom001"/>
    <s v="ERP"/>
    <s v="Patel, Apurva"/>
    <x v="0"/>
    <s v="Dougherty, Chris"/>
    <s v="Dougherty, Chris"/>
    <s v="Maguire, Karla"/>
    <s v="Maguire, Karla"/>
    <x v="8"/>
    <s v="Telecommunications"/>
    <m/>
    <m/>
    <s v="Telecom001"/>
    <m/>
    <m/>
    <m/>
    <s v="None"/>
    <s v="KP- Could you confirm who this line was transferred to?"/>
    <m/>
    <n v="78300"/>
    <n v="62093.21"/>
    <m/>
    <m/>
    <n v="350.82"/>
    <n v="683.3"/>
    <n v="1259.0899999999999"/>
    <n v="404.51000000000005"/>
    <n v="2183.5099999999993"/>
    <n v="2294.7200000000003"/>
    <n v="6500"/>
    <n v="6500"/>
    <n v="6900"/>
    <n v="6900"/>
    <n v="6900"/>
    <n v="6900"/>
    <n v="47775.95"/>
    <n v="-14317.260000000002"/>
    <n v="6400"/>
    <n v="-4105.28"/>
    <n v="-14317.259999999998"/>
    <m/>
    <n v="-14317.260000000002"/>
    <m/>
    <n v="350.82"/>
    <n v="683.3"/>
    <n v="1259.0899999999999"/>
    <n v="6400"/>
    <n v="6400"/>
    <n v="6400"/>
    <n v="6500"/>
    <n v="6500"/>
    <n v="6900"/>
    <n v="6900"/>
    <n v="6900"/>
    <n v="6900"/>
    <n v="62093.21"/>
    <n v="350.82"/>
    <n v="683.3"/>
    <n v="1259.0899999999999"/>
    <n v="6400"/>
    <n v="6400"/>
    <n v="6400"/>
    <n v="6500"/>
    <n v="6500"/>
    <n v="6900"/>
    <n v="6900"/>
    <n v="6900"/>
    <n v="6900"/>
    <n v="62093.21"/>
  </r>
  <r>
    <s v="L-ERP-122"/>
    <x v="0"/>
    <x v="63"/>
    <s v="Dougherty, Chris_TRAVEL &amp; ENTERTAINMENT_TravelEnt001"/>
    <s v="ERP"/>
    <s v="Patel, Apurva"/>
    <x v="0"/>
    <s v="Dougherty, Chris"/>
    <s v="Dougherty, Chris"/>
    <s v="Dougherty, Chris"/>
    <s v="Maguire, Karla"/>
    <x v="9"/>
    <s v="Travel and Entertainment"/>
    <m/>
    <m/>
    <s v="TravelEnt001"/>
    <m/>
    <s v="N/A"/>
    <m/>
    <s v="T&amp;E"/>
    <m/>
    <m/>
    <n v="0"/>
    <n v="4"/>
    <m/>
    <m/>
    <m/>
    <n v="-101"/>
    <n v="105"/>
    <n v="479"/>
    <n v="66"/>
    <n v="2208.0000000000005"/>
    <n v="0"/>
    <n v="0"/>
    <n v="0"/>
    <n v="0"/>
    <n v="0"/>
    <n v="0"/>
    <n v="2757.0000000000005"/>
    <n v="2753.0000000000005"/>
    <n v="0"/>
    <n v="2208.0000000000005"/>
    <n v="2753.0000000000005"/>
    <m/>
    <n v="2753.0000000000005"/>
    <m/>
    <m/>
    <n v="-101"/>
    <n v="105"/>
    <n v="0"/>
    <n v="0"/>
    <n v="0"/>
    <n v="0"/>
    <n v="0"/>
    <n v="0"/>
    <n v="0"/>
    <n v="0"/>
    <n v="0"/>
    <n v="4"/>
    <m/>
    <n v="-101"/>
    <n v="105"/>
    <n v="0"/>
    <n v="0"/>
    <n v="0"/>
    <n v="0"/>
    <n v="0"/>
    <n v="0"/>
    <n v="0"/>
    <n v="0"/>
    <n v="0"/>
    <n v="4"/>
  </r>
  <r>
    <s v="L-ERP-384"/>
    <x v="0"/>
    <x v="64"/>
    <s v="McGettigan, David_TRAVEL &amp; ENTERTAINMENT_TravelEnt001"/>
    <s v="ERP"/>
    <s v="Patel, Apurva"/>
    <x v="2"/>
    <s v="Patel, Apurva"/>
    <s v="McGettigan, David"/>
    <s v="McGettigan, David"/>
    <s v="McGettigan, David"/>
    <x v="9"/>
    <s v="Travel and Entertainment"/>
    <m/>
    <m/>
    <s v="TravelEnt001"/>
    <m/>
    <s v="N/A"/>
    <m/>
    <s v="T&amp;E"/>
    <m/>
    <m/>
    <n v="0"/>
    <n v="-468023.23"/>
    <m/>
    <m/>
    <n v="-478537.04"/>
    <n v="11513.92"/>
    <n v="-1000.11"/>
    <n v="5133"/>
    <n v="288"/>
    <n v="864"/>
    <n v="0"/>
    <n v="0"/>
    <n v="0"/>
    <n v="0"/>
    <n v="0"/>
    <n v="0"/>
    <n v="-461738.23"/>
    <n v="6285"/>
    <n v="0"/>
    <n v="864"/>
    <n v="6285"/>
    <m/>
    <n v="6285"/>
    <m/>
    <n v="-478537.04"/>
    <n v="11513.92"/>
    <n v="-1000.11"/>
    <n v="0"/>
    <n v="0"/>
    <n v="0"/>
    <n v="0"/>
    <n v="0"/>
    <n v="0"/>
    <n v="0"/>
    <n v="0"/>
    <n v="0"/>
    <n v="-468023.23"/>
    <n v="-478537.04"/>
    <n v="11513.92"/>
    <n v="-1000.11"/>
    <n v="0"/>
    <n v="0"/>
    <n v="0"/>
    <n v="0"/>
    <n v="0"/>
    <n v="0"/>
    <n v="0"/>
    <n v="0"/>
    <n v="0"/>
    <n v="-468023.23"/>
  </r>
  <r>
    <s v="L-ERP-049"/>
    <x v="1"/>
    <x v="64"/>
    <s v="DeHart, Lynn_TRAVEL &amp; ENTERTAINMENT_TravelEnt001"/>
    <s v="ERP"/>
    <s v="Patel, Apurva"/>
    <x v="2"/>
    <s v="Patel, Apurva"/>
    <s v="Hase, Raj"/>
    <s v="DeHart, Lynn"/>
    <s v="DeHart, Lynn"/>
    <x v="9"/>
    <s v="Travel and Entertainment"/>
    <m/>
    <m/>
    <s v="TravelEnt001"/>
    <m/>
    <s v="N/A"/>
    <m/>
    <s v="T&amp;E"/>
    <m/>
    <m/>
    <n v="0"/>
    <n v="23976.370000000003"/>
    <m/>
    <m/>
    <n v="10095.790000000001"/>
    <n v="9921.4500000000007"/>
    <n v="3959.13"/>
    <n v="7339.65"/>
    <n v="-891.2900000000003"/>
    <n v="4400.72"/>
    <n v="0"/>
    <n v="0"/>
    <n v="0"/>
    <n v="0"/>
    <n v="0"/>
    <n v="0"/>
    <n v="34825.450000000004"/>
    <n v="10849.080000000002"/>
    <n v="0"/>
    <n v="4400.72"/>
    <n v="10849.080000000002"/>
    <m/>
    <n v="10849.080000000002"/>
    <m/>
    <n v="10095.790000000001"/>
    <n v="9921.4500000000007"/>
    <n v="3959.13"/>
    <n v="0"/>
    <n v="0"/>
    <n v="0"/>
    <n v="0"/>
    <n v="0"/>
    <n v="0"/>
    <n v="0"/>
    <n v="0"/>
    <n v="0"/>
    <n v="23976.370000000003"/>
    <n v="10095.790000000001"/>
    <n v="9921.4500000000007"/>
    <n v="3959.13"/>
    <n v="0"/>
    <n v="0"/>
    <n v="0"/>
    <n v="0"/>
    <n v="0"/>
    <n v="0"/>
    <n v="0"/>
    <n v="0"/>
    <n v="0"/>
    <n v="23976.370000000003"/>
  </r>
  <r>
    <s v="L-ERP-347"/>
    <x v="1"/>
    <x v="63"/>
    <s v="Maguire, Karla_TRAVEL &amp; ENTERTAINMENT_TravelEnt001"/>
    <s v="ERP"/>
    <s v="Patel, Apurva"/>
    <x v="0"/>
    <s v="Dougherty, Chris"/>
    <s v="Dougherty, Chris"/>
    <s v="Maguire, Karla"/>
    <s v="Maguire, Karla"/>
    <x v="9"/>
    <s v="Travel and Entertainment"/>
    <m/>
    <m/>
    <s v="TravelEnt001"/>
    <m/>
    <s v="N/A"/>
    <m/>
    <s v="T&amp;E"/>
    <s v="KP- Could you confirm who this line was transferred to?"/>
    <m/>
    <n v="0"/>
    <n v="7225.12"/>
    <m/>
    <m/>
    <n v="302.32"/>
    <n v="-468.02"/>
    <n v="7390.82"/>
    <n v="10390.350000000002"/>
    <n v="-6560.7800000000007"/>
    <n v="1751.47"/>
    <n v="0"/>
    <n v="0"/>
    <n v="0"/>
    <n v="0"/>
    <n v="0"/>
    <n v="0"/>
    <n v="12806.16"/>
    <n v="5581.04"/>
    <n v="0"/>
    <n v="1751.47"/>
    <n v="5581.04"/>
    <m/>
    <n v="5581.04"/>
    <m/>
    <n v="302.32"/>
    <n v="-468.02"/>
    <n v="7390.82"/>
    <n v="0"/>
    <n v="0"/>
    <n v="0"/>
    <n v="0"/>
    <n v="0"/>
    <n v="0"/>
    <n v="0"/>
    <n v="0"/>
    <n v="0"/>
    <n v="7225.12"/>
    <n v="302.32"/>
    <n v="-468.02"/>
    <n v="7390.82"/>
    <n v="0"/>
    <n v="0"/>
    <n v="0"/>
    <n v="0"/>
    <n v="0"/>
    <n v="0"/>
    <n v="0"/>
    <n v="0"/>
    <n v="0"/>
    <n v="7225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68B7F-D4BD-42B5-86C1-24CAEF41FE9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V607" firstHeaderRow="0" firstDataRow="1" firstDataCol="4"/>
  <pivotFields count="71">
    <pivotField compact="0" outline="0" showAll="0"/>
    <pivotField axis="axisRow" compact="0" outline="0" showAll="0" defaultSubtotal="0">
      <items count="581">
        <item x="56"/>
        <item x="57"/>
        <item x="58"/>
        <item x="0"/>
        <item x="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1"/>
        <item x="45"/>
        <item x="46"/>
        <item x="47"/>
        <item x="48"/>
        <item x="49"/>
        <item x="50"/>
        <item x="51"/>
        <item x="52"/>
        <item x="53"/>
        <item x="54"/>
        <item x="55"/>
        <item x="59"/>
        <item sd="0" x="31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9"/>
        <item x="150"/>
        <item x="151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47"/>
        <item x="148"/>
        <item x="152"/>
        <item x="153"/>
        <item x="154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58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200"/>
        <item x="201"/>
        <item x="209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268"/>
        <item x="269"/>
        <item x="270"/>
        <item x="433"/>
        <item x="434"/>
        <item x="435"/>
        <item x="436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295"/>
        <item x="296"/>
        <item x="3"/>
        <item x="409"/>
        <item x="4"/>
        <item x="410"/>
        <item x="440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6"/>
        <item x="497"/>
        <item x="498"/>
        <item x="5"/>
        <item x="413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35"/>
        <item x="40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37"/>
        <item x="37"/>
        <item x="43"/>
        <item x="2"/>
        <item x="22"/>
        <item x="42"/>
        <item x="44"/>
        <item x="439"/>
        <item x="559"/>
        <item x="471"/>
        <item x="472"/>
        <item x="473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494"/>
        <item x="49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2"/>
        <item x="0"/>
        <item x="3"/>
        <item x="6"/>
        <item x="7"/>
        <item x="8"/>
        <item x="4"/>
        <item x="10"/>
        <item x="9"/>
        <item x="5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363">
        <item x="115"/>
        <item x="72"/>
        <item x="116"/>
        <item x="267"/>
        <item x="275"/>
        <item x="276"/>
        <item x="117"/>
        <item x="118"/>
        <item x="73"/>
        <item x="74"/>
        <item x="75"/>
        <item x="226"/>
        <item x="227"/>
        <item x="303"/>
        <item x="322"/>
        <item x="268"/>
        <item x="119"/>
        <item x="269"/>
        <item x="120"/>
        <item x="228"/>
        <item x="304"/>
        <item x="229"/>
        <item x="305"/>
        <item x="306"/>
        <item x="298"/>
        <item x="356"/>
        <item x="121"/>
        <item x="277"/>
        <item x="278"/>
        <item x="57"/>
        <item x="58"/>
        <item x="59"/>
        <item x="76"/>
        <item x="77"/>
        <item x="78"/>
        <item x="122"/>
        <item x="123"/>
        <item x="79"/>
        <item x="124"/>
        <item x="125"/>
        <item x="60"/>
        <item x="80"/>
        <item x="61"/>
        <item x="62"/>
        <item x="63"/>
        <item x="64"/>
        <item x="65"/>
        <item x="81"/>
        <item x="66"/>
        <item x="323"/>
        <item x="270"/>
        <item x="324"/>
        <item x="325"/>
        <item x="326"/>
        <item x="327"/>
        <item x="2"/>
        <item x="0"/>
        <item x="3"/>
        <item x="295"/>
        <item x="4"/>
        <item x="55"/>
        <item x="1"/>
        <item x="6"/>
        <item x="351"/>
        <item x="5"/>
        <item x="296"/>
        <item x="328"/>
        <item x="329"/>
        <item x="330"/>
        <item x="82"/>
        <item x="310"/>
        <item x="283"/>
        <item x="311"/>
        <item x="312"/>
        <item x="313"/>
        <item x="314"/>
        <item x="284"/>
        <item x="285"/>
        <item x="230"/>
        <item x="315"/>
        <item x="7"/>
        <item x="231"/>
        <item x="286"/>
        <item x="232"/>
        <item x="8"/>
        <item x="233"/>
        <item x="234"/>
        <item x="235"/>
        <item x="331"/>
        <item x="316"/>
        <item x="9"/>
        <item x="10"/>
        <item x="11"/>
        <item x="12"/>
        <item x="13"/>
        <item x="14"/>
        <item x="15"/>
        <item x="16"/>
        <item x="17"/>
        <item x="18"/>
        <item x="332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236"/>
        <item x="33"/>
        <item x="292"/>
        <item x="237"/>
        <item x="279"/>
        <item x="34"/>
        <item x="83"/>
        <item x="271"/>
        <item x="84"/>
        <item x="36"/>
        <item x="38"/>
        <item x="39"/>
        <item x="287"/>
        <item x="85"/>
        <item x="86"/>
        <item x="342"/>
        <item x="343"/>
        <item x="87"/>
        <item x="41"/>
        <item x="266"/>
        <item x="44"/>
        <item x="88"/>
        <item x="89"/>
        <item x="288"/>
        <item x="238"/>
        <item x="239"/>
        <item x="240"/>
        <item x="357"/>
        <item x="358"/>
        <item x="359"/>
        <item x="90"/>
        <item x="91"/>
        <item x="45"/>
        <item x="46"/>
        <item x="92"/>
        <item x="93"/>
        <item x="241"/>
        <item x="247"/>
        <item x="248"/>
        <item x="249"/>
        <item x="242"/>
        <item x="94"/>
        <item x="95"/>
        <item x="96"/>
        <item x="97"/>
        <item x="289"/>
        <item x="333"/>
        <item x="98"/>
        <item x="317"/>
        <item x="99"/>
        <item x="47"/>
        <item x="318"/>
        <item x="320"/>
        <item x="243"/>
        <item x="250"/>
        <item x="48"/>
        <item x="244"/>
        <item x="319"/>
        <item x="245"/>
        <item x="251"/>
        <item x="252"/>
        <item x="253"/>
        <item x="254"/>
        <item x="49"/>
        <item x="272"/>
        <item x="50"/>
        <item x="344"/>
        <item x="51"/>
        <item x="52"/>
        <item x="334"/>
        <item x="345"/>
        <item x="335"/>
        <item x="336"/>
        <item x="337"/>
        <item x="338"/>
        <item x="100"/>
        <item x="126"/>
        <item x="67"/>
        <item x="127"/>
        <item x="101"/>
        <item x="128"/>
        <item x="68"/>
        <item x="69"/>
        <item x="70"/>
        <item x="71"/>
        <item x="102"/>
        <item x="103"/>
        <item x="341"/>
        <item x="346"/>
        <item x="360"/>
        <item x="361"/>
        <item x="53"/>
        <item x="104"/>
        <item x="105"/>
        <item x="106"/>
        <item x="107"/>
        <item x="108"/>
        <item x="347"/>
        <item x="109"/>
        <item x="273"/>
        <item x="297"/>
        <item x="290"/>
        <item x="291"/>
        <item x="339"/>
        <item x="340"/>
        <item x="22"/>
        <item x="129"/>
        <item x="130"/>
        <item x="131"/>
        <item x="132"/>
        <item x="256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12"/>
        <item x="178"/>
        <item x="179"/>
        <item x="180"/>
        <item x="299"/>
        <item x="300"/>
        <item x="257"/>
        <item x="181"/>
        <item x="182"/>
        <item x="258"/>
        <item x="280"/>
        <item x="183"/>
        <item x="184"/>
        <item x="185"/>
        <item x="186"/>
        <item x="187"/>
        <item x="188"/>
        <item x="189"/>
        <item x="190"/>
        <item x="246"/>
        <item x="191"/>
        <item x="352"/>
        <item x="259"/>
        <item x="192"/>
        <item x="193"/>
        <item x="194"/>
        <item x="195"/>
        <item x="196"/>
        <item x="197"/>
        <item x="198"/>
        <item x="199"/>
        <item x="200"/>
        <item x="201"/>
        <item x="113"/>
        <item x="202"/>
        <item x="203"/>
        <item x="260"/>
        <item x="261"/>
        <item x="262"/>
        <item x="263"/>
        <item x="264"/>
        <item x="204"/>
        <item x="265"/>
        <item x="110"/>
        <item x="205"/>
        <item x="206"/>
        <item x="207"/>
        <item x="208"/>
        <item x="353"/>
        <item x="354"/>
        <item x="355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111"/>
        <item x="274"/>
        <item x="222"/>
        <item x="348"/>
        <item x="223"/>
        <item x="281"/>
        <item x="282"/>
        <item x="362"/>
        <item x="224"/>
        <item x="225"/>
        <item x="293"/>
        <item x="294"/>
        <item x="301"/>
        <item x="302"/>
        <item x="321"/>
        <item x="54"/>
        <item x="350"/>
        <item x="349"/>
        <item x="35"/>
        <item x="56"/>
        <item x="255"/>
        <item x="307"/>
        <item x="37"/>
        <item x="40"/>
        <item x="42"/>
        <item x="43"/>
        <item x="308"/>
        <item x="309"/>
        <item x="114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6">
        <item x="4"/>
        <item x="47"/>
        <item x="12"/>
        <item x="14"/>
        <item x="45"/>
        <item x="26"/>
        <item x="23"/>
        <item x="21"/>
        <item x="20"/>
        <item x="54"/>
        <item x="55"/>
        <item x="15"/>
        <item x="59"/>
        <item x="22"/>
        <item x="16"/>
        <item x="11"/>
        <item x="30"/>
        <item x="17"/>
        <item x="18"/>
        <item x="53"/>
        <item x="62"/>
        <item x="51"/>
        <item x="27"/>
        <item x="63"/>
        <item x="40"/>
        <item x="1"/>
        <item x="60"/>
        <item x="50"/>
        <item x="61"/>
        <item x="29"/>
        <item x="9"/>
        <item x="3"/>
        <item x="64"/>
        <item x="6"/>
        <item x="19"/>
        <item x="28"/>
        <item x="36"/>
        <item x="58"/>
        <item x="48"/>
        <item x="8"/>
        <item x="46"/>
        <item x="0"/>
        <item x="32"/>
        <item x="7"/>
        <item x="57"/>
        <item x="44"/>
        <item x="13"/>
        <item x="38"/>
        <item x="56"/>
        <item x="41"/>
        <item x="5"/>
        <item x="33"/>
        <item x="43"/>
        <item x="34"/>
        <item x="24"/>
        <item x="39"/>
        <item x="42"/>
        <item x="37"/>
        <item x="25"/>
        <item x="35"/>
        <item x="31"/>
        <item x="52"/>
        <item x="49"/>
        <item x="1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67" outline="0" showAll="0"/>
    <pivotField compact="0" outline="0" showAll="0"/>
    <pivotField compact="0" numFmtId="167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0"/>
    <field x="1"/>
    <field x="14"/>
    <field x="18"/>
  </rowFields>
  <rowItems count="604">
    <i>
      <x/>
      <x/>
      <x v="57"/>
      <x v="41"/>
    </i>
    <i r="1">
      <x v="1"/>
      <x v="59"/>
      <x v="41"/>
    </i>
    <i r="1">
      <x v="2"/>
      <x v="60"/>
      <x v="41"/>
    </i>
    <i r="1">
      <x v="251"/>
      <x v="57"/>
      <x v="41"/>
    </i>
    <i r="1">
      <x v="252"/>
      <x v="59"/>
      <x v="41"/>
    </i>
    <i r="1">
      <x v="253"/>
      <x v="60"/>
      <x v="41"/>
    </i>
    <i r="1">
      <x v="318"/>
      <x v="60"/>
      <x v="41"/>
    </i>
    <i r="1">
      <x v="414"/>
      <x v="57"/>
      <x v="41"/>
    </i>
    <i r="1">
      <x v="415"/>
      <x v="59"/>
      <x v="41"/>
    </i>
    <i r="1">
      <x v="416"/>
      <x v="60"/>
      <x v="41"/>
    </i>
    <i r="1">
      <x v="451"/>
      <x v="57"/>
      <x v="41"/>
    </i>
    <i r="1">
      <x v="452"/>
      <x v="58"/>
      <x v="41"/>
    </i>
    <i r="1">
      <x v="453"/>
      <x v="59"/>
      <x v="41"/>
    </i>
    <i r="1">
      <x v="454"/>
      <x v="60"/>
      <x v="41"/>
    </i>
    <i r="1">
      <x v="455"/>
      <x v="361"/>
      <x v="48"/>
    </i>
    <i r="1">
      <x v="555"/>
      <x v="57"/>
      <x v="41"/>
    </i>
    <i r="1">
      <x v="556"/>
      <x v="59"/>
      <x v="41"/>
    </i>
    <i r="1">
      <x v="557"/>
      <x v="60"/>
      <x v="41"/>
    </i>
    <i t="default">
      <x/>
    </i>
    <i>
      <x v="1"/>
      <x v="3"/>
      <x v="56"/>
      <x v="41"/>
    </i>
    <i r="1">
      <x v="4"/>
      <x v="61"/>
      <x v="41"/>
    </i>
    <i r="3">
      <x v="64"/>
    </i>
    <i r="1">
      <x v="5"/>
      <x v="62"/>
      <x v="31"/>
    </i>
    <i r="3">
      <x v="64"/>
    </i>
    <i r="1">
      <x v="6"/>
      <x v="80"/>
      <x v="41"/>
    </i>
    <i r="1">
      <x v="7"/>
      <x v="84"/>
      <x v="41"/>
    </i>
    <i r="1">
      <x v="8"/>
      <x v="90"/>
      <x/>
    </i>
    <i r="1">
      <x v="9"/>
      <x v="91"/>
      <x v="50"/>
    </i>
    <i r="1">
      <x v="10"/>
      <x v="92"/>
      <x v="50"/>
    </i>
    <i r="1">
      <x v="11"/>
      <x v="93"/>
      <x/>
    </i>
    <i r="1">
      <x v="12"/>
      <x v="94"/>
      <x/>
    </i>
    <i r="1">
      <x v="13"/>
      <x v="95"/>
      <x/>
    </i>
    <i r="1">
      <x v="14"/>
      <x v="96"/>
      <x v="41"/>
    </i>
    <i r="1">
      <x v="15"/>
      <x v="97"/>
      <x v="41"/>
    </i>
    <i r="1">
      <x v="16"/>
      <x v="98"/>
      <x v="41"/>
    </i>
    <i r="1">
      <x v="17"/>
      <x v="99"/>
      <x v="41"/>
    </i>
    <i r="1">
      <x v="18"/>
      <x v="101"/>
      <x v="41"/>
    </i>
    <i r="1">
      <x v="19"/>
      <x v="102"/>
      <x v="41"/>
    </i>
    <i r="1">
      <x v="20"/>
      <x v="103"/>
      <x v="41"/>
    </i>
    <i r="1">
      <x v="21"/>
      <x v="104"/>
      <x v="41"/>
    </i>
    <i r="1">
      <x v="22"/>
      <x v="105"/>
      <x v="41"/>
    </i>
    <i r="1">
      <x v="23"/>
      <x v="106"/>
      <x v="41"/>
    </i>
    <i r="1">
      <x v="24"/>
      <x v="107"/>
      <x v="41"/>
    </i>
    <i r="1">
      <x v="25"/>
      <x v="108"/>
      <x v="41"/>
    </i>
    <i r="1">
      <x v="26"/>
      <x v="109"/>
      <x v="41"/>
    </i>
    <i r="1">
      <x v="27"/>
      <x v="110"/>
      <x v="41"/>
    </i>
    <i r="1">
      <x v="28"/>
      <x v="111"/>
      <x v="41"/>
    </i>
    <i r="1">
      <x v="29"/>
      <x v="112"/>
      <x v="41"/>
    </i>
    <i r="1">
      <x v="30"/>
      <x v="113"/>
      <x v="41"/>
    </i>
    <i r="1">
      <x v="31"/>
      <x v="115"/>
      <x v="41"/>
    </i>
    <i r="1">
      <x v="32"/>
      <x v="119"/>
      <x v="33"/>
    </i>
    <i r="1">
      <x v="33"/>
      <x v="123"/>
      <x v="50"/>
    </i>
    <i r="1">
      <x v="34"/>
      <x v="124"/>
      <x v="39"/>
    </i>
    <i r="1">
      <x v="35"/>
      <x v="125"/>
      <x v="30"/>
    </i>
    <i r="1">
      <x v="36"/>
      <x v="132"/>
      <x v="64"/>
    </i>
    <i r="1">
      <x v="37"/>
      <x v="134"/>
      <x v="15"/>
    </i>
    <i r="1">
      <x v="38"/>
      <x v="146"/>
      <x v="33"/>
    </i>
    <i r="1">
      <x v="39"/>
      <x v="147"/>
      <x v="33"/>
    </i>
    <i r="1">
      <x v="40"/>
      <x v="164"/>
      <x v="64"/>
    </i>
    <i r="1">
      <x v="41"/>
      <x v="169"/>
      <x v="41"/>
    </i>
    <i r="1">
      <x v="42"/>
      <x v="177"/>
      <x v="41"/>
    </i>
    <i r="1">
      <x v="43"/>
      <x v="179"/>
      <x v="41"/>
    </i>
    <i r="1">
      <x v="44"/>
      <x v="181"/>
      <x v="41"/>
    </i>
    <i r="1">
      <x v="45"/>
      <x v="182"/>
      <x v="41"/>
    </i>
    <i r="1">
      <x v="46"/>
      <x v="205"/>
      <x v="41"/>
    </i>
    <i r="1">
      <x v="47"/>
      <x v="349"/>
      <x v="41"/>
    </i>
    <i r="1">
      <x v="48"/>
      <x v="353"/>
      <x v="41"/>
    </i>
    <i r="1">
      <x v="254"/>
      <x v="11"/>
      <x v="2"/>
    </i>
    <i r="1">
      <x v="255"/>
      <x v="12"/>
      <x v="2"/>
    </i>
    <i r="1">
      <x v="256"/>
      <x v="19"/>
      <x v="2"/>
    </i>
    <i r="1">
      <x v="257"/>
      <x v="21"/>
      <x v="2"/>
    </i>
    <i r="1">
      <x v="258"/>
      <x v="61"/>
      <x v="41"/>
    </i>
    <i r="1">
      <x v="259"/>
      <x v="78"/>
      <x v="41"/>
    </i>
    <i r="1">
      <x v="260"/>
      <x v="81"/>
      <x v="41"/>
    </i>
    <i r="1">
      <x v="261"/>
      <x v="83"/>
      <x v="2"/>
    </i>
    <i r="1">
      <x v="262"/>
      <x v="85"/>
      <x v="41"/>
    </i>
    <i r="1">
      <x v="263"/>
      <x v="86"/>
      <x v="41"/>
    </i>
    <i r="1">
      <x v="264"/>
      <x v="87"/>
      <x v="41"/>
    </i>
    <i r="1">
      <x v="265"/>
      <x v="114"/>
      <x v="41"/>
    </i>
    <i r="1">
      <x v="266"/>
      <x v="117"/>
      <x v="41"/>
    </i>
    <i r="1">
      <x v="267"/>
      <x v="138"/>
      <x v="41"/>
    </i>
    <i r="1">
      <x v="268"/>
      <x v="139"/>
      <x v="41"/>
    </i>
    <i r="1">
      <x v="269"/>
      <x v="140"/>
      <x v="39"/>
    </i>
    <i r="1">
      <x v="270"/>
      <x v="150"/>
      <x v="39"/>
    </i>
    <i r="1">
      <x v="271"/>
      <x v="154"/>
      <x v="41"/>
    </i>
    <i r="1">
      <x v="272"/>
      <x v="167"/>
      <x v="38"/>
    </i>
    <i r="1">
      <x v="273"/>
      <x v="170"/>
      <x v="41"/>
    </i>
    <i r="1">
      <x v="274"/>
      <x v="172"/>
      <x v="41"/>
    </i>
    <i r="1">
      <x v="275"/>
      <x v="289"/>
      <x v="41"/>
    </i>
    <i r="1">
      <x v="276"/>
      <x v="349"/>
      <x v="41"/>
    </i>
    <i r="1">
      <x v="277"/>
      <x v="353"/>
      <x v="41"/>
    </i>
    <i r="1">
      <x v="319"/>
      <x v="56"/>
      <x v="41"/>
    </i>
    <i r="1">
      <x v="320"/>
      <x v="61"/>
      <x v="41"/>
    </i>
    <i r="1">
      <x v="321"/>
      <x v="62"/>
      <x v="31"/>
    </i>
    <i r="1">
      <x v="322"/>
      <x v="133"/>
      <x v="64"/>
    </i>
    <i r="1">
      <x v="323"/>
      <x v="349"/>
      <x v="41"/>
    </i>
    <i r="3">
      <x v="64"/>
    </i>
    <i r="1">
      <x v="324"/>
      <x v="353"/>
      <x v="41"/>
    </i>
    <i r="1">
      <x v="357"/>
      <x v="62"/>
      <x v="31"/>
    </i>
    <i r="1">
      <x v="358"/>
      <x v="71"/>
      <x v="41"/>
    </i>
    <i r="1">
      <x v="359"/>
      <x v="76"/>
      <x v="41"/>
    </i>
    <i r="1">
      <x v="360"/>
      <x v="77"/>
      <x v="41"/>
    </i>
    <i r="1">
      <x v="361"/>
      <x v="82"/>
      <x v="41"/>
    </i>
    <i r="1">
      <x v="362"/>
      <x v="126"/>
      <x v="38"/>
    </i>
    <i r="1">
      <x v="363"/>
      <x v="137"/>
      <x v="9"/>
    </i>
    <i r="1">
      <x v="364"/>
      <x v="159"/>
      <x v="50"/>
    </i>
    <i r="1">
      <x v="365"/>
      <x v="168"/>
      <x v="38"/>
    </i>
    <i r="1">
      <x v="366"/>
      <x v="215"/>
      <x v="2"/>
    </i>
    <i r="1">
      <x v="367"/>
      <x v="216"/>
      <x v="41"/>
    </i>
    <i r="1">
      <x v="368"/>
      <x v="349"/>
      <x v="41"/>
    </i>
    <i r="1">
      <x v="369"/>
      <x v="353"/>
      <x v="41"/>
    </i>
    <i r="1">
      <x v="379"/>
      <x v="61"/>
      <x v="41"/>
    </i>
    <i r="1">
      <x v="380"/>
      <x v="116"/>
      <x v="41"/>
    </i>
    <i r="1">
      <x v="381"/>
      <x v="133"/>
      <x v="21"/>
    </i>
    <i r="1">
      <x v="382"/>
      <x v="344"/>
      <x v="41"/>
    </i>
    <i r="1">
      <x v="383"/>
      <x v="345"/>
      <x v="41"/>
    </i>
    <i r="1">
      <x v="384"/>
      <x v="349"/>
      <x v="41"/>
    </i>
    <i r="3">
      <x v="64"/>
    </i>
    <i r="1">
      <x v="417"/>
      <x v="13"/>
      <x v="2"/>
    </i>
    <i r="1">
      <x v="418"/>
      <x v="20"/>
      <x v="2"/>
    </i>
    <i r="1">
      <x v="419"/>
      <x v="22"/>
      <x v="2"/>
    </i>
    <i r="1">
      <x v="420"/>
      <x v="23"/>
      <x v="2"/>
    </i>
    <i r="1">
      <x v="421"/>
      <x v="61"/>
      <x v="41"/>
    </i>
    <i r="1">
      <x v="422"/>
      <x v="70"/>
      <x v="41"/>
    </i>
    <i r="1">
      <x v="423"/>
      <x v="72"/>
      <x v="41"/>
    </i>
    <i r="1">
      <x v="424"/>
      <x v="73"/>
      <x v="41"/>
    </i>
    <i r="1">
      <x v="425"/>
      <x v="74"/>
      <x v="41"/>
    </i>
    <i r="1">
      <x v="426"/>
      <x v="75"/>
      <x v="41"/>
    </i>
    <i r="1">
      <x v="427"/>
      <x v="79"/>
      <x v="41"/>
    </i>
    <i r="1">
      <x v="428"/>
      <x v="81"/>
      <x v="41"/>
    </i>
    <i r="1">
      <x v="429"/>
      <x v="89"/>
      <x v="41"/>
    </i>
    <i r="1">
      <x v="430"/>
      <x v="162"/>
      <x v="41"/>
    </i>
    <i r="1">
      <x v="431"/>
      <x v="165"/>
      <x v="39"/>
    </i>
    <i r="1">
      <x v="432"/>
      <x v="171"/>
      <x v="41"/>
    </i>
    <i r="1">
      <x v="433"/>
      <x v="349"/>
      <x v="41"/>
    </i>
    <i r="1">
      <x v="434"/>
      <x v="353"/>
      <x v="41"/>
    </i>
    <i r="1">
      <x v="456"/>
      <x v="49"/>
      <x v="25"/>
    </i>
    <i r="1">
      <x v="457"/>
      <x v="50"/>
      <x v="27"/>
    </i>
    <i r="1">
      <x v="458"/>
      <x v="51"/>
      <x v="25"/>
    </i>
    <i r="1">
      <x v="459"/>
      <x v="52"/>
      <x v="25"/>
    </i>
    <i r="1">
      <x v="460"/>
      <x v="53"/>
      <x v="25"/>
    </i>
    <i r="1">
      <x v="461"/>
      <x v="54"/>
      <x v="25"/>
    </i>
    <i r="1">
      <x v="462"/>
      <x v="62"/>
      <x v="31"/>
    </i>
    <i r="1">
      <x v="463"/>
      <x v="66"/>
      <x v="25"/>
    </i>
    <i r="1">
      <x v="464"/>
      <x v="67"/>
      <x v="25"/>
    </i>
    <i r="1">
      <x v="465"/>
      <x v="68"/>
      <x v="37"/>
    </i>
    <i r="1">
      <x v="466"/>
      <x v="75"/>
      <x v="64"/>
    </i>
    <i r="1">
      <x v="467"/>
      <x v="79"/>
      <x v="64"/>
    </i>
    <i r="1">
      <x v="468"/>
      <x v="88"/>
      <x v="12"/>
    </i>
    <i r="1">
      <x v="469"/>
      <x v="100"/>
      <x v="41"/>
    </i>
    <i r="1">
      <x v="470"/>
      <x v="160"/>
      <x v="25"/>
    </i>
    <i r="1">
      <x v="471"/>
      <x v="183"/>
      <x v="26"/>
    </i>
    <i r="1">
      <x v="472"/>
      <x v="185"/>
      <x v="25"/>
    </i>
    <i r="1">
      <x v="473"/>
      <x v="186"/>
      <x v="25"/>
    </i>
    <i r="1">
      <x v="474"/>
      <x v="187"/>
      <x v="28"/>
    </i>
    <i r="1">
      <x v="475"/>
      <x v="188"/>
      <x v="64"/>
    </i>
    <i r="1">
      <x v="476"/>
      <x v="217"/>
      <x v="41"/>
    </i>
    <i r="1">
      <x v="477"/>
      <x v="218"/>
      <x v="41"/>
    </i>
    <i r="1">
      <x v="478"/>
      <x v="219"/>
      <x v="64"/>
    </i>
    <i r="1">
      <x v="479"/>
      <x v="349"/>
      <x v="41"/>
    </i>
    <i r="1">
      <x v="480"/>
      <x v="355"/>
      <x v="41"/>
    </i>
    <i r="1">
      <x v="481"/>
      <x v="357"/>
      <x v="41"/>
    </i>
    <i r="1">
      <x v="558"/>
      <x v="61"/>
      <x v="41"/>
    </i>
    <i r="1">
      <x v="559"/>
      <x v="62"/>
      <x v="31"/>
    </i>
    <i r="1">
      <x v="560"/>
      <x v="141"/>
      <x v="23"/>
    </i>
    <i r="1">
      <x v="561"/>
      <x v="142"/>
      <x v="50"/>
    </i>
    <i r="1">
      <x v="562"/>
      <x v="349"/>
      <x v="41"/>
    </i>
    <i t="default">
      <x v="1"/>
    </i>
    <i>
      <x v="2"/>
      <x v="49"/>
    </i>
    <i r="1">
      <x v="278"/>
      <x v="64"/>
      <x v="41"/>
    </i>
    <i r="1">
      <x v="482"/>
      <x v="64"/>
      <x v="41"/>
    </i>
    <i r="1">
      <x v="483"/>
      <x v="65"/>
      <x v="10"/>
    </i>
    <i t="default">
      <x v="2"/>
    </i>
    <i>
      <x v="3"/>
      <x v="50"/>
      <x v="29"/>
      <x v="2"/>
    </i>
    <i r="1">
      <x v="51"/>
      <x v="30"/>
      <x v="2"/>
    </i>
    <i r="1">
      <x v="52"/>
      <x v="31"/>
      <x v="2"/>
    </i>
    <i r="1">
      <x v="53"/>
      <x v="40"/>
      <x v="41"/>
    </i>
    <i r="1">
      <x v="54"/>
      <x v="42"/>
      <x v="41"/>
    </i>
    <i r="1">
      <x v="55"/>
      <x v="43"/>
      <x v="41"/>
    </i>
    <i r="1">
      <x v="56"/>
      <x v="44"/>
      <x v="41"/>
    </i>
    <i r="1">
      <x v="57"/>
      <x v="45"/>
      <x v="64"/>
    </i>
    <i r="1">
      <x v="58"/>
      <x v="46"/>
      <x v="41"/>
    </i>
    <i r="1">
      <x v="59"/>
      <x v="48"/>
      <x v="64"/>
    </i>
    <i r="1">
      <x v="60"/>
      <x v="62"/>
      <x v="31"/>
    </i>
    <i r="1">
      <x v="61"/>
      <x v="191"/>
      <x v="31"/>
    </i>
    <i r="1">
      <x v="62"/>
      <x v="195"/>
      <x v="46"/>
    </i>
    <i r="1">
      <x v="63"/>
      <x v="196"/>
      <x v="46"/>
    </i>
    <i r="1">
      <x v="64"/>
      <x v="197"/>
      <x v="46"/>
    </i>
    <i r="1">
      <x v="65"/>
      <x v="198"/>
      <x v="46"/>
    </i>
    <i r="1">
      <x v="66"/>
      <x v="349"/>
      <x v="41"/>
    </i>
    <i r="3">
      <x v="64"/>
    </i>
    <i r="1">
      <x v="484"/>
      <x v="40"/>
      <x v="41"/>
    </i>
    <i r="1">
      <x v="485"/>
      <x v="42"/>
      <x v="41"/>
    </i>
    <i r="1">
      <x v="486"/>
      <x v="44"/>
      <x v="41"/>
    </i>
    <i r="1">
      <x v="487"/>
      <x v="45"/>
      <x v="41"/>
    </i>
    <i r="1">
      <x v="488"/>
      <x v="48"/>
      <x v="64"/>
    </i>
    <i r="1">
      <x v="489"/>
      <x v="191"/>
      <x v="31"/>
    </i>
    <i r="1">
      <x v="490"/>
      <x v="201"/>
      <x v="41"/>
    </i>
    <i r="1">
      <x v="491"/>
      <x v="349"/>
      <x v="41"/>
    </i>
    <i r="1">
      <x v="563"/>
      <x v="62"/>
      <x v="31"/>
    </i>
    <i r="1">
      <x v="564"/>
      <x v="191"/>
      <x v="31"/>
    </i>
    <i r="1">
      <x v="565"/>
      <x v="349"/>
      <x v="41"/>
    </i>
    <i t="default">
      <x v="3"/>
    </i>
    <i>
      <x v="4"/>
      <x v="67"/>
      <x v="1"/>
      <x v="2"/>
    </i>
    <i r="1">
      <x v="68"/>
      <x v="8"/>
      <x v="2"/>
    </i>
    <i r="1">
      <x v="69"/>
      <x v="9"/>
      <x v="2"/>
    </i>
    <i r="1">
      <x v="70"/>
      <x v="10"/>
      <x v="3"/>
    </i>
    <i r="1">
      <x v="71"/>
      <x v="32"/>
      <x v="64"/>
    </i>
    <i r="1">
      <x v="72"/>
      <x v="33"/>
      <x v="64"/>
    </i>
    <i r="1">
      <x v="73"/>
      <x v="34"/>
      <x v="11"/>
    </i>
    <i r="1">
      <x v="74"/>
      <x v="37"/>
      <x v="14"/>
    </i>
    <i r="1">
      <x v="75"/>
      <x v="40"/>
      <x v="41"/>
    </i>
    <i r="1">
      <x v="76"/>
      <x v="41"/>
      <x v="64"/>
    </i>
    <i r="1">
      <x v="77"/>
      <x v="42"/>
      <x v="41"/>
    </i>
    <i r="1">
      <x v="78"/>
      <x v="47"/>
      <x v="41"/>
    </i>
    <i r="1">
      <x v="79"/>
      <x v="48"/>
      <x v="64"/>
    </i>
    <i r="1">
      <x v="80"/>
      <x v="61"/>
      <x v="41"/>
    </i>
    <i r="1">
      <x v="81"/>
      <x v="62"/>
      <x v="31"/>
    </i>
    <i r="1">
      <x v="82"/>
      <x v="69"/>
      <x v="41"/>
    </i>
    <i r="1">
      <x v="83"/>
      <x v="80"/>
      <x v="64"/>
    </i>
    <i r="1">
      <x v="84"/>
      <x v="120"/>
      <x v="41"/>
    </i>
    <i r="1">
      <x v="85"/>
      <x v="122"/>
      <x v="50"/>
    </i>
    <i r="1">
      <x v="86"/>
      <x v="127"/>
      <x v="17"/>
    </i>
    <i r="1">
      <x v="87"/>
      <x v="128"/>
      <x v="17"/>
    </i>
    <i r="1">
      <x v="88"/>
      <x v="131"/>
      <x v="18"/>
    </i>
    <i r="1">
      <x v="89"/>
      <x v="132"/>
      <x v="34"/>
    </i>
    <i r="1">
      <x v="90"/>
      <x v="135"/>
      <x v="31"/>
    </i>
    <i r="1">
      <x v="91"/>
      <x v="136"/>
      <x v="8"/>
    </i>
    <i r="1">
      <x v="92"/>
      <x v="144"/>
      <x v="31"/>
    </i>
    <i r="1">
      <x v="93"/>
      <x v="145"/>
      <x v="31"/>
    </i>
    <i r="1">
      <x v="94"/>
      <x v="148"/>
      <x v="34"/>
    </i>
    <i r="1">
      <x v="95"/>
      <x v="149"/>
      <x v="31"/>
    </i>
    <i r="1">
      <x v="96"/>
      <x v="155"/>
      <x v="31"/>
    </i>
    <i r="1">
      <x v="97"/>
      <x v="156"/>
      <x v="31"/>
    </i>
    <i r="1">
      <x v="98"/>
      <x v="157"/>
      <x v="31"/>
    </i>
    <i r="1">
      <x v="99"/>
      <x v="158"/>
      <x v="17"/>
    </i>
    <i r="1">
      <x v="100"/>
      <x v="161"/>
      <x v="41"/>
    </i>
    <i r="1">
      <x v="101"/>
      <x v="163"/>
      <x v="31"/>
    </i>
    <i r="1">
      <x v="102"/>
      <x v="164"/>
      <x v="41"/>
    </i>
    <i r="1">
      <x v="103"/>
      <x v="169"/>
      <x v="64"/>
    </i>
    <i r="1">
      <x v="104"/>
      <x v="189"/>
      <x v="64"/>
    </i>
    <i r="1">
      <x v="105"/>
      <x v="191"/>
      <x v="31"/>
    </i>
    <i r="1">
      <x v="106"/>
      <x v="193"/>
      <x v="31"/>
    </i>
    <i r="1">
      <x v="107"/>
      <x v="199"/>
      <x v="41"/>
    </i>
    <i r="1">
      <x v="108"/>
      <x v="200"/>
      <x v="41"/>
    </i>
    <i r="1">
      <x v="109"/>
      <x v="205"/>
      <x v="41"/>
    </i>
    <i r="1">
      <x v="110"/>
      <x v="206"/>
      <x v="41"/>
    </i>
    <i r="1">
      <x v="111"/>
      <x v="207"/>
      <x v="41"/>
    </i>
    <i r="1">
      <x v="112"/>
      <x v="208"/>
      <x v="7"/>
    </i>
    <i r="1">
      <x v="113"/>
      <x v="209"/>
      <x v="7"/>
    </i>
    <i r="1">
      <x v="114"/>
      <x v="210"/>
      <x v="14"/>
    </i>
    <i r="1">
      <x v="115"/>
      <x v="212"/>
      <x v="31"/>
    </i>
    <i r="1">
      <x v="116"/>
      <x v="313"/>
      <x v="13"/>
    </i>
    <i r="1">
      <x v="117"/>
      <x v="334"/>
      <x v="6"/>
    </i>
    <i r="1">
      <x v="118"/>
      <x v="349"/>
      <x v="41"/>
    </i>
    <i r="1">
      <x v="279"/>
      <x v="61"/>
      <x v="41"/>
    </i>
    <i r="1">
      <x v="280"/>
      <x v="62"/>
      <x v="31"/>
    </i>
    <i r="1">
      <x v="281"/>
      <x v="151"/>
      <x v="31"/>
    </i>
    <i r="1">
      <x v="282"/>
      <x v="152"/>
      <x v="41"/>
    </i>
    <i r="1">
      <x v="283"/>
      <x v="153"/>
      <x v="31"/>
    </i>
    <i r="1">
      <x v="284"/>
      <x v="154"/>
      <x v="41"/>
    </i>
    <i r="1">
      <x v="285"/>
      <x v="167"/>
      <x v="38"/>
    </i>
    <i r="1">
      <x v="286"/>
      <x v="168"/>
      <x v="38"/>
    </i>
    <i r="1">
      <x v="287"/>
      <x v="173"/>
      <x v="41"/>
    </i>
    <i r="1">
      <x v="288"/>
      <x v="174"/>
      <x v="41"/>
    </i>
    <i r="1">
      <x v="289"/>
      <x v="175"/>
      <x v="18"/>
    </i>
    <i r="1">
      <x v="290"/>
      <x v="176"/>
      <x v="18"/>
    </i>
    <i r="1">
      <x v="291"/>
      <x v="193"/>
      <x v="31"/>
    </i>
    <i r="1">
      <x v="292"/>
      <x v="349"/>
      <x v="41"/>
    </i>
    <i r="1">
      <x v="293"/>
      <x v="354"/>
      <x v="41"/>
    </i>
    <i r="1">
      <x v="325"/>
      <x v="3"/>
      <x v="2"/>
    </i>
    <i r="1">
      <x v="326"/>
      <x v="15"/>
      <x v="2"/>
    </i>
    <i r="1">
      <x v="327"/>
      <x v="17"/>
      <x v="2"/>
    </i>
    <i r="1">
      <x v="328"/>
      <x v="41"/>
      <x v="64"/>
    </i>
    <i r="1">
      <x v="329"/>
      <x v="50"/>
      <x v="27"/>
    </i>
    <i r="1">
      <x v="330"/>
      <x v="61"/>
      <x v="41"/>
    </i>
    <i r="1">
      <x v="331"/>
      <x v="62"/>
      <x v="31"/>
    </i>
    <i r="1">
      <x v="332"/>
      <x v="121"/>
      <x v="31"/>
    </i>
    <i r="1">
      <x v="333"/>
      <x v="133"/>
      <x v="21"/>
    </i>
    <i r="1">
      <x v="334"/>
      <x v="163"/>
      <x v="31"/>
    </i>
    <i r="1">
      <x v="335"/>
      <x v="178"/>
      <x v="61"/>
    </i>
    <i r="1">
      <x v="336"/>
      <x v="191"/>
      <x v="31"/>
    </i>
    <i r="1">
      <x v="337"/>
      <x v="193"/>
      <x v="31"/>
    </i>
    <i r="1">
      <x v="338"/>
      <x v="213"/>
      <x v="31"/>
    </i>
    <i r="1">
      <x v="339"/>
      <x v="335"/>
      <x v="41"/>
    </i>
    <i r="1">
      <x v="340"/>
      <x v="349"/>
      <x v="41"/>
    </i>
    <i r="1">
      <x v="370"/>
      <x v="62"/>
      <x v="31"/>
    </i>
    <i r="1">
      <x v="371"/>
      <x v="126"/>
      <x v="38"/>
    </i>
    <i r="1">
      <x v="372"/>
      <x v="137"/>
      <x v="9"/>
    </i>
    <i r="1">
      <x v="373"/>
      <x v="191"/>
      <x v="31"/>
    </i>
    <i r="1">
      <x v="374"/>
      <x v="193"/>
      <x v="31"/>
    </i>
    <i r="1">
      <x v="375"/>
      <x v="349"/>
      <x v="41"/>
    </i>
    <i r="1">
      <x v="385"/>
      <x v="8"/>
      <x v="2"/>
    </i>
    <i r="1">
      <x v="386"/>
      <x v="9"/>
      <x v="2"/>
    </i>
    <i r="1">
      <x v="387"/>
      <x v="10"/>
      <x v="2"/>
    </i>
    <i r="1">
      <x v="388"/>
      <x v="61"/>
      <x v="41"/>
    </i>
    <i r="1">
      <x v="389"/>
      <x v="62"/>
      <x v="31"/>
    </i>
    <i r="1">
      <x v="390"/>
      <x v="121"/>
      <x v="31"/>
    </i>
    <i r="1">
      <x v="391"/>
      <x v="133"/>
      <x v="21"/>
    </i>
    <i r="1">
      <x v="392"/>
      <x v="178"/>
      <x v="61"/>
    </i>
    <i r="1">
      <x v="393"/>
      <x v="193"/>
      <x v="31"/>
    </i>
    <i r="1">
      <x v="394"/>
      <x v="349"/>
      <x v="41"/>
    </i>
    <i r="3">
      <x v="64"/>
    </i>
    <i r="1">
      <x v="435"/>
      <x v="61"/>
      <x v="41"/>
    </i>
    <i r="1">
      <x v="436"/>
      <x v="152"/>
      <x v="41"/>
    </i>
    <i r="1">
      <x v="437"/>
      <x v="153"/>
      <x v="31"/>
    </i>
    <i r="1">
      <x v="438"/>
      <x v="166"/>
      <x v="31"/>
    </i>
    <i r="1">
      <x v="439"/>
      <x v="193"/>
      <x v="31"/>
    </i>
    <i r="1">
      <x v="492"/>
      <x v="34"/>
      <x v="11"/>
    </i>
    <i r="1">
      <x v="493"/>
      <x v="40"/>
      <x v="41"/>
    </i>
    <i r="1">
      <x v="494"/>
      <x v="42"/>
      <x v="41"/>
    </i>
    <i r="1">
      <x v="495"/>
      <x v="47"/>
      <x v="41"/>
    </i>
    <i r="1">
      <x v="496"/>
      <x v="48"/>
      <x v="64"/>
    </i>
    <i r="1">
      <x v="497"/>
      <x v="49"/>
      <x v="64"/>
    </i>
    <i r="1">
      <x v="498"/>
      <x v="50"/>
      <x v="27"/>
    </i>
    <i r="1">
      <x v="499"/>
      <x v="53"/>
      <x v="64"/>
    </i>
    <i r="1">
      <x v="500"/>
      <x v="62"/>
      <x v="31"/>
    </i>
    <i r="1">
      <x v="501"/>
      <x v="129"/>
      <x v="18"/>
    </i>
    <i r="1">
      <x v="502"/>
      <x v="130"/>
      <x v="18"/>
    </i>
    <i r="1">
      <x v="503"/>
      <x v="175"/>
      <x v="18"/>
    </i>
    <i r="1">
      <x v="504"/>
      <x v="180"/>
      <x v="25"/>
    </i>
    <i r="1">
      <x v="505"/>
      <x v="184"/>
      <x v="25"/>
    </i>
    <i r="1">
      <x v="506"/>
      <x v="186"/>
      <x v="25"/>
    </i>
    <i r="1">
      <x v="507"/>
      <x v="191"/>
      <x v="31"/>
    </i>
    <i r="1">
      <x v="508"/>
      <x v="193"/>
      <x v="31"/>
    </i>
    <i r="1">
      <x v="509"/>
      <x v="202"/>
      <x v="41"/>
    </i>
    <i r="1">
      <x v="510"/>
      <x v="211"/>
      <x v="31"/>
    </i>
    <i r="1">
      <x v="511"/>
      <x v="337"/>
      <x v="41"/>
    </i>
    <i r="1">
      <x v="512"/>
      <x v="349"/>
      <x v="41"/>
    </i>
    <i r="1">
      <x v="513"/>
      <x v="351"/>
      <x v="48"/>
    </i>
    <i r="1">
      <x v="514"/>
      <x v="357"/>
      <x v="41"/>
    </i>
    <i r="1">
      <x v="554"/>
      <x v="25"/>
      <x v="2"/>
    </i>
    <i r="1">
      <x v="566"/>
      <x v="142"/>
      <x v="50"/>
    </i>
    <i r="1">
      <x v="567"/>
      <x v="143"/>
      <x v="50"/>
    </i>
    <i r="1">
      <x v="568"/>
      <x v="193"/>
      <x v="31"/>
    </i>
    <i r="1">
      <x v="569"/>
      <x v="203"/>
      <x v="41"/>
    </i>
    <i r="1">
      <x v="570"/>
      <x v="349"/>
      <x v="41"/>
    </i>
    <i t="default">
      <x v="4"/>
    </i>
    <i>
      <x v="5"/>
      <x v="119"/>
      <x v="270"/>
      <x v="54"/>
    </i>
    <i r="1">
      <x v="120"/>
      <x v="303"/>
      <x v="58"/>
    </i>
    <i r="1">
      <x v="121"/>
      <x v="352"/>
      <x v="43"/>
    </i>
    <i r="3">
      <x v="64"/>
    </i>
    <i r="1">
      <x v="294"/>
      <x v="352"/>
      <x v="43"/>
    </i>
    <i r="1">
      <x v="341"/>
      <x v="352"/>
      <x v="43"/>
    </i>
    <i r="1">
      <x v="395"/>
      <x v="214"/>
      <x v="41"/>
    </i>
    <i r="1">
      <x v="396"/>
      <x v="352"/>
      <x v="64"/>
    </i>
    <i r="1">
      <x v="440"/>
      <x v="352"/>
      <x v="43"/>
    </i>
    <i r="1">
      <x v="515"/>
      <x v="362"/>
      <x v="64"/>
    </i>
    <i r="1">
      <x v="516"/>
      <x v="350"/>
      <x v="41"/>
    </i>
    <i r="1">
      <x v="517"/>
      <x v="352"/>
      <x v="43"/>
    </i>
    <i r="1">
      <x v="518"/>
      <x v="357"/>
      <x v="41"/>
    </i>
    <i r="1">
      <x v="571"/>
      <x v="352"/>
      <x v="43"/>
    </i>
    <i t="default">
      <x v="5"/>
    </i>
    <i>
      <x v="6"/>
      <x v="519"/>
      <x v="352"/>
      <x v="43"/>
    </i>
    <i r="1">
      <x v="520"/>
      <x v="357"/>
      <x v="41"/>
    </i>
    <i t="default">
      <x v="6"/>
    </i>
    <i>
      <x v="7"/>
      <x v="441"/>
      <x v="348"/>
      <x v="44"/>
    </i>
    <i r="1">
      <x v="442"/>
      <x v="349"/>
      <x v="41"/>
    </i>
    <i r="1">
      <x v="521"/>
      <x v="349"/>
      <x v="41"/>
    </i>
    <i r="3">
      <x v="64"/>
    </i>
    <i r="1">
      <x v="522"/>
      <x v="356"/>
      <x v="41"/>
    </i>
    <i r="1">
      <x v="523"/>
      <x v="357"/>
      <x v="41"/>
    </i>
    <i t="default">
      <x v="7"/>
    </i>
    <i>
      <x v="8"/>
      <x v="122"/>
      <x v="362"/>
      <x v="64"/>
    </i>
    <i r="1">
      <x v="123"/>
      <x/>
      <x v="2"/>
    </i>
    <i r="1">
      <x v="124"/>
      <x v="2"/>
      <x v="2"/>
    </i>
    <i r="1">
      <x v="125"/>
      <x v="6"/>
      <x v="2"/>
    </i>
    <i r="1">
      <x v="126"/>
      <x v="7"/>
      <x v="2"/>
    </i>
    <i r="1">
      <x v="127"/>
      <x v="16"/>
      <x v="2"/>
    </i>
    <i r="1">
      <x v="128"/>
      <x v="18"/>
      <x v="2"/>
    </i>
    <i r="1">
      <x v="129"/>
      <x v="26"/>
      <x v="5"/>
    </i>
    <i r="1">
      <x v="130"/>
      <x v="35"/>
      <x v="64"/>
    </i>
    <i r="1">
      <x v="131"/>
      <x v="36"/>
      <x v="64"/>
    </i>
    <i r="1">
      <x v="132"/>
      <x v="38"/>
      <x v="41"/>
    </i>
    <i r="1">
      <x v="133"/>
      <x v="39"/>
      <x v="41"/>
    </i>
    <i r="1">
      <x v="134"/>
      <x v="41"/>
      <x v="41"/>
    </i>
    <i r="1">
      <x v="135"/>
      <x v="47"/>
      <x v="64"/>
    </i>
    <i r="1">
      <x v="136"/>
      <x v="48"/>
      <x v="64"/>
    </i>
    <i r="1">
      <x v="137"/>
      <x v="56"/>
      <x v="41"/>
    </i>
    <i r="1">
      <x v="138"/>
      <x v="61"/>
      <x v="41"/>
    </i>
    <i r="1">
      <x v="139"/>
      <x v="62"/>
      <x v="31"/>
    </i>
    <i r="1">
      <x v="140"/>
      <x v="155"/>
      <x v="31"/>
    </i>
    <i r="1">
      <x v="141"/>
      <x v="156"/>
      <x v="31"/>
    </i>
    <i r="1">
      <x v="142"/>
      <x v="190"/>
      <x v="31"/>
    </i>
    <i r="3">
      <x v="64"/>
    </i>
    <i r="1">
      <x v="143"/>
      <x v="191"/>
      <x v="31"/>
    </i>
    <i r="3">
      <x v="64"/>
    </i>
    <i r="1">
      <x v="144"/>
      <x v="192"/>
      <x v="22"/>
    </i>
    <i r="1">
      <x v="145"/>
      <x v="194"/>
      <x v="35"/>
    </i>
    <i r="1">
      <x v="146"/>
      <x v="206"/>
      <x v="64"/>
    </i>
    <i r="1">
      <x v="147"/>
      <x v="220"/>
      <x v="29"/>
    </i>
    <i r="1">
      <x v="148"/>
      <x v="221"/>
      <x v="29"/>
    </i>
    <i r="1">
      <x v="149"/>
      <x v="222"/>
      <x v="16"/>
    </i>
    <i r="1">
      <x v="150"/>
      <x v="223"/>
      <x v="16"/>
    </i>
    <i r="1">
      <x v="151"/>
      <x v="225"/>
      <x v="41"/>
    </i>
    <i r="1">
      <x v="152"/>
      <x v="226"/>
      <x v="60"/>
    </i>
    <i r="1">
      <x v="153"/>
      <x v="227"/>
      <x v="60"/>
    </i>
    <i r="1">
      <x v="154"/>
      <x v="228"/>
      <x v="42"/>
    </i>
    <i r="1">
      <x v="155"/>
      <x v="229"/>
      <x v="51"/>
    </i>
    <i r="1">
      <x v="156"/>
      <x v="230"/>
      <x v="53"/>
    </i>
    <i r="1">
      <x v="157"/>
      <x v="231"/>
      <x v="53"/>
    </i>
    <i r="1">
      <x v="158"/>
      <x v="232"/>
      <x v="53"/>
    </i>
    <i r="1">
      <x v="159"/>
      <x v="233"/>
      <x v="53"/>
    </i>
    <i r="1">
      <x v="160"/>
      <x v="234"/>
      <x v="53"/>
    </i>
    <i r="1">
      <x v="161"/>
      <x v="235"/>
      <x v="53"/>
    </i>
    <i r="1">
      <x v="162"/>
      <x v="236"/>
      <x v="53"/>
    </i>
    <i r="1">
      <x v="163"/>
      <x v="237"/>
      <x v="53"/>
    </i>
    <i r="1">
      <x v="164"/>
      <x v="238"/>
      <x v="53"/>
    </i>
    <i r="1">
      <x v="165"/>
      <x v="239"/>
      <x v="53"/>
    </i>
    <i r="1">
      <x v="166"/>
      <x v="240"/>
      <x v="53"/>
    </i>
    <i r="1">
      <x v="167"/>
      <x v="241"/>
      <x v="53"/>
    </i>
    <i r="1">
      <x v="168"/>
      <x v="242"/>
      <x v="53"/>
    </i>
    <i r="1">
      <x v="169"/>
      <x v="243"/>
      <x v="53"/>
    </i>
    <i r="1">
      <x v="170"/>
      <x v="244"/>
      <x v="53"/>
    </i>
    <i r="1">
      <x v="171"/>
      <x v="245"/>
      <x v="53"/>
    </i>
    <i r="1">
      <x v="172"/>
      <x v="246"/>
      <x v="53"/>
    </i>
    <i r="1">
      <x v="173"/>
      <x v="247"/>
      <x v="53"/>
    </i>
    <i r="1">
      <x v="174"/>
      <x v="248"/>
      <x v="53"/>
    </i>
    <i r="1">
      <x v="175"/>
      <x v="249"/>
      <x v="53"/>
    </i>
    <i r="1">
      <x v="176"/>
      <x v="250"/>
      <x v="53"/>
    </i>
    <i r="1">
      <x v="177"/>
      <x v="251"/>
      <x v="53"/>
    </i>
    <i r="1">
      <x v="178"/>
      <x v="252"/>
      <x v="53"/>
    </i>
    <i r="1">
      <x v="179"/>
      <x v="253"/>
      <x v="53"/>
    </i>
    <i r="1">
      <x v="180"/>
      <x v="254"/>
      <x v="53"/>
    </i>
    <i r="1">
      <x v="181"/>
      <x v="255"/>
      <x v="53"/>
    </i>
    <i r="1">
      <x v="182"/>
      <x v="256"/>
      <x v="51"/>
    </i>
    <i r="1">
      <x v="183"/>
      <x v="257"/>
      <x v="53"/>
    </i>
    <i r="1">
      <x v="184"/>
      <x v="258"/>
      <x v="53"/>
    </i>
    <i r="1">
      <x v="185"/>
      <x v="259"/>
      <x v="53"/>
    </i>
    <i r="1">
      <x v="186"/>
      <x v="260"/>
      <x v="53"/>
    </i>
    <i r="1">
      <x v="187"/>
      <x v="261"/>
      <x v="53"/>
    </i>
    <i r="1">
      <x v="188"/>
      <x v="262"/>
      <x v="53"/>
    </i>
    <i r="1">
      <x v="189"/>
      <x v="263"/>
      <x v="53"/>
    </i>
    <i r="1">
      <x v="190"/>
      <x v="264"/>
      <x v="53"/>
    </i>
    <i r="1">
      <x v="191"/>
      <x v="265"/>
      <x v="53"/>
    </i>
    <i r="1">
      <x v="192"/>
      <x v="266"/>
      <x v="53"/>
    </i>
    <i r="1">
      <x v="193"/>
      <x v="267"/>
      <x v="53"/>
    </i>
    <i r="1">
      <x v="194"/>
      <x v="268"/>
      <x v="53"/>
    </i>
    <i r="1">
      <x v="195"/>
      <x v="269"/>
      <x v="50"/>
    </i>
    <i r="1">
      <x v="196"/>
      <x v="270"/>
      <x v="54"/>
    </i>
    <i r="1">
      <x v="197"/>
      <x v="271"/>
      <x v="59"/>
    </i>
    <i r="1">
      <x v="198"/>
      <x v="272"/>
      <x v="36"/>
    </i>
    <i r="1">
      <x v="199"/>
      <x v="273"/>
      <x v="36"/>
    </i>
    <i r="1">
      <x v="200"/>
      <x v="277"/>
      <x v="35"/>
    </i>
    <i r="1">
      <x v="201"/>
      <x v="278"/>
      <x v="35"/>
    </i>
    <i r="1">
      <x v="202"/>
      <x v="281"/>
      <x v="57"/>
    </i>
    <i r="1">
      <x v="203"/>
      <x v="282"/>
      <x v="57"/>
    </i>
    <i r="1">
      <x v="204"/>
      <x v="283"/>
      <x v="47"/>
    </i>
    <i r="1">
      <x v="205"/>
      <x v="284"/>
      <x v="47"/>
    </i>
    <i r="1">
      <x v="206"/>
      <x v="285"/>
      <x v="55"/>
    </i>
    <i r="1">
      <x v="207"/>
      <x v="286"/>
      <x/>
    </i>
    <i r="1">
      <x v="208"/>
      <x v="287"/>
      <x v="50"/>
    </i>
    <i r="1">
      <x v="209"/>
      <x v="288"/>
      <x v="24"/>
    </i>
    <i r="1">
      <x v="210"/>
      <x v="290"/>
      <x v="49"/>
    </i>
    <i r="1">
      <x v="211"/>
      <x v="293"/>
      <x v="54"/>
    </i>
    <i r="1">
      <x v="212"/>
      <x v="294"/>
      <x v="56"/>
    </i>
    <i r="1">
      <x v="213"/>
      <x v="295"/>
      <x v="56"/>
    </i>
    <i r="1">
      <x v="214"/>
      <x v="296"/>
      <x v="56"/>
    </i>
    <i r="1">
      <x v="215"/>
      <x v="297"/>
      <x v="56"/>
    </i>
    <i r="1">
      <x v="216"/>
      <x v="298"/>
      <x v="56"/>
    </i>
    <i r="1">
      <x v="217"/>
      <x v="299"/>
      <x v="56"/>
    </i>
    <i r="1">
      <x v="218"/>
      <x v="300"/>
      <x v="54"/>
    </i>
    <i r="1">
      <x v="219"/>
      <x v="301"/>
      <x v="54"/>
    </i>
    <i r="1">
      <x v="220"/>
      <x v="302"/>
      <x v="52"/>
    </i>
    <i r="1">
      <x v="221"/>
      <x v="303"/>
      <x v="58"/>
    </i>
    <i r="1">
      <x v="222"/>
      <x v="304"/>
      <x v="58"/>
    </i>
    <i r="1">
      <x v="223"/>
      <x v="305"/>
      <x v="45"/>
    </i>
    <i r="1">
      <x v="224"/>
      <x v="311"/>
      <x/>
    </i>
    <i r="1">
      <x v="225"/>
      <x v="313"/>
      <x v="13"/>
    </i>
    <i r="1">
      <x v="226"/>
      <x v="314"/>
      <x v="46"/>
    </i>
    <i r="1">
      <x v="227"/>
      <x v="315"/>
      <x v="46"/>
    </i>
    <i r="1">
      <x v="228"/>
      <x v="316"/>
      <x v="46"/>
    </i>
    <i r="1">
      <x v="229"/>
      <x v="317"/>
      <x v="46"/>
    </i>
    <i r="1">
      <x v="230"/>
      <x v="321"/>
      <x v="4"/>
    </i>
    <i r="1">
      <x v="231"/>
      <x v="322"/>
      <x v="4"/>
    </i>
    <i r="1">
      <x v="232"/>
      <x v="323"/>
      <x/>
    </i>
    <i r="1">
      <x v="233"/>
      <x v="324"/>
      <x v="2"/>
    </i>
    <i r="1">
      <x v="234"/>
      <x v="325"/>
      <x v="41"/>
    </i>
    <i r="1">
      <x v="235"/>
      <x v="326"/>
      <x v="40"/>
    </i>
    <i r="1">
      <x v="236"/>
      <x v="327"/>
      <x v="40"/>
    </i>
    <i r="1">
      <x v="237"/>
      <x v="328"/>
      <x v="45"/>
    </i>
    <i r="1">
      <x v="238"/>
      <x v="329"/>
      <x/>
    </i>
    <i r="1">
      <x v="239"/>
      <x v="330"/>
      <x v="1"/>
    </i>
    <i r="1">
      <x v="240"/>
      <x v="331"/>
      <x v="1"/>
    </i>
    <i r="1">
      <x v="241"/>
      <x v="332"/>
      <x/>
    </i>
    <i r="1">
      <x v="242"/>
      <x v="333"/>
      <x v="41"/>
    </i>
    <i r="1">
      <x v="243"/>
      <x v="334"/>
      <x v="6"/>
    </i>
    <i r="1">
      <x v="244"/>
      <x v="336"/>
      <x v="6"/>
    </i>
    <i r="1">
      <x v="245"/>
      <x v="338"/>
      <x v="41"/>
    </i>
    <i r="1">
      <x v="246"/>
      <x v="342"/>
      <x v="4"/>
    </i>
    <i r="1">
      <x v="247"/>
      <x v="343"/>
      <x v="4"/>
    </i>
    <i r="1">
      <x v="248"/>
      <x v="349"/>
      <x v="41"/>
    </i>
    <i r="1">
      <x v="295"/>
      <x v="362"/>
      <x v="64"/>
    </i>
    <i r="1">
      <x v="296"/>
      <x v="56"/>
      <x v="41"/>
    </i>
    <i r="1">
      <x v="297"/>
      <x v="61"/>
      <x v="64"/>
    </i>
    <i r="1">
      <x v="298"/>
      <x v="62"/>
      <x v="31"/>
    </i>
    <i r="1">
      <x v="299"/>
      <x v="151"/>
      <x v="31"/>
    </i>
    <i r="1">
      <x v="300"/>
      <x v="170"/>
      <x v="41"/>
    </i>
    <i r="1">
      <x v="301"/>
      <x v="192"/>
      <x v="64"/>
    </i>
    <i r="1">
      <x v="302"/>
      <x v="194"/>
      <x v="35"/>
    </i>
    <i r="1">
      <x v="303"/>
      <x v="224"/>
      <x v="62"/>
    </i>
    <i r="1">
      <x v="304"/>
      <x v="276"/>
      <x v="41"/>
    </i>
    <i r="1">
      <x v="305"/>
      <x v="279"/>
      <x v="39"/>
    </i>
    <i r="1">
      <x v="306"/>
      <x v="288"/>
      <x v="24"/>
    </i>
    <i r="1">
      <x v="307"/>
      <x v="289"/>
      <x v="41"/>
    </i>
    <i r="1">
      <x v="308"/>
      <x v="292"/>
      <x v="41"/>
    </i>
    <i r="1">
      <x v="309"/>
      <x v="306"/>
      <x v="41"/>
    </i>
    <i r="1">
      <x v="310"/>
      <x v="307"/>
      <x v="41"/>
    </i>
    <i r="1">
      <x v="311"/>
      <x v="308"/>
      <x v="41"/>
    </i>
    <i r="1">
      <x v="312"/>
      <x v="309"/>
      <x v="4"/>
    </i>
    <i r="1">
      <x v="313"/>
      <x v="310"/>
      <x v="4"/>
    </i>
    <i r="1">
      <x v="314"/>
      <x v="312"/>
      <x v="22"/>
    </i>
    <i r="1">
      <x v="315"/>
      <x v="349"/>
      <x v="41"/>
    </i>
    <i r="1">
      <x v="342"/>
      <x v="4"/>
      <x v="2"/>
    </i>
    <i r="1">
      <x v="343"/>
      <x v="5"/>
      <x v="2"/>
    </i>
    <i r="1">
      <x v="344"/>
      <x v="27"/>
      <x v="2"/>
    </i>
    <i r="1">
      <x v="345"/>
      <x v="28"/>
      <x v="2"/>
    </i>
    <i r="1">
      <x v="346"/>
      <x v="56"/>
      <x v="41"/>
    </i>
    <i r="1">
      <x v="347"/>
      <x v="61"/>
      <x v="64"/>
    </i>
    <i r="1">
      <x v="348"/>
      <x v="62"/>
      <x v="31"/>
    </i>
    <i r="1">
      <x v="349"/>
      <x v="118"/>
      <x v="41"/>
    </i>
    <i r="1">
      <x v="350"/>
      <x v="190"/>
      <x v="31"/>
    </i>
    <i r="1">
      <x v="351"/>
      <x v="192"/>
      <x v="22"/>
    </i>
    <i r="1">
      <x v="352"/>
      <x v="280"/>
      <x v="19"/>
    </i>
    <i r="1">
      <x v="353"/>
      <x v="288"/>
      <x v="24"/>
    </i>
    <i r="3">
      <x v="64"/>
    </i>
    <i r="1">
      <x v="354"/>
      <x v="339"/>
      <x v="4"/>
    </i>
    <i r="1">
      <x v="355"/>
      <x v="340"/>
      <x v="4"/>
    </i>
    <i r="1">
      <x v="356"/>
      <x v="349"/>
      <x v="41"/>
    </i>
    <i r="1">
      <x v="376"/>
      <x v="56"/>
      <x v="41"/>
    </i>
    <i r="1">
      <x v="377"/>
      <x v="288"/>
      <x v="24"/>
    </i>
    <i r="1">
      <x v="378"/>
      <x v="349"/>
      <x v="41"/>
    </i>
    <i r="1">
      <x v="397"/>
      <x v="6"/>
      <x v="2"/>
    </i>
    <i r="1">
      <x v="398"/>
      <x v="7"/>
      <x v="2"/>
    </i>
    <i r="1">
      <x v="399"/>
      <x v="16"/>
      <x v="2"/>
    </i>
    <i r="1">
      <x v="400"/>
      <x v="24"/>
      <x v="2"/>
    </i>
    <i r="1">
      <x v="401"/>
      <x v="27"/>
      <x v="2"/>
    </i>
    <i r="1">
      <x v="402"/>
      <x v="28"/>
      <x v="2"/>
    </i>
    <i r="1">
      <x v="403"/>
      <x v="61"/>
      <x v="41"/>
    </i>
    <i r="1">
      <x v="404"/>
      <x v="192"/>
      <x v="22"/>
    </i>
    <i r="1">
      <x v="405"/>
      <x v="194"/>
      <x v="35"/>
    </i>
    <i r="1">
      <x v="406"/>
      <x v="274"/>
      <x v="4"/>
    </i>
    <i r="1">
      <x v="407"/>
      <x v="275"/>
      <x v="4"/>
    </i>
    <i r="1">
      <x v="408"/>
      <x v="288"/>
      <x v="24"/>
    </i>
    <i r="1">
      <x v="409"/>
      <x v="344"/>
      <x v="41"/>
    </i>
    <i r="1">
      <x v="410"/>
      <x v="345"/>
      <x v="41"/>
    </i>
    <i r="1">
      <x v="411"/>
      <x v="346"/>
      <x v="41"/>
    </i>
    <i r="1">
      <x v="412"/>
      <x v="347"/>
      <x v="41"/>
    </i>
    <i r="1">
      <x v="413"/>
      <x v="349"/>
      <x v="41"/>
    </i>
    <i r="1">
      <x v="443"/>
      <x v="14"/>
      <x v="2"/>
    </i>
    <i r="1">
      <x v="444"/>
      <x v="61"/>
      <x v="64"/>
    </i>
    <i r="1">
      <x v="445"/>
      <x v="192"/>
      <x v="22"/>
    </i>
    <i r="1">
      <x v="446"/>
      <x v="194"/>
      <x v="64"/>
    </i>
    <i r="1">
      <x v="447"/>
      <x v="288"/>
      <x v="24"/>
    </i>
    <i r="1">
      <x v="448"/>
      <x v="349"/>
      <x v="41"/>
    </i>
    <i r="1">
      <x v="524"/>
      <x v="35"/>
      <x v="64"/>
    </i>
    <i r="1">
      <x v="525"/>
      <x v="36"/>
      <x v="64"/>
    </i>
    <i r="1">
      <x v="526"/>
      <x v="38"/>
      <x v="41"/>
    </i>
    <i r="1">
      <x v="527"/>
      <x v="39"/>
      <x v="41"/>
    </i>
    <i r="1">
      <x v="528"/>
      <x v="40"/>
      <x v="41"/>
    </i>
    <i r="1">
      <x v="529"/>
      <x v="41"/>
      <x v="41"/>
    </i>
    <i r="1">
      <x v="530"/>
      <x v="47"/>
      <x v="64"/>
    </i>
    <i r="1">
      <x v="531"/>
      <x v="48"/>
      <x v="64"/>
    </i>
    <i r="1">
      <x v="532"/>
      <x v="50"/>
      <x v="28"/>
    </i>
    <i r="1">
      <x v="533"/>
      <x v="56"/>
      <x v="41"/>
    </i>
    <i r="1">
      <x v="534"/>
      <x v="63"/>
      <x v="20"/>
    </i>
    <i r="1">
      <x v="535"/>
      <x v="184"/>
      <x v="25"/>
    </i>
    <i r="1">
      <x v="536"/>
      <x v="191"/>
      <x v="64"/>
    </i>
    <i r="1">
      <x v="537"/>
      <x v="192"/>
      <x v="22"/>
    </i>
    <i r="1">
      <x v="538"/>
      <x v="194"/>
      <x v="35"/>
    </i>
    <i r="1">
      <x v="539"/>
      <x v="211"/>
      <x v="31"/>
    </i>
    <i r="1">
      <x v="540"/>
      <x v="288"/>
      <x v="24"/>
    </i>
    <i r="1">
      <x v="541"/>
      <x v="291"/>
      <x v="31"/>
    </i>
    <i r="1">
      <x v="542"/>
      <x v="318"/>
      <x v="41"/>
    </i>
    <i r="1">
      <x v="543"/>
      <x v="319"/>
      <x v="41"/>
    </i>
    <i r="1">
      <x v="544"/>
      <x v="320"/>
      <x v="41"/>
    </i>
    <i r="1">
      <x v="545"/>
      <x v="349"/>
      <x v="41"/>
    </i>
    <i r="1">
      <x v="572"/>
      <x v="56"/>
      <x v="41"/>
    </i>
    <i r="1">
      <x v="573"/>
      <x v="192"/>
      <x v="22"/>
    </i>
    <i r="1">
      <x v="574"/>
      <x v="194"/>
      <x v="35"/>
    </i>
    <i r="1">
      <x v="575"/>
      <x v="204"/>
      <x v="32"/>
    </i>
    <i r="1">
      <x v="576"/>
      <x v="288"/>
      <x v="24"/>
    </i>
    <i r="1">
      <x v="577"/>
      <x v="341"/>
      <x v="41"/>
    </i>
    <i r="1">
      <x v="578"/>
      <x v="349"/>
      <x v="41"/>
    </i>
    <i t="default">
      <x v="8"/>
    </i>
    <i>
      <x v="9"/>
      <x v="249"/>
      <x v="358"/>
      <x v="41"/>
    </i>
    <i r="1">
      <x v="316"/>
      <x v="358"/>
      <x v="41"/>
    </i>
    <i r="1">
      <x v="449"/>
      <x v="358"/>
      <x v="41"/>
    </i>
    <i r="1">
      <x v="546"/>
      <x v="355"/>
      <x v="41"/>
    </i>
    <i r="1">
      <x v="547"/>
      <x v="356"/>
      <x v="41"/>
    </i>
    <i r="1">
      <x v="548"/>
      <x v="358"/>
      <x v="41"/>
    </i>
    <i r="1">
      <x v="579"/>
      <x v="358"/>
      <x v="41"/>
    </i>
    <i t="default">
      <x v="9"/>
    </i>
    <i>
      <x v="10"/>
      <x v="250"/>
      <x v="359"/>
      <x v="63"/>
    </i>
    <i r="1">
      <x v="317"/>
      <x v="359"/>
      <x v="63"/>
    </i>
    <i r="1">
      <x v="450"/>
      <x v="359"/>
      <x v="63"/>
    </i>
    <i r="1">
      <x v="549"/>
      <x v="55"/>
      <x v="25"/>
    </i>
    <i r="1">
      <x v="550"/>
      <x v="219"/>
      <x v="41"/>
    </i>
    <i r="1">
      <x v="551"/>
      <x v="357"/>
      <x v="41"/>
    </i>
    <i r="1">
      <x v="552"/>
      <x v="359"/>
      <x v="63"/>
    </i>
    <i r="1">
      <x v="553"/>
      <x v="360"/>
      <x v="48"/>
    </i>
    <i r="1">
      <x v="580"/>
      <x v="359"/>
      <x v="63"/>
    </i>
    <i t="default">
      <x v="10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Sum of 2026 LE0" fld="21" baseField="0" baseItem="0"/>
    <dataField name="Sum of LE2 Final Submission" fld="22" baseField="0" baseItem="0"/>
    <dataField name="Sum of LE3 Final Submission" fld="23" baseField="1" baseItem="3"/>
    <dataField name="Sum of LE4 Final Submission" fld="24" baseField="1" baseItem="3"/>
    <dataField name="Sum of AP01" fld="25" baseField="0" baseItem="0"/>
    <dataField name="Sum of AP02" fld="26" baseField="0" baseItem="0"/>
    <dataField name="Sum of AP03" fld="27" baseField="0" baseItem="0"/>
    <dataField name="Sum of AP04" fld="28" baseField="1" baseItem="0"/>
    <dataField name="Sum of AP05" fld="29" baseField="0" baseItem="0"/>
    <dataField name="Sum of AP06" fld="30" baseField="0" baseItem="0"/>
    <dataField name="Sum of AP07" fld="31" baseField="0" baseItem="0"/>
    <dataField name="Sum of AP08" fld="32" baseField="0" baseItem="0"/>
    <dataField name="Sum of AP09" fld="33" baseField="0" baseItem="0"/>
    <dataField name="Sum of AP10" fld="34" baseField="0" baseItem="0"/>
    <dataField name="Sum of AP11" fld="35" baseField="0" baseItem="0"/>
    <dataField name="Sum of AP12" fld="36" baseField="0" baseItem="0"/>
    <dataField name="Sum of 2026 Working Total" fld="37" baseField="0" baseItem="0"/>
    <dataField name="Sum of 2026 Working Total to Budget/LE" fld="38" baseField="0" baseItem="0" numFmtId="167"/>
  </dataFields>
  <formats count="229">
    <format dxfId="69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5" selected="0">
            <x v="2"/>
            <x v="3"/>
            <x v="4"/>
            <x v="5"/>
            <x v="6"/>
          </reference>
          <reference field="14" count="5" selected="0">
            <x v="56"/>
            <x v="60"/>
            <x v="61"/>
            <x v="62"/>
            <x v="80"/>
          </reference>
        </references>
      </pivotArea>
    </format>
    <format dxfId="69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9" selected="0">
            <x v="8"/>
            <x v="9"/>
            <x v="10"/>
            <x v="11"/>
            <x v="12"/>
            <x v="13"/>
            <x v="14"/>
            <x v="15"/>
            <x v="16"/>
          </reference>
          <reference field="14" count="9" selected="0"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69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8"/>
          </reference>
          <reference field="14" count="1" selected="0">
            <x v="101"/>
          </reference>
        </references>
      </pivotArea>
    </format>
    <format dxfId="69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29"/>
            <x v="30"/>
            <x v="31"/>
            <x v="32"/>
          </reference>
          <reference field="14" count="4" selected="0">
            <x v="112"/>
            <x v="113"/>
            <x v="115"/>
            <x v="119"/>
          </reference>
        </references>
      </pivotArea>
    </format>
    <format dxfId="69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1" selected="0"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14" count="11" selected="0">
            <x v="125"/>
            <x v="132"/>
            <x v="134"/>
            <x v="146"/>
            <x v="147"/>
            <x v="164"/>
            <x v="169"/>
            <x v="177"/>
            <x v="179"/>
            <x v="181"/>
            <x v="182"/>
          </reference>
        </references>
      </pivotArea>
    </format>
    <format dxfId="69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7"/>
          </reference>
          <reference field="14" count="1" selected="0">
            <x v="349"/>
          </reference>
        </references>
      </pivotArea>
    </format>
    <format dxfId="69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49"/>
            <x v="50"/>
            <x v="51"/>
            <x v="52"/>
          </reference>
          <reference field="14" count="4" selected="0">
            <x v="29"/>
            <x v="30"/>
            <x v="31"/>
            <x v="64"/>
          </reference>
        </references>
      </pivotArea>
    </format>
    <format dxfId="70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4"/>
          </reference>
          <reference field="14" count="1" selected="0">
            <x v="42"/>
          </reference>
        </references>
      </pivotArea>
    </format>
    <format dxfId="70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6"/>
            <x v="57"/>
          </reference>
          <reference field="14" count="2" selected="0">
            <x v="44"/>
            <x v="45"/>
          </reference>
        </references>
      </pivotArea>
    </format>
    <format dxfId="70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61"/>
          </reference>
          <reference field="14" count="1" selected="0">
            <x v="191"/>
          </reference>
        </references>
      </pivotArea>
    </format>
    <format dxfId="70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71"/>
            <x v="72"/>
            <x v="73"/>
            <x v="74"/>
          </reference>
          <reference field="14" count="4" selected="0">
            <x v="32"/>
            <x v="33"/>
            <x v="34"/>
            <x v="37"/>
          </reference>
        </references>
      </pivotArea>
    </format>
    <format dxfId="70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76"/>
          </reference>
          <reference field="14" count="1" selected="0">
            <x v="41"/>
          </reference>
        </references>
      </pivotArea>
    </format>
    <format dxfId="70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78"/>
          </reference>
          <reference field="14" count="1" selected="0">
            <x v="47"/>
          </reference>
        </references>
      </pivotArea>
    </format>
    <format dxfId="70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  <reference field="14" count="12" selected="0">
            <x v="61"/>
            <x v="62"/>
            <x v="69"/>
            <x v="80"/>
            <x v="120"/>
            <x v="122"/>
            <x v="127"/>
            <x v="128"/>
            <x v="131"/>
            <x v="132"/>
            <x v="135"/>
            <x v="136"/>
          </reference>
        </references>
      </pivotArea>
    </format>
    <format dxfId="70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6" selected="0">
            <x v="93"/>
            <x v="94"/>
            <x v="95"/>
            <x v="96"/>
            <x v="97"/>
            <x v="98"/>
          </reference>
          <reference field="14" count="6" selected="0">
            <x v="145"/>
            <x v="148"/>
            <x v="149"/>
            <x v="155"/>
            <x v="156"/>
            <x v="157"/>
          </reference>
        </references>
      </pivotArea>
    </format>
    <format dxfId="70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9" selected="0">
            <x v="101"/>
            <x v="102"/>
            <x v="103"/>
            <x v="104"/>
            <x v="105"/>
            <x v="106"/>
            <x v="107"/>
            <x v="108"/>
            <x v="109"/>
          </reference>
          <reference field="14" count="9" selected="0">
            <x v="163"/>
            <x v="164"/>
            <x v="169"/>
            <x v="189"/>
            <x v="191"/>
            <x v="193"/>
            <x v="199"/>
            <x v="200"/>
            <x v="205"/>
          </reference>
        </references>
      </pivotArea>
    </format>
    <format dxfId="70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7" selected="0">
            <x v="112"/>
            <x v="113"/>
            <x v="114"/>
            <x v="115"/>
            <x v="116"/>
            <x v="117"/>
            <x v="118"/>
          </reference>
          <reference field="14" count="7" selected="0">
            <x v="208"/>
            <x v="209"/>
            <x v="210"/>
            <x v="212"/>
            <x v="313"/>
            <x v="334"/>
            <x v="349"/>
          </reference>
        </references>
      </pivotArea>
    </format>
    <format dxfId="71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21"/>
          </reference>
          <reference field="14" count="1" selected="0">
            <x v="352"/>
          </reference>
        </references>
      </pivotArea>
    </format>
    <format dxfId="71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23"/>
          </reference>
          <reference field="14" count="1" selected="0">
            <x v="0"/>
          </reference>
        </references>
      </pivotArea>
    </format>
    <format dxfId="71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130"/>
            <x v="131"/>
          </reference>
          <reference field="14" count="2" selected="0">
            <x v="35"/>
            <x v="36"/>
          </reference>
        </references>
      </pivotArea>
    </format>
    <format dxfId="71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35"/>
          </reference>
          <reference field="14" count="1" selected="0">
            <x v="47"/>
          </reference>
        </references>
      </pivotArea>
    </format>
    <format dxfId="71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37"/>
          </reference>
          <reference field="14" count="1" selected="0">
            <x v="56"/>
          </reference>
        </references>
      </pivotArea>
    </format>
    <format dxfId="71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7" selected="0">
            <x v="139"/>
            <x v="140"/>
            <x v="141"/>
            <x v="142"/>
            <x v="143"/>
            <x v="144"/>
            <x v="145"/>
          </reference>
          <reference field="14" count="7" selected="0">
            <x v="62"/>
            <x v="155"/>
            <x v="156"/>
            <x v="190"/>
            <x v="191"/>
            <x v="192"/>
            <x v="194"/>
          </reference>
        </references>
      </pivotArea>
    </format>
    <format dxfId="71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55"/>
          </reference>
          <reference field="14" count="1" selected="0">
            <x v="229"/>
          </reference>
        </references>
      </pivotArea>
    </format>
    <format dxfId="71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82"/>
          </reference>
          <reference field="14" count="1" selected="0">
            <x v="256"/>
          </reference>
        </references>
      </pivotArea>
    </format>
    <format dxfId="71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96"/>
          </reference>
          <reference field="14" count="1" selected="0">
            <x v="270"/>
          </reference>
        </references>
      </pivotArea>
    </format>
    <format dxfId="71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09"/>
            <x v="210"/>
          </reference>
          <reference field="14" count="2" selected="0">
            <x v="288"/>
            <x v="290"/>
          </reference>
        </references>
      </pivotArea>
    </format>
    <format dxfId="72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218"/>
            <x v="219"/>
            <x v="220"/>
          </reference>
          <reference field="14" count="3" selected="0">
            <x v="300"/>
            <x v="301"/>
            <x v="302"/>
          </reference>
        </references>
      </pivotArea>
    </format>
    <format dxfId="72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23"/>
          </reference>
          <reference field="14" count="1" selected="0">
            <x v="305"/>
          </reference>
        </references>
      </pivotArea>
    </format>
    <format dxfId="72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25"/>
          </reference>
          <reference field="14" count="1" selected="0">
            <x v="313"/>
          </reference>
        </references>
      </pivotArea>
    </format>
    <format dxfId="72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35"/>
          </reference>
          <reference field="14" count="1" selected="0">
            <x v="326"/>
          </reference>
        </references>
      </pivotArea>
    </format>
    <format dxfId="72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38"/>
          </reference>
          <reference field="14" count="1" selected="0">
            <x v="329"/>
          </reference>
        </references>
      </pivotArea>
    </format>
    <format dxfId="72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42"/>
          </reference>
          <reference field="14" count="1" selected="0">
            <x v="333"/>
          </reference>
        </references>
      </pivotArea>
    </format>
    <format dxfId="72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248"/>
            <x v="249"/>
            <x v="250"/>
          </reference>
          <reference field="14" count="3" selected="0">
            <x v="349"/>
            <x v="358"/>
            <x v="359"/>
          </reference>
        </references>
      </pivotArea>
    </format>
    <format dxfId="72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53"/>
          </reference>
          <reference field="14" count="1" selected="0">
            <x v="60"/>
          </reference>
        </references>
      </pivotArea>
    </format>
    <format dxfId="72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58"/>
            <x v="259"/>
          </reference>
          <reference field="14" count="2" selected="0">
            <x v="61"/>
            <x v="78"/>
          </reference>
        </references>
      </pivotArea>
    </format>
    <format dxfId="72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65"/>
          </reference>
          <reference field="14" count="1" selected="0">
            <x v="114"/>
          </reference>
        </references>
      </pivotArea>
    </format>
    <format dxfId="73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67"/>
            <x v="268"/>
          </reference>
          <reference field="14" count="2" selected="0">
            <x v="138"/>
            <x v="139"/>
          </reference>
        </references>
      </pivotArea>
    </format>
    <format dxfId="73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71"/>
          </reference>
          <reference field="14" count="1" selected="0">
            <x v="154"/>
          </reference>
        </references>
      </pivotArea>
    </format>
    <format dxfId="73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73"/>
            <x v="274"/>
          </reference>
          <reference field="14" count="2" selected="0">
            <x v="170"/>
            <x v="172"/>
          </reference>
        </references>
      </pivotArea>
    </format>
    <format dxfId="73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76"/>
          </reference>
          <reference field="14" count="1" selected="0">
            <x v="349"/>
          </reference>
        </references>
      </pivotArea>
    </format>
    <format dxfId="73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8" selected="0">
            <x v="279"/>
            <x v="280"/>
            <x v="281"/>
            <x v="282"/>
            <x v="283"/>
            <x v="284"/>
            <x v="285"/>
            <x v="286"/>
          </reference>
          <reference field="14" count="8" selected="0">
            <x v="61"/>
            <x v="62"/>
            <x v="151"/>
            <x v="152"/>
            <x v="153"/>
            <x v="154"/>
            <x v="167"/>
            <x v="168"/>
          </reference>
        </references>
      </pivotArea>
    </format>
    <format dxfId="73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289"/>
            <x v="290"/>
            <x v="291"/>
            <x v="292"/>
          </reference>
          <reference field="14" count="4" selected="0">
            <x v="175"/>
            <x v="176"/>
            <x v="193"/>
            <x v="349"/>
          </reference>
        </references>
      </pivotArea>
    </format>
    <format dxfId="73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94"/>
          </reference>
          <reference field="14" count="1" selected="0">
            <x v="352"/>
          </reference>
        </references>
      </pivotArea>
    </format>
    <format dxfId="73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297"/>
            <x v="298"/>
            <x v="299"/>
          </reference>
          <reference field="14" count="3" selected="0">
            <x v="61"/>
            <x v="62"/>
            <x v="151"/>
          </reference>
        </references>
      </pivotArea>
    </format>
    <format dxfId="73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301"/>
            <x v="302"/>
          </reference>
          <reference field="14" count="2" selected="0">
            <x v="192"/>
            <x v="194"/>
          </reference>
        </references>
      </pivotArea>
    </format>
    <format dxfId="73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06"/>
          </reference>
          <reference field="14" count="1" selected="0">
            <x v="288"/>
          </reference>
        </references>
      </pivotArea>
    </format>
    <format dxfId="74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08"/>
          </reference>
          <reference field="14" count="1" selected="0">
            <x v="292"/>
          </reference>
        </references>
      </pivotArea>
    </format>
    <format dxfId="74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11"/>
          </reference>
          <reference field="14" count="1" selected="0">
            <x v="308"/>
          </reference>
        </references>
      </pivotArea>
    </format>
    <format dxfId="74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16"/>
          </reference>
          <reference field="14" count="1" selected="0">
            <x v="358"/>
          </reference>
        </references>
      </pivotArea>
    </format>
    <format dxfId="74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18"/>
          </reference>
          <reference field="14" count="1" selected="0">
            <x v="60"/>
          </reference>
        </references>
      </pivotArea>
    </format>
    <format dxfId="74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320"/>
            <x v="321"/>
            <x v="322"/>
          </reference>
          <reference field="14" count="3" selected="0">
            <x v="61"/>
            <x v="62"/>
            <x v="133"/>
          </reference>
        </references>
      </pivotArea>
    </format>
    <format dxfId="74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  <reference field="14" count="12" selected="0">
            <x v="41"/>
            <x v="50"/>
            <x v="61"/>
            <x v="62"/>
            <x v="121"/>
            <x v="133"/>
            <x v="163"/>
            <x v="178"/>
            <x v="191"/>
            <x v="193"/>
            <x v="213"/>
            <x v="335"/>
          </reference>
        </references>
      </pivotArea>
    </format>
    <format dxfId="74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41"/>
          </reference>
          <reference field="14" count="1" selected="0">
            <x v="352"/>
          </reference>
        </references>
      </pivotArea>
    </format>
    <format dxfId="74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348"/>
            <x v="349"/>
          </reference>
          <reference field="14" count="2" selected="0">
            <x v="62"/>
            <x v="118"/>
          </reference>
        </references>
      </pivotArea>
    </format>
    <format dxfId="74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53"/>
          </reference>
          <reference field="14" count="1" selected="0">
            <x v="288"/>
          </reference>
        </references>
      </pivotArea>
    </format>
    <format dxfId="74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357"/>
            <x v="358"/>
            <x v="359"/>
          </reference>
          <reference field="14" count="3" selected="0">
            <x v="62"/>
            <x v="71"/>
            <x v="76"/>
          </reference>
        </references>
      </pivotArea>
    </format>
    <format dxfId="75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61"/>
          </reference>
          <reference field="14" count="1" selected="0">
            <x v="82"/>
          </reference>
        </references>
      </pivotArea>
    </format>
    <format dxfId="75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363"/>
            <x v="364"/>
            <x v="365"/>
          </reference>
          <reference field="14" count="3" selected="0">
            <x v="137"/>
            <x v="159"/>
            <x v="168"/>
          </reference>
        </references>
      </pivotArea>
    </format>
    <format dxfId="75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6" selected="0">
            <x v="370"/>
            <x v="371"/>
            <x v="372"/>
            <x v="373"/>
            <x v="374"/>
            <x v="375"/>
          </reference>
          <reference field="14" count="6" selected="0">
            <x v="62"/>
            <x v="126"/>
            <x v="137"/>
            <x v="191"/>
            <x v="193"/>
            <x v="349"/>
          </reference>
        </references>
      </pivotArea>
    </format>
    <format dxfId="75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377"/>
            <x v="378"/>
            <x v="379"/>
            <x v="380"/>
          </reference>
          <reference field="14" count="4" selected="0">
            <x v="61"/>
            <x v="116"/>
            <x v="288"/>
            <x v="349"/>
          </reference>
        </references>
      </pivotArea>
    </format>
    <format dxfId="75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83"/>
          </reference>
          <reference field="14" count="1" selected="0">
            <x v="345"/>
          </reference>
        </references>
      </pivotArea>
    </format>
    <format dxfId="75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388"/>
            <x v="389"/>
            <x v="390"/>
          </reference>
          <reference field="14" count="3" selected="0">
            <x v="61"/>
            <x v="62"/>
            <x v="121"/>
          </reference>
        </references>
      </pivotArea>
    </format>
    <format dxfId="75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93"/>
          </reference>
          <reference field="14" count="1" selected="0">
            <x v="193"/>
          </reference>
        </references>
      </pivotArea>
    </format>
    <format dxfId="75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96"/>
          </reference>
          <reference field="14" count="1" selected="0">
            <x v="352"/>
          </reference>
        </references>
      </pivotArea>
    </format>
    <format dxfId="75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00"/>
          </reference>
          <reference field="14" count="1" selected="0">
            <x v="24"/>
          </reference>
        </references>
      </pivotArea>
    </format>
    <format dxfId="75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04"/>
            <x v="405"/>
          </reference>
          <reference field="14" count="2" selected="0">
            <x v="192"/>
            <x v="194"/>
          </reference>
        </references>
      </pivotArea>
    </format>
    <format dxfId="76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08"/>
          </reference>
          <reference field="14" count="1" selected="0">
            <x v="288"/>
          </reference>
        </references>
      </pivotArea>
    </format>
    <format dxfId="76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10"/>
          </reference>
          <reference field="14" count="1" selected="0">
            <x v="345"/>
          </reference>
        </references>
      </pivotArea>
    </format>
    <format dxfId="76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16"/>
          </reference>
          <reference field="14" count="1" selected="0">
            <x v="60"/>
          </reference>
        </references>
      </pivotArea>
    </format>
    <format dxfId="76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</reference>
          <reference field="14" count="12" selected="0">
            <x v="22"/>
            <x v="23"/>
            <x v="61"/>
            <x v="70"/>
            <x v="72"/>
            <x v="73"/>
            <x v="74"/>
            <x v="75"/>
            <x v="79"/>
            <x v="81"/>
            <x v="89"/>
            <x v="162"/>
          </reference>
        </references>
      </pivotArea>
    </format>
    <format dxfId="76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32"/>
            <x v="433"/>
          </reference>
          <reference field="14" count="2" selected="0">
            <x v="171"/>
            <x v="349"/>
          </reference>
        </references>
      </pivotArea>
    </format>
    <format dxfId="76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5" selected="0">
            <x v="435"/>
            <x v="436"/>
            <x v="437"/>
            <x v="438"/>
            <x v="439"/>
          </reference>
          <reference field="14" count="5" selected="0">
            <x v="61"/>
            <x v="152"/>
            <x v="153"/>
            <x v="166"/>
            <x v="193"/>
          </reference>
        </references>
      </pivotArea>
    </format>
    <format dxfId="76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441"/>
            <x v="442"/>
            <x v="443"/>
            <x v="444"/>
          </reference>
          <reference field="14" count="4" selected="0">
            <x v="14"/>
            <x v="61"/>
            <x v="348"/>
            <x v="349"/>
          </reference>
        </references>
      </pivotArea>
    </format>
    <format dxfId="76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46"/>
            <x v="447"/>
          </reference>
          <reference field="14" count="2" selected="0">
            <x v="194"/>
            <x v="288"/>
          </reference>
        </references>
      </pivotArea>
    </format>
    <format dxfId="76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49"/>
          </reference>
          <reference field="14" count="1" selected="0">
            <x v="358"/>
          </reference>
        </references>
      </pivotArea>
    </format>
    <format dxfId="76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52"/>
          </reference>
          <reference field="14" count="1" selected="0">
            <x v="58"/>
          </reference>
        </references>
      </pivotArea>
    </format>
    <format dxfId="77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454"/>
            <x v="455"/>
            <x v="456"/>
            <x v="457"/>
          </reference>
          <reference field="14" count="4" selected="0">
            <x v="49"/>
            <x v="50"/>
            <x v="60"/>
            <x v="361"/>
          </reference>
        </references>
      </pivotArea>
    </format>
    <format dxfId="77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60"/>
          </reference>
          <reference field="14" count="1" selected="0">
            <x v="53"/>
          </reference>
        </references>
      </pivotArea>
    </format>
    <format dxfId="77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62"/>
            <x v="463"/>
          </reference>
          <reference field="14" count="2" selected="0">
            <x v="62"/>
            <x v="66"/>
          </reference>
        </references>
      </pivotArea>
    </format>
    <format dxfId="77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66"/>
            <x v="467"/>
          </reference>
          <reference field="14" count="2" selected="0">
            <x v="75"/>
            <x v="79"/>
          </reference>
        </references>
      </pivotArea>
    </format>
    <format dxfId="77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69"/>
          </reference>
          <reference field="14" count="1" selected="0">
            <x v="100"/>
          </reference>
        </references>
      </pivotArea>
    </format>
    <format dxfId="77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71"/>
          </reference>
          <reference field="14" count="1" selected="0">
            <x v="183"/>
          </reference>
        </references>
      </pivotArea>
    </format>
    <format dxfId="77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74"/>
            <x v="475"/>
          </reference>
          <reference field="14" count="2" selected="0">
            <x v="187"/>
            <x v="188"/>
          </reference>
        </references>
      </pivotArea>
    </format>
    <format dxfId="77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78"/>
            <x v="479"/>
          </reference>
          <reference field="14" count="2" selected="0">
            <x v="219"/>
            <x v="349"/>
          </reference>
        </references>
      </pivotArea>
    </format>
    <format dxfId="77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82"/>
            <x v="483"/>
          </reference>
          <reference field="14" count="2" selected="0">
            <x v="64"/>
            <x v="65"/>
          </reference>
        </references>
      </pivotArea>
    </format>
    <format dxfId="77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85"/>
          </reference>
          <reference field="14" count="1" selected="0">
            <x v="42"/>
          </reference>
        </references>
      </pivotArea>
    </format>
    <format dxfId="78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87"/>
          </reference>
          <reference field="14" count="1" selected="0">
            <x v="45"/>
          </reference>
        </references>
      </pivotArea>
    </format>
    <format dxfId="78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489"/>
            <x v="490"/>
            <x v="491"/>
            <x v="492"/>
          </reference>
          <reference field="14" count="4" selected="0">
            <x v="34"/>
            <x v="191"/>
            <x v="201"/>
            <x v="349"/>
          </reference>
        </references>
      </pivotArea>
    </format>
    <format dxfId="78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95"/>
          </reference>
          <reference field="14" count="1" selected="0">
            <x v="47"/>
          </reference>
        </references>
      </pivotArea>
    </format>
    <format dxfId="78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497"/>
            <x v="498"/>
            <x v="499"/>
            <x v="500"/>
          </reference>
          <reference field="14" count="4" selected="0">
            <x v="49"/>
            <x v="50"/>
            <x v="53"/>
            <x v="62"/>
          </reference>
        </references>
      </pivotArea>
    </format>
    <format dxfId="78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</reference>
          <reference field="14" count="12" selected="0">
            <x v="130"/>
            <x v="175"/>
            <x v="180"/>
            <x v="184"/>
            <x v="186"/>
            <x v="191"/>
            <x v="193"/>
            <x v="202"/>
            <x v="211"/>
            <x v="337"/>
            <x v="349"/>
            <x v="351"/>
          </reference>
        </references>
      </pivotArea>
    </format>
    <format dxfId="78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17"/>
          </reference>
          <reference field="14" count="1" selected="0">
            <x v="352"/>
          </reference>
        </references>
      </pivotArea>
    </format>
    <format dxfId="78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21"/>
          </reference>
          <reference field="14" count="1" selected="0">
            <x v="349"/>
          </reference>
        </references>
      </pivotArea>
    </format>
    <format dxfId="78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24"/>
            <x v="525"/>
          </reference>
          <reference field="14" count="2" selected="0">
            <x v="35"/>
            <x v="36"/>
          </reference>
        </references>
      </pivotArea>
    </format>
    <format dxfId="78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29"/>
            <x v="530"/>
          </reference>
          <reference field="14" count="2" selected="0">
            <x v="41"/>
            <x v="47"/>
          </reference>
        </references>
      </pivotArea>
    </format>
    <format dxfId="78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32"/>
            <x v="533"/>
          </reference>
          <reference field="14" count="2" selected="0">
            <x v="50"/>
            <x v="56"/>
          </reference>
        </references>
      </pivotArea>
    </format>
    <format dxfId="79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36"/>
            <x v="537"/>
            <x v="538"/>
          </reference>
          <reference field="14" count="3" selected="0">
            <x v="191"/>
            <x v="192"/>
            <x v="194"/>
          </reference>
        </references>
      </pivotArea>
    </format>
    <format dxfId="79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40"/>
            <x v="541"/>
          </reference>
          <reference field="14" count="2" selected="0">
            <x v="288"/>
            <x v="291"/>
          </reference>
        </references>
      </pivotArea>
    </format>
    <format dxfId="79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43"/>
            <x v="544"/>
            <x v="545"/>
          </reference>
          <reference field="14" count="3" selected="0">
            <x v="319"/>
            <x v="320"/>
            <x v="349"/>
          </reference>
        </references>
      </pivotArea>
    </format>
    <format dxfId="793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48"/>
          </reference>
          <reference field="14" count="1" selected="0">
            <x v="358"/>
          </reference>
        </references>
      </pivotArea>
    </format>
    <format dxfId="794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52"/>
            <x v="553"/>
            <x v="554"/>
          </reference>
          <reference field="14" count="3" selected="0">
            <x v="25"/>
            <x v="359"/>
            <x v="360"/>
          </reference>
        </references>
      </pivotArea>
    </format>
    <format dxfId="795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57"/>
            <x v="558"/>
          </reference>
          <reference field="14" count="2" selected="0">
            <x v="60"/>
            <x v="61"/>
          </reference>
        </references>
      </pivotArea>
    </format>
    <format dxfId="796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60"/>
          </reference>
          <reference field="14" count="1" selected="0">
            <x v="141"/>
          </reference>
        </references>
      </pivotArea>
    </format>
    <format dxfId="797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62"/>
          </reference>
          <reference field="14" count="1" selected="0">
            <x v="349"/>
          </reference>
        </references>
      </pivotArea>
    </format>
    <format dxfId="798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64"/>
          </reference>
          <reference field="14" count="1" selected="0">
            <x v="191"/>
          </reference>
        </references>
      </pivotArea>
    </format>
    <format dxfId="799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66"/>
          </reference>
          <reference field="14" count="1" selected="0">
            <x v="142"/>
          </reference>
        </references>
      </pivotArea>
    </format>
    <format dxfId="800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568"/>
            <x v="569"/>
            <x v="570"/>
            <x v="571"/>
          </reference>
          <reference field="14" count="4" selected="0">
            <x v="193"/>
            <x v="203"/>
            <x v="349"/>
            <x v="352"/>
          </reference>
        </references>
      </pivotArea>
    </format>
    <format dxfId="801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573"/>
            <x v="574"/>
            <x v="575"/>
            <x v="576"/>
          </reference>
          <reference field="14" count="4" selected="0">
            <x v="192"/>
            <x v="194"/>
            <x v="204"/>
            <x v="288"/>
          </reference>
        </references>
      </pivotArea>
    </format>
    <format dxfId="802">
      <pivotArea outline="0" fieldPosition="0">
        <references count="3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79"/>
            <x v="580"/>
          </reference>
          <reference field="14" count="2" selected="0">
            <x v="358"/>
            <x v="359"/>
          </reference>
        </references>
      </pivotArea>
    </format>
    <format dxfId="803">
      <pivotArea field="1" grandRow="1" outline="0" axis="axisRow" fieldPosition="1">
        <references count="1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804">
      <pivotArea dataOnly="0" labelOnly="1" outline="0" fieldPosition="0">
        <references count="1">
          <reference field="4294967294" count="14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80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5" selected="0">
            <x v="2"/>
            <x v="251"/>
            <x v="252"/>
            <x v="253"/>
            <x v="318"/>
          </reference>
          <reference field="10" count="1" selected="0">
            <x v="0"/>
          </reference>
          <reference field="14" count="3" selected="0">
            <x v="57"/>
            <x v="59"/>
            <x v="60"/>
          </reference>
        </references>
      </pivotArea>
    </format>
    <format dxfId="80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9" selected="0">
            <x v="415"/>
            <x v="416"/>
            <x v="451"/>
            <x v="452"/>
            <x v="453"/>
            <x v="454"/>
            <x v="455"/>
            <x v="555"/>
            <x v="556"/>
          </reference>
          <reference field="10" count="1" selected="0">
            <x v="0"/>
          </reference>
          <reference field="14" count="5" selected="0">
            <x v="57"/>
            <x v="58"/>
            <x v="59"/>
            <x v="60"/>
            <x v="361"/>
          </reference>
        </references>
      </pivotArea>
    </format>
    <format dxfId="807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0"/>
          </reference>
        </references>
      </pivotArea>
    </format>
    <format dxfId="80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13"/>
            <x v="14"/>
            <x v="15"/>
            <x v="16"/>
          </reference>
          <reference field="10" count="1" selected="0">
            <x v="1"/>
          </reference>
          <reference field="14" count="4" selected="0">
            <x v="95"/>
            <x v="96"/>
            <x v="97"/>
            <x v="98"/>
          </reference>
        </references>
      </pivotArea>
    </format>
    <format dxfId="80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1" selected="0"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0" count="1" selected="0">
            <x v="1"/>
          </reference>
          <reference field="14" count="11" selected="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</reference>
        </references>
      </pivotArea>
    </format>
    <format dxfId="81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1"/>
          </reference>
          <reference field="10" count="1" selected="0">
            <x v="1"/>
          </reference>
          <reference field="14" count="1" selected="0">
            <x v="115"/>
          </reference>
        </references>
      </pivotArea>
    </format>
    <format dxfId="81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33"/>
            <x v="34"/>
            <x v="35"/>
            <x v="36"/>
          </reference>
          <reference field="10" count="1" selected="0">
            <x v="1"/>
          </reference>
          <reference field="14" count="4" selected="0">
            <x v="123"/>
            <x v="124"/>
            <x v="125"/>
            <x v="132"/>
          </reference>
        </references>
      </pivotArea>
    </format>
    <format dxfId="81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8"/>
          </reference>
          <reference field="10" count="1" selected="0">
            <x v="1"/>
          </reference>
          <reference field="14" count="1" selected="0">
            <x v="146"/>
          </reference>
        </references>
      </pivotArea>
    </format>
    <format dxfId="81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0"/>
            <x v="41"/>
          </reference>
          <reference field="10" count="1" selected="0">
            <x v="1"/>
          </reference>
          <reference field="14" count="2" selected="0">
            <x v="164"/>
            <x v="169"/>
          </reference>
        </references>
      </pivotArea>
    </format>
    <format dxfId="81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5"/>
          </reference>
          <reference field="10" count="1" selected="0">
            <x v="1"/>
          </reference>
          <reference field="14" count="1" selected="0">
            <x v="182"/>
          </reference>
        </references>
      </pivotArea>
    </format>
    <format dxfId="81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260"/>
            <x v="261"/>
            <x v="262"/>
            <x v="263"/>
          </reference>
          <reference field="10" count="1" selected="0">
            <x v="1"/>
          </reference>
          <reference field="14" count="4" selected="0">
            <x v="81"/>
            <x v="83"/>
            <x v="85"/>
            <x v="86"/>
          </reference>
        </references>
      </pivotArea>
    </format>
    <format dxfId="81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65"/>
          </reference>
          <reference field="10" count="1" selected="0">
            <x v="1"/>
          </reference>
          <reference field="14" count="1" selected="0">
            <x v="114"/>
          </reference>
        </references>
      </pivotArea>
    </format>
    <format dxfId="81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67"/>
          </reference>
          <reference field="10" count="1" selected="0">
            <x v="1"/>
          </reference>
          <reference field="14" count="1" selected="0">
            <x v="138"/>
          </reference>
        </references>
      </pivotArea>
    </format>
    <format dxfId="81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269"/>
            <x v="270"/>
            <x v="271"/>
            <x v="272"/>
            <x v="273"/>
            <x v="274"/>
            <x v="275"/>
            <x v="276"/>
            <x v="277"/>
            <x v="319"/>
            <x v="320"/>
            <x v="321"/>
          </reference>
          <reference field="10" count="1" selected="0">
            <x v="1"/>
          </reference>
          <reference field="14" count="12" selected="0">
            <x v="56"/>
            <x v="61"/>
            <x v="62"/>
            <x v="140"/>
            <x v="150"/>
            <x v="154"/>
            <x v="167"/>
            <x v="170"/>
            <x v="172"/>
            <x v="289"/>
            <x v="349"/>
            <x v="353"/>
          </reference>
        </references>
      </pivotArea>
    </format>
    <format dxfId="81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6" selected="0">
            <x v="323"/>
            <x v="324"/>
            <x v="357"/>
            <x v="358"/>
            <x v="359"/>
            <x v="360"/>
          </reference>
          <reference field="10" count="1" selected="0">
            <x v="1"/>
          </reference>
          <reference field="14" count="6" selected="0">
            <x v="62"/>
            <x v="71"/>
            <x v="76"/>
            <x v="77"/>
            <x v="349"/>
            <x v="353"/>
          </reference>
        </references>
      </pivotArea>
    </format>
    <format dxfId="82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9" selected="0">
            <x v="363"/>
            <x v="364"/>
            <x v="365"/>
            <x v="366"/>
            <x v="367"/>
            <x v="368"/>
            <x v="369"/>
            <x v="379"/>
            <x v="380"/>
          </reference>
          <reference field="10" count="1" selected="0">
            <x v="1"/>
          </reference>
          <reference field="14" count="9" selected="0">
            <x v="61"/>
            <x v="116"/>
            <x v="137"/>
            <x v="159"/>
            <x v="168"/>
            <x v="215"/>
            <x v="216"/>
            <x v="349"/>
            <x v="353"/>
          </reference>
        </references>
      </pivotArea>
    </format>
    <format dxfId="82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7" selected="0">
            <x v="383"/>
            <x v="384"/>
            <x v="417"/>
            <x v="418"/>
            <x v="419"/>
            <x v="420"/>
            <x v="421"/>
          </reference>
          <reference field="10" count="1" selected="0">
            <x v="1"/>
          </reference>
          <reference field="14" count="7" selected="0">
            <x v="13"/>
            <x v="20"/>
            <x v="22"/>
            <x v="23"/>
            <x v="61"/>
            <x v="345"/>
            <x v="349"/>
          </reference>
        </references>
      </pivotArea>
    </format>
    <format dxfId="82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24"/>
          </reference>
          <reference field="10" count="1" selected="0">
            <x v="1"/>
          </reference>
          <reference field="14" count="1" selected="0">
            <x v="73"/>
          </reference>
        </references>
      </pivotArea>
    </format>
    <format dxfId="82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26"/>
          </reference>
          <reference field="10" count="1" selected="0">
            <x v="1"/>
          </reference>
          <reference field="14" count="1" selected="0">
            <x v="75"/>
          </reference>
        </references>
      </pivotArea>
    </format>
    <format dxfId="82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33"/>
            <x v="434"/>
          </reference>
          <reference field="10" count="1" selected="0">
            <x v="1"/>
          </reference>
          <reference field="14" count="2" selected="0">
            <x v="349"/>
            <x v="353"/>
          </reference>
        </references>
      </pivotArea>
    </format>
    <format dxfId="82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59"/>
          </reference>
          <reference field="10" count="1" selected="0">
            <x v="1"/>
          </reference>
          <reference field="14" count="1" selected="0">
            <x v="52"/>
          </reference>
        </references>
      </pivotArea>
    </format>
    <format dxfId="82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61"/>
          </reference>
          <reference field="10" count="1" selected="0">
            <x v="1"/>
          </reference>
          <reference field="14" count="1" selected="0">
            <x v="54"/>
          </reference>
        </references>
      </pivotArea>
    </format>
    <format dxfId="82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7" selected="0">
            <x v="463"/>
            <x v="464"/>
            <x v="465"/>
            <x v="466"/>
            <x v="467"/>
            <x v="468"/>
            <x v="469"/>
          </reference>
          <reference field="10" count="1" selected="0">
            <x v="1"/>
          </reference>
          <reference field="14" count="7" selected="0">
            <x v="66"/>
            <x v="67"/>
            <x v="68"/>
            <x v="75"/>
            <x v="79"/>
            <x v="88"/>
            <x v="100"/>
          </reference>
        </references>
      </pivotArea>
    </format>
    <format dxfId="82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79"/>
          </reference>
          <reference field="10" count="1" selected="0">
            <x v="1"/>
          </reference>
          <reference field="14" count="1" selected="0">
            <x v="349"/>
          </reference>
        </references>
      </pivotArea>
    </format>
    <format dxfId="82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63"/>
          </reference>
          <reference field="10" count="1" selected="0">
            <x v="3"/>
          </reference>
          <reference field="14" count="1" selected="0">
            <x v="196"/>
          </reference>
        </references>
      </pivotArea>
    </format>
    <format dxfId="83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65"/>
          </reference>
          <reference field="10" count="1" selected="0">
            <x v="3"/>
          </reference>
          <reference field="14" count="1" selected="0">
            <x v="349"/>
          </reference>
        </references>
      </pivotArea>
    </format>
    <format dxfId="83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78"/>
            <x v="79"/>
          </reference>
          <reference field="10" count="1" selected="0">
            <x v="4"/>
          </reference>
          <reference field="14" count="2" selected="0">
            <x v="47"/>
            <x v="48"/>
          </reference>
        </references>
      </pivotArea>
    </format>
    <format dxfId="83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87"/>
            <x v="88"/>
            <x v="89"/>
          </reference>
          <reference field="10" count="1" selected="0">
            <x v="4"/>
          </reference>
          <reference field="14" count="3" selected="0">
            <x v="128"/>
            <x v="131"/>
            <x v="132"/>
          </reference>
        </references>
      </pivotArea>
    </format>
    <format dxfId="83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92"/>
          </reference>
          <reference field="10" count="1" selected="0">
            <x v="4"/>
          </reference>
          <reference field="14" count="1" selected="0">
            <x v="144"/>
          </reference>
        </references>
      </pivotArea>
    </format>
    <format dxfId="83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94"/>
          </reference>
          <reference field="10" count="1" selected="0">
            <x v="4"/>
          </reference>
          <reference field="14" count="1" selected="0">
            <x v="148"/>
          </reference>
        </references>
      </pivotArea>
    </format>
    <format dxfId="83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04"/>
          </reference>
          <reference field="10" count="1" selected="0">
            <x v="4"/>
          </reference>
          <reference field="14" count="1" selected="0">
            <x v="189"/>
          </reference>
        </references>
      </pivotArea>
    </format>
    <format dxfId="83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07"/>
          </reference>
          <reference field="10" count="1" selected="0">
            <x v="4"/>
          </reference>
          <reference field="14" count="1" selected="0">
            <x v="199"/>
          </reference>
        </references>
      </pivotArea>
    </format>
    <format dxfId="83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11"/>
          </reference>
          <reference field="10" count="1" selected="0">
            <x v="4"/>
          </reference>
          <reference field="14" count="1" selected="0">
            <x v="207"/>
          </reference>
        </references>
      </pivotArea>
    </format>
    <format dxfId="83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117"/>
            <x v="118"/>
            <x v="279"/>
          </reference>
          <reference field="10" count="1" selected="0">
            <x v="4"/>
          </reference>
          <reference field="14" count="3" selected="0">
            <x v="61"/>
            <x v="334"/>
            <x v="349"/>
          </reference>
        </references>
      </pivotArea>
    </format>
    <format dxfId="83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82"/>
          </reference>
          <reference field="10" count="1" selected="0">
            <x v="4"/>
          </reference>
          <reference field="14" count="1" selected="0">
            <x v="152"/>
          </reference>
        </references>
      </pivotArea>
    </format>
    <format dxfId="84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87"/>
            <x v="288"/>
          </reference>
          <reference field="10" count="1" selected="0">
            <x v="4"/>
          </reference>
          <reference field="14" count="2" selected="0">
            <x v="173"/>
            <x v="174"/>
          </reference>
        </references>
      </pivotArea>
    </format>
    <format dxfId="84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25"/>
          </reference>
          <reference field="10" count="1" selected="0">
            <x v="4"/>
          </reference>
          <reference field="14" count="1" selected="0">
            <x v="3"/>
          </reference>
        </references>
      </pivotArea>
    </format>
    <format dxfId="84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327"/>
            <x v="328"/>
          </reference>
          <reference field="10" count="1" selected="0">
            <x v="4"/>
          </reference>
          <reference field="14" count="2" selected="0">
            <x v="17"/>
            <x v="41"/>
          </reference>
        </references>
      </pivotArea>
    </format>
    <format dxfId="84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31"/>
          </reference>
          <reference field="10" count="1" selected="0">
            <x v="4"/>
          </reference>
          <reference field="14" count="1" selected="0">
            <x v="62"/>
          </reference>
        </references>
      </pivotArea>
    </format>
    <format dxfId="84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333"/>
            <x v="334"/>
          </reference>
          <reference field="10" count="1" selected="0">
            <x v="4"/>
          </reference>
          <reference field="14" count="2" selected="0">
            <x v="133"/>
            <x v="163"/>
          </reference>
        </references>
      </pivotArea>
    </format>
    <format dxfId="84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36"/>
          </reference>
          <reference field="10" count="1" selected="0">
            <x v="4"/>
          </reference>
          <reference field="14" count="1" selected="0">
            <x v="191"/>
          </reference>
        </references>
      </pivotArea>
    </format>
    <format dxfId="84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8" selected="0">
            <x v="339"/>
            <x v="340"/>
            <x v="370"/>
            <x v="371"/>
            <x v="372"/>
            <x v="373"/>
            <x v="374"/>
            <x v="375"/>
          </reference>
          <reference field="10" count="1" selected="0">
            <x v="4"/>
          </reference>
          <reference field="14" count="7" selected="0">
            <x v="62"/>
            <x v="126"/>
            <x v="137"/>
            <x v="191"/>
            <x v="193"/>
            <x v="335"/>
            <x v="349"/>
          </reference>
        </references>
      </pivotArea>
    </format>
    <format dxfId="84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387"/>
            <x v="388"/>
            <x v="389"/>
            <x v="390"/>
          </reference>
          <reference field="10" count="1" selected="0">
            <x v="4"/>
          </reference>
          <reference field="14" count="4" selected="0">
            <x v="10"/>
            <x v="61"/>
            <x v="62"/>
            <x v="121"/>
          </reference>
        </references>
      </pivotArea>
    </format>
    <format dxfId="84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92"/>
          </reference>
          <reference field="10" count="1" selected="0">
            <x v="4"/>
          </reference>
          <reference field="14" count="1" selected="0">
            <x v="178"/>
          </reference>
        </references>
      </pivotArea>
    </format>
    <format dxfId="84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435"/>
            <x v="436"/>
            <x v="437"/>
          </reference>
          <reference field="10" count="1" selected="0">
            <x v="4"/>
          </reference>
          <reference field="14" count="3" selected="0">
            <x v="61"/>
            <x v="152"/>
            <x v="153"/>
          </reference>
        </references>
      </pivotArea>
    </format>
    <format dxfId="85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39"/>
            <x v="492"/>
          </reference>
          <reference field="10" count="1" selected="0">
            <x v="4"/>
          </reference>
          <reference field="14" count="2" selected="0">
            <x v="34"/>
            <x v="193"/>
          </reference>
        </references>
      </pivotArea>
    </format>
    <format dxfId="85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96"/>
          </reference>
          <reference field="10" count="1" selected="0">
            <x v="4"/>
          </reference>
          <reference field="14" count="1" selected="0">
            <x v="48"/>
          </reference>
        </references>
      </pivotArea>
    </format>
    <format dxfId="85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98"/>
          </reference>
          <reference field="10" count="1" selected="0">
            <x v="4"/>
          </reference>
          <reference field="14" count="1" selected="0">
            <x v="50"/>
          </reference>
        </references>
      </pivotArea>
    </format>
    <format dxfId="85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01"/>
          </reference>
          <reference field="10" count="1" selected="0">
            <x v="4"/>
          </reference>
          <reference field="14" count="1" selected="0">
            <x v="129"/>
          </reference>
        </references>
      </pivotArea>
    </format>
    <format dxfId="85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06"/>
          </reference>
          <reference field="10" count="1" selected="0">
            <x v="4"/>
          </reference>
          <reference field="14" count="1" selected="0">
            <x v="186"/>
          </reference>
        </references>
      </pivotArea>
    </format>
    <format dxfId="85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08"/>
          </reference>
          <reference field="10" count="1" selected="0">
            <x v="4"/>
          </reference>
          <reference field="14" count="1" selected="0">
            <x v="193"/>
          </reference>
        </references>
      </pivotArea>
    </format>
    <format dxfId="85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10"/>
            <x v="511"/>
            <x v="512"/>
          </reference>
          <reference field="10" count="1" selected="0">
            <x v="4"/>
          </reference>
          <reference field="14" count="3" selected="0">
            <x v="211"/>
            <x v="337"/>
            <x v="349"/>
          </reference>
        </references>
      </pivotArea>
    </format>
    <format dxfId="85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68"/>
            <x v="569"/>
            <x v="570"/>
          </reference>
          <reference field="10" count="1" selected="0">
            <x v="4"/>
          </reference>
          <reference field="14" count="3" selected="0">
            <x v="193"/>
            <x v="203"/>
            <x v="349"/>
          </reference>
        </references>
      </pivotArea>
    </format>
    <format dxfId="858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4"/>
          </reference>
        </references>
      </pivotArea>
    </format>
    <format dxfId="85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8" selected="0">
            <x v="119"/>
            <x v="120"/>
            <x v="121"/>
            <x v="294"/>
            <x v="341"/>
            <x v="395"/>
            <x v="396"/>
            <x v="440"/>
          </reference>
          <reference field="10" count="1" selected="0">
            <x v="5"/>
          </reference>
          <reference field="14" count="4" selected="0">
            <x v="214"/>
            <x v="270"/>
            <x v="303"/>
            <x v="352"/>
          </reference>
        </references>
      </pivotArea>
    </format>
    <format dxfId="86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16"/>
          </reference>
          <reference field="10" count="1" selected="0">
            <x v="5"/>
          </reference>
          <reference field="14" count="1" selected="0">
            <x v="350"/>
          </reference>
        </references>
      </pivotArea>
    </format>
    <format dxfId="861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6"/>
          </reference>
        </references>
      </pivotArea>
    </format>
    <format dxfId="86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441"/>
          </reference>
          <reference field="10" count="1" selected="0">
            <x v="7"/>
          </reference>
          <reference field="14" count="1" selected="0">
            <x v="348"/>
          </reference>
        </references>
      </pivotArea>
    </format>
    <format dxfId="86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23"/>
          </reference>
          <reference field="10" count="1" selected="0">
            <x v="7"/>
          </reference>
          <reference field="14" count="1" selected="0">
            <x v="357"/>
          </reference>
        </references>
      </pivotArea>
    </format>
    <format dxfId="86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124"/>
            <x v="125"/>
            <x v="126"/>
          </reference>
          <reference field="10" count="1" selected="0">
            <x v="8"/>
          </reference>
          <reference field="14" count="3" selected="0">
            <x v="2"/>
            <x v="6"/>
            <x v="7"/>
          </reference>
        </references>
      </pivotArea>
    </format>
    <format dxfId="86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28"/>
          </reference>
          <reference field="10" count="1" selected="0">
            <x v="8"/>
          </reference>
          <reference field="14" count="1" selected="0">
            <x v="18"/>
          </reference>
        </references>
      </pivotArea>
    </format>
    <format dxfId="86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130"/>
            <x v="131"/>
            <x v="132"/>
          </reference>
          <reference field="10" count="1" selected="0">
            <x v="8"/>
          </reference>
          <reference field="14" count="3" selected="0">
            <x v="35"/>
            <x v="36"/>
            <x v="38"/>
          </reference>
        </references>
      </pivotArea>
    </format>
    <format dxfId="86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6" selected="0">
            <x v="137"/>
            <x v="138"/>
            <x v="139"/>
            <x v="140"/>
            <x v="141"/>
            <x v="142"/>
          </reference>
          <reference field="10" count="1" selected="0">
            <x v="8"/>
          </reference>
          <reference field="14" count="6" selected="0">
            <x v="56"/>
            <x v="61"/>
            <x v="62"/>
            <x v="155"/>
            <x v="156"/>
            <x v="190"/>
          </reference>
        </references>
      </pivotArea>
    </format>
    <format dxfId="86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144"/>
            <x v="145"/>
            <x v="146"/>
            <x v="147"/>
          </reference>
          <reference field="10" count="1" selected="0">
            <x v="8"/>
          </reference>
          <reference field="14" count="4" selected="0">
            <x v="192"/>
            <x v="194"/>
            <x v="206"/>
            <x v="220"/>
          </reference>
        </references>
      </pivotArea>
    </format>
    <format dxfId="86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50"/>
          </reference>
          <reference field="10" count="1" selected="0">
            <x v="8"/>
          </reference>
          <reference field="14" count="1" selected="0">
            <x v="223"/>
          </reference>
        </references>
      </pivotArea>
    </format>
    <format dxfId="87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155"/>
            <x v="156"/>
            <x v="157"/>
          </reference>
          <reference field="10" count="1" selected="0">
            <x v="8"/>
          </reference>
          <reference field="14" count="3" selected="0">
            <x v="229"/>
            <x v="230"/>
            <x v="231"/>
          </reference>
        </references>
      </pivotArea>
    </format>
    <format dxfId="87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60"/>
          </reference>
          <reference field="10" count="1" selected="0">
            <x v="8"/>
          </reference>
          <reference field="14" count="1" selected="0">
            <x v="234"/>
          </reference>
        </references>
      </pivotArea>
    </format>
    <format dxfId="87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63"/>
          </reference>
          <reference field="10" count="1" selected="0">
            <x v="8"/>
          </reference>
          <reference field="14" count="1" selected="0">
            <x v="237"/>
          </reference>
        </references>
      </pivotArea>
    </format>
    <format dxfId="87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67"/>
          </reference>
          <reference field="10" count="1" selected="0">
            <x v="8"/>
          </reference>
          <reference field="14" count="1" selected="0">
            <x v="241"/>
          </reference>
        </references>
      </pivotArea>
    </format>
    <format dxfId="87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171"/>
            <x v="172"/>
          </reference>
          <reference field="10" count="1" selected="0">
            <x v="8"/>
          </reference>
          <reference field="14" count="2" selected="0">
            <x v="245"/>
            <x v="246"/>
          </reference>
        </references>
      </pivotArea>
    </format>
    <format dxfId="87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75"/>
          </reference>
          <reference field="10" count="1" selected="0">
            <x v="8"/>
          </reference>
          <reference field="14" count="1" selected="0">
            <x v="249"/>
          </reference>
        </references>
      </pivotArea>
    </format>
    <format dxfId="87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77"/>
          </reference>
          <reference field="10" count="1" selected="0">
            <x v="8"/>
          </reference>
          <reference field="14" count="1" selected="0">
            <x v="251"/>
          </reference>
        </references>
      </pivotArea>
    </format>
    <format dxfId="87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183"/>
          </reference>
          <reference field="10" count="1" selected="0">
            <x v="8"/>
          </reference>
          <reference field="14" count="1" selected="0">
            <x v="257"/>
          </reference>
        </references>
      </pivotArea>
    </format>
    <format dxfId="87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</reference>
          <reference field="10" count="1" selected="0">
            <x v="8"/>
          </reference>
          <reference field="14" count="12" selected="0"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</reference>
        </references>
      </pivotArea>
    </format>
    <format dxfId="87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199"/>
            <x v="200"/>
          </reference>
          <reference field="10" count="1" selected="0">
            <x v="8"/>
          </reference>
          <reference field="14" count="2" selected="0">
            <x v="273"/>
            <x v="277"/>
          </reference>
        </references>
      </pivotArea>
    </format>
    <format dxfId="88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5" selected="0">
            <x v="202"/>
            <x v="203"/>
            <x v="204"/>
            <x v="205"/>
            <x v="206"/>
          </reference>
          <reference field="10" count="1" selected="0">
            <x v="8"/>
          </reference>
          <reference field="14" count="5" selected="0">
            <x v="281"/>
            <x v="282"/>
            <x v="283"/>
            <x v="284"/>
            <x v="285"/>
          </reference>
        </references>
      </pivotArea>
    </format>
    <format dxfId="88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208"/>
            <x v="209"/>
            <x v="210"/>
            <x v="211"/>
          </reference>
          <reference field="10" count="1" selected="0">
            <x v="8"/>
          </reference>
          <reference field="14" count="4" selected="0">
            <x v="287"/>
            <x v="288"/>
            <x v="290"/>
            <x v="293"/>
          </reference>
        </references>
      </pivotArea>
    </format>
    <format dxfId="88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13"/>
            <x v="214"/>
          </reference>
          <reference field="10" count="1" selected="0">
            <x v="8"/>
          </reference>
          <reference field="14" count="2" selected="0">
            <x v="295"/>
            <x v="296"/>
          </reference>
        </references>
      </pivotArea>
    </format>
    <format dxfId="88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16"/>
          </reference>
          <reference field="10" count="1" selected="0">
            <x v="8"/>
          </reference>
          <reference field="14" count="1" selected="0">
            <x v="298"/>
          </reference>
        </references>
      </pivotArea>
    </format>
    <format dxfId="88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19"/>
          </reference>
          <reference field="10" count="1" selected="0">
            <x v="8"/>
          </reference>
          <reference field="14" count="1" selected="0">
            <x v="301"/>
          </reference>
        </references>
      </pivotArea>
    </format>
    <format dxfId="88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221"/>
            <x v="222"/>
            <x v="223"/>
            <x v="224"/>
          </reference>
          <reference field="10" count="1" selected="0">
            <x v="8"/>
          </reference>
          <reference field="14" count="4" selected="0">
            <x v="303"/>
            <x v="304"/>
            <x v="305"/>
            <x v="311"/>
          </reference>
        </references>
      </pivotArea>
    </format>
    <format dxfId="88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27"/>
          </reference>
          <reference field="10" count="1" selected="0">
            <x v="8"/>
          </reference>
          <reference field="14" count="1" selected="0">
            <x v="315"/>
          </reference>
        </references>
      </pivotArea>
    </format>
    <format dxfId="88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29"/>
            <x v="230"/>
          </reference>
          <reference field="10" count="1" selected="0">
            <x v="8"/>
          </reference>
          <reference field="14" count="2" selected="0">
            <x v="317"/>
            <x v="321"/>
          </reference>
        </references>
      </pivotArea>
    </format>
    <format dxfId="88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33"/>
            <x v="234"/>
          </reference>
          <reference field="10" count="1" selected="0">
            <x v="8"/>
          </reference>
          <reference field="14" count="2" selected="0">
            <x v="324"/>
            <x v="325"/>
          </reference>
        </references>
      </pivotArea>
    </format>
    <format dxfId="88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36"/>
          </reference>
          <reference field="10" count="1" selected="0">
            <x v="8"/>
          </reference>
          <reference field="14" count="1" selected="0">
            <x v="327"/>
          </reference>
        </references>
      </pivotArea>
    </format>
    <format dxfId="89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38"/>
          </reference>
          <reference field="10" count="1" selected="0">
            <x v="8"/>
          </reference>
          <reference field="14" count="1" selected="0">
            <x v="329"/>
          </reference>
        </references>
      </pivotArea>
    </format>
    <format dxfId="89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41"/>
            <x v="242"/>
          </reference>
          <reference field="10" count="1" selected="0">
            <x v="8"/>
          </reference>
          <reference field="14" count="2" selected="0">
            <x v="332"/>
            <x v="333"/>
          </reference>
        </references>
      </pivotArea>
    </format>
    <format dxfId="89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45"/>
            <x v="246"/>
          </reference>
          <reference field="10" count="1" selected="0">
            <x v="8"/>
          </reference>
          <reference field="14" count="2" selected="0">
            <x v="338"/>
            <x v="342"/>
          </reference>
        </references>
      </pivotArea>
    </format>
    <format dxfId="89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295"/>
            <x v="296"/>
          </reference>
          <reference field="10" count="1" selected="0">
            <x v="8"/>
          </reference>
          <reference field="14" count="2" selected="0">
            <x v="56"/>
            <x v="362"/>
          </reference>
        </references>
      </pivotArea>
    </format>
    <format dxfId="89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298"/>
          </reference>
          <reference field="10" count="1" selected="0">
            <x v="8"/>
          </reference>
          <reference field="14" count="1" selected="0">
            <x v="62"/>
          </reference>
        </references>
      </pivotArea>
    </format>
    <format dxfId="89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00"/>
          </reference>
          <reference field="10" count="1" selected="0">
            <x v="8"/>
          </reference>
          <reference field="14" count="1" selected="0">
            <x v="170"/>
          </reference>
        </references>
      </pivotArea>
    </format>
    <format dxfId="89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302"/>
            <x v="303"/>
            <x v="304"/>
            <x v="305"/>
          </reference>
          <reference field="10" count="1" selected="0">
            <x v="8"/>
          </reference>
          <reference field="14" count="4" selected="0">
            <x v="194"/>
            <x v="224"/>
            <x v="276"/>
            <x v="279"/>
          </reference>
        </references>
      </pivotArea>
    </format>
    <format dxfId="89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08"/>
          </reference>
          <reference field="10" count="1" selected="0">
            <x v="8"/>
          </reference>
          <reference field="14" count="1" selected="0">
            <x v="292"/>
          </reference>
        </references>
      </pivotArea>
    </format>
    <format dxfId="89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310"/>
            <x v="311"/>
            <x v="312"/>
            <x v="313"/>
          </reference>
          <reference field="10" count="1" selected="0">
            <x v="8"/>
          </reference>
          <reference field="14" count="4" selected="0">
            <x v="307"/>
            <x v="308"/>
            <x v="309"/>
            <x v="310"/>
          </reference>
        </references>
      </pivotArea>
    </format>
    <format dxfId="89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2" selected="0">
            <x v="315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</reference>
          <reference field="10" count="1" selected="0">
            <x v="8"/>
          </reference>
          <reference field="14" count="12" selected="0">
            <x v="4"/>
            <x v="5"/>
            <x v="27"/>
            <x v="28"/>
            <x v="56"/>
            <x v="61"/>
            <x v="62"/>
            <x v="118"/>
            <x v="190"/>
            <x v="192"/>
            <x v="280"/>
            <x v="349"/>
          </reference>
        </references>
      </pivotArea>
    </format>
    <format dxfId="90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56"/>
          </reference>
          <reference field="10" count="1" selected="0">
            <x v="8"/>
          </reference>
          <reference field="14" count="1" selected="0">
            <x v="349"/>
          </reference>
        </references>
      </pivotArea>
    </format>
    <format dxfId="90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397"/>
          </reference>
          <reference field="10" count="1" selected="0">
            <x v="8"/>
          </reference>
          <reference field="14" count="1" selected="0">
            <x v="6"/>
          </reference>
        </references>
      </pivotArea>
    </format>
    <format dxfId="90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00"/>
            <x v="401"/>
          </reference>
          <reference field="10" count="1" selected="0">
            <x v="8"/>
          </reference>
          <reference field="14" count="2" selected="0">
            <x v="24"/>
            <x v="27"/>
          </reference>
        </references>
      </pivotArea>
    </format>
    <format dxfId="90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05"/>
            <x v="406"/>
          </reference>
          <reference field="10" count="1" selected="0">
            <x v="8"/>
          </reference>
          <reference field="14" count="2" selected="0">
            <x v="194"/>
            <x v="274"/>
          </reference>
        </references>
      </pivotArea>
    </format>
    <format dxfId="90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08"/>
            <x v="409"/>
          </reference>
          <reference field="10" count="1" selected="0">
            <x v="8"/>
          </reference>
          <reference field="14" count="2" selected="0">
            <x v="288"/>
            <x v="344"/>
          </reference>
        </references>
      </pivotArea>
    </format>
    <format dxfId="90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412"/>
            <x v="413"/>
            <x v="443"/>
          </reference>
          <reference field="10" count="1" selected="0">
            <x v="8"/>
          </reference>
          <reference field="14" count="3" selected="0">
            <x v="14"/>
            <x v="347"/>
            <x v="349"/>
          </reference>
        </references>
      </pivotArea>
    </format>
    <format dxfId="906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445"/>
            <x v="446"/>
          </reference>
          <reference field="10" count="1" selected="0">
            <x v="8"/>
          </reference>
          <reference field="14" count="2" selected="0">
            <x v="192"/>
            <x v="194"/>
          </reference>
        </references>
      </pivotArea>
    </format>
    <format dxfId="90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448"/>
            <x v="524"/>
            <x v="525"/>
          </reference>
          <reference field="10" count="1" selected="0">
            <x v="8"/>
          </reference>
          <reference field="14" count="3" selected="0">
            <x v="35"/>
            <x v="36"/>
            <x v="349"/>
          </reference>
        </references>
      </pivotArea>
    </format>
    <format dxfId="90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28"/>
          </reference>
          <reference field="10" count="1" selected="0">
            <x v="8"/>
          </reference>
          <reference field="14" count="1" selected="0">
            <x v="40"/>
          </reference>
        </references>
      </pivotArea>
    </format>
    <format dxfId="909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532"/>
            <x v="533"/>
            <x v="534"/>
          </reference>
          <reference field="10" count="1" selected="0">
            <x v="8"/>
          </reference>
          <reference field="14" count="3" selected="0">
            <x v="50"/>
            <x v="56"/>
            <x v="63"/>
          </reference>
        </references>
      </pivotArea>
    </format>
    <format dxfId="910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37"/>
            <x v="538"/>
          </reference>
          <reference field="10" count="1" selected="0">
            <x v="8"/>
          </reference>
          <reference field="14" count="2" selected="0">
            <x v="192"/>
            <x v="194"/>
          </reference>
        </references>
      </pivotArea>
    </format>
    <format dxfId="911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40"/>
          </reference>
          <reference field="10" count="1" selected="0">
            <x v="8"/>
          </reference>
          <reference field="14" count="1" selected="0">
            <x v="288"/>
          </reference>
        </references>
      </pivotArea>
    </format>
    <format dxfId="912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42"/>
          </reference>
          <reference field="10" count="1" selected="0">
            <x v="8"/>
          </reference>
          <reference field="14" count="1" selected="0">
            <x v="318"/>
          </reference>
        </references>
      </pivotArea>
    </format>
    <format dxfId="913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44"/>
          </reference>
          <reference field="10" count="1" selected="0">
            <x v="8"/>
          </reference>
          <reference field="14" count="1" selected="0">
            <x v="320"/>
          </reference>
        </references>
      </pivotArea>
    </format>
    <format dxfId="914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" selected="0">
            <x v="572"/>
          </reference>
          <reference field="10" count="1" selected="0">
            <x v="8"/>
          </reference>
          <reference field="14" count="1" selected="0">
            <x v="56"/>
          </reference>
        </references>
      </pivotArea>
    </format>
    <format dxfId="915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4" selected="0">
            <x v="574"/>
            <x v="575"/>
            <x v="576"/>
            <x v="577"/>
          </reference>
          <reference field="10" count="1" selected="0">
            <x v="8"/>
          </reference>
          <reference field="14" count="4" selected="0">
            <x v="194"/>
            <x v="204"/>
            <x v="288"/>
            <x v="341"/>
          </reference>
        </references>
      </pivotArea>
    </format>
    <format dxfId="916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8"/>
          </reference>
        </references>
      </pivotArea>
    </format>
    <format dxfId="917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3" selected="0">
            <x v="249"/>
            <x v="316"/>
            <x v="449"/>
          </reference>
          <reference field="10" count="1" selected="0">
            <x v="9"/>
          </reference>
          <reference field="14" count="1" selected="0">
            <x v="358"/>
          </reference>
        </references>
      </pivotArea>
    </format>
    <format dxfId="918">
      <pivotArea outline="0" fieldPosition="0">
        <references count="4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2" selected="0">
            <x v="548"/>
            <x v="579"/>
          </reference>
          <reference field="10" count="1" selected="0">
            <x v="9"/>
          </reference>
          <reference field="14" count="1" selected="0">
            <x v="358"/>
          </reference>
        </references>
      </pivotArea>
    </format>
    <format dxfId="919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9"/>
          </reference>
        </references>
      </pivotArea>
    </format>
    <format dxfId="920">
      <pivotArea outline="0" fieldPosition="0">
        <references count="2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0" count="1" selected="0" defaultSubtotal="1">
            <x v="10"/>
          </reference>
        </references>
      </pivotArea>
    </format>
    <format dxfId="921">
      <pivotArea field="10" grandRow="1" outline="0" axis="axisRow" fieldPosition="0">
        <references count="1">
          <reference field="4294967294" count="14" selected="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C9C00-82C9-499F-9164-70FB8CA7CF0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80" firstHeaderRow="1" firstDataRow="2" firstDataCol="3"/>
  <pivotFields count="72"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 defaultSubtotal="0">
      <items count="65">
        <item x="5"/>
        <item x="7"/>
        <item x="8"/>
        <item x="0"/>
        <item x="9"/>
        <item x="10"/>
        <item x="17"/>
        <item x="42"/>
        <item x="60"/>
        <item x="23"/>
        <item x="43"/>
        <item x="11"/>
        <item x="16"/>
        <item x="18"/>
        <item x="19"/>
        <item x="20"/>
        <item x="21"/>
        <item x="24"/>
        <item x="29"/>
        <item x="40"/>
        <item x="44"/>
        <item x="58"/>
        <item x="1"/>
        <item x="12"/>
        <item x="22"/>
        <item x="25"/>
        <item x="27"/>
        <item x="33"/>
        <item x="35"/>
        <item x="39"/>
        <item x="41"/>
        <item x="45"/>
        <item x="61"/>
        <item x="63"/>
        <item x="46"/>
        <item x="13"/>
        <item x="30"/>
        <item x="47"/>
        <item x="2"/>
        <item x="36"/>
        <item x="48"/>
        <item x="49"/>
        <item x="31"/>
        <item x="50"/>
        <item x="37"/>
        <item x="51"/>
        <item x="4"/>
        <item x="6"/>
        <item x="52"/>
        <item x="15"/>
        <item x="53"/>
        <item x="14"/>
        <item x="26"/>
        <item x="32"/>
        <item x="54"/>
        <item x="57"/>
        <item x="59"/>
        <item x="55"/>
        <item x="3"/>
        <item x="28"/>
        <item x="34"/>
        <item x="38"/>
        <item x="56"/>
        <item x="62"/>
        <item x="64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2"/>
        <item x="0"/>
        <item x="4"/>
        <item x="5"/>
        <item x="3"/>
        <item x="7"/>
        <item x="6"/>
        <item x="1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1"/>
    <field x="2"/>
    <field x="6"/>
  </rowFields>
  <rowItems count="76">
    <i>
      <x/>
      <x/>
      <x/>
    </i>
    <i r="1">
      <x v="1"/>
      <x/>
    </i>
    <i r="1">
      <x v="2"/>
      <x/>
    </i>
    <i r="1">
      <x v="46"/>
      <x v="3"/>
    </i>
    <i r="1">
      <x v="47"/>
      <x v="3"/>
    </i>
    <i t="default">
      <x/>
    </i>
    <i>
      <x v="1"/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34"/>
      <x v="1"/>
    </i>
    <i r="1">
      <x v="41"/>
      <x v="2"/>
    </i>
    <i r="1">
      <x v="48"/>
      <x v="3"/>
    </i>
    <i t="default">
      <x v="1"/>
    </i>
    <i>
      <x v="2"/>
      <x v="49"/>
      <x v="3"/>
    </i>
    <i t="default">
      <x v="2"/>
    </i>
    <i>
      <x v="3"/>
      <x v="9"/>
      <x/>
    </i>
    <i r="1">
      <x v="10"/>
      <x/>
    </i>
    <i r="1">
      <x v="50"/>
      <x v="3"/>
    </i>
    <i t="default">
      <x v="3"/>
    </i>
    <i>
      <x v="4"/>
      <x v="11"/>
      <x/>
    </i>
    <i r="1">
      <x v="12"/>
      <x/>
    </i>
    <i r="1">
      <x v="13"/>
      <x/>
    </i>
    <i r="1">
      <x v="14"/>
      <x/>
    </i>
    <i r="1">
      <x v="15"/>
      <x/>
    </i>
    <i r="1">
      <x v="16"/>
      <x/>
    </i>
    <i r="1">
      <x v="17"/>
      <x/>
    </i>
    <i r="1">
      <x v="18"/>
      <x/>
    </i>
    <i r="1">
      <x v="19"/>
      <x/>
    </i>
    <i r="1">
      <x v="20"/>
      <x/>
    </i>
    <i r="1">
      <x v="35"/>
      <x v="1"/>
    </i>
    <i r="1">
      <x v="36"/>
      <x v="1"/>
    </i>
    <i r="1">
      <x v="37"/>
      <x v="1"/>
    </i>
    <i r="1">
      <x v="42"/>
      <x v="2"/>
    </i>
    <i r="1">
      <x v="43"/>
      <x v="2"/>
    </i>
    <i r="1">
      <x v="51"/>
      <x v="3"/>
    </i>
    <i r="1">
      <x v="52"/>
      <x v="3"/>
    </i>
    <i r="1">
      <x v="53"/>
      <x v="3"/>
    </i>
    <i r="1">
      <x v="54"/>
      <x v="3"/>
    </i>
    <i t="default">
      <x v="4"/>
    </i>
    <i>
      <x v="5"/>
      <x v="21"/>
      <x/>
    </i>
    <i r="1">
      <x v="55"/>
      <x v="3"/>
    </i>
    <i r="1">
      <x v="56"/>
      <x v="3"/>
    </i>
    <i t="default">
      <x v="5"/>
    </i>
    <i>
      <x v="6"/>
      <x v="57"/>
      <x v="3"/>
    </i>
    <i t="default">
      <x v="6"/>
    </i>
    <i>
      <x v="7"/>
      <x v="22"/>
      <x/>
    </i>
    <i r="1">
      <x v="23"/>
      <x/>
    </i>
    <i r="1">
      <x v="24"/>
      <x/>
    </i>
    <i r="1">
      <x v="25"/>
      <x/>
    </i>
    <i r="1">
      <x v="26"/>
      <x/>
    </i>
    <i r="1">
      <x v="27"/>
      <x/>
    </i>
    <i r="1">
      <x v="28"/>
      <x/>
    </i>
    <i r="1">
      <x v="29"/>
      <x/>
    </i>
    <i r="1">
      <x v="30"/>
      <x/>
    </i>
    <i r="1">
      <x v="31"/>
      <x/>
    </i>
    <i r="1">
      <x v="38"/>
      <x v="1"/>
    </i>
    <i r="1">
      <x v="39"/>
      <x v="1"/>
    </i>
    <i r="1">
      <x v="40"/>
      <x v="1"/>
    </i>
    <i r="1">
      <x v="44"/>
      <x v="2"/>
    </i>
    <i r="1">
      <x v="45"/>
      <x v="2"/>
    </i>
    <i r="1">
      <x v="58"/>
      <x v="3"/>
    </i>
    <i r="1">
      <x v="59"/>
      <x v="3"/>
    </i>
    <i r="1">
      <x v="60"/>
      <x v="3"/>
    </i>
    <i r="1">
      <x v="61"/>
      <x v="3"/>
    </i>
    <i r="1">
      <x v="62"/>
      <x v="3"/>
    </i>
    <i t="default">
      <x v="7"/>
    </i>
    <i>
      <x v="8"/>
      <x v="32"/>
      <x/>
    </i>
    <i r="1">
      <x v="63"/>
      <x v="3"/>
    </i>
    <i t="default">
      <x v="8"/>
    </i>
    <i>
      <x v="9"/>
      <x v="33"/>
      <x/>
    </i>
    <i r="1">
      <x v="64"/>
      <x v="3"/>
    </i>
    <i t="default"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2026 Working Total" fld="38" baseField="0" baseItem="0" numFmtId="43"/>
  </dataFields>
  <formats count="3">
    <format dxfId="690">
      <pivotArea outline="0" collapsedLevelsAreSubtotals="1" fieldPosition="0"/>
    </format>
    <format dxfId="691">
      <pivotArea collapsedLevelsAreSubtotals="1" fieldPosition="0">
        <references count="1">
          <reference field="2" count="1">
            <x v="10"/>
          </reference>
        </references>
      </pivotArea>
    </format>
    <format dxfId="692">
      <pivotArea dataOnly="0" labelOnly="1" fieldPosition="0">
        <references count="1">
          <reference field="2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4475B-BBA2-48A2-B07E-34A81C722F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0" firstDataRow="1" firstDataCol="1" rowPageCount="1" colPageCount="1"/>
  <pivotFields count="67"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2">
        <item x="5"/>
        <item x="2"/>
        <item x="6"/>
        <item x="3"/>
        <item x="1"/>
        <item x="7"/>
        <item x="9"/>
        <item x="8"/>
        <item x="0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7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Sum of 2026 Transfers" fld="16" baseField="0" baseItem="0"/>
    <dataField name="Sum of 2026 LE0" fld="17" baseField="0" baseItem="0" numFmtId="164"/>
    <dataField name="Sum of 2026 Working Total" fld="33" baseField="0" baseItem="0" numFmtId="164"/>
    <dataField name="Sum of 2026 Working Total to Budget/LE" fld="34" baseField="0" baseItem="0" numFmtId="164"/>
  </dataFields>
  <formats count="6">
    <format dxfId="6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8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C8C4B-EFBB-46B6-B6B2-37224CC5D0F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P677" firstHeaderRow="0" firstDataRow="1" firstDataCol="6"/>
  <pivotFields count="67">
    <pivotField axis="axisRow" compact="0" outline="0" showAll="0" defaultSubtotal="0">
      <items count="708">
        <item m="1" x="678"/>
        <item m="1" x="679"/>
        <item m="1" x="680"/>
        <item m="1" x="681"/>
        <item m="1" x="682"/>
        <item m="1" x="683"/>
        <item m="1" x="684"/>
        <item m="1" x="685"/>
        <item m="1" x="677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74"/>
        <item m="1" x="675"/>
        <item m="1" x="698"/>
        <item m="1" x="699"/>
        <item m="1" x="700"/>
        <item m="1" x="701"/>
        <item m="1" x="702"/>
        <item m="1" x="703"/>
        <item m="1" x="676"/>
        <item m="1" x="704"/>
        <item m="1" x="705"/>
        <item m="1" x="706"/>
        <item m="1" x="707"/>
        <item m="1" x="686"/>
        <item m="1" x="673"/>
        <item x="670"/>
        <item x="671"/>
        <item x="33"/>
        <item x="35"/>
        <item x="237"/>
        <item x="401"/>
        <item x="131"/>
        <item x="74"/>
        <item x="75"/>
        <item x="76"/>
        <item x="77"/>
        <item x="78"/>
        <item x="79"/>
        <item x="672"/>
        <item x="249"/>
        <item x="316"/>
        <item x="354"/>
        <item x="486"/>
        <item x="327"/>
        <item x="328"/>
        <item x="91"/>
        <item x="339"/>
        <item x="340"/>
        <item x="363"/>
        <item x="407"/>
        <item x="149"/>
        <item x="408"/>
        <item x="504"/>
        <item x="380"/>
        <item x="414"/>
        <item x="415"/>
        <item x="648"/>
        <item x="575"/>
        <item x="395"/>
        <item x="53"/>
        <item x="576"/>
        <item x="396"/>
        <item x="649"/>
        <item x="54"/>
        <item x="577"/>
        <item x="650"/>
        <item x="623"/>
        <item x="651"/>
        <item x="646"/>
        <item x="652"/>
        <item x="578"/>
        <item x="536"/>
        <item x="537"/>
        <item x="538"/>
        <item x="55"/>
        <item x="92"/>
        <item x="579"/>
        <item x="647"/>
        <item x="654"/>
        <item x="416"/>
        <item x="653"/>
        <item x="106"/>
        <item x="114"/>
        <item x="121"/>
        <item x="173"/>
        <item x="628"/>
        <item x="629"/>
        <item x="661"/>
        <item x="209"/>
        <item x="210"/>
        <item x="211"/>
        <item x="484"/>
        <item x="525"/>
        <item x="541"/>
        <item x="547"/>
        <item x="550"/>
        <item x="542"/>
        <item x="0"/>
        <item x="2"/>
        <item x="6"/>
        <item x="8"/>
        <item x="21"/>
        <item x="528"/>
        <item x="529"/>
        <item x="406"/>
        <item x="355"/>
        <item x="487"/>
        <item x="341"/>
        <item x="150"/>
        <item x="269"/>
        <item x="285"/>
        <item x="290"/>
        <item x="342"/>
        <item x="364"/>
        <item x="151"/>
        <item x="343"/>
        <item x="152"/>
        <item x="381"/>
        <item x="241"/>
        <item x="212"/>
        <item x="213"/>
        <item x="214"/>
        <item x="218"/>
        <item x="223"/>
        <item x="224"/>
        <item x="225"/>
        <item x="226"/>
        <item x="228"/>
        <item x="229"/>
        <item x="231"/>
        <item x="132"/>
        <item x="580"/>
        <item x="637"/>
        <item x="399"/>
        <item x="133"/>
        <item x="581"/>
        <item x="543"/>
        <item x="557"/>
        <item x="93"/>
        <item x="582"/>
        <item x="655"/>
        <item x="107"/>
        <item x="115"/>
        <item x="122"/>
        <item x="630"/>
        <item x="503"/>
        <item x="207"/>
        <item x="208"/>
        <item x="485"/>
        <item x="466"/>
        <item x="426"/>
        <item x="453"/>
        <item x="515"/>
        <item x="467"/>
        <item x="468"/>
        <item x="506"/>
        <item x="513"/>
        <item x="514"/>
        <item x="483"/>
        <item x="469"/>
        <item x="662"/>
        <item x="199"/>
        <item x="317"/>
        <item x="318"/>
        <item x="527"/>
        <item x="488"/>
        <item x="277"/>
        <item x="281"/>
        <item x="365"/>
        <item x="153"/>
        <item x="278"/>
        <item x="154"/>
        <item x="382"/>
        <item x="304"/>
        <item x="305"/>
        <item x="306"/>
        <item x="264"/>
        <item x="276"/>
        <item x="477"/>
        <item x="191"/>
        <item x="196"/>
        <item x="201"/>
        <item x="202"/>
        <item x="203"/>
        <item x="230"/>
        <item x="233"/>
        <item x="262"/>
        <item x="263"/>
        <item x="283"/>
        <item x="310"/>
        <item x="313"/>
        <item x="501"/>
        <item x="134"/>
        <item x="583"/>
        <item x="638"/>
        <item x="279"/>
        <item x="284"/>
        <item x="643"/>
        <item x="135"/>
        <item x="584"/>
        <item x="311"/>
        <item x="474"/>
        <item x="502"/>
        <item x="521"/>
        <item x="522"/>
        <item x="94"/>
        <item x="585"/>
        <item x="656"/>
        <item x="108"/>
        <item x="116"/>
        <item x="123"/>
        <item x="174"/>
        <item x="631"/>
        <item x="421"/>
        <item x="663"/>
        <item x="5"/>
        <item x="34"/>
        <item x="36"/>
        <item x="253"/>
        <item x="356"/>
        <item x="489"/>
        <item x="83"/>
        <item x="366"/>
        <item x="155"/>
        <item x="136"/>
        <item x="554"/>
        <item x="137"/>
        <item x="586"/>
        <item x="95"/>
        <item x="587"/>
        <item x="632"/>
        <item x="412"/>
        <item x="260"/>
        <item x="261"/>
        <item x="490"/>
        <item x="156"/>
        <item x="344"/>
        <item x="367"/>
        <item x="157"/>
        <item x="244"/>
        <item x="307"/>
        <item x="245"/>
        <item x="183"/>
        <item x="189"/>
        <item x="190"/>
        <item x="198"/>
        <item x="413"/>
        <item x="588"/>
        <item x="639"/>
        <item x="589"/>
        <item x="96"/>
        <item x="590"/>
        <item x="294"/>
        <item x="30"/>
        <item x="254"/>
        <item x="255"/>
        <item x="357"/>
        <item x="491"/>
        <item x="238"/>
        <item x="368"/>
        <item x="158"/>
        <item x="383"/>
        <item x="591"/>
        <item x="592"/>
        <item x="320"/>
        <item x="26"/>
        <item x="19"/>
        <item x="358"/>
        <item x="492"/>
        <item x="282"/>
        <item x="303"/>
        <item x="369"/>
        <item x="302"/>
        <item x="182"/>
        <item x="184"/>
        <item x="185"/>
        <item x="188"/>
        <item x="192"/>
        <item x="197"/>
        <item x="205"/>
        <item x="297"/>
        <item x="312"/>
        <item x="138"/>
        <item x="593"/>
        <item x="640"/>
        <item x="280"/>
        <item x="139"/>
        <item x="594"/>
        <item x="595"/>
        <item x="657"/>
        <item x="109"/>
        <item x="117"/>
        <item x="124"/>
        <item x="633"/>
        <item x="569"/>
        <item x="664"/>
        <item x="31"/>
        <item x="42"/>
        <item x="250"/>
        <item x="359"/>
        <item x="493"/>
        <item x="242"/>
        <item x="345"/>
        <item x="346"/>
        <item x="370"/>
        <item x="159"/>
        <item x="384"/>
        <item x="475"/>
        <item x="476"/>
        <item x="200"/>
        <item x="97"/>
        <item x="596"/>
        <item x="56"/>
        <item x="60"/>
        <item x="64"/>
        <item x="65"/>
        <item x="69"/>
        <item x="597"/>
        <item x="57"/>
        <item x="61"/>
        <item x="72"/>
        <item x="598"/>
        <item x="49"/>
        <item x="51"/>
        <item x="58"/>
        <item x="98"/>
        <item x="599"/>
        <item x="658"/>
        <item x="110"/>
        <item x="118"/>
        <item x="125"/>
        <item x="175"/>
        <item x="634"/>
        <item x="665"/>
        <item x="206"/>
        <item x="526"/>
        <item x="37"/>
        <item x="38"/>
        <item x="39"/>
        <item x="530"/>
        <item x="531"/>
        <item x="256"/>
        <item x="360"/>
        <item x="494"/>
        <item x="291"/>
        <item x="347"/>
        <item x="371"/>
        <item x="160"/>
        <item x="335"/>
        <item x="161"/>
        <item x="385"/>
        <item x="544"/>
        <item x="217"/>
        <item x="324"/>
        <item x="325"/>
        <item x="99"/>
        <item x="140"/>
        <item x="600"/>
        <item x="393"/>
        <item x="394"/>
        <item x="601"/>
        <item x="551"/>
        <item x="100"/>
        <item x="602"/>
        <item x="425"/>
        <item x="519"/>
        <item x="546"/>
        <item x="240"/>
        <item x="516"/>
        <item x="295"/>
        <item x="666"/>
        <item x="625"/>
        <item x="669"/>
        <item x="180"/>
        <item x="323"/>
        <item x="326"/>
        <item x="603"/>
        <item x="604"/>
        <item x="605"/>
        <item x="43"/>
        <item x="204"/>
        <item x="172"/>
        <item x="62"/>
        <item x="66"/>
        <item x="68"/>
        <item x="63"/>
        <item x="73"/>
        <item x="50"/>
        <item x="52"/>
        <item x="59"/>
        <item x="644"/>
        <item x="635"/>
        <item x="556"/>
        <item x="495"/>
        <item x="101"/>
        <item x="372"/>
        <item x="361"/>
        <item x="606"/>
        <item x="330"/>
        <item x="386"/>
        <item x="84"/>
        <item x="659"/>
        <item x="645"/>
        <item x="624"/>
        <item x="162"/>
        <item x="348"/>
        <item x="90"/>
        <item x="179"/>
        <item x="163"/>
        <item x="216"/>
        <item x="89"/>
        <item x="178"/>
        <item x="113"/>
        <item x="668"/>
        <item x="119"/>
        <item x="86"/>
        <item x="177"/>
        <item x="111"/>
        <item x="126"/>
        <item x="81"/>
        <item x="85"/>
        <item x="176"/>
        <item x="496"/>
        <item x="257"/>
        <item x="373"/>
        <item x="195"/>
        <item x="215"/>
        <item x="309"/>
        <item x="319"/>
        <item x="322"/>
        <item x="141"/>
        <item x="607"/>
        <item x="641"/>
        <item x="608"/>
        <item x="609"/>
        <item x="239"/>
        <item x="497"/>
        <item x="374"/>
        <item x="142"/>
        <item x="422"/>
        <item x="143"/>
        <item x="610"/>
        <item x="362"/>
        <item x="265"/>
        <item x="498"/>
        <item x="164"/>
        <item x="349"/>
        <item x="165"/>
        <item x="375"/>
        <item x="387"/>
        <item x="144"/>
        <item x="611"/>
        <item x="612"/>
        <item x="397"/>
        <item x="613"/>
        <item x="560"/>
        <item x="102"/>
        <item x="614"/>
        <item x="660"/>
        <item x="112"/>
        <item x="120"/>
        <item x="127"/>
        <item x="636"/>
        <item x="266"/>
        <item x="267"/>
        <item x="268"/>
        <item x="667"/>
        <item x="10"/>
        <item x="12"/>
        <item x="24"/>
        <item x="14"/>
        <item x="552"/>
        <item x="553"/>
        <item x="555"/>
        <item x="404"/>
        <item x="405"/>
        <item x="259"/>
        <item x="246"/>
        <item x="247"/>
        <item x="293"/>
        <item x="499"/>
        <item x="417"/>
        <item x="243"/>
        <item x="166"/>
        <item x="258"/>
        <item x="270"/>
        <item x="271"/>
        <item x="286"/>
        <item x="288"/>
        <item x="292"/>
        <item x="298"/>
        <item x="350"/>
        <item x="376"/>
        <item x="409"/>
        <item x="167"/>
        <item x="287"/>
        <item x="289"/>
        <item x="336"/>
        <item x="351"/>
        <item x="168"/>
        <item x="235"/>
        <item x="272"/>
        <item x="273"/>
        <item x="251"/>
        <item x="274"/>
        <item x="388"/>
        <item x="615"/>
        <item x="181"/>
        <item x="236"/>
        <item x="296"/>
        <item x="301"/>
        <item x="402"/>
        <item x="403"/>
        <item x="616"/>
        <item x="103"/>
        <item x="617"/>
        <item x="500"/>
        <item x="377"/>
        <item x="232"/>
        <item x="563"/>
        <item x="565"/>
        <item x="145"/>
        <item x="618"/>
        <item x="146"/>
        <item x="411"/>
        <item x="564"/>
        <item x="566"/>
        <item x="567"/>
        <item x="147"/>
        <item x="619"/>
        <item x="3"/>
        <item x="20"/>
        <item x="23"/>
        <item x="4"/>
        <item x="478"/>
        <item x="169"/>
        <item x="299"/>
        <item x="352"/>
        <item x="378"/>
        <item x="410"/>
        <item x="170"/>
        <item x="337"/>
        <item x="171"/>
        <item x="620"/>
        <item x="642"/>
        <item x="621"/>
        <item x="234"/>
        <item x="104"/>
        <item x="622"/>
        <item x="321"/>
        <item x="248"/>
        <item x="219"/>
        <item x="220"/>
        <item x="221"/>
        <item x="222"/>
        <item x="400"/>
        <item x="48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507"/>
        <item x="508"/>
        <item x="509"/>
        <item x="510"/>
        <item x="511"/>
        <item x="512"/>
        <item x="548"/>
        <item x="549"/>
        <item x="561"/>
        <item x="562"/>
        <item x="16"/>
        <item x="17"/>
        <item x="25"/>
        <item x="27"/>
        <item x="314"/>
        <item x="315"/>
        <item x="505"/>
        <item x="520"/>
        <item x="523"/>
        <item x="524"/>
        <item x="105"/>
        <item x="11"/>
        <item x="13"/>
        <item x="15"/>
        <item x="7"/>
        <item x="9"/>
        <item x="22"/>
        <item x="472"/>
        <item x="473"/>
        <item x="18"/>
        <item x="28"/>
        <item x="29"/>
        <item x="186"/>
        <item x="275"/>
        <item x="389"/>
        <item x="390"/>
        <item x="391"/>
        <item x="392"/>
        <item x="423"/>
        <item x="424"/>
        <item x="481"/>
        <item x="482"/>
        <item x="517"/>
        <item x="518"/>
        <item x="532"/>
        <item x="533"/>
        <item x="534"/>
        <item x="535"/>
        <item x="539"/>
        <item x="540"/>
        <item x="545"/>
        <item x="87"/>
        <item x="329"/>
        <item x="331"/>
        <item x="227"/>
        <item x="32"/>
        <item x="479"/>
        <item x="480"/>
        <item x="470"/>
        <item x="471"/>
        <item x="398"/>
        <item x="1"/>
        <item x="418"/>
        <item x="419"/>
        <item x="420"/>
        <item x="568"/>
        <item x="558"/>
        <item x="559"/>
        <item x="40"/>
        <item x="41"/>
        <item x="44"/>
        <item x="45"/>
        <item x="46"/>
        <item x="47"/>
        <item x="67"/>
        <item x="70"/>
        <item x="71"/>
        <item x="80"/>
        <item x="82"/>
        <item x="88"/>
        <item x="128"/>
        <item x="129"/>
        <item x="130"/>
        <item x="148"/>
        <item x="187"/>
        <item x="193"/>
        <item x="194"/>
        <item x="252"/>
        <item x="300"/>
        <item x="308"/>
        <item x="332"/>
        <item x="333"/>
        <item x="334"/>
        <item x="338"/>
        <item x="353"/>
        <item x="379"/>
        <item x="570"/>
        <item x="571"/>
        <item x="572"/>
        <item x="573"/>
        <item x="574"/>
        <item x="626"/>
        <item x="627"/>
      </items>
    </pivotField>
    <pivotField axis="axisRow" compact="0" outline="0" showAll="0" defaultSubtotal="0">
      <items count="675">
        <item x="106"/>
        <item x="114"/>
        <item m="1" x="673"/>
        <item x="187"/>
        <item x="333"/>
        <item x="414"/>
        <item x="415"/>
        <item x="575"/>
        <item x="648"/>
        <item x="173"/>
        <item x="53"/>
        <item x="339"/>
        <item x="395"/>
        <item x="576"/>
        <item x="54"/>
        <item x="149"/>
        <item x="248"/>
        <item x="249"/>
        <item x="316"/>
        <item x="327"/>
        <item x="340"/>
        <item x="363"/>
        <item x="396"/>
        <item x="407"/>
        <item x="577"/>
        <item x="649"/>
        <item x="623"/>
        <item x="628"/>
        <item x="650"/>
        <item x="629"/>
        <item x="651"/>
        <item x="578"/>
        <item x="646"/>
        <item x="652"/>
        <item x="55"/>
        <item x="92"/>
        <item x="328"/>
        <item x="338"/>
        <item x="354"/>
        <item x="380"/>
        <item x="408"/>
        <item x="486"/>
        <item x="504"/>
        <item x="536"/>
        <item x="537"/>
        <item x="538"/>
        <item x="579"/>
        <item x="647"/>
        <item x="654"/>
        <item x="91"/>
        <item x="416"/>
        <item x="653"/>
        <item x="661"/>
        <item x="107"/>
        <item x="115"/>
        <item x="122"/>
        <item x="132"/>
        <item x="148"/>
        <item x="207"/>
        <item x="208"/>
        <item x="209"/>
        <item x="210"/>
        <item x="211"/>
        <item x="212"/>
        <item x="213"/>
        <item x="214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1"/>
        <item x="241"/>
        <item x="400"/>
        <item x="580"/>
        <item x="637"/>
        <item x="74"/>
        <item x="150"/>
        <item x="341"/>
        <item x="574"/>
        <item x="48"/>
        <item x="76"/>
        <item x="133"/>
        <item x="151"/>
        <item x="269"/>
        <item x="285"/>
        <item x="290"/>
        <item x="342"/>
        <item x="364"/>
        <item x="399"/>
        <item x="406"/>
        <item x="528"/>
        <item x="581"/>
        <item x="467"/>
        <item x="630"/>
        <item x="671"/>
        <item x="0"/>
        <item x="2"/>
        <item x="6"/>
        <item x="8"/>
        <item x="21"/>
        <item x="78"/>
        <item x="93"/>
        <item x="152"/>
        <item x="343"/>
        <item x="355"/>
        <item x="381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8"/>
        <item x="469"/>
        <item x="483"/>
        <item x="484"/>
        <item x="485"/>
        <item x="487"/>
        <item x="503"/>
        <item x="506"/>
        <item x="507"/>
        <item x="508"/>
        <item x="509"/>
        <item x="510"/>
        <item x="511"/>
        <item x="512"/>
        <item x="513"/>
        <item x="514"/>
        <item x="515"/>
        <item x="525"/>
        <item x="529"/>
        <item x="541"/>
        <item x="542"/>
        <item x="543"/>
        <item x="547"/>
        <item x="548"/>
        <item x="549"/>
        <item x="550"/>
        <item x="557"/>
        <item x="561"/>
        <item x="562"/>
        <item x="582"/>
        <item x="655"/>
        <item x="662"/>
        <item x="108"/>
        <item x="116"/>
        <item x="123"/>
        <item x="16"/>
        <item x="17"/>
        <item x="25"/>
        <item x="27"/>
        <item x="134"/>
        <item x="191"/>
        <item x="196"/>
        <item x="199"/>
        <item x="201"/>
        <item x="202"/>
        <item x="203"/>
        <item x="230"/>
        <item x="233"/>
        <item x="262"/>
        <item x="263"/>
        <item x="264"/>
        <item x="276"/>
        <item x="283"/>
        <item x="304"/>
        <item x="310"/>
        <item x="313"/>
        <item x="501"/>
        <item x="583"/>
        <item x="638"/>
        <item x="174"/>
        <item x="135"/>
        <item x="153"/>
        <item x="277"/>
        <item x="279"/>
        <item x="281"/>
        <item x="284"/>
        <item x="305"/>
        <item x="306"/>
        <item x="314"/>
        <item x="315"/>
        <item x="317"/>
        <item x="318"/>
        <item x="365"/>
        <item x="584"/>
        <item x="643"/>
        <item x="631"/>
        <item x="670"/>
        <item x="94"/>
        <item x="129"/>
        <item x="154"/>
        <item x="278"/>
        <item x="311"/>
        <item x="353"/>
        <item x="382"/>
        <item x="421"/>
        <item x="474"/>
        <item x="477"/>
        <item x="488"/>
        <item x="502"/>
        <item x="505"/>
        <item x="520"/>
        <item x="521"/>
        <item x="522"/>
        <item x="523"/>
        <item x="524"/>
        <item x="527"/>
        <item x="585"/>
        <item x="656"/>
        <item x="663"/>
        <item x="105"/>
        <item x="136"/>
        <item x="252"/>
        <item x="570"/>
        <item x="83"/>
        <item x="137"/>
        <item x="155"/>
        <item x="237"/>
        <item x="253"/>
        <item x="321"/>
        <item x="366"/>
        <item x="554"/>
        <item x="586"/>
        <item x="632"/>
        <item x="5"/>
        <item x="34"/>
        <item x="36"/>
        <item x="95"/>
        <item x="131"/>
        <item x="356"/>
        <item x="489"/>
        <item x="587"/>
        <item x="156"/>
        <item x="183"/>
        <item x="189"/>
        <item x="190"/>
        <item x="198"/>
        <item x="244"/>
        <item x="260"/>
        <item x="294"/>
        <item x="307"/>
        <item x="412"/>
        <item x="413"/>
        <item x="588"/>
        <item x="639"/>
        <item x="157"/>
        <item x="245"/>
        <item x="261"/>
        <item x="344"/>
        <item x="367"/>
        <item x="589"/>
        <item x="96"/>
        <item x="490"/>
        <item x="590"/>
        <item x="254"/>
        <item x="571"/>
        <item x="11"/>
        <item x="13"/>
        <item x="15"/>
        <item x="158"/>
        <item x="238"/>
        <item x="255"/>
        <item x="320"/>
        <item x="368"/>
        <item x="591"/>
        <item x="626"/>
        <item x="7"/>
        <item x="9"/>
        <item x="22"/>
        <item x="30"/>
        <item x="33"/>
        <item x="35"/>
        <item x="357"/>
        <item x="383"/>
        <item x="472"/>
        <item x="473"/>
        <item x="491"/>
        <item x="592"/>
        <item x="109"/>
        <item x="117"/>
        <item x="124"/>
        <item x="18"/>
        <item x="26"/>
        <item x="28"/>
        <item x="29"/>
        <item x="138"/>
        <item x="182"/>
        <item x="184"/>
        <item x="185"/>
        <item x="186"/>
        <item x="188"/>
        <item x="192"/>
        <item x="197"/>
        <item x="205"/>
        <item x="297"/>
        <item x="302"/>
        <item x="312"/>
        <item x="593"/>
        <item x="640"/>
        <item x="139"/>
        <item x="280"/>
        <item x="282"/>
        <item x="303"/>
        <item x="369"/>
        <item x="633"/>
        <item x="569"/>
        <item x="594"/>
        <item x="19"/>
        <item x="130"/>
        <item x="358"/>
        <item x="379"/>
        <item x="492"/>
        <item x="595"/>
        <item x="657"/>
        <item x="664"/>
        <item x="31"/>
        <item x="110"/>
        <item x="118"/>
        <item x="125"/>
        <item x="97"/>
        <item x="200"/>
        <item x="242"/>
        <item x="596"/>
        <item x="175"/>
        <item x="56"/>
        <item x="60"/>
        <item x="64"/>
        <item x="65"/>
        <item x="67"/>
        <item x="69"/>
        <item x="345"/>
        <item x="597"/>
        <item x="42"/>
        <item x="57"/>
        <item x="61"/>
        <item x="72"/>
        <item x="159"/>
        <item x="250"/>
        <item x="275"/>
        <item x="346"/>
        <item x="370"/>
        <item x="598"/>
        <item x="634"/>
        <item x="45"/>
        <item x="47"/>
        <item x="49"/>
        <item x="51"/>
        <item x="58"/>
        <item x="71"/>
        <item x="98"/>
        <item x="359"/>
        <item x="384"/>
        <item x="475"/>
        <item x="476"/>
        <item x="493"/>
        <item x="599"/>
        <item x="658"/>
        <item x="665"/>
        <item x="99"/>
        <item x="140"/>
        <item x="206"/>
        <item x="217"/>
        <item x="240"/>
        <item x="256"/>
        <item x="324"/>
        <item x="325"/>
        <item x="600"/>
        <item x="37"/>
        <item x="38"/>
        <item x="39"/>
        <item x="389"/>
        <item x="390"/>
        <item x="391"/>
        <item x="392"/>
        <item x="40"/>
        <item x="41"/>
        <item x="160"/>
        <item x="291"/>
        <item x="347"/>
        <item x="371"/>
        <item x="393"/>
        <item x="394"/>
        <item x="530"/>
        <item x="601"/>
        <item x="516"/>
        <item x="627"/>
        <item x="100"/>
        <item x="161"/>
        <item x="335"/>
        <item x="360"/>
        <item x="385"/>
        <item x="423"/>
        <item x="424"/>
        <item x="425"/>
        <item x="481"/>
        <item x="482"/>
        <item x="494"/>
        <item x="517"/>
        <item x="518"/>
        <item x="519"/>
        <item x="526"/>
        <item x="531"/>
        <item x="532"/>
        <item x="533"/>
        <item x="534"/>
        <item x="535"/>
        <item x="539"/>
        <item x="540"/>
        <item x="544"/>
        <item x="545"/>
        <item x="546"/>
        <item x="551"/>
        <item x="602"/>
        <item x="111"/>
        <item x="113"/>
        <item x="119"/>
        <item x="126"/>
        <item x="669"/>
        <item x="81"/>
        <item x="85"/>
        <item x="86"/>
        <item x="87"/>
        <item x="89"/>
        <item x="90"/>
        <item x="162"/>
        <item x="178"/>
        <item x="179"/>
        <item x="180"/>
        <item x="204"/>
        <item x="216"/>
        <item x="295"/>
        <item x="326"/>
        <item x="329"/>
        <item x="331"/>
        <item x="332"/>
        <item x="603"/>
        <item x="645"/>
        <item x="176"/>
        <item x="177"/>
        <item x="62"/>
        <item x="66"/>
        <item x="68"/>
        <item x="75"/>
        <item x="605"/>
        <item x="43"/>
        <item x="63"/>
        <item x="73"/>
        <item x="77"/>
        <item x="80"/>
        <item x="84"/>
        <item x="88"/>
        <item x="163"/>
        <item x="323"/>
        <item x="330"/>
        <item x="348"/>
        <item x="372"/>
        <item x="556"/>
        <item x="606"/>
        <item x="625"/>
        <item x="672"/>
        <item x="624"/>
        <item x="635"/>
        <item x="572"/>
        <item x="44"/>
        <item x="46"/>
        <item x="50"/>
        <item x="52"/>
        <item x="59"/>
        <item x="70"/>
        <item x="79"/>
        <item x="82"/>
        <item x="101"/>
        <item x="172"/>
        <item x="361"/>
        <item x="386"/>
        <item x="495"/>
        <item x="604"/>
        <item x="644"/>
        <item x="659"/>
        <item x="666"/>
        <item x="668"/>
        <item x="141"/>
        <item x="195"/>
        <item x="215"/>
        <item x="227"/>
        <item x="309"/>
        <item x="319"/>
        <item x="322"/>
        <item x="607"/>
        <item x="641"/>
        <item x="194"/>
        <item x="239"/>
        <item x="257"/>
        <item x="308"/>
        <item x="373"/>
        <item x="608"/>
        <item x="32"/>
        <item x="479"/>
        <item x="480"/>
        <item x="496"/>
        <item x="609"/>
        <item x="142"/>
        <item x="374"/>
        <item x="143"/>
        <item x="422"/>
        <item x="470"/>
        <item x="471"/>
        <item x="497"/>
        <item x="610"/>
        <item x="112"/>
        <item x="120"/>
        <item x="127"/>
        <item x="144"/>
        <item x="164"/>
        <item x="265"/>
        <item x="266"/>
        <item x="611"/>
        <item x="165"/>
        <item x="349"/>
        <item x="612"/>
        <item x="267"/>
        <item x="268"/>
        <item x="375"/>
        <item x="397"/>
        <item x="613"/>
        <item x="636"/>
        <item x="102"/>
        <item x="362"/>
        <item x="387"/>
        <item x="398"/>
        <item x="498"/>
        <item x="560"/>
        <item x="614"/>
        <item x="660"/>
        <item x="667"/>
        <item x="128"/>
        <item x="166"/>
        <item x="235"/>
        <item x="243"/>
        <item x="272"/>
        <item x="273"/>
        <item x="300"/>
        <item x="615"/>
        <item x="1"/>
        <item x="10"/>
        <item x="12"/>
        <item x="14"/>
        <item x="167"/>
        <item x="181"/>
        <item x="193"/>
        <item x="236"/>
        <item x="246"/>
        <item x="247"/>
        <item x="251"/>
        <item x="258"/>
        <item x="259"/>
        <item x="270"/>
        <item x="271"/>
        <item x="274"/>
        <item x="286"/>
        <item x="288"/>
        <item x="292"/>
        <item x="293"/>
        <item x="296"/>
        <item x="298"/>
        <item x="301"/>
        <item x="334"/>
        <item x="350"/>
        <item x="376"/>
        <item x="402"/>
        <item x="403"/>
        <item x="404"/>
        <item x="405"/>
        <item x="409"/>
        <item x="552"/>
        <item x="616"/>
        <item x="24"/>
        <item x="103"/>
        <item x="168"/>
        <item x="287"/>
        <item x="289"/>
        <item x="336"/>
        <item x="351"/>
        <item x="388"/>
        <item x="401"/>
        <item x="417"/>
        <item x="418"/>
        <item x="419"/>
        <item x="420"/>
        <item x="499"/>
        <item x="553"/>
        <item x="555"/>
        <item x="617"/>
        <item x="145"/>
        <item x="232"/>
        <item x="563"/>
        <item x="565"/>
        <item x="618"/>
        <item x="146"/>
        <item x="377"/>
        <item x="573"/>
        <item x="411"/>
        <item x="147"/>
        <item x="500"/>
        <item x="564"/>
        <item x="566"/>
        <item x="567"/>
        <item x="568"/>
        <item x="619"/>
        <item x="169"/>
        <item x="620"/>
        <item x="642"/>
        <item x="3"/>
        <item x="20"/>
        <item x="23"/>
        <item x="170"/>
        <item x="299"/>
        <item x="352"/>
        <item x="378"/>
        <item x="410"/>
        <item x="621"/>
        <item x="4"/>
        <item x="104"/>
        <item x="171"/>
        <item x="234"/>
        <item x="337"/>
        <item x="478"/>
        <item x="558"/>
        <item x="559"/>
        <item x="622"/>
        <item m="1" x="674"/>
        <item x="121"/>
      </items>
    </pivotField>
    <pivotField compact="0" outline="0" showAll="0"/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7">
        <item x="12"/>
        <item x="0"/>
        <item x="5"/>
        <item x="3"/>
        <item x="13"/>
        <item x="4"/>
        <item x="6"/>
        <item x="7"/>
        <item x="10"/>
        <item x="9"/>
        <item x="11"/>
        <item x="8"/>
        <item x="15"/>
        <item x="14"/>
        <item x="1"/>
        <item x="16"/>
        <item x="2"/>
      </items>
    </pivotField>
    <pivotField compact="0" outline="0" showAll="0"/>
    <pivotField axis="axisRow" compact="0" outline="0" showAll="0" defaultSubtotal="0">
      <items count="11">
        <item x="5"/>
        <item x="2"/>
        <item x="6"/>
        <item x="3"/>
        <item x="1"/>
        <item x="7"/>
        <item x="9"/>
        <item x="8"/>
        <item x="0"/>
        <item x="10"/>
        <item x="4"/>
      </items>
    </pivotField>
    <pivotField axis="axisRow" compact="0" outline="0" showAll="0">
      <items count="373">
        <item x="144"/>
        <item x="96"/>
        <item x="21"/>
        <item x="23"/>
        <item x="19"/>
        <item x="25"/>
        <item x="114"/>
        <item x="212"/>
        <item x="120"/>
        <item x="121"/>
        <item x="75"/>
        <item x="115"/>
        <item x="61"/>
        <item x="35"/>
        <item x="39"/>
        <item x="40"/>
        <item x="49"/>
        <item x="41"/>
        <item x="42"/>
        <item x="43"/>
        <item x="45"/>
        <item x="46"/>
        <item x="48"/>
        <item x="63"/>
        <item x="109"/>
        <item x="103"/>
        <item x="110"/>
        <item x="321"/>
        <item x="106"/>
        <item x="108"/>
        <item x="105"/>
        <item x="107"/>
        <item x="338"/>
        <item x="339"/>
        <item x="319"/>
        <item x="340"/>
        <item x="337"/>
        <item x="331"/>
        <item x="5"/>
        <item x="229"/>
        <item x="230"/>
        <item x="62"/>
        <item x="3"/>
        <item x="4"/>
        <item x="72"/>
        <item x="347"/>
        <item x="348"/>
        <item x="328"/>
        <item x="287"/>
        <item x="111"/>
        <item x="142"/>
        <item x="141"/>
        <item x="116"/>
        <item x="60"/>
        <item x="182"/>
        <item x="355"/>
        <item x="183"/>
        <item x="137"/>
        <item x="138"/>
        <item x="139"/>
        <item x="130"/>
        <item x="353"/>
        <item x="320"/>
        <item x="358"/>
        <item x="345"/>
        <item x="210"/>
        <item x="126"/>
        <item x="9"/>
        <item x="7"/>
        <item x="6"/>
        <item x="8"/>
        <item x="363"/>
        <item x="204"/>
        <item x="203"/>
        <item x="206"/>
        <item x="205"/>
        <item x="325"/>
        <item x="324"/>
        <item x="323"/>
        <item x="322"/>
        <item x="157"/>
        <item x="295"/>
        <item x="56"/>
        <item x="194"/>
        <item x="190"/>
        <item x="170"/>
        <item x="70"/>
        <item x="50"/>
        <item x="343"/>
        <item x="67"/>
        <item x="33"/>
        <item x="201"/>
        <item x="198"/>
        <item x="66"/>
        <item x="227"/>
        <item x="228"/>
        <item x="297"/>
        <item x="69"/>
        <item x="68"/>
        <item x="133"/>
        <item x="101"/>
        <item x="100"/>
        <item x="73"/>
        <item x="281"/>
        <item x="282"/>
        <item x="74"/>
        <item x="83"/>
        <item x="179"/>
        <item x="132"/>
        <item x="346"/>
        <item x="18"/>
        <item x="112"/>
        <item x="14"/>
        <item x="24"/>
        <item x="78"/>
        <item x="360"/>
        <item x="185"/>
        <item x="232"/>
        <item x="122"/>
        <item x="299"/>
        <item x="178"/>
        <item x="316"/>
        <item x="315"/>
        <item x="17"/>
        <item x="148"/>
        <item x="180"/>
        <item x="88"/>
        <item x="95"/>
        <item x="162"/>
        <item x="181"/>
        <item x="283"/>
        <item x="125"/>
        <item x="12"/>
        <item x="13"/>
        <item x="22"/>
        <item x="16"/>
        <item x="20"/>
        <item x="209"/>
        <item x="136"/>
        <item x="213"/>
        <item x="217"/>
        <item x="344"/>
        <item x="135"/>
        <item x="164"/>
        <item x="167"/>
        <item x="216"/>
        <item x="10"/>
        <item x="117"/>
        <item x="155"/>
        <item x="127"/>
        <item x="154"/>
        <item x="140"/>
        <item x="71"/>
        <item x="129"/>
        <item x="146"/>
        <item x="298"/>
        <item x="160"/>
        <item x="152"/>
        <item x="153"/>
        <item x="342"/>
        <item x="186"/>
        <item x="221"/>
        <item x="36"/>
        <item x="44"/>
        <item x="47"/>
        <item x="38"/>
        <item x="37"/>
        <item x="156"/>
        <item x="197"/>
        <item x="354"/>
        <item x="91"/>
        <item x="90"/>
        <item x="371"/>
        <item x="171"/>
        <item x="97"/>
        <item x="296"/>
        <item x="98"/>
        <item x="231"/>
        <item x="99"/>
        <item x="159"/>
        <item x="317"/>
        <item x="318"/>
        <item x="314"/>
        <item x="341"/>
        <item x="79"/>
        <item x="81"/>
        <item x="173"/>
        <item x="147"/>
        <item x="280"/>
        <item x="279"/>
        <item x="80"/>
        <item x="87"/>
        <item x="86"/>
        <item x="94"/>
        <item x="174"/>
        <item x="175"/>
        <item x="134"/>
        <item x="200"/>
        <item x="202"/>
        <item x="356"/>
        <item x="34"/>
        <item x="149"/>
        <item x="286"/>
        <item x="158"/>
        <item x="172"/>
        <item x="357"/>
        <item x="359"/>
        <item x="326"/>
        <item x="196"/>
        <item x="235"/>
        <item x="214"/>
        <item x="128"/>
        <item x="215"/>
        <item x="361"/>
        <item x="199"/>
        <item x="52"/>
        <item x="59"/>
        <item x="51"/>
        <item x="192"/>
        <item x="224"/>
        <item x="187"/>
        <item x="223"/>
        <item x="191"/>
        <item x="226"/>
        <item x="225"/>
        <item x="336"/>
        <item x="218"/>
        <item x="169"/>
        <item x="161"/>
        <item x="82"/>
        <item x="168"/>
        <item x="93"/>
        <item x="362"/>
        <item x="334"/>
        <item x="335"/>
        <item x="327"/>
        <item x="195"/>
        <item x="285"/>
        <item x="77"/>
        <item x="84"/>
        <item x="85"/>
        <item x="89"/>
        <item x="291"/>
        <item x="290"/>
        <item x="26"/>
        <item x="220"/>
        <item x="219"/>
        <item x="118"/>
        <item x="64"/>
        <item x="53"/>
        <item x="166"/>
        <item x="131"/>
        <item x="113"/>
        <item x="349"/>
        <item x="150"/>
        <item x="151"/>
        <item x="143"/>
        <item x="211"/>
        <item x="165"/>
        <item x="350"/>
        <item x="351"/>
        <item x="54"/>
        <item x="31"/>
        <item x="32"/>
        <item x="30"/>
        <item x="57"/>
        <item x="58"/>
        <item x="15"/>
        <item x="1"/>
        <item x="28"/>
        <item x="29"/>
        <item x="273"/>
        <item x="272"/>
        <item x="55"/>
        <item x="293"/>
        <item x="332"/>
        <item x="124"/>
        <item x="352"/>
        <item x="333"/>
        <item x="370"/>
        <item x="276"/>
        <item x="294"/>
        <item x="236"/>
        <item x="248"/>
        <item x="247"/>
        <item x="250"/>
        <item x="249"/>
        <item x="252"/>
        <item x="251"/>
        <item x="238"/>
        <item x="237"/>
        <item x="240"/>
        <item x="239"/>
        <item x="242"/>
        <item x="241"/>
        <item x="244"/>
        <item x="243"/>
        <item x="246"/>
        <item x="245"/>
        <item x="275"/>
        <item x="274"/>
        <item x="254"/>
        <item x="253"/>
        <item x="256"/>
        <item x="255"/>
        <item x="258"/>
        <item x="257"/>
        <item x="260"/>
        <item x="259"/>
        <item x="262"/>
        <item x="261"/>
        <item x="263"/>
        <item x="265"/>
        <item x="264"/>
        <item x="267"/>
        <item x="266"/>
        <item x="269"/>
        <item x="268"/>
        <item x="271"/>
        <item x="270"/>
        <item x="104"/>
        <item x="208"/>
        <item x="207"/>
        <item x="313"/>
        <item x="102"/>
        <item x="189"/>
        <item x="188"/>
        <item x="11"/>
        <item x="309"/>
        <item x="300"/>
        <item x="307"/>
        <item x="301"/>
        <item x="302"/>
        <item x="306"/>
        <item x="305"/>
        <item x="277"/>
        <item x="304"/>
        <item x="303"/>
        <item x="65"/>
        <item x="308"/>
        <item x="311"/>
        <item x="312"/>
        <item x="310"/>
        <item x="145"/>
        <item x="278"/>
        <item x="234"/>
        <item x="233"/>
        <item x="0"/>
        <item x="2"/>
        <item x="292"/>
        <item x="369"/>
        <item x="184"/>
        <item x="176"/>
        <item x="177"/>
        <item x="92"/>
        <item x="329"/>
        <item x="330"/>
        <item x="222"/>
        <item x="27"/>
        <item x="123"/>
        <item x="163"/>
        <item x="365"/>
        <item x="366"/>
        <item x="367"/>
        <item x="119"/>
        <item x="289"/>
        <item x="288"/>
        <item x="368"/>
        <item x="284"/>
        <item x="76"/>
        <item x="364"/>
        <item x="19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0"/>
    <field x="1"/>
    <field x="3"/>
    <field x="4"/>
    <field x="6"/>
    <field x="7"/>
  </rowFields>
  <rowItems count="674">
    <i>
      <x v="35"/>
      <x v="230"/>
      <x v="1"/>
      <x v="2"/>
      <x v="8"/>
      <x v="350"/>
    </i>
    <i>
      <x v="36"/>
      <x v="101"/>
      <x/>
      <x v="1"/>
      <x v="8"/>
      <x v="279"/>
    </i>
    <i>
      <x v="37"/>
      <x v="313"/>
      <x v="1"/>
      <x v="5"/>
      <x v="8"/>
      <x v="269"/>
    </i>
    <i>
      <x v="38"/>
      <x v="314"/>
      <x v="1"/>
      <x v="5"/>
      <x v="8"/>
      <x v="270"/>
    </i>
    <i>
      <x v="39"/>
      <x v="260"/>
      <x v="1"/>
      <x v="3"/>
      <x v="4"/>
      <x v="153"/>
    </i>
    <i>
      <x v="40"/>
      <x v="627"/>
      <x/>
      <x v="14"/>
      <x v="8"/>
      <x v="210"/>
    </i>
    <i>
      <x v="41"/>
      <x v="271"/>
      <x v="1"/>
      <x v="3"/>
      <x v="8"/>
      <x v="98"/>
    </i>
    <i>
      <x v="42"/>
      <x v="82"/>
      <x/>
      <x v="1"/>
      <x v="3"/>
      <x v="16"/>
    </i>
    <i>
      <x v="43"/>
      <x v="485"/>
      <x v="2"/>
      <x v="10"/>
      <x v="3"/>
      <x v="16"/>
    </i>
    <i>
      <x v="44"/>
      <x v="87"/>
      <x/>
      <x v="1"/>
      <x v="4"/>
      <x v="16"/>
    </i>
    <i>
      <x v="45"/>
      <x v="490"/>
      <x v="2"/>
      <x v="10"/>
      <x v="4"/>
      <x v="16"/>
    </i>
    <i>
      <x v="46"/>
      <x v="107"/>
      <x/>
      <x v="1"/>
      <x v="8"/>
      <x v="16"/>
    </i>
    <i>
      <x v="47"/>
      <x v="512"/>
      <x v="2"/>
      <x v="10"/>
      <x v="8"/>
      <x v="16"/>
    </i>
    <i>
      <x v="48"/>
      <x v="502"/>
      <x v="2"/>
      <x v="10"/>
      <x v="5"/>
      <x v="172"/>
    </i>
    <i>
      <x v="49"/>
      <x v="17"/>
      <x v="1"/>
      <x/>
      <x v="4"/>
      <x v="58"/>
    </i>
    <i>
      <x v="50"/>
      <x v="18"/>
      <x v="1"/>
      <x/>
      <x v="4"/>
      <x v="54"/>
    </i>
    <i>
      <x v="51"/>
      <x v="38"/>
      <x v="1"/>
      <x/>
      <x v="8"/>
      <x v="197"/>
    </i>
    <i>
      <x v="52"/>
      <x v="41"/>
      <x v="1"/>
      <x/>
      <x v="8"/>
      <x v="81"/>
    </i>
    <i>
      <x v="53"/>
      <x v="19"/>
      <x v="1"/>
      <x/>
      <x v="4"/>
      <x v="222"/>
    </i>
    <i>
      <x v="54"/>
      <x v="36"/>
      <x v="1"/>
      <x/>
      <x v="8"/>
      <x v="222"/>
    </i>
    <i>
      <x v="55"/>
      <x v="49"/>
      <x v="1"/>
      <x/>
      <x v="10"/>
      <x v="216"/>
    </i>
    <i>
      <x v="56"/>
      <x v="11"/>
      <x v="1"/>
      <x/>
      <x v="3"/>
      <x v="214"/>
    </i>
    <i>
      <x v="57"/>
      <x v="20"/>
      <x v="1"/>
      <x/>
      <x v="4"/>
      <x v="214"/>
    </i>
    <i>
      <x v="58"/>
      <x v="21"/>
      <x v="1"/>
      <x/>
      <x v="4"/>
      <x v="80"/>
    </i>
    <i>
      <x v="59"/>
      <x v="23"/>
      <x v="1"/>
      <x/>
      <x v="4"/>
      <x v="226"/>
    </i>
    <i>
      <x v="60"/>
      <x v="15"/>
      <x v="1"/>
      <x/>
      <x v="4"/>
      <x v="152"/>
    </i>
    <i>
      <x v="61"/>
      <x v="40"/>
      <x v="1"/>
      <x/>
      <x v="8"/>
      <x v="226"/>
    </i>
    <i>
      <x v="62"/>
      <x v="42"/>
      <x v="1"/>
      <x/>
      <x v="8"/>
      <x v="155"/>
    </i>
    <i>
      <x v="63"/>
      <x v="39"/>
      <x v="1"/>
      <x/>
      <x v="8"/>
      <x v="198"/>
    </i>
    <i>
      <x v="64"/>
      <x v="5"/>
      <x v="1"/>
      <x/>
      <x v="1"/>
      <x v="219"/>
    </i>
    <i>
      <x v="65"/>
      <x v="6"/>
      <x v="1"/>
      <x/>
      <x v="1"/>
      <x v="224"/>
    </i>
    <i>
      <x v="66"/>
      <x v="8"/>
      <x v="1"/>
      <x/>
      <x v="1"/>
      <x v="370"/>
    </i>
    <i>
      <x v="67"/>
      <x v="7"/>
      <x v="1"/>
      <x/>
      <x v="1"/>
      <x v="199"/>
    </i>
    <i>
      <x v="68"/>
      <x v="12"/>
      <x v="1"/>
      <x/>
      <x v="3"/>
      <x v="137"/>
    </i>
    <i>
      <x v="69"/>
      <x v="10"/>
      <x v="1"/>
      <x/>
      <x v="3"/>
      <x v="15"/>
    </i>
    <i>
      <x v="70"/>
      <x v="13"/>
      <x v="1"/>
      <x/>
      <x v="3"/>
      <x v="199"/>
    </i>
    <i>
      <x v="71"/>
      <x v="22"/>
      <x v="1"/>
      <x/>
      <x v="4"/>
      <x v="65"/>
    </i>
    <i>
      <x v="72"/>
      <x v="25"/>
      <x v="1"/>
      <x/>
      <x v="4"/>
      <x v="370"/>
    </i>
    <i>
      <x v="73"/>
      <x v="14"/>
      <x v="1"/>
      <x/>
      <x v="4"/>
      <x v="15"/>
    </i>
    <i>
      <x v="74"/>
      <x v="24"/>
      <x v="1"/>
      <x/>
      <x v="4"/>
      <x v="199"/>
    </i>
    <i>
      <x v="75"/>
      <x v="28"/>
      <x v="1"/>
      <x/>
      <x v="5"/>
      <x v="370"/>
    </i>
    <i>
      <x v="76"/>
      <x v="26"/>
      <x v="1"/>
      <x/>
      <x v="5"/>
      <x v="205"/>
    </i>
    <i>
      <x v="77"/>
      <x v="30"/>
      <x v="1"/>
      <x/>
      <x v="6"/>
      <x v="370"/>
    </i>
    <i>
      <x v="78"/>
      <x v="32"/>
      <x v="1"/>
      <x/>
      <x v="7"/>
      <x v="370"/>
    </i>
    <i>
      <x v="79"/>
      <x v="33"/>
      <x v="1"/>
      <x/>
      <x v="7"/>
      <x v="370"/>
    </i>
    <i>
      <x v="80"/>
      <x v="31"/>
      <x v="1"/>
      <x/>
      <x v="7"/>
      <x v="199"/>
    </i>
    <i>
      <x v="81"/>
      <x v="43"/>
      <x v="1"/>
      <x/>
      <x v="8"/>
      <x v="207"/>
    </i>
    <i>
      <x v="82"/>
      <x v="44"/>
      <x v="1"/>
      <x/>
      <x v="8"/>
      <x v="235"/>
    </i>
    <i>
      <x v="83"/>
      <x v="45"/>
      <x v="1"/>
      <x/>
      <x v="8"/>
      <x v="47"/>
    </i>
    <i>
      <x v="84"/>
      <x v="34"/>
      <x v="1"/>
      <x/>
      <x v="8"/>
      <x v="15"/>
    </i>
    <i>
      <x v="85"/>
      <x v="35"/>
      <x v="1"/>
      <x/>
      <x v="8"/>
      <x v="53"/>
    </i>
    <i>
      <x v="86"/>
      <x v="46"/>
      <x v="1"/>
      <x/>
      <x v="8"/>
      <x v="199"/>
    </i>
    <i>
      <x v="87"/>
      <x v="47"/>
      <x v="1"/>
      <x/>
      <x v="9"/>
      <x v="370"/>
    </i>
    <i>
      <x v="88"/>
      <x v="48"/>
      <x v="1"/>
      <x/>
      <x v="9"/>
      <x v="361"/>
    </i>
    <i>
      <x v="89"/>
      <x v="50"/>
      <x v="1"/>
      <x/>
      <x v="10"/>
      <x v="223"/>
    </i>
    <i>
      <x v="90"/>
      <x v="51"/>
      <x v="1"/>
      <x/>
      <x v="10"/>
      <x v="370"/>
    </i>
    <i>
      <x v="91"/>
      <x/>
      <x v="1"/>
      <x/>
      <x/>
      <x v="12"/>
    </i>
    <i>
      <x v="92"/>
      <x v="1"/>
      <x v="1"/>
      <x/>
      <x/>
      <x v="23"/>
    </i>
    <i>
      <x v="93"/>
      <x v="674"/>
      <x v="1"/>
      <x v="3"/>
      <x/>
      <x v="248"/>
    </i>
    <i>
      <x v="94"/>
      <x v="9"/>
      <x v="1"/>
      <x/>
      <x v="2"/>
      <x v="102"/>
    </i>
    <i>
      <x v="95"/>
      <x v="27"/>
      <x v="1"/>
      <x/>
      <x v="5"/>
      <x v="213"/>
    </i>
    <i>
      <x v="96"/>
      <x v="29"/>
      <x v="1"/>
      <x/>
      <x v="6"/>
      <x v="213"/>
    </i>
    <i>
      <x v="97"/>
      <x v="52"/>
      <x v="1"/>
      <x/>
      <x v="10"/>
      <x v="362"/>
    </i>
    <i>
      <x v="98"/>
      <x v="60"/>
      <x/>
      <x v="1"/>
      <x v="1"/>
      <x v="30"/>
    </i>
    <i>
      <x v="99"/>
      <x v="61"/>
      <x/>
      <x v="1"/>
      <x v="1"/>
      <x v="28"/>
    </i>
    <i>
      <x v="100"/>
      <x v="62"/>
      <x/>
      <x v="1"/>
      <x v="1"/>
      <x v="31"/>
    </i>
    <i>
      <x v="101"/>
      <x v="157"/>
      <x/>
      <x v="1"/>
      <x v="8"/>
      <x v="274"/>
    </i>
    <i>
      <x v="102"/>
      <x v="171"/>
      <x/>
      <x v="1"/>
      <x v="8"/>
      <x v="34"/>
    </i>
    <i>
      <x v="103"/>
      <x v="173"/>
      <x/>
      <x v="1"/>
      <x v="8"/>
      <x v="37"/>
    </i>
    <i>
      <x v="104"/>
      <x v="176"/>
      <x/>
      <x v="1"/>
      <x v="8"/>
      <x v="36"/>
    </i>
    <i>
      <x v="105"/>
      <x v="179"/>
      <x/>
      <x v="1"/>
      <x v="8"/>
      <x v="35"/>
    </i>
    <i>
      <x v="106"/>
      <x v="174"/>
      <x/>
      <x v="1"/>
      <x v="8"/>
      <x v="275"/>
    </i>
    <i>
      <x v="107"/>
      <x v="102"/>
      <x/>
      <x v="1"/>
      <x v="8"/>
      <x v="347"/>
    </i>
    <i>
      <x v="108"/>
      <x v="103"/>
      <x/>
      <x v="1"/>
      <x v="8"/>
      <x v="348"/>
    </i>
    <i>
      <x v="109"/>
      <x v="104"/>
      <x/>
      <x v="1"/>
      <x v="8"/>
      <x v="69"/>
    </i>
    <i>
      <x v="110"/>
      <x v="105"/>
      <x/>
      <x v="1"/>
      <x v="8"/>
      <x v="68"/>
    </i>
    <i>
      <x v="111"/>
      <x v="106"/>
      <x/>
      <x v="1"/>
      <x v="8"/>
      <x v="123"/>
    </i>
    <i>
      <x v="112"/>
      <x v="97"/>
      <x/>
      <x v="1"/>
      <x v="4"/>
      <x v="27"/>
    </i>
    <i>
      <x v="113"/>
      <x v="172"/>
      <x/>
      <x v="1"/>
      <x v="8"/>
      <x v="27"/>
    </i>
    <i>
      <x v="114"/>
      <x v="96"/>
      <x/>
      <x v="1"/>
      <x v="4"/>
      <x v="14"/>
    </i>
    <i>
      <x v="115"/>
      <x v="111"/>
      <x/>
      <x v="1"/>
      <x v="8"/>
      <x v="197"/>
    </i>
    <i>
      <x v="116"/>
      <x v="159"/>
      <x/>
      <x v="1"/>
      <x v="8"/>
      <x v="81"/>
    </i>
    <i>
      <x v="117"/>
      <x v="84"/>
      <x/>
      <x v="1"/>
      <x v="3"/>
      <x v="214"/>
    </i>
    <i>
      <x v="118"/>
      <x v="83"/>
      <x/>
      <x v="1"/>
      <x v="3"/>
      <x v="152"/>
    </i>
    <i>
      <x v="119"/>
      <x v="90"/>
      <x/>
      <x v="1"/>
      <x v="4"/>
      <x v="157"/>
    </i>
    <i>
      <x v="120"/>
      <x v="91"/>
      <x/>
      <x v="1"/>
      <x v="4"/>
      <x v="360"/>
    </i>
    <i>
      <x v="121"/>
      <x v="92"/>
      <x/>
      <x v="1"/>
      <x v="4"/>
      <x v="153"/>
    </i>
    <i>
      <x v="122"/>
      <x v="93"/>
      <x/>
      <x v="1"/>
      <x v="4"/>
      <x v="214"/>
    </i>
    <i>
      <x v="123"/>
      <x v="94"/>
      <x/>
      <x v="1"/>
      <x v="4"/>
      <x v="80"/>
    </i>
    <i>
      <x v="124"/>
      <x v="89"/>
      <x/>
      <x v="1"/>
      <x v="4"/>
      <x v="152"/>
    </i>
    <i>
      <x v="125"/>
      <x v="110"/>
      <x/>
      <x v="1"/>
      <x v="8"/>
      <x v="214"/>
    </i>
    <i>
      <x v="126"/>
      <x v="109"/>
      <x/>
      <x v="1"/>
      <x v="8"/>
      <x v="152"/>
    </i>
    <i>
      <x v="127"/>
      <x v="112"/>
      <x/>
      <x v="1"/>
      <x v="8"/>
      <x v="198"/>
    </i>
    <i>
      <x v="128"/>
      <x v="78"/>
      <x/>
      <x v="1"/>
      <x v="1"/>
      <x v="108"/>
    </i>
    <i>
      <x v="129"/>
      <x v="63"/>
      <x/>
      <x v="1"/>
      <x v="1"/>
      <x v="29"/>
    </i>
    <i>
      <x v="130"/>
      <x v="64"/>
      <x/>
      <x v="1"/>
      <x v="1"/>
      <x v="24"/>
    </i>
    <i>
      <x v="131"/>
      <x v="65"/>
      <x/>
      <x v="1"/>
      <x v="1"/>
      <x v="26"/>
    </i>
    <i>
      <x v="132"/>
      <x v="66"/>
      <x/>
      <x v="1"/>
      <x v="1"/>
      <x v="6"/>
    </i>
    <i>
      <x v="133"/>
      <x v="71"/>
      <x/>
      <x v="1"/>
      <x v="1"/>
      <x v="52"/>
    </i>
    <i>
      <x v="134"/>
      <x v="72"/>
      <x/>
      <x v="1"/>
      <x v="1"/>
      <x v="247"/>
    </i>
    <i>
      <x v="135"/>
      <x v="73"/>
      <x/>
      <x v="1"/>
      <x v="1"/>
      <x v="147"/>
    </i>
    <i>
      <x v="136"/>
      <x v="74"/>
      <x/>
      <x v="1"/>
      <x v="1"/>
      <x v="11"/>
    </i>
    <i>
      <x v="137"/>
      <x v="75"/>
      <x/>
      <x v="1"/>
      <x v="1"/>
      <x v="8"/>
    </i>
    <i>
      <x v="138"/>
      <x v="76"/>
      <x/>
      <x v="1"/>
      <x v="1"/>
      <x v="9"/>
    </i>
    <i>
      <x v="139"/>
      <x v="77"/>
      <x/>
      <x v="1"/>
      <x v="1"/>
      <x v="359"/>
    </i>
    <i>
      <x v="140"/>
      <x v="56"/>
      <x/>
      <x v="1"/>
      <x v="1"/>
      <x v="97"/>
    </i>
    <i>
      <x v="141"/>
      <x v="80"/>
      <x/>
      <x v="1"/>
      <x v="1"/>
      <x v="199"/>
    </i>
    <i>
      <x v="142"/>
      <x v="81"/>
      <x/>
      <x v="1"/>
      <x v="1"/>
      <x v="232"/>
    </i>
    <i>
      <x v="143"/>
      <x v="95"/>
      <x/>
      <x v="1"/>
      <x v="4"/>
      <x v="139"/>
    </i>
    <i>
      <x v="144"/>
      <x v="88"/>
      <x/>
      <x v="1"/>
      <x v="4"/>
      <x v="97"/>
    </i>
    <i>
      <x v="145"/>
      <x v="98"/>
      <x/>
      <x v="1"/>
      <x v="4"/>
      <x v="199"/>
    </i>
    <i>
      <x v="146"/>
      <x v="175"/>
      <x/>
      <x v="1"/>
      <x v="8"/>
      <x v="278"/>
    </i>
    <i>
      <x v="147"/>
      <x v="180"/>
      <x/>
      <x v="1"/>
      <x v="8"/>
      <x v="109"/>
    </i>
    <i>
      <x v="148"/>
      <x v="108"/>
      <x/>
      <x v="1"/>
      <x v="8"/>
      <x v="53"/>
    </i>
    <i>
      <x v="149"/>
      <x v="183"/>
      <x/>
      <x v="1"/>
      <x v="8"/>
      <x v="199"/>
    </i>
    <i>
      <x v="150"/>
      <x v="184"/>
      <x/>
      <x v="1"/>
      <x v="9"/>
      <x v="361"/>
    </i>
    <i>
      <x v="151"/>
      <x v="53"/>
      <x/>
      <x v="1"/>
      <x/>
      <x v="12"/>
    </i>
    <i>
      <x v="152"/>
      <x v="54"/>
      <x/>
      <x v="1"/>
      <x/>
      <x v="23"/>
    </i>
    <i>
      <x v="153"/>
      <x v="55"/>
      <x/>
      <x v="1"/>
      <x/>
      <x v="248"/>
    </i>
    <i>
      <x v="154"/>
      <x v="100"/>
      <x/>
      <x v="1"/>
      <x v="5"/>
      <x v="213"/>
    </i>
    <i>
      <x v="155"/>
      <x v="160"/>
      <x/>
      <x v="1"/>
      <x v="8"/>
      <x v="96"/>
    </i>
    <i>
      <x v="156"/>
      <x v="58"/>
      <x/>
      <x v="1"/>
      <x v="1"/>
      <x v="25"/>
    </i>
    <i>
      <x v="157"/>
      <x v="59"/>
      <x/>
      <x v="1"/>
      <x v="1"/>
      <x v="320"/>
    </i>
    <i>
      <x v="158"/>
      <x v="158"/>
      <x/>
      <x v="1"/>
      <x v="8"/>
      <x v="281"/>
    </i>
    <i>
      <x v="159"/>
      <x v="153"/>
      <x/>
      <x v="1"/>
      <x v="8"/>
      <x v="280"/>
    </i>
    <i>
      <x v="160"/>
      <x v="113"/>
      <x/>
      <x v="1"/>
      <x v="8"/>
      <x v="282"/>
    </i>
    <i>
      <x v="161"/>
      <x v="140"/>
      <x/>
      <x v="1"/>
      <x v="8"/>
      <x v="311"/>
    </i>
    <i>
      <x v="162"/>
      <x v="170"/>
      <x/>
      <x v="1"/>
      <x v="8"/>
      <x v="328"/>
    </i>
    <i>
      <x v="163"/>
      <x v="99"/>
      <x/>
      <x v="1"/>
      <x v="5"/>
      <x v="335"/>
    </i>
    <i>
      <x v="164"/>
      <x v="154"/>
      <x/>
      <x v="1"/>
      <x v="8"/>
      <x v="335"/>
    </i>
    <i>
      <x v="165"/>
      <x v="161"/>
      <x/>
      <x v="1"/>
      <x v="8"/>
      <x v="329"/>
    </i>
    <i>
      <x v="166"/>
      <x v="168"/>
      <x/>
      <x v="1"/>
      <x v="8"/>
      <x v="330"/>
    </i>
    <i>
      <x v="167"/>
      <x v="169"/>
      <x/>
      <x v="1"/>
      <x v="8"/>
      <x v="339"/>
    </i>
    <i>
      <x v="168"/>
      <x v="156"/>
      <x/>
      <x v="1"/>
      <x v="8"/>
      <x v="349"/>
    </i>
    <i>
      <x v="169"/>
      <x v="155"/>
      <x/>
      <x v="1"/>
      <x v="8"/>
      <x v="344"/>
    </i>
    <i>
      <x v="170"/>
      <x v="185"/>
      <x/>
      <x v="1"/>
      <x v="10"/>
      <x v="362"/>
    </i>
    <i>
      <x v="171"/>
      <x v="196"/>
      <x v="1"/>
      <x v="2"/>
      <x v="1"/>
      <x v="127"/>
    </i>
    <i>
      <x v="172"/>
      <x v="224"/>
      <x v="1"/>
      <x v="2"/>
      <x v="4"/>
      <x v="54"/>
    </i>
    <i>
      <x v="173"/>
      <x v="225"/>
      <x v="1"/>
      <x v="2"/>
      <x v="4"/>
      <x v="56"/>
    </i>
    <i>
      <x v="174"/>
      <x v="249"/>
      <x v="1"/>
      <x v="2"/>
      <x v="8"/>
      <x v="62"/>
    </i>
    <i>
      <x v="175"/>
      <x v="241"/>
      <x v="1"/>
      <x v="2"/>
      <x v="8"/>
      <x v="81"/>
    </i>
    <i>
      <x v="176"/>
      <x v="216"/>
      <x v="1"/>
      <x v="2"/>
      <x v="4"/>
      <x v="179"/>
    </i>
    <i>
      <x v="177"/>
      <x v="218"/>
      <x v="1"/>
      <x v="2"/>
      <x v="4"/>
      <x v="228"/>
    </i>
    <i>
      <x v="178"/>
      <x v="226"/>
      <x v="1"/>
      <x v="2"/>
      <x v="4"/>
      <x v="80"/>
    </i>
    <i>
      <x v="179"/>
      <x v="215"/>
      <x v="1"/>
      <x v="2"/>
      <x v="4"/>
      <x v="152"/>
    </i>
    <i>
      <x v="180"/>
      <x v="234"/>
      <x v="1"/>
      <x v="2"/>
      <x v="8"/>
      <x v="179"/>
    </i>
    <i>
      <x v="181"/>
      <x v="233"/>
      <x v="1"/>
      <x v="2"/>
      <x v="8"/>
      <x v="152"/>
    </i>
    <i>
      <x v="182"/>
      <x v="237"/>
      <x v="1"/>
      <x v="2"/>
      <x v="8"/>
      <x v="198"/>
    </i>
    <i>
      <x v="183"/>
      <x v="207"/>
      <x v="1"/>
      <x v="2"/>
      <x v="1"/>
      <x v="194"/>
    </i>
    <i>
      <x v="184"/>
      <x v="220"/>
      <x v="1"/>
      <x v="2"/>
      <x v="4"/>
      <x v="194"/>
    </i>
    <i>
      <x v="185"/>
      <x v="221"/>
      <x v="1"/>
      <x v="2"/>
      <x v="4"/>
      <x v="195"/>
    </i>
    <i>
      <x v="186"/>
      <x v="204"/>
      <x v="1"/>
      <x v="2"/>
      <x v="1"/>
      <x v="201"/>
    </i>
    <i>
      <x v="187"/>
      <x v="205"/>
      <x v="1"/>
      <x v="2"/>
      <x v="1"/>
      <x v="203"/>
    </i>
    <i>
      <x v="188"/>
      <x v="240"/>
      <x v="1"/>
      <x v="2"/>
      <x v="8"/>
      <x v="202"/>
    </i>
    <i>
      <x v="189"/>
      <x v="194"/>
      <x v="1"/>
      <x v="2"/>
      <x v="1"/>
      <x v="126"/>
    </i>
    <i>
      <x v="190"/>
      <x v="195"/>
      <x v="1"/>
      <x v="2"/>
      <x v="1"/>
      <x v="231"/>
    </i>
    <i>
      <x v="191"/>
      <x v="197"/>
      <x v="1"/>
      <x v="2"/>
      <x v="1"/>
      <x v="174"/>
    </i>
    <i>
      <x v="192"/>
      <x v="198"/>
      <x v="1"/>
      <x v="2"/>
      <x v="1"/>
      <x v="176"/>
    </i>
    <i>
      <x v="193"/>
      <x v="199"/>
      <x v="1"/>
      <x v="2"/>
      <x v="1"/>
      <x v="178"/>
    </i>
    <i>
      <x v="194"/>
      <x v="200"/>
      <x v="1"/>
      <x v="2"/>
      <x v="1"/>
      <x v="118"/>
    </i>
    <i>
      <x v="195"/>
      <x v="201"/>
      <x v="1"/>
      <x v="2"/>
      <x v="1"/>
      <x v="131"/>
    </i>
    <i>
      <x v="196"/>
      <x v="202"/>
      <x v="1"/>
      <x v="2"/>
      <x v="1"/>
      <x v="187"/>
    </i>
    <i>
      <x v="197"/>
      <x v="203"/>
      <x v="1"/>
      <x v="2"/>
      <x v="1"/>
      <x v="124"/>
    </i>
    <i>
      <x v="198"/>
      <x v="206"/>
      <x v="1"/>
      <x v="2"/>
      <x v="1"/>
      <x v="128"/>
    </i>
    <i>
      <x v="199"/>
      <x v="208"/>
      <x v="1"/>
      <x v="2"/>
      <x v="1"/>
      <x v="120"/>
    </i>
    <i>
      <x v="200"/>
      <x v="209"/>
      <x v="1"/>
      <x v="2"/>
      <x v="1"/>
      <x v="125"/>
    </i>
    <i>
      <x v="201"/>
      <x v="210"/>
      <x v="1"/>
      <x v="2"/>
      <x v="1"/>
      <x v="175"/>
    </i>
    <i>
      <x v="202"/>
      <x v="193"/>
      <x v="1"/>
      <x v="2"/>
      <x v="1"/>
      <x v="97"/>
    </i>
    <i>
      <x v="203"/>
      <x v="211"/>
      <x v="1"/>
      <x v="2"/>
      <x v="1"/>
      <x v="199"/>
    </i>
    <i>
      <x v="204"/>
      <x v="212"/>
      <x v="1"/>
      <x v="2"/>
      <x v="1"/>
      <x v="232"/>
    </i>
    <i>
      <x v="205"/>
      <x v="217"/>
      <x v="1"/>
      <x v="2"/>
      <x v="4"/>
      <x v="156"/>
    </i>
    <i>
      <x v="206"/>
      <x v="219"/>
      <x v="1"/>
      <x v="2"/>
      <x v="4"/>
      <x v="128"/>
    </i>
    <i>
      <x v="207"/>
      <x v="228"/>
      <x v="1"/>
      <x v="2"/>
      <x v="4"/>
      <x v="71"/>
    </i>
    <i>
      <x v="208"/>
      <x v="214"/>
      <x v="1"/>
      <x v="2"/>
      <x v="4"/>
      <x v="97"/>
    </i>
    <i>
      <x v="209"/>
      <x v="227"/>
      <x v="1"/>
      <x v="2"/>
      <x v="4"/>
      <x v="199"/>
    </i>
    <i>
      <x v="210"/>
      <x v="235"/>
      <x v="1"/>
      <x v="2"/>
      <x v="8"/>
      <x v="120"/>
    </i>
    <i>
      <x v="211"/>
      <x v="239"/>
      <x v="1"/>
      <x v="2"/>
      <x v="8"/>
      <x v="130"/>
    </i>
    <i>
      <x v="212"/>
      <x v="242"/>
      <x v="1"/>
      <x v="2"/>
      <x v="8"/>
      <x v="175"/>
    </i>
    <i>
      <x v="213"/>
      <x v="245"/>
      <x v="1"/>
      <x v="2"/>
      <x v="8"/>
      <x v="122"/>
    </i>
    <i>
      <x v="214"/>
      <x v="246"/>
      <x v="1"/>
      <x v="2"/>
      <x v="8"/>
      <x v="121"/>
    </i>
    <i>
      <x v="215"/>
      <x v="231"/>
      <x v="1"/>
      <x v="2"/>
      <x v="8"/>
      <x v="53"/>
    </i>
    <i>
      <x v="216"/>
      <x v="250"/>
      <x v="1"/>
      <x v="2"/>
      <x v="8"/>
      <x v="199"/>
    </i>
    <i>
      <x v="217"/>
      <x v="251"/>
      <x v="1"/>
      <x v="2"/>
      <x v="9"/>
      <x v="361"/>
    </i>
    <i>
      <x v="218"/>
      <x v="186"/>
      <x v="1"/>
      <x v="2"/>
      <x/>
      <x v="12"/>
    </i>
    <i>
      <x v="219"/>
      <x v="187"/>
      <x v="1"/>
      <x v="2"/>
      <x/>
      <x v="23"/>
    </i>
    <i>
      <x v="220"/>
      <x v="188"/>
      <x v="1"/>
      <x v="2"/>
      <x/>
      <x v="248"/>
    </i>
    <i>
      <x v="221"/>
      <x v="213"/>
      <x v="1"/>
      <x v="2"/>
      <x v="2"/>
      <x v="102"/>
    </i>
    <i>
      <x v="222"/>
      <x v="229"/>
      <x v="1"/>
      <x v="2"/>
      <x v="5"/>
      <x v="213"/>
    </i>
    <i>
      <x v="223"/>
      <x v="238"/>
      <x v="1"/>
      <x v="2"/>
      <x v="8"/>
      <x v="177"/>
    </i>
    <i>
      <x v="224"/>
      <x v="252"/>
      <x v="1"/>
      <x v="2"/>
      <x v="10"/>
      <x v="362"/>
    </i>
    <i>
      <x v="225"/>
      <x v="267"/>
      <x v="1"/>
      <x v="3"/>
      <x v="8"/>
      <x v="38"/>
    </i>
    <i>
      <x v="226"/>
      <x v="268"/>
      <x v="1"/>
      <x v="3"/>
      <x v="8"/>
      <x v="269"/>
    </i>
    <i>
      <x v="227"/>
      <x v="269"/>
      <x v="1"/>
      <x v="3"/>
      <x v="8"/>
      <x v="270"/>
    </i>
    <i>
      <x v="228"/>
      <x v="261"/>
      <x v="1"/>
      <x v="3"/>
      <x v="4"/>
      <x v="50"/>
    </i>
    <i>
      <x v="229"/>
      <x v="272"/>
      <x v="1"/>
      <x v="3"/>
      <x v="8"/>
      <x v="197"/>
    </i>
    <i>
      <x v="230"/>
      <x v="273"/>
      <x v="1"/>
      <x v="3"/>
      <x v="8"/>
      <x v="81"/>
    </i>
    <i>
      <x v="231"/>
      <x v="257"/>
      <x v="1"/>
      <x v="3"/>
      <x v="4"/>
      <x v="249"/>
    </i>
    <i>
      <x v="232"/>
      <x v="263"/>
      <x v="1"/>
      <x v="3"/>
      <x v="4"/>
      <x v="80"/>
    </i>
    <i>
      <x v="233"/>
      <x v="259"/>
      <x v="1"/>
      <x v="3"/>
      <x v="4"/>
      <x v="152"/>
    </i>
    <i>
      <x v="234"/>
      <x v="254"/>
      <x v="1"/>
      <x v="3"/>
      <x v="1"/>
      <x v="97"/>
    </i>
    <i>
      <x v="235"/>
      <x v="264"/>
      <x v="1"/>
      <x v="3"/>
      <x v="4"/>
      <x v="88"/>
    </i>
    <i>
      <x v="236"/>
      <x v="258"/>
      <x v="1"/>
      <x v="3"/>
      <x v="4"/>
      <x v="97"/>
    </i>
    <i>
      <x v="237"/>
      <x v="265"/>
      <x v="1"/>
      <x v="3"/>
      <x v="4"/>
      <x v="199"/>
    </i>
    <i>
      <x v="238"/>
      <x v="270"/>
      <x v="1"/>
      <x v="3"/>
      <x v="8"/>
      <x v="53"/>
    </i>
    <i>
      <x v="239"/>
      <x v="274"/>
      <x v="1"/>
      <x v="3"/>
      <x v="8"/>
      <x v="199"/>
    </i>
    <i>
      <x v="240"/>
      <x v="266"/>
      <x v="1"/>
      <x v="3"/>
      <x v="5"/>
      <x v="213"/>
    </i>
    <i>
      <x v="241"/>
      <x v="284"/>
      <x v="1"/>
      <x v="4"/>
      <x v="1"/>
      <x v="357"/>
    </i>
    <i>
      <x v="242"/>
      <x v="281"/>
      <x v="1"/>
      <x v="4"/>
      <x v="1"/>
      <x v="154"/>
    </i>
    <i>
      <x v="243"/>
      <x v="290"/>
      <x v="1"/>
      <x v="4"/>
      <x v="4"/>
      <x v="154"/>
    </i>
    <i>
      <x v="244"/>
      <x v="295"/>
      <x v="1"/>
      <x v="4"/>
      <x v="8"/>
      <x v="81"/>
    </i>
    <i>
      <x v="245"/>
      <x v="275"/>
      <x v="1"/>
      <x v="4"/>
      <x v="1"/>
      <x v="152"/>
    </i>
    <i>
      <x v="246"/>
      <x v="291"/>
      <x v="1"/>
      <x v="4"/>
      <x v="4"/>
      <x v="214"/>
    </i>
    <i>
      <x v="247"/>
      <x v="292"/>
      <x v="1"/>
      <x v="4"/>
      <x v="4"/>
      <x v="80"/>
    </i>
    <i>
      <x v="248"/>
      <x v="288"/>
      <x v="1"/>
      <x v="4"/>
      <x v="4"/>
      <x v="152"/>
    </i>
    <i>
      <x v="249"/>
      <x v="280"/>
      <x v="1"/>
      <x v="4"/>
      <x v="1"/>
      <x v="196"/>
    </i>
    <i>
      <x v="250"/>
      <x v="283"/>
      <x v="1"/>
      <x v="4"/>
      <x v="1"/>
      <x v="195"/>
    </i>
    <i>
      <x v="251"/>
      <x v="289"/>
      <x v="1"/>
      <x v="4"/>
      <x v="4"/>
      <x v="196"/>
    </i>
    <i>
      <x v="252"/>
      <x v="276"/>
      <x v="1"/>
      <x v="4"/>
      <x v="1"/>
      <x v="190"/>
    </i>
    <i>
      <x v="253"/>
      <x v="277"/>
      <x v="1"/>
      <x v="4"/>
      <x v="1"/>
      <x v="192"/>
    </i>
    <i>
      <x v="254"/>
      <x v="278"/>
      <x v="1"/>
      <x v="4"/>
      <x v="1"/>
      <x v="191"/>
    </i>
    <i>
      <x v="255"/>
      <x v="279"/>
      <x v="1"/>
      <x v="4"/>
      <x v="1"/>
      <x v="193"/>
    </i>
    <i>
      <x v="256"/>
      <x v="285"/>
      <x v="1"/>
      <x v="4"/>
      <x v="1"/>
      <x v="221"/>
    </i>
    <i>
      <x v="257"/>
      <x v="286"/>
      <x v="1"/>
      <x v="4"/>
      <x v="1"/>
      <x v="199"/>
    </i>
    <i>
      <x v="258"/>
      <x v="287"/>
      <x v="1"/>
      <x v="4"/>
      <x v="1"/>
      <x v="232"/>
    </i>
    <i>
      <x v="259"/>
      <x v="293"/>
      <x v="1"/>
      <x v="4"/>
      <x v="4"/>
      <x v="199"/>
    </i>
    <i>
      <x v="260"/>
      <x v="294"/>
      <x v="1"/>
      <x v="4"/>
      <x v="8"/>
      <x v="53"/>
    </i>
    <i>
      <x v="261"/>
      <x v="296"/>
      <x v="1"/>
      <x v="4"/>
      <x v="8"/>
      <x v="199"/>
    </i>
    <i>
      <x v="262"/>
      <x v="282"/>
      <x v="1"/>
      <x v="4"/>
      <x v="1"/>
      <x v="258"/>
    </i>
    <i>
      <x v="263"/>
      <x v="312"/>
      <x v="1"/>
      <x v="5"/>
      <x v="8"/>
      <x v="5"/>
    </i>
    <i>
      <x v="264"/>
      <x v="297"/>
      <x v="1"/>
      <x v="5"/>
      <x v="1"/>
      <x v="50"/>
    </i>
    <i>
      <x v="265"/>
      <x v="304"/>
      <x v="1"/>
      <x v="5"/>
      <x v="4"/>
      <x v="50"/>
    </i>
    <i>
      <x v="266"/>
      <x v="315"/>
      <x v="1"/>
      <x v="5"/>
      <x v="8"/>
      <x v="197"/>
    </i>
    <i>
      <x v="267"/>
      <x v="319"/>
      <x v="1"/>
      <x v="5"/>
      <x v="8"/>
      <x v="81"/>
    </i>
    <i>
      <x v="268"/>
      <x v="303"/>
      <x v="1"/>
      <x v="5"/>
      <x v="4"/>
      <x v="153"/>
    </i>
    <i>
      <x v="269"/>
      <x v="306"/>
      <x v="1"/>
      <x v="5"/>
      <x v="4"/>
      <x v="80"/>
    </i>
    <i>
      <x v="270"/>
      <x v="302"/>
      <x v="1"/>
      <x v="5"/>
      <x v="4"/>
      <x v="152"/>
    </i>
    <i>
      <x v="271"/>
      <x v="316"/>
      <x v="1"/>
      <x v="5"/>
      <x v="8"/>
      <x v="198"/>
    </i>
    <i>
      <x v="272"/>
      <x v="307"/>
      <x v="1"/>
      <x v="5"/>
      <x v="4"/>
      <x v="199"/>
    </i>
    <i>
      <x v="273"/>
      <x v="320"/>
      <x v="1"/>
      <x v="5"/>
      <x v="8"/>
      <x v="199"/>
    </i>
    <i>
      <x v="274"/>
      <x v="305"/>
      <x v="1"/>
      <x v="5"/>
      <x v="4"/>
      <x v="116"/>
    </i>
    <i>
      <x v="275"/>
      <x v="325"/>
      <x v="1"/>
      <x v="6"/>
      <x v="1"/>
      <x v="2"/>
    </i>
    <i>
      <x v="276"/>
      <x v="350"/>
      <x v="1"/>
      <x v="6"/>
      <x v="8"/>
      <x v="267"/>
    </i>
    <i>
      <x v="277"/>
      <x v="352"/>
      <x v="1"/>
      <x v="6"/>
      <x v="8"/>
      <x v="197"/>
    </i>
    <i>
      <x v="278"/>
      <x v="354"/>
      <x v="1"/>
      <x v="6"/>
      <x v="8"/>
      <x v="81"/>
    </i>
    <i>
      <x v="279"/>
      <x v="344"/>
      <x v="1"/>
      <x v="6"/>
      <x v="4"/>
      <x v="228"/>
    </i>
    <i>
      <x v="280"/>
      <x v="345"/>
      <x v="1"/>
      <x v="6"/>
      <x v="4"/>
      <x v="186"/>
    </i>
    <i>
      <x v="281"/>
      <x v="346"/>
      <x v="1"/>
      <x v="6"/>
      <x v="4"/>
      <x v="80"/>
    </i>
    <i>
      <x v="282"/>
      <x v="338"/>
      <x v="1"/>
      <x v="6"/>
      <x v="1"/>
      <x v="204"/>
    </i>
    <i>
      <x v="283"/>
      <x v="329"/>
      <x v="1"/>
      <x v="6"/>
      <x v="1"/>
      <x v="184"/>
    </i>
    <i>
      <x v="284"/>
      <x v="330"/>
      <x v="1"/>
      <x v="6"/>
      <x v="1"/>
      <x v="185"/>
    </i>
    <i>
      <x v="285"/>
      <x v="331"/>
      <x v="1"/>
      <x v="6"/>
      <x v="1"/>
      <x v="229"/>
    </i>
    <i>
      <x v="286"/>
      <x v="333"/>
      <x v="1"/>
      <x v="6"/>
      <x v="1"/>
      <x v="240"/>
    </i>
    <i>
      <x v="287"/>
      <x v="334"/>
      <x v="1"/>
      <x v="6"/>
      <x v="1"/>
      <x v="241"/>
    </i>
    <i>
      <x v="288"/>
      <x v="335"/>
      <x v="1"/>
      <x v="6"/>
      <x v="1"/>
      <x v="231"/>
    </i>
    <i>
      <x v="289"/>
      <x v="336"/>
      <x v="1"/>
      <x v="6"/>
      <x v="1"/>
      <x v="100"/>
    </i>
    <i>
      <x v="290"/>
      <x v="337"/>
      <x v="1"/>
      <x v="6"/>
      <x v="1"/>
      <x v="230"/>
    </i>
    <i>
      <x v="291"/>
      <x v="339"/>
      <x v="1"/>
      <x v="6"/>
      <x v="1"/>
      <x v="107"/>
    </i>
    <i>
      <x v="292"/>
      <x v="328"/>
      <x v="1"/>
      <x v="6"/>
      <x v="1"/>
      <x v="97"/>
    </i>
    <i>
      <x v="293"/>
      <x v="340"/>
      <x v="1"/>
      <x v="6"/>
      <x v="1"/>
      <x v="199"/>
    </i>
    <i>
      <x v="294"/>
      <x v="341"/>
      <x v="1"/>
      <x v="6"/>
      <x v="1"/>
      <x v="232"/>
    </i>
    <i>
      <x v="295"/>
      <x v="343"/>
      <x v="1"/>
      <x v="6"/>
      <x v="4"/>
      <x v="156"/>
    </i>
    <i>
      <x v="296"/>
      <x v="342"/>
      <x v="1"/>
      <x v="6"/>
      <x v="4"/>
      <x v="97"/>
    </i>
    <i>
      <x v="297"/>
      <x v="349"/>
      <x v="1"/>
      <x v="6"/>
      <x v="7"/>
      <x v="199"/>
    </i>
    <i>
      <x v="298"/>
      <x v="355"/>
      <x v="1"/>
      <x v="6"/>
      <x v="8"/>
      <x v="199"/>
    </i>
    <i>
      <x v="299"/>
      <x v="356"/>
      <x v="1"/>
      <x v="6"/>
      <x v="9"/>
      <x v="361"/>
    </i>
    <i>
      <x v="300"/>
      <x v="321"/>
      <x v="1"/>
      <x v="6"/>
      <x/>
      <x v="12"/>
    </i>
    <i>
      <x v="301"/>
      <x v="322"/>
      <x v="1"/>
      <x v="6"/>
      <x/>
      <x v="23"/>
    </i>
    <i>
      <x v="302"/>
      <x v="323"/>
      <x v="1"/>
      <x v="6"/>
      <x/>
      <x v="248"/>
    </i>
    <i>
      <x v="303"/>
      <x v="347"/>
      <x v="1"/>
      <x v="6"/>
      <x v="5"/>
      <x v="213"/>
    </i>
    <i>
      <x v="304"/>
      <x v="348"/>
      <x v="1"/>
      <x v="6"/>
      <x v="7"/>
      <x v="55"/>
    </i>
    <i>
      <x v="305"/>
      <x v="357"/>
      <x v="1"/>
      <x v="6"/>
      <x v="10"/>
      <x v="362"/>
    </i>
    <i>
      <x v="306"/>
      <x v="358"/>
      <x v="1"/>
      <x v="7"/>
      <x v="4"/>
      <x v="244"/>
    </i>
    <i>
      <x v="307"/>
      <x v="375"/>
      <x/>
      <x v="8"/>
      <x v="4"/>
      <x v="13"/>
    </i>
    <i>
      <x v="308"/>
      <x v="380"/>
      <x/>
      <x v="8"/>
      <x v="4"/>
      <x v="59"/>
    </i>
    <i>
      <x v="309"/>
      <x v="393"/>
      <x/>
      <x v="8"/>
      <x v="8"/>
      <x v="197"/>
    </i>
    <i>
      <x v="310"/>
      <x v="397"/>
      <x/>
      <x v="8"/>
      <x v="8"/>
      <x v="81"/>
    </i>
    <i>
      <x v="311"/>
      <x v="364"/>
      <x/>
      <x v="8"/>
      <x v="1"/>
      <x v="99"/>
    </i>
    <i>
      <x v="312"/>
      <x v="373"/>
      <x/>
      <x v="8"/>
      <x v="3"/>
      <x v="214"/>
    </i>
    <i>
      <x v="313"/>
      <x v="382"/>
      <x/>
      <x v="8"/>
      <x v="4"/>
      <x v="214"/>
    </i>
    <i>
      <x v="314"/>
      <x v="383"/>
      <x/>
      <x v="8"/>
      <x v="4"/>
      <x v="80"/>
    </i>
    <i>
      <x v="315"/>
      <x v="379"/>
      <x/>
      <x v="8"/>
      <x v="4"/>
      <x v="152"/>
    </i>
    <i>
      <x v="316"/>
      <x v="394"/>
      <x/>
      <x v="8"/>
      <x v="8"/>
      <x v="198"/>
    </i>
    <i>
      <x v="317"/>
      <x v="395"/>
      <x/>
      <x v="8"/>
      <x v="8"/>
      <x v="368"/>
    </i>
    <i>
      <x v="318"/>
      <x v="396"/>
      <x/>
      <x v="8"/>
      <x v="8"/>
      <x v="237"/>
    </i>
    <i>
      <x v="319"/>
      <x v="363"/>
      <x/>
      <x v="8"/>
      <x v="1"/>
      <x v="1"/>
    </i>
    <i>
      <x v="320"/>
      <x v="362"/>
      <x/>
      <x v="8"/>
      <x v="1"/>
      <x v="53"/>
    </i>
    <i>
      <x v="321"/>
      <x v="365"/>
      <x/>
      <x v="8"/>
      <x v="1"/>
      <x v="199"/>
    </i>
    <i>
      <x v="322"/>
      <x v="367"/>
      <x/>
      <x v="8"/>
      <x v="3"/>
      <x v="15"/>
    </i>
    <i>
      <x v="323"/>
      <x v="368"/>
      <x/>
      <x v="8"/>
      <x v="3"/>
      <x v="17"/>
    </i>
    <i>
      <x v="324"/>
      <x v="369"/>
      <x/>
      <x v="8"/>
      <x v="3"/>
      <x v="18"/>
    </i>
    <i>
      <x v="325"/>
      <x v="370"/>
      <x/>
      <x v="8"/>
      <x v="3"/>
      <x v="19"/>
    </i>
    <i>
      <x v="326"/>
      <x v="372"/>
      <x/>
      <x v="8"/>
      <x v="3"/>
      <x v="21"/>
    </i>
    <i>
      <x v="327"/>
      <x v="374"/>
      <x/>
      <x v="8"/>
      <x v="3"/>
      <x v="199"/>
    </i>
    <i>
      <x v="328"/>
      <x v="376"/>
      <x/>
      <x v="8"/>
      <x v="4"/>
      <x v="15"/>
    </i>
    <i>
      <x v="329"/>
      <x v="377"/>
      <x/>
      <x v="8"/>
      <x v="4"/>
      <x v="17"/>
    </i>
    <i>
      <x v="330"/>
      <x v="378"/>
      <x/>
      <x v="8"/>
      <x v="4"/>
      <x v="22"/>
    </i>
    <i>
      <x v="331"/>
      <x v="384"/>
      <x/>
      <x v="8"/>
      <x v="4"/>
      <x v="199"/>
    </i>
    <i>
      <x v="332"/>
      <x v="388"/>
      <x/>
      <x v="8"/>
      <x v="8"/>
      <x v="15"/>
    </i>
    <i>
      <x v="333"/>
      <x v="389"/>
      <x/>
      <x v="8"/>
      <x v="8"/>
      <x v="15"/>
    </i>
    <i>
      <x v="334"/>
      <x v="390"/>
      <x/>
      <x v="8"/>
      <x v="8"/>
      <x v="15"/>
    </i>
    <i>
      <x v="335"/>
      <x v="392"/>
      <x/>
      <x v="8"/>
      <x v="8"/>
      <x v="53"/>
    </i>
    <i>
      <x v="336"/>
      <x v="398"/>
      <x/>
      <x v="8"/>
      <x v="8"/>
      <x v="199"/>
    </i>
    <i>
      <x v="337"/>
      <x v="399"/>
      <x/>
      <x v="8"/>
      <x v="9"/>
      <x v="361"/>
    </i>
    <i>
      <x v="338"/>
      <x v="359"/>
      <x/>
      <x v="8"/>
      <x/>
      <x v="12"/>
    </i>
    <i>
      <x v="339"/>
      <x v="360"/>
      <x/>
      <x v="8"/>
      <x/>
      <x v="23"/>
    </i>
    <i>
      <x v="340"/>
      <x v="361"/>
      <x/>
      <x v="8"/>
      <x/>
      <x v="248"/>
    </i>
    <i>
      <x v="341"/>
      <x v="366"/>
      <x/>
      <x v="8"/>
      <x v="2"/>
      <x v="102"/>
    </i>
    <i>
      <x v="342"/>
      <x v="385"/>
      <x/>
      <x v="8"/>
      <x v="5"/>
      <x v="213"/>
    </i>
    <i>
      <x v="343"/>
      <x v="400"/>
      <x/>
      <x v="8"/>
      <x v="10"/>
      <x v="362"/>
    </i>
    <i>
      <x v="344"/>
      <x v="403"/>
      <x/>
      <x v="9"/>
      <x v="1"/>
      <x v="324"/>
    </i>
    <i>
      <x v="345"/>
      <x v="443"/>
      <x/>
      <x v="9"/>
      <x v="8"/>
      <x v="34"/>
    </i>
    <i>
      <x v="346"/>
      <x v="410"/>
      <x/>
      <x v="9"/>
      <x v="3"/>
      <x v="264"/>
    </i>
    <i>
      <x v="347"/>
      <x v="411"/>
      <x/>
      <x v="9"/>
      <x v="3"/>
      <x v="262"/>
    </i>
    <i>
      <x v="348"/>
      <x v="412"/>
      <x/>
      <x v="9"/>
      <x v="3"/>
      <x v="263"/>
    </i>
    <i>
      <x v="349"/>
      <x v="425"/>
      <x/>
      <x v="9"/>
      <x v="4"/>
      <x v="27"/>
    </i>
    <i>
      <x v="350"/>
      <x v="444"/>
      <x/>
      <x v="9"/>
      <x v="8"/>
      <x v="27"/>
    </i>
    <i>
      <x v="351"/>
      <x v="406"/>
      <x/>
      <x v="9"/>
      <x v="1"/>
      <x v="256"/>
    </i>
    <i>
      <x v="352"/>
      <x v="432"/>
      <x/>
      <x v="9"/>
      <x v="8"/>
      <x v="197"/>
    </i>
    <i>
      <x v="353"/>
      <x v="439"/>
      <x/>
      <x v="9"/>
      <x v="8"/>
      <x v="81"/>
    </i>
    <i>
      <x v="354"/>
      <x v="420"/>
      <x/>
      <x v="9"/>
      <x v="4"/>
      <x v="153"/>
    </i>
    <i>
      <x v="355"/>
      <x v="421"/>
      <x/>
      <x v="9"/>
      <x v="4"/>
      <x v="214"/>
    </i>
    <i>
      <x v="356"/>
      <x v="422"/>
      <x/>
      <x v="9"/>
      <x v="4"/>
      <x v="80"/>
    </i>
    <i>
      <x v="357"/>
      <x v="419"/>
      <x/>
      <x v="9"/>
      <x v="4"/>
      <x v="152"/>
    </i>
    <i>
      <x v="358"/>
      <x v="431"/>
      <x/>
      <x v="9"/>
      <x v="8"/>
      <x v="168"/>
    </i>
    <i>
      <x v="359"/>
      <x v="430"/>
      <x/>
      <x v="9"/>
      <x v="8"/>
      <x v="152"/>
    </i>
    <i>
      <x v="360"/>
      <x v="433"/>
      <x/>
      <x v="9"/>
      <x v="8"/>
      <x v="198"/>
    </i>
    <i>
      <x v="361"/>
      <x v="451"/>
      <x/>
      <x v="9"/>
      <x v="8"/>
      <x v="233"/>
    </i>
    <i>
      <x v="362"/>
      <x v="404"/>
      <x/>
      <x v="9"/>
      <x v="1"/>
      <x v="252"/>
    </i>
    <i>
      <x v="363"/>
      <x v="407"/>
      <x/>
      <x v="9"/>
      <x v="1"/>
      <x v="326"/>
    </i>
    <i>
      <x v="364"/>
      <x v="408"/>
      <x/>
      <x v="9"/>
      <x v="1"/>
      <x v="325"/>
    </i>
    <i>
      <x v="365"/>
      <x v="401"/>
      <x/>
      <x v="9"/>
      <x v="1"/>
      <x v="53"/>
    </i>
    <i>
      <x v="366"/>
      <x v="402"/>
      <x/>
      <x v="9"/>
      <x v="1"/>
      <x v="97"/>
    </i>
    <i>
      <x v="367"/>
      <x v="409"/>
      <x/>
      <x v="9"/>
      <x v="1"/>
      <x v="199"/>
    </i>
    <i>
      <x v="368"/>
      <x v="423"/>
      <x/>
      <x v="9"/>
      <x v="4"/>
      <x v="322"/>
    </i>
    <i>
      <x v="369"/>
      <x v="424"/>
      <x/>
      <x v="9"/>
      <x v="4"/>
      <x v="321"/>
    </i>
    <i>
      <x v="370"/>
      <x v="426"/>
      <x/>
      <x v="9"/>
      <x v="4"/>
      <x v="199"/>
    </i>
    <i>
      <x v="371"/>
      <x v="454"/>
      <x/>
      <x v="9"/>
      <x v="8"/>
      <x v="183"/>
    </i>
    <i>
      <x v="372"/>
      <x v="429"/>
      <x/>
      <x v="9"/>
      <x v="8"/>
      <x v="53"/>
    </i>
    <i>
      <x v="373"/>
      <x v="455"/>
      <x/>
      <x v="9"/>
      <x v="8"/>
      <x v="199"/>
    </i>
    <i>
      <x v="374"/>
      <x v="436"/>
      <x/>
      <x v="9"/>
      <x v="8"/>
      <x v="209"/>
    </i>
    <i>
      <x v="375"/>
      <x v="442"/>
      <x/>
      <x v="9"/>
      <x v="8"/>
      <x v="323"/>
    </i>
    <i>
      <x v="376"/>
      <x v="453"/>
      <x/>
      <x v="9"/>
      <x v="8"/>
      <x v="225"/>
    </i>
    <i>
      <x v="377"/>
      <x v="405"/>
      <x/>
      <x v="9"/>
      <x v="1"/>
      <x v="251"/>
    </i>
    <i>
      <x v="378"/>
      <x v="427"/>
      <x/>
      <x v="9"/>
      <x v="5"/>
      <x v="342"/>
    </i>
    <i>
      <x v="379"/>
      <x v="473"/>
      <x v="2"/>
      <x v="10"/>
      <x v="1"/>
      <x v="250"/>
    </i>
    <i>
      <x v="380"/>
      <x v="522"/>
      <x v="2"/>
      <x v="10"/>
      <x v="10"/>
      <x v="362"/>
    </i>
    <i>
      <x v="381"/>
      <x v="501"/>
      <x v="2"/>
      <x v="10"/>
      <x v="4"/>
      <x v="63"/>
    </i>
    <i>
      <x v="382"/>
      <x v="460"/>
      <x v="2"/>
      <x v="10"/>
      <x/>
      <x v="367"/>
    </i>
    <i>
      <x v="383"/>
      <x v="470"/>
      <x v="2"/>
      <x v="10"/>
      <x v="1"/>
      <x v="238"/>
    </i>
    <i>
      <x v="384"/>
      <x v="495"/>
      <x v="2"/>
      <x v="10"/>
      <x v="4"/>
      <x v="220"/>
    </i>
    <i>
      <x v="385"/>
      <x v="474"/>
      <x v="2"/>
      <x v="10"/>
      <x v="1"/>
      <x v="84"/>
    </i>
    <i>
      <x v="386"/>
      <x v="478"/>
      <x v="2"/>
      <x v="10"/>
      <x v="1"/>
      <x v="199"/>
    </i>
    <i>
      <x v="387"/>
      <x v="519"/>
      <x v="2"/>
      <x v="10"/>
      <x v="8"/>
      <x v="199"/>
    </i>
    <i>
      <x v="388"/>
      <x v="486"/>
      <x v="2"/>
      <x v="10"/>
      <x v="3"/>
      <x v="199"/>
    </i>
    <i>
      <x v="389"/>
      <x v="487"/>
      <x v="2"/>
      <x v="10"/>
      <x v="4"/>
      <x v="13"/>
    </i>
    <i>
      <x v="390"/>
      <x v="471"/>
      <x v="2"/>
      <x v="10"/>
      <x v="1"/>
      <x v="101"/>
    </i>
    <i>
      <x v="391"/>
      <x v="515"/>
      <x v="2"/>
      <x v="10"/>
      <x v="8"/>
      <x v="44"/>
    </i>
    <i>
      <x v="392"/>
      <x v="482"/>
      <x v="2"/>
      <x v="10"/>
      <x v="3"/>
      <x v="17"/>
    </i>
    <i>
      <x v="393"/>
      <x v="483"/>
      <x v="2"/>
      <x v="10"/>
      <x v="3"/>
      <x v="19"/>
    </i>
    <i>
      <x v="394"/>
      <x v="484"/>
      <x v="2"/>
      <x v="10"/>
      <x v="3"/>
      <x v="20"/>
    </i>
    <i>
      <x v="395"/>
      <x v="488"/>
      <x v="2"/>
      <x v="10"/>
      <x v="4"/>
      <x v="17"/>
    </i>
    <i>
      <x v="396"/>
      <x v="489"/>
      <x v="2"/>
      <x v="10"/>
      <x v="4"/>
      <x v="22"/>
    </i>
    <i>
      <x v="397"/>
      <x v="508"/>
      <x v="2"/>
      <x v="10"/>
      <x v="8"/>
      <x v="15"/>
    </i>
    <i>
      <x v="398"/>
      <x v="509"/>
      <x v="2"/>
      <x v="10"/>
      <x v="8"/>
      <x v="15"/>
    </i>
    <i>
      <x v="399"/>
      <x v="510"/>
      <x v="2"/>
      <x v="10"/>
      <x v="8"/>
      <x v="15"/>
    </i>
    <i>
      <x v="400"/>
      <x v="520"/>
      <x v="2"/>
      <x v="10"/>
      <x v="9"/>
      <x v="71"/>
    </i>
    <i>
      <x v="401"/>
      <x v="504"/>
      <x v="2"/>
      <x v="10"/>
      <x v="5"/>
      <x v="213"/>
    </i>
    <i>
      <x v="402"/>
      <x v="499"/>
      <x v="2"/>
      <x v="10"/>
      <x v="4"/>
      <x v="64"/>
    </i>
    <i>
      <x v="403"/>
      <x v="518"/>
      <x v="2"/>
      <x v="10"/>
      <x v="8"/>
      <x v="81"/>
    </i>
    <i>
      <x v="404"/>
      <x v="514"/>
      <x v="2"/>
      <x v="10"/>
      <x v="8"/>
      <x v="53"/>
    </i>
    <i>
      <x v="405"/>
      <x v="498"/>
      <x v="2"/>
      <x v="10"/>
      <x v="4"/>
      <x v="80"/>
    </i>
    <i>
      <x v="406"/>
      <x v="516"/>
      <x v="2"/>
      <x v="10"/>
      <x v="8"/>
      <x v="197"/>
    </i>
    <i>
      <x v="407"/>
      <x v="500"/>
      <x v="2"/>
      <x v="10"/>
      <x v="4"/>
      <x v="199"/>
    </i>
    <i>
      <x v="408"/>
      <x v="496"/>
      <x v="2"/>
      <x v="10"/>
      <x v="4"/>
      <x v="371"/>
    </i>
    <i>
      <x v="409"/>
      <x v="517"/>
      <x v="2"/>
      <x v="10"/>
      <x v="8"/>
      <x v="198"/>
    </i>
    <i>
      <x v="410"/>
      <x v="492"/>
      <x v="2"/>
      <x v="10"/>
      <x v="4"/>
      <x v="249"/>
    </i>
    <i>
      <x v="411"/>
      <x v="521"/>
      <x v="2"/>
      <x v="10"/>
      <x v="9"/>
      <x v="361"/>
    </i>
    <i>
      <x v="412"/>
      <x v="479"/>
      <x v="2"/>
      <x v="10"/>
      <x v="1"/>
      <x v="71"/>
    </i>
    <i>
      <x v="413"/>
      <x v="503"/>
      <x v="2"/>
      <x v="10"/>
      <x v="5"/>
      <x v="205"/>
    </i>
    <i>
      <x v="414"/>
      <x v="467"/>
      <x v="2"/>
      <x v="10"/>
      <x v="1"/>
      <x v="152"/>
    </i>
    <i>
      <x v="415"/>
      <x v="497"/>
      <x v="2"/>
      <x v="10"/>
      <x v="4"/>
      <x v="214"/>
    </i>
    <i>
      <x v="416"/>
      <x v="466"/>
      <x v="2"/>
      <x v="10"/>
      <x v="1"/>
      <x v="266"/>
    </i>
    <i>
      <x v="417"/>
      <x v="469"/>
      <x v="2"/>
      <x v="10"/>
      <x v="1"/>
      <x v="369"/>
    </i>
    <i>
      <x v="418"/>
      <x v="494"/>
      <x v="2"/>
      <x v="10"/>
      <x v="4"/>
      <x v="152"/>
    </i>
    <i>
      <x v="419"/>
      <x v="472"/>
      <x v="2"/>
      <x v="10"/>
      <x v="1"/>
      <x v="111"/>
    </i>
    <i>
      <x v="420"/>
      <x v="465"/>
      <x v="2"/>
      <x v="10"/>
      <x v="1"/>
      <x v="265"/>
    </i>
    <i>
      <x v="421"/>
      <x v="468"/>
      <x v="2"/>
      <x v="10"/>
      <x v="1"/>
      <x v="10"/>
    </i>
    <i>
      <x v="422"/>
      <x v="457"/>
      <x v="2"/>
      <x v="10"/>
      <x/>
      <x v="41"/>
    </i>
    <i>
      <x v="423"/>
      <x v="523"/>
      <x v="2"/>
      <x v="10"/>
      <x v="10"/>
      <x v="363"/>
    </i>
    <i>
      <x v="424"/>
      <x v="458"/>
      <x v="2"/>
      <x v="10"/>
      <x/>
      <x v="23"/>
    </i>
    <i>
      <x v="425"/>
      <x v="463"/>
      <x v="2"/>
      <x v="10"/>
      <x v="1"/>
      <x v="261"/>
    </i>
    <i>
      <x v="426"/>
      <x v="481"/>
      <x v="2"/>
      <x v="10"/>
      <x v="2"/>
      <x v="105"/>
    </i>
    <i>
      <x v="427"/>
      <x v="456"/>
      <x v="2"/>
      <x v="10"/>
      <x/>
      <x v="12"/>
    </i>
    <i>
      <x v="428"/>
      <x v="459"/>
      <x v="2"/>
      <x v="10"/>
      <x/>
      <x v="248"/>
    </i>
    <i>
      <x v="429"/>
      <x v="461"/>
      <x v="2"/>
      <x v="10"/>
      <x v="1"/>
      <x v="217"/>
    </i>
    <i>
      <x v="430"/>
      <x v="462"/>
      <x v="2"/>
      <x v="10"/>
      <x v="1"/>
      <x v="249"/>
    </i>
    <i>
      <x v="431"/>
      <x v="480"/>
      <x v="2"/>
      <x v="10"/>
      <x v="2"/>
      <x v="102"/>
    </i>
    <i>
      <x v="432"/>
      <x v="542"/>
      <x/>
      <x v="11"/>
      <x v="8"/>
      <x v="81"/>
    </i>
    <i>
      <x v="433"/>
      <x v="535"/>
      <x/>
      <x v="11"/>
      <x v="4"/>
      <x/>
    </i>
    <i>
      <x v="434"/>
      <x v="537"/>
      <x/>
      <x v="11"/>
      <x v="4"/>
      <x v="80"/>
    </i>
    <i>
      <x v="435"/>
      <x v="525"/>
      <x/>
      <x v="11"/>
      <x v="1"/>
      <x v="354"/>
    </i>
    <i>
      <x v="436"/>
      <x v="526"/>
      <x/>
      <x v="11"/>
      <x v="1"/>
      <x v="49"/>
    </i>
    <i>
      <x v="437"/>
      <x v="528"/>
      <x/>
      <x v="11"/>
      <x v="1"/>
      <x v="353"/>
    </i>
    <i>
      <x v="438"/>
      <x v="529"/>
      <x/>
      <x v="11"/>
      <x v="1"/>
      <x v="351"/>
    </i>
    <i>
      <x v="439"/>
      <x v="530"/>
      <x/>
      <x v="11"/>
      <x v="1"/>
      <x v="160"/>
    </i>
    <i>
      <x v="440"/>
      <x v="524"/>
      <x/>
      <x v="11"/>
      <x v="1"/>
      <x v="97"/>
    </i>
    <i>
      <x v="441"/>
      <x v="531"/>
      <x/>
      <x v="11"/>
      <x v="1"/>
      <x v="199"/>
    </i>
    <i>
      <x v="442"/>
      <x v="532"/>
      <x/>
      <x v="11"/>
      <x v="1"/>
      <x v="232"/>
    </i>
    <i>
      <x v="443"/>
      <x v="538"/>
      <x/>
      <x v="11"/>
      <x v="4"/>
      <x v="199"/>
    </i>
    <i>
      <x v="444"/>
      <x v="543"/>
      <x/>
      <x v="11"/>
      <x v="8"/>
      <x v="199"/>
    </i>
    <i>
      <x v="445"/>
      <x v="534"/>
      <x/>
      <x v="11"/>
      <x v="4"/>
      <x v="60"/>
    </i>
    <i>
      <x v="446"/>
      <x v="550"/>
      <x/>
      <x v="12"/>
      <x v="8"/>
      <x v="81"/>
    </i>
    <i>
      <x v="447"/>
      <x v="545"/>
      <x/>
      <x v="12"/>
      <x v="4"/>
      <x v="80"/>
    </i>
    <i>
      <x v="448"/>
      <x v="544"/>
      <x/>
      <x v="12"/>
      <x v="1"/>
      <x v="97"/>
    </i>
    <i>
      <x v="449"/>
      <x v="547"/>
      <x/>
      <x v="12"/>
      <x v="8"/>
      <x v="117"/>
    </i>
    <i>
      <x v="450"/>
      <x v="546"/>
      <x/>
      <x v="12"/>
      <x v="8"/>
      <x v="97"/>
    </i>
    <i>
      <x v="451"/>
      <x v="551"/>
      <x/>
      <x v="12"/>
      <x v="8"/>
      <x v="199"/>
    </i>
    <i>
      <x v="452"/>
      <x v="570"/>
      <x v="3"/>
      <x v="13"/>
      <x v="8"/>
      <x v="197"/>
    </i>
    <i>
      <x v="453"/>
      <x v="557"/>
      <x v="3"/>
      <x v="13"/>
      <x v="1"/>
      <x v="254"/>
    </i>
    <i>
      <x v="454"/>
      <x v="573"/>
      <x v="3"/>
      <x v="13"/>
      <x v="8"/>
      <x v="81"/>
    </i>
    <i>
      <x v="455"/>
      <x v="556"/>
      <x v="3"/>
      <x v="13"/>
      <x v="1"/>
      <x v="152"/>
    </i>
    <i>
      <x v="456"/>
      <x v="561"/>
      <x v="3"/>
      <x v="13"/>
      <x v="3"/>
      <x v="214"/>
    </i>
    <i>
      <x v="457"/>
      <x v="560"/>
      <x v="3"/>
      <x v="13"/>
      <x v="3"/>
      <x v="152"/>
    </i>
    <i>
      <x v="458"/>
      <x v="565"/>
      <x v="3"/>
      <x v="13"/>
      <x v="4"/>
      <x v="80"/>
    </i>
    <i>
      <x v="459"/>
      <x v="571"/>
      <x v="3"/>
      <x v="13"/>
      <x v="8"/>
      <x v="198"/>
    </i>
    <i>
      <x v="460"/>
      <x v="555"/>
      <x v="3"/>
      <x v="13"/>
      <x v="1"/>
      <x v="97"/>
    </i>
    <i>
      <x v="461"/>
      <x v="559"/>
      <x v="3"/>
      <x v="13"/>
      <x v="1"/>
      <x v="199"/>
    </i>
    <i>
      <x v="462"/>
      <x v="562"/>
      <x v="3"/>
      <x v="13"/>
      <x v="3"/>
      <x v="199"/>
    </i>
    <i>
      <x v="463"/>
      <x v="566"/>
      <x v="3"/>
      <x v="13"/>
      <x v="4"/>
      <x v="257"/>
    </i>
    <i>
      <x v="464"/>
      <x v="567"/>
      <x v="3"/>
      <x v="13"/>
      <x v="4"/>
      <x v="199"/>
    </i>
    <i>
      <x v="465"/>
      <x v="574"/>
      <x v="3"/>
      <x v="13"/>
      <x v="8"/>
      <x v="253"/>
    </i>
    <i>
      <x v="466"/>
      <x v="569"/>
      <x v="3"/>
      <x v="13"/>
      <x v="8"/>
      <x v="53"/>
    </i>
    <i>
      <x v="467"/>
      <x v="575"/>
      <x v="3"/>
      <x v="13"/>
      <x v="8"/>
      <x v="199"/>
    </i>
    <i>
      <x v="468"/>
      <x v="576"/>
      <x v="3"/>
      <x v="13"/>
      <x v="9"/>
      <x v="361"/>
    </i>
    <i>
      <x v="469"/>
      <x v="552"/>
      <x v="3"/>
      <x v="13"/>
      <x/>
      <x v="12"/>
    </i>
    <i>
      <x v="470"/>
      <x v="553"/>
      <x v="3"/>
      <x v="13"/>
      <x/>
      <x v="23"/>
    </i>
    <i>
      <x v="471"/>
      <x v="554"/>
      <x v="3"/>
      <x v="13"/>
      <x/>
      <x v="248"/>
    </i>
    <i>
      <x v="472"/>
      <x v="568"/>
      <x v="3"/>
      <x v="13"/>
      <x v="5"/>
      <x v="213"/>
    </i>
    <i>
      <x v="473"/>
      <x v="558"/>
      <x v="3"/>
      <x v="13"/>
      <x v="1"/>
      <x v="255"/>
    </i>
    <i>
      <x v="474"/>
      <x v="563"/>
      <x v="3"/>
      <x v="13"/>
      <x v="4"/>
      <x v="255"/>
    </i>
    <i>
      <x v="475"/>
      <x v="564"/>
      <x v="3"/>
      <x v="13"/>
      <x v="4"/>
      <x v="255"/>
    </i>
    <i>
      <x v="476"/>
      <x v="577"/>
      <x v="3"/>
      <x v="13"/>
      <x v="10"/>
      <x v="362"/>
    </i>
    <i>
      <x v="477"/>
      <x v="587"/>
      <x/>
      <x v="14"/>
      <x v="4"/>
      <x v="70"/>
    </i>
    <i>
      <x v="478"/>
      <x v="588"/>
      <x/>
      <x v="14"/>
      <x v="4"/>
      <x v="67"/>
    </i>
    <i>
      <x v="479"/>
      <x v="619"/>
      <x/>
      <x v="14"/>
      <x v="8"/>
      <x v="4"/>
    </i>
    <i>
      <x v="480"/>
      <x v="589"/>
      <x/>
      <x v="14"/>
      <x v="4"/>
      <x v="146"/>
    </i>
    <i>
      <x v="481"/>
      <x v="617"/>
      <x/>
      <x v="14"/>
      <x v="4"/>
      <x v="159"/>
    </i>
    <i>
      <x v="482"/>
      <x v="633"/>
      <x/>
      <x v="14"/>
      <x v="8"/>
      <x v="159"/>
    </i>
    <i>
      <x v="483"/>
      <x v="634"/>
      <x/>
      <x v="14"/>
      <x v="8"/>
      <x v="141"/>
    </i>
    <i>
      <x v="484"/>
      <x v="614"/>
      <x/>
      <x v="14"/>
      <x v="4"/>
      <x v="145"/>
    </i>
    <i>
      <x v="485"/>
      <x v="615"/>
      <x/>
      <x v="14"/>
      <x v="4"/>
      <x v="140"/>
    </i>
    <i>
      <x v="486"/>
      <x v="598"/>
      <x/>
      <x v="14"/>
      <x v="4"/>
      <x v="343"/>
    </i>
    <i>
      <x v="487"/>
      <x v="594"/>
      <x/>
      <x v="14"/>
      <x v="4"/>
      <x v="142"/>
    </i>
    <i>
      <x v="488"/>
      <x v="595"/>
      <x/>
      <x v="14"/>
      <x v="4"/>
      <x v="138"/>
    </i>
    <i>
      <x v="489"/>
      <x v="605"/>
      <x/>
      <x v="14"/>
      <x v="4"/>
      <x v="143"/>
    </i>
    <i>
      <x v="490"/>
      <x v="632"/>
      <x/>
      <x v="14"/>
      <x v="8"/>
      <x v="81"/>
    </i>
    <i>
      <x v="491"/>
      <x v="628"/>
      <x/>
      <x v="14"/>
      <x v="8"/>
      <x v="94"/>
    </i>
    <i>
      <x v="492"/>
      <x v="581"/>
      <x/>
      <x v="14"/>
      <x v="1"/>
      <x v="99"/>
    </i>
    <i>
      <x v="493"/>
      <x v="579"/>
      <x/>
      <x v="14"/>
      <x v="1"/>
      <x v="152"/>
    </i>
    <i>
      <x v="494"/>
      <x v="597"/>
      <x/>
      <x v="14"/>
      <x v="4"/>
      <x/>
    </i>
    <i>
      <x v="495"/>
      <x v="599"/>
      <x/>
      <x v="14"/>
      <x v="4"/>
      <x v="157"/>
    </i>
    <i>
      <x v="496"/>
      <x v="600"/>
      <x/>
      <x v="14"/>
      <x v="4"/>
      <x v="158"/>
    </i>
    <i>
      <x v="497"/>
      <x v="602"/>
      <x/>
      <x v="14"/>
      <x v="4"/>
      <x v="360"/>
    </i>
    <i>
      <x v="498"/>
      <x v="603"/>
      <x/>
      <x v="14"/>
      <x v="4"/>
      <x v="153"/>
    </i>
    <i>
      <x v="499"/>
      <x v="604"/>
      <x/>
      <x v="14"/>
      <x v="4"/>
      <x v="153"/>
    </i>
    <i>
      <x v="500"/>
      <x v="607"/>
      <x/>
      <x v="14"/>
      <x v="4"/>
      <x v="227"/>
    </i>
    <i>
      <x v="501"/>
      <x v="610"/>
      <x/>
      <x v="14"/>
      <x v="4"/>
      <x v="214"/>
    </i>
    <i>
      <x v="502"/>
      <x v="611"/>
      <x/>
      <x v="14"/>
      <x v="4"/>
      <x v="80"/>
    </i>
    <i>
      <x v="503"/>
      <x v="616"/>
      <x/>
      <x v="14"/>
      <x v="4"/>
      <x v="246"/>
    </i>
    <i>
      <x v="504"/>
      <x v="590"/>
      <x/>
      <x v="14"/>
      <x v="4"/>
      <x v="152"/>
    </i>
    <i>
      <x v="505"/>
      <x v="622"/>
      <x/>
      <x v="14"/>
      <x v="8"/>
      <x v="360"/>
    </i>
    <i>
      <x v="506"/>
      <x v="623"/>
      <x/>
      <x v="14"/>
      <x v="8"/>
      <x v="153"/>
    </i>
    <i>
      <x v="507"/>
      <x v="624"/>
      <x/>
      <x v="14"/>
      <x v="8"/>
      <x v="168"/>
    </i>
    <i>
      <x v="508"/>
      <x v="625"/>
      <x/>
      <x v="14"/>
      <x v="8"/>
      <x v="214"/>
    </i>
    <i>
      <x v="509"/>
      <x v="621"/>
      <x/>
      <x v="14"/>
      <x v="8"/>
      <x v="152"/>
    </i>
    <i>
      <x v="510"/>
      <x v="580"/>
      <x/>
      <x v="14"/>
      <x v="1"/>
      <x v="149"/>
    </i>
    <i>
      <x v="511"/>
      <x v="582"/>
      <x/>
      <x v="14"/>
      <x v="1"/>
      <x v="150"/>
    </i>
    <i>
      <x v="512"/>
      <x v="583"/>
      <x/>
      <x v="14"/>
      <x v="1"/>
      <x v="148"/>
    </i>
    <i>
      <x v="513"/>
      <x v="596"/>
      <x/>
      <x v="14"/>
      <x v="4"/>
      <x v="151"/>
    </i>
    <i>
      <x v="514"/>
      <x v="601"/>
      <x/>
      <x v="14"/>
      <x v="4"/>
      <x v="167"/>
    </i>
    <i>
      <x v="515"/>
      <x v="626"/>
      <x/>
      <x v="14"/>
      <x v="8"/>
      <x v="198"/>
    </i>
    <i>
      <x v="516"/>
      <x v="585"/>
      <x/>
      <x v="14"/>
      <x v="1"/>
      <x v="199"/>
    </i>
    <i>
      <x v="517"/>
      <x v="591"/>
      <x/>
      <x v="14"/>
      <x v="4"/>
      <x v="114"/>
    </i>
    <i>
      <x v="518"/>
      <x v="593"/>
      <x/>
      <x v="14"/>
      <x v="4"/>
      <x v="211"/>
    </i>
    <i>
      <x v="519"/>
      <x v="606"/>
      <x/>
      <x v="14"/>
      <x v="4"/>
      <x v="144"/>
    </i>
    <i>
      <x v="520"/>
      <x v="608"/>
      <x/>
      <x v="14"/>
      <x v="4"/>
      <x v="173"/>
    </i>
    <i>
      <x v="521"/>
      <x v="612"/>
      <x/>
      <x v="14"/>
      <x v="4"/>
      <x v="210"/>
    </i>
    <i>
      <x v="522"/>
      <x v="613"/>
      <x/>
      <x v="14"/>
      <x v="4"/>
      <x v="212"/>
    </i>
    <i>
      <x v="523"/>
      <x v="618"/>
      <x/>
      <x v="14"/>
      <x v="4"/>
      <x v="199"/>
    </i>
    <i>
      <x v="524"/>
      <x v="620"/>
      <x/>
      <x v="14"/>
      <x v="8"/>
      <x v="53"/>
    </i>
    <i>
      <x v="525"/>
      <x v="635"/>
      <x/>
      <x v="14"/>
      <x v="8"/>
      <x v="199"/>
    </i>
    <i>
      <x v="526"/>
      <x v="646"/>
      <x v="1"/>
      <x v="15"/>
      <x v="8"/>
      <x v="81"/>
    </i>
    <i>
      <x v="527"/>
      <x v="642"/>
      <x v="1"/>
      <x v="15"/>
      <x v="4"/>
      <x v="80"/>
    </i>
    <i>
      <x v="528"/>
      <x v="637"/>
      <x v="1"/>
      <x v="15"/>
      <x v="1"/>
      <x v="276"/>
    </i>
    <i>
      <x v="529"/>
      <x v="638"/>
      <x v="1"/>
      <x v="15"/>
      <x v="1"/>
      <x v="277"/>
    </i>
    <i>
      <x v="530"/>
      <x v="639"/>
      <x v="1"/>
      <x v="15"/>
      <x v="1"/>
      <x v="61"/>
    </i>
    <i>
      <x v="531"/>
      <x v="636"/>
      <x v="1"/>
      <x v="15"/>
      <x v="1"/>
      <x v="97"/>
    </i>
    <i>
      <x v="532"/>
      <x v="640"/>
      <x v="1"/>
      <x v="15"/>
      <x v="1"/>
      <x v="199"/>
    </i>
    <i>
      <x v="533"/>
      <x v="641"/>
      <x v="1"/>
      <x v="15"/>
      <x v="4"/>
      <x v="97"/>
    </i>
    <i>
      <x v="534"/>
      <x v="644"/>
      <x v="1"/>
      <x v="15"/>
      <x v="5"/>
      <x v="161"/>
    </i>
    <i>
      <x v="535"/>
      <x v="647"/>
      <x v="1"/>
      <x v="15"/>
      <x v="8"/>
      <x v="277"/>
    </i>
    <i>
      <x v="536"/>
      <x v="648"/>
      <x v="1"/>
      <x v="15"/>
      <x v="8"/>
      <x v="61"/>
    </i>
    <i>
      <x v="537"/>
      <x v="649"/>
      <x v="1"/>
      <x v="15"/>
      <x v="8"/>
      <x v="169"/>
    </i>
    <i>
      <x v="538"/>
      <x v="645"/>
      <x v="1"/>
      <x v="15"/>
      <x v="8"/>
      <x v="97"/>
    </i>
    <i>
      <x v="539"/>
      <x v="651"/>
      <x v="1"/>
      <x v="15"/>
      <x v="8"/>
      <x v="199"/>
    </i>
    <i>
      <x v="540"/>
      <x v="655"/>
      <x v="1"/>
      <x v="16"/>
      <x v="4"/>
      <x v="42"/>
    </i>
    <i>
      <x v="541"/>
      <x v="656"/>
      <x v="1"/>
      <x v="16"/>
      <x v="4"/>
      <x v="135"/>
    </i>
    <i>
      <x v="542"/>
      <x v="657"/>
      <x v="1"/>
      <x v="16"/>
      <x v="4"/>
      <x v="110"/>
    </i>
    <i>
      <x v="543"/>
      <x v="664"/>
      <x v="1"/>
      <x v="16"/>
      <x v="8"/>
      <x v="43"/>
    </i>
    <i>
      <x v="544"/>
      <x v="669"/>
      <x v="1"/>
      <x v="16"/>
      <x v="8"/>
      <x v="48"/>
    </i>
    <i>
      <x v="545"/>
      <x v="652"/>
      <x v="1"/>
      <x v="16"/>
      <x v="1"/>
      <x v="152"/>
    </i>
    <i>
      <x v="546"/>
      <x v="659"/>
      <x v="1"/>
      <x v="16"/>
      <x v="4"/>
      <x v="227"/>
    </i>
    <i>
      <x v="547"/>
      <x v="660"/>
      <x v="1"/>
      <x v="16"/>
      <x v="4"/>
      <x v="214"/>
    </i>
    <i>
      <x v="548"/>
      <x v="661"/>
      <x v="1"/>
      <x v="16"/>
      <x v="4"/>
      <x v="80"/>
    </i>
    <i>
      <x v="549"/>
      <x v="662"/>
      <x v="1"/>
      <x v="16"/>
      <x v="4"/>
      <x v="245"/>
    </i>
    <i>
      <x v="550"/>
      <x v="658"/>
      <x v="1"/>
      <x v="16"/>
      <x v="4"/>
      <x v="152"/>
    </i>
    <i>
      <x v="551"/>
      <x v="668"/>
      <x v="1"/>
      <x v="16"/>
      <x v="8"/>
      <x v="168"/>
    </i>
    <i>
      <x v="552"/>
      <x v="666"/>
      <x v="1"/>
      <x v="16"/>
      <x v="8"/>
      <x v="152"/>
    </i>
    <i>
      <x v="553"/>
      <x v="653"/>
      <x v="1"/>
      <x v="16"/>
      <x v="1"/>
      <x v="199"/>
    </i>
    <i>
      <x v="554"/>
      <x v="654"/>
      <x v="1"/>
      <x v="16"/>
      <x v="1"/>
      <x v="232"/>
    </i>
    <i>
      <x v="555"/>
      <x v="663"/>
      <x v="1"/>
      <x v="16"/>
      <x v="4"/>
      <x v="199"/>
    </i>
    <i>
      <x v="556"/>
      <x v="667"/>
      <x v="1"/>
      <x v="16"/>
      <x v="8"/>
      <x v="66"/>
    </i>
    <i>
      <x v="557"/>
      <x v="665"/>
      <x v="1"/>
      <x v="16"/>
      <x v="8"/>
      <x v="53"/>
    </i>
    <i>
      <x v="558"/>
      <x v="672"/>
      <x v="1"/>
      <x v="16"/>
      <x v="8"/>
      <x v="199"/>
    </i>
    <i>
      <x v="559"/>
      <x v="262"/>
      <x v="1"/>
      <x v="3"/>
      <x v="4"/>
      <x v="116"/>
    </i>
    <i>
      <x v="560"/>
      <x v="16"/>
      <x v="1"/>
      <x/>
      <x v="4"/>
      <x v="57"/>
    </i>
    <i>
      <x v="561"/>
      <x v="67"/>
      <x/>
      <x v="1"/>
      <x v="1"/>
      <x v="11"/>
    </i>
    <i>
      <x v="562"/>
      <x v="68"/>
      <x/>
      <x v="1"/>
      <x v="1"/>
      <x v="52"/>
    </i>
    <i>
      <x v="563"/>
      <x v="69"/>
      <x/>
      <x v="1"/>
      <x v="1"/>
      <x v="147"/>
    </i>
    <i>
      <x v="564"/>
      <x v="70"/>
      <x/>
      <x v="1"/>
      <x v="1"/>
      <x v="247"/>
    </i>
    <i>
      <x v="565"/>
      <x v="79"/>
      <x/>
      <x v="1"/>
      <x v="1"/>
      <x v="139"/>
    </i>
    <i>
      <x v="566"/>
      <x v="86"/>
      <x/>
      <x v="1"/>
      <x v="4"/>
      <x v="14"/>
    </i>
    <i>
      <x v="567"/>
      <x v="114"/>
      <x/>
      <x v="1"/>
      <x v="8"/>
      <x v="290"/>
    </i>
    <i>
      <x v="568"/>
      <x v="115"/>
      <x/>
      <x v="1"/>
      <x v="8"/>
      <x v="289"/>
    </i>
    <i>
      <x v="569"/>
      <x v="116"/>
      <x/>
      <x v="1"/>
      <x v="8"/>
      <x v="292"/>
    </i>
    <i>
      <x v="570"/>
      <x v="117"/>
      <x/>
      <x v="1"/>
      <x v="8"/>
      <x v="291"/>
    </i>
    <i>
      <x v="571"/>
      <x v="118"/>
      <x/>
      <x v="1"/>
      <x v="8"/>
      <x v="294"/>
    </i>
    <i>
      <x v="572"/>
      <x v="119"/>
      <x/>
      <x v="1"/>
      <x v="8"/>
      <x v="293"/>
    </i>
    <i>
      <x v="573"/>
      <x v="120"/>
      <x/>
      <x v="1"/>
      <x v="8"/>
      <x v="296"/>
    </i>
    <i>
      <x v="574"/>
      <x v="121"/>
      <x/>
      <x v="1"/>
      <x v="8"/>
      <x v="295"/>
    </i>
    <i>
      <x v="575"/>
      <x v="122"/>
      <x/>
      <x v="1"/>
      <x v="8"/>
      <x v="298"/>
    </i>
    <i>
      <x v="576"/>
      <x v="123"/>
      <x/>
      <x v="1"/>
      <x v="8"/>
      <x v="297"/>
    </i>
    <i>
      <x v="577"/>
      <x v="124"/>
      <x/>
      <x v="1"/>
      <x v="8"/>
      <x v="284"/>
    </i>
    <i>
      <x v="578"/>
      <x v="125"/>
      <x/>
      <x v="1"/>
      <x v="8"/>
      <x v="283"/>
    </i>
    <i>
      <x v="579"/>
      <x v="126"/>
      <x/>
      <x v="1"/>
      <x v="8"/>
      <x v="286"/>
    </i>
    <i>
      <x v="580"/>
      <x v="127"/>
      <x/>
      <x v="1"/>
      <x v="8"/>
      <x v="285"/>
    </i>
    <i>
      <x v="581"/>
      <x v="128"/>
      <x/>
      <x v="1"/>
      <x v="8"/>
      <x v="288"/>
    </i>
    <i>
      <x v="582"/>
      <x v="129"/>
      <x/>
      <x v="1"/>
      <x v="8"/>
      <x v="287"/>
    </i>
    <i>
      <x v="583"/>
      <x v="130"/>
      <x/>
      <x v="1"/>
      <x v="8"/>
      <x v="302"/>
    </i>
    <i>
      <x v="584"/>
      <x v="131"/>
      <x/>
      <x v="1"/>
      <x v="8"/>
      <x v="301"/>
    </i>
    <i>
      <x v="585"/>
      <x v="132"/>
      <x/>
      <x v="1"/>
      <x v="8"/>
      <x v="304"/>
    </i>
    <i>
      <x v="586"/>
      <x v="133"/>
      <x/>
      <x v="1"/>
      <x v="8"/>
      <x v="303"/>
    </i>
    <i>
      <x v="587"/>
      <x v="134"/>
      <x/>
      <x v="1"/>
      <x v="8"/>
      <x v="306"/>
    </i>
    <i>
      <x v="588"/>
      <x v="135"/>
      <x/>
      <x v="1"/>
      <x v="8"/>
      <x v="305"/>
    </i>
    <i>
      <x v="589"/>
      <x v="136"/>
      <x/>
      <x v="1"/>
      <x v="8"/>
      <x v="308"/>
    </i>
    <i>
      <x v="590"/>
      <x v="137"/>
      <x/>
      <x v="1"/>
      <x v="8"/>
      <x v="307"/>
    </i>
    <i>
      <x v="591"/>
      <x v="138"/>
      <x/>
      <x v="1"/>
      <x v="8"/>
      <x v="310"/>
    </i>
    <i>
      <x v="592"/>
      <x v="139"/>
      <x/>
      <x v="1"/>
      <x v="8"/>
      <x v="309"/>
    </i>
    <i>
      <x v="593"/>
      <x v="141"/>
      <x/>
      <x v="1"/>
      <x v="8"/>
      <x v="313"/>
    </i>
    <i>
      <x v="594"/>
      <x v="142"/>
      <x/>
      <x v="1"/>
      <x v="8"/>
      <x v="312"/>
    </i>
    <i>
      <x v="595"/>
      <x v="143"/>
      <x/>
      <x v="1"/>
      <x v="8"/>
      <x v="315"/>
    </i>
    <i>
      <x v="596"/>
      <x v="144"/>
      <x/>
      <x v="1"/>
      <x v="8"/>
      <x v="314"/>
    </i>
    <i>
      <x v="597"/>
      <x v="145"/>
      <x/>
      <x v="1"/>
      <x v="8"/>
      <x v="317"/>
    </i>
    <i>
      <x v="598"/>
      <x v="146"/>
      <x/>
      <x v="1"/>
      <x v="8"/>
      <x v="316"/>
    </i>
    <i>
      <x v="599"/>
      <x v="147"/>
      <x/>
      <x v="1"/>
      <x v="8"/>
      <x v="319"/>
    </i>
    <i>
      <x v="600"/>
      <x v="148"/>
      <x/>
      <x v="1"/>
      <x v="8"/>
      <x v="318"/>
    </i>
    <i>
      <x v="601"/>
      <x v="149"/>
      <x/>
      <x v="1"/>
      <x v="8"/>
      <x v="272"/>
    </i>
    <i>
      <x v="602"/>
      <x v="150"/>
      <x/>
      <x v="1"/>
      <x v="8"/>
      <x v="271"/>
    </i>
    <i>
      <x v="603"/>
      <x v="151"/>
      <x/>
      <x v="1"/>
      <x v="8"/>
      <x v="300"/>
    </i>
    <i>
      <x v="604"/>
      <x v="152"/>
      <x/>
      <x v="1"/>
      <x v="8"/>
      <x v="299"/>
    </i>
    <i>
      <x v="605"/>
      <x v="162"/>
      <x/>
      <x v="1"/>
      <x v="8"/>
      <x v="331"/>
    </i>
    <i>
      <x v="606"/>
      <x v="163"/>
      <x/>
      <x v="1"/>
      <x v="8"/>
      <x v="332"/>
    </i>
    <i>
      <x v="607"/>
      <x v="164"/>
      <x/>
      <x v="1"/>
      <x v="8"/>
      <x v="337"/>
    </i>
    <i>
      <x v="608"/>
      <x v="165"/>
      <x/>
      <x v="1"/>
      <x v="8"/>
      <x v="336"/>
    </i>
    <i>
      <x v="609"/>
      <x v="166"/>
      <x/>
      <x v="1"/>
      <x v="8"/>
      <x v="334"/>
    </i>
    <i>
      <x v="610"/>
      <x v="167"/>
      <x/>
      <x v="1"/>
      <x v="8"/>
      <x v="333"/>
    </i>
    <i>
      <x v="611"/>
      <x v="177"/>
      <x/>
      <x v="1"/>
      <x v="8"/>
      <x v="32"/>
    </i>
    <i>
      <x v="612"/>
      <x v="178"/>
      <x/>
      <x v="1"/>
      <x v="8"/>
      <x v="33"/>
    </i>
    <i>
      <x v="613"/>
      <x v="181"/>
      <x/>
      <x v="1"/>
      <x v="8"/>
      <x v="259"/>
    </i>
    <i>
      <x v="614"/>
      <x v="182"/>
      <x/>
      <x v="1"/>
      <x v="8"/>
      <x v="260"/>
    </i>
    <i>
      <x v="615"/>
      <x v="189"/>
      <x v="1"/>
      <x v="2"/>
      <x v="1"/>
      <x v="132"/>
    </i>
    <i>
      <x v="616"/>
      <x v="190"/>
      <x v="1"/>
      <x v="2"/>
      <x v="1"/>
      <x v="133"/>
    </i>
    <i>
      <x v="617"/>
      <x v="191"/>
      <x v="1"/>
      <x v="2"/>
      <x v="1"/>
      <x v="136"/>
    </i>
    <i>
      <x v="618"/>
      <x v="192"/>
      <x v="1"/>
      <x v="2"/>
      <x v="1"/>
      <x v="134"/>
    </i>
    <i>
      <x v="619"/>
      <x v="222"/>
      <x v="1"/>
      <x v="2"/>
      <x v="4"/>
      <x v="129"/>
    </i>
    <i>
      <x v="620"/>
      <x v="223"/>
      <x v="1"/>
      <x v="2"/>
      <x v="4"/>
      <x v="129"/>
    </i>
    <i>
      <x v="621"/>
      <x v="243"/>
      <x v="1"/>
      <x v="2"/>
      <x v="8"/>
      <x v="119"/>
    </i>
    <i>
      <x v="622"/>
      <x v="244"/>
      <x v="1"/>
      <x v="2"/>
      <x v="8"/>
      <x v="182"/>
    </i>
    <i>
      <x v="623"/>
      <x v="247"/>
      <x v="1"/>
      <x v="2"/>
      <x v="8"/>
      <x v="180"/>
    </i>
    <i>
      <x v="624"/>
      <x v="248"/>
      <x v="1"/>
      <x v="2"/>
      <x v="8"/>
      <x v="181"/>
    </i>
    <i>
      <x v="625"/>
      <x v="253"/>
      <x v="1"/>
      <x v="3"/>
      <x v="1"/>
      <x v="53"/>
    </i>
    <i>
      <x v="626"/>
      <x v="299"/>
      <x v="1"/>
      <x v="5"/>
      <x v="4"/>
      <x v="70"/>
    </i>
    <i>
      <x v="627"/>
      <x v="300"/>
      <x v="1"/>
      <x v="5"/>
      <x v="4"/>
      <x v="67"/>
    </i>
    <i>
      <x v="628"/>
      <x v="301"/>
      <x v="1"/>
      <x v="5"/>
      <x v="4"/>
      <x v="327"/>
    </i>
    <i>
      <x v="629"/>
      <x v="309"/>
      <x v="1"/>
      <x v="5"/>
      <x v="8"/>
      <x v="69"/>
    </i>
    <i>
      <x v="630"/>
      <x v="310"/>
      <x v="1"/>
      <x v="5"/>
      <x v="8"/>
      <x v="68"/>
    </i>
    <i>
      <x v="631"/>
      <x v="311"/>
      <x v="1"/>
      <x v="5"/>
      <x v="8"/>
      <x v="123"/>
    </i>
    <i>
      <x v="632"/>
      <x v="317"/>
      <x v="1"/>
      <x v="5"/>
      <x v="8"/>
      <x v="103"/>
    </i>
    <i>
      <x v="633"/>
      <x v="318"/>
      <x v="1"/>
      <x v="5"/>
      <x v="8"/>
      <x v="104"/>
    </i>
    <i>
      <x v="634"/>
      <x v="324"/>
      <x v="1"/>
      <x v="6"/>
      <x v="1"/>
      <x v="112"/>
    </i>
    <i>
      <x v="635"/>
      <x v="326"/>
      <x v="1"/>
      <x v="6"/>
      <x v="1"/>
      <x v="3"/>
    </i>
    <i>
      <x v="636"/>
      <x v="327"/>
      <x v="1"/>
      <x v="6"/>
      <x v="1"/>
      <x v="113"/>
    </i>
    <i>
      <x v="637"/>
      <x v="332"/>
      <x v="1"/>
      <x v="6"/>
      <x v="1"/>
      <x v="106"/>
    </i>
    <i>
      <x v="638"/>
      <x v="381"/>
      <x/>
      <x v="8"/>
      <x v="4"/>
      <x v="80"/>
    </i>
    <i>
      <x v="639"/>
      <x v="413"/>
      <x/>
      <x v="9"/>
      <x v="3"/>
      <x v="73"/>
    </i>
    <i>
      <x v="640"/>
      <x v="414"/>
      <x/>
      <x v="9"/>
      <x v="3"/>
      <x v="72"/>
    </i>
    <i>
      <x v="641"/>
      <x v="415"/>
      <x/>
      <x v="9"/>
      <x v="3"/>
      <x v="75"/>
    </i>
    <i>
      <x v="642"/>
      <x v="416"/>
      <x/>
      <x v="9"/>
      <x v="3"/>
      <x v="74"/>
    </i>
    <i>
      <x v="643"/>
      <x v="434"/>
      <x/>
      <x v="9"/>
      <x v="8"/>
      <x v="346"/>
    </i>
    <i>
      <x v="644"/>
      <x v="435"/>
      <x/>
      <x v="9"/>
      <x v="8"/>
      <x v="345"/>
    </i>
    <i>
      <x v="645"/>
      <x v="437"/>
      <x/>
      <x v="9"/>
      <x v="8"/>
      <x v="243"/>
    </i>
    <i>
      <x v="646"/>
      <x v="438"/>
      <x/>
      <x v="9"/>
      <x v="8"/>
      <x v="242"/>
    </i>
    <i>
      <x v="647"/>
      <x v="440"/>
      <x/>
      <x v="9"/>
      <x v="8"/>
      <x v="340"/>
    </i>
    <i>
      <x v="648"/>
      <x v="441"/>
      <x/>
      <x v="9"/>
      <x v="8"/>
      <x v="341"/>
    </i>
    <i>
      <x v="649"/>
      <x v="445"/>
      <x/>
      <x v="9"/>
      <x v="8"/>
      <x v="79"/>
    </i>
    <i>
      <x v="650"/>
      <x v="446"/>
      <x/>
      <x v="9"/>
      <x v="8"/>
      <x v="78"/>
    </i>
    <i>
      <x v="651"/>
      <x v="447"/>
      <x/>
      <x v="9"/>
      <x v="8"/>
      <x v="77"/>
    </i>
    <i>
      <x v="652"/>
      <x v="448"/>
      <x/>
      <x v="9"/>
      <x v="8"/>
      <x v="76"/>
    </i>
    <i>
      <x v="653"/>
      <x v="449"/>
      <x/>
      <x v="9"/>
      <x v="8"/>
      <x v="355"/>
    </i>
    <i>
      <x v="654"/>
      <x v="450"/>
      <x/>
      <x v="9"/>
      <x v="8"/>
      <x v="356"/>
    </i>
    <i>
      <x v="655"/>
      <x v="452"/>
      <x/>
      <x v="9"/>
      <x v="8"/>
      <x v="234"/>
    </i>
    <i>
      <x v="656"/>
      <x v="464"/>
      <x v="2"/>
      <x v="10"/>
      <x v="1"/>
      <x v="273"/>
    </i>
    <i>
      <x v="657"/>
      <x v="475"/>
      <x v="2"/>
      <x v="10"/>
      <x v="1"/>
      <x v="218"/>
    </i>
    <i>
      <x v="658"/>
      <x v="476"/>
      <x v="2"/>
      <x v="10"/>
      <x v="1"/>
      <x v="371"/>
    </i>
    <i>
      <x v="659"/>
      <x v="527"/>
      <x/>
      <x v="11"/>
      <x v="1"/>
      <x v="364"/>
    </i>
    <i>
      <x v="660"/>
      <x v="539"/>
      <x/>
      <x v="11"/>
      <x v="8"/>
      <x v="358"/>
    </i>
    <i>
      <x v="661"/>
      <x v="540"/>
      <x/>
      <x v="11"/>
      <x v="8"/>
      <x v="366"/>
    </i>
    <i>
      <x v="662"/>
      <x v="541"/>
      <x/>
      <x v="11"/>
      <x v="8"/>
      <x v="365"/>
    </i>
    <i>
      <x v="663"/>
      <x v="548"/>
      <x/>
      <x v="12"/>
      <x v="8"/>
      <x v="189"/>
    </i>
    <i>
      <x v="664"/>
      <x v="549"/>
      <x/>
      <x v="12"/>
      <x v="8"/>
      <x v="188"/>
    </i>
    <i>
      <x v="665"/>
      <x v="572"/>
      <x v="3"/>
      <x v="13"/>
      <x v="8"/>
      <x v="7"/>
    </i>
    <i>
      <x v="666"/>
      <x v="586"/>
      <x/>
      <x v="14"/>
      <x v="4"/>
      <x v="268"/>
    </i>
    <i>
      <x v="667"/>
      <x v="629"/>
      <x/>
      <x v="14"/>
      <x v="8"/>
      <x v="95"/>
    </i>
    <i>
      <x v="668"/>
      <x v="630"/>
      <x/>
      <x v="14"/>
      <x v="8"/>
      <x v="39"/>
    </i>
    <i>
      <x v="669"/>
      <x v="631"/>
      <x/>
      <x v="14"/>
      <x v="8"/>
      <x v="40"/>
    </i>
    <i>
      <x v="670"/>
      <x v="650"/>
      <x v="1"/>
      <x v="15"/>
      <x v="8"/>
      <x v="276"/>
    </i>
    <i>
      <x v="671"/>
      <x v="670"/>
      <x v="1"/>
      <x v="16"/>
      <x v="8"/>
      <x v="45"/>
    </i>
    <i>
      <x v="672"/>
      <x v="671"/>
      <x v="1"/>
      <x v="16"/>
      <x v="8"/>
      <x v="46"/>
    </i>
    <i>
      <x v="673"/>
      <x v="417"/>
      <x/>
      <x v="9"/>
      <x v="4"/>
      <x v="90"/>
    </i>
    <i>
      <x v="674"/>
      <x v="418"/>
      <x/>
      <x v="9"/>
      <x v="4"/>
      <x v="200"/>
    </i>
    <i>
      <x v="675"/>
      <x v="506"/>
      <x v="2"/>
      <x v="10"/>
      <x v="8"/>
      <x v="162"/>
    </i>
    <i>
      <x v="676"/>
      <x v="386"/>
      <x/>
      <x v="8"/>
      <x v="8"/>
      <x v="162"/>
    </i>
    <i>
      <x v="677"/>
      <x v="507"/>
      <x v="2"/>
      <x v="10"/>
      <x v="8"/>
      <x v="166"/>
    </i>
    <i>
      <x v="678"/>
      <x v="387"/>
      <x/>
      <x v="8"/>
      <x v="8"/>
      <x v="165"/>
    </i>
    <i>
      <x v="679"/>
      <x v="371"/>
      <x/>
      <x v="8"/>
      <x v="3"/>
      <x v="163"/>
    </i>
    <i>
      <x v="680"/>
      <x v="511"/>
      <x v="2"/>
      <x v="10"/>
      <x v="8"/>
      <x v="164"/>
    </i>
    <i>
      <x v="681"/>
      <x v="391"/>
      <x/>
      <x v="8"/>
      <x v="8"/>
      <x v="164"/>
    </i>
    <i>
      <x v="682"/>
      <x v="491"/>
      <x v="2"/>
      <x v="10"/>
      <x v="4"/>
      <x v="87"/>
    </i>
    <i>
      <x v="683"/>
      <x v="513"/>
      <x v="2"/>
      <x v="10"/>
      <x v="8"/>
      <x v="215"/>
    </i>
    <i>
      <x v="684"/>
      <x v="493"/>
      <x v="2"/>
      <x v="10"/>
      <x v="4"/>
      <x v="82"/>
    </i>
    <i>
      <x v="685"/>
      <x v="578"/>
      <x/>
      <x v="14"/>
      <x v="1"/>
      <x v="338"/>
    </i>
    <i>
      <x v="686"/>
      <x v="232"/>
      <x v="1"/>
      <x v="2"/>
      <x v="8"/>
      <x v="93"/>
    </i>
    <i>
      <x v="687"/>
      <x v="351"/>
      <x v="1"/>
      <x v="6"/>
      <x v="8"/>
      <x v="89"/>
    </i>
    <i>
      <x v="688"/>
      <x v="57"/>
      <x/>
      <x v="1"/>
      <x v="1"/>
      <x v="86"/>
    </i>
    <i>
      <x v="689"/>
      <x v="3"/>
      <x v="1"/>
      <x/>
      <x v="1"/>
      <x v="239"/>
    </i>
    <i>
      <x v="690"/>
      <x v="592"/>
      <x/>
      <x v="14"/>
      <x v="4"/>
      <x v="171"/>
    </i>
    <i>
      <x v="691"/>
      <x v="533"/>
      <x/>
      <x v="11"/>
      <x v="4"/>
      <x v="170"/>
    </i>
    <i>
      <x v="692"/>
      <x v="255"/>
      <x v="1"/>
      <x v="3"/>
      <x v="1"/>
      <x v="51"/>
    </i>
    <i>
      <x v="693"/>
      <x v="584"/>
      <x/>
      <x v="14"/>
      <x v="1"/>
      <x v="85"/>
    </i>
    <i>
      <x v="694"/>
      <x v="536"/>
      <x/>
      <x v="11"/>
      <x v="4"/>
      <x v="352"/>
    </i>
    <i>
      <x v="695"/>
      <x v="477"/>
      <x v="2"/>
      <x v="10"/>
      <x v="1"/>
      <x v="83"/>
    </i>
    <i>
      <x v="696"/>
      <x v="4"/>
      <x v="1"/>
      <x/>
      <x v="1"/>
      <x v="236"/>
    </i>
    <i>
      <x v="697"/>
      <x v="609"/>
      <x/>
      <x v="14"/>
      <x v="4"/>
      <x v="208"/>
    </i>
    <i>
      <x v="698"/>
      <x v="37"/>
      <x v="1"/>
      <x/>
      <x v="8"/>
      <x v="92"/>
    </i>
    <i>
      <x v="699"/>
      <x v="236"/>
      <x v="1"/>
      <x v="2"/>
      <x v="8"/>
      <x v="89"/>
    </i>
    <i>
      <x v="700"/>
      <x v="353"/>
      <x v="1"/>
      <x v="6"/>
      <x v="8"/>
      <x v="91"/>
    </i>
    <i>
      <x v="701"/>
      <x v="256"/>
      <x v="1"/>
      <x v="3"/>
      <x v="1"/>
      <x v="199"/>
    </i>
    <i>
      <x v="702"/>
      <x v="298"/>
      <x v="1"/>
      <x v="5"/>
      <x v="1"/>
      <x v="199"/>
    </i>
    <i>
      <x v="703"/>
      <x v="505"/>
      <x v="2"/>
      <x v="10"/>
      <x v="7"/>
      <x v="199"/>
    </i>
    <i>
      <x v="704"/>
      <x v="643"/>
      <x v="1"/>
      <x v="15"/>
      <x v="4"/>
      <x v="199"/>
    </i>
    <i>
      <x v="705"/>
      <x v="85"/>
      <x/>
      <x v="1"/>
      <x v="3"/>
      <x v="199"/>
    </i>
    <i>
      <x v="706"/>
      <x v="308"/>
      <x v="1"/>
      <x v="5"/>
      <x v="5"/>
      <x v="206"/>
    </i>
    <i>
      <x v="707"/>
      <x v="428"/>
      <x/>
      <x v="9"/>
      <x v="5"/>
      <x v="11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AP04" fld="24" baseField="7" baseItem="98"/>
    <dataField name="Sum of AP01" fld="21" baseField="0" baseItem="0"/>
    <dataField name="Sum of AP02" fld="22" baseField="0" baseItem="0"/>
    <dataField name="Sum of AP03" fld="23" baseField="0" baseItem="0"/>
    <dataField name="Sum of AP05" fld="25" baseField="0" baseItem="0"/>
    <dataField name="Sum of AP01 LE2" fld="41" baseField="0" baseItem="0"/>
    <dataField name="Sum of AP02 LE2" fld="42" baseField="0" baseItem="0"/>
    <dataField name="Sum of AP03 LE2" fld="43" baseField="0" baseItem="0"/>
    <dataField name="Sum of AP04 LE2" fld="44" baseField="0" baseItem="0"/>
    <dataField name="Sum of AP05 LE2" fld="45" baseField="0" baseItem="0"/>
  </dataFields>
  <formats count="1">
    <format dxfId="6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8C35C-BD9C-4E82-B8F0-72464AD9020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6" firstHeaderRow="0" firstDataRow="1" firstDataCol="1"/>
  <pivotFields count="67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2">
        <item x="5"/>
        <item x="2"/>
        <item x="6"/>
        <item x="3"/>
        <item x="1"/>
        <item x="7"/>
        <item x="9"/>
        <item x="8"/>
        <item x="0"/>
        <item x="10"/>
        <item x="4"/>
        <item t="default"/>
      </items>
    </pivotField>
    <pivotField showAll="0">
      <items count="373">
        <item x="144"/>
        <item x="96"/>
        <item x="21"/>
        <item x="23"/>
        <item x="19"/>
        <item x="25"/>
        <item x="114"/>
        <item x="212"/>
        <item x="120"/>
        <item x="121"/>
        <item x="75"/>
        <item x="115"/>
        <item x="61"/>
        <item x="35"/>
        <item x="39"/>
        <item x="40"/>
        <item x="49"/>
        <item x="41"/>
        <item x="42"/>
        <item x="43"/>
        <item x="45"/>
        <item x="46"/>
        <item x="48"/>
        <item x="63"/>
        <item x="109"/>
        <item x="103"/>
        <item x="110"/>
        <item x="321"/>
        <item x="106"/>
        <item x="108"/>
        <item x="105"/>
        <item x="107"/>
        <item x="338"/>
        <item x="339"/>
        <item x="319"/>
        <item x="340"/>
        <item x="337"/>
        <item x="331"/>
        <item x="5"/>
        <item x="229"/>
        <item x="230"/>
        <item x="62"/>
        <item x="3"/>
        <item x="4"/>
        <item x="72"/>
        <item x="347"/>
        <item x="348"/>
        <item x="328"/>
        <item x="287"/>
        <item x="111"/>
        <item x="142"/>
        <item x="141"/>
        <item x="116"/>
        <item x="60"/>
        <item x="182"/>
        <item x="355"/>
        <item x="183"/>
        <item x="137"/>
        <item x="138"/>
        <item x="139"/>
        <item x="130"/>
        <item x="353"/>
        <item x="320"/>
        <item x="358"/>
        <item x="345"/>
        <item x="210"/>
        <item x="126"/>
        <item x="9"/>
        <item x="7"/>
        <item x="6"/>
        <item x="8"/>
        <item x="363"/>
        <item x="204"/>
        <item x="203"/>
        <item x="206"/>
        <item x="205"/>
        <item x="325"/>
        <item x="324"/>
        <item x="323"/>
        <item x="322"/>
        <item x="157"/>
        <item x="295"/>
        <item x="56"/>
        <item x="194"/>
        <item x="190"/>
        <item x="170"/>
        <item x="70"/>
        <item x="50"/>
        <item x="343"/>
        <item x="67"/>
        <item x="33"/>
        <item x="201"/>
        <item x="198"/>
        <item x="66"/>
        <item x="227"/>
        <item x="228"/>
        <item x="297"/>
        <item x="69"/>
        <item x="68"/>
        <item x="133"/>
        <item x="101"/>
        <item x="100"/>
        <item x="73"/>
        <item x="281"/>
        <item x="282"/>
        <item x="74"/>
        <item x="83"/>
        <item x="179"/>
        <item x="132"/>
        <item x="346"/>
        <item x="18"/>
        <item x="112"/>
        <item x="14"/>
        <item x="24"/>
        <item x="78"/>
        <item x="360"/>
        <item x="185"/>
        <item x="232"/>
        <item x="122"/>
        <item x="299"/>
        <item x="178"/>
        <item x="316"/>
        <item x="315"/>
        <item x="17"/>
        <item x="148"/>
        <item x="180"/>
        <item x="88"/>
        <item x="95"/>
        <item x="162"/>
        <item x="181"/>
        <item x="283"/>
        <item x="125"/>
        <item x="12"/>
        <item x="13"/>
        <item x="22"/>
        <item x="16"/>
        <item x="20"/>
        <item x="209"/>
        <item x="136"/>
        <item x="213"/>
        <item x="217"/>
        <item x="344"/>
        <item x="135"/>
        <item x="164"/>
        <item x="167"/>
        <item x="216"/>
        <item x="10"/>
        <item x="117"/>
        <item x="155"/>
        <item x="127"/>
        <item x="154"/>
        <item x="140"/>
        <item x="71"/>
        <item x="129"/>
        <item x="146"/>
        <item x="298"/>
        <item x="160"/>
        <item x="152"/>
        <item x="153"/>
        <item x="342"/>
        <item x="186"/>
        <item x="221"/>
        <item x="36"/>
        <item x="44"/>
        <item x="47"/>
        <item x="38"/>
        <item x="37"/>
        <item x="156"/>
        <item x="197"/>
        <item x="354"/>
        <item x="91"/>
        <item x="90"/>
        <item x="371"/>
        <item x="171"/>
        <item x="97"/>
        <item x="296"/>
        <item x="98"/>
        <item x="231"/>
        <item x="99"/>
        <item x="159"/>
        <item x="317"/>
        <item x="318"/>
        <item x="314"/>
        <item x="341"/>
        <item x="79"/>
        <item x="81"/>
        <item x="173"/>
        <item x="147"/>
        <item x="280"/>
        <item x="279"/>
        <item x="80"/>
        <item x="87"/>
        <item x="86"/>
        <item x="94"/>
        <item x="174"/>
        <item x="175"/>
        <item x="134"/>
        <item x="200"/>
        <item x="202"/>
        <item x="356"/>
        <item x="34"/>
        <item x="149"/>
        <item x="286"/>
        <item x="158"/>
        <item x="172"/>
        <item x="357"/>
        <item x="359"/>
        <item x="326"/>
        <item x="196"/>
        <item x="235"/>
        <item x="214"/>
        <item x="128"/>
        <item x="215"/>
        <item x="361"/>
        <item x="199"/>
        <item x="52"/>
        <item x="59"/>
        <item x="51"/>
        <item x="192"/>
        <item x="224"/>
        <item x="187"/>
        <item x="223"/>
        <item x="191"/>
        <item x="226"/>
        <item x="225"/>
        <item x="336"/>
        <item x="218"/>
        <item x="169"/>
        <item x="161"/>
        <item x="82"/>
        <item x="168"/>
        <item x="93"/>
        <item x="362"/>
        <item x="334"/>
        <item x="335"/>
        <item x="327"/>
        <item x="195"/>
        <item x="285"/>
        <item x="77"/>
        <item x="84"/>
        <item x="85"/>
        <item x="89"/>
        <item x="291"/>
        <item x="290"/>
        <item x="26"/>
        <item x="220"/>
        <item x="219"/>
        <item x="118"/>
        <item x="64"/>
        <item x="53"/>
        <item x="166"/>
        <item x="131"/>
        <item x="113"/>
        <item x="349"/>
        <item x="150"/>
        <item x="151"/>
        <item x="143"/>
        <item x="211"/>
        <item x="165"/>
        <item x="350"/>
        <item x="351"/>
        <item x="54"/>
        <item x="31"/>
        <item x="32"/>
        <item x="30"/>
        <item x="57"/>
        <item x="58"/>
        <item x="15"/>
        <item x="1"/>
        <item x="28"/>
        <item x="29"/>
        <item x="273"/>
        <item x="272"/>
        <item x="55"/>
        <item x="293"/>
        <item x="332"/>
        <item x="124"/>
        <item x="352"/>
        <item x="333"/>
        <item x="370"/>
        <item x="276"/>
        <item x="294"/>
        <item x="236"/>
        <item x="248"/>
        <item x="247"/>
        <item x="250"/>
        <item x="249"/>
        <item x="252"/>
        <item x="251"/>
        <item x="238"/>
        <item x="237"/>
        <item x="240"/>
        <item x="239"/>
        <item x="242"/>
        <item x="241"/>
        <item x="244"/>
        <item x="243"/>
        <item x="246"/>
        <item x="245"/>
        <item x="275"/>
        <item x="274"/>
        <item x="254"/>
        <item x="253"/>
        <item x="256"/>
        <item x="255"/>
        <item x="258"/>
        <item x="257"/>
        <item x="260"/>
        <item x="259"/>
        <item x="262"/>
        <item x="261"/>
        <item x="263"/>
        <item x="265"/>
        <item x="264"/>
        <item x="267"/>
        <item x="266"/>
        <item x="269"/>
        <item x="268"/>
        <item x="271"/>
        <item x="270"/>
        <item x="104"/>
        <item x="208"/>
        <item x="207"/>
        <item x="313"/>
        <item x="102"/>
        <item x="189"/>
        <item x="188"/>
        <item x="11"/>
        <item x="309"/>
        <item x="300"/>
        <item x="307"/>
        <item x="301"/>
        <item x="302"/>
        <item x="306"/>
        <item x="305"/>
        <item x="277"/>
        <item x="304"/>
        <item x="303"/>
        <item x="65"/>
        <item x="308"/>
        <item x="311"/>
        <item x="312"/>
        <item x="310"/>
        <item x="145"/>
        <item x="278"/>
        <item x="234"/>
        <item x="233"/>
        <item x="0"/>
        <item x="2"/>
        <item x="292"/>
        <item x="369"/>
        <item x="184"/>
        <item x="176"/>
        <item x="177"/>
        <item x="92"/>
        <item x="329"/>
        <item x="330"/>
        <item x="222"/>
        <item x="27"/>
        <item x="123"/>
        <item x="163"/>
        <item x="365"/>
        <item x="366"/>
        <item x="367"/>
        <item x="119"/>
        <item x="289"/>
        <item x="288"/>
        <item x="368"/>
        <item x="284"/>
        <item x="76"/>
        <item x="364"/>
        <item x="1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7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3"/>
    </i>
    <i r="1">
      <x v="4"/>
    </i>
    <i r="1">
      <x v="5"/>
    </i>
    <i r="1">
      <x v="8"/>
    </i>
    <i r="1">
      <x v="9"/>
    </i>
    <i r="1"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26 Transfers" fld="16" baseField="0" baseItem="0"/>
    <dataField name="Sum of 2026 LE0" fld="17" baseField="0" baseItem="0" numFmtId="164"/>
    <dataField name="Sum of LE2 Final Submission" fld="18" baseField="0" baseItem="0"/>
    <dataField name="Sum of 2026 Working Total" fld="33" baseField="0" baseItem="0" numFmtId="164"/>
    <dataField name="Sum of 2026 Working Total to Budget/LE" fld="34" baseField="0" baseItem="0" numFmtId="164"/>
  </dataFields>
  <formats count="7">
    <format dxfId="6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7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8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8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04B25D-5BBA-4E3B-B8BB-13B6A38DFCA6}" name="ERP_8" displayName="ERP_8" ref="A7:BS682" totalsRowShown="0" headerRowDxfId="670" dataDxfId="669" headerRowBorderDxfId="667" tableBorderDxfId="668">
  <autoFilter ref="A7:BS682" xr:uid="{CC04B25D-5BBA-4E3B-B8BB-13B6A38DFCA6}">
    <filterColumn colId="8">
      <filters>
        <filter val="McCormick, Pete"/>
      </filters>
    </filterColumn>
    <filterColumn colId="10">
      <filters>
        <filter val="CONTRACTORS"/>
      </filters>
    </filterColumn>
  </autoFilter>
  <sortState xmlns:xlrd2="http://schemas.microsoft.com/office/spreadsheetml/2017/richdata2" ref="A8:BS682">
    <sortCondition ref="K7:K682"/>
  </sortState>
  <tableColumns count="71">
    <tableColumn id="27" xr3:uid="{8FBAEB3F-F88C-47D1-BF28-66951C89B9F8}" name="UID" dataDxfId="666"/>
    <tableColumn id="26" xr3:uid="{28BA7D8F-909D-4870-86EB-A8504BDC9E9B}" name="Match" dataDxfId="665"/>
    <tableColumn id="70" xr3:uid="{7E43E2EA-05AC-4EB6-A82B-F88E483B4FB7}" name="UID2" dataDxfId="664"/>
    <tableColumn id="71" xr3:uid="{1AE24060-0FFD-448E-A74B-98FD7A7CA711}" name="NM" dataDxfId="663">
      <calculatedColumnFormula>_xlfn.TEXTJOIN("_",FALSE,Sheet1!E2,ERP_8[[#This Row],[Expense Category]],ERP_8[[#This Row],[Project Code*]])</calculatedColumnFormula>
    </tableColumn>
    <tableColumn id="69" xr3:uid="{797C79DA-0972-486B-A4B5-515BACD3D551}" name="NLT" dataDxfId="662"/>
    <tableColumn id="68" xr3:uid="{FEBC4B32-ADDC-4DDD-943D-C85E30F302BF}" name="NPOC" dataDxfId="661"/>
    <tableColumn id="1" xr3:uid="{9A106D48-5D05-487A-A580-B7296E57D021}" name="CCL3" dataDxfId="660"/>
    <tableColumn id="2" xr3:uid="{E0846E86-6952-4E0A-94D5-954636DF6098}" name="LT Member*" dataDxfId="659"/>
    <tableColumn id="3" xr3:uid="{18D07205-6C79-4135-B1EC-B7CAFC7C003F}" name="LT Member -1*" dataDxfId="658"/>
    <tableColumn id="28" xr3:uid="{40C20A8E-4751-4566-B1AA-D556AE27EE8A}" name="Point of Contact" dataDxfId="657"/>
    <tableColumn id="5" xr3:uid="{A0528B8C-502A-4102-8FD8-BF6D9FE6608F}" name="Expense Category" dataDxfId="656"/>
    <tableColumn id="7" xr3:uid="{DF49682E-D1EE-48CB-A46B-A700421D8909}" name="Description*" dataDxfId="655"/>
    <tableColumn id="4" xr3:uid="{3B5802EB-3AFD-4C28-8732-354571174809}" name="Vendor*" dataDxfId="654"/>
    <tableColumn id="29" xr3:uid="{73E5A839-C237-4785-980D-150D1DDE89FC}" name="Cost Center*" dataDxfId="653"/>
    <tableColumn id="6" xr3:uid="{34DE9636-D46A-48B0-8616-B6CDE309E957}" name="Project Code*" dataDxfId="652"/>
    <tableColumn id="39" xr3:uid="{CFC96A81-E028-4693-B8EE-FEBD4C8551F0}" name="Prior Year PO" dataDxfId="651"/>
    <tableColumn id="38" xr3:uid="{08DFFC1E-6840-47DD-981A-FE16FCAC7E0C}" name="2026  Purchase Order" dataDxfId="650"/>
    <tableColumn id="37" xr3:uid="{5EF442D3-1B6A-468D-8EDC-065A1D23FEA9}" name="Pullforward" dataDxfId="649"/>
    <tableColumn id="36" xr3:uid="{B5399B9A-4F59-4A07-815D-37DAA4D4816C}" name="Grouping" dataDxfId="648"/>
    <tableColumn id="35" xr3:uid="{6AD6C00C-6810-4E97-A4DE-CFDE64EF445A}" name="2026 Budget Comment" dataDxfId="647"/>
    <tableColumn id="34" xr3:uid="{3A8ED55D-F1AA-4A9D-9F90-0B97E23488A6}" name="2026 Transfers" dataDxfId="646"/>
    <tableColumn id="33" xr3:uid="{1031771F-4C5D-4E23-AA30-78B8D3DB5E45}" name="2026 LE0" dataDxfId="645" dataCellStyle="Comma"/>
    <tableColumn id="32" xr3:uid="{16144E0F-E8CE-4910-9628-DCC7CAD98C0A}" name="LE2 Final Submission" dataDxfId="644" dataCellStyle="Comma"/>
    <tableColumn id="31" xr3:uid="{550EBCA4-7FDD-4F21-90A9-D1CF654DC403}" name="LE3 Final Submission" dataDxfId="643"/>
    <tableColumn id="30" xr3:uid="{AB0EADA5-46B6-4967-985E-9B575A77EE5F}" name="LE4 Final Submission" dataDxfId="642"/>
    <tableColumn id="12" xr3:uid="{7668229F-83BF-4E61-B911-5BE316290330}" name="AP01" dataDxfId="641" dataCellStyle="Comma"/>
    <tableColumn id="13" xr3:uid="{5B441FA1-950F-4E9D-B93F-FAEFC1C8FEF1}" name="AP02" dataDxfId="640" dataCellStyle="Comma"/>
    <tableColumn id="14" xr3:uid="{1F78B20F-84AC-485F-8B63-E90A3A44BCCE}" name="AP03" dataDxfId="639" dataCellStyle="Comma"/>
    <tableColumn id="15" xr3:uid="{937FA39E-003D-43CF-8C76-BD0EBBDC6570}" name="AP04" dataDxfId="638" dataCellStyle="Comma"/>
    <tableColumn id="16" xr3:uid="{C67F752C-2BDD-446A-B281-22479D86B29E}" name="AP05" dataDxfId="637"/>
    <tableColumn id="17" xr3:uid="{0B9D83FE-C6AF-4522-929E-EB03750361CC}" name="AP06" dataDxfId="636"/>
    <tableColumn id="18" xr3:uid="{82F388A4-6CC0-459E-B3D3-E6ED66126F10}" name="AP07" dataDxfId="635" dataCellStyle="Comma"/>
    <tableColumn id="19" xr3:uid="{23598AE5-D27D-4394-B399-D8A497E309C5}" name="AP08" dataDxfId="634"/>
    <tableColumn id="20" xr3:uid="{E2C0BEB7-1C1D-4B53-9F0D-E8EF33F464CD}" name="AP09" dataDxfId="633"/>
    <tableColumn id="21" xr3:uid="{E3184F77-96B7-4D5E-9DB7-08DE25AD6EC9}" name="AP10" dataDxfId="632"/>
    <tableColumn id="22" xr3:uid="{F6662E6D-537D-4206-91F8-065DED7017D2}" name="AP11" dataDxfId="631"/>
    <tableColumn id="23" xr3:uid="{B862E12F-D52F-42E1-950C-6510E2307820}" name="AP12" dataDxfId="630"/>
    <tableColumn id="11" xr3:uid="{2F4B927F-112D-452E-A65D-E84CCE9D77D5}" name="2026 Working Total" dataDxfId="629">
      <calculatedColumnFormula>SUM(Sheet1!Z2:AK2)</calculatedColumnFormula>
    </tableColumn>
    <tableColumn id="10" xr3:uid="{80A623A3-2149-4F91-A71A-A1723A328DA4}" name="2026 Working Total to Budget/LE" dataDxfId="628">
      <calculatedColumnFormula>ERP_8[[#This Row],[2026 Working Total]]-ERP_8[[#This Row],[LE2 Final Submission]]</calculatedColumnFormula>
    </tableColumn>
    <tableColumn id="9" xr3:uid="{6F13F441-664A-41EC-8C49-55B876F0513E}" name="Latest AP Snapshot" dataDxfId="627"/>
    <tableColumn id="53" xr3:uid="{8A846963-B18E-445E-A3F3-A6388643D89D}" name="Latest AP Variance to Snapshot" dataDxfId="626">
      <calculatedColumnFormula>Sheet1!$AE2 - Sheet1!$AN2</calculatedColumnFormula>
    </tableColumn>
    <tableColumn id="8" xr3:uid="{2292669E-8378-4B0D-8E17-2BE20BF552D1}" name="YTD Act to Bud/LE" dataDxfId="625" dataCellStyle="Comma">
      <calculatedColumnFormula>SUM(ERP_8[[#This Row],[AP01]:[AP07]])-SUM(ERP_8[[#This Row],[AP01 LE2]:[AP07 LE2]])</calculatedColumnFormula>
    </tableColumn>
    <tableColumn id="55" xr3:uid="{8C6C51DF-ED28-4815-96BF-CA438E192E1F}" name="Giveback" dataDxfId="624"/>
    <tableColumn id="54" xr3:uid="{2F35014A-CCAA-40DB-8C18-B890EB52128D}" name="Other Allocation" dataDxfId="623">
      <calculatedColumnFormula>ERP_8[[#This Row],[2026 Working Total to Budget/LE]]-ERP_8[[#This Row],[Giveback]]</calculatedColumnFormula>
    </tableColumn>
    <tableColumn id="25" xr3:uid="{4E43BD20-B5CD-4011-A6D1-C6A07B751A3E}" name="Giveback Comments" dataDxfId="622"/>
    <tableColumn id="67" xr3:uid="{D1760C01-25A7-4323-A8C8-C78EBB09B176}" name="AP01 LE2" dataDxfId="621"/>
    <tableColumn id="66" xr3:uid="{E1912ED4-F837-45DF-9DAE-AF0596ABCB17}" name="AP02 LE2" dataDxfId="620"/>
    <tableColumn id="65" xr3:uid="{B276E529-E6AC-4AA2-BAC3-C3C9AF5B06D7}" name="AP03 LE2" dataDxfId="619"/>
    <tableColumn id="64" xr3:uid="{46BCB935-1619-4C44-82C3-50FBC2C16940}" name="AP04 LE2" dataDxfId="618"/>
    <tableColumn id="63" xr3:uid="{DC16F1BD-55E6-4BF4-B19D-8677B48B5AF8}" name="AP05 LE2" dataDxfId="617"/>
    <tableColumn id="62" xr3:uid="{E3F38250-3458-4B76-AA39-7D91B2C6B192}" name="AP06 LE2" dataDxfId="616"/>
    <tableColumn id="61" xr3:uid="{B2C992B4-C9BE-44EF-A5F8-A21472A6FD01}" name="AP07 LE2" dataDxfId="615"/>
    <tableColumn id="60" xr3:uid="{9EF1B35D-B893-4E48-9EE1-F33A9A473B43}" name="AP08 LE2" dataDxfId="614"/>
    <tableColumn id="59" xr3:uid="{54D7E1EB-1F1E-4E7F-9B68-49BB7C2B0EE8}" name="AP09 LE2" dataDxfId="613"/>
    <tableColumn id="58" xr3:uid="{E89E7AAE-AECE-4D89-9F97-D9BCC0D18724}" name="AP10 LE2" dataDxfId="612"/>
    <tableColumn id="57" xr3:uid="{09A77AEB-E63A-4A26-BE83-E30A56A4BE10}" name="AP11 LE2" dataDxfId="611"/>
    <tableColumn id="56" xr3:uid="{BFD7DBB7-002F-47C1-A430-48E6751F7FD2}" name="AP12 LE2" dataDxfId="610"/>
    <tableColumn id="24" xr3:uid="{D20E7911-CE48-4B0E-BC95-C1087C245F25}" name="2026 LE2 Working Total" dataDxfId="609"/>
    <tableColumn id="40" xr3:uid="{2A23BCAF-D61A-4E44-A7BB-E03BE974052D}" name="2026 AP01" dataDxfId="608"/>
    <tableColumn id="41" xr3:uid="{CD0D5AF6-5E58-41E0-B1F6-15A0E788B057}" name="2026 AP02" dataDxfId="607"/>
    <tableColumn id="42" xr3:uid="{D5C33DB2-A898-4D4A-A419-9D69E6F6BC21}" name="2026 AP03" dataDxfId="606"/>
    <tableColumn id="43" xr3:uid="{9F67B098-E4CF-48EA-BF7F-E299DE2819BF}" name="2026 AP04" dataDxfId="605"/>
    <tableColumn id="44" xr3:uid="{ED424C36-1049-4CF4-9417-09B832FB1A9B}" name="2026 AP05" dataDxfId="604"/>
    <tableColumn id="45" xr3:uid="{B652AD57-6FAD-4C99-A399-9C47FF7F4605}" name="2026 AP06" dataDxfId="603"/>
    <tableColumn id="46" xr3:uid="{EEE63A29-B424-4B07-8BDF-94F3CA71D484}" name="2026 AP07" dataDxfId="602"/>
    <tableColumn id="47" xr3:uid="{9F793EDF-0FDD-4555-9D7E-8BF0F7CFCE61}" name="2026 AP08" dataDxfId="601"/>
    <tableColumn id="48" xr3:uid="{94AF5281-122F-4D13-8CD2-345158D51159}" name="2026 AP09" dataDxfId="600"/>
    <tableColumn id="49" xr3:uid="{D5E099C1-ABB4-4CC9-8616-0BCF636B1B24}" name="2026 AP10" dataDxfId="599"/>
    <tableColumn id="50" xr3:uid="{3FC62DA7-3F87-4B40-8E74-FBE7F51AF3B1}" name="2026 AP11" dataDxfId="598"/>
    <tableColumn id="51" xr3:uid="{9BAA40EB-9EBB-4FA0-A797-32654D1DA582}" name="2026 AP12" dataDxfId="597"/>
    <tableColumn id="52" xr3:uid="{6557FAB3-20E2-4F0B-895B-5A4F4CA571A6}" name="2026 LE0 Submission" dataDxfId="596"/>
  </tableColumns>
  <tableStyleInfo name="Table Style 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032B7-2C6C-4BD8-AB52-048E9BAA5C8B}" name="ERP" displayName="ERP" ref="A7:BO696" totalsRowShown="0" headerRowDxfId="581" dataDxfId="580" headerRowBorderDxfId="578" tableBorderDxfId="579">
  <autoFilter ref="A7:BO696" xr:uid="{CBE032B7-2C6C-4BD8-AB52-048E9BAA5C8B}"/>
  <tableColumns count="67">
    <tableColumn id="27" xr3:uid="{F8056285-5FEB-479B-B067-F8184F74B9CF}" name="UID" dataDxfId="577"/>
    <tableColumn id="26" xr3:uid="{D28F1E0F-83E8-4A8E-A014-12593D797EFF}" name="Match" dataDxfId="576"/>
    <tableColumn id="1" xr3:uid="{1D3E887E-40E3-46F8-8E6F-8A2F6EE6226E}" name="CCL3" dataDxfId="575"/>
    <tableColumn id="2" xr3:uid="{E528B0D7-8719-41F8-8D46-7D41CACE56F1}" name="LT Member*" dataDxfId="574"/>
    <tableColumn id="3" xr3:uid="{E4CB9315-7ED4-4C0C-AAA7-358766695D0A}" name="LT Member -1*" dataDxfId="573"/>
    <tableColumn id="28" xr3:uid="{FB5F13E7-0047-401F-B56A-A56D877B0D16}" name="Point of Contact" dataDxfId="572"/>
    <tableColumn id="5" xr3:uid="{798B8938-F469-4157-BF97-D76B7DDF2E9E}" name="Expense Category" dataDxfId="571"/>
    <tableColumn id="7" xr3:uid="{669A7679-7B40-4940-A3F8-451D8DAA5A44}" name="Description*" dataDxfId="570"/>
    <tableColumn id="4" xr3:uid="{06826619-53C3-4FF9-8F45-6C4AB6617210}" name="Vendor*" dataDxfId="569"/>
    <tableColumn id="29" xr3:uid="{169AB12C-1255-4FE4-9593-245D24B098B7}" name="Cost Center*" dataDxfId="568"/>
    <tableColumn id="6" xr3:uid="{82C3CC6E-D281-4E28-A2AD-0310E0C80844}" name="Project Code*" dataDxfId="567"/>
    <tableColumn id="39" xr3:uid="{D3E7203B-7DE2-4DE3-B3CB-2D051EB35302}" name="Prior Year PO" dataDxfId="566"/>
    <tableColumn id="38" xr3:uid="{288715E3-3D9A-4FE2-9BA0-AF71A7AC04D5}" name="2026  Purchase Order" dataDxfId="565"/>
    <tableColumn id="37" xr3:uid="{44FBCD4B-2BC4-439E-9C91-EC29DBE1660B}" name="Pullforward" dataDxfId="564"/>
    <tableColumn id="36" xr3:uid="{55A5A27E-745E-4F62-8783-4B4385C80EF2}" name="Grouping" dataDxfId="563"/>
    <tableColumn id="35" xr3:uid="{C5A65C73-F411-4086-9F10-16643969983A}" name="2026 Budget Comment" dataDxfId="562"/>
    <tableColumn id="34" xr3:uid="{1A54FF18-8117-4F03-A59E-577A568310D7}" name="2026 Transfers" dataDxfId="561"/>
    <tableColumn id="33" xr3:uid="{DFDC9545-B76E-447D-8E16-A4CCBC21A76B}" name="2026 LE0" dataDxfId="560" dataCellStyle="Comma"/>
    <tableColumn id="32" xr3:uid="{F5F05BE8-3B64-4B63-8553-B7EE82BD0E1F}" name="LE2 Final Submission" dataDxfId="559" dataCellStyle="Comma"/>
    <tableColumn id="31" xr3:uid="{93861DB4-E535-41CD-B560-BF1FABBF0690}" name="LE3 Final Submission" dataDxfId="558"/>
    <tableColumn id="30" xr3:uid="{2CC65672-DC19-4107-996C-920ECBA16AA8}" name="LE4 Final Submission" dataDxfId="557"/>
    <tableColumn id="12" xr3:uid="{2768195D-5F44-4B23-BA98-A7E22FBA6C6C}" name="AP01" dataDxfId="556"/>
    <tableColumn id="13" xr3:uid="{2B69410E-408B-49C9-A129-B9243B4D8A97}" name="AP02" dataDxfId="555"/>
    <tableColumn id="14" xr3:uid="{782B6F8F-F867-45E2-8421-B7D5E5135C6F}" name="AP03" dataDxfId="554"/>
    <tableColumn id="15" xr3:uid="{61988DA1-959F-48E2-8D41-D1A4BF6F738E}" name="AP04" dataDxfId="553" dataCellStyle="Comma"/>
    <tableColumn id="16" xr3:uid="{B2A3A2AA-FE02-4337-90F5-21CB7D9E0BAE}" name="AP05" dataDxfId="552"/>
    <tableColumn id="17" xr3:uid="{DE229F00-B02E-41EE-AAE7-86E2F2A06AA7}" name="AP06" dataDxfId="551"/>
    <tableColumn id="18" xr3:uid="{0CA99C15-3009-4500-A590-F7C2B29583B7}" name="AP07" dataDxfId="550"/>
    <tableColumn id="19" xr3:uid="{EEBEE9EC-3AF3-420C-A271-AD98A3C9A1FD}" name="AP08" dataDxfId="549"/>
    <tableColumn id="20" xr3:uid="{D6B9FFCE-1693-4D4C-8C3A-B50CB041E6BB}" name="AP09" dataDxfId="548"/>
    <tableColumn id="21" xr3:uid="{20515761-54AF-49D7-8BB9-AC155CDEB160}" name="AP10" dataDxfId="547"/>
    <tableColumn id="22" xr3:uid="{F962C259-FAD1-40A4-933F-023ED02CD4FA}" name="AP11" dataDxfId="546"/>
    <tableColumn id="23" xr3:uid="{21D19474-2BE1-4E63-86A7-B61FC08A1BF5}" name="AP12" dataDxfId="545"/>
    <tableColumn id="11" xr3:uid="{BA18AFD1-4187-43D8-BE91-5EAB64E0E8EB}" name="2026 Working Total" dataDxfId="544">
      <calculatedColumnFormula>SUM(V8:AG8)</calculatedColumnFormula>
    </tableColumn>
    <tableColumn id="10" xr3:uid="{0F830BA3-B4E2-4F6A-8C29-323605E0DEDC}" name="2026 Working Total to Budget/LE" dataDxfId="543">
      <calculatedColumnFormula>ERP[[#This Row],[2026 Working Total]]-ERP[[#This Row],[LE2 Final Submission]]</calculatedColumnFormula>
    </tableColumn>
    <tableColumn id="9" xr3:uid="{A3403F48-B3FC-45A5-9FD8-4B4B2BF5EAC0}" name="Latest AP Snapshot" dataDxfId="542"/>
    <tableColumn id="53" xr3:uid="{2466FED2-69DB-4BB4-9550-EA5DE0A3FB79}" name="Latest AP Variance to Snapshot" dataDxfId="541">
      <calculatedColumnFormula>$AA8 - $AJ8</calculatedColumnFormula>
    </tableColumn>
    <tableColumn id="8" xr3:uid="{4443DD79-28F7-4A35-8216-F53FD4AA6ECC}" name="YTD Act to Bud/LE" dataDxfId="540" dataCellStyle="Comma">
      <calculatedColumnFormula>SUM(ERP[[#This Row],[AP01]:[AP06]])-SUM(ERP[[#This Row],[AP01 LE2]:[AP06 LE2]])</calculatedColumnFormula>
    </tableColumn>
    <tableColumn id="55" xr3:uid="{20ADA8BB-2718-470F-9D23-91103E0F09AC}" name="Giveback" dataDxfId="539"/>
    <tableColumn id="54" xr3:uid="{3C37C424-51D8-4D16-9B74-B5D3D3F2D024}" name="Other Allocation" dataDxfId="538">
      <calculatedColumnFormula>ERP[[#This Row],[2026 Working Total to Budget/LE]]-ERP[[#This Row],[Giveback]]</calculatedColumnFormula>
    </tableColumn>
    <tableColumn id="25" xr3:uid="{D263121D-77A7-47AA-87F7-30EE93D99782}" name="Giveback Comments" dataDxfId="537"/>
    <tableColumn id="67" xr3:uid="{E707AC0C-BE3D-4161-81F1-5B54847FD47C}" name="AP01 LE2" dataDxfId="536"/>
    <tableColumn id="66" xr3:uid="{728B901A-83F0-4B10-9691-F84C1032A911}" name="AP02 LE2" dataDxfId="535"/>
    <tableColumn id="65" xr3:uid="{C3961F54-A966-443B-AC32-DDEF4B758EA3}" name="AP03 LE2" dataDxfId="534"/>
    <tableColumn id="64" xr3:uid="{0810CF93-66B6-4CF1-B4DC-133E11367875}" name="AP04 LE2" dataDxfId="533"/>
    <tableColumn id="63" xr3:uid="{3AB166F2-1F6C-4149-A517-47BF2384EAD6}" name="AP05 LE2" dataDxfId="532"/>
    <tableColumn id="62" xr3:uid="{A67C0036-97AE-4CC6-B605-804A7AC9F077}" name="AP06 LE2" dataDxfId="531"/>
    <tableColumn id="61" xr3:uid="{202934DC-FEC3-4F74-AED4-5E8541EEE374}" name="AP07 LE2" dataDxfId="530"/>
    <tableColumn id="60" xr3:uid="{2747E080-CBBA-4067-90CC-93D2745387A6}" name="AP08 LE2" dataDxfId="529"/>
    <tableColumn id="59" xr3:uid="{92FAE597-938D-4FB5-B2D9-57ECBCDD5E01}" name="AP09 LE2" dataDxfId="528"/>
    <tableColumn id="58" xr3:uid="{AFB1CF7E-ED0B-47D9-B117-ADDC53851A26}" name="AP10 LE2" dataDxfId="527"/>
    <tableColumn id="57" xr3:uid="{2DF4EBE6-D32F-4129-A363-76D0CEBC42D6}" name="AP11 LE2" dataDxfId="526"/>
    <tableColumn id="56" xr3:uid="{7C51EEEA-839D-4ED9-978F-A13F474D8C3B}" name="AP12 LE2" dataDxfId="525"/>
    <tableColumn id="24" xr3:uid="{2B2EC372-F711-4F0A-8A09-F96EA228E47D}" name="2026 LE2 Working Total" dataDxfId="524"/>
    <tableColumn id="40" xr3:uid="{48985F7E-1083-4D32-AFB7-C2A82356F4A6}" name="2026 AP01" dataDxfId="523"/>
    <tableColumn id="41" xr3:uid="{5B83B9EF-B478-4180-9BB6-7CAC2A415A5C}" name="2026 AP02" dataDxfId="522"/>
    <tableColumn id="42" xr3:uid="{46B61CE1-3396-445A-B522-03A661B76545}" name="2026 AP03" dataDxfId="521"/>
    <tableColumn id="43" xr3:uid="{F3105842-D36D-41F2-8498-72BF9CE03919}" name="2026 AP04" dataDxfId="520"/>
    <tableColumn id="44" xr3:uid="{E109AF2E-CE68-47FA-AFE1-D6A6F8C22EDD}" name="2026 AP05" dataDxfId="519"/>
    <tableColumn id="45" xr3:uid="{4BE6678C-ACA8-47DB-9C6B-3E5487819F0D}" name="2026 AP06" dataDxfId="518"/>
    <tableColumn id="46" xr3:uid="{4EB92397-28C7-41EF-9F9B-C4C024A082FF}" name="2026 AP07" dataDxfId="517"/>
    <tableColumn id="47" xr3:uid="{C0CA2FFD-ACAA-485D-A5FA-18803B8C3913}" name="2026 AP08" dataDxfId="516"/>
    <tableColumn id="48" xr3:uid="{C3308350-5FE4-44FF-AF8C-5A10880B1814}" name="2026 AP09" dataDxfId="515"/>
    <tableColumn id="49" xr3:uid="{90DBE0B3-D37D-4F56-92CE-F196EECB4A17}" name="2026 AP10" dataDxfId="514"/>
    <tableColumn id="50" xr3:uid="{31AE05F3-49BD-41A2-9FD7-BEF6530CB302}" name="2026 AP11" dataDxfId="513"/>
    <tableColumn id="51" xr3:uid="{A54D3D5C-BC0C-490B-8CD4-6A3FADEC199A}" name="2026 AP12" dataDxfId="512"/>
    <tableColumn id="52" xr3:uid="{97749832-E771-4879-990E-9ACDADD61EA2}" name="2026 LE0 Submission" dataDxfId="511"/>
  </tableColumns>
  <tableStyleInfo name="Table Style 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67B534-718F-4763-B64C-CA84A0DB1F96}" name="ERP_27" displayName="ERP_27" ref="A7:BT592" totalsRowShown="0" headerRowDxfId="500" dataDxfId="499" headerRowBorderDxfId="497" tableBorderDxfId="498">
  <autoFilter ref="A7:BT592" xr:uid="{CBE032B7-2C6C-4BD8-AB52-048E9BAA5C8B}">
    <filterColumn colId="6">
      <filters>
        <filter val="Hase, Raj"/>
        <filter val="Hovanyetz, Mike"/>
      </filters>
    </filterColumn>
    <filterColumn colId="9">
      <filters>
        <filter val="Vaidya, Sachin"/>
      </filters>
    </filterColumn>
    <filterColumn colId="11">
      <filters>
        <filter val="CONTRACTORS"/>
        <filter val="DEPRECIATION"/>
        <filter val="MANAGED SERVICES"/>
        <filter val="OTHER"/>
        <filter val="SOFTWARE"/>
      </filters>
    </filterColumn>
  </autoFilter>
  <sortState xmlns:xlrd2="http://schemas.microsoft.com/office/spreadsheetml/2017/richdata2" ref="A8:BT592">
    <sortCondition descending="1" sortBy="cellColor" ref="B8:B592" dxfId="496"/>
    <sortCondition ref="B8:B592"/>
  </sortState>
  <tableColumns count="72">
    <tableColumn id="27" xr3:uid="{440E0DA1-8AC4-40C1-9D26-4E85DE5804AB}" name="UID" dataDxfId="495"/>
    <tableColumn id="72" xr3:uid="{A579A6F3-0D46-4315-9F9E-9760F95FE59C}" name="Duplicate Disposition" dataDxfId="494"/>
    <tableColumn id="68" xr3:uid="{FDEECC0F-B610-4D63-90E6-ADDE8C33F5A2}" name="Match" dataDxfId="493"/>
    <tableColumn id="26" xr3:uid="{55C7F8EB-06B2-4CF5-B73E-6194D964A3C8}" name="Previous Match" dataDxfId="492"/>
    <tableColumn id="1" xr3:uid="{6661523A-EBA8-4B83-8F6B-B43E6AE464FC}" name="CCL3" dataDxfId="491"/>
    <tableColumn id="69" xr3:uid="{036FC5D5-7638-4684-9C0A-EC1EF4A2CE8E}" name="LT Apurva" dataDxfId="490"/>
    <tableColumn id="70" xr3:uid="{AE75AE34-76FE-477D-9202-BD2D99EF1FEA}" name="LT1 Apurva " dataDxfId="489"/>
    <tableColumn id="71" xr3:uid="{4205286D-0512-4013-A588-9FB3751B6EFF}" name="LT2Apurva" dataDxfId="488"/>
    <tableColumn id="2" xr3:uid="{B5B8EFE1-1475-4972-9767-5E5E87C760CF}" name="LT Member*" dataDxfId="487"/>
    <tableColumn id="3" xr3:uid="{9418C5EB-347E-43A1-9998-FFE0787267F0}" name="LT Member -1*" dataDxfId="486"/>
    <tableColumn id="28" xr3:uid="{30D44E91-463C-42DF-892F-D1262BF6C447}" name="Point of Contact" dataDxfId="485"/>
    <tableColumn id="5" xr3:uid="{D5E7F28D-7F97-4C81-911E-C6135EAEC1E9}" name="Expense Category" dataDxfId="484"/>
    <tableColumn id="7" xr3:uid="{4F4C1D41-711D-47C5-95B0-4F385ABE9F62}" name="Description*" dataDxfId="483"/>
    <tableColumn id="4" xr3:uid="{3A978832-19C4-4339-A3BC-D59C52BD2859}" name="Vendor*" dataDxfId="482"/>
    <tableColumn id="29" xr3:uid="{DF911F65-DB93-41BB-9174-B7A338C82060}" name="Cost Center*" dataDxfId="481"/>
    <tableColumn id="6" xr3:uid="{2F68AFF4-CF33-4257-BEEB-A9AC9DAF96EA}" name="Project Code*" dataDxfId="480"/>
    <tableColumn id="39" xr3:uid="{096C645A-471A-42E5-92AC-2D52D0A3ABC8}" name="Prior Year PO" dataDxfId="479"/>
    <tableColumn id="38" xr3:uid="{27A2CFA7-3835-4087-A066-AAA21EBFC94C}" name="2026  Purchase Order" dataDxfId="478"/>
    <tableColumn id="37" xr3:uid="{C1105B66-89B0-48A1-B7A9-7FF2ED97C90B}" name="Pullforward" dataDxfId="477"/>
    <tableColumn id="36" xr3:uid="{9BB6805E-A79E-4557-B02C-66A3E049B148}" name="Grouping" dataDxfId="476"/>
    <tableColumn id="35" xr3:uid="{DD395BEF-2E64-4E23-9DD5-763E94BCCA1F}" name="2026 Budget Comment" dataDxfId="475"/>
    <tableColumn id="34" xr3:uid="{B2BC9A22-73DA-4404-88CB-BD2D6D02E5F3}" name="2026 Transfers" dataDxfId="474" dataCellStyle="Comma"/>
    <tableColumn id="33" xr3:uid="{AAF405A9-688A-4CEB-9217-DFE34E022EFF}" name="2026 LE0" dataDxfId="473" dataCellStyle="Comma"/>
    <tableColumn id="32" xr3:uid="{04C57F2B-C50C-4159-A93D-99F724A3C7C3}" name="LE2 Final Submission" dataDxfId="472" dataCellStyle="Comma"/>
    <tableColumn id="31" xr3:uid="{E3C486BB-366E-4746-BAA7-1F87C507CAA7}" name="LE3 Final Submission" dataDxfId="471" dataCellStyle="Comma"/>
    <tableColumn id="30" xr3:uid="{5836EF4E-463D-4DAE-873C-E1E71F165807}" name="LE4 Final Submission" dataDxfId="470" dataCellStyle="Comma"/>
    <tableColumn id="12" xr3:uid="{7E9C54EE-A5B3-492E-BC38-20EB0B88D44B}" name="AP01" dataDxfId="469" dataCellStyle="Comma"/>
    <tableColumn id="13" xr3:uid="{974351A5-BD5D-4273-95D1-DB7B56DEA47D}" name="AP02" dataDxfId="468" dataCellStyle="Comma"/>
    <tableColumn id="14" xr3:uid="{C953A671-C105-4691-9209-E9415873D9DF}" name="AP03" dataDxfId="467" dataCellStyle="Comma"/>
    <tableColumn id="15" xr3:uid="{115D9C16-DFA7-42DD-8A96-FF4A55B230F6}" name="AP04" dataDxfId="466" dataCellStyle="Comma"/>
    <tableColumn id="16" xr3:uid="{5D8B5C57-E0B8-4892-8657-653158446551}" name="AP05" dataDxfId="465" dataCellStyle="Comma"/>
    <tableColumn id="17" xr3:uid="{A2D8302D-1AD3-4460-9677-1D36AB736334}" name="AP06" dataDxfId="464" dataCellStyle="Comma"/>
    <tableColumn id="18" xr3:uid="{AB837DD4-5F20-41C0-8FF7-91936C523423}" name="AP07" dataDxfId="463" dataCellStyle="Comma"/>
    <tableColumn id="19" xr3:uid="{78C71166-4CFC-493B-96A3-4408E103F50C}" name="AP08" dataDxfId="462" dataCellStyle="Comma"/>
    <tableColumn id="20" xr3:uid="{537CBBDF-5F73-4FF3-A505-267C788112A9}" name="AP09" dataDxfId="461" dataCellStyle="Comma"/>
    <tableColumn id="21" xr3:uid="{492D0909-D8B9-4EE3-B23D-2937E1A68257}" name="AP10" dataDxfId="460" dataCellStyle="Comma"/>
    <tableColumn id="22" xr3:uid="{5C0CB9DA-A841-4E74-B327-A7F80DCDF61F}" name="AP11" dataDxfId="459" dataCellStyle="Comma"/>
    <tableColumn id="23" xr3:uid="{26BDD2C9-0811-42B6-948F-81CC5E802270}" name="AP12" dataDxfId="458" dataCellStyle="Comma"/>
    <tableColumn id="11" xr3:uid="{9F616608-6F1F-49B4-9086-5974FB6934AE}" name="2026 Working Total" dataDxfId="457" dataCellStyle="Comma">
      <calculatedColumnFormula>SUM(AA8:AL8)</calculatedColumnFormula>
    </tableColumn>
    <tableColumn id="10" xr3:uid="{7DD7A43A-C381-4488-985B-06F668A02ED0}" name="2026 Working Total to Budget/LE" dataDxfId="456" dataCellStyle="Comma">
      <calculatedColumnFormula>ERP_27[[#This Row],[2026 Working Total]]-ERP_27[[#This Row],[LE2 Final Submission]]</calculatedColumnFormula>
    </tableColumn>
    <tableColumn id="9" xr3:uid="{43BF8387-8D61-4E6D-A0FA-E0A8A567A99C}" name="Latest AP Snapshot" dataDxfId="455" dataCellStyle="Comma"/>
    <tableColumn id="53" xr3:uid="{D34E61ED-A560-4EE2-A56B-0E6243B82582}" name="Latest AP Variance to Snapshot" dataDxfId="454" dataCellStyle="Comma">
      <calculatedColumnFormula>$AF8 - $AO8</calculatedColumnFormula>
    </tableColumn>
    <tableColumn id="8" xr3:uid="{5CCD37CF-01F7-461C-ABDC-733FFA9C3471}" name="YTD Act to Bud/LE" dataDxfId="453" dataCellStyle="Comma">
      <calculatedColumnFormula>SUM(ERP_27[[#This Row],[AP01]:[AP06]])-SUM(ERP_27[[#This Row],[AP01 LE2]:[AP06 LE2]])</calculatedColumnFormula>
    </tableColumn>
    <tableColumn id="55" xr3:uid="{8801A7D5-9FAC-441F-BA13-5A2C9ABCDB25}" name="Giveback" dataDxfId="452" dataCellStyle="Comma"/>
    <tableColumn id="54" xr3:uid="{3F37B5BC-E201-483F-AE67-89F9BCDEEA5D}" name="Other Allocation" dataDxfId="451" dataCellStyle="Comma">
      <calculatedColumnFormula>ERP_27[[#This Row],[2026 Working Total to Budget/LE]]-ERP_27[[#This Row],[Giveback]]</calculatedColumnFormula>
    </tableColumn>
    <tableColumn id="25" xr3:uid="{35BF1C77-87A2-498E-A93E-A491363C8BBF}" name="Giveback Comments" dataDxfId="450" dataCellStyle="Comma"/>
    <tableColumn id="67" xr3:uid="{52A9A79B-03B6-478F-A6B3-A58173E0E906}" name="AP01 LE2" dataDxfId="449" dataCellStyle="Comma"/>
    <tableColumn id="66" xr3:uid="{5F7C4F17-C128-4D26-8DBE-09F66EE6ADD7}" name="AP02 LE2" dataDxfId="448" dataCellStyle="Comma"/>
    <tableColumn id="65" xr3:uid="{048F51F3-7265-4BE9-BD5F-B884FD74A06C}" name="AP03 LE2" dataDxfId="447" dataCellStyle="Comma"/>
    <tableColumn id="64" xr3:uid="{FB5C3208-7D07-4E54-8E33-FBB3AB919942}" name="AP04 LE2" dataDxfId="446" dataCellStyle="Comma"/>
    <tableColumn id="63" xr3:uid="{8E34063B-F069-47FB-A146-CBEE0A52A29A}" name="AP05 LE2" dataDxfId="445" dataCellStyle="Comma"/>
    <tableColumn id="62" xr3:uid="{D354B68A-804D-4C79-90C8-A5B59F99D096}" name="AP06 LE2" dataDxfId="444" dataCellStyle="Comma"/>
    <tableColumn id="61" xr3:uid="{C2378715-8492-4C45-A210-033245985C48}" name="AP07 LE2" dataDxfId="443" dataCellStyle="Comma"/>
    <tableColumn id="60" xr3:uid="{F3E4D29F-54DC-45B7-B67D-7172D641B91D}" name="AP08 LE2" dataDxfId="442" dataCellStyle="Comma"/>
    <tableColumn id="59" xr3:uid="{70DA627A-0836-49E3-9871-D90A004CF588}" name="AP09 LE2" dataDxfId="441" dataCellStyle="Comma"/>
    <tableColumn id="58" xr3:uid="{6EE06D3A-A36B-4848-919A-8078506DFE02}" name="AP10 LE2" dataDxfId="440" dataCellStyle="Comma"/>
    <tableColumn id="57" xr3:uid="{4F58EA6F-D2C6-47DE-B06D-00961399DF37}" name="AP11 LE2" dataDxfId="439" dataCellStyle="Comma"/>
    <tableColumn id="56" xr3:uid="{AFCEC994-64EE-497C-8A0D-2680D9565FCA}" name="AP12 LE2" dataDxfId="438" dataCellStyle="Comma"/>
    <tableColumn id="24" xr3:uid="{D09A6E47-D8BB-469D-A3EF-BC68A194616B}" name="2026 LE2 Working Total" dataDxfId="437" dataCellStyle="Comma"/>
    <tableColumn id="40" xr3:uid="{C48C6823-7BA8-45AF-8DE9-448711F10409}" name="2026 AP01" dataDxfId="436" dataCellStyle="Comma"/>
    <tableColumn id="41" xr3:uid="{E9368D7C-2AF0-472C-84D7-B007515550E4}" name="2026 AP02" dataDxfId="435" dataCellStyle="Comma"/>
    <tableColumn id="42" xr3:uid="{F9AF7582-EFC5-43CC-971A-D345648A4C05}" name="2026 AP03" dataDxfId="434" dataCellStyle="Comma"/>
    <tableColumn id="43" xr3:uid="{FC1CF656-91C4-456E-96F6-0B9B9DAF52CD}" name="2026 AP04" dataDxfId="433" dataCellStyle="Comma"/>
    <tableColumn id="44" xr3:uid="{F93B6B29-041F-4A7A-9EEA-E1BE5F37F638}" name="2026 AP05" dataDxfId="432" dataCellStyle="Comma"/>
    <tableColumn id="45" xr3:uid="{32D76A41-D631-4B22-9610-805785995CC9}" name="2026 AP06" dataDxfId="431" dataCellStyle="Comma"/>
    <tableColumn id="46" xr3:uid="{BE99DFB4-DF24-4D40-BC9A-1EE2B1078E73}" name="2026 AP07" dataDxfId="430" dataCellStyle="Comma"/>
    <tableColumn id="47" xr3:uid="{02DDF985-2A20-4962-999B-25960D80BB9C}" name="2026 AP08" dataDxfId="429" dataCellStyle="Comma"/>
    <tableColumn id="48" xr3:uid="{CD0F246B-F8DD-480D-983B-F67BABEEF59C}" name="2026 AP09" dataDxfId="428" dataCellStyle="Comma"/>
    <tableColumn id="49" xr3:uid="{68D11CF9-4C2F-4A96-9AD5-05B189B2EE73}" name="2026 AP10" dataDxfId="427" dataCellStyle="Comma"/>
    <tableColumn id="50" xr3:uid="{3594188A-0C1F-4023-BF04-12BCFA9239C1}" name="2026 AP11" dataDxfId="426" dataCellStyle="Comma"/>
    <tableColumn id="51" xr3:uid="{F70D7629-F3CB-4A32-826C-E0D5BF9E62C4}" name="2026 AP12" dataDxfId="425" dataCellStyle="Comma"/>
    <tableColumn id="52" xr3:uid="{71E222E4-BF2F-4118-98FF-1D18E509BCD5}" name="2026 LE0 Submission" dataDxfId="424" dataCellStyle="Comma"/>
  </tableColumns>
  <tableStyleInfo name="Table Style 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16F5EB-AFAC-4742-9E86-04155D2394F4}" name="ERP_5" displayName="ERP_5" ref="A7:BO688" totalsRowShown="0" headerRowDxfId="415" dataDxfId="414" headerRowBorderDxfId="412" tableBorderDxfId="413">
  <autoFilter ref="A7:BO688" xr:uid="{CBE032B7-2C6C-4BD8-AB52-048E9BAA5C8B}"/>
  <tableColumns count="67">
    <tableColumn id="27" xr3:uid="{02C5E60E-D3F2-4F5C-8BF7-14F7FFA671DD}" name="UID" dataDxfId="411"/>
    <tableColumn id="26" xr3:uid="{0971A28F-F6A9-42B8-BA4A-3D69310861D4}" name="Match" dataDxfId="410"/>
    <tableColumn id="1" xr3:uid="{113F66F7-4BFE-40C0-9875-920DDB874724}" name="CCL3" dataDxfId="409"/>
    <tableColumn id="2" xr3:uid="{3F6F1B9A-ADA8-4727-9F8F-0DA2EBB277D8}" name="LT Member*" dataDxfId="408"/>
    <tableColumn id="3" xr3:uid="{7C397979-52DD-40ED-8CF7-5049E7D6D48E}" name="LT Member -1*" dataDxfId="407"/>
    <tableColumn id="28" xr3:uid="{7ADAFDE7-E917-49BB-AF20-C6B409F1B58E}" name="Point of Contact" dataDxfId="406"/>
    <tableColumn id="5" xr3:uid="{954B7792-FBF9-44CC-A9B0-2D1B26EC404A}" name="Expense Category" dataDxfId="405"/>
    <tableColumn id="7" xr3:uid="{4987DE9D-4C20-4DEF-9513-8716F76E79CD}" name="Description*" dataDxfId="404"/>
    <tableColumn id="4" xr3:uid="{12E09646-DD35-4A7A-95B5-51713660A9A4}" name="Vendor*" dataDxfId="403"/>
    <tableColumn id="29" xr3:uid="{F8C1D781-9762-4592-AD97-2420D69C43AC}" name="Cost Center*" dataDxfId="402"/>
    <tableColumn id="6" xr3:uid="{99EAC979-C0E3-4788-AA3B-6E0BE8556E91}" name="Project Code*" dataDxfId="401"/>
    <tableColumn id="39" xr3:uid="{6C2700CD-2FDC-4815-BF06-97200BF4FB99}" name="Prior Year PO" dataDxfId="400"/>
    <tableColumn id="38" xr3:uid="{85DF08DD-E07D-4C68-8515-D496D44C768E}" name="2026  Purchase Order" dataDxfId="399"/>
    <tableColumn id="37" xr3:uid="{3AE2C58B-C3DF-40C8-8CAD-8878AE4EDEF2}" name="Pullforward" dataDxfId="398"/>
    <tableColumn id="36" xr3:uid="{DA48CAE1-FF7D-45A2-89F5-5F7C88EC3801}" name="Grouping" dataDxfId="397"/>
    <tableColumn id="35" xr3:uid="{5638D58D-66D3-463C-9E0A-5F677C19B2B2}" name="2026 Budget Comment" dataDxfId="396"/>
    <tableColumn id="34" xr3:uid="{D8054909-C7D0-4672-AED0-9FE265CB50E4}" name="2026 Transfers" dataDxfId="395"/>
    <tableColumn id="33" xr3:uid="{E610F074-BDC6-4FD6-89F9-21F7C7066531}" name="2026 LE0" dataDxfId="394" dataCellStyle="Comma"/>
    <tableColumn id="32" xr3:uid="{3F090621-4EFC-4C22-856E-72D368A03C3D}" name="LE2 Final Submission" dataDxfId="393" dataCellStyle="Comma"/>
    <tableColumn id="31" xr3:uid="{D6411A50-83EA-481D-8D38-A0A20D6A3BB3}" name="LE3 Final Submission" dataDxfId="392"/>
    <tableColumn id="30" xr3:uid="{6C44ADF7-F558-4532-A684-36D6B67028D5}" name="LE4 Final Submission" dataDxfId="391"/>
    <tableColumn id="12" xr3:uid="{B0E95AB1-5FA0-41A6-B11E-AED86D0FFAC7}" name="AP01" dataDxfId="390"/>
    <tableColumn id="13" xr3:uid="{C6A24C88-6BA3-4CF8-AD02-17D678CC6FEA}" name="AP02" dataDxfId="389"/>
    <tableColumn id="14" xr3:uid="{233B3473-3453-41E2-AE78-F66D3162B118}" name="AP03" dataDxfId="388"/>
    <tableColumn id="15" xr3:uid="{3C8655F8-5A7E-44A0-9B60-253BC068200A}" name="AP04" dataDxfId="387" dataCellStyle="Comma"/>
    <tableColumn id="16" xr3:uid="{6A8DFD34-A0C2-47B7-B0FC-87C3957CC6A4}" name="AP05" dataDxfId="386"/>
    <tableColumn id="17" xr3:uid="{59042572-6313-4D15-A190-FB5C10B80528}" name="AP06" dataDxfId="385"/>
    <tableColumn id="18" xr3:uid="{6D5C3B4B-CDF7-4CB3-9A91-4CDCE076E1E7}" name="AP07" dataDxfId="384"/>
    <tableColumn id="19" xr3:uid="{431877BE-A034-46DB-BEAC-63A37669130F}" name="AP08" dataDxfId="383"/>
    <tableColumn id="20" xr3:uid="{B22CE87C-C56E-4A3C-9A18-648C66483714}" name="AP09" dataDxfId="382"/>
    <tableColumn id="21" xr3:uid="{A5685364-9BAE-42E3-9784-D67AA875AC27}" name="AP10" dataDxfId="381"/>
    <tableColumn id="22" xr3:uid="{8DC4D2F7-4FDF-43DE-A00E-2370214BEBE8}" name="AP11" dataDxfId="380"/>
    <tableColumn id="23" xr3:uid="{4E8CD0B8-8FC2-465D-90DA-F8CDB5D1300A}" name="AP12" dataDxfId="379"/>
    <tableColumn id="11" xr3:uid="{F437D5B3-65D6-44A1-AADF-ABEED86159D8}" name="2026 Working Total" dataDxfId="378">
      <calculatedColumnFormula>SUM(V8:AG8)</calculatedColumnFormula>
    </tableColumn>
    <tableColumn id="10" xr3:uid="{6C0C1291-0AB2-4423-9AC0-57181DF27E42}" name="2026 Working Total to Budget/LE" dataDxfId="377">
      <calculatedColumnFormula>ERP_5[[#This Row],[2026 Working Total]]-ERP_5[[#This Row],[LE2 Final Submission]]</calculatedColumnFormula>
    </tableColumn>
    <tableColumn id="9" xr3:uid="{887A932B-C045-4ED5-815C-962F11D2528F}" name="Latest AP Snapshot" dataDxfId="376"/>
    <tableColumn id="53" xr3:uid="{9A84DFF7-A6F2-4DD9-9789-9AA8AB4E34D9}" name="Latest AP Variance to Snapshot" dataDxfId="375">
      <calculatedColumnFormula>$AA8 - $AJ8</calculatedColumnFormula>
    </tableColumn>
    <tableColumn id="8" xr3:uid="{037F5888-DD93-4E5A-B6FC-675219134E6D}" name="YTD Act to Bud/LE" dataDxfId="374" dataCellStyle="Comma">
      <calculatedColumnFormula>SUM(ERP_5[[#This Row],[AP01]:[AP06]])-SUM(ERP_5[[#This Row],[AP01 LE2]:[AP06 LE2]])</calculatedColumnFormula>
    </tableColumn>
    <tableColumn id="55" xr3:uid="{F39D0D18-F5B1-4E73-B51B-1E3BB24E9C5C}" name="Giveback" dataDxfId="373"/>
    <tableColumn id="54" xr3:uid="{B49107B0-BE04-4813-9584-67373FC32983}" name="Other Allocation" dataDxfId="372">
      <calculatedColumnFormula>ERP_5[[#This Row],[2026 Working Total to Budget/LE]]-ERP_5[[#This Row],[Giveback]]</calculatedColumnFormula>
    </tableColumn>
    <tableColumn id="25" xr3:uid="{F9B7133C-3F0B-4999-8C31-7F72613CB435}" name="Giveback Comments" dataDxfId="371"/>
    <tableColumn id="67" xr3:uid="{D77B806A-C35F-4286-82D2-CB5E636CB796}" name="AP01 LE2" dataDxfId="370"/>
    <tableColumn id="66" xr3:uid="{63DCFD20-8C7F-4CB9-8F26-0E9A4E666B4E}" name="AP02 LE2" dataDxfId="369"/>
    <tableColumn id="65" xr3:uid="{868CFE25-1E4B-4DB0-945B-D2BF6DDA808F}" name="AP03 LE2" dataDxfId="368"/>
    <tableColumn id="64" xr3:uid="{7E8624D5-C9D8-47C1-9834-C55331C26AC8}" name="AP04 LE2" dataDxfId="367"/>
    <tableColumn id="63" xr3:uid="{972A42EF-9406-44B8-8AF9-B9C18628ABEC}" name="AP05 LE2" dataDxfId="366"/>
    <tableColumn id="62" xr3:uid="{DE9F38A0-4110-459F-A5A5-7A3FC626317B}" name="AP06 LE2" dataDxfId="365"/>
    <tableColumn id="61" xr3:uid="{56EFABC3-E169-48EA-B398-84DDAF58EEF7}" name="AP07 LE2" dataDxfId="364"/>
    <tableColumn id="60" xr3:uid="{8996832C-119A-4A6C-B5AD-CBAF70455AB6}" name="AP08 LE2" dataDxfId="363"/>
    <tableColumn id="59" xr3:uid="{F3A00820-8078-45D6-BEF6-E80C16508D14}" name="AP09 LE2" dataDxfId="362"/>
    <tableColumn id="58" xr3:uid="{42FB29AB-5D24-42F8-B064-082E975C6AA6}" name="AP10 LE2" dataDxfId="361"/>
    <tableColumn id="57" xr3:uid="{19C6B4EA-0A76-4E71-9D7D-2CC5AA0B967F}" name="AP11 LE2" dataDxfId="360"/>
    <tableColumn id="56" xr3:uid="{3E7B5DCB-5900-464D-B3B1-129C74DC81C8}" name="AP12 LE2" dataDxfId="359"/>
    <tableColumn id="24" xr3:uid="{EF4284D8-436E-4E72-B36C-4E2927485CA9}" name="2026 LE2 Working Total" dataDxfId="358"/>
    <tableColumn id="40" xr3:uid="{37922E89-635D-498B-97FC-E87F92CA77CC}" name="2026 AP01" dataDxfId="357"/>
    <tableColumn id="41" xr3:uid="{55048BCA-8EF2-4D24-864E-86A3468FE4A7}" name="2026 AP02" dataDxfId="356"/>
    <tableColumn id="42" xr3:uid="{48F6E2F2-79DB-4FBD-8F90-86A83FC7842B}" name="2026 AP03" dataDxfId="355"/>
    <tableColumn id="43" xr3:uid="{C976C169-5553-4977-8DE6-3FA930DEB056}" name="2026 AP04" dataDxfId="354"/>
    <tableColumn id="44" xr3:uid="{E8FF5455-F6E8-4E00-A33C-A75C8481E5B9}" name="2026 AP05" dataDxfId="353"/>
    <tableColumn id="45" xr3:uid="{46AD9426-49F7-47FF-A1AC-936F7F5EDCF4}" name="2026 AP06" dataDxfId="352"/>
    <tableColumn id="46" xr3:uid="{9B773C1C-178A-416B-8EB8-32B909D91B5B}" name="2026 AP07" dataDxfId="351"/>
    <tableColumn id="47" xr3:uid="{EACD3D49-47E3-415E-9172-D9D40C5EF542}" name="2026 AP08" dataDxfId="350"/>
    <tableColumn id="48" xr3:uid="{6BC9083F-BB43-4F12-BE39-2EA1B921BC7F}" name="2026 AP09" dataDxfId="349"/>
    <tableColumn id="49" xr3:uid="{570E3B0A-F371-429C-BCCA-0D2AE0E13CA6}" name="2026 AP10" dataDxfId="348"/>
    <tableColumn id="50" xr3:uid="{E2F72804-BFF2-4B49-A249-C1053BDA76E8}" name="2026 AP11" dataDxfId="347"/>
    <tableColumn id="51" xr3:uid="{600B032E-A818-4CB2-9DB5-00EBA55F16C5}" name="2026 AP12" dataDxfId="346"/>
    <tableColumn id="52" xr3:uid="{33BFCC57-7B6D-4E57-BDB9-C69FE79A4060}" name="2026 LE0 Submission" dataDxfId="345"/>
  </tableColumns>
  <tableStyleInfo name="Table Style 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93B343-AAE2-4C62-B921-19691BB64B5A}" name="ERP_26" displayName="ERP_26" ref="A7:BT578" headerRowDxfId="333" dataDxfId="332" headerRowBorderDxfId="330" tableBorderDxfId="331">
  <autoFilter ref="A7:BT578" xr:uid="{CBE032B7-2C6C-4BD8-AB52-048E9BAA5C8B}"/>
  <sortState xmlns:xlrd2="http://schemas.microsoft.com/office/spreadsheetml/2017/richdata2" ref="A8:BT578">
    <sortCondition sortBy="cellColor" ref="C8:C578" dxfId="329"/>
  </sortState>
  <tableColumns count="72">
    <tableColumn id="27" xr3:uid="{8F36A14C-863E-44F1-A9E9-193A4A0861C4}" name="UID" totalsRowLabel="Total" dataDxfId="327" totalsRowDxfId="328"/>
    <tableColumn id="72" xr3:uid="{EE7FAE71-CC96-400E-9333-3ACE96F7B4F1}" name="Consol Logic" dataDxfId="325" totalsRowDxfId="326"/>
    <tableColumn id="68" xr3:uid="{57D0CF35-E6CA-495B-B95D-AB90C3ECA1E1}" name="Match" dataDxfId="323" totalsRowDxfId="324"/>
    <tableColumn id="26" xr3:uid="{9B23403B-F49D-4F75-B5DE-52A50333D36E}" name="Previous Match" dataDxfId="321" totalsRowDxfId="322"/>
    <tableColumn id="1" xr3:uid="{0FB506E5-39B2-453F-A6AB-91DE5D65A18C}" name="CCL3" dataDxfId="319" totalsRowDxfId="320"/>
    <tableColumn id="69" xr3:uid="{98E2E192-25D3-4FD4-9F6E-66F4BA31F1D3}" name="LT Apurva" dataDxfId="317" totalsRowDxfId="318"/>
    <tableColumn id="70" xr3:uid="{4A40B941-1B80-4966-B0AA-A12DDA539867}" name="LT1 Apurva " dataDxfId="315" totalsRowDxfId="316"/>
    <tableColumn id="71" xr3:uid="{A5DDD901-50F1-45EC-B617-9FB9F82D2D1C}" name="LT2Apurva" dataDxfId="313" totalsRowDxfId="314"/>
    <tableColumn id="2" xr3:uid="{E77CF5F1-3402-4FB0-A7BB-75FE525EBDB2}" name="LT Member*" dataDxfId="311" totalsRowDxfId="312"/>
    <tableColumn id="3" xr3:uid="{B7F7B567-E0FE-4269-ABA2-426FFF49CC23}" name="LT Member -1*" dataDxfId="309" totalsRowDxfId="310"/>
    <tableColumn id="28" xr3:uid="{1ED6E99F-47FC-4394-8616-2A070E1642C8}" name="Point of Contact" dataDxfId="307" totalsRowDxfId="308"/>
    <tableColumn id="5" xr3:uid="{C4062F8A-74E0-480A-89B5-C175CEC105D8}" name="Expense Category" dataDxfId="305" totalsRowDxfId="306"/>
    <tableColumn id="7" xr3:uid="{6061E2AE-EBA1-4EE4-B456-953220EC8E1F}" name="Description*" dataDxfId="303" totalsRowDxfId="304"/>
    <tableColumn id="4" xr3:uid="{7F83AA04-8DD4-4C0A-ACEE-7B67616AD686}" name="Vendor*" dataDxfId="301" totalsRowDxfId="302"/>
    <tableColumn id="29" xr3:uid="{57913809-330E-42BC-BD81-CE0857C047AC}" name="Cost Center*" dataDxfId="299" totalsRowDxfId="300"/>
    <tableColumn id="6" xr3:uid="{25064572-E053-4039-AEAF-FFE636A74BE2}" name="Project Code*" dataDxfId="297" totalsRowDxfId="298"/>
    <tableColumn id="39" xr3:uid="{705BBD04-B9EB-4C0B-9F52-198BD87455DB}" name="Prior Year PO" dataDxfId="295" totalsRowDxfId="296"/>
    <tableColumn id="38" xr3:uid="{2CC22E65-7B6E-4F36-AD69-0DD0AD366A81}" name="2026  Purchase Order" dataDxfId="293" totalsRowDxfId="294"/>
    <tableColumn id="37" xr3:uid="{B9B860A1-8C1E-407E-AAC2-C74D628CF403}" name="Pullforward" dataDxfId="291" totalsRowDxfId="292"/>
    <tableColumn id="36" xr3:uid="{5B428338-1A7A-4257-9B36-64B0D4C06D28}" name="Grouping" dataDxfId="289" totalsRowDxfId="290"/>
    <tableColumn id="35" xr3:uid="{BED71793-F457-4E04-82F5-D14E9259D5DF}" name="2026 Budget Comment" dataDxfId="287" totalsRowDxfId="288"/>
    <tableColumn id="34" xr3:uid="{1C5E2AB9-6157-4FFC-ACA6-BB882C8A27E4}" name="2026 Transfers" dataDxfId="285" totalsRowDxfId="286"/>
    <tableColumn id="33" xr3:uid="{00CEB0AC-A695-4CB2-BA44-C461E2C50E87}" name="2026 LE0" dataDxfId="283" totalsRowDxfId="284" dataCellStyle="Comma"/>
    <tableColumn id="32" xr3:uid="{547BB199-FFFB-4F43-BE41-8E6910E2A935}" name="LE2 Final Submission" dataDxfId="281" totalsRowDxfId="282" dataCellStyle="Comma"/>
    <tableColumn id="31" xr3:uid="{ACC88C73-FEAC-4B05-9393-5349D7AA707F}" name="LE3 Final Submission" dataDxfId="279" totalsRowDxfId="280"/>
    <tableColumn id="30" xr3:uid="{3B466CA3-2961-4B3A-AC39-E058082D3FFB}" name="LE4 Final Submission" dataDxfId="277" totalsRowDxfId="278"/>
    <tableColumn id="12" xr3:uid="{1E91B0A9-5656-4D8B-8183-7CF90B871D35}" name="AP01" dataDxfId="275" totalsRowDxfId="276"/>
    <tableColumn id="13" xr3:uid="{2E7E49DF-EE9D-4817-9078-3950065642B4}" name="AP02" dataDxfId="273" totalsRowDxfId="274"/>
    <tableColumn id="14" xr3:uid="{C2E46FF6-83CF-417C-9616-033CA47C6DB7}" name="AP03" dataDxfId="271" totalsRowDxfId="272"/>
    <tableColumn id="15" xr3:uid="{30362206-2409-4618-B6ED-317156A18362}" name="AP04" dataDxfId="269" totalsRowDxfId="270" dataCellStyle="Comma"/>
    <tableColumn id="16" xr3:uid="{0A8716F0-49DF-420D-A0BD-47859A62BED5}" name="AP05" dataDxfId="267" totalsRowDxfId="268"/>
    <tableColumn id="17" xr3:uid="{E1E3A375-B83D-44BF-B987-716E4C159D06}" name="AP06" dataDxfId="265" totalsRowDxfId="266"/>
    <tableColumn id="18" xr3:uid="{15072250-2178-4D5C-9241-9AA296253726}" name="AP07" dataDxfId="263" totalsRowDxfId="264"/>
    <tableColumn id="19" xr3:uid="{3FCACC58-683C-41F7-B317-05969FA056EC}" name="AP08" dataDxfId="261" totalsRowDxfId="262"/>
    <tableColumn id="20" xr3:uid="{C76504DA-EA24-42B4-83B8-9386805DE514}" name="AP09" dataDxfId="259" totalsRowDxfId="260"/>
    <tableColumn id="21" xr3:uid="{BF581610-56CC-4FDD-9005-268EC4B36635}" name="AP10" dataDxfId="257" totalsRowDxfId="258"/>
    <tableColumn id="22" xr3:uid="{F0FD4BDA-95BB-401F-A342-B3D3491A7B10}" name="AP11" dataDxfId="255" totalsRowDxfId="256"/>
    <tableColumn id="23" xr3:uid="{496B9939-28F4-47EA-B75C-9F7F5AEBDC52}" name="AP12" dataDxfId="253" totalsRowDxfId="254"/>
    <tableColumn id="11" xr3:uid="{4ABE73AD-C079-4F38-AEBA-358D00CD6AA0}" name="2026 Working Total" dataDxfId="251" totalsRowDxfId="252">
      <calculatedColumnFormula>SUM(AA8:AL8)</calculatedColumnFormula>
    </tableColumn>
    <tableColumn id="10" xr3:uid="{A660EB76-7BCF-4772-85CF-E0207D4F471B}" name="2026 Working Total to Budget/LE" dataDxfId="249" totalsRowDxfId="250">
      <calculatedColumnFormula>ERP_26[[#This Row],[2026 Working Total]]-ERP_26[[#This Row],[LE2 Final Submission]]</calculatedColumnFormula>
    </tableColumn>
    <tableColumn id="9" xr3:uid="{FAE72DCE-4C16-46AF-9910-8FD89202D60E}" name="Latest AP Snapshot" dataDxfId="247" totalsRowDxfId="248"/>
    <tableColumn id="53" xr3:uid="{ECF85E0D-A7D4-427C-BC01-5AF9AD941B70}" name="Latest AP Variance to Snapshot" dataDxfId="245" totalsRowDxfId="246">
      <calculatedColumnFormula>$AF8 - $AO8</calculatedColumnFormula>
    </tableColumn>
    <tableColumn id="8" xr3:uid="{93BDA776-90F9-4375-9D0B-83CC45FBD108}" name="YTD Act to Bud/LE" dataDxfId="243" totalsRowDxfId="244" dataCellStyle="Comma">
      <calculatedColumnFormula>SUM(ERP_26[[#This Row],[AP01]:[AP06]])-SUM(ERP_26[[#This Row],[AP01 LE2]:[AP06 LE2]])</calculatedColumnFormula>
    </tableColumn>
    <tableColumn id="55" xr3:uid="{113B1968-ECD9-49B6-B95B-F707EF2E3154}" name="Giveback" dataDxfId="241" totalsRowDxfId="242"/>
    <tableColumn id="54" xr3:uid="{DFEDEDB1-D584-4149-8523-179CA256366C}" name="Other Allocation" dataDxfId="239" totalsRowDxfId="240">
      <calculatedColumnFormula>ERP_26[[#This Row],[2026 Working Total to Budget/LE]]-ERP_26[[#This Row],[Giveback]]</calculatedColumnFormula>
    </tableColumn>
    <tableColumn id="25" xr3:uid="{0C80E95D-D924-4744-8413-6C5171FDEB08}" name="Giveback Comments" dataDxfId="237" totalsRowDxfId="238"/>
    <tableColumn id="67" xr3:uid="{66EBCBB4-36E9-4B12-A596-50E9AE65638A}" name="AP01 LE2" dataDxfId="235" totalsRowDxfId="236"/>
    <tableColumn id="66" xr3:uid="{5F3E5B53-842B-4D02-9C03-7FC8C66AA1D2}" name="AP02 LE2" dataDxfId="233" totalsRowDxfId="234"/>
    <tableColumn id="65" xr3:uid="{DF6A3C19-2444-4CAE-A6EE-160EC717FACF}" name="AP03 LE2" dataDxfId="231" totalsRowDxfId="232"/>
    <tableColumn id="64" xr3:uid="{FED6BAA2-4186-4595-8857-1BCEB92F1541}" name="AP04 LE2" dataDxfId="229" totalsRowDxfId="230"/>
    <tableColumn id="63" xr3:uid="{A8B924F2-30AA-4D5F-997D-48942506D4CB}" name="AP05 LE2" dataDxfId="227" totalsRowDxfId="228"/>
    <tableColumn id="62" xr3:uid="{E0CDCE58-BFFE-4A56-973C-33FC1568137F}" name="AP06 LE2" dataDxfId="225" totalsRowDxfId="226"/>
    <tableColumn id="61" xr3:uid="{6BF56CAB-9BBE-4D7C-8117-8E3A75A4AEF2}" name="AP07 LE2" dataDxfId="223" totalsRowDxfId="224"/>
    <tableColumn id="60" xr3:uid="{1EC7B34C-625F-46BB-A082-43DADF138708}" name="AP08 LE2" dataDxfId="221" totalsRowDxfId="222"/>
    <tableColumn id="59" xr3:uid="{AA409E3E-8C4C-4729-A903-16AFE59372E2}" name="AP09 LE2" dataDxfId="219" totalsRowDxfId="220"/>
    <tableColumn id="58" xr3:uid="{80662F56-7D78-41AB-A710-85825E45AE5A}" name="AP10 LE2" dataDxfId="217" totalsRowDxfId="218"/>
    <tableColumn id="57" xr3:uid="{D9AFC02F-C1BC-4216-8EC6-1D1FA8223C5F}" name="AP11 LE2" dataDxfId="215" totalsRowDxfId="216"/>
    <tableColumn id="56" xr3:uid="{6888AD58-A7AF-4AFC-9900-1A741629BC3A}" name="AP12 LE2" dataDxfId="213" totalsRowDxfId="214"/>
    <tableColumn id="24" xr3:uid="{527AC674-380D-46D5-85A1-0834C6720F89}" name="2026 LE2 Working Total" dataDxfId="211" totalsRowDxfId="212"/>
    <tableColumn id="40" xr3:uid="{267FBFA6-0C48-43D0-8C2F-1F4B5219D804}" name="2026 AP01" dataDxfId="209" totalsRowDxfId="210"/>
    <tableColumn id="41" xr3:uid="{2C4BC7C8-DE84-448C-BE66-14D7B2B4AAAA}" name="2026 AP02" dataDxfId="207" totalsRowDxfId="208"/>
    <tableColumn id="42" xr3:uid="{D581294C-5607-4179-B16F-DD1C47F1507D}" name="2026 AP03" dataDxfId="205" totalsRowDxfId="206"/>
    <tableColumn id="43" xr3:uid="{3CAD8B2E-AC41-4930-838E-1003FB0AABB4}" name="2026 AP04" dataDxfId="203" totalsRowDxfId="204"/>
    <tableColumn id="44" xr3:uid="{CEAA8519-B5B6-49D8-A439-CF8BE2A412C9}" name="2026 AP05" dataDxfId="201" totalsRowDxfId="202"/>
    <tableColumn id="45" xr3:uid="{ACB56884-1437-4EA6-ADCE-197D32FC2154}" name="2026 AP06" dataDxfId="199" totalsRowDxfId="200"/>
    <tableColumn id="46" xr3:uid="{476AED1C-4BA0-4F7B-8CC9-49BE9080746F}" name="2026 AP07" dataDxfId="197" totalsRowDxfId="198"/>
    <tableColumn id="47" xr3:uid="{120AC617-EC78-4848-ABD7-1B2CC0DD3950}" name="2026 AP08" dataDxfId="195" totalsRowDxfId="196"/>
    <tableColumn id="48" xr3:uid="{2B093416-59E9-4C98-869F-AFDC662774BF}" name="2026 AP09" dataDxfId="193" totalsRowDxfId="194"/>
    <tableColumn id="49" xr3:uid="{5A9A5CD2-6953-45F2-B48D-1792E47ABFA5}" name="2026 AP10" dataDxfId="191" totalsRowDxfId="192"/>
    <tableColumn id="50" xr3:uid="{29540FB1-9C3D-4028-A01F-E894F40885B8}" name="2026 AP11" dataDxfId="189" totalsRowDxfId="190"/>
    <tableColumn id="51" xr3:uid="{B0D2D24F-2618-4606-A561-05CD1D5E2191}" name="2026 AP12" dataDxfId="187" totalsRowDxfId="188"/>
    <tableColumn id="52" xr3:uid="{6A9E5D0F-7E4C-486E-9EFF-D2A3CB4598EB}" name="2026 LE0 Submission" totalsRowFunction="sum" dataDxfId="185" totalsRowDxfId="186"/>
  </tableColumns>
  <tableStyleInfo name="Table Style 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6257B-D3BE-49AC-B21A-A5D6CA109EF6}" name="ERP_34" displayName="ERP_34" ref="A7:BO649" totalsRowShown="0" headerRowDxfId="169" dataDxfId="168" headerRowBorderDxfId="166" tableBorderDxfId="167">
  <sortState xmlns:xlrd2="http://schemas.microsoft.com/office/spreadsheetml/2017/richdata2" ref="A8:BO636">
    <sortCondition ref="K7:K636"/>
  </sortState>
  <tableColumns count="67">
    <tableColumn id="27" xr3:uid="{FE3CD86B-E4F8-4F91-81E7-1A01FD08390E}" name="UID" dataDxfId="165"/>
    <tableColumn id="26" xr3:uid="{0A809DA2-02B1-4E25-866B-285F92BAF8C0}" name="Match" dataDxfId="164">
      <calculatedColumnFormula>_xlfn.TEXTJOIN("_",,ERP_34[[#This Row],[LT Member -1*]],ERP_34[[#This Row],[Expense Category]],ERP_34[[#This Row],[Project Code*]])</calculatedColumnFormula>
    </tableColumn>
    <tableColumn id="1" xr3:uid="{339F1301-B479-4C9C-9275-A32D0155942D}" name="CCL3" dataDxfId="163"/>
    <tableColumn id="2" xr3:uid="{AAB0EF68-DA2A-4228-AC32-6933A2856C98}" name="LT Member*" dataDxfId="162"/>
    <tableColumn id="3" xr3:uid="{119BFD2B-957C-4CDF-BBF8-6D804AE6B4E4}" name="LT Member -1*" dataDxfId="161"/>
    <tableColumn id="28" xr3:uid="{71867844-115D-4373-B624-E69668C3A39A}" name="Point of Contact" dataDxfId="160"/>
    <tableColumn id="5" xr3:uid="{C63E0140-844C-4BFD-9934-0C93EABFEA59}" name="Expense Category" dataDxfId="159"/>
    <tableColumn id="7" xr3:uid="{1825717D-C3C5-4414-B2F3-47A958B7EE90}" name="Description*" dataDxfId="158"/>
    <tableColumn id="4" xr3:uid="{39EC69AC-A3DD-4DB5-8FFD-854D0C003BEF}" name="Vendor*" dataDxfId="157"/>
    <tableColumn id="29" xr3:uid="{AE5FC09E-C1C2-4922-9E94-81ED60E2C2F1}" name="Cost Center*" dataDxfId="156"/>
    <tableColumn id="6" xr3:uid="{D11C4CA6-6D24-495A-9289-0ECC2EBFA30F}" name="Project Code*" dataDxfId="155"/>
    <tableColumn id="39" xr3:uid="{17F727AB-24D0-4DE6-9371-D29474D2E50D}" name="Prior Year PO" dataDxfId="154"/>
    <tableColumn id="38" xr3:uid="{8FA05C58-4A10-4249-AC42-3802E7B2629F}" name="2026  Purchase Order" dataDxfId="153"/>
    <tableColumn id="37" xr3:uid="{87DD3DA6-9A8C-4C8F-8AD4-8D58809492A0}" name="Pullforward" dataDxfId="152"/>
    <tableColumn id="36" xr3:uid="{1D559F07-35EB-4E1A-B504-D715BFE35D13}" name="Grouping" dataDxfId="151"/>
    <tableColumn id="35" xr3:uid="{91C4747F-F2B6-4ED7-964D-1C8E33350F04}" name="2026 Budget Comment" dataDxfId="150"/>
    <tableColumn id="34" xr3:uid="{2B45C7D7-A15E-4964-B8BE-3D5789876031}" name="2026 Transfers" dataDxfId="149">
      <calculatedColumnFormula>ABS(T8)</calculatedColumnFormula>
    </tableColumn>
    <tableColumn id="33" xr3:uid="{8F769F62-A0F9-4664-B1DD-699514DB19AB}" name="2026 LE0" dataDxfId="148" dataCellStyle="Comma"/>
    <tableColumn id="32" xr3:uid="{997715C1-D531-4574-9833-B352F58B18AB}" name="LE2 Final Submission" dataDxfId="147" dataCellStyle="Comma"/>
    <tableColumn id="31" xr3:uid="{15E6D9D0-945C-48F0-BA76-81754BDF653A}" name="LE3 Final Submission" dataDxfId="146"/>
    <tableColumn id="30" xr3:uid="{BF5758E8-B23D-4C52-BB61-7C70B6068C2A}" name="LE4 Final Submission" dataDxfId="145">
      <calculatedColumnFormula>ERP_34[[#This Row],[LE2 Final Submission]]-ERP_34[[#This Row],[LE3 Final Submission]]</calculatedColumnFormula>
    </tableColumn>
    <tableColumn id="12" xr3:uid="{50231F28-3567-4285-8C0D-35C0E5CBBDD8}" name="AP01" dataDxfId="144"/>
    <tableColumn id="13" xr3:uid="{4FD70A5C-5D73-42E3-B69D-B0C4FE56A786}" name="AP02" dataDxfId="143"/>
    <tableColumn id="14" xr3:uid="{93D76F6B-0CCE-4573-9248-0E9FAA412704}" name="AP03" dataDxfId="142"/>
    <tableColumn id="15" xr3:uid="{78CCCCA8-6CBF-4BFA-B9E1-232FE27B733E}" name="AP04" dataDxfId="141"/>
    <tableColumn id="16" xr3:uid="{66367AD6-991D-4A34-B9B2-F5051BA3DEC7}" name="AP05" dataDxfId="140"/>
    <tableColumn id="17" xr3:uid="{3BD59138-9A16-4655-B9C6-DB639AD10EB1}" name="AP06" dataDxfId="139"/>
    <tableColumn id="18" xr3:uid="{64E0C817-BC2D-4AA3-B534-7EEAB484C5A6}" name="AP07" dataDxfId="138"/>
    <tableColumn id="19" xr3:uid="{2229FE2F-DBB5-48AE-BD96-309F5B69293E}" name="AP08" dataDxfId="137"/>
    <tableColumn id="20" xr3:uid="{2F6DE22B-D7D9-4809-8FF7-9BE5EFA8FF47}" name="AP09" dataDxfId="136"/>
    <tableColumn id="21" xr3:uid="{07DB8F8D-6C02-4294-99EF-7C28CFC14281}" name="AP10" dataDxfId="135"/>
    <tableColumn id="22" xr3:uid="{B547CEAE-33A8-4C58-8DC8-F8166717E8B2}" name="AP11" dataDxfId="134"/>
    <tableColumn id="23" xr3:uid="{10409F7C-FBD6-4B38-810F-6DCB4701231D}" name="AP12" dataDxfId="133"/>
    <tableColumn id="11" xr3:uid="{B81B95E0-1A7F-4637-B6D1-79734E273D33}" name="2026 Working Total" dataDxfId="132">
      <calculatedColumnFormula>SUM(V8:AG8)</calculatedColumnFormula>
    </tableColumn>
    <tableColumn id="10" xr3:uid="{0CD148CB-CFC6-4D75-9A2D-A74A7F55A7D9}" name="2026 Working Total to Budget/LE" dataDxfId="131">
      <calculatedColumnFormula>ERP_34[[#This Row],[2026 Working Total]]-ERP_34[[#This Row],[2026 LE0]]</calculatedColumnFormula>
    </tableColumn>
    <tableColumn id="9" xr3:uid="{1A5D49D4-30DE-4923-8986-47E16BF5F09D}" name="Latest AP Snapshot" dataDxfId="130"/>
    <tableColumn id="53" xr3:uid="{F5119960-A752-460F-911C-783EEE66CFCE}" name="Latest AP Variance to Snapshot" dataDxfId="129"/>
    <tableColumn id="8" xr3:uid="{0F5C6A50-EFDC-4610-B078-04884F067557}" name="YTD Act to Bud/LE" dataDxfId="128">
      <calculatedColumnFormula>ERP_34[[#This Row],[AP01]]+ERP_34[[#This Row],[AP02]]+ERP_34[[#This Row],[AP03]]+ERP_34[[#This Row],[AP04]]-ERP_34[[#This Row],[AP01 LE2]]-ERP_34[[#This Row],[AP02 LE2]]-ERP_34[[#This Row],[AP03 LE2]]-ERP_34[[#This Row],[AP04 LE2]]</calculatedColumnFormula>
    </tableColumn>
    <tableColumn id="55" xr3:uid="{3EFD3235-A038-4866-A17C-D23BD9FB4128}" name="Giveback" dataDxfId="127"/>
    <tableColumn id="54" xr3:uid="{3978649F-5EE5-4429-B62D-B6AD3F52685E}" name="Other Allocation" dataDxfId="126">
      <calculatedColumnFormula>ERP_34[[#This Row],[2026 Working Total to Budget/LE]]-ERP_34[[#This Row],[Giveback]]</calculatedColumnFormula>
    </tableColumn>
    <tableColumn id="25" xr3:uid="{E9D45AD9-65FE-4D45-9B83-1E7015A31520}" name="Giveback Comments" dataDxfId="125"/>
    <tableColumn id="67" xr3:uid="{D8EE0AA0-0DC8-47C1-9BC1-F91197C62130}" name="AP01 LE2" dataDxfId="124"/>
    <tableColumn id="66" xr3:uid="{14D9C6E2-188F-481E-828B-2CB15BFC7D03}" name="AP02 LE2" dataDxfId="123"/>
    <tableColumn id="65" xr3:uid="{0E86C1B5-D0FD-4E14-B76E-8A9D75338021}" name="AP03 LE2" dataDxfId="122"/>
    <tableColumn id="64" xr3:uid="{205114DC-213E-47CC-9E84-E0F442177B83}" name="AP04 LE2" dataDxfId="121"/>
    <tableColumn id="63" xr3:uid="{E4F4E1EA-C907-412C-97AA-5579274AAA5B}" name="AP05 LE2" dataDxfId="120"/>
    <tableColumn id="62" xr3:uid="{6846CC01-465C-4A0D-A91F-CE8545FFE2BB}" name="AP06 LE2" dataDxfId="119"/>
    <tableColumn id="61" xr3:uid="{FE6A337B-E18B-4044-AB7C-9E1695D5FC61}" name="AP07 LE2" dataDxfId="118"/>
    <tableColumn id="60" xr3:uid="{0CE8B3D4-7D30-49A8-9CDC-27B582F8EA8B}" name="AP08 LE2" dataDxfId="117"/>
    <tableColumn id="59" xr3:uid="{47F6370A-79F0-49CA-8B19-607C92380EE4}" name="AP09 LE2" dataDxfId="116"/>
    <tableColumn id="58" xr3:uid="{22BAA23F-DD19-4903-B2E5-94C031136051}" name="AP10 LE2" dataDxfId="115"/>
    <tableColumn id="57" xr3:uid="{7D989964-B31C-43EF-96A6-17300AF905F1}" name="AP11 LE2" dataDxfId="114"/>
    <tableColumn id="56" xr3:uid="{969C7D40-8E98-42F3-83E3-F742434985D0}" name="AP12 LE2" dataDxfId="113"/>
    <tableColumn id="24" xr3:uid="{7D6C71DF-9211-4771-B8D4-F8EE38B5D2F9}" name="2026 LE2 Working Total" dataDxfId="112"/>
    <tableColumn id="40" xr3:uid="{E2369CA6-0A6F-41E0-9430-45E7641E816C}" name="2026 AP01" dataDxfId="111"/>
    <tableColumn id="41" xr3:uid="{2D3ACE93-9621-4BC5-B416-30ABB290F190}" name="2026 AP02" dataDxfId="110"/>
    <tableColumn id="42" xr3:uid="{00DBB39F-D92D-45DB-85AB-DBDBEF5C9397}" name="2026 AP03" dataDxfId="109"/>
    <tableColumn id="43" xr3:uid="{2672BF6C-DE5F-4821-A240-4A60126040A2}" name="2026 AP04" dataDxfId="108"/>
    <tableColumn id="44" xr3:uid="{46ECF528-8CFC-40CC-94CA-AEA55B03F317}" name="2026 AP05" dataDxfId="107"/>
    <tableColumn id="45" xr3:uid="{F09D97B6-66D5-4B9A-BC28-1A402DF1D687}" name="2026 AP06" dataDxfId="106"/>
    <tableColumn id="46" xr3:uid="{2500CBEC-15CD-4C77-99CC-D534597C2D76}" name="2026 AP07" dataDxfId="105"/>
    <tableColumn id="47" xr3:uid="{8C710E42-9D1C-4816-82ED-25FA91A56099}" name="2026 AP08" dataDxfId="104"/>
    <tableColumn id="48" xr3:uid="{75F5781D-B688-4E2E-B149-3D19B044A73F}" name="2026 AP09" dataDxfId="103"/>
    <tableColumn id="49" xr3:uid="{82EB8538-1F62-42F7-B762-6E9D04B47A5B}" name="2026 AP10" dataDxfId="102"/>
    <tableColumn id="50" xr3:uid="{84567EA4-1AF3-4A84-A9C5-463828484045}" name="2026 AP11" dataDxfId="101"/>
    <tableColumn id="51" xr3:uid="{60111E3E-C205-4540-A887-1631241A92F3}" name="2026 AP12" dataDxfId="100"/>
    <tableColumn id="52" xr3:uid="{0B41E1FC-D3B8-4125-9B95-1AAC3B885139}" name="2026 LE0 Submission" dataDxfId="99"/>
  </tableColumns>
  <tableStyleInfo name="Table Style 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AD36F-0EF6-41BA-92DC-F29D337DEDE0}" name="ERP_2" displayName="ERP_2" ref="A7:BT688" totalsRowShown="0" headerRowDxfId="88" dataDxfId="87" headerRowBorderDxfId="85" tableBorderDxfId="86">
  <autoFilter ref="A7:BT688" xr:uid="{CBE032B7-2C6C-4BD8-AB52-048E9BAA5C8B}">
    <filterColumn colId="2">
      <colorFilter dxfId="89"/>
    </filterColumn>
  </autoFilter>
  <sortState xmlns:xlrd2="http://schemas.microsoft.com/office/spreadsheetml/2017/richdata2" ref="A8:BT688">
    <sortCondition sortBy="cellColor" ref="C8:C688" dxfId="84"/>
    <sortCondition ref="B8:B688"/>
  </sortState>
  <tableColumns count="72">
    <tableColumn id="27" xr3:uid="{17827B30-E3C8-4BCB-AA63-E089BCB65315}" name="UID" dataDxfId="83"/>
    <tableColumn id="72" xr3:uid="{61986E86-5025-489B-BFAA-DBE3D9EE526E}" name="Duplicate Disposition" dataDxfId="82"/>
    <tableColumn id="68" xr3:uid="{DB8D8115-4C08-4DC8-BFD2-BDB1E2F6D482}" name="Match" dataDxfId="81"/>
    <tableColumn id="26" xr3:uid="{EA2F68EE-7F7B-433E-AFBB-F424A1AFE378}" name="Previous Match" dataDxfId="80"/>
    <tableColumn id="1" xr3:uid="{D11DC6EF-85D6-4700-8DF1-BB1A9847F547}" name="CCL3" dataDxfId="79"/>
    <tableColumn id="69" xr3:uid="{5198C20B-660D-45FA-8B3D-9ED6182C669E}" name="LT Apurva" dataDxfId="78"/>
    <tableColumn id="70" xr3:uid="{AC886EC3-70A5-4EC7-BC9A-59DE9D2982B8}" name="LT1 Apurva " dataDxfId="77"/>
    <tableColumn id="71" xr3:uid="{F098E5F4-9F03-461E-9BF7-61929A92CC8B}" name="LT2Apurva" dataDxfId="76"/>
    <tableColumn id="2" xr3:uid="{D76C4956-34EC-4AD5-B197-7B4B1DC8F00F}" name="LT Member*" dataDxfId="75"/>
    <tableColumn id="3" xr3:uid="{52DF8B56-FC11-477D-8496-5D029230F2DF}" name="LT Member -1*" dataDxfId="74"/>
    <tableColumn id="28" xr3:uid="{B13AFCBF-79E0-4B80-977F-61A803ECAA44}" name="Point of Contact" dataDxfId="73"/>
    <tableColumn id="5" xr3:uid="{017875D4-B9A7-4BE5-AB79-DFE180C7A2BC}" name="Expense Category" dataDxfId="72"/>
    <tableColumn id="7" xr3:uid="{2E3FE2CA-2900-4C8E-B6F2-67CE796D8AFE}" name="Description*" dataDxfId="71"/>
    <tableColumn id="4" xr3:uid="{55C9653F-0B89-452D-AA14-03DEE4C9D327}" name="Vendor*" dataDxfId="70"/>
    <tableColumn id="29" xr3:uid="{E5E7DF73-5F72-4B52-A017-15DEB1F6D797}" name="Cost Center*" dataDxfId="69"/>
    <tableColumn id="6" xr3:uid="{E6A37FF6-A88B-45F8-826F-C0FE0A441C78}" name="Project Code*" dataDxfId="68"/>
    <tableColumn id="39" xr3:uid="{D6540D6F-FCC0-48B4-AEC3-527B9BC042CD}" name="Prior Year PO" dataDxfId="67"/>
    <tableColumn id="38" xr3:uid="{E7D49E3E-9ED0-4514-B60F-42E0AC54A286}" name="2026  Purchase Order" dataDxfId="66"/>
    <tableColumn id="37" xr3:uid="{1DA1BFF3-E66D-47E3-9ADA-5770999316DA}" name="Pullforward" dataDxfId="65"/>
    <tableColumn id="36" xr3:uid="{92EDD815-9AC6-41E5-B1D9-60E6797447C2}" name="Grouping" dataDxfId="64"/>
    <tableColumn id="35" xr3:uid="{425A467F-48A5-458C-A839-04141AD22313}" name="2026 Budget Comment" dataDxfId="63"/>
    <tableColumn id="34" xr3:uid="{30216CC2-6E20-4343-9E4C-B19E9C41A44E}" name="2026 Transfers" dataDxfId="62"/>
    <tableColumn id="33" xr3:uid="{AB3CA9D9-3F13-4976-9CBA-14001C221710}" name="2026 LE0" dataDxfId="61" dataCellStyle="Comma"/>
    <tableColumn id="32" xr3:uid="{C851B0CE-1773-4076-AE1A-EF224DE58016}" name="LE2 Final Submission" dataDxfId="60" dataCellStyle="Comma"/>
    <tableColumn id="31" xr3:uid="{F4BD4F47-7EF4-49C7-BA3B-C233EEE51052}" name="LE3 Final Submission" dataDxfId="59"/>
    <tableColumn id="30" xr3:uid="{6B22D5FE-C7AA-4672-8CE0-CA32034EF339}" name="LE4 Final Submission" dataDxfId="58"/>
    <tableColumn id="12" xr3:uid="{D1AC5AF6-75B4-46F2-875F-88C2E7F68AD0}" name="AP01" dataDxfId="57"/>
    <tableColumn id="13" xr3:uid="{4F18BA85-A50D-402D-9209-B768F42030C7}" name="AP02" dataDxfId="56"/>
    <tableColumn id="14" xr3:uid="{B3819F26-A38F-45B0-AAE4-F55ACE334398}" name="AP03" dataDxfId="55"/>
    <tableColumn id="15" xr3:uid="{CBCFF801-BE82-4FA9-BB90-F3A919AFDBFA}" name="AP04" dataDxfId="54" dataCellStyle="Comma"/>
    <tableColumn id="16" xr3:uid="{9D8C9193-5645-4A6B-85A5-E44E2E94BCF8}" name="AP05" dataDxfId="53"/>
    <tableColumn id="17" xr3:uid="{E905CB11-8F19-4351-B3F1-E195445B846B}" name="AP06" dataDxfId="52"/>
    <tableColumn id="18" xr3:uid="{7DB07D8A-DFF6-44FA-8CEC-D7797C65E527}" name="AP07" dataDxfId="51"/>
    <tableColumn id="19" xr3:uid="{E42DCF9B-80DA-4C93-BFFE-D988D0DCE78F}" name="AP08" dataDxfId="50"/>
    <tableColumn id="20" xr3:uid="{0615B221-048A-4D50-9DFE-DE40FD3FB256}" name="AP09" dataDxfId="49"/>
    <tableColumn id="21" xr3:uid="{979AB59D-3892-4793-BAF7-7AEF994B72FE}" name="AP10" dataDxfId="48"/>
    <tableColumn id="22" xr3:uid="{B81776D0-482E-4974-80EF-D619C52102AF}" name="AP11" dataDxfId="47"/>
    <tableColumn id="23" xr3:uid="{9E22D1B2-E93A-4A39-A51A-5D29AFD57FB8}" name="AP12" dataDxfId="46"/>
    <tableColumn id="11" xr3:uid="{D27D407C-661F-458E-A46C-88FA8B760C28}" name="2026 Working Total" dataDxfId="45">
      <calculatedColumnFormula>SUM(AA8:AL8)</calculatedColumnFormula>
    </tableColumn>
    <tableColumn id="10" xr3:uid="{DE7A60FD-A565-4C51-8A53-D2F1D5C31409}" name="2026 Working Total to Budget/LE" dataDxfId="44">
      <calculatedColumnFormula>ERP_2[[#This Row],[2026 Working Total]]-ERP_2[[#This Row],[LE2 Final Submission]]</calculatedColumnFormula>
    </tableColumn>
    <tableColumn id="9" xr3:uid="{97FE1751-D711-47EB-B385-FEA5A594C685}" name="Latest AP Snapshot" dataDxfId="43"/>
    <tableColumn id="53" xr3:uid="{AC2DA352-A953-4BF4-B8EB-F9C6C62C4B5D}" name="Latest AP Variance to Snapshot" dataDxfId="42">
      <calculatedColumnFormula>$AF8 - $AO8</calculatedColumnFormula>
    </tableColumn>
    <tableColumn id="8" xr3:uid="{99FE614B-6C12-4774-9C51-B81CD55FF1C9}" name="YTD Act to Bud/LE" dataDxfId="41" dataCellStyle="Comma">
      <calculatedColumnFormula>SUM(ERP_2[[#This Row],[AP01]:[AP06]])-SUM(ERP_2[[#This Row],[AP01 LE2]:[AP06 LE2]])</calculatedColumnFormula>
    </tableColumn>
    <tableColumn id="55" xr3:uid="{71470F1C-18B0-4890-8636-C165FCF27914}" name="Giveback" dataDxfId="40"/>
    <tableColumn id="54" xr3:uid="{ED38324C-6E20-4937-9450-D32AEA89CA87}" name="Other Allocation" dataDxfId="39">
      <calculatedColumnFormula>ERP_2[[#This Row],[2026 Working Total to Budget/LE]]-ERP_2[[#This Row],[Giveback]]</calculatedColumnFormula>
    </tableColumn>
    <tableColumn id="25" xr3:uid="{69840D94-CD20-4DA9-B47D-199377779DA8}" name="Giveback Comments" dataDxfId="38"/>
    <tableColumn id="67" xr3:uid="{1B398C32-FE95-44CA-B400-8A702F712B9B}" name="AP01 LE2" dataDxfId="37"/>
    <tableColumn id="66" xr3:uid="{86DF2770-FFF4-4AB5-A1EE-A7BE80E31986}" name="AP02 LE2" dataDxfId="36"/>
    <tableColumn id="65" xr3:uid="{4A32E136-B53F-4472-9DF8-0C166FEAD271}" name="AP03 LE2" dataDxfId="35"/>
    <tableColumn id="64" xr3:uid="{A3135CFE-378B-452D-9DEF-7BA32D067CBE}" name="AP04 LE2" dataDxfId="34"/>
    <tableColumn id="63" xr3:uid="{42A982AC-1D53-4401-BB34-B4645CF0A3F0}" name="AP05 LE2" dataDxfId="33"/>
    <tableColumn id="62" xr3:uid="{AA94655D-5870-4992-A603-E517CE85A80B}" name="AP06 LE2" dataDxfId="32"/>
    <tableColumn id="61" xr3:uid="{FCD75F41-4127-488B-B966-B1E5ACF69A41}" name="AP07 LE2" dataDxfId="31"/>
    <tableColumn id="60" xr3:uid="{5F74D9FB-E8B3-4706-B0BF-81C129CC244A}" name="AP08 LE2" dataDxfId="30"/>
    <tableColumn id="59" xr3:uid="{47469B53-6301-4E26-8626-E2D55A0FA552}" name="AP09 LE2" dataDxfId="29"/>
    <tableColumn id="58" xr3:uid="{9C0253EF-E1F8-4963-B735-407F8298848C}" name="AP10 LE2" dataDxfId="28"/>
    <tableColumn id="57" xr3:uid="{0A836A9F-42EB-495F-9960-38EECD91E16C}" name="AP11 LE2" dataDxfId="27"/>
    <tableColumn id="56" xr3:uid="{5B4B791F-B4F9-4E0F-B09E-B23E582B2444}" name="AP12 LE2" dataDxfId="26"/>
    <tableColumn id="24" xr3:uid="{17F63956-C00B-4382-97B4-88247F25F418}" name="2026 LE2 Working Total" dataDxfId="25"/>
    <tableColumn id="40" xr3:uid="{E0F44EBA-77F7-4301-97DB-C880E0211614}" name="2026 AP01" dataDxfId="24"/>
    <tableColumn id="41" xr3:uid="{DC9F58CF-F0CC-4140-A0AD-19A61FA1B21D}" name="2026 AP02" dataDxfId="23"/>
    <tableColumn id="42" xr3:uid="{F9EA1A7D-C78A-4A52-ACEE-181A55186641}" name="2026 AP03" dataDxfId="22"/>
    <tableColumn id="43" xr3:uid="{1CFD5DDF-33D9-406D-B7CC-70E45AC57637}" name="2026 AP04" dataDxfId="21"/>
    <tableColumn id="44" xr3:uid="{1BF72363-3018-41FD-B2F1-11A09FA610F1}" name="2026 AP05" dataDxfId="20"/>
    <tableColumn id="45" xr3:uid="{5D26322E-773D-4B36-B650-088E05E8BBA7}" name="2026 AP06" dataDxfId="19"/>
    <tableColumn id="46" xr3:uid="{B74CA428-F101-4DB4-A5E7-89668E489986}" name="2026 AP07" dataDxfId="18"/>
    <tableColumn id="47" xr3:uid="{47A99C8B-2C58-48C5-98FD-1D02B55ADA17}" name="2026 AP08" dataDxfId="17"/>
    <tableColumn id="48" xr3:uid="{14CCE8C7-B3C5-4881-BD6F-0BF77790CC86}" name="2026 AP09" dataDxfId="16"/>
    <tableColumn id="49" xr3:uid="{813DA865-0EA9-46BA-9F4F-8D27543ED423}" name="2026 AP10" dataDxfId="15"/>
    <tableColumn id="50" xr3:uid="{FAC91FDB-679E-4335-9641-6AA02818F36A}" name="2026 AP11" dataDxfId="14"/>
    <tableColumn id="51" xr3:uid="{F4C3CEC5-AC13-4AB4-B5B6-632D42CB7D4C}" name="2026 AP12" dataDxfId="13"/>
    <tableColumn id="52" xr3:uid="{483A8932-0E5F-4F49-8BA9-2DD89AD8AA7F}" name="2026 LE0 Submission" dataDxfId="12"/>
  </tableColumns>
  <tableStyleInfo name="Table Style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6-06-25T22:13:07.18" personId="{574F1AB3-8B7C-40EB-89E3-BB2E0C817D73}" id="{CFFFE537-00FE-4D6E-AEB0-CD739DEFE2BE}">
    <text>May i please get more details on actuals. @Wilkins, Tanya</text>
    <mentions>
      <mention mentionpersonId="{A7AA6105-FC99-46D9-B5F8-B84AFBD735AA}" mentionId="{46A03F28-DCA5-4947-B7DF-026342398913}" startIndex="42" length="15"/>
    </mentions>
  </threadedComment>
  <threadedComment ref="O10" dT="2026-08-04T14:48:07.26" personId="{574F1AB3-8B7C-40EB-89E3-BB2E0C817D73}" id="{185A548A-5812-43DA-A8AE-0E1665EA6C30}" parentId="{CFFFE537-00FE-4D6E-AEB0-CD739DEFE2BE}">
    <text>It's related to CCC PO9501234927 This is related to WBS IT-CTR0150-OG-US-00</text>
  </threadedComment>
  <threadedComment ref="AM11" dT="2026-08-03T17:55:56.16" personId="{CC497235-42B2-452E-BB5C-404562BE634F}" id="{D4504775-1300-43ED-9DE5-BA6D49885994}">
    <text>Updated actuals for AP4-AP7; offsetting lines are in FBT0213</text>
  </threadedComment>
  <threadedComment ref="O12" dT="2026-06-16T13:27:15.32" personId="{574F1AB3-8B7C-40EB-89E3-BB2E0C817D73}" id="{A49EA651-8BC2-4841-BCC5-552BFB4FFE3F}">
    <text>ER90410 - GBS/EF - SUPPORT - TESTING COE in AP02 @Meadows, Leslie</text>
    <mentions>
      <mention mentionpersonId="{EC554CCA-E29D-43FA-BA6B-59F8B24C668D}" mentionId="{A71E08ED-CF70-4E3C-8EE2-FDA807B38A02}" startIndex="49" length="16"/>
    </mentions>
  </threadedComment>
  <threadedComment ref="O12" dT="2026-07-10T15:09:23.43" personId="{574F1AB3-8B7C-40EB-89E3-BB2E0C817D73}" id="{EAE0C271-21E9-4F14-B4C5-EB9661D3CBFF}" parentId="{A49EA651-8BC2-4841-BCC5-552BFB4FFE3F}">
    <text>ER97452 - GBS/EF - SUPPORT - TESTING COE</text>
    <extLst>
      <x:ext xmlns:xltc2="http://schemas.microsoft.com/office/spreadsheetml/2020/threadedcomments2" uri="{F7C98A9C-CBB3-438F-8F68-D28B6AF4A901}">
        <xltc2:checksum>3265925238</xltc2:checksum>
        <xltc2:hyperlink startIndex="0" length="40" url="https://pfizer.sharepoint.com/sites/Enhance/sitepages/landing.aspx/PMO?itemid=11669"/>
      </x:ext>
    </extLst>
  </threadedComment>
  <threadedComment ref="O13" dT="2026-06-18T19:51:13.26" personId="{574F1AB3-8B7C-40EB-89E3-BB2E0C817D73}" id="{BB7976F2-EDAF-4AF7-B8A4-F43F20C86DA3}">
    <text xml:space="preserve">@White, Charlotte Hilliard Where would i be able to get more details on this? Please advise. thank you </text>
    <mentions>
      <mention mentionpersonId="{501495C5-0639-4E15-9C50-3303D4C825B6}" mentionId="{3C3C0BDE-9811-4895-B4B1-4E443004419A}" startIndex="0" length="26"/>
    </mentions>
  </threadedComment>
  <threadedComment ref="O14" dT="2026-08-04T13:40:16.40" personId="{574F1AB3-8B7C-40EB-89E3-BB2E0C817D73}" id="{AE8F57FE-8A90-4C32-95DA-06E5D368279D}">
    <text>This is Nik's - shouldn't be in Ram's. Its Nik's CC. @White, Charlotte Hilliard @Wilkins, Tanya @Hoffman, Kerry</text>
    <mentions>
      <mention mentionpersonId="{501495C5-0639-4E15-9C50-3303D4C825B6}" mentionId="{5D9231C3-FC23-48A6-A8F4-F79A16770412}" startIndex="53" length="26"/>
      <mention mentionpersonId="{A7AA6105-FC99-46D9-B5F8-B84AFBD735AA}" mentionId="{E4992D20-0EC3-47F3-B32F-39D73914D012}" startIndex="80" length="15"/>
      <mention mentionpersonId="{74FB42F2-106B-4E07-880A-02BCE8D428D0}" mentionId="{65F52C0E-9C1B-4E51-A685-BE8538B34DEB}" startIndex="96" length="15"/>
    </mentions>
  </threadedComment>
  <threadedComment ref="O17" dT="2026-04-29T18:35:54.88" personId="{574F1AB3-8B7C-40EB-89E3-BB2E0C817D73}" id="{3B74B120-8E06-4069-AC17-1F720B643788}" done="1">
    <text>Forecast already reduced by $400K as compared to LE0, given to Chris.</text>
  </threadedComment>
  <threadedComment ref="AE22" dT="2026-06-25T12:40:06.25" personId="{574F1AB3-8B7C-40EB-89E3-BB2E0C817D73}" id="{D7952798-68B3-49E1-8D66-6ECE21A3B53F}">
    <text>Initially had $17,440.00, Role transitioned to IBM from Judge - awaiting on new candidate to finalize. Zeroing it out.</text>
  </threadedComment>
  <threadedComment ref="AL24" dT="2026-05-05T15:38:09.85" personId="{574F1AB3-8B7C-40EB-89E3-BB2E0C817D73}" id="{31D78BF6-74CC-43B2-92E5-E143B3F59D6D}">
    <text>10% Accenture savings added from Jun-Dec.</text>
  </threadedComment>
  <threadedComment ref="L25" dT="2026-04-30T17:53:55.78" personId="{574F1AB3-8B7C-40EB-89E3-BB2E0C817D73}" id="{54758BDB-FA0A-4FC0-A7A6-CC21F5DE3B14}">
    <text>Srinivasan.S.Venkataramanan@pfizer.co - For all BPAI</text>
  </threadedComment>
  <threadedComment ref="O26" dT="2026-08-04T14:53:59.59" personId="{574F1AB3-8B7C-40EB-89E3-BB2E0C817D73}" id="{991EA23A-4744-4CCE-B034-64096EC1997B}">
    <text>As per Srini - The replacement IBM resource is scheduled to be onboarded next week. I’ll then process a negative change order and close the PO later in AUG. we will have a new IBM PO from Aug.</text>
  </threadedComment>
  <threadedComment ref="T29" dT="2026-06-22T20:01:16.02" personId="{CB858D31-DDF6-49E9-988F-4F795721B1B6}" id="{409939C2-9339-4239-9415-95AA46FD3062}">
    <text>Added comment</text>
  </threadedComment>
  <threadedComment ref="AE41" dT="2026-06-25T22:26:12.40" personId="{574F1AB3-8B7C-40EB-89E3-BB2E0C817D73}" id="{5A54B565-6FE6-45A0-BB26-0F27925044F7}">
    <text>AP05 Accrual reversals on 2 POs</text>
  </threadedComment>
  <threadedComment ref="AL41" dT="2026-05-05T15:41:14.55" personId="{574F1AB3-8B7C-40EB-89E3-BB2E0C817D73}" id="{9560A99A-3022-4D4F-B573-F734139BD69D}">
    <text>Accenture 10% savings added for April.</text>
  </threadedComment>
  <threadedComment ref="O43" dT="2026-06-17T21:23:30.26" personId="{574F1AB3-8B7C-40EB-89E3-BB2E0C817D73}" id="{9BEC8348-C22E-4AD3-8311-093FB4A17FEE}">
    <text>Due to International PO, Currency conversion fluctuates the invoice amounts every month.</text>
  </threadedComment>
  <threadedComment ref="O44" dT="2026-08-07T14:11:36.95" personId="{CB858D31-DDF6-49E9-988F-4F795721B1B6}" id="{6D412DA3-DC12-4C1C-8EC8-900BB8991231}">
    <text>Added WBS code to this new line item</text>
  </threadedComment>
  <threadedComment ref="AJ44" dT="2026-08-06T19:52:32.45" personId="{CB858D31-DDF6-49E9-988F-4F795721B1B6}" id="{605FA935-71CD-491D-A16E-DB0AC497D1A1}">
    <text>Will reclass to 2026 ERP LC project</text>
  </threadedComment>
  <threadedComment ref="AK44" dT="2026-08-06T19:52:32.45" personId="{CB858D31-DDF6-49E9-988F-4F795721B1B6}" id="{8510F8D9-51D3-4FA7-A871-9A6F2FBF5E63}">
    <text>Will reclass to 2026 ERP LC project</text>
  </threadedComment>
  <threadedComment ref="O45" dT="2026-06-04T21:23:37.59" personId="{574F1AB3-8B7C-40EB-89E3-BB2E0C817D73}" id="{EB0111B6-D673-4D25-8109-D6D293F00B15}">
    <text>This WBS got pulled in CC/WBS report.</text>
  </threadedComment>
  <threadedComment ref="T45" dT="2026-06-22T20:01:21.05" personId="{CB858D31-DDF6-49E9-988F-4F795721B1B6}" id="{DB7593D5-EA94-4C9A-A62D-E761DFCA4535}">
    <text>Added comment</text>
  </threadedComment>
  <threadedComment ref="AM45" dT="2026-08-03T17:56:25.77" personId="{CC497235-42B2-452E-BB5C-404562BE634F}" id="{6AB483F1-1E4D-4ACF-93DA-BCCF62388B0D}">
    <text>Updated actuals for AP4-AP7; offsetting lines are in EnhanceChargeout001</text>
  </threadedComment>
  <threadedComment ref="O49" dT="2026-06-04T21:29:54.67" personId="{574F1AB3-8B7C-40EB-89E3-BB2E0C817D73}" id="{AB11D2E0-173C-4D94-B995-BB4EFD01E76B}">
    <text>Dint got pulled in CC/WBS Report</text>
  </threadedComment>
  <threadedComment ref="O53" dT="2026-04-29T17:50:51.57" personId="{574F1AB3-8B7C-40EB-89E3-BB2E0C817D73}" id="{13C7B340-30B8-464B-98EF-C581A064FBD4}">
    <text>There are 4 PO's - 1 PO9501143554 was incorrectly coded. Added to forecast. 9501143554, 9501157382, 9501158432, 9501157088</text>
  </threadedComment>
  <threadedComment ref="O53" dT="2026-06-17T16:35:18.73" personId="{574F1AB3-8B7C-40EB-89E3-BB2E0C817D73}" id="{0E94EE20-2E53-4E98-9FA6-3D9A626AEC95}" parentId="{13C7B340-30B8-464B-98EF-C581A064FBD4}">
    <text>@Meadows, Leslie Savings from IBM S2 PO9501158432 for about $80K.</text>
    <mentions>
      <mention mentionpersonId="{EC554CCA-E29D-43FA-BA6B-59F8B24C668D}" mentionId="{9A32E64A-5D1B-47AA-9C96-28B437ECF739}" startIndex="0" length="16"/>
    </mentions>
  </threadedComment>
  <threadedComment ref="O53" dT="2026-08-10T19:21:18.91" personId="{574F1AB3-8B7C-40EB-89E3-BB2E0C817D73}" id="{CC7FCAA8-07A2-4A30-8EBF-B80CA0CEA9E5}" parentId="{13C7B340-30B8-464B-98EF-C581A064FBD4}">
    <text>@Meadows, Leslie</text>
    <mentions>
      <mention mentionpersonId="{EC554CCA-E29D-43FA-BA6B-59F8B24C668D}" mentionId="{47564CB9-51B8-48E4-BAD7-756D0FBDDB3D}" startIndex="0" length="16"/>
    </mentions>
  </threadedComment>
  <threadedComment ref="T54" dT="2026-08-12T18:35:45.78" personId="{574F1AB3-8B7C-40EB-89E3-BB2E0C817D73}" id="{5F01E9F8-04E8-4FDA-B8D5-F23E4A006C4C}">
    <text>Original spent is $198,771.00. Budget was $216K but spent is $198,771.00 due Accenture 10% savings. ($17K).</text>
  </threadedComment>
  <threadedComment ref="AE54" dT="2026-06-25T14:48:03.39" personId="{574F1AB3-8B7C-40EB-89E3-BB2E0C817D73}" id="{927E55D3-8F22-4B2F-9C51-32C6176D6704}">
    <text>$37K Reclass was planned in S2, but as per Leslie getting done it in S1 to keep S2 clean. (Fieldglass PO9501134668 incorrect coding).</text>
  </threadedComment>
  <threadedComment ref="AL54" dT="2026-05-05T15:43:09.69" personId="{574F1AB3-8B7C-40EB-89E3-BB2E0C817D73}" id="{B4EB6C2A-40CF-483A-B265-E936995B317D}">
    <text>Accenture 10% savings added in May. $17K</text>
  </threadedComment>
  <threadedComment ref="O56" dT="2026-06-04T21:29:27.20" personId="{574F1AB3-8B7C-40EB-89E3-BB2E0C817D73}" id="{F8E683DF-57D9-44E2-BBDE-F4493CEE8D64}">
    <text>This WBS got pulled in CC/WBS report.</text>
  </threadedComment>
  <threadedComment ref="O57" dT="2026-06-04T21:29:31.22" personId="{574F1AB3-8B7C-40EB-89E3-BB2E0C817D73}" id="{941E2610-EB7A-4DF1-A11E-E37D6CE4CA63}">
    <text>This WBS got pulled in CC/WBS report.</text>
  </threadedComment>
  <threadedComment ref="O59" dT="2026-08-03T13:36:21.76" personId="{CC497235-42B2-452E-BB5C-404562BE634F}" id="{BCCA6D19-61A3-4172-8BBF-16E28A0D378C}">
    <text>IT-FBT0393-OG-JP-00 replaced by new WBS code</text>
  </threadedComment>
  <threadedComment ref="O66" dT="2026-04-29T17:43:57.17" personId="{574F1AB3-8B7C-40EB-89E3-BB2E0C817D73}" id="{8E9A2A07-A693-4782-9C68-C231E0607274}">
    <text>AP02 Accrual Reversal - Resource offboarded.</text>
  </threadedComment>
  <threadedComment ref="AL71" dT="2026-08-10T16:23:31.57" personId="{0DF713CB-D417-49E7-A04A-0166474FC141}" id="{F64DE604-B8EC-4553-8677-69245376EFBD}">
    <text>Moumita to update</text>
  </threadedComment>
  <threadedComment ref="Q72" dT="2026-06-03T13:45:25.83" personId="{CC497235-42B2-452E-BB5C-404562BE634F}" id="{D797F400-CAC8-4F4D-8A8C-E6072E9A2683}">
    <text>2/1/2026-6/30/2026</text>
  </threadedComment>
  <threadedComment ref="Q78" dT="2026-06-03T13:53:54.12" personId="{CC497235-42B2-452E-BB5C-404562BE634F}" id="{5A58CD53-C376-4B58-B670-C0E6535EEADC}">
    <text>1/1/2026-6/30/2026</text>
  </threadedComment>
  <threadedComment ref="Q97" dT="2026-06-03T14:35:05.48" personId="{CC497235-42B2-452E-BB5C-404562BE634F}" id="{527461FD-B1D5-4E0C-B845-EDC2DB5B3B09}">
    <text>1/2026-12/2026</text>
  </threadedComment>
  <threadedComment ref="AL115" dT="2026-08-10T13:08:46.44" personId="{0DF713CB-D417-49E7-A04A-0166474FC141}" id="{9D1624A0-135A-459A-B02F-C278C6CBF4F8}">
    <text>SV to close this PO to end 2WM but 124K is the FY total</text>
  </threadedComment>
  <threadedComment ref="Q117" dT="2026-06-03T14:00:32.78" personId="{CC497235-42B2-452E-BB5C-404562BE634F}" id="{97271986-8043-4DD2-948C-360226B99783}">
    <text>4/1/2026-9/30/2026</text>
  </threadedComment>
  <threadedComment ref="Q131" dT="2026-06-03T14:30:35.80" personId="{CC497235-42B2-452E-BB5C-404562BE634F}" id="{65676348-46B0-4533-BC3A-8EA6E51682DB}">
    <text>4/1/2026-6/30/2026</text>
  </threadedComment>
  <threadedComment ref="AG131" dT="2026-08-10T17:50:14.15" personId="{0DF713CB-D417-49E7-A04A-0166474FC141}" id="{69DB3670-6B79-4994-A870-BF01EB06CA33}">
    <text>Added reclass to be performed by team for invoices that hit Raj’s cost center</text>
  </threadedComment>
  <threadedComment ref="AD132" dT="2026-08-10T19:29:25.23" personId="{DDFF6DDF-6F0F-46B2-A1BA-992E5A209912}" id="{E66B0905-9BDF-461D-BB13-E69810CBA80F}">
    <text>@White, Charlotte Hilliard  - I am not sure where this actual number came. This is leading to some discrepancy in calculations</text>
    <mentions>
      <mention mentionpersonId="{501495C5-0639-4E15-9C50-3303D4C825B6}" mentionId="{8AEF7867-12AD-47D8-AA61-F5151A02244B}" startIndex="0" length="26"/>
    </mentions>
  </threadedComment>
  <threadedComment ref="AL141" dT="2026-05-05T15:39:55.13" personId="{574F1AB3-8B7C-40EB-89E3-BB2E0C817D73}" id="{20FCFDE4-0BB2-4893-8982-CE87D6AECB5A}">
    <text>10% Accenture savings added from Apr-Dec</text>
  </threadedComment>
  <threadedComment ref="O208" dT="2026-04-29T15:24:19.98" personId="{574F1AB3-8B7C-40EB-89E3-BB2E0C817D73}" id="{58532A22-7F31-48C8-A0D0-82160821B82B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F32FAE7B-EA9B-4996-8A79-3EAA8C211E3D}" startIndex="0" length="12"/>
      <mention mentionpersonId="{501495C5-0639-4E15-9C50-3303D4C825B6}" mentionId="{1E654A62-57EC-4851-A2D7-031F26621D35}" startIndex="13" length="26"/>
    </mentions>
  </threadedComment>
  <threadedComment ref="O208" dT="2026-05-01T13:34:36.88" personId="{574F1AB3-8B7C-40EB-89E3-BB2E0C817D73}" id="{A92AB522-5F45-43A5-B559-9D2AF7A426A6}" parentId="{58532A22-7F31-48C8-A0D0-82160821B82B}">
    <text>Forecast zeroed out on 5/1/26 - Give back $183K.</text>
  </threadedComment>
  <threadedComment ref="O208" dT="2026-06-18T11:29:50.90" personId="{574F1AB3-8B7C-40EB-89E3-BB2E0C817D73}" id="{383DEEA1-28E9-4AF7-9AD6-F66A44B1F021}" parentId="{58532A22-7F31-48C8-A0D0-82160821B82B}">
    <text>Per Leslie - Fieldglass, no payment is due in 2026 for support under IBM. It will resume in 2027 @ $169,020</text>
  </threadedComment>
  <threadedComment ref="O209" dT="2026-06-25T14:03:48.74" personId="{574F1AB3-8B7C-40EB-89E3-BB2E0C817D73}" id="{D2BEF0B3-D36D-4673-96DF-5D8E95EF8D59}">
    <text>@Meadows, Leslie Hello @Meadows, Leslie Do you know who should we reach out to for this line item?</text>
    <mentions>
      <mention mentionpersonId="{EC554CCA-E29D-43FA-BA6B-59F8B24C668D}" mentionId="{2B93E3C0-FC4B-4D65-9B9D-D62C2ED01A70}" startIndex="0" length="16"/>
      <mention mentionpersonId="{EC554CCA-E29D-43FA-BA6B-59F8B24C668D}" mentionId="{302864BF-4BDA-40EA-808E-06EE83E53D5C}" startIndex="23" length="16"/>
    </mentions>
  </threadedComment>
  <threadedComment ref="O209" dT="2026-07-07T15:53:11.96" personId="{574F1AB3-8B7C-40EB-89E3-BB2E0C817D73}" id="{46CCA7E7-2FB9-4E40-86DA-4F39D1F115B8}" parentId="{D2BEF0B3-D36D-4673-96DF-5D8E95EF8D59}">
    <text>To be discussed with Ram 1:1.</text>
  </threadedComment>
  <threadedComment ref="O209" dT="2026-08-07T15:29:44.11" personId="{574F1AB3-8B7C-40EB-89E3-BB2E0C817D73}" id="{2321300D-D6F2-4D8C-8550-FCC2A829132E}" parentId="{D2BEF0B3-D36D-4673-96DF-5D8E95EF8D59}">
    <text>forecast added. Need new WBS to create PO.</text>
  </threadedComment>
  <threadedComment ref="O210" dT="2026-06-25T14:09:43.51" personId="{574F1AB3-8B7C-40EB-89E3-BB2E0C817D73}" id="{27BA0B7F-EC46-4644-980A-461D2DC68503}">
    <text>@Meadows, Leslie Please advise who should we reach out for this line item? Nothing hit until now.</text>
    <mentions>
      <mention mentionpersonId="{EC554CCA-E29D-43FA-BA6B-59F8B24C668D}" mentionId="{41AA78D5-5369-4F46-B40C-1F9CA33BE501}" startIndex="0" length="16"/>
    </mentions>
  </threadedComment>
  <threadedComment ref="O210" dT="2026-07-07T16:04:29.53" personId="{574F1AB3-8B7C-40EB-89E3-BB2E0C817D73}" id="{D5964A74-54B8-481E-AE06-B5E5B6A23234}" parentId="{27BA0B7F-EC46-4644-980A-461D2DC68503}">
    <text>to be discussed with Ram 1:1</text>
  </threadedComment>
  <threadedComment ref="O210" dT="2026-08-07T15:31:20.50" personId="{574F1AB3-8B7C-40EB-89E3-BB2E0C817D73}" id="{2193924C-89B9-4C80-A17E-1A6F5075C6E5}" parentId="{27BA0B7F-EC46-4644-980A-461D2DC68503}">
    <text>forecast added. Need new WBS to create PO.</text>
  </threadedComment>
  <threadedComment ref="K211" dT="2026-07-09T16:27:26.54" personId="{574F1AB3-8B7C-40EB-89E3-BB2E0C817D73}" id="{E8224E46-F8FB-4447-AED5-E68DAB7B9043}">
    <text>Working with Ram</text>
  </threadedComment>
  <threadedComment ref="O221" dT="2026-06-25T22:06:16.53" personId="{574F1AB3-8B7C-40EB-89E3-BB2E0C817D73}" id="{6E9596F8-D94E-44B9-B6AB-9879AA98F1BE}">
    <text>@White, Charlotte Hilliard May I please get more details on these charges as i couldn't find this in the actuals file. @Wilkins, Tanya</text>
    <mentions>
      <mention mentionpersonId="{501495C5-0639-4E15-9C50-3303D4C825B6}" mentionId="{5E779AE4-1F9D-4E4E-A2B6-DA56ED259B0C}" startIndex="0" length="26"/>
      <mention mentionpersonId="{A7AA6105-FC99-46D9-B5F8-B84AFBD735AA}" mentionId="{F62FC596-7BC7-44E5-B5BD-069B1E21911A}" startIndex="119" length="15"/>
    </mentions>
  </threadedComment>
  <threadedComment ref="AH224" dT="2026-08-07T13:25:25.48" personId="{CB858D31-DDF6-49E9-988F-4F795721B1B6}" id="{BA0F887F-A00E-48E3-8534-08E7E58458AA}">
    <text>Reduced AP09-12 from $56k to $45k based on AVG AP01-07</text>
  </threadedComment>
  <threadedComment ref="O226" dT="2026-04-29T21:19:21.55" personId="{574F1AB3-8B7C-40EB-89E3-BB2E0C817D73}" id="{CC8C0B41-AD43-4600-B43A-BD2BD3929386}">
    <text>@White, Charlotte Hilliard  Please 
change the description to DIGITAL-CLOUD-AWS-CHARGES</text>
    <mentions>
      <mention mentionpersonId="{501495C5-0639-4E15-9C50-3303D4C825B6}" mentionId="{5CE71FEC-E1C4-4BB1-A843-A5EDD8CC9A2F}" startIndex="0" length="26"/>
    </mentions>
  </threadedComment>
  <threadedComment ref="O226" dT="2026-06-18T13:22:52.11" personId="{CC497235-42B2-452E-BB5C-404562BE634F}" id="{A07291DD-B1E0-4569-A071-68DB8898433C}" parentId="{CC8C0B41-AD43-4600-B43A-BD2BD3929386}">
    <text>Previously FBO BT SUN &amp; Oracle Archival Project</text>
  </threadedComment>
  <threadedComment ref="O227" dT="2026-06-15T21:18:40.19" personId="{574F1AB3-8B7C-40EB-89E3-BB2E0C817D73}" id="{ECF6FFC6-CD02-4332-84F5-0F27E8A81E45}">
    <text>PO9501250402 $55K @Meadows, Leslie</text>
    <mentions>
      <mention mentionpersonId="{EC554CCA-E29D-43FA-BA6B-59F8B24C668D}" mentionId="{FA05D49D-B9FE-4D05-BE0C-B952EC276430}" startIndex="18" length="16"/>
    </mentions>
  </threadedComment>
  <threadedComment ref="O227" dT="2026-06-25T18:35:23.39" personId="{574F1AB3-8B7C-40EB-89E3-BB2E0C817D73}" id="{9966A120-D98D-4A1A-85B5-1BBCCA35266D}" parentId="{ECF6FFC6-CD02-4332-84F5-0F27E8A81E45}">
    <text>9501250402 coding change to Leslie in May from Ram's, so it's the variance.</text>
  </threadedComment>
  <threadedComment ref="O227" dT="2026-07-10T15:45:48.98" personId="{574F1AB3-8B7C-40EB-89E3-BB2E0C817D73}" id="{E693CC8D-C7EB-46D6-8619-BE58D0FD16A6}" parentId="{ECF6FFC6-CD02-4332-84F5-0F27E8A81E45}">
    <text>9501258229, 9501258235, 9501271398 &amp; Dynatrace/Splunk Reclass</text>
  </threadedComment>
  <threadedComment ref="Q228" dT="2026-06-03T14:16:57.32" personId="{CC497235-42B2-452E-BB5C-404562BE634F}" id="{2FF30909-E9C8-407D-AC3E-536909AC682C}">
    <text>1/1/2026-6/30/2026</text>
  </threadedComment>
  <threadedComment ref="Q228" dT="2026-07-14T20:00:04.35" personId="{574F1AB3-8B7C-40EB-89E3-BB2E0C817D73}" id="{A0666277-B1F8-40C2-B76F-DF9064BB686D}" parentId="{2FF30909-E9C8-407D-AC3E-536909AC682C}">
    <text>Moved to Leslie.</text>
  </threadedComment>
  <threadedComment ref="O229" dT="2026-04-30T13:58:34.72" personId="{574F1AB3-8B7C-40EB-89E3-BB2E0C817D73}" id="{79E75E69-6D83-4AD1-B514-9E6BA0267236}">
    <text>Reforecasted from June until EOY as per Ram.</text>
  </threadedComment>
  <threadedComment ref="O231" dT="2026-05-06T15:51:41.07" personId="{574F1AB3-8B7C-40EB-89E3-BB2E0C817D73}" id="{8E4566F0-2F65-4EC0-97E1-8F489F0C66D4}">
    <text>As per Leslie's chat, for $245K - $200k is under 1009/46 &amp; 45k is under 'IT-FBT0281-OG-US-00" IBM AMS support agreement </text>
  </threadedComment>
  <threadedComment ref="O231" dT="2026-05-06T15:51:50.51" personId="{574F1AB3-8B7C-40EB-89E3-BB2E0C817D73}" id="{16756E2E-549D-4817-9F70-5B263A2D9713}" parentId="{8E4566F0-2F65-4EC0-97E1-8F489F0C66D4}">
    <text>We have 2 PO's - 9501166164 $4,651,600.00 AND 9501190667 $62,500.00</text>
  </threadedComment>
  <threadedComment ref="T231" dT="2026-05-06T15:51:22.98" personId="{574F1AB3-8B7C-40EB-89E3-BB2E0C817D73}" id="{3F0A9929-606C-41F7-83DC-7F7EE4C8C9BC}">
    <text>As per Leslie's chat, for $245K - $200k is under 1009/46 &amp; 45k is under 'IT-FBT0281-OG-US-00" IBM AMS support agreement </text>
  </threadedComment>
  <threadedComment ref="AM231" dT="2026-06-17T18:09:33.46" personId="{574F1AB3-8B7C-40EB-89E3-BB2E0C817D73}" id="{2688A094-D3EB-421D-BF2F-7DA0B8AF95F0}">
    <text>Over AP05 Auto Accrual</text>
  </threadedComment>
  <threadedComment ref="O232" dT="2026-04-29T18:41:52.55" personId="{574F1AB3-8B7C-40EB-89E3-BB2E0C817D73}" id="{6C775F10-133F-4C9B-8347-4A14FB4C408B}">
    <text>AMS Support Contract was updated -  (Additional Resource was added)</text>
  </threadedComment>
  <threadedComment ref="O232" dT="2026-04-29T18:42:16.97" personId="{574F1AB3-8B7C-40EB-89E3-BB2E0C817D73}" id="{086B1200-8E90-464D-815F-BAA2D6280EA5}" parentId="{6C775F10-133F-4C9B-8347-4A14FB4C408B}">
    <text>9501199822, 9501199827 9501196824</text>
  </threadedComment>
  <threadedComment ref="W232" dT="2026-06-24T12:46:50.15" personId="{574F1AB3-8B7C-40EB-89E3-BB2E0C817D73}" id="{BE7299B2-37E9-4422-8EF0-36F6931CD80B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3F9160BE-2E46-4E50-9D2A-1258CE8F53C0}" startIndex="0" length="15"/>
    </mentions>
  </threadedComment>
  <threadedComment ref="B234" dT="2026-07-17T13:49:15.24" personId="{CC497235-42B2-452E-BB5C-404562BE634F}" id="{3C970CAB-669C-4DD5-A541-3001A3A093A9}">
    <text xml:space="preserve">Expense category was updated from Managed Services to Contractors </text>
  </threadedComment>
  <threadedComment ref="O234" dT="2026-04-30T13:54:13.38" personId="{574F1AB3-8B7C-40EB-89E3-BB2E0C817D73}" id="{FC895424-B6FB-4380-8D7C-3CCDA2379FAA}">
    <text xml:space="preserve">Its a 5 month PO - Removing forecast from July-Dec. thank you </text>
  </threadedComment>
  <threadedComment ref="O234" dT="2026-06-17T20:48:43.77" personId="{574F1AB3-8B7C-40EB-89E3-BB2E0C817D73}" id="{B55B0F3A-AFD9-41E4-8ED5-8A4F514193F4}" parentId="{FC895424-B6FB-4380-8D7C-3CCDA2379FAA}">
    <text>Leslie opened up IBM PO9501275938, so added forecast from June-Dec to capture the spend.</text>
  </threadedComment>
  <threadedComment ref="O234" dT="2026-07-17T15:09:28.58" personId="{CC497235-42B2-452E-BB5C-404562BE634F}" id="{432FD84C-B09E-48A7-9980-D3436C2ADE67}" parentId="{FC895424-B6FB-4380-8D7C-3CCDA2379FAA}">
    <text>Created new line under Contractors and moved the forecast for July-December there</text>
  </threadedComment>
  <threadedComment ref="Q234" dT="2026-07-17T15:04:27.55" personId="{CC497235-42B2-452E-BB5C-404562BE634F}" id="{4882A9BC-37CE-494B-ACC6-25BC8063597F}">
    <text>12/2025-5/2026</text>
  </threadedComment>
  <threadedComment ref="AM237" dT="2026-06-17T21:05:44.84" personId="{574F1AB3-8B7C-40EB-89E3-BB2E0C817D73}" id="{9812CB67-5021-450E-8610-A0E238361F44}">
    <text>Variance because of over auto accruals/reversals.</text>
  </threadedComment>
  <threadedComment ref="O238" dT="2026-04-30T19:00:40.38" personId="{574F1AB3-8B7C-40EB-89E3-BB2E0C817D73}" id="{C6E8497C-65C4-4A3D-A0EB-F8C8EF839FEE}">
    <text>@Panchal, Kinjal (Contractor)  to talk to Ram about this spent.</text>
    <mentions>
      <mention mentionpersonId="{41C1EA72-4B5F-46D2-98ED-92FF8288C6E4}" mentionId="{3664986E-FB8A-4502-B1C1-788F87B1D656}" startIndex="0" length="29"/>
    </mentions>
  </threadedComment>
  <threadedComment ref="O238" dT="2026-04-30T19:11:31.08" personId="{574F1AB3-8B7C-40EB-89E3-BB2E0C817D73}" id="{70D16D11-91C3-4035-99D5-1358DFA83467}" parentId="{C6E8497C-65C4-4A3D-A0EB-F8C8EF839FEE}">
    <text>Contacted Ram</text>
  </threadedComment>
  <threadedComment ref="O238" dT="2026-06-18T10:19:45.46" personId="{574F1AB3-8B7C-40EB-89E3-BB2E0C817D73}" id="{526504A8-E2FB-47EC-BEFB-09DF3324AE47}" parentId="{C6E8497C-65C4-4A3D-A0EB-F8C8EF839FEE}">
    <text>It has been moved from Ram to Chris - Task Completed.</text>
  </threadedComment>
  <threadedComment ref="O241" dT="2026-06-17T19:46:50.80" personId="{574F1AB3-8B7C-40EB-89E3-BB2E0C817D73}" id="{CDBECE75-F4F8-4CAA-9033-A49E34E0507A}">
    <text>Japan PO - Currency conversion keeps fluctuating actuals every month.</text>
  </threadedComment>
  <threadedComment ref="L243" dT="2026-05-01T15:36:40.25" personId="{574F1AB3-8B7C-40EB-89E3-BB2E0C817D73}" id="{5094145F-366A-4E6A-B234-655E54CB3156}">
    <text>Reviewed with Heather in chat.</text>
  </threadedComment>
  <threadedComment ref="O243" dT="2026-04-30T19:01:58.42" personId="{574F1AB3-8B7C-40EB-89E3-BB2E0C817D73}" id="{E12C240F-753D-4913-87EC-0CD601E006FD}">
    <text>Contacted Jim &amp; Heather - Kinjal</text>
  </threadedComment>
  <threadedComment ref="O247" dT="2026-06-04T21:30:00.70" personId="{574F1AB3-8B7C-40EB-89E3-BB2E0C817D73}" id="{C463EA63-9A09-4259-A613-BA3C637EA1B6}">
    <text>Dint got pulled in CC/WBS Report</text>
  </threadedComment>
  <threadedComment ref="O253" dT="2026-06-16T17:42:48.02" personId="{574F1AB3-8B7C-40EB-89E3-BB2E0C817D73}" id="{FC06342E-983E-42EE-950F-6097C8C765E5}">
    <text>PO9501143554 - Coding needs to be changed, so we don't need to Reclass every month.</text>
  </threadedComment>
  <threadedComment ref="O253" dT="2026-07-10T17:52:01.39" personId="{574F1AB3-8B7C-40EB-89E3-BB2E0C817D73}" id="{E0E18008-3EB9-483C-B706-E7A8D0EF73EA}" parentId="{FC06342E-983E-42EE-950F-6097C8C765E5}">
    <text>Kerry working with Natasha in order to get it corrected.</text>
  </threadedComment>
  <threadedComment ref="K260" dT="2026-06-22T13:35:50.82" personId="{574F1AB3-8B7C-40EB-89E3-BB2E0C817D73}" id="{813B0994-31C9-4B68-A9C2-8D646620322A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C3133E1D-5A27-4F99-8FA0-C5BCEFD9A818}" startIndex="0" length="15"/>
    </mentions>
  </threadedComment>
  <threadedComment ref="T266" dT="2026-06-22T20:29:00.58" personId="{CB858D31-DDF6-49E9-988F-4F795721B1B6}" id="{BC3AAEA2-DAED-4458-9672-24C968D80114}">
    <text>Added comment</text>
  </threadedComment>
  <threadedComment ref="O269" dT="2026-07-07T16:27:05.16" personId="{574F1AB3-8B7C-40EB-89E3-BB2E0C817D73}" id="{273D3E99-F0AD-4B56-87EE-C0213A13260F}">
    <text>2026-XFR-0036-A</text>
  </threadedComment>
  <threadedComment ref="O270" dT="2026-06-18T10:49:12.02" personId="{574F1AB3-8B7C-40EB-89E3-BB2E0C817D73}" id="{B4A2D926-7589-45DB-B232-A1DB396CB27D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15714A2C-1EDC-4BE3-A466-177581D6B486}" startIndex="0" length="26"/>
    </mentions>
  </threadedComment>
  <threadedComment ref="O270" dT="2026-07-07T17:00:18.86" personId="{574F1AB3-8B7C-40EB-89E3-BB2E0C817D73}" id="{5996F333-B454-4BDF-8986-A1F4CBB34310}" parentId="{B4A2D926-7589-45DB-B232-A1DB396CB27D}">
    <text xml:space="preserve">I see it added in Column "AM" now. thanks </text>
  </threadedComment>
  <threadedComment ref="AM278" dT="2026-06-18T10:32:30.90" personId="{574F1AB3-8B7C-40EB-89E3-BB2E0C817D73}" id="{0CE18774-34BA-40A5-9F2C-F7DF65FF528E}">
    <text>Charges came over in AP04/AP05 than the forecast.</text>
  </threadedComment>
  <threadedComment ref="O283" dT="2026-06-16T19:47:56.01" personId="{574F1AB3-8B7C-40EB-89E3-BB2E0C817D73}" id="{8FE56CCB-8E46-4C67-B577-290711B66B3C}">
    <text>@Wilkins, Tanya @White, Charlotte Hilliard May i please get more details on this actual? Can't find it in the actuals file.</text>
    <mentions>
      <mention mentionpersonId="{A7AA6105-FC99-46D9-B5F8-B84AFBD735AA}" mentionId="{2A2037F8-2BEB-4956-9004-A32CEF2EA4E0}" startIndex="0" length="15"/>
      <mention mentionpersonId="{501495C5-0639-4E15-9C50-3303D4C825B6}" mentionId="{1DC962C2-B33A-407D-A3D5-FD0C4428BA4C}" startIndex="16" length="26"/>
    </mentions>
  </threadedComment>
  <threadedComment ref="Q310" dT="2026-06-03T14:35:05.48" personId="{CC497235-42B2-452E-BB5C-404562BE634F}" id="{3EFC2EAD-9900-41F6-BE7F-3FD88D47AADF}">
    <text>1/2026-12/2026</text>
  </threadedComment>
  <threadedComment ref="R375" dT="2026-04-22T17:09:41.45" personId="{CC497235-42B2-452E-BB5C-404562BE634F}" id="{F88F5C96-2CF2-46E4-A5F0-644E8E9123EA}">
    <text>PF: (11,125)</text>
  </threadedComment>
  <threadedComment ref="W401" dT="2026-06-25T22:28:11.47" personId="{574F1AB3-8B7C-40EB-89E3-BB2E0C817D73}" id="{3E74060E-05DF-4C70-B99B-4FCAFA965FA9}">
    <text xml:space="preserve">@White, Charlotte Hilliard @Meadows, Leslie Hello Charlotte, what is this in regards too? Please advise. thank you </text>
    <mentions>
      <mention mentionpersonId="{501495C5-0639-4E15-9C50-3303D4C825B6}" mentionId="{2244FF13-1258-4E96-A621-DAD9031FE6EF}" startIndex="0" length="26"/>
      <mention mentionpersonId="{EC554CCA-E29D-43FA-BA6B-59F8B24C668D}" mentionId="{280E84D1-6C42-4F22-912F-496D343DC1AA}" startIndex="27" length="16"/>
    </mentions>
  </threadedComment>
  <threadedComment ref="AK401" dT="2026-08-10T14:26:23.58" personId="{0DF713CB-D417-49E7-A04A-0166474FC141}" id="{7099BD8D-43E7-4685-B310-047FCCBEA96D}">
    <text>@Meadows, Leslie @Hoffman, Kerry @Panchal, Kinjal (Contractor) - Is this placeholder still needed? Have we aligned SAP charges for the remainder of the year?</text>
    <mentions>
      <mention mentionpersonId="{EC554CCA-E29D-43FA-BA6B-59F8B24C668D}" mentionId="{4A83650C-BB8D-40E4-B107-997085B01EB9}" startIndex="0" length="16"/>
      <mention mentionpersonId="{74FB42F2-106B-4E07-880A-02BCE8D428D0}" mentionId="{EF67F7DE-345C-4F50-9049-924AE2C6A353}" startIndex="17" length="15"/>
      <mention mentionpersonId="{41C1EA72-4B5F-46D2-98ED-92FF8288C6E4}" mentionId="{5C796FE6-558F-4928-B0DB-FBB71E9C18C2}" startIndex="33" length="29"/>
    </mentions>
  </threadedComment>
  <threadedComment ref="O402" dT="2026-06-24T19:04:01.53" personId="{574F1AB3-8B7C-40EB-89E3-BB2E0C817D73}" id="{7AAE004F-F0AE-495C-A27C-6C4F32B3E81A}">
    <text>@Meadows, Leslie Does this look ok to you?</text>
    <mentions>
      <mention mentionpersonId="{EC554CCA-E29D-43FA-BA6B-59F8B24C668D}" mentionId="{767E389C-E4E1-44B6-A8C9-027EC24F49E0}" startIndex="0" length="16"/>
    </mentions>
  </threadedComment>
  <threadedComment ref="O403" dT="2026-06-24T19:03:30.43" personId="{574F1AB3-8B7C-40EB-89E3-BB2E0C817D73}" id="{8FFC269C-DFE2-47C1-B404-75AA1BDB3667}">
    <text>@Meadows, Leslie Does this look good?</text>
    <mentions>
      <mention mentionpersonId="{EC554CCA-E29D-43FA-BA6B-59F8B24C668D}" mentionId="{C2FA8E20-7C22-4EFA-8AF8-78A87CBD3F24}" startIndex="0" length="16"/>
    </mentions>
  </threadedComment>
  <threadedComment ref="O404" dT="2026-06-25T13:56:28.37" personId="{574F1AB3-8B7C-40EB-89E3-BB2E0C817D73}" id="{29117ABD-5355-49CB-9771-4F6146AC2C18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O405" dT="2026-06-25T13:57:28.97" personId="{574F1AB3-8B7C-40EB-89E3-BB2E0C817D73}" id="{16BB8696-74D0-4127-8AF6-84BC3869CB96}">
    <text xml:space="preserve">As per MH - 0017-B: Middleware Integration (~$300K) [CJD] I believe this was a transfer from Lynne DH MH – Yes, this is from the same budget transfer and is recurring.
</text>
  </threadedComment>
  <threadedComment ref="O405" dT="2026-08-03T13:39:30.45" personId="{CC497235-42B2-452E-BB5C-404562BE634F}" id="{A8C2AC28-A619-4AE7-A7D7-A2D647A7CE5B}" parentId="{16BB8696-74D0-4127-8AF6-84BC3869CB96}">
    <text>New code created - IT-PGS0055-OG-US-00</text>
  </threadedComment>
  <threadedComment ref="O407" dT="2026-07-07T16:26:41.99" personId="{574F1AB3-8B7C-40EB-89E3-BB2E0C817D73}" id="{F5D4D048-C765-43AA-ABB0-C36555B63041}">
    <text>IT-MGS0202-OG-US-00</text>
  </threadedComment>
  <threadedComment ref="O408" dT="2026-04-29T18:50:36.39" personId="{574F1AB3-8B7C-40EB-89E3-BB2E0C817D73}" id="{C79572BF-7825-43AD-ACB5-CD2800858710}">
    <text>Give back.</text>
  </threadedComment>
  <threadedComment ref="O408" dT="2026-07-10T14:50:21.32" personId="{574F1AB3-8B7C-40EB-89E3-BB2E0C817D73}" id="{296D79F8-3BA3-42CF-B003-396F5D5FCFC6}" parentId="{C79572BF-7825-43AD-ACB5-CD2800858710}">
    <text>5/15 CHW - Syniti paid thru 12/30/2027; 2026 Budget Transfer</text>
  </threadedComment>
  <threadedComment ref="O416" dT="2026-06-25T22:11:59.25" personId="{574F1AB3-8B7C-40EB-89E3-BB2E0C817D73}" id="{92CE48AA-B1E5-4815-881D-39DC4A0F043B}">
    <text>@Wilkins, Tanya May i please get more details on actuals.</text>
    <mentions>
      <mention mentionpersonId="{A7AA6105-FC99-46D9-B5F8-B84AFBD735AA}" mentionId="{50EBCC52-A483-4AE3-9B79-8BBF194C98B9}" startIndex="0" length="15"/>
    </mentions>
  </threadedComment>
  <threadedComment ref="O420" dT="2026-08-04T14:29:09.51" personId="{574F1AB3-8B7C-40EB-89E3-BB2E0C817D73}" id="{BE4B93C3-2479-4C5F-AC8F-68FFC8154B19}">
    <text>@Wilkins, Tanya What project code is this for?</text>
    <mentions>
      <mention mentionpersonId="{A7AA6105-FC99-46D9-B5F8-B84AFBD735AA}" mentionId="{4319BEAF-497E-4A99-9441-2271AD0BF969}" startIndex="0" length="15"/>
    </mentions>
  </threadedComment>
  <threadedComment ref="O421" dT="2026-06-18T19:51:22.76" personId="{574F1AB3-8B7C-40EB-89E3-BB2E0C817D73}" id="{BFD0C633-326D-4872-BD15-AEE63CACEC5E}">
    <text xml:space="preserve">@White, Charlotte Hilliard Where would i be able to get more details on this? Please advise. thank you </text>
    <mentions>
      <mention mentionpersonId="{501495C5-0639-4E15-9C50-3303D4C825B6}" mentionId="{7FE968DD-7E1B-4CBB-BD56-2E8A27277B87}" startIndex="0" length="26"/>
    </mentions>
  </threadedComment>
  <threadedComment ref="O434" dT="2026-08-04T13:15:44.25" personId="{574F1AB3-8B7C-40EB-89E3-BB2E0C817D73}" id="{715F97BA-EE00-4116-BF56-97972507BA05}">
    <text>Can we please have more details about the charges?</text>
  </threadedComment>
  <threadedComment ref="O442" dT="2026-07-07T16:27:01.18" personId="{574F1AB3-8B7C-40EB-89E3-BB2E0C817D73}" id="{F09C5FA1-D7F1-4F91-9B3E-8E6EFA823B44}">
    <text>2026-XFR-0036-A</text>
  </threadedComment>
  <threadedComment ref="R444" dT="2026-04-22T17:17:44.32" personId="{CC497235-42B2-452E-BB5C-404562BE634F}" id="{7FBBA2CE-604C-4786-98EB-FF69ECDC6162}">
    <text>PF: (146,492.83) - PO9501159633</text>
  </threadedComment>
  <threadedComment ref="AM452" dT="2026-06-25T20:07:15.98" personId="{574F1AB3-8B7C-40EB-89E3-BB2E0C817D73}" id="{713B289C-51AF-4394-AFCD-C6D3C9458BF8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998917EB-AB3A-4E36-9D13-1704303E7DF7}" startIndex="0" length="15"/>
      <mention mentionpersonId="{501495C5-0639-4E15-9C50-3303D4C825B6}" mentionId="{B65778C4-7A52-4292-9A10-9DD997458FD6}" startIndex="16" length="26"/>
    </mentions>
  </threadedComment>
  <threadedComment ref="AM479" dT="2026-06-25T20:07:30.36" personId="{574F1AB3-8B7C-40EB-89E3-BB2E0C817D73}" id="{F04ED0CC-C03D-42CB-AED0-FDDFE399765B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F74B1FC1-ABAF-4548-8C2F-1A64F691EEAE}" startIndex="0" length="15"/>
      <mention mentionpersonId="{501495C5-0639-4E15-9C50-3303D4C825B6}" mentionId="{302FD423-2980-4B90-838B-8F065EA34A09}" startIndex="16" length="26"/>
    </mentions>
  </threadedComment>
  <threadedComment ref="AM492" dT="2026-06-25T20:07:34.70" personId="{574F1AB3-8B7C-40EB-89E3-BB2E0C817D73}" id="{DF7A76D8-DC10-47F0-B72B-125238C832C4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C01A68BC-373F-44D8-9461-13F8A93DB0E0}" startIndex="0" length="15"/>
      <mention mentionpersonId="{501495C5-0639-4E15-9C50-3303D4C825B6}" mentionId="{CE90EEDF-E796-4DBA-9556-84D7ADEFA11E}" startIndex="16" length="26"/>
    </mentions>
  </threadedComment>
  <threadedComment ref="O494" dT="2026-04-30T16:22:32.81" personId="{574F1AB3-8B7C-40EB-89E3-BB2E0C817D73}" id="{C11A5FA3-24C2-4C0A-85A9-95E714196962}">
    <text>11/19/2025 invoiced in full for March 26-27 $2561.61 - PO9501071587</text>
  </threadedComment>
  <threadedComment ref="O499" dT="2026-08-12T19:07:47.93" personId="{574F1AB3-8B7C-40EB-89E3-BB2E0C817D73}" id="{AC74527C-CAB3-4B2C-AAE5-3BE0C5A3C80D}">
    <text xml:space="preserve">This has Ram's CC - Need to know if its Leslie's or Ram's.
</text>
  </threadedComment>
  <threadedComment ref="O509" dT="2026-04-29T17:28:52.58" personId="{574F1AB3-8B7C-40EB-89E3-BB2E0C817D73}" id="{FA88CF33-4CBE-4B25-8AFD-892B6CC25AA7}">
    <text>@Orth, Susan Increase is due to increase in Licensing fees by DevSecOps.</text>
    <mentions>
      <mention mentionpersonId="{1BB14750-A056-4F6B-802E-F7C8B59F8F40}" mentionId="{561B3E37-86ED-4D59-ADAB-D25C98A95FD4}" startIndex="0" length="12"/>
    </mentions>
  </threadedComment>
  <threadedComment ref="AD512" dT="2026-05-01T19:18:46.56" personId="{E5DDB7AC-0E3B-43D3-B290-A0C2DE0E4CA6}" id="{9715EF3E-5D55-406C-BBBE-BF81C24DED25}">
    <text>@Panchal, Kinjal (Contractor) - credit applied</text>
    <mentions>
      <mention mentionpersonId="{41C1EA72-4B5F-46D2-98ED-92FF8288C6E4}" mentionId="{FF9FE1C5-214C-4F1C-B75A-4B585F8B50E3}" startIndex="0" length="29"/>
    </mentions>
  </threadedComment>
  <threadedComment ref="AD512" dT="2026-05-04T14:42:23.69" personId="{2F28E56F-FEAA-43E9-B12B-6DB43EF0AD98}" id="{716CE25E-C996-4CB7-B108-0241D798E4BF}" parentId="{9715EF3E-5D55-406C-BBBE-BF81C24DED25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1AB8A8D1-66BF-4E9F-9F61-63A84D87546B}" startIndex="0" length="16"/>
    </mentions>
  </threadedComment>
  <threadedComment ref="AD512" dT="2026-05-06T16:36:37.60" personId="{574F1AB3-8B7C-40EB-89E3-BB2E0C817D73}" id="{7A8197D3-AF7D-480D-83F9-806ACF25D1ED}" parentId="{9715EF3E-5D55-406C-BBBE-BF81C24DED25}">
    <text>Credit of $76K applied to PO9501258249. 
PO9501258100</text>
  </threadedComment>
  <threadedComment ref="AE512" dT="2026-06-25T21:46:32.62" personId="{574F1AB3-8B7C-40EB-89E3-BB2E0C817D73}" id="{FAF61189-E829-42EC-8C65-85C5E5276B82}">
    <text xml:space="preserve">AP05 Accruals will be reversed and $76K credit will be posted. </text>
  </threadedComment>
  <threadedComment ref="K520" dT="2026-06-22T13:43:18.79" personId="{574F1AB3-8B7C-40EB-89E3-BB2E0C817D73}" id="{7A4FF359-C1B1-4F6D-BF74-25C16D7DEA9B}">
    <text>Discuss with Kerry</text>
  </threadedComment>
  <threadedComment ref="K520" dT="2026-06-22T13:55:42.33" personId="{574F1AB3-8B7C-40EB-89E3-BB2E0C817D73}" id="{38B2EC62-862D-4628-BEA1-D3BE8230580A}" parentId="{7A4FF359-C1B1-4F6D-BF74-25C16D7DEA9B}">
    <text>added to June until get more details from Leslie/Kerry.</text>
  </threadedComment>
  <threadedComment ref="K520" dT="2026-06-30T19:41:39.73" personId="{574F1AB3-8B7C-40EB-89E3-BB2E0C817D73}" id="{C9A6E623-3C9C-4B38-AF20-63E28AA86CD5}" parentId="{7A4FF359-C1B1-4F6D-BF74-25C16D7DEA9B}">
    <text>@Meadows, Leslie @Hoffman, Kerry Do we know what this charges are for Karla? Please advise.</text>
    <mentions>
      <mention mentionpersonId="{EC554CCA-E29D-43FA-BA6B-59F8B24C668D}" mentionId="{F5BF7A92-7FD4-4043-AA8D-A211A0E72A65}" startIndex="0" length="16"/>
      <mention mentionpersonId="{74FB42F2-106B-4E07-880A-02BCE8D428D0}" mentionId="{D9ECB803-EF09-4468-AAD5-963F0D10791E}" startIndex="17" length="15"/>
    </mentions>
  </threadedComment>
  <threadedComment ref="AM522" dT="2026-06-25T20:07:39.28" personId="{574F1AB3-8B7C-40EB-89E3-BB2E0C817D73}" id="{2852F47C-4170-4A6D-9D19-7307EE27EB60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41E6B53F-FCF5-4F94-9DEE-66208C57D45F}" startIndex="0" length="15"/>
      <mention mentionpersonId="{501495C5-0639-4E15-9C50-3303D4C825B6}" mentionId="{57ECA328-BC58-4460-BD0E-E5E945C98929}" startIndex="16" length="26"/>
    </mentions>
  </threadedComment>
  <threadedComment ref="AI525" dT="2026-08-07T14:07:33.22" personId="{CB858D31-DDF6-49E9-988F-4F795721B1B6}" id="{677324F4-09B7-48C3-849D-74217CE8E624}">
    <text>Reduced AP10 and AP12 to $33,703 each so FY Total matches the totals for the 2 PO’s ($313.4k)</text>
  </threadedComment>
  <threadedComment ref="L536" dT="2026-04-30T18:34:12.70" personId="{574F1AB3-8B7C-40EB-89E3-BB2E0C817D73}" id="{4621009F-5047-4B2B-80EC-5BAC86E1A6EC}">
    <text>PO9500996366</text>
  </threadedComment>
  <threadedComment ref="R539" dT="2026-04-22T17:14:01.80" personId="{CC497235-42B2-452E-BB5C-404562BE634F}" id="{DC3B6009-42D6-4F44-9B85-B4DE2E928188}">
    <text>PF: (14,353.40) - PO9501116519</text>
  </threadedComment>
  <threadedComment ref="K542" dT="2026-06-22T14:47:50.21" personId="{574F1AB3-8B7C-40EB-89E3-BB2E0C817D73}" id="{C63D0640-CB30-4EA5-9A37-213AE38E1768}">
    <text>Paul Peterson will be submitting Reclass - Kinjal to contact if not posted as per Srini. - Moved charges to June.</text>
  </threadedComment>
  <threadedComment ref="K542" dT="2026-06-22T14:57:26.08" personId="{574F1AB3-8B7C-40EB-89E3-BB2E0C817D73}" id="{7EAA5E9B-8530-4664-8965-4A3F5434DC63}" parentId="{C63D0640-CB30-4EA5-9A37-213AE38E1768}">
    <text>Awaiting on email reply.</text>
  </threadedComment>
  <threadedComment ref="K542" dT="2026-06-30T20:50:40.93" personId="{574F1AB3-8B7C-40EB-89E3-BB2E0C817D73}" id="{5B6CDE4C-F95C-459E-98AE-D3EB140FEB31}" parentId="{C63D0640-CB30-4EA5-9A37-213AE38E1768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16B5FF3B-1872-4C3C-97F8-DD6BA5FC6E17}" startIndex="13" length="16"/>
    </mentions>
  </threadedComment>
  <threadedComment ref="K542" dT="2026-06-30T20:51:47.45" personId="{574F1AB3-8B7C-40EB-89E3-BB2E0C817D73}" id="{3C1F767C-A3EA-4D1D-885E-2CFB091618F7}" parentId="{C63D0640-CB30-4EA5-9A37-213AE38E1768}">
    <text>Peterson, Paul D &lt;Paul.Peterson@pfizer.com&gt;</text>
  </threadedComment>
  <threadedComment ref="AE542" dT="2026-06-30T20:51:21.71" personId="{574F1AB3-8B7C-40EB-89E3-BB2E0C817D73}" id="{592B2046-0CB5-4DD9-BBB4-7C932C909497}">
    <text>10% uplift added to $144,819.00</text>
  </threadedComment>
  <threadedComment ref="L545" dT="2026-04-30T18:36:42.60" personId="{574F1AB3-8B7C-40EB-89E3-BB2E0C817D73}" id="{1F0A342C-28D6-4DDE-BD44-226C43B9D11B}">
    <text>PO?</text>
  </threadedComment>
  <threadedComment ref="L545" dT="2026-06-24T13:53:17.01" personId="{574F1AB3-8B7C-40EB-89E3-BB2E0C817D73}" id="{28F768A9-E8F8-41F1-A48A-429A048456D8}" parentId="{1F0A342C-28D6-4DDE-BD44-226C43B9D11B}">
    <text>PO9501196586</text>
  </threadedComment>
  <threadedComment ref="AG580" dT="2026-08-10T14:40:57.75" personId="{0DF713CB-D417-49E7-A04A-0166474FC141}" id="{62C374B4-17DD-43DB-A38A-4522E2AE86DE}">
    <text>Follow/up with Kerry et al on PO &amp; Reclass</text>
  </threadedComment>
  <threadedComment ref="O604" dT="2026-07-07T16:58:14.87" personId="{574F1AB3-8B7C-40EB-89E3-BB2E0C817D73}" id="{34162A02-B986-4A69-BE3C-838009A1CEB8}">
    <text>IT-MGS0203-OG-US-00</text>
  </threadedComment>
  <threadedComment ref="AL614" dT="2026-08-10T13:13:45.85" personId="{0DF713CB-D417-49E7-A04A-0166474FC141}" id="{85DBE1F6-7D14-4F8B-9B06-07E9DFC34273}">
    <text>Per MH 48K will indeed happen and eventually this will move to Chris 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" dT="2026-06-24T19:04:01.53" personId="{574F1AB3-8B7C-40EB-89E3-BB2E0C817D73}" id="{63C94BC3-E11A-4B62-ADB4-3CA1EB0BC7B3}">
    <text>@Meadows, Leslie Does this look ok to you?</text>
    <mentions>
      <mention mentionpersonId="{EC554CCA-E29D-43FA-BA6B-59F8B24C668D}" mentionId="{AD47A5D9-E6AF-45DA-BD36-2BFEADA6DC98}" startIndex="0" length="16"/>
    </mentions>
  </threadedComment>
  <threadedComment ref="K9" dT="2026-04-29T15:24:19.98" personId="{574F1AB3-8B7C-40EB-89E3-BB2E0C817D73}" id="{2373C840-2B1B-4E7C-A162-B17BA926FD22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634343CF-01FE-4DFE-80AF-6B194E2390CC}" startIndex="0" length="12"/>
      <mention mentionpersonId="{501495C5-0639-4E15-9C50-3303D4C825B6}" mentionId="{CCD46FBB-F9DC-4A13-9483-02303420E948}" startIndex="13" length="26"/>
    </mentions>
  </threadedComment>
  <threadedComment ref="K9" dT="2026-05-01T13:34:36.88" personId="{574F1AB3-8B7C-40EB-89E3-BB2E0C817D73}" id="{7E1FA58C-DE88-4724-9BAA-7707FEA4DECE}" parentId="{2373C840-2B1B-4E7C-A162-B17BA926FD22}">
    <text>Forecast zeroed out on 5/1/26 - Give back $183K.</text>
  </threadedComment>
  <threadedComment ref="K9" dT="2026-06-18T11:29:50.90" personId="{574F1AB3-8B7C-40EB-89E3-BB2E0C817D73}" id="{44AC26F8-9F3D-4312-B18A-9197D5720D64}" parentId="{2373C840-2B1B-4E7C-A162-B17BA926FD22}">
    <text>Per Leslie - Fieldglass, no payment is due in 2026 for support under IBM. It will resume in 2027 @ $169,020</text>
  </threadedComment>
  <threadedComment ref="K10" dT="2026-06-24T19:03:30.43" personId="{574F1AB3-8B7C-40EB-89E3-BB2E0C817D73}" id="{D8591E2F-EDC0-4C6A-85D1-0807B67383C7}">
    <text>@Meadows, Leslie Does this look good?</text>
    <mentions>
      <mention mentionpersonId="{EC554CCA-E29D-43FA-BA6B-59F8B24C668D}" mentionId="{8720E20E-FC31-4682-9BDF-6D64E45D29D6}" startIndex="0" length="16"/>
    </mentions>
  </threadedComment>
  <threadedComment ref="K14" dT="2026-06-25T13:56:28.37" personId="{574F1AB3-8B7C-40EB-89E3-BB2E0C817D73}" id="{0B7F3A37-1475-4FAC-8C14-FC4D0B48240C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K16" dT="2026-06-25T13:57:28.97" personId="{574F1AB3-8B7C-40EB-89E3-BB2E0C817D73}" id="{D297AFEE-D4BE-473C-983B-D15F92B92C2D}">
    <text xml:space="preserve">As per MH - 0017-B: Middleware Integration (~$300K) [CJD] I believe this was a transfer from Lynne DH MH – Yes, this is from the same budget transfer and is recurring.
</text>
  </threadedComment>
  <threadedComment ref="K18" dT="2026-06-25T14:03:48.74" personId="{574F1AB3-8B7C-40EB-89E3-BB2E0C817D73}" id="{D02ADEB0-46D7-4E60-9AD9-6BAF155D02F9}">
    <text>@Meadows, Leslie Hello @Meadows, Leslie Do you know who should we reach out to for this line item?</text>
    <mentions>
      <mention mentionpersonId="{EC554CCA-E29D-43FA-BA6B-59F8B24C668D}" mentionId="{108459AA-30E5-41B7-88B2-34D907985CC7}" startIndex="0" length="16"/>
      <mention mentionpersonId="{EC554CCA-E29D-43FA-BA6B-59F8B24C668D}" mentionId="{2F8BE8ED-C541-43EC-813A-A82748EFD150}" startIndex="23" length="16"/>
    </mentions>
  </threadedComment>
  <threadedComment ref="K18" dT="2026-07-07T15:53:11.96" personId="{574F1AB3-8B7C-40EB-89E3-BB2E0C817D73}" id="{7A505935-0508-45D4-9D50-A548ACE6DA4E}" parentId="{D02ADEB0-46D7-4E60-9AD9-6BAF155D02F9}">
    <text>To be discussed with Ram 1:1.</text>
  </threadedComment>
  <threadedComment ref="K20" dT="2026-06-25T14:09:43.51" personId="{574F1AB3-8B7C-40EB-89E3-BB2E0C817D73}" id="{D93E6A86-CFF8-44DE-AF74-076932932D75}">
    <text>@Meadows, Leslie Please advise who should we reach out for this line item? Nothing hit until now.</text>
    <mentions>
      <mention mentionpersonId="{EC554CCA-E29D-43FA-BA6B-59F8B24C668D}" mentionId="{610135F1-FFB7-427A-A2B4-91CD51760A91}" startIndex="0" length="16"/>
    </mentions>
  </threadedComment>
  <threadedComment ref="K20" dT="2026-07-07T16:04:29.53" personId="{574F1AB3-8B7C-40EB-89E3-BB2E0C817D73}" id="{AF138626-A76E-4318-B30D-73CCB6D3D1D1}" parentId="{D93E6A86-CFF8-44DE-AF74-076932932D75}">
    <text>to be discussed with Ram 1:1</text>
  </threadedComment>
  <threadedComment ref="G22" dT="2026-07-09T16:27:26.54" personId="{574F1AB3-8B7C-40EB-89E3-BB2E0C817D73}" id="{FCF8306B-2858-4F04-A587-8BE12B9B65AA}">
    <text>Working with Ram</text>
  </threadedComment>
  <threadedComment ref="K32" dT="2026-07-07T16:26:41.99" personId="{574F1AB3-8B7C-40EB-89E3-BB2E0C817D73}" id="{526F8909-D662-48CC-82F9-DA548C67C75E}">
    <text>IT-MGS0202-OG-US-00</text>
  </threadedComment>
  <threadedComment ref="K38" dT="2026-07-07T16:58:14.87" personId="{574F1AB3-8B7C-40EB-89E3-BB2E0C817D73}" id="{8B31F18A-DDF8-4661-9B33-4224D1822BA2}">
    <text>IT-MGS0203-OG-US-00</text>
  </threadedComment>
  <threadedComment ref="K40" dT="2026-04-29T18:50:36.39" personId="{574F1AB3-8B7C-40EB-89E3-BB2E0C817D73}" id="{869533BF-0C8C-4675-8F90-6AAEBC82C7A7}">
    <text>Give back.</text>
  </threadedComment>
  <threadedComment ref="K40" dT="2026-07-10T14:50:21.32" personId="{574F1AB3-8B7C-40EB-89E3-BB2E0C817D73}" id="{9E034765-116B-452F-B53B-C82E5F948B46}" parentId="{869533BF-0C8C-4675-8F90-6AAEBC82C7A7}">
    <text>5/15 CHW - Syniti paid thru 12/30/2027; 2026 Budget Transfer</text>
  </threadedComment>
  <threadedComment ref="AH89" dT="2026-05-05T15:39:55.13" personId="{574F1AB3-8B7C-40EB-89E3-BB2E0C817D73}" id="{CA0A034B-B11E-4F0A-962B-2F1C20B430F1}">
    <text>10% Accenture savings added from Apr-Dec</text>
  </threadedComment>
  <threadedComment ref="K105" dT="2026-06-25T22:11:59.25" personId="{574F1AB3-8B7C-40EB-89E3-BB2E0C817D73}" id="{39BA5EBE-CE33-4D67-A520-E4E155F905B5}">
    <text>@Wilkins, Tanya May i please get more details on actuals.</text>
    <mentions>
      <mention mentionpersonId="{A7AA6105-FC99-46D9-B5F8-B84AFBD735AA}" mentionId="{D784E255-A6B3-4B05-A38E-13A153473438}" startIndex="0" length="15"/>
    </mentions>
  </threadedComment>
  <threadedComment ref="K141" dT="2026-06-25T22:13:07.18" personId="{574F1AB3-8B7C-40EB-89E3-BB2E0C817D73}" id="{353E6FC6-CC57-4B09-A482-8BFB83DE73DE}">
    <text>May i please get more details on actuals. @Wilkins, Tanya</text>
    <mentions>
      <mention mentionpersonId="{A7AA6105-FC99-46D9-B5F8-B84AFBD735AA}" mentionId="{97099E38-5883-4BC6-A946-455FDBCC008E}" startIndex="42" length="15"/>
    </mentions>
  </threadedComment>
  <threadedComment ref="K148" dT="2026-06-25T22:06:16.53" personId="{574F1AB3-8B7C-40EB-89E3-BB2E0C817D73}" id="{FAD9A70F-2C9B-439F-BF59-4AE126A42F0D}">
    <text>@White, Charlotte Hilliard May I please get more details on these charges as i couldn't find this in the actuals file. @Wilkins, Tanya</text>
    <mentions>
      <mention mentionpersonId="{501495C5-0639-4E15-9C50-3303D4C825B6}" mentionId="{438FB8E7-9893-497A-9B78-33C50BDD90AE}" startIndex="0" length="26"/>
      <mention mentionpersonId="{A7AA6105-FC99-46D9-B5F8-B84AFBD735AA}" mentionId="{7A7088A6-1CE1-4D8C-A0FE-31F19DCCC660}" startIndex="119" length="15"/>
    </mentions>
  </threadedComment>
  <threadedComment ref="K150" dT="2026-06-16T13:27:15.32" personId="{574F1AB3-8B7C-40EB-89E3-BB2E0C817D73}" id="{349D7BC4-0977-4FF9-9B68-214BE089703C}">
    <text>ER90410 - GBS/EF - SUPPORT - TESTING COE in AP02 @Meadows, Leslie</text>
    <mentions>
      <mention mentionpersonId="{EC554CCA-E29D-43FA-BA6B-59F8B24C668D}" mentionId="{8F8291A2-733B-4A7C-A134-D2644F70AB5B}" startIndex="49" length="16"/>
    </mentions>
  </threadedComment>
  <threadedComment ref="K150" dT="2026-07-10T15:09:23.43" personId="{574F1AB3-8B7C-40EB-89E3-BB2E0C817D73}" id="{738A91AE-FAC0-455F-A199-24A352FF6F65}" parentId="{349D7BC4-0977-4FF9-9B68-214BE089703C}">
    <text>ER97452 - GBS/EF - SUPPORT - TESTING COE</text>
    <extLst>
      <x:ext xmlns:xltc2="http://schemas.microsoft.com/office/spreadsheetml/2020/threadedcomments2" uri="{F7C98A9C-CBB3-438F-8F68-D28B6AF4A901}">
        <xltc2:checksum>3265925238</xltc2:checksum>
        <xltc2:hyperlink startIndex="0" length="40" url="https://pfizer.sharepoint.com/sites/Enhance/sitepages/landing.aspx/PMO?itemid=11669"/>
      </x:ext>
    </extLst>
  </threadedComment>
  <threadedComment ref="K151" dT="2026-06-18T19:51:13.26" personId="{574F1AB3-8B7C-40EB-89E3-BB2E0C817D73}" id="{ABBAA6C9-8880-4CED-8766-A42E7675D31A}">
    <text xml:space="preserve">@White, Charlotte Hilliard Where would i be able to get more details on this? Please advise. thank you </text>
    <mentions>
      <mention mentionpersonId="{501495C5-0639-4E15-9C50-3303D4C825B6}" mentionId="{7E079AA2-5760-4C1D-A9CA-7FDB4F412E02}" startIndex="0" length="26"/>
    </mentions>
  </threadedComment>
  <threadedComment ref="K156" dT="2026-06-18T19:51:22.76" personId="{574F1AB3-8B7C-40EB-89E3-BB2E0C817D73}" id="{F9468849-9146-445A-923B-E7A4FB72B255}">
    <text xml:space="preserve">@White, Charlotte Hilliard Where would i be able to get more details on this? Please advise. thank you </text>
    <mentions>
      <mention mentionpersonId="{501495C5-0639-4E15-9C50-3303D4C825B6}" mentionId="{D9785F6E-812D-41BC-95F2-0AFB0BB4545B}" startIndex="0" length="26"/>
    </mentions>
  </threadedComment>
  <threadedComment ref="M195" dT="2026-06-03T14:30:35.80" personId="{CC497235-42B2-452E-BB5C-404562BE634F}" id="{AAFF155E-76F0-456C-A2CC-0C800E91AD4E}">
    <text>4/1/2026-6/30/2026</text>
  </threadedComment>
  <threadedComment ref="M199" dT="2026-06-03T13:45:25.83" personId="{CC497235-42B2-452E-BB5C-404562BE634F}" id="{9D39E2AE-ACF4-433F-8800-4263BC0B0E50}">
    <text>2/1/2026-6/30/2026</text>
  </threadedComment>
  <threadedComment ref="K201" dT="2026-04-29T21:19:21.55" personId="{574F1AB3-8B7C-40EB-89E3-BB2E0C817D73}" id="{E761596C-CAF8-4A71-94D7-2648328CF044}">
    <text>@White, Charlotte Hilliard  Please 
change the description to DIGITAL-CLOUD-AWS-CHARGES</text>
    <mentions>
      <mention mentionpersonId="{501495C5-0639-4E15-9C50-3303D4C825B6}" mentionId="{C2FB9AE8-40A3-4C25-A592-97D173EF9D96}" startIndex="0" length="26"/>
    </mentions>
  </threadedComment>
  <threadedComment ref="K201" dT="2026-06-18T13:22:52.11" personId="{CC497235-42B2-452E-BB5C-404562BE634F}" id="{64AE9AA6-CC0C-4225-99E2-56914DDA0B6B}" parentId="{E761596C-CAF8-4A71-94D7-2648328CF044}">
    <text>Previously FBO BT SUN &amp; Oracle Archival Project</text>
  </threadedComment>
  <threadedComment ref="M202" dT="2026-06-03T14:16:57.32" personId="{CC497235-42B2-452E-BB5C-404562BE634F}" id="{79DBDEC2-F94E-474D-A630-114098A8D949}">
    <text>1/1/2026-6/30/2026</text>
  </threadedComment>
  <threadedComment ref="M202" dT="2026-07-14T20:00:04.35" personId="{574F1AB3-8B7C-40EB-89E3-BB2E0C817D73}" id="{F270E482-8B52-40D8-BEA1-C6B39CA3FBD4}" parentId="{79DBDEC2-F94E-474D-A630-114098A8D949}">
    <text>Moved to Leslie.</text>
  </threadedComment>
  <threadedComment ref="K203" dT="2026-06-15T21:18:40.19" personId="{574F1AB3-8B7C-40EB-89E3-BB2E0C817D73}" id="{0BE834A2-E6D5-474C-A1BE-2AE83CF68598}">
    <text>PO9501250402 $55K @Meadows, Leslie</text>
    <mentions>
      <mention mentionpersonId="{EC554CCA-E29D-43FA-BA6B-59F8B24C668D}" mentionId="{4127662A-3EF6-4B3E-9262-A0D973D48FAD}" startIndex="18" length="16"/>
    </mentions>
  </threadedComment>
  <threadedComment ref="K203" dT="2026-06-25T18:35:23.39" personId="{574F1AB3-8B7C-40EB-89E3-BB2E0C817D73}" id="{5F84AF93-971C-40AC-947F-45C1E0AD9493}" parentId="{0BE834A2-E6D5-474C-A1BE-2AE83CF68598}">
    <text>9501250402 coding change to Leslie in May from Ram's, so it's the variance.</text>
  </threadedComment>
  <threadedComment ref="K203" dT="2026-07-10T15:45:48.98" personId="{574F1AB3-8B7C-40EB-89E3-BB2E0C817D73}" id="{7FB1F627-4DF0-4333-AE6A-AE4EF6A54C95}" parentId="{0BE834A2-E6D5-474C-A1BE-2AE83CF68598}">
    <text>9501258229, 9501258235, 9501271398 &amp; Dynatrace/Splunk Reclass</text>
  </threadedComment>
  <threadedComment ref="K208" dT="2026-04-29T18:35:54.88" personId="{574F1AB3-8B7C-40EB-89E3-BB2E0C817D73}" id="{A7235683-8874-4E9E-B076-FD2B75C03F89}" done="1">
    <text>Forecast already reduced by $400K as compared to LE0, given to Chris.</text>
  </threadedComment>
  <threadedComment ref="AA218" dT="2026-06-25T12:40:06.25" personId="{574F1AB3-8B7C-40EB-89E3-BB2E0C817D73}" id="{0900F3E6-24D4-4353-A4BD-495A695B0D5F}">
    <text>Initially had $17,440.00, Role transitioned to IBM from Judge - awaiting on new candidate to finalize. Zeroing it out.</text>
  </threadedComment>
  <threadedComment ref="AH220" dT="2026-05-05T15:38:09.85" personId="{574F1AB3-8B7C-40EB-89E3-BB2E0C817D73}" id="{88D8371B-74C2-4633-93FE-CC36E0DD648D}">
    <text>10% Accenture savings added from Jun-Dec.</text>
  </threadedComment>
  <threadedComment ref="H221" dT="2026-04-30T17:53:55.78" personId="{574F1AB3-8B7C-40EB-89E3-BB2E0C817D73}" id="{6B76B7F2-B6A6-4741-A970-10F00E4AF4F9}">
    <text>Srinivasan.S.Venkataramanan@pfizer.co - For all BPAI</text>
  </threadedComment>
  <threadedComment ref="P226" dT="2026-06-22T20:01:16.02" personId="{CB858D31-DDF6-49E9-988F-4F795721B1B6}" id="{D7D29C2A-E4C9-4F5E-9A1F-75EAD5843ABE}">
    <text>Added comment</text>
  </threadedComment>
  <threadedComment ref="M238" dT="2026-06-03T13:53:54.12" personId="{CC497235-42B2-452E-BB5C-404562BE634F}" id="{7D8DAE4E-384B-4ACB-9770-16634A8CA708}">
    <text>1/1/2026-6/30/2026</text>
  </threadedComment>
  <threadedComment ref="AA239" dT="2026-06-25T22:26:12.40" personId="{574F1AB3-8B7C-40EB-89E3-BB2E0C817D73}" id="{0EF580F3-B0E6-4B5B-8466-4822017CEDA6}">
    <text>AP05 Accrual reversals on 2 POs</text>
  </threadedComment>
  <threadedComment ref="AH239" dT="2026-05-05T15:41:14.55" personId="{574F1AB3-8B7C-40EB-89E3-BB2E0C817D73}" id="{D8E56A3B-E4F9-436F-811B-311C35055A73}">
    <text>Accenture 10% savings added for April.</text>
  </threadedComment>
  <threadedComment ref="K244" dT="2026-06-17T21:23:30.26" personId="{574F1AB3-8B7C-40EB-89E3-BB2E0C817D73}" id="{2804E719-5A36-4408-A767-302C706ECB5D}">
    <text>Due to International PO, Currency conversion fluctuates the invoice amounts every month.</text>
  </threadedComment>
  <threadedComment ref="K247" dT="2026-04-30T13:58:34.72" personId="{574F1AB3-8B7C-40EB-89E3-BB2E0C817D73}" id="{5739401E-B91D-4292-8A5B-F051D4F45FF3}">
    <text>Reforecasted from June until EOY as per Ram.</text>
  </threadedComment>
  <threadedComment ref="K249" dT="2026-06-04T21:23:37.59" personId="{574F1AB3-8B7C-40EB-89E3-BB2E0C817D73}" id="{3091D42F-D56F-4768-9EEB-97904EB860B7}">
    <text>This WBS got pulled in CC/WBS report.</text>
  </threadedComment>
  <threadedComment ref="P249" dT="2026-06-22T20:01:21.05" personId="{CB858D31-DDF6-49E9-988F-4F795721B1B6}" id="{8D02D816-AF6C-4669-AC01-C91091AD5FF1}">
    <text>Added comment</text>
  </threadedComment>
  <threadedComment ref="K255" dT="2026-05-06T15:51:41.07" personId="{574F1AB3-8B7C-40EB-89E3-BB2E0C817D73}" id="{DB28EB7C-FD9F-4BDB-B127-020DAC895009}">
    <text>As per Leslie's chat, for $245K - $200k is under 1009/46 &amp; 45k is under 'IT-FBT0281-OG-US-00" IBM AMS support agreement </text>
  </threadedComment>
  <threadedComment ref="K255" dT="2026-05-06T15:51:50.51" personId="{574F1AB3-8B7C-40EB-89E3-BB2E0C817D73}" id="{32FF93EC-ED38-414B-AED3-4496E23DF4E3}" parentId="{DB28EB7C-FD9F-4BDB-B127-020DAC895009}">
    <text>We have 2 PO's - 9501166164 $4,651,600.00 AND 9501190667 $62,500.00</text>
  </threadedComment>
  <threadedComment ref="P255" dT="2026-05-06T15:51:22.98" personId="{574F1AB3-8B7C-40EB-89E3-BB2E0C817D73}" id="{2E965694-3043-44AB-B839-5395AB67B4AB}">
    <text>As per Leslie's chat, for $245K - $200k is under 1009/46 &amp; 45k is under 'IT-FBT0281-OG-US-00" IBM AMS support agreement </text>
  </threadedComment>
  <threadedComment ref="AI255" dT="2026-06-17T18:09:33.46" personId="{574F1AB3-8B7C-40EB-89E3-BB2E0C817D73}" id="{6C4DEB83-11CF-4C86-BA33-519F5D1C402A}">
    <text>Over AP05 Auto Accrual</text>
  </threadedComment>
  <threadedComment ref="K258" dT="2026-04-29T18:41:52.55" personId="{574F1AB3-8B7C-40EB-89E3-BB2E0C817D73}" id="{C40E555B-546D-487F-99BF-FBD3516DD358}">
    <text>AMS Support Contract was updated -  (Additional Resource was added)</text>
  </threadedComment>
  <threadedComment ref="K258" dT="2026-04-29T18:42:16.97" personId="{574F1AB3-8B7C-40EB-89E3-BB2E0C817D73}" id="{027B0655-569F-4EEC-8735-53EBA7ED6601}" parentId="{C40E555B-546D-487F-99BF-FBD3516DD358}">
    <text>9501199822, 9501199827 9501196824</text>
  </threadedComment>
  <threadedComment ref="S258" dT="2026-06-24T12:46:50.15" personId="{574F1AB3-8B7C-40EB-89E3-BB2E0C817D73}" id="{A064E479-F358-4D7B-BD4E-B3323AE13365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F7510D5F-BD38-437F-AF87-2D8C05E76CC8}" startIndex="0" length="15"/>
    </mentions>
  </threadedComment>
  <threadedComment ref="M260" dT="2026-06-03T14:35:05.48" personId="{CC497235-42B2-452E-BB5C-404562BE634F}" id="{61561F10-CDD4-4B61-87A5-99C8188957F9}">
    <text>1/2026-12/2026</text>
  </threadedComment>
  <threadedComment ref="B264" dT="2026-07-17T13:49:15.24" personId="{CC497235-42B2-452E-BB5C-404562BE634F}" id="{C4A72FA0-59ED-49A4-B6C4-7B1DFEBC8D92}">
    <text xml:space="preserve">Expense category was updated from Managed Services to Contractors </text>
  </threadedComment>
  <threadedComment ref="K264" dT="2026-04-30T13:54:13.38" personId="{574F1AB3-8B7C-40EB-89E3-BB2E0C817D73}" id="{97B12145-466C-449D-A8AF-802484B32EBD}">
    <text xml:space="preserve">Its a 5 month PO - Removing forecast from July-Dec. thank you </text>
  </threadedComment>
  <threadedComment ref="K264" dT="2026-06-17T20:48:43.77" personId="{574F1AB3-8B7C-40EB-89E3-BB2E0C817D73}" id="{EF5ADDAB-3ACF-40AD-BC88-4CE66A907E76}" parentId="{97B12145-466C-449D-A8AF-802484B32EBD}">
    <text>Leslie opened up IBM PO9501275938, so added forecast from June-Dec to capture the spend.</text>
  </threadedComment>
  <threadedComment ref="K264" dT="2026-07-17T15:09:28.58" personId="{CC497235-42B2-452E-BB5C-404562BE634F}" id="{61ECF166-6EFE-436E-8446-63FDA11B948A}" parentId="{97B12145-466C-449D-A8AF-802484B32EBD}">
    <text>Created new line under Contractors and moved the forecast for July-December there</text>
  </threadedComment>
  <threadedComment ref="M264" dT="2026-07-17T15:04:27.55" personId="{CC497235-42B2-452E-BB5C-404562BE634F}" id="{45C03244-5384-4236-A621-4A26FC56E2BF}">
    <text>12/2025-5/2026</text>
  </threadedComment>
  <threadedComment ref="K265" dT="2026-06-04T21:29:54.67" personId="{574F1AB3-8B7C-40EB-89E3-BB2E0C817D73}" id="{2A5E3CA4-6D5F-4C09-BB57-DB03637919EC}">
    <text>Dint got pulled in CC/WBS Report</text>
  </threadedComment>
  <threadedComment ref="AI277" dT="2026-06-17T21:05:44.84" personId="{574F1AB3-8B7C-40EB-89E3-BB2E0C817D73}" id="{1F39CCB3-B2EA-4CAF-97E4-E4047630FB10}">
    <text>Variance because of over auto accruals/reversals.</text>
  </threadedComment>
  <threadedComment ref="K278" dT="2026-04-30T19:00:40.38" personId="{574F1AB3-8B7C-40EB-89E3-BB2E0C817D73}" id="{05E5850F-C2C0-47A9-9AF4-EFF00B3FA7EF}">
    <text>@Panchal, Kinjal (Contractor)  to talk to Ram about this spent.</text>
    <mentions>
      <mention mentionpersonId="{41C1EA72-4B5F-46D2-98ED-92FF8288C6E4}" mentionId="{AEB4DA4C-9A56-4002-8F95-B10FE97A5C25}" startIndex="0" length="29"/>
    </mentions>
  </threadedComment>
  <threadedComment ref="K278" dT="2026-04-30T19:11:31.08" personId="{574F1AB3-8B7C-40EB-89E3-BB2E0C817D73}" id="{A0012F4F-94BA-474C-AD1A-B63EBF37ABE9}" parentId="{05E5850F-C2C0-47A9-9AF4-EFF00B3FA7EF}">
    <text>Contacted Ram</text>
  </threadedComment>
  <threadedComment ref="K278" dT="2026-06-18T10:19:45.46" personId="{574F1AB3-8B7C-40EB-89E3-BB2E0C817D73}" id="{DC02D2FC-3F69-4575-B0F0-E526A9AB731D}" parentId="{05E5850F-C2C0-47A9-9AF4-EFF00B3FA7EF}">
    <text>It has been moved from Ram to Chris - Task Completed.</text>
  </threadedComment>
  <threadedComment ref="K283" dT="2026-06-17T19:46:50.80" personId="{574F1AB3-8B7C-40EB-89E3-BB2E0C817D73}" id="{6772BF5C-72DD-4604-ACCB-E07BDB64C450}">
    <text>Japan PO - Currency conversion keeps fluctuating actuals every month.</text>
  </threadedComment>
  <threadedComment ref="H294" dT="2026-05-01T15:36:40.25" personId="{574F1AB3-8B7C-40EB-89E3-BB2E0C817D73}" id="{6F02FB29-09FD-4689-B14B-55E0805101A0}">
    <text>Reviewed with Heather in chat.</text>
  </threadedComment>
  <threadedComment ref="K294" dT="2026-04-30T19:01:58.42" personId="{574F1AB3-8B7C-40EB-89E3-BB2E0C817D73}" id="{C8B25DC8-5573-4A8F-8A0A-1FADB0F31D96}">
    <text>Contacted Jim &amp; Heather - Kinjal</text>
  </threadedComment>
  <threadedComment ref="K300" dT="2026-06-04T21:30:00.70" personId="{574F1AB3-8B7C-40EB-89E3-BB2E0C817D73}" id="{2089C1E4-6BA5-464F-ABEE-A347658473D2}">
    <text>Dint got pulled in CC/WBS Report</text>
  </threadedComment>
  <threadedComment ref="K317" dT="2026-06-16T17:42:48.02" personId="{574F1AB3-8B7C-40EB-89E3-BB2E0C817D73}" id="{0C67D78C-D903-40D2-872C-5892EAA6EF81}">
    <text>PO9501143554 - Coding needs to be changed, so we don't need to Reclass every month.</text>
  </threadedComment>
  <threadedComment ref="K317" dT="2026-07-10T17:52:01.39" personId="{574F1AB3-8B7C-40EB-89E3-BB2E0C817D73}" id="{655E28CC-5CA2-4875-A7F1-FB098FFBA9B0}" parentId="{0C67D78C-D903-40D2-872C-5892EAA6EF81}">
    <text>Kerry working with Natasha in order to get it corrected.</text>
  </threadedComment>
  <threadedComment ref="K327" dT="2026-04-29T17:50:51.57" personId="{574F1AB3-8B7C-40EB-89E3-BB2E0C817D73}" id="{FBE8E873-636E-4769-82C0-92911B60EACA}">
    <text>There are 4 PO's - 1 PO9501143554 was incorrectly coded. Added to forecast. 9501143554, 9501157382, 9501158432, 9501157088</text>
  </threadedComment>
  <threadedComment ref="K327" dT="2026-06-17T16:35:18.73" personId="{574F1AB3-8B7C-40EB-89E3-BB2E0C817D73}" id="{D901185F-02B4-4780-9DBE-936BDE9AEBF7}" parentId="{FBE8E873-636E-4769-82C0-92911B60EACA}">
    <text>@Meadows, Leslie Savings from IBM S2 PO9501158432 for about $80K.</text>
    <mentions>
      <mention mentionpersonId="{EC554CCA-E29D-43FA-BA6B-59F8B24C668D}" mentionId="{811A27F9-8FC7-49F3-932E-38EFD477E4BE}" startIndex="0" length="16"/>
    </mentions>
  </threadedComment>
  <threadedComment ref="AA330" dT="2026-06-25T14:48:03.39" personId="{574F1AB3-8B7C-40EB-89E3-BB2E0C817D73}" id="{1D9B5227-B918-4B88-B6D2-33313C8F6AC3}">
    <text>$37K Reclass was planned in S2, but as per Leslie getting done it in S1 to keep S2 clean. (Fieldglass PO9501134668 incorrect coding).</text>
  </threadedComment>
  <threadedComment ref="AH330" dT="2026-05-05T15:43:09.69" personId="{574F1AB3-8B7C-40EB-89E3-BB2E0C817D73}" id="{9CB4EDFB-A789-42CA-B036-8AFC95D355D0}">
    <text>Accenture 10% savings added in May.</text>
  </threadedComment>
  <threadedComment ref="K333" dT="2026-06-04T21:29:27.20" personId="{574F1AB3-8B7C-40EB-89E3-BB2E0C817D73}" id="{046B5412-AFD6-4F10-A614-84A88E1D865C}">
    <text>This WBS got pulled in CC/WBS report.</text>
  </threadedComment>
  <threadedComment ref="M341" dT="2026-06-03T14:00:32.78" personId="{CC497235-42B2-452E-BB5C-404562BE634F}" id="{CC9200BC-7D3A-41AE-81FC-1ACB02B0CBF4}">
    <text>4/1/2026-9/30/2026</text>
  </threadedComment>
  <threadedComment ref="K342" dT="2026-06-04T21:29:31.22" personId="{574F1AB3-8B7C-40EB-89E3-BB2E0C817D73}" id="{0F4D1DDD-FEAC-4BC4-B058-E237A8250CB8}">
    <text>This WBS got pulled in CC/WBS report.</text>
  </threadedComment>
  <threadedComment ref="G381" dT="2026-06-22T13:35:50.82" personId="{574F1AB3-8B7C-40EB-89E3-BB2E0C817D73}" id="{83A6CD0C-472B-4E0D-9C7E-010985D6D38F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24866253-5CD1-49A8-BD7A-A7339637C612}" startIndex="0" length="15"/>
    </mentions>
  </threadedComment>
  <threadedComment ref="P408" dT="2026-06-22T20:29:00.58" personId="{CB858D31-DDF6-49E9-988F-4F795721B1B6}" id="{9A17C35D-FE06-45DF-AE23-0E7DD19F322A}">
    <text>Added comment</text>
  </threadedComment>
  <threadedComment ref="K412" dT="2026-07-07T16:27:01.18" personId="{574F1AB3-8B7C-40EB-89E3-BB2E0C817D73}" id="{2B1068B2-597D-4B32-A76B-BA0E8BC419C3}">
    <text>2026-XFR-0036-A</text>
  </threadedComment>
  <threadedComment ref="K413" dT="2026-07-07T16:27:05.16" personId="{574F1AB3-8B7C-40EB-89E3-BB2E0C817D73}" id="{B669A908-4FA1-4135-A1C0-7AE9ABEA0A68}">
    <text>2026-XFR-0036-A</text>
  </threadedComment>
  <threadedComment ref="K414" dT="2026-06-18T10:49:12.02" personId="{574F1AB3-8B7C-40EB-89E3-BB2E0C817D73}" id="{CBC8F441-1EEE-4B03-B330-877BE9AF9AE9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E7BCEA66-E115-44FB-8FCE-B9B1AFEE3067}" startIndex="0" length="26"/>
    </mentions>
  </threadedComment>
  <threadedComment ref="K414" dT="2026-07-07T17:00:18.86" personId="{574F1AB3-8B7C-40EB-89E3-BB2E0C817D73}" id="{279CC4B6-26E4-44F3-A344-77978DE16FE5}" parentId="{CBC8F441-1EEE-4B03-B330-877BE9AF9AE9}">
    <text xml:space="preserve">I see it added in Column "AM" now. thanks </text>
  </threadedComment>
  <threadedComment ref="N428" dT="2026-04-22T17:17:44.32" personId="{CC497235-42B2-452E-BB5C-404562BE634F}" id="{B93AFB86-8987-4B75-8F1F-081FB968E1FF}">
    <text>PF: (146,492.83) - PO9501159633</text>
  </threadedComment>
  <threadedComment ref="AI437" dT="2026-06-25T20:07:15.98" personId="{574F1AB3-8B7C-40EB-89E3-BB2E0C817D73}" id="{E2B66BE3-599A-490F-84A9-F042E4FCC4B4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66A7BF68-2B03-4703-9502-9A79C37BB4E6}" startIndex="0" length="15"/>
      <mention mentionpersonId="{501495C5-0639-4E15-9C50-3303D4C825B6}" mentionId="{08485FB5-6758-46B3-B1E1-D5B63B8B65F7}" startIndex="16" length="26"/>
    </mentions>
  </threadedComment>
  <threadedComment ref="AI464" dT="2026-06-25T20:07:30.36" personId="{574F1AB3-8B7C-40EB-89E3-BB2E0C817D73}" id="{4D116A0A-DFFB-47F4-9410-52E3591B3ECD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A9345BAA-57FF-4FB3-823D-EBD20C69F1F2}" startIndex="0" length="15"/>
      <mention mentionpersonId="{501495C5-0639-4E15-9C50-3303D4C825B6}" mentionId="{17AD1145-B1A6-4C75-9719-D860858A0A87}" startIndex="16" length="26"/>
    </mentions>
  </threadedComment>
  <threadedComment ref="AI477" dT="2026-06-25T20:07:34.70" personId="{574F1AB3-8B7C-40EB-89E3-BB2E0C817D73}" id="{B9E8120D-1C17-484F-B850-D0BC60869C1C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FFF3C579-CA7F-4453-AE14-DCBDB278B6C1}" startIndex="0" length="15"/>
      <mention mentionpersonId="{501495C5-0639-4E15-9C50-3303D4C825B6}" mentionId="{A617A7A5-82EF-4996-A466-81339ADC7293}" startIndex="16" length="26"/>
    </mentions>
  </threadedComment>
  <threadedComment ref="K483" dT="2026-04-30T16:22:32.81" personId="{574F1AB3-8B7C-40EB-89E3-BB2E0C817D73}" id="{870BF799-B018-4181-9F2E-5E454121BF86}">
    <text>11/19/2025 invoiced in full for March 26-27 $2561.61 - PO9501071587</text>
  </threadedComment>
  <threadedComment ref="K511" dT="2026-04-29T17:28:52.58" personId="{574F1AB3-8B7C-40EB-89E3-BB2E0C817D73}" id="{274FF82E-82B8-4D88-994F-32AA4E6B8AF1}">
    <text>@Orth, Susan Increase is due to increase in Licensing fees by DevSecOps.</text>
    <mentions>
      <mention mentionpersonId="{1BB14750-A056-4F6B-802E-F7C8B59F8F40}" mentionId="{7A8376BB-CCCA-44FA-8E7E-A24F706F6AF4}" startIndex="0" length="12"/>
    </mentions>
  </threadedComment>
  <threadedComment ref="Z516" dT="2026-05-01T19:18:46.56" personId="{E5DDB7AC-0E3B-43D3-B290-A0C2DE0E4CA6}" id="{F097BE76-6D5D-4513-B421-E489CDC6AEFB}">
    <text>@Panchal, Kinjal (Contractor) - credit applied</text>
    <mentions>
      <mention mentionpersonId="{41C1EA72-4B5F-46D2-98ED-92FF8288C6E4}" mentionId="{F6898744-A0F4-439F-81FF-93B51437A1B4}" startIndex="0" length="29"/>
    </mentions>
  </threadedComment>
  <threadedComment ref="Z516" dT="2026-05-04T14:42:23.69" personId="{2F28E56F-FEAA-43E9-B12B-6DB43EF0AD98}" id="{B356EE78-6A0A-41EB-AF53-EF26BF6B5969}" parentId="{F097BE76-6D5D-4513-B421-E489CDC6AEFB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BCB958C8-E5B1-46EE-849D-558361739CC5}" startIndex="0" length="16"/>
    </mentions>
  </threadedComment>
  <threadedComment ref="Z516" dT="2026-05-06T16:36:37.60" personId="{574F1AB3-8B7C-40EB-89E3-BB2E0C817D73}" id="{85EE2ED2-37BD-49C2-B0A9-C487FAE8AC41}" parentId="{F097BE76-6D5D-4513-B421-E489CDC6AEFB}">
    <text>Credit of $76K applied to PO9501258249. 
PO9501258100</text>
  </threadedComment>
  <threadedComment ref="AA516" dT="2026-06-25T21:46:32.62" personId="{574F1AB3-8B7C-40EB-89E3-BB2E0C817D73}" id="{5B2103E6-27E7-43AD-9C21-11A31369FA8C}">
    <text xml:space="preserve">AP05 Accruals will be reversed and $76K credit will be posted. </text>
  </threadedComment>
  <threadedComment ref="G524" dT="2026-06-22T13:43:18.79" personId="{574F1AB3-8B7C-40EB-89E3-BB2E0C817D73}" id="{D2597E73-00CB-4652-947F-AE02E766B84F}">
    <text>Discuss with Kerry</text>
  </threadedComment>
  <threadedComment ref="G524" dT="2026-06-22T13:55:42.33" personId="{574F1AB3-8B7C-40EB-89E3-BB2E0C817D73}" id="{0366B6BD-9673-4D39-87E3-63E9D37FA010}" parentId="{D2597E73-00CB-4652-947F-AE02E766B84F}">
    <text>added to June until get more details from Leslie/Kerry.</text>
  </threadedComment>
  <threadedComment ref="G524" dT="2026-06-30T19:41:39.73" personId="{574F1AB3-8B7C-40EB-89E3-BB2E0C817D73}" id="{545C2607-CC01-45AD-80BB-B9334CEF14C3}" parentId="{D2597E73-00CB-4652-947F-AE02E766B84F}">
    <text>@Meadows, Leslie @Hoffman, Kerry Do we know what this charges are for Karla? Please advise.</text>
    <mentions>
      <mention mentionpersonId="{EC554CCA-E29D-43FA-BA6B-59F8B24C668D}" mentionId="{548B89B1-3694-4DEE-B82F-FF791E2FD473}" startIndex="0" length="16"/>
      <mention mentionpersonId="{74FB42F2-106B-4E07-880A-02BCE8D428D0}" mentionId="{147580FD-3D7C-40AD-98A4-0833297886FD}" startIndex="17" length="15"/>
    </mentions>
  </threadedComment>
  <threadedComment ref="AI526" dT="2026-06-25T20:07:39.28" personId="{574F1AB3-8B7C-40EB-89E3-BB2E0C817D73}" id="{79A3A5BF-576A-41CA-9840-491E133301C5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D2A23DBF-C1F9-45B9-AA5D-B6193F58E3F7}" startIndex="0" length="15"/>
      <mention mentionpersonId="{501495C5-0639-4E15-9C50-3303D4C825B6}" mentionId="{A3763D09-B8F2-4BBF-95E4-A268E1ED8DDD}" startIndex="16" length="26"/>
    </mentions>
  </threadedComment>
  <threadedComment ref="N527" dT="2026-04-22T17:09:41.45" personId="{CC497235-42B2-452E-BB5C-404562BE634F}" id="{C0BBD518-9FCB-42E2-BDFD-691DADC61FD4}">
    <text>PF: (11,125)</text>
  </threadedComment>
  <threadedComment ref="H552" dT="2026-04-30T18:34:12.70" personId="{574F1AB3-8B7C-40EB-89E3-BB2E0C817D73}" id="{37809BCA-9B16-462A-ADF1-92397133EB37}">
    <text>PO9500996366</text>
  </threadedComment>
  <threadedComment ref="N555" dT="2026-04-22T17:14:01.80" personId="{CC497235-42B2-452E-BB5C-404562BE634F}" id="{77D48C9E-03DD-45F3-A1D1-366139990976}">
    <text>PF: (14,353.40) - PO9501116519</text>
  </threadedComment>
  <threadedComment ref="G558" dT="2026-06-22T14:47:50.21" personId="{574F1AB3-8B7C-40EB-89E3-BB2E0C817D73}" id="{730C6E01-249F-4A67-995F-22EF66278C5C}">
    <text>Paul Peterson will be submitting Reclass - Kinjal to contact if not posted as per Srini. - Moved charges to June.</text>
  </threadedComment>
  <threadedComment ref="G558" dT="2026-06-22T14:57:26.08" personId="{574F1AB3-8B7C-40EB-89E3-BB2E0C817D73}" id="{4DD6072A-B1FB-4926-92A4-2879A8910F68}" parentId="{730C6E01-249F-4A67-995F-22EF66278C5C}">
    <text>Awaiting on email reply.</text>
  </threadedComment>
  <threadedComment ref="G558" dT="2026-06-30T20:50:40.93" personId="{574F1AB3-8B7C-40EB-89E3-BB2E0C817D73}" id="{161351D4-2270-4620-B0C5-1731C028FF61}" parentId="{730C6E01-249F-4A67-995F-22EF66278C5C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5AAC812F-0FB3-4E82-9F37-C902145427C8}" startIndex="13" length="16"/>
    </mentions>
  </threadedComment>
  <threadedComment ref="G558" dT="2026-06-30T20:51:47.45" personId="{574F1AB3-8B7C-40EB-89E3-BB2E0C817D73}" id="{5E940862-A7B2-404C-B0F0-544C2D949E79}" parentId="{730C6E01-249F-4A67-995F-22EF66278C5C}">
    <text>Peterson, Paul D &lt;Paul.Peterson@pfizer.com&gt;</text>
  </threadedComment>
  <threadedComment ref="AA558" dT="2026-06-30T20:51:21.71" personId="{574F1AB3-8B7C-40EB-89E3-BB2E0C817D73}" id="{A0F47547-AB08-4E47-953D-99674D8116EA}">
    <text>10% uplift added to $144,819.00</text>
  </threadedComment>
  <threadedComment ref="H561" dT="2026-04-30T18:36:42.60" personId="{574F1AB3-8B7C-40EB-89E3-BB2E0C817D73}" id="{C5EFCEC3-BE8F-4662-841B-25C68D9F616C}">
    <text>PO?</text>
  </threadedComment>
  <threadedComment ref="H561" dT="2026-06-24T13:53:17.01" personId="{574F1AB3-8B7C-40EB-89E3-BB2E0C817D73}" id="{6FAC4A53-B4B2-4E38-BE27-B3570A628ADD}" parentId="{C5EFCEC3-BE8F-4662-841B-25C68D9F616C}">
    <text>PO9501196586</text>
  </threadedComment>
  <threadedComment ref="AI565" dT="2026-06-18T10:32:30.90" personId="{574F1AB3-8B7C-40EB-89E3-BB2E0C817D73}" id="{4C49FA90-D57C-4F32-945C-90682A77753B}">
    <text>Charges came over in AP04/AP05 than the forecast.</text>
  </threadedComment>
  <threadedComment ref="K638" dT="2026-06-16T19:47:56.01" personId="{574F1AB3-8B7C-40EB-89E3-BB2E0C817D73}" id="{E5A1034B-65D2-4CBF-AD93-5218537F5514}">
    <text>@Wilkins, Tanya @White, Charlotte Hilliard May i please get more details on this actual? Can't find it in the actuals file.</text>
    <mentions>
      <mention mentionpersonId="{A7AA6105-FC99-46D9-B5F8-B84AFBD735AA}" mentionId="{65CCE10A-4CBA-48C1-BFAF-AB3F63987F54}" startIndex="0" length="15"/>
      <mention mentionpersonId="{501495C5-0639-4E15-9C50-3303D4C825B6}" mentionId="{598ED265-A49A-424C-AF4B-6F695CAAF68B}" startIndex="16" length="26"/>
    </mentions>
  </threadedComment>
  <threadedComment ref="K670" dT="2026-04-29T17:43:57.17" personId="{574F1AB3-8B7C-40EB-89E3-BB2E0C817D73}" id="{C6E957CA-8E92-42FE-98F3-86E4714F8072}">
    <text>AP02 Accrual Reversal - Resource offboarded.</text>
  </threadedComment>
  <threadedComment ref="S686" dT="2026-06-25T22:28:11.47" personId="{574F1AB3-8B7C-40EB-89E3-BB2E0C817D73}" id="{5FDA0B83-1BD2-4E80-B316-B818090242A9}">
    <text xml:space="preserve">@White, Charlotte Hilliard @Meadows, Leslie Hello Charlotte, what is this in regards too? Please advise. thank you </text>
    <mentions>
      <mention mentionpersonId="{501495C5-0639-4E15-9C50-3303D4C825B6}" mentionId="{4F884DE6-0670-4CE8-BD05-A1CCA591E754}" startIndex="0" length="26"/>
      <mention mentionpersonId="{EC554CCA-E29D-43FA-BA6B-59F8B24C668D}" mentionId="{90D4701C-FC7C-4FB9-AD04-A9966ECD02A3}" startIndex="27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33" dT="2026-04-29T15:24:19.98" personId="{574F1AB3-8B7C-40EB-89E3-BB2E0C817D73}" id="{416D1D55-185C-4EAE-B674-93E3407E7E18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84B55332-C866-4CB8-931C-C012C31BBF04}" startIndex="0" length="12"/>
      <mention mentionpersonId="{501495C5-0639-4E15-9C50-3303D4C825B6}" mentionId="{5A79129F-FB7A-45CC-B33B-99C220F865B8}" startIndex="13" length="26"/>
    </mentions>
  </threadedComment>
  <threadedComment ref="P33" dT="2026-05-01T13:34:36.88" personId="{574F1AB3-8B7C-40EB-89E3-BB2E0C817D73}" id="{9E9B1794-FD34-4B52-B115-D35E4291713C}" parentId="{416D1D55-185C-4EAE-B674-93E3407E7E18}">
    <text>Forecast zeroed out on 5/1/26 - Give back $183K.</text>
  </threadedComment>
  <threadedComment ref="P33" dT="2026-06-18T11:29:50.90" personId="{574F1AB3-8B7C-40EB-89E3-BB2E0C817D73}" id="{4026C6C1-BE39-4443-8BFC-4E116978DD28}" parentId="{416D1D55-185C-4EAE-B674-93E3407E7E18}">
    <text>Per Leslie - Fieldglass, no payment is due in 2026 for support under IBM. It will resume in 2027 @ $169,020</text>
  </threadedComment>
  <threadedComment ref="P36" dT="2026-07-07T16:27:05.16" personId="{574F1AB3-8B7C-40EB-89E3-BB2E0C817D73}" id="{65A9D50D-9FEA-4231-BAF6-B715FEBAEDBA}">
    <text>2026-XFR-0036-A</text>
  </threadedComment>
  <threadedComment ref="P37" dT="2026-06-18T10:49:12.02" personId="{574F1AB3-8B7C-40EB-89E3-BB2E0C817D73}" id="{54200976-E54A-4AF2-AAFC-37C5FD256279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29824998-687B-4DB7-BDF3-302365E1A1E8}" startIndex="0" length="26"/>
    </mentions>
  </threadedComment>
  <threadedComment ref="P37" dT="2026-07-07T17:00:18.86" personId="{574F1AB3-8B7C-40EB-89E3-BB2E0C817D73}" id="{82389DD9-0284-4D67-8D49-4649781CB128}" parentId="{54200976-E54A-4AF2-AAFC-37C5FD256279}">
    <text xml:space="preserve">I see it added in Column "AM" now. thanks </text>
  </threadedComment>
  <threadedComment ref="P38" dT="2026-04-29T18:50:36.39" personId="{574F1AB3-8B7C-40EB-89E3-BB2E0C817D73}" id="{BF243B40-3C90-4CD9-BAD9-89268BD29278}">
    <text>Give back.</text>
  </threadedComment>
  <threadedComment ref="P38" dT="2026-07-10T14:50:21.32" personId="{574F1AB3-8B7C-40EB-89E3-BB2E0C817D73}" id="{E92255A2-C567-4E0F-806B-77D3795F1EFB}" parentId="{BF243B40-3C90-4CD9-BAD9-89268BD29278}">
    <text>5/15 CHW - Syniti paid thru 12/30/2027; 2026 Budget Transfer</text>
  </threadedComment>
  <threadedComment ref="L42" dT="2026-06-22T13:43:18.79" personId="{574F1AB3-8B7C-40EB-89E3-BB2E0C817D73}" id="{D0E0DEB2-9B56-4908-AAD4-38C240F38B94}">
    <text>Discuss with Kerry</text>
  </threadedComment>
  <threadedComment ref="L42" dT="2026-06-22T13:55:42.33" personId="{574F1AB3-8B7C-40EB-89E3-BB2E0C817D73}" id="{B9731A00-9781-4852-8357-004D5B432B43}" parentId="{D0E0DEB2-9B56-4908-AAD4-38C240F38B94}">
    <text>added to June until get more details from Leslie/Kerry.</text>
  </threadedComment>
  <threadedComment ref="L42" dT="2026-06-30T19:41:39.73" personId="{574F1AB3-8B7C-40EB-89E3-BB2E0C817D73}" id="{D1AA773B-A15A-415E-B569-B6E4B124EAA6}" parentId="{D0E0DEB2-9B56-4908-AAD4-38C240F38B94}">
    <text>@Meadows, Leslie @Hoffman, Kerry Do we know what this charges are for Karla? Please advise.</text>
    <mentions>
      <mention mentionpersonId="{EC554CCA-E29D-43FA-BA6B-59F8B24C668D}" mentionId="{5FBA56E8-4BC2-4BAD-8402-87CD50D3EEDA}" startIndex="0" length="16"/>
      <mention mentionpersonId="{74FB42F2-106B-4E07-880A-02BCE8D428D0}" mentionId="{A6990641-21A6-4E7E-819B-7E8F9B54CE2A}" startIndex="17" length="15"/>
    </mentions>
  </threadedComment>
  <threadedComment ref="S90" dT="2026-04-22T17:17:44.32" personId="{CC497235-42B2-452E-BB5C-404562BE634F}" id="{7D598365-30C5-4B8C-8243-84195A99DD3E}">
    <text>PF: (146,492.83) - PO9501159633</text>
  </threadedComment>
  <threadedComment ref="S91" dT="2026-04-22T17:14:01.80" personId="{CC497235-42B2-452E-BB5C-404562BE634F}" id="{50D046B7-3494-46B9-BB5B-C9CC0C2C48D4}">
    <text>PF: (14,353.40) - PO9501116519</text>
  </threadedComment>
  <threadedComment ref="S92" dT="2026-04-22T17:09:41.45" personId="{CC497235-42B2-452E-BB5C-404562BE634F}" id="{ABF87D91-89B2-4A65-85FF-23BCFA5B4454}">
    <text>PF: (11,125)</text>
  </threadedComment>
  <threadedComment ref="AN169" dT="2026-06-25T20:07:34.70" personId="{574F1AB3-8B7C-40EB-89E3-BB2E0C817D73}" id="{878B6BB3-A748-46C2-A734-567858515684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2DB03968-9564-4A9D-8379-E100A2DFD47B}" startIndex="0" length="15"/>
      <mention mentionpersonId="{501495C5-0639-4E15-9C50-3303D4C825B6}" mentionId="{244AE85F-4AE5-4849-B05E-25A69AF0AF34}" startIndex="16" length="26"/>
    </mentions>
  </threadedComment>
  <threadedComment ref="P175" dT="2026-07-07T16:26:41.99" personId="{574F1AB3-8B7C-40EB-89E3-BB2E0C817D73}" id="{10661F78-8856-4D9A-8E83-AA0DBCD95251}">
    <text>IT-MGS0202-OG-US-00</text>
  </threadedComment>
  <threadedComment ref="P261" dT="2026-06-18T19:51:22.76" personId="{574F1AB3-8B7C-40EB-89E3-BB2E0C817D73}" id="{537307E5-4DB3-49A5-8649-6273073C82EA}">
    <text xml:space="preserve">@White, Charlotte Hilliard Where would i be able to get more details on this? Please advise. thank you </text>
    <mentions>
      <mention mentionpersonId="{501495C5-0639-4E15-9C50-3303D4C825B6}" mentionId="{FCC3ACBA-BCF7-4825-B88B-D44B9285920B}" startIndex="0" length="26"/>
    </mentions>
  </threadedComment>
  <threadedComment ref="P311" dT="2026-04-30T16:22:32.81" personId="{574F1AB3-8B7C-40EB-89E3-BB2E0C817D73}" id="{6D2B3187-283F-41A4-8FD2-CC99307810E3}">
    <text>11/19/2025 invoiced in full for March 26-27 $2561.61 - PO9501071587</text>
  </threadedComment>
  <threadedComment ref="P327" dT="2026-06-25T22:06:16.53" personId="{574F1AB3-8B7C-40EB-89E3-BB2E0C817D73}" id="{130CA48C-CDD6-41FD-A7B4-E68ACEC81B74}">
    <text>@White, Charlotte Hilliard May I please get more details on these charges as i couldn't find this in the actuals file. @Wilkins, Tanya</text>
    <mentions>
      <mention mentionpersonId="{501495C5-0639-4E15-9C50-3303D4C825B6}" mentionId="{24A4A34D-6443-4857-A944-711FA389275C}" startIndex="0" length="26"/>
      <mention mentionpersonId="{A7AA6105-FC99-46D9-B5F8-B84AFBD735AA}" mentionId="{C9DE5DCC-EAED-49BC-B3F4-56DB2A025920}" startIndex="119" length="15"/>
    </mentions>
  </threadedComment>
  <threadedComment ref="M332" dT="2026-04-30T18:36:42.60" personId="{574F1AB3-8B7C-40EB-89E3-BB2E0C817D73}" id="{1C633AA0-10B4-4BDE-A46B-FCDB1E674A2A}">
    <text>PO?</text>
  </threadedComment>
  <threadedComment ref="M332" dT="2026-06-24T13:53:17.01" personId="{574F1AB3-8B7C-40EB-89E3-BB2E0C817D73}" id="{2C391ABD-783A-476E-81DB-83F0F03B5E30}" parentId="{1C633AA0-10B4-4BDE-A46B-FCDB1E674A2A}">
    <text>PO9501196586</text>
  </threadedComment>
  <threadedComment ref="AN334" dT="2026-06-18T10:32:30.90" personId="{574F1AB3-8B7C-40EB-89E3-BB2E0C817D73}" id="{3A6AD35D-D80D-45B2-BA51-0C3171251A74}">
    <text>Charges came over in AP04/AP05 than the forecast.</text>
  </threadedComment>
  <threadedComment ref="R343" dT="2026-06-03T13:45:25.83" personId="{CC497235-42B2-452E-BB5C-404562BE634F}" id="{D4A52B78-E512-451A-A85E-B2404465EDDA}">
    <text>2/1/2026-6/30/2026</text>
  </threadedComment>
  <threadedComment ref="P345" dT="2026-04-29T21:19:21.55" personId="{574F1AB3-8B7C-40EB-89E3-BB2E0C817D73}" id="{AA59013A-F96B-48F1-A117-9DFD6D6DD03F}">
    <text>@White, Charlotte Hilliard  Please 
change the description to DIGITAL-CLOUD-AWS-CHARGES</text>
    <mentions>
      <mention mentionpersonId="{501495C5-0639-4E15-9C50-3303D4C825B6}" mentionId="{E57E7390-229B-4924-8298-89C63BDD64D2}" startIndex="0" length="26"/>
    </mentions>
  </threadedComment>
  <threadedComment ref="P345" dT="2026-06-18T13:22:52.11" personId="{CC497235-42B2-452E-BB5C-404562BE634F}" id="{2A2055CB-6D24-4D49-9CA4-2448A4B3FC3F}" parentId="{AA59013A-F96B-48F1-A117-9DFD6D6DD03F}">
    <text>Previously FBO BT SUN &amp; Oracle Archival Project</text>
  </threadedComment>
  <threadedComment ref="P348" dT="2026-07-07T16:58:14.87" personId="{574F1AB3-8B7C-40EB-89E3-BB2E0C817D73}" id="{E42462BF-A573-41FC-8383-59E103F521D2}">
    <text>IT-MGS0203-OG-US-00</text>
  </threadedComment>
  <threadedComment ref="P383" dT="2026-06-04T21:29:31.22" personId="{574F1AB3-8B7C-40EB-89E3-BB2E0C817D73}" id="{29267C54-D96C-4ACE-810E-6B6E1D948356}">
    <text>This WBS got pulled in CC/WBS report.</text>
  </threadedComment>
  <threadedComment ref="P405" dT="2026-06-17T21:23:30.26" personId="{574F1AB3-8B7C-40EB-89E3-BB2E0C817D73}" id="{409FE27B-122D-4A1C-AD07-C3E43A29380C}">
    <text>Due to International PO, Currency conversion fluctuates the invoice amounts every month.</text>
  </threadedComment>
  <threadedComment ref="R411" dT="2026-06-03T14:00:32.78" personId="{CC497235-42B2-452E-BB5C-404562BE634F}" id="{9462D3DC-18AA-4B01-A8AA-8B96DBD181FA}">
    <text>4/1/2026-9/30/2026</text>
  </threadedComment>
  <threadedComment ref="AN423" dT="2026-06-17T21:05:44.84" personId="{574F1AB3-8B7C-40EB-89E3-BB2E0C817D73}" id="{9040C291-0D03-440A-BB38-15C3AD9E9BB4}">
    <text>Variance because of over auto accruals/reversals.</text>
  </threadedComment>
  <threadedComment ref="P424" dT="2026-06-04T21:29:27.20" personId="{574F1AB3-8B7C-40EB-89E3-BB2E0C817D73}" id="{9799359A-33C4-4546-A815-A932F944A9AC}">
    <text>This WBS got pulled in CC/WBS report.</text>
  </threadedComment>
  <threadedComment ref="L426" dT="2026-07-09T16:27:26.54" personId="{574F1AB3-8B7C-40EB-89E3-BB2E0C817D73}" id="{C2CCA5E1-2743-4689-823C-49A1C6F73C37}">
    <text>Working with Ram</text>
  </threadedComment>
  <threadedComment ref="P428" dT="2026-04-30T13:58:34.72" personId="{574F1AB3-8B7C-40EB-89E3-BB2E0C817D73}" id="{B533C2A9-E050-4B24-950D-07B2102E408E}">
    <text>Reforecasted from June until EOY as per Ram.</text>
  </threadedComment>
  <threadedComment ref="R431" dT="2026-06-03T14:30:35.80" personId="{CC497235-42B2-452E-BB5C-404562BE634F}" id="{BE035D37-1234-4930-896B-887E3C748159}">
    <text>4/1/2026-6/30/2026</text>
  </threadedComment>
  <threadedComment ref="D432" dT="2026-07-17T13:49:15.24" personId="{CC497235-42B2-452E-BB5C-404562BE634F}" id="{62F5CF0F-0239-4657-A577-F0E0D0FF8084}">
    <text xml:space="preserve">Expense category was updated from Managed Services to Contractors </text>
  </threadedComment>
  <threadedComment ref="P432" dT="2026-04-30T13:54:13.38" personId="{574F1AB3-8B7C-40EB-89E3-BB2E0C817D73}" id="{90B30933-B23B-4BD9-B477-C23C03AC4DA7}">
    <text xml:space="preserve">Its a 5 month PO - Removing forecast from July-Dec. thank you </text>
  </threadedComment>
  <threadedComment ref="P432" dT="2026-06-17T20:48:43.77" personId="{574F1AB3-8B7C-40EB-89E3-BB2E0C817D73}" id="{028ABB5B-B697-4AA0-9672-A159F5019900}" parentId="{90B30933-B23B-4BD9-B477-C23C03AC4DA7}">
    <text>Leslie opened up IBM PO9501275938, so added forecast from June-Dec to capture the spend.</text>
  </threadedComment>
  <threadedComment ref="P432" dT="2026-07-17T15:09:28.58" personId="{CC497235-42B2-452E-BB5C-404562BE634F}" id="{50629E96-DDD5-49FE-AF85-B84893FC1986}" parentId="{90B30933-B23B-4BD9-B477-C23C03AC4DA7}">
    <text>Created new line under Contractors and moved the forecast for July-December there</text>
  </threadedComment>
  <threadedComment ref="R432" dT="2026-07-17T15:04:27.55" personId="{CC497235-42B2-452E-BB5C-404562BE634F}" id="{47118562-CCD2-4CF4-BEDF-6F1BBE167F43}">
    <text>12/2025-5/2026</text>
  </threadedComment>
  <threadedComment ref="P445" dT="2026-06-04T21:29:54.67" personId="{574F1AB3-8B7C-40EB-89E3-BB2E0C817D73}" id="{3EF00418-7398-4A61-8C05-FF0A24D30B45}">
    <text>Dint got pulled in CC/WBS Report</text>
  </threadedComment>
  <threadedComment ref="P447" dT="2026-06-25T14:09:43.51" personId="{574F1AB3-8B7C-40EB-89E3-BB2E0C817D73}" id="{AB241259-D62A-4ED2-BC80-1BDB861FA249}">
    <text>@Meadows, Leslie Please advise who should we reach out for this line item? Nothing hit until now.</text>
    <mentions>
      <mention mentionpersonId="{EC554CCA-E29D-43FA-BA6B-59F8B24C668D}" mentionId="{C2835218-2382-4F45-B405-041C53B8FA95}" startIndex="0" length="16"/>
    </mentions>
  </threadedComment>
  <threadedComment ref="P447" dT="2026-07-07T16:04:29.53" personId="{574F1AB3-8B7C-40EB-89E3-BB2E0C817D73}" id="{24E82D00-D5AB-42A3-B307-4D720A073B0E}" parentId="{AB241259-D62A-4ED2-BC80-1BDB861FA249}">
    <text>to be discussed with Ram 1:1</text>
  </threadedComment>
  <threadedComment ref="M449" dT="2026-04-30T17:53:55.78" personId="{574F1AB3-8B7C-40EB-89E3-BB2E0C817D73}" id="{2F9085E6-C536-466F-B7EA-88935ECFCD13}">
    <text>Srinivasan.S.Venkataramanan@pfizer.co - For all BPAI</text>
  </threadedComment>
  <threadedComment ref="P454" dT="2026-06-24T19:04:01.53" personId="{574F1AB3-8B7C-40EB-89E3-BB2E0C817D73}" id="{36687A84-327D-400B-B8EB-A9CC97037FCD}">
    <text>@Meadows, Leslie Does this look ok to you?</text>
    <mentions>
      <mention mentionpersonId="{EC554CCA-E29D-43FA-BA6B-59F8B24C668D}" mentionId="{04A34AF3-96B3-4800-B83E-CA02E4C3CC01}" startIndex="0" length="16"/>
    </mentions>
  </threadedComment>
  <threadedComment ref="P455" dT="2026-06-25T14:03:48.74" personId="{574F1AB3-8B7C-40EB-89E3-BB2E0C817D73}" id="{8A60C8C2-7B04-4F11-B118-89A2EA352415}">
    <text>@Meadows, Leslie Hello @Meadows, Leslie Do you know who should we reach out to for this line item?</text>
    <mentions>
      <mention mentionpersonId="{EC554CCA-E29D-43FA-BA6B-59F8B24C668D}" mentionId="{CD5E907F-649C-4179-9AF3-346D5F87E831}" startIndex="0" length="16"/>
      <mention mentionpersonId="{EC554CCA-E29D-43FA-BA6B-59F8B24C668D}" mentionId="{3DB31499-0064-4078-B219-5D37F86DAEAB}" startIndex="23" length="16"/>
    </mentions>
  </threadedComment>
  <threadedComment ref="P455" dT="2026-07-07T15:53:11.96" personId="{574F1AB3-8B7C-40EB-89E3-BB2E0C817D73}" id="{F5D63C71-FBC8-40D5-BC0D-6269D6D4F0CD}" parentId="{8A60C8C2-7B04-4F11-B118-89A2EA352415}">
    <text>To be discussed with Ram 1:1.</text>
  </threadedComment>
  <threadedComment ref="AM457" dT="2026-05-05T15:38:09.85" personId="{574F1AB3-8B7C-40EB-89E3-BB2E0C817D73}" id="{1E1F3EB6-6075-4A6F-8324-2E0E3CE0C5A0}">
    <text>10% Accenture savings added from Jun-Dec.</text>
  </threadedComment>
  <threadedComment ref="P459" dT="2026-06-17T19:46:50.80" personId="{574F1AB3-8B7C-40EB-89E3-BB2E0C817D73}" id="{7B946035-F8B6-464C-86BA-4AF136A87C4E}">
    <text>Japan PO - Currency conversion keeps fluctuating actuals every month.</text>
  </threadedComment>
  <threadedComment ref="P460" dT="2026-07-07T16:27:01.18" personId="{574F1AB3-8B7C-40EB-89E3-BB2E0C817D73}" id="{5E1ABEAE-C803-4B8A-BE5F-797E72788E42}">
    <text>2026-XFR-0036-A</text>
  </threadedComment>
  <threadedComment ref="AF461" dT="2026-06-25T14:48:03.39" personId="{574F1AB3-8B7C-40EB-89E3-BB2E0C817D73}" id="{01062866-2A3E-4C7B-BA2B-69E311D97E91}">
    <text>$37K Reclass was planned in S2, but as per Leslie getting done it in S1 to keep S2 clean. (Fieldglass PO9501134668 incorrect coding).</text>
  </threadedComment>
  <threadedComment ref="AM461" dT="2026-05-05T15:43:09.69" personId="{574F1AB3-8B7C-40EB-89E3-BB2E0C817D73}" id="{44681F1C-ADFE-44DC-A1ED-6FFD53EAE37E}">
    <text>Accenture 10% savings added in May.</text>
  </threadedComment>
  <threadedComment ref="R465" dT="2026-06-03T14:35:05.48" personId="{CC497235-42B2-452E-BB5C-404562BE634F}" id="{F76CF0CC-5D68-48AF-B717-7266129C4C67}">
    <text>1/2026-12/2026</text>
  </threadedComment>
  <threadedComment ref="AF467" dT="2026-06-25T22:26:12.40" personId="{574F1AB3-8B7C-40EB-89E3-BB2E0C817D73}" id="{8E199E4F-20B0-40EC-BF2F-C6C1501F0B5C}">
    <text>AP05 Accrual reversals on 2 POs</text>
  </threadedComment>
  <threadedComment ref="AM467" dT="2026-05-05T15:41:14.55" personId="{574F1AB3-8B7C-40EB-89E3-BB2E0C817D73}" id="{66F2901A-E47A-4CC3-8D2B-73FCFF1905E8}">
    <text>Accenture 10% savings added for April.</text>
  </threadedComment>
  <threadedComment ref="L468" dT="2026-06-22T14:47:50.21" personId="{574F1AB3-8B7C-40EB-89E3-BB2E0C817D73}" id="{6AE834DA-FBA9-4A80-B004-C46E47F5D74D}">
    <text>Paul Peterson will be submitting Reclass - Kinjal to contact if not posted as per Srini. - Moved charges to June.</text>
  </threadedComment>
  <threadedComment ref="L468" dT="2026-06-22T14:57:26.08" personId="{574F1AB3-8B7C-40EB-89E3-BB2E0C817D73}" id="{3FCA988B-1FC9-4B69-8FD6-72341681F4A5}" parentId="{6AE834DA-FBA9-4A80-B004-C46E47F5D74D}">
    <text>Awaiting on email reply.</text>
  </threadedComment>
  <threadedComment ref="L468" dT="2026-06-30T20:50:40.93" personId="{574F1AB3-8B7C-40EB-89E3-BB2E0C817D73}" id="{044BA9A8-3EBF-4097-8FD1-50B292A5FF11}" parentId="{6AE834DA-FBA9-4A80-B004-C46E47F5D74D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516B1DB5-9669-4D2E-AD8A-58D442D271D2}" startIndex="13" length="16"/>
    </mentions>
  </threadedComment>
  <threadedComment ref="L468" dT="2026-06-30T20:51:47.45" personId="{574F1AB3-8B7C-40EB-89E3-BB2E0C817D73}" id="{D2D418E7-81E0-4C71-BCDE-81454B3CCC4D}" parentId="{6AE834DA-FBA9-4A80-B004-C46E47F5D74D}">
    <text>Peterson, Paul D &lt;Paul.Peterson@pfizer.com&gt;</text>
  </threadedComment>
  <threadedComment ref="AF468" dT="2026-06-30T20:51:21.71" personId="{574F1AB3-8B7C-40EB-89E3-BB2E0C817D73}" id="{97B382CC-FD69-4ABB-92F9-F97D0E8E2239}">
    <text>10% uplift added to $144,819.00</text>
  </threadedComment>
  <threadedComment ref="P469" dT="2026-06-16T17:42:48.02" personId="{574F1AB3-8B7C-40EB-89E3-BB2E0C817D73}" id="{4B6BD60A-6D66-440A-95F8-8D0AFD7A3040}">
    <text>PO9501143554 - Coding needs to be changed, so we don't need to Reclass every month.</text>
  </threadedComment>
  <threadedComment ref="P469" dT="2026-07-10T17:52:01.39" personId="{574F1AB3-8B7C-40EB-89E3-BB2E0C817D73}" id="{8197D6A6-C233-4DBA-AABE-03B6F44D4047}" parentId="{4B6BD60A-6D66-440A-95F8-8D0AFD7A3040}">
    <text>Kerry working with Natasha in order to get it corrected.</text>
  </threadedComment>
  <threadedComment ref="AF470" dT="2026-06-25T12:40:06.25" personId="{574F1AB3-8B7C-40EB-89E3-BB2E0C817D73}" id="{9CDF2AB8-C0A4-4C39-85E3-D790586AD951}">
    <text>Initially had $17,440.00, Role transitioned to IBM from Judge - awaiting on new candidate to finalize. Zeroing it out.</text>
  </threadedComment>
  <threadedComment ref="M472" dT="2026-04-30T18:34:12.70" personId="{574F1AB3-8B7C-40EB-89E3-BB2E0C817D73}" id="{D58DEAA9-B657-4B02-B1DA-86A4A588E0A6}">
    <text>PO9500996366</text>
  </threadedComment>
  <threadedComment ref="P475" dT="2026-06-24T19:03:30.43" personId="{574F1AB3-8B7C-40EB-89E3-BB2E0C817D73}" id="{C9A0D1C2-629C-4C53-98C1-2A6FE0888A6C}">
    <text>@Meadows, Leslie Does this look good?</text>
    <mentions>
      <mention mentionpersonId="{EC554CCA-E29D-43FA-BA6B-59F8B24C668D}" mentionId="{B194C24D-8D27-444D-B077-07553014DC5C}" startIndex="0" length="16"/>
    </mentions>
  </threadedComment>
  <threadedComment ref="P476" dT="2026-04-29T17:50:51.57" personId="{574F1AB3-8B7C-40EB-89E3-BB2E0C817D73}" id="{B1C3200B-A013-4BA0-96DA-63868D9956FE}">
    <text>There are 4 PO's - 1 PO9501143554 was incorrectly coded. Added to forecast. 9501143554, 9501157382, 9501158432, 9501157088</text>
  </threadedComment>
  <threadedComment ref="P476" dT="2026-06-17T16:35:18.73" personId="{574F1AB3-8B7C-40EB-89E3-BB2E0C817D73}" id="{692A26E5-13D7-4BFA-8204-29F70FCA644E}" parentId="{B1C3200B-A013-4BA0-96DA-63868D9956FE}">
    <text>@Meadows, Leslie Savings from IBM S2 PO9501158432 for about $80K.</text>
    <mentions>
      <mention mentionpersonId="{EC554CCA-E29D-43FA-BA6B-59F8B24C668D}" mentionId="{1FA46FC1-4407-4FC1-AFE5-757468F3F88F}" startIndex="0" length="16"/>
    </mentions>
  </threadedComment>
  <threadedComment ref="P485" dT="2026-06-25T13:57:28.97" personId="{574F1AB3-8B7C-40EB-89E3-BB2E0C817D73}" id="{6E938C6E-30E2-4C6D-941F-8310862FEA77}">
    <text xml:space="preserve">As per MH - 0017-B: Middleware Integration (~$300K) [CJD] I believe this was a transfer from Lynne DH MH – Yes, this is from the same budget transfer and is recurring.
</text>
  </threadedComment>
  <threadedComment ref="U486" dT="2026-06-22T20:29:00.58" personId="{CB858D31-DDF6-49E9-988F-4F795721B1B6}" id="{F1B71CCE-08C0-413E-9BD7-FD962F6A48F3}">
    <text>Added comment</text>
  </threadedComment>
  <threadedComment ref="AE487" dT="2026-05-01T19:18:46.56" personId="{E5DDB7AC-0E3B-43D3-B290-A0C2DE0E4CA6}" id="{FCB38033-AC99-4FDE-AB16-9BF6359537D5}">
    <text>@Panchal, Kinjal (Contractor) - credit applied</text>
    <mentions>
      <mention mentionpersonId="{41C1EA72-4B5F-46D2-98ED-92FF8288C6E4}" mentionId="{E91D071B-932C-47AA-97DD-1A317D66248E}" startIndex="0" length="29"/>
    </mentions>
  </threadedComment>
  <threadedComment ref="AE487" dT="2026-05-04T14:42:23.69" personId="{2F28E56F-FEAA-43E9-B12B-6DB43EF0AD98}" id="{F8E78246-CCE4-45E5-92AD-06430ED5C8D9}" parentId="{FCB38033-AC99-4FDE-AB16-9BF6359537D5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4FDDD728-DDFB-4986-A12C-D96A99D42F16}" startIndex="0" length="16"/>
    </mentions>
  </threadedComment>
  <threadedComment ref="AE487" dT="2026-05-06T16:36:37.60" personId="{574F1AB3-8B7C-40EB-89E3-BB2E0C817D73}" id="{6837408D-5F0E-4ED1-9E9A-9DF0A9BDDE07}" parentId="{FCB38033-AC99-4FDE-AB16-9BF6359537D5}">
    <text>Credit of $76K applied to PO9501258249. 
PO9501258100</text>
  </threadedComment>
  <threadedComment ref="AF487" dT="2026-06-25T21:46:32.62" personId="{574F1AB3-8B7C-40EB-89E3-BB2E0C817D73}" id="{24459A56-AC92-4AAC-9E3D-384DA53C50A8}">
    <text xml:space="preserve">AP05 Accruals will be reversed and $76K credit will be posted. </text>
  </threadedComment>
  <threadedComment ref="R490" dT="2026-06-03T13:53:54.12" personId="{CC497235-42B2-452E-BB5C-404562BE634F}" id="{A39126C7-3496-4CC0-8B97-B60C2545735B}">
    <text>1/1/2026-6/30/2026</text>
  </threadedComment>
  <threadedComment ref="U496" dT="2026-06-22T20:01:16.02" personId="{CB858D31-DDF6-49E9-988F-4F795721B1B6}" id="{D3EFC11A-F8F5-4184-B16D-B7041E01ADD9}">
    <text>Added comment</text>
  </threadedComment>
  <threadedComment ref="P501" dT="2026-04-29T18:35:54.88" personId="{574F1AB3-8B7C-40EB-89E3-BB2E0C817D73}" id="{D79813BB-FCC3-4E0A-9945-D44AF116368C}" done="1">
    <text>Forecast already reduced by $400K as compared to LE0, given to Chris.</text>
  </threadedComment>
  <threadedComment ref="X507" dT="2026-06-25T22:28:11.47" personId="{574F1AB3-8B7C-40EB-89E3-BB2E0C817D73}" id="{E8DB1415-DDFC-426E-817A-76E97686A2FC}">
    <text xml:space="preserve">@White, Charlotte Hilliard @Meadows, Leslie Hello Charlotte, what is this in regards too? Please advise. thank you </text>
    <mentions>
      <mention mentionpersonId="{501495C5-0639-4E15-9C50-3303D4C825B6}" mentionId="{3B124D8A-EDFF-4E0C-83EA-1A49935A1B2B}" startIndex="0" length="26"/>
      <mention mentionpersonId="{EC554CCA-E29D-43FA-BA6B-59F8B24C668D}" mentionId="{6A49C74B-95BE-4F1A-B75F-E3CC1B68675D}" startIndex="27" length="16"/>
    </mentions>
  </threadedComment>
  <threadedComment ref="P509" dT="2026-06-25T13:56:28.37" personId="{574F1AB3-8B7C-40EB-89E3-BB2E0C817D73}" id="{4E140FDC-E01E-4A80-920F-45F37B66F99D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AM511" dT="2026-05-05T15:39:55.13" personId="{574F1AB3-8B7C-40EB-89E3-BB2E0C817D73}" id="{C74AC1AC-450E-4FA4-895B-6A897B3390B2}">
    <text>10% Accenture savings added from Apr-Dec</text>
  </threadedComment>
  <threadedComment ref="P513" dT="2026-06-04T21:23:37.59" personId="{574F1AB3-8B7C-40EB-89E3-BB2E0C817D73}" id="{15408FF6-BDC9-4DAA-A5A7-57BE110B6729}">
    <text>This WBS got pulled in CC/WBS report.</text>
  </threadedComment>
  <threadedComment ref="U513" dT="2026-06-22T20:01:21.05" personId="{CB858D31-DDF6-49E9-988F-4F795721B1B6}" id="{9E29631A-F2E8-4C36-A6CC-4B4F5F6D48EB}">
    <text>Added comment</text>
  </threadedComment>
  <threadedComment ref="AN521" dT="2026-06-25T20:07:30.36" personId="{574F1AB3-8B7C-40EB-89E3-BB2E0C817D73}" id="{C440C967-A301-4185-A665-2E4FC630107D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29B5DF7E-1F1C-446D-AD63-17B1C0661CFF}" startIndex="0" length="15"/>
      <mention mentionpersonId="{501495C5-0639-4E15-9C50-3303D4C825B6}" mentionId="{62033776-22F8-45CF-B483-68D97641A6A7}" startIndex="16" length="26"/>
    </mentions>
  </threadedComment>
  <threadedComment ref="P522" dT="2026-04-29T18:41:52.55" personId="{574F1AB3-8B7C-40EB-89E3-BB2E0C817D73}" id="{77253ACD-D028-4530-87C0-01014D809345}">
    <text>AMS Support Contract was updated -  (Additional Resource was added)</text>
  </threadedComment>
  <threadedComment ref="P522" dT="2026-04-29T18:42:16.97" personId="{574F1AB3-8B7C-40EB-89E3-BB2E0C817D73}" id="{BE807068-CDC1-48C7-9BDB-4A0CE77B9DA9}" parentId="{77253ACD-D028-4530-87C0-01014D809345}">
    <text>9501199822, 9501199827 9501196824</text>
  </threadedComment>
  <threadedComment ref="X522" dT="2026-06-24T12:46:50.15" personId="{574F1AB3-8B7C-40EB-89E3-BB2E0C817D73}" id="{2BDBAD01-39A5-4AA4-A6C1-A6FAD56FC396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3FFEF529-03F9-4C1B-BFCC-7A8F99E3AE55}" startIndex="0" length="15"/>
    </mentions>
  </threadedComment>
  <threadedComment ref="AN523" dT="2026-06-25T20:07:39.28" personId="{574F1AB3-8B7C-40EB-89E3-BB2E0C817D73}" id="{8CDFE32A-CFD2-4D06-AC36-4A1E1EB902DD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A437A3BF-6A3C-4148-B3D4-F4F96F7CAF9A}" startIndex="0" length="15"/>
      <mention mentionpersonId="{501495C5-0639-4E15-9C50-3303D4C825B6}" mentionId="{40B370A2-8223-4776-96B4-C9B4B5ACB43E}" startIndex="16" length="26"/>
    </mentions>
  </threadedComment>
  <threadedComment ref="AN526" dT="2026-06-25T20:07:15.98" personId="{574F1AB3-8B7C-40EB-89E3-BB2E0C817D73}" id="{14CA70F1-C063-42C8-A2E5-AD4179D0FC37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D9A6D6BB-8606-4705-9773-FC2DAD5EDDC4}" startIndex="0" length="15"/>
      <mention mentionpersonId="{501495C5-0639-4E15-9C50-3303D4C825B6}" mentionId="{9083FB65-C802-4C65-80B5-FF4C17883057}" startIndex="16" length="26"/>
    </mentions>
  </threadedComment>
  <threadedComment ref="P527" dT="2026-05-06T15:51:41.07" personId="{574F1AB3-8B7C-40EB-89E3-BB2E0C817D73}" id="{C47F8952-2053-4574-9412-48368B48C22F}">
    <text>As per Leslie's chat, for $245K - $200k is under 1009/46 &amp; 45k is under 'IT-FBT0281-OG-US-00" IBM AMS support agreement </text>
  </threadedComment>
  <threadedComment ref="P527" dT="2026-05-06T15:51:50.51" personId="{574F1AB3-8B7C-40EB-89E3-BB2E0C817D73}" id="{FEF6A7A9-0A0A-4693-B334-D12EB7515D38}" parentId="{C47F8952-2053-4574-9412-48368B48C22F}">
    <text>We have 2 PO's - 9501166164 $4,651,600.00 AND 9501190667 $62,500.00</text>
  </threadedComment>
  <threadedComment ref="U527" dT="2026-05-06T15:51:22.98" personId="{574F1AB3-8B7C-40EB-89E3-BB2E0C817D73}" id="{8F4AFDA9-10E8-4946-BA7C-92E59619E585}">
    <text>As per Leslie's chat, for $245K - $200k is under 1009/46 &amp; 45k is under 'IT-FBT0281-OG-US-00" IBM AMS support agreement </text>
  </threadedComment>
  <threadedComment ref="AN527" dT="2026-06-17T18:09:33.46" personId="{574F1AB3-8B7C-40EB-89E3-BB2E0C817D73}" id="{D088015F-CCE3-46EE-89D4-8C8FD966B788}">
    <text>Over AP05 Auto Accrual</text>
  </threadedComment>
  <threadedComment ref="P557" dT="2026-04-30T19:00:40.38" personId="{574F1AB3-8B7C-40EB-89E3-BB2E0C817D73}" id="{FABCA567-BED1-4334-96DB-20510AEDE67D}">
    <text>@Panchal, Kinjal (Contractor)  to talk to Ram about this spent.</text>
    <mentions>
      <mention mentionpersonId="{41C1EA72-4B5F-46D2-98ED-92FF8288C6E4}" mentionId="{BDA32059-71A0-4550-A058-25F8ECA5A3FB}" startIndex="0" length="29"/>
    </mentions>
  </threadedComment>
  <threadedComment ref="P557" dT="2026-04-30T19:11:31.08" personId="{574F1AB3-8B7C-40EB-89E3-BB2E0C817D73}" id="{9AE93658-B19B-4071-A307-D79421BCFE91}" parentId="{FABCA567-BED1-4334-96DB-20510AEDE67D}">
    <text>Contacted Ram</text>
  </threadedComment>
  <threadedComment ref="P557" dT="2026-06-18T10:19:45.46" personId="{574F1AB3-8B7C-40EB-89E3-BB2E0C817D73}" id="{387A89FE-0B7C-4522-B1D7-C94AF689A25D}" parentId="{FABCA567-BED1-4334-96DB-20510AEDE67D}">
    <text>It has been moved from Ram to Chris - Task Completed.</text>
  </threadedComment>
  <threadedComment ref="P558" dT="2026-06-25T22:11:59.25" personId="{574F1AB3-8B7C-40EB-89E3-BB2E0C817D73}" id="{F37AA49E-5D05-416E-9F83-3727B64194CF}">
    <text>@Wilkins, Tanya May i please get more details on actuals.</text>
    <mentions>
      <mention mentionpersonId="{A7AA6105-FC99-46D9-B5F8-B84AFBD735AA}" mentionId="{F7C7A7B9-9FF7-4784-8725-9F753A1ACB1C}" startIndex="0" length="15"/>
    </mentions>
  </threadedComment>
  <threadedComment ref="M564" dT="2026-05-01T15:36:40.25" personId="{574F1AB3-8B7C-40EB-89E3-BB2E0C817D73}" id="{7014838C-F623-4E47-A79F-6DAB7C0AC1DA}">
    <text>Reviewed with Heather in chat.</text>
  </threadedComment>
  <threadedComment ref="P564" dT="2026-04-30T19:01:58.42" personId="{574F1AB3-8B7C-40EB-89E3-BB2E0C817D73}" id="{846EBA99-9A72-4D2C-B043-547C17F397D1}">
    <text>Contacted Jim &amp; Heather - Kinjal</text>
  </threadedComment>
  <threadedComment ref="P573" dT="2026-06-15T21:18:40.19" personId="{574F1AB3-8B7C-40EB-89E3-BB2E0C817D73}" id="{065F5504-120B-4B86-AC19-F5094E7A44A4}">
    <text>PO9501250402 $55K @Meadows, Leslie</text>
    <mentions>
      <mention mentionpersonId="{EC554CCA-E29D-43FA-BA6B-59F8B24C668D}" mentionId="{1765E9D9-4857-4153-B6E6-EEF421A0A9DB}" startIndex="18" length="16"/>
    </mentions>
  </threadedComment>
  <threadedComment ref="P573" dT="2026-06-25T18:35:23.39" personId="{574F1AB3-8B7C-40EB-89E3-BB2E0C817D73}" id="{3BD015A1-E889-4B19-BBF5-73930F1D5A65}" parentId="{065F5504-120B-4B86-AC19-F5094E7A44A4}">
    <text>9501250402 coding change to Leslie in May from Ram's, so it's the variance.</text>
  </threadedComment>
  <threadedComment ref="P573" dT="2026-07-10T15:45:48.98" personId="{574F1AB3-8B7C-40EB-89E3-BB2E0C817D73}" id="{4E740F7D-AE42-4336-BD37-43AE92B09828}" parentId="{065F5504-120B-4B86-AC19-F5094E7A44A4}">
    <text>9501258229, 9501258235, 9501271398 &amp; Dynatrace/Splunk Reclass</text>
  </threadedComment>
  <threadedComment ref="P579" dT="2026-06-16T19:47:56.01" personId="{574F1AB3-8B7C-40EB-89E3-BB2E0C817D73}" id="{7EFC45A4-F043-428F-8083-E50672D5EB86}">
    <text>@Wilkins, Tanya @White, Charlotte Hilliard May i please get more details on this actual? Can't find it in the actuals file.</text>
    <mentions>
      <mention mentionpersonId="{A7AA6105-FC99-46D9-B5F8-B84AFBD735AA}" mentionId="{B3182116-4C87-4962-9937-19EB6BB7A4E3}" startIndex="0" length="15"/>
      <mention mentionpersonId="{501495C5-0639-4E15-9C50-3303D4C825B6}" mentionId="{8F1AE64F-3DE2-4957-BD03-A8466ED6E8CC}" startIndex="16" length="26"/>
    </mentions>
  </threadedComment>
  <threadedComment ref="L588" dT="2026-06-22T13:35:50.82" personId="{574F1AB3-8B7C-40EB-89E3-BB2E0C817D73}" id="{54CAE408-FB50-45AB-92B1-97D0E4D4AB17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407D8A4F-DB12-4D81-815D-2091F88E4C02}" startIndex="0" length="15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8" dT="2026-06-24T19:04:01.53" personId="{574F1AB3-8B7C-40EB-89E3-BB2E0C817D73}" id="{ABCDD63C-DD76-4F8C-A054-A45DC4F491AF}">
    <text>@Meadows, Leslie Does this look ok to you?</text>
    <mentions>
      <mention mentionpersonId="{EC554CCA-E29D-43FA-BA6B-59F8B24C668D}" mentionId="{AE368B0D-CF0E-48CB-819F-9E6116311269}" startIndex="0" length="16"/>
    </mentions>
  </threadedComment>
  <threadedComment ref="K9" dT="2026-04-29T15:24:19.98" personId="{574F1AB3-8B7C-40EB-89E3-BB2E0C817D73}" id="{677F6075-218F-4E97-BE91-869C960CA7A3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77DEEF1C-93B8-4C6C-95D7-1DB28EFD2D6D}" startIndex="0" length="12"/>
      <mention mentionpersonId="{501495C5-0639-4E15-9C50-3303D4C825B6}" mentionId="{82CCD3C2-EFBA-42C4-95C3-EE1984869033}" startIndex="13" length="26"/>
    </mentions>
  </threadedComment>
  <threadedComment ref="K9" dT="2026-05-01T13:34:36.88" personId="{574F1AB3-8B7C-40EB-89E3-BB2E0C817D73}" id="{386DD2EC-2303-486D-B6DE-04E5693758A7}" parentId="{677F6075-218F-4E97-BE91-869C960CA7A3}">
    <text>Forecast zeroed out on 5/1/26 - Give back $183K.</text>
  </threadedComment>
  <threadedComment ref="K9" dT="2026-06-18T11:29:50.90" personId="{574F1AB3-8B7C-40EB-89E3-BB2E0C817D73}" id="{B95888B1-CA1C-4E0C-9D4C-9991BC65BE40}" parentId="{677F6075-218F-4E97-BE91-869C960CA7A3}">
    <text>Per Leslie - Fieldglass, no payment is due in 2026 for support under IBM. It will resume in 2027 @ $169,020</text>
  </threadedComment>
  <threadedComment ref="K10" dT="2026-06-24T19:03:30.43" personId="{574F1AB3-8B7C-40EB-89E3-BB2E0C817D73}" id="{BEBE7EA8-F68D-4F96-9744-E72124300C80}">
    <text>@Meadows, Leslie Does this look good?</text>
    <mentions>
      <mention mentionpersonId="{EC554CCA-E29D-43FA-BA6B-59F8B24C668D}" mentionId="{32EFB233-7A3B-40EE-B37F-C411C0119FB6}" startIndex="0" length="16"/>
    </mentions>
  </threadedComment>
  <threadedComment ref="K14" dT="2026-06-25T13:56:28.37" personId="{574F1AB3-8B7C-40EB-89E3-BB2E0C817D73}" id="{7E920481-55C7-4794-87C7-C31CB6F8A21B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K16" dT="2026-06-25T13:57:28.97" personId="{574F1AB3-8B7C-40EB-89E3-BB2E0C817D73}" id="{8CD98C13-0B68-4D55-A06F-7A9995C19FFD}">
    <text xml:space="preserve">As per MH - 0017-B: Middleware Integration (~$300K) [CJD] I believe this was a transfer from Lynne DH MH – Yes, this is from the same budget transfer and is recurring.
</text>
  </threadedComment>
  <threadedComment ref="K18" dT="2026-06-25T14:03:48.74" personId="{574F1AB3-8B7C-40EB-89E3-BB2E0C817D73}" id="{26BBCB77-C86D-42A3-9858-1962AC7220A0}">
    <text>@Meadows, Leslie Hello @Meadows, Leslie Do you know who should we reach out to for this line item?</text>
    <mentions>
      <mention mentionpersonId="{EC554CCA-E29D-43FA-BA6B-59F8B24C668D}" mentionId="{6026AF60-DE61-440B-863D-5F017B20B678}" startIndex="0" length="16"/>
      <mention mentionpersonId="{EC554CCA-E29D-43FA-BA6B-59F8B24C668D}" mentionId="{C6DE1FF2-F5C6-49FE-AFF2-20CC0722974B}" startIndex="23" length="16"/>
    </mentions>
  </threadedComment>
  <threadedComment ref="K18" dT="2026-07-07T15:53:11.96" personId="{574F1AB3-8B7C-40EB-89E3-BB2E0C817D73}" id="{B05A8E99-88E8-4653-986D-920B287F6670}" parentId="{26BBCB77-C86D-42A3-9858-1962AC7220A0}">
    <text>To be discussed with Ram 1:1.</text>
  </threadedComment>
  <threadedComment ref="K20" dT="2026-06-25T14:09:43.51" personId="{574F1AB3-8B7C-40EB-89E3-BB2E0C817D73}" id="{73218A01-EEE4-4ADA-A21C-99FC589302C3}">
    <text>@Meadows, Leslie Please advise who should we reach out for this line item? Nothing hit until now.</text>
    <mentions>
      <mention mentionpersonId="{EC554CCA-E29D-43FA-BA6B-59F8B24C668D}" mentionId="{AB7434B3-95AC-403C-B3DE-E06954F51571}" startIndex="0" length="16"/>
    </mentions>
  </threadedComment>
  <threadedComment ref="K20" dT="2026-07-07T16:04:29.53" personId="{574F1AB3-8B7C-40EB-89E3-BB2E0C817D73}" id="{6E071694-6523-4830-A7C3-EA0EEC60C948}" parentId="{73218A01-EEE4-4ADA-A21C-99FC589302C3}">
    <text>to be discussed with Ram 1:1</text>
  </threadedComment>
  <threadedComment ref="G22" dT="2026-07-09T16:27:26.54" personId="{574F1AB3-8B7C-40EB-89E3-BB2E0C817D73}" id="{E4B5B87E-8261-49BD-8CB0-5D2C08D18CAE}">
    <text>Working with Ram</text>
  </threadedComment>
  <threadedComment ref="K32" dT="2026-07-07T16:26:41.99" personId="{574F1AB3-8B7C-40EB-89E3-BB2E0C817D73}" id="{06A6CA3E-70E7-47DE-B952-F850AC337928}">
    <text>IT-MGS0202-OG-US-00</text>
  </threadedComment>
  <threadedComment ref="K38" dT="2026-07-07T16:58:14.87" personId="{574F1AB3-8B7C-40EB-89E3-BB2E0C817D73}" id="{9D2D6494-4090-4D9A-8806-278F6B529ED6}">
    <text>IT-MGS0203-OG-US-00</text>
  </threadedComment>
  <threadedComment ref="K40" dT="2026-04-29T18:50:36.39" personId="{574F1AB3-8B7C-40EB-89E3-BB2E0C817D73}" id="{CE39DD41-B1DD-4C2F-96C7-7DE856CF32C8}">
    <text>Give back.</text>
  </threadedComment>
  <threadedComment ref="K40" dT="2026-07-10T14:50:21.32" personId="{574F1AB3-8B7C-40EB-89E3-BB2E0C817D73}" id="{4295B908-6E59-4636-8D9B-C6E3C3FF2B4E}" parentId="{CE39DD41-B1DD-4C2F-96C7-7DE856CF32C8}">
    <text>5/15 CHW - Syniti paid thru 12/30/2027; 2026 Budget Transfer</text>
  </threadedComment>
  <threadedComment ref="AH89" dT="2026-05-05T15:39:55.13" personId="{574F1AB3-8B7C-40EB-89E3-BB2E0C817D73}" id="{007663BE-D25C-465B-99A3-B3F8976D9EFB}">
    <text>10% Accenture savings added from Apr-Dec</text>
  </threadedComment>
  <threadedComment ref="K105" dT="2026-06-25T22:11:59.25" personId="{574F1AB3-8B7C-40EB-89E3-BB2E0C817D73}" id="{90BD8C05-5157-449B-ABB2-05C36CE92FA9}">
    <text>@Wilkins, Tanya May i please get more details on actuals.</text>
    <mentions>
      <mention mentionpersonId="{A7AA6105-FC99-46D9-B5F8-B84AFBD735AA}" mentionId="{5A0DF421-413E-48E3-866F-0F085DAB4915}" startIndex="0" length="15"/>
    </mentions>
  </threadedComment>
  <threadedComment ref="K141" dT="2026-06-25T22:13:07.18" personId="{574F1AB3-8B7C-40EB-89E3-BB2E0C817D73}" id="{3AA90881-B3F6-4059-915F-7D5DB0E4EAED}">
    <text>May i please get more details on actuals. @Wilkins, Tanya</text>
    <mentions>
      <mention mentionpersonId="{A7AA6105-FC99-46D9-B5F8-B84AFBD735AA}" mentionId="{CABEC4D8-3A40-4A34-B80F-453DA9A76CA4}" startIndex="42" length="15"/>
    </mentions>
  </threadedComment>
  <threadedComment ref="K148" dT="2026-06-25T22:06:16.53" personId="{574F1AB3-8B7C-40EB-89E3-BB2E0C817D73}" id="{5C1BABDA-B098-43EB-A766-09151C40B8C7}">
    <text>@White, Charlotte Hilliard May I please get more details on these charges as i couldn't find this in the actuals file. @Wilkins, Tanya</text>
    <mentions>
      <mention mentionpersonId="{501495C5-0639-4E15-9C50-3303D4C825B6}" mentionId="{92254087-F69C-4CCE-A74B-B861681B64B3}" startIndex="0" length="26"/>
      <mention mentionpersonId="{A7AA6105-FC99-46D9-B5F8-B84AFBD735AA}" mentionId="{FCA8EA40-8962-4B0D-9AE9-4A004C7D79EC}" startIndex="119" length="15"/>
    </mentions>
  </threadedComment>
  <threadedComment ref="K150" dT="2026-06-16T13:27:15.32" personId="{574F1AB3-8B7C-40EB-89E3-BB2E0C817D73}" id="{13E911B9-9A54-4D67-8A05-7DAA99050C2A}">
    <text>ER90410 - GBS/EF - SUPPORT - TESTING COE in AP02 @Meadows, Leslie</text>
    <mentions>
      <mention mentionpersonId="{EC554CCA-E29D-43FA-BA6B-59F8B24C668D}" mentionId="{3590E3E9-6C33-4236-BADC-9A4551F76D62}" startIndex="49" length="16"/>
    </mentions>
  </threadedComment>
  <threadedComment ref="K150" dT="2026-07-10T15:09:23.43" personId="{574F1AB3-8B7C-40EB-89E3-BB2E0C817D73}" id="{3063D9B2-5931-4EC6-8606-06B3ED2F7151}" parentId="{13E911B9-9A54-4D67-8A05-7DAA99050C2A}">
    <text>ER97452 - GBS/EF - SUPPORT - TESTING COE</text>
    <extLst>
      <x:ext xmlns:xltc2="http://schemas.microsoft.com/office/spreadsheetml/2020/threadedcomments2" uri="{F7C98A9C-CBB3-438F-8F68-D28B6AF4A901}">
        <xltc2:checksum>3265925238</xltc2:checksum>
        <xltc2:hyperlink startIndex="0" length="40" url="https://pfizer.sharepoint.com/sites/Enhance/sitepages/landing.aspx/PMO?itemid=11669"/>
      </x:ext>
    </extLst>
  </threadedComment>
  <threadedComment ref="K151" dT="2026-06-18T19:51:13.26" personId="{574F1AB3-8B7C-40EB-89E3-BB2E0C817D73}" id="{81C052EC-C9CE-4251-8D3B-DD1B8C78279E}">
    <text xml:space="preserve">@White, Charlotte Hilliard Where would i be able to get more details on this? Please advise. thank you </text>
    <mentions>
      <mention mentionpersonId="{501495C5-0639-4E15-9C50-3303D4C825B6}" mentionId="{C7F0B593-CF20-4502-9FF1-9D5CA635343D}" startIndex="0" length="26"/>
    </mentions>
  </threadedComment>
  <threadedComment ref="K156" dT="2026-06-18T19:51:22.76" personId="{574F1AB3-8B7C-40EB-89E3-BB2E0C817D73}" id="{C216382E-084D-40B5-827F-EBB9403052BC}">
    <text xml:space="preserve">@White, Charlotte Hilliard Where would i be able to get more details on this? Please advise. thank you </text>
    <mentions>
      <mention mentionpersonId="{501495C5-0639-4E15-9C50-3303D4C825B6}" mentionId="{2693E1CE-6177-47ED-BAE4-C3550B57128E}" startIndex="0" length="26"/>
    </mentions>
  </threadedComment>
  <threadedComment ref="M195" dT="2026-06-03T14:30:35.80" personId="{CC497235-42B2-452E-BB5C-404562BE634F}" id="{B1258BC4-2ABB-40AE-9B5C-53A4256A3262}">
    <text>4/1/2026-6/30/2026</text>
  </threadedComment>
  <threadedComment ref="M199" dT="2026-06-03T13:45:25.83" personId="{CC497235-42B2-452E-BB5C-404562BE634F}" id="{E93E981F-1208-4CF0-A3DB-DE57900BE1B6}">
    <text>2/1/2026-6/30/2026</text>
  </threadedComment>
  <threadedComment ref="K201" dT="2026-04-29T21:19:21.55" personId="{574F1AB3-8B7C-40EB-89E3-BB2E0C817D73}" id="{0D1A52AF-EF08-4F7E-A0CB-EA64E73EC757}">
    <text>@White, Charlotte Hilliard  Please 
change the description to DIGITAL-CLOUD-AWS-CHARGES</text>
    <mentions>
      <mention mentionpersonId="{501495C5-0639-4E15-9C50-3303D4C825B6}" mentionId="{E25F9059-0380-458F-B5C6-443A6F07A1FE}" startIndex="0" length="26"/>
    </mentions>
  </threadedComment>
  <threadedComment ref="K201" dT="2026-06-18T13:22:52.11" personId="{CC497235-42B2-452E-BB5C-404562BE634F}" id="{B7897F51-163E-45B1-B5F2-824CDCC3666B}" parentId="{0D1A52AF-EF08-4F7E-A0CB-EA64E73EC757}">
    <text>Previously FBO BT SUN &amp; Oracle Archival Project</text>
  </threadedComment>
  <threadedComment ref="M202" dT="2026-06-03T14:16:57.32" personId="{CC497235-42B2-452E-BB5C-404562BE634F}" id="{B9836931-ADA5-4CC1-8DDB-127D8E8D9D4A}">
    <text>1/1/2026-6/30/2026</text>
  </threadedComment>
  <threadedComment ref="M202" dT="2026-07-14T20:00:04.35" personId="{574F1AB3-8B7C-40EB-89E3-BB2E0C817D73}" id="{75CD3C60-610A-4F7E-B188-DF2E05442E69}" parentId="{B9836931-ADA5-4CC1-8DDB-127D8E8D9D4A}">
    <text>Moved to Leslie.</text>
  </threadedComment>
  <threadedComment ref="K203" dT="2026-06-15T21:18:40.19" personId="{574F1AB3-8B7C-40EB-89E3-BB2E0C817D73}" id="{DDC3E4C3-C3DC-47B6-B9C8-4C102BE88F14}">
    <text>PO9501250402 $55K @Meadows, Leslie</text>
    <mentions>
      <mention mentionpersonId="{EC554CCA-E29D-43FA-BA6B-59F8B24C668D}" mentionId="{B733556B-C8CA-4C39-B285-9F70C139CB89}" startIndex="18" length="16"/>
    </mentions>
  </threadedComment>
  <threadedComment ref="K203" dT="2026-06-25T18:35:23.39" personId="{574F1AB3-8B7C-40EB-89E3-BB2E0C817D73}" id="{22B1E23F-561B-4608-9B7A-3AF78E209C67}" parentId="{DDC3E4C3-C3DC-47B6-B9C8-4C102BE88F14}">
    <text>9501250402 coding change to Leslie in May from Ram's, so it's the variance.</text>
  </threadedComment>
  <threadedComment ref="K203" dT="2026-07-10T15:45:48.98" personId="{574F1AB3-8B7C-40EB-89E3-BB2E0C817D73}" id="{D2124005-90D6-4499-A45E-042F4FFBDAAC}" parentId="{DDC3E4C3-C3DC-47B6-B9C8-4C102BE88F14}">
    <text>9501258229, 9501258235, 9501271398 &amp; Dynatrace/Splunk Reclass</text>
  </threadedComment>
  <threadedComment ref="K208" dT="2026-04-29T18:35:54.88" personId="{574F1AB3-8B7C-40EB-89E3-BB2E0C817D73}" id="{D815120F-3B89-4431-9CC9-F7103E033A4D}" done="1">
    <text>Forecast already reduced by $400K as compared to LE0, given to Chris.</text>
  </threadedComment>
  <threadedComment ref="AA218" dT="2026-06-25T12:40:06.25" personId="{574F1AB3-8B7C-40EB-89E3-BB2E0C817D73}" id="{E556F297-F6F0-4D58-B798-E29FD25022C2}">
    <text>Initially had $17,440.00, Role transitioned to IBM from Judge - awaiting on new candidate to finalize. Zeroing it out.</text>
  </threadedComment>
  <threadedComment ref="AH220" dT="2026-05-05T15:38:09.85" personId="{574F1AB3-8B7C-40EB-89E3-BB2E0C817D73}" id="{C39CD28A-CFF3-447E-B849-4FADCB2219FE}">
    <text>10% Accenture savings added from Jun-Dec.</text>
  </threadedComment>
  <threadedComment ref="H221" dT="2026-04-30T17:53:55.78" personId="{574F1AB3-8B7C-40EB-89E3-BB2E0C817D73}" id="{0E3E03E7-3821-41FC-AB3A-CF9FE49E9D18}">
    <text>Srinivasan.S.Venkataramanan@pfizer.co - For all BPAI</text>
  </threadedComment>
  <threadedComment ref="P226" dT="2026-06-22T20:01:16.02" personId="{CB858D31-DDF6-49E9-988F-4F795721B1B6}" id="{7EB1C972-123B-4123-BB2C-6977986D8308}">
    <text>Added comment</text>
  </threadedComment>
  <threadedComment ref="M238" dT="2026-06-03T13:53:54.12" personId="{CC497235-42B2-452E-BB5C-404562BE634F}" id="{D9E9B02B-F8B5-4040-88B9-605FFF360687}">
    <text>1/1/2026-6/30/2026</text>
  </threadedComment>
  <threadedComment ref="AA239" dT="2026-06-25T22:26:12.40" personId="{574F1AB3-8B7C-40EB-89E3-BB2E0C817D73}" id="{7EAAA9F8-0012-4A2E-AF15-C41757926C37}">
    <text>AP05 Accrual reversals on 2 POs</text>
  </threadedComment>
  <threadedComment ref="AH239" dT="2026-05-05T15:41:14.55" personId="{574F1AB3-8B7C-40EB-89E3-BB2E0C817D73}" id="{21BE9EB1-AC52-45B2-A7CB-E7F7ABD353E5}">
    <text>Accenture 10% savings added for April.</text>
  </threadedComment>
  <threadedComment ref="K244" dT="2026-06-17T21:23:30.26" personId="{574F1AB3-8B7C-40EB-89E3-BB2E0C817D73}" id="{8B33D042-E1A3-43A2-A0C2-F6A212AE9C0B}">
    <text>Due to International PO, Currency conversion fluctuates the invoice amounts every month.</text>
  </threadedComment>
  <threadedComment ref="K247" dT="2026-04-30T13:58:34.72" personId="{574F1AB3-8B7C-40EB-89E3-BB2E0C817D73}" id="{D579D5AC-FCF7-4904-B634-4F269575D8A3}">
    <text>Reforecasted from June until EOY as per Ram.</text>
  </threadedComment>
  <threadedComment ref="K249" dT="2026-06-04T21:23:37.59" personId="{574F1AB3-8B7C-40EB-89E3-BB2E0C817D73}" id="{38CBE4DD-1F6A-46BE-A13C-D246F8DF3489}">
    <text>This WBS got pulled in CC/WBS report.</text>
  </threadedComment>
  <threadedComment ref="P249" dT="2026-06-22T20:01:21.05" personId="{CB858D31-DDF6-49E9-988F-4F795721B1B6}" id="{6F4E849E-FF24-4D57-BA41-223B8858166F}">
    <text>Added comment</text>
  </threadedComment>
  <threadedComment ref="K255" dT="2026-05-06T15:51:41.07" personId="{574F1AB3-8B7C-40EB-89E3-BB2E0C817D73}" id="{CFCD8DAB-0BD7-4121-9366-14B3023A1266}">
    <text>As per Leslie's chat, for $245K - $200k is under 1009/46 &amp; 45k is under 'IT-FBT0281-OG-US-00" IBM AMS support agreement </text>
  </threadedComment>
  <threadedComment ref="K255" dT="2026-05-06T15:51:50.51" personId="{574F1AB3-8B7C-40EB-89E3-BB2E0C817D73}" id="{603D72D0-329E-4180-91A3-D2BFDD2C3FC8}" parentId="{CFCD8DAB-0BD7-4121-9366-14B3023A1266}">
    <text>We have 2 PO's - 9501166164 $4,651,600.00 AND 9501190667 $62,500.00</text>
  </threadedComment>
  <threadedComment ref="P255" dT="2026-05-06T15:51:22.98" personId="{574F1AB3-8B7C-40EB-89E3-BB2E0C817D73}" id="{D48AC44B-9CA1-46EC-AE75-E3403E4AC636}">
    <text>As per Leslie's chat, for $245K - $200k is under 1009/46 &amp; 45k is under 'IT-FBT0281-OG-US-00" IBM AMS support agreement </text>
  </threadedComment>
  <threadedComment ref="AI255" dT="2026-06-17T18:09:33.46" personId="{574F1AB3-8B7C-40EB-89E3-BB2E0C817D73}" id="{28F3BD09-5269-4DDB-B945-710427763714}">
    <text>Over AP05 Auto Accrual</text>
  </threadedComment>
  <threadedComment ref="K258" dT="2026-04-29T18:41:52.55" personId="{574F1AB3-8B7C-40EB-89E3-BB2E0C817D73}" id="{A3365C1C-8DFB-4580-A162-63F13301F939}">
    <text>AMS Support Contract was updated -  (Additional Resource was added)</text>
  </threadedComment>
  <threadedComment ref="K258" dT="2026-04-29T18:42:16.97" personId="{574F1AB3-8B7C-40EB-89E3-BB2E0C817D73}" id="{2FC15F45-D40E-4D31-A65A-E248FF446323}" parentId="{A3365C1C-8DFB-4580-A162-63F13301F939}">
    <text>9501199822, 9501199827 9501196824</text>
  </threadedComment>
  <threadedComment ref="S258" dT="2026-06-24T12:46:50.15" personId="{574F1AB3-8B7C-40EB-89E3-BB2E0C817D73}" id="{C5219780-0837-40FD-AFFA-295977CC1CFF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5DBBECDB-3F7C-4695-9C4A-45FA9CEB5DE3}" startIndex="0" length="15"/>
    </mentions>
  </threadedComment>
  <threadedComment ref="M260" dT="2026-06-03T14:35:05.48" personId="{CC497235-42B2-452E-BB5C-404562BE634F}" id="{47B1AA4F-4949-4763-AD5E-409EDFA35A99}">
    <text>1/2026-12/2026</text>
  </threadedComment>
  <threadedComment ref="B264" dT="2026-07-17T13:49:15.24" personId="{CC497235-42B2-452E-BB5C-404562BE634F}" id="{415AB132-1D13-4E29-ADD6-BCFD04A12710}">
    <text xml:space="preserve">Expense category was updated from Managed Services to Contractors </text>
  </threadedComment>
  <threadedComment ref="K264" dT="2026-04-30T13:54:13.38" personId="{574F1AB3-8B7C-40EB-89E3-BB2E0C817D73}" id="{2A2E99A3-A37A-490C-B6B0-67CF8E1138B5}">
    <text xml:space="preserve">Its a 5 month PO - Removing forecast from July-Dec. thank you </text>
  </threadedComment>
  <threadedComment ref="K264" dT="2026-06-17T20:48:43.77" personId="{574F1AB3-8B7C-40EB-89E3-BB2E0C817D73}" id="{907A57E6-3E55-4F2E-A061-AEDFA5B6B0E1}" parentId="{2A2E99A3-A37A-490C-B6B0-67CF8E1138B5}">
    <text>Leslie opened up IBM PO9501275938, so added forecast from June-Dec to capture the spend.</text>
  </threadedComment>
  <threadedComment ref="K264" dT="2026-07-17T15:09:28.58" personId="{CC497235-42B2-452E-BB5C-404562BE634F}" id="{E25124DD-67B5-4077-A712-73CBD3D6BB9E}" parentId="{2A2E99A3-A37A-490C-B6B0-67CF8E1138B5}">
    <text>Created new line under Contractors and moved the forecast for July-December there</text>
  </threadedComment>
  <threadedComment ref="M264" dT="2026-07-17T15:04:27.55" personId="{CC497235-42B2-452E-BB5C-404562BE634F}" id="{563BE330-CA0C-4ECC-BCC1-443DC74C3CAC}">
    <text>12/2025-5/2026</text>
  </threadedComment>
  <threadedComment ref="K265" dT="2026-06-04T21:29:54.67" personId="{574F1AB3-8B7C-40EB-89E3-BB2E0C817D73}" id="{1DE9994B-CEA9-4FD1-9C08-C01730D3AEA4}">
    <text>Dint got pulled in CC/WBS Report</text>
  </threadedComment>
  <threadedComment ref="AI277" dT="2026-06-17T21:05:44.84" personId="{574F1AB3-8B7C-40EB-89E3-BB2E0C817D73}" id="{9EE4A135-841B-40CD-9629-1A1CA7D8D774}">
    <text>Variance because of over auto accruals/reversals.</text>
  </threadedComment>
  <threadedComment ref="K278" dT="2026-04-30T19:00:40.38" personId="{574F1AB3-8B7C-40EB-89E3-BB2E0C817D73}" id="{A0C6228A-C308-498A-A9DC-0A5A22FEC124}">
    <text>@Panchal, Kinjal (Contractor)  to talk to Ram about this spent.</text>
    <mentions>
      <mention mentionpersonId="{41C1EA72-4B5F-46D2-98ED-92FF8288C6E4}" mentionId="{2D497705-D067-4BCB-83B2-5571028F630D}" startIndex="0" length="29"/>
    </mentions>
  </threadedComment>
  <threadedComment ref="K278" dT="2026-04-30T19:11:31.08" personId="{574F1AB3-8B7C-40EB-89E3-BB2E0C817D73}" id="{27BA3063-F44C-448D-908F-963159E98064}" parentId="{A0C6228A-C308-498A-A9DC-0A5A22FEC124}">
    <text>Contacted Ram</text>
  </threadedComment>
  <threadedComment ref="K278" dT="2026-06-18T10:19:45.46" personId="{574F1AB3-8B7C-40EB-89E3-BB2E0C817D73}" id="{B03DCE26-44AE-41B5-A46B-87D46F70BB54}" parentId="{A0C6228A-C308-498A-A9DC-0A5A22FEC124}">
    <text>It has been moved from Ram to Chris - Task Completed.</text>
  </threadedComment>
  <threadedComment ref="K283" dT="2026-06-17T19:46:50.80" personId="{574F1AB3-8B7C-40EB-89E3-BB2E0C817D73}" id="{80B7722E-9344-46EA-BD7D-4DC88E122060}">
    <text>Japan PO - Currency conversion keeps fluctuating actuals every month.</text>
  </threadedComment>
  <threadedComment ref="H294" dT="2026-05-01T15:36:40.25" personId="{574F1AB3-8B7C-40EB-89E3-BB2E0C817D73}" id="{73D26880-9D0A-49A8-91F3-583EBE2684A4}">
    <text>Reviewed with Heather in chat.</text>
  </threadedComment>
  <threadedComment ref="K294" dT="2026-04-30T19:01:58.42" personId="{574F1AB3-8B7C-40EB-89E3-BB2E0C817D73}" id="{F5FB230E-FA9F-4062-9F77-32B6E4B267DB}">
    <text>Contacted Jim &amp; Heather - Kinjal</text>
  </threadedComment>
  <threadedComment ref="K300" dT="2026-06-04T21:30:00.70" personId="{574F1AB3-8B7C-40EB-89E3-BB2E0C817D73}" id="{EEAE9858-C6BC-4674-82AD-7A51F94D358A}">
    <text>Dint got pulled in CC/WBS Report</text>
  </threadedComment>
  <threadedComment ref="K317" dT="2026-06-16T17:42:48.02" personId="{574F1AB3-8B7C-40EB-89E3-BB2E0C817D73}" id="{C7F6931F-2BFB-41FA-8456-B5975FAA4A92}">
    <text>PO9501143554 - Coding needs to be changed, so we don't need to Reclass every month.</text>
  </threadedComment>
  <threadedComment ref="K317" dT="2026-07-10T17:52:01.39" personId="{574F1AB3-8B7C-40EB-89E3-BB2E0C817D73}" id="{469C9FC4-CC44-434E-9727-A0A78247C103}" parentId="{C7F6931F-2BFB-41FA-8456-B5975FAA4A92}">
    <text>Kerry working with Natasha in order to get it corrected.</text>
  </threadedComment>
  <threadedComment ref="K327" dT="2026-04-29T17:50:51.57" personId="{574F1AB3-8B7C-40EB-89E3-BB2E0C817D73}" id="{EAB1AD31-ED7D-43BF-879C-6E19ECF9828E}">
    <text>There are 4 PO's - 1 PO9501143554 was incorrectly coded. Added to forecast. 9501143554, 9501157382, 9501158432, 9501157088</text>
  </threadedComment>
  <threadedComment ref="K327" dT="2026-06-17T16:35:18.73" personId="{574F1AB3-8B7C-40EB-89E3-BB2E0C817D73}" id="{388D4262-1410-482E-92FD-3DDA7FA1E991}" parentId="{EAB1AD31-ED7D-43BF-879C-6E19ECF9828E}">
    <text>@Meadows, Leslie Savings from IBM S2 PO9501158432 for about $80K.</text>
    <mentions>
      <mention mentionpersonId="{EC554CCA-E29D-43FA-BA6B-59F8B24C668D}" mentionId="{C5C89152-080C-4965-99E7-93FC1E0EA27C}" startIndex="0" length="16"/>
    </mentions>
  </threadedComment>
  <threadedComment ref="AA330" dT="2026-06-25T14:48:03.39" personId="{574F1AB3-8B7C-40EB-89E3-BB2E0C817D73}" id="{8AF8C711-805C-4EE0-9EDA-863774A807F7}">
    <text>$37K Reclass was planned in S2, but as per Leslie getting done it in S1 to keep S2 clean. (Fieldglass PO9501134668 incorrect coding).</text>
  </threadedComment>
  <threadedComment ref="AH330" dT="2026-05-05T15:43:09.69" personId="{574F1AB3-8B7C-40EB-89E3-BB2E0C817D73}" id="{B80B2E5A-6E4A-4F9B-BFA9-8B590F9B66F8}">
    <text>Accenture 10% savings added in May.</text>
  </threadedComment>
  <threadedComment ref="K333" dT="2026-06-04T21:29:27.20" personId="{574F1AB3-8B7C-40EB-89E3-BB2E0C817D73}" id="{F95FF2FF-C91D-493F-9DBE-254F9B1D5825}">
    <text>This WBS got pulled in CC/WBS report.</text>
  </threadedComment>
  <threadedComment ref="M341" dT="2026-06-03T14:00:32.78" personId="{CC497235-42B2-452E-BB5C-404562BE634F}" id="{0C400324-AD6D-4C9B-829C-5B53EA3A19D4}">
    <text>4/1/2026-9/30/2026</text>
  </threadedComment>
  <threadedComment ref="K342" dT="2026-06-04T21:29:31.22" personId="{574F1AB3-8B7C-40EB-89E3-BB2E0C817D73}" id="{BEAAF303-9DFD-421F-A349-0B25A457EF39}">
    <text>This WBS got pulled in CC/WBS report.</text>
  </threadedComment>
  <threadedComment ref="G381" dT="2026-06-22T13:35:50.82" personId="{574F1AB3-8B7C-40EB-89E3-BB2E0C817D73}" id="{D5250F64-B546-4CC1-A1C1-9763B2298E2F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88D2553F-A794-49B6-A11F-139D7A28E9BB}" startIndex="0" length="15"/>
    </mentions>
  </threadedComment>
  <threadedComment ref="P408" dT="2026-06-22T20:29:00.58" personId="{CB858D31-DDF6-49E9-988F-4F795721B1B6}" id="{BBF6F4CE-F07D-41D3-8372-50652AE1CFEF}">
    <text>Added comment</text>
  </threadedComment>
  <threadedComment ref="K412" dT="2026-07-07T16:27:01.18" personId="{574F1AB3-8B7C-40EB-89E3-BB2E0C817D73}" id="{1D2ED1C2-562A-4B5F-A161-B7FF26D2D9F4}">
    <text>2026-XFR-0036-A</text>
  </threadedComment>
  <threadedComment ref="K413" dT="2026-07-07T16:27:05.16" personId="{574F1AB3-8B7C-40EB-89E3-BB2E0C817D73}" id="{8E0FDCC8-88BE-4DB1-AA1F-51CC9D2F7501}">
    <text>2026-XFR-0036-A</text>
  </threadedComment>
  <threadedComment ref="K414" dT="2026-06-18T10:49:12.02" personId="{574F1AB3-8B7C-40EB-89E3-BB2E0C817D73}" id="{0B583ECC-A15D-4E13-A796-0186DCDFE2A6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3C9BAA58-BFBD-40BA-961D-628AAD163D20}" startIndex="0" length="26"/>
    </mentions>
  </threadedComment>
  <threadedComment ref="K414" dT="2026-07-07T17:00:18.86" personId="{574F1AB3-8B7C-40EB-89E3-BB2E0C817D73}" id="{61DDB50B-6FC8-4651-83B7-61D33A72035F}" parentId="{0B583ECC-A15D-4E13-A796-0186DCDFE2A6}">
    <text xml:space="preserve">I see it added in Column "AM" now. thanks </text>
  </threadedComment>
  <threadedComment ref="N428" dT="2026-04-22T17:17:44.32" personId="{CC497235-42B2-452E-BB5C-404562BE634F}" id="{95D6AB03-B85D-4DFA-B15F-0E4900BC423A}">
    <text>PF: (146,492.83) - PO9501159633</text>
  </threadedComment>
  <threadedComment ref="AI437" dT="2026-06-25T20:07:15.98" personId="{574F1AB3-8B7C-40EB-89E3-BB2E0C817D73}" id="{1746A5F0-D8AA-49A5-A643-4715792356F8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DD491440-83C4-4332-9438-461CFC59334A}" startIndex="0" length="15"/>
      <mention mentionpersonId="{501495C5-0639-4E15-9C50-3303D4C825B6}" mentionId="{01E3D6AE-F3DE-4C33-9105-B7B8C4479977}" startIndex="16" length="26"/>
    </mentions>
  </threadedComment>
  <threadedComment ref="AI464" dT="2026-06-25T20:07:30.36" personId="{574F1AB3-8B7C-40EB-89E3-BB2E0C817D73}" id="{2A3D63C2-0C67-457D-ADB2-4CA4511C3847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DFD7235E-C026-46EF-983A-EA2920EFCD14}" startIndex="0" length="15"/>
      <mention mentionpersonId="{501495C5-0639-4E15-9C50-3303D4C825B6}" mentionId="{296DA305-AF7E-4B89-A58D-6897B4CD817F}" startIndex="16" length="26"/>
    </mentions>
  </threadedComment>
  <threadedComment ref="AI477" dT="2026-06-25T20:07:34.70" personId="{574F1AB3-8B7C-40EB-89E3-BB2E0C817D73}" id="{D4749DE4-C923-4057-A4A2-4FC8C85AC300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CDDB0D7A-EE2C-411A-A204-FD8CA915E9FB}" startIndex="0" length="15"/>
      <mention mentionpersonId="{501495C5-0639-4E15-9C50-3303D4C825B6}" mentionId="{27FB677B-536C-48F7-99DB-A1ABB8F71540}" startIndex="16" length="26"/>
    </mentions>
  </threadedComment>
  <threadedComment ref="K483" dT="2026-04-30T16:22:32.81" personId="{574F1AB3-8B7C-40EB-89E3-BB2E0C817D73}" id="{8DF9361A-6F20-4C58-A53B-CEB613C17ADF}">
    <text>11/19/2025 invoiced in full for March 26-27 $2561.61 - PO9501071587</text>
  </threadedComment>
  <threadedComment ref="K511" dT="2026-04-29T17:28:52.58" personId="{574F1AB3-8B7C-40EB-89E3-BB2E0C817D73}" id="{C0F20B19-87ED-498A-82B5-62428034A29D}">
    <text>@Orth, Susan Increase is due to increase in Licensing fees by DevSecOps.</text>
    <mentions>
      <mention mentionpersonId="{1BB14750-A056-4F6B-802E-F7C8B59F8F40}" mentionId="{E85756AF-3ACD-4803-BF94-96A7CCF60638}" startIndex="0" length="12"/>
    </mentions>
  </threadedComment>
  <threadedComment ref="Z516" dT="2026-05-01T19:18:46.56" personId="{E5DDB7AC-0E3B-43D3-B290-A0C2DE0E4CA6}" id="{E224B7DD-0B6F-42CF-8701-A7C95FEADF63}">
    <text>@Panchal, Kinjal (Contractor) - credit applied</text>
    <mentions>
      <mention mentionpersonId="{41C1EA72-4B5F-46D2-98ED-92FF8288C6E4}" mentionId="{513F7A5B-FD35-40E6-8C20-46796F4F1E63}" startIndex="0" length="29"/>
    </mentions>
  </threadedComment>
  <threadedComment ref="Z516" dT="2026-05-04T14:42:23.69" personId="{2F28E56F-FEAA-43E9-B12B-6DB43EF0AD98}" id="{29662290-7E04-442D-AA20-6C734E7E6C75}" parentId="{E224B7DD-0B6F-42CF-8701-A7C95FEADF63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92DEB5A9-D69B-4566-BAF9-6F5C4E889122}" startIndex="0" length="16"/>
    </mentions>
  </threadedComment>
  <threadedComment ref="Z516" dT="2026-05-06T16:36:37.60" personId="{574F1AB3-8B7C-40EB-89E3-BB2E0C817D73}" id="{8431982A-54AE-485D-8C8B-9275BBB14C06}" parentId="{E224B7DD-0B6F-42CF-8701-A7C95FEADF63}">
    <text>Credit of $76K applied to PO9501258249. 
PO9501258100</text>
  </threadedComment>
  <threadedComment ref="AA516" dT="2026-06-25T21:46:32.62" personId="{574F1AB3-8B7C-40EB-89E3-BB2E0C817D73}" id="{E436FC25-D9C8-4FBE-9723-705C99D8847D}">
    <text xml:space="preserve">AP05 Accruals will be reversed and $76K credit will be posted. </text>
  </threadedComment>
  <threadedComment ref="G524" dT="2026-06-22T13:43:18.79" personId="{574F1AB3-8B7C-40EB-89E3-BB2E0C817D73}" id="{AC5A4E21-B88F-4410-A703-F07ACA0CB247}">
    <text>Discuss with Kerry</text>
  </threadedComment>
  <threadedComment ref="G524" dT="2026-06-22T13:55:42.33" personId="{574F1AB3-8B7C-40EB-89E3-BB2E0C817D73}" id="{87F92A7E-73F4-415A-A08F-323A9C707454}" parentId="{AC5A4E21-B88F-4410-A703-F07ACA0CB247}">
    <text>added to June until get more details from Leslie/Kerry.</text>
  </threadedComment>
  <threadedComment ref="G524" dT="2026-06-30T19:41:39.73" personId="{574F1AB3-8B7C-40EB-89E3-BB2E0C817D73}" id="{322F1BE0-FBA8-4729-8756-8F79DCC6D83D}" parentId="{AC5A4E21-B88F-4410-A703-F07ACA0CB247}">
    <text>@Meadows, Leslie @Hoffman, Kerry Do we know what this charges are for Karla? Please advise.</text>
    <mentions>
      <mention mentionpersonId="{EC554CCA-E29D-43FA-BA6B-59F8B24C668D}" mentionId="{A2A2EC42-4229-45FB-8570-32C820D72914}" startIndex="0" length="16"/>
      <mention mentionpersonId="{74FB42F2-106B-4E07-880A-02BCE8D428D0}" mentionId="{DD6FD52E-C3F5-482F-81CB-FF0746BF42A8}" startIndex="17" length="15"/>
    </mentions>
  </threadedComment>
  <threadedComment ref="AI526" dT="2026-06-25T20:07:39.28" personId="{574F1AB3-8B7C-40EB-89E3-BB2E0C817D73}" id="{5C5A95CF-3A30-4CFA-981E-DF69A67C3ABC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49D4B48A-46BE-45AC-96CE-1F8379A4AFC2}" startIndex="0" length="15"/>
      <mention mentionpersonId="{501495C5-0639-4E15-9C50-3303D4C825B6}" mentionId="{E5FFB444-A16B-4ED4-8980-F3B6572DC41E}" startIndex="16" length="26"/>
    </mentions>
  </threadedComment>
  <threadedComment ref="N527" dT="2026-04-22T17:09:41.45" personId="{CC497235-42B2-452E-BB5C-404562BE634F}" id="{5574116C-F95D-4C48-9154-B79E846AD188}">
    <text>PF: (11,125)</text>
  </threadedComment>
  <threadedComment ref="H552" dT="2026-04-30T18:34:12.70" personId="{574F1AB3-8B7C-40EB-89E3-BB2E0C817D73}" id="{74E37466-8D39-46FE-B742-1E4EB867F81B}">
    <text>PO9500996366</text>
  </threadedComment>
  <threadedComment ref="N555" dT="2026-04-22T17:14:01.80" personId="{CC497235-42B2-452E-BB5C-404562BE634F}" id="{B2648116-1470-46C8-8B58-D09849A9FF18}">
    <text>PF: (14,353.40) - PO9501116519</text>
  </threadedComment>
  <threadedComment ref="G558" dT="2026-06-22T14:47:50.21" personId="{574F1AB3-8B7C-40EB-89E3-BB2E0C817D73}" id="{CF75F5F8-1221-4C75-B94C-210FB44ED177}">
    <text>Paul Peterson will be submitting Reclass - Kinjal to contact if not posted as per Srini. - Moved charges to June.</text>
  </threadedComment>
  <threadedComment ref="G558" dT="2026-06-22T14:57:26.08" personId="{574F1AB3-8B7C-40EB-89E3-BB2E0C817D73}" id="{49D8A962-28FA-4FCE-81C5-40EC3FF37F55}" parentId="{CF75F5F8-1221-4C75-B94C-210FB44ED177}">
    <text>Awaiting on email reply.</text>
  </threadedComment>
  <threadedComment ref="G558" dT="2026-06-30T20:50:40.93" personId="{574F1AB3-8B7C-40EB-89E3-BB2E0C817D73}" id="{E671B8FA-1101-4F7A-871F-671D45052BC1}" parentId="{CF75F5F8-1221-4C75-B94C-210FB44ED177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386C5975-2362-4D7F-B48C-6E7933D6F25A}" startIndex="13" length="16"/>
    </mentions>
  </threadedComment>
  <threadedComment ref="G558" dT="2026-06-30T20:51:47.45" personId="{574F1AB3-8B7C-40EB-89E3-BB2E0C817D73}" id="{BA1E42CD-FF1C-4BF8-BFA3-E3E45AB971F9}" parentId="{CF75F5F8-1221-4C75-B94C-210FB44ED177}">
    <text>Peterson, Paul D &lt;Paul.Peterson@pfizer.com&gt;</text>
  </threadedComment>
  <threadedComment ref="AA558" dT="2026-06-30T20:51:21.71" personId="{574F1AB3-8B7C-40EB-89E3-BB2E0C817D73}" id="{AC703897-CAE0-49EE-BDCA-5B0A1FF09DE1}">
    <text>10% uplift added to $144,819.00</text>
  </threadedComment>
  <threadedComment ref="H561" dT="2026-04-30T18:36:42.60" personId="{574F1AB3-8B7C-40EB-89E3-BB2E0C817D73}" id="{F0906D42-2803-4EBD-B1DA-EE83583461A0}">
    <text>PO?</text>
  </threadedComment>
  <threadedComment ref="H561" dT="2026-06-24T13:53:17.01" personId="{574F1AB3-8B7C-40EB-89E3-BB2E0C817D73}" id="{109C0857-61D9-4A46-B9F8-A735BCF9565C}" parentId="{F0906D42-2803-4EBD-B1DA-EE83583461A0}">
    <text>PO9501196586</text>
  </threadedComment>
  <threadedComment ref="AI565" dT="2026-06-18T10:32:30.90" personId="{574F1AB3-8B7C-40EB-89E3-BB2E0C817D73}" id="{83C00369-958C-482D-B244-31BDA0A64422}">
    <text>Charges came over in AP04/AP05 than the forecast.</text>
  </threadedComment>
  <threadedComment ref="K638" dT="2026-06-16T19:47:56.01" personId="{574F1AB3-8B7C-40EB-89E3-BB2E0C817D73}" id="{EDF03E7B-4AA3-4C60-8776-03A3C9EBB7EF}">
    <text>@Wilkins, Tanya @White, Charlotte Hilliard May i please get more details on this actual? Can't find it in the actuals file.</text>
    <mentions>
      <mention mentionpersonId="{A7AA6105-FC99-46D9-B5F8-B84AFBD735AA}" mentionId="{1A7A7153-842A-4AA9-8458-0122A3C621D1}" startIndex="0" length="15"/>
      <mention mentionpersonId="{501495C5-0639-4E15-9C50-3303D4C825B6}" mentionId="{454384E5-4394-4619-8385-A7D6A19A8C88}" startIndex="16" length="26"/>
    </mentions>
  </threadedComment>
  <threadedComment ref="K670" dT="2026-04-29T17:43:57.17" personId="{574F1AB3-8B7C-40EB-89E3-BB2E0C817D73}" id="{587D1524-392D-45F1-9011-ACFA674C835A}">
    <text>AP02 Accrual Reversal - Resource offboarded.</text>
  </threadedComment>
  <threadedComment ref="S686" dT="2026-06-25T22:28:11.47" personId="{574F1AB3-8B7C-40EB-89E3-BB2E0C817D73}" id="{8649BAD5-F8F5-4F68-B4BB-1CBE00CC1831}">
    <text xml:space="preserve">@White, Charlotte Hilliard @Meadows, Leslie Hello Charlotte, what is this in regards too? Please advise. thank you </text>
    <mentions>
      <mention mentionpersonId="{501495C5-0639-4E15-9C50-3303D4C825B6}" mentionId="{AF71F785-9491-4D4B-86C1-6584CDE83F08}" startIndex="0" length="26"/>
      <mention mentionpersonId="{EC554CCA-E29D-43FA-BA6B-59F8B24C668D}" mentionId="{700C1477-B5BF-4F18-81F7-1E250C20DD97}" startIndex="27" length="16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P10" dT="2026-04-29T18:35:54.88" personId="{574F1AB3-8B7C-40EB-89E3-BB2E0C817D73}" id="{DBED9B2F-09BA-4EB4-B624-96B765FBAE03}" done="1">
    <text>Forecast already reduced by $400K as compared to LE0, given to Chris.</text>
  </threadedComment>
  <threadedComment ref="AF15" dT="2026-06-25T12:40:06.25" personId="{574F1AB3-8B7C-40EB-89E3-BB2E0C817D73}" id="{4AD78B89-4549-4860-BC70-ECC62F7348E4}">
    <text>Initially had $17,440.00, Role transitioned to IBM from Judge - awaiting on new candidate to finalize. Zeroing it out.</text>
  </threadedComment>
  <threadedComment ref="AM17" dT="2026-05-05T15:38:09.85" personId="{574F1AB3-8B7C-40EB-89E3-BB2E0C817D73}" id="{706BF3A2-1CA6-409F-8BC2-3E94963E2EFD}">
    <text>10% Accenture savings added from Jun-Dec.</text>
  </threadedComment>
  <threadedComment ref="M18" dT="2026-04-30T17:53:55.78" personId="{574F1AB3-8B7C-40EB-89E3-BB2E0C817D73}" id="{15AEDEF2-F0B6-4899-9E0E-ED678B09818A}">
    <text>Srinivasan.S.Venkataramanan@pfizer.co - For all BPAI</text>
  </threadedComment>
  <threadedComment ref="U22" dT="2026-06-22T20:01:16.02" personId="{CB858D31-DDF6-49E9-988F-4F795721B1B6}" id="{88B6F381-278D-4592-A0F3-8370D562940F}">
    <text>Added comment</text>
  </threadedComment>
  <threadedComment ref="AF34" dT="2026-06-25T22:26:12.40" personId="{574F1AB3-8B7C-40EB-89E3-BB2E0C817D73}" id="{CF916E21-8103-4D7E-8412-059B295ABE69}">
    <text>AP05 Accrual reversals on 2 POs</text>
  </threadedComment>
  <threadedComment ref="AM34" dT="2026-05-05T15:41:14.55" personId="{574F1AB3-8B7C-40EB-89E3-BB2E0C817D73}" id="{CCCF83F5-2F69-4C07-A342-CFD1DD7B4D37}">
    <text>Accenture 10% savings added for April.</text>
  </threadedComment>
  <threadedComment ref="P36" dT="2026-06-17T21:23:30.26" personId="{574F1AB3-8B7C-40EB-89E3-BB2E0C817D73}" id="{642518E7-A666-4F26-92A4-0823252E2673}">
    <text>Due to International PO, Currency conversion fluctuates the invoice amounts every month.</text>
  </threadedComment>
  <threadedComment ref="P37" dT="2026-06-04T21:23:37.59" personId="{574F1AB3-8B7C-40EB-89E3-BB2E0C817D73}" id="{97C48B21-0A86-44C6-8251-285E493CDAE8}">
    <text>This WBS got pulled in CC/WBS report.</text>
  </threadedComment>
  <threadedComment ref="U37" dT="2026-06-22T20:01:21.05" personId="{CB858D31-DDF6-49E9-988F-4F795721B1B6}" id="{487D3BA8-2175-4C88-82F0-1625A49D06EF}">
    <text>Added comment</text>
  </threadedComment>
  <threadedComment ref="P41" dT="2026-06-04T21:29:54.67" personId="{574F1AB3-8B7C-40EB-89E3-BB2E0C817D73}" id="{B026BB56-E8A1-4A1C-8759-389942EC9EBA}">
    <text>Dint got pulled in CC/WBS Report</text>
  </threadedComment>
  <threadedComment ref="P45" dT="2026-04-29T17:50:51.57" personId="{574F1AB3-8B7C-40EB-89E3-BB2E0C817D73}" id="{F7F64683-4797-499A-AEE4-F2B336484CED}">
    <text>There are 4 PO's - 1 PO9501143554 was incorrectly coded. Added to forecast. 9501143554, 9501157382, 9501158432, 9501157088</text>
  </threadedComment>
  <threadedComment ref="P45" dT="2026-06-17T16:35:18.73" personId="{574F1AB3-8B7C-40EB-89E3-BB2E0C817D73}" id="{C7586166-F419-4A44-B08B-FA8E31EED7AE}" parentId="{F7F64683-4797-499A-AEE4-F2B336484CED}">
    <text>@Meadows, Leslie Savings from IBM S2 PO9501158432 for about $80K.</text>
    <mentions>
      <mention mentionpersonId="{EC554CCA-E29D-43FA-BA6B-59F8B24C668D}" mentionId="{018CD843-8813-42B3-8245-213AC4DBF7B4}" startIndex="0" length="16"/>
    </mentions>
  </threadedComment>
  <threadedComment ref="AF46" dT="2026-06-25T14:48:03.39" personId="{574F1AB3-8B7C-40EB-89E3-BB2E0C817D73}" id="{342882A4-330D-4E89-A56F-B8608A82AD74}">
    <text>$37K Reclass was planned in S2, but as per Leslie getting done it in S1 to keep S2 clean. (Fieldglass PO9501134668 incorrect coding).</text>
  </threadedComment>
  <threadedComment ref="AM46" dT="2026-05-05T15:43:09.69" personId="{574F1AB3-8B7C-40EB-89E3-BB2E0C817D73}" id="{50FF2F0D-28B5-4048-AD7F-A995DFC59090}">
    <text>Accenture 10% savings added in May.</text>
  </threadedComment>
  <threadedComment ref="P48" dT="2026-06-04T21:29:27.20" personId="{574F1AB3-8B7C-40EB-89E3-BB2E0C817D73}" id="{60C9DA2E-413D-400A-9B05-8B16684385E1}">
    <text>This WBS got pulled in CC/WBS report.</text>
  </threadedComment>
  <threadedComment ref="P49" dT="2026-06-04T21:29:31.22" personId="{574F1AB3-8B7C-40EB-89E3-BB2E0C817D73}" id="{B7C7F162-D990-4122-BB6E-45BA0B1278B3}">
    <text>This WBS got pulled in CC/WBS report.</text>
  </threadedComment>
  <threadedComment ref="P67" dT="2026-04-29T15:24:19.98" personId="{574F1AB3-8B7C-40EB-89E3-BB2E0C817D73}" id="{5CB0B81F-4873-4F85-94BF-00F9C1676B69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06FD2791-428D-4FBA-A9F7-BE415ED4B566}" startIndex="0" length="12"/>
      <mention mentionpersonId="{501495C5-0639-4E15-9C50-3303D4C825B6}" mentionId="{812FDF3E-DD73-484F-A9AD-DDDC53C2961B}" startIndex="13" length="26"/>
    </mentions>
  </threadedComment>
  <threadedComment ref="P67" dT="2026-05-01T13:34:36.88" personId="{574F1AB3-8B7C-40EB-89E3-BB2E0C817D73}" id="{ACFD4D81-4075-4ACB-A321-0951A2260C43}" parentId="{5CB0B81F-4873-4F85-94BF-00F9C1676B69}">
    <text>Forecast zeroed out on 5/1/26 - Give back $183K.</text>
  </threadedComment>
  <threadedComment ref="P67" dT="2026-06-18T11:29:50.90" personId="{574F1AB3-8B7C-40EB-89E3-BB2E0C817D73}" id="{FFCB1356-B7ED-47F8-BEAA-7E9D9AC30C55}" parentId="{5CB0B81F-4873-4F85-94BF-00F9C1676B69}">
    <text>Per Leslie - Fieldglass, no payment is due in 2026 for support under IBM. It will resume in 2027 @ $169,020</text>
  </threadedComment>
  <threadedComment ref="P68" dT="2026-06-25T14:03:48.74" personId="{574F1AB3-8B7C-40EB-89E3-BB2E0C817D73}" id="{1AD07C3C-563B-43E9-BDF5-457C9A027E4F}">
    <text>@Meadows, Leslie Hello @Meadows, Leslie Do you know who should we reach out to for this line item?</text>
    <mentions>
      <mention mentionpersonId="{EC554CCA-E29D-43FA-BA6B-59F8B24C668D}" mentionId="{4177045F-8CFE-4E2E-AF61-EE3E7D810138}" startIndex="0" length="16"/>
      <mention mentionpersonId="{EC554CCA-E29D-43FA-BA6B-59F8B24C668D}" mentionId="{F314C605-BEF6-4172-9139-C54582C91B84}" startIndex="23" length="16"/>
    </mentions>
  </threadedComment>
  <threadedComment ref="P68" dT="2026-07-07T15:53:11.96" personId="{574F1AB3-8B7C-40EB-89E3-BB2E0C817D73}" id="{9BF7D823-43BF-4F63-9D6E-CF57860DA53B}" parentId="{1AD07C3C-563B-43E9-BDF5-457C9A027E4F}">
    <text>To be discussed with Ram 1:1.</text>
  </threadedComment>
  <threadedComment ref="P69" dT="2026-06-25T14:09:43.51" personId="{574F1AB3-8B7C-40EB-89E3-BB2E0C817D73}" id="{8B671C33-96AE-4016-81C7-503E78663C20}">
    <text>@Meadows, Leslie Please advise who should we reach out for this line item? Nothing hit until now.</text>
    <mentions>
      <mention mentionpersonId="{EC554CCA-E29D-43FA-BA6B-59F8B24C668D}" mentionId="{1F162D66-6C31-462D-B1E9-43519ED1F9E6}" startIndex="0" length="16"/>
    </mentions>
  </threadedComment>
  <threadedComment ref="P69" dT="2026-07-07T16:04:29.53" personId="{574F1AB3-8B7C-40EB-89E3-BB2E0C817D73}" id="{A967FA69-7677-4482-AEA3-FAB616ED9705}" parentId="{8B671C33-96AE-4016-81C7-503E78663C20}">
    <text>to be discussed with Ram 1:1</text>
  </threadedComment>
  <threadedComment ref="L70" dT="2026-07-09T16:27:26.54" personId="{574F1AB3-8B7C-40EB-89E3-BB2E0C817D73}" id="{8422A05E-BB75-486D-BB3C-7CDB4F3C8327}">
    <text>Working with Ram</text>
  </threadedComment>
  <threadedComment ref="P80" dT="2026-06-25T22:06:16.53" personId="{574F1AB3-8B7C-40EB-89E3-BB2E0C817D73}" id="{7F39EF51-A9FE-45DC-8601-6388C3773F0D}">
    <text>@White, Charlotte Hilliard May I please get more details on these charges as i couldn't find this in the actuals file. @Wilkins, Tanya</text>
    <mentions>
      <mention mentionpersonId="{501495C5-0639-4E15-9C50-3303D4C825B6}" mentionId="{2FB58D08-65E9-4EAC-B197-D4D6E6A225C2}" startIndex="0" length="26"/>
      <mention mentionpersonId="{A7AA6105-FC99-46D9-B5F8-B84AFBD735AA}" mentionId="{F18BFB2A-0EFF-482F-B110-20C1D770F3EA}" startIndex="119" length="15"/>
    </mentions>
  </threadedComment>
  <threadedComment ref="P81" dT="2026-04-29T21:19:21.55" personId="{574F1AB3-8B7C-40EB-89E3-BB2E0C817D73}" id="{70EDA3E5-EC0C-4749-8A63-E7886796E62F}">
    <text>@White, Charlotte Hilliard  Please 
change the description to DIGITAL-CLOUD-AWS-CHARGES</text>
    <mentions>
      <mention mentionpersonId="{501495C5-0639-4E15-9C50-3303D4C825B6}" mentionId="{CCFEA64A-D1E6-4856-BA0D-AA2E04378E96}" startIndex="0" length="26"/>
    </mentions>
  </threadedComment>
  <threadedComment ref="P81" dT="2026-06-18T13:22:52.11" personId="{CC497235-42B2-452E-BB5C-404562BE634F}" id="{B1F60596-06B1-4B7D-81F8-721ED2AEBB2A}" parentId="{70EDA3E5-EC0C-4749-8A63-E7886796E62F}">
    <text>Previously FBO BT SUN &amp; Oracle Archival Project</text>
  </threadedComment>
  <threadedComment ref="P82" dT="2026-04-30T13:58:34.72" personId="{574F1AB3-8B7C-40EB-89E3-BB2E0C817D73}" id="{3688A09D-0A14-4B58-B29D-0267AB8304D8}">
    <text>Reforecasted from June until EOY as per Ram.</text>
  </threadedComment>
  <threadedComment ref="P84" dT="2026-05-06T15:51:41.07" personId="{574F1AB3-8B7C-40EB-89E3-BB2E0C817D73}" id="{2426E45E-21B8-41AB-996F-6C8080217D26}">
    <text>As per Leslie's chat, for $245K - $200k is under 1009/46 &amp; 45k is under 'IT-FBT0281-OG-US-00" IBM AMS support agreement </text>
  </threadedComment>
  <threadedComment ref="P84" dT="2026-05-06T15:51:50.51" personId="{574F1AB3-8B7C-40EB-89E3-BB2E0C817D73}" id="{933B0EEA-5361-4B5B-B8EF-BA621C4A7783}" parentId="{2426E45E-21B8-41AB-996F-6C8080217D26}">
    <text>We have 2 PO's - 9501166164 $4,651,600.00 AND 9501190667 $62,500.00</text>
  </threadedComment>
  <threadedComment ref="U84" dT="2026-05-06T15:51:22.98" personId="{574F1AB3-8B7C-40EB-89E3-BB2E0C817D73}" id="{BEAF9DB4-9930-4758-909F-6A194C4629EB}">
    <text>As per Leslie's chat, for $245K - $200k is under 1009/46 &amp; 45k is under 'IT-FBT0281-OG-US-00" IBM AMS support agreement </text>
  </threadedComment>
  <threadedComment ref="AN84" dT="2026-06-17T18:09:33.46" personId="{574F1AB3-8B7C-40EB-89E3-BB2E0C817D73}" id="{9491CC10-89A3-4DDF-A451-3CA3F6FB43D1}">
    <text>Over AP05 Auto Accrual</text>
  </threadedComment>
  <threadedComment ref="P85" dT="2026-04-29T18:41:52.55" personId="{574F1AB3-8B7C-40EB-89E3-BB2E0C817D73}" id="{CC3226B6-214B-46DE-B3B9-C4E7D3634BA4}">
    <text>AMS Support Contract was updated -  (Additional Resource was added)</text>
  </threadedComment>
  <threadedComment ref="P85" dT="2026-04-29T18:42:16.97" personId="{574F1AB3-8B7C-40EB-89E3-BB2E0C817D73}" id="{9BE8974F-88E8-4DEC-8D4F-55D823D5840A}" parentId="{CC3226B6-214B-46DE-B3B9-C4E7D3634BA4}">
    <text>9501199822, 9501199827 9501196824</text>
  </threadedComment>
  <threadedComment ref="X85" dT="2026-06-24T12:46:50.15" personId="{574F1AB3-8B7C-40EB-89E3-BB2E0C817D73}" id="{0B90C634-0341-47A4-A6F9-333AEF222CE8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16BCB5C1-CF1F-4FF6-AD30-A5F2154A53D4}" startIndex="0" length="15"/>
    </mentions>
  </threadedComment>
  <threadedComment ref="D87" dT="2026-07-17T13:49:15.24" personId="{CC497235-42B2-452E-BB5C-404562BE634F}" id="{9FCD7568-168A-4381-A5D4-19A8DA8B9B4B}">
    <text xml:space="preserve">Expense category was updated from Managed Services to Contractors </text>
  </threadedComment>
  <threadedComment ref="P87" dT="2026-04-30T13:54:13.38" personId="{574F1AB3-8B7C-40EB-89E3-BB2E0C817D73}" id="{9E93F001-39A5-49FB-90A2-F149EBB1D4E7}">
    <text xml:space="preserve">Its a 5 month PO - Removing forecast from July-Dec. thank you </text>
  </threadedComment>
  <threadedComment ref="P87" dT="2026-06-17T20:48:43.77" personId="{574F1AB3-8B7C-40EB-89E3-BB2E0C817D73}" id="{84998DDA-AFD9-4400-A958-00B07399B04E}" parentId="{9E93F001-39A5-49FB-90A2-F149EBB1D4E7}">
    <text>Leslie opened up IBM PO9501275938, so added forecast from June-Dec to capture the spend.</text>
  </threadedComment>
  <threadedComment ref="P87" dT="2026-07-17T15:09:28.58" personId="{CC497235-42B2-452E-BB5C-404562BE634F}" id="{94844031-53CB-457F-A94F-D3735E9A1065}" parentId="{9E93F001-39A5-49FB-90A2-F149EBB1D4E7}">
    <text>Created new line under Contractors and moved the forecast for July-December there</text>
  </threadedComment>
  <threadedComment ref="R87" dT="2026-07-17T15:04:27.55" personId="{CC497235-42B2-452E-BB5C-404562BE634F}" id="{6DCD32BC-72CD-49AB-93D1-17FDAC157A07}">
    <text>12/2025-5/2026</text>
  </threadedComment>
  <threadedComment ref="AN89" dT="2026-06-17T21:05:44.84" personId="{574F1AB3-8B7C-40EB-89E3-BB2E0C817D73}" id="{5039260F-DF21-4951-85D5-2CB4DF8D7B93}">
    <text>Variance because of over auto accruals/reversals.</text>
  </threadedComment>
  <threadedComment ref="P90" dT="2026-04-30T19:00:40.38" personId="{574F1AB3-8B7C-40EB-89E3-BB2E0C817D73}" id="{6CA05D8B-A2A4-4E3D-85BE-721D75A2A5C2}">
    <text>@Panchal, Kinjal (Contractor)  to talk to Ram about this spent.</text>
    <mentions>
      <mention mentionpersonId="{41C1EA72-4B5F-46D2-98ED-92FF8288C6E4}" mentionId="{38407A87-1FA1-4D94-8FCE-76BEC5CC5EF7}" startIndex="0" length="29"/>
    </mentions>
  </threadedComment>
  <threadedComment ref="P90" dT="2026-04-30T19:11:31.08" personId="{574F1AB3-8B7C-40EB-89E3-BB2E0C817D73}" id="{E03D3DB8-7335-4E4B-80BF-AF1CCE0F5294}" parentId="{6CA05D8B-A2A4-4E3D-85BE-721D75A2A5C2}">
    <text>Contacted Ram</text>
  </threadedComment>
  <threadedComment ref="P90" dT="2026-06-18T10:19:45.46" personId="{574F1AB3-8B7C-40EB-89E3-BB2E0C817D73}" id="{0E26C641-512E-4D4A-BEB5-FA510EA23D96}" parentId="{6CA05D8B-A2A4-4E3D-85BE-721D75A2A5C2}">
    <text>It has been moved from Ram to Chris - Task Completed.</text>
  </threadedComment>
  <threadedComment ref="P92" dT="2026-06-17T19:46:50.80" personId="{574F1AB3-8B7C-40EB-89E3-BB2E0C817D73}" id="{B670355E-B3CC-4934-A9CA-E86B3868CE1C}">
    <text>Japan PO - Currency conversion keeps fluctuating actuals every month.</text>
  </threadedComment>
  <threadedComment ref="P99" dT="2026-06-16T17:42:48.02" personId="{574F1AB3-8B7C-40EB-89E3-BB2E0C817D73}" id="{9200B160-6EBB-4BC8-B121-54F6B000724E}">
    <text>PO9501143554 - Coding needs to be changed, so we don't need to Reclass every month.</text>
  </threadedComment>
  <threadedComment ref="P99" dT="2026-07-10T17:52:01.39" personId="{574F1AB3-8B7C-40EB-89E3-BB2E0C817D73}" id="{B0EDF750-677D-426F-B251-1FEB53CC35B4}" parentId="{9200B160-6EBB-4BC8-B121-54F6B000724E}">
    <text>Kerry working with Natasha in order to get it corrected.</text>
  </threadedComment>
  <threadedComment ref="U101" dT="2026-06-22T20:29:00.58" personId="{CB858D31-DDF6-49E9-988F-4F795721B1B6}" id="{AD9FB9F6-15E4-4EF3-AA68-AB284F2FC6D5}">
    <text>Added comment</text>
  </threadedComment>
  <threadedComment ref="P104" dT="2026-07-07T16:27:05.16" personId="{574F1AB3-8B7C-40EB-89E3-BB2E0C817D73}" id="{4485289B-DCB8-4AED-89F9-3D9519337A1E}">
    <text>2026-XFR-0036-A</text>
  </threadedComment>
  <threadedComment ref="P105" dT="2026-06-18T10:49:12.02" personId="{574F1AB3-8B7C-40EB-89E3-BB2E0C817D73}" id="{E70F0F74-4839-45E8-A802-8DDB1AAC76FD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BC2E2FA6-3AE8-474A-8273-4A0EF8A10084}" startIndex="0" length="26"/>
    </mentions>
  </threadedComment>
  <threadedComment ref="P105" dT="2026-07-07T17:00:18.86" personId="{574F1AB3-8B7C-40EB-89E3-BB2E0C817D73}" id="{12F0D77D-6CA0-4415-A993-40AD4F446A06}" parentId="{E70F0F74-4839-45E8-A802-8DDB1AAC76FD}">
    <text xml:space="preserve">I see it added in Column "AM" now. thanks </text>
  </threadedComment>
  <threadedComment ref="AN111" dT="2026-06-18T10:32:30.90" personId="{574F1AB3-8B7C-40EB-89E3-BB2E0C817D73}" id="{4FD4B1EF-1F69-4749-82A4-8E6EFDE2F5AD}">
    <text>Charges came over in AP04/AP05 than the forecast.</text>
  </threadedComment>
  <threadedComment ref="S113" dT="2026-04-22T17:09:41.45" personId="{CC497235-42B2-452E-BB5C-404562BE634F}" id="{8DC36408-20DE-4168-A52A-2272CB17491A}">
    <text>PF: (11,125)</text>
  </threadedComment>
  <threadedComment ref="X114" dT="2026-06-25T22:28:11.47" personId="{574F1AB3-8B7C-40EB-89E3-BB2E0C817D73}" id="{B1E6B2BF-F741-4839-AAF3-445A258FE82C}">
    <text xml:space="preserve">@White, Charlotte Hilliard @Meadows, Leslie Hello Charlotte, what is this in regards too? Please advise. thank you </text>
    <mentions>
      <mention mentionpersonId="{501495C5-0639-4E15-9C50-3303D4C825B6}" mentionId="{4A01D1A4-FAE0-4882-A78A-B8D1BB18E60E}" startIndex="0" length="26"/>
      <mention mentionpersonId="{EC554CCA-E29D-43FA-BA6B-59F8B24C668D}" mentionId="{7DC5DD68-7002-4E2A-BCE4-7CC7811CE668}" startIndex="27" length="16"/>
    </mentions>
  </threadedComment>
  <threadedComment ref="P115" dT="2026-06-24T19:04:01.53" personId="{574F1AB3-8B7C-40EB-89E3-BB2E0C817D73}" id="{760F2587-541F-42BB-876B-47EA142CD3E6}">
    <text>@Meadows, Leslie Does this look ok to you?</text>
    <mentions>
      <mention mentionpersonId="{EC554CCA-E29D-43FA-BA6B-59F8B24C668D}" mentionId="{D915808E-256A-4235-A98E-2E3632C1DC14}" startIndex="0" length="16"/>
    </mentions>
  </threadedComment>
  <threadedComment ref="P116" dT="2026-06-24T19:03:30.43" personId="{574F1AB3-8B7C-40EB-89E3-BB2E0C817D73}" id="{A2D2459E-756C-4FDB-9E25-7FD880365BE5}">
    <text>@Meadows, Leslie Does this look good?</text>
    <mentions>
      <mention mentionpersonId="{EC554CCA-E29D-43FA-BA6B-59F8B24C668D}" mentionId="{80AB767E-1FF6-4D0C-B89A-7BE8646410BE}" startIndex="0" length="16"/>
    </mentions>
  </threadedComment>
  <threadedComment ref="P117" dT="2026-06-25T13:56:28.37" personId="{574F1AB3-8B7C-40EB-89E3-BB2E0C817D73}" id="{3B17FEDB-DAA8-4262-8783-5946E4EA6F87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P118" dT="2026-06-25T13:57:28.97" personId="{574F1AB3-8B7C-40EB-89E3-BB2E0C817D73}" id="{5BB0CB87-EC8F-45B6-862C-F2CC625AD459}">
    <text xml:space="preserve">As per MH - 0017-B: Middleware Integration (~$300K) [CJD] I believe this was a transfer from Lynne DH MH – Yes, this is from the same budget transfer and is recurring.
</text>
  </threadedComment>
  <threadedComment ref="P120" dT="2026-07-07T16:26:41.99" personId="{574F1AB3-8B7C-40EB-89E3-BB2E0C817D73}" id="{A8D7468C-E13C-4123-B1C2-CE0453399548}">
    <text>IT-MGS0202-OG-US-00</text>
  </threadedComment>
  <threadedComment ref="P121" dT="2026-04-29T18:50:36.39" personId="{574F1AB3-8B7C-40EB-89E3-BB2E0C817D73}" id="{D466E726-D857-4280-80FA-CF78728E58B8}">
    <text>Give back.</text>
  </threadedComment>
  <threadedComment ref="P121" dT="2026-07-10T14:50:21.32" personId="{574F1AB3-8B7C-40EB-89E3-BB2E0C817D73}" id="{567DD613-89BC-46C4-8F1A-DE30BA6867EE}" parentId="{D466E726-D857-4280-80FA-CF78728E58B8}">
    <text>5/15 CHW - Syniti paid thru 12/30/2027; 2026 Budget Transfer</text>
  </threadedComment>
  <threadedComment ref="P129" dT="2026-06-18T19:51:22.76" personId="{574F1AB3-8B7C-40EB-89E3-BB2E0C817D73}" id="{591E66C2-2D33-46AF-AD03-66453009C4AF}">
    <text xml:space="preserve">@White, Charlotte Hilliard Where would i be able to get more details on this? Please advise. thank you </text>
    <mentions>
      <mention mentionpersonId="{501495C5-0639-4E15-9C50-3303D4C825B6}" mentionId="{A742BD8D-518A-4236-98E5-DD09C82F7877}" startIndex="0" length="26"/>
    </mentions>
  </threadedComment>
  <threadedComment ref="P133" dT="2026-07-07T16:27:01.18" personId="{574F1AB3-8B7C-40EB-89E3-BB2E0C817D73}" id="{589BB113-F764-42EF-8F43-F648040AB019}">
    <text>2026-XFR-0036-A</text>
  </threadedComment>
  <threadedComment ref="S134" dT="2026-04-22T17:17:44.32" personId="{CC497235-42B2-452E-BB5C-404562BE634F}" id="{985E6735-FA4E-4010-BB50-2DD2608E5DB9}">
    <text>PF: (146,492.83) - PO9501159633</text>
  </threadedComment>
  <threadedComment ref="AN142" dT="2026-06-25T20:07:15.98" personId="{574F1AB3-8B7C-40EB-89E3-BB2E0C817D73}" id="{30BA9B79-41DA-4B8E-ABF7-0AF634E2B7BE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16FC415E-6478-4385-8F87-D10A285858FD}" startIndex="0" length="15"/>
      <mention mentionpersonId="{501495C5-0639-4E15-9C50-3303D4C825B6}" mentionId="{F8BDC2A7-45D0-4086-BF00-5812CFCEB281}" startIndex="16" length="26"/>
    </mentions>
  </threadedComment>
  <threadedComment ref="AN169" dT="2026-06-25T20:07:30.36" personId="{574F1AB3-8B7C-40EB-89E3-BB2E0C817D73}" id="{6D64F887-E5BC-4836-BEA4-451E444136B6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3019CBBB-B1A1-4FB5-952A-BD58D32BF7FA}" startIndex="0" length="15"/>
      <mention mentionpersonId="{501495C5-0639-4E15-9C50-3303D4C825B6}" mentionId="{F70F2F8A-663C-4424-9C66-C693BE784BA5}" startIndex="16" length="26"/>
    </mentions>
  </threadedComment>
  <threadedComment ref="AN182" dT="2026-06-25T20:07:34.70" personId="{574F1AB3-8B7C-40EB-89E3-BB2E0C817D73}" id="{2C0C27F0-DB03-4A79-96AE-A20A8DA36E2F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62B46043-47CA-4359-B5B7-F7B8E7977479}" startIndex="0" length="15"/>
      <mention mentionpersonId="{501495C5-0639-4E15-9C50-3303D4C825B6}" mentionId="{2AC7B17E-3045-4865-8BDE-7982F233F7CE}" startIndex="16" length="26"/>
    </mentions>
  </threadedComment>
  <threadedComment ref="P184" dT="2026-04-30T16:22:32.81" personId="{574F1AB3-8B7C-40EB-89E3-BB2E0C817D73}" id="{43B84416-FAEF-41AD-9AF2-D81EE4850DF2}">
    <text>11/19/2025 invoiced in full for March 26-27 $2561.61 - PO9501071587</text>
  </threadedComment>
  <threadedComment ref="AE196" dT="2026-05-01T19:18:46.56" personId="{E5DDB7AC-0E3B-43D3-B290-A0C2DE0E4CA6}" id="{A0D8D884-7B30-4ACE-A3D6-85454DFF08DA}">
    <text>@Panchal, Kinjal (Contractor) - credit applied</text>
    <mentions>
      <mention mentionpersonId="{41C1EA72-4B5F-46D2-98ED-92FF8288C6E4}" mentionId="{40A622FB-CAD4-4202-AA66-80E790D3E884}" startIndex="0" length="29"/>
    </mentions>
  </threadedComment>
  <threadedComment ref="AE196" dT="2026-05-04T14:42:23.69" personId="{2F28E56F-FEAA-43E9-B12B-6DB43EF0AD98}" id="{A36F7BC7-FC2E-4B38-A16C-F25E1BA2AB26}" parentId="{A0D8D884-7B30-4ACE-A3D6-85454DFF08DA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16534ED6-8321-4579-9D95-7BE2FF6A80B9}" startIndex="0" length="16"/>
    </mentions>
  </threadedComment>
  <threadedComment ref="AE196" dT="2026-05-06T16:36:37.60" personId="{574F1AB3-8B7C-40EB-89E3-BB2E0C817D73}" id="{0FD94838-20E4-418C-9107-2B55D5D28693}" parentId="{A0D8D884-7B30-4ACE-A3D6-85454DFF08DA}">
    <text>Credit of $76K applied to PO9501258249. 
PO9501258100</text>
  </threadedComment>
  <threadedComment ref="AF196" dT="2026-06-25T21:46:32.62" personId="{574F1AB3-8B7C-40EB-89E3-BB2E0C817D73}" id="{F51A4C56-C7E0-4C02-A824-09CA2C2C1615}">
    <text xml:space="preserve">AP05 Accruals will be reversed and $76K credit will be posted. </text>
  </threadedComment>
  <threadedComment ref="L204" dT="2026-06-22T13:43:18.79" personId="{574F1AB3-8B7C-40EB-89E3-BB2E0C817D73}" id="{BE9D567E-DF3C-4847-B1D5-C73770751771}">
    <text>Discuss with Kerry</text>
  </threadedComment>
  <threadedComment ref="L204" dT="2026-06-22T13:55:42.33" personId="{574F1AB3-8B7C-40EB-89E3-BB2E0C817D73}" id="{ABC760A8-4B73-4925-A5CF-70B4D3799965}" parentId="{BE9D567E-DF3C-4847-B1D5-C73770751771}">
    <text>added to June until get more details from Leslie/Kerry.</text>
  </threadedComment>
  <threadedComment ref="L204" dT="2026-06-30T19:41:39.73" personId="{574F1AB3-8B7C-40EB-89E3-BB2E0C817D73}" id="{FC454F45-31FA-4C94-92C9-7C4543ABB3C2}" parentId="{BE9D567E-DF3C-4847-B1D5-C73770751771}">
    <text>@Meadows, Leslie @Hoffman, Kerry Do we know what this charges are for Karla? Please advise.</text>
    <mentions>
      <mention mentionpersonId="{EC554CCA-E29D-43FA-BA6B-59F8B24C668D}" mentionId="{FA1BE4E4-AFB8-484A-8E86-AC50CEF1B3C1}" startIndex="0" length="16"/>
      <mention mentionpersonId="{74FB42F2-106B-4E07-880A-02BCE8D428D0}" mentionId="{2B267A29-4272-4E75-8394-D88072521757}" startIndex="17" length="15"/>
    </mentions>
  </threadedComment>
  <threadedComment ref="AN206" dT="2026-06-25T20:07:39.28" personId="{574F1AB3-8B7C-40EB-89E3-BB2E0C817D73}" id="{34077754-CAEE-4B4D-8DFC-87C7D5D75C6C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00F60B8A-E4B7-4D5F-B40F-C2D339E6D241}" startIndex="0" length="15"/>
      <mention mentionpersonId="{501495C5-0639-4E15-9C50-3303D4C825B6}" mentionId="{14B9EDEC-5344-416D-8DB0-33011E7A189E}" startIndex="16" length="26"/>
    </mentions>
  </threadedComment>
  <threadedComment ref="M218" dT="2026-04-30T18:34:12.70" personId="{574F1AB3-8B7C-40EB-89E3-BB2E0C817D73}" id="{B09AB8D7-2A63-4AF9-8592-4B3F5137F9BD}">
    <text>PO9500996366</text>
  </threadedComment>
  <threadedComment ref="S221" dT="2026-04-22T17:14:01.80" personId="{CC497235-42B2-452E-BB5C-404562BE634F}" id="{3976CD09-813D-4C15-A60B-23971E597BA2}">
    <text>PF: (14,353.40) - PO9501116519</text>
  </threadedComment>
  <threadedComment ref="L224" dT="2026-06-22T14:47:50.21" personId="{574F1AB3-8B7C-40EB-89E3-BB2E0C817D73}" id="{8E689BF7-80CB-4455-87B5-B4822A1EACD0}">
    <text>Paul Peterson will be submitting Reclass - Kinjal to contact if not posted as per Srini. - Moved charges to June.</text>
  </threadedComment>
  <threadedComment ref="L224" dT="2026-06-22T14:57:26.08" personId="{574F1AB3-8B7C-40EB-89E3-BB2E0C817D73}" id="{6996D281-FD10-449E-9E12-4EBFE2700F18}" parentId="{8E689BF7-80CB-4455-87B5-B4822A1EACD0}">
    <text>Awaiting on email reply.</text>
  </threadedComment>
  <threadedComment ref="L224" dT="2026-06-30T20:50:40.93" personId="{574F1AB3-8B7C-40EB-89E3-BB2E0C817D73}" id="{7C3637F0-6715-4126-98EF-DCBCF1FB6158}" parentId="{8E689BF7-80CB-4455-87B5-B4822A1EACD0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0F4BC60E-043E-4B3D-A7A2-42F91303A475}" startIndex="13" length="16"/>
    </mentions>
  </threadedComment>
  <threadedComment ref="L224" dT="2026-06-30T20:51:47.45" personId="{574F1AB3-8B7C-40EB-89E3-BB2E0C817D73}" id="{DC832004-F555-4F92-B4F2-E44535782FC6}" parentId="{8E689BF7-80CB-4455-87B5-B4822A1EACD0}">
    <text>Peterson, Paul D &lt;Paul.Peterson@pfizer.com&gt;</text>
  </threadedComment>
  <threadedComment ref="AF224" dT="2026-06-30T20:51:21.71" personId="{574F1AB3-8B7C-40EB-89E3-BB2E0C817D73}" id="{B2771DF8-A8E2-4A41-B551-0F363614D2B7}">
    <text>10% uplift added to $144,819.00</text>
  </threadedComment>
  <threadedComment ref="M227" dT="2026-04-30T18:36:42.60" personId="{574F1AB3-8B7C-40EB-89E3-BB2E0C817D73}" id="{F377CDF0-DC07-4F8C-9C0B-B86788043BC3}">
    <text>PO?</text>
  </threadedComment>
  <threadedComment ref="M227" dT="2026-06-24T13:53:17.01" personId="{574F1AB3-8B7C-40EB-89E3-BB2E0C817D73}" id="{C117635B-CE02-45F9-8DFF-C9E78D0FB8E2}" parentId="{F377CDF0-DC07-4F8C-9C0B-B86788043BC3}">
    <text>PO9501196586</text>
  </threadedComment>
  <threadedComment ref="R243" dT="2026-06-03T13:45:25.83" personId="{CC497235-42B2-452E-BB5C-404562BE634F}" id="{D228A8FA-F5DB-48D4-A661-6F56971629D0}">
    <text>2/1/2026-6/30/2026</text>
  </threadedComment>
  <threadedComment ref="R249" dT="2026-06-03T13:53:54.12" personId="{CC497235-42B2-452E-BB5C-404562BE634F}" id="{4709805A-A896-42FF-A2A2-D82B4F6FF8BE}">
    <text>1/1/2026-6/30/2026</text>
  </threadedComment>
  <threadedComment ref="R306" dT="2026-06-03T14:35:05.48" personId="{CC497235-42B2-452E-BB5C-404562BE634F}" id="{6A0A6ACB-513D-4D88-8709-245296532CFF}">
    <text>1/2026-12/2026</text>
  </threadedComment>
  <threadedComment ref="P375" dT="2026-07-07T16:58:14.87" personId="{574F1AB3-8B7C-40EB-89E3-BB2E0C817D73}" id="{A9020808-2B32-46D7-8744-8462DB8D09E6}">
    <text>IT-MGS0203-OG-US-00</text>
  </threadedComment>
  <threadedComment ref="AM427" dT="2026-05-05T15:39:55.13" personId="{574F1AB3-8B7C-40EB-89E3-BB2E0C817D73}" id="{00F6F271-54BE-4B7C-9A97-424E5603490D}">
    <text>10% Accenture savings added from Apr-Dec</text>
  </threadedComment>
  <threadedComment ref="R445" dT="2026-06-03T14:00:32.78" personId="{CC497235-42B2-452E-BB5C-404562BE634F}" id="{AA8AB50F-AA35-4590-B4B1-7ECDF3287721}">
    <text>4/1/2026-9/30/2026</text>
  </threadedComment>
  <threadedComment ref="M543" dT="2026-05-01T15:36:40.25" personId="{574F1AB3-8B7C-40EB-89E3-BB2E0C817D73}" id="{8ED8AC5D-AB49-440F-9D2D-3F3CCE6E1A68}">
    <text>Reviewed with Heather in chat.</text>
  </threadedComment>
  <threadedComment ref="P543" dT="2026-04-30T19:01:58.42" personId="{574F1AB3-8B7C-40EB-89E3-BB2E0C817D73}" id="{400570AA-440F-4150-BE52-15F5DA94D0EC}">
    <text>Contacted Jim &amp; Heather - Kinjal</text>
  </threadedComment>
  <threadedComment ref="L551" dT="2026-06-22T13:35:50.82" personId="{574F1AB3-8B7C-40EB-89E3-BB2E0C817D73}" id="{602CA239-B568-4AEB-A187-70B8F5BE844E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B32BBEA3-2C96-44AD-8BC6-FC84BD16212D}" startIndex="0" length="15"/>
    </mentions>
  </threadedComment>
  <threadedComment ref="P560" dT="2026-04-29T17:28:52.58" personId="{574F1AB3-8B7C-40EB-89E3-BB2E0C817D73}" id="{60E47E40-8C31-4714-9E68-2631D16679C3}">
    <text>@Orth, Susan Increase is due to increase in Licensing fees by DevSecOps.</text>
    <mentions>
      <mention mentionpersonId="{1BB14750-A056-4F6B-802E-F7C8B59F8F40}" mentionId="{F640AC11-03E4-4F23-A88D-4CBA35D0C21F}" startIndex="0" length="12"/>
    </mentions>
  </threadedComment>
  <threadedComment ref="R572" dT="2026-06-03T14:30:35.80" personId="{CC497235-42B2-452E-BB5C-404562BE634F}" id="{7EAF779F-C94D-46E5-AE99-83FFC6557038}">
    <text>4/1/2026-6/30/2026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O4" dT="2026-06-25T22:13:07.18" personId="{574F1AB3-8B7C-40EB-89E3-BB2E0C817D73}" id="{A496D44D-8CBE-43BF-930A-2B0D60C8F20D}">
    <text>May i please get more details on actuals. @Wilkins, Tanya</text>
    <mentions>
      <mention mentionpersonId="{A7AA6105-FC99-46D9-B5F8-B84AFBD735AA}" mentionId="{15470F4A-5A8A-4C06-AC87-7D8BC1B3C576}" startIndex="42" length="15"/>
    </mentions>
  </threadedComment>
  <threadedComment ref="O8" dT="2026-06-16T13:27:15.32" personId="{574F1AB3-8B7C-40EB-89E3-BB2E0C817D73}" id="{DEC09C4D-CF6B-46F2-BAC9-1520B96E6F84}">
    <text>ER90410 - GBS/EF - SUPPORT - TESTING COE in AP02 @Meadows, Leslie</text>
    <mentions>
      <mention mentionpersonId="{EC554CCA-E29D-43FA-BA6B-59F8B24C668D}" mentionId="{98A08225-BF14-4203-8658-EE9D9DA2D30C}" startIndex="49" length="16"/>
    </mentions>
  </threadedComment>
  <threadedComment ref="O8" dT="2026-07-10T15:09:23.43" personId="{574F1AB3-8B7C-40EB-89E3-BB2E0C817D73}" id="{0AAA78B6-BBC3-46AF-899B-C4FA80C7AF5F}" parentId="{DEC09C4D-CF6B-46F2-BAC9-1520B96E6F84}">
    <text>ER97452 - GBS/EF - SUPPORT - TESTING COE</text>
    <extLst>
      <x:ext xmlns:xltc2="http://schemas.microsoft.com/office/spreadsheetml/2020/threadedcomments2" uri="{F7C98A9C-CBB3-438F-8F68-D28B6AF4A901}">
        <xltc2:checksum>3265925238</xltc2:checksum>
        <xltc2:hyperlink startIndex="0" length="40" url="https://pfizer.sharepoint.com/sites/Enhance/sitepages/landing.aspx/PMO?itemid=11669"/>
      </x:ext>
    </extLst>
  </threadedComment>
  <threadedComment ref="O10" dT="2026-06-18T19:51:13.26" personId="{574F1AB3-8B7C-40EB-89E3-BB2E0C817D73}" id="{4FA16A44-B316-46B7-9083-8B1EAFB77636}">
    <text xml:space="preserve">@White, Charlotte Hilliard Where would i be able to get more details on this? Please advise. thank you </text>
    <mentions>
      <mention mentionpersonId="{501495C5-0639-4E15-9C50-3303D4C825B6}" mentionId="{82FB5059-B9C4-491A-9B6F-96101707BACD}" startIndex="0" length="26"/>
    </mentions>
  </threadedComment>
  <threadedComment ref="O27" dT="2026-04-29T17:43:57.17" personId="{574F1AB3-8B7C-40EB-89E3-BB2E0C817D73}" id="{79033FA7-6A99-42C1-B95E-EE3DBA0E44CE}">
    <text>AP02 Accrual Reversal - Resource offboarded.</text>
  </threadedComment>
  <threadedComment ref="O36" dT="2026-06-15T21:18:40.19" personId="{574F1AB3-8B7C-40EB-89E3-BB2E0C817D73}" id="{2B79DA0C-04EC-44CC-AE9A-F42D494B712D}">
    <text>PO9501250402 $55K @Meadows, Leslie</text>
    <mentions>
      <mention mentionpersonId="{EC554CCA-E29D-43FA-BA6B-59F8B24C668D}" mentionId="{7AE9DE41-917A-4492-BA95-182F3A05381D}" startIndex="18" length="16"/>
    </mentions>
  </threadedComment>
  <threadedComment ref="O36" dT="2026-06-25T18:35:23.39" personId="{574F1AB3-8B7C-40EB-89E3-BB2E0C817D73}" id="{5D2710FB-09CD-4735-A8F4-2F420630F59B}" parentId="{2B79DA0C-04EC-44CC-AE9A-F42D494B712D}">
    <text>9501250402 coding change to Leslie in May from Ram's, so it's the variance.</text>
  </threadedComment>
  <threadedComment ref="O36" dT="2026-07-10T15:45:48.98" personId="{574F1AB3-8B7C-40EB-89E3-BB2E0C817D73}" id="{7841C92D-BAA6-49BA-A379-751256DC83F3}" parentId="{2B79DA0C-04EC-44CC-AE9A-F42D494B712D}">
    <text>9501258229, 9501258235, 9501271398 &amp; Dynatrace/Splunk Reclass</text>
  </threadedComment>
  <threadedComment ref="Q37" dT="2026-06-03T14:16:57.32" personId="{CC497235-42B2-452E-BB5C-404562BE634F}" id="{E22E5A1C-2F7A-4000-A115-82FD773582C3}">
    <text>1/1/2026-6/30/2026</text>
  </threadedComment>
  <threadedComment ref="Q37" dT="2026-07-14T20:00:04.35" personId="{574F1AB3-8B7C-40EB-89E3-BB2E0C817D73}" id="{04437FEF-EE06-4267-BFE2-E26FC11F8630}" parentId="{E22E5A1C-2F7A-4000-A115-82FD773582C3}">
    <text>Moved to Leslie.</text>
  </threadedComment>
  <threadedComment ref="O40" dT="2026-04-30T19:00:40.38" personId="{574F1AB3-8B7C-40EB-89E3-BB2E0C817D73}" id="{7DF2291B-0331-47D7-AC7A-F809977AB40F}">
    <text>@Panchal, Kinjal (Contractor)  to talk to Ram about this spent.</text>
    <mentions>
      <mention mentionpersonId="{41C1EA72-4B5F-46D2-98ED-92FF8288C6E4}" mentionId="{DA118CDF-1992-4289-ABC1-C919A96E765C}" startIndex="0" length="29"/>
    </mentions>
  </threadedComment>
  <threadedComment ref="O40" dT="2026-04-30T19:11:31.08" personId="{574F1AB3-8B7C-40EB-89E3-BB2E0C817D73}" id="{A5228ED8-E4B0-469A-9B53-E7A44D90C7B9}" parentId="{7DF2291B-0331-47D7-AC7A-F809977AB40F}">
    <text>Contacted Ram</text>
  </threadedComment>
  <threadedComment ref="O40" dT="2026-06-18T10:19:45.46" personId="{574F1AB3-8B7C-40EB-89E3-BB2E0C817D73}" id="{83AFF01A-B149-46DF-8E43-A398B3CDAAD0}" parentId="{7DF2291B-0331-47D7-AC7A-F809977AB40F}">
    <text>It has been moved from Ram to Chris - Task Completed.</text>
  </threadedComment>
  <threadedComment ref="L42" dT="2026-05-01T15:36:40.25" personId="{574F1AB3-8B7C-40EB-89E3-BB2E0C817D73}" id="{A21294C1-D382-4CA5-B0C9-494B5B37D508}">
    <text>Reviewed with Heather in chat.</text>
  </threadedComment>
  <threadedComment ref="O42" dT="2026-04-30T19:01:58.42" personId="{574F1AB3-8B7C-40EB-89E3-BB2E0C817D73}" id="{52128C75-4BB7-43A6-B002-55C9A192A756}">
    <text>Contacted Jim &amp; Heather - Kinjal</text>
  </threadedComment>
  <threadedComment ref="O45" dT="2026-06-04T21:30:00.70" personId="{574F1AB3-8B7C-40EB-89E3-BB2E0C817D73}" id="{A9816A4F-E38F-47D4-9FB4-487581BE1030}">
    <text>Dint got pulled in CC/WBS Report</text>
  </threadedComment>
  <threadedComment ref="K51" dT="2026-06-22T13:35:50.82" personId="{574F1AB3-8B7C-40EB-89E3-BB2E0C817D73}" id="{10A00D30-AAB0-474A-A616-2982EC77D1DA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BDB6819F-1C9F-4765-8995-151F5C31EFED}" startIndex="0" length="15"/>
    </mentions>
  </threadedComment>
  <threadedComment ref="O63" dT="2026-06-16T19:47:56.01" personId="{574F1AB3-8B7C-40EB-89E3-BB2E0C817D73}" id="{2600D21B-92AC-4BD6-9F55-84F9B841DC08}">
    <text>@Wilkins, Tanya @White, Charlotte Hilliard May i please get more details on this actual? Can't find it in the actuals file.</text>
    <mentions>
      <mention mentionpersonId="{A7AA6105-FC99-46D9-B5F8-B84AFBD735AA}" mentionId="{1C16A1BF-6FC5-4087-BC95-00FC2C45A6C5}" startIndex="0" length="15"/>
      <mention mentionpersonId="{501495C5-0639-4E15-9C50-3303D4C825B6}" mentionId="{259B0A7A-FD68-4926-AE16-5C97BD4A52C8}" startIndex="16" length="26"/>
    </mentions>
  </threadedComment>
  <threadedComment ref="O69" dT="2026-06-25T22:11:59.25" personId="{574F1AB3-8B7C-40EB-89E3-BB2E0C817D73}" id="{249F15B0-AB30-4517-8571-55086DC6581D}">
    <text>@Wilkins, Tanya May i please get more details on actuals.</text>
    <mentions>
      <mention mentionpersonId="{A7AA6105-FC99-46D9-B5F8-B84AFBD735AA}" mentionId="{9E9DACF1-45B8-434C-AB40-5F93CEDF4D8A}" startIndex="0" length="15"/>
    </mentions>
  </threadedComment>
  <threadedComment ref="O92" dT="2026-04-29T17:28:52.58" personId="{574F1AB3-8B7C-40EB-89E3-BB2E0C817D73}" id="{F026523C-8682-46DB-8F77-D4F6E2D57D5F}">
    <text>@Orth, Susan Increase is due to increase in Licensing fees by DevSecOps.</text>
    <mentions>
      <mention mentionpersonId="{1BB14750-A056-4F6B-802E-F7C8B59F8F40}" mentionId="{D1D5670D-B8F8-4D83-BF53-C6C784926FD8}" startIndex="0" length="12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K9" dT="2026-04-29T15:24:19.98" personId="{574F1AB3-8B7C-40EB-89E3-BB2E0C817D73}" id="{0E6CBC14-B3CD-43F2-B633-150CD8F85828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9CEE0FC8-0190-4602-B065-A3243692A3FD}" startIndex="0" length="12"/>
      <mention mentionpersonId="{501495C5-0639-4E15-9C50-3303D4C825B6}" mentionId="{368EE44A-821C-4B42-B957-7AD2F74351B2}" startIndex="13" length="26"/>
    </mentions>
  </threadedComment>
  <threadedComment ref="K9" dT="2026-05-01T13:34:36.88" personId="{574F1AB3-8B7C-40EB-89E3-BB2E0C817D73}" id="{B7BB341D-49BA-4CE8-9D31-DD02CFFE3DB8}" parentId="{0E6CBC14-B3CD-43F2-B633-150CD8F85828}">
    <text>Forecast zeroed out on 5/1/26 - Give back $183K.</text>
  </threadedComment>
  <threadedComment ref="K40" dT="2026-04-29T18:50:36.39" personId="{574F1AB3-8B7C-40EB-89E3-BB2E0C817D73}" id="{5C2B52F2-F76C-4F75-BFF8-F4A2E2513CF6}">
    <text>Give back.</text>
  </threadedComment>
  <threadedComment ref="AH73" dT="2026-05-05T15:39:55.13" personId="{574F1AB3-8B7C-40EB-89E3-BB2E0C817D73}" id="{0DE261A9-8B03-4FAE-BE5D-C39C6B94CDA8}">
    <text>10% Accenture savings added from Apr-Dec</text>
  </threadedComment>
  <threadedComment ref="K136" dT="2026-04-30T19:14:02.08" personId="{574F1AB3-8B7C-40EB-89E3-BB2E0C817D73}" id="{6F20DABD-C66E-4B1B-B055-FEFE657DB948}">
    <text>Checked by Kinjal</text>
  </threadedComment>
  <threadedComment ref="K140" dT="2026-04-30T19:14:19.77" personId="{574F1AB3-8B7C-40EB-89E3-BB2E0C817D73}" id="{CDCD34F5-5165-4D69-8F12-C2EC89E0A173}">
    <text>Checked by Kinjal</text>
  </threadedComment>
  <threadedComment ref="K166" dT="2026-04-29T21:19:21.55" personId="{574F1AB3-8B7C-40EB-89E3-BB2E0C817D73}" id="{83417AA7-28F4-45A0-B62F-44AC517EC145}">
    <text>@White, Charlotte Hilliard  Please 
change the description to DIGITAL-CLOUD-AWS-CHARGES</text>
    <mentions>
      <mention mentionpersonId="{501495C5-0639-4E15-9C50-3303D4C825B6}" mentionId="{18682538-81E4-4DD1-A3A3-9EFB6CE8F85A}" startIndex="0" length="26"/>
    </mentions>
  </threadedComment>
  <threadedComment ref="K177" dT="2026-04-29T18:35:54.88" personId="{574F1AB3-8B7C-40EB-89E3-BB2E0C817D73}" id="{1C0EDECC-C178-48D9-966E-7715B604DA6C}">
    <text>Forecast already reduced by $400K as compared to LE0, given to Chris.</text>
  </threadedComment>
  <threadedComment ref="AH193" dT="2026-05-05T15:38:09.85" personId="{574F1AB3-8B7C-40EB-89E3-BB2E0C817D73}" id="{ABE5F31E-8D4F-4C5E-A655-E5128F299FD0}">
    <text>10% Accenture savings added from Apr-Dec.</text>
  </threadedComment>
  <threadedComment ref="H194" dT="2026-04-30T17:53:55.78" personId="{574F1AB3-8B7C-40EB-89E3-BB2E0C817D73}" id="{E6589EF5-93FA-41D6-B000-D4607E47451B}">
    <text>Srinivasan.S.Venkataramanan@pfizer.co - For all BPAI</text>
  </threadedComment>
  <threadedComment ref="AH211" dT="2026-05-05T15:41:14.55" personId="{574F1AB3-8B7C-40EB-89E3-BB2E0C817D73}" id="{A5F46057-A61B-4DC4-82BA-156662E67101}">
    <text>Accenture 10% savings added for April.</text>
  </threadedComment>
  <threadedComment ref="K218" dT="2026-04-30T13:58:34.72" personId="{574F1AB3-8B7C-40EB-89E3-BB2E0C817D73}" id="{D2EEABD7-7A81-4F9B-B38B-214884BF2FE0}">
    <text>Reforecasted from June until EOY as per Ram.</text>
  </threadedComment>
  <threadedComment ref="K228" dT="2026-05-06T15:51:41.07" personId="{574F1AB3-8B7C-40EB-89E3-BB2E0C817D73}" id="{0DD2CC13-32A9-4964-B337-236FE8000466}">
    <text>As per Leslie's chat, for $245K - $200k is under 1009/46 &amp; 45k is under 'IT-FBT0281-OG-US-00" IBM AMS support agreement </text>
  </threadedComment>
  <threadedComment ref="K228" dT="2026-05-06T15:51:50.51" personId="{574F1AB3-8B7C-40EB-89E3-BB2E0C817D73}" id="{D4C5DF5A-0F87-4D42-A351-1C94D187C217}" parentId="{0DD2CC13-32A9-4964-B337-236FE8000466}">
    <text>We have 2 PO's - 9501166164 $4,651,600.00 AND 9501190667 $62,500.00</text>
  </threadedComment>
  <threadedComment ref="P228" dT="2026-05-06T15:51:22.98" personId="{574F1AB3-8B7C-40EB-89E3-BB2E0C817D73}" id="{74D35650-9874-42C1-98E3-EB948CE90996}">
    <text>As per Leslie's chat, for $245K - $200k is under 1009/46 &amp; 45k is under 'IT-FBT0281-OG-US-00" IBM AMS support agreement </text>
  </threadedComment>
  <threadedComment ref="K229" dT="2026-04-29T18:41:52.55" personId="{574F1AB3-8B7C-40EB-89E3-BB2E0C817D73}" id="{872BF77E-71C2-44FD-813F-6A383F69D809}">
    <text>AMS Support Contract was updated -  (Additional Resource was added)</text>
  </threadedComment>
  <threadedComment ref="K229" dT="2026-04-29T18:42:16.97" personId="{574F1AB3-8B7C-40EB-89E3-BB2E0C817D73}" id="{0C1BAD45-EA3D-4A36-8FA7-FB8DA58555C1}" parentId="{872BF77E-71C2-44FD-813F-6A383F69D809}">
    <text>9501199822, 9501199827 9501196824</text>
  </threadedComment>
  <threadedComment ref="K233" dT="2026-04-30T13:54:13.38" personId="{574F1AB3-8B7C-40EB-89E3-BB2E0C817D73}" id="{7B34D555-7B6F-474B-B36C-377172758FD5}">
    <text xml:space="preserve">Its a 5 month PO - Removing forecast from July-Dec. thank you </text>
  </threadedComment>
  <threadedComment ref="K238" dT="2026-04-29T17:48:22.43" personId="{574F1AB3-8B7C-40EB-89E3-BB2E0C817D73}" id="{A492A495-5138-418B-8F84-0FF0B7B7B8E6}">
    <text>Awaiting on Jen and Jon to confirm.</text>
  </threadedComment>
  <threadedComment ref="K238" dT="2026-05-01T13:39:50.27" personId="{574F1AB3-8B7C-40EB-89E3-BB2E0C817D73}" id="{47EFAEC9-FFAE-4650-83ED-CD5221DE7973}" parentId="{A492A495-5138-418B-8F84-0FF0B7B7B8E6}">
    <text xml:space="preserve">Ram paid for 1st 3 months and now its under Leslie from April-Dec 2026. </text>
  </threadedComment>
  <threadedComment ref="K238" dT="2026-05-01T13:40:06.12" personId="{574F1AB3-8B7C-40EB-89E3-BB2E0C817D73}" id="{8F2FAAA6-587A-4240-A52A-4453DEAF83BA}" parentId="{A492A495-5138-418B-8F84-0FF0B7B7B8E6}">
    <text xml:space="preserve">@Panchal, Kinjal (Contractor) </text>
    <mentions>
      <mention mentionpersonId="{41C1EA72-4B5F-46D2-98ED-92FF8288C6E4}" mentionId="{B525F0D9-9C57-4A50-8C8B-869C8332B3D6}" startIndex="0" length="29"/>
    </mentions>
  </threadedComment>
  <threadedComment ref="K239" dT="2026-05-01T13:13:24.53" personId="{E5DDB7AC-0E3B-43D3-B290-A0C2DE0E4CA6}" id="{79D0BC40-B0C9-473E-B095-FBFB2151C803}">
    <text>@Panchal, Kinjal (Contractor)  - line item moved to Leslie</text>
    <mentions>
      <mention mentionpersonId="{41C1EA72-4B5F-46D2-98ED-92FF8288C6E4}" mentionId="{95120920-8507-41F6-A689-4E0835CA7372}" startIndex="0" length="29"/>
    </mentions>
  </threadedComment>
  <threadedComment ref="K250" dT="2026-04-30T19:00:40.38" personId="{574F1AB3-8B7C-40EB-89E3-BB2E0C817D73}" id="{628E0581-B6D7-43DC-8863-4BDF372F8B40}">
    <text>@Panchal, Kinjal (Contractor)  to talk to Ram about this spent.</text>
    <mentions>
      <mention mentionpersonId="{41C1EA72-4B5F-46D2-98ED-92FF8288C6E4}" mentionId="{C7A7EB4F-DF67-4E61-9D6B-BA0E15D871C1}" startIndex="0" length="29"/>
    </mentions>
  </threadedComment>
  <threadedComment ref="K250" dT="2026-04-30T19:11:31.08" personId="{574F1AB3-8B7C-40EB-89E3-BB2E0C817D73}" id="{2EC9A794-5312-4E31-8EAF-3BE6804D23C1}" parentId="{628E0581-B6D7-43DC-8863-4BDF372F8B40}">
    <text>Contacted Ram</text>
  </threadedComment>
  <threadedComment ref="H266" dT="2026-05-01T15:36:40.25" personId="{574F1AB3-8B7C-40EB-89E3-BB2E0C817D73}" id="{B6034955-6EB0-4108-9313-BC48396AF307}">
    <text>Reviewed with Heather in chat.</text>
  </threadedComment>
  <threadedComment ref="K266" dT="2026-04-30T19:01:58.42" personId="{574F1AB3-8B7C-40EB-89E3-BB2E0C817D73}" id="{9FE7A35F-FEF9-4161-8A0F-EF9F72E4C006}">
    <text>Contacted Jim &amp; Heather - Kinjal</text>
  </threadedComment>
  <threadedComment ref="K288" dT="2026-04-29T17:50:51.57" personId="{574F1AB3-8B7C-40EB-89E3-BB2E0C817D73}" id="{59EBF210-D798-4FE0-9C44-E813B9D8E4EB}">
    <text>There are 4 PO's - 1 PO9501143554 was incorrectly coded. Added to forecast. 9501143554, 9501157382, 9501158432, 9501157088</text>
  </threadedComment>
  <threadedComment ref="AH298" dT="2026-05-05T15:43:09.69" personId="{574F1AB3-8B7C-40EB-89E3-BB2E0C817D73}" id="{54009D15-FEB3-49B7-B3D9-9690F87B4FE8}">
    <text>Accenture 10% savings added in May.</text>
  </threadedComment>
  <threadedComment ref="K340" dT="2026-04-29T18:49:10.10" personId="{574F1AB3-8B7C-40EB-89E3-BB2E0C817D73}" id="{971B23F0-23D1-449E-9A7F-A3BFF1B823F5}">
    <text>Kinjal to ask Ashish about quarterly charges</text>
  </threadedComment>
  <threadedComment ref="K372" dT="2026-04-30T18:43:47.50" personId="{574F1AB3-8B7C-40EB-89E3-BB2E0C817D73}" id="{D038F795-4C50-4B50-848B-D80035932A47}">
    <text>Checked by Kinjal</text>
  </threadedComment>
  <threadedComment ref="K373" dT="2026-04-30T18:48:28.74" personId="{574F1AB3-8B7C-40EB-89E3-BB2E0C817D73}" id="{0DA15821-98F9-4C94-8843-605E852DEB09}">
    <text>Checked by Kinjal</text>
  </threadedComment>
  <threadedComment ref="N389" dT="2026-04-22T17:17:44.32" personId="{CC497235-42B2-452E-BB5C-404562BE634F}" id="{A6FD7807-5241-4982-9DFE-080201BECE6D}">
    <text>PF: (146,492.83) - PO9501159633</text>
  </threadedComment>
  <threadedComment ref="K441" dT="2026-04-30T16:22:32.81" personId="{574F1AB3-8B7C-40EB-89E3-BB2E0C817D73}" id="{0367CD72-62B0-4306-BB7C-EBF9C8DBEB73}">
    <text>11/19/2025 invoiced in full for March 26-27 $2561.61 - PO9501071587</text>
  </threadedComment>
  <threadedComment ref="K461" dT="2026-04-29T17:28:52.58" personId="{574F1AB3-8B7C-40EB-89E3-BB2E0C817D73}" id="{CE36106A-FEE8-4A09-9B42-9C33FC37287E}">
    <text>@Orth, Susan Increase is due to increase in Licensing fees by DevSecOps.</text>
    <mentions>
      <mention mentionpersonId="{1BB14750-A056-4F6B-802E-F7C8B59F8F40}" mentionId="{40F6B437-9A62-4F78-84AE-8E0787552A06}" startIndex="0" length="12"/>
    </mentions>
  </threadedComment>
  <threadedComment ref="Z475" dT="2026-05-01T19:18:46.56" personId="{E5DDB7AC-0E3B-43D3-B290-A0C2DE0E4CA6}" id="{8AA4A1EB-AD64-44AB-987A-E5D041D171FD}">
    <text>@Panchal, Kinjal (Contractor) - credit applied</text>
    <mentions>
      <mention mentionpersonId="{41C1EA72-4B5F-46D2-98ED-92FF8288C6E4}" mentionId="{59E2ECDC-A794-4FD1-B52F-C7D9573EB5BA}" startIndex="0" length="29"/>
    </mentions>
  </threadedComment>
  <threadedComment ref="Z475" dT="2026-05-04T14:42:23.69" personId="{2F28E56F-FEAA-43E9-B12B-6DB43EF0AD98}" id="{452EBE26-2CD5-4480-B194-7A521DBF3BED}" parentId="{8AA4A1EB-AD64-44AB-987A-E5D041D171FD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8A09EBB1-45A6-4227-8EEE-C52A238EF3D7}" startIndex="0" length="16"/>
    </mentions>
  </threadedComment>
  <threadedComment ref="Z475" dT="2026-05-06T16:36:37.60" personId="{574F1AB3-8B7C-40EB-89E3-BB2E0C817D73}" id="{10E5CB65-0015-40CC-A6FE-67554535D640}" parentId="{8AA4A1EB-AD64-44AB-987A-E5D041D171FD}">
    <text>Got it. Credit of $76K applied to PO9501258249. Other PO9501258100</text>
  </threadedComment>
  <threadedComment ref="N488" dT="2026-04-22T17:09:41.45" personId="{CC497235-42B2-452E-BB5C-404562BE634F}" id="{7B1C7ABD-41C7-4650-BD48-0906B3CBE40D}">
    <text>PF: (11,125)</text>
  </threadedComment>
  <threadedComment ref="K497" dT="2026-04-30T18:45:00.97" personId="{574F1AB3-8B7C-40EB-89E3-BB2E0C817D73}" id="{1BDF3D31-559B-4F6E-A6BB-7CD9AED2C4C7}">
    <text>Checked by Kinjal</text>
  </threadedComment>
  <threadedComment ref="K500" dT="2026-04-30T18:39:47.28" personId="{574F1AB3-8B7C-40EB-89E3-BB2E0C817D73}" id="{754C85F6-E5DE-4387-B0C7-97DBC42FFD88}">
    <text>checked by kinjal</text>
  </threadedComment>
  <threadedComment ref="K502" dT="2026-04-30T18:46:09.04" personId="{574F1AB3-8B7C-40EB-89E3-BB2E0C817D73}" id="{3F809F7B-3E0D-4997-ACF8-0975AC1B7D71}">
    <text>Keep monitoring each month - contact Srini. - Kinjal</text>
  </threadedComment>
  <threadedComment ref="H513" dT="2026-04-30T18:34:12.70" personId="{574F1AB3-8B7C-40EB-89E3-BB2E0C817D73}" id="{D3CC9BB5-D9E4-4A38-8F3A-1FD4E8892FC2}">
    <text>PO9500996366</text>
  </threadedComment>
  <threadedComment ref="N516" dT="2026-04-22T17:14:01.80" personId="{CC497235-42B2-452E-BB5C-404562BE634F}" id="{705D7ED0-08F1-498F-BA16-4E8E9449EFC2}">
    <text>PF: (14,353.40) - PO9501116519</text>
  </threadedComment>
  <threadedComment ref="H519" dT="2026-04-30T18:35:13.66" personId="{574F1AB3-8B7C-40EB-89E3-BB2E0C817D73}" id="{AA13F47C-3666-4FD5-AB39-E34C81738292}">
    <text>Paul Peterson will be submitting Reclass - Kinjal to contact if not posted as per Srini.</text>
  </threadedComment>
  <threadedComment ref="H519" dT="2026-04-30T18:35:57.30" personId="{574F1AB3-8B7C-40EB-89E3-BB2E0C817D73}" id="{BD8F2B70-BEE7-4862-952F-3ED2ED0DA4B4}" parentId="{AA13F47C-3666-4FD5-AB39-E34C81738292}">
    <text>PO?</text>
  </threadedComment>
  <threadedComment ref="H522" dT="2026-04-30T18:36:42.60" personId="{574F1AB3-8B7C-40EB-89E3-BB2E0C817D73}" id="{C4A6496A-5C66-4270-91E5-3443C8C90E00}">
    <text>PO?</text>
  </threadedComment>
  <threadedComment ref="K603" dT="2026-04-29T17:43:57.17" personId="{574F1AB3-8B7C-40EB-89E3-BB2E0C817D73}" id="{74A9B3D8-E386-46DF-9A05-2FBF754427DD}">
    <text>AP02 Accrual Reversal - Resource offboarded.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P9" dT="2026-04-29T18:35:54.88" personId="{574F1AB3-8B7C-40EB-89E3-BB2E0C817D73}" id="{6DAAF355-1D0F-4C25-AE58-997BA9C26B8C}" done="1">
    <text>Forecast already reduced by $400K as compared to LE0, given to Chris.</text>
  </threadedComment>
  <threadedComment ref="AF14" dT="2026-06-25T12:40:06.25" personId="{574F1AB3-8B7C-40EB-89E3-BB2E0C817D73}" id="{6BBB9BA2-A361-44DA-83BF-73B37A7121F8}">
    <text>Initially had $17,440.00, Role transitioned to IBM from Judge - awaiting on new candidate to finalize. Zeroing it out.</text>
  </threadedComment>
  <threadedComment ref="AM16" dT="2026-05-05T15:38:09.85" personId="{574F1AB3-8B7C-40EB-89E3-BB2E0C817D73}" id="{90F1D51A-07BD-40FC-8AAC-4201BD8049DF}">
    <text>10% Accenture savings added from Jun-Dec.</text>
  </threadedComment>
  <threadedComment ref="M17" dT="2026-04-30T17:53:55.78" personId="{574F1AB3-8B7C-40EB-89E3-BB2E0C817D73}" id="{82FD12FC-6207-4570-BEA1-6F2A3B4E4FD3}">
    <text>Srinivasan.S.Venkataramanan@pfizer.co - For all BPAI</text>
  </threadedComment>
  <threadedComment ref="U21" dT="2026-06-22T20:01:16.02" personId="{CB858D31-DDF6-49E9-988F-4F795721B1B6}" id="{695A2635-1C64-4D6E-BDCD-647E11B63B17}">
    <text>Added comment</text>
  </threadedComment>
  <threadedComment ref="AF34" dT="2026-06-25T22:26:12.40" personId="{574F1AB3-8B7C-40EB-89E3-BB2E0C817D73}" id="{67D32B82-E3C1-41AB-89FB-CDB79109B710}">
    <text>AP05 Accrual reversals on 2 POs</text>
  </threadedComment>
  <threadedComment ref="AM34" dT="2026-05-05T15:41:14.55" personId="{574F1AB3-8B7C-40EB-89E3-BB2E0C817D73}" id="{DBE21031-7637-4DD8-95CD-8508ED1BE5E5}">
    <text>Accenture 10% savings added for April.</text>
  </threadedComment>
  <threadedComment ref="P36" dT="2026-06-17T21:23:30.26" personId="{574F1AB3-8B7C-40EB-89E3-BB2E0C817D73}" id="{7062AD22-5781-4391-A279-FFF34ED4EF98}">
    <text>Due to International PO, Currency conversion fluctuates the invoice amounts every month.</text>
  </threadedComment>
  <threadedComment ref="P38" dT="2026-06-04T21:23:37.59" personId="{574F1AB3-8B7C-40EB-89E3-BB2E0C817D73}" id="{35FDAE15-AD28-430D-B455-2F1B552F1422}">
    <text>This WBS got pulled in CC/WBS report.</text>
  </threadedComment>
  <threadedComment ref="U38" dT="2026-06-22T20:01:21.05" personId="{CB858D31-DDF6-49E9-988F-4F795721B1B6}" id="{50BBD70A-AB6C-4140-83B5-F583A448C2C0}">
    <text>Added comment</text>
  </threadedComment>
  <threadedComment ref="P44" dT="2026-06-04T21:29:54.67" personId="{574F1AB3-8B7C-40EB-89E3-BB2E0C817D73}" id="{070AFBB7-2801-4A00-B9CA-5680C9AA0CA8}">
    <text>Dint got pulled in CC/WBS Report</text>
  </threadedComment>
  <threadedComment ref="P48" dT="2026-04-29T17:50:51.57" personId="{574F1AB3-8B7C-40EB-89E3-BB2E0C817D73}" id="{D3CA0591-5385-4DD2-AC9F-8E88DFE238B0}">
    <text>There are 4 PO's - 1 PO9501143554 was incorrectly coded. Added to forecast. 9501143554, 9501157382, 9501158432, 9501157088</text>
  </threadedComment>
  <threadedComment ref="P48" dT="2026-06-17T16:35:18.73" personId="{574F1AB3-8B7C-40EB-89E3-BB2E0C817D73}" id="{2409A9FA-A541-4ABD-A4D7-DC031051A7EC}" parentId="{D3CA0591-5385-4DD2-AC9F-8E88DFE238B0}">
    <text>@Meadows, Leslie Savings from IBM S2 PO9501158432 for about $80K.</text>
    <mentions>
      <mention mentionpersonId="{EC554CCA-E29D-43FA-BA6B-59F8B24C668D}" mentionId="{F5FD8467-DBE2-4795-9D72-EE0B5FA9E020}" startIndex="0" length="16"/>
    </mentions>
  </threadedComment>
  <threadedComment ref="AF49" dT="2026-06-25T14:48:03.39" personId="{574F1AB3-8B7C-40EB-89E3-BB2E0C817D73}" id="{0BC09B4B-C5B4-4766-974E-DC77A844273E}">
    <text>$37K Reclass was planned in S2, but as per Leslie getting done it in S1 to keep S2 clean. (Fieldglass PO9501134668 incorrect coding).</text>
  </threadedComment>
  <threadedComment ref="AM49" dT="2026-05-05T15:43:09.69" personId="{574F1AB3-8B7C-40EB-89E3-BB2E0C817D73}" id="{5BB6D9C7-3CBE-4ECB-9CF2-4CB625ABF895}">
    <text>Accenture 10% savings added in May.</text>
  </threadedComment>
  <threadedComment ref="P51" dT="2026-06-04T21:29:27.20" personId="{574F1AB3-8B7C-40EB-89E3-BB2E0C817D73}" id="{7BE768B9-B210-48E6-8BA3-CA8CAB44BD27}">
    <text>This WBS got pulled in CC/WBS report.</text>
  </threadedComment>
  <threadedComment ref="P52" dT="2026-06-04T21:29:31.22" personId="{574F1AB3-8B7C-40EB-89E3-BB2E0C817D73}" id="{8AE8239E-B9E7-4FEA-A0D7-C2E50ECA1149}">
    <text>This WBS got pulled in CC/WBS report.</text>
  </threadedComment>
  <threadedComment ref="P69" dT="2026-04-29T15:24:19.98" personId="{574F1AB3-8B7C-40EB-89E3-BB2E0C817D73}" id="{D4CE80BE-234F-457A-9FCA-8C3F489BAD78}">
    <text xml:space="preserve">@Orth, Susan @White, Charlotte Hilliard This should be under Ram from 2027 as the current PO9501062399 is under cc 2335671. Please take this off from Ram's in 2026. thank you </text>
    <mentions>
      <mention mentionpersonId="{1BB14750-A056-4F6B-802E-F7C8B59F8F40}" mentionId="{19A47C65-83C3-45F8-BFDD-BFCE989C76C4}" startIndex="0" length="12"/>
      <mention mentionpersonId="{501495C5-0639-4E15-9C50-3303D4C825B6}" mentionId="{0617EDB7-F606-477E-B2CF-50B8F48CDE3F}" startIndex="13" length="26"/>
    </mentions>
  </threadedComment>
  <threadedComment ref="P69" dT="2026-05-01T13:34:36.88" personId="{574F1AB3-8B7C-40EB-89E3-BB2E0C817D73}" id="{928C5C0B-5683-4C6C-AC4F-2CC750F8A249}" parentId="{D4CE80BE-234F-457A-9FCA-8C3F489BAD78}">
    <text>Forecast zeroed out on 5/1/26 - Give back $183K.</text>
  </threadedComment>
  <threadedComment ref="P69" dT="2026-06-18T11:29:50.90" personId="{574F1AB3-8B7C-40EB-89E3-BB2E0C817D73}" id="{F6E7C798-8AAB-44EF-ABA5-372338040CD2}" parentId="{D4CE80BE-234F-457A-9FCA-8C3F489BAD78}">
    <text>Per Leslie - Fieldglass, no payment is due in 2026 for support under IBM. It will resume in 2027 @ $169,020</text>
  </threadedComment>
  <threadedComment ref="P70" dT="2026-06-25T14:03:48.74" personId="{574F1AB3-8B7C-40EB-89E3-BB2E0C817D73}" id="{7BB506A8-3DDF-4FA1-BF02-CB0BF63CCE1A}">
    <text>@Meadows, Leslie Hello @Meadows, Leslie Do you know who should we reach out to for this line item?</text>
    <mentions>
      <mention mentionpersonId="{EC554CCA-E29D-43FA-BA6B-59F8B24C668D}" mentionId="{9ABE32F4-AD42-46CA-B1BD-2D8D3BA79452}" startIndex="0" length="16"/>
      <mention mentionpersonId="{EC554CCA-E29D-43FA-BA6B-59F8B24C668D}" mentionId="{80878570-6FA8-4344-B3FF-BD2063438700}" startIndex="23" length="16"/>
    </mentions>
  </threadedComment>
  <threadedComment ref="P70" dT="2026-07-07T15:53:11.96" personId="{574F1AB3-8B7C-40EB-89E3-BB2E0C817D73}" id="{5703F6AD-64A3-4E53-9EA7-AE8CCACC6CB3}" parentId="{7BB506A8-3DDF-4FA1-BF02-CB0BF63CCE1A}">
    <text>To be discussed with Ram 1:1.</text>
  </threadedComment>
  <threadedComment ref="P71" dT="2026-06-25T14:09:43.51" personId="{574F1AB3-8B7C-40EB-89E3-BB2E0C817D73}" id="{572D9BBB-EA6A-4F91-8DE8-F838C70881FD}">
    <text>@Meadows, Leslie Please advise who should we reach out for this line item? Nothing hit until now.</text>
    <mentions>
      <mention mentionpersonId="{EC554CCA-E29D-43FA-BA6B-59F8B24C668D}" mentionId="{41FA61E4-E4A7-42C9-BADE-74529D661251}" startIndex="0" length="16"/>
    </mentions>
  </threadedComment>
  <threadedComment ref="P71" dT="2026-07-07T16:04:29.53" personId="{574F1AB3-8B7C-40EB-89E3-BB2E0C817D73}" id="{0B8E33B2-B06A-440D-8AA9-C6F1A81D85BB}" parentId="{572D9BBB-EA6A-4F91-8DE8-F838C70881FD}">
    <text>to be discussed with Ram 1:1</text>
  </threadedComment>
  <threadedComment ref="L72" dT="2026-07-09T16:27:26.54" personId="{574F1AB3-8B7C-40EB-89E3-BB2E0C817D73}" id="{FEBED403-2813-40F2-8297-DCAB39B3ABA7}">
    <text>Working with Ram</text>
  </threadedComment>
  <threadedComment ref="P82" dT="2026-06-25T22:06:16.53" personId="{574F1AB3-8B7C-40EB-89E3-BB2E0C817D73}" id="{4CAED1E9-62C2-4E56-877D-B3D6DF893D86}">
    <text>@White, Charlotte Hilliard May I please get more details on these charges as i couldn't find this in the actuals file. @Wilkins, Tanya</text>
    <mentions>
      <mention mentionpersonId="{501495C5-0639-4E15-9C50-3303D4C825B6}" mentionId="{EDCD446E-2BA1-4A19-B21F-6910197E885B}" startIndex="0" length="26"/>
      <mention mentionpersonId="{A7AA6105-FC99-46D9-B5F8-B84AFBD735AA}" mentionId="{55DF896B-08C5-4520-9EA8-AC1648F39733}" startIndex="119" length="15"/>
    </mentions>
  </threadedComment>
  <threadedComment ref="P83" dT="2026-04-29T21:19:21.55" personId="{574F1AB3-8B7C-40EB-89E3-BB2E0C817D73}" id="{9ACD8285-D9F9-4113-AF32-5BF96811A1A5}">
    <text>@White, Charlotte Hilliard  Please 
change the description to DIGITAL-CLOUD-AWS-CHARGES</text>
    <mentions>
      <mention mentionpersonId="{501495C5-0639-4E15-9C50-3303D4C825B6}" mentionId="{25F60A80-421E-479E-87BB-989D1D304304}" startIndex="0" length="26"/>
    </mentions>
  </threadedComment>
  <threadedComment ref="P83" dT="2026-06-18T13:22:52.11" personId="{CC497235-42B2-452E-BB5C-404562BE634F}" id="{54DF2CD3-DE25-4B46-B813-DB70DDC7B606}" parentId="{9ACD8285-D9F9-4113-AF32-5BF96811A1A5}">
    <text>Previously FBO BT SUN &amp; Oracle Archival Project</text>
  </threadedComment>
  <threadedComment ref="P84" dT="2026-04-30T13:58:34.72" personId="{574F1AB3-8B7C-40EB-89E3-BB2E0C817D73}" id="{9AEFDAFB-8C6F-4A96-9F5E-95A7437A978D}">
    <text>Reforecasted from June until EOY as per Ram.</text>
  </threadedComment>
  <threadedComment ref="P86" dT="2026-05-06T15:51:41.07" personId="{574F1AB3-8B7C-40EB-89E3-BB2E0C817D73}" id="{BB4080D4-8C30-494A-BFB7-4650118A2ED4}">
    <text>As per Leslie's chat, for $245K - $200k is under 1009/46 &amp; 45k is under 'IT-FBT0281-OG-US-00" IBM AMS support agreement </text>
  </threadedComment>
  <threadedComment ref="P86" dT="2026-05-06T15:51:50.51" personId="{574F1AB3-8B7C-40EB-89E3-BB2E0C817D73}" id="{4A31F522-3EF2-4002-956C-D1071142116A}" parentId="{BB4080D4-8C30-494A-BFB7-4650118A2ED4}">
    <text>We have 2 PO's - 9501166164 $4,651,600.00 AND 9501190667 $62,500.00</text>
  </threadedComment>
  <threadedComment ref="U86" dT="2026-05-06T15:51:22.98" personId="{574F1AB3-8B7C-40EB-89E3-BB2E0C817D73}" id="{4F933EDD-D6EA-4720-B30C-56887C114496}">
    <text>As per Leslie's chat, for $245K - $200k is under 1009/46 &amp; 45k is under 'IT-FBT0281-OG-US-00" IBM AMS support agreement </text>
  </threadedComment>
  <threadedComment ref="AN86" dT="2026-06-17T18:09:33.46" personId="{574F1AB3-8B7C-40EB-89E3-BB2E0C817D73}" id="{CD537252-B61D-427E-8B4A-A2540C2BBBED}">
    <text>Over AP05 Auto Accrual</text>
  </threadedComment>
  <threadedComment ref="P87" dT="2026-04-29T18:41:52.55" personId="{574F1AB3-8B7C-40EB-89E3-BB2E0C817D73}" id="{3410B9F3-D19A-4352-8D96-A5C4711CC931}">
    <text>AMS Support Contract was updated -  (Additional Resource was added)</text>
  </threadedComment>
  <threadedComment ref="P87" dT="2026-04-29T18:42:16.97" personId="{574F1AB3-8B7C-40EB-89E3-BB2E0C817D73}" id="{384B4A98-F88F-4BB1-9D61-3C5D7F931B1B}" parentId="{3410B9F3-D19A-4352-8D96-A5C4711CC931}">
    <text>9501199822, 9501199827 9501196824</text>
  </threadedComment>
  <threadedComment ref="X87" dT="2026-06-24T12:46:50.15" personId="{574F1AB3-8B7C-40EB-89E3-BB2E0C817D73}" id="{2F260CCC-31F3-46B7-B837-011B55325438}">
    <text>@Wilkins, Tanya There seems to be an issue in LE2 &amp; LE3. LE0 already had this forecast in full, so LE2 should as well, but the data is now showing something different. Was it a glitch? Please advise.</text>
    <mentions>
      <mention mentionpersonId="{A7AA6105-FC99-46D9-B5F8-B84AFBD735AA}" mentionId="{09DB7233-7517-41B6-9EDE-1AD5CEBF507B}" startIndex="0" length="15"/>
    </mentions>
  </threadedComment>
  <threadedComment ref="D89" dT="2026-07-17T13:49:15.24" personId="{CC497235-42B2-452E-BB5C-404562BE634F}" id="{DF6E5461-3DF5-49DF-82A9-ABEE61B1679A}">
    <text xml:space="preserve">Expense category was updated from Managed Services to Contractors </text>
  </threadedComment>
  <threadedComment ref="P89" dT="2026-04-30T13:54:13.38" personId="{574F1AB3-8B7C-40EB-89E3-BB2E0C817D73}" id="{C319B16F-D83D-45A9-8491-BC79D7EA5CD7}">
    <text xml:space="preserve">Its a 5 month PO - Removing forecast from July-Dec. thank you </text>
  </threadedComment>
  <threadedComment ref="P89" dT="2026-06-17T20:48:43.77" personId="{574F1AB3-8B7C-40EB-89E3-BB2E0C817D73}" id="{8FB36311-D9DA-493D-B09A-96044E8C9416}" parentId="{C319B16F-D83D-45A9-8491-BC79D7EA5CD7}">
    <text>Leslie opened up IBM PO9501275938, so added forecast from June-Dec to capture the spend.</text>
  </threadedComment>
  <threadedComment ref="P89" dT="2026-07-17T15:09:28.58" personId="{CC497235-42B2-452E-BB5C-404562BE634F}" id="{A0EE55C1-71D4-4224-9921-CF559DB4CEAF}" parentId="{C319B16F-D83D-45A9-8491-BC79D7EA5CD7}">
    <text>Created new line under Contractors and moved the forecast for July-December there</text>
  </threadedComment>
  <threadedComment ref="R89" dT="2026-07-17T15:04:27.55" personId="{CC497235-42B2-452E-BB5C-404562BE634F}" id="{E52D8A82-225F-4092-A1EA-ECB9946401D9}">
    <text>12/2025-5/2026</text>
  </threadedComment>
  <threadedComment ref="AN90" dT="2026-06-17T21:05:44.84" personId="{574F1AB3-8B7C-40EB-89E3-BB2E0C817D73}" id="{56104B4F-76FE-47F2-97A9-93920449E45D}">
    <text>Variance because of over auto accruals/reversals.</text>
  </threadedComment>
  <threadedComment ref="P92" dT="2026-06-17T19:46:50.80" personId="{574F1AB3-8B7C-40EB-89E3-BB2E0C817D73}" id="{6BAE788A-B5DB-48BA-BBC7-D0E7EC4EC3FE}">
    <text>Japan PO - Currency conversion keeps fluctuating actuals every month.</text>
  </threadedComment>
  <threadedComment ref="P99" dT="2026-06-16T17:42:48.02" personId="{574F1AB3-8B7C-40EB-89E3-BB2E0C817D73}" id="{F633B1EC-FF31-4734-8D09-5C86AA656FC4}">
    <text>PO9501143554 - Coding needs to be changed, so we don't need to Reclass every month.</text>
  </threadedComment>
  <threadedComment ref="P99" dT="2026-07-10T17:52:01.39" personId="{574F1AB3-8B7C-40EB-89E3-BB2E0C817D73}" id="{CEEFDF21-04DB-4DDE-A872-80E8CB9CF584}" parentId="{F633B1EC-FF31-4734-8D09-5C86AA656FC4}">
    <text>Kerry working with Natasha in order to get it corrected.</text>
  </threadedComment>
  <threadedComment ref="U101" dT="2026-06-22T20:29:00.58" personId="{CB858D31-DDF6-49E9-988F-4F795721B1B6}" id="{7188CDB5-D970-4112-AF05-1151A2FEBB6F}">
    <text>Added comment</text>
  </threadedComment>
  <threadedComment ref="P104" dT="2026-07-07T16:27:05.16" personId="{574F1AB3-8B7C-40EB-89E3-BB2E0C817D73}" id="{28576F43-30B4-4288-B107-F4659CA32BE9}">
    <text>2026-XFR-0036-A</text>
  </threadedComment>
  <threadedComment ref="P105" dT="2026-06-18T10:49:12.02" personId="{574F1AB3-8B7C-40EB-89E3-BB2E0C817D73}" id="{E05E28A2-C200-42C1-A098-78B5FC1BDA78}">
    <text xml:space="preserve">@White, Charlotte Hilliard It was a give back for $26,400.00 in AP04 - I couldnt find any notes or amounts in LE3 - Please advise. thank you </text>
    <mentions>
      <mention mentionpersonId="{501495C5-0639-4E15-9C50-3303D4C825B6}" mentionId="{C6C7DA9F-2E95-441D-B5F2-B7D107ABF928}" startIndex="0" length="26"/>
    </mentions>
  </threadedComment>
  <threadedComment ref="P105" dT="2026-07-07T17:00:18.86" personId="{574F1AB3-8B7C-40EB-89E3-BB2E0C817D73}" id="{CE5FAC4D-1794-4D66-AF24-88C465D02574}" parentId="{E05E28A2-C200-42C1-A098-78B5FC1BDA78}">
    <text xml:space="preserve">I see it added in Column "AM" now. thanks </text>
  </threadedComment>
  <threadedComment ref="AN110" dT="2026-06-18T10:32:30.90" personId="{574F1AB3-8B7C-40EB-89E3-BB2E0C817D73}" id="{3C3E8037-FAD0-49C1-88AC-22FECCE8A0E8}">
    <text>Charges came over in AP04/AP05 than the forecast.</text>
  </threadedComment>
  <threadedComment ref="S112" dT="2026-04-22T17:09:41.45" personId="{CC497235-42B2-452E-BB5C-404562BE634F}" id="{85E1CB5C-A7F0-4D27-AE59-001342D9ACB0}">
    <text>PF: (11,125)</text>
  </threadedComment>
  <threadedComment ref="X113" dT="2026-06-25T22:28:11.47" personId="{574F1AB3-8B7C-40EB-89E3-BB2E0C817D73}" id="{A4179622-A99E-4E3F-856B-777CAB1B153C}">
    <text xml:space="preserve">@White, Charlotte Hilliard @Meadows, Leslie Hello Charlotte, what is this in regards too? Please advise. thank you </text>
    <mentions>
      <mention mentionpersonId="{501495C5-0639-4E15-9C50-3303D4C825B6}" mentionId="{6854CA42-4097-44D3-8849-882C55085FFD}" startIndex="0" length="26"/>
      <mention mentionpersonId="{EC554CCA-E29D-43FA-BA6B-59F8B24C668D}" mentionId="{DC716CD1-C1C4-44C3-B56E-53B217ED0B20}" startIndex="27" length="16"/>
    </mentions>
  </threadedComment>
  <threadedComment ref="P114" dT="2026-06-24T19:04:01.53" personId="{574F1AB3-8B7C-40EB-89E3-BB2E0C817D73}" id="{EB025C82-AAAC-46A9-BD3F-52CDEE8E4163}">
    <text>@Meadows, Leslie Does this look ok to you?</text>
    <mentions>
      <mention mentionpersonId="{EC554CCA-E29D-43FA-BA6B-59F8B24C668D}" mentionId="{E0169039-0321-414A-891C-87775C332EE0}" startIndex="0" length="16"/>
    </mentions>
  </threadedComment>
  <threadedComment ref="P115" dT="2026-06-24T19:03:30.43" personId="{574F1AB3-8B7C-40EB-89E3-BB2E0C817D73}" id="{711C2FAC-A879-4A1F-99FE-FD501F218A08}">
    <text>@Meadows, Leslie Does this look good?</text>
    <mentions>
      <mention mentionpersonId="{EC554CCA-E29D-43FA-BA6B-59F8B24C668D}" mentionId="{BA66CFA4-4101-4894-A216-86780AD2838E}" startIndex="0" length="16"/>
    </mentions>
  </threadedComment>
  <threadedComment ref="P116" dT="2026-06-25T13:56:28.37" personId="{574F1AB3-8B7C-40EB-89E3-BB2E0C817D73}" id="{03E459D7-D326-4738-803D-987632D0708C}">
    <text xml:space="preserve">As per MH – 0017-A: SAP Commerce Cloud Licenses (~$650K) [CJD] I believe the business pays for this directly. MH – I believe this actually should have been part of the budget transfer that we would have received from the Vaccines business. It is a recurring cost. We can reach out to Lisa Zheng on this if needed.  
</text>
  </threadedComment>
  <threadedComment ref="P117" dT="2026-06-25T13:57:28.97" personId="{574F1AB3-8B7C-40EB-89E3-BB2E0C817D73}" id="{285537E0-5A3C-4ACF-90F6-5F87F192EE44}">
    <text xml:space="preserve">As per MH - 0017-B: Middleware Integration (~$300K) [CJD] I believe this was a transfer from Lynne DH MH – Yes, this is from the same budget transfer and is recurring.
</text>
  </threadedComment>
  <threadedComment ref="P119" dT="2026-07-07T16:26:41.99" personId="{574F1AB3-8B7C-40EB-89E3-BB2E0C817D73}" id="{2106C50C-8737-4EDE-806D-2AC3963DACCF}">
    <text>IT-MGS0202-OG-US-00</text>
  </threadedComment>
  <threadedComment ref="P120" dT="2026-04-29T18:50:36.39" personId="{574F1AB3-8B7C-40EB-89E3-BB2E0C817D73}" id="{72A212AA-E446-4EF6-B19D-F0DEC836B272}">
    <text>Give back.</text>
  </threadedComment>
  <threadedComment ref="P120" dT="2026-07-10T14:50:21.32" personId="{574F1AB3-8B7C-40EB-89E3-BB2E0C817D73}" id="{B0BA5C55-1F9D-4AB2-9AB7-D8493233D0BA}" parentId="{72A212AA-E446-4EF6-B19D-F0DEC836B272}">
    <text>5/15 CHW - Syniti paid thru 12/30/2027; 2026 Budget Transfer</text>
  </threadedComment>
  <threadedComment ref="P128" dT="2026-06-18T19:51:22.76" personId="{574F1AB3-8B7C-40EB-89E3-BB2E0C817D73}" id="{1B98DE75-A920-4D91-8CBE-C255E6761FA0}">
    <text xml:space="preserve">@White, Charlotte Hilliard Where would i be able to get more details on this? Please advise. thank you </text>
    <mentions>
      <mention mentionpersonId="{501495C5-0639-4E15-9C50-3303D4C825B6}" mentionId="{DCE0B1DE-C233-4AD5-977C-C4C242713B6B}" startIndex="0" length="26"/>
    </mentions>
  </threadedComment>
  <threadedComment ref="P135" dT="2026-07-07T16:27:01.18" personId="{574F1AB3-8B7C-40EB-89E3-BB2E0C817D73}" id="{384A2C49-84EE-49A0-9141-91D3DE6C0A2C}">
    <text>2026-XFR-0036-A</text>
  </threadedComment>
  <threadedComment ref="S136" dT="2026-04-22T17:17:44.32" personId="{CC497235-42B2-452E-BB5C-404562BE634F}" id="{1E327B23-A656-431B-96DF-E0EA99AB9C97}">
    <text>PF: (146,492.83) - PO9501159633</text>
  </threadedComment>
  <threadedComment ref="AN144" dT="2026-06-25T20:07:15.98" personId="{574F1AB3-8B7C-40EB-89E3-BB2E0C817D73}" id="{FA5E9375-6C23-49CC-BFE9-BB80B4D9AC57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7511DCB0-3D1A-4ABB-B2A4-3000ED82EEA5}" startIndex="0" length="15"/>
      <mention mentionpersonId="{501495C5-0639-4E15-9C50-3303D4C825B6}" mentionId="{F2DDD182-B652-464F-AAE2-4F4C6661A761}" startIndex="16" length="26"/>
    </mentions>
  </threadedComment>
  <threadedComment ref="AN171" dT="2026-06-25T20:07:30.36" personId="{574F1AB3-8B7C-40EB-89E3-BB2E0C817D73}" id="{132B2BCC-D4EE-46F9-997B-609240576B63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67120E75-1E8A-403E-AE4A-3636A99C9C19}" startIndex="0" length="15"/>
      <mention mentionpersonId="{501495C5-0639-4E15-9C50-3303D4C825B6}" mentionId="{B398DE9C-FB2A-454B-B5C0-7FBAD90361C3}" startIndex="16" length="26"/>
    </mentions>
  </threadedComment>
  <threadedComment ref="AN187" dT="2026-06-25T20:07:34.70" personId="{574F1AB3-8B7C-40EB-89E3-BB2E0C817D73}" id="{A8E84C00-C71B-4398-9630-E88696EF1098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580BEAD9-F1E3-4DA5-99ED-84D7F126666B}" startIndex="0" length="15"/>
      <mention mentionpersonId="{501495C5-0639-4E15-9C50-3303D4C825B6}" mentionId="{BD28D67E-4BD1-44D9-B95D-A3D369FFDD58}" startIndex="16" length="26"/>
    </mentions>
  </threadedComment>
  <threadedComment ref="P189" dT="2026-04-30T16:22:32.81" personId="{574F1AB3-8B7C-40EB-89E3-BB2E0C817D73}" id="{44BA5EDE-B5BB-495A-8325-627D5120716F}">
    <text>11/19/2025 invoiced in full for March 26-27 $2561.61 - PO9501071587</text>
  </threadedComment>
  <threadedComment ref="AE201" dT="2026-05-01T19:18:46.56" personId="{E5DDB7AC-0E3B-43D3-B290-A0C2DE0E4CA6}" id="{A706CD06-8943-4BBB-AD77-90B6AED266A5}">
    <text>@Panchal, Kinjal (Contractor) - credit applied</text>
    <mentions>
      <mention mentionpersonId="{41C1EA72-4B5F-46D2-98ED-92FF8288C6E4}" mentionId="{68EC3C27-9C90-4B9F-B2B9-88DCA8803903}" startIndex="0" length="29"/>
    </mentions>
  </threadedComment>
  <threadedComment ref="AE201" dT="2026-05-04T14:42:23.69" personId="{2F28E56F-FEAA-43E9-B12B-6DB43EF0AD98}" id="{098B3242-57D0-443E-A18B-A929DC1ED86D}" parentId="{A706CD06-8943-4BBB-AD77-90B6AED266A5}">
    <text xml:space="preserve">@Meadows, Leslie  Credit applied meaning is anyone going to submit Reclass in May? If yes then this amount must have a minus sign so that it is considered as an credit. Please clarify. Thank you </text>
    <mentions>
      <mention mentionpersonId="{EC554CCA-E29D-43FA-BA6B-59F8B24C668D}" mentionId="{A887C6C0-3A3D-4E4F-B8C3-08B2B393FB8D}" startIndex="0" length="16"/>
    </mentions>
  </threadedComment>
  <threadedComment ref="AE201" dT="2026-05-06T16:36:37.60" personId="{574F1AB3-8B7C-40EB-89E3-BB2E0C817D73}" id="{B8C659E7-8A4D-4E25-AE43-A184353088DF}" parentId="{A706CD06-8943-4BBB-AD77-90B6AED266A5}">
    <text>Credit of $76K applied to PO9501258249. 
PO9501258100</text>
  </threadedComment>
  <threadedComment ref="AF201" dT="2026-06-25T21:46:32.62" personId="{574F1AB3-8B7C-40EB-89E3-BB2E0C817D73}" id="{F628E277-4197-4285-927E-9E0B33E466C3}">
    <text xml:space="preserve">AP05 Accruals will be reversed and $76K credit will be posted. </text>
  </threadedComment>
  <threadedComment ref="L209" dT="2026-06-22T13:43:18.79" personId="{574F1AB3-8B7C-40EB-89E3-BB2E0C817D73}" id="{17D2C959-EA80-48FF-B07D-49EF040EBCE0}">
    <text>Discuss with Kerry</text>
  </threadedComment>
  <threadedComment ref="L209" dT="2026-06-22T13:55:42.33" personId="{574F1AB3-8B7C-40EB-89E3-BB2E0C817D73}" id="{7E76FCB3-5C30-4BD5-B606-FD33D592936F}" parentId="{17D2C959-EA80-48FF-B07D-49EF040EBCE0}">
    <text>added to June until get more details from Leslie/Kerry.</text>
  </threadedComment>
  <threadedComment ref="L209" dT="2026-06-30T19:41:39.73" personId="{574F1AB3-8B7C-40EB-89E3-BB2E0C817D73}" id="{8299ABAD-2CF4-45FC-A48C-5D52F623D18D}" parentId="{17D2C959-EA80-48FF-B07D-49EF040EBCE0}">
    <text>@Meadows, Leslie @Hoffman, Kerry Do we know what this charges are for Karla? Please advise.</text>
    <mentions>
      <mention mentionpersonId="{EC554CCA-E29D-43FA-BA6B-59F8B24C668D}" mentionId="{C786E500-8EB4-4426-A454-059126386EDF}" startIndex="0" length="16"/>
      <mention mentionpersonId="{74FB42F2-106B-4E07-880A-02BCE8D428D0}" mentionId="{AB929EE2-B2C9-4B96-9139-2C3A007D552A}" startIndex="17" length="15"/>
    </mentions>
  </threadedComment>
  <threadedComment ref="AN211" dT="2026-06-25T20:07:39.28" personId="{574F1AB3-8B7C-40EB-89E3-BB2E0C817D73}" id="{EA8948F7-C4C3-4B3C-A99E-9BD3D357E60F}">
    <text>@Wilkins, Tanya @White, Charlotte Hilliard While reconciling - Please consider all 4 WBS's:- IT-SFT1009-86-OG-US   IT-SFT1009-86-OG-US/35   IT-SFT1009-86-OG-US-CB   IT-SFT1247-86-OG-US</text>
    <mentions>
      <mention mentionpersonId="{A7AA6105-FC99-46D9-B5F8-B84AFBD735AA}" mentionId="{905C1B59-CE63-4A00-AD52-8C2B41ADD7F5}" startIndex="0" length="15"/>
      <mention mentionpersonId="{501495C5-0639-4E15-9C50-3303D4C825B6}" mentionId="{B84AB15E-E85F-4DF2-B35C-8D02C851EEFB}" startIndex="16" length="26"/>
    </mentions>
  </threadedComment>
  <threadedComment ref="M221" dT="2026-04-30T18:34:12.70" personId="{574F1AB3-8B7C-40EB-89E3-BB2E0C817D73}" id="{5ACBFFFE-A204-4AD0-9184-B114061F7D9A}">
    <text>PO9500996366</text>
  </threadedComment>
  <threadedComment ref="S224" dT="2026-04-22T17:14:01.80" personId="{CC497235-42B2-452E-BB5C-404562BE634F}" id="{303DFE23-965B-4ADC-9833-BD898B73290C}">
    <text>PF: (14,353.40) - PO9501116519</text>
  </threadedComment>
  <threadedComment ref="L227" dT="2026-06-22T14:47:50.21" personId="{574F1AB3-8B7C-40EB-89E3-BB2E0C817D73}" id="{160BC4D2-221F-4594-A833-C26DDF19CC68}">
    <text>Paul Peterson will be submitting Reclass - Kinjal to contact if not posted as per Srini. - Moved charges to June.</text>
  </threadedComment>
  <threadedComment ref="L227" dT="2026-06-22T14:57:26.08" personId="{574F1AB3-8B7C-40EB-89E3-BB2E0C817D73}" id="{78A8FB7E-3201-4BE7-8C08-6C99A4352126}" parentId="{160BC4D2-221F-4594-A833-C26DDF19CC68}">
    <text>Awaiting on email reply.</text>
  </threadedComment>
  <threadedComment ref="L227" dT="2026-06-30T20:50:40.93" personId="{574F1AB3-8B7C-40EB-89E3-BB2E0C817D73}" id="{FA35BCDF-5C45-4D46-99B3-9BD11A7FD453}" parentId="{160BC4D2-221F-4594-A833-C26DDF19CC68}">
    <text>As per Paul, @Meadows, Leslie For reference, $144K was the 2025 renewal amount and $159K was the 2026 renewal amount (10% year-over-year uplift on legacy IBM S&amp;S). For planning, would factor in another 10% or $175,232.64 for 2027</text>
    <mentions>
      <mention mentionpersonId="{EC554CCA-E29D-43FA-BA6B-59F8B24C668D}" mentionId="{9E7EE8C9-F7B5-4ED2-8858-25508E2AB977}" startIndex="13" length="16"/>
    </mentions>
  </threadedComment>
  <threadedComment ref="L227" dT="2026-06-30T20:51:47.45" personId="{574F1AB3-8B7C-40EB-89E3-BB2E0C817D73}" id="{70B27ECF-BDD4-466D-AC19-A98E9AB161C7}" parentId="{160BC4D2-221F-4594-A833-C26DDF19CC68}">
    <text>Peterson, Paul D &lt;Paul.Peterson@pfizer.com&gt;</text>
  </threadedComment>
  <threadedComment ref="AF227" dT="2026-06-30T20:51:21.71" personId="{574F1AB3-8B7C-40EB-89E3-BB2E0C817D73}" id="{AE4BABE4-7838-4B0E-B2DD-9D824C2FF32E}">
    <text>10% uplift added to $144,819.00</text>
  </threadedComment>
  <threadedComment ref="M230" dT="2026-04-30T18:36:42.60" personId="{574F1AB3-8B7C-40EB-89E3-BB2E0C817D73}" id="{C8DC5228-4003-4994-B205-BF5083586391}">
    <text>PO?</text>
  </threadedComment>
  <threadedComment ref="M230" dT="2026-06-24T13:53:17.01" personId="{574F1AB3-8B7C-40EB-89E3-BB2E0C817D73}" id="{8354798A-BFBC-40C9-8CB3-DC6370102F2B}" parentId="{C8DC5228-4003-4994-B205-BF5083586391}">
    <text>PO9501196586</text>
  </threadedComment>
  <threadedComment ref="R245" dT="2026-06-03T13:45:25.83" personId="{CC497235-42B2-452E-BB5C-404562BE634F}" id="{FD027595-A549-4592-8BA7-E0B2C1A7C14E}">
    <text>2/1/2026-6/30/2026</text>
  </threadedComment>
  <threadedComment ref="R251" dT="2026-06-03T13:53:54.12" personId="{CC497235-42B2-452E-BB5C-404562BE634F}" id="{9B6A9872-AEF6-49EA-9E16-93BEE16F0061}">
    <text>1/1/2026-6/30/2026</text>
  </threadedComment>
  <threadedComment ref="R307" dT="2026-06-03T14:35:05.48" personId="{CC497235-42B2-452E-BB5C-404562BE634F}" id="{C0939CA1-EF87-49AA-99F4-0CE3806CC095}">
    <text>1/2026-12/2026</text>
  </threadedComment>
  <threadedComment ref="P378" dT="2026-07-07T16:58:14.87" personId="{574F1AB3-8B7C-40EB-89E3-BB2E0C817D73}" id="{4C7C57B9-FF8D-4F1E-8276-601DB2DF554B}">
    <text>IT-MGS0203-OG-US-00</text>
  </threadedComment>
  <threadedComment ref="AM425" dT="2026-05-05T15:39:55.13" personId="{574F1AB3-8B7C-40EB-89E3-BB2E0C817D73}" id="{3F10D5EF-C594-4CAF-8659-D18B122B4CF9}">
    <text>10% Accenture savings added from Apr-Dec</text>
  </threadedComment>
  <threadedComment ref="R446" dT="2026-06-03T14:00:32.78" personId="{CC497235-42B2-452E-BB5C-404562BE634F}" id="{B1D87BC2-1EEB-4D0D-B42B-EB658F41214F}">
    <text>4/1/2026-9/30/2026</text>
  </threadedComment>
  <threadedComment ref="P532" dT="2026-06-15T21:18:40.19" personId="{574F1AB3-8B7C-40EB-89E3-BB2E0C817D73}" id="{7A0A2E0C-092B-49A9-9A78-9EB4FF8CCBD6}">
    <text>PO9501250402 $55K @Meadows, Leslie</text>
    <mentions>
      <mention mentionpersonId="{EC554CCA-E29D-43FA-BA6B-59F8B24C668D}" mentionId="{9DCA1BEA-D87B-4CC7-AECE-FFB166B77BA8}" startIndex="18" length="16"/>
    </mentions>
  </threadedComment>
  <threadedComment ref="P532" dT="2026-06-25T18:35:23.39" personId="{574F1AB3-8B7C-40EB-89E3-BB2E0C817D73}" id="{77B076B3-C4E9-4596-A69F-C2F04A7228FF}" parentId="{7A0A2E0C-092B-49A9-9A78-9EB4FF8CCBD6}">
    <text>9501250402 coding change to Leslie in May from Ram's, so it's the variance.</text>
  </threadedComment>
  <threadedComment ref="P532" dT="2026-07-10T15:45:48.98" personId="{574F1AB3-8B7C-40EB-89E3-BB2E0C817D73}" id="{9E515B10-0D00-4E41-AAC9-B458025B2EFD}" parentId="{7A0A2E0C-092B-49A9-9A78-9EB4FF8CCBD6}">
    <text>9501258229, 9501258235, 9501271398 &amp; Dynatrace/Splunk Reclass</text>
  </threadedComment>
  <threadedComment ref="P534" dT="2026-04-30T19:00:40.38" personId="{574F1AB3-8B7C-40EB-89E3-BB2E0C817D73}" id="{55C377C3-DB96-4F99-9A1A-553781D9CF07}">
    <text>@Panchal, Kinjal (Contractor)  to talk to Ram about this spent.</text>
    <mentions>
      <mention mentionpersonId="{41C1EA72-4B5F-46D2-98ED-92FF8288C6E4}" mentionId="{5C62C802-3872-44B6-B519-9308FB4092C4}" startIndex="0" length="29"/>
    </mentions>
  </threadedComment>
  <threadedComment ref="P534" dT="2026-04-30T19:11:31.08" personId="{574F1AB3-8B7C-40EB-89E3-BB2E0C817D73}" id="{4F5ACA4F-86A9-442A-8BD3-71440E80A92B}" parentId="{55C377C3-DB96-4F99-9A1A-553781D9CF07}">
    <text>Contacted Ram</text>
  </threadedComment>
  <threadedComment ref="P534" dT="2026-06-18T10:19:45.46" personId="{574F1AB3-8B7C-40EB-89E3-BB2E0C817D73}" id="{FBDBDE19-263B-473C-8B8B-C21449E0666F}" parentId="{55C377C3-DB96-4F99-9A1A-553781D9CF07}">
    <text>It has been moved from Ram to Chris - Task Completed.</text>
  </threadedComment>
  <threadedComment ref="M535" dT="2026-05-01T15:36:40.25" personId="{574F1AB3-8B7C-40EB-89E3-BB2E0C817D73}" id="{D411D419-8280-4C2D-9E47-C5592E02F817}">
    <text>Reviewed with Heather in chat.</text>
  </threadedComment>
  <threadedComment ref="P535" dT="2026-04-30T19:01:58.42" personId="{574F1AB3-8B7C-40EB-89E3-BB2E0C817D73}" id="{CC7D6C59-4776-4912-AA5E-4945F52FE9BF}">
    <text>Contacted Jim &amp; Heather - Kinjal</text>
  </threadedComment>
  <threadedComment ref="L538" dT="2026-06-22T13:35:50.82" personId="{574F1AB3-8B7C-40EB-89E3-BB2E0C817D73}" id="{2ECF00ED-E0D5-448A-9FFA-388871D1CA17}">
    <text>@Hoffman, Kerry Seems like we need to forecast more from June-Dec, seeing the average spent in past 5 months of about $16K per month. (As per LE0, Chris only has $120K budget on this WBS) Please advise.</text>
    <mentions>
      <mention mentionpersonId="{74FB42F2-106B-4E07-880A-02BCE8D428D0}" mentionId="{969CFA52-3371-4162-AAB8-45360D0A2E12}" startIndex="0" length="15"/>
    </mentions>
  </threadedComment>
  <threadedComment ref="P540" dT="2026-06-16T19:47:56.01" personId="{574F1AB3-8B7C-40EB-89E3-BB2E0C817D73}" id="{59A7F609-E0E9-4DAB-8796-AE56460F89DD}">
    <text>@Wilkins, Tanya @White, Charlotte Hilliard May i please get more details on this actual? Can't find it in the actuals file.</text>
    <mentions>
      <mention mentionpersonId="{A7AA6105-FC99-46D9-B5F8-B84AFBD735AA}" mentionId="{50E12E3F-8C85-4FF9-B731-2C2ACD2F7901}" startIndex="0" length="15"/>
      <mention mentionpersonId="{501495C5-0639-4E15-9C50-3303D4C825B6}" mentionId="{99A47D77-2896-4CBD-B4C8-B37A911E520A}" startIndex="16" length="26"/>
    </mentions>
  </threadedComment>
  <threadedComment ref="P544" dT="2026-06-25T22:11:59.25" personId="{574F1AB3-8B7C-40EB-89E3-BB2E0C817D73}" id="{8D5FB9F0-FFB2-440E-81A3-5DA1053726E9}">
    <text>@Wilkins, Tanya May i please get more details on actuals.</text>
    <mentions>
      <mention mentionpersonId="{A7AA6105-FC99-46D9-B5F8-B84AFBD735AA}" mentionId="{D85E6A36-F685-40F3-98BB-927EFC0B3ABF}" startIndex="0" length="15"/>
    </mentions>
  </threadedComment>
  <threadedComment ref="P585" dT="2026-06-25T22:13:07.18" personId="{574F1AB3-8B7C-40EB-89E3-BB2E0C817D73}" id="{F7B13AE2-B64B-406F-B0D3-39E6C47D5852}">
    <text>May i please get more details on actuals. @Wilkins, Tanya</text>
    <mentions>
      <mention mentionpersonId="{A7AA6105-FC99-46D9-B5F8-B84AFBD735AA}" mentionId="{B374F7DD-5D68-44B0-8E63-E0E928D60820}" startIndex="42" length="15"/>
    </mentions>
  </threadedComment>
  <threadedComment ref="P588" dT="2026-06-16T13:27:15.32" personId="{574F1AB3-8B7C-40EB-89E3-BB2E0C817D73}" id="{129AB683-11D7-4E48-BC51-5548329B99C6}">
    <text>ER90410 - GBS/EF - SUPPORT - TESTING COE in AP02 @Meadows, Leslie</text>
    <mentions>
      <mention mentionpersonId="{EC554CCA-E29D-43FA-BA6B-59F8B24C668D}" mentionId="{17A5EC7E-D6EA-4F08-9A7A-175F8092D69F}" startIndex="49" length="16"/>
    </mentions>
  </threadedComment>
  <threadedComment ref="P588" dT="2026-07-10T15:09:23.43" personId="{574F1AB3-8B7C-40EB-89E3-BB2E0C817D73}" id="{7F4E91C4-8C76-456D-B310-65E80364749C}" parentId="{129AB683-11D7-4E48-BC51-5548329B99C6}">
    <text>ER97452 - GBS/EF - SUPPORT - TESTING COE</text>
    <extLst>
      <x:ext xmlns:xltc2="http://schemas.microsoft.com/office/spreadsheetml/2020/threadedcomments2" uri="{F7C98A9C-CBB3-438F-8F68-D28B6AF4A901}">
        <xltc2:checksum>3265925238</xltc2:checksum>
        <xltc2:hyperlink startIndex="0" length="40" url="https://pfizer.sharepoint.com/sites/Enhance/sitepages/landing.aspx/PMO?itemid=11669"/>
      </x:ext>
    </extLst>
  </threadedComment>
  <threadedComment ref="P590" dT="2026-06-18T19:51:13.26" personId="{574F1AB3-8B7C-40EB-89E3-BB2E0C817D73}" id="{C1D1509F-6AE5-4AF7-BCFE-326BBFF9E446}">
    <text xml:space="preserve">@White, Charlotte Hilliard Where would i be able to get more details on this? Please advise. thank you </text>
    <mentions>
      <mention mentionpersonId="{501495C5-0639-4E15-9C50-3303D4C825B6}" mentionId="{E4F98991-710B-4D4B-A4EA-8CBC2F392318}" startIndex="0" length="26"/>
    </mentions>
  </threadedComment>
  <threadedComment ref="P603" dT="2026-04-29T17:43:57.17" personId="{574F1AB3-8B7C-40EB-89E3-BB2E0C817D73}" id="{C8241D9B-5E15-45DF-B3B4-2DFAC8DE7B44}">
    <text>AP02 Accrual Reversal - Resource offboarded.</text>
  </threadedComment>
  <threadedComment ref="R609" dT="2026-06-03T14:16:57.32" personId="{CC497235-42B2-452E-BB5C-404562BE634F}" id="{BF61F92C-56F7-4C2F-83F3-9192E200C6E8}">
    <text>1/1/2026-6/30/2026</text>
  </threadedComment>
  <threadedComment ref="R609" dT="2026-07-14T20:00:04.35" personId="{574F1AB3-8B7C-40EB-89E3-BB2E0C817D73}" id="{F52CACD4-CF42-42E8-9DA3-E0769F5CF45D}" parentId="{BF61F92C-56F7-4C2F-83F3-9192E200C6E8}">
    <text>Moved to Leslie.</text>
  </threadedComment>
  <threadedComment ref="P613" dT="2026-06-04T21:30:00.70" personId="{574F1AB3-8B7C-40EB-89E3-BB2E0C817D73}" id="{2D701043-AA2C-4BEE-B589-3ABB8D03B137}">
    <text>Dint got pulled in CC/WBS Report</text>
  </threadedComment>
  <threadedComment ref="P646" dT="2026-04-29T17:28:52.58" personId="{574F1AB3-8B7C-40EB-89E3-BB2E0C817D73}" id="{4866BDEA-4694-474A-92C5-113AAB2F319D}">
    <text>@Orth, Susan Increase is due to increase in Licensing fees by DevSecOps.</text>
    <mentions>
      <mention mentionpersonId="{1BB14750-A056-4F6B-802E-F7C8B59F8F40}" mentionId="{EFEB8369-906A-4EF7-B1B7-75736FEBFC21}" startIndex="0" length="12"/>
    </mentions>
  </threadedComment>
  <threadedComment ref="R688" dT="2026-06-03T14:30:35.80" personId="{CC497235-42B2-452E-BB5C-404562BE634F}" id="{BC2B0B54-ACEF-402D-BBD6-43495404A9BF}">
    <text>4/1/2026-6/30/2026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5" Type="http://schemas.microsoft.com/office/2019/04/relationships/documenttask" Target="../documenttasks/documenttask3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5" Type="http://schemas.microsoft.com/office/2019/04/relationships/documenttask" Target="../documenttasks/documenttask4.x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5" Type="http://schemas.microsoft.com/office/2019/04/relationships/documenttask" Target="../documenttasks/documenttask5.x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Relationship Id="rId4" Type="http://schemas.microsoft.com/office/2019/04/relationships/documenttask" Target="../documenttasks/documenttask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7.vml"/><Relationship Id="rId5" Type="http://schemas.microsoft.com/office/2019/04/relationships/documenttask" Target="../documenttasks/documenttask7.xml"/><Relationship Id="rId4" Type="http://schemas.microsoft.com/office/2017/10/relationships/threadedComment" Target="../threadedComments/threadedComment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8.vml"/><Relationship Id="rId5" Type="http://schemas.microsoft.com/office/2019/04/relationships/documenttask" Target="../documenttasks/documenttask8.xml"/><Relationship Id="rId4" Type="http://schemas.microsoft.com/office/2017/10/relationships/threadedComment" Target="../threadedComments/threadedComment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3768-D0A2-4013-AD27-2A9FBBE7C8F5}">
  <sheetPr filterMode="1"/>
  <dimension ref="A2:V1187"/>
  <sheetViews>
    <sheetView topLeftCell="B1" workbookViewId="0">
      <selection activeCell="B41" activeCellId="1" sqref="B4:B21 B23:B170 B172:B175 B177:B205 B207:B340 B342:B355 B357:B358 B360:B365 B367:B587 B589:B595 B597:B605"/>
    </sheetView>
  </sheetViews>
  <sheetFormatPr defaultRowHeight="14.45"/>
  <cols>
    <col min="1" max="1" width="32" customWidth="1"/>
    <col min="2" max="2" width="69.5703125" bestFit="1" customWidth="1"/>
    <col min="3" max="3" width="34.5703125" bestFit="1" customWidth="1"/>
    <col min="4" max="4" width="21.5703125" customWidth="1"/>
    <col min="5" max="5" width="15.42578125" bestFit="1" customWidth="1"/>
    <col min="6" max="7" width="27.140625" bestFit="1" customWidth="1"/>
    <col min="8" max="8" width="27.140625" style="321" bestFit="1" customWidth="1"/>
    <col min="9" max="20" width="13.5703125" style="321" bestFit="1" customWidth="1"/>
    <col min="21" max="21" width="26.42578125" style="321" bestFit="1" customWidth="1"/>
    <col min="22" max="22" width="38.5703125" bestFit="1" customWidth="1"/>
  </cols>
  <sheetData>
    <row r="2" spans="1:22">
      <c r="A2" s="538" t="s">
        <v>0</v>
      </c>
      <c r="B2" s="538" t="s">
        <v>1</v>
      </c>
      <c r="C2" s="538" t="s">
        <v>2</v>
      </c>
      <c r="D2" s="538" t="s">
        <v>3</v>
      </c>
      <c r="E2" s="538" t="s">
        <v>4</v>
      </c>
      <c r="F2" s="538" t="s">
        <v>5</v>
      </c>
      <c r="G2" s="538" t="s">
        <v>6</v>
      </c>
      <c r="H2" s="538" t="s">
        <v>7</v>
      </c>
      <c r="I2" s="558" t="s">
        <v>8</v>
      </c>
      <c r="J2" s="558" t="s">
        <v>9</v>
      </c>
      <c r="K2" s="558" t="s">
        <v>10</v>
      </c>
      <c r="L2" s="558" t="s">
        <v>11</v>
      </c>
      <c r="M2" s="558" t="s">
        <v>12</v>
      </c>
      <c r="N2" s="558" t="s">
        <v>13</v>
      </c>
      <c r="O2" s="558" t="s">
        <v>14</v>
      </c>
      <c r="P2" s="558" t="s">
        <v>15</v>
      </c>
      <c r="Q2" s="558" t="s">
        <v>16</v>
      </c>
      <c r="R2" s="558" t="s">
        <v>17</v>
      </c>
      <c r="S2" s="558" t="s">
        <v>18</v>
      </c>
      <c r="T2" s="558" t="s">
        <v>19</v>
      </c>
      <c r="U2" s="558" t="s">
        <v>20</v>
      </c>
      <c r="V2" s="558" t="s">
        <v>21</v>
      </c>
    </row>
    <row r="3" spans="1:22">
      <c r="A3" s="319" t="s">
        <v>0</v>
      </c>
      <c r="B3" s="319" t="s">
        <v>1</v>
      </c>
      <c r="C3" s="319" t="s">
        <v>2</v>
      </c>
      <c r="D3" s="319" t="s">
        <v>3</v>
      </c>
      <c r="E3" t="s">
        <v>4</v>
      </c>
      <c r="F3" t="s">
        <v>5</v>
      </c>
      <c r="G3" t="s">
        <v>6</v>
      </c>
      <c r="H3" t="s">
        <v>7</v>
      </c>
      <c r="I3" s="381" t="s">
        <v>8</v>
      </c>
      <c r="J3" s="381" t="s">
        <v>9</v>
      </c>
      <c r="K3" s="381" t="s">
        <v>10</v>
      </c>
      <c r="L3" s="381" t="s">
        <v>11</v>
      </c>
      <c r="M3" s="381" t="s">
        <v>12</v>
      </c>
      <c r="N3" s="381" t="s">
        <v>13</v>
      </c>
      <c r="O3" s="381" t="s">
        <v>14</v>
      </c>
      <c r="P3" s="381" t="s">
        <v>15</v>
      </c>
      <c r="Q3" s="381" t="s">
        <v>16</v>
      </c>
      <c r="R3" s="381" t="s">
        <v>17</v>
      </c>
      <c r="S3" s="381" t="s">
        <v>18</v>
      </c>
      <c r="T3" s="381" t="s">
        <v>19</v>
      </c>
      <c r="U3" s="381" t="s">
        <v>20</v>
      </c>
      <c r="V3" s="381" t="s">
        <v>21</v>
      </c>
    </row>
    <row r="4" spans="1:22" hidden="1">
      <c r="A4" t="s">
        <v>22</v>
      </c>
      <c r="B4" t="s">
        <v>23</v>
      </c>
      <c r="C4" t="s">
        <v>24</v>
      </c>
      <c r="D4" t="s">
        <v>25</v>
      </c>
      <c r="E4">
        <v>3920122.6999999993</v>
      </c>
      <c r="F4">
        <v>0</v>
      </c>
      <c r="H4"/>
      <c r="I4"/>
      <c r="J4"/>
      <c r="K4"/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557">
        <v>0</v>
      </c>
    </row>
    <row r="5" spans="1:22" hidden="1">
      <c r="B5" t="s">
        <v>26</v>
      </c>
      <c r="C5" t="s">
        <v>27</v>
      </c>
      <c r="D5" t="s">
        <v>25</v>
      </c>
      <c r="E5">
        <v>1729258.84</v>
      </c>
      <c r="F5">
        <v>0</v>
      </c>
      <c r="H5"/>
      <c r="I5"/>
      <c r="J5"/>
      <c r="K5"/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557">
        <v>0</v>
      </c>
    </row>
    <row r="6" spans="1:22">
      <c r="B6" t="s">
        <v>28</v>
      </c>
      <c r="C6" t="s">
        <v>29</v>
      </c>
      <c r="D6" t="s">
        <v>25</v>
      </c>
      <c r="E6">
        <v>9831851.3300000001</v>
      </c>
      <c r="F6">
        <v>15406112.624272117</v>
      </c>
      <c r="H6"/>
      <c r="I6" s="381">
        <v>1402914.3999999987</v>
      </c>
      <c r="J6" s="381">
        <v>1397677.6399999992</v>
      </c>
      <c r="K6" s="381">
        <v>1375284.8299999998</v>
      </c>
      <c r="L6" s="381">
        <v>1433399.4699999997</v>
      </c>
      <c r="M6" s="381">
        <v>1510809.23</v>
      </c>
      <c r="N6" s="381">
        <v>1433646.3199999998</v>
      </c>
      <c r="O6" s="381">
        <v>1208851.7277970032</v>
      </c>
      <c r="P6" s="381">
        <v>1221091.4455470033</v>
      </c>
      <c r="Q6" s="381">
        <v>1194419.2817703367</v>
      </c>
      <c r="R6" s="381">
        <v>1239489.2742341459</v>
      </c>
      <c r="S6" s="381">
        <v>1239489.2742341459</v>
      </c>
      <c r="T6" s="381">
        <v>1254635.0692481461</v>
      </c>
      <c r="U6" s="381">
        <v>15911707.96283078</v>
      </c>
      <c r="V6" s="381">
        <v>505595.33855866268</v>
      </c>
    </row>
    <row r="7" spans="1:22" hidden="1">
      <c r="B7" t="s">
        <v>30</v>
      </c>
      <c r="C7" t="s">
        <v>24</v>
      </c>
      <c r="D7" t="s">
        <v>25</v>
      </c>
      <c r="E7">
        <v>0</v>
      </c>
      <c r="F7">
        <v>0</v>
      </c>
      <c r="H7"/>
      <c r="I7" s="381"/>
      <c r="J7" s="381"/>
      <c r="K7" s="381"/>
      <c r="L7" s="381">
        <v>0</v>
      </c>
      <c r="M7" s="381">
        <v>0</v>
      </c>
      <c r="N7" s="381">
        <v>0</v>
      </c>
      <c r="O7" s="381">
        <v>0</v>
      </c>
      <c r="P7" s="381">
        <v>0</v>
      </c>
      <c r="Q7" s="381">
        <v>0</v>
      </c>
      <c r="R7" s="381">
        <v>0</v>
      </c>
      <c r="S7" s="381">
        <v>0</v>
      </c>
      <c r="T7" s="381">
        <v>0</v>
      </c>
      <c r="U7" s="381">
        <v>0</v>
      </c>
      <c r="V7" s="381">
        <v>0</v>
      </c>
    </row>
    <row r="8" spans="1:22" hidden="1">
      <c r="B8" t="s">
        <v>31</v>
      </c>
      <c r="C8" t="s">
        <v>27</v>
      </c>
      <c r="D8" t="s">
        <v>25</v>
      </c>
      <c r="E8">
        <v>0</v>
      </c>
      <c r="F8">
        <v>0</v>
      </c>
      <c r="H8"/>
      <c r="I8" s="381"/>
      <c r="J8" s="381"/>
      <c r="K8" s="381"/>
      <c r="L8" s="381">
        <v>0</v>
      </c>
      <c r="M8" s="381">
        <v>0</v>
      </c>
      <c r="N8" s="381">
        <v>0</v>
      </c>
      <c r="O8" s="381">
        <v>0</v>
      </c>
      <c r="P8" s="381">
        <v>0</v>
      </c>
      <c r="Q8" s="381">
        <v>0</v>
      </c>
      <c r="R8" s="381">
        <v>0</v>
      </c>
      <c r="S8" s="381">
        <v>0</v>
      </c>
      <c r="T8" s="381">
        <v>0</v>
      </c>
      <c r="U8" s="381">
        <v>0</v>
      </c>
      <c r="V8" s="381">
        <v>0</v>
      </c>
    </row>
    <row r="9" spans="1:22">
      <c r="B9" t="s">
        <v>32</v>
      </c>
      <c r="C9" t="s">
        <v>29</v>
      </c>
      <c r="D9" t="s">
        <v>25</v>
      </c>
      <c r="E9">
        <v>0</v>
      </c>
      <c r="F9">
        <v>0</v>
      </c>
      <c r="H9"/>
      <c r="I9" s="381"/>
      <c r="J9" s="381"/>
      <c r="K9" s="381"/>
      <c r="L9" s="381"/>
      <c r="M9" s="381"/>
      <c r="N9" s="381">
        <v>11264.339999999998</v>
      </c>
      <c r="O9" s="381">
        <v>0</v>
      </c>
      <c r="P9" s="381">
        <v>0</v>
      </c>
      <c r="Q9" s="381">
        <v>0</v>
      </c>
      <c r="R9" s="381">
        <v>0</v>
      </c>
      <c r="S9" s="381">
        <v>0</v>
      </c>
      <c r="T9" s="381">
        <v>0</v>
      </c>
      <c r="U9" s="381">
        <v>11264.339999999998</v>
      </c>
      <c r="V9" s="381">
        <v>11264.339999999998</v>
      </c>
    </row>
    <row r="10" spans="1:22">
      <c r="B10" t="s">
        <v>33</v>
      </c>
      <c r="C10" t="s">
        <v>29</v>
      </c>
      <c r="D10" t="s">
        <v>25</v>
      </c>
      <c r="E10">
        <v>16484280.790000003</v>
      </c>
      <c r="F10">
        <v>21816549.886619337</v>
      </c>
      <c r="H10"/>
      <c r="I10" s="381">
        <v>1733430.9899999991</v>
      </c>
      <c r="J10" s="381">
        <v>2659121.5100000012</v>
      </c>
      <c r="K10" s="381">
        <v>1591278.1799999983</v>
      </c>
      <c r="L10" s="381">
        <v>2358182.7000000007</v>
      </c>
      <c r="M10" s="381">
        <v>54442.760000000351</v>
      </c>
      <c r="N10" s="381">
        <v>1905380.4099999985</v>
      </c>
      <c r="O10" s="381">
        <v>1785306.7237904386</v>
      </c>
      <c r="P10" s="381">
        <v>1781851.6968221199</v>
      </c>
      <c r="Q10" s="381">
        <v>1807055.77390462</v>
      </c>
      <c r="R10" s="381">
        <v>1862531.492714915</v>
      </c>
      <c r="S10" s="381">
        <v>1871209.9824649149</v>
      </c>
      <c r="T10" s="381">
        <v>1871209.9824649149</v>
      </c>
      <c r="U10" s="381">
        <v>21281002.202161916</v>
      </c>
      <c r="V10" s="381">
        <v>-535547.6844574213</v>
      </c>
    </row>
    <row r="11" spans="1:22" hidden="1">
      <c r="B11" t="s">
        <v>34</v>
      </c>
      <c r="C11" t="s">
        <v>24</v>
      </c>
      <c r="D11" t="s">
        <v>25</v>
      </c>
      <c r="E11">
        <v>0</v>
      </c>
      <c r="F11">
        <v>0</v>
      </c>
      <c r="H11"/>
      <c r="I11"/>
      <c r="J11"/>
      <c r="K11"/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557">
        <v>0</v>
      </c>
    </row>
    <row r="12" spans="1:22" hidden="1">
      <c r="B12" t="s">
        <v>35</v>
      </c>
      <c r="C12" t="s">
        <v>27</v>
      </c>
      <c r="D12" t="s">
        <v>25</v>
      </c>
      <c r="E12">
        <v>0</v>
      </c>
      <c r="F12">
        <v>0</v>
      </c>
      <c r="H12"/>
      <c r="I12" s="381"/>
      <c r="J12" s="381"/>
      <c r="K12" s="381"/>
      <c r="L12" s="381">
        <v>0</v>
      </c>
      <c r="M12" s="381">
        <v>0</v>
      </c>
      <c r="N12" s="381">
        <v>0</v>
      </c>
      <c r="O12" s="381">
        <v>0</v>
      </c>
      <c r="P12" s="381">
        <v>0</v>
      </c>
      <c r="Q12" s="381">
        <v>0</v>
      </c>
      <c r="R12" s="381">
        <v>0</v>
      </c>
      <c r="S12" s="381">
        <v>0</v>
      </c>
      <c r="T12" s="381">
        <v>0</v>
      </c>
      <c r="U12" s="381">
        <v>0</v>
      </c>
      <c r="V12" s="381">
        <v>0</v>
      </c>
    </row>
    <row r="13" spans="1:22">
      <c r="B13" t="s">
        <v>36</v>
      </c>
      <c r="C13" t="s">
        <v>29</v>
      </c>
      <c r="D13" t="s">
        <v>25</v>
      </c>
      <c r="E13">
        <v>0</v>
      </c>
      <c r="F13">
        <v>0</v>
      </c>
      <c r="H13"/>
      <c r="I13" s="381"/>
      <c r="J13" s="381"/>
      <c r="K13" s="381"/>
      <c r="L13" s="381"/>
      <c r="M13" s="381"/>
      <c r="N13" s="381">
        <v>14481.86</v>
      </c>
      <c r="O13" s="381">
        <v>0</v>
      </c>
      <c r="P13" s="381">
        <v>0</v>
      </c>
      <c r="Q13" s="381">
        <v>0</v>
      </c>
      <c r="R13" s="381">
        <v>0</v>
      </c>
      <c r="S13" s="381">
        <v>0</v>
      </c>
      <c r="T13" s="381">
        <v>0</v>
      </c>
      <c r="U13" s="381">
        <v>14481.86</v>
      </c>
      <c r="V13" s="381">
        <v>14481.86</v>
      </c>
    </row>
    <row r="14" spans="1:22" hidden="1">
      <c r="B14" t="s">
        <v>37</v>
      </c>
      <c r="C14" t="s">
        <v>24</v>
      </c>
      <c r="D14" t="s">
        <v>25</v>
      </c>
      <c r="E14">
        <v>7282938.2999999989</v>
      </c>
      <c r="F14">
        <v>0</v>
      </c>
      <c r="H14"/>
      <c r="I14" s="381"/>
      <c r="J14" s="381"/>
      <c r="K14" s="381"/>
      <c r="L14" s="381">
        <v>0</v>
      </c>
      <c r="M14" s="381">
        <v>0</v>
      </c>
      <c r="N14" s="381">
        <v>0</v>
      </c>
      <c r="O14" s="381"/>
      <c r="P14" s="381"/>
      <c r="Q14" s="381"/>
      <c r="R14" s="381"/>
      <c r="S14" s="381"/>
      <c r="T14" s="381"/>
      <c r="U14" s="381">
        <v>0</v>
      </c>
      <c r="V14" s="381">
        <v>0</v>
      </c>
    </row>
    <row r="15" spans="1:22">
      <c r="B15" t="s">
        <v>38</v>
      </c>
      <c r="C15" t="s">
        <v>39</v>
      </c>
      <c r="D15" t="s">
        <v>25</v>
      </c>
      <c r="E15">
        <v>144000</v>
      </c>
      <c r="F15">
        <v>108000</v>
      </c>
      <c r="H15"/>
      <c r="I15" s="381"/>
      <c r="J15" s="381"/>
      <c r="K15" s="381"/>
      <c r="L15" s="381">
        <v>0</v>
      </c>
      <c r="M15" s="381">
        <v>0</v>
      </c>
      <c r="N15" s="381">
        <v>0</v>
      </c>
      <c r="O15" s="381">
        <v>12000</v>
      </c>
      <c r="P15" s="381">
        <v>12000</v>
      </c>
      <c r="Q15" s="381">
        <v>12000</v>
      </c>
      <c r="R15" s="381">
        <v>12000</v>
      </c>
      <c r="S15" s="381">
        <v>12000</v>
      </c>
      <c r="T15" s="381">
        <v>12000</v>
      </c>
      <c r="U15" s="381">
        <v>72000</v>
      </c>
      <c r="V15" s="381">
        <v>-36000</v>
      </c>
    </row>
    <row r="16" spans="1:22" hidden="1">
      <c r="B16" t="s">
        <v>40</v>
      </c>
      <c r="C16" t="s">
        <v>27</v>
      </c>
      <c r="D16" t="s">
        <v>25</v>
      </c>
      <c r="E16">
        <v>3070616.44</v>
      </c>
      <c r="F16">
        <v>0</v>
      </c>
      <c r="H16"/>
      <c r="I16" s="381"/>
      <c r="J16" s="381"/>
      <c r="K16" s="381"/>
      <c r="L16" s="381">
        <v>0</v>
      </c>
      <c r="M16" s="381">
        <v>0</v>
      </c>
      <c r="N16" s="381">
        <v>0</v>
      </c>
      <c r="O16" s="381"/>
      <c r="P16" s="381"/>
      <c r="Q16" s="381"/>
      <c r="R16" s="381"/>
      <c r="S16" s="381"/>
      <c r="T16" s="381"/>
      <c r="U16" s="381">
        <v>0</v>
      </c>
      <c r="V16" s="381">
        <v>0</v>
      </c>
    </row>
    <row r="17" spans="1:22">
      <c r="B17" t="s">
        <v>41</v>
      </c>
      <c r="C17" t="s">
        <v>29</v>
      </c>
      <c r="D17" t="s">
        <v>25</v>
      </c>
      <c r="E17">
        <v>794938.1799999997</v>
      </c>
      <c r="F17">
        <v>806177.41999999993</v>
      </c>
      <c r="H17"/>
      <c r="I17" s="381">
        <v>358290.86</v>
      </c>
      <c r="J17" s="381">
        <v>-25689.760000000002</v>
      </c>
      <c r="K17" s="381">
        <v>41090.669999999984</v>
      </c>
      <c r="L17" s="381">
        <v>85849.400000000009</v>
      </c>
      <c r="M17" s="381">
        <v>-59378.359999999986</v>
      </c>
      <c r="N17" s="381">
        <v>-23605.23000000001</v>
      </c>
      <c r="O17" s="381">
        <v>55233.75</v>
      </c>
      <c r="P17" s="381">
        <v>55233.75</v>
      </c>
      <c r="Q17" s="381">
        <v>55233.75</v>
      </c>
      <c r="R17" s="381">
        <v>55233.75</v>
      </c>
      <c r="S17" s="381">
        <v>55233.75</v>
      </c>
      <c r="T17" s="381">
        <v>55233.75</v>
      </c>
      <c r="U17" s="381">
        <v>707960.08</v>
      </c>
      <c r="V17" s="381">
        <v>-98217.339999999967</v>
      </c>
    </row>
    <row r="18" spans="1:22">
      <c r="B18" t="s">
        <v>42</v>
      </c>
      <c r="C18" t="s">
        <v>43</v>
      </c>
      <c r="D18" t="s">
        <v>44</v>
      </c>
      <c r="E18">
        <v>-472222.21000000008</v>
      </c>
      <c r="F18">
        <v>-160000</v>
      </c>
      <c r="H18"/>
      <c r="I18" s="381"/>
      <c r="J18" s="381"/>
      <c r="K18" s="381"/>
      <c r="L18" s="381">
        <v>0</v>
      </c>
      <c r="M18" s="381">
        <v>0</v>
      </c>
      <c r="N18" s="381">
        <v>0</v>
      </c>
      <c r="O18" s="381">
        <v>-20000</v>
      </c>
      <c r="P18" s="381">
        <v>-20000</v>
      </c>
      <c r="Q18" s="381">
        <v>-20000</v>
      </c>
      <c r="R18" s="381">
        <v>-20000</v>
      </c>
      <c r="S18" s="381">
        <v>-20000</v>
      </c>
      <c r="T18" s="381">
        <v>-20000</v>
      </c>
      <c r="U18" s="381">
        <v>-120000</v>
      </c>
      <c r="V18" s="381">
        <v>40000</v>
      </c>
    </row>
    <row r="19" spans="1:22" hidden="1">
      <c r="B19" t="s">
        <v>45</v>
      </c>
      <c r="C19" t="s">
        <v>24</v>
      </c>
      <c r="D19" t="s">
        <v>25</v>
      </c>
      <c r="E19">
        <v>763217.94999999984</v>
      </c>
      <c r="F19">
        <v>0</v>
      </c>
      <c r="H19"/>
      <c r="I19" s="381"/>
      <c r="J19" s="381"/>
      <c r="K19" s="381"/>
      <c r="L19" s="381">
        <v>0</v>
      </c>
      <c r="M19" s="381">
        <v>0</v>
      </c>
      <c r="N19" s="381">
        <v>0</v>
      </c>
      <c r="O19" s="381"/>
      <c r="P19" s="381"/>
      <c r="Q19" s="381"/>
      <c r="R19" s="381"/>
      <c r="S19" s="381"/>
      <c r="T19" s="381"/>
      <c r="U19" s="381">
        <v>0</v>
      </c>
      <c r="V19" s="381">
        <v>0</v>
      </c>
    </row>
    <row r="20" spans="1:22" hidden="1">
      <c r="B20" t="s">
        <v>46</v>
      </c>
      <c r="C20" t="s">
        <v>27</v>
      </c>
      <c r="D20" t="s">
        <v>25</v>
      </c>
      <c r="E20">
        <v>355072.04000000004</v>
      </c>
      <c r="F20">
        <v>0</v>
      </c>
      <c r="H20"/>
      <c r="I20" s="381"/>
      <c r="J20" s="381"/>
      <c r="K20" s="381"/>
      <c r="L20" s="381">
        <v>0</v>
      </c>
      <c r="M20" s="381">
        <v>0</v>
      </c>
      <c r="N20" s="381">
        <v>0</v>
      </c>
      <c r="O20" s="381"/>
      <c r="P20" s="381"/>
      <c r="Q20" s="381"/>
      <c r="R20" s="381"/>
      <c r="S20" s="381"/>
      <c r="T20" s="381"/>
      <c r="U20" s="381">
        <v>0</v>
      </c>
      <c r="V20" s="381">
        <v>0</v>
      </c>
    </row>
    <row r="21" spans="1:22">
      <c r="B21" t="s">
        <v>47</v>
      </c>
      <c r="C21" t="s">
        <v>29</v>
      </c>
      <c r="D21" t="s">
        <v>25</v>
      </c>
      <c r="E21">
        <v>2029390.9400000004</v>
      </c>
      <c r="F21">
        <v>3060870.8486933634</v>
      </c>
      <c r="H21"/>
      <c r="I21" s="381">
        <v>238474.06999999998</v>
      </c>
      <c r="J21" s="381">
        <v>255306.30000000005</v>
      </c>
      <c r="K21" s="381">
        <v>190399.43</v>
      </c>
      <c r="L21" s="381">
        <v>293204.89</v>
      </c>
      <c r="M21" s="381">
        <v>312206.57999999996</v>
      </c>
      <c r="N21" s="381">
        <v>165290.4</v>
      </c>
      <c r="O21" s="381">
        <v>239240.83906981352</v>
      </c>
      <c r="P21" s="381">
        <v>265188.32548648014</v>
      </c>
      <c r="Q21" s="381">
        <v>265188.32548648014</v>
      </c>
      <c r="R21" s="381">
        <v>278462.33017032093</v>
      </c>
      <c r="S21" s="381">
        <v>278462.33017032093</v>
      </c>
      <c r="T21" s="381">
        <v>278462.33017032093</v>
      </c>
      <c r="U21" s="381">
        <v>3059886.1505537364</v>
      </c>
      <c r="V21" s="381">
        <v>-984.69813962699845</v>
      </c>
    </row>
    <row r="22" spans="1:22">
      <c r="A22" t="s">
        <v>48</v>
      </c>
      <c r="E22">
        <v>45933465.299999997</v>
      </c>
      <c r="F22">
        <v>41037710.779584818</v>
      </c>
      <c r="H22"/>
      <c r="I22" s="381">
        <v>3733110.3199999975</v>
      </c>
      <c r="J22" s="381">
        <v>4286415.6900000004</v>
      </c>
      <c r="K22" s="381">
        <v>3198053.109999998</v>
      </c>
      <c r="L22" s="381">
        <v>4170636.4600000004</v>
      </c>
      <c r="M22" s="381">
        <v>1818080.2100000004</v>
      </c>
      <c r="N22" s="381">
        <v>3506458.0999999982</v>
      </c>
      <c r="O22" s="381">
        <v>3280633.0406572553</v>
      </c>
      <c r="P22" s="381">
        <v>3315365.2178556034</v>
      </c>
      <c r="Q22" s="381">
        <v>3313897.1311614369</v>
      </c>
      <c r="R22" s="381">
        <v>3427716.8471193817</v>
      </c>
      <c r="S22" s="381">
        <v>3436395.3368693818</v>
      </c>
      <c r="T22" s="381">
        <v>3451541.1318833819</v>
      </c>
      <c r="U22" s="381">
        <v>40938302.595546424</v>
      </c>
      <c r="V22" s="381">
        <v>-99408.184038385574</v>
      </c>
    </row>
    <row r="23" spans="1:22">
      <c r="A23" t="s">
        <v>49</v>
      </c>
      <c r="B23" t="s">
        <v>50</v>
      </c>
      <c r="C23" t="s">
        <v>51</v>
      </c>
      <c r="D23" t="s">
        <v>25</v>
      </c>
      <c r="E23">
        <v>3014.4000000000005</v>
      </c>
      <c r="F23">
        <v>4510.8</v>
      </c>
      <c r="H23"/>
      <c r="I23" s="381"/>
      <c r="J23" s="381"/>
      <c r="K23" s="381"/>
      <c r="L23" s="381">
        <v>0</v>
      </c>
      <c r="M23" s="381">
        <v>0</v>
      </c>
      <c r="N23" s="381">
        <v>0</v>
      </c>
      <c r="O23" s="381">
        <v>101.2</v>
      </c>
      <c r="P23" s="381">
        <v>101.2</v>
      </c>
      <c r="Q23" s="381">
        <v>101.2</v>
      </c>
      <c r="R23" s="381">
        <v>101.2</v>
      </c>
      <c r="S23" s="381">
        <v>101.2</v>
      </c>
      <c r="T23" s="381">
        <v>101.2</v>
      </c>
      <c r="U23" s="381">
        <v>607.20000000000005</v>
      </c>
      <c r="V23" s="381">
        <v>-3903.6000000000004</v>
      </c>
    </row>
    <row r="24" spans="1:22">
      <c r="B24" t="s">
        <v>52</v>
      </c>
      <c r="C24" t="s">
        <v>53</v>
      </c>
      <c r="D24" t="s">
        <v>25</v>
      </c>
      <c r="E24">
        <v>-694940</v>
      </c>
      <c r="F24">
        <v>-708903.73</v>
      </c>
      <c r="H24"/>
      <c r="I24" s="381">
        <v>44340</v>
      </c>
      <c r="J24" s="381">
        <v>-102307.86</v>
      </c>
      <c r="K24" s="381">
        <v>-95095.87</v>
      </c>
      <c r="L24" s="381">
        <v>157664</v>
      </c>
      <c r="M24" s="381">
        <v>-158270.00000000006</v>
      </c>
      <c r="N24" s="381">
        <v>-154824</v>
      </c>
      <c r="O24" s="381">
        <v>-11640</v>
      </c>
      <c r="P24" s="381">
        <v>-116400</v>
      </c>
      <c r="Q24" s="381">
        <v>-75000</v>
      </c>
      <c r="R24" s="381">
        <v>-75000</v>
      </c>
      <c r="S24" s="381">
        <v>-75000</v>
      </c>
      <c r="T24" s="381">
        <v>-75000</v>
      </c>
      <c r="U24" s="381">
        <v>-736533.7300000001</v>
      </c>
      <c r="V24" s="381">
        <v>-27630.000000000116</v>
      </c>
    </row>
    <row r="25" spans="1:22">
      <c r="D25" t="s">
        <v>54</v>
      </c>
      <c r="H25"/>
      <c r="I25" s="381"/>
      <c r="J25" s="381"/>
      <c r="K25" s="381"/>
      <c r="L25" s="381">
        <v>24147</v>
      </c>
      <c r="M25" s="381">
        <v>-46130</v>
      </c>
      <c r="N25" s="381">
        <v>-215360</v>
      </c>
      <c r="O25" s="381"/>
      <c r="P25" s="381"/>
      <c r="Q25" s="381"/>
      <c r="R25" s="381"/>
      <c r="S25" s="381"/>
      <c r="T25" s="381"/>
      <c r="U25" s="381">
        <v>-237343</v>
      </c>
      <c r="V25" s="381">
        <v>-237343</v>
      </c>
    </row>
    <row r="26" spans="1:22">
      <c r="B26" t="s">
        <v>55</v>
      </c>
      <c r="C26" t="s">
        <v>56</v>
      </c>
      <c r="D26" t="s">
        <v>57</v>
      </c>
      <c r="E26">
        <v>0</v>
      </c>
      <c r="F26">
        <v>1080</v>
      </c>
      <c r="H26"/>
      <c r="I26" s="381">
        <v>360</v>
      </c>
      <c r="J26" s="381">
        <v>360</v>
      </c>
      <c r="K26" s="381">
        <v>360</v>
      </c>
      <c r="L26" s="381">
        <v>0</v>
      </c>
      <c r="M26" s="381">
        <v>0</v>
      </c>
      <c r="N26" s="381">
        <v>0</v>
      </c>
      <c r="O26" s="381">
        <v>0</v>
      </c>
      <c r="P26" s="381">
        <v>0</v>
      </c>
      <c r="Q26" s="381">
        <v>0</v>
      </c>
      <c r="R26" s="381">
        <v>0</v>
      </c>
      <c r="S26" s="381">
        <v>0</v>
      </c>
      <c r="T26" s="381">
        <v>0</v>
      </c>
      <c r="U26" s="381">
        <v>1080</v>
      </c>
      <c r="V26" s="381">
        <v>0</v>
      </c>
    </row>
    <row r="27" spans="1:22">
      <c r="D27" t="s">
        <v>54</v>
      </c>
      <c r="H27"/>
      <c r="I27" s="381"/>
      <c r="J27" s="381"/>
      <c r="K27" s="381"/>
      <c r="L27" s="381"/>
      <c r="M27" s="381">
        <v>550</v>
      </c>
      <c r="N27" s="381">
        <v>0</v>
      </c>
      <c r="O27" s="381"/>
      <c r="P27" s="381"/>
      <c r="Q27" s="381"/>
      <c r="R27" s="381"/>
      <c r="S27" s="381"/>
      <c r="T27" s="381"/>
      <c r="U27" s="381">
        <v>550</v>
      </c>
      <c r="V27" s="381">
        <v>550</v>
      </c>
    </row>
    <row r="28" spans="1:22">
      <c r="B28" t="s">
        <v>58</v>
      </c>
      <c r="C28" t="s">
        <v>59</v>
      </c>
      <c r="D28" t="s">
        <v>25</v>
      </c>
      <c r="E28">
        <v>551723.03999999992</v>
      </c>
      <c r="F28">
        <v>460642</v>
      </c>
      <c r="H28"/>
      <c r="I28" s="381"/>
      <c r="J28" s="381"/>
      <c r="K28" s="381"/>
      <c r="L28" s="381">
        <v>0</v>
      </c>
      <c r="M28" s="381">
        <v>29102.65</v>
      </c>
      <c r="N28" s="381">
        <v>67355.899999999994</v>
      </c>
      <c r="O28" s="381">
        <v>58020</v>
      </c>
      <c r="P28" s="381">
        <v>58020</v>
      </c>
      <c r="Q28" s="381">
        <v>62525</v>
      </c>
      <c r="R28" s="381">
        <v>48020</v>
      </c>
      <c r="S28" s="381">
        <v>42525</v>
      </c>
      <c r="T28" s="381">
        <v>34020</v>
      </c>
      <c r="U28" s="381">
        <v>399588.55</v>
      </c>
      <c r="V28" s="381">
        <v>-61053.450000000012</v>
      </c>
    </row>
    <row r="29" spans="1:22">
      <c r="B29" t="s">
        <v>60</v>
      </c>
      <c r="C29" t="s">
        <v>61</v>
      </c>
      <c r="D29" t="s">
        <v>25</v>
      </c>
      <c r="E29">
        <v>0</v>
      </c>
      <c r="F29">
        <v>214.49</v>
      </c>
      <c r="H29"/>
      <c r="I29">
        <v>215.71</v>
      </c>
      <c r="J29">
        <v>-1.22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214.49</v>
      </c>
      <c r="V29" s="557">
        <v>0</v>
      </c>
    </row>
    <row r="30" spans="1:22">
      <c r="B30" t="s">
        <v>62</v>
      </c>
      <c r="C30" t="s">
        <v>63</v>
      </c>
      <c r="D30" t="s">
        <v>64</v>
      </c>
      <c r="E30">
        <v>345518.86</v>
      </c>
      <c r="F30">
        <v>345670.24</v>
      </c>
      <c r="H30"/>
      <c r="I30" s="381">
        <v>35812</v>
      </c>
      <c r="J30" s="381">
        <v>40109.440000000002</v>
      </c>
      <c r="K30" s="381">
        <v>50136.800000000003</v>
      </c>
      <c r="L30" s="381">
        <v>40109.449999999997</v>
      </c>
      <c r="M30" s="381">
        <v>40109.449999999997</v>
      </c>
      <c r="N30" s="381">
        <v>29136.779999999995</v>
      </c>
      <c r="O30" s="381">
        <v>22297</v>
      </c>
      <c r="P30" s="381">
        <v>19127</v>
      </c>
      <c r="Q30" s="381">
        <v>19127</v>
      </c>
      <c r="R30" s="381">
        <v>19127</v>
      </c>
      <c r="S30" s="381">
        <v>19127</v>
      </c>
      <c r="T30" s="381">
        <v>19127</v>
      </c>
      <c r="U30" s="381">
        <v>353345.92000000004</v>
      </c>
      <c r="V30" s="381">
        <v>7675.6800000000512</v>
      </c>
    </row>
    <row r="31" spans="1:22">
      <c r="B31" t="s">
        <v>65</v>
      </c>
      <c r="C31" t="s">
        <v>66</v>
      </c>
      <c r="D31" t="s">
        <v>67</v>
      </c>
      <c r="E31">
        <v>216000</v>
      </c>
      <c r="F31">
        <v>197423.06</v>
      </c>
      <c r="H31"/>
      <c r="I31" s="381">
        <v>14166</v>
      </c>
      <c r="J31" s="381">
        <v>18835.37</v>
      </c>
      <c r="K31" s="381">
        <v>16863.689999999999</v>
      </c>
      <c r="L31" s="381">
        <v>15866.15</v>
      </c>
      <c r="M31" s="381">
        <v>15866.160000000003</v>
      </c>
      <c r="N31" s="381">
        <v>19832.689999999999</v>
      </c>
      <c r="O31" s="381">
        <v>17000</v>
      </c>
      <c r="P31" s="381">
        <v>17000</v>
      </c>
      <c r="Q31" s="381">
        <v>17000</v>
      </c>
      <c r="R31" s="381">
        <v>17000</v>
      </c>
      <c r="S31" s="381">
        <v>17000</v>
      </c>
      <c r="T31" s="381">
        <v>17000</v>
      </c>
      <c r="U31" s="381">
        <v>203430.06</v>
      </c>
      <c r="V31" s="381">
        <v>6007</v>
      </c>
    </row>
    <row r="32" spans="1:22">
      <c r="B32" t="s">
        <v>68</v>
      </c>
      <c r="C32" t="s">
        <v>69</v>
      </c>
      <c r="D32" t="s">
        <v>67</v>
      </c>
      <c r="E32">
        <v>237888</v>
      </c>
      <c r="F32">
        <v>236045.4</v>
      </c>
      <c r="H32"/>
      <c r="I32" s="381">
        <v>16372</v>
      </c>
      <c r="J32" s="381">
        <v>18336.62</v>
      </c>
      <c r="K32" s="381">
        <v>22920.78</v>
      </c>
      <c r="L32" s="381">
        <v>18336.629999999997</v>
      </c>
      <c r="M32" s="381">
        <v>18336.63</v>
      </c>
      <c r="N32" s="381">
        <v>22920.78</v>
      </c>
      <c r="O32" s="381">
        <v>19824</v>
      </c>
      <c r="P32" s="381">
        <v>19824</v>
      </c>
      <c r="Q32" s="381">
        <v>19824</v>
      </c>
      <c r="R32" s="381">
        <v>19824</v>
      </c>
      <c r="S32" s="381">
        <v>19824</v>
      </c>
      <c r="T32" s="381">
        <v>19824</v>
      </c>
      <c r="U32" s="381">
        <v>236167.44</v>
      </c>
      <c r="V32" s="381">
        <v>122.04000000000815</v>
      </c>
    </row>
    <row r="33" spans="2:22">
      <c r="B33" t="s">
        <v>70</v>
      </c>
      <c r="C33" t="s">
        <v>71</v>
      </c>
      <c r="D33" t="s">
        <v>64</v>
      </c>
      <c r="E33">
        <v>230004</v>
      </c>
      <c r="F33">
        <v>211390.3</v>
      </c>
      <c r="H33"/>
      <c r="I33" s="381">
        <v>14973</v>
      </c>
      <c r="J33" s="381">
        <v>18162.759999999998</v>
      </c>
      <c r="K33" s="381">
        <v>19567.54</v>
      </c>
      <c r="L33" s="381">
        <v>16769.23</v>
      </c>
      <c r="M33" s="381">
        <v>16769.23</v>
      </c>
      <c r="N33" s="381">
        <v>-21713.759999999998</v>
      </c>
      <c r="O33" s="381">
        <v>17440</v>
      </c>
      <c r="P33" s="381">
        <v>17440</v>
      </c>
      <c r="Q33" s="381">
        <v>17440</v>
      </c>
      <c r="R33" s="381">
        <v>17440</v>
      </c>
      <c r="S33" s="381">
        <v>17440</v>
      </c>
      <c r="T33" s="381">
        <v>17440</v>
      </c>
      <c r="U33" s="381">
        <v>169168</v>
      </c>
      <c r="V33" s="381">
        <v>-42222.299999999988</v>
      </c>
    </row>
    <row r="34" spans="2:22">
      <c r="B34" t="s">
        <v>72</v>
      </c>
      <c r="C34" t="s">
        <v>73</v>
      </c>
      <c r="D34" t="s">
        <v>64</v>
      </c>
      <c r="E34">
        <v>187200</v>
      </c>
      <c r="F34">
        <v>185657.15</v>
      </c>
      <c r="H34"/>
      <c r="I34" s="381">
        <v>12857</v>
      </c>
      <c r="J34" s="381">
        <v>18823.150000000001</v>
      </c>
      <c r="K34" s="381">
        <v>13577</v>
      </c>
      <c r="L34" s="381">
        <v>14400</v>
      </c>
      <c r="M34" s="381">
        <v>17263</v>
      </c>
      <c r="N34" s="381">
        <v>36956.74</v>
      </c>
      <c r="O34" s="381">
        <v>15600</v>
      </c>
      <c r="P34" s="381">
        <v>15600</v>
      </c>
      <c r="Q34" s="381">
        <v>15600</v>
      </c>
      <c r="R34" s="381">
        <v>15600</v>
      </c>
      <c r="S34" s="381">
        <v>15600</v>
      </c>
      <c r="T34" s="381">
        <v>15600</v>
      </c>
      <c r="U34" s="381">
        <v>207476.88999999998</v>
      </c>
      <c r="V34" s="381">
        <v>21819.739999999991</v>
      </c>
    </row>
    <row r="35" spans="2:22">
      <c r="B35" t="s">
        <v>74</v>
      </c>
      <c r="C35" t="s">
        <v>75</v>
      </c>
      <c r="D35" t="s">
        <v>64</v>
      </c>
      <c r="E35">
        <v>141310.95000000001</v>
      </c>
      <c r="F35">
        <v>132735.51</v>
      </c>
      <c r="H35"/>
      <c r="I35" s="381">
        <v>9654</v>
      </c>
      <c r="J35" s="381">
        <v>14825.74</v>
      </c>
      <c r="K35" s="381">
        <v>12851.77</v>
      </c>
      <c r="L35" s="381">
        <v>7463.62</v>
      </c>
      <c r="M35" s="381">
        <v>16343.609999999997</v>
      </c>
      <c r="N35" s="381">
        <v>13997.279999999999</v>
      </c>
      <c r="O35" s="381">
        <v>6534</v>
      </c>
      <c r="P35" s="381">
        <v>6534</v>
      </c>
      <c r="Q35" s="381">
        <v>6534</v>
      </c>
      <c r="R35" s="381">
        <v>6534</v>
      </c>
      <c r="S35" s="381">
        <v>6534</v>
      </c>
      <c r="T35" s="381">
        <v>6534</v>
      </c>
      <c r="U35" s="381">
        <v>114340.01999999999</v>
      </c>
      <c r="V35" s="381">
        <v>-18395.49000000002</v>
      </c>
    </row>
    <row r="36" spans="2:22">
      <c r="B36" t="s">
        <v>76</v>
      </c>
      <c r="C36" t="s">
        <v>77</v>
      </c>
      <c r="D36" t="s">
        <v>25</v>
      </c>
      <c r="E36">
        <v>97500</v>
      </c>
      <c r="F36">
        <v>90751.67</v>
      </c>
      <c r="H36"/>
      <c r="I36" s="381">
        <v>10704.42</v>
      </c>
      <c r="J36" s="381">
        <v>11988.8</v>
      </c>
      <c r="K36" s="381">
        <v>9558.4500000000007</v>
      </c>
      <c r="L36" s="381">
        <v>6923.07</v>
      </c>
      <c r="M36" s="381">
        <v>8819.08</v>
      </c>
      <c r="N36" s="381">
        <v>6012.1100000000006</v>
      </c>
      <c r="O36" s="381">
        <v>6000</v>
      </c>
      <c r="P36" s="381">
        <v>6000</v>
      </c>
      <c r="Q36" s="381">
        <v>6000</v>
      </c>
      <c r="R36" s="381">
        <v>7500</v>
      </c>
      <c r="S36" s="381">
        <v>7500</v>
      </c>
      <c r="T36" s="381">
        <v>7500</v>
      </c>
      <c r="U36" s="381">
        <v>94505.930000000008</v>
      </c>
      <c r="V36" s="381">
        <v>3754.2600000000093</v>
      </c>
    </row>
    <row r="37" spans="2:22">
      <c r="B37" t="s">
        <v>78</v>
      </c>
      <c r="C37" t="s">
        <v>79</v>
      </c>
      <c r="D37" t="s">
        <v>25</v>
      </c>
      <c r="E37">
        <v>107910</v>
      </c>
      <c r="F37">
        <v>99679.13</v>
      </c>
      <c r="H37"/>
      <c r="I37" s="381">
        <v>6841</v>
      </c>
      <c r="J37" s="381">
        <v>9759.2000000000007</v>
      </c>
      <c r="K37" s="381">
        <v>7478.93</v>
      </c>
      <c r="L37" s="381">
        <v>7661.53</v>
      </c>
      <c r="M37" s="381">
        <v>9759.5400000000009</v>
      </c>
      <c r="N37" s="381">
        <v>8299.7900000000009</v>
      </c>
      <c r="O37" s="381">
        <v>8300</v>
      </c>
      <c r="P37" s="381">
        <v>8300</v>
      </c>
      <c r="Q37" s="381">
        <v>8300</v>
      </c>
      <c r="R37" s="381">
        <v>8300</v>
      </c>
      <c r="S37" s="381">
        <v>8300</v>
      </c>
      <c r="T37" s="381">
        <v>8300</v>
      </c>
      <c r="U37" s="381">
        <v>99599.989999999991</v>
      </c>
      <c r="V37" s="381">
        <v>-79.14000000001397</v>
      </c>
    </row>
    <row r="38" spans="2:22">
      <c r="B38" t="s">
        <v>80</v>
      </c>
      <c r="C38" t="s">
        <v>81</v>
      </c>
      <c r="D38" t="s">
        <v>25</v>
      </c>
      <c r="E38">
        <v>87360</v>
      </c>
      <c r="F38">
        <v>83873.7</v>
      </c>
      <c r="H38"/>
      <c r="I38" s="381">
        <v>11538</v>
      </c>
      <c r="J38" s="381">
        <v>8258.77</v>
      </c>
      <c r="K38" s="381">
        <v>1796.93</v>
      </c>
      <c r="L38" s="381">
        <v>5175.54</v>
      </c>
      <c r="M38" s="381">
        <v>10565.529999999999</v>
      </c>
      <c r="N38" s="381">
        <v>3972.9300000000003</v>
      </c>
      <c r="O38" s="381">
        <v>7000</v>
      </c>
      <c r="P38" s="381">
        <v>7000</v>
      </c>
      <c r="Q38" s="381">
        <v>7000</v>
      </c>
      <c r="R38" s="381">
        <v>7000</v>
      </c>
      <c r="S38" s="381">
        <v>7000</v>
      </c>
      <c r="T38" s="381">
        <v>7000</v>
      </c>
      <c r="U38" s="381">
        <v>83307.700000000012</v>
      </c>
      <c r="V38" s="381">
        <v>-565.99999999998545</v>
      </c>
    </row>
    <row r="39" spans="2:22" hidden="1">
      <c r="B39" t="s">
        <v>82</v>
      </c>
      <c r="C39" t="s">
        <v>83</v>
      </c>
      <c r="D39" t="s">
        <v>25</v>
      </c>
      <c r="E39">
        <v>750</v>
      </c>
      <c r="F39">
        <v>0</v>
      </c>
      <c r="H39"/>
      <c r="I39"/>
      <c r="J39"/>
      <c r="K39"/>
      <c r="L39">
        <v>0</v>
      </c>
      <c r="M39">
        <v>0</v>
      </c>
      <c r="N39">
        <v>0</v>
      </c>
      <c r="O39"/>
      <c r="P39"/>
      <c r="Q39"/>
      <c r="R39"/>
      <c r="S39"/>
      <c r="T39"/>
      <c r="U39">
        <v>0</v>
      </c>
      <c r="V39" s="557">
        <v>0</v>
      </c>
    </row>
    <row r="40" spans="2:22">
      <c r="B40" t="s">
        <v>84</v>
      </c>
      <c r="C40" t="s">
        <v>85</v>
      </c>
      <c r="D40" t="s">
        <v>25</v>
      </c>
      <c r="E40">
        <v>357000</v>
      </c>
      <c r="F40">
        <v>356999.8</v>
      </c>
      <c r="H40"/>
      <c r="I40" s="381">
        <v>24570</v>
      </c>
      <c r="J40" s="381">
        <v>27517.439999999999</v>
      </c>
      <c r="K40" s="381">
        <v>34397.360000000001</v>
      </c>
      <c r="L40" s="381">
        <v>27517.89</v>
      </c>
      <c r="M40" s="381">
        <v>27517.89</v>
      </c>
      <c r="N40" s="381">
        <v>34397.360000000001</v>
      </c>
      <c r="O40" s="381">
        <v>29750</v>
      </c>
      <c r="P40" s="381">
        <v>29750</v>
      </c>
      <c r="Q40" s="381">
        <v>37050</v>
      </c>
      <c r="R40" s="381">
        <v>29750</v>
      </c>
      <c r="S40" s="381">
        <v>29750</v>
      </c>
      <c r="T40" s="381">
        <v>29750</v>
      </c>
      <c r="U40" s="381">
        <v>361717.94</v>
      </c>
      <c r="V40" s="381">
        <v>4718.140000000014</v>
      </c>
    </row>
    <row r="41" spans="2:22">
      <c r="B41" t="s">
        <v>86</v>
      </c>
      <c r="C41" t="s">
        <v>87</v>
      </c>
      <c r="D41" t="s">
        <v>25</v>
      </c>
      <c r="E41">
        <v>1678341.6000000003</v>
      </c>
      <c r="F41">
        <v>1647348.3599999999</v>
      </c>
      <c r="H41"/>
      <c r="I41" s="381">
        <v>113142.14</v>
      </c>
      <c r="J41" s="381">
        <v>160853.85999999999</v>
      </c>
      <c r="K41" s="381">
        <v>137841.35999999999</v>
      </c>
      <c r="L41" s="381">
        <v>0</v>
      </c>
      <c r="M41" s="381">
        <v>274558.24</v>
      </c>
      <c r="N41" s="381">
        <v>137279.12</v>
      </c>
      <c r="O41" s="381">
        <v>0</v>
      </c>
      <c r="P41" s="381">
        <v>274558</v>
      </c>
      <c r="Q41" s="381">
        <v>137279</v>
      </c>
      <c r="R41" s="381">
        <v>0</v>
      </c>
      <c r="S41" s="381">
        <v>274558</v>
      </c>
      <c r="T41" s="381">
        <v>137279</v>
      </c>
      <c r="U41" s="381">
        <v>1647348.72</v>
      </c>
      <c r="V41" s="381">
        <v>0.36000000010244548</v>
      </c>
    </row>
    <row r="42" spans="2:22" hidden="1">
      <c r="B42" t="s">
        <v>88</v>
      </c>
      <c r="C42" t="s">
        <v>89</v>
      </c>
      <c r="D42" t="s">
        <v>25</v>
      </c>
      <c r="E42">
        <v>0</v>
      </c>
      <c r="F42">
        <v>0</v>
      </c>
      <c r="H42"/>
      <c r="I42" s="381"/>
      <c r="J42" s="381"/>
      <c r="K42" s="381"/>
      <c r="L42" s="381">
        <v>0</v>
      </c>
      <c r="M42" s="381">
        <v>0</v>
      </c>
      <c r="N42" s="381">
        <v>0</v>
      </c>
      <c r="O42" s="381">
        <v>0</v>
      </c>
      <c r="P42" s="381">
        <v>0</v>
      </c>
      <c r="Q42" s="381">
        <v>0</v>
      </c>
      <c r="R42" s="381">
        <v>0</v>
      </c>
      <c r="S42" s="381">
        <v>0</v>
      </c>
      <c r="T42" s="381"/>
      <c r="U42" s="381">
        <v>0</v>
      </c>
      <c r="V42" s="381">
        <v>0</v>
      </c>
    </row>
    <row r="43" spans="2:22" hidden="1">
      <c r="B43" t="s">
        <v>90</v>
      </c>
      <c r="C43" t="s">
        <v>91</v>
      </c>
      <c r="D43" t="s">
        <v>25</v>
      </c>
      <c r="E43">
        <v>0</v>
      </c>
      <c r="F43">
        <v>0</v>
      </c>
      <c r="H43"/>
      <c r="I43" s="381"/>
      <c r="J43" s="381"/>
      <c r="K43" s="381"/>
      <c r="L43" s="381">
        <v>0</v>
      </c>
      <c r="M43" s="381">
        <v>0</v>
      </c>
      <c r="N43" s="381">
        <v>0</v>
      </c>
      <c r="O43" s="381">
        <v>0</v>
      </c>
      <c r="P43" s="381">
        <v>0</v>
      </c>
      <c r="Q43" s="381">
        <v>0</v>
      </c>
      <c r="R43" s="381">
        <v>0</v>
      </c>
      <c r="S43" s="381">
        <v>0</v>
      </c>
      <c r="T43" s="381"/>
      <c r="U43" s="381">
        <v>0</v>
      </c>
      <c r="V43" s="381">
        <v>0</v>
      </c>
    </row>
    <row r="44" spans="2:22" hidden="1">
      <c r="B44" t="s">
        <v>92</v>
      </c>
      <c r="C44" t="s">
        <v>93</v>
      </c>
      <c r="D44" t="s">
        <v>25</v>
      </c>
      <c r="E44">
        <v>0</v>
      </c>
      <c r="F44">
        <v>0</v>
      </c>
      <c r="H44"/>
      <c r="I44" s="381"/>
      <c r="J44" s="381"/>
      <c r="K44" s="381"/>
      <c r="L44" s="381">
        <v>0</v>
      </c>
      <c r="M44" s="381">
        <v>0</v>
      </c>
      <c r="N44" s="381">
        <v>0</v>
      </c>
      <c r="O44" s="381">
        <v>0</v>
      </c>
      <c r="P44" s="381">
        <v>0</v>
      </c>
      <c r="Q44" s="381">
        <v>0</v>
      </c>
      <c r="R44" s="381">
        <v>0</v>
      </c>
      <c r="S44" s="381">
        <v>0</v>
      </c>
      <c r="T44" s="381"/>
      <c r="U44" s="381">
        <v>0</v>
      </c>
      <c r="V44" s="381">
        <v>0</v>
      </c>
    </row>
    <row r="45" spans="2:22" hidden="1">
      <c r="B45" t="s">
        <v>94</v>
      </c>
      <c r="C45" t="s">
        <v>95</v>
      </c>
      <c r="D45" t="s">
        <v>25</v>
      </c>
      <c r="E45">
        <v>0</v>
      </c>
      <c r="F45">
        <v>0</v>
      </c>
      <c r="H45"/>
      <c r="I45" s="381"/>
      <c r="J45" s="381"/>
      <c r="K45" s="381"/>
      <c r="L45" s="381">
        <v>0</v>
      </c>
      <c r="M45" s="381">
        <v>0</v>
      </c>
      <c r="N45" s="381">
        <v>0</v>
      </c>
      <c r="O45" s="381">
        <v>0</v>
      </c>
      <c r="P45" s="381">
        <v>0</v>
      </c>
      <c r="Q45" s="381">
        <v>0</v>
      </c>
      <c r="R45" s="381">
        <v>0</v>
      </c>
      <c r="S45" s="381">
        <v>0</v>
      </c>
      <c r="T45" s="381"/>
      <c r="U45" s="381">
        <v>0</v>
      </c>
      <c r="V45" s="381">
        <v>0</v>
      </c>
    </row>
    <row r="46" spans="2:22">
      <c r="B46" t="s">
        <v>96</v>
      </c>
      <c r="C46" t="s">
        <v>97</v>
      </c>
      <c r="D46" t="s">
        <v>25</v>
      </c>
      <c r="E46">
        <v>0</v>
      </c>
      <c r="F46">
        <v>-76110</v>
      </c>
      <c r="H46"/>
      <c r="I46" s="381"/>
      <c r="J46" s="381"/>
      <c r="K46" s="381"/>
      <c r="L46" s="381">
        <v>0</v>
      </c>
      <c r="M46" s="381">
        <v>-76110</v>
      </c>
      <c r="N46" s="381">
        <v>0</v>
      </c>
      <c r="O46" s="381">
        <v>0</v>
      </c>
      <c r="P46" s="381">
        <v>0</v>
      </c>
      <c r="Q46" s="381">
        <v>0</v>
      </c>
      <c r="R46" s="381">
        <v>0</v>
      </c>
      <c r="S46" s="381">
        <v>0</v>
      </c>
      <c r="T46" s="381">
        <v>0</v>
      </c>
      <c r="U46" s="381">
        <v>-76110</v>
      </c>
      <c r="V46" s="381">
        <v>0</v>
      </c>
    </row>
    <row r="47" spans="2:22">
      <c r="B47" t="s">
        <v>98</v>
      </c>
      <c r="C47" t="s">
        <v>99</v>
      </c>
      <c r="D47" t="s">
        <v>25</v>
      </c>
      <c r="E47">
        <v>0</v>
      </c>
      <c r="F47">
        <v>-136110</v>
      </c>
      <c r="H47"/>
      <c r="I47" s="381"/>
      <c r="J47" s="381"/>
      <c r="K47" s="381">
        <v>-60000</v>
      </c>
      <c r="L47" s="381">
        <v>0</v>
      </c>
      <c r="M47" s="381">
        <v>-76110</v>
      </c>
      <c r="N47" s="381">
        <v>0</v>
      </c>
      <c r="O47" s="381">
        <v>0</v>
      </c>
      <c r="P47" s="381">
        <v>0</v>
      </c>
      <c r="Q47" s="381">
        <v>0</v>
      </c>
      <c r="R47" s="381">
        <v>0</v>
      </c>
      <c r="S47" s="381">
        <v>0</v>
      </c>
      <c r="T47" s="381">
        <v>0</v>
      </c>
      <c r="U47" s="381">
        <v>-136110</v>
      </c>
      <c r="V47" s="381">
        <v>0</v>
      </c>
    </row>
    <row r="48" spans="2:22">
      <c r="B48" t="s">
        <v>100</v>
      </c>
      <c r="C48" t="s">
        <v>101</v>
      </c>
      <c r="D48" t="s">
        <v>25</v>
      </c>
      <c r="E48">
        <v>0</v>
      </c>
      <c r="F48">
        <v>-91332</v>
      </c>
      <c r="H48"/>
      <c r="I48" s="381"/>
      <c r="J48" s="381"/>
      <c r="K48" s="381"/>
      <c r="L48" s="381">
        <v>0</v>
      </c>
      <c r="M48" s="381">
        <v>-91332</v>
      </c>
      <c r="N48" s="381">
        <v>0</v>
      </c>
      <c r="O48" s="381">
        <v>0</v>
      </c>
      <c r="P48" s="381">
        <v>0</v>
      </c>
      <c r="Q48" s="381">
        <v>0</v>
      </c>
      <c r="R48" s="381">
        <v>0</v>
      </c>
      <c r="S48" s="381">
        <v>0</v>
      </c>
      <c r="T48" s="381">
        <v>0</v>
      </c>
      <c r="U48" s="381">
        <v>-91332</v>
      </c>
      <c r="V48" s="381">
        <v>0</v>
      </c>
    </row>
    <row r="49" spans="2:22">
      <c r="B49" t="s">
        <v>102</v>
      </c>
      <c r="C49" t="s">
        <v>103</v>
      </c>
      <c r="D49" t="s">
        <v>25</v>
      </c>
      <c r="E49">
        <v>0</v>
      </c>
      <c r="F49">
        <v>-213108</v>
      </c>
      <c r="H49"/>
      <c r="I49" s="381"/>
      <c r="J49" s="381"/>
      <c r="K49" s="381"/>
      <c r="L49" s="381">
        <v>0</v>
      </c>
      <c r="M49" s="381">
        <v>-213108</v>
      </c>
      <c r="N49" s="381">
        <v>0</v>
      </c>
      <c r="O49" s="381">
        <v>0</v>
      </c>
      <c r="P49" s="381">
        <v>0</v>
      </c>
      <c r="Q49" s="381">
        <v>0</v>
      </c>
      <c r="R49" s="381">
        <v>0</v>
      </c>
      <c r="S49" s="381">
        <v>0</v>
      </c>
      <c r="T49" s="381">
        <v>0</v>
      </c>
      <c r="U49" s="381">
        <v>-213108</v>
      </c>
      <c r="V49" s="381">
        <v>0</v>
      </c>
    </row>
    <row r="50" spans="2:22" hidden="1">
      <c r="B50" t="s">
        <v>104</v>
      </c>
      <c r="C50" t="s">
        <v>105</v>
      </c>
      <c r="D50" t="s">
        <v>25</v>
      </c>
      <c r="E50">
        <v>1</v>
      </c>
      <c r="F50">
        <v>0</v>
      </c>
      <c r="H50"/>
      <c r="I50" s="381"/>
      <c r="J50" s="381"/>
      <c r="K50" s="381"/>
      <c r="L50" s="381">
        <v>0</v>
      </c>
      <c r="M50" s="381">
        <v>0</v>
      </c>
      <c r="N50" s="381">
        <v>0</v>
      </c>
      <c r="O50" s="381">
        <v>0</v>
      </c>
      <c r="P50" s="381">
        <v>0</v>
      </c>
      <c r="Q50" s="381">
        <v>0</v>
      </c>
      <c r="R50" s="381">
        <v>0</v>
      </c>
      <c r="S50" s="381">
        <v>0</v>
      </c>
      <c r="T50" s="381">
        <v>0</v>
      </c>
      <c r="U50" s="381">
        <v>0</v>
      </c>
      <c r="V50" s="381">
        <v>0</v>
      </c>
    </row>
    <row r="51" spans="2:22">
      <c r="B51" t="s">
        <v>106</v>
      </c>
      <c r="C51" t="s">
        <v>107</v>
      </c>
      <c r="D51" t="s">
        <v>25</v>
      </c>
      <c r="E51">
        <v>178000</v>
      </c>
      <c r="F51">
        <v>136206.91999999998</v>
      </c>
      <c r="H51"/>
      <c r="I51" s="381"/>
      <c r="J51" s="381">
        <v>53852.77</v>
      </c>
      <c r="K51" s="381">
        <v>35563.15</v>
      </c>
      <c r="L51" s="381">
        <v>1016.0800000000017</v>
      </c>
      <c r="M51" s="381">
        <v>-9701</v>
      </c>
      <c r="N51" s="381">
        <v>0</v>
      </c>
      <c r="O51" s="381">
        <v>0</v>
      </c>
      <c r="P51" s="381">
        <v>0</v>
      </c>
      <c r="Q51" s="381">
        <v>0</v>
      </c>
      <c r="R51" s="381">
        <v>0</v>
      </c>
      <c r="S51" s="381">
        <v>0</v>
      </c>
      <c r="T51" s="381">
        <v>0</v>
      </c>
      <c r="U51" s="381">
        <v>80731</v>
      </c>
      <c r="V51" s="381">
        <v>-55475.919999999984</v>
      </c>
    </row>
    <row r="52" spans="2:22">
      <c r="B52" t="s">
        <v>108</v>
      </c>
      <c r="C52" t="s">
        <v>109</v>
      </c>
      <c r="D52" t="s">
        <v>25</v>
      </c>
      <c r="E52">
        <v>222000</v>
      </c>
      <c r="F52">
        <v>134302.39999999999</v>
      </c>
      <c r="H52"/>
      <c r="I52" s="381"/>
      <c r="J52" s="381">
        <v>72114.23</v>
      </c>
      <c r="K52" s="381">
        <v>40652.339999999997</v>
      </c>
      <c r="L52" s="381">
        <v>64472.479999999989</v>
      </c>
      <c r="M52" s="381">
        <v>-4813.7299999999959</v>
      </c>
      <c r="N52" s="381">
        <v>-14788.650000000001</v>
      </c>
      <c r="O52" s="381">
        <v>0</v>
      </c>
      <c r="P52" s="381">
        <v>0</v>
      </c>
      <c r="Q52" s="381">
        <v>0</v>
      </c>
      <c r="R52" s="381">
        <v>0</v>
      </c>
      <c r="S52" s="381">
        <v>0</v>
      </c>
      <c r="T52" s="381">
        <v>0</v>
      </c>
      <c r="U52" s="381">
        <v>157636.67000000001</v>
      </c>
      <c r="V52" s="381">
        <v>23334.270000000019</v>
      </c>
    </row>
    <row r="53" spans="2:22">
      <c r="B53" t="s">
        <v>110</v>
      </c>
      <c r="C53" t="s">
        <v>111</v>
      </c>
      <c r="D53" t="s">
        <v>25</v>
      </c>
      <c r="E53">
        <v>100000</v>
      </c>
      <c r="F53">
        <v>100000</v>
      </c>
      <c r="H53"/>
      <c r="I53" s="381"/>
      <c r="J53" s="381"/>
      <c r="K53" s="381"/>
      <c r="L53" s="381">
        <v>0</v>
      </c>
      <c r="M53" s="381">
        <v>0</v>
      </c>
      <c r="N53" s="381">
        <v>0</v>
      </c>
      <c r="O53" s="381">
        <v>14286</v>
      </c>
      <c r="P53" s="381">
        <v>14286</v>
      </c>
      <c r="Q53" s="381">
        <v>14286</v>
      </c>
      <c r="R53" s="381">
        <v>14286</v>
      </c>
      <c r="S53" s="381">
        <v>14286</v>
      </c>
      <c r="T53" s="381">
        <v>14286</v>
      </c>
      <c r="U53" s="381">
        <v>85716</v>
      </c>
      <c r="V53" s="381">
        <v>-14284</v>
      </c>
    </row>
    <row r="54" spans="2:22">
      <c r="B54" t="s">
        <v>112</v>
      </c>
      <c r="C54" t="s">
        <v>113</v>
      </c>
      <c r="D54" t="s">
        <v>114</v>
      </c>
      <c r="E54">
        <v>39781.000000000015</v>
      </c>
      <c r="F54">
        <v>37314.43</v>
      </c>
      <c r="H54"/>
      <c r="I54" s="381">
        <v>3217.02</v>
      </c>
      <c r="J54" s="381">
        <v>2578.4899999999998</v>
      </c>
      <c r="K54" s="381">
        <v>2874.84</v>
      </c>
      <c r="L54" s="381">
        <v>3540.9</v>
      </c>
      <c r="M54" s="381">
        <v>2797.94</v>
      </c>
      <c r="N54" s="381">
        <v>2743.02</v>
      </c>
      <c r="O54" s="381">
        <v>3159</v>
      </c>
      <c r="P54" s="381">
        <v>3190</v>
      </c>
      <c r="Q54" s="381">
        <v>3150</v>
      </c>
      <c r="R54" s="381">
        <v>3150</v>
      </c>
      <c r="S54" s="381">
        <v>3150</v>
      </c>
      <c r="T54" s="381">
        <v>3150</v>
      </c>
      <c r="U54" s="381">
        <v>36701.21</v>
      </c>
      <c r="V54" s="381">
        <v>-613.22000000000116</v>
      </c>
    </row>
    <row r="55" spans="2:22">
      <c r="B55" t="s">
        <v>115</v>
      </c>
      <c r="C55" t="s">
        <v>116</v>
      </c>
      <c r="D55" t="s">
        <v>67</v>
      </c>
      <c r="E55">
        <v>948000</v>
      </c>
      <c r="F55">
        <v>948000.73</v>
      </c>
      <c r="H55"/>
      <c r="I55" s="381">
        <v>59013</v>
      </c>
      <c r="J55" s="381">
        <v>227334.86</v>
      </c>
      <c r="K55" s="381">
        <v>185217.87</v>
      </c>
      <c r="L55" s="381">
        <v>0</v>
      </c>
      <c r="M55" s="381">
        <v>0</v>
      </c>
      <c r="N55" s="381">
        <v>0</v>
      </c>
      <c r="O55" s="381">
        <v>79161</v>
      </c>
      <c r="P55" s="381">
        <v>79161</v>
      </c>
      <c r="Q55" s="381">
        <v>79161</v>
      </c>
      <c r="R55" s="381">
        <v>79161</v>
      </c>
      <c r="S55" s="381">
        <v>79161</v>
      </c>
      <c r="T55" s="381">
        <v>80630</v>
      </c>
      <c r="U55" s="381">
        <v>948000.73</v>
      </c>
      <c r="V55" s="381">
        <v>0</v>
      </c>
    </row>
    <row r="56" spans="2:22">
      <c r="B56" t="s">
        <v>117</v>
      </c>
      <c r="C56" t="s">
        <v>118</v>
      </c>
      <c r="D56" t="s">
        <v>119</v>
      </c>
      <c r="E56">
        <v>71440</v>
      </c>
      <c r="F56">
        <v>71440</v>
      </c>
      <c r="H56"/>
      <c r="I56" s="381"/>
      <c r="J56" s="381"/>
      <c r="K56" s="381"/>
      <c r="L56" s="381">
        <v>0</v>
      </c>
      <c r="M56" s="381">
        <v>0</v>
      </c>
      <c r="N56" s="381">
        <v>0</v>
      </c>
      <c r="O56" s="381"/>
      <c r="P56" s="381">
        <v>71440</v>
      </c>
      <c r="Q56" s="381">
        <v>0</v>
      </c>
      <c r="R56" s="381">
        <v>0</v>
      </c>
      <c r="S56" s="381">
        <v>0</v>
      </c>
      <c r="T56" s="381">
        <v>0</v>
      </c>
      <c r="U56" s="381">
        <v>71440</v>
      </c>
      <c r="V56" s="381">
        <v>0</v>
      </c>
    </row>
    <row r="57" spans="2:22">
      <c r="B57" t="s">
        <v>120</v>
      </c>
      <c r="C57" t="s">
        <v>121</v>
      </c>
      <c r="D57" t="s">
        <v>122</v>
      </c>
      <c r="E57">
        <v>150000</v>
      </c>
      <c r="F57">
        <v>149999.65</v>
      </c>
      <c r="H57"/>
      <c r="I57" s="381">
        <v>10113</v>
      </c>
      <c r="J57" s="381">
        <v>11863.11</v>
      </c>
      <c r="K57" s="381">
        <v>14621.54</v>
      </c>
      <c r="L57" s="381">
        <v>17284.68</v>
      </c>
      <c r="M57" s="381">
        <v>12179.44</v>
      </c>
      <c r="N57" s="381">
        <v>11999.990000000002</v>
      </c>
      <c r="O57" s="381">
        <v>12000</v>
      </c>
      <c r="P57" s="381">
        <v>12000</v>
      </c>
      <c r="Q57" s="381">
        <v>12000</v>
      </c>
      <c r="R57" s="381">
        <v>12000</v>
      </c>
      <c r="S57" s="381">
        <v>12000</v>
      </c>
      <c r="T57" s="381">
        <v>12000</v>
      </c>
      <c r="U57" s="381">
        <v>150061.76000000001</v>
      </c>
      <c r="V57" s="381">
        <v>62.110000000015134</v>
      </c>
    </row>
    <row r="58" spans="2:22">
      <c r="B58" t="s">
        <v>123</v>
      </c>
      <c r="C58" t="s">
        <v>124</v>
      </c>
      <c r="D58" t="s">
        <v>54</v>
      </c>
      <c r="H58"/>
      <c r="I58" s="381"/>
      <c r="J58" s="381"/>
      <c r="K58" s="381"/>
      <c r="L58" s="381"/>
      <c r="M58" s="381"/>
      <c r="N58" s="381"/>
      <c r="O58" s="381">
        <v>9500</v>
      </c>
      <c r="P58" s="381">
        <v>10125</v>
      </c>
      <c r="Q58" s="381">
        <v>9500</v>
      </c>
      <c r="R58" s="381">
        <v>9500</v>
      </c>
      <c r="S58" s="381">
        <v>10125</v>
      </c>
      <c r="T58" s="381">
        <v>10125</v>
      </c>
      <c r="U58" s="381">
        <v>58875</v>
      </c>
      <c r="V58" s="381">
        <v>58875</v>
      </c>
    </row>
    <row r="59" spans="2:22">
      <c r="B59" t="s">
        <v>125</v>
      </c>
      <c r="C59" t="s">
        <v>126</v>
      </c>
      <c r="D59" t="s">
        <v>127</v>
      </c>
      <c r="E59">
        <v>115200</v>
      </c>
      <c r="F59">
        <v>89600</v>
      </c>
      <c r="H59"/>
      <c r="I59" s="381"/>
      <c r="J59" s="381"/>
      <c r="K59" s="381"/>
      <c r="L59" s="381">
        <v>0</v>
      </c>
      <c r="M59" s="381">
        <v>0</v>
      </c>
      <c r="N59" s="381">
        <v>0</v>
      </c>
      <c r="O59" s="381">
        <v>16400</v>
      </c>
      <c r="P59" s="381">
        <v>16400</v>
      </c>
      <c r="Q59" s="381">
        <v>12800</v>
      </c>
      <c r="R59" s="381">
        <v>12800</v>
      </c>
      <c r="S59" s="381">
        <v>12800</v>
      </c>
      <c r="T59" s="381">
        <v>12800</v>
      </c>
      <c r="U59" s="381">
        <v>84000</v>
      </c>
      <c r="V59" s="381">
        <v>-5600</v>
      </c>
    </row>
    <row r="60" spans="2:22">
      <c r="B60" t="s">
        <v>128</v>
      </c>
      <c r="C60" t="s">
        <v>129</v>
      </c>
      <c r="D60" t="s">
        <v>114</v>
      </c>
      <c r="E60">
        <v>73711</v>
      </c>
      <c r="F60">
        <v>70191.98000000001</v>
      </c>
      <c r="H60"/>
      <c r="I60" s="381">
        <v>5439.05</v>
      </c>
      <c r="J60" s="381">
        <v>4406.87</v>
      </c>
      <c r="K60" s="381">
        <v>5062.8</v>
      </c>
      <c r="L60" s="381">
        <v>6561.0900000000011</v>
      </c>
      <c r="M60" s="381">
        <v>5184.41</v>
      </c>
      <c r="N60" s="381">
        <v>5082.6499999999987</v>
      </c>
      <c r="O60" s="381">
        <v>6142.58</v>
      </c>
      <c r="P60" s="381">
        <v>6200</v>
      </c>
      <c r="Q60" s="381">
        <v>6200</v>
      </c>
      <c r="R60" s="381">
        <v>6200</v>
      </c>
      <c r="S60" s="381">
        <v>6200</v>
      </c>
      <c r="T60" s="381">
        <v>6200</v>
      </c>
      <c r="U60" s="381">
        <v>68879.45</v>
      </c>
      <c r="V60" s="381">
        <v>-1312.5300000000134</v>
      </c>
    </row>
    <row r="61" spans="2:22">
      <c r="B61" t="s">
        <v>130</v>
      </c>
      <c r="C61" t="s">
        <v>131</v>
      </c>
      <c r="D61" t="s">
        <v>114</v>
      </c>
      <c r="E61">
        <v>9592.0000000000018</v>
      </c>
      <c r="F61">
        <v>9470.880000000001</v>
      </c>
      <c r="H61"/>
      <c r="I61" s="381">
        <v>844.81</v>
      </c>
      <c r="J61" s="381">
        <v>677.12</v>
      </c>
      <c r="K61" s="381">
        <v>754.94</v>
      </c>
      <c r="L61" s="381">
        <v>991.85</v>
      </c>
      <c r="M61" s="381">
        <v>673.53</v>
      </c>
      <c r="N61" s="381">
        <v>720.34</v>
      </c>
      <c r="O61" s="381">
        <v>799.33</v>
      </c>
      <c r="P61" s="381">
        <v>799.33</v>
      </c>
      <c r="Q61" s="381">
        <v>799.33</v>
      </c>
      <c r="R61" s="381">
        <v>799.33</v>
      </c>
      <c r="S61" s="381">
        <v>799.33</v>
      </c>
      <c r="T61" s="381">
        <v>799.37</v>
      </c>
      <c r="U61" s="381">
        <v>9458.61</v>
      </c>
      <c r="V61" s="381">
        <v>-12.270000000000437</v>
      </c>
    </row>
    <row r="62" spans="2:22">
      <c r="B62" t="s">
        <v>132</v>
      </c>
      <c r="C62" t="s">
        <v>133</v>
      </c>
      <c r="D62" t="s">
        <v>54</v>
      </c>
      <c r="H62"/>
      <c r="I62" s="381"/>
      <c r="J62" s="381"/>
      <c r="K62" s="381"/>
      <c r="L62" s="381"/>
      <c r="M62" s="381">
        <v>28.36</v>
      </c>
      <c r="N62" s="381">
        <v>0</v>
      </c>
      <c r="O62" s="381"/>
      <c r="P62" s="381"/>
      <c r="Q62" s="381"/>
      <c r="R62" s="381"/>
      <c r="S62" s="381"/>
      <c r="T62" s="381"/>
      <c r="U62" s="381">
        <v>28.36</v>
      </c>
      <c r="V62" s="381">
        <v>28.36</v>
      </c>
    </row>
    <row r="63" spans="2:22">
      <c r="B63" t="s">
        <v>134</v>
      </c>
      <c r="C63" t="s">
        <v>135</v>
      </c>
      <c r="D63" t="s">
        <v>25</v>
      </c>
      <c r="E63">
        <v>499304.03999999986</v>
      </c>
      <c r="F63">
        <v>502636.17</v>
      </c>
      <c r="H63"/>
      <c r="I63" s="381">
        <v>30113.96</v>
      </c>
      <c r="J63" s="381">
        <v>19240.66</v>
      </c>
      <c r="K63" s="381">
        <v>44681.55</v>
      </c>
      <c r="L63" s="381">
        <v>28059.239999999998</v>
      </c>
      <c r="M63" s="381">
        <v>37177.21</v>
      </c>
      <c r="N63" s="381">
        <v>-26229.880000000005</v>
      </c>
      <c r="O63" s="381">
        <v>11200</v>
      </c>
      <c r="P63" s="381">
        <v>14000</v>
      </c>
      <c r="Q63" s="381">
        <v>11200</v>
      </c>
      <c r="R63" s="381">
        <v>14000</v>
      </c>
      <c r="S63" s="381">
        <v>11200</v>
      </c>
      <c r="T63" s="381">
        <v>12000</v>
      </c>
      <c r="U63" s="381">
        <v>206642.74</v>
      </c>
      <c r="V63" s="381">
        <v>-295993.43</v>
      </c>
    </row>
    <row r="64" spans="2:22">
      <c r="B64" t="s">
        <v>136</v>
      </c>
      <c r="C64" t="s">
        <v>137</v>
      </c>
      <c r="D64" t="s">
        <v>25</v>
      </c>
      <c r="E64">
        <v>216000</v>
      </c>
      <c r="F64">
        <v>178669.02</v>
      </c>
      <c r="H64"/>
      <c r="I64" s="381">
        <v>13712.98</v>
      </c>
      <c r="J64" s="381">
        <v>15359.13</v>
      </c>
      <c r="K64" s="381">
        <v>67493.539999999994</v>
      </c>
      <c r="L64" s="381">
        <v>42271.619999999995</v>
      </c>
      <c r="M64" s="381">
        <v>42271.62000000001</v>
      </c>
      <c r="N64" s="381">
        <v>-40929.350000000006</v>
      </c>
      <c r="O64" s="381"/>
      <c r="P64" s="381"/>
      <c r="Q64" s="381"/>
      <c r="R64" s="381"/>
      <c r="S64" s="381"/>
      <c r="T64" s="381"/>
      <c r="U64" s="381">
        <v>140179.54</v>
      </c>
      <c r="V64" s="381">
        <v>-38489.479999999981</v>
      </c>
    </row>
    <row r="65" spans="2:22">
      <c r="B65" t="s">
        <v>138</v>
      </c>
      <c r="C65" t="s">
        <v>139</v>
      </c>
      <c r="D65" t="s">
        <v>25</v>
      </c>
      <c r="E65">
        <v>96720</v>
      </c>
      <c r="F65">
        <v>96720.44</v>
      </c>
      <c r="H65"/>
      <c r="I65" s="381">
        <v>6643.44</v>
      </c>
      <c r="J65" s="381">
        <v>5644</v>
      </c>
      <c r="K65" s="381">
        <v>8304</v>
      </c>
      <c r="L65" s="381">
        <v>6762</v>
      </c>
      <c r="M65" s="381">
        <v>9499</v>
      </c>
      <c r="N65" s="381">
        <v>8310.9599999999991</v>
      </c>
      <c r="O65" s="381">
        <v>8600</v>
      </c>
      <c r="P65" s="381">
        <v>7900</v>
      </c>
      <c r="Q65" s="381">
        <v>8600</v>
      </c>
      <c r="R65" s="381">
        <v>8600</v>
      </c>
      <c r="S65" s="381">
        <v>8600</v>
      </c>
      <c r="T65" s="381">
        <v>8968</v>
      </c>
      <c r="U65" s="381">
        <v>96431.4</v>
      </c>
      <c r="V65" s="381">
        <v>-289.04000000000815</v>
      </c>
    </row>
    <row r="66" spans="2:22">
      <c r="B66" t="s">
        <v>140</v>
      </c>
      <c r="C66" t="s">
        <v>141</v>
      </c>
      <c r="D66" t="s">
        <v>25</v>
      </c>
      <c r="E66">
        <v>49000</v>
      </c>
      <c r="F66">
        <v>48800.63</v>
      </c>
      <c r="H66"/>
      <c r="I66" s="381">
        <v>3356.36</v>
      </c>
      <c r="J66" s="381">
        <v>3758.72</v>
      </c>
      <c r="K66" s="381">
        <v>4698.63</v>
      </c>
      <c r="L66" s="381">
        <v>3758.8999999999978</v>
      </c>
      <c r="M66" s="381">
        <v>659.46</v>
      </c>
      <c r="N66" s="381">
        <v>4698.630000000001</v>
      </c>
      <c r="O66" s="381">
        <v>0</v>
      </c>
      <c r="P66" s="381">
        <v>0</v>
      </c>
      <c r="Q66" s="381"/>
      <c r="R66" s="381">
        <v>12250</v>
      </c>
      <c r="S66" s="381">
        <v>12250</v>
      </c>
      <c r="T66" s="381">
        <v>8000</v>
      </c>
      <c r="U66" s="381">
        <v>53430.7</v>
      </c>
      <c r="V66" s="381">
        <v>4630.07</v>
      </c>
    </row>
    <row r="67" spans="2:22">
      <c r="B67" t="s">
        <v>142</v>
      </c>
      <c r="C67" t="s">
        <v>143</v>
      </c>
      <c r="D67" t="s">
        <v>25</v>
      </c>
      <c r="E67">
        <v>23000</v>
      </c>
      <c r="F67">
        <v>21621.640000000003</v>
      </c>
      <c r="H67"/>
      <c r="I67" s="381">
        <v>1355</v>
      </c>
      <c r="J67" s="381">
        <v>1517.05</v>
      </c>
      <c r="K67" s="381">
        <v>1896.64</v>
      </c>
      <c r="L67" s="381">
        <v>4517.2999999999993</v>
      </c>
      <c r="M67" s="381">
        <v>-462.13999999999965</v>
      </c>
      <c r="N67" s="381">
        <v>1896.6400000000003</v>
      </c>
      <c r="O67" s="381">
        <v>0</v>
      </c>
      <c r="P67" s="381">
        <v>0</v>
      </c>
      <c r="Q67" s="381"/>
      <c r="R67" s="381">
        <v>9000</v>
      </c>
      <c r="S67" s="381">
        <v>3852.95</v>
      </c>
      <c r="T67" s="381">
        <v>0</v>
      </c>
      <c r="U67" s="381">
        <v>23573.440000000002</v>
      </c>
      <c r="V67" s="381">
        <v>1951.7999999999993</v>
      </c>
    </row>
    <row r="68" spans="2:22" hidden="1">
      <c r="B68" t="s">
        <v>144</v>
      </c>
      <c r="C68" t="s">
        <v>145</v>
      </c>
      <c r="D68" t="s">
        <v>25</v>
      </c>
      <c r="E68">
        <v>1472196</v>
      </c>
      <c r="F68">
        <v>0</v>
      </c>
      <c r="H68"/>
      <c r="I68"/>
      <c r="J68"/>
      <c r="K68"/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557">
        <v>0</v>
      </c>
    </row>
    <row r="69" spans="2:22">
      <c r="B69" t="s">
        <v>146</v>
      </c>
      <c r="C69" t="s">
        <v>147</v>
      </c>
      <c r="D69" t="s">
        <v>25</v>
      </c>
      <c r="E69">
        <v>0</v>
      </c>
      <c r="F69">
        <v>6251.2899999999991</v>
      </c>
      <c r="H69"/>
      <c r="I69" s="381">
        <v>20761.889999999996</v>
      </c>
      <c r="J69" s="381">
        <v>22512.719999999994</v>
      </c>
      <c r="K69" s="381">
        <v>-37023.32</v>
      </c>
      <c r="L69" s="381">
        <v>128.94999999999996</v>
      </c>
      <c r="M69" s="381">
        <v>288.7299999999999</v>
      </c>
      <c r="N69" s="381">
        <v>8316.07</v>
      </c>
      <c r="O69" s="381">
        <v>0</v>
      </c>
      <c r="P69" s="381">
        <v>0</v>
      </c>
      <c r="Q69" s="381">
        <v>0</v>
      </c>
      <c r="R69" s="381">
        <v>0</v>
      </c>
      <c r="S69" s="381">
        <v>0</v>
      </c>
      <c r="T69" s="381">
        <v>0</v>
      </c>
      <c r="U69" s="381">
        <v>14985.04</v>
      </c>
      <c r="V69" s="381">
        <v>8733.75</v>
      </c>
    </row>
    <row r="70" spans="2:22">
      <c r="B70" t="s">
        <v>148</v>
      </c>
      <c r="C70" t="s">
        <v>149</v>
      </c>
      <c r="D70" t="s">
        <v>25</v>
      </c>
      <c r="E70">
        <v>0</v>
      </c>
      <c r="F70">
        <v>-30860.66</v>
      </c>
      <c r="H70"/>
      <c r="I70">
        <v>0.34</v>
      </c>
      <c r="J70">
        <v>-10499.16</v>
      </c>
      <c r="K70">
        <v>-20361.84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-30860.66</v>
      </c>
      <c r="V70" s="557">
        <v>0</v>
      </c>
    </row>
    <row r="71" spans="2:22" hidden="1">
      <c r="B71" t="s">
        <v>150</v>
      </c>
      <c r="C71" t="s">
        <v>151</v>
      </c>
      <c r="D71" t="s">
        <v>152</v>
      </c>
      <c r="E71">
        <v>70000.000000000015</v>
      </c>
      <c r="F71">
        <v>0</v>
      </c>
      <c r="H71"/>
      <c r="I71"/>
      <c r="J71"/>
      <c r="K71"/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557">
        <v>0</v>
      </c>
    </row>
    <row r="72" spans="2:22" hidden="1">
      <c r="B72" t="s">
        <v>153</v>
      </c>
      <c r="C72" t="s">
        <v>154</v>
      </c>
      <c r="D72" t="s">
        <v>152</v>
      </c>
      <c r="E72">
        <v>120000</v>
      </c>
      <c r="F72">
        <v>0</v>
      </c>
      <c r="H72"/>
      <c r="I72"/>
      <c r="J72"/>
      <c r="K72"/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557">
        <v>0</v>
      </c>
    </row>
    <row r="73" spans="2:22" hidden="1">
      <c r="B73" t="s">
        <v>155</v>
      </c>
      <c r="C73" t="s">
        <v>156</v>
      </c>
      <c r="D73" t="s">
        <v>152</v>
      </c>
      <c r="E73">
        <v>70000.000000000015</v>
      </c>
      <c r="F73">
        <v>0</v>
      </c>
      <c r="H73"/>
      <c r="I73"/>
      <c r="J73"/>
      <c r="K73"/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557">
        <v>0</v>
      </c>
    </row>
    <row r="74" spans="2:22" hidden="1">
      <c r="B74" t="s">
        <v>157</v>
      </c>
      <c r="C74" t="s">
        <v>158</v>
      </c>
      <c r="D74" t="s">
        <v>152</v>
      </c>
      <c r="E74">
        <v>140000</v>
      </c>
      <c r="F74">
        <v>0</v>
      </c>
      <c r="H74"/>
      <c r="I74"/>
      <c r="J74"/>
      <c r="K74"/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557">
        <v>0</v>
      </c>
    </row>
    <row r="75" spans="2:22">
      <c r="B75" t="s">
        <v>159</v>
      </c>
      <c r="C75" t="s">
        <v>53</v>
      </c>
      <c r="D75" t="s">
        <v>25</v>
      </c>
      <c r="E75">
        <v>0</v>
      </c>
      <c r="F75">
        <v>130143</v>
      </c>
      <c r="H75"/>
      <c r="I75" s="381">
        <v>91657</v>
      </c>
      <c r="J75" s="381">
        <v>-50311</v>
      </c>
      <c r="K75" s="381">
        <v>88797</v>
      </c>
      <c r="L75" s="381">
        <v>142812</v>
      </c>
      <c r="M75" s="381">
        <v>-181452</v>
      </c>
      <c r="N75" s="381">
        <v>124380</v>
      </c>
      <c r="O75" s="381">
        <v>0</v>
      </c>
      <c r="P75" s="381">
        <v>0</v>
      </c>
      <c r="Q75" s="381">
        <v>0</v>
      </c>
      <c r="R75" s="381">
        <v>0</v>
      </c>
      <c r="S75" s="381">
        <v>0</v>
      </c>
      <c r="T75" s="381">
        <v>38640</v>
      </c>
      <c r="U75" s="381">
        <v>254523</v>
      </c>
      <c r="V75" s="381">
        <v>124380</v>
      </c>
    </row>
    <row r="76" spans="2:22">
      <c r="B76" t="s">
        <v>160</v>
      </c>
      <c r="C76" t="s">
        <v>161</v>
      </c>
      <c r="D76" t="s">
        <v>25</v>
      </c>
      <c r="E76">
        <v>0</v>
      </c>
      <c r="F76">
        <v>0.1499999999996362</v>
      </c>
      <c r="H76"/>
      <c r="I76" s="381"/>
      <c r="J76" s="381">
        <v>-16768</v>
      </c>
      <c r="K76" s="381">
        <v>12756.15</v>
      </c>
      <c r="L76" s="381">
        <v>6266.17</v>
      </c>
      <c r="M76" s="381">
        <v>6266.17</v>
      </c>
      <c r="N76" s="381">
        <v>7832.72</v>
      </c>
      <c r="O76" s="381">
        <v>-8520</v>
      </c>
      <c r="P76" s="381">
        <v>0</v>
      </c>
      <c r="Q76" s="381">
        <v>0</v>
      </c>
      <c r="R76" s="381">
        <v>0</v>
      </c>
      <c r="S76" s="381">
        <v>0</v>
      </c>
      <c r="T76" s="381">
        <v>0</v>
      </c>
      <c r="U76" s="381">
        <v>7833.2099999999991</v>
      </c>
      <c r="V76" s="381">
        <v>7833.0599999999995</v>
      </c>
    </row>
    <row r="77" spans="2:22">
      <c r="B77" t="s">
        <v>162</v>
      </c>
      <c r="C77" t="s">
        <v>163</v>
      </c>
      <c r="D77" t="s">
        <v>25</v>
      </c>
      <c r="E77">
        <v>0</v>
      </c>
      <c r="F77">
        <v>3558.41</v>
      </c>
      <c r="H77"/>
      <c r="I77" s="381">
        <v>3558.41</v>
      </c>
      <c r="J77" s="381">
        <v>0</v>
      </c>
      <c r="K77" s="381">
        <v>0</v>
      </c>
      <c r="L77" s="381">
        <v>0</v>
      </c>
      <c r="M77" s="381">
        <v>0</v>
      </c>
      <c r="N77" s="381">
        <v>0</v>
      </c>
      <c r="O77" s="381">
        <v>0</v>
      </c>
      <c r="P77" s="381">
        <v>0</v>
      </c>
      <c r="Q77" s="381">
        <v>0</v>
      </c>
      <c r="R77" s="381">
        <v>0</v>
      </c>
      <c r="S77" s="381">
        <v>0</v>
      </c>
      <c r="T77" s="381">
        <v>0</v>
      </c>
      <c r="U77" s="381">
        <v>3558.41</v>
      </c>
      <c r="V77" s="381">
        <v>0</v>
      </c>
    </row>
    <row r="78" spans="2:22">
      <c r="B78" t="s">
        <v>164</v>
      </c>
      <c r="C78" t="s">
        <v>165</v>
      </c>
      <c r="D78" t="s">
        <v>152</v>
      </c>
      <c r="E78">
        <v>50000</v>
      </c>
      <c r="F78">
        <v>50000</v>
      </c>
      <c r="H78"/>
      <c r="I78" s="381"/>
      <c r="J78" s="381"/>
      <c r="K78" s="381"/>
      <c r="L78" s="381">
        <v>0</v>
      </c>
      <c r="M78" s="381">
        <v>0</v>
      </c>
      <c r="N78" s="381">
        <v>0</v>
      </c>
      <c r="O78" s="381">
        <v>8520</v>
      </c>
      <c r="P78" s="381">
        <v>10000</v>
      </c>
      <c r="Q78" s="381">
        <v>10000</v>
      </c>
      <c r="R78" s="381">
        <v>10000</v>
      </c>
      <c r="S78" s="381">
        <v>11480</v>
      </c>
      <c r="T78" s="381">
        <v>0</v>
      </c>
      <c r="U78" s="381">
        <v>50000</v>
      </c>
      <c r="V78" s="381">
        <v>0</v>
      </c>
    </row>
    <row r="79" spans="2:22">
      <c r="B79" t="s">
        <v>166</v>
      </c>
      <c r="C79" t="s">
        <v>167</v>
      </c>
      <c r="D79" t="s">
        <v>25</v>
      </c>
      <c r="E79">
        <v>6000</v>
      </c>
      <c r="F79">
        <v>6000</v>
      </c>
      <c r="H79"/>
      <c r="I79" s="381"/>
      <c r="J79" s="381"/>
      <c r="K79" s="381"/>
      <c r="L79" s="381">
        <v>0</v>
      </c>
      <c r="M79" s="381">
        <v>0</v>
      </c>
      <c r="N79" s="381">
        <v>0</v>
      </c>
      <c r="O79" s="381"/>
      <c r="P79" s="381"/>
      <c r="Q79" s="381">
        <v>6000</v>
      </c>
      <c r="R79" s="381">
        <v>0</v>
      </c>
      <c r="S79" s="381">
        <v>0</v>
      </c>
      <c r="T79" s="381">
        <v>0</v>
      </c>
      <c r="U79" s="381">
        <v>6000</v>
      </c>
      <c r="V79" s="381">
        <v>0</v>
      </c>
    </row>
    <row r="80" spans="2:22">
      <c r="B80" t="s">
        <v>168</v>
      </c>
      <c r="C80" t="s">
        <v>169</v>
      </c>
      <c r="D80" t="s">
        <v>25</v>
      </c>
      <c r="E80">
        <v>6000</v>
      </c>
      <c r="F80">
        <v>6000</v>
      </c>
      <c r="H80"/>
      <c r="I80" s="381"/>
      <c r="J80" s="381"/>
      <c r="K80" s="381"/>
      <c r="L80" s="381">
        <v>0</v>
      </c>
      <c r="M80" s="381">
        <v>0</v>
      </c>
      <c r="N80" s="381">
        <v>0</v>
      </c>
      <c r="O80" s="381"/>
      <c r="P80" s="381"/>
      <c r="Q80" s="381">
        <v>6000</v>
      </c>
      <c r="R80" s="381">
        <v>0</v>
      </c>
      <c r="S80" s="381">
        <v>0</v>
      </c>
      <c r="T80" s="381">
        <v>0</v>
      </c>
      <c r="U80" s="381">
        <v>6000</v>
      </c>
      <c r="V80" s="381">
        <v>0</v>
      </c>
    </row>
    <row r="81" spans="2:22">
      <c r="B81" t="s">
        <v>170</v>
      </c>
      <c r="C81" t="s">
        <v>171</v>
      </c>
      <c r="D81" t="s">
        <v>25</v>
      </c>
      <c r="E81">
        <v>45000</v>
      </c>
      <c r="F81">
        <v>45000</v>
      </c>
      <c r="H81"/>
      <c r="I81"/>
      <c r="J81"/>
      <c r="K81"/>
      <c r="L81">
        <v>0</v>
      </c>
      <c r="M81">
        <v>0</v>
      </c>
      <c r="N81">
        <v>0</v>
      </c>
      <c r="O81"/>
      <c r="P81"/>
      <c r="Q81">
        <v>45000</v>
      </c>
      <c r="R81">
        <v>0</v>
      </c>
      <c r="S81">
        <v>0</v>
      </c>
      <c r="T81">
        <v>0</v>
      </c>
      <c r="U81">
        <v>45000</v>
      </c>
      <c r="V81" s="557">
        <v>0</v>
      </c>
    </row>
    <row r="82" spans="2:22">
      <c r="B82" t="s">
        <v>172</v>
      </c>
      <c r="C82" t="s">
        <v>173</v>
      </c>
      <c r="D82" t="s">
        <v>25</v>
      </c>
      <c r="E82">
        <v>515000</v>
      </c>
      <c r="F82">
        <v>335362.38</v>
      </c>
      <c r="H82"/>
      <c r="I82" s="381"/>
      <c r="J82" s="381">
        <v>66916.990000000005</v>
      </c>
      <c r="K82" s="381">
        <v>75010.39</v>
      </c>
      <c r="L82" s="381">
        <v>45158.709999999992</v>
      </c>
      <c r="M82" s="381">
        <v>45158.710000000006</v>
      </c>
      <c r="N82" s="381">
        <v>56448.39</v>
      </c>
      <c r="O82" s="381">
        <v>25000</v>
      </c>
      <c r="P82" s="381">
        <v>22236</v>
      </c>
      <c r="Q82" s="381">
        <v>0</v>
      </c>
      <c r="R82" s="381">
        <v>0</v>
      </c>
      <c r="S82" s="381">
        <v>0</v>
      </c>
      <c r="T82" s="381">
        <v>0</v>
      </c>
      <c r="U82" s="381">
        <v>335929.19</v>
      </c>
      <c r="V82" s="381">
        <v>566.80999999999767</v>
      </c>
    </row>
    <row r="83" spans="2:22" hidden="1">
      <c r="B83" t="s">
        <v>174</v>
      </c>
      <c r="C83" t="s">
        <v>175</v>
      </c>
      <c r="D83" t="s">
        <v>25</v>
      </c>
      <c r="E83">
        <v>0</v>
      </c>
      <c r="F83">
        <v>0</v>
      </c>
      <c r="H83"/>
      <c r="I83"/>
      <c r="J83"/>
      <c r="K83"/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557">
        <v>0</v>
      </c>
    </row>
    <row r="84" spans="2:22">
      <c r="B84" t="s">
        <v>176</v>
      </c>
      <c r="C84" t="s">
        <v>177</v>
      </c>
      <c r="D84" t="s">
        <v>25</v>
      </c>
      <c r="E84">
        <v>1452300</v>
      </c>
      <c r="F84">
        <v>963567.79</v>
      </c>
      <c r="H84"/>
      <c r="I84" s="381">
        <v>48462.57</v>
      </c>
      <c r="J84" s="381">
        <v>207334.66</v>
      </c>
      <c r="K84" s="381">
        <v>98620.56</v>
      </c>
      <c r="L84" s="381">
        <v>116861</v>
      </c>
      <c r="M84" s="381">
        <v>28181.629999999976</v>
      </c>
      <c r="N84" s="381">
        <v>293546.2</v>
      </c>
      <c r="O84" s="381">
        <v>70000</v>
      </c>
      <c r="P84" s="381">
        <v>70000</v>
      </c>
      <c r="Q84" s="381">
        <v>70000</v>
      </c>
      <c r="R84" s="381">
        <v>70000</v>
      </c>
      <c r="S84" s="381">
        <v>70000</v>
      </c>
      <c r="T84" s="381">
        <v>54107</v>
      </c>
      <c r="U84" s="381">
        <v>1197113.6200000001</v>
      </c>
      <c r="V84" s="381">
        <v>233545.83000000007</v>
      </c>
    </row>
    <row r="85" spans="2:22">
      <c r="B85" t="s">
        <v>178</v>
      </c>
      <c r="C85" t="s">
        <v>179</v>
      </c>
      <c r="D85" t="s">
        <v>25</v>
      </c>
      <c r="E85">
        <v>486372.24000000005</v>
      </c>
      <c r="F85">
        <v>426376.62</v>
      </c>
      <c r="H85"/>
      <c r="I85" s="381">
        <v>58570.53</v>
      </c>
      <c r="J85" s="381">
        <v>65599.81</v>
      </c>
      <c r="K85" s="381">
        <v>81999.28</v>
      </c>
      <c r="L85" s="381">
        <v>65599.430000000008</v>
      </c>
      <c r="M85" s="381">
        <v>65599.420000000013</v>
      </c>
      <c r="N85" s="381">
        <v>66848.250000000015</v>
      </c>
      <c r="O85" s="381">
        <v>11682</v>
      </c>
      <c r="P85" s="381">
        <v>0</v>
      </c>
      <c r="Q85" s="381">
        <v>0</v>
      </c>
      <c r="R85" s="381">
        <v>0</v>
      </c>
      <c r="S85" s="381">
        <v>0</v>
      </c>
      <c r="T85" s="381">
        <v>0</v>
      </c>
      <c r="U85" s="381">
        <v>415898.72</v>
      </c>
      <c r="V85" s="381">
        <v>-10477.900000000023</v>
      </c>
    </row>
    <row r="86" spans="2:22">
      <c r="B86" t="s">
        <v>180</v>
      </c>
      <c r="C86" t="s">
        <v>181</v>
      </c>
      <c r="D86" t="s">
        <v>119</v>
      </c>
      <c r="E86">
        <v>50000</v>
      </c>
      <c r="F86">
        <v>50000</v>
      </c>
      <c r="H86"/>
      <c r="I86" s="381"/>
      <c r="J86" s="381"/>
      <c r="K86" s="381"/>
      <c r="L86" s="381">
        <v>0</v>
      </c>
      <c r="M86" s="381">
        <v>0</v>
      </c>
      <c r="N86" s="381">
        <v>0</v>
      </c>
      <c r="O86" s="381"/>
      <c r="P86" s="381">
        <v>50000</v>
      </c>
      <c r="Q86" s="381">
        <v>0</v>
      </c>
      <c r="R86" s="381">
        <v>0</v>
      </c>
      <c r="S86" s="381">
        <v>0</v>
      </c>
      <c r="T86" s="381">
        <v>0</v>
      </c>
      <c r="U86" s="381">
        <v>50000</v>
      </c>
      <c r="V86" s="381">
        <v>0</v>
      </c>
    </row>
    <row r="87" spans="2:22">
      <c r="B87" t="s">
        <v>182</v>
      </c>
      <c r="C87" t="s">
        <v>183</v>
      </c>
      <c r="D87" t="s">
        <v>119</v>
      </c>
      <c r="E87">
        <v>25000</v>
      </c>
      <c r="F87">
        <v>25000</v>
      </c>
      <c r="H87"/>
      <c r="I87" s="381"/>
      <c r="J87" s="381"/>
      <c r="K87" s="381"/>
      <c r="L87" s="381">
        <v>0</v>
      </c>
      <c r="M87" s="381">
        <v>0</v>
      </c>
      <c r="N87" s="381">
        <v>0</v>
      </c>
      <c r="O87" s="381"/>
      <c r="P87" s="381">
        <v>25000</v>
      </c>
      <c r="Q87" s="381">
        <v>0</v>
      </c>
      <c r="R87" s="381">
        <v>0</v>
      </c>
      <c r="S87" s="381">
        <v>0</v>
      </c>
      <c r="T87" s="381">
        <v>0</v>
      </c>
      <c r="U87" s="381">
        <v>25000</v>
      </c>
      <c r="V87" s="381">
        <v>0</v>
      </c>
    </row>
    <row r="88" spans="2:22">
      <c r="B88" t="s">
        <v>184</v>
      </c>
      <c r="C88" t="s">
        <v>185</v>
      </c>
      <c r="D88" t="s">
        <v>25</v>
      </c>
      <c r="E88">
        <v>47697</v>
      </c>
      <c r="F88">
        <v>53620</v>
      </c>
      <c r="H88"/>
      <c r="I88" s="381"/>
      <c r="J88" s="381"/>
      <c r="K88" s="381"/>
      <c r="L88" s="381">
        <v>0</v>
      </c>
      <c r="M88" s="381">
        <v>5850</v>
      </c>
      <c r="N88" s="381">
        <v>0</v>
      </c>
      <c r="O88" s="381">
        <v>20000</v>
      </c>
      <c r="P88" s="381">
        <v>11847</v>
      </c>
      <c r="Q88" s="381"/>
      <c r="R88" s="381">
        <v>0</v>
      </c>
      <c r="S88" s="381">
        <v>0</v>
      </c>
      <c r="T88" s="381">
        <v>0</v>
      </c>
      <c r="U88" s="381">
        <v>37697</v>
      </c>
      <c r="V88" s="381">
        <v>-15923</v>
      </c>
    </row>
    <row r="89" spans="2:22" hidden="1">
      <c r="B89" t="s">
        <v>186</v>
      </c>
      <c r="C89" t="s">
        <v>187</v>
      </c>
      <c r="D89" t="s">
        <v>188</v>
      </c>
      <c r="E89">
        <v>25200</v>
      </c>
      <c r="F89">
        <v>0</v>
      </c>
      <c r="H89"/>
      <c r="I89" s="381"/>
      <c r="J89" s="381"/>
      <c r="K89" s="381"/>
      <c r="L89" s="381">
        <v>0</v>
      </c>
      <c r="M89" s="381">
        <v>0</v>
      </c>
      <c r="N89" s="381">
        <v>0</v>
      </c>
      <c r="O89" s="381">
        <v>0</v>
      </c>
      <c r="P89" s="381">
        <v>0</v>
      </c>
      <c r="Q89" s="381">
        <v>0</v>
      </c>
      <c r="R89" s="381">
        <v>0</v>
      </c>
      <c r="S89" s="381">
        <v>0</v>
      </c>
      <c r="T89" s="381">
        <v>0</v>
      </c>
      <c r="U89" s="381">
        <v>0</v>
      </c>
      <c r="V89" s="381">
        <v>0</v>
      </c>
    </row>
    <row r="90" spans="2:22">
      <c r="B90" t="s">
        <v>189</v>
      </c>
      <c r="C90" t="s">
        <v>190</v>
      </c>
      <c r="D90" t="s">
        <v>25</v>
      </c>
      <c r="E90">
        <v>1129982.58</v>
      </c>
      <c r="F90">
        <v>874707.09</v>
      </c>
      <c r="H90"/>
      <c r="I90" s="381">
        <v>77285</v>
      </c>
      <c r="J90" s="381">
        <v>177053.54</v>
      </c>
      <c r="K90" s="381">
        <v>-2920.45</v>
      </c>
      <c r="L90" s="381">
        <v>86558.849999999991</v>
      </c>
      <c r="M90" s="381">
        <v>86558.85</v>
      </c>
      <c r="N90" s="381">
        <v>98924.389999999985</v>
      </c>
      <c r="O90" s="381">
        <v>62406</v>
      </c>
      <c r="P90" s="381">
        <v>62406</v>
      </c>
      <c r="Q90" s="381">
        <v>62406</v>
      </c>
      <c r="R90" s="381">
        <v>55438</v>
      </c>
      <c r="S90" s="381">
        <v>55438</v>
      </c>
      <c r="T90" s="381">
        <v>55438</v>
      </c>
      <c r="U90" s="381">
        <v>876992.18</v>
      </c>
      <c r="V90" s="381">
        <v>2285.0900000000838</v>
      </c>
    </row>
    <row r="91" spans="2:22">
      <c r="B91" t="s">
        <v>191</v>
      </c>
      <c r="C91" t="s">
        <v>192</v>
      </c>
      <c r="D91" t="s">
        <v>25</v>
      </c>
      <c r="E91">
        <v>513000</v>
      </c>
      <c r="F91">
        <v>384928.75</v>
      </c>
      <c r="H91"/>
      <c r="I91" s="381">
        <v>98474.5</v>
      </c>
      <c r="J91" s="381">
        <v>-21757.25</v>
      </c>
      <c r="K91" s="381">
        <v>-81628.5</v>
      </c>
      <c r="L91" s="381">
        <v>-18382.5</v>
      </c>
      <c r="M91" s="381">
        <v>0</v>
      </c>
      <c r="N91" s="381">
        <v>0</v>
      </c>
      <c r="O91" s="381">
        <v>69140</v>
      </c>
      <c r="P91" s="381">
        <v>69140</v>
      </c>
      <c r="Q91" s="381">
        <v>69140</v>
      </c>
      <c r="R91" s="381">
        <v>69140</v>
      </c>
      <c r="S91" s="381">
        <v>69140</v>
      </c>
      <c r="T91" s="381">
        <v>62523</v>
      </c>
      <c r="U91" s="381">
        <v>384929.25</v>
      </c>
      <c r="V91" s="381">
        <v>0.5</v>
      </c>
    </row>
    <row r="92" spans="2:22">
      <c r="B92" t="s">
        <v>193</v>
      </c>
      <c r="C92" t="s">
        <v>194</v>
      </c>
      <c r="D92" t="s">
        <v>25</v>
      </c>
      <c r="E92">
        <v>0</v>
      </c>
      <c r="F92">
        <v>3710</v>
      </c>
      <c r="H92"/>
      <c r="I92" s="381"/>
      <c r="J92" s="381">
        <v>3710</v>
      </c>
      <c r="K92" s="381">
        <v>0</v>
      </c>
      <c r="L92" s="381">
        <v>0</v>
      </c>
      <c r="M92" s="381">
        <v>0</v>
      </c>
      <c r="N92" s="381">
        <v>0</v>
      </c>
      <c r="O92" s="381">
        <v>0</v>
      </c>
      <c r="P92" s="381">
        <v>0</v>
      </c>
      <c r="Q92" s="381">
        <v>0</v>
      </c>
      <c r="R92" s="381">
        <v>0</v>
      </c>
      <c r="S92" s="381">
        <v>0</v>
      </c>
      <c r="T92" s="381">
        <v>0</v>
      </c>
      <c r="U92" s="381">
        <v>3710</v>
      </c>
      <c r="V92" s="381">
        <v>0</v>
      </c>
    </row>
    <row r="93" spans="2:22" hidden="1">
      <c r="B93" t="s">
        <v>195</v>
      </c>
      <c r="C93" t="s">
        <v>147</v>
      </c>
      <c r="D93" t="s">
        <v>25</v>
      </c>
      <c r="E93">
        <v>0</v>
      </c>
      <c r="F93">
        <v>-0.47</v>
      </c>
      <c r="H93"/>
      <c r="I93" s="381">
        <v>-0.28999999999999998</v>
      </c>
      <c r="J93" s="381">
        <v>0.43</v>
      </c>
      <c r="K93" s="381">
        <v>-0.61</v>
      </c>
      <c r="L93" s="381">
        <v>0.34</v>
      </c>
      <c r="M93" s="381">
        <v>0.22</v>
      </c>
      <c r="N93" s="381">
        <v>0.05</v>
      </c>
      <c r="O93" s="381">
        <v>0</v>
      </c>
      <c r="P93" s="381">
        <v>0</v>
      </c>
      <c r="Q93" s="381">
        <v>0</v>
      </c>
      <c r="R93" s="381">
        <v>0</v>
      </c>
      <c r="S93" s="381">
        <v>0</v>
      </c>
      <c r="T93" s="381">
        <v>0</v>
      </c>
      <c r="U93" s="381">
        <v>0.14000000000000007</v>
      </c>
      <c r="V93" s="381">
        <v>0.6100000000000001</v>
      </c>
    </row>
    <row r="94" spans="2:22">
      <c r="B94" t="s">
        <v>196</v>
      </c>
      <c r="C94" t="s">
        <v>149</v>
      </c>
      <c r="D94" t="s">
        <v>25</v>
      </c>
      <c r="E94">
        <v>0</v>
      </c>
      <c r="F94">
        <v>-8178.7199999999993</v>
      </c>
      <c r="H94"/>
      <c r="I94" s="381">
        <v>-879.72</v>
      </c>
      <c r="J94" s="381">
        <v>-0.18</v>
      </c>
      <c r="K94" s="381">
        <v>-7298.82</v>
      </c>
      <c r="L94" s="381">
        <v>0</v>
      </c>
      <c r="M94" s="381">
        <v>0</v>
      </c>
      <c r="N94" s="381">
        <v>0</v>
      </c>
      <c r="O94" s="381">
        <v>0</v>
      </c>
      <c r="P94" s="381">
        <v>0</v>
      </c>
      <c r="Q94" s="381">
        <v>0</v>
      </c>
      <c r="R94" s="381">
        <v>0</v>
      </c>
      <c r="S94" s="381">
        <v>0</v>
      </c>
      <c r="T94" s="381">
        <v>0</v>
      </c>
      <c r="U94" s="381">
        <v>-8178.7199999999993</v>
      </c>
      <c r="V94" s="381">
        <v>0</v>
      </c>
    </row>
    <row r="95" spans="2:22" hidden="1">
      <c r="B95" t="s">
        <v>197</v>
      </c>
      <c r="C95" t="s">
        <v>51</v>
      </c>
      <c r="D95" t="s">
        <v>25</v>
      </c>
      <c r="E95">
        <v>437.38</v>
      </c>
      <c r="F95">
        <v>0</v>
      </c>
      <c r="H95"/>
      <c r="I95" s="381"/>
      <c r="J95" s="381"/>
      <c r="K95" s="381"/>
      <c r="L95" s="381">
        <v>0</v>
      </c>
      <c r="M95" s="381">
        <v>0</v>
      </c>
      <c r="N95" s="381">
        <v>0</v>
      </c>
      <c r="O95" s="381">
        <v>0</v>
      </c>
      <c r="P95" s="381">
        <v>0</v>
      </c>
      <c r="Q95" s="381">
        <v>0</v>
      </c>
      <c r="R95" s="381">
        <v>0</v>
      </c>
      <c r="S95" s="381">
        <v>0</v>
      </c>
      <c r="T95" s="381">
        <v>0</v>
      </c>
      <c r="U95" s="381">
        <v>0</v>
      </c>
      <c r="V95" s="381">
        <v>0</v>
      </c>
    </row>
    <row r="96" spans="2:22">
      <c r="B96" t="s">
        <v>198</v>
      </c>
      <c r="C96" t="s">
        <v>53</v>
      </c>
      <c r="D96" t="s">
        <v>25</v>
      </c>
      <c r="E96">
        <v>0</v>
      </c>
      <c r="F96">
        <v>0</v>
      </c>
      <c r="H96"/>
      <c r="I96" s="381">
        <v>579568</v>
      </c>
      <c r="J96" s="381">
        <v>-598991</v>
      </c>
      <c r="K96" s="381">
        <v>-317436</v>
      </c>
      <c r="L96" s="381">
        <v>577046</v>
      </c>
      <c r="M96" s="381">
        <v>-397395</v>
      </c>
      <c r="N96" s="381">
        <v>179883.00000000012</v>
      </c>
      <c r="O96" s="381"/>
      <c r="P96" s="381"/>
      <c r="Q96" s="381"/>
      <c r="R96" s="381"/>
      <c r="S96" s="381"/>
      <c r="T96" s="381"/>
      <c r="U96" s="381">
        <v>22675.000000000116</v>
      </c>
      <c r="V96" s="381">
        <v>22675.000000000116</v>
      </c>
    </row>
    <row r="97" spans="2:22">
      <c r="B97" t="s">
        <v>199</v>
      </c>
      <c r="C97" t="s">
        <v>56</v>
      </c>
      <c r="D97" t="s">
        <v>57</v>
      </c>
      <c r="E97">
        <v>24000</v>
      </c>
      <c r="F97">
        <v>18457.8</v>
      </c>
      <c r="H97"/>
      <c r="I97" s="381">
        <v>366.24</v>
      </c>
      <c r="J97" s="381">
        <v>0</v>
      </c>
      <c r="K97" s="381">
        <v>91.56</v>
      </c>
      <c r="L97" s="381">
        <v>0</v>
      </c>
      <c r="M97" s="381">
        <v>0</v>
      </c>
      <c r="N97" s="381">
        <v>0</v>
      </c>
      <c r="O97" s="381">
        <v>2000</v>
      </c>
      <c r="P97" s="381">
        <v>2000</v>
      </c>
      <c r="Q97" s="381">
        <v>2000</v>
      </c>
      <c r="R97" s="381">
        <v>2000</v>
      </c>
      <c r="S97" s="381">
        <v>2000</v>
      </c>
      <c r="T97" s="381">
        <v>2000</v>
      </c>
      <c r="U97" s="381">
        <v>12457.8</v>
      </c>
      <c r="V97" s="381">
        <v>-6000</v>
      </c>
    </row>
    <row r="98" spans="2:22">
      <c r="B98" t="s">
        <v>200</v>
      </c>
      <c r="C98" t="s">
        <v>201</v>
      </c>
      <c r="D98" t="s">
        <v>54</v>
      </c>
      <c r="H98"/>
      <c r="I98" s="381"/>
      <c r="J98" s="381"/>
      <c r="K98" s="381"/>
      <c r="L98" s="381"/>
      <c r="M98" s="381">
        <v>50000</v>
      </c>
      <c r="N98" s="381">
        <v>0</v>
      </c>
      <c r="O98" s="381"/>
      <c r="P98" s="381">
        <v>50000</v>
      </c>
      <c r="Q98" s="381"/>
      <c r="R98" s="381">
        <v>50000</v>
      </c>
      <c r="S98" s="381"/>
      <c r="T98" s="381"/>
      <c r="U98" s="381">
        <v>150000</v>
      </c>
      <c r="V98" s="381">
        <v>150000</v>
      </c>
    </row>
    <row r="99" spans="2:22" hidden="1">
      <c r="B99" t="s">
        <v>202</v>
      </c>
      <c r="C99" t="s">
        <v>147</v>
      </c>
      <c r="D99" t="s">
        <v>25</v>
      </c>
      <c r="E99">
        <v>0</v>
      </c>
      <c r="F99">
        <v>0.33999999999999997</v>
      </c>
      <c r="H99"/>
      <c r="I99" s="381">
        <v>-0.1</v>
      </c>
      <c r="J99" s="381">
        <v>0</v>
      </c>
      <c r="K99" s="381">
        <v>0.44</v>
      </c>
      <c r="L99" s="381">
        <v>0</v>
      </c>
      <c r="M99" s="381">
        <v>0</v>
      </c>
      <c r="N99" s="381">
        <v>0</v>
      </c>
      <c r="O99" s="381">
        <v>0</v>
      </c>
      <c r="P99" s="381">
        <v>0</v>
      </c>
      <c r="Q99" s="381">
        <v>0</v>
      </c>
      <c r="R99" s="381">
        <v>0</v>
      </c>
      <c r="S99" s="381">
        <v>0</v>
      </c>
      <c r="T99" s="381">
        <v>0</v>
      </c>
      <c r="U99" s="381">
        <v>0.33999999999999997</v>
      </c>
      <c r="V99" s="381">
        <v>0</v>
      </c>
    </row>
    <row r="100" spans="2:22" hidden="1">
      <c r="D100" t="s">
        <v>54</v>
      </c>
      <c r="H100"/>
      <c r="I100" s="381"/>
      <c r="J100" s="381"/>
      <c r="K100" s="381"/>
      <c r="L100" s="381"/>
      <c r="M100" s="381">
        <v>0</v>
      </c>
      <c r="N100" s="381">
        <v>0</v>
      </c>
      <c r="O100" s="381"/>
      <c r="P100" s="381"/>
      <c r="Q100" s="381"/>
      <c r="R100" s="381"/>
      <c r="S100" s="381"/>
      <c r="T100" s="381"/>
      <c r="U100" s="381">
        <v>0</v>
      </c>
      <c r="V100" s="381">
        <v>0</v>
      </c>
    </row>
    <row r="101" spans="2:22">
      <c r="B101" t="s">
        <v>203</v>
      </c>
      <c r="C101" t="s">
        <v>149</v>
      </c>
      <c r="D101" t="s">
        <v>25</v>
      </c>
      <c r="E101">
        <v>0</v>
      </c>
      <c r="F101">
        <v>-4133.1400000000003</v>
      </c>
      <c r="H101"/>
      <c r="I101" s="381">
        <v>-4133.1400000000003</v>
      </c>
      <c r="J101" s="381">
        <v>0</v>
      </c>
      <c r="K101" s="381">
        <v>0</v>
      </c>
      <c r="L101" s="381">
        <v>0</v>
      </c>
      <c r="M101" s="381">
        <v>0</v>
      </c>
      <c r="N101" s="381">
        <v>0</v>
      </c>
      <c r="O101" s="381">
        <v>0</v>
      </c>
      <c r="P101" s="381">
        <v>0</v>
      </c>
      <c r="Q101" s="381">
        <v>0</v>
      </c>
      <c r="R101" s="381">
        <v>0</v>
      </c>
      <c r="S101" s="381">
        <v>0</v>
      </c>
      <c r="T101" s="381">
        <v>0</v>
      </c>
      <c r="U101" s="381">
        <v>-4133.1400000000003</v>
      </c>
      <c r="V101" s="381">
        <v>0</v>
      </c>
    </row>
    <row r="102" spans="2:22">
      <c r="B102" t="s">
        <v>204</v>
      </c>
      <c r="C102" t="s">
        <v>56</v>
      </c>
      <c r="D102" t="s">
        <v>57</v>
      </c>
      <c r="E102">
        <v>0</v>
      </c>
      <c r="F102">
        <v>2893.46</v>
      </c>
      <c r="H102"/>
      <c r="I102" s="381">
        <v>183.12</v>
      </c>
      <c r="J102" s="381">
        <v>1029.04</v>
      </c>
      <c r="K102" s="381">
        <v>1681.3</v>
      </c>
      <c r="L102" s="381">
        <v>1593.8</v>
      </c>
      <c r="M102" s="381">
        <v>85.08</v>
      </c>
      <c r="N102" s="381">
        <v>0</v>
      </c>
      <c r="O102" s="381">
        <v>0</v>
      </c>
      <c r="P102" s="381">
        <v>0</v>
      </c>
      <c r="Q102" s="381">
        <v>0</v>
      </c>
      <c r="R102" s="381">
        <v>0</v>
      </c>
      <c r="S102" s="381">
        <v>0</v>
      </c>
      <c r="T102" s="381">
        <v>0</v>
      </c>
      <c r="U102" s="381">
        <v>4572.34</v>
      </c>
      <c r="V102" s="381">
        <v>1678.88</v>
      </c>
    </row>
    <row r="103" spans="2:22">
      <c r="B103" t="s">
        <v>205</v>
      </c>
      <c r="C103" t="s">
        <v>206</v>
      </c>
      <c r="D103" t="s">
        <v>25</v>
      </c>
      <c r="E103">
        <v>400000</v>
      </c>
      <c r="F103">
        <v>300897.52</v>
      </c>
      <c r="H103"/>
      <c r="I103" s="381">
        <v>123337.5</v>
      </c>
      <c r="J103" s="381">
        <v>19442.91</v>
      </c>
      <c r="K103" s="381">
        <v>113117.11</v>
      </c>
      <c r="L103" s="381">
        <v>5172.1500000000306</v>
      </c>
      <c r="M103" s="381">
        <v>-24184.46000000001</v>
      </c>
      <c r="N103" s="381">
        <v>-229891</v>
      </c>
      <c r="O103" s="381">
        <v>-13416</v>
      </c>
      <c r="P103" s="381">
        <v>61248</v>
      </c>
      <c r="Q103" s="381">
        <v>61248</v>
      </c>
      <c r="R103" s="381">
        <v>61248</v>
      </c>
      <c r="S103" s="381">
        <v>61248</v>
      </c>
      <c r="T103" s="381">
        <v>61248</v>
      </c>
      <c r="U103" s="381">
        <v>299818.21000000002</v>
      </c>
      <c r="V103" s="381">
        <v>-1079.3099999999977</v>
      </c>
    </row>
    <row r="104" spans="2:22">
      <c r="B104" t="s">
        <v>207</v>
      </c>
      <c r="C104" t="s">
        <v>208</v>
      </c>
      <c r="D104" t="s">
        <v>25</v>
      </c>
      <c r="E104">
        <v>270000</v>
      </c>
      <c r="F104">
        <v>201492</v>
      </c>
      <c r="H104"/>
      <c r="I104" s="381">
        <v>-5507.82</v>
      </c>
      <c r="J104" s="381">
        <v>-0.18</v>
      </c>
      <c r="K104" s="381">
        <v>0</v>
      </c>
      <c r="L104" s="381">
        <v>92692.25</v>
      </c>
      <c r="M104" s="381">
        <v>25462.14</v>
      </c>
      <c r="N104" s="381">
        <v>31827.680000000008</v>
      </c>
      <c r="O104" s="381">
        <v>0</v>
      </c>
      <c r="P104" s="381">
        <v>5434</v>
      </c>
      <c r="Q104" s="381">
        <v>12523</v>
      </c>
      <c r="R104" s="381">
        <v>12523</v>
      </c>
      <c r="S104" s="381">
        <v>12523</v>
      </c>
      <c r="T104" s="381">
        <v>12523</v>
      </c>
      <c r="U104" s="381">
        <v>200000.07</v>
      </c>
      <c r="V104" s="381">
        <v>-1491.929999999993</v>
      </c>
    </row>
    <row r="105" spans="2:22">
      <c r="B105" t="s">
        <v>209</v>
      </c>
      <c r="C105" t="s">
        <v>210</v>
      </c>
      <c r="D105" t="s">
        <v>25</v>
      </c>
      <c r="E105">
        <v>100000</v>
      </c>
      <c r="F105">
        <v>66000</v>
      </c>
      <c r="H105"/>
      <c r="I105" s="381"/>
      <c r="J105" s="381"/>
      <c r="K105" s="381"/>
      <c r="L105" s="381">
        <v>0</v>
      </c>
      <c r="M105" s="381">
        <v>0</v>
      </c>
      <c r="N105" s="381">
        <v>0</v>
      </c>
      <c r="O105" s="381">
        <v>0</v>
      </c>
      <c r="P105" s="381">
        <v>12000</v>
      </c>
      <c r="Q105" s="381">
        <v>13500</v>
      </c>
      <c r="R105" s="381">
        <v>13500</v>
      </c>
      <c r="S105" s="381">
        <v>13500</v>
      </c>
      <c r="T105" s="381">
        <v>13500</v>
      </c>
      <c r="U105" s="381">
        <v>66000</v>
      </c>
      <c r="V105" s="381">
        <v>0</v>
      </c>
    </row>
    <row r="106" spans="2:22">
      <c r="B106" t="s">
        <v>211</v>
      </c>
      <c r="C106" t="s">
        <v>212</v>
      </c>
      <c r="D106" t="s">
        <v>25</v>
      </c>
      <c r="E106">
        <v>70000</v>
      </c>
      <c r="F106">
        <v>40000</v>
      </c>
      <c r="H106"/>
      <c r="I106" s="381"/>
      <c r="J106" s="381"/>
      <c r="K106" s="381"/>
      <c r="L106" s="381">
        <v>0</v>
      </c>
      <c r="M106" s="381">
        <v>0</v>
      </c>
      <c r="N106" s="381">
        <v>0</v>
      </c>
      <c r="O106" s="381">
        <v>0</v>
      </c>
      <c r="P106" s="381">
        <v>9500</v>
      </c>
      <c r="Q106" s="381">
        <v>0</v>
      </c>
      <c r="R106" s="381">
        <v>20000</v>
      </c>
      <c r="S106" s="381">
        <v>0</v>
      </c>
      <c r="T106" s="381">
        <v>20000</v>
      </c>
      <c r="U106" s="381">
        <v>49500</v>
      </c>
      <c r="V106" s="381">
        <v>9500</v>
      </c>
    </row>
    <row r="107" spans="2:22" hidden="1">
      <c r="B107" t="s">
        <v>213</v>
      </c>
      <c r="C107" t="s">
        <v>214</v>
      </c>
      <c r="D107" t="s">
        <v>188</v>
      </c>
      <c r="E107">
        <v>35000</v>
      </c>
      <c r="F107">
        <v>0</v>
      </c>
      <c r="H107"/>
      <c r="I107"/>
      <c r="J107"/>
      <c r="K107"/>
      <c r="L107">
        <v>0</v>
      </c>
      <c r="M107">
        <v>0</v>
      </c>
      <c r="N107">
        <v>0</v>
      </c>
      <c r="O107"/>
      <c r="P107"/>
      <c r="Q107"/>
      <c r="R107"/>
      <c r="S107"/>
      <c r="T107"/>
      <c r="U107">
        <v>0</v>
      </c>
      <c r="V107" s="557">
        <v>0</v>
      </c>
    </row>
    <row r="108" spans="2:22">
      <c r="B108" t="s">
        <v>215</v>
      </c>
      <c r="C108" t="s">
        <v>216</v>
      </c>
      <c r="D108" t="s">
        <v>217</v>
      </c>
      <c r="E108">
        <v>6000</v>
      </c>
      <c r="F108">
        <v>0</v>
      </c>
      <c r="H108"/>
      <c r="I108" s="381"/>
      <c r="J108" s="381"/>
      <c r="K108" s="381"/>
      <c r="L108" s="381">
        <v>0</v>
      </c>
      <c r="M108" s="381">
        <v>79.41</v>
      </c>
      <c r="N108" s="381">
        <v>0</v>
      </c>
      <c r="O108" s="381"/>
      <c r="P108" s="381"/>
      <c r="Q108" s="381"/>
      <c r="R108" s="381"/>
      <c r="S108" s="381"/>
      <c r="T108" s="381"/>
      <c r="U108" s="381">
        <v>79.41</v>
      </c>
      <c r="V108" s="381">
        <v>79.41</v>
      </c>
    </row>
    <row r="109" spans="2:22">
      <c r="B109" t="s">
        <v>218</v>
      </c>
      <c r="C109" t="s">
        <v>219</v>
      </c>
      <c r="D109" t="s">
        <v>67</v>
      </c>
      <c r="E109">
        <v>50000</v>
      </c>
      <c r="F109">
        <v>50000</v>
      </c>
      <c r="H109"/>
      <c r="I109" s="381"/>
      <c r="J109" s="381"/>
      <c r="K109" s="381"/>
      <c r="L109" s="381">
        <v>0</v>
      </c>
      <c r="M109" s="381">
        <v>49060</v>
      </c>
      <c r="N109" s="381">
        <v>0</v>
      </c>
      <c r="O109" s="381">
        <v>0</v>
      </c>
      <c r="P109" s="381">
        <v>0</v>
      </c>
      <c r="Q109" s="381">
        <v>0</v>
      </c>
      <c r="R109" s="381">
        <v>0</v>
      </c>
      <c r="S109" s="381">
        <v>0</v>
      </c>
      <c r="T109" s="381">
        <v>0</v>
      </c>
      <c r="U109" s="381">
        <v>49060</v>
      </c>
      <c r="V109" s="381">
        <v>-940</v>
      </c>
    </row>
    <row r="110" spans="2:22">
      <c r="B110" t="s">
        <v>220</v>
      </c>
      <c r="C110" t="s">
        <v>221</v>
      </c>
      <c r="D110" t="s">
        <v>188</v>
      </c>
      <c r="E110">
        <v>35000</v>
      </c>
      <c r="F110">
        <v>26249</v>
      </c>
      <c r="H110"/>
      <c r="I110" s="381"/>
      <c r="J110" s="381"/>
      <c r="K110" s="381"/>
      <c r="L110" s="381">
        <v>0</v>
      </c>
      <c r="M110" s="381">
        <v>0</v>
      </c>
      <c r="N110" s="381">
        <v>0</v>
      </c>
      <c r="O110" s="381"/>
      <c r="P110" s="381">
        <v>8751</v>
      </c>
      <c r="Q110" s="381">
        <v>2916</v>
      </c>
      <c r="R110" s="381">
        <v>2916</v>
      </c>
      <c r="S110" s="381">
        <v>2916</v>
      </c>
      <c r="T110" s="381">
        <v>2916</v>
      </c>
      <c r="U110" s="381">
        <v>20415</v>
      </c>
      <c r="V110" s="381">
        <v>-5834</v>
      </c>
    </row>
    <row r="111" spans="2:22">
      <c r="B111" t="s">
        <v>222</v>
      </c>
      <c r="C111" t="s">
        <v>223</v>
      </c>
      <c r="D111" t="s">
        <v>152</v>
      </c>
      <c r="E111">
        <v>90000</v>
      </c>
      <c r="F111">
        <v>90000</v>
      </c>
      <c r="H111"/>
      <c r="I111" s="381"/>
      <c r="J111" s="381"/>
      <c r="K111" s="381"/>
      <c r="L111" s="381">
        <v>0</v>
      </c>
      <c r="M111" s="381">
        <v>0</v>
      </c>
      <c r="N111" s="381">
        <v>82121</v>
      </c>
      <c r="O111" s="381"/>
      <c r="P111" s="381">
        <v>0</v>
      </c>
      <c r="Q111" s="381">
        <v>0</v>
      </c>
      <c r="R111" s="381">
        <v>0</v>
      </c>
      <c r="S111" s="381">
        <v>0</v>
      </c>
      <c r="T111" s="381">
        <v>7879</v>
      </c>
      <c r="U111" s="381">
        <v>90000</v>
      </c>
      <c r="V111" s="381">
        <v>0</v>
      </c>
    </row>
    <row r="112" spans="2:22">
      <c r="B112" t="s">
        <v>224</v>
      </c>
      <c r="C112" t="s">
        <v>225</v>
      </c>
      <c r="D112" t="s">
        <v>25</v>
      </c>
      <c r="E112">
        <v>0</v>
      </c>
      <c r="F112">
        <v>70950</v>
      </c>
      <c r="H112"/>
      <c r="I112" s="381"/>
      <c r="J112" s="381"/>
      <c r="K112" s="381">
        <v>70950</v>
      </c>
      <c r="L112" s="381">
        <v>0</v>
      </c>
      <c r="M112" s="381">
        <v>0</v>
      </c>
      <c r="N112" s="381">
        <v>0</v>
      </c>
      <c r="O112" s="381">
        <v>0</v>
      </c>
      <c r="P112" s="381">
        <v>0</v>
      </c>
      <c r="Q112" s="381">
        <v>0</v>
      </c>
      <c r="R112" s="381">
        <v>0</v>
      </c>
      <c r="S112" s="381">
        <v>0</v>
      </c>
      <c r="T112" s="381">
        <v>0</v>
      </c>
      <c r="U112" s="381">
        <v>70950</v>
      </c>
      <c r="V112" s="381">
        <v>0</v>
      </c>
    </row>
    <row r="113" spans="2:22" hidden="1">
      <c r="B113" t="s">
        <v>226</v>
      </c>
      <c r="C113" t="s">
        <v>147</v>
      </c>
      <c r="D113" t="s">
        <v>25</v>
      </c>
      <c r="E113">
        <v>0</v>
      </c>
      <c r="F113">
        <v>-0.32999999999999996</v>
      </c>
      <c r="H113"/>
      <c r="I113" s="381">
        <v>-0.15</v>
      </c>
      <c r="J113" s="381">
        <v>0.23</v>
      </c>
      <c r="K113" s="381">
        <v>-0.41</v>
      </c>
      <c r="L113" s="381">
        <v>0.8</v>
      </c>
      <c r="M113" s="381">
        <v>-0.17</v>
      </c>
      <c r="N113" s="381">
        <v>-0.68</v>
      </c>
      <c r="O113" s="381">
        <v>0</v>
      </c>
      <c r="P113" s="381">
        <v>0</v>
      </c>
      <c r="Q113" s="381">
        <v>0</v>
      </c>
      <c r="R113" s="381">
        <v>0</v>
      </c>
      <c r="S113" s="381">
        <v>0</v>
      </c>
      <c r="T113" s="381">
        <v>0</v>
      </c>
      <c r="U113" s="381">
        <v>-0.38</v>
      </c>
      <c r="V113" s="381">
        <v>-5.0000000000000044E-2</v>
      </c>
    </row>
    <row r="114" spans="2:22">
      <c r="B114" t="s">
        <v>227</v>
      </c>
      <c r="C114" t="s">
        <v>149</v>
      </c>
      <c r="D114" t="s">
        <v>25</v>
      </c>
      <c r="E114">
        <v>0</v>
      </c>
      <c r="F114">
        <v>-4283.6499999999996</v>
      </c>
      <c r="H114"/>
      <c r="I114" s="381">
        <v>-487.65</v>
      </c>
      <c r="J114" s="381">
        <v>-3796</v>
      </c>
      <c r="K114" s="381">
        <v>0</v>
      </c>
      <c r="L114" s="381">
        <v>0</v>
      </c>
      <c r="M114" s="381">
        <v>0</v>
      </c>
      <c r="N114" s="381">
        <v>0</v>
      </c>
      <c r="O114" s="381">
        <v>0</v>
      </c>
      <c r="P114" s="381">
        <v>0</v>
      </c>
      <c r="Q114" s="381">
        <v>0</v>
      </c>
      <c r="R114" s="381">
        <v>0</v>
      </c>
      <c r="S114" s="381">
        <v>0</v>
      </c>
      <c r="T114" s="381">
        <v>0</v>
      </c>
      <c r="U114" s="381">
        <v>-4283.6499999999996</v>
      </c>
      <c r="V114" s="381">
        <v>0</v>
      </c>
    </row>
    <row r="115" spans="2:22">
      <c r="B115" t="s">
        <v>228</v>
      </c>
      <c r="C115" t="s">
        <v>53</v>
      </c>
      <c r="D115" t="s">
        <v>25</v>
      </c>
      <c r="E115">
        <v>0</v>
      </c>
      <c r="F115">
        <v>0</v>
      </c>
      <c r="H115"/>
      <c r="I115" s="381">
        <v>279973</v>
      </c>
      <c r="J115" s="381">
        <v>-451174</v>
      </c>
      <c r="K115" s="381">
        <v>173459</v>
      </c>
      <c r="L115" s="381">
        <v>771452.00000000012</v>
      </c>
      <c r="M115" s="381">
        <v>-143797.00000000006</v>
      </c>
      <c r="N115" s="381">
        <v>-449247</v>
      </c>
      <c r="O115" s="381">
        <v>0</v>
      </c>
      <c r="P115" s="381">
        <v>0</v>
      </c>
      <c r="Q115" s="381">
        <v>0</v>
      </c>
      <c r="R115" s="381">
        <v>0</v>
      </c>
      <c r="S115" s="381">
        <v>0</v>
      </c>
      <c r="T115" s="381">
        <v>0</v>
      </c>
      <c r="U115" s="381">
        <v>180666</v>
      </c>
      <c r="V115" s="381">
        <v>180666</v>
      </c>
    </row>
    <row r="116" spans="2:22">
      <c r="B116" t="s">
        <v>229</v>
      </c>
      <c r="C116" t="s">
        <v>230</v>
      </c>
      <c r="D116" t="s">
        <v>25</v>
      </c>
      <c r="E116">
        <v>0</v>
      </c>
      <c r="F116">
        <v>120000</v>
      </c>
      <c r="H116"/>
      <c r="I116" s="381">
        <v>0</v>
      </c>
      <c r="J116" s="381">
        <v>0</v>
      </c>
      <c r="K116" s="381">
        <v>0</v>
      </c>
      <c r="L116" s="381">
        <v>39011.32</v>
      </c>
      <c r="M116" s="381">
        <v>42012.189999999995</v>
      </c>
      <c r="N116" s="381">
        <v>52515.23</v>
      </c>
      <c r="O116" s="381">
        <v>13080</v>
      </c>
      <c r="P116" s="381"/>
      <c r="Q116" s="381"/>
      <c r="R116" s="381"/>
      <c r="S116" s="381"/>
      <c r="T116" s="381"/>
      <c r="U116" s="381">
        <v>146618.74</v>
      </c>
      <c r="V116" s="381">
        <v>26618.739999999991</v>
      </c>
    </row>
    <row r="117" spans="2:22" hidden="1">
      <c r="B117" t="s">
        <v>231</v>
      </c>
      <c r="C117" t="s">
        <v>201</v>
      </c>
      <c r="D117" t="s">
        <v>232</v>
      </c>
      <c r="E117">
        <v>0</v>
      </c>
      <c r="F117">
        <v>0</v>
      </c>
      <c r="H117"/>
      <c r="I117">
        <v>50000</v>
      </c>
      <c r="J117">
        <v>0</v>
      </c>
      <c r="K117">
        <v>-50000</v>
      </c>
      <c r="L117">
        <v>50000</v>
      </c>
      <c r="M117">
        <v>-50000</v>
      </c>
      <c r="N117">
        <v>0</v>
      </c>
      <c r="O117"/>
      <c r="P117"/>
      <c r="Q117"/>
      <c r="R117"/>
      <c r="S117"/>
      <c r="T117"/>
      <c r="U117">
        <v>0</v>
      </c>
      <c r="V117" s="557">
        <v>0</v>
      </c>
    </row>
    <row r="118" spans="2:22" hidden="1">
      <c r="B118" t="s">
        <v>233</v>
      </c>
      <c r="C118" t="s">
        <v>234</v>
      </c>
      <c r="D118" t="s">
        <v>25</v>
      </c>
      <c r="E118">
        <v>0</v>
      </c>
      <c r="F118">
        <v>0</v>
      </c>
      <c r="H118"/>
      <c r="I118"/>
      <c r="J118">
        <v>304987.09999999998</v>
      </c>
      <c r="K118">
        <v>-304987.09999999998</v>
      </c>
      <c r="L118">
        <v>0</v>
      </c>
      <c r="M118">
        <v>0</v>
      </c>
      <c r="N118">
        <v>0</v>
      </c>
      <c r="O118"/>
      <c r="P118"/>
      <c r="Q118"/>
      <c r="R118"/>
      <c r="S118"/>
      <c r="T118"/>
      <c r="U118">
        <v>0</v>
      </c>
      <c r="V118" s="557">
        <v>0</v>
      </c>
    </row>
    <row r="119" spans="2:22">
      <c r="B119" t="s">
        <v>235</v>
      </c>
      <c r="C119" t="s">
        <v>236</v>
      </c>
      <c r="D119" t="s">
        <v>25</v>
      </c>
      <c r="E119">
        <v>0</v>
      </c>
      <c r="F119">
        <v>0</v>
      </c>
      <c r="H119"/>
      <c r="I119" s="381"/>
      <c r="J119" s="381">
        <v>331000</v>
      </c>
      <c r="K119" s="381">
        <v>-331000</v>
      </c>
      <c r="L119" s="381">
        <v>0</v>
      </c>
      <c r="M119" s="381">
        <v>0</v>
      </c>
      <c r="N119" s="381">
        <v>9981.0499999999993</v>
      </c>
      <c r="O119" s="381"/>
      <c r="P119" s="381"/>
      <c r="Q119" s="381"/>
      <c r="R119" s="381"/>
      <c r="S119" s="381"/>
      <c r="T119" s="381"/>
      <c r="U119" s="381">
        <v>9981.0499999999993</v>
      </c>
      <c r="V119" s="381">
        <v>9981.0499999999993</v>
      </c>
    </row>
    <row r="120" spans="2:22" hidden="1">
      <c r="B120" t="s">
        <v>237</v>
      </c>
      <c r="C120" t="s">
        <v>147</v>
      </c>
      <c r="D120" t="s">
        <v>25</v>
      </c>
      <c r="E120">
        <v>0</v>
      </c>
      <c r="F120">
        <v>0</v>
      </c>
      <c r="H120"/>
      <c r="I120" s="381"/>
      <c r="J120" s="381">
        <v>-0.1</v>
      </c>
      <c r="K120" s="381">
        <v>0.1</v>
      </c>
      <c r="L120" s="381">
        <v>-0.32</v>
      </c>
      <c r="M120" s="381">
        <v>0.81</v>
      </c>
      <c r="N120" s="381">
        <v>-0.28000000000000003</v>
      </c>
      <c r="O120" s="381"/>
      <c r="P120" s="381"/>
      <c r="Q120" s="381"/>
      <c r="R120" s="381"/>
      <c r="S120" s="381"/>
      <c r="T120" s="381"/>
      <c r="U120" s="381">
        <v>0.21000000000000002</v>
      </c>
      <c r="V120" s="381">
        <v>0.21000000000000002</v>
      </c>
    </row>
    <row r="121" spans="2:22" hidden="1">
      <c r="D121" t="s">
        <v>54</v>
      </c>
      <c r="H121"/>
      <c r="I121" s="381"/>
      <c r="J121" s="381"/>
      <c r="K121" s="381"/>
      <c r="L121" s="381"/>
      <c r="M121" s="381">
        <v>0</v>
      </c>
      <c r="N121" s="381">
        <v>0</v>
      </c>
      <c r="O121" s="381"/>
      <c r="P121" s="381"/>
      <c r="Q121" s="381"/>
      <c r="R121" s="381"/>
      <c r="S121" s="381"/>
      <c r="T121" s="381"/>
      <c r="U121" s="381">
        <v>0</v>
      </c>
      <c r="V121" s="381">
        <v>0</v>
      </c>
    </row>
    <row r="122" spans="2:22" hidden="1">
      <c r="B122" t="s">
        <v>238</v>
      </c>
      <c r="C122" t="s">
        <v>239</v>
      </c>
      <c r="D122" t="s">
        <v>152</v>
      </c>
      <c r="E122">
        <v>200000</v>
      </c>
      <c r="F122">
        <v>0</v>
      </c>
      <c r="H122"/>
      <c r="I122" s="381"/>
      <c r="J122" s="381"/>
      <c r="K122" s="381"/>
      <c r="L122" s="381">
        <v>0</v>
      </c>
      <c r="M122" s="381">
        <v>0</v>
      </c>
      <c r="N122" s="381">
        <v>0</v>
      </c>
      <c r="O122" s="381">
        <v>0</v>
      </c>
      <c r="P122" s="381">
        <v>0</v>
      </c>
      <c r="Q122" s="381">
        <v>0</v>
      </c>
      <c r="R122" s="381">
        <v>0</v>
      </c>
      <c r="S122" s="381">
        <v>0</v>
      </c>
      <c r="T122" s="381">
        <v>0</v>
      </c>
      <c r="U122" s="381">
        <v>0</v>
      </c>
      <c r="V122" s="381">
        <v>0</v>
      </c>
    </row>
    <row r="123" spans="2:22" hidden="1">
      <c r="B123" t="s">
        <v>240</v>
      </c>
      <c r="C123" t="s">
        <v>241</v>
      </c>
      <c r="D123" t="s">
        <v>152</v>
      </c>
      <c r="E123">
        <v>150000</v>
      </c>
      <c r="F123">
        <v>0</v>
      </c>
      <c r="H123"/>
      <c r="I123" s="381"/>
      <c r="J123" s="381"/>
      <c r="K123" s="381"/>
      <c r="L123" s="381">
        <v>0</v>
      </c>
      <c r="M123" s="381">
        <v>0</v>
      </c>
      <c r="N123" s="381">
        <v>0</v>
      </c>
      <c r="O123" s="381">
        <v>0</v>
      </c>
      <c r="P123" s="381">
        <v>0</v>
      </c>
      <c r="Q123" s="381">
        <v>0</v>
      </c>
      <c r="R123" s="381">
        <v>0</v>
      </c>
      <c r="S123" s="381">
        <v>0</v>
      </c>
      <c r="T123" s="381">
        <v>0</v>
      </c>
      <c r="U123" s="381">
        <v>0</v>
      </c>
      <c r="V123" s="381">
        <v>0</v>
      </c>
    </row>
    <row r="124" spans="2:22">
      <c r="B124" t="s">
        <v>242</v>
      </c>
      <c r="C124" t="s">
        <v>243</v>
      </c>
      <c r="D124" t="s">
        <v>152</v>
      </c>
      <c r="E124">
        <v>-199716</v>
      </c>
      <c r="F124">
        <v>-149787</v>
      </c>
      <c r="H124"/>
      <c r="I124" s="381"/>
      <c r="J124" s="381"/>
      <c r="K124" s="381"/>
      <c r="L124" s="381">
        <v>0</v>
      </c>
      <c r="M124" s="381">
        <v>0</v>
      </c>
      <c r="N124" s="381">
        <v>0</v>
      </c>
      <c r="O124" s="381">
        <v>-16643</v>
      </c>
      <c r="P124" s="381">
        <v>-16643</v>
      </c>
      <c r="Q124" s="381">
        <v>-16643</v>
      </c>
      <c r="R124" s="381">
        <v>-16643</v>
      </c>
      <c r="S124" s="381">
        <v>-16643</v>
      </c>
      <c r="T124" s="381">
        <v>-16643</v>
      </c>
      <c r="U124" s="381">
        <v>-99858</v>
      </c>
      <c r="V124" s="381">
        <v>49929</v>
      </c>
    </row>
    <row r="125" spans="2:22">
      <c r="B125" t="s">
        <v>244</v>
      </c>
      <c r="C125" t="s">
        <v>245</v>
      </c>
      <c r="D125" t="s">
        <v>152</v>
      </c>
      <c r="E125">
        <v>-289999.99999999988</v>
      </c>
      <c r="F125">
        <v>-217500.02999999997</v>
      </c>
      <c r="H125"/>
      <c r="I125" s="381"/>
      <c r="J125" s="381"/>
      <c r="K125" s="381"/>
      <c r="L125" s="381">
        <v>0</v>
      </c>
      <c r="M125" s="381">
        <v>0</v>
      </c>
      <c r="N125" s="381">
        <v>0</v>
      </c>
      <c r="O125" s="381">
        <v>-24166.67</v>
      </c>
      <c r="P125" s="381">
        <v>-24166.67</v>
      </c>
      <c r="Q125" s="381">
        <v>-24166.67</v>
      </c>
      <c r="R125" s="381">
        <v>-24166.67</v>
      </c>
      <c r="S125" s="381">
        <v>-24166.67</v>
      </c>
      <c r="T125" s="381">
        <v>-24166.67</v>
      </c>
      <c r="U125" s="381">
        <v>-145000.01999999999</v>
      </c>
      <c r="V125" s="381">
        <v>72500.00999999998</v>
      </c>
    </row>
    <row r="126" spans="2:22">
      <c r="B126" t="s">
        <v>246</v>
      </c>
      <c r="C126" t="s">
        <v>53</v>
      </c>
      <c r="D126" t="s">
        <v>25</v>
      </c>
      <c r="E126">
        <v>0</v>
      </c>
      <c r="F126">
        <v>-29144</v>
      </c>
      <c r="H126"/>
      <c r="I126" s="381">
        <v>101571</v>
      </c>
      <c r="J126" s="381">
        <v>-210932</v>
      </c>
      <c r="K126" s="381">
        <v>80217</v>
      </c>
      <c r="L126" s="381">
        <v>105632.00000000001</v>
      </c>
      <c r="M126" s="381">
        <v>-36244</v>
      </c>
      <c r="N126" s="381">
        <v>24284.000000000029</v>
      </c>
      <c r="O126" s="381">
        <v>0</v>
      </c>
      <c r="P126" s="381">
        <v>0</v>
      </c>
      <c r="Q126" s="381">
        <v>0</v>
      </c>
      <c r="R126" s="381">
        <v>0</v>
      </c>
      <c r="S126" s="381">
        <v>0</v>
      </c>
      <c r="T126" s="381">
        <v>0</v>
      </c>
      <c r="U126" s="381">
        <v>64528.000000000044</v>
      </c>
      <c r="V126" s="381">
        <v>93672.000000000044</v>
      </c>
    </row>
    <row r="127" spans="2:22">
      <c r="B127" t="s">
        <v>247</v>
      </c>
      <c r="C127" t="s">
        <v>248</v>
      </c>
      <c r="D127" t="s">
        <v>25</v>
      </c>
      <c r="E127">
        <v>0</v>
      </c>
      <c r="F127">
        <v>0</v>
      </c>
      <c r="H127"/>
      <c r="I127" s="381">
        <v>0.36</v>
      </c>
      <c r="J127" s="381">
        <v>-0.36</v>
      </c>
      <c r="K127" s="381"/>
      <c r="L127" s="381">
        <v>-5357.64</v>
      </c>
      <c r="M127" s="381">
        <v>0</v>
      </c>
      <c r="N127" s="381">
        <v>0</v>
      </c>
      <c r="O127" s="381"/>
      <c r="P127" s="381"/>
      <c r="Q127" s="381"/>
      <c r="R127" s="381"/>
      <c r="S127" s="381"/>
      <c r="T127" s="381"/>
      <c r="U127" s="381">
        <v>-5357.64</v>
      </c>
      <c r="V127" s="381">
        <v>-5357.64</v>
      </c>
    </row>
    <row r="128" spans="2:22">
      <c r="B128" t="s">
        <v>249</v>
      </c>
      <c r="C128" t="s">
        <v>250</v>
      </c>
      <c r="D128" t="s">
        <v>25</v>
      </c>
      <c r="E128">
        <v>553800</v>
      </c>
      <c r="F128">
        <v>496255</v>
      </c>
      <c r="H128"/>
      <c r="I128" s="381">
        <v>-0.24</v>
      </c>
      <c r="J128" s="381">
        <v>98366.34</v>
      </c>
      <c r="K128" s="381">
        <v>-98366.1</v>
      </c>
      <c r="L128" s="381">
        <v>27396.55</v>
      </c>
      <c r="M128" s="381">
        <v>29503.98</v>
      </c>
      <c r="N128" s="381">
        <v>36879.97</v>
      </c>
      <c r="O128" s="381">
        <v>48381.166666666672</v>
      </c>
      <c r="P128" s="381">
        <v>48381.166666666672</v>
      </c>
      <c r="Q128" s="381">
        <v>48381.166666666672</v>
      </c>
      <c r="R128" s="381">
        <v>85490.5</v>
      </c>
      <c r="S128" s="381">
        <v>85490.5</v>
      </c>
      <c r="T128" s="381">
        <v>85490.5</v>
      </c>
      <c r="U128" s="381">
        <v>495395.5</v>
      </c>
      <c r="V128" s="381">
        <v>-859.5</v>
      </c>
    </row>
    <row r="129" spans="2:22">
      <c r="B129" t="s">
        <v>251</v>
      </c>
      <c r="C129" t="s">
        <v>252</v>
      </c>
      <c r="D129" t="s">
        <v>25</v>
      </c>
      <c r="E129">
        <v>269997.96000000008</v>
      </c>
      <c r="F129">
        <v>268017.38</v>
      </c>
      <c r="H129"/>
      <c r="I129" s="381">
        <v>19158.79</v>
      </c>
      <c r="J129" s="381">
        <v>20603.919999999998</v>
      </c>
      <c r="K129" s="381">
        <v>25754.67</v>
      </c>
      <c r="L129" s="381">
        <v>20603.73</v>
      </c>
      <c r="M129" s="381">
        <v>33243.729999999996</v>
      </c>
      <c r="N129" s="381">
        <v>25754.660000000003</v>
      </c>
      <c r="O129" s="381">
        <v>22500</v>
      </c>
      <c r="P129" s="381">
        <v>22500</v>
      </c>
      <c r="Q129" s="381">
        <v>22500</v>
      </c>
      <c r="R129" s="381">
        <v>22500</v>
      </c>
      <c r="S129" s="381">
        <v>22500</v>
      </c>
      <c r="T129" s="381">
        <v>22500</v>
      </c>
      <c r="U129" s="381">
        <v>280119.5</v>
      </c>
      <c r="V129" s="381">
        <v>12102.119999999995</v>
      </c>
    </row>
    <row r="130" spans="2:22">
      <c r="B130" t="s">
        <v>253</v>
      </c>
      <c r="C130" t="s">
        <v>254</v>
      </c>
      <c r="D130" t="s">
        <v>25</v>
      </c>
      <c r="E130">
        <v>489720</v>
      </c>
      <c r="F130">
        <v>367290</v>
      </c>
      <c r="H130"/>
      <c r="I130" s="381"/>
      <c r="J130" s="381"/>
      <c r="K130" s="381"/>
      <c r="L130" s="381">
        <v>0</v>
      </c>
      <c r="M130" s="381">
        <v>0</v>
      </c>
      <c r="N130" s="381">
        <v>0</v>
      </c>
      <c r="O130" s="381">
        <v>40810</v>
      </c>
      <c r="P130" s="381">
        <v>40810</v>
      </c>
      <c r="Q130" s="381">
        <v>40810</v>
      </c>
      <c r="R130" s="381">
        <v>40810</v>
      </c>
      <c r="S130" s="381">
        <v>40810</v>
      </c>
      <c r="T130" s="381">
        <v>40810</v>
      </c>
      <c r="U130" s="381">
        <v>244860</v>
      </c>
      <c r="V130" s="381">
        <v>-122430</v>
      </c>
    </row>
    <row r="131" spans="2:22">
      <c r="B131" t="s">
        <v>255</v>
      </c>
      <c r="C131" t="s">
        <v>256</v>
      </c>
      <c r="D131" t="s">
        <v>25</v>
      </c>
      <c r="E131">
        <v>529998.96000000008</v>
      </c>
      <c r="F131">
        <v>367389.04999999993</v>
      </c>
      <c r="H131"/>
      <c r="I131" s="381">
        <v>31387.97</v>
      </c>
      <c r="J131" s="381">
        <v>29660.06</v>
      </c>
      <c r="K131" s="381">
        <v>28355.06</v>
      </c>
      <c r="L131" s="381">
        <v>376.37999999999738</v>
      </c>
      <c r="M131" s="381">
        <v>30599.67</v>
      </c>
      <c r="N131" s="381">
        <v>50661.62</v>
      </c>
      <c r="O131" s="381">
        <v>36080.219999999994</v>
      </c>
      <c r="P131" s="381">
        <v>26514.909999999996</v>
      </c>
      <c r="Q131" s="381">
        <v>26514.909999999996</v>
      </c>
      <c r="R131" s="381">
        <v>36080.219999999994</v>
      </c>
      <c r="S131" s="381">
        <v>36080.219999999994</v>
      </c>
      <c r="T131" s="381">
        <v>36080.219999999994</v>
      </c>
      <c r="U131" s="381">
        <v>368391.45999999996</v>
      </c>
      <c r="V131" s="381">
        <v>1002.4100000000326</v>
      </c>
    </row>
    <row r="132" spans="2:22">
      <c r="B132" t="s">
        <v>257</v>
      </c>
      <c r="C132" t="s">
        <v>258</v>
      </c>
      <c r="D132" t="s">
        <v>25</v>
      </c>
      <c r="E132">
        <v>624000</v>
      </c>
      <c r="F132">
        <v>592260.42999999993</v>
      </c>
      <c r="H132"/>
      <c r="I132" s="381">
        <v>67126.64</v>
      </c>
      <c r="J132" s="381">
        <v>74377.41</v>
      </c>
      <c r="K132" s="381">
        <v>83640.33</v>
      </c>
      <c r="L132" s="381">
        <v>-58284.780000000013</v>
      </c>
      <c r="M132" s="381">
        <v>17767.169999999998</v>
      </c>
      <c r="N132" s="381">
        <v>-37705.19</v>
      </c>
      <c r="O132" s="381">
        <v>37705.5</v>
      </c>
      <c r="P132" s="381">
        <v>47270.81</v>
      </c>
      <c r="Q132" s="381">
        <v>47270.81</v>
      </c>
      <c r="R132" s="381">
        <v>47270.81</v>
      </c>
      <c r="S132" s="381">
        <v>47270.81</v>
      </c>
      <c r="T132" s="381">
        <v>47270.81</v>
      </c>
      <c r="U132" s="381">
        <v>420981.12999999995</v>
      </c>
      <c r="V132" s="381">
        <v>-171279.3</v>
      </c>
    </row>
    <row r="133" spans="2:22">
      <c r="B133" t="s">
        <v>259</v>
      </c>
      <c r="C133" t="s">
        <v>163</v>
      </c>
      <c r="D133" t="s">
        <v>25</v>
      </c>
      <c r="E133">
        <v>270422.03999999992</v>
      </c>
      <c r="F133">
        <v>166650</v>
      </c>
      <c r="H133"/>
      <c r="I133" s="381"/>
      <c r="J133" s="381"/>
      <c r="K133" s="381"/>
      <c r="L133" s="381">
        <v>0</v>
      </c>
      <c r="M133" s="381">
        <v>0</v>
      </c>
      <c r="N133" s="381">
        <v>0</v>
      </c>
      <c r="O133" s="381">
        <v>7837.5</v>
      </c>
      <c r="P133" s="381">
        <v>7837.5</v>
      </c>
      <c r="Q133" s="381">
        <v>7837.5</v>
      </c>
      <c r="R133" s="381">
        <v>7837.5</v>
      </c>
      <c r="S133" s="381">
        <v>7837.5</v>
      </c>
      <c r="T133" s="381">
        <v>7837.5</v>
      </c>
      <c r="U133" s="381">
        <v>47025</v>
      </c>
      <c r="V133" s="381">
        <v>-119625</v>
      </c>
    </row>
    <row r="134" spans="2:22">
      <c r="B134" t="s">
        <v>260</v>
      </c>
      <c r="C134" t="s">
        <v>261</v>
      </c>
      <c r="D134" t="s">
        <v>25</v>
      </c>
      <c r="E134">
        <v>10277</v>
      </c>
      <c r="F134">
        <v>10277</v>
      </c>
      <c r="H134"/>
      <c r="I134" s="381"/>
      <c r="J134" s="381"/>
      <c r="K134" s="381"/>
      <c r="L134" s="381">
        <v>0</v>
      </c>
      <c r="M134" s="381">
        <v>0</v>
      </c>
      <c r="N134" s="381">
        <v>0</v>
      </c>
      <c r="O134" s="381">
        <v>0</v>
      </c>
      <c r="P134" s="381">
        <v>5723</v>
      </c>
      <c r="Q134" s="381">
        <v>0</v>
      </c>
      <c r="R134" s="381">
        <v>0</v>
      </c>
      <c r="S134" s="381">
        <v>0</v>
      </c>
      <c r="T134" s="381">
        <v>0</v>
      </c>
      <c r="U134" s="381">
        <v>5723</v>
      </c>
      <c r="V134" s="381">
        <v>-4554</v>
      </c>
    </row>
    <row r="135" spans="2:22">
      <c r="B135" t="s">
        <v>262</v>
      </c>
      <c r="C135" t="s">
        <v>263</v>
      </c>
      <c r="D135" t="s">
        <v>25</v>
      </c>
      <c r="E135">
        <v>357309.48</v>
      </c>
      <c r="F135">
        <v>263234.2</v>
      </c>
      <c r="H135"/>
      <c r="I135" s="381"/>
      <c r="J135" s="381"/>
      <c r="K135" s="381">
        <v>168756.2</v>
      </c>
      <c r="L135" s="381">
        <v>54312.340000000011</v>
      </c>
      <c r="M135" s="381">
        <v>54312.34</v>
      </c>
      <c r="N135" s="381">
        <v>67890.420000000013</v>
      </c>
      <c r="O135" s="381">
        <v>11809.75</v>
      </c>
      <c r="P135" s="381">
        <v>11809.75</v>
      </c>
      <c r="Q135" s="381">
        <v>11809.75</v>
      </c>
      <c r="R135" s="381">
        <v>11809.75</v>
      </c>
      <c r="S135" s="381">
        <v>11809.75</v>
      </c>
      <c r="T135" s="381">
        <v>11809.75</v>
      </c>
      <c r="U135" s="381">
        <v>416129.80000000005</v>
      </c>
      <c r="V135" s="381">
        <v>152895.60000000003</v>
      </c>
    </row>
    <row r="136" spans="2:22">
      <c r="B136" t="s">
        <v>264</v>
      </c>
      <c r="C136" t="s">
        <v>265</v>
      </c>
      <c r="D136" t="s">
        <v>119</v>
      </c>
      <c r="E136">
        <v>25000</v>
      </c>
      <c r="F136">
        <v>25000</v>
      </c>
      <c r="H136"/>
      <c r="I136"/>
      <c r="J136"/>
      <c r="K136"/>
      <c r="L136">
        <v>0</v>
      </c>
      <c r="M136">
        <v>0</v>
      </c>
      <c r="N136">
        <v>0</v>
      </c>
      <c r="O136"/>
      <c r="P136">
        <v>25000</v>
      </c>
      <c r="Q136">
        <v>0</v>
      </c>
      <c r="R136">
        <v>0</v>
      </c>
      <c r="S136">
        <v>0</v>
      </c>
      <c r="T136">
        <v>0</v>
      </c>
      <c r="U136">
        <v>25000</v>
      </c>
      <c r="V136" s="557">
        <v>0</v>
      </c>
    </row>
    <row r="137" spans="2:22">
      <c r="B137" t="s">
        <v>266</v>
      </c>
      <c r="C137" t="s">
        <v>267</v>
      </c>
      <c r="D137" t="s">
        <v>25</v>
      </c>
      <c r="E137">
        <v>325000.08000000007</v>
      </c>
      <c r="F137">
        <v>378801.32</v>
      </c>
      <c r="H137"/>
      <c r="I137" s="381">
        <v>43362</v>
      </c>
      <c r="J137" s="381">
        <v>48564.89</v>
      </c>
      <c r="K137" s="381">
        <v>60706.43</v>
      </c>
      <c r="L137" s="381">
        <v>-38405.19000000001</v>
      </c>
      <c r="M137" s="381">
        <v>41122.75</v>
      </c>
      <c r="N137" s="381">
        <v>42728.490000000005</v>
      </c>
      <c r="O137" s="381">
        <v>29000</v>
      </c>
      <c r="P137" s="381">
        <v>29000</v>
      </c>
      <c r="Q137" s="381">
        <v>28000</v>
      </c>
      <c r="R137" s="381">
        <v>28500</v>
      </c>
      <c r="S137" s="381">
        <v>28500</v>
      </c>
      <c r="T137" s="381">
        <v>28500</v>
      </c>
      <c r="U137" s="381">
        <v>369579.37</v>
      </c>
      <c r="V137" s="381">
        <v>-9221.9500000000116</v>
      </c>
    </row>
    <row r="138" spans="2:22" hidden="1">
      <c r="B138" t="s">
        <v>268</v>
      </c>
      <c r="C138" t="s">
        <v>147</v>
      </c>
      <c r="D138" t="s">
        <v>25</v>
      </c>
      <c r="E138">
        <v>0</v>
      </c>
      <c r="F138">
        <v>19639.919999999998</v>
      </c>
      <c r="H138"/>
      <c r="I138" s="381">
        <v>-0.23</v>
      </c>
      <c r="J138" s="381">
        <v>-0.24</v>
      </c>
      <c r="K138" s="381">
        <v>19640.39</v>
      </c>
      <c r="L138" s="381">
        <v>0.61</v>
      </c>
      <c r="M138" s="381">
        <v>-19640.97</v>
      </c>
      <c r="N138" s="381">
        <v>0.03</v>
      </c>
      <c r="O138" s="381">
        <v>0</v>
      </c>
      <c r="P138" s="381">
        <v>0</v>
      </c>
      <c r="Q138" s="381">
        <v>0</v>
      </c>
      <c r="R138" s="381">
        <v>0</v>
      </c>
      <c r="S138" s="381">
        <v>0</v>
      </c>
      <c r="T138" s="381">
        <v>0</v>
      </c>
      <c r="U138" s="381">
        <v>-0.41000000000232828</v>
      </c>
      <c r="V138" s="381">
        <v>-19640.330000000002</v>
      </c>
    </row>
    <row r="139" spans="2:22">
      <c r="B139" t="s">
        <v>269</v>
      </c>
      <c r="C139" t="s">
        <v>149</v>
      </c>
      <c r="D139" t="s">
        <v>25</v>
      </c>
      <c r="E139">
        <v>0</v>
      </c>
      <c r="F139">
        <v>-54295.289999999994</v>
      </c>
      <c r="H139"/>
      <c r="I139" s="381">
        <v>-4506.29</v>
      </c>
      <c r="J139" s="381">
        <v>-29540.02</v>
      </c>
      <c r="K139" s="381">
        <v>-20248.98</v>
      </c>
      <c r="L139" s="381">
        <v>0</v>
      </c>
      <c r="M139" s="381">
        <v>0</v>
      </c>
      <c r="N139" s="381">
        <v>0</v>
      </c>
      <c r="O139" s="381">
        <v>0</v>
      </c>
      <c r="P139" s="381">
        <v>0</v>
      </c>
      <c r="Q139" s="381">
        <v>0</v>
      </c>
      <c r="R139" s="381">
        <v>0</v>
      </c>
      <c r="S139" s="381">
        <v>0</v>
      </c>
      <c r="T139" s="381">
        <v>0</v>
      </c>
      <c r="U139" s="381">
        <v>-54295.289999999994</v>
      </c>
      <c r="V139" s="381">
        <v>0</v>
      </c>
    </row>
    <row r="140" spans="2:22">
      <c r="B140" t="s">
        <v>270</v>
      </c>
      <c r="C140" t="s">
        <v>271</v>
      </c>
      <c r="D140" t="s">
        <v>272</v>
      </c>
      <c r="E140">
        <v>0</v>
      </c>
      <c r="F140">
        <v>823483</v>
      </c>
      <c r="H140"/>
      <c r="I140" s="381"/>
      <c r="J140" s="381"/>
      <c r="K140" s="381">
        <v>110350.46</v>
      </c>
      <c r="L140" s="381">
        <v>184516.84999999998</v>
      </c>
      <c r="M140" s="381">
        <v>-60761.06</v>
      </c>
      <c r="N140" s="381">
        <v>93499.999999999985</v>
      </c>
      <c r="O140" s="381">
        <v>71600</v>
      </c>
      <c r="P140" s="381">
        <v>77000</v>
      </c>
      <c r="Q140" s="381">
        <v>111600</v>
      </c>
      <c r="R140" s="381">
        <v>61600</v>
      </c>
      <c r="S140" s="381">
        <v>77000</v>
      </c>
      <c r="T140" s="381">
        <v>71600</v>
      </c>
      <c r="U140" s="381">
        <v>798006.25</v>
      </c>
      <c r="V140" s="381">
        <v>-25476.75</v>
      </c>
    </row>
    <row r="141" spans="2:22">
      <c r="B141" t="s">
        <v>273</v>
      </c>
      <c r="C141" t="s">
        <v>274</v>
      </c>
      <c r="D141" t="s">
        <v>275</v>
      </c>
      <c r="E141">
        <v>1080865</v>
      </c>
      <c r="F141">
        <v>1057129.56</v>
      </c>
      <c r="H141"/>
      <c r="I141" s="381"/>
      <c r="J141" s="381"/>
      <c r="K141" s="381">
        <v>250144.68</v>
      </c>
      <c r="L141" s="381">
        <v>54863.060000000005</v>
      </c>
      <c r="M141" s="381">
        <v>179345.82</v>
      </c>
      <c r="N141" s="381">
        <v>111181.9</v>
      </c>
      <c r="O141" s="381">
        <v>64574</v>
      </c>
      <c r="P141" s="381">
        <v>93010</v>
      </c>
      <c r="Q141" s="381">
        <v>93010</v>
      </c>
      <c r="R141" s="381">
        <v>93010</v>
      </c>
      <c r="S141" s="381">
        <v>93010</v>
      </c>
      <c r="T141" s="381">
        <v>85636</v>
      </c>
      <c r="U141" s="381">
        <v>1117785.46</v>
      </c>
      <c r="V141" s="381">
        <v>60655.899999999907</v>
      </c>
    </row>
    <row r="142" spans="2:22">
      <c r="B142" t="s">
        <v>276</v>
      </c>
      <c r="C142" t="s">
        <v>277</v>
      </c>
      <c r="D142" t="s">
        <v>272</v>
      </c>
      <c r="E142">
        <v>270062</v>
      </c>
      <c r="F142">
        <v>100070</v>
      </c>
      <c r="H142"/>
      <c r="I142"/>
      <c r="J142"/>
      <c r="K142"/>
      <c r="L142">
        <v>0</v>
      </c>
      <c r="M142">
        <v>0</v>
      </c>
      <c r="N142">
        <v>0</v>
      </c>
      <c r="O142">
        <v>0</v>
      </c>
      <c r="P142">
        <v>5000</v>
      </c>
      <c r="Q142">
        <v>24000</v>
      </c>
      <c r="R142">
        <v>71070</v>
      </c>
      <c r="S142">
        <v>0</v>
      </c>
      <c r="T142">
        <v>0</v>
      </c>
      <c r="U142">
        <v>100070</v>
      </c>
      <c r="V142" s="557">
        <v>0</v>
      </c>
    </row>
    <row r="143" spans="2:22" hidden="1">
      <c r="B143" t="s">
        <v>278</v>
      </c>
      <c r="C143" t="s">
        <v>279</v>
      </c>
      <c r="D143" t="s">
        <v>272</v>
      </c>
      <c r="E143">
        <v>4900</v>
      </c>
      <c r="F143">
        <v>0</v>
      </c>
      <c r="H143"/>
      <c r="I143" s="381"/>
      <c r="J143" s="381"/>
      <c r="K143" s="381"/>
      <c r="L143" s="381">
        <v>0</v>
      </c>
      <c r="M143" s="381">
        <v>0</v>
      </c>
      <c r="N143" s="381">
        <v>0</v>
      </c>
      <c r="O143" s="381">
        <v>0</v>
      </c>
      <c r="P143" s="381">
        <v>0</v>
      </c>
      <c r="Q143" s="381">
        <v>0</v>
      </c>
      <c r="R143" s="381">
        <v>0</v>
      </c>
      <c r="S143" s="381">
        <v>0</v>
      </c>
      <c r="T143" s="381">
        <v>0</v>
      </c>
      <c r="U143" s="381">
        <v>0</v>
      </c>
      <c r="V143" s="381">
        <v>0</v>
      </c>
    </row>
    <row r="144" spans="2:22">
      <c r="B144" t="s">
        <v>280</v>
      </c>
      <c r="C144" t="s">
        <v>281</v>
      </c>
      <c r="D144" t="s">
        <v>272</v>
      </c>
      <c r="E144">
        <v>96677</v>
      </c>
      <c r="F144">
        <v>96677</v>
      </c>
      <c r="H144"/>
      <c r="I144" s="381"/>
      <c r="J144" s="381"/>
      <c r="K144" s="381">
        <v>-1032</v>
      </c>
      <c r="L144" s="381">
        <v>0</v>
      </c>
      <c r="M144" s="381">
        <v>0</v>
      </c>
      <c r="N144" s="381">
        <v>0</v>
      </c>
      <c r="O144" s="381">
        <v>100</v>
      </c>
      <c r="P144" s="381">
        <v>250</v>
      </c>
      <c r="Q144" s="381">
        <v>76422</v>
      </c>
      <c r="R144" s="381">
        <v>250</v>
      </c>
      <c r="S144" s="381">
        <v>10290</v>
      </c>
      <c r="T144" s="381">
        <v>10297</v>
      </c>
      <c r="U144" s="381">
        <v>96577</v>
      </c>
      <c r="V144" s="381">
        <v>-100</v>
      </c>
    </row>
    <row r="145" spans="2:22">
      <c r="B145" t="s">
        <v>282</v>
      </c>
      <c r="C145" t="s">
        <v>283</v>
      </c>
      <c r="D145" t="s">
        <v>272</v>
      </c>
      <c r="E145">
        <v>49920</v>
      </c>
      <c r="F145">
        <v>37752</v>
      </c>
      <c r="H145"/>
      <c r="I145" s="381"/>
      <c r="J145" s="381"/>
      <c r="K145" s="381"/>
      <c r="L145" s="381">
        <v>0</v>
      </c>
      <c r="M145" s="381">
        <v>0</v>
      </c>
      <c r="N145" s="381">
        <v>0</v>
      </c>
      <c r="O145" s="381">
        <v>7550</v>
      </c>
      <c r="P145" s="381">
        <v>9060</v>
      </c>
      <c r="Q145" s="381">
        <v>9060</v>
      </c>
      <c r="R145" s="381">
        <v>0</v>
      </c>
      <c r="S145" s="381">
        <v>6040</v>
      </c>
      <c r="T145" s="381">
        <v>6042</v>
      </c>
      <c r="U145" s="381">
        <v>37752</v>
      </c>
      <c r="V145" s="381">
        <v>0</v>
      </c>
    </row>
    <row r="146" spans="2:22">
      <c r="B146" t="s">
        <v>284</v>
      </c>
      <c r="C146" t="s">
        <v>56</v>
      </c>
      <c r="D146" t="s">
        <v>57</v>
      </c>
      <c r="E146">
        <v>0</v>
      </c>
      <c r="F146">
        <v>13071.14</v>
      </c>
      <c r="H146"/>
      <c r="I146" s="381">
        <v>5323.5</v>
      </c>
      <c r="J146" s="381">
        <v>2811.9</v>
      </c>
      <c r="K146" s="381">
        <v>4935.74</v>
      </c>
      <c r="L146" s="381">
        <v>5810.54</v>
      </c>
      <c r="M146" s="381">
        <v>6233.85</v>
      </c>
      <c r="N146" s="381">
        <v>6212.75</v>
      </c>
      <c r="O146" s="381">
        <v>0</v>
      </c>
      <c r="P146" s="381">
        <v>0</v>
      </c>
      <c r="Q146" s="381">
        <v>0</v>
      </c>
      <c r="R146" s="381">
        <v>0</v>
      </c>
      <c r="S146" s="381">
        <v>0</v>
      </c>
      <c r="T146" s="381">
        <v>0</v>
      </c>
      <c r="U146" s="381">
        <v>31328.28</v>
      </c>
      <c r="V146" s="381">
        <v>18257.14</v>
      </c>
    </row>
    <row r="147" spans="2:22">
      <c r="B147" t="s">
        <v>285</v>
      </c>
      <c r="C147" t="s">
        <v>286</v>
      </c>
      <c r="D147" t="s">
        <v>272</v>
      </c>
      <c r="E147">
        <v>100000</v>
      </c>
      <c r="F147">
        <v>100000</v>
      </c>
      <c r="H147"/>
      <c r="I147" s="381"/>
      <c r="J147" s="381"/>
      <c r="K147" s="381"/>
      <c r="L147" s="381">
        <v>0</v>
      </c>
      <c r="M147" s="381">
        <v>0</v>
      </c>
      <c r="N147" s="381">
        <v>0</v>
      </c>
      <c r="O147" s="381">
        <v>25000</v>
      </c>
      <c r="P147" s="381">
        <v>25000</v>
      </c>
      <c r="Q147" s="381">
        <v>25000</v>
      </c>
      <c r="R147" s="381">
        <v>0</v>
      </c>
      <c r="S147" s="381">
        <v>0</v>
      </c>
      <c r="T147" s="381">
        <v>0</v>
      </c>
      <c r="U147" s="381">
        <v>75000</v>
      </c>
      <c r="V147" s="381">
        <v>-25000</v>
      </c>
    </row>
    <row r="148" spans="2:22">
      <c r="B148" t="s">
        <v>287</v>
      </c>
      <c r="C148" t="s">
        <v>288</v>
      </c>
      <c r="D148" t="s">
        <v>272</v>
      </c>
      <c r="E148">
        <v>45000</v>
      </c>
      <c r="F148">
        <v>30000</v>
      </c>
      <c r="H148"/>
      <c r="I148" s="381"/>
      <c r="J148" s="381"/>
      <c r="K148" s="381"/>
      <c r="L148" s="381">
        <v>0</v>
      </c>
      <c r="M148" s="381">
        <v>0</v>
      </c>
      <c r="N148" s="381">
        <v>0</v>
      </c>
      <c r="O148" s="381">
        <v>5000</v>
      </c>
      <c r="P148" s="381">
        <v>5000</v>
      </c>
      <c r="Q148" s="381">
        <v>5000</v>
      </c>
      <c r="R148" s="381">
        <v>5000</v>
      </c>
      <c r="S148" s="381">
        <v>5000</v>
      </c>
      <c r="T148" s="381">
        <v>5000</v>
      </c>
      <c r="U148" s="381">
        <v>30000</v>
      </c>
      <c r="V148" s="381">
        <v>0</v>
      </c>
    </row>
    <row r="149" spans="2:22" hidden="1">
      <c r="B149" t="s">
        <v>289</v>
      </c>
      <c r="C149" t="s">
        <v>290</v>
      </c>
      <c r="D149" t="s">
        <v>291</v>
      </c>
      <c r="E149">
        <v>-351124.00000199996</v>
      </c>
      <c r="F149">
        <v>0</v>
      </c>
      <c r="H149"/>
      <c r="I149" s="381"/>
      <c r="J149" s="381"/>
      <c r="K149" s="381"/>
      <c r="L149" s="381">
        <v>0</v>
      </c>
      <c r="M149" s="381">
        <v>0</v>
      </c>
      <c r="N149" s="381">
        <v>0</v>
      </c>
      <c r="O149" s="381">
        <v>0</v>
      </c>
      <c r="P149" s="381">
        <v>0</v>
      </c>
      <c r="Q149" s="381">
        <v>0</v>
      </c>
      <c r="R149" s="381">
        <v>0</v>
      </c>
      <c r="S149" s="381">
        <v>0</v>
      </c>
      <c r="T149" s="381">
        <v>0</v>
      </c>
      <c r="U149" s="381">
        <v>0</v>
      </c>
      <c r="V149" s="381">
        <v>0</v>
      </c>
    </row>
    <row r="150" spans="2:22">
      <c r="B150" t="s">
        <v>292</v>
      </c>
      <c r="C150" t="s">
        <v>256</v>
      </c>
      <c r="D150" t="s">
        <v>54</v>
      </c>
      <c r="H150"/>
      <c r="I150" s="381"/>
      <c r="J150" s="381"/>
      <c r="K150" s="381"/>
      <c r="L150" s="381"/>
      <c r="M150" s="381"/>
      <c r="N150" s="381">
        <v>62153.7</v>
      </c>
      <c r="O150" s="381"/>
      <c r="P150" s="381"/>
      <c r="Q150" s="381"/>
      <c r="R150" s="381"/>
      <c r="S150" s="381"/>
      <c r="T150" s="381"/>
      <c r="U150" s="381">
        <v>62153.7</v>
      </c>
      <c r="V150" s="381">
        <v>62153.7</v>
      </c>
    </row>
    <row r="151" spans="2:22">
      <c r="B151" t="s">
        <v>293</v>
      </c>
      <c r="C151" t="s">
        <v>258</v>
      </c>
      <c r="D151" t="s">
        <v>54</v>
      </c>
      <c r="H151"/>
      <c r="I151" s="381"/>
      <c r="J151" s="381"/>
      <c r="K151" s="381"/>
      <c r="L151" s="381"/>
      <c r="M151" s="381"/>
      <c r="N151" s="381">
        <v>80877.63</v>
      </c>
      <c r="O151" s="381"/>
      <c r="P151" s="381"/>
      <c r="Q151" s="381"/>
      <c r="R151" s="381"/>
      <c r="S151" s="381"/>
      <c r="T151" s="381"/>
      <c r="U151" s="381">
        <v>80877.63</v>
      </c>
      <c r="V151" s="381">
        <v>80877.63</v>
      </c>
    </row>
    <row r="152" spans="2:22" hidden="1">
      <c r="B152" t="s">
        <v>294</v>
      </c>
      <c r="C152" t="s">
        <v>295</v>
      </c>
      <c r="D152" t="s">
        <v>296</v>
      </c>
      <c r="E152">
        <v>0</v>
      </c>
      <c r="F152">
        <v>0</v>
      </c>
      <c r="H152"/>
      <c r="I152" s="381">
        <v>-1104045.58</v>
      </c>
      <c r="J152" s="381">
        <v>1104045.58</v>
      </c>
      <c r="K152" s="381"/>
      <c r="L152" s="381">
        <v>0</v>
      </c>
      <c r="M152" s="381">
        <v>0</v>
      </c>
      <c r="N152" s="381">
        <v>0</v>
      </c>
      <c r="O152" s="381"/>
      <c r="P152" s="381"/>
      <c r="Q152" s="381"/>
      <c r="R152" s="381"/>
      <c r="S152" s="381"/>
      <c r="T152" s="381"/>
      <c r="U152" s="381">
        <v>0</v>
      </c>
      <c r="V152" s="381">
        <v>0</v>
      </c>
    </row>
    <row r="153" spans="2:22">
      <c r="B153" t="s">
        <v>297</v>
      </c>
      <c r="C153" t="s">
        <v>298</v>
      </c>
      <c r="D153" t="s">
        <v>25</v>
      </c>
      <c r="E153">
        <v>0</v>
      </c>
      <c r="F153">
        <v>50489.729999999996</v>
      </c>
      <c r="H153"/>
      <c r="I153" s="381"/>
      <c r="J153" s="381">
        <v>38877.699999999997</v>
      </c>
      <c r="K153" s="381">
        <v>11612.03</v>
      </c>
      <c r="L153" s="381">
        <v>17061.96</v>
      </c>
      <c r="M153" s="381">
        <v>5873.3499999999995</v>
      </c>
      <c r="N153" s="381">
        <v>-6492.8099999999995</v>
      </c>
      <c r="O153" s="381">
        <v>0</v>
      </c>
      <c r="P153" s="381">
        <v>0</v>
      </c>
      <c r="Q153" s="381">
        <v>0</v>
      </c>
      <c r="R153" s="381">
        <v>0</v>
      </c>
      <c r="S153" s="381">
        <v>0</v>
      </c>
      <c r="T153" s="381">
        <v>0</v>
      </c>
      <c r="U153" s="381">
        <v>66932.23000000001</v>
      </c>
      <c r="V153" s="381">
        <v>16442.500000000015</v>
      </c>
    </row>
    <row r="154" spans="2:22">
      <c r="B154" t="s">
        <v>299</v>
      </c>
      <c r="C154" t="s">
        <v>300</v>
      </c>
      <c r="D154" t="s">
        <v>272</v>
      </c>
      <c r="E154">
        <v>-1080865</v>
      </c>
      <c r="F154">
        <v>-1080865</v>
      </c>
      <c r="H154"/>
      <c r="I154"/>
      <c r="J154"/>
      <c r="K154">
        <v>-180144.16</v>
      </c>
      <c r="L154">
        <v>0</v>
      </c>
      <c r="M154">
        <v>-270216.24</v>
      </c>
      <c r="N154">
        <v>-90072.08</v>
      </c>
      <c r="O154">
        <v>0</v>
      </c>
      <c r="P154">
        <v>-180144</v>
      </c>
      <c r="Q154">
        <v>-90072</v>
      </c>
      <c r="R154">
        <v>0</v>
      </c>
      <c r="S154">
        <v>-180144</v>
      </c>
      <c r="T154">
        <v>-90072.84</v>
      </c>
      <c r="U154">
        <v>-1080865.32</v>
      </c>
      <c r="V154" s="557">
        <v>-0.32000000006519258</v>
      </c>
    </row>
    <row r="155" spans="2:22">
      <c r="B155" t="s">
        <v>301</v>
      </c>
      <c r="C155" t="s">
        <v>302</v>
      </c>
      <c r="D155" t="s">
        <v>303</v>
      </c>
      <c r="E155">
        <v>-2578</v>
      </c>
      <c r="F155">
        <v>-51385.37</v>
      </c>
      <c r="H155"/>
      <c r="I155" s="381"/>
      <c r="J155" s="381"/>
      <c r="K155" s="381">
        <v>-2578.37</v>
      </c>
      <c r="L155" s="381">
        <v>0</v>
      </c>
      <c r="M155" s="381">
        <v>0</v>
      </c>
      <c r="N155" s="381">
        <v>0</v>
      </c>
      <c r="O155" s="381">
        <v>0</v>
      </c>
      <c r="P155" s="381">
        <v>0</v>
      </c>
      <c r="Q155" s="381">
        <v>0</v>
      </c>
      <c r="R155" s="381">
        <v>0</v>
      </c>
      <c r="S155" s="381">
        <v>0</v>
      </c>
      <c r="T155" s="381">
        <v>0</v>
      </c>
      <c r="U155" s="381">
        <v>-2578.37</v>
      </c>
      <c r="V155" s="381">
        <v>48807</v>
      </c>
    </row>
    <row r="156" spans="2:22" hidden="1">
      <c r="B156" t="s">
        <v>304</v>
      </c>
      <c r="C156" t="s">
        <v>305</v>
      </c>
      <c r="D156" t="s">
        <v>272</v>
      </c>
      <c r="E156">
        <v>1078625</v>
      </c>
      <c r="F156">
        <v>0</v>
      </c>
      <c r="H156"/>
      <c r="I156"/>
      <c r="J156"/>
      <c r="K156"/>
      <c r="L156">
        <v>0</v>
      </c>
      <c r="M156">
        <v>0</v>
      </c>
      <c r="N156">
        <v>0</v>
      </c>
      <c r="O156"/>
      <c r="P156"/>
      <c r="Q156"/>
      <c r="R156"/>
      <c r="S156"/>
      <c r="T156"/>
      <c r="U156">
        <v>0</v>
      </c>
      <c r="V156" s="557">
        <v>0</v>
      </c>
    </row>
    <row r="157" spans="2:22" hidden="1">
      <c r="B157" t="s">
        <v>306</v>
      </c>
      <c r="C157" t="s">
        <v>307</v>
      </c>
      <c r="D157" t="s">
        <v>272</v>
      </c>
      <c r="E157">
        <v>7850</v>
      </c>
      <c r="F157">
        <v>0</v>
      </c>
      <c r="H157"/>
      <c r="I157"/>
      <c r="J157"/>
      <c r="K157"/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/>
      <c r="U157">
        <v>0</v>
      </c>
      <c r="V157" s="557">
        <v>0</v>
      </c>
    </row>
    <row r="158" spans="2:22">
      <c r="B158" t="s">
        <v>308</v>
      </c>
      <c r="C158" t="s">
        <v>309</v>
      </c>
      <c r="D158" t="s">
        <v>310</v>
      </c>
      <c r="H158"/>
      <c r="I158" s="381"/>
      <c r="J158" s="381"/>
      <c r="K158" s="381"/>
      <c r="L158" s="381"/>
      <c r="M158" s="381">
        <v>-48806.7</v>
      </c>
      <c r="N158" s="381">
        <v>0</v>
      </c>
      <c r="O158" s="381"/>
      <c r="P158" s="381"/>
      <c r="Q158" s="381"/>
      <c r="R158" s="381"/>
      <c r="S158" s="381"/>
      <c r="T158" s="381"/>
      <c r="U158" s="381">
        <v>-48806.7</v>
      </c>
      <c r="V158" s="381">
        <v>-48806.7</v>
      </c>
    </row>
    <row r="159" spans="2:22">
      <c r="B159" t="s">
        <v>311</v>
      </c>
      <c r="C159" t="s">
        <v>312</v>
      </c>
      <c r="D159" t="s">
        <v>54</v>
      </c>
      <c r="H159"/>
      <c r="I159" s="381"/>
      <c r="J159" s="381"/>
      <c r="K159" s="381"/>
      <c r="L159" s="381">
        <v>12507.9</v>
      </c>
      <c r="M159" s="381">
        <v>13470.05</v>
      </c>
      <c r="N159" s="381">
        <v>13318.529999999999</v>
      </c>
      <c r="O159" s="381"/>
      <c r="P159" s="381"/>
      <c r="Q159" s="381"/>
      <c r="R159" s="381"/>
      <c r="S159" s="381"/>
      <c r="T159" s="381"/>
      <c r="U159" s="381">
        <v>39296.479999999996</v>
      </c>
      <c r="V159" s="381">
        <v>39296.479999999996</v>
      </c>
    </row>
    <row r="160" spans="2:22">
      <c r="B160" t="s">
        <v>313</v>
      </c>
      <c r="C160" t="s">
        <v>314</v>
      </c>
      <c r="D160" t="s">
        <v>25</v>
      </c>
      <c r="E160">
        <v>0</v>
      </c>
      <c r="F160">
        <v>0.33000000000174623</v>
      </c>
      <c r="H160"/>
      <c r="I160"/>
      <c r="J160">
        <v>63054.92</v>
      </c>
      <c r="K160">
        <v>-63054.59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0.33000000000174623</v>
      </c>
      <c r="V160" s="557">
        <v>0</v>
      </c>
    </row>
    <row r="161" spans="1:22" hidden="1">
      <c r="B161" t="s">
        <v>315</v>
      </c>
      <c r="C161" t="s">
        <v>316</v>
      </c>
      <c r="D161" t="s">
        <v>25</v>
      </c>
      <c r="E161">
        <v>0</v>
      </c>
      <c r="F161">
        <v>0</v>
      </c>
      <c r="H161"/>
      <c r="I161"/>
      <c r="J161">
        <v>89550.8</v>
      </c>
      <c r="K161">
        <v>-89550.8</v>
      </c>
      <c r="L161">
        <v>0</v>
      </c>
      <c r="M161">
        <v>0</v>
      </c>
      <c r="N161">
        <v>0</v>
      </c>
      <c r="O161"/>
      <c r="P161"/>
      <c r="Q161"/>
      <c r="R161"/>
      <c r="S161"/>
      <c r="T161"/>
      <c r="U161">
        <v>0</v>
      </c>
      <c r="V161" s="557">
        <v>0</v>
      </c>
    </row>
    <row r="162" spans="1:22">
      <c r="B162" t="s">
        <v>317</v>
      </c>
      <c r="C162" t="s">
        <v>318</v>
      </c>
      <c r="D162" t="s">
        <v>54</v>
      </c>
      <c r="H162"/>
      <c r="I162" s="381"/>
      <c r="J162" s="381"/>
      <c r="K162" s="381"/>
      <c r="L162" s="381"/>
      <c r="M162" s="381"/>
      <c r="N162" s="381">
        <v>-1584</v>
      </c>
      <c r="O162" s="381"/>
      <c r="P162" s="381"/>
      <c r="Q162" s="381"/>
      <c r="R162" s="381"/>
      <c r="S162" s="381"/>
      <c r="T162" s="381"/>
      <c r="U162" s="381">
        <v>-1584</v>
      </c>
      <c r="V162" s="381">
        <v>-1584</v>
      </c>
    </row>
    <row r="163" spans="1:22">
      <c r="B163" t="s">
        <v>319</v>
      </c>
      <c r="C163" t="s">
        <v>147</v>
      </c>
      <c r="D163" t="s">
        <v>25</v>
      </c>
      <c r="E163">
        <v>0</v>
      </c>
      <c r="F163">
        <v>17685.099999999999</v>
      </c>
      <c r="H163"/>
      <c r="I163" s="381">
        <v>6818.93</v>
      </c>
      <c r="J163" s="381">
        <v>9998.34</v>
      </c>
      <c r="K163" s="381">
        <v>867.83000000000038</v>
      </c>
      <c r="L163" s="381">
        <v>18369.93</v>
      </c>
      <c r="M163" s="381">
        <v>5187.3899999999949</v>
      </c>
      <c r="N163" s="381">
        <v>121761.53</v>
      </c>
      <c r="O163" s="381">
        <v>0</v>
      </c>
      <c r="P163" s="381">
        <v>0</v>
      </c>
      <c r="Q163" s="381">
        <v>0</v>
      </c>
      <c r="R163" s="381">
        <v>0</v>
      </c>
      <c r="S163" s="381">
        <v>0</v>
      </c>
      <c r="T163" s="381">
        <v>0</v>
      </c>
      <c r="U163" s="381">
        <v>163003.94999999998</v>
      </c>
      <c r="V163" s="381">
        <v>145318.84999999998</v>
      </c>
    </row>
    <row r="164" spans="1:22">
      <c r="B164" t="s">
        <v>320</v>
      </c>
      <c r="C164" t="s">
        <v>321</v>
      </c>
      <c r="D164" t="s">
        <v>25</v>
      </c>
      <c r="E164">
        <v>0</v>
      </c>
      <c r="F164">
        <v>7271.4</v>
      </c>
      <c r="H164"/>
      <c r="I164"/>
      <c r="J164">
        <v>7271.4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7271.4</v>
      </c>
      <c r="V164" s="557">
        <v>0</v>
      </c>
    </row>
    <row r="165" spans="1:22">
      <c r="B165" t="s">
        <v>322</v>
      </c>
      <c r="C165" t="s">
        <v>323</v>
      </c>
      <c r="D165" t="s">
        <v>25</v>
      </c>
      <c r="E165">
        <v>0</v>
      </c>
      <c r="F165">
        <v>130.62</v>
      </c>
      <c r="H165"/>
      <c r="I165"/>
      <c r="J165">
        <v>130.62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130.62</v>
      </c>
      <c r="V165" s="557">
        <v>0</v>
      </c>
    </row>
    <row r="166" spans="1:22">
      <c r="B166" t="s">
        <v>324</v>
      </c>
      <c r="C166" t="s">
        <v>53</v>
      </c>
      <c r="D166" t="s">
        <v>25</v>
      </c>
      <c r="E166">
        <v>-99996</v>
      </c>
      <c r="F166">
        <v>-82720</v>
      </c>
      <c r="H166"/>
      <c r="I166" s="381"/>
      <c r="J166" s="381">
        <v>-54900</v>
      </c>
      <c r="K166" s="381">
        <v>-27820</v>
      </c>
      <c r="L166" s="381">
        <v>28331</v>
      </c>
      <c r="M166" s="381">
        <v>34717</v>
      </c>
      <c r="N166" s="381">
        <v>17146.999999999996</v>
      </c>
      <c r="O166" s="381">
        <v>0</v>
      </c>
      <c r="P166" s="381">
        <v>0</v>
      </c>
      <c r="Q166" s="381">
        <v>0</v>
      </c>
      <c r="R166" s="381">
        <v>0</v>
      </c>
      <c r="S166" s="381">
        <v>0</v>
      </c>
      <c r="T166" s="381">
        <v>0</v>
      </c>
      <c r="U166" s="381">
        <v>-2525.0000000000036</v>
      </c>
      <c r="V166" s="381">
        <v>80195</v>
      </c>
    </row>
    <row r="167" spans="1:22">
      <c r="B167" t="s">
        <v>325</v>
      </c>
      <c r="C167" t="s">
        <v>56</v>
      </c>
      <c r="D167" t="s">
        <v>57</v>
      </c>
      <c r="E167">
        <v>0</v>
      </c>
      <c r="F167">
        <v>400</v>
      </c>
      <c r="H167"/>
      <c r="I167"/>
      <c r="J167">
        <v>400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400</v>
      </c>
      <c r="V167" s="557">
        <v>0</v>
      </c>
    </row>
    <row r="168" spans="1:22">
      <c r="B168" t="s">
        <v>326</v>
      </c>
      <c r="C168" t="s">
        <v>327</v>
      </c>
      <c r="D168" t="s">
        <v>328</v>
      </c>
      <c r="E168">
        <v>224004</v>
      </c>
      <c r="F168">
        <v>53297.440000000002</v>
      </c>
      <c r="H168"/>
      <c r="I168" s="381">
        <v>15089.11</v>
      </c>
      <c r="J168" s="381">
        <v>16899.45</v>
      </c>
      <c r="K168" s="381">
        <v>21308.880000000001</v>
      </c>
      <c r="L168" s="381">
        <v>16899.62</v>
      </c>
      <c r="M168" s="381">
        <v>-34566.71</v>
      </c>
      <c r="N168" s="381">
        <v>0</v>
      </c>
      <c r="O168" s="381">
        <v>0</v>
      </c>
      <c r="P168" s="381">
        <v>0</v>
      </c>
      <c r="Q168" s="381">
        <v>0</v>
      </c>
      <c r="R168" s="381">
        <v>0</v>
      </c>
      <c r="S168" s="381">
        <v>0</v>
      </c>
      <c r="T168" s="381">
        <v>0</v>
      </c>
      <c r="U168" s="381">
        <v>35630.35</v>
      </c>
      <c r="V168" s="381">
        <v>-17667.090000000004</v>
      </c>
    </row>
    <row r="169" spans="1:22">
      <c r="B169" t="s">
        <v>329</v>
      </c>
      <c r="C169" t="s">
        <v>330</v>
      </c>
      <c r="D169" t="s">
        <v>67</v>
      </c>
      <c r="E169">
        <v>0</v>
      </c>
      <c r="F169">
        <v>112717.21</v>
      </c>
      <c r="H169"/>
      <c r="I169">
        <v>94047.88</v>
      </c>
      <c r="J169">
        <v>124852.13</v>
      </c>
      <c r="K169">
        <v>-106182.8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112717.21</v>
      </c>
      <c r="V169" s="557">
        <v>0</v>
      </c>
    </row>
    <row r="170" spans="1:22">
      <c r="B170" t="s">
        <v>331</v>
      </c>
      <c r="C170" t="s">
        <v>147</v>
      </c>
      <c r="D170" t="s">
        <v>25</v>
      </c>
      <c r="E170">
        <v>0</v>
      </c>
      <c r="F170">
        <v>79.110000000000298</v>
      </c>
      <c r="H170"/>
      <c r="I170" s="381">
        <v>0.01</v>
      </c>
      <c r="J170" s="381">
        <v>0.42</v>
      </c>
      <c r="K170" s="381">
        <v>78.680000000000291</v>
      </c>
      <c r="L170" s="381">
        <v>-0.62</v>
      </c>
      <c r="M170" s="381">
        <v>-20720.55</v>
      </c>
      <c r="N170" s="381">
        <v>0</v>
      </c>
      <c r="O170" s="381">
        <v>0</v>
      </c>
      <c r="P170" s="381">
        <v>0</v>
      </c>
      <c r="Q170" s="381">
        <v>0</v>
      </c>
      <c r="R170" s="381">
        <v>0</v>
      </c>
      <c r="S170" s="381">
        <v>0</v>
      </c>
      <c r="T170" s="381">
        <v>0</v>
      </c>
      <c r="U170" s="381">
        <v>-20642.059999999998</v>
      </c>
      <c r="V170" s="381">
        <v>-20721.169999999998</v>
      </c>
    </row>
    <row r="171" spans="1:22">
      <c r="A171" t="s">
        <v>332</v>
      </c>
      <c r="E171">
        <v>18381664.609998003</v>
      </c>
      <c r="F171">
        <v>13516512.650000002</v>
      </c>
      <c r="H171"/>
      <c r="I171">
        <v>1145876.9700000004</v>
      </c>
      <c r="J171">
        <v>2144252.9</v>
      </c>
      <c r="K171">
        <v>425293.00000000023</v>
      </c>
      <c r="L171">
        <v>2947875.4400000004</v>
      </c>
      <c r="M171">
        <v>-511809.29000000021</v>
      </c>
      <c r="N171">
        <v>893751.29000000015</v>
      </c>
      <c r="O171">
        <v>984504.57666666666</v>
      </c>
      <c r="P171">
        <v>1326130.9966666664</v>
      </c>
      <c r="Q171">
        <v>1243543.9966666666</v>
      </c>
      <c r="R171">
        <v>1140126.6399999999</v>
      </c>
      <c r="S171">
        <v>1113613.5899999999</v>
      </c>
      <c r="T171">
        <v>1072198.8399999999</v>
      </c>
      <c r="U171">
        <v>13925358.950000007</v>
      </c>
      <c r="V171" s="557">
        <v>408846.3</v>
      </c>
    </row>
    <row r="172" spans="1:22">
      <c r="A172" t="s">
        <v>333</v>
      </c>
      <c r="B172" t="s">
        <v>334</v>
      </c>
      <c r="E172">
        <v>0</v>
      </c>
      <c r="F172">
        <v>22573.91</v>
      </c>
      <c r="H172"/>
      <c r="I172">
        <v>656</v>
      </c>
      <c r="J172">
        <v>1537.91</v>
      </c>
      <c r="K172">
        <v>2038</v>
      </c>
      <c r="L172">
        <v>1762</v>
      </c>
      <c r="M172">
        <v>2888.0000000000005</v>
      </c>
      <c r="N172">
        <v>1761.9999999999998</v>
      </c>
      <c r="O172">
        <v>2038</v>
      </c>
      <c r="P172">
        <v>2038</v>
      </c>
      <c r="Q172">
        <v>2038</v>
      </c>
      <c r="R172">
        <v>2038</v>
      </c>
      <c r="S172">
        <v>2038</v>
      </c>
      <c r="T172">
        <v>2038</v>
      </c>
      <c r="U172">
        <v>22871.91</v>
      </c>
      <c r="V172" s="557">
        <v>298</v>
      </c>
    </row>
    <row r="173" spans="1:22">
      <c r="B173" t="s">
        <v>335</v>
      </c>
      <c r="C173" t="s">
        <v>336</v>
      </c>
      <c r="D173" t="s">
        <v>25</v>
      </c>
      <c r="E173">
        <v>0</v>
      </c>
      <c r="F173">
        <v>6232.2000000000016</v>
      </c>
      <c r="H173"/>
      <c r="I173">
        <v>519.35</v>
      </c>
      <c r="J173">
        <v>519.35</v>
      </c>
      <c r="K173">
        <v>519.35</v>
      </c>
      <c r="L173">
        <v>519.35</v>
      </c>
      <c r="M173">
        <v>519.35</v>
      </c>
      <c r="N173">
        <v>519.35</v>
      </c>
      <c r="O173">
        <v>519.35</v>
      </c>
      <c r="P173">
        <v>519.35</v>
      </c>
      <c r="Q173">
        <v>519.35</v>
      </c>
      <c r="R173">
        <v>519.35</v>
      </c>
      <c r="S173">
        <v>519.35</v>
      </c>
      <c r="T173">
        <v>519.35</v>
      </c>
      <c r="U173">
        <v>6232.2000000000016</v>
      </c>
      <c r="V173" s="557">
        <v>0</v>
      </c>
    </row>
    <row r="174" spans="1:22">
      <c r="B174" t="s">
        <v>337</v>
      </c>
      <c r="C174" t="s">
        <v>336</v>
      </c>
      <c r="D174" t="s">
        <v>25</v>
      </c>
      <c r="E174">
        <v>32110933.16</v>
      </c>
      <c r="F174">
        <v>34776964.509999998</v>
      </c>
      <c r="H174"/>
      <c r="I174" s="381">
        <v>2815401.65</v>
      </c>
      <c r="J174" s="381">
        <v>3048747.85</v>
      </c>
      <c r="K174" s="381">
        <v>3023274.85</v>
      </c>
      <c r="L174" s="381">
        <v>2973909.3200000008</v>
      </c>
      <c r="M174" s="381">
        <v>3071979.6400000011</v>
      </c>
      <c r="N174" s="381">
        <v>3001258.7400000012</v>
      </c>
      <c r="O174" s="381">
        <v>2979343.79</v>
      </c>
      <c r="P174" s="381">
        <v>2959650.97</v>
      </c>
      <c r="Q174" s="381">
        <v>2826063.51</v>
      </c>
      <c r="R174" s="381">
        <v>2685256.61</v>
      </c>
      <c r="S174" s="381">
        <v>2685257.5</v>
      </c>
      <c r="T174" s="381">
        <v>2685256.57</v>
      </c>
      <c r="U174" s="381">
        <v>34755401</v>
      </c>
      <c r="V174" s="381">
        <v>-21563.509999995829</v>
      </c>
    </row>
    <row r="175" spans="1:22">
      <c r="B175" t="s">
        <v>338</v>
      </c>
      <c r="C175" t="s">
        <v>339</v>
      </c>
      <c r="D175" t="s">
        <v>340</v>
      </c>
      <c r="E175">
        <v>3047384</v>
      </c>
      <c r="F175">
        <v>147762.3031111111</v>
      </c>
      <c r="H175"/>
      <c r="I175" s="381"/>
      <c r="J175" s="381"/>
      <c r="K175" s="381"/>
      <c r="L175" s="381">
        <v>0</v>
      </c>
      <c r="M175" s="381">
        <v>0</v>
      </c>
      <c r="N175" s="381">
        <v>0</v>
      </c>
      <c r="O175" s="381">
        <v>14573.083333333334</v>
      </c>
      <c r="P175" s="381">
        <v>14573.083333333334</v>
      </c>
      <c r="Q175" s="381">
        <v>14573.083333333334</v>
      </c>
      <c r="R175" s="381">
        <v>23051.972222222223</v>
      </c>
      <c r="S175" s="381">
        <v>23190.861111111109</v>
      </c>
      <c r="T175" s="381">
        <v>28256.527777777777</v>
      </c>
      <c r="U175" s="381">
        <v>118218.61111111111</v>
      </c>
      <c r="V175" s="381">
        <v>-29543.691999999995</v>
      </c>
    </row>
    <row r="176" spans="1:22">
      <c r="A176" t="s">
        <v>341</v>
      </c>
      <c r="E176">
        <v>35158317.159999996</v>
      </c>
      <c r="F176">
        <v>34953532.923111111</v>
      </c>
      <c r="H176"/>
      <c r="I176">
        <v>2816577</v>
      </c>
      <c r="J176">
        <v>3050805.11</v>
      </c>
      <c r="K176">
        <v>3025832.2</v>
      </c>
      <c r="L176">
        <v>2976190.6700000009</v>
      </c>
      <c r="M176">
        <v>3075386.9900000012</v>
      </c>
      <c r="N176">
        <v>3003540.0900000012</v>
      </c>
      <c r="O176">
        <v>2996474.2233333336</v>
      </c>
      <c r="P176">
        <v>2976781.4033333338</v>
      </c>
      <c r="Q176">
        <v>2843193.9433333334</v>
      </c>
      <c r="R176">
        <v>2710865.932222222</v>
      </c>
      <c r="S176">
        <v>2711005.7111111111</v>
      </c>
      <c r="T176">
        <v>2716070.4477777779</v>
      </c>
      <c r="U176">
        <v>34902723.721111111</v>
      </c>
      <c r="V176" s="557">
        <v>-50809.201999995828</v>
      </c>
    </row>
    <row r="177" spans="1:22">
      <c r="A177" t="s">
        <v>342</v>
      </c>
      <c r="B177" t="s">
        <v>343</v>
      </c>
      <c r="C177" t="s">
        <v>344</v>
      </c>
      <c r="D177" t="s">
        <v>152</v>
      </c>
      <c r="E177">
        <v>51615</v>
      </c>
      <c r="F177">
        <v>38711.25</v>
      </c>
      <c r="H177"/>
      <c r="I177" s="381"/>
      <c r="J177" s="381"/>
      <c r="K177" s="381"/>
      <c r="L177" s="381">
        <v>0</v>
      </c>
      <c r="M177" s="381">
        <v>0</v>
      </c>
      <c r="N177" s="381">
        <v>0</v>
      </c>
      <c r="O177" s="381">
        <v>4301.25</v>
      </c>
      <c r="P177" s="381">
        <v>4301.25</v>
      </c>
      <c r="Q177" s="381">
        <v>4301.25</v>
      </c>
      <c r="R177" s="381">
        <v>4301.25</v>
      </c>
      <c r="S177" s="381">
        <v>4301.25</v>
      </c>
      <c r="T177" s="381">
        <v>4301.25</v>
      </c>
      <c r="U177" s="381">
        <v>25807.5</v>
      </c>
      <c r="V177" s="381">
        <v>-12903.75</v>
      </c>
    </row>
    <row r="178" spans="1:22">
      <c r="B178" t="s">
        <v>345</v>
      </c>
      <c r="C178" t="s">
        <v>346</v>
      </c>
      <c r="D178" t="s">
        <v>152</v>
      </c>
      <c r="E178">
        <v>-12195</v>
      </c>
      <c r="F178">
        <v>-9146.25</v>
      </c>
      <c r="H178"/>
      <c r="I178" s="381"/>
      <c r="J178" s="381"/>
      <c r="K178" s="381"/>
      <c r="L178" s="381">
        <v>0</v>
      </c>
      <c r="M178" s="381">
        <v>0</v>
      </c>
      <c r="N178" s="381">
        <v>0</v>
      </c>
      <c r="O178" s="381">
        <v>-1016.25</v>
      </c>
      <c r="P178" s="381">
        <v>-1016.25</v>
      </c>
      <c r="Q178" s="381">
        <v>-1016.25</v>
      </c>
      <c r="R178" s="381">
        <v>-1016.25</v>
      </c>
      <c r="S178" s="381">
        <v>-1016.25</v>
      </c>
      <c r="T178" s="381">
        <v>-1016.25</v>
      </c>
      <c r="U178" s="381">
        <v>-6097.5</v>
      </c>
      <c r="V178" s="381">
        <v>3048.75</v>
      </c>
    </row>
    <row r="179" spans="1:22">
      <c r="B179" t="s">
        <v>347</v>
      </c>
      <c r="C179" t="s">
        <v>348</v>
      </c>
      <c r="D179" t="s">
        <v>152</v>
      </c>
      <c r="E179">
        <v>-12195</v>
      </c>
      <c r="F179">
        <v>-9146.25</v>
      </c>
      <c r="H179"/>
      <c r="I179" s="381"/>
      <c r="J179" s="381"/>
      <c r="K179" s="381"/>
      <c r="L179" s="381">
        <v>0</v>
      </c>
      <c r="M179" s="381">
        <v>0</v>
      </c>
      <c r="N179" s="381">
        <v>0</v>
      </c>
      <c r="O179" s="381">
        <v>-1016.25</v>
      </c>
      <c r="P179" s="381">
        <v>-1016.25</v>
      </c>
      <c r="Q179" s="381">
        <v>-1016.25</v>
      </c>
      <c r="R179" s="381">
        <v>-1016.25</v>
      </c>
      <c r="S179" s="381">
        <v>-1016.25</v>
      </c>
      <c r="T179" s="381">
        <v>-1016.25</v>
      </c>
      <c r="U179" s="381">
        <v>-6097.5</v>
      </c>
      <c r="V179" s="381">
        <v>3048.75</v>
      </c>
    </row>
    <row r="180" spans="1:22">
      <c r="B180" t="s">
        <v>349</v>
      </c>
      <c r="C180" t="s">
        <v>350</v>
      </c>
      <c r="D180" t="s">
        <v>25</v>
      </c>
      <c r="E180">
        <v>0</v>
      </c>
      <c r="F180">
        <v>-904.37</v>
      </c>
      <c r="H180"/>
      <c r="I180"/>
      <c r="J180">
        <v>-904.37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-904.37</v>
      </c>
      <c r="V180" s="557">
        <v>0</v>
      </c>
    </row>
    <row r="181" spans="1:22">
      <c r="B181" t="s">
        <v>351</v>
      </c>
      <c r="C181" t="s">
        <v>352</v>
      </c>
      <c r="D181" t="s">
        <v>25</v>
      </c>
      <c r="E181">
        <v>0</v>
      </c>
      <c r="F181">
        <v>0</v>
      </c>
      <c r="H181"/>
      <c r="I181" s="381"/>
      <c r="J181" s="381"/>
      <c r="K181" s="381">
        <v>0</v>
      </c>
      <c r="L181" s="381">
        <v>-12412.23</v>
      </c>
      <c r="M181" s="381">
        <v>0</v>
      </c>
      <c r="N181" s="381">
        <v>0</v>
      </c>
      <c r="O181" s="381">
        <v>0</v>
      </c>
      <c r="P181" s="381">
        <v>0</v>
      </c>
      <c r="Q181" s="381">
        <v>0</v>
      </c>
      <c r="R181" s="381">
        <v>0</v>
      </c>
      <c r="S181" s="381">
        <v>0</v>
      </c>
      <c r="T181" s="381">
        <v>0</v>
      </c>
      <c r="U181" s="381">
        <v>-12412.23</v>
      </c>
      <c r="V181" s="381">
        <v>-12412.23</v>
      </c>
    </row>
    <row r="182" spans="1:22" hidden="1">
      <c r="B182" t="s">
        <v>353</v>
      </c>
      <c r="C182" t="s">
        <v>354</v>
      </c>
      <c r="D182" t="s">
        <v>25</v>
      </c>
      <c r="E182">
        <v>0</v>
      </c>
      <c r="F182">
        <v>0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557">
        <v>0</v>
      </c>
    </row>
    <row r="183" spans="1:22">
      <c r="B183" t="s">
        <v>355</v>
      </c>
      <c r="C183" t="s">
        <v>356</v>
      </c>
      <c r="D183" t="s">
        <v>25</v>
      </c>
      <c r="E183">
        <v>0</v>
      </c>
      <c r="F183">
        <v>0</v>
      </c>
      <c r="H183"/>
      <c r="I183" s="381"/>
      <c r="J183" s="381">
        <v>0</v>
      </c>
      <c r="K183" s="381">
        <v>0</v>
      </c>
      <c r="L183" s="381">
        <v>-3033.45</v>
      </c>
      <c r="M183" s="381">
        <v>0</v>
      </c>
      <c r="N183" s="381">
        <v>0</v>
      </c>
      <c r="O183" s="381">
        <v>0</v>
      </c>
      <c r="P183" s="381">
        <v>0</v>
      </c>
      <c r="Q183" s="381">
        <v>0</v>
      </c>
      <c r="R183" s="381">
        <v>0</v>
      </c>
      <c r="S183" s="381">
        <v>0</v>
      </c>
      <c r="T183" s="381">
        <v>0</v>
      </c>
      <c r="U183" s="381">
        <v>-3033.45</v>
      </c>
      <c r="V183" s="381">
        <v>-3033.45</v>
      </c>
    </row>
    <row r="184" spans="1:22">
      <c r="B184" t="s">
        <v>357</v>
      </c>
      <c r="C184" t="s">
        <v>358</v>
      </c>
      <c r="D184" t="s">
        <v>54</v>
      </c>
      <c r="H184"/>
      <c r="I184" s="381"/>
      <c r="J184" s="381"/>
      <c r="K184" s="381"/>
      <c r="L184" s="381">
        <v>-638.70000000000005</v>
      </c>
      <c r="M184" s="381">
        <v>0</v>
      </c>
      <c r="N184" s="381">
        <v>0</v>
      </c>
      <c r="O184" s="381"/>
      <c r="P184" s="381"/>
      <c r="Q184" s="381"/>
      <c r="R184" s="381"/>
      <c r="S184" s="381"/>
      <c r="T184" s="381"/>
      <c r="U184" s="381">
        <v>-638.70000000000005</v>
      </c>
      <c r="V184" s="381">
        <v>-638.70000000000005</v>
      </c>
    </row>
    <row r="185" spans="1:22" hidden="1">
      <c r="B185" t="s">
        <v>359</v>
      </c>
      <c r="C185" t="s">
        <v>360</v>
      </c>
      <c r="D185" t="s">
        <v>25</v>
      </c>
      <c r="E185">
        <v>0</v>
      </c>
      <c r="F185">
        <v>0</v>
      </c>
      <c r="H185"/>
      <c r="I185"/>
      <c r="J185"/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557">
        <v>0</v>
      </c>
    </row>
    <row r="186" spans="1:22" hidden="1">
      <c r="B186" t="s">
        <v>361</v>
      </c>
      <c r="C186" t="s">
        <v>362</v>
      </c>
      <c r="D186" t="s">
        <v>54</v>
      </c>
      <c r="F186">
        <v>0</v>
      </c>
      <c r="H186"/>
      <c r="I186"/>
      <c r="J186"/>
      <c r="K186"/>
      <c r="L186">
        <v>0</v>
      </c>
      <c r="M186">
        <v>0</v>
      </c>
      <c r="N186">
        <v>0</v>
      </c>
      <c r="O186"/>
      <c r="P186"/>
      <c r="Q186"/>
      <c r="R186"/>
      <c r="S186"/>
      <c r="T186"/>
      <c r="U186">
        <v>0</v>
      </c>
      <c r="V186" s="557">
        <v>0</v>
      </c>
    </row>
    <row r="187" spans="1:22">
      <c r="B187" t="s">
        <v>363</v>
      </c>
      <c r="C187" t="s">
        <v>56</v>
      </c>
      <c r="D187" t="s">
        <v>57</v>
      </c>
      <c r="E187">
        <v>0</v>
      </c>
      <c r="F187">
        <v>2120</v>
      </c>
      <c r="H187"/>
      <c r="I187">
        <v>2120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2120</v>
      </c>
      <c r="V187" s="557">
        <v>0</v>
      </c>
    </row>
    <row r="188" spans="1:22">
      <c r="B188" t="s">
        <v>364</v>
      </c>
      <c r="C188" t="s">
        <v>365</v>
      </c>
      <c r="D188" t="s">
        <v>57</v>
      </c>
      <c r="E188">
        <v>0</v>
      </c>
      <c r="F188">
        <v>2975.3</v>
      </c>
      <c r="H188"/>
      <c r="I188" s="381">
        <v>1166.01</v>
      </c>
      <c r="J188" s="381">
        <v>0</v>
      </c>
      <c r="K188" s="381">
        <v>1809.29</v>
      </c>
      <c r="L188" s="381">
        <v>5526.11</v>
      </c>
      <c r="M188" s="381">
        <v>299.02999999999997</v>
      </c>
      <c r="N188" s="381">
        <v>2147</v>
      </c>
      <c r="O188" s="381">
        <v>0</v>
      </c>
      <c r="P188" s="381">
        <v>0</v>
      </c>
      <c r="Q188" s="381">
        <v>0</v>
      </c>
      <c r="R188" s="381">
        <v>0</v>
      </c>
      <c r="S188" s="381">
        <v>0</v>
      </c>
      <c r="T188" s="381">
        <v>0</v>
      </c>
      <c r="U188" s="381">
        <v>10947.44</v>
      </c>
      <c r="V188" s="381">
        <v>7972.14</v>
      </c>
    </row>
    <row r="189" spans="1:22" hidden="1">
      <c r="B189" t="s">
        <v>366</v>
      </c>
      <c r="C189" t="s">
        <v>367</v>
      </c>
      <c r="D189" t="s">
        <v>368</v>
      </c>
      <c r="E189">
        <v>749252.78</v>
      </c>
      <c r="F189">
        <v>0</v>
      </c>
      <c r="H189"/>
      <c r="I189"/>
      <c r="J189"/>
      <c r="K189"/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557">
        <v>0</v>
      </c>
    </row>
    <row r="190" spans="1:22" hidden="1">
      <c r="B190" t="s">
        <v>369</v>
      </c>
      <c r="C190" t="s">
        <v>370</v>
      </c>
      <c r="D190" t="s">
        <v>368</v>
      </c>
      <c r="E190">
        <v>-749252.78</v>
      </c>
      <c r="F190">
        <v>0</v>
      </c>
      <c r="H190"/>
      <c r="I190" s="381"/>
      <c r="J190" s="381"/>
      <c r="K190" s="381"/>
      <c r="L190" s="381">
        <v>0</v>
      </c>
      <c r="M190" s="381">
        <v>0</v>
      </c>
      <c r="N190" s="381">
        <v>0</v>
      </c>
      <c r="O190" s="381">
        <v>0</v>
      </c>
      <c r="P190" s="381">
        <v>0</v>
      </c>
      <c r="Q190" s="381">
        <v>0</v>
      </c>
      <c r="R190" s="381">
        <v>0</v>
      </c>
      <c r="S190" s="381">
        <v>0</v>
      </c>
      <c r="T190" s="381">
        <v>0</v>
      </c>
      <c r="U190" s="381">
        <v>0</v>
      </c>
      <c r="V190" s="381">
        <v>0</v>
      </c>
    </row>
    <row r="191" spans="1:22" hidden="1">
      <c r="B191" t="s">
        <v>371</v>
      </c>
      <c r="C191" t="s">
        <v>372</v>
      </c>
      <c r="D191" t="s">
        <v>368</v>
      </c>
      <c r="E191">
        <v>783580.73</v>
      </c>
      <c r="F191">
        <v>0</v>
      </c>
      <c r="H191"/>
      <c r="I191"/>
      <c r="J191"/>
      <c r="K191"/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557">
        <v>0</v>
      </c>
    </row>
    <row r="192" spans="1:22" hidden="1">
      <c r="B192" t="s">
        <v>373</v>
      </c>
      <c r="C192" t="s">
        <v>374</v>
      </c>
      <c r="D192" t="s">
        <v>368</v>
      </c>
      <c r="E192">
        <v>-783580.73</v>
      </c>
      <c r="F192">
        <v>0</v>
      </c>
      <c r="H192"/>
      <c r="I192"/>
      <c r="J192"/>
      <c r="K192"/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557">
        <v>0</v>
      </c>
    </row>
    <row r="193" spans="1:22">
      <c r="B193" t="s">
        <v>375</v>
      </c>
      <c r="C193" t="s">
        <v>147</v>
      </c>
      <c r="D193" t="s">
        <v>25</v>
      </c>
      <c r="E193">
        <v>0</v>
      </c>
      <c r="F193">
        <v>0.62000000000000011</v>
      </c>
      <c r="H193"/>
      <c r="I193">
        <v>-0.1</v>
      </c>
      <c r="J193">
        <v>-0.09</v>
      </c>
      <c r="K193">
        <v>0.81</v>
      </c>
      <c r="L193">
        <v>-0.53</v>
      </c>
      <c r="M193">
        <v>0.61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0.70000000000000007</v>
      </c>
      <c r="V193" s="557">
        <v>7.999999999999996E-2</v>
      </c>
    </row>
    <row r="194" spans="1:22" hidden="1">
      <c r="D194" t="s">
        <v>54</v>
      </c>
      <c r="H194"/>
      <c r="I194"/>
      <c r="J194"/>
      <c r="K194"/>
      <c r="L194"/>
      <c r="M194">
        <v>0</v>
      </c>
      <c r="N194">
        <v>0</v>
      </c>
      <c r="O194"/>
      <c r="P194"/>
      <c r="Q194"/>
      <c r="R194"/>
      <c r="S194"/>
      <c r="T194"/>
      <c r="U194">
        <v>0</v>
      </c>
      <c r="V194" s="557">
        <v>0</v>
      </c>
    </row>
    <row r="195" spans="1:22">
      <c r="B195" t="s">
        <v>376</v>
      </c>
      <c r="C195" t="s">
        <v>350</v>
      </c>
      <c r="D195" t="s">
        <v>25</v>
      </c>
      <c r="E195">
        <v>0</v>
      </c>
      <c r="F195">
        <v>904.37</v>
      </c>
      <c r="H195"/>
      <c r="I195">
        <v>904.37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904.37</v>
      </c>
      <c r="V195" s="557">
        <v>0</v>
      </c>
    </row>
    <row r="196" spans="1:22">
      <c r="B196" t="s">
        <v>377</v>
      </c>
      <c r="C196" t="s">
        <v>352</v>
      </c>
      <c r="D196" t="s">
        <v>25</v>
      </c>
      <c r="E196">
        <v>0</v>
      </c>
      <c r="F196">
        <v>0</v>
      </c>
      <c r="H196"/>
      <c r="I196" s="381"/>
      <c r="J196" s="381"/>
      <c r="K196" s="381">
        <v>0</v>
      </c>
      <c r="L196" s="381">
        <v>-11818.05</v>
      </c>
      <c r="M196" s="381">
        <v>0</v>
      </c>
      <c r="N196" s="381">
        <v>0</v>
      </c>
      <c r="O196" s="381">
        <v>0</v>
      </c>
      <c r="P196" s="381">
        <v>0</v>
      </c>
      <c r="Q196" s="381">
        <v>0</v>
      </c>
      <c r="R196" s="381">
        <v>0</v>
      </c>
      <c r="S196" s="381">
        <v>0</v>
      </c>
      <c r="T196" s="381">
        <v>0</v>
      </c>
      <c r="U196" s="381">
        <v>-11818.05</v>
      </c>
      <c r="V196" s="381">
        <v>-11818.05</v>
      </c>
    </row>
    <row r="197" spans="1:22" hidden="1">
      <c r="B197" t="s">
        <v>378</v>
      </c>
      <c r="C197" t="s">
        <v>356</v>
      </c>
      <c r="D197" t="s">
        <v>25</v>
      </c>
      <c r="E197">
        <v>0</v>
      </c>
      <c r="F197">
        <v>0</v>
      </c>
      <c r="H197"/>
      <c r="I197"/>
      <c r="J197"/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557">
        <v>0</v>
      </c>
    </row>
    <row r="198" spans="1:22">
      <c r="B198" t="s">
        <v>379</v>
      </c>
      <c r="C198" t="s">
        <v>358</v>
      </c>
      <c r="D198" t="s">
        <v>25</v>
      </c>
      <c r="E198">
        <v>0</v>
      </c>
      <c r="F198">
        <v>0</v>
      </c>
      <c r="H198"/>
      <c r="I198" s="381"/>
      <c r="J198" s="381"/>
      <c r="K198" s="381">
        <v>0</v>
      </c>
      <c r="L198" s="381">
        <v>-1485.86</v>
      </c>
      <c r="M198" s="381">
        <v>0</v>
      </c>
      <c r="N198" s="381">
        <v>0</v>
      </c>
      <c r="O198" s="381">
        <v>0</v>
      </c>
      <c r="P198" s="381">
        <v>0</v>
      </c>
      <c r="Q198" s="381">
        <v>0</v>
      </c>
      <c r="R198" s="381">
        <v>0</v>
      </c>
      <c r="S198" s="381">
        <v>0</v>
      </c>
      <c r="T198" s="381">
        <v>0</v>
      </c>
      <c r="U198" s="381">
        <v>-1485.86</v>
      </c>
      <c r="V198" s="381">
        <v>-1485.86</v>
      </c>
    </row>
    <row r="199" spans="1:22" hidden="1">
      <c r="B199" t="s">
        <v>380</v>
      </c>
      <c r="C199" t="s">
        <v>362</v>
      </c>
      <c r="D199" t="s">
        <v>54</v>
      </c>
      <c r="F199">
        <v>0</v>
      </c>
      <c r="H199"/>
      <c r="I199"/>
      <c r="J199"/>
      <c r="K199"/>
      <c r="L199">
        <v>0</v>
      </c>
      <c r="M199">
        <v>0</v>
      </c>
      <c r="N199">
        <v>0</v>
      </c>
      <c r="O199"/>
      <c r="P199"/>
      <c r="Q199"/>
      <c r="R199"/>
      <c r="S199"/>
      <c r="T199"/>
      <c r="U199">
        <v>0</v>
      </c>
      <c r="V199" s="557">
        <v>0</v>
      </c>
    </row>
    <row r="200" spans="1:22">
      <c r="B200" t="s">
        <v>381</v>
      </c>
      <c r="C200" t="s">
        <v>365</v>
      </c>
      <c r="D200" t="s">
        <v>57</v>
      </c>
      <c r="E200">
        <v>0</v>
      </c>
      <c r="F200">
        <v>4063.1000000000004</v>
      </c>
      <c r="H200"/>
      <c r="I200" s="381">
        <v>322.64</v>
      </c>
      <c r="J200" s="381">
        <v>376.04</v>
      </c>
      <c r="K200" s="381">
        <v>3364.42</v>
      </c>
      <c r="L200" s="381">
        <v>389.04999999999995</v>
      </c>
      <c r="M200" s="381">
        <v>3602.75</v>
      </c>
      <c r="N200" s="381">
        <v>278.59000000000003</v>
      </c>
      <c r="O200" s="381">
        <v>0</v>
      </c>
      <c r="P200" s="381">
        <v>0</v>
      </c>
      <c r="Q200" s="381">
        <v>0</v>
      </c>
      <c r="R200" s="381">
        <v>0</v>
      </c>
      <c r="S200" s="381">
        <v>0</v>
      </c>
      <c r="T200" s="381">
        <v>0</v>
      </c>
      <c r="U200" s="381">
        <v>8333.49</v>
      </c>
      <c r="V200" s="381">
        <v>4270.3899999999994</v>
      </c>
    </row>
    <row r="201" spans="1:22">
      <c r="B201" t="s">
        <v>382</v>
      </c>
      <c r="C201" t="s">
        <v>383</v>
      </c>
      <c r="D201" t="s">
        <v>25</v>
      </c>
      <c r="E201">
        <v>1659</v>
      </c>
      <c r="F201">
        <v>1209</v>
      </c>
      <c r="H201"/>
      <c r="I201" s="381"/>
      <c r="J201" s="381"/>
      <c r="K201" s="381"/>
      <c r="L201" s="381">
        <v>0</v>
      </c>
      <c r="M201" s="381">
        <v>0</v>
      </c>
      <c r="N201" s="381">
        <v>0</v>
      </c>
      <c r="O201" s="381">
        <v>150</v>
      </c>
      <c r="P201" s="381">
        <v>150</v>
      </c>
      <c r="Q201" s="381">
        <v>150</v>
      </c>
      <c r="R201" s="381">
        <v>150</v>
      </c>
      <c r="S201" s="381">
        <v>0</v>
      </c>
      <c r="T201" s="381">
        <v>150</v>
      </c>
      <c r="U201" s="381">
        <v>750</v>
      </c>
      <c r="V201" s="381">
        <v>-459</v>
      </c>
    </row>
    <row r="202" spans="1:22">
      <c r="B202" t="s">
        <v>384</v>
      </c>
      <c r="C202" t="s">
        <v>147</v>
      </c>
      <c r="D202" t="s">
        <v>25</v>
      </c>
      <c r="E202">
        <v>0</v>
      </c>
      <c r="F202">
        <v>835.19</v>
      </c>
      <c r="H202"/>
      <c r="I202" s="381">
        <v>-0.14000000000000001</v>
      </c>
      <c r="J202" s="381">
        <v>464.29</v>
      </c>
      <c r="K202" s="381">
        <v>371.03999999999996</v>
      </c>
      <c r="L202" s="381">
        <v>-6.9999999999999993E-2</v>
      </c>
      <c r="M202" s="381">
        <v>2499.4899999999998</v>
      </c>
      <c r="N202" s="381">
        <v>-0.11</v>
      </c>
      <c r="O202" s="381">
        <v>0</v>
      </c>
      <c r="P202" s="381">
        <v>0</v>
      </c>
      <c r="Q202" s="381">
        <v>0</v>
      </c>
      <c r="R202" s="381">
        <v>0</v>
      </c>
      <c r="S202" s="381">
        <v>0</v>
      </c>
      <c r="T202" s="381">
        <v>0</v>
      </c>
      <c r="U202" s="381">
        <v>3334.5</v>
      </c>
      <c r="V202" s="381">
        <v>2499.3099999999995</v>
      </c>
    </row>
    <row r="203" spans="1:22">
      <c r="B203" t="s">
        <v>385</v>
      </c>
      <c r="C203" t="s">
        <v>56</v>
      </c>
      <c r="D203" t="s">
        <v>57</v>
      </c>
      <c r="E203">
        <v>0</v>
      </c>
      <c r="F203">
        <v>1060</v>
      </c>
      <c r="H203"/>
      <c r="I203"/>
      <c r="J203">
        <v>1060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1060</v>
      </c>
      <c r="V203" s="557">
        <v>0</v>
      </c>
    </row>
    <row r="204" spans="1:22">
      <c r="B204" t="s">
        <v>386</v>
      </c>
      <c r="C204" t="s">
        <v>365</v>
      </c>
      <c r="D204" t="s">
        <v>57</v>
      </c>
      <c r="E204">
        <v>0</v>
      </c>
      <c r="F204">
        <v>2902.66</v>
      </c>
      <c r="H204"/>
      <c r="I204" s="381"/>
      <c r="J204" s="381"/>
      <c r="K204" s="381">
        <v>2902.66</v>
      </c>
      <c r="L204" s="381">
        <v>229.1</v>
      </c>
      <c r="M204" s="381">
        <v>87.28</v>
      </c>
      <c r="N204" s="381">
        <v>0</v>
      </c>
      <c r="O204" s="381">
        <v>0</v>
      </c>
      <c r="P204" s="381">
        <v>0</v>
      </c>
      <c r="Q204" s="381">
        <v>0</v>
      </c>
      <c r="R204" s="381">
        <v>0</v>
      </c>
      <c r="S204" s="381">
        <v>0</v>
      </c>
      <c r="T204" s="381">
        <v>0</v>
      </c>
      <c r="U204" s="381">
        <v>3219.04</v>
      </c>
      <c r="V204" s="381">
        <v>316.38000000000011</v>
      </c>
    </row>
    <row r="205" spans="1:22">
      <c r="B205" t="s">
        <v>387</v>
      </c>
      <c r="C205" t="s">
        <v>147</v>
      </c>
      <c r="D205" t="s">
        <v>25</v>
      </c>
      <c r="E205">
        <v>0</v>
      </c>
      <c r="F205">
        <v>420.97</v>
      </c>
      <c r="H205"/>
      <c r="I205" s="381"/>
      <c r="J205" s="381"/>
      <c r="K205" s="381">
        <v>420.97</v>
      </c>
      <c r="L205" s="381">
        <v>-0.11</v>
      </c>
      <c r="M205" s="381">
        <v>0.21</v>
      </c>
      <c r="N205" s="381">
        <v>0</v>
      </c>
      <c r="O205" s="381">
        <v>0</v>
      </c>
      <c r="P205" s="381">
        <v>0</v>
      </c>
      <c r="Q205" s="381">
        <v>0</v>
      </c>
      <c r="R205" s="381">
        <v>0</v>
      </c>
      <c r="S205" s="381">
        <v>0</v>
      </c>
      <c r="T205" s="381">
        <v>0</v>
      </c>
      <c r="U205" s="381">
        <v>421.07</v>
      </c>
      <c r="V205" s="381">
        <v>9.9999999999965894E-2</v>
      </c>
    </row>
    <row r="206" spans="1:22">
      <c r="A206" t="s">
        <v>388</v>
      </c>
      <c r="E206">
        <v>28884</v>
      </c>
      <c r="F206">
        <v>36005.589999999997</v>
      </c>
      <c r="H206"/>
      <c r="I206">
        <v>4512.7800000000007</v>
      </c>
      <c r="J206">
        <v>995.86999999999989</v>
      </c>
      <c r="K206">
        <v>8869.19</v>
      </c>
      <c r="L206">
        <v>-23244.74</v>
      </c>
      <c r="M206">
        <v>6489.369999999999</v>
      </c>
      <c r="N206">
        <v>2425.48</v>
      </c>
      <c r="O206">
        <v>2418.75</v>
      </c>
      <c r="P206">
        <v>2418.75</v>
      </c>
      <c r="Q206">
        <v>2418.75</v>
      </c>
      <c r="R206">
        <v>2418.75</v>
      </c>
      <c r="S206">
        <v>2268.75</v>
      </c>
      <c r="T206">
        <v>2418.75</v>
      </c>
      <c r="U206">
        <v>14410.450000000004</v>
      </c>
      <c r="V206" s="557">
        <v>-21595.140000000003</v>
      </c>
    </row>
    <row r="207" spans="1:22" hidden="1">
      <c r="A207" t="s">
        <v>389</v>
      </c>
      <c r="B207" t="s">
        <v>390</v>
      </c>
      <c r="C207" t="s">
        <v>391</v>
      </c>
      <c r="D207" t="s">
        <v>152</v>
      </c>
      <c r="E207">
        <v>183105</v>
      </c>
      <c r="F207">
        <v>0</v>
      </c>
      <c r="H207"/>
      <c r="I207"/>
      <c r="J207"/>
      <c r="K207"/>
      <c r="L207">
        <v>0</v>
      </c>
      <c r="M207">
        <v>0</v>
      </c>
      <c r="N207">
        <v>0</v>
      </c>
      <c r="O207"/>
      <c r="P207"/>
      <c r="Q207"/>
      <c r="R207"/>
      <c r="S207"/>
      <c r="T207"/>
      <c r="U207">
        <v>0</v>
      </c>
      <c r="V207" s="557">
        <v>0</v>
      </c>
    </row>
    <row r="208" spans="1:22">
      <c r="B208" t="s">
        <v>392</v>
      </c>
      <c r="C208" t="s">
        <v>393</v>
      </c>
      <c r="D208" t="s">
        <v>152</v>
      </c>
      <c r="E208">
        <v>0</v>
      </c>
      <c r="F208">
        <v>112500</v>
      </c>
      <c r="H208"/>
      <c r="I208"/>
      <c r="J208"/>
      <c r="K208"/>
      <c r="L208">
        <v>0</v>
      </c>
      <c r="M208">
        <v>0</v>
      </c>
      <c r="N208">
        <v>0</v>
      </c>
      <c r="O208">
        <v>19000</v>
      </c>
      <c r="P208">
        <v>19000</v>
      </c>
      <c r="Q208">
        <v>19000</v>
      </c>
      <c r="R208">
        <v>18500</v>
      </c>
      <c r="S208">
        <v>18500</v>
      </c>
      <c r="T208">
        <v>18500</v>
      </c>
      <c r="U208">
        <v>112500</v>
      </c>
      <c r="V208" s="557">
        <v>0</v>
      </c>
    </row>
    <row r="209" spans="2:22">
      <c r="B209" t="s">
        <v>394</v>
      </c>
      <c r="C209" t="s">
        <v>395</v>
      </c>
      <c r="D209" t="s">
        <v>152</v>
      </c>
      <c r="E209">
        <v>0</v>
      </c>
      <c r="F209">
        <v>90000</v>
      </c>
      <c r="H209"/>
      <c r="I209"/>
      <c r="J209"/>
      <c r="K209"/>
      <c r="L209">
        <v>0</v>
      </c>
      <c r="M209">
        <v>0</v>
      </c>
      <c r="N209">
        <v>0</v>
      </c>
      <c r="O209">
        <v>15000</v>
      </c>
      <c r="P209">
        <v>15000</v>
      </c>
      <c r="Q209">
        <v>15000</v>
      </c>
      <c r="R209">
        <v>15000</v>
      </c>
      <c r="S209">
        <v>15000</v>
      </c>
      <c r="T209">
        <v>15000</v>
      </c>
      <c r="U209">
        <v>90000</v>
      </c>
      <c r="V209" s="557">
        <v>0</v>
      </c>
    </row>
    <row r="210" spans="2:22">
      <c r="B210" t="s">
        <v>396</v>
      </c>
      <c r="C210" t="s">
        <v>397</v>
      </c>
      <c r="D210" t="s">
        <v>398</v>
      </c>
      <c r="E210">
        <v>0</v>
      </c>
      <c r="F210">
        <v>56250</v>
      </c>
      <c r="H210"/>
      <c r="I210"/>
      <c r="J210"/>
      <c r="K210"/>
      <c r="L210">
        <v>0</v>
      </c>
      <c r="M210">
        <v>0</v>
      </c>
      <c r="N210">
        <v>0</v>
      </c>
      <c r="O210">
        <v>9500</v>
      </c>
      <c r="P210">
        <v>9250</v>
      </c>
      <c r="Q210">
        <v>9500</v>
      </c>
      <c r="R210">
        <v>9250</v>
      </c>
      <c r="S210">
        <v>9500</v>
      </c>
      <c r="T210">
        <v>9250</v>
      </c>
      <c r="U210">
        <v>56250</v>
      </c>
      <c r="V210" s="557">
        <v>0</v>
      </c>
    </row>
    <row r="211" spans="2:22">
      <c r="B211" t="s">
        <v>399</v>
      </c>
      <c r="C211" t="s">
        <v>400</v>
      </c>
      <c r="D211" t="s">
        <v>54</v>
      </c>
      <c r="H211"/>
      <c r="I211" s="381"/>
      <c r="J211" s="381"/>
      <c r="K211" s="381"/>
      <c r="L211" s="381">
        <v>19</v>
      </c>
      <c r="M211" s="381">
        <v>0</v>
      </c>
      <c r="N211" s="381">
        <v>0</v>
      </c>
      <c r="O211" s="381"/>
      <c r="P211" s="381"/>
      <c r="Q211" s="381"/>
      <c r="R211" s="381"/>
      <c r="S211" s="381"/>
      <c r="T211" s="381"/>
      <c r="U211" s="381">
        <v>19</v>
      </c>
      <c r="V211" s="381">
        <v>19</v>
      </c>
    </row>
    <row r="212" spans="2:22">
      <c r="B212" t="s">
        <v>401</v>
      </c>
      <c r="C212" t="s">
        <v>402</v>
      </c>
      <c r="D212" t="s">
        <v>54</v>
      </c>
      <c r="H212"/>
      <c r="I212" s="381"/>
      <c r="J212" s="381"/>
      <c r="K212" s="381"/>
      <c r="L212" s="381">
        <v>190</v>
      </c>
      <c r="M212" s="381">
        <v>0</v>
      </c>
      <c r="N212" s="381">
        <v>0</v>
      </c>
      <c r="O212" s="381"/>
      <c r="P212" s="381"/>
      <c r="Q212" s="381"/>
      <c r="R212" s="381"/>
      <c r="S212" s="381"/>
      <c r="T212" s="381"/>
      <c r="U212" s="381">
        <v>190</v>
      </c>
      <c r="V212" s="381">
        <v>190</v>
      </c>
    </row>
    <row r="213" spans="2:22">
      <c r="B213" t="s">
        <v>403</v>
      </c>
      <c r="C213" t="s">
        <v>404</v>
      </c>
      <c r="D213" t="s">
        <v>405</v>
      </c>
      <c r="E213">
        <v>0</v>
      </c>
      <c r="F213">
        <v>0</v>
      </c>
      <c r="H213"/>
      <c r="I213" s="381"/>
      <c r="J213" s="381">
        <v>0</v>
      </c>
      <c r="K213" s="381">
        <v>0</v>
      </c>
      <c r="L213" s="381">
        <v>-1732.97</v>
      </c>
      <c r="M213" s="381">
        <v>0</v>
      </c>
      <c r="N213" s="381">
        <v>0</v>
      </c>
      <c r="O213" s="381">
        <v>0</v>
      </c>
      <c r="P213" s="381">
        <v>0</v>
      </c>
      <c r="Q213" s="381">
        <v>0</v>
      </c>
      <c r="R213" s="381">
        <v>0</v>
      </c>
      <c r="S213" s="381">
        <v>0</v>
      </c>
      <c r="T213" s="381">
        <v>0</v>
      </c>
      <c r="U213" s="381">
        <v>-1732.97</v>
      </c>
      <c r="V213" s="381">
        <v>-1732.97</v>
      </c>
    </row>
    <row r="214" spans="2:22">
      <c r="B214" t="s">
        <v>406</v>
      </c>
      <c r="C214" t="s">
        <v>407</v>
      </c>
      <c r="D214" t="s">
        <v>408</v>
      </c>
      <c r="E214">
        <v>-21666.659999999996</v>
      </c>
      <c r="F214">
        <v>-15000</v>
      </c>
      <c r="H214"/>
      <c r="I214" s="381"/>
      <c r="J214" s="381"/>
      <c r="K214" s="381"/>
      <c r="L214" s="381">
        <v>0</v>
      </c>
      <c r="M214" s="381">
        <v>0</v>
      </c>
      <c r="N214" s="381">
        <v>0</v>
      </c>
      <c r="O214" s="381">
        <v>-1666.67</v>
      </c>
      <c r="P214" s="381">
        <v>-1666.67</v>
      </c>
      <c r="Q214" s="381">
        <v>-1666.67</v>
      </c>
      <c r="R214" s="381">
        <v>0</v>
      </c>
      <c r="S214" s="381">
        <v>0</v>
      </c>
      <c r="T214" s="381">
        <v>0</v>
      </c>
      <c r="U214" s="381">
        <v>-5000.01</v>
      </c>
      <c r="V214" s="381">
        <v>9999.99</v>
      </c>
    </row>
    <row r="215" spans="2:22">
      <c r="B215" t="s">
        <v>409</v>
      </c>
      <c r="C215" t="s">
        <v>350</v>
      </c>
      <c r="D215" t="s">
        <v>25</v>
      </c>
      <c r="E215">
        <v>0</v>
      </c>
      <c r="F215">
        <v>-108.52</v>
      </c>
      <c r="H215"/>
      <c r="I215"/>
      <c r="J215">
        <v>-108.52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-108.52</v>
      </c>
      <c r="V215" s="557">
        <v>0</v>
      </c>
    </row>
    <row r="216" spans="2:22">
      <c r="B216" t="s">
        <v>410</v>
      </c>
      <c r="C216" t="s">
        <v>411</v>
      </c>
      <c r="D216" t="s">
        <v>54</v>
      </c>
      <c r="H216"/>
      <c r="I216" s="381"/>
      <c r="J216" s="381"/>
      <c r="K216" s="381"/>
      <c r="L216" s="381"/>
      <c r="M216" s="381"/>
      <c r="N216" s="381">
        <v>-269.45</v>
      </c>
      <c r="O216" s="381"/>
      <c r="P216" s="381"/>
      <c r="Q216" s="381"/>
      <c r="R216" s="381"/>
      <c r="S216" s="381"/>
      <c r="T216" s="381"/>
      <c r="U216" s="381">
        <v>-269.45</v>
      </c>
      <c r="V216" s="381">
        <v>-269.45</v>
      </c>
    </row>
    <row r="217" spans="2:22" hidden="1">
      <c r="B217" t="s">
        <v>412</v>
      </c>
      <c r="C217" t="s">
        <v>352</v>
      </c>
      <c r="D217" t="s">
        <v>25</v>
      </c>
      <c r="E217">
        <v>0</v>
      </c>
      <c r="F217">
        <v>0</v>
      </c>
      <c r="H217"/>
      <c r="I217"/>
      <c r="J217"/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557">
        <v>0</v>
      </c>
    </row>
    <row r="218" spans="2:22">
      <c r="B218" t="s">
        <v>413</v>
      </c>
      <c r="C218" t="s">
        <v>414</v>
      </c>
      <c r="D218" t="s">
        <v>25</v>
      </c>
      <c r="E218">
        <v>0</v>
      </c>
      <c r="F218">
        <v>0</v>
      </c>
      <c r="H218"/>
      <c r="I218" s="381"/>
      <c r="J218" s="381">
        <v>0</v>
      </c>
      <c r="K218" s="381">
        <v>0</v>
      </c>
      <c r="L218" s="381">
        <v>-10742.01</v>
      </c>
      <c r="M218" s="381">
        <v>0</v>
      </c>
      <c r="N218" s="381">
        <v>0</v>
      </c>
      <c r="O218" s="381">
        <v>0</v>
      </c>
      <c r="P218" s="381">
        <v>0</v>
      </c>
      <c r="Q218" s="381">
        <v>0</v>
      </c>
      <c r="R218" s="381">
        <v>0</v>
      </c>
      <c r="S218" s="381">
        <v>0</v>
      </c>
      <c r="T218" s="381">
        <v>0</v>
      </c>
      <c r="U218" s="381">
        <v>-10742.01</v>
      </c>
      <c r="V218" s="381">
        <v>-10742.01</v>
      </c>
    </row>
    <row r="219" spans="2:22" hidden="1">
      <c r="B219" t="s">
        <v>415</v>
      </c>
      <c r="C219" t="s">
        <v>362</v>
      </c>
      <c r="D219" t="s">
        <v>54</v>
      </c>
      <c r="F219">
        <v>0</v>
      </c>
      <c r="H219"/>
      <c r="I219" s="381"/>
      <c r="J219" s="381"/>
      <c r="K219" s="381"/>
      <c r="L219" s="381">
        <v>0</v>
      </c>
      <c r="M219" s="381">
        <v>0</v>
      </c>
      <c r="N219" s="381">
        <v>0</v>
      </c>
      <c r="O219" s="381"/>
      <c r="P219" s="381"/>
      <c r="Q219" s="381"/>
      <c r="R219" s="381"/>
      <c r="S219" s="381"/>
      <c r="T219" s="381"/>
      <c r="U219" s="381">
        <v>0</v>
      </c>
      <c r="V219" s="381">
        <v>0</v>
      </c>
    </row>
    <row r="220" spans="2:22">
      <c r="B220" t="s">
        <v>416</v>
      </c>
      <c r="C220" t="s">
        <v>53</v>
      </c>
      <c r="D220" t="s">
        <v>25</v>
      </c>
      <c r="E220">
        <v>0</v>
      </c>
      <c r="F220">
        <v>2101</v>
      </c>
      <c r="H220"/>
      <c r="I220" s="381">
        <v>1821</v>
      </c>
      <c r="J220" s="381">
        <v>140</v>
      </c>
      <c r="K220" s="381">
        <v>140</v>
      </c>
      <c r="L220" s="381">
        <v>139</v>
      </c>
      <c r="M220" s="381">
        <v>2028.9999999999998</v>
      </c>
      <c r="N220" s="381">
        <v>0</v>
      </c>
      <c r="O220" s="381">
        <v>0</v>
      </c>
      <c r="P220" s="381">
        <v>0</v>
      </c>
      <c r="Q220" s="381">
        <v>0</v>
      </c>
      <c r="R220" s="381">
        <v>0</v>
      </c>
      <c r="S220" s="381">
        <v>0</v>
      </c>
      <c r="T220" s="381">
        <v>0</v>
      </c>
      <c r="U220" s="381">
        <v>4269</v>
      </c>
      <c r="V220" s="381">
        <v>2168</v>
      </c>
    </row>
    <row r="221" spans="2:22">
      <c r="B221" t="s">
        <v>417</v>
      </c>
      <c r="C221" t="s">
        <v>56</v>
      </c>
      <c r="D221" t="s">
        <v>57</v>
      </c>
      <c r="E221">
        <v>1200000</v>
      </c>
      <c r="F221">
        <v>1400303.79</v>
      </c>
      <c r="H221"/>
      <c r="I221" s="381">
        <v>112254.64</v>
      </c>
      <c r="J221" s="381">
        <v>107074.65</v>
      </c>
      <c r="K221" s="381">
        <v>100974.5</v>
      </c>
      <c r="L221" s="381">
        <v>98349.19</v>
      </c>
      <c r="M221" s="381">
        <v>97978.419999999984</v>
      </c>
      <c r="N221" s="381">
        <v>96954.300000000017</v>
      </c>
      <c r="O221" s="381">
        <v>108318</v>
      </c>
      <c r="P221" s="381">
        <v>108318</v>
      </c>
      <c r="Q221" s="381">
        <v>122000</v>
      </c>
      <c r="R221" s="381">
        <v>122000</v>
      </c>
      <c r="S221" s="381">
        <v>122000</v>
      </c>
      <c r="T221" s="381">
        <v>122734</v>
      </c>
      <c r="U221" s="381">
        <v>1318955.7000000002</v>
      </c>
      <c r="V221" s="381">
        <v>-81348.089999999895</v>
      </c>
    </row>
    <row r="222" spans="2:22">
      <c r="B222" t="s">
        <v>418</v>
      </c>
      <c r="C222" t="s">
        <v>419</v>
      </c>
      <c r="D222" t="s">
        <v>25</v>
      </c>
      <c r="E222">
        <v>0</v>
      </c>
      <c r="F222">
        <v>2006.44</v>
      </c>
      <c r="H222"/>
      <c r="I222" s="381">
        <v>0.45</v>
      </c>
      <c r="J222" s="381">
        <v>1838.45</v>
      </c>
      <c r="K222" s="381">
        <v>167.54</v>
      </c>
      <c r="L222" s="381">
        <v>3132.21</v>
      </c>
      <c r="M222" s="381">
        <v>3012.3</v>
      </c>
      <c r="N222" s="381">
        <v>0.82999999999992724</v>
      </c>
      <c r="O222" s="381">
        <v>0</v>
      </c>
      <c r="P222" s="381">
        <v>0</v>
      </c>
      <c r="Q222" s="381">
        <v>0</v>
      </c>
      <c r="R222" s="381">
        <v>0</v>
      </c>
      <c r="S222" s="381">
        <v>0</v>
      </c>
      <c r="T222" s="381">
        <v>0</v>
      </c>
      <c r="U222" s="381">
        <v>8151.78</v>
      </c>
      <c r="V222" s="381">
        <v>6145.34</v>
      </c>
    </row>
    <row r="223" spans="2:22">
      <c r="B223" t="s">
        <v>420</v>
      </c>
      <c r="C223" t="s">
        <v>59</v>
      </c>
      <c r="D223" t="s">
        <v>54</v>
      </c>
      <c r="H223"/>
      <c r="I223" s="381"/>
      <c r="J223" s="381"/>
      <c r="K223" s="381"/>
      <c r="L223" s="381">
        <v>35539.5</v>
      </c>
      <c r="M223" s="381">
        <v>10203.5</v>
      </c>
      <c r="N223" s="381">
        <v>9404.5</v>
      </c>
      <c r="O223" s="381"/>
      <c r="P223" s="381"/>
      <c r="Q223" s="381"/>
      <c r="R223" s="381"/>
      <c r="S223" s="381"/>
      <c r="T223" s="381"/>
      <c r="U223" s="381">
        <v>55147.5</v>
      </c>
      <c r="V223" s="381">
        <v>55147.5</v>
      </c>
    </row>
    <row r="224" spans="2:22">
      <c r="B224" t="s">
        <v>421</v>
      </c>
      <c r="C224" t="s">
        <v>422</v>
      </c>
      <c r="D224" t="s">
        <v>25</v>
      </c>
      <c r="E224">
        <v>116304</v>
      </c>
      <c r="F224">
        <v>67844</v>
      </c>
      <c r="H224"/>
      <c r="I224" s="381"/>
      <c r="J224" s="381"/>
      <c r="K224" s="381"/>
      <c r="L224" s="381">
        <v>0</v>
      </c>
      <c r="M224" s="381">
        <v>0</v>
      </c>
      <c r="N224" s="381">
        <v>0</v>
      </c>
      <c r="O224" s="381">
        <v>9692</v>
      </c>
      <c r="P224" s="381">
        <v>9692</v>
      </c>
      <c r="Q224" s="381">
        <v>9692</v>
      </c>
      <c r="R224" s="381">
        <v>9692</v>
      </c>
      <c r="S224" s="381">
        <v>9692</v>
      </c>
      <c r="T224" s="381">
        <v>9692</v>
      </c>
      <c r="U224" s="381">
        <v>58152</v>
      </c>
      <c r="V224" s="381">
        <v>-9692</v>
      </c>
    </row>
    <row r="225" spans="2:22">
      <c r="B225" t="s">
        <v>423</v>
      </c>
      <c r="C225" t="s">
        <v>424</v>
      </c>
      <c r="D225" t="s">
        <v>67</v>
      </c>
      <c r="E225">
        <v>588064.00000000012</v>
      </c>
      <c r="F225">
        <v>588064.16999999993</v>
      </c>
      <c r="H225"/>
      <c r="I225" s="381">
        <v>40389</v>
      </c>
      <c r="J225" s="381">
        <v>55285.58</v>
      </c>
      <c r="K225" s="381">
        <v>47994.59</v>
      </c>
      <c r="L225" s="381">
        <v>42517.659999999996</v>
      </c>
      <c r="M225" s="381">
        <v>63850.67</v>
      </c>
      <c r="N225" s="381">
        <v>47308.070000000007</v>
      </c>
      <c r="O225" s="381">
        <v>49400</v>
      </c>
      <c r="P225" s="381">
        <v>48000</v>
      </c>
      <c r="Q225" s="381">
        <v>48000</v>
      </c>
      <c r="R225" s="381">
        <v>48000</v>
      </c>
      <c r="S225" s="381">
        <v>48000</v>
      </c>
      <c r="T225" s="381">
        <v>48000</v>
      </c>
      <c r="U225" s="381">
        <v>586745.57000000007</v>
      </c>
      <c r="V225" s="381">
        <v>-1318.5999999998603</v>
      </c>
    </row>
    <row r="226" spans="2:22">
      <c r="B226" t="s">
        <v>425</v>
      </c>
      <c r="C226" t="s">
        <v>426</v>
      </c>
      <c r="D226" t="s">
        <v>427</v>
      </c>
      <c r="E226">
        <v>4651599.96</v>
      </c>
      <c r="F226">
        <v>4701598.17</v>
      </c>
      <c r="H226"/>
      <c r="I226" s="381">
        <v>387633.4</v>
      </c>
      <c r="J226" s="381">
        <v>404902.73</v>
      </c>
      <c r="K226" s="381">
        <v>356492.04</v>
      </c>
      <c r="L226" s="381">
        <v>363571.96</v>
      </c>
      <c r="M226" s="381">
        <v>461544.87000000005</v>
      </c>
      <c r="N226" s="381">
        <v>394829.05999999994</v>
      </c>
      <c r="O226" s="381">
        <v>391800</v>
      </c>
      <c r="P226" s="381">
        <v>391800</v>
      </c>
      <c r="Q226" s="381">
        <v>391800</v>
      </c>
      <c r="R226" s="381">
        <v>391800</v>
      </c>
      <c r="S226" s="381">
        <v>391800</v>
      </c>
      <c r="T226" s="381">
        <v>387633</v>
      </c>
      <c r="U226" s="381">
        <v>4715607.0600000005</v>
      </c>
      <c r="V226" s="381">
        <v>14008.890000000596</v>
      </c>
    </row>
    <row r="227" spans="2:22">
      <c r="B227" t="s">
        <v>428</v>
      </c>
      <c r="C227" t="s">
        <v>429</v>
      </c>
      <c r="D227" t="s">
        <v>427</v>
      </c>
      <c r="E227">
        <v>1832799.9600000002</v>
      </c>
      <c r="F227">
        <v>1832798.4200000002</v>
      </c>
      <c r="H227"/>
      <c r="I227" s="381"/>
      <c r="J227" s="381">
        <v>293304.34999999998</v>
      </c>
      <c r="K227" s="381">
        <v>164894.1</v>
      </c>
      <c r="L227" s="381">
        <v>142089.47</v>
      </c>
      <c r="M227" s="381">
        <v>163378.12</v>
      </c>
      <c r="N227" s="381">
        <v>152732.93000000002</v>
      </c>
      <c r="O227" s="381">
        <v>172399</v>
      </c>
      <c r="P227" s="381">
        <v>172399</v>
      </c>
      <c r="Q227" s="381">
        <v>172399</v>
      </c>
      <c r="R227" s="381">
        <v>172399</v>
      </c>
      <c r="S227" s="381">
        <v>172399</v>
      </c>
      <c r="T227" s="381">
        <v>172399</v>
      </c>
      <c r="U227" s="381">
        <v>1950792.97</v>
      </c>
      <c r="V227" s="381">
        <v>117994.54999999981</v>
      </c>
    </row>
    <row r="228" spans="2:22">
      <c r="B228" t="s">
        <v>430</v>
      </c>
      <c r="C228" t="s">
        <v>431</v>
      </c>
      <c r="D228" t="s">
        <v>432</v>
      </c>
      <c r="E228">
        <v>18000</v>
      </c>
      <c r="F228">
        <v>19824.739999999998</v>
      </c>
      <c r="H228"/>
      <c r="I228" s="381">
        <v>531.82000000000005</v>
      </c>
      <c r="J228" s="381">
        <v>3988.46</v>
      </c>
      <c r="K228" s="381">
        <v>1804.46</v>
      </c>
      <c r="L228" s="381">
        <v>988.66</v>
      </c>
      <c r="M228" s="381">
        <v>162.79999999999998</v>
      </c>
      <c r="N228" s="381">
        <v>0</v>
      </c>
      <c r="O228" s="381">
        <v>1500</v>
      </c>
      <c r="P228" s="381">
        <v>1500</v>
      </c>
      <c r="Q228" s="381">
        <v>1500</v>
      </c>
      <c r="R228" s="381">
        <v>1500</v>
      </c>
      <c r="S228" s="381">
        <v>1500</v>
      </c>
      <c r="T228" s="381">
        <v>1500</v>
      </c>
      <c r="U228" s="381">
        <v>16476.2</v>
      </c>
      <c r="V228" s="381">
        <v>-3348.5399999999972</v>
      </c>
    </row>
    <row r="229" spans="2:22">
      <c r="B229" t="s">
        <v>433</v>
      </c>
      <c r="C229" t="s">
        <v>124</v>
      </c>
      <c r="D229" t="s">
        <v>434</v>
      </c>
      <c r="E229">
        <v>141887.51999999996</v>
      </c>
      <c r="F229">
        <v>62335.31</v>
      </c>
      <c r="H229"/>
      <c r="I229" s="381">
        <v>11347.01</v>
      </c>
      <c r="J229" s="381">
        <v>7087.77</v>
      </c>
      <c r="K229" s="381">
        <v>10590.53</v>
      </c>
      <c r="L229" s="381">
        <v>13238.160000000002</v>
      </c>
      <c r="M229" s="381">
        <v>10590.539999999999</v>
      </c>
      <c r="N229" s="381">
        <v>10590.54</v>
      </c>
      <c r="O229" s="381"/>
      <c r="P229" s="381"/>
      <c r="Q229" s="381"/>
      <c r="R229" s="381"/>
      <c r="S229" s="381"/>
      <c r="T229" s="381"/>
      <c r="U229" s="381">
        <v>63444.55</v>
      </c>
      <c r="V229" s="381">
        <v>1109.2400000000052</v>
      </c>
    </row>
    <row r="230" spans="2:22">
      <c r="B230" t="s">
        <v>435</v>
      </c>
      <c r="C230" t="s">
        <v>436</v>
      </c>
      <c r="D230" t="s">
        <v>57</v>
      </c>
      <c r="E230">
        <v>4558</v>
      </c>
      <c r="F230">
        <v>4769.66</v>
      </c>
      <c r="H230"/>
      <c r="I230" s="381">
        <v>696.35</v>
      </c>
      <c r="J230" s="381">
        <v>599.02</v>
      </c>
      <c r="K230" s="381">
        <v>55.78</v>
      </c>
      <c r="L230" s="381">
        <v>27.89</v>
      </c>
      <c r="M230" s="381">
        <v>596.58999999999992</v>
      </c>
      <c r="N230" s="381">
        <v>549.04999999999995</v>
      </c>
      <c r="O230" s="381">
        <v>379.83</v>
      </c>
      <c r="P230" s="381">
        <v>379.83</v>
      </c>
      <c r="Q230" s="381">
        <v>379.83</v>
      </c>
      <c r="R230" s="381">
        <v>379.83</v>
      </c>
      <c r="S230" s="381">
        <v>379.83</v>
      </c>
      <c r="T230" s="381">
        <v>379.87</v>
      </c>
      <c r="U230" s="381">
        <v>4803.7</v>
      </c>
      <c r="V230" s="381">
        <v>34.040000000000191</v>
      </c>
    </row>
    <row r="231" spans="2:22">
      <c r="B231" t="s">
        <v>437</v>
      </c>
      <c r="C231" t="s">
        <v>438</v>
      </c>
      <c r="D231" t="s">
        <v>439</v>
      </c>
      <c r="E231">
        <v>60000</v>
      </c>
      <c r="F231">
        <v>59587</v>
      </c>
      <c r="H231"/>
      <c r="I231" s="381"/>
      <c r="J231" s="381"/>
      <c r="K231" s="381">
        <v>7840</v>
      </c>
      <c r="L231" s="381">
        <v>4772.18</v>
      </c>
      <c r="M231" s="381">
        <v>4772.17</v>
      </c>
      <c r="N231" s="381">
        <v>4075.2199999999993</v>
      </c>
      <c r="O231" s="381">
        <v>5000</v>
      </c>
      <c r="P231" s="381">
        <v>5000</v>
      </c>
      <c r="Q231" s="381">
        <v>5000</v>
      </c>
      <c r="R231" s="381">
        <v>5000</v>
      </c>
      <c r="S231" s="381">
        <v>5000</v>
      </c>
      <c r="T231" s="381">
        <v>5000</v>
      </c>
      <c r="U231" s="381">
        <v>51459.57</v>
      </c>
      <c r="V231" s="381">
        <v>-8127.43</v>
      </c>
    </row>
    <row r="232" spans="2:22">
      <c r="B232" t="s">
        <v>440</v>
      </c>
      <c r="C232" t="s">
        <v>441</v>
      </c>
      <c r="D232" t="s">
        <v>57</v>
      </c>
      <c r="E232">
        <v>10599.999996000004</v>
      </c>
      <c r="F232">
        <v>10582.559999999998</v>
      </c>
      <c r="H232"/>
      <c r="I232" s="381">
        <v>881.88</v>
      </c>
      <c r="J232" s="381">
        <v>881.88</v>
      </c>
      <c r="K232" s="381">
        <v>881.88</v>
      </c>
      <c r="L232" s="381">
        <v>881.88</v>
      </c>
      <c r="M232" s="381">
        <v>881.88</v>
      </c>
      <c r="N232" s="381">
        <v>881.88</v>
      </c>
      <c r="O232" s="381">
        <v>881.88</v>
      </c>
      <c r="P232" s="381">
        <v>881.88</v>
      </c>
      <c r="Q232" s="381">
        <v>881.88</v>
      </c>
      <c r="R232" s="381">
        <v>881.88</v>
      </c>
      <c r="S232" s="381">
        <v>881.88</v>
      </c>
      <c r="T232" s="381">
        <v>881.88</v>
      </c>
      <c r="U232" s="381">
        <v>10582.559999999998</v>
      </c>
      <c r="V232" s="381">
        <v>0</v>
      </c>
    </row>
    <row r="233" spans="2:22">
      <c r="B233" t="s">
        <v>442</v>
      </c>
      <c r="C233" t="s">
        <v>443</v>
      </c>
      <c r="D233" t="s">
        <v>57</v>
      </c>
      <c r="E233">
        <v>10599.999996000004</v>
      </c>
      <c r="F233">
        <v>10595.639997000004</v>
      </c>
      <c r="H233"/>
      <c r="I233" s="381">
        <v>881.88</v>
      </c>
      <c r="J233" s="381">
        <v>881.88</v>
      </c>
      <c r="K233" s="381">
        <v>881.88</v>
      </c>
      <c r="L233" s="381">
        <v>881.88</v>
      </c>
      <c r="M233" s="381">
        <v>881.88</v>
      </c>
      <c r="N233" s="381">
        <v>881.88</v>
      </c>
      <c r="O233" s="381">
        <v>883.33333300000004</v>
      </c>
      <c r="P233" s="381">
        <v>883.33333300000004</v>
      </c>
      <c r="Q233" s="381">
        <v>883.33333300000004</v>
      </c>
      <c r="R233" s="381">
        <v>883.33333300000004</v>
      </c>
      <c r="S233" s="381">
        <v>883.33333300000004</v>
      </c>
      <c r="T233" s="381">
        <v>883.33333300000004</v>
      </c>
      <c r="U233" s="381">
        <v>10591.279998000002</v>
      </c>
      <c r="V233" s="381">
        <v>-4.3599990000020625</v>
      </c>
    </row>
    <row r="234" spans="2:22">
      <c r="B234" t="s">
        <v>444</v>
      </c>
      <c r="C234" t="s">
        <v>445</v>
      </c>
      <c r="D234" t="s">
        <v>434</v>
      </c>
      <c r="E234">
        <v>132431.04000000001</v>
      </c>
      <c r="F234">
        <v>123849.26</v>
      </c>
      <c r="H234"/>
      <c r="I234" s="381">
        <v>10548.89</v>
      </c>
      <c r="J234" s="381">
        <v>8790.74</v>
      </c>
      <c r="K234" s="381">
        <v>9845.6299999999992</v>
      </c>
      <c r="L234" s="381">
        <v>12307.019999999999</v>
      </c>
      <c r="M234" s="381">
        <v>9845.619999999999</v>
      </c>
      <c r="N234" s="381">
        <v>9845.64</v>
      </c>
      <c r="O234" s="381">
        <v>10296</v>
      </c>
      <c r="P234" s="381">
        <v>10296</v>
      </c>
      <c r="Q234" s="381">
        <v>10296</v>
      </c>
      <c r="R234" s="381">
        <v>10296</v>
      </c>
      <c r="S234" s="381">
        <v>10296</v>
      </c>
      <c r="T234" s="381">
        <v>10296</v>
      </c>
      <c r="U234" s="381">
        <v>122959.54</v>
      </c>
      <c r="V234" s="381">
        <v>-889.72000000000116</v>
      </c>
    </row>
    <row r="235" spans="2:22">
      <c r="B235" t="s">
        <v>446</v>
      </c>
      <c r="C235" t="s">
        <v>447</v>
      </c>
      <c r="D235" t="s">
        <v>57</v>
      </c>
      <c r="E235">
        <v>6000</v>
      </c>
      <c r="F235">
        <v>4500</v>
      </c>
      <c r="H235"/>
      <c r="I235" s="381"/>
      <c r="J235" s="381"/>
      <c r="K235" s="381"/>
      <c r="L235" s="381">
        <v>0</v>
      </c>
      <c r="M235" s="381">
        <v>0</v>
      </c>
      <c r="N235" s="381">
        <v>0</v>
      </c>
      <c r="O235" s="381">
        <v>500</v>
      </c>
      <c r="P235" s="381">
        <v>500</v>
      </c>
      <c r="Q235" s="381">
        <v>500</v>
      </c>
      <c r="R235" s="381">
        <v>500</v>
      </c>
      <c r="S235" s="381">
        <v>500</v>
      </c>
      <c r="T235" s="381">
        <v>500</v>
      </c>
      <c r="U235" s="381">
        <v>3000</v>
      </c>
      <c r="V235" s="381">
        <v>-1500</v>
      </c>
    </row>
    <row r="236" spans="2:22">
      <c r="B236" t="s">
        <v>448</v>
      </c>
      <c r="C236" t="s">
        <v>449</v>
      </c>
      <c r="D236" t="s">
        <v>57</v>
      </c>
      <c r="E236">
        <v>12168</v>
      </c>
      <c r="F236">
        <v>18730.12</v>
      </c>
      <c r="H236"/>
      <c r="I236" s="381">
        <v>243.06</v>
      </c>
      <c r="J236" s="381">
        <v>235.06</v>
      </c>
      <c r="K236" s="381">
        <v>0</v>
      </c>
      <c r="L236" s="381">
        <v>527.16999999999996</v>
      </c>
      <c r="M236" s="381">
        <v>288.64999999999998</v>
      </c>
      <c r="N236" s="381">
        <v>209.08999999999997</v>
      </c>
      <c r="O236" s="381">
        <v>2314</v>
      </c>
      <c r="P236" s="381">
        <v>2314</v>
      </c>
      <c r="Q236" s="381">
        <v>2314</v>
      </c>
      <c r="R236" s="381">
        <v>2314</v>
      </c>
      <c r="S236" s="381">
        <v>2314</v>
      </c>
      <c r="T236" s="381">
        <v>2340</v>
      </c>
      <c r="U236" s="381">
        <v>15413.029999999999</v>
      </c>
      <c r="V236" s="381">
        <v>-3317.0899999999992</v>
      </c>
    </row>
    <row r="237" spans="2:22">
      <c r="B237" t="s">
        <v>450</v>
      </c>
      <c r="C237" t="s">
        <v>451</v>
      </c>
      <c r="D237" t="s">
        <v>57</v>
      </c>
      <c r="E237">
        <v>26558.000004000005</v>
      </c>
      <c r="F237">
        <v>24873.730003000001</v>
      </c>
      <c r="H237"/>
      <c r="I237" s="381">
        <v>1680.68</v>
      </c>
      <c r="J237" s="381">
        <v>1679.61</v>
      </c>
      <c r="K237" s="381">
        <v>1594.94</v>
      </c>
      <c r="L237" s="381">
        <v>1713.8500000000004</v>
      </c>
      <c r="M237" s="381">
        <v>1788.77</v>
      </c>
      <c r="N237" s="381">
        <v>1781.77</v>
      </c>
      <c r="O237" s="381">
        <v>2213.166667</v>
      </c>
      <c r="P237" s="381">
        <v>2213.166667</v>
      </c>
      <c r="Q237" s="381">
        <v>2213.166667</v>
      </c>
      <c r="R237" s="381">
        <v>2213.166667</v>
      </c>
      <c r="S237" s="381">
        <v>2213.166667</v>
      </c>
      <c r="T237" s="381">
        <v>2213.166667</v>
      </c>
      <c r="U237" s="381">
        <v>23518.620002000003</v>
      </c>
      <c r="V237" s="381">
        <v>-1355.1100009999973</v>
      </c>
    </row>
    <row r="238" spans="2:22">
      <c r="B238" t="s">
        <v>452</v>
      </c>
      <c r="C238" t="s">
        <v>453</v>
      </c>
      <c r="D238" t="s">
        <v>57</v>
      </c>
      <c r="E238">
        <v>74400</v>
      </c>
      <c r="F238">
        <v>70189.5</v>
      </c>
      <c r="H238"/>
      <c r="I238" s="381">
        <v>5248.9999999999991</v>
      </c>
      <c r="J238" s="381">
        <v>5001.66</v>
      </c>
      <c r="K238" s="381">
        <v>4138.84</v>
      </c>
      <c r="L238" s="381">
        <v>2634.4100000000003</v>
      </c>
      <c r="M238" s="381">
        <v>2620.1</v>
      </c>
      <c r="N238" s="381">
        <v>466.07000000000011</v>
      </c>
      <c r="O238" s="381">
        <v>6200</v>
      </c>
      <c r="P238" s="381">
        <v>6200</v>
      </c>
      <c r="Q238" s="381">
        <v>6200</v>
      </c>
      <c r="R238" s="381">
        <v>6200</v>
      </c>
      <c r="S238" s="381">
        <v>6200</v>
      </c>
      <c r="T238" s="381">
        <v>6200</v>
      </c>
      <c r="U238" s="381">
        <v>57310.080000000002</v>
      </c>
      <c r="V238" s="381">
        <v>-12879.419999999991</v>
      </c>
    </row>
    <row r="239" spans="2:22">
      <c r="B239" t="s">
        <v>454</v>
      </c>
      <c r="C239" t="s">
        <v>455</v>
      </c>
      <c r="D239" t="s">
        <v>427</v>
      </c>
      <c r="E239">
        <v>376200</v>
      </c>
      <c r="F239">
        <v>376200.45999999996</v>
      </c>
      <c r="H239"/>
      <c r="I239">
        <v>25838</v>
      </c>
      <c r="J239">
        <v>36872.379999999997</v>
      </c>
      <c r="K239">
        <v>31340.080000000002</v>
      </c>
      <c r="L239">
        <v>25837.46</v>
      </c>
      <c r="M239">
        <v>36862.460000000006</v>
      </c>
      <c r="N239">
        <v>31349.62</v>
      </c>
      <c r="O239">
        <v>31350</v>
      </c>
      <c r="P239">
        <v>31350</v>
      </c>
      <c r="Q239">
        <v>31350</v>
      </c>
      <c r="R239">
        <v>31350</v>
      </c>
      <c r="S239">
        <v>31350</v>
      </c>
      <c r="T239">
        <v>31350</v>
      </c>
      <c r="U239">
        <v>376200</v>
      </c>
      <c r="V239" s="557">
        <v>-0.4599999999627471</v>
      </c>
    </row>
    <row r="240" spans="2:22">
      <c r="B240" t="s">
        <v>456</v>
      </c>
      <c r="C240" t="s">
        <v>457</v>
      </c>
      <c r="D240" t="s">
        <v>25</v>
      </c>
      <c r="E240">
        <v>335904</v>
      </c>
      <c r="F240">
        <v>335903.61</v>
      </c>
      <c r="H240"/>
      <c r="I240">
        <v>0.04</v>
      </c>
      <c r="J240">
        <v>55984.1</v>
      </c>
      <c r="K240">
        <v>27991.47</v>
      </c>
      <c r="L240">
        <v>23070.760000000002</v>
      </c>
      <c r="M240">
        <v>32913.769999999997</v>
      </c>
      <c r="N240">
        <v>27991.9</v>
      </c>
      <c r="O240">
        <v>27992</v>
      </c>
      <c r="P240">
        <v>27992</v>
      </c>
      <c r="Q240">
        <v>27992</v>
      </c>
      <c r="R240">
        <v>27992</v>
      </c>
      <c r="S240">
        <v>27992</v>
      </c>
      <c r="T240">
        <v>27992</v>
      </c>
      <c r="U240">
        <v>335904.04</v>
      </c>
      <c r="V240" s="557">
        <v>0.42999999999301508</v>
      </c>
    </row>
    <row r="241" spans="2:22">
      <c r="B241" t="s">
        <v>458</v>
      </c>
      <c r="C241" t="s">
        <v>459</v>
      </c>
      <c r="D241" t="s">
        <v>57</v>
      </c>
      <c r="E241">
        <v>4212</v>
      </c>
      <c r="F241">
        <v>0</v>
      </c>
      <c r="H241"/>
      <c r="I241" s="381">
        <v>212.71</v>
      </c>
      <c r="J241" s="381">
        <v>212.88</v>
      </c>
      <c r="K241" s="381">
        <v>-425.59</v>
      </c>
      <c r="L241" s="381">
        <v>421.78999999999996</v>
      </c>
      <c r="M241" s="381">
        <v>11.3</v>
      </c>
      <c r="N241" s="381">
        <v>0</v>
      </c>
      <c r="O241" s="381"/>
      <c r="P241" s="381"/>
      <c r="Q241" s="381"/>
      <c r="R241" s="381"/>
      <c r="S241" s="381"/>
      <c r="T241" s="381"/>
      <c r="U241" s="381">
        <v>433.09000000000003</v>
      </c>
      <c r="V241" s="381">
        <v>433.09000000000003</v>
      </c>
    </row>
    <row r="242" spans="2:22">
      <c r="B242" t="s">
        <v>460</v>
      </c>
      <c r="C242" t="s">
        <v>133</v>
      </c>
      <c r="D242" t="s">
        <v>25</v>
      </c>
      <c r="E242">
        <v>0</v>
      </c>
      <c r="F242">
        <v>0</v>
      </c>
      <c r="H242"/>
      <c r="I242" s="381">
        <v>95.28</v>
      </c>
      <c r="J242" s="381">
        <v>31.62</v>
      </c>
      <c r="K242" s="381">
        <v>-126.9</v>
      </c>
      <c r="L242" s="381">
        <v>66.959999999999994</v>
      </c>
      <c r="M242" s="381">
        <v>61.6</v>
      </c>
      <c r="N242" s="381">
        <v>63.66</v>
      </c>
      <c r="O242" s="381"/>
      <c r="P242" s="381"/>
      <c r="Q242" s="381"/>
      <c r="R242" s="381"/>
      <c r="S242" s="381"/>
      <c r="T242" s="381"/>
      <c r="U242" s="381">
        <v>192.22</v>
      </c>
      <c r="V242" s="381">
        <v>192.22</v>
      </c>
    </row>
    <row r="243" spans="2:22">
      <c r="B243" t="s">
        <v>461</v>
      </c>
      <c r="C243" t="s">
        <v>135</v>
      </c>
      <c r="D243" t="s">
        <v>54</v>
      </c>
      <c r="H243"/>
      <c r="I243" s="381"/>
      <c r="J243" s="381"/>
      <c r="K243" s="381"/>
      <c r="L243" s="381"/>
      <c r="M243" s="381">
        <v>76500</v>
      </c>
      <c r="N243" s="381">
        <v>12000</v>
      </c>
      <c r="O243" s="381">
        <v>12000</v>
      </c>
      <c r="P243" s="381">
        <v>12000</v>
      </c>
      <c r="Q243" s="381">
        <v>12000</v>
      </c>
      <c r="R243" s="381">
        <v>12000</v>
      </c>
      <c r="S243" s="381">
        <v>12000</v>
      </c>
      <c r="T243" s="381">
        <v>12000</v>
      </c>
      <c r="U243" s="381">
        <v>160500</v>
      </c>
      <c r="V243" s="381">
        <v>160500</v>
      </c>
    </row>
    <row r="244" spans="2:22">
      <c r="B244" t="s">
        <v>462</v>
      </c>
      <c r="C244" t="s">
        <v>463</v>
      </c>
      <c r="D244" t="s">
        <v>54</v>
      </c>
      <c r="H244"/>
      <c r="I244" s="381"/>
      <c r="J244" s="381"/>
      <c r="K244" s="381"/>
      <c r="L244" s="381">
        <v>18.2</v>
      </c>
      <c r="M244" s="381">
        <v>0</v>
      </c>
      <c r="N244" s="381">
        <v>0</v>
      </c>
      <c r="O244" s="381"/>
      <c r="P244" s="381"/>
      <c r="Q244" s="381"/>
      <c r="R244" s="381"/>
      <c r="S244" s="381"/>
      <c r="T244" s="381"/>
      <c r="U244" s="381">
        <v>18.2</v>
      </c>
      <c r="V244" s="381">
        <v>18.2</v>
      </c>
    </row>
    <row r="245" spans="2:22">
      <c r="B245" t="s">
        <v>464</v>
      </c>
      <c r="C245" t="s">
        <v>365</v>
      </c>
      <c r="D245" t="s">
        <v>57</v>
      </c>
      <c r="E245">
        <v>255300</v>
      </c>
      <c r="F245">
        <v>257370.57</v>
      </c>
      <c r="H245"/>
      <c r="I245" s="381">
        <v>23286.5</v>
      </c>
      <c r="J245" s="381">
        <v>25426.2</v>
      </c>
      <c r="K245" s="381">
        <v>18157.87</v>
      </c>
      <c r="L245" s="381">
        <v>23329.35</v>
      </c>
      <c r="M245" s="381">
        <v>16915</v>
      </c>
      <c r="N245" s="381">
        <v>43022.400000000001</v>
      </c>
      <c r="O245" s="381">
        <v>20300</v>
      </c>
      <c r="P245" s="381">
        <v>20300</v>
      </c>
      <c r="Q245" s="381">
        <v>20000</v>
      </c>
      <c r="R245" s="381">
        <v>20000</v>
      </c>
      <c r="S245" s="381">
        <v>20000</v>
      </c>
      <c r="T245" s="381">
        <v>20000</v>
      </c>
      <c r="U245" s="381">
        <v>270737.32</v>
      </c>
      <c r="V245" s="381">
        <v>13366.750000000005</v>
      </c>
    </row>
    <row r="246" spans="2:22">
      <c r="B246" t="s">
        <v>465</v>
      </c>
      <c r="C246" t="s">
        <v>466</v>
      </c>
      <c r="D246" t="s">
        <v>57</v>
      </c>
      <c r="E246">
        <v>282000</v>
      </c>
      <c r="F246">
        <v>304281.33999999997</v>
      </c>
      <c r="H246"/>
      <c r="I246" s="381">
        <v>32760.29</v>
      </c>
      <c r="J246" s="381">
        <v>30587.39</v>
      </c>
      <c r="K246" s="381">
        <v>31170.66</v>
      </c>
      <c r="L246" s="381">
        <v>25525.86</v>
      </c>
      <c r="M246" s="381">
        <v>29172.89</v>
      </c>
      <c r="N246" s="381">
        <v>32333</v>
      </c>
      <c r="O246" s="381">
        <v>22958</v>
      </c>
      <c r="P246" s="381">
        <v>22958</v>
      </c>
      <c r="Q246" s="381">
        <v>22958</v>
      </c>
      <c r="R246" s="381">
        <v>22958</v>
      </c>
      <c r="S246" s="381">
        <v>22958</v>
      </c>
      <c r="T246" s="381">
        <v>22958</v>
      </c>
      <c r="U246" s="381">
        <v>319298.08999999997</v>
      </c>
      <c r="V246" s="381">
        <v>15016.75</v>
      </c>
    </row>
    <row r="247" spans="2:22">
      <c r="B247" t="s">
        <v>467</v>
      </c>
      <c r="C247" t="s">
        <v>468</v>
      </c>
      <c r="D247" t="s">
        <v>25</v>
      </c>
      <c r="E247">
        <v>301000</v>
      </c>
      <c r="F247">
        <v>305973.58</v>
      </c>
      <c r="H247"/>
      <c r="I247" s="381">
        <v>80223.58</v>
      </c>
      <c r="J247" s="381">
        <v>0</v>
      </c>
      <c r="K247" s="381">
        <v>0</v>
      </c>
      <c r="L247" s="381">
        <v>80223.58</v>
      </c>
      <c r="M247" s="381">
        <v>0</v>
      </c>
      <c r="N247" s="381">
        <v>0</v>
      </c>
      <c r="O247" s="381">
        <v>0</v>
      </c>
      <c r="P247" s="381">
        <v>70500</v>
      </c>
      <c r="Q247" s="381">
        <v>0</v>
      </c>
      <c r="R247" s="381">
        <v>70500</v>
      </c>
      <c r="S247" s="381">
        <v>0</v>
      </c>
      <c r="T247" s="381">
        <v>0</v>
      </c>
      <c r="U247" s="381">
        <v>301447.16000000003</v>
      </c>
      <c r="V247" s="381">
        <v>-4526.4199999999837</v>
      </c>
    </row>
    <row r="248" spans="2:22">
      <c r="B248" t="s">
        <v>469</v>
      </c>
      <c r="C248" t="s">
        <v>470</v>
      </c>
      <c r="D248" t="s">
        <v>25</v>
      </c>
      <c r="E248">
        <v>282792</v>
      </c>
      <c r="F248">
        <v>282791.93</v>
      </c>
      <c r="H248"/>
      <c r="I248" s="381">
        <v>70697.440000000002</v>
      </c>
      <c r="J248" s="381">
        <v>0.49</v>
      </c>
      <c r="K248" s="381">
        <v>0</v>
      </c>
      <c r="L248" s="381">
        <v>9484.4399999999951</v>
      </c>
      <c r="M248" s="381">
        <v>0</v>
      </c>
      <c r="N248" s="381">
        <v>0</v>
      </c>
      <c r="O248" s="381"/>
      <c r="P248" s="381">
        <v>60500</v>
      </c>
      <c r="Q248" s="381">
        <v>0</v>
      </c>
      <c r="R248" s="381">
        <v>70698</v>
      </c>
      <c r="S248" s="381">
        <v>70698</v>
      </c>
      <c r="T248" s="381">
        <v>0</v>
      </c>
      <c r="U248" s="381">
        <v>282078.37</v>
      </c>
      <c r="V248" s="381">
        <v>-713.55999999999767</v>
      </c>
    </row>
    <row r="249" spans="2:22">
      <c r="B249" t="s">
        <v>471</v>
      </c>
      <c r="C249" t="s">
        <v>145</v>
      </c>
      <c r="D249" t="s">
        <v>25</v>
      </c>
      <c r="E249">
        <v>0</v>
      </c>
      <c r="F249">
        <v>1472196.6600000001</v>
      </c>
      <c r="H249"/>
      <c r="I249" s="381"/>
      <c r="J249" s="381">
        <v>245366</v>
      </c>
      <c r="K249" s="381">
        <v>122683.66</v>
      </c>
      <c r="L249" s="381">
        <v>101112.98</v>
      </c>
      <c r="M249" s="381">
        <v>144254.16</v>
      </c>
      <c r="N249" s="381">
        <v>122682.85</v>
      </c>
      <c r="O249" s="381">
        <v>122683</v>
      </c>
      <c r="P249" s="381">
        <v>122683</v>
      </c>
      <c r="Q249" s="381">
        <v>122683</v>
      </c>
      <c r="R249" s="381">
        <v>122683</v>
      </c>
      <c r="S249" s="381">
        <v>122683</v>
      </c>
      <c r="T249" s="381">
        <v>122683</v>
      </c>
      <c r="U249" s="381">
        <v>1472197.65</v>
      </c>
      <c r="V249" s="381">
        <v>0.98999999975785613</v>
      </c>
    </row>
    <row r="250" spans="2:22" hidden="1">
      <c r="B250" t="s">
        <v>472</v>
      </c>
      <c r="C250" t="s">
        <v>473</v>
      </c>
      <c r="D250" t="s">
        <v>25</v>
      </c>
      <c r="E250">
        <v>123538.99999999999</v>
      </c>
      <c r="F250">
        <v>0</v>
      </c>
      <c r="H250"/>
      <c r="I250"/>
      <c r="J250"/>
      <c r="K250"/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557">
        <v>0</v>
      </c>
    </row>
    <row r="251" spans="2:22" hidden="1">
      <c r="B251" t="s">
        <v>474</v>
      </c>
      <c r="C251" t="s">
        <v>475</v>
      </c>
      <c r="D251" t="s">
        <v>25</v>
      </c>
      <c r="E251">
        <v>26400</v>
      </c>
      <c r="F251">
        <v>0</v>
      </c>
      <c r="H251"/>
      <c r="I251" s="381"/>
      <c r="J251" s="381"/>
      <c r="K251" s="381"/>
      <c r="L251" s="381">
        <v>0</v>
      </c>
      <c r="M251" s="381">
        <v>0</v>
      </c>
      <c r="N251" s="381">
        <v>0</v>
      </c>
      <c r="O251" s="381">
        <v>0</v>
      </c>
      <c r="P251" s="381">
        <v>0</v>
      </c>
      <c r="Q251" s="381">
        <v>0</v>
      </c>
      <c r="R251" s="381">
        <v>0</v>
      </c>
      <c r="S251" s="381">
        <v>0</v>
      </c>
      <c r="T251" s="381">
        <v>0</v>
      </c>
      <c r="U251" s="381">
        <v>0</v>
      </c>
      <c r="V251" s="381">
        <v>0</v>
      </c>
    </row>
    <row r="252" spans="2:22">
      <c r="B252" t="s">
        <v>476</v>
      </c>
      <c r="C252" t="s">
        <v>477</v>
      </c>
      <c r="D252" t="s">
        <v>478</v>
      </c>
      <c r="E252">
        <v>36000</v>
      </c>
      <c r="F252">
        <v>36000.300000000003</v>
      </c>
      <c r="H252"/>
      <c r="I252" s="381"/>
      <c r="J252" s="381">
        <v>5999.76</v>
      </c>
      <c r="K252" s="381">
        <v>2703.54</v>
      </c>
      <c r="L252" s="381">
        <v>2769.23</v>
      </c>
      <c r="M252" s="381">
        <v>3527.23</v>
      </c>
      <c r="N252" s="381">
        <v>2703.54</v>
      </c>
      <c r="O252" s="381">
        <v>3000</v>
      </c>
      <c r="P252" s="381">
        <v>3000</v>
      </c>
      <c r="Q252" s="381">
        <v>3000</v>
      </c>
      <c r="R252" s="381">
        <v>3000</v>
      </c>
      <c r="S252" s="381">
        <v>3000</v>
      </c>
      <c r="T252" s="381">
        <v>3000</v>
      </c>
      <c r="U252" s="381">
        <v>35703.300000000003</v>
      </c>
      <c r="V252" s="381">
        <v>-297</v>
      </c>
    </row>
    <row r="253" spans="2:22">
      <c r="B253" t="s">
        <v>479</v>
      </c>
      <c r="C253" t="s">
        <v>480</v>
      </c>
      <c r="D253" t="s">
        <v>478</v>
      </c>
      <c r="E253">
        <v>345000</v>
      </c>
      <c r="F253">
        <v>333579.34999999998</v>
      </c>
      <c r="H253"/>
      <c r="I253" s="381"/>
      <c r="J253" s="381"/>
      <c r="K253" s="381">
        <v>80924.350000000006</v>
      </c>
      <c r="L253" s="381">
        <v>25748.649999999994</v>
      </c>
      <c r="M253" s="381">
        <v>35684.65</v>
      </c>
      <c r="N253" s="381">
        <v>28214.84</v>
      </c>
      <c r="O253" s="381">
        <v>29498</v>
      </c>
      <c r="P253" s="381">
        <v>26933</v>
      </c>
      <c r="Q253" s="381">
        <v>28215</v>
      </c>
      <c r="R253" s="381">
        <v>28215</v>
      </c>
      <c r="S253" s="381">
        <v>26933</v>
      </c>
      <c r="T253" s="381">
        <v>29498</v>
      </c>
      <c r="U253" s="381">
        <v>339864.49</v>
      </c>
      <c r="V253" s="381">
        <v>6285.140000000014</v>
      </c>
    </row>
    <row r="254" spans="2:22">
      <c r="B254" t="s">
        <v>481</v>
      </c>
      <c r="C254" t="s">
        <v>482</v>
      </c>
      <c r="D254" t="s">
        <v>408</v>
      </c>
      <c r="E254">
        <v>0</v>
      </c>
      <c r="F254">
        <v>-18450</v>
      </c>
      <c r="H254"/>
      <c r="I254" s="381"/>
      <c r="J254" s="381"/>
      <c r="K254" s="381">
        <v>-3450</v>
      </c>
      <c r="L254" s="381">
        <v>0</v>
      </c>
      <c r="M254" s="381">
        <v>-7116.77</v>
      </c>
      <c r="N254" s="381">
        <v>-3658.57</v>
      </c>
      <c r="O254" s="381">
        <v>-1666.67</v>
      </c>
      <c r="P254" s="381">
        <v>-1666.67</v>
      </c>
      <c r="Q254" s="381">
        <v>-1666.67</v>
      </c>
      <c r="R254" s="381">
        <v>0</v>
      </c>
      <c r="S254" s="381">
        <v>0</v>
      </c>
      <c r="T254" s="381">
        <v>0</v>
      </c>
      <c r="U254" s="381">
        <v>-19225.349999999999</v>
      </c>
      <c r="V254" s="381">
        <v>-775.34999999999854</v>
      </c>
    </row>
    <row r="255" spans="2:22">
      <c r="B255" t="s">
        <v>483</v>
      </c>
      <c r="C255" t="s">
        <v>484</v>
      </c>
      <c r="D255" t="s">
        <v>57</v>
      </c>
      <c r="E255">
        <v>0</v>
      </c>
      <c r="F255">
        <v>3711.49</v>
      </c>
      <c r="H255"/>
      <c r="I255" s="381"/>
      <c r="J255" s="381"/>
      <c r="K255" s="381">
        <v>552.49</v>
      </c>
      <c r="L255" s="381">
        <v>0</v>
      </c>
      <c r="M255" s="381">
        <v>0</v>
      </c>
      <c r="N255" s="381">
        <v>0</v>
      </c>
      <c r="O255" s="381">
        <v>351</v>
      </c>
      <c r="P255" s="381">
        <v>351</v>
      </c>
      <c r="Q255" s="381">
        <v>351</v>
      </c>
      <c r="R255" s="381">
        <v>351</v>
      </c>
      <c r="S255" s="381">
        <v>351</v>
      </c>
      <c r="T255" s="381">
        <v>351</v>
      </c>
      <c r="U255" s="381">
        <v>2658.49</v>
      </c>
      <c r="V255" s="381">
        <v>-1053</v>
      </c>
    </row>
    <row r="256" spans="2:22">
      <c r="B256" t="s">
        <v>485</v>
      </c>
      <c r="C256" t="s">
        <v>486</v>
      </c>
      <c r="D256" t="s">
        <v>487</v>
      </c>
      <c r="E256">
        <v>-608600</v>
      </c>
      <c r="F256">
        <v>-597160</v>
      </c>
      <c r="H256"/>
      <c r="I256" s="381"/>
      <c r="J256" s="381">
        <v>-68030</v>
      </c>
      <c r="K256" s="381">
        <v>-55730</v>
      </c>
      <c r="L256" s="381">
        <v>0</v>
      </c>
      <c r="M256" s="381">
        <v>-113731.04000000001</v>
      </c>
      <c r="N256" s="381">
        <v>-60567.46</v>
      </c>
      <c r="O256" s="381">
        <v>-52600</v>
      </c>
      <c r="P256" s="381">
        <v>-52600</v>
      </c>
      <c r="Q256" s="381">
        <v>-52600</v>
      </c>
      <c r="R256" s="381">
        <v>-52600</v>
      </c>
      <c r="S256" s="381">
        <v>-52600</v>
      </c>
      <c r="T256" s="381">
        <v>-52600</v>
      </c>
      <c r="U256" s="381">
        <v>-613658.5</v>
      </c>
      <c r="V256" s="381">
        <v>-16498.5</v>
      </c>
    </row>
    <row r="257" spans="2:22">
      <c r="B257" t="s">
        <v>488</v>
      </c>
      <c r="C257" t="s">
        <v>489</v>
      </c>
      <c r="D257" t="s">
        <v>490</v>
      </c>
      <c r="E257">
        <v>3999.9999999999995</v>
      </c>
      <c r="F257">
        <v>4632.7199999999993</v>
      </c>
      <c r="H257"/>
      <c r="I257" s="381">
        <v>571.28</v>
      </c>
      <c r="J257" s="381">
        <v>587.64</v>
      </c>
      <c r="K257" s="381">
        <v>473.79</v>
      </c>
      <c r="L257" s="381">
        <v>590.85</v>
      </c>
      <c r="M257" s="381">
        <v>588.03</v>
      </c>
      <c r="N257" s="381">
        <v>718.07</v>
      </c>
      <c r="O257" s="381">
        <v>333.33</v>
      </c>
      <c r="P257" s="381">
        <v>333.33</v>
      </c>
      <c r="Q257" s="381">
        <v>333.33</v>
      </c>
      <c r="R257" s="381">
        <v>333.33</v>
      </c>
      <c r="S257" s="381">
        <v>333.33</v>
      </c>
      <c r="T257" s="381">
        <v>333.37</v>
      </c>
      <c r="U257" s="381">
        <v>5529.68</v>
      </c>
      <c r="V257" s="381">
        <v>896.96000000000095</v>
      </c>
    </row>
    <row r="258" spans="2:22">
      <c r="B258" t="s">
        <v>491</v>
      </c>
      <c r="C258" t="s">
        <v>147</v>
      </c>
      <c r="D258" t="s">
        <v>25</v>
      </c>
      <c r="E258">
        <v>0</v>
      </c>
      <c r="F258">
        <v>41772.92</v>
      </c>
      <c r="H258"/>
      <c r="I258" s="381">
        <v>843.94</v>
      </c>
      <c r="J258" s="381">
        <v>44687.28</v>
      </c>
      <c r="K258" s="381">
        <v>-3758.3</v>
      </c>
      <c r="L258" s="381">
        <v>1159.0200000000002</v>
      </c>
      <c r="M258" s="381">
        <v>-12023.630000000005</v>
      </c>
      <c r="N258" s="381">
        <v>45323.560000000005</v>
      </c>
      <c r="O258" s="381">
        <v>0</v>
      </c>
      <c r="P258" s="381">
        <v>0</v>
      </c>
      <c r="Q258" s="381">
        <v>0</v>
      </c>
      <c r="R258" s="381">
        <v>0</v>
      </c>
      <c r="S258" s="381">
        <v>0</v>
      </c>
      <c r="T258" s="381">
        <v>0</v>
      </c>
      <c r="U258" s="381">
        <v>76231.87</v>
      </c>
      <c r="V258" s="381">
        <v>34458.950000000004</v>
      </c>
    </row>
    <row r="259" spans="2:22">
      <c r="B259" t="s">
        <v>492</v>
      </c>
      <c r="C259" t="s">
        <v>53</v>
      </c>
      <c r="D259" t="s">
        <v>25</v>
      </c>
      <c r="E259">
        <v>0</v>
      </c>
      <c r="F259">
        <v>387</v>
      </c>
      <c r="H259"/>
      <c r="I259" s="381">
        <v>129</v>
      </c>
      <c r="J259" s="381">
        <v>129</v>
      </c>
      <c r="K259" s="381">
        <v>129</v>
      </c>
      <c r="L259" s="381">
        <v>129</v>
      </c>
      <c r="M259" s="381">
        <v>129</v>
      </c>
      <c r="N259" s="381">
        <v>129</v>
      </c>
      <c r="O259" s="381">
        <v>0</v>
      </c>
      <c r="P259" s="381">
        <v>0</v>
      </c>
      <c r="Q259" s="381">
        <v>0</v>
      </c>
      <c r="R259" s="381">
        <v>0</v>
      </c>
      <c r="S259" s="381">
        <v>0</v>
      </c>
      <c r="T259" s="381">
        <v>0</v>
      </c>
      <c r="U259" s="381">
        <v>774</v>
      </c>
      <c r="V259" s="381">
        <v>387</v>
      </c>
    </row>
    <row r="260" spans="2:22">
      <c r="B260" t="s">
        <v>493</v>
      </c>
      <c r="C260" t="s">
        <v>56</v>
      </c>
      <c r="D260" t="s">
        <v>57</v>
      </c>
      <c r="E260">
        <v>18000</v>
      </c>
      <c r="F260">
        <v>16521.98</v>
      </c>
      <c r="H260"/>
      <c r="I260" s="381">
        <v>920.95</v>
      </c>
      <c r="J260" s="381">
        <v>1065.45</v>
      </c>
      <c r="K260" s="381">
        <v>1035.58</v>
      </c>
      <c r="L260" s="381">
        <v>1019.5500000000001</v>
      </c>
      <c r="M260" s="381">
        <v>110.62</v>
      </c>
      <c r="N260" s="381">
        <v>219.57999999999998</v>
      </c>
      <c r="O260" s="381">
        <v>1500</v>
      </c>
      <c r="P260" s="381">
        <v>1500</v>
      </c>
      <c r="Q260" s="381">
        <v>1500</v>
      </c>
      <c r="R260" s="381">
        <v>1500</v>
      </c>
      <c r="S260" s="381">
        <v>1500</v>
      </c>
      <c r="T260" s="381">
        <v>1500</v>
      </c>
      <c r="U260" s="381">
        <v>13371.73</v>
      </c>
      <c r="V260" s="381">
        <v>-3150.25</v>
      </c>
    </row>
    <row r="261" spans="2:22">
      <c r="B261" t="s">
        <v>494</v>
      </c>
      <c r="C261" t="s">
        <v>495</v>
      </c>
      <c r="D261" t="s">
        <v>57</v>
      </c>
      <c r="E261">
        <v>8600</v>
      </c>
      <c r="F261">
        <v>8392.24</v>
      </c>
      <c r="H261"/>
      <c r="I261" s="381">
        <v>540.58000000000004</v>
      </c>
      <c r="J261" s="381">
        <v>540.04999999999995</v>
      </c>
      <c r="K261" s="381">
        <v>511.61</v>
      </c>
      <c r="L261" s="381">
        <v>547.18999999999994</v>
      </c>
      <c r="M261" s="381">
        <v>534.1099999999999</v>
      </c>
      <c r="N261" s="381">
        <v>539.85</v>
      </c>
      <c r="O261" s="381">
        <v>600</v>
      </c>
      <c r="P261" s="381">
        <v>600</v>
      </c>
      <c r="Q261" s="381">
        <v>600</v>
      </c>
      <c r="R261" s="381">
        <v>600</v>
      </c>
      <c r="S261" s="381">
        <v>600</v>
      </c>
      <c r="T261" s="381">
        <v>2000</v>
      </c>
      <c r="U261" s="381">
        <v>8213.39</v>
      </c>
      <c r="V261" s="381">
        <v>-178.85000000000036</v>
      </c>
    </row>
    <row r="262" spans="2:22">
      <c r="B262" t="s">
        <v>496</v>
      </c>
      <c r="C262" t="s">
        <v>497</v>
      </c>
      <c r="D262" t="s">
        <v>25</v>
      </c>
      <c r="E262">
        <v>1560</v>
      </c>
      <c r="F262">
        <v>1536.8899999999999</v>
      </c>
      <c r="H262"/>
      <c r="I262" s="381">
        <v>124.95</v>
      </c>
      <c r="J262" s="381">
        <v>125.88</v>
      </c>
      <c r="K262" s="381">
        <v>116.06</v>
      </c>
      <c r="L262" s="381">
        <v>129.38999999999999</v>
      </c>
      <c r="M262" s="381">
        <v>122.35</v>
      </c>
      <c r="N262" s="381">
        <v>125.51999999999998</v>
      </c>
      <c r="O262" s="381">
        <v>130</v>
      </c>
      <c r="P262" s="381">
        <v>130</v>
      </c>
      <c r="Q262" s="381">
        <v>130</v>
      </c>
      <c r="R262" s="381">
        <v>130</v>
      </c>
      <c r="S262" s="381">
        <v>130</v>
      </c>
      <c r="T262" s="381">
        <v>130</v>
      </c>
      <c r="U262" s="381">
        <v>1524.15</v>
      </c>
      <c r="V262" s="381">
        <v>-12.739999999999782</v>
      </c>
    </row>
    <row r="263" spans="2:22">
      <c r="B263" t="s">
        <v>498</v>
      </c>
      <c r="C263" t="s">
        <v>499</v>
      </c>
      <c r="D263" t="s">
        <v>57</v>
      </c>
      <c r="E263">
        <v>0</v>
      </c>
      <c r="F263">
        <v>354.76</v>
      </c>
      <c r="H263"/>
      <c r="I263" s="381">
        <v>129.77000000000001</v>
      </c>
      <c r="J263" s="381">
        <v>129.72</v>
      </c>
      <c r="K263" s="381">
        <v>95.27</v>
      </c>
      <c r="L263" s="381">
        <v>108.61</v>
      </c>
      <c r="M263" s="381">
        <v>126.27000000000001</v>
      </c>
      <c r="N263" s="381">
        <v>130.19999999999999</v>
      </c>
      <c r="O263" s="381">
        <v>0</v>
      </c>
      <c r="P263" s="381">
        <v>0</v>
      </c>
      <c r="Q263" s="381">
        <v>0</v>
      </c>
      <c r="R263" s="381">
        <v>0</v>
      </c>
      <c r="S263" s="381">
        <v>0</v>
      </c>
      <c r="T263" s="381">
        <v>0</v>
      </c>
      <c r="U263" s="381">
        <v>719.83999999999992</v>
      </c>
      <c r="V263" s="381">
        <v>365.07999999999993</v>
      </c>
    </row>
    <row r="264" spans="2:22">
      <c r="B264" t="s">
        <v>500</v>
      </c>
      <c r="C264" t="s">
        <v>185</v>
      </c>
      <c r="D264" t="s">
        <v>25</v>
      </c>
      <c r="E264">
        <v>0</v>
      </c>
      <c r="F264">
        <v>0</v>
      </c>
      <c r="H264"/>
      <c r="I264" s="381"/>
      <c r="J264" s="381"/>
      <c r="K264" s="381">
        <v>5850</v>
      </c>
      <c r="L264" s="381">
        <v>0</v>
      </c>
      <c r="M264" s="381">
        <v>-5800.26</v>
      </c>
      <c r="N264" s="381">
        <v>63.66</v>
      </c>
      <c r="O264" s="381">
        <v>0</v>
      </c>
      <c r="P264" s="381">
        <v>0</v>
      </c>
      <c r="Q264" s="381">
        <v>0</v>
      </c>
      <c r="R264" s="381">
        <v>0</v>
      </c>
      <c r="S264" s="381">
        <v>0</v>
      </c>
      <c r="T264" s="381">
        <v>0</v>
      </c>
      <c r="U264" s="381">
        <v>113.39999999999978</v>
      </c>
      <c r="V264" s="381">
        <v>113.39999999999978</v>
      </c>
    </row>
    <row r="265" spans="2:22">
      <c r="B265" t="s">
        <v>501</v>
      </c>
      <c r="C265" t="s">
        <v>187</v>
      </c>
      <c r="D265" t="s">
        <v>188</v>
      </c>
      <c r="E265">
        <v>0</v>
      </c>
      <c r="F265">
        <v>25200</v>
      </c>
      <c r="H265"/>
      <c r="I265" s="381"/>
      <c r="J265" s="381"/>
      <c r="K265" s="381">
        <v>6300</v>
      </c>
      <c r="L265" s="381">
        <v>0</v>
      </c>
      <c r="M265" s="381">
        <v>4200</v>
      </c>
      <c r="N265" s="381">
        <v>0</v>
      </c>
      <c r="O265" s="381">
        <v>2100</v>
      </c>
      <c r="P265" s="381">
        <v>2100</v>
      </c>
      <c r="Q265" s="381">
        <v>2100</v>
      </c>
      <c r="R265" s="381">
        <v>2100</v>
      </c>
      <c r="S265" s="381">
        <v>2100</v>
      </c>
      <c r="T265" s="381">
        <v>2100</v>
      </c>
      <c r="U265" s="381">
        <v>23100</v>
      </c>
      <c r="V265" s="381">
        <v>-2100</v>
      </c>
    </row>
    <row r="266" spans="2:22">
      <c r="B266" t="s">
        <v>502</v>
      </c>
      <c r="C266" t="s">
        <v>221</v>
      </c>
      <c r="D266" t="s">
        <v>188</v>
      </c>
      <c r="E266">
        <v>0</v>
      </c>
      <c r="F266">
        <v>8751</v>
      </c>
      <c r="H266"/>
      <c r="I266" s="381"/>
      <c r="J266" s="381"/>
      <c r="K266" s="381">
        <v>8751</v>
      </c>
      <c r="L266" s="381">
        <v>0</v>
      </c>
      <c r="M266" s="381">
        <v>5834</v>
      </c>
      <c r="N266" s="381">
        <v>0</v>
      </c>
      <c r="O266" s="381">
        <v>0</v>
      </c>
      <c r="P266" s="381">
        <v>0</v>
      </c>
      <c r="Q266" s="381">
        <v>0</v>
      </c>
      <c r="R266" s="381">
        <v>0</v>
      </c>
      <c r="S266" s="381">
        <v>0</v>
      </c>
      <c r="T266" s="381">
        <v>0</v>
      </c>
      <c r="U266" s="381">
        <v>14585</v>
      </c>
      <c r="V266" s="381">
        <v>5834</v>
      </c>
    </row>
    <row r="267" spans="2:22" hidden="1">
      <c r="B267" t="s">
        <v>503</v>
      </c>
      <c r="C267" t="s">
        <v>504</v>
      </c>
      <c r="D267" t="s">
        <v>25</v>
      </c>
      <c r="E267">
        <v>12500</v>
      </c>
      <c r="F267">
        <v>0</v>
      </c>
      <c r="H267"/>
      <c r="I267" s="381"/>
      <c r="J267" s="381"/>
      <c r="K267" s="381"/>
      <c r="L267" s="381">
        <v>0</v>
      </c>
      <c r="M267" s="381">
        <v>0</v>
      </c>
      <c r="N267" s="381">
        <v>0</v>
      </c>
      <c r="O267" s="381">
        <v>0</v>
      </c>
      <c r="P267" s="381">
        <v>0</v>
      </c>
      <c r="Q267" s="381">
        <v>0</v>
      </c>
      <c r="R267" s="381">
        <v>0</v>
      </c>
      <c r="S267" s="381">
        <v>0</v>
      </c>
      <c r="T267" s="381">
        <v>0</v>
      </c>
      <c r="U267" s="381">
        <v>0</v>
      </c>
      <c r="V267" s="381">
        <v>0</v>
      </c>
    </row>
    <row r="268" spans="2:22" hidden="1">
      <c r="B268" t="s">
        <v>505</v>
      </c>
      <c r="C268" t="s">
        <v>506</v>
      </c>
      <c r="D268" t="s">
        <v>25</v>
      </c>
      <c r="E268">
        <v>-12500</v>
      </c>
      <c r="F268">
        <v>0</v>
      </c>
      <c r="H268"/>
      <c r="I268" s="381"/>
      <c r="J268" s="381"/>
      <c r="K268" s="381"/>
      <c r="L268" s="381">
        <v>0</v>
      </c>
      <c r="M268" s="381">
        <v>0</v>
      </c>
      <c r="N268" s="381">
        <v>0</v>
      </c>
      <c r="O268" s="381">
        <v>0</v>
      </c>
      <c r="P268" s="381">
        <v>0</v>
      </c>
      <c r="Q268" s="381">
        <v>0</v>
      </c>
      <c r="R268" s="381">
        <v>0</v>
      </c>
      <c r="S268" s="381">
        <v>0</v>
      </c>
      <c r="T268" s="381">
        <v>0</v>
      </c>
      <c r="U268" s="381">
        <v>0</v>
      </c>
      <c r="V268" s="381">
        <v>0</v>
      </c>
    </row>
    <row r="269" spans="2:22">
      <c r="B269" t="s">
        <v>507</v>
      </c>
      <c r="C269" t="s">
        <v>508</v>
      </c>
      <c r="D269" t="s">
        <v>432</v>
      </c>
      <c r="E269">
        <v>14400</v>
      </c>
      <c r="F269">
        <v>10800</v>
      </c>
      <c r="H269"/>
      <c r="I269" s="381"/>
      <c r="J269" s="381"/>
      <c r="K269" s="381"/>
      <c r="L269" s="381">
        <v>0</v>
      </c>
      <c r="M269" s="381">
        <v>0</v>
      </c>
      <c r="N269" s="381">
        <v>0</v>
      </c>
      <c r="O269" s="381">
        <v>1200</v>
      </c>
      <c r="P269" s="381">
        <v>1200</v>
      </c>
      <c r="Q269" s="381">
        <v>1200</v>
      </c>
      <c r="R269" s="381">
        <v>1200</v>
      </c>
      <c r="S269" s="381">
        <v>1200</v>
      </c>
      <c r="T269" s="381">
        <v>1200</v>
      </c>
      <c r="U269" s="381">
        <v>7200</v>
      </c>
      <c r="V269" s="381">
        <v>-3600</v>
      </c>
    </row>
    <row r="270" spans="2:22">
      <c r="B270" t="s">
        <v>509</v>
      </c>
      <c r="C270" t="s">
        <v>510</v>
      </c>
      <c r="D270" t="s">
        <v>432</v>
      </c>
      <c r="E270">
        <v>3000</v>
      </c>
      <c r="F270">
        <v>2250</v>
      </c>
      <c r="H270"/>
      <c r="I270" s="381"/>
      <c r="J270" s="381"/>
      <c r="K270" s="381"/>
      <c r="L270" s="381">
        <v>0</v>
      </c>
      <c r="M270" s="381">
        <v>0</v>
      </c>
      <c r="N270" s="381">
        <v>0</v>
      </c>
      <c r="O270" s="381">
        <v>250</v>
      </c>
      <c r="P270" s="381">
        <v>250</v>
      </c>
      <c r="Q270" s="381">
        <v>250</v>
      </c>
      <c r="R270" s="381">
        <v>250</v>
      </c>
      <c r="S270" s="381">
        <v>250</v>
      </c>
      <c r="T270" s="381">
        <v>250</v>
      </c>
      <c r="U270" s="381">
        <v>1500</v>
      </c>
      <c r="V270" s="381">
        <v>-750</v>
      </c>
    </row>
    <row r="271" spans="2:22">
      <c r="B271" t="s">
        <v>511</v>
      </c>
      <c r="C271" t="s">
        <v>466</v>
      </c>
      <c r="D271" t="s">
        <v>57</v>
      </c>
      <c r="E271">
        <v>26400</v>
      </c>
      <c r="F271">
        <v>26962</v>
      </c>
      <c r="H271"/>
      <c r="I271" s="381">
        <v>2359</v>
      </c>
      <c r="J271" s="381">
        <v>1615</v>
      </c>
      <c r="K271" s="381">
        <v>3188</v>
      </c>
      <c r="L271" s="381">
        <v>2158</v>
      </c>
      <c r="M271" s="381">
        <v>2091</v>
      </c>
      <c r="N271" s="381">
        <v>1890</v>
      </c>
      <c r="O271" s="381">
        <v>2200</v>
      </c>
      <c r="P271" s="381">
        <v>2200</v>
      </c>
      <c r="Q271" s="381">
        <v>2200</v>
      </c>
      <c r="R271" s="381">
        <v>2200</v>
      </c>
      <c r="S271" s="381">
        <v>2200</v>
      </c>
      <c r="T271" s="381">
        <v>2200</v>
      </c>
      <c r="U271" s="381">
        <v>26501</v>
      </c>
      <c r="V271" s="381">
        <v>-461</v>
      </c>
    </row>
    <row r="272" spans="2:22">
      <c r="B272" t="s">
        <v>512</v>
      </c>
      <c r="C272" t="s">
        <v>147</v>
      </c>
      <c r="D272" t="s">
        <v>25</v>
      </c>
      <c r="E272">
        <v>0</v>
      </c>
      <c r="F272">
        <v>799.29000000000008</v>
      </c>
      <c r="H272"/>
      <c r="I272" s="381">
        <v>-79.28</v>
      </c>
      <c r="J272" s="381">
        <v>124.37</v>
      </c>
      <c r="K272" s="381">
        <v>754.2</v>
      </c>
      <c r="L272" s="381">
        <v>171.12</v>
      </c>
      <c r="M272" s="381">
        <v>538.97</v>
      </c>
      <c r="N272" s="381">
        <v>255.20999999999992</v>
      </c>
      <c r="O272" s="381">
        <v>0</v>
      </c>
      <c r="P272" s="381">
        <v>0</v>
      </c>
      <c r="Q272" s="381">
        <v>0</v>
      </c>
      <c r="R272" s="381">
        <v>0</v>
      </c>
      <c r="S272" s="381">
        <v>0</v>
      </c>
      <c r="T272" s="381">
        <v>0</v>
      </c>
      <c r="U272" s="381">
        <v>1764.5900000000001</v>
      </c>
      <c r="V272" s="381">
        <v>965.30000000000007</v>
      </c>
    </row>
    <row r="273" spans="2:22">
      <c r="B273" t="s">
        <v>513</v>
      </c>
      <c r="C273" t="s">
        <v>514</v>
      </c>
      <c r="D273" t="s">
        <v>25</v>
      </c>
      <c r="E273">
        <v>0</v>
      </c>
      <c r="F273">
        <v>298.89999999999998</v>
      </c>
      <c r="H273"/>
      <c r="I273"/>
      <c r="J273">
        <v>256.18</v>
      </c>
      <c r="K273">
        <v>42.72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298.89999999999998</v>
      </c>
      <c r="V273" s="557">
        <v>0</v>
      </c>
    </row>
    <row r="274" spans="2:22">
      <c r="B274" t="s">
        <v>515</v>
      </c>
      <c r="C274" t="s">
        <v>516</v>
      </c>
      <c r="D274" t="s">
        <v>152</v>
      </c>
      <c r="E274">
        <v>86119.999999999985</v>
      </c>
      <c r="H274"/>
      <c r="I274" s="381"/>
      <c r="J274" s="381"/>
      <c r="K274" s="381"/>
      <c r="L274" s="381">
        <v>0</v>
      </c>
      <c r="M274" s="381">
        <v>0</v>
      </c>
      <c r="N274" s="381">
        <v>0</v>
      </c>
      <c r="O274" s="381"/>
      <c r="P274" s="381"/>
      <c r="Q274" s="381"/>
      <c r="R274" s="381"/>
      <c r="S274" s="381"/>
      <c r="T274" s="381"/>
      <c r="U274" s="381"/>
      <c r="V274" s="381">
        <v>0</v>
      </c>
    </row>
    <row r="275" spans="2:22">
      <c r="B275" t="s">
        <v>517</v>
      </c>
      <c r="C275" t="s">
        <v>518</v>
      </c>
      <c r="D275" t="s">
        <v>152</v>
      </c>
      <c r="E275">
        <v>100000.00000000001</v>
      </c>
      <c r="F275">
        <v>60000</v>
      </c>
      <c r="H275"/>
      <c r="I275"/>
      <c r="J275"/>
      <c r="K275"/>
      <c r="L275">
        <v>0</v>
      </c>
      <c r="M275">
        <v>0</v>
      </c>
      <c r="N275">
        <v>0</v>
      </c>
      <c r="O275">
        <v>10000</v>
      </c>
      <c r="P275">
        <v>10000</v>
      </c>
      <c r="Q275">
        <v>10000</v>
      </c>
      <c r="R275">
        <v>10000</v>
      </c>
      <c r="S275">
        <v>10000</v>
      </c>
      <c r="T275">
        <v>10000</v>
      </c>
      <c r="U275">
        <v>60000</v>
      </c>
      <c r="V275" s="557">
        <v>0</v>
      </c>
    </row>
    <row r="276" spans="2:22">
      <c r="B276" t="s">
        <v>519</v>
      </c>
      <c r="C276" t="s">
        <v>520</v>
      </c>
      <c r="D276" t="s">
        <v>152</v>
      </c>
      <c r="E276">
        <v>64999.999999999985</v>
      </c>
      <c r="F276">
        <v>39000</v>
      </c>
      <c r="H276"/>
      <c r="I276" s="381"/>
      <c r="J276" s="381"/>
      <c r="K276" s="381"/>
      <c r="L276" s="381">
        <v>0</v>
      </c>
      <c r="M276" s="381">
        <v>0</v>
      </c>
      <c r="N276" s="381">
        <v>0</v>
      </c>
      <c r="O276" s="381">
        <v>6500</v>
      </c>
      <c r="P276" s="381">
        <v>6500</v>
      </c>
      <c r="Q276" s="381">
        <v>6500</v>
      </c>
      <c r="R276" s="381">
        <v>6500</v>
      </c>
      <c r="S276" s="381">
        <v>6500</v>
      </c>
      <c r="T276" s="381">
        <v>6500</v>
      </c>
      <c r="U276" s="381">
        <v>39000</v>
      </c>
      <c r="V276" s="381">
        <v>0</v>
      </c>
    </row>
    <row r="277" spans="2:22">
      <c r="B277" t="s">
        <v>521</v>
      </c>
      <c r="C277" t="s">
        <v>411</v>
      </c>
      <c r="D277" t="s">
        <v>54</v>
      </c>
      <c r="H277"/>
      <c r="I277" s="381"/>
      <c r="J277" s="381"/>
      <c r="K277" s="381"/>
      <c r="L277" s="381"/>
      <c r="M277" s="381"/>
      <c r="N277" s="381">
        <v>-2915.6</v>
      </c>
      <c r="O277" s="381"/>
      <c r="P277" s="381"/>
      <c r="Q277" s="381"/>
      <c r="R277" s="381"/>
      <c r="S277" s="381"/>
      <c r="T277" s="381"/>
      <c r="U277" s="381">
        <v>-2915.6</v>
      </c>
      <c r="V277" s="381">
        <v>-2915.6</v>
      </c>
    </row>
    <row r="278" spans="2:22">
      <c r="B278" t="s">
        <v>522</v>
      </c>
      <c r="C278" t="s">
        <v>274</v>
      </c>
      <c r="D278" t="s">
        <v>275</v>
      </c>
      <c r="E278">
        <v>0</v>
      </c>
      <c r="F278">
        <v>2263.3900000000003</v>
      </c>
      <c r="H278"/>
      <c r="I278" s="381">
        <v>1841.45</v>
      </c>
      <c r="J278" s="381">
        <v>1719.99</v>
      </c>
      <c r="K278" s="381">
        <v>-1298.05</v>
      </c>
      <c r="L278" s="381">
        <v>1990.16</v>
      </c>
      <c r="M278" s="381">
        <v>-2552.9100000000003</v>
      </c>
      <c r="N278" s="381">
        <v>903.75000000000023</v>
      </c>
      <c r="O278" s="381">
        <v>0</v>
      </c>
      <c r="P278" s="381">
        <v>0</v>
      </c>
      <c r="Q278" s="381">
        <v>0</v>
      </c>
      <c r="R278" s="381">
        <v>0</v>
      </c>
      <c r="S278" s="381">
        <v>0</v>
      </c>
      <c r="T278" s="381">
        <v>0</v>
      </c>
      <c r="U278" s="381">
        <v>2604.3900000000003</v>
      </c>
      <c r="V278" s="381">
        <v>341</v>
      </c>
    </row>
    <row r="279" spans="2:22">
      <c r="B279" t="s">
        <v>523</v>
      </c>
      <c r="C279" t="s">
        <v>53</v>
      </c>
      <c r="D279" t="s">
        <v>25</v>
      </c>
      <c r="E279">
        <v>0</v>
      </c>
      <c r="F279">
        <v>0</v>
      </c>
      <c r="H279"/>
      <c r="I279" s="381"/>
      <c r="J279" s="381"/>
      <c r="K279" s="381">
        <v>7840</v>
      </c>
      <c r="L279" s="381">
        <v>4772</v>
      </c>
      <c r="M279" s="381">
        <v>4772</v>
      </c>
      <c r="N279" s="381">
        <v>5965.9999999999991</v>
      </c>
      <c r="O279" s="381">
        <v>0</v>
      </c>
      <c r="P279" s="381">
        <v>0</v>
      </c>
      <c r="Q279" s="381">
        <v>0</v>
      </c>
      <c r="R279" s="381">
        <v>0</v>
      </c>
      <c r="S279" s="381">
        <v>0</v>
      </c>
      <c r="T279" s="381">
        <v>0</v>
      </c>
      <c r="U279" s="381">
        <v>23350</v>
      </c>
      <c r="V279" s="381">
        <v>23350</v>
      </c>
    </row>
    <row r="280" spans="2:22">
      <c r="B280" t="s">
        <v>524</v>
      </c>
      <c r="C280" t="s">
        <v>56</v>
      </c>
      <c r="D280" t="s">
        <v>57</v>
      </c>
      <c r="E280">
        <v>78525</v>
      </c>
      <c r="F280">
        <v>72160.06</v>
      </c>
      <c r="H280"/>
      <c r="I280" s="381">
        <v>4310.58</v>
      </c>
      <c r="J280" s="381">
        <v>4168.97</v>
      </c>
      <c r="K280" s="381">
        <v>4786.76</v>
      </c>
      <c r="L280" s="381">
        <v>4110.78</v>
      </c>
      <c r="M280" s="381">
        <v>6987.630000000001</v>
      </c>
      <c r="N280" s="381">
        <v>4773.54</v>
      </c>
      <c r="O280" s="381">
        <v>6543.75</v>
      </c>
      <c r="P280" s="381">
        <v>6543.75</v>
      </c>
      <c r="Q280" s="381">
        <v>6543.75</v>
      </c>
      <c r="R280" s="381">
        <v>6543.75</v>
      </c>
      <c r="S280" s="381">
        <v>6543.75</v>
      </c>
      <c r="T280" s="381">
        <v>6543.75</v>
      </c>
      <c r="U280" s="381">
        <v>68400.759999999995</v>
      </c>
      <c r="V280" s="381">
        <v>-3759.2999999999975</v>
      </c>
    </row>
    <row r="281" spans="2:22">
      <c r="B281" t="s">
        <v>525</v>
      </c>
      <c r="C281" t="s">
        <v>526</v>
      </c>
      <c r="D281" t="s">
        <v>57</v>
      </c>
      <c r="F281">
        <v>63000</v>
      </c>
      <c r="H281"/>
      <c r="I281" s="381"/>
      <c r="J281" s="381"/>
      <c r="K281" s="381"/>
      <c r="L281" s="381">
        <v>0</v>
      </c>
      <c r="M281" s="381">
        <v>0</v>
      </c>
      <c r="N281" s="381">
        <v>0</v>
      </c>
      <c r="O281" s="381">
        <v>7000</v>
      </c>
      <c r="P281" s="381">
        <v>7000</v>
      </c>
      <c r="Q281" s="381">
        <v>7000</v>
      </c>
      <c r="R281" s="381">
        <v>7000</v>
      </c>
      <c r="S281" s="381">
        <v>7000</v>
      </c>
      <c r="T281" s="381">
        <v>7000</v>
      </c>
      <c r="U281" s="381">
        <v>42000</v>
      </c>
      <c r="V281" s="381">
        <v>-21000</v>
      </c>
    </row>
    <row r="282" spans="2:22">
      <c r="B282" t="s">
        <v>527</v>
      </c>
      <c r="C282" t="s">
        <v>201</v>
      </c>
      <c r="D282" t="s">
        <v>232</v>
      </c>
      <c r="E282">
        <v>0</v>
      </c>
      <c r="F282">
        <v>200000</v>
      </c>
      <c r="H282"/>
      <c r="I282" s="381"/>
      <c r="J282" s="381"/>
      <c r="K282" s="381">
        <v>50000</v>
      </c>
      <c r="L282" s="381">
        <v>0</v>
      </c>
      <c r="M282" s="381">
        <v>0</v>
      </c>
      <c r="N282" s="381">
        <v>0</v>
      </c>
      <c r="O282" s="381">
        <v>0</v>
      </c>
      <c r="P282" s="381">
        <v>0</v>
      </c>
      <c r="Q282" s="381">
        <v>0</v>
      </c>
      <c r="R282" s="381">
        <v>0</v>
      </c>
      <c r="S282" s="381">
        <v>0</v>
      </c>
      <c r="T282" s="381">
        <v>0</v>
      </c>
      <c r="U282" s="381">
        <v>50000</v>
      </c>
      <c r="V282" s="381">
        <v>-150000</v>
      </c>
    </row>
    <row r="283" spans="2:22">
      <c r="B283" t="s">
        <v>528</v>
      </c>
      <c r="C283" t="s">
        <v>459</v>
      </c>
      <c r="D283" t="s">
        <v>57</v>
      </c>
      <c r="E283">
        <v>6600</v>
      </c>
      <c r="F283">
        <v>497.06000000000006</v>
      </c>
      <c r="H283"/>
      <c r="I283" s="381">
        <v>521.38</v>
      </c>
      <c r="J283" s="381">
        <v>527.30999999999995</v>
      </c>
      <c r="K283" s="381">
        <v>-551.63</v>
      </c>
      <c r="L283" s="381">
        <v>523.94000000000005</v>
      </c>
      <c r="M283" s="381">
        <v>21.2</v>
      </c>
      <c r="N283" s="381">
        <v>0</v>
      </c>
      <c r="O283" s="381">
        <v>0</v>
      </c>
      <c r="P283" s="381">
        <v>0</v>
      </c>
      <c r="Q283" s="381">
        <v>0</v>
      </c>
      <c r="R283" s="381">
        <v>0</v>
      </c>
      <c r="S283" s="381">
        <v>0</v>
      </c>
      <c r="T283" s="381">
        <v>0</v>
      </c>
      <c r="U283" s="381">
        <v>1042.2</v>
      </c>
      <c r="V283" s="381">
        <v>545.14</v>
      </c>
    </row>
    <row r="284" spans="2:22">
      <c r="B284" t="s">
        <v>529</v>
      </c>
      <c r="C284" t="s">
        <v>530</v>
      </c>
      <c r="D284" t="s">
        <v>531</v>
      </c>
      <c r="F284">
        <v>26000</v>
      </c>
      <c r="H284"/>
      <c r="I284" s="381"/>
      <c r="J284" s="381"/>
      <c r="K284" s="381"/>
      <c r="L284" s="381">
        <v>0</v>
      </c>
      <c r="M284" s="381">
        <v>0</v>
      </c>
      <c r="N284" s="381">
        <v>0</v>
      </c>
      <c r="O284" s="381"/>
      <c r="P284" s="381"/>
      <c r="Q284" s="381"/>
      <c r="R284" s="381">
        <v>13000</v>
      </c>
      <c r="S284" s="381"/>
      <c r="T284" s="381"/>
      <c r="U284" s="381">
        <v>13000</v>
      </c>
      <c r="V284" s="381">
        <v>-13000</v>
      </c>
    </row>
    <row r="285" spans="2:22">
      <c r="B285" t="s">
        <v>532</v>
      </c>
      <c r="C285" t="s">
        <v>365</v>
      </c>
      <c r="D285" t="s">
        <v>57</v>
      </c>
      <c r="E285">
        <v>29055.720000000005</v>
      </c>
      <c r="F285">
        <v>28350.190000000002</v>
      </c>
      <c r="H285"/>
      <c r="I285" s="381">
        <v>2204.83</v>
      </c>
      <c r="J285" s="381">
        <v>2275.48</v>
      </c>
      <c r="K285" s="381">
        <v>2078.09</v>
      </c>
      <c r="L285" s="381">
        <v>6776.0599999999995</v>
      </c>
      <c r="M285" s="381">
        <v>5361.06</v>
      </c>
      <c r="N285" s="381">
        <v>754.37999999999988</v>
      </c>
      <c r="O285" s="381">
        <v>2421.31</v>
      </c>
      <c r="P285" s="381">
        <v>2421.31</v>
      </c>
      <c r="Q285" s="381">
        <v>2421.31</v>
      </c>
      <c r="R285" s="381">
        <v>2421.31</v>
      </c>
      <c r="S285" s="381">
        <v>2421.31</v>
      </c>
      <c r="T285" s="381">
        <v>2421.31</v>
      </c>
      <c r="U285" s="381">
        <v>33977.760000000009</v>
      </c>
      <c r="V285" s="381">
        <v>5627.570000000007</v>
      </c>
    </row>
    <row r="286" spans="2:22">
      <c r="B286" t="s">
        <v>533</v>
      </c>
      <c r="C286" t="s">
        <v>466</v>
      </c>
      <c r="D286" t="s">
        <v>57</v>
      </c>
      <c r="E286">
        <v>41976</v>
      </c>
      <c r="F286">
        <v>42158</v>
      </c>
      <c r="H286"/>
      <c r="I286" s="381">
        <v>3202</v>
      </c>
      <c r="J286" s="381">
        <v>2592</v>
      </c>
      <c r="K286" s="381">
        <v>4882</v>
      </c>
      <c r="L286" s="381">
        <v>2546</v>
      </c>
      <c r="M286" s="381">
        <v>2486</v>
      </c>
      <c r="N286" s="381">
        <v>2419</v>
      </c>
      <c r="O286" s="381">
        <v>3498</v>
      </c>
      <c r="P286" s="381">
        <v>3498</v>
      </c>
      <c r="Q286" s="381">
        <v>3498</v>
      </c>
      <c r="R286" s="381">
        <v>3498</v>
      </c>
      <c r="S286" s="381">
        <v>3498</v>
      </c>
      <c r="T286" s="381">
        <v>3498</v>
      </c>
      <c r="U286" s="381">
        <v>39115</v>
      </c>
      <c r="V286" s="381">
        <v>-3043</v>
      </c>
    </row>
    <row r="287" spans="2:22">
      <c r="B287" t="s">
        <v>534</v>
      </c>
      <c r="C287" t="s">
        <v>535</v>
      </c>
      <c r="D287" t="s">
        <v>57</v>
      </c>
      <c r="E287">
        <v>0</v>
      </c>
      <c r="F287">
        <v>5998.6900000000005</v>
      </c>
      <c r="H287"/>
      <c r="I287" s="381"/>
      <c r="J287" s="381"/>
      <c r="K287" s="381">
        <v>1048.69</v>
      </c>
      <c r="L287" s="381">
        <v>0</v>
      </c>
      <c r="M287" s="381">
        <v>0</v>
      </c>
      <c r="N287" s="381">
        <v>0</v>
      </c>
      <c r="O287" s="381">
        <v>550</v>
      </c>
      <c r="P287" s="381">
        <v>550</v>
      </c>
      <c r="Q287" s="381">
        <v>550</v>
      </c>
      <c r="R287" s="381">
        <v>550</v>
      </c>
      <c r="S287" s="381">
        <v>550</v>
      </c>
      <c r="T287" s="381">
        <v>550</v>
      </c>
      <c r="U287" s="381">
        <v>4348.6900000000005</v>
      </c>
      <c r="V287" s="381">
        <v>-1650</v>
      </c>
    </row>
    <row r="288" spans="2:22">
      <c r="B288" t="s">
        <v>536</v>
      </c>
      <c r="C288" t="s">
        <v>537</v>
      </c>
      <c r="D288" t="s">
        <v>25</v>
      </c>
      <c r="E288">
        <v>9476.7599999999984</v>
      </c>
      <c r="F288">
        <v>8989.8399999999983</v>
      </c>
      <c r="H288"/>
      <c r="I288" s="381">
        <v>730.3</v>
      </c>
      <c r="J288" s="381">
        <v>738.84</v>
      </c>
      <c r="K288" s="381">
        <v>752.07</v>
      </c>
      <c r="L288" s="381">
        <v>738.27</v>
      </c>
      <c r="M288" s="381">
        <v>704.13</v>
      </c>
      <c r="N288" s="381">
        <v>719.83999999999992</v>
      </c>
      <c r="O288" s="381">
        <v>752.07</v>
      </c>
      <c r="P288" s="381">
        <v>752.07</v>
      </c>
      <c r="Q288" s="381">
        <v>752.07</v>
      </c>
      <c r="R288" s="381">
        <v>752.07</v>
      </c>
      <c r="S288" s="381">
        <v>752.07</v>
      </c>
      <c r="T288" s="381">
        <v>752.07</v>
      </c>
      <c r="U288" s="381">
        <v>8895.869999999999</v>
      </c>
      <c r="V288" s="381">
        <v>-93.969999999999345</v>
      </c>
    </row>
    <row r="289" spans="2:22" hidden="1">
      <c r="B289" t="s">
        <v>538</v>
      </c>
      <c r="C289" t="s">
        <v>147</v>
      </c>
      <c r="D289" t="s">
        <v>25</v>
      </c>
      <c r="E289">
        <v>0</v>
      </c>
      <c r="F289">
        <v>-6.0000000000000053E-2</v>
      </c>
      <c r="H289"/>
      <c r="I289" s="381">
        <v>-0.54</v>
      </c>
      <c r="J289" s="381">
        <v>0.40999999999999992</v>
      </c>
      <c r="K289" s="381">
        <v>7.0000000000000007E-2</v>
      </c>
      <c r="L289" s="381">
        <v>0.79</v>
      </c>
      <c r="M289" s="381">
        <v>-1.1099999999999999</v>
      </c>
      <c r="N289" s="381">
        <v>8.9999999999999969E-2</v>
      </c>
      <c r="O289" s="381">
        <v>0</v>
      </c>
      <c r="P289" s="381">
        <v>0</v>
      </c>
      <c r="Q289" s="381">
        <v>0</v>
      </c>
      <c r="R289" s="381">
        <v>0</v>
      </c>
      <c r="S289" s="381">
        <v>0</v>
      </c>
      <c r="T289" s="381">
        <v>0</v>
      </c>
      <c r="U289" s="381">
        <v>-0.29000000000000004</v>
      </c>
      <c r="V289" s="381">
        <v>-0.23</v>
      </c>
    </row>
    <row r="290" spans="2:22">
      <c r="B290" t="s">
        <v>539</v>
      </c>
      <c r="C290" t="s">
        <v>56</v>
      </c>
      <c r="D290" t="s">
        <v>57</v>
      </c>
      <c r="E290">
        <v>24000</v>
      </c>
      <c r="F290">
        <v>21077.66</v>
      </c>
      <c r="H290"/>
      <c r="I290" s="381">
        <v>1075.3900000000001</v>
      </c>
      <c r="J290" s="381">
        <v>1075.5999999999999</v>
      </c>
      <c r="K290" s="381">
        <v>926.67</v>
      </c>
      <c r="L290" s="381">
        <v>1030.1999999999998</v>
      </c>
      <c r="M290" s="381">
        <v>1176.04</v>
      </c>
      <c r="N290" s="381">
        <v>1160.54</v>
      </c>
      <c r="O290" s="381">
        <v>2000</v>
      </c>
      <c r="P290" s="381">
        <v>2000</v>
      </c>
      <c r="Q290" s="381">
        <v>2000</v>
      </c>
      <c r="R290" s="381">
        <v>2000</v>
      </c>
      <c r="S290" s="381">
        <v>2000</v>
      </c>
      <c r="T290" s="381">
        <v>2000</v>
      </c>
      <c r="U290" s="381">
        <v>18444.439999999999</v>
      </c>
      <c r="V290" s="381">
        <v>-2633.2200000000012</v>
      </c>
    </row>
    <row r="291" spans="2:22">
      <c r="B291" t="s">
        <v>540</v>
      </c>
      <c r="C291" t="s">
        <v>214</v>
      </c>
      <c r="D291" t="s">
        <v>188</v>
      </c>
      <c r="E291">
        <v>0</v>
      </c>
      <c r="F291">
        <v>35000</v>
      </c>
      <c r="H291"/>
      <c r="I291" s="381"/>
      <c r="J291" s="381"/>
      <c r="K291" s="381">
        <v>8751</v>
      </c>
      <c r="L291" s="381">
        <v>0</v>
      </c>
      <c r="M291" s="381">
        <v>5834</v>
      </c>
      <c r="N291" s="381">
        <v>0</v>
      </c>
      <c r="O291" s="381">
        <v>2917</v>
      </c>
      <c r="P291" s="381">
        <v>2917</v>
      </c>
      <c r="Q291" s="381">
        <v>2916</v>
      </c>
      <c r="R291" s="381">
        <v>2916</v>
      </c>
      <c r="S291" s="381">
        <v>2916</v>
      </c>
      <c r="T291" s="381">
        <v>2916</v>
      </c>
      <c r="U291" s="381">
        <v>32083</v>
      </c>
      <c r="V291" s="381">
        <v>-2917</v>
      </c>
    </row>
    <row r="292" spans="2:22">
      <c r="B292" t="s">
        <v>541</v>
      </c>
      <c r="C292" t="s">
        <v>216</v>
      </c>
      <c r="D292" t="s">
        <v>217</v>
      </c>
      <c r="E292">
        <v>0</v>
      </c>
      <c r="F292">
        <v>7906.64</v>
      </c>
      <c r="H292"/>
      <c r="I292" s="381">
        <v>988.33</v>
      </c>
      <c r="J292" s="381">
        <v>988.33</v>
      </c>
      <c r="K292" s="381">
        <v>988.33</v>
      </c>
      <c r="L292" s="381">
        <v>1792.83</v>
      </c>
      <c r="M292" s="381">
        <v>988.32999999999993</v>
      </c>
      <c r="N292" s="381">
        <v>10337.959999999999</v>
      </c>
      <c r="O292" s="381">
        <v>988.33</v>
      </c>
      <c r="P292" s="381">
        <v>988.33</v>
      </c>
      <c r="Q292" s="381">
        <v>0</v>
      </c>
      <c r="R292" s="381">
        <v>0</v>
      </c>
      <c r="S292" s="381">
        <v>0</v>
      </c>
      <c r="T292" s="381">
        <v>0</v>
      </c>
      <c r="U292" s="381">
        <v>18060.77</v>
      </c>
      <c r="V292" s="381">
        <v>10154.130000000001</v>
      </c>
    </row>
    <row r="293" spans="2:22">
      <c r="B293" t="s">
        <v>542</v>
      </c>
      <c r="C293" t="s">
        <v>365</v>
      </c>
      <c r="D293" t="s">
        <v>57</v>
      </c>
      <c r="E293">
        <v>8220</v>
      </c>
      <c r="F293">
        <v>7536.92</v>
      </c>
      <c r="H293"/>
      <c r="I293" s="381">
        <v>685.96</v>
      </c>
      <c r="J293" s="381">
        <v>685.96</v>
      </c>
      <c r="K293" s="381">
        <v>0</v>
      </c>
      <c r="L293" s="381">
        <v>510.91</v>
      </c>
      <c r="M293" s="381">
        <v>685.96</v>
      </c>
      <c r="N293" s="381">
        <v>685.96</v>
      </c>
      <c r="O293" s="381">
        <v>685</v>
      </c>
      <c r="P293" s="381">
        <v>685</v>
      </c>
      <c r="Q293" s="381">
        <v>685</v>
      </c>
      <c r="R293" s="381">
        <v>685</v>
      </c>
      <c r="S293" s="381">
        <v>685</v>
      </c>
      <c r="T293" s="381">
        <v>685</v>
      </c>
      <c r="U293" s="381">
        <v>7364.75</v>
      </c>
      <c r="V293" s="381">
        <v>-172.17000000000007</v>
      </c>
    </row>
    <row r="294" spans="2:22">
      <c r="B294" t="s">
        <v>543</v>
      </c>
      <c r="C294" t="s">
        <v>466</v>
      </c>
      <c r="D294" t="s">
        <v>57</v>
      </c>
      <c r="E294">
        <v>36000</v>
      </c>
      <c r="F294">
        <v>34822</v>
      </c>
      <c r="H294"/>
      <c r="I294" s="381">
        <v>2137</v>
      </c>
      <c r="J294" s="381">
        <v>1809</v>
      </c>
      <c r="K294" s="381">
        <v>3876</v>
      </c>
      <c r="L294" s="381">
        <v>1749</v>
      </c>
      <c r="M294" s="381">
        <v>1548</v>
      </c>
      <c r="N294" s="381">
        <v>1273</v>
      </c>
      <c r="O294" s="381">
        <v>3000</v>
      </c>
      <c r="P294" s="381">
        <v>3000</v>
      </c>
      <c r="Q294" s="381">
        <v>3000</v>
      </c>
      <c r="R294" s="381">
        <v>3000</v>
      </c>
      <c r="S294" s="381">
        <v>3000</v>
      </c>
      <c r="T294" s="381">
        <v>3000</v>
      </c>
      <c r="U294" s="381">
        <v>30392</v>
      </c>
      <c r="V294" s="381">
        <v>-4430</v>
      </c>
    </row>
    <row r="295" spans="2:22" hidden="1">
      <c r="B295" t="s">
        <v>544</v>
      </c>
      <c r="C295" t="s">
        <v>147</v>
      </c>
      <c r="D295" t="s">
        <v>25</v>
      </c>
      <c r="E295">
        <v>0</v>
      </c>
      <c r="F295">
        <v>0.43</v>
      </c>
      <c r="H295"/>
      <c r="I295" s="381">
        <v>0.32</v>
      </c>
      <c r="J295" s="381">
        <v>0.11</v>
      </c>
      <c r="K295" s="381">
        <v>0</v>
      </c>
      <c r="L295" s="381">
        <v>0.06</v>
      </c>
      <c r="M295" s="381">
        <v>-0.33</v>
      </c>
      <c r="N295" s="381">
        <v>-0.46</v>
      </c>
      <c r="O295" s="381">
        <v>0</v>
      </c>
      <c r="P295" s="381">
        <v>0</v>
      </c>
      <c r="Q295" s="381">
        <v>0</v>
      </c>
      <c r="R295" s="381">
        <v>0</v>
      </c>
      <c r="S295" s="381">
        <v>0</v>
      </c>
      <c r="T295" s="381">
        <v>0</v>
      </c>
      <c r="U295" s="381">
        <v>-0.30000000000000004</v>
      </c>
      <c r="V295" s="381">
        <v>-0.73</v>
      </c>
    </row>
    <row r="296" spans="2:22" hidden="1">
      <c r="B296" t="s">
        <v>545</v>
      </c>
      <c r="C296" t="s">
        <v>393</v>
      </c>
      <c r="D296" t="s">
        <v>152</v>
      </c>
      <c r="E296">
        <v>125000</v>
      </c>
      <c r="F296">
        <v>0</v>
      </c>
      <c r="H296"/>
      <c r="I296"/>
      <c r="J296"/>
      <c r="K296"/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s="557">
        <v>0</v>
      </c>
    </row>
    <row r="297" spans="2:22" hidden="1">
      <c r="B297" t="s">
        <v>546</v>
      </c>
      <c r="C297" t="s">
        <v>395</v>
      </c>
      <c r="D297" t="s">
        <v>152</v>
      </c>
      <c r="E297">
        <v>100000</v>
      </c>
      <c r="F297">
        <v>0</v>
      </c>
      <c r="H297"/>
      <c r="I297"/>
      <c r="J297"/>
      <c r="K297"/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557">
        <v>0</v>
      </c>
    </row>
    <row r="298" spans="2:22" hidden="1">
      <c r="B298" t="s">
        <v>547</v>
      </c>
      <c r="C298" t="s">
        <v>397</v>
      </c>
      <c r="D298" t="s">
        <v>152</v>
      </c>
      <c r="E298">
        <v>75000</v>
      </c>
      <c r="F298">
        <v>0</v>
      </c>
      <c r="H298"/>
      <c r="I298" s="381"/>
      <c r="J298" s="381"/>
      <c r="K298" s="381"/>
      <c r="L298" s="381">
        <v>0</v>
      </c>
      <c r="M298" s="381">
        <v>0</v>
      </c>
      <c r="N298" s="381">
        <v>0</v>
      </c>
      <c r="O298" s="381">
        <v>0</v>
      </c>
      <c r="P298" s="381">
        <v>0</v>
      </c>
      <c r="Q298" s="381">
        <v>0</v>
      </c>
      <c r="R298" s="381">
        <v>0</v>
      </c>
      <c r="S298" s="381">
        <v>0</v>
      </c>
      <c r="T298" s="381">
        <v>0</v>
      </c>
      <c r="U298" s="381">
        <v>0</v>
      </c>
      <c r="V298" s="381">
        <v>0</v>
      </c>
    </row>
    <row r="299" spans="2:22">
      <c r="B299" t="s">
        <v>548</v>
      </c>
      <c r="C299" t="s">
        <v>53</v>
      </c>
      <c r="D299" t="s">
        <v>25</v>
      </c>
      <c r="E299">
        <v>0</v>
      </c>
      <c r="F299">
        <v>2360</v>
      </c>
      <c r="H299"/>
      <c r="I299" s="381"/>
      <c r="J299" s="381">
        <v>2180</v>
      </c>
      <c r="K299" s="381">
        <v>180</v>
      </c>
      <c r="L299" s="381">
        <v>180</v>
      </c>
      <c r="M299" s="381">
        <v>180</v>
      </c>
      <c r="N299" s="381">
        <v>60</v>
      </c>
      <c r="O299" s="381">
        <v>0</v>
      </c>
      <c r="P299" s="381">
        <v>0</v>
      </c>
      <c r="Q299" s="381">
        <v>0</v>
      </c>
      <c r="R299" s="381">
        <v>0</v>
      </c>
      <c r="S299" s="381">
        <v>0</v>
      </c>
      <c r="T299" s="381">
        <v>0</v>
      </c>
      <c r="U299" s="381">
        <v>2780</v>
      </c>
      <c r="V299" s="381">
        <v>420</v>
      </c>
    </row>
    <row r="300" spans="2:22">
      <c r="B300" t="s">
        <v>549</v>
      </c>
      <c r="C300" t="s">
        <v>56</v>
      </c>
      <c r="D300" t="s">
        <v>57</v>
      </c>
      <c r="E300">
        <v>36000</v>
      </c>
      <c r="F300">
        <v>38955.51</v>
      </c>
      <c r="H300"/>
      <c r="I300" s="381">
        <v>4414.1899999999996</v>
      </c>
      <c r="J300" s="381">
        <v>3932.76</v>
      </c>
      <c r="K300" s="381">
        <v>3608.56</v>
      </c>
      <c r="L300" s="381">
        <v>3606.4999999999995</v>
      </c>
      <c r="M300" s="381">
        <v>3644.34</v>
      </c>
      <c r="N300" s="381">
        <v>3811.5099999999998</v>
      </c>
      <c r="O300" s="381">
        <v>3700</v>
      </c>
      <c r="P300" s="381">
        <v>3700</v>
      </c>
      <c r="Q300" s="381">
        <v>3700</v>
      </c>
      <c r="R300" s="381">
        <v>3700</v>
      </c>
      <c r="S300" s="381">
        <v>3700</v>
      </c>
      <c r="T300" s="381">
        <v>3700</v>
      </c>
      <c r="U300" s="381">
        <v>45217.86</v>
      </c>
      <c r="V300" s="381">
        <v>6262.3499999999985</v>
      </c>
    </row>
    <row r="301" spans="2:22">
      <c r="B301" t="s">
        <v>550</v>
      </c>
      <c r="C301" t="s">
        <v>526</v>
      </c>
      <c r="D301" t="s">
        <v>57</v>
      </c>
      <c r="E301">
        <v>84000</v>
      </c>
      <c r="F301">
        <v>-14686.309999999998</v>
      </c>
      <c r="H301"/>
      <c r="I301" s="381">
        <v>6710.29</v>
      </c>
      <c r="J301" s="381">
        <v>-18265.05</v>
      </c>
      <c r="K301" s="381">
        <v>-3131.55</v>
      </c>
      <c r="L301" s="381">
        <v>7060.4400000000005</v>
      </c>
      <c r="M301" s="381">
        <v>6784.5</v>
      </c>
      <c r="N301" s="381">
        <v>-12968.59</v>
      </c>
      <c r="O301" s="381">
        <v>0</v>
      </c>
      <c r="P301" s="381">
        <v>0</v>
      </c>
      <c r="Q301" s="381">
        <v>0</v>
      </c>
      <c r="R301" s="381">
        <v>0</v>
      </c>
      <c r="S301" s="381">
        <v>0</v>
      </c>
      <c r="T301" s="381">
        <v>0</v>
      </c>
      <c r="U301" s="381">
        <v>-13809.959999999997</v>
      </c>
      <c r="V301" s="381">
        <v>876.35000000000036</v>
      </c>
    </row>
    <row r="302" spans="2:22" hidden="1">
      <c r="B302" t="s">
        <v>551</v>
      </c>
      <c r="C302" t="s">
        <v>201</v>
      </c>
      <c r="D302" t="s">
        <v>232</v>
      </c>
      <c r="E302">
        <v>200000</v>
      </c>
      <c r="F302">
        <v>0</v>
      </c>
      <c r="H302"/>
      <c r="I302"/>
      <c r="J302"/>
      <c r="K302"/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557">
        <v>0</v>
      </c>
    </row>
    <row r="303" spans="2:22" hidden="1">
      <c r="B303" t="s">
        <v>552</v>
      </c>
      <c r="C303" t="s">
        <v>530</v>
      </c>
      <c r="D303" t="s">
        <v>531</v>
      </c>
      <c r="E303">
        <v>26000</v>
      </c>
      <c r="F303">
        <v>0</v>
      </c>
      <c r="H303"/>
      <c r="I303" s="381"/>
      <c r="J303" s="381"/>
      <c r="K303" s="381"/>
      <c r="L303" s="381">
        <v>0</v>
      </c>
      <c r="M303" s="381">
        <v>0</v>
      </c>
      <c r="N303" s="381">
        <v>0</v>
      </c>
      <c r="O303" s="381">
        <v>0</v>
      </c>
      <c r="P303" s="381">
        <v>0</v>
      </c>
      <c r="Q303" s="381">
        <v>0</v>
      </c>
      <c r="R303" s="381">
        <v>0</v>
      </c>
      <c r="S303" s="381">
        <v>0</v>
      </c>
      <c r="T303" s="381">
        <v>0</v>
      </c>
      <c r="U303" s="381">
        <v>0</v>
      </c>
      <c r="V303" s="381">
        <v>0</v>
      </c>
    </row>
    <row r="304" spans="2:22">
      <c r="B304" t="s">
        <v>553</v>
      </c>
      <c r="C304" t="s">
        <v>466</v>
      </c>
      <c r="D304" t="s">
        <v>57</v>
      </c>
      <c r="E304">
        <v>45852</v>
      </c>
      <c r="F304">
        <v>44573</v>
      </c>
      <c r="H304"/>
      <c r="I304" s="381">
        <v>3089</v>
      </c>
      <c r="J304" s="381">
        <v>2620</v>
      </c>
      <c r="K304" s="381">
        <v>4475</v>
      </c>
      <c r="L304" s="381">
        <v>2648</v>
      </c>
      <c r="M304" s="381">
        <v>2648</v>
      </c>
      <c r="N304" s="381">
        <v>2581</v>
      </c>
      <c r="O304" s="381">
        <v>3821</v>
      </c>
      <c r="P304" s="381">
        <v>3821</v>
      </c>
      <c r="Q304" s="381">
        <v>3821</v>
      </c>
      <c r="R304" s="381">
        <v>3821</v>
      </c>
      <c r="S304" s="381">
        <v>3821</v>
      </c>
      <c r="T304" s="381">
        <v>3821</v>
      </c>
      <c r="U304" s="381">
        <v>40987</v>
      </c>
      <c r="V304" s="381">
        <v>-3586</v>
      </c>
    </row>
    <row r="305" spans="2:22" hidden="1">
      <c r="B305" t="s">
        <v>554</v>
      </c>
      <c r="C305" t="s">
        <v>147</v>
      </c>
      <c r="D305" t="s">
        <v>25</v>
      </c>
      <c r="E305">
        <v>0</v>
      </c>
      <c r="F305">
        <v>-0.2</v>
      </c>
      <c r="H305"/>
      <c r="I305">
        <v>-0.48</v>
      </c>
      <c r="J305">
        <v>0.28999999999999998</v>
      </c>
      <c r="K305">
        <v>-0.01</v>
      </c>
      <c r="L305">
        <v>0.06</v>
      </c>
      <c r="M305">
        <v>0.16</v>
      </c>
      <c r="N305">
        <v>0.08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9.9999999999999992E-2</v>
      </c>
      <c r="V305" s="557">
        <v>0.3</v>
      </c>
    </row>
    <row r="306" spans="2:22" hidden="1">
      <c r="D306" t="s">
        <v>54</v>
      </c>
      <c r="H306"/>
      <c r="I306"/>
      <c r="J306"/>
      <c r="K306"/>
      <c r="L306"/>
      <c r="M306">
        <v>0</v>
      </c>
      <c r="N306">
        <v>0</v>
      </c>
      <c r="O306"/>
      <c r="P306"/>
      <c r="Q306"/>
      <c r="R306"/>
      <c r="S306"/>
      <c r="T306"/>
      <c r="U306">
        <v>0</v>
      </c>
      <c r="V306" s="557">
        <v>0</v>
      </c>
    </row>
    <row r="307" spans="2:22">
      <c r="B307" t="s">
        <v>555</v>
      </c>
      <c r="C307" t="s">
        <v>53</v>
      </c>
      <c r="D307" t="s">
        <v>25</v>
      </c>
      <c r="E307">
        <v>0</v>
      </c>
      <c r="F307">
        <v>1177</v>
      </c>
      <c r="H307"/>
      <c r="I307" s="381">
        <v>-14023</v>
      </c>
      <c r="J307" s="381">
        <v>60</v>
      </c>
      <c r="K307" s="381">
        <v>15140</v>
      </c>
      <c r="L307" s="381">
        <v>60</v>
      </c>
      <c r="M307" s="381">
        <v>60</v>
      </c>
      <c r="N307" s="381">
        <v>-1401</v>
      </c>
      <c r="O307" s="381">
        <v>0</v>
      </c>
      <c r="P307" s="381">
        <v>0</v>
      </c>
      <c r="Q307" s="381">
        <v>0</v>
      </c>
      <c r="R307" s="381">
        <v>0</v>
      </c>
      <c r="S307" s="381">
        <v>0</v>
      </c>
      <c r="T307" s="381">
        <v>0</v>
      </c>
      <c r="U307" s="381">
        <v>-104</v>
      </c>
      <c r="V307" s="381">
        <v>-1281</v>
      </c>
    </row>
    <row r="308" spans="2:22">
      <c r="B308" t="s">
        <v>556</v>
      </c>
      <c r="C308" t="s">
        <v>497</v>
      </c>
      <c r="D308" t="s">
        <v>25</v>
      </c>
      <c r="E308">
        <v>4213</v>
      </c>
      <c r="F308">
        <v>3403</v>
      </c>
      <c r="H308"/>
      <c r="I308" s="381"/>
      <c r="J308" s="381"/>
      <c r="K308" s="381"/>
      <c r="L308" s="381">
        <v>0</v>
      </c>
      <c r="M308" s="381">
        <v>0</v>
      </c>
      <c r="N308" s="381">
        <v>0</v>
      </c>
      <c r="O308" s="381">
        <v>267</v>
      </c>
      <c r="P308" s="381">
        <v>267</v>
      </c>
      <c r="Q308" s="381">
        <v>267</v>
      </c>
      <c r="R308" s="381">
        <v>267</v>
      </c>
      <c r="S308" s="381">
        <v>267</v>
      </c>
      <c r="T308" s="381">
        <v>1267</v>
      </c>
      <c r="U308" s="381">
        <v>2602</v>
      </c>
      <c r="V308" s="381">
        <v>-801</v>
      </c>
    </row>
    <row r="309" spans="2:22">
      <c r="B309" t="s">
        <v>557</v>
      </c>
      <c r="C309" t="s">
        <v>499</v>
      </c>
      <c r="D309" t="s">
        <v>57</v>
      </c>
      <c r="E309">
        <v>3260</v>
      </c>
      <c r="F309">
        <v>2780</v>
      </c>
      <c r="H309"/>
      <c r="I309" s="381"/>
      <c r="J309" s="381"/>
      <c r="K309" s="381"/>
      <c r="L309" s="381">
        <v>0</v>
      </c>
      <c r="M309" s="381">
        <v>0</v>
      </c>
      <c r="N309" s="381">
        <v>0</v>
      </c>
      <c r="O309" s="381">
        <v>160</v>
      </c>
      <c r="P309" s="381">
        <v>160</v>
      </c>
      <c r="Q309" s="381">
        <v>160</v>
      </c>
      <c r="R309" s="381">
        <v>160</v>
      </c>
      <c r="S309" s="381">
        <v>160</v>
      </c>
      <c r="T309" s="381">
        <v>1500</v>
      </c>
      <c r="U309" s="381">
        <v>2300</v>
      </c>
      <c r="V309" s="381">
        <v>-480</v>
      </c>
    </row>
    <row r="310" spans="2:22">
      <c r="B310" t="s">
        <v>558</v>
      </c>
      <c r="C310" t="s">
        <v>559</v>
      </c>
      <c r="D310" t="s">
        <v>57</v>
      </c>
      <c r="E310">
        <v>17000</v>
      </c>
      <c r="F310">
        <v>13700</v>
      </c>
      <c r="H310"/>
      <c r="I310" s="381"/>
      <c r="J310" s="381"/>
      <c r="K310" s="381"/>
      <c r="L310" s="381">
        <v>0</v>
      </c>
      <c r="M310" s="381">
        <v>0</v>
      </c>
      <c r="N310" s="381">
        <v>0</v>
      </c>
      <c r="O310" s="381">
        <v>1100</v>
      </c>
      <c r="P310" s="381">
        <v>1100</v>
      </c>
      <c r="Q310" s="381">
        <v>1100</v>
      </c>
      <c r="R310" s="381">
        <v>1100</v>
      </c>
      <c r="S310" s="381">
        <v>3000</v>
      </c>
      <c r="T310" s="381">
        <v>3000</v>
      </c>
      <c r="U310" s="381">
        <v>10400</v>
      </c>
      <c r="V310" s="381">
        <v>-3300</v>
      </c>
    </row>
    <row r="311" spans="2:22">
      <c r="B311" t="s">
        <v>560</v>
      </c>
      <c r="C311" t="s">
        <v>466</v>
      </c>
      <c r="D311" t="s">
        <v>57</v>
      </c>
      <c r="E311">
        <v>0</v>
      </c>
      <c r="F311">
        <v>3562</v>
      </c>
      <c r="H311"/>
      <c r="I311" s="381">
        <v>60</v>
      </c>
      <c r="J311" s="381">
        <v>0</v>
      </c>
      <c r="K311" s="381">
        <v>3502</v>
      </c>
      <c r="L311" s="381">
        <v>0</v>
      </c>
      <c r="M311" s="381">
        <v>0</v>
      </c>
      <c r="N311" s="381">
        <v>60</v>
      </c>
      <c r="O311" s="381">
        <v>0</v>
      </c>
      <c r="P311" s="381">
        <v>0</v>
      </c>
      <c r="Q311" s="381">
        <v>0</v>
      </c>
      <c r="R311" s="381">
        <v>0</v>
      </c>
      <c r="S311" s="381">
        <v>0</v>
      </c>
      <c r="T311" s="381">
        <v>0</v>
      </c>
      <c r="U311" s="381">
        <v>3622</v>
      </c>
      <c r="V311" s="381">
        <v>60</v>
      </c>
    </row>
    <row r="312" spans="2:22">
      <c r="B312" t="s">
        <v>561</v>
      </c>
      <c r="C312" t="s">
        <v>404</v>
      </c>
      <c r="D312" t="s">
        <v>405</v>
      </c>
      <c r="E312">
        <v>0</v>
      </c>
      <c r="F312">
        <v>0</v>
      </c>
      <c r="H312"/>
      <c r="I312" s="381"/>
      <c r="J312" s="381">
        <v>0</v>
      </c>
      <c r="K312" s="381">
        <v>0</v>
      </c>
      <c r="L312" s="381">
        <v>-5.07</v>
      </c>
      <c r="M312" s="381">
        <v>0</v>
      </c>
      <c r="N312" s="381">
        <v>0</v>
      </c>
      <c r="O312" s="381">
        <v>0</v>
      </c>
      <c r="P312" s="381">
        <v>0</v>
      </c>
      <c r="Q312" s="381">
        <v>0</v>
      </c>
      <c r="R312" s="381">
        <v>0</v>
      </c>
      <c r="S312" s="381">
        <v>0</v>
      </c>
      <c r="T312" s="381">
        <v>0</v>
      </c>
      <c r="U312" s="381">
        <v>-5.07</v>
      </c>
      <c r="V312" s="381">
        <v>-5.07</v>
      </c>
    </row>
    <row r="313" spans="2:22">
      <c r="B313" t="s">
        <v>562</v>
      </c>
      <c r="C313" t="s">
        <v>350</v>
      </c>
      <c r="D313" t="s">
        <v>25</v>
      </c>
      <c r="E313">
        <v>0</v>
      </c>
      <c r="F313">
        <v>108.52</v>
      </c>
      <c r="H313"/>
      <c r="I313">
        <v>108.52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108.52</v>
      </c>
      <c r="V313" s="557">
        <v>0</v>
      </c>
    </row>
    <row r="314" spans="2:22" hidden="1">
      <c r="B314" t="s">
        <v>563</v>
      </c>
      <c r="C314" t="s">
        <v>352</v>
      </c>
      <c r="D314" t="s">
        <v>25</v>
      </c>
      <c r="E314">
        <v>0</v>
      </c>
      <c r="F314">
        <v>0</v>
      </c>
      <c r="H314"/>
      <c r="I314"/>
      <c r="J314"/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557">
        <v>0</v>
      </c>
    </row>
    <row r="315" spans="2:22">
      <c r="B315" t="s">
        <v>564</v>
      </c>
      <c r="C315" t="s">
        <v>414</v>
      </c>
      <c r="D315" t="s">
        <v>25</v>
      </c>
      <c r="E315">
        <v>0</v>
      </c>
      <c r="F315">
        <v>0</v>
      </c>
      <c r="H315"/>
      <c r="I315" s="381"/>
      <c r="J315" s="381">
        <v>0</v>
      </c>
      <c r="K315" s="381">
        <v>0</v>
      </c>
      <c r="L315" s="381">
        <v>-5040.41</v>
      </c>
      <c r="M315" s="381">
        <v>0</v>
      </c>
      <c r="N315" s="381">
        <v>0</v>
      </c>
      <c r="O315" s="381">
        <v>0</v>
      </c>
      <c r="P315" s="381">
        <v>0</v>
      </c>
      <c r="Q315" s="381">
        <v>0</v>
      </c>
      <c r="R315" s="381">
        <v>0</v>
      </c>
      <c r="S315" s="381">
        <v>0</v>
      </c>
      <c r="T315" s="381">
        <v>0</v>
      </c>
      <c r="U315" s="381">
        <v>-5040.41</v>
      </c>
      <c r="V315" s="381">
        <v>-5040.41</v>
      </c>
    </row>
    <row r="316" spans="2:22" hidden="1">
      <c r="B316" t="s">
        <v>565</v>
      </c>
      <c r="C316" t="s">
        <v>362</v>
      </c>
      <c r="D316" t="s">
        <v>54</v>
      </c>
      <c r="F316">
        <v>0</v>
      </c>
      <c r="H316"/>
      <c r="I316" s="381"/>
      <c r="J316" s="381"/>
      <c r="K316" s="381"/>
      <c r="L316" s="381">
        <v>0</v>
      </c>
      <c r="M316" s="381">
        <v>0</v>
      </c>
      <c r="N316" s="381">
        <v>0</v>
      </c>
      <c r="O316" s="381"/>
      <c r="P316" s="381"/>
      <c r="Q316" s="381"/>
      <c r="R316" s="381"/>
      <c r="S316" s="381"/>
      <c r="T316" s="381"/>
      <c r="U316" s="381">
        <v>0</v>
      </c>
      <c r="V316" s="381">
        <v>0</v>
      </c>
    </row>
    <row r="317" spans="2:22">
      <c r="B317" t="s">
        <v>566</v>
      </c>
      <c r="C317" t="s">
        <v>271</v>
      </c>
      <c r="D317" t="s">
        <v>54</v>
      </c>
      <c r="H317"/>
      <c r="I317" s="381"/>
      <c r="J317" s="381"/>
      <c r="K317" s="381"/>
      <c r="L317" s="381">
        <v>142.1</v>
      </c>
      <c r="M317" s="381">
        <v>309.31</v>
      </c>
      <c r="N317" s="381">
        <v>316.74</v>
      </c>
      <c r="O317" s="381"/>
      <c r="P317" s="381"/>
      <c r="Q317" s="381"/>
      <c r="R317" s="381"/>
      <c r="S317" s="381"/>
      <c r="T317" s="381"/>
      <c r="U317" s="381">
        <v>768.15</v>
      </c>
      <c r="V317" s="381">
        <v>768.15</v>
      </c>
    </row>
    <row r="318" spans="2:22">
      <c r="B318" t="s">
        <v>567</v>
      </c>
      <c r="C318" t="s">
        <v>274</v>
      </c>
      <c r="D318" t="s">
        <v>275</v>
      </c>
      <c r="E318">
        <v>0</v>
      </c>
      <c r="F318">
        <v>23735.440000000002</v>
      </c>
      <c r="H318"/>
      <c r="I318" s="381"/>
      <c r="J318" s="381"/>
      <c r="K318" s="381">
        <v>3561.44</v>
      </c>
      <c r="L318" s="381">
        <v>0</v>
      </c>
      <c r="M318" s="381">
        <v>6253.55</v>
      </c>
      <c r="N318" s="381">
        <v>3700.6400000000003</v>
      </c>
      <c r="O318" s="381">
        <v>1990</v>
      </c>
      <c r="P318" s="381">
        <v>1990</v>
      </c>
      <c r="Q318" s="381">
        <v>1990</v>
      </c>
      <c r="R318" s="381">
        <v>1990</v>
      </c>
      <c r="S318" s="381">
        <v>1990</v>
      </c>
      <c r="T318" s="381">
        <v>1990</v>
      </c>
      <c r="U318" s="381">
        <v>25455.63</v>
      </c>
      <c r="V318" s="381">
        <v>1720.1899999999987</v>
      </c>
    </row>
    <row r="319" spans="2:22">
      <c r="B319" t="s">
        <v>568</v>
      </c>
      <c r="C319" t="s">
        <v>281</v>
      </c>
      <c r="D319" t="s">
        <v>54</v>
      </c>
      <c r="H319"/>
      <c r="I319" s="381"/>
      <c r="J319" s="381"/>
      <c r="K319" s="381"/>
      <c r="L319" s="381"/>
      <c r="M319" s="381">
        <v>-10419.43</v>
      </c>
      <c r="N319" s="381">
        <v>0</v>
      </c>
      <c r="O319" s="381"/>
      <c r="P319" s="381"/>
      <c r="Q319" s="381"/>
      <c r="R319" s="381"/>
      <c r="S319" s="381"/>
      <c r="T319" s="381"/>
      <c r="U319" s="381">
        <v>-10419.43</v>
      </c>
      <c r="V319" s="381">
        <v>-10419.43</v>
      </c>
    </row>
    <row r="320" spans="2:22">
      <c r="B320" t="s">
        <v>569</v>
      </c>
      <c r="C320" t="s">
        <v>56</v>
      </c>
      <c r="D320" t="s">
        <v>57</v>
      </c>
      <c r="E320">
        <v>61212</v>
      </c>
      <c r="F320">
        <v>56088.78</v>
      </c>
      <c r="H320"/>
      <c r="I320" s="381">
        <v>3210.5699999999997</v>
      </c>
      <c r="J320" s="381">
        <v>3707.16</v>
      </c>
      <c r="K320" s="381">
        <v>3262.05</v>
      </c>
      <c r="L320" s="381">
        <v>4942.08</v>
      </c>
      <c r="M320" s="381">
        <v>6039.24</v>
      </c>
      <c r="N320" s="381">
        <v>5431.55</v>
      </c>
      <c r="O320" s="381">
        <v>5101</v>
      </c>
      <c r="P320" s="381">
        <v>5101</v>
      </c>
      <c r="Q320" s="381">
        <v>5101</v>
      </c>
      <c r="R320" s="381">
        <v>5101</v>
      </c>
      <c r="S320" s="381">
        <v>5101</v>
      </c>
      <c r="T320" s="381">
        <v>5101</v>
      </c>
      <c r="U320" s="381">
        <v>57198.65</v>
      </c>
      <c r="V320" s="381">
        <v>1109.8700000000026</v>
      </c>
    </row>
    <row r="321" spans="2:22" hidden="1">
      <c r="B321" t="s">
        <v>570</v>
      </c>
      <c r="C321" t="s">
        <v>571</v>
      </c>
      <c r="D321" t="s">
        <v>432</v>
      </c>
      <c r="E321">
        <v>1236</v>
      </c>
      <c r="F321">
        <v>0</v>
      </c>
      <c r="H321"/>
      <c r="I321" s="381"/>
      <c r="J321" s="381"/>
      <c r="K321" s="381"/>
      <c r="L321" s="381">
        <v>0</v>
      </c>
      <c r="M321" s="381">
        <v>0</v>
      </c>
      <c r="N321" s="381">
        <v>0</v>
      </c>
      <c r="O321" s="381">
        <v>0</v>
      </c>
      <c r="P321" s="381">
        <v>0</v>
      </c>
      <c r="Q321" s="381">
        <v>0</v>
      </c>
      <c r="R321" s="381">
        <v>0</v>
      </c>
      <c r="S321" s="381">
        <v>0</v>
      </c>
      <c r="T321" s="381">
        <v>0</v>
      </c>
      <c r="U321" s="381">
        <v>0</v>
      </c>
      <c r="V321" s="381">
        <v>0</v>
      </c>
    </row>
    <row r="322" spans="2:22">
      <c r="B322" t="s">
        <v>572</v>
      </c>
      <c r="C322" t="s">
        <v>573</v>
      </c>
      <c r="D322" t="s">
        <v>432</v>
      </c>
      <c r="E322">
        <v>42000</v>
      </c>
      <c r="F322">
        <v>37871.96</v>
      </c>
      <c r="H322"/>
      <c r="I322" s="381">
        <v>1370.43</v>
      </c>
      <c r="J322" s="381">
        <v>3605.56</v>
      </c>
      <c r="K322" s="381">
        <v>1395.97</v>
      </c>
      <c r="L322" s="381">
        <v>1255.79</v>
      </c>
      <c r="M322" s="381">
        <v>2734.6699999999996</v>
      </c>
      <c r="N322" s="381">
        <v>2056.0299999999997</v>
      </c>
      <c r="O322" s="381">
        <v>3500</v>
      </c>
      <c r="P322" s="381">
        <v>3500</v>
      </c>
      <c r="Q322" s="381">
        <v>3500</v>
      </c>
      <c r="R322" s="381">
        <v>3500</v>
      </c>
      <c r="S322" s="381">
        <v>3500</v>
      </c>
      <c r="T322" s="381">
        <v>3500</v>
      </c>
      <c r="U322" s="381">
        <v>33418.449999999997</v>
      </c>
      <c r="V322" s="381">
        <v>-4453.510000000002</v>
      </c>
    </row>
    <row r="323" spans="2:22">
      <c r="B323" t="s">
        <v>574</v>
      </c>
      <c r="C323" t="s">
        <v>508</v>
      </c>
      <c r="D323" t="s">
        <v>432</v>
      </c>
      <c r="E323">
        <v>0</v>
      </c>
      <c r="F323">
        <v>3866.47</v>
      </c>
      <c r="H323"/>
      <c r="I323" s="381">
        <v>387.61</v>
      </c>
      <c r="J323" s="381">
        <v>1445.99</v>
      </c>
      <c r="K323" s="381">
        <v>2032.87</v>
      </c>
      <c r="L323" s="381">
        <v>1085.24</v>
      </c>
      <c r="M323" s="381">
        <v>866.11</v>
      </c>
      <c r="N323" s="381">
        <v>938.15</v>
      </c>
      <c r="O323" s="381">
        <v>0</v>
      </c>
      <c r="P323" s="381">
        <v>0</v>
      </c>
      <c r="Q323" s="381">
        <v>0</v>
      </c>
      <c r="R323" s="381">
        <v>0</v>
      </c>
      <c r="S323" s="381">
        <v>0</v>
      </c>
      <c r="T323" s="381">
        <v>0</v>
      </c>
      <c r="U323" s="381">
        <v>6755.9699999999993</v>
      </c>
      <c r="V323" s="381">
        <v>2889.4999999999995</v>
      </c>
    </row>
    <row r="324" spans="2:22">
      <c r="B324" t="s">
        <v>575</v>
      </c>
      <c r="C324" t="s">
        <v>576</v>
      </c>
      <c r="D324" t="s">
        <v>272</v>
      </c>
      <c r="E324">
        <v>-30</v>
      </c>
      <c r="F324">
        <v>-30</v>
      </c>
      <c r="H324"/>
      <c r="I324" s="381"/>
      <c r="J324" s="381"/>
      <c r="K324" s="381">
        <v>-30</v>
      </c>
      <c r="L324" s="381">
        <v>0</v>
      </c>
      <c r="M324" s="381">
        <v>0</v>
      </c>
      <c r="N324" s="381">
        <v>650</v>
      </c>
      <c r="O324" s="381">
        <v>0</v>
      </c>
      <c r="P324" s="381">
        <v>0</v>
      </c>
      <c r="Q324" s="381">
        <v>1550</v>
      </c>
      <c r="R324" s="381">
        <v>0</v>
      </c>
      <c r="S324" s="381">
        <v>0</v>
      </c>
      <c r="T324" s="381">
        <v>0</v>
      </c>
      <c r="U324" s="381">
        <v>2170</v>
      </c>
      <c r="V324" s="381">
        <v>2200</v>
      </c>
    </row>
    <row r="325" spans="2:22">
      <c r="B325" t="s">
        <v>577</v>
      </c>
      <c r="C325" t="s">
        <v>578</v>
      </c>
      <c r="D325" t="s">
        <v>272</v>
      </c>
      <c r="E325">
        <v>0</v>
      </c>
      <c r="F325">
        <v>275.15000000000055</v>
      </c>
      <c r="H325"/>
      <c r="I325" s="381">
        <v>2699.63</v>
      </c>
      <c r="J325" s="381">
        <v>2847.71</v>
      </c>
      <c r="K325" s="381">
        <v>-5272.19</v>
      </c>
      <c r="L325" s="381">
        <v>3353.36</v>
      </c>
      <c r="M325" s="381">
        <v>2931.3300000000004</v>
      </c>
      <c r="N325" s="381">
        <v>3022.73</v>
      </c>
      <c r="O325" s="381">
        <v>0</v>
      </c>
      <c r="P325" s="381">
        <v>0</v>
      </c>
      <c r="Q325" s="381">
        <v>0</v>
      </c>
      <c r="R325" s="381">
        <v>0</v>
      </c>
      <c r="S325" s="381">
        <v>0</v>
      </c>
      <c r="T325" s="381">
        <v>0</v>
      </c>
      <c r="U325" s="381">
        <v>9582.5700000000015</v>
      </c>
      <c r="V325" s="381">
        <v>9307.4200000000019</v>
      </c>
    </row>
    <row r="326" spans="2:22">
      <c r="B326" t="s">
        <v>579</v>
      </c>
      <c r="C326" t="s">
        <v>307</v>
      </c>
      <c r="D326" t="s">
        <v>272</v>
      </c>
      <c r="E326">
        <v>0</v>
      </c>
      <c r="F326">
        <v>2089.6999999999998</v>
      </c>
      <c r="H326"/>
      <c r="I326" s="381"/>
      <c r="J326" s="381"/>
      <c r="K326" s="381">
        <v>2089.6999999999998</v>
      </c>
      <c r="L326" s="381">
        <v>0</v>
      </c>
      <c r="M326" s="381">
        <v>2520.12</v>
      </c>
      <c r="N326" s="381">
        <v>0</v>
      </c>
      <c r="O326" s="381">
        <v>0</v>
      </c>
      <c r="P326" s="381">
        <v>3240</v>
      </c>
      <c r="Q326" s="381">
        <v>0</v>
      </c>
      <c r="R326" s="381">
        <v>0</v>
      </c>
      <c r="S326" s="381">
        <v>0</v>
      </c>
      <c r="T326" s="381">
        <v>0</v>
      </c>
      <c r="U326" s="381">
        <v>7849.82</v>
      </c>
      <c r="V326" s="381">
        <v>5760.12</v>
      </c>
    </row>
    <row r="327" spans="2:22">
      <c r="B327" t="s">
        <v>580</v>
      </c>
      <c r="C327" t="s">
        <v>365</v>
      </c>
      <c r="D327" t="s">
        <v>57</v>
      </c>
      <c r="E327">
        <v>18000</v>
      </c>
      <c r="F327">
        <v>17727.5</v>
      </c>
      <c r="H327"/>
      <c r="I327" s="381">
        <v>4227.5</v>
      </c>
      <c r="J327" s="381">
        <v>0</v>
      </c>
      <c r="K327" s="381">
        <v>0</v>
      </c>
      <c r="L327" s="381">
        <v>0</v>
      </c>
      <c r="M327" s="381">
        <v>92.06</v>
      </c>
      <c r="N327" s="381">
        <v>479.12</v>
      </c>
      <c r="O327" s="381">
        <v>1500</v>
      </c>
      <c r="P327" s="381">
        <v>1500</v>
      </c>
      <c r="Q327" s="381">
        <v>1500</v>
      </c>
      <c r="R327" s="381">
        <v>1500</v>
      </c>
      <c r="S327" s="381">
        <v>1500</v>
      </c>
      <c r="T327" s="381">
        <v>1500</v>
      </c>
      <c r="U327" s="381">
        <v>13798.68</v>
      </c>
      <c r="V327" s="381">
        <v>-3928.8199999999997</v>
      </c>
    </row>
    <row r="328" spans="2:22">
      <c r="B328" t="s">
        <v>581</v>
      </c>
      <c r="C328" t="s">
        <v>466</v>
      </c>
      <c r="D328" t="s">
        <v>57</v>
      </c>
      <c r="E328">
        <v>60000</v>
      </c>
      <c r="F328">
        <v>77098.11</v>
      </c>
      <c r="H328"/>
      <c r="I328" s="381">
        <v>14601.17</v>
      </c>
      <c r="J328" s="381">
        <v>13997.08</v>
      </c>
      <c r="K328" s="381">
        <v>3499.86</v>
      </c>
      <c r="L328" s="381">
        <v>15984.21</v>
      </c>
      <c r="M328" s="381">
        <v>17536.269999999997</v>
      </c>
      <c r="N328" s="381">
        <v>17731.900000000001</v>
      </c>
      <c r="O328" s="381">
        <v>5000</v>
      </c>
      <c r="P328" s="381">
        <v>5000</v>
      </c>
      <c r="Q328" s="381">
        <v>5000</v>
      </c>
      <c r="R328" s="381">
        <v>5000</v>
      </c>
      <c r="S328" s="381">
        <v>5000</v>
      </c>
      <c r="T328" s="381">
        <v>5000</v>
      </c>
      <c r="U328" s="381">
        <v>113350.48999999999</v>
      </c>
      <c r="V328" s="381">
        <v>36252.37999999999</v>
      </c>
    </row>
    <row r="329" spans="2:22">
      <c r="B329" t="s">
        <v>582</v>
      </c>
      <c r="C329" t="s">
        <v>583</v>
      </c>
      <c r="D329" t="s">
        <v>25</v>
      </c>
      <c r="E329">
        <v>4032</v>
      </c>
      <c r="F329">
        <v>3024</v>
      </c>
      <c r="H329"/>
      <c r="I329" s="381"/>
      <c r="J329" s="381"/>
      <c r="K329" s="381"/>
      <c r="L329" s="381">
        <v>0</v>
      </c>
      <c r="M329" s="381">
        <v>0</v>
      </c>
      <c r="N329" s="381">
        <v>0</v>
      </c>
      <c r="O329" s="381">
        <v>336</v>
      </c>
      <c r="P329" s="381">
        <v>336</v>
      </c>
      <c r="Q329" s="381">
        <v>336</v>
      </c>
      <c r="R329" s="381">
        <v>336</v>
      </c>
      <c r="S329" s="381">
        <v>336</v>
      </c>
      <c r="T329" s="381">
        <v>336</v>
      </c>
      <c r="U329" s="381">
        <v>2016</v>
      </c>
      <c r="V329" s="381">
        <v>-1008</v>
      </c>
    </row>
    <row r="330" spans="2:22">
      <c r="B330" t="s">
        <v>584</v>
      </c>
      <c r="C330" t="s">
        <v>585</v>
      </c>
      <c r="D330" t="s">
        <v>57</v>
      </c>
      <c r="E330">
        <v>0</v>
      </c>
      <c r="F330">
        <v>31176.729999999992</v>
      </c>
      <c r="H330"/>
      <c r="I330" s="381"/>
      <c r="J330" s="381"/>
      <c r="K330" s="381">
        <v>5547.34</v>
      </c>
      <c r="L330" s="381">
        <v>0</v>
      </c>
      <c r="M330" s="381">
        <v>112.07</v>
      </c>
      <c r="N330" s="381">
        <v>112.07</v>
      </c>
      <c r="O330" s="381">
        <v>2847.71</v>
      </c>
      <c r="P330" s="381">
        <v>2847.71</v>
      </c>
      <c r="Q330" s="381">
        <v>2847.71</v>
      </c>
      <c r="R330" s="381">
        <v>2847.71</v>
      </c>
      <c r="S330" s="381">
        <v>2847.71</v>
      </c>
      <c r="T330" s="381">
        <v>2847.71</v>
      </c>
      <c r="U330" s="381">
        <v>22857.739999999994</v>
      </c>
      <c r="V330" s="381">
        <v>-8318.989999999998</v>
      </c>
    </row>
    <row r="331" spans="2:22">
      <c r="B331" t="s">
        <v>586</v>
      </c>
      <c r="C331" t="s">
        <v>587</v>
      </c>
      <c r="D331" t="s">
        <v>25</v>
      </c>
      <c r="E331">
        <v>0</v>
      </c>
      <c r="F331">
        <v>21.89</v>
      </c>
      <c r="H331"/>
      <c r="I331" s="381">
        <v>11.06</v>
      </c>
      <c r="J331" s="381">
        <v>5.54</v>
      </c>
      <c r="K331" s="381">
        <v>5.29</v>
      </c>
      <c r="L331" s="381">
        <v>5.5299999999999994</v>
      </c>
      <c r="M331" s="381">
        <v>5.33</v>
      </c>
      <c r="N331" s="381">
        <v>5.5299999999999994</v>
      </c>
      <c r="O331" s="381">
        <v>0</v>
      </c>
      <c r="P331" s="381">
        <v>0</v>
      </c>
      <c r="Q331" s="381">
        <v>0</v>
      </c>
      <c r="R331" s="381">
        <v>0</v>
      </c>
      <c r="S331" s="381">
        <v>0</v>
      </c>
      <c r="T331" s="381">
        <v>0</v>
      </c>
      <c r="U331" s="381">
        <v>38.28</v>
      </c>
      <c r="V331" s="381">
        <v>16.39</v>
      </c>
    </row>
    <row r="332" spans="2:22">
      <c r="B332" t="s">
        <v>588</v>
      </c>
      <c r="C332" t="s">
        <v>147</v>
      </c>
      <c r="D332" t="s">
        <v>25</v>
      </c>
      <c r="E332">
        <v>0</v>
      </c>
      <c r="F332">
        <v>509.98000000000025</v>
      </c>
      <c r="H332"/>
      <c r="I332" s="381">
        <v>2948.67</v>
      </c>
      <c r="J332" s="381">
        <v>-733.99</v>
      </c>
      <c r="K332" s="381">
        <v>-1704.7</v>
      </c>
      <c r="L332" s="381">
        <v>1083.9799999999998</v>
      </c>
      <c r="M332" s="381">
        <v>2193.8599999999997</v>
      </c>
      <c r="N332" s="381">
        <v>3562.08</v>
      </c>
      <c r="O332" s="381">
        <v>0</v>
      </c>
      <c r="P332" s="381">
        <v>0</v>
      </c>
      <c r="Q332" s="381">
        <v>0</v>
      </c>
      <c r="R332" s="381">
        <v>0</v>
      </c>
      <c r="S332" s="381">
        <v>0</v>
      </c>
      <c r="T332" s="381">
        <v>0</v>
      </c>
      <c r="U332" s="381">
        <v>7349.9</v>
      </c>
      <c r="V332" s="381">
        <v>6839.92</v>
      </c>
    </row>
    <row r="333" spans="2:22">
      <c r="B333" t="s">
        <v>589</v>
      </c>
      <c r="C333" t="s">
        <v>590</v>
      </c>
      <c r="D333" t="s">
        <v>44</v>
      </c>
      <c r="E333">
        <v>-338500</v>
      </c>
      <c r="F333">
        <v>-435500</v>
      </c>
      <c r="H333"/>
      <c r="I333" s="381"/>
      <c r="J333" s="381"/>
      <c r="K333" s="381"/>
      <c r="L333" s="381">
        <v>0</v>
      </c>
      <c r="M333" s="381">
        <v>0</v>
      </c>
      <c r="N333" s="381">
        <v>0</v>
      </c>
      <c r="O333" s="381">
        <v>0</v>
      </c>
      <c r="P333" s="381">
        <v>0</v>
      </c>
      <c r="Q333" s="381">
        <v>-203100</v>
      </c>
      <c r="R333" s="381">
        <v>0</v>
      </c>
      <c r="S333" s="381">
        <v>0</v>
      </c>
      <c r="T333" s="381">
        <v>-97000</v>
      </c>
      <c r="U333" s="381">
        <v>-300100</v>
      </c>
      <c r="V333" s="381">
        <v>135400</v>
      </c>
    </row>
    <row r="334" spans="2:22">
      <c r="B334" t="s">
        <v>591</v>
      </c>
      <c r="C334" t="s">
        <v>323</v>
      </c>
      <c r="D334" t="s">
        <v>25</v>
      </c>
      <c r="E334">
        <v>0</v>
      </c>
      <c r="F334">
        <v>356.72</v>
      </c>
      <c r="H334"/>
      <c r="I334"/>
      <c r="J334">
        <v>356.72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356.72</v>
      </c>
      <c r="V334" s="557">
        <v>0</v>
      </c>
    </row>
    <row r="335" spans="2:22">
      <c r="B335" t="s">
        <v>592</v>
      </c>
      <c r="C335" t="s">
        <v>593</v>
      </c>
      <c r="D335" t="s">
        <v>152</v>
      </c>
      <c r="E335">
        <v>31560</v>
      </c>
      <c r="F335">
        <v>23670</v>
      </c>
      <c r="H335"/>
      <c r="I335" s="381"/>
      <c r="J335" s="381"/>
      <c r="K335" s="381"/>
      <c r="L335" s="381">
        <v>0</v>
      </c>
      <c r="M335" s="381">
        <v>0</v>
      </c>
      <c r="N335" s="381">
        <v>0</v>
      </c>
      <c r="O335" s="381">
        <v>2630</v>
      </c>
      <c r="P335" s="381">
        <v>2630</v>
      </c>
      <c r="Q335" s="381">
        <v>2630</v>
      </c>
      <c r="R335" s="381">
        <v>2630</v>
      </c>
      <c r="S335" s="381">
        <v>2630</v>
      </c>
      <c r="T335" s="381">
        <v>2630</v>
      </c>
      <c r="U335" s="381">
        <v>15780</v>
      </c>
      <c r="V335" s="381">
        <v>-7890</v>
      </c>
    </row>
    <row r="336" spans="2:22">
      <c r="B336" t="s">
        <v>594</v>
      </c>
      <c r="C336" t="s">
        <v>330</v>
      </c>
      <c r="D336" t="s">
        <v>67</v>
      </c>
      <c r="E336">
        <v>1274196</v>
      </c>
      <c r="F336">
        <v>1157512.03</v>
      </c>
      <c r="H336"/>
      <c r="I336" s="381"/>
      <c r="J336" s="381"/>
      <c r="K336" s="381">
        <v>201865.03</v>
      </c>
      <c r="L336" s="381">
        <v>98015.38</v>
      </c>
      <c r="M336" s="381">
        <v>98015.39</v>
      </c>
      <c r="N336" s="381">
        <v>122519.23000000001</v>
      </c>
      <c r="O336" s="381">
        <v>106183</v>
      </c>
      <c r="P336" s="381">
        <v>106183</v>
      </c>
      <c r="Q336" s="381">
        <v>106183</v>
      </c>
      <c r="R336" s="381">
        <v>106183</v>
      </c>
      <c r="S336" s="381">
        <v>106183</v>
      </c>
      <c r="T336" s="381">
        <v>106183</v>
      </c>
      <c r="U336" s="381">
        <v>1157513.03</v>
      </c>
      <c r="V336" s="381">
        <v>1</v>
      </c>
    </row>
    <row r="337" spans="1:22" hidden="1">
      <c r="B337" t="s">
        <v>595</v>
      </c>
      <c r="C337" t="s">
        <v>596</v>
      </c>
      <c r="D337" t="s">
        <v>67</v>
      </c>
      <c r="E337">
        <v>-12000</v>
      </c>
      <c r="F337">
        <v>0</v>
      </c>
      <c r="H337"/>
      <c r="I337"/>
      <c r="J337"/>
      <c r="K337"/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557">
        <v>0</v>
      </c>
    </row>
    <row r="338" spans="1:22">
      <c r="B338" t="s">
        <v>597</v>
      </c>
      <c r="C338" t="s">
        <v>466</v>
      </c>
      <c r="D338" t="s">
        <v>57</v>
      </c>
      <c r="E338">
        <v>0</v>
      </c>
      <c r="F338">
        <v>11571</v>
      </c>
      <c r="H338"/>
      <c r="I338" s="381">
        <v>681</v>
      </c>
      <c r="J338" s="381">
        <v>981</v>
      </c>
      <c r="K338" s="381">
        <v>2709</v>
      </c>
      <c r="L338" s="381">
        <v>2441</v>
      </c>
      <c r="M338" s="381">
        <v>2448</v>
      </c>
      <c r="N338" s="381">
        <v>1771</v>
      </c>
      <c r="O338" s="381">
        <v>800</v>
      </c>
      <c r="P338" s="381">
        <v>800</v>
      </c>
      <c r="Q338" s="381">
        <v>800</v>
      </c>
      <c r="R338" s="381">
        <v>800</v>
      </c>
      <c r="S338" s="381">
        <v>800</v>
      </c>
      <c r="T338" s="381">
        <v>800</v>
      </c>
      <c r="U338" s="381">
        <v>15831</v>
      </c>
      <c r="V338" s="381">
        <v>4260</v>
      </c>
    </row>
    <row r="339" spans="1:22" hidden="1">
      <c r="B339" t="s">
        <v>598</v>
      </c>
      <c r="C339" t="s">
        <v>599</v>
      </c>
      <c r="D339" t="s">
        <v>25</v>
      </c>
      <c r="E339">
        <v>12000</v>
      </c>
      <c r="F339">
        <v>12000</v>
      </c>
      <c r="H339"/>
      <c r="I339" s="381"/>
      <c r="J339" s="381"/>
      <c r="K339" s="381"/>
      <c r="L339" s="381">
        <v>0</v>
      </c>
      <c r="M339" s="381">
        <v>0</v>
      </c>
      <c r="N339" s="381">
        <v>0</v>
      </c>
      <c r="O339" s="381">
        <v>0</v>
      </c>
      <c r="P339" s="381">
        <v>0</v>
      </c>
      <c r="Q339" s="381">
        <v>0</v>
      </c>
      <c r="R339" s="381">
        <v>0</v>
      </c>
      <c r="S339" s="381">
        <v>0</v>
      </c>
      <c r="T339" s="381">
        <v>0</v>
      </c>
      <c r="U339" s="381">
        <v>0</v>
      </c>
      <c r="V339" s="381">
        <v>-12000</v>
      </c>
    </row>
    <row r="340" spans="1:22">
      <c r="B340" t="s">
        <v>600</v>
      </c>
      <c r="C340" t="s">
        <v>147</v>
      </c>
      <c r="D340" t="s">
        <v>25</v>
      </c>
      <c r="E340">
        <v>0</v>
      </c>
      <c r="F340">
        <v>-0.03</v>
      </c>
      <c r="H340"/>
      <c r="I340" s="381"/>
      <c r="J340" s="381"/>
      <c r="K340" s="381">
        <v>-0.03</v>
      </c>
      <c r="L340" s="381">
        <v>-0.38</v>
      </c>
      <c r="M340" s="381">
        <v>0.61</v>
      </c>
      <c r="N340" s="381">
        <v>341292.15</v>
      </c>
      <c r="O340" s="381">
        <v>0</v>
      </c>
      <c r="P340" s="381">
        <v>0</v>
      </c>
      <c r="Q340" s="381">
        <v>0</v>
      </c>
      <c r="R340" s="381">
        <v>0</v>
      </c>
      <c r="S340" s="381">
        <v>0</v>
      </c>
      <c r="T340" s="381">
        <v>0</v>
      </c>
      <c r="U340" s="381">
        <v>341292.35000000003</v>
      </c>
      <c r="V340" s="381">
        <v>341292.38000000006</v>
      </c>
    </row>
    <row r="341" spans="1:22">
      <c r="A341" t="s">
        <v>601</v>
      </c>
      <c r="E341">
        <v>13238120.299996002</v>
      </c>
      <c r="F341">
        <v>14263012.750000002</v>
      </c>
      <c r="H341"/>
      <c r="I341" s="381">
        <v>861006.24999999988</v>
      </c>
      <c r="J341" s="381">
        <v>1306617.48</v>
      </c>
      <c r="K341" s="381">
        <v>1314392.9000000004</v>
      </c>
      <c r="L341" s="381">
        <v>1198026.9100000006</v>
      </c>
      <c r="M341" s="381">
        <v>1258897.0800000005</v>
      </c>
      <c r="N341" s="381">
        <v>1537581.7300000004</v>
      </c>
      <c r="O341" s="381">
        <v>1213580.3700000003</v>
      </c>
      <c r="P341" s="381">
        <v>1343605.3700000003</v>
      </c>
      <c r="Q341" s="381">
        <v>1021740.0400000003</v>
      </c>
      <c r="R341" s="381">
        <v>1380071.3800000001</v>
      </c>
      <c r="S341" s="381">
        <v>1297439.3800000001</v>
      </c>
      <c r="T341" s="381">
        <v>1132389.4600000002</v>
      </c>
      <c r="U341" s="381">
        <v>14865348.349999998</v>
      </c>
      <c r="V341" s="381">
        <v>602335.60000000056</v>
      </c>
    </row>
    <row r="342" spans="1:22" hidden="1">
      <c r="A342" t="s">
        <v>602</v>
      </c>
      <c r="B342" t="s">
        <v>603</v>
      </c>
      <c r="C342" t="s">
        <v>604</v>
      </c>
      <c r="D342" t="s">
        <v>605</v>
      </c>
      <c r="E342">
        <v>0</v>
      </c>
      <c r="F342">
        <v>0</v>
      </c>
      <c r="H342"/>
      <c r="I342" s="381">
        <v>4356992.08</v>
      </c>
      <c r="J342" s="381">
        <v>-4356992.08</v>
      </c>
      <c r="K342" s="381"/>
      <c r="L342" s="381">
        <v>0</v>
      </c>
      <c r="M342" s="381">
        <v>0</v>
      </c>
      <c r="N342" s="381">
        <v>0</v>
      </c>
      <c r="O342" s="381"/>
      <c r="P342" s="381"/>
      <c r="Q342" s="381"/>
      <c r="R342" s="381"/>
      <c r="S342" s="381"/>
      <c r="T342" s="381"/>
      <c r="U342" s="381">
        <v>0</v>
      </c>
      <c r="V342" s="381">
        <v>0</v>
      </c>
    </row>
    <row r="343" spans="1:22" hidden="1">
      <c r="B343" t="s">
        <v>606</v>
      </c>
      <c r="C343" t="s">
        <v>607</v>
      </c>
      <c r="D343" t="s">
        <v>608</v>
      </c>
      <c r="E343">
        <v>0</v>
      </c>
      <c r="F343">
        <v>0</v>
      </c>
      <c r="H343"/>
      <c r="I343" s="381">
        <v>-11125</v>
      </c>
      <c r="J343" s="381">
        <v>11125</v>
      </c>
      <c r="K343" s="381"/>
      <c r="L343" s="381">
        <v>0</v>
      </c>
      <c r="M343" s="381">
        <v>0</v>
      </c>
      <c r="N343" s="381">
        <v>0</v>
      </c>
      <c r="O343" s="381"/>
      <c r="P343" s="381"/>
      <c r="Q343" s="381"/>
      <c r="R343" s="381"/>
      <c r="S343" s="381"/>
      <c r="T343" s="381"/>
      <c r="U343" s="381">
        <v>0</v>
      </c>
      <c r="V343" s="381">
        <v>0</v>
      </c>
    </row>
    <row r="344" spans="1:22">
      <c r="B344" t="s">
        <v>609</v>
      </c>
      <c r="C344" t="s">
        <v>610</v>
      </c>
      <c r="D344" t="s">
        <v>611</v>
      </c>
      <c r="E344">
        <v>0</v>
      </c>
      <c r="F344">
        <v>9340.2199999999993</v>
      </c>
      <c r="H344"/>
      <c r="I344" s="381">
        <v>497.24</v>
      </c>
      <c r="J344" s="381">
        <v>7741.43</v>
      </c>
      <c r="K344" s="381">
        <v>1101.55</v>
      </c>
      <c r="L344" s="381">
        <v>277.0899999999998</v>
      </c>
      <c r="M344" s="381">
        <v>506.42000000000007</v>
      </c>
      <c r="N344" s="381">
        <v>297.19</v>
      </c>
      <c r="O344" s="381">
        <v>0</v>
      </c>
      <c r="P344" s="381">
        <v>0</v>
      </c>
      <c r="Q344" s="381">
        <v>0</v>
      </c>
      <c r="R344" s="381">
        <v>0</v>
      </c>
      <c r="S344" s="381">
        <v>0</v>
      </c>
      <c r="T344" s="381">
        <v>0</v>
      </c>
      <c r="U344" s="381">
        <v>10420.92</v>
      </c>
      <c r="V344" s="381">
        <v>1080.7000000000007</v>
      </c>
    </row>
    <row r="345" spans="1:22">
      <c r="D345" t="s">
        <v>54</v>
      </c>
      <c r="H345"/>
      <c r="I345" s="381"/>
      <c r="J345" s="381"/>
      <c r="K345" s="381"/>
      <c r="L345" s="381"/>
      <c r="M345" s="381">
        <v>16</v>
      </c>
      <c r="N345" s="381">
        <v>0</v>
      </c>
      <c r="O345" s="381"/>
      <c r="P345" s="381"/>
      <c r="Q345" s="381"/>
      <c r="R345" s="381"/>
      <c r="S345" s="381"/>
      <c r="T345" s="381"/>
      <c r="U345" s="381">
        <v>16</v>
      </c>
      <c r="V345" s="381">
        <v>16</v>
      </c>
    </row>
    <row r="346" spans="1:22">
      <c r="B346" t="s">
        <v>612</v>
      </c>
      <c r="C346" t="s">
        <v>610</v>
      </c>
      <c r="D346" t="s">
        <v>611</v>
      </c>
      <c r="E346">
        <v>0</v>
      </c>
      <c r="F346">
        <v>85.04</v>
      </c>
      <c r="H346"/>
      <c r="I346" s="381">
        <v>38.450000000000003</v>
      </c>
      <c r="J346" s="381">
        <v>0</v>
      </c>
      <c r="K346" s="381">
        <v>46.59</v>
      </c>
      <c r="L346" s="381">
        <v>0</v>
      </c>
      <c r="M346" s="381">
        <v>91.13</v>
      </c>
      <c r="N346" s="381">
        <v>37.570000000000007</v>
      </c>
      <c r="O346" s="381">
        <v>0</v>
      </c>
      <c r="P346" s="381">
        <v>0</v>
      </c>
      <c r="Q346" s="381">
        <v>0</v>
      </c>
      <c r="R346" s="381">
        <v>0</v>
      </c>
      <c r="S346" s="381">
        <v>0</v>
      </c>
      <c r="T346" s="381">
        <v>0</v>
      </c>
      <c r="U346" s="381">
        <v>213.74</v>
      </c>
      <c r="V346" s="381">
        <v>128.69999999999999</v>
      </c>
    </row>
    <row r="347" spans="1:22">
      <c r="B347" t="s">
        <v>613</v>
      </c>
      <c r="C347" t="s">
        <v>610</v>
      </c>
      <c r="D347" t="s">
        <v>611</v>
      </c>
      <c r="E347">
        <v>0</v>
      </c>
      <c r="F347">
        <v>57</v>
      </c>
      <c r="H347"/>
      <c r="I347" s="381">
        <v>57</v>
      </c>
      <c r="J347" s="381">
        <v>0</v>
      </c>
      <c r="K347" s="381">
        <v>0</v>
      </c>
      <c r="L347" s="381">
        <v>0</v>
      </c>
      <c r="M347" s="381">
        <v>16</v>
      </c>
      <c r="N347" s="381">
        <v>0</v>
      </c>
      <c r="O347" s="381">
        <v>0</v>
      </c>
      <c r="P347" s="381">
        <v>0</v>
      </c>
      <c r="Q347" s="381">
        <v>0</v>
      </c>
      <c r="R347" s="381">
        <v>0</v>
      </c>
      <c r="S347" s="381">
        <v>0</v>
      </c>
      <c r="T347" s="381">
        <v>0</v>
      </c>
      <c r="U347" s="381">
        <v>73</v>
      </c>
      <c r="V347" s="381">
        <v>16</v>
      </c>
    </row>
    <row r="348" spans="1:22">
      <c r="B348" t="s">
        <v>614</v>
      </c>
      <c r="C348" t="s">
        <v>615</v>
      </c>
      <c r="D348" t="s">
        <v>25</v>
      </c>
      <c r="E348">
        <v>80000</v>
      </c>
      <c r="F348">
        <v>40000</v>
      </c>
      <c r="H348"/>
      <c r="I348" s="381"/>
      <c r="J348" s="381"/>
      <c r="K348" s="381"/>
      <c r="L348" s="381">
        <v>0</v>
      </c>
      <c r="M348" s="381">
        <v>0</v>
      </c>
      <c r="N348" s="381">
        <v>0</v>
      </c>
      <c r="O348" s="381">
        <v>0</v>
      </c>
      <c r="P348" s="381">
        <v>10000</v>
      </c>
      <c r="Q348" s="381">
        <v>10000</v>
      </c>
      <c r="R348" s="381">
        <v>10000</v>
      </c>
      <c r="S348" s="381">
        <v>10000</v>
      </c>
      <c r="T348" s="381">
        <v>0</v>
      </c>
      <c r="U348" s="381">
        <v>40000</v>
      </c>
      <c r="V348" s="381">
        <v>0</v>
      </c>
    </row>
    <row r="349" spans="1:22">
      <c r="B349" t="s">
        <v>616</v>
      </c>
      <c r="C349" t="s">
        <v>610</v>
      </c>
      <c r="D349" t="s">
        <v>54</v>
      </c>
      <c r="H349"/>
      <c r="I349" s="381"/>
      <c r="J349" s="381"/>
      <c r="K349" s="381"/>
      <c r="L349" s="381"/>
      <c r="M349" s="381">
        <v>693</v>
      </c>
      <c r="N349" s="381">
        <v>0</v>
      </c>
      <c r="O349" s="381"/>
      <c r="P349" s="381"/>
      <c r="Q349" s="381"/>
      <c r="R349" s="381"/>
      <c r="S349" s="381"/>
      <c r="T349" s="381"/>
      <c r="U349" s="381">
        <v>693</v>
      </c>
      <c r="V349" s="381">
        <v>693</v>
      </c>
    </row>
    <row r="350" spans="1:22">
      <c r="B350" t="s">
        <v>617</v>
      </c>
      <c r="C350" t="s">
        <v>610</v>
      </c>
      <c r="D350" t="s">
        <v>611</v>
      </c>
      <c r="E350">
        <v>0</v>
      </c>
      <c r="F350">
        <v>414.36</v>
      </c>
      <c r="H350"/>
      <c r="I350" s="381"/>
      <c r="J350" s="381"/>
      <c r="K350" s="381">
        <v>414.36</v>
      </c>
      <c r="L350" s="381">
        <v>0</v>
      </c>
      <c r="M350" s="381">
        <v>0</v>
      </c>
      <c r="N350" s="381">
        <v>0</v>
      </c>
      <c r="O350" s="381">
        <v>0</v>
      </c>
      <c r="P350" s="381">
        <v>0</v>
      </c>
      <c r="Q350" s="381">
        <v>0</v>
      </c>
      <c r="R350" s="381">
        <v>0</v>
      </c>
      <c r="S350" s="381">
        <v>0</v>
      </c>
      <c r="T350" s="381">
        <v>0</v>
      </c>
      <c r="U350" s="381">
        <v>414.36</v>
      </c>
      <c r="V350" s="381">
        <v>0</v>
      </c>
    </row>
    <row r="351" spans="1:22">
      <c r="B351" t="s">
        <v>618</v>
      </c>
      <c r="C351" t="s">
        <v>54</v>
      </c>
      <c r="D351" t="s">
        <v>54</v>
      </c>
      <c r="F351">
        <v>-6407318.4800000004</v>
      </c>
      <c r="H351"/>
      <c r="I351"/>
      <c r="J351"/>
      <c r="K351"/>
      <c r="L351">
        <v>0</v>
      </c>
      <c r="M351">
        <v>0</v>
      </c>
      <c r="N351">
        <v>0</v>
      </c>
      <c r="O351"/>
      <c r="P351"/>
      <c r="Q351">
        <v>-1601829.62</v>
      </c>
      <c r="R351">
        <v>-1601829.62</v>
      </c>
      <c r="S351">
        <v>-1601829.62</v>
      </c>
      <c r="T351">
        <v>-1601829.62</v>
      </c>
      <c r="U351">
        <v>-6407318.4800000004</v>
      </c>
      <c r="V351" s="557">
        <v>0</v>
      </c>
    </row>
    <row r="352" spans="1:22">
      <c r="B352" t="s">
        <v>619</v>
      </c>
      <c r="C352" t="s">
        <v>620</v>
      </c>
      <c r="D352" t="s">
        <v>25</v>
      </c>
      <c r="E352">
        <v>0</v>
      </c>
      <c r="F352">
        <v>12429.86</v>
      </c>
      <c r="H352"/>
      <c r="I352" s="381"/>
      <c r="J352" s="381">
        <v>12075.93</v>
      </c>
      <c r="K352" s="381">
        <v>353.93</v>
      </c>
      <c r="L352" s="381">
        <v>0</v>
      </c>
      <c r="M352" s="381">
        <v>0</v>
      </c>
      <c r="N352" s="381">
        <v>0</v>
      </c>
      <c r="O352" s="381">
        <v>0</v>
      </c>
      <c r="P352" s="381">
        <v>0</v>
      </c>
      <c r="Q352" s="381">
        <v>0</v>
      </c>
      <c r="R352" s="381">
        <v>0</v>
      </c>
      <c r="S352" s="381">
        <v>0</v>
      </c>
      <c r="T352" s="381">
        <v>0</v>
      </c>
      <c r="U352" s="381">
        <v>12429.86</v>
      </c>
      <c r="V352" s="381">
        <v>0</v>
      </c>
    </row>
    <row r="353" spans="1:22">
      <c r="B353" t="s">
        <v>621</v>
      </c>
      <c r="C353" t="s">
        <v>610</v>
      </c>
      <c r="D353" t="s">
        <v>611</v>
      </c>
      <c r="E353">
        <v>0</v>
      </c>
      <c r="F353">
        <v>9912.07</v>
      </c>
      <c r="H353"/>
      <c r="I353" s="381">
        <v>497.59</v>
      </c>
      <c r="J353" s="381">
        <v>9120.58</v>
      </c>
      <c r="K353" s="381">
        <v>293.89999999999998</v>
      </c>
      <c r="L353" s="381">
        <v>4340.0200000000004</v>
      </c>
      <c r="M353" s="381">
        <v>291.29999999999984</v>
      </c>
      <c r="N353" s="381">
        <v>-458.89999999999986</v>
      </c>
      <c r="O353" s="381">
        <v>0</v>
      </c>
      <c r="P353" s="381">
        <v>0</v>
      </c>
      <c r="Q353" s="381">
        <v>0</v>
      </c>
      <c r="R353" s="381">
        <v>0</v>
      </c>
      <c r="S353" s="381">
        <v>0</v>
      </c>
      <c r="T353" s="381">
        <v>0</v>
      </c>
      <c r="U353" s="381">
        <v>14084.49</v>
      </c>
      <c r="V353" s="381">
        <v>4172.42</v>
      </c>
    </row>
    <row r="354" spans="1:22">
      <c r="B354" t="s">
        <v>622</v>
      </c>
      <c r="C354" t="s">
        <v>323</v>
      </c>
      <c r="D354" t="s">
        <v>25</v>
      </c>
      <c r="E354">
        <v>0</v>
      </c>
      <c r="F354">
        <v>220.29</v>
      </c>
      <c r="H354"/>
      <c r="I354"/>
      <c r="J354">
        <v>220.29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220.29</v>
      </c>
      <c r="V354" s="557">
        <v>0</v>
      </c>
    </row>
    <row r="355" spans="1:22">
      <c r="B355" t="s">
        <v>623</v>
      </c>
      <c r="C355" t="s">
        <v>610</v>
      </c>
      <c r="D355" t="s">
        <v>611</v>
      </c>
      <c r="E355">
        <v>0</v>
      </c>
      <c r="F355">
        <v>28.1</v>
      </c>
      <c r="H355"/>
      <c r="I355" s="381"/>
      <c r="J355" s="381">
        <v>27.55</v>
      </c>
      <c r="K355" s="381">
        <v>0.55000000000000004</v>
      </c>
      <c r="L355" s="381">
        <v>2.16</v>
      </c>
      <c r="M355" s="381">
        <v>4.129999999999999</v>
      </c>
      <c r="N355" s="381">
        <v>57.92</v>
      </c>
      <c r="O355" s="381">
        <v>0</v>
      </c>
      <c r="P355" s="381">
        <v>0</v>
      </c>
      <c r="Q355" s="381">
        <v>0</v>
      </c>
      <c r="R355" s="381">
        <v>0</v>
      </c>
      <c r="S355" s="381">
        <v>0</v>
      </c>
      <c r="T355" s="381">
        <v>0</v>
      </c>
      <c r="U355" s="381">
        <v>92.31</v>
      </c>
      <c r="V355" s="381">
        <v>64.210000000000008</v>
      </c>
    </row>
    <row r="356" spans="1:22">
      <c r="A356" t="s">
        <v>624</v>
      </c>
      <c r="E356">
        <v>80000</v>
      </c>
      <c r="F356">
        <v>-6334831.54</v>
      </c>
      <c r="H356"/>
      <c r="I356">
        <v>4346957.3600000003</v>
      </c>
      <c r="J356">
        <v>-4316681.3000000007</v>
      </c>
      <c r="K356">
        <v>2210.88</v>
      </c>
      <c r="L356">
        <v>4619.2700000000004</v>
      </c>
      <c r="M356">
        <v>1617.98</v>
      </c>
      <c r="N356">
        <v>-66.219999999999871</v>
      </c>
      <c r="O356">
        <v>0</v>
      </c>
      <c r="P356">
        <v>10000</v>
      </c>
      <c r="Q356">
        <v>-1591829.62</v>
      </c>
      <c r="R356">
        <v>-1591829.62</v>
      </c>
      <c r="S356">
        <v>-1591829.62</v>
      </c>
      <c r="T356">
        <v>-1601829.62</v>
      </c>
      <c r="U356">
        <v>-6328660.5100000007</v>
      </c>
      <c r="V356" s="557">
        <v>6171.0300000000007</v>
      </c>
    </row>
    <row r="357" spans="1:22">
      <c r="A357" t="s">
        <v>625</v>
      </c>
      <c r="B357" t="s">
        <v>626</v>
      </c>
      <c r="C357" t="s">
        <v>610</v>
      </c>
      <c r="D357" t="s">
        <v>611</v>
      </c>
      <c r="E357">
        <v>0</v>
      </c>
      <c r="F357">
        <v>20.21</v>
      </c>
      <c r="H357"/>
      <c r="I357">
        <v>16.29</v>
      </c>
      <c r="J357">
        <v>0</v>
      </c>
      <c r="K357">
        <v>3.92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20.21</v>
      </c>
      <c r="V357" s="557">
        <v>0</v>
      </c>
    </row>
    <row r="358" spans="1:22">
      <c r="B358" t="s">
        <v>627</v>
      </c>
      <c r="C358" t="s">
        <v>323</v>
      </c>
      <c r="D358" t="s">
        <v>25</v>
      </c>
      <c r="E358">
        <v>0</v>
      </c>
      <c r="F358">
        <v>3.5</v>
      </c>
      <c r="H358"/>
      <c r="I358"/>
      <c r="J358">
        <v>3.5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3.5</v>
      </c>
      <c r="V358" s="557">
        <v>0</v>
      </c>
    </row>
    <row r="359" spans="1:22">
      <c r="A359" t="s">
        <v>628</v>
      </c>
      <c r="E359">
        <v>0</v>
      </c>
      <c r="F359">
        <v>23.71</v>
      </c>
      <c r="H359"/>
      <c r="I359" s="381">
        <v>16.29</v>
      </c>
      <c r="J359" s="381">
        <v>3.5</v>
      </c>
      <c r="K359" s="381">
        <v>3.92</v>
      </c>
      <c r="L359" s="381">
        <v>0</v>
      </c>
      <c r="M359" s="381">
        <v>0</v>
      </c>
      <c r="N359" s="381">
        <v>0</v>
      </c>
      <c r="O359" s="381">
        <v>0</v>
      </c>
      <c r="P359" s="381">
        <v>0</v>
      </c>
      <c r="Q359" s="381">
        <v>0</v>
      </c>
      <c r="R359" s="381">
        <v>0</v>
      </c>
      <c r="S359" s="381">
        <v>0</v>
      </c>
      <c r="T359" s="381">
        <v>0</v>
      </c>
      <c r="U359" s="381">
        <v>23.71</v>
      </c>
      <c r="V359" s="381">
        <v>0</v>
      </c>
    </row>
    <row r="360" spans="1:22">
      <c r="A360" t="s">
        <v>629</v>
      </c>
      <c r="B360" t="s">
        <v>630</v>
      </c>
      <c r="C360" t="s">
        <v>631</v>
      </c>
      <c r="D360" t="s">
        <v>632</v>
      </c>
      <c r="E360">
        <v>17000</v>
      </c>
      <c r="F360">
        <v>15576.84</v>
      </c>
      <c r="H360"/>
      <c r="I360" s="381"/>
      <c r="J360" s="381">
        <v>1512.59</v>
      </c>
      <c r="K360" s="381">
        <v>814.25</v>
      </c>
      <c r="L360" s="381">
        <v>0</v>
      </c>
      <c r="M360" s="381">
        <v>0</v>
      </c>
      <c r="N360" s="381">
        <v>0</v>
      </c>
      <c r="O360" s="381">
        <v>1500</v>
      </c>
      <c r="P360" s="381">
        <v>1500</v>
      </c>
      <c r="Q360" s="381">
        <v>1500</v>
      </c>
      <c r="R360" s="381">
        <v>1500</v>
      </c>
      <c r="S360" s="381">
        <v>1500</v>
      </c>
      <c r="T360" s="381">
        <v>1500</v>
      </c>
      <c r="U360" s="381">
        <v>11326.84</v>
      </c>
      <c r="V360" s="381">
        <v>-4250</v>
      </c>
    </row>
    <row r="361" spans="1:22">
      <c r="B361" t="s">
        <v>633</v>
      </c>
      <c r="C361" t="s">
        <v>147</v>
      </c>
      <c r="D361" t="s">
        <v>25</v>
      </c>
      <c r="E361">
        <v>0</v>
      </c>
      <c r="F361">
        <v>1.999999999999999E-2</v>
      </c>
      <c r="H361"/>
      <c r="I361" s="381"/>
      <c r="J361" s="381">
        <v>0.21</v>
      </c>
      <c r="K361" s="381">
        <v>-0.19</v>
      </c>
      <c r="L361" s="381">
        <v>0</v>
      </c>
      <c r="M361" s="381">
        <v>2430.29</v>
      </c>
      <c r="N361" s="381">
        <v>1250.79</v>
      </c>
      <c r="O361" s="381">
        <v>0</v>
      </c>
      <c r="P361" s="381">
        <v>0</v>
      </c>
      <c r="Q361" s="381">
        <v>0</v>
      </c>
      <c r="R361" s="381">
        <v>0</v>
      </c>
      <c r="S361" s="381">
        <v>0</v>
      </c>
      <c r="T361" s="381">
        <v>0</v>
      </c>
      <c r="U361" s="381">
        <v>3681.1</v>
      </c>
      <c r="V361" s="381">
        <v>3681.08</v>
      </c>
    </row>
    <row r="362" spans="1:22">
      <c r="B362" t="s">
        <v>634</v>
      </c>
      <c r="C362" t="s">
        <v>147</v>
      </c>
      <c r="D362" t="s">
        <v>25</v>
      </c>
      <c r="E362">
        <v>0</v>
      </c>
      <c r="F362">
        <v>7191.02</v>
      </c>
      <c r="H362"/>
      <c r="I362" s="381">
        <v>843.69</v>
      </c>
      <c r="J362" s="381">
        <v>4879.99</v>
      </c>
      <c r="K362" s="381">
        <v>1467.34</v>
      </c>
      <c r="L362" s="381">
        <v>0</v>
      </c>
      <c r="M362" s="381">
        <v>0</v>
      </c>
      <c r="N362" s="381">
        <v>237.8</v>
      </c>
      <c r="O362" s="381">
        <v>0</v>
      </c>
      <c r="P362" s="381">
        <v>0</v>
      </c>
      <c r="Q362" s="381">
        <v>0</v>
      </c>
      <c r="R362" s="381">
        <v>0</v>
      </c>
      <c r="S362" s="381">
        <v>0</v>
      </c>
      <c r="T362" s="381">
        <v>0</v>
      </c>
      <c r="U362" s="381">
        <v>7428.8200000000006</v>
      </c>
      <c r="V362" s="381">
        <v>237.80000000000018</v>
      </c>
    </row>
    <row r="363" spans="1:22" hidden="1">
      <c r="D363" t="s">
        <v>54</v>
      </c>
      <c r="H363"/>
      <c r="I363" s="381"/>
      <c r="J363" s="381"/>
      <c r="K363" s="381"/>
      <c r="L363" s="381"/>
      <c r="M363" s="381">
        <v>0</v>
      </c>
      <c r="N363" s="381">
        <v>0</v>
      </c>
      <c r="O363" s="381"/>
      <c r="P363" s="381"/>
      <c r="Q363" s="381"/>
      <c r="R363" s="381"/>
      <c r="S363" s="381"/>
      <c r="T363" s="381"/>
      <c r="U363" s="381">
        <v>0</v>
      </c>
      <c r="V363" s="381">
        <v>0</v>
      </c>
    </row>
    <row r="364" spans="1:22">
      <c r="B364" t="s">
        <v>635</v>
      </c>
      <c r="C364" t="s">
        <v>636</v>
      </c>
      <c r="D364" t="s">
        <v>25</v>
      </c>
      <c r="E364">
        <v>0</v>
      </c>
      <c r="F364">
        <v>961.71</v>
      </c>
      <c r="H364"/>
      <c r="I364"/>
      <c r="J364">
        <v>961.71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961.71</v>
      </c>
      <c r="V364" s="557">
        <v>0</v>
      </c>
    </row>
    <row r="365" spans="1:22">
      <c r="B365" t="s">
        <v>637</v>
      </c>
      <c r="C365" t="s">
        <v>323</v>
      </c>
      <c r="D365" t="s">
        <v>25</v>
      </c>
      <c r="E365">
        <v>0</v>
      </c>
      <c r="F365">
        <v>1672.26</v>
      </c>
      <c r="H365"/>
      <c r="I365" s="381"/>
      <c r="J365" s="381">
        <v>1672.26</v>
      </c>
      <c r="K365" s="381">
        <v>0</v>
      </c>
      <c r="L365" s="381">
        <v>0</v>
      </c>
      <c r="M365" s="381">
        <v>0</v>
      </c>
      <c r="N365" s="381">
        <v>0</v>
      </c>
      <c r="O365" s="381">
        <v>0</v>
      </c>
      <c r="P365" s="381">
        <v>0</v>
      </c>
      <c r="Q365" s="381">
        <v>0</v>
      </c>
      <c r="R365" s="381">
        <v>0</v>
      </c>
      <c r="S365" s="381">
        <v>0</v>
      </c>
      <c r="T365" s="381">
        <v>0</v>
      </c>
      <c r="U365" s="381">
        <v>1672.26</v>
      </c>
      <c r="V365" s="381">
        <v>0</v>
      </c>
    </row>
    <row r="366" spans="1:22">
      <c r="A366" t="s">
        <v>638</v>
      </c>
      <c r="E366">
        <v>17000</v>
      </c>
      <c r="F366">
        <v>25401.85</v>
      </c>
      <c r="H366"/>
      <c r="I366">
        <v>843.69</v>
      </c>
      <c r="J366">
        <v>9026.76</v>
      </c>
      <c r="K366">
        <v>2281.3999999999996</v>
      </c>
      <c r="L366">
        <v>0</v>
      </c>
      <c r="M366">
        <v>2430.29</v>
      </c>
      <c r="N366">
        <v>1488.59</v>
      </c>
      <c r="O366">
        <v>1500</v>
      </c>
      <c r="P366">
        <v>1500</v>
      </c>
      <c r="Q366">
        <v>1500</v>
      </c>
      <c r="R366">
        <v>1500</v>
      </c>
      <c r="S366">
        <v>1500</v>
      </c>
      <c r="T366">
        <v>1500</v>
      </c>
      <c r="U366">
        <v>25070.73</v>
      </c>
      <c r="V366" s="557">
        <v>-331.11999999999989</v>
      </c>
    </row>
    <row r="367" spans="1:22">
      <c r="A367" t="s">
        <v>639</v>
      </c>
      <c r="B367" t="s">
        <v>640</v>
      </c>
      <c r="C367" t="s">
        <v>54</v>
      </c>
      <c r="D367" t="s">
        <v>54</v>
      </c>
      <c r="F367">
        <v>624226</v>
      </c>
      <c r="H367"/>
      <c r="I367"/>
      <c r="J367"/>
      <c r="K367"/>
      <c r="L367">
        <v>0</v>
      </c>
      <c r="M367">
        <v>0</v>
      </c>
      <c r="N367">
        <v>0</v>
      </c>
      <c r="O367"/>
      <c r="P367"/>
      <c r="Q367"/>
      <c r="R367"/>
      <c r="S367"/>
      <c r="T367">
        <v>624226</v>
      </c>
      <c r="U367">
        <v>624226</v>
      </c>
      <c r="V367" s="557">
        <v>0</v>
      </c>
    </row>
    <row r="368" spans="1:22">
      <c r="B368" t="s">
        <v>641</v>
      </c>
      <c r="C368" t="s">
        <v>642</v>
      </c>
      <c r="D368" t="s">
        <v>152</v>
      </c>
      <c r="E368">
        <v>103465.00000000001</v>
      </c>
      <c r="F368">
        <v>77598.720000000001</v>
      </c>
      <c r="H368"/>
      <c r="I368" s="381"/>
      <c r="J368" s="381"/>
      <c r="K368" s="381"/>
      <c r="L368" s="381">
        <v>0</v>
      </c>
      <c r="M368" s="381">
        <v>0</v>
      </c>
      <c r="N368" s="381">
        <v>0</v>
      </c>
      <c r="O368" s="381">
        <v>17244</v>
      </c>
      <c r="P368" s="381">
        <v>17244</v>
      </c>
      <c r="Q368" s="381">
        <v>17244</v>
      </c>
      <c r="R368" s="381">
        <v>17244</v>
      </c>
      <c r="S368" s="381">
        <v>17244</v>
      </c>
      <c r="T368" s="381">
        <v>17244</v>
      </c>
      <c r="U368" s="381">
        <v>103464</v>
      </c>
      <c r="V368" s="381">
        <v>25865.279999999999</v>
      </c>
    </row>
    <row r="369" spans="2:22">
      <c r="B369" t="s">
        <v>643</v>
      </c>
      <c r="C369" t="s">
        <v>644</v>
      </c>
      <c r="D369" t="s">
        <v>152</v>
      </c>
      <c r="E369">
        <v>204127.99999999994</v>
      </c>
      <c r="F369">
        <v>204128</v>
      </c>
      <c r="H369"/>
      <c r="I369" s="381"/>
      <c r="J369" s="381"/>
      <c r="K369" s="381"/>
      <c r="L369" s="381">
        <v>0</v>
      </c>
      <c r="M369" s="381">
        <v>0</v>
      </c>
      <c r="N369" s="381">
        <v>0</v>
      </c>
      <c r="O369" s="381">
        <v>0</v>
      </c>
      <c r="P369" s="381">
        <v>0</v>
      </c>
      <c r="Q369" s="381">
        <v>0</v>
      </c>
      <c r="R369" s="381">
        <v>204128</v>
      </c>
      <c r="S369" s="381">
        <v>0</v>
      </c>
      <c r="T369" s="381">
        <v>0</v>
      </c>
      <c r="U369" s="381">
        <v>204128</v>
      </c>
      <c r="V369" s="381">
        <v>0</v>
      </c>
    </row>
    <row r="370" spans="2:22">
      <c r="B370" t="s">
        <v>645</v>
      </c>
      <c r="C370" t="s">
        <v>646</v>
      </c>
      <c r="D370" t="s">
        <v>152</v>
      </c>
      <c r="E370">
        <v>0</v>
      </c>
      <c r="F370">
        <v>650000</v>
      </c>
      <c r="H370"/>
      <c r="I370" s="381"/>
      <c r="J370" s="381"/>
      <c r="K370" s="381"/>
      <c r="L370" s="381">
        <v>0</v>
      </c>
      <c r="M370" s="381">
        <v>0</v>
      </c>
      <c r="N370" s="381">
        <v>0</v>
      </c>
      <c r="O370" s="381">
        <v>0</v>
      </c>
      <c r="P370" s="381">
        <v>0</v>
      </c>
      <c r="Q370" s="381">
        <v>0</v>
      </c>
      <c r="R370" s="381">
        <v>650000</v>
      </c>
      <c r="S370" s="381">
        <v>0</v>
      </c>
      <c r="T370" s="381">
        <v>0</v>
      </c>
      <c r="U370" s="381">
        <v>650000</v>
      </c>
      <c r="V370" s="381">
        <v>0</v>
      </c>
    </row>
    <row r="371" spans="2:22">
      <c r="B371" t="s">
        <v>647</v>
      </c>
      <c r="C371" t="s">
        <v>648</v>
      </c>
      <c r="D371" t="s">
        <v>152</v>
      </c>
      <c r="E371">
        <v>0</v>
      </c>
      <c r="F371">
        <v>300000</v>
      </c>
      <c r="H371"/>
      <c r="I371" s="381"/>
      <c r="J371" s="381"/>
      <c r="K371" s="381"/>
      <c r="L371" s="381">
        <v>0</v>
      </c>
      <c r="M371" s="381">
        <v>0</v>
      </c>
      <c r="N371" s="381">
        <v>0</v>
      </c>
      <c r="O371" s="381">
        <v>0</v>
      </c>
      <c r="P371" s="381">
        <v>0</v>
      </c>
      <c r="Q371" s="381">
        <v>0</v>
      </c>
      <c r="R371" s="381">
        <v>300000</v>
      </c>
      <c r="S371" s="381">
        <v>0</v>
      </c>
      <c r="T371" s="381">
        <v>0</v>
      </c>
      <c r="U371" s="381">
        <v>300000</v>
      </c>
      <c r="V371" s="381">
        <v>0</v>
      </c>
    </row>
    <row r="372" spans="2:22">
      <c r="B372" t="s">
        <v>649</v>
      </c>
      <c r="C372" t="s">
        <v>650</v>
      </c>
      <c r="D372" t="s">
        <v>152</v>
      </c>
      <c r="E372">
        <v>0</v>
      </c>
      <c r="F372">
        <v>2475</v>
      </c>
      <c r="H372"/>
      <c r="I372"/>
      <c r="J372"/>
      <c r="K372"/>
      <c r="L372">
        <v>0</v>
      </c>
      <c r="M372">
        <v>0</v>
      </c>
      <c r="N372">
        <v>0</v>
      </c>
      <c r="O372">
        <v>413</v>
      </c>
      <c r="P372">
        <v>413</v>
      </c>
      <c r="Q372">
        <v>413</v>
      </c>
      <c r="R372">
        <v>412</v>
      </c>
      <c r="S372">
        <v>412</v>
      </c>
      <c r="T372">
        <v>412</v>
      </c>
      <c r="U372">
        <v>2475</v>
      </c>
      <c r="V372" s="557">
        <v>0</v>
      </c>
    </row>
    <row r="373" spans="2:22">
      <c r="B373" t="s">
        <v>651</v>
      </c>
      <c r="C373" t="s">
        <v>652</v>
      </c>
      <c r="D373" t="s">
        <v>152</v>
      </c>
      <c r="E373">
        <v>0</v>
      </c>
      <c r="F373">
        <v>-118715.37</v>
      </c>
      <c r="H373"/>
      <c r="I373" s="381"/>
      <c r="J373" s="381">
        <v>-118715.37</v>
      </c>
      <c r="K373" s="381">
        <v>0</v>
      </c>
      <c r="L373" s="381">
        <v>0</v>
      </c>
      <c r="M373" s="381">
        <v>0</v>
      </c>
      <c r="N373" s="381">
        <v>0</v>
      </c>
      <c r="O373" s="381">
        <v>0</v>
      </c>
      <c r="P373" s="381"/>
      <c r="Q373" s="381">
        <v>0</v>
      </c>
      <c r="R373" s="381">
        <v>0</v>
      </c>
      <c r="S373" s="381">
        <v>0</v>
      </c>
      <c r="T373" s="381">
        <v>0</v>
      </c>
      <c r="U373" s="381">
        <v>-118715.37</v>
      </c>
      <c r="V373" s="381">
        <v>0</v>
      </c>
    </row>
    <row r="374" spans="2:22" hidden="1">
      <c r="B374" t="s">
        <v>653</v>
      </c>
      <c r="C374" t="s">
        <v>654</v>
      </c>
      <c r="D374" t="s">
        <v>655</v>
      </c>
      <c r="E374">
        <v>282999.99999599991</v>
      </c>
      <c r="F374">
        <v>0</v>
      </c>
      <c r="H374"/>
      <c r="I374"/>
      <c r="J374"/>
      <c r="K374"/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557">
        <v>0</v>
      </c>
    </row>
    <row r="375" spans="2:22">
      <c r="B375" t="s">
        <v>656</v>
      </c>
      <c r="C375" t="s">
        <v>657</v>
      </c>
      <c r="D375" t="s">
        <v>54</v>
      </c>
      <c r="H375"/>
      <c r="I375" s="381"/>
      <c r="J375" s="381"/>
      <c r="K375" s="381"/>
      <c r="L375" s="381">
        <v>-4832.8900000000003</v>
      </c>
      <c r="M375" s="381">
        <v>0</v>
      </c>
      <c r="N375" s="381">
        <v>0</v>
      </c>
      <c r="O375" s="381"/>
      <c r="P375" s="381"/>
      <c r="Q375" s="381"/>
      <c r="R375" s="381"/>
      <c r="S375" s="381"/>
      <c r="T375" s="381"/>
      <c r="U375" s="381">
        <v>-4832.8900000000003</v>
      </c>
      <c r="V375" s="381">
        <v>-4832.8900000000003</v>
      </c>
    </row>
    <row r="376" spans="2:22">
      <c r="B376" t="s">
        <v>658</v>
      </c>
      <c r="C376" t="s">
        <v>659</v>
      </c>
      <c r="D376" t="s">
        <v>54</v>
      </c>
      <c r="H376"/>
      <c r="I376" s="381"/>
      <c r="J376" s="381"/>
      <c r="K376" s="381"/>
      <c r="L376" s="381">
        <v>-38080.83</v>
      </c>
      <c r="M376" s="381">
        <v>0</v>
      </c>
      <c r="N376" s="381">
        <v>0</v>
      </c>
      <c r="O376" s="381"/>
      <c r="P376" s="381"/>
      <c r="Q376" s="381"/>
      <c r="R376" s="381"/>
      <c r="S376" s="381"/>
      <c r="T376" s="381"/>
      <c r="U376" s="381">
        <v>-38080.83</v>
      </c>
      <c r="V376" s="381">
        <v>-38080.83</v>
      </c>
    </row>
    <row r="377" spans="2:22" hidden="1">
      <c r="B377" t="s">
        <v>660</v>
      </c>
      <c r="C377" t="s">
        <v>661</v>
      </c>
      <c r="D377" t="s">
        <v>25</v>
      </c>
      <c r="E377">
        <v>0</v>
      </c>
      <c r="F377">
        <v>0</v>
      </c>
      <c r="H377"/>
      <c r="I377" s="381">
        <v>-18074.080000000002</v>
      </c>
      <c r="J377" s="381">
        <v>18074.080000000002</v>
      </c>
      <c r="K377" s="381">
        <v>0</v>
      </c>
      <c r="L377" s="381">
        <v>0</v>
      </c>
      <c r="M377" s="381">
        <v>0</v>
      </c>
      <c r="N377" s="381">
        <v>0</v>
      </c>
      <c r="O377" s="381">
        <v>0</v>
      </c>
      <c r="P377" s="381">
        <v>0</v>
      </c>
      <c r="Q377" s="381">
        <v>0</v>
      </c>
      <c r="R377" s="381">
        <v>0</v>
      </c>
      <c r="S377" s="381">
        <v>0</v>
      </c>
      <c r="T377" s="381">
        <v>0</v>
      </c>
      <c r="U377" s="381">
        <v>0</v>
      </c>
      <c r="V377" s="381">
        <v>0</v>
      </c>
    </row>
    <row r="378" spans="2:22" hidden="1">
      <c r="B378" t="s">
        <v>662</v>
      </c>
      <c r="C378" t="s">
        <v>663</v>
      </c>
      <c r="D378" t="s">
        <v>25</v>
      </c>
      <c r="E378">
        <v>0</v>
      </c>
      <c r="F378">
        <v>0</v>
      </c>
      <c r="H378"/>
      <c r="I378">
        <v>-1922.23</v>
      </c>
      <c r="J378">
        <v>1922.23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557">
        <v>0</v>
      </c>
    </row>
    <row r="379" spans="2:22" hidden="1">
      <c r="B379" t="s">
        <v>664</v>
      </c>
      <c r="C379" t="s">
        <v>411</v>
      </c>
      <c r="D379" t="s">
        <v>25</v>
      </c>
      <c r="E379">
        <v>0</v>
      </c>
      <c r="F379">
        <v>0</v>
      </c>
      <c r="H379"/>
      <c r="I379">
        <v>-11.41</v>
      </c>
      <c r="J379">
        <v>11.41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s="557">
        <v>0</v>
      </c>
    </row>
    <row r="380" spans="2:22">
      <c r="B380" t="s">
        <v>665</v>
      </c>
      <c r="C380" t="s">
        <v>414</v>
      </c>
      <c r="D380" t="s">
        <v>54</v>
      </c>
      <c r="H380"/>
      <c r="I380" s="381"/>
      <c r="J380" s="381"/>
      <c r="K380" s="381"/>
      <c r="L380" s="381">
        <v>-41167.729999999996</v>
      </c>
      <c r="M380" s="381">
        <v>0</v>
      </c>
      <c r="N380" s="381">
        <v>0</v>
      </c>
      <c r="O380" s="381"/>
      <c r="P380" s="381"/>
      <c r="Q380" s="381"/>
      <c r="R380" s="381"/>
      <c r="S380" s="381"/>
      <c r="T380" s="381"/>
      <c r="U380" s="381">
        <v>-41167.729999999996</v>
      </c>
      <c r="V380" s="381">
        <v>-41167.729999999996</v>
      </c>
    </row>
    <row r="381" spans="2:22" hidden="1">
      <c r="B381" t="s">
        <v>666</v>
      </c>
      <c r="C381" t="s">
        <v>362</v>
      </c>
      <c r="D381" t="s">
        <v>54</v>
      </c>
      <c r="F381">
        <v>0</v>
      </c>
      <c r="H381"/>
      <c r="I381"/>
      <c r="J381"/>
      <c r="K381"/>
      <c r="L381">
        <v>0</v>
      </c>
      <c r="M381">
        <v>0</v>
      </c>
      <c r="N381">
        <v>0</v>
      </c>
      <c r="O381"/>
      <c r="P381"/>
      <c r="Q381"/>
      <c r="R381"/>
      <c r="S381"/>
      <c r="T381"/>
      <c r="U381">
        <v>0</v>
      </c>
      <c r="V381" s="557">
        <v>0</v>
      </c>
    </row>
    <row r="382" spans="2:22">
      <c r="B382" t="s">
        <v>667</v>
      </c>
      <c r="C382" t="s">
        <v>51</v>
      </c>
      <c r="D382" t="s">
        <v>25</v>
      </c>
      <c r="E382">
        <v>0</v>
      </c>
      <c r="F382">
        <v>10711.5</v>
      </c>
      <c r="H382"/>
      <c r="I382" s="381"/>
      <c r="J382" s="381">
        <v>9953.64</v>
      </c>
      <c r="K382" s="381">
        <v>757.86</v>
      </c>
      <c r="L382" s="381">
        <v>83.61</v>
      </c>
      <c r="M382" s="381">
        <v>0</v>
      </c>
      <c r="N382" s="381">
        <v>0</v>
      </c>
      <c r="O382" s="381">
        <v>0</v>
      </c>
      <c r="P382" s="381">
        <v>0</v>
      </c>
      <c r="Q382" s="381">
        <v>0</v>
      </c>
      <c r="R382" s="381">
        <v>0</v>
      </c>
      <c r="S382" s="381">
        <v>0</v>
      </c>
      <c r="T382" s="381">
        <v>0</v>
      </c>
      <c r="U382" s="381">
        <v>10795.11</v>
      </c>
      <c r="V382" s="381">
        <v>83.610000000000127</v>
      </c>
    </row>
    <row r="383" spans="2:22">
      <c r="B383" t="s">
        <v>668</v>
      </c>
      <c r="C383" t="s">
        <v>53</v>
      </c>
      <c r="D383" t="s">
        <v>25</v>
      </c>
      <c r="E383">
        <v>0</v>
      </c>
      <c r="F383">
        <v>227</v>
      </c>
      <c r="H383"/>
      <c r="I383" s="381"/>
      <c r="J383" s="381">
        <v>227</v>
      </c>
      <c r="K383" s="381">
        <v>0</v>
      </c>
      <c r="L383" s="381">
        <v>0</v>
      </c>
      <c r="M383" s="381">
        <v>0</v>
      </c>
      <c r="N383" s="381">
        <v>0</v>
      </c>
      <c r="O383" s="381">
        <v>0</v>
      </c>
      <c r="P383" s="381">
        <v>0</v>
      </c>
      <c r="Q383" s="381">
        <v>0</v>
      </c>
      <c r="R383" s="381">
        <v>0</v>
      </c>
      <c r="S383" s="381">
        <v>0</v>
      </c>
      <c r="T383" s="381">
        <v>0</v>
      </c>
      <c r="U383" s="381">
        <v>227</v>
      </c>
      <c r="V383" s="381">
        <v>0</v>
      </c>
    </row>
    <row r="384" spans="2:22">
      <c r="B384" t="s">
        <v>669</v>
      </c>
      <c r="C384" t="s">
        <v>56</v>
      </c>
      <c r="D384" t="s">
        <v>57</v>
      </c>
      <c r="E384">
        <v>56383.799999999996</v>
      </c>
      <c r="F384">
        <v>60480.270000000004</v>
      </c>
      <c r="H384"/>
      <c r="I384" s="381">
        <v>5030.28</v>
      </c>
      <c r="J384" s="381">
        <v>4611.09</v>
      </c>
      <c r="K384" s="381">
        <v>5431.9</v>
      </c>
      <c r="L384" s="381">
        <v>3912.44</v>
      </c>
      <c r="M384" s="381">
        <v>3912.44</v>
      </c>
      <c r="N384" s="381">
        <v>3912.44</v>
      </c>
      <c r="O384" s="381">
        <v>5050</v>
      </c>
      <c r="P384" s="381">
        <v>5050</v>
      </c>
      <c r="Q384" s="381">
        <v>5050</v>
      </c>
      <c r="R384" s="381">
        <v>5050</v>
      </c>
      <c r="S384" s="381">
        <v>5050</v>
      </c>
      <c r="T384" s="381">
        <v>5050</v>
      </c>
      <c r="U384" s="381">
        <v>57110.590000000004</v>
      </c>
      <c r="V384" s="381">
        <v>-3369.6800000000007</v>
      </c>
    </row>
    <row r="385" spans="2:22">
      <c r="B385" t="s">
        <v>670</v>
      </c>
      <c r="C385" t="s">
        <v>449</v>
      </c>
      <c r="D385" t="s">
        <v>57</v>
      </c>
      <c r="E385">
        <v>0</v>
      </c>
      <c r="F385">
        <v>838.37999999999988</v>
      </c>
      <c r="H385"/>
      <c r="I385" s="381">
        <v>279.45999999999998</v>
      </c>
      <c r="J385" s="381">
        <v>279.45999999999998</v>
      </c>
      <c r="K385" s="381">
        <v>279.45999999999998</v>
      </c>
      <c r="L385" s="381">
        <v>279.45999999999998</v>
      </c>
      <c r="M385" s="381">
        <v>139.72999999999999</v>
      </c>
      <c r="N385" s="381">
        <v>139.72999999999999</v>
      </c>
      <c r="O385" s="381">
        <v>0</v>
      </c>
      <c r="P385" s="381">
        <v>0</v>
      </c>
      <c r="Q385" s="381">
        <v>0</v>
      </c>
      <c r="R385" s="381">
        <v>0</v>
      </c>
      <c r="S385" s="381">
        <v>0</v>
      </c>
      <c r="T385" s="381">
        <v>0</v>
      </c>
      <c r="U385" s="381">
        <v>1397.3</v>
      </c>
      <c r="V385" s="381">
        <v>558.92000000000007</v>
      </c>
    </row>
    <row r="386" spans="2:22">
      <c r="B386" t="s">
        <v>671</v>
      </c>
      <c r="C386" t="s">
        <v>451</v>
      </c>
      <c r="D386" t="s">
        <v>57</v>
      </c>
      <c r="E386">
        <v>1854.9999960000002</v>
      </c>
      <c r="F386">
        <v>2120.4399970000004</v>
      </c>
      <c r="H386"/>
      <c r="I386" s="381">
        <v>139.72999999999999</v>
      </c>
      <c r="J386" s="381">
        <v>139.72999999999999</v>
      </c>
      <c r="K386" s="381">
        <v>449.73</v>
      </c>
      <c r="L386" s="381">
        <v>139.72999999999999</v>
      </c>
      <c r="M386" s="381">
        <v>139.72999999999999</v>
      </c>
      <c r="N386" s="381">
        <v>139.72999999999999</v>
      </c>
      <c r="O386" s="381">
        <v>154.58333300000001</v>
      </c>
      <c r="P386" s="381">
        <v>154.58333300000001</v>
      </c>
      <c r="Q386" s="381">
        <v>154.58333300000001</v>
      </c>
      <c r="R386" s="381">
        <v>154.58333300000001</v>
      </c>
      <c r="S386" s="381">
        <v>154.58333300000001</v>
      </c>
      <c r="T386" s="381">
        <v>154.58333300000001</v>
      </c>
      <c r="U386" s="381">
        <v>2075.8799980000003</v>
      </c>
      <c r="V386" s="381">
        <v>-44.559999000000062</v>
      </c>
    </row>
    <row r="387" spans="2:22">
      <c r="B387" t="s">
        <v>672</v>
      </c>
      <c r="C387" t="s">
        <v>673</v>
      </c>
      <c r="D387" t="s">
        <v>57</v>
      </c>
      <c r="E387">
        <v>11109.88</v>
      </c>
      <c r="F387">
        <v>9866.56</v>
      </c>
      <c r="H387"/>
      <c r="I387" s="381">
        <v>924.99</v>
      </c>
      <c r="J387" s="381">
        <v>0</v>
      </c>
      <c r="K387" s="381">
        <v>616.66</v>
      </c>
      <c r="L387" s="381">
        <v>616.66</v>
      </c>
      <c r="M387" s="381">
        <v>616.66</v>
      </c>
      <c r="N387" s="381">
        <v>308.33</v>
      </c>
      <c r="O387" s="381">
        <v>924.99</v>
      </c>
      <c r="P387" s="381">
        <v>924.99</v>
      </c>
      <c r="Q387" s="381">
        <v>924.99</v>
      </c>
      <c r="R387" s="381">
        <v>924.99</v>
      </c>
      <c r="S387" s="381">
        <v>924.99</v>
      </c>
      <c r="T387" s="381">
        <v>924.99</v>
      </c>
      <c r="U387" s="381">
        <v>8633.24</v>
      </c>
      <c r="V387" s="381">
        <v>-1233.3200000000006</v>
      </c>
    </row>
    <row r="388" spans="2:22">
      <c r="D388" t="s">
        <v>54</v>
      </c>
      <c r="H388"/>
      <c r="I388" s="381"/>
      <c r="J388" s="381"/>
      <c r="K388" s="381"/>
      <c r="L388" s="381"/>
      <c r="M388" s="381"/>
      <c r="N388" s="381">
        <v>308.33</v>
      </c>
      <c r="O388" s="381"/>
      <c r="P388" s="381"/>
      <c r="Q388" s="381"/>
      <c r="R388" s="381"/>
      <c r="S388" s="381"/>
      <c r="T388" s="381"/>
      <c r="U388" s="381">
        <v>308.33</v>
      </c>
      <c r="V388" s="381">
        <v>308.33</v>
      </c>
    </row>
    <row r="389" spans="2:22">
      <c r="B389" t="s">
        <v>674</v>
      </c>
      <c r="C389" t="s">
        <v>365</v>
      </c>
      <c r="D389" t="s">
        <v>57</v>
      </c>
      <c r="E389">
        <v>0</v>
      </c>
      <c r="F389">
        <v>306.92</v>
      </c>
      <c r="H389"/>
      <c r="I389" s="381"/>
      <c r="J389" s="381">
        <v>306.92</v>
      </c>
      <c r="K389" s="381">
        <v>0</v>
      </c>
      <c r="L389" s="381">
        <v>0</v>
      </c>
      <c r="M389" s="381">
        <v>800</v>
      </c>
      <c r="N389" s="381">
        <v>0</v>
      </c>
      <c r="O389" s="381">
        <v>0</v>
      </c>
      <c r="P389" s="381">
        <v>0</v>
      </c>
      <c r="Q389" s="381">
        <v>0</v>
      </c>
      <c r="R389" s="381">
        <v>0</v>
      </c>
      <c r="S389" s="381">
        <v>0</v>
      </c>
      <c r="T389" s="381">
        <v>0</v>
      </c>
      <c r="U389" s="381">
        <v>1106.92</v>
      </c>
      <c r="V389" s="381">
        <v>800</v>
      </c>
    </row>
    <row r="390" spans="2:22">
      <c r="D390" t="s">
        <v>54</v>
      </c>
      <c r="H390"/>
      <c r="I390" s="381"/>
      <c r="J390" s="381"/>
      <c r="K390" s="381"/>
      <c r="L390" s="381"/>
      <c r="M390" s="381"/>
      <c r="N390" s="381">
        <v>446.19</v>
      </c>
      <c r="O390" s="381"/>
      <c r="P390" s="381"/>
      <c r="Q390" s="381"/>
      <c r="R390" s="381"/>
      <c r="S390" s="381"/>
      <c r="T390" s="381"/>
      <c r="U390" s="381">
        <v>446.19</v>
      </c>
      <c r="V390" s="381">
        <v>446.19</v>
      </c>
    </row>
    <row r="391" spans="2:22">
      <c r="B391" t="s">
        <v>675</v>
      </c>
      <c r="C391" t="s">
        <v>676</v>
      </c>
      <c r="D391" t="s">
        <v>677</v>
      </c>
      <c r="E391">
        <v>16550</v>
      </c>
      <c r="F391">
        <v>24128.43</v>
      </c>
      <c r="H391"/>
      <c r="I391" s="381">
        <v>553.5</v>
      </c>
      <c r="J391" s="381">
        <v>5221</v>
      </c>
      <c r="K391" s="381">
        <v>1803.93</v>
      </c>
      <c r="L391" s="381">
        <v>227</v>
      </c>
      <c r="M391" s="381">
        <v>2312.48</v>
      </c>
      <c r="N391" s="381">
        <v>0</v>
      </c>
      <c r="O391" s="381">
        <v>0</v>
      </c>
      <c r="P391" s="381">
        <v>6000</v>
      </c>
      <c r="Q391" s="381">
        <v>0</v>
      </c>
      <c r="R391" s="381">
        <v>0</v>
      </c>
      <c r="S391" s="381">
        <v>0</v>
      </c>
      <c r="T391" s="381">
        <v>5000</v>
      </c>
      <c r="U391" s="381">
        <v>21117.91</v>
      </c>
      <c r="V391" s="381">
        <v>-3010.5200000000004</v>
      </c>
    </row>
    <row r="392" spans="2:22">
      <c r="B392" t="s">
        <v>678</v>
      </c>
      <c r="C392" t="s">
        <v>679</v>
      </c>
      <c r="D392" t="s">
        <v>680</v>
      </c>
      <c r="E392">
        <v>192370</v>
      </c>
      <c r="F392">
        <v>179474.74</v>
      </c>
      <c r="H392"/>
      <c r="I392" s="381">
        <v>11803.02</v>
      </c>
      <c r="J392" s="381">
        <v>14654</v>
      </c>
      <c r="K392" s="381">
        <v>8647.7199999999993</v>
      </c>
      <c r="L392" s="381">
        <v>17295.599999999999</v>
      </c>
      <c r="M392" s="381">
        <v>14791.91</v>
      </c>
      <c r="N392" s="381">
        <v>15333.83</v>
      </c>
      <c r="O392" s="381">
        <v>16500</v>
      </c>
      <c r="P392" s="381">
        <v>16500</v>
      </c>
      <c r="Q392" s="381">
        <v>16500</v>
      </c>
      <c r="R392" s="381">
        <v>16485</v>
      </c>
      <c r="S392" s="381">
        <v>16000</v>
      </c>
      <c r="T392" s="381">
        <v>16000</v>
      </c>
      <c r="U392" s="381">
        <v>180511.08000000002</v>
      </c>
      <c r="V392" s="381">
        <v>1036.340000000002</v>
      </c>
    </row>
    <row r="393" spans="2:22">
      <c r="B393" t="s">
        <v>681</v>
      </c>
      <c r="C393" t="s">
        <v>473</v>
      </c>
      <c r="D393" t="s">
        <v>54</v>
      </c>
      <c r="F393">
        <v>123539</v>
      </c>
      <c r="H393"/>
      <c r="I393" s="381"/>
      <c r="J393" s="381"/>
      <c r="K393" s="381"/>
      <c r="L393" s="381">
        <v>0</v>
      </c>
      <c r="M393" s="381">
        <v>0</v>
      </c>
      <c r="N393" s="381">
        <v>0</v>
      </c>
      <c r="O393" s="381"/>
      <c r="P393" s="381">
        <v>123539</v>
      </c>
      <c r="Q393" s="381"/>
      <c r="R393" s="381"/>
      <c r="S393" s="381"/>
      <c r="T393" s="381"/>
      <c r="U393" s="381">
        <v>123539</v>
      </c>
      <c r="V393" s="381">
        <v>0</v>
      </c>
    </row>
    <row r="394" spans="2:22">
      <c r="B394" t="s">
        <v>682</v>
      </c>
      <c r="C394" t="s">
        <v>683</v>
      </c>
      <c r="D394" t="s">
        <v>684</v>
      </c>
      <c r="E394">
        <v>146492.82999999999</v>
      </c>
      <c r="F394">
        <v>-115764.16</v>
      </c>
      <c r="H394"/>
      <c r="I394" s="381">
        <v>-115764.16</v>
      </c>
      <c r="J394" s="381">
        <v>0</v>
      </c>
      <c r="K394" s="381"/>
      <c r="L394" s="381">
        <v>0</v>
      </c>
      <c r="M394" s="381">
        <v>0</v>
      </c>
      <c r="N394" s="381">
        <v>0</v>
      </c>
      <c r="O394" s="381"/>
      <c r="P394" s="381"/>
      <c r="Q394" s="381"/>
      <c r="R394" s="381"/>
      <c r="S394" s="381"/>
      <c r="T394" s="381"/>
      <c r="U394" s="381">
        <v>-115764.16</v>
      </c>
      <c r="V394" s="381">
        <v>0</v>
      </c>
    </row>
    <row r="395" spans="2:22">
      <c r="B395" t="s">
        <v>685</v>
      </c>
      <c r="C395" t="s">
        <v>686</v>
      </c>
      <c r="D395" t="s">
        <v>684</v>
      </c>
      <c r="E395">
        <v>-146492.82999999999</v>
      </c>
      <c r="F395">
        <v>115764.16</v>
      </c>
      <c r="H395"/>
      <c r="I395"/>
      <c r="J395">
        <v>115764.16</v>
      </c>
      <c r="K395"/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115764.16</v>
      </c>
      <c r="V395" s="557">
        <v>0</v>
      </c>
    </row>
    <row r="396" spans="2:22" hidden="1">
      <c r="B396" t="s">
        <v>687</v>
      </c>
      <c r="C396" t="s">
        <v>688</v>
      </c>
      <c r="D396" t="s">
        <v>689</v>
      </c>
      <c r="E396">
        <v>169727.17</v>
      </c>
      <c r="F396">
        <v>0</v>
      </c>
      <c r="H396"/>
      <c r="I396"/>
      <c r="J396"/>
      <c r="K396"/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s="557">
        <v>0</v>
      </c>
    </row>
    <row r="397" spans="2:22" hidden="1">
      <c r="B397" t="s">
        <v>690</v>
      </c>
      <c r="C397" t="s">
        <v>691</v>
      </c>
      <c r="D397" t="s">
        <v>689</v>
      </c>
      <c r="E397">
        <v>-169727.17</v>
      </c>
      <c r="F397">
        <v>0</v>
      </c>
      <c r="H397"/>
      <c r="I397" s="381"/>
      <c r="J397" s="381"/>
      <c r="K397" s="381"/>
      <c r="L397" s="381">
        <v>0</v>
      </c>
      <c r="M397" s="381">
        <v>0</v>
      </c>
      <c r="N397" s="381">
        <v>0</v>
      </c>
      <c r="O397" s="381">
        <v>0</v>
      </c>
      <c r="P397" s="381">
        <v>0</v>
      </c>
      <c r="Q397" s="381">
        <v>0</v>
      </c>
      <c r="R397" s="381">
        <v>0</v>
      </c>
      <c r="S397" s="381">
        <v>0</v>
      </c>
      <c r="T397" s="381">
        <v>0</v>
      </c>
      <c r="U397" s="381">
        <v>0</v>
      </c>
      <c r="V397" s="381">
        <v>0</v>
      </c>
    </row>
    <row r="398" spans="2:22">
      <c r="B398" t="s">
        <v>692</v>
      </c>
      <c r="C398" t="s">
        <v>693</v>
      </c>
      <c r="D398" t="s">
        <v>25</v>
      </c>
      <c r="E398">
        <v>11026</v>
      </c>
      <c r="F398">
        <v>11026</v>
      </c>
      <c r="H398"/>
      <c r="I398"/>
      <c r="J398"/>
      <c r="K398"/>
      <c r="L398">
        <v>0</v>
      </c>
      <c r="M398">
        <v>0</v>
      </c>
      <c r="N398">
        <v>0</v>
      </c>
      <c r="O398"/>
      <c r="P398"/>
      <c r="Q398"/>
      <c r="R398"/>
      <c r="S398">
        <v>11026</v>
      </c>
      <c r="T398">
        <v>0</v>
      </c>
      <c r="U398">
        <v>11026</v>
      </c>
      <c r="V398" s="557">
        <v>0</v>
      </c>
    </row>
    <row r="399" spans="2:22" hidden="1">
      <c r="B399" t="s">
        <v>694</v>
      </c>
      <c r="C399" t="s">
        <v>695</v>
      </c>
      <c r="D399" t="s">
        <v>696</v>
      </c>
      <c r="E399">
        <v>325620</v>
      </c>
      <c r="F399">
        <v>0</v>
      </c>
      <c r="H399"/>
      <c r="I399"/>
      <c r="J399"/>
      <c r="K399"/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s="557">
        <v>0</v>
      </c>
    </row>
    <row r="400" spans="2:22" hidden="1">
      <c r="B400" t="s">
        <v>697</v>
      </c>
      <c r="C400" t="s">
        <v>698</v>
      </c>
      <c r="D400" t="s">
        <v>696</v>
      </c>
      <c r="E400">
        <v>-325620</v>
      </c>
      <c r="F400">
        <v>0</v>
      </c>
      <c r="H400"/>
      <c r="I400"/>
      <c r="J400"/>
      <c r="K400"/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557">
        <v>0</v>
      </c>
    </row>
    <row r="401" spans="2:22">
      <c r="B401" t="s">
        <v>699</v>
      </c>
      <c r="C401" t="s">
        <v>700</v>
      </c>
      <c r="D401" t="s">
        <v>701</v>
      </c>
      <c r="E401">
        <v>54093.63</v>
      </c>
      <c r="F401">
        <v>55716.44</v>
      </c>
      <c r="H401"/>
      <c r="I401"/>
      <c r="J401">
        <v>55716.44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55716.44</v>
      </c>
      <c r="V401" s="557">
        <v>0</v>
      </c>
    </row>
    <row r="402" spans="2:22">
      <c r="B402" t="s">
        <v>702</v>
      </c>
      <c r="C402" t="s">
        <v>703</v>
      </c>
      <c r="D402" t="s">
        <v>704</v>
      </c>
      <c r="E402">
        <v>3581394.5999999992</v>
      </c>
      <c r="F402">
        <v>3026808.87</v>
      </c>
      <c r="H402"/>
      <c r="I402" s="381">
        <v>3026811.49</v>
      </c>
      <c r="J402" s="381">
        <v>-3073725.16</v>
      </c>
      <c r="K402" s="381">
        <v>803616.54</v>
      </c>
      <c r="L402" s="381">
        <v>0</v>
      </c>
      <c r="M402" s="381">
        <v>1470681.36</v>
      </c>
      <c r="N402" s="381">
        <v>735340.67999999993</v>
      </c>
      <c r="O402" s="381">
        <v>0</v>
      </c>
      <c r="P402" s="381">
        <v>504468</v>
      </c>
      <c r="Q402" s="381">
        <v>252234</v>
      </c>
      <c r="R402" s="381">
        <v>0</v>
      </c>
      <c r="S402" s="381">
        <v>504468</v>
      </c>
      <c r="T402" s="381">
        <v>252234</v>
      </c>
      <c r="U402" s="381">
        <v>4476128.91</v>
      </c>
      <c r="V402" s="381">
        <v>1449320.04</v>
      </c>
    </row>
    <row r="403" spans="2:22" hidden="1">
      <c r="B403" t="s">
        <v>705</v>
      </c>
      <c r="C403" t="s">
        <v>706</v>
      </c>
      <c r="D403" t="s">
        <v>707</v>
      </c>
      <c r="E403">
        <v>678893.73</v>
      </c>
      <c r="F403">
        <v>0</v>
      </c>
      <c r="H403"/>
      <c r="I403" s="381"/>
      <c r="J403" s="381"/>
      <c r="K403" s="381"/>
      <c r="L403" s="381">
        <v>0</v>
      </c>
      <c r="M403" s="381">
        <v>0</v>
      </c>
      <c r="N403" s="381">
        <v>0</v>
      </c>
      <c r="O403" s="381">
        <v>0</v>
      </c>
      <c r="P403" s="381">
        <v>0</v>
      </c>
      <c r="Q403" s="381">
        <v>0</v>
      </c>
      <c r="R403" s="381">
        <v>0</v>
      </c>
      <c r="S403" s="381">
        <v>0</v>
      </c>
      <c r="T403" s="381">
        <v>0</v>
      </c>
      <c r="U403" s="381">
        <v>0</v>
      </c>
      <c r="V403" s="381">
        <v>0</v>
      </c>
    </row>
    <row r="404" spans="2:22" hidden="1">
      <c r="B404" t="s">
        <v>708</v>
      </c>
      <c r="C404" t="s">
        <v>709</v>
      </c>
      <c r="D404" t="s">
        <v>707</v>
      </c>
      <c r="E404">
        <v>-678893.73</v>
      </c>
      <c r="F404">
        <v>0</v>
      </c>
      <c r="H404"/>
      <c r="I404" s="381"/>
      <c r="J404" s="381"/>
      <c r="K404" s="381"/>
      <c r="L404" s="381">
        <v>0</v>
      </c>
      <c r="M404" s="381">
        <v>0</v>
      </c>
      <c r="N404" s="381">
        <v>0</v>
      </c>
      <c r="O404" s="381">
        <v>0</v>
      </c>
      <c r="P404" s="381">
        <v>0</v>
      </c>
      <c r="Q404" s="381">
        <v>0</v>
      </c>
      <c r="R404" s="381">
        <v>0</v>
      </c>
      <c r="S404" s="381">
        <v>0</v>
      </c>
      <c r="T404" s="381">
        <v>0</v>
      </c>
      <c r="U404" s="381">
        <v>0</v>
      </c>
      <c r="V404" s="381">
        <v>0</v>
      </c>
    </row>
    <row r="405" spans="2:22" hidden="1">
      <c r="B405" t="s">
        <v>710</v>
      </c>
      <c r="C405" t="s">
        <v>711</v>
      </c>
      <c r="D405" t="s">
        <v>707</v>
      </c>
      <c r="E405">
        <v>4128.4799999999996</v>
      </c>
      <c r="F405">
        <v>0</v>
      </c>
      <c r="H405"/>
      <c r="I405"/>
      <c r="J405"/>
      <c r="K405"/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557">
        <v>0</v>
      </c>
    </row>
    <row r="406" spans="2:22" hidden="1">
      <c r="B406" t="s">
        <v>712</v>
      </c>
      <c r="C406" t="s">
        <v>713</v>
      </c>
      <c r="D406" t="s">
        <v>707</v>
      </c>
      <c r="E406">
        <v>-4128.4799999999996</v>
      </c>
      <c r="F406">
        <v>0</v>
      </c>
      <c r="H406"/>
      <c r="I406"/>
      <c r="J406"/>
      <c r="K406"/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557">
        <v>0</v>
      </c>
    </row>
    <row r="407" spans="2:22" hidden="1">
      <c r="B407" t="s">
        <v>714</v>
      </c>
      <c r="C407" t="s">
        <v>715</v>
      </c>
      <c r="D407" t="s">
        <v>707</v>
      </c>
      <c r="E407">
        <v>37248.410000000003</v>
      </c>
      <c r="F407">
        <v>0</v>
      </c>
      <c r="H407"/>
      <c r="I407" s="381"/>
      <c r="J407" s="381"/>
      <c r="K407" s="381"/>
      <c r="L407" s="381">
        <v>0</v>
      </c>
      <c r="M407" s="381">
        <v>0</v>
      </c>
      <c r="N407" s="381">
        <v>0</v>
      </c>
      <c r="O407" s="381">
        <v>0</v>
      </c>
      <c r="P407" s="381">
        <v>0</v>
      </c>
      <c r="Q407" s="381">
        <v>0</v>
      </c>
      <c r="R407" s="381">
        <v>0</v>
      </c>
      <c r="S407" s="381">
        <v>0</v>
      </c>
      <c r="T407" s="381">
        <v>0</v>
      </c>
      <c r="U407" s="381">
        <v>0</v>
      </c>
      <c r="V407" s="381">
        <v>0</v>
      </c>
    </row>
    <row r="408" spans="2:22" hidden="1">
      <c r="B408" t="s">
        <v>716</v>
      </c>
      <c r="C408" t="s">
        <v>717</v>
      </c>
      <c r="D408" t="s">
        <v>707</v>
      </c>
      <c r="E408">
        <v>-37248.410000000003</v>
      </c>
      <c r="F408">
        <v>0</v>
      </c>
      <c r="H408"/>
      <c r="I408"/>
      <c r="J408"/>
      <c r="K408"/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s="557">
        <v>0</v>
      </c>
    </row>
    <row r="409" spans="2:22" hidden="1">
      <c r="B409" t="s">
        <v>718</v>
      </c>
      <c r="C409" t="s">
        <v>719</v>
      </c>
      <c r="D409" t="s">
        <v>707</v>
      </c>
      <c r="E409">
        <v>40181.519999999997</v>
      </c>
      <c r="F409">
        <v>0</v>
      </c>
      <c r="H409"/>
      <c r="I409"/>
      <c r="J409"/>
      <c r="K409"/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557">
        <v>0</v>
      </c>
    </row>
    <row r="410" spans="2:22" hidden="1">
      <c r="B410" t="s">
        <v>720</v>
      </c>
      <c r="C410" t="s">
        <v>721</v>
      </c>
      <c r="D410" t="s">
        <v>707</v>
      </c>
      <c r="E410">
        <v>-40181</v>
      </c>
      <c r="F410">
        <v>0</v>
      </c>
      <c r="H410"/>
      <c r="I410" s="381"/>
      <c r="J410" s="381"/>
      <c r="K410" s="381"/>
      <c r="L410" s="381">
        <v>0</v>
      </c>
      <c r="M410" s="381">
        <v>0</v>
      </c>
      <c r="N410" s="381">
        <v>0</v>
      </c>
      <c r="O410" s="381">
        <v>0</v>
      </c>
      <c r="P410" s="381">
        <v>0</v>
      </c>
      <c r="Q410" s="381">
        <v>0</v>
      </c>
      <c r="R410" s="381">
        <v>0</v>
      </c>
      <c r="S410" s="381">
        <v>0</v>
      </c>
      <c r="T410" s="381">
        <v>0</v>
      </c>
      <c r="U410" s="381">
        <v>0</v>
      </c>
      <c r="V410" s="381">
        <v>0</v>
      </c>
    </row>
    <row r="411" spans="2:22" hidden="1">
      <c r="B411" t="s">
        <v>722</v>
      </c>
      <c r="C411" t="s">
        <v>723</v>
      </c>
      <c r="D411" t="s">
        <v>707</v>
      </c>
      <c r="E411">
        <v>253752.12</v>
      </c>
      <c r="F411">
        <v>0</v>
      </c>
      <c r="H411"/>
      <c r="I411"/>
      <c r="J411"/>
      <c r="K411"/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557">
        <v>0</v>
      </c>
    </row>
    <row r="412" spans="2:22" hidden="1">
      <c r="B412" t="s">
        <v>724</v>
      </c>
      <c r="C412" t="s">
        <v>725</v>
      </c>
      <c r="D412" t="s">
        <v>707</v>
      </c>
      <c r="E412">
        <v>-253752.12</v>
      </c>
      <c r="F412">
        <v>0</v>
      </c>
      <c r="H412"/>
      <c r="I412"/>
      <c r="J412"/>
      <c r="K412"/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557">
        <v>0</v>
      </c>
    </row>
    <row r="413" spans="2:22" hidden="1">
      <c r="B413" t="s">
        <v>726</v>
      </c>
      <c r="C413" t="s">
        <v>727</v>
      </c>
      <c r="D413" t="s">
        <v>707</v>
      </c>
      <c r="E413">
        <v>6285.51</v>
      </c>
      <c r="F413">
        <v>0</v>
      </c>
      <c r="H413"/>
      <c r="I413"/>
      <c r="J413"/>
      <c r="K413"/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557">
        <v>0</v>
      </c>
    </row>
    <row r="414" spans="2:22" hidden="1">
      <c r="B414" t="s">
        <v>728</v>
      </c>
      <c r="C414" t="s">
        <v>729</v>
      </c>
      <c r="D414" t="s">
        <v>707</v>
      </c>
      <c r="E414">
        <v>-6285.51</v>
      </c>
      <c r="F414">
        <v>0</v>
      </c>
      <c r="H414"/>
      <c r="I414" s="381"/>
      <c r="J414" s="381"/>
      <c r="K414" s="381"/>
      <c r="L414" s="381">
        <v>0</v>
      </c>
      <c r="M414" s="381">
        <v>0</v>
      </c>
      <c r="N414" s="381">
        <v>0</v>
      </c>
      <c r="O414" s="381">
        <v>0</v>
      </c>
      <c r="P414" s="381">
        <v>0</v>
      </c>
      <c r="Q414" s="381">
        <v>0</v>
      </c>
      <c r="R414" s="381">
        <v>0</v>
      </c>
      <c r="S414" s="381">
        <v>0</v>
      </c>
      <c r="T414" s="381">
        <v>0</v>
      </c>
      <c r="U414" s="381">
        <v>0</v>
      </c>
      <c r="V414" s="381">
        <v>0</v>
      </c>
    </row>
    <row r="415" spans="2:22" hidden="1">
      <c r="B415" t="s">
        <v>730</v>
      </c>
      <c r="C415" t="s">
        <v>731</v>
      </c>
      <c r="D415" t="s">
        <v>707</v>
      </c>
      <c r="E415">
        <v>30136.080000000002</v>
      </c>
      <c r="F415">
        <v>0</v>
      </c>
      <c r="H415"/>
      <c r="I415"/>
      <c r="J415"/>
      <c r="K415"/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557">
        <v>0</v>
      </c>
    </row>
    <row r="416" spans="2:22" hidden="1">
      <c r="B416" t="s">
        <v>732</v>
      </c>
      <c r="C416" t="s">
        <v>733</v>
      </c>
      <c r="D416" t="s">
        <v>707</v>
      </c>
      <c r="E416">
        <v>-30136.080000000002</v>
      </c>
      <c r="F416">
        <v>0</v>
      </c>
      <c r="H416"/>
      <c r="I416"/>
      <c r="J416"/>
      <c r="K416"/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557">
        <v>0</v>
      </c>
    </row>
    <row r="417" spans="2:22" hidden="1">
      <c r="B417" t="s">
        <v>734</v>
      </c>
      <c r="C417" t="s">
        <v>735</v>
      </c>
      <c r="D417" t="s">
        <v>707</v>
      </c>
      <c r="E417">
        <v>17349.84</v>
      </c>
      <c r="F417">
        <v>0</v>
      </c>
      <c r="H417"/>
      <c r="I417"/>
      <c r="J417"/>
      <c r="K417"/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557">
        <v>0</v>
      </c>
    </row>
    <row r="418" spans="2:22" hidden="1">
      <c r="B418" t="s">
        <v>736</v>
      </c>
      <c r="C418" t="s">
        <v>737</v>
      </c>
      <c r="D418" t="s">
        <v>707</v>
      </c>
      <c r="E418">
        <v>-17349.84</v>
      </c>
      <c r="F418">
        <v>0</v>
      </c>
      <c r="H418"/>
      <c r="I418" s="381"/>
      <c r="J418" s="381"/>
      <c r="K418" s="381"/>
      <c r="L418" s="381">
        <v>0</v>
      </c>
      <c r="M418" s="381">
        <v>0</v>
      </c>
      <c r="N418" s="381">
        <v>0</v>
      </c>
      <c r="O418" s="381">
        <v>0</v>
      </c>
      <c r="P418" s="381">
        <v>0</v>
      </c>
      <c r="Q418" s="381">
        <v>0</v>
      </c>
      <c r="R418" s="381">
        <v>0</v>
      </c>
      <c r="S418" s="381">
        <v>0</v>
      </c>
      <c r="T418" s="381">
        <v>0</v>
      </c>
      <c r="U418" s="381">
        <v>0</v>
      </c>
      <c r="V418" s="381">
        <v>0</v>
      </c>
    </row>
    <row r="419" spans="2:22" hidden="1">
      <c r="B419" t="s">
        <v>738</v>
      </c>
      <c r="C419" t="s">
        <v>739</v>
      </c>
      <c r="D419" t="s">
        <v>707</v>
      </c>
      <c r="E419">
        <v>5357.52</v>
      </c>
      <c r="F419">
        <v>0</v>
      </c>
      <c r="H419"/>
      <c r="I419" s="381"/>
      <c r="J419" s="381"/>
      <c r="K419" s="381"/>
      <c r="L419" s="381">
        <v>0</v>
      </c>
      <c r="M419" s="381">
        <v>0</v>
      </c>
      <c r="N419" s="381">
        <v>0</v>
      </c>
      <c r="O419" s="381">
        <v>0</v>
      </c>
      <c r="P419" s="381">
        <v>0</v>
      </c>
      <c r="Q419" s="381">
        <v>0</v>
      </c>
      <c r="R419" s="381">
        <v>0</v>
      </c>
      <c r="S419" s="381">
        <v>0</v>
      </c>
      <c r="T419" s="381">
        <v>0</v>
      </c>
      <c r="U419" s="381">
        <v>0</v>
      </c>
      <c r="V419" s="381">
        <v>0</v>
      </c>
    </row>
    <row r="420" spans="2:22" hidden="1">
      <c r="B420" t="s">
        <v>740</v>
      </c>
      <c r="C420" t="s">
        <v>741</v>
      </c>
      <c r="D420" t="s">
        <v>707</v>
      </c>
      <c r="E420">
        <v>-5357.52</v>
      </c>
      <c r="F420">
        <v>0</v>
      </c>
      <c r="H420"/>
      <c r="I420"/>
      <c r="J420"/>
      <c r="K420"/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s="557">
        <v>0</v>
      </c>
    </row>
    <row r="421" spans="2:22" hidden="1">
      <c r="B421" t="s">
        <v>742</v>
      </c>
      <c r="C421" t="s">
        <v>743</v>
      </c>
      <c r="D421" t="s">
        <v>707</v>
      </c>
      <c r="E421">
        <v>101279.37</v>
      </c>
      <c r="F421">
        <v>0</v>
      </c>
      <c r="H421"/>
      <c r="I421"/>
      <c r="J421"/>
      <c r="K421"/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s="557">
        <v>0</v>
      </c>
    </row>
    <row r="422" spans="2:22" hidden="1">
      <c r="B422" t="s">
        <v>744</v>
      </c>
      <c r="C422" t="s">
        <v>745</v>
      </c>
      <c r="D422" t="s">
        <v>707</v>
      </c>
      <c r="E422">
        <v>-101279.37</v>
      </c>
      <c r="F422">
        <v>0</v>
      </c>
      <c r="H422"/>
      <c r="I422" s="381"/>
      <c r="J422" s="381"/>
      <c r="K422" s="381"/>
      <c r="L422" s="381">
        <v>0</v>
      </c>
      <c r="M422" s="381">
        <v>0</v>
      </c>
      <c r="N422" s="381">
        <v>0</v>
      </c>
      <c r="O422" s="381">
        <v>0</v>
      </c>
      <c r="P422" s="381">
        <v>0</v>
      </c>
      <c r="Q422" s="381">
        <v>0</v>
      </c>
      <c r="R422" s="381">
        <v>0</v>
      </c>
      <c r="S422" s="381">
        <v>0</v>
      </c>
      <c r="T422" s="381">
        <v>0</v>
      </c>
      <c r="U422" s="381">
        <v>0</v>
      </c>
      <c r="V422" s="381">
        <v>0</v>
      </c>
    </row>
    <row r="423" spans="2:22" hidden="1">
      <c r="B423" t="s">
        <v>746</v>
      </c>
      <c r="C423" t="s">
        <v>747</v>
      </c>
      <c r="D423" t="s">
        <v>707</v>
      </c>
      <c r="E423">
        <v>169017.36</v>
      </c>
      <c r="F423">
        <v>0</v>
      </c>
      <c r="H423"/>
      <c r="I423"/>
      <c r="J423"/>
      <c r="K423"/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557">
        <v>0</v>
      </c>
    </row>
    <row r="424" spans="2:22" hidden="1">
      <c r="B424" t="s">
        <v>748</v>
      </c>
      <c r="C424" t="s">
        <v>749</v>
      </c>
      <c r="D424" t="s">
        <v>707</v>
      </c>
      <c r="E424">
        <v>-169017.36</v>
      </c>
      <c r="F424">
        <v>0</v>
      </c>
      <c r="H424"/>
      <c r="I424" s="381"/>
      <c r="J424" s="381"/>
      <c r="K424" s="381"/>
      <c r="L424" s="381">
        <v>0</v>
      </c>
      <c r="M424" s="381">
        <v>0</v>
      </c>
      <c r="N424" s="381">
        <v>0</v>
      </c>
      <c r="O424" s="381">
        <v>0</v>
      </c>
      <c r="P424" s="381">
        <v>0</v>
      </c>
      <c r="Q424" s="381">
        <v>0</v>
      </c>
      <c r="R424" s="381">
        <v>0</v>
      </c>
      <c r="S424" s="381">
        <v>0</v>
      </c>
      <c r="T424" s="381">
        <v>0</v>
      </c>
      <c r="U424" s="381">
        <v>0</v>
      </c>
      <c r="V424" s="381">
        <v>0</v>
      </c>
    </row>
    <row r="425" spans="2:22" hidden="1">
      <c r="B425" t="s">
        <v>750</v>
      </c>
      <c r="C425" t="s">
        <v>751</v>
      </c>
      <c r="D425" t="s">
        <v>707</v>
      </c>
      <c r="E425">
        <v>872512.08</v>
      </c>
      <c r="F425">
        <v>0</v>
      </c>
      <c r="H425"/>
      <c r="I425"/>
      <c r="J425"/>
      <c r="K425"/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557">
        <v>0</v>
      </c>
    </row>
    <row r="426" spans="2:22" hidden="1">
      <c r="B426" t="s">
        <v>752</v>
      </c>
      <c r="C426" t="s">
        <v>753</v>
      </c>
      <c r="D426" t="s">
        <v>707</v>
      </c>
      <c r="E426">
        <v>-872512.08</v>
      </c>
      <c r="F426">
        <v>0</v>
      </c>
      <c r="H426"/>
      <c r="I426"/>
      <c r="J426"/>
      <c r="K426"/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557">
        <v>0</v>
      </c>
    </row>
    <row r="427" spans="2:22" hidden="1">
      <c r="B427" t="s">
        <v>754</v>
      </c>
      <c r="C427" t="s">
        <v>755</v>
      </c>
      <c r="D427" t="s">
        <v>707</v>
      </c>
      <c r="E427">
        <v>267876.47999999998</v>
      </c>
      <c r="F427">
        <v>0</v>
      </c>
      <c r="H427"/>
      <c r="I427"/>
      <c r="J427"/>
      <c r="K427"/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s="557">
        <v>0</v>
      </c>
    </row>
    <row r="428" spans="2:22" hidden="1">
      <c r="B428" t="s">
        <v>756</v>
      </c>
      <c r="C428" t="s">
        <v>757</v>
      </c>
      <c r="D428" t="s">
        <v>707</v>
      </c>
      <c r="E428">
        <v>-267876.47999999998</v>
      </c>
      <c r="F428">
        <v>0</v>
      </c>
      <c r="H428"/>
      <c r="I428"/>
      <c r="J428"/>
      <c r="K428"/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s="557">
        <v>0</v>
      </c>
    </row>
    <row r="429" spans="2:22">
      <c r="B429" t="s">
        <v>758</v>
      </c>
      <c r="C429" t="s">
        <v>759</v>
      </c>
      <c r="D429" t="s">
        <v>704</v>
      </c>
      <c r="E429">
        <v>2542329.3599999994</v>
      </c>
      <c r="F429">
        <v>2542329.36</v>
      </c>
      <c r="H429"/>
      <c r="I429" s="381">
        <v>2542329.37</v>
      </c>
      <c r="J429" s="381">
        <v>-2118607.81</v>
      </c>
      <c r="K429" s="381">
        <v>211860.78</v>
      </c>
      <c r="L429" s="381">
        <v>0</v>
      </c>
      <c r="M429" s="381">
        <v>0</v>
      </c>
      <c r="N429" s="381">
        <v>0</v>
      </c>
      <c r="O429" s="381">
        <v>0</v>
      </c>
      <c r="P429" s="381">
        <v>423721.56</v>
      </c>
      <c r="Q429" s="381">
        <v>211860.78</v>
      </c>
      <c r="R429" s="381">
        <v>0</v>
      </c>
      <c r="S429" s="381">
        <v>423721.56</v>
      </c>
      <c r="T429" s="381">
        <v>211860.78</v>
      </c>
      <c r="U429" s="381">
        <v>1906747.0200000003</v>
      </c>
      <c r="V429" s="381">
        <v>-635582.33999999962</v>
      </c>
    </row>
    <row r="430" spans="2:22" hidden="1">
      <c r="B430" t="s">
        <v>760</v>
      </c>
      <c r="C430" t="s">
        <v>761</v>
      </c>
      <c r="D430" t="s">
        <v>707</v>
      </c>
      <c r="E430">
        <v>539731.92000000004</v>
      </c>
      <c r="F430">
        <v>0</v>
      </c>
      <c r="H430"/>
      <c r="I430" s="381"/>
      <c r="J430" s="381"/>
      <c r="K430" s="381"/>
      <c r="L430" s="381">
        <v>0</v>
      </c>
      <c r="M430" s="381">
        <v>0</v>
      </c>
      <c r="N430" s="381">
        <v>0</v>
      </c>
      <c r="O430" s="381">
        <v>0</v>
      </c>
      <c r="P430" s="381">
        <v>0</v>
      </c>
      <c r="Q430" s="381">
        <v>0</v>
      </c>
      <c r="R430" s="381">
        <v>0</v>
      </c>
      <c r="S430" s="381">
        <v>0</v>
      </c>
      <c r="T430" s="381">
        <v>0</v>
      </c>
      <c r="U430" s="381">
        <v>0</v>
      </c>
      <c r="V430" s="381">
        <v>0</v>
      </c>
    </row>
    <row r="431" spans="2:22" hidden="1">
      <c r="B431" t="s">
        <v>762</v>
      </c>
      <c r="C431" t="s">
        <v>763</v>
      </c>
      <c r="D431" t="s">
        <v>707</v>
      </c>
      <c r="E431">
        <v>-539731.92000000004</v>
      </c>
      <c r="F431">
        <v>0</v>
      </c>
      <c r="H431"/>
      <c r="I431"/>
      <c r="J431"/>
      <c r="K431"/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s="557">
        <v>0</v>
      </c>
    </row>
    <row r="432" spans="2:22" hidden="1">
      <c r="B432" t="s">
        <v>764</v>
      </c>
      <c r="C432" t="s">
        <v>765</v>
      </c>
      <c r="D432" t="s">
        <v>707</v>
      </c>
      <c r="E432">
        <v>60272.160000000003</v>
      </c>
      <c r="F432">
        <v>0</v>
      </c>
      <c r="H432"/>
      <c r="I432"/>
      <c r="J432"/>
      <c r="K432"/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557">
        <v>0</v>
      </c>
    </row>
    <row r="433" spans="2:22" hidden="1">
      <c r="B433" t="s">
        <v>766</v>
      </c>
      <c r="C433" t="s">
        <v>767</v>
      </c>
      <c r="D433" t="s">
        <v>707</v>
      </c>
      <c r="E433">
        <v>-60272.160000000003</v>
      </c>
      <c r="F433">
        <v>0</v>
      </c>
      <c r="H433"/>
      <c r="I433" s="381"/>
      <c r="J433" s="381"/>
      <c r="K433" s="381"/>
      <c r="L433" s="381">
        <v>0</v>
      </c>
      <c r="M433" s="381">
        <v>0</v>
      </c>
      <c r="N433" s="381">
        <v>0</v>
      </c>
      <c r="O433" s="381">
        <v>0</v>
      </c>
      <c r="P433" s="381">
        <v>0</v>
      </c>
      <c r="Q433" s="381">
        <v>0</v>
      </c>
      <c r="R433" s="381">
        <v>0</v>
      </c>
      <c r="S433" s="381">
        <v>0</v>
      </c>
      <c r="T433" s="381">
        <v>0</v>
      </c>
      <c r="U433" s="381">
        <v>0</v>
      </c>
      <c r="V433" s="381">
        <v>0</v>
      </c>
    </row>
    <row r="434" spans="2:22" hidden="1">
      <c r="B434" t="s">
        <v>768</v>
      </c>
      <c r="C434" t="s">
        <v>769</v>
      </c>
      <c r="D434" t="s">
        <v>707</v>
      </c>
      <c r="E434">
        <v>626867.82999999996</v>
      </c>
      <c r="F434">
        <v>0</v>
      </c>
      <c r="H434"/>
      <c r="I434" s="381"/>
      <c r="J434" s="381"/>
      <c r="K434" s="381"/>
      <c r="L434" s="381">
        <v>0</v>
      </c>
      <c r="M434" s="381">
        <v>0</v>
      </c>
      <c r="N434" s="381">
        <v>0</v>
      </c>
      <c r="O434" s="381">
        <v>0</v>
      </c>
      <c r="P434" s="381">
        <v>0</v>
      </c>
      <c r="Q434" s="381">
        <v>0</v>
      </c>
      <c r="R434" s="381">
        <v>0</v>
      </c>
      <c r="S434" s="381">
        <v>0</v>
      </c>
      <c r="T434" s="381">
        <v>0</v>
      </c>
      <c r="U434" s="381">
        <v>0</v>
      </c>
      <c r="V434" s="381">
        <v>0</v>
      </c>
    </row>
    <row r="435" spans="2:22" hidden="1">
      <c r="B435" t="s">
        <v>770</v>
      </c>
      <c r="C435" t="s">
        <v>771</v>
      </c>
      <c r="D435" t="s">
        <v>707</v>
      </c>
      <c r="E435">
        <v>-626867.82999999996</v>
      </c>
      <c r="F435">
        <v>0</v>
      </c>
      <c r="H435"/>
      <c r="I435" s="381"/>
      <c r="J435" s="381"/>
      <c r="K435" s="381"/>
      <c r="L435" s="381">
        <v>0</v>
      </c>
      <c r="M435" s="381">
        <v>0</v>
      </c>
      <c r="N435" s="381">
        <v>0</v>
      </c>
      <c r="O435" s="381">
        <v>0</v>
      </c>
      <c r="P435" s="381">
        <v>0</v>
      </c>
      <c r="Q435" s="381">
        <v>0</v>
      </c>
      <c r="R435" s="381">
        <v>0</v>
      </c>
      <c r="S435" s="381">
        <v>0</v>
      </c>
      <c r="T435" s="381">
        <v>0</v>
      </c>
      <c r="U435" s="381">
        <v>0</v>
      </c>
      <c r="V435" s="381">
        <v>0</v>
      </c>
    </row>
    <row r="436" spans="2:22" hidden="1">
      <c r="B436" t="s">
        <v>772</v>
      </c>
      <c r="C436" t="s">
        <v>773</v>
      </c>
      <c r="D436" t="s">
        <v>707</v>
      </c>
      <c r="E436">
        <v>15713.16</v>
      </c>
      <c r="F436">
        <v>0</v>
      </c>
      <c r="H436"/>
      <c r="I436" s="381"/>
      <c r="J436" s="381"/>
      <c r="K436" s="381"/>
      <c r="L436" s="381">
        <v>0</v>
      </c>
      <c r="M436" s="381">
        <v>0</v>
      </c>
      <c r="N436" s="381">
        <v>0</v>
      </c>
      <c r="O436" s="381">
        <v>0</v>
      </c>
      <c r="P436" s="381">
        <v>0</v>
      </c>
      <c r="Q436" s="381">
        <v>0</v>
      </c>
      <c r="R436" s="381">
        <v>0</v>
      </c>
      <c r="S436" s="381">
        <v>0</v>
      </c>
      <c r="T436" s="381">
        <v>0</v>
      </c>
      <c r="U436" s="381">
        <v>0</v>
      </c>
      <c r="V436" s="381">
        <v>0</v>
      </c>
    </row>
    <row r="437" spans="2:22" hidden="1">
      <c r="B437" t="s">
        <v>774</v>
      </c>
      <c r="C437" t="s">
        <v>775</v>
      </c>
      <c r="D437" t="s">
        <v>707</v>
      </c>
      <c r="E437">
        <v>-15713.16</v>
      </c>
      <c r="F437">
        <v>0</v>
      </c>
      <c r="H437"/>
      <c r="I437" s="381"/>
      <c r="J437" s="381"/>
      <c r="K437" s="381"/>
      <c r="L437" s="381">
        <v>0</v>
      </c>
      <c r="M437" s="381">
        <v>0</v>
      </c>
      <c r="N437" s="381">
        <v>0</v>
      </c>
      <c r="O437" s="381">
        <v>0</v>
      </c>
      <c r="P437" s="381">
        <v>0</v>
      </c>
      <c r="Q437" s="381">
        <v>0</v>
      </c>
      <c r="R437" s="381">
        <v>0</v>
      </c>
      <c r="S437" s="381">
        <v>0</v>
      </c>
      <c r="T437" s="381">
        <v>0</v>
      </c>
      <c r="U437" s="381">
        <v>0</v>
      </c>
      <c r="V437" s="381">
        <v>0</v>
      </c>
    </row>
    <row r="438" spans="2:22" hidden="1">
      <c r="B438" t="s">
        <v>776</v>
      </c>
      <c r="C438" t="s">
        <v>777</v>
      </c>
      <c r="D438" t="s">
        <v>707</v>
      </c>
      <c r="E438">
        <v>930750</v>
      </c>
      <c r="F438">
        <v>0</v>
      </c>
      <c r="H438"/>
      <c r="I438" s="381"/>
      <c r="J438" s="381"/>
      <c r="K438" s="381"/>
      <c r="L438" s="381">
        <v>0</v>
      </c>
      <c r="M438" s="381">
        <v>0</v>
      </c>
      <c r="N438" s="381">
        <v>0</v>
      </c>
      <c r="O438" s="381">
        <v>0</v>
      </c>
      <c r="P438" s="381">
        <v>0</v>
      </c>
      <c r="Q438" s="381">
        <v>0</v>
      </c>
      <c r="R438" s="381">
        <v>0</v>
      </c>
      <c r="S438" s="381">
        <v>0</v>
      </c>
      <c r="T438" s="381">
        <v>0</v>
      </c>
      <c r="U438" s="381">
        <v>0</v>
      </c>
      <c r="V438" s="381">
        <v>0</v>
      </c>
    </row>
    <row r="439" spans="2:22" hidden="1">
      <c r="B439" t="s">
        <v>778</v>
      </c>
      <c r="C439" t="s">
        <v>779</v>
      </c>
      <c r="D439" t="s">
        <v>707</v>
      </c>
      <c r="E439">
        <v>-930750</v>
      </c>
      <c r="F439">
        <v>0</v>
      </c>
      <c r="H439"/>
      <c r="I439" s="381"/>
      <c r="J439" s="381"/>
      <c r="K439" s="381"/>
      <c r="L439" s="381">
        <v>0</v>
      </c>
      <c r="M439" s="381">
        <v>0</v>
      </c>
      <c r="N439" s="381">
        <v>0</v>
      </c>
      <c r="O439" s="381">
        <v>0</v>
      </c>
      <c r="P439" s="381">
        <v>0</v>
      </c>
      <c r="Q439" s="381">
        <v>0</v>
      </c>
      <c r="R439" s="381">
        <v>0</v>
      </c>
      <c r="S439" s="381">
        <v>0</v>
      </c>
      <c r="T439" s="381">
        <v>0</v>
      </c>
      <c r="U439" s="381">
        <v>0</v>
      </c>
      <c r="V439" s="381">
        <v>0</v>
      </c>
    </row>
    <row r="440" spans="2:22" hidden="1">
      <c r="B440" t="s">
        <v>780</v>
      </c>
      <c r="C440" t="s">
        <v>781</v>
      </c>
      <c r="D440" t="s">
        <v>707</v>
      </c>
      <c r="E440">
        <v>9567</v>
      </c>
      <c r="F440">
        <v>0</v>
      </c>
      <c r="H440"/>
      <c r="I440" s="381"/>
      <c r="J440" s="381"/>
      <c r="K440" s="381"/>
      <c r="L440" s="381">
        <v>0</v>
      </c>
      <c r="M440" s="381">
        <v>0</v>
      </c>
      <c r="N440" s="381">
        <v>0</v>
      </c>
      <c r="O440" s="381">
        <v>0</v>
      </c>
      <c r="P440" s="381">
        <v>0</v>
      </c>
      <c r="Q440" s="381">
        <v>0</v>
      </c>
      <c r="R440" s="381">
        <v>0</v>
      </c>
      <c r="S440" s="381">
        <v>0</v>
      </c>
      <c r="T440" s="381">
        <v>0</v>
      </c>
      <c r="U440" s="381">
        <v>0</v>
      </c>
      <c r="V440" s="381">
        <v>0</v>
      </c>
    </row>
    <row r="441" spans="2:22" hidden="1">
      <c r="B441" t="s">
        <v>782</v>
      </c>
      <c r="C441" t="s">
        <v>783</v>
      </c>
      <c r="D441" t="s">
        <v>707</v>
      </c>
      <c r="E441">
        <v>-9567</v>
      </c>
      <c r="F441">
        <v>0</v>
      </c>
      <c r="H441"/>
      <c r="I441" s="381"/>
      <c r="J441" s="381"/>
      <c r="K441" s="381"/>
      <c r="L441" s="381">
        <v>0</v>
      </c>
      <c r="M441" s="381">
        <v>0</v>
      </c>
      <c r="N441" s="381">
        <v>0</v>
      </c>
      <c r="O441" s="381">
        <v>0</v>
      </c>
      <c r="P441" s="381">
        <v>0</v>
      </c>
      <c r="Q441" s="381">
        <v>0</v>
      </c>
      <c r="R441" s="381">
        <v>0</v>
      </c>
      <c r="S441" s="381">
        <v>0</v>
      </c>
      <c r="T441" s="381">
        <v>0</v>
      </c>
      <c r="U441" s="381">
        <v>0</v>
      </c>
      <c r="V441" s="381">
        <v>0</v>
      </c>
    </row>
    <row r="442" spans="2:22">
      <c r="B442" t="s">
        <v>784</v>
      </c>
      <c r="C442" t="s">
        <v>785</v>
      </c>
      <c r="D442" t="s">
        <v>67</v>
      </c>
      <c r="E442">
        <v>-551382.25</v>
      </c>
      <c r="F442">
        <v>-551382.25</v>
      </c>
      <c r="H442"/>
      <c r="I442" s="381"/>
      <c r="J442" s="381"/>
      <c r="K442" s="381">
        <v>-551382.25</v>
      </c>
      <c r="L442" s="381">
        <v>0</v>
      </c>
      <c r="M442" s="381">
        <v>0</v>
      </c>
      <c r="N442" s="381">
        <v>0</v>
      </c>
      <c r="O442" s="381">
        <v>0</v>
      </c>
      <c r="P442" s="381">
        <v>0</v>
      </c>
      <c r="Q442" s="381">
        <v>0</v>
      </c>
      <c r="R442" s="381">
        <v>0</v>
      </c>
      <c r="S442" s="381">
        <v>0</v>
      </c>
      <c r="T442" s="381">
        <v>0</v>
      </c>
      <c r="U442" s="381">
        <v>-551382.25</v>
      </c>
      <c r="V442" s="381">
        <v>0</v>
      </c>
    </row>
    <row r="443" spans="2:22">
      <c r="B443" t="s">
        <v>786</v>
      </c>
      <c r="C443" t="s">
        <v>604</v>
      </c>
      <c r="D443" t="s">
        <v>605</v>
      </c>
      <c r="E443">
        <v>4356984</v>
      </c>
      <c r="F443">
        <v>4356986.0199999996</v>
      </c>
      <c r="H443"/>
      <c r="I443" s="381"/>
      <c r="J443" s="381">
        <v>726165.35</v>
      </c>
      <c r="K443" s="381">
        <v>363082.67</v>
      </c>
      <c r="L443" s="381">
        <v>0</v>
      </c>
      <c r="M443" s="381">
        <v>726165.34</v>
      </c>
      <c r="N443" s="381">
        <v>363082.67</v>
      </c>
      <c r="O443" s="381">
        <v>0</v>
      </c>
      <c r="P443" s="381">
        <v>726164</v>
      </c>
      <c r="Q443" s="381">
        <v>363082</v>
      </c>
      <c r="R443" s="381">
        <v>0</v>
      </c>
      <c r="S443" s="381">
        <v>726164</v>
      </c>
      <c r="T443" s="381">
        <v>363082</v>
      </c>
      <c r="U443" s="381">
        <v>4356988.0299999993</v>
      </c>
      <c r="V443" s="381">
        <v>2.0099999997764826</v>
      </c>
    </row>
    <row r="444" spans="2:22">
      <c r="B444" t="s">
        <v>787</v>
      </c>
      <c r="C444" t="s">
        <v>788</v>
      </c>
      <c r="D444" t="s">
        <v>789</v>
      </c>
      <c r="E444">
        <v>5012</v>
      </c>
      <c r="F444">
        <v>2512</v>
      </c>
      <c r="H444"/>
      <c r="I444" s="381"/>
      <c r="J444" s="381"/>
      <c r="K444" s="381"/>
      <c r="L444" s="381">
        <v>0</v>
      </c>
      <c r="M444" s="381">
        <v>0</v>
      </c>
      <c r="N444" s="381">
        <v>0</v>
      </c>
      <c r="O444" s="381">
        <v>0</v>
      </c>
      <c r="P444" s="381">
        <v>0</v>
      </c>
      <c r="Q444" s="381">
        <v>0</v>
      </c>
      <c r="R444" s="381">
        <v>0</v>
      </c>
      <c r="S444" s="381">
        <v>2512</v>
      </c>
      <c r="T444" s="381">
        <v>0</v>
      </c>
      <c r="U444" s="381">
        <v>2512</v>
      </c>
      <c r="V444" s="381">
        <v>0</v>
      </c>
    </row>
    <row r="445" spans="2:22" hidden="1">
      <c r="B445" t="s">
        <v>790</v>
      </c>
      <c r="C445" t="s">
        <v>791</v>
      </c>
      <c r="D445" t="s">
        <v>792</v>
      </c>
      <c r="E445">
        <v>56404</v>
      </c>
      <c r="F445">
        <v>0</v>
      </c>
      <c r="H445"/>
      <c r="I445"/>
      <c r="J445"/>
      <c r="K445"/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557">
        <v>0</v>
      </c>
    </row>
    <row r="446" spans="2:22" hidden="1">
      <c r="B446" t="s">
        <v>793</v>
      </c>
      <c r="C446" t="s">
        <v>794</v>
      </c>
      <c r="D446" t="s">
        <v>792</v>
      </c>
      <c r="E446">
        <v>-56404</v>
      </c>
      <c r="F446">
        <v>0</v>
      </c>
      <c r="H446"/>
      <c r="I446" s="381"/>
      <c r="J446" s="381"/>
      <c r="K446" s="381"/>
      <c r="L446" s="381">
        <v>0</v>
      </c>
      <c r="M446" s="381">
        <v>0</v>
      </c>
      <c r="N446" s="381">
        <v>0</v>
      </c>
      <c r="O446" s="381">
        <v>0</v>
      </c>
      <c r="P446" s="381">
        <v>0</v>
      </c>
      <c r="Q446" s="381">
        <v>0</v>
      </c>
      <c r="R446" s="381">
        <v>0</v>
      </c>
      <c r="S446" s="381">
        <v>0</v>
      </c>
      <c r="T446" s="381">
        <v>0</v>
      </c>
      <c r="U446" s="381">
        <v>0</v>
      </c>
      <c r="V446" s="381">
        <v>0</v>
      </c>
    </row>
    <row r="447" spans="2:22">
      <c r="B447" t="s">
        <v>795</v>
      </c>
      <c r="C447" t="s">
        <v>796</v>
      </c>
      <c r="D447" t="s">
        <v>680</v>
      </c>
      <c r="E447">
        <v>1200</v>
      </c>
      <c r="F447">
        <v>600</v>
      </c>
      <c r="H447"/>
      <c r="I447" s="381"/>
      <c r="J447" s="381"/>
      <c r="K447" s="381"/>
      <c r="L447" s="381">
        <v>0</v>
      </c>
      <c r="M447" s="381">
        <v>0</v>
      </c>
      <c r="N447" s="381">
        <v>0</v>
      </c>
      <c r="O447" s="381">
        <v>600</v>
      </c>
      <c r="P447" s="381">
        <v>0</v>
      </c>
      <c r="Q447" s="381">
        <v>0</v>
      </c>
      <c r="R447" s="381">
        <v>0</v>
      </c>
      <c r="S447" s="381">
        <v>0</v>
      </c>
      <c r="T447" s="381">
        <v>0</v>
      </c>
      <c r="U447" s="381">
        <v>600</v>
      </c>
      <c r="V447" s="381">
        <v>0</v>
      </c>
    </row>
    <row r="448" spans="2:22">
      <c r="B448" t="s">
        <v>797</v>
      </c>
      <c r="C448" t="s">
        <v>798</v>
      </c>
      <c r="D448" t="s">
        <v>680</v>
      </c>
      <c r="E448">
        <v>600</v>
      </c>
      <c r="F448">
        <v>600</v>
      </c>
      <c r="H448"/>
      <c r="I448"/>
      <c r="J448"/>
      <c r="K448"/>
      <c r="L448">
        <v>0</v>
      </c>
      <c r="M448">
        <v>0</v>
      </c>
      <c r="N448">
        <v>0</v>
      </c>
      <c r="O448"/>
      <c r="P448"/>
      <c r="Q448"/>
      <c r="R448"/>
      <c r="S448"/>
      <c r="T448">
        <v>600</v>
      </c>
      <c r="U448">
        <v>600</v>
      </c>
      <c r="V448" s="557">
        <v>0</v>
      </c>
    </row>
    <row r="449" spans="2:22" hidden="1">
      <c r="B449" t="s">
        <v>799</v>
      </c>
      <c r="C449" t="s">
        <v>800</v>
      </c>
      <c r="D449" t="s">
        <v>801</v>
      </c>
      <c r="E449">
        <v>120000</v>
      </c>
      <c r="F449">
        <v>0</v>
      </c>
      <c r="H449"/>
      <c r="I449" s="381"/>
      <c r="J449" s="381"/>
      <c r="K449" s="381"/>
      <c r="L449" s="381">
        <v>0</v>
      </c>
      <c r="M449" s="381">
        <v>0</v>
      </c>
      <c r="N449" s="381">
        <v>0</v>
      </c>
      <c r="O449" s="381">
        <v>0</v>
      </c>
      <c r="P449" s="381">
        <v>0</v>
      </c>
      <c r="Q449" s="381">
        <v>0</v>
      </c>
      <c r="R449" s="381">
        <v>0</v>
      </c>
      <c r="S449" s="381">
        <v>0</v>
      </c>
      <c r="T449" s="381">
        <v>0</v>
      </c>
      <c r="U449" s="381">
        <v>0</v>
      </c>
      <c r="V449" s="381">
        <v>0</v>
      </c>
    </row>
    <row r="450" spans="2:22" hidden="1">
      <c r="B450" t="s">
        <v>802</v>
      </c>
      <c r="C450" t="s">
        <v>803</v>
      </c>
      <c r="D450" t="s">
        <v>801</v>
      </c>
      <c r="E450">
        <v>-120000</v>
      </c>
      <c r="F450">
        <v>0</v>
      </c>
      <c r="H450"/>
      <c r="I450" s="381"/>
      <c r="J450" s="381"/>
      <c r="K450" s="381"/>
      <c r="L450" s="381">
        <v>0</v>
      </c>
      <c r="M450" s="381">
        <v>0</v>
      </c>
      <c r="N450" s="381">
        <v>0</v>
      </c>
      <c r="O450" s="381">
        <v>0</v>
      </c>
      <c r="P450" s="381">
        <v>0</v>
      </c>
      <c r="Q450" s="381">
        <v>0</v>
      </c>
      <c r="R450" s="381">
        <v>0</v>
      </c>
      <c r="S450" s="381">
        <v>0</v>
      </c>
      <c r="T450" s="381">
        <v>0</v>
      </c>
      <c r="U450" s="381">
        <v>0</v>
      </c>
      <c r="V450" s="381">
        <v>0</v>
      </c>
    </row>
    <row r="451" spans="2:22" hidden="1">
      <c r="B451" t="s">
        <v>804</v>
      </c>
      <c r="C451" t="s">
        <v>805</v>
      </c>
      <c r="D451" t="s">
        <v>806</v>
      </c>
      <c r="E451">
        <v>99064.42</v>
      </c>
      <c r="F451">
        <v>0</v>
      </c>
      <c r="H451"/>
      <c r="I451" s="381"/>
      <c r="J451" s="381"/>
      <c r="K451" s="381"/>
      <c r="L451" s="381">
        <v>0</v>
      </c>
      <c r="M451" s="381">
        <v>0</v>
      </c>
      <c r="N451" s="381">
        <v>0</v>
      </c>
      <c r="O451" s="381">
        <v>0</v>
      </c>
      <c r="P451" s="381">
        <v>0</v>
      </c>
      <c r="Q451" s="381">
        <v>0</v>
      </c>
      <c r="R451" s="381">
        <v>0</v>
      </c>
      <c r="S451" s="381">
        <v>0</v>
      </c>
      <c r="T451" s="381">
        <v>0</v>
      </c>
      <c r="U451" s="381">
        <v>0</v>
      </c>
      <c r="V451" s="381">
        <v>0</v>
      </c>
    </row>
    <row r="452" spans="2:22" hidden="1">
      <c r="B452" t="s">
        <v>807</v>
      </c>
      <c r="C452" t="s">
        <v>808</v>
      </c>
      <c r="D452" t="s">
        <v>806</v>
      </c>
      <c r="E452">
        <v>-99064.42</v>
      </c>
      <c r="F452">
        <v>0</v>
      </c>
      <c r="H452"/>
      <c r="I452" s="381"/>
      <c r="J452" s="381"/>
      <c r="K452" s="381"/>
      <c r="L452" s="381">
        <v>0</v>
      </c>
      <c r="M452" s="381">
        <v>0</v>
      </c>
      <c r="N452" s="381">
        <v>0</v>
      </c>
      <c r="O452" s="381">
        <v>0</v>
      </c>
      <c r="P452" s="381">
        <v>0</v>
      </c>
      <c r="Q452" s="381">
        <v>0</v>
      </c>
      <c r="R452" s="381">
        <v>0</v>
      </c>
      <c r="S452" s="381">
        <v>0</v>
      </c>
      <c r="T452" s="381">
        <v>0</v>
      </c>
      <c r="U452" s="381">
        <v>0</v>
      </c>
      <c r="V452" s="381">
        <v>0</v>
      </c>
    </row>
    <row r="453" spans="2:22">
      <c r="B453" t="s">
        <v>809</v>
      </c>
      <c r="C453" t="s">
        <v>810</v>
      </c>
      <c r="D453" t="s">
        <v>811</v>
      </c>
      <c r="E453">
        <v>1136537.76</v>
      </c>
      <c r="F453">
        <v>1100039.77</v>
      </c>
      <c r="H453"/>
      <c r="I453" s="381">
        <v>818279</v>
      </c>
      <c r="J453" s="381">
        <v>-636439.42000000004</v>
      </c>
      <c r="K453" s="381">
        <v>90919.92</v>
      </c>
      <c r="L453" s="381">
        <v>0</v>
      </c>
      <c r="M453" s="381">
        <v>181839.84</v>
      </c>
      <c r="N453" s="381">
        <v>90919.92</v>
      </c>
      <c r="O453" s="381">
        <v>0</v>
      </c>
      <c r="P453" s="381">
        <v>181839.84</v>
      </c>
      <c r="Q453" s="381">
        <v>90919.92</v>
      </c>
      <c r="R453" s="381">
        <v>0</v>
      </c>
      <c r="S453" s="381">
        <v>187840.5</v>
      </c>
      <c r="T453" s="381">
        <v>93920.25</v>
      </c>
      <c r="U453" s="381">
        <v>1100039.77</v>
      </c>
      <c r="V453" s="381">
        <v>0</v>
      </c>
    </row>
    <row r="454" spans="2:22">
      <c r="B454" t="s">
        <v>812</v>
      </c>
      <c r="C454" t="s">
        <v>813</v>
      </c>
      <c r="D454" t="s">
        <v>64</v>
      </c>
      <c r="E454">
        <v>287700</v>
      </c>
      <c r="F454">
        <v>297194</v>
      </c>
      <c r="H454"/>
      <c r="I454"/>
      <c r="J454"/>
      <c r="K454"/>
      <c r="L454">
        <v>0</v>
      </c>
      <c r="M454">
        <v>0</v>
      </c>
      <c r="N454">
        <v>0</v>
      </c>
      <c r="O454"/>
      <c r="P454"/>
      <c r="Q454"/>
      <c r="R454">
        <v>297194</v>
      </c>
      <c r="S454">
        <v>0</v>
      </c>
      <c r="T454">
        <v>0</v>
      </c>
      <c r="U454">
        <v>297194</v>
      </c>
      <c r="V454" s="557">
        <v>0</v>
      </c>
    </row>
    <row r="455" spans="2:22">
      <c r="B455" t="s">
        <v>814</v>
      </c>
      <c r="C455" t="s">
        <v>815</v>
      </c>
      <c r="D455" t="s">
        <v>67</v>
      </c>
      <c r="E455">
        <v>58000</v>
      </c>
      <c r="F455">
        <v>58000</v>
      </c>
      <c r="H455"/>
      <c r="I455" s="381"/>
      <c r="J455" s="381"/>
      <c r="K455" s="381"/>
      <c r="L455" s="381">
        <v>0</v>
      </c>
      <c r="M455" s="381">
        <v>0</v>
      </c>
      <c r="N455" s="381">
        <v>0</v>
      </c>
      <c r="O455" s="381"/>
      <c r="P455" s="381"/>
      <c r="Q455" s="381">
        <v>22000</v>
      </c>
      <c r="R455" s="381">
        <v>0</v>
      </c>
      <c r="S455" s="381">
        <v>36000</v>
      </c>
      <c r="T455" s="381">
        <v>0</v>
      </c>
      <c r="U455" s="381">
        <v>58000</v>
      </c>
      <c r="V455" s="381">
        <v>0</v>
      </c>
    </row>
    <row r="456" spans="2:22">
      <c r="B456" t="s">
        <v>816</v>
      </c>
      <c r="C456" t="s">
        <v>817</v>
      </c>
      <c r="D456" t="s">
        <v>818</v>
      </c>
      <c r="E456">
        <v>193223.24</v>
      </c>
      <c r="F456">
        <v>224772.16999999998</v>
      </c>
      <c r="H456"/>
      <c r="I456" s="381"/>
      <c r="J456" s="381"/>
      <c r="K456" s="381">
        <v>82300.740000000005</v>
      </c>
      <c r="L456" s="381">
        <v>0</v>
      </c>
      <c r="M456" s="381">
        <v>0</v>
      </c>
      <c r="N456" s="381">
        <v>64145.279999999992</v>
      </c>
      <c r="O456" s="381">
        <v>0</v>
      </c>
      <c r="P456" s="381">
        <v>0</v>
      </c>
      <c r="Q456" s="381">
        <v>58455.81</v>
      </c>
      <c r="R456" s="381">
        <v>0</v>
      </c>
      <c r="S456" s="381">
        <v>22959.81</v>
      </c>
      <c r="T456" s="381">
        <v>0</v>
      </c>
      <c r="U456" s="381">
        <v>227861.63999999998</v>
      </c>
      <c r="V456" s="381">
        <v>3089.469999999993</v>
      </c>
    </row>
    <row r="457" spans="2:22">
      <c r="B457" t="s">
        <v>819</v>
      </c>
      <c r="C457" t="s">
        <v>820</v>
      </c>
      <c r="D457" t="s">
        <v>821</v>
      </c>
      <c r="E457">
        <v>280976</v>
      </c>
      <c r="F457">
        <v>290275.11</v>
      </c>
      <c r="H457"/>
      <c r="I457" s="381"/>
      <c r="J457" s="381"/>
      <c r="K457" s="381"/>
      <c r="L457" s="381">
        <v>0</v>
      </c>
      <c r="M457" s="381">
        <v>390539.25000000006</v>
      </c>
      <c r="N457" s="381">
        <v>-88688.920000000013</v>
      </c>
      <c r="O457" s="381"/>
      <c r="P457" s="381">
        <v>0</v>
      </c>
      <c r="Q457" s="381">
        <v>0</v>
      </c>
      <c r="R457" s="381">
        <v>0</v>
      </c>
      <c r="S457" s="381">
        <v>0</v>
      </c>
      <c r="T457" s="381">
        <v>0</v>
      </c>
      <c r="U457" s="381">
        <v>301850.33000000007</v>
      </c>
      <c r="V457" s="381">
        <v>11575.220000000088</v>
      </c>
    </row>
    <row r="458" spans="2:22">
      <c r="B458" t="s">
        <v>822</v>
      </c>
      <c r="C458" t="s">
        <v>823</v>
      </c>
      <c r="D458" t="s">
        <v>605</v>
      </c>
      <c r="E458">
        <v>849804</v>
      </c>
      <c r="F458">
        <v>637353</v>
      </c>
      <c r="H458"/>
      <c r="I458" s="381"/>
      <c r="J458" s="381"/>
      <c r="K458" s="381">
        <v>-212451</v>
      </c>
      <c r="L458" s="381">
        <v>0</v>
      </c>
      <c r="M458" s="381">
        <v>0</v>
      </c>
      <c r="N458" s="381">
        <v>0</v>
      </c>
      <c r="O458" s="381">
        <v>0</v>
      </c>
      <c r="P458" s="381">
        <v>0</v>
      </c>
      <c r="Q458" s="381">
        <v>849804</v>
      </c>
      <c r="R458" s="381">
        <v>0</v>
      </c>
      <c r="S458" s="381">
        <v>0</v>
      </c>
      <c r="T458" s="381">
        <v>0</v>
      </c>
      <c r="U458" s="381">
        <v>637353</v>
      </c>
      <c r="V458" s="381">
        <v>0</v>
      </c>
    </row>
    <row r="459" spans="2:22" hidden="1">
      <c r="B459" t="s">
        <v>824</v>
      </c>
      <c r="C459" t="s">
        <v>825</v>
      </c>
      <c r="D459" t="s">
        <v>826</v>
      </c>
      <c r="E459">
        <v>44842</v>
      </c>
      <c r="F459">
        <v>0</v>
      </c>
      <c r="H459"/>
      <c r="I459"/>
      <c r="J459"/>
      <c r="K459"/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557">
        <v>0</v>
      </c>
    </row>
    <row r="460" spans="2:22" hidden="1">
      <c r="B460" t="s">
        <v>827</v>
      </c>
      <c r="C460" t="s">
        <v>828</v>
      </c>
      <c r="D460" t="s">
        <v>826</v>
      </c>
      <c r="E460">
        <v>-44842</v>
      </c>
      <c r="F460">
        <v>0</v>
      </c>
      <c r="H460"/>
      <c r="I460" s="381"/>
      <c r="J460" s="381"/>
      <c r="K460" s="381"/>
      <c r="L460" s="381">
        <v>0</v>
      </c>
      <c r="M460" s="381">
        <v>0</v>
      </c>
      <c r="N460" s="381">
        <v>0</v>
      </c>
      <c r="O460" s="381">
        <v>0</v>
      </c>
      <c r="P460" s="381">
        <v>0</v>
      </c>
      <c r="Q460" s="381">
        <v>0</v>
      </c>
      <c r="R460" s="381">
        <v>0</v>
      </c>
      <c r="S460" s="381">
        <v>0</v>
      </c>
      <c r="T460" s="381">
        <v>0</v>
      </c>
      <c r="U460" s="381">
        <v>0</v>
      </c>
      <c r="V460" s="381">
        <v>0</v>
      </c>
    </row>
    <row r="461" spans="2:22" hidden="1">
      <c r="B461" t="s">
        <v>829</v>
      </c>
      <c r="C461" t="s">
        <v>830</v>
      </c>
      <c r="D461" t="s">
        <v>826</v>
      </c>
      <c r="E461">
        <v>664963</v>
      </c>
      <c r="F461">
        <v>0</v>
      </c>
      <c r="H461"/>
      <c r="I461" s="381"/>
      <c r="J461" s="381"/>
      <c r="K461" s="381"/>
      <c r="L461" s="381">
        <v>0</v>
      </c>
      <c r="M461" s="381">
        <v>0</v>
      </c>
      <c r="N461" s="381">
        <v>0</v>
      </c>
      <c r="O461" s="381">
        <v>0</v>
      </c>
      <c r="P461" s="381">
        <v>0</v>
      </c>
      <c r="Q461" s="381">
        <v>0</v>
      </c>
      <c r="R461" s="381">
        <v>0</v>
      </c>
      <c r="S461" s="381">
        <v>0</v>
      </c>
      <c r="T461" s="381">
        <v>0</v>
      </c>
      <c r="U461" s="381">
        <v>0</v>
      </c>
      <c r="V461" s="381">
        <v>0</v>
      </c>
    </row>
    <row r="462" spans="2:22" hidden="1">
      <c r="B462" t="s">
        <v>831</v>
      </c>
      <c r="C462" t="s">
        <v>832</v>
      </c>
      <c r="D462" t="s">
        <v>826</v>
      </c>
      <c r="E462">
        <v>-664963</v>
      </c>
      <c r="F462">
        <v>0</v>
      </c>
      <c r="H462"/>
      <c r="I462"/>
      <c r="J462"/>
      <c r="K462"/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s="557">
        <v>0</v>
      </c>
    </row>
    <row r="463" spans="2:22" hidden="1">
      <c r="B463" t="s">
        <v>833</v>
      </c>
      <c r="C463" t="s">
        <v>834</v>
      </c>
      <c r="D463" t="s">
        <v>826</v>
      </c>
      <c r="E463">
        <v>663273</v>
      </c>
      <c r="F463">
        <v>0</v>
      </c>
      <c r="H463"/>
      <c r="I463" s="381"/>
      <c r="J463" s="381"/>
      <c r="K463" s="381"/>
      <c r="L463" s="381">
        <v>0</v>
      </c>
      <c r="M463" s="381">
        <v>0</v>
      </c>
      <c r="N463" s="381">
        <v>0</v>
      </c>
      <c r="O463" s="381">
        <v>0</v>
      </c>
      <c r="P463" s="381">
        <v>0</v>
      </c>
      <c r="Q463" s="381">
        <v>0</v>
      </c>
      <c r="R463" s="381">
        <v>0</v>
      </c>
      <c r="S463" s="381">
        <v>0</v>
      </c>
      <c r="T463" s="381">
        <v>0</v>
      </c>
      <c r="U463" s="381">
        <v>0</v>
      </c>
      <c r="V463" s="381">
        <v>0</v>
      </c>
    </row>
    <row r="464" spans="2:22" hidden="1">
      <c r="B464" t="s">
        <v>835</v>
      </c>
      <c r="C464" t="s">
        <v>836</v>
      </c>
      <c r="D464" t="s">
        <v>826</v>
      </c>
      <c r="E464">
        <v>-663273</v>
      </c>
      <c r="F464">
        <v>0</v>
      </c>
      <c r="H464"/>
      <c r="I464"/>
      <c r="J464"/>
      <c r="K464"/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s="557">
        <v>0</v>
      </c>
    </row>
    <row r="465" spans="2:22" hidden="1">
      <c r="B465" t="s">
        <v>837</v>
      </c>
      <c r="C465" t="s">
        <v>838</v>
      </c>
      <c r="D465" t="s">
        <v>605</v>
      </c>
      <c r="E465">
        <v>107212</v>
      </c>
      <c r="F465">
        <v>107212</v>
      </c>
      <c r="H465"/>
      <c r="I465" s="381"/>
      <c r="J465" s="381"/>
      <c r="K465" s="381"/>
      <c r="L465" s="381">
        <v>0</v>
      </c>
      <c r="M465" s="381">
        <v>0</v>
      </c>
      <c r="N465" s="381">
        <v>0</v>
      </c>
      <c r="O465" s="381">
        <v>0</v>
      </c>
      <c r="P465" s="381">
        <v>0</v>
      </c>
      <c r="Q465" s="381">
        <v>0</v>
      </c>
      <c r="R465" s="381">
        <v>0</v>
      </c>
      <c r="S465" s="381">
        <v>0</v>
      </c>
      <c r="T465" s="381">
        <v>0</v>
      </c>
      <c r="U465" s="381">
        <v>0</v>
      </c>
      <c r="V465" s="381">
        <v>-107212</v>
      </c>
    </row>
    <row r="466" spans="2:22">
      <c r="B466" t="s">
        <v>839</v>
      </c>
      <c r="C466" t="s">
        <v>840</v>
      </c>
      <c r="D466" t="s">
        <v>605</v>
      </c>
      <c r="E466">
        <v>1155056.04</v>
      </c>
      <c r="F466">
        <v>1155043.3</v>
      </c>
      <c r="H466"/>
      <c r="I466" s="381">
        <v>1155005.0900000001</v>
      </c>
      <c r="J466" s="381">
        <v>-962504.24</v>
      </c>
      <c r="K466" s="381">
        <v>96250.42</v>
      </c>
      <c r="L466" s="381">
        <v>0</v>
      </c>
      <c r="M466" s="381">
        <v>192500.84</v>
      </c>
      <c r="N466" s="381">
        <v>96250.42</v>
      </c>
      <c r="O466" s="381">
        <v>0</v>
      </c>
      <c r="P466" s="381">
        <v>192509.34</v>
      </c>
      <c r="Q466" s="381">
        <v>96254.67</v>
      </c>
      <c r="R466" s="381">
        <v>0</v>
      </c>
      <c r="S466" s="381">
        <v>192509.34</v>
      </c>
      <c r="T466" s="381">
        <v>96254.67</v>
      </c>
      <c r="U466" s="381">
        <v>1155030.55</v>
      </c>
      <c r="V466" s="381">
        <v>-12.75</v>
      </c>
    </row>
    <row r="467" spans="2:22">
      <c r="B467" t="s">
        <v>841</v>
      </c>
      <c r="C467" t="s">
        <v>842</v>
      </c>
      <c r="D467" t="s">
        <v>843</v>
      </c>
      <c r="E467">
        <v>3290595.8399999994</v>
      </c>
      <c r="F467">
        <v>3254950.82</v>
      </c>
      <c r="H467"/>
      <c r="I467" s="381">
        <v>3254947.27</v>
      </c>
      <c r="J467" s="381">
        <v>-2712456.06</v>
      </c>
      <c r="K467" s="381">
        <v>271245.61</v>
      </c>
      <c r="L467" s="381">
        <v>0</v>
      </c>
      <c r="M467" s="381">
        <v>0</v>
      </c>
      <c r="N467" s="381">
        <v>0</v>
      </c>
      <c r="O467" s="381">
        <v>0</v>
      </c>
      <c r="P467" s="381">
        <v>542492</v>
      </c>
      <c r="Q467" s="381">
        <v>271246</v>
      </c>
      <c r="R467" s="381">
        <v>0</v>
      </c>
      <c r="S467" s="381">
        <v>542492</v>
      </c>
      <c r="T467" s="381">
        <v>271246</v>
      </c>
      <c r="U467" s="381">
        <v>2441212.8199999998</v>
      </c>
      <c r="V467" s="381">
        <v>-813738</v>
      </c>
    </row>
    <row r="468" spans="2:22" hidden="1">
      <c r="B468" t="s">
        <v>844</v>
      </c>
      <c r="C468" t="s">
        <v>607</v>
      </c>
      <c r="D468" t="s">
        <v>608</v>
      </c>
      <c r="E468">
        <v>11125</v>
      </c>
      <c r="F468">
        <v>0</v>
      </c>
      <c r="H468"/>
      <c r="I468" s="381"/>
      <c r="J468" s="381"/>
      <c r="K468" s="381"/>
      <c r="L468" s="381">
        <v>0</v>
      </c>
      <c r="M468" s="381">
        <v>0</v>
      </c>
      <c r="N468" s="381">
        <v>0</v>
      </c>
      <c r="O468" s="381">
        <v>0</v>
      </c>
      <c r="P468" s="381">
        <v>0</v>
      </c>
      <c r="Q468" s="381">
        <v>0</v>
      </c>
      <c r="R468" s="381">
        <v>0</v>
      </c>
      <c r="S468" s="381">
        <v>0</v>
      </c>
      <c r="T468" s="381">
        <v>0</v>
      </c>
      <c r="U468" s="381">
        <v>0</v>
      </c>
      <c r="V468" s="381">
        <v>0</v>
      </c>
    </row>
    <row r="469" spans="2:22" hidden="1">
      <c r="B469" t="s">
        <v>845</v>
      </c>
      <c r="C469" t="s">
        <v>846</v>
      </c>
      <c r="D469" t="s">
        <v>608</v>
      </c>
      <c r="E469">
        <v>-11125</v>
      </c>
      <c r="F469">
        <v>0</v>
      </c>
      <c r="H469"/>
      <c r="I469" s="381"/>
      <c r="J469" s="381"/>
      <c r="K469" s="381"/>
      <c r="L469" s="381">
        <v>0</v>
      </c>
      <c r="M469" s="381">
        <v>0</v>
      </c>
      <c r="N469" s="381">
        <v>0</v>
      </c>
      <c r="O469" s="381">
        <v>0</v>
      </c>
      <c r="P469" s="381">
        <v>0</v>
      </c>
      <c r="Q469" s="381">
        <v>0</v>
      </c>
      <c r="R469" s="381">
        <v>0</v>
      </c>
      <c r="S469" s="381">
        <v>0</v>
      </c>
      <c r="T469" s="381">
        <v>0</v>
      </c>
      <c r="U469" s="381">
        <v>0</v>
      </c>
      <c r="V469" s="381">
        <v>0</v>
      </c>
    </row>
    <row r="470" spans="2:22">
      <c r="B470" t="s">
        <v>847</v>
      </c>
      <c r="C470" t="s">
        <v>848</v>
      </c>
      <c r="D470" t="s">
        <v>849</v>
      </c>
      <c r="E470">
        <v>307237.74</v>
      </c>
      <c r="F470">
        <v>331713.26</v>
      </c>
      <c r="H470"/>
      <c r="I470" s="381">
        <v>67277.88</v>
      </c>
      <c r="J470" s="381">
        <v>13527.14</v>
      </c>
      <c r="K470" s="381">
        <v>16908.240000000002</v>
      </c>
      <c r="L470" s="381">
        <v>36231.229999999996</v>
      </c>
      <c r="M470" s="381">
        <v>37708.980000000003</v>
      </c>
      <c r="N470" s="381">
        <v>0</v>
      </c>
      <c r="O470" s="381">
        <v>47249</v>
      </c>
      <c r="P470" s="381"/>
      <c r="Q470" s="381"/>
      <c r="R470" s="381">
        <v>47249</v>
      </c>
      <c r="S470" s="381">
        <v>0</v>
      </c>
      <c r="T470" s="381">
        <v>47249</v>
      </c>
      <c r="U470" s="381">
        <v>313400.46999999997</v>
      </c>
      <c r="V470" s="381">
        <v>-18312.790000000037</v>
      </c>
    </row>
    <row r="471" spans="2:22">
      <c r="B471" t="s">
        <v>850</v>
      </c>
      <c r="C471" t="s">
        <v>851</v>
      </c>
      <c r="D471" t="s">
        <v>64</v>
      </c>
      <c r="E471">
        <v>1527544</v>
      </c>
      <c r="F471">
        <v>1513628.4099999997</v>
      </c>
      <c r="H471"/>
      <c r="I471" s="381">
        <v>127295.39</v>
      </c>
      <c r="J471" s="381">
        <v>113379.22</v>
      </c>
      <c r="K471" s="381">
        <v>127295.38</v>
      </c>
      <c r="L471" s="381">
        <v>0</v>
      </c>
      <c r="M471" s="381">
        <v>254590.76</v>
      </c>
      <c r="N471" s="381">
        <v>127295.38</v>
      </c>
      <c r="O471" s="381">
        <v>127295.38</v>
      </c>
      <c r="P471" s="381">
        <v>127295.38</v>
      </c>
      <c r="Q471" s="381">
        <v>127295.38</v>
      </c>
      <c r="R471" s="381">
        <v>127295.38</v>
      </c>
      <c r="S471" s="381">
        <v>127295.38</v>
      </c>
      <c r="T471" s="381">
        <v>127295.38</v>
      </c>
      <c r="U471" s="381">
        <v>1513628.4099999997</v>
      </c>
      <c r="V471" s="381">
        <v>0</v>
      </c>
    </row>
    <row r="472" spans="2:22">
      <c r="B472" t="s">
        <v>852</v>
      </c>
      <c r="C472" t="s">
        <v>486</v>
      </c>
      <c r="D472" t="s">
        <v>487</v>
      </c>
      <c r="E472">
        <v>-937488</v>
      </c>
      <c r="F472">
        <v>-925916</v>
      </c>
      <c r="H472"/>
      <c r="I472" s="381"/>
      <c r="J472" s="381">
        <v>-158800</v>
      </c>
      <c r="K472" s="381">
        <v>-64000</v>
      </c>
      <c r="L472" s="381">
        <v>0</v>
      </c>
      <c r="M472" s="381">
        <v>-128741.87</v>
      </c>
      <c r="N472" s="381">
        <v>-52011.25</v>
      </c>
      <c r="O472" s="381">
        <v>-78124</v>
      </c>
      <c r="P472" s="381">
        <v>-78124</v>
      </c>
      <c r="Q472" s="381">
        <v>-78124</v>
      </c>
      <c r="R472" s="381">
        <v>-78124</v>
      </c>
      <c r="S472" s="381">
        <v>-78124</v>
      </c>
      <c r="T472" s="381">
        <v>-78124</v>
      </c>
      <c r="U472" s="381">
        <v>-872297.12</v>
      </c>
      <c r="V472" s="381">
        <v>53618.880000000005</v>
      </c>
    </row>
    <row r="473" spans="2:22" hidden="1">
      <c r="B473" t="s">
        <v>853</v>
      </c>
      <c r="C473" t="s">
        <v>854</v>
      </c>
      <c r="D473" t="s">
        <v>368</v>
      </c>
      <c r="E473">
        <v>40902.519999999997</v>
      </c>
      <c r="F473">
        <v>0</v>
      </c>
      <c r="H473"/>
      <c r="I473"/>
      <c r="J473"/>
      <c r="K473"/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s="557">
        <v>0</v>
      </c>
    </row>
    <row r="474" spans="2:22" hidden="1">
      <c r="B474" t="s">
        <v>855</v>
      </c>
      <c r="C474" t="s">
        <v>856</v>
      </c>
      <c r="D474" t="s">
        <v>368</v>
      </c>
      <c r="E474">
        <v>-40902.519999999997</v>
      </c>
      <c r="F474">
        <v>0</v>
      </c>
      <c r="H474"/>
      <c r="I474" s="381"/>
      <c r="J474" s="381"/>
      <c r="K474" s="381"/>
      <c r="L474" s="381">
        <v>0</v>
      </c>
      <c r="M474" s="381">
        <v>0</v>
      </c>
      <c r="N474" s="381">
        <v>0</v>
      </c>
      <c r="O474" s="381">
        <v>0</v>
      </c>
      <c r="P474" s="381">
        <v>0</v>
      </c>
      <c r="Q474" s="381">
        <v>0</v>
      </c>
      <c r="R474" s="381">
        <v>0</v>
      </c>
      <c r="S474" s="381">
        <v>0</v>
      </c>
      <c r="T474" s="381">
        <v>0</v>
      </c>
      <c r="U474" s="381">
        <v>0</v>
      </c>
      <c r="V474" s="381">
        <v>0</v>
      </c>
    </row>
    <row r="475" spans="2:22" hidden="1">
      <c r="B475" t="s">
        <v>857</v>
      </c>
      <c r="C475" t="s">
        <v>858</v>
      </c>
      <c r="D475" t="s">
        <v>368</v>
      </c>
      <c r="E475">
        <v>26386.85</v>
      </c>
      <c r="F475">
        <v>0</v>
      </c>
      <c r="H475"/>
      <c r="I475"/>
      <c r="J475"/>
      <c r="K475"/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557">
        <v>0</v>
      </c>
    </row>
    <row r="476" spans="2:22" hidden="1">
      <c r="B476" t="s">
        <v>859</v>
      </c>
      <c r="C476" t="s">
        <v>860</v>
      </c>
      <c r="D476" t="s">
        <v>368</v>
      </c>
      <c r="E476">
        <v>-26386.85</v>
      </c>
      <c r="F476">
        <v>0</v>
      </c>
      <c r="H476"/>
      <c r="I476" s="381"/>
      <c r="J476" s="381"/>
      <c r="K476" s="381"/>
      <c r="L476" s="381">
        <v>0</v>
      </c>
      <c r="M476" s="381">
        <v>0</v>
      </c>
      <c r="N476" s="381">
        <v>0</v>
      </c>
      <c r="O476" s="381">
        <v>0</v>
      </c>
      <c r="P476" s="381">
        <v>0</v>
      </c>
      <c r="Q476" s="381">
        <v>0</v>
      </c>
      <c r="R476" s="381">
        <v>0</v>
      </c>
      <c r="S476" s="381">
        <v>0</v>
      </c>
      <c r="T476" s="381">
        <v>0</v>
      </c>
      <c r="U476" s="381">
        <v>0</v>
      </c>
      <c r="V476" s="381">
        <v>0</v>
      </c>
    </row>
    <row r="477" spans="2:22" hidden="1">
      <c r="B477" t="s">
        <v>861</v>
      </c>
      <c r="C477" t="s">
        <v>862</v>
      </c>
      <c r="D477" t="s">
        <v>863</v>
      </c>
      <c r="E477">
        <v>21386.720000000001</v>
      </c>
      <c r="F477">
        <v>0</v>
      </c>
      <c r="H477"/>
      <c r="I477" s="381"/>
      <c r="J477" s="381"/>
      <c r="K477" s="381"/>
      <c r="L477" s="381">
        <v>0</v>
      </c>
      <c r="M477" s="381">
        <v>0</v>
      </c>
      <c r="N477" s="381">
        <v>0</v>
      </c>
      <c r="O477" s="381">
        <v>0</v>
      </c>
      <c r="P477" s="381">
        <v>0</v>
      </c>
      <c r="Q477" s="381">
        <v>0</v>
      </c>
      <c r="R477" s="381">
        <v>0</v>
      </c>
      <c r="S477" s="381">
        <v>0</v>
      </c>
      <c r="T477" s="381">
        <v>0</v>
      </c>
      <c r="U477" s="381">
        <v>0</v>
      </c>
      <c r="V477" s="381">
        <v>0</v>
      </c>
    </row>
    <row r="478" spans="2:22" hidden="1">
      <c r="B478" t="s">
        <v>864</v>
      </c>
      <c r="C478" t="s">
        <v>865</v>
      </c>
      <c r="D478" t="s">
        <v>863</v>
      </c>
      <c r="E478">
        <v>-21386.720000000001</v>
      </c>
      <c r="F478">
        <v>0</v>
      </c>
      <c r="H478"/>
      <c r="I478"/>
      <c r="J478"/>
      <c r="K478"/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s="557">
        <v>0</v>
      </c>
    </row>
    <row r="479" spans="2:22">
      <c r="B479" t="s">
        <v>866</v>
      </c>
      <c r="C479" t="s">
        <v>867</v>
      </c>
      <c r="D479" t="s">
        <v>64</v>
      </c>
      <c r="E479">
        <v>207900</v>
      </c>
      <c r="F479">
        <v>196875</v>
      </c>
      <c r="H479"/>
      <c r="I479">
        <v>15750</v>
      </c>
      <c r="J479">
        <v>15750</v>
      </c>
      <c r="K479">
        <v>15750</v>
      </c>
      <c r="L479">
        <v>15750</v>
      </c>
      <c r="M479">
        <v>15750</v>
      </c>
      <c r="N479">
        <v>15750</v>
      </c>
      <c r="O479">
        <v>15750</v>
      </c>
      <c r="P479">
        <v>17325</v>
      </c>
      <c r="Q479">
        <v>17325</v>
      </c>
      <c r="R479">
        <v>17325</v>
      </c>
      <c r="S479">
        <v>17325</v>
      </c>
      <c r="T479">
        <v>17325</v>
      </c>
      <c r="U479">
        <v>196875</v>
      </c>
      <c r="V479" s="557">
        <v>0</v>
      </c>
    </row>
    <row r="480" spans="2:22">
      <c r="B480" t="s">
        <v>868</v>
      </c>
      <c r="C480" t="s">
        <v>869</v>
      </c>
      <c r="D480" t="s">
        <v>152</v>
      </c>
      <c r="E480">
        <v>37661</v>
      </c>
      <c r="F480">
        <v>37661</v>
      </c>
      <c r="H480"/>
      <c r="I480" s="381"/>
      <c r="J480" s="381"/>
      <c r="K480" s="381"/>
      <c r="L480" s="381">
        <v>0</v>
      </c>
      <c r="M480" s="381">
        <v>0</v>
      </c>
      <c r="N480" s="381">
        <v>0</v>
      </c>
      <c r="O480" s="381"/>
      <c r="P480" s="381"/>
      <c r="Q480" s="381"/>
      <c r="R480" s="381">
        <v>37661</v>
      </c>
      <c r="S480" s="381">
        <v>0</v>
      </c>
      <c r="T480" s="381">
        <v>0</v>
      </c>
      <c r="U480" s="381">
        <v>37661</v>
      </c>
      <c r="V480" s="381">
        <v>0</v>
      </c>
    </row>
    <row r="481" spans="2:22">
      <c r="B481" t="s">
        <v>870</v>
      </c>
      <c r="C481" t="s">
        <v>871</v>
      </c>
      <c r="D481" t="s">
        <v>25</v>
      </c>
      <c r="E481">
        <v>24500</v>
      </c>
      <c r="F481">
        <v>24500</v>
      </c>
      <c r="H481"/>
      <c r="I481" s="381"/>
      <c r="J481" s="381"/>
      <c r="K481" s="381"/>
      <c r="L481" s="381">
        <v>0</v>
      </c>
      <c r="M481" s="381">
        <v>0</v>
      </c>
      <c r="N481" s="381">
        <v>0</v>
      </c>
      <c r="O481" s="381"/>
      <c r="P481" s="381"/>
      <c r="Q481" s="381">
        <v>24500</v>
      </c>
      <c r="R481" s="381">
        <v>0</v>
      </c>
      <c r="S481" s="381">
        <v>0</v>
      </c>
      <c r="T481" s="381">
        <v>0</v>
      </c>
      <c r="U481" s="381">
        <v>24500</v>
      </c>
      <c r="V481" s="381">
        <v>0</v>
      </c>
    </row>
    <row r="482" spans="2:22">
      <c r="B482" t="s">
        <v>872</v>
      </c>
      <c r="C482" t="s">
        <v>873</v>
      </c>
      <c r="D482" t="s">
        <v>874</v>
      </c>
      <c r="E482">
        <v>14353.4</v>
      </c>
      <c r="F482">
        <v>0</v>
      </c>
      <c r="H482"/>
      <c r="I482" s="381">
        <v>0.28000000000000003</v>
      </c>
      <c r="J482" s="381">
        <v>-0.28000000000000003</v>
      </c>
      <c r="K482" s="381"/>
      <c r="L482" s="381">
        <v>-11391.72</v>
      </c>
      <c r="M482" s="381">
        <v>0</v>
      </c>
      <c r="N482" s="381">
        <v>0</v>
      </c>
      <c r="O482" s="381"/>
      <c r="P482" s="381"/>
      <c r="Q482" s="381"/>
      <c r="R482" s="381"/>
      <c r="S482" s="381"/>
      <c r="T482" s="381"/>
      <c r="U482" s="381">
        <v>-11391.72</v>
      </c>
      <c r="V482" s="381">
        <v>-11391.72</v>
      </c>
    </row>
    <row r="483" spans="2:22" hidden="1">
      <c r="B483" t="s">
        <v>875</v>
      </c>
      <c r="C483" t="s">
        <v>876</v>
      </c>
      <c r="D483" t="s">
        <v>874</v>
      </c>
      <c r="E483">
        <v>-14353.4</v>
      </c>
      <c r="F483">
        <v>0</v>
      </c>
      <c r="H483"/>
      <c r="I483" s="381"/>
      <c r="J483" s="381"/>
      <c r="K483" s="381"/>
      <c r="L483" s="381">
        <v>0</v>
      </c>
      <c r="M483" s="381">
        <v>0</v>
      </c>
      <c r="N483" s="381">
        <v>0</v>
      </c>
      <c r="O483" s="381">
        <v>0</v>
      </c>
      <c r="P483" s="381">
        <v>0</v>
      </c>
      <c r="Q483" s="381">
        <v>0</v>
      </c>
      <c r="R483" s="381">
        <v>0</v>
      </c>
      <c r="S483" s="381">
        <v>0</v>
      </c>
      <c r="T483" s="381">
        <v>0</v>
      </c>
      <c r="U483" s="381">
        <v>0</v>
      </c>
      <c r="V483" s="381">
        <v>0</v>
      </c>
    </row>
    <row r="484" spans="2:22">
      <c r="B484" t="s">
        <v>877</v>
      </c>
      <c r="C484" t="s">
        <v>878</v>
      </c>
      <c r="D484" t="s">
        <v>849</v>
      </c>
      <c r="E484">
        <v>4000</v>
      </c>
      <c r="F484">
        <v>4000</v>
      </c>
      <c r="H484"/>
      <c r="I484">
        <v>0.1</v>
      </c>
      <c r="J484">
        <v>-0.1</v>
      </c>
      <c r="K484"/>
      <c r="L484">
        <v>0</v>
      </c>
      <c r="M484">
        <v>0</v>
      </c>
      <c r="N484">
        <v>0</v>
      </c>
      <c r="O484">
        <v>4000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4000</v>
      </c>
      <c r="V484" s="557">
        <v>0</v>
      </c>
    </row>
    <row r="485" spans="2:22">
      <c r="B485" t="s">
        <v>879</v>
      </c>
      <c r="C485" t="s">
        <v>880</v>
      </c>
      <c r="D485" t="s">
        <v>64</v>
      </c>
      <c r="E485">
        <v>144819</v>
      </c>
      <c r="F485">
        <v>144819</v>
      </c>
      <c r="H485"/>
      <c r="I485" s="381"/>
      <c r="J485" s="381"/>
      <c r="K485" s="381"/>
      <c r="L485" s="381">
        <v>0</v>
      </c>
      <c r="M485" s="381">
        <v>0</v>
      </c>
      <c r="N485" s="381">
        <v>159302.39999999999</v>
      </c>
      <c r="O485" s="381">
        <v>0</v>
      </c>
      <c r="P485" s="381">
        <v>0</v>
      </c>
      <c r="Q485" s="381">
        <v>0</v>
      </c>
      <c r="R485" s="381">
        <v>0</v>
      </c>
      <c r="S485" s="381">
        <v>0</v>
      </c>
      <c r="T485" s="381">
        <v>0</v>
      </c>
      <c r="U485" s="381">
        <v>159302.39999999999</v>
      </c>
      <c r="V485" s="381">
        <v>14483.399999999994</v>
      </c>
    </row>
    <row r="486" spans="2:22" hidden="1">
      <c r="B486" t="s">
        <v>881</v>
      </c>
      <c r="C486" t="s">
        <v>882</v>
      </c>
      <c r="D486" t="s">
        <v>883</v>
      </c>
      <c r="E486">
        <v>64566</v>
      </c>
      <c r="F486">
        <v>0</v>
      </c>
      <c r="H486"/>
      <c r="I486"/>
      <c r="J486"/>
      <c r="K486"/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s="557">
        <v>0</v>
      </c>
    </row>
    <row r="487" spans="2:22" hidden="1">
      <c r="B487" t="s">
        <v>884</v>
      </c>
      <c r="C487" t="s">
        <v>885</v>
      </c>
      <c r="D487" t="s">
        <v>883</v>
      </c>
      <c r="E487">
        <v>-64566</v>
      </c>
      <c r="F487">
        <v>0</v>
      </c>
      <c r="H487"/>
      <c r="I487"/>
      <c r="J487"/>
      <c r="K487"/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s="557">
        <v>0</v>
      </c>
    </row>
    <row r="488" spans="2:22">
      <c r="B488" t="s">
        <v>886</v>
      </c>
      <c r="C488" t="s">
        <v>887</v>
      </c>
      <c r="D488" t="s">
        <v>64</v>
      </c>
      <c r="E488">
        <v>0</v>
      </c>
      <c r="F488">
        <v>5298.95</v>
      </c>
      <c r="H488"/>
      <c r="I488" s="381"/>
      <c r="J488" s="381"/>
      <c r="K488" s="381">
        <v>5298.95</v>
      </c>
      <c r="L488" s="381">
        <v>0</v>
      </c>
      <c r="M488" s="381">
        <v>0</v>
      </c>
      <c r="N488" s="381">
        <v>0</v>
      </c>
      <c r="O488" s="381">
        <v>0</v>
      </c>
      <c r="P488" s="381">
        <v>0</v>
      </c>
      <c r="Q488" s="381">
        <v>0</v>
      </c>
      <c r="R488" s="381">
        <v>0</v>
      </c>
      <c r="S488" s="381">
        <v>0</v>
      </c>
      <c r="T488" s="381">
        <v>0</v>
      </c>
      <c r="U488" s="381">
        <v>5298.95</v>
      </c>
      <c r="V488" s="381">
        <v>0</v>
      </c>
    </row>
    <row r="489" spans="2:22" hidden="1">
      <c r="B489" t="s">
        <v>888</v>
      </c>
      <c r="C489" t="s">
        <v>889</v>
      </c>
      <c r="D489" t="s">
        <v>25</v>
      </c>
      <c r="E489">
        <v>1190.6600000000001</v>
      </c>
      <c r="F489">
        <v>1190.6600000000001</v>
      </c>
      <c r="H489"/>
      <c r="I489" s="381"/>
      <c r="J489" s="381"/>
      <c r="K489" s="381"/>
      <c r="L489" s="381">
        <v>0</v>
      </c>
      <c r="M489" s="381">
        <v>0</v>
      </c>
      <c r="N489" s="381">
        <v>0</v>
      </c>
      <c r="O489" s="381">
        <v>0</v>
      </c>
      <c r="P489" s="381">
        <v>0</v>
      </c>
      <c r="Q489" s="381">
        <v>0</v>
      </c>
      <c r="R489" s="381">
        <v>0</v>
      </c>
      <c r="S489" s="381">
        <v>0</v>
      </c>
      <c r="T489" s="381">
        <v>0</v>
      </c>
      <c r="U489" s="381">
        <v>0</v>
      </c>
      <c r="V489" s="381">
        <v>-1190.6600000000001</v>
      </c>
    </row>
    <row r="490" spans="2:22">
      <c r="B490" t="s">
        <v>890</v>
      </c>
      <c r="C490" t="s">
        <v>489</v>
      </c>
      <c r="D490" t="s">
        <v>490</v>
      </c>
      <c r="E490">
        <v>23000</v>
      </c>
      <c r="F490">
        <v>21098.22</v>
      </c>
      <c r="H490"/>
      <c r="I490"/>
      <c r="J490"/>
      <c r="K490">
        <v>21098.22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21098.22</v>
      </c>
      <c r="V490" s="557">
        <v>0</v>
      </c>
    </row>
    <row r="491" spans="2:22">
      <c r="B491" t="s">
        <v>891</v>
      </c>
      <c r="C491" t="s">
        <v>892</v>
      </c>
      <c r="D491" t="s">
        <v>490</v>
      </c>
      <c r="E491">
        <v>35569</v>
      </c>
      <c r="F491">
        <v>35569</v>
      </c>
      <c r="H491"/>
      <c r="I491"/>
      <c r="J491"/>
      <c r="K491"/>
      <c r="L491">
        <v>0</v>
      </c>
      <c r="M491">
        <v>0</v>
      </c>
      <c r="N491">
        <v>0</v>
      </c>
      <c r="O491"/>
      <c r="P491">
        <v>35569</v>
      </c>
      <c r="Q491">
        <v>0</v>
      </c>
      <c r="R491">
        <v>0</v>
      </c>
      <c r="S491">
        <v>0</v>
      </c>
      <c r="T491">
        <v>0</v>
      </c>
      <c r="U491">
        <v>35569</v>
      </c>
      <c r="V491" s="557">
        <v>0</v>
      </c>
    </row>
    <row r="492" spans="2:22">
      <c r="B492" t="s">
        <v>893</v>
      </c>
      <c r="C492" t="s">
        <v>894</v>
      </c>
      <c r="D492" t="s">
        <v>25</v>
      </c>
      <c r="E492">
        <v>30000</v>
      </c>
      <c r="F492">
        <v>30000</v>
      </c>
      <c r="H492"/>
      <c r="I492" s="381"/>
      <c r="J492" s="381"/>
      <c r="K492" s="381"/>
      <c r="L492" s="381">
        <v>0</v>
      </c>
      <c r="M492" s="381">
        <v>0</v>
      </c>
      <c r="N492" s="381">
        <v>0</v>
      </c>
      <c r="O492" s="381"/>
      <c r="P492" s="381">
        <v>30000</v>
      </c>
      <c r="Q492" s="381">
        <v>0</v>
      </c>
      <c r="R492" s="381">
        <v>0</v>
      </c>
      <c r="S492" s="381">
        <v>0</v>
      </c>
      <c r="T492" s="381">
        <v>0</v>
      </c>
      <c r="U492" s="381">
        <v>30000</v>
      </c>
      <c r="V492" s="381">
        <v>0</v>
      </c>
    </row>
    <row r="493" spans="2:22" hidden="1">
      <c r="B493" t="s">
        <v>895</v>
      </c>
      <c r="C493" t="s">
        <v>896</v>
      </c>
      <c r="D493" t="s">
        <v>863</v>
      </c>
      <c r="E493">
        <v>169614.9</v>
      </c>
      <c r="F493">
        <v>0</v>
      </c>
      <c r="H493"/>
      <c r="I493" s="381"/>
      <c r="J493" s="381"/>
      <c r="K493" s="381"/>
      <c r="L493" s="381">
        <v>0</v>
      </c>
      <c r="M493" s="381">
        <v>0</v>
      </c>
      <c r="N493" s="381">
        <v>0</v>
      </c>
      <c r="O493" s="381">
        <v>0</v>
      </c>
      <c r="P493" s="381">
        <v>0</v>
      </c>
      <c r="Q493" s="381">
        <v>0</v>
      </c>
      <c r="R493" s="381">
        <v>0</v>
      </c>
      <c r="S493" s="381">
        <v>0</v>
      </c>
      <c r="T493" s="381">
        <v>0</v>
      </c>
      <c r="U493" s="381">
        <v>0</v>
      </c>
      <c r="V493" s="381">
        <v>0</v>
      </c>
    </row>
    <row r="494" spans="2:22" hidden="1">
      <c r="B494" t="s">
        <v>897</v>
      </c>
      <c r="C494" t="s">
        <v>898</v>
      </c>
      <c r="D494" t="s">
        <v>863</v>
      </c>
      <c r="E494">
        <v>-169614.9</v>
      </c>
      <c r="F494">
        <v>0</v>
      </c>
      <c r="H494"/>
      <c r="I494"/>
      <c r="J494"/>
      <c r="K494"/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s="557">
        <v>0</v>
      </c>
    </row>
    <row r="495" spans="2:22">
      <c r="B495" t="s">
        <v>899</v>
      </c>
      <c r="C495" t="s">
        <v>147</v>
      </c>
      <c r="D495" t="s">
        <v>25</v>
      </c>
      <c r="E495">
        <v>0</v>
      </c>
      <c r="F495">
        <v>-1868.2899999999997</v>
      </c>
      <c r="H495"/>
      <c r="I495" s="381">
        <v>1.9999999999999962E-2</v>
      </c>
      <c r="J495" s="381">
        <v>-0.53</v>
      </c>
      <c r="K495" s="381">
        <v>-1867.7799999999997</v>
      </c>
      <c r="L495" s="381">
        <v>-1.4099999999999182</v>
      </c>
      <c r="M495" s="381">
        <v>30695.940000000002</v>
      </c>
      <c r="N495" s="381">
        <v>11.670000000000002</v>
      </c>
      <c r="O495" s="381">
        <v>0</v>
      </c>
      <c r="P495" s="381">
        <v>0</v>
      </c>
      <c r="Q495" s="381">
        <v>0</v>
      </c>
      <c r="R495" s="381">
        <v>0</v>
      </c>
      <c r="S495" s="381">
        <v>0</v>
      </c>
      <c r="T495" s="381">
        <v>0</v>
      </c>
      <c r="U495" s="381">
        <v>28837.91</v>
      </c>
      <c r="V495" s="381">
        <v>30706.200000000004</v>
      </c>
    </row>
    <row r="496" spans="2:22">
      <c r="B496" t="s">
        <v>900</v>
      </c>
      <c r="C496" t="s">
        <v>54</v>
      </c>
      <c r="D496" t="s">
        <v>54</v>
      </c>
      <c r="F496">
        <v>143000</v>
      </c>
      <c r="H496"/>
      <c r="I496" s="381"/>
      <c r="J496" s="381"/>
      <c r="K496" s="381"/>
      <c r="L496" s="381">
        <v>0</v>
      </c>
      <c r="M496" s="381">
        <v>0</v>
      </c>
      <c r="N496" s="381">
        <v>0</v>
      </c>
      <c r="O496" s="381"/>
      <c r="P496" s="381"/>
      <c r="Q496" s="381"/>
      <c r="R496" s="381">
        <v>143000</v>
      </c>
      <c r="S496" s="381"/>
      <c r="T496" s="381"/>
      <c r="U496" s="381">
        <v>143000</v>
      </c>
      <c r="V496" s="381">
        <v>0</v>
      </c>
    </row>
    <row r="497" spans="2:22">
      <c r="B497" t="s">
        <v>901</v>
      </c>
      <c r="C497" t="s">
        <v>51</v>
      </c>
      <c r="D497" t="s">
        <v>25</v>
      </c>
      <c r="E497">
        <v>0</v>
      </c>
      <c r="F497">
        <v>2288.52</v>
      </c>
      <c r="H497"/>
      <c r="I497" s="381"/>
      <c r="J497" s="381">
        <v>2188.1999999999998</v>
      </c>
      <c r="K497" s="381">
        <v>100.32</v>
      </c>
      <c r="L497" s="381">
        <v>0</v>
      </c>
      <c r="M497" s="381">
        <v>0</v>
      </c>
      <c r="N497" s="381">
        <v>0</v>
      </c>
      <c r="O497" s="381">
        <v>0</v>
      </c>
      <c r="P497" s="381">
        <v>0</v>
      </c>
      <c r="Q497" s="381">
        <v>0</v>
      </c>
      <c r="R497" s="381">
        <v>0</v>
      </c>
      <c r="S497" s="381">
        <v>0</v>
      </c>
      <c r="T497" s="381">
        <v>0</v>
      </c>
      <c r="U497" s="381">
        <v>2288.52</v>
      </c>
      <c r="V497" s="381">
        <v>0</v>
      </c>
    </row>
    <row r="498" spans="2:22">
      <c r="B498" t="s">
        <v>902</v>
      </c>
      <c r="C498" t="s">
        <v>53</v>
      </c>
      <c r="D498" t="s">
        <v>54</v>
      </c>
      <c r="H498"/>
      <c r="I498" s="381"/>
      <c r="J498" s="381"/>
      <c r="K498" s="381"/>
      <c r="L498" s="381">
        <v>90</v>
      </c>
      <c r="M498" s="381">
        <v>0</v>
      </c>
      <c r="N498" s="381">
        <v>0</v>
      </c>
      <c r="O498" s="381"/>
      <c r="P498" s="381"/>
      <c r="Q498" s="381"/>
      <c r="R498" s="381"/>
      <c r="S498" s="381"/>
      <c r="T498" s="381"/>
      <c r="U498" s="381">
        <v>90</v>
      </c>
      <c r="V498" s="381">
        <v>90</v>
      </c>
    </row>
    <row r="499" spans="2:22">
      <c r="B499" t="s">
        <v>903</v>
      </c>
      <c r="C499" t="s">
        <v>56</v>
      </c>
      <c r="D499" t="s">
        <v>57</v>
      </c>
      <c r="E499">
        <v>4200</v>
      </c>
      <c r="F499">
        <v>3888.09</v>
      </c>
      <c r="H499"/>
      <c r="I499" s="381">
        <v>251.53</v>
      </c>
      <c r="J499" s="381">
        <v>246.74</v>
      </c>
      <c r="K499" s="381">
        <v>239.82</v>
      </c>
      <c r="L499" s="381">
        <v>236.11</v>
      </c>
      <c r="M499" s="381">
        <v>0</v>
      </c>
      <c r="N499" s="381">
        <v>0</v>
      </c>
      <c r="O499" s="381">
        <v>350</v>
      </c>
      <c r="P499" s="381">
        <v>350</v>
      </c>
      <c r="Q499" s="381">
        <v>350</v>
      </c>
      <c r="R499" s="381">
        <v>350</v>
      </c>
      <c r="S499" s="381">
        <v>350</v>
      </c>
      <c r="T499" s="381">
        <v>350</v>
      </c>
      <c r="U499" s="381">
        <v>3074.2</v>
      </c>
      <c r="V499" s="381">
        <v>-813.89000000000033</v>
      </c>
    </row>
    <row r="500" spans="2:22">
      <c r="B500" t="s">
        <v>904</v>
      </c>
      <c r="C500" t="s">
        <v>495</v>
      </c>
      <c r="D500" t="s">
        <v>57</v>
      </c>
      <c r="E500">
        <v>3348</v>
      </c>
      <c r="F500">
        <v>3659.38</v>
      </c>
      <c r="H500"/>
      <c r="I500" s="381">
        <v>279.45999999999998</v>
      </c>
      <c r="J500" s="381">
        <v>279.45999999999998</v>
      </c>
      <c r="K500" s="381">
        <v>589.46</v>
      </c>
      <c r="L500" s="381">
        <v>279.45999999999998</v>
      </c>
      <c r="M500" s="381">
        <v>279.45999999999998</v>
      </c>
      <c r="N500" s="381">
        <v>279.45999999999998</v>
      </c>
      <c r="O500" s="381">
        <v>279</v>
      </c>
      <c r="P500" s="381">
        <v>279</v>
      </c>
      <c r="Q500" s="381">
        <v>279</v>
      </c>
      <c r="R500" s="381">
        <v>279</v>
      </c>
      <c r="S500" s="381">
        <v>279</v>
      </c>
      <c r="T500" s="381">
        <v>279</v>
      </c>
      <c r="U500" s="381">
        <v>3660.76</v>
      </c>
      <c r="V500" s="381">
        <v>1.3800000000001091</v>
      </c>
    </row>
    <row r="501" spans="2:22">
      <c r="B501" t="s">
        <v>905</v>
      </c>
      <c r="C501" t="s">
        <v>190</v>
      </c>
      <c r="D501" t="s">
        <v>25</v>
      </c>
      <c r="E501">
        <v>0</v>
      </c>
      <c r="F501">
        <v>292.39999999999998</v>
      </c>
      <c r="H501"/>
      <c r="I501" s="381"/>
      <c r="J501" s="381"/>
      <c r="K501" s="381">
        <v>292.39999999999998</v>
      </c>
      <c r="L501" s="381">
        <v>0</v>
      </c>
      <c r="M501" s="381">
        <v>0</v>
      </c>
      <c r="N501" s="381">
        <v>0</v>
      </c>
      <c r="O501" s="381">
        <v>0</v>
      </c>
      <c r="P501" s="381">
        <v>0</v>
      </c>
      <c r="Q501" s="381">
        <v>0</v>
      </c>
      <c r="R501" s="381">
        <v>0</v>
      </c>
      <c r="S501" s="381">
        <v>0</v>
      </c>
      <c r="T501" s="381">
        <v>0</v>
      </c>
      <c r="U501" s="381">
        <v>292.39999999999998</v>
      </c>
      <c r="V501" s="381">
        <v>0</v>
      </c>
    </row>
    <row r="502" spans="2:22">
      <c r="B502" t="s">
        <v>906</v>
      </c>
      <c r="C502" t="s">
        <v>676</v>
      </c>
      <c r="D502" t="s">
        <v>54</v>
      </c>
      <c r="H502"/>
      <c r="I502" s="381"/>
      <c r="J502" s="381"/>
      <c r="K502" s="381"/>
      <c r="L502" s="381">
        <v>454</v>
      </c>
      <c r="M502" s="381">
        <v>227</v>
      </c>
      <c r="N502" s="381">
        <v>227</v>
      </c>
      <c r="O502" s="381"/>
      <c r="P502" s="381"/>
      <c r="Q502" s="381"/>
      <c r="R502" s="381"/>
      <c r="S502" s="381"/>
      <c r="T502" s="381"/>
      <c r="U502" s="381">
        <v>908</v>
      </c>
      <c r="V502" s="381">
        <v>908</v>
      </c>
    </row>
    <row r="503" spans="2:22">
      <c r="B503" t="s">
        <v>907</v>
      </c>
      <c r="C503" t="s">
        <v>679</v>
      </c>
      <c r="D503" t="s">
        <v>680</v>
      </c>
      <c r="E503">
        <v>6000</v>
      </c>
      <c r="F503">
        <v>4931</v>
      </c>
      <c r="H503"/>
      <c r="I503" s="381">
        <v>431</v>
      </c>
      <c r="J503" s="381">
        <v>0</v>
      </c>
      <c r="K503" s="381">
        <v>0</v>
      </c>
      <c r="L503" s="381">
        <v>0</v>
      </c>
      <c r="M503" s="381">
        <v>0</v>
      </c>
      <c r="N503" s="381">
        <v>431</v>
      </c>
      <c r="O503" s="381">
        <v>500</v>
      </c>
      <c r="P503" s="381">
        <v>500</v>
      </c>
      <c r="Q503" s="381">
        <v>500</v>
      </c>
      <c r="R503" s="381">
        <v>500</v>
      </c>
      <c r="S503" s="381">
        <v>500</v>
      </c>
      <c r="T503" s="381">
        <v>500</v>
      </c>
      <c r="U503" s="381">
        <v>3862</v>
      </c>
      <c r="V503" s="381">
        <v>-1069</v>
      </c>
    </row>
    <row r="504" spans="2:22">
      <c r="B504" t="s">
        <v>908</v>
      </c>
      <c r="C504" t="s">
        <v>909</v>
      </c>
      <c r="D504" t="s">
        <v>910</v>
      </c>
      <c r="E504">
        <v>50000</v>
      </c>
      <c r="F504">
        <v>50000</v>
      </c>
      <c r="H504"/>
      <c r="I504" s="381"/>
      <c r="J504" s="381"/>
      <c r="K504" s="381"/>
      <c r="L504" s="381">
        <v>0</v>
      </c>
      <c r="M504" s="381">
        <v>0</v>
      </c>
      <c r="N504" s="381">
        <v>0</v>
      </c>
      <c r="O504" s="381"/>
      <c r="P504" s="381"/>
      <c r="Q504" s="381"/>
      <c r="R504" s="381">
        <v>50000</v>
      </c>
      <c r="S504" s="381">
        <v>0</v>
      </c>
      <c r="T504" s="381">
        <v>0</v>
      </c>
      <c r="U504" s="381">
        <v>50000</v>
      </c>
      <c r="V504" s="381">
        <v>0</v>
      </c>
    </row>
    <row r="505" spans="2:22">
      <c r="B505" t="s">
        <v>911</v>
      </c>
      <c r="C505" t="s">
        <v>912</v>
      </c>
      <c r="D505" t="s">
        <v>25</v>
      </c>
      <c r="E505">
        <v>5000</v>
      </c>
      <c r="F505">
        <v>5000</v>
      </c>
      <c r="H505"/>
      <c r="I505" s="381"/>
      <c r="J505" s="381"/>
      <c r="K505" s="381"/>
      <c r="L505" s="381">
        <v>0</v>
      </c>
      <c r="M505" s="381">
        <v>0</v>
      </c>
      <c r="N505" s="381">
        <v>0</v>
      </c>
      <c r="O505" s="381"/>
      <c r="P505" s="381"/>
      <c r="Q505" s="381"/>
      <c r="R505" s="381"/>
      <c r="S505" s="381"/>
      <c r="T505" s="381">
        <v>5000</v>
      </c>
      <c r="U505" s="381">
        <v>5000</v>
      </c>
      <c r="V505" s="381">
        <v>0</v>
      </c>
    </row>
    <row r="506" spans="2:22">
      <c r="B506" t="s">
        <v>913</v>
      </c>
      <c r="C506" t="s">
        <v>914</v>
      </c>
      <c r="D506" t="s">
        <v>119</v>
      </c>
      <c r="E506">
        <v>25000</v>
      </c>
      <c r="F506">
        <v>25000</v>
      </c>
      <c r="H506"/>
      <c r="I506" s="381"/>
      <c r="J506" s="381"/>
      <c r="K506" s="381"/>
      <c r="L506" s="381">
        <v>0</v>
      </c>
      <c r="M506" s="381">
        <v>0</v>
      </c>
      <c r="N506" s="381">
        <v>0</v>
      </c>
      <c r="O506" s="381"/>
      <c r="P506" s="381">
        <v>25000</v>
      </c>
      <c r="Q506" s="381">
        <v>0</v>
      </c>
      <c r="R506" s="381">
        <v>0</v>
      </c>
      <c r="S506" s="381">
        <v>0</v>
      </c>
      <c r="T506" s="381">
        <v>0</v>
      </c>
      <c r="U506" s="381">
        <v>25000</v>
      </c>
      <c r="V506" s="381">
        <v>0</v>
      </c>
    </row>
    <row r="507" spans="2:22">
      <c r="B507" t="s">
        <v>915</v>
      </c>
      <c r="C507" t="s">
        <v>817</v>
      </c>
      <c r="D507" t="s">
        <v>818</v>
      </c>
      <c r="E507">
        <v>8000</v>
      </c>
      <c r="F507">
        <v>16362.7</v>
      </c>
      <c r="H507"/>
      <c r="I507" s="381"/>
      <c r="J507" s="381"/>
      <c r="K507" s="381">
        <v>10362.700000000001</v>
      </c>
      <c r="L507" s="381">
        <v>0</v>
      </c>
      <c r="M507" s="381">
        <v>0</v>
      </c>
      <c r="N507" s="381">
        <v>8211.1</v>
      </c>
      <c r="O507" s="381">
        <v>0</v>
      </c>
      <c r="P507" s="381">
        <v>0</v>
      </c>
      <c r="Q507" s="381">
        <v>2000</v>
      </c>
      <c r="R507" s="381">
        <v>0</v>
      </c>
      <c r="S507" s="381">
        <v>2000</v>
      </c>
      <c r="T507" s="381">
        <v>0</v>
      </c>
      <c r="U507" s="381">
        <v>22573.800000000003</v>
      </c>
      <c r="V507" s="381">
        <v>6211.1000000000022</v>
      </c>
    </row>
    <row r="508" spans="2:22">
      <c r="B508" t="s">
        <v>916</v>
      </c>
      <c r="C508" t="s">
        <v>194</v>
      </c>
      <c r="D508" t="s">
        <v>25</v>
      </c>
      <c r="E508">
        <v>21665.519999999993</v>
      </c>
      <c r="F508">
        <v>21665.52</v>
      </c>
      <c r="H508"/>
      <c r="I508"/>
      <c r="J508"/>
      <c r="K508"/>
      <c r="L508">
        <v>0</v>
      </c>
      <c r="M508">
        <v>0</v>
      </c>
      <c r="N508">
        <v>0</v>
      </c>
      <c r="O508"/>
      <c r="P508"/>
      <c r="Q508"/>
      <c r="R508">
        <v>21665.52</v>
      </c>
      <c r="S508"/>
      <c r="T508"/>
      <c r="U508">
        <v>21665.52</v>
      </c>
      <c r="V508" s="557">
        <v>0</v>
      </c>
    </row>
    <row r="509" spans="2:22">
      <c r="B509" t="s">
        <v>917</v>
      </c>
      <c r="C509" t="s">
        <v>918</v>
      </c>
      <c r="D509" t="s">
        <v>25</v>
      </c>
      <c r="E509">
        <v>65000</v>
      </c>
      <c r="F509">
        <v>0</v>
      </c>
      <c r="H509"/>
      <c r="I509" s="381"/>
      <c r="J509" s="381"/>
      <c r="K509" s="381"/>
      <c r="L509" s="381">
        <v>0</v>
      </c>
      <c r="M509" s="381">
        <v>0</v>
      </c>
      <c r="N509" s="381">
        <v>0</v>
      </c>
      <c r="O509" s="381">
        <v>0</v>
      </c>
      <c r="P509" s="381">
        <v>0</v>
      </c>
      <c r="Q509" s="381">
        <v>0</v>
      </c>
      <c r="R509" s="381">
        <v>65000</v>
      </c>
      <c r="S509" s="381">
        <v>0</v>
      </c>
      <c r="T509" s="381">
        <v>0</v>
      </c>
      <c r="U509" s="381">
        <v>65000</v>
      </c>
      <c r="V509" s="381">
        <v>65000</v>
      </c>
    </row>
    <row r="510" spans="2:22">
      <c r="B510" t="s">
        <v>919</v>
      </c>
      <c r="C510" t="s">
        <v>920</v>
      </c>
      <c r="D510" t="s">
        <v>25</v>
      </c>
      <c r="E510">
        <v>32000</v>
      </c>
      <c r="F510">
        <v>32000</v>
      </c>
      <c r="H510"/>
      <c r="I510"/>
      <c r="J510"/>
      <c r="K510"/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32000</v>
      </c>
      <c r="S510">
        <v>0</v>
      </c>
      <c r="T510">
        <v>0</v>
      </c>
      <c r="U510">
        <v>32000</v>
      </c>
      <c r="V510" s="557">
        <v>0</v>
      </c>
    </row>
    <row r="511" spans="2:22">
      <c r="B511" t="s">
        <v>921</v>
      </c>
      <c r="C511" t="s">
        <v>922</v>
      </c>
      <c r="D511" t="s">
        <v>25</v>
      </c>
      <c r="E511">
        <v>5000</v>
      </c>
      <c r="F511">
        <v>5000</v>
      </c>
      <c r="H511"/>
      <c r="I511" s="381"/>
      <c r="J511" s="381"/>
      <c r="K511" s="381"/>
      <c r="L511" s="381">
        <v>0</v>
      </c>
      <c r="M511" s="381">
        <v>0</v>
      </c>
      <c r="N511" s="381">
        <v>0</v>
      </c>
      <c r="O511" s="381"/>
      <c r="P511" s="381"/>
      <c r="Q511" s="381">
        <v>5000</v>
      </c>
      <c r="R511" s="381">
        <v>0</v>
      </c>
      <c r="S511" s="381">
        <v>0</v>
      </c>
      <c r="T511" s="381">
        <v>0</v>
      </c>
      <c r="U511" s="381">
        <v>5000</v>
      </c>
      <c r="V511" s="381">
        <v>0</v>
      </c>
    </row>
    <row r="512" spans="2:22">
      <c r="B512" t="s">
        <v>923</v>
      </c>
      <c r="C512" t="s">
        <v>924</v>
      </c>
      <c r="D512" t="s">
        <v>25</v>
      </c>
      <c r="E512">
        <v>6000</v>
      </c>
      <c r="F512">
        <v>4500</v>
      </c>
      <c r="H512"/>
      <c r="I512" s="381"/>
      <c r="J512" s="381"/>
      <c r="K512" s="381"/>
      <c r="L512" s="381">
        <v>0</v>
      </c>
      <c r="M512" s="381">
        <v>0</v>
      </c>
      <c r="N512" s="381">
        <v>2323.36</v>
      </c>
      <c r="O512" s="381">
        <v>0</v>
      </c>
      <c r="P512" s="381">
        <v>0</v>
      </c>
      <c r="Q512" s="381">
        <v>1500</v>
      </c>
      <c r="R512" s="381">
        <v>0</v>
      </c>
      <c r="S512" s="381">
        <v>0</v>
      </c>
      <c r="T512" s="381">
        <v>1500</v>
      </c>
      <c r="U512" s="381">
        <v>5323.3600000000006</v>
      </c>
      <c r="V512" s="381">
        <v>823.36000000000058</v>
      </c>
    </row>
    <row r="513" spans="2:22" hidden="1">
      <c r="B513" t="s">
        <v>925</v>
      </c>
      <c r="C513" t="s">
        <v>926</v>
      </c>
      <c r="D513" t="s">
        <v>863</v>
      </c>
      <c r="E513">
        <v>111372.91</v>
      </c>
      <c r="F513">
        <v>0</v>
      </c>
      <c r="H513"/>
      <c r="I513" s="381"/>
      <c r="J513" s="381"/>
      <c r="K513" s="381"/>
      <c r="L513" s="381">
        <v>0</v>
      </c>
      <c r="M513" s="381">
        <v>0</v>
      </c>
      <c r="N513" s="381">
        <v>0</v>
      </c>
      <c r="O513" s="381">
        <v>0</v>
      </c>
      <c r="P513" s="381">
        <v>0</v>
      </c>
      <c r="Q513" s="381">
        <v>0</v>
      </c>
      <c r="R513" s="381">
        <v>0</v>
      </c>
      <c r="S513" s="381">
        <v>0</v>
      </c>
      <c r="T513" s="381"/>
      <c r="U513" s="381">
        <v>0</v>
      </c>
      <c r="V513" s="381">
        <v>0</v>
      </c>
    </row>
    <row r="514" spans="2:22" hidden="1">
      <c r="B514" t="s">
        <v>927</v>
      </c>
      <c r="C514" t="s">
        <v>928</v>
      </c>
      <c r="D514" t="s">
        <v>863</v>
      </c>
      <c r="E514">
        <v>-111372.91</v>
      </c>
      <c r="F514">
        <v>0</v>
      </c>
      <c r="H514"/>
      <c r="I514" s="381"/>
      <c r="J514" s="381"/>
      <c r="K514" s="381"/>
      <c r="L514" s="381">
        <v>0</v>
      </c>
      <c r="M514" s="381">
        <v>0</v>
      </c>
      <c r="N514" s="381">
        <v>0</v>
      </c>
      <c r="O514" s="381">
        <v>0</v>
      </c>
      <c r="P514" s="381">
        <v>0</v>
      </c>
      <c r="Q514" s="381">
        <v>0</v>
      </c>
      <c r="R514" s="381">
        <v>0</v>
      </c>
      <c r="S514" s="381">
        <v>0</v>
      </c>
      <c r="T514" s="381">
        <v>0</v>
      </c>
      <c r="U514" s="381">
        <v>0</v>
      </c>
      <c r="V514" s="381">
        <v>0</v>
      </c>
    </row>
    <row r="515" spans="2:22">
      <c r="B515" t="s">
        <v>929</v>
      </c>
      <c r="C515" t="s">
        <v>930</v>
      </c>
      <c r="D515" t="s">
        <v>677</v>
      </c>
      <c r="E515">
        <v>0</v>
      </c>
      <c r="F515">
        <v>227</v>
      </c>
      <c r="H515"/>
      <c r="I515"/>
      <c r="J515">
        <v>227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227</v>
      </c>
      <c r="V515" s="557">
        <v>0</v>
      </c>
    </row>
    <row r="516" spans="2:22">
      <c r="B516" t="s">
        <v>931</v>
      </c>
      <c r="C516" t="s">
        <v>147</v>
      </c>
      <c r="D516" t="s">
        <v>25</v>
      </c>
      <c r="E516">
        <v>0</v>
      </c>
      <c r="F516">
        <v>44.39</v>
      </c>
      <c r="H516"/>
      <c r="I516" s="381">
        <v>44.95</v>
      </c>
      <c r="J516" s="381">
        <v>-0.67</v>
      </c>
      <c r="K516" s="381">
        <v>0.11</v>
      </c>
      <c r="L516" s="381">
        <v>0.56000000000000005</v>
      </c>
      <c r="M516" s="381">
        <v>-0.46</v>
      </c>
      <c r="N516" s="381">
        <v>0.08</v>
      </c>
      <c r="O516" s="381">
        <v>0</v>
      </c>
      <c r="P516" s="381">
        <v>0</v>
      </c>
      <c r="Q516" s="381">
        <v>0</v>
      </c>
      <c r="R516" s="381">
        <v>0</v>
      </c>
      <c r="S516" s="381">
        <v>0</v>
      </c>
      <c r="T516" s="381">
        <v>0</v>
      </c>
      <c r="U516" s="381">
        <v>44.57</v>
      </c>
      <c r="V516" s="381">
        <v>0.17999999999999972</v>
      </c>
    </row>
    <row r="517" spans="2:22" hidden="1">
      <c r="B517" t="s">
        <v>932</v>
      </c>
      <c r="C517" t="s">
        <v>933</v>
      </c>
      <c r="D517" t="s">
        <v>152</v>
      </c>
      <c r="E517">
        <v>39999.960000000014</v>
      </c>
      <c r="F517">
        <v>0</v>
      </c>
      <c r="H517"/>
      <c r="I517" s="381"/>
      <c r="J517" s="381"/>
      <c r="K517" s="381"/>
      <c r="L517" s="381">
        <v>0</v>
      </c>
      <c r="M517" s="381">
        <v>0</v>
      </c>
      <c r="N517" s="381">
        <v>0</v>
      </c>
      <c r="O517" s="381"/>
      <c r="P517" s="381"/>
      <c r="Q517" s="381"/>
      <c r="R517" s="381"/>
      <c r="S517" s="381"/>
      <c r="T517" s="381"/>
      <c r="U517" s="381">
        <v>0</v>
      </c>
      <c r="V517" s="381">
        <v>0</v>
      </c>
    </row>
    <row r="518" spans="2:22" hidden="1">
      <c r="B518" t="s">
        <v>934</v>
      </c>
      <c r="C518" t="s">
        <v>935</v>
      </c>
      <c r="D518" t="s">
        <v>152</v>
      </c>
      <c r="E518">
        <v>0</v>
      </c>
      <c r="F518">
        <v>0</v>
      </c>
      <c r="H518"/>
      <c r="I518" s="381"/>
      <c r="J518" s="381"/>
      <c r="K518" s="381"/>
      <c r="L518" s="381">
        <v>0</v>
      </c>
      <c r="M518" s="381">
        <v>0</v>
      </c>
      <c r="N518" s="381">
        <v>0</v>
      </c>
      <c r="O518" s="381">
        <v>0</v>
      </c>
      <c r="P518" s="381">
        <v>81120</v>
      </c>
      <c r="Q518" s="381">
        <v>-81120</v>
      </c>
      <c r="R518" s="381">
        <v>0</v>
      </c>
      <c r="S518" s="381">
        <v>0</v>
      </c>
      <c r="T518" s="381">
        <v>0</v>
      </c>
      <c r="U518" s="381">
        <v>0</v>
      </c>
      <c r="V518" s="381">
        <v>0</v>
      </c>
    </row>
    <row r="519" spans="2:22" hidden="1">
      <c r="B519" t="s">
        <v>936</v>
      </c>
      <c r="C519" t="s">
        <v>937</v>
      </c>
      <c r="D519" t="s">
        <v>152</v>
      </c>
      <c r="E519">
        <v>174240</v>
      </c>
      <c r="F519">
        <v>0</v>
      </c>
      <c r="H519"/>
      <c r="I519" s="381"/>
      <c r="J519" s="381"/>
      <c r="K519" s="381"/>
      <c r="L519" s="381">
        <v>0</v>
      </c>
      <c r="M519" s="381">
        <v>0</v>
      </c>
      <c r="N519" s="381">
        <v>0</v>
      </c>
      <c r="O519" s="381">
        <v>0</v>
      </c>
      <c r="P519" s="381">
        <v>0</v>
      </c>
      <c r="Q519" s="381">
        <v>0</v>
      </c>
      <c r="R519" s="381">
        <v>0</v>
      </c>
      <c r="S519" s="381">
        <v>0</v>
      </c>
      <c r="T519" s="381">
        <v>0</v>
      </c>
      <c r="U519" s="381">
        <v>0</v>
      </c>
      <c r="V519" s="381">
        <v>0</v>
      </c>
    </row>
    <row r="520" spans="2:22" hidden="1">
      <c r="B520" t="s">
        <v>938</v>
      </c>
      <c r="C520" t="s">
        <v>939</v>
      </c>
      <c r="D520" t="s">
        <v>152</v>
      </c>
      <c r="E520">
        <v>266860.99999999988</v>
      </c>
      <c r="F520">
        <v>0</v>
      </c>
      <c r="H520"/>
      <c r="I520" s="381"/>
      <c r="J520" s="381"/>
      <c r="K520" s="381"/>
      <c r="L520" s="381">
        <v>0</v>
      </c>
      <c r="M520" s="381">
        <v>0</v>
      </c>
      <c r="N520" s="381">
        <v>0</v>
      </c>
      <c r="O520" s="381">
        <v>0</v>
      </c>
      <c r="P520" s="381">
        <v>0</v>
      </c>
      <c r="Q520" s="381">
        <v>0</v>
      </c>
      <c r="R520" s="381">
        <v>0</v>
      </c>
      <c r="S520" s="381">
        <v>0</v>
      </c>
      <c r="T520" s="381">
        <v>0</v>
      </c>
      <c r="U520" s="381">
        <v>0</v>
      </c>
      <c r="V520" s="381">
        <v>0</v>
      </c>
    </row>
    <row r="521" spans="2:22">
      <c r="B521" t="s">
        <v>940</v>
      </c>
      <c r="C521" t="s">
        <v>51</v>
      </c>
      <c r="D521" t="s">
        <v>25</v>
      </c>
      <c r="E521">
        <v>0</v>
      </c>
      <c r="F521">
        <v>649.79</v>
      </c>
      <c r="H521"/>
      <c r="I521" s="381"/>
      <c r="J521" s="381">
        <v>649.79</v>
      </c>
      <c r="K521" s="381">
        <v>0</v>
      </c>
      <c r="L521" s="381">
        <v>0</v>
      </c>
      <c r="M521" s="381">
        <v>0</v>
      </c>
      <c r="N521" s="381">
        <v>0</v>
      </c>
      <c r="O521" s="381">
        <v>0</v>
      </c>
      <c r="P521" s="381">
        <v>0</v>
      </c>
      <c r="Q521" s="381">
        <v>0</v>
      </c>
      <c r="R521" s="381">
        <v>0</v>
      </c>
      <c r="S521" s="381">
        <v>0</v>
      </c>
      <c r="T521" s="381">
        <v>0</v>
      </c>
      <c r="U521" s="381">
        <v>649.79</v>
      </c>
      <c r="V521" s="381">
        <v>0</v>
      </c>
    </row>
    <row r="522" spans="2:22" hidden="1">
      <c r="B522" t="s">
        <v>941</v>
      </c>
      <c r="C522" t="s">
        <v>53</v>
      </c>
      <c r="D522" t="s">
        <v>54</v>
      </c>
      <c r="F522">
        <v>0</v>
      </c>
      <c r="H522"/>
      <c r="I522" s="381"/>
      <c r="J522" s="381"/>
      <c r="K522" s="381"/>
      <c r="L522" s="381">
        <v>0</v>
      </c>
      <c r="M522" s="381">
        <v>0</v>
      </c>
      <c r="N522" s="381">
        <v>0</v>
      </c>
      <c r="O522" s="381"/>
      <c r="P522" s="381"/>
      <c r="Q522" s="381"/>
      <c r="R522" s="381"/>
      <c r="S522" s="381"/>
      <c r="T522" s="381"/>
      <c r="U522" s="381">
        <v>0</v>
      </c>
      <c r="V522" s="381">
        <v>0</v>
      </c>
    </row>
    <row r="523" spans="2:22">
      <c r="B523" t="s">
        <v>942</v>
      </c>
      <c r="C523" t="s">
        <v>56</v>
      </c>
      <c r="D523" t="s">
        <v>57</v>
      </c>
      <c r="E523">
        <v>23474.640000000003</v>
      </c>
      <c r="F523">
        <v>27085.450000000004</v>
      </c>
      <c r="H523"/>
      <c r="I523" s="381">
        <v>1816.49</v>
      </c>
      <c r="J523" s="381">
        <v>1816.49</v>
      </c>
      <c r="K523" s="381">
        <v>5846.49</v>
      </c>
      <c r="L523" s="381">
        <v>1816.49</v>
      </c>
      <c r="M523" s="381">
        <v>1816.49</v>
      </c>
      <c r="N523" s="381">
        <v>1816.49</v>
      </c>
      <c r="O523" s="381">
        <v>1956.22</v>
      </c>
      <c r="P523" s="381">
        <v>1956.22</v>
      </c>
      <c r="Q523" s="381">
        <v>1956.22</v>
      </c>
      <c r="R523" s="381">
        <v>1956.22</v>
      </c>
      <c r="S523" s="381">
        <v>1956.22</v>
      </c>
      <c r="T523" s="381">
        <v>1956.22</v>
      </c>
      <c r="U523" s="381">
        <v>26666.260000000006</v>
      </c>
      <c r="V523" s="381">
        <v>-419.18999999999869</v>
      </c>
    </row>
    <row r="524" spans="2:22">
      <c r="B524" t="s">
        <v>943</v>
      </c>
      <c r="C524" t="s">
        <v>944</v>
      </c>
      <c r="D524" t="s">
        <v>25</v>
      </c>
      <c r="E524">
        <v>0</v>
      </c>
      <c r="F524">
        <v>729.19</v>
      </c>
      <c r="H524"/>
      <c r="I524" s="381">
        <v>139.72999999999999</v>
      </c>
      <c r="J524" s="381">
        <v>139.72999999999999</v>
      </c>
      <c r="K524" s="381">
        <v>449.73</v>
      </c>
      <c r="L524" s="381">
        <v>139.72999999999999</v>
      </c>
      <c r="M524" s="381">
        <v>139.72999999999999</v>
      </c>
      <c r="N524" s="381">
        <v>139.72999999999999</v>
      </c>
      <c r="O524" s="381">
        <v>0</v>
      </c>
      <c r="P524" s="381">
        <v>0</v>
      </c>
      <c r="Q524" s="381">
        <v>0</v>
      </c>
      <c r="R524" s="381">
        <v>0</v>
      </c>
      <c r="S524" s="381">
        <v>0</v>
      </c>
      <c r="T524" s="381">
        <v>0</v>
      </c>
      <c r="U524" s="381">
        <v>1148.3800000000001</v>
      </c>
      <c r="V524" s="381">
        <v>419.19000000000005</v>
      </c>
    </row>
    <row r="525" spans="2:22">
      <c r="B525" t="s">
        <v>945</v>
      </c>
      <c r="C525" t="s">
        <v>673</v>
      </c>
      <c r="D525" t="s">
        <v>57</v>
      </c>
      <c r="E525">
        <v>18499.8</v>
      </c>
      <c r="F525">
        <v>16958.149999999998</v>
      </c>
      <c r="H525"/>
      <c r="I525" s="381">
        <v>1541.65</v>
      </c>
      <c r="J525" s="381">
        <v>0</v>
      </c>
      <c r="K525" s="381">
        <v>1541.65</v>
      </c>
      <c r="L525" s="381">
        <v>1541.65</v>
      </c>
      <c r="M525" s="381">
        <v>1541.65</v>
      </c>
      <c r="N525" s="381">
        <v>1541.65</v>
      </c>
      <c r="O525" s="381">
        <v>1541.65</v>
      </c>
      <c r="P525" s="381">
        <v>1541.65</v>
      </c>
      <c r="Q525" s="381">
        <v>1541.65</v>
      </c>
      <c r="R525" s="381">
        <v>1541.65</v>
      </c>
      <c r="S525" s="381">
        <v>1541.65</v>
      </c>
      <c r="T525" s="381">
        <v>1541.65</v>
      </c>
      <c r="U525" s="381">
        <v>16958.149999999998</v>
      </c>
      <c r="V525" s="381">
        <v>0</v>
      </c>
    </row>
    <row r="526" spans="2:22">
      <c r="B526" t="s">
        <v>946</v>
      </c>
      <c r="C526" t="s">
        <v>676</v>
      </c>
      <c r="D526" t="s">
        <v>677</v>
      </c>
      <c r="E526">
        <v>275</v>
      </c>
      <c r="F526">
        <v>227</v>
      </c>
      <c r="H526"/>
      <c r="I526" s="381"/>
      <c r="J526" s="381">
        <v>227</v>
      </c>
      <c r="K526" s="381">
        <v>0</v>
      </c>
      <c r="L526" s="381">
        <v>0</v>
      </c>
      <c r="M526" s="381">
        <v>0</v>
      </c>
      <c r="N526" s="381">
        <v>0</v>
      </c>
      <c r="O526" s="381">
        <v>0</v>
      </c>
      <c r="P526" s="381">
        <v>0</v>
      </c>
      <c r="Q526" s="381">
        <v>0</v>
      </c>
      <c r="R526" s="381">
        <v>0</v>
      </c>
      <c r="S526" s="381">
        <v>0</v>
      </c>
      <c r="T526" s="381">
        <v>0</v>
      </c>
      <c r="U526" s="381">
        <v>227</v>
      </c>
      <c r="V526" s="381">
        <v>0</v>
      </c>
    </row>
    <row r="527" spans="2:22">
      <c r="B527" t="s">
        <v>947</v>
      </c>
      <c r="C527" t="s">
        <v>948</v>
      </c>
      <c r="D527" t="s">
        <v>949</v>
      </c>
      <c r="E527">
        <v>7299999.96</v>
      </c>
      <c r="F527">
        <v>7299999.96</v>
      </c>
      <c r="H527"/>
      <c r="I527" s="381"/>
      <c r="J527" s="381">
        <v>1216666.6599999999</v>
      </c>
      <c r="K527" s="381">
        <v>608333.32999999996</v>
      </c>
      <c r="L527" s="381">
        <v>0</v>
      </c>
      <c r="M527" s="381">
        <v>1216666.6599999999</v>
      </c>
      <c r="N527" s="381">
        <v>608333.32999999996</v>
      </c>
      <c r="O527" s="381">
        <v>0</v>
      </c>
      <c r="P527" s="381">
        <v>1216666.6599999999</v>
      </c>
      <c r="Q527" s="381">
        <v>608333.32999999996</v>
      </c>
      <c r="R527" s="381">
        <v>0</v>
      </c>
      <c r="S527" s="381">
        <v>1216666.6599999999</v>
      </c>
      <c r="T527" s="381">
        <v>608333.32999999996</v>
      </c>
      <c r="U527" s="381">
        <v>7299999.96</v>
      </c>
      <c r="V527" s="381">
        <v>0</v>
      </c>
    </row>
    <row r="528" spans="2:22">
      <c r="B528" t="s">
        <v>950</v>
      </c>
      <c r="C528" t="s">
        <v>817</v>
      </c>
      <c r="D528" t="s">
        <v>818</v>
      </c>
      <c r="E528">
        <v>13200</v>
      </c>
      <c r="F528">
        <v>19370.91</v>
      </c>
      <c r="H528"/>
      <c r="I528" s="381"/>
      <c r="J528" s="381"/>
      <c r="K528" s="381">
        <v>9470.91</v>
      </c>
      <c r="L528" s="381">
        <v>0</v>
      </c>
      <c r="M528" s="381">
        <v>0</v>
      </c>
      <c r="N528" s="381">
        <v>6148.3</v>
      </c>
      <c r="O528" s="381">
        <v>0</v>
      </c>
      <c r="P528" s="381">
        <v>0</v>
      </c>
      <c r="Q528" s="381">
        <v>3300</v>
      </c>
      <c r="R528" s="381">
        <v>0</v>
      </c>
      <c r="S528" s="381">
        <v>0</v>
      </c>
      <c r="T528" s="381">
        <v>3300</v>
      </c>
      <c r="U528" s="381">
        <v>22219.21</v>
      </c>
      <c r="V528" s="381">
        <v>2848.2999999999993</v>
      </c>
    </row>
    <row r="529" spans="2:22">
      <c r="D529" t="s">
        <v>54</v>
      </c>
      <c r="H529"/>
      <c r="I529" s="381"/>
      <c r="J529" s="381"/>
      <c r="K529" s="381"/>
      <c r="L529" s="381"/>
      <c r="M529" s="381"/>
      <c r="N529" s="381">
        <v>3285.0699999999997</v>
      </c>
      <c r="O529" s="381"/>
      <c r="P529" s="381"/>
      <c r="Q529" s="381"/>
      <c r="R529" s="381"/>
      <c r="S529" s="381"/>
      <c r="T529" s="381"/>
      <c r="U529" s="381">
        <v>3285.0699999999997</v>
      </c>
      <c r="V529" s="381">
        <v>3285.0699999999997</v>
      </c>
    </row>
    <row r="530" spans="2:22" hidden="1">
      <c r="B530" t="s">
        <v>951</v>
      </c>
      <c r="C530" t="s">
        <v>952</v>
      </c>
      <c r="D530" t="s">
        <v>863</v>
      </c>
      <c r="E530">
        <v>231903.75</v>
      </c>
      <c r="F530">
        <v>0</v>
      </c>
      <c r="H530"/>
      <c r="I530"/>
      <c r="J530"/>
      <c r="K530"/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557">
        <v>0</v>
      </c>
    </row>
    <row r="531" spans="2:22" hidden="1">
      <c r="B531" t="s">
        <v>953</v>
      </c>
      <c r="C531" t="s">
        <v>954</v>
      </c>
      <c r="D531" t="s">
        <v>863</v>
      </c>
      <c r="E531">
        <v>-231903.75</v>
      </c>
      <c r="F531">
        <v>0</v>
      </c>
      <c r="H531"/>
      <c r="I531"/>
      <c r="J531"/>
      <c r="K531"/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s="557">
        <v>0</v>
      </c>
    </row>
    <row r="532" spans="2:22" hidden="1">
      <c r="B532" t="s">
        <v>955</v>
      </c>
      <c r="C532" t="s">
        <v>147</v>
      </c>
      <c r="D532" t="s">
        <v>25</v>
      </c>
      <c r="E532">
        <v>0</v>
      </c>
      <c r="F532">
        <v>0.35</v>
      </c>
      <c r="H532"/>
      <c r="I532" s="381">
        <v>0.13</v>
      </c>
      <c r="J532" s="381">
        <v>0.32999999999999996</v>
      </c>
      <c r="K532" s="381">
        <v>-0.11000000000000001</v>
      </c>
      <c r="L532" s="381">
        <v>0.13</v>
      </c>
      <c r="M532" s="381">
        <v>-0.53</v>
      </c>
      <c r="N532" s="381">
        <v>0.43</v>
      </c>
      <c r="O532" s="381">
        <v>0</v>
      </c>
      <c r="P532" s="381">
        <v>0</v>
      </c>
      <c r="Q532" s="381">
        <v>0</v>
      </c>
      <c r="R532" s="381">
        <v>0</v>
      </c>
      <c r="S532" s="381">
        <v>0</v>
      </c>
      <c r="T532" s="381">
        <v>0</v>
      </c>
      <c r="U532" s="381">
        <v>0.37999999999999995</v>
      </c>
      <c r="V532" s="381">
        <v>2.9999999999999971E-2</v>
      </c>
    </row>
    <row r="533" spans="2:22">
      <c r="B533" t="s">
        <v>956</v>
      </c>
      <c r="C533" t="s">
        <v>51</v>
      </c>
      <c r="D533" t="s">
        <v>25</v>
      </c>
      <c r="E533">
        <v>0</v>
      </c>
      <c r="F533">
        <v>431.03</v>
      </c>
      <c r="H533"/>
      <c r="I533"/>
      <c r="J533">
        <v>431.03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431.03</v>
      </c>
      <c r="V533" s="557">
        <v>0</v>
      </c>
    </row>
    <row r="534" spans="2:22">
      <c r="B534" t="s">
        <v>957</v>
      </c>
      <c r="C534" t="s">
        <v>817</v>
      </c>
      <c r="D534" t="s">
        <v>818</v>
      </c>
      <c r="E534">
        <v>12000</v>
      </c>
      <c r="F534">
        <v>19022.099999999999</v>
      </c>
      <c r="H534"/>
      <c r="I534" s="381"/>
      <c r="J534" s="381"/>
      <c r="K534" s="381">
        <v>10022.1</v>
      </c>
      <c r="L534" s="381">
        <v>0</v>
      </c>
      <c r="M534" s="381">
        <v>0</v>
      </c>
      <c r="N534" s="381">
        <v>7983.4299999999994</v>
      </c>
      <c r="O534" s="381">
        <v>0</v>
      </c>
      <c r="P534" s="381">
        <v>0</v>
      </c>
      <c r="Q534" s="381">
        <v>10000</v>
      </c>
      <c r="R534" s="381">
        <v>0</v>
      </c>
      <c r="S534" s="381">
        <v>0</v>
      </c>
      <c r="T534" s="381">
        <v>10000</v>
      </c>
      <c r="U534" s="381">
        <v>38005.53</v>
      </c>
      <c r="V534" s="381">
        <v>18983.43</v>
      </c>
    </row>
    <row r="535" spans="2:22" hidden="1">
      <c r="B535" t="s">
        <v>958</v>
      </c>
      <c r="C535" t="s">
        <v>147</v>
      </c>
      <c r="D535" t="s">
        <v>25</v>
      </c>
      <c r="E535">
        <v>0</v>
      </c>
      <c r="F535">
        <v>-0.13</v>
      </c>
      <c r="H535"/>
      <c r="I535" s="381"/>
      <c r="J535" s="381">
        <v>-0.03</v>
      </c>
      <c r="K535" s="381">
        <v>-0.1</v>
      </c>
      <c r="L535" s="381">
        <v>0</v>
      </c>
      <c r="M535" s="381">
        <v>0</v>
      </c>
      <c r="N535" s="381">
        <v>0.56999999999999995</v>
      </c>
      <c r="O535" s="381">
        <v>0</v>
      </c>
      <c r="P535" s="381">
        <v>0</v>
      </c>
      <c r="Q535" s="381">
        <v>0</v>
      </c>
      <c r="R535" s="381">
        <v>0</v>
      </c>
      <c r="S535" s="381">
        <v>0</v>
      </c>
      <c r="T535" s="381">
        <v>0</v>
      </c>
      <c r="U535" s="381">
        <v>0.43999999999999995</v>
      </c>
      <c r="V535" s="381">
        <v>0.56999999999999995</v>
      </c>
    </row>
    <row r="536" spans="2:22" hidden="1">
      <c r="B536" t="s">
        <v>959</v>
      </c>
      <c r="C536" t="s">
        <v>646</v>
      </c>
      <c r="D536" t="s">
        <v>152</v>
      </c>
      <c r="E536">
        <v>650000</v>
      </c>
      <c r="F536">
        <v>0</v>
      </c>
      <c r="H536"/>
      <c r="I536" s="381"/>
      <c r="J536" s="381"/>
      <c r="K536" s="381"/>
      <c r="L536" s="381">
        <v>0</v>
      </c>
      <c r="M536" s="381">
        <v>0</v>
      </c>
      <c r="N536" s="381">
        <v>0</v>
      </c>
      <c r="O536" s="381">
        <v>0</v>
      </c>
      <c r="P536" s="381">
        <v>0</v>
      </c>
      <c r="Q536" s="381">
        <v>0</v>
      </c>
      <c r="R536" s="381">
        <v>0</v>
      </c>
      <c r="S536" s="381">
        <v>0</v>
      </c>
      <c r="T536" s="381">
        <v>0</v>
      </c>
      <c r="U536" s="381">
        <v>0</v>
      </c>
      <c r="V536" s="381">
        <v>0</v>
      </c>
    </row>
    <row r="537" spans="2:22" hidden="1">
      <c r="B537" t="s">
        <v>960</v>
      </c>
      <c r="C537" t="s">
        <v>648</v>
      </c>
      <c r="D537" t="s">
        <v>152</v>
      </c>
      <c r="E537">
        <v>300000</v>
      </c>
      <c r="F537">
        <v>0</v>
      </c>
      <c r="H537"/>
      <c r="I537"/>
      <c r="J537"/>
      <c r="K537"/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557">
        <v>0</v>
      </c>
    </row>
    <row r="538" spans="2:22" hidden="1">
      <c r="B538" t="s">
        <v>961</v>
      </c>
      <c r="C538" t="s">
        <v>650</v>
      </c>
      <c r="D538" t="s">
        <v>152</v>
      </c>
      <c r="E538">
        <v>3300</v>
      </c>
      <c r="F538">
        <v>0</v>
      </c>
      <c r="H538"/>
      <c r="I538"/>
      <c r="J538"/>
      <c r="K538"/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557">
        <v>0</v>
      </c>
    </row>
    <row r="539" spans="2:22">
      <c r="B539" t="s">
        <v>962</v>
      </c>
      <c r="C539" t="s">
        <v>963</v>
      </c>
      <c r="D539" t="s">
        <v>152</v>
      </c>
      <c r="E539">
        <v>0</v>
      </c>
      <c r="F539">
        <v>24000</v>
      </c>
      <c r="H539"/>
      <c r="I539" s="381">
        <v>24000</v>
      </c>
      <c r="J539" s="381">
        <v>0</v>
      </c>
      <c r="K539" s="381">
        <v>0</v>
      </c>
      <c r="L539" s="381">
        <v>5.0699999999999363</v>
      </c>
      <c r="M539" s="381">
        <v>-7.8299999999999272</v>
      </c>
      <c r="N539" s="381">
        <v>-15479.01</v>
      </c>
      <c r="O539" s="381">
        <v>0</v>
      </c>
      <c r="P539" s="381">
        <v>0</v>
      </c>
      <c r="Q539" s="381">
        <v>0</v>
      </c>
      <c r="R539" s="381">
        <v>0</v>
      </c>
      <c r="S539" s="381">
        <v>0</v>
      </c>
      <c r="T539" s="381">
        <v>0</v>
      </c>
      <c r="U539" s="381">
        <v>8518.2299999999977</v>
      </c>
      <c r="V539" s="381">
        <v>-15481.770000000002</v>
      </c>
    </row>
    <row r="540" spans="2:22" hidden="1">
      <c r="B540" t="s">
        <v>964</v>
      </c>
      <c r="C540" t="s">
        <v>937</v>
      </c>
      <c r="D540" t="s">
        <v>152</v>
      </c>
      <c r="F540">
        <v>0</v>
      </c>
      <c r="H540"/>
      <c r="I540" s="381"/>
      <c r="J540" s="381"/>
      <c r="K540" s="381"/>
      <c r="L540" s="381">
        <v>0</v>
      </c>
      <c r="M540" s="381">
        <v>0</v>
      </c>
      <c r="N540" s="381">
        <v>0</v>
      </c>
      <c r="O540" s="381"/>
      <c r="P540" s="381"/>
      <c r="Q540" s="381"/>
      <c r="R540" s="381">
        <v>0</v>
      </c>
      <c r="S540" s="381">
        <v>0</v>
      </c>
      <c r="T540" s="381">
        <v>0</v>
      </c>
      <c r="U540" s="381">
        <v>0</v>
      </c>
      <c r="V540" s="381">
        <v>0</v>
      </c>
    </row>
    <row r="541" spans="2:22" hidden="1">
      <c r="B541" t="s">
        <v>965</v>
      </c>
      <c r="C541" t="s">
        <v>939</v>
      </c>
      <c r="D541" t="s">
        <v>152</v>
      </c>
      <c r="F541">
        <v>0</v>
      </c>
      <c r="H541"/>
      <c r="I541"/>
      <c r="J541"/>
      <c r="K541"/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s="557">
        <v>0</v>
      </c>
    </row>
    <row r="542" spans="2:22">
      <c r="B542" t="s">
        <v>966</v>
      </c>
      <c r="C542" t="s">
        <v>53</v>
      </c>
      <c r="D542" t="s">
        <v>25</v>
      </c>
      <c r="E542">
        <v>0</v>
      </c>
      <c r="F542">
        <v>1520</v>
      </c>
      <c r="H542"/>
      <c r="I542"/>
      <c r="J542">
        <v>1520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1520</v>
      </c>
      <c r="V542" s="557">
        <v>0</v>
      </c>
    </row>
    <row r="543" spans="2:22">
      <c r="B543" t="s">
        <v>967</v>
      </c>
      <c r="C543" t="s">
        <v>676</v>
      </c>
      <c r="D543" t="s">
        <v>677</v>
      </c>
      <c r="E543">
        <v>1100</v>
      </c>
      <c r="F543">
        <v>825</v>
      </c>
      <c r="H543"/>
      <c r="I543" s="381"/>
      <c r="J543" s="381"/>
      <c r="K543" s="381"/>
      <c r="L543" s="381">
        <v>0</v>
      </c>
      <c r="M543" s="381">
        <v>0</v>
      </c>
      <c r="N543" s="381">
        <v>0</v>
      </c>
      <c r="O543" s="381">
        <v>0</v>
      </c>
      <c r="P543" s="381">
        <v>0</v>
      </c>
      <c r="Q543" s="381">
        <v>275</v>
      </c>
      <c r="R543" s="381">
        <v>0</v>
      </c>
      <c r="S543" s="381">
        <v>0</v>
      </c>
      <c r="T543" s="381">
        <v>275</v>
      </c>
      <c r="U543" s="381">
        <v>550</v>
      </c>
      <c r="V543" s="381">
        <v>-275</v>
      </c>
    </row>
    <row r="544" spans="2:22" hidden="1">
      <c r="B544" t="s">
        <v>968</v>
      </c>
      <c r="C544" t="s">
        <v>679</v>
      </c>
      <c r="D544" t="s">
        <v>680</v>
      </c>
      <c r="E544">
        <v>370</v>
      </c>
      <c r="F544">
        <v>370</v>
      </c>
      <c r="H544"/>
      <c r="I544" s="381"/>
      <c r="J544" s="381"/>
      <c r="K544" s="381"/>
      <c r="L544" s="381">
        <v>0</v>
      </c>
      <c r="M544" s="381">
        <v>0</v>
      </c>
      <c r="N544" s="381">
        <v>0</v>
      </c>
      <c r="O544" s="381">
        <v>0</v>
      </c>
      <c r="P544" s="381">
        <v>0</v>
      </c>
      <c r="Q544" s="381">
        <v>0</v>
      </c>
      <c r="R544" s="381">
        <v>0</v>
      </c>
      <c r="S544" s="381">
        <v>0</v>
      </c>
      <c r="T544" s="381">
        <v>0</v>
      </c>
      <c r="U544" s="381">
        <v>0</v>
      </c>
      <c r="V544" s="381">
        <v>-370</v>
      </c>
    </row>
    <row r="545" spans="2:22" hidden="1">
      <c r="B545" t="s">
        <v>969</v>
      </c>
      <c r="C545" t="s">
        <v>970</v>
      </c>
      <c r="D545" t="s">
        <v>863</v>
      </c>
      <c r="E545">
        <v>26967.21</v>
      </c>
      <c r="F545">
        <v>0</v>
      </c>
      <c r="H545"/>
      <c r="I545" s="381"/>
      <c r="J545" s="381"/>
      <c r="K545" s="381"/>
      <c r="L545" s="381">
        <v>0</v>
      </c>
      <c r="M545" s="381">
        <v>0</v>
      </c>
      <c r="N545" s="381">
        <v>0</v>
      </c>
      <c r="O545" s="381">
        <v>0</v>
      </c>
      <c r="P545" s="381">
        <v>0</v>
      </c>
      <c r="Q545" s="381">
        <v>0</v>
      </c>
      <c r="R545" s="381">
        <v>0</v>
      </c>
      <c r="S545" s="381">
        <v>0</v>
      </c>
      <c r="T545" s="381">
        <v>0</v>
      </c>
      <c r="U545" s="381">
        <v>0</v>
      </c>
      <c r="V545" s="381">
        <v>0</v>
      </c>
    </row>
    <row r="546" spans="2:22" hidden="1">
      <c r="B546" t="s">
        <v>971</v>
      </c>
      <c r="C546" t="s">
        <v>972</v>
      </c>
      <c r="D546" t="s">
        <v>863</v>
      </c>
      <c r="E546">
        <v>-26967.21</v>
      </c>
      <c r="F546">
        <v>0</v>
      </c>
      <c r="H546"/>
      <c r="I546"/>
      <c r="J546"/>
      <c r="K546"/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557">
        <v>0</v>
      </c>
    </row>
    <row r="547" spans="2:22">
      <c r="B547" t="s">
        <v>973</v>
      </c>
      <c r="C547" t="s">
        <v>817</v>
      </c>
      <c r="D547" t="s">
        <v>818</v>
      </c>
      <c r="E547">
        <v>37176</v>
      </c>
      <c r="F547">
        <v>45421.08</v>
      </c>
      <c r="H547"/>
      <c r="I547" s="381"/>
      <c r="J547" s="381"/>
      <c r="K547" s="381">
        <v>17539.080000000002</v>
      </c>
      <c r="L547" s="381">
        <v>0</v>
      </c>
      <c r="M547" s="381">
        <v>0</v>
      </c>
      <c r="N547" s="381">
        <v>15527.55</v>
      </c>
      <c r="O547" s="381">
        <v>0</v>
      </c>
      <c r="P547" s="381">
        <v>0</v>
      </c>
      <c r="Q547" s="381">
        <v>9294</v>
      </c>
      <c r="R547" s="381">
        <v>0</v>
      </c>
      <c r="S547" s="381">
        <v>9294</v>
      </c>
      <c r="T547" s="381">
        <v>0</v>
      </c>
      <c r="U547" s="381">
        <v>51654.63</v>
      </c>
      <c r="V547" s="381">
        <v>6233.5499999999956</v>
      </c>
    </row>
    <row r="548" spans="2:22">
      <c r="B548" t="s">
        <v>974</v>
      </c>
      <c r="C548" t="s">
        <v>234</v>
      </c>
      <c r="D548" t="s">
        <v>25</v>
      </c>
      <c r="E548">
        <v>353631</v>
      </c>
      <c r="F548">
        <v>353631</v>
      </c>
      <c r="H548"/>
      <c r="I548" s="381"/>
      <c r="J548" s="381"/>
      <c r="K548" s="381">
        <v>304987.09999999998</v>
      </c>
      <c r="L548" s="381">
        <v>0</v>
      </c>
      <c r="M548" s="381">
        <v>0</v>
      </c>
      <c r="N548" s="381">
        <v>0</v>
      </c>
      <c r="O548" s="381">
        <v>0</v>
      </c>
      <c r="P548" s="381">
        <v>0</v>
      </c>
      <c r="Q548" s="381">
        <v>48643.9</v>
      </c>
      <c r="R548" s="381">
        <v>0</v>
      </c>
      <c r="S548" s="381">
        <v>0</v>
      </c>
      <c r="T548" s="381">
        <v>0</v>
      </c>
      <c r="U548" s="381">
        <v>353631</v>
      </c>
      <c r="V548" s="381">
        <v>0</v>
      </c>
    </row>
    <row r="549" spans="2:22">
      <c r="B549" t="s">
        <v>975</v>
      </c>
      <c r="C549" t="s">
        <v>236</v>
      </c>
      <c r="D549" t="s">
        <v>25</v>
      </c>
      <c r="E549">
        <v>434000</v>
      </c>
      <c r="F549">
        <v>434000</v>
      </c>
      <c r="H549"/>
      <c r="I549" s="381"/>
      <c r="J549" s="381"/>
      <c r="K549" s="381">
        <v>331000</v>
      </c>
      <c r="L549" s="381">
        <v>0</v>
      </c>
      <c r="M549" s="381">
        <v>0</v>
      </c>
      <c r="N549" s="381">
        <v>0</v>
      </c>
      <c r="O549" s="381">
        <v>0</v>
      </c>
      <c r="P549" s="381">
        <v>0</v>
      </c>
      <c r="Q549" s="381">
        <v>0</v>
      </c>
      <c r="R549" s="381">
        <v>22000</v>
      </c>
      <c r="S549" s="381">
        <v>0</v>
      </c>
      <c r="T549" s="381">
        <v>0</v>
      </c>
      <c r="U549" s="381">
        <v>353000</v>
      </c>
      <c r="V549" s="381">
        <v>-81000</v>
      </c>
    </row>
    <row r="550" spans="2:22" hidden="1">
      <c r="B550" t="s">
        <v>976</v>
      </c>
      <c r="C550" t="s">
        <v>977</v>
      </c>
      <c r="D550" t="s">
        <v>25</v>
      </c>
      <c r="E550">
        <v>15096</v>
      </c>
      <c r="F550">
        <v>0</v>
      </c>
      <c r="H550"/>
      <c r="I550"/>
      <c r="J550"/>
      <c r="K550"/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557">
        <v>0</v>
      </c>
    </row>
    <row r="551" spans="2:22" hidden="1">
      <c r="B551" t="s">
        <v>978</v>
      </c>
      <c r="C551" t="s">
        <v>979</v>
      </c>
      <c r="D551" t="s">
        <v>25</v>
      </c>
      <c r="E551">
        <v>120000</v>
      </c>
      <c r="F551">
        <v>0</v>
      </c>
      <c r="H551"/>
      <c r="I551" s="381">
        <v>0</v>
      </c>
      <c r="J551" s="381">
        <v>0</v>
      </c>
      <c r="K551" s="381">
        <v>0</v>
      </c>
      <c r="L551" s="381">
        <v>0</v>
      </c>
      <c r="M551" s="381">
        <v>0</v>
      </c>
      <c r="N551" s="381">
        <v>0</v>
      </c>
      <c r="O551" s="381">
        <v>0</v>
      </c>
      <c r="P551" s="381">
        <v>0</v>
      </c>
      <c r="Q551" s="381">
        <v>0</v>
      </c>
      <c r="R551" s="381">
        <v>0</v>
      </c>
      <c r="S551" s="381">
        <v>0</v>
      </c>
      <c r="T551" s="381">
        <v>0</v>
      </c>
      <c r="U551" s="381">
        <v>0</v>
      </c>
      <c r="V551" s="381">
        <v>0</v>
      </c>
    </row>
    <row r="552" spans="2:22">
      <c r="B552" t="s">
        <v>980</v>
      </c>
      <c r="C552" t="s">
        <v>147</v>
      </c>
      <c r="D552" t="s">
        <v>25</v>
      </c>
      <c r="E552">
        <v>0</v>
      </c>
      <c r="F552">
        <v>16.82</v>
      </c>
      <c r="H552"/>
      <c r="I552" s="381"/>
      <c r="J552" s="381">
        <v>18</v>
      </c>
      <c r="K552" s="381">
        <v>-1.1800000000000002</v>
      </c>
      <c r="L552" s="381">
        <v>-7.0000000000000007E-2</v>
      </c>
      <c r="M552" s="381">
        <v>0.83</v>
      </c>
      <c r="N552" s="381">
        <v>-0.54</v>
      </c>
      <c r="O552" s="381">
        <v>0</v>
      </c>
      <c r="P552" s="381">
        <v>0</v>
      </c>
      <c r="Q552" s="381">
        <v>0</v>
      </c>
      <c r="R552" s="381">
        <v>0</v>
      </c>
      <c r="S552" s="381">
        <v>0</v>
      </c>
      <c r="T552" s="381">
        <v>0</v>
      </c>
      <c r="U552" s="381">
        <v>17.04</v>
      </c>
      <c r="V552" s="381">
        <v>0.21999999999999886</v>
      </c>
    </row>
    <row r="553" spans="2:22">
      <c r="B553" t="s">
        <v>981</v>
      </c>
      <c r="C553" t="s">
        <v>982</v>
      </c>
      <c r="D553" t="s">
        <v>152</v>
      </c>
      <c r="E553">
        <v>18000</v>
      </c>
      <c r="F553">
        <v>13500</v>
      </c>
      <c r="H553"/>
      <c r="I553" s="381"/>
      <c r="J553" s="381"/>
      <c r="K553" s="381"/>
      <c r="L553" s="381">
        <v>0</v>
      </c>
      <c r="M553" s="381">
        <v>0</v>
      </c>
      <c r="N553" s="381">
        <v>0</v>
      </c>
      <c r="O553" s="381">
        <v>1500</v>
      </c>
      <c r="P553" s="381">
        <v>1500</v>
      </c>
      <c r="Q553" s="381">
        <v>1500</v>
      </c>
      <c r="R553" s="381">
        <v>1500</v>
      </c>
      <c r="S553" s="381">
        <v>1500</v>
      </c>
      <c r="T553" s="381">
        <v>1500</v>
      </c>
      <c r="U553" s="381">
        <v>9000</v>
      </c>
      <c r="V553" s="381">
        <v>-4500</v>
      </c>
    </row>
    <row r="554" spans="2:22">
      <c r="B554" t="s">
        <v>983</v>
      </c>
      <c r="C554" t="s">
        <v>53</v>
      </c>
      <c r="D554" t="s">
        <v>54</v>
      </c>
      <c r="H554"/>
      <c r="I554" s="381"/>
      <c r="J554" s="381"/>
      <c r="K554" s="381"/>
      <c r="L554" s="381"/>
      <c r="M554" s="381">
        <v>227</v>
      </c>
      <c r="N554" s="381">
        <v>0</v>
      </c>
      <c r="O554" s="381"/>
      <c r="P554" s="381"/>
      <c r="Q554" s="381"/>
      <c r="R554" s="381"/>
      <c r="S554" s="381"/>
      <c r="T554" s="381"/>
      <c r="U554" s="381">
        <v>227</v>
      </c>
      <c r="V554" s="381">
        <v>227</v>
      </c>
    </row>
    <row r="555" spans="2:22">
      <c r="B555" t="s">
        <v>984</v>
      </c>
      <c r="C555" t="s">
        <v>676</v>
      </c>
      <c r="D555" t="s">
        <v>677</v>
      </c>
      <c r="E555">
        <v>0</v>
      </c>
      <c r="F555">
        <v>218.38</v>
      </c>
      <c r="H555"/>
      <c r="I555" s="381"/>
      <c r="J555" s="381"/>
      <c r="K555" s="381">
        <v>218.38</v>
      </c>
      <c r="L555" s="381">
        <v>0</v>
      </c>
      <c r="M555" s="381">
        <v>0</v>
      </c>
      <c r="N555" s="381">
        <v>0</v>
      </c>
      <c r="O555" s="381">
        <v>0</v>
      </c>
      <c r="P555" s="381">
        <v>0</v>
      </c>
      <c r="Q555" s="381">
        <v>0</v>
      </c>
      <c r="R555" s="381">
        <v>0</v>
      </c>
      <c r="S555" s="381">
        <v>0</v>
      </c>
      <c r="T555" s="381">
        <v>0</v>
      </c>
      <c r="U555" s="381">
        <v>218.38</v>
      </c>
      <c r="V555" s="381">
        <v>0</v>
      </c>
    </row>
    <row r="556" spans="2:22">
      <c r="B556" t="s">
        <v>985</v>
      </c>
      <c r="C556" t="s">
        <v>679</v>
      </c>
      <c r="D556" t="s">
        <v>54</v>
      </c>
      <c r="H556"/>
      <c r="I556" s="381"/>
      <c r="J556" s="381"/>
      <c r="K556" s="381"/>
      <c r="L556" s="381"/>
      <c r="M556" s="381">
        <v>417.44</v>
      </c>
      <c r="N556" s="381">
        <v>0</v>
      </c>
      <c r="O556" s="381"/>
      <c r="P556" s="381"/>
      <c r="Q556" s="381"/>
      <c r="R556" s="381"/>
      <c r="S556" s="381"/>
      <c r="T556" s="381"/>
      <c r="U556" s="381">
        <v>417.44</v>
      </c>
      <c r="V556" s="381">
        <v>417.44</v>
      </c>
    </row>
    <row r="557" spans="2:22">
      <c r="B557" t="s">
        <v>986</v>
      </c>
      <c r="C557" t="s">
        <v>817</v>
      </c>
      <c r="D557" t="s">
        <v>818</v>
      </c>
      <c r="E557">
        <v>8000</v>
      </c>
      <c r="F557">
        <v>17389.7</v>
      </c>
      <c r="H557"/>
      <c r="I557" s="381"/>
      <c r="J557" s="381"/>
      <c r="K557" s="381">
        <v>11389.7</v>
      </c>
      <c r="L557" s="381">
        <v>0</v>
      </c>
      <c r="M557" s="381">
        <v>0</v>
      </c>
      <c r="N557" s="381">
        <v>8531.9</v>
      </c>
      <c r="O557" s="381">
        <v>0</v>
      </c>
      <c r="P557" s="381">
        <v>0</v>
      </c>
      <c r="Q557" s="381">
        <v>2000</v>
      </c>
      <c r="R557" s="381">
        <v>0</v>
      </c>
      <c r="S557" s="381">
        <v>2000</v>
      </c>
      <c r="T557" s="381">
        <v>0</v>
      </c>
      <c r="U557" s="381">
        <v>23921.599999999999</v>
      </c>
      <c r="V557" s="381">
        <v>6531.8999999999978</v>
      </c>
    </row>
    <row r="558" spans="2:22" hidden="1">
      <c r="B558" t="s">
        <v>987</v>
      </c>
      <c r="C558" t="s">
        <v>147</v>
      </c>
      <c r="D558" t="s">
        <v>25</v>
      </c>
      <c r="E558">
        <v>0</v>
      </c>
      <c r="F558">
        <v>0.63</v>
      </c>
      <c r="H558"/>
      <c r="I558" s="381"/>
      <c r="J558" s="381"/>
      <c r="K558" s="381">
        <v>0.63</v>
      </c>
      <c r="L558" s="381">
        <v>0</v>
      </c>
      <c r="M558" s="381">
        <v>-0.28000000000000003</v>
      </c>
      <c r="N558" s="381">
        <v>0.1</v>
      </c>
      <c r="O558" s="381">
        <v>0</v>
      </c>
      <c r="P558" s="381">
        <v>0</v>
      </c>
      <c r="Q558" s="381">
        <v>0</v>
      </c>
      <c r="R558" s="381">
        <v>0</v>
      </c>
      <c r="S558" s="381">
        <v>0</v>
      </c>
      <c r="T558" s="381">
        <v>0</v>
      </c>
      <c r="U558" s="381">
        <v>0.44999999999999996</v>
      </c>
      <c r="V558" s="381">
        <v>-0.18000000000000005</v>
      </c>
    </row>
    <row r="559" spans="2:22">
      <c r="B559" t="s">
        <v>988</v>
      </c>
      <c r="C559" t="s">
        <v>657</v>
      </c>
      <c r="D559" t="s">
        <v>54</v>
      </c>
      <c r="H559"/>
      <c r="I559" s="381"/>
      <c r="J559" s="381"/>
      <c r="K559" s="381"/>
      <c r="L559" s="381">
        <v>-920.3</v>
      </c>
      <c r="M559" s="381">
        <v>0</v>
      </c>
      <c r="N559" s="381">
        <v>0</v>
      </c>
      <c r="O559" s="381"/>
      <c r="P559" s="381"/>
      <c r="Q559" s="381"/>
      <c r="R559" s="381"/>
      <c r="S559" s="381"/>
      <c r="T559" s="381"/>
      <c r="U559" s="381">
        <v>-920.3</v>
      </c>
      <c r="V559" s="381">
        <v>-920.3</v>
      </c>
    </row>
    <row r="560" spans="2:22">
      <c r="B560" t="s">
        <v>989</v>
      </c>
      <c r="C560" t="s">
        <v>659</v>
      </c>
      <c r="D560" t="s">
        <v>54</v>
      </c>
      <c r="H560"/>
      <c r="I560" s="381"/>
      <c r="J560" s="381"/>
      <c r="K560" s="381"/>
      <c r="L560" s="381">
        <v>-6115.8</v>
      </c>
      <c r="M560" s="381">
        <v>0</v>
      </c>
      <c r="N560" s="381">
        <v>0</v>
      </c>
      <c r="O560" s="381"/>
      <c r="P560" s="381"/>
      <c r="Q560" s="381"/>
      <c r="R560" s="381"/>
      <c r="S560" s="381"/>
      <c r="T560" s="381"/>
      <c r="U560" s="381">
        <v>-6115.8</v>
      </c>
      <c r="V560" s="381">
        <v>-6115.8</v>
      </c>
    </row>
    <row r="561" spans="2:22" hidden="1">
      <c r="B561" t="s">
        <v>990</v>
      </c>
      <c r="C561" t="s">
        <v>661</v>
      </c>
      <c r="D561" t="s">
        <v>25</v>
      </c>
      <c r="E561">
        <v>0</v>
      </c>
      <c r="F561">
        <v>0</v>
      </c>
      <c r="H561"/>
      <c r="I561">
        <v>-6074.45</v>
      </c>
      <c r="J561">
        <v>6074.45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s="557">
        <v>0</v>
      </c>
    </row>
    <row r="562" spans="2:22" hidden="1">
      <c r="B562" t="s">
        <v>991</v>
      </c>
      <c r="C562" t="s">
        <v>663</v>
      </c>
      <c r="D562" t="s">
        <v>25</v>
      </c>
      <c r="E562">
        <v>0</v>
      </c>
      <c r="F562">
        <v>0</v>
      </c>
      <c r="H562"/>
      <c r="I562">
        <v>-1978.48</v>
      </c>
      <c r="J562">
        <v>1978.48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s="557">
        <v>0</v>
      </c>
    </row>
    <row r="563" spans="2:22" hidden="1">
      <c r="B563" t="s">
        <v>992</v>
      </c>
      <c r="C563" t="s">
        <v>350</v>
      </c>
      <c r="D563" t="s">
        <v>25</v>
      </c>
      <c r="E563">
        <v>0</v>
      </c>
      <c r="F563">
        <v>0</v>
      </c>
      <c r="H563"/>
      <c r="I563" s="381">
        <v>-256.76</v>
      </c>
      <c r="J563" s="381">
        <v>256.76</v>
      </c>
      <c r="K563" s="381">
        <v>0</v>
      </c>
      <c r="L563" s="381">
        <v>0</v>
      </c>
      <c r="M563" s="381">
        <v>0</v>
      </c>
      <c r="N563" s="381">
        <v>0</v>
      </c>
      <c r="O563" s="381">
        <v>0</v>
      </c>
      <c r="P563" s="381">
        <v>0</v>
      </c>
      <c r="Q563" s="381">
        <v>0</v>
      </c>
      <c r="R563" s="381">
        <v>0</v>
      </c>
      <c r="S563" s="381">
        <v>0</v>
      </c>
      <c r="T563" s="381">
        <v>0</v>
      </c>
      <c r="U563" s="381">
        <v>0</v>
      </c>
      <c r="V563" s="381">
        <v>0</v>
      </c>
    </row>
    <row r="564" spans="2:22">
      <c r="B564" t="s">
        <v>993</v>
      </c>
      <c r="C564" t="s">
        <v>411</v>
      </c>
      <c r="D564" t="s">
        <v>25</v>
      </c>
      <c r="E564">
        <v>0</v>
      </c>
      <c r="F564">
        <v>0</v>
      </c>
      <c r="H564"/>
      <c r="I564" s="381"/>
      <c r="J564" s="381"/>
      <c r="K564" s="381">
        <v>0</v>
      </c>
      <c r="L564" s="381">
        <v>-184.67</v>
      </c>
      <c r="M564" s="381">
        <v>0</v>
      </c>
      <c r="N564" s="381">
        <v>0</v>
      </c>
      <c r="O564" s="381">
        <v>0</v>
      </c>
      <c r="P564" s="381">
        <v>0</v>
      </c>
      <c r="Q564" s="381">
        <v>0</v>
      </c>
      <c r="R564" s="381">
        <v>0</v>
      </c>
      <c r="S564" s="381">
        <v>0</v>
      </c>
      <c r="T564" s="381">
        <v>0</v>
      </c>
      <c r="U564" s="381">
        <v>-184.67</v>
      </c>
      <c r="V564" s="381">
        <v>-184.67</v>
      </c>
    </row>
    <row r="565" spans="2:22">
      <c r="B565" t="s">
        <v>994</v>
      </c>
      <c r="C565" t="s">
        <v>414</v>
      </c>
      <c r="D565" t="s">
        <v>54</v>
      </c>
      <c r="H565"/>
      <c r="I565" s="381"/>
      <c r="J565" s="381"/>
      <c r="K565" s="381"/>
      <c r="L565" s="381">
        <v>-451.1</v>
      </c>
      <c r="M565" s="381">
        <v>0</v>
      </c>
      <c r="N565" s="381">
        <v>0</v>
      </c>
      <c r="O565" s="381"/>
      <c r="P565" s="381"/>
      <c r="Q565" s="381"/>
      <c r="R565" s="381"/>
      <c r="S565" s="381"/>
      <c r="T565" s="381"/>
      <c r="U565" s="381">
        <v>-451.1</v>
      </c>
      <c r="V565" s="381">
        <v>-451.1</v>
      </c>
    </row>
    <row r="566" spans="2:22" hidden="1">
      <c r="B566" t="s">
        <v>995</v>
      </c>
      <c r="C566" t="s">
        <v>362</v>
      </c>
      <c r="D566" t="s">
        <v>54</v>
      </c>
      <c r="F566">
        <v>0</v>
      </c>
      <c r="H566"/>
      <c r="I566"/>
      <c r="J566"/>
      <c r="K566"/>
      <c r="L566">
        <v>0</v>
      </c>
      <c r="M566">
        <v>0</v>
      </c>
      <c r="N566">
        <v>0</v>
      </c>
      <c r="O566"/>
      <c r="P566"/>
      <c r="Q566"/>
      <c r="R566"/>
      <c r="S566"/>
      <c r="T566"/>
      <c r="U566">
        <v>0</v>
      </c>
      <c r="V566" s="557">
        <v>0</v>
      </c>
    </row>
    <row r="567" spans="2:22">
      <c r="B567" t="s">
        <v>996</v>
      </c>
      <c r="C567" t="s">
        <v>274</v>
      </c>
      <c r="D567" t="s">
        <v>310</v>
      </c>
      <c r="H567"/>
      <c r="I567" s="381"/>
      <c r="J567" s="381"/>
      <c r="K567" s="381"/>
      <c r="L567" s="381"/>
      <c r="M567" s="381">
        <v>227</v>
      </c>
      <c r="N567" s="381">
        <v>0</v>
      </c>
      <c r="O567" s="381"/>
      <c r="P567" s="381"/>
      <c r="Q567" s="381"/>
      <c r="R567" s="381"/>
      <c r="S567" s="381"/>
      <c r="T567" s="381"/>
      <c r="U567" s="381">
        <v>227</v>
      </c>
      <c r="V567" s="381">
        <v>227</v>
      </c>
    </row>
    <row r="568" spans="2:22">
      <c r="B568" t="s">
        <v>997</v>
      </c>
      <c r="C568" t="s">
        <v>51</v>
      </c>
      <c r="D568" t="s">
        <v>25</v>
      </c>
      <c r="E568">
        <v>0</v>
      </c>
      <c r="F568">
        <v>3484.7400000000002</v>
      </c>
      <c r="H568"/>
      <c r="I568" s="381"/>
      <c r="J568" s="381">
        <v>2116.94</v>
      </c>
      <c r="K568" s="381">
        <v>1367.8</v>
      </c>
      <c r="L568" s="381">
        <v>0</v>
      </c>
      <c r="M568" s="381">
        <v>682.06</v>
      </c>
      <c r="N568" s="381">
        <v>91.56</v>
      </c>
      <c r="O568" s="381">
        <v>0</v>
      </c>
      <c r="P568" s="381">
        <v>0</v>
      </c>
      <c r="Q568" s="381">
        <v>0</v>
      </c>
      <c r="R568" s="381">
        <v>0</v>
      </c>
      <c r="S568" s="381">
        <v>0</v>
      </c>
      <c r="T568" s="381">
        <v>0</v>
      </c>
      <c r="U568" s="381">
        <v>4258.3600000000006</v>
      </c>
      <c r="V568" s="381">
        <v>773.61999999999989</v>
      </c>
    </row>
    <row r="569" spans="2:22" hidden="1">
      <c r="B569" t="s">
        <v>998</v>
      </c>
      <c r="C569" t="s">
        <v>999</v>
      </c>
      <c r="D569" t="s">
        <v>1000</v>
      </c>
      <c r="E569">
        <v>0</v>
      </c>
      <c r="F569">
        <v>0</v>
      </c>
      <c r="H569"/>
      <c r="I569" s="381">
        <v>16675.14</v>
      </c>
      <c r="J569" s="381">
        <v>0</v>
      </c>
      <c r="K569" s="381">
        <v>-16675.14</v>
      </c>
      <c r="L569" s="381">
        <v>0</v>
      </c>
      <c r="M569" s="381">
        <v>0</v>
      </c>
      <c r="N569" s="381">
        <v>0</v>
      </c>
      <c r="O569" s="381"/>
      <c r="P569" s="381"/>
      <c r="Q569" s="381"/>
      <c r="R569" s="381"/>
      <c r="S569" s="381"/>
      <c r="T569" s="381"/>
      <c r="U569" s="381">
        <v>0</v>
      </c>
      <c r="V569" s="381">
        <v>0</v>
      </c>
    </row>
    <row r="570" spans="2:22">
      <c r="B570" t="s">
        <v>1001</v>
      </c>
      <c r="C570" t="s">
        <v>578</v>
      </c>
      <c r="D570" t="s">
        <v>272</v>
      </c>
      <c r="E570">
        <v>0</v>
      </c>
      <c r="F570">
        <v>139.72999999999999</v>
      </c>
      <c r="H570"/>
      <c r="I570">
        <v>139.72999999999999</v>
      </c>
      <c r="J570">
        <v>139.72999999999999</v>
      </c>
      <c r="K570">
        <v>-139.72999999999999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139.72999999999999</v>
      </c>
      <c r="V570" s="557">
        <v>0</v>
      </c>
    </row>
    <row r="571" spans="2:22">
      <c r="B571" t="s">
        <v>1002</v>
      </c>
      <c r="C571" t="s">
        <v>365</v>
      </c>
      <c r="D571" t="s">
        <v>54</v>
      </c>
      <c r="H571"/>
      <c r="I571" s="381"/>
      <c r="J571" s="381"/>
      <c r="K571" s="381"/>
      <c r="L571" s="381"/>
      <c r="M571" s="381">
        <v>200</v>
      </c>
      <c r="N571" s="381">
        <v>223.09</v>
      </c>
      <c r="O571" s="381"/>
      <c r="P571" s="381"/>
      <c r="Q571" s="381"/>
      <c r="R571" s="381"/>
      <c r="S571" s="381"/>
      <c r="T571" s="381"/>
      <c r="U571" s="381">
        <v>423.09000000000003</v>
      </c>
      <c r="V571" s="381">
        <v>423.09000000000003</v>
      </c>
    </row>
    <row r="572" spans="2:22">
      <c r="B572" t="s">
        <v>1003</v>
      </c>
      <c r="C572" t="s">
        <v>676</v>
      </c>
      <c r="D572" t="s">
        <v>677</v>
      </c>
      <c r="E572">
        <v>6000</v>
      </c>
      <c r="F572">
        <v>14338.59</v>
      </c>
      <c r="H572"/>
      <c r="I572" s="381">
        <v>795.92</v>
      </c>
      <c r="J572" s="381">
        <v>7504.51</v>
      </c>
      <c r="K572" s="381">
        <v>1538.16</v>
      </c>
      <c r="L572" s="381">
        <v>1141.3400000000001</v>
      </c>
      <c r="M572" s="381">
        <v>2808.96</v>
      </c>
      <c r="N572" s="381">
        <v>672.49</v>
      </c>
      <c r="O572" s="381">
        <v>500</v>
      </c>
      <c r="P572" s="381">
        <v>500</v>
      </c>
      <c r="Q572" s="381">
        <v>500</v>
      </c>
      <c r="R572" s="381">
        <v>500</v>
      </c>
      <c r="S572" s="381">
        <v>500</v>
      </c>
      <c r="T572" s="381">
        <v>500</v>
      </c>
      <c r="U572" s="381">
        <v>17461.38</v>
      </c>
      <c r="V572" s="381">
        <v>3122.7900000000009</v>
      </c>
    </row>
    <row r="573" spans="2:22">
      <c r="B573" t="s">
        <v>1004</v>
      </c>
      <c r="C573" t="s">
        <v>679</v>
      </c>
      <c r="D573" t="s">
        <v>680</v>
      </c>
      <c r="E573">
        <v>36000</v>
      </c>
      <c r="F573">
        <v>48569.39</v>
      </c>
      <c r="H573"/>
      <c r="I573" s="381">
        <v>6465</v>
      </c>
      <c r="J573" s="381">
        <v>5197.6400000000003</v>
      </c>
      <c r="K573" s="381">
        <v>9906.75</v>
      </c>
      <c r="L573" s="381">
        <v>17671</v>
      </c>
      <c r="M573" s="381">
        <v>9482</v>
      </c>
      <c r="N573" s="381">
        <v>14223</v>
      </c>
      <c r="O573" s="381">
        <v>3000</v>
      </c>
      <c r="P573" s="381">
        <v>3000</v>
      </c>
      <c r="Q573" s="381">
        <v>3000</v>
      </c>
      <c r="R573" s="381">
        <v>3000</v>
      </c>
      <c r="S573" s="381">
        <v>3000</v>
      </c>
      <c r="T573" s="381">
        <v>3000</v>
      </c>
      <c r="U573" s="381">
        <v>80945.39</v>
      </c>
      <c r="V573" s="381">
        <v>32376</v>
      </c>
    </row>
    <row r="574" spans="2:22">
      <c r="B574" t="s">
        <v>1005</v>
      </c>
      <c r="C574" t="s">
        <v>585</v>
      </c>
      <c r="D574" t="s">
        <v>57</v>
      </c>
      <c r="E574">
        <v>0</v>
      </c>
      <c r="F574">
        <v>1537.03</v>
      </c>
      <c r="H574"/>
      <c r="I574"/>
      <c r="J574"/>
      <c r="K574">
        <v>279.45999999999998</v>
      </c>
      <c r="L574">
        <v>139.72999999999999</v>
      </c>
      <c r="M574">
        <v>139.72999999999999</v>
      </c>
      <c r="N574">
        <v>139.72999999999999</v>
      </c>
      <c r="O574">
        <v>139.72999999999999</v>
      </c>
      <c r="P574">
        <v>139.72999999999999</v>
      </c>
      <c r="Q574">
        <v>139.72999999999999</v>
      </c>
      <c r="R574">
        <v>139.72999999999999</v>
      </c>
      <c r="S574">
        <v>139.72999999999999</v>
      </c>
      <c r="T574">
        <v>139.72999999999999</v>
      </c>
      <c r="U574">
        <v>1537.03</v>
      </c>
      <c r="V574" s="557">
        <v>0</v>
      </c>
    </row>
    <row r="575" spans="2:22">
      <c r="B575" t="s">
        <v>1006</v>
      </c>
      <c r="C575" t="s">
        <v>817</v>
      </c>
      <c r="D575" t="s">
        <v>818</v>
      </c>
      <c r="E575">
        <v>0</v>
      </c>
      <c r="F575">
        <v>3981.53</v>
      </c>
      <c r="H575"/>
      <c r="I575" s="381"/>
      <c r="J575" s="381"/>
      <c r="K575" s="381">
        <v>3981.53</v>
      </c>
      <c r="L575" s="381">
        <v>174.65</v>
      </c>
      <c r="M575" s="381">
        <v>0</v>
      </c>
      <c r="N575" s="381">
        <v>3986.33</v>
      </c>
      <c r="O575" s="381">
        <v>0</v>
      </c>
      <c r="P575" s="381">
        <v>0</v>
      </c>
      <c r="Q575" s="381">
        <v>0</v>
      </c>
      <c r="R575" s="381">
        <v>0</v>
      </c>
      <c r="S575" s="381">
        <v>0</v>
      </c>
      <c r="T575" s="381">
        <v>0</v>
      </c>
      <c r="U575" s="381">
        <v>8142.51</v>
      </c>
      <c r="V575" s="381">
        <v>4160.9799999999996</v>
      </c>
    </row>
    <row r="576" spans="2:22">
      <c r="B576" t="s">
        <v>1007</v>
      </c>
      <c r="C576" t="s">
        <v>1008</v>
      </c>
      <c r="D576" t="s">
        <v>57</v>
      </c>
      <c r="E576">
        <v>3348</v>
      </c>
      <c r="F576">
        <v>2511</v>
      </c>
      <c r="H576"/>
      <c r="I576" s="381"/>
      <c r="J576" s="381"/>
      <c r="K576" s="381"/>
      <c r="L576" s="381">
        <v>0</v>
      </c>
      <c r="M576" s="381">
        <v>0</v>
      </c>
      <c r="N576" s="381">
        <v>0</v>
      </c>
      <c r="O576" s="381">
        <v>279</v>
      </c>
      <c r="P576" s="381">
        <v>279</v>
      </c>
      <c r="Q576" s="381">
        <v>279</v>
      </c>
      <c r="R576" s="381">
        <v>279</v>
      </c>
      <c r="S576" s="381">
        <v>279</v>
      </c>
      <c r="T576" s="381">
        <v>279</v>
      </c>
      <c r="U576" s="381">
        <v>1674</v>
      </c>
      <c r="V576" s="381">
        <v>-837</v>
      </c>
    </row>
    <row r="577" spans="1:22">
      <c r="B577" t="s">
        <v>1009</v>
      </c>
      <c r="C577" t="s">
        <v>1010</v>
      </c>
      <c r="D577" t="s">
        <v>25</v>
      </c>
      <c r="E577">
        <v>500</v>
      </c>
      <c r="F577">
        <v>500</v>
      </c>
      <c r="H577"/>
      <c r="I577" s="381"/>
      <c r="J577" s="381"/>
      <c r="K577" s="381"/>
      <c r="L577" s="381">
        <v>0</v>
      </c>
      <c r="M577" s="381">
        <v>0</v>
      </c>
      <c r="N577" s="381">
        <v>0</v>
      </c>
      <c r="O577" s="381"/>
      <c r="P577" s="381"/>
      <c r="Q577" s="381"/>
      <c r="R577" s="381"/>
      <c r="S577" s="381">
        <v>500</v>
      </c>
      <c r="T577" s="381">
        <v>0</v>
      </c>
      <c r="U577" s="381">
        <v>500</v>
      </c>
      <c r="V577" s="381">
        <v>0</v>
      </c>
    </row>
    <row r="578" spans="1:22" hidden="1">
      <c r="B578" t="s">
        <v>1011</v>
      </c>
      <c r="C578" t="s">
        <v>1012</v>
      </c>
      <c r="D578" t="s">
        <v>25</v>
      </c>
      <c r="E578">
        <v>130</v>
      </c>
      <c r="F578">
        <v>130</v>
      </c>
      <c r="H578"/>
      <c r="I578" s="381"/>
      <c r="J578" s="381"/>
      <c r="K578" s="381"/>
      <c r="L578" s="381">
        <v>0</v>
      </c>
      <c r="M578" s="381">
        <v>0</v>
      </c>
      <c r="N578" s="381">
        <v>0</v>
      </c>
      <c r="O578" s="381">
        <v>0</v>
      </c>
      <c r="P578" s="381">
        <v>0</v>
      </c>
      <c r="Q578" s="381">
        <v>0</v>
      </c>
      <c r="R578" s="381">
        <v>0</v>
      </c>
      <c r="S578" s="381">
        <v>0</v>
      </c>
      <c r="T578" s="381">
        <v>0</v>
      </c>
      <c r="U578" s="381">
        <v>0</v>
      </c>
      <c r="V578" s="381">
        <v>-130</v>
      </c>
    </row>
    <row r="579" spans="1:22" hidden="1">
      <c r="B579" t="s">
        <v>1013</v>
      </c>
      <c r="C579" t="s">
        <v>1014</v>
      </c>
      <c r="D579" t="s">
        <v>25</v>
      </c>
      <c r="E579">
        <v>250000</v>
      </c>
      <c r="F579">
        <v>250000</v>
      </c>
      <c r="H579"/>
      <c r="I579" s="381"/>
      <c r="J579" s="381"/>
      <c r="K579" s="381"/>
      <c r="L579" s="381">
        <v>0</v>
      </c>
      <c r="M579" s="381">
        <v>0</v>
      </c>
      <c r="N579" s="381">
        <v>0</v>
      </c>
      <c r="O579" s="381">
        <v>0</v>
      </c>
      <c r="P579" s="381">
        <v>0</v>
      </c>
      <c r="Q579" s="381">
        <v>0</v>
      </c>
      <c r="R579" s="381">
        <v>0</v>
      </c>
      <c r="S579" s="381">
        <v>0</v>
      </c>
      <c r="T579" s="381">
        <v>0</v>
      </c>
      <c r="U579" s="381">
        <v>0</v>
      </c>
      <c r="V579" s="381">
        <v>-250000</v>
      </c>
    </row>
    <row r="580" spans="1:22">
      <c r="B580" t="s">
        <v>1015</v>
      </c>
      <c r="C580" t="s">
        <v>147</v>
      </c>
      <c r="D580" t="s">
        <v>25</v>
      </c>
      <c r="E580">
        <v>0</v>
      </c>
      <c r="F580">
        <v>1991.1399999999999</v>
      </c>
      <c r="H580"/>
      <c r="I580" s="381">
        <v>45.15</v>
      </c>
      <c r="J580" s="381">
        <v>0.2</v>
      </c>
      <c r="K580" s="381">
        <v>1945.79</v>
      </c>
      <c r="L580" s="381">
        <v>12.72</v>
      </c>
      <c r="M580" s="381">
        <v>29.21</v>
      </c>
      <c r="N580" s="381">
        <v>7.18</v>
      </c>
      <c r="O580" s="381">
        <v>0</v>
      </c>
      <c r="P580" s="381">
        <v>0</v>
      </c>
      <c r="Q580" s="381">
        <v>0</v>
      </c>
      <c r="R580" s="381">
        <v>0</v>
      </c>
      <c r="S580" s="381">
        <v>0</v>
      </c>
      <c r="T580" s="381">
        <v>0</v>
      </c>
      <c r="U580" s="381">
        <v>2040.2499999999995</v>
      </c>
      <c r="V580" s="381">
        <v>49.109999999999673</v>
      </c>
    </row>
    <row r="581" spans="1:22">
      <c r="B581" t="s">
        <v>1016</v>
      </c>
      <c r="C581" t="s">
        <v>51</v>
      </c>
      <c r="D581" t="s">
        <v>25</v>
      </c>
      <c r="E581">
        <v>0</v>
      </c>
      <c r="F581">
        <v>200.42</v>
      </c>
      <c r="H581"/>
      <c r="I581" s="381"/>
      <c r="J581" s="381"/>
      <c r="K581" s="381">
        <v>200.42</v>
      </c>
      <c r="L581" s="381">
        <v>0</v>
      </c>
      <c r="M581" s="381">
        <v>0</v>
      </c>
      <c r="N581" s="381">
        <v>0</v>
      </c>
      <c r="O581" s="381">
        <v>0</v>
      </c>
      <c r="P581" s="381">
        <v>0</v>
      </c>
      <c r="Q581" s="381">
        <v>0</v>
      </c>
      <c r="R581" s="381">
        <v>0</v>
      </c>
      <c r="S581" s="381">
        <v>0</v>
      </c>
      <c r="T581" s="381">
        <v>0</v>
      </c>
      <c r="U581" s="381">
        <v>200.42</v>
      </c>
      <c r="V581" s="381">
        <v>0</v>
      </c>
    </row>
    <row r="582" spans="1:22">
      <c r="B582" t="s">
        <v>1017</v>
      </c>
      <c r="C582" t="s">
        <v>676</v>
      </c>
      <c r="D582" t="s">
        <v>677</v>
      </c>
      <c r="E582">
        <v>838.44</v>
      </c>
      <c r="F582">
        <v>1759.95</v>
      </c>
      <c r="H582"/>
      <c r="I582" s="381"/>
      <c r="J582" s="381">
        <v>921.51</v>
      </c>
      <c r="K582" s="381">
        <v>0</v>
      </c>
      <c r="L582" s="381">
        <v>717.38</v>
      </c>
      <c r="M582" s="381">
        <v>227</v>
      </c>
      <c r="N582" s="381">
        <v>0</v>
      </c>
      <c r="O582" s="381">
        <v>0</v>
      </c>
      <c r="P582" s="381">
        <v>550</v>
      </c>
      <c r="Q582" s="381">
        <v>288.44</v>
      </c>
      <c r="R582" s="381">
        <v>0</v>
      </c>
      <c r="S582" s="381">
        <v>0</v>
      </c>
      <c r="T582" s="381">
        <v>0</v>
      </c>
      <c r="U582" s="381">
        <v>2704.33</v>
      </c>
      <c r="V582" s="381">
        <v>944.37999999999988</v>
      </c>
    </row>
    <row r="583" spans="1:22">
      <c r="B583" t="s">
        <v>1018</v>
      </c>
      <c r="C583" t="s">
        <v>679</v>
      </c>
      <c r="D583" t="s">
        <v>680</v>
      </c>
      <c r="E583">
        <v>4500</v>
      </c>
      <c r="F583">
        <v>8574.7199999999993</v>
      </c>
      <c r="H583"/>
      <c r="I583" s="381">
        <v>431</v>
      </c>
      <c r="J583" s="381">
        <v>2586</v>
      </c>
      <c r="K583" s="381">
        <v>2182.7199999999998</v>
      </c>
      <c r="L583" s="381">
        <v>431</v>
      </c>
      <c r="M583" s="381">
        <v>0</v>
      </c>
      <c r="N583" s="381">
        <v>1724</v>
      </c>
      <c r="O583" s="381">
        <v>375</v>
      </c>
      <c r="P583" s="381">
        <v>375</v>
      </c>
      <c r="Q583" s="381">
        <v>375</v>
      </c>
      <c r="R583" s="381">
        <v>375</v>
      </c>
      <c r="S583" s="381">
        <v>375</v>
      </c>
      <c r="T583" s="381">
        <v>375</v>
      </c>
      <c r="U583" s="381">
        <v>9604.7199999999993</v>
      </c>
      <c r="V583" s="381">
        <v>1030</v>
      </c>
    </row>
    <row r="584" spans="1:22" hidden="1">
      <c r="B584" t="s">
        <v>1019</v>
      </c>
      <c r="C584" t="s">
        <v>1020</v>
      </c>
      <c r="D584" t="s">
        <v>1021</v>
      </c>
      <c r="E584">
        <v>340000</v>
      </c>
      <c r="F584">
        <v>340000</v>
      </c>
      <c r="H584"/>
      <c r="I584" s="381"/>
      <c r="J584" s="381"/>
      <c r="K584" s="381"/>
      <c r="L584" s="381">
        <v>0</v>
      </c>
      <c r="M584" s="381">
        <v>0</v>
      </c>
      <c r="N584" s="381">
        <v>0</v>
      </c>
      <c r="O584" s="381">
        <v>0</v>
      </c>
      <c r="P584" s="381">
        <v>0</v>
      </c>
      <c r="Q584" s="381">
        <v>0</v>
      </c>
      <c r="R584" s="381">
        <v>0</v>
      </c>
      <c r="S584" s="381">
        <v>0</v>
      </c>
      <c r="T584" s="381">
        <v>0</v>
      </c>
      <c r="U584" s="381">
        <v>0</v>
      </c>
      <c r="V584" s="381">
        <v>-340000</v>
      </c>
    </row>
    <row r="585" spans="1:22">
      <c r="B585" t="s">
        <v>1022</v>
      </c>
      <c r="C585" t="s">
        <v>817</v>
      </c>
      <c r="D585" t="s">
        <v>818</v>
      </c>
      <c r="E585">
        <v>17784.52</v>
      </c>
      <c r="F585">
        <v>32897.279999999999</v>
      </c>
      <c r="H585"/>
      <c r="I585" s="381"/>
      <c r="J585" s="381"/>
      <c r="K585" s="381">
        <v>8224.32</v>
      </c>
      <c r="L585" s="381">
        <v>0</v>
      </c>
      <c r="M585" s="381">
        <v>0</v>
      </c>
      <c r="N585" s="381">
        <v>10506.24</v>
      </c>
      <c r="O585" s="381">
        <v>0</v>
      </c>
      <c r="P585" s="381">
        <v>0</v>
      </c>
      <c r="Q585" s="381">
        <v>8224.32</v>
      </c>
      <c r="R585" s="381">
        <v>0</v>
      </c>
      <c r="S585" s="381">
        <v>8224.32</v>
      </c>
      <c r="T585" s="381">
        <v>0</v>
      </c>
      <c r="U585" s="381">
        <v>35179.199999999997</v>
      </c>
      <c r="V585" s="381">
        <v>2281.9199999999983</v>
      </c>
    </row>
    <row r="586" spans="1:22">
      <c r="B586" t="s">
        <v>1023</v>
      </c>
      <c r="C586" t="s">
        <v>1024</v>
      </c>
      <c r="D586" t="s">
        <v>25</v>
      </c>
      <c r="E586">
        <v>156778.01999999999</v>
      </c>
      <c r="F586">
        <v>156778.01999999999</v>
      </c>
      <c r="H586"/>
      <c r="I586" s="381">
        <v>10768</v>
      </c>
      <c r="J586" s="381">
        <v>146010.01999999999</v>
      </c>
      <c r="K586" s="381">
        <v>0</v>
      </c>
      <c r="L586" s="381">
        <v>0</v>
      </c>
      <c r="M586" s="381">
        <v>0</v>
      </c>
      <c r="N586" s="381">
        <v>0</v>
      </c>
      <c r="O586" s="381">
        <v>0</v>
      </c>
      <c r="P586" s="381">
        <v>0</v>
      </c>
      <c r="Q586" s="381">
        <v>0</v>
      </c>
      <c r="R586" s="381">
        <v>0</v>
      </c>
      <c r="S586" s="381">
        <v>0</v>
      </c>
      <c r="T586" s="381">
        <v>0</v>
      </c>
      <c r="U586" s="381">
        <v>156778.01999999999</v>
      </c>
      <c r="V586" s="381">
        <v>0</v>
      </c>
    </row>
    <row r="587" spans="1:22">
      <c r="B587" t="s">
        <v>1025</v>
      </c>
      <c r="C587" t="s">
        <v>147</v>
      </c>
      <c r="D587" t="s">
        <v>25</v>
      </c>
      <c r="E587">
        <v>0</v>
      </c>
      <c r="F587">
        <v>227.23999999999998</v>
      </c>
      <c r="H587"/>
      <c r="I587"/>
      <c r="J587">
        <v>-0.02</v>
      </c>
      <c r="K587">
        <v>227.26</v>
      </c>
      <c r="L587">
        <v>0</v>
      </c>
      <c r="M587">
        <v>0</v>
      </c>
      <c r="N587">
        <v>-0.24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226.99999999999997</v>
      </c>
      <c r="V587" s="557">
        <v>-0.24000000000000909</v>
      </c>
    </row>
    <row r="588" spans="1:22">
      <c r="A588" t="s">
        <v>1026</v>
      </c>
      <c r="E588">
        <v>30471473.679991998</v>
      </c>
      <c r="F588">
        <v>29600857.599996995</v>
      </c>
      <c r="H588"/>
      <c r="I588" s="381">
        <v>10946170.180000003</v>
      </c>
      <c r="J588" s="381">
        <v>-7288350.1499999966</v>
      </c>
      <c r="K588" s="381">
        <v>2619335.5599999991</v>
      </c>
      <c r="L588" s="381">
        <v>-3759.7699999999895</v>
      </c>
      <c r="M588" s="381">
        <v>4429546.5099999988</v>
      </c>
      <c r="N588" s="381">
        <v>2212861.21</v>
      </c>
      <c r="O588" s="381">
        <v>167477.55333300002</v>
      </c>
      <c r="P588" s="381">
        <v>4206842.9533330007</v>
      </c>
      <c r="Q588" s="381">
        <v>2975299.7233329997</v>
      </c>
      <c r="R588" s="381">
        <v>1987085.0733330001</v>
      </c>
      <c r="S588" s="381">
        <v>4005080.7433329998</v>
      </c>
      <c r="T588" s="381">
        <v>2710783.5833329996</v>
      </c>
      <c r="U588" s="381">
        <v>28968373.16999799</v>
      </c>
      <c r="V588" s="381">
        <v>-632484.42999899981</v>
      </c>
    </row>
    <row r="589" spans="1:22">
      <c r="A589" t="s">
        <v>1027</v>
      </c>
      <c r="B589" t="s">
        <v>1028</v>
      </c>
      <c r="C589" t="s">
        <v>1029</v>
      </c>
      <c r="D589" t="s">
        <v>25</v>
      </c>
      <c r="E589">
        <v>78300</v>
      </c>
      <c r="F589">
        <v>66834.209999999992</v>
      </c>
      <c r="H589"/>
      <c r="I589" s="381">
        <v>1226.82</v>
      </c>
      <c r="J589" s="381">
        <v>2395.3000000000002</v>
      </c>
      <c r="K589" s="381">
        <v>3412.09</v>
      </c>
      <c r="L589" s="381">
        <v>1981.51</v>
      </c>
      <c r="M589" s="381">
        <v>3729.5099999999993</v>
      </c>
      <c r="N589" s="381">
        <v>4401.7200000000012</v>
      </c>
      <c r="O589" s="381">
        <v>6500</v>
      </c>
      <c r="P589" s="381">
        <v>6500</v>
      </c>
      <c r="Q589" s="381">
        <v>6900</v>
      </c>
      <c r="R589" s="381">
        <v>6900</v>
      </c>
      <c r="S589" s="381">
        <v>6900</v>
      </c>
      <c r="T589" s="381">
        <v>6900</v>
      </c>
      <c r="U589" s="381">
        <v>57746.95</v>
      </c>
      <c r="V589" s="381">
        <v>-9087.260000000002</v>
      </c>
    </row>
    <row r="590" spans="1:22">
      <c r="B590" t="s">
        <v>1030</v>
      </c>
      <c r="C590" t="s">
        <v>1029</v>
      </c>
      <c r="D590" t="s">
        <v>25</v>
      </c>
      <c r="E590">
        <v>0</v>
      </c>
      <c r="F590">
        <v>39.089999999999996</v>
      </c>
      <c r="H590"/>
      <c r="I590" s="381">
        <v>-39.24</v>
      </c>
      <c r="J590" s="381">
        <v>78.33</v>
      </c>
      <c r="K590" s="381">
        <v>0</v>
      </c>
      <c r="L590" s="381">
        <v>101.53</v>
      </c>
      <c r="M590" s="381">
        <v>0</v>
      </c>
      <c r="N590" s="381">
        <v>0</v>
      </c>
      <c r="O590" s="381">
        <v>0</v>
      </c>
      <c r="P590" s="381">
        <v>0</v>
      </c>
      <c r="Q590" s="381">
        <v>0</v>
      </c>
      <c r="R590" s="381">
        <v>0</v>
      </c>
      <c r="S590" s="381">
        <v>0</v>
      </c>
      <c r="T590" s="381">
        <v>0</v>
      </c>
      <c r="U590" s="381">
        <v>140.62</v>
      </c>
      <c r="V590" s="381">
        <v>101.53</v>
      </c>
    </row>
    <row r="591" spans="1:22">
      <c r="B591" t="s">
        <v>1031</v>
      </c>
      <c r="C591" t="s">
        <v>1029</v>
      </c>
      <c r="D591" t="s">
        <v>25</v>
      </c>
      <c r="E591">
        <v>0</v>
      </c>
      <c r="F591">
        <v>208.93</v>
      </c>
      <c r="H591"/>
      <c r="I591" s="381">
        <v>-76.86</v>
      </c>
      <c r="J591" s="381">
        <v>111.1</v>
      </c>
      <c r="K591" s="381">
        <v>174.69</v>
      </c>
      <c r="L591" s="381">
        <v>0</v>
      </c>
      <c r="M591" s="381">
        <v>108.31</v>
      </c>
      <c r="N591" s="381">
        <v>60.089999999999996</v>
      </c>
      <c r="O591" s="381">
        <v>0</v>
      </c>
      <c r="P591" s="381">
        <v>0</v>
      </c>
      <c r="Q591" s="381">
        <v>0</v>
      </c>
      <c r="R591" s="381">
        <v>0</v>
      </c>
      <c r="S591" s="381">
        <v>0</v>
      </c>
      <c r="T591" s="381">
        <v>0</v>
      </c>
      <c r="U591" s="381">
        <v>377.33</v>
      </c>
      <c r="V591" s="381">
        <v>168.39999999999998</v>
      </c>
    </row>
    <row r="592" spans="1:22">
      <c r="B592" t="s">
        <v>1032</v>
      </c>
      <c r="C592" t="s">
        <v>321</v>
      </c>
      <c r="D592" t="s">
        <v>25</v>
      </c>
      <c r="E592">
        <v>0</v>
      </c>
      <c r="F592">
        <v>8.51</v>
      </c>
      <c r="H592"/>
      <c r="I592"/>
      <c r="J592">
        <v>8.51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8.51</v>
      </c>
      <c r="V592" s="557">
        <v>0</v>
      </c>
    </row>
    <row r="593" spans="1:22">
      <c r="B593" t="s">
        <v>1033</v>
      </c>
      <c r="C593" t="s">
        <v>636</v>
      </c>
      <c r="D593" t="s">
        <v>25</v>
      </c>
      <c r="E593">
        <v>0</v>
      </c>
      <c r="F593">
        <v>11.32</v>
      </c>
      <c r="H593"/>
      <c r="I593"/>
      <c r="J593">
        <v>11.32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11.32</v>
      </c>
      <c r="V593" s="557">
        <v>0</v>
      </c>
    </row>
    <row r="594" spans="1:22">
      <c r="B594" t="s">
        <v>1034</v>
      </c>
      <c r="C594" t="s">
        <v>1029</v>
      </c>
      <c r="D594" t="s">
        <v>25</v>
      </c>
      <c r="E594">
        <v>161100</v>
      </c>
      <c r="F594">
        <v>135200.23000000001</v>
      </c>
      <c r="H594"/>
      <c r="I594" s="381">
        <v>3367.22</v>
      </c>
      <c r="J594" s="381">
        <v>4842.91</v>
      </c>
      <c r="K594" s="381">
        <v>4990.0999999999995</v>
      </c>
      <c r="L594" s="381">
        <v>5767.6399999999985</v>
      </c>
      <c r="M594" s="381">
        <v>8567.6500000000033</v>
      </c>
      <c r="N594" s="381">
        <v>5275.4199999999992</v>
      </c>
      <c r="O594" s="381">
        <v>13700</v>
      </c>
      <c r="P594" s="381">
        <v>13900</v>
      </c>
      <c r="Q594" s="381">
        <v>13900</v>
      </c>
      <c r="R594" s="381">
        <v>13900</v>
      </c>
      <c r="S594" s="381">
        <v>14000</v>
      </c>
      <c r="T594" s="381">
        <v>14000</v>
      </c>
      <c r="U594" s="381">
        <v>116210.94</v>
      </c>
      <c r="V594" s="381">
        <v>-18989.289999999994</v>
      </c>
    </row>
    <row r="595" spans="1:22">
      <c r="B595" t="s">
        <v>1035</v>
      </c>
      <c r="C595" t="s">
        <v>1029</v>
      </c>
      <c r="D595" t="s">
        <v>25</v>
      </c>
      <c r="E595">
        <v>18800</v>
      </c>
      <c r="F595">
        <v>15498</v>
      </c>
      <c r="H595"/>
      <c r="I595" s="381">
        <v>102</v>
      </c>
      <c r="J595" s="381">
        <v>121</v>
      </c>
      <c r="K595" s="381">
        <v>675</v>
      </c>
      <c r="L595" s="381">
        <v>1883.5499999999997</v>
      </c>
      <c r="M595" s="381">
        <v>861.93999999999994</v>
      </c>
      <c r="N595" s="381">
        <v>234.03</v>
      </c>
      <c r="O595" s="381">
        <v>1500</v>
      </c>
      <c r="P595" s="381">
        <v>1700</v>
      </c>
      <c r="Q595" s="381">
        <v>1700</v>
      </c>
      <c r="R595" s="381">
        <v>1700</v>
      </c>
      <c r="S595" s="381">
        <v>1700</v>
      </c>
      <c r="T595" s="381">
        <v>1700</v>
      </c>
      <c r="U595" s="381">
        <v>13877.52</v>
      </c>
      <c r="V595" s="381">
        <v>-1620.4799999999996</v>
      </c>
    </row>
    <row r="596" spans="1:22">
      <c r="A596" t="s">
        <v>1036</v>
      </c>
      <c r="E596">
        <v>258200</v>
      </c>
      <c r="F596">
        <v>217800.28999999998</v>
      </c>
      <c r="H596"/>
      <c r="I596" s="381">
        <v>4579.9399999999996</v>
      </c>
      <c r="J596" s="381">
        <v>7568.47</v>
      </c>
      <c r="K596" s="381">
        <v>9251.8799999999992</v>
      </c>
      <c r="L596" s="381">
        <v>9734.2299999999977</v>
      </c>
      <c r="M596" s="381">
        <v>13267.410000000003</v>
      </c>
      <c r="N596" s="381">
        <v>9971.26</v>
      </c>
      <c r="O596" s="381">
        <v>21700</v>
      </c>
      <c r="P596" s="381">
        <v>22100</v>
      </c>
      <c r="Q596" s="381">
        <v>22500</v>
      </c>
      <c r="R596" s="381">
        <v>22500</v>
      </c>
      <c r="S596" s="381">
        <v>22600</v>
      </c>
      <c r="T596" s="381">
        <v>22600</v>
      </c>
      <c r="U596" s="381">
        <v>188373.19</v>
      </c>
      <c r="V596" s="381">
        <v>-29427.099999999995</v>
      </c>
    </row>
    <row r="597" spans="1:22">
      <c r="A597" t="s">
        <v>1037</v>
      </c>
      <c r="B597" t="s">
        <v>1038</v>
      </c>
      <c r="C597" t="s">
        <v>1039</v>
      </c>
      <c r="D597" t="s">
        <v>1040</v>
      </c>
      <c r="E597">
        <v>0</v>
      </c>
      <c r="F597">
        <v>7229.12</v>
      </c>
      <c r="H597"/>
      <c r="I597" s="381">
        <v>302.32</v>
      </c>
      <c r="J597" s="381">
        <v>-569.02</v>
      </c>
      <c r="K597" s="381">
        <v>7495.82</v>
      </c>
      <c r="L597" s="381">
        <v>10869.350000000002</v>
      </c>
      <c r="M597" s="381">
        <v>-6494.7800000000007</v>
      </c>
      <c r="N597" s="381">
        <v>3959.4700000000003</v>
      </c>
      <c r="O597" s="381">
        <v>0</v>
      </c>
      <c r="P597" s="381">
        <v>0</v>
      </c>
      <c r="Q597" s="381">
        <v>0</v>
      </c>
      <c r="R597" s="381">
        <v>0</v>
      </c>
      <c r="S597" s="381">
        <v>0</v>
      </c>
      <c r="T597" s="381">
        <v>0</v>
      </c>
      <c r="U597" s="381">
        <v>15563.16</v>
      </c>
      <c r="V597" s="381">
        <v>8334.0400000000009</v>
      </c>
    </row>
    <row r="598" spans="1:22">
      <c r="B598" t="s">
        <v>1041</v>
      </c>
      <c r="C598" t="s">
        <v>1039</v>
      </c>
      <c r="D598" t="s">
        <v>1040</v>
      </c>
      <c r="E598">
        <v>0</v>
      </c>
      <c r="F598">
        <v>995.34</v>
      </c>
      <c r="H598"/>
      <c r="I598" s="381">
        <v>948.99</v>
      </c>
      <c r="J598" s="381">
        <v>0</v>
      </c>
      <c r="K598" s="381">
        <v>46.35</v>
      </c>
      <c r="L598" s="381">
        <v>0</v>
      </c>
      <c r="M598" s="381">
        <v>0</v>
      </c>
      <c r="N598" s="381">
        <v>0</v>
      </c>
      <c r="O598" s="381">
        <v>0</v>
      </c>
      <c r="P598" s="381">
        <v>0</v>
      </c>
      <c r="Q598" s="381">
        <v>0</v>
      </c>
      <c r="R598" s="381">
        <v>0</v>
      </c>
      <c r="S598" s="381">
        <v>0</v>
      </c>
      <c r="T598" s="381">
        <v>0</v>
      </c>
      <c r="U598" s="381">
        <v>995.34</v>
      </c>
      <c r="V598" s="381">
        <v>0</v>
      </c>
    </row>
    <row r="599" spans="1:22">
      <c r="B599" t="s">
        <v>1042</v>
      </c>
      <c r="C599" t="s">
        <v>1039</v>
      </c>
      <c r="D599" t="s">
        <v>1040</v>
      </c>
      <c r="E599">
        <v>0</v>
      </c>
      <c r="F599">
        <v>1947.4499999999998</v>
      </c>
      <c r="H599"/>
      <c r="I599" s="381">
        <v>1400.32</v>
      </c>
      <c r="J599" s="381">
        <v>547.13</v>
      </c>
      <c r="K599" s="381">
        <v>0</v>
      </c>
      <c r="L599" s="381">
        <v>0</v>
      </c>
      <c r="M599" s="381">
        <v>0</v>
      </c>
      <c r="N599" s="381">
        <v>0</v>
      </c>
      <c r="O599" s="381">
        <v>0</v>
      </c>
      <c r="P599" s="381">
        <v>0</v>
      </c>
      <c r="Q599" s="381">
        <v>0</v>
      </c>
      <c r="R599" s="381">
        <v>0</v>
      </c>
      <c r="S599" s="381">
        <v>0</v>
      </c>
      <c r="T599" s="381">
        <v>0</v>
      </c>
      <c r="U599" s="381">
        <v>1947.4499999999998</v>
      </c>
      <c r="V599" s="381">
        <v>0</v>
      </c>
    </row>
    <row r="600" spans="1:22">
      <c r="B600" t="s">
        <v>1043</v>
      </c>
      <c r="C600" t="s">
        <v>1044</v>
      </c>
      <c r="D600" t="s">
        <v>272</v>
      </c>
      <c r="E600">
        <v>0</v>
      </c>
      <c r="F600">
        <v>485.43</v>
      </c>
      <c r="H600"/>
      <c r="I600" s="381"/>
      <c r="J600" s="381"/>
      <c r="K600" s="381">
        <v>485.43</v>
      </c>
      <c r="L600" s="381">
        <v>0</v>
      </c>
      <c r="M600" s="381">
        <v>0</v>
      </c>
      <c r="N600" s="381">
        <v>0</v>
      </c>
      <c r="O600" s="381">
        <v>0</v>
      </c>
      <c r="P600" s="381">
        <v>0</v>
      </c>
      <c r="Q600" s="381">
        <v>0</v>
      </c>
      <c r="R600" s="381">
        <v>0</v>
      </c>
      <c r="S600" s="381">
        <v>0</v>
      </c>
      <c r="T600" s="381">
        <v>0</v>
      </c>
      <c r="U600" s="381">
        <v>485.43</v>
      </c>
      <c r="V600" s="381">
        <v>0</v>
      </c>
    </row>
    <row r="601" spans="1:22">
      <c r="B601" t="s">
        <v>1045</v>
      </c>
      <c r="C601" t="s">
        <v>318</v>
      </c>
      <c r="D601" t="s">
        <v>25</v>
      </c>
      <c r="E601">
        <v>0</v>
      </c>
      <c r="F601">
        <v>1583.99</v>
      </c>
      <c r="H601"/>
      <c r="I601" s="381"/>
      <c r="J601" s="381"/>
      <c r="K601" s="381">
        <v>1583.99</v>
      </c>
      <c r="L601" s="381">
        <v>0</v>
      </c>
      <c r="M601" s="381">
        <v>0</v>
      </c>
      <c r="N601" s="381">
        <v>0</v>
      </c>
      <c r="O601" s="381">
        <v>0</v>
      </c>
      <c r="P601" s="381">
        <v>0</v>
      </c>
      <c r="Q601" s="381">
        <v>0</v>
      </c>
      <c r="R601" s="381">
        <v>0</v>
      </c>
      <c r="S601" s="381">
        <v>0</v>
      </c>
      <c r="T601" s="381">
        <v>0</v>
      </c>
      <c r="U601" s="381">
        <v>1583.99</v>
      </c>
      <c r="V601" s="381">
        <v>0</v>
      </c>
    </row>
    <row r="602" spans="1:22">
      <c r="B602" t="s">
        <v>1046</v>
      </c>
      <c r="C602" t="s">
        <v>323</v>
      </c>
      <c r="D602" t="s">
        <v>25</v>
      </c>
      <c r="E602">
        <v>0</v>
      </c>
      <c r="F602">
        <v>64.67</v>
      </c>
      <c r="H602"/>
      <c r="I602" s="381"/>
      <c r="J602" s="381">
        <v>64.67</v>
      </c>
      <c r="K602" s="381">
        <v>0</v>
      </c>
      <c r="L602" s="381">
        <v>0</v>
      </c>
      <c r="M602" s="381">
        <v>0</v>
      </c>
      <c r="N602" s="381">
        <v>0</v>
      </c>
      <c r="O602" s="381">
        <v>0</v>
      </c>
      <c r="P602" s="381">
        <v>0</v>
      </c>
      <c r="Q602" s="381">
        <v>0</v>
      </c>
      <c r="R602" s="381">
        <v>0</v>
      </c>
      <c r="S602" s="381">
        <v>0</v>
      </c>
      <c r="T602" s="381">
        <v>0</v>
      </c>
      <c r="U602" s="381">
        <v>64.67</v>
      </c>
      <c r="V602" s="381">
        <v>0</v>
      </c>
    </row>
    <row r="603" spans="1:22">
      <c r="B603" t="s">
        <v>1047</v>
      </c>
      <c r="C603" t="s">
        <v>1039</v>
      </c>
      <c r="D603" t="s">
        <v>1040</v>
      </c>
      <c r="E603">
        <v>0</v>
      </c>
      <c r="F603">
        <v>-444046.86</v>
      </c>
      <c r="H603"/>
      <c r="I603" s="381">
        <v>-468441.25</v>
      </c>
      <c r="J603" s="381">
        <v>21435.370000000003</v>
      </c>
      <c r="K603" s="381">
        <v>2959.02</v>
      </c>
      <c r="L603" s="381">
        <v>12472.65</v>
      </c>
      <c r="M603" s="381">
        <v>-603.2900000000003</v>
      </c>
      <c r="N603" s="381">
        <v>5264.72</v>
      </c>
      <c r="O603" s="381">
        <v>0</v>
      </c>
      <c r="P603" s="381">
        <v>0</v>
      </c>
      <c r="Q603" s="381">
        <v>0</v>
      </c>
      <c r="R603" s="381">
        <v>0</v>
      </c>
      <c r="S603" s="381">
        <v>0</v>
      </c>
      <c r="T603" s="381">
        <v>0</v>
      </c>
      <c r="U603" s="381">
        <v>-426912.77999999997</v>
      </c>
      <c r="V603" s="381">
        <v>17134.080000000002</v>
      </c>
    </row>
    <row r="604" spans="1:22">
      <c r="B604" t="s">
        <v>1048</v>
      </c>
      <c r="C604" t="s">
        <v>1049</v>
      </c>
      <c r="D604" t="s">
        <v>44</v>
      </c>
      <c r="E604">
        <v>285714.29000400001</v>
      </c>
      <c r="F604">
        <v>214285.71750299999</v>
      </c>
      <c r="H604"/>
      <c r="I604" s="381"/>
      <c r="J604" s="381"/>
      <c r="K604" s="381"/>
      <c r="L604" s="381">
        <v>0</v>
      </c>
      <c r="M604" s="381">
        <v>0</v>
      </c>
      <c r="N604" s="381">
        <v>0</v>
      </c>
      <c r="O604" s="381">
        <v>23809.524167</v>
      </c>
      <c r="P604" s="381">
        <v>23809.524167</v>
      </c>
      <c r="Q604" s="381">
        <v>23809.524167</v>
      </c>
      <c r="R604" s="381">
        <v>23809.524167</v>
      </c>
      <c r="S604" s="381">
        <v>23809.524167</v>
      </c>
      <c r="T604" s="381">
        <v>23809.524167</v>
      </c>
      <c r="U604" s="381">
        <v>142857.145002</v>
      </c>
      <c r="V604" s="381">
        <v>-71428.572500999988</v>
      </c>
    </row>
    <row r="605" spans="1:22">
      <c r="B605" t="s">
        <v>1050</v>
      </c>
      <c r="C605" t="s">
        <v>1039</v>
      </c>
      <c r="D605" t="s">
        <v>1040</v>
      </c>
      <c r="E605">
        <v>0</v>
      </c>
      <c r="F605">
        <v>17997.310000000001</v>
      </c>
      <c r="H605"/>
      <c r="I605" s="381">
        <v>401</v>
      </c>
      <c r="J605" s="381">
        <v>11440.6</v>
      </c>
      <c r="K605" s="381">
        <v>6155.71</v>
      </c>
      <c r="L605" s="381">
        <v>1364.6499999999996</v>
      </c>
      <c r="M605" s="381">
        <v>535.48</v>
      </c>
      <c r="N605" s="381">
        <v>1808.77</v>
      </c>
      <c r="O605" s="381">
        <v>0</v>
      </c>
      <c r="P605" s="381">
        <v>0</v>
      </c>
      <c r="Q605" s="381">
        <v>0</v>
      </c>
      <c r="R605" s="381">
        <v>0</v>
      </c>
      <c r="S605" s="381">
        <v>0</v>
      </c>
      <c r="T605" s="381">
        <v>0</v>
      </c>
      <c r="U605" s="381">
        <v>21706.21</v>
      </c>
      <c r="V605" s="381">
        <v>3708.8999999999978</v>
      </c>
    </row>
    <row r="606" spans="1:22">
      <c r="A606" t="s">
        <v>1051</v>
      </c>
      <c r="E606">
        <v>285714.29000400001</v>
      </c>
      <c r="F606">
        <v>-199457.832497</v>
      </c>
      <c r="H606"/>
      <c r="I606" s="381">
        <v>-465388.62</v>
      </c>
      <c r="J606" s="381">
        <v>32918.75</v>
      </c>
      <c r="K606" s="381">
        <v>18726.32</v>
      </c>
      <c r="L606" s="381">
        <v>24706.65</v>
      </c>
      <c r="M606" s="381">
        <v>-6562.59</v>
      </c>
      <c r="N606" s="381">
        <v>11032.960000000001</v>
      </c>
      <c r="O606" s="381">
        <v>23809.524167</v>
      </c>
      <c r="P606" s="381">
        <v>23809.524167</v>
      </c>
      <c r="Q606" s="381">
        <v>23809.524167</v>
      </c>
      <c r="R606" s="381">
        <v>23809.524167</v>
      </c>
      <c r="S606" s="381">
        <v>23809.524167</v>
      </c>
      <c r="T606" s="381">
        <v>23809.524167</v>
      </c>
      <c r="U606" s="381">
        <v>-241709.38499799996</v>
      </c>
      <c r="V606" s="381">
        <v>-42251.552500999984</v>
      </c>
    </row>
    <row r="607" spans="1:22">
      <c r="A607" t="s">
        <v>1052</v>
      </c>
      <c r="E607">
        <v>143852839.33998999</v>
      </c>
      <c r="F607">
        <v>127116568.77019592</v>
      </c>
      <c r="H607"/>
      <c r="I607" s="381">
        <v>23394262.159999989</v>
      </c>
      <c r="J607" s="381">
        <v>-766426.91999999247</v>
      </c>
      <c r="K607" s="381">
        <v>10624250.360000001</v>
      </c>
      <c r="L607" s="381">
        <v>11304785.120000005</v>
      </c>
      <c r="M607" s="381">
        <v>10087343.96000001</v>
      </c>
      <c r="N607" s="381">
        <v>11179044.490000004</v>
      </c>
      <c r="O607" s="381">
        <v>8692098.0381572563</v>
      </c>
      <c r="P607" s="381">
        <v>13228554.215355609</v>
      </c>
      <c r="Q607" s="381">
        <v>9856073.4886614401</v>
      </c>
      <c r="R607" s="381">
        <v>9104264.5268416051</v>
      </c>
      <c r="S607" s="381">
        <v>11021883.415480496</v>
      </c>
      <c r="T607" s="381">
        <v>9531482.1171611603</v>
      </c>
      <c r="U607" s="381">
        <v>127257614.97165748</v>
      </c>
      <c r="V607" s="381">
        <v>141046.20146161929</v>
      </c>
    </row>
    <row r="608" spans="1:22"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</sheetData>
  <autoFilter ref="A2:V607" xr:uid="{46023768-D0A2-4013-AD27-2A9FBBE7C8F5}">
    <filterColumn colId="20">
      <filters blank="1">
        <filter val="(1,486)"/>
        <filter val="(1,584)"/>
        <filter val="(1,733)"/>
        <filter val="(10,419)"/>
        <filter val="(10,742)"/>
        <filter val="(104)"/>
        <filter val="(11,392)"/>
        <filter val="(11,818)"/>
        <filter val="(115,764)"/>
        <filter val="(118,715)"/>
        <filter val="(12,412)"/>
        <filter val="(120,000)"/>
        <filter val="(13,810)"/>
        <filter val="(136,110)"/>
        <filter val="(145,000)"/>
        <filter val="(185)"/>
        <filter val="(19,225)"/>
        <filter val="(2,525)"/>
        <filter val="(2,578)"/>
        <filter val="(2,916)"/>
        <filter val="(20,642)"/>
        <filter val="(213,108)"/>
        <filter val="(237,343)"/>
        <filter val="(241,709)"/>
        <filter val="(269)"/>
        <filter val="(3,033)"/>
        <filter val="(300,100)"/>
        <filter val="(38,081)"/>
        <filter val="(4,133)"/>
        <filter val="(4,284)"/>
        <filter val="(4,833)"/>
        <filter val="(41,168)"/>
        <filter val="(426,913)"/>
        <filter val="(451)"/>
        <filter val="(48,807)"/>
        <filter val="(5)"/>
        <filter val="(5,000)"/>
        <filter val="(5,040)"/>
        <filter val="(5,358)"/>
        <filter val="(54,295)"/>
        <filter val="(551,382)"/>
        <filter val="(6,098)"/>
        <filter val="(6,116)"/>
        <filter val="(613,659)"/>
        <filter val="(639)"/>
        <filter val="(736,534)"/>
        <filter val="(76,110)"/>
        <filter val="(8,179)"/>
        <filter val="(872,297)"/>
        <filter val="(91,332)"/>
        <filter val="(920)"/>
        <filter val="(99,858)"/>
        <filter val="0.33"/>
        <filter val="0.7"/>
        <filter val="1,042"/>
        <filter val="1,080"/>
        <filter val="1,100,040"/>
        <filter val="1,107"/>
        <filter val="1,117,785"/>
        <filter val="1,148"/>
        <filter val="1,155,031"/>
        <filter val="1,157,513"/>
        <filter val="1,197,114"/>
        <filter val="1,318,956"/>
        <filter val="1,397"/>
        <filter val="1,472,198"/>
        <filter val="1,500"/>
        <filter val="1,513,628"/>
        <filter val="1,524"/>
        <filter val="1,584"/>
        <filter val="1,647,349"/>
        <filter val="1,672"/>
        <filter val="1,674"/>
        <filter val="1,765"/>
        <filter val="1,906,747"/>
        <filter val="1,947"/>
        <filter val="1,950,793"/>
        <filter val="10,400"/>
        <filter val="10,421"/>
        <filter val="10,583"/>
        <filter val="10,591"/>
        <filter val="10,795"/>
        <filter val="10,947"/>
        <filter val="100070"/>
        <filter val="103,464"/>
        <filter val="1060"/>
        <filter val="108.52"/>
        <filter val="-108.52"/>
        <filter val="-1080865.32"/>
        <filter val="11,264"/>
        <filter val="11,327"/>
        <filter val="11.32"/>
        <filter val="11026"/>
        <filter val="112500"/>
        <filter val="112717.21"/>
        <filter val="113"/>
        <filter val="113,350"/>
        <filter val="114,340"/>
        <filter val="115764.16"/>
        <filter val="116,211"/>
        <filter val="118,219"/>
        <filter val="12,430"/>
        <filter val="12,458"/>
        <filter val="122,960"/>
        <filter val="123,539"/>
        <filter val="127,257,615"/>
        <filter val="13,000"/>
        <filter val="13,372"/>
        <filter val="13,799"/>
        <filter val="13,878"/>
        <filter val="130.62"/>
        <filter val="139.73"/>
        <filter val="13925358.95"/>
        <filter val="14,084"/>
        <filter val="14,482"/>
        <filter val="14,585"/>
        <filter val="14,865,348"/>
        <filter val="14,985"/>
        <filter val="140,180"/>
        <filter val="141"/>
        <filter val="142,857"/>
        <filter val="143,000"/>
        <filter val="14410.45"/>
        <filter val="146,619"/>
        <filter val="15,413"/>
        <filter val="15,563"/>
        <filter val="15,780"/>
        <filter val="15,831"/>
        <filter val="15,911,708"/>
        <filter val="150,000"/>
        <filter val="150,062"/>
        <filter val="1520"/>
        <filter val="1537.03"/>
        <filter val="156,778"/>
        <filter val="157,637"/>
        <filter val="159,302"/>
        <filter val="16"/>
        <filter val="16,476"/>
        <filter val="16,958"/>
        <filter val="160,500"/>
        <filter val="163,004"/>
        <filter val="169,168"/>
        <filter val="17"/>
        <filter val="17,461"/>
        <filter val="18"/>
        <filter val="18,061"/>
        <filter val="18,444"/>
        <filter val="180,511"/>
        <filter val="180,666"/>
        <filter val="188,373"/>
        <filter val="19"/>
        <filter val="190"/>
        <filter val="192"/>
        <filter val="196875"/>
        <filter val="2,016"/>
        <filter val="2,040"/>
        <filter val="2,076"/>
        <filter val="2,170"/>
        <filter val="2,289"/>
        <filter val="2,300"/>
        <filter val="2,441,213"/>
        <filter val="2,512"/>
        <filter val="2,602"/>
        <filter val="2,604"/>
        <filter val="2,658"/>
        <filter val="2,704"/>
        <filter val="2,780"/>
        <filter val="20,415"/>
        <filter val="20.21"/>
        <filter val="200"/>
        <filter val="200,000"/>
        <filter val="203,430"/>
        <filter val="204,128"/>
        <filter val="206,643"/>
        <filter val="207,477"/>
        <filter val="21,118"/>
        <filter val="21,281,002"/>
        <filter val="21,706"/>
        <filter val="21098.22"/>
        <filter val="2120"/>
        <filter val="214"/>
        <filter val="214.49"/>
        <filter val="21665.52"/>
        <filter val="218"/>
        <filter val="22,219"/>
        <filter val="22,574"/>
        <filter val="22,675"/>
        <filter val="22,858"/>
        <filter val="220.29"/>
        <filter val="227"/>
        <filter val="227,862"/>
        <filter val="22871.91"/>
        <filter val="23,100"/>
        <filter val="23,350"/>
        <filter val="23,519"/>
        <filter val="23,573"/>
        <filter val="23,922"/>
        <filter val="236,167"/>
        <filter val="24"/>
        <filter val="24,500"/>
        <filter val="244,860"/>
        <filter val="2475"/>
        <filter val="25,000"/>
        <filter val="25,456"/>
        <filter val="25,808"/>
        <filter val="25000"/>
        <filter val="25070.73"/>
        <filter val="254,523"/>
        <filter val="26,501"/>
        <filter val="26,666"/>
        <filter val="270,737"/>
        <filter val="28"/>
        <filter val="28,838"/>
        <filter val="28,968,373"/>
        <filter val="280,120"/>
        <filter val="282,078"/>
        <filter val="292"/>
        <filter val="297194"/>
        <filter val="298.9"/>
        <filter val="299,818"/>
        <filter val="3,000"/>
        <filter val="3,059,886"/>
        <filter val="3,074"/>
        <filter val="3,219"/>
        <filter val="3,285"/>
        <filter val="3,335"/>
        <filter val="3,558"/>
        <filter val="3,622"/>
        <filter val="3,661"/>
        <filter val="3,681"/>
        <filter val="3,710"/>
        <filter val="3,862"/>
        <filter val="3.5"/>
        <filter val="30,000"/>
        <filter val="30,392"/>
        <filter val="300,000"/>
        <filter val="301,447"/>
        <filter val="301,850"/>
        <filter val="308"/>
        <filter val="-30860.66"/>
        <filter val="31,328"/>
        <filter val="313,400"/>
        <filter val="319,298"/>
        <filter val="32,083"/>
        <filter val="32000"/>
        <filter val="33,418"/>
        <filter val="33,978"/>
        <filter val="335,929"/>
        <filter val="335904.04"/>
        <filter val="339,864"/>
        <filter val="34,755,401"/>
        <filter val="341,292"/>
        <filter val="34902723.72"/>
        <filter val="35,179"/>
        <filter val="35,630"/>
        <filter val="35,703"/>
        <filter val="353,000"/>
        <filter val="353,346"/>
        <filter val="353,631"/>
        <filter val="35569"/>
        <filter val="356.72"/>
        <filter val="36,701"/>
        <filter val="361,718"/>
        <filter val="368,391"/>
        <filter val="369,579"/>
        <filter val="37,661"/>
        <filter val="37,697"/>
        <filter val="37,752"/>
        <filter val="376200"/>
        <filter val="377"/>
        <filter val="38"/>
        <filter val="38,006"/>
        <filter val="384,929"/>
        <filter val="39,000"/>
        <filter val="39,115"/>
        <filter val="39,296"/>
        <filter val="399,589"/>
        <filter val="4,258"/>
        <filter val="4,269"/>
        <filter val="4,349"/>
        <filter val="4,356,988"/>
        <filter val="4,476,129"/>
        <filter val="4,572"/>
        <filter val="4,715,607"/>
        <filter val="4,804"/>
        <filter val="40,000"/>
        <filter val="40,938,303"/>
        <filter val="40,987"/>
        <filter val="400"/>
        <filter val="4000"/>
        <filter val="414"/>
        <filter val="415,899"/>
        <filter val="416,130"/>
        <filter val="417"/>
        <filter val="42,000"/>
        <filter val="420,981"/>
        <filter val="421"/>
        <filter val="423"/>
        <filter val="431.03"/>
        <filter val="433"/>
        <filter val="446"/>
        <filter val="45"/>
        <filter val="45,218"/>
        <filter val="45000"/>
        <filter val="47,025"/>
        <filter val="485"/>
        <filter val="49,060"/>
        <filter val="49,500"/>
        <filter val="495,396"/>
        <filter val="5,000"/>
        <filter val="5,299"/>
        <filter val="5,323"/>
        <filter val="5,530"/>
        <filter val="5,723"/>
        <filter val="50,000"/>
        <filter val="500"/>
        <filter val="51,460"/>
        <filter val="51,655"/>
        <filter val="53,431"/>
        <filter val="55,148"/>
        <filter val="550"/>
        <filter val="55716.44"/>
        <filter val="56250"/>
        <filter val="57,111"/>
        <filter val="57,199"/>
        <filter val="57,310"/>
        <filter val="57,747"/>
        <filter val="58,000"/>
        <filter val="58,152"/>
        <filter val="58,875"/>
        <filter val="586,746"/>
        <filter val="6,000"/>
        <filter val="6,756"/>
        <filter val="600"/>
        <filter val="60000"/>
        <filter val="607"/>
        <filter val="62,154"/>
        <filter val="6232.2"/>
        <filter val="624226"/>
        <filter val="63,445"/>
        <filter val="-6328660.51"/>
        <filter val="637,353"/>
        <filter val="64,528"/>
        <filter val="-6407318.48"/>
        <filter val="65"/>
        <filter val="65,000"/>
        <filter val="650"/>
        <filter val="650,000"/>
        <filter val="66,000"/>
        <filter val="66,932"/>
        <filter val="68,401"/>
        <filter val="68,879"/>
        <filter val="693"/>
        <filter val="7,200"/>
        <filter val="7,300,000"/>
        <filter val="7,350"/>
        <filter val="7,365"/>
        <filter val="7,429"/>
        <filter val="7,833"/>
        <filter val="7,850"/>
        <filter val="70,950"/>
        <filter val="707,960"/>
        <filter val="71,440"/>
        <filter val="72,000"/>
        <filter val="720"/>
        <filter val="7271.4"/>
        <filter val="73"/>
        <filter val="75,000"/>
        <filter val="750"/>
        <filter val="76,232"/>
        <filter val="768"/>
        <filter val="774"/>
        <filter val="79"/>
        <filter val="798,006"/>
        <filter val="8,143"/>
        <filter val="8,152"/>
        <filter val="8,213"/>
        <filter val="8,333"/>
        <filter val="8,518"/>
        <filter val="8,633"/>
        <filter val="8,896"/>
        <filter val="8.51"/>
        <filter val="80,731"/>
        <filter val="80,878"/>
        <filter val="80,945"/>
        <filter val="83,308"/>
        <filter val="84,000"/>
        <filter val="85,716"/>
        <filter val="876,992"/>
        <filter val="9,000"/>
        <filter val="9,459"/>
        <filter val="9,583"/>
        <filter val="9,605"/>
        <filter val="9,981"/>
        <filter val="90"/>
        <filter val="90,000"/>
        <filter val="90000"/>
        <filter val="904.37"/>
        <filter val="-904.37"/>
        <filter val="908"/>
        <filter val="92"/>
        <filter val="94,506"/>
        <filter val="948,001"/>
        <filter val="96,431"/>
        <filter val="96,577"/>
        <filter val="961.71"/>
        <filter val="99,600"/>
        <filter val="995"/>
        <filter val="Sum of 2026 Working Tot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37E9-3166-4765-BD1B-B66B0F3635BD}">
  <sheetPr>
    <pageSetUpPr fitToPage="1"/>
  </sheetPr>
  <dimension ref="A1:BY682"/>
  <sheetViews>
    <sheetView tabSelected="1" topLeftCell="B1" zoomScale="80" zoomScaleNormal="80" workbookViewId="0">
      <pane xSplit="3" topLeftCell="M1" activePane="topRight" state="frozen"/>
      <selection pane="topRight" activeCell="O62" sqref="O62"/>
      <selection activeCell="B1" sqref="B1"/>
    </sheetView>
  </sheetViews>
  <sheetFormatPr defaultColWidth="9.140625" defaultRowHeight="15" customHeight="1" outlineLevelCol="2"/>
  <cols>
    <col min="1" max="1" width="10.5703125" bestFit="1" customWidth="1"/>
    <col min="2" max="2" width="59.140625" hidden="1" customWidth="1" outlineLevel="1"/>
    <col min="3" max="3" width="9.140625" hidden="1" customWidth="1" outlineLevel="1"/>
    <col min="4" max="4" width="54.28515625" hidden="1" customWidth="1" outlineLevel="1"/>
    <col min="5" max="5" width="18" hidden="1" customWidth="1" outlineLevel="1"/>
    <col min="6" max="6" width="7.85546875" hidden="1" customWidth="1" outlineLevel="1"/>
    <col min="7" max="7" width="9.5703125" hidden="1" customWidth="1" outlineLevel="1"/>
    <col min="8" max="8" width="16.140625" hidden="1" customWidth="1" collapsed="1"/>
    <col min="9" max="9" width="10.140625" customWidth="1" collapsed="1"/>
    <col min="10" max="10" width="18.140625" customWidth="1"/>
    <col min="11" max="11" width="6.140625" style="1" customWidth="1"/>
    <col min="12" max="12" width="36.140625" style="318" customWidth="1"/>
    <col min="13" max="13" width="8.7109375" style="10" customWidth="1"/>
    <col min="14" max="14" width="13.42578125" style="320" customWidth="1"/>
    <col min="15" max="15" width="19.42578125" customWidth="1"/>
    <col min="16" max="16" width="9" customWidth="1"/>
    <col min="17" max="17" width="9.85546875" customWidth="1"/>
    <col min="18" max="18" width="5.7109375" customWidth="1"/>
    <col min="19" max="19" width="5.85546875" customWidth="1"/>
    <col min="20" max="20" width="19.42578125" customWidth="1"/>
    <col min="21" max="21" width="17.42578125" bestFit="1" customWidth="1"/>
    <col min="22" max="22" width="18.42578125" bestFit="1" customWidth="1"/>
    <col min="23" max="25" width="14.7109375" bestFit="1" customWidth="1"/>
    <col min="26" max="28" width="11.85546875" style="321" customWidth="1" outlineLevel="2"/>
    <col min="29" max="29" width="11.85546875" style="419" customWidth="1" outlineLevel="2"/>
    <col min="30" max="37" width="11.85546875" customWidth="1" outlineLevel="2"/>
    <col min="38" max="38" width="16.140625" bestFit="1" customWidth="1"/>
    <col min="39" max="39" width="22.5703125" bestFit="1" customWidth="1"/>
    <col min="40" max="40" width="21" customWidth="1" outlineLevel="1"/>
    <col min="41" max="41" width="22.5703125" customWidth="1" outlineLevel="1"/>
    <col min="42" max="42" width="18.28515625" style="321" customWidth="1"/>
    <col min="43" max="43" width="12.85546875" style="1" bestFit="1" customWidth="1"/>
    <col min="44" max="44" width="18.28515625" bestFit="1" customWidth="1"/>
    <col min="45" max="45" width="50.85546875" style="4" customWidth="1"/>
    <col min="46" max="46" width="15.5703125" style="15" customWidth="1" outlineLevel="2"/>
    <col min="47" max="57" width="12.85546875" style="15" customWidth="1" outlineLevel="2"/>
    <col min="58" max="58" width="19.5703125" style="15" bestFit="1" customWidth="1"/>
    <col min="59" max="59" width="20" customWidth="1" outlineLevel="1"/>
    <col min="60" max="70" width="13.7109375" customWidth="1" outlineLevel="1"/>
    <col min="71" max="71" width="22.42578125" bestFit="1" customWidth="1"/>
    <col min="72" max="72" width="9.140625" bestFit="1" customWidth="1"/>
  </cols>
  <sheetData>
    <row r="1" spans="1:77" ht="15" customHeight="1">
      <c r="B1" s="1"/>
      <c r="C1" s="1"/>
      <c r="D1" s="1"/>
      <c r="E1" s="1"/>
      <c r="F1" s="1"/>
      <c r="G1" s="1"/>
      <c r="H1" s="1"/>
      <c r="I1" s="1"/>
      <c r="J1" s="1"/>
      <c r="L1" s="2"/>
      <c r="M1" s="1"/>
      <c r="N1" s="791"/>
      <c r="O1" s="1"/>
      <c r="P1" s="1"/>
      <c r="Q1" s="1"/>
      <c r="R1" s="3"/>
      <c r="S1" s="3"/>
      <c r="T1" s="4"/>
      <c r="AE1" s="1"/>
      <c r="AF1" s="1"/>
      <c r="AG1" s="1"/>
      <c r="AH1" s="1"/>
      <c r="AI1" s="1"/>
      <c r="AJ1" s="1"/>
      <c r="AK1" s="1"/>
    </row>
    <row r="2" spans="1:77" s="5" customFormat="1" ht="15" customHeight="1">
      <c r="B2" s="6"/>
      <c r="C2" s="6"/>
      <c r="D2" s="322"/>
      <c r="E2" s="6"/>
      <c r="F2" s="6"/>
      <c r="G2" s="6"/>
      <c r="H2" s="6"/>
      <c r="I2" s="6"/>
      <c r="J2" s="1"/>
      <c r="K2" s="510"/>
      <c r="L2" s="7"/>
      <c r="M2" s="322"/>
      <c r="N2" s="796"/>
      <c r="O2" s="6"/>
      <c r="P2" s="6"/>
      <c r="Q2" s="322"/>
      <c r="R2" s="8"/>
      <c r="S2" s="8"/>
      <c r="T2" s="6"/>
      <c r="V2" s="5">
        <f>V3-AL3</f>
        <v>57848.839999999851</v>
      </c>
      <c r="AE2" s="6"/>
      <c r="AF2" s="6"/>
      <c r="AG2" s="6"/>
      <c r="AH2" s="6"/>
      <c r="AI2" s="6"/>
      <c r="AJ2" s="6"/>
      <c r="AK2" s="6"/>
      <c r="AQ2" s="6"/>
      <c r="AS2" s="9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</row>
    <row r="3" spans="1:77" ht="15" customHeight="1">
      <c r="A3" s="10"/>
      <c r="B3" s="1"/>
      <c r="C3" s="1"/>
      <c r="D3" s="1"/>
      <c r="E3" s="1"/>
      <c r="F3" s="1"/>
      <c r="G3" s="1"/>
      <c r="H3" s="1"/>
      <c r="I3" s="1"/>
      <c r="J3" s="1"/>
      <c r="L3" s="2"/>
      <c r="M3" s="1"/>
      <c r="N3" s="791"/>
      <c r="O3" s="1"/>
      <c r="P3" s="1"/>
      <c r="Q3" s="1"/>
      <c r="R3" s="3"/>
      <c r="S3" s="3"/>
      <c r="T3" s="4"/>
      <c r="U3" s="11">
        <f>V3-554586-35645</f>
        <v>554347.85999999987</v>
      </c>
      <c r="V3" s="11">
        <f>SUBTOTAL(9,ERP_8[2026 LE0])</f>
        <v>1144578.8599999999</v>
      </c>
      <c r="W3" s="12">
        <f>SUBTOTAL(9,ERP_8[LE2 Final Submission])</f>
        <v>1232202.8699999999</v>
      </c>
      <c r="X3" s="12">
        <f>SUBTOTAL(9,ERP_8[LE3 Final Submission])</f>
        <v>0</v>
      </c>
      <c r="Y3" s="12">
        <f>SUBTOTAL(9,ERP_8[LE4 Final Submission])</f>
        <v>0</v>
      </c>
      <c r="Z3" s="12">
        <f>SUBTOTAL(9,ERP_8[AP01])</f>
        <v>124106</v>
      </c>
      <c r="AA3" s="12">
        <f>SUBTOTAL(9,ERP_8[AP02])</f>
        <v>279596.99999999994</v>
      </c>
      <c r="AB3" s="12">
        <f>SUBTOTAL(9,ERP_8[AP03])</f>
        <v>270738</v>
      </c>
      <c r="AC3" s="12">
        <f>SUBTOTAL(9,ERP_8[AP04])</f>
        <v>224078.99999999997</v>
      </c>
      <c r="AD3" s="12">
        <f>SUBTOTAL(9,ERP_8[AP05])</f>
        <v>-87798</v>
      </c>
      <c r="AE3" s="12">
        <f>SUBTOTAL(9,ERP_8[AP06])</f>
        <v>-72135</v>
      </c>
      <c r="AF3" s="12">
        <f>SUBTOTAL(9,ERP_8[AP07])</f>
        <v>239901.02</v>
      </c>
      <c r="AG3" s="12">
        <f>SUBTOTAL(9,ERP_8[AP08])</f>
        <v>-47778</v>
      </c>
      <c r="AH3" s="12">
        <f>SUBTOTAL(9,ERP_8[AP09])</f>
        <v>118477</v>
      </c>
      <c r="AI3" s="12">
        <f>SUBTOTAL(9,ERP_8[AP10])</f>
        <v>175123</v>
      </c>
      <c r="AJ3" s="12">
        <f>SUBTOTAL(9,ERP_8[AP11])</f>
        <v>-26320</v>
      </c>
      <c r="AK3" s="12">
        <f>SUBTOTAL(9,ERP_8[AP12])</f>
        <v>-111260</v>
      </c>
      <c r="AL3" s="12">
        <f>SUBTOTAL(9,ERP_8[2026 Working Total])</f>
        <v>1086730.02</v>
      </c>
      <c r="AM3" s="13">
        <f>SUBTOTAL(9,ERP_8[2026 Working Total to Budget/LE])</f>
        <v>-145472.84999999998</v>
      </c>
      <c r="AN3" s="12">
        <f>SUBTOTAL(9,ERP_8[Latest AP Snapshot])</f>
        <v>16400</v>
      </c>
      <c r="AO3" s="12">
        <f>SUBTOTAL(9,ERP_8[Latest AP Variance to Snapshot])</f>
        <v>-88535</v>
      </c>
      <c r="AP3" s="13">
        <f>SUBTOTAL(9,ERP_8[YTD Act to Bud/LE])</f>
        <v>12780.100000000057</v>
      </c>
      <c r="AQ3" s="14">
        <f>SUBTOTAL(9,ERP_8[Giveback])</f>
        <v>0</v>
      </c>
      <c r="AR3" s="12">
        <f>SUBTOTAL(9,ERP_8[Other Allocation])</f>
        <v>-145472.84999999998</v>
      </c>
      <c r="AS3" s="14"/>
      <c r="AT3" s="12">
        <f>SUBTOTAL(9,ERP_8[AP01 LE2])</f>
        <v>124106</v>
      </c>
      <c r="AU3" s="12">
        <f>SUBTOTAL(9,ERP_8[AP02 LE2])</f>
        <v>279596.99999999994</v>
      </c>
      <c r="AV3" s="12">
        <f>SUBTOTAL(9,ERP_8[AP03 LE2])</f>
        <v>270738</v>
      </c>
      <c r="AW3" s="12">
        <f>SUBTOTAL(9,ERP_8[AP04 LE2])</f>
        <v>97715</v>
      </c>
      <c r="AX3" s="12">
        <f>SUBTOTAL(9,ERP_8[AP05 LE2])</f>
        <v>81860</v>
      </c>
      <c r="AY3" s="12">
        <f>SUBTOTAL(9,ERP_8[AP06 LE2])</f>
        <v>59831.92</v>
      </c>
      <c r="AZ3" s="12">
        <f>SUBTOTAL(9,ERP_8[AP07 LE2])</f>
        <v>51860</v>
      </c>
      <c r="BA3" s="12">
        <f>SUBTOTAL(9,ERP_8[AP08 LE2])</f>
        <v>51144</v>
      </c>
      <c r="BB3" s="12">
        <f>SUBTOTAL(9,ERP_8[AP09 LE2])</f>
        <v>64076.95</v>
      </c>
      <c r="BC3" s="12">
        <f>SUBTOTAL(9,ERP_8[AP10 LE2])</f>
        <v>47974</v>
      </c>
      <c r="BD3" s="12">
        <f>SUBTOTAL(9,ERP_8[AP11 LE2])</f>
        <v>47974</v>
      </c>
      <c r="BE3" s="12">
        <f>SUBTOTAL(9,ERP_8[AP12 LE2])</f>
        <v>55326</v>
      </c>
      <c r="BF3" s="12">
        <f>SUBTOTAL(9,ERP_8[2026 LE2 Working Total])</f>
        <v>1232202.8699999999</v>
      </c>
      <c r="BG3" s="12">
        <f>SUBTOTAL(9,ERP_8[2026 AP01])</f>
        <v>124106</v>
      </c>
      <c r="BH3" s="12">
        <f>SUBTOTAL(9,ERP_8[2026 AP02])</f>
        <v>279596.99999999994</v>
      </c>
      <c r="BI3" s="12">
        <f>SUBTOTAL(9,ERP_8[2026 AP03])</f>
        <v>270738</v>
      </c>
      <c r="BJ3" s="12">
        <f>SUBTOTAL(9,ERP_8[2026 AP04])</f>
        <v>116163</v>
      </c>
      <c r="BK3" s="12">
        <f>SUBTOTAL(9,ERP_8[2026 AP05])</f>
        <v>51100</v>
      </c>
      <c r="BL3" s="12">
        <f>SUBTOTAL(9,ERP_8[2026 AP06])</f>
        <v>69791.92</v>
      </c>
      <c r="BM3" s="12">
        <f>SUBTOTAL(9,ERP_8[2026 AP07])</f>
        <v>69563</v>
      </c>
      <c r="BN3" s="12">
        <f>SUBTOTAL(9,ERP_8[2026 AP08])</f>
        <v>68847</v>
      </c>
      <c r="BO3" s="12">
        <f>SUBTOTAL(9,ERP_8[2026 AP09])</f>
        <v>84949.95</v>
      </c>
      <c r="BP3" s="12">
        <f>SUBTOTAL(9,ERP_8[2026 AP10])</f>
        <v>68847</v>
      </c>
      <c r="BQ3" s="12">
        <f>SUBTOTAL(9,ERP_8[2026 AP11])</f>
        <v>68847</v>
      </c>
      <c r="BR3" s="12">
        <f>SUBTOTAL(9,ERP_8[2026 AP12])</f>
        <v>81097</v>
      </c>
      <c r="BS3" s="12">
        <f>SUBTOTAL(9,ERP_8[2026 LE0 Submission])</f>
        <v>1353646.8699999999</v>
      </c>
      <c r="BY3" s="15"/>
    </row>
    <row r="4" spans="1:77" ht="15" customHeight="1">
      <c r="B4" s="1"/>
      <c r="C4" s="1"/>
      <c r="D4" s="1"/>
      <c r="E4" s="1"/>
      <c r="F4" s="1"/>
      <c r="G4" s="1"/>
      <c r="H4" s="1"/>
      <c r="I4" s="1"/>
      <c r="J4" s="1"/>
      <c r="L4" s="16"/>
      <c r="M4" s="4"/>
      <c r="N4" s="791"/>
      <c r="O4" s="1"/>
      <c r="P4" s="1"/>
      <c r="Q4" s="1"/>
      <c r="R4" s="3"/>
      <c r="S4" s="3"/>
      <c r="T4" s="4"/>
      <c r="AE4" s="1"/>
      <c r="AF4" s="1"/>
      <c r="AG4" s="1"/>
      <c r="AH4" s="1"/>
      <c r="AI4" s="1"/>
      <c r="AJ4" s="1"/>
      <c r="AK4" s="1"/>
      <c r="BY4" s="15"/>
    </row>
    <row r="5" spans="1:77" s="10" customFormat="1" ht="15" customHeight="1">
      <c r="B5" s="21"/>
      <c r="C5" s="21"/>
      <c r="D5" s="21"/>
      <c r="E5" s="21"/>
      <c r="F5" s="21"/>
      <c r="G5" s="18"/>
      <c r="H5" s="18"/>
      <c r="I5" s="18"/>
      <c r="J5" s="18"/>
      <c r="K5" s="18"/>
      <c r="L5" s="19"/>
      <c r="M5" s="18"/>
      <c r="N5" s="797"/>
      <c r="O5" s="20" t="s">
        <v>310</v>
      </c>
      <c r="P5" s="18"/>
      <c r="Q5" s="18"/>
      <c r="R5" s="21"/>
      <c r="S5" s="18"/>
      <c r="T5" s="22"/>
      <c r="U5" s="23" t="s">
        <v>1053</v>
      </c>
      <c r="V5" s="24" t="s">
        <v>1054</v>
      </c>
      <c r="W5" s="24"/>
      <c r="X5" s="24"/>
      <c r="Y5" s="24"/>
      <c r="Z5" s="611" t="s">
        <v>1055</v>
      </c>
      <c r="AA5" s="612"/>
      <c r="AB5" s="612"/>
      <c r="AC5" s="420"/>
      <c r="AD5" s="26"/>
      <c r="AE5" s="27"/>
      <c r="AF5" s="27"/>
      <c r="AG5" s="27"/>
      <c r="AH5" s="27"/>
      <c r="AI5" s="27"/>
      <c r="AJ5" s="27"/>
      <c r="AK5" s="27"/>
      <c r="AL5" s="26"/>
      <c r="AM5" s="28"/>
      <c r="AN5" s="29"/>
      <c r="AO5" s="29"/>
      <c r="AP5" s="327" t="s">
        <v>1056</v>
      </c>
      <c r="AQ5" s="31"/>
      <c r="AR5" s="29"/>
      <c r="AS5" s="32"/>
      <c r="AT5" s="326" t="s">
        <v>1057</v>
      </c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3" t="s">
        <v>1054</v>
      </c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443"/>
      <c r="BY5" s="35"/>
    </row>
    <row r="6" spans="1:77" s="47" customFormat="1" ht="15" customHeight="1">
      <c r="A6" s="36"/>
      <c r="B6" s="37"/>
      <c r="C6" s="37"/>
      <c r="D6" s="37"/>
      <c r="E6" s="37"/>
      <c r="F6" s="37"/>
      <c r="G6" s="37"/>
      <c r="H6" s="37"/>
      <c r="I6" s="37"/>
      <c r="J6" s="1"/>
      <c r="K6" s="37"/>
      <c r="L6" s="38"/>
      <c r="M6" s="37"/>
      <c r="N6" s="798"/>
      <c r="O6" s="37"/>
      <c r="P6" s="37"/>
      <c r="Q6" s="37"/>
      <c r="R6" s="37"/>
      <c r="S6" s="37"/>
      <c r="T6" s="39"/>
      <c r="U6" s="40"/>
      <c r="V6" s="456" t="s">
        <v>1058</v>
      </c>
      <c r="W6" s="457">
        <v>518</v>
      </c>
      <c r="X6" s="41">
        <v>821</v>
      </c>
      <c r="Y6" s="41">
        <v>1023</v>
      </c>
      <c r="Z6" s="624" t="s">
        <v>1059</v>
      </c>
      <c r="AA6" s="624" t="s">
        <v>1059</v>
      </c>
      <c r="AB6" s="624" t="s">
        <v>1059</v>
      </c>
      <c r="AC6" s="421" t="s">
        <v>1059</v>
      </c>
      <c r="AD6" s="42" t="s">
        <v>1059</v>
      </c>
      <c r="AE6" s="43" t="s">
        <v>1059</v>
      </c>
      <c r="AF6" s="43" t="s">
        <v>1059</v>
      </c>
      <c r="AG6" s="43" t="s">
        <v>1060</v>
      </c>
      <c r="AH6" s="43" t="s">
        <v>1060</v>
      </c>
      <c r="AI6" s="43" t="s">
        <v>1060</v>
      </c>
      <c r="AJ6" s="43" t="s">
        <v>1060</v>
      </c>
      <c r="AK6" s="43" t="s">
        <v>1060</v>
      </c>
      <c r="AL6" s="40"/>
      <c r="AM6" s="40"/>
      <c r="AN6" s="458" t="s">
        <v>1061</v>
      </c>
      <c r="AO6" s="458"/>
      <c r="AP6" s="328" t="s">
        <v>1062</v>
      </c>
      <c r="AQ6" s="44" t="s">
        <v>1063</v>
      </c>
      <c r="AR6" s="45" t="s">
        <v>1064</v>
      </c>
      <c r="AS6" s="46"/>
      <c r="AT6" s="42" t="s">
        <v>1065</v>
      </c>
      <c r="AU6" s="42" t="s">
        <v>1065</v>
      </c>
      <c r="AV6" s="42" t="s">
        <v>1065</v>
      </c>
      <c r="AW6" s="42" t="s">
        <v>1065</v>
      </c>
      <c r="AX6" s="42" t="s">
        <v>1065</v>
      </c>
      <c r="AY6" s="42" t="s">
        <v>1065</v>
      </c>
      <c r="AZ6" s="42" t="s">
        <v>1065</v>
      </c>
      <c r="BA6" s="42" t="s">
        <v>1065</v>
      </c>
      <c r="BB6" s="42" t="s">
        <v>1065</v>
      </c>
      <c r="BC6" s="42" t="s">
        <v>1065</v>
      </c>
      <c r="BD6" s="42" t="s">
        <v>1065</v>
      </c>
      <c r="BE6" s="42" t="s">
        <v>1065</v>
      </c>
      <c r="BF6" s="42" t="s">
        <v>1065</v>
      </c>
      <c r="BG6" s="42" t="s">
        <v>1066</v>
      </c>
      <c r="BH6" s="42" t="s">
        <v>1066</v>
      </c>
      <c r="BI6" s="42" t="s">
        <v>1066</v>
      </c>
      <c r="BJ6" s="42" t="s">
        <v>1066</v>
      </c>
      <c r="BK6" s="42" t="s">
        <v>1066</v>
      </c>
      <c r="BL6" s="42" t="s">
        <v>1066</v>
      </c>
      <c r="BM6" s="42" t="s">
        <v>1066</v>
      </c>
      <c r="BN6" s="42" t="s">
        <v>1066</v>
      </c>
      <c r="BO6" s="42" t="s">
        <v>1066</v>
      </c>
      <c r="BP6" s="42" t="s">
        <v>1066</v>
      </c>
      <c r="BQ6" s="42" t="s">
        <v>1066</v>
      </c>
      <c r="BR6" s="42" t="s">
        <v>1066</v>
      </c>
      <c r="BS6" s="42" t="s">
        <v>1066</v>
      </c>
      <c r="BY6" s="48"/>
    </row>
    <row r="7" spans="1:77" ht="30.95" customHeight="1" thickBot="1">
      <c r="A7" s="49" t="s">
        <v>1067</v>
      </c>
      <c r="B7" s="49" t="s">
        <v>1</v>
      </c>
      <c r="C7" s="539" t="s">
        <v>1068</v>
      </c>
      <c r="D7" s="820" t="s">
        <v>1069</v>
      </c>
      <c r="E7" s="539" t="s">
        <v>1070</v>
      </c>
      <c r="F7" s="539" t="s">
        <v>1071</v>
      </c>
      <c r="G7" s="50" t="s">
        <v>1072</v>
      </c>
      <c r="H7" s="49" t="s">
        <v>1073</v>
      </c>
      <c r="I7" s="51" t="s">
        <v>1074</v>
      </c>
      <c r="J7" s="49" t="s">
        <v>1075</v>
      </c>
      <c r="K7" s="52" t="s">
        <v>0</v>
      </c>
      <c r="L7" s="53" t="s">
        <v>1076</v>
      </c>
      <c r="M7" s="324" t="s">
        <v>1077</v>
      </c>
      <c r="N7" s="799" t="s">
        <v>1078</v>
      </c>
      <c r="O7" s="49" t="s">
        <v>2</v>
      </c>
      <c r="P7" s="49" t="s">
        <v>1079</v>
      </c>
      <c r="Q7" s="323" t="s">
        <v>1080</v>
      </c>
      <c r="R7" s="54" t="s">
        <v>1081</v>
      </c>
      <c r="S7" s="54" t="s">
        <v>3</v>
      </c>
      <c r="T7" s="54" t="s">
        <v>1082</v>
      </c>
      <c r="U7" s="422" t="s">
        <v>1083</v>
      </c>
      <c r="V7" s="423" t="s">
        <v>1084</v>
      </c>
      <c r="W7" s="423" t="s">
        <v>1085</v>
      </c>
      <c r="X7" s="55" t="s">
        <v>1086</v>
      </c>
      <c r="Y7" s="55" t="s">
        <v>1087</v>
      </c>
      <c r="Z7" s="633" t="s">
        <v>1088</v>
      </c>
      <c r="AA7" s="634" t="s">
        <v>1089</v>
      </c>
      <c r="AB7" s="634" t="s">
        <v>1090</v>
      </c>
      <c r="AC7" s="424" t="s">
        <v>1091</v>
      </c>
      <c r="AD7" s="59" t="s">
        <v>1092</v>
      </c>
      <c r="AE7" s="59" t="s">
        <v>1093</v>
      </c>
      <c r="AF7" s="58" t="s">
        <v>1061</v>
      </c>
      <c r="AG7" s="59" t="s">
        <v>1094</v>
      </c>
      <c r="AH7" s="59" t="s">
        <v>1095</v>
      </c>
      <c r="AI7" s="58" t="s">
        <v>1096</v>
      </c>
      <c r="AJ7" s="59" t="s">
        <v>1097</v>
      </c>
      <c r="AK7" s="60" t="s">
        <v>1098</v>
      </c>
      <c r="AL7" s="61" t="s">
        <v>1099</v>
      </c>
      <c r="AM7" s="62" t="s">
        <v>1100</v>
      </c>
      <c r="AN7" s="63" t="s">
        <v>1101</v>
      </c>
      <c r="AO7" s="63" t="s">
        <v>1102</v>
      </c>
      <c r="AP7" s="329" t="s">
        <v>1103</v>
      </c>
      <c r="AQ7" s="64" t="s">
        <v>1104</v>
      </c>
      <c r="AR7" s="63" t="s">
        <v>1105</v>
      </c>
      <c r="AS7" s="64" t="s">
        <v>1106</v>
      </c>
      <c r="AT7" s="441" t="s">
        <v>1107</v>
      </c>
      <c r="AU7" s="441" t="s">
        <v>1108</v>
      </c>
      <c r="AV7" s="441" t="s">
        <v>1109</v>
      </c>
      <c r="AW7" s="441" t="s">
        <v>1110</v>
      </c>
      <c r="AX7" s="441" t="s">
        <v>1111</v>
      </c>
      <c r="AY7" s="441" t="s">
        <v>1112</v>
      </c>
      <c r="AZ7" s="441" t="s">
        <v>1113</v>
      </c>
      <c r="BA7" s="441" t="s">
        <v>1114</v>
      </c>
      <c r="BB7" s="441" t="s">
        <v>1115</v>
      </c>
      <c r="BC7" s="441" t="s">
        <v>1116</v>
      </c>
      <c r="BD7" s="441" t="s">
        <v>1117</v>
      </c>
      <c r="BE7" s="441" t="s">
        <v>1118</v>
      </c>
      <c r="BF7" s="441" t="s">
        <v>1119</v>
      </c>
      <c r="BG7" s="442" t="s">
        <v>1120</v>
      </c>
      <c r="BH7" s="442" t="s">
        <v>1121</v>
      </c>
      <c r="BI7" s="442" t="s">
        <v>1122</v>
      </c>
      <c r="BJ7" s="442" t="s">
        <v>1123</v>
      </c>
      <c r="BK7" s="442" t="s">
        <v>1124</v>
      </c>
      <c r="BL7" s="442" t="s">
        <v>1125</v>
      </c>
      <c r="BM7" s="442" t="s">
        <v>1126</v>
      </c>
      <c r="BN7" s="442" t="s">
        <v>1127</v>
      </c>
      <c r="BO7" s="442" t="s">
        <v>1128</v>
      </c>
      <c r="BP7" s="442" t="s">
        <v>1129</v>
      </c>
      <c r="BQ7" s="442" t="s">
        <v>1130</v>
      </c>
      <c r="BR7" s="442" t="s">
        <v>1131</v>
      </c>
      <c r="BS7" s="442" t="s">
        <v>1132</v>
      </c>
    </row>
    <row r="8" spans="1:77" ht="15" hidden="1" customHeight="1">
      <c r="A8" s="66" t="s">
        <v>1133</v>
      </c>
      <c r="B8" s="737" t="s">
        <v>1134</v>
      </c>
      <c r="C8" s="346"/>
      <c r="D8" s="343" t="str">
        <f>_xlfn.TEXTJOIN("_",FALSE,E8,ERP_8[[#This Row],[Expense Category]],ERP_8[[#This Row],[Project Code*]])</f>
        <v>Dougherty, Chris_CONTRACTORS_ColleagueSolutions001</v>
      </c>
      <c r="E8" s="343" t="s">
        <v>1135</v>
      </c>
      <c r="F8" s="346"/>
      <c r="G8" s="150" t="s">
        <v>1136</v>
      </c>
      <c r="H8" s="150" t="s">
        <v>1135</v>
      </c>
      <c r="I8" s="150" t="s">
        <v>1137</v>
      </c>
      <c r="J8" s="150" t="s">
        <v>1137</v>
      </c>
      <c r="K8" s="511" t="s">
        <v>49</v>
      </c>
      <c r="L8" s="392" t="s">
        <v>1138</v>
      </c>
      <c r="M8" s="343"/>
      <c r="N8" s="800"/>
      <c r="O8" s="70" t="s">
        <v>51</v>
      </c>
      <c r="P8" s="346" t="s">
        <v>1139</v>
      </c>
      <c r="Q8" s="346" t="s">
        <v>1140</v>
      </c>
      <c r="R8" s="346"/>
      <c r="S8" s="150" t="s">
        <v>25</v>
      </c>
      <c r="T8" s="1" t="s">
        <v>1141</v>
      </c>
      <c r="U8" s="403"/>
      <c r="V8" s="406">
        <v>1214.4000000000003</v>
      </c>
      <c r="W8" s="406">
        <v>910.80000000000018</v>
      </c>
      <c r="X8" s="425"/>
      <c r="Y8" s="71"/>
      <c r="Z8" s="784"/>
      <c r="AA8" s="794"/>
      <c r="AB8" s="794"/>
      <c r="AC8" s="429" t="s">
        <v>1142</v>
      </c>
      <c r="AD8" s="429">
        <v>0</v>
      </c>
      <c r="AE8" s="429">
        <v>0</v>
      </c>
      <c r="AF8" s="429" t="s">
        <v>1142</v>
      </c>
      <c r="AG8" s="363">
        <v>101.2</v>
      </c>
      <c r="AH8" s="363">
        <v>101.2</v>
      </c>
      <c r="AI8" s="363">
        <v>101.2</v>
      </c>
      <c r="AJ8" s="363">
        <v>101.2</v>
      </c>
      <c r="AK8" s="363">
        <v>101.2</v>
      </c>
      <c r="AL8" s="360">
        <f t="shared" ref="AL8:AL39" si="0">SUM(Z8:AK8)</f>
        <v>506</v>
      </c>
      <c r="AM8" s="362">
        <f>ERP_8[[#This Row],[2026 Working Total]]-ERP_8[[#This Row],[LE2 Final Submission]]</f>
        <v>-404.80000000000018</v>
      </c>
      <c r="AN8" s="79">
        <v>0</v>
      </c>
      <c r="AO8" s="79">
        <f t="shared" ref="AO8:AO39" si="1">$AE8 - $AN8</f>
        <v>0</v>
      </c>
      <c r="AP8" s="374">
        <f>SUM(ERP_8[[#This Row],[AP01]:[AP07]])-SUM(ERP_8[[#This Row],[AP01 LE2]:[AP07 LE2]])</f>
        <v>-404.8</v>
      </c>
      <c r="AQ8" s="80"/>
      <c r="AR8" s="79">
        <f>ERP_8[[#This Row],[2026 Working Total to Budget/LE]]-ERP_8[[#This Row],[Giveback]]</f>
        <v>-404.80000000000018</v>
      </c>
      <c r="AS8" s="81"/>
      <c r="AT8" s="375"/>
      <c r="AU8" s="375"/>
      <c r="AV8" s="375"/>
      <c r="AW8" s="375">
        <v>101.2</v>
      </c>
      <c r="AX8" s="375">
        <v>101.2</v>
      </c>
      <c r="AY8" s="375">
        <v>101.2</v>
      </c>
      <c r="AZ8" s="375">
        <v>101.2</v>
      </c>
      <c r="BA8" s="375">
        <v>101.2</v>
      </c>
      <c r="BB8" s="375">
        <v>101.2</v>
      </c>
      <c r="BC8" s="375">
        <v>101.2</v>
      </c>
      <c r="BD8" s="375">
        <v>101.2</v>
      </c>
      <c r="BE8" s="375">
        <v>101.2</v>
      </c>
      <c r="BF8" s="375">
        <v>910.80000000000018</v>
      </c>
      <c r="BG8" s="79"/>
      <c r="BH8" s="79"/>
      <c r="BI8" s="79"/>
      <c r="BJ8" s="79">
        <v>101.2</v>
      </c>
      <c r="BK8" s="79">
        <v>101.2</v>
      </c>
      <c r="BL8" s="79">
        <v>101.2</v>
      </c>
      <c r="BM8" s="79">
        <v>101.2</v>
      </c>
      <c r="BN8" s="79">
        <v>101.2</v>
      </c>
      <c r="BO8" s="79">
        <v>101.2</v>
      </c>
      <c r="BP8" s="79">
        <v>101.2</v>
      </c>
      <c r="BQ8" s="79">
        <v>101.2</v>
      </c>
      <c r="BR8" s="79">
        <v>101.2</v>
      </c>
      <c r="BS8" s="79">
        <v>910.80000000000018</v>
      </c>
    </row>
    <row r="9" spans="1:77" ht="15" customHeight="1">
      <c r="A9" s="66" t="s">
        <v>1143</v>
      </c>
      <c r="B9" s="737" t="s">
        <v>1144</v>
      </c>
      <c r="C9" s="346"/>
      <c r="D9" s="343" t="str">
        <f>_xlfn.TEXTJOIN("_",FALSE,E9,ERP_8[[#This Row],[Expense Category]],ERP_8[[#This Row],[Project Code*]])</f>
        <v>Dougherty, Chris_CONTRACTORS_ColleagueSolutions001</v>
      </c>
      <c r="E9" s="343" t="s">
        <v>1135</v>
      </c>
      <c r="F9" s="346"/>
      <c r="G9" s="150" t="s">
        <v>1136</v>
      </c>
      <c r="H9" s="150" t="s">
        <v>1135</v>
      </c>
      <c r="I9" s="150" t="s">
        <v>1145</v>
      </c>
      <c r="J9" s="150" t="s">
        <v>1137</v>
      </c>
      <c r="K9" s="511" t="s">
        <v>49</v>
      </c>
      <c r="L9" s="778" t="s">
        <v>1138</v>
      </c>
      <c r="M9" s="343"/>
      <c r="N9" s="800"/>
      <c r="O9" s="70" t="s">
        <v>51</v>
      </c>
      <c r="P9" s="346" t="s">
        <v>1139</v>
      </c>
      <c r="Q9" s="346" t="s">
        <v>1140</v>
      </c>
      <c r="R9" s="346"/>
      <c r="S9" s="150" t="s">
        <v>25</v>
      </c>
      <c r="T9" s="150"/>
      <c r="U9" s="403"/>
      <c r="V9" s="406">
        <v>1800</v>
      </c>
      <c r="W9" s="406">
        <v>3600</v>
      </c>
      <c r="X9" s="425"/>
      <c r="Y9" s="71"/>
      <c r="Z9" s="784"/>
      <c r="AA9" s="780"/>
      <c r="AB9" s="780"/>
      <c r="AC9" s="428" t="s">
        <v>1142</v>
      </c>
      <c r="AD9" s="429">
        <v>0</v>
      </c>
      <c r="AE9" s="429">
        <v>0</v>
      </c>
      <c r="AF9" s="429" t="s">
        <v>1142</v>
      </c>
      <c r="AG9" s="360">
        <v>0</v>
      </c>
      <c r="AH9" s="360">
        <v>0</v>
      </c>
      <c r="AI9" s="360">
        <v>1800</v>
      </c>
      <c r="AJ9" s="360">
        <v>0</v>
      </c>
      <c r="AK9" s="360">
        <v>0</v>
      </c>
      <c r="AL9" s="360">
        <f t="shared" si="0"/>
        <v>1800</v>
      </c>
      <c r="AM9" s="362">
        <f>ERP_8[[#This Row],[2026 Working Total]]-ERP_8[[#This Row],[LE2 Final Submission]]</f>
        <v>-1800</v>
      </c>
      <c r="AN9" s="79">
        <v>0</v>
      </c>
      <c r="AO9" s="79">
        <f t="shared" si="1"/>
        <v>0</v>
      </c>
      <c r="AP9" s="374">
        <f>SUM(ERP_8[[#This Row],[AP01]:[AP07]])-SUM(ERP_8[[#This Row],[AP01 LE2]:[AP07 LE2]])</f>
        <v>-3600</v>
      </c>
      <c r="AQ9" s="80"/>
      <c r="AR9" s="79">
        <f>ERP_8[[#This Row],[2026 Working Total to Budget/LE]]-ERP_8[[#This Row],[Giveback]]</f>
        <v>-1800</v>
      </c>
      <c r="AS9" s="81"/>
      <c r="AT9" s="375"/>
      <c r="AU9" s="375"/>
      <c r="AV9" s="375"/>
      <c r="AW9" s="375">
        <v>1800</v>
      </c>
      <c r="AX9" s="375">
        <v>0</v>
      </c>
      <c r="AY9" s="375">
        <v>1800</v>
      </c>
      <c r="AZ9" s="375">
        <v>0</v>
      </c>
      <c r="BA9" s="375">
        <v>0</v>
      </c>
      <c r="BB9" s="375">
        <v>0</v>
      </c>
      <c r="BC9" s="375">
        <v>0</v>
      </c>
      <c r="BD9" s="375">
        <v>0</v>
      </c>
      <c r="BE9" s="375">
        <v>0</v>
      </c>
      <c r="BF9" s="375">
        <v>3600</v>
      </c>
      <c r="BG9" s="79"/>
      <c r="BH9" s="79"/>
      <c r="BI9" s="79"/>
      <c r="BJ9" s="79">
        <v>1800</v>
      </c>
      <c r="BK9" s="79">
        <v>0</v>
      </c>
      <c r="BL9" s="79">
        <v>1800</v>
      </c>
      <c r="BM9" s="79">
        <v>0</v>
      </c>
      <c r="BN9" s="79">
        <v>0</v>
      </c>
      <c r="BO9" s="79">
        <v>0</v>
      </c>
      <c r="BP9" s="79">
        <v>0</v>
      </c>
      <c r="BQ9" s="79">
        <v>0</v>
      </c>
      <c r="BR9" s="79">
        <v>0</v>
      </c>
      <c r="BS9" s="79">
        <v>3600</v>
      </c>
    </row>
    <row r="10" spans="1:77" ht="15" hidden="1" customHeight="1">
      <c r="A10" s="66" t="s">
        <v>1146</v>
      </c>
      <c r="B10" s="737" t="s">
        <v>52</v>
      </c>
      <c r="C10" s="346"/>
      <c r="D10" s="343" t="str">
        <f>_xlfn.TEXTJOIN("_",FALSE,E10,ERP_8[[#This Row],[Expense Category]],ERP_8[[#This Row],[Project Code*]])</f>
        <v>Dougherty, Chris_CONTRACTORS_EnhanceChargeout001</v>
      </c>
      <c r="E10" s="343" t="s">
        <v>1135</v>
      </c>
      <c r="F10" s="346"/>
      <c r="G10" s="150" t="s">
        <v>1136</v>
      </c>
      <c r="H10" s="150" t="s">
        <v>1135</v>
      </c>
      <c r="I10" s="150" t="s">
        <v>1135</v>
      </c>
      <c r="J10" s="150" t="s">
        <v>1137</v>
      </c>
      <c r="K10" s="511" t="s">
        <v>49</v>
      </c>
      <c r="L10" s="392" t="s">
        <v>1147</v>
      </c>
      <c r="M10" s="343"/>
      <c r="N10" s="800" t="s">
        <v>1148</v>
      </c>
      <c r="O10" s="70" t="s">
        <v>53</v>
      </c>
      <c r="P10" s="346" t="s">
        <v>1149</v>
      </c>
      <c r="Q10" s="343"/>
      <c r="R10" s="346"/>
      <c r="S10" s="150" t="s">
        <v>25</v>
      </c>
      <c r="T10" s="150"/>
      <c r="U10" s="403"/>
      <c r="V10" s="406">
        <v>0</v>
      </c>
      <c r="W10" s="406">
        <v>-51577</v>
      </c>
      <c r="X10" s="425"/>
      <c r="Y10" s="71"/>
      <c r="Z10" s="784">
        <v>44340</v>
      </c>
      <c r="AA10" s="780">
        <v>-23011</v>
      </c>
      <c r="AB10" s="780">
        <v>-72906</v>
      </c>
      <c r="AC10" s="428">
        <v>9489</v>
      </c>
      <c r="AD10" s="429">
        <v>-2647</v>
      </c>
      <c r="AE10" s="429">
        <v>5440</v>
      </c>
      <c r="AF10" s="429">
        <v>10218.969999999999</v>
      </c>
      <c r="AG10" s="360">
        <v>0</v>
      </c>
      <c r="AH10" s="360">
        <v>0</v>
      </c>
      <c r="AI10" s="360">
        <v>0</v>
      </c>
      <c r="AJ10" s="360">
        <v>0</v>
      </c>
      <c r="AK10" s="360">
        <v>0</v>
      </c>
      <c r="AL10" s="360">
        <f t="shared" si="0"/>
        <v>-29076.03</v>
      </c>
      <c r="AM10" s="362">
        <f>ERP_8[[#This Row],[2026 Working Total]]-ERP_8[[#This Row],[LE2 Final Submission]]</f>
        <v>22500.97</v>
      </c>
      <c r="AN10" s="79">
        <v>0</v>
      </c>
      <c r="AO10" s="79">
        <f t="shared" si="1"/>
        <v>5440</v>
      </c>
      <c r="AP10" s="374">
        <f>SUM(ERP_8[[#This Row],[AP01]:[AP07]])-SUM(ERP_8[[#This Row],[AP01 LE2]:[AP07 LE2]])</f>
        <v>22500.97</v>
      </c>
      <c r="AQ10" s="80"/>
      <c r="AR10" s="79">
        <f>ERP_8[[#This Row],[2026 Working Total to Budget/LE]]-ERP_8[[#This Row],[Giveback]]</f>
        <v>22500.97</v>
      </c>
      <c r="AS10" s="81"/>
      <c r="AT10" s="375">
        <v>44340</v>
      </c>
      <c r="AU10" s="375">
        <v>-23011</v>
      </c>
      <c r="AV10" s="375">
        <v>-72906</v>
      </c>
      <c r="AW10" s="375">
        <v>0</v>
      </c>
      <c r="AX10" s="375">
        <v>0</v>
      </c>
      <c r="AY10" s="375">
        <v>0</v>
      </c>
      <c r="AZ10" s="375">
        <v>0</v>
      </c>
      <c r="BA10" s="375">
        <v>0</v>
      </c>
      <c r="BB10" s="375">
        <v>0</v>
      </c>
      <c r="BC10" s="375">
        <v>0</v>
      </c>
      <c r="BD10" s="375">
        <v>0</v>
      </c>
      <c r="BE10" s="375">
        <v>0</v>
      </c>
      <c r="BF10" s="375">
        <v>-51577</v>
      </c>
      <c r="BG10" s="79">
        <v>44340</v>
      </c>
      <c r="BH10" s="79">
        <v>-23011</v>
      </c>
      <c r="BI10" s="79">
        <v>-72906</v>
      </c>
      <c r="BJ10" s="79">
        <v>0</v>
      </c>
      <c r="BK10" s="79">
        <v>0</v>
      </c>
      <c r="BL10" s="79">
        <v>0</v>
      </c>
      <c r="BM10" s="79">
        <v>0</v>
      </c>
      <c r="BN10" s="79">
        <v>0</v>
      </c>
      <c r="BO10" s="79">
        <v>0</v>
      </c>
      <c r="BP10" s="79">
        <v>0</v>
      </c>
      <c r="BQ10" s="79">
        <v>0</v>
      </c>
      <c r="BR10" s="79">
        <v>0</v>
      </c>
      <c r="BS10" s="79">
        <v>-51577</v>
      </c>
    </row>
    <row r="11" spans="1:77" ht="15" customHeight="1">
      <c r="A11" s="66" t="s">
        <v>1150</v>
      </c>
      <c r="B11" s="737" t="s">
        <v>1151</v>
      </c>
      <c r="C11" s="346"/>
      <c r="D11" s="343" t="str">
        <f>_xlfn.TEXTJOIN("_",FALSE,E11,ERP_8[[#This Row],[Expense Category]],ERP_8[[#This Row],[Project Code*]])</f>
        <v>Dougherty, Chris_CONTRACTORS_EnhanceChargeout001</v>
      </c>
      <c r="E11" s="343" t="s">
        <v>1135</v>
      </c>
      <c r="F11" s="346"/>
      <c r="G11" s="150" t="s">
        <v>1136</v>
      </c>
      <c r="H11" s="150" t="s">
        <v>1135</v>
      </c>
      <c r="I11" s="150" t="s">
        <v>1145</v>
      </c>
      <c r="J11" s="150" t="s">
        <v>1137</v>
      </c>
      <c r="K11" s="511" t="s">
        <v>49</v>
      </c>
      <c r="L11" s="778" t="s">
        <v>1147</v>
      </c>
      <c r="M11" s="343"/>
      <c r="N11" s="800" t="s">
        <v>1152</v>
      </c>
      <c r="O11" s="70" t="s">
        <v>53</v>
      </c>
      <c r="P11" s="346" t="s">
        <v>1153</v>
      </c>
      <c r="Q11" s="343"/>
      <c r="R11" s="346"/>
      <c r="S11" s="150" t="s">
        <v>25</v>
      </c>
      <c r="T11" s="150"/>
      <c r="U11" s="403"/>
      <c r="V11" s="406">
        <v>-694940</v>
      </c>
      <c r="W11" s="406">
        <v>-587120.73</v>
      </c>
      <c r="X11" s="425"/>
      <c r="Y11" s="71"/>
      <c r="Z11" s="784"/>
      <c r="AA11" s="780">
        <v>-20640.86</v>
      </c>
      <c r="AB11" s="780">
        <v>-10639.87</v>
      </c>
      <c r="AC11" s="428">
        <v>0.74</v>
      </c>
      <c r="AD11" s="429">
        <v>-75810.34</v>
      </c>
      <c r="AE11" s="429">
        <v>-172301.13</v>
      </c>
      <c r="AF11" s="429">
        <v>0.43</v>
      </c>
      <c r="AG11" s="363">
        <v>-152040</v>
      </c>
      <c r="AH11" s="363">
        <v>-65840</v>
      </c>
      <c r="AI11" s="363">
        <v>-6640</v>
      </c>
      <c r="AJ11" s="363">
        <v>-72992</v>
      </c>
      <c r="AK11" s="363">
        <v>-146147</v>
      </c>
      <c r="AL11" s="360">
        <f t="shared" si="0"/>
        <v>-723050.03</v>
      </c>
      <c r="AM11" s="362">
        <f>ERP_8[[#This Row],[2026 Working Total]]-ERP_8[[#This Row],[LE2 Final Submission]]</f>
        <v>-135929.30000000005</v>
      </c>
      <c r="AN11" s="79">
        <v>0</v>
      </c>
      <c r="AO11" s="79">
        <f t="shared" si="1"/>
        <v>-172301.13</v>
      </c>
      <c r="AP11" s="374">
        <f>SUM(ERP_8[[#This Row],[AP01]:[AP07]])-SUM(ERP_8[[#This Row],[AP01 LE2]:[AP07 LE2]])</f>
        <v>-67270.300000000017</v>
      </c>
      <c r="AQ11" s="80"/>
      <c r="AR11" s="79">
        <f>ERP_8[[#This Row],[2026 Working Total to Budget/LE]]-ERP_8[[#This Row],[Giveback]]</f>
        <v>-135929.30000000005</v>
      </c>
      <c r="AS11" s="81"/>
      <c r="AT11" s="375"/>
      <c r="AU11" s="375">
        <v>-20640.86</v>
      </c>
      <c r="AV11" s="375">
        <v>-10639.87</v>
      </c>
      <c r="AW11" s="375">
        <v>-55600</v>
      </c>
      <c r="AX11" s="375">
        <v>-6440</v>
      </c>
      <c r="AY11" s="375">
        <v>-43800</v>
      </c>
      <c r="AZ11" s="375">
        <v>-75000</v>
      </c>
      <c r="BA11" s="375">
        <v>-75000</v>
      </c>
      <c r="BB11" s="375">
        <v>-75000</v>
      </c>
      <c r="BC11" s="375">
        <v>-75000</v>
      </c>
      <c r="BD11" s="375">
        <v>-75000</v>
      </c>
      <c r="BE11" s="375">
        <v>-75000</v>
      </c>
      <c r="BF11" s="375">
        <v>-587120.73</v>
      </c>
      <c r="BG11" s="79"/>
      <c r="BH11" s="79">
        <v>-20640.86</v>
      </c>
      <c r="BI11" s="79">
        <v>-10639.87</v>
      </c>
      <c r="BJ11" s="79">
        <v>-54600</v>
      </c>
      <c r="BK11" s="79">
        <v>-50000</v>
      </c>
      <c r="BL11" s="79">
        <v>-33840</v>
      </c>
      <c r="BM11" s="79">
        <v>-75000</v>
      </c>
      <c r="BN11" s="79">
        <v>-75000</v>
      </c>
      <c r="BO11" s="79">
        <v>-75000</v>
      </c>
      <c r="BP11" s="79">
        <v>-75000</v>
      </c>
      <c r="BQ11" s="79">
        <v>-75000</v>
      </c>
      <c r="BR11" s="79">
        <v>-75000</v>
      </c>
      <c r="BS11" s="79">
        <v>-619720.73</v>
      </c>
    </row>
    <row r="12" spans="1:77" ht="15" hidden="1" customHeight="1">
      <c r="A12" s="66" t="s">
        <v>1154</v>
      </c>
      <c r="B12" s="737" t="s">
        <v>1155</v>
      </c>
      <c r="C12" s="346"/>
      <c r="D12" s="343" t="str">
        <f>_xlfn.TEXTJOIN("_",FALSE,E12,ERP_8[[#This Row],[Expense Category]],ERP_8[[#This Row],[Project Code*]])</f>
        <v>Dougherty, Chris_CONTRACTORS_EnhanceChargeout001</v>
      </c>
      <c r="E12" s="343" t="s">
        <v>1135</v>
      </c>
      <c r="F12" s="346"/>
      <c r="G12" s="150" t="s">
        <v>1136</v>
      </c>
      <c r="H12" s="150" t="s">
        <v>1135</v>
      </c>
      <c r="I12" s="150" t="s">
        <v>1156</v>
      </c>
      <c r="J12" s="150" t="s">
        <v>1137</v>
      </c>
      <c r="K12" s="511" t="s">
        <v>49</v>
      </c>
      <c r="L12" s="392" t="s">
        <v>1147</v>
      </c>
      <c r="M12" s="343"/>
      <c r="N12" s="800" t="s">
        <v>1157</v>
      </c>
      <c r="O12" s="70" t="s">
        <v>53</v>
      </c>
      <c r="P12" s="346" t="s">
        <v>1153</v>
      </c>
      <c r="Q12" s="343"/>
      <c r="R12" s="346"/>
      <c r="S12" s="150" t="s">
        <v>25</v>
      </c>
      <c r="T12" s="526" t="s">
        <v>1158</v>
      </c>
      <c r="U12" s="403"/>
      <c r="V12" s="406">
        <v>0</v>
      </c>
      <c r="W12" s="406">
        <v>-1440</v>
      </c>
      <c r="X12" s="425"/>
      <c r="Y12" s="71"/>
      <c r="Z12" s="784"/>
      <c r="AA12" s="794">
        <v>-1440</v>
      </c>
      <c r="AB12" s="794">
        <v>0</v>
      </c>
      <c r="AC12" s="428">
        <v>0</v>
      </c>
      <c r="AD12" s="429">
        <v>0</v>
      </c>
      <c r="AE12" s="429">
        <v>-18000</v>
      </c>
      <c r="AF12" s="429">
        <v>0</v>
      </c>
      <c r="AG12" s="360">
        <v>0</v>
      </c>
      <c r="AH12" s="360">
        <v>0</v>
      </c>
      <c r="AI12" s="360">
        <v>0</v>
      </c>
      <c r="AJ12" s="360">
        <v>0</v>
      </c>
      <c r="AK12" s="360">
        <v>0</v>
      </c>
      <c r="AL12" s="360">
        <f t="shared" si="0"/>
        <v>-19440</v>
      </c>
      <c r="AM12" s="362">
        <f>ERP_8[[#This Row],[2026 Working Total]]-ERP_8[[#This Row],[LE2 Final Submission]]</f>
        <v>-18000</v>
      </c>
      <c r="AN12" s="79">
        <v>0</v>
      </c>
      <c r="AO12" s="79">
        <f t="shared" si="1"/>
        <v>-18000</v>
      </c>
      <c r="AP12" s="374">
        <f>SUM(ERP_8[[#This Row],[AP01]:[AP07]])-SUM(ERP_8[[#This Row],[AP01 LE2]:[AP07 LE2]])</f>
        <v>-18000</v>
      </c>
      <c r="AQ12" s="80"/>
      <c r="AR12" s="79">
        <f>ERP_8[[#This Row],[2026 Working Total to Budget/LE]]-ERP_8[[#This Row],[Giveback]]</f>
        <v>-18000</v>
      </c>
      <c r="AS12" s="81"/>
      <c r="AT12" s="375"/>
      <c r="AU12" s="375">
        <v>-1440</v>
      </c>
      <c r="AV12" s="375">
        <v>0</v>
      </c>
      <c r="AW12" s="375">
        <v>0</v>
      </c>
      <c r="AX12" s="375">
        <v>0</v>
      </c>
      <c r="AY12" s="375">
        <v>0</v>
      </c>
      <c r="AZ12" s="375">
        <v>0</v>
      </c>
      <c r="BA12" s="375">
        <v>0</v>
      </c>
      <c r="BB12" s="375">
        <v>0</v>
      </c>
      <c r="BC12" s="375">
        <v>0</v>
      </c>
      <c r="BD12" s="375">
        <v>0</v>
      </c>
      <c r="BE12" s="375">
        <v>0</v>
      </c>
      <c r="BF12" s="375">
        <v>-1440</v>
      </c>
      <c r="BG12" s="79"/>
      <c r="BH12" s="79">
        <v>-1440</v>
      </c>
      <c r="BI12" s="79">
        <v>0</v>
      </c>
      <c r="BJ12" s="79">
        <v>0</v>
      </c>
      <c r="BK12" s="79">
        <v>0</v>
      </c>
      <c r="BL12" s="79">
        <v>0</v>
      </c>
      <c r="BM12" s="79">
        <v>0</v>
      </c>
      <c r="BN12" s="79">
        <v>0</v>
      </c>
      <c r="BO12" s="79">
        <v>0</v>
      </c>
      <c r="BP12" s="79">
        <v>0</v>
      </c>
      <c r="BQ12" s="79">
        <v>0</v>
      </c>
      <c r="BR12" s="79">
        <v>0</v>
      </c>
      <c r="BS12" s="79">
        <v>-1440</v>
      </c>
    </row>
    <row r="13" spans="1:77" ht="15" hidden="1" customHeight="1">
      <c r="A13" s="66" t="s">
        <v>1159</v>
      </c>
      <c r="B13" s="737" t="s">
        <v>1160</v>
      </c>
      <c r="C13" s="346"/>
      <c r="D13" s="343" t="str">
        <f>_xlfn.TEXTJOIN("_",FALSE,E13,ERP_8[[#This Row],[Expense Category]],ERP_8[[#This Row],[Project Code*]])</f>
        <v>Dougherty, Chris_CONTRACTORS_EnhanceChargeout001</v>
      </c>
      <c r="E13" s="343" t="s">
        <v>1135</v>
      </c>
      <c r="F13" s="346"/>
      <c r="G13" s="150" t="s">
        <v>1136</v>
      </c>
      <c r="H13" s="150" t="s">
        <v>1135</v>
      </c>
      <c r="I13" s="150" t="s">
        <v>1161</v>
      </c>
      <c r="J13" s="150" t="s">
        <v>1137</v>
      </c>
      <c r="K13" s="511" t="s">
        <v>49</v>
      </c>
      <c r="L13" s="392" t="s">
        <v>1147</v>
      </c>
      <c r="M13" s="343"/>
      <c r="N13" s="823"/>
      <c r="O13" s="70" t="s">
        <v>53</v>
      </c>
      <c r="P13" s="346" t="s">
        <v>1153</v>
      </c>
      <c r="Q13" s="343"/>
      <c r="R13" s="346"/>
      <c r="S13" s="150" t="s">
        <v>25</v>
      </c>
      <c r="T13" s="150" t="s">
        <v>1162</v>
      </c>
      <c r="U13" s="403"/>
      <c r="V13" s="406">
        <v>0</v>
      </c>
      <c r="W13" s="406">
        <v>-68766</v>
      </c>
      <c r="X13" s="425"/>
      <c r="Y13" s="71"/>
      <c r="Z13" s="784"/>
      <c r="AA13" s="794">
        <v>-57216</v>
      </c>
      <c r="AB13" s="794">
        <v>-11550</v>
      </c>
      <c r="AC13" s="428" t="s">
        <v>1142</v>
      </c>
      <c r="AD13" s="429">
        <v>0</v>
      </c>
      <c r="AE13" s="429">
        <v>0</v>
      </c>
      <c r="AF13" s="429" t="s">
        <v>1142</v>
      </c>
      <c r="AG13" s="360">
        <v>0</v>
      </c>
      <c r="AH13" s="360">
        <v>0</v>
      </c>
      <c r="AI13" s="360">
        <v>0</v>
      </c>
      <c r="AJ13" s="360">
        <v>0</v>
      </c>
      <c r="AK13" s="360">
        <v>0</v>
      </c>
      <c r="AL13" s="360">
        <f t="shared" si="0"/>
        <v>-68766</v>
      </c>
      <c r="AM13" s="362">
        <f>ERP_8[[#This Row],[2026 Working Total]]-ERP_8[[#This Row],[LE2 Final Submission]]</f>
        <v>0</v>
      </c>
      <c r="AN13" s="79">
        <v>0</v>
      </c>
      <c r="AO13" s="79">
        <f t="shared" si="1"/>
        <v>0</v>
      </c>
      <c r="AP13" s="374">
        <f>SUM(ERP_8[[#This Row],[AP01]:[AP07]])-SUM(ERP_8[[#This Row],[AP01 LE2]:[AP07 LE2]])</f>
        <v>0</v>
      </c>
      <c r="AQ13" s="80"/>
      <c r="AR13" s="79">
        <f>ERP_8[[#This Row],[2026 Working Total to Budget/LE]]-ERP_8[[#This Row],[Giveback]]</f>
        <v>0</v>
      </c>
      <c r="AS13" s="81"/>
      <c r="AT13" s="375"/>
      <c r="AU13" s="375">
        <v>-57216</v>
      </c>
      <c r="AV13" s="375">
        <v>-11550</v>
      </c>
      <c r="AW13" s="375">
        <v>0</v>
      </c>
      <c r="AX13" s="375">
        <v>0</v>
      </c>
      <c r="AY13" s="375">
        <v>0</v>
      </c>
      <c r="AZ13" s="375">
        <v>0</v>
      </c>
      <c r="BA13" s="375">
        <v>0</v>
      </c>
      <c r="BB13" s="375">
        <v>0</v>
      </c>
      <c r="BC13" s="375">
        <v>0</v>
      </c>
      <c r="BD13" s="375">
        <v>0</v>
      </c>
      <c r="BE13" s="375">
        <v>0</v>
      </c>
      <c r="BF13" s="375">
        <v>-68766</v>
      </c>
      <c r="BG13" s="79"/>
      <c r="BH13" s="79">
        <v>-57216</v>
      </c>
      <c r="BI13" s="79">
        <v>-11550</v>
      </c>
      <c r="BJ13" s="79">
        <v>0</v>
      </c>
      <c r="BK13" s="79">
        <v>0</v>
      </c>
      <c r="BL13" s="79">
        <v>0</v>
      </c>
      <c r="BM13" s="79">
        <v>0</v>
      </c>
      <c r="BN13" s="79">
        <v>0</v>
      </c>
      <c r="BO13" s="79">
        <v>0</v>
      </c>
      <c r="BP13" s="79">
        <v>0</v>
      </c>
      <c r="BQ13" s="79">
        <v>0</v>
      </c>
      <c r="BR13" s="79">
        <v>0</v>
      </c>
      <c r="BS13" s="79">
        <v>-68766</v>
      </c>
    </row>
    <row r="14" spans="1:77" ht="15" hidden="1" customHeight="1">
      <c r="A14" s="150" t="s">
        <v>1163</v>
      </c>
      <c r="B14" s="749" t="s">
        <v>1164</v>
      </c>
      <c r="C14" s="348"/>
      <c r="D14" s="347" t="str">
        <f>_xlfn.TEXTJOIN("_",FALSE,E14,ERP_8[[#This Row],[Expense Category]],ERP_8[[#This Row],[Project Code*]])</f>
        <v>Dougherty, Chris_CONTRACTORS_EnhanceChargeout001</v>
      </c>
      <c r="E14" s="347" t="s">
        <v>1135</v>
      </c>
      <c r="F14" s="348"/>
      <c r="G14" s="150" t="s">
        <v>1136</v>
      </c>
      <c r="H14" s="150" t="s">
        <v>1135</v>
      </c>
      <c r="I14" s="150" t="s">
        <v>1165</v>
      </c>
      <c r="J14" s="150" t="s">
        <v>1165</v>
      </c>
      <c r="K14" s="514" t="s">
        <v>49</v>
      </c>
      <c r="L14" s="394" t="s">
        <v>1166</v>
      </c>
      <c r="M14" s="333" t="s">
        <v>1167</v>
      </c>
      <c r="N14" s="467" t="s">
        <v>1168</v>
      </c>
      <c r="O14" s="90" t="s">
        <v>53</v>
      </c>
      <c r="P14" s="347"/>
      <c r="Q14" s="347"/>
      <c r="R14" s="348"/>
      <c r="S14" s="348"/>
      <c r="T14" s="348"/>
      <c r="U14" s="402"/>
      <c r="V14" s="406"/>
      <c r="W14" s="406"/>
      <c r="X14" s="425"/>
      <c r="Y14" s="71"/>
      <c r="Z14" s="784"/>
      <c r="AA14" s="794"/>
      <c r="AB14" s="794"/>
      <c r="AC14" s="429">
        <v>24147</v>
      </c>
      <c r="AD14" s="429">
        <v>-46130</v>
      </c>
      <c r="AE14" s="429">
        <v>-215360</v>
      </c>
      <c r="AF14" s="429">
        <v>30735.05</v>
      </c>
      <c r="AG14" s="364"/>
      <c r="AH14" s="364"/>
      <c r="AI14" s="364"/>
      <c r="AJ14" s="364"/>
      <c r="AK14" s="364"/>
      <c r="AL14" s="360">
        <f t="shared" si="0"/>
        <v>-206607.95</v>
      </c>
      <c r="AM14" s="362">
        <f>ERP_8[[#This Row],[2026 Working Total]]-ERP_8[[#This Row],[LE2 Final Submission]]</f>
        <v>-206607.95</v>
      </c>
      <c r="AN14" s="79">
        <v>0</v>
      </c>
      <c r="AO14" s="79">
        <f t="shared" si="1"/>
        <v>-215360</v>
      </c>
      <c r="AP14" s="374">
        <f>SUM(ERP_8[[#This Row],[AP01]:[AP07]])-SUM(ERP_8[[#This Row],[AP01 LE2]:[AP07 LE2]])</f>
        <v>-206607.95</v>
      </c>
      <c r="AQ14" s="80"/>
      <c r="AR14" s="79">
        <f>ERP_8[[#This Row],[2026 Working Total to Budget/LE]]-ERP_8[[#This Row],[Giveback]]</f>
        <v>-206607.95</v>
      </c>
      <c r="AS14" s="81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</row>
    <row r="15" spans="1:77" ht="15" hidden="1" customHeight="1">
      <c r="A15" s="150" t="s">
        <v>1169</v>
      </c>
      <c r="B15" s="768" t="s">
        <v>55</v>
      </c>
      <c r="C15" s="817"/>
      <c r="D15" s="1" t="str">
        <f>_xlfn.TEXTJOIN("_",FALSE,E15,ERP_8[[#This Row],[Expense Category]],ERP_8[[#This Row],[Project Code*]])</f>
        <v>Dougherty, Chris_CONTRACTORS_EP&amp;SCharges001</v>
      </c>
      <c r="E15" s="1" t="s">
        <v>1135</v>
      </c>
      <c r="F15" s="817"/>
      <c r="G15" s="150" t="s">
        <v>1136</v>
      </c>
      <c r="H15" s="150" t="s">
        <v>1135</v>
      </c>
      <c r="I15" s="150" t="s">
        <v>1135</v>
      </c>
      <c r="J15" s="150" t="s">
        <v>1135</v>
      </c>
      <c r="K15" s="514" t="s">
        <v>49</v>
      </c>
      <c r="L15" s="394" t="s">
        <v>1170</v>
      </c>
      <c r="M15" s="333"/>
      <c r="N15" s="467" t="s">
        <v>1171</v>
      </c>
      <c r="O15" s="90" t="s">
        <v>56</v>
      </c>
      <c r="P15" s="347"/>
      <c r="Q15" s="347"/>
      <c r="R15" s="348"/>
      <c r="S15" s="348"/>
      <c r="T15" s="348"/>
      <c r="U15" s="402"/>
      <c r="V15" s="406"/>
      <c r="W15" s="406"/>
      <c r="X15" s="425"/>
      <c r="Y15" s="71"/>
      <c r="Z15" s="784"/>
      <c r="AA15" s="780"/>
      <c r="AB15" s="780"/>
      <c r="AC15" s="429"/>
      <c r="AD15" s="429">
        <v>550</v>
      </c>
      <c r="AE15" s="429">
        <v>0</v>
      </c>
      <c r="AF15" s="429">
        <v>0</v>
      </c>
      <c r="AG15" s="364"/>
      <c r="AH15" s="364"/>
      <c r="AI15" s="364"/>
      <c r="AJ15" s="364"/>
      <c r="AK15" s="364"/>
      <c r="AL15" s="360">
        <f t="shared" si="0"/>
        <v>550</v>
      </c>
      <c r="AM15" s="362">
        <f>ERP_8[[#This Row],[2026 Working Total]]-ERP_8[[#This Row],[LE2 Final Submission]]</f>
        <v>550</v>
      </c>
      <c r="AN15" s="79">
        <v>0</v>
      </c>
      <c r="AO15" s="79">
        <f t="shared" si="1"/>
        <v>0</v>
      </c>
      <c r="AP15" s="374">
        <f>SUM(ERP_8[[#This Row],[AP01]:[AP07]])-SUM(ERP_8[[#This Row],[AP01 LE2]:[AP07 LE2]])</f>
        <v>550</v>
      </c>
      <c r="AQ15" s="80"/>
      <c r="AR15" s="79">
        <f>ERP_8[[#This Row],[2026 Working Total to Budget/LE]]-ERP_8[[#This Row],[Giveback]]</f>
        <v>550</v>
      </c>
      <c r="AS15" s="81"/>
      <c r="AT15" s="375"/>
      <c r="AU15" s="375"/>
      <c r="AV15" s="375"/>
      <c r="AW15" s="375"/>
      <c r="AX15" s="375"/>
      <c r="AY15" s="375"/>
      <c r="AZ15" s="375"/>
      <c r="BA15" s="375"/>
      <c r="BB15" s="375"/>
      <c r="BC15" s="375"/>
      <c r="BD15" s="375"/>
      <c r="BE15" s="375"/>
      <c r="BF15" s="375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</row>
    <row r="16" spans="1:77" ht="15" hidden="1" customHeight="1">
      <c r="A16" s="66" t="s">
        <v>1172</v>
      </c>
      <c r="B16" s="737" t="s">
        <v>1173</v>
      </c>
      <c r="C16" s="346"/>
      <c r="D16" s="343" t="str">
        <f>_xlfn.TEXTJOIN("_",FALSE,E16,ERP_8[[#This Row],[Expense Category]],ERP_8[[#This Row],[Project Code*]])</f>
        <v>Dougherty, Chris_CONTRACTORS_EP&amp;SCharges001</v>
      </c>
      <c r="E16" s="343" t="s">
        <v>1135</v>
      </c>
      <c r="F16" s="346"/>
      <c r="G16" s="150" t="s">
        <v>1136</v>
      </c>
      <c r="H16" s="150" t="s">
        <v>1135</v>
      </c>
      <c r="I16" s="150" t="s">
        <v>1165</v>
      </c>
      <c r="J16" s="150" t="s">
        <v>1137</v>
      </c>
      <c r="K16" s="511" t="s">
        <v>49</v>
      </c>
      <c r="L16" s="392" t="s">
        <v>1174</v>
      </c>
      <c r="M16" s="343"/>
      <c r="N16" s="800" t="s">
        <v>1175</v>
      </c>
      <c r="O16" s="70" t="s">
        <v>56</v>
      </c>
      <c r="P16" s="346" t="s">
        <v>1139</v>
      </c>
      <c r="Q16" s="346" t="s">
        <v>1140</v>
      </c>
      <c r="R16" s="346"/>
      <c r="S16" s="150" t="s">
        <v>57</v>
      </c>
      <c r="T16" s="150"/>
      <c r="U16" s="403"/>
      <c r="V16" s="406">
        <v>0</v>
      </c>
      <c r="W16" s="406">
        <v>1080</v>
      </c>
      <c r="X16" s="425"/>
      <c r="Y16" s="71"/>
      <c r="Z16" s="784">
        <v>360</v>
      </c>
      <c r="AA16" s="794">
        <v>360</v>
      </c>
      <c r="AB16" s="794">
        <v>360</v>
      </c>
      <c r="AC16" s="428">
        <v>0</v>
      </c>
      <c r="AD16" s="429">
        <v>0</v>
      </c>
      <c r="AE16" s="429">
        <v>0</v>
      </c>
      <c r="AF16" s="429">
        <v>0</v>
      </c>
      <c r="AG16" s="360">
        <v>0</v>
      </c>
      <c r="AH16" s="360">
        <v>0</v>
      </c>
      <c r="AI16" s="360">
        <v>0</v>
      </c>
      <c r="AJ16" s="360">
        <v>0</v>
      </c>
      <c r="AK16" s="360">
        <v>0</v>
      </c>
      <c r="AL16" s="360">
        <f t="shared" si="0"/>
        <v>1080</v>
      </c>
      <c r="AM16" s="362">
        <f>ERP_8[[#This Row],[2026 Working Total]]-ERP_8[[#This Row],[LE2 Final Submission]]</f>
        <v>0</v>
      </c>
      <c r="AN16" s="79">
        <v>0</v>
      </c>
      <c r="AO16" s="79">
        <f t="shared" si="1"/>
        <v>0</v>
      </c>
      <c r="AP16" s="374">
        <f>SUM(ERP_8[[#This Row],[AP01]:[AP07]])-SUM(ERP_8[[#This Row],[AP01 LE2]:[AP07 LE2]])</f>
        <v>0</v>
      </c>
      <c r="AQ16" s="80"/>
      <c r="AR16" s="79">
        <f>ERP_8[[#This Row],[2026 Working Total to Budget/LE]]-ERP_8[[#This Row],[Giveback]]</f>
        <v>0</v>
      </c>
      <c r="AS16" s="81"/>
      <c r="AT16" s="375">
        <v>360</v>
      </c>
      <c r="AU16" s="375">
        <v>360</v>
      </c>
      <c r="AV16" s="375">
        <v>360</v>
      </c>
      <c r="AW16" s="375">
        <v>0</v>
      </c>
      <c r="AX16" s="375">
        <v>0</v>
      </c>
      <c r="AY16" s="375">
        <v>0</v>
      </c>
      <c r="AZ16" s="375">
        <v>0</v>
      </c>
      <c r="BA16" s="375">
        <v>0</v>
      </c>
      <c r="BB16" s="375">
        <v>0</v>
      </c>
      <c r="BC16" s="375">
        <v>0</v>
      </c>
      <c r="BD16" s="375">
        <v>0</v>
      </c>
      <c r="BE16" s="375">
        <v>0</v>
      </c>
      <c r="BF16" s="375">
        <v>1080</v>
      </c>
      <c r="BG16" s="79">
        <v>360</v>
      </c>
      <c r="BH16" s="79">
        <v>360</v>
      </c>
      <c r="BI16" s="79">
        <v>360</v>
      </c>
      <c r="BJ16" s="79">
        <v>0</v>
      </c>
      <c r="BK16" s="79">
        <v>0</v>
      </c>
      <c r="BL16" s="79">
        <v>0</v>
      </c>
      <c r="BM16" s="79">
        <v>0</v>
      </c>
      <c r="BN16" s="79">
        <v>0</v>
      </c>
      <c r="BO16" s="79">
        <v>0</v>
      </c>
      <c r="BP16" s="79">
        <v>0</v>
      </c>
      <c r="BQ16" s="79">
        <v>0</v>
      </c>
      <c r="BR16" s="79">
        <v>0</v>
      </c>
      <c r="BS16" s="79">
        <v>1080</v>
      </c>
    </row>
    <row r="17" spans="1:71" ht="15" hidden="1" customHeight="1">
      <c r="A17" s="66" t="s">
        <v>1176</v>
      </c>
      <c r="B17" s="737" t="s">
        <v>1177</v>
      </c>
      <c r="C17" s="346"/>
      <c r="D17" s="343" t="str">
        <f>_xlfn.TEXTJOIN("_",FALSE,E17,ERP_8[[#This Row],[Expense Category]],ERP_8[[#This Row],[Project Code*]])</f>
        <v>Dougherty, Chris_CONTRACTORS_IT-CTR0044-OG-US-00</v>
      </c>
      <c r="E17" s="343" t="s">
        <v>1135</v>
      </c>
      <c r="F17" s="346"/>
      <c r="G17" s="150" t="s">
        <v>1136</v>
      </c>
      <c r="H17" s="150" t="s">
        <v>1135</v>
      </c>
      <c r="I17" s="150" t="s">
        <v>1156</v>
      </c>
      <c r="J17" s="150" t="s">
        <v>1137</v>
      </c>
      <c r="K17" s="511" t="s">
        <v>49</v>
      </c>
      <c r="L17" s="392" t="s">
        <v>1178</v>
      </c>
      <c r="M17" s="343"/>
      <c r="N17" s="804">
        <v>2321511</v>
      </c>
      <c r="O17" s="70" t="s">
        <v>59</v>
      </c>
      <c r="P17" s="346"/>
      <c r="Q17" s="343"/>
      <c r="R17" s="346"/>
      <c r="S17" s="150" t="s">
        <v>25</v>
      </c>
      <c r="T17" s="150"/>
      <c r="U17" s="403"/>
      <c r="V17" s="406">
        <v>551723.03999999992</v>
      </c>
      <c r="W17" s="406">
        <v>460642</v>
      </c>
      <c r="X17" s="425"/>
      <c r="Y17" s="71"/>
      <c r="Z17" s="784"/>
      <c r="AA17" s="794"/>
      <c r="AB17" s="794"/>
      <c r="AC17" s="428">
        <v>0</v>
      </c>
      <c r="AD17" s="429">
        <v>29102.65</v>
      </c>
      <c r="AE17" s="429">
        <v>67355.899999999994</v>
      </c>
      <c r="AF17" s="429">
        <v>34698.83</v>
      </c>
      <c r="AG17" s="363">
        <v>81341</v>
      </c>
      <c r="AH17" s="363">
        <f>42525+20000</f>
        <v>62525</v>
      </c>
      <c r="AI17" s="363">
        <v>48020</v>
      </c>
      <c r="AJ17" s="363">
        <v>42525</v>
      </c>
      <c r="AK17" s="363">
        <v>39926</v>
      </c>
      <c r="AL17" s="360">
        <f t="shared" si="0"/>
        <v>405494.38</v>
      </c>
      <c r="AM17" s="362">
        <f>ERP_8[[#This Row],[2026 Working Total]]-ERP_8[[#This Row],[LE2 Final Submission]]</f>
        <v>-55147.619999999995</v>
      </c>
      <c r="AN17" s="79">
        <v>0</v>
      </c>
      <c r="AO17" s="79">
        <f t="shared" si="1"/>
        <v>67355.899999999994</v>
      </c>
      <c r="AP17" s="374">
        <f>SUM(ERP_8[[#This Row],[AP01]:[AP07]])-SUM(ERP_8[[#This Row],[AP01 LE2]:[AP07 LE2]])</f>
        <v>-138125.62</v>
      </c>
      <c r="AQ17" s="80">
        <v>-91081</v>
      </c>
      <c r="AR17" s="79">
        <f>ERP_8[[#This Row],[2026 Working Total to Budget/LE]]-ERP_8[[#This Row],[Giveback]]</f>
        <v>35933.380000000005</v>
      </c>
      <c r="AS17" s="81" t="s">
        <v>1179</v>
      </c>
      <c r="AT17" s="375"/>
      <c r="AU17" s="375"/>
      <c r="AV17" s="375"/>
      <c r="AW17" s="375">
        <v>36666</v>
      </c>
      <c r="AX17" s="375">
        <v>141912</v>
      </c>
      <c r="AY17" s="375">
        <v>49848</v>
      </c>
      <c r="AZ17" s="375">
        <v>40857</v>
      </c>
      <c r="BA17" s="375">
        <v>40681</v>
      </c>
      <c r="BB17" s="375">
        <v>37645</v>
      </c>
      <c r="BC17" s="375">
        <v>37694</v>
      </c>
      <c r="BD17" s="375">
        <v>37645</v>
      </c>
      <c r="BE17" s="375">
        <v>37694</v>
      </c>
      <c r="BF17" s="375">
        <v>460642</v>
      </c>
      <c r="BG17" s="79"/>
      <c r="BH17" s="79"/>
      <c r="BI17" s="79"/>
      <c r="BJ17" s="79">
        <v>61303</v>
      </c>
      <c r="BK17" s="79">
        <v>61303</v>
      </c>
      <c r="BL17" s="79">
        <v>61303</v>
      </c>
      <c r="BM17" s="79">
        <v>61303</v>
      </c>
      <c r="BN17" s="79">
        <v>61303</v>
      </c>
      <c r="BO17" s="79">
        <v>61303</v>
      </c>
      <c r="BP17" s="79">
        <v>61303</v>
      </c>
      <c r="BQ17" s="79">
        <v>61303</v>
      </c>
      <c r="BR17" s="79">
        <v>61303</v>
      </c>
      <c r="BS17" s="79">
        <v>551727</v>
      </c>
    </row>
    <row r="18" spans="1:71" ht="15" hidden="1" customHeight="1">
      <c r="A18" s="66" t="s">
        <v>1180</v>
      </c>
      <c r="B18" s="737" t="s">
        <v>1181</v>
      </c>
      <c r="C18" s="346"/>
      <c r="D18" s="343" t="str">
        <f>_xlfn.TEXTJOIN("_",FALSE,E18,ERP_8[[#This Row],[Expense Category]],ERP_8[[#This Row],[Project Code*]])</f>
        <v>Dougherty, Chris_CONTRACTORS_IT-CTR0067-OG-CR-00</v>
      </c>
      <c r="E18" s="343" t="s">
        <v>1135</v>
      </c>
      <c r="F18" s="346"/>
      <c r="G18" s="150" t="s">
        <v>1136</v>
      </c>
      <c r="H18" s="150" t="s">
        <v>1135</v>
      </c>
      <c r="I18" s="150" t="s">
        <v>1137</v>
      </c>
      <c r="J18" s="150" t="s">
        <v>1137</v>
      </c>
      <c r="K18" s="511" t="s">
        <v>49</v>
      </c>
      <c r="L18" s="392" t="s">
        <v>1182</v>
      </c>
      <c r="M18" s="343"/>
      <c r="N18" s="800"/>
      <c r="O18" s="70" t="s">
        <v>61</v>
      </c>
      <c r="P18" s="346"/>
      <c r="Q18" s="343"/>
      <c r="R18" s="346"/>
      <c r="S18" s="150" t="s">
        <v>25</v>
      </c>
      <c r="T18" s="150"/>
      <c r="U18" s="403"/>
      <c r="V18" s="406">
        <v>0</v>
      </c>
      <c r="W18" s="406">
        <v>214.49</v>
      </c>
      <c r="X18" s="425"/>
      <c r="Y18" s="71"/>
      <c r="Z18" s="784">
        <v>215.71</v>
      </c>
      <c r="AA18" s="780">
        <v>-1.22</v>
      </c>
      <c r="AB18" s="780">
        <v>0</v>
      </c>
      <c r="AC18" s="428" t="s">
        <v>1142</v>
      </c>
      <c r="AD18" s="429">
        <v>0</v>
      </c>
      <c r="AE18" s="429">
        <v>0</v>
      </c>
      <c r="AF18" s="429" t="s">
        <v>1142</v>
      </c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f t="shared" si="0"/>
        <v>214.49</v>
      </c>
      <c r="AM18" s="362">
        <f>ERP_8[[#This Row],[2026 Working Total]]-ERP_8[[#This Row],[LE2 Final Submission]]</f>
        <v>0</v>
      </c>
      <c r="AN18" s="79">
        <v>0</v>
      </c>
      <c r="AO18" s="79">
        <f t="shared" si="1"/>
        <v>0</v>
      </c>
      <c r="AP18" s="374">
        <f>SUM(ERP_8[[#This Row],[AP01]:[AP07]])-SUM(ERP_8[[#This Row],[AP01 LE2]:[AP07 LE2]])</f>
        <v>0</v>
      </c>
      <c r="AQ18" s="80"/>
      <c r="AR18" s="79">
        <f>ERP_8[[#This Row],[2026 Working Total to Budget/LE]]-ERP_8[[#This Row],[Giveback]]</f>
        <v>0</v>
      </c>
      <c r="AS18" s="81"/>
      <c r="AT18" s="375">
        <v>215.71</v>
      </c>
      <c r="AU18" s="375">
        <v>-1.22</v>
      </c>
      <c r="AV18" s="375">
        <v>0</v>
      </c>
      <c r="AW18" s="375">
        <v>0</v>
      </c>
      <c r="AX18" s="375">
        <v>0</v>
      </c>
      <c r="AY18" s="375">
        <v>0</v>
      </c>
      <c r="AZ18" s="375">
        <v>0</v>
      </c>
      <c r="BA18" s="375">
        <v>0</v>
      </c>
      <c r="BB18" s="375">
        <v>0</v>
      </c>
      <c r="BC18" s="375">
        <v>0</v>
      </c>
      <c r="BD18" s="375">
        <v>0</v>
      </c>
      <c r="BE18" s="375">
        <v>0</v>
      </c>
      <c r="BF18" s="375">
        <v>214.49</v>
      </c>
      <c r="BG18" s="79">
        <v>215.71</v>
      </c>
      <c r="BH18" s="79">
        <v>-1.22</v>
      </c>
      <c r="BI18" s="79">
        <v>0</v>
      </c>
      <c r="BJ18" s="79">
        <v>0</v>
      </c>
      <c r="BK18" s="79">
        <v>0</v>
      </c>
      <c r="BL18" s="79">
        <v>0</v>
      </c>
      <c r="BM18" s="79">
        <v>0</v>
      </c>
      <c r="BN18" s="79">
        <v>0</v>
      </c>
      <c r="BO18" s="79">
        <v>0</v>
      </c>
      <c r="BP18" s="79">
        <v>0</v>
      </c>
      <c r="BQ18" s="79">
        <v>0</v>
      </c>
      <c r="BR18" s="79">
        <v>0</v>
      </c>
      <c r="BS18" s="79">
        <v>214.49</v>
      </c>
    </row>
    <row r="19" spans="1:71" ht="15" customHeight="1">
      <c r="A19" s="66" t="s">
        <v>1183</v>
      </c>
      <c r="B19" s="737" t="s">
        <v>1184</v>
      </c>
      <c r="C19" s="346"/>
      <c r="D19" s="343" t="str">
        <f>_xlfn.TEXTJOIN("_",FALSE,E19,ERP_8[[#This Row],[Expense Category]],ERP_8[[#This Row],[Project Code*]])</f>
        <v>Dougherty, Chris_CONTRACTORS_IT-CTR0093-OG-US-00</v>
      </c>
      <c r="E19" s="343" t="s">
        <v>1135</v>
      </c>
      <c r="F19" s="346"/>
      <c r="G19" s="150" t="s">
        <v>1136</v>
      </c>
      <c r="H19" s="150" t="s">
        <v>1135</v>
      </c>
      <c r="I19" s="150" t="s">
        <v>1145</v>
      </c>
      <c r="J19" s="150" t="s">
        <v>1137</v>
      </c>
      <c r="K19" s="511" t="s">
        <v>49</v>
      </c>
      <c r="L19" s="778" t="s">
        <v>1185</v>
      </c>
      <c r="M19" s="343"/>
      <c r="N19" s="802" t="s">
        <v>1186</v>
      </c>
      <c r="O19" s="70" t="s">
        <v>63</v>
      </c>
      <c r="P19" s="346"/>
      <c r="Q19" s="346" t="s">
        <v>1187</v>
      </c>
      <c r="R19" s="346"/>
      <c r="S19" s="150" t="s">
        <v>64</v>
      </c>
      <c r="T19" s="150"/>
      <c r="U19" s="403"/>
      <c r="V19" s="406">
        <v>345518.86</v>
      </c>
      <c r="W19" s="406">
        <v>345670.24</v>
      </c>
      <c r="X19" s="425"/>
      <c r="Y19" s="71"/>
      <c r="Z19" s="784">
        <v>35812</v>
      </c>
      <c r="AA19" s="780">
        <v>40109.440000000002</v>
      </c>
      <c r="AB19" s="780">
        <v>50136.800000000003</v>
      </c>
      <c r="AC19" s="428">
        <v>40109.449999999997</v>
      </c>
      <c r="AD19" s="429">
        <v>40109.449999999997</v>
      </c>
      <c r="AE19" s="429">
        <v>29136.779999999995</v>
      </c>
      <c r="AF19" s="429">
        <v>40109.449999999997</v>
      </c>
      <c r="AG19" s="363">
        <v>14015</v>
      </c>
      <c r="AH19" s="363">
        <v>14015</v>
      </c>
      <c r="AI19" s="363">
        <v>14015</v>
      </c>
      <c r="AJ19" s="363">
        <v>14015</v>
      </c>
      <c r="AK19" s="363">
        <v>14015</v>
      </c>
      <c r="AL19" s="360">
        <f t="shared" si="0"/>
        <v>345598.37</v>
      </c>
      <c r="AM19" s="362">
        <f>ERP_8[[#This Row],[2026 Working Total]]-ERP_8[[#This Row],[LE2 Final Submission]]</f>
        <v>-71.869999999995343</v>
      </c>
      <c r="AN19" s="79">
        <v>0</v>
      </c>
      <c r="AO19" s="79">
        <f t="shared" si="1"/>
        <v>29136.779999999995</v>
      </c>
      <c r="AP19" s="374">
        <f>SUM(ERP_8[[#This Row],[AP01]:[AP07]])-SUM(ERP_8[[#This Row],[AP01 LE2]:[AP07 LE2]])</f>
        <v>28658.130000000005</v>
      </c>
      <c r="AQ19" s="80"/>
      <c r="AR19" s="79">
        <f>ERP_8[[#This Row],[2026 Working Total to Budget/LE]]-ERP_8[[#This Row],[Giveback]]</f>
        <v>-71.869999999995343</v>
      </c>
      <c r="AS19" s="81"/>
      <c r="AT19" s="375">
        <v>35812</v>
      </c>
      <c r="AU19" s="375">
        <v>40109.440000000002</v>
      </c>
      <c r="AV19" s="375">
        <v>50136.800000000003</v>
      </c>
      <c r="AW19" s="375">
        <v>40000</v>
      </c>
      <c r="AX19" s="375">
        <v>28897</v>
      </c>
      <c r="AY19" s="375">
        <v>28897</v>
      </c>
      <c r="AZ19" s="375">
        <v>23013</v>
      </c>
      <c r="BA19" s="375">
        <v>22297</v>
      </c>
      <c r="BB19" s="375">
        <v>19127</v>
      </c>
      <c r="BC19" s="375">
        <v>19127</v>
      </c>
      <c r="BD19" s="375">
        <v>19127</v>
      </c>
      <c r="BE19" s="375">
        <v>19127</v>
      </c>
      <c r="BF19" s="375">
        <v>345670.24</v>
      </c>
      <c r="BG19" s="79">
        <v>35812</v>
      </c>
      <c r="BH19" s="79">
        <v>40109.440000000002</v>
      </c>
      <c r="BI19" s="79">
        <v>50136.800000000003</v>
      </c>
      <c r="BJ19" s="79">
        <v>40000</v>
      </c>
      <c r="BK19" s="79">
        <v>28897</v>
      </c>
      <c r="BL19" s="79">
        <v>28897</v>
      </c>
      <c r="BM19" s="79">
        <v>23013</v>
      </c>
      <c r="BN19" s="79">
        <v>22297</v>
      </c>
      <c r="BO19" s="79">
        <v>22297</v>
      </c>
      <c r="BP19" s="79">
        <v>22297</v>
      </c>
      <c r="BQ19" s="79">
        <v>22297</v>
      </c>
      <c r="BR19" s="79">
        <v>22297</v>
      </c>
      <c r="BS19" s="79">
        <v>358350.24</v>
      </c>
    </row>
    <row r="20" spans="1:71" ht="15" hidden="1" customHeight="1">
      <c r="A20" s="66" t="s">
        <v>1188</v>
      </c>
      <c r="B20" s="737" t="s">
        <v>65</v>
      </c>
      <c r="C20" s="346"/>
      <c r="D20" s="343" t="str">
        <f>_xlfn.TEXTJOIN("_",FALSE,E20,ERP_8[[#This Row],[Expense Category]],ERP_8[[#This Row],[Project Code*]])</f>
        <v>Dougherty, Chris_CONTRACTORS_IT-CTR0094-OG-US-00</v>
      </c>
      <c r="E20" s="343" t="s">
        <v>1135</v>
      </c>
      <c r="F20" s="346"/>
      <c r="G20" s="150" t="s">
        <v>1136</v>
      </c>
      <c r="H20" s="150" t="s">
        <v>1135</v>
      </c>
      <c r="I20" s="150" t="s">
        <v>1135</v>
      </c>
      <c r="J20" s="150" t="s">
        <v>1137</v>
      </c>
      <c r="K20" s="511" t="s">
        <v>49</v>
      </c>
      <c r="L20" s="392" t="s">
        <v>1189</v>
      </c>
      <c r="M20" s="343" t="s">
        <v>1190</v>
      </c>
      <c r="N20" s="802" t="s">
        <v>1191</v>
      </c>
      <c r="O20" s="70" t="s">
        <v>66</v>
      </c>
      <c r="P20" s="346"/>
      <c r="Q20" s="346" t="s">
        <v>1192</v>
      </c>
      <c r="R20" s="346"/>
      <c r="S20" s="150" t="s">
        <v>67</v>
      </c>
      <c r="T20" s="150"/>
      <c r="U20" s="403"/>
      <c r="V20" s="406">
        <v>216000</v>
      </c>
      <c r="W20" s="406">
        <v>197423.06</v>
      </c>
      <c r="X20" s="430"/>
      <c r="Y20" s="137"/>
      <c r="Z20" s="784">
        <v>14166</v>
      </c>
      <c r="AA20" s="780">
        <v>18835.37</v>
      </c>
      <c r="AB20" s="780">
        <v>16863.689999999999</v>
      </c>
      <c r="AC20" s="428">
        <v>15866.15</v>
      </c>
      <c r="AD20" s="429">
        <v>15866.160000000003</v>
      </c>
      <c r="AE20" s="429">
        <v>19832.689999999999</v>
      </c>
      <c r="AF20" s="429">
        <v>15866.149999999998</v>
      </c>
      <c r="AG20" s="363">
        <v>17000</v>
      </c>
      <c r="AH20" s="363">
        <v>18134</v>
      </c>
      <c r="AI20" s="363">
        <v>17000</v>
      </c>
      <c r="AJ20" s="363">
        <v>17000</v>
      </c>
      <c r="AK20" s="363">
        <v>17000</v>
      </c>
      <c r="AL20" s="360">
        <f t="shared" si="0"/>
        <v>203430.21</v>
      </c>
      <c r="AM20" s="362">
        <f>ERP_8[[#This Row],[2026 Working Total]]-ERP_8[[#This Row],[LE2 Final Submission]]</f>
        <v>6007.1499999999942</v>
      </c>
      <c r="AN20" s="79">
        <v>0</v>
      </c>
      <c r="AO20" s="79">
        <f t="shared" si="1"/>
        <v>19832.689999999999</v>
      </c>
      <c r="AP20" s="374">
        <f>SUM(ERP_8[[#This Row],[AP01]:[AP07]])-SUM(ERP_8[[#This Row],[AP01 LE2]:[AP07 LE2]])</f>
        <v>4873.1499999999942</v>
      </c>
      <c r="AQ20" s="80"/>
      <c r="AR20" s="79">
        <f>ERP_8[[#This Row],[2026 Working Total to Budget/LE]]-ERP_8[[#This Row],[Giveback]]</f>
        <v>6007.1499999999942</v>
      </c>
      <c r="AS20" s="81"/>
      <c r="AT20" s="375">
        <v>14166</v>
      </c>
      <c r="AU20" s="375">
        <v>18835.37</v>
      </c>
      <c r="AV20" s="375">
        <v>16863.689999999999</v>
      </c>
      <c r="AW20" s="375">
        <v>11558</v>
      </c>
      <c r="AX20" s="375">
        <v>17000</v>
      </c>
      <c r="AY20" s="375">
        <v>17000</v>
      </c>
      <c r="AZ20" s="375">
        <v>17000</v>
      </c>
      <c r="BA20" s="375">
        <v>17000</v>
      </c>
      <c r="BB20" s="375">
        <v>17000</v>
      </c>
      <c r="BC20" s="375">
        <v>17000</v>
      </c>
      <c r="BD20" s="375">
        <v>17000</v>
      </c>
      <c r="BE20" s="375">
        <v>17000</v>
      </c>
      <c r="BF20" s="375">
        <v>197423.06</v>
      </c>
      <c r="BG20" s="79">
        <v>14166</v>
      </c>
      <c r="BH20" s="79">
        <v>18835.37</v>
      </c>
      <c r="BI20" s="79">
        <v>16863.689999999999</v>
      </c>
      <c r="BJ20" s="79">
        <v>18000</v>
      </c>
      <c r="BK20" s="79">
        <v>18000</v>
      </c>
      <c r="BL20" s="79">
        <v>18000</v>
      </c>
      <c r="BM20" s="79">
        <v>18000</v>
      </c>
      <c r="BN20" s="79">
        <v>18000</v>
      </c>
      <c r="BO20" s="79">
        <v>18000</v>
      </c>
      <c r="BP20" s="79">
        <v>18000</v>
      </c>
      <c r="BQ20" s="79">
        <v>18000</v>
      </c>
      <c r="BR20" s="79">
        <v>18000</v>
      </c>
      <c r="BS20" s="79">
        <v>211865.06</v>
      </c>
    </row>
    <row r="21" spans="1:71" ht="15" hidden="1" customHeight="1">
      <c r="A21" s="66" t="s">
        <v>1193</v>
      </c>
      <c r="B21" s="737" t="s">
        <v>68</v>
      </c>
      <c r="C21" s="346"/>
      <c r="D21" s="343" t="str">
        <f>_xlfn.TEXTJOIN("_",FALSE,E21,ERP_8[[#This Row],[Expense Category]],ERP_8[[#This Row],[Project Code*]])</f>
        <v>Dougherty, Chris_CONTRACTORS_IT-CTR0096-OG-US-00</v>
      </c>
      <c r="E21" s="343" t="s">
        <v>1135</v>
      </c>
      <c r="F21" s="346"/>
      <c r="G21" s="150" t="s">
        <v>1136</v>
      </c>
      <c r="H21" s="150" t="s">
        <v>1135</v>
      </c>
      <c r="I21" s="150" t="s">
        <v>1135</v>
      </c>
      <c r="J21" s="150" t="s">
        <v>1137</v>
      </c>
      <c r="K21" s="511" t="s">
        <v>49</v>
      </c>
      <c r="L21" s="392" t="s">
        <v>1194</v>
      </c>
      <c r="M21" s="343" t="s">
        <v>1195</v>
      </c>
      <c r="N21" s="802" t="s">
        <v>1171</v>
      </c>
      <c r="O21" s="70" t="s">
        <v>69</v>
      </c>
      <c r="P21" s="346"/>
      <c r="Q21" s="346" t="s">
        <v>1196</v>
      </c>
      <c r="R21" s="346"/>
      <c r="S21" s="150" t="s">
        <v>67</v>
      </c>
      <c r="T21" s="150"/>
      <c r="U21" s="403"/>
      <c r="V21" s="406">
        <v>237888</v>
      </c>
      <c r="W21" s="406">
        <v>236045.4</v>
      </c>
      <c r="X21" s="425"/>
      <c r="Y21" s="71"/>
      <c r="Z21" s="784">
        <v>16372</v>
      </c>
      <c r="AA21" s="780">
        <v>18336.62</v>
      </c>
      <c r="AB21" s="780">
        <v>22920.78</v>
      </c>
      <c r="AC21" s="428">
        <v>18336.629999999997</v>
      </c>
      <c r="AD21" s="429">
        <v>18336.63</v>
      </c>
      <c r="AE21" s="429">
        <v>22920.78</v>
      </c>
      <c r="AF21" s="429">
        <v>18336.63</v>
      </c>
      <c r="AG21" s="363">
        <f>19824+1487</f>
        <v>21311</v>
      </c>
      <c r="AH21" s="363">
        <v>19824</v>
      </c>
      <c r="AI21" s="363">
        <v>19824</v>
      </c>
      <c r="AJ21" s="363">
        <v>19824</v>
      </c>
      <c r="AK21" s="363">
        <v>19824</v>
      </c>
      <c r="AL21" s="360">
        <f t="shared" si="0"/>
        <v>236167.07</v>
      </c>
      <c r="AM21" s="362">
        <f>ERP_8[[#This Row],[2026 Working Total]]-ERP_8[[#This Row],[LE2 Final Submission]]</f>
        <v>121.67000000001281</v>
      </c>
      <c r="AN21" s="79">
        <v>0</v>
      </c>
      <c r="AO21" s="79">
        <f t="shared" si="1"/>
        <v>22920.78</v>
      </c>
      <c r="AP21" s="374">
        <f>SUM(ERP_8[[#This Row],[AP01]:[AP07]])-SUM(ERP_8[[#This Row],[AP01 LE2]:[AP07 LE2]])</f>
        <v>-1365.3299999999872</v>
      </c>
      <c r="AQ21" s="80"/>
      <c r="AR21" s="79">
        <f>ERP_8[[#This Row],[2026 Working Total to Budget/LE]]-ERP_8[[#This Row],[Giveback]]</f>
        <v>121.67000000001281</v>
      </c>
      <c r="AS21" s="81"/>
      <c r="AT21" s="375">
        <v>16372</v>
      </c>
      <c r="AU21" s="375">
        <v>18336.62</v>
      </c>
      <c r="AV21" s="375">
        <v>22920.78</v>
      </c>
      <c r="AW21" s="375">
        <v>19824</v>
      </c>
      <c r="AX21" s="375">
        <v>19824</v>
      </c>
      <c r="AY21" s="375">
        <v>19824</v>
      </c>
      <c r="AZ21" s="375">
        <v>19824</v>
      </c>
      <c r="BA21" s="375">
        <v>19824</v>
      </c>
      <c r="BB21" s="375">
        <v>19824</v>
      </c>
      <c r="BC21" s="375">
        <v>19824</v>
      </c>
      <c r="BD21" s="375">
        <v>19824</v>
      </c>
      <c r="BE21" s="375">
        <v>19824</v>
      </c>
      <c r="BF21" s="375">
        <v>236045.4</v>
      </c>
      <c r="BG21" s="79">
        <v>16372</v>
      </c>
      <c r="BH21" s="79">
        <v>18336.62</v>
      </c>
      <c r="BI21" s="79">
        <v>22920.78</v>
      </c>
      <c r="BJ21" s="79">
        <v>19824</v>
      </c>
      <c r="BK21" s="79">
        <v>19824</v>
      </c>
      <c r="BL21" s="79">
        <v>19824</v>
      </c>
      <c r="BM21" s="79">
        <v>19824</v>
      </c>
      <c r="BN21" s="79">
        <v>19824</v>
      </c>
      <c r="BO21" s="79">
        <v>19824</v>
      </c>
      <c r="BP21" s="79">
        <v>19824</v>
      </c>
      <c r="BQ21" s="79">
        <v>19824</v>
      </c>
      <c r="BR21" s="79">
        <v>19824</v>
      </c>
      <c r="BS21" s="79">
        <v>236045.4</v>
      </c>
    </row>
    <row r="22" spans="1:71" ht="15" hidden="1" customHeight="1">
      <c r="A22" s="66" t="s">
        <v>1197</v>
      </c>
      <c r="B22" s="737" t="s">
        <v>70</v>
      </c>
      <c r="C22" s="346"/>
      <c r="D22" s="343" t="str">
        <f>_xlfn.TEXTJOIN("_",FALSE,E22,ERP_8[[#This Row],[Expense Category]],ERP_8[[#This Row],[Project Code*]])</f>
        <v>Dougherty, Chris_CONTRACTORS_IT-CTR0097-OG-US-00</v>
      </c>
      <c r="E22" s="343" t="s">
        <v>1135</v>
      </c>
      <c r="F22" s="346"/>
      <c r="G22" s="150" t="s">
        <v>1136</v>
      </c>
      <c r="H22" s="150" t="s">
        <v>1135</v>
      </c>
      <c r="I22" s="150" t="s">
        <v>1135</v>
      </c>
      <c r="J22" s="150" t="s">
        <v>1137</v>
      </c>
      <c r="K22" s="511" t="s">
        <v>49</v>
      </c>
      <c r="L22" s="392" t="s">
        <v>1198</v>
      </c>
      <c r="M22" s="343" t="s">
        <v>1190</v>
      </c>
      <c r="N22" s="802" t="s">
        <v>1171</v>
      </c>
      <c r="O22" s="70" t="s">
        <v>71</v>
      </c>
      <c r="P22" s="346"/>
      <c r="Q22" s="346" t="s">
        <v>1199</v>
      </c>
      <c r="R22" s="346"/>
      <c r="S22" s="150" t="s">
        <v>64</v>
      </c>
      <c r="T22" s="150"/>
      <c r="U22" s="403"/>
      <c r="V22" s="406">
        <v>230004</v>
      </c>
      <c r="W22" s="406">
        <v>211390.3</v>
      </c>
      <c r="X22" s="425"/>
      <c r="Y22" s="71"/>
      <c r="Z22" s="784">
        <v>14973</v>
      </c>
      <c r="AA22" s="780">
        <v>18162.759999999998</v>
      </c>
      <c r="AB22" s="780">
        <v>19567.54</v>
      </c>
      <c r="AC22" s="428">
        <v>16769.23</v>
      </c>
      <c r="AD22" s="429">
        <v>16769.23</v>
      </c>
      <c r="AE22" s="429">
        <v>-21713.759999999998</v>
      </c>
      <c r="AF22" s="429">
        <v>0</v>
      </c>
      <c r="AG22" s="363">
        <v>20928</v>
      </c>
      <c r="AH22" s="363">
        <v>20928</v>
      </c>
      <c r="AI22" s="363">
        <v>20928</v>
      </c>
      <c r="AJ22" s="363">
        <v>20928</v>
      </c>
      <c r="AK22" s="363">
        <v>20928</v>
      </c>
      <c r="AL22" s="360">
        <f t="shared" si="0"/>
        <v>169168</v>
      </c>
      <c r="AM22" s="362">
        <f>ERP_8[[#This Row],[2026 Working Total]]-ERP_8[[#This Row],[LE2 Final Submission]]</f>
        <v>-42222.299999999988</v>
      </c>
      <c r="AN22" s="79">
        <v>0</v>
      </c>
      <c r="AO22" s="79">
        <f t="shared" si="1"/>
        <v>-21713.759999999998</v>
      </c>
      <c r="AP22" s="374">
        <f>SUM(ERP_8[[#This Row],[AP01]:[AP07]])-SUM(ERP_8[[#This Row],[AP01 LE2]:[AP07 LE2]])</f>
        <v>-59662.299999999988</v>
      </c>
      <c r="AQ22" s="80"/>
      <c r="AR22" s="79">
        <f>ERP_8[[#This Row],[2026 Working Total to Budget/LE]]-ERP_8[[#This Row],[Giveback]]</f>
        <v>-42222.299999999988</v>
      </c>
      <c r="AS22" s="81"/>
      <c r="AT22" s="375">
        <v>14973</v>
      </c>
      <c r="AU22" s="375">
        <v>18162.759999999998</v>
      </c>
      <c r="AV22" s="375">
        <v>19567.54</v>
      </c>
      <c r="AW22" s="375">
        <v>19167</v>
      </c>
      <c r="AX22" s="375">
        <v>17440</v>
      </c>
      <c r="AY22" s="375">
        <v>17440</v>
      </c>
      <c r="AZ22" s="375">
        <v>17440</v>
      </c>
      <c r="BA22" s="375">
        <v>17440</v>
      </c>
      <c r="BB22" s="375">
        <v>17440</v>
      </c>
      <c r="BC22" s="375">
        <v>17440</v>
      </c>
      <c r="BD22" s="375">
        <v>17440</v>
      </c>
      <c r="BE22" s="375">
        <v>17440</v>
      </c>
      <c r="BF22" s="375">
        <v>211390.3</v>
      </c>
      <c r="BG22" s="79">
        <v>14973</v>
      </c>
      <c r="BH22" s="79">
        <v>18162.759999999998</v>
      </c>
      <c r="BI22" s="79">
        <v>19567.54</v>
      </c>
      <c r="BJ22" s="79">
        <v>19167</v>
      </c>
      <c r="BK22" s="79">
        <v>19167</v>
      </c>
      <c r="BL22" s="79">
        <v>19167</v>
      </c>
      <c r="BM22" s="79">
        <v>19167</v>
      </c>
      <c r="BN22" s="79">
        <v>19167</v>
      </c>
      <c r="BO22" s="79">
        <v>19167</v>
      </c>
      <c r="BP22" s="79">
        <v>19167</v>
      </c>
      <c r="BQ22" s="79">
        <v>19167</v>
      </c>
      <c r="BR22" s="79">
        <v>19167</v>
      </c>
      <c r="BS22" s="79">
        <v>225206.3</v>
      </c>
    </row>
    <row r="23" spans="1:71" ht="15" hidden="1" customHeight="1">
      <c r="A23" s="66" t="s">
        <v>1200</v>
      </c>
      <c r="B23" s="737" t="s">
        <v>72</v>
      </c>
      <c r="C23" s="346"/>
      <c r="D23" s="343" t="str">
        <f>_xlfn.TEXTJOIN("_",FALSE,E23,ERP_8[[#This Row],[Expense Category]],ERP_8[[#This Row],[Project Code*]])</f>
        <v>Dougherty, Chris_CONTRACTORS_IT-CTR0098-OG-US-00</v>
      </c>
      <c r="E23" s="343" t="s">
        <v>1135</v>
      </c>
      <c r="F23" s="346"/>
      <c r="G23" s="150" t="s">
        <v>1136</v>
      </c>
      <c r="H23" s="150" t="s">
        <v>1135</v>
      </c>
      <c r="I23" s="150" t="s">
        <v>1135</v>
      </c>
      <c r="J23" s="150" t="s">
        <v>1137</v>
      </c>
      <c r="K23" s="511" t="s">
        <v>49</v>
      </c>
      <c r="L23" s="392" t="s">
        <v>1201</v>
      </c>
      <c r="M23" s="343" t="s">
        <v>1202</v>
      </c>
      <c r="N23" s="802" t="s">
        <v>1171</v>
      </c>
      <c r="O23" s="70" t="s">
        <v>73</v>
      </c>
      <c r="P23" s="346"/>
      <c r="Q23" s="346" t="s">
        <v>1203</v>
      </c>
      <c r="R23" s="346"/>
      <c r="S23" s="150" t="s">
        <v>64</v>
      </c>
      <c r="T23" s="150"/>
      <c r="U23" s="403"/>
      <c r="V23" s="406">
        <v>187200</v>
      </c>
      <c r="W23" s="406">
        <v>185657.15</v>
      </c>
      <c r="X23" s="430"/>
      <c r="Y23" s="137"/>
      <c r="Z23" s="784">
        <v>12857</v>
      </c>
      <c r="AA23" s="780">
        <v>18823.150000000001</v>
      </c>
      <c r="AB23" s="780">
        <v>13577</v>
      </c>
      <c r="AC23" s="428">
        <v>14400</v>
      </c>
      <c r="AD23" s="429">
        <v>17263</v>
      </c>
      <c r="AE23" s="429">
        <v>36956.74</v>
      </c>
      <c r="AF23" s="429">
        <v>-1531.1200000000008</v>
      </c>
      <c r="AG23" s="363">
        <v>19743</v>
      </c>
      <c r="AH23" s="363">
        <v>19743</v>
      </c>
      <c r="AI23" s="363">
        <v>19743</v>
      </c>
      <c r="AJ23" s="363">
        <v>19743</v>
      </c>
      <c r="AK23" s="363">
        <v>19743</v>
      </c>
      <c r="AL23" s="360">
        <f t="shared" si="0"/>
        <v>211060.77</v>
      </c>
      <c r="AM23" s="362">
        <f>ERP_8[[#This Row],[2026 Working Total]]-ERP_8[[#This Row],[LE2 Final Submission]]</f>
        <v>25403.619999999995</v>
      </c>
      <c r="AN23" s="79">
        <v>0</v>
      </c>
      <c r="AO23" s="79">
        <f t="shared" si="1"/>
        <v>36956.74</v>
      </c>
      <c r="AP23" s="374">
        <f>SUM(ERP_8[[#This Row],[AP01]:[AP07]])-SUM(ERP_8[[#This Row],[AP01 LE2]:[AP07 LE2]])</f>
        <v>4688.6199999999953</v>
      </c>
      <c r="AQ23" s="80"/>
      <c r="AR23" s="79">
        <f>ERP_8[[#This Row],[2026 Working Total to Budget/LE]]-ERP_8[[#This Row],[Giveback]]</f>
        <v>25403.619999999995</v>
      </c>
      <c r="AS23" s="81"/>
      <c r="AT23" s="375">
        <v>12857</v>
      </c>
      <c r="AU23" s="375">
        <v>18823.150000000001</v>
      </c>
      <c r="AV23" s="375">
        <v>13577</v>
      </c>
      <c r="AW23" s="375">
        <v>15600</v>
      </c>
      <c r="AX23" s="375">
        <v>15600</v>
      </c>
      <c r="AY23" s="375">
        <v>15600</v>
      </c>
      <c r="AZ23" s="375">
        <v>15600</v>
      </c>
      <c r="BA23" s="375">
        <v>15600</v>
      </c>
      <c r="BB23" s="375">
        <v>15600</v>
      </c>
      <c r="BC23" s="375">
        <v>15600</v>
      </c>
      <c r="BD23" s="375">
        <v>15600</v>
      </c>
      <c r="BE23" s="375">
        <v>15600</v>
      </c>
      <c r="BF23" s="375">
        <v>185657.15</v>
      </c>
      <c r="BG23" s="79">
        <v>12857</v>
      </c>
      <c r="BH23" s="79">
        <v>18823.150000000001</v>
      </c>
      <c r="BI23" s="79">
        <v>13577</v>
      </c>
      <c r="BJ23" s="79">
        <v>15600</v>
      </c>
      <c r="BK23" s="79">
        <v>15600</v>
      </c>
      <c r="BL23" s="79">
        <v>15600</v>
      </c>
      <c r="BM23" s="79">
        <v>15600</v>
      </c>
      <c r="BN23" s="79">
        <v>15600</v>
      </c>
      <c r="BO23" s="79">
        <v>15600</v>
      </c>
      <c r="BP23" s="79">
        <v>15600</v>
      </c>
      <c r="BQ23" s="79">
        <v>15600</v>
      </c>
      <c r="BR23" s="79">
        <v>15600</v>
      </c>
      <c r="BS23" s="79">
        <v>185657.15</v>
      </c>
    </row>
    <row r="24" spans="1:71" ht="15" hidden="1" customHeight="1">
      <c r="A24" s="66" t="s">
        <v>1204</v>
      </c>
      <c r="B24" s="737" t="s">
        <v>74</v>
      </c>
      <c r="C24" s="346"/>
      <c r="D24" s="343" t="str">
        <f>_xlfn.TEXTJOIN("_",FALSE,E24,ERP_8[[#This Row],[Expense Category]],ERP_8[[#This Row],[Project Code*]])</f>
        <v>Dougherty, Chris_CONTRACTORS_IT-CTR0099-OG-US-00</v>
      </c>
      <c r="E24" s="343" t="s">
        <v>1135</v>
      </c>
      <c r="F24" s="346"/>
      <c r="G24" s="150" t="s">
        <v>1136</v>
      </c>
      <c r="H24" s="150" t="s">
        <v>1135</v>
      </c>
      <c r="I24" s="150" t="s">
        <v>1135</v>
      </c>
      <c r="J24" s="150" t="s">
        <v>1137</v>
      </c>
      <c r="K24" s="511" t="s">
        <v>49</v>
      </c>
      <c r="L24" s="392" t="s">
        <v>1205</v>
      </c>
      <c r="M24" s="343" t="s">
        <v>1206</v>
      </c>
      <c r="N24" s="802" t="s">
        <v>1171</v>
      </c>
      <c r="O24" s="70" t="s">
        <v>75</v>
      </c>
      <c r="P24" s="346"/>
      <c r="Q24" s="346" t="s">
        <v>1207</v>
      </c>
      <c r="R24" s="346"/>
      <c r="S24" s="150" t="s">
        <v>64</v>
      </c>
      <c r="T24" s="150"/>
      <c r="U24" s="403"/>
      <c r="V24" s="406">
        <v>141310.95000000001</v>
      </c>
      <c r="W24" s="406">
        <v>132735.51</v>
      </c>
      <c r="X24" s="425"/>
      <c r="Y24" s="71"/>
      <c r="Z24" s="784">
        <v>9654</v>
      </c>
      <c r="AA24" s="780">
        <v>14825.74</v>
      </c>
      <c r="AB24" s="780">
        <v>12851.77</v>
      </c>
      <c r="AC24" s="428">
        <v>7463.62</v>
      </c>
      <c r="AD24" s="429">
        <v>16343.609999999997</v>
      </c>
      <c r="AE24" s="429">
        <v>13997.279999999999</v>
      </c>
      <c r="AF24" s="429">
        <v>16825.130000000005</v>
      </c>
      <c r="AG24" s="363">
        <v>6534</v>
      </c>
      <c r="AH24" s="363">
        <v>6534</v>
      </c>
      <c r="AI24" s="363">
        <v>6534</v>
      </c>
      <c r="AJ24" s="363">
        <v>6534</v>
      </c>
      <c r="AK24" s="363">
        <v>6534</v>
      </c>
      <c r="AL24" s="360">
        <f t="shared" si="0"/>
        <v>124631.15</v>
      </c>
      <c r="AM24" s="362">
        <f>ERP_8[[#This Row],[2026 Working Total]]-ERP_8[[#This Row],[LE2 Final Submission]]</f>
        <v>-8104.3600000000151</v>
      </c>
      <c r="AN24" s="79">
        <v>0</v>
      </c>
      <c r="AO24" s="79">
        <f t="shared" si="1"/>
        <v>13997.279999999999</v>
      </c>
      <c r="AP24" s="374">
        <f>SUM(ERP_8[[#This Row],[AP01]:[AP07]])-SUM(ERP_8[[#This Row],[AP01 LE2]:[AP07 LE2]])</f>
        <v>12789.64</v>
      </c>
      <c r="AQ24" s="80"/>
      <c r="AR24" s="79">
        <f>ERP_8[[#This Row],[2026 Working Total to Budget/LE]]-ERP_8[[#This Row],[Giveback]]</f>
        <v>-8104.3600000000151</v>
      </c>
      <c r="AS24" s="81"/>
      <c r="AT24" s="375">
        <v>9654</v>
      </c>
      <c r="AU24" s="375">
        <v>14825.74</v>
      </c>
      <c r="AV24" s="375">
        <v>12851.77</v>
      </c>
      <c r="AW24" s="375">
        <v>11942</v>
      </c>
      <c r="AX24" s="375">
        <v>10718</v>
      </c>
      <c r="AY24" s="375">
        <v>9590</v>
      </c>
      <c r="AZ24" s="375">
        <v>9590</v>
      </c>
      <c r="BA24" s="375">
        <v>10718</v>
      </c>
      <c r="BB24" s="375">
        <v>11090</v>
      </c>
      <c r="BC24" s="375">
        <v>11090</v>
      </c>
      <c r="BD24" s="375">
        <v>9590</v>
      </c>
      <c r="BE24" s="375">
        <v>11076</v>
      </c>
      <c r="BF24" s="375">
        <v>132735.51</v>
      </c>
      <c r="BG24" s="79">
        <v>9654</v>
      </c>
      <c r="BH24" s="79">
        <v>14825.74</v>
      </c>
      <c r="BI24" s="79">
        <v>12851.77</v>
      </c>
      <c r="BJ24" s="79">
        <v>10870.45</v>
      </c>
      <c r="BK24" s="79">
        <v>11986</v>
      </c>
      <c r="BL24" s="79">
        <v>11986</v>
      </c>
      <c r="BM24" s="79">
        <v>11986</v>
      </c>
      <c r="BN24" s="79">
        <v>11986</v>
      </c>
      <c r="BO24" s="79">
        <v>11986</v>
      </c>
      <c r="BP24" s="79">
        <v>11986</v>
      </c>
      <c r="BQ24" s="79">
        <v>11986</v>
      </c>
      <c r="BR24" s="79">
        <v>11986</v>
      </c>
      <c r="BS24" s="79">
        <v>144089.96</v>
      </c>
    </row>
    <row r="25" spans="1:71" ht="15" hidden="1" customHeight="1">
      <c r="A25" s="66" t="s">
        <v>1208</v>
      </c>
      <c r="B25" s="737" t="s">
        <v>76</v>
      </c>
      <c r="C25" s="346"/>
      <c r="D25" s="343" t="str">
        <f>_xlfn.TEXTJOIN("_",FALSE,E25,ERP_8[[#This Row],[Expense Category]],ERP_8[[#This Row],[Project Code*]])</f>
        <v>Dougherty, Chris_CONTRACTORS_IT-CTR0101-OG-US-00</v>
      </c>
      <c r="E25" s="343" t="s">
        <v>1135</v>
      </c>
      <c r="F25" s="346"/>
      <c r="G25" s="150" t="s">
        <v>1136</v>
      </c>
      <c r="H25" s="150" t="s">
        <v>1135</v>
      </c>
      <c r="I25" s="150" t="s">
        <v>1135</v>
      </c>
      <c r="J25" s="150" t="s">
        <v>1137</v>
      </c>
      <c r="K25" s="511" t="s">
        <v>49</v>
      </c>
      <c r="L25" s="392" t="s">
        <v>1209</v>
      </c>
      <c r="M25" s="343" t="s">
        <v>1210</v>
      </c>
      <c r="N25" s="802" t="s">
        <v>1171</v>
      </c>
      <c r="O25" s="70" t="s">
        <v>77</v>
      </c>
      <c r="P25" s="346"/>
      <c r="Q25" s="346" t="s">
        <v>1211</v>
      </c>
      <c r="R25" s="346"/>
      <c r="S25" s="150" t="s">
        <v>25</v>
      </c>
      <c r="T25" s="150"/>
      <c r="U25" s="403"/>
      <c r="V25" s="406">
        <v>97500</v>
      </c>
      <c r="W25" s="406">
        <v>90751.67</v>
      </c>
      <c r="X25" s="425"/>
      <c r="Y25" s="71"/>
      <c r="Z25" s="784">
        <v>10704.42</v>
      </c>
      <c r="AA25" s="780">
        <v>11988.8</v>
      </c>
      <c r="AB25" s="780">
        <v>9558.4500000000007</v>
      </c>
      <c r="AC25" s="428">
        <v>6923.07</v>
      </c>
      <c r="AD25" s="429">
        <v>8819.08</v>
      </c>
      <c r="AE25" s="429">
        <v>6012.1100000000006</v>
      </c>
      <c r="AF25" s="429">
        <v>6012.51</v>
      </c>
      <c r="AG25" s="363">
        <v>6000</v>
      </c>
      <c r="AH25" s="363">
        <v>6000</v>
      </c>
      <c r="AI25" s="363">
        <v>7500</v>
      </c>
      <c r="AJ25" s="363">
        <v>7500</v>
      </c>
      <c r="AK25" s="363">
        <v>7500</v>
      </c>
      <c r="AL25" s="360">
        <f t="shared" si="0"/>
        <v>94518.44</v>
      </c>
      <c r="AM25" s="362">
        <f>ERP_8[[#This Row],[2026 Working Total]]-ERP_8[[#This Row],[LE2 Final Submission]]</f>
        <v>3766.7700000000041</v>
      </c>
      <c r="AN25" s="79">
        <v>0</v>
      </c>
      <c r="AO25" s="79">
        <f t="shared" si="1"/>
        <v>6012.1100000000006</v>
      </c>
      <c r="AP25" s="374">
        <f>SUM(ERP_8[[#This Row],[AP01]:[AP07]])-SUM(ERP_8[[#This Row],[AP01 LE2]:[AP07 LE2]])</f>
        <v>3766.7700000000114</v>
      </c>
      <c r="AQ25" s="80"/>
      <c r="AR25" s="79">
        <f>ERP_8[[#This Row],[2026 Working Total to Budget/LE]]-ERP_8[[#This Row],[Giveback]]</f>
        <v>3766.7700000000041</v>
      </c>
      <c r="AS25" s="81"/>
      <c r="AT25" s="375">
        <v>10704.42</v>
      </c>
      <c r="AU25" s="375">
        <v>11988.8</v>
      </c>
      <c r="AV25" s="375">
        <v>9558.4500000000007</v>
      </c>
      <c r="AW25" s="375">
        <v>6000</v>
      </c>
      <c r="AX25" s="375">
        <v>6000</v>
      </c>
      <c r="AY25" s="375">
        <v>6000</v>
      </c>
      <c r="AZ25" s="375">
        <v>6000</v>
      </c>
      <c r="BA25" s="375">
        <v>6000</v>
      </c>
      <c r="BB25" s="375">
        <v>6000</v>
      </c>
      <c r="BC25" s="375">
        <v>7500</v>
      </c>
      <c r="BD25" s="375">
        <v>7500</v>
      </c>
      <c r="BE25" s="375">
        <v>7500</v>
      </c>
      <c r="BF25" s="375">
        <v>90751.67</v>
      </c>
      <c r="BG25" s="79">
        <v>10704.42</v>
      </c>
      <c r="BH25" s="79">
        <v>11988.8</v>
      </c>
      <c r="BI25" s="79">
        <v>9558.4500000000007</v>
      </c>
      <c r="BJ25" s="79">
        <v>8125</v>
      </c>
      <c r="BK25" s="79">
        <v>8125</v>
      </c>
      <c r="BL25" s="79">
        <v>8125</v>
      </c>
      <c r="BM25" s="79">
        <v>8125</v>
      </c>
      <c r="BN25" s="79">
        <v>8125</v>
      </c>
      <c r="BO25" s="79">
        <v>8125</v>
      </c>
      <c r="BP25" s="79">
        <v>8125</v>
      </c>
      <c r="BQ25" s="79">
        <v>8125</v>
      </c>
      <c r="BR25" s="79">
        <v>8125</v>
      </c>
      <c r="BS25" s="79">
        <v>105376.67</v>
      </c>
    </row>
    <row r="26" spans="1:71" ht="15" hidden="1" customHeight="1">
      <c r="A26" s="66" t="s">
        <v>1212</v>
      </c>
      <c r="B26" s="737" t="s">
        <v>78</v>
      </c>
      <c r="C26" s="346"/>
      <c r="D26" s="343" t="str">
        <f>_xlfn.TEXTJOIN("_",FALSE,E26,ERP_8[[#This Row],[Expense Category]],ERP_8[[#This Row],[Project Code*]])</f>
        <v>Dougherty, Chris_CONTRACTORS_IT-CTR0102-OG-US-00</v>
      </c>
      <c r="E26" s="343" t="s">
        <v>1135</v>
      </c>
      <c r="F26" s="346"/>
      <c r="G26" s="150" t="s">
        <v>1136</v>
      </c>
      <c r="H26" s="150" t="s">
        <v>1135</v>
      </c>
      <c r="I26" s="150" t="s">
        <v>1135</v>
      </c>
      <c r="J26" s="150" t="s">
        <v>1137</v>
      </c>
      <c r="K26" s="511" t="s">
        <v>49</v>
      </c>
      <c r="L26" s="392" t="s">
        <v>1213</v>
      </c>
      <c r="M26" s="343" t="s">
        <v>1210</v>
      </c>
      <c r="N26" s="802" t="s">
        <v>1171</v>
      </c>
      <c r="O26" s="70" t="s">
        <v>79</v>
      </c>
      <c r="P26" s="346"/>
      <c r="Q26" s="346" t="s">
        <v>1214</v>
      </c>
      <c r="R26" s="346"/>
      <c r="S26" s="150" t="s">
        <v>25</v>
      </c>
      <c r="T26" s="150"/>
      <c r="U26" s="403"/>
      <c r="V26" s="406">
        <v>107910</v>
      </c>
      <c r="W26" s="406">
        <v>99679.13</v>
      </c>
      <c r="X26" s="430"/>
      <c r="Y26" s="137"/>
      <c r="Z26" s="784">
        <v>6841</v>
      </c>
      <c r="AA26" s="780">
        <v>9759.2000000000007</v>
      </c>
      <c r="AB26" s="780">
        <v>7478.93</v>
      </c>
      <c r="AC26" s="428">
        <v>7661.53</v>
      </c>
      <c r="AD26" s="429">
        <v>9759.5400000000009</v>
      </c>
      <c r="AE26" s="429">
        <v>8299.7900000000009</v>
      </c>
      <c r="AF26" s="429">
        <v>6840.67</v>
      </c>
      <c r="AG26" s="363">
        <v>9300</v>
      </c>
      <c r="AH26" s="363">
        <v>8300</v>
      </c>
      <c r="AI26" s="363">
        <v>8300</v>
      </c>
      <c r="AJ26" s="363">
        <v>8300</v>
      </c>
      <c r="AK26" s="363">
        <v>8300</v>
      </c>
      <c r="AL26" s="360">
        <f t="shared" si="0"/>
        <v>99140.66</v>
      </c>
      <c r="AM26" s="362">
        <f>ERP_8[[#This Row],[2026 Working Total]]-ERP_8[[#This Row],[LE2 Final Submission]]</f>
        <v>-538.47000000000116</v>
      </c>
      <c r="AN26" s="79">
        <v>0</v>
      </c>
      <c r="AO26" s="79">
        <f t="shared" si="1"/>
        <v>8299.7900000000009</v>
      </c>
      <c r="AP26" s="374">
        <f>SUM(ERP_8[[#This Row],[AP01]:[AP07]])-SUM(ERP_8[[#This Row],[AP01 LE2]:[AP07 LE2]])</f>
        <v>-1038.4700000000084</v>
      </c>
      <c r="AQ26" s="80"/>
      <c r="AR26" s="79">
        <f>ERP_8[[#This Row],[2026 Working Total to Budget/LE]]-ERP_8[[#This Row],[Giveback]]</f>
        <v>-538.47000000000116</v>
      </c>
      <c r="AS26" s="81"/>
      <c r="AT26" s="375">
        <v>6841</v>
      </c>
      <c r="AU26" s="375">
        <v>9759.2000000000007</v>
      </c>
      <c r="AV26" s="375">
        <v>7478.93</v>
      </c>
      <c r="AW26" s="375">
        <v>8400</v>
      </c>
      <c r="AX26" s="375">
        <v>8400</v>
      </c>
      <c r="AY26" s="375">
        <v>8400</v>
      </c>
      <c r="AZ26" s="375">
        <v>8400</v>
      </c>
      <c r="BA26" s="375">
        <v>8400</v>
      </c>
      <c r="BB26" s="375">
        <v>8400</v>
      </c>
      <c r="BC26" s="375">
        <v>8400</v>
      </c>
      <c r="BD26" s="375">
        <v>8400</v>
      </c>
      <c r="BE26" s="375">
        <v>8400</v>
      </c>
      <c r="BF26" s="375">
        <v>99679.13</v>
      </c>
      <c r="BG26" s="79">
        <v>6841</v>
      </c>
      <c r="BH26" s="79">
        <v>9759.2000000000007</v>
      </c>
      <c r="BI26" s="79">
        <v>7478.93</v>
      </c>
      <c r="BJ26" s="79">
        <v>8992.5</v>
      </c>
      <c r="BK26" s="79">
        <v>8992.5</v>
      </c>
      <c r="BL26" s="79">
        <v>8992.5</v>
      </c>
      <c r="BM26" s="79">
        <v>8992.5</v>
      </c>
      <c r="BN26" s="79">
        <v>8992.5</v>
      </c>
      <c r="BO26" s="79">
        <v>8992.5</v>
      </c>
      <c r="BP26" s="79">
        <v>8992.5</v>
      </c>
      <c r="BQ26" s="79">
        <v>8992.5</v>
      </c>
      <c r="BR26" s="79">
        <v>8992.5</v>
      </c>
      <c r="BS26" s="79">
        <v>105011.63</v>
      </c>
    </row>
    <row r="27" spans="1:71" ht="15" hidden="1" customHeight="1">
      <c r="A27" s="66" t="s">
        <v>1215</v>
      </c>
      <c r="B27" s="737" t="s">
        <v>80</v>
      </c>
      <c r="C27" s="346"/>
      <c r="D27" s="343" t="str">
        <f>_xlfn.TEXTJOIN("_",FALSE,E27,ERP_8[[#This Row],[Expense Category]],ERP_8[[#This Row],[Project Code*]])</f>
        <v>Dougherty, Chris_CONTRACTORS_IT-CTR0103-OG-US-00</v>
      </c>
      <c r="E27" s="343" t="s">
        <v>1135</v>
      </c>
      <c r="F27" s="346"/>
      <c r="G27" s="150" t="s">
        <v>1136</v>
      </c>
      <c r="H27" s="150" t="s">
        <v>1135</v>
      </c>
      <c r="I27" s="150" t="s">
        <v>1135</v>
      </c>
      <c r="J27" s="150" t="s">
        <v>1137</v>
      </c>
      <c r="K27" s="511" t="s">
        <v>49</v>
      </c>
      <c r="L27" s="392" t="s">
        <v>1216</v>
      </c>
      <c r="M27" s="343" t="s">
        <v>1190</v>
      </c>
      <c r="N27" s="802" t="s">
        <v>1171</v>
      </c>
      <c r="O27" s="70" t="s">
        <v>81</v>
      </c>
      <c r="P27" s="346"/>
      <c r="Q27" s="346" t="s">
        <v>1217</v>
      </c>
      <c r="R27" s="346"/>
      <c r="S27" s="150" t="s">
        <v>25</v>
      </c>
      <c r="T27" s="150"/>
      <c r="U27" s="403"/>
      <c r="V27" s="406">
        <v>87360</v>
      </c>
      <c r="W27" s="406">
        <v>83873.7</v>
      </c>
      <c r="X27" s="425"/>
      <c r="Y27" s="71"/>
      <c r="Z27" s="784">
        <v>11538</v>
      </c>
      <c r="AA27" s="780">
        <v>8258.77</v>
      </c>
      <c r="AB27" s="780">
        <v>1796.93</v>
      </c>
      <c r="AC27" s="428">
        <v>5175.54</v>
      </c>
      <c r="AD27" s="429">
        <v>10565.529999999999</v>
      </c>
      <c r="AE27" s="429">
        <v>3972.9300000000003</v>
      </c>
      <c r="AF27" s="429">
        <v>8113.8899999999994</v>
      </c>
      <c r="AG27" s="363">
        <v>13000</v>
      </c>
      <c r="AH27" s="363">
        <v>7000</v>
      </c>
      <c r="AI27" s="363">
        <v>7000</v>
      </c>
      <c r="AJ27" s="363">
        <v>7000</v>
      </c>
      <c r="AK27" s="363">
        <v>7000</v>
      </c>
      <c r="AL27" s="360">
        <f t="shared" si="0"/>
        <v>90421.59</v>
      </c>
      <c r="AM27" s="362">
        <f>ERP_8[[#This Row],[2026 Working Total]]-ERP_8[[#This Row],[LE2 Final Submission]]</f>
        <v>6547.8899999999994</v>
      </c>
      <c r="AN27" s="79">
        <v>0</v>
      </c>
      <c r="AO27" s="79">
        <f t="shared" si="1"/>
        <v>3972.9300000000003</v>
      </c>
      <c r="AP27" s="374">
        <f>SUM(ERP_8[[#This Row],[AP01]:[AP07]])-SUM(ERP_8[[#This Row],[AP01 LE2]:[AP07 LE2]])</f>
        <v>827.89000000000669</v>
      </c>
      <c r="AQ27" s="80"/>
      <c r="AR27" s="79">
        <f>ERP_8[[#This Row],[2026 Working Total to Budget/LE]]-ERP_8[[#This Row],[Giveback]]</f>
        <v>6547.8899999999994</v>
      </c>
      <c r="AS27" s="81"/>
      <c r="AT27" s="375">
        <v>11538</v>
      </c>
      <c r="AU27" s="375">
        <v>8258.77</v>
      </c>
      <c r="AV27" s="375">
        <v>1796.93</v>
      </c>
      <c r="AW27" s="375">
        <v>6000</v>
      </c>
      <c r="AX27" s="375">
        <v>7000</v>
      </c>
      <c r="AY27" s="375">
        <v>7000</v>
      </c>
      <c r="AZ27" s="375">
        <v>7000</v>
      </c>
      <c r="BA27" s="375">
        <v>7000</v>
      </c>
      <c r="BB27" s="375">
        <v>7000</v>
      </c>
      <c r="BC27" s="375">
        <v>7000</v>
      </c>
      <c r="BD27" s="375">
        <v>7000</v>
      </c>
      <c r="BE27" s="375">
        <v>7280</v>
      </c>
      <c r="BF27" s="375">
        <v>83873.7</v>
      </c>
      <c r="BG27" s="79">
        <v>11538</v>
      </c>
      <c r="BH27" s="79">
        <v>8258.77</v>
      </c>
      <c r="BI27" s="79">
        <v>1796.93</v>
      </c>
      <c r="BJ27" s="79">
        <v>7280</v>
      </c>
      <c r="BK27" s="79">
        <v>7280</v>
      </c>
      <c r="BL27" s="79">
        <v>7280</v>
      </c>
      <c r="BM27" s="79">
        <v>7280</v>
      </c>
      <c r="BN27" s="79">
        <v>7280</v>
      </c>
      <c r="BO27" s="79">
        <v>7280</v>
      </c>
      <c r="BP27" s="79">
        <v>7280</v>
      </c>
      <c r="BQ27" s="79">
        <v>7280</v>
      </c>
      <c r="BR27" s="79">
        <v>7280</v>
      </c>
      <c r="BS27" s="79">
        <v>87113.7</v>
      </c>
    </row>
    <row r="28" spans="1:71" ht="15" hidden="1" customHeight="1">
      <c r="A28" s="66" t="s">
        <v>1218</v>
      </c>
      <c r="B28" s="737" t="s">
        <v>1219</v>
      </c>
      <c r="C28" s="346"/>
      <c r="D28" s="343" t="str">
        <f>_xlfn.TEXTJOIN("_",FALSE,E28,ERP_8[[#This Row],[Expense Category]],ERP_8[[#This Row],[Project Code*]])</f>
        <v>Dougherty, Chris_CONTRACTORS_IT-CTR0105-OG-US-00</v>
      </c>
      <c r="E28" s="343" t="s">
        <v>1135</v>
      </c>
      <c r="F28" s="346"/>
      <c r="G28" s="150" t="s">
        <v>1136</v>
      </c>
      <c r="H28" s="150" t="s">
        <v>1135</v>
      </c>
      <c r="I28" s="150" t="s">
        <v>1156</v>
      </c>
      <c r="J28" s="150" t="s">
        <v>1137</v>
      </c>
      <c r="K28" s="511" t="s">
        <v>49</v>
      </c>
      <c r="L28" s="392" t="s">
        <v>1220</v>
      </c>
      <c r="M28" s="343"/>
      <c r="N28" s="800"/>
      <c r="O28" s="70" t="s">
        <v>83</v>
      </c>
      <c r="P28" s="346"/>
      <c r="Q28" s="346" t="s">
        <v>1221</v>
      </c>
      <c r="R28" s="346"/>
      <c r="S28" s="150" t="s">
        <v>25</v>
      </c>
      <c r="T28" s="150" t="s">
        <v>1222</v>
      </c>
      <c r="U28" s="403"/>
      <c r="V28" s="406">
        <v>750</v>
      </c>
      <c r="W28" s="406">
        <v>0</v>
      </c>
      <c r="X28" s="425"/>
      <c r="Y28" s="71"/>
      <c r="Z28" s="784"/>
      <c r="AA28" s="794"/>
      <c r="AB28" s="794"/>
      <c r="AC28" s="428" t="s">
        <v>1142</v>
      </c>
      <c r="AD28" s="429">
        <v>0</v>
      </c>
      <c r="AE28" s="429">
        <v>0</v>
      </c>
      <c r="AF28" s="429" t="s">
        <v>1142</v>
      </c>
      <c r="AG28" s="363">
        <v>0</v>
      </c>
      <c r="AH28" s="363">
        <v>0</v>
      </c>
      <c r="AI28" s="363">
        <v>0</v>
      </c>
      <c r="AJ28" s="363">
        <v>0</v>
      </c>
      <c r="AK28" s="363">
        <v>0</v>
      </c>
      <c r="AL28" s="360">
        <f t="shared" si="0"/>
        <v>0</v>
      </c>
      <c r="AM28" s="362">
        <f>ERP_8[[#This Row],[2026 Working Total]]-ERP_8[[#This Row],[LE2 Final Submission]]</f>
        <v>0</v>
      </c>
      <c r="AN28" s="79">
        <v>0</v>
      </c>
      <c r="AO28" s="79">
        <f t="shared" si="1"/>
        <v>0</v>
      </c>
      <c r="AP28" s="374">
        <f>SUM(ERP_8[[#This Row],[AP01]:[AP07]])-SUM(ERP_8[[#This Row],[AP01 LE2]:[AP07 LE2]])</f>
        <v>0</v>
      </c>
      <c r="AQ28" s="80">
        <v>-750</v>
      </c>
      <c r="AR28" s="79">
        <f>ERP_8[[#This Row],[2026 Working Total to Budget/LE]]-ERP_8[[#This Row],[Giveback]]</f>
        <v>750</v>
      </c>
      <c r="AS28" s="81" t="s">
        <v>1223</v>
      </c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375">
        <v>0</v>
      </c>
      <c r="BG28" s="79"/>
      <c r="BH28" s="79"/>
      <c r="BI28" s="79"/>
      <c r="BJ28" s="79">
        <v>62.5</v>
      </c>
      <c r="BK28" s="79">
        <v>62.5</v>
      </c>
      <c r="BL28" s="79">
        <v>62.5</v>
      </c>
      <c r="BM28" s="79">
        <v>62.5</v>
      </c>
      <c r="BN28" s="79">
        <v>62.5</v>
      </c>
      <c r="BO28" s="79">
        <v>62.5</v>
      </c>
      <c r="BP28" s="79">
        <v>62.5</v>
      </c>
      <c r="BQ28" s="79">
        <v>62.5</v>
      </c>
      <c r="BR28" s="79">
        <v>62.5</v>
      </c>
      <c r="BS28" s="79">
        <v>562.5</v>
      </c>
    </row>
    <row r="29" spans="1:71" ht="15" customHeight="1">
      <c r="A29" s="66" t="s">
        <v>1224</v>
      </c>
      <c r="B29" s="737" t="s">
        <v>1225</v>
      </c>
      <c r="C29" s="346"/>
      <c r="D29" s="343" t="str">
        <f>_xlfn.TEXTJOIN("_",FALSE,E29,ERP_8[[#This Row],[Expense Category]],ERP_8[[#This Row],[Project Code*]])</f>
        <v>Dougherty, Chris_CONTRACTORS_IT-CTR0130-OG-US-00</v>
      </c>
      <c r="E29" s="343" t="s">
        <v>1135</v>
      </c>
      <c r="F29" s="346"/>
      <c r="G29" s="150" t="s">
        <v>1136</v>
      </c>
      <c r="H29" s="150" t="s">
        <v>1135</v>
      </c>
      <c r="I29" s="150" t="s">
        <v>1145</v>
      </c>
      <c r="J29" s="150" t="s">
        <v>1137</v>
      </c>
      <c r="K29" s="511" t="s">
        <v>49</v>
      </c>
      <c r="L29" s="778" t="s">
        <v>1226</v>
      </c>
      <c r="M29" s="343"/>
      <c r="N29" s="802" t="s">
        <v>1186</v>
      </c>
      <c r="O29" s="70" t="s">
        <v>85</v>
      </c>
      <c r="P29" s="346"/>
      <c r="Q29" s="346" t="s">
        <v>1227</v>
      </c>
      <c r="R29" s="346"/>
      <c r="S29" s="150" t="s">
        <v>25</v>
      </c>
      <c r="T29" s="150" t="s">
        <v>1228</v>
      </c>
      <c r="U29" s="403"/>
      <c r="V29" s="406">
        <v>357000</v>
      </c>
      <c r="W29" s="406">
        <v>356999.8</v>
      </c>
      <c r="X29" s="425"/>
      <c r="Y29" s="71"/>
      <c r="Z29" s="784">
        <v>24570</v>
      </c>
      <c r="AA29" s="780">
        <v>27517.439999999999</v>
      </c>
      <c r="AB29" s="780">
        <v>34397.360000000001</v>
      </c>
      <c r="AC29" s="428">
        <v>27517.89</v>
      </c>
      <c r="AD29" s="429">
        <v>27517.89</v>
      </c>
      <c r="AE29" s="429">
        <v>34397.360000000001</v>
      </c>
      <c r="AF29" s="429">
        <v>27517.89</v>
      </c>
      <c r="AG29" s="363">
        <v>29750</v>
      </c>
      <c r="AH29" s="363">
        <v>34565</v>
      </c>
      <c r="AI29" s="363">
        <v>29750</v>
      </c>
      <c r="AJ29" s="363">
        <v>29750</v>
      </c>
      <c r="AK29" s="363">
        <v>29750</v>
      </c>
      <c r="AL29" s="360">
        <f t="shared" si="0"/>
        <v>357000.83</v>
      </c>
      <c r="AM29" s="362">
        <f>ERP_8[[#This Row],[2026 Working Total]]-ERP_8[[#This Row],[LE2 Final Submission]]</f>
        <v>1.0300000000279397</v>
      </c>
      <c r="AN29" s="79">
        <v>0</v>
      </c>
      <c r="AO29" s="79">
        <f t="shared" si="1"/>
        <v>34397.360000000001</v>
      </c>
      <c r="AP29" s="374">
        <f>SUM(ERP_8[[#This Row],[AP01]:[AP07]])-SUM(ERP_8[[#This Row],[AP01 LE2]:[AP07 LE2]])</f>
        <v>-4813.9699999999721</v>
      </c>
      <c r="AQ29" s="80"/>
      <c r="AR29" s="79">
        <f>ERP_8[[#This Row],[2026 Working Total to Budget/LE]]-ERP_8[[#This Row],[Giveback]]</f>
        <v>1.0300000000279397</v>
      </c>
      <c r="AS29" s="81"/>
      <c r="AT29" s="375">
        <v>24570</v>
      </c>
      <c r="AU29" s="375">
        <v>27517.439999999999</v>
      </c>
      <c r="AV29" s="375">
        <v>34397.360000000001</v>
      </c>
      <c r="AW29" s="375">
        <v>32515</v>
      </c>
      <c r="AX29" s="375">
        <v>29750</v>
      </c>
      <c r="AY29" s="375">
        <v>29750</v>
      </c>
      <c r="AZ29" s="375">
        <v>29750</v>
      </c>
      <c r="BA29" s="375">
        <v>29750</v>
      </c>
      <c r="BB29" s="375">
        <v>29750</v>
      </c>
      <c r="BC29" s="375">
        <v>29750</v>
      </c>
      <c r="BD29" s="375">
        <v>29750</v>
      </c>
      <c r="BE29" s="375">
        <v>29750</v>
      </c>
      <c r="BF29" s="375">
        <v>356999.8</v>
      </c>
      <c r="BG29" s="79">
        <v>24570</v>
      </c>
      <c r="BH29" s="79">
        <v>27517.439999999999</v>
      </c>
      <c r="BI29" s="79">
        <v>34397.360000000001</v>
      </c>
      <c r="BJ29" s="79">
        <v>37163</v>
      </c>
      <c r="BK29" s="79">
        <v>29750</v>
      </c>
      <c r="BL29" s="79">
        <v>29750</v>
      </c>
      <c r="BM29" s="79">
        <v>29750</v>
      </c>
      <c r="BN29" s="79">
        <v>29750</v>
      </c>
      <c r="BO29" s="79">
        <v>29750</v>
      </c>
      <c r="BP29" s="79">
        <v>29750</v>
      </c>
      <c r="BQ29" s="79">
        <v>29750</v>
      </c>
      <c r="BR29" s="79">
        <v>29750</v>
      </c>
      <c r="BS29" s="79">
        <v>361647.8</v>
      </c>
    </row>
    <row r="30" spans="1:71" ht="15" hidden="1" customHeight="1">
      <c r="A30" s="66" t="s">
        <v>1229</v>
      </c>
      <c r="B30" s="737" t="s">
        <v>86</v>
      </c>
      <c r="C30" s="346"/>
      <c r="D30" s="343" t="str">
        <f>_xlfn.TEXTJOIN("_",FALSE,E30,ERP_8[[#This Row],[Expense Category]],ERP_8[[#This Row],[Project Code*]])</f>
        <v>Dougherty, Chris_CONTRACTORS_IT-CTR0132-OT-US-00</v>
      </c>
      <c r="E30" s="343" t="s">
        <v>1135</v>
      </c>
      <c r="F30" s="346"/>
      <c r="G30" s="150" t="s">
        <v>1136</v>
      </c>
      <c r="H30" s="150" t="s">
        <v>1135</v>
      </c>
      <c r="I30" s="150" t="s">
        <v>1135</v>
      </c>
      <c r="J30" s="150" t="s">
        <v>1137</v>
      </c>
      <c r="K30" s="511" t="s">
        <v>49</v>
      </c>
      <c r="L30" s="392" t="s">
        <v>1230</v>
      </c>
      <c r="M30" s="343" t="s">
        <v>1231</v>
      </c>
      <c r="N30" s="802" t="s">
        <v>1171</v>
      </c>
      <c r="O30" s="70" t="s">
        <v>87</v>
      </c>
      <c r="P30" s="346"/>
      <c r="Q30" s="346" t="s">
        <v>1232</v>
      </c>
      <c r="R30" s="346"/>
      <c r="S30" s="150" t="s">
        <v>25</v>
      </c>
      <c r="T30" s="150" t="s">
        <v>1233</v>
      </c>
      <c r="U30" s="403"/>
      <c r="V30" s="406">
        <v>1678341.6000000003</v>
      </c>
      <c r="W30" s="406">
        <v>1647348.3599999999</v>
      </c>
      <c r="X30" s="425"/>
      <c r="Y30" s="71"/>
      <c r="Z30" s="784">
        <v>113142.14</v>
      </c>
      <c r="AA30" s="780">
        <v>160853.85999999999</v>
      </c>
      <c r="AB30" s="780">
        <v>137841.35999999999</v>
      </c>
      <c r="AC30" s="428">
        <v>0</v>
      </c>
      <c r="AD30" s="429">
        <v>274558.24</v>
      </c>
      <c r="AE30" s="429">
        <v>137279.12</v>
      </c>
      <c r="AF30" s="429">
        <v>0</v>
      </c>
      <c r="AG30" s="363">
        <f>136998-136998+137279+137279</f>
        <v>274558</v>
      </c>
      <c r="AH30" s="363">
        <f>136998-136998+137279</f>
        <v>137279</v>
      </c>
      <c r="AI30" s="363">
        <f>136998-136998</f>
        <v>0</v>
      </c>
      <c r="AJ30" s="363">
        <f>136998-136998+137279+137279</f>
        <v>274558</v>
      </c>
      <c r="AK30" s="363">
        <f>136998-136998+137279</f>
        <v>137279</v>
      </c>
      <c r="AL30" s="360">
        <f t="shared" si="0"/>
        <v>1647348.72</v>
      </c>
      <c r="AM30" s="362">
        <f>ERP_8[[#This Row],[2026 Working Total]]-ERP_8[[#This Row],[LE2 Final Submission]]</f>
        <v>0.36000000010244548</v>
      </c>
      <c r="AN30" s="79">
        <v>0</v>
      </c>
      <c r="AO30" s="79">
        <f t="shared" si="1"/>
        <v>137279.12</v>
      </c>
      <c r="AP30" s="374">
        <f>SUM(ERP_8[[#This Row],[AP01]:[AP07]])-SUM(ERP_8[[#This Row],[AP01 LE2]:[AP07 LE2]])</f>
        <v>0.35999999998603016</v>
      </c>
      <c r="AQ30" s="80"/>
      <c r="AR30" s="79">
        <f>ERP_8[[#This Row],[2026 Working Total to Budget/LE]]-ERP_8[[#This Row],[Giveback]]</f>
        <v>0.36000000010244548</v>
      </c>
      <c r="AS30" s="81" t="s">
        <v>1234</v>
      </c>
      <c r="AT30" s="375">
        <v>113142.14</v>
      </c>
      <c r="AU30" s="375">
        <v>160853.85999999999</v>
      </c>
      <c r="AV30" s="375">
        <v>137841.35999999999</v>
      </c>
      <c r="AW30" s="375">
        <v>0</v>
      </c>
      <c r="AX30" s="375">
        <v>274558</v>
      </c>
      <c r="AY30" s="375">
        <v>137279</v>
      </c>
      <c r="AZ30" s="375">
        <v>0</v>
      </c>
      <c r="BA30" s="375">
        <v>274558</v>
      </c>
      <c r="BB30" s="375">
        <v>137279</v>
      </c>
      <c r="BC30" s="375">
        <v>0</v>
      </c>
      <c r="BD30" s="375">
        <v>274558</v>
      </c>
      <c r="BE30" s="375">
        <v>137279</v>
      </c>
      <c r="BF30" s="375">
        <v>1647348.3599999999</v>
      </c>
      <c r="BG30" s="79">
        <v>113142.14</v>
      </c>
      <c r="BH30" s="79">
        <v>160853.85999999999</v>
      </c>
      <c r="BI30" s="79">
        <v>137841.35999999999</v>
      </c>
      <c r="BJ30" s="79">
        <v>136998</v>
      </c>
      <c r="BK30" s="79">
        <v>136998</v>
      </c>
      <c r="BL30" s="79">
        <v>136998</v>
      </c>
      <c r="BM30" s="79">
        <v>136998</v>
      </c>
      <c r="BN30" s="79">
        <v>136998</v>
      </c>
      <c r="BO30" s="79">
        <v>136998</v>
      </c>
      <c r="BP30" s="79">
        <v>136998</v>
      </c>
      <c r="BQ30" s="79">
        <v>136998</v>
      </c>
      <c r="BR30" s="79">
        <v>136998</v>
      </c>
      <c r="BS30" s="79">
        <v>1644819.3599999999</v>
      </c>
    </row>
    <row r="31" spans="1:71" ht="15" hidden="1" customHeight="1">
      <c r="A31" s="79" t="s">
        <v>1235</v>
      </c>
      <c r="B31" s="749" t="s">
        <v>88</v>
      </c>
      <c r="C31" s="348"/>
      <c r="D31" s="347" t="str">
        <f>_xlfn.TEXTJOIN("_",FALSE,E31,ERP_8[[#This Row],[Expense Category]],ERP_8[[#This Row],[Project Code*]])</f>
        <v>Dougherty, Chris_CONTRACTORS_IT-CTR0132-OT-US-00/BDC</v>
      </c>
      <c r="E31" s="347" t="s">
        <v>1135</v>
      </c>
      <c r="F31" s="348"/>
      <c r="G31" s="150" t="s">
        <v>1136</v>
      </c>
      <c r="H31" s="332" t="s">
        <v>1135</v>
      </c>
      <c r="I31" s="382" t="s">
        <v>1135</v>
      </c>
      <c r="J31" s="331" t="s">
        <v>1137</v>
      </c>
      <c r="K31" s="512" t="s">
        <v>49</v>
      </c>
      <c r="L31" s="394" t="s">
        <v>1236</v>
      </c>
      <c r="M31" s="343"/>
      <c r="N31" s="803"/>
      <c r="O31" s="122" t="s">
        <v>89</v>
      </c>
      <c r="P31" s="343"/>
      <c r="Q31" s="346" t="s">
        <v>1232</v>
      </c>
      <c r="R31" s="471"/>
      <c r="S31" s="384" t="s">
        <v>25</v>
      </c>
      <c r="T31" s="150"/>
      <c r="U31" s="432"/>
      <c r="V31" s="358">
        <f>-213108+213108</f>
        <v>0</v>
      </c>
      <c r="W31" s="378">
        <v>0</v>
      </c>
      <c r="X31" s="430"/>
      <c r="Y31" s="137"/>
      <c r="Z31" s="783"/>
      <c r="AA31" s="781"/>
      <c r="AB31" s="781"/>
      <c r="AC31" s="428" t="s">
        <v>1142</v>
      </c>
      <c r="AD31" s="429">
        <v>0</v>
      </c>
      <c r="AE31" s="429">
        <v>0</v>
      </c>
      <c r="AF31" s="429" t="s">
        <v>1142</v>
      </c>
      <c r="AG31" s="388">
        <v>0</v>
      </c>
      <c r="AH31" s="388">
        <v>0</v>
      </c>
      <c r="AI31" s="388">
        <v>0</v>
      </c>
      <c r="AJ31" s="388">
        <v>0</v>
      </c>
      <c r="AK31" s="388"/>
      <c r="AL31" s="360">
        <f t="shared" si="0"/>
        <v>0</v>
      </c>
      <c r="AM31" s="362">
        <f>ERP_8[[#This Row],[2026 Working Total]]-ERP_8[[#This Row],[LE2 Final Submission]]</f>
        <v>0</v>
      </c>
      <c r="AN31" s="79">
        <v>0</v>
      </c>
      <c r="AO31" s="79">
        <f t="shared" si="1"/>
        <v>0</v>
      </c>
      <c r="AP31" s="374">
        <f>SUM(ERP_8[[#This Row],[AP01]:[AP07]])-SUM(ERP_8[[#This Row],[AP01 LE2]:[AP07 LE2]])</f>
        <v>0</v>
      </c>
      <c r="AQ31" s="80"/>
      <c r="AR31" s="79">
        <f>ERP_8[[#This Row],[2026 Working Total to Budget/LE]]-ERP_8[[#This Row],[Giveback]]</f>
        <v>0</v>
      </c>
      <c r="AS31" s="81"/>
      <c r="AT31" s="375"/>
      <c r="AU31" s="375"/>
      <c r="AV31" s="375"/>
      <c r="AW31" s="375">
        <v>0</v>
      </c>
      <c r="AX31" s="375">
        <v>0</v>
      </c>
      <c r="AY31" s="375">
        <v>0</v>
      </c>
      <c r="AZ31" s="375">
        <v>0</v>
      </c>
      <c r="BA31" s="375">
        <v>0</v>
      </c>
      <c r="BB31" s="375">
        <v>0</v>
      </c>
      <c r="BC31" s="375">
        <v>0</v>
      </c>
      <c r="BD31" s="375">
        <v>0</v>
      </c>
      <c r="BE31" s="375"/>
      <c r="BF31" s="375">
        <v>0</v>
      </c>
      <c r="BG31" s="103">
        <v>0</v>
      </c>
      <c r="BH31" s="103">
        <v>0</v>
      </c>
      <c r="BI31" s="103">
        <v>0</v>
      </c>
      <c r="BJ31" s="103">
        <v>0</v>
      </c>
      <c r="BK31" s="103">
        <v>0</v>
      </c>
      <c r="BL31" s="103">
        <v>-213108</v>
      </c>
      <c r="BM31" s="103">
        <v>0</v>
      </c>
      <c r="BN31" s="103">
        <v>0</v>
      </c>
      <c r="BO31" s="103">
        <v>0</v>
      </c>
      <c r="BP31" s="103">
        <v>0</v>
      </c>
      <c r="BQ31" s="103">
        <v>0</v>
      </c>
      <c r="BR31" s="103">
        <v>0</v>
      </c>
      <c r="BS31" s="79">
        <f>SUM(ERP_8[[#This Row],[2026 AP01]:[2026 AP12]])</f>
        <v>-213108</v>
      </c>
    </row>
    <row r="32" spans="1:71" ht="15" hidden="1" customHeight="1">
      <c r="A32" s="79" t="s">
        <v>1237</v>
      </c>
      <c r="B32" s="749" t="s">
        <v>90</v>
      </c>
      <c r="C32" s="348"/>
      <c r="D32" s="347" t="str">
        <f>_xlfn.TEXTJOIN("_",FALSE,E32,ERP_8[[#This Row],[Expense Category]],ERP_8[[#This Row],[Project Code*]])</f>
        <v>Dougherty, Chris_CONTRACTORS_IT-CTR0132-OT-US-00/Colalborate 360</v>
      </c>
      <c r="E32" s="347" t="s">
        <v>1135</v>
      </c>
      <c r="F32" s="348"/>
      <c r="G32" s="150" t="s">
        <v>1136</v>
      </c>
      <c r="H32" s="332" t="s">
        <v>1135</v>
      </c>
      <c r="I32" s="382" t="s">
        <v>1135</v>
      </c>
      <c r="J32" s="331" t="s">
        <v>1137</v>
      </c>
      <c r="K32" s="512" t="s">
        <v>49</v>
      </c>
      <c r="L32" s="394" t="s">
        <v>1238</v>
      </c>
      <c r="M32" s="343"/>
      <c r="N32" s="803"/>
      <c r="O32" s="122" t="s">
        <v>91</v>
      </c>
      <c r="P32" s="343"/>
      <c r="Q32" s="346" t="s">
        <v>1232</v>
      </c>
      <c r="R32" s="471"/>
      <c r="S32" s="384" t="s">
        <v>25</v>
      </c>
      <c r="T32" s="150"/>
      <c r="U32" s="432"/>
      <c r="V32" s="358">
        <f>76110+-76110</f>
        <v>0</v>
      </c>
      <c r="W32" s="378">
        <v>0</v>
      </c>
      <c r="X32" s="425"/>
      <c r="Y32" s="71"/>
      <c r="Z32" s="783"/>
      <c r="AA32" s="781"/>
      <c r="AB32" s="781"/>
      <c r="AC32" s="428" t="s">
        <v>1142</v>
      </c>
      <c r="AD32" s="429">
        <v>0</v>
      </c>
      <c r="AE32" s="429">
        <v>0</v>
      </c>
      <c r="AF32" s="429" t="s">
        <v>1142</v>
      </c>
      <c r="AG32" s="388">
        <v>0</v>
      </c>
      <c r="AH32" s="388">
        <v>0</v>
      </c>
      <c r="AI32" s="388">
        <v>0</v>
      </c>
      <c r="AJ32" s="388">
        <v>0</v>
      </c>
      <c r="AK32" s="388"/>
      <c r="AL32" s="360">
        <f t="shared" si="0"/>
        <v>0</v>
      </c>
      <c r="AM32" s="362">
        <f>ERP_8[[#This Row],[2026 Working Total]]-ERP_8[[#This Row],[LE2 Final Submission]]</f>
        <v>0</v>
      </c>
      <c r="AN32" s="79">
        <v>0</v>
      </c>
      <c r="AO32" s="79">
        <f t="shared" si="1"/>
        <v>0</v>
      </c>
      <c r="AP32" s="374">
        <f>SUM(ERP_8[[#This Row],[AP01]:[AP07]])-SUM(ERP_8[[#This Row],[AP01 LE2]:[AP07 LE2]])</f>
        <v>0</v>
      </c>
      <c r="AQ32" s="80"/>
      <c r="AR32" s="79">
        <f>ERP_8[[#This Row],[2026 Working Total to Budget/LE]]-ERP_8[[#This Row],[Giveback]]</f>
        <v>0</v>
      </c>
      <c r="AS32" s="81"/>
      <c r="AT32" s="375"/>
      <c r="AU32" s="375"/>
      <c r="AV32" s="375"/>
      <c r="AW32" s="375">
        <v>0</v>
      </c>
      <c r="AX32" s="375">
        <v>0</v>
      </c>
      <c r="AY32" s="375">
        <v>0</v>
      </c>
      <c r="AZ32" s="375">
        <v>0</v>
      </c>
      <c r="BA32" s="375">
        <v>0</v>
      </c>
      <c r="BB32" s="375">
        <v>0</v>
      </c>
      <c r="BC32" s="375">
        <v>0</v>
      </c>
      <c r="BD32" s="375">
        <v>0</v>
      </c>
      <c r="BE32" s="375"/>
      <c r="BF32" s="375">
        <v>0</v>
      </c>
      <c r="BG32" s="103">
        <v>0</v>
      </c>
      <c r="BH32" s="103">
        <v>0</v>
      </c>
      <c r="BI32" s="103">
        <v>0</v>
      </c>
      <c r="BJ32" s="103">
        <v>0</v>
      </c>
      <c r="BK32" s="103">
        <v>0</v>
      </c>
      <c r="BL32" s="103">
        <v>-76110</v>
      </c>
      <c r="BM32" s="103">
        <v>0</v>
      </c>
      <c r="BN32" s="103">
        <v>0</v>
      </c>
      <c r="BO32" s="103">
        <v>0</v>
      </c>
      <c r="BP32" s="103">
        <v>0</v>
      </c>
      <c r="BQ32" s="103">
        <v>0</v>
      </c>
      <c r="BR32" s="103">
        <v>0</v>
      </c>
      <c r="BS32" s="79">
        <f>SUM(ERP_8[[#This Row],[2026 AP01]:[2026 AP12]])</f>
        <v>-76110</v>
      </c>
    </row>
    <row r="33" spans="1:71" ht="15" hidden="1" customHeight="1">
      <c r="A33" s="79" t="s">
        <v>1239</v>
      </c>
      <c r="B33" s="749" t="s">
        <v>92</v>
      </c>
      <c r="C33" s="348"/>
      <c r="D33" s="347" t="str">
        <f>_xlfn.TEXTJOIN("_",FALSE,E33,ERP_8[[#This Row],[Expense Category]],ERP_8[[#This Row],[Project Code*]])</f>
        <v>Dougherty, Chris_CONTRACTORS_IT-CTR0132-OT-US-00/iERP</v>
      </c>
      <c r="E33" s="347" t="s">
        <v>1135</v>
      </c>
      <c r="F33" s="348"/>
      <c r="G33" s="150" t="s">
        <v>1136</v>
      </c>
      <c r="H33" s="332" t="s">
        <v>1135</v>
      </c>
      <c r="I33" s="382" t="s">
        <v>1135</v>
      </c>
      <c r="J33" s="331" t="s">
        <v>1137</v>
      </c>
      <c r="K33" s="512" t="s">
        <v>49</v>
      </c>
      <c r="L33" s="394" t="s">
        <v>1240</v>
      </c>
      <c r="M33" s="343"/>
      <c r="N33" s="803"/>
      <c r="O33" s="122" t="s">
        <v>93</v>
      </c>
      <c r="P33" s="343"/>
      <c r="Q33" s="346" t="s">
        <v>1232</v>
      </c>
      <c r="R33" s="471"/>
      <c r="S33" s="384" t="s">
        <v>25</v>
      </c>
      <c r="T33" s="150"/>
      <c r="U33" s="432"/>
      <c r="V33" s="358">
        <f>-91332+91332</f>
        <v>0</v>
      </c>
      <c r="W33" s="378">
        <v>0</v>
      </c>
      <c r="X33" s="425"/>
      <c r="Y33" s="71"/>
      <c r="Z33" s="783"/>
      <c r="AA33" s="781"/>
      <c r="AB33" s="781"/>
      <c r="AC33" s="428" t="s">
        <v>1142</v>
      </c>
      <c r="AD33" s="429">
        <v>0</v>
      </c>
      <c r="AE33" s="429">
        <v>0</v>
      </c>
      <c r="AF33" s="429" t="s">
        <v>1142</v>
      </c>
      <c r="AG33" s="388">
        <v>0</v>
      </c>
      <c r="AH33" s="388">
        <v>0</v>
      </c>
      <c r="AI33" s="388">
        <v>0</v>
      </c>
      <c r="AJ33" s="388">
        <v>0</v>
      </c>
      <c r="AK33" s="388"/>
      <c r="AL33" s="360">
        <f t="shared" si="0"/>
        <v>0</v>
      </c>
      <c r="AM33" s="362">
        <f>ERP_8[[#This Row],[2026 Working Total]]-ERP_8[[#This Row],[LE2 Final Submission]]</f>
        <v>0</v>
      </c>
      <c r="AN33" s="79">
        <v>0</v>
      </c>
      <c r="AO33" s="79">
        <f t="shared" si="1"/>
        <v>0</v>
      </c>
      <c r="AP33" s="374">
        <f>SUM(ERP_8[[#This Row],[AP01]:[AP07]])-SUM(ERP_8[[#This Row],[AP01 LE2]:[AP07 LE2]])</f>
        <v>0</v>
      </c>
      <c r="AQ33" s="80"/>
      <c r="AR33" s="79">
        <f>ERP_8[[#This Row],[2026 Working Total to Budget/LE]]-ERP_8[[#This Row],[Giveback]]</f>
        <v>0</v>
      </c>
      <c r="AS33" s="81"/>
      <c r="AT33" s="375"/>
      <c r="AU33" s="375"/>
      <c r="AV33" s="375"/>
      <c r="AW33" s="375">
        <v>0</v>
      </c>
      <c r="AX33" s="375">
        <v>0</v>
      </c>
      <c r="AY33" s="375">
        <v>0</v>
      </c>
      <c r="AZ33" s="375">
        <v>0</v>
      </c>
      <c r="BA33" s="375">
        <v>0</v>
      </c>
      <c r="BB33" s="375">
        <v>0</v>
      </c>
      <c r="BC33" s="375">
        <v>0</v>
      </c>
      <c r="BD33" s="375">
        <v>0</v>
      </c>
      <c r="BE33" s="375"/>
      <c r="BF33" s="375">
        <v>0</v>
      </c>
      <c r="BG33" s="103">
        <v>0</v>
      </c>
      <c r="BH33" s="103">
        <v>0</v>
      </c>
      <c r="BI33" s="103">
        <v>0</v>
      </c>
      <c r="BJ33" s="103">
        <v>0</v>
      </c>
      <c r="BK33" s="103">
        <v>0</v>
      </c>
      <c r="BL33" s="103">
        <v>-91332</v>
      </c>
      <c r="BM33" s="103">
        <v>0</v>
      </c>
      <c r="BN33" s="103">
        <v>0</v>
      </c>
      <c r="BO33" s="103">
        <v>0</v>
      </c>
      <c r="BP33" s="103">
        <v>0</v>
      </c>
      <c r="BQ33" s="103">
        <v>0</v>
      </c>
      <c r="BR33" s="103">
        <v>0</v>
      </c>
      <c r="BS33" s="79">
        <f>SUM(ERP_8[[#This Row],[2026 AP01]:[2026 AP12]])</f>
        <v>-91332</v>
      </c>
    </row>
    <row r="34" spans="1:71" ht="15" hidden="1" customHeight="1">
      <c r="A34" s="79" t="s">
        <v>1241</v>
      </c>
      <c r="B34" s="749" t="s">
        <v>94</v>
      </c>
      <c r="C34" s="348"/>
      <c r="D34" s="347" t="str">
        <f>_xlfn.TEXTJOIN("_",FALSE,E34,ERP_8[[#This Row],[Expense Category]],ERP_8[[#This Row],[Project Code*]])</f>
        <v>Dougherty, Chris_CONTRACTORS_IT-CTR0132-OT-US-00/S4 Innovation</v>
      </c>
      <c r="E34" s="347" t="s">
        <v>1135</v>
      </c>
      <c r="F34" s="348"/>
      <c r="G34" s="150" t="s">
        <v>1136</v>
      </c>
      <c r="H34" s="332" t="s">
        <v>1135</v>
      </c>
      <c r="I34" s="382" t="s">
        <v>1135</v>
      </c>
      <c r="J34" s="331" t="s">
        <v>1137</v>
      </c>
      <c r="K34" s="512" t="s">
        <v>49</v>
      </c>
      <c r="L34" s="394" t="s">
        <v>1242</v>
      </c>
      <c r="M34" s="343"/>
      <c r="N34" s="803"/>
      <c r="O34" s="122" t="s">
        <v>95</v>
      </c>
      <c r="P34" s="343"/>
      <c r="Q34" s="346" t="s">
        <v>1232</v>
      </c>
      <c r="R34" s="471"/>
      <c r="S34" s="384" t="s">
        <v>25</v>
      </c>
      <c r="T34" s="150"/>
      <c r="U34" s="432"/>
      <c r="V34" s="358">
        <f>-76110+76110</f>
        <v>0</v>
      </c>
      <c r="W34" s="378">
        <v>0</v>
      </c>
      <c r="X34" s="430"/>
      <c r="Y34" s="137"/>
      <c r="Z34" s="783"/>
      <c r="AA34" s="781"/>
      <c r="AB34" s="781"/>
      <c r="AC34" s="428" t="s">
        <v>1142</v>
      </c>
      <c r="AD34" s="429">
        <v>0</v>
      </c>
      <c r="AE34" s="429">
        <v>0</v>
      </c>
      <c r="AF34" s="429" t="s">
        <v>1142</v>
      </c>
      <c r="AG34" s="388">
        <v>0</v>
      </c>
      <c r="AH34" s="388">
        <v>0</v>
      </c>
      <c r="AI34" s="388">
        <v>0</v>
      </c>
      <c r="AJ34" s="388">
        <v>0</v>
      </c>
      <c r="AK34" s="388"/>
      <c r="AL34" s="360">
        <f t="shared" si="0"/>
        <v>0</v>
      </c>
      <c r="AM34" s="362">
        <f>ERP_8[[#This Row],[2026 Working Total]]-ERP_8[[#This Row],[LE2 Final Submission]]</f>
        <v>0</v>
      </c>
      <c r="AN34" s="79">
        <v>0</v>
      </c>
      <c r="AO34" s="79">
        <f t="shared" si="1"/>
        <v>0</v>
      </c>
      <c r="AP34" s="374">
        <f>SUM(ERP_8[[#This Row],[AP01]:[AP07]])-SUM(ERP_8[[#This Row],[AP01 LE2]:[AP07 LE2]])</f>
        <v>0</v>
      </c>
      <c r="AQ34" s="80"/>
      <c r="AR34" s="79">
        <f>ERP_8[[#This Row],[2026 Working Total to Budget/LE]]-ERP_8[[#This Row],[Giveback]]</f>
        <v>0</v>
      </c>
      <c r="AS34" s="81"/>
      <c r="AT34" s="375"/>
      <c r="AU34" s="375"/>
      <c r="AV34" s="375"/>
      <c r="AW34" s="375">
        <v>0</v>
      </c>
      <c r="AX34" s="375">
        <v>0</v>
      </c>
      <c r="AY34" s="375">
        <v>0</v>
      </c>
      <c r="AZ34" s="375">
        <v>0</v>
      </c>
      <c r="BA34" s="375">
        <v>0</v>
      </c>
      <c r="BB34" s="375">
        <v>0</v>
      </c>
      <c r="BC34" s="375">
        <v>0</v>
      </c>
      <c r="BD34" s="375">
        <v>0</v>
      </c>
      <c r="BE34" s="375"/>
      <c r="BF34" s="375">
        <v>0</v>
      </c>
      <c r="BG34" s="103">
        <v>0</v>
      </c>
      <c r="BH34" s="103">
        <v>0</v>
      </c>
      <c r="BI34" s="103">
        <v>0</v>
      </c>
      <c r="BJ34" s="103">
        <v>0</v>
      </c>
      <c r="BK34" s="103">
        <v>0</v>
      </c>
      <c r="BL34" s="103">
        <v>-76110</v>
      </c>
      <c r="BM34" s="103">
        <v>0</v>
      </c>
      <c r="BN34" s="103">
        <v>0</v>
      </c>
      <c r="BO34" s="103">
        <v>0</v>
      </c>
      <c r="BP34" s="103">
        <v>0</v>
      </c>
      <c r="BQ34" s="103">
        <v>0</v>
      </c>
      <c r="BR34" s="103">
        <v>0</v>
      </c>
      <c r="BS34" s="79">
        <f>SUM(ERP_8[[#This Row],[2026 AP01]:[2026 AP12]])</f>
        <v>-76110</v>
      </c>
    </row>
    <row r="35" spans="1:71" ht="15" hidden="1" customHeight="1">
      <c r="A35" s="66" t="s">
        <v>1243</v>
      </c>
      <c r="B35" s="737" t="s">
        <v>96</v>
      </c>
      <c r="C35" s="346"/>
      <c r="D35" s="343" t="str">
        <f>_xlfn.TEXTJOIN("_",FALSE,E35,ERP_8[[#This Row],[Expense Category]],ERP_8[[#This Row],[Project Code*]])</f>
        <v>Dougherty, Chris_CONTRACTORS_IT-CTR0132-OT-US-01</v>
      </c>
      <c r="E35" s="343" t="s">
        <v>1135</v>
      </c>
      <c r="F35" s="346"/>
      <c r="G35" s="150" t="s">
        <v>1136</v>
      </c>
      <c r="H35" s="150" t="s">
        <v>1135</v>
      </c>
      <c r="I35" s="150" t="s">
        <v>1135</v>
      </c>
      <c r="J35" s="150" t="s">
        <v>1137</v>
      </c>
      <c r="K35" s="511" t="s">
        <v>49</v>
      </c>
      <c r="L35" s="392" t="s">
        <v>1238</v>
      </c>
      <c r="M35" s="343"/>
      <c r="N35" s="804">
        <v>2321402</v>
      </c>
      <c r="O35" s="70" t="s">
        <v>97</v>
      </c>
      <c r="P35" s="346"/>
      <c r="Q35" s="346" t="s">
        <v>1232</v>
      </c>
      <c r="R35" s="346"/>
      <c r="S35" s="150" t="s">
        <v>25</v>
      </c>
      <c r="T35" s="150" t="s">
        <v>1244</v>
      </c>
      <c r="U35" s="403"/>
      <c r="V35" s="406">
        <v>0</v>
      </c>
      <c r="W35" s="406">
        <v>-76110</v>
      </c>
      <c r="X35" s="425"/>
      <c r="Y35" s="71"/>
      <c r="Z35" s="784"/>
      <c r="AA35" s="780"/>
      <c r="AB35" s="780"/>
      <c r="AC35" s="428" t="s">
        <v>1142</v>
      </c>
      <c r="AD35" s="429">
        <v>-76110</v>
      </c>
      <c r="AE35" s="429">
        <v>0</v>
      </c>
      <c r="AF35" s="429">
        <v>0</v>
      </c>
      <c r="AG35" s="360">
        <v>0</v>
      </c>
      <c r="AH35" s="360">
        <v>0</v>
      </c>
      <c r="AI35" s="360">
        <v>0</v>
      </c>
      <c r="AJ35" s="360">
        <v>0</v>
      </c>
      <c r="AK35" s="360">
        <v>0</v>
      </c>
      <c r="AL35" s="360">
        <f t="shared" si="0"/>
        <v>-76110</v>
      </c>
      <c r="AM35" s="362">
        <f>ERP_8[[#This Row],[2026 Working Total]]-ERP_8[[#This Row],[LE2 Final Submission]]</f>
        <v>0</v>
      </c>
      <c r="AN35" s="79">
        <v>0</v>
      </c>
      <c r="AO35" s="79">
        <f t="shared" si="1"/>
        <v>0</v>
      </c>
      <c r="AP35" s="374">
        <f>SUM(ERP_8[[#This Row],[AP01]:[AP07]])-SUM(ERP_8[[#This Row],[AP01 LE2]:[AP07 LE2]])</f>
        <v>0</v>
      </c>
      <c r="AQ35" s="80"/>
      <c r="AR35" s="79">
        <f>ERP_8[[#This Row],[2026 Working Total to Budget/LE]]-ERP_8[[#This Row],[Giveback]]</f>
        <v>0</v>
      </c>
      <c r="AS35" s="81"/>
      <c r="AT35" s="375"/>
      <c r="AU35" s="375"/>
      <c r="AV35" s="375"/>
      <c r="AW35" s="375"/>
      <c r="AX35" s="375"/>
      <c r="AY35" s="375">
        <v>-76110</v>
      </c>
      <c r="AZ35" s="375">
        <v>0</v>
      </c>
      <c r="BA35" s="375">
        <v>0</v>
      </c>
      <c r="BB35" s="375">
        <v>0</v>
      </c>
      <c r="BC35" s="375">
        <v>0</v>
      </c>
      <c r="BD35" s="375">
        <v>0</v>
      </c>
      <c r="BE35" s="375">
        <v>0</v>
      </c>
      <c r="BF35" s="375">
        <v>-76110</v>
      </c>
      <c r="BG35" s="79"/>
      <c r="BH35" s="79"/>
      <c r="BI35" s="79"/>
      <c r="BJ35" s="79"/>
      <c r="BK35" s="79"/>
      <c r="BL35" s="79">
        <v>-76110</v>
      </c>
      <c r="BM35" s="79">
        <v>0</v>
      </c>
      <c r="BN35" s="79">
        <v>0</v>
      </c>
      <c r="BO35" s="79">
        <v>0</v>
      </c>
      <c r="BP35" s="79">
        <v>0</v>
      </c>
      <c r="BQ35" s="79">
        <v>0</v>
      </c>
      <c r="BR35" s="79">
        <v>0</v>
      </c>
      <c r="BS35" s="79">
        <v>-76110</v>
      </c>
    </row>
    <row r="36" spans="1:71" ht="15" hidden="1" customHeight="1">
      <c r="A36" s="66" t="s">
        <v>1245</v>
      </c>
      <c r="B36" s="737" t="s">
        <v>98</v>
      </c>
      <c r="C36" s="346"/>
      <c r="D36" s="343" t="str">
        <f>_xlfn.TEXTJOIN("_",FALSE,E36,ERP_8[[#This Row],[Expense Category]],ERP_8[[#This Row],[Project Code*]])</f>
        <v>Dougherty, Chris_CONTRACTORS_IT-CTR0132-OT-US-02</v>
      </c>
      <c r="E36" s="343" t="s">
        <v>1135</v>
      </c>
      <c r="F36" s="346"/>
      <c r="G36" s="150" t="s">
        <v>1136</v>
      </c>
      <c r="H36" s="150" t="s">
        <v>1135</v>
      </c>
      <c r="I36" s="150" t="s">
        <v>1135</v>
      </c>
      <c r="J36" s="150" t="s">
        <v>1137</v>
      </c>
      <c r="K36" s="511" t="s">
        <v>49</v>
      </c>
      <c r="L36" s="392" t="s">
        <v>1242</v>
      </c>
      <c r="M36" s="343"/>
      <c r="N36" s="804">
        <v>2321402</v>
      </c>
      <c r="O36" s="70" t="s">
        <v>99</v>
      </c>
      <c r="P36" s="346"/>
      <c r="Q36" s="346" t="s">
        <v>1232</v>
      </c>
      <c r="R36" s="346"/>
      <c r="S36" s="150" t="s">
        <v>25</v>
      </c>
      <c r="T36" s="150" t="s">
        <v>1244</v>
      </c>
      <c r="U36" s="403"/>
      <c r="V36" s="406">
        <v>0</v>
      </c>
      <c r="W36" s="406">
        <v>-136110</v>
      </c>
      <c r="X36" s="425"/>
      <c r="Y36" s="71"/>
      <c r="Z36" s="784"/>
      <c r="AA36" s="780"/>
      <c r="AB36" s="780">
        <v>-60000</v>
      </c>
      <c r="AC36" s="428">
        <v>0</v>
      </c>
      <c r="AD36" s="429">
        <v>-76110</v>
      </c>
      <c r="AE36" s="429">
        <v>0</v>
      </c>
      <c r="AF36" s="429">
        <v>0</v>
      </c>
      <c r="AG36" s="360">
        <v>0</v>
      </c>
      <c r="AH36" s="360">
        <v>0</v>
      </c>
      <c r="AI36" s="360">
        <v>0</v>
      </c>
      <c r="AJ36" s="360">
        <v>0</v>
      </c>
      <c r="AK36" s="360">
        <v>0</v>
      </c>
      <c r="AL36" s="360">
        <f t="shared" si="0"/>
        <v>-136110</v>
      </c>
      <c r="AM36" s="362">
        <f>ERP_8[[#This Row],[2026 Working Total]]-ERP_8[[#This Row],[LE2 Final Submission]]</f>
        <v>0</v>
      </c>
      <c r="AN36" s="79">
        <v>0</v>
      </c>
      <c r="AO36" s="79">
        <f t="shared" si="1"/>
        <v>0</v>
      </c>
      <c r="AP36" s="374">
        <f>SUM(ERP_8[[#This Row],[AP01]:[AP07]])-SUM(ERP_8[[#This Row],[AP01 LE2]:[AP07 LE2]])</f>
        <v>0</v>
      </c>
      <c r="AQ36" s="80"/>
      <c r="AR36" s="79">
        <f>ERP_8[[#This Row],[2026 Working Total to Budget/LE]]-ERP_8[[#This Row],[Giveback]]</f>
        <v>0</v>
      </c>
      <c r="AS36" s="81"/>
      <c r="AT36" s="375"/>
      <c r="AU36" s="375"/>
      <c r="AV36" s="375">
        <v>-60000</v>
      </c>
      <c r="AW36" s="375">
        <v>0</v>
      </c>
      <c r="AX36" s="375">
        <v>0</v>
      </c>
      <c r="AY36" s="375">
        <v>-76110</v>
      </c>
      <c r="AZ36" s="375">
        <v>0</v>
      </c>
      <c r="BA36" s="375">
        <v>0</v>
      </c>
      <c r="BB36" s="375">
        <v>0</v>
      </c>
      <c r="BC36" s="375">
        <v>0</v>
      </c>
      <c r="BD36" s="375">
        <v>0</v>
      </c>
      <c r="BE36" s="375">
        <v>0</v>
      </c>
      <c r="BF36" s="375">
        <v>-136110</v>
      </c>
      <c r="BG36" s="79"/>
      <c r="BH36" s="79"/>
      <c r="BI36" s="79">
        <v>-60000</v>
      </c>
      <c r="BJ36" s="79">
        <v>0</v>
      </c>
      <c r="BK36" s="79">
        <v>0</v>
      </c>
      <c r="BL36" s="79">
        <v>-76110</v>
      </c>
      <c r="BM36" s="79">
        <v>0</v>
      </c>
      <c r="BN36" s="79">
        <v>0</v>
      </c>
      <c r="BO36" s="79">
        <v>0</v>
      </c>
      <c r="BP36" s="79">
        <v>0</v>
      </c>
      <c r="BQ36" s="79">
        <v>0</v>
      </c>
      <c r="BR36" s="79">
        <v>0</v>
      </c>
      <c r="BS36" s="79">
        <v>-136110</v>
      </c>
    </row>
    <row r="37" spans="1:71" ht="15" hidden="1" customHeight="1">
      <c r="A37" s="66" t="s">
        <v>1246</v>
      </c>
      <c r="B37" s="737" t="s">
        <v>100</v>
      </c>
      <c r="C37" s="346"/>
      <c r="D37" s="343" t="str">
        <f>_xlfn.TEXTJOIN("_",FALSE,E37,ERP_8[[#This Row],[Expense Category]],ERP_8[[#This Row],[Project Code*]])</f>
        <v>Dougherty, Chris_CONTRACTORS_IT-CTR0132-OT-US-03</v>
      </c>
      <c r="E37" s="343" t="s">
        <v>1135</v>
      </c>
      <c r="F37" s="346"/>
      <c r="G37" s="150" t="s">
        <v>1136</v>
      </c>
      <c r="H37" s="150" t="s">
        <v>1135</v>
      </c>
      <c r="I37" s="150" t="s">
        <v>1135</v>
      </c>
      <c r="J37" s="150" t="s">
        <v>1137</v>
      </c>
      <c r="K37" s="511" t="s">
        <v>49</v>
      </c>
      <c r="L37" s="392" t="s">
        <v>1240</v>
      </c>
      <c r="M37" s="343"/>
      <c r="N37" s="804">
        <v>2321402</v>
      </c>
      <c r="O37" s="70" t="s">
        <v>101</v>
      </c>
      <c r="P37" s="346"/>
      <c r="Q37" s="346" t="s">
        <v>1232</v>
      </c>
      <c r="R37" s="346"/>
      <c r="S37" s="150" t="s">
        <v>25</v>
      </c>
      <c r="T37" s="150" t="s">
        <v>1244</v>
      </c>
      <c r="U37" s="403"/>
      <c r="V37" s="406">
        <v>0</v>
      </c>
      <c r="W37" s="406">
        <v>-91332</v>
      </c>
      <c r="X37" s="430"/>
      <c r="Y37" s="137"/>
      <c r="Z37" s="784"/>
      <c r="AA37" s="780"/>
      <c r="AB37" s="780"/>
      <c r="AC37" s="428" t="s">
        <v>1142</v>
      </c>
      <c r="AD37" s="429">
        <v>-91332</v>
      </c>
      <c r="AE37" s="429">
        <v>0</v>
      </c>
      <c r="AF37" s="429">
        <v>0</v>
      </c>
      <c r="AG37" s="360">
        <v>0</v>
      </c>
      <c r="AH37" s="360">
        <v>0</v>
      </c>
      <c r="AI37" s="360">
        <v>0</v>
      </c>
      <c r="AJ37" s="360">
        <v>0</v>
      </c>
      <c r="AK37" s="360">
        <v>0</v>
      </c>
      <c r="AL37" s="360">
        <f t="shared" si="0"/>
        <v>-91332</v>
      </c>
      <c r="AM37" s="362">
        <f>ERP_8[[#This Row],[2026 Working Total]]-ERP_8[[#This Row],[LE2 Final Submission]]</f>
        <v>0</v>
      </c>
      <c r="AN37" s="79">
        <v>0</v>
      </c>
      <c r="AO37" s="79">
        <f t="shared" si="1"/>
        <v>0</v>
      </c>
      <c r="AP37" s="374">
        <f>SUM(ERP_8[[#This Row],[AP01]:[AP07]])-SUM(ERP_8[[#This Row],[AP01 LE2]:[AP07 LE2]])</f>
        <v>0</v>
      </c>
      <c r="AQ37" s="80"/>
      <c r="AR37" s="79">
        <f>ERP_8[[#This Row],[2026 Working Total to Budget/LE]]-ERP_8[[#This Row],[Giveback]]</f>
        <v>0</v>
      </c>
      <c r="AS37" s="81"/>
      <c r="AT37" s="375"/>
      <c r="AU37" s="375"/>
      <c r="AV37" s="375"/>
      <c r="AW37" s="375"/>
      <c r="AX37" s="375"/>
      <c r="AY37" s="375">
        <v>-91332</v>
      </c>
      <c r="AZ37" s="375">
        <v>0</v>
      </c>
      <c r="BA37" s="375">
        <v>0</v>
      </c>
      <c r="BB37" s="375">
        <v>0</v>
      </c>
      <c r="BC37" s="375">
        <v>0</v>
      </c>
      <c r="BD37" s="375">
        <v>0</v>
      </c>
      <c r="BE37" s="375">
        <v>0</v>
      </c>
      <c r="BF37" s="375">
        <v>-91332</v>
      </c>
      <c r="BG37" s="79"/>
      <c r="BH37" s="79"/>
      <c r="BI37" s="79"/>
      <c r="BJ37" s="79"/>
      <c r="BK37" s="79"/>
      <c r="BL37" s="79">
        <v>-91332</v>
      </c>
      <c r="BM37" s="79">
        <v>0</v>
      </c>
      <c r="BN37" s="79">
        <v>0</v>
      </c>
      <c r="BO37" s="79">
        <v>0</v>
      </c>
      <c r="BP37" s="79">
        <v>0</v>
      </c>
      <c r="BQ37" s="79">
        <v>0</v>
      </c>
      <c r="BR37" s="79">
        <v>0</v>
      </c>
      <c r="BS37" s="79">
        <v>-91332</v>
      </c>
    </row>
    <row r="38" spans="1:71" ht="15" hidden="1" customHeight="1">
      <c r="A38" s="66" t="s">
        <v>1247</v>
      </c>
      <c r="B38" s="737" t="s">
        <v>102</v>
      </c>
      <c r="C38" s="346"/>
      <c r="D38" s="343" t="str">
        <f>_xlfn.TEXTJOIN("_",FALSE,E38,ERP_8[[#This Row],[Expense Category]],ERP_8[[#This Row],[Project Code*]])</f>
        <v>Dougherty, Chris_CONTRACTORS_IT-CTR0132-OT-US-04</v>
      </c>
      <c r="E38" s="343" t="s">
        <v>1135</v>
      </c>
      <c r="F38" s="346"/>
      <c r="G38" s="150" t="s">
        <v>1136</v>
      </c>
      <c r="H38" s="150" t="s">
        <v>1135</v>
      </c>
      <c r="I38" s="150" t="s">
        <v>1135</v>
      </c>
      <c r="J38" s="150" t="s">
        <v>1137</v>
      </c>
      <c r="K38" s="511" t="s">
        <v>49</v>
      </c>
      <c r="L38" s="392" t="s">
        <v>1236</v>
      </c>
      <c r="M38" s="343"/>
      <c r="N38" s="804">
        <v>2321402</v>
      </c>
      <c r="O38" s="70" t="s">
        <v>103</v>
      </c>
      <c r="P38" s="346"/>
      <c r="Q38" s="346" t="s">
        <v>1232</v>
      </c>
      <c r="R38" s="346"/>
      <c r="S38" s="150" t="s">
        <v>25</v>
      </c>
      <c r="T38" s="150" t="s">
        <v>1244</v>
      </c>
      <c r="U38" s="403"/>
      <c r="V38" s="406">
        <v>0</v>
      </c>
      <c r="W38" s="406">
        <v>-213108</v>
      </c>
      <c r="X38" s="425"/>
      <c r="Y38" s="71"/>
      <c r="Z38" s="784"/>
      <c r="AA38" s="780"/>
      <c r="AB38" s="780"/>
      <c r="AC38" s="428" t="s">
        <v>1142</v>
      </c>
      <c r="AD38" s="429">
        <v>-213108</v>
      </c>
      <c r="AE38" s="429">
        <v>0</v>
      </c>
      <c r="AF38" s="429">
        <v>0</v>
      </c>
      <c r="AG38" s="360">
        <v>0</v>
      </c>
      <c r="AH38" s="360">
        <v>0</v>
      </c>
      <c r="AI38" s="360">
        <v>0</v>
      </c>
      <c r="AJ38" s="360">
        <v>0</v>
      </c>
      <c r="AK38" s="360">
        <v>0</v>
      </c>
      <c r="AL38" s="360">
        <f t="shared" si="0"/>
        <v>-213108</v>
      </c>
      <c r="AM38" s="362">
        <f>ERP_8[[#This Row],[2026 Working Total]]-ERP_8[[#This Row],[LE2 Final Submission]]</f>
        <v>0</v>
      </c>
      <c r="AN38" s="79">
        <v>0</v>
      </c>
      <c r="AO38" s="79">
        <f t="shared" si="1"/>
        <v>0</v>
      </c>
      <c r="AP38" s="374">
        <f>SUM(ERP_8[[#This Row],[AP01]:[AP07]])-SUM(ERP_8[[#This Row],[AP01 LE2]:[AP07 LE2]])</f>
        <v>0</v>
      </c>
      <c r="AQ38" s="80"/>
      <c r="AR38" s="79">
        <f>ERP_8[[#This Row],[2026 Working Total to Budget/LE]]-ERP_8[[#This Row],[Giveback]]</f>
        <v>0</v>
      </c>
      <c r="AS38" s="81"/>
      <c r="AT38" s="375"/>
      <c r="AU38" s="375"/>
      <c r="AV38" s="375"/>
      <c r="AW38" s="375"/>
      <c r="AX38" s="375"/>
      <c r="AY38" s="375">
        <v>-213108</v>
      </c>
      <c r="AZ38" s="375">
        <v>0</v>
      </c>
      <c r="BA38" s="375">
        <v>0</v>
      </c>
      <c r="BB38" s="375">
        <v>0</v>
      </c>
      <c r="BC38" s="375">
        <v>0</v>
      </c>
      <c r="BD38" s="375">
        <v>0</v>
      </c>
      <c r="BE38" s="375">
        <v>0</v>
      </c>
      <c r="BF38" s="375">
        <v>-213108</v>
      </c>
      <c r="BG38" s="79"/>
      <c r="BH38" s="79"/>
      <c r="BI38" s="79"/>
      <c r="BJ38" s="79"/>
      <c r="BK38" s="79"/>
      <c r="BL38" s="79">
        <v>-213108</v>
      </c>
      <c r="BM38" s="79">
        <v>0</v>
      </c>
      <c r="BN38" s="79">
        <v>0</v>
      </c>
      <c r="BO38" s="79">
        <v>0</v>
      </c>
      <c r="BP38" s="79">
        <v>0</v>
      </c>
      <c r="BQ38" s="79">
        <v>0</v>
      </c>
      <c r="BR38" s="79">
        <v>0</v>
      </c>
      <c r="BS38" s="79">
        <v>-213108</v>
      </c>
    </row>
    <row r="39" spans="1:71" ht="15" hidden="1" customHeight="1">
      <c r="A39" s="79" t="s">
        <v>1248</v>
      </c>
      <c r="B39" s="749" t="s">
        <v>1249</v>
      </c>
      <c r="C39" s="348"/>
      <c r="D39" s="347" t="str">
        <f>_xlfn.TEXTJOIN("_",FALSE,E39,ERP_8[[#This Row],[Expense Category]],ERP_8[[#This Row],[Project Code*]])</f>
        <v>Dougherty, Chris_CONTRACTORS_IT-CTR0140-OT-US-00</v>
      </c>
      <c r="E39" s="347" t="s">
        <v>1135</v>
      </c>
      <c r="F39" s="348"/>
      <c r="G39" s="150" t="s">
        <v>1136</v>
      </c>
      <c r="H39" s="332" t="s">
        <v>1135</v>
      </c>
      <c r="I39" s="383" t="s">
        <v>1156</v>
      </c>
      <c r="J39" s="333" t="s">
        <v>1137</v>
      </c>
      <c r="K39" s="512" t="s">
        <v>49</v>
      </c>
      <c r="L39" s="393" t="s">
        <v>1250</v>
      </c>
      <c r="M39" s="343" t="s">
        <v>1251</v>
      </c>
      <c r="N39" s="467" t="s">
        <v>1252</v>
      </c>
      <c r="O39" s="91" t="s">
        <v>105</v>
      </c>
      <c r="P39" s="347"/>
      <c r="Q39" s="346" t="s">
        <v>1253</v>
      </c>
      <c r="R39" s="348"/>
      <c r="S39" s="386" t="s">
        <v>25</v>
      </c>
      <c r="T39" s="387" t="s">
        <v>1254</v>
      </c>
      <c r="U39" s="432"/>
      <c r="V39" s="358">
        <v>1</v>
      </c>
      <c r="W39" s="378">
        <v>0</v>
      </c>
      <c r="X39" s="425"/>
      <c r="Y39" s="71"/>
      <c r="Z39" s="783"/>
      <c r="AA39" s="795"/>
      <c r="AB39" s="795"/>
      <c r="AC39" s="428" t="s">
        <v>1142</v>
      </c>
      <c r="AD39" s="429">
        <v>0</v>
      </c>
      <c r="AE39" s="429">
        <v>0</v>
      </c>
      <c r="AF39" s="429" t="s">
        <v>1142</v>
      </c>
      <c r="AG39" s="388">
        <v>0</v>
      </c>
      <c r="AH39" s="388">
        <v>0</v>
      </c>
      <c r="AI39" s="388">
        <v>0</v>
      </c>
      <c r="AJ39" s="388">
        <v>0</v>
      </c>
      <c r="AK39" s="388">
        <v>0</v>
      </c>
      <c r="AL39" s="360">
        <f t="shared" si="0"/>
        <v>0</v>
      </c>
      <c r="AM39" s="362">
        <f>ERP_8[[#This Row],[2026 Working Total]]-ERP_8[[#This Row],[LE2 Final Submission]]</f>
        <v>0</v>
      </c>
      <c r="AN39" s="79">
        <v>0</v>
      </c>
      <c r="AO39" s="79">
        <f t="shared" si="1"/>
        <v>0</v>
      </c>
      <c r="AP39" s="374">
        <f>SUM(ERP_8[[#This Row],[AP01]:[AP07]])-SUM(ERP_8[[#This Row],[AP01 LE2]:[AP07 LE2]])</f>
        <v>0</v>
      </c>
      <c r="AQ39" s="80"/>
      <c r="AR39" s="79">
        <f>ERP_8[[#This Row],[2026 Working Total to Budget/LE]]-ERP_8[[#This Row],[Giveback]]</f>
        <v>0</v>
      </c>
      <c r="AS39" s="81"/>
      <c r="AT39" s="375"/>
      <c r="AU39" s="375"/>
      <c r="AV39" s="375"/>
      <c r="AW39" s="375">
        <v>0</v>
      </c>
      <c r="AX39" s="375">
        <v>0</v>
      </c>
      <c r="AY39" s="375">
        <v>0</v>
      </c>
      <c r="AZ39" s="375">
        <v>0</v>
      </c>
      <c r="BA39" s="375">
        <v>0</v>
      </c>
      <c r="BB39" s="375">
        <v>0</v>
      </c>
      <c r="BC39" s="375">
        <v>0</v>
      </c>
      <c r="BD39" s="375">
        <v>0</v>
      </c>
      <c r="BE39" s="375">
        <v>0</v>
      </c>
      <c r="BF39" s="375">
        <v>0</v>
      </c>
      <c r="BG39" s="103">
        <v>0</v>
      </c>
      <c r="BH39" s="103">
        <v>0</v>
      </c>
      <c r="BI39" s="103">
        <v>0</v>
      </c>
      <c r="BJ39" s="103">
        <v>0</v>
      </c>
      <c r="BK39" s="103">
        <v>0</v>
      </c>
      <c r="BL39" s="103">
        <v>0</v>
      </c>
      <c r="BM39" s="103">
        <v>0</v>
      </c>
      <c r="BN39" s="103">
        <v>0</v>
      </c>
      <c r="BO39" s="103">
        <v>0</v>
      </c>
      <c r="BP39" s="103">
        <v>0</v>
      </c>
      <c r="BQ39" s="103">
        <v>0</v>
      </c>
      <c r="BR39" s="103">
        <v>1</v>
      </c>
      <c r="BS39" s="79">
        <f>SUM(ERP_8[[#This Row],[2026 AP01]:[2026 AP12]])</f>
        <v>1</v>
      </c>
    </row>
    <row r="40" spans="1:71" ht="15" hidden="1" customHeight="1">
      <c r="A40" s="66" t="s">
        <v>1255</v>
      </c>
      <c r="B40" s="737" t="s">
        <v>106</v>
      </c>
      <c r="C40" s="346"/>
      <c r="D40" s="343" t="str">
        <f>_xlfn.TEXTJOIN("_",FALSE,E40,ERP_8[[#This Row],[Expense Category]],ERP_8[[#This Row],[Project Code*]])</f>
        <v>Dougherty, Chris_CONTRACTORS_IT-CTR0147-OG-US-00</v>
      </c>
      <c r="E40" s="343" t="s">
        <v>1135</v>
      </c>
      <c r="F40" s="346"/>
      <c r="G40" s="150" t="s">
        <v>1136</v>
      </c>
      <c r="H40" s="150" t="s">
        <v>1135</v>
      </c>
      <c r="I40" s="150" t="s">
        <v>1135</v>
      </c>
      <c r="J40" s="150" t="s">
        <v>1137</v>
      </c>
      <c r="K40" s="511" t="s">
        <v>49</v>
      </c>
      <c r="L40" s="392" t="s">
        <v>1256</v>
      </c>
      <c r="M40" s="343" t="s">
        <v>1206</v>
      </c>
      <c r="N40" s="802" t="s">
        <v>1171</v>
      </c>
      <c r="O40" s="70" t="s">
        <v>107</v>
      </c>
      <c r="P40" s="346"/>
      <c r="Q40" s="346" t="s">
        <v>1257</v>
      </c>
      <c r="R40" s="346"/>
      <c r="S40" s="150" t="s">
        <v>25</v>
      </c>
      <c r="T40" s="150"/>
      <c r="U40" s="403"/>
      <c r="V40" s="406">
        <v>178000</v>
      </c>
      <c r="W40" s="406">
        <v>136206.91999999998</v>
      </c>
      <c r="X40" s="425"/>
      <c r="Y40" s="425"/>
      <c r="Z40" s="784"/>
      <c r="AA40" s="784">
        <v>53852.77</v>
      </c>
      <c r="AB40" s="784">
        <v>35563.15</v>
      </c>
      <c r="AC40" s="714">
        <v>1016.0800000000017</v>
      </c>
      <c r="AD40" s="714">
        <v>-9701</v>
      </c>
      <c r="AE40" s="429">
        <v>0</v>
      </c>
      <c r="AF40" s="429">
        <v>0</v>
      </c>
      <c r="AG40" s="360">
        <v>0</v>
      </c>
      <c r="AH40" s="360">
        <v>0</v>
      </c>
      <c r="AI40" s="360">
        <v>0</v>
      </c>
      <c r="AJ40" s="360">
        <v>0</v>
      </c>
      <c r="AK40" s="360">
        <v>0</v>
      </c>
      <c r="AL40" s="360">
        <f t="shared" ref="AL40:AL71" si="2">SUM(Z40:AK40)</f>
        <v>80731</v>
      </c>
      <c r="AM40" s="362">
        <f>ERP_8[[#This Row],[2026 Working Total]]-ERP_8[[#This Row],[LE2 Final Submission]]</f>
        <v>-55475.919999999984</v>
      </c>
      <c r="AN40" s="79">
        <v>0</v>
      </c>
      <c r="AO40" s="79">
        <f t="shared" ref="AO40:AO71" si="3">$AE40 - $AN40</f>
        <v>0</v>
      </c>
      <c r="AP40" s="374">
        <f>SUM(ERP_8[[#This Row],[AP01]:[AP07]])-SUM(ERP_8[[#This Row],[AP01 LE2]:[AP07 LE2]])</f>
        <v>-55475.919999999984</v>
      </c>
      <c r="AQ40" s="80"/>
      <c r="AR40" s="79">
        <f>ERP_8[[#This Row],[2026 Working Total to Budget/LE]]-ERP_8[[#This Row],[Giveback]]</f>
        <v>-55475.919999999984</v>
      </c>
      <c r="AS40" s="81"/>
      <c r="AT40" s="375"/>
      <c r="AU40" s="375">
        <v>53852.77</v>
      </c>
      <c r="AV40" s="375">
        <v>35563.15</v>
      </c>
      <c r="AW40" s="375">
        <v>19053</v>
      </c>
      <c r="AX40" s="375">
        <v>27738</v>
      </c>
      <c r="AY40" s="375"/>
      <c r="AZ40" s="375">
        <v>0</v>
      </c>
      <c r="BA40" s="375">
        <v>0</v>
      </c>
      <c r="BB40" s="375">
        <v>0</v>
      </c>
      <c r="BC40" s="375">
        <v>0</v>
      </c>
      <c r="BD40" s="375">
        <v>0</v>
      </c>
      <c r="BE40" s="375">
        <v>0</v>
      </c>
      <c r="BF40" s="375">
        <v>136206.91999999998</v>
      </c>
      <c r="BG40" s="79"/>
      <c r="BH40" s="79">
        <v>53852.77</v>
      </c>
      <c r="BI40" s="79">
        <v>35563.15</v>
      </c>
      <c r="BJ40" s="79">
        <v>29666.67</v>
      </c>
      <c r="BK40" s="79">
        <v>29666.67</v>
      </c>
      <c r="BL40" s="79">
        <v>29666.67</v>
      </c>
      <c r="BM40" s="79">
        <v>0</v>
      </c>
      <c r="BN40" s="79">
        <v>0</v>
      </c>
      <c r="BO40" s="79">
        <v>0</v>
      </c>
      <c r="BP40" s="79">
        <v>0</v>
      </c>
      <c r="BQ40" s="79">
        <v>0</v>
      </c>
      <c r="BR40" s="79">
        <v>0</v>
      </c>
      <c r="BS40" s="79">
        <v>178415.93</v>
      </c>
    </row>
    <row r="41" spans="1:71" ht="15" hidden="1" customHeight="1">
      <c r="A41" s="66" t="s">
        <v>1258</v>
      </c>
      <c r="B41" s="737" t="s">
        <v>108</v>
      </c>
      <c r="C41" s="346"/>
      <c r="D41" s="343" t="str">
        <f>_xlfn.TEXTJOIN("_",FALSE,E41,ERP_8[[#This Row],[Expense Category]],ERP_8[[#This Row],[Project Code*]])</f>
        <v>Dougherty, Chris_CONTRACTORS_IT-CTR0148-OG-US-00</v>
      </c>
      <c r="E41" s="343" t="s">
        <v>1135</v>
      </c>
      <c r="F41" s="346"/>
      <c r="G41" s="150" t="s">
        <v>1136</v>
      </c>
      <c r="H41" s="150" t="s">
        <v>1135</v>
      </c>
      <c r="I41" s="150" t="s">
        <v>1135</v>
      </c>
      <c r="J41" s="150" t="s">
        <v>1137</v>
      </c>
      <c r="K41" s="511" t="s">
        <v>49</v>
      </c>
      <c r="L41" s="392" t="s">
        <v>1259</v>
      </c>
      <c r="M41" s="343" t="s">
        <v>1206</v>
      </c>
      <c r="N41" s="802" t="s">
        <v>1171</v>
      </c>
      <c r="O41" s="70" t="s">
        <v>109</v>
      </c>
      <c r="P41" s="346"/>
      <c r="Q41" s="346" t="s">
        <v>1260</v>
      </c>
      <c r="R41" s="346"/>
      <c r="S41" s="150" t="s">
        <v>25</v>
      </c>
      <c r="T41" s="150"/>
      <c r="U41" s="403"/>
      <c r="V41" s="406">
        <v>222000</v>
      </c>
      <c r="W41" s="406">
        <v>134302.39999999999</v>
      </c>
      <c r="X41" s="430"/>
      <c r="Y41" s="137"/>
      <c r="Z41" s="784"/>
      <c r="AA41" s="780">
        <v>72114.23</v>
      </c>
      <c r="AB41" s="780">
        <v>40652.339999999997</v>
      </c>
      <c r="AC41" s="428">
        <v>64472.479999999989</v>
      </c>
      <c r="AD41" s="429">
        <v>-4813.7299999999959</v>
      </c>
      <c r="AE41" s="429">
        <v>-14788.650000000001</v>
      </c>
      <c r="AF41" s="429">
        <v>0</v>
      </c>
      <c r="AG41" s="360">
        <v>0</v>
      </c>
      <c r="AH41" s="360">
        <v>0</v>
      </c>
      <c r="AI41" s="360">
        <v>0</v>
      </c>
      <c r="AJ41" s="360">
        <v>0</v>
      </c>
      <c r="AK41" s="360">
        <v>0</v>
      </c>
      <c r="AL41" s="360">
        <f t="shared" si="2"/>
        <v>157636.67000000001</v>
      </c>
      <c r="AM41" s="362">
        <f>ERP_8[[#This Row],[2026 Working Total]]-ERP_8[[#This Row],[LE2 Final Submission]]</f>
        <v>23334.270000000019</v>
      </c>
      <c r="AN41" s="79">
        <v>0</v>
      </c>
      <c r="AO41" s="79">
        <f t="shared" si="3"/>
        <v>-14788.650000000001</v>
      </c>
      <c r="AP41" s="374">
        <f>SUM(ERP_8[[#This Row],[AP01]:[AP07]])-SUM(ERP_8[[#This Row],[AP01 LE2]:[AP07 LE2]])</f>
        <v>23334.270000000019</v>
      </c>
      <c r="AQ41" s="80"/>
      <c r="AR41" s="79">
        <f>ERP_8[[#This Row],[2026 Working Total to Budget/LE]]-ERP_8[[#This Row],[Giveback]]</f>
        <v>23334.270000000019</v>
      </c>
      <c r="AS41" s="81"/>
      <c r="AT41" s="375"/>
      <c r="AU41" s="375">
        <v>72114.23</v>
      </c>
      <c r="AV41" s="375">
        <v>40652.339999999997</v>
      </c>
      <c r="AW41" s="375">
        <v>-11823.57</v>
      </c>
      <c r="AX41" s="375">
        <v>33359.4</v>
      </c>
      <c r="AY41" s="375"/>
      <c r="AZ41" s="375">
        <v>0</v>
      </c>
      <c r="BA41" s="375">
        <v>0</v>
      </c>
      <c r="BB41" s="375">
        <v>0</v>
      </c>
      <c r="BC41" s="375">
        <v>0</v>
      </c>
      <c r="BD41" s="375">
        <v>0</v>
      </c>
      <c r="BE41" s="375">
        <v>0</v>
      </c>
      <c r="BF41" s="375">
        <v>134302.39999999999</v>
      </c>
      <c r="BG41" s="79"/>
      <c r="BH41" s="79">
        <v>72114.23</v>
      </c>
      <c r="BI41" s="79">
        <v>40652.339999999997</v>
      </c>
      <c r="BJ41" s="79">
        <v>37000</v>
      </c>
      <c r="BK41" s="79">
        <v>37000</v>
      </c>
      <c r="BL41" s="79">
        <v>37000</v>
      </c>
      <c r="BM41" s="79">
        <v>0</v>
      </c>
      <c r="BN41" s="79">
        <v>0</v>
      </c>
      <c r="BO41" s="79">
        <v>0</v>
      </c>
      <c r="BP41" s="79">
        <v>0</v>
      </c>
      <c r="BQ41" s="79">
        <v>0</v>
      </c>
      <c r="BR41" s="79">
        <v>0</v>
      </c>
      <c r="BS41" s="79">
        <v>223766.57</v>
      </c>
    </row>
    <row r="42" spans="1:71" ht="15" hidden="1" customHeight="1">
      <c r="A42" s="66" t="s">
        <v>1261</v>
      </c>
      <c r="B42" s="737" t="s">
        <v>110</v>
      </c>
      <c r="C42" s="346"/>
      <c r="D42" s="343" t="str">
        <f>_xlfn.TEXTJOIN("_",FALSE,E42,ERP_8[[#This Row],[Expense Category]],ERP_8[[#This Row],[Project Code*]])</f>
        <v>Dougherty, Chris_CONTRACTORS_IT-CTR0150-OG-US-00</v>
      </c>
      <c r="E42" s="343" t="s">
        <v>1135</v>
      </c>
      <c r="F42" s="346"/>
      <c r="G42" s="150" t="s">
        <v>1136</v>
      </c>
      <c r="H42" s="150" t="s">
        <v>1135</v>
      </c>
      <c r="I42" s="150" t="s">
        <v>1135</v>
      </c>
      <c r="J42" s="150" t="s">
        <v>1137</v>
      </c>
      <c r="K42" s="511" t="s">
        <v>49</v>
      </c>
      <c r="L42" s="392" t="s">
        <v>1262</v>
      </c>
      <c r="M42" s="343" t="s">
        <v>1263</v>
      </c>
      <c r="N42" s="802" t="s">
        <v>1264</v>
      </c>
      <c r="O42" s="70" t="s">
        <v>111</v>
      </c>
      <c r="P42" s="346"/>
      <c r="Q42" s="346" t="s">
        <v>1265</v>
      </c>
      <c r="R42" s="346"/>
      <c r="S42" s="150" t="s">
        <v>25</v>
      </c>
      <c r="T42" s="150"/>
      <c r="U42" s="403"/>
      <c r="V42" s="406">
        <v>100000</v>
      </c>
      <c r="W42" s="406">
        <v>100000</v>
      </c>
      <c r="X42" s="425"/>
      <c r="Y42" s="71"/>
      <c r="Z42" s="784"/>
      <c r="AA42" s="780"/>
      <c r="AB42" s="780"/>
      <c r="AC42" s="428" t="s">
        <v>1142</v>
      </c>
      <c r="AD42" s="429">
        <v>0</v>
      </c>
      <c r="AE42" s="429">
        <v>0</v>
      </c>
      <c r="AF42" s="429" t="s">
        <v>1142</v>
      </c>
      <c r="AG42" s="532">
        <v>20000</v>
      </c>
      <c r="AH42" s="532">
        <v>20000</v>
      </c>
      <c r="AI42" s="532">
        <v>20000</v>
      </c>
      <c r="AJ42" s="532">
        <v>20000</v>
      </c>
      <c r="AK42" s="532">
        <v>20000</v>
      </c>
      <c r="AL42" s="360">
        <f t="shared" si="2"/>
        <v>100000</v>
      </c>
      <c r="AM42" s="362">
        <f>ERP_8[[#This Row],[2026 Working Total]]-ERP_8[[#This Row],[LE2 Final Submission]]</f>
        <v>0</v>
      </c>
      <c r="AN42" s="79">
        <v>0</v>
      </c>
      <c r="AO42" s="79">
        <f t="shared" si="3"/>
        <v>0</v>
      </c>
      <c r="AP42" s="374">
        <f>SUM(ERP_8[[#This Row],[AP01]:[AP07]])-SUM(ERP_8[[#This Row],[AP01 LE2]:[AP07 LE2]])</f>
        <v>-44444</v>
      </c>
      <c r="AQ42" s="80"/>
      <c r="AR42" s="79">
        <f>ERP_8[[#This Row],[2026 Working Total to Budget/LE]]-ERP_8[[#This Row],[Giveback]]</f>
        <v>0</v>
      </c>
      <c r="AS42" s="81"/>
      <c r="AT42" s="375"/>
      <c r="AU42" s="375"/>
      <c r="AV42" s="375"/>
      <c r="AW42" s="375">
        <v>11111</v>
      </c>
      <c r="AX42" s="375">
        <v>11111</v>
      </c>
      <c r="AY42" s="375">
        <v>11111</v>
      </c>
      <c r="AZ42" s="375">
        <v>11111</v>
      </c>
      <c r="BA42" s="375">
        <v>11111</v>
      </c>
      <c r="BB42" s="375">
        <v>11111</v>
      </c>
      <c r="BC42" s="375">
        <v>11111</v>
      </c>
      <c r="BD42" s="375">
        <v>11111</v>
      </c>
      <c r="BE42" s="375">
        <v>11112</v>
      </c>
      <c r="BF42" s="375">
        <v>100000</v>
      </c>
      <c r="BG42" s="79"/>
      <c r="BH42" s="79"/>
      <c r="BI42" s="79"/>
      <c r="BJ42" s="79">
        <v>11111</v>
      </c>
      <c r="BK42" s="79">
        <v>11111</v>
      </c>
      <c r="BL42" s="79">
        <v>11111</v>
      </c>
      <c r="BM42" s="79">
        <v>11111</v>
      </c>
      <c r="BN42" s="79">
        <v>11111</v>
      </c>
      <c r="BO42" s="79">
        <v>11111</v>
      </c>
      <c r="BP42" s="79">
        <v>11111</v>
      </c>
      <c r="BQ42" s="79">
        <v>11111</v>
      </c>
      <c r="BR42" s="79">
        <v>11112</v>
      </c>
      <c r="BS42" s="79">
        <v>100000</v>
      </c>
    </row>
    <row r="43" spans="1:71" ht="15" hidden="1" customHeight="1">
      <c r="A43" s="66" t="s">
        <v>1266</v>
      </c>
      <c r="B43" s="737" t="s">
        <v>1267</v>
      </c>
      <c r="C43" s="346"/>
      <c r="D43" s="343" t="str">
        <f>_xlfn.TEXTJOIN("_",FALSE,E43,ERP_8[[#This Row],[Expense Category]],ERP_8[[#This Row],[Project Code*]])</f>
        <v>Dougherty, Chris_CONTRACTORS_IT-FBT0066-OG-IN-00</v>
      </c>
      <c r="E43" s="343" t="s">
        <v>1135</v>
      </c>
      <c r="F43" s="346"/>
      <c r="G43" s="150" t="s">
        <v>1136</v>
      </c>
      <c r="H43" s="150" t="s">
        <v>1135</v>
      </c>
      <c r="I43" s="150" t="s">
        <v>1165</v>
      </c>
      <c r="J43" s="150" t="s">
        <v>1137</v>
      </c>
      <c r="K43" s="511" t="s">
        <v>49</v>
      </c>
      <c r="L43" s="392" t="s">
        <v>1268</v>
      </c>
      <c r="M43" s="343"/>
      <c r="N43" s="804">
        <v>2662855</v>
      </c>
      <c r="O43" s="70" t="s">
        <v>113</v>
      </c>
      <c r="P43" s="346"/>
      <c r="Q43" s="343"/>
      <c r="R43" s="346"/>
      <c r="S43" s="150" t="s">
        <v>114</v>
      </c>
      <c r="T43" s="150"/>
      <c r="U43" s="403"/>
      <c r="V43" s="406">
        <v>39781.000000000015</v>
      </c>
      <c r="W43" s="406">
        <v>37314.43</v>
      </c>
      <c r="X43" s="425"/>
      <c r="Y43" s="71"/>
      <c r="Z43" s="784">
        <v>3217.02</v>
      </c>
      <c r="AA43" s="794">
        <v>2578.4899999999998</v>
      </c>
      <c r="AB43" s="794">
        <v>2874.84</v>
      </c>
      <c r="AC43" s="428">
        <v>3540.9</v>
      </c>
      <c r="AD43" s="429">
        <v>2797.94</v>
      </c>
      <c r="AE43" s="429">
        <v>2743.02</v>
      </c>
      <c r="AF43" s="429">
        <v>3439.2299999999996</v>
      </c>
      <c r="AG43" s="363">
        <v>2909.77</v>
      </c>
      <c r="AH43" s="369">
        <v>3150</v>
      </c>
      <c r="AI43" s="369">
        <v>3150</v>
      </c>
      <c r="AJ43" s="369">
        <v>3150</v>
      </c>
      <c r="AK43" s="369">
        <v>3150</v>
      </c>
      <c r="AL43" s="360">
        <f t="shared" si="2"/>
        <v>36701.21</v>
      </c>
      <c r="AM43" s="362">
        <f>ERP_8[[#This Row],[2026 Working Total]]-ERP_8[[#This Row],[LE2 Final Submission]]</f>
        <v>-613.22000000000116</v>
      </c>
      <c r="AN43" s="79">
        <v>0</v>
      </c>
      <c r="AO43" s="79">
        <f t="shared" si="3"/>
        <v>2743.02</v>
      </c>
      <c r="AP43" s="374">
        <f>SUM(ERP_8[[#This Row],[AP01]:[AP07]])-SUM(ERP_8[[#This Row],[AP01 LE2]:[AP07 LE2]])</f>
        <v>-332.9900000000016</v>
      </c>
      <c r="AQ43" s="80"/>
      <c r="AR43" s="79">
        <f>ERP_8[[#This Row],[2026 Working Total to Budget/LE]]-ERP_8[[#This Row],[Giveback]]</f>
        <v>-613.22000000000116</v>
      </c>
      <c r="AS43" s="81"/>
      <c r="AT43" s="375">
        <v>3217.02</v>
      </c>
      <c r="AU43" s="375">
        <v>2578.4899999999998</v>
      </c>
      <c r="AV43" s="375">
        <v>2874.84</v>
      </c>
      <c r="AW43" s="375">
        <v>3315.08</v>
      </c>
      <c r="AX43" s="375">
        <v>3190</v>
      </c>
      <c r="AY43" s="375">
        <v>3190</v>
      </c>
      <c r="AZ43" s="375">
        <v>3159</v>
      </c>
      <c r="BA43" s="375">
        <v>3190</v>
      </c>
      <c r="BB43" s="375">
        <v>3150</v>
      </c>
      <c r="BC43" s="375">
        <v>3150</v>
      </c>
      <c r="BD43" s="375">
        <v>3150</v>
      </c>
      <c r="BE43" s="375">
        <v>3150</v>
      </c>
      <c r="BF43" s="375">
        <v>37314.43</v>
      </c>
      <c r="BG43" s="79">
        <v>3217.02</v>
      </c>
      <c r="BH43" s="79">
        <v>2578.4899999999998</v>
      </c>
      <c r="BI43" s="79">
        <v>2874.84</v>
      </c>
      <c r="BJ43" s="79">
        <v>3315.08</v>
      </c>
      <c r="BK43" s="79">
        <v>3315.08</v>
      </c>
      <c r="BL43" s="79">
        <v>3315.08</v>
      </c>
      <c r="BM43" s="79">
        <v>3315.08</v>
      </c>
      <c r="BN43" s="79">
        <v>3315.08</v>
      </c>
      <c r="BO43" s="79">
        <v>3315.08</v>
      </c>
      <c r="BP43" s="79">
        <v>3315.08</v>
      </c>
      <c r="BQ43" s="79">
        <v>3315.08</v>
      </c>
      <c r="BR43" s="79">
        <v>3315.12</v>
      </c>
      <c r="BS43" s="79">
        <v>38506.110000000008</v>
      </c>
    </row>
    <row r="44" spans="1:71" ht="15" customHeight="1">
      <c r="A44" s="79" t="s">
        <v>1269</v>
      </c>
      <c r="B44" s="296" t="s">
        <v>1145</v>
      </c>
      <c r="C44" s="109"/>
      <c r="D44" s="347" t="str">
        <f>_xlfn.TEXTJOIN("_",FALSE,E44,ERP_8[[#This Row],[Expense Category]],ERP_8[[#This Row],[Project Code*]])</f>
        <v>Dougherty, Chris_CONTRACTORS_IT-FBT0213-OG-US-00</v>
      </c>
      <c r="E44" s="109" t="s">
        <v>1135</v>
      </c>
      <c r="F44" s="109"/>
      <c r="G44" s="332" t="s">
        <v>1136</v>
      </c>
      <c r="H44" s="332" t="s">
        <v>1135</v>
      </c>
      <c r="I44" s="332" t="s">
        <v>1145</v>
      </c>
      <c r="J44" s="333" t="s">
        <v>1145</v>
      </c>
      <c r="K44" s="514" t="s">
        <v>49</v>
      </c>
      <c r="L44" s="778" t="s">
        <v>1270</v>
      </c>
      <c r="M44" s="333" t="s">
        <v>1167</v>
      </c>
      <c r="N44" s="801">
        <v>2329614</v>
      </c>
      <c r="O44" s="70" t="s">
        <v>116</v>
      </c>
      <c r="P44" s="347" t="s">
        <v>1271</v>
      </c>
      <c r="Q44" s="347">
        <v>9501276544</v>
      </c>
      <c r="R44" s="348"/>
      <c r="S44" s="348"/>
      <c r="T44" s="348" t="s">
        <v>1272</v>
      </c>
      <c r="U44" s="402"/>
      <c r="V44" s="358"/>
      <c r="W44" s="379"/>
      <c r="X44" s="425"/>
      <c r="Y44" s="71"/>
      <c r="Z44" s="784"/>
      <c r="AA44" s="781"/>
      <c r="AB44" s="781"/>
      <c r="AC44" s="434"/>
      <c r="AD44" s="434"/>
      <c r="AE44" s="434"/>
      <c r="AF44" s="429"/>
      <c r="AG44" s="364"/>
      <c r="AH44" s="371">
        <v>75240</v>
      </c>
      <c r="AI44" s="371">
        <v>75240</v>
      </c>
      <c r="AJ44" s="371">
        <v>-75240</v>
      </c>
      <c r="AK44" s="371">
        <v>-75240</v>
      </c>
      <c r="AL44" s="360">
        <f t="shared" si="2"/>
        <v>0</v>
      </c>
      <c r="AM44" s="362">
        <f>ERP_8[[#This Row],[2026 Working Total]]-ERP_8[[#This Row],[LE2 Final Submission]]</f>
        <v>0</v>
      </c>
      <c r="AN44" s="79"/>
      <c r="AO44" s="79">
        <f t="shared" si="3"/>
        <v>0</v>
      </c>
      <c r="AP44" s="391">
        <f>SUM(ERP_8[[#This Row],[AP01]:[AP07]])-SUM(ERP_8[[#This Row],[AP01 LE2]:[AP07 LE2]])</f>
        <v>0</v>
      </c>
      <c r="AQ44" s="80"/>
      <c r="AR44" s="79">
        <f>ERP_8[[#This Row],[2026 Working Total to Budget/LE]]-ERP_8[[#This Row],[Giveback]]</f>
        <v>0</v>
      </c>
      <c r="AS44" s="81"/>
      <c r="AT44" s="375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</row>
    <row r="45" spans="1:71" ht="15" customHeight="1">
      <c r="A45" s="66" t="s">
        <v>1273</v>
      </c>
      <c r="B45" s="737" t="s">
        <v>1274</v>
      </c>
      <c r="C45" s="346"/>
      <c r="D45" s="343" t="str">
        <f>_xlfn.TEXTJOIN("_",FALSE,E45,ERP_8[[#This Row],[Expense Category]],ERP_8[[#This Row],[Project Code*]])</f>
        <v>Dougherty, Chris_CONTRACTORS_IT-FBT0213-OG-US-00</v>
      </c>
      <c r="E45" s="343" t="s">
        <v>1135</v>
      </c>
      <c r="F45" s="346"/>
      <c r="G45" s="150" t="s">
        <v>1136</v>
      </c>
      <c r="H45" s="150" t="s">
        <v>1135</v>
      </c>
      <c r="I45" s="150" t="s">
        <v>1145</v>
      </c>
      <c r="J45" s="150" t="s">
        <v>1137</v>
      </c>
      <c r="K45" s="511" t="s">
        <v>49</v>
      </c>
      <c r="L45" s="778" t="s">
        <v>1275</v>
      </c>
      <c r="M45" s="343"/>
      <c r="N45" s="802" t="s">
        <v>1152</v>
      </c>
      <c r="O45" s="70" t="s">
        <v>116</v>
      </c>
      <c r="P45" s="347" t="s">
        <v>1271</v>
      </c>
      <c r="Q45" s="346" t="s">
        <v>1187</v>
      </c>
      <c r="R45" s="346"/>
      <c r="S45" s="150" t="s">
        <v>67</v>
      </c>
      <c r="T45" s="150" t="s">
        <v>1276</v>
      </c>
      <c r="U45" s="403"/>
      <c r="V45" s="406">
        <v>948000</v>
      </c>
      <c r="W45" s="406">
        <v>948000.73</v>
      </c>
      <c r="X45" s="425"/>
      <c r="Y45" s="71"/>
      <c r="Z45" s="784">
        <v>59013</v>
      </c>
      <c r="AA45" s="780">
        <v>227334.86</v>
      </c>
      <c r="AB45" s="780">
        <v>185217.87</v>
      </c>
      <c r="AC45" s="428">
        <v>148174.26</v>
      </c>
      <c r="AD45" s="429">
        <v>-79812.66</v>
      </c>
      <c r="AE45" s="429">
        <v>30037.13</v>
      </c>
      <c r="AF45" s="429">
        <v>156085.57</v>
      </c>
      <c r="AG45" s="363">
        <v>44097</v>
      </c>
      <c r="AH45" s="363">
        <v>44097</v>
      </c>
      <c r="AI45" s="363">
        <v>44097</v>
      </c>
      <c r="AJ45" s="363">
        <v>44097</v>
      </c>
      <c r="AK45" s="363">
        <v>45562</v>
      </c>
      <c r="AL45" s="360">
        <f t="shared" si="2"/>
        <v>948000.03</v>
      </c>
      <c r="AM45" s="362">
        <f>ERP_8[[#This Row],[2026 Working Total]]-ERP_8[[#This Row],[LE2 Final Submission]]</f>
        <v>-0.69999999995343387</v>
      </c>
      <c r="AN45" s="79">
        <v>0</v>
      </c>
      <c r="AO45" s="79">
        <f t="shared" si="3"/>
        <v>30037.13</v>
      </c>
      <c r="AP45" s="374">
        <f>SUM(ERP_8[[#This Row],[AP01]:[AP07]])-SUM(ERP_8[[#This Row],[AP01 LE2]:[AP07 LE2]])</f>
        <v>84534.300000000047</v>
      </c>
      <c r="AQ45" s="80"/>
      <c r="AR45" s="79">
        <f>ERP_8[[#This Row],[2026 Working Total to Budget/LE]]-ERP_8[[#This Row],[Giveback]]</f>
        <v>-0.69999999995343387</v>
      </c>
      <c r="AS45" s="81"/>
      <c r="AT45" s="375">
        <v>59013</v>
      </c>
      <c r="AU45" s="375">
        <v>227334.86</v>
      </c>
      <c r="AV45" s="375">
        <v>185217.87</v>
      </c>
      <c r="AW45" s="375">
        <v>79000</v>
      </c>
      <c r="AX45" s="375">
        <v>29653</v>
      </c>
      <c r="AY45" s="375">
        <v>0</v>
      </c>
      <c r="AZ45" s="375">
        <v>61297</v>
      </c>
      <c r="BA45" s="375">
        <v>61297</v>
      </c>
      <c r="BB45" s="375">
        <v>61297</v>
      </c>
      <c r="BC45" s="375">
        <v>61297</v>
      </c>
      <c r="BD45" s="375">
        <v>61297</v>
      </c>
      <c r="BE45" s="375">
        <v>61297</v>
      </c>
      <c r="BF45" s="375">
        <v>948000.73</v>
      </c>
      <c r="BG45" s="79">
        <v>59013</v>
      </c>
      <c r="BH45" s="79">
        <v>227334.86</v>
      </c>
      <c r="BI45" s="79">
        <v>185217.87</v>
      </c>
      <c r="BJ45" s="79">
        <v>79000</v>
      </c>
      <c r="BK45" s="79">
        <v>29653</v>
      </c>
      <c r="BL45" s="79">
        <v>0</v>
      </c>
      <c r="BM45" s="79">
        <v>79000</v>
      </c>
      <c r="BN45" s="79">
        <v>79000</v>
      </c>
      <c r="BO45" s="79">
        <v>79000</v>
      </c>
      <c r="BP45" s="79">
        <v>79000</v>
      </c>
      <c r="BQ45" s="79">
        <v>79000</v>
      </c>
      <c r="BR45" s="79">
        <v>79000</v>
      </c>
      <c r="BS45" s="79">
        <v>1054218.73</v>
      </c>
    </row>
    <row r="46" spans="1:71" ht="15" hidden="1" customHeight="1">
      <c r="A46" s="66" t="s">
        <v>1277</v>
      </c>
      <c r="B46" s="737" t="s">
        <v>117</v>
      </c>
      <c r="C46" s="346"/>
      <c r="D46" s="343" t="str">
        <f>_xlfn.TEXTJOIN("_",FALSE,E46,ERP_8[[#This Row],[Expense Category]],ERP_8[[#This Row],[Project Code*]])</f>
        <v>Dougherty, Chris_CONTRACTORS_IT-FBT0219-OG-US-00</v>
      </c>
      <c r="E46" s="343" t="s">
        <v>1135</v>
      </c>
      <c r="F46" s="346"/>
      <c r="G46" s="150" t="s">
        <v>1136</v>
      </c>
      <c r="H46" s="150" t="s">
        <v>1135</v>
      </c>
      <c r="I46" s="150" t="s">
        <v>1135</v>
      </c>
      <c r="J46" s="150" t="s">
        <v>1137</v>
      </c>
      <c r="K46" s="511" t="s">
        <v>49</v>
      </c>
      <c r="L46" s="392" t="s">
        <v>1278</v>
      </c>
      <c r="M46" s="343"/>
      <c r="N46" s="800"/>
      <c r="O46" s="70" t="s">
        <v>118</v>
      </c>
      <c r="P46" s="346"/>
      <c r="Q46" s="346" t="s">
        <v>1221</v>
      </c>
      <c r="R46" s="346"/>
      <c r="S46" s="150" t="s">
        <v>119</v>
      </c>
      <c r="T46" s="150"/>
      <c r="U46" s="403"/>
      <c r="V46" s="406">
        <v>71440</v>
      </c>
      <c r="W46" s="406">
        <v>71440</v>
      </c>
      <c r="X46" s="425"/>
      <c r="Y46" s="71"/>
      <c r="Z46" s="784"/>
      <c r="AA46" s="780"/>
      <c r="AB46" s="780"/>
      <c r="AC46" s="428" t="s">
        <v>1142</v>
      </c>
      <c r="AD46" s="429">
        <v>0</v>
      </c>
      <c r="AE46" s="429">
        <v>0</v>
      </c>
      <c r="AF46" s="429" t="s">
        <v>1142</v>
      </c>
      <c r="AG46" s="363">
        <v>71440</v>
      </c>
      <c r="AH46" s="360">
        <v>0</v>
      </c>
      <c r="AI46" s="360">
        <v>0</v>
      </c>
      <c r="AJ46" s="360">
        <v>0</v>
      </c>
      <c r="AK46" s="360">
        <v>0</v>
      </c>
      <c r="AL46" s="360">
        <f t="shared" si="2"/>
        <v>71440</v>
      </c>
      <c r="AM46" s="362">
        <f>ERP_8[[#This Row],[2026 Working Total]]-ERP_8[[#This Row],[LE2 Final Submission]]</f>
        <v>0</v>
      </c>
      <c r="AN46" s="79">
        <v>0</v>
      </c>
      <c r="AO46" s="79">
        <f t="shared" si="3"/>
        <v>0</v>
      </c>
      <c r="AP46" s="374">
        <f>SUM(ERP_8[[#This Row],[AP01]:[AP07]])-SUM(ERP_8[[#This Row],[AP01 LE2]:[AP07 LE2]])</f>
        <v>0</v>
      </c>
      <c r="AQ46" s="80"/>
      <c r="AR46" s="79">
        <f>ERP_8[[#This Row],[2026 Working Total to Budget/LE]]-ERP_8[[#This Row],[Giveback]]</f>
        <v>0</v>
      </c>
      <c r="AS46" s="81"/>
      <c r="AT46" s="375"/>
      <c r="AU46" s="375"/>
      <c r="AV46" s="375"/>
      <c r="AW46" s="375"/>
      <c r="AX46" s="375"/>
      <c r="AY46" s="375"/>
      <c r="AZ46" s="375"/>
      <c r="BA46" s="375">
        <v>71440</v>
      </c>
      <c r="BB46" s="375">
        <v>0</v>
      </c>
      <c r="BC46" s="375">
        <v>0</v>
      </c>
      <c r="BD46" s="375">
        <v>0</v>
      </c>
      <c r="BE46" s="375">
        <v>0</v>
      </c>
      <c r="BF46" s="375">
        <v>71440</v>
      </c>
      <c r="BG46" s="79"/>
      <c r="BH46" s="79"/>
      <c r="BI46" s="79"/>
      <c r="BJ46" s="79"/>
      <c r="BK46" s="79"/>
      <c r="BL46" s="79"/>
      <c r="BM46" s="79"/>
      <c r="BN46" s="79">
        <v>71440</v>
      </c>
      <c r="BO46" s="79">
        <v>0</v>
      </c>
      <c r="BP46" s="79">
        <v>0</v>
      </c>
      <c r="BQ46" s="79">
        <v>0</v>
      </c>
      <c r="BR46" s="79">
        <v>0</v>
      </c>
      <c r="BS46" s="79">
        <v>71440</v>
      </c>
    </row>
    <row r="47" spans="1:71" ht="15" hidden="1" customHeight="1">
      <c r="A47" s="66" t="s">
        <v>1279</v>
      </c>
      <c r="B47" s="737" t="s">
        <v>1280</v>
      </c>
      <c r="C47" s="346"/>
      <c r="D47" s="343" t="str">
        <f>_xlfn.TEXTJOIN("_",FALSE,E47,ERP_8[[#This Row],[Expense Category]],ERP_8[[#This Row],[Project Code*]])</f>
        <v>Dougherty, Chris_CONTRACTORS_IT-FBT0245-OG-US-00</v>
      </c>
      <c r="E47" s="343" t="s">
        <v>1135</v>
      </c>
      <c r="F47" s="346"/>
      <c r="G47" s="150" t="s">
        <v>1136</v>
      </c>
      <c r="H47" s="150" t="s">
        <v>1135</v>
      </c>
      <c r="I47" s="150" t="s">
        <v>1137</v>
      </c>
      <c r="J47" s="150" t="s">
        <v>1137</v>
      </c>
      <c r="K47" s="511" t="s">
        <v>49</v>
      </c>
      <c r="L47" s="392" t="s">
        <v>1281</v>
      </c>
      <c r="M47" s="343"/>
      <c r="N47" s="804">
        <v>2320494</v>
      </c>
      <c r="O47" s="70" t="s">
        <v>121</v>
      </c>
      <c r="P47" s="346"/>
      <c r="Q47" s="343"/>
      <c r="R47" s="346"/>
      <c r="S47" s="150" t="s">
        <v>122</v>
      </c>
      <c r="T47" s="150"/>
      <c r="U47" s="404"/>
      <c r="V47" s="407">
        <v>0</v>
      </c>
      <c r="W47" s="407">
        <v>0</v>
      </c>
      <c r="X47" s="430"/>
      <c r="Y47" s="137"/>
      <c r="Z47" s="784">
        <v>10113</v>
      </c>
      <c r="AA47" s="780">
        <v>11863.11</v>
      </c>
      <c r="AB47" s="780">
        <v>-21976.11</v>
      </c>
      <c r="AC47" s="428">
        <v>0</v>
      </c>
      <c r="AD47" s="429">
        <v>0</v>
      </c>
      <c r="AE47" s="429">
        <v>0</v>
      </c>
      <c r="AF47" s="429">
        <v>0</v>
      </c>
      <c r="AG47" s="363"/>
      <c r="AH47" s="363"/>
      <c r="AI47" s="363"/>
      <c r="AJ47" s="363"/>
      <c r="AK47" s="363"/>
      <c r="AL47" s="360">
        <f t="shared" si="2"/>
        <v>0</v>
      </c>
      <c r="AM47" s="362">
        <f>ERP_8[[#This Row],[2026 Working Total]]-ERP_8[[#This Row],[LE2 Final Submission]]</f>
        <v>0</v>
      </c>
      <c r="AN47" s="79">
        <v>0</v>
      </c>
      <c r="AO47" s="79">
        <f t="shared" si="3"/>
        <v>0</v>
      </c>
      <c r="AP47" s="374">
        <f>SUM(ERP_8[[#This Row],[AP01]:[AP07]])-SUM(ERP_8[[#This Row],[AP01 LE2]:[AP07 LE2]])</f>
        <v>0</v>
      </c>
      <c r="AQ47" s="80"/>
      <c r="AR47" s="79">
        <f>ERP_8[[#This Row],[2026 Working Total to Budget/LE]]-ERP_8[[#This Row],[Giveback]]</f>
        <v>0</v>
      </c>
      <c r="AS47" s="81"/>
      <c r="AT47" s="375">
        <v>10113</v>
      </c>
      <c r="AU47" s="375">
        <v>11863.11</v>
      </c>
      <c r="AV47" s="375">
        <v>-21976.11</v>
      </c>
      <c r="AW47" s="375"/>
      <c r="AX47" s="375"/>
      <c r="AY47" s="375"/>
      <c r="AZ47" s="375"/>
      <c r="BA47" s="375"/>
      <c r="BB47" s="375"/>
      <c r="BC47" s="375"/>
      <c r="BD47" s="375"/>
      <c r="BE47" s="375"/>
      <c r="BF47" s="375">
        <v>0</v>
      </c>
      <c r="BG47" s="79">
        <v>10113</v>
      </c>
      <c r="BH47" s="79">
        <v>11863.11</v>
      </c>
      <c r="BI47" s="79">
        <v>-21976.11</v>
      </c>
      <c r="BJ47" s="79"/>
      <c r="BK47" s="79"/>
      <c r="BL47" s="79"/>
      <c r="BM47" s="79"/>
      <c r="BN47" s="79"/>
      <c r="BO47" s="79"/>
      <c r="BP47" s="79"/>
      <c r="BQ47" s="79"/>
      <c r="BR47" s="79"/>
      <c r="BS47" s="79">
        <v>0</v>
      </c>
    </row>
    <row r="48" spans="1:71" ht="15" hidden="1" customHeight="1">
      <c r="A48" s="66" t="s">
        <v>1282</v>
      </c>
      <c r="B48" s="737" t="s">
        <v>1283</v>
      </c>
      <c r="C48" s="346"/>
      <c r="D48" s="343" t="str">
        <f>_xlfn.TEXTJOIN("_",FALSE,E48,ERP_8[[#This Row],[Expense Category]],ERP_8[[#This Row],[Project Code*]])</f>
        <v>Dougherty, Chris_CONTRACTORS_IT-FBT0245-OG-US-00</v>
      </c>
      <c r="E48" s="343" t="s">
        <v>1135</v>
      </c>
      <c r="F48" s="346"/>
      <c r="G48" s="150" t="s">
        <v>1136</v>
      </c>
      <c r="H48" s="150" t="s">
        <v>1135</v>
      </c>
      <c r="I48" s="150" t="s">
        <v>1165</v>
      </c>
      <c r="J48" s="150" t="s">
        <v>1137</v>
      </c>
      <c r="K48" s="511" t="s">
        <v>49</v>
      </c>
      <c r="L48" s="392" t="s">
        <v>1281</v>
      </c>
      <c r="M48" s="343"/>
      <c r="N48" s="800" t="s">
        <v>1284</v>
      </c>
      <c r="O48" s="70" t="s">
        <v>121</v>
      </c>
      <c r="P48" s="346"/>
      <c r="Q48" s="343"/>
      <c r="R48" s="346"/>
      <c r="S48" s="150" t="s">
        <v>122</v>
      </c>
      <c r="T48" s="150"/>
      <c r="U48" s="403"/>
      <c r="V48" s="406">
        <v>150000</v>
      </c>
      <c r="W48" s="406">
        <v>149999.65</v>
      </c>
      <c r="X48" s="425"/>
      <c r="Y48" s="71"/>
      <c r="Z48" s="784"/>
      <c r="AA48" s="794"/>
      <c r="AB48" s="794">
        <v>36597.65</v>
      </c>
      <c r="AC48" s="428">
        <v>17284.68</v>
      </c>
      <c r="AD48" s="429">
        <v>12179.44</v>
      </c>
      <c r="AE48" s="429">
        <v>11999.990000000002</v>
      </c>
      <c r="AF48" s="429">
        <v>7772.6999999999989</v>
      </c>
      <c r="AG48" s="363">
        <v>16227</v>
      </c>
      <c r="AH48" s="363">
        <v>12000</v>
      </c>
      <c r="AI48" s="363">
        <v>12000</v>
      </c>
      <c r="AJ48" s="363">
        <v>12000</v>
      </c>
      <c r="AK48" s="363">
        <v>12000</v>
      </c>
      <c r="AL48" s="360">
        <f t="shared" si="2"/>
        <v>150061.46000000002</v>
      </c>
      <c r="AM48" s="362">
        <f>ERP_8[[#This Row],[2026 Working Total]]-ERP_8[[#This Row],[LE2 Final Submission]]</f>
        <v>61.810000000026776</v>
      </c>
      <c r="AN48" s="79">
        <v>0</v>
      </c>
      <c r="AO48" s="79">
        <f t="shared" si="3"/>
        <v>11999.990000000002</v>
      </c>
      <c r="AP48" s="374">
        <f>SUM(ERP_8[[#This Row],[AP01]:[AP07]])-SUM(ERP_8[[#This Row],[AP01 LE2]:[AP07 LE2]])</f>
        <v>-1665.1899999999878</v>
      </c>
      <c r="AQ48" s="80"/>
      <c r="AR48" s="79">
        <f>ERP_8[[#This Row],[2026 Working Total to Budget/LE]]-ERP_8[[#This Row],[Giveback]]</f>
        <v>61.810000000026776</v>
      </c>
      <c r="AS48" s="81"/>
      <c r="AT48" s="375"/>
      <c r="AU48" s="375"/>
      <c r="AV48" s="375">
        <v>36597.65</v>
      </c>
      <c r="AW48" s="375">
        <v>12900</v>
      </c>
      <c r="AX48" s="375">
        <v>12900</v>
      </c>
      <c r="AY48" s="375">
        <v>12602</v>
      </c>
      <c r="AZ48" s="375">
        <v>12500</v>
      </c>
      <c r="BA48" s="375">
        <v>12500</v>
      </c>
      <c r="BB48" s="375">
        <v>12500</v>
      </c>
      <c r="BC48" s="375">
        <v>12500</v>
      </c>
      <c r="BD48" s="375">
        <v>12500</v>
      </c>
      <c r="BE48" s="375">
        <v>12500</v>
      </c>
      <c r="BF48" s="375">
        <v>149999.65</v>
      </c>
      <c r="BG48" s="79"/>
      <c r="BH48" s="79"/>
      <c r="BI48" s="79">
        <v>36597.65</v>
      </c>
      <c r="BJ48" s="79">
        <v>12500</v>
      </c>
      <c r="BK48" s="79">
        <v>12500</v>
      </c>
      <c r="BL48" s="79">
        <v>12500</v>
      </c>
      <c r="BM48" s="79">
        <v>12500</v>
      </c>
      <c r="BN48" s="79">
        <v>12500</v>
      </c>
      <c r="BO48" s="79">
        <v>12500</v>
      </c>
      <c r="BP48" s="79">
        <v>12500</v>
      </c>
      <c r="BQ48" s="79">
        <v>12500</v>
      </c>
      <c r="BR48" s="79">
        <v>12500</v>
      </c>
      <c r="BS48" s="79">
        <v>149097.65</v>
      </c>
    </row>
    <row r="49" spans="1:71" ht="15" customHeight="1">
      <c r="A49" s="66" t="s">
        <v>1285</v>
      </c>
      <c r="B49" s="737" t="s">
        <v>1286</v>
      </c>
      <c r="C49" s="346"/>
      <c r="D49" s="343" t="str">
        <f>_xlfn.TEXTJOIN("_",FALSE,E49,ERP_8[[#This Row],[Expense Category]],ERP_8[[#This Row],[Project Code*]])</f>
        <v>Dougherty, Chris_CONTRACTORS_IT-FBT0509-OG-US-00</v>
      </c>
      <c r="E49" s="343" t="s">
        <v>1135</v>
      </c>
      <c r="F49" s="346"/>
      <c r="G49" s="150" t="s">
        <v>1136</v>
      </c>
      <c r="H49" s="150" t="s">
        <v>1135</v>
      </c>
      <c r="I49" s="150" t="s">
        <v>1145</v>
      </c>
      <c r="J49" s="150" t="s">
        <v>1137</v>
      </c>
      <c r="K49" s="511" t="s">
        <v>49</v>
      </c>
      <c r="L49" s="778" t="s">
        <v>1287</v>
      </c>
      <c r="M49" s="343"/>
      <c r="N49" s="800" t="s">
        <v>1186</v>
      </c>
      <c r="O49" s="157" t="s">
        <v>126</v>
      </c>
      <c r="P49" s="346"/>
      <c r="Q49" s="343"/>
      <c r="R49" s="346"/>
      <c r="S49" s="150" t="s">
        <v>127</v>
      </c>
      <c r="T49" s="150"/>
      <c r="U49" s="403"/>
      <c r="V49" s="406">
        <v>115200</v>
      </c>
      <c r="W49" s="406">
        <v>89600</v>
      </c>
      <c r="X49" s="425"/>
      <c r="Y49" s="71"/>
      <c r="Z49" s="784"/>
      <c r="AA49" s="794"/>
      <c r="AB49" s="794"/>
      <c r="AC49" s="429">
        <v>0</v>
      </c>
      <c r="AD49" s="429">
        <v>0</v>
      </c>
      <c r="AE49" s="429">
        <v>0</v>
      </c>
      <c r="AF49" s="429">
        <v>10911.48</v>
      </c>
      <c r="AG49" s="363">
        <f>12800+3600</f>
        <v>16400</v>
      </c>
      <c r="AH49" s="363">
        <f>12800+3600</f>
        <v>16400</v>
      </c>
      <c r="AI49" s="363">
        <v>12800</v>
      </c>
      <c r="AJ49" s="363">
        <v>12800</v>
      </c>
      <c r="AK49" s="363">
        <v>12800</v>
      </c>
      <c r="AL49" s="360">
        <f t="shared" si="2"/>
        <v>82111.48</v>
      </c>
      <c r="AM49" s="362">
        <f>ERP_8[[#This Row],[2026 Working Total]]-ERP_8[[#This Row],[LE2 Final Submission]]</f>
        <v>-7488.5200000000041</v>
      </c>
      <c r="AN49" s="79">
        <v>16400</v>
      </c>
      <c r="AO49" s="79">
        <f t="shared" si="3"/>
        <v>-16400</v>
      </c>
      <c r="AP49" s="374">
        <f>SUM(ERP_8[[#This Row],[AP01]:[AP07]])-SUM(ERP_8[[#This Row],[AP01 LE2]:[AP07 LE2]])</f>
        <v>-14688.52</v>
      </c>
      <c r="AQ49" s="80"/>
      <c r="AR49" s="79">
        <f>ERP_8[[#This Row],[2026 Working Total to Budget/LE]]-ERP_8[[#This Row],[Giveback]]</f>
        <v>-7488.5200000000041</v>
      </c>
      <c r="AS49" s="81"/>
      <c r="AT49" s="375"/>
      <c r="AU49" s="375"/>
      <c r="AV49" s="375"/>
      <c r="AW49" s="375">
        <v>0</v>
      </c>
      <c r="AX49" s="375">
        <v>0</v>
      </c>
      <c r="AY49" s="375">
        <v>12800</v>
      </c>
      <c r="AZ49" s="375">
        <v>12800</v>
      </c>
      <c r="BA49" s="375">
        <v>12800</v>
      </c>
      <c r="BB49" s="375">
        <v>12800</v>
      </c>
      <c r="BC49" s="375">
        <v>12800</v>
      </c>
      <c r="BD49" s="375">
        <v>12800</v>
      </c>
      <c r="BE49" s="375">
        <v>12800</v>
      </c>
      <c r="BF49" s="375">
        <v>89600</v>
      </c>
      <c r="BG49" s="79"/>
      <c r="BH49" s="79"/>
      <c r="BI49" s="79"/>
      <c r="BJ49" s="79">
        <v>12800</v>
      </c>
      <c r="BK49" s="79">
        <v>12800</v>
      </c>
      <c r="BL49" s="79">
        <v>12800</v>
      </c>
      <c r="BM49" s="79">
        <v>12800</v>
      </c>
      <c r="BN49" s="79">
        <v>12800</v>
      </c>
      <c r="BO49" s="79">
        <v>12800</v>
      </c>
      <c r="BP49" s="79">
        <v>12800</v>
      </c>
      <c r="BQ49" s="79">
        <v>12800</v>
      </c>
      <c r="BR49" s="79">
        <v>12800</v>
      </c>
      <c r="BS49" s="79">
        <v>115200</v>
      </c>
    </row>
    <row r="50" spans="1:71" ht="15" hidden="1" customHeight="1">
      <c r="A50" s="66" t="s">
        <v>1288</v>
      </c>
      <c r="B50" s="737" t="s">
        <v>1289</v>
      </c>
      <c r="C50" s="346"/>
      <c r="D50" s="343" t="str">
        <f>_xlfn.TEXTJOIN("_",FALSE,E50,ERP_8[[#This Row],[Expense Category]],ERP_8[[#This Row],[Project Code*]])</f>
        <v>Dougherty, Chris_CONTRACTORS_IT-FBT0636-OG-IN-00</v>
      </c>
      <c r="E50" s="343" t="s">
        <v>1135</v>
      </c>
      <c r="F50" s="346"/>
      <c r="G50" s="150" t="s">
        <v>1136</v>
      </c>
      <c r="H50" s="150" t="s">
        <v>1135</v>
      </c>
      <c r="I50" s="150" t="s">
        <v>1165</v>
      </c>
      <c r="J50" s="150" t="s">
        <v>1137</v>
      </c>
      <c r="K50" s="511" t="s">
        <v>49</v>
      </c>
      <c r="L50" s="392" t="s">
        <v>1290</v>
      </c>
      <c r="M50" s="343"/>
      <c r="N50" s="804">
        <v>2662855</v>
      </c>
      <c r="O50" s="70" t="s">
        <v>129</v>
      </c>
      <c r="P50" s="346"/>
      <c r="Q50" s="343"/>
      <c r="R50" s="346"/>
      <c r="S50" s="150" t="s">
        <v>114</v>
      </c>
      <c r="T50" s="150"/>
      <c r="U50" s="403"/>
      <c r="V50" s="406">
        <v>73711</v>
      </c>
      <c r="W50" s="406">
        <v>70191.98000000001</v>
      </c>
      <c r="X50" s="425"/>
      <c r="Y50" s="71"/>
      <c r="Z50" s="784">
        <v>5439.05</v>
      </c>
      <c r="AA50" s="794">
        <v>4406.87</v>
      </c>
      <c r="AB50" s="794">
        <v>5062.8</v>
      </c>
      <c r="AC50" s="428">
        <v>6561.0900000000011</v>
      </c>
      <c r="AD50" s="429">
        <v>5184.41</v>
      </c>
      <c r="AE50" s="429">
        <v>5082.6499999999987</v>
      </c>
      <c r="AF50" s="429">
        <v>6372.6899999999987</v>
      </c>
      <c r="AG50" s="363">
        <v>5969.89</v>
      </c>
      <c r="AH50" s="363">
        <v>6200</v>
      </c>
      <c r="AI50" s="363">
        <v>6200</v>
      </c>
      <c r="AJ50" s="363">
        <v>6200</v>
      </c>
      <c r="AK50" s="363">
        <v>6200</v>
      </c>
      <c r="AL50" s="360">
        <f t="shared" si="2"/>
        <v>68879.45</v>
      </c>
      <c r="AM50" s="362">
        <f>ERP_8[[#This Row],[2026 Working Total]]-ERP_8[[#This Row],[LE2 Final Submission]]</f>
        <v>-1312.5300000000134</v>
      </c>
      <c r="AN50" s="79">
        <v>6142.58</v>
      </c>
      <c r="AO50" s="79">
        <f t="shared" si="3"/>
        <v>-1059.9300000000012</v>
      </c>
      <c r="AP50" s="374">
        <f>SUM(ERP_8[[#This Row],[AP01]:[AP07]])-SUM(ERP_8[[#This Row],[AP01 LE2]:[AP07 LE2]])</f>
        <v>-1369.4800000000105</v>
      </c>
      <c r="AQ50" s="80"/>
      <c r="AR50" s="79">
        <f>ERP_8[[#This Row],[2026 Working Total to Budget/LE]]-ERP_8[[#This Row],[Giveback]]</f>
        <v>-1312.5300000000134</v>
      </c>
      <c r="AS50" s="81"/>
      <c r="AT50" s="375">
        <v>5439.05</v>
      </c>
      <c r="AU50" s="375">
        <v>4406.87</v>
      </c>
      <c r="AV50" s="375">
        <v>5062.8</v>
      </c>
      <c r="AW50" s="375">
        <v>6142.58</v>
      </c>
      <c r="AX50" s="375">
        <v>6142.58</v>
      </c>
      <c r="AY50" s="375">
        <v>6142.58</v>
      </c>
      <c r="AZ50" s="375">
        <v>6142.58</v>
      </c>
      <c r="BA50" s="375">
        <v>6142.58</v>
      </c>
      <c r="BB50" s="375">
        <v>6142.58</v>
      </c>
      <c r="BC50" s="375">
        <v>6142.58</v>
      </c>
      <c r="BD50" s="375">
        <v>6142.58</v>
      </c>
      <c r="BE50" s="375">
        <v>6142.62</v>
      </c>
      <c r="BF50" s="375">
        <v>70191.98000000001</v>
      </c>
      <c r="BG50" s="79">
        <v>5439.05</v>
      </c>
      <c r="BH50" s="79">
        <v>4406.87</v>
      </c>
      <c r="BI50" s="79">
        <v>5062.8</v>
      </c>
      <c r="BJ50" s="79">
        <v>6142.58</v>
      </c>
      <c r="BK50" s="79">
        <v>6142.58</v>
      </c>
      <c r="BL50" s="79">
        <v>6142.58</v>
      </c>
      <c r="BM50" s="79">
        <v>6142.58</v>
      </c>
      <c r="BN50" s="79">
        <v>6142.58</v>
      </c>
      <c r="BO50" s="79">
        <v>6142.58</v>
      </c>
      <c r="BP50" s="79">
        <v>6142.58</v>
      </c>
      <c r="BQ50" s="79">
        <v>6142.58</v>
      </c>
      <c r="BR50" s="79">
        <v>6142.62</v>
      </c>
      <c r="BS50" s="79">
        <v>70191.98000000001</v>
      </c>
    </row>
    <row r="51" spans="1:71" ht="15" hidden="1" customHeight="1">
      <c r="A51" s="66" t="s">
        <v>1291</v>
      </c>
      <c r="B51" s="737" t="s">
        <v>1292</v>
      </c>
      <c r="C51" s="346"/>
      <c r="D51" s="343" t="str">
        <f>_xlfn.TEXTJOIN("_",FALSE,E51,ERP_8[[#This Row],[Expense Category]],ERP_8[[#This Row],[Project Code*]])</f>
        <v>Dougherty, Chris_CONTRACTORS_IT-FBT0637-OG-IN-00</v>
      </c>
      <c r="E51" s="343" t="s">
        <v>1135</v>
      </c>
      <c r="F51" s="346"/>
      <c r="G51" s="150" t="s">
        <v>1136</v>
      </c>
      <c r="H51" s="150" t="s">
        <v>1135</v>
      </c>
      <c r="I51" s="150" t="s">
        <v>1165</v>
      </c>
      <c r="J51" s="150" t="s">
        <v>1137</v>
      </c>
      <c r="K51" s="511" t="s">
        <v>49</v>
      </c>
      <c r="L51" s="392" t="s">
        <v>1293</v>
      </c>
      <c r="M51" s="343"/>
      <c r="N51" s="804">
        <v>2662855</v>
      </c>
      <c r="O51" s="70" t="s">
        <v>131</v>
      </c>
      <c r="P51" s="346"/>
      <c r="Q51" s="343"/>
      <c r="R51" s="346"/>
      <c r="S51" s="150" t="s">
        <v>114</v>
      </c>
      <c r="T51" s="150"/>
      <c r="U51" s="403"/>
      <c r="V51" s="406">
        <v>9592.0000000000018</v>
      </c>
      <c r="W51" s="406">
        <v>9470.880000000001</v>
      </c>
      <c r="X51" s="425"/>
      <c r="Y51" s="71"/>
      <c r="Z51" s="784">
        <v>844.81</v>
      </c>
      <c r="AA51" s="794">
        <v>677.12</v>
      </c>
      <c r="AB51" s="794">
        <v>754.94</v>
      </c>
      <c r="AC51" s="428">
        <v>991.85</v>
      </c>
      <c r="AD51" s="429">
        <v>673.53</v>
      </c>
      <c r="AE51" s="429">
        <v>720.34</v>
      </c>
      <c r="AF51" s="429">
        <v>903.16</v>
      </c>
      <c r="AG51" s="363">
        <v>695.16</v>
      </c>
      <c r="AH51" s="363">
        <v>799.33</v>
      </c>
      <c r="AI51" s="363">
        <v>799.33</v>
      </c>
      <c r="AJ51" s="363">
        <v>799.33</v>
      </c>
      <c r="AK51" s="363">
        <v>799.37</v>
      </c>
      <c r="AL51" s="360">
        <f t="shared" si="2"/>
        <v>9458.27</v>
      </c>
      <c r="AM51" s="362">
        <f>ERP_8[[#This Row],[2026 Working Total]]-ERP_8[[#This Row],[LE2 Final Submission]]</f>
        <v>-12.610000000000582</v>
      </c>
      <c r="AN51" s="79">
        <v>799.33</v>
      </c>
      <c r="AO51" s="79">
        <f t="shared" si="3"/>
        <v>-78.990000000000009</v>
      </c>
      <c r="AP51" s="374">
        <f>SUM(ERP_8[[#This Row],[AP01]:[AP07]])-SUM(ERP_8[[#This Row],[AP01 LE2]:[AP07 LE2]])</f>
        <v>91.5600000000004</v>
      </c>
      <c r="AQ51" s="80"/>
      <c r="AR51" s="79">
        <f>ERP_8[[#This Row],[2026 Working Total to Budget/LE]]-ERP_8[[#This Row],[Giveback]]</f>
        <v>-12.610000000000582</v>
      </c>
      <c r="AS51" s="81"/>
      <c r="AT51" s="375">
        <v>844.81</v>
      </c>
      <c r="AU51" s="375">
        <v>677.12</v>
      </c>
      <c r="AV51" s="375">
        <v>754.94</v>
      </c>
      <c r="AW51" s="375">
        <v>799.33</v>
      </c>
      <c r="AX51" s="375">
        <v>799.33</v>
      </c>
      <c r="AY51" s="375">
        <v>799.33</v>
      </c>
      <c r="AZ51" s="375">
        <v>799.33</v>
      </c>
      <c r="BA51" s="375">
        <v>799.33</v>
      </c>
      <c r="BB51" s="375">
        <v>799.33</v>
      </c>
      <c r="BC51" s="375">
        <v>799.33</v>
      </c>
      <c r="BD51" s="375">
        <v>799.33</v>
      </c>
      <c r="BE51" s="375">
        <v>799.37</v>
      </c>
      <c r="BF51" s="375">
        <v>9470.880000000001</v>
      </c>
      <c r="BG51" s="79">
        <v>844.81</v>
      </c>
      <c r="BH51" s="79">
        <v>677.12</v>
      </c>
      <c r="BI51" s="79">
        <v>754.94</v>
      </c>
      <c r="BJ51" s="79">
        <v>799.33</v>
      </c>
      <c r="BK51" s="79">
        <v>799.33</v>
      </c>
      <c r="BL51" s="79">
        <v>799.33</v>
      </c>
      <c r="BM51" s="79">
        <v>799.33</v>
      </c>
      <c r="BN51" s="79">
        <v>799.33</v>
      </c>
      <c r="BO51" s="79">
        <v>799.33</v>
      </c>
      <c r="BP51" s="79">
        <v>799.33</v>
      </c>
      <c r="BQ51" s="79">
        <v>799.33</v>
      </c>
      <c r="BR51" s="79">
        <v>799.37</v>
      </c>
      <c r="BS51" s="79">
        <v>9470.880000000001</v>
      </c>
    </row>
    <row r="52" spans="1:71" ht="15" hidden="1" customHeight="1">
      <c r="A52" s="150" t="s">
        <v>1294</v>
      </c>
      <c r="B52" s="749" t="s">
        <v>1295</v>
      </c>
      <c r="C52" s="348"/>
      <c r="D52" s="347" t="str">
        <f>_xlfn.TEXTJOIN("_",FALSE,E52,ERP_8[[#This Row],[Expense Category]],ERP_8[[#This Row],[Project Code*]])</f>
        <v>Dougherty, Chris_CONTRACTORS_IT-FBT0770-OT-US-00</v>
      </c>
      <c r="E52" s="347" t="s">
        <v>1135</v>
      </c>
      <c r="F52" s="348"/>
      <c r="G52" s="150" t="s">
        <v>1136</v>
      </c>
      <c r="H52" s="150" t="s">
        <v>1135</v>
      </c>
      <c r="I52" s="332" t="s">
        <v>1165</v>
      </c>
      <c r="J52" s="333" t="s">
        <v>1165</v>
      </c>
      <c r="K52" s="514" t="s">
        <v>49</v>
      </c>
      <c r="L52" s="394" t="s">
        <v>1296</v>
      </c>
      <c r="M52" s="333"/>
      <c r="N52" s="467" t="s">
        <v>1284</v>
      </c>
      <c r="O52" s="90" t="s">
        <v>133</v>
      </c>
      <c r="P52" s="347"/>
      <c r="Q52" s="347"/>
      <c r="R52" s="348"/>
      <c r="S52" s="348"/>
      <c r="T52" s="348"/>
      <c r="U52" s="402"/>
      <c r="V52" s="406"/>
      <c r="W52" s="406"/>
      <c r="X52" s="425"/>
      <c r="Y52" s="71"/>
      <c r="Z52" s="784"/>
      <c r="AA52" s="794"/>
      <c r="AB52" s="794"/>
      <c r="AC52" s="436"/>
      <c r="AD52" s="429">
        <v>28.36</v>
      </c>
      <c r="AE52" s="429">
        <v>0</v>
      </c>
      <c r="AF52" s="429">
        <v>0</v>
      </c>
      <c r="AG52" s="364"/>
      <c r="AH52" s="364"/>
      <c r="AI52" s="364"/>
      <c r="AJ52" s="364"/>
      <c r="AK52" s="364"/>
      <c r="AL52" s="360">
        <f t="shared" si="2"/>
        <v>28.36</v>
      </c>
      <c r="AM52" s="362">
        <f>ERP_8[[#This Row],[2026 Working Total]]-ERP_8[[#This Row],[LE2 Final Submission]]</f>
        <v>28.36</v>
      </c>
      <c r="AN52" s="79"/>
      <c r="AO52" s="79">
        <f t="shared" si="3"/>
        <v>0</v>
      </c>
      <c r="AP52" s="374">
        <f>SUM(ERP_8[[#This Row],[AP01]:[AP07]])-SUM(ERP_8[[#This Row],[AP01 LE2]:[AP07 LE2]])</f>
        <v>28.36</v>
      </c>
      <c r="AQ52" s="80"/>
      <c r="AR52" s="79">
        <f>ERP_8[[#This Row],[2026 Working Total to Budget/LE]]-ERP_8[[#This Row],[Giveback]]</f>
        <v>28.36</v>
      </c>
      <c r="AS52" s="81"/>
      <c r="AT52" s="375"/>
      <c r="AU52" s="375"/>
      <c r="AV52" s="375"/>
      <c r="AW52" s="375"/>
      <c r="AX52" s="375"/>
      <c r="AY52" s="375"/>
      <c r="AZ52" s="375"/>
      <c r="BA52" s="375"/>
      <c r="BB52" s="375"/>
      <c r="BC52" s="375"/>
      <c r="BD52" s="375"/>
      <c r="BE52" s="375"/>
      <c r="BF52" s="375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</row>
    <row r="53" spans="1:71" ht="15" hidden="1" customHeight="1">
      <c r="A53" s="66" t="s">
        <v>1297</v>
      </c>
      <c r="B53" s="737" t="s">
        <v>1298</v>
      </c>
      <c r="C53" s="346"/>
      <c r="D53" s="343" t="str">
        <f>_xlfn.TEXTJOIN("_",FALSE,E53,ERP_8[[#This Row],[Expense Category]],ERP_8[[#This Row],[Project Code*]])</f>
        <v>Dougherty, Chris_CONTRACTORS_IT-FBT0780-OT-US-00</v>
      </c>
      <c r="E53" s="343" t="s">
        <v>1135</v>
      </c>
      <c r="F53" s="346"/>
      <c r="G53" s="150" t="s">
        <v>1136</v>
      </c>
      <c r="H53" s="150" t="s">
        <v>1135</v>
      </c>
      <c r="I53" s="150" t="s">
        <v>1156</v>
      </c>
      <c r="J53" s="150" t="s">
        <v>1137</v>
      </c>
      <c r="K53" s="511" t="s">
        <v>49</v>
      </c>
      <c r="L53" s="392" t="s">
        <v>1299</v>
      </c>
      <c r="M53" s="343"/>
      <c r="N53" s="800">
        <v>2321511</v>
      </c>
      <c r="O53" s="70" t="s">
        <v>135</v>
      </c>
      <c r="P53" s="346"/>
      <c r="Q53" s="522" t="s">
        <v>1300</v>
      </c>
      <c r="R53" s="346"/>
      <c r="S53" s="150" t="s">
        <v>25</v>
      </c>
      <c r="T53" s="184" t="s">
        <v>1301</v>
      </c>
      <c r="U53" s="403"/>
      <c r="V53" s="406">
        <v>499304.03999999986</v>
      </c>
      <c r="W53" s="406">
        <v>502636.17</v>
      </c>
      <c r="X53" s="425"/>
      <c r="Y53" s="71"/>
      <c r="Z53" s="784">
        <v>30113.96</v>
      </c>
      <c r="AA53" s="794">
        <v>19240.66</v>
      </c>
      <c r="AB53" s="794">
        <v>44681.55</v>
      </c>
      <c r="AC53" s="428">
        <v>28059.239999999998</v>
      </c>
      <c r="AD53" s="429">
        <v>37177.21</v>
      </c>
      <c r="AE53" s="429">
        <v>-26229.880000000005</v>
      </c>
      <c r="AF53" s="429">
        <v>22486.16</v>
      </c>
      <c r="AG53" s="363">
        <v>14000</v>
      </c>
      <c r="AH53" s="363">
        <v>41000</v>
      </c>
      <c r="AI53" s="363">
        <v>42500</v>
      </c>
      <c r="AJ53" s="363">
        <v>42500</v>
      </c>
      <c r="AK53" s="363">
        <v>43500</v>
      </c>
      <c r="AL53" s="360">
        <f t="shared" si="2"/>
        <v>339028.9</v>
      </c>
      <c r="AM53" s="362">
        <f>ERP_8[[#This Row],[2026 Working Total]]-ERP_8[[#This Row],[LE2 Final Submission]]</f>
        <v>-163607.26999999996</v>
      </c>
      <c r="AN53" s="79">
        <v>11200</v>
      </c>
      <c r="AO53" s="79">
        <f t="shared" si="3"/>
        <v>-37429.880000000005</v>
      </c>
      <c r="AP53" s="374">
        <f>SUM(ERP_8[[#This Row],[AP01]:[AP07]])-SUM(ERP_8[[#This Row],[AP01 LE2]:[AP07 LE2]])</f>
        <v>-148107.26999999999</v>
      </c>
      <c r="AQ53" s="80"/>
      <c r="AR53" s="79">
        <f>ERP_8[[#This Row],[2026 Working Total to Budget/LE]]-ERP_8[[#This Row],[Giveback]]</f>
        <v>-163607.26999999996</v>
      </c>
      <c r="AS53" s="81"/>
      <c r="AT53" s="375">
        <v>30113.96</v>
      </c>
      <c r="AU53" s="375">
        <v>19240.66</v>
      </c>
      <c r="AV53" s="375">
        <v>44681.55</v>
      </c>
      <c r="AW53" s="375">
        <v>40000</v>
      </c>
      <c r="AX53" s="375">
        <v>90000</v>
      </c>
      <c r="AY53" s="375">
        <v>44000</v>
      </c>
      <c r="AZ53" s="375">
        <v>35600</v>
      </c>
      <c r="BA53" s="375">
        <v>44000</v>
      </c>
      <c r="BB53" s="375">
        <v>36000</v>
      </c>
      <c r="BC53" s="375">
        <v>40000</v>
      </c>
      <c r="BD53" s="375">
        <v>36000</v>
      </c>
      <c r="BE53" s="375">
        <v>43000</v>
      </c>
      <c r="BF53" s="375">
        <v>502636.17</v>
      </c>
      <c r="BG53" s="79">
        <v>30113.96</v>
      </c>
      <c r="BH53" s="79">
        <v>19240.66</v>
      </c>
      <c r="BI53" s="79">
        <v>44681.55</v>
      </c>
      <c r="BJ53" s="79">
        <v>44995</v>
      </c>
      <c r="BK53" s="79">
        <v>44995</v>
      </c>
      <c r="BL53" s="79">
        <v>44995</v>
      </c>
      <c r="BM53" s="79">
        <v>44995</v>
      </c>
      <c r="BN53" s="79">
        <v>44995</v>
      </c>
      <c r="BO53" s="79">
        <v>44995</v>
      </c>
      <c r="BP53" s="79">
        <v>44995</v>
      </c>
      <c r="BQ53" s="79">
        <v>44995</v>
      </c>
      <c r="BR53" s="79">
        <v>44995</v>
      </c>
      <c r="BS53" s="79">
        <v>498991.17</v>
      </c>
    </row>
    <row r="54" spans="1:71" ht="15" hidden="1" customHeight="1">
      <c r="A54" s="66" t="s">
        <v>1302</v>
      </c>
      <c r="B54" s="737" t="s">
        <v>1303</v>
      </c>
      <c r="C54" s="346"/>
      <c r="D54" s="343" t="str">
        <f>_xlfn.TEXTJOIN("_",FALSE,E54,ERP_8[[#This Row],[Expense Category]],ERP_8[[#This Row],[Project Code*]])</f>
        <v>Dougherty, Chris_CONTRACTORS_IT-FBT0801-OG-US-00</v>
      </c>
      <c r="E54" s="343" t="s">
        <v>1135</v>
      </c>
      <c r="F54" s="346"/>
      <c r="G54" s="150" t="s">
        <v>1136</v>
      </c>
      <c r="H54" s="150" t="s">
        <v>1135</v>
      </c>
      <c r="I54" s="150" t="s">
        <v>1156</v>
      </c>
      <c r="J54" s="150" t="s">
        <v>1137</v>
      </c>
      <c r="K54" s="511" t="s">
        <v>49</v>
      </c>
      <c r="L54" s="392" t="s">
        <v>1304</v>
      </c>
      <c r="M54" s="343"/>
      <c r="N54" s="800">
        <v>2321511</v>
      </c>
      <c r="O54" s="825" t="s">
        <v>137</v>
      </c>
      <c r="P54" s="346"/>
      <c r="Q54" s="343"/>
      <c r="R54" s="346"/>
      <c r="S54" s="150" t="s">
        <v>25</v>
      </c>
      <c r="T54" s="150" t="s">
        <v>1305</v>
      </c>
      <c r="U54" s="403"/>
      <c r="V54" s="406">
        <v>216000</v>
      </c>
      <c r="W54" s="406">
        <v>178669.02</v>
      </c>
      <c r="X54" s="425"/>
      <c r="Y54" s="71"/>
      <c r="Z54" s="784">
        <v>13712.98</v>
      </c>
      <c r="AA54" s="794">
        <v>15359.13</v>
      </c>
      <c r="AB54" s="794">
        <v>67493.539999999994</v>
      </c>
      <c r="AC54" s="428">
        <v>42271.619999999995</v>
      </c>
      <c r="AD54" s="429">
        <v>42271.62000000001</v>
      </c>
      <c r="AE54" s="429">
        <v>-40929.350000000006</v>
      </c>
      <c r="AF54" s="429">
        <v>68752.759999999995</v>
      </c>
      <c r="AG54" s="363">
        <v>44320</v>
      </c>
      <c r="AH54" s="363"/>
      <c r="AI54" s="363"/>
      <c r="AJ54" s="363"/>
      <c r="AK54" s="363"/>
      <c r="AL54" s="360">
        <f t="shared" si="2"/>
        <v>253252.3</v>
      </c>
      <c r="AM54" s="362">
        <f>ERP_8[[#This Row],[2026 Working Total]]-ERP_8[[#This Row],[LE2 Final Submission]]</f>
        <v>74583.28</v>
      </c>
      <c r="AN54" s="79"/>
      <c r="AO54" s="79">
        <f t="shared" si="3"/>
        <v>-40929.350000000006</v>
      </c>
      <c r="AP54" s="374">
        <f>SUM(ERP_8[[#This Row],[AP01]:[AP07]])-SUM(ERP_8[[#This Row],[AP01 LE2]:[AP07 LE2]])</f>
        <v>60263.28</v>
      </c>
      <c r="AQ54" s="80">
        <v>-32339</v>
      </c>
      <c r="AR54" s="79">
        <f>ERP_8[[#This Row],[2026 Working Total to Budget/LE]]-ERP_8[[#This Row],[Giveback]]</f>
        <v>106922.28</v>
      </c>
      <c r="AS54" s="81" t="s">
        <v>1179</v>
      </c>
      <c r="AT54" s="375">
        <v>13712.98</v>
      </c>
      <c r="AU54" s="375">
        <v>15359.13</v>
      </c>
      <c r="AV54" s="375">
        <v>67493.539999999994</v>
      </c>
      <c r="AW54" s="375">
        <v>4300</v>
      </c>
      <c r="AX54" s="375">
        <v>35803.370000000003</v>
      </c>
      <c r="AY54" s="375">
        <v>6000</v>
      </c>
      <c r="AZ54" s="375">
        <v>6000</v>
      </c>
      <c r="BA54" s="375">
        <v>6000</v>
      </c>
      <c r="BB54" s="375">
        <v>6000</v>
      </c>
      <c r="BC54" s="375">
        <v>6000</v>
      </c>
      <c r="BD54" s="375">
        <v>6000</v>
      </c>
      <c r="BE54" s="375">
        <v>6000</v>
      </c>
      <c r="BF54" s="375">
        <v>178669.02</v>
      </c>
      <c r="BG54" s="79">
        <v>13712.98</v>
      </c>
      <c r="BH54" s="79">
        <v>15359.13</v>
      </c>
      <c r="BI54" s="79">
        <v>67493.539999999994</v>
      </c>
      <c r="BJ54" s="79">
        <v>18693</v>
      </c>
      <c r="BK54" s="79">
        <v>18693</v>
      </c>
      <c r="BL54" s="79">
        <v>18693</v>
      </c>
      <c r="BM54" s="79">
        <v>18693</v>
      </c>
      <c r="BN54" s="79">
        <v>18693</v>
      </c>
      <c r="BO54" s="79">
        <v>18693</v>
      </c>
      <c r="BP54" s="79">
        <v>18693</v>
      </c>
      <c r="BQ54" s="79">
        <v>18693</v>
      </c>
      <c r="BR54" s="79">
        <v>18693</v>
      </c>
      <c r="BS54" s="79">
        <v>264802.65000000002</v>
      </c>
    </row>
    <row r="55" spans="1:71" ht="15" hidden="1" customHeight="1">
      <c r="A55" s="66" t="s">
        <v>1306</v>
      </c>
      <c r="B55" s="737" t="s">
        <v>1307</v>
      </c>
      <c r="C55" s="346"/>
      <c r="D55" s="343" t="str">
        <f>_xlfn.TEXTJOIN("_",FALSE,E55,ERP_8[[#This Row],[Expense Category]],ERP_8[[#This Row],[Project Code*]])</f>
        <v>Dougherty, Chris_CONTRACTORS_IT-FBT0826-OG-US-00</v>
      </c>
      <c r="E55" s="343" t="s">
        <v>1135</v>
      </c>
      <c r="F55" s="346"/>
      <c r="G55" s="150" t="s">
        <v>1136</v>
      </c>
      <c r="H55" s="150" t="s">
        <v>1135</v>
      </c>
      <c r="I55" s="150" t="s">
        <v>1156</v>
      </c>
      <c r="J55" s="150" t="s">
        <v>1137</v>
      </c>
      <c r="K55" s="511" t="s">
        <v>49</v>
      </c>
      <c r="L55" s="392" t="s">
        <v>1308</v>
      </c>
      <c r="M55" s="343"/>
      <c r="N55" s="804">
        <v>2321511</v>
      </c>
      <c r="O55" s="70" t="s">
        <v>139</v>
      </c>
      <c r="P55" s="346"/>
      <c r="Q55" s="343" t="s">
        <v>1309</v>
      </c>
      <c r="R55" s="346"/>
      <c r="S55" s="150" t="s">
        <v>25</v>
      </c>
      <c r="T55" s="150"/>
      <c r="U55" s="403"/>
      <c r="V55" s="406">
        <v>96720</v>
      </c>
      <c r="W55" s="406">
        <v>96720.44</v>
      </c>
      <c r="X55" s="425"/>
      <c r="Y55" s="71"/>
      <c r="Z55" s="784">
        <v>6643.44</v>
      </c>
      <c r="AA55" s="794">
        <v>5644</v>
      </c>
      <c r="AB55" s="794">
        <v>8304</v>
      </c>
      <c r="AC55" s="428">
        <v>6762</v>
      </c>
      <c r="AD55" s="429">
        <v>9499</v>
      </c>
      <c r="AE55" s="429">
        <v>8310.9599999999991</v>
      </c>
      <c r="AF55" s="429">
        <v>6370.04</v>
      </c>
      <c r="AG55" s="363">
        <v>10130</v>
      </c>
      <c r="AH55" s="363">
        <v>8600</v>
      </c>
      <c r="AI55" s="363">
        <v>8600</v>
      </c>
      <c r="AJ55" s="363">
        <v>8687</v>
      </c>
      <c r="AK55" s="363">
        <v>8968</v>
      </c>
      <c r="AL55" s="360">
        <f t="shared" si="2"/>
        <v>96518.44</v>
      </c>
      <c r="AM55" s="362">
        <f>ERP_8[[#This Row],[2026 Working Total]]-ERP_8[[#This Row],[LE2 Final Submission]]</f>
        <v>-202</v>
      </c>
      <c r="AN55" s="79">
        <v>8600</v>
      </c>
      <c r="AO55" s="79">
        <f t="shared" si="3"/>
        <v>-289.04000000000087</v>
      </c>
      <c r="AP55" s="374">
        <f>SUM(ERP_8[[#This Row],[AP01]:[AP07]])-SUM(ERP_8[[#This Row],[AP01 LE2]:[AP07 LE2]])</f>
        <v>-4639</v>
      </c>
      <c r="AQ55" s="80"/>
      <c r="AR55" s="79">
        <f>ERP_8[[#This Row],[2026 Working Total to Budget/LE]]-ERP_8[[#This Row],[Giveback]]</f>
        <v>-202</v>
      </c>
      <c r="AS55" s="81"/>
      <c r="AT55" s="375">
        <v>6643.44</v>
      </c>
      <c r="AU55" s="375">
        <v>5644</v>
      </c>
      <c r="AV55" s="375">
        <v>8304</v>
      </c>
      <c r="AW55" s="375">
        <v>11029</v>
      </c>
      <c r="AX55" s="375">
        <v>7812</v>
      </c>
      <c r="AY55" s="375">
        <v>8184</v>
      </c>
      <c r="AZ55" s="375">
        <v>8556</v>
      </c>
      <c r="BA55" s="375">
        <v>7812</v>
      </c>
      <c r="BB55" s="375">
        <v>8184</v>
      </c>
      <c r="BC55" s="375">
        <v>8184</v>
      </c>
      <c r="BD55" s="375">
        <v>7812</v>
      </c>
      <c r="BE55" s="375">
        <v>8556</v>
      </c>
      <c r="BF55" s="375">
        <v>96720.44</v>
      </c>
      <c r="BG55" s="79">
        <v>6643.44</v>
      </c>
      <c r="BH55" s="79">
        <v>5644</v>
      </c>
      <c r="BI55" s="79">
        <v>8304</v>
      </c>
      <c r="BJ55" s="79">
        <v>8184</v>
      </c>
      <c r="BK55" s="79">
        <v>7812</v>
      </c>
      <c r="BL55" s="79">
        <v>8184</v>
      </c>
      <c r="BM55" s="79">
        <v>8556</v>
      </c>
      <c r="BN55" s="79">
        <v>7812</v>
      </c>
      <c r="BO55" s="79">
        <v>8184</v>
      </c>
      <c r="BP55" s="79">
        <v>8184</v>
      </c>
      <c r="BQ55" s="79">
        <v>7812</v>
      </c>
      <c r="BR55" s="79">
        <v>8556</v>
      </c>
      <c r="BS55" s="79">
        <v>93875.44</v>
      </c>
    </row>
    <row r="56" spans="1:71" ht="15" customHeight="1">
      <c r="A56" s="66" t="s">
        <v>1310</v>
      </c>
      <c r="B56" s="737" t="s">
        <v>1311</v>
      </c>
      <c r="C56" s="346"/>
      <c r="D56" s="343" t="str">
        <f>_xlfn.TEXTJOIN("_",FALSE,E56,ERP_8[[#This Row],[Expense Category]],ERP_8[[#This Row],[Project Code*]])</f>
        <v>Dougherty, Chris_CONTRACTORS_IT-FBT0831-OT-US-00</v>
      </c>
      <c r="E56" s="343" t="s">
        <v>1135</v>
      </c>
      <c r="F56" s="346"/>
      <c r="G56" s="150" t="s">
        <v>1136</v>
      </c>
      <c r="H56" s="150" t="s">
        <v>1135</v>
      </c>
      <c r="I56" s="150" t="s">
        <v>1145</v>
      </c>
      <c r="J56" s="150" t="s">
        <v>1137</v>
      </c>
      <c r="K56" s="511" t="s">
        <v>49</v>
      </c>
      <c r="L56" s="778" t="s">
        <v>1312</v>
      </c>
      <c r="M56" s="343"/>
      <c r="N56" s="802" t="s">
        <v>1186</v>
      </c>
      <c r="O56" s="70" t="s">
        <v>141</v>
      </c>
      <c r="P56" s="346"/>
      <c r="Q56" s="346" t="s">
        <v>1313</v>
      </c>
      <c r="R56" s="346"/>
      <c r="S56" s="150" t="s">
        <v>25</v>
      </c>
      <c r="T56" s="150"/>
      <c r="U56" s="403"/>
      <c r="V56" s="406">
        <v>49000</v>
      </c>
      <c r="W56" s="406">
        <v>48800.63</v>
      </c>
      <c r="X56" s="425"/>
      <c r="Y56" s="71"/>
      <c r="Z56" s="784">
        <v>3356.36</v>
      </c>
      <c r="AA56" s="780">
        <v>3758.72</v>
      </c>
      <c r="AB56" s="780">
        <v>4698.63</v>
      </c>
      <c r="AC56" s="428">
        <v>3758.8999999999978</v>
      </c>
      <c r="AD56" s="429">
        <v>659.46</v>
      </c>
      <c r="AE56" s="429">
        <v>4698.630000000001</v>
      </c>
      <c r="AF56" s="429">
        <v>3758.8999999999978</v>
      </c>
      <c r="AG56" s="360">
        <v>0</v>
      </c>
      <c r="AH56" s="364"/>
      <c r="AI56" s="363">
        <v>4061</v>
      </c>
      <c r="AJ56" s="363">
        <v>12250</v>
      </c>
      <c r="AK56" s="363">
        <v>8000</v>
      </c>
      <c r="AL56" s="360">
        <f t="shared" si="2"/>
        <v>49000.599999999991</v>
      </c>
      <c r="AM56" s="362">
        <f>ERP_8[[#This Row],[2026 Working Total]]-ERP_8[[#This Row],[LE2 Final Submission]]</f>
        <v>199.96999999999389</v>
      </c>
      <c r="AN56" s="79">
        <v>0</v>
      </c>
      <c r="AO56" s="79">
        <f t="shared" si="3"/>
        <v>4698.630000000001</v>
      </c>
      <c r="AP56" s="374">
        <f>SUM(ERP_8[[#This Row],[AP01]:[AP07]])-SUM(ERP_8[[#This Row],[AP01 LE2]:[AP07 LE2]])</f>
        <v>-4509.0300000000025</v>
      </c>
      <c r="AQ56" s="80"/>
      <c r="AR56" s="79">
        <f>ERP_8[[#This Row],[2026 Working Total to Budget/LE]]-ERP_8[[#This Row],[Giveback]]</f>
        <v>199.96999999999389</v>
      </c>
      <c r="AS56" s="81"/>
      <c r="AT56" s="375">
        <v>3356.36</v>
      </c>
      <c r="AU56" s="375">
        <v>3758.72</v>
      </c>
      <c r="AV56" s="375">
        <v>4698.63</v>
      </c>
      <c r="AW56" s="375">
        <v>0</v>
      </c>
      <c r="AX56" s="375">
        <v>0</v>
      </c>
      <c r="AY56" s="375">
        <v>17384.919999999998</v>
      </c>
      <c r="AZ56" s="375">
        <v>0</v>
      </c>
      <c r="BA56" s="375">
        <v>0</v>
      </c>
      <c r="BB56" s="375">
        <v>12250</v>
      </c>
      <c r="BC56" s="375">
        <v>0</v>
      </c>
      <c r="BD56" s="375">
        <v>0</v>
      </c>
      <c r="BE56" s="375">
        <v>7352</v>
      </c>
      <c r="BF56" s="375">
        <v>48800.63</v>
      </c>
      <c r="BG56" s="79">
        <v>3356.36</v>
      </c>
      <c r="BH56" s="79">
        <v>3758.72</v>
      </c>
      <c r="BI56" s="79">
        <v>4698.63</v>
      </c>
      <c r="BJ56" s="79">
        <v>0</v>
      </c>
      <c r="BK56" s="79">
        <v>0</v>
      </c>
      <c r="BL56" s="79">
        <v>17384.919999999998</v>
      </c>
      <c r="BM56" s="79">
        <v>0</v>
      </c>
      <c r="BN56" s="79">
        <v>0</v>
      </c>
      <c r="BO56" s="79">
        <v>12250</v>
      </c>
      <c r="BP56" s="79">
        <v>0</v>
      </c>
      <c r="BQ56" s="79">
        <v>0</v>
      </c>
      <c r="BR56" s="79">
        <v>12250</v>
      </c>
      <c r="BS56" s="79">
        <v>53698.63</v>
      </c>
    </row>
    <row r="57" spans="1:71" ht="15" customHeight="1">
      <c r="A57" s="66" t="s">
        <v>1314</v>
      </c>
      <c r="B57" s="737" t="s">
        <v>1315</v>
      </c>
      <c r="C57" s="346"/>
      <c r="D57" s="343" t="str">
        <f>_xlfn.TEXTJOIN("_",FALSE,E57,ERP_8[[#This Row],[Expense Category]],ERP_8[[#This Row],[Project Code*]])</f>
        <v>Dougherty, Chris_CONTRACTORS_IT-FBT0832-OT-US-00</v>
      </c>
      <c r="E57" s="343" t="s">
        <v>1135</v>
      </c>
      <c r="F57" s="346"/>
      <c r="G57" s="150" t="s">
        <v>1136</v>
      </c>
      <c r="H57" s="150" t="s">
        <v>1135</v>
      </c>
      <c r="I57" s="150" t="s">
        <v>1145</v>
      </c>
      <c r="J57" s="150" t="s">
        <v>1137</v>
      </c>
      <c r="K57" s="511" t="s">
        <v>49</v>
      </c>
      <c r="L57" s="778" t="s">
        <v>1316</v>
      </c>
      <c r="M57" s="343"/>
      <c r="N57" s="802" t="s">
        <v>1186</v>
      </c>
      <c r="O57" s="70" t="s">
        <v>143</v>
      </c>
      <c r="P57" s="346"/>
      <c r="Q57" s="346" t="s">
        <v>1317</v>
      </c>
      <c r="R57" s="346"/>
      <c r="S57" s="150" t="s">
        <v>25</v>
      </c>
      <c r="T57" s="150"/>
      <c r="U57" s="403"/>
      <c r="V57" s="406">
        <v>23000</v>
      </c>
      <c r="W57" s="406">
        <v>21621.640000000003</v>
      </c>
      <c r="X57" s="425"/>
      <c r="Y57" s="71"/>
      <c r="Z57" s="784">
        <v>1355</v>
      </c>
      <c r="AA57" s="780">
        <v>1517.05</v>
      </c>
      <c r="AB57" s="780">
        <v>1896.64</v>
      </c>
      <c r="AC57" s="428">
        <v>4517.2999999999993</v>
      </c>
      <c r="AD57" s="429">
        <v>-462.13999999999965</v>
      </c>
      <c r="AE57" s="429">
        <v>1896.6400000000003</v>
      </c>
      <c r="AF57" s="429">
        <v>1517.2999999999993</v>
      </c>
      <c r="AG57" s="360">
        <v>0</v>
      </c>
      <c r="AH57" s="364"/>
      <c r="AI57" s="364"/>
      <c r="AJ57" s="363">
        <v>9000</v>
      </c>
      <c r="AK57" s="360">
        <v>0</v>
      </c>
      <c r="AL57" s="360">
        <f t="shared" si="2"/>
        <v>21237.79</v>
      </c>
      <c r="AM57" s="362">
        <f>ERP_8[[#This Row],[2026 Working Total]]-ERP_8[[#This Row],[LE2 Final Submission]]</f>
        <v>-383.85000000000218</v>
      </c>
      <c r="AN57" s="79">
        <v>0</v>
      </c>
      <c r="AO57" s="79">
        <f t="shared" si="3"/>
        <v>1896.6400000000003</v>
      </c>
      <c r="AP57" s="374">
        <f>SUM(ERP_8[[#This Row],[AP01]:[AP07]])-SUM(ERP_8[[#This Row],[AP01 LE2]:[AP07 LE2]])</f>
        <v>-5530.9000000000015</v>
      </c>
      <c r="AQ57" s="80"/>
      <c r="AR57" s="79">
        <f>ERP_8[[#This Row],[2026 Working Total to Budget/LE]]-ERP_8[[#This Row],[Giveback]]</f>
        <v>-383.85000000000218</v>
      </c>
      <c r="AS57" s="81"/>
      <c r="AT57" s="375">
        <v>1355</v>
      </c>
      <c r="AU57" s="375">
        <v>1517.05</v>
      </c>
      <c r="AV57" s="375">
        <v>1896.64</v>
      </c>
      <c r="AW57" s="375">
        <v>0</v>
      </c>
      <c r="AX57" s="375">
        <v>0</v>
      </c>
      <c r="AY57" s="375">
        <v>13000</v>
      </c>
      <c r="AZ57" s="375">
        <v>0</v>
      </c>
      <c r="BA57" s="375">
        <v>0</v>
      </c>
      <c r="BB57" s="375">
        <v>3852.95</v>
      </c>
      <c r="BC57" s="375">
        <v>0</v>
      </c>
      <c r="BD57" s="375">
        <v>0</v>
      </c>
      <c r="BE57" s="375">
        <v>0</v>
      </c>
      <c r="BF57" s="375">
        <v>21621.640000000003</v>
      </c>
      <c r="BG57" s="79">
        <v>1355</v>
      </c>
      <c r="BH57" s="79">
        <v>1517.05</v>
      </c>
      <c r="BI57" s="79">
        <v>1896.64</v>
      </c>
      <c r="BJ57" s="79">
        <v>0</v>
      </c>
      <c r="BK57" s="79">
        <v>0</v>
      </c>
      <c r="BL57" s="79">
        <v>13000</v>
      </c>
      <c r="BM57" s="79">
        <v>0</v>
      </c>
      <c r="BN57" s="79">
        <v>0</v>
      </c>
      <c r="BO57" s="79">
        <v>3852.95</v>
      </c>
      <c r="BP57" s="79">
        <v>0</v>
      </c>
      <c r="BQ57" s="79">
        <v>0</v>
      </c>
      <c r="BR57" s="79">
        <v>0</v>
      </c>
      <c r="BS57" s="79">
        <v>21621.640000000003</v>
      </c>
    </row>
    <row r="58" spans="1:71" ht="15" hidden="1" customHeight="1">
      <c r="A58" s="79" t="s">
        <v>1318</v>
      </c>
      <c r="B58" s="749" t="s">
        <v>144</v>
      </c>
      <c r="C58" s="348"/>
      <c r="D58" s="347" t="str">
        <f>_xlfn.TEXTJOIN("_",FALSE,E58,ERP_8[[#This Row],[Expense Category]],ERP_8[[#This Row],[Project Code*]])</f>
        <v>Dougherty, Chris_CONTRACTORS_IT-MGS0168-OG-US-00</v>
      </c>
      <c r="E58" s="347" t="s">
        <v>1135</v>
      </c>
      <c r="F58" s="348"/>
      <c r="G58" s="150" t="s">
        <v>1136</v>
      </c>
      <c r="H58" s="332" t="s">
        <v>1135</v>
      </c>
      <c r="I58" s="383" t="s">
        <v>1135</v>
      </c>
      <c r="J58" s="331" t="s">
        <v>1137</v>
      </c>
      <c r="K58" s="512" t="s">
        <v>49</v>
      </c>
      <c r="L58" s="393" t="s">
        <v>1319</v>
      </c>
      <c r="M58" s="343"/>
      <c r="N58" s="803"/>
      <c r="O58" s="91" t="s">
        <v>145</v>
      </c>
      <c r="P58" s="346" t="s">
        <v>1139</v>
      </c>
      <c r="Q58" s="343"/>
      <c r="R58" s="348"/>
      <c r="S58" s="386" t="s">
        <v>25</v>
      </c>
      <c r="T58" s="387" t="s">
        <v>1320</v>
      </c>
      <c r="U58" s="432"/>
      <c r="V58" s="358">
        <v>1472196</v>
      </c>
      <c r="W58" s="378">
        <v>0</v>
      </c>
      <c r="X58" s="430"/>
      <c r="Y58" s="137"/>
      <c r="Z58" s="783"/>
      <c r="AA58" s="795"/>
      <c r="AB58" s="795"/>
      <c r="AC58" s="429" t="s">
        <v>1142</v>
      </c>
      <c r="AD58" s="429">
        <v>0</v>
      </c>
      <c r="AE58" s="429">
        <v>0</v>
      </c>
      <c r="AF58" s="429" t="s">
        <v>1142</v>
      </c>
      <c r="AG58" s="388">
        <f>122683-122683</f>
        <v>0</v>
      </c>
      <c r="AH58" s="388">
        <f>122683-122683</f>
        <v>0</v>
      </c>
      <c r="AI58" s="388">
        <f>122683-122683</f>
        <v>0</v>
      </c>
      <c r="AJ58" s="388">
        <f>122683-122683</f>
        <v>0</v>
      </c>
      <c r="AK58" s="388">
        <f>122683-122683</f>
        <v>0</v>
      </c>
      <c r="AL58" s="360">
        <f t="shared" si="2"/>
        <v>0</v>
      </c>
      <c r="AM58" s="362">
        <f>ERP_8[[#This Row],[2026 Working Total]]-ERP_8[[#This Row],[LE2 Final Submission]]</f>
        <v>0</v>
      </c>
      <c r="AN58" s="79">
        <v>0</v>
      </c>
      <c r="AO58" s="79">
        <f t="shared" si="3"/>
        <v>0</v>
      </c>
      <c r="AP58" s="374">
        <f>SUM(ERP_8[[#This Row],[AP01]:[AP07]])-SUM(ERP_8[[#This Row],[AP01 LE2]:[AP07 LE2]])</f>
        <v>0</v>
      </c>
      <c r="AQ58" s="80"/>
      <c r="AR58" s="79">
        <f>ERP_8[[#This Row],[2026 Working Total to Budget/LE]]-ERP_8[[#This Row],[Giveback]]</f>
        <v>0</v>
      </c>
      <c r="AS58" s="81"/>
      <c r="AT58" s="375"/>
      <c r="AU58" s="375"/>
      <c r="AV58" s="375"/>
      <c r="AW58" s="375">
        <v>0</v>
      </c>
      <c r="AX58" s="375">
        <v>0</v>
      </c>
      <c r="AY58" s="375">
        <v>0</v>
      </c>
      <c r="AZ58" s="375">
        <v>0</v>
      </c>
      <c r="BA58" s="375">
        <v>0</v>
      </c>
      <c r="BB58" s="375">
        <v>0</v>
      </c>
      <c r="BC58" s="375">
        <v>0</v>
      </c>
      <c r="BD58" s="375">
        <v>0</v>
      </c>
      <c r="BE58" s="375">
        <v>0</v>
      </c>
      <c r="BF58" s="375">
        <v>0</v>
      </c>
      <c r="BG58" s="103">
        <v>122683</v>
      </c>
      <c r="BH58" s="103">
        <v>122683</v>
      </c>
      <c r="BI58" s="103">
        <v>122683</v>
      </c>
      <c r="BJ58" s="103">
        <v>122683</v>
      </c>
      <c r="BK58" s="103">
        <v>122683</v>
      </c>
      <c r="BL58" s="103">
        <v>122683</v>
      </c>
      <c r="BM58" s="103">
        <v>122683</v>
      </c>
      <c r="BN58" s="103">
        <v>122683</v>
      </c>
      <c r="BO58" s="103">
        <v>122683</v>
      </c>
      <c r="BP58" s="103">
        <v>122683</v>
      </c>
      <c r="BQ58" s="103">
        <v>122683</v>
      </c>
      <c r="BR58" s="103">
        <v>122683</v>
      </c>
      <c r="BS58" s="79">
        <f>SUM(ERP_8[[#This Row],[2026 AP01]:[2026 AP12]])</f>
        <v>1472196</v>
      </c>
    </row>
    <row r="59" spans="1:71" ht="15" hidden="1" customHeight="1">
      <c r="A59" s="79" t="s">
        <v>1321</v>
      </c>
      <c r="B59" s="749" t="s">
        <v>1322</v>
      </c>
      <c r="C59" s="348"/>
      <c r="D59" s="347" t="str">
        <f>_xlfn.TEXTJOIN("_",FALSE,E59,ERP_8[[#This Row],[Expense Category]],ERP_8[[#This Row],[Project Code*]])</f>
        <v>Dougherty, Chris_CONTRACTORS_IT-PGS0057-OG-US-00</v>
      </c>
      <c r="E59" s="347" t="s">
        <v>1135</v>
      </c>
      <c r="F59" s="348"/>
      <c r="G59" s="332" t="s">
        <v>1136</v>
      </c>
      <c r="H59" s="332" t="s">
        <v>1135</v>
      </c>
      <c r="I59" s="332" t="s">
        <v>1165</v>
      </c>
      <c r="J59" s="333" t="s">
        <v>1165</v>
      </c>
      <c r="K59" s="514" t="s">
        <v>49</v>
      </c>
      <c r="L59" s="468" t="s">
        <v>1323</v>
      </c>
      <c r="M59" s="333" t="s">
        <v>1324</v>
      </c>
      <c r="N59" s="801">
        <v>2321403</v>
      </c>
      <c r="O59" s="90" t="s">
        <v>1325</v>
      </c>
      <c r="P59" s="347"/>
      <c r="Q59">
        <v>9501275938</v>
      </c>
      <c r="R59" s="348"/>
      <c r="S59" s="348"/>
      <c r="T59" s="348"/>
      <c r="U59" s="402"/>
      <c r="V59" s="358"/>
      <c r="W59" s="379"/>
      <c r="X59" s="425"/>
      <c r="Y59" s="71"/>
      <c r="Z59" s="784"/>
      <c r="AA59" s="794"/>
      <c r="AB59" s="794"/>
      <c r="AC59" s="429"/>
      <c r="AD59" s="429"/>
      <c r="AE59" s="429"/>
      <c r="AF59" s="429" t="s">
        <v>1142</v>
      </c>
      <c r="AG59" s="363">
        <v>18305</v>
      </c>
      <c r="AH59" s="363">
        <v>16120</v>
      </c>
      <c r="AI59" s="363">
        <v>16120</v>
      </c>
      <c r="AJ59" s="363">
        <v>16120</v>
      </c>
      <c r="AK59" s="363">
        <v>16120</v>
      </c>
      <c r="AL59" s="360">
        <f t="shared" si="2"/>
        <v>82785</v>
      </c>
      <c r="AM59" s="362">
        <f>ERP_8[[#This Row],[2026 Working Total]]-ERP_8[[#This Row],[LE2 Final Submission]]</f>
        <v>82785</v>
      </c>
      <c r="AN59" s="79">
        <v>9500</v>
      </c>
      <c r="AO59" s="79">
        <f t="shared" si="3"/>
        <v>-9500</v>
      </c>
      <c r="AP59" s="374">
        <f>SUM(ERP_8[[#This Row],[AP01]:[AP07]])-SUM(ERP_8[[#This Row],[AP01 LE2]:[AP07 LE2]])</f>
        <v>0</v>
      </c>
      <c r="AQ59" s="80"/>
      <c r="AR59" s="79">
        <f>ERP_8[[#This Row],[2026 Working Total to Budget/LE]]-ERP_8[[#This Row],[Giveback]]</f>
        <v>82785</v>
      </c>
      <c r="AS59" s="81"/>
      <c r="AT59" s="375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</row>
    <row r="60" spans="1:71" ht="15" hidden="1" customHeight="1">
      <c r="A60" s="66" t="s">
        <v>1326</v>
      </c>
      <c r="B60" s="737" t="s">
        <v>146</v>
      </c>
      <c r="C60" s="346"/>
      <c r="D60" s="343" t="str">
        <f>_xlfn.TEXTJOIN("_",FALSE,E60,ERP_8[[#This Row],[Expense Category]],ERP_8[[#This Row],[Project Code*]])</f>
        <v>Dougherty, Chris_CONTRACTORS_MISC001</v>
      </c>
      <c r="E60" s="343" t="s">
        <v>1135</v>
      </c>
      <c r="F60" s="346"/>
      <c r="G60" s="150" t="s">
        <v>1136</v>
      </c>
      <c r="H60" s="150" t="s">
        <v>1135</v>
      </c>
      <c r="I60" s="150" t="s">
        <v>1135</v>
      </c>
      <c r="J60" s="150" t="s">
        <v>1137</v>
      </c>
      <c r="K60" s="511" t="s">
        <v>49</v>
      </c>
      <c r="L60" s="392" t="s">
        <v>1327</v>
      </c>
      <c r="M60" s="343"/>
      <c r="N60" s="804">
        <v>2321402</v>
      </c>
      <c r="O60" s="70" t="s">
        <v>147</v>
      </c>
      <c r="P60" s="346"/>
      <c r="Q60" s="343"/>
      <c r="R60" s="346"/>
      <c r="S60" s="150" t="s">
        <v>25</v>
      </c>
      <c r="T60" s="150"/>
      <c r="U60" s="403"/>
      <c r="V60" s="406">
        <v>0</v>
      </c>
      <c r="W60" s="406">
        <v>-0.11000000000058208</v>
      </c>
      <c r="X60" s="425"/>
      <c r="Y60" s="71"/>
      <c r="Z60" s="784">
        <v>20093.099999999999</v>
      </c>
      <c r="AA60" s="780">
        <v>22504.89</v>
      </c>
      <c r="AB60" s="780">
        <v>-42598.1</v>
      </c>
      <c r="AC60" s="428">
        <v>-0.33</v>
      </c>
      <c r="AD60" s="429">
        <v>0.71</v>
      </c>
      <c r="AE60" s="429">
        <v>-0.03</v>
      </c>
      <c r="AF60" s="429">
        <v>0</v>
      </c>
      <c r="AG60" s="360">
        <v>0</v>
      </c>
      <c r="AH60" s="360">
        <v>0</v>
      </c>
      <c r="AI60" s="360">
        <v>0</v>
      </c>
      <c r="AJ60" s="360">
        <v>0</v>
      </c>
      <c r="AK60" s="360">
        <v>0</v>
      </c>
      <c r="AL60" s="360">
        <f t="shared" si="2"/>
        <v>0.23999999999941787</v>
      </c>
      <c r="AM60" s="362">
        <f>ERP_8[[#This Row],[2026 Working Total]]-ERP_8[[#This Row],[LE2 Final Submission]]</f>
        <v>0.35</v>
      </c>
      <c r="AN60" s="79">
        <v>0</v>
      </c>
      <c r="AO60" s="79">
        <f t="shared" si="3"/>
        <v>-0.03</v>
      </c>
      <c r="AP60" s="374">
        <f>SUM(ERP_8[[#This Row],[AP01]:[AP07]])-SUM(ERP_8[[#This Row],[AP01 LE2]:[AP07 LE2]])</f>
        <v>0.35</v>
      </c>
      <c r="AQ60" s="80"/>
      <c r="AR60" s="79">
        <f>ERP_8[[#This Row],[2026 Working Total to Budget/LE]]-ERP_8[[#This Row],[Giveback]]</f>
        <v>0.35</v>
      </c>
      <c r="AS60" s="81"/>
      <c r="AT60" s="375">
        <v>20093.099999999999</v>
      </c>
      <c r="AU60" s="375">
        <v>22504.89</v>
      </c>
      <c r="AV60" s="375">
        <v>-42598.1</v>
      </c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375">
        <v>0</v>
      </c>
      <c r="BD60" s="375">
        <v>0</v>
      </c>
      <c r="BE60" s="375">
        <v>0</v>
      </c>
      <c r="BF60" s="375">
        <v>-0.11000000000058208</v>
      </c>
      <c r="BG60" s="79">
        <v>20093.099999999999</v>
      </c>
      <c r="BH60" s="79">
        <v>22504.89</v>
      </c>
      <c r="BI60" s="79">
        <v>-42598.1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-0.11000000000058208</v>
      </c>
    </row>
    <row r="61" spans="1:71" ht="15" hidden="1" customHeight="1">
      <c r="A61" s="66" t="s">
        <v>1328</v>
      </c>
      <c r="B61" s="737" t="s">
        <v>1329</v>
      </c>
      <c r="C61" s="346"/>
      <c r="D61" s="343" t="str">
        <f>_xlfn.TEXTJOIN("_",FALSE,E61,ERP_8[[#This Row],[Expense Category]],ERP_8[[#This Row],[Project Code*]])</f>
        <v>Dougherty, Chris_CONTRACTORS_MISC001</v>
      </c>
      <c r="E61" s="343" t="s">
        <v>1135</v>
      </c>
      <c r="F61" s="346"/>
      <c r="G61" s="150" t="s">
        <v>1136</v>
      </c>
      <c r="H61" s="150" t="s">
        <v>1135</v>
      </c>
      <c r="I61" s="150" t="s">
        <v>1137</v>
      </c>
      <c r="J61" s="150" t="s">
        <v>1137</v>
      </c>
      <c r="K61" s="511" t="s">
        <v>49</v>
      </c>
      <c r="L61" s="392" t="s">
        <v>1327</v>
      </c>
      <c r="M61" s="343"/>
      <c r="N61" s="800"/>
      <c r="O61" s="70" t="s">
        <v>147</v>
      </c>
      <c r="P61" s="346"/>
      <c r="Q61" s="343"/>
      <c r="R61" s="346"/>
      <c r="S61" s="150" t="s">
        <v>25</v>
      </c>
      <c r="T61" s="1" t="s">
        <v>1141</v>
      </c>
      <c r="U61" s="403"/>
      <c r="V61" s="406">
        <v>0</v>
      </c>
      <c r="W61" s="406">
        <v>1220.75</v>
      </c>
      <c r="X61" s="425"/>
      <c r="Y61" s="71"/>
      <c r="Z61" s="784">
        <v>669.53</v>
      </c>
      <c r="AA61" s="780">
        <v>7.26</v>
      </c>
      <c r="AB61" s="780">
        <v>543.96</v>
      </c>
      <c r="AC61" s="428">
        <v>129.34999999999997</v>
      </c>
      <c r="AD61" s="429">
        <v>286.95999999999998</v>
      </c>
      <c r="AE61" s="429">
        <v>206.12999999999997</v>
      </c>
      <c r="AF61" s="429">
        <v>258.92999999999995</v>
      </c>
      <c r="AG61" s="360">
        <v>0</v>
      </c>
      <c r="AH61" s="360">
        <v>0</v>
      </c>
      <c r="AI61" s="360">
        <v>0</v>
      </c>
      <c r="AJ61" s="360">
        <v>0</v>
      </c>
      <c r="AK61" s="360">
        <v>0</v>
      </c>
      <c r="AL61" s="360">
        <f t="shared" si="2"/>
        <v>2102.12</v>
      </c>
      <c r="AM61" s="362">
        <f>ERP_8[[#This Row],[2026 Working Total]]-ERP_8[[#This Row],[LE2 Final Submission]]</f>
        <v>881.36999999999989</v>
      </c>
      <c r="AN61" s="79">
        <v>0</v>
      </c>
      <c r="AO61" s="79">
        <f t="shared" si="3"/>
        <v>206.12999999999997</v>
      </c>
      <c r="AP61" s="374">
        <f>SUM(ERP_8[[#This Row],[AP01]:[AP07]])-SUM(ERP_8[[#This Row],[AP01 LE2]:[AP07 LE2]])</f>
        <v>881.36999999999989</v>
      </c>
      <c r="AQ61" s="80"/>
      <c r="AR61" s="79">
        <f>ERP_8[[#This Row],[2026 Working Total to Budget/LE]]-ERP_8[[#This Row],[Giveback]]</f>
        <v>881.36999999999989</v>
      </c>
      <c r="AS61" s="81"/>
      <c r="AT61" s="375">
        <v>669.53</v>
      </c>
      <c r="AU61" s="375">
        <v>7.26</v>
      </c>
      <c r="AV61" s="375">
        <v>543.96</v>
      </c>
      <c r="AW61" s="375">
        <v>0</v>
      </c>
      <c r="AX61" s="375">
        <v>0</v>
      </c>
      <c r="AY61" s="375">
        <v>0</v>
      </c>
      <c r="AZ61" s="375">
        <v>0</v>
      </c>
      <c r="BA61" s="375">
        <v>0</v>
      </c>
      <c r="BB61" s="375">
        <v>0</v>
      </c>
      <c r="BC61" s="375">
        <v>0</v>
      </c>
      <c r="BD61" s="375">
        <v>0</v>
      </c>
      <c r="BE61" s="375">
        <v>0</v>
      </c>
      <c r="BF61" s="375">
        <v>1220.75</v>
      </c>
      <c r="BG61" s="79">
        <v>669.53</v>
      </c>
      <c r="BH61" s="79">
        <v>7.26</v>
      </c>
      <c r="BI61" s="79">
        <v>543.96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0</v>
      </c>
      <c r="BP61" s="79">
        <v>0</v>
      </c>
      <c r="BQ61" s="79">
        <v>0</v>
      </c>
      <c r="BR61" s="79">
        <v>0</v>
      </c>
      <c r="BS61" s="79">
        <v>1220.75</v>
      </c>
    </row>
    <row r="62" spans="1:71" ht="15" customHeight="1">
      <c r="A62" s="66" t="s">
        <v>1330</v>
      </c>
      <c r="B62" s="737" t="s">
        <v>1331</v>
      </c>
      <c r="C62" s="346"/>
      <c r="D62" s="343" t="str">
        <f>_xlfn.TEXTJOIN("_",FALSE,E62,ERP_8[[#This Row],[Expense Category]],ERP_8[[#This Row],[Project Code*]])</f>
        <v>Dougherty, Chris_CONTRACTORS_MISC001</v>
      </c>
      <c r="E62" s="343" t="s">
        <v>1135</v>
      </c>
      <c r="F62" s="346"/>
      <c r="G62" s="150" t="s">
        <v>1136</v>
      </c>
      <c r="H62" s="150" t="s">
        <v>1135</v>
      </c>
      <c r="I62" s="150" t="s">
        <v>1145</v>
      </c>
      <c r="J62" s="150" t="s">
        <v>1137</v>
      </c>
      <c r="K62" s="511" t="s">
        <v>49</v>
      </c>
      <c r="L62" s="778" t="s">
        <v>1327</v>
      </c>
      <c r="M62" s="343"/>
      <c r="N62" s="800" t="s">
        <v>1186</v>
      </c>
      <c r="O62" s="70" t="s">
        <v>147</v>
      </c>
      <c r="P62" s="346"/>
      <c r="Q62" s="343"/>
      <c r="R62" s="346"/>
      <c r="S62" s="150" t="s">
        <v>25</v>
      </c>
      <c r="T62" s="150"/>
      <c r="U62" s="403"/>
      <c r="V62" s="406">
        <v>0</v>
      </c>
      <c r="W62" s="406">
        <v>5030.5599999999995</v>
      </c>
      <c r="X62" s="425"/>
      <c r="Y62" s="71"/>
      <c r="Z62" s="784">
        <v>-0.36</v>
      </c>
      <c r="AA62" s="780">
        <v>0.35</v>
      </c>
      <c r="AB62" s="780">
        <v>5030.57</v>
      </c>
      <c r="AC62" s="428">
        <v>0.46</v>
      </c>
      <c r="AD62" s="429">
        <v>0.34</v>
      </c>
      <c r="AE62" s="429">
        <v>-0.41</v>
      </c>
      <c r="AF62" s="429">
        <v>0</v>
      </c>
      <c r="AG62" s="360">
        <v>0</v>
      </c>
      <c r="AH62" s="360">
        <v>0</v>
      </c>
      <c r="AI62" s="360">
        <v>0</v>
      </c>
      <c r="AJ62" s="360">
        <v>0</v>
      </c>
      <c r="AK62" s="360">
        <v>0</v>
      </c>
      <c r="AL62" s="360">
        <f t="shared" si="2"/>
        <v>5030.95</v>
      </c>
      <c r="AM62" s="362">
        <f>ERP_8[[#This Row],[2026 Working Total]]-ERP_8[[#This Row],[LE2 Final Submission]]</f>
        <v>0.39000000000032742</v>
      </c>
      <c r="AN62" s="79">
        <v>0</v>
      </c>
      <c r="AO62" s="79">
        <f t="shared" si="3"/>
        <v>-0.41</v>
      </c>
      <c r="AP62" s="374">
        <f>SUM(ERP_8[[#This Row],[AP01]:[AP07]])-SUM(ERP_8[[#This Row],[AP01 LE2]:[AP07 LE2]])</f>
        <v>0.39000000000032742</v>
      </c>
      <c r="AQ62" s="80"/>
      <c r="AR62" s="79">
        <f>ERP_8[[#This Row],[2026 Working Total to Budget/LE]]-ERP_8[[#This Row],[Giveback]]</f>
        <v>0.39000000000032742</v>
      </c>
      <c r="AS62" s="81"/>
      <c r="AT62" s="375">
        <v>-0.36</v>
      </c>
      <c r="AU62" s="375">
        <v>0.35</v>
      </c>
      <c r="AV62" s="375">
        <v>5030.57</v>
      </c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0</v>
      </c>
      <c r="BC62" s="375">
        <v>0</v>
      </c>
      <c r="BD62" s="375">
        <v>0</v>
      </c>
      <c r="BE62" s="375">
        <v>0</v>
      </c>
      <c r="BF62" s="375">
        <v>5030.5599999999995</v>
      </c>
      <c r="BG62" s="79">
        <v>-0.36</v>
      </c>
      <c r="BH62" s="79">
        <v>0.35</v>
      </c>
      <c r="BI62" s="79">
        <v>5030.57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0</v>
      </c>
      <c r="BP62" s="79">
        <v>0</v>
      </c>
      <c r="BQ62" s="79">
        <v>0</v>
      </c>
      <c r="BR62" s="79">
        <v>0</v>
      </c>
      <c r="BS62" s="79">
        <v>5030.5599999999995</v>
      </c>
    </row>
    <row r="63" spans="1:71" ht="15" hidden="1" customHeight="1">
      <c r="A63" s="66" t="s">
        <v>1332</v>
      </c>
      <c r="B63" s="737" t="s">
        <v>1333</v>
      </c>
      <c r="C63" s="346"/>
      <c r="D63" s="343" t="str">
        <f>_xlfn.TEXTJOIN("_",FALSE,E63,ERP_8[[#This Row],[Expense Category]],ERP_8[[#This Row],[Project Code*]])</f>
        <v>Dougherty, Chris_CONTRACTORS_MISC001</v>
      </c>
      <c r="E63" s="343" t="s">
        <v>1135</v>
      </c>
      <c r="F63" s="346"/>
      <c r="G63" s="150" t="s">
        <v>1136</v>
      </c>
      <c r="H63" s="150" t="s">
        <v>1135</v>
      </c>
      <c r="I63" s="150" t="s">
        <v>1156</v>
      </c>
      <c r="J63" s="150" t="s">
        <v>1137</v>
      </c>
      <c r="K63" s="511" t="s">
        <v>49</v>
      </c>
      <c r="L63" s="392" t="s">
        <v>1327</v>
      </c>
      <c r="M63" s="343"/>
      <c r="N63" s="804">
        <v>2321511</v>
      </c>
      <c r="O63" s="70" t="s">
        <v>147</v>
      </c>
      <c r="P63" s="346"/>
      <c r="Q63" s="343"/>
      <c r="R63" s="346"/>
      <c r="S63" s="150" t="s">
        <v>25</v>
      </c>
      <c r="T63" s="150" t="s">
        <v>1334</v>
      </c>
      <c r="U63" s="403"/>
      <c r="V63" s="406">
        <v>0</v>
      </c>
      <c r="W63" s="406">
        <v>-0.26</v>
      </c>
      <c r="X63" s="425"/>
      <c r="Y63" s="71"/>
      <c r="Z63" s="784">
        <v>-0.38</v>
      </c>
      <c r="AA63" s="794">
        <v>0.21</v>
      </c>
      <c r="AB63" s="794">
        <v>-0.09</v>
      </c>
      <c r="AC63" s="428">
        <v>0.14000000000000001</v>
      </c>
      <c r="AD63" s="429">
        <v>0.52</v>
      </c>
      <c r="AE63" s="429">
        <v>-0.63</v>
      </c>
      <c r="AF63" s="429">
        <v>0</v>
      </c>
      <c r="AG63" s="360">
        <v>0</v>
      </c>
      <c r="AH63" s="360">
        <v>0</v>
      </c>
      <c r="AI63" s="360">
        <v>0</v>
      </c>
      <c r="AJ63" s="360">
        <v>0</v>
      </c>
      <c r="AK63" s="360">
        <v>0</v>
      </c>
      <c r="AL63" s="360">
        <f t="shared" si="2"/>
        <v>-0.22999999999999998</v>
      </c>
      <c r="AM63" s="362">
        <f>ERP_8[[#This Row],[2026 Working Total]]-ERP_8[[#This Row],[LE2 Final Submission]]</f>
        <v>3.0000000000000027E-2</v>
      </c>
      <c r="AN63" s="79">
        <v>0</v>
      </c>
      <c r="AO63" s="79">
        <f t="shared" si="3"/>
        <v>-0.63</v>
      </c>
      <c r="AP63" s="374">
        <f>SUM(ERP_8[[#This Row],[AP01]:[AP07]])-SUM(ERP_8[[#This Row],[AP01 LE2]:[AP07 LE2]])</f>
        <v>3.0000000000000027E-2</v>
      </c>
      <c r="AQ63" s="80"/>
      <c r="AR63" s="79">
        <f>ERP_8[[#This Row],[2026 Working Total to Budget/LE]]-ERP_8[[#This Row],[Giveback]]</f>
        <v>3.0000000000000027E-2</v>
      </c>
      <c r="AS63" s="81"/>
      <c r="AT63" s="375">
        <v>-0.38</v>
      </c>
      <c r="AU63" s="375">
        <v>0.21</v>
      </c>
      <c r="AV63" s="375">
        <v>-0.09</v>
      </c>
      <c r="AW63" s="375">
        <v>0</v>
      </c>
      <c r="AX63" s="375">
        <v>0</v>
      </c>
      <c r="AY63" s="375">
        <v>0</v>
      </c>
      <c r="AZ63" s="375">
        <v>0</v>
      </c>
      <c r="BA63" s="375">
        <v>0</v>
      </c>
      <c r="BB63" s="375">
        <v>0</v>
      </c>
      <c r="BC63" s="375">
        <v>0</v>
      </c>
      <c r="BD63" s="375">
        <v>0</v>
      </c>
      <c r="BE63" s="375">
        <v>0</v>
      </c>
      <c r="BF63" s="375">
        <v>-0.26</v>
      </c>
      <c r="BG63" s="79">
        <v>-0.38</v>
      </c>
      <c r="BH63" s="79">
        <v>0.21</v>
      </c>
      <c r="BI63" s="79">
        <v>-0.09</v>
      </c>
      <c r="BJ63" s="79">
        <v>0</v>
      </c>
      <c r="BK63" s="79">
        <v>0</v>
      </c>
      <c r="BL63" s="79">
        <v>0</v>
      </c>
      <c r="BM63" s="79">
        <v>0</v>
      </c>
      <c r="BN63" s="79">
        <v>0</v>
      </c>
      <c r="BO63" s="79">
        <v>0</v>
      </c>
      <c r="BP63" s="79">
        <v>0</v>
      </c>
      <c r="BQ63" s="79">
        <v>0</v>
      </c>
      <c r="BR63" s="79">
        <v>0</v>
      </c>
      <c r="BS63" s="79">
        <v>-0.26</v>
      </c>
    </row>
    <row r="64" spans="1:71" ht="15" hidden="1" customHeight="1">
      <c r="A64" s="66" t="s">
        <v>1335</v>
      </c>
      <c r="B64" s="737" t="s">
        <v>1336</v>
      </c>
      <c r="C64" s="346"/>
      <c r="D64" s="343" t="str">
        <f>_xlfn.TEXTJOIN("_",FALSE,E64,ERP_8[[#This Row],[Expense Category]],ERP_8[[#This Row],[Project Code*]])</f>
        <v>Dougherty, Chris_CONTRACTORS_MISC001</v>
      </c>
      <c r="E64" s="343" t="s">
        <v>1135</v>
      </c>
      <c r="F64" s="346"/>
      <c r="G64" s="150" t="s">
        <v>1136</v>
      </c>
      <c r="H64" s="150" t="s">
        <v>1135</v>
      </c>
      <c r="I64" s="150" t="s">
        <v>1165</v>
      </c>
      <c r="J64" s="150" t="s">
        <v>1137</v>
      </c>
      <c r="K64" s="511" t="s">
        <v>49</v>
      </c>
      <c r="L64" s="392" t="s">
        <v>1327</v>
      </c>
      <c r="M64" s="343"/>
      <c r="N64" s="800" t="s">
        <v>1337</v>
      </c>
      <c r="O64" s="70" t="s">
        <v>147</v>
      </c>
      <c r="P64" s="346"/>
      <c r="Q64" s="343"/>
      <c r="R64" s="346"/>
      <c r="S64" s="150" t="s">
        <v>25</v>
      </c>
      <c r="T64" s="482" t="s">
        <v>1338</v>
      </c>
      <c r="U64" s="403"/>
      <c r="V64" s="406">
        <v>0</v>
      </c>
      <c r="W64" s="406">
        <v>0.35000000000000003</v>
      </c>
      <c r="X64" s="425"/>
      <c r="Y64" s="71"/>
      <c r="Z64" s="784"/>
      <c r="AA64" s="794">
        <v>0.01</v>
      </c>
      <c r="AB64" s="794">
        <v>0.34</v>
      </c>
      <c r="AC64" s="429">
        <v>-0.67</v>
      </c>
      <c r="AD64" s="429">
        <v>0.2</v>
      </c>
      <c r="AE64" s="429">
        <v>8111.01</v>
      </c>
      <c r="AF64" s="429">
        <v>8111.45</v>
      </c>
      <c r="AG64" s="360">
        <v>0</v>
      </c>
      <c r="AH64" s="360">
        <v>0</v>
      </c>
      <c r="AI64" s="360">
        <v>0</v>
      </c>
      <c r="AJ64" s="360">
        <v>0</v>
      </c>
      <c r="AK64" s="360">
        <v>0</v>
      </c>
      <c r="AL64" s="360">
        <f t="shared" si="2"/>
        <v>16222.34</v>
      </c>
      <c r="AM64" s="362">
        <f>ERP_8[[#This Row],[2026 Working Total]]-ERP_8[[#This Row],[LE2 Final Submission]]</f>
        <v>16221.99</v>
      </c>
      <c r="AN64" s="79">
        <v>0</v>
      </c>
      <c r="AO64" s="79">
        <f t="shared" si="3"/>
        <v>8111.01</v>
      </c>
      <c r="AP64" s="374">
        <f>SUM(ERP_8[[#This Row],[AP01]:[AP07]])-SUM(ERP_8[[#This Row],[AP01 LE2]:[AP07 LE2]])</f>
        <v>16221.99</v>
      </c>
      <c r="AQ64" s="80"/>
      <c r="AR64" s="79">
        <f>ERP_8[[#This Row],[2026 Working Total to Budget/LE]]-ERP_8[[#This Row],[Giveback]]</f>
        <v>16221.99</v>
      </c>
      <c r="AS64" s="81"/>
      <c r="AT64" s="375"/>
      <c r="AU64" s="375">
        <v>0.01</v>
      </c>
      <c r="AV64" s="375">
        <v>0.34</v>
      </c>
      <c r="AW64" s="375">
        <v>0</v>
      </c>
      <c r="AX64" s="375">
        <v>0</v>
      </c>
      <c r="AY64" s="375">
        <v>0</v>
      </c>
      <c r="AZ64" s="375">
        <v>0</v>
      </c>
      <c r="BA64" s="375">
        <v>0</v>
      </c>
      <c r="BB64" s="375">
        <v>0</v>
      </c>
      <c r="BC64" s="375">
        <v>0</v>
      </c>
      <c r="BD64" s="375">
        <v>0</v>
      </c>
      <c r="BE64" s="375">
        <v>0</v>
      </c>
      <c r="BF64" s="375">
        <v>0.35000000000000003</v>
      </c>
      <c r="BG64" s="79"/>
      <c r="BH64" s="79">
        <v>0.01</v>
      </c>
      <c r="BI64" s="79">
        <v>0.34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0</v>
      </c>
      <c r="BP64" s="79">
        <v>0</v>
      </c>
      <c r="BQ64" s="79">
        <v>0</v>
      </c>
      <c r="BR64" s="79">
        <v>0</v>
      </c>
      <c r="BS64" s="79">
        <v>0.35000000000000003</v>
      </c>
    </row>
    <row r="65" spans="1:71" ht="15" hidden="1" customHeight="1">
      <c r="A65" s="66" t="s">
        <v>1339</v>
      </c>
      <c r="B65" s="737" t="s">
        <v>148</v>
      </c>
      <c r="C65" s="346"/>
      <c r="D65" s="343" t="str">
        <f>_xlfn.TEXTJOIN("_",FALSE,E65,ERP_8[[#This Row],[Expense Category]],ERP_8[[#This Row],[Project Code*]])</f>
        <v>Dougherty, Chris_CONTRACTORS_POClosure001</v>
      </c>
      <c r="E65" s="343" t="s">
        <v>1135</v>
      </c>
      <c r="F65" s="346"/>
      <c r="G65" s="150" t="s">
        <v>1136</v>
      </c>
      <c r="H65" s="150" t="s">
        <v>1135</v>
      </c>
      <c r="I65" s="150" t="s">
        <v>1135</v>
      </c>
      <c r="J65" s="150" t="s">
        <v>1137</v>
      </c>
      <c r="K65" s="511" t="s">
        <v>49</v>
      </c>
      <c r="L65" s="392" t="s">
        <v>1340</v>
      </c>
      <c r="M65" s="343"/>
      <c r="N65" s="804">
        <v>2321402</v>
      </c>
      <c r="O65" s="70" t="s">
        <v>149</v>
      </c>
      <c r="P65" s="346" t="s">
        <v>1139</v>
      </c>
      <c r="Q65" s="343"/>
      <c r="R65" s="346"/>
      <c r="S65" s="150" t="s">
        <v>25</v>
      </c>
      <c r="T65" s="150"/>
      <c r="U65" s="403"/>
      <c r="V65" s="406">
        <v>0</v>
      </c>
      <c r="W65" s="406">
        <v>-16166.66</v>
      </c>
      <c r="X65" s="425"/>
      <c r="Y65" s="71"/>
      <c r="Z65" s="784">
        <v>0.34</v>
      </c>
      <c r="AA65" s="780">
        <v>-10499.16</v>
      </c>
      <c r="AB65" s="780">
        <v>-5667.84</v>
      </c>
      <c r="AC65" s="428">
        <v>0</v>
      </c>
      <c r="AD65" s="429">
        <v>0</v>
      </c>
      <c r="AE65" s="429">
        <v>0</v>
      </c>
      <c r="AF65" s="429">
        <v>0</v>
      </c>
      <c r="AG65" s="360">
        <v>0</v>
      </c>
      <c r="AH65" s="360">
        <v>0</v>
      </c>
      <c r="AI65" s="360">
        <v>0</v>
      </c>
      <c r="AJ65" s="360">
        <v>0</v>
      </c>
      <c r="AK65" s="360">
        <v>0</v>
      </c>
      <c r="AL65" s="360">
        <f t="shared" si="2"/>
        <v>-16166.66</v>
      </c>
      <c r="AM65" s="362">
        <f>ERP_8[[#This Row],[2026 Working Total]]-ERP_8[[#This Row],[LE2 Final Submission]]</f>
        <v>0</v>
      </c>
      <c r="AN65" s="79">
        <v>0</v>
      </c>
      <c r="AO65" s="79">
        <f t="shared" si="3"/>
        <v>0</v>
      </c>
      <c r="AP65" s="374">
        <f>SUM(ERP_8[[#This Row],[AP01]:[AP07]])-SUM(ERP_8[[#This Row],[AP01 LE2]:[AP07 LE2]])</f>
        <v>0</v>
      </c>
      <c r="AQ65" s="80"/>
      <c r="AR65" s="79">
        <f>ERP_8[[#This Row],[2026 Working Total to Budget/LE]]-ERP_8[[#This Row],[Giveback]]</f>
        <v>0</v>
      </c>
      <c r="AS65" s="81"/>
      <c r="AT65" s="375">
        <v>0.34</v>
      </c>
      <c r="AU65" s="375">
        <v>-10499.16</v>
      </c>
      <c r="AV65" s="375">
        <v>-5667.84</v>
      </c>
      <c r="AW65" s="375">
        <v>0</v>
      </c>
      <c r="AX65" s="375">
        <v>0</v>
      </c>
      <c r="AY65" s="375">
        <v>0</v>
      </c>
      <c r="AZ65" s="375">
        <v>0</v>
      </c>
      <c r="BA65" s="375">
        <v>0</v>
      </c>
      <c r="BB65" s="375">
        <v>0</v>
      </c>
      <c r="BC65" s="375">
        <v>0</v>
      </c>
      <c r="BD65" s="375">
        <v>0</v>
      </c>
      <c r="BE65" s="375">
        <v>0</v>
      </c>
      <c r="BF65" s="375">
        <v>-16166.66</v>
      </c>
      <c r="BG65" s="79">
        <v>0.34</v>
      </c>
      <c r="BH65" s="79">
        <v>-10499.16</v>
      </c>
      <c r="BI65" s="79">
        <v>-5667.84</v>
      </c>
      <c r="BJ65" s="79">
        <v>0</v>
      </c>
      <c r="BK65" s="79">
        <v>0</v>
      </c>
      <c r="BL65" s="79">
        <v>0</v>
      </c>
      <c r="BM65" s="79">
        <v>0</v>
      </c>
      <c r="BN65" s="79">
        <v>0</v>
      </c>
      <c r="BO65" s="79">
        <v>0</v>
      </c>
      <c r="BP65" s="79">
        <v>0</v>
      </c>
      <c r="BQ65" s="79">
        <v>0</v>
      </c>
      <c r="BR65" s="79">
        <v>0</v>
      </c>
      <c r="BS65" s="79">
        <v>-16166.66</v>
      </c>
    </row>
    <row r="66" spans="1:71" ht="15" hidden="1" customHeight="1">
      <c r="A66" s="66" t="s">
        <v>1341</v>
      </c>
      <c r="B66" s="737" t="s">
        <v>1342</v>
      </c>
      <c r="C66" s="346"/>
      <c r="D66" s="343" t="str">
        <f>_xlfn.TEXTJOIN("_",FALSE,E66,ERP_8[[#This Row],[Expense Category]],ERP_8[[#This Row],[Project Code*]])</f>
        <v>Dougherty, Chris_CONTRACTORS_POClosure001</v>
      </c>
      <c r="E66" s="343" t="s">
        <v>1135</v>
      </c>
      <c r="F66" s="346"/>
      <c r="G66" s="150" t="s">
        <v>1136</v>
      </c>
      <c r="H66" s="150" t="s">
        <v>1135</v>
      </c>
      <c r="I66" s="150" t="s">
        <v>1156</v>
      </c>
      <c r="J66" s="150" t="s">
        <v>1137</v>
      </c>
      <c r="K66" s="511" t="s">
        <v>49</v>
      </c>
      <c r="L66" s="392" t="s">
        <v>1340</v>
      </c>
      <c r="M66" s="343"/>
      <c r="N66" s="804">
        <v>2321511</v>
      </c>
      <c r="O66" s="70" t="s">
        <v>149</v>
      </c>
      <c r="P66" s="346" t="s">
        <v>1139</v>
      </c>
      <c r="Q66" s="343"/>
      <c r="R66" s="346"/>
      <c r="S66" s="150" t="s">
        <v>25</v>
      </c>
      <c r="T66" s="150"/>
      <c r="U66" s="403"/>
      <c r="V66" s="406">
        <v>0</v>
      </c>
      <c r="W66" s="406">
        <v>-14694</v>
      </c>
      <c r="X66" s="425"/>
      <c r="Y66" s="425"/>
      <c r="Z66" s="784"/>
      <c r="AA66" s="794"/>
      <c r="AB66" s="794">
        <v>-14694</v>
      </c>
      <c r="AC66" s="428">
        <v>0</v>
      </c>
      <c r="AD66" s="429">
        <v>0</v>
      </c>
      <c r="AE66" s="429">
        <v>0</v>
      </c>
      <c r="AF66" s="429">
        <v>0</v>
      </c>
      <c r="AG66" s="360">
        <v>0</v>
      </c>
      <c r="AH66" s="360">
        <v>0</v>
      </c>
      <c r="AI66" s="360">
        <v>0</v>
      </c>
      <c r="AJ66" s="360">
        <v>0</v>
      </c>
      <c r="AK66" s="360">
        <v>0</v>
      </c>
      <c r="AL66" s="360">
        <f t="shared" si="2"/>
        <v>-14694</v>
      </c>
      <c r="AM66" s="362">
        <f>ERP_8[[#This Row],[2026 Working Total]]-ERP_8[[#This Row],[LE2 Final Submission]]</f>
        <v>0</v>
      </c>
      <c r="AN66" s="79">
        <v>0</v>
      </c>
      <c r="AO66" s="79">
        <f t="shared" si="3"/>
        <v>0</v>
      </c>
      <c r="AP66" s="374">
        <f>SUM(ERP_8[[#This Row],[AP01]:[AP07]])-SUM(ERP_8[[#This Row],[AP01 LE2]:[AP07 LE2]])</f>
        <v>0</v>
      </c>
      <c r="AQ66" s="80"/>
      <c r="AR66" s="79">
        <f>ERP_8[[#This Row],[2026 Working Total to Budget/LE]]-ERP_8[[#This Row],[Giveback]]</f>
        <v>0</v>
      </c>
      <c r="AS66" s="81"/>
      <c r="AT66" s="375"/>
      <c r="AU66" s="375"/>
      <c r="AV66" s="375">
        <v>-14694</v>
      </c>
      <c r="AW66" s="375">
        <v>0</v>
      </c>
      <c r="AX66" s="375">
        <v>0</v>
      </c>
      <c r="AY66" s="375">
        <v>0</v>
      </c>
      <c r="AZ66" s="375">
        <v>0</v>
      </c>
      <c r="BA66" s="375">
        <v>0</v>
      </c>
      <c r="BB66" s="375">
        <v>0</v>
      </c>
      <c r="BC66" s="375">
        <v>0</v>
      </c>
      <c r="BD66" s="375">
        <v>0</v>
      </c>
      <c r="BE66" s="375">
        <v>0</v>
      </c>
      <c r="BF66" s="375">
        <v>-14694</v>
      </c>
      <c r="BG66" s="79"/>
      <c r="BH66" s="79"/>
      <c r="BI66" s="79">
        <v>-14694</v>
      </c>
      <c r="BJ66" s="79">
        <v>0</v>
      </c>
      <c r="BK66" s="79">
        <v>0</v>
      </c>
      <c r="BL66" s="79">
        <v>0</v>
      </c>
      <c r="BM66" s="79">
        <v>0</v>
      </c>
      <c r="BN66" s="79">
        <v>0</v>
      </c>
      <c r="BO66" s="79">
        <v>0</v>
      </c>
      <c r="BP66" s="79">
        <v>0</v>
      </c>
      <c r="BQ66" s="79">
        <v>0</v>
      </c>
      <c r="BR66" s="79">
        <v>0</v>
      </c>
      <c r="BS66" s="79">
        <v>-14694</v>
      </c>
    </row>
    <row r="67" spans="1:71" ht="15" hidden="1" customHeight="1">
      <c r="A67" s="79" t="s">
        <v>1343</v>
      </c>
      <c r="B67" s="749" t="s">
        <v>150</v>
      </c>
      <c r="C67" s="348"/>
      <c r="D67" s="347" t="str">
        <f>_xlfn.TEXTJOIN("_",FALSE,E67,ERP_8[[#This Row],[Expense Category]],ERP_8[[#This Row],[Project Code*]])</f>
        <v>Ganesan, Srinivasan_CONTRACTORS_2026-XFR-0023-A</v>
      </c>
      <c r="E67" s="347" t="s">
        <v>1344</v>
      </c>
      <c r="F67" s="348"/>
      <c r="G67" s="150" t="s">
        <v>1136</v>
      </c>
      <c r="H67" s="332" t="s">
        <v>1345</v>
      </c>
      <c r="I67" s="383" t="s">
        <v>1344</v>
      </c>
      <c r="J67" s="331" t="s">
        <v>1346</v>
      </c>
      <c r="K67" s="512" t="s">
        <v>49</v>
      </c>
      <c r="L67" s="393" t="s">
        <v>1347</v>
      </c>
      <c r="M67" s="343"/>
      <c r="N67" s="803"/>
      <c r="O67" s="91" t="s">
        <v>151</v>
      </c>
      <c r="P67" s="343"/>
      <c r="Q67" s="343"/>
      <c r="R67" s="348"/>
      <c r="S67" s="386" t="s">
        <v>152</v>
      </c>
      <c r="T67" s="387" t="s">
        <v>1348</v>
      </c>
      <c r="U67" s="432"/>
      <c r="V67" s="358">
        <v>70000.000000000015</v>
      </c>
      <c r="W67" s="378">
        <v>0</v>
      </c>
      <c r="X67" s="425"/>
      <c r="Y67" s="71"/>
      <c r="Z67" s="783"/>
      <c r="AA67" s="781"/>
      <c r="AB67" s="781"/>
      <c r="AC67" s="428" t="s">
        <v>1142</v>
      </c>
      <c r="AD67" s="429">
        <v>0</v>
      </c>
      <c r="AE67" s="429">
        <v>0</v>
      </c>
      <c r="AF67" s="429" t="s">
        <v>1142</v>
      </c>
      <c r="AG67" s="388">
        <v>0</v>
      </c>
      <c r="AH67" s="388">
        <v>0</v>
      </c>
      <c r="AI67" s="388">
        <v>0</v>
      </c>
      <c r="AJ67" s="388">
        <v>0</v>
      </c>
      <c r="AK67" s="388">
        <v>0</v>
      </c>
      <c r="AL67" s="360">
        <f t="shared" si="2"/>
        <v>0</v>
      </c>
      <c r="AM67" s="362">
        <f>ERP_8[[#This Row],[2026 Working Total]]-ERP_8[[#This Row],[LE2 Final Submission]]</f>
        <v>0</v>
      </c>
      <c r="AN67" s="79">
        <v>0</v>
      </c>
      <c r="AO67" s="79">
        <f t="shared" si="3"/>
        <v>0</v>
      </c>
      <c r="AP67" s="374">
        <f>SUM(ERP_8[[#This Row],[AP01]:[AP07]])-SUM(ERP_8[[#This Row],[AP01 LE2]:[AP07 LE2]])</f>
        <v>0</v>
      </c>
      <c r="AQ67" s="80">
        <v>70000</v>
      </c>
      <c r="AR67" s="79">
        <f>ERP_8[[#This Row],[2026 Working Total to Budget/LE]]-ERP_8[[#This Row],[Giveback]]</f>
        <v>-70000</v>
      </c>
      <c r="AS67" s="81" t="s">
        <v>1349</v>
      </c>
      <c r="AT67" s="375"/>
      <c r="AU67" s="375"/>
      <c r="AV67" s="375"/>
      <c r="AW67" s="375">
        <v>0</v>
      </c>
      <c r="AX67" s="375">
        <v>0</v>
      </c>
      <c r="AY67" s="375">
        <v>0</v>
      </c>
      <c r="AZ67" s="375">
        <v>0</v>
      </c>
      <c r="BA67" s="375">
        <v>0</v>
      </c>
      <c r="BB67" s="375">
        <v>0</v>
      </c>
      <c r="BC67" s="375">
        <v>0</v>
      </c>
      <c r="BD67" s="375">
        <v>0</v>
      </c>
      <c r="BE67" s="375">
        <v>0</v>
      </c>
      <c r="BF67" s="375">
        <v>0</v>
      </c>
      <c r="BG67" s="103">
        <v>5833.37</v>
      </c>
      <c r="BH67" s="103">
        <v>5833.33</v>
      </c>
      <c r="BI67" s="103">
        <v>5833.33</v>
      </c>
      <c r="BJ67" s="103">
        <v>5833.33</v>
      </c>
      <c r="BK67" s="103">
        <v>5833.33</v>
      </c>
      <c r="BL67" s="103">
        <v>5833.33</v>
      </c>
      <c r="BM67" s="103">
        <v>5833.33</v>
      </c>
      <c r="BN67" s="103">
        <v>5833.33</v>
      </c>
      <c r="BO67" s="103">
        <v>5833.33</v>
      </c>
      <c r="BP67" s="103">
        <v>5833.33</v>
      </c>
      <c r="BQ67" s="103">
        <v>5833.33</v>
      </c>
      <c r="BR67" s="103">
        <v>5833.33</v>
      </c>
      <c r="BS67" s="79">
        <f>SUM(ERP_8[[#This Row],[2026 AP01]:[2026 AP12]])</f>
        <v>70000.000000000015</v>
      </c>
    </row>
    <row r="68" spans="1:71" ht="15" hidden="1" customHeight="1">
      <c r="A68" s="79" t="s">
        <v>1350</v>
      </c>
      <c r="B68" s="749" t="s">
        <v>153</v>
      </c>
      <c r="C68" s="348"/>
      <c r="D68" s="347" t="str">
        <f>_xlfn.TEXTJOIN("_",FALSE,E68,ERP_8[[#This Row],[Expense Category]],ERP_8[[#This Row],[Project Code*]])</f>
        <v>Ganesan, Srinivasan_CONTRACTORS_2026-XFR-0024-A</v>
      </c>
      <c r="E68" s="347" t="s">
        <v>1344</v>
      </c>
      <c r="F68" s="348"/>
      <c r="G68" s="150" t="s">
        <v>1136</v>
      </c>
      <c r="H68" s="332" t="s">
        <v>1345</v>
      </c>
      <c r="I68" s="383" t="s">
        <v>1344</v>
      </c>
      <c r="J68" s="331" t="s">
        <v>1346</v>
      </c>
      <c r="K68" s="512" t="s">
        <v>49</v>
      </c>
      <c r="L68" s="393" t="s">
        <v>1351</v>
      </c>
      <c r="M68" s="343"/>
      <c r="N68" s="803"/>
      <c r="O68" s="91" t="s">
        <v>154</v>
      </c>
      <c r="P68" s="343"/>
      <c r="Q68" s="343"/>
      <c r="R68" s="348"/>
      <c r="S68" s="386" t="s">
        <v>152</v>
      </c>
      <c r="T68" s="387" t="s">
        <v>1352</v>
      </c>
      <c r="U68" s="432"/>
      <c r="V68" s="358">
        <v>120000</v>
      </c>
      <c r="W68" s="378">
        <v>0</v>
      </c>
      <c r="X68" s="425"/>
      <c r="Y68" s="71"/>
      <c r="Z68" s="783"/>
      <c r="AA68" s="781"/>
      <c r="AB68" s="781"/>
      <c r="AC68" s="428" t="s">
        <v>1142</v>
      </c>
      <c r="AD68" s="429">
        <v>0</v>
      </c>
      <c r="AE68" s="429">
        <v>0</v>
      </c>
      <c r="AF68" s="429" t="s">
        <v>1142</v>
      </c>
      <c r="AG68" s="388">
        <v>0</v>
      </c>
      <c r="AH68" s="388">
        <v>0</v>
      </c>
      <c r="AI68" s="388">
        <v>0</v>
      </c>
      <c r="AJ68" s="388">
        <v>0</v>
      </c>
      <c r="AK68" s="388">
        <v>0</v>
      </c>
      <c r="AL68" s="360">
        <f t="shared" si="2"/>
        <v>0</v>
      </c>
      <c r="AM68" s="362">
        <f>ERP_8[[#This Row],[2026 Working Total]]-ERP_8[[#This Row],[LE2 Final Submission]]</f>
        <v>0</v>
      </c>
      <c r="AN68" s="79">
        <v>0</v>
      </c>
      <c r="AO68" s="79">
        <f t="shared" si="3"/>
        <v>0</v>
      </c>
      <c r="AP68" s="374">
        <f>SUM(ERP_8[[#This Row],[AP01]:[AP07]])-SUM(ERP_8[[#This Row],[AP01 LE2]:[AP07 LE2]])</f>
        <v>0</v>
      </c>
      <c r="AQ68" s="80">
        <v>120000</v>
      </c>
      <c r="AR68" s="79">
        <f>ERP_8[[#This Row],[2026 Working Total to Budget/LE]]-ERP_8[[#This Row],[Giveback]]</f>
        <v>-120000</v>
      </c>
      <c r="AS68" s="81" t="s">
        <v>1349</v>
      </c>
      <c r="AT68" s="375"/>
      <c r="AU68" s="375"/>
      <c r="AV68" s="375"/>
      <c r="AW68" s="375">
        <v>0</v>
      </c>
      <c r="AX68" s="375">
        <v>0</v>
      </c>
      <c r="AY68" s="375">
        <v>0</v>
      </c>
      <c r="AZ68" s="375">
        <v>0</v>
      </c>
      <c r="BA68" s="375">
        <v>0</v>
      </c>
      <c r="BB68" s="375">
        <v>0</v>
      </c>
      <c r="BC68" s="375">
        <v>0</v>
      </c>
      <c r="BD68" s="375">
        <v>0</v>
      </c>
      <c r="BE68" s="375">
        <v>0</v>
      </c>
      <c r="BF68" s="375">
        <v>0</v>
      </c>
      <c r="BG68" s="103">
        <v>10000</v>
      </c>
      <c r="BH68" s="103">
        <v>10000</v>
      </c>
      <c r="BI68" s="103">
        <v>10000</v>
      </c>
      <c r="BJ68" s="103">
        <v>10000</v>
      </c>
      <c r="BK68" s="103">
        <v>10000</v>
      </c>
      <c r="BL68" s="103">
        <v>10000</v>
      </c>
      <c r="BM68" s="103">
        <v>10000</v>
      </c>
      <c r="BN68" s="103">
        <v>10000</v>
      </c>
      <c r="BO68" s="103">
        <v>10000</v>
      </c>
      <c r="BP68" s="103">
        <v>10000</v>
      </c>
      <c r="BQ68" s="103">
        <v>10000</v>
      </c>
      <c r="BR68" s="103">
        <v>10000</v>
      </c>
      <c r="BS68" s="79">
        <f>SUM(ERP_8[[#This Row],[2026 AP01]:[2026 AP12]])</f>
        <v>120000</v>
      </c>
    </row>
    <row r="69" spans="1:71" ht="15" hidden="1" customHeight="1">
      <c r="A69" s="79" t="s">
        <v>1353</v>
      </c>
      <c r="B69" s="749" t="s">
        <v>155</v>
      </c>
      <c r="C69" s="348"/>
      <c r="D69" s="347" t="str">
        <f>_xlfn.TEXTJOIN("_",FALSE,E69,ERP_8[[#This Row],[Expense Category]],ERP_8[[#This Row],[Project Code*]])</f>
        <v>Ganesan, Srinivasan_CONTRACTORS_2026-XFR-0043-A</v>
      </c>
      <c r="E69" s="347" t="s">
        <v>1344</v>
      </c>
      <c r="F69" s="348"/>
      <c r="G69" s="150" t="s">
        <v>1136</v>
      </c>
      <c r="H69" s="332" t="s">
        <v>1345</v>
      </c>
      <c r="I69" s="383" t="s">
        <v>1344</v>
      </c>
      <c r="J69" s="331" t="s">
        <v>1346</v>
      </c>
      <c r="K69" s="512" t="s">
        <v>49</v>
      </c>
      <c r="L69" s="393" t="s">
        <v>1354</v>
      </c>
      <c r="M69" s="343"/>
      <c r="N69" s="803"/>
      <c r="O69" s="91" t="s">
        <v>156</v>
      </c>
      <c r="P69" s="343"/>
      <c r="Q69" s="343"/>
      <c r="R69" s="348"/>
      <c r="S69" s="386" t="s">
        <v>152</v>
      </c>
      <c r="T69" s="387" t="s">
        <v>1348</v>
      </c>
      <c r="U69" s="432"/>
      <c r="V69" s="358">
        <v>70000.000000000015</v>
      </c>
      <c r="W69" s="378">
        <v>0</v>
      </c>
      <c r="X69" s="430"/>
      <c r="Y69" s="137"/>
      <c r="Z69" s="783"/>
      <c r="AA69" s="795"/>
      <c r="AB69" s="795"/>
      <c r="AC69" s="429" t="s">
        <v>1142</v>
      </c>
      <c r="AD69" s="429">
        <v>0</v>
      </c>
      <c r="AE69" s="429">
        <v>0</v>
      </c>
      <c r="AF69" s="429" t="s">
        <v>1142</v>
      </c>
      <c r="AG69" s="388">
        <v>0</v>
      </c>
      <c r="AH69" s="388">
        <v>0</v>
      </c>
      <c r="AI69" s="388">
        <v>0</v>
      </c>
      <c r="AJ69" s="388">
        <v>0</v>
      </c>
      <c r="AK69" s="388">
        <v>0</v>
      </c>
      <c r="AL69" s="360">
        <f t="shared" si="2"/>
        <v>0</v>
      </c>
      <c r="AM69" s="362">
        <f>ERP_8[[#This Row],[2026 Working Total]]-ERP_8[[#This Row],[LE2 Final Submission]]</f>
        <v>0</v>
      </c>
      <c r="AN69" s="79">
        <v>0</v>
      </c>
      <c r="AO69" s="79">
        <f t="shared" si="3"/>
        <v>0</v>
      </c>
      <c r="AP69" s="374">
        <f>SUM(ERP_8[[#This Row],[AP01]:[AP07]])-SUM(ERP_8[[#This Row],[AP01 LE2]:[AP07 LE2]])</f>
        <v>0</v>
      </c>
      <c r="AQ69" s="80">
        <v>70000</v>
      </c>
      <c r="AR69" s="79">
        <f>ERP_8[[#This Row],[2026 Working Total to Budget/LE]]-ERP_8[[#This Row],[Giveback]]</f>
        <v>-70000</v>
      </c>
      <c r="AS69" s="81" t="s">
        <v>1349</v>
      </c>
      <c r="AT69" s="375"/>
      <c r="AU69" s="375"/>
      <c r="AV69" s="375"/>
      <c r="AW69" s="375">
        <v>0</v>
      </c>
      <c r="AX69" s="375">
        <v>0</v>
      </c>
      <c r="AY69" s="375">
        <v>0</v>
      </c>
      <c r="AZ69" s="375">
        <v>0</v>
      </c>
      <c r="BA69" s="375">
        <v>0</v>
      </c>
      <c r="BB69" s="375">
        <v>0</v>
      </c>
      <c r="BC69" s="375">
        <v>0</v>
      </c>
      <c r="BD69" s="375">
        <v>0</v>
      </c>
      <c r="BE69" s="375">
        <v>0</v>
      </c>
      <c r="BF69" s="375">
        <v>0</v>
      </c>
      <c r="BG69" s="103">
        <v>5833.37</v>
      </c>
      <c r="BH69" s="103">
        <v>5833.33</v>
      </c>
      <c r="BI69" s="103">
        <v>5833.33</v>
      </c>
      <c r="BJ69" s="103">
        <v>5833.33</v>
      </c>
      <c r="BK69" s="103">
        <v>5833.33</v>
      </c>
      <c r="BL69" s="103">
        <v>5833.33</v>
      </c>
      <c r="BM69" s="103">
        <v>5833.33</v>
      </c>
      <c r="BN69" s="103">
        <v>5833.33</v>
      </c>
      <c r="BO69" s="103">
        <v>5833.33</v>
      </c>
      <c r="BP69" s="103">
        <v>5833.33</v>
      </c>
      <c r="BQ69" s="103">
        <v>5833.33</v>
      </c>
      <c r="BR69" s="103">
        <v>5833.33</v>
      </c>
      <c r="BS69" s="79">
        <f>SUM(ERP_8[[#This Row],[2026 AP01]:[2026 AP12]])</f>
        <v>70000.000000000015</v>
      </c>
    </row>
    <row r="70" spans="1:71" ht="15" hidden="1" customHeight="1">
      <c r="A70" s="79" t="s">
        <v>1355</v>
      </c>
      <c r="B70" s="749" t="s">
        <v>157</v>
      </c>
      <c r="C70" s="348"/>
      <c r="D70" s="347" t="str">
        <f>_xlfn.TEXTJOIN("_",FALSE,E70,ERP_8[[#This Row],[Expense Category]],ERP_8[[#This Row],[Project Code*]])</f>
        <v>Ganesan, Srinivasan_CONTRACTORS_2026-XFR-0051-A</v>
      </c>
      <c r="E70" s="347" t="s">
        <v>1344</v>
      </c>
      <c r="F70" s="348"/>
      <c r="G70" s="150" t="s">
        <v>1136</v>
      </c>
      <c r="H70" s="332" t="s">
        <v>1345</v>
      </c>
      <c r="I70" s="383" t="s">
        <v>1344</v>
      </c>
      <c r="J70" s="331" t="s">
        <v>1346</v>
      </c>
      <c r="K70" s="512" t="s">
        <v>49</v>
      </c>
      <c r="L70" s="393" t="s">
        <v>1356</v>
      </c>
      <c r="M70" s="343"/>
      <c r="N70" s="803"/>
      <c r="O70" s="91" t="s">
        <v>158</v>
      </c>
      <c r="P70" s="343"/>
      <c r="Q70" s="343"/>
      <c r="R70" s="348"/>
      <c r="S70" s="386" t="s">
        <v>152</v>
      </c>
      <c r="T70" s="387" t="s">
        <v>1348</v>
      </c>
      <c r="U70" s="432"/>
      <c r="V70" s="358">
        <v>140000</v>
      </c>
      <c r="W70" s="378">
        <v>0</v>
      </c>
      <c r="X70" s="425"/>
      <c r="Y70" s="71"/>
      <c r="Z70" s="783"/>
      <c r="AA70" s="781"/>
      <c r="AB70" s="781"/>
      <c r="AC70" s="428" t="s">
        <v>1142</v>
      </c>
      <c r="AD70" s="429">
        <v>0</v>
      </c>
      <c r="AE70" s="429">
        <v>0</v>
      </c>
      <c r="AF70" s="429" t="s">
        <v>1142</v>
      </c>
      <c r="AG70" s="388">
        <v>0</v>
      </c>
      <c r="AH70" s="388">
        <v>0</v>
      </c>
      <c r="AI70" s="388">
        <v>0</v>
      </c>
      <c r="AJ70" s="388">
        <v>0</v>
      </c>
      <c r="AK70" s="388">
        <v>0</v>
      </c>
      <c r="AL70" s="360">
        <f t="shared" si="2"/>
        <v>0</v>
      </c>
      <c r="AM70" s="362">
        <f>ERP_8[[#This Row],[2026 Working Total]]-ERP_8[[#This Row],[LE2 Final Submission]]</f>
        <v>0</v>
      </c>
      <c r="AN70" s="79">
        <v>0</v>
      </c>
      <c r="AO70" s="79">
        <f t="shared" si="3"/>
        <v>0</v>
      </c>
      <c r="AP70" s="374">
        <f>SUM(ERP_8[[#This Row],[AP01]:[AP07]])-SUM(ERP_8[[#This Row],[AP01 LE2]:[AP07 LE2]])</f>
        <v>0</v>
      </c>
      <c r="AQ70" s="80">
        <v>140000</v>
      </c>
      <c r="AR70" s="79">
        <f>ERP_8[[#This Row],[2026 Working Total to Budget/LE]]-ERP_8[[#This Row],[Giveback]]</f>
        <v>-140000</v>
      </c>
      <c r="AS70" s="81" t="s">
        <v>1349</v>
      </c>
      <c r="AT70" s="375"/>
      <c r="AU70" s="375"/>
      <c r="AV70" s="375"/>
      <c r="AW70" s="375">
        <v>0</v>
      </c>
      <c r="AX70" s="375">
        <v>0</v>
      </c>
      <c r="AY70" s="375">
        <v>0</v>
      </c>
      <c r="AZ70" s="375">
        <v>0</v>
      </c>
      <c r="BA70" s="375">
        <v>0</v>
      </c>
      <c r="BB70" s="375">
        <v>0</v>
      </c>
      <c r="BC70" s="375">
        <v>0</v>
      </c>
      <c r="BD70" s="375">
        <v>0</v>
      </c>
      <c r="BE70" s="375">
        <v>0</v>
      </c>
      <c r="BF70" s="375">
        <v>0</v>
      </c>
      <c r="BG70" s="103">
        <v>11666.63</v>
      </c>
      <c r="BH70" s="103">
        <v>11666.67</v>
      </c>
      <c r="BI70" s="103">
        <v>11666.67</v>
      </c>
      <c r="BJ70" s="103">
        <v>11666.67</v>
      </c>
      <c r="BK70" s="103">
        <v>11666.67</v>
      </c>
      <c r="BL70" s="103">
        <v>11666.67</v>
      </c>
      <c r="BM70" s="103">
        <v>11666.67</v>
      </c>
      <c r="BN70" s="103">
        <v>11666.67</v>
      </c>
      <c r="BO70" s="103">
        <v>11666.67</v>
      </c>
      <c r="BP70" s="103">
        <v>11666.67</v>
      </c>
      <c r="BQ70" s="103">
        <v>11666.67</v>
      </c>
      <c r="BR70" s="103">
        <v>11666.67</v>
      </c>
      <c r="BS70" s="79">
        <f>SUM(ERP_8[[#This Row],[2026 AP01]:[2026 AP12]])</f>
        <v>140000</v>
      </c>
    </row>
    <row r="71" spans="1:71" ht="15" hidden="1" customHeight="1">
      <c r="A71" s="66" t="s">
        <v>1357</v>
      </c>
      <c r="B71" s="737" t="s">
        <v>159</v>
      </c>
      <c r="C71" s="346"/>
      <c r="D71" s="343" t="str">
        <f>_xlfn.TEXTJOIN("_",FALSE,E71,ERP_8[[#This Row],[Expense Category]],ERP_8[[#This Row],[Project Code*]])</f>
        <v>Ganesan, Srinivasan_CONTRACTORS_EnhanceChargeout001</v>
      </c>
      <c r="E71" s="343" t="s">
        <v>1344</v>
      </c>
      <c r="F71" s="346"/>
      <c r="G71" s="150" t="s">
        <v>1136</v>
      </c>
      <c r="H71" s="150" t="s">
        <v>1345</v>
      </c>
      <c r="I71" s="150" t="s">
        <v>1344</v>
      </c>
      <c r="J71" s="150" t="s">
        <v>1346</v>
      </c>
      <c r="K71" s="511" t="s">
        <v>49</v>
      </c>
      <c r="L71" s="392" t="s">
        <v>1147</v>
      </c>
      <c r="M71" s="343"/>
      <c r="N71" s="800" t="s">
        <v>1358</v>
      </c>
      <c r="O71" s="70" t="s">
        <v>53</v>
      </c>
      <c r="P71" s="346" t="s">
        <v>1153</v>
      </c>
      <c r="Q71" s="343"/>
      <c r="R71" s="346"/>
      <c r="S71" s="150" t="s">
        <v>25</v>
      </c>
      <c r="T71" s="150" t="s">
        <v>1359</v>
      </c>
      <c r="U71" s="403"/>
      <c r="V71" s="406">
        <v>0</v>
      </c>
      <c r="W71" s="406">
        <v>130143</v>
      </c>
      <c r="X71" s="425"/>
      <c r="Y71" s="71"/>
      <c r="Z71" s="784">
        <v>91657</v>
      </c>
      <c r="AA71" s="780">
        <v>-50311</v>
      </c>
      <c r="AB71" s="780">
        <v>88797</v>
      </c>
      <c r="AC71" s="428">
        <v>142812</v>
      </c>
      <c r="AD71" s="429">
        <v>-181452</v>
      </c>
      <c r="AE71" s="429">
        <v>124380</v>
      </c>
      <c r="AF71" s="429">
        <v>-27477.64999999998</v>
      </c>
      <c r="AG71" s="498">
        <v>0</v>
      </c>
      <c r="AH71" s="360">
        <v>0</v>
      </c>
      <c r="AI71" s="360">
        <v>0</v>
      </c>
      <c r="AJ71" s="360">
        <v>0</v>
      </c>
      <c r="AK71" s="360">
        <v>0</v>
      </c>
      <c r="AL71" s="833">
        <f t="shared" si="2"/>
        <v>188405.35000000003</v>
      </c>
      <c r="AM71" s="362">
        <f>ERP_8[[#This Row],[2026 Working Total]]-ERP_8[[#This Row],[LE2 Final Submission]]</f>
        <v>58262.350000000035</v>
      </c>
      <c r="AN71" s="79">
        <v>0</v>
      </c>
      <c r="AO71" s="79">
        <f t="shared" si="3"/>
        <v>124380</v>
      </c>
      <c r="AP71" s="374">
        <f>SUM(ERP_8[[#This Row],[AP01]:[AP07]])-SUM(ERP_8[[#This Row],[AP01 LE2]:[AP07 LE2]])</f>
        <v>58262.350000000035</v>
      </c>
      <c r="AQ71" s="80"/>
      <c r="AR71" s="79">
        <f>ERP_8[[#This Row],[2026 Working Total to Budget/LE]]-ERP_8[[#This Row],[Giveback]]</f>
        <v>58262.350000000035</v>
      </c>
      <c r="AS71" s="155" t="s">
        <v>1360</v>
      </c>
      <c r="AT71" s="375">
        <v>91657</v>
      </c>
      <c r="AU71" s="375">
        <v>-50311</v>
      </c>
      <c r="AV71" s="375">
        <v>88797</v>
      </c>
      <c r="AW71" s="375">
        <v>0</v>
      </c>
      <c r="AX71" s="375">
        <v>0</v>
      </c>
      <c r="AY71" s="375">
        <v>0</v>
      </c>
      <c r="AZ71" s="375">
        <v>0</v>
      </c>
      <c r="BA71" s="375">
        <v>0</v>
      </c>
      <c r="BB71" s="375">
        <v>0</v>
      </c>
      <c r="BC71" s="375">
        <v>0</v>
      </c>
      <c r="BD71" s="375">
        <v>0</v>
      </c>
      <c r="BE71" s="375">
        <v>0</v>
      </c>
      <c r="BF71" s="375">
        <v>130143</v>
      </c>
      <c r="BG71" s="79">
        <v>91657</v>
      </c>
      <c r="BH71" s="79">
        <v>-50311</v>
      </c>
      <c r="BI71" s="79">
        <v>88797</v>
      </c>
      <c r="BJ71" s="79">
        <v>0</v>
      </c>
      <c r="BK71" s="79">
        <v>0</v>
      </c>
      <c r="BL71" s="79">
        <v>0</v>
      </c>
      <c r="BM71" s="79">
        <v>0</v>
      </c>
      <c r="BN71" s="79">
        <v>0</v>
      </c>
      <c r="BO71" s="79">
        <v>0</v>
      </c>
      <c r="BP71" s="79">
        <v>0</v>
      </c>
      <c r="BQ71" s="79">
        <v>0</v>
      </c>
      <c r="BR71" s="79">
        <v>0</v>
      </c>
      <c r="BS71" s="79">
        <v>130143</v>
      </c>
    </row>
    <row r="72" spans="1:71" ht="15" hidden="1" customHeight="1">
      <c r="A72" s="66" t="s">
        <v>1361</v>
      </c>
      <c r="B72" s="737" t="s">
        <v>160</v>
      </c>
      <c r="C72" s="346"/>
      <c r="D72" s="343" t="str">
        <f>_xlfn.TEXTJOIN("_",FALSE,E72,ERP_8[[#This Row],[Expense Category]],ERP_8[[#This Row],[Project Code*]])</f>
        <v>Ganesan, Srinivasan_CONTRACTORS_IT-CTR0040-OG-US-00</v>
      </c>
      <c r="E72" s="343" t="s">
        <v>1344</v>
      </c>
      <c r="F72" s="346"/>
      <c r="G72" s="150" t="s">
        <v>1136</v>
      </c>
      <c r="H72" s="150" t="s">
        <v>1345</v>
      </c>
      <c r="I72" s="150" t="s">
        <v>1344</v>
      </c>
      <c r="J72" s="150" t="s">
        <v>1346</v>
      </c>
      <c r="K72" s="511" t="s">
        <v>49</v>
      </c>
      <c r="L72" s="392" t="s">
        <v>1362</v>
      </c>
      <c r="M72" s="343"/>
      <c r="N72" s="802" t="s">
        <v>1363</v>
      </c>
      <c r="O72" s="70" t="s">
        <v>161</v>
      </c>
      <c r="P72" s="346"/>
      <c r="Q72" s="346" t="s">
        <v>1364</v>
      </c>
      <c r="R72" s="346"/>
      <c r="S72" s="150" t="s">
        <v>25</v>
      </c>
      <c r="T72" s="150"/>
      <c r="U72" s="403"/>
      <c r="V72" s="406">
        <v>0</v>
      </c>
      <c r="W72" s="406">
        <v>0.1499999999996362</v>
      </c>
      <c r="X72" s="430"/>
      <c r="Y72" s="137"/>
      <c r="Z72" s="784"/>
      <c r="AA72" s="780">
        <v>-16768</v>
      </c>
      <c r="AB72" s="780">
        <v>12756.15</v>
      </c>
      <c r="AC72" s="428">
        <v>6266.17</v>
      </c>
      <c r="AD72" s="429">
        <v>6266.17</v>
      </c>
      <c r="AE72" s="429">
        <v>7832.72</v>
      </c>
      <c r="AF72" s="429">
        <v>223.78999999999996</v>
      </c>
      <c r="AG72" s="360">
        <v>-16577</v>
      </c>
      <c r="AH72" s="360">
        <v>0</v>
      </c>
      <c r="AI72" s="360">
        <v>0</v>
      </c>
      <c r="AJ72" s="360">
        <v>0</v>
      </c>
      <c r="AK72" s="360">
        <v>0</v>
      </c>
      <c r="AL72" s="360">
        <f t="shared" ref="AL72:AL103" si="4">SUM(Z72:AK72)</f>
        <v>0</v>
      </c>
      <c r="AM72" s="362">
        <f>ERP_8[[#This Row],[2026 Working Total]]-ERP_8[[#This Row],[LE2 Final Submission]]</f>
        <v>-0.1499999999996362</v>
      </c>
      <c r="AN72" s="79">
        <v>0</v>
      </c>
      <c r="AO72" s="79">
        <f t="shared" ref="AO72:AO103" si="5">$AE72 - $AN72</f>
        <v>7832.72</v>
      </c>
      <c r="AP72" s="374">
        <f>SUM(ERP_8[[#This Row],[AP01]:[AP07]])-SUM(ERP_8[[#This Row],[AP01 LE2]:[AP07 LE2]])</f>
        <v>16576.849999999999</v>
      </c>
      <c r="AQ72" s="80"/>
      <c r="AR72" s="79">
        <f>ERP_8[[#This Row],[2026 Working Total to Budget/LE]]-ERP_8[[#This Row],[Giveback]]</f>
        <v>-0.1499999999996362</v>
      </c>
      <c r="AS72" s="81" t="s">
        <v>1365</v>
      </c>
      <c r="AT72" s="375"/>
      <c r="AU72" s="375">
        <v>-16768</v>
      </c>
      <c r="AV72" s="375">
        <v>12756.15</v>
      </c>
      <c r="AW72" s="375">
        <v>0</v>
      </c>
      <c r="AX72" s="375">
        <v>4012</v>
      </c>
      <c r="AY72" s="375">
        <v>0</v>
      </c>
      <c r="AZ72" s="375">
        <v>0</v>
      </c>
      <c r="BA72" s="375">
        <v>0</v>
      </c>
      <c r="BB72" s="375">
        <v>0</v>
      </c>
      <c r="BC72" s="375">
        <v>0</v>
      </c>
      <c r="BD72" s="375">
        <v>0</v>
      </c>
      <c r="BE72" s="375">
        <v>0</v>
      </c>
      <c r="BF72" s="375">
        <v>0.1499999999996362</v>
      </c>
      <c r="BG72" s="79"/>
      <c r="BH72" s="79">
        <v>-16768</v>
      </c>
      <c r="BI72" s="79">
        <v>12756.15</v>
      </c>
      <c r="BJ72" s="79">
        <v>0</v>
      </c>
      <c r="BK72" s="79">
        <v>0</v>
      </c>
      <c r="BL72" s="79">
        <v>0</v>
      </c>
      <c r="BM72" s="79">
        <v>0</v>
      </c>
      <c r="BN72" s="79">
        <v>0</v>
      </c>
      <c r="BO72" s="79">
        <v>0</v>
      </c>
      <c r="BP72" s="79">
        <v>0</v>
      </c>
      <c r="BQ72" s="79">
        <v>0</v>
      </c>
      <c r="BR72" s="79">
        <v>0</v>
      </c>
      <c r="BS72" s="79">
        <v>-4011.8500000000004</v>
      </c>
    </row>
    <row r="73" spans="1:71" ht="15" hidden="1" customHeight="1">
      <c r="A73" s="162" t="s">
        <v>1366</v>
      </c>
      <c r="B73" s="737" t="s">
        <v>162</v>
      </c>
      <c r="C73" s="346"/>
      <c r="D73" s="343" t="str">
        <f>_xlfn.TEXTJOIN("_",FALSE,E73,ERP_8[[#This Row],[Expense Category]],ERP_8[[#This Row],[Project Code*]])</f>
        <v>Ganesan, Srinivasan_CONTRACTORS_IT-CTR0045-OG-US-00</v>
      </c>
      <c r="E73" s="343" t="s">
        <v>1344</v>
      </c>
      <c r="F73" s="346"/>
      <c r="G73" s="150" t="s">
        <v>1136</v>
      </c>
      <c r="H73" s="150" t="s">
        <v>1345</v>
      </c>
      <c r="I73" s="150" t="s">
        <v>1344</v>
      </c>
      <c r="J73" s="184" t="s">
        <v>1346</v>
      </c>
      <c r="K73" s="515" t="s">
        <v>49</v>
      </c>
      <c r="L73" s="392" t="s">
        <v>1367</v>
      </c>
      <c r="M73" s="343"/>
      <c r="N73" s="800" t="s">
        <v>1363</v>
      </c>
      <c r="O73" s="92" t="s">
        <v>163</v>
      </c>
      <c r="P73" s="346" t="s">
        <v>1139</v>
      </c>
      <c r="Q73" s="343"/>
      <c r="R73" s="346"/>
      <c r="S73" s="150" t="s">
        <v>25</v>
      </c>
      <c r="T73" s="184"/>
      <c r="U73" s="415"/>
      <c r="V73" s="416">
        <v>0</v>
      </c>
      <c r="W73" s="416">
        <v>3558.41</v>
      </c>
      <c r="X73" s="425"/>
      <c r="Y73" s="71"/>
      <c r="Z73" s="788">
        <v>3558.41</v>
      </c>
      <c r="AA73" s="782">
        <v>0</v>
      </c>
      <c r="AB73" s="782">
        <v>0</v>
      </c>
      <c r="AC73" s="428">
        <v>0</v>
      </c>
      <c r="AD73" s="429">
        <v>0</v>
      </c>
      <c r="AE73" s="429">
        <v>0</v>
      </c>
      <c r="AF73" s="429">
        <v>0</v>
      </c>
      <c r="AG73" s="366">
        <v>0</v>
      </c>
      <c r="AH73" s="366">
        <v>0</v>
      </c>
      <c r="AI73" s="366">
        <v>0</v>
      </c>
      <c r="AJ73" s="366">
        <v>0</v>
      </c>
      <c r="AK73" s="366">
        <v>0</v>
      </c>
      <c r="AL73" s="366">
        <f t="shared" si="4"/>
        <v>3558.41</v>
      </c>
      <c r="AM73" s="362">
        <f>ERP_8[[#This Row],[2026 Working Total]]-ERP_8[[#This Row],[LE2 Final Submission]]</f>
        <v>0</v>
      </c>
      <c r="AN73" s="79">
        <v>0</v>
      </c>
      <c r="AO73" s="172">
        <f t="shared" si="5"/>
        <v>0</v>
      </c>
      <c r="AP73" s="374">
        <f>SUM(ERP_8[[#This Row],[AP01]:[AP07]])-SUM(ERP_8[[#This Row],[AP01 LE2]:[AP07 LE2]])</f>
        <v>0</v>
      </c>
      <c r="AQ73" s="173"/>
      <c r="AR73" s="172">
        <f>ERP_8[[#This Row],[2026 Working Total to Budget/LE]]-ERP_8[[#This Row],[Giveback]]</f>
        <v>0</v>
      </c>
      <c r="AS73" s="155" t="s">
        <v>1368</v>
      </c>
      <c r="AT73" s="375">
        <v>3558.41</v>
      </c>
      <c r="AU73" s="375">
        <v>0</v>
      </c>
      <c r="AV73" s="375">
        <v>0</v>
      </c>
      <c r="AW73" s="375">
        <v>0</v>
      </c>
      <c r="AX73" s="375">
        <v>0</v>
      </c>
      <c r="AY73" s="375">
        <v>0</v>
      </c>
      <c r="AZ73" s="375">
        <v>0</v>
      </c>
      <c r="BA73" s="375">
        <v>0</v>
      </c>
      <c r="BB73" s="375">
        <v>0</v>
      </c>
      <c r="BC73" s="375">
        <v>0</v>
      </c>
      <c r="BD73" s="375">
        <v>0</v>
      </c>
      <c r="BE73" s="375">
        <v>0</v>
      </c>
      <c r="BF73" s="375">
        <v>3558.41</v>
      </c>
      <c r="BG73" s="172">
        <v>3558.41</v>
      </c>
      <c r="BH73" s="172">
        <v>0</v>
      </c>
      <c r="BI73" s="172">
        <v>0</v>
      </c>
      <c r="BJ73" s="172">
        <v>0</v>
      </c>
      <c r="BK73" s="172">
        <v>0</v>
      </c>
      <c r="BL73" s="172">
        <v>0</v>
      </c>
      <c r="BM73" s="172">
        <v>0</v>
      </c>
      <c r="BN73" s="172">
        <v>0</v>
      </c>
      <c r="BO73" s="172">
        <v>0</v>
      </c>
      <c r="BP73" s="172">
        <v>0</v>
      </c>
      <c r="BQ73" s="172">
        <v>0</v>
      </c>
      <c r="BR73" s="172">
        <v>0</v>
      </c>
      <c r="BS73" s="172">
        <v>3558.41</v>
      </c>
    </row>
    <row r="74" spans="1:71" ht="15" hidden="1" customHeight="1">
      <c r="A74" s="66" t="s">
        <v>1369</v>
      </c>
      <c r="B74" s="737" t="s">
        <v>164</v>
      </c>
      <c r="C74" s="346"/>
      <c r="D74" s="343" t="str">
        <f>_xlfn.TEXTJOIN("_",FALSE,E74,ERP_8[[#This Row],[Expense Category]],ERP_8[[#This Row],[Project Code*]])</f>
        <v>Ganesan, Srinivasan_CONTRACTORS_IT-CTR0049-OG-US-00</v>
      </c>
      <c r="E74" s="343" t="s">
        <v>1344</v>
      </c>
      <c r="F74" s="346"/>
      <c r="G74" s="150" t="s">
        <v>1136</v>
      </c>
      <c r="H74" s="150" t="s">
        <v>1345</v>
      </c>
      <c r="I74" s="150" t="s">
        <v>1344</v>
      </c>
      <c r="J74" s="150" t="s">
        <v>1346</v>
      </c>
      <c r="K74" s="511" t="s">
        <v>49</v>
      </c>
      <c r="L74" s="392" t="s">
        <v>1370</v>
      </c>
      <c r="M74" s="343"/>
      <c r="N74" s="800" t="s">
        <v>1363</v>
      </c>
      <c r="O74" s="70" t="s">
        <v>165</v>
      </c>
      <c r="P74" s="346" t="s">
        <v>1371</v>
      </c>
      <c r="Q74" s="343"/>
      <c r="R74" s="346"/>
      <c r="S74" s="150" t="s">
        <v>152</v>
      </c>
      <c r="T74" s="150"/>
      <c r="U74" s="403"/>
      <c r="V74" s="406">
        <v>50000</v>
      </c>
      <c r="W74" s="406">
        <v>50000</v>
      </c>
      <c r="X74" s="425"/>
      <c r="Y74" s="71"/>
      <c r="Z74" s="784"/>
      <c r="AA74" s="780"/>
      <c r="AB74" s="780"/>
      <c r="AC74" s="428" t="s">
        <v>1142</v>
      </c>
      <c r="AD74" s="429">
        <v>0</v>
      </c>
      <c r="AE74" s="429">
        <v>0</v>
      </c>
      <c r="AF74" s="429">
        <v>0</v>
      </c>
      <c r="AG74" s="364">
        <v>0</v>
      </c>
      <c r="AH74" s="363">
        <v>0</v>
      </c>
      <c r="AI74" s="363">
        <v>33423</v>
      </c>
      <c r="AJ74" s="363">
        <v>0</v>
      </c>
      <c r="AK74" s="360">
        <v>0</v>
      </c>
      <c r="AL74" s="360">
        <f t="shared" si="4"/>
        <v>33423</v>
      </c>
      <c r="AM74" s="362">
        <f>ERP_8[[#This Row],[2026 Working Total]]-ERP_8[[#This Row],[LE2 Final Submission]]</f>
        <v>-16577</v>
      </c>
      <c r="AN74" s="79">
        <v>0</v>
      </c>
      <c r="AO74" s="79">
        <f t="shared" si="5"/>
        <v>0</v>
      </c>
      <c r="AP74" s="374">
        <f>SUM(ERP_8[[#This Row],[AP01]:[AP07]])-SUM(ERP_8[[#This Row],[AP01 LE2]:[AP07 LE2]])</f>
        <v>-22500</v>
      </c>
      <c r="AQ74" s="80"/>
      <c r="AR74" s="79">
        <f>ERP_8[[#This Row],[2026 Working Total to Budget/LE]]-ERP_8[[#This Row],[Giveback]]</f>
        <v>-16577</v>
      </c>
      <c r="AS74" s="81"/>
      <c r="AT74" s="375"/>
      <c r="AU74" s="375"/>
      <c r="AV74" s="375"/>
      <c r="AW74" s="375">
        <v>0</v>
      </c>
      <c r="AX74" s="375">
        <v>11100</v>
      </c>
      <c r="AY74" s="375">
        <v>11400</v>
      </c>
      <c r="AZ74" s="375">
        <v>0</v>
      </c>
      <c r="BA74" s="375">
        <v>0</v>
      </c>
      <c r="BB74" s="375">
        <v>9000</v>
      </c>
      <c r="BC74" s="375">
        <v>9000</v>
      </c>
      <c r="BD74" s="375">
        <v>9500</v>
      </c>
      <c r="BE74" s="375">
        <v>0</v>
      </c>
      <c r="BF74" s="375">
        <v>50000</v>
      </c>
      <c r="BG74" s="79"/>
      <c r="BH74" s="79"/>
      <c r="BI74" s="79"/>
      <c r="BJ74" s="79"/>
      <c r="BK74" s="79"/>
      <c r="BL74" s="79"/>
      <c r="BM74" s="79">
        <v>10000</v>
      </c>
      <c r="BN74" s="79">
        <v>10000</v>
      </c>
      <c r="BO74" s="79">
        <v>10000</v>
      </c>
      <c r="BP74" s="79">
        <v>10000</v>
      </c>
      <c r="BQ74" s="79">
        <v>10000</v>
      </c>
      <c r="BR74" s="79">
        <v>0</v>
      </c>
      <c r="BS74" s="79">
        <v>50000</v>
      </c>
    </row>
    <row r="75" spans="1:71" ht="15" hidden="1" customHeight="1">
      <c r="A75" s="66" t="s">
        <v>1372</v>
      </c>
      <c r="B75" s="737" t="s">
        <v>166</v>
      </c>
      <c r="C75" s="346"/>
      <c r="D75" s="343" t="str">
        <f>_xlfn.TEXTJOIN("_",FALSE,E75,ERP_8[[#This Row],[Expense Category]],ERP_8[[#This Row],[Project Code*]])</f>
        <v>Ganesan, Srinivasan_CONTRACTORS_IT-CTR0075-OG-MX-00</v>
      </c>
      <c r="E75" s="343" t="s">
        <v>1344</v>
      </c>
      <c r="F75" s="346"/>
      <c r="G75" s="150" t="s">
        <v>1136</v>
      </c>
      <c r="H75" s="150" t="s">
        <v>1345</v>
      </c>
      <c r="I75" s="150" t="s">
        <v>1344</v>
      </c>
      <c r="J75" s="150" t="s">
        <v>1346</v>
      </c>
      <c r="K75" s="511" t="s">
        <v>49</v>
      </c>
      <c r="L75" s="392" t="s">
        <v>1373</v>
      </c>
      <c r="M75" s="343"/>
      <c r="N75" s="800"/>
      <c r="O75" s="70" t="s">
        <v>167</v>
      </c>
      <c r="P75" s="346"/>
      <c r="Q75" s="343"/>
      <c r="R75" s="346"/>
      <c r="S75" s="150" t="s">
        <v>25</v>
      </c>
      <c r="T75" s="150"/>
      <c r="U75" s="403"/>
      <c r="V75" s="406">
        <v>6000</v>
      </c>
      <c r="W75" s="406">
        <v>6000</v>
      </c>
      <c r="X75" s="430"/>
      <c r="Y75" s="137"/>
      <c r="Z75" s="784"/>
      <c r="AA75" s="780"/>
      <c r="AB75" s="780"/>
      <c r="AC75" s="428" t="s">
        <v>1142</v>
      </c>
      <c r="AD75" s="429">
        <v>0</v>
      </c>
      <c r="AE75" s="429">
        <v>0</v>
      </c>
      <c r="AF75" s="429" t="s">
        <v>1142</v>
      </c>
      <c r="AG75" s="363"/>
      <c r="AH75" s="363">
        <v>6000</v>
      </c>
      <c r="AI75" s="360">
        <v>0</v>
      </c>
      <c r="AJ75" s="360">
        <v>0</v>
      </c>
      <c r="AK75" s="360">
        <v>0</v>
      </c>
      <c r="AL75" s="360">
        <f t="shared" si="4"/>
        <v>6000</v>
      </c>
      <c r="AM75" s="362">
        <f>ERP_8[[#This Row],[2026 Working Total]]-ERP_8[[#This Row],[LE2 Final Submission]]</f>
        <v>0</v>
      </c>
      <c r="AN75" s="79">
        <v>0</v>
      </c>
      <c r="AO75" s="79">
        <f t="shared" si="5"/>
        <v>0</v>
      </c>
      <c r="AP75" s="374">
        <f>SUM(ERP_8[[#This Row],[AP01]:[AP07]])-SUM(ERP_8[[#This Row],[AP01 LE2]:[AP07 LE2]])</f>
        <v>0</v>
      </c>
      <c r="AQ75" s="80"/>
      <c r="AR75" s="79">
        <f>ERP_8[[#This Row],[2026 Working Total to Budget/LE]]-ERP_8[[#This Row],[Giveback]]</f>
        <v>0</v>
      </c>
      <c r="AS75" s="81"/>
      <c r="AT75" s="375"/>
      <c r="AU75" s="375"/>
      <c r="AV75" s="375"/>
      <c r="AW75" s="375"/>
      <c r="AX75" s="375"/>
      <c r="AY75" s="375"/>
      <c r="AZ75" s="375"/>
      <c r="BA75" s="375"/>
      <c r="BB75" s="375">
        <v>6000</v>
      </c>
      <c r="BC75" s="375">
        <v>0</v>
      </c>
      <c r="BD75" s="375">
        <v>0</v>
      </c>
      <c r="BE75" s="375">
        <v>0</v>
      </c>
      <c r="BF75" s="375">
        <v>6000</v>
      </c>
      <c r="BG75" s="79"/>
      <c r="BH75" s="79"/>
      <c r="BI75" s="79"/>
      <c r="BJ75" s="79"/>
      <c r="BK75" s="79"/>
      <c r="BL75" s="79"/>
      <c r="BM75" s="79"/>
      <c r="BN75" s="79"/>
      <c r="BO75" s="79">
        <v>6000</v>
      </c>
      <c r="BP75" s="79">
        <v>0</v>
      </c>
      <c r="BQ75" s="79">
        <v>0</v>
      </c>
      <c r="BR75" s="79">
        <v>0</v>
      </c>
      <c r="BS75" s="79">
        <v>6000</v>
      </c>
    </row>
    <row r="76" spans="1:71" ht="15" hidden="1" customHeight="1">
      <c r="A76" s="66" t="s">
        <v>1374</v>
      </c>
      <c r="B76" s="737" t="s">
        <v>168</v>
      </c>
      <c r="C76" s="346"/>
      <c r="D76" s="343" t="str">
        <f>_xlfn.TEXTJOIN("_",FALSE,E76,ERP_8[[#This Row],[Expense Category]],ERP_8[[#This Row],[Project Code*]])</f>
        <v>Ganesan, Srinivasan_CONTRACTORS_IT-CTR0076-OG-MX-00</v>
      </c>
      <c r="E76" s="343" t="s">
        <v>1344</v>
      </c>
      <c r="F76" s="346"/>
      <c r="G76" s="150" t="s">
        <v>1136</v>
      </c>
      <c r="H76" s="150" t="s">
        <v>1345</v>
      </c>
      <c r="I76" s="150" t="s">
        <v>1344</v>
      </c>
      <c r="J76" s="150" t="s">
        <v>1346</v>
      </c>
      <c r="K76" s="511" t="s">
        <v>49</v>
      </c>
      <c r="L76" s="392" t="s">
        <v>1375</v>
      </c>
      <c r="M76" s="343"/>
      <c r="N76" s="800"/>
      <c r="O76" s="70" t="s">
        <v>169</v>
      </c>
      <c r="P76" s="346"/>
      <c r="Q76" s="343"/>
      <c r="R76" s="346"/>
      <c r="S76" s="150" t="s">
        <v>25</v>
      </c>
      <c r="T76" s="150"/>
      <c r="U76" s="403"/>
      <c r="V76" s="406">
        <v>6000</v>
      </c>
      <c r="W76" s="406">
        <v>6000</v>
      </c>
      <c r="X76" s="425"/>
      <c r="Y76" s="71"/>
      <c r="Z76" s="784"/>
      <c r="AA76" s="780"/>
      <c r="AB76" s="780"/>
      <c r="AC76" s="428" t="s">
        <v>1142</v>
      </c>
      <c r="AD76" s="429">
        <v>0</v>
      </c>
      <c r="AE76" s="429">
        <v>0</v>
      </c>
      <c r="AF76" s="429" t="s">
        <v>1142</v>
      </c>
      <c r="AG76" s="363"/>
      <c r="AH76" s="363">
        <v>6000</v>
      </c>
      <c r="AI76" s="360">
        <v>0</v>
      </c>
      <c r="AJ76" s="360">
        <v>0</v>
      </c>
      <c r="AK76" s="360">
        <v>0</v>
      </c>
      <c r="AL76" s="360">
        <f t="shared" si="4"/>
        <v>6000</v>
      </c>
      <c r="AM76" s="362">
        <f>ERP_8[[#This Row],[2026 Working Total]]-ERP_8[[#This Row],[LE2 Final Submission]]</f>
        <v>0</v>
      </c>
      <c r="AN76" s="79">
        <v>0</v>
      </c>
      <c r="AO76" s="79">
        <f t="shared" si="5"/>
        <v>0</v>
      </c>
      <c r="AP76" s="374">
        <f>SUM(ERP_8[[#This Row],[AP01]:[AP07]])-SUM(ERP_8[[#This Row],[AP01 LE2]:[AP07 LE2]])</f>
        <v>0</v>
      </c>
      <c r="AQ76" s="80"/>
      <c r="AR76" s="79">
        <f>ERP_8[[#This Row],[2026 Working Total to Budget/LE]]-ERP_8[[#This Row],[Giveback]]</f>
        <v>0</v>
      </c>
      <c r="AS76" s="81"/>
      <c r="AT76" s="375"/>
      <c r="AU76" s="375"/>
      <c r="AV76" s="375"/>
      <c r="AW76" s="375"/>
      <c r="AX76" s="375"/>
      <c r="AY76" s="375"/>
      <c r="AZ76" s="375"/>
      <c r="BA76" s="375"/>
      <c r="BB76" s="375">
        <v>6000</v>
      </c>
      <c r="BC76" s="375">
        <v>0</v>
      </c>
      <c r="BD76" s="375">
        <v>0</v>
      </c>
      <c r="BE76" s="375">
        <v>0</v>
      </c>
      <c r="BF76" s="375">
        <v>6000</v>
      </c>
      <c r="BG76" s="79"/>
      <c r="BH76" s="79"/>
      <c r="BI76" s="79"/>
      <c r="BJ76" s="79"/>
      <c r="BK76" s="79"/>
      <c r="BL76" s="79"/>
      <c r="BM76" s="79"/>
      <c r="BN76" s="79"/>
      <c r="BO76" s="79">
        <v>6000</v>
      </c>
      <c r="BP76" s="79">
        <v>0</v>
      </c>
      <c r="BQ76" s="79">
        <v>0</v>
      </c>
      <c r="BR76" s="79">
        <v>0</v>
      </c>
      <c r="BS76" s="79">
        <v>6000</v>
      </c>
    </row>
    <row r="77" spans="1:71" ht="15" hidden="1" customHeight="1">
      <c r="A77" s="66" t="s">
        <v>1376</v>
      </c>
      <c r="B77" s="737" t="s">
        <v>170</v>
      </c>
      <c r="C77" s="346"/>
      <c r="D77" s="343" t="str">
        <f>_xlfn.TEXTJOIN("_",FALSE,E77,ERP_8[[#This Row],[Expense Category]],ERP_8[[#This Row],[Project Code*]])</f>
        <v>Ganesan, Srinivasan_CONTRACTORS_IT-CTR0077-OG-MX-00</v>
      </c>
      <c r="E77" s="343" t="s">
        <v>1344</v>
      </c>
      <c r="F77" s="346"/>
      <c r="G77" s="150" t="s">
        <v>1136</v>
      </c>
      <c r="H77" s="150" t="s">
        <v>1345</v>
      </c>
      <c r="I77" s="150" t="s">
        <v>1344</v>
      </c>
      <c r="J77" s="150" t="s">
        <v>1346</v>
      </c>
      <c r="K77" s="511" t="s">
        <v>49</v>
      </c>
      <c r="L77" s="392" t="s">
        <v>1377</v>
      </c>
      <c r="M77" s="343"/>
      <c r="N77" s="800"/>
      <c r="O77" s="70" t="s">
        <v>171</v>
      </c>
      <c r="P77" s="346"/>
      <c r="Q77" s="343"/>
      <c r="R77" s="346"/>
      <c r="S77" s="150" t="s">
        <v>25</v>
      </c>
      <c r="T77" s="150"/>
      <c r="U77" s="403"/>
      <c r="V77" s="406">
        <v>45000</v>
      </c>
      <c r="W77" s="406">
        <v>45000</v>
      </c>
      <c r="X77" s="425"/>
      <c r="Y77" s="71"/>
      <c r="Z77" s="784"/>
      <c r="AA77" s="780"/>
      <c r="AB77" s="780"/>
      <c r="AC77" s="428" t="s">
        <v>1142</v>
      </c>
      <c r="AD77" s="429">
        <v>0</v>
      </c>
      <c r="AE77" s="429">
        <v>0</v>
      </c>
      <c r="AF77" s="429" t="s">
        <v>1142</v>
      </c>
      <c r="AG77" s="363"/>
      <c r="AH77" s="363">
        <v>45000</v>
      </c>
      <c r="AI77" s="360">
        <v>0</v>
      </c>
      <c r="AJ77" s="360">
        <v>0</v>
      </c>
      <c r="AK77" s="360">
        <v>0</v>
      </c>
      <c r="AL77" s="360">
        <f t="shared" si="4"/>
        <v>45000</v>
      </c>
      <c r="AM77" s="362">
        <f>ERP_8[[#This Row],[2026 Working Total]]-ERP_8[[#This Row],[LE2 Final Submission]]</f>
        <v>0</v>
      </c>
      <c r="AN77" s="79">
        <v>0</v>
      </c>
      <c r="AO77" s="79">
        <f t="shared" si="5"/>
        <v>0</v>
      </c>
      <c r="AP77" s="374">
        <f>SUM(ERP_8[[#This Row],[AP01]:[AP07]])-SUM(ERP_8[[#This Row],[AP01 LE2]:[AP07 LE2]])</f>
        <v>0</v>
      </c>
      <c r="AQ77" s="80"/>
      <c r="AR77" s="79">
        <f>ERP_8[[#This Row],[2026 Working Total to Budget/LE]]-ERP_8[[#This Row],[Giveback]]</f>
        <v>0</v>
      </c>
      <c r="AS77" s="81"/>
      <c r="AT77" s="375"/>
      <c r="AU77" s="375"/>
      <c r="AV77" s="375"/>
      <c r="AW77" s="375"/>
      <c r="AX77" s="375"/>
      <c r="AY77" s="375"/>
      <c r="AZ77" s="375"/>
      <c r="BA77" s="375"/>
      <c r="BB77" s="375">
        <v>45000</v>
      </c>
      <c r="BC77" s="375">
        <v>0</v>
      </c>
      <c r="BD77" s="375">
        <v>0</v>
      </c>
      <c r="BE77" s="375">
        <v>0</v>
      </c>
      <c r="BF77" s="375">
        <v>45000</v>
      </c>
      <c r="BG77" s="79"/>
      <c r="BH77" s="79"/>
      <c r="BI77" s="79"/>
      <c r="BJ77" s="79"/>
      <c r="BK77" s="79"/>
      <c r="BL77" s="79"/>
      <c r="BM77" s="79"/>
      <c r="BN77" s="79"/>
      <c r="BO77" s="79">
        <v>45000</v>
      </c>
      <c r="BP77" s="79">
        <v>0</v>
      </c>
      <c r="BQ77" s="79">
        <v>0</v>
      </c>
      <c r="BR77" s="79">
        <v>0</v>
      </c>
      <c r="BS77" s="79">
        <v>45000</v>
      </c>
    </row>
    <row r="78" spans="1:71" ht="15" hidden="1" customHeight="1">
      <c r="A78" s="66" t="s">
        <v>1378</v>
      </c>
      <c r="B78" s="737" t="s">
        <v>172</v>
      </c>
      <c r="C78" s="346"/>
      <c r="D78" s="343" t="str">
        <f>_xlfn.TEXTJOIN("_",FALSE,E78,ERP_8[[#This Row],[Expense Category]],ERP_8[[#This Row],[Project Code*]])</f>
        <v>Ganesan, Srinivasan_CONTRACTORS_IT-CTR0149-OG-US-00</v>
      </c>
      <c r="E78" s="343" t="s">
        <v>1344</v>
      </c>
      <c r="F78" s="346"/>
      <c r="G78" s="150" t="s">
        <v>1136</v>
      </c>
      <c r="H78" s="150" t="s">
        <v>1345</v>
      </c>
      <c r="I78" s="150" t="s">
        <v>1344</v>
      </c>
      <c r="J78" s="150" t="s">
        <v>1346</v>
      </c>
      <c r="K78" s="511" t="s">
        <v>49</v>
      </c>
      <c r="L78" s="392" t="s">
        <v>1379</v>
      </c>
      <c r="M78" s="343"/>
      <c r="N78" s="802" t="s">
        <v>1363</v>
      </c>
      <c r="O78" s="70" t="s">
        <v>173</v>
      </c>
      <c r="P78" s="346"/>
      <c r="Q78" s="346" t="s">
        <v>1380</v>
      </c>
      <c r="R78" s="346"/>
      <c r="S78" s="150" t="s">
        <v>25</v>
      </c>
      <c r="T78" s="150"/>
      <c r="U78" s="403"/>
      <c r="V78" s="406">
        <v>515000</v>
      </c>
      <c r="W78" s="406">
        <v>335362.38</v>
      </c>
      <c r="X78" s="430"/>
      <c r="Y78" s="137"/>
      <c r="Z78" s="784"/>
      <c r="AA78" s="780">
        <v>66916.990000000005</v>
      </c>
      <c r="AB78" s="780">
        <v>75010.39</v>
      </c>
      <c r="AC78" s="428">
        <v>45158.709999999992</v>
      </c>
      <c r="AD78" s="429">
        <v>45158.710000000006</v>
      </c>
      <c r="AE78" s="429">
        <v>56448.39</v>
      </c>
      <c r="AF78" s="429">
        <v>-106709.88</v>
      </c>
      <c r="AG78" s="363">
        <v>80704</v>
      </c>
      <c r="AH78" s="363">
        <v>13224</v>
      </c>
      <c r="AI78" s="363">
        <v>13224</v>
      </c>
      <c r="AJ78" s="363">
        <v>16704</v>
      </c>
      <c r="AK78" s="363">
        <v>29523</v>
      </c>
      <c r="AL78" s="360">
        <f t="shared" si="4"/>
        <v>335362.31</v>
      </c>
      <c r="AM78" s="362">
        <f>ERP_8[[#This Row],[2026 Working Total]]-ERP_8[[#This Row],[LE2 Final Submission]]</f>
        <v>-7.0000000006984919E-2</v>
      </c>
      <c r="AN78" s="79">
        <v>0</v>
      </c>
      <c r="AO78" s="79">
        <f t="shared" si="5"/>
        <v>56448.39</v>
      </c>
      <c r="AP78" s="374">
        <f>SUM(ERP_8[[#This Row],[AP01]:[AP07]])-SUM(ERP_8[[#This Row],[AP01 LE2]:[AP07 LE2]])</f>
        <v>-119379.07</v>
      </c>
      <c r="AQ78" s="80">
        <v>180000</v>
      </c>
      <c r="AR78" s="79">
        <f>ERP_8[[#This Row],[2026 Working Total to Budget/LE]]-ERP_8[[#This Row],[Giveback]]</f>
        <v>-180000.07</v>
      </c>
      <c r="AS78" s="81" t="s">
        <v>1381</v>
      </c>
      <c r="AT78" s="375"/>
      <c r="AU78" s="375">
        <v>66916.990000000005</v>
      </c>
      <c r="AV78" s="375">
        <v>75010.39</v>
      </c>
      <c r="AW78" s="375">
        <v>40062</v>
      </c>
      <c r="AX78" s="375">
        <v>40792</v>
      </c>
      <c r="AY78" s="375">
        <v>43581</v>
      </c>
      <c r="AZ78" s="375">
        <v>35000</v>
      </c>
      <c r="BA78" s="375">
        <v>34000</v>
      </c>
      <c r="BB78" s="375">
        <v>0</v>
      </c>
      <c r="BC78" s="375">
        <v>0</v>
      </c>
      <c r="BD78" s="375">
        <v>0</v>
      </c>
      <c r="BE78" s="375">
        <v>0</v>
      </c>
      <c r="BF78" s="375">
        <v>335362.38</v>
      </c>
      <c r="BG78" s="79"/>
      <c r="BH78" s="79">
        <v>66916.990000000005</v>
      </c>
      <c r="BI78" s="79">
        <v>75010.39</v>
      </c>
      <c r="BJ78" s="79">
        <v>48286</v>
      </c>
      <c r="BK78" s="79">
        <v>48386</v>
      </c>
      <c r="BL78" s="79">
        <v>48286</v>
      </c>
      <c r="BM78" s="79">
        <v>38449</v>
      </c>
      <c r="BN78" s="79">
        <v>38449</v>
      </c>
      <c r="BO78" s="79">
        <v>44462</v>
      </c>
      <c r="BP78" s="79">
        <v>44462</v>
      </c>
      <c r="BQ78" s="79">
        <v>44462</v>
      </c>
      <c r="BR78" s="79">
        <v>44462</v>
      </c>
      <c r="BS78" s="79">
        <v>541631.38</v>
      </c>
    </row>
    <row r="79" spans="1:71" ht="15" hidden="1" customHeight="1">
      <c r="A79" s="66" t="s">
        <v>1382</v>
      </c>
      <c r="B79" s="737" t="s">
        <v>174</v>
      </c>
      <c r="C79" s="346"/>
      <c r="D79" s="343" t="str">
        <f>_xlfn.TEXTJOIN("_",FALSE,E79,ERP_8[[#This Row],[Expense Category]],ERP_8[[#This Row],[Project Code*]])</f>
        <v>Ganesan, Srinivasan_CONTRACTORS_IT-CTR0153-OG-US-00</v>
      </c>
      <c r="E79" s="343" t="s">
        <v>1344</v>
      </c>
      <c r="F79" s="346"/>
      <c r="G79" s="150" t="s">
        <v>1136</v>
      </c>
      <c r="H79" s="150" t="s">
        <v>1345</v>
      </c>
      <c r="I79" s="150" t="s">
        <v>1344</v>
      </c>
      <c r="J79" s="150" t="s">
        <v>1346</v>
      </c>
      <c r="K79" s="511" t="s">
        <v>49</v>
      </c>
      <c r="L79" s="392" t="s">
        <v>1383</v>
      </c>
      <c r="M79" s="343"/>
      <c r="N79" s="800"/>
      <c r="O79" s="70" t="s">
        <v>175</v>
      </c>
      <c r="P79" s="346"/>
      <c r="Q79" s="343"/>
      <c r="R79" s="346"/>
      <c r="S79" s="150" t="s">
        <v>25</v>
      </c>
      <c r="T79" s="150"/>
      <c r="U79" s="403"/>
      <c r="V79" s="406">
        <v>0</v>
      </c>
      <c r="W79" s="406">
        <v>0</v>
      </c>
      <c r="X79" s="425"/>
      <c r="Y79" s="71"/>
      <c r="Z79" s="784"/>
      <c r="AA79" s="780"/>
      <c r="AB79" s="780"/>
      <c r="AC79" s="428" t="s">
        <v>1142</v>
      </c>
      <c r="AD79" s="429">
        <v>0</v>
      </c>
      <c r="AE79" s="429">
        <v>0</v>
      </c>
      <c r="AF79" s="429" t="s">
        <v>1142</v>
      </c>
      <c r="AG79" s="363">
        <v>0</v>
      </c>
      <c r="AH79" s="363">
        <v>0</v>
      </c>
      <c r="AI79" s="363">
        <v>0</v>
      </c>
      <c r="AJ79" s="363">
        <v>0</v>
      </c>
      <c r="AK79" s="363">
        <v>0</v>
      </c>
      <c r="AL79" s="360">
        <f t="shared" si="4"/>
        <v>0</v>
      </c>
      <c r="AM79" s="362">
        <f>ERP_8[[#This Row],[2026 Working Total]]-ERP_8[[#This Row],[LE2 Final Submission]]</f>
        <v>0</v>
      </c>
      <c r="AN79" s="79">
        <v>0</v>
      </c>
      <c r="AO79" s="79">
        <f t="shared" si="5"/>
        <v>0</v>
      </c>
      <c r="AP79" s="374">
        <f>SUM(ERP_8[[#This Row],[AP01]:[AP07]])-SUM(ERP_8[[#This Row],[AP01 LE2]:[AP07 LE2]])</f>
        <v>0</v>
      </c>
      <c r="AQ79" s="80">
        <v>280000</v>
      </c>
      <c r="AR79" s="79">
        <f>ERP_8[[#This Row],[2026 Working Total to Budget/LE]]-ERP_8[[#This Row],[Giveback]]</f>
        <v>-280000</v>
      </c>
      <c r="AS79" s="81" t="s">
        <v>1384</v>
      </c>
      <c r="AT79" s="375"/>
      <c r="AU79" s="375"/>
      <c r="AV79" s="375"/>
      <c r="AW79" s="375"/>
      <c r="AX79" s="375"/>
      <c r="AY79" s="375"/>
      <c r="AZ79" s="375">
        <v>0</v>
      </c>
      <c r="BA79" s="375">
        <v>0</v>
      </c>
      <c r="BB79" s="375">
        <v>0</v>
      </c>
      <c r="BC79" s="375">
        <v>0</v>
      </c>
      <c r="BD79" s="375">
        <v>0</v>
      </c>
      <c r="BE79" s="375">
        <v>0</v>
      </c>
      <c r="BF79" s="375">
        <v>0</v>
      </c>
      <c r="BG79" s="79"/>
      <c r="BH79" s="79"/>
      <c r="BI79" s="79"/>
      <c r="BJ79" s="79"/>
      <c r="BK79" s="79"/>
      <c r="BL79" s="79"/>
      <c r="BM79" s="79">
        <v>46666.666666999998</v>
      </c>
      <c r="BN79" s="79">
        <v>46666.666666999998</v>
      </c>
      <c r="BO79" s="79">
        <v>46666.666666999998</v>
      </c>
      <c r="BP79" s="79">
        <v>46666.666666999998</v>
      </c>
      <c r="BQ79" s="79">
        <v>46666.666666999998</v>
      </c>
      <c r="BR79" s="79">
        <v>46666.666666999998</v>
      </c>
      <c r="BS79" s="79">
        <v>280000.00000199996</v>
      </c>
    </row>
    <row r="80" spans="1:71" ht="15" hidden="1" customHeight="1">
      <c r="A80" s="66" t="s">
        <v>1385</v>
      </c>
      <c r="B80" s="737" t="s">
        <v>176</v>
      </c>
      <c r="C80" s="346"/>
      <c r="D80" s="343" t="str">
        <f>_xlfn.TEXTJOIN("_",FALSE,E80,ERP_8[[#This Row],[Expense Category]],ERP_8[[#This Row],[Project Code*]])</f>
        <v>Ganesan, Srinivasan_CONTRACTORS_IT-FBT0544-OG-US-00</v>
      </c>
      <c r="E80" s="343" t="s">
        <v>1344</v>
      </c>
      <c r="F80" s="346"/>
      <c r="G80" s="150" t="s">
        <v>1136</v>
      </c>
      <c r="H80" s="150" t="s">
        <v>1345</v>
      </c>
      <c r="I80" s="150" t="s">
        <v>1344</v>
      </c>
      <c r="J80" s="150" t="s">
        <v>1346</v>
      </c>
      <c r="K80" s="511" t="s">
        <v>49</v>
      </c>
      <c r="L80" s="392" t="s">
        <v>1386</v>
      </c>
      <c r="M80" s="343" t="s">
        <v>1387</v>
      </c>
      <c r="N80" s="802" t="s">
        <v>1363</v>
      </c>
      <c r="O80" s="70" t="s">
        <v>177</v>
      </c>
      <c r="P80" s="346"/>
      <c r="Q80" s="346" t="s">
        <v>1388</v>
      </c>
      <c r="R80" s="346"/>
      <c r="S80" s="150" t="s">
        <v>25</v>
      </c>
      <c r="T80" s="150"/>
      <c r="U80" s="403"/>
      <c r="V80" s="406">
        <v>1452300</v>
      </c>
      <c r="W80" s="406">
        <v>963567.79</v>
      </c>
      <c r="X80" s="425"/>
      <c r="Y80" s="71"/>
      <c r="Z80" s="784">
        <v>48462.57</v>
      </c>
      <c r="AA80" s="780">
        <v>207334.66</v>
      </c>
      <c r="AB80" s="780">
        <v>98620.56</v>
      </c>
      <c r="AC80" s="428">
        <v>116861</v>
      </c>
      <c r="AD80" s="429">
        <v>28181.629999999976</v>
      </c>
      <c r="AE80" s="429">
        <v>293546.2</v>
      </c>
      <c r="AF80" s="429">
        <v>-271730.28999999998</v>
      </c>
      <c r="AG80" s="363">
        <v>186468</v>
      </c>
      <c r="AH80" s="363">
        <v>65052</v>
      </c>
      <c r="AI80" s="363">
        <v>65052</v>
      </c>
      <c r="AJ80" s="363">
        <v>65052</v>
      </c>
      <c r="AK80" s="363">
        <v>65018</v>
      </c>
      <c r="AL80" s="360">
        <f t="shared" si="4"/>
        <v>967918.33000000007</v>
      </c>
      <c r="AM80" s="362">
        <f>ERP_8[[#This Row],[2026 Working Total]]-ERP_8[[#This Row],[LE2 Final Submission]]</f>
        <v>4350.5400000000373</v>
      </c>
      <c r="AN80" s="79">
        <v>70000</v>
      </c>
      <c r="AO80" s="79">
        <f t="shared" si="5"/>
        <v>223546.2</v>
      </c>
      <c r="AP80" s="374">
        <f>SUM(ERP_8[[#This Row],[AP01]:[AP07]])-SUM(ERP_8[[#This Row],[AP01 LE2]:[AP07 LE2]])</f>
        <v>-297291.4599999999</v>
      </c>
      <c r="AQ80" s="80">
        <v>488000</v>
      </c>
      <c r="AR80" s="79">
        <f>ERP_8[[#This Row],[2026 Working Total to Budget/LE]]-ERP_8[[#This Row],[Giveback]]</f>
        <v>-483649.45999999996</v>
      </c>
      <c r="AS80" s="81" t="s">
        <v>1389</v>
      </c>
      <c r="AT80" s="375">
        <v>48462.57</v>
      </c>
      <c r="AU80" s="375">
        <v>207334.66</v>
      </c>
      <c r="AV80" s="375">
        <v>98620.56</v>
      </c>
      <c r="AW80" s="375">
        <v>132050</v>
      </c>
      <c r="AX80" s="375">
        <v>132050</v>
      </c>
      <c r="AY80" s="375">
        <v>132050</v>
      </c>
      <c r="AZ80" s="375">
        <v>68000</v>
      </c>
      <c r="BA80" s="375">
        <v>29000</v>
      </c>
      <c r="BB80" s="375">
        <v>29000</v>
      </c>
      <c r="BC80" s="375">
        <v>29000</v>
      </c>
      <c r="BD80" s="375">
        <v>29000</v>
      </c>
      <c r="BE80" s="375">
        <v>29000</v>
      </c>
      <c r="BF80" s="375">
        <v>963567.79</v>
      </c>
      <c r="BG80" s="79">
        <v>48462.57</v>
      </c>
      <c r="BH80" s="79">
        <v>207334.66</v>
      </c>
      <c r="BI80" s="79">
        <v>98620.56</v>
      </c>
      <c r="BJ80" s="79">
        <v>132050</v>
      </c>
      <c r="BK80" s="79">
        <v>132050</v>
      </c>
      <c r="BL80" s="79">
        <v>132050</v>
      </c>
      <c r="BM80" s="79">
        <v>108302.77</v>
      </c>
      <c r="BN80" s="79">
        <v>100000</v>
      </c>
      <c r="BO80" s="79">
        <v>100000</v>
      </c>
      <c r="BP80" s="79">
        <v>100000</v>
      </c>
      <c r="BQ80" s="79">
        <v>100000</v>
      </c>
      <c r="BR80" s="79">
        <v>100000</v>
      </c>
      <c r="BS80" s="79">
        <v>1358870.56</v>
      </c>
    </row>
    <row r="81" spans="1:71" ht="15" hidden="1" customHeight="1">
      <c r="A81" s="66" t="s">
        <v>1390</v>
      </c>
      <c r="B81" s="737" t="s">
        <v>178</v>
      </c>
      <c r="C81" s="346"/>
      <c r="D81" s="343" t="str">
        <f>_xlfn.TEXTJOIN("_",FALSE,E81,ERP_8[[#This Row],[Expense Category]],ERP_8[[#This Row],[Project Code*]])</f>
        <v>Ganesan, Srinivasan_CONTRACTORS_IT-FBT0545-OG-US-00</v>
      </c>
      <c r="E81" s="343" t="s">
        <v>1344</v>
      </c>
      <c r="F81" s="346"/>
      <c r="G81" s="150" t="s">
        <v>1136</v>
      </c>
      <c r="H81" s="150" t="s">
        <v>1345</v>
      </c>
      <c r="I81" s="150" t="s">
        <v>1344</v>
      </c>
      <c r="J81" s="150" t="s">
        <v>1346</v>
      </c>
      <c r="K81" s="511" t="s">
        <v>49</v>
      </c>
      <c r="L81" s="392" t="s">
        <v>1391</v>
      </c>
      <c r="M81" s="343" t="s">
        <v>1387</v>
      </c>
      <c r="N81" s="802" t="s">
        <v>1363</v>
      </c>
      <c r="O81" s="70" t="s">
        <v>179</v>
      </c>
      <c r="P81" s="346"/>
      <c r="Q81" s="346" t="s">
        <v>1392</v>
      </c>
      <c r="R81" s="346"/>
      <c r="S81" s="150" t="s">
        <v>25</v>
      </c>
      <c r="T81" s="150"/>
      <c r="U81" s="403"/>
      <c r="V81" s="406">
        <v>486372.24000000005</v>
      </c>
      <c r="W81" s="406">
        <v>426376.62</v>
      </c>
      <c r="X81" s="430"/>
      <c r="Y81" s="137"/>
      <c r="Z81" s="784">
        <v>58570.53</v>
      </c>
      <c r="AA81" s="780">
        <v>65599.81</v>
      </c>
      <c r="AB81" s="780">
        <v>81999.28</v>
      </c>
      <c r="AC81" s="428">
        <v>65599.430000000008</v>
      </c>
      <c r="AD81" s="429">
        <v>65599.420000000013</v>
      </c>
      <c r="AE81" s="429">
        <v>66848.250000000015</v>
      </c>
      <c r="AF81" s="429">
        <v>-216473.81000000003</v>
      </c>
      <c r="AG81" s="363">
        <v>47304</v>
      </c>
      <c r="AH81" s="360">
        <v>44000</v>
      </c>
      <c r="AI81" s="360">
        <v>44000</v>
      </c>
      <c r="AJ81" s="360">
        <v>44000</v>
      </c>
      <c r="AK81" s="360">
        <v>59330</v>
      </c>
      <c r="AL81" s="360">
        <f t="shared" si="4"/>
        <v>426376.90999999992</v>
      </c>
      <c r="AM81" s="362">
        <f>ERP_8[[#This Row],[2026 Working Total]]-ERP_8[[#This Row],[LE2 Final Submission]]</f>
        <v>0.28999999992083758</v>
      </c>
      <c r="AN81" s="79">
        <v>11682</v>
      </c>
      <c r="AO81" s="79">
        <f t="shared" si="5"/>
        <v>55166.250000000015</v>
      </c>
      <c r="AP81" s="374">
        <f>SUM(ERP_8[[#This Row],[AP01]:[AP07]])-SUM(ERP_8[[#This Row],[AP01 LE2]:[AP07 LE2]])</f>
        <v>-238633.71000000005</v>
      </c>
      <c r="AQ81" s="80">
        <v>60000</v>
      </c>
      <c r="AR81" s="79">
        <f>ERP_8[[#This Row],[2026 Working Total to Budget/LE]]-ERP_8[[#This Row],[Giveback]]</f>
        <v>-59999.710000000079</v>
      </c>
      <c r="AS81" s="81" t="s">
        <v>1393</v>
      </c>
      <c r="AT81" s="375">
        <v>58570.53</v>
      </c>
      <c r="AU81" s="375">
        <v>65599.81</v>
      </c>
      <c r="AV81" s="375">
        <v>81999.28</v>
      </c>
      <c r="AW81" s="375">
        <v>70019</v>
      </c>
      <c r="AX81" s="375">
        <v>70019</v>
      </c>
      <c r="AY81" s="375">
        <v>70019</v>
      </c>
      <c r="AZ81" s="375">
        <v>10150</v>
      </c>
      <c r="BA81" s="375">
        <v>0</v>
      </c>
      <c r="BB81" s="375">
        <v>0</v>
      </c>
      <c r="BC81" s="375">
        <v>0</v>
      </c>
      <c r="BD81" s="375">
        <v>0</v>
      </c>
      <c r="BE81" s="375">
        <v>0</v>
      </c>
      <c r="BF81" s="375">
        <v>426376.62</v>
      </c>
      <c r="BG81" s="79">
        <v>58570.53</v>
      </c>
      <c r="BH81" s="79">
        <v>65599.81</v>
      </c>
      <c r="BI81" s="79">
        <v>81999.28</v>
      </c>
      <c r="BJ81" s="79">
        <v>69224</v>
      </c>
      <c r="BK81" s="79">
        <v>69224</v>
      </c>
      <c r="BL81" s="79">
        <v>69224</v>
      </c>
      <c r="BM81" s="79">
        <v>71025</v>
      </c>
      <c r="BN81" s="79">
        <v>15160</v>
      </c>
      <c r="BO81" s="79">
        <v>0</v>
      </c>
      <c r="BP81" s="79">
        <v>0</v>
      </c>
      <c r="BQ81" s="79">
        <v>0</v>
      </c>
      <c r="BR81" s="79">
        <v>0</v>
      </c>
      <c r="BS81" s="79">
        <v>500026.62</v>
      </c>
    </row>
    <row r="82" spans="1:71" ht="15" hidden="1" customHeight="1">
      <c r="A82" s="66" t="s">
        <v>1394</v>
      </c>
      <c r="B82" s="737" t="s">
        <v>180</v>
      </c>
      <c r="C82" s="346"/>
      <c r="D82" s="343" t="str">
        <f>_xlfn.TEXTJOIN("_",FALSE,E82,ERP_8[[#This Row],[Expense Category]],ERP_8[[#This Row],[Project Code*]])</f>
        <v>Ganesan, Srinivasan_CONTRACTORS_IT-FBT0546-OG-US-00</v>
      </c>
      <c r="E82" s="343" t="s">
        <v>1344</v>
      </c>
      <c r="F82" s="346"/>
      <c r="G82" s="150" t="s">
        <v>1136</v>
      </c>
      <c r="H82" s="150" t="s">
        <v>1345</v>
      </c>
      <c r="I82" s="150" t="s">
        <v>1344</v>
      </c>
      <c r="J82" s="150" t="s">
        <v>1346</v>
      </c>
      <c r="K82" s="511" t="s">
        <v>49</v>
      </c>
      <c r="L82" s="392" t="s">
        <v>1395</v>
      </c>
      <c r="M82" s="343"/>
      <c r="N82" s="800"/>
      <c r="O82" s="70" t="s">
        <v>181</v>
      </c>
      <c r="P82" s="346"/>
      <c r="Q82" s="343"/>
      <c r="R82" s="346"/>
      <c r="S82" s="150" t="s">
        <v>119</v>
      </c>
      <c r="T82" s="150"/>
      <c r="U82" s="403"/>
      <c r="V82" s="406">
        <v>50000</v>
      </c>
      <c r="W82" s="406">
        <v>50000</v>
      </c>
      <c r="X82" s="425"/>
      <c r="Y82" s="71"/>
      <c r="Z82" s="784"/>
      <c r="AA82" s="780"/>
      <c r="AB82" s="780"/>
      <c r="AC82" s="428" t="s">
        <v>1142</v>
      </c>
      <c r="AD82" s="429">
        <v>0</v>
      </c>
      <c r="AE82" s="429">
        <v>0</v>
      </c>
      <c r="AF82" s="429" t="s">
        <v>1142</v>
      </c>
      <c r="AG82" s="363">
        <v>50000</v>
      </c>
      <c r="AH82" s="360">
        <v>0</v>
      </c>
      <c r="AI82" s="360">
        <v>0</v>
      </c>
      <c r="AJ82" s="360">
        <v>0</v>
      </c>
      <c r="AK82" s="360">
        <v>0</v>
      </c>
      <c r="AL82" s="360">
        <f t="shared" si="4"/>
        <v>50000</v>
      </c>
      <c r="AM82" s="362">
        <f>ERP_8[[#This Row],[2026 Working Total]]-ERP_8[[#This Row],[LE2 Final Submission]]</f>
        <v>0</v>
      </c>
      <c r="AN82" s="79"/>
      <c r="AO82" s="79">
        <f t="shared" si="5"/>
        <v>0</v>
      </c>
      <c r="AP82" s="374">
        <f>SUM(ERP_8[[#This Row],[AP01]:[AP07]])-SUM(ERP_8[[#This Row],[AP01 LE2]:[AP07 LE2]])</f>
        <v>0</v>
      </c>
      <c r="AQ82" s="80"/>
      <c r="AR82" s="79">
        <f>ERP_8[[#This Row],[2026 Working Total to Budget/LE]]-ERP_8[[#This Row],[Giveback]]</f>
        <v>0</v>
      </c>
      <c r="AS82" s="81"/>
      <c r="AT82" s="375"/>
      <c r="AU82" s="375"/>
      <c r="AV82" s="375"/>
      <c r="AW82" s="375"/>
      <c r="AX82" s="375"/>
      <c r="AY82" s="375"/>
      <c r="AZ82" s="375"/>
      <c r="BA82" s="375">
        <v>50000</v>
      </c>
      <c r="BB82" s="375">
        <v>0</v>
      </c>
      <c r="BC82" s="375">
        <v>0</v>
      </c>
      <c r="BD82" s="375">
        <v>0</v>
      </c>
      <c r="BE82" s="375">
        <v>0</v>
      </c>
      <c r="BF82" s="375">
        <v>50000</v>
      </c>
      <c r="BG82" s="79"/>
      <c r="BH82" s="79"/>
      <c r="BI82" s="79"/>
      <c r="BJ82" s="79"/>
      <c r="BK82" s="79"/>
      <c r="BL82" s="79"/>
      <c r="BM82" s="79"/>
      <c r="BN82" s="79">
        <v>50000</v>
      </c>
      <c r="BO82" s="79">
        <v>0</v>
      </c>
      <c r="BP82" s="79">
        <v>0</v>
      </c>
      <c r="BQ82" s="79">
        <v>0</v>
      </c>
      <c r="BR82" s="79">
        <v>0</v>
      </c>
      <c r="BS82" s="79">
        <v>50000</v>
      </c>
    </row>
    <row r="83" spans="1:71" ht="15" hidden="1" customHeight="1">
      <c r="A83" s="66" t="s">
        <v>1396</v>
      </c>
      <c r="B83" s="737" t="s">
        <v>182</v>
      </c>
      <c r="C83" s="346"/>
      <c r="D83" s="343" t="str">
        <f>_xlfn.TEXTJOIN("_",FALSE,E83,ERP_8[[#This Row],[Expense Category]],ERP_8[[#This Row],[Project Code*]])</f>
        <v>Ganesan, Srinivasan_CONTRACTORS_IT-FBT0657-OG-US-00</v>
      </c>
      <c r="E83" s="343" t="s">
        <v>1344</v>
      </c>
      <c r="F83" s="346"/>
      <c r="G83" s="150" t="s">
        <v>1136</v>
      </c>
      <c r="H83" s="150" t="s">
        <v>1345</v>
      </c>
      <c r="I83" s="150" t="s">
        <v>1344</v>
      </c>
      <c r="J83" s="150" t="s">
        <v>1346</v>
      </c>
      <c r="K83" s="511" t="s">
        <v>49</v>
      </c>
      <c r="L83" s="392" t="s">
        <v>1397</v>
      </c>
      <c r="M83" s="343"/>
      <c r="N83" s="800"/>
      <c r="O83" s="70" t="s">
        <v>183</v>
      </c>
      <c r="P83" s="346"/>
      <c r="Q83" s="343"/>
      <c r="R83" s="346"/>
      <c r="S83" s="150" t="s">
        <v>119</v>
      </c>
      <c r="T83" s="150"/>
      <c r="U83" s="403"/>
      <c r="V83" s="406">
        <v>25000</v>
      </c>
      <c r="W83" s="406">
        <v>25000</v>
      </c>
      <c r="X83" s="425"/>
      <c r="Y83" s="71"/>
      <c r="Z83" s="784"/>
      <c r="AA83" s="780"/>
      <c r="AB83" s="780"/>
      <c r="AC83" s="428" t="s">
        <v>1142</v>
      </c>
      <c r="AD83" s="429">
        <v>0</v>
      </c>
      <c r="AE83" s="429">
        <v>0</v>
      </c>
      <c r="AF83" s="429" t="s">
        <v>1142</v>
      </c>
      <c r="AG83" s="363">
        <v>25000</v>
      </c>
      <c r="AH83" s="360">
        <v>0</v>
      </c>
      <c r="AI83" s="360">
        <v>0</v>
      </c>
      <c r="AJ83" s="360">
        <v>0</v>
      </c>
      <c r="AK83" s="360">
        <v>0</v>
      </c>
      <c r="AL83" s="360">
        <f t="shared" si="4"/>
        <v>25000</v>
      </c>
      <c r="AM83" s="362">
        <f>ERP_8[[#This Row],[2026 Working Total]]-ERP_8[[#This Row],[LE2 Final Submission]]</f>
        <v>0</v>
      </c>
      <c r="AN83" s="79"/>
      <c r="AO83" s="79">
        <f t="shared" si="5"/>
        <v>0</v>
      </c>
      <c r="AP83" s="374">
        <f>SUM(ERP_8[[#This Row],[AP01]:[AP07]])-SUM(ERP_8[[#This Row],[AP01 LE2]:[AP07 LE2]])</f>
        <v>0</v>
      </c>
      <c r="AQ83" s="80"/>
      <c r="AR83" s="79">
        <f>ERP_8[[#This Row],[2026 Working Total to Budget/LE]]-ERP_8[[#This Row],[Giveback]]</f>
        <v>0</v>
      </c>
      <c r="AS83" s="81"/>
      <c r="AT83" s="375"/>
      <c r="AU83" s="375"/>
      <c r="AV83" s="375"/>
      <c r="AW83" s="375"/>
      <c r="AX83" s="375"/>
      <c r="AY83" s="375"/>
      <c r="AZ83" s="375"/>
      <c r="BA83" s="375">
        <v>25000</v>
      </c>
      <c r="BB83" s="375">
        <v>0</v>
      </c>
      <c r="BC83" s="375">
        <v>0</v>
      </c>
      <c r="BD83" s="375">
        <v>0</v>
      </c>
      <c r="BE83" s="375">
        <v>0</v>
      </c>
      <c r="BF83" s="375">
        <v>25000</v>
      </c>
      <c r="BG83" s="79"/>
      <c r="BH83" s="79"/>
      <c r="BI83" s="79"/>
      <c r="BJ83" s="79"/>
      <c r="BK83" s="79"/>
      <c r="BL83" s="79"/>
      <c r="BM83" s="79"/>
      <c r="BN83" s="79">
        <v>25000</v>
      </c>
      <c r="BO83" s="79">
        <v>0</v>
      </c>
      <c r="BP83" s="79">
        <v>0</v>
      </c>
      <c r="BQ83" s="79">
        <v>0</v>
      </c>
      <c r="BR83" s="79">
        <v>0</v>
      </c>
      <c r="BS83" s="79">
        <v>25000</v>
      </c>
    </row>
    <row r="84" spans="1:71" ht="15" hidden="1" customHeight="1">
      <c r="A84" s="66" t="s">
        <v>1398</v>
      </c>
      <c r="B84" s="737" t="s">
        <v>184</v>
      </c>
      <c r="C84" s="346"/>
      <c r="D84" s="343" t="str">
        <f>_xlfn.TEXTJOIN("_",FALSE,E84,ERP_8[[#This Row],[Expense Category]],ERP_8[[#This Row],[Project Code*]])</f>
        <v>Ganesan, Srinivasan_CONTRACTORS_IT-FBT0661-OG-US-00</v>
      </c>
      <c r="E84" s="343" t="s">
        <v>1344</v>
      </c>
      <c r="F84" s="346"/>
      <c r="G84" s="150" t="s">
        <v>1136</v>
      </c>
      <c r="H84" s="150" t="s">
        <v>1345</v>
      </c>
      <c r="I84" s="150" t="s">
        <v>1344</v>
      </c>
      <c r="J84" s="150" t="s">
        <v>1346</v>
      </c>
      <c r="K84" s="511" t="s">
        <v>49</v>
      </c>
      <c r="L84" s="392" t="s">
        <v>1399</v>
      </c>
      <c r="M84" s="343"/>
      <c r="N84" s="800" t="s">
        <v>1363</v>
      </c>
      <c r="O84" s="70" t="s">
        <v>185</v>
      </c>
      <c r="P84" s="346"/>
      <c r="Q84" s="343"/>
      <c r="R84" s="346"/>
      <c r="S84" s="150" t="s">
        <v>25</v>
      </c>
      <c r="T84" s="150" t="s">
        <v>1400</v>
      </c>
      <c r="U84" s="403"/>
      <c r="V84" s="406">
        <v>47697</v>
      </c>
      <c r="W84" s="406">
        <v>53620</v>
      </c>
      <c r="X84" s="430"/>
      <c r="Y84" s="137"/>
      <c r="Z84" s="784"/>
      <c r="AA84" s="780"/>
      <c r="AB84" s="780"/>
      <c r="AC84" s="428">
        <v>0</v>
      </c>
      <c r="AD84" s="429">
        <v>5850</v>
      </c>
      <c r="AE84" s="429">
        <v>0</v>
      </c>
      <c r="AF84" s="429">
        <v>0</v>
      </c>
      <c r="AG84" s="360">
        <v>10000</v>
      </c>
      <c r="AH84" s="363">
        <v>10000</v>
      </c>
      <c r="AI84" s="360">
        <v>0</v>
      </c>
      <c r="AJ84" s="360">
        <v>21920</v>
      </c>
      <c r="AK84" s="360">
        <v>0</v>
      </c>
      <c r="AL84" s="360">
        <f t="shared" si="4"/>
        <v>47770</v>
      </c>
      <c r="AM84" s="362">
        <f>ERP_8[[#This Row],[2026 Working Total]]-ERP_8[[#This Row],[LE2 Final Submission]]</f>
        <v>-5850</v>
      </c>
      <c r="AN84" s="79">
        <v>20000</v>
      </c>
      <c r="AO84" s="79">
        <f t="shared" si="5"/>
        <v>-20000</v>
      </c>
      <c r="AP84" s="374">
        <f>SUM(ERP_8[[#This Row],[AP01]:[AP07]])-SUM(ERP_8[[#This Row],[AP01 LE2]:[AP07 LE2]])</f>
        <v>-38247</v>
      </c>
      <c r="AQ84" s="80"/>
      <c r="AR84" s="79">
        <f>ERP_8[[#This Row],[2026 Working Total to Budget/LE]]-ERP_8[[#This Row],[Giveback]]</f>
        <v>-5850</v>
      </c>
      <c r="AS84" s="81"/>
      <c r="AT84" s="375"/>
      <c r="AU84" s="375"/>
      <c r="AV84" s="375"/>
      <c r="AW84" s="375">
        <v>15000</v>
      </c>
      <c r="AX84" s="375">
        <v>5850</v>
      </c>
      <c r="AY84" s="375">
        <v>0</v>
      </c>
      <c r="AZ84" s="375">
        <v>23247</v>
      </c>
      <c r="BA84" s="375">
        <v>0</v>
      </c>
      <c r="BB84" s="375">
        <v>9523</v>
      </c>
      <c r="BC84" s="375">
        <v>0</v>
      </c>
      <c r="BD84" s="375">
        <v>0</v>
      </c>
      <c r="BE84" s="375">
        <v>0</v>
      </c>
      <c r="BF84" s="375">
        <v>53620</v>
      </c>
      <c r="BG84" s="79"/>
      <c r="BH84" s="79"/>
      <c r="BI84" s="79"/>
      <c r="BJ84" s="79">
        <v>15000</v>
      </c>
      <c r="BK84" s="79">
        <v>0</v>
      </c>
      <c r="BL84" s="79">
        <v>0</v>
      </c>
      <c r="BM84" s="79">
        <v>23247</v>
      </c>
      <c r="BN84" s="79">
        <v>0</v>
      </c>
      <c r="BO84" s="79">
        <v>9523</v>
      </c>
      <c r="BP84" s="79">
        <v>0</v>
      </c>
      <c r="BQ84" s="79">
        <v>0</v>
      </c>
      <c r="BR84" s="79">
        <v>0</v>
      </c>
      <c r="BS84" s="79">
        <v>47770</v>
      </c>
    </row>
    <row r="85" spans="1:71" ht="15" hidden="1" customHeight="1">
      <c r="A85" s="66" t="s">
        <v>1401</v>
      </c>
      <c r="B85" s="737" t="s">
        <v>186</v>
      </c>
      <c r="C85" s="346"/>
      <c r="D85" s="343" t="str">
        <f>_xlfn.TEXTJOIN("_",FALSE,E85,ERP_8[[#This Row],[Expense Category]],ERP_8[[#This Row],[Project Code*]])</f>
        <v>Ganesan, Srinivasan_CONTRACTORS_IT-FBT0778-OT-US-00</v>
      </c>
      <c r="E85" s="343" t="s">
        <v>1344</v>
      </c>
      <c r="F85" s="346"/>
      <c r="G85" s="150" t="s">
        <v>1136</v>
      </c>
      <c r="H85" s="150" t="s">
        <v>1345</v>
      </c>
      <c r="I85" s="150" t="s">
        <v>1344</v>
      </c>
      <c r="J85" s="150" t="s">
        <v>1346</v>
      </c>
      <c r="K85" s="511" t="s">
        <v>49</v>
      </c>
      <c r="L85" s="392" t="s">
        <v>1402</v>
      </c>
      <c r="M85" s="343"/>
      <c r="N85" s="800"/>
      <c r="O85" s="70" t="s">
        <v>187</v>
      </c>
      <c r="P85" s="346"/>
      <c r="Q85" s="343"/>
      <c r="R85" s="346"/>
      <c r="S85" s="150" t="s">
        <v>188</v>
      </c>
      <c r="T85" s="150" t="s">
        <v>1403</v>
      </c>
      <c r="U85" s="403"/>
      <c r="V85" s="406">
        <v>25200</v>
      </c>
      <c r="W85" s="406">
        <v>0</v>
      </c>
      <c r="X85" s="425"/>
      <c r="Y85" s="71"/>
      <c r="Z85" s="784"/>
      <c r="AA85" s="780"/>
      <c r="AB85" s="780"/>
      <c r="AC85" s="428" t="s">
        <v>1142</v>
      </c>
      <c r="AD85" s="429">
        <v>0</v>
      </c>
      <c r="AE85" s="429">
        <v>0</v>
      </c>
      <c r="AF85" s="429" t="s">
        <v>1142</v>
      </c>
      <c r="AG85" s="363">
        <f>2100-2100</f>
        <v>0</v>
      </c>
      <c r="AH85" s="363">
        <f>2100-2100</f>
        <v>0</v>
      </c>
      <c r="AI85" s="363">
        <f>2100-2100</f>
        <v>0</v>
      </c>
      <c r="AJ85" s="363">
        <f>2100-2100</f>
        <v>0</v>
      </c>
      <c r="AK85" s="363">
        <f>2100-2100</f>
        <v>0</v>
      </c>
      <c r="AL85" s="360">
        <f t="shared" si="4"/>
        <v>0</v>
      </c>
      <c r="AM85" s="362">
        <f>ERP_8[[#This Row],[2026 Working Total]]-ERP_8[[#This Row],[LE2 Final Submission]]</f>
        <v>0</v>
      </c>
      <c r="AN85" s="79">
        <v>0</v>
      </c>
      <c r="AO85" s="79">
        <f t="shared" si="5"/>
        <v>0</v>
      </c>
      <c r="AP85" s="374">
        <f>SUM(ERP_8[[#This Row],[AP01]:[AP07]])-SUM(ERP_8[[#This Row],[AP01 LE2]:[AP07 LE2]])</f>
        <v>0</v>
      </c>
      <c r="AQ85" s="80"/>
      <c r="AR85" s="79">
        <f>ERP_8[[#This Row],[2026 Working Total to Budget/LE]]-ERP_8[[#This Row],[Giveback]]</f>
        <v>0</v>
      </c>
      <c r="AS85" s="81"/>
      <c r="AT85" s="375"/>
      <c r="AU85" s="375"/>
      <c r="AV85" s="375"/>
      <c r="AW85" s="375">
        <v>0</v>
      </c>
      <c r="AX85" s="375">
        <v>0</v>
      </c>
      <c r="AY85" s="375">
        <v>0</v>
      </c>
      <c r="AZ85" s="375">
        <v>0</v>
      </c>
      <c r="BA85" s="375">
        <v>0</v>
      </c>
      <c r="BB85" s="375">
        <v>0</v>
      </c>
      <c r="BC85" s="375">
        <v>0</v>
      </c>
      <c r="BD85" s="375">
        <v>0</v>
      </c>
      <c r="BE85" s="375">
        <v>0</v>
      </c>
      <c r="BF85" s="375">
        <v>0</v>
      </c>
      <c r="BG85" s="79"/>
      <c r="BH85" s="79"/>
      <c r="BI85" s="79"/>
      <c r="BJ85" s="79">
        <v>2100</v>
      </c>
      <c r="BK85" s="79">
        <v>2100</v>
      </c>
      <c r="BL85" s="79">
        <v>2100</v>
      </c>
      <c r="BM85" s="79">
        <v>2100</v>
      </c>
      <c r="BN85" s="79">
        <v>2100</v>
      </c>
      <c r="BO85" s="79">
        <v>2100</v>
      </c>
      <c r="BP85" s="79">
        <v>2100</v>
      </c>
      <c r="BQ85" s="79">
        <v>2100</v>
      </c>
      <c r="BR85" s="79">
        <v>2100</v>
      </c>
      <c r="BS85" s="79">
        <v>18900</v>
      </c>
    </row>
    <row r="86" spans="1:71" ht="15" hidden="1" customHeight="1">
      <c r="A86" s="66" t="s">
        <v>1404</v>
      </c>
      <c r="B86" s="737" t="s">
        <v>189</v>
      </c>
      <c r="C86" s="346"/>
      <c r="D86" s="343" t="str">
        <f>_xlfn.TEXTJOIN("_",FALSE,E86,ERP_8[[#This Row],[Expense Category]],ERP_8[[#This Row],[Project Code*]])</f>
        <v>Ganesan, Srinivasan_CONTRACTORS_IT-FBT0784-OG-US-00</v>
      </c>
      <c r="E86" s="343" t="s">
        <v>1344</v>
      </c>
      <c r="F86" s="346"/>
      <c r="G86" s="150" t="s">
        <v>1136</v>
      </c>
      <c r="H86" s="150" t="s">
        <v>1345</v>
      </c>
      <c r="I86" s="150" t="s">
        <v>1344</v>
      </c>
      <c r="J86" s="150" t="s">
        <v>1346</v>
      </c>
      <c r="K86" s="511" t="s">
        <v>49</v>
      </c>
      <c r="L86" s="392" t="s">
        <v>1405</v>
      </c>
      <c r="M86" s="343" t="s">
        <v>1387</v>
      </c>
      <c r="N86" s="802" t="s">
        <v>1363</v>
      </c>
      <c r="O86" s="70" t="s">
        <v>190</v>
      </c>
      <c r="P86" s="346" t="s">
        <v>1153</v>
      </c>
      <c r="Q86" s="346" t="s">
        <v>1406</v>
      </c>
      <c r="R86" s="346"/>
      <c r="S86" s="150" t="s">
        <v>25</v>
      </c>
      <c r="T86" s="150" t="s">
        <v>1407</v>
      </c>
      <c r="U86" s="403"/>
      <c r="V86" s="406">
        <v>1129982.58</v>
      </c>
      <c r="W86" s="406">
        <v>874707.09</v>
      </c>
      <c r="X86" s="425"/>
      <c r="Y86" s="71"/>
      <c r="Z86" s="784">
        <v>77285</v>
      </c>
      <c r="AA86" s="780">
        <v>177053.54</v>
      </c>
      <c r="AB86" s="780">
        <v>-2920.45</v>
      </c>
      <c r="AC86" s="428">
        <v>86558.849999999991</v>
      </c>
      <c r="AD86" s="429">
        <v>86558.85</v>
      </c>
      <c r="AE86" s="429">
        <v>98924.389999999985</v>
      </c>
      <c r="AF86" s="429">
        <v>94986.8</v>
      </c>
      <c r="AG86" s="363">
        <v>102575</v>
      </c>
      <c r="AH86" s="363">
        <v>79587</v>
      </c>
      <c r="AI86" s="363">
        <v>79587</v>
      </c>
      <c r="AJ86" s="363">
        <v>11552</v>
      </c>
      <c r="AK86" s="363">
        <v>22422</v>
      </c>
      <c r="AL86" s="360">
        <f t="shared" si="4"/>
        <v>914169.9800000001</v>
      </c>
      <c r="AM86" s="362">
        <f>ERP_8[[#This Row],[2026 Working Total]]-ERP_8[[#This Row],[LE2 Final Submission]]</f>
        <v>39462.89000000013</v>
      </c>
      <c r="AN86" s="79">
        <v>62406</v>
      </c>
      <c r="AO86" s="79">
        <f t="shared" si="5"/>
        <v>36518.389999999985</v>
      </c>
      <c r="AP86" s="374">
        <f>SUM(ERP_8[[#This Row],[AP01]:[AP07]])-SUM(ERP_8[[#This Row],[AP01 LE2]:[AP07 LE2]])</f>
        <v>20429.89000000013</v>
      </c>
      <c r="AQ86" s="80">
        <v>255000</v>
      </c>
      <c r="AR86" s="79">
        <f>ERP_8[[#This Row],[2026 Working Total to Budget/LE]]-ERP_8[[#This Row],[Giveback]]</f>
        <v>-215537.10999999987</v>
      </c>
      <c r="AS86" s="81" t="s">
        <v>1408</v>
      </c>
      <c r="AT86" s="375">
        <v>77285</v>
      </c>
      <c r="AU86" s="375">
        <v>177053.54</v>
      </c>
      <c r="AV86" s="375">
        <v>-2920.45</v>
      </c>
      <c r="AW86" s="375">
        <v>97087</v>
      </c>
      <c r="AX86" s="375">
        <v>97087</v>
      </c>
      <c r="AY86" s="375">
        <v>97087</v>
      </c>
      <c r="AZ86" s="375">
        <v>55338</v>
      </c>
      <c r="BA86" s="375">
        <v>55338</v>
      </c>
      <c r="BB86" s="375">
        <v>55338</v>
      </c>
      <c r="BC86" s="375">
        <v>55338</v>
      </c>
      <c r="BD86" s="375">
        <v>55338</v>
      </c>
      <c r="BE86" s="375">
        <v>55338</v>
      </c>
      <c r="BF86" s="375">
        <v>874707.09</v>
      </c>
      <c r="BG86" s="79">
        <v>77285</v>
      </c>
      <c r="BH86" s="79">
        <v>177053.54</v>
      </c>
      <c r="BI86" s="79">
        <v>-2920.45</v>
      </c>
      <c r="BJ86" s="79">
        <v>90495</v>
      </c>
      <c r="BK86" s="79">
        <v>90495</v>
      </c>
      <c r="BL86" s="79">
        <v>99200</v>
      </c>
      <c r="BM86" s="79">
        <v>54165</v>
      </c>
      <c r="BN86" s="79">
        <v>54165</v>
      </c>
      <c r="BO86" s="79">
        <v>54165</v>
      </c>
      <c r="BP86" s="79">
        <v>54165</v>
      </c>
      <c r="BQ86" s="79">
        <v>54165</v>
      </c>
      <c r="BR86" s="79">
        <v>54165</v>
      </c>
      <c r="BS86" s="79">
        <v>856598.09</v>
      </c>
    </row>
    <row r="87" spans="1:71" ht="15" hidden="1" customHeight="1">
      <c r="A87" s="66" t="s">
        <v>1409</v>
      </c>
      <c r="B87" s="737" t="s">
        <v>191</v>
      </c>
      <c r="C87" s="346"/>
      <c r="D87" s="343" t="str">
        <f>_xlfn.TEXTJOIN("_",FALSE,E87,ERP_8[[#This Row],[Expense Category]],ERP_8[[#This Row],[Project Code*]])</f>
        <v>Ganesan, Srinivasan_CONTRACTORS_IT-FBT0790-OG-US-00</v>
      </c>
      <c r="E87" s="343" t="s">
        <v>1344</v>
      </c>
      <c r="F87" s="346"/>
      <c r="G87" s="150" t="s">
        <v>1136</v>
      </c>
      <c r="H87" s="150" t="s">
        <v>1345</v>
      </c>
      <c r="I87" s="150" t="s">
        <v>1344</v>
      </c>
      <c r="J87" s="150" t="s">
        <v>1346</v>
      </c>
      <c r="K87" s="511" t="s">
        <v>49</v>
      </c>
      <c r="L87" s="392" t="s">
        <v>1410</v>
      </c>
      <c r="M87" s="343"/>
      <c r="N87" s="800" t="s">
        <v>1363</v>
      </c>
      <c r="O87" s="70" t="s">
        <v>192</v>
      </c>
      <c r="P87" s="346"/>
      <c r="Q87" s="343"/>
      <c r="R87" s="346"/>
      <c r="S87" s="150" t="s">
        <v>25</v>
      </c>
      <c r="T87" s="150"/>
      <c r="U87" s="403"/>
      <c r="V87" s="406">
        <v>513000</v>
      </c>
      <c r="W87" s="406">
        <v>384928.75</v>
      </c>
      <c r="X87" s="430"/>
      <c r="Y87" s="137"/>
      <c r="Z87" s="784">
        <v>98474.5</v>
      </c>
      <c r="AA87" s="780">
        <v>-21757.25</v>
      </c>
      <c r="AB87" s="780">
        <v>-81628.5</v>
      </c>
      <c r="AC87" s="428">
        <v>-18382.5</v>
      </c>
      <c r="AD87" s="429">
        <v>0</v>
      </c>
      <c r="AE87" s="429">
        <v>0</v>
      </c>
      <c r="AF87" s="429">
        <v>153730.32</v>
      </c>
      <c r="AG87" s="363">
        <v>43860</v>
      </c>
      <c r="AH87" s="363">
        <v>34723</v>
      </c>
      <c r="AI87" s="363">
        <v>78017</v>
      </c>
      <c r="AJ87" s="363">
        <v>43860</v>
      </c>
      <c r="AK87" s="363">
        <v>36923</v>
      </c>
      <c r="AL87" s="360">
        <f t="shared" si="4"/>
        <v>367819.57</v>
      </c>
      <c r="AM87" s="362">
        <f>ERP_8[[#This Row],[2026 Working Total]]-ERP_8[[#This Row],[LE2 Final Submission]]</f>
        <v>-17109.179999999993</v>
      </c>
      <c r="AN87" s="79">
        <v>69140</v>
      </c>
      <c r="AO87" s="79">
        <f t="shared" si="5"/>
        <v>-69140</v>
      </c>
      <c r="AP87" s="374">
        <f>SUM(ERP_8[[#This Row],[AP01]:[AP07]])-SUM(ERP_8[[#This Row],[AP01 LE2]:[AP07 LE2]])</f>
        <v>71207.820000000007</v>
      </c>
      <c r="AQ87" s="80">
        <v>128000</v>
      </c>
      <c r="AR87" s="79">
        <f>ERP_8[[#This Row],[2026 Working Total to Budget/LE]]-ERP_8[[#This Row],[Giveback]]</f>
        <v>-145109.18</v>
      </c>
      <c r="AS87" s="81" t="s">
        <v>1411</v>
      </c>
      <c r="AT87" s="375">
        <v>98474.5</v>
      </c>
      <c r="AU87" s="375">
        <v>-21757.25</v>
      </c>
      <c r="AV87" s="375">
        <v>-81628.5</v>
      </c>
      <c r="AW87" s="375">
        <v>0</v>
      </c>
      <c r="AX87" s="375">
        <v>0</v>
      </c>
      <c r="AY87" s="375">
        <v>0</v>
      </c>
      <c r="AZ87" s="375">
        <v>64140</v>
      </c>
      <c r="BA87" s="375">
        <v>64140</v>
      </c>
      <c r="BB87" s="375">
        <v>64140</v>
      </c>
      <c r="BC87" s="375">
        <v>64140</v>
      </c>
      <c r="BD87" s="375">
        <v>64140</v>
      </c>
      <c r="BE87" s="375">
        <v>69140</v>
      </c>
      <c r="BF87" s="375">
        <v>384928.75</v>
      </c>
      <c r="BG87" s="79">
        <v>98474.5</v>
      </c>
      <c r="BH87" s="79">
        <v>-21757.25</v>
      </c>
      <c r="BI87" s="79">
        <v>-81628.5</v>
      </c>
      <c r="BJ87" s="79">
        <v>7667</v>
      </c>
      <c r="BK87" s="79">
        <v>9667</v>
      </c>
      <c r="BL87" s="79">
        <v>15667</v>
      </c>
      <c r="BM87" s="79">
        <v>70892</v>
      </c>
      <c r="BN87" s="79">
        <v>65000</v>
      </c>
      <c r="BO87" s="79">
        <v>65000</v>
      </c>
      <c r="BP87" s="79">
        <v>65000</v>
      </c>
      <c r="BQ87" s="79">
        <v>65000</v>
      </c>
      <c r="BR87" s="79">
        <v>65000</v>
      </c>
      <c r="BS87" s="79">
        <v>423981.75</v>
      </c>
    </row>
    <row r="88" spans="1:71" ht="15" hidden="1" customHeight="1">
      <c r="A88" s="66" t="s">
        <v>1412</v>
      </c>
      <c r="B88" s="737" t="s">
        <v>1413</v>
      </c>
      <c r="C88" s="346"/>
      <c r="D88" s="343" t="str">
        <f>_xlfn.TEXTJOIN("_",FALSE,E88,ERP_8[[#This Row],[Expense Category]],ERP_8[[#This Row],[Project Code*]])</f>
        <v>Ganesan, Srinivasan_CONTRACTORS_IT-PBU0901-OT-US-00</v>
      </c>
      <c r="E88" s="343" t="s">
        <v>1344</v>
      </c>
      <c r="F88" s="346"/>
      <c r="G88" s="150" t="s">
        <v>1136</v>
      </c>
      <c r="H88" s="150" t="s">
        <v>1345</v>
      </c>
      <c r="I88" s="150" t="s">
        <v>1346</v>
      </c>
      <c r="J88" s="150" t="s">
        <v>1346</v>
      </c>
      <c r="K88" s="511" t="s">
        <v>49</v>
      </c>
      <c r="L88" s="392" t="s">
        <v>1414</v>
      </c>
      <c r="M88" s="343"/>
      <c r="N88" s="802" t="s">
        <v>1415</v>
      </c>
      <c r="O88" s="70" t="s">
        <v>314</v>
      </c>
      <c r="P88" s="346"/>
      <c r="Q88" s="346" t="s">
        <v>1416</v>
      </c>
      <c r="R88" s="346"/>
      <c r="S88" s="150" t="s">
        <v>25</v>
      </c>
      <c r="T88" s="150" t="s">
        <v>1417</v>
      </c>
      <c r="U88" s="403"/>
      <c r="V88" s="406">
        <v>0</v>
      </c>
      <c r="W88" s="406">
        <v>0.33000000000174623</v>
      </c>
      <c r="X88" s="425"/>
      <c r="Y88" s="71"/>
      <c r="Z88" s="784"/>
      <c r="AA88" s="794">
        <v>63054.92</v>
      </c>
      <c r="AB88" s="794">
        <v>-63054.59</v>
      </c>
      <c r="AC88" s="428">
        <v>0</v>
      </c>
      <c r="AD88" s="429">
        <v>0</v>
      </c>
      <c r="AE88" s="429">
        <v>0</v>
      </c>
      <c r="AF88" s="429">
        <v>0</v>
      </c>
      <c r="AG88" s="360">
        <v>0</v>
      </c>
      <c r="AH88" s="360">
        <v>0</v>
      </c>
      <c r="AI88" s="360">
        <v>0</v>
      </c>
      <c r="AJ88" s="360">
        <v>0</v>
      </c>
      <c r="AK88" s="360">
        <v>0</v>
      </c>
      <c r="AL88" s="360">
        <f t="shared" si="4"/>
        <v>0.33000000000174623</v>
      </c>
      <c r="AM88" s="362">
        <f>ERP_8[[#This Row],[2026 Working Total]]-ERP_8[[#This Row],[LE2 Final Submission]]</f>
        <v>0</v>
      </c>
      <c r="AN88" s="79">
        <v>0</v>
      </c>
      <c r="AO88" s="79">
        <f t="shared" si="5"/>
        <v>0</v>
      </c>
      <c r="AP88" s="374">
        <f>SUM(ERP_8[[#This Row],[AP01]:[AP07]])-SUM(ERP_8[[#This Row],[AP01 LE2]:[AP07 LE2]])</f>
        <v>0</v>
      </c>
      <c r="AQ88" s="80"/>
      <c r="AR88" s="79">
        <f>ERP_8[[#This Row],[2026 Working Total to Budget/LE]]-ERP_8[[#This Row],[Giveback]]</f>
        <v>0</v>
      </c>
      <c r="AS88" s="81"/>
      <c r="AT88" s="375"/>
      <c r="AU88" s="375">
        <v>63054.92</v>
      </c>
      <c r="AV88" s="375">
        <v>-63054.59</v>
      </c>
      <c r="AW88" s="375">
        <v>0</v>
      </c>
      <c r="AX88" s="375">
        <v>0</v>
      </c>
      <c r="AY88" s="375">
        <v>0</v>
      </c>
      <c r="AZ88" s="375">
        <v>0</v>
      </c>
      <c r="BA88" s="375">
        <v>0</v>
      </c>
      <c r="BB88" s="375">
        <v>0</v>
      </c>
      <c r="BC88" s="375">
        <v>0</v>
      </c>
      <c r="BD88" s="375">
        <v>0</v>
      </c>
      <c r="BE88" s="375">
        <v>0</v>
      </c>
      <c r="BF88" s="375">
        <v>0.33000000000174623</v>
      </c>
      <c r="BG88" s="79"/>
      <c r="BH88" s="79">
        <v>63054.92</v>
      </c>
      <c r="BI88" s="79">
        <v>-63054.59</v>
      </c>
      <c r="BJ88" s="79">
        <v>0</v>
      </c>
      <c r="BK88" s="79">
        <v>0</v>
      </c>
      <c r="BL88" s="79">
        <v>0</v>
      </c>
      <c r="BM88" s="79">
        <v>0</v>
      </c>
      <c r="BN88" s="79">
        <v>0</v>
      </c>
      <c r="BO88" s="79">
        <v>0</v>
      </c>
      <c r="BP88" s="79">
        <v>0</v>
      </c>
      <c r="BQ88" s="79">
        <v>0</v>
      </c>
      <c r="BR88" s="79">
        <v>0</v>
      </c>
      <c r="BS88" s="79">
        <v>0.33000000000174623</v>
      </c>
    </row>
    <row r="89" spans="1:71" ht="15" hidden="1" customHeight="1">
      <c r="A89" s="66" t="s">
        <v>1418</v>
      </c>
      <c r="B89" s="737" t="s">
        <v>1419</v>
      </c>
      <c r="C89" s="346"/>
      <c r="D89" s="343" t="str">
        <f>_xlfn.TEXTJOIN("_",FALSE,E89,ERP_8[[#This Row],[Expense Category]],ERP_8[[#This Row],[Project Code*]])</f>
        <v>Ganesan, Srinivasan_CONTRACTORS_IT-PBU1059-OT-US-00</v>
      </c>
      <c r="E89" s="343" t="s">
        <v>1344</v>
      </c>
      <c r="F89" s="346"/>
      <c r="G89" s="150" t="s">
        <v>1136</v>
      </c>
      <c r="H89" s="150" t="s">
        <v>1345</v>
      </c>
      <c r="I89" s="150" t="s">
        <v>1346</v>
      </c>
      <c r="J89" s="150" t="s">
        <v>1346</v>
      </c>
      <c r="K89" s="511" t="s">
        <v>49</v>
      </c>
      <c r="L89" s="392" t="s">
        <v>1420</v>
      </c>
      <c r="M89" s="343"/>
      <c r="N89" s="802" t="s">
        <v>1415</v>
      </c>
      <c r="O89" s="70" t="s">
        <v>316</v>
      </c>
      <c r="P89" s="346"/>
      <c r="Q89" s="346" t="s">
        <v>1421</v>
      </c>
      <c r="R89" s="346"/>
      <c r="S89" s="150" t="s">
        <v>25</v>
      </c>
      <c r="T89" s="150" t="s">
        <v>1417</v>
      </c>
      <c r="U89" s="404"/>
      <c r="V89" s="407">
        <v>0</v>
      </c>
      <c r="W89" s="407">
        <v>0</v>
      </c>
      <c r="X89" s="430"/>
      <c r="Y89" s="137"/>
      <c r="Z89" s="784"/>
      <c r="AA89" s="794">
        <v>89550.8</v>
      </c>
      <c r="AB89" s="794">
        <v>-89550.8</v>
      </c>
      <c r="AC89" s="428">
        <v>0</v>
      </c>
      <c r="AD89" s="429">
        <v>0</v>
      </c>
      <c r="AE89" s="429">
        <v>0</v>
      </c>
      <c r="AF89" s="429">
        <v>0</v>
      </c>
      <c r="AG89" s="363"/>
      <c r="AH89" s="363"/>
      <c r="AI89" s="363"/>
      <c r="AJ89" s="363"/>
      <c r="AK89" s="363"/>
      <c r="AL89" s="360">
        <f t="shared" si="4"/>
        <v>0</v>
      </c>
      <c r="AM89" s="362">
        <f>ERP_8[[#This Row],[2026 Working Total]]-ERP_8[[#This Row],[LE2 Final Submission]]</f>
        <v>0</v>
      </c>
      <c r="AN89" s="79"/>
      <c r="AO89" s="79">
        <f t="shared" si="5"/>
        <v>0</v>
      </c>
      <c r="AP89" s="374">
        <f>SUM(ERP_8[[#This Row],[AP01]:[AP07]])-SUM(ERP_8[[#This Row],[AP01 LE2]:[AP07 LE2]])</f>
        <v>0</v>
      </c>
      <c r="AQ89" s="80"/>
      <c r="AR89" s="79">
        <f>ERP_8[[#This Row],[2026 Working Total to Budget/LE]]-ERP_8[[#This Row],[Giveback]]</f>
        <v>0</v>
      </c>
      <c r="AS89" s="81"/>
      <c r="AT89" s="375"/>
      <c r="AU89" s="375">
        <v>89550.8</v>
      </c>
      <c r="AV89" s="375">
        <v>-89550.8</v>
      </c>
      <c r="AW89" s="375"/>
      <c r="AX89" s="375"/>
      <c r="AY89" s="375"/>
      <c r="AZ89" s="375"/>
      <c r="BA89" s="375"/>
      <c r="BB89" s="375"/>
      <c r="BC89" s="375"/>
      <c r="BD89" s="375"/>
      <c r="BE89" s="375"/>
      <c r="BF89" s="375">
        <v>0</v>
      </c>
      <c r="BG89" s="79"/>
      <c r="BH89" s="79">
        <v>89550.8</v>
      </c>
      <c r="BI89" s="79">
        <v>-89550.8</v>
      </c>
      <c r="BJ89" s="79"/>
      <c r="BK89" s="79"/>
      <c r="BL89" s="79"/>
      <c r="BM89" s="79"/>
      <c r="BN89" s="79"/>
      <c r="BO89" s="79"/>
      <c r="BP89" s="79"/>
      <c r="BQ89" s="79"/>
      <c r="BR89" s="79"/>
      <c r="BS89" s="79">
        <v>0</v>
      </c>
    </row>
    <row r="90" spans="1:71" ht="15" hidden="1" customHeight="1">
      <c r="A90" s="66" t="s">
        <v>1422</v>
      </c>
      <c r="B90" s="737" t="s">
        <v>193</v>
      </c>
      <c r="C90" s="346"/>
      <c r="D90" s="343" t="str">
        <f>_xlfn.TEXTJOIN("_",FALSE,E90,ERP_8[[#This Row],[Expense Category]],ERP_8[[#This Row],[Project Code*]])</f>
        <v>Ganesan, Srinivasan_CONTRACTORS_IT-SFT1205-86-OG-US</v>
      </c>
      <c r="E90" s="343" t="s">
        <v>1344</v>
      </c>
      <c r="F90" s="346"/>
      <c r="G90" s="150" t="s">
        <v>1136</v>
      </c>
      <c r="H90" s="150" t="s">
        <v>1345</v>
      </c>
      <c r="I90" s="150" t="s">
        <v>1344</v>
      </c>
      <c r="J90" s="150" t="s">
        <v>1346</v>
      </c>
      <c r="K90" s="511" t="s">
        <v>49</v>
      </c>
      <c r="L90" s="392" t="s">
        <v>1423</v>
      </c>
      <c r="M90" s="343"/>
      <c r="N90" s="800" t="s">
        <v>1363</v>
      </c>
      <c r="O90" s="70" t="s">
        <v>194</v>
      </c>
      <c r="P90" s="346"/>
      <c r="Q90" s="343"/>
      <c r="R90" s="346"/>
      <c r="S90" s="150" t="s">
        <v>25</v>
      </c>
      <c r="T90" s="150"/>
      <c r="U90" s="403"/>
      <c r="V90" s="406">
        <v>0</v>
      </c>
      <c r="W90" s="406">
        <v>3710</v>
      </c>
      <c r="X90" s="425"/>
      <c r="Y90" s="71"/>
      <c r="Z90" s="784"/>
      <c r="AA90" s="780">
        <v>3710</v>
      </c>
      <c r="AB90" s="780">
        <v>0</v>
      </c>
      <c r="AC90" s="428">
        <v>0</v>
      </c>
      <c r="AD90" s="429">
        <v>0</v>
      </c>
      <c r="AE90" s="429">
        <v>0</v>
      </c>
      <c r="AF90" s="429">
        <v>0</v>
      </c>
      <c r="AG90" s="360">
        <v>0</v>
      </c>
      <c r="AH90" s="360">
        <v>0</v>
      </c>
      <c r="AI90" s="360">
        <v>0</v>
      </c>
      <c r="AJ90" s="360">
        <v>0</v>
      </c>
      <c r="AK90" s="360">
        <v>0</v>
      </c>
      <c r="AL90" s="360">
        <f t="shared" si="4"/>
        <v>3710</v>
      </c>
      <c r="AM90" s="362">
        <f>ERP_8[[#This Row],[2026 Working Total]]-ERP_8[[#This Row],[LE2 Final Submission]]</f>
        <v>0</v>
      </c>
      <c r="AN90" s="79">
        <v>0</v>
      </c>
      <c r="AO90" s="79">
        <f t="shared" si="5"/>
        <v>0</v>
      </c>
      <c r="AP90" s="374">
        <f>SUM(ERP_8[[#This Row],[AP01]:[AP07]])-SUM(ERP_8[[#This Row],[AP01 LE2]:[AP07 LE2]])</f>
        <v>0</v>
      </c>
      <c r="AQ90" s="80"/>
      <c r="AR90" s="79">
        <f>ERP_8[[#This Row],[2026 Working Total to Budget/LE]]-ERP_8[[#This Row],[Giveback]]</f>
        <v>0</v>
      </c>
      <c r="AS90" s="155" t="s">
        <v>1424</v>
      </c>
      <c r="AT90" s="375"/>
      <c r="AU90" s="375">
        <v>3710</v>
      </c>
      <c r="AV90" s="375">
        <v>0</v>
      </c>
      <c r="AW90" s="375">
        <v>0</v>
      </c>
      <c r="AX90" s="375">
        <v>0</v>
      </c>
      <c r="AY90" s="375">
        <v>0</v>
      </c>
      <c r="AZ90" s="375">
        <v>0</v>
      </c>
      <c r="BA90" s="375">
        <v>0</v>
      </c>
      <c r="BB90" s="375">
        <v>0</v>
      </c>
      <c r="BC90" s="375">
        <v>0</v>
      </c>
      <c r="BD90" s="375">
        <v>0</v>
      </c>
      <c r="BE90" s="375">
        <v>0</v>
      </c>
      <c r="BF90" s="375">
        <v>3710</v>
      </c>
      <c r="BG90" s="79"/>
      <c r="BH90" s="79">
        <v>3710</v>
      </c>
      <c r="BI90" s="79">
        <v>0</v>
      </c>
      <c r="BJ90" s="79">
        <v>0</v>
      </c>
      <c r="BK90" s="79">
        <v>0</v>
      </c>
      <c r="BL90" s="79">
        <v>0</v>
      </c>
      <c r="BM90" s="79">
        <v>0</v>
      </c>
      <c r="BN90" s="79">
        <v>0</v>
      </c>
      <c r="BO90" s="79">
        <v>0</v>
      </c>
      <c r="BP90" s="79">
        <v>0</v>
      </c>
      <c r="BQ90" s="79">
        <v>0</v>
      </c>
      <c r="BR90" s="79">
        <v>0</v>
      </c>
      <c r="BS90" s="79">
        <v>3710</v>
      </c>
    </row>
    <row r="91" spans="1:71" ht="15" hidden="1" customHeight="1">
      <c r="A91" s="66" t="s">
        <v>1425</v>
      </c>
      <c r="B91" s="737" t="s">
        <v>195</v>
      </c>
      <c r="C91" s="346"/>
      <c r="D91" s="343" t="str">
        <f>_xlfn.TEXTJOIN("_",FALSE,E91,ERP_8[[#This Row],[Expense Category]],ERP_8[[#This Row],[Project Code*]])</f>
        <v>Ganesan, Srinivasan_CONTRACTORS_MISC001</v>
      </c>
      <c r="E91" s="343" t="s">
        <v>1344</v>
      </c>
      <c r="F91" s="346"/>
      <c r="G91" s="150" t="s">
        <v>1136</v>
      </c>
      <c r="H91" s="150" t="s">
        <v>1345</v>
      </c>
      <c r="I91" s="150" t="s">
        <v>1344</v>
      </c>
      <c r="J91" s="150" t="s">
        <v>1346</v>
      </c>
      <c r="K91" s="511" t="s">
        <v>49</v>
      </c>
      <c r="L91" s="392" t="s">
        <v>1327</v>
      </c>
      <c r="M91" s="343"/>
      <c r="N91" s="800" t="s">
        <v>1363</v>
      </c>
      <c r="O91" s="70" t="s">
        <v>147</v>
      </c>
      <c r="P91" s="346"/>
      <c r="Q91" s="343"/>
      <c r="R91" s="346"/>
      <c r="S91" s="150" t="s">
        <v>25</v>
      </c>
      <c r="T91" s="150"/>
      <c r="U91" s="403"/>
      <c r="V91" s="406">
        <v>0</v>
      </c>
      <c r="W91" s="406">
        <v>-0.47</v>
      </c>
      <c r="X91" s="425"/>
      <c r="Y91" s="71"/>
      <c r="Z91" s="784">
        <v>-0.28999999999999998</v>
      </c>
      <c r="AA91" s="780">
        <v>0.43</v>
      </c>
      <c r="AB91" s="780">
        <v>-0.61</v>
      </c>
      <c r="AC91" s="428">
        <v>0.34</v>
      </c>
      <c r="AD91" s="429">
        <v>0.22</v>
      </c>
      <c r="AE91" s="429">
        <v>0.05</v>
      </c>
      <c r="AF91" s="429">
        <v>0</v>
      </c>
      <c r="AG91" s="360">
        <v>0</v>
      </c>
      <c r="AH91" s="360">
        <v>0</v>
      </c>
      <c r="AI91" s="360">
        <v>0</v>
      </c>
      <c r="AJ91" s="360">
        <v>0</v>
      </c>
      <c r="AK91" s="360">
        <v>0</v>
      </c>
      <c r="AL91" s="360">
        <f t="shared" si="4"/>
        <v>0.14000000000000007</v>
      </c>
      <c r="AM91" s="362">
        <f>ERP_8[[#This Row],[2026 Working Total]]-ERP_8[[#This Row],[LE2 Final Submission]]</f>
        <v>0.6100000000000001</v>
      </c>
      <c r="AN91" s="79">
        <v>0</v>
      </c>
      <c r="AO91" s="79">
        <f t="shared" si="5"/>
        <v>0.05</v>
      </c>
      <c r="AP91" s="374">
        <f>SUM(ERP_8[[#This Row],[AP01]:[AP07]])-SUM(ERP_8[[#This Row],[AP01 LE2]:[AP07 LE2]])</f>
        <v>0.6100000000000001</v>
      </c>
      <c r="AQ91" s="80"/>
      <c r="AR91" s="79">
        <f>ERP_8[[#This Row],[2026 Working Total to Budget/LE]]-ERP_8[[#This Row],[Giveback]]</f>
        <v>0.6100000000000001</v>
      </c>
      <c r="AS91" s="81"/>
      <c r="AT91" s="375">
        <v>-0.28999999999999998</v>
      </c>
      <c r="AU91" s="375">
        <v>0.43</v>
      </c>
      <c r="AV91" s="375">
        <v>-0.61</v>
      </c>
      <c r="AW91" s="375">
        <v>0</v>
      </c>
      <c r="AX91" s="375">
        <v>0</v>
      </c>
      <c r="AY91" s="375">
        <v>0</v>
      </c>
      <c r="AZ91" s="375">
        <v>0</v>
      </c>
      <c r="BA91" s="375">
        <v>0</v>
      </c>
      <c r="BB91" s="375">
        <v>0</v>
      </c>
      <c r="BC91" s="375">
        <v>0</v>
      </c>
      <c r="BD91" s="375">
        <v>0</v>
      </c>
      <c r="BE91" s="375">
        <v>0</v>
      </c>
      <c r="BF91" s="375">
        <v>-0.47</v>
      </c>
      <c r="BG91" s="79">
        <v>-0.28999999999999998</v>
      </c>
      <c r="BH91" s="79">
        <v>0.43</v>
      </c>
      <c r="BI91" s="79">
        <v>-0.61</v>
      </c>
      <c r="BJ91" s="79">
        <v>0</v>
      </c>
      <c r="BK91" s="79">
        <v>0</v>
      </c>
      <c r="BL91" s="79">
        <v>0</v>
      </c>
      <c r="BM91" s="79">
        <v>0</v>
      </c>
      <c r="BN91" s="79">
        <v>0</v>
      </c>
      <c r="BO91" s="79">
        <v>0</v>
      </c>
      <c r="BP91" s="79">
        <v>0</v>
      </c>
      <c r="BQ91" s="79">
        <v>0</v>
      </c>
      <c r="BR91" s="79">
        <v>0</v>
      </c>
      <c r="BS91" s="79">
        <v>-0.47</v>
      </c>
    </row>
    <row r="92" spans="1:71" ht="15" hidden="1" customHeight="1">
      <c r="A92" s="66" t="s">
        <v>1426</v>
      </c>
      <c r="B92" s="737" t="s">
        <v>196</v>
      </c>
      <c r="C92" s="346"/>
      <c r="D92" s="343" t="str">
        <f>_xlfn.TEXTJOIN("_",FALSE,E92,ERP_8[[#This Row],[Expense Category]],ERP_8[[#This Row],[Project Code*]])</f>
        <v>Ganesan, Srinivasan_CONTRACTORS_POClosure001</v>
      </c>
      <c r="E92" s="343" t="s">
        <v>1344</v>
      </c>
      <c r="F92" s="346"/>
      <c r="G92" s="150" t="s">
        <v>1136</v>
      </c>
      <c r="H92" s="150" t="s">
        <v>1345</v>
      </c>
      <c r="I92" s="150" t="s">
        <v>1344</v>
      </c>
      <c r="J92" s="150" t="s">
        <v>1346</v>
      </c>
      <c r="K92" s="511" t="s">
        <v>49</v>
      </c>
      <c r="L92" s="392" t="s">
        <v>1340</v>
      </c>
      <c r="M92" s="343"/>
      <c r="N92" s="800" t="s">
        <v>1363</v>
      </c>
      <c r="O92" s="70" t="s">
        <v>149</v>
      </c>
      <c r="P92" s="346" t="s">
        <v>1139</v>
      </c>
      <c r="Q92" s="343"/>
      <c r="R92" s="346"/>
      <c r="S92" s="150" t="s">
        <v>25</v>
      </c>
      <c r="T92" s="150"/>
      <c r="U92" s="403"/>
      <c r="V92" s="406">
        <v>0</v>
      </c>
      <c r="W92" s="406">
        <v>-8178.7199999999993</v>
      </c>
      <c r="X92" s="430"/>
      <c r="Y92" s="137"/>
      <c r="Z92" s="784">
        <v>-879.72</v>
      </c>
      <c r="AA92" s="780">
        <v>-0.18</v>
      </c>
      <c r="AB92" s="780">
        <v>-7298.82</v>
      </c>
      <c r="AC92" s="428">
        <v>0</v>
      </c>
      <c r="AD92" s="429">
        <v>0</v>
      </c>
      <c r="AE92" s="429">
        <v>0</v>
      </c>
      <c r="AF92" s="429">
        <v>0</v>
      </c>
      <c r="AG92" s="360">
        <v>0</v>
      </c>
      <c r="AH92" s="360">
        <v>0</v>
      </c>
      <c r="AI92" s="360">
        <v>0</v>
      </c>
      <c r="AJ92" s="360">
        <v>0</v>
      </c>
      <c r="AK92" s="360">
        <v>0</v>
      </c>
      <c r="AL92" s="360">
        <f t="shared" si="4"/>
        <v>-8178.7199999999993</v>
      </c>
      <c r="AM92" s="362">
        <f>ERP_8[[#This Row],[2026 Working Total]]-ERP_8[[#This Row],[LE2 Final Submission]]</f>
        <v>0</v>
      </c>
      <c r="AN92" s="79">
        <v>0</v>
      </c>
      <c r="AO92" s="79">
        <f t="shared" si="5"/>
        <v>0</v>
      </c>
      <c r="AP92" s="374">
        <f>SUM(ERP_8[[#This Row],[AP01]:[AP07]])-SUM(ERP_8[[#This Row],[AP01 LE2]:[AP07 LE2]])</f>
        <v>0</v>
      </c>
      <c r="AQ92" s="80"/>
      <c r="AR92" s="79">
        <f>ERP_8[[#This Row],[2026 Working Total to Budget/LE]]-ERP_8[[#This Row],[Giveback]]</f>
        <v>0</v>
      </c>
      <c r="AS92" s="81"/>
      <c r="AT92" s="375">
        <v>-879.72</v>
      </c>
      <c r="AU92" s="375">
        <v>-0.18</v>
      </c>
      <c r="AV92" s="375">
        <v>-7298.82</v>
      </c>
      <c r="AW92" s="375">
        <v>0</v>
      </c>
      <c r="AX92" s="375">
        <v>0</v>
      </c>
      <c r="AY92" s="375">
        <v>0</v>
      </c>
      <c r="AZ92" s="375">
        <v>0</v>
      </c>
      <c r="BA92" s="375">
        <v>0</v>
      </c>
      <c r="BB92" s="375">
        <v>0</v>
      </c>
      <c r="BC92" s="375">
        <v>0</v>
      </c>
      <c r="BD92" s="375">
        <v>0</v>
      </c>
      <c r="BE92" s="375">
        <v>0</v>
      </c>
      <c r="BF92" s="375">
        <v>-8178.7199999999993</v>
      </c>
      <c r="BG92" s="79">
        <v>-879.72</v>
      </c>
      <c r="BH92" s="79">
        <v>-0.18</v>
      </c>
      <c r="BI92" s="79">
        <v>-7298.82</v>
      </c>
      <c r="BJ92" s="79">
        <v>0</v>
      </c>
      <c r="BK92" s="79">
        <v>0</v>
      </c>
      <c r="BL92" s="79">
        <v>0</v>
      </c>
      <c r="BM92" s="79">
        <v>0</v>
      </c>
      <c r="BN92" s="79">
        <v>0</v>
      </c>
      <c r="BO92" s="79">
        <v>0</v>
      </c>
      <c r="BP92" s="79">
        <v>0</v>
      </c>
      <c r="BQ92" s="79">
        <v>0</v>
      </c>
      <c r="BR92" s="79">
        <v>0</v>
      </c>
      <c r="BS92" s="79">
        <v>-8178.7199999999993</v>
      </c>
    </row>
    <row r="93" spans="1:71" ht="15" hidden="1" customHeight="1">
      <c r="A93" s="79" t="s">
        <v>1427</v>
      </c>
      <c r="B93" s="66" t="s">
        <v>1428</v>
      </c>
      <c r="C93" s="818"/>
      <c r="D93" s="343" t="str">
        <f>_xlfn.TEXTJOIN("_",FALSE,E93,ERP_8[[#This Row],[Expense Category]],ERP_8[[#This Row],[Project Code*]])</f>
        <v>Hase, Raj_CONTRACTORS_</v>
      </c>
      <c r="E93" s="818" t="s">
        <v>1345</v>
      </c>
      <c r="F93" s="818"/>
      <c r="G93" s="332" t="s">
        <v>1136</v>
      </c>
      <c r="H93" s="332" t="s">
        <v>1345</v>
      </c>
      <c r="I93" s="332" t="s">
        <v>1345</v>
      </c>
      <c r="J93" s="333" t="s">
        <v>1345</v>
      </c>
      <c r="K93" s="514" t="s">
        <v>49</v>
      </c>
      <c r="L93" s="394" t="s">
        <v>1429</v>
      </c>
      <c r="M93" s="333"/>
      <c r="N93" s="801"/>
      <c r="O93" s="90"/>
      <c r="P93" s="347"/>
      <c r="Q93" s="347"/>
      <c r="R93" s="348"/>
      <c r="S93" s="505" t="s">
        <v>272</v>
      </c>
      <c r="T93" s="348" t="s">
        <v>1430</v>
      </c>
      <c r="U93" s="402"/>
      <c r="V93" s="358"/>
      <c r="W93" s="379"/>
      <c r="X93" s="425"/>
      <c r="Y93" s="71"/>
      <c r="Z93" s="784"/>
      <c r="AA93" s="781"/>
      <c r="AB93" s="781"/>
      <c r="AC93" s="434"/>
      <c r="AD93" s="434"/>
      <c r="AE93" s="434"/>
      <c r="AF93" s="429"/>
      <c r="AG93" s="364"/>
      <c r="AH93" s="364"/>
      <c r="AI93" s="364">
        <v>25000</v>
      </c>
      <c r="AJ93" s="364">
        <v>25000</v>
      </c>
      <c r="AK93" s="364">
        <v>48924</v>
      </c>
      <c r="AL93" s="360">
        <f t="shared" si="4"/>
        <v>98924</v>
      </c>
      <c r="AM93" s="362">
        <f>ERP_8[[#This Row],[2026 Working Total]]-ERP_8[[#This Row],[LE2 Final Submission]]</f>
        <v>98924</v>
      </c>
      <c r="AN93" s="79"/>
      <c r="AO93" s="79">
        <f t="shared" si="5"/>
        <v>0</v>
      </c>
      <c r="AP93" s="391">
        <f>SUM(ERP_8[[#This Row],[AP01]:[AP07]])-SUM(ERP_8[[#This Row],[AP01 LE2]:[AP07 LE2]])</f>
        <v>0</v>
      </c>
      <c r="AQ93" s="80"/>
      <c r="AR93" s="79">
        <f>ERP_8[[#This Row],[2026 Working Total to Budget/LE]]-ERP_8[[#This Row],[Giveback]]</f>
        <v>98924</v>
      </c>
      <c r="AS93" s="81"/>
      <c r="AT93" s="375"/>
      <c r="AU93" s="375"/>
      <c r="AV93" s="375"/>
      <c r="AW93" s="375"/>
      <c r="AX93" s="375"/>
      <c r="AY93" s="375"/>
      <c r="AZ93" s="375"/>
      <c r="BA93" s="375"/>
      <c r="BB93" s="375"/>
      <c r="BC93" s="375"/>
      <c r="BD93" s="375"/>
      <c r="BE93" s="375"/>
      <c r="BF93" s="375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</row>
    <row r="94" spans="1:71" ht="15" hidden="1" customHeight="1">
      <c r="A94" s="79" t="s">
        <v>1431</v>
      </c>
      <c r="B94" s="749" t="s">
        <v>197</v>
      </c>
      <c r="C94" s="348"/>
      <c r="D94" s="347" t="str">
        <f>_xlfn.TEXTJOIN("_",FALSE,E94,ERP_8[[#This Row],[Expense Category]],ERP_8[[#This Row],[Project Code*]])</f>
        <v>Hase, Raj_CONTRACTORS_ColleagueSolutions001</v>
      </c>
      <c r="E94" s="347" t="s">
        <v>1345</v>
      </c>
      <c r="F94" s="348"/>
      <c r="G94" s="150" t="s">
        <v>1136</v>
      </c>
      <c r="H94" s="332" t="s">
        <v>1345</v>
      </c>
      <c r="I94" s="383" t="s">
        <v>1345</v>
      </c>
      <c r="J94" s="331" t="s">
        <v>1346</v>
      </c>
      <c r="K94" s="512" t="s">
        <v>49</v>
      </c>
      <c r="L94" s="393" t="s">
        <v>1138</v>
      </c>
      <c r="M94" s="343"/>
      <c r="N94" s="803"/>
      <c r="O94" s="91" t="s">
        <v>51</v>
      </c>
      <c r="P94" s="346" t="s">
        <v>1139</v>
      </c>
      <c r="Q94" s="346" t="s">
        <v>1140</v>
      </c>
      <c r="R94" s="348"/>
      <c r="S94" s="386" t="s">
        <v>25</v>
      </c>
      <c r="T94" s="387" t="s">
        <v>1348</v>
      </c>
      <c r="U94" s="432"/>
      <c r="V94" s="358">
        <v>437.38</v>
      </c>
      <c r="W94" s="378">
        <v>0</v>
      </c>
      <c r="X94" s="430"/>
      <c r="Y94" s="137"/>
      <c r="Z94" s="783"/>
      <c r="AA94" s="781"/>
      <c r="AB94" s="781"/>
      <c r="AC94" s="428" t="s">
        <v>1142</v>
      </c>
      <c r="AD94" s="429">
        <v>0</v>
      </c>
      <c r="AE94" s="429">
        <v>0</v>
      </c>
      <c r="AF94" s="429" t="s">
        <v>1142</v>
      </c>
      <c r="AG94" s="388">
        <v>0</v>
      </c>
      <c r="AH94" s="388">
        <v>0</v>
      </c>
      <c r="AI94" s="388">
        <v>0</v>
      </c>
      <c r="AJ94" s="388">
        <v>0</v>
      </c>
      <c r="AK94" s="388">
        <v>0</v>
      </c>
      <c r="AL94" s="360">
        <f t="shared" si="4"/>
        <v>0</v>
      </c>
      <c r="AM94" s="362">
        <f>ERP_8[[#This Row],[2026 Working Total]]-ERP_8[[#This Row],[LE2 Final Submission]]</f>
        <v>0</v>
      </c>
      <c r="AN94" s="79">
        <v>0</v>
      </c>
      <c r="AO94" s="79">
        <f t="shared" si="5"/>
        <v>0</v>
      </c>
      <c r="AP94" s="374">
        <f>SUM(ERP_8[[#This Row],[AP01]:[AP07]])-SUM(ERP_8[[#This Row],[AP01 LE2]:[AP07 LE2]])</f>
        <v>0</v>
      </c>
      <c r="AQ94" s="80"/>
      <c r="AR94" s="79">
        <f>ERP_8[[#This Row],[2026 Working Total to Budget/LE]]-ERP_8[[#This Row],[Giveback]]</f>
        <v>0</v>
      </c>
      <c r="AS94" s="81"/>
      <c r="AT94" s="375"/>
      <c r="AU94" s="375"/>
      <c r="AV94" s="375"/>
      <c r="AW94" s="375">
        <v>0</v>
      </c>
      <c r="AX94" s="375">
        <v>0</v>
      </c>
      <c r="AY94" s="375">
        <v>0</v>
      </c>
      <c r="AZ94" s="375">
        <v>0</v>
      </c>
      <c r="BA94" s="375">
        <v>0</v>
      </c>
      <c r="BB94" s="375">
        <v>0</v>
      </c>
      <c r="BC94" s="375">
        <v>0</v>
      </c>
      <c r="BD94" s="375">
        <v>0</v>
      </c>
      <c r="BE94" s="375">
        <v>0</v>
      </c>
      <c r="BF94" s="375">
        <v>0</v>
      </c>
      <c r="BG94" s="103">
        <v>0</v>
      </c>
      <c r="BH94" s="103">
        <v>437.38</v>
      </c>
      <c r="BI94" s="103">
        <v>0</v>
      </c>
      <c r="BJ94" s="103">
        <v>0</v>
      </c>
      <c r="BK94" s="103">
        <v>0</v>
      </c>
      <c r="BL94" s="103">
        <v>0</v>
      </c>
      <c r="BM94" s="103">
        <v>0</v>
      </c>
      <c r="BN94" s="103">
        <v>0</v>
      </c>
      <c r="BO94" s="103">
        <v>0</v>
      </c>
      <c r="BP94" s="103">
        <v>0</v>
      </c>
      <c r="BQ94" s="103">
        <v>0</v>
      </c>
      <c r="BR94" s="103">
        <v>0</v>
      </c>
      <c r="BS94" s="79">
        <f>SUM(ERP_8[[#This Row],[2026 AP01]:[2026 AP12]])</f>
        <v>437.38</v>
      </c>
    </row>
    <row r="95" spans="1:71" ht="15" hidden="1" customHeight="1">
      <c r="A95" s="66" t="s">
        <v>1432</v>
      </c>
      <c r="B95" s="737" t="s">
        <v>198</v>
      </c>
      <c r="C95" s="346"/>
      <c r="D95" s="343" t="str">
        <f>_xlfn.TEXTJOIN("_",FALSE,E95,ERP_8[[#This Row],[Expense Category]],ERP_8[[#This Row],[Project Code*]])</f>
        <v>Hase, Raj_CONTRACTORS_EnhanceChargeout001</v>
      </c>
      <c r="E95" s="343" t="s">
        <v>1345</v>
      </c>
      <c r="F95" s="346"/>
      <c r="G95" s="150" t="s">
        <v>1136</v>
      </c>
      <c r="H95" s="150" t="s">
        <v>1345</v>
      </c>
      <c r="I95" s="150" t="s">
        <v>1345</v>
      </c>
      <c r="J95" s="150" t="s">
        <v>1346</v>
      </c>
      <c r="K95" s="511" t="s">
        <v>49</v>
      </c>
      <c r="L95" s="392" t="s">
        <v>1147</v>
      </c>
      <c r="M95" s="343"/>
      <c r="N95" s="800" t="s">
        <v>1433</v>
      </c>
      <c r="O95" s="70" t="s">
        <v>53</v>
      </c>
      <c r="P95" s="346" t="s">
        <v>1153</v>
      </c>
      <c r="Q95" s="343"/>
      <c r="R95" s="346"/>
      <c r="S95" s="150" t="s">
        <v>25</v>
      </c>
      <c r="T95" s="150" t="s">
        <v>1434</v>
      </c>
      <c r="U95" s="403"/>
      <c r="V95" s="406">
        <v>0</v>
      </c>
      <c r="W95" s="406">
        <v>0</v>
      </c>
      <c r="X95" s="425"/>
      <c r="Y95" s="71"/>
      <c r="Z95" s="784">
        <v>579568</v>
      </c>
      <c r="AA95" s="780">
        <v>-598991</v>
      </c>
      <c r="AB95" s="780">
        <v>-317436</v>
      </c>
      <c r="AC95" s="428">
        <v>577046</v>
      </c>
      <c r="AD95" s="429">
        <v>-397395</v>
      </c>
      <c r="AE95" s="429">
        <v>179883.00000000012</v>
      </c>
      <c r="AF95" s="429">
        <v>439613.79999999993</v>
      </c>
      <c r="AG95" s="360">
        <f>-462289/2</f>
        <v>-231144.5</v>
      </c>
      <c r="AH95" s="360">
        <f>-462289/2</f>
        <v>-231144.5</v>
      </c>
      <c r="AI95" s="360"/>
      <c r="AJ95" s="360"/>
      <c r="AK95" s="360"/>
      <c r="AL95" s="360">
        <f t="shared" si="4"/>
        <v>-0.19999999995343387</v>
      </c>
      <c r="AM95" s="362">
        <f>ERP_8[[#This Row],[2026 Working Total]]-ERP_8[[#This Row],[LE2 Final Submission]]</f>
        <v>-0.19999999995343387</v>
      </c>
      <c r="AN95" s="79">
        <v>0</v>
      </c>
      <c r="AO95" s="79">
        <f t="shared" si="5"/>
        <v>179883.00000000012</v>
      </c>
      <c r="AP95" s="374">
        <f>SUM(ERP_8[[#This Row],[AP01]:[AP07]])-SUM(ERP_8[[#This Row],[AP01 LE2]:[AP07 LE2]])</f>
        <v>462288.80000000005</v>
      </c>
      <c r="AQ95" s="80"/>
      <c r="AR95" s="79">
        <f>ERP_8[[#This Row],[2026 Working Total to Budget/LE]]-ERP_8[[#This Row],[Giveback]]</f>
        <v>-0.19999999995343387</v>
      </c>
      <c r="AS95" s="81"/>
      <c r="AT95" s="375">
        <v>579568</v>
      </c>
      <c r="AU95" s="375">
        <v>-598991</v>
      </c>
      <c r="AV95" s="375">
        <v>-317436</v>
      </c>
      <c r="AW95" s="375">
        <v>110000</v>
      </c>
      <c r="AX95" s="375">
        <v>110000</v>
      </c>
      <c r="AY95" s="375">
        <v>116859</v>
      </c>
      <c r="AZ95" s="375"/>
      <c r="BA95" s="375"/>
      <c r="BB95" s="375"/>
      <c r="BC95" s="375"/>
      <c r="BD95" s="375"/>
      <c r="BE95" s="375"/>
      <c r="BF95" s="375">
        <v>0</v>
      </c>
      <c r="BG95" s="79">
        <v>579568</v>
      </c>
      <c r="BH95" s="79">
        <v>-598991</v>
      </c>
      <c r="BI95" s="79">
        <v>-317436</v>
      </c>
      <c r="BJ95" s="79">
        <v>0</v>
      </c>
      <c r="BK95" s="79">
        <v>0</v>
      </c>
      <c r="BL95" s="79">
        <v>0</v>
      </c>
      <c r="BM95" s="79">
        <v>0</v>
      </c>
      <c r="BN95" s="79">
        <v>0</v>
      </c>
      <c r="BO95" s="79">
        <v>0</v>
      </c>
      <c r="BP95" s="79">
        <v>0</v>
      </c>
      <c r="BQ95" s="79">
        <v>0</v>
      </c>
      <c r="BR95" s="79">
        <v>0</v>
      </c>
      <c r="BS95" s="79">
        <v>-336859</v>
      </c>
    </row>
    <row r="96" spans="1:71" ht="15" hidden="1" customHeight="1">
      <c r="A96" s="66" t="s">
        <v>1435</v>
      </c>
      <c r="B96" s="737" t="s">
        <v>1436</v>
      </c>
      <c r="C96" s="346"/>
      <c r="D96" s="343" t="str">
        <f>_xlfn.TEXTJOIN("_",FALSE,E96,ERP_8[[#This Row],[Expense Category]],ERP_8[[#This Row],[Project Code*]])</f>
        <v>Hase, Raj_CONTRACTORS_EP&amp;SCharges001</v>
      </c>
      <c r="E96" s="343" t="s">
        <v>1345</v>
      </c>
      <c r="F96" s="346"/>
      <c r="G96" s="150" t="s">
        <v>1136</v>
      </c>
      <c r="H96" s="150" t="s">
        <v>1345</v>
      </c>
      <c r="I96" s="150" t="s">
        <v>1437</v>
      </c>
      <c r="J96" s="150" t="s">
        <v>1346</v>
      </c>
      <c r="K96" s="511" t="s">
        <v>49</v>
      </c>
      <c r="L96" s="392" t="s">
        <v>1174</v>
      </c>
      <c r="M96" s="343"/>
      <c r="N96" s="800" t="s">
        <v>1438</v>
      </c>
      <c r="O96" s="70" t="s">
        <v>56</v>
      </c>
      <c r="P96" s="346"/>
      <c r="Q96" s="346" t="s">
        <v>1140</v>
      </c>
      <c r="R96" s="346"/>
      <c r="S96" s="150" t="s">
        <v>57</v>
      </c>
      <c r="T96" s="150"/>
      <c r="U96" s="403"/>
      <c r="V96" s="406">
        <v>24000</v>
      </c>
      <c r="W96" s="406">
        <v>18457.8</v>
      </c>
      <c r="X96" s="425"/>
      <c r="Y96" s="71"/>
      <c r="Z96" s="784">
        <v>366.24</v>
      </c>
      <c r="AA96" s="780">
        <v>0</v>
      </c>
      <c r="AB96" s="780">
        <v>91.56</v>
      </c>
      <c r="AC96" s="428">
        <v>0</v>
      </c>
      <c r="AD96" s="429">
        <v>0</v>
      </c>
      <c r="AE96" s="429">
        <v>0</v>
      </c>
      <c r="AF96" s="429">
        <v>0</v>
      </c>
      <c r="AG96" s="363">
        <v>2000</v>
      </c>
      <c r="AH96" s="363">
        <v>2000</v>
      </c>
      <c r="AI96" s="363">
        <v>2000</v>
      </c>
      <c r="AJ96" s="363">
        <v>2000</v>
      </c>
      <c r="AK96" s="363">
        <v>2000</v>
      </c>
      <c r="AL96" s="360">
        <f t="shared" si="4"/>
        <v>10457.799999999999</v>
      </c>
      <c r="AM96" s="362">
        <f>ERP_8[[#This Row],[2026 Working Total]]-ERP_8[[#This Row],[LE2 Final Submission]]</f>
        <v>-8000</v>
      </c>
      <c r="AN96" s="79">
        <v>0</v>
      </c>
      <c r="AO96" s="79">
        <f t="shared" si="5"/>
        <v>0</v>
      </c>
      <c r="AP96" s="374">
        <f>SUM(ERP_8[[#This Row],[AP01]:[AP07]])-SUM(ERP_8[[#This Row],[AP01 LE2]:[AP07 LE2]])</f>
        <v>-7999.9999999999991</v>
      </c>
      <c r="AQ96" s="80"/>
      <c r="AR96" s="79">
        <f>ERP_8[[#This Row],[2026 Working Total to Budget/LE]]-ERP_8[[#This Row],[Giveback]]</f>
        <v>-8000</v>
      </c>
      <c r="AS96" s="81"/>
      <c r="AT96" s="375">
        <v>366.24</v>
      </c>
      <c r="AU96" s="375">
        <v>0</v>
      </c>
      <c r="AV96" s="375">
        <v>91.56</v>
      </c>
      <c r="AW96" s="375">
        <v>2000</v>
      </c>
      <c r="AX96" s="375">
        <v>2000</v>
      </c>
      <c r="AY96" s="375">
        <v>2000</v>
      </c>
      <c r="AZ96" s="375">
        <v>2000</v>
      </c>
      <c r="BA96" s="375">
        <v>2000</v>
      </c>
      <c r="BB96" s="375">
        <v>2000</v>
      </c>
      <c r="BC96" s="375">
        <v>2000</v>
      </c>
      <c r="BD96" s="375">
        <v>2000</v>
      </c>
      <c r="BE96" s="375">
        <v>2000</v>
      </c>
      <c r="BF96" s="375">
        <v>18457.8</v>
      </c>
      <c r="BG96" s="79">
        <v>366.24</v>
      </c>
      <c r="BH96" s="79">
        <v>0</v>
      </c>
      <c r="BI96" s="79">
        <v>91.56</v>
      </c>
      <c r="BJ96" s="79">
        <v>2000</v>
      </c>
      <c r="BK96" s="79">
        <v>2000</v>
      </c>
      <c r="BL96" s="79">
        <v>2000</v>
      </c>
      <c r="BM96" s="79">
        <v>2000</v>
      </c>
      <c r="BN96" s="79">
        <v>2000</v>
      </c>
      <c r="BO96" s="79">
        <v>2000</v>
      </c>
      <c r="BP96" s="79">
        <v>2000</v>
      </c>
      <c r="BQ96" s="79">
        <v>2000</v>
      </c>
      <c r="BR96" s="79">
        <v>2000</v>
      </c>
      <c r="BS96" s="79">
        <v>18457.8</v>
      </c>
    </row>
    <row r="97" spans="1:71" ht="15" hidden="1" customHeight="1">
      <c r="A97" s="150" t="s">
        <v>1439</v>
      </c>
      <c r="B97" s="749" t="s">
        <v>200</v>
      </c>
      <c r="C97" s="348"/>
      <c r="D97" s="347" t="str">
        <f>_xlfn.TEXTJOIN("_",FALSE,E97,ERP_8[[#This Row],[Expense Category]],ERP_8[[#This Row],[Project Code*]])</f>
        <v>Hase, Raj_CONTRACTORS_IT-FBT0450-OG-US-00</v>
      </c>
      <c r="E97" s="347" t="s">
        <v>1345</v>
      </c>
      <c r="F97" s="348"/>
      <c r="G97" s="150" t="s">
        <v>1136</v>
      </c>
      <c r="H97" s="150" t="s">
        <v>1345</v>
      </c>
      <c r="I97" s="150" t="s">
        <v>1345</v>
      </c>
      <c r="J97" s="150" t="s">
        <v>1345</v>
      </c>
      <c r="K97" s="514" t="s">
        <v>49</v>
      </c>
      <c r="L97" s="394" t="s">
        <v>1440</v>
      </c>
      <c r="M97" s="333"/>
      <c r="N97" s="467" t="s">
        <v>1441</v>
      </c>
      <c r="O97" s="90" t="s">
        <v>201</v>
      </c>
      <c r="P97" s="347"/>
      <c r="Q97" s="836" t="s">
        <v>1442</v>
      </c>
      <c r="R97" s="348"/>
      <c r="S97" s="348"/>
      <c r="T97" s="503" t="s">
        <v>1443</v>
      </c>
      <c r="U97" s="402"/>
      <c r="V97" s="406"/>
      <c r="W97" s="406"/>
      <c r="X97" s="425"/>
      <c r="Y97" s="71"/>
      <c r="Z97" s="784"/>
      <c r="AA97" s="780"/>
      <c r="AB97" s="780"/>
      <c r="AC97" s="429"/>
      <c r="AD97" s="837">
        <v>50000</v>
      </c>
      <c r="AE97" s="429">
        <v>0</v>
      </c>
      <c r="AF97" s="837">
        <v>0</v>
      </c>
      <c r="AG97" s="363">
        <v>-50000</v>
      </c>
      <c r="AH97" s="364"/>
      <c r="AI97" s="832">
        <v>50000</v>
      </c>
      <c r="AJ97" s="364"/>
      <c r="AK97" s="364"/>
      <c r="AL97" s="360">
        <f t="shared" si="4"/>
        <v>50000</v>
      </c>
      <c r="AM97" s="362">
        <f>ERP_8[[#This Row],[2026 Working Total]]-ERP_8[[#This Row],[LE2 Final Submission]]</f>
        <v>50000</v>
      </c>
      <c r="AN97" s="79">
        <v>0</v>
      </c>
      <c r="AO97" s="79">
        <f t="shared" si="5"/>
        <v>0</v>
      </c>
      <c r="AP97" s="374">
        <f>SUM(ERP_8[[#This Row],[AP01]:[AP07]])-SUM(ERP_8[[#This Row],[AP01 LE2]:[AP07 LE2]])</f>
        <v>50000</v>
      </c>
      <c r="AQ97" s="80"/>
      <c r="AR97" s="79">
        <f>ERP_8[[#This Row],[2026 Working Total to Budget/LE]]-ERP_8[[#This Row],[Giveback]]</f>
        <v>50000</v>
      </c>
      <c r="AS97" s="81"/>
      <c r="AT97" s="375"/>
      <c r="AU97" s="375"/>
      <c r="AV97" s="375"/>
      <c r="AW97" s="375"/>
      <c r="AX97" s="375"/>
      <c r="AY97" s="375"/>
      <c r="AZ97" s="375"/>
      <c r="BA97" s="375"/>
      <c r="BB97" s="375"/>
      <c r="BC97" s="375"/>
      <c r="BD97" s="375"/>
      <c r="BE97" s="375"/>
      <c r="BF97" s="375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</row>
    <row r="98" spans="1:71" ht="15" hidden="1" customHeight="1">
      <c r="A98" s="150" t="s">
        <v>1444</v>
      </c>
      <c r="B98" s="749" t="s">
        <v>202</v>
      </c>
      <c r="C98" s="348"/>
      <c r="D98" s="347" t="str">
        <f>_xlfn.TEXTJOIN("_",FALSE,E98,ERP_8[[#This Row],[Expense Category]],ERP_8[[#This Row],[Project Code*]])</f>
        <v>Hase, Raj_CONTRACTORS_MISC001</v>
      </c>
      <c r="E98" s="347" t="s">
        <v>1345</v>
      </c>
      <c r="F98" s="348"/>
      <c r="G98" s="150" t="s">
        <v>1136</v>
      </c>
      <c r="H98" s="332" t="s">
        <v>1345</v>
      </c>
      <c r="I98" s="332" t="s">
        <v>1345</v>
      </c>
      <c r="J98" s="333" t="s">
        <v>1345</v>
      </c>
      <c r="K98" s="514" t="s">
        <v>49</v>
      </c>
      <c r="L98" s="394" t="s">
        <v>1327</v>
      </c>
      <c r="M98" s="333"/>
      <c r="N98" s="467" t="s">
        <v>1441</v>
      </c>
      <c r="O98" s="90" t="s">
        <v>147</v>
      </c>
      <c r="P98" s="347"/>
      <c r="Q98" s="347"/>
      <c r="R98" s="348"/>
      <c r="S98" s="348"/>
      <c r="T98" s="348"/>
      <c r="U98" s="402"/>
      <c r="V98" s="406"/>
      <c r="W98" s="406"/>
      <c r="X98" s="425"/>
      <c r="Y98" s="71"/>
      <c r="Z98" s="784"/>
      <c r="AA98" s="780"/>
      <c r="AB98" s="780"/>
      <c r="AC98" s="429"/>
      <c r="AD98" s="429">
        <v>0</v>
      </c>
      <c r="AE98" s="429">
        <v>0</v>
      </c>
      <c r="AF98" s="429">
        <v>0</v>
      </c>
      <c r="AG98" s="364"/>
      <c r="AH98" s="364"/>
      <c r="AI98" s="364"/>
      <c r="AJ98" s="364"/>
      <c r="AK98" s="364"/>
      <c r="AL98" s="360">
        <f t="shared" si="4"/>
        <v>0</v>
      </c>
      <c r="AM98" s="362">
        <f>ERP_8[[#This Row],[2026 Working Total]]-ERP_8[[#This Row],[LE2 Final Submission]]</f>
        <v>0</v>
      </c>
      <c r="AN98" s="79"/>
      <c r="AO98" s="79">
        <f t="shared" si="5"/>
        <v>0</v>
      </c>
      <c r="AP98" s="374">
        <f>SUM(ERP_8[[#This Row],[AP01]:[AP07]])-SUM(ERP_8[[#This Row],[AP01 LE2]:[AP07 LE2]])</f>
        <v>0</v>
      </c>
      <c r="AQ98" s="80"/>
      <c r="AR98" s="79">
        <f>ERP_8[[#This Row],[2026 Working Total to Budget/LE]]-ERP_8[[#This Row],[Giveback]]</f>
        <v>0</v>
      </c>
      <c r="AS98" s="81"/>
      <c r="AT98" s="375"/>
      <c r="AU98" s="375"/>
      <c r="AV98" s="375"/>
      <c r="AW98" s="375"/>
      <c r="AX98" s="375"/>
      <c r="AY98" s="375"/>
      <c r="AZ98" s="375"/>
      <c r="BA98" s="375"/>
      <c r="BB98" s="375"/>
      <c r="BC98" s="375"/>
      <c r="BD98" s="375"/>
      <c r="BE98" s="375"/>
      <c r="BF98" s="375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</row>
    <row r="99" spans="1:71" ht="15" hidden="1" customHeight="1">
      <c r="A99" s="66" t="s">
        <v>1445</v>
      </c>
      <c r="B99" s="737" t="s">
        <v>1446</v>
      </c>
      <c r="C99" s="346"/>
      <c r="D99" s="343" t="str">
        <f>_xlfn.TEXTJOIN("_",FALSE,E99,ERP_8[[#This Row],[Expense Category]],ERP_8[[#This Row],[Project Code*]])</f>
        <v>Hase, Raj_CONTRACTORS_MISC001</v>
      </c>
      <c r="E99" s="343" t="s">
        <v>1345</v>
      </c>
      <c r="F99" s="346"/>
      <c r="G99" s="150" t="s">
        <v>1136</v>
      </c>
      <c r="H99" s="150" t="s">
        <v>1345</v>
      </c>
      <c r="I99" s="150" t="s">
        <v>1437</v>
      </c>
      <c r="J99" s="150" t="s">
        <v>1346</v>
      </c>
      <c r="K99" s="511" t="s">
        <v>49</v>
      </c>
      <c r="L99" s="392" t="s">
        <v>1327</v>
      </c>
      <c r="M99" s="343"/>
      <c r="N99" s="800" t="s">
        <v>1438</v>
      </c>
      <c r="O99" s="70" t="s">
        <v>147</v>
      </c>
      <c r="P99" s="346"/>
      <c r="Q99" s="343"/>
      <c r="R99" s="346"/>
      <c r="S99" s="150" t="s">
        <v>25</v>
      </c>
      <c r="T99" s="150"/>
      <c r="U99" s="403"/>
      <c r="V99" s="406">
        <v>0</v>
      </c>
      <c r="W99" s="406">
        <v>0.33999999999999997</v>
      </c>
      <c r="X99" s="425"/>
      <c r="Y99" s="71"/>
      <c r="Z99" s="784">
        <v>-0.1</v>
      </c>
      <c r="AA99" s="780">
        <v>0</v>
      </c>
      <c r="AB99" s="780">
        <v>0.44</v>
      </c>
      <c r="AC99" s="428">
        <v>0</v>
      </c>
      <c r="AD99" s="429">
        <v>0</v>
      </c>
      <c r="AE99" s="429">
        <v>0</v>
      </c>
      <c r="AF99" s="429">
        <v>0</v>
      </c>
      <c r="AG99" s="360">
        <v>0</v>
      </c>
      <c r="AH99" s="360">
        <v>0</v>
      </c>
      <c r="AI99" s="360">
        <v>0</v>
      </c>
      <c r="AJ99" s="360">
        <v>0</v>
      </c>
      <c r="AK99" s="360">
        <v>0</v>
      </c>
      <c r="AL99" s="360">
        <f t="shared" si="4"/>
        <v>0.33999999999999997</v>
      </c>
      <c r="AM99" s="362">
        <f>ERP_8[[#This Row],[2026 Working Total]]-ERP_8[[#This Row],[LE2 Final Submission]]</f>
        <v>0</v>
      </c>
      <c r="AN99" s="79">
        <v>0</v>
      </c>
      <c r="AO99" s="79">
        <f t="shared" si="5"/>
        <v>0</v>
      </c>
      <c r="AP99" s="374">
        <f>SUM(ERP_8[[#This Row],[AP01]:[AP07]])-SUM(ERP_8[[#This Row],[AP01 LE2]:[AP07 LE2]])</f>
        <v>0</v>
      </c>
      <c r="AQ99" s="80"/>
      <c r="AR99" s="79">
        <f>ERP_8[[#This Row],[2026 Working Total to Budget/LE]]-ERP_8[[#This Row],[Giveback]]</f>
        <v>0</v>
      </c>
      <c r="AS99" s="81"/>
      <c r="AT99" s="375">
        <v>-0.1</v>
      </c>
      <c r="AU99" s="375">
        <v>0</v>
      </c>
      <c r="AV99" s="375">
        <v>0.44</v>
      </c>
      <c r="AW99" s="375">
        <v>0</v>
      </c>
      <c r="AX99" s="375">
        <v>0</v>
      </c>
      <c r="AY99" s="375">
        <v>0</v>
      </c>
      <c r="AZ99" s="375">
        <v>0</v>
      </c>
      <c r="BA99" s="375">
        <v>0</v>
      </c>
      <c r="BB99" s="375">
        <v>0</v>
      </c>
      <c r="BC99" s="375">
        <v>0</v>
      </c>
      <c r="BD99" s="375">
        <v>0</v>
      </c>
      <c r="BE99" s="375">
        <v>0</v>
      </c>
      <c r="BF99" s="375">
        <v>0.33999999999999997</v>
      </c>
      <c r="BG99" s="79">
        <v>-0.1</v>
      </c>
      <c r="BH99" s="79">
        <v>0</v>
      </c>
      <c r="BI99" s="79">
        <v>0.44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0</v>
      </c>
      <c r="BP99" s="79">
        <v>0</v>
      </c>
      <c r="BQ99" s="79">
        <v>0</v>
      </c>
      <c r="BR99" s="79">
        <v>0</v>
      </c>
      <c r="BS99" s="79">
        <v>0.33999999999999997</v>
      </c>
    </row>
    <row r="100" spans="1:71" ht="15" hidden="1" customHeight="1">
      <c r="A100" s="66" t="s">
        <v>1447</v>
      </c>
      <c r="B100" s="737" t="s">
        <v>1448</v>
      </c>
      <c r="C100" s="346"/>
      <c r="D100" s="343" t="str">
        <f>_xlfn.TEXTJOIN("_",FALSE,E100,ERP_8[[#This Row],[Expense Category]],ERP_8[[#This Row],[Project Code*]])</f>
        <v>Hase, Raj_CONTRACTORS_POClosure001</v>
      </c>
      <c r="E100" s="343" t="s">
        <v>1345</v>
      </c>
      <c r="F100" s="346"/>
      <c r="G100" s="150" t="s">
        <v>1136</v>
      </c>
      <c r="H100" s="150" t="s">
        <v>1345</v>
      </c>
      <c r="I100" s="150" t="s">
        <v>1437</v>
      </c>
      <c r="J100" s="150" t="s">
        <v>1346</v>
      </c>
      <c r="K100" s="511" t="s">
        <v>49</v>
      </c>
      <c r="L100" s="392" t="s">
        <v>1340</v>
      </c>
      <c r="M100" s="343"/>
      <c r="N100" s="800" t="s">
        <v>1438</v>
      </c>
      <c r="O100" s="70" t="s">
        <v>149</v>
      </c>
      <c r="P100" s="346" t="s">
        <v>1139</v>
      </c>
      <c r="Q100" s="343"/>
      <c r="R100" s="346"/>
      <c r="S100" s="150" t="s">
        <v>25</v>
      </c>
      <c r="T100" s="150"/>
      <c r="U100" s="403"/>
      <c r="V100" s="406">
        <v>0</v>
      </c>
      <c r="W100" s="406">
        <v>-4133.1400000000003</v>
      </c>
      <c r="X100" s="425"/>
      <c r="Y100" s="71"/>
      <c r="Z100" s="784">
        <v>-4133.1400000000003</v>
      </c>
      <c r="AA100" s="780">
        <v>0</v>
      </c>
      <c r="AB100" s="780">
        <v>0</v>
      </c>
      <c r="AC100" s="428">
        <v>0</v>
      </c>
      <c r="AD100" s="429">
        <v>0</v>
      </c>
      <c r="AE100" s="429">
        <v>0</v>
      </c>
      <c r="AF100" s="429">
        <v>0</v>
      </c>
      <c r="AG100" s="360">
        <v>0</v>
      </c>
      <c r="AH100" s="360">
        <v>0</v>
      </c>
      <c r="AI100" s="360">
        <v>0</v>
      </c>
      <c r="AJ100" s="360">
        <v>0</v>
      </c>
      <c r="AK100" s="360">
        <v>0</v>
      </c>
      <c r="AL100" s="360">
        <f t="shared" si="4"/>
        <v>-4133.1400000000003</v>
      </c>
      <c r="AM100" s="362">
        <f>ERP_8[[#This Row],[2026 Working Total]]-ERP_8[[#This Row],[LE2 Final Submission]]</f>
        <v>0</v>
      </c>
      <c r="AN100" s="79">
        <v>0</v>
      </c>
      <c r="AO100" s="79">
        <f t="shared" si="5"/>
        <v>0</v>
      </c>
      <c r="AP100" s="374">
        <f>SUM(ERP_8[[#This Row],[AP01]:[AP07]])-SUM(ERP_8[[#This Row],[AP01 LE2]:[AP07 LE2]])</f>
        <v>0</v>
      </c>
      <c r="AQ100" s="80"/>
      <c r="AR100" s="79">
        <f>ERP_8[[#This Row],[2026 Working Total to Budget/LE]]-ERP_8[[#This Row],[Giveback]]</f>
        <v>0</v>
      </c>
      <c r="AS100" s="81"/>
      <c r="AT100" s="375">
        <v>-4133.1400000000003</v>
      </c>
      <c r="AU100" s="375">
        <v>0</v>
      </c>
      <c r="AV100" s="375">
        <v>0</v>
      </c>
      <c r="AW100" s="375">
        <v>0</v>
      </c>
      <c r="AX100" s="375">
        <v>0</v>
      </c>
      <c r="AY100" s="375">
        <v>0</v>
      </c>
      <c r="AZ100" s="375">
        <v>0</v>
      </c>
      <c r="BA100" s="375">
        <v>0</v>
      </c>
      <c r="BB100" s="375">
        <v>0</v>
      </c>
      <c r="BC100" s="375">
        <v>0</v>
      </c>
      <c r="BD100" s="375">
        <v>0</v>
      </c>
      <c r="BE100" s="375">
        <v>0</v>
      </c>
      <c r="BF100" s="375">
        <v>-4133.1400000000003</v>
      </c>
      <c r="BG100" s="79">
        <v>-4133.1400000000003</v>
      </c>
      <c r="BH100" s="79">
        <v>0</v>
      </c>
      <c r="BI100" s="79">
        <v>0</v>
      </c>
      <c r="BJ100" s="79">
        <v>0</v>
      </c>
      <c r="BK100" s="79">
        <v>0</v>
      </c>
      <c r="BL100" s="79">
        <v>0</v>
      </c>
      <c r="BM100" s="79">
        <v>0</v>
      </c>
      <c r="BN100" s="79">
        <v>0</v>
      </c>
      <c r="BO100" s="79">
        <v>0</v>
      </c>
      <c r="BP100" s="79">
        <v>0</v>
      </c>
      <c r="BQ100" s="79">
        <v>0</v>
      </c>
      <c r="BR100" s="79">
        <v>0</v>
      </c>
      <c r="BS100" s="79">
        <v>-4133.1400000000003</v>
      </c>
    </row>
    <row r="101" spans="1:71" ht="15" hidden="1" customHeight="1">
      <c r="A101" s="66" t="s">
        <v>1449</v>
      </c>
      <c r="B101" s="737" t="s">
        <v>204</v>
      </c>
      <c r="C101" s="346"/>
      <c r="D101" s="343" t="str">
        <f>_xlfn.TEXTJOIN("_",FALSE,E101,ERP_8[[#This Row],[Expense Category]],ERP_8[[#This Row],[Project Code*]])</f>
        <v>Herman, Shaun_CONTRACTORS_EP&amp;SCharges001</v>
      </c>
      <c r="E101" s="343" t="s">
        <v>1450</v>
      </c>
      <c r="F101" s="346"/>
      <c r="G101" s="150" t="s">
        <v>1136</v>
      </c>
      <c r="H101" s="150" t="s">
        <v>1345</v>
      </c>
      <c r="I101" s="150" t="s">
        <v>1450</v>
      </c>
      <c r="J101" s="150" t="s">
        <v>1346</v>
      </c>
      <c r="K101" s="511" t="s">
        <v>49</v>
      </c>
      <c r="L101" s="392" t="s">
        <v>1174</v>
      </c>
      <c r="M101" s="343"/>
      <c r="N101" s="800" t="s">
        <v>1451</v>
      </c>
      <c r="O101" s="70" t="s">
        <v>56</v>
      </c>
      <c r="P101" s="346"/>
      <c r="Q101" s="346" t="s">
        <v>1140</v>
      </c>
      <c r="R101" s="346"/>
      <c r="S101" s="150" t="s">
        <v>57</v>
      </c>
      <c r="T101" s="150"/>
      <c r="U101" s="403"/>
      <c r="V101" s="406">
        <v>0</v>
      </c>
      <c r="W101" s="406">
        <v>2893.46</v>
      </c>
      <c r="X101" s="425"/>
      <c r="Y101" s="71"/>
      <c r="Z101" s="784">
        <v>183.12</v>
      </c>
      <c r="AA101" s="780">
        <v>1029.04</v>
      </c>
      <c r="AB101" s="780">
        <v>1681.3</v>
      </c>
      <c r="AC101" s="428">
        <v>1593.8</v>
      </c>
      <c r="AD101" s="429">
        <v>85.08</v>
      </c>
      <c r="AE101" s="429">
        <v>0</v>
      </c>
      <c r="AF101" s="429">
        <v>901.43</v>
      </c>
      <c r="AG101" s="360">
        <v>0</v>
      </c>
      <c r="AH101" s="360">
        <v>0</v>
      </c>
      <c r="AI101" s="360">
        <v>0</v>
      </c>
      <c r="AJ101" s="360">
        <v>0</v>
      </c>
      <c r="AK101" s="360">
        <v>0</v>
      </c>
      <c r="AL101" s="360">
        <f t="shared" si="4"/>
        <v>5473.77</v>
      </c>
      <c r="AM101" s="362">
        <f>ERP_8[[#This Row],[2026 Working Total]]-ERP_8[[#This Row],[LE2 Final Submission]]</f>
        <v>2580.3100000000004</v>
      </c>
      <c r="AN101" s="79">
        <v>0</v>
      </c>
      <c r="AO101" s="79">
        <f t="shared" si="5"/>
        <v>0</v>
      </c>
      <c r="AP101" s="374">
        <f>SUM(ERP_8[[#This Row],[AP01]:[AP07]])-SUM(ERP_8[[#This Row],[AP01 LE2]:[AP07 LE2]])</f>
        <v>2580.3100000000004</v>
      </c>
      <c r="AQ101" s="80"/>
      <c r="AR101" s="79">
        <f>ERP_8[[#This Row],[2026 Working Total to Budget/LE]]-ERP_8[[#This Row],[Giveback]]</f>
        <v>2580.3100000000004</v>
      </c>
      <c r="AS101" s="81"/>
      <c r="AT101" s="375">
        <v>183.12</v>
      </c>
      <c r="AU101" s="375">
        <v>1029.04</v>
      </c>
      <c r="AV101" s="375">
        <v>1681.3</v>
      </c>
      <c r="AW101" s="375">
        <v>0</v>
      </c>
      <c r="AX101" s="375">
        <v>0</v>
      </c>
      <c r="AY101" s="375">
        <v>0</v>
      </c>
      <c r="AZ101" s="375">
        <v>0</v>
      </c>
      <c r="BA101" s="375">
        <v>0</v>
      </c>
      <c r="BB101" s="375">
        <v>0</v>
      </c>
      <c r="BC101" s="375">
        <v>0</v>
      </c>
      <c r="BD101" s="375">
        <v>0</v>
      </c>
      <c r="BE101" s="375">
        <v>0</v>
      </c>
      <c r="BF101" s="375">
        <v>2893.46</v>
      </c>
      <c r="BG101" s="79">
        <v>183.12</v>
      </c>
      <c r="BH101" s="79">
        <v>1029.04</v>
      </c>
      <c r="BI101" s="79">
        <v>1681.3</v>
      </c>
      <c r="BJ101" s="79">
        <v>0</v>
      </c>
      <c r="BK101" s="79">
        <v>0</v>
      </c>
      <c r="BL101" s="79">
        <v>0</v>
      </c>
      <c r="BM101" s="79">
        <v>0</v>
      </c>
      <c r="BN101" s="79">
        <v>0</v>
      </c>
      <c r="BO101" s="79">
        <v>0</v>
      </c>
      <c r="BP101" s="79">
        <v>0</v>
      </c>
      <c r="BQ101" s="79">
        <v>0</v>
      </c>
      <c r="BR101" s="79">
        <v>0</v>
      </c>
      <c r="BS101" s="79">
        <v>2893.46</v>
      </c>
    </row>
    <row r="102" spans="1:71" ht="15" hidden="1" customHeight="1">
      <c r="A102" s="66" t="s">
        <v>1452</v>
      </c>
      <c r="B102" s="737" t="s">
        <v>205</v>
      </c>
      <c r="C102" s="346"/>
      <c r="D102" s="343" t="str">
        <f>_xlfn.TEXTJOIN("_",FALSE,E102,ERP_8[[#This Row],[Expense Category]],ERP_8[[#This Row],[Project Code*]])</f>
        <v>Herman, Shaun_CONTRACTORS_IT-CTR0024-OG-US-00</v>
      </c>
      <c r="E102" s="343" t="s">
        <v>1450</v>
      </c>
      <c r="F102" s="346"/>
      <c r="G102" s="150" t="s">
        <v>1136</v>
      </c>
      <c r="H102" s="150" t="s">
        <v>1345</v>
      </c>
      <c r="I102" s="150" t="s">
        <v>1450</v>
      </c>
      <c r="J102" s="150" t="s">
        <v>1346</v>
      </c>
      <c r="K102" s="511" t="s">
        <v>49</v>
      </c>
      <c r="L102" s="392" t="s">
        <v>1453</v>
      </c>
      <c r="M102" s="343" t="s">
        <v>1206</v>
      </c>
      <c r="N102" s="802" t="s">
        <v>1451</v>
      </c>
      <c r="O102" s="70" t="s">
        <v>206</v>
      </c>
      <c r="P102" s="346"/>
      <c r="Q102" s="346" t="s">
        <v>1454</v>
      </c>
      <c r="R102" s="346"/>
      <c r="S102" s="150" t="s">
        <v>25</v>
      </c>
      <c r="T102" s="150"/>
      <c r="U102" s="403"/>
      <c r="V102" s="406">
        <v>400000</v>
      </c>
      <c r="W102" s="406">
        <v>300897.52</v>
      </c>
      <c r="X102" s="430"/>
      <c r="Y102" s="137"/>
      <c r="Z102" s="784">
        <v>123337.5</v>
      </c>
      <c r="AA102" s="780">
        <v>19442.91</v>
      </c>
      <c r="AB102" s="780">
        <v>113117.11</v>
      </c>
      <c r="AC102" s="428">
        <v>5172.1500000000306</v>
      </c>
      <c r="AD102" s="429">
        <v>-24184.46000000001</v>
      </c>
      <c r="AE102" s="429">
        <v>-229891</v>
      </c>
      <c r="AF102" s="429">
        <v>761.56</v>
      </c>
      <c r="AG102" s="363">
        <v>61248</v>
      </c>
      <c r="AH102" s="363">
        <v>61248</v>
      </c>
      <c r="AI102" s="363">
        <v>61248</v>
      </c>
      <c r="AJ102" s="363">
        <v>61248</v>
      </c>
      <c r="AK102" s="363">
        <v>61248</v>
      </c>
      <c r="AL102" s="360">
        <f t="shared" si="4"/>
        <v>313995.77</v>
      </c>
      <c r="AM102" s="362">
        <f>ERP_8[[#This Row],[2026 Working Total]]-ERP_8[[#This Row],[LE2 Final Submission]]</f>
        <v>13098.25</v>
      </c>
      <c r="AN102" s="79">
        <v>0</v>
      </c>
      <c r="AO102" s="79">
        <f t="shared" si="5"/>
        <v>-229891</v>
      </c>
      <c r="AP102" s="374">
        <f>SUM(ERP_8[[#This Row],[AP01]:[AP07]])-SUM(ERP_8[[#This Row],[AP01 LE2]:[AP07 LE2]])</f>
        <v>-113141.75</v>
      </c>
      <c r="AQ102" s="80"/>
      <c r="AR102" s="79">
        <f>ERP_8[[#This Row],[2026 Working Total to Budget/LE]]-ERP_8[[#This Row],[Giveback]]</f>
        <v>13098.25</v>
      </c>
      <c r="AS102" s="81" t="s">
        <v>1455</v>
      </c>
      <c r="AT102" s="375">
        <v>123337.5</v>
      </c>
      <c r="AU102" s="375">
        <v>19442.91</v>
      </c>
      <c r="AV102" s="375">
        <v>113117.11</v>
      </c>
      <c r="AW102" s="375">
        <v>5000</v>
      </c>
      <c r="AX102" s="375">
        <v>-200000</v>
      </c>
      <c r="AY102" s="375">
        <v>30000</v>
      </c>
      <c r="AZ102" s="375">
        <v>30000</v>
      </c>
      <c r="BA102" s="375">
        <v>30000</v>
      </c>
      <c r="BB102" s="375">
        <v>30000</v>
      </c>
      <c r="BC102" s="375">
        <v>40000</v>
      </c>
      <c r="BD102" s="375">
        <v>40000</v>
      </c>
      <c r="BE102" s="375">
        <v>40000</v>
      </c>
      <c r="BF102" s="375">
        <v>300897.52</v>
      </c>
      <c r="BG102" s="79">
        <v>123337.5</v>
      </c>
      <c r="BH102" s="79">
        <v>19442.91</v>
      </c>
      <c r="BI102" s="79">
        <v>113117.11</v>
      </c>
      <c r="BJ102" s="79">
        <v>30000</v>
      </c>
      <c r="BK102" s="79">
        <v>30000</v>
      </c>
      <c r="BL102" s="79">
        <v>30000</v>
      </c>
      <c r="BM102" s="79">
        <v>30000</v>
      </c>
      <c r="BN102" s="79">
        <v>30000</v>
      </c>
      <c r="BO102" s="79">
        <v>20000</v>
      </c>
      <c r="BP102" s="79">
        <v>20000</v>
      </c>
      <c r="BQ102" s="79">
        <v>20000</v>
      </c>
      <c r="BR102" s="79">
        <v>20000</v>
      </c>
      <c r="BS102" s="79">
        <v>485897.52</v>
      </c>
    </row>
    <row r="103" spans="1:71" ht="15" hidden="1" customHeight="1">
      <c r="A103" s="66" t="s">
        <v>1456</v>
      </c>
      <c r="B103" s="737" t="s">
        <v>207</v>
      </c>
      <c r="C103" s="346"/>
      <c r="D103" s="343" t="str">
        <f>_xlfn.TEXTJOIN("_",FALSE,E103,ERP_8[[#This Row],[Expense Category]],ERP_8[[#This Row],[Project Code*]])</f>
        <v>Herman, Shaun_CONTRACTORS_IT-CTR0037-OG-US-00</v>
      </c>
      <c r="E103" s="343" t="s">
        <v>1450</v>
      </c>
      <c r="F103" s="346"/>
      <c r="G103" s="150" t="s">
        <v>1136</v>
      </c>
      <c r="H103" s="150" t="s">
        <v>1345</v>
      </c>
      <c r="I103" s="150" t="s">
        <v>1450</v>
      </c>
      <c r="J103" s="150" t="s">
        <v>1346</v>
      </c>
      <c r="K103" s="511" t="s">
        <v>49</v>
      </c>
      <c r="L103" s="392" t="s">
        <v>1457</v>
      </c>
      <c r="M103" s="343" t="s">
        <v>1387</v>
      </c>
      <c r="N103" s="802" t="s">
        <v>1451</v>
      </c>
      <c r="O103" s="70" t="s">
        <v>208</v>
      </c>
      <c r="P103" s="346"/>
      <c r="Q103" s="346" t="s">
        <v>1458</v>
      </c>
      <c r="R103" s="346"/>
      <c r="S103" s="150" t="s">
        <v>25</v>
      </c>
      <c r="T103" s="150"/>
      <c r="U103" s="403"/>
      <c r="V103" s="406">
        <v>270000</v>
      </c>
      <c r="W103" s="406">
        <v>201492</v>
      </c>
      <c r="X103" s="425"/>
      <c r="Y103" s="71"/>
      <c r="Z103" s="784">
        <v>-5507.82</v>
      </c>
      <c r="AA103" s="780">
        <v>-0.18</v>
      </c>
      <c r="AB103" s="780">
        <v>0</v>
      </c>
      <c r="AC103" s="428">
        <v>92692.25</v>
      </c>
      <c r="AD103" s="429">
        <v>25462.14</v>
      </c>
      <c r="AE103" s="429">
        <v>31827.680000000008</v>
      </c>
      <c r="AF103" s="429">
        <v>909.35999999999694</v>
      </c>
      <c r="AG103" s="363">
        <v>5434</v>
      </c>
      <c r="AH103" s="363">
        <v>12523</v>
      </c>
      <c r="AI103" s="363">
        <v>12523</v>
      </c>
      <c r="AJ103" s="363">
        <v>12523</v>
      </c>
      <c r="AK103" s="363">
        <v>12523</v>
      </c>
      <c r="AL103" s="360">
        <f t="shared" si="4"/>
        <v>200909.43</v>
      </c>
      <c r="AM103" s="362">
        <f>ERP_8[[#This Row],[2026 Working Total]]-ERP_8[[#This Row],[LE2 Final Submission]]</f>
        <v>-582.57000000000698</v>
      </c>
      <c r="AN103" s="79">
        <v>0</v>
      </c>
      <c r="AO103" s="79">
        <f t="shared" si="5"/>
        <v>31827.680000000008</v>
      </c>
      <c r="AP103" s="374">
        <f>SUM(ERP_8[[#This Row],[AP01]:[AP07]])-SUM(ERP_8[[#This Row],[AP01 LE2]:[AP07 LE2]])</f>
        <v>8891.429999999993</v>
      </c>
      <c r="AQ103" s="80"/>
      <c r="AR103" s="79">
        <f>ERP_8[[#This Row],[2026 Working Total to Budget/LE]]-ERP_8[[#This Row],[Giveback]]</f>
        <v>-582.57000000000698</v>
      </c>
      <c r="AS103" s="81" t="s">
        <v>1455</v>
      </c>
      <c r="AT103" s="375">
        <v>-5507.82</v>
      </c>
      <c r="AU103" s="375">
        <v>-0.18</v>
      </c>
      <c r="AV103" s="375">
        <v>0</v>
      </c>
      <c r="AW103" s="375">
        <v>102000</v>
      </c>
      <c r="AX103" s="375">
        <v>0</v>
      </c>
      <c r="AY103" s="375">
        <v>20000</v>
      </c>
      <c r="AZ103" s="375">
        <v>20000</v>
      </c>
      <c r="BA103" s="375">
        <v>20000</v>
      </c>
      <c r="BB103" s="375">
        <v>15000</v>
      </c>
      <c r="BC103" s="375">
        <v>10000</v>
      </c>
      <c r="BD103" s="375">
        <v>10000</v>
      </c>
      <c r="BE103" s="375">
        <v>10000</v>
      </c>
      <c r="BF103" s="375">
        <v>201492</v>
      </c>
      <c r="BG103" s="79">
        <v>-5507.82</v>
      </c>
      <c r="BH103" s="79">
        <v>-0.18</v>
      </c>
      <c r="BI103" s="79">
        <v>0</v>
      </c>
      <c r="BJ103" s="79">
        <v>20000</v>
      </c>
      <c r="BK103" s="79">
        <v>20000</v>
      </c>
      <c r="BL103" s="79">
        <v>25000</v>
      </c>
      <c r="BM103" s="79">
        <v>30000</v>
      </c>
      <c r="BN103" s="79">
        <v>30000</v>
      </c>
      <c r="BO103" s="79">
        <v>30000</v>
      </c>
      <c r="BP103" s="79">
        <v>30000</v>
      </c>
      <c r="BQ103" s="79">
        <v>30000</v>
      </c>
      <c r="BR103" s="79">
        <v>30000</v>
      </c>
      <c r="BS103" s="79">
        <v>239492</v>
      </c>
    </row>
    <row r="104" spans="1:71" ht="15" hidden="1" customHeight="1">
      <c r="A104" s="66" t="s">
        <v>1459</v>
      </c>
      <c r="B104" s="737" t="s">
        <v>209</v>
      </c>
      <c r="C104" s="346"/>
      <c r="D104" s="343" t="str">
        <f>_xlfn.TEXTJOIN("_",FALSE,E104,ERP_8[[#This Row],[Expense Category]],ERP_8[[#This Row],[Project Code*]])</f>
        <v>Herman, Shaun_CONTRACTORS_IT-CTR0039-OG-US-00</v>
      </c>
      <c r="E104" s="343" t="s">
        <v>1450</v>
      </c>
      <c r="F104" s="346"/>
      <c r="G104" s="150" t="s">
        <v>1136</v>
      </c>
      <c r="H104" s="150" t="s">
        <v>1345</v>
      </c>
      <c r="I104" s="150" t="s">
        <v>1450</v>
      </c>
      <c r="J104" s="150" t="s">
        <v>1346</v>
      </c>
      <c r="K104" s="511" t="s">
        <v>49</v>
      </c>
      <c r="L104" s="392" t="s">
        <v>1460</v>
      </c>
      <c r="M104" s="343"/>
      <c r="N104" s="800"/>
      <c r="O104" s="70" t="s">
        <v>210</v>
      </c>
      <c r="P104" s="346"/>
      <c r="Q104" s="346" t="s">
        <v>1221</v>
      </c>
      <c r="R104" s="346"/>
      <c r="S104" s="150" t="s">
        <v>25</v>
      </c>
      <c r="T104" s="150"/>
      <c r="U104" s="403"/>
      <c r="V104" s="406">
        <v>100000</v>
      </c>
      <c r="W104" s="406">
        <v>66000</v>
      </c>
      <c r="X104" s="425"/>
      <c r="Y104" s="71"/>
      <c r="Z104" s="784"/>
      <c r="AA104" s="780"/>
      <c r="AB104" s="780"/>
      <c r="AC104" s="428" t="s">
        <v>1142</v>
      </c>
      <c r="AD104" s="429">
        <v>0</v>
      </c>
      <c r="AE104" s="429">
        <v>0</v>
      </c>
      <c r="AF104" s="429" t="s">
        <v>1142</v>
      </c>
      <c r="AG104" s="363">
        <v>12000</v>
      </c>
      <c r="AH104" s="363">
        <v>13500</v>
      </c>
      <c r="AI104" s="363">
        <v>13500</v>
      </c>
      <c r="AJ104" s="363">
        <v>13500</v>
      </c>
      <c r="AK104" s="363">
        <v>13500</v>
      </c>
      <c r="AL104" s="360">
        <f t="shared" ref="AL104:AL135" si="6">SUM(Z104:AK104)</f>
        <v>66000</v>
      </c>
      <c r="AM104" s="362">
        <f>ERP_8[[#This Row],[2026 Working Total]]-ERP_8[[#This Row],[LE2 Final Submission]]</f>
        <v>0</v>
      </c>
      <c r="AN104" s="79">
        <v>0</v>
      </c>
      <c r="AO104" s="79">
        <f t="shared" ref="AO104:AO135" si="7">$AE104 - $AN104</f>
        <v>0</v>
      </c>
      <c r="AP104" s="374">
        <f>SUM(ERP_8[[#This Row],[AP01]:[AP07]])-SUM(ERP_8[[#This Row],[AP01 LE2]:[AP07 LE2]])</f>
        <v>-26000</v>
      </c>
      <c r="AQ104" s="80"/>
      <c r="AR104" s="79">
        <f>ERP_8[[#This Row],[2026 Working Total to Budget/LE]]-ERP_8[[#This Row],[Giveback]]</f>
        <v>0</v>
      </c>
      <c r="AS104" s="81" t="s">
        <v>1455</v>
      </c>
      <c r="AT104" s="375"/>
      <c r="AU104" s="375"/>
      <c r="AV104" s="375"/>
      <c r="AW104" s="375">
        <v>5000</v>
      </c>
      <c r="AX104" s="375">
        <v>5000</v>
      </c>
      <c r="AY104" s="375">
        <v>8000</v>
      </c>
      <c r="AZ104" s="375">
        <v>8000</v>
      </c>
      <c r="BA104" s="375">
        <v>8000</v>
      </c>
      <c r="BB104" s="375">
        <v>8000</v>
      </c>
      <c r="BC104" s="375">
        <v>8000</v>
      </c>
      <c r="BD104" s="375">
        <v>8000</v>
      </c>
      <c r="BE104" s="375">
        <v>8000</v>
      </c>
      <c r="BF104" s="375">
        <v>66000</v>
      </c>
      <c r="BG104" s="79"/>
      <c r="BH104" s="79"/>
      <c r="BI104" s="79"/>
      <c r="BJ104" s="79">
        <v>10000</v>
      </c>
      <c r="BK104" s="79">
        <v>10000</v>
      </c>
      <c r="BL104" s="79">
        <v>10000</v>
      </c>
      <c r="BM104" s="79">
        <v>10000</v>
      </c>
      <c r="BN104" s="79">
        <v>10000</v>
      </c>
      <c r="BO104" s="79">
        <v>10000</v>
      </c>
      <c r="BP104" s="79">
        <v>10000</v>
      </c>
      <c r="BQ104" s="79">
        <v>10000</v>
      </c>
      <c r="BR104" s="79">
        <v>10000</v>
      </c>
      <c r="BS104" s="79">
        <v>90000</v>
      </c>
    </row>
    <row r="105" spans="1:71" ht="15" hidden="1" customHeight="1">
      <c r="A105" s="66" t="s">
        <v>1461</v>
      </c>
      <c r="B105" s="737" t="s">
        <v>211</v>
      </c>
      <c r="C105" s="346"/>
      <c r="D105" s="343" t="str">
        <f>_xlfn.TEXTJOIN("_",FALSE,E105,ERP_8[[#This Row],[Expense Category]],ERP_8[[#This Row],[Project Code*]])</f>
        <v>Herman, Shaun_CONTRACTORS_IT-CTR0046-OG-US-00</v>
      </c>
      <c r="E105" s="343" t="s">
        <v>1450</v>
      </c>
      <c r="F105" s="346"/>
      <c r="G105" s="150" t="s">
        <v>1136</v>
      </c>
      <c r="H105" s="150" t="s">
        <v>1345</v>
      </c>
      <c r="I105" s="150" t="s">
        <v>1450</v>
      </c>
      <c r="J105" s="150" t="s">
        <v>1346</v>
      </c>
      <c r="K105" s="511" t="s">
        <v>49</v>
      </c>
      <c r="L105" s="392" t="s">
        <v>1462</v>
      </c>
      <c r="M105" s="343"/>
      <c r="N105" s="800" t="s">
        <v>1451</v>
      </c>
      <c r="O105" s="70" t="s">
        <v>212</v>
      </c>
      <c r="P105" s="346"/>
      <c r="Q105" s="346" t="s">
        <v>1221</v>
      </c>
      <c r="R105" s="346"/>
      <c r="S105" s="150" t="s">
        <v>25</v>
      </c>
      <c r="T105" s="150"/>
      <c r="U105" s="403"/>
      <c r="V105" s="406">
        <v>70000</v>
      </c>
      <c r="W105" s="406">
        <v>40000</v>
      </c>
      <c r="X105" s="430"/>
      <c r="Y105" s="137"/>
      <c r="Z105" s="784"/>
      <c r="AA105" s="780"/>
      <c r="AB105" s="780"/>
      <c r="AC105" s="428" t="s">
        <v>1142</v>
      </c>
      <c r="AD105" s="429">
        <v>0</v>
      </c>
      <c r="AE105" s="429">
        <v>0</v>
      </c>
      <c r="AF105" s="429">
        <v>0</v>
      </c>
      <c r="AG105" s="363">
        <v>9500</v>
      </c>
      <c r="AH105" s="363">
        <v>0</v>
      </c>
      <c r="AI105" s="363">
        <v>20000</v>
      </c>
      <c r="AJ105" s="363">
        <v>0</v>
      </c>
      <c r="AK105" s="363">
        <v>20000</v>
      </c>
      <c r="AL105" s="360">
        <f t="shared" si="6"/>
        <v>49500</v>
      </c>
      <c r="AM105" s="362">
        <f>ERP_8[[#This Row],[2026 Working Total]]-ERP_8[[#This Row],[LE2 Final Submission]]</f>
        <v>9500</v>
      </c>
      <c r="AN105" s="79">
        <v>0</v>
      </c>
      <c r="AO105" s="79">
        <f t="shared" si="7"/>
        <v>0</v>
      </c>
      <c r="AP105" s="374">
        <f>SUM(ERP_8[[#This Row],[AP01]:[AP07]])-SUM(ERP_8[[#This Row],[AP01 LE2]:[AP07 LE2]])</f>
        <v>-10000</v>
      </c>
      <c r="AQ105" s="80"/>
      <c r="AR105" s="79">
        <f>ERP_8[[#This Row],[2026 Working Total to Budget/LE]]-ERP_8[[#This Row],[Giveback]]</f>
        <v>9500</v>
      </c>
      <c r="AS105" s="81" t="s">
        <v>1455</v>
      </c>
      <c r="AT105" s="375"/>
      <c r="AU105" s="375"/>
      <c r="AV105" s="375"/>
      <c r="AW105" s="375"/>
      <c r="AX105" s="375"/>
      <c r="AY105" s="375">
        <v>5000</v>
      </c>
      <c r="AZ105" s="375">
        <v>5000</v>
      </c>
      <c r="BA105" s="375">
        <v>5000</v>
      </c>
      <c r="BB105" s="375">
        <v>5000</v>
      </c>
      <c r="BC105" s="375">
        <v>5000</v>
      </c>
      <c r="BD105" s="375">
        <v>5000</v>
      </c>
      <c r="BE105" s="375">
        <v>10000</v>
      </c>
      <c r="BF105" s="375">
        <v>40000</v>
      </c>
      <c r="BG105" s="79"/>
      <c r="BH105" s="79"/>
      <c r="BI105" s="79"/>
      <c r="BJ105" s="79">
        <v>7000</v>
      </c>
      <c r="BK105" s="79">
        <v>7000</v>
      </c>
      <c r="BL105" s="79">
        <v>7000</v>
      </c>
      <c r="BM105" s="79">
        <v>7000</v>
      </c>
      <c r="BN105" s="79">
        <v>7000</v>
      </c>
      <c r="BO105" s="79">
        <v>7000</v>
      </c>
      <c r="BP105" s="79">
        <v>7000</v>
      </c>
      <c r="BQ105" s="79">
        <v>7000</v>
      </c>
      <c r="BR105" s="79">
        <v>7000</v>
      </c>
      <c r="BS105" s="79">
        <v>63000</v>
      </c>
    </row>
    <row r="106" spans="1:71" ht="15" hidden="1" customHeight="1">
      <c r="A106" s="66" t="s">
        <v>1463</v>
      </c>
      <c r="B106" s="737" t="s">
        <v>213</v>
      </c>
      <c r="C106" s="346"/>
      <c r="D106" s="343" t="str">
        <f>_xlfn.TEXTJOIN("_",FALSE,E106,ERP_8[[#This Row],[Expense Category]],ERP_8[[#This Row],[Project Code*]])</f>
        <v>Herman, Shaun_CONTRACTORS_IT-FBT0262-OG-US-00</v>
      </c>
      <c r="E106" s="343" t="s">
        <v>1450</v>
      </c>
      <c r="F106" s="346"/>
      <c r="G106" s="150" t="s">
        <v>1136</v>
      </c>
      <c r="H106" s="150" t="s">
        <v>1345</v>
      </c>
      <c r="I106" s="150" t="s">
        <v>1450</v>
      </c>
      <c r="J106" s="150" t="s">
        <v>1346</v>
      </c>
      <c r="K106" s="511" t="s">
        <v>49</v>
      </c>
      <c r="L106" s="392" t="s">
        <v>1464</v>
      </c>
      <c r="M106" s="343"/>
      <c r="N106" s="800"/>
      <c r="O106" s="70" t="s">
        <v>214</v>
      </c>
      <c r="P106" s="346"/>
      <c r="Q106" s="343"/>
      <c r="R106" s="346"/>
      <c r="S106" s="150" t="s">
        <v>188</v>
      </c>
      <c r="T106" s="150"/>
      <c r="U106" s="403"/>
      <c r="V106" s="406">
        <v>35000</v>
      </c>
      <c r="W106" s="406">
        <v>0</v>
      </c>
      <c r="X106" s="425"/>
      <c r="Y106" s="71"/>
      <c r="Z106" s="784"/>
      <c r="AA106" s="780"/>
      <c r="AB106" s="780"/>
      <c r="AC106" s="428" t="s">
        <v>1142</v>
      </c>
      <c r="AD106" s="429">
        <v>0</v>
      </c>
      <c r="AE106" s="429">
        <v>0</v>
      </c>
      <c r="AF106" s="429" t="s">
        <v>1142</v>
      </c>
      <c r="AG106" s="363"/>
      <c r="AH106" s="363"/>
      <c r="AI106" s="363"/>
      <c r="AJ106" s="363"/>
      <c r="AK106" s="363"/>
      <c r="AL106" s="360">
        <f t="shared" si="6"/>
        <v>0</v>
      </c>
      <c r="AM106" s="362">
        <f>ERP_8[[#This Row],[2026 Working Total]]-ERP_8[[#This Row],[LE2 Final Submission]]</f>
        <v>0</v>
      </c>
      <c r="AN106" s="79">
        <v>0</v>
      </c>
      <c r="AO106" s="79">
        <f t="shared" si="7"/>
        <v>0</v>
      </c>
      <c r="AP106" s="374">
        <f>SUM(ERP_8[[#This Row],[AP01]:[AP07]])-SUM(ERP_8[[#This Row],[AP01 LE2]:[AP07 LE2]])</f>
        <v>0</v>
      </c>
      <c r="AQ106" s="80"/>
      <c r="AR106" s="79">
        <f>ERP_8[[#This Row],[2026 Working Total to Budget/LE]]-ERP_8[[#This Row],[Giveback]]</f>
        <v>0</v>
      </c>
      <c r="AS106" s="81" t="s">
        <v>1465</v>
      </c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375">
        <v>0</v>
      </c>
      <c r="BG106" s="79"/>
      <c r="BH106" s="79"/>
      <c r="BI106" s="79"/>
      <c r="BJ106" s="79">
        <v>2917</v>
      </c>
      <c r="BK106" s="79">
        <v>2917</v>
      </c>
      <c r="BL106" s="79">
        <v>2917</v>
      </c>
      <c r="BM106" s="79">
        <v>2917</v>
      </c>
      <c r="BN106" s="79">
        <v>2917</v>
      </c>
      <c r="BO106" s="79">
        <v>2916</v>
      </c>
      <c r="BP106" s="79">
        <v>2916</v>
      </c>
      <c r="BQ106" s="79">
        <v>2916</v>
      </c>
      <c r="BR106" s="79">
        <v>2916</v>
      </c>
      <c r="BS106" s="79">
        <v>26249</v>
      </c>
    </row>
    <row r="107" spans="1:71" ht="15" hidden="1" customHeight="1">
      <c r="A107" s="66" t="s">
        <v>1466</v>
      </c>
      <c r="B107" s="737" t="s">
        <v>215</v>
      </c>
      <c r="C107" s="346"/>
      <c r="D107" s="343" t="str">
        <f>_xlfn.TEXTJOIN("_",FALSE,E107,ERP_8[[#This Row],[Expense Category]],ERP_8[[#This Row],[Project Code*]])</f>
        <v>Herman, Shaun_CONTRACTORS_IT-FBT0541-OG-US-00</v>
      </c>
      <c r="E107" s="343" t="s">
        <v>1450</v>
      </c>
      <c r="F107" s="346"/>
      <c r="G107" s="150" t="s">
        <v>1136</v>
      </c>
      <c r="H107" s="150" t="s">
        <v>1345</v>
      </c>
      <c r="I107" s="150" t="s">
        <v>1450</v>
      </c>
      <c r="J107" s="150" t="s">
        <v>1346</v>
      </c>
      <c r="K107" s="511" t="s">
        <v>49</v>
      </c>
      <c r="L107" s="392" t="s">
        <v>1467</v>
      </c>
      <c r="M107" s="343"/>
      <c r="N107" s="800" t="s">
        <v>1451</v>
      </c>
      <c r="O107" s="70" t="s">
        <v>216</v>
      </c>
      <c r="P107" s="346"/>
      <c r="Q107" s="343"/>
      <c r="R107" s="346"/>
      <c r="S107" s="150" t="s">
        <v>217</v>
      </c>
      <c r="T107" s="150"/>
      <c r="U107" s="403"/>
      <c r="V107" s="406">
        <v>6000</v>
      </c>
      <c r="W107" s="406">
        <v>0</v>
      </c>
      <c r="X107" s="425"/>
      <c r="Y107" s="71"/>
      <c r="Z107" s="784"/>
      <c r="AA107" s="780"/>
      <c r="AB107" s="780"/>
      <c r="AC107" s="428">
        <v>0</v>
      </c>
      <c r="AD107" s="429">
        <v>79.41</v>
      </c>
      <c r="AE107" s="429">
        <v>0</v>
      </c>
      <c r="AF107" s="429">
        <v>0</v>
      </c>
      <c r="AG107" s="363"/>
      <c r="AH107" s="363"/>
      <c r="AI107" s="363"/>
      <c r="AJ107" s="363"/>
      <c r="AK107" s="363"/>
      <c r="AL107" s="360">
        <f t="shared" si="6"/>
        <v>79.41</v>
      </c>
      <c r="AM107" s="362">
        <f>ERP_8[[#This Row],[2026 Working Total]]-ERP_8[[#This Row],[LE2 Final Submission]]</f>
        <v>79.41</v>
      </c>
      <c r="AN107" s="79"/>
      <c r="AO107" s="79">
        <f t="shared" si="7"/>
        <v>0</v>
      </c>
      <c r="AP107" s="374">
        <f>SUM(ERP_8[[#This Row],[AP01]:[AP07]])-SUM(ERP_8[[#This Row],[AP01 LE2]:[AP07 LE2]])</f>
        <v>79.41</v>
      </c>
      <c r="AQ107" s="80"/>
      <c r="AR107" s="79">
        <f>ERP_8[[#This Row],[2026 Working Total to Budget/LE]]-ERP_8[[#This Row],[Giveback]]</f>
        <v>79.41</v>
      </c>
      <c r="AS107" s="81" t="s">
        <v>1465</v>
      </c>
      <c r="AT107" s="375"/>
      <c r="AU107" s="375"/>
      <c r="AV107" s="375"/>
      <c r="AW107" s="375"/>
      <c r="AX107" s="375"/>
      <c r="AY107" s="375"/>
      <c r="AZ107" s="375"/>
      <c r="BA107" s="375"/>
      <c r="BB107" s="375"/>
      <c r="BC107" s="375"/>
      <c r="BD107" s="375"/>
      <c r="BE107" s="375"/>
      <c r="BF107" s="375">
        <v>0</v>
      </c>
      <c r="BG107" s="79"/>
      <c r="BH107" s="79"/>
      <c r="BI107" s="79"/>
      <c r="BJ107" s="79">
        <v>500</v>
      </c>
      <c r="BK107" s="79">
        <v>500</v>
      </c>
      <c r="BL107" s="79">
        <v>500</v>
      </c>
      <c r="BM107" s="79">
        <v>500</v>
      </c>
      <c r="BN107" s="79">
        <v>500</v>
      </c>
      <c r="BO107" s="79">
        <v>500</v>
      </c>
      <c r="BP107" s="79">
        <v>500</v>
      </c>
      <c r="BQ107" s="79">
        <v>500</v>
      </c>
      <c r="BR107" s="79">
        <v>500</v>
      </c>
      <c r="BS107" s="79">
        <v>4500</v>
      </c>
    </row>
    <row r="108" spans="1:71" ht="15" hidden="1" customHeight="1">
      <c r="A108" s="66" t="s">
        <v>1468</v>
      </c>
      <c r="B108" s="737" t="s">
        <v>218</v>
      </c>
      <c r="C108" s="346"/>
      <c r="D108" s="343" t="str">
        <f>_xlfn.TEXTJOIN("_",FALSE,E108,ERP_8[[#This Row],[Expense Category]],ERP_8[[#This Row],[Project Code*]])</f>
        <v>Herman, Shaun_CONTRACTORS_IT-FBT0702-OG-US-00</v>
      </c>
      <c r="E108" s="343" t="s">
        <v>1450</v>
      </c>
      <c r="F108" s="346"/>
      <c r="G108" s="150" t="s">
        <v>1136</v>
      </c>
      <c r="H108" s="150" t="s">
        <v>1345</v>
      </c>
      <c r="I108" s="150" t="s">
        <v>1450</v>
      </c>
      <c r="J108" s="150" t="s">
        <v>1346</v>
      </c>
      <c r="K108" s="511" t="s">
        <v>49</v>
      </c>
      <c r="L108" s="392" t="s">
        <v>1469</v>
      </c>
      <c r="M108" s="343"/>
      <c r="N108" s="800" t="s">
        <v>1451</v>
      </c>
      <c r="O108" s="70" t="s">
        <v>219</v>
      </c>
      <c r="P108" s="346"/>
      <c r="Q108" s="343"/>
      <c r="R108" s="346"/>
      <c r="S108" s="150" t="s">
        <v>67</v>
      </c>
      <c r="T108" s="150"/>
      <c r="U108" s="403"/>
      <c r="V108" s="406">
        <v>50000</v>
      </c>
      <c r="W108" s="406">
        <v>50000</v>
      </c>
      <c r="X108" s="430"/>
      <c r="Y108" s="137"/>
      <c r="Z108" s="784"/>
      <c r="AA108" s="780"/>
      <c r="AB108" s="780"/>
      <c r="AC108" s="428">
        <v>0</v>
      </c>
      <c r="AD108" s="429">
        <v>49060</v>
      </c>
      <c r="AE108" s="429">
        <v>0</v>
      </c>
      <c r="AF108" s="429">
        <v>0</v>
      </c>
      <c r="AG108" s="360">
        <v>0</v>
      </c>
      <c r="AH108" s="360">
        <v>0</v>
      </c>
      <c r="AI108" s="360">
        <v>0</v>
      </c>
      <c r="AJ108" s="360">
        <v>0</v>
      </c>
      <c r="AK108" s="360">
        <v>0</v>
      </c>
      <c r="AL108" s="360">
        <f t="shared" si="6"/>
        <v>49060</v>
      </c>
      <c r="AM108" s="362">
        <f>ERP_8[[#This Row],[2026 Working Total]]-ERP_8[[#This Row],[LE2 Final Submission]]</f>
        <v>-940</v>
      </c>
      <c r="AN108" s="79">
        <v>0</v>
      </c>
      <c r="AO108" s="79">
        <f t="shared" si="7"/>
        <v>0</v>
      </c>
      <c r="AP108" s="374">
        <f>SUM(ERP_8[[#This Row],[AP01]:[AP07]])-SUM(ERP_8[[#This Row],[AP01 LE2]:[AP07 LE2]])</f>
        <v>-940</v>
      </c>
      <c r="AQ108" s="80"/>
      <c r="AR108" s="79">
        <f>ERP_8[[#This Row],[2026 Working Total to Budget/LE]]-ERP_8[[#This Row],[Giveback]]</f>
        <v>-940</v>
      </c>
      <c r="AS108" s="81"/>
      <c r="AT108" s="375"/>
      <c r="AU108" s="375"/>
      <c r="AV108" s="375"/>
      <c r="AW108" s="375">
        <v>0</v>
      </c>
      <c r="AX108" s="375">
        <v>50000</v>
      </c>
      <c r="AY108" s="375">
        <v>0</v>
      </c>
      <c r="AZ108" s="375">
        <v>0</v>
      </c>
      <c r="BA108" s="375">
        <v>0</v>
      </c>
      <c r="BB108" s="375">
        <v>0</v>
      </c>
      <c r="BC108" s="375">
        <v>0</v>
      </c>
      <c r="BD108" s="375">
        <v>0</v>
      </c>
      <c r="BE108" s="375">
        <v>0</v>
      </c>
      <c r="BF108" s="375">
        <v>50000</v>
      </c>
      <c r="BG108" s="79"/>
      <c r="BH108" s="79"/>
      <c r="BI108" s="79"/>
      <c r="BJ108" s="79">
        <v>50000</v>
      </c>
      <c r="BK108" s="79">
        <v>0</v>
      </c>
      <c r="BL108" s="79">
        <v>0</v>
      </c>
      <c r="BM108" s="79">
        <v>0</v>
      </c>
      <c r="BN108" s="79">
        <v>0</v>
      </c>
      <c r="BO108" s="79">
        <v>0</v>
      </c>
      <c r="BP108" s="79">
        <v>0</v>
      </c>
      <c r="BQ108" s="79">
        <v>0</v>
      </c>
      <c r="BR108" s="79">
        <v>0</v>
      </c>
      <c r="BS108" s="79">
        <v>50000</v>
      </c>
    </row>
    <row r="109" spans="1:71" ht="15" hidden="1" customHeight="1">
      <c r="A109" s="66" t="s">
        <v>1470</v>
      </c>
      <c r="B109" s="737" t="s">
        <v>220</v>
      </c>
      <c r="C109" s="346"/>
      <c r="D109" s="343" t="str">
        <f>_xlfn.TEXTJOIN("_",FALSE,E109,ERP_8[[#This Row],[Expense Category]],ERP_8[[#This Row],[Project Code*]])</f>
        <v>Herman, Shaun_CONTRACTORS_IT-FBT0779-OT-US-00</v>
      </c>
      <c r="E109" s="343" t="s">
        <v>1450</v>
      </c>
      <c r="F109" s="346"/>
      <c r="G109" s="150" t="s">
        <v>1136</v>
      </c>
      <c r="H109" s="150" t="s">
        <v>1345</v>
      </c>
      <c r="I109" s="150" t="s">
        <v>1450</v>
      </c>
      <c r="J109" s="150" t="s">
        <v>1346</v>
      </c>
      <c r="K109" s="511" t="s">
        <v>49</v>
      </c>
      <c r="L109" s="392" t="s">
        <v>1471</v>
      </c>
      <c r="M109" s="343"/>
      <c r="N109" s="800"/>
      <c r="O109" s="70" t="s">
        <v>221</v>
      </c>
      <c r="P109" s="346"/>
      <c r="Q109" s="343"/>
      <c r="R109" s="346"/>
      <c r="S109" s="150" t="s">
        <v>188</v>
      </c>
      <c r="T109" s="150"/>
      <c r="U109" s="403"/>
      <c r="V109" s="406">
        <v>35000</v>
      </c>
      <c r="W109" s="406">
        <v>26249</v>
      </c>
      <c r="X109" s="425"/>
      <c r="Y109" s="71"/>
      <c r="Z109" s="784"/>
      <c r="AA109" s="780"/>
      <c r="AB109" s="780"/>
      <c r="AC109" s="428" t="s">
        <v>1142</v>
      </c>
      <c r="AD109" s="429">
        <v>0</v>
      </c>
      <c r="AE109" s="429">
        <v>0</v>
      </c>
      <c r="AF109" s="429" t="s">
        <v>1142</v>
      </c>
      <c r="AG109" s="363">
        <v>8751</v>
      </c>
      <c r="AH109" s="363">
        <v>2916</v>
      </c>
      <c r="AI109" s="363">
        <v>2916</v>
      </c>
      <c r="AJ109" s="363">
        <v>2916</v>
      </c>
      <c r="AK109" s="363">
        <v>2916</v>
      </c>
      <c r="AL109" s="360">
        <f t="shared" si="6"/>
        <v>20415</v>
      </c>
      <c r="AM109" s="362">
        <f>ERP_8[[#This Row],[2026 Working Total]]-ERP_8[[#This Row],[LE2 Final Submission]]</f>
        <v>-5834</v>
      </c>
      <c r="AN109" s="79"/>
      <c r="AO109" s="79">
        <f t="shared" si="7"/>
        <v>0</v>
      </c>
      <c r="AP109" s="374">
        <f>SUM(ERP_8[[#This Row],[AP01]:[AP07]])-SUM(ERP_8[[#This Row],[AP01 LE2]:[AP07 LE2]])</f>
        <v>-11668</v>
      </c>
      <c r="AQ109" s="80"/>
      <c r="AR109" s="79">
        <f>ERP_8[[#This Row],[2026 Working Total to Budget/LE]]-ERP_8[[#This Row],[Giveback]]</f>
        <v>-5834</v>
      </c>
      <c r="AS109" s="81"/>
      <c r="AT109" s="375"/>
      <c r="AU109" s="375"/>
      <c r="AV109" s="375"/>
      <c r="AW109" s="375">
        <v>2917</v>
      </c>
      <c r="AX109" s="375">
        <v>2917</v>
      </c>
      <c r="AY109" s="375">
        <v>2917</v>
      </c>
      <c r="AZ109" s="375">
        <v>2917</v>
      </c>
      <c r="BA109" s="375">
        <v>2917</v>
      </c>
      <c r="BB109" s="375">
        <v>2916</v>
      </c>
      <c r="BC109" s="375">
        <v>2916</v>
      </c>
      <c r="BD109" s="375">
        <v>2916</v>
      </c>
      <c r="BE109" s="375">
        <v>2916</v>
      </c>
      <c r="BF109" s="375">
        <v>26249</v>
      </c>
      <c r="BG109" s="79"/>
      <c r="BH109" s="79"/>
      <c r="BI109" s="79"/>
      <c r="BJ109" s="79">
        <v>2917</v>
      </c>
      <c r="BK109" s="79">
        <v>2917</v>
      </c>
      <c r="BL109" s="79">
        <v>2917</v>
      </c>
      <c r="BM109" s="79">
        <v>2917</v>
      </c>
      <c r="BN109" s="79">
        <v>2917</v>
      </c>
      <c r="BO109" s="79">
        <v>2916</v>
      </c>
      <c r="BP109" s="79">
        <v>2916</v>
      </c>
      <c r="BQ109" s="79">
        <v>2916</v>
      </c>
      <c r="BR109" s="79">
        <v>2916</v>
      </c>
      <c r="BS109" s="79">
        <v>26249</v>
      </c>
    </row>
    <row r="110" spans="1:71" ht="15" hidden="1" customHeight="1">
      <c r="A110" s="66" t="s">
        <v>1472</v>
      </c>
      <c r="B110" s="737" t="s">
        <v>222</v>
      </c>
      <c r="C110" s="346"/>
      <c r="D110" s="343" t="str">
        <f>_xlfn.TEXTJOIN("_",FALSE,E110,ERP_8[[#This Row],[Expense Category]],ERP_8[[#This Row],[Project Code*]])</f>
        <v>Herman, Shaun_CONTRACTORS_IT-OTH0063-OG-US-00</v>
      </c>
      <c r="E110" s="343" t="s">
        <v>1450</v>
      </c>
      <c r="F110" s="346"/>
      <c r="G110" s="150" t="s">
        <v>1136</v>
      </c>
      <c r="H110" s="150" t="s">
        <v>1345</v>
      </c>
      <c r="I110" s="150" t="s">
        <v>1450</v>
      </c>
      <c r="J110" s="150" t="s">
        <v>1346</v>
      </c>
      <c r="K110" s="511" t="s">
        <v>49</v>
      </c>
      <c r="L110" s="392" t="s">
        <v>1473</v>
      </c>
      <c r="M110" s="343"/>
      <c r="N110" s="800" t="s">
        <v>1451</v>
      </c>
      <c r="O110" s="345" t="s">
        <v>223</v>
      </c>
      <c r="P110" s="346"/>
      <c r="Q110" s="343"/>
      <c r="R110" s="346"/>
      <c r="S110" s="150" t="s">
        <v>152</v>
      </c>
      <c r="T110" s="150"/>
      <c r="U110" s="403"/>
      <c r="V110" s="406">
        <v>90000</v>
      </c>
      <c r="W110" s="406">
        <v>90000</v>
      </c>
      <c r="X110" s="425"/>
      <c r="Y110" s="71"/>
      <c r="Z110" s="784"/>
      <c r="AA110" s="780"/>
      <c r="AB110" s="780"/>
      <c r="AC110" s="428" t="s">
        <v>1142</v>
      </c>
      <c r="AD110" s="429">
        <v>0</v>
      </c>
      <c r="AE110" s="429">
        <v>82121</v>
      </c>
      <c r="AF110" s="429">
        <v>0</v>
      </c>
      <c r="AG110" s="363">
        <v>0</v>
      </c>
      <c r="AH110" s="363">
        <v>0</v>
      </c>
      <c r="AI110" s="363">
        <v>0</v>
      </c>
      <c r="AJ110" s="363">
        <v>0</v>
      </c>
      <c r="AK110" s="363">
        <v>7879</v>
      </c>
      <c r="AL110" s="360">
        <f t="shared" si="6"/>
        <v>90000</v>
      </c>
      <c r="AM110" s="362">
        <f>ERP_8[[#This Row],[2026 Working Total]]-ERP_8[[#This Row],[LE2 Final Submission]]</f>
        <v>0</v>
      </c>
      <c r="AN110" s="79"/>
      <c r="AO110" s="79">
        <f t="shared" si="7"/>
        <v>82121</v>
      </c>
      <c r="AP110" s="374">
        <f>SUM(ERP_8[[#This Row],[AP01]:[AP07]])-SUM(ERP_8[[#This Row],[AP01 LE2]:[AP07 LE2]])</f>
        <v>121</v>
      </c>
      <c r="AQ110" s="80"/>
      <c r="AR110" s="79">
        <f>ERP_8[[#This Row],[2026 Working Total to Budget/LE]]-ERP_8[[#This Row],[Giveback]]</f>
        <v>0</v>
      </c>
      <c r="AS110" s="81"/>
      <c r="AT110" s="375"/>
      <c r="AU110" s="375"/>
      <c r="AV110" s="375"/>
      <c r="AW110" s="375">
        <v>0</v>
      </c>
      <c r="AX110" s="375">
        <v>82000</v>
      </c>
      <c r="AY110" s="375">
        <v>0</v>
      </c>
      <c r="AZ110" s="375">
        <v>0</v>
      </c>
      <c r="BA110" s="375">
        <v>4000</v>
      </c>
      <c r="BB110" s="375">
        <v>4000</v>
      </c>
      <c r="BC110" s="375">
        <v>0</v>
      </c>
      <c r="BD110" s="375">
        <v>0</v>
      </c>
      <c r="BE110" s="375">
        <v>0</v>
      </c>
      <c r="BF110" s="375">
        <v>90000</v>
      </c>
      <c r="BG110" s="79"/>
      <c r="BH110" s="79"/>
      <c r="BI110" s="79"/>
      <c r="BJ110" s="79">
        <v>8000</v>
      </c>
      <c r="BK110" s="79">
        <v>8000</v>
      </c>
      <c r="BL110" s="79">
        <v>8000</v>
      </c>
      <c r="BM110" s="79">
        <v>8000</v>
      </c>
      <c r="BN110" s="79">
        <v>10000</v>
      </c>
      <c r="BO110" s="79">
        <v>10000</v>
      </c>
      <c r="BP110" s="79">
        <v>10000</v>
      </c>
      <c r="BQ110" s="79">
        <v>10000</v>
      </c>
      <c r="BR110" s="79">
        <v>10000</v>
      </c>
      <c r="BS110" s="79">
        <v>82000</v>
      </c>
    </row>
    <row r="111" spans="1:71" ht="15" hidden="1" customHeight="1">
      <c r="A111" s="66" t="s">
        <v>1474</v>
      </c>
      <c r="B111" s="737" t="s">
        <v>224</v>
      </c>
      <c r="C111" s="346"/>
      <c r="D111" s="343" t="str">
        <f>_xlfn.TEXTJOIN("_",FALSE,E111,ERP_8[[#This Row],[Expense Category]],ERP_8[[#This Row],[Project Code*]])</f>
        <v>Herman, Shaun_CONTRACTORS_IT-PBS0936-OT-US-00</v>
      </c>
      <c r="E111" s="343" t="s">
        <v>1450</v>
      </c>
      <c r="F111" s="346"/>
      <c r="G111" s="150" t="s">
        <v>1136</v>
      </c>
      <c r="H111" s="150" t="s">
        <v>1345</v>
      </c>
      <c r="I111" s="150" t="s">
        <v>1450</v>
      </c>
      <c r="J111" s="150" t="s">
        <v>1346</v>
      </c>
      <c r="K111" s="511" t="s">
        <v>49</v>
      </c>
      <c r="L111" s="392" t="s">
        <v>1475</v>
      </c>
      <c r="M111" s="343"/>
      <c r="N111" s="800" t="s">
        <v>1451</v>
      </c>
      <c r="O111" s="70" t="s">
        <v>225</v>
      </c>
      <c r="P111" s="346"/>
      <c r="Q111" s="343"/>
      <c r="R111" s="346"/>
      <c r="S111" s="150" t="s">
        <v>25</v>
      </c>
      <c r="T111" s="150"/>
      <c r="U111" s="403"/>
      <c r="V111" s="406">
        <v>0</v>
      </c>
      <c r="W111" s="406">
        <v>70950</v>
      </c>
      <c r="X111" s="430"/>
      <c r="Y111" s="137"/>
      <c r="Z111" s="784"/>
      <c r="AA111" s="780"/>
      <c r="AB111" s="780">
        <v>70950</v>
      </c>
      <c r="AC111" s="428">
        <v>0</v>
      </c>
      <c r="AD111" s="429">
        <v>0</v>
      </c>
      <c r="AE111" s="429">
        <v>0</v>
      </c>
      <c r="AF111" s="429">
        <v>0</v>
      </c>
      <c r="AG111" s="360">
        <v>0</v>
      </c>
      <c r="AH111" s="360">
        <v>0</v>
      </c>
      <c r="AI111" s="360">
        <v>0</v>
      </c>
      <c r="AJ111" s="360">
        <v>0</v>
      </c>
      <c r="AK111" s="360">
        <v>0</v>
      </c>
      <c r="AL111" s="360">
        <f t="shared" si="6"/>
        <v>70950</v>
      </c>
      <c r="AM111" s="362">
        <f>ERP_8[[#This Row],[2026 Working Total]]-ERP_8[[#This Row],[LE2 Final Submission]]</f>
        <v>0</v>
      </c>
      <c r="AN111" s="79">
        <v>0</v>
      </c>
      <c r="AO111" s="79">
        <f t="shared" si="7"/>
        <v>0</v>
      </c>
      <c r="AP111" s="374">
        <f>SUM(ERP_8[[#This Row],[AP01]:[AP07]])-SUM(ERP_8[[#This Row],[AP01 LE2]:[AP07 LE2]])</f>
        <v>0</v>
      </c>
      <c r="AQ111" s="80"/>
      <c r="AR111" s="79">
        <f>ERP_8[[#This Row],[2026 Working Total to Budget/LE]]-ERP_8[[#This Row],[Giveback]]</f>
        <v>0</v>
      </c>
      <c r="AS111" s="81"/>
      <c r="AT111" s="375"/>
      <c r="AU111" s="375"/>
      <c r="AV111" s="375">
        <v>70950</v>
      </c>
      <c r="AW111" s="375">
        <v>0</v>
      </c>
      <c r="AX111" s="375">
        <v>0</v>
      </c>
      <c r="AY111" s="375">
        <v>0</v>
      </c>
      <c r="AZ111" s="375">
        <v>0</v>
      </c>
      <c r="BA111" s="375">
        <v>0</v>
      </c>
      <c r="BB111" s="375">
        <v>0</v>
      </c>
      <c r="BC111" s="375">
        <v>0</v>
      </c>
      <c r="BD111" s="375">
        <v>0</v>
      </c>
      <c r="BE111" s="375">
        <v>0</v>
      </c>
      <c r="BF111" s="375">
        <v>70950</v>
      </c>
      <c r="BG111" s="79"/>
      <c r="BH111" s="79"/>
      <c r="BI111" s="79">
        <v>70950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0</v>
      </c>
      <c r="BP111" s="79">
        <v>0</v>
      </c>
      <c r="BQ111" s="79">
        <v>0</v>
      </c>
      <c r="BR111" s="79">
        <v>0</v>
      </c>
      <c r="BS111" s="79">
        <v>70950</v>
      </c>
    </row>
    <row r="112" spans="1:71" ht="15" hidden="1" customHeight="1">
      <c r="A112" s="66" t="s">
        <v>1476</v>
      </c>
      <c r="B112" s="737" t="s">
        <v>226</v>
      </c>
      <c r="C112" s="346"/>
      <c r="D112" s="343" t="str">
        <f>_xlfn.TEXTJOIN("_",FALSE,E112,ERP_8[[#This Row],[Expense Category]],ERP_8[[#This Row],[Project Code*]])</f>
        <v>Herman, Shaun_CONTRACTORS_MISC001</v>
      </c>
      <c r="E112" s="343" t="s">
        <v>1450</v>
      </c>
      <c r="F112" s="346"/>
      <c r="G112" s="150" t="s">
        <v>1136</v>
      </c>
      <c r="H112" s="150" t="s">
        <v>1345</v>
      </c>
      <c r="I112" s="150" t="s">
        <v>1450</v>
      </c>
      <c r="J112" s="150" t="s">
        <v>1346</v>
      </c>
      <c r="K112" s="511" t="s">
        <v>49</v>
      </c>
      <c r="L112" s="392" t="s">
        <v>1327</v>
      </c>
      <c r="M112" s="343"/>
      <c r="N112" s="800" t="s">
        <v>1451</v>
      </c>
      <c r="O112" s="70" t="s">
        <v>147</v>
      </c>
      <c r="P112" s="346"/>
      <c r="Q112" s="343"/>
      <c r="R112" s="346"/>
      <c r="S112" s="150" t="s">
        <v>25</v>
      </c>
      <c r="T112" s="150"/>
      <c r="U112" s="403"/>
      <c r="V112" s="406">
        <v>0</v>
      </c>
      <c r="W112" s="406">
        <v>-0.32999999999999996</v>
      </c>
      <c r="X112" s="425"/>
      <c r="Y112" s="71"/>
      <c r="Z112" s="784">
        <v>-0.15</v>
      </c>
      <c r="AA112" s="780">
        <v>0.23</v>
      </c>
      <c r="AB112" s="780">
        <v>-0.41</v>
      </c>
      <c r="AC112" s="428">
        <v>0.8</v>
      </c>
      <c r="AD112" s="429">
        <v>-0.17</v>
      </c>
      <c r="AE112" s="429">
        <v>-0.68</v>
      </c>
      <c r="AF112" s="429">
        <v>0</v>
      </c>
      <c r="AG112" s="360">
        <v>0</v>
      </c>
      <c r="AH112" s="360">
        <v>0</v>
      </c>
      <c r="AI112" s="360">
        <v>0</v>
      </c>
      <c r="AJ112" s="360">
        <v>0</v>
      </c>
      <c r="AK112" s="360">
        <v>0</v>
      </c>
      <c r="AL112" s="360">
        <f t="shared" si="6"/>
        <v>-0.38</v>
      </c>
      <c r="AM112" s="362">
        <f>ERP_8[[#This Row],[2026 Working Total]]-ERP_8[[#This Row],[LE2 Final Submission]]</f>
        <v>-5.0000000000000044E-2</v>
      </c>
      <c r="AN112" s="79">
        <v>0</v>
      </c>
      <c r="AO112" s="79">
        <f t="shared" si="7"/>
        <v>-0.68</v>
      </c>
      <c r="AP112" s="374">
        <f>SUM(ERP_8[[#This Row],[AP01]:[AP07]])-SUM(ERP_8[[#This Row],[AP01 LE2]:[AP07 LE2]])</f>
        <v>-5.0000000000000044E-2</v>
      </c>
      <c r="AQ112" s="80"/>
      <c r="AR112" s="79">
        <f>ERP_8[[#This Row],[2026 Working Total to Budget/LE]]-ERP_8[[#This Row],[Giveback]]</f>
        <v>-5.0000000000000044E-2</v>
      </c>
      <c r="AS112" s="81"/>
      <c r="AT112" s="375">
        <v>-0.15</v>
      </c>
      <c r="AU112" s="375">
        <v>0.23</v>
      </c>
      <c r="AV112" s="375">
        <v>-0.41</v>
      </c>
      <c r="AW112" s="375">
        <v>0</v>
      </c>
      <c r="AX112" s="375">
        <v>0</v>
      </c>
      <c r="AY112" s="375">
        <v>0</v>
      </c>
      <c r="AZ112" s="375">
        <v>0</v>
      </c>
      <c r="BA112" s="375">
        <v>0</v>
      </c>
      <c r="BB112" s="375">
        <v>0</v>
      </c>
      <c r="BC112" s="375">
        <v>0</v>
      </c>
      <c r="BD112" s="375">
        <v>0</v>
      </c>
      <c r="BE112" s="375">
        <v>0</v>
      </c>
      <c r="BF112" s="375">
        <v>-0.32999999999999996</v>
      </c>
      <c r="BG112" s="79">
        <v>-0.15</v>
      </c>
      <c r="BH112" s="79">
        <v>0.23</v>
      </c>
      <c r="BI112" s="79">
        <v>-0.41</v>
      </c>
      <c r="BJ112" s="79">
        <v>0</v>
      </c>
      <c r="BK112" s="79">
        <v>0</v>
      </c>
      <c r="BL112" s="79">
        <v>0</v>
      </c>
      <c r="BM112" s="79">
        <v>0</v>
      </c>
      <c r="BN112" s="79">
        <v>0</v>
      </c>
      <c r="BO112" s="79">
        <v>0</v>
      </c>
      <c r="BP112" s="79">
        <v>0</v>
      </c>
      <c r="BQ112" s="79">
        <v>0</v>
      </c>
      <c r="BR112" s="79">
        <v>0</v>
      </c>
      <c r="BS112" s="79">
        <v>-0.32999999999999996</v>
      </c>
    </row>
    <row r="113" spans="1:71" ht="15" hidden="1" customHeight="1">
      <c r="A113" s="66" t="s">
        <v>1477</v>
      </c>
      <c r="B113" s="737" t="s">
        <v>227</v>
      </c>
      <c r="C113" s="346"/>
      <c r="D113" s="343" t="str">
        <f>_xlfn.TEXTJOIN("_",FALSE,E113,ERP_8[[#This Row],[Expense Category]],ERP_8[[#This Row],[Project Code*]])</f>
        <v>Herman, Shaun_CONTRACTORS_POClosure001</v>
      </c>
      <c r="E113" s="343" t="s">
        <v>1450</v>
      </c>
      <c r="F113" s="346"/>
      <c r="G113" s="150" t="s">
        <v>1136</v>
      </c>
      <c r="H113" s="150" t="s">
        <v>1345</v>
      </c>
      <c r="I113" s="150" t="s">
        <v>1450</v>
      </c>
      <c r="J113" s="150" t="s">
        <v>1346</v>
      </c>
      <c r="K113" s="511" t="s">
        <v>49</v>
      </c>
      <c r="L113" s="392" t="s">
        <v>1340</v>
      </c>
      <c r="M113" s="343"/>
      <c r="N113" s="800" t="s">
        <v>1451</v>
      </c>
      <c r="O113" s="70" t="s">
        <v>149</v>
      </c>
      <c r="P113" s="346" t="s">
        <v>1139</v>
      </c>
      <c r="Q113" s="343"/>
      <c r="R113" s="346"/>
      <c r="S113" s="150" t="s">
        <v>25</v>
      </c>
      <c r="T113" s="150"/>
      <c r="U113" s="403"/>
      <c r="V113" s="406">
        <v>0</v>
      </c>
      <c r="W113" s="406">
        <v>-4283.6499999999996</v>
      </c>
      <c r="X113" s="425"/>
      <c r="Y113" s="71"/>
      <c r="Z113" s="784">
        <v>-487.65</v>
      </c>
      <c r="AA113" s="780">
        <v>-3796</v>
      </c>
      <c r="AB113" s="780">
        <v>0</v>
      </c>
      <c r="AC113" s="428">
        <v>0</v>
      </c>
      <c r="AD113" s="429">
        <v>0</v>
      </c>
      <c r="AE113" s="429">
        <v>0</v>
      </c>
      <c r="AF113" s="429">
        <v>0</v>
      </c>
      <c r="AG113" s="360">
        <v>0</v>
      </c>
      <c r="AH113" s="360">
        <v>0</v>
      </c>
      <c r="AI113" s="360">
        <v>0</v>
      </c>
      <c r="AJ113" s="360">
        <v>0</v>
      </c>
      <c r="AK113" s="360">
        <v>0</v>
      </c>
      <c r="AL113" s="360">
        <f t="shared" si="6"/>
        <v>-4283.6499999999996</v>
      </c>
      <c r="AM113" s="362">
        <f>ERP_8[[#This Row],[2026 Working Total]]-ERP_8[[#This Row],[LE2 Final Submission]]</f>
        <v>0</v>
      </c>
      <c r="AN113" s="79">
        <v>0</v>
      </c>
      <c r="AO113" s="79">
        <f t="shared" si="7"/>
        <v>0</v>
      </c>
      <c r="AP113" s="374">
        <f>SUM(ERP_8[[#This Row],[AP01]:[AP07]])-SUM(ERP_8[[#This Row],[AP01 LE2]:[AP07 LE2]])</f>
        <v>0</v>
      </c>
      <c r="AQ113" s="80"/>
      <c r="AR113" s="79">
        <f>ERP_8[[#This Row],[2026 Working Total to Budget/LE]]-ERP_8[[#This Row],[Giveback]]</f>
        <v>0</v>
      </c>
      <c r="AS113" s="81"/>
      <c r="AT113" s="375">
        <v>-487.65</v>
      </c>
      <c r="AU113" s="375">
        <v>-3796</v>
      </c>
      <c r="AV113" s="375">
        <v>0</v>
      </c>
      <c r="AW113" s="375">
        <v>0</v>
      </c>
      <c r="AX113" s="375">
        <v>0</v>
      </c>
      <c r="AY113" s="375">
        <v>0</v>
      </c>
      <c r="AZ113" s="375">
        <v>0</v>
      </c>
      <c r="BA113" s="375">
        <v>0</v>
      </c>
      <c r="BB113" s="375">
        <v>0</v>
      </c>
      <c r="BC113" s="375">
        <v>0</v>
      </c>
      <c r="BD113" s="375">
        <v>0</v>
      </c>
      <c r="BE113" s="375">
        <v>0</v>
      </c>
      <c r="BF113" s="375">
        <v>-4283.6499999999996</v>
      </c>
      <c r="BG113" s="79">
        <v>-487.65</v>
      </c>
      <c r="BH113" s="79">
        <v>-3796</v>
      </c>
      <c r="BI113" s="79">
        <v>0</v>
      </c>
      <c r="BJ113" s="79">
        <v>0</v>
      </c>
      <c r="BK113" s="79">
        <v>0</v>
      </c>
      <c r="BL113" s="79">
        <v>0</v>
      </c>
      <c r="BM113" s="79">
        <v>0</v>
      </c>
      <c r="BN113" s="79">
        <v>0</v>
      </c>
      <c r="BO113" s="79">
        <v>0</v>
      </c>
      <c r="BP113" s="79">
        <v>0</v>
      </c>
      <c r="BQ113" s="79">
        <v>0</v>
      </c>
      <c r="BR113" s="79">
        <v>0</v>
      </c>
      <c r="BS113" s="79">
        <v>-4283.6499999999996</v>
      </c>
    </row>
    <row r="114" spans="1:71" ht="15" hidden="1" customHeight="1">
      <c r="A114" s="66" t="s">
        <v>1478</v>
      </c>
      <c r="B114" s="737" t="s">
        <v>1479</v>
      </c>
      <c r="C114" s="346"/>
      <c r="D114" s="343" t="str">
        <f>_xlfn.TEXTJOIN("_",FALSE,E114,ERP_8[[#This Row],[Expense Category]],ERP_8[[#This Row],[Project Code*]])</f>
        <v>Hovanyetz, Mike_CONTRACTORS_EnhanceChargeout001</v>
      </c>
      <c r="E114" s="343" t="s">
        <v>1480</v>
      </c>
      <c r="F114" s="346"/>
      <c r="G114" s="150" t="s">
        <v>1136</v>
      </c>
      <c r="H114" s="150" t="s">
        <v>1345</v>
      </c>
      <c r="I114" s="150" t="s">
        <v>1481</v>
      </c>
      <c r="J114" s="150" t="s">
        <v>1346</v>
      </c>
      <c r="K114" s="511" t="s">
        <v>49</v>
      </c>
      <c r="L114" s="392" t="s">
        <v>1147</v>
      </c>
      <c r="M114" s="343"/>
      <c r="N114" s="800" t="s">
        <v>1482</v>
      </c>
      <c r="O114" s="70" t="s">
        <v>53</v>
      </c>
      <c r="P114" s="346" t="s">
        <v>1153</v>
      </c>
      <c r="Q114" s="343"/>
      <c r="R114" s="346"/>
      <c r="S114" s="150" t="s">
        <v>25</v>
      </c>
      <c r="T114" s="150" t="s">
        <v>1483</v>
      </c>
      <c r="U114" s="403"/>
      <c r="V114" s="406">
        <v>0</v>
      </c>
      <c r="W114" s="406">
        <v>0</v>
      </c>
      <c r="X114" s="425"/>
      <c r="Y114" s="71"/>
      <c r="Z114" s="784">
        <v>279973</v>
      </c>
      <c r="AA114" s="780">
        <v>-451174</v>
      </c>
      <c r="AB114" s="780">
        <v>173459</v>
      </c>
      <c r="AC114" s="428">
        <v>771452.00000000012</v>
      </c>
      <c r="AD114" s="429">
        <v>-143797.00000000006</v>
      </c>
      <c r="AE114" s="429">
        <v>-449247</v>
      </c>
      <c r="AF114" s="429">
        <v>529861.40000000014</v>
      </c>
      <c r="AG114" s="360">
        <v>-710527.4</v>
      </c>
      <c r="AH114" s="360">
        <v>0</v>
      </c>
      <c r="AI114" s="360">
        <v>0</v>
      </c>
      <c r="AJ114" s="360">
        <v>0</v>
      </c>
      <c r="AK114" s="360">
        <v>0</v>
      </c>
      <c r="AL114" s="360">
        <f t="shared" si="6"/>
        <v>1.1641532182693481E-10</v>
      </c>
      <c r="AM114" s="362">
        <f>ERP_8[[#This Row],[2026 Working Total]]-ERP_8[[#This Row],[LE2 Final Submission]]</f>
        <v>1.1641532182693481E-10</v>
      </c>
      <c r="AN114" s="79">
        <v>0</v>
      </c>
      <c r="AO114" s="79">
        <f t="shared" si="7"/>
        <v>-449247</v>
      </c>
      <c r="AP114" s="374">
        <f>SUM(ERP_8[[#This Row],[AP01]:[AP07]])-SUM(ERP_8[[#This Row],[AP01 LE2]:[AP07 LE2]])</f>
        <v>710527.40000000014</v>
      </c>
      <c r="AQ114" s="80"/>
      <c r="AR114" s="79">
        <f>ERP_8[[#This Row],[2026 Working Total to Budget/LE]]-ERP_8[[#This Row],[Giveback]]</f>
        <v>1.1641532182693481E-10</v>
      </c>
      <c r="AS114" s="81"/>
      <c r="AT114" s="375">
        <v>279973</v>
      </c>
      <c r="AU114" s="375">
        <v>-451174</v>
      </c>
      <c r="AV114" s="375">
        <v>173459</v>
      </c>
      <c r="AW114" s="375">
        <v>771452</v>
      </c>
      <c r="AX114" s="375">
        <v>-773710</v>
      </c>
      <c r="AY114" s="375">
        <v>0</v>
      </c>
      <c r="AZ114" s="375">
        <v>0</v>
      </c>
      <c r="BA114" s="375">
        <v>0</v>
      </c>
      <c r="BB114" s="375">
        <v>0</v>
      </c>
      <c r="BC114" s="375">
        <v>0</v>
      </c>
      <c r="BD114" s="375">
        <v>0</v>
      </c>
      <c r="BE114" s="375">
        <v>0</v>
      </c>
      <c r="BF114" s="375">
        <v>0</v>
      </c>
      <c r="BG114" s="79">
        <v>279973</v>
      </c>
      <c r="BH114" s="79">
        <v>-451174</v>
      </c>
      <c r="BI114" s="79">
        <v>173459</v>
      </c>
      <c r="BJ114" s="79">
        <v>0</v>
      </c>
      <c r="BK114" s="79">
        <v>51201</v>
      </c>
      <c r="BL114" s="79">
        <v>0</v>
      </c>
      <c r="BM114" s="79">
        <v>0</v>
      </c>
      <c r="BN114" s="79">
        <v>0</v>
      </c>
      <c r="BO114" s="79">
        <v>0</v>
      </c>
      <c r="BP114" s="79">
        <v>0</v>
      </c>
      <c r="BQ114" s="79">
        <v>0</v>
      </c>
      <c r="BR114" s="79">
        <v>0</v>
      </c>
      <c r="BS114" s="79">
        <v>53459</v>
      </c>
    </row>
    <row r="115" spans="1:71" ht="15" hidden="1" customHeight="1">
      <c r="A115" s="66" t="s">
        <v>1484</v>
      </c>
      <c r="B115" s="737" t="s">
        <v>1485</v>
      </c>
      <c r="C115" s="346"/>
      <c r="D115" s="343" t="str">
        <f>_xlfn.TEXTJOIN("_",FALSE,E115,ERP_8[[#This Row],[Expense Category]],ERP_8[[#This Row],[Project Code*]])</f>
        <v>Hovanyetz, Mike_CONTRACTORS_IT-CTR0151-OG-US-00</v>
      </c>
      <c r="E115" s="343" t="s">
        <v>1480</v>
      </c>
      <c r="F115" s="346"/>
      <c r="G115" s="150" t="s">
        <v>1136</v>
      </c>
      <c r="H115" s="150" t="s">
        <v>1345</v>
      </c>
      <c r="I115" s="150" t="s">
        <v>1481</v>
      </c>
      <c r="J115" s="150" t="s">
        <v>1346</v>
      </c>
      <c r="K115" s="511" t="s">
        <v>49</v>
      </c>
      <c r="L115" s="392" t="s">
        <v>1486</v>
      </c>
      <c r="M115" s="343"/>
      <c r="N115" s="802" t="s">
        <v>1487</v>
      </c>
      <c r="O115" s="70" t="s">
        <v>230</v>
      </c>
      <c r="P115" s="346"/>
      <c r="Q115" s="346" t="s">
        <v>1488</v>
      </c>
      <c r="R115" s="346"/>
      <c r="S115" s="150" t="s">
        <v>25</v>
      </c>
      <c r="T115" s="184" t="s">
        <v>1489</v>
      </c>
      <c r="U115" s="403"/>
      <c r="V115" s="406">
        <v>0</v>
      </c>
      <c r="W115" s="406">
        <v>120000</v>
      </c>
      <c r="X115" s="425"/>
      <c r="Y115" s="71"/>
      <c r="Z115" s="784">
        <v>0</v>
      </c>
      <c r="AA115" s="780">
        <v>0</v>
      </c>
      <c r="AB115" s="780">
        <v>0</v>
      </c>
      <c r="AC115" s="429">
        <v>39011.32</v>
      </c>
      <c r="AD115" s="429">
        <v>42012.189999999995</v>
      </c>
      <c r="AE115" s="429">
        <v>52515.23</v>
      </c>
      <c r="AF115" s="429">
        <v>42012.19</v>
      </c>
      <c r="AG115" s="363">
        <v>-51096.07</v>
      </c>
      <c r="AH115" s="363"/>
      <c r="AI115" s="363"/>
      <c r="AJ115" s="363"/>
      <c r="AK115" s="363"/>
      <c r="AL115" s="827">
        <f t="shared" si="6"/>
        <v>124454.85999999999</v>
      </c>
      <c r="AM115" s="362">
        <f>ERP_8[[#This Row],[2026 Working Total]]-ERP_8[[#This Row],[LE2 Final Submission]]</f>
        <v>4454.859999999986</v>
      </c>
      <c r="AN115" s="79">
        <v>0</v>
      </c>
      <c r="AO115" s="79">
        <f t="shared" si="7"/>
        <v>52515.23</v>
      </c>
      <c r="AP115" s="374">
        <f>SUM(ERP_8[[#This Row],[AP01]:[AP07]])-SUM(ERP_8[[#This Row],[AP01 LE2]:[AP07 LE2]])</f>
        <v>55550.929999999993</v>
      </c>
      <c r="AQ115" s="80"/>
      <c r="AR115" s="79">
        <f>ERP_8[[#This Row],[2026 Working Total to Budget/LE]]-ERP_8[[#This Row],[Giveback]]</f>
        <v>4454.859999999986</v>
      </c>
      <c r="AS115" s="81" t="s">
        <v>1490</v>
      </c>
      <c r="AT115" s="375">
        <v>0</v>
      </c>
      <c r="AU115" s="375">
        <v>0</v>
      </c>
      <c r="AV115" s="375">
        <v>0</v>
      </c>
      <c r="AW115" s="375">
        <v>35640</v>
      </c>
      <c r="AX115" s="375">
        <v>35640</v>
      </c>
      <c r="AY115" s="375">
        <v>35640</v>
      </c>
      <c r="AZ115" s="375">
        <v>13080</v>
      </c>
      <c r="BA115" s="375"/>
      <c r="BB115" s="375"/>
      <c r="BC115" s="375"/>
      <c r="BD115" s="375"/>
      <c r="BE115" s="375"/>
      <c r="BF115" s="375">
        <v>120000</v>
      </c>
      <c r="BG115" s="79"/>
      <c r="BH115" s="79"/>
      <c r="BI115" s="79"/>
      <c r="BJ115" s="79"/>
      <c r="BK115" s="79"/>
      <c r="BL115" s="79"/>
      <c r="BM115" s="79">
        <v>20000</v>
      </c>
      <c r="BN115" s="79">
        <v>20000</v>
      </c>
      <c r="BO115" s="79">
        <v>20000</v>
      </c>
      <c r="BP115" s="79">
        <v>20000</v>
      </c>
      <c r="BQ115" s="79">
        <v>20000</v>
      </c>
      <c r="BR115" s="79">
        <v>20000</v>
      </c>
      <c r="BS115" s="79">
        <v>120000</v>
      </c>
    </row>
    <row r="116" spans="1:71" ht="15" hidden="1" customHeight="1">
      <c r="A116" s="66" t="s">
        <v>1491</v>
      </c>
      <c r="B116" s="737" t="s">
        <v>231</v>
      </c>
      <c r="C116" s="346"/>
      <c r="D116" s="343" t="str">
        <f>_xlfn.TEXTJOIN("_",FALSE,E116,ERP_8[[#This Row],[Expense Category]],ERP_8[[#This Row],[Project Code*]])</f>
        <v>Hovanyetz, Mike_CONTRACTORS_IT-FBT0450-OG-US-00</v>
      </c>
      <c r="E116" s="343" t="s">
        <v>1480</v>
      </c>
      <c r="F116" s="346"/>
      <c r="G116" s="150" t="s">
        <v>1136</v>
      </c>
      <c r="H116" s="150" t="s">
        <v>1345</v>
      </c>
      <c r="I116" s="150" t="s">
        <v>1480</v>
      </c>
      <c r="J116" s="150" t="s">
        <v>1346</v>
      </c>
      <c r="K116" s="511" t="s">
        <v>49</v>
      </c>
      <c r="L116" s="392" t="s">
        <v>1492</v>
      </c>
      <c r="M116" s="343"/>
      <c r="N116" s="800" t="s">
        <v>1493</v>
      </c>
      <c r="O116" s="70" t="s">
        <v>201</v>
      </c>
      <c r="P116" s="346"/>
      <c r="Q116" s="343" t="s">
        <v>1442</v>
      </c>
      <c r="R116" s="346"/>
      <c r="S116" s="150" t="s">
        <v>232</v>
      </c>
      <c r="T116" s="150" t="s">
        <v>1494</v>
      </c>
      <c r="U116" s="404"/>
      <c r="V116" s="407">
        <v>0</v>
      </c>
      <c r="W116" s="407">
        <v>0</v>
      </c>
      <c r="X116" s="430"/>
      <c r="Y116" s="137"/>
      <c r="Z116" s="784">
        <v>50000</v>
      </c>
      <c r="AA116" s="780">
        <v>0</v>
      </c>
      <c r="AB116" s="780">
        <v>-50000</v>
      </c>
      <c r="AC116" s="428">
        <v>50000</v>
      </c>
      <c r="AD116" s="429">
        <v>-50000</v>
      </c>
      <c r="AE116" s="429">
        <v>0</v>
      </c>
      <c r="AF116" s="429">
        <v>0</v>
      </c>
      <c r="AG116" s="363"/>
      <c r="AH116" s="363"/>
      <c r="AI116" s="363"/>
      <c r="AJ116" s="363"/>
      <c r="AK116" s="363"/>
      <c r="AL116" s="360">
        <f t="shared" si="6"/>
        <v>0</v>
      </c>
      <c r="AM116" s="362">
        <f>ERP_8[[#This Row],[2026 Working Total]]-ERP_8[[#This Row],[LE2 Final Submission]]</f>
        <v>0</v>
      </c>
      <c r="AN116" s="79"/>
      <c r="AO116" s="79">
        <f t="shared" si="7"/>
        <v>0</v>
      </c>
      <c r="AP116" s="374">
        <f>SUM(ERP_8[[#This Row],[AP01]:[AP07]])-SUM(ERP_8[[#This Row],[AP01 LE2]:[AP07 LE2]])</f>
        <v>0</v>
      </c>
      <c r="AQ116" s="80"/>
      <c r="AR116" s="79">
        <f>ERP_8[[#This Row],[2026 Working Total to Budget/LE]]-ERP_8[[#This Row],[Giveback]]</f>
        <v>0</v>
      </c>
      <c r="AS116" s="81"/>
      <c r="AT116" s="375">
        <v>50000</v>
      </c>
      <c r="AU116" s="375">
        <v>0</v>
      </c>
      <c r="AV116" s="375">
        <v>-50000</v>
      </c>
      <c r="AW116" s="375">
        <v>50000</v>
      </c>
      <c r="AX116" s="375">
        <v>-50000</v>
      </c>
      <c r="AY116" s="375"/>
      <c r="AZ116" s="375"/>
      <c r="BA116" s="375"/>
      <c r="BB116" s="375"/>
      <c r="BC116" s="375"/>
      <c r="BD116" s="375"/>
      <c r="BE116" s="375"/>
      <c r="BF116" s="375">
        <v>0</v>
      </c>
      <c r="BG116" s="79">
        <v>50000</v>
      </c>
      <c r="BH116" s="79">
        <v>0</v>
      </c>
      <c r="BI116" s="79">
        <v>-50000</v>
      </c>
      <c r="BJ116" s="79"/>
      <c r="BK116" s="79"/>
      <c r="BL116" s="79"/>
      <c r="BM116" s="79"/>
      <c r="BN116" s="79"/>
      <c r="BO116" s="79"/>
      <c r="BP116" s="79"/>
      <c r="BQ116" s="79"/>
      <c r="BR116" s="79"/>
      <c r="BS116" s="79">
        <v>0</v>
      </c>
    </row>
    <row r="117" spans="1:71" ht="15" hidden="1" customHeight="1">
      <c r="A117" s="150" t="s">
        <v>1495</v>
      </c>
      <c r="B117" s="749" t="s">
        <v>1496</v>
      </c>
      <c r="C117" s="348"/>
      <c r="D117" s="347" t="str">
        <f>_xlfn.TEXTJOIN("_",FALSE,E117,ERP_8[[#This Row],[Expense Category]],ERP_8[[#This Row],[Project Code*]])</f>
        <v>Hovanyetz, Mike_CONTRACTORS_IT-FBU0966-OT-US-00</v>
      </c>
      <c r="E117" s="347" t="s">
        <v>1480</v>
      </c>
      <c r="F117" s="348"/>
      <c r="G117" s="150" t="s">
        <v>1136</v>
      </c>
      <c r="H117" s="150" t="s">
        <v>1345</v>
      </c>
      <c r="I117" s="150" t="s">
        <v>1346</v>
      </c>
      <c r="J117" s="150" t="s">
        <v>1345</v>
      </c>
      <c r="K117" s="514" t="s">
        <v>49</v>
      </c>
      <c r="L117" s="394" t="s">
        <v>1497</v>
      </c>
      <c r="M117" s="333" t="s">
        <v>1498</v>
      </c>
      <c r="N117" s="467" t="s">
        <v>1499</v>
      </c>
      <c r="O117" s="90" t="s">
        <v>312</v>
      </c>
      <c r="P117" s="347"/>
      <c r="Q117" s="348" t="s">
        <v>1500</v>
      </c>
      <c r="R117" s="348"/>
      <c r="S117" s="348"/>
      <c r="T117" s="348" t="s">
        <v>1501</v>
      </c>
      <c r="U117" s="402"/>
      <c r="V117" s="406"/>
      <c r="W117" s="406"/>
      <c r="X117" s="425"/>
      <c r="Y117" s="71"/>
      <c r="Z117" s="784"/>
      <c r="AA117" s="794"/>
      <c r="AB117" s="794"/>
      <c r="AC117" s="481">
        <v>12507.9</v>
      </c>
      <c r="AD117" s="481">
        <v>13470.05</v>
      </c>
      <c r="AE117" s="429">
        <v>13318.529999999999</v>
      </c>
      <c r="AF117" s="429">
        <v>0</v>
      </c>
      <c r="AG117" s="364"/>
      <c r="AH117" s="364"/>
      <c r="AI117" s="364"/>
      <c r="AJ117" s="364"/>
      <c r="AK117" s="364"/>
      <c r="AL117" s="360">
        <f t="shared" si="6"/>
        <v>39296.479999999996</v>
      </c>
      <c r="AM117" s="362">
        <f>ERP_8[[#This Row],[2026 Working Total]]-ERP_8[[#This Row],[LE2 Final Submission]]</f>
        <v>39296.479999999996</v>
      </c>
      <c r="AN117" s="79"/>
      <c r="AO117" s="79">
        <f t="shared" si="7"/>
        <v>13318.529999999999</v>
      </c>
      <c r="AP117" s="374">
        <f>SUM(ERP_8[[#This Row],[AP01]:[AP07]])-SUM(ERP_8[[#This Row],[AP01 LE2]:[AP07 LE2]])</f>
        <v>39296.479999999996</v>
      </c>
      <c r="AQ117" s="80"/>
      <c r="AR117" s="79">
        <f>ERP_8[[#This Row],[2026 Working Total to Budget/LE]]-ERP_8[[#This Row],[Giveback]]</f>
        <v>39296.479999999996</v>
      </c>
      <c r="AS117" s="81"/>
      <c r="AT117" s="375"/>
      <c r="AU117" s="375"/>
      <c r="AV117" s="375"/>
      <c r="AW117" s="375"/>
      <c r="AX117" s="375"/>
      <c r="AY117" s="375"/>
      <c r="AZ117" s="375"/>
      <c r="BA117" s="375"/>
      <c r="BB117" s="375"/>
      <c r="BC117" s="375"/>
      <c r="BD117" s="375"/>
      <c r="BE117" s="375"/>
      <c r="BF117" s="375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</row>
    <row r="118" spans="1:71" ht="15" hidden="1" customHeight="1">
      <c r="A118" s="66" t="s">
        <v>1502</v>
      </c>
      <c r="B118" s="737" t="s">
        <v>1503</v>
      </c>
      <c r="C118" s="346"/>
      <c r="D118" s="343" t="str">
        <f>_xlfn.TEXTJOIN("_",FALSE,E118,ERP_8[[#This Row],[Expense Category]],ERP_8[[#This Row],[Project Code*]])</f>
        <v>Hovanyetz, Mike_CONTRACTORS_IT-SFT1458-OG-US-00</v>
      </c>
      <c r="E118" s="343" t="s">
        <v>1480</v>
      </c>
      <c r="F118" s="346"/>
      <c r="G118" s="150" t="s">
        <v>1136</v>
      </c>
      <c r="H118" s="150" t="s">
        <v>1345</v>
      </c>
      <c r="I118" s="150" t="s">
        <v>1481</v>
      </c>
      <c r="J118" s="150" t="s">
        <v>1346</v>
      </c>
      <c r="K118" s="511" t="s">
        <v>49</v>
      </c>
      <c r="L118" s="392" t="s">
        <v>1504</v>
      </c>
      <c r="M118" s="343"/>
      <c r="N118" s="804">
        <v>2329610</v>
      </c>
      <c r="O118" s="70" t="s">
        <v>234</v>
      </c>
      <c r="P118" s="346"/>
      <c r="Q118" s="343"/>
      <c r="R118" s="346"/>
      <c r="S118" s="150" t="s">
        <v>25</v>
      </c>
      <c r="T118" s="184" t="s">
        <v>1505</v>
      </c>
      <c r="U118" s="404"/>
      <c r="V118" s="407">
        <v>0</v>
      </c>
      <c r="W118" s="407">
        <v>0</v>
      </c>
      <c r="X118" s="425"/>
      <c r="Y118" s="71"/>
      <c r="Z118" s="784"/>
      <c r="AA118" s="780">
        <v>304987.09999999998</v>
      </c>
      <c r="AB118" s="780">
        <v>-304987.09999999998</v>
      </c>
      <c r="AC118" s="428">
        <v>0</v>
      </c>
      <c r="AD118" s="429">
        <v>0</v>
      </c>
      <c r="AE118" s="429">
        <v>0</v>
      </c>
      <c r="AF118" s="429">
        <v>0</v>
      </c>
      <c r="AG118" s="363"/>
      <c r="AH118" s="363"/>
      <c r="AI118" s="363"/>
      <c r="AJ118" s="363"/>
      <c r="AK118" s="363"/>
      <c r="AL118" s="360">
        <f t="shared" si="6"/>
        <v>0</v>
      </c>
      <c r="AM118" s="362">
        <f>ERP_8[[#This Row],[2026 Working Total]]-ERP_8[[#This Row],[LE2 Final Submission]]</f>
        <v>0</v>
      </c>
      <c r="AN118" s="79"/>
      <c r="AO118" s="79">
        <f t="shared" si="7"/>
        <v>0</v>
      </c>
      <c r="AP118" s="374">
        <f>SUM(ERP_8[[#This Row],[AP01]:[AP07]])-SUM(ERP_8[[#This Row],[AP01 LE2]:[AP07 LE2]])</f>
        <v>0</v>
      </c>
      <c r="AQ118" s="80"/>
      <c r="AR118" s="79">
        <f>ERP_8[[#This Row],[2026 Working Total to Budget/LE]]-ERP_8[[#This Row],[Giveback]]</f>
        <v>0</v>
      </c>
      <c r="AS118" s="81"/>
      <c r="AT118" s="375"/>
      <c r="AU118" s="375">
        <v>304987.09999999998</v>
      </c>
      <c r="AV118" s="375">
        <v>-304987.09999999998</v>
      </c>
      <c r="AW118" s="375"/>
      <c r="AX118" s="375"/>
      <c r="AY118" s="375"/>
      <c r="AZ118" s="375"/>
      <c r="BA118" s="375"/>
      <c r="BB118" s="375"/>
      <c r="BC118" s="375"/>
      <c r="BD118" s="375"/>
      <c r="BE118" s="375"/>
      <c r="BF118" s="375">
        <v>0</v>
      </c>
      <c r="BG118" s="79"/>
      <c r="BH118" s="79">
        <v>304987.09999999998</v>
      </c>
      <c r="BI118" s="79">
        <v>-304987.09999999998</v>
      </c>
      <c r="BJ118" s="79"/>
      <c r="BK118" s="79"/>
      <c r="BL118" s="79"/>
      <c r="BM118" s="79"/>
      <c r="BN118" s="79"/>
      <c r="BO118" s="79"/>
      <c r="BP118" s="79"/>
      <c r="BQ118" s="79"/>
      <c r="BR118" s="79"/>
      <c r="BS118" s="79">
        <v>0</v>
      </c>
    </row>
    <row r="119" spans="1:71" ht="15" hidden="1" customHeight="1">
      <c r="A119" s="66" t="s">
        <v>1506</v>
      </c>
      <c r="B119" s="737" t="s">
        <v>1507</v>
      </c>
      <c r="C119" s="346"/>
      <c r="D119" s="343" t="str">
        <f>_xlfn.TEXTJOIN("_",FALSE,E119,ERP_8[[#This Row],[Expense Category]],ERP_8[[#This Row],[Project Code*]])</f>
        <v>Hovanyetz, Mike_CONTRACTORS_IT-SFT1459-OG-US-00</v>
      </c>
      <c r="E119" s="343" t="s">
        <v>1480</v>
      </c>
      <c r="F119" s="346"/>
      <c r="G119" s="150" t="s">
        <v>1136</v>
      </c>
      <c r="H119" s="150" t="s">
        <v>1345</v>
      </c>
      <c r="I119" s="150" t="s">
        <v>1481</v>
      </c>
      <c r="J119" s="150" t="s">
        <v>1346</v>
      </c>
      <c r="K119" s="511" t="s">
        <v>49</v>
      </c>
      <c r="L119" s="392" t="s">
        <v>1508</v>
      </c>
      <c r="M119" s="343"/>
      <c r="N119" s="804">
        <v>2329610</v>
      </c>
      <c r="O119" s="70" t="s">
        <v>236</v>
      </c>
      <c r="P119" s="346"/>
      <c r="Q119" s="343"/>
      <c r="R119" s="346"/>
      <c r="S119" s="150" t="s">
        <v>25</v>
      </c>
      <c r="T119" s="184" t="s">
        <v>1509</v>
      </c>
      <c r="U119" s="404"/>
      <c r="V119" s="407">
        <v>0</v>
      </c>
      <c r="W119" s="407">
        <v>0</v>
      </c>
      <c r="X119" s="425"/>
      <c r="Y119" s="71"/>
      <c r="Z119" s="784"/>
      <c r="AA119" s="780">
        <v>331000</v>
      </c>
      <c r="AB119" s="780">
        <v>-331000</v>
      </c>
      <c r="AC119" s="428">
        <v>0</v>
      </c>
      <c r="AD119" s="429">
        <v>0</v>
      </c>
      <c r="AE119" s="429">
        <v>9981.0499999999993</v>
      </c>
      <c r="AF119" s="429">
        <v>71018.95</v>
      </c>
      <c r="AG119" s="363">
        <v>-81000</v>
      </c>
      <c r="AH119" s="363"/>
      <c r="AI119" s="363"/>
      <c r="AJ119" s="363"/>
      <c r="AK119" s="363"/>
      <c r="AL119" s="360">
        <f t="shared" si="6"/>
        <v>0</v>
      </c>
      <c r="AM119" s="362">
        <f>ERP_8[[#This Row],[2026 Working Total]]-ERP_8[[#This Row],[LE2 Final Submission]]</f>
        <v>0</v>
      </c>
      <c r="AN119" s="79"/>
      <c r="AO119" s="79">
        <f t="shared" si="7"/>
        <v>9981.0499999999993</v>
      </c>
      <c r="AP119" s="374">
        <f>SUM(ERP_8[[#This Row],[AP01]:[AP07]])-SUM(ERP_8[[#This Row],[AP01 LE2]:[AP07 LE2]])</f>
        <v>81000</v>
      </c>
      <c r="AQ119" s="80"/>
      <c r="AR119" s="79">
        <f>ERP_8[[#This Row],[2026 Working Total to Budget/LE]]-ERP_8[[#This Row],[Giveback]]</f>
        <v>0</v>
      </c>
      <c r="AS119" s="81"/>
      <c r="AT119" s="375"/>
      <c r="AU119" s="375">
        <v>331000</v>
      </c>
      <c r="AV119" s="375">
        <v>-331000</v>
      </c>
      <c r="AW119" s="375"/>
      <c r="AX119" s="375"/>
      <c r="AY119" s="375"/>
      <c r="AZ119" s="375"/>
      <c r="BA119" s="375"/>
      <c r="BB119" s="375"/>
      <c r="BC119" s="375"/>
      <c r="BD119" s="375"/>
      <c r="BE119" s="375"/>
      <c r="BF119" s="375">
        <v>0</v>
      </c>
      <c r="BG119" s="79"/>
      <c r="BH119" s="79">
        <v>331000</v>
      </c>
      <c r="BI119" s="79">
        <v>-331000</v>
      </c>
      <c r="BJ119" s="79"/>
      <c r="BK119" s="79"/>
      <c r="BL119" s="79"/>
      <c r="BM119" s="79"/>
      <c r="BN119" s="79"/>
      <c r="BO119" s="79"/>
      <c r="BP119" s="79"/>
      <c r="BQ119" s="79"/>
      <c r="BR119" s="79"/>
      <c r="BS119" s="79">
        <v>0</v>
      </c>
    </row>
    <row r="120" spans="1:71" ht="15" hidden="1" customHeight="1">
      <c r="A120" s="150" t="s">
        <v>1510</v>
      </c>
      <c r="B120" s="749" t="s">
        <v>237</v>
      </c>
      <c r="C120" s="348"/>
      <c r="D120" s="347" t="str">
        <f>_xlfn.TEXTJOIN("_",FALSE,E120,ERP_8[[#This Row],[Expense Category]],ERP_8[[#This Row],[Project Code*]])</f>
        <v>Hovanyetz, Mike_CONTRACTORS_MISC001</v>
      </c>
      <c r="E120" s="347" t="s">
        <v>1480</v>
      </c>
      <c r="F120" s="348"/>
      <c r="G120" s="150" t="s">
        <v>1136</v>
      </c>
      <c r="H120" s="332" t="s">
        <v>1345</v>
      </c>
      <c r="I120" s="332" t="s">
        <v>1480</v>
      </c>
      <c r="J120" s="333" t="s">
        <v>1480</v>
      </c>
      <c r="K120" s="514" t="s">
        <v>49</v>
      </c>
      <c r="L120" s="394" t="s">
        <v>1327</v>
      </c>
      <c r="M120" s="333"/>
      <c r="N120" s="467" t="s">
        <v>1493</v>
      </c>
      <c r="O120" s="90" t="s">
        <v>147</v>
      </c>
      <c r="P120" s="347"/>
      <c r="Q120" s="347"/>
      <c r="R120" s="348"/>
      <c r="S120" s="348"/>
      <c r="T120" s="348"/>
      <c r="U120" s="402"/>
      <c r="V120" s="406"/>
      <c r="W120" s="406"/>
      <c r="X120" s="425"/>
      <c r="Y120" s="71"/>
      <c r="Z120" s="784"/>
      <c r="AA120" s="780"/>
      <c r="AB120" s="780"/>
      <c r="AC120" s="429"/>
      <c r="AD120" s="429">
        <v>0</v>
      </c>
      <c r="AE120" s="429">
        <v>0</v>
      </c>
      <c r="AF120" s="429">
        <v>0</v>
      </c>
      <c r="AG120" s="364"/>
      <c r="AH120" s="364"/>
      <c r="AI120" s="364"/>
      <c r="AJ120" s="364"/>
      <c r="AK120" s="364"/>
      <c r="AL120" s="360">
        <f t="shared" si="6"/>
        <v>0</v>
      </c>
      <c r="AM120" s="362">
        <f>ERP_8[[#This Row],[2026 Working Total]]-ERP_8[[#This Row],[LE2 Final Submission]]</f>
        <v>0</v>
      </c>
      <c r="AN120" s="79"/>
      <c r="AO120" s="79">
        <f t="shared" si="7"/>
        <v>0</v>
      </c>
      <c r="AP120" s="374">
        <f>SUM(ERP_8[[#This Row],[AP01]:[AP07]])-SUM(ERP_8[[#This Row],[AP01 LE2]:[AP07 LE2]])</f>
        <v>0</v>
      </c>
      <c r="AQ120" s="80"/>
      <c r="AR120" s="79">
        <f>ERP_8[[#This Row],[2026 Working Total to Budget/LE]]-ERP_8[[#This Row],[Giveback]]</f>
        <v>0</v>
      </c>
      <c r="AS120" s="81"/>
      <c r="AT120" s="375"/>
      <c r="AU120" s="375"/>
      <c r="AV120" s="375"/>
      <c r="AW120" s="375"/>
      <c r="AX120" s="375"/>
      <c r="AY120" s="375"/>
      <c r="AZ120" s="375"/>
      <c r="BA120" s="375"/>
      <c r="BB120" s="375"/>
      <c r="BC120" s="375"/>
      <c r="BD120" s="375"/>
      <c r="BE120" s="375"/>
      <c r="BF120" s="375"/>
      <c r="BG120" s="79"/>
      <c r="BH120" s="79"/>
      <c r="BI120" s="79"/>
      <c r="BJ120" s="79"/>
      <c r="BK120" s="79"/>
      <c r="BL120" s="79"/>
      <c r="BM120" s="79"/>
      <c r="BN120" s="79"/>
      <c r="BO120" s="79"/>
      <c r="BP120" s="79"/>
      <c r="BQ120" s="79"/>
      <c r="BR120" s="79"/>
      <c r="BS120" s="79"/>
    </row>
    <row r="121" spans="1:71" ht="15" hidden="1" customHeight="1">
      <c r="A121" s="66" t="s">
        <v>1511</v>
      </c>
      <c r="B121" s="737" t="s">
        <v>1512</v>
      </c>
      <c r="C121" s="346"/>
      <c r="D121" s="343" t="str">
        <f>_xlfn.TEXTJOIN("_",FALSE,E121,ERP_8[[#This Row],[Expense Category]],ERP_8[[#This Row],[Project Code*]])</f>
        <v>Hovanyetz, Mike_CONTRACTORS_MISC001</v>
      </c>
      <c r="E121" s="343" t="s">
        <v>1480</v>
      </c>
      <c r="F121" s="346"/>
      <c r="G121" s="150" t="s">
        <v>1136</v>
      </c>
      <c r="H121" s="150" t="s">
        <v>1345</v>
      </c>
      <c r="I121" s="150" t="s">
        <v>1481</v>
      </c>
      <c r="J121" s="150" t="s">
        <v>1346</v>
      </c>
      <c r="K121" s="511" t="s">
        <v>49</v>
      </c>
      <c r="L121" s="392" t="s">
        <v>1327</v>
      </c>
      <c r="M121" s="343"/>
      <c r="N121" s="804">
        <v>2329610</v>
      </c>
      <c r="O121" s="70" t="s">
        <v>147</v>
      </c>
      <c r="P121" s="346"/>
      <c r="Q121" s="343"/>
      <c r="R121" s="346"/>
      <c r="S121" s="150" t="s">
        <v>25</v>
      </c>
      <c r="T121" s="473" t="s">
        <v>1513</v>
      </c>
      <c r="U121" s="404"/>
      <c r="V121" s="407">
        <v>0</v>
      </c>
      <c r="W121" s="407">
        <v>0</v>
      </c>
      <c r="X121" s="425"/>
      <c r="Y121" s="71"/>
      <c r="Z121" s="784"/>
      <c r="AA121" s="780">
        <v>-0.1</v>
      </c>
      <c r="AB121" s="780">
        <v>0.1</v>
      </c>
      <c r="AC121" s="428">
        <v>-0.32</v>
      </c>
      <c r="AD121" s="429">
        <v>0.81</v>
      </c>
      <c r="AE121" s="429">
        <v>-0.28000000000000003</v>
      </c>
      <c r="AF121" s="429">
        <v>0</v>
      </c>
      <c r="AG121" s="363"/>
      <c r="AH121" s="363"/>
      <c r="AI121" s="363"/>
      <c r="AJ121" s="363"/>
      <c r="AK121" s="363"/>
      <c r="AL121" s="360">
        <f t="shared" si="6"/>
        <v>0.21000000000000002</v>
      </c>
      <c r="AM121" s="362">
        <f>ERP_8[[#This Row],[2026 Working Total]]-ERP_8[[#This Row],[LE2 Final Submission]]</f>
        <v>0.21000000000000002</v>
      </c>
      <c r="AN121" s="79"/>
      <c r="AO121" s="79">
        <f t="shared" si="7"/>
        <v>-0.28000000000000003</v>
      </c>
      <c r="AP121" s="374">
        <f>SUM(ERP_8[[#This Row],[AP01]:[AP07]])-SUM(ERP_8[[#This Row],[AP01 LE2]:[AP07 LE2]])</f>
        <v>0.21000000000000002</v>
      </c>
      <c r="AQ121" s="80"/>
      <c r="AR121" s="79">
        <f>ERP_8[[#This Row],[2026 Working Total to Budget/LE]]-ERP_8[[#This Row],[Giveback]]</f>
        <v>0.21000000000000002</v>
      </c>
      <c r="AS121" s="81"/>
      <c r="AT121" s="375"/>
      <c r="AU121" s="375">
        <v>-0.1</v>
      </c>
      <c r="AV121" s="375">
        <v>0.1</v>
      </c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375">
        <v>0</v>
      </c>
      <c r="BG121" s="79"/>
      <c r="BH121" s="79">
        <v>-0.1</v>
      </c>
      <c r="BI121" s="79">
        <v>0.1</v>
      </c>
      <c r="BJ121" s="79"/>
      <c r="BK121" s="79"/>
      <c r="BL121" s="79"/>
      <c r="BM121" s="79"/>
      <c r="BN121" s="79"/>
      <c r="BO121" s="79"/>
      <c r="BP121" s="79"/>
      <c r="BQ121" s="79"/>
      <c r="BR121" s="79"/>
      <c r="BS121" s="79">
        <v>0</v>
      </c>
    </row>
    <row r="122" spans="1:71" ht="15" hidden="1" customHeight="1">
      <c r="A122" s="79" t="s">
        <v>1514</v>
      </c>
      <c r="B122" s="749" t="s">
        <v>238</v>
      </c>
      <c r="C122" s="348"/>
      <c r="D122" s="347" t="str">
        <f>_xlfn.TEXTJOIN("_",FALSE,E122,ERP_8[[#This Row],[Expense Category]],ERP_8[[#This Row],[Project Code*]])</f>
        <v>Jajodia, Amit_CONTRACTORS_2026-XFR-0028-A</v>
      </c>
      <c r="E122" s="347" t="s">
        <v>1515</v>
      </c>
      <c r="F122" s="348"/>
      <c r="G122" s="150" t="s">
        <v>1136</v>
      </c>
      <c r="H122" s="332" t="s">
        <v>1345</v>
      </c>
      <c r="I122" s="383" t="s">
        <v>1515</v>
      </c>
      <c r="J122" s="331" t="s">
        <v>1346</v>
      </c>
      <c r="K122" s="512" t="s">
        <v>49</v>
      </c>
      <c r="L122" s="393" t="s">
        <v>1516</v>
      </c>
      <c r="M122" s="343"/>
      <c r="N122" s="803"/>
      <c r="O122" s="869" t="s">
        <v>239</v>
      </c>
      <c r="P122" s="343"/>
      <c r="Q122" s="343"/>
      <c r="R122" s="348"/>
      <c r="S122" s="386" t="s">
        <v>152</v>
      </c>
      <c r="T122" s="389" t="s">
        <v>1517</v>
      </c>
      <c r="U122" s="432"/>
      <c r="V122" s="358">
        <v>200000</v>
      </c>
      <c r="W122" s="378">
        <v>0</v>
      </c>
      <c r="X122" s="425"/>
      <c r="Y122" s="71"/>
      <c r="Z122" s="783"/>
      <c r="AA122" s="795"/>
      <c r="AB122" s="795"/>
      <c r="AC122" s="429" t="s">
        <v>1142</v>
      </c>
      <c r="AD122" s="429">
        <v>0</v>
      </c>
      <c r="AE122" s="429">
        <v>0</v>
      </c>
      <c r="AF122" s="429" t="s">
        <v>1142</v>
      </c>
      <c r="AG122" s="388">
        <v>0</v>
      </c>
      <c r="AH122" s="388">
        <v>0</v>
      </c>
      <c r="AI122" s="388">
        <v>0</v>
      </c>
      <c r="AJ122" s="388">
        <v>0</v>
      </c>
      <c r="AK122" s="388">
        <v>0</v>
      </c>
      <c r="AL122" s="360">
        <f t="shared" si="6"/>
        <v>0</v>
      </c>
      <c r="AM122" s="362">
        <f>ERP_8[[#This Row],[2026 Working Total]]-ERP_8[[#This Row],[LE2 Final Submission]]</f>
        <v>0</v>
      </c>
      <c r="AN122" s="79">
        <v>0</v>
      </c>
      <c r="AO122" s="79">
        <f t="shared" si="7"/>
        <v>0</v>
      </c>
      <c r="AP122" s="374">
        <f>SUM(ERP_8[[#This Row],[AP01]:[AP07]])-SUM(ERP_8[[#This Row],[AP01 LE2]:[AP07 LE2]])</f>
        <v>0</v>
      </c>
      <c r="AQ122" s="80"/>
      <c r="AR122" s="79">
        <f>ERP_8[[#This Row],[2026 Working Total to Budget/LE]]-ERP_8[[#This Row],[Giveback]]</f>
        <v>0</v>
      </c>
      <c r="AS122" s="119" t="s">
        <v>1518</v>
      </c>
      <c r="AT122" s="377"/>
      <c r="AU122" s="377"/>
      <c r="AV122" s="377"/>
      <c r="AW122" s="377">
        <v>0</v>
      </c>
      <c r="AX122" s="377">
        <v>0</v>
      </c>
      <c r="AY122" s="377">
        <v>0</v>
      </c>
      <c r="AZ122" s="377">
        <v>0</v>
      </c>
      <c r="BA122" s="377">
        <v>0</v>
      </c>
      <c r="BB122" s="377">
        <v>0</v>
      </c>
      <c r="BC122" s="377">
        <v>0</v>
      </c>
      <c r="BD122" s="377">
        <v>0</v>
      </c>
      <c r="BE122" s="377">
        <v>0</v>
      </c>
      <c r="BF122" s="377">
        <v>0</v>
      </c>
      <c r="BG122" s="103">
        <v>16667</v>
      </c>
      <c r="BH122" s="103">
        <v>16667</v>
      </c>
      <c r="BI122" s="103">
        <v>16667</v>
      </c>
      <c r="BJ122" s="103">
        <v>16667</v>
      </c>
      <c r="BK122" s="103">
        <v>16667</v>
      </c>
      <c r="BL122" s="103">
        <v>16667</v>
      </c>
      <c r="BM122" s="103">
        <v>16667</v>
      </c>
      <c r="BN122" s="103">
        <v>16667</v>
      </c>
      <c r="BO122" s="103">
        <v>16666</v>
      </c>
      <c r="BP122" s="103">
        <v>16666</v>
      </c>
      <c r="BQ122" s="103">
        <v>16666</v>
      </c>
      <c r="BR122" s="103">
        <v>16666</v>
      </c>
      <c r="BS122" s="79">
        <f>SUM(ERP_8[[#This Row],[2026 AP01]:[2026 AP12]])</f>
        <v>200000</v>
      </c>
    </row>
    <row r="123" spans="1:71" ht="15" hidden="1" customHeight="1">
      <c r="A123" s="66" t="s">
        <v>1519</v>
      </c>
      <c r="B123" s="737" t="s">
        <v>240</v>
      </c>
      <c r="C123" s="346"/>
      <c r="D123" s="343" t="str">
        <f>_xlfn.TEXTJOIN("_",FALSE,E123,ERP_8[[#This Row],[Expense Category]],ERP_8[[#This Row],[Project Code*]])</f>
        <v>Jajodia, Amit_CONTRACTORS_2026-XFR-0050-A</v>
      </c>
      <c r="E123" s="343" t="s">
        <v>1515</v>
      </c>
      <c r="F123" s="346"/>
      <c r="G123" s="150" t="s">
        <v>1136</v>
      </c>
      <c r="H123" s="150" t="s">
        <v>1345</v>
      </c>
      <c r="I123" s="150" t="s">
        <v>1515</v>
      </c>
      <c r="J123" s="150" t="s">
        <v>1346</v>
      </c>
      <c r="K123" s="511" t="s">
        <v>49</v>
      </c>
      <c r="L123" s="392" t="s">
        <v>1520</v>
      </c>
      <c r="M123" s="343"/>
      <c r="N123" s="800"/>
      <c r="O123" s="870" t="s">
        <v>241</v>
      </c>
      <c r="P123" s="346"/>
      <c r="Q123" s="343"/>
      <c r="R123" s="346"/>
      <c r="S123" s="150" t="s">
        <v>152</v>
      </c>
      <c r="T123" s="150" t="s">
        <v>1521</v>
      </c>
      <c r="U123" s="403"/>
      <c r="V123" s="406">
        <v>150000</v>
      </c>
      <c r="W123" s="406">
        <v>0</v>
      </c>
      <c r="X123" s="425"/>
      <c r="Y123" s="71"/>
      <c r="Z123" s="784"/>
      <c r="AA123" s="794"/>
      <c r="AB123" s="794"/>
      <c r="AC123" s="428" t="s">
        <v>1142</v>
      </c>
      <c r="AD123" s="429">
        <v>0</v>
      </c>
      <c r="AE123" s="429">
        <v>0</v>
      </c>
      <c r="AF123" s="429" t="s">
        <v>1142</v>
      </c>
      <c r="AG123" s="363">
        <v>0</v>
      </c>
      <c r="AH123" s="363">
        <v>0</v>
      </c>
      <c r="AI123" s="363">
        <v>0</v>
      </c>
      <c r="AJ123" s="363">
        <v>0</v>
      </c>
      <c r="AK123" s="363">
        <v>0</v>
      </c>
      <c r="AL123" s="360">
        <f t="shared" si="6"/>
        <v>0</v>
      </c>
      <c r="AM123" s="362">
        <f>ERP_8[[#This Row],[2026 Working Total]]-ERP_8[[#This Row],[LE2 Final Submission]]</f>
        <v>0</v>
      </c>
      <c r="AN123" s="79">
        <v>0</v>
      </c>
      <c r="AO123" s="79">
        <f t="shared" si="7"/>
        <v>0</v>
      </c>
      <c r="AP123" s="374">
        <f>SUM(ERP_8[[#This Row],[AP01]:[AP07]])-SUM(ERP_8[[#This Row],[AP01 LE2]:[AP07 LE2]])</f>
        <v>0</v>
      </c>
      <c r="AQ123" s="80"/>
      <c r="AR123" s="79">
        <f>ERP_8[[#This Row],[2026 Working Total to Budget/LE]]-ERP_8[[#This Row],[Giveback]]</f>
        <v>0</v>
      </c>
      <c r="AS123" s="81"/>
      <c r="AT123" s="375"/>
      <c r="AU123" s="375"/>
      <c r="AV123" s="375"/>
      <c r="AW123" s="375">
        <v>0</v>
      </c>
      <c r="AX123" s="375">
        <v>0</v>
      </c>
      <c r="AY123" s="375">
        <v>0</v>
      </c>
      <c r="AZ123" s="375">
        <v>0</v>
      </c>
      <c r="BA123" s="375">
        <v>0</v>
      </c>
      <c r="BB123" s="375">
        <v>0</v>
      </c>
      <c r="BC123" s="375">
        <v>0</v>
      </c>
      <c r="BD123" s="375">
        <v>0</v>
      </c>
      <c r="BE123" s="375">
        <v>0</v>
      </c>
      <c r="BF123" s="375">
        <v>0</v>
      </c>
      <c r="BG123" s="79"/>
      <c r="BH123" s="79"/>
      <c r="BI123" s="79"/>
      <c r="BJ123" s="79">
        <v>12500</v>
      </c>
      <c r="BK123" s="79">
        <v>12500</v>
      </c>
      <c r="BL123" s="79">
        <v>12500</v>
      </c>
      <c r="BM123" s="79">
        <v>12500</v>
      </c>
      <c r="BN123" s="79">
        <v>12500</v>
      </c>
      <c r="BO123" s="79">
        <v>12500</v>
      </c>
      <c r="BP123" s="79">
        <v>12500</v>
      </c>
      <c r="BQ123" s="79">
        <v>12500</v>
      </c>
      <c r="BR123" s="79">
        <v>12500</v>
      </c>
      <c r="BS123" s="79">
        <v>112500</v>
      </c>
    </row>
    <row r="124" spans="1:71" ht="15" hidden="1" customHeight="1">
      <c r="A124" s="79" t="s">
        <v>1522</v>
      </c>
      <c r="B124" s="749" t="s">
        <v>242</v>
      </c>
      <c r="C124" s="348"/>
      <c r="D124" s="347" t="str">
        <f>_xlfn.TEXTJOIN("_",FALSE,E124,ERP_8[[#This Row],[Expense Category]],ERP_8[[#This Row],[Project Code*]])</f>
        <v>Jajodia, Amit_CONTRACTORS_2026-XFR-0053-A</v>
      </c>
      <c r="E124" s="347" t="s">
        <v>1515</v>
      </c>
      <c r="F124" s="348"/>
      <c r="G124" s="150" t="s">
        <v>1136</v>
      </c>
      <c r="H124" s="332" t="s">
        <v>1345</v>
      </c>
      <c r="I124" s="383" t="s">
        <v>1515</v>
      </c>
      <c r="J124" s="331" t="s">
        <v>1346</v>
      </c>
      <c r="K124" s="512" t="s">
        <v>49</v>
      </c>
      <c r="L124" s="393" t="s">
        <v>1523</v>
      </c>
      <c r="M124" s="343"/>
      <c r="N124" s="803"/>
      <c r="O124" s="869" t="s">
        <v>243</v>
      </c>
      <c r="P124" s="343"/>
      <c r="Q124" s="343"/>
      <c r="R124" s="348"/>
      <c r="S124" s="386" t="s">
        <v>152</v>
      </c>
      <c r="T124" s="389" t="s">
        <v>1524</v>
      </c>
      <c r="U124" s="432"/>
      <c r="V124" s="358">
        <v>-199716</v>
      </c>
      <c r="W124" s="378">
        <v>-149787</v>
      </c>
      <c r="X124" s="430"/>
      <c r="Y124" s="137"/>
      <c r="Z124" s="783"/>
      <c r="AA124" s="795"/>
      <c r="AB124" s="795"/>
      <c r="AC124" s="428" t="s">
        <v>1142</v>
      </c>
      <c r="AD124" s="429">
        <v>0</v>
      </c>
      <c r="AE124" s="429">
        <v>0</v>
      </c>
      <c r="AF124" s="429" t="s">
        <v>1142</v>
      </c>
      <c r="AG124" s="388">
        <f>-16643+16643</f>
        <v>0</v>
      </c>
      <c r="AH124" s="388">
        <f>-16643+16643</f>
        <v>0</v>
      </c>
      <c r="AI124" s="388">
        <f>-16643+16643</f>
        <v>0</v>
      </c>
      <c r="AJ124" s="388">
        <f>-16643+16643</f>
        <v>0</v>
      </c>
      <c r="AK124" s="388">
        <f>-16643+16643</f>
        <v>0</v>
      </c>
      <c r="AL124" s="360">
        <f t="shared" si="6"/>
        <v>0</v>
      </c>
      <c r="AM124" s="362">
        <f>ERP_8[[#This Row],[2026 Working Total]]-ERP_8[[#This Row],[LE2 Final Submission]]</f>
        <v>149787</v>
      </c>
      <c r="AN124" s="79">
        <v>0</v>
      </c>
      <c r="AO124" s="79">
        <f t="shared" si="7"/>
        <v>0</v>
      </c>
      <c r="AP124" s="374">
        <f>SUM(ERP_8[[#This Row],[AP01]:[AP07]])-SUM(ERP_8[[#This Row],[AP01 LE2]:[AP07 LE2]])</f>
        <v>66572</v>
      </c>
      <c r="AQ124" s="80"/>
      <c r="AR124" s="79">
        <f>ERP_8[[#This Row],[2026 Working Total to Budget/LE]]-ERP_8[[#This Row],[Giveback]]</f>
        <v>149787</v>
      </c>
      <c r="AS124" s="81"/>
      <c r="AT124" s="375"/>
      <c r="AU124" s="375"/>
      <c r="AV124" s="375"/>
      <c r="AW124" s="375">
        <v>-16643</v>
      </c>
      <c r="AX124" s="375">
        <v>-16643</v>
      </c>
      <c r="AY124" s="375">
        <v>-16643</v>
      </c>
      <c r="AZ124" s="375">
        <v>-16643</v>
      </c>
      <c r="BA124" s="375">
        <v>-16643</v>
      </c>
      <c r="BB124" s="375">
        <v>-16643</v>
      </c>
      <c r="BC124" s="375">
        <v>-16643</v>
      </c>
      <c r="BD124" s="375">
        <v>-16643</v>
      </c>
      <c r="BE124" s="375">
        <v>-16643</v>
      </c>
      <c r="BF124" s="375">
        <v>-149787</v>
      </c>
      <c r="BG124" s="103">
        <v>-16643</v>
      </c>
      <c r="BH124" s="103">
        <v>-16643</v>
      </c>
      <c r="BI124" s="103">
        <v>-16643</v>
      </c>
      <c r="BJ124" s="103">
        <v>-16643</v>
      </c>
      <c r="BK124" s="103">
        <v>-16643</v>
      </c>
      <c r="BL124" s="103">
        <v>-16643</v>
      </c>
      <c r="BM124" s="103">
        <v>-16643</v>
      </c>
      <c r="BN124" s="103">
        <v>-16643</v>
      </c>
      <c r="BO124" s="103">
        <v>-16643</v>
      </c>
      <c r="BP124" s="103">
        <v>-16643</v>
      </c>
      <c r="BQ124" s="103">
        <v>-16643</v>
      </c>
      <c r="BR124" s="103">
        <v>-16643</v>
      </c>
      <c r="BS124" s="79">
        <f>SUM(ERP_8[[#This Row],[2026 AP01]:[2026 AP12]])</f>
        <v>-199716</v>
      </c>
    </row>
    <row r="125" spans="1:71" ht="15" hidden="1" customHeight="1">
      <c r="A125" s="79" t="s">
        <v>1525</v>
      </c>
      <c r="B125" s="749" t="s">
        <v>244</v>
      </c>
      <c r="C125" s="348"/>
      <c r="D125" s="347" t="str">
        <f>_xlfn.TEXTJOIN("_",FALSE,E125,ERP_8[[#This Row],[Expense Category]],ERP_8[[#This Row],[Project Code*]])</f>
        <v>Jajodia, Amit_CONTRACTORS_2026-XFR-0054-A</v>
      </c>
      <c r="E125" s="347" t="s">
        <v>1515</v>
      </c>
      <c r="F125" s="348"/>
      <c r="G125" s="150" t="s">
        <v>1136</v>
      </c>
      <c r="H125" s="332" t="s">
        <v>1345</v>
      </c>
      <c r="I125" s="383" t="s">
        <v>1515</v>
      </c>
      <c r="J125" s="331" t="s">
        <v>1346</v>
      </c>
      <c r="K125" s="512" t="s">
        <v>49</v>
      </c>
      <c r="L125" s="393" t="s">
        <v>1526</v>
      </c>
      <c r="M125" s="343"/>
      <c r="N125" s="803"/>
      <c r="O125" s="869" t="s">
        <v>245</v>
      </c>
      <c r="P125" s="343"/>
      <c r="Q125" s="343"/>
      <c r="R125" s="348"/>
      <c r="S125" s="386" t="s">
        <v>152</v>
      </c>
      <c r="T125" s="878" t="s">
        <v>1524</v>
      </c>
      <c r="U125" s="432"/>
      <c r="V125" s="358">
        <v>-289999.99999999988</v>
      </c>
      <c r="W125" s="378">
        <v>-217500.02999999997</v>
      </c>
      <c r="X125" s="425"/>
      <c r="Y125" s="71"/>
      <c r="Z125" s="783"/>
      <c r="AA125" s="795"/>
      <c r="AB125" s="795"/>
      <c r="AC125" s="428" t="s">
        <v>1142</v>
      </c>
      <c r="AD125" s="429">
        <v>0</v>
      </c>
      <c r="AE125" s="429">
        <v>0</v>
      </c>
      <c r="AF125" s="429" t="s">
        <v>1142</v>
      </c>
      <c r="AG125" s="388">
        <f>-24166.67+24166.67</f>
        <v>0</v>
      </c>
      <c r="AH125" s="388">
        <f>-24166.67+24166.67</f>
        <v>0</v>
      </c>
      <c r="AI125" s="388">
        <f>-24166.67+24166.67</f>
        <v>0</v>
      </c>
      <c r="AJ125" s="388">
        <f>-24166.67+24166.67</f>
        <v>0</v>
      </c>
      <c r="AK125" s="388">
        <f>-24166.67+24166.67</f>
        <v>0</v>
      </c>
      <c r="AL125" s="360">
        <f t="shared" si="6"/>
        <v>0</v>
      </c>
      <c r="AM125" s="362">
        <f>ERP_8[[#This Row],[2026 Working Total]]-ERP_8[[#This Row],[LE2 Final Submission]]</f>
        <v>217500.02999999997</v>
      </c>
      <c r="AN125" s="79">
        <v>0</v>
      </c>
      <c r="AO125" s="79">
        <f t="shared" si="7"/>
        <v>0</v>
      </c>
      <c r="AP125" s="374">
        <f>SUM(ERP_8[[#This Row],[AP01]:[AP07]])-SUM(ERP_8[[#This Row],[AP01 LE2]:[AP07 LE2]])</f>
        <v>96666.68</v>
      </c>
      <c r="AQ125" s="80"/>
      <c r="AR125" s="79">
        <f>ERP_8[[#This Row],[2026 Working Total to Budget/LE]]-ERP_8[[#This Row],[Giveback]]</f>
        <v>217500.02999999997</v>
      </c>
      <c r="AS125" s="81"/>
      <c r="AT125" s="375"/>
      <c r="AU125" s="375"/>
      <c r="AV125" s="375"/>
      <c r="AW125" s="375">
        <v>-24166.67</v>
      </c>
      <c r="AX125" s="375">
        <v>-24166.67</v>
      </c>
      <c r="AY125" s="375">
        <v>-24166.67</v>
      </c>
      <c r="AZ125" s="375">
        <v>-24166.67</v>
      </c>
      <c r="BA125" s="375">
        <v>-24166.67</v>
      </c>
      <c r="BB125" s="375">
        <v>-24166.67</v>
      </c>
      <c r="BC125" s="375">
        <v>-24166.67</v>
      </c>
      <c r="BD125" s="375">
        <v>-24166.67</v>
      </c>
      <c r="BE125" s="375">
        <v>-24166.67</v>
      </c>
      <c r="BF125" s="375">
        <v>-217500.02999999997</v>
      </c>
      <c r="BG125" s="103">
        <v>-24166.63</v>
      </c>
      <c r="BH125" s="103">
        <v>-24166.67</v>
      </c>
      <c r="BI125" s="103">
        <v>-24166.67</v>
      </c>
      <c r="BJ125" s="103">
        <v>-24166.67</v>
      </c>
      <c r="BK125" s="103">
        <v>-24166.67</v>
      </c>
      <c r="BL125" s="103">
        <v>-24166.67</v>
      </c>
      <c r="BM125" s="103">
        <v>-24166.67</v>
      </c>
      <c r="BN125" s="103">
        <v>-24166.67</v>
      </c>
      <c r="BO125" s="103">
        <v>-24166.67</v>
      </c>
      <c r="BP125" s="103">
        <v>-24166.67</v>
      </c>
      <c r="BQ125" s="103">
        <v>-24166.67</v>
      </c>
      <c r="BR125" s="103">
        <v>-24166.67</v>
      </c>
      <c r="BS125" s="79">
        <f>SUM(ERP_8[[#This Row],[2026 AP01]:[2026 AP12]])</f>
        <v>-289999.99999999988</v>
      </c>
    </row>
    <row r="126" spans="1:71" ht="15" hidden="1" customHeight="1">
      <c r="A126" s="66" t="s">
        <v>1527</v>
      </c>
      <c r="B126" s="737" t="s">
        <v>246</v>
      </c>
      <c r="C126" s="346"/>
      <c r="D126" s="343" t="str">
        <f>_xlfn.TEXTJOIN("_",FALSE,E126,ERP_8[[#This Row],[Expense Category]],ERP_8[[#This Row],[Project Code*]])</f>
        <v>Jajodia, Amit_CONTRACTORS_EnhanceChargeout001</v>
      </c>
      <c r="E126" s="343" t="s">
        <v>1515</v>
      </c>
      <c r="F126" s="346"/>
      <c r="G126" s="150" t="s">
        <v>1136</v>
      </c>
      <c r="H126" s="150" t="s">
        <v>1345</v>
      </c>
      <c r="I126" s="150" t="s">
        <v>1515</v>
      </c>
      <c r="J126" s="150" t="s">
        <v>1346</v>
      </c>
      <c r="K126" s="511" t="s">
        <v>49</v>
      </c>
      <c r="L126" s="392" t="s">
        <v>1147</v>
      </c>
      <c r="M126" s="343"/>
      <c r="N126" s="800" t="s">
        <v>1528</v>
      </c>
      <c r="O126" s="70" t="s">
        <v>53</v>
      </c>
      <c r="P126" s="346" t="s">
        <v>1153</v>
      </c>
      <c r="Q126" s="343"/>
      <c r="R126" s="346"/>
      <c r="S126" s="150" t="s">
        <v>25</v>
      </c>
      <c r="T126" s="150"/>
      <c r="U126" s="403"/>
      <c r="V126" s="406">
        <v>0</v>
      </c>
      <c r="W126" s="406">
        <v>-29144</v>
      </c>
      <c r="X126" s="425"/>
      <c r="Y126" s="71"/>
      <c r="Z126" s="784">
        <v>101571</v>
      </c>
      <c r="AA126" s="794">
        <v>-210932</v>
      </c>
      <c r="AB126" s="794">
        <v>80217</v>
      </c>
      <c r="AC126" s="428">
        <v>105632.00000000001</v>
      </c>
      <c r="AD126" s="429">
        <v>-36244</v>
      </c>
      <c r="AE126" s="429">
        <v>24284.000000000029</v>
      </c>
      <c r="AF126" s="429">
        <v>-15653.660000000018</v>
      </c>
      <c r="AG126" s="360">
        <v>0</v>
      </c>
      <c r="AH126" s="360">
        <v>0</v>
      </c>
      <c r="AI126" s="360">
        <v>0</v>
      </c>
      <c r="AJ126" s="360">
        <v>-48874.34</v>
      </c>
      <c r="AK126" s="360">
        <v>0</v>
      </c>
      <c r="AL126" s="360">
        <f t="shared" si="6"/>
        <v>2.9103830456733704E-11</v>
      </c>
      <c r="AM126" s="362">
        <f>ERP_8[[#This Row],[2026 Working Total]]-ERP_8[[#This Row],[LE2 Final Submission]]</f>
        <v>29144.000000000029</v>
      </c>
      <c r="AN126" s="79">
        <v>0</v>
      </c>
      <c r="AO126" s="79">
        <f t="shared" si="7"/>
        <v>24284.000000000029</v>
      </c>
      <c r="AP126" s="374">
        <f>SUM(ERP_8[[#This Row],[AP01]:[AP07]])-SUM(ERP_8[[#This Row],[AP01 LE2]:[AP07 LE2]])</f>
        <v>78018.340000000026</v>
      </c>
      <c r="AQ126" s="80"/>
      <c r="AR126" s="79">
        <f>ERP_8[[#This Row],[2026 Working Total to Budget/LE]]-ERP_8[[#This Row],[Giveback]]</f>
        <v>29144.000000000029</v>
      </c>
      <c r="AS126" s="81"/>
      <c r="AT126" s="375">
        <v>101571</v>
      </c>
      <c r="AU126" s="375">
        <v>-210932</v>
      </c>
      <c r="AV126" s="375">
        <v>80217</v>
      </c>
      <c r="AW126" s="375">
        <v>0</v>
      </c>
      <c r="AX126" s="375">
        <v>0</v>
      </c>
      <c r="AY126" s="375">
        <v>0</v>
      </c>
      <c r="AZ126" s="375">
        <v>0</v>
      </c>
      <c r="BA126" s="375">
        <v>0</v>
      </c>
      <c r="BB126" s="375">
        <v>0</v>
      </c>
      <c r="BC126" s="375">
        <v>0</v>
      </c>
      <c r="BD126" s="375">
        <v>0</v>
      </c>
      <c r="BE126" s="375">
        <v>0</v>
      </c>
      <c r="BF126" s="375">
        <v>-29144</v>
      </c>
      <c r="BG126" s="79">
        <v>101571</v>
      </c>
      <c r="BH126" s="79">
        <v>-210932</v>
      </c>
      <c r="BI126" s="79">
        <v>80217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0</v>
      </c>
      <c r="BP126" s="79">
        <v>0</v>
      </c>
      <c r="BQ126" s="79">
        <v>0</v>
      </c>
      <c r="BR126" s="79">
        <v>0</v>
      </c>
      <c r="BS126" s="79">
        <v>-29144</v>
      </c>
    </row>
    <row r="127" spans="1:71" ht="15" hidden="1" customHeight="1">
      <c r="A127" s="66" t="s">
        <v>1529</v>
      </c>
      <c r="B127" s="737" t="s">
        <v>247</v>
      </c>
      <c r="C127" s="346"/>
      <c r="D127" s="343" t="str">
        <f>_xlfn.TEXTJOIN("_",FALSE,E127,ERP_8[[#This Row],[Expense Category]],ERP_8[[#This Row],[Project Code*]])</f>
        <v>Jajodia, Amit_CONTRACTORS_IT-CTR0023-OG-US-00</v>
      </c>
      <c r="E127" s="343" t="s">
        <v>1515</v>
      </c>
      <c r="F127" s="346"/>
      <c r="G127" s="150" t="s">
        <v>1136</v>
      </c>
      <c r="H127" s="150" t="s">
        <v>1345</v>
      </c>
      <c r="I127" s="150" t="s">
        <v>1515</v>
      </c>
      <c r="J127" s="150" t="s">
        <v>1346</v>
      </c>
      <c r="K127" s="511" t="s">
        <v>49</v>
      </c>
      <c r="L127" s="392" t="s">
        <v>1530</v>
      </c>
      <c r="M127" s="343"/>
      <c r="N127" s="800" t="s">
        <v>1531</v>
      </c>
      <c r="O127" s="70" t="s">
        <v>248</v>
      </c>
      <c r="P127" s="346"/>
      <c r="Q127" s="346" t="s">
        <v>1221</v>
      </c>
      <c r="R127" s="346"/>
      <c r="S127" s="150" t="s">
        <v>25</v>
      </c>
      <c r="T127" s="150"/>
      <c r="U127" s="404"/>
      <c r="V127" s="407">
        <v>0</v>
      </c>
      <c r="W127" s="407">
        <v>0</v>
      </c>
      <c r="X127" s="430"/>
      <c r="Y127" s="137"/>
      <c r="Z127" s="784">
        <v>0.36</v>
      </c>
      <c r="AA127" s="794">
        <v>-0.36</v>
      </c>
      <c r="AB127" s="794"/>
      <c r="AC127" s="428">
        <v>-5357.64</v>
      </c>
      <c r="AD127" s="429">
        <v>0</v>
      </c>
      <c r="AE127" s="429">
        <v>0</v>
      </c>
      <c r="AF127" s="429">
        <v>0</v>
      </c>
      <c r="AG127" s="363"/>
      <c r="AH127" s="363"/>
      <c r="AI127" s="363"/>
      <c r="AJ127" s="363"/>
      <c r="AK127" s="363"/>
      <c r="AL127" s="360">
        <f t="shared" si="6"/>
        <v>-5357.64</v>
      </c>
      <c r="AM127" s="362">
        <f>ERP_8[[#This Row],[2026 Working Total]]-ERP_8[[#This Row],[LE2 Final Submission]]</f>
        <v>-5357.64</v>
      </c>
      <c r="AN127" s="79">
        <v>0</v>
      </c>
      <c r="AO127" s="79">
        <f t="shared" si="7"/>
        <v>0</v>
      </c>
      <c r="AP127" s="374">
        <f>SUM(ERP_8[[#This Row],[AP01]:[AP07]])-SUM(ERP_8[[#This Row],[AP01 LE2]:[AP07 LE2]])</f>
        <v>-5357.64</v>
      </c>
      <c r="AQ127" s="80"/>
      <c r="AR127" s="79">
        <f>ERP_8[[#This Row],[2026 Working Total to Budget/LE]]-ERP_8[[#This Row],[Giveback]]</f>
        <v>-5357.64</v>
      </c>
      <c r="AS127" s="81"/>
      <c r="AT127" s="375">
        <v>0.36</v>
      </c>
      <c r="AU127" s="375">
        <v>-0.36</v>
      </c>
      <c r="AV127" s="375"/>
      <c r="AW127" s="375"/>
      <c r="AX127" s="375"/>
      <c r="AY127" s="375"/>
      <c r="AZ127" s="375"/>
      <c r="BA127" s="375"/>
      <c r="BB127" s="375"/>
      <c r="BC127" s="375"/>
      <c r="BD127" s="375"/>
      <c r="BE127" s="375"/>
      <c r="BF127" s="375">
        <v>0</v>
      </c>
      <c r="BG127" s="79">
        <v>0.36</v>
      </c>
      <c r="BH127" s="79">
        <v>-0.36</v>
      </c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>
        <v>0</v>
      </c>
    </row>
    <row r="128" spans="1:71" ht="15" hidden="1" customHeight="1">
      <c r="A128" s="66" t="s">
        <v>1532</v>
      </c>
      <c r="B128" s="737" t="s">
        <v>249</v>
      </c>
      <c r="C128" s="346"/>
      <c r="D128" s="343" t="str">
        <f>_xlfn.TEXTJOIN("_",FALSE,E128,ERP_8[[#This Row],[Expense Category]],ERP_8[[#This Row],[Project Code*]])</f>
        <v>Jajodia, Amit_CONTRACTORS_IT-CTR0027-OG-US-00</v>
      </c>
      <c r="E128" s="343" t="s">
        <v>1515</v>
      </c>
      <c r="F128" s="346"/>
      <c r="G128" s="150" t="s">
        <v>1136</v>
      </c>
      <c r="H128" s="150" t="s">
        <v>1345</v>
      </c>
      <c r="I128" s="150" t="s">
        <v>1515</v>
      </c>
      <c r="J128" s="150" t="s">
        <v>1346</v>
      </c>
      <c r="K128" s="511" t="s">
        <v>49</v>
      </c>
      <c r="L128" s="392" t="s">
        <v>1533</v>
      </c>
      <c r="M128" s="343" t="s">
        <v>1387</v>
      </c>
      <c r="N128" s="802" t="s">
        <v>1531</v>
      </c>
      <c r="O128" s="70" t="s">
        <v>250</v>
      </c>
      <c r="P128" s="346"/>
      <c r="Q128" s="346" t="s">
        <v>1534</v>
      </c>
      <c r="R128" s="346"/>
      <c r="S128" s="150" t="s">
        <v>25</v>
      </c>
      <c r="T128" s="150"/>
      <c r="U128" s="403"/>
      <c r="V128" s="406">
        <v>553800</v>
      </c>
      <c r="W128" s="406">
        <v>496255</v>
      </c>
      <c r="X128" s="425"/>
      <c r="Y128" s="71"/>
      <c r="Z128" s="784">
        <v>-0.24</v>
      </c>
      <c r="AA128" s="794">
        <v>98366.34</v>
      </c>
      <c r="AB128" s="794">
        <v>-98366.1</v>
      </c>
      <c r="AC128" s="428">
        <v>27396.55</v>
      </c>
      <c r="AD128" s="429">
        <v>29503.98</v>
      </c>
      <c r="AE128" s="429">
        <v>36879.97</v>
      </c>
      <c r="AF128" s="429">
        <v>1053.7100000000064</v>
      </c>
      <c r="AG128" s="363">
        <v>71760</v>
      </c>
      <c r="AH128" s="363">
        <v>45100</v>
      </c>
      <c r="AI128" s="363">
        <v>48520</v>
      </c>
      <c r="AJ128" s="363">
        <v>45100</v>
      </c>
      <c r="AK128" s="363">
        <v>45100</v>
      </c>
      <c r="AL128" s="360">
        <f t="shared" si="6"/>
        <v>350414.20999999996</v>
      </c>
      <c r="AM128" s="362">
        <f>ERP_8[[#This Row],[2026 Working Total]]-ERP_8[[#This Row],[LE2 Final Submission]]</f>
        <v>-145840.79000000004</v>
      </c>
      <c r="AN128" s="79">
        <v>0</v>
      </c>
      <c r="AO128" s="79">
        <f t="shared" si="7"/>
        <v>36879.97</v>
      </c>
      <c r="AP128" s="374">
        <f>SUM(ERP_8[[#This Row],[AP01]:[AP07]])-SUM(ERP_8[[#This Row],[AP01 LE2]:[AP07 LE2]])</f>
        <v>-48186.956666666665</v>
      </c>
      <c r="AQ128" s="80"/>
      <c r="AR128" s="79">
        <f>ERP_8[[#This Row],[2026 Working Total to Budget/LE]]-ERP_8[[#This Row],[Giveback]]</f>
        <v>-145840.79000000004</v>
      </c>
      <c r="AS128" s="81"/>
      <c r="AT128" s="375">
        <v>-0.24</v>
      </c>
      <c r="AU128" s="375">
        <v>98366.34</v>
      </c>
      <c r="AV128" s="375">
        <v>-98366.1</v>
      </c>
      <c r="AW128" s="375">
        <v>31546.666666666668</v>
      </c>
      <c r="AX128" s="375">
        <v>31546.666666666668</v>
      </c>
      <c r="AY128" s="375">
        <v>31546.666666666668</v>
      </c>
      <c r="AZ128" s="375">
        <v>48381.166666666672</v>
      </c>
      <c r="BA128" s="375">
        <v>48381.166666666672</v>
      </c>
      <c r="BB128" s="375">
        <v>48381.166666666672</v>
      </c>
      <c r="BC128" s="375">
        <v>85490.5</v>
      </c>
      <c r="BD128" s="375">
        <v>85490.5</v>
      </c>
      <c r="BE128" s="375">
        <v>85490.5</v>
      </c>
      <c r="BF128" s="375">
        <v>496255</v>
      </c>
      <c r="BG128" s="79">
        <v>-0.24</v>
      </c>
      <c r="BH128" s="79">
        <v>98366.34</v>
      </c>
      <c r="BI128" s="79">
        <v>-98366.1</v>
      </c>
      <c r="BJ128" s="79">
        <v>57403.99</v>
      </c>
      <c r="BK128" s="79">
        <v>57403.99</v>
      </c>
      <c r="BL128" s="79">
        <v>57403.99</v>
      </c>
      <c r="BM128" s="79">
        <v>57403.99</v>
      </c>
      <c r="BN128" s="79">
        <v>57403.99</v>
      </c>
      <c r="BO128" s="79">
        <v>57403.99</v>
      </c>
      <c r="BP128" s="79">
        <v>57403.99</v>
      </c>
      <c r="BQ128" s="79">
        <v>57403.99</v>
      </c>
      <c r="BR128" s="79">
        <v>57403.99</v>
      </c>
      <c r="BS128" s="79">
        <v>516635.90999999992</v>
      </c>
    </row>
    <row r="129" spans="1:71" ht="15" hidden="1" customHeight="1">
      <c r="A129" s="66" t="s">
        <v>1535</v>
      </c>
      <c r="B129" s="737" t="s">
        <v>251</v>
      </c>
      <c r="C129" s="346"/>
      <c r="D129" s="343" t="str">
        <f>_xlfn.TEXTJOIN("_",FALSE,E129,ERP_8[[#This Row],[Expense Category]],ERP_8[[#This Row],[Project Code*]])</f>
        <v>Jajodia, Amit_CONTRACTORS_IT-CTR0030-OG-US-00</v>
      </c>
      <c r="E129" s="343" t="s">
        <v>1515</v>
      </c>
      <c r="F129" s="346"/>
      <c r="G129" s="150" t="s">
        <v>1136</v>
      </c>
      <c r="H129" s="150" t="s">
        <v>1345</v>
      </c>
      <c r="I129" s="150" t="s">
        <v>1515</v>
      </c>
      <c r="J129" s="150" t="s">
        <v>1346</v>
      </c>
      <c r="K129" s="511" t="s">
        <v>49</v>
      </c>
      <c r="L129" s="392" t="s">
        <v>1536</v>
      </c>
      <c r="M129" s="343" t="s">
        <v>1387</v>
      </c>
      <c r="N129" s="802" t="s">
        <v>1531</v>
      </c>
      <c r="O129" s="70" t="s">
        <v>252</v>
      </c>
      <c r="P129" s="346"/>
      <c r="Q129" s="346" t="s">
        <v>1537</v>
      </c>
      <c r="R129" s="346"/>
      <c r="S129" s="150" t="s">
        <v>25</v>
      </c>
      <c r="T129" s="150"/>
      <c r="U129" s="403"/>
      <c r="V129" s="406">
        <v>269997.96000000008</v>
      </c>
      <c r="W129" s="406">
        <v>268017.38</v>
      </c>
      <c r="X129" s="425"/>
      <c r="Y129" s="71"/>
      <c r="Z129" s="784">
        <v>19158.79</v>
      </c>
      <c r="AA129" s="794">
        <v>20603.919999999998</v>
      </c>
      <c r="AB129" s="794">
        <v>25754.67</v>
      </c>
      <c r="AC129" s="428">
        <v>20603.73</v>
      </c>
      <c r="AD129" s="429">
        <v>33243.729999999996</v>
      </c>
      <c r="AE129" s="429">
        <v>25754.660000000003</v>
      </c>
      <c r="AF129" s="429">
        <v>20603.73</v>
      </c>
      <c r="AG129" s="363">
        <v>20855</v>
      </c>
      <c r="AH129" s="363">
        <v>20855</v>
      </c>
      <c r="AI129" s="363">
        <v>20855</v>
      </c>
      <c r="AJ129" s="363">
        <v>20855</v>
      </c>
      <c r="AK129" s="363">
        <v>20855</v>
      </c>
      <c r="AL129" s="360">
        <f t="shared" si="6"/>
        <v>269998.23</v>
      </c>
      <c r="AM129" s="362">
        <f>ERP_8[[#This Row],[2026 Working Total]]-ERP_8[[#This Row],[LE2 Final Submission]]</f>
        <v>1980.8499999999767</v>
      </c>
      <c r="AN129" s="79">
        <v>0</v>
      </c>
      <c r="AO129" s="79">
        <f t="shared" si="7"/>
        <v>25754.660000000003</v>
      </c>
      <c r="AP129" s="374">
        <f>SUM(ERP_8[[#This Row],[AP01]:[AP07]])-SUM(ERP_8[[#This Row],[AP01 LE2]:[AP07 LE2]])</f>
        <v>10205.850000000006</v>
      </c>
      <c r="AQ129" s="80"/>
      <c r="AR129" s="79">
        <f>ERP_8[[#This Row],[2026 Working Total to Budget/LE]]-ERP_8[[#This Row],[Giveback]]</f>
        <v>1980.8499999999767</v>
      </c>
      <c r="AS129" s="81"/>
      <c r="AT129" s="375">
        <v>19158.79</v>
      </c>
      <c r="AU129" s="375">
        <v>20603.919999999998</v>
      </c>
      <c r="AV129" s="375">
        <v>25754.67</v>
      </c>
      <c r="AW129" s="375">
        <v>22500</v>
      </c>
      <c r="AX129" s="375">
        <v>22500</v>
      </c>
      <c r="AY129" s="375">
        <v>22500</v>
      </c>
      <c r="AZ129" s="375">
        <v>22500</v>
      </c>
      <c r="BA129" s="375">
        <v>22500</v>
      </c>
      <c r="BB129" s="375">
        <v>22500</v>
      </c>
      <c r="BC129" s="375">
        <v>22500</v>
      </c>
      <c r="BD129" s="375">
        <v>22500</v>
      </c>
      <c r="BE129" s="375">
        <v>22500</v>
      </c>
      <c r="BF129" s="375">
        <v>268017.38</v>
      </c>
      <c r="BG129" s="79">
        <v>19158.79</v>
      </c>
      <c r="BH129" s="79">
        <v>20603.919999999998</v>
      </c>
      <c r="BI129" s="79">
        <v>25754.67</v>
      </c>
      <c r="BJ129" s="79">
        <v>23474.3</v>
      </c>
      <c r="BK129" s="79">
        <v>23474.3</v>
      </c>
      <c r="BL129" s="79">
        <v>23474.3</v>
      </c>
      <c r="BM129" s="79">
        <v>23474.3</v>
      </c>
      <c r="BN129" s="79">
        <v>23474.3</v>
      </c>
      <c r="BO129" s="79">
        <v>23474.3</v>
      </c>
      <c r="BP129" s="79">
        <v>23474.3</v>
      </c>
      <c r="BQ129" s="79">
        <v>23474.3</v>
      </c>
      <c r="BR129" s="79">
        <v>23474.3</v>
      </c>
      <c r="BS129" s="79">
        <v>276786.07999999996</v>
      </c>
    </row>
    <row r="130" spans="1:71" ht="15" hidden="1" customHeight="1">
      <c r="A130" s="79" t="s">
        <v>1538</v>
      </c>
      <c r="B130" s="749" t="s">
        <v>253</v>
      </c>
      <c r="C130" s="348"/>
      <c r="D130" s="347" t="str">
        <f>_xlfn.TEXTJOIN("_",FALSE,E130,ERP_8[[#This Row],[Expense Category]],ERP_8[[#This Row],[Project Code*]])</f>
        <v>Jajodia, Amit_CONTRACTORS_IT-CTR0031-OG-US-00</v>
      </c>
      <c r="E130" s="347" t="s">
        <v>1515</v>
      </c>
      <c r="F130" s="348"/>
      <c r="G130" s="150" t="s">
        <v>1136</v>
      </c>
      <c r="H130" s="332" t="s">
        <v>1345</v>
      </c>
      <c r="I130" s="383" t="s">
        <v>1515</v>
      </c>
      <c r="J130" s="331" t="s">
        <v>1346</v>
      </c>
      <c r="K130" s="512" t="s">
        <v>49</v>
      </c>
      <c r="L130" s="393" t="s">
        <v>1539</v>
      </c>
      <c r="M130" s="343"/>
      <c r="N130" s="803"/>
      <c r="O130" s="91" t="s">
        <v>254</v>
      </c>
      <c r="P130" s="343"/>
      <c r="Q130" s="346" t="s">
        <v>1221</v>
      </c>
      <c r="R130" s="348"/>
      <c r="S130" s="386" t="s">
        <v>25</v>
      </c>
      <c r="T130" s="389" t="s">
        <v>1540</v>
      </c>
      <c r="U130" s="432"/>
      <c r="V130" s="358">
        <v>489720</v>
      </c>
      <c r="W130" s="378">
        <v>367290</v>
      </c>
      <c r="X130" s="430"/>
      <c r="Y130" s="137"/>
      <c r="Z130" s="783"/>
      <c r="AA130" s="795"/>
      <c r="AB130" s="795"/>
      <c r="AC130" s="428" t="s">
        <v>1142</v>
      </c>
      <c r="AD130" s="429">
        <v>0</v>
      </c>
      <c r="AE130" s="429">
        <v>0</v>
      </c>
      <c r="AF130" s="429" t="s">
        <v>1142</v>
      </c>
      <c r="AG130" s="388">
        <f>40810-40810</f>
        <v>0</v>
      </c>
      <c r="AH130" s="388">
        <f>40810-40810</f>
        <v>0</v>
      </c>
      <c r="AI130" s="388">
        <f>40810-40810</f>
        <v>0</v>
      </c>
      <c r="AJ130" s="388">
        <f>40810-40810</f>
        <v>0</v>
      </c>
      <c r="AK130" s="388">
        <f>40810-40810</f>
        <v>0</v>
      </c>
      <c r="AL130" s="360">
        <f t="shared" si="6"/>
        <v>0</v>
      </c>
      <c r="AM130" s="362">
        <f>ERP_8[[#This Row],[2026 Working Total]]-ERP_8[[#This Row],[LE2 Final Submission]]</f>
        <v>-367290</v>
      </c>
      <c r="AN130" s="79">
        <v>0</v>
      </c>
      <c r="AO130" s="79">
        <f t="shared" si="7"/>
        <v>0</v>
      </c>
      <c r="AP130" s="374">
        <f>SUM(ERP_8[[#This Row],[AP01]:[AP07]])-SUM(ERP_8[[#This Row],[AP01 LE2]:[AP07 LE2]])</f>
        <v>-163240</v>
      </c>
      <c r="AQ130" s="80"/>
      <c r="AR130" s="79">
        <f>ERP_8[[#This Row],[2026 Working Total to Budget/LE]]-ERP_8[[#This Row],[Giveback]]</f>
        <v>-367290</v>
      </c>
      <c r="AS130" s="81"/>
      <c r="AT130" s="375"/>
      <c r="AU130" s="375"/>
      <c r="AV130" s="375"/>
      <c r="AW130" s="375">
        <v>40810</v>
      </c>
      <c r="AX130" s="375">
        <v>40810</v>
      </c>
      <c r="AY130" s="375">
        <v>40810</v>
      </c>
      <c r="AZ130" s="375">
        <v>40810</v>
      </c>
      <c r="BA130" s="375">
        <v>40810</v>
      </c>
      <c r="BB130" s="375">
        <v>40810</v>
      </c>
      <c r="BC130" s="375">
        <v>40810</v>
      </c>
      <c r="BD130" s="375">
        <v>40810</v>
      </c>
      <c r="BE130" s="375">
        <v>40810</v>
      </c>
      <c r="BF130" s="375">
        <v>367290</v>
      </c>
      <c r="BG130" s="103">
        <v>40810</v>
      </c>
      <c r="BH130" s="103">
        <v>40810</v>
      </c>
      <c r="BI130" s="103">
        <v>40810</v>
      </c>
      <c r="BJ130" s="103">
        <v>40810</v>
      </c>
      <c r="BK130" s="103">
        <v>40810</v>
      </c>
      <c r="BL130" s="103">
        <v>40810</v>
      </c>
      <c r="BM130" s="103">
        <v>40810</v>
      </c>
      <c r="BN130" s="103">
        <v>40810</v>
      </c>
      <c r="BO130" s="103">
        <v>40810</v>
      </c>
      <c r="BP130" s="103">
        <v>40810</v>
      </c>
      <c r="BQ130" s="103">
        <v>40810</v>
      </c>
      <c r="BR130" s="103">
        <v>40810</v>
      </c>
      <c r="BS130" s="79">
        <f>SUM(ERP_8[[#This Row],[2026 AP01]:[2026 AP12]])</f>
        <v>489720</v>
      </c>
    </row>
    <row r="131" spans="1:71" ht="15" hidden="1" customHeight="1">
      <c r="A131" s="482" t="s">
        <v>1541</v>
      </c>
      <c r="B131" s="847" t="s">
        <v>1542</v>
      </c>
      <c r="C131" s="493"/>
      <c r="D131" s="819" t="str">
        <f>_xlfn.TEXTJOIN("_",FALSE,E131,ERP_8[[#This Row],[Expense Category]],ERP_8[[#This Row],[Project Code*]])</f>
        <v>Jajodia, Amit_CONTRACTORS_IT-CTR0034-OG-US-00</v>
      </c>
      <c r="E131" s="482" t="s">
        <v>1515</v>
      </c>
      <c r="F131" s="493"/>
      <c r="G131" s="482" t="s">
        <v>1136</v>
      </c>
      <c r="H131" s="482" t="s">
        <v>1345</v>
      </c>
      <c r="I131" s="482" t="s">
        <v>1346</v>
      </c>
      <c r="J131" s="490" t="s">
        <v>1346</v>
      </c>
      <c r="K131" s="514" t="s">
        <v>49</v>
      </c>
      <c r="L131" s="491" t="s">
        <v>1543</v>
      </c>
      <c r="M131" s="492" t="s">
        <v>1167</v>
      </c>
      <c r="N131" s="467" t="s">
        <v>1499</v>
      </c>
      <c r="O131" s="300" t="s">
        <v>256</v>
      </c>
      <c r="P131" s="347"/>
      <c r="Q131" s="348" t="s">
        <v>1544</v>
      </c>
      <c r="R131" s="493"/>
      <c r="S131" s="493"/>
      <c r="T131" s="493" t="s">
        <v>1545</v>
      </c>
      <c r="U131" s="402"/>
      <c r="V131" s="406"/>
      <c r="W131" s="494"/>
      <c r="X131" s="425"/>
      <c r="Y131" s="71"/>
      <c r="Z131" s="886"/>
      <c r="AA131" s="887"/>
      <c r="AB131" s="887"/>
      <c r="AC131" s="481"/>
      <c r="AD131" s="780"/>
      <c r="AE131" s="429">
        <f>62153.7-62153.7</f>
        <v>0</v>
      </c>
      <c r="AF131" s="429">
        <f>1126.65-1126.65</f>
        <v>0</v>
      </c>
      <c r="AG131" s="497">
        <f>-63280.35+63280.35</f>
        <v>0</v>
      </c>
      <c r="AH131" s="497"/>
      <c r="AI131" s="497"/>
      <c r="AJ131" s="497"/>
      <c r="AK131" s="497"/>
      <c r="AL131" s="498">
        <f t="shared" si="6"/>
        <v>0</v>
      </c>
      <c r="AM131" s="499">
        <f>ERP_8[[#This Row],[2026 Working Total]]-ERP_8[[#This Row],[LE2 Final Submission]]</f>
        <v>0</v>
      </c>
      <c r="AN131" s="79">
        <v>0</v>
      </c>
      <c r="AO131" s="82">
        <f t="shared" si="7"/>
        <v>0</v>
      </c>
      <c r="AP131" s="374">
        <f>SUM(ERP_8[[#This Row],[AP01]:[AP07]])-SUM(ERP_8[[#This Row],[AP01 LE2]:[AP07 LE2]])</f>
        <v>0</v>
      </c>
      <c r="AQ131" s="80"/>
      <c r="AR131" s="79">
        <f>ERP_8[[#This Row],[2026 Working Total to Budget/LE]]-ERP_8[[#This Row],[Giveback]]</f>
        <v>0</v>
      </c>
      <c r="AS131" s="81"/>
      <c r="AT131" s="375"/>
      <c r="AU131" s="375"/>
      <c r="AV131" s="375"/>
      <c r="AW131" s="375"/>
      <c r="AX131" s="375"/>
      <c r="AY131" s="375"/>
      <c r="AZ131" s="375"/>
      <c r="BA131" s="375"/>
      <c r="BB131" s="375"/>
      <c r="BC131" s="375"/>
      <c r="BD131" s="375"/>
      <c r="BE131" s="375"/>
      <c r="BF131" s="500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82"/>
    </row>
    <row r="132" spans="1:71" ht="15" hidden="1" customHeight="1">
      <c r="A132" s="66" t="s">
        <v>1546</v>
      </c>
      <c r="B132" s="737" t="s">
        <v>255</v>
      </c>
      <c r="C132" s="346"/>
      <c r="D132" s="343" t="str">
        <f>_xlfn.TEXTJOIN("_",FALSE,E132,ERP_8[[#This Row],[Expense Category]],ERP_8[[#This Row],[Project Code*]])</f>
        <v>Jajodia, Amit_CONTRACTORS_IT-CTR0034-OG-US-00</v>
      </c>
      <c r="E132" s="343" t="s">
        <v>1515</v>
      </c>
      <c r="F132" s="346"/>
      <c r="G132" s="150" t="s">
        <v>1136</v>
      </c>
      <c r="H132" s="150" t="s">
        <v>1345</v>
      </c>
      <c r="I132" s="150" t="s">
        <v>1515</v>
      </c>
      <c r="J132" s="150" t="s">
        <v>1346</v>
      </c>
      <c r="K132" s="511" t="s">
        <v>49</v>
      </c>
      <c r="L132" s="392" t="s">
        <v>1547</v>
      </c>
      <c r="M132" s="343" t="s">
        <v>1206</v>
      </c>
      <c r="N132" s="802" t="s">
        <v>1531</v>
      </c>
      <c r="O132" s="70" t="s">
        <v>256</v>
      </c>
      <c r="P132" s="346"/>
      <c r="Q132" s="346" t="s">
        <v>1548</v>
      </c>
      <c r="R132" s="346"/>
      <c r="S132" s="150" t="s">
        <v>25</v>
      </c>
      <c r="T132" s="150"/>
      <c r="U132" s="403"/>
      <c r="V132" s="406">
        <v>529998.96000000008</v>
      </c>
      <c r="W132" s="406">
        <v>367389.04999999993</v>
      </c>
      <c r="X132" s="425"/>
      <c r="Y132" s="71"/>
      <c r="Z132" s="784">
        <v>31387.97</v>
      </c>
      <c r="AA132" s="794">
        <v>29660.06</v>
      </c>
      <c r="AB132" s="794">
        <v>28355.06</v>
      </c>
      <c r="AC132" s="428">
        <v>376.37999999999738</v>
      </c>
      <c r="AD132" s="481">
        <v>30599.67</v>
      </c>
      <c r="AE132" s="429">
        <f>50661.62+62153.7</f>
        <v>112815.32</v>
      </c>
      <c r="AF132" s="429">
        <f>-33622.98+1126.65</f>
        <v>-32496.33</v>
      </c>
      <c r="AG132" s="363">
        <f>14123.65+63280.35-63280.35-14123.65+11880</f>
        <v>11880.000000000002</v>
      </c>
      <c r="AH132" s="363">
        <v>38722</v>
      </c>
      <c r="AI132" s="363">
        <v>20736</v>
      </c>
      <c r="AJ132" s="363">
        <v>17280</v>
      </c>
      <c r="AK132" s="363">
        <v>17280</v>
      </c>
      <c r="AL132" s="360">
        <f t="shared" si="6"/>
        <v>306596.13</v>
      </c>
      <c r="AM132" s="362">
        <f>ERP_8[[#This Row],[2026 Working Total]]-ERP_8[[#This Row],[LE2 Final Submission]]</f>
        <v>-60792.919999999925</v>
      </c>
      <c r="AN132" s="79">
        <v>0</v>
      </c>
      <c r="AO132" s="79">
        <f t="shared" si="7"/>
        <v>112815.32</v>
      </c>
      <c r="AP132" s="374">
        <f>SUM(ERP_8[[#This Row],[AP01]:[AP07]])-SUM(ERP_8[[#This Row],[AP01 LE2]:[AP07 LE2]])</f>
        <v>-5420.4400000000023</v>
      </c>
      <c r="AQ132" s="80"/>
      <c r="AR132" s="79">
        <f>ERP_8[[#This Row],[2026 Working Total to Budget/LE]]-ERP_8[[#This Row],[Giveback]]</f>
        <v>-60792.919999999925</v>
      </c>
      <c r="AS132" s="81"/>
      <c r="AT132" s="375">
        <v>31387.97</v>
      </c>
      <c r="AU132" s="375">
        <v>29660.06</v>
      </c>
      <c r="AV132" s="375">
        <v>28355.06</v>
      </c>
      <c r="AW132" s="375">
        <v>8474.82</v>
      </c>
      <c r="AX132" s="375">
        <v>36080.219999999994</v>
      </c>
      <c r="AY132" s="375">
        <v>36080.219999999994</v>
      </c>
      <c r="AZ132" s="375">
        <v>36080.219999999994</v>
      </c>
      <c r="BA132" s="375">
        <v>26514.909999999996</v>
      </c>
      <c r="BB132" s="375">
        <v>26514.909999999996</v>
      </c>
      <c r="BC132" s="375">
        <v>36080.219999999994</v>
      </c>
      <c r="BD132" s="375">
        <v>36080.219999999994</v>
      </c>
      <c r="BE132" s="375">
        <v>36080.219999999994</v>
      </c>
      <c r="BF132" s="375">
        <v>367389.04999999993</v>
      </c>
      <c r="BG132" s="79">
        <v>31387.97</v>
      </c>
      <c r="BH132" s="79">
        <v>29660.06</v>
      </c>
      <c r="BI132" s="79">
        <v>28355.06</v>
      </c>
      <c r="BJ132" s="79">
        <v>44166.58</v>
      </c>
      <c r="BK132" s="79">
        <v>44166.58</v>
      </c>
      <c r="BL132" s="79">
        <v>44166.58</v>
      </c>
      <c r="BM132" s="79">
        <v>44166.58</v>
      </c>
      <c r="BN132" s="79">
        <v>44166.58</v>
      </c>
      <c r="BO132" s="79">
        <v>44166.58</v>
      </c>
      <c r="BP132" s="79">
        <v>44166.58</v>
      </c>
      <c r="BQ132" s="79">
        <v>44166.58</v>
      </c>
      <c r="BR132" s="79">
        <v>44166.58</v>
      </c>
      <c r="BS132" s="79">
        <v>486902.31000000011</v>
      </c>
    </row>
    <row r="133" spans="1:71" ht="15" hidden="1" customHeight="1">
      <c r="A133" s="66" t="s">
        <v>1549</v>
      </c>
      <c r="B133" s="737" t="s">
        <v>257</v>
      </c>
      <c r="C133" s="346"/>
      <c r="D133" s="343" t="str">
        <f>_xlfn.TEXTJOIN("_",FALSE,E133,ERP_8[[#This Row],[Expense Category]],ERP_8[[#This Row],[Project Code*]])</f>
        <v>Jajodia, Amit_CONTRACTORS_IT-CTR0041-OG-US-00</v>
      </c>
      <c r="E133" s="343" t="s">
        <v>1515</v>
      </c>
      <c r="F133" s="346"/>
      <c r="G133" s="150" t="s">
        <v>1136</v>
      </c>
      <c r="H133" s="150" t="s">
        <v>1345</v>
      </c>
      <c r="I133" s="150" t="s">
        <v>1515</v>
      </c>
      <c r="J133" s="150" t="s">
        <v>1346</v>
      </c>
      <c r="K133" s="511" t="s">
        <v>49</v>
      </c>
      <c r="L133" s="392" t="s">
        <v>1550</v>
      </c>
      <c r="M133" s="343"/>
      <c r="N133" s="802" t="s">
        <v>1531</v>
      </c>
      <c r="O133" s="70" t="s">
        <v>258</v>
      </c>
      <c r="P133" s="346"/>
      <c r="Q133" s="346" t="s">
        <v>1187</v>
      </c>
      <c r="R133" s="346"/>
      <c r="S133" s="150" t="s">
        <v>25</v>
      </c>
      <c r="T133" s="150" t="s">
        <v>1521</v>
      </c>
      <c r="U133" s="403"/>
      <c r="V133" s="406">
        <v>624000</v>
      </c>
      <c r="W133" s="406">
        <v>592260.42999999993</v>
      </c>
      <c r="X133" s="425"/>
      <c r="Y133" s="71"/>
      <c r="Z133" s="784">
        <v>67126.64</v>
      </c>
      <c r="AA133" s="794">
        <v>74377.41</v>
      </c>
      <c r="AB133" s="794">
        <v>83640.33</v>
      </c>
      <c r="AC133" s="428">
        <v>-58284.780000000013</v>
      </c>
      <c r="AD133" s="429">
        <v>17767.169999999998</v>
      </c>
      <c r="AE133" s="429">
        <v>-37705.19</v>
      </c>
      <c r="AF133" s="429">
        <v>2485.09</v>
      </c>
      <c r="AG133" s="363">
        <v>82080</v>
      </c>
      <c r="AH133" s="363">
        <v>50715</v>
      </c>
      <c r="AI133" s="363">
        <v>85142</v>
      </c>
      <c r="AJ133" s="363">
        <v>91915</v>
      </c>
      <c r="AK133" s="363">
        <v>91915</v>
      </c>
      <c r="AL133" s="360">
        <f t="shared" si="6"/>
        <v>551173.66999999993</v>
      </c>
      <c r="AM133" s="362">
        <f>ERP_8[[#This Row],[2026 Working Total]]-ERP_8[[#This Row],[LE2 Final Submission]]</f>
        <v>-41086.760000000009</v>
      </c>
      <c r="AN133" s="79">
        <v>0</v>
      </c>
      <c r="AO133" s="79">
        <f t="shared" si="7"/>
        <v>-37705.19</v>
      </c>
      <c r="AP133" s="374">
        <f>SUM(ERP_8[[#This Row],[AP01]:[AP07]])-SUM(ERP_8[[#This Row],[AP01 LE2]:[AP07 LE2]])</f>
        <v>-206499.71000000005</v>
      </c>
      <c r="AQ133" s="80"/>
      <c r="AR133" s="79">
        <f>ERP_8[[#This Row],[2026 Working Total to Budget/LE]]-ERP_8[[#This Row],[Giveback]]</f>
        <v>-41086.760000000009</v>
      </c>
      <c r="AS133" s="81"/>
      <c r="AT133" s="375">
        <v>67126.64</v>
      </c>
      <c r="AU133" s="375">
        <v>74377.41</v>
      </c>
      <c r="AV133" s="375">
        <v>83640.33</v>
      </c>
      <c r="AW133" s="375">
        <v>17645.5</v>
      </c>
      <c r="AX133" s="375">
        <v>37705.5</v>
      </c>
      <c r="AY133" s="375">
        <v>37705.5</v>
      </c>
      <c r="AZ133" s="375">
        <v>37705.5</v>
      </c>
      <c r="BA133" s="375">
        <v>47270.81</v>
      </c>
      <c r="BB133" s="375">
        <v>47270.81</v>
      </c>
      <c r="BC133" s="375">
        <v>47270.81</v>
      </c>
      <c r="BD133" s="375">
        <v>47270.81</v>
      </c>
      <c r="BE133" s="375">
        <v>47270.81</v>
      </c>
      <c r="BF133" s="375">
        <v>592260.42999999993</v>
      </c>
      <c r="BG133" s="79">
        <v>67126.64</v>
      </c>
      <c r="BH133" s="79">
        <v>74377.41</v>
      </c>
      <c r="BI133" s="79">
        <v>83640.33</v>
      </c>
      <c r="BJ133" s="79">
        <v>71858</v>
      </c>
      <c r="BK133" s="79">
        <v>71858</v>
      </c>
      <c r="BL133" s="79">
        <v>71858</v>
      </c>
      <c r="BM133" s="79">
        <v>71858</v>
      </c>
      <c r="BN133" s="79">
        <v>71858</v>
      </c>
      <c r="BO133" s="79">
        <v>71858</v>
      </c>
      <c r="BP133" s="79">
        <v>71858</v>
      </c>
      <c r="BQ133" s="79">
        <v>71858</v>
      </c>
      <c r="BR133" s="79">
        <v>71858</v>
      </c>
      <c r="BS133" s="79">
        <v>871866.38</v>
      </c>
    </row>
    <row r="134" spans="1:71" ht="15" hidden="1" customHeight="1">
      <c r="A134" s="66" t="s">
        <v>1551</v>
      </c>
      <c r="B134" s="737" t="s">
        <v>259</v>
      </c>
      <c r="C134" s="346"/>
      <c r="D134" s="343" t="str">
        <f>_xlfn.TEXTJOIN("_",FALSE,E134,ERP_8[[#This Row],[Expense Category]],ERP_8[[#This Row],[Project Code*]])</f>
        <v>Jajodia, Amit_CONTRACTORS_IT-CTR0045-OG-US-00</v>
      </c>
      <c r="E134" s="343" t="s">
        <v>1515</v>
      </c>
      <c r="F134" s="346"/>
      <c r="G134" s="150" t="s">
        <v>1136</v>
      </c>
      <c r="H134" s="150" t="s">
        <v>1345</v>
      </c>
      <c r="I134" s="150" t="s">
        <v>1515</v>
      </c>
      <c r="J134" s="150" t="s">
        <v>1346</v>
      </c>
      <c r="K134" s="511" t="s">
        <v>49</v>
      </c>
      <c r="L134" s="392" t="s">
        <v>1367</v>
      </c>
      <c r="M134" s="343"/>
      <c r="N134" s="800"/>
      <c r="O134" s="70" t="s">
        <v>163</v>
      </c>
      <c r="P134" s="346" t="s">
        <v>1139</v>
      </c>
      <c r="Q134" s="343"/>
      <c r="R134" s="346"/>
      <c r="S134" s="150" t="s">
        <v>25</v>
      </c>
      <c r="T134" s="150"/>
      <c r="U134" s="403"/>
      <c r="V134" s="406">
        <v>270422.03999999992</v>
      </c>
      <c r="W134" s="406">
        <v>166650</v>
      </c>
      <c r="X134" s="425"/>
      <c r="Y134" s="71"/>
      <c r="Z134" s="784"/>
      <c r="AA134" s="794"/>
      <c r="AB134" s="794"/>
      <c r="AC134" s="428" t="s">
        <v>1142</v>
      </c>
      <c r="AD134" s="429">
        <v>0</v>
      </c>
      <c r="AE134" s="429">
        <v>0</v>
      </c>
      <c r="AF134" s="429" t="s">
        <v>1142</v>
      </c>
      <c r="AG134" s="363">
        <v>43904</v>
      </c>
      <c r="AH134" s="363">
        <v>11115</v>
      </c>
      <c r="AI134" s="363">
        <v>11115</v>
      </c>
      <c r="AJ134" s="363">
        <v>13893.75</v>
      </c>
      <c r="AK134" s="363">
        <v>11115</v>
      </c>
      <c r="AL134" s="360">
        <f t="shared" si="6"/>
        <v>91142.75</v>
      </c>
      <c r="AM134" s="362">
        <f>ERP_8[[#This Row],[2026 Working Total]]-ERP_8[[#This Row],[LE2 Final Submission]]</f>
        <v>-75507.25</v>
      </c>
      <c r="AN134" s="79">
        <v>0</v>
      </c>
      <c r="AO134" s="79">
        <f t="shared" si="7"/>
        <v>0</v>
      </c>
      <c r="AP134" s="374">
        <f>SUM(ERP_8[[#This Row],[AP01]:[AP07]])-SUM(ERP_8[[#This Row],[AP01 LE2]:[AP07 LE2]])</f>
        <v>-127462.5</v>
      </c>
      <c r="AQ134" s="80"/>
      <c r="AR134" s="79">
        <f>ERP_8[[#This Row],[2026 Working Total to Budget/LE]]-ERP_8[[#This Row],[Giveback]]</f>
        <v>-75507.25</v>
      </c>
      <c r="AS134" s="81"/>
      <c r="AT134" s="375"/>
      <c r="AU134" s="375"/>
      <c r="AV134" s="375"/>
      <c r="AW134" s="375">
        <v>0</v>
      </c>
      <c r="AX134" s="375">
        <v>111787.5</v>
      </c>
      <c r="AY134" s="375">
        <v>7837.5</v>
      </c>
      <c r="AZ134" s="375">
        <v>7837.5</v>
      </c>
      <c r="BA134" s="375">
        <v>7837.5</v>
      </c>
      <c r="BB134" s="375">
        <v>7837.5</v>
      </c>
      <c r="BC134" s="375">
        <v>7837.5</v>
      </c>
      <c r="BD134" s="375">
        <v>7837.5</v>
      </c>
      <c r="BE134" s="375">
        <v>7837.5</v>
      </c>
      <c r="BF134" s="375">
        <v>166650</v>
      </c>
      <c r="BG134" s="79"/>
      <c r="BH134" s="79"/>
      <c r="BI134" s="79"/>
      <c r="BJ134" s="79">
        <v>26158</v>
      </c>
      <c r="BK134" s="79">
        <v>26158</v>
      </c>
      <c r="BL134" s="79">
        <v>26158</v>
      </c>
      <c r="BM134" s="79">
        <v>26158</v>
      </c>
      <c r="BN134" s="79">
        <v>26158</v>
      </c>
      <c r="BO134" s="79">
        <v>26158</v>
      </c>
      <c r="BP134" s="79">
        <v>26158</v>
      </c>
      <c r="BQ134" s="79">
        <v>26158</v>
      </c>
      <c r="BR134" s="79">
        <v>26158</v>
      </c>
      <c r="BS134" s="79">
        <v>235422</v>
      </c>
    </row>
    <row r="135" spans="1:71" ht="15" hidden="1" customHeight="1">
      <c r="A135" s="66" t="s">
        <v>1552</v>
      </c>
      <c r="B135" s="737" t="s">
        <v>260</v>
      </c>
      <c r="C135" s="346"/>
      <c r="D135" s="343" t="str">
        <f>_xlfn.TEXTJOIN("_",FALSE,E135,ERP_8[[#This Row],[Expense Category]],ERP_8[[#This Row],[Project Code*]])</f>
        <v>Jajodia, Amit_CONTRACTORS_IT-CTR0090-OG-US-00</v>
      </c>
      <c r="E135" s="343" t="s">
        <v>1515</v>
      </c>
      <c r="F135" s="346"/>
      <c r="G135" s="150" t="s">
        <v>1136</v>
      </c>
      <c r="H135" s="150" t="s">
        <v>1345</v>
      </c>
      <c r="I135" s="150" t="s">
        <v>1515</v>
      </c>
      <c r="J135" s="150" t="s">
        <v>1346</v>
      </c>
      <c r="K135" s="511" t="s">
        <v>49</v>
      </c>
      <c r="L135" s="392" t="s">
        <v>1553</v>
      </c>
      <c r="M135" s="343"/>
      <c r="N135" s="800"/>
      <c r="O135" s="70" t="s">
        <v>261</v>
      </c>
      <c r="P135" s="346"/>
      <c r="Q135" s="343"/>
      <c r="R135" s="346"/>
      <c r="S135" s="150" t="s">
        <v>25</v>
      </c>
      <c r="T135" s="150"/>
      <c r="U135" s="403"/>
      <c r="V135" s="406">
        <v>10277</v>
      </c>
      <c r="W135" s="406">
        <v>10277</v>
      </c>
      <c r="X135" s="425"/>
      <c r="Y135" s="71"/>
      <c r="Z135" s="784"/>
      <c r="AA135" s="794"/>
      <c r="AB135" s="794"/>
      <c r="AC135" s="428" t="s">
        <v>1142</v>
      </c>
      <c r="AD135" s="429">
        <v>0</v>
      </c>
      <c r="AE135" s="429">
        <v>0</v>
      </c>
      <c r="AF135" s="429" t="s">
        <v>1142</v>
      </c>
      <c r="AG135" s="363">
        <v>5723</v>
      </c>
      <c r="AH135" s="360">
        <v>0</v>
      </c>
      <c r="AI135" s="360">
        <v>0</v>
      </c>
      <c r="AJ135" s="360">
        <v>0</v>
      </c>
      <c r="AK135" s="360">
        <v>0</v>
      </c>
      <c r="AL135" s="360">
        <f t="shared" si="6"/>
        <v>5723</v>
      </c>
      <c r="AM135" s="362">
        <f>ERP_8[[#This Row],[2026 Working Total]]-ERP_8[[#This Row],[LE2 Final Submission]]</f>
        <v>-4554</v>
      </c>
      <c r="AN135" s="79">
        <v>0</v>
      </c>
      <c r="AO135" s="79">
        <f t="shared" si="7"/>
        <v>0</v>
      </c>
      <c r="AP135" s="374">
        <f>SUM(ERP_8[[#This Row],[AP01]:[AP07]])-SUM(ERP_8[[#This Row],[AP01 LE2]:[AP07 LE2]])</f>
        <v>-4554</v>
      </c>
      <c r="AQ135" s="80"/>
      <c r="AR135" s="79">
        <f>ERP_8[[#This Row],[2026 Working Total to Budget/LE]]-ERP_8[[#This Row],[Giveback]]</f>
        <v>-4554</v>
      </c>
      <c r="AS135" s="81"/>
      <c r="AT135" s="375"/>
      <c r="AU135" s="375"/>
      <c r="AV135" s="375"/>
      <c r="AW135" s="375"/>
      <c r="AX135" s="375">
        <v>4554</v>
      </c>
      <c r="AY135" s="375">
        <v>0</v>
      </c>
      <c r="AZ135" s="375">
        <v>0</v>
      </c>
      <c r="BA135" s="375">
        <v>5723</v>
      </c>
      <c r="BB135" s="375">
        <v>0</v>
      </c>
      <c r="BC135" s="375">
        <v>0</v>
      </c>
      <c r="BD135" s="375">
        <v>0</v>
      </c>
      <c r="BE135" s="375">
        <v>0</v>
      </c>
      <c r="BF135" s="375">
        <v>10277</v>
      </c>
      <c r="BG135" s="79"/>
      <c r="BH135" s="79"/>
      <c r="BI135" s="79"/>
      <c r="BJ135" s="79"/>
      <c r="BK135" s="79">
        <v>4554</v>
      </c>
      <c r="BL135" s="79">
        <v>0</v>
      </c>
      <c r="BM135" s="79">
        <v>0</v>
      </c>
      <c r="BN135" s="79">
        <v>5723</v>
      </c>
      <c r="BO135" s="79">
        <v>0</v>
      </c>
      <c r="BP135" s="79">
        <v>0</v>
      </c>
      <c r="BQ135" s="79">
        <v>0</v>
      </c>
      <c r="BR135" s="79">
        <v>0</v>
      </c>
      <c r="BS135" s="79">
        <v>10277</v>
      </c>
    </row>
    <row r="136" spans="1:71" ht="15" hidden="1" customHeight="1">
      <c r="A136" s="66" t="s">
        <v>1554</v>
      </c>
      <c r="B136" s="737" t="s">
        <v>262</v>
      </c>
      <c r="C136" s="346"/>
      <c r="D136" s="343" t="str">
        <f>_xlfn.TEXTJOIN("_",FALSE,E136,ERP_8[[#This Row],[Expense Category]],ERP_8[[#This Row],[Project Code*]])</f>
        <v>Jajodia, Amit_CONTRACTORS_IT-FBT0757-OG-US-00</v>
      </c>
      <c r="E136" s="343" t="s">
        <v>1515</v>
      </c>
      <c r="F136" s="346"/>
      <c r="G136" s="150" t="s">
        <v>1136</v>
      </c>
      <c r="H136" s="150" t="s">
        <v>1345</v>
      </c>
      <c r="I136" s="150" t="s">
        <v>1515</v>
      </c>
      <c r="J136" s="150" t="s">
        <v>1346</v>
      </c>
      <c r="K136" s="511" t="s">
        <v>49</v>
      </c>
      <c r="L136" s="392" t="s">
        <v>1555</v>
      </c>
      <c r="M136" s="343"/>
      <c r="N136" s="802" t="s">
        <v>1531</v>
      </c>
      <c r="O136" s="70" t="s">
        <v>263</v>
      </c>
      <c r="P136" s="346"/>
      <c r="Q136" s="346" t="s">
        <v>1556</v>
      </c>
      <c r="R136" s="346"/>
      <c r="S136" s="150" t="s">
        <v>25</v>
      </c>
      <c r="T136" s="150"/>
      <c r="U136" s="403"/>
      <c r="V136" s="406">
        <v>357309.48</v>
      </c>
      <c r="W136" s="406">
        <v>263234.2</v>
      </c>
      <c r="X136" s="425"/>
      <c r="Y136" s="71"/>
      <c r="Z136" s="784"/>
      <c r="AA136" s="794"/>
      <c r="AB136" s="794">
        <v>168756.2</v>
      </c>
      <c r="AC136" s="428">
        <v>54312.340000000011</v>
      </c>
      <c r="AD136" s="429">
        <v>54312.34</v>
      </c>
      <c r="AE136" s="429">
        <v>67890.420000000013</v>
      </c>
      <c r="AF136" s="429">
        <v>-110603.2</v>
      </c>
      <c r="AG136" s="363">
        <v>8740</v>
      </c>
      <c r="AH136" s="363">
        <v>7600</v>
      </c>
      <c r="AI136" s="363">
        <v>9500</v>
      </c>
      <c r="AJ136" s="363">
        <v>7600</v>
      </c>
      <c r="AK136" s="363">
        <f>4940+7220</f>
        <v>12160</v>
      </c>
      <c r="AL136" s="360">
        <f t="shared" ref="AL136:AL167" si="8">SUM(Z136:AK136)</f>
        <v>280268.10000000003</v>
      </c>
      <c r="AM136" s="362">
        <f>ERP_8[[#This Row],[2026 Working Total]]-ERP_8[[#This Row],[LE2 Final Submission]]</f>
        <v>17033.900000000023</v>
      </c>
      <c r="AN136" s="79">
        <v>11809.75</v>
      </c>
      <c r="AO136" s="79">
        <f t="shared" ref="AO136:AO167" si="9">$AE136 - $AN136</f>
        <v>56080.670000000013</v>
      </c>
      <c r="AP136" s="374">
        <f>SUM(ERP_8[[#This Row],[AP01]:[AP07]])-SUM(ERP_8[[#This Row],[AP01 LE2]:[AP07 LE2]])</f>
        <v>30482.650000000023</v>
      </c>
      <c r="AQ136" s="80"/>
      <c r="AR136" s="79">
        <f>ERP_8[[#This Row],[2026 Working Total to Budget/LE]]-ERP_8[[#This Row],[Giveback]]</f>
        <v>17033.900000000023</v>
      </c>
      <c r="AS136" s="81"/>
      <c r="AT136" s="375"/>
      <c r="AU136" s="375"/>
      <c r="AV136" s="375">
        <v>168756.2</v>
      </c>
      <c r="AW136" s="375">
        <v>0</v>
      </c>
      <c r="AX136" s="375">
        <v>11809.75</v>
      </c>
      <c r="AY136" s="375">
        <v>11809.75</v>
      </c>
      <c r="AZ136" s="375">
        <v>11809.75</v>
      </c>
      <c r="BA136" s="375">
        <v>11809.75</v>
      </c>
      <c r="BB136" s="375">
        <v>11809.75</v>
      </c>
      <c r="BC136" s="375">
        <v>11809.75</v>
      </c>
      <c r="BD136" s="375">
        <v>11809.75</v>
      </c>
      <c r="BE136" s="375">
        <v>11809.75</v>
      </c>
      <c r="BF136" s="375">
        <v>263234.2</v>
      </c>
      <c r="BG136" s="79"/>
      <c r="BH136" s="79"/>
      <c r="BI136" s="79">
        <v>168756.2</v>
      </c>
      <c r="BJ136" s="79">
        <v>29775.79</v>
      </c>
      <c r="BK136" s="79">
        <v>29775.79</v>
      </c>
      <c r="BL136" s="79">
        <v>29775.79</v>
      </c>
      <c r="BM136" s="79">
        <v>29775.79</v>
      </c>
      <c r="BN136" s="79">
        <v>29775.79</v>
      </c>
      <c r="BO136" s="79">
        <v>29775.79</v>
      </c>
      <c r="BP136" s="79">
        <v>29775.79</v>
      </c>
      <c r="BQ136" s="79">
        <v>29775.79</v>
      </c>
      <c r="BR136" s="79">
        <v>29775.79</v>
      </c>
      <c r="BS136" s="79">
        <v>436738.30999999994</v>
      </c>
    </row>
    <row r="137" spans="1:71" ht="15" hidden="1" customHeight="1">
      <c r="A137" s="66" t="s">
        <v>1557</v>
      </c>
      <c r="B137" s="737" t="s">
        <v>264</v>
      </c>
      <c r="C137" s="346"/>
      <c r="D137" s="343" t="str">
        <f>_xlfn.TEXTJOIN("_",FALSE,E137,ERP_8[[#This Row],[Expense Category]],ERP_8[[#This Row],[Project Code*]])</f>
        <v>Jajodia, Amit_CONTRACTORS_IT-FBT0771-OG-US-00</v>
      </c>
      <c r="E137" s="343" t="s">
        <v>1515</v>
      </c>
      <c r="F137" s="346"/>
      <c r="G137" s="150" t="s">
        <v>1136</v>
      </c>
      <c r="H137" s="150" t="s">
        <v>1345</v>
      </c>
      <c r="I137" s="150" t="s">
        <v>1515</v>
      </c>
      <c r="J137" s="150" t="s">
        <v>1346</v>
      </c>
      <c r="K137" s="511" t="s">
        <v>49</v>
      </c>
      <c r="L137" s="392" t="s">
        <v>1558</v>
      </c>
      <c r="M137" s="343"/>
      <c r="N137" s="800"/>
      <c r="O137" s="70" t="s">
        <v>265</v>
      </c>
      <c r="P137" s="346"/>
      <c r="Q137" s="343"/>
      <c r="R137" s="346"/>
      <c r="S137" s="150" t="s">
        <v>119</v>
      </c>
      <c r="T137" s="150"/>
      <c r="U137" s="403"/>
      <c r="V137" s="406">
        <v>25000</v>
      </c>
      <c r="W137" s="406">
        <v>25000</v>
      </c>
      <c r="X137" s="425"/>
      <c r="Y137" s="71"/>
      <c r="Z137" s="784"/>
      <c r="AA137" s="794"/>
      <c r="AB137" s="794"/>
      <c r="AC137" s="428" t="s">
        <v>1142</v>
      </c>
      <c r="AD137" s="429">
        <v>0</v>
      </c>
      <c r="AE137" s="429">
        <v>0</v>
      </c>
      <c r="AF137" s="429" t="s">
        <v>1142</v>
      </c>
      <c r="AG137" s="363">
        <v>25000</v>
      </c>
      <c r="AH137" s="360">
        <v>0</v>
      </c>
      <c r="AI137" s="360">
        <v>0</v>
      </c>
      <c r="AJ137" s="360">
        <v>0</v>
      </c>
      <c r="AK137" s="360">
        <v>0</v>
      </c>
      <c r="AL137" s="360">
        <f t="shared" si="8"/>
        <v>25000</v>
      </c>
      <c r="AM137" s="362">
        <f>ERP_8[[#This Row],[2026 Working Total]]-ERP_8[[#This Row],[LE2 Final Submission]]</f>
        <v>0</v>
      </c>
      <c r="AN137" s="79"/>
      <c r="AO137" s="79">
        <f t="shared" si="9"/>
        <v>0</v>
      </c>
      <c r="AP137" s="374">
        <f>SUM(ERP_8[[#This Row],[AP01]:[AP07]])-SUM(ERP_8[[#This Row],[AP01 LE2]:[AP07 LE2]])</f>
        <v>0</v>
      </c>
      <c r="AQ137" s="80"/>
      <c r="AR137" s="79">
        <f>ERP_8[[#This Row],[2026 Working Total to Budget/LE]]-ERP_8[[#This Row],[Giveback]]</f>
        <v>0</v>
      </c>
      <c r="AS137" s="81"/>
      <c r="AT137" s="375"/>
      <c r="AU137" s="375"/>
      <c r="AV137" s="375"/>
      <c r="AW137" s="375"/>
      <c r="AX137" s="375"/>
      <c r="AY137" s="375"/>
      <c r="AZ137" s="375"/>
      <c r="BA137" s="375">
        <v>25000</v>
      </c>
      <c r="BB137" s="375">
        <v>0</v>
      </c>
      <c r="BC137" s="375">
        <v>0</v>
      </c>
      <c r="BD137" s="375">
        <v>0</v>
      </c>
      <c r="BE137" s="375">
        <v>0</v>
      </c>
      <c r="BF137" s="375">
        <v>25000</v>
      </c>
      <c r="BG137" s="79"/>
      <c r="BH137" s="79"/>
      <c r="BI137" s="79"/>
      <c r="BJ137" s="79"/>
      <c r="BK137" s="79"/>
      <c r="BL137" s="79"/>
      <c r="BM137" s="79"/>
      <c r="BN137" s="79">
        <v>25000</v>
      </c>
      <c r="BO137" s="79">
        <v>0</v>
      </c>
      <c r="BP137" s="79">
        <v>0</v>
      </c>
      <c r="BQ137" s="79">
        <v>0</v>
      </c>
      <c r="BR137" s="79">
        <v>0</v>
      </c>
      <c r="BS137" s="79">
        <v>25000</v>
      </c>
    </row>
    <row r="138" spans="1:71" ht="15" hidden="1" customHeight="1">
      <c r="A138" s="66" t="s">
        <v>1559</v>
      </c>
      <c r="B138" s="737" t="s">
        <v>266</v>
      </c>
      <c r="C138" s="346"/>
      <c r="D138" s="343" t="str">
        <f>_xlfn.TEXTJOIN("_",FALSE,E138,ERP_8[[#This Row],[Expense Category]],ERP_8[[#This Row],[Project Code*]])</f>
        <v>Jajodia, Amit_CONTRACTORS_IT-FBT0785-OG-US-00</v>
      </c>
      <c r="E138" s="343" t="s">
        <v>1515</v>
      </c>
      <c r="F138" s="346"/>
      <c r="G138" s="150" t="s">
        <v>1136</v>
      </c>
      <c r="H138" s="150" t="s">
        <v>1345</v>
      </c>
      <c r="I138" s="150" t="s">
        <v>1515</v>
      </c>
      <c r="J138" s="150" t="s">
        <v>1346</v>
      </c>
      <c r="K138" s="511" t="s">
        <v>49</v>
      </c>
      <c r="L138" s="392" t="s">
        <v>1560</v>
      </c>
      <c r="M138" s="343"/>
      <c r="N138" s="802" t="s">
        <v>1531</v>
      </c>
      <c r="O138" s="70" t="s">
        <v>267</v>
      </c>
      <c r="P138" s="346"/>
      <c r="Q138" s="346" t="s">
        <v>1187</v>
      </c>
      <c r="R138" s="346"/>
      <c r="S138" s="150" t="s">
        <v>25</v>
      </c>
      <c r="T138" s="150" t="s">
        <v>1561</v>
      </c>
      <c r="U138" s="403"/>
      <c r="V138" s="406">
        <v>325000.08000000007</v>
      </c>
      <c r="W138" s="406">
        <v>378801.32</v>
      </c>
      <c r="X138" s="425"/>
      <c r="Y138" s="71"/>
      <c r="Z138" s="784">
        <v>43362</v>
      </c>
      <c r="AA138" s="794">
        <v>48564.89</v>
      </c>
      <c r="AB138" s="794">
        <v>60706.43</v>
      </c>
      <c r="AC138" s="428">
        <v>-38405.19000000001</v>
      </c>
      <c r="AD138" s="429">
        <v>41122.75</v>
      </c>
      <c r="AE138" s="429">
        <v>42728.490000000005</v>
      </c>
      <c r="AF138" s="429">
        <v>34182.789999999994</v>
      </c>
      <c r="AG138" s="363">
        <v>15000</v>
      </c>
      <c r="AH138" s="363">
        <v>15000</v>
      </c>
      <c r="AI138" s="363">
        <v>15000</v>
      </c>
      <c r="AJ138" s="363">
        <v>15000</v>
      </c>
      <c r="AK138" s="363">
        <v>15000</v>
      </c>
      <c r="AL138" s="360">
        <f t="shared" si="8"/>
        <v>307262.15999999997</v>
      </c>
      <c r="AM138" s="362">
        <f>ERP_8[[#This Row],[2026 Working Total]]-ERP_8[[#This Row],[LE2 Final Submission]]</f>
        <v>-71539.160000000033</v>
      </c>
      <c r="AN138" s="79">
        <v>29000</v>
      </c>
      <c r="AO138" s="79">
        <f t="shared" si="9"/>
        <v>13728.490000000005</v>
      </c>
      <c r="AP138" s="374">
        <f>SUM(ERP_8[[#This Row],[AP01]:[AP07]])-SUM(ERP_8[[#This Row],[AP01 LE2]:[AP07 LE2]])</f>
        <v>-4039.1600000000326</v>
      </c>
      <c r="AQ138" s="80"/>
      <c r="AR138" s="79">
        <f>ERP_8[[#This Row],[2026 Working Total to Budget/LE]]-ERP_8[[#This Row],[Giveback]]</f>
        <v>-71539.160000000033</v>
      </c>
      <c r="AS138" s="189" t="s">
        <v>1518</v>
      </c>
      <c r="AT138" s="377">
        <v>43362</v>
      </c>
      <c r="AU138" s="377">
        <v>48564.89</v>
      </c>
      <c r="AV138" s="377">
        <v>60706.43</v>
      </c>
      <c r="AW138" s="377">
        <v>31668</v>
      </c>
      <c r="AX138" s="377">
        <v>11500</v>
      </c>
      <c r="AY138" s="377">
        <v>11500</v>
      </c>
      <c r="AZ138" s="377">
        <v>29000</v>
      </c>
      <c r="BA138" s="377">
        <v>29000</v>
      </c>
      <c r="BB138" s="377">
        <v>28000</v>
      </c>
      <c r="BC138" s="377">
        <v>28500</v>
      </c>
      <c r="BD138" s="377">
        <v>28500</v>
      </c>
      <c r="BE138" s="377">
        <v>28500</v>
      </c>
      <c r="BF138" s="377">
        <v>378801.32</v>
      </c>
      <c r="BG138" s="79">
        <v>43362</v>
      </c>
      <c r="BH138" s="79">
        <v>48564.89</v>
      </c>
      <c r="BI138" s="79">
        <v>60706.43</v>
      </c>
      <c r="BJ138" s="79">
        <v>49897</v>
      </c>
      <c r="BK138" s="79">
        <v>49897</v>
      </c>
      <c r="BL138" s="79">
        <v>49897</v>
      </c>
      <c r="BM138" s="79">
        <v>49897</v>
      </c>
      <c r="BN138" s="79">
        <v>49897</v>
      </c>
      <c r="BO138" s="79">
        <v>49897</v>
      </c>
      <c r="BP138" s="79">
        <v>49897</v>
      </c>
      <c r="BQ138" s="79">
        <v>49897</v>
      </c>
      <c r="BR138" s="79">
        <v>49897</v>
      </c>
      <c r="BS138" s="79">
        <v>601706.32000000007</v>
      </c>
    </row>
    <row r="139" spans="1:71" ht="15" hidden="1" customHeight="1">
      <c r="A139" s="66" t="s">
        <v>1562</v>
      </c>
      <c r="B139" s="737" t="s">
        <v>268</v>
      </c>
      <c r="C139" s="346"/>
      <c r="D139" s="343" t="str">
        <f>_xlfn.TEXTJOIN("_",FALSE,E139,ERP_8[[#This Row],[Expense Category]],ERP_8[[#This Row],[Project Code*]])</f>
        <v>Jajodia, Amit_CONTRACTORS_MISC001</v>
      </c>
      <c r="E139" s="343" t="s">
        <v>1515</v>
      </c>
      <c r="F139" s="346"/>
      <c r="G139" s="150" t="s">
        <v>1136</v>
      </c>
      <c r="H139" s="150" t="s">
        <v>1345</v>
      </c>
      <c r="I139" s="150" t="s">
        <v>1515</v>
      </c>
      <c r="J139" s="150" t="s">
        <v>1346</v>
      </c>
      <c r="K139" s="511" t="s">
        <v>49</v>
      </c>
      <c r="L139" s="392" t="s">
        <v>1327</v>
      </c>
      <c r="M139" s="343"/>
      <c r="N139" s="800" t="s">
        <v>1531</v>
      </c>
      <c r="O139" s="70" t="s">
        <v>147</v>
      </c>
      <c r="P139" s="346"/>
      <c r="Q139" s="343"/>
      <c r="R139" s="346"/>
      <c r="S139" s="150" t="s">
        <v>25</v>
      </c>
      <c r="T139" s="150"/>
      <c r="U139" s="403"/>
      <c r="V139" s="406">
        <v>0</v>
      </c>
      <c r="W139" s="406">
        <v>19639.919999999998</v>
      </c>
      <c r="X139" s="425"/>
      <c r="Y139" s="71"/>
      <c r="Z139" s="784">
        <v>-0.23</v>
      </c>
      <c r="AA139" s="794">
        <v>-0.24</v>
      </c>
      <c r="AB139" s="794">
        <v>19640.39</v>
      </c>
      <c r="AC139" s="428">
        <v>0.61</v>
      </c>
      <c r="AD139" s="481">
        <v>-19640.97</v>
      </c>
      <c r="AE139" s="429">
        <v>0.03</v>
      </c>
      <c r="AF139" s="429">
        <v>0</v>
      </c>
      <c r="AG139" s="360">
        <v>0</v>
      </c>
      <c r="AH139" s="360">
        <v>0</v>
      </c>
      <c r="AI139" s="360">
        <v>0</v>
      </c>
      <c r="AJ139" s="360">
        <v>0</v>
      </c>
      <c r="AK139" s="360">
        <v>0</v>
      </c>
      <c r="AL139" s="360">
        <f t="shared" si="8"/>
        <v>-0.41000000000232828</v>
      </c>
      <c r="AM139" s="362">
        <f>ERP_8[[#This Row],[2026 Working Total]]-ERP_8[[#This Row],[LE2 Final Submission]]</f>
        <v>-19640.330000000002</v>
      </c>
      <c r="AN139" s="79">
        <v>0</v>
      </c>
      <c r="AO139" s="79">
        <f t="shared" si="9"/>
        <v>0.03</v>
      </c>
      <c r="AP139" s="374">
        <f>SUM(ERP_8[[#This Row],[AP01]:[AP07]])-SUM(ERP_8[[#This Row],[AP01 LE2]:[AP07 LE2]])</f>
        <v>-19640.330000000002</v>
      </c>
      <c r="AQ139" s="80"/>
      <c r="AR139" s="79">
        <f>ERP_8[[#This Row],[2026 Working Total to Budget/LE]]-ERP_8[[#This Row],[Giveback]]</f>
        <v>-19640.330000000002</v>
      </c>
      <c r="AS139" s="81"/>
      <c r="AT139" s="375">
        <v>-0.23</v>
      </c>
      <c r="AU139" s="375">
        <v>-0.24</v>
      </c>
      <c r="AV139" s="375">
        <v>19640.39</v>
      </c>
      <c r="AW139" s="375">
        <v>0</v>
      </c>
      <c r="AX139" s="375">
        <v>0</v>
      </c>
      <c r="AY139" s="375">
        <v>0</v>
      </c>
      <c r="AZ139" s="375">
        <v>0</v>
      </c>
      <c r="BA139" s="375">
        <v>0</v>
      </c>
      <c r="BB139" s="375">
        <v>0</v>
      </c>
      <c r="BC139" s="375">
        <v>0</v>
      </c>
      <c r="BD139" s="375">
        <v>0</v>
      </c>
      <c r="BE139" s="375">
        <v>0</v>
      </c>
      <c r="BF139" s="375">
        <v>19639.919999999998</v>
      </c>
      <c r="BG139" s="79">
        <v>-0.23</v>
      </c>
      <c r="BH139" s="79">
        <v>-0.24</v>
      </c>
      <c r="BI139" s="79">
        <v>19640.39</v>
      </c>
      <c r="BJ139" s="79">
        <v>0</v>
      </c>
      <c r="BK139" s="79">
        <v>0</v>
      </c>
      <c r="BL139" s="79">
        <v>0</v>
      </c>
      <c r="BM139" s="79">
        <v>0</v>
      </c>
      <c r="BN139" s="79">
        <v>0</v>
      </c>
      <c r="BO139" s="79">
        <v>0</v>
      </c>
      <c r="BP139" s="79">
        <v>0</v>
      </c>
      <c r="BQ139" s="79">
        <v>0</v>
      </c>
      <c r="BR139" s="79">
        <v>0</v>
      </c>
      <c r="BS139" s="79">
        <v>19639.919999999998</v>
      </c>
    </row>
    <row r="140" spans="1:71" ht="15" hidden="1" customHeight="1">
      <c r="A140" s="66" t="s">
        <v>1563</v>
      </c>
      <c r="B140" s="737" t="s">
        <v>269</v>
      </c>
      <c r="C140" s="346"/>
      <c r="D140" s="343" t="str">
        <f>_xlfn.TEXTJOIN("_",FALSE,E140,ERP_8[[#This Row],[Expense Category]],ERP_8[[#This Row],[Project Code*]])</f>
        <v>Jajodia, Amit_CONTRACTORS_POClosure001</v>
      </c>
      <c r="E140" s="343" t="s">
        <v>1515</v>
      </c>
      <c r="F140" s="346"/>
      <c r="G140" s="150" t="s">
        <v>1136</v>
      </c>
      <c r="H140" s="150" t="s">
        <v>1345</v>
      </c>
      <c r="I140" s="150" t="s">
        <v>1515</v>
      </c>
      <c r="J140" s="150" t="s">
        <v>1346</v>
      </c>
      <c r="K140" s="511" t="s">
        <v>49</v>
      </c>
      <c r="L140" s="392" t="s">
        <v>1340</v>
      </c>
      <c r="M140" s="343"/>
      <c r="N140" s="800" t="s">
        <v>1531</v>
      </c>
      <c r="O140" s="70" t="s">
        <v>149</v>
      </c>
      <c r="P140" s="346" t="s">
        <v>1139</v>
      </c>
      <c r="Q140" s="343"/>
      <c r="R140" s="346"/>
      <c r="S140" s="150" t="s">
        <v>25</v>
      </c>
      <c r="T140" s="150"/>
      <c r="U140" s="403"/>
      <c r="V140" s="406">
        <v>0</v>
      </c>
      <c r="W140" s="406">
        <v>-54295.289999999994</v>
      </c>
      <c r="X140" s="425"/>
      <c r="Y140" s="71"/>
      <c r="Z140" s="784">
        <v>-4506.29</v>
      </c>
      <c r="AA140" s="794">
        <v>-29540.02</v>
      </c>
      <c r="AB140" s="794">
        <v>-20248.98</v>
      </c>
      <c r="AC140" s="428">
        <v>0</v>
      </c>
      <c r="AD140" s="429">
        <v>0</v>
      </c>
      <c r="AE140" s="429">
        <v>0</v>
      </c>
      <c r="AF140" s="429">
        <v>0</v>
      </c>
      <c r="AG140" s="360">
        <v>0</v>
      </c>
      <c r="AH140" s="360">
        <v>0</v>
      </c>
      <c r="AI140" s="360">
        <v>0</v>
      </c>
      <c r="AJ140" s="360">
        <v>0</v>
      </c>
      <c r="AK140" s="360">
        <v>0</v>
      </c>
      <c r="AL140" s="360">
        <f t="shared" si="8"/>
        <v>-54295.289999999994</v>
      </c>
      <c r="AM140" s="362">
        <f>ERP_8[[#This Row],[2026 Working Total]]-ERP_8[[#This Row],[LE2 Final Submission]]</f>
        <v>0</v>
      </c>
      <c r="AN140" s="79">
        <v>0</v>
      </c>
      <c r="AO140" s="79">
        <f t="shared" si="9"/>
        <v>0</v>
      </c>
      <c r="AP140" s="374">
        <f>SUM(ERP_8[[#This Row],[AP01]:[AP07]])-SUM(ERP_8[[#This Row],[AP01 LE2]:[AP07 LE2]])</f>
        <v>0</v>
      </c>
      <c r="AQ140" s="80"/>
      <c r="AR140" s="79">
        <f>ERP_8[[#This Row],[2026 Working Total to Budget/LE]]-ERP_8[[#This Row],[Giveback]]</f>
        <v>0</v>
      </c>
      <c r="AS140" s="81"/>
      <c r="AT140" s="375">
        <v>-4506.29</v>
      </c>
      <c r="AU140" s="375">
        <v>-29540.02</v>
      </c>
      <c r="AV140" s="375">
        <v>-20248.98</v>
      </c>
      <c r="AW140" s="375">
        <v>0</v>
      </c>
      <c r="AX140" s="375">
        <v>0</v>
      </c>
      <c r="AY140" s="375">
        <v>0</v>
      </c>
      <c r="AZ140" s="375">
        <v>0</v>
      </c>
      <c r="BA140" s="375">
        <v>0</v>
      </c>
      <c r="BB140" s="375">
        <v>0</v>
      </c>
      <c r="BC140" s="375">
        <v>0</v>
      </c>
      <c r="BD140" s="375">
        <v>0</v>
      </c>
      <c r="BE140" s="375">
        <v>0</v>
      </c>
      <c r="BF140" s="375">
        <v>-54295.289999999994</v>
      </c>
      <c r="BG140" s="79">
        <v>-4506.29</v>
      </c>
      <c r="BH140" s="79">
        <v>-29540.02</v>
      </c>
      <c r="BI140" s="79">
        <v>-20248.98</v>
      </c>
      <c r="BJ140" s="79">
        <v>0</v>
      </c>
      <c r="BK140" s="79">
        <v>0</v>
      </c>
      <c r="BL140" s="79">
        <v>0</v>
      </c>
      <c r="BM140" s="79">
        <v>0</v>
      </c>
      <c r="BN140" s="79">
        <v>0</v>
      </c>
      <c r="BO140" s="79">
        <v>0</v>
      </c>
      <c r="BP140" s="79">
        <v>0</v>
      </c>
      <c r="BQ140" s="79">
        <v>0</v>
      </c>
      <c r="BR140" s="79">
        <v>0</v>
      </c>
      <c r="BS140" s="79">
        <v>-54295.289999999994</v>
      </c>
    </row>
    <row r="141" spans="1:71" ht="15" hidden="1" customHeight="1">
      <c r="A141" s="66" t="s">
        <v>1564</v>
      </c>
      <c r="B141" s="737" t="s">
        <v>1565</v>
      </c>
      <c r="C141" s="346"/>
      <c r="D141" s="343" t="str">
        <f>_xlfn.TEXTJOIN("_",FALSE,E141,ERP_8[[#This Row],[Expense Category]],ERP_8[[#This Row],[Project Code*]])</f>
        <v>Patel, Apurva_CONTRACTORS_CC-BTF25001-02-EX</v>
      </c>
      <c r="E141" s="343" t="s">
        <v>1566</v>
      </c>
      <c r="F141" s="346"/>
      <c r="G141" s="150" t="s">
        <v>1136</v>
      </c>
      <c r="H141" s="150" t="s">
        <v>1567</v>
      </c>
      <c r="I141" s="150" t="s">
        <v>1567</v>
      </c>
      <c r="J141" s="150" t="s">
        <v>1568</v>
      </c>
      <c r="K141" s="511" t="s">
        <v>49</v>
      </c>
      <c r="L141" s="392" t="s">
        <v>1569</v>
      </c>
      <c r="M141" s="343"/>
      <c r="N141" s="801">
        <v>2329955</v>
      </c>
      <c r="O141" s="70" t="s">
        <v>271</v>
      </c>
      <c r="P141" s="346"/>
      <c r="Q141" s="346" t="s">
        <v>1570</v>
      </c>
      <c r="R141" s="346"/>
      <c r="S141" s="505" t="s">
        <v>272</v>
      </c>
      <c r="T141" s="150" t="s">
        <v>1571</v>
      </c>
      <c r="U141" s="403"/>
      <c r="V141" s="406">
        <v>0</v>
      </c>
      <c r="W141" s="406">
        <v>823483</v>
      </c>
      <c r="X141" s="425"/>
      <c r="Y141" s="71"/>
      <c r="Z141" s="784"/>
      <c r="AA141" s="794"/>
      <c r="AB141" s="794">
        <v>110350.46</v>
      </c>
      <c r="AC141" s="428">
        <v>184516.84999999998</v>
      </c>
      <c r="AD141" s="429">
        <v>-60761.06</v>
      </c>
      <c r="AE141" s="429">
        <v>93499.999999999985</v>
      </c>
      <c r="AF141" s="429">
        <v>198719.84999999998</v>
      </c>
      <c r="AG141" s="363">
        <v>-75683.95</v>
      </c>
      <c r="AH141" s="363">
        <v>61600</v>
      </c>
      <c r="AI141" s="363">
        <v>61600</v>
      </c>
      <c r="AJ141" s="363">
        <v>127000</v>
      </c>
      <c r="AK141" s="363">
        <v>71600</v>
      </c>
      <c r="AL141" s="360">
        <f t="shared" si="8"/>
        <v>772442.14999999991</v>
      </c>
      <c r="AM141" s="362">
        <f>ERP_8[[#This Row],[2026 Working Total]]-ERP_8[[#This Row],[LE2 Final Submission]]</f>
        <v>-51040.850000000093</v>
      </c>
      <c r="AN141" s="79">
        <v>0</v>
      </c>
      <c r="AO141" s="79">
        <f t="shared" si="9"/>
        <v>93499.999999999985</v>
      </c>
      <c r="AP141" s="374">
        <f>SUM(ERP_8[[#This Row],[AP01]:[AP07]])-SUM(ERP_8[[#This Row],[AP01 LE2]:[AP07 LE2]])</f>
        <v>97093.099999999977</v>
      </c>
      <c r="AQ141" s="80"/>
      <c r="AR141" s="79">
        <f>ERP_8[[#This Row],[2026 Working Total to Budget/LE]]-ERP_8[[#This Row],[Giveback]]</f>
        <v>-51040.850000000093</v>
      </c>
      <c r="AS141" s="81"/>
      <c r="AT141" s="375"/>
      <c r="AU141" s="375"/>
      <c r="AV141" s="375">
        <v>110350.46</v>
      </c>
      <c r="AW141" s="375">
        <v>183665</v>
      </c>
      <c r="AX141" s="375">
        <v>-28062.46</v>
      </c>
      <c r="AY141" s="375">
        <v>92590</v>
      </c>
      <c r="AZ141" s="375">
        <v>70690</v>
      </c>
      <c r="BA141" s="375">
        <v>76090</v>
      </c>
      <c r="BB141" s="375">
        <v>110690</v>
      </c>
      <c r="BC141" s="375">
        <v>60690</v>
      </c>
      <c r="BD141" s="375">
        <v>76090</v>
      </c>
      <c r="BE141" s="375">
        <v>70690</v>
      </c>
      <c r="BF141" s="375">
        <v>823483</v>
      </c>
      <c r="BG141" s="79"/>
      <c r="BH141" s="79"/>
      <c r="BI141" s="79">
        <v>110350.46</v>
      </c>
      <c r="BJ141" s="79">
        <v>95789</v>
      </c>
      <c r="BK141" s="79">
        <v>102589</v>
      </c>
      <c r="BL141" s="79">
        <v>121289</v>
      </c>
      <c r="BM141" s="79">
        <v>121389</v>
      </c>
      <c r="BN141" s="79">
        <v>101000</v>
      </c>
      <c r="BO141" s="79">
        <v>98422</v>
      </c>
      <c r="BP141" s="79">
        <v>129000</v>
      </c>
      <c r="BQ141" s="79">
        <v>66600</v>
      </c>
      <c r="BR141" s="79">
        <v>63668</v>
      </c>
      <c r="BS141" s="79">
        <v>1010096.46</v>
      </c>
    </row>
    <row r="142" spans="1:71" ht="15" hidden="1" customHeight="1">
      <c r="A142" s="66" t="s">
        <v>1572</v>
      </c>
      <c r="B142" s="737" t="s">
        <v>1573</v>
      </c>
      <c r="C142" s="346"/>
      <c r="D142" s="343" t="str">
        <f>_xlfn.TEXTJOIN("_",FALSE,E142,ERP_8[[#This Row],[Expense Category]],ERP_8[[#This Row],[Project Code*]])</f>
        <v>Patel, Apurva_CONTRACTORS_CE-BTF22001-02-EX</v>
      </c>
      <c r="E142" s="343" t="s">
        <v>1566</v>
      </c>
      <c r="F142" s="346"/>
      <c r="G142" s="150" t="s">
        <v>1136</v>
      </c>
      <c r="H142" s="150" t="s">
        <v>1567</v>
      </c>
      <c r="I142" s="150" t="s">
        <v>1567</v>
      </c>
      <c r="J142" s="150" t="s">
        <v>1567</v>
      </c>
      <c r="K142" s="511" t="s">
        <v>49</v>
      </c>
      <c r="L142" s="392" t="s">
        <v>1574</v>
      </c>
      <c r="M142" s="343"/>
      <c r="N142" s="804">
        <v>2329955</v>
      </c>
      <c r="O142" s="70" t="s">
        <v>274</v>
      </c>
      <c r="P142" s="346" t="s">
        <v>1139</v>
      </c>
      <c r="Q142" s="343"/>
      <c r="R142" s="346"/>
      <c r="S142" s="505" t="s">
        <v>275</v>
      </c>
      <c r="T142" s="150" t="s">
        <v>1575</v>
      </c>
      <c r="U142" s="403"/>
      <c r="V142" s="406">
        <v>1080865</v>
      </c>
      <c r="W142" s="406">
        <v>1057129.56</v>
      </c>
      <c r="X142" s="425"/>
      <c r="Y142" s="71"/>
      <c r="Z142" s="784"/>
      <c r="AA142" s="794"/>
      <c r="AB142" s="794">
        <v>250144.68</v>
      </c>
      <c r="AC142" s="428">
        <v>54863.060000000005</v>
      </c>
      <c r="AD142" s="429">
        <v>179345.82</v>
      </c>
      <c r="AE142" s="429">
        <v>111181.9</v>
      </c>
      <c r="AF142" s="429">
        <v>227929.83</v>
      </c>
      <c r="AG142" s="363">
        <v>134989</v>
      </c>
      <c r="AH142" s="363">
        <v>20010</v>
      </c>
      <c r="AI142" s="363">
        <v>20010</v>
      </c>
      <c r="AJ142" s="363">
        <v>20010</v>
      </c>
      <c r="AK142" s="363">
        <v>20414.13</v>
      </c>
      <c r="AL142" s="360">
        <f t="shared" si="8"/>
        <v>1038898.4199999999</v>
      </c>
      <c r="AM142" s="362">
        <f>ERP_8[[#This Row],[2026 Working Total]]-ERP_8[[#This Row],[LE2 Final Submission]]</f>
        <v>-18231.14000000013</v>
      </c>
      <c r="AN142" s="79">
        <v>0</v>
      </c>
      <c r="AO142" s="79">
        <f t="shared" si="9"/>
        <v>111181.9</v>
      </c>
      <c r="AP142" s="374">
        <f>SUM(ERP_8[[#This Row],[AP01]:[AP07]])-SUM(ERP_8[[#This Row],[AP01 LE2]:[AP07 LE2]])</f>
        <v>224011.72999999986</v>
      </c>
      <c r="AQ142" s="80"/>
      <c r="AR142" s="79">
        <f>ERP_8[[#This Row],[2026 Working Total to Budget/LE]]-ERP_8[[#This Row],[Giveback]]</f>
        <v>-18231.14000000013</v>
      </c>
      <c r="AS142" s="81"/>
      <c r="AT142" s="375"/>
      <c r="AU142" s="375"/>
      <c r="AV142" s="375">
        <v>250144.68</v>
      </c>
      <c r="AW142" s="375">
        <v>54863.060000000005</v>
      </c>
      <c r="AX142" s="375">
        <v>103425.82</v>
      </c>
      <c r="AY142" s="375">
        <v>98010</v>
      </c>
      <c r="AZ142" s="375">
        <v>93010</v>
      </c>
      <c r="BA142" s="375">
        <v>93010</v>
      </c>
      <c r="BB142" s="375">
        <v>93010</v>
      </c>
      <c r="BC142" s="375">
        <v>93010</v>
      </c>
      <c r="BD142" s="375">
        <v>93010</v>
      </c>
      <c r="BE142" s="375">
        <v>85636</v>
      </c>
      <c r="BF142" s="375">
        <v>1057129.56</v>
      </c>
      <c r="BG142" s="79"/>
      <c r="BH142" s="79"/>
      <c r="BI142" s="79">
        <v>250144.68</v>
      </c>
      <c r="BJ142" s="79">
        <v>100000</v>
      </c>
      <c r="BK142" s="79">
        <v>100000</v>
      </c>
      <c r="BL142" s="79">
        <v>101635</v>
      </c>
      <c r="BM142" s="79">
        <v>100000</v>
      </c>
      <c r="BN142" s="79">
        <v>100000</v>
      </c>
      <c r="BO142" s="79">
        <v>100000</v>
      </c>
      <c r="BP142" s="79">
        <v>100000</v>
      </c>
      <c r="BQ142" s="79">
        <v>100000</v>
      </c>
      <c r="BR142" s="79">
        <v>80033</v>
      </c>
      <c r="BS142" s="79">
        <v>1131812.68</v>
      </c>
    </row>
    <row r="143" spans="1:71" ht="15" hidden="1" customHeight="1">
      <c r="A143" s="66" t="s">
        <v>1576</v>
      </c>
      <c r="B143" s="737" t="s">
        <v>1577</v>
      </c>
      <c r="C143" s="346"/>
      <c r="D143" s="343" t="str">
        <f>_xlfn.TEXTJOIN("_",FALSE,E143,ERP_8[[#This Row],[Expense Category]],ERP_8[[#This Row],[Project Code*]])</f>
        <v>Patel, Apurva_CONTRACTORS_CE-BTF24000-02-EX</v>
      </c>
      <c r="E143" s="343" t="s">
        <v>1566</v>
      </c>
      <c r="F143" s="346"/>
      <c r="G143" s="150" t="s">
        <v>1136</v>
      </c>
      <c r="H143" s="150" t="s">
        <v>1567</v>
      </c>
      <c r="I143" s="150" t="s">
        <v>1567</v>
      </c>
      <c r="J143" s="150" t="s">
        <v>1567</v>
      </c>
      <c r="K143" s="511" t="s">
        <v>49</v>
      </c>
      <c r="L143" s="392" t="s">
        <v>1578</v>
      </c>
      <c r="M143" s="343"/>
      <c r="N143" s="800"/>
      <c r="O143" s="70" t="s">
        <v>277</v>
      </c>
      <c r="P143" s="346"/>
      <c r="Q143" s="343"/>
      <c r="R143" s="346"/>
      <c r="S143" s="505" t="s">
        <v>272</v>
      </c>
      <c r="T143" s="791" t="s">
        <v>1579</v>
      </c>
      <c r="U143" s="403"/>
      <c r="V143" s="406">
        <v>270062</v>
      </c>
      <c r="W143" s="406">
        <v>100070</v>
      </c>
      <c r="X143" s="425"/>
      <c r="Y143" s="71"/>
      <c r="Z143" s="784"/>
      <c r="AA143" s="794"/>
      <c r="AB143" s="794"/>
      <c r="AC143" s="428" t="s">
        <v>1142</v>
      </c>
      <c r="AD143" s="429">
        <v>0</v>
      </c>
      <c r="AE143" s="429">
        <v>0</v>
      </c>
      <c r="AF143" s="429" t="s">
        <v>1142</v>
      </c>
      <c r="AG143" s="363">
        <v>5000</v>
      </c>
      <c r="AH143" s="360">
        <v>24000</v>
      </c>
      <c r="AI143" s="360">
        <v>71070</v>
      </c>
      <c r="AJ143" s="360">
        <v>0</v>
      </c>
      <c r="AK143" s="360">
        <v>0</v>
      </c>
      <c r="AL143" s="360">
        <f t="shared" si="8"/>
        <v>100070</v>
      </c>
      <c r="AM143" s="362">
        <f>ERP_8[[#This Row],[2026 Working Total]]-ERP_8[[#This Row],[LE2 Final Submission]]</f>
        <v>0</v>
      </c>
      <c r="AN143" s="79">
        <v>0</v>
      </c>
      <c r="AO143" s="79">
        <f t="shared" si="9"/>
        <v>0</v>
      </c>
      <c r="AP143" s="374">
        <f>SUM(ERP_8[[#This Row],[AP01]:[AP07]])-SUM(ERP_8[[#This Row],[AP01 LE2]:[AP07 LE2]])</f>
        <v>0</v>
      </c>
      <c r="AQ143" s="80"/>
      <c r="AR143" s="79">
        <f>ERP_8[[#This Row],[2026 Working Total to Budget/LE]]-ERP_8[[#This Row],[Giveback]]</f>
        <v>0</v>
      </c>
      <c r="AS143" s="81"/>
      <c r="AT143" s="375"/>
      <c r="AU143" s="375"/>
      <c r="AV143" s="375"/>
      <c r="AW143" s="375">
        <v>0</v>
      </c>
      <c r="AX143" s="375">
        <v>0</v>
      </c>
      <c r="AY143" s="375">
        <v>0</v>
      </c>
      <c r="AZ143" s="375">
        <v>0</v>
      </c>
      <c r="BA143" s="375">
        <v>5000</v>
      </c>
      <c r="BB143" s="375">
        <v>24000</v>
      </c>
      <c r="BC143" s="375">
        <v>71070</v>
      </c>
      <c r="BD143" s="375">
        <v>0</v>
      </c>
      <c r="BE143" s="375">
        <v>0</v>
      </c>
      <c r="BF143" s="375">
        <v>100070</v>
      </c>
      <c r="BG143" s="79"/>
      <c r="BH143" s="79"/>
      <c r="BI143" s="79"/>
      <c r="BJ143" s="79"/>
      <c r="BK143" s="79">
        <v>67296</v>
      </c>
      <c r="BL143" s="79">
        <v>67296</v>
      </c>
      <c r="BM143" s="79">
        <v>0</v>
      </c>
      <c r="BN143" s="79">
        <v>135470</v>
      </c>
      <c r="BO143" s="79">
        <v>0</v>
      </c>
      <c r="BP143" s="79">
        <v>0</v>
      </c>
      <c r="BQ143" s="79">
        <v>0</v>
      </c>
      <c r="BR143" s="79">
        <v>0</v>
      </c>
      <c r="BS143" s="79">
        <v>270062</v>
      </c>
    </row>
    <row r="144" spans="1:71" ht="15" hidden="1" customHeight="1">
      <c r="A144" s="79" t="s">
        <v>1580</v>
      </c>
      <c r="B144" s="749" t="s">
        <v>1581</v>
      </c>
      <c r="C144" s="348"/>
      <c r="D144" s="347" t="str">
        <f>_xlfn.TEXTJOIN("_",FALSE,E144,ERP_8[[#This Row],[Expense Category]],ERP_8[[#This Row],[Project Code*]])</f>
        <v>Patel, Apurva_CONTRACTORS_CE-BTF24002-02-EX</v>
      </c>
      <c r="E144" s="347" t="s">
        <v>1566</v>
      </c>
      <c r="F144" s="348"/>
      <c r="G144" s="150" t="s">
        <v>1136</v>
      </c>
      <c r="H144" s="383" t="s">
        <v>1567</v>
      </c>
      <c r="I144" s="382" t="s">
        <v>1567</v>
      </c>
      <c r="J144" s="331" t="s">
        <v>1567</v>
      </c>
      <c r="K144" s="512" t="s">
        <v>49</v>
      </c>
      <c r="L144" s="394" t="s">
        <v>1582</v>
      </c>
      <c r="M144" s="343"/>
      <c r="N144" s="803"/>
      <c r="O144" s="70" t="s">
        <v>279</v>
      </c>
      <c r="P144" s="343"/>
      <c r="Q144" s="343"/>
      <c r="R144" s="346"/>
      <c r="S144" s="507" t="s">
        <v>272</v>
      </c>
      <c r="T144" s="346" t="s">
        <v>1348</v>
      </c>
      <c r="U144" s="432"/>
      <c r="V144" s="358">
        <v>4900</v>
      </c>
      <c r="W144" s="378">
        <v>0</v>
      </c>
      <c r="X144" s="425"/>
      <c r="Y144" s="71"/>
      <c r="Z144" s="783"/>
      <c r="AA144" s="795"/>
      <c r="AB144" s="795"/>
      <c r="AC144" s="428" t="s">
        <v>1142</v>
      </c>
      <c r="AD144" s="429">
        <v>0</v>
      </c>
      <c r="AE144" s="429">
        <v>0</v>
      </c>
      <c r="AF144" s="429" t="s">
        <v>1142</v>
      </c>
      <c r="AG144" s="388">
        <v>0</v>
      </c>
      <c r="AH144" s="388">
        <v>0</v>
      </c>
      <c r="AI144" s="388">
        <v>0</v>
      </c>
      <c r="AJ144" s="388">
        <v>0</v>
      </c>
      <c r="AK144" s="388">
        <v>0</v>
      </c>
      <c r="AL144" s="360">
        <f t="shared" si="8"/>
        <v>0</v>
      </c>
      <c r="AM144" s="362">
        <f>ERP_8[[#This Row],[2026 Working Total]]-ERP_8[[#This Row],[LE2 Final Submission]]</f>
        <v>0</v>
      </c>
      <c r="AN144" s="79">
        <v>0</v>
      </c>
      <c r="AO144" s="79">
        <f t="shared" si="9"/>
        <v>0</v>
      </c>
      <c r="AP144" s="374">
        <f>SUM(ERP_8[[#This Row],[AP01]:[AP07]])-SUM(ERP_8[[#This Row],[AP01 LE2]:[AP07 LE2]])</f>
        <v>0</v>
      </c>
      <c r="AQ144" s="80"/>
      <c r="AR144" s="79">
        <f>ERP_8[[#This Row],[2026 Working Total to Budget/LE]]-ERP_8[[#This Row],[Giveback]]</f>
        <v>0</v>
      </c>
      <c r="AS144" s="81"/>
      <c r="AT144" s="375"/>
      <c r="AU144" s="375"/>
      <c r="AV144" s="375"/>
      <c r="AW144" s="375">
        <v>0</v>
      </c>
      <c r="AX144" s="375">
        <v>0</v>
      </c>
      <c r="AY144" s="375">
        <v>0</v>
      </c>
      <c r="AZ144" s="375">
        <v>0</v>
      </c>
      <c r="BA144" s="375">
        <v>0</v>
      </c>
      <c r="BB144" s="375">
        <v>0</v>
      </c>
      <c r="BC144" s="375">
        <v>0</v>
      </c>
      <c r="BD144" s="375">
        <v>0</v>
      </c>
      <c r="BE144" s="375">
        <v>0</v>
      </c>
      <c r="BF144" s="375">
        <v>0</v>
      </c>
      <c r="BG144" s="103">
        <v>4900</v>
      </c>
      <c r="BH144" s="103">
        <v>0</v>
      </c>
      <c r="BI144" s="103">
        <v>0</v>
      </c>
      <c r="BJ144" s="103">
        <v>0</v>
      </c>
      <c r="BK144" s="103">
        <v>0</v>
      </c>
      <c r="BL144" s="103">
        <v>0</v>
      </c>
      <c r="BM144" s="103">
        <v>0</v>
      </c>
      <c r="BN144" s="103">
        <v>0</v>
      </c>
      <c r="BO144" s="103">
        <v>0</v>
      </c>
      <c r="BP144" s="103">
        <v>0</v>
      </c>
      <c r="BQ144" s="103">
        <v>0</v>
      </c>
      <c r="BR144" s="103">
        <v>0</v>
      </c>
      <c r="BS144" s="79">
        <f>SUM(ERP_8[[#This Row],[2026 AP01]:[2026 AP12]])</f>
        <v>4900</v>
      </c>
    </row>
    <row r="145" spans="1:71" ht="15" hidden="1" customHeight="1">
      <c r="A145" s="66" t="s">
        <v>1583</v>
      </c>
      <c r="B145" s="737" t="s">
        <v>1584</v>
      </c>
      <c r="C145" s="346"/>
      <c r="D145" s="343" t="str">
        <f>_xlfn.TEXTJOIN("_",FALSE,E145,ERP_8[[#This Row],[Expense Category]],ERP_8[[#This Row],[Project Code*]])</f>
        <v>Patel, Apurva_CONTRACTORS_CE-BTF24003-02-EX</v>
      </c>
      <c r="E145" s="343" t="s">
        <v>1566</v>
      </c>
      <c r="F145" s="346"/>
      <c r="G145" s="150" t="s">
        <v>1136</v>
      </c>
      <c r="H145" s="150" t="s">
        <v>1567</v>
      </c>
      <c r="I145" s="150" t="s">
        <v>1567</v>
      </c>
      <c r="J145" s="150" t="s">
        <v>1567</v>
      </c>
      <c r="K145" s="511" t="s">
        <v>49</v>
      </c>
      <c r="L145" s="392" t="s">
        <v>1585</v>
      </c>
      <c r="M145" s="343"/>
      <c r="N145" s="804">
        <v>2329955</v>
      </c>
      <c r="O145" s="70" t="s">
        <v>281</v>
      </c>
      <c r="P145" s="346"/>
      <c r="Q145" s="343"/>
      <c r="R145" s="346"/>
      <c r="S145" s="505" t="s">
        <v>272</v>
      </c>
      <c r="T145" s="150" t="s">
        <v>1586</v>
      </c>
      <c r="U145" s="403"/>
      <c r="V145" s="406">
        <v>96677</v>
      </c>
      <c r="W145" s="406">
        <v>96677</v>
      </c>
      <c r="X145" s="425"/>
      <c r="Y145" s="71"/>
      <c r="Z145" s="784"/>
      <c r="AA145" s="794"/>
      <c r="AB145" s="794">
        <v>-1032</v>
      </c>
      <c r="AC145" s="428">
        <v>0</v>
      </c>
      <c r="AD145" s="429">
        <v>0</v>
      </c>
      <c r="AE145" s="429">
        <v>0</v>
      </c>
      <c r="AF145" s="429">
        <v>0</v>
      </c>
      <c r="AG145" s="363">
        <v>0</v>
      </c>
      <c r="AH145" s="363">
        <v>0</v>
      </c>
      <c r="AI145" s="360">
        <v>0</v>
      </c>
      <c r="AJ145" s="360">
        <v>10040</v>
      </c>
      <c r="AK145" s="360">
        <v>10043</v>
      </c>
      <c r="AL145" s="360">
        <f t="shared" si="8"/>
        <v>19051</v>
      </c>
      <c r="AM145" s="362">
        <f>ERP_8[[#This Row],[2026 Working Total]]-ERP_8[[#This Row],[LE2 Final Submission]]</f>
        <v>-77626</v>
      </c>
      <c r="AN145" s="79">
        <v>0</v>
      </c>
      <c r="AO145" s="79">
        <f t="shared" si="9"/>
        <v>0</v>
      </c>
      <c r="AP145" s="374">
        <f>SUM(ERP_8[[#This Row],[AP01]:[AP07]])-SUM(ERP_8[[#This Row],[AP01 LE2]:[AP07 LE2]])</f>
        <v>-200</v>
      </c>
      <c r="AQ145" s="80"/>
      <c r="AR145" s="79">
        <f>ERP_8[[#This Row],[2026 Working Total to Budget/LE]]-ERP_8[[#This Row],[Giveback]]</f>
        <v>-77626</v>
      </c>
      <c r="AS145" s="81"/>
      <c r="AT145" s="375"/>
      <c r="AU145" s="375"/>
      <c r="AV145" s="375">
        <v>-1032</v>
      </c>
      <c r="AW145" s="375">
        <v>0</v>
      </c>
      <c r="AX145" s="375">
        <v>0</v>
      </c>
      <c r="AY145" s="375">
        <v>100</v>
      </c>
      <c r="AZ145" s="375">
        <v>100</v>
      </c>
      <c r="BA145" s="375">
        <v>250</v>
      </c>
      <c r="BB145" s="375">
        <v>76422</v>
      </c>
      <c r="BC145" s="375">
        <v>250</v>
      </c>
      <c r="BD145" s="375">
        <v>10290</v>
      </c>
      <c r="BE145" s="375">
        <v>10297</v>
      </c>
      <c r="BF145" s="375">
        <v>96677</v>
      </c>
      <c r="BG145" s="79"/>
      <c r="BH145" s="79"/>
      <c r="BI145" s="79">
        <v>-1032</v>
      </c>
      <c r="BJ145" s="79">
        <v>-19688</v>
      </c>
      <c r="BK145" s="79">
        <v>25767</v>
      </c>
      <c r="BL145" s="79">
        <v>31112</v>
      </c>
      <c r="BM145" s="79">
        <v>0</v>
      </c>
      <c r="BN145" s="79">
        <v>10040</v>
      </c>
      <c r="BO145" s="79">
        <v>5023</v>
      </c>
      <c r="BP145" s="79">
        <v>0</v>
      </c>
      <c r="BQ145" s="79">
        <v>0</v>
      </c>
      <c r="BR145" s="79">
        <v>0</v>
      </c>
      <c r="BS145" s="79">
        <v>51222</v>
      </c>
    </row>
    <row r="146" spans="1:71" ht="15" hidden="1" customHeight="1">
      <c r="A146" s="66" t="s">
        <v>1587</v>
      </c>
      <c r="B146" s="737" t="s">
        <v>1588</v>
      </c>
      <c r="C146" s="346"/>
      <c r="D146" s="343" t="str">
        <f>_xlfn.TEXTJOIN("_",FALSE,E146,ERP_8[[#This Row],[Expense Category]],ERP_8[[#This Row],[Project Code*]])</f>
        <v>Patel, Apurva_CONTRACTORS_CE-BTF26000-02-EX</v>
      </c>
      <c r="E146" s="343" t="s">
        <v>1566</v>
      </c>
      <c r="F146" s="346"/>
      <c r="G146" s="150" t="s">
        <v>1136</v>
      </c>
      <c r="H146" s="150" t="s">
        <v>1567</v>
      </c>
      <c r="I146" s="150" t="s">
        <v>1567</v>
      </c>
      <c r="J146" s="150" t="s">
        <v>1567</v>
      </c>
      <c r="K146" s="511" t="s">
        <v>49</v>
      </c>
      <c r="L146" s="392" t="s">
        <v>1589</v>
      </c>
      <c r="M146" s="343"/>
      <c r="N146" s="800"/>
      <c r="O146" s="70" t="s">
        <v>283</v>
      </c>
      <c r="P146" s="346"/>
      <c r="Q146" s="343"/>
      <c r="R146" s="346"/>
      <c r="S146" s="505" t="s">
        <v>272</v>
      </c>
      <c r="T146" s="150" t="s">
        <v>1590</v>
      </c>
      <c r="U146" s="403"/>
      <c r="V146" s="406">
        <v>49920</v>
      </c>
      <c r="W146" s="406">
        <v>37752</v>
      </c>
      <c r="X146" s="425"/>
      <c r="Y146" s="71"/>
      <c r="Z146" s="784"/>
      <c r="AA146" s="794"/>
      <c r="AB146" s="794"/>
      <c r="AC146" s="428" t="s">
        <v>1142</v>
      </c>
      <c r="AD146" s="429">
        <v>0</v>
      </c>
      <c r="AE146" s="429">
        <v>0</v>
      </c>
      <c r="AF146" s="429" t="s">
        <v>1142</v>
      </c>
      <c r="AG146" s="363">
        <f>9060+7550</f>
        <v>16610</v>
      </c>
      <c r="AH146" s="363">
        <v>9060</v>
      </c>
      <c r="AI146" s="363">
        <v>0</v>
      </c>
      <c r="AJ146" s="360">
        <v>6040</v>
      </c>
      <c r="AK146" s="363">
        <v>6042</v>
      </c>
      <c r="AL146" s="360">
        <f t="shared" si="8"/>
        <v>37752</v>
      </c>
      <c r="AM146" s="362">
        <f>ERP_8[[#This Row],[2026 Working Total]]-ERP_8[[#This Row],[LE2 Final Submission]]</f>
        <v>0</v>
      </c>
      <c r="AN146" s="79">
        <v>0</v>
      </c>
      <c r="AO146" s="79">
        <f t="shared" si="9"/>
        <v>0</v>
      </c>
      <c r="AP146" s="374">
        <f>SUM(ERP_8[[#This Row],[AP01]:[AP07]])-SUM(ERP_8[[#This Row],[AP01 LE2]:[AP07 LE2]])</f>
        <v>-7550</v>
      </c>
      <c r="AQ146" s="80"/>
      <c r="AR146" s="79">
        <f>ERP_8[[#This Row],[2026 Working Total to Budget/LE]]-ERP_8[[#This Row],[Giveback]]</f>
        <v>0</v>
      </c>
      <c r="AS146" s="81"/>
      <c r="AT146" s="375"/>
      <c r="AU146" s="375"/>
      <c r="AV146" s="375"/>
      <c r="AW146" s="375">
        <v>0</v>
      </c>
      <c r="AX146" s="375">
        <v>0</v>
      </c>
      <c r="AY146" s="375">
        <v>0</v>
      </c>
      <c r="AZ146" s="375">
        <v>7550</v>
      </c>
      <c r="BA146" s="375">
        <v>9060</v>
      </c>
      <c r="BB146" s="375">
        <v>9060</v>
      </c>
      <c r="BC146" s="375">
        <v>0</v>
      </c>
      <c r="BD146" s="375">
        <v>6040</v>
      </c>
      <c r="BE146" s="375">
        <v>6042</v>
      </c>
      <c r="BF146" s="375">
        <v>37752</v>
      </c>
      <c r="BG146" s="79"/>
      <c r="BH146" s="79"/>
      <c r="BI146" s="79"/>
      <c r="BJ146" s="79">
        <v>2500</v>
      </c>
      <c r="BK146" s="79">
        <v>2500</v>
      </c>
      <c r="BL146" s="79">
        <v>10050</v>
      </c>
      <c r="BM146" s="79">
        <v>17644</v>
      </c>
      <c r="BN146" s="79">
        <v>17644</v>
      </c>
      <c r="BO146" s="79">
        <v>8540</v>
      </c>
      <c r="BP146" s="79">
        <v>6042</v>
      </c>
      <c r="BQ146" s="79">
        <v>0</v>
      </c>
      <c r="BR146" s="79">
        <v>-40000</v>
      </c>
      <c r="BS146" s="79">
        <v>24920</v>
      </c>
    </row>
    <row r="147" spans="1:71" ht="15" hidden="1" customHeight="1">
      <c r="A147" s="66" t="s">
        <v>1591</v>
      </c>
      <c r="B147" s="737" t="s">
        <v>1592</v>
      </c>
      <c r="C147" s="346"/>
      <c r="D147" s="343" t="str">
        <f>_xlfn.TEXTJOIN("_",FALSE,E147,ERP_8[[#This Row],[Expense Category]],ERP_8[[#This Row],[Project Code*]])</f>
        <v>Patel, Apurva_CONTRACTORS_EP&amp;SCharges001</v>
      </c>
      <c r="E147" s="343" t="s">
        <v>1566</v>
      </c>
      <c r="F147" s="346"/>
      <c r="G147" s="150" t="s">
        <v>1136</v>
      </c>
      <c r="H147" s="150" t="s">
        <v>1567</v>
      </c>
      <c r="I147" s="150" t="s">
        <v>1567</v>
      </c>
      <c r="J147" s="150" t="s">
        <v>1567</v>
      </c>
      <c r="K147" s="511" t="s">
        <v>49</v>
      </c>
      <c r="L147" s="392" t="s">
        <v>1174</v>
      </c>
      <c r="M147" s="343"/>
      <c r="N147" s="800" t="s">
        <v>1593</v>
      </c>
      <c r="O147" s="70" t="s">
        <v>56</v>
      </c>
      <c r="P147" s="346"/>
      <c r="Q147" s="346" t="s">
        <v>1140</v>
      </c>
      <c r="R147" s="346"/>
      <c r="S147" s="150" t="s">
        <v>57</v>
      </c>
      <c r="T147" s="150"/>
      <c r="U147" s="403"/>
      <c r="V147" s="406">
        <v>0</v>
      </c>
      <c r="W147" s="406">
        <v>13071.14</v>
      </c>
      <c r="X147" s="425"/>
      <c r="Y147" s="71"/>
      <c r="Z147" s="784">
        <v>5323.5</v>
      </c>
      <c r="AA147" s="794">
        <v>2811.9</v>
      </c>
      <c r="AB147" s="794">
        <v>4935.74</v>
      </c>
      <c r="AC147" s="428">
        <v>5810.54</v>
      </c>
      <c r="AD147" s="429">
        <v>6233.85</v>
      </c>
      <c r="AE147" s="429">
        <v>6212.75</v>
      </c>
      <c r="AF147" s="429">
        <v>7569.63</v>
      </c>
      <c r="AG147" s="360">
        <v>0</v>
      </c>
      <c r="AH147" s="360">
        <v>0</v>
      </c>
      <c r="AI147" s="360">
        <v>0</v>
      </c>
      <c r="AJ147" s="360">
        <v>0</v>
      </c>
      <c r="AK147" s="360">
        <v>0</v>
      </c>
      <c r="AL147" s="360">
        <f t="shared" si="8"/>
        <v>38897.909999999996</v>
      </c>
      <c r="AM147" s="362">
        <f>ERP_8[[#This Row],[2026 Working Total]]-ERP_8[[#This Row],[LE2 Final Submission]]</f>
        <v>25826.769999999997</v>
      </c>
      <c r="AN147" s="79">
        <v>0</v>
      </c>
      <c r="AO147" s="79">
        <f t="shared" si="9"/>
        <v>6212.75</v>
      </c>
      <c r="AP147" s="374">
        <f>SUM(ERP_8[[#This Row],[AP01]:[AP07]])-SUM(ERP_8[[#This Row],[AP01 LE2]:[AP07 LE2]])</f>
        <v>25826.769999999997</v>
      </c>
      <c r="AQ147" s="80"/>
      <c r="AR147" s="79">
        <f>ERP_8[[#This Row],[2026 Working Total to Budget/LE]]-ERP_8[[#This Row],[Giveback]]</f>
        <v>25826.769999999997</v>
      </c>
      <c r="AS147" s="81"/>
      <c r="AT147" s="375">
        <v>5323.5</v>
      </c>
      <c r="AU147" s="375">
        <v>2811.9</v>
      </c>
      <c r="AV147" s="375">
        <v>4935.74</v>
      </c>
      <c r="AW147" s="375">
        <v>0</v>
      </c>
      <c r="AX147" s="375">
        <v>0</v>
      </c>
      <c r="AY147" s="375">
        <v>0</v>
      </c>
      <c r="AZ147" s="375">
        <v>0</v>
      </c>
      <c r="BA147" s="375">
        <v>0</v>
      </c>
      <c r="BB147" s="375">
        <v>0</v>
      </c>
      <c r="BC147" s="375">
        <v>0</v>
      </c>
      <c r="BD147" s="375">
        <v>0</v>
      </c>
      <c r="BE147" s="375">
        <v>0</v>
      </c>
      <c r="BF147" s="375">
        <v>13071.14</v>
      </c>
      <c r="BG147" s="79">
        <v>5323.5</v>
      </c>
      <c r="BH147" s="79">
        <v>2811.9</v>
      </c>
      <c r="BI147" s="79">
        <v>4935.74</v>
      </c>
      <c r="BJ147" s="79">
        <v>0</v>
      </c>
      <c r="BK147" s="79">
        <v>0</v>
      </c>
      <c r="BL147" s="79">
        <v>0</v>
      </c>
      <c r="BM147" s="79">
        <v>0</v>
      </c>
      <c r="BN147" s="79">
        <v>0</v>
      </c>
      <c r="BO147" s="79">
        <v>0</v>
      </c>
      <c r="BP147" s="79">
        <v>0</v>
      </c>
      <c r="BQ147" s="79">
        <v>0</v>
      </c>
      <c r="BR147" s="79">
        <v>0</v>
      </c>
      <c r="BS147" s="79">
        <v>13071.14</v>
      </c>
    </row>
    <row r="148" spans="1:71" ht="15" hidden="1" customHeight="1">
      <c r="A148" s="66" t="s">
        <v>1594</v>
      </c>
      <c r="B148" s="737" t="s">
        <v>1595</v>
      </c>
      <c r="C148" s="346"/>
      <c r="D148" s="343" t="str">
        <f>_xlfn.TEXTJOIN("_",FALSE,E148,ERP_8[[#This Row],[Expense Category]],ERP_8[[#This Row],[Project Code*]])</f>
        <v>Patel, Apurva_CONTRACTORS_ERP_Digital Funded Project_002</v>
      </c>
      <c r="E148" s="343" t="s">
        <v>1566</v>
      </c>
      <c r="F148" s="346"/>
      <c r="G148" s="150" t="s">
        <v>1136</v>
      </c>
      <c r="H148" s="150" t="s">
        <v>1567</v>
      </c>
      <c r="I148" s="150" t="s">
        <v>1567</v>
      </c>
      <c r="J148" s="150" t="s">
        <v>1567</v>
      </c>
      <c r="K148" s="511" t="s">
        <v>49</v>
      </c>
      <c r="L148" s="392" t="s">
        <v>1596</v>
      </c>
      <c r="M148" s="343"/>
      <c r="N148" s="800"/>
      <c r="O148" s="70" t="s">
        <v>286</v>
      </c>
      <c r="P148" s="346"/>
      <c r="Q148" s="346" t="s">
        <v>1140</v>
      </c>
      <c r="R148" s="346"/>
      <c r="S148" s="505" t="s">
        <v>272</v>
      </c>
      <c r="T148" s="150" t="s">
        <v>1597</v>
      </c>
      <c r="U148" s="403"/>
      <c r="V148" s="406">
        <v>100000</v>
      </c>
      <c r="W148" s="406">
        <v>100000</v>
      </c>
      <c r="X148" s="425"/>
      <c r="Y148" s="71"/>
      <c r="Z148" s="784"/>
      <c r="AA148" s="794"/>
      <c r="AB148" s="794"/>
      <c r="AC148" s="428" t="s">
        <v>1142</v>
      </c>
      <c r="AD148" s="429">
        <v>0</v>
      </c>
      <c r="AE148" s="429">
        <v>0</v>
      </c>
      <c r="AF148" s="429" t="s">
        <v>1142</v>
      </c>
      <c r="AG148" s="360">
        <f>25000*0</f>
        <v>0</v>
      </c>
      <c r="AH148" s="360">
        <f>25000*0</f>
        <v>0</v>
      </c>
      <c r="AI148" s="360">
        <v>0</v>
      </c>
      <c r="AJ148" s="360">
        <v>0</v>
      </c>
      <c r="AK148" s="360">
        <v>0</v>
      </c>
      <c r="AL148" s="360">
        <f t="shared" si="8"/>
        <v>0</v>
      </c>
      <c r="AM148" s="362">
        <f>ERP_8[[#This Row],[2026 Working Total]]-ERP_8[[#This Row],[LE2 Final Submission]]</f>
        <v>-100000</v>
      </c>
      <c r="AN148" s="79">
        <v>0</v>
      </c>
      <c r="AO148" s="79">
        <f t="shared" si="9"/>
        <v>0</v>
      </c>
      <c r="AP148" s="374">
        <f>SUM(ERP_8[[#This Row],[AP01]:[AP07]])-SUM(ERP_8[[#This Row],[AP01 LE2]:[AP07 LE2]])</f>
        <v>-100000</v>
      </c>
      <c r="AQ148" s="80"/>
      <c r="AR148" s="79">
        <f>ERP_8[[#This Row],[2026 Working Total to Budget/LE]]-ERP_8[[#This Row],[Giveback]]</f>
        <v>-100000</v>
      </c>
      <c r="AS148" s="81"/>
      <c r="AT148" s="375"/>
      <c r="AU148" s="375"/>
      <c r="AV148" s="375"/>
      <c r="AW148" s="375">
        <v>25000</v>
      </c>
      <c r="AX148" s="375">
        <v>25000</v>
      </c>
      <c r="AY148" s="375">
        <v>25000</v>
      </c>
      <c r="AZ148" s="375">
        <v>25000</v>
      </c>
      <c r="BA148" s="375">
        <v>0</v>
      </c>
      <c r="BB148" s="375">
        <v>0</v>
      </c>
      <c r="BC148" s="375">
        <v>0</v>
      </c>
      <c r="BD148" s="375">
        <v>0</v>
      </c>
      <c r="BE148" s="375">
        <v>0</v>
      </c>
      <c r="BF148" s="375">
        <v>100000</v>
      </c>
      <c r="BG148" s="79"/>
      <c r="BH148" s="79"/>
      <c r="BI148" s="79"/>
      <c r="BJ148" s="79">
        <v>25000</v>
      </c>
      <c r="BK148" s="79">
        <v>25000</v>
      </c>
      <c r="BL148" s="79">
        <v>25000</v>
      </c>
      <c r="BM148" s="79">
        <v>25000</v>
      </c>
      <c r="BN148" s="79">
        <v>0</v>
      </c>
      <c r="BO148" s="79">
        <v>0</v>
      </c>
      <c r="BP148" s="79">
        <v>0</v>
      </c>
      <c r="BQ148" s="79">
        <v>0</v>
      </c>
      <c r="BR148" s="79">
        <v>0</v>
      </c>
      <c r="BS148" s="79">
        <v>100000</v>
      </c>
    </row>
    <row r="149" spans="1:71" ht="15" hidden="1" customHeight="1">
      <c r="A149" s="66" t="s">
        <v>1598</v>
      </c>
      <c r="B149" s="737" t="s">
        <v>1599</v>
      </c>
      <c r="C149" s="346"/>
      <c r="D149" s="343" t="str">
        <f>_xlfn.TEXTJOIN("_",FALSE,E149,ERP_8[[#This Row],[Expense Category]],ERP_8[[#This Row],[Project Code*]])</f>
        <v>Patel, Apurva_CONTRACTORS_ERP_DigitalFundedProject001</v>
      </c>
      <c r="E149" s="343" t="s">
        <v>1566</v>
      </c>
      <c r="F149" s="346"/>
      <c r="G149" s="150" t="s">
        <v>1136</v>
      </c>
      <c r="H149" s="150" t="s">
        <v>1567</v>
      </c>
      <c r="I149" s="150" t="s">
        <v>1567</v>
      </c>
      <c r="J149" s="150" t="s">
        <v>1567</v>
      </c>
      <c r="K149" s="511" t="s">
        <v>49</v>
      </c>
      <c r="L149" s="392" t="s">
        <v>1600</v>
      </c>
      <c r="M149" s="343"/>
      <c r="N149" s="800"/>
      <c r="O149" s="70" t="s">
        <v>288</v>
      </c>
      <c r="P149" s="346"/>
      <c r="Q149" s="346" t="s">
        <v>1140</v>
      </c>
      <c r="R149" s="346"/>
      <c r="S149" s="505" t="s">
        <v>272</v>
      </c>
      <c r="T149" s="150" t="s">
        <v>1601</v>
      </c>
      <c r="U149" s="403"/>
      <c r="V149" s="406">
        <v>45000</v>
      </c>
      <c r="W149" s="406">
        <v>30000</v>
      </c>
      <c r="X149" s="425"/>
      <c r="Y149" s="71"/>
      <c r="Z149" s="784"/>
      <c r="AA149" s="794"/>
      <c r="AB149" s="794"/>
      <c r="AC149" s="428" t="s">
        <v>1142</v>
      </c>
      <c r="AD149" s="429">
        <v>0</v>
      </c>
      <c r="AE149" s="429">
        <v>0</v>
      </c>
      <c r="AF149" s="429" t="s">
        <v>1142</v>
      </c>
      <c r="AG149" s="360">
        <v>5000</v>
      </c>
      <c r="AH149" s="360">
        <v>5000</v>
      </c>
      <c r="AI149" s="360">
        <v>5000</v>
      </c>
      <c r="AJ149" s="360">
        <v>5000</v>
      </c>
      <c r="AK149" s="360">
        <v>10000</v>
      </c>
      <c r="AL149" s="360">
        <f t="shared" si="8"/>
        <v>30000</v>
      </c>
      <c r="AM149" s="362">
        <f>ERP_8[[#This Row],[2026 Working Total]]-ERP_8[[#This Row],[LE2 Final Submission]]</f>
        <v>0</v>
      </c>
      <c r="AN149" s="79">
        <v>0</v>
      </c>
      <c r="AO149" s="79">
        <f t="shared" si="9"/>
        <v>0</v>
      </c>
      <c r="AP149" s="374">
        <f>SUM(ERP_8[[#This Row],[AP01]:[AP07]])-SUM(ERP_8[[#This Row],[AP01 LE2]:[AP07 LE2]])</f>
        <v>-30000</v>
      </c>
      <c r="AQ149" s="80"/>
      <c r="AR149" s="79">
        <f>ERP_8[[#This Row],[2026 Working Total to Budget/LE]]-ERP_8[[#This Row],[Giveback]]</f>
        <v>0</v>
      </c>
      <c r="AS149" s="81"/>
      <c r="AT149" s="375"/>
      <c r="AU149" s="375"/>
      <c r="AV149" s="375"/>
      <c r="AW149" s="375">
        <v>15000</v>
      </c>
      <c r="AX149" s="375">
        <v>15000</v>
      </c>
      <c r="AY149" s="375">
        <v>0</v>
      </c>
      <c r="AZ149" s="375">
        <v>0</v>
      </c>
      <c r="BA149" s="375">
        <v>0</v>
      </c>
      <c r="BB149" s="375">
        <v>0</v>
      </c>
      <c r="BC149" s="375">
        <v>0</v>
      </c>
      <c r="BD149" s="375">
        <v>0</v>
      </c>
      <c r="BE149" s="375">
        <v>0</v>
      </c>
      <c r="BF149" s="375">
        <v>30000</v>
      </c>
      <c r="BG149" s="79"/>
      <c r="BH149" s="79"/>
      <c r="BI149" s="79"/>
      <c r="BJ149" s="79">
        <v>15000</v>
      </c>
      <c r="BK149" s="79">
        <v>15000</v>
      </c>
      <c r="BL149" s="79">
        <v>0</v>
      </c>
      <c r="BM149" s="79">
        <v>0</v>
      </c>
      <c r="BN149" s="79">
        <v>0</v>
      </c>
      <c r="BO149" s="79">
        <v>0</v>
      </c>
      <c r="BP149" s="79">
        <v>0</v>
      </c>
      <c r="BQ149" s="79">
        <v>0</v>
      </c>
      <c r="BR149" s="79">
        <v>0</v>
      </c>
      <c r="BS149" s="79">
        <v>30000</v>
      </c>
    </row>
    <row r="150" spans="1:71" ht="15" hidden="1" customHeight="1">
      <c r="A150" s="66" t="s">
        <v>1602</v>
      </c>
      <c r="B150" s="737" t="s">
        <v>1603</v>
      </c>
      <c r="C150" s="346"/>
      <c r="D150" s="343" t="str">
        <f>_xlfn.TEXTJOIN("_",FALSE,E150,ERP_8[[#This Row],[Expense Category]],ERP_8[[#This Row],[Project Code*]])</f>
        <v>Patel, Apurva_CONTRACTORS_ERP_ProjectQuantaME001</v>
      </c>
      <c r="E150" s="343" t="s">
        <v>1566</v>
      </c>
      <c r="F150" s="346"/>
      <c r="G150" s="150" t="s">
        <v>1136</v>
      </c>
      <c r="H150" s="150" t="s">
        <v>1567</v>
      </c>
      <c r="I150" s="150" t="s">
        <v>1567</v>
      </c>
      <c r="J150" s="150" t="s">
        <v>1567</v>
      </c>
      <c r="K150" s="511" t="s">
        <v>49</v>
      </c>
      <c r="L150" s="392" t="s">
        <v>1604</v>
      </c>
      <c r="M150" s="343"/>
      <c r="N150" s="800"/>
      <c r="O150" s="70" t="s">
        <v>290</v>
      </c>
      <c r="P150" s="346"/>
      <c r="Q150" s="346" t="s">
        <v>1140</v>
      </c>
      <c r="R150" s="346"/>
      <c r="S150" s="150" t="s">
        <v>291</v>
      </c>
      <c r="T150" s="150" t="s">
        <v>1605</v>
      </c>
      <c r="U150" s="403"/>
      <c r="V150" s="406">
        <v>-351124.00000199996</v>
      </c>
      <c r="W150" s="406">
        <v>0</v>
      </c>
      <c r="X150" s="425"/>
      <c r="Y150" s="71"/>
      <c r="Z150" s="784"/>
      <c r="AA150" s="794"/>
      <c r="AB150" s="794"/>
      <c r="AC150" s="428" t="s">
        <v>1142</v>
      </c>
      <c r="AD150" s="429">
        <v>0</v>
      </c>
      <c r="AE150" s="429">
        <v>0</v>
      </c>
      <c r="AF150" s="429" t="s">
        <v>1142</v>
      </c>
      <c r="AG150" s="363">
        <f>-58520.666667+58520.666667</f>
        <v>0</v>
      </c>
      <c r="AH150" s="363">
        <f>-58520.666667+58520.666667</f>
        <v>0</v>
      </c>
      <c r="AI150" s="363">
        <f>-58520.666667+58520.666667</f>
        <v>0</v>
      </c>
      <c r="AJ150" s="363">
        <f>-58520.666667+58520.666667</f>
        <v>0</v>
      </c>
      <c r="AK150" s="363">
        <f>-58520.666667+58520.666667</f>
        <v>0</v>
      </c>
      <c r="AL150" s="360">
        <f t="shared" si="8"/>
        <v>0</v>
      </c>
      <c r="AM150" s="362">
        <f>ERP_8[[#This Row],[2026 Working Total]]-ERP_8[[#This Row],[LE2 Final Submission]]</f>
        <v>0</v>
      </c>
      <c r="AN150" s="79">
        <v>0</v>
      </c>
      <c r="AO150" s="79">
        <f t="shared" si="9"/>
        <v>0</v>
      </c>
      <c r="AP150" s="374">
        <f>SUM(ERP_8[[#This Row],[AP01]:[AP07]])-SUM(ERP_8[[#This Row],[AP01 LE2]:[AP07 LE2]])</f>
        <v>0</v>
      </c>
      <c r="AQ150" s="80"/>
      <c r="AR150" s="79">
        <f>ERP_8[[#This Row],[2026 Working Total to Budget/LE]]-ERP_8[[#This Row],[Giveback]]</f>
        <v>0</v>
      </c>
      <c r="AS150" s="81"/>
      <c r="AT150" s="375"/>
      <c r="AU150" s="375"/>
      <c r="AV150" s="375"/>
      <c r="AW150" s="375"/>
      <c r="AX150" s="375"/>
      <c r="AY150" s="375"/>
      <c r="AZ150" s="375">
        <v>0</v>
      </c>
      <c r="BA150" s="375">
        <v>0</v>
      </c>
      <c r="BB150" s="375">
        <v>0</v>
      </c>
      <c r="BC150" s="375">
        <v>0</v>
      </c>
      <c r="BD150" s="375">
        <v>0</v>
      </c>
      <c r="BE150" s="375">
        <v>0</v>
      </c>
      <c r="BF150" s="375">
        <v>0</v>
      </c>
      <c r="BG150" s="79"/>
      <c r="BH150" s="79"/>
      <c r="BI150" s="79"/>
      <c r="BJ150" s="79"/>
      <c r="BK150" s="79"/>
      <c r="BL150" s="79"/>
      <c r="BM150" s="79">
        <v>-58520.666666999998</v>
      </c>
      <c r="BN150" s="79">
        <v>-58520.666666999998</v>
      </c>
      <c r="BO150" s="79">
        <v>-58520.666666999998</v>
      </c>
      <c r="BP150" s="79">
        <v>-58520.666666999998</v>
      </c>
      <c r="BQ150" s="79">
        <v>-58520.666666999998</v>
      </c>
      <c r="BR150" s="79">
        <v>-58520.666666999998</v>
      </c>
      <c r="BS150" s="79">
        <v>-351124.00000199996</v>
      </c>
    </row>
    <row r="151" spans="1:71" ht="15" hidden="1" customHeight="1">
      <c r="A151" s="79" t="s">
        <v>1606</v>
      </c>
      <c r="B151" s="749" t="s">
        <v>1607</v>
      </c>
      <c r="C151" s="348"/>
      <c r="D151" s="347" t="str">
        <f>_xlfn.TEXTJOIN("_",FALSE,E151,ERP_8[[#This Row],[Expense Category]],ERP_8[[#This Row],[Project Code*]])</f>
        <v>Patel, Apurva_CONTRACTORS_IT-CTR0041-OG-US-00</v>
      </c>
      <c r="E151" s="347" t="s">
        <v>1566</v>
      </c>
      <c r="F151" s="348"/>
      <c r="G151" s="150" t="s">
        <v>1136</v>
      </c>
      <c r="H151" s="150" t="s">
        <v>1345</v>
      </c>
      <c r="I151" s="332" t="s">
        <v>1346</v>
      </c>
      <c r="J151" s="333" t="s">
        <v>1346</v>
      </c>
      <c r="K151" s="514" t="s">
        <v>49</v>
      </c>
      <c r="L151" s="394"/>
      <c r="M151" s="333"/>
      <c r="N151" s="801">
        <v>2321399</v>
      </c>
      <c r="O151" s="90" t="s">
        <v>258</v>
      </c>
      <c r="P151" s="347"/>
      <c r="Q151" s="347"/>
      <c r="R151" s="348"/>
      <c r="S151" s="348"/>
      <c r="T151" s="348"/>
      <c r="U151" s="402"/>
      <c r="V151" s="358"/>
      <c r="W151" s="379"/>
      <c r="X151" s="425"/>
      <c r="Y151" s="71"/>
      <c r="Z151" s="784"/>
      <c r="AA151" s="794"/>
      <c r="AB151" s="794"/>
      <c r="AC151" s="429"/>
      <c r="AD151" s="429"/>
      <c r="AE151" s="429">
        <v>80877.63</v>
      </c>
      <c r="AF151" s="429">
        <v>1370.8000000000029</v>
      </c>
      <c r="AG151" s="364"/>
      <c r="AH151" s="364"/>
      <c r="AI151" s="364"/>
      <c r="AJ151" s="364"/>
      <c r="AK151" s="364"/>
      <c r="AL151" s="360">
        <f t="shared" si="8"/>
        <v>82248.430000000008</v>
      </c>
      <c r="AM151" s="362">
        <f>ERP_8[[#This Row],[2026 Working Total]]-ERP_8[[#This Row],[LE2 Final Submission]]</f>
        <v>82248.430000000008</v>
      </c>
      <c r="AN151" s="79"/>
      <c r="AO151" s="79">
        <f t="shared" si="9"/>
        <v>80877.63</v>
      </c>
      <c r="AP151" s="374">
        <f>SUM(ERP_8[[#This Row],[AP01]:[AP07]])-SUM(ERP_8[[#This Row],[AP01 LE2]:[AP07 LE2]])</f>
        <v>82248.430000000008</v>
      </c>
      <c r="AQ151" s="80"/>
      <c r="AR151" s="79">
        <f>ERP_8[[#This Row],[2026 Working Total to Budget/LE]]-ERP_8[[#This Row],[Giveback]]</f>
        <v>82248.430000000008</v>
      </c>
      <c r="AS151" s="81"/>
      <c r="AT151" s="375"/>
      <c r="AU151" s="375"/>
      <c r="AV151" s="375"/>
      <c r="AW151" s="375"/>
      <c r="AX151" s="375"/>
      <c r="AY151" s="375"/>
      <c r="AZ151" s="375"/>
      <c r="BA151" s="375"/>
      <c r="BB151" s="375"/>
      <c r="BC151" s="375"/>
      <c r="BD151" s="375"/>
      <c r="BE151" s="375"/>
      <c r="BF151" s="375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</row>
    <row r="152" spans="1:71" ht="15" hidden="1" customHeight="1">
      <c r="A152" s="66" t="s">
        <v>1608</v>
      </c>
      <c r="B152" s="737" t="s">
        <v>1609</v>
      </c>
      <c r="C152" s="346"/>
      <c r="D152" s="343" t="str">
        <f>_xlfn.TEXTJOIN("_",FALSE,E152,ERP_8[[#This Row],[Expense Category]],ERP_8[[#This Row],[Project Code*]])</f>
        <v>Patel, Apurva_CONTRACTORS_IT-CTR0089-OG-US-00</v>
      </c>
      <c r="E152" s="343" t="s">
        <v>1566</v>
      </c>
      <c r="F152" s="346"/>
      <c r="G152" s="150" t="s">
        <v>1136</v>
      </c>
      <c r="H152" s="150" t="s">
        <v>1567</v>
      </c>
      <c r="I152" s="150" t="s">
        <v>1567</v>
      </c>
      <c r="J152" s="150" t="s">
        <v>1567</v>
      </c>
      <c r="K152" s="511" t="s">
        <v>49</v>
      </c>
      <c r="L152" s="392" t="s">
        <v>1610</v>
      </c>
      <c r="M152" s="343"/>
      <c r="N152" s="800" t="s">
        <v>1593</v>
      </c>
      <c r="O152" s="70" t="s">
        <v>295</v>
      </c>
      <c r="P152" s="346"/>
      <c r="Q152" s="343"/>
      <c r="R152" s="346"/>
      <c r="S152" s="150" t="s">
        <v>296</v>
      </c>
      <c r="T152" s="150"/>
      <c r="U152" s="404"/>
      <c r="V152" s="407">
        <v>0</v>
      </c>
      <c r="W152" s="407">
        <v>0</v>
      </c>
      <c r="X152" s="425"/>
      <c r="Y152" s="71"/>
      <c r="Z152" s="784">
        <v>-1104045.58</v>
      </c>
      <c r="AA152" s="794">
        <v>1104045.58</v>
      </c>
      <c r="AB152" s="794"/>
      <c r="AC152" s="428">
        <v>0</v>
      </c>
      <c r="AD152" s="429">
        <v>0</v>
      </c>
      <c r="AE152" s="429">
        <v>0</v>
      </c>
      <c r="AF152" s="429">
        <v>0</v>
      </c>
      <c r="AG152" s="363"/>
      <c r="AH152" s="363"/>
      <c r="AI152" s="363"/>
      <c r="AJ152" s="363"/>
      <c r="AK152" s="363"/>
      <c r="AL152" s="360">
        <f t="shared" si="8"/>
        <v>0</v>
      </c>
      <c r="AM152" s="362">
        <f>ERP_8[[#This Row],[2026 Working Total]]-ERP_8[[#This Row],[LE2 Final Submission]]</f>
        <v>0</v>
      </c>
      <c r="AN152" s="79">
        <v>0</v>
      </c>
      <c r="AO152" s="79">
        <f t="shared" si="9"/>
        <v>0</v>
      </c>
      <c r="AP152" s="374">
        <f>SUM(ERP_8[[#This Row],[AP01]:[AP07]])-SUM(ERP_8[[#This Row],[AP01 LE2]:[AP07 LE2]])</f>
        <v>0</v>
      </c>
      <c r="AQ152" s="80"/>
      <c r="AR152" s="79">
        <f>ERP_8[[#This Row],[2026 Working Total to Budget/LE]]-ERP_8[[#This Row],[Giveback]]</f>
        <v>0</v>
      </c>
      <c r="AS152" s="81"/>
      <c r="AT152" s="375">
        <v>-1104045.58</v>
      </c>
      <c r="AU152" s="375">
        <v>1104045.58</v>
      </c>
      <c r="AV152" s="375"/>
      <c r="AW152" s="375"/>
      <c r="AX152" s="375"/>
      <c r="AY152" s="375"/>
      <c r="AZ152" s="375"/>
      <c r="BA152" s="375"/>
      <c r="BB152" s="375"/>
      <c r="BC152" s="375"/>
      <c r="BD152" s="375"/>
      <c r="BE152" s="375"/>
      <c r="BF152" s="375">
        <v>0</v>
      </c>
      <c r="BG152" s="79">
        <v>-1104045.58</v>
      </c>
      <c r="BH152" s="79">
        <v>1104045.58</v>
      </c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>
        <v>0</v>
      </c>
    </row>
    <row r="153" spans="1:71" ht="15" hidden="1" customHeight="1">
      <c r="A153" s="66" t="s">
        <v>1611</v>
      </c>
      <c r="B153" s="737" t="s">
        <v>1612</v>
      </c>
      <c r="C153" s="346"/>
      <c r="D153" s="343" t="str">
        <f>_xlfn.TEXTJOIN("_",FALSE,E153,ERP_8[[#This Row],[Expense Category]],ERP_8[[#This Row],[Project Code*]])</f>
        <v>Patel, Apurva_CONTRACTORS_IT-CTR0124-OT-US-00</v>
      </c>
      <c r="E153" s="343" t="s">
        <v>1566</v>
      </c>
      <c r="F153" s="346"/>
      <c r="G153" s="150" t="s">
        <v>1136</v>
      </c>
      <c r="H153" s="150" t="s">
        <v>1567</v>
      </c>
      <c r="I153" s="150" t="s">
        <v>1567</v>
      </c>
      <c r="J153" s="150" t="s">
        <v>1567</v>
      </c>
      <c r="K153" s="511" t="s">
        <v>49</v>
      </c>
      <c r="L153" s="392" t="s">
        <v>1613</v>
      </c>
      <c r="M153" s="343"/>
      <c r="N153" s="802" t="s">
        <v>1593</v>
      </c>
      <c r="O153" s="70" t="s">
        <v>298</v>
      </c>
      <c r="P153" s="346"/>
      <c r="Q153" s="346" t="s">
        <v>1187</v>
      </c>
      <c r="R153" s="346"/>
      <c r="S153" s="150" t="s">
        <v>25</v>
      </c>
      <c r="T153" s="150"/>
      <c r="U153" s="403"/>
      <c r="V153" s="406">
        <v>0</v>
      </c>
      <c r="W153" s="406">
        <v>50489.729999999996</v>
      </c>
      <c r="X153" s="425"/>
      <c r="Y153" s="71"/>
      <c r="Z153" s="784"/>
      <c r="AA153" s="794">
        <v>38877.699999999997</v>
      </c>
      <c r="AB153" s="794">
        <v>11612.03</v>
      </c>
      <c r="AC153" s="428">
        <v>17061.96</v>
      </c>
      <c r="AD153" s="429">
        <v>5873.3499999999995</v>
      </c>
      <c r="AE153" s="429">
        <v>-6492.8099999999995</v>
      </c>
      <c r="AF153" s="429">
        <v>23324.04</v>
      </c>
      <c r="AG153" s="360">
        <v>0</v>
      </c>
      <c r="AH153" s="360">
        <v>0</v>
      </c>
      <c r="AI153" s="360">
        <v>0</v>
      </c>
      <c r="AJ153" s="360">
        <v>0</v>
      </c>
      <c r="AK153" s="360">
        <v>0</v>
      </c>
      <c r="AL153" s="360">
        <f t="shared" si="8"/>
        <v>90256.270000000019</v>
      </c>
      <c r="AM153" s="362">
        <f>ERP_8[[#This Row],[2026 Working Total]]-ERP_8[[#This Row],[LE2 Final Submission]]</f>
        <v>39766.540000000023</v>
      </c>
      <c r="AN153" s="79">
        <v>0</v>
      </c>
      <c r="AO153" s="79">
        <f t="shared" si="9"/>
        <v>-6492.8099999999995</v>
      </c>
      <c r="AP153" s="374">
        <f>SUM(ERP_8[[#This Row],[AP01]:[AP07]])-SUM(ERP_8[[#This Row],[AP01 LE2]:[AP07 LE2]])</f>
        <v>39766.540000000023</v>
      </c>
      <c r="AQ153" s="80"/>
      <c r="AR153" s="79">
        <f>ERP_8[[#This Row],[2026 Working Total to Budget/LE]]-ERP_8[[#This Row],[Giveback]]</f>
        <v>39766.540000000023</v>
      </c>
      <c r="AS153" s="81"/>
      <c r="AT153" s="375"/>
      <c r="AU153" s="375">
        <v>38877.699999999997</v>
      </c>
      <c r="AV153" s="375">
        <v>11612.03</v>
      </c>
      <c r="AW153" s="375">
        <v>0</v>
      </c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375">
        <v>0</v>
      </c>
      <c r="BD153" s="375">
        <v>0</v>
      </c>
      <c r="BE153" s="375">
        <v>0</v>
      </c>
      <c r="BF153" s="375">
        <v>50489.729999999996</v>
      </c>
      <c r="BG153" s="79"/>
      <c r="BH153" s="79">
        <v>38877.699999999997</v>
      </c>
      <c r="BI153" s="79">
        <v>11612.03</v>
      </c>
      <c r="BJ153" s="79">
        <v>0</v>
      </c>
      <c r="BK153" s="79">
        <v>0</v>
      </c>
      <c r="BL153" s="79">
        <v>0</v>
      </c>
      <c r="BM153" s="79">
        <v>0</v>
      </c>
      <c r="BN153" s="79">
        <v>0</v>
      </c>
      <c r="BO153" s="79">
        <v>0</v>
      </c>
      <c r="BP153" s="79">
        <v>0</v>
      </c>
      <c r="BQ153" s="79">
        <v>0</v>
      </c>
      <c r="BR153" s="79">
        <v>0</v>
      </c>
      <c r="BS153" s="79">
        <v>50489.729999999996</v>
      </c>
    </row>
    <row r="154" spans="1:71" ht="15" hidden="1" customHeight="1">
      <c r="A154" s="66" t="s">
        <v>1614</v>
      </c>
      <c r="B154" s="737" t="s">
        <v>1615</v>
      </c>
      <c r="C154" s="346"/>
      <c r="D154" s="343" t="str">
        <f>_xlfn.TEXTJOIN("_",FALSE,E154,ERP_8[[#This Row],[Expense Category]],ERP_8[[#This Row],[Project Code*]])</f>
        <v>Patel, Apurva_CONTRACTORS_IT-FBT0748-OT-US-00</v>
      </c>
      <c r="E154" s="343" t="s">
        <v>1566</v>
      </c>
      <c r="F154" s="346"/>
      <c r="G154" s="150" t="s">
        <v>1136</v>
      </c>
      <c r="H154" s="150" t="s">
        <v>1567</v>
      </c>
      <c r="I154" s="150" t="s">
        <v>1567</v>
      </c>
      <c r="J154" s="150" t="s">
        <v>1567</v>
      </c>
      <c r="K154" s="511" t="s">
        <v>49</v>
      </c>
      <c r="L154" s="392" t="s">
        <v>1616</v>
      </c>
      <c r="M154" s="343"/>
      <c r="N154" s="804">
        <v>2329955</v>
      </c>
      <c r="O154" s="70" t="s">
        <v>300</v>
      </c>
      <c r="P154" s="346"/>
      <c r="Q154" s="343"/>
      <c r="R154" s="346"/>
      <c r="S154" s="505" t="s">
        <v>272</v>
      </c>
      <c r="T154" s="150" t="s">
        <v>1575</v>
      </c>
      <c r="U154" s="403"/>
      <c r="V154" s="406">
        <v>-1080865</v>
      </c>
      <c r="W154" s="406">
        <v>-1080865</v>
      </c>
      <c r="X154" s="425"/>
      <c r="Y154" s="71"/>
      <c r="Z154" s="784"/>
      <c r="AA154" s="794"/>
      <c r="AB154" s="794">
        <v>-180144.16</v>
      </c>
      <c r="AC154" s="428">
        <v>0</v>
      </c>
      <c r="AD154" s="429">
        <v>-270216.24</v>
      </c>
      <c r="AE154" s="429">
        <v>-90072.08</v>
      </c>
      <c r="AF154" s="429">
        <v>-90072.08</v>
      </c>
      <c r="AG154" s="363">
        <v>-90072.08</v>
      </c>
      <c r="AH154" s="363">
        <v>-90072</v>
      </c>
      <c r="AI154" s="360">
        <v>-90072.08</v>
      </c>
      <c r="AJ154" s="363">
        <v>-90072.08</v>
      </c>
      <c r="AK154" s="363">
        <v>-90072.84</v>
      </c>
      <c r="AL154" s="360">
        <f t="shared" si="8"/>
        <v>-1080865.6399999999</v>
      </c>
      <c r="AM154" s="362">
        <f>ERP_8[[#This Row],[2026 Working Total]]-ERP_8[[#This Row],[LE2 Final Submission]]</f>
        <v>-0.63999999989755452</v>
      </c>
      <c r="AN154" s="79">
        <v>0</v>
      </c>
      <c r="AO154" s="79">
        <f t="shared" si="9"/>
        <v>-90072.08</v>
      </c>
      <c r="AP154" s="374">
        <f>SUM(ERP_8[[#This Row],[AP01]:[AP07]])-SUM(ERP_8[[#This Row],[AP01 LE2]:[AP07 LE2]])</f>
        <v>-90072.399999999907</v>
      </c>
      <c r="AQ154" s="80"/>
      <c r="AR154" s="79">
        <f>ERP_8[[#This Row],[2026 Working Total to Budget/LE]]-ERP_8[[#This Row],[Giveback]]</f>
        <v>-0.63999999989755452</v>
      </c>
      <c r="AS154" s="81"/>
      <c r="AT154" s="375"/>
      <c r="AU154" s="375"/>
      <c r="AV154" s="375">
        <v>-180144.16</v>
      </c>
      <c r="AW154" s="375">
        <v>0</v>
      </c>
      <c r="AX154" s="375">
        <v>-270216</v>
      </c>
      <c r="AY154" s="375">
        <v>-90072</v>
      </c>
      <c r="AZ154" s="375">
        <v>0</v>
      </c>
      <c r="BA154" s="375">
        <v>-180144</v>
      </c>
      <c r="BB154" s="375">
        <v>-90072</v>
      </c>
      <c r="BC154" s="375">
        <v>0</v>
      </c>
      <c r="BD154" s="375">
        <v>-180144</v>
      </c>
      <c r="BE154" s="375">
        <v>-90072.84</v>
      </c>
      <c r="BF154" s="375">
        <v>-1080865</v>
      </c>
      <c r="BG154" s="79"/>
      <c r="BH154" s="79"/>
      <c r="BI154" s="79">
        <v>-180144.16</v>
      </c>
      <c r="BJ154" s="79">
        <v>0</v>
      </c>
      <c r="BK154" s="79">
        <v>-180144.16</v>
      </c>
      <c r="BL154" s="79">
        <v>-90072.08</v>
      </c>
      <c r="BM154" s="79">
        <v>0</v>
      </c>
      <c r="BN154" s="79">
        <v>-180144.16</v>
      </c>
      <c r="BO154" s="79">
        <v>-90072.08</v>
      </c>
      <c r="BP154" s="79">
        <v>0</v>
      </c>
      <c r="BQ154" s="79">
        <v>-180144.16</v>
      </c>
      <c r="BR154" s="79">
        <v>-90072.12</v>
      </c>
      <c r="BS154" s="79">
        <v>-990792.92</v>
      </c>
    </row>
    <row r="155" spans="1:71" ht="15" hidden="1" customHeight="1">
      <c r="A155" s="66" t="s">
        <v>1617</v>
      </c>
      <c r="B155" s="737" t="s">
        <v>1618</v>
      </c>
      <c r="C155" s="346"/>
      <c r="D155" s="343" t="str">
        <f>_xlfn.TEXTJOIN("_",FALSE,E155,ERP_8[[#This Row],[Expense Category]],ERP_8[[#This Row],[Project Code*]])</f>
        <v>Patel, Apurva_CONTRACTORS_IT-FBT0934-OT-US-00</v>
      </c>
      <c r="E155" s="343" t="s">
        <v>1566</v>
      </c>
      <c r="F155" s="346"/>
      <c r="G155" s="150" t="s">
        <v>1136</v>
      </c>
      <c r="H155" s="150" t="s">
        <v>1567</v>
      </c>
      <c r="I155" s="150" t="s">
        <v>1567</v>
      </c>
      <c r="J155" s="150" t="s">
        <v>1567</v>
      </c>
      <c r="K155" s="511" t="s">
        <v>49</v>
      </c>
      <c r="L155" s="392" t="s">
        <v>1619</v>
      </c>
      <c r="M155" s="343"/>
      <c r="N155" s="804">
        <v>2329955</v>
      </c>
      <c r="O155" s="70" t="s">
        <v>302</v>
      </c>
      <c r="P155" s="346"/>
      <c r="Q155" s="343"/>
      <c r="R155" s="346"/>
      <c r="S155" s="505" t="s">
        <v>303</v>
      </c>
      <c r="T155" s="150" t="s">
        <v>1620</v>
      </c>
      <c r="U155" s="403"/>
      <c r="V155" s="406">
        <v>-2578</v>
      </c>
      <c r="W155" s="406">
        <v>-51385.37</v>
      </c>
      <c r="X155" s="425"/>
      <c r="Y155" s="71"/>
      <c r="Z155" s="784"/>
      <c r="AA155" s="794"/>
      <c r="AB155" s="794">
        <v>-2578.37</v>
      </c>
      <c r="AC155" s="428">
        <v>0</v>
      </c>
      <c r="AD155" s="429">
        <v>0</v>
      </c>
      <c r="AE155" s="429">
        <v>0</v>
      </c>
      <c r="AF155" s="429">
        <v>0</v>
      </c>
      <c r="AG155" s="360">
        <v>0</v>
      </c>
      <c r="AH155" s="360">
        <v>0</v>
      </c>
      <c r="AI155" s="360">
        <v>0</v>
      </c>
      <c r="AJ155" s="360">
        <v>0</v>
      </c>
      <c r="AK155" s="360">
        <v>0</v>
      </c>
      <c r="AL155" s="360">
        <f t="shared" si="8"/>
        <v>-2578.37</v>
      </c>
      <c r="AM155" s="362">
        <f>ERP_8[[#This Row],[2026 Working Total]]-ERP_8[[#This Row],[LE2 Final Submission]]</f>
        <v>48807</v>
      </c>
      <c r="AN155" s="79">
        <v>0</v>
      </c>
      <c r="AO155" s="79">
        <f t="shared" si="9"/>
        <v>0</v>
      </c>
      <c r="AP155" s="374">
        <f>SUM(ERP_8[[#This Row],[AP01]:[AP07]])-SUM(ERP_8[[#This Row],[AP01 LE2]:[AP07 LE2]])</f>
        <v>48807</v>
      </c>
      <c r="AQ155" s="80"/>
      <c r="AR155" s="79">
        <f>ERP_8[[#This Row],[2026 Working Total to Budget/LE]]-ERP_8[[#This Row],[Giveback]]</f>
        <v>48807</v>
      </c>
      <c r="AS155" s="81"/>
      <c r="AT155" s="375"/>
      <c r="AU155" s="375"/>
      <c r="AV155" s="375">
        <v>-2578.37</v>
      </c>
      <c r="AW155" s="375">
        <v>0</v>
      </c>
      <c r="AX155" s="375">
        <v>-48807</v>
      </c>
      <c r="AY155" s="375">
        <v>0</v>
      </c>
      <c r="AZ155" s="375">
        <v>0</v>
      </c>
      <c r="BA155" s="375">
        <v>0</v>
      </c>
      <c r="BB155" s="375">
        <v>0</v>
      </c>
      <c r="BC155" s="375">
        <v>0</v>
      </c>
      <c r="BD155" s="375">
        <v>0</v>
      </c>
      <c r="BE155" s="375">
        <v>0</v>
      </c>
      <c r="BF155" s="375">
        <v>-51385.37</v>
      </c>
      <c r="BG155" s="79"/>
      <c r="BH155" s="79"/>
      <c r="BI155" s="79">
        <v>-2578.37</v>
      </c>
      <c r="BJ155" s="79">
        <v>0</v>
      </c>
      <c r="BK155" s="79">
        <v>0</v>
      </c>
      <c r="BL155" s="79">
        <v>0</v>
      </c>
      <c r="BM155" s="79">
        <v>0</v>
      </c>
      <c r="BN155" s="79">
        <v>0</v>
      </c>
      <c r="BO155" s="79">
        <v>0</v>
      </c>
      <c r="BP155" s="79">
        <v>0</v>
      </c>
      <c r="BQ155" s="79">
        <v>0</v>
      </c>
      <c r="BR155" s="79">
        <v>0</v>
      </c>
      <c r="BS155" s="79">
        <v>-2578.37</v>
      </c>
    </row>
    <row r="156" spans="1:71" ht="15" hidden="1" customHeight="1">
      <c r="A156" s="79" t="s">
        <v>1621</v>
      </c>
      <c r="B156" s="749" t="s">
        <v>1622</v>
      </c>
      <c r="C156" s="348"/>
      <c r="D156" s="347" t="str">
        <f>_xlfn.TEXTJOIN("_",FALSE,E156,ERP_8[[#This Row],[Expense Category]],ERP_8[[#This Row],[Project Code*]])</f>
        <v>Patel, Apurva_CONTRACTORS_IT-FBT0992-OT-US-00</v>
      </c>
      <c r="E156" s="347" t="s">
        <v>1566</v>
      </c>
      <c r="F156" s="348"/>
      <c r="G156" s="150" t="s">
        <v>1136</v>
      </c>
      <c r="H156" s="383" t="s">
        <v>1567</v>
      </c>
      <c r="I156" s="382" t="s">
        <v>1567</v>
      </c>
      <c r="J156" s="333" t="s">
        <v>1567</v>
      </c>
      <c r="K156" s="512" t="s">
        <v>49</v>
      </c>
      <c r="L156" s="394" t="s">
        <v>1623</v>
      </c>
      <c r="M156" s="343"/>
      <c r="N156" s="801"/>
      <c r="O156" s="70" t="s">
        <v>305</v>
      </c>
      <c r="P156" s="347"/>
      <c r="Q156" s="343"/>
      <c r="R156" s="346"/>
      <c r="S156" s="384" t="s">
        <v>272</v>
      </c>
      <c r="T156" s="346" t="s">
        <v>1348</v>
      </c>
      <c r="U156" s="432"/>
      <c r="V156" s="358">
        <v>1078625</v>
      </c>
      <c r="W156" s="378">
        <v>0</v>
      </c>
      <c r="X156" s="425"/>
      <c r="Y156" s="71"/>
      <c r="Z156" s="783"/>
      <c r="AA156" s="795"/>
      <c r="AB156" s="795"/>
      <c r="AC156" s="428" t="s">
        <v>1142</v>
      </c>
      <c r="AD156" s="429">
        <v>0</v>
      </c>
      <c r="AE156" s="429">
        <v>0</v>
      </c>
      <c r="AF156" s="429" t="s">
        <v>1142</v>
      </c>
      <c r="AG156" s="388"/>
      <c r="AH156" s="388"/>
      <c r="AI156" s="388"/>
      <c r="AJ156" s="388"/>
      <c r="AK156" s="388"/>
      <c r="AL156" s="360">
        <f t="shared" si="8"/>
        <v>0</v>
      </c>
      <c r="AM156" s="362">
        <f>ERP_8[[#This Row],[2026 Working Total]]-ERP_8[[#This Row],[LE2 Final Submission]]</f>
        <v>0</v>
      </c>
      <c r="AN156" s="79"/>
      <c r="AO156" s="79">
        <f t="shared" si="9"/>
        <v>0</v>
      </c>
      <c r="AP156" s="374">
        <f>SUM(ERP_8[[#This Row],[AP01]:[AP07]])-SUM(ERP_8[[#This Row],[AP01 LE2]:[AP07 LE2]])</f>
        <v>0</v>
      </c>
      <c r="AQ156" s="80"/>
      <c r="AR156" s="79">
        <f>ERP_8[[#This Row],[2026 Working Total to Budget/LE]]-ERP_8[[#This Row],[Giveback]]</f>
        <v>0</v>
      </c>
      <c r="AS156" s="81"/>
      <c r="AT156" s="375"/>
      <c r="AU156" s="375"/>
      <c r="AV156" s="375"/>
      <c r="AW156" s="375"/>
      <c r="AX156" s="375"/>
      <c r="AY156" s="375"/>
      <c r="AZ156" s="375"/>
      <c r="BA156" s="375"/>
      <c r="BB156" s="375"/>
      <c r="BC156" s="375"/>
      <c r="BD156" s="375"/>
      <c r="BE156" s="375"/>
      <c r="BF156" s="375">
        <v>0</v>
      </c>
      <c r="BG156" s="103">
        <v>63566</v>
      </c>
      <c r="BH156" s="103">
        <v>71261</v>
      </c>
      <c r="BI156" s="103">
        <v>89885</v>
      </c>
      <c r="BJ156" s="103">
        <v>89885</v>
      </c>
      <c r="BK156" s="103">
        <v>134828</v>
      </c>
      <c r="BL156" s="103">
        <v>134828</v>
      </c>
      <c r="BM156" s="103">
        <v>134828</v>
      </c>
      <c r="BN156" s="103">
        <v>91283</v>
      </c>
      <c r="BO156" s="103">
        <v>89885</v>
      </c>
      <c r="BP156" s="103">
        <v>89885</v>
      </c>
      <c r="BQ156" s="103">
        <v>44942</v>
      </c>
      <c r="BR156" s="103">
        <v>43549</v>
      </c>
      <c r="BS156" s="79">
        <f>SUM(ERP_8[[#This Row],[2026 AP01]:[2026 AP12]])</f>
        <v>1078625</v>
      </c>
    </row>
    <row r="157" spans="1:71" ht="15" hidden="1" customHeight="1">
      <c r="A157" s="79" t="s">
        <v>1624</v>
      </c>
      <c r="B157" s="749" t="s">
        <v>1625</v>
      </c>
      <c r="C157" s="348"/>
      <c r="D157" s="347" t="str">
        <f>_xlfn.TEXTJOIN("_",FALSE,E157,ERP_8[[#This Row],[Expense Category]],ERP_8[[#This Row],[Project Code*]])</f>
        <v>Patel, Apurva_CONTRACTORS_IT-FBT1017-OT-US-00</v>
      </c>
      <c r="E157" s="347" t="s">
        <v>1566</v>
      </c>
      <c r="F157" s="348"/>
      <c r="G157" s="150" t="s">
        <v>1136</v>
      </c>
      <c r="H157" s="383" t="s">
        <v>1567</v>
      </c>
      <c r="I157" s="382" t="s">
        <v>1567</v>
      </c>
      <c r="J157" s="333" t="s">
        <v>1567</v>
      </c>
      <c r="K157" s="512" t="s">
        <v>49</v>
      </c>
      <c r="L157" s="394" t="s">
        <v>1626</v>
      </c>
      <c r="M157" s="343"/>
      <c r="N157" s="801"/>
      <c r="O157" s="70" t="s">
        <v>307</v>
      </c>
      <c r="P157" s="347"/>
      <c r="Q157" s="343"/>
      <c r="R157" s="346"/>
      <c r="S157" s="507" t="s">
        <v>272</v>
      </c>
      <c r="T157" s="387" t="s">
        <v>1627</v>
      </c>
      <c r="U157" s="432"/>
      <c r="V157" s="358">
        <v>7850</v>
      </c>
      <c r="W157" s="378">
        <v>0</v>
      </c>
      <c r="X157" s="425"/>
      <c r="Y157" s="71"/>
      <c r="Z157" s="783"/>
      <c r="AA157" s="795"/>
      <c r="AB157" s="795"/>
      <c r="AC157" s="428" t="s">
        <v>1142</v>
      </c>
      <c r="AD157" s="429">
        <v>0</v>
      </c>
      <c r="AE157" s="429">
        <v>0</v>
      </c>
      <c r="AF157" s="429" t="s">
        <v>1142</v>
      </c>
      <c r="AG157" s="388">
        <v>0</v>
      </c>
      <c r="AH157" s="388">
        <v>0</v>
      </c>
      <c r="AI157" s="388">
        <v>0</v>
      </c>
      <c r="AJ157" s="388">
        <v>0</v>
      </c>
      <c r="AK157" s="388"/>
      <c r="AL157" s="360">
        <f t="shared" si="8"/>
        <v>0</v>
      </c>
      <c r="AM157" s="362">
        <f>ERP_8[[#This Row],[2026 Working Total]]-ERP_8[[#This Row],[LE2 Final Submission]]</f>
        <v>0</v>
      </c>
      <c r="AN157" s="79">
        <v>0</v>
      </c>
      <c r="AO157" s="79">
        <f t="shared" si="9"/>
        <v>0</v>
      </c>
      <c r="AP157" s="374">
        <f>SUM(ERP_8[[#This Row],[AP01]:[AP07]])-SUM(ERP_8[[#This Row],[AP01 LE2]:[AP07 LE2]])</f>
        <v>0</v>
      </c>
      <c r="AQ157" s="80"/>
      <c r="AR157" s="79">
        <f>ERP_8[[#This Row],[2026 Working Total to Budget/LE]]-ERP_8[[#This Row],[Giveback]]</f>
        <v>0</v>
      </c>
      <c r="AS157" s="81"/>
      <c r="AT157" s="375"/>
      <c r="AU157" s="375"/>
      <c r="AV157" s="375"/>
      <c r="AW157" s="375">
        <v>0</v>
      </c>
      <c r="AX157" s="375">
        <v>0</v>
      </c>
      <c r="AY157" s="375">
        <v>0</v>
      </c>
      <c r="AZ157" s="375">
        <v>0</v>
      </c>
      <c r="BA157" s="375">
        <v>0</v>
      </c>
      <c r="BB157" s="375">
        <v>0</v>
      </c>
      <c r="BC157" s="375">
        <v>0</v>
      </c>
      <c r="BD157" s="375">
        <v>0</v>
      </c>
      <c r="BE157" s="375"/>
      <c r="BF157" s="375">
        <v>0</v>
      </c>
      <c r="BG157" s="103">
        <v>2090</v>
      </c>
      <c r="BH157" s="103">
        <v>0</v>
      </c>
      <c r="BI157" s="103">
        <v>0</v>
      </c>
      <c r="BJ157" s="103">
        <v>0</v>
      </c>
      <c r="BK157" s="103">
        <v>0</v>
      </c>
      <c r="BL157" s="103">
        <v>0</v>
      </c>
      <c r="BM157" s="103">
        <v>0</v>
      </c>
      <c r="BN157" s="103">
        <v>0</v>
      </c>
      <c r="BO157" s="103">
        <v>0</v>
      </c>
      <c r="BP157" s="103">
        <v>0</v>
      </c>
      <c r="BQ157" s="103">
        <v>0</v>
      </c>
      <c r="BR157" s="103">
        <v>5760</v>
      </c>
      <c r="BS157" s="79">
        <f>SUM(ERP_8[[#This Row],[2026 AP01]:[2026 AP12]])</f>
        <v>7850</v>
      </c>
    </row>
    <row r="158" spans="1:71" ht="15" hidden="1" customHeight="1">
      <c r="A158" s="79" t="s">
        <v>1628</v>
      </c>
      <c r="B158" s="296" t="s">
        <v>1629</v>
      </c>
      <c r="C158" s="109"/>
      <c r="D158" s="347" t="str">
        <f>_xlfn.TEXTJOIN("_",FALSE,E158,ERP_8[[#This Row],[Expense Category]],ERP_8[[#This Row],[Project Code*]])</f>
        <v>Patel, Apurva_CONTRACTORS_IT-FBT1035-OT-US-00</v>
      </c>
      <c r="E158" s="109" t="s">
        <v>1566</v>
      </c>
      <c r="F158" s="109"/>
      <c r="G158" s="332" t="s">
        <v>1136</v>
      </c>
      <c r="H158" s="332" t="s">
        <v>1567</v>
      </c>
      <c r="I158" s="332" t="s">
        <v>1567</v>
      </c>
      <c r="J158" s="333" t="s">
        <v>1567</v>
      </c>
      <c r="K158" s="514" t="s">
        <v>49</v>
      </c>
      <c r="L158" s="394"/>
      <c r="M158" s="333"/>
      <c r="N158" s="801">
        <v>2329955</v>
      </c>
      <c r="O158" s="868" t="s">
        <v>1630</v>
      </c>
      <c r="P158" s="347"/>
      <c r="Q158" s="347"/>
      <c r="R158" s="348"/>
      <c r="S158" s="348"/>
      <c r="T158" s="348"/>
      <c r="U158" s="402"/>
      <c r="V158" s="358"/>
      <c r="W158" s="379"/>
      <c r="X158" s="425"/>
      <c r="Y158" s="71"/>
      <c r="Z158" s="784"/>
      <c r="AA158" s="794"/>
      <c r="AB158" s="794"/>
      <c r="AC158" s="429"/>
      <c r="AD158" s="780"/>
      <c r="AE158" s="429"/>
      <c r="AF158" s="429">
        <v>4167</v>
      </c>
      <c r="AG158" s="364"/>
      <c r="AH158" s="364"/>
      <c r="AI158" s="364"/>
      <c r="AJ158" s="364"/>
      <c r="AK158" s="364"/>
      <c r="AL158" s="360">
        <f t="shared" si="8"/>
        <v>4167</v>
      </c>
      <c r="AM158" s="362">
        <f>ERP_8[[#This Row],[2026 Working Total]]-ERP_8[[#This Row],[LE2 Final Submission]]</f>
        <v>4167</v>
      </c>
      <c r="AN158" s="79"/>
      <c r="AO158" s="79">
        <f t="shared" si="9"/>
        <v>0</v>
      </c>
      <c r="AP158" s="391">
        <f>SUM(ERP_8[[#This Row],[AP01]:[AP07]])-SUM(ERP_8[[#This Row],[AP01 LE2]:[AP07 LE2]])</f>
        <v>4167</v>
      </c>
      <c r="AQ158" s="80"/>
      <c r="AR158" s="79">
        <f>ERP_8[[#This Row],[2026 Working Total to Budget/LE]]-ERP_8[[#This Row],[Giveback]]</f>
        <v>4167</v>
      </c>
      <c r="AS158" s="81"/>
      <c r="AT158" s="375"/>
      <c r="AU158" s="375"/>
      <c r="AV158" s="375"/>
      <c r="AW158" s="375"/>
      <c r="AX158" s="375"/>
      <c r="AY158" s="375"/>
      <c r="AZ158" s="375"/>
      <c r="BA158" s="375"/>
      <c r="BB158" s="375"/>
      <c r="BC158" s="375"/>
      <c r="BD158" s="375"/>
      <c r="BE158" s="375"/>
      <c r="BF158" s="375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</row>
    <row r="159" spans="1:71" ht="15" hidden="1" customHeight="1">
      <c r="A159" s="150" t="s">
        <v>1631</v>
      </c>
      <c r="B159" s="749" t="s">
        <v>1632</v>
      </c>
      <c r="C159" s="348"/>
      <c r="D159" s="347" t="str">
        <f>_xlfn.TEXTJOIN("_",FALSE,E159,ERP_8[[#This Row],[Expense Category]],ERP_8[[#This Row],[Project Code*]])</f>
        <v>Patel, Apurva_CONTRACTORS_IT-FBU0828-OT-US-00</v>
      </c>
      <c r="E159" s="347" t="s">
        <v>1566</v>
      </c>
      <c r="F159" s="348"/>
      <c r="G159" s="150" t="s">
        <v>1136</v>
      </c>
      <c r="H159" s="332" t="s">
        <v>1567</v>
      </c>
      <c r="I159" s="332" t="s">
        <v>1567</v>
      </c>
      <c r="J159" s="333" t="s">
        <v>1567</v>
      </c>
      <c r="K159" s="514" t="s">
        <v>49</v>
      </c>
      <c r="L159" s="394" t="s">
        <v>1633</v>
      </c>
      <c r="M159" s="333"/>
      <c r="N159" s="467" t="s">
        <v>1634</v>
      </c>
      <c r="O159" s="90" t="s">
        <v>309</v>
      </c>
      <c r="P159" s="347"/>
      <c r="Q159" s="348" t="s">
        <v>1635</v>
      </c>
      <c r="R159" s="348"/>
      <c r="S159" s="506" t="s">
        <v>310</v>
      </c>
      <c r="T159" s="791" t="s">
        <v>1636</v>
      </c>
      <c r="U159" s="402"/>
      <c r="V159" s="406"/>
      <c r="W159" s="406"/>
      <c r="X159" s="425"/>
      <c r="Y159" s="71"/>
      <c r="Z159" s="784"/>
      <c r="AA159" s="794"/>
      <c r="AB159" s="794"/>
      <c r="AC159" s="429"/>
      <c r="AD159" s="429">
        <v>-48806.7</v>
      </c>
      <c r="AE159" s="429">
        <v>0</v>
      </c>
      <c r="AF159" s="429">
        <v>0</v>
      </c>
      <c r="AG159" s="364"/>
      <c r="AH159" s="364"/>
      <c r="AI159" s="364"/>
      <c r="AJ159" s="364"/>
      <c r="AK159" s="364"/>
      <c r="AL159" s="360">
        <f t="shared" si="8"/>
        <v>-48806.7</v>
      </c>
      <c r="AM159" s="362">
        <f>ERP_8[[#This Row],[2026 Working Total]]-ERP_8[[#This Row],[LE2 Final Submission]]</f>
        <v>-48806.7</v>
      </c>
      <c r="AN159" s="79"/>
      <c r="AO159" s="79">
        <f t="shared" si="9"/>
        <v>0</v>
      </c>
      <c r="AP159" s="374">
        <f>SUM(ERP_8[[#This Row],[AP01]:[AP07]])-SUM(ERP_8[[#This Row],[AP01 LE2]:[AP07 LE2]])</f>
        <v>-48806.7</v>
      </c>
      <c r="AQ159" s="80"/>
      <c r="AR159" s="79">
        <f>ERP_8[[#This Row],[2026 Working Total to Budget/LE]]-ERP_8[[#This Row],[Giveback]]</f>
        <v>-48806.7</v>
      </c>
      <c r="AS159" s="81"/>
      <c r="AT159" s="375"/>
      <c r="AU159" s="375"/>
      <c r="AV159" s="375"/>
      <c r="AW159" s="375"/>
      <c r="AX159" s="375"/>
      <c r="AY159" s="375"/>
      <c r="AZ159" s="375"/>
      <c r="BA159" s="375"/>
      <c r="BB159" s="375"/>
      <c r="BC159" s="375"/>
      <c r="BD159" s="375"/>
      <c r="BE159" s="375"/>
      <c r="BF159" s="375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</row>
    <row r="160" spans="1:71" ht="15" hidden="1" customHeight="1">
      <c r="A160" s="79" t="s">
        <v>1637</v>
      </c>
      <c r="B160" s="749" t="s">
        <v>1638</v>
      </c>
      <c r="C160" s="348"/>
      <c r="D160" s="347" t="str">
        <f>_xlfn.TEXTJOIN("_",FALSE,E160,ERP_8[[#This Row],[Expense Category]],ERP_8[[#This Row],[Project Code*]])</f>
        <v>Patel, Apurva_CONTRACTORS_IT-PBU1070-OT-IE-00</v>
      </c>
      <c r="E160" s="347" t="s">
        <v>1566</v>
      </c>
      <c r="F160" s="348"/>
      <c r="G160" s="150" t="s">
        <v>1136</v>
      </c>
      <c r="H160" s="150" t="s">
        <v>1345</v>
      </c>
      <c r="I160" s="332" t="s">
        <v>1346</v>
      </c>
      <c r="J160" s="333" t="s">
        <v>1346</v>
      </c>
      <c r="K160" s="514" t="s">
        <v>49</v>
      </c>
      <c r="L160" s="394"/>
      <c r="M160" s="333"/>
      <c r="N160" s="801">
        <v>2112070</v>
      </c>
      <c r="O160" s="90" t="s">
        <v>318</v>
      </c>
      <c r="P160" s="347"/>
      <c r="Q160" s="347"/>
      <c r="R160" s="348"/>
      <c r="S160" s="348"/>
      <c r="T160" s="348"/>
      <c r="U160" s="402"/>
      <c r="V160" s="358"/>
      <c r="W160" s="379"/>
      <c r="X160" s="425"/>
      <c r="Y160" s="71"/>
      <c r="Z160" s="784"/>
      <c r="AA160" s="794"/>
      <c r="AB160" s="794"/>
      <c r="AC160" s="429"/>
      <c r="AD160" s="429"/>
      <c r="AE160" s="429">
        <v>-1584</v>
      </c>
      <c r="AF160" s="429">
        <v>0</v>
      </c>
      <c r="AG160" s="364"/>
      <c r="AH160" s="364"/>
      <c r="AI160" s="364"/>
      <c r="AJ160" s="364"/>
      <c r="AK160" s="364"/>
      <c r="AL160" s="360">
        <f t="shared" si="8"/>
        <v>-1584</v>
      </c>
      <c r="AM160" s="362">
        <f>ERP_8[[#This Row],[2026 Working Total]]-ERP_8[[#This Row],[LE2 Final Submission]]</f>
        <v>-1584</v>
      </c>
      <c r="AN160" s="79"/>
      <c r="AO160" s="79">
        <f t="shared" si="9"/>
        <v>-1584</v>
      </c>
      <c r="AP160" s="374">
        <f>SUM(ERP_8[[#This Row],[AP01]:[AP07]])-SUM(ERP_8[[#This Row],[AP01 LE2]:[AP07 LE2]])</f>
        <v>-1584</v>
      </c>
      <c r="AQ160" s="80"/>
      <c r="AR160" s="79">
        <f>ERP_8[[#This Row],[2026 Working Total to Budget/LE]]-ERP_8[[#This Row],[Giveback]]</f>
        <v>-1584</v>
      </c>
      <c r="AS160" s="81"/>
      <c r="AT160" s="375"/>
      <c r="AU160" s="375"/>
      <c r="AV160" s="375"/>
      <c r="AW160" s="375"/>
      <c r="AX160" s="375"/>
      <c r="AY160" s="375"/>
      <c r="AZ160" s="375"/>
      <c r="BA160" s="375"/>
      <c r="BB160" s="375"/>
      <c r="BC160" s="375"/>
      <c r="BD160" s="375"/>
      <c r="BE160" s="375"/>
      <c r="BF160" s="375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</row>
    <row r="161" spans="1:71" ht="15" hidden="1" customHeight="1">
      <c r="A161" s="66" t="s">
        <v>1639</v>
      </c>
      <c r="B161" s="737" t="s">
        <v>1640</v>
      </c>
      <c r="C161" s="346"/>
      <c r="D161" s="343" t="str">
        <f>_xlfn.TEXTJOIN("_",FALSE,E161,ERP_8[[#This Row],[Expense Category]],ERP_8[[#This Row],[Project Code*]])</f>
        <v>Patel, Apurva_CONTRACTORS_MISC001</v>
      </c>
      <c r="E161" s="343" t="s">
        <v>1566</v>
      </c>
      <c r="F161" s="346"/>
      <c r="G161" s="150" t="s">
        <v>1136</v>
      </c>
      <c r="H161" s="150" t="s">
        <v>1345</v>
      </c>
      <c r="I161" s="150" t="s">
        <v>1346</v>
      </c>
      <c r="J161" s="150" t="s">
        <v>1346</v>
      </c>
      <c r="K161" s="511" t="s">
        <v>49</v>
      </c>
      <c r="L161" s="392" t="s">
        <v>1327</v>
      </c>
      <c r="M161" s="343"/>
      <c r="N161" s="800"/>
      <c r="O161" s="70" t="s">
        <v>147</v>
      </c>
      <c r="P161" s="346"/>
      <c r="Q161" s="343"/>
      <c r="R161" s="346"/>
      <c r="S161" s="150" t="s">
        <v>25</v>
      </c>
      <c r="T161" s="150"/>
      <c r="U161" s="403"/>
      <c r="V161" s="406">
        <v>0</v>
      </c>
      <c r="W161" s="406">
        <v>19969.14</v>
      </c>
      <c r="X161" s="425"/>
      <c r="Y161" s="71"/>
      <c r="Z161" s="784">
        <v>6818.85</v>
      </c>
      <c r="AA161" s="794">
        <v>9998.51</v>
      </c>
      <c r="AB161" s="794">
        <v>3151.78</v>
      </c>
      <c r="AC161" s="428">
        <v>13245.82</v>
      </c>
      <c r="AD161" s="429">
        <v>11713.649999999994</v>
      </c>
      <c r="AE161" s="429">
        <v>24135.279999999999</v>
      </c>
      <c r="AF161" s="429">
        <v>10980.219999999996</v>
      </c>
      <c r="AG161" s="360">
        <v>0</v>
      </c>
      <c r="AH161" s="360">
        <v>0</v>
      </c>
      <c r="AI161" s="360">
        <v>0</v>
      </c>
      <c r="AJ161" s="360">
        <v>0</v>
      </c>
      <c r="AK161" s="360">
        <v>0</v>
      </c>
      <c r="AL161" s="360">
        <f t="shared" si="8"/>
        <v>80044.109999999986</v>
      </c>
      <c r="AM161" s="362">
        <f>ERP_8[[#This Row],[2026 Working Total]]-ERP_8[[#This Row],[LE2 Final Submission]]</f>
        <v>60074.969999999987</v>
      </c>
      <c r="AN161" s="79">
        <v>0</v>
      </c>
      <c r="AO161" s="79">
        <f t="shared" si="9"/>
        <v>24135.279999999999</v>
      </c>
      <c r="AP161" s="374">
        <f>SUM(ERP_8[[#This Row],[AP01]:[AP07]])-SUM(ERP_8[[#This Row],[AP01 LE2]:[AP07 LE2]])</f>
        <v>60074.969999999987</v>
      </c>
      <c r="AQ161" s="80"/>
      <c r="AR161" s="79">
        <f>ERP_8[[#This Row],[2026 Working Total to Budget/LE]]-ERP_8[[#This Row],[Giveback]]</f>
        <v>60074.969999999987</v>
      </c>
      <c r="AS161" s="81"/>
      <c r="AT161" s="375">
        <v>6818.85</v>
      </c>
      <c r="AU161" s="375">
        <v>9998.51</v>
      </c>
      <c r="AV161" s="375">
        <v>3151.78</v>
      </c>
      <c r="AW161" s="375">
        <v>0</v>
      </c>
      <c r="AX161" s="375">
        <v>0</v>
      </c>
      <c r="AY161" s="375">
        <v>0</v>
      </c>
      <c r="AZ161" s="375">
        <v>0</v>
      </c>
      <c r="BA161" s="375">
        <v>0</v>
      </c>
      <c r="BB161" s="375">
        <v>0</v>
      </c>
      <c r="BC161" s="375">
        <v>0</v>
      </c>
      <c r="BD161" s="375">
        <v>0</v>
      </c>
      <c r="BE161" s="375">
        <v>0</v>
      </c>
      <c r="BF161" s="375">
        <v>19969.14</v>
      </c>
      <c r="BG161" s="79">
        <v>6818.85</v>
      </c>
      <c r="BH161" s="79">
        <v>9998.51</v>
      </c>
      <c r="BI161" s="79">
        <v>3151.78</v>
      </c>
      <c r="BJ161" s="79">
        <v>0</v>
      </c>
      <c r="BK161" s="79">
        <v>0</v>
      </c>
      <c r="BL161" s="79">
        <v>0</v>
      </c>
      <c r="BM161" s="79">
        <v>0</v>
      </c>
      <c r="BN161" s="79">
        <v>0</v>
      </c>
      <c r="BO161" s="79">
        <v>0</v>
      </c>
      <c r="BP161" s="79">
        <v>0</v>
      </c>
      <c r="BQ161" s="79">
        <v>0</v>
      </c>
      <c r="BR161" s="79">
        <v>0</v>
      </c>
      <c r="BS161" s="79">
        <v>19969.14</v>
      </c>
    </row>
    <row r="162" spans="1:71" ht="15" hidden="1" customHeight="1">
      <c r="A162" s="66" t="s">
        <v>1641</v>
      </c>
      <c r="B162" s="737" t="s">
        <v>1642</v>
      </c>
      <c r="C162" s="346"/>
      <c r="D162" s="343" t="str">
        <f>_xlfn.TEXTJOIN("_",FALSE,E162,ERP_8[[#This Row],[Expense Category]],ERP_8[[#This Row],[Project Code*]])</f>
        <v>Patel, Apurva_CONTRACTORS_MISC001</v>
      </c>
      <c r="E162" s="343" t="s">
        <v>1566</v>
      </c>
      <c r="F162" s="346"/>
      <c r="G162" s="150" t="s">
        <v>1136</v>
      </c>
      <c r="H162" s="150" t="s">
        <v>1567</v>
      </c>
      <c r="I162" s="150" t="s">
        <v>1567</v>
      </c>
      <c r="J162" s="150" t="s">
        <v>1567</v>
      </c>
      <c r="K162" s="511" t="s">
        <v>49</v>
      </c>
      <c r="L162" s="392" t="s">
        <v>1327</v>
      </c>
      <c r="M162" s="343"/>
      <c r="N162" s="800"/>
      <c r="O162" s="70" t="s">
        <v>147</v>
      </c>
      <c r="P162" s="346"/>
      <c r="Q162" s="343"/>
      <c r="R162" s="346"/>
      <c r="S162" s="150" t="s">
        <v>25</v>
      </c>
      <c r="T162" s="150"/>
      <c r="U162" s="403"/>
      <c r="V162" s="406">
        <v>0</v>
      </c>
      <c r="W162" s="406">
        <v>-2284.04</v>
      </c>
      <c r="X162" s="425"/>
      <c r="Y162" s="71"/>
      <c r="Z162" s="784">
        <v>0.08</v>
      </c>
      <c r="AA162" s="794">
        <v>-0.17</v>
      </c>
      <c r="AB162" s="794">
        <v>-2283.9499999999998</v>
      </c>
      <c r="AC162" s="428">
        <v>5124.1100000000006</v>
      </c>
      <c r="AD162" s="429">
        <v>-6526.2599999999993</v>
      </c>
      <c r="AE162" s="429">
        <v>97626.25</v>
      </c>
      <c r="AF162" s="429">
        <v>4186.92</v>
      </c>
      <c r="AG162" s="360">
        <v>0</v>
      </c>
      <c r="AH162" s="360">
        <v>0</v>
      </c>
      <c r="AI162" s="360">
        <v>0</v>
      </c>
      <c r="AJ162" s="360">
        <v>0</v>
      </c>
      <c r="AK162" s="360">
        <v>0</v>
      </c>
      <c r="AL162" s="360">
        <f t="shared" si="8"/>
        <v>98126.98</v>
      </c>
      <c r="AM162" s="362">
        <f>ERP_8[[#This Row],[2026 Working Total]]-ERP_8[[#This Row],[LE2 Final Submission]]</f>
        <v>100411.01999999999</v>
      </c>
      <c r="AN162" s="79">
        <v>0</v>
      </c>
      <c r="AO162" s="79">
        <f t="shared" si="9"/>
        <v>97626.25</v>
      </c>
      <c r="AP162" s="374">
        <f>SUM(ERP_8[[#This Row],[AP01]:[AP07]])-SUM(ERP_8[[#This Row],[AP01 LE2]:[AP07 LE2]])</f>
        <v>100411.01999999999</v>
      </c>
      <c r="AQ162" s="80"/>
      <c r="AR162" s="79">
        <f>ERP_8[[#This Row],[2026 Working Total to Budget/LE]]-ERP_8[[#This Row],[Giveback]]</f>
        <v>100411.01999999999</v>
      </c>
      <c r="AS162" s="81"/>
      <c r="AT162" s="375">
        <v>0.08</v>
      </c>
      <c r="AU162" s="375">
        <v>-0.17</v>
      </c>
      <c r="AV162" s="375">
        <v>-2283.9499999999998</v>
      </c>
      <c r="AW162" s="375">
        <v>0</v>
      </c>
      <c r="AX162" s="375">
        <v>0</v>
      </c>
      <c r="AY162" s="375">
        <v>0</v>
      </c>
      <c r="AZ162" s="375">
        <v>0</v>
      </c>
      <c r="BA162" s="375">
        <v>0</v>
      </c>
      <c r="BB162" s="375">
        <v>0</v>
      </c>
      <c r="BC162" s="375">
        <v>0</v>
      </c>
      <c r="BD162" s="375">
        <v>0</v>
      </c>
      <c r="BE162" s="375">
        <v>0</v>
      </c>
      <c r="BF162" s="375">
        <v>-2284.04</v>
      </c>
      <c r="BG162" s="79">
        <v>0.08</v>
      </c>
      <c r="BH162" s="79">
        <v>-0.17</v>
      </c>
      <c r="BI162" s="79">
        <v>-2283.9499999999998</v>
      </c>
      <c r="BJ162" s="79">
        <v>0</v>
      </c>
      <c r="BK162" s="79">
        <v>0</v>
      </c>
      <c r="BL162" s="79">
        <v>0</v>
      </c>
      <c r="BM162" s="79">
        <v>0</v>
      </c>
      <c r="BN162" s="79">
        <v>0</v>
      </c>
      <c r="BO162" s="79">
        <v>0</v>
      </c>
      <c r="BP162" s="79">
        <v>0</v>
      </c>
      <c r="BQ162" s="79">
        <v>0</v>
      </c>
      <c r="BR162" s="79">
        <v>0</v>
      </c>
      <c r="BS162" s="79">
        <v>-2284.04</v>
      </c>
    </row>
    <row r="163" spans="1:71" ht="15" hidden="1" customHeight="1">
      <c r="A163" s="66" t="s">
        <v>1643</v>
      </c>
      <c r="B163" s="737" t="s">
        <v>1644</v>
      </c>
      <c r="C163" s="346"/>
      <c r="D163" s="343" t="str">
        <f>_xlfn.TEXTJOIN("_",FALSE,E163,ERP_8[[#This Row],[Expense Category]],ERP_8[[#This Row],[Project Code*]])</f>
        <v>Patel, Apurva_CONTRACTORS_PR-320001-0000007901</v>
      </c>
      <c r="E163" s="343" t="s">
        <v>1566</v>
      </c>
      <c r="F163" s="346"/>
      <c r="G163" s="150" t="s">
        <v>1136</v>
      </c>
      <c r="H163" s="150" t="s">
        <v>1567</v>
      </c>
      <c r="I163" s="150" t="s">
        <v>1567</v>
      </c>
      <c r="J163" s="150" t="s">
        <v>1567</v>
      </c>
      <c r="K163" s="511" t="s">
        <v>49</v>
      </c>
      <c r="L163" s="392" t="s">
        <v>1645</v>
      </c>
      <c r="M163" s="343"/>
      <c r="N163" s="804">
        <v>2320347</v>
      </c>
      <c r="O163" s="70" t="s">
        <v>321</v>
      </c>
      <c r="P163" s="346"/>
      <c r="Q163" s="343"/>
      <c r="R163" s="346"/>
      <c r="S163" s="150" t="s">
        <v>25</v>
      </c>
      <c r="T163" s="150"/>
      <c r="U163" s="403"/>
      <c r="V163" s="406">
        <v>0</v>
      </c>
      <c r="W163" s="406">
        <v>7271.4</v>
      </c>
      <c r="X163" s="425"/>
      <c r="Y163" s="71"/>
      <c r="Z163" s="784"/>
      <c r="AA163" s="794">
        <v>7271.4</v>
      </c>
      <c r="AB163" s="794">
        <v>0</v>
      </c>
      <c r="AC163" s="428">
        <v>0</v>
      </c>
      <c r="AD163" s="429">
        <v>0</v>
      </c>
      <c r="AE163" s="429">
        <v>0</v>
      </c>
      <c r="AF163" s="429">
        <v>0</v>
      </c>
      <c r="AG163" s="360">
        <v>0</v>
      </c>
      <c r="AH163" s="360">
        <v>0</v>
      </c>
      <c r="AI163" s="360">
        <v>0</v>
      </c>
      <c r="AJ163" s="360">
        <v>0</v>
      </c>
      <c r="AK163" s="360">
        <v>0</v>
      </c>
      <c r="AL163" s="360">
        <f t="shared" si="8"/>
        <v>7271.4</v>
      </c>
      <c r="AM163" s="362">
        <f>ERP_8[[#This Row],[2026 Working Total]]-ERP_8[[#This Row],[LE2 Final Submission]]</f>
        <v>0</v>
      </c>
      <c r="AN163" s="79">
        <v>0</v>
      </c>
      <c r="AO163" s="79">
        <f t="shared" si="9"/>
        <v>0</v>
      </c>
      <c r="AP163" s="374">
        <f>SUM(ERP_8[[#This Row],[AP01]:[AP07]])-SUM(ERP_8[[#This Row],[AP01 LE2]:[AP07 LE2]])</f>
        <v>0</v>
      </c>
      <c r="AQ163" s="80"/>
      <c r="AR163" s="79">
        <f>ERP_8[[#This Row],[2026 Working Total to Budget/LE]]-ERP_8[[#This Row],[Giveback]]</f>
        <v>0</v>
      </c>
      <c r="AS163" s="81"/>
      <c r="AT163" s="375"/>
      <c r="AU163" s="375">
        <v>7271.4</v>
      </c>
      <c r="AV163" s="375">
        <v>0</v>
      </c>
      <c r="AW163" s="375">
        <v>0</v>
      </c>
      <c r="AX163" s="375">
        <v>0</v>
      </c>
      <c r="AY163" s="375">
        <v>0</v>
      </c>
      <c r="AZ163" s="375">
        <v>0</v>
      </c>
      <c r="BA163" s="375">
        <v>0</v>
      </c>
      <c r="BB163" s="375">
        <v>0</v>
      </c>
      <c r="BC163" s="375">
        <v>0</v>
      </c>
      <c r="BD163" s="375">
        <v>0</v>
      </c>
      <c r="BE163" s="375">
        <v>0</v>
      </c>
      <c r="BF163" s="375">
        <v>7271.4</v>
      </c>
      <c r="BG163" s="79"/>
      <c r="BH163" s="79">
        <v>7271.4</v>
      </c>
      <c r="BI163" s="79">
        <v>0</v>
      </c>
      <c r="BJ163" s="79">
        <v>0</v>
      </c>
      <c r="BK163" s="79">
        <v>0</v>
      </c>
      <c r="BL163" s="79">
        <v>0</v>
      </c>
      <c r="BM163" s="79">
        <v>0</v>
      </c>
      <c r="BN163" s="79">
        <v>0</v>
      </c>
      <c r="BO163" s="79">
        <v>0</v>
      </c>
      <c r="BP163" s="79">
        <v>0</v>
      </c>
      <c r="BQ163" s="79">
        <v>0</v>
      </c>
      <c r="BR163" s="79">
        <v>0</v>
      </c>
      <c r="BS163" s="79">
        <v>7271.4</v>
      </c>
    </row>
    <row r="164" spans="1:71" ht="15" hidden="1" customHeight="1">
      <c r="A164" s="66" t="s">
        <v>1646</v>
      </c>
      <c r="B164" s="737" t="s">
        <v>1647</v>
      </c>
      <c r="C164" s="346"/>
      <c r="D164" s="343" t="str">
        <f>_xlfn.TEXTJOIN("_",FALSE,E164,ERP_8[[#This Row],[Expense Category]],ERP_8[[#This Row],[Project Code*]])</f>
        <v>Patel, Apurva_CONTRACTORS_PR-587101-0000007986</v>
      </c>
      <c r="E164" s="343" t="s">
        <v>1566</v>
      </c>
      <c r="F164" s="346"/>
      <c r="G164" s="150" t="s">
        <v>1136</v>
      </c>
      <c r="H164" s="150" t="s">
        <v>1345</v>
      </c>
      <c r="I164" s="150" t="s">
        <v>1346</v>
      </c>
      <c r="J164" s="150" t="s">
        <v>1346</v>
      </c>
      <c r="K164" s="511" t="s">
        <v>49</v>
      </c>
      <c r="L164" s="392" t="s">
        <v>1648</v>
      </c>
      <c r="M164" s="343"/>
      <c r="N164" s="800"/>
      <c r="O164" s="70" t="s">
        <v>323</v>
      </c>
      <c r="P164" s="346"/>
      <c r="Q164" s="343"/>
      <c r="R164" s="346"/>
      <c r="S164" s="150" t="s">
        <v>25</v>
      </c>
      <c r="T164" s="150"/>
      <c r="U164" s="403"/>
      <c r="V164" s="406">
        <v>0</v>
      </c>
      <c r="W164" s="406">
        <v>130.62</v>
      </c>
      <c r="X164" s="425"/>
      <c r="Y164" s="71"/>
      <c r="Z164" s="784"/>
      <c r="AA164" s="794">
        <v>130.62</v>
      </c>
      <c r="AB164" s="794">
        <v>0</v>
      </c>
      <c r="AC164" s="428" t="s">
        <v>1142</v>
      </c>
      <c r="AD164" s="429">
        <v>0</v>
      </c>
      <c r="AE164" s="429">
        <v>0</v>
      </c>
      <c r="AF164" s="429" t="s">
        <v>1142</v>
      </c>
      <c r="AG164" s="360">
        <v>0</v>
      </c>
      <c r="AH164" s="360">
        <v>0</v>
      </c>
      <c r="AI164" s="360">
        <v>0</v>
      </c>
      <c r="AJ164" s="360">
        <v>0</v>
      </c>
      <c r="AK164" s="360">
        <v>0</v>
      </c>
      <c r="AL164" s="360">
        <f t="shared" si="8"/>
        <v>130.62</v>
      </c>
      <c r="AM164" s="362">
        <f>ERP_8[[#This Row],[2026 Working Total]]-ERP_8[[#This Row],[LE2 Final Submission]]</f>
        <v>0</v>
      </c>
      <c r="AN164" s="79">
        <v>0</v>
      </c>
      <c r="AO164" s="79">
        <f t="shared" si="9"/>
        <v>0</v>
      </c>
      <c r="AP164" s="374">
        <f>SUM(ERP_8[[#This Row],[AP01]:[AP07]])-SUM(ERP_8[[#This Row],[AP01 LE2]:[AP07 LE2]])</f>
        <v>0</v>
      </c>
      <c r="AQ164" s="80"/>
      <c r="AR164" s="79">
        <f>ERP_8[[#This Row],[2026 Working Total to Budget/LE]]-ERP_8[[#This Row],[Giveback]]</f>
        <v>0</v>
      </c>
      <c r="AS164" s="81"/>
      <c r="AT164" s="375"/>
      <c r="AU164" s="375">
        <v>130.62</v>
      </c>
      <c r="AV164" s="375">
        <v>0</v>
      </c>
      <c r="AW164" s="375">
        <v>0</v>
      </c>
      <c r="AX164" s="375">
        <v>0</v>
      </c>
      <c r="AY164" s="375">
        <v>0</v>
      </c>
      <c r="AZ164" s="375">
        <v>0</v>
      </c>
      <c r="BA164" s="375">
        <v>0</v>
      </c>
      <c r="BB164" s="375">
        <v>0</v>
      </c>
      <c r="BC164" s="375">
        <v>0</v>
      </c>
      <c r="BD164" s="375">
        <v>0</v>
      </c>
      <c r="BE164" s="375">
        <v>0</v>
      </c>
      <c r="BF164" s="375">
        <v>130.62</v>
      </c>
      <c r="BG164" s="79"/>
      <c r="BH164" s="79">
        <v>130.62</v>
      </c>
      <c r="BI164" s="79">
        <v>0</v>
      </c>
      <c r="BJ164" s="79">
        <v>0</v>
      </c>
      <c r="BK164" s="79">
        <v>0</v>
      </c>
      <c r="BL164" s="79">
        <v>0</v>
      </c>
      <c r="BM164" s="79">
        <v>0</v>
      </c>
      <c r="BN164" s="79">
        <v>0</v>
      </c>
      <c r="BO164" s="79">
        <v>0</v>
      </c>
      <c r="BP164" s="79">
        <v>0</v>
      </c>
      <c r="BQ164" s="79">
        <v>0</v>
      </c>
      <c r="BR164" s="79">
        <v>0</v>
      </c>
      <c r="BS164" s="79">
        <v>130.62</v>
      </c>
    </row>
    <row r="165" spans="1:71" ht="15" hidden="1" customHeight="1">
      <c r="A165" s="66" t="s">
        <v>1649</v>
      </c>
      <c r="B165" s="737" t="s">
        <v>324</v>
      </c>
      <c r="C165" s="346"/>
      <c r="D165" s="343" t="str">
        <f>_xlfn.TEXTJOIN("_",FALSE,E165,ERP_8[[#This Row],[Expense Category]],ERP_8[[#This Row],[Project Code*]])</f>
        <v>Robertson, Jerome_CONTRACTORS_EnhanceChargeout001</v>
      </c>
      <c r="E165" s="343" t="s">
        <v>1650</v>
      </c>
      <c r="F165" s="346"/>
      <c r="G165" s="150" t="s">
        <v>1136</v>
      </c>
      <c r="H165" s="150" t="s">
        <v>1650</v>
      </c>
      <c r="I165" s="150" t="s">
        <v>1650</v>
      </c>
      <c r="J165" s="150" t="s">
        <v>1650</v>
      </c>
      <c r="K165" s="511" t="s">
        <v>49</v>
      </c>
      <c r="L165" s="392" t="s">
        <v>1147</v>
      </c>
      <c r="M165" s="343"/>
      <c r="N165" s="800" t="s">
        <v>1651</v>
      </c>
      <c r="O165" s="70" t="s">
        <v>53</v>
      </c>
      <c r="P165" s="346" t="s">
        <v>1153</v>
      </c>
      <c r="Q165" s="343"/>
      <c r="R165" s="346"/>
      <c r="S165" s="150" t="s">
        <v>25</v>
      </c>
      <c r="T165" s="150" t="s">
        <v>1652</v>
      </c>
      <c r="U165" s="403"/>
      <c r="V165" s="406">
        <v>-99996</v>
      </c>
      <c r="W165" s="406">
        <v>-82720</v>
      </c>
      <c r="X165" s="425"/>
      <c r="Y165" s="71"/>
      <c r="Z165" s="784"/>
      <c r="AA165" s="794">
        <v>-54900</v>
      </c>
      <c r="AB165" s="794">
        <f>27080-54900</f>
        <v>-27820</v>
      </c>
      <c r="AC165" s="428">
        <v>28331</v>
      </c>
      <c r="AD165" s="429">
        <v>34717</v>
      </c>
      <c r="AE165" s="429">
        <v>17146.999999999996</v>
      </c>
      <c r="AF165" s="429">
        <v>13917.11</v>
      </c>
      <c r="AG165" s="363">
        <v>0</v>
      </c>
      <c r="AH165" s="363">
        <v>0</v>
      </c>
      <c r="AI165" s="363">
        <v>0</v>
      </c>
      <c r="AJ165" s="363">
        <v>0</v>
      </c>
      <c r="AK165" s="363">
        <v>0</v>
      </c>
      <c r="AL165" s="360">
        <f t="shared" si="8"/>
        <v>11392.109999999997</v>
      </c>
      <c r="AM165" s="362">
        <f>ERP_8[[#This Row],[2026 Working Total]]-ERP_8[[#This Row],[LE2 Final Submission]]</f>
        <v>94112.11</v>
      </c>
      <c r="AN165" s="79">
        <v>0</v>
      </c>
      <c r="AO165" s="79">
        <f t="shared" si="9"/>
        <v>17146.999999999996</v>
      </c>
      <c r="AP165" s="374">
        <f>SUM(ERP_8[[#This Row],[AP01]:[AP07]])-SUM(ERP_8[[#This Row],[AP01 LE2]:[AP07 LE2]])</f>
        <v>94112.11</v>
      </c>
      <c r="AQ165" s="80"/>
      <c r="AR165" s="79">
        <f>ERP_8[[#This Row],[2026 Working Total to Budget/LE]]-ERP_8[[#This Row],[Giveback]]</f>
        <v>94112.11</v>
      </c>
      <c r="AS165" s="81"/>
      <c r="AT165" s="375"/>
      <c r="AU165" s="375">
        <v>-54900</v>
      </c>
      <c r="AV165" s="375">
        <v>-27820</v>
      </c>
      <c r="AW165" s="375">
        <v>0</v>
      </c>
      <c r="AX165" s="375">
        <v>0</v>
      </c>
      <c r="AY165" s="375">
        <v>0</v>
      </c>
      <c r="AZ165" s="375">
        <v>0</v>
      </c>
      <c r="BA165" s="375">
        <v>0</v>
      </c>
      <c r="BB165" s="375">
        <v>0</v>
      </c>
      <c r="BC165" s="375">
        <v>0</v>
      </c>
      <c r="BD165" s="375">
        <v>0</v>
      </c>
      <c r="BE165" s="375">
        <v>0</v>
      </c>
      <c r="BF165" s="375">
        <v>-82720</v>
      </c>
      <c r="BG165" s="79"/>
      <c r="BH165" s="79">
        <v>-54900</v>
      </c>
      <c r="BI165" s="79">
        <v>27080</v>
      </c>
      <c r="BJ165" s="79">
        <v>-8333</v>
      </c>
      <c r="BK165" s="79">
        <v>-8333</v>
      </c>
      <c r="BL165" s="79">
        <v>-8333</v>
      </c>
      <c r="BM165" s="79">
        <v>-8333</v>
      </c>
      <c r="BN165" s="79">
        <v>-8333</v>
      </c>
      <c r="BO165" s="79">
        <v>-8333</v>
      </c>
      <c r="BP165" s="79">
        <v>-8333</v>
      </c>
      <c r="BQ165" s="79">
        <v>-8333</v>
      </c>
      <c r="BR165" s="79">
        <v>-8333</v>
      </c>
      <c r="BS165" s="79">
        <v>-102817</v>
      </c>
    </row>
    <row r="166" spans="1:71" ht="15" hidden="1" customHeight="1">
      <c r="A166" s="66" t="s">
        <v>1653</v>
      </c>
      <c r="B166" s="737" t="s">
        <v>325</v>
      </c>
      <c r="C166" s="346"/>
      <c r="D166" s="343" t="str">
        <f>_xlfn.TEXTJOIN("_",FALSE,E166,ERP_8[[#This Row],[Expense Category]],ERP_8[[#This Row],[Project Code*]])</f>
        <v>Robertson, Jerome_CONTRACTORS_EP&amp;SCharges001</v>
      </c>
      <c r="E166" s="343" t="s">
        <v>1650</v>
      </c>
      <c r="F166" s="346"/>
      <c r="G166" s="150" t="s">
        <v>1136</v>
      </c>
      <c r="H166" s="150" t="s">
        <v>1650</v>
      </c>
      <c r="I166" s="150" t="s">
        <v>1650</v>
      </c>
      <c r="J166" s="150" t="s">
        <v>1650</v>
      </c>
      <c r="K166" s="511" t="s">
        <v>49</v>
      </c>
      <c r="L166" s="392" t="s">
        <v>1174</v>
      </c>
      <c r="M166" s="343"/>
      <c r="N166" s="804">
        <v>1696680</v>
      </c>
      <c r="O166" s="70" t="s">
        <v>56</v>
      </c>
      <c r="P166" s="346"/>
      <c r="Q166" s="346" t="s">
        <v>1140</v>
      </c>
      <c r="R166" s="346"/>
      <c r="S166" s="150" t="s">
        <v>57</v>
      </c>
      <c r="T166" s="150"/>
      <c r="U166" s="403"/>
      <c r="V166" s="406">
        <v>0</v>
      </c>
      <c r="W166" s="406">
        <v>400</v>
      </c>
      <c r="X166" s="425"/>
      <c r="Y166" s="71"/>
      <c r="Z166" s="784"/>
      <c r="AA166" s="794">
        <v>400</v>
      </c>
      <c r="AB166" s="794">
        <v>0</v>
      </c>
      <c r="AC166" s="428">
        <v>0</v>
      </c>
      <c r="AD166" s="429">
        <v>0</v>
      </c>
      <c r="AE166" s="429">
        <v>0</v>
      </c>
      <c r="AF166" s="429">
        <v>0</v>
      </c>
      <c r="AG166" s="360">
        <v>0</v>
      </c>
      <c r="AH166" s="360">
        <v>0</v>
      </c>
      <c r="AI166" s="360">
        <v>0</v>
      </c>
      <c r="AJ166" s="360">
        <v>0</v>
      </c>
      <c r="AK166" s="360">
        <v>0</v>
      </c>
      <c r="AL166" s="360">
        <f t="shared" si="8"/>
        <v>400</v>
      </c>
      <c r="AM166" s="362">
        <f>ERP_8[[#This Row],[2026 Working Total]]-ERP_8[[#This Row],[LE2 Final Submission]]</f>
        <v>0</v>
      </c>
      <c r="AN166" s="79">
        <v>0</v>
      </c>
      <c r="AO166" s="79">
        <f t="shared" si="9"/>
        <v>0</v>
      </c>
      <c r="AP166" s="374">
        <f>SUM(ERP_8[[#This Row],[AP01]:[AP07]])-SUM(ERP_8[[#This Row],[AP01 LE2]:[AP07 LE2]])</f>
        <v>0</v>
      </c>
      <c r="AQ166" s="80"/>
      <c r="AR166" s="79">
        <f>ERP_8[[#This Row],[2026 Working Total to Budget/LE]]-ERP_8[[#This Row],[Giveback]]</f>
        <v>0</v>
      </c>
      <c r="AS166" s="81"/>
      <c r="AT166" s="375"/>
      <c r="AU166" s="375">
        <v>400</v>
      </c>
      <c r="AV166" s="375">
        <v>0</v>
      </c>
      <c r="AW166" s="375">
        <v>0</v>
      </c>
      <c r="AX166" s="375">
        <v>0</v>
      </c>
      <c r="AY166" s="375">
        <v>0</v>
      </c>
      <c r="AZ166" s="375">
        <v>0</v>
      </c>
      <c r="BA166" s="375">
        <v>0</v>
      </c>
      <c r="BB166" s="375">
        <v>0</v>
      </c>
      <c r="BC166" s="375">
        <v>0</v>
      </c>
      <c r="BD166" s="375">
        <v>0</v>
      </c>
      <c r="BE166" s="375">
        <v>0</v>
      </c>
      <c r="BF166" s="375">
        <v>400</v>
      </c>
      <c r="BG166" s="79"/>
      <c r="BH166" s="79">
        <v>400</v>
      </c>
      <c r="BI166" s="79">
        <v>0</v>
      </c>
      <c r="BJ166" s="79">
        <v>0</v>
      </c>
      <c r="BK166" s="79">
        <v>0</v>
      </c>
      <c r="BL166" s="79">
        <v>0</v>
      </c>
      <c r="BM166" s="79">
        <v>0</v>
      </c>
      <c r="BN166" s="79">
        <v>0</v>
      </c>
      <c r="BO166" s="79">
        <v>0</v>
      </c>
      <c r="BP166" s="79">
        <v>0</v>
      </c>
      <c r="BQ166" s="79">
        <v>0</v>
      </c>
      <c r="BR166" s="79">
        <v>0</v>
      </c>
      <c r="BS166" s="79">
        <v>400</v>
      </c>
    </row>
    <row r="167" spans="1:71" ht="15" hidden="1" customHeight="1">
      <c r="A167" s="66" t="s">
        <v>1654</v>
      </c>
      <c r="B167" s="737" t="s">
        <v>326</v>
      </c>
      <c r="C167" s="346"/>
      <c r="D167" s="343" t="str">
        <f>_xlfn.TEXTJOIN("_",FALSE,E167,ERP_8[[#This Row],[Expense Category]],ERP_8[[#This Row],[Project Code*]])</f>
        <v>Robertson, Jerome_CONTRACTORS_IT-FBT0572-OG-US-00</v>
      </c>
      <c r="E167" s="343" t="s">
        <v>1650</v>
      </c>
      <c r="F167" s="346"/>
      <c r="G167" s="150" t="s">
        <v>1136</v>
      </c>
      <c r="H167" s="150" t="s">
        <v>1650</v>
      </c>
      <c r="I167" s="150" t="s">
        <v>1650</v>
      </c>
      <c r="J167" s="150" t="s">
        <v>1650</v>
      </c>
      <c r="K167" s="511" t="s">
        <v>49</v>
      </c>
      <c r="L167" s="392" t="s">
        <v>1655</v>
      </c>
      <c r="M167" s="343"/>
      <c r="N167" s="804">
        <v>1696680</v>
      </c>
      <c r="O167" s="70" t="s">
        <v>327</v>
      </c>
      <c r="P167" s="346"/>
      <c r="Q167" s="343"/>
      <c r="R167" s="346"/>
      <c r="S167" s="150" t="s">
        <v>328</v>
      </c>
      <c r="T167" s="150" t="s">
        <v>1656</v>
      </c>
      <c r="U167" s="403"/>
      <c r="V167" s="406">
        <v>224004</v>
      </c>
      <c r="W167" s="406">
        <v>53297.440000000002</v>
      </c>
      <c r="X167" s="425"/>
      <c r="Y167" s="71"/>
      <c r="Z167" s="784">
        <v>15089.11</v>
      </c>
      <c r="AA167" s="794">
        <v>16899.45</v>
      </c>
      <c r="AB167" s="794">
        <v>21308.880000000001</v>
      </c>
      <c r="AC167" s="428">
        <v>16899.62</v>
      </c>
      <c r="AD167" s="429">
        <v>-34566.71</v>
      </c>
      <c r="AE167" s="429">
        <v>0</v>
      </c>
      <c r="AF167" s="429">
        <v>0</v>
      </c>
      <c r="AG167" s="363">
        <v>0</v>
      </c>
      <c r="AH167" s="363">
        <v>0</v>
      </c>
      <c r="AI167" s="363">
        <v>0</v>
      </c>
      <c r="AJ167" s="363">
        <v>0</v>
      </c>
      <c r="AK167" s="363">
        <v>0</v>
      </c>
      <c r="AL167" s="360">
        <f t="shared" si="8"/>
        <v>35630.35</v>
      </c>
      <c r="AM167" s="362">
        <f>ERP_8[[#This Row],[2026 Working Total]]-ERP_8[[#This Row],[LE2 Final Submission]]</f>
        <v>-17667.090000000004</v>
      </c>
      <c r="AN167" s="79">
        <v>0</v>
      </c>
      <c r="AO167" s="79">
        <f t="shared" si="9"/>
        <v>0</v>
      </c>
      <c r="AP167" s="374">
        <f>SUM(ERP_8[[#This Row],[AP01]:[AP07]])-SUM(ERP_8[[#This Row],[AP01 LE2]:[AP07 LE2]])</f>
        <v>-17667.090000000004</v>
      </c>
      <c r="AQ167" s="80"/>
      <c r="AR167" s="79">
        <f>ERP_8[[#This Row],[2026 Working Total to Budget/LE]]-ERP_8[[#This Row],[Giveback]]</f>
        <v>-17667.090000000004</v>
      </c>
      <c r="AS167" s="81"/>
      <c r="AT167" s="375">
        <v>15089.11</v>
      </c>
      <c r="AU167" s="375">
        <v>16899.45</v>
      </c>
      <c r="AV167" s="375">
        <v>21308.880000000001</v>
      </c>
      <c r="AW167" s="375">
        <v>0</v>
      </c>
      <c r="AX167" s="375">
        <v>0</v>
      </c>
      <c r="AY167" s="375">
        <v>0</v>
      </c>
      <c r="AZ167" s="375">
        <v>0</v>
      </c>
      <c r="BA167" s="375">
        <v>0</v>
      </c>
      <c r="BB167" s="375">
        <v>0</v>
      </c>
      <c r="BC167" s="375">
        <v>0</v>
      </c>
      <c r="BD167" s="375">
        <v>0</v>
      </c>
      <c r="BE167" s="375">
        <v>0</v>
      </c>
      <c r="BF167" s="375">
        <v>53297.440000000002</v>
      </c>
      <c r="BG167" s="79">
        <v>15089.11</v>
      </c>
      <c r="BH167" s="79">
        <v>16899.45</v>
      </c>
      <c r="BI167" s="79">
        <v>21308.880000000001</v>
      </c>
      <c r="BJ167" s="79">
        <v>18667</v>
      </c>
      <c r="BK167" s="79">
        <v>18667</v>
      </c>
      <c r="BL167" s="79">
        <v>18667</v>
      </c>
      <c r="BM167" s="79">
        <v>18667</v>
      </c>
      <c r="BN167" s="79">
        <v>18667</v>
      </c>
      <c r="BO167" s="79">
        <v>18667</v>
      </c>
      <c r="BP167" s="79">
        <v>18667</v>
      </c>
      <c r="BQ167" s="79">
        <v>18667</v>
      </c>
      <c r="BR167" s="79">
        <v>18667</v>
      </c>
      <c r="BS167" s="79">
        <v>221300.44</v>
      </c>
    </row>
    <row r="168" spans="1:71" ht="15" hidden="1" customHeight="1">
      <c r="A168" s="66" t="s">
        <v>1657</v>
      </c>
      <c r="B168" s="737" t="s">
        <v>329</v>
      </c>
      <c r="C168" s="346"/>
      <c r="D168" s="343" t="str">
        <f>_xlfn.TEXTJOIN("_",FALSE,E168,ERP_8[[#This Row],[Expense Category]],ERP_8[[#This Row],[Project Code*]])</f>
        <v>Robertson, Jerome_CONTRACTORS_IT-FBT0573-OG-US-00</v>
      </c>
      <c r="E168" s="343" t="s">
        <v>1650</v>
      </c>
      <c r="F168" s="346"/>
      <c r="G168" s="150" t="s">
        <v>1136</v>
      </c>
      <c r="H168" s="150" t="s">
        <v>1650</v>
      </c>
      <c r="I168" s="150" t="s">
        <v>1650</v>
      </c>
      <c r="J168" s="150" t="s">
        <v>1650</v>
      </c>
      <c r="K168" s="511" t="s">
        <v>49</v>
      </c>
      <c r="L168" s="392" t="s">
        <v>1658</v>
      </c>
      <c r="M168" s="343"/>
      <c r="N168" s="804">
        <v>1696680</v>
      </c>
      <c r="O168" s="70" t="s">
        <v>330</v>
      </c>
      <c r="P168" s="346"/>
      <c r="Q168" s="343"/>
      <c r="R168" s="346"/>
      <c r="S168" s="150" t="s">
        <v>67</v>
      </c>
      <c r="T168" s="150"/>
      <c r="U168" s="403"/>
      <c r="V168" s="406">
        <v>0</v>
      </c>
      <c r="W168" s="406">
        <v>112717.21</v>
      </c>
      <c r="X168" s="425"/>
      <c r="Y168" s="71"/>
      <c r="Z168" s="784">
        <v>94047.88</v>
      </c>
      <c r="AA168" s="794">
        <v>124852.13</v>
      </c>
      <c r="AB168" s="794">
        <v>-106182.8</v>
      </c>
      <c r="AC168" s="428">
        <v>0</v>
      </c>
      <c r="AD168" s="429">
        <v>0</v>
      </c>
      <c r="AE168" s="429">
        <v>0</v>
      </c>
      <c r="AF168" s="429">
        <v>0</v>
      </c>
      <c r="AG168" s="360">
        <v>0</v>
      </c>
      <c r="AH168" s="360">
        <v>0</v>
      </c>
      <c r="AI168" s="360">
        <v>0</v>
      </c>
      <c r="AJ168" s="360">
        <v>0</v>
      </c>
      <c r="AK168" s="360">
        <v>0</v>
      </c>
      <c r="AL168" s="360">
        <f t="shared" ref="AL168:AL198" si="10">SUM(Z168:AK168)</f>
        <v>112717.21</v>
      </c>
      <c r="AM168" s="362">
        <f>ERP_8[[#This Row],[2026 Working Total]]-ERP_8[[#This Row],[LE2 Final Submission]]</f>
        <v>0</v>
      </c>
      <c r="AN168" s="79">
        <v>0</v>
      </c>
      <c r="AO168" s="79">
        <f t="shared" ref="AO168:AO198" si="11">$AE168 - $AN168</f>
        <v>0</v>
      </c>
      <c r="AP168" s="374">
        <f>SUM(ERP_8[[#This Row],[AP01]:[AP07]])-SUM(ERP_8[[#This Row],[AP01 LE2]:[AP07 LE2]])</f>
        <v>0</v>
      </c>
      <c r="AQ168" s="80"/>
      <c r="AR168" s="79">
        <f>ERP_8[[#This Row],[2026 Working Total to Budget/LE]]-ERP_8[[#This Row],[Giveback]]</f>
        <v>0</v>
      </c>
      <c r="AS168" s="81"/>
      <c r="AT168" s="375">
        <v>94047.88</v>
      </c>
      <c r="AU168" s="375">
        <v>124852.13</v>
      </c>
      <c r="AV168" s="375">
        <v>-106182.8</v>
      </c>
      <c r="AW168" s="375">
        <v>0</v>
      </c>
      <c r="AX168" s="375">
        <v>0</v>
      </c>
      <c r="AY168" s="375">
        <v>0</v>
      </c>
      <c r="AZ168" s="375">
        <v>0</v>
      </c>
      <c r="BA168" s="375">
        <v>0</v>
      </c>
      <c r="BB168" s="375">
        <v>0</v>
      </c>
      <c r="BC168" s="375">
        <v>0</v>
      </c>
      <c r="BD168" s="375">
        <v>0</v>
      </c>
      <c r="BE168" s="375">
        <v>0</v>
      </c>
      <c r="BF168" s="375">
        <v>112717.21</v>
      </c>
      <c r="BG168" s="79">
        <v>94047.88</v>
      </c>
      <c r="BH168" s="79">
        <v>124852.13</v>
      </c>
      <c r="BI168" s="79">
        <v>-106182.8</v>
      </c>
      <c r="BJ168" s="79">
        <v>0</v>
      </c>
      <c r="BK168" s="79">
        <v>0</v>
      </c>
      <c r="BL168" s="79">
        <v>0</v>
      </c>
      <c r="BM168" s="79">
        <v>0</v>
      </c>
      <c r="BN168" s="79">
        <v>0</v>
      </c>
      <c r="BO168" s="79">
        <v>0</v>
      </c>
      <c r="BP168" s="79">
        <v>0</v>
      </c>
      <c r="BQ168" s="79">
        <v>0</v>
      </c>
      <c r="BR168" s="79">
        <v>0</v>
      </c>
      <c r="BS168" s="79">
        <v>112717.21</v>
      </c>
    </row>
    <row r="169" spans="1:71" ht="15" hidden="1" customHeight="1">
      <c r="A169" s="66" t="s">
        <v>1659</v>
      </c>
      <c r="B169" s="737" t="s">
        <v>331</v>
      </c>
      <c r="C169" s="346"/>
      <c r="D169" s="343" t="str">
        <f>_xlfn.TEXTJOIN("_",FALSE,E169,ERP_8[[#This Row],[Expense Category]],ERP_8[[#This Row],[Project Code*]])</f>
        <v>Robertson, Jerome_CONTRACTORS_MISC001</v>
      </c>
      <c r="E169" s="343" t="s">
        <v>1650</v>
      </c>
      <c r="F169" s="346"/>
      <c r="G169" s="150" t="s">
        <v>1136</v>
      </c>
      <c r="H169" s="150" t="s">
        <v>1650</v>
      </c>
      <c r="I169" s="150" t="s">
        <v>1650</v>
      </c>
      <c r="J169" s="150" t="s">
        <v>1650</v>
      </c>
      <c r="K169" s="511" t="s">
        <v>49</v>
      </c>
      <c r="L169" s="392" t="s">
        <v>1327</v>
      </c>
      <c r="M169" s="343"/>
      <c r="N169" s="800" t="s">
        <v>1660</v>
      </c>
      <c r="O169" s="70" t="s">
        <v>147</v>
      </c>
      <c r="P169" s="346"/>
      <c r="Q169" s="343"/>
      <c r="R169" s="346"/>
      <c r="S169" s="150" t="s">
        <v>25</v>
      </c>
      <c r="T169" s="150"/>
      <c r="U169" s="403"/>
      <c r="V169" s="406">
        <v>0</v>
      </c>
      <c r="W169" s="406">
        <v>79.110000000000298</v>
      </c>
      <c r="X169" s="425"/>
      <c r="Y169" s="71"/>
      <c r="Z169" s="784">
        <v>0.01</v>
      </c>
      <c r="AA169" s="794">
        <v>0.42</v>
      </c>
      <c r="AB169" s="794">
        <f>-54821.32+54900</f>
        <v>78.680000000000291</v>
      </c>
      <c r="AC169" s="428">
        <v>-0.62</v>
      </c>
      <c r="AD169" s="481">
        <v>-20720.55</v>
      </c>
      <c r="AE169" s="429">
        <v>0</v>
      </c>
      <c r="AF169" s="429">
        <v>0</v>
      </c>
      <c r="AG169" s="360">
        <v>0</v>
      </c>
      <c r="AH169" s="360">
        <v>0</v>
      </c>
      <c r="AI169" s="360">
        <v>0</v>
      </c>
      <c r="AJ169" s="360">
        <v>0</v>
      </c>
      <c r="AK169" s="360">
        <v>0</v>
      </c>
      <c r="AL169" s="360">
        <f t="shared" si="10"/>
        <v>-20642.059999999998</v>
      </c>
      <c r="AM169" s="362">
        <f>ERP_8[[#This Row],[2026 Working Total]]-ERP_8[[#This Row],[LE2 Final Submission]]</f>
        <v>-20721.169999999998</v>
      </c>
      <c r="AN169" s="79">
        <v>0</v>
      </c>
      <c r="AO169" s="79">
        <f t="shared" si="11"/>
        <v>0</v>
      </c>
      <c r="AP169" s="374">
        <f>SUM(ERP_8[[#This Row],[AP01]:[AP07]])-SUM(ERP_8[[#This Row],[AP01 LE2]:[AP07 LE2]])</f>
        <v>-20721.169999999998</v>
      </c>
      <c r="AQ169" s="80"/>
      <c r="AR169" s="79">
        <f>ERP_8[[#This Row],[2026 Working Total to Budget/LE]]-ERP_8[[#This Row],[Giveback]]</f>
        <v>-20721.169999999998</v>
      </c>
      <c r="AS169" s="81"/>
      <c r="AT169" s="375">
        <v>0.01</v>
      </c>
      <c r="AU169" s="375">
        <v>0.42</v>
      </c>
      <c r="AV169" s="375">
        <v>78.680000000000291</v>
      </c>
      <c r="AW169" s="375">
        <v>0</v>
      </c>
      <c r="AX169" s="375">
        <v>0</v>
      </c>
      <c r="AY169" s="375">
        <v>0</v>
      </c>
      <c r="AZ169" s="375">
        <v>0</v>
      </c>
      <c r="BA169" s="375">
        <v>0</v>
      </c>
      <c r="BB169" s="375">
        <v>0</v>
      </c>
      <c r="BC169" s="375">
        <v>0</v>
      </c>
      <c r="BD169" s="375">
        <v>0</v>
      </c>
      <c r="BE169" s="375">
        <v>0</v>
      </c>
      <c r="BF169" s="375">
        <v>79.110000000000298</v>
      </c>
      <c r="BG169" s="79">
        <v>0.01</v>
      </c>
      <c r="BH169" s="79">
        <v>0.42</v>
      </c>
      <c r="BI169" s="79">
        <v>-54821.32</v>
      </c>
      <c r="BJ169" s="79">
        <v>0</v>
      </c>
      <c r="BK169" s="79">
        <v>0</v>
      </c>
      <c r="BL169" s="79">
        <v>0</v>
      </c>
      <c r="BM169" s="79">
        <v>0</v>
      </c>
      <c r="BN169" s="79">
        <v>0</v>
      </c>
      <c r="BO169" s="79">
        <v>0</v>
      </c>
      <c r="BP169" s="79">
        <v>0</v>
      </c>
      <c r="BQ169" s="79">
        <v>0</v>
      </c>
      <c r="BR169" s="79">
        <v>0</v>
      </c>
      <c r="BS169" s="79">
        <v>-54820.89</v>
      </c>
    </row>
    <row r="170" spans="1:71" ht="15" hidden="1" customHeight="1">
      <c r="A170" s="66" t="s">
        <v>1661</v>
      </c>
      <c r="B170" s="737" t="s">
        <v>1662</v>
      </c>
      <c r="C170" s="346"/>
      <c r="D170" s="343" t="str">
        <f>_xlfn.TEXTJOIN("_",FALSE,E170,ERP_8[[#This Row],[Expense Category]],ERP_8[[#This Row],[Project Code*]])</f>
        <v>Dougherty, Chris_DEPRECIATION_ERP_Depre001</v>
      </c>
      <c r="E170" s="343" t="s">
        <v>1135</v>
      </c>
      <c r="F170" s="346"/>
      <c r="G170" s="150" t="s">
        <v>1136</v>
      </c>
      <c r="H170" s="150" t="s">
        <v>1135</v>
      </c>
      <c r="I170" s="150" t="s">
        <v>1137</v>
      </c>
      <c r="J170" s="150" t="s">
        <v>1137</v>
      </c>
      <c r="K170" s="511" t="s">
        <v>333</v>
      </c>
      <c r="L170" s="392" t="s">
        <v>1663</v>
      </c>
      <c r="M170" s="343"/>
      <c r="N170" s="800"/>
      <c r="O170" s="70" t="s">
        <v>336</v>
      </c>
      <c r="P170" s="346"/>
      <c r="Q170" s="346" t="s">
        <v>1140</v>
      </c>
      <c r="R170" s="346"/>
      <c r="S170" s="150" t="s">
        <v>25</v>
      </c>
      <c r="T170" s="150" t="s">
        <v>1664</v>
      </c>
      <c r="U170" s="403"/>
      <c r="V170" s="406">
        <v>0</v>
      </c>
      <c r="W170" s="406">
        <v>22573.91</v>
      </c>
      <c r="X170" s="425"/>
      <c r="Y170" s="71"/>
      <c r="Z170" s="784">
        <v>656</v>
      </c>
      <c r="AA170" s="794">
        <v>1537.91</v>
      </c>
      <c r="AB170" s="794">
        <v>2038</v>
      </c>
      <c r="AC170" s="428">
        <v>1762</v>
      </c>
      <c r="AD170" s="429">
        <v>2888.0000000000005</v>
      </c>
      <c r="AE170" s="429">
        <v>1761.9999999999998</v>
      </c>
      <c r="AF170" s="429">
        <v>1762</v>
      </c>
      <c r="AG170" s="363">
        <v>2038</v>
      </c>
      <c r="AH170" s="363">
        <v>2038</v>
      </c>
      <c r="AI170" s="363">
        <v>2038</v>
      </c>
      <c r="AJ170" s="363">
        <v>2038</v>
      </c>
      <c r="AK170" s="363">
        <v>2038</v>
      </c>
      <c r="AL170" s="360">
        <f t="shared" si="10"/>
        <v>22595.91</v>
      </c>
      <c r="AM170" s="362">
        <f>ERP_8[[#This Row],[2026 Working Total]]-ERP_8[[#This Row],[LE2 Final Submission]]</f>
        <v>22</v>
      </c>
      <c r="AN170" s="79">
        <v>0</v>
      </c>
      <c r="AO170" s="79">
        <f t="shared" si="11"/>
        <v>1761.9999999999998</v>
      </c>
      <c r="AP170" s="374">
        <f>SUM(ERP_8[[#This Row],[AP01]:[AP07]])-SUM(ERP_8[[#This Row],[AP01 LE2]:[AP07 LE2]])</f>
        <v>22</v>
      </c>
      <c r="AQ170" s="80"/>
      <c r="AR170" s="79">
        <f>ERP_8[[#This Row],[2026 Working Total to Budget/LE]]-ERP_8[[#This Row],[Giveback]]</f>
        <v>22</v>
      </c>
      <c r="AS170" s="81"/>
      <c r="AT170" s="375">
        <v>656</v>
      </c>
      <c r="AU170" s="375">
        <v>1537.91</v>
      </c>
      <c r="AV170" s="375">
        <v>2038</v>
      </c>
      <c r="AW170" s="375">
        <v>2038</v>
      </c>
      <c r="AX170" s="375">
        <v>2038</v>
      </c>
      <c r="AY170" s="375">
        <v>2038</v>
      </c>
      <c r="AZ170" s="375">
        <v>2038</v>
      </c>
      <c r="BA170" s="375">
        <v>2038</v>
      </c>
      <c r="BB170" s="375">
        <v>2038</v>
      </c>
      <c r="BC170" s="375">
        <v>2038</v>
      </c>
      <c r="BD170" s="375">
        <v>2038</v>
      </c>
      <c r="BE170" s="375">
        <v>2038</v>
      </c>
      <c r="BF170" s="375">
        <v>22573.91</v>
      </c>
      <c r="BG170" s="79">
        <v>656</v>
      </c>
      <c r="BH170" s="79">
        <v>1537.91</v>
      </c>
      <c r="BI170" s="79">
        <v>2038</v>
      </c>
      <c r="BJ170" s="79">
        <v>0</v>
      </c>
      <c r="BK170" s="79">
        <v>0</v>
      </c>
      <c r="BL170" s="79">
        <v>0</v>
      </c>
      <c r="BM170" s="79">
        <v>0</v>
      </c>
      <c r="BN170" s="79">
        <v>0</v>
      </c>
      <c r="BO170" s="79">
        <v>0</v>
      </c>
      <c r="BP170" s="79">
        <v>0</v>
      </c>
      <c r="BQ170" s="79">
        <v>0</v>
      </c>
      <c r="BR170" s="79">
        <v>0</v>
      </c>
      <c r="BS170" s="79">
        <v>4231.91</v>
      </c>
    </row>
    <row r="171" spans="1:71" s="501" customFormat="1" ht="15" hidden="1" customHeight="1">
      <c r="A171" s="66" t="s">
        <v>1665</v>
      </c>
      <c r="B171" s="737" t="s">
        <v>335</v>
      </c>
      <c r="C171" s="346"/>
      <c r="D171" s="343" t="str">
        <f>_xlfn.TEXTJOIN("_",FALSE,E171,ERP_8[[#This Row],[Expense Category]],ERP_8[[#This Row],[Project Code*]])</f>
        <v>Ganesan, Srinivasan_DEPRECIATION_ERP_Depre001</v>
      </c>
      <c r="E171" s="343" t="s">
        <v>1344</v>
      </c>
      <c r="F171" s="346"/>
      <c r="G171" s="150" t="s">
        <v>1136</v>
      </c>
      <c r="H171" s="150" t="s">
        <v>1345</v>
      </c>
      <c r="I171" s="150" t="s">
        <v>1344</v>
      </c>
      <c r="J171" s="150" t="s">
        <v>1346</v>
      </c>
      <c r="K171" s="511" t="s">
        <v>333</v>
      </c>
      <c r="L171" s="392" t="s">
        <v>1663</v>
      </c>
      <c r="M171" s="343"/>
      <c r="N171" s="804">
        <v>2687857</v>
      </c>
      <c r="O171" s="70" t="s">
        <v>336</v>
      </c>
      <c r="P171" s="346"/>
      <c r="Q171" s="346" t="s">
        <v>1140</v>
      </c>
      <c r="R171" s="346"/>
      <c r="S171" s="150" t="s">
        <v>25</v>
      </c>
      <c r="T171" s="150" t="s">
        <v>1666</v>
      </c>
      <c r="U171" s="403"/>
      <c r="V171" s="406">
        <v>0</v>
      </c>
      <c r="W171" s="406">
        <v>6232.2000000000016</v>
      </c>
      <c r="X171" s="425"/>
      <c r="Y171" s="71"/>
      <c r="Z171" s="784">
        <v>519.35</v>
      </c>
      <c r="AA171" s="780">
        <v>519.35</v>
      </c>
      <c r="AB171" s="780">
        <v>519.35</v>
      </c>
      <c r="AC171" s="428">
        <v>519.35</v>
      </c>
      <c r="AD171" s="429">
        <v>519.35</v>
      </c>
      <c r="AE171" s="429">
        <v>519.35</v>
      </c>
      <c r="AF171" s="429">
        <v>519.35</v>
      </c>
      <c r="AG171" s="363">
        <v>519.35</v>
      </c>
      <c r="AH171" s="363">
        <v>519.35</v>
      </c>
      <c r="AI171" s="363">
        <v>519.35</v>
      </c>
      <c r="AJ171" s="363">
        <v>519.35</v>
      </c>
      <c r="AK171" s="363">
        <v>519.35</v>
      </c>
      <c r="AL171" s="360">
        <f t="shared" si="10"/>
        <v>6232.2000000000016</v>
      </c>
      <c r="AM171" s="362">
        <f>ERP_8[[#This Row],[2026 Working Total]]-ERP_8[[#This Row],[LE2 Final Submission]]</f>
        <v>0</v>
      </c>
      <c r="AN171" s="79">
        <v>0</v>
      </c>
      <c r="AO171" s="79">
        <f t="shared" si="11"/>
        <v>519.35</v>
      </c>
      <c r="AP171" s="374">
        <f>SUM(ERP_8[[#This Row],[AP01]:[AP07]])-SUM(ERP_8[[#This Row],[AP01 LE2]:[AP07 LE2]])</f>
        <v>0</v>
      </c>
      <c r="AQ171" s="80"/>
      <c r="AR171" s="79">
        <f>ERP_8[[#This Row],[2026 Working Total to Budget/LE]]-ERP_8[[#This Row],[Giveback]]</f>
        <v>0</v>
      </c>
      <c r="AS171" s="81"/>
      <c r="AT171" s="375">
        <v>519.35</v>
      </c>
      <c r="AU171" s="375">
        <v>519.35</v>
      </c>
      <c r="AV171" s="375">
        <v>519.35</v>
      </c>
      <c r="AW171" s="375">
        <v>519.35</v>
      </c>
      <c r="AX171" s="375">
        <v>519.35</v>
      </c>
      <c r="AY171" s="375">
        <v>519.35</v>
      </c>
      <c r="AZ171" s="375">
        <v>519.35</v>
      </c>
      <c r="BA171" s="375">
        <v>519.35</v>
      </c>
      <c r="BB171" s="375">
        <v>519.35</v>
      </c>
      <c r="BC171" s="375">
        <v>519.35</v>
      </c>
      <c r="BD171" s="375">
        <v>519.35</v>
      </c>
      <c r="BE171" s="375">
        <v>519.35</v>
      </c>
      <c r="BF171" s="375">
        <v>6232.2000000000016</v>
      </c>
      <c r="BG171" s="79">
        <v>519.35</v>
      </c>
      <c r="BH171" s="79">
        <v>519.35</v>
      </c>
      <c r="BI171" s="79">
        <v>519.35</v>
      </c>
      <c r="BJ171" s="79">
        <v>0</v>
      </c>
      <c r="BK171" s="79">
        <v>0</v>
      </c>
      <c r="BL171" s="79">
        <v>0</v>
      </c>
      <c r="BM171" s="79">
        <v>0</v>
      </c>
      <c r="BN171" s="79">
        <v>0</v>
      </c>
      <c r="BO171" s="79">
        <v>0</v>
      </c>
      <c r="BP171" s="79">
        <v>0</v>
      </c>
      <c r="BQ171" s="79">
        <v>0</v>
      </c>
      <c r="BR171" s="79">
        <v>0</v>
      </c>
      <c r="BS171" s="79">
        <v>1558.0500000000002</v>
      </c>
    </row>
    <row r="172" spans="1:71" ht="15" hidden="1" customHeight="1">
      <c r="A172" s="66" t="s">
        <v>1667</v>
      </c>
      <c r="B172" s="737" t="s">
        <v>1668</v>
      </c>
      <c r="C172" s="346"/>
      <c r="D172" s="343" t="str">
        <f>_xlfn.TEXTJOIN("_",FALSE,E172,ERP_8[[#This Row],[Expense Category]],ERP_8[[#This Row],[Project Code*]])</f>
        <v>Patel, Apurva_DEPRECIATION_ERP_Depre001</v>
      </c>
      <c r="E172" s="343" t="s">
        <v>1566</v>
      </c>
      <c r="F172" s="346"/>
      <c r="G172" s="150" t="s">
        <v>1136</v>
      </c>
      <c r="H172" s="150" t="s">
        <v>1345</v>
      </c>
      <c r="I172" s="150" t="s">
        <v>1346</v>
      </c>
      <c r="J172" s="150" t="s">
        <v>1346</v>
      </c>
      <c r="K172" s="511" t="s">
        <v>333</v>
      </c>
      <c r="L172" s="392" t="s">
        <v>1663</v>
      </c>
      <c r="M172" s="343"/>
      <c r="N172" s="800"/>
      <c r="O172" s="70" t="s">
        <v>336</v>
      </c>
      <c r="P172" s="346"/>
      <c r="Q172" s="346" t="s">
        <v>1140</v>
      </c>
      <c r="R172" s="346"/>
      <c r="S172" s="150" t="s">
        <v>25</v>
      </c>
      <c r="T172" s="150" t="s">
        <v>1666</v>
      </c>
      <c r="U172" s="403"/>
      <c r="V172" s="406">
        <v>0</v>
      </c>
      <c r="W172" s="406">
        <v>19503</v>
      </c>
      <c r="X172" s="425"/>
      <c r="Y172" s="71"/>
      <c r="Z172" s="784">
        <v>336</v>
      </c>
      <c r="AA172" s="794">
        <v>337</v>
      </c>
      <c r="AB172" s="794">
        <v>1883</v>
      </c>
      <c r="AC172" s="428">
        <v>852.00000000000011</v>
      </c>
      <c r="AD172" s="429">
        <v>1823.6399999999999</v>
      </c>
      <c r="AE172" s="429">
        <v>1823.62</v>
      </c>
      <c r="AF172" s="429">
        <v>2675.64</v>
      </c>
      <c r="AG172" s="363">
        <v>1883</v>
      </c>
      <c r="AH172" s="363">
        <v>1883</v>
      </c>
      <c r="AI172" s="363">
        <v>1883</v>
      </c>
      <c r="AJ172" s="363">
        <v>1883</v>
      </c>
      <c r="AK172" s="363">
        <v>1883</v>
      </c>
      <c r="AL172" s="360">
        <f t="shared" si="10"/>
        <v>19145.900000000001</v>
      </c>
      <c r="AM172" s="362">
        <f>ERP_8[[#This Row],[2026 Working Total]]-ERP_8[[#This Row],[LE2 Final Submission]]</f>
        <v>-357.09999999999854</v>
      </c>
      <c r="AN172" s="79">
        <v>0</v>
      </c>
      <c r="AO172" s="79">
        <f t="shared" si="11"/>
        <v>1823.62</v>
      </c>
      <c r="AP172" s="374">
        <f>SUM(ERP_8[[#This Row],[AP01]:[AP07]])-SUM(ERP_8[[#This Row],[AP01 LE2]:[AP07 LE2]])</f>
        <v>-357.10000000000036</v>
      </c>
      <c r="AQ172" s="80"/>
      <c r="AR172" s="79">
        <f>ERP_8[[#This Row],[2026 Working Total to Budget/LE]]-ERP_8[[#This Row],[Giveback]]</f>
        <v>-357.09999999999854</v>
      </c>
      <c r="AS172" s="81"/>
      <c r="AT172" s="375">
        <v>336</v>
      </c>
      <c r="AU172" s="375">
        <v>337</v>
      </c>
      <c r="AV172" s="375">
        <v>1883</v>
      </c>
      <c r="AW172" s="375">
        <v>1883</v>
      </c>
      <c r="AX172" s="375">
        <v>1883</v>
      </c>
      <c r="AY172" s="375">
        <v>1883</v>
      </c>
      <c r="AZ172" s="375">
        <v>1883</v>
      </c>
      <c r="BA172" s="375">
        <v>1883</v>
      </c>
      <c r="BB172" s="375">
        <v>1883</v>
      </c>
      <c r="BC172" s="375">
        <v>1883</v>
      </c>
      <c r="BD172" s="375">
        <v>1883</v>
      </c>
      <c r="BE172" s="375">
        <v>1883</v>
      </c>
      <c r="BF172" s="375">
        <v>19503</v>
      </c>
      <c r="BG172" s="79">
        <v>336</v>
      </c>
      <c r="BH172" s="79">
        <v>337</v>
      </c>
      <c r="BI172" s="79">
        <v>1883</v>
      </c>
      <c r="BJ172" s="79">
        <v>0</v>
      </c>
      <c r="BK172" s="79">
        <v>0</v>
      </c>
      <c r="BL172" s="79">
        <v>0</v>
      </c>
      <c r="BM172" s="79">
        <v>0</v>
      </c>
      <c r="BN172" s="79">
        <v>0</v>
      </c>
      <c r="BO172" s="79">
        <v>0</v>
      </c>
      <c r="BP172" s="79">
        <v>0</v>
      </c>
      <c r="BQ172" s="79">
        <v>0</v>
      </c>
      <c r="BR172" s="79">
        <v>0</v>
      </c>
      <c r="BS172" s="79">
        <v>2556</v>
      </c>
    </row>
    <row r="173" spans="1:71" ht="15" hidden="1" customHeight="1">
      <c r="A173" s="66" t="s">
        <v>1669</v>
      </c>
      <c r="B173" s="737" t="s">
        <v>1670</v>
      </c>
      <c r="C173" s="346"/>
      <c r="D173" s="343" t="str">
        <f>_xlfn.TEXTJOIN("_",FALSE,E173,ERP_8[[#This Row],[Expense Category]],ERP_8[[#This Row],[Project Code*]])</f>
        <v>Patel, Apurva_DEPRECIATION_ERP_Depre001</v>
      </c>
      <c r="E173" s="343" t="s">
        <v>1566</v>
      </c>
      <c r="F173" s="346"/>
      <c r="G173" s="150" t="s">
        <v>1136</v>
      </c>
      <c r="H173" s="150" t="s">
        <v>1567</v>
      </c>
      <c r="I173" s="150" t="s">
        <v>1567</v>
      </c>
      <c r="J173" s="150" t="s">
        <v>1567</v>
      </c>
      <c r="K173" s="511" t="s">
        <v>333</v>
      </c>
      <c r="L173" s="392" t="s">
        <v>1663</v>
      </c>
      <c r="M173" s="343"/>
      <c r="N173" s="800"/>
      <c r="O173" s="70" t="s">
        <v>336</v>
      </c>
      <c r="P173" s="346"/>
      <c r="Q173" s="346" t="s">
        <v>1140</v>
      </c>
      <c r="R173" s="346"/>
      <c r="S173" s="150" t="s">
        <v>25</v>
      </c>
      <c r="T173" s="150" t="s">
        <v>1666</v>
      </c>
      <c r="U173" s="403"/>
      <c r="V173" s="406">
        <v>32110933.16</v>
      </c>
      <c r="W173" s="406">
        <v>34757461.509999998</v>
      </c>
      <c r="X173" s="425"/>
      <c r="Y173" s="71"/>
      <c r="Z173" s="784">
        <v>2815065.65</v>
      </c>
      <c r="AA173" s="794">
        <v>3048410.85</v>
      </c>
      <c r="AB173" s="794">
        <v>3021391.85</v>
      </c>
      <c r="AC173" s="428">
        <v>2973057.3200000008</v>
      </c>
      <c r="AD173" s="429">
        <v>3070156.0000000009</v>
      </c>
      <c r="AE173" s="429">
        <v>2999435.120000001</v>
      </c>
      <c r="AF173" s="429">
        <v>2982769.3800000008</v>
      </c>
      <c r="AG173" s="363">
        <v>2957767.97</v>
      </c>
      <c r="AH173" s="363">
        <v>2824180.51</v>
      </c>
      <c r="AI173" s="363">
        <v>2683373.61</v>
      </c>
      <c r="AJ173" s="363">
        <v>2683374.5</v>
      </c>
      <c r="AK173" s="363">
        <v>2683373.5699999998</v>
      </c>
      <c r="AL173" s="360">
        <f t="shared" si="10"/>
        <v>34742356.329999998</v>
      </c>
      <c r="AM173" s="362">
        <f>ERP_8[[#This Row],[2026 Working Total]]-ERP_8[[#This Row],[LE2 Final Submission]]</f>
        <v>-15105.179999999702</v>
      </c>
      <c r="AN173" s="79">
        <v>0</v>
      </c>
      <c r="AO173" s="79">
        <f t="shared" si="11"/>
        <v>2999435.120000001</v>
      </c>
      <c r="AP173" s="374">
        <f>SUM(ERP_8[[#This Row],[AP01]:[AP07]])-SUM(ERP_8[[#This Row],[AP01 LE2]:[AP07 LE2]])</f>
        <v>-15105.179999995977</v>
      </c>
      <c r="AQ173" s="80"/>
      <c r="AR173" s="79">
        <f>ERP_8[[#This Row],[2026 Working Total to Budget/LE]]-ERP_8[[#This Row],[Giveback]]</f>
        <v>-15105.179999999702</v>
      </c>
      <c r="AS173" s="81"/>
      <c r="AT173" s="375">
        <v>2815065.65</v>
      </c>
      <c r="AU173" s="375">
        <v>3048410.85</v>
      </c>
      <c r="AV173" s="375">
        <v>3021391.85</v>
      </c>
      <c r="AW173" s="375">
        <v>3021020.11</v>
      </c>
      <c r="AX173" s="375">
        <v>3021022.03</v>
      </c>
      <c r="AY173" s="375">
        <v>3021020.07</v>
      </c>
      <c r="AZ173" s="375">
        <v>2977460.79</v>
      </c>
      <c r="BA173" s="375">
        <v>2957767.97</v>
      </c>
      <c r="BB173" s="375">
        <v>2824180.51</v>
      </c>
      <c r="BC173" s="375">
        <v>2683373.61</v>
      </c>
      <c r="BD173" s="375">
        <v>2683374.5</v>
      </c>
      <c r="BE173" s="375">
        <v>2683373.5699999998</v>
      </c>
      <c r="BF173" s="375">
        <v>34757461.509999998</v>
      </c>
      <c r="BG173" s="79">
        <v>2815065.65</v>
      </c>
      <c r="BH173" s="79">
        <v>3048410.85</v>
      </c>
      <c r="BI173" s="79">
        <v>3021391.85</v>
      </c>
      <c r="BJ173" s="79">
        <v>3021020.11</v>
      </c>
      <c r="BK173" s="79">
        <v>3021022.03</v>
      </c>
      <c r="BL173" s="79">
        <v>3021020.07</v>
      </c>
      <c r="BM173" s="79">
        <v>2977460.79</v>
      </c>
      <c r="BN173" s="79">
        <v>2957767.97</v>
      </c>
      <c r="BO173" s="79">
        <v>2824180.51</v>
      </c>
      <c r="BP173" s="79">
        <v>2683373.61</v>
      </c>
      <c r="BQ173" s="79">
        <v>2683374.5</v>
      </c>
      <c r="BR173" s="79">
        <v>2683373.5699999998</v>
      </c>
      <c r="BS173" s="79">
        <v>34757461.509999998</v>
      </c>
    </row>
    <row r="174" spans="1:71" ht="15" hidden="1" customHeight="1">
      <c r="A174" s="66" t="s">
        <v>1671</v>
      </c>
      <c r="B174" s="737" t="s">
        <v>1672</v>
      </c>
      <c r="C174" s="346"/>
      <c r="D174" s="343" t="str">
        <f>_xlfn.TEXTJOIN("_",FALSE,E174,ERP_8[[#This Row],[Expense Category]],ERP_8[[#This Row],[Project Code*]])</f>
        <v>Patel, Apurva_DEPRECIATION_ERP_DepreAUC001</v>
      </c>
      <c r="E174" s="343" t="s">
        <v>1566</v>
      </c>
      <c r="F174" s="346"/>
      <c r="G174" s="150" t="s">
        <v>1136</v>
      </c>
      <c r="H174" s="150" t="s">
        <v>1567</v>
      </c>
      <c r="I174" s="150" t="s">
        <v>1567</v>
      </c>
      <c r="J174" s="150" t="s">
        <v>1567</v>
      </c>
      <c r="K174" s="511" t="s">
        <v>333</v>
      </c>
      <c r="L174" s="392" t="s">
        <v>1673</v>
      </c>
      <c r="M174" s="343"/>
      <c r="N174" s="800"/>
      <c r="O174" s="70" t="s">
        <v>339</v>
      </c>
      <c r="P174" s="346"/>
      <c r="Q174" s="346" t="s">
        <v>1140</v>
      </c>
      <c r="R174" s="346"/>
      <c r="S174" s="505" t="s">
        <v>340</v>
      </c>
      <c r="T174" s="150"/>
      <c r="U174" s="403"/>
      <c r="V174" s="406">
        <v>3047384</v>
      </c>
      <c r="W174" s="406">
        <v>147762.3031111111</v>
      </c>
      <c r="X174" s="425"/>
      <c r="Y174" s="425"/>
      <c r="Z174" s="784"/>
      <c r="AA174" s="784"/>
      <c r="AB174" s="784"/>
      <c r="AC174" s="714" t="s">
        <v>1142</v>
      </c>
      <c r="AD174" s="714">
        <v>0</v>
      </c>
      <c r="AE174" s="429">
        <v>0</v>
      </c>
      <c r="AF174" s="429" t="s">
        <v>1142</v>
      </c>
      <c r="AG174" s="363">
        <v>14573.083333333334</v>
      </c>
      <c r="AH174" s="363">
        <v>14573.083333333334</v>
      </c>
      <c r="AI174" s="363">
        <v>23051.972222222223</v>
      </c>
      <c r="AJ174" s="363">
        <v>23190.861111111109</v>
      </c>
      <c r="AK174" s="363">
        <v>28256.527777777777</v>
      </c>
      <c r="AL174" s="360">
        <f t="shared" si="10"/>
        <v>103645.52777777778</v>
      </c>
      <c r="AM174" s="362">
        <f>ERP_8[[#This Row],[2026 Working Total]]-ERP_8[[#This Row],[LE2 Final Submission]]</f>
        <v>-44116.775333333324</v>
      </c>
      <c r="AN174" s="79">
        <v>0</v>
      </c>
      <c r="AO174" s="79">
        <f t="shared" si="11"/>
        <v>0</v>
      </c>
      <c r="AP174" s="374">
        <f>SUM(ERP_8[[#This Row],[AP01]:[AP07]])-SUM(ERP_8[[#This Row],[AP01 LE2]:[AP07 LE2]])</f>
        <v>-42681.447</v>
      </c>
      <c r="AQ174" s="80"/>
      <c r="AR174" s="79">
        <f>ERP_8[[#This Row],[2026 Working Total to Budget/LE]]-ERP_8[[#This Row],[Giveback]]</f>
        <v>-44116.775333333324</v>
      </c>
      <c r="AS174" s="81"/>
      <c r="AT174" s="375"/>
      <c r="AU174" s="375"/>
      <c r="AV174" s="375"/>
      <c r="AW174" s="375">
        <v>0</v>
      </c>
      <c r="AX174" s="375">
        <v>12850.03788888889</v>
      </c>
      <c r="AY174" s="375">
        <v>14915.704555555556</v>
      </c>
      <c r="AZ174" s="375">
        <v>14915.704555555556</v>
      </c>
      <c r="BA174" s="375">
        <v>14915.704555555556</v>
      </c>
      <c r="BB174" s="375">
        <v>14915.704555555556</v>
      </c>
      <c r="BC174" s="375">
        <v>23394.593444444443</v>
      </c>
      <c r="BD174" s="375">
        <v>23394.593444444443</v>
      </c>
      <c r="BE174" s="375">
        <v>28460.260111111111</v>
      </c>
      <c r="BF174" s="375">
        <v>147762.3031111111</v>
      </c>
      <c r="BG174" s="79"/>
      <c r="BH174" s="79"/>
      <c r="BI174" s="79"/>
      <c r="BJ174" s="79">
        <v>12436.91</v>
      </c>
      <c r="BK174" s="79">
        <v>17183.39</v>
      </c>
      <c r="BL174" s="79">
        <v>19249.060000000001</v>
      </c>
      <c r="BM174" s="79">
        <v>19249.060000000001</v>
      </c>
      <c r="BN174" s="79">
        <v>20917.810000000001</v>
      </c>
      <c r="BO174" s="79">
        <v>38739.129999999997</v>
      </c>
      <c r="BP174" s="79">
        <v>52766.07</v>
      </c>
      <c r="BQ174" s="79">
        <v>52766.07</v>
      </c>
      <c r="BR174" s="79">
        <v>65150.49</v>
      </c>
      <c r="BS174" s="79">
        <v>298457.99</v>
      </c>
    </row>
    <row r="175" spans="1:71" ht="15" hidden="1" customHeight="1">
      <c r="A175" s="66" t="s">
        <v>1674</v>
      </c>
      <c r="B175" s="737" t="s">
        <v>1675</v>
      </c>
      <c r="C175" s="346"/>
      <c r="D175" s="343" t="str">
        <f>_xlfn.TEXTJOIN("_",FALSE,E175,ERP_8[[#This Row],[Expense Category]],ERP_8[[#This Row],[Project Code*]])</f>
        <v>Dougherty, Chris_HW MAINTENANCE_2026-XFR-ML001</v>
      </c>
      <c r="E175" s="343" t="s">
        <v>1135</v>
      </c>
      <c r="F175" s="346"/>
      <c r="G175" s="150" t="s">
        <v>1136</v>
      </c>
      <c r="H175" s="150" t="s">
        <v>1135</v>
      </c>
      <c r="I175" s="150" t="s">
        <v>1145</v>
      </c>
      <c r="J175" s="150" t="s">
        <v>1137</v>
      </c>
      <c r="K175" s="511" t="s">
        <v>342</v>
      </c>
      <c r="L175" s="778" t="s">
        <v>1676</v>
      </c>
      <c r="M175" s="343"/>
      <c r="N175" s="800"/>
      <c r="O175" s="157" t="s">
        <v>344</v>
      </c>
      <c r="P175" s="346"/>
      <c r="Q175" s="343"/>
      <c r="R175" s="346"/>
      <c r="S175" s="150" t="s">
        <v>152</v>
      </c>
      <c r="T175" s="150"/>
      <c r="U175" s="403"/>
      <c r="V175" s="406">
        <v>51615</v>
      </c>
      <c r="W175" s="406">
        <v>38711.25</v>
      </c>
      <c r="X175" s="425"/>
      <c r="Y175" s="71"/>
      <c r="Z175" s="784"/>
      <c r="AA175" s="780"/>
      <c r="AB175" s="780"/>
      <c r="AC175" s="428" t="s">
        <v>1142</v>
      </c>
      <c r="AD175" s="429">
        <v>0</v>
      </c>
      <c r="AE175" s="429">
        <v>0</v>
      </c>
      <c r="AF175" s="429" t="s">
        <v>1142</v>
      </c>
      <c r="AG175" s="363">
        <v>4301.25</v>
      </c>
      <c r="AH175" s="363">
        <v>4301.25</v>
      </c>
      <c r="AI175" s="363">
        <v>4301.25</v>
      </c>
      <c r="AJ175" s="363">
        <v>4301.25</v>
      </c>
      <c r="AK175" s="363">
        <v>4301.25</v>
      </c>
      <c r="AL175" s="360">
        <f t="shared" si="10"/>
        <v>21506.25</v>
      </c>
      <c r="AM175" s="362">
        <f>ERP_8[[#This Row],[2026 Working Total]]-ERP_8[[#This Row],[LE2 Final Submission]]</f>
        <v>-17205</v>
      </c>
      <c r="AN175" s="79">
        <v>0</v>
      </c>
      <c r="AO175" s="79">
        <f t="shared" si="11"/>
        <v>0</v>
      </c>
      <c r="AP175" s="374">
        <f>SUM(ERP_8[[#This Row],[AP01]:[AP07]])-SUM(ERP_8[[#This Row],[AP01 LE2]:[AP07 LE2]])</f>
        <v>-17205</v>
      </c>
      <c r="AQ175" s="80"/>
      <c r="AR175" s="79">
        <f>ERP_8[[#This Row],[2026 Working Total to Budget/LE]]-ERP_8[[#This Row],[Giveback]]</f>
        <v>-17205</v>
      </c>
      <c r="AS175" s="81"/>
      <c r="AT175" s="375"/>
      <c r="AU175" s="375"/>
      <c r="AV175" s="375"/>
      <c r="AW175" s="375">
        <v>4301.25</v>
      </c>
      <c r="AX175" s="375">
        <v>4301.25</v>
      </c>
      <c r="AY175" s="375">
        <v>4301.25</v>
      </c>
      <c r="AZ175" s="375">
        <v>4301.25</v>
      </c>
      <c r="BA175" s="375">
        <v>4301.25</v>
      </c>
      <c r="BB175" s="375">
        <v>4301.25</v>
      </c>
      <c r="BC175" s="375">
        <v>4301.25</v>
      </c>
      <c r="BD175" s="375">
        <v>4301.25</v>
      </c>
      <c r="BE175" s="375">
        <v>4301.25</v>
      </c>
      <c r="BF175" s="375">
        <v>38711.25</v>
      </c>
      <c r="BG175" s="79"/>
      <c r="BH175" s="79"/>
      <c r="BI175" s="79"/>
      <c r="BJ175" s="79">
        <v>4301.25</v>
      </c>
      <c r="BK175" s="79">
        <v>4301.25</v>
      </c>
      <c r="BL175" s="79">
        <v>4301.25</v>
      </c>
      <c r="BM175" s="79">
        <v>4301.25</v>
      </c>
      <c r="BN175" s="79">
        <v>4301.25</v>
      </c>
      <c r="BO175" s="79">
        <v>4301.25</v>
      </c>
      <c r="BP175" s="79">
        <v>4301.25</v>
      </c>
      <c r="BQ175" s="79">
        <v>4301.25</v>
      </c>
      <c r="BR175" s="79">
        <v>4301.25</v>
      </c>
      <c r="BS175" s="79">
        <v>38711.25</v>
      </c>
    </row>
    <row r="176" spans="1:71" ht="15" hidden="1" customHeight="1">
      <c r="A176" s="66" t="s">
        <v>1677</v>
      </c>
      <c r="B176" s="737" t="s">
        <v>1678</v>
      </c>
      <c r="C176" s="346"/>
      <c r="D176" s="343" t="str">
        <f>_xlfn.TEXTJOIN("_",FALSE,E176,ERP_8[[#This Row],[Expense Category]],ERP_8[[#This Row],[Project Code*]])</f>
        <v>Dougherty, Chris_HW MAINTENANCE_2026-XFR-ML002</v>
      </c>
      <c r="E176" s="343" t="s">
        <v>1135</v>
      </c>
      <c r="F176" s="346"/>
      <c r="G176" s="150" t="s">
        <v>1136</v>
      </c>
      <c r="H176" s="150" t="s">
        <v>1135</v>
      </c>
      <c r="I176" s="150" t="s">
        <v>1145</v>
      </c>
      <c r="J176" s="150" t="s">
        <v>1137</v>
      </c>
      <c r="K176" s="511" t="s">
        <v>342</v>
      </c>
      <c r="L176" s="778" t="s">
        <v>1679</v>
      </c>
      <c r="M176" s="343"/>
      <c r="N176" s="800"/>
      <c r="O176" s="157" t="s">
        <v>346</v>
      </c>
      <c r="P176" s="346"/>
      <c r="Q176" s="343"/>
      <c r="R176" s="346"/>
      <c r="S176" s="150" t="s">
        <v>152</v>
      </c>
      <c r="T176" s="150"/>
      <c r="U176" s="403"/>
      <c r="V176" s="406">
        <v>-12195</v>
      </c>
      <c r="W176" s="406">
        <v>-9146.25</v>
      </c>
      <c r="X176" s="425"/>
      <c r="Y176" s="71"/>
      <c r="Z176" s="784"/>
      <c r="AA176" s="780"/>
      <c r="AB176" s="780"/>
      <c r="AC176" s="428" t="s">
        <v>1142</v>
      </c>
      <c r="AD176" s="429">
        <v>0</v>
      </c>
      <c r="AE176" s="429">
        <v>0</v>
      </c>
      <c r="AF176" s="429" t="s">
        <v>1142</v>
      </c>
      <c r="AG176" s="363">
        <v>-1016.25</v>
      </c>
      <c r="AH176" s="363">
        <v>-1016.25</v>
      </c>
      <c r="AI176" s="363">
        <v>-1016.25</v>
      </c>
      <c r="AJ176" s="363">
        <v>-1016.25</v>
      </c>
      <c r="AK176" s="363">
        <v>-1016.25</v>
      </c>
      <c r="AL176" s="360">
        <f t="shared" si="10"/>
        <v>-5081.25</v>
      </c>
      <c r="AM176" s="362">
        <f>ERP_8[[#This Row],[2026 Working Total]]-ERP_8[[#This Row],[LE2 Final Submission]]</f>
        <v>4065</v>
      </c>
      <c r="AN176" s="79">
        <v>0</v>
      </c>
      <c r="AO176" s="79">
        <f t="shared" si="11"/>
        <v>0</v>
      </c>
      <c r="AP176" s="374">
        <f>SUM(ERP_8[[#This Row],[AP01]:[AP07]])-SUM(ERP_8[[#This Row],[AP01 LE2]:[AP07 LE2]])</f>
        <v>4065</v>
      </c>
      <c r="AQ176" s="80"/>
      <c r="AR176" s="79">
        <f>ERP_8[[#This Row],[2026 Working Total to Budget/LE]]-ERP_8[[#This Row],[Giveback]]</f>
        <v>4065</v>
      </c>
      <c r="AS176" s="81"/>
      <c r="AT176" s="375"/>
      <c r="AU176" s="375"/>
      <c r="AV176" s="375"/>
      <c r="AW176" s="375">
        <v>-1016.25</v>
      </c>
      <c r="AX176" s="375">
        <v>-1016.25</v>
      </c>
      <c r="AY176" s="375">
        <v>-1016.25</v>
      </c>
      <c r="AZ176" s="375">
        <v>-1016.25</v>
      </c>
      <c r="BA176" s="375">
        <v>-1016.25</v>
      </c>
      <c r="BB176" s="375">
        <v>-1016.25</v>
      </c>
      <c r="BC176" s="375">
        <v>-1016.25</v>
      </c>
      <c r="BD176" s="375">
        <v>-1016.25</v>
      </c>
      <c r="BE176" s="375">
        <v>-1016.25</v>
      </c>
      <c r="BF176" s="375">
        <v>-9146.25</v>
      </c>
      <c r="BG176" s="79"/>
      <c r="BH176" s="79"/>
      <c r="BI176" s="79"/>
      <c r="BJ176" s="79">
        <v>-1016.25</v>
      </c>
      <c r="BK176" s="79">
        <v>-1016.25</v>
      </c>
      <c r="BL176" s="79">
        <v>-1016.25</v>
      </c>
      <c r="BM176" s="79">
        <v>-1016.25</v>
      </c>
      <c r="BN176" s="79">
        <v>-1016.25</v>
      </c>
      <c r="BO176" s="79">
        <v>-1016.25</v>
      </c>
      <c r="BP176" s="79">
        <v>-1016.25</v>
      </c>
      <c r="BQ176" s="79">
        <v>-1016.25</v>
      </c>
      <c r="BR176" s="79">
        <v>-1016.25</v>
      </c>
      <c r="BS176" s="79">
        <v>-9146.25</v>
      </c>
    </row>
    <row r="177" spans="1:71" ht="15" hidden="1" customHeight="1">
      <c r="A177" s="66" t="s">
        <v>1680</v>
      </c>
      <c r="B177" s="737" t="s">
        <v>1681</v>
      </c>
      <c r="C177" s="346"/>
      <c r="D177" s="343" t="str">
        <f>_xlfn.TEXTJOIN("_",FALSE,E177,ERP_8[[#This Row],[Expense Category]],ERP_8[[#This Row],[Project Code*]])</f>
        <v>Dougherty, Chris_HW MAINTENANCE_2026-XFR-ML003</v>
      </c>
      <c r="E177" s="343" t="s">
        <v>1135</v>
      </c>
      <c r="F177" s="346"/>
      <c r="G177" s="150" t="s">
        <v>1136</v>
      </c>
      <c r="H177" s="150" t="s">
        <v>1135</v>
      </c>
      <c r="I177" s="150" t="s">
        <v>1145</v>
      </c>
      <c r="J177" s="150" t="s">
        <v>1137</v>
      </c>
      <c r="K177" s="511" t="s">
        <v>342</v>
      </c>
      <c r="L177" s="778" t="s">
        <v>1682</v>
      </c>
      <c r="M177" s="343"/>
      <c r="N177" s="800"/>
      <c r="O177" s="157" t="s">
        <v>348</v>
      </c>
      <c r="P177" s="346"/>
      <c r="Q177" s="343"/>
      <c r="R177" s="346"/>
      <c r="S177" s="150" t="s">
        <v>152</v>
      </c>
      <c r="T177" s="150"/>
      <c r="U177" s="403"/>
      <c r="V177" s="406">
        <v>-12195</v>
      </c>
      <c r="W177" s="406">
        <v>-9146.25</v>
      </c>
      <c r="X177" s="425"/>
      <c r="Y177" s="71"/>
      <c r="Z177" s="784"/>
      <c r="AA177" s="780"/>
      <c r="AB177" s="780"/>
      <c r="AC177" s="428" t="s">
        <v>1142</v>
      </c>
      <c r="AD177" s="429">
        <v>0</v>
      </c>
      <c r="AE177" s="429">
        <v>0</v>
      </c>
      <c r="AF177" s="429" t="s">
        <v>1142</v>
      </c>
      <c r="AG177" s="363">
        <v>-1016.25</v>
      </c>
      <c r="AH177" s="363">
        <v>-1016.25</v>
      </c>
      <c r="AI177" s="363">
        <v>-1016.25</v>
      </c>
      <c r="AJ177" s="363">
        <v>-1016.25</v>
      </c>
      <c r="AK177" s="363">
        <v>-1016.25</v>
      </c>
      <c r="AL177" s="360">
        <f t="shared" si="10"/>
        <v>-5081.25</v>
      </c>
      <c r="AM177" s="362">
        <f>ERP_8[[#This Row],[2026 Working Total]]-ERP_8[[#This Row],[LE2 Final Submission]]</f>
        <v>4065</v>
      </c>
      <c r="AN177" s="79">
        <v>0</v>
      </c>
      <c r="AO177" s="79">
        <f t="shared" si="11"/>
        <v>0</v>
      </c>
      <c r="AP177" s="374">
        <f>SUM(ERP_8[[#This Row],[AP01]:[AP07]])-SUM(ERP_8[[#This Row],[AP01 LE2]:[AP07 LE2]])</f>
        <v>4065</v>
      </c>
      <c r="AQ177" s="80"/>
      <c r="AR177" s="79">
        <f>ERP_8[[#This Row],[2026 Working Total to Budget/LE]]-ERP_8[[#This Row],[Giveback]]</f>
        <v>4065</v>
      </c>
      <c r="AS177" s="81"/>
      <c r="AT177" s="375"/>
      <c r="AU177" s="375"/>
      <c r="AV177" s="375"/>
      <c r="AW177" s="375">
        <v>-1016.25</v>
      </c>
      <c r="AX177" s="375">
        <v>-1016.25</v>
      </c>
      <c r="AY177" s="375">
        <v>-1016.25</v>
      </c>
      <c r="AZ177" s="375">
        <v>-1016.25</v>
      </c>
      <c r="BA177" s="375">
        <v>-1016.25</v>
      </c>
      <c r="BB177" s="375">
        <v>-1016.25</v>
      </c>
      <c r="BC177" s="375">
        <v>-1016.25</v>
      </c>
      <c r="BD177" s="375">
        <v>-1016.25</v>
      </c>
      <c r="BE177" s="375">
        <v>-1016.25</v>
      </c>
      <c r="BF177" s="375">
        <v>-9146.25</v>
      </c>
      <c r="BG177" s="79"/>
      <c r="BH177" s="79"/>
      <c r="BI177" s="79"/>
      <c r="BJ177" s="79">
        <v>-1016.25</v>
      </c>
      <c r="BK177" s="79">
        <v>-1016.25</v>
      </c>
      <c r="BL177" s="79">
        <v>-1016.25</v>
      </c>
      <c r="BM177" s="79">
        <v>-1016.25</v>
      </c>
      <c r="BN177" s="79">
        <v>-1016.25</v>
      </c>
      <c r="BO177" s="79">
        <v>-1016.25</v>
      </c>
      <c r="BP177" s="79">
        <v>-1016.25</v>
      </c>
      <c r="BQ177" s="79">
        <v>-1016.25</v>
      </c>
      <c r="BR177" s="79">
        <v>-1016.25</v>
      </c>
      <c r="BS177" s="79">
        <v>-9146.25</v>
      </c>
    </row>
    <row r="178" spans="1:71" ht="15" hidden="1" customHeight="1">
      <c r="A178" s="66" t="s">
        <v>1683</v>
      </c>
      <c r="B178" s="737" t="s">
        <v>1684</v>
      </c>
      <c r="C178" s="346"/>
      <c r="D178" s="343" t="str">
        <f>_xlfn.TEXTJOIN("_",FALSE,E178,ERP_8[[#This Row],[Expense Category]],ERP_8[[#This Row],[Project Code*]])</f>
        <v>Dougherty, Chris_HW MAINTENANCE_BillingSweep005</v>
      </c>
      <c r="E178" s="343" t="s">
        <v>1135</v>
      </c>
      <c r="F178" s="346"/>
      <c r="G178" s="150" t="s">
        <v>1136</v>
      </c>
      <c r="H178" s="150" t="s">
        <v>1135</v>
      </c>
      <c r="I178" s="150" t="s">
        <v>1137</v>
      </c>
      <c r="J178" s="150" t="s">
        <v>1137</v>
      </c>
      <c r="K178" s="511" t="s">
        <v>342</v>
      </c>
      <c r="L178" s="392" t="s">
        <v>1685</v>
      </c>
      <c r="M178" s="343"/>
      <c r="N178" s="800"/>
      <c r="O178" s="70" t="s">
        <v>350</v>
      </c>
      <c r="P178" s="346" t="s">
        <v>1139</v>
      </c>
      <c r="Q178" s="346" t="s">
        <v>1140</v>
      </c>
      <c r="R178" s="346"/>
      <c r="S178" s="150" t="s">
        <v>25</v>
      </c>
      <c r="T178" s="1" t="s">
        <v>1141</v>
      </c>
      <c r="U178" s="403"/>
      <c r="V178" s="406">
        <v>0</v>
      </c>
      <c r="W178" s="406">
        <v>-904.37</v>
      </c>
      <c r="X178" s="425"/>
      <c r="Y178" s="425"/>
      <c r="Z178" s="784"/>
      <c r="AA178" s="780">
        <v>-904.37</v>
      </c>
      <c r="AB178" s="780">
        <v>0</v>
      </c>
      <c r="AC178" s="428">
        <v>0</v>
      </c>
      <c r="AD178" s="429">
        <v>0</v>
      </c>
      <c r="AE178" s="429">
        <v>0</v>
      </c>
      <c r="AF178" s="429">
        <v>0</v>
      </c>
      <c r="AG178" s="360">
        <v>0</v>
      </c>
      <c r="AH178" s="360">
        <v>0</v>
      </c>
      <c r="AI178" s="360">
        <v>0</v>
      </c>
      <c r="AJ178" s="360">
        <v>0</v>
      </c>
      <c r="AK178" s="360">
        <v>0</v>
      </c>
      <c r="AL178" s="360">
        <f t="shared" si="10"/>
        <v>-904.37</v>
      </c>
      <c r="AM178" s="362">
        <f>ERP_8[[#This Row],[2026 Working Total]]-ERP_8[[#This Row],[LE2 Final Submission]]</f>
        <v>0</v>
      </c>
      <c r="AN178" s="79">
        <v>0</v>
      </c>
      <c r="AO178" s="79">
        <f t="shared" si="11"/>
        <v>0</v>
      </c>
      <c r="AP178" s="374">
        <f>SUM(ERP_8[[#This Row],[AP01]:[AP07]])-SUM(ERP_8[[#This Row],[AP01 LE2]:[AP07 LE2]])</f>
        <v>0</v>
      </c>
      <c r="AQ178" s="80"/>
      <c r="AR178" s="79">
        <f>ERP_8[[#This Row],[2026 Working Total to Budget/LE]]-ERP_8[[#This Row],[Giveback]]</f>
        <v>0</v>
      </c>
      <c r="AS178" s="81"/>
      <c r="AT178" s="375"/>
      <c r="AU178" s="375">
        <v>-904.37</v>
      </c>
      <c r="AV178" s="375">
        <v>0</v>
      </c>
      <c r="AW178" s="375">
        <v>0</v>
      </c>
      <c r="AX178" s="375">
        <v>0</v>
      </c>
      <c r="AY178" s="375">
        <v>0</v>
      </c>
      <c r="AZ178" s="375">
        <v>0</v>
      </c>
      <c r="BA178" s="375">
        <v>0</v>
      </c>
      <c r="BB178" s="375">
        <v>0</v>
      </c>
      <c r="BC178" s="375">
        <v>0</v>
      </c>
      <c r="BD178" s="375">
        <v>0</v>
      </c>
      <c r="BE178" s="375">
        <v>0</v>
      </c>
      <c r="BF178" s="375">
        <v>-904.37</v>
      </c>
      <c r="BG178" s="79"/>
      <c r="BH178" s="79">
        <v>-904.37</v>
      </c>
      <c r="BI178" s="79">
        <v>0</v>
      </c>
      <c r="BJ178" s="79">
        <v>0</v>
      </c>
      <c r="BK178" s="79">
        <v>0</v>
      </c>
      <c r="BL178" s="79">
        <v>0</v>
      </c>
      <c r="BM178" s="79">
        <v>0</v>
      </c>
      <c r="BN178" s="79">
        <v>0</v>
      </c>
      <c r="BO178" s="79">
        <v>0</v>
      </c>
      <c r="BP178" s="79">
        <v>0</v>
      </c>
      <c r="BQ178" s="79">
        <v>0</v>
      </c>
      <c r="BR178" s="79">
        <v>0</v>
      </c>
      <c r="BS178" s="79">
        <v>-904.37</v>
      </c>
    </row>
    <row r="179" spans="1:71" ht="15" hidden="1" customHeight="1">
      <c r="A179" s="66" t="s">
        <v>1686</v>
      </c>
      <c r="B179" s="737" t="s">
        <v>1687</v>
      </c>
      <c r="C179" s="346"/>
      <c r="D179" s="343" t="str">
        <f>_xlfn.TEXTJOIN("_",FALSE,E179,ERP_8[[#This Row],[Expense Category]],ERP_8[[#This Row],[Project Code*]])</f>
        <v>Dougherty, Chris_HW MAINTENANCE_BillingSweep011</v>
      </c>
      <c r="E179" s="343" t="s">
        <v>1135</v>
      </c>
      <c r="F179" s="346"/>
      <c r="G179" s="150" t="s">
        <v>1136</v>
      </c>
      <c r="H179" s="150" t="s">
        <v>1135</v>
      </c>
      <c r="I179" s="150" t="s">
        <v>1137</v>
      </c>
      <c r="J179" s="150" t="s">
        <v>1137</v>
      </c>
      <c r="K179" s="511" t="s">
        <v>342</v>
      </c>
      <c r="L179" s="392" t="s">
        <v>352</v>
      </c>
      <c r="M179" s="343"/>
      <c r="N179" s="800"/>
      <c r="O179" s="70" t="s">
        <v>352</v>
      </c>
      <c r="P179" s="346" t="s">
        <v>1139</v>
      </c>
      <c r="Q179" s="346" t="s">
        <v>1140</v>
      </c>
      <c r="R179" s="346"/>
      <c r="S179" s="150" t="s">
        <v>25</v>
      </c>
      <c r="T179" s="1" t="s">
        <v>1141</v>
      </c>
      <c r="U179" s="404"/>
      <c r="V179" s="407">
        <v>0</v>
      </c>
      <c r="W179" s="407">
        <v>0</v>
      </c>
      <c r="X179" s="430"/>
      <c r="Y179" s="137"/>
      <c r="Z179" s="784"/>
      <c r="AA179" s="780"/>
      <c r="AB179" s="780">
        <v>0</v>
      </c>
      <c r="AC179" s="428">
        <v>-12412.23</v>
      </c>
      <c r="AD179" s="429">
        <v>0</v>
      </c>
      <c r="AE179" s="429">
        <v>0</v>
      </c>
      <c r="AF179" s="429">
        <v>0</v>
      </c>
      <c r="AG179" s="360">
        <v>0</v>
      </c>
      <c r="AH179" s="360">
        <v>0</v>
      </c>
      <c r="AI179" s="360">
        <v>0</v>
      </c>
      <c r="AJ179" s="360">
        <v>0</v>
      </c>
      <c r="AK179" s="360">
        <v>0</v>
      </c>
      <c r="AL179" s="360">
        <f t="shared" si="10"/>
        <v>-12412.23</v>
      </c>
      <c r="AM179" s="362">
        <f>ERP_8[[#This Row],[2026 Working Total]]-ERP_8[[#This Row],[LE2 Final Submission]]</f>
        <v>-12412.23</v>
      </c>
      <c r="AN179" s="79">
        <v>0</v>
      </c>
      <c r="AO179" s="79">
        <f t="shared" si="11"/>
        <v>0</v>
      </c>
      <c r="AP179" s="374">
        <f>SUM(ERP_8[[#This Row],[AP01]:[AP07]])-SUM(ERP_8[[#This Row],[AP01 LE2]:[AP07 LE2]])</f>
        <v>-12412.23</v>
      </c>
      <c r="AQ179" s="80"/>
      <c r="AR179" s="79">
        <f>ERP_8[[#This Row],[2026 Working Total to Budget/LE]]-ERP_8[[#This Row],[Giveback]]</f>
        <v>-12412.23</v>
      </c>
      <c r="AS179" s="81"/>
      <c r="AT179" s="375"/>
      <c r="AU179" s="375"/>
      <c r="AV179" s="375">
        <v>0</v>
      </c>
      <c r="AW179" s="375">
        <v>0</v>
      </c>
      <c r="AX179" s="375">
        <v>0</v>
      </c>
      <c r="AY179" s="375">
        <v>0</v>
      </c>
      <c r="AZ179" s="375">
        <v>0</v>
      </c>
      <c r="BA179" s="375">
        <v>0</v>
      </c>
      <c r="BB179" s="375">
        <v>0</v>
      </c>
      <c r="BC179" s="375">
        <v>0</v>
      </c>
      <c r="BD179" s="375">
        <v>0</v>
      </c>
      <c r="BE179" s="375">
        <v>0</v>
      </c>
      <c r="BF179" s="375">
        <v>0</v>
      </c>
      <c r="BG179" s="79"/>
      <c r="BH179" s="79"/>
      <c r="BI179" s="79">
        <v>0</v>
      </c>
      <c r="BJ179" s="79">
        <v>0</v>
      </c>
      <c r="BK179" s="79">
        <v>0</v>
      </c>
      <c r="BL179" s="79">
        <v>0</v>
      </c>
      <c r="BM179" s="79">
        <v>0</v>
      </c>
      <c r="BN179" s="79">
        <v>0</v>
      </c>
      <c r="BO179" s="79">
        <v>0</v>
      </c>
      <c r="BP179" s="79">
        <v>0</v>
      </c>
      <c r="BQ179" s="79">
        <v>0</v>
      </c>
      <c r="BR179" s="79">
        <v>0</v>
      </c>
      <c r="BS179" s="79">
        <v>0</v>
      </c>
    </row>
    <row r="180" spans="1:71" ht="15" hidden="1" customHeight="1">
      <c r="A180" s="66" t="s">
        <v>1688</v>
      </c>
      <c r="B180" s="737" t="s">
        <v>1689</v>
      </c>
      <c r="C180" s="346"/>
      <c r="D180" s="343" t="str">
        <f>_xlfn.TEXTJOIN("_",FALSE,E180,ERP_8[[#This Row],[Expense Category]],ERP_8[[#This Row],[Project Code*]])</f>
        <v>Dougherty, Chris_HW MAINTENANCE_BillingSweep012</v>
      </c>
      <c r="E180" s="343" t="s">
        <v>1135</v>
      </c>
      <c r="F180" s="346"/>
      <c r="G180" s="150" t="s">
        <v>1136</v>
      </c>
      <c r="H180" s="150" t="s">
        <v>1135</v>
      </c>
      <c r="I180" s="150" t="s">
        <v>1137</v>
      </c>
      <c r="J180" s="150" t="s">
        <v>1137</v>
      </c>
      <c r="K180" s="511" t="s">
        <v>342</v>
      </c>
      <c r="L180" s="392" t="s">
        <v>354</v>
      </c>
      <c r="M180" s="343"/>
      <c r="N180" s="800"/>
      <c r="O180" s="70" t="s">
        <v>354</v>
      </c>
      <c r="P180" s="346"/>
      <c r="Q180" s="346" t="s">
        <v>1140</v>
      </c>
      <c r="R180" s="346"/>
      <c r="S180" s="150" t="s">
        <v>25</v>
      </c>
      <c r="T180" s="150"/>
      <c r="U180" s="404"/>
      <c r="V180" s="407">
        <v>0</v>
      </c>
      <c r="W180" s="407">
        <v>0</v>
      </c>
      <c r="X180" s="430"/>
      <c r="Y180" s="137"/>
      <c r="Z180" s="784"/>
      <c r="AA180" s="780">
        <v>0</v>
      </c>
      <c r="AB180" s="780">
        <v>0</v>
      </c>
      <c r="AC180" s="428">
        <v>0</v>
      </c>
      <c r="AD180" s="429">
        <v>0</v>
      </c>
      <c r="AE180" s="429">
        <v>0</v>
      </c>
      <c r="AF180" s="429">
        <v>0</v>
      </c>
      <c r="AG180" s="360">
        <v>0</v>
      </c>
      <c r="AH180" s="360">
        <v>0</v>
      </c>
      <c r="AI180" s="360">
        <v>0</v>
      </c>
      <c r="AJ180" s="360">
        <v>0</v>
      </c>
      <c r="AK180" s="360">
        <v>0</v>
      </c>
      <c r="AL180" s="360">
        <f t="shared" si="10"/>
        <v>0</v>
      </c>
      <c r="AM180" s="362">
        <f>ERP_8[[#This Row],[2026 Working Total]]-ERP_8[[#This Row],[LE2 Final Submission]]</f>
        <v>0</v>
      </c>
      <c r="AN180" s="79">
        <v>0</v>
      </c>
      <c r="AO180" s="79">
        <f t="shared" si="11"/>
        <v>0</v>
      </c>
      <c r="AP180" s="374">
        <f>SUM(ERP_8[[#This Row],[AP01]:[AP07]])-SUM(ERP_8[[#This Row],[AP01 LE2]:[AP07 LE2]])</f>
        <v>0</v>
      </c>
      <c r="AQ180" s="80"/>
      <c r="AR180" s="79">
        <f>ERP_8[[#This Row],[2026 Working Total to Budget/LE]]-ERP_8[[#This Row],[Giveback]]</f>
        <v>0</v>
      </c>
      <c r="AS180" s="81"/>
      <c r="AT180" s="375"/>
      <c r="AU180" s="375">
        <v>0</v>
      </c>
      <c r="AV180" s="375">
        <v>0</v>
      </c>
      <c r="AW180" s="375">
        <v>0</v>
      </c>
      <c r="AX180" s="375">
        <v>0</v>
      </c>
      <c r="AY180" s="375">
        <v>0</v>
      </c>
      <c r="AZ180" s="375">
        <v>0</v>
      </c>
      <c r="BA180" s="375">
        <v>0</v>
      </c>
      <c r="BB180" s="375">
        <v>0</v>
      </c>
      <c r="BC180" s="375">
        <v>0</v>
      </c>
      <c r="BD180" s="375">
        <v>0</v>
      </c>
      <c r="BE180" s="375">
        <v>0</v>
      </c>
      <c r="BF180" s="375">
        <v>0</v>
      </c>
      <c r="BG180" s="79"/>
      <c r="BH180" s="79">
        <v>0</v>
      </c>
      <c r="BI180" s="79">
        <v>0</v>
      </c>
      <c r="BJ180" s="79">
        <v>0</v>
      </c>
      <c r="BK180" s="79">
        <v>0</v>
      </c>
      <c r="BL180" s="79">
        <v>0</v>
      </c>
      <c r="BM180" s="79">
        <v>0</v>
      </c>
      <c r="BN180" s="79">
        <v>0</v>
      </c>
      <c r="BO180" s="79">
        <v>0</v>
      </c>
      <c r="BP180" s="79">
        <v>0</v>
      </c>
      <c r="BQ180" s="79">
        <v>0</v>
      </c>
      <c r="BR180" s="79">
        <v>0</v>
      </c>
      <c r="BS180" s="79">
        <v>0</v>
      </c>
    </row>
    <row r="181" spans="1:71" ht="15" hidden="1" customHeight="1">
      <c r="A181" s="66" t="s">
        <v>1690</v>
      </c>
      <c r="B181" s="737" t="s">
        <v>1691</v>
      </c>
      <c r="C181" s="346"/>
      <c r="D181" s="343" t="str">
        <f>_xlfn.TEXTJOIN("_",FALSE,E181,ERP_8[[#This Row],[Expense Category]],ERP_8[[#This Row],[Project Code*]])</f>
        <v>Dougherty, Chris_HW MAINTENANCE_BillingSweep016</v>
      </c>
      <c r="E181" s="343" t="s">
        <v>1135</v>
      </c>
      <c r="F181" s="346"/>
      <c r="G181" s="150" t="s">
        <v>1136</v>
      </c>
      <c r="H181" s="150" t="s">
        <v>1135</v>
      </c>
      <c r="I181" s="150" t="s">
        <v>1137</v>
      </c>
      <c r="J181" s="150" t="s">
        <v>1137</v>
      </c>
      <c r="K181" s="511" t="s">
        <v>342</v>
      </c>
      <c r="L181" s="392" t="s">
        <v>356</v>
      </c>
      <c r="M181" s="343"/>
      <c r="N181" s="800"/>
      <c r="O181" s="70" t="s">
        <v>356</v>
      </c>
      <c r="P181" s="346" t="s">
        <v>1139</v>
      </c>
      <c r="Q181" s="346" t="s">
        <v>1140</v>
      </c>
      <c r="R181" s="346"/>
      <c r="S181" s="150" t="s">
        <v>25</v>
      </c>
      <c r="T181" s="1" t="s">
        <v>1141</v>
      </c>
      <c r="U181" s="404"/>
      <c r="V181" s="407">
        <v>0</v>
      </c>
      <c r="W181" s="407">
        <v>0</v>
      </c>
      <c r="X181" s="430"/>
      <c r="Y181" s="137"/>
      <c r="Z181" s="784"/>
      <c r="AA181" s="780">
        <v>0</v>
      </c>
      <c r="AB181" s="780">
        <v>0</v>
      </c>
      <c r="AC181" s="428">
        <v>-3033.45</v>
      </c>
      <c r="AD181" s="429">
        <v>0</v>
      </c>
      <c r="AE181" s="429">
        <v>0</v>
      </c>
      <c r="AF181" s="429">
        <v>0</v>
      </c>
      <c r="AG181" s="360">
        <v>0</v>
      </c>
      <c r="AH181" s="360">
        <v>0</v>
      </c>
      <c r="AI181" s="360">
        <v>0</v>
      </c>
      <c r="AJ181" s="360">
        <v>0</v>
      </c>
      <c r="AK181" s="360">
        <v>0</v>
      </c>
      <c r="AL181" s="360">
        <f t="shared" si="10"/>
        <v>-3033.45</v>
      </c>
      <c r="AM181" s="362">
        <f>ERP_8[[#This Row],[2026 Working Total]]-ERP_8[[#This Row],[LE2 Final Submission]]</f>
        <v>-3033.45</v>
      </c>
      <c r="AN181" s="79">
        <v>0</v>
      </c>
      <c r="AO181" s="79">
        <f t="shared" si="11"/>
        <v>0</v>
      </c>
      <c r="AP181" s="374">
        <f>SUM(ERP_8[[#This Row],[AP01]:[AP07]])-SUM(ERP_8[[#This Row],[AP01 LE2]:[AP07 LE2]])</f>
        <v>-3033.45</v>
      </c>
      <c r="AQ181" s="80"/>
      <c r="AR181" s="79">
        <f>ERP_8[[#This Row],[2026 Working Total to Budget/LE]]-ERP_8[[#This Row],[Giveback]]</f>
        <v>-3033.45</v>
      </c>
      <c r="AS181" s="81"/>
      <c r="AT181" s="375"/>
      <c r="AU181" s="375">
        <v>0</v>
      </c>
      <c r="AV181" s="375">
        <v>0</v>
      </c>
      <c r="AW181" s="375">
        <v>0</v>
      </c>
      <c r="AX181" s="375">
        <v>0</v>
      </c>
      <c r="AY181" s="375">
        <v>0</v>
      </c>
      <c r="AZ181" s="375">
        <v>0</v>
      </c>
      <c r="BA181" s="375">
        <v>0</v>
      </c>
      <c r="BB181" s="375">
        <v>0</v>
      </c>
      <c r="BC181" s="375">
        <v>0</v>
      </c>
      <c r="BD181" s="375">
        <v>0</v>
      </c>
      <c r="BE181" s="375">
        <v>0</v>
      </c>
      <c r="BF181" s="375">
        <v>0</v>
      </c>
      <c r="BG181" s="79"/>
      <c r="BH181" s="79">
        <v>0</v>
      </c>
      <c r="BI181" s="79">
        <v>0</v>
      </c>
      <c r="BJ181" s="79">
        <v>0</v>
      </c>
      <c r="BK181" s="79">
        <v>0</v>
      </c>
      <c r="BL181" s="79">
        <v>0</v>
      </c>
      <c r="BM181" s="79">
        <v>0</v>
      </c>
      <c r="BN181" s="79">
        <v>0</v>
      </c>
      <c r="BO181" s="79">
        <v>0</v>
      </c>
      <c r="BP181" s="79">
        <v>0</v>
      </c>
      <c r="BQ181" s="79">
        <v>0</v>
      </c>
      <c r="BR181" s="79">
        <v>0</v>
      </c>
      <c r="BS181" s="79">
        <v>0</v>
      </c>
    </row>
    <row r="182" spans="1:71" ht="15" hidden="1" customHeight="1">
      <c r="A182" s="150" t="s">
        <v>1692</v>
      </c>
      <c r="B182" s="749" t="s">
        <v>1693</v>
      </c>
      <c r="C182" s="348"/>
      <c r="D182" s="347" t="str">
        <f>_xlfn.TEXTJOIN("_",FALSE,E182,ERP_8[[#This Row],[Expense Category]],ERP_8[[#This Row],[Project Code*]])</f>
        <v>Dougherty, Chris_HW MAINTENANCE_BILLINGSWEEP017</v>
      </c>
      <c r="E182" s="347" t="s">
        <v>1135</v>
      </c>
      <c r="F182" s="348"/>
      <c r="G182" s="150" t="s">
        <v>1136</v>
      </c>
      <c r="H182" s="150" t="s">
        <v>1135</v>
      </c>
      <c r="I182" s="150" t="s">
        <v>1137</v>
      </c>
      <c r="J182" s="150" t="s">
        <v>1137</v>
      </c>
      <c r="K182" s="514" t="s">
        <v>342</v>
      </c>
      <c r="L182" s="394" t="s">
        <v>1694</v>
      </c>
      <c r="M182" s="333"/>
      <c r="N182" s="467" t="s">
        <v>1695</v>
      </c>
      <c r="O182" s="90" t="s">
        <v>358</v>
      </c>
      <c r="P182" s="347"/>
      <c r="Q182" s="347"/>
      <c r="R182" s="348"/>
      <c r="S182" s="348"/>
      <c r="T182" s="1" t="s">
        <v>1141</v>
      </c>
      <c r="U182" s="402"/>
      <c r="V182" s="406"/>
      <c r="W182" s="406"/>
      <c r="X182" s="425"/>
      <c r="Y182" s="71"/>
      <c r="Z182" s="784"/>
      <c r="AA182" s="780"/>
      <c r="AB182" s="780"/>
      <c r="AC182" s="429">
        <v>-638.70000000000005</v>
      </c>
      <c r="AD182" s="429">
        <v>0</v>
      </c>
      <c r="AE182" s="429">
        <v>0</v>
      </c>
      <c r="AF182" s="429">
        <v>0</v>
      </c>
      <c r="AG182" s="364"/>
      <c r="AH182" s="364"/>
      <c r="AI182" s="364"/>
      <c r="AJ182" s="364"/>
      <c r="AK182" s="364"/>
      <c r="AL182" s="360">
        <f t="shared" si="10"/>
        <v>-638.70000000000005</v>
      </c>
      <c r="AM182" s="362">
        <f>ERP_8[[#This Row],[2026 Working Total]]-ERP_8[[#This Row],[LE2 Final Submission]]</f>
        <v>-638.70000000000005</v>
      </c>
      <c r="AN182" s="79">
        <v>0</v>
      </c>
      <c r="AO182" s="79">
        <f t="shared" si="11"/>
        <v>0</v>
      </c>
      <c r="AP182" s="374">
        <f>SUM(ERP_8[[#This Row],[AP01]:[AP07]])-SUM(ERP_8[[#This Row],[AP01 LE2]:[AP07 LE2]])</f>
        <v>-638.70000000000005</v>
      </c>
      <c r="AQ182" s="80"/>
      <c r="AR182" s="79">
        <f>ERP_8[[#This Row],[2026 Working Total to Budget/LE]]-ERP_8[[#This Row],[Giveback]]</f>
        <v>-638.70000000000005</v>
      </c>
      <c r="AS182" s="81"/>
      <c r="AT182" s="375"/>
      <c r="AU182" s="375"/>
      <c r="AV182" s="375"/>
      <c r="AW182" s="375"/>
      <c r="AX182" s="375"/>
      <c r="AY182" s="375"/>
      <c r="AZ182" s="375"/>
      <c r="BA182" s="375"/>
      <c r="BB182" s="375"/>
      <c r="BC182" s="375"/>
      <c r="BD182" s="375"/>
      <c r="BE182" s="375"/>
      <c r="BF182" s="375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</row>
    <row r="183" spans="1:71" ht="15" hidden="1" customHeight="1">
      <c r="A183" s="66" t="s">
        <v>1696</v>
      </c>
      <c r="B183" s="737" t="s">
        <v>1697</v>
      </c>
      <c r="C183" s="346"/>
      <c r="D183" s="343" t="str">
        <f>_xlfn.TEXTJOIN("_",FALSE,E183,ERP_8[[#This Row],[Expense Category]],ERP_8[[#This Row],[Project Code*]])</f>
        <v>Dougherty, Chris_HW MAINTENANCE_BillingSweep019</v>
      </c>
      <c r="E183" s="343" t="s">
        <v>1135</v>
      </c>
      <c r="F183" s="346"/>
      <c r="G183" s="150" t="s">
        <v>1136</v>
      </c>
      <c r="H183" s="150" t="s">
        <v>1135</v>
      </c>
      <c r="I183" s="150" t="s">
        <v>1137</v>
      </c>
      <c r="J183" s="150" t="s">
        <v>1137</v>
      </c>
      <c r="K183" s="511" t="s">
        <v>342</v>
      </c>
      <c r="L183" s="392" t="s">
        <v>360</v>
      </c>
      <c r="M183" s="343"/>
      <c r="N183" s="800"/>
      <c r="O183" s="70" t="s">
        <v>360</v>
      </c>
      <c r="P183" s="346"/>
      <c r="Q183" s="346" t="s">
        <v>1140</v>
      </c>
      <c r="R183" s="346"/>
      <c r="S183" s="150" t="s">
        <v>25</v>
      </c>
      <c r="T183" s="150"/>
      <c r="U183" s="404"/>
      <c r="V183" s="407">
        <v>0</v>
      </c>
      <c r="W183" s="407">
        <v>0</v>
      </c>
      <c r="X183" s="430"/>
      <c r="Y183" s="137"/>
      <c r="Z183" s="784"/>
      <c r="AA183" s="780"/>
      <c r="AB183" s="780">
        <v>0</v>
      </c>
      <c r="AC183" s="428">
        <v>0</v>
      </c>
      <c r="AD183" s="429">
        <v>0</v>
      </c>
      <c r="AE183" s="429">
        <v>0</v>
      </c>
      <c r="AF183" s="429">
        <v>0</v>
      </c>
      <c r="AG183" s="360">
        <v>0</v>
      </c>
      <c r="AH183" s="360">
        <v>0</v>
      </c>
      <c r="AI183" s="360">
        <v>0</v>
      </c>
      <c r="AJ183" s="360">
        <v>0</v>
      </c>
      <c r="AK183" s="360">
        <v>0</v>
      </c>
      <c r="AL183" s="360">
        <f t="shared" si="10"/>
        <v>0</v>
      </c>
      <c r="AM183" s="362">
        <f>ERP_8[[#This Row],[2026 Working Total]]-ERP_8[[#This Row],[LE2 Final Submission]]</f>
        <v>0</v>
      </c>
      <c r="AN183" s="79">
        <v>0</v>
      </c>
      <c r="AO183" s="79">
        <f t="shared" si="11"/>
        <v>0</v>
      </c>
      <c r="AP183" s="374">
        <f>SUM(ERP_8[[#This Row],[AP01]:[AP07]])-SUM(ERP_8[[#This Row],[AP01 LE2]:[AP07 LE2]])</f>
        <v>0</v>
      </c>
      <c r="AQ183" s="80"/>
      <c r="AR183" s="79">
        <f>ERP_8[[#This Row],[2026 Working Total to Budget/LE]]-ERP_8[[#This Row],[Giveback]]</f>
        <v>0</v>
      </c>
      <c r="AS183" s="81"/>
      <c r="AT183" s="375"/>
      <c r="AU183" s="375"/>
      <c r="AV183" s="375">
        <v>0</v>
      </c>
      <c r="AW183" s="375">
        <v>0</v>
      </c>
      <c r="AX183" s="375">
        <v>0</v>
      </c>
      <c r="AY183" s="375">
        <v>0</v>
      </c>
      <c r="AZ183" s="375">
        <v>0</v>
      </c>
      <c r="BA183" s="375">
        <v>0</v>
      </c>
      <c r="BB183" s="375">
        <v>0</v>
      </c>
      <c r="BC183" s="375">
        <v>0</v>
      </c>
      <c r="BD183" s="375">
        <v>0</v>
      </c>
      <c r="BE183" s="375">
        <v>0</v>
      </c>
      <c r="BF183" s="375">
        <v>0</v>
      </c>
      <c r="BG183" s="79"/>
      <c r="BH183" s="79"/>
      <c r="BI183" s="79">
        <v>0</v>
      </c>
      <c r="BJ183" s="79">
        <v>0</v>
      </c>
      <c r="BK183" s="79">
        <v>0</v>
      </c>
      <c r="BL183" s="79">
        <v>0</v>
      </c>
      <c r="BM183" s="79">
        <v>0</v>
      </c>
      <c r="BN183" s="79">
        <v>0</v>
      </c>
      <c r="BO183" s="79">
        <v>0</v>
      </c>
      <c r="BP183" s="79">
        <v>0</v>
      </c>
      <c r="BQ183" s="79">
        <v>0</v>
      </c>
      <c r="BR183" s="79">
        <v>0</v>
      </c>
      <c r="BS183" s="79">
        <v>0</v>
      </c>
    </row>
    <row r="184" spans="1:71" ht="15" hidden="1" customHeight="1">
      <c r="A184" s="79" t="s">
        <v>1698</v>
      </c>
      <c r="B184" s="737" t="s">
        <v>361</v>
      </c>
      <c r="C184" s="346"/>
      <c r="D184" s="343" t="str">
        <f>_xlfn.TEXTJOIN("_",FALSE,E184,ERP_8[[#This Row],[Expense Category]],ERP_8[[#This Row],[Project Code*]])</f>
        <v>Dougherty, Chris_HW MAINTENANCE_BillSweepMisc</v>
      </c>
      <c r="E184" s="343" t="s">
        <v>1135</v>
      </c>
      <c r="F184" s="346"/>
      <c r="G184" s="150" t="s">
        <v>1136</v>
      </c>
      <c r="H184" t="s">
        <v>1135</v>
      </c>
      <c r="I184" t="s">
        <v>1135</v>
      </c>
      <c r="J184" t="s">
        <v>1135</v>
      </c>
      <c r="K184" s="514" t="s">
        <v>342</v>
      </c>
      <c r="L184" s="395" t="s">
        <v>1699</v>
      </c>
      <c r="M184" s="343"/>
      <c r="N184" s="801"/>
      <c r="O184" s="70" t="s">
        <v>362</v>
      </c>
      <c r="P184" s="347"/>
      <c r="Q184" s="343"/>
      <c r="R184" s="348"/>
      <c r="S184" s="348"/>
      <c r="T184" s="348" t="s">
        <v>1700</v>
      </c>
      <c r="U184" s="402"/>
      <c r="V184" s="358"/>
      <c r="W184" s="379">
        <v>0</v>
      </c>
      <c r="X184" s="430"/>
      <c r="Y184" s="137"/>
      <c r="Z184" s="784"/>
      <c r="AA184" s="780"/>
      <c r="AB184" s="780"/>
      <c r="AC184" s="428" t="s">
        <v>1142</v>
      </c>
      <c r="AD184" s="429">
        <v>0</v>
      </c>
      <c r="AE184" s="429">
        <v>0</v>
      </c>
      <c r="AF184" s="429" t="s">
        <v>1142</v>
      </c>
      <c r="AG184" s="364"/>
      <c r="AH184" s="364"/>
      <c r="AI184" s="364"/>
      <c r="AJ184" s="364"/>
      <c r="AK184" s="364"/>
      <c r="AL184" s="360">
        <f t="shared" si="10"/>
        <v>0</v>
      </c>
      <c r="AM184" s="362">
        <f>ERP_8[[#This Row],[2026 Working Total]]-ERP_8[[#This Row],[LE2 Final Submission]]</f>
        <v>0</v>
      </c>
      <c r="AN184" s="79">
        <v>0</v>
      </c>
      <c r="AO184" s="79">
        <f t="shared" si="11"/>
        <v>0</v>
      </c>
      <c r="AP184" s="374">
        <f>SUM(ERP_8[[#This Row],[AP01]:[AP07]])-SUM(ERP_8[[#This Row],[AP01 LE2]:[AP07 LE2]])</f>
        <v>0</v>
      </c>
      <c r="AQ184" s="80"/>
      <c r="AR184" s="79">
        <f>ERP_8[[#This Row],[2026 Working Total to Budget/LE]]-ERP_8[[#This Row],[Giveback]]</f>
        <v>0</v>
      </c>
      <c r="AS184" s="81"/>
      <c r="AT184" s="375"/>
      <c r="AU184" s="375"/>
      <c r="AV184" s="375"/>
      <c r="AW184" s="375">
        <v>-16084.39</v>
      </c>
      <c r="AX184" s="375">
        <v>16084.39</v>
      </c>
      <c r="AY184" s="375"/>
      <c r="AZ184" s="375"/>
      <c r="BA184" s="375"/>
      <c r="BB184" s="375"/>
      <c r="BC184" s="375"/>
      <c r="BD184" s="375"/>
      <c r="BE184" s="375"/>
      <c r="BF184" s="375">
        <v>0</v>
      </c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</row>
    <row r="185" spans="1:71" ht="15" hidden="1" customHeight="1">
      <c r="A185" s="66" t="s">
        <v>1701</v>
      </c>
      <c r="B185" s="737" t="s">
        <v>363</v>
      </c>
      <c r="C185" s="346"/>
      <c r="D185" s="343" t="str">
        <f>_xlfn.TEXTJOIN("_",FALSE,E185,ERP_8[[#This Row],[Expense Category]],ERP_8[[#This Row],[Project Code*]])</f>
        <v>Dougherty, Chris_HW MAINTENANCE_EP&amp;SCharges001</v>
      </c>
      <c r="E185" s="343" t="s">
        <v>1135</v>
      </c>
      <c r="F185" s="346"/>
      <c r="G185" s="150" t="s">
        <v>1136</v>
      </c>
      <c r="H185" s="150" t="s">
        <v>1135</v>
      </c>
      <c r="I185" s="150" t="s">
        <v>1135</v>
      </c>
      <c r="J185" s="150" t="s">
        <v>1137</v>
      </c>
      <c r="K185" s="511" t="s">
        <v>342</v>
      </c>
      <c r="L185" s="392" t="s">
        <v>1174</v>
      </c>
      <c r="M185" s="343"/>
      <c r="N185" s="800"/>
      <c r="O185" s="70" t="s">
        <v>56</v>
      </c>
      <c r="P185" s="346" t="s">
        <v>1139</v>
      </c>
      <c r="Q185" s="346" t="s">
        <v>1140</v>
      </c>
      <c r="R185" s="346"/>
      <c r="S185" s="150" t="s">
        <v>57</v>
      </c>
      <c r="T185" s="150"/>
      <c r="U185" s="403"/>
      <c r="V185" s="406">
        <v>0</v>
      </c>
      <c r="W185" s="406">
        <v>2120</v>
      </c>
      <c r="X185" s="425"/>
      <c r="Y185" s="71"/>
      <c r="Z185" s="784">
        <v>2120</v>
      </c>
      <c r="AA185" s="780">
        <v>0</v>
      </c>
      <c r="AB185" s="780">
        <v>0</v>
      </c>
      <c r="AC185" s="428" t="s">
        <v>1142</v>
      </c>
      <c r="AD185" s="429">
        <v>0</v>
      </c>
      <c r="AE185" s="429">
        <v>0</v>
      </c>
      <c r="AF185" s="429" t="s">
        <v>1142</v>
      </c>
      <c r="AG185" s="360">
        <v>0</v>
      </c>
      <c r="AH185" s="360">
        <v>0</v>
      </c>
      <c r="AI185" s="360">
        <v>0</v>
      </c>
      <c r="AJ185" s="360">
        <v>0</v>
      </c>
      <c r="AK185" s="360">
        <v>0</v>
      </c>
      <c r="AL185" s="360">
        <f t="shared" si="10"/>
        <v>2120</v>
      </c>
      <c r="AM185" s="362">
        <f>ERP_8[[#This Row],[2026 Working Total]]-ERP_8[[#This Row],[LE2 Final Submission]]</f>
        <v>0</v>
      </c>
      <c r="AN185" s="79">
        <v>0</v>
      </c>
      <c r="AO185" s="79">
        <f t="shared" si="11"/>
        <v>0</v>
      </c>
      <c r="AP185" s="374">
        <f>SUM(ERP_8[[#This Row],[AP01]:[AP07]])-SUM(ERP_8[[#This Row],[AP01 LE2]:[AP07 LE2]])</f>
        <v>0</v>
      </c>
      <c r="AQ185" s="80"/>
      <c r="AR185" s="79">
        <f>ERP_8[[#This Row],[2026 Working Total to Budget/LE]]-ERP_8[[#This Row],[Giveback]]</f>
        <v>0</v>
      </c>
      <c r="AS185" s="81"/>
      <c r="AT185" s="375">
        <v>2120</v>
      </c>
      <c r="AU185" s="375">
        <v>0</v>
      </c>
      <c r="AV185" s="375">
        <v>0</v>
      </c>
      <c r="AW185" s="375">
        <v>0</v>
      </c>
      <c r="AX185" s="375">
        <v>0</v>
      </c>
      <c r="AY185" s="375">
        <v>0</v>
      </c>
      <c r="AZ185" s="375">
        <v>0</v>
      </c>
      <c r="BA185" s="375">
        <v>0</v>
      </c>
      <c r="BB185" s="375">
        <v>0</v>
      </c>
      <c r="BC185" s="375">
        <v>0</v>
      </c>
      <c r="BD185" s="375">
        <v>0</v>
      </c>
      <c r="BE185" s="375">
        <v>0</v>
      </c>
      <c r="BF185" s="375">
        <v>2120</v>
      </c>
      <c r="BG185" s="79">
        <v>2120</v>
      </c>
      <c r="BH185" s="79">
        <v>0</v>
      </c>
      <c r="BI185" s="79">
        <v>0</v>
      </c>
      <c r="BJ185" s="79">
        <v>0</v>
      </c>
      <c r="BK185" s="79">
        <v>0</v>
      </c>
      <c r="BL185" s="79">
        <v>0</v>
      </c>
      <c r="BM185" s="79">
        <v>0</v>
      </c>
      <c r="BN185" s="79">
        <v>0</v>
      </c>
      <c r="BO185" s="79">
        <v>0</v>
      </c>
      <c r="BP185" s="79">
        <v>0</v>
      </c>
      <c r="BQ185" s="79">
        <v>0</v>
      </c>
      <c r="BR185" s="79">
        <v>0</v>
      </c>
      <c r="BS185" s="79">
        <v>2120</v>
      </c>
    </row>
    <row r="186" spans="1:71" ht="15" hidden="1" customHeight="1">
      <c r="A186" s="66" t="s">
        <v>1702</v>
      </c>
      <c r="B186" s="737" t="s">
        <v>364</v>
      </c>
      <c r="C186" s="346"/>
      <c r="D186" s="343" t="str">
        <f>_xlfn.TEXTJOIN("_",FALSE,E186,ERP_8[[#This Row],[Expense Category]],ERP_8[[#This Row],[Project Code*]])</f>
        <v>Dougherty, Chris_HW MAINTENANCE_IT-FGS0299-OG-US-00</v>
      </c>
      <c r="E186" s="343" t="s">
        <v>1135</v>
      </c>
      <c r="F186" s="346"/>
      <c r="G186" s="150" t="s">
        <v>1136</v>
      </c>
      <c r="H186" s="150" t="s">
        <v>1135</v>
      </c>
      <c r="I186" s="150" t="s">
        <v>1135</v>
      </c>
      <c r="J186" s="150" t="s">
        <v>1137</v>
      </c>
      <c r="K186" s="511" t="s">
        <v>342</v>
      </c>
      <c r="L186" s="392" t="s">
        <v>1703</v>
      </c>
      <c r="M186" s="343"/>
      <c r="N186" s="800"/>
      <c r="O186" s="70" t="s">
        <v>365</v>
      </c>
      <c r="P186" s="346"/>
      <c r="Q186" s="346" t="s">
        <v>1140</v>
      </c>
      <c r="R186" s="346"/>
      <c r="S186" s="150" t="s">
        <v>57</v>
      </c>
      <c r="T186" s="150"/>
      <c r="U186" s="403"/>
      <c r="V186" s="406">
        <v>0</v>
      </c>
      <c r="W186" s="406">
        <v>20</v>
      </c>
      <c r="X186" s="425"/>
      <c r="Y186" s="71"/>
      <c r="Z186" s="784">
        <v>20</v>
      </c>
      <c r="AA186" s="780">
        <v>0</v>
      </c>
      <c r="AB186" s="780">
        <v>0</v>
      </c>
      <c r="AC186" s="428">
        <v>22</v>
      </c>
      <c r="AD186" s="429">
        <v>0</v>
      </c>
      <c r="AE186" s="429">
        <v>2147</v>
      </c>
      <c r="AF186" s="429">
        <v>0</v>
      </c>
      <c r="AG186" s="360">
        <v>0</v>
      </c>
      <c r="AH186" s="360">
        <v>0</v>
      </c>
      <c r="AI186" s="360">
        <v>0</v>
      </c>
      <c r="AJ186" s="360">
        <v>0</v>
      </c>
      <c r="AK186" s="360">
        <v>0</v>
      </c>
      <c r="AL186" s="360">
        <f t="shared" si="10"/>
        <v>2189</v>
      </c>
      <c r="AM186" s="362">
        <f>ERP_8[[#This Row],[2026 Working Total]]-ERP_8[[#This Row],[LE2 Final Submission]]</f>
        <v>2169</v>
      </c>
      <c r="AN186" s="79">
        <v>0</v>
      </c>
      <c r="AO186" s="79">
        <f t="shared" si="11"/>
        <v>2147</v>
      </c>
      <c r="AP186" s="374">
        <f>SUM(ERP_8[[#This Row],[AP01]:[AP07]])-SUM(ERP_8[[#This Row],[AP01 LE2]:[AP07 LE2]])</f>
        <v>2169</v>
      </c>
      <c r="AQ186" s="80"/>
      <c r="AR186" s="79">
        <f>ERP_8[[#This Row],[2026 Working Total to Budget/LE]]-ERP_8[[#This Row],[Giveback]]</f>
        <v>2169</v>
      </c>
      <c r="AS186" s="81"/>
      <c r="AT186" s="375">
        <v>20</v>
      </c>
      <c r="AU186" s="375">
        <v>0</v>
      </c>
      <c r="AV186" s="375">
        <v>0</v>
      </c>
      <c r="AW186" s="375">
        <v>0</v>
      </c>
      <c r="AX186" s="375">
        <v>0</v>
      </c>
      <c r="AY186" s="375">
        <v>0</v>
      </c>
      <c r="AZ186" s="375">
        <v>0</v>
      </c>
      <c r="BA186" s="375">
        <v>0</v>
      </c>
      <c r="BB186" s="375">
        <v>0</v>
      </c>
      <c r="BC186" s="375">
        <v>0</v>
      </c>
      <c r="BD186" s="375">
        <v>0</v>
      </c>
      <c r="BE186" s="375">
        <v>0</v>
      </c>
      <c r="BF186" s="375">
        <v>20</v>
      </c>
      <c r="BG186" s="79">
        <v>20</v>
      </c>
      <c r="BH186" s="79">
        <v>0</v>
      </c>
      <c r="BI186" s="79">
        <v>0</v>
      </c>
      <c r="BJ186" s="79">
        <v>0</v>
      </c>
      <c r="BK186" s="79">
        <v>0</v>
      </c>
      <c r="BL186" s="79">
        <v>0</v>
      </c>
      <c r="BM186" s="79">
        <v>0</v>
      </c>
      <c r="BN186" s="79">
        <v>0</v>
      </c>
      <c r="BO186" s="79">
        <v>0</v>
      </c>
      <c r="BP186" s="79">
        <v>0</v>
      </c>
      <c r="BQ186" s="79">
        <v>0</v>
      </c>
      <c r="BR186" s="79">
        <v>0</v>
      </c>
      <c r="BS186" s="79">
        <v>20</v>
      </c>
    </row>
    <row r="187" spans="1:71" ht="15" hidden="1" customHeight="1">
      <c r="A187" s="66" t="s">
        <v>1704</v>
      </c>
      <c r="B187" s="737" t="s">
        <v>1705</v>
      </c>
      <c r="C187" s="346"/>
      <c r="D187" s="343" t="str">
        <f>_xlfn.TEXTJOIN("_",FALSE,E187,ERP_8[[#This Row],[Expense Category]],ERP_8[[#This Row],[Project Code*]])</f>
        <v>Dougherty, Chris_HW MAINTENANCE_IT-FGS0299-OG-US-00</v>
      </c>
      <c r="E187" s="343" t="s">
        <v>1135</v>
      </c>
      <c r="F187" s="346"/>
      <c r="G187" s="150" t="s">
        <v>1136</v>
      </c>
      <c r="H187" s="150" t="s">
        <v>1135</v>
      </c>
      <c r="I187" s="150" t="s">
        <v>1137</v>
      </c>
      <c r="J187" s="150" t="s">
        <v>1137</v>
      </c>
      <c r="K187" s="511" t="s">
        <v>342</v>
      </c>
      <c r="L187" s="392" t="s">
        <v>1703</v>
      </c>
      <c r="M187" s="343"/>
      <c r="N187" s="800"/>
      <c r="O187" s="70" t="s">
        <v>365</v>
      </c>
      <c r="P187" s="346"/>
      <c r="Q187" s="346" t="s">
        <v>1140</v>
      </c>
      <c r="R187" s="346"/>
      <c r="S187" s="150" t="s">
        <v>57</v>
      </c>
      <c r="T187" s="1" t="s">
        <v>1141</v>
      </c>
      <c r="U187" s="403"/>
      <c r="V187" s="406">
        <v>0</v>
      </c>
      <c r="W187" s="406">
        <v>2955.3</v>
      </c>
      <c r="X187" s="425"/>
      <c r="Y187" s="71"/>
      <c r="Z187" s="784">
        <v>1146.01</v>
      </c>
      <c r="AA187" s="780">
        <v>0</v>
      </c>
      <c r="AB187" s="780">
        <v>1809.29</v>
      </c>
      <c r="AC187" s="428">
        <v>5504.11</v>
      </c>
      <c r="AD187" s="429">
        <v>299.02999999999997</v>
      </c>
      <c r="AE187" s="429">
        <v>0</v>
      </c>
      <c r="AF187" s="429">
        <v>285.10000000000002</v>
      </c>
      <c r="AG187" s="360">
        <v>0</v>
      </c>
      <c r="AH187" s="360">
        <v>0</v>
      </c>
      <c r="AI187" s="360">
        <v>0</v>
      </c>
      <c r="AJ187" s="360">
        <v>0</v>
      </c>
      <c r="AK187" s="360">
        <v>0</v>
      </c>
      <c r="AL187" s="360">
        <f t="shared" si="10"/>
        <v>9043.5400000000009</v>
      </c>
      <c r="AM187" s="362">
        <f>ERP_8[[#This Row],[2026 Working Total]]-ERP_8[[#This Row],[LE2 Final Submission]]</f>
        <v>6088.2400000000007</v>
      </c>
      <c r="AN187" s="79">
        <v>0</v>
      </c>
      <c r="AO187" s="79">
        <f t="shared" si="11"/>
        <v>0</v>
      </c>
      <c r="AP187" s="374">
        <f>SUM(ERP_8[[#This Row],[AP01]:[AP07]])-SUM(ERP_8[[#This Row],[AP01 LE2]:[AP07 LE2]])</f>
        <v>6088.2400000000007</v>
      </c>
      <c r="AQ187" s="80"/>
      <c r="AR187" s="79">
        <f>ERP_8[[#This Row],[2026 Working Total to Budget/LE]]-ERP_8[[#This Row],[Giveback]]</f>
        <v>6088.2400000000007</v>
      </c>
      <c r="AS187" s="81"/>
      <c r="AT187" s="375">
        <v>1146.01</v>
      </c>
      <c r="AU187" s="375">
        <v>0</v>
      </c>
      <c r="AV187" s="375">
        <v>1809.29</v>
      </c>
      <c r="AW187" s="375">
        <v>0</v>
      </c>
      <c r="AX187" s="375">
        <v>0</v>
      </c>
      <c r="AY187" s="375">
        <v>0</v>
      </c>
      <c r="AZ187" s="375">
        <v>0</v>
      </c>
      <c r="BA187" s="375">
        <v>0</v>
      </c>
      <c r="BB187" s="375">
        <v>0</v>
      </c>
      <c r="BC187" s="375">
        <v>0</v>
      </c>
      <c r="BD187" s="375">
        <v>0</v>
      </c>
      <c r="BE187" s="375">
        <v>0</v>
      </c>
      <c r="BF187" s="375">
        <v>2955.3</v>
      </c>
      <c r="BG187" s="79">
        <v>1146.01</v>
      </c>
      <c r="BH187" s="79">
        <v>0</v>
      </c>
      <c r="BI187" s="79">
        <v>1809.29</v>
      </c>
      <c r="BJ187" s="79">
        <v>0</v>
      </c>
      <c r="BK187" s="79">
        <v>0</v>
      </c>
      <c r="BL187" s="79">
        <v>0</v>
      </c>
      <c r="BM187" s="79">
        <v>0</v>
      </c>
      <c r="BN187" s="79">
        <v>0</v>
      </c>
      <c r="BO187" s="79">
        <v>0</v>
      </c>
      <c r="BP187" s="79">
        <v>0</v>
      </c>
      <c r="BQ187" s="79">
        <v>0</v>
      </c>
      <c r="BR187" s="79">
        <v>0</v>
      </c>
      <c r="BS187" s="79">
        <v>2955.3</v>
      </c>
    </row>
    <row r="188" spans="1:71" ht="15" hidden="1" customHeight="1">
      <c r="A188" s="79" t="s">
        <v>1706</v>
      </c>
      <c r="B188" s="749" t="s">
        <v>1707</v>
      </c>
      <c r="C188" s="348"/>
      <c r="D188" s="347" t="str">
        <f>_xlfn.TEXTJOIN("_",FALSE,E188,ERP_8[[#This Row],[Expense Category]],ERP_8[[#This Row],[Project Code*]])</f>
        <v>Dougherty, Chris_HW MAINTENANCE_IT-HRD0003-OG-US-DH</v>
      </c>
      <c r="E188" s="347" t="s">
        <v>1135</v>
      </c>
      <c r="F188" s="348"/>
      <c r="G188" s="150" t="s">
        <v>1136</v>
      </c>
      <c r="H188" s="332" t="s">
        <v>1135</v>
      </c>
      <c r="I188" s="383" t="s">
        <v>1145</v>
      </c>
      <c r="J188" s="331" t="s">
        <v>1137</v>
      </c>
      <c r="K188" s="512" t="s">
        <v>342</v>
      </c>
      <c r="L188" s="811" t="s">
        <v>1708</v>
      </c>
      <c r="M188" s="343"/>
      <c r="N188" s="803"/>
      <c r="O188" s="91" t="s">
        <v>367</v>
      </c>
      <c r="P188" s="343"/>
      <c r="Q188" s="346" t="s">
        <v>1709</v>
      </c>
      <c r="R188" s="346" t="s">
        <v>1710</v>
      </c>
      <c r="S188" s="386" t="s">
        <v>368</v>
      </c>
      <c r="T188" s="346" t="s">
        <v>1348</v>
      </c>
      <c r="U188" s="437"/>
      <c r="V188" s="358">
        <v>749252.78</v>
      </c>
      <c r="W188" s="378">
        <v>0</v>
      </c>
      <c r="X188" s="425"/>
      <c r="Y188" s="71"/>
      <c r="Z188" s="783"/>
      <c r="AA188" s="781"/>
      <c r="AB188" s="781"/>
      <c r="AC188" s="428" t="s">
        <v>1142</v>
      </c>
      <c r="AD188" s="429">
        <v>0</v>
      </c>
      <c r="AE188" s="429">
        <v>0</v>
      </c>
      <c r="AF188" s="429" t="s">
        <v>1142</v>
      </c>
      <c r="AG188" s="388">
        <v>0</v>
      </c>
      <c r="AH188" s="388">
        <v>0</v>
      </c>
      <c r="AI188" s="388">
        <v>0</v>
      </c>
      <c r="AJ188" s="388">
        <v>0</v>
      </c>
      <c r="AK188" s="388">
        <v>0</v>
      </c>
      <c r="AL188" s="360">
        <f t="shared" si="10"/>
        <v>0</v>
      </c>
      <c r="AM188" s="362">
        <f>ERP_8[[#This Row],[2026 Working Total]]-ERP_8[[#This Row],[LE2 Final Submission]]</f>
        <v>0</v>
      </c>
      <c r="AN188" s="79">
        <v>0</v>
      </c>
      <c r="AO188" s="79">
        <f t="shared" si="11"/>
        <v>0</v>
      </c>
      <c r="AP188" s="374">
        <f>SUM(ERP_8[[#This Row],[AP01]:[AP07]])-SUM(ERP_8[[#This Row],[AP01 LE2]:[AP07 LE2]])</f>
        <v>0</v>
      </c>
      <c r="AQ188" s="80"/>
      <c r="AR188" s="79">
        <f>ERP_8[[#This Row],[2026 Working Total to Budget/LE]]-ERP_8[[#This Row],[Giveback]]</f>
        <v>0</v>
      </c>
      <c r="AS188" s="81"/>
      <c r="AT188" s="375"/>
      <c r="AU188" s="375"/>
      <c r="AV188" s="375"/>
      <c r="AW188" s="375">
        <v>0</v>
      </c>
      <c r="AX188" s="375">
        <v>0</v>
      </c>
      <c r="AY188" s="375">
        <v>0</v>
      </c>
      <c r="AZ188" s="375">
        <v>0</v>
      </c>
      <c r="BA188" s="375">
        <v>0</v>
      </c>
      <c r="BB188" s="375">
        <v>0</v>
      </c>
      <c r="BC188" s="375">
        <v>0</v>
      </c>
      <c r="BD188" s="375">
        <v>0</v>
      </c>
      <c r="BE188" s="375">
        <v>0</v>
      </c>
      <c r="BF188" s="375">
        <v>0</v>
      </c>
      <c r="BG188" s="103">
        <v>749252.78</v>
      </c>
      <c r="BH188" s="103">
        <v>0</v>
      </c>
      <c r="BI188" s="103">
        <v>0</v>
      </c>
      <c r="BJ188" s="103">
        <v>0</v>
      </c>
      <c r="BK188" s="103">
        <v>0</v>
      </c>
      <c r="BL188" s="103">
        <v>0</v>
      </c>
      <c r="BM188" s="103">
        <v>0</v>
      </c>
      <c r="BN188" s="103">
        <v>0</v>
      </c>
      <c r="BO188" s="103">
        <v>0</v>
      </c>
      <c r="BP188" s="103">
        <v>0</v>
      </c>
      <c r="BQ188" s="103">
        <v>0</v>
      </c>
      <c r="BR188" s="103">
        <v>0</v>
      </c>
      <c r="BS188" s="79">
        <f>SUM(ERP_8[[#This Row],[2026 AP01]:[2026 AP12]])</f>
        <v>749252.78</v>
      </c>
    </row>
    <row r="189" spans="1:71" ht="15" hidden="1" customHeight="1">
      <c r="A189" s="79" t="s">
        <v>1711</v>
      </c>
      <c r="B189" s="749" t="s">
        <v>1712</v>
      </c>
      <c r="C189" s="348"/>
      <c r="D189" s="347" t="str">
        <f>_xlfn.TEXTJOIN("_",FALSE,E189,ERP_8[[#This Row],[Expense Category]],ERP_8[[#This Row],[Project Code*]])</f>
        <v>Dougherty, Chris_HW MAINTENANCE_IT-HRD0003-OG-US-DH/PF</v>
      </c>
      <c r="E189" s="347" t="s">
        <v>1135</v>
      </c>
      <c r="F189" s="348"/>
      <c r="G189" s="150" t="s">
        <v>1136</v>
      </c>
      <c r="H189" s="332" t="s">
        <v>1135</v>
      </c>
      <c r="I189" s="383" t="s">
        <v>1145</v>
      </c>
      <c r="J189" s="331" t="s">
        <v>1137</v>
      </c>
      <c r="K189" s="512" t="s">
        <v>342</v>
      </c>
      <c r="L189" s="811" t="s">
        <v>1713</v>
      </c>
      <c r="M189" s="343"/>
      <c r="N189" s="803"/>
      <c r="O189" s="91" t="s">
        <v>370</v>
      </c>
      <c r="P189" s="343"/>
      <c r="Q189" s="346" t="s">
        <v>1709</v>
      </c>
      <c r="R189" s="346" t="s">
        <v>1710</v>
      </c>
      <c r="S189" s="386" t="s">
        <v>368</v>
      </c>
      <c r="T189" s="346" t="s">
        <v>1348</v>
      </c>
      <c r="U189" s="437"/>
      <c r="V189" s="358">
        <v>-749252.78</v>
      </c>
      <c r="W189" s="378">
        <v>0</v>
      </c>
      <c r="X189" s="425"/>
      <c r="Y189" s="71"/>
      <c r="Z189" s="783"/>
      <c r="AA189" s="781"/>
      <c r="AB189" s="781"/>
      <c r="AC189" s="428" t="s">
        <v>1142</v>
      </c>
      <c r="AD189" s="429">
        <v>0</v>
      </c>
      <c r="AE189" s="429">
        <v>0</v>
      </c>
      <c r="AF189" s="429" t="s">
        <v>1142</v>
      </c>
      <c r="AG189" s="388">
        <v>0</v>
      </c>
      <c r="AH189" s="388">
        <v>0</v>
      </c>
      <c r="AI189" s="388">
        <v>0</v>
      </c>
      <c r="AJ189" s="388">
        <v>0</v>
      </c>
      <c r="AK189" s="388">
        <v>0</v>
      </c>
      <c r="AL189" s="360">
        <f t="shared" si="10"/>
        <v>0</v>
      </c>
      <c r="AM189" s="362">
        <f>ERP_8[[#This Row],[2026 Working Total]]-ERP_8[[#This Row],[LE2 Final Submission]]</f>
        <v>0</v>
      </c>
      <c r="AN189" s="79">
        <v>0</v>
      </c>
      <c r="AO189" s="79">
        <f t="shared" si="11"/>
        <v>0</v>
      </c>
      <c r="AP189" s="374">
        <f>SUM(ERP_8[[#This Row],[AP01]:[AP07]])-SUM(ERP_8[[#This Row],[AP01 LE2]:[AP07 LE2]])</f>
        <v>0</v>
      </c>
      <c r="AQ189" s="80"/>
      <c r="AR189" s="79">
        <f>ERP_8[[#This Row],[2026 Working Total to Budget/LE]]-ERP_8[[#This Row],[Giveback]]</f>
        <v>0</v>
      </c>
      <c r="AS189" s="81"/>
      <c r="AT189" s="375"/>
      <c r="AU189" s="375"/>
      <c r="AV189" s="375"/>
      <c r="AW189" s="375">
        <v>0</v>
      </c>
      <c r="AX189" s="375">
        <v>0</v>
      </c>
      <c r="AY189" s="375">
        <v>0</v>
      </c>
      <c r="AZ189" s="375">
        <v>0</v>
      </c>
      <c r="BA189" s="375">
        <v>0</v>
      </c>
      <c r="BB189" s="375">
        <v>0</v>
      </c>
      <c r="BC189" s="375">
        <v>0</v>
      </c>
      <c r="BD189" s="375">
        <v>0</v>
      </c>
      <c r="BE189" s="375">
        <v>0</v>
      </c>
      <c r="BF189" s="375">
        <v>0</v>
      </c>
      <c r="BG189" s="103">
        <v>-749252.78</v>
      </c>
      <c r="BH189" s="103">
        <v>0</v>
      </c>
      <c r="BI189" s="103">
        <v>0</v>
      </c>
      <c r="BJ189" s="103">
        <v>0</v>
      </c>
      <c r="BK189" s="103">
        <v>0</v>
      </c>
      <c r="BL189" s="103">
        <v>0</v>
      </c>
      <c r="BM189" s="103">
        <v>0</v>
      </c>
      <c r="BN189" s="103">
        <v>0</v>
      </c>
      <c r="BO189" s="103">
        <v>0</v>
      </c>
      <c r="BP189" s="103">
        <v>0</v>
      </c>
      <c r="BQ189" s="103">
        <v>0</v>
      </c>
      <c r="BR189" s="103">
        <v>0</v>
      </c>
      <c r="BS189" s="79">
        <f>SUM(ERP_8[[#This Row],[2026 AP01]:[2026 AP12]])</f>
        <v>-749252.78</v>
      </c>
    </row>
    <row r="190" spans="1:71" ht="15" hidden="1" customHeight="1">
      <c r="A190" s="79" t="s">
        <v>1714</v>
      </c>
      <c r="B190" s="749" t="s">
        <v>1715</v>
      </c>
      <c r="C190" s="348"/>
      <c r="D190" s="347" t="str">
        <f>_xlfn.TEXTJOIN("_",FALSE,E190,ERP_8[[#This Row],[Expense Category]],ERP_8[[#This Row],[Project Code*]])</f>
        <v>Dougherty, Chris_HW MAINTENANCE_IT-HRD0004-OG-US-SS</v>
      </c>
      <c r="E190" s="347" t="s">
        <v>1135</v>
      </c>
      <c r="F190" s="348"/>
      <c r="G190" s="150" t="s">
        <v>1136</v>
      </c>
      <c r="H190" s="332" t="s">
        <v>1135</v>
      </c>
      <c r="I190" s="383" t="s">
        <v>1145</v>
      </c>
      <c r="J190" s="331" t="s">
        <v>1137</v>
      </c>
      <c r="K190" s="512" t="s">
        <v>342</v>
      </c>
      <c r="L190" s="811" t="s">
        <v>1716</v>
      </c>
      <c r="M190" s="343"/>
      <c r="N190" s="803"/>
      <c r="O190" s="91" t="s">
        <v>372</v>
      </c>
      <c r="P190" s="343"/>
      <c r="Q190" s="346" t="s">
        <v>1717</v>
      </c>
      <c r="R190" s="346" t="s">
        <v>1710</v>
      </c>
      <c r="S190" s="386" t="s">
        <v>368</v>
      </c>
      <c r="T190" s="346" t="s">
        <v>1348</v>
      </c>
      <c r="U190" s="437"/>
      <c r="V190" s="358">
        <v>783580.73</v>
      </c>
      <c r="W190" s="378">
        <v>0</v>
      </c>
      <c r="X190" s="425"/>
      <c r="Y190" s="71"/>
      <c r="Z190" s="783"/>
      <c r="AA190" s="781"/>
      <c r="AB190" s="781"/>
      <c r="AC190" s="428" t="s">
        <v>1142</v>
      </c>
      <c r="AD190" s="429">
        <v>0</v>
      </c>
      <c r="AE190" s="429">
        <v>0</v>
      </c>
      <c r="AF190" s="429" t="s">
        <v>1142</v>
      </c>
      <c r="AG190" s="388">
        <v>0</v>
      </c>
      <c r="AH190" s="388">
        <v>0</v>
      </c>
      <c r="AI190" s="388">
        <v>0</v>
      </c>
      <c r="AJ190" s="388">
        <v>0</v>
      </c>
      <c r="AK190" s="388">
        <v>0</v>
      </c>
      <c r="AL190" s="360">
        <f t="shared" si="10"/>
        <v>0</v>
      </c>
      <c r="AM190" s="362">
        <f>ERP_8[[#This Row],[2026 Working Total]]-ERP_8[[#This Row],[LE2 Final Submission]]</f>
        <v>0</v>
      </c>
      <c r="AN190" s="79">
        <v>0</v>
      </c>
      <c r="AO190" s="79">
        <f t="shared" si="11"/>
        <v>0</v>
      </c>
      <c r="AP190" s="374">
        <f>SUM(ERP_8[[#This Row],[AP01]:[AP07]])-SUM(ERP_8[[#This Row],[AP01 LE2]:[AP07 LE2]])</f>
        <v>0</v>
      </c>
      <c r="AQ190" s="80"/>
      <c r="AR190" s="79">
        <f>ERP_8[[#This Row],[2026 Working Total to Budget/LE]]-ERP_8[[#This Row],[Giveback]]</f>
        <v>0</v>
      </c>
      <c r="AS190" s="81"/>
      <c r="AT190" s="375"/>
      <c r="AU190" s="375"/>
      <c r="AV190" s="375"/>
      <c r="AW190" s="375">
        <v>0</v>
      </c>
      <c r="AX190" s="375">
        <v>0</v>
      </c>
      <c r="AY190" s="375">
        <v>0</v>
      </c>
      <c r="AZ190" s="375">
        <v>0</v>
      </c>
      <c r="BA190" s="375">
        <v>0</v>
      </c>
      <c r="BB190" s="375">
        <v>0</v>
      </c>
      <c r="BC190" s="375">
        <v>0</v>
      </c>
      <c r="BD190" s="375">
        <v>0</v>
      </c>
      <c r="BE190" s="375">
        <v>0</v>
      </c>
      <c r="BF190" s="375">
        <v>0</v>
      </c>
      <c r="BG190" s="103">
        <v>783580.73</v>
      </c>
      <c r="BH190" s="103">
        <v>0</v>
      </c>
      <c r="BI190" s="103">
        <v>0</v>
      </c>
      <c r="BJ190" s="103">
        <v>0</v>
      </c>
      <c r="BK190" s="103">
        <v>0</v>
      </c>
      <c r="BL190" s="103">
        <v>0</v>
      </c>
      <c r="BM190" s="103">
        <v>0</v>
      </c>
      <c r="BN190" s="103">
        <v>0</v>
      </c>
      <c r="BO190" s="103">
        <v>0</v>
      </c>
      <c r="BP190" s="103">
        <v>0</v>
      </c>
      <c r="BQ190" s="103">
        <v>0</v>
      </c>
      <c r="BR190" s="103">
        <v>0</v>
      </c>
      <c r="BS190" s="79">
        <f>SUM(ERP_8[[#This Row],[2026 AP01]:[2026 AP12]])</f>
        <v>783580.73</v>
      </c>
    </row>
    <row r="191" spans="1:71" ht="15" hidden="1" customHeight="1">
      <c r="A191" s="79" t="s">
        <v>1718</v>
      </c>
      <c r="B191" s="749" t="s">
        <v>1719</v>
      </c>
      <c r="C191" s="348"/>
      <c r="D191" s="347" t="str">
        <f>_xlfn.TEXTJOIN("_",FALSE,E191,ERP_8[[#This Row],[Expense Category]],ERP_8[[#This Row],[Project Code*]])</f>
        <v>Dougherty, Chris_HW MAINTENANCE_IT-HRD0004-OG-US-SS/PF</v>
      </c>
      <c r="E191" s="347" t="s">
        <v>1135</v>
      </c>
      <c r="F191" s="348"/>
      <c r="G191" s="150" t="s">
        <v>1136</v>
      </c>
      <c r="H191" s="332" t="s">
        <v>1135</v>
      </c>
      <c r="I191" s="383" t="s">
        <v>1145</v>
      </c>
      <c r="J191" s="331" t="s">
        <v>1137</v>
      </c>
      <c r="K191" s="512" t="s">
        <v>342</v>
      </c>
      <c r="L191" s="811" t="s">
        <v>1720</v>
      </c>
      <c r="M191" s="343"/>
      <c r="N191" s="803"/>
      <c r="O191" s="91" t="s">
        <v>374</v>
      </c>
      <c r="P191" s="343"/>
      <c r="Q191" s="346" t="s">
        <v>1717</v>
      </c>
      <c r="R191" s="346" t="s">
        <v>1710</v>
      </c>
      <c r="S191" s="386" t="s">
        <v>368</v>
      </c>
      <c r="T191" s="346" t="s">
        <v>1348</v>
      </c>
      <c r="U191" s="437"/>
      <c r="V191" s="358">
        <v>-783580.73</v>
      </c>
      <c r="W191" s="378">
        <v>0</v>
      </c>
      <c r="X191" s="425"/>
      <c r="Y191" s="71"/>
      <c r="Z191" s="783"/>
      <c r="AA191" s="781"/>
      <c r="AB191" s="781"/>
      <c r="AC191" s="428" t="s">
        <v>1142</v>
      </c>
      <c r="AD191" s="429">
        <v>0</v>
      </c>
      <c r="AE191" s="429">
        <v>0</v>
      </c>
      <c r="AF191" s="429" t="s">
        <v>1142</v>
      </c>
      <c r="AG191" s="388">
        <v>0</v>
      </c>
      <c r="AH191" s="388">
        <v>0</v>
      </c>
      <c r="AI191" s="388">
        <v>0</v>
      </c>
      <c r="AJ191" s="388">
        <v>0</v>
      </c>
      <c r="AK191" s="388">
        <v>0</v>
      </c>
      <c r="AL191" s="360">
        <f t="shared" si="10"/>
        <v>0</v>
      </c>
      <c r="AM191" s="362">
        <f>ERP_8[[#This Row],[2026 Working Total]]-ERP_8[[#This Row],[LE2 Final Submission]]</f>
        <v>0</v>
      </c>
      <c r="AN191" s="79">
        <v>0</v>
      </c>
      <c r="AO191" s="79">
        <f t="shared" si="11"/>
        <v>0</v>
      </c>
      <c r="AP191" s="374">
        <f>SUM(ERP_8[[#This Row],[AP01]:[AP07]])-SUM(ERP_8[[#This Row],[AP01 LE2]:[AP07 LE2]])</f>
        <v>0</v>
      </c>
      <c r="AQ191" s="80"/>
      <c r="AR191" s="79">
        <f>ERP_8[[#This Row],[2026 Working Total to Budget/LE]]-ERP_8[[#This Row],[Giveback]]</f>
        <v>0</v>
      </c>
      <c r="AS191" s="81"/>
      <c r="AT191" s="375"/>
      <c r="AU191" s="375"/>
      <c r="AV191" s="375"/>
      <c r="AW191" s="375">
        <v>0</v>
      </c>
      <c r="AX191" s="375">
        <v>0</v>
      </c>
      <c r="AY191" s="375">
        <v>0</v>
      </c>
      <c r="AZ191" s="375">
        <v>0</v>
      </c>
      <c r="BA191" s="375">
        <v>0</v>
      </c>
      <c r="BB191" s="375">
        <v>0</v>
      </c>
      <c r="BC191" s="375">
        <v>0</v>
      </c>
      <c r="BD191" s="375">
        <v>0</v>
      </c>
      <c r="BE191" s="375">
        <v>0</v>
      </c>
      <c r="BF191" s="375">
        <v>0</v>
      </c>
      <c r="BG191" s="103">
        <v>-783580.73</v>
      </c>
      <c r="BH191" s="103">
        <v>0</v>
      </c>
      <c r="BI191" s="103">
        <v>0</v>
      </c>
      <c r="BJ191" s="103">
        <v>0</v>
      </c>
      <c r="BK191" s="103">
        <v>0</v>
      </c>
      <c r="BL191" s="103">
        <v>0</v>
      </c>
      <c r="BM191" s="103">
        <v>0</v>
      </c>
      <c r="BN191" s="103">
        <v>0</v>
      </c>
      <c r="BO191" s="103">
        <v>0</v>
      </c>
      <c r="BP191" s="103">
        <v>0</v>
      </c>
      <c r="BQ191" s="103">
        <v>0</v>
      </c>
      <c r="BR191" s="103">
        <v>0</v>
      </c>
      <c r="BS191" s="79">
        <f>SUM(ERP_8[[#This Row],[2026 AP01]:[2026 AP12]])</f>
        <v>-783580.73</v>
      </c>
    </row>
    <row r="192" spans="1:71" ht="15" hidden="1" customHeight="1">
      <c r="A192" s="150" t="s">
        <v>1721</v>
      </c>
      <c r="B192" s="749" t="s">
        <v>375</v>
      </c>
      <c r="C192" s="348"/>
      <c r="D192" s="347" t="str">
        <f>_xlfn.TEXTJOIN("_",FALSE,E192,ERP_8[[#This Row],[Expense Category]],ERP_8[[#This Row],[Project Code*]])</f>
        <v>Dougherty, Chris_HW MAINTENANCE_MISC001</v>
      </c>
      <c r="E192" s="347" t="s">
        <v>1135</v>
      </c>
      <c r="F192" s="348"/>
      <c r="G192" s="150" t="s">
        <v>1136</v>
      </c>
      <c r="H192" s="332" t="s">
        <v>1135</v>
      </c>
      <c r="I192" s="332" t="s">
        <v>1135</v>
      </c>
      <c r="J192" s="333" t="s">
        <v>1135</v>
      </c>
      <c r="K192" s="514" t="s">
        <v>342</v>
      </c>
      <c r="L192" s="394" t="s">
        <v>1327</v>
      </c>
      <c r="M192" s="333"/>
      <c r="N192" s="467" t="s">
        <v>1171</v>
      </c>
      <c r="O192" s="90" t="s">
        <v>147</v>
      </c>
      <c r="P192" s="347"/>
      <c r="Q192" s="347"/>
      <c r="R192" s="348"/>
      <c r="S192" s="348"/>
      <c r="T192" s="348"/>
      <c r="U192" s="402"/>
      <c r="V192" s="402"/>
      <c r="W192" s="402"/>
      <c r="X192" s="425"/>
      <c r="Y192" s="71"/>
      <c r="Z192" s="784"/>
      <c r="AA192" s="780"/>
      <c r="AB192" s="780"/>
      <c r="AC192" s="436"/>
      <c r="AD192" s="429">
        <v>0</v>
      </c>
      <c r="AE192" s="429">
        <v>0</v>
      </c>
      <c r="AF192" s="429">
        <v>0</v>
      </c>
      <c r="AG192" s="364"/>
      <c r="AH192" s="364"/>
      <c r="AI192" s="364"/>
      <c r="AJ192" s="364"/>
      <c r="AK192" s="364"/>
      <c r="AL192" s="360">
        <f t="shared" si="10"/>
        <v>0</v>
      </c>
      <c r="AM192" s="362">
        <f>ERP_8[[#This Row],[2026 Working Total]]-ERP_8[[#This Row],[LE2 Final Submission]]</f>
        <v>0</v>
      </c>
      <c r="AN192" s="79"/>
      <c r="AO192" s="79">
        <f t="shared" si="11"/>
        <v>0</v>
      </c>
      <c r="AP192" s="374">
        <f>SUM(ERP_8[[#This Row],[AP01]:[AP07]])-SUM(ERP_8[[#This Row],[AP01 LE2]:[AP07 LE2]])</f>
        <v>0</v>
      </c>
      <c r="AQ192" s="80"/>
      <c r="AR192" s="79">
        <f>ERP_8[[#This Row],[2026 Working Total to Budget/LE]]-ERP_8[[#This Row],[Giveback]]</f>
        <v>0</v>
      </c>
      <c r="AS192" s="81"/>
      <c r="AT192" s="375"/>
      <c r="AU192" s="375"/>
      <c r="AV192" s="375"/>
      <c r="AW192" s="375"/>
      <c r="AX192" s="375"/>
      <c r="AY192" s="375"/>
      <c r="AZ192" s="375"/>
      <c r="BA192" s="375"/>
      <c r="BB192" s="375"/>
      <c r="BC192" s="375"/>
      <c r="BD192" s="375"/>
      <c r="BE192" s="375"/>
      <c r="BF192" s="375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</row>
    <row r="193" spans="1:71" ht="15" hidden="1" customHeight="1">
      <c r="A193" s="66" t="s">
        <v>1722</v>
      </c>
      <c r="B193" s="737" t="s">
        <v>1723</v>
      </c>
      <c r="C193" s="346"/>
      <c r="D193" s="343" t="str">
        <f>_xlfn.TEXTJOIN("_",FALSE,E193,ERP_8[[#This Row],[Expense Category]],ERP_8[[#This Row],[Project Code*]])</f>
        <v>Dougherty, Chris_HW MAINTENANCE_MISC001</v>
      </c>
      <c r="E193" s="343" t="s">
        <v>1135</v>
      </c>
      <c r="F193" s="346"/>
      <c r="G193" s="150" t="s">
        <v>1136</v>
      </c>
      <c r="H193" s="150" t="s">
        <v>1135</v>
      </c>
      <c r="I193" s="150" t="s">
        <v>1137</v>
      </c>
      <c r="J193" s="150" t="s">
        <v>1137</v>
      </c>
      <c r="K193" s="511" t="s">
        <v>342</v>
      </c>
      <c r="L193" s="392" t="s">
        <v>1327</v>
      </c>
      <c r="M193" s="343"/>
      <c r="N193" s="800"/>
      <c r="O193" s="70" t="s">
        <v>147</v>
      </c>
      <c r="P193" s="346"/>
      <c r="Q193" s="343"/>
      <c r="R193" s="346"/>
      <c r="S193" s="150" t="s">
        <v>25</v>
      </c>
      <c r="T193" s="1" t="s">
        <v>1141</v>
      </c>
      <c r="U193" s="403"/>
      <c r="V193" s="406">
        <v>0</v>
      </c>
      <c r="W193" s="406">
        <v>0.62000000000000011</v>
      </c>
      <c r="X193" s="425"/>
      <c r="Y193" s="71"/>
      <c r="Z193" s="784">
        <v>-0.1</v>
      </c>
      <c r="AA193" s="780">
        <v>-0.09</v>
      </c>
      <c r="AB193" s="780">
        <v>0.81</v>
      </c>
      <c r="AC193" s="428">
        <v>-0.53</v>
      </c>
      <c r="AD193" s="429">
        <v>0.61</v>
      </c>
      <c r="AE193" s="429">
        <v>0</v>
      </c>
      <c r="AF193" s="429">
        <v>-0.08</v>
      </c>
      <c r="AG193" s="360">
        <v>0</v>
      </c>
      <c r="AH193" s="360">
        <v>0</v>
      </c>
      <c r="AI193" s="360">
        <v>0</v>
      </c>
      <c r="AJ193" s="360">
        <v>0</v>
      </c>
      <c r="AK193" s="360">
        <v>0</v>
      </c>
      <c r="AL193" s="360">
        <f t="shared" si="10"/>
        <v>0.62000000000000011</v>
      </c>
      <c r="AM193" s="362">
        <f>ERP_8[[#This Row],[2026 Working Total]]-ERP_8[[#This Row],[LE2 Final Submission]]</f>
        <v>0</v>
      </c>
      <c r="AN193" s="79">
        <v>0</v>
      </c>
      <c r="AO193" s="79">
        <f t="shared" si="11"/>
        <v>0</v>
      </c>
      <c r="AP193" s="374">
        <f>SUM(ERP_8[[#This Row],[AP01]:[AP07]])-SUM(ERP_8[[#This Row],[AP01 LE2]:[AP07 LE2]])</f>
        <v>0</v>
      </c>
      <c r="AQ193" s="80"/>
      <c r="AR193" s="79">
        <f>ERP_8[[#This Row],[2026 Working Total to Budget/LE]]-ERP_8[[#This Row],[Giveback]]</f>
        <v>0</v>
      </c>
      <c r="AS193" s="81"/>
      <c r="AT193" s="375">
        <v>-0.1</v>
      </c>
      <c r="AU193" s="375">
        <v>-0.09</v>
      </c>
      <c r="AV193" s="375">
        <v>0.81</v>
      </c>
      <c r="AW193" s="375">
        <v>0</v>
      </c>
      <c r="AX193" s="375">
        <v>0</v>
      </c>
      <c r="AY193" s="375">
        <v>0</v>
      </c>
      <c r="AZ193" s="375">
        <v>0</v>
      </c>
      <c r="BA193" s="375">
        <v>0</v>
      </c>
      <c r="BB193" s="375">
        <v>0</v>
      </c>
      <c r="BC193" s="375">
        <v>0</v>
      </c>
      <c r="BD193" s="375">
        <v>0</v>
      </c>
      <c r="BE193" s="375">
        <v>0</v>
      </c>
      <c r="BF193" s="375">
        <v>0.62000000000000011</v>
      </c>
      <c r="BG193" s="79">
        <v>-0.1</v>
      </c>
      <c r="BH193" s="79">
        <v>-0.09</v>
      </c>
      <c r="BI193" s="79">
        <v>0.81</v>
      </c>
      <c r="BJ193" s="79">
        <v>0</v>
      </c>
      <c r="BK193" s="79">
        <v>0</v>
      </c>
      <c r="BL193" s="79">
        <v>0</v>
      </c>
      <c r="BM193" s="79">
        <v>0</v>
      </c>
      <c r="BN193" s="79">
        <v>0</v>
      </c>
      <c r="BO193" s="79">
        <v>0</v>
      </c>
      <c r="BP193" s="79">
        <v>0</v>
      </c>
      <c r="BQ193" s="79">
        <v>0</v>
      </c>
      <c r="BR193" s="79">
        <v>0</v>
      </c>
      <c r="BS193" s="79">
        <v>0.62000000000000011</v>
      </c>
    </row>
    <row r="194" spans="1:71" ht="15" hidden="1" customHeight="1">
      <c r="A194" s="66" t="s">
        <v>1724</v>
      </c>
      <c r="B194" s="737" t="s">
        <v>1725</v>
      </c>
      <c r="C194" s="346"/>
      <c r="D194" s="343" t="str">
        <f>_xlfn.TEXTJOIN("_",FALSE,E194,ERP_8[[#This Row],[Expense Category]],ERP_8[[#This Row],[Project Code*]])</f>
        <v>Patel, Apurva_HW MAINTENANCE_BillingSweep005</v>
      </c>
      <c r="E194" s="343" t="s">
        <v>1566</v>
      </c>
      <c r="F194" s="346"/>
      <c r="G194" s="150" t="s">
        <v>1136</v>
      </c>
      <c r="H194" s="150" t="s">
        <v>1345</v>
      </c>
      <c r="I194" s="150" t="s">
        <v>1346</v>
      </c>
      <c r="J194" s="150" t="s">
        <v>1346</v>
      </c>
      <c r="K194" s="511" t="s">
        <v>342</v>
      </c>
      <c r="L194" s="392" t="s">
        <v>1685</v>
      </c>
      <c r="M194" s="343"/>
      <c r="N194" s="800"/>
      <c r="O194" s="70" t="s">
        <v>350</v>
      </c>
      <c r="P194" s="346" t="s">
        <v>1139</v>
      </c>
      <c r="Q194" s="346" t="s">
        <v>1140</v>
      </c>
      <c r="R194" s="346"/>
      <c r="S194" s="150" t="s">
        <v>25</v>
      </c>
      <c r="T194" s="150"/>
      <c r="U194" s="403"/>
      <c r="V194" s="406">
        <v>0</v>
      </c>
      <c r="W194" s="406">
        <v>904.37</v>
      </c>
      <c r="X194" s="425"/>
      <c r="Y194" s="71"/>
      <c r="Z194" s="784">
        <v>904.37</v>
      </c>
      <c r="AA194" s="794">
        <v>0</v>
      </c>
      <c r="AB194" s="794">
        <v>0</v>
      </c>
      <c r="AC194" s="428" t="s">
        <v>1142</v>
      </c>
      <c r="AD194" s="429">
        <v>0</v>
      </c>
      <c r="AE194" s="429">
        <v>0</v>
      </c>
      <c r="AF194" s="429" t="s">
        <v>1142</v>
      </c>
      <c r="AG194" s="360">
        <v>0</v>
      </c>
      <c r="AH194" s="360">
        <v>0</v>
      </c>
      <c r="AI194" s="360">
        <v>0</v>
      </c>
      <c r="AJ194" s="360">
        <v>0</v>
      </c>
      <c r="AK194" s="360">
        <v>0</v>
      </c>
      <c r="AL194" s="360">
        <f t="shared" si="10"/>
        <v>904.37</v>
      </c>
      <c r="AM194" s="362">
        <f>ERP_8[[#This Row],[2026 Working Total]]-ERP_8[[#This Row],[LE2 Final Submission]]</f>
        <v>0</v>
      </c>
      <c r="AN194" s="79">
        <v>0</v>
      </c>
      <c r="AO194" s="79">
        <f t="shared" si="11"/>
        <v>0</v>
      </c>
      <c r="AP194" s="374">
        <f>SUM(ERP_8[[#This Row],[AP01]:[AP07]])-SUM(ERP_8[[#This Row],[AP01 LE2]:[AP07 LE2]])</f>
        <v>0</v>
      </c>
      <c r="AQ194" s="80"/>
      <c r="AR194" s="79">
        <f>ERP_8[[#This Row],[2026 Working Total to Budget/LE]]-ERP_8[[#This Row],[Giveback]]</f>
        <v>0</v>
      </c>
      <c r="AS194" s="81"/>
      <c r="AT194" s="375">
        <v>904.37</v>
      </c>
      <c r="AU194" s="375">
        <v>0</v>
      </c>
      <c r="AV194" s="375">
        <v>0</v>
      </c>
      <c r="AW194" s="375">
        <v>0</v>
      </c>
      <c r="AX194" s="375">
        <v>0</v>
      </c>
      <c r="AY194" s="375">
        <v>0</v>
      </c>
      <c r="AZ194" s="375">
        <v>0</v>
      </c>
      <c r="BA194" s="375">
        <v>0</v>
      </c>
      <c r="BB194" s="375">
        <v>0</v>
      </c>
      <c r="BC194" s="375">
        <v>0</v>
      </c>
      <c r="BD194" s="375">
        <v>0</v>
      </c>
      <c r="BE194" s="375">
        <v>0</v>
      </c>
      <c r="BF194" s="375">
        <v>904.37</v>
      </c>
      <c r="BG194" s="79">
        <v>904.37</v>
      </c>
      <c r="BH194" s="79">
        <v>0</v>
      </c>
      <c r="BI194" s="79">
        <v>0</v>
      </c>
      <c r="BJ194" s="79">
        <v>0</v>
      </c>
      <c r="BK194" s="79">
        <v>0</v>
      </c>
      <c r="BL194" s="79">
        <v>0</v>
      </c>
      <c r="BM194" s="79">
        <v>0</v>
      </c>
      <c r="BN194" s="79">
        <v>0</v>
      </c>
      <c r="BO194" s="79">
        <v>0</v>
      </c>
      <c r="BP194" s="79">
        <v>0</v>
      </c>
      <c r="BQ194" s="79">
        <v>0</v>
      </c>
      <c r="BR194" s="79">
        <v>0</v>
      </c>
      <c r="BS194" s="79">
        <v>904.37</v>
      </c>
    </row>
    <row r="195" spans="1:71" ht="15" hidden="1" customHeight="1">
      <c r="A195" s="66" t="s">
        <v>1726</v>
      </c>
      <c r="B195" s="737" t="s">
        <v>1727</v>
      </c>
      <c r="C195" s="346"/>
      <c r="D195" s="343" t="str">
        <f>_xlfn.TEXTJOIN("_",FALSE,E195,ERP_8[[#This Row],[Expense Category]],ERP_8[[#This Row],[Project Code*]])</f>
        <v>Patel, Apurva_HW MAINTENANCE_BillingSweep011</v>
      </c>
      <c r="E195" s="343" t="s">
        <v>1566</v>
      </c>
      <c r="F195" s="346"/>
      <c r="G195" s="150" t="s">
        <v>1136</v>
      </c>
      <c r="H195" s="150" t="s">
        <v>1567</v>
      </c>
      <c r="I195" s="150" t="s">
        <v>1567</v>
      </c>
      <c r="J195" s="150" t="s">
        <v>1567</v>
      </c>
      <c r="K195" s="511" t="s">
        <v>342</v>
      </c>
      <c r="L195" s="392" t="s">
        <v>352</v>
      </c>
      <c r="M195" s="343"/>
      <c r="N195" s="800"/>
      <c r="O195" s="70" t="s">
        <v>352</v>
      </c>
      <c r="P195" s="346" t="s">
        <v>1139</v>
      </c>
      <c r="Q195" s="346" t="s">
        <v>1140</v>
      </c>
      <c r="R195" s="346"/>
      <c r="S195" s="150" t="s">
        <v>25</v>
      </c>
      <c r="T195" s="150"/>
      <c r="U195" s="404"/>
      <c r="V195" s="407">
        <v>0</v>
      </c>
      <c r="W195" s="407">
        <v>0</v>
      </c>
      <c r="X195" s="425"/>
      <c r="Y195" s="71"/>
      <c r="Z195" s="784"/>
      <c r="AA195" s="794"/>
      <c r="AB195" s="794">
        <v>0</v>
      </c>
      <c r="AC195" s="428">
        <v>-11818.05</v>
      </c>
      <c r="AD195" s="429">
        <v>0</v>
      </c>
      <c r="AE195" s="429">
        <v>0</v>
      </c>
      <c r="AF195" s="429">
        <v>0</v>
      </c>
      <c r="AG195" s="360">
        <v>0</v>
      </c>
      <c r="AH195" s="360">
        <v>0</v>
      </c>
      <c r="AI195" s="360">
        <v>0</v>
      </c>
      <c r="AJ195" s="360">
        <v>0</v>
      </c>
      <c r="AK195" s="360">
        <v>0</v>
      </c>
      <c r="AL195" s="360">
        <f t="shared" si="10"/>
        <v>-11818.05</v>
      </c>
      <c r="AM195" s="362">
        <f>ERP_8[[#This Row],[2026 Working Total]]-ERP_8[[#This Row],[LE2 Final Submission]]</f>
        <v>-11818.05</v>
      </c>
      <c r="AN195" s="79">
        <v>0</v>
      </c>
      <c r="AO195" s="79">
        <f t="shared" si="11"/>
        <v>0</v>
      </c>
      <c r="AP195" s="374">
        <f>SUM(ERP_8[[#This Row],[AP01]:[AP07]])-SUM(ERP_8[[#This Row],[AP01 LE2]:[AP07 LE2]])</f>
        <v>-11818.05</v>
      </c>
      <c r="AQ195" s="80"/>
      <c r="AR195" s="79">
        <f>ERP_8[[#This Row],[2026 Working Total to Budget/LE]]-ERP_8[[#This Row],[Giveback]]</f>
        <v>-11818.05</v>
      </c>
      <c r="AS195" s="81"/>
      <c r="AT195" s="375"/>
      <c r="AU195" s="375"/>
      <c r="AV195" s="375">
        <v>0</v>
      </c>
      <c r="AW195" s="375">
        <v>0</v>
      </c>
      <c r="AX195" s="375">
        <v>0</v>
      </c>
      <c r="AY195" s="375">
        <v>0</v>
      </c>
      <c r="AZ195" s="375">
        <v>0</v>
      </c>
      <c r="BA195" s="375">
        <v>0</v>
      </c>
      <c r="BB195" s="375">
        <v>0</v>
      </c>
      <c r="BC195" s="375">
        <v>0</v>
      </c>
      <c r="BD195" s="375">
        <v>0</v>
      </c>
      <c r="BE195" s="375">
        <v>0</v>
      </c>
      <c r="BF195" s="375">
        <v>0</v>
      </c>
      <c r="BG195" s="79"/>
      <c r="BH195" s="79"/>
      <c r="BI195" s="79">
        <v>0</v>
      </c>
      <c r="BJ195" s="79">
        <v>0</v>
      </c>
      <c r="BK195" s="79">
        <v>0</v>
      </c>
      <c r="BL195" s="79">
        <v>0</v>
      </c>
      <c r="BM195" s="79">
        <v>0</v>
      </c>
      <c r="BN195" s="79">
        <v>0</v>
      </c>
      <c r="BO195" s="79">
        <v>0</v>
      </c>
      <c r="BP195" s="79">
        <v>0</v>
      </c>
      <c r="BQ195" s="79">
        <v>0</v>
      </c>
      <c r="BR195" s="79">
        <v>0</v>
      </c>
      <c r="BS195" s="79">
        <v>0</v>
      </c>
    </row>
    <row r="196" spans="1:71" ht="15" hidden="1" customHeight="1">
      <c r="A196" s="66" t="s">
        <v>1728</v>
      </c>
      <c r="B196" s="737" t="s">
        <v>1729</v>
      </c>
      <c r="C196" s="346"/>
      <c r="D196" s="343" t="str">
        <f>_xlfn.TEXTJOIN("_",FALSE,E196,ERP_8[[#This Row],[Expense Category]],ERP_8[[#This Row],[Project Code*]])</f>
        <v>Patel, Apurva_HW MAINTENANCE_BillingSweep016</v>
      </c>
      <c r="E196" s="343" t="s">
        <v>1566</v>
      </c>
      <c r="F196" s="346"/>
      <c r="G196" s="150" t="s">
        <v>1136</v>
      </c>
      <c r="H196" s="150" t="s">
        <v>1567</v>
      </c>
      <c r="I196" s="150" t="s">
        <v>1567</v>
      </c>
      <c r="J196" s="150" t="s">
        <v>1567</v>
      </c>
      <c r="K196" s="511" t="s">
        <v>342</v>
      </c>
      <c r="L196" s="392" t="s">
        <v>356</v>
      </c>
      <c r="M196" s="343"/>
      <c r="N196" s="800"/>
      <c r="O196" s="70" t="s">
        <v>356</v>
      </c>
      <c r="P196" s="346" t="s">
        <v>1139</v>
      </c>
      <c r="Q196" s="346" t="s">
        <v>1140</v>
      </c>
      <c r="R196" s="346"/>
      <c r="S196" s="150" t="s">
        <v>25</v>
      </c>
      <c r="T196" s="150"/>
      <c r="U196" s="404"/>
      <c r="V196" s="407">
        <v>0</v>
      </c>
      <c r="W196" s="407">
        <v>0</v>
      </c>
      <c r="X196" s="425"/>
      <c r="Y196" s="71"/>
      <c r="Z196" s="784"/>
      <c r="AA196" s="794"/>
      <c r="AB196" s="794">
        <v>0</v>
      </c>
      <c r="AC196" s="428">
        <v>0</v>
      </c>
      <c r="AD196" s="429">
        <v>0</v>
      </c>
      <c r="AE196" s="429">
        <v>0</v>
      </c>
      <c r="AF196" s="429">
        <v>0</v>
      </c>
      <c r="AG196" s="360">
        <v>0</v>
      </c>
      <c r="AH196" s="360">
        <v>0</v>
      </c>
      <c r="AI196" s="360">
        <v>0</v>
      </c>
      <c r="AJ196" s="360">
        <v>0</v>
      </c>
      <c r="AK196" s="360">
        <v>0</v>
      </c>
      <c r="AL196" s="360">
        <f t="shared" si="10"/>
        <v>0</v>
      </c>
      <c r="AM196" s="362">
        <f>ERP_8[[#This Row],[2026 Working Total]]-ERP_8[[#This Row],[LE2 Final Submission]]</f>
        <v>0</v>
      </c>
      <c r="AN196" s="79">
        <v>0</v>
      </c>
      <c r="AO196" s="79">
        <f t="shared" si="11"/>
        <v>0</v>
      </c>
      <c r="AP196" s="374">
        <f>SUM(ERP_8[[#This Row],[AP01]:[AP07]])-SUM(ERP_8[[#This Row],[AP01 LE2]:[AP07 LE2]])</f>
        <v>0</v>
      </c>
      <c r="AQ196" s="80"/>
      <c r="AR196" s="79">
        <f>ERP_8[[#This Row],[2026 Working Total to Budget/LE]]-ERP_8[[#This Row],[Giveback]]</f>
        <v>0</v>
      </c>
      <c r="AS196" s="81"/>
      <c r="AT196" s="375"/>
      <c r="AU196" s="375"/>
      <c r="AV196" s="375">
        <v>0</v>
      </c>
      <c r="AW196" s="375">
        <v>0</v>
      </c>
      <c r="AX196" s="375">
        <v>0</v>
      </c>
      <c r="AY196" s="375">
        <v>0</v>
      </c>
      <c r="AZ196" s="375">
        <v>0</v>
      </c>
      <c r="BA196" s="375">
        <v>0</v>
      </c>
      <c r="BB196" s="375">
        <v>0</v>
      </c>
      <c r="BC196" s="375">
        <v>0</v>
      </c>
      <c r="BD196" s="375">
        <v>0</v>
      </c>
      <c r="BE196" s="375">
        <v>0</v>
      </c>
      <c r="BF196" s="375">
        <v>0</v>
      </c>
      <c r="BG196" s="79"/>
      <c r="BH196" s="79"/>
      <c r="BI196" s="79">
        <v>0</v>
      </c>
      <c r="BJ196" s="79">
        <v>0</v>
      </c>
      <c r="BK196" s="79">
        <v>0</v>
      </c>
      <c r="BL196" s="79">
        <v>0</v>
      </c>
      <c r="BM196" s="79">
        <v>0</v>
      </c>
      <c r="BN196" s="79">
        <v>0</v>
      </c>
      <c r="BO196" s="79">
        <v>0</v>
      </c>
      <c r="BP196" s="79">
        <v>0</v>
      </c>
      <c r="BQ196" s="79">
        <v>0</v>
      </c>
      <c r="BR196" s="79">
        <v>0</v>
      </c>
      <c r="BS196" s="79">
        <v>0</v>
      </c>
    </row>
    <row r="197" spans="1:71" ht="15" hidden="1" customHeight="1">
      <c r="A197" s="66" t="s">
        <v>1730</v>
      </c>
      <c r="B197" s="737" t="s">
        <v>1731</v>
      </c>
      <c r="C197" s="346"/>
      <c r="D197" s="343" t="str">
        <f>_xlfn.TEXTJOIN("_",FALSE,E197,ERP_8[[#This Row],[Expense Category]],ERP_8[[#This Row],[Project Code*]])</f>
        <v>Patel, Apurva_HW MAINTENANCE_BillingSweep017</v>
      </c>
      <c r="E197" s="343" t="s">
        <v>1566</v>
      </c>
      <c r="F197" s="346"/>
      <c r="G197" s="150" t="s">
        <v>1136</v>
      </c>
      <c r="H197" s="150" t="s">
        <v>1567</v>
      </c>
      <c r="I197" s="150" t="s">
        <v>1567</v>
      </c>
      <c r="J197" s="150" t="s">
        <v>1567</v>
      </c>
      <c r="K197" s="511" t="s">
        <v>342</v>
      </c>
      <c r="L197" s="392" t="s">
        <v>1732</v>
      </c>
      <c r="M197" s="343"/>
      <c r="N197" s="800"/>
      <c r="O197" s="70" t="s">
        <v>1732</v>
      </c>
      <c r="P197" s="346"/>
      <c r="Q197" s="346" t="s">
        <v>1140</v>
      </c>
      <c r="R197" s="346"/>
      <c r="S197" s="150" t="s">
        <v>25</v>
      </c>
      <c r="T197" s="150"/>
      <c r="U197" s="404"/>
      <c r="V197" s="407">
        <v>0</v>
      </c>
      <c r="W197" s="407">
        <v>0</v>
      </c>
      <c r="X197" s="425"/>
      <c r="Y197" s="71"/>
      <c r="Z197" s="784"/>
      <c r="AA197" s="794"/>
      <c r="AB197" s="794">
        <v>0</v>
      </c>
      <c r="AC197" s="428">
        <v>-1485.86</v>
      </c>
      <c r="AD197" s="429">
        <v>0</v>
      </c>
      <c r="AE197" s="429">
        <v>0</v>
      </c>
      <c r="AF197" s="429">
        <v>0</v>
      </c>
      <c r="AG197" s="360">
        <v>0</v>
      </c>
      <c r="AH197" s="360">
        <v>0</v>
      </c>
      <c r="AI197" s="360">
        <v>0</v>
      </c>
      <c r="AJ197" s="360">
        <v>0</v>
      </c>
      <c r="AK197" s="360">
        <v>0</v>
      </c>
      <c r="AL197" s="360">
        <f t="shared" si="10"/>
        <v>-1485.86</v>
      </c>
      <c r="AM197" s="362">
        <f>ERP_8[[#This Row],[2026 Working Total]]-ERP_8[[#This Row],[LE2 Final Submission]]</f>
        <v>-1485.86</v>
      </c>
      <c r="AN197" s="79">
        <v>0</v>
      </c>
      <c r="AO197" s="79">
        <f t="shared" si="11"/>
        <v>0</v>
      </c>
      <c r="AP197" s="374">
        <f>SUM(ERP_8[[#This Row],[AP01]:[AP07]])-SUM(ERP_8[[#This Row],[AP01 LE2]:[AP07 LE2]])</f>
        <v>-1485.86</v>
      </c>
      <c r="AQ197" s="80"/>
      <c r="AR197" s="79">
        <f>ERP_8[[#This Row],[2026 Working Total to Budget/LE]]-ERP_8[[#This Row],[Giveback]]</f>
        <v>-1485.86</v>
      </c>
      <c r="AS197" s="81"/>
      <c r="AT197" s="375"/>
      <c r="AU197" s="375"/>
      <c r="AV197" s="375">
        <v>0</v>
      </c>
      <c r="AW197" s="375">
        <v>0</v>
      </c>
      <c r="AX197" s="375">
        <v>0</v>
      </c>
      <c r="AY197" s="375">
        <v>0</v>
      </c>
      <c r="AZ197" s="375">
        <v>0</v>
      </c>
      <c r="BA197" s="375">
        <v>0</v>
      </c>
      <c r="BB197" s="375">
        <v>0</v>
      </c>
      <c r="BC197" s="375">
        <v>0</v>
      </c>
      <c r="BD197" s="375">
        <v>0</v>
      </c>
      <c r="BE197" s="375">
        <v>0</v>
      </c>
      <c r="BF197" s="375">
        <v>0</v>
      </c>
      <c r="BG197" s="79"/>
      <c r="BH197" s="79"/>
      <c r="BI197" s="79">
        <v>0</v>
      </c>
      <c r="BJ197" s="79">
        <v>0</v>
      </c>
      <c r="BK197" s="79">
        <v>0</v>
      </c>
      <c r="BL197" s="79">
        <v>0</v>
      </c>
      <c r="BM197" s="79">
        <v>0</v>
      </c>
      <c r="BN197" s="79">
        <v>0</v>
      </c>
      <c r="BO197" s="79">
        <v>0</v>
      </c>
      <c r="BP197" s="79">
        <v>0</v>
      </c>
      <c r="BQ197" s="79">
        <v>0</v>
      </c>
      <c r="BR197" s="79">
        <v>0</v>
      </c>
      <c r="BS197" s="79">
        <v>0</v>
      </c>
    </row>
    <row r="198" spans="1:71" ht="15" hidden="1" customHeight="1">
      <c r="A198" s="79" t="s">
        <v>1733</v>
      </c>
      <c r="B198" s="749" t="s">
        <v>1734</v>
      </c>
      <c r="C198" s="348"/>
      <c r="D198" s="347" t="str">
        <f>_xlfn.TEXTJOIN("_",FALSE,E198,ERP_8[[#This Row],[Expense Category]],ERP_8[[#This Row],[Project Code*]])</f>
        <v>Patel, Apurva_HW MAINTENANCE_BillSweepMisc</v>
      </c>
      <c r="E198" s="347" t="s">
        <v>1566</v>
      </c>
      <c r="F198" s="348"/>
      <c r="G198" s="150" t="s">
        <v>1136</v>
      </c>
      <c r="H198" t="s">
        <v>1567</v>
      </c>
      <c r="I198" t="s">
        <v>1567</v>
      </c>
      <c r="J198" s="150" t="s">
        <v>1567</v>
      </c>
      <c r="K198" s="514" t="s">
        <v>342</v>
      </c>
      <c r="L198" s="394" t="s">
        <v>1699</v>
      </c>
      <c r="M198" s="343"/>
      <c r="N198" s="801"/>
      <c r="O198" s="70" t="s">
        <v>362</v>
      </c>
      <c r="P198" s="347"/>
      <c r="Q198" s="343"/>
      <c r="R198" s="348"/>
      <c r="S198" s="348"/>
      <c r="T198" s="348" t="s">
        <v>1700</v>
      </c>
      <c r="U198" s="402"/>
      <c r="V198" s="358"/>
      <c r="W198" s="379">
        <v>0</v>
      </c>
      <c r="X198" s="425"/>
      <c r="Y198" s="71"/>
      <c r="Z198" s="784"/>
      <c r="AA198" s="794"/>
      <c r="AB198" s="794"/>
      <c r="AC198" s="428" t="s">
        <v>1142</v>
      </c>
      <c r="AD198" s="429">
        <v>0</v>
      </c>
      <c r="AE198" s="429">
        <v>0</v>
      </c>
      <c r="AF198" s="429" t="s">
        <v>1142</v>
      </c>
      <c r="AG198" s="364"/>
      <c r="AH198" s="364"/>
      <c r="AI198" s="364"/>
      <c r="AJ198" s="364"/>
      <c r="AK198" s="364"/>
      <c r="AL198" s="360">
        <f t="shared" si="10"/>
        <v>0</v>
      </c>
      <c r="AM198" s="362">
        <f>ERP_8[[#This Row],[2026 Working Total]]-ERP_8[[#This Row],[LE2 Final Submission]]</f>
        <v>0</v>
      </c>
      <c r="AN198" s="79">
        <v>0</v>
      </c>
      <c r="AO198" s="79">
        <f t="shared" si="11"/>
        <v>0</v>
      </c>
      <c r="AP198" s="374">
        <f>SUM(ERP_8[[#This Row],[AP01]:[AP07]])-SUM(ERP_8[[#This Row],[AP01 LE2]:[AP07 LE2]])</f>
        <v>0</v>
      </c>
      <c r="AQ198" s="80"/>
      <c r="AR198" s="79">
        <f>ERP_8[[#This Row],[2026 Working Total to Budget/LE]]-ERP_8[[#This Row],[Giveback]]</f>
        <v>0</v>
      </c>
      <c r="AS198" s="81"/>
      <c r="AT198" s="375"/>
      <c r="AU198" s="375"/>
      <c r="AV198" s="375"/>
      <c r="AW198" s="375">
        <v>-13303.91</v>
      </c>
      <c r="AX198" s="375">
        <v>13303.91</v>
      </c>
      <c r="AY198" s="375"/>
      <c r="AZ198" s="375"/>
      <c r="BA198" s="375"/>
      <c r="BB198" s="375"/>
      <c r="BC198" s="375"/>
      <c r="BD198" s="375"/>
      <c r="BE198" s="375"/>
      <c r="BF198" s="375">
        <v>0</v>
      </c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</row>
    <row r="199" spans="1:71" ht="15" hidden="1" customHeight="1">
      <c r="A199" s="79" t="s">
        <v>1735</v>
      </c>
      <c r="B199" s="66" t="s">
        <v>381</v>
      </c>
      <c r="C199" s="818"/>
      <c r="D199" s="343" t="str">
        <f>_xlfn.TEXTJOIN("_",FALSE,E199,ERP_8[[#This Row],[Expense Category]],ERP_8[[#This Row],[Project Code*]])</f>
        <v>Patel, Apurva_HW MAINTENANCE_IT-FGS0299-OG-US-00</v>
      </c>
      <c r="E199" s="331" t="s">
        <v>1566</v>
      </c>
      <c r="F199" s="818"/>
      <c r="G199" s="150" t="s">
        <v>1136</v>
      </c>
      <c r="H199" s="490" t="s">
        <v>1566</v>
      </c>
      <c r="I199" s="150" t="s">
        <v>1566</v>
      </c>
      <c r="J199" s="590" t="s">
        <v>1135</v>
      </c>
      <c r="K199" s="333" t="s">
        <v>342</v>
      </c>
      <c r="L199" s="858" t="s">
        <v>1736</v>
      </c>
      <c r="M199" s="333"/>
      <c r="N199" s="801"/>
      <c r="O199" s="348" t="s">
        <v>365</v>
      </c>
      <c r="P199" s="347"/>
      <c r="Q199" s="347"/>
      <c r="R199" s="348"/>
      <c r="S199" s="348"/>
      <c r="T199" s="826" t="s">
        <v>1737</v>
      </c>
      <c r="U199" s="779"/>
      <c r="V199" s="358"/>
      <c r="W199" s="379"/>
      <c r="X199" s="425"/>
      <c r="Y199" s="71"/>
      <c r="Z199" s="714">
        <v>-922.67</v>
      </c>
      <c r="AA199" s="795">
        <v>0</v>
      </c>
      <c r="AB199" s="795">
        <v>0</v>
      </c>
      <c r="AC199" s="434">
        <v>0</v>
      </c>
      <c r="AD199" s="434">
        <v>0</v>
      </c>
      <c r="AE199" s="434"/>
      <c r="AF199" s="429" t="s">
        <v>1142</v>
      </c>
      <c r="AG199" s="364"/>
      <c r="AH199" s="364"/>
      <c r="AI199" s="364"/>
      <c r="AJ199" s="364"/>
      <c r="AK199" s="364"/>
      <c r="AL199" s="360">
        <f>SUM(X199:AK199)</f>
        <v>-922.67</v>
      </c>
      <c r="AM199" s="362">
        <f>ERP_8[[#This Row],[2026 Working Total]]-ERP_8[[#This Row],[LE2 Final Submission]]</f>
        <v>-922.67</v>
      </c>
      <c r="AN199" s="79"/>
      <c r="AO199" s="79">
        <f>$Z199 - $AN199</f>
        <v>-922.67</v>
      </c>
      <c r="AP199" s="374">
        <f>SUM(ERP_8[[#This Row],[AP01]:[AP07]])-SUM(ERP_8[[#This Row],[AP01 LE2]:[AP07 LE2]])</f>
        <v>-922.67</v>
      </c>
      <c r="AQ199" s="80"/>
      <c r="AR199" s="79">
        <f>ERP_8[[#This Row],[2026 Working Total to Budget/LE]]-ERP_8[[#This Row],[Giveback]]</f>
        <v>-922.67</v>
      </c>
      <c r="AS199" s="81"/>
      <c r="AT199" s="375"/>
      <c r="AU199" s="375"/>
      <c r="AV199" s="375"/>
      <c r="AW199" s="375"/>
      <c r="AX199" s="375"/>
      <c r="AY199" s="375"/>
      <c r="AZ199" s="375"/>
      <c r="BA199" s="375"/>
      <c r="BB199" s="375"/>
      <c r="BC199" s="375"/>
      <c r="BD199" s="375"/>
      <c r="BE199" s="375"/>
      <c r="BF199" s="375"/>
      <c r="BG199" s="79"/>
      <c r="BH199" s="79"/>
      <c r="BI199" s="79"/>
      <c r="BJ199" s="79"/>
      <c r="BK199" s="79"/>
      <c r="BL199" s="79"/>
      <c r="BM199" s="79"/>
      <c r="BN199" s="79"/>
      <c r="BO199" s="79"/>
      <c r="BP199" s="79"/>
      <c r="BQ199" s="79"/>
      <c r="BR199" s="79"/>
      <c r="BS199" s="79"/>
    </row>
    <row r="200" spans="1:71" ht="15" hidden="1" customHeight="1">
      <c r="A200" s="66" t="s">
        <v>1738</v>
      </c>
      <c r="B200" s="737" t="s">
        <v>1739</v>
      </c>
      <c r="C200" s="346"/>
      <c r="D200" s="343" t="str">
        <f>_xlfn.TEXTJOIN("_",FALSE,E200,ERP_8[[#This Row],[Expense Category]],ERP_8[[#This Row],[Project Code*]])</f>
        <v>Patel, Apurva_HW MAINTENANCE_IT-FGS0299-OG-US-00</v>
      </c>
      <c r="E200" s="343" t="s">
        <v>1566</v>
      </c>
      <c r="F200" s="346"/>
      <c r="G200" s="150" t="s">
        <v>1136</v>
      </c>
      <c r="H200" s="150" t="s">
        <v>1345</v>
      </c>
      <c r="I200" s="150" t="s">
        <v>1346</v>
      </c>
      <c r="J200" s="150" t="s">
        <v>1346</v>
      </c>
      <c r="K200" s="511" t="s">
        <v>342</v>
      </c>
      <c r="L200" s="392" t="s">
        <v>1703</v>
      </c>
      <c r="M200" s="343"/>
      <c r="N200" s="800"/>
      <c r="O200" s="70" t="s">
        <v>365</v>
      </c>
      <c r="P200" s="346"/>
      <c r="Q200" s="346" t="s">
        <v>1140</v>
      </c>
      <c r="R200" s="346"/>
      <c r="S200" s="150" t="s">
        <v>57</v>
      </c>
      <c r="T200" s="150"/>
      <c r="U200" s="403"/>
      <c r="V200" s="406">
        <v>0</v>
      </c>
      <c r="W200" s="406">
        <v>4063.1000000000004</v>
      </c>
      <c r="X200" s="425"/>
      <c r="Y200" s="71"/>
      <c r="Z200" s="784">
        <v>322.64</v>
      </c>
      <c r="AA200" s="794">
        <v>376.04</v>
      </c>
      <c r="AB200" s="794">
        <v>3364.42</v>
      </c>
      <c r="AC200" s="428">
        <v>389.04999999999995</v>
      </c>
      <c r="AD200" s="429">
        <v>3602.75</v>
      </c>
      <c r="AE200" s="429">
        <v>278.59000000000003</v>
      </c>
      <c r="AF200" s="429">
        <v>170.76</v>
      </c>
      <c r="AG200" s="360">
        <v>0</v>
      </c>
      <c r="AH200" s="360">
        <v>0</v>
      </c>
      <c r="AI200" s="360">
        <v>0</v>
      </c>
      <c r="AJ200" s="360">
        <v>0</v>
      </c>
      <c r="AK200" s="360">
        <v>0</v>
      </c>
      <c r="AL200" s="360">
        <f>SUM(Z200:AK200)</f>
        <v>8504.25</v>
      </c>
      <c r="AM200" s="362">
        <f>ERP_8[[#This Row],[2026 Working Total]]-ERP_8[[#This Row],[LE2 Final Submission]]</f>
        <v>4441.1499999999996</v>
      </c>
      <c r="AN200" s="79">
        <v>0</v>
      </c>
      <c r="AO200" s="79">
        <f>$AE200 - $AN200</f>
        <v>278.59000000000003</v>
      </c>
      <c r="AP200" s="374">
        <f>SUM(ERP_8[[#This Row],[AP01]:[AP07]])-SUM(ERP_8[[#This Row],[AP01 LE2]:[AP07 LE2]])</f>
        <v>4441.1499999999996</v>
      </c>
      <c r="AQ200" s="80"/>
      <c r="AR200" s="79">
        <f>ERP_8[[#This Row],[2026 Working Total to Budget/LE]]-ERP_8[[#This Row],[Giveback]]</f>
        <v>4441.1499999999996</v>
      </c>
      <c r="AS200" s="81"/>
      <c r="AT200" s="375">
        <v>322.64</v>
      </c>
      <c r="AU200" s="375">
        <v>376.04</v>
      </c>
      <c r="AV200" s="375">
        <v>3364.42</v>
      </c>
      <c r="AW200" s="375">
        <v>0</v>
      </c>
      <c r="AX200" s="375">
        <v>0</v>
      </c>
      <c r="AY200" s="375">
        <v>0</v>
      </c>
      <c r="AZ200" s="375">
        <v>0</v>
      </c>
      <c r="BA200" s="375">
        <v>0</v>
      </c>
      <c r="BB200" s="375">
        <v>0</v>
      </c>
      <c r="BC200" s="375">
        <v>0</v>
      </c>
      <c r="BD200" s="375">
        <v>0</v>
      </c>
      <c r="BE200" s="375">
        <v>0</v>
      </c>
      <c r="BF200" s="375">
        <v>4063.1000000000004</v>
      </c>
      <c r="BG200" s="79">
        <v>322.64</v>
      </c>
      <c r="BH200" s="79">
        <v>376.04</v>
      </c>
      <c r="BI200" s="79">
        <v>3364.42</v>
      </c>
      <c r="BJ200" s="79">
        <v>0</v>
      </c>
      <c r="BK200" s="79">
        <v>0</v>
      </c>
      <c r="BL200" s="79">
        <v>0</v>
      </c>
      <c r="BM200" s="79">
        <v>0</v>
      </c>
      <c r="BN200" s="79">
        <v>0</v>
      </c>
      <c r="BO200" s="79">
        <v>0</v>
      </c>
      <c r="BP200" s="79">
        <v>0</v>
      </c>
      <c r="BQ200" s="79">
        <v>0</v>
      </c>
      <c r="BR200" s="79">
        <v>0</v>
      </c>
      <c r="BS200" s="79">
        <v>4063.1000000000004</v>
      </c>
    </row>
    <row r="201" spans="1:71" ht="15" hidden="1" customHeight="1">
      <c r="A201" s="66" t="s">
        <v>1740</v>
      </c>
      <c r="B201" s="737" t="s">
        <v>1741</v>
      </c>
      <c r="C201" s="346"/>
      <c r="D201" s="343" t="str">
        <f>_xlfn.TEXTJOIN("_",FALSE,E201,ERP_8[[#This Row],[Expense Category]],ERP_8[[#This Row],[Project Code*]])</f>
        <v>Patel, Apurva_HW MAINTENANCE_IT-HRD0058-OG-US-00</v>
      </c>
      <c r="E201" s="343" t="s">
        <v>1566</v>
      </c>
      <c r="F201" s="346"/>
      <c r="G201" s="150" t="s">
        <v>1136</v>
      </c>
      <c r="H201" s="150" t="s">
        <v>1345</v>
      </c>
      <c r="I201" s="150" t="s">
        <v>1346</v>
      </c>
      <c r="J201" s="150" t="s">
        <v>1346</v>
      </c>
      <c r="K201" s="511" t="s">
        <v>342</v>
      </c>
      <c r="L201" s="392" t="s">
        <v>1742</v>
      </c>
      <c r="M201" s="343"/>
      <c r="N201" s="800"/>
      <c r="O201" s="70" t="s">
        <v>383</v>
      </c>
      <c r="P201" s="346"/>
      <c r="Q201" s="343"/>
      <c r="R201" s="346"/>
      <c r="S201" s="150" t="s">
        <v>25</v>
      </c>
      <c r="T201" s="150"/>
      <c r="U201" s="403"/>
      <c r="V201" s="406">
        <v>1659</v>
      </c>
      <c r="W201" s="406">
        <v>1209</v>
      </c>
      <c r="X201" s="425"/>
      <c r="Y201" s="71"/>
      <c r="Z201" s="784"/>
      <c r="AA201" s="794"/>
      <c r="AB201" s="794"/>
      <c r="AC201" s="428" t="s">
        <v>1142</v>
      </c>
      <c r="AD201" s="429">
        <v>0</v>
      </c>
      <c r="AE201" s="429">
        <v>0</v>
      </c>
      <c r="AF201" s="429" t="s">
        <v>1142</v>
      </c>
      <c r="AG201" s="363">
        <v>150</v>
      </c>
      <c r="AH201" s="363">
        <v>150</v>
      </c>
      <c r="AI201" s="363">
        <v>150</v>
      </c>
      <c r="AJ201" s="360">
        <v>0</v>
      </c>
      <c r="AK201" s="363">
        <v>150</v>
      </c>
      <c r="AL201" s="360">
        <f>SUM(Z201:AK201)</f>
        <v>600</v>
      </c>
      <c r="AM201" s="362">
        <f>ERP_8[[#This Row],[2026 Working Total]]-ERP_8[[#This Row],[LE2 Final Submission]]</f>
        <v>-609</v>
      </c>
      <c r="AN201" s="79">
        <v>150</v>
      </c>
      <c r="AO201" s="79">
        <f>$AE201 - $AN201</f>
        <v>-150</v>
      </c>
      <c r="AP201" s="374">
        <f>SUM(ERP_8[[#This Row],[AP01]:[AP07]])-SUM(ERP_8[[#This Row],[AP01 LE2]:[AP07 LE2]])</f>
        <v>-609</v>
      </c>
      <c r="AQ201" s="80"/>
      <c r="AR201" s="79">
        <f>ERP_8[[#This Row],[2026 Working Total to Budget/LE]]-ERP_8[[#This Row],[Giveback]]</f>
        <v>-609</v>
      </c>
      <c r="AS201" s="81"/>
      <c r="AT201" s="375"/>
      <c r="AU201" s="375"/>
      <c r="AV201" s="375"/>
      <c r="AW201" s="375">
        <v>150</v>
      </c>
      <c r="AX201" s="375">
        <v>159</v>
      </c>
      <c r="AY201" s="375">
        <v>150</v>
      </c>
      <c r="AZ201" s="375">
        <v>150</v>
      </c>
      <c r="BA201" s="375">
        <v>150</v>
      </c>
      <c r="BB201" s="375">
        <v>150</v>
      </c>
      <c r="BC201" s="375">
        <v>150</v>
      </c>
      <c r="BD201" s="375">
        <v>0</v>
      </c>
      <c r="BE201" s="375">
        <v>150</v>
      </c>
      <c r="BF201" s="375">
        <v>1209</v>
      </c>
      <c r="BG201" s="79"/>
      <c r="BH201" s="79"/>
      <c r="BI201" s="79"/>
      <c r="BJ201" s="79">
        <v>150</v>
      </c>
      <c r="BK201" s="79">
        <v>159</v>
      </c>
      <c r="BL201" s="79">
        <v>150</v>
      </c>
      <c r="BM201" s="79">
        <v>150</v>
      </c>
      <c r="BN201" s="79">
        <v>150</v>
      </c>
      <c r="BO201" s="79">
        <v>150</v>
      </c>
      <c r="BP201" s="79">
        <v>150</v>
      </c>
      <c r="BQ201" s="79">
        <v>0</v>
      </c>
      <c r="BR201" s="79">
        <v>150</v>
      </c>
      <c r="BS201" s="79">
        <v>1209</v>
      </c>
    </row>
    <row r="202" spans="1:71" ht="15" hidden="1" customHeight="1">
      <c r="A202" s="79" t="s">
        <v>1743</v>
      </c>
      <c r="B202" s="66" t="s">
        <v>384</v>
      </c>
      <c r="C202" s="818"/>
      <c r="D202" s="343" t="str">
        <f>_xlfn.TEXTJOIN("_",FALSE,E202,ERP_8[[#This Row],[Expense Category]],ERP_8[[#This Row],[Project Code*]])</f>
        <v>Patel, Apurva_HW MAINTENANCE_MISC001</v>
      </c>
      <c r="E202" s="331" t="s">
        <v>1566</v>
      </c>
      <c r="F202" s="818"/>
      <c r="G202" s="150" t="s">
        <v>1136</v>
      </c>
      <c r="H202" s="490" t="s">
        <v>1566</v>
      </c>
      <c r="I202" s="150" t="s">
        <v>1566</v>
      </c>
      <c r="J202" s="590" t="s">
        <v>1135</v>
      </c>
      <c r="K202" s="333" t="s">
        <v>342</v>
      </c>
      <c r="L202" s="858" t="s">
        <v>1736</v>
      </c>
      <c r="M202" s="333"/>
      <c r="N202" s="801"/>
      <c r="O202" s="348" t="s">
        <v>147</v>
      </c>
      <c r="P202" s="347"/>
      <c r="Q202" s="347"/>
      <c r="R202" s="348"/>
      <c r="S202" s="348"/>
      <c r="T202" s="826" t="s">
        <v>1737</v>
      </c>
      <c r="U202" s="779"/>
      <c r="V202" s="358"/>
      <c r="W202" s="379"/>
      <c r="X202" s="425"/>
      <c r="Y202" s="71"/>
      <c r="Z202" s="714">
        <v>0</v>
      </c>
      <c r="AA202" s="795">
        <v>0</v>
      </c>
      <c r="AB202" s="795">
        <v>0</v>
      </c>
      <c r="AC202" s="434">
        <v>0</v>
      </c>
      <c r="AD202" s="434">
        <v>0</v>
      </c>
      <c r="AE202" s="434"/>
      <c r="AF202" s="429" t="s">
        <v>1142</v>
      </c>
      <c r="AG202" s="364"/>
      <c r="AH202" s="364"/>
      <c r="AI202" s="364"/>
      <c r="AJ202" s="364"/>
      <c r="AK202" s="364"/>
      <c r="AL202" s="360">
        <f>SUM(X202:AK202)</f>
        <v>0</v>
      </c>
      <c r="AM202" s="362">
        <f>ERP_8[[#This Row],[2026 Working Total]]-ERP_8[[#This Row],[LE2 Final Submission]]</f>
        <v>0</v>
      </c>
      <c r="AN202" s="79"/>
      <c r="AO202" s="79">
        <f>$Z202 - $AN202</f>
        <v>0</v>
      </c>
      <c r="AP202" s="374">
        <f>SUM(ERP_8[[#This Row],[AP01]:[AP07]])-SUM(ERP_8[[#This Row],[AP01 LE2]:[AP07 LE2]])</f>
        <v>0</v>
      </c>
      <c r="AQ202" s="80"/>
      <c r="AR202" s="79">
        <f>ERP_8[[#This Row],[2026 Working Total to Budget/LE]]-ERP_8[[#This Row],[Giveback]]</f>
        <v>0</v>
      </c>
      <c r="AS202" s="81"/>
      <c r="AT202" s="375"/>
      <c r="AU202" s="375"/>
      <c r="AV202" s="375"/>
      <c r="AW202" s="375"/>
      <c r="AX202" s="375"/>
      <c r="AY202" s="375"/>
      <c r="AZ202" s="375"/>
      <c r="BA202" s="375"/>
      <c r="BB202" s="375"/>
      <c r="BC202" s="375"/>
      <c r="BD202" s="375"/>
      <c r="BE202" s="375"/>
      <c r="BF202" s="375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</row>
    <row r="203" spans="1:71" ht="15" hidden="1" customHeight="1">
      <c r="A203" s="66" t="s">
        <v>1744</v>
      </c>
      <c r="B203" s="737" t="s">
        <v>1745</v>
      </c>
      <c r="C203" s="346"/>
      <c r="D203" s="343" t="str">
        <f>_xlfn.TEXTJOIN("_",FALSE,E203,ERP_8[[#This Row],[Expense Category]],ERP_8[[#This Row],[Project Code*]])</f>
        <v>Patel, Apurva_HW MAINTENANCE_MISC001</v>
      </c>
      <c r="E203" s="343" t="s">
        <v>1566</v>
      </c>
      <c r="F203" s="346"/>
      <c r="G203" s="150" t="s">
        <v>1136</v>
      </c>
      <c r="H203" s="150" t="s">
        <v>1345</v>
      </c>
      <c r="I203" s="150" t="s">
        <v>1346</v>
      </c>
      <c r="J203" s="150" t="s">
        <v>1346</v>
      </c>
      <c r="K203" s="511" t="s">
        <v>342</v>
      </c>
      <c r="L203" s="392" t="s">
        <v>1327</v>
      </c>
      <c r="M203" s="343"/>
      <c r="N203" s="800"/>
      <c r="O203" s="70" t="s">
        <v>147</v>
      </c>
      <c r="P203" s="346"/>
      <c r="Q203" s="343"/>
      <c r="R203" s="346"/>
      <c r="S203" s="150" t="s">
        <v>25</v>
      </c>
      <c r="T203" s="150"/>
      <c r="U203" s="403"/>
      <c r="V203" s="406">
        <v>0</v>
      </c>
      <c r="W203" s="406">
        <v>835.42000000000007</v>
      </c>
      <c r="X203" s="425"/>
      <c r="Y203" s="71"/>
      <c r="Z203" s="784">
        <v>-0.14000000000000001</v>
      </c>
      <c r="AA203" s="794">
        <v>464.29</v>
      </c>
      <c r="AB203" s="794">
        <v>371.27</v>
      </c>
      <c r="AC203" s="428">
        <v>-0.06</v>
      </c>
      <c r="AD203" s="429">
        <v>2499.4899999999998</v>
      </c>
      <c r="AE203" s="429">
        <v>-0.11</v>
      </c>
      <c r="AF203" s="429">
        <v>-1.06</v>
      </c>
      <c r="AG203" s="360">
        <v>0</v>
      </c>
      <c r="AH203" s="360">
        <v>0</v>
      </c>
      <c r="AI203" s="360">
        <v>0</v>
      </c>
      <c r="AJ203" s="360">
        <v>0</v>
      </c>
      <c r="AK203" s="360">
        <v>0</v>
      </c>
      <c r="AL203" s="360">
        <f t="shared" ref="AL203:AL234" si="12">SUM(Z203:AK203)</f>
        <v>3333.68</v>
      </c>
      <c r="AM203" s="362">
        <f>ERP_8[[#This Row],[2026 Working Total]]-ERP_8[[#This Row],[LE2 Final Submission]]</f>
        <v>2498.2599999999998</v>
      </c>
      <c r="AN203" s="79">
        <v>0</v>
      </c>
      <c r="AO203" s="79">
        <f t="shared" ref="AO203:AO234" si="13">$AE203 - $AN203</f>
        <v>-0.11</v>
      </c>
      <c r="AP203" s="374">
        <f>SUM(ERP_8[[#This Row],[AP01]:[AP07]])-SUM(ERP_8[[#This Row],[AP01 LE2]:[AP07 LE2]])</f>
        <v>2498.2599999999998</v>
      </c>
      <c r="AQ203" s="80"/>
      <c r="AR203" s="79">
        <f>ERP_8[[#This Row],[2026 Working Total to Budget/LE]]-ERP_8[[#This Row],[Giveback]]</f>
        <v>2498.2599999999998</v>
      </c>
      <c r="AS203" s="81"/>
      <c r="AT203" s="375">
        <v>-0.14000000000000001</v>
      </c>
      <c r="AU203" s="375">
        <v>464.29</v>
      </c>
      <c r="AV203" s="375">
        <v>371.27</v>
      </c>
      <c r="AW203" s="375">
        <v>0</v>
      </c>
      <c r="AX203" s="375">
        <v>0</v>
      </c>
      <c r="AY203" s="375">
        <v>0</v>
      </c>
      <c r="AZ203" s="375">
        <v>0</v>
      </c>
      <c r="BA203" s="375">
        <v>0</v>
      </c>
      <c r="BB203" s="375">
        <v>0</v>
      </c>
      <c r="BC203" s="375">
        <v>0</v>
      </c>
      <c r="BD203" s="375">
        <v>0</v>
      </c>
      <c r="BE203" s="375">
        <v>0</v>
      </c>
      <c r="BF203" s="375">
        <v>835.42000000000007</v>
      </c>
      <c r="BG203" s="79">
        <v>-0.14000000000000001</v>
      </c>
      <c r="BH203" s="79">
        <v>464.29</v>
      </c>
      <c r="BI203" s="79">
        <v>371.27</v>
      </c>
      <c r="BJ203" s="79">
        <v>0</v>
      </c>
      <c r="BK203" s="79">
        <v>0</v>
      </c>
      <c r="BL203" s="79">
        <v>0</v>
      </c>
      <c r="BM203" s="79">
        <v>0</v>
      </c>
      <c r="BN203" s="79">
        <v>0</v>
      </c>
      <c r="BO203" s="79">
        <v>0</v>
      </c>
      <c r="BP203" s="79">
        <v>0</v>
      </c>
      <c r="BQ203" s="79">
        <v>0</v>
      </c>
      <c r="BR203" s="79">
        <v>0</v>
      </c>
      <c r="BS203" s="79">
        <v>835.42000000000007</v>
      </c>
    </row>
    <row r="204" spans="1:71" ht="15" hidden="1" customHeight="1">
      <c r="A204" s="66" t="s">
        <v>1746</v>
      </c>
      <c r="B204" s="737" t="s">
        <v>1747</v>
      </c>
      <c r="C204" s="346"/>
      <c r="D204" s="343" t="str">
        <f>_xlfn.TEXTJOIN("_",FALSE,E204,ERP_8[[#This Row],[Expense Category]],ERP_8[[#This Row],[Project Code*]])</f>
        <v>Patel, Apurva_HW MAINTENANCE_MISC001</v>
      </c>
      <c r="E204" s="343" t="s">
        <v>1566</v>
      </c>
      <c r="F204" s="346"/>
      <c r="G204" s="150" t="s">
        <v>1136</v>
      </c>
      <c r="H204" s="150" t="s">
        <v>1567</v>
      </c>
      <c r="I204" s="150" t="s">
        <v>1567</v>
      </c>
      <c r="J204" s="150" t="s">
        <v>1567</v>
      </c>
      <c r="K204" s="511" t="s">
        <v>342</v>
      </c>
      <c r="L204" s="392" t="s">
        <v>1327</v>
      </c>
      <c r="M204" s="343"/>
      <c r="N204" s="800"/>
      <c r="O204" s="70" t="s">
        <v>147</v>
      </c>
      <c r="P204" s="346"/>
      <c r="Q204" s="343"/>
      <c r="R204" s="346"/>
      <c r="S204" s="150" t="s">
        <v>25</v>
      </c>
      <c r="T204" s="150"/>
      <c r="U204" s="403"/>
      <c r="V204" s="406">
        <v>0</v>
      </c>
      <c r="W204" s="406">
        <v>-0.23</v>
      </c>
      <c r="X204" s="425"/>
      <c r="Y204" s="71"/>
      <c r="Z204" s="784"/>
      <c r="AA204" s="794"/>
      <c r="AB204" s="794">
        <v>-0.23</v>
      </c>
      <c r="AC204" s="428">
        <v>-0.01</v>
      </c>
      <c r="AD204" s="429">
        <v>0</v>
      </c>
      <c r="AE204" s="429">
        <v>0</v>
      </c>
      <c r="AF204" s="429">
        <v>0</v>
      </c>
      <c r="AG204" s="360">
        <v>0</v>
      </c>
      <c r="AH204" s="360">
        <v>0</v>
      </c>
      <c r="AI204" s="360">
        <v>0</v>
      </c>
      <c r="AJ204" s="360">
        <v>0</v>
      </c>
      <c r="AK204" s="360">
        <v>0</v>
      </c>
      <c r="AL204" s="360">
        <f t="shared" si="12"/>
        <v>-0.24000000000000002</v>
      </c>
      <c r="AM204" s="362">
        <f>ERP_8[[#This Row],[2026 Working Total]]-ERP_8[[#This Row],[LE2 Final Submission]]</f>
        <v>-1.0000000000000009E-2</v>
      </c>
      <c r="AN204" s="79">
        <v>0</v>
      </c>
      <c r="AO204" s="79">
        <f t="shared" si="13"/>
        <v>0</v>
      </c>
      <c r="AP204" s="374">
        <f>SUM(ERP_8[[#This Row],[AP01]:[AP07]])-SUM(ERP_8[[#This Row],[AP01 LE2]:[AP07 LE2]])</f>
        <v>-1.0000000000000009E-2</v>
      </c>
      <c r="AQ204" s="80"/>
      <c r="AR204" s="79">
        <f>ERP_8[[#This Row],[2026 Working Total to Budget/LE]]-ERP_8[[#This Row],[Giveback]]</f>
        <v>-1.0000000000000009E-2</v>
      </c>
      <c r="AS204" s="81"/>
      <c r="AT204" s="375"/>
      <c r="AU204" s="375"/>
      <c r="AV204" s="375">
        <v>-0.23</v>
      </c>
      <c r="AW204" s="375">
        <v>0</v>
      </c>
      <c r="AX204" s="375">
        <v>0</v>
      </c>
      <c r="AY204" s="375">
        <v>0</v>
      </c>
      <c r="AZ204" s="375">
        <v>0</v>
      </c>
      <c r="BA204" s="375">
        <v>0</v>
      </c>
      <c r="BB204" s="375">
        <v>0</v>
      </c>
      <c r="BC204" s="375">
        <v>0</v>
      </c>
      <c r="BD204" s="375">
        <v>0</v>
      </c>
      <c r="BE204" s="375">
        <v>0</v>
      </c>
      <c r="BF204" s="375">
        <v>-0.23</v>
      </c>
      <c r="BG204" s="79"/>
      <c r="BH204" s="79"/>
      <c r="BI204" s="79">
        <v>-0.23</v>
      </c>
      <c r="BJ204" s="79">
        <v>0</v>
      </c>
      <c r="BK204" s="79">
        <v>0</v>
      </c>
      <c r="BL204" s="79">
        <v>0</v>
      </c>
      <c r="BM204" s="79">
        <v>0</v>
      </c>
      <c r="BN204" s="79">
        <v>0</v>
      </c>
      <c r="BO204" s="79">
        <v>0</v>
      </c>
      <c r="BP204" s="79">
        <v>0</v>
      </c>
      <c r="BQ204" s="79">
        <v>0</v>
      </c>
      <c r="BR204" s="79">
        <v>0</v>
      </c>
      <c r="BS204" s="79">
        <v>-0.23</v>
      </c>
    </row>
    <row r="205" spans="1:71" ht="15" hidden="1" customHeight="1">
      <c r="A205" s="66" t="s">
        <v>1748</v>
      </c>
      <c r="B205" s="737" t="s">
        <v>385</v>
      </c>
      <c r="C205" s="346"/>
      <c r="D205" s="343" t="str">
        <f>_xlfn.TEXTJOIN("_",FALSE,E205,ERP_8[[#This Row],[Expense Category]],ERP_8[[#This Row],[Project Code*]])</f>
        <v>Robertson, Jerome_HW MAINTENANCE_EP&amp;SCharges001</v>
      </c>
      <c r="E205" s="343" t="s">
        <v>1650</v>
      </c>
      <c r="F205" s="346"/>
      <c r="G205" s="150" t="s">
        <v>1136</v>
      </c>
      <c r="H205" s="150" t="s">
        <v>1650</v>
      </c>
      <c r="I205" s="150" t="s">
        <v>1650</v>
      </c>
      <c r="J205" s="150" t="s">
        <v>1650</v>
      </c>
      <c r="K205" s="511" t="s">
        <v>342</v>
      </c>
      <c r="L205" s="392" t="s">
        <v>1174</v>
      </c>
      <c r="M205" s="343"/>
      <c r="N205" s="800"/>
      <c r="O205" s="70" t="s">
        <v>56</v>
      </c>
      <c r="P205" s="346"/>
      <c r="Q205" s="346" t="s">
        <v>1140</v>
      </c>
      <c r="R205" s="346"/>
      <c r="S205" s="150" t="s">
        <v>57</v>
      </c>
      <c r="T205" s="150"/>
      <c r="U205" s="403"/>
      <c r="V205" s="406">
        <v>0</v>
      </c>
      <c r="W205" s="406">
        <v>1060</v>
      </c>
      <c r="X205" s="425"/>
      <c r="Y205" s="71"/>
      <c r="Z205" s="784"/>
      <c r="AA205" s="794">
        <v>1060</v>
      </c>
      <c r="AB205" s="794">
        <v>0</v>
      </c>
      <c r="AC205" s="428" t="s">
        <v>1142</v>
      </c>
      <c r="AD205" s="429">
        <v>0</v>
      </c>
      <c r="AE205" s="429">
        <v>0</v>
      </c>
      <c r="AF205" s="429" t="s">
        <v>1142</v>
      </c>
      <c r="AG205" s="360">
        <v>0</v>
      </c>
      <c r="AH205" s="360">
        <v>0</v>
      </c>
      <c r="AI205" s="360">
        <v>0</v>
      </c>
      <c r="AJ205" s="360">
        <v>0</v>
      </c>
      <c r="AK205" s="360">
        <v>0</v>
      </c>
      <c r="AL205" s="360">
        <f t="shared" si="12"/>
        <v>1060</v>
      </c>
      <c r="AM205" s="362">
        <f>ERP_8[[#This Row],[2026 Working Total]]-ERP_8[[#This Row],[LE2 Final Submission]]</f>
        <v>0</v>
      </c>
      <c r="AN205" s="79">
        <v>0</v>
      </c>
      <c r="AO205" s="79">
        <f t="shared" si="13"/>
        <v>0</v>
      </c>
      <c r="AP205" s="374">
        <f>SUM(ERP_8[[#This Row],[AP01]:[AP07]])-SUM(ERP_8[[#This Row],[AP01 LE2]:[AP07 LE2]])</f>
        <v>0</v>
      </c>
      <c r="AQ205" s="80"/>
      <c r="AR205" s="79">
        <f>ERP_8[[#This Row],[2026 Working Total to Budget/LE]]-ERP_8[[#This Row],[Giveback]]</f>
        <v>0</v>
      </c>
      <c r="AS205" s="81"/>
      <c r="AT205" s="375"/>
      <c r="AU205" s="375">
        <v>1060</v>
      </c>
      <c r="AV205" s="375">
        <v>0</v>
      </c>
      <c r="AW205" s="375">
        <v>0</v>
      </c>
      <c r="AX205" s="375">
        <v>0</v>
      </c>
      <c r="AY205" s="375">
        <v>0</v>
      </c>
      <c r="AZ205" s="375">
        <v>0</v>
      </c>
      <c r="BA205" s="375">
        <v>0</v>
      </c>
      <c r="BB205" s="375">
        <v>0</v>
      </c>
      <c r="BC205" s="375">
        <v>0</v>
      </c>
      <c r="BD205" s="375">
        <v>0</v>
      </c>
      <c r="BE205" s="375">
        <v>0</v>
      </c>
      <c r="BF205" s="375">
        <v>1060</v>
      </c>
      <c r="BG205" s="79"/>
      <c r="BH205" s="79">
        <v>1060</v>
      </c>
      <c r="BI205" s="79">
        <v>0</v>
      </c>
      <c r="BJ205" s="79">
        <v>0</v>
      </c>
      <c r="BK205" s="79">
        <v>0</v>
      </c>
      <c r="BL205" s="79">
        <v>0</v>
      </c>
      <c r="BM205" s="79">
        <v>0</v>
      </c>
      <c r="BN205" s="79">
        <v>0</v>
      </c>
      <c r="BO205" s="79">
        <v>0</v>
      </c>
      <c r="BP205" s="79">
        <v>0</v>
      </c>
      <c r="BQ205" s="79">
        <v>0</v>
      </c>
      <c r="BR205" s="79">
        <v>0</v>
      </c>
      <c r="BS205" s="79">
        <v>1060</v>
      </c>
    </row>
    <row r="206" spans="1:71" ht="15" hidden="1" customHeight="1">
      <c r="A206" s="66" t="s">
        <v>1749</v>
      </c>
      <c r="B206" s="737" t="s">
        <v>386</v>
      </c>
      <c r="C206" s="346"/>
      <c r="D206" s="343" t="str">
        <f>_xlfn.TEXTJOIN("_",FALSE,E206,ERP_8[[#This Row],[Expense Category]],ERP_8[[#This Row],[Project Code*]])</f>
        <v>Robertson, Jerome_HW MAINTENANCE_IT-FGS0299-OG-US-00</v>
      </c>
      <c r="E206" s="343" t="s">
        <v>1650</v>
      </c>
      <c r="F206" s="346"/>
      <c r="G206" s="150" t="s">
        <v>1136</v>
      </c>
      <c r="H206" s="150" t="s">
        <v>1650</v>
      </c>
      <c r="I206" s="150" t="s">
        <v>1650</v>
      </c>
      <c r="J206" s="150" t="s">
        <v>1650</v>
      </c>
      <c r="K206" s="511" t="s">
        <v>342</v>
      </c>
      <c r="L206" s="392" t="s">
        <v>1703</v>
      </c>
      <c r="M206" s="343"/>
      <c r="N206" s="800"/>
      <c r="O206" s="70" t="s">
        <v>365</v>
      </c>
      <c r="P206" s="346"/>
      <c r="Q206" s="346" t="s">
        <v>1140</v>
      </c>
      <c r="R206" s="346"/>
      <c r="S206" s="150" t="s">
        <v>57</v>
      </c>
      <c r="T206" s="150"/>
      <c r="U206" s="403"/>
      <c r="V206" s="406">
        <v>0</v>
      </c>
      <c r="W206" s="406">
        <v>2902.66</v>
      </c>
      <c r="X206" s="425"/>
      <c r="Y206" s="71"/>
      <c r="Z206" s="784"/>
      <c r="AA206" s="794"/>
      <c r="AB206" s="794">
        <v>2902.66</v>
      </c>
      <c r="AC206" s="428">
        <v>229.1</v>
      </c>
      <c r="AD206" s="429">
        <v>87.28</v>
      </c>
      <c r="AE206" s="429">
        <v>0</v>
      </c>
      <c r="AF206" s="429">
        <v>0</v>
      </c>
      <c r="AG206" s="360">
        <v>0</v>
      </c>
      <c r="AH206" s="360">
        <v>0</v>
      </c>
      <c r="AI206" s="360">
        <v>0</v>
      </c>
      <c r="AJ206" s="360">
        <v>0</v>
      </c>
      <c r="AK206" s="360">
        <v>0</v>
      </c>
      <c r="AL206" s="360">
        <f t="shared" si="12"/>
        <v>3219.04</v>
      </c>
      <c r="AM206" s="362">
        <f>ERP_8[[#This Row],[2026 Working Total]]-ERP_8[[#This Row],[LE2 Final Submission]]</f>
        <v>316.38000000000011</v>
      </c>
      <c r="AN206" s="79">
        <v>0</v>
      </c>
      <c r="AO206" s="79">
        <f t="shared" si="13"/>
        <v>0</v>
      </c>
      <c r="AP206" s="374">
        <f>SUM(ERP_8[[#This Row],[AP01]:[AP07]])-SUM(ERP_8[[#This Row],[AP01 LE2]:[AP07 LE2]])</f>
        <v>316.38000000000011</v>
      </c>
      <c r="AQ206" s="80"/>
      <c r="AR206" s="79">
        <f>ERP_8[[#This Row],[2026 Working Total to Budget/LE]]-ERP_8[[#This Row],[Giveback]]</f>
        <v>316.38000000000011</v>
      </c>
      <c r="AS206" s="81"/>
      <c r="AT206" s="375"/>
      <c r="AU206" s="375"/>
      <c r="AV206" s="375">
        <v>2902.66</v>
      </c>
      <c r="AW206" s="375">
        <v>0</v>
      </c>
      <c r="AX206" s="375">
        <v>0</v>
      </c>
      <c r="AY206" s="375">
        <v>0</v>
      </c>
      <c r="AZ206" s="375">
        <v>0</v>
      </c>
      <c r="BA206" s="375">
        <v>0</v>
      </c>
      <c r="BB206" s="375">
        <v>0</v>
      </c>
      <c r="BC206" s="375">
        <v>0</v>
      </c>
      <c r="BD206" s="375">
        <v>0</v>
      </c>
      <c r="BE206" s="375">
        <v>0</v>
      </c>
      <c r="BF206" s="375">
        <v>2902.66</v>
      </c>
      <c r="BG206" s="79"/>
      <c r="BH206" s="79"/>
      <c r="BI206" s="79">
        <v>2902.66</v>
      </c>
      <c r="BJ206" s="79">
        <v>0</v>
      </c>
      <c r="BK206" s="79">
        <v>0</v>
      </c>
      <c r="BL206" s="79">
        <v>0</v>
      </c>
      <c r="BM206" s="79">
        <v>0</v>
      </c>
      <c r="BN206" s="79">
        <v>0</v>
      </c>
      <c r="BO206" s="79">
        <v>0</v>
      </c>
      <c r="BP206" s="79">
        <v>0</v>
      </c>
      <c r="BQ206" s="79">
        <v>0</v>
      </c>
      <c r="BR206" s="79">
        <v>0</v>
      </c>
      <c r="BS206" s="79">
        <v>2902.66</v>
      </c>
    </row>
    <row r="207" spans="1:71" ht="15" hidden="1" customHeight="1">
      <c r="A207" s="66" t="s">
        <v>1750</v>
      </c>
      <c r="B207" s="737" t="s">
        <v>387</v>
      </c>
      <c r="C207" s="346"/>
      <c r="D207" s="343" t="str">
        <f>_xlfn.TEXTJOIN("_",FALSE,E207,ERP_8[[#This Row],[Expense Category]],ERP_8[[#This Row],[Project Code*]])</f>
        <v>Robertson, Jerome_HW MAINTENANCE_MISC001</v>
      </c>
      <c r="E207" s="343" t="s">
        <v>1650</v>
      </c>
      <c r="F207" s="346"/>
      <c r="G207" s="150" t="s">
        <v>1136</v>
      </c>
      <c r="H207" s="150" t="s">
        <v>1650</v>
      </c>
      <c r="I207" s="150" t="s">
        <v>1650</v>
      </c>
      <c r="J207" s="150" t="s">
        <v>1650</v>
      </c>
      <c r="K207" s="511" t="s">
        <v>342</v>
      </c>
      <c r="L207" s="392" t="s">
        <v>1327</v>
      </c>
      <c r="M207" s="343"/>
      <c r="N207" s="800"/>
      <c r="O207" s="70" t="s">
        <v>147</v>
      </c>
      <c r="P207" s="346"/>
      <c r="Q207" s="343"/>
      <c r="R207" s="346"/>
      <c r="S207" s="150" t="s">
        <v>25</v>
      </c>
      <c r="T207" s="150"/>
      <c r="U207" s="403"/>
      <c r="V207" s="406">
        <v>0</v>
      </c>
      <c r="W207" s="406">
        <v>420.97</v>
      </c>
      <c r="X207" s="425"/>
      <c r="Y207" s="71"/>
      <c r="Z207" s="784"/>
      <c r="AA207" s="794"/>
      <c r="AB207" s="794">
        <v>420.97</v>
      </c>
      <c r="AC207" s="428">
        <v>-0.11</v>
      </c>
      <c r="AD207" s="429">
        <v>0.21</v>
      </c>
      <c r="AE207" s="429">
        <v>0</v>
      </c>
      <c r="AF207" s="429">
        <v>0</v>
      </c>
      <c r="AG207" s="360">
        <v>0</v>
      </c>
      <c r="AH207" s="360">
        <v>0</v>
      </c>
      <c r="AI207" s="360">
        <v>0</v>
      </c>
      <c r="AJ207" s="360">
        <v>0</v>
      </c>
      <c r="AK207" s="360">
        <v>0</v>
      </c>
      <c r="AL207" s="360">
        <f t="shared" si="12"/>
        <v>421.07</v>
      </c>
      <c r="AM207" s="362">
        <f>ERP_8[[#This Row],[2026 Working Total]]-ERP_8[[#This Row],[LE2 Final Submission]]</f>
        <v>9.9999999999965894E-2</v>
      </c>
      <c r="AN207" s="79">
        <v>0</v>
      </c>
      <c r="AO207" s="79">
        <f t="shared" si="13"/>
        <v>0</v>
      </c>
      <c r="AP207" s="374">
        <f>SUM(ERP_8[[#This Row],[AP01]:[AP07]])-SUM(ERP_8[[#This Row],[AP01 LE2]:[AP07 LE2]])</f>
        <v>9.9999999999965894E-2</v>
      </c>
      <c r="AQ207" s="80"/>
      <c r="AR207" s="79">
        <f>ERP_8[[#This Row],[2026 Working Total to Budget/LE]]-ERP_8[[#This Row],[Giveback]]</f>
        <v>9.9999999999965894E-2</v>
      </c>
      <c r="AS207" s="81"/>
      <c r="AT207" s="375"/>
      <c r="AU207" s="375"/>
      <c r="AV207" s="375">
        <v>420.97</v>
      </c>
      <c r="AW207" s="375">
        <v>0</v>
      </c>
      <c r="AX207" s="375">
        <v>0</v>
      </c>
      <c r="AY207" s="375">
        <v>0</v>
      </c>
      <c r="AZ207" s="375">
        <v>0</v>
      </c>
      <c r="BA207" s="375">
        <v>0</v>
      </c>
      <c r="BB207" s="375">
        <v>0</v>
      </c>
      <c r="BC207" s="375">
        <v>0</v>
      </c>
      <c r="BD207" s="375">
        <v>0</v>
      </c>
      <c r="BE207" s="375">
        <v>0</v>
      </c>
      <c r="BF207" s="375">
        <v>420.97</v>
      </c>
      <c r="BG207" s="79"/>
      <c r="BH207" s="79"/>
      <c r="BI207" s="79">
        <v>420.97</v>
      </c>
      <c r="BJ207" s="79">
        <v>0</v>
      </c>
      <c r="BK207" s="79">
        <v>0</v>
      </c>
      <c r="BL207" s="79">
        <v>0</v>
      </c>
      <c r="BM207" s="79">
        <v>0</v>
      </c>
      <c r="BN207" s="79">
        <v>0</v>
      </c>
      <c r="BO207" s="79">
        <v>0</v>
      </c>
      <c r="BP207" s="79">
        <v>0</v>
      </c>
      <c r="BQ207" s="79">
        <v>0</v>
      </c>
      <c r="BR207" s="79">
        <v>0</v>
      </c>
      <c r="BS207" s="79">
        <v>420.97</v>
      </c>
    </row>
    <row r="208" spans="1:71" ht="15" hidden="1" customHeight="1">
      <c r="A208" s="79" t="s">
        <v>1751</v>
      </c>
      <c r="B208" s="749" t="s">
        <v>1752</v>
      </c>
      <c r="C208" s="348"/>
      <c r="D208" s="347" t="str">
        <f>_xlfn.TEXTJOIN("_",FALSE,E208,ERP_8[[#This Row],[Expense Category]],ERP_8[[#This Row],[Project Code*]])</f>
        <v>Dougherty, Chris_MANAGED SERVICES_2026-XFR-0008-B</v>
      </c>
      <c r="E208" s="347" t="s">
        <v>1135</v>
      </c>
      <c r="F208" s="348"/>
      <c r="G208" s="150" t="s">
        <v>1136</v>
      </c>
      <c r="H208" s="332" t="s">
        <v>1135</v>
      </c>
      <c r="I208" s="383" t="s">
        <v>1165</v>
      </c>
      <c r="J208" s="150" t="s">
        <v>1137</v>
      </c>
      <c r="K208" s="512" t="s">
        <v>389</v>
      </c>
      <c r="L208" s="393" t="s">
        <v>1753</v>
      </c>
      <c r="M208" s="343"/>
      <c r="N208" s="801"/>
      <c r="O208" s="91" t="s">
        <v>391</v>
      </c>
      <c r="P208" s="347"/>
      <c r="Q208" s="343"/>
      <c r="R208" s="348"/>
      <c r="S208" s="386" t="s">
        <v>152</v>
      </c>
      <c r="T208" s="387" t="s">
        <v>1754</v>
      </c>
      <c r="U208" s="432"/>
      <c r="V208" s="358">
        <v>183105</v>
      </c>
      <c r="W208" s="378">
        <v>0</v>
      </c>
      <c r="X208" s="425"/>
      <c r="Y208" s="71"/>
      <c r="Z208" s="783"/>
      <c r="AA208" s="795"/>
      <c r="AB208" s="795"/>
      <c r="AC208" s="428" t="s">
        <v>1142</v>
      </c>
      <c r="AD208" s="429">
        <v>0</v>
      </c>
      <c r="AE208" s="429">
        <v>0</v>
      </c>
      <c r="AF208" s="429" t="s">
        <v>1142</v>
      </c>
      <c r="AG208" s="388"/>
      <c r="AH208" s="388"/>
      <c r="AI208" s="388"/>
      <c r="AJ208" s="388"/>
      <c r="AK208" s="388"/>
      <c r="AL208" s="360">
        <f t="shared" si="12"/>
        <v>0</v>
      </c>
      <c r="AM208" s="362">
        <f>ERP_8[[#This Row],[2026 Working Total]]-ERP_8[[#This Row],[LE2 Final Submission]]</f>
        <v>0</v>
      </c>
      <c r="AN208" s="79">
        <v>0</v>
      </c>
      <c r="AO208" s="79">
        <f t="shared" si="13"/>
        <v>0</v>
      </c>
      <c r="AP208" s="374">
        <f>SUM(ERP_8[[#This Row],[AP01]:[AP07]])-SUM(ERP_8[[#This Row],[AP01 LE2]:[AP07 LE2]])</f>
        <v>0</v>
      </c>
      <c r="AQ208" s="80">
        <v>-183105</v>
      </c>
      <c r="AR208" s="79">
        <f>ERP_8[[#This Row],[2026 Working Total to Budget/LE]]-ERP_8[[#This Row],[Giveback]]</f>
        <v>183105</v>
      </c>
      <c r="AS208" s="81" t="s">
        <v>1755</v>
      </c>
      <c r="AT208" s="375"/>
      <c r="AU208" s="375"/>
      <c r="AV208" s="375"/>
      <c r="AW208" s="375"/>
      <c r="AX208" s="375"/>
      <c r="AY208" s="375"/>
      <c r="AZ208" s="375"/>
      <c r="BA208" s="375"/>
      <c r="BB208" s="375"/>
      <c r="BC208" s="375"/>
      <c r="BD208" s="375"/>
      <c r="BE208" s="375"/>
      <c r="BF208" s="375">
        <v>0</v>
      </c>
      <c r="BG208" s="103">
        <v>15258.75</v>
      </c>
      <c r="BH208" s="103">
        <v>15258.75</v>
      </c>
      <c r="BI208" s="103">
        <v>15258.75</v>
      </c>
      <c r="BJ208" s="103">
        <v>15258.75</v>
      </c>
      <c r="BK208" s="103">
        <v>15258.75</v>
      </c>
      <c r="BL208" s="103">
        <v>15258.75</v>
      </c>
      <c r="BM208" s="103">
        <v>15258.75</v>
      </c>
      <c r="BN208" s="103">
        <v>15258.75</v>
      </c>
      <c r="BO208" s="103">
        <v>15258.75</v>
      </c>
      <c r="BP208" s="103">
        <v>15258.75</v>
      </c>
      <c r="BQ208" s="103">
        <v>15258.75</v>
      </c>
      <c r="BR208" s="103">
        <v>15258.75</v>
      </c>
      <c r="BS208" s="79">
        <f>SUM(ERP_8[[#This Row],[2026 AP01]:[2026 AP12]])</f>
        <v>183105</v>
      </c>
    </row>
    <row r="209" spans="1:71" ht="15" hidden="1" customHeight="1">
      <c r="A209" s="66" t="s">
        <v>1756</v>
      </c>
      <c r="B209" s="737" t="s">
        <v>1757</v>
      </c>
      <c r="C209" s="346"/>
      <c r="D209" s="343" t="str">
        <f>_xlfn.TEXTJOIN("_",FALSE,E209,ERP_8[[#This Row],[Expense Category]],ERP_8[[#This Row],[Project Code*]])</f>
        <v>Dougherty, Chris_MANAGED SERVICES_2026-XFR-0017-C</v>
      </c>
      <c r="E209" s="343" t="s">
        <v>1135</v>
      </c>
      <c r="F209" s="346"/>
      <c r="G209" s="150" t="s">
        <v>1136</v>
      </c>
      <c r="H209" s="150" t="s">
        <v>1135</v>
      </c>
      <c r="I209" s="150" t="s">
        <v>1165</v>
      </c>
      <c r="J209" s="150" t="s">
        <v>1137</v>
      </c>
      <c r="K209" s="511" t="s">
        <v>389</v>
      </c>
      <c r="L209" s="392" t="s">
        <v>1758</v>
      </c>
      <c r="M209" s="343"/>
      <c r="N209" s="800"/>
      <c r="O209" s="70" t="s">
        <v>393</v>
      </c>
      <c r="P209" s="346"/>
      <c r="Q209" s="343"/>
      <c r="R209" s="346"/>
      <c r="S209" s="150" t="s">
        <v>152</v>
      </c>
      <c r="T209" s="150"/>
      <c r="U209" s="403"/>
      <c r="V209" s="406">
        <v>0</v>
      </c>
      <c r="W209" s="406">
        <v>112500</v>
      </c>
      <c r="X209" s="425"/>
      <c r="Y209" s="71"/>
      <c r="Z209" s="784"/>
      <c r="AA209" s="794"/>
      <c r="AB209" s="794"/>
      <c r="AC209" s="428" t="s">
        <v>1142</v>
      </c>
      <c r="AD209" s="429">
        <v>0</v>
      </c>
      <c r="AE209" s="429">
        <v>0</v>
      </c>
      <c r="AF209" s="429" t="s">
        <v>1142</v>
      </c>
      <c r="AG209" s="363">
        <v>9322</v>
      </c>
      <c r="AH209" s="363">
        <v>9319</v>
      </c>
      <c r="AI209" s="363">
        <v>9319</v>
      </c>
      <c r="AJ209" s="363">
        <v>9319</v>
      </c>
      <c r="AK209" s="363">
        <v>75221</v>
      </c>
      <c r="AL209" s="360">
        <f t="shared" si="12"/>
        <v>112500</v>
      </c>
      <c r="AM209" s="362">
        <f>ERP_8[[#This Row],[2026 Working Total]]-ERP_8[[#This Row],[LE2 Final Submission]]</f>
        <v>0</v>
      </c>
      <c r="AN209" s="79">
        <v>0</v>
      </c>
      <c r="AO209" s="79">
        <f t="shared" si="13"/>
        <v>0</v>
      </c>
      <c r="AP209" s="374">
        <f>SUM(ERP_8[[#This Row],[AP01]:[AP07]])-SUM(ERP_8[[#This Row],[AP01 LE2]:[AP07 LE2]])</f>
        <v>-50000</v>
      </c>
      <c r="AQ209" s="80"/>
      <c r="AR209" s="79">
        <f>ERP_8[[#This Row],[2026 Working Total to Budget/LE]]-ERP_8[[#This Row],[Giveback]]</f>
        <v>0</v>
      </c>
      <c r="AS209" s="81"/>
      <c r="AT209" s="375"/>
      <c r="AU209" s="375"/>
      <c r="AV209" s="375"/>
      <c r="AW209" s="375">
        <v>12500</v>
      </c>
      <c r="AX209" s="375">
        <v>12500</v>
      </c>
      <c r="AY209" s="375">
        <v>12500</v>
      </c>
      <c r="AZ209" s="375">
        <v>12500</v>
      </c>
      <c r="BA209" s="375">
        <v>12500</v>
      </c>
      <c r="BB209" s="375">
        <v>12500</v>
      </c>
      <c r="BC209" s="375">
        <v>12500</v>
      </c>
      <c r="BD209" s="375">
        <v>12500</v>
      </c>
      <c r="BE209" s="375">
        <v>12500</v>
      </c>
      <c r="BF209" s="375">
        <v>112500</v>
      </c>
      <c r="BG209" s="79"/>
      <c r="BH209" s="79"/>
      <c r="BI209" s="79"/>
      <c r="BJ209" s="79">
        <v>12500</v>
      </c>
      <c r="BK209" s="79">
        <v>12500</v>
      </c>
      <c r="BL209" s="79">
        <v>12500</v>
      </c>
      <c r="BM209" s="79">
        <v>12500</v>
      </c>
      <c r="BN209" s="79">
        <v>12500</v>
      </c>
      <c r="BO209" s="79">
        <v>12500</v>
      </c>
      <c r="BP209" s="79">
        <v>12500</v>
      </c>
      <c r="BQ209" s="79">
        <v>12500</v>
      </c>
      <c r="BR209" s="79">
        <v>12500</v>
      </c>
      <c r="BS209" s="79">
        <v>112500</v>
      </c>
    </row>
    <row r="210" spans="1:71" ht="15" hidden="1" customHeight="1">
      <c r="A210" s="66" t="s">
        <v>1759</v>
      </c>
      <c r="B210" s="737" t="s">
        <v>1760</v>
      </c>
      <c r="C210" s="346"/>
      <c r="D210" s="343" t="str">
        <f>_xlfn.TEXTJOIN("_",FALSE,E210,ERP_8[[#This Row],[Expense Category]],ERP_8[[#This Row],[Project Code*]])</f>
        <v>Dougherty, Chris_MANAGED SERVICES_2026-XFR-0017-D</v>
      </c>
      <c r="E210" s="343" t="s">
        <v>1135</v>
      </c>
      <c r="F210" s="346"/>
      <c r="G210" s="150" t="s">
        <v>1136</v>
      </c>
      <c r="H210" s="150" t="s">
        <v>1135</v>
      </c>
      <c r="I210" s="150" t="s">
        <v>1165</v>
      </c>
      <c r="J210" s="150" t="s">
        <v>1137</v>
      </c>
      <c r="K210" s="511" t="s">
        <v>389</v>
      </c>
      <c r="L210" s="392" t="s">
        <v>1761</v>
      </c>
      <c r="M210" s="343"/>
      <c r="N210" s="800"/>
      <c r="O210" s="70" t="s">
        <v>395</v>
      </c>
      <c r="P210" s="346"/>
      <c r="Q210" s="343"/>
      <c r="R210" s="346"/>
      <c r="S210" s="150" t="s">
        <v>152</v>
      </c>
      <c r="T210" s="150" t="s">
        <v>1762</v>
      </c>
      <c r="U210" s="403"/>
      <c r="V210" s="406">
        <v>0</v>
      </c>
      <c r="W210" s="406">
        <v>90000</v>
      </c>
      <c r="X210" s="425"/>
      <c r="Y210" s="71"/>
      <c r="Z210" s="784"/>
      <c r="AA210" s="794"/>
      <c r="AB210" s="794"/>
      <c r="AC210" s="428" t="s">
        <v>1142</v>
      </c>
      <c r="AD210" s="429">
        <v>0</v>
      </c>
      <c r="AE210" s="429">
        <v>0</v>
      </c>
      <c r="AF210" s="429" t="s">
        <v>1142</v>
      </c>
      <c r="AG210" s="363">
        <v>9322</v>
      </c>
      <c r="AH210" s="363">
        <v>9319</v>
      </c>
      <c r="AI210" s="363">
        <v>9319</v>
      </c>
      <c r="AJ210" s="363">
        <v>9319</v>
      </c>
      <c r="AK210" s="363">
        <v>62721</v>
      </c>
      <c r="AL210" s="360">
        <f t="shared" si="12"/>
        <v>100000</v>
      </c>
      <c r="AM210" s="362">
        <f>ERP_8[[#This Row],[2026 Working Total]]-ERP_8[[#This Row],[LE2 Final Submission]]</f>
        <v>10000</v>
      </c>
      <c r="AN210" s="79">
        <v>0</v>
      </c>
      <c r="AO210" s="79">
        <f t="shared" si="13"/>
        <v>0</v>
      </c>
      <c r="AP210" s="374">
        <f>SUM(ERP_8[[#This Row],[AP01]:[AP07]])-SUM(ERP_8[[#This Row],[AP01 LE2]:[AP07 LE2]])</f>
        <v>-40000</v>
      </c>
      <c r="AQ210" s="80"/>
      <c r="AR210" s="79">
        <f>ERP_8[[#This Row],[2026 Working Total to Budget/LE]]-ERP_8[[#This Row],[Giveback]]</f>
        <v>10000</v>
      </c>
      <c r="AS210" s="81"/>
      <c r="AT210" s="375"/>
      <c r="AU210" s="375"/>
      <c r="AV210" s="375"/>
      <c r="AW210" s="375">
        <v>10000</v>
      </c>
      <c r="AX210" s="375">
        <v>10000</v>
      </c>
      <c r="AY210" s="375">
        <v>10000</v>
      </c>
      <c r="AZ210" s="375">
        <v>10000</v>
      </c>
      <c r="BA210" s="375">
        <v>10000</v>
      </c>
      <c r="BB210" s="375">
        <v>10000</v>
      </c>
      <c r="BC210" s="375">
        <v>10000</v>
      </c>
      <c r="BD210" s="375">
        <v>10000</v>
      </c>
      <c r="BE210" s="375">
        <v>10000</v>
      </c>
      <c r="BF210" s="375">
        <v>90000</v>
      </c>
      <c r="BG210" s="79"/>
      <c r="BH210" s="79"/>
      <c r="BI210" s="79"/>
      <c r="BJ210" s="79">
        <v>10000</v>
      </c>
      <c r="BK210" s="79">
        <v>10000</v>
      </c>
      <c r="BL210" s="79">
        <v>10000</v>
      </c>
      <c r="BM210" s="79">
        <v>10000</v>
      </c>
      <c r="BN210" s="79">
        <v>10000</v>
      </c>
      <c r="BO210" s="79">
        <v>10000</v>
      </c>
      <c r="BP210" s="79">
        <v>10000</v>
      </c>
      <c r="BQ210" s="79">
        <v>10000</v>
      </c>
      <c r="BR210" s="79">
        <v>10000</v>
      </c>
      <c r="BS210" s="79">
        <v>90000</v>
      </c>
    </row>
    <row r="211" spans="1:71" ht="15" hidden="1" customHeight="1">
      <c r="A211" s="66" t="s">
        <v>1763</v>
      </c>
      <c r="B211" s="737" t="s">
        <v>1764</v>
      </c>
      <c r="C211" s="346"/>
      <c r="D211" s="343" t="str">
        <f>_xlfn.TEXTJOIN("_",FALSE,E211,ERP_8[[#This Row],[Expense Category]],ERP_8[[#This Row],[Project Code*]])</f>
        <v>Dougherty, Chris_MANAGED SERVICES_2026-XFR-0020-A</v>
      </c>
      <c r="E211" s="343" t="s">
        <v>1135</v>
      </c>
      <c r="F211" s="346"/>
      <c r="G211" s="150" t="s">
        <v>1136</v>
      </c>
      <c r="H211" s="150" t="s">
        <v>1135</v>
      </c>
      <c r="I211" s="150" t="s">
        <v>1165</v>
      </c>
      <c r="J211" s="150" t="s">
        <v>1137</v>
      </c>
      <c r="K211" s="511" t="s">
        <v>389</v>
      </c>
      <c r="L211" s="392" t="s">
        <v>1765</v>
      </c>
      <c r="M211" s="343"/>
      <c r="N211" s="800"/>
      <c r="O211" s="70" t="s">
        <v>397</v>
      </c>
      <c r="P211" s="346"/>
      <c r="Q211" s="343"/>
      <c r="R211" s="346"/>
      <c r="S211" s="150" t="s">
        <v>398</v>
      </c>
      <c r="T211" s="150" t="s">
        <v>1766</v>
      </c>
      <c r="U211" s="403"/>
      <c r="V211" s="406">
        <v>0</v>
      </c>
      <c r="W211" s="406">
        <v>56250</v>
      </c>
      <c r="X211" s="425"/>
      <c r="Y211" s="71"/>
      <c r="Z211" s="784"/>
      <c r="AA211" s="794"/>
      <c r="AB211" s="794"/>
      <c r="AC211" s="428" t="s">
        <v>1142</v>
      </c>
      <c r="AD211" s="429">
        <v>0</v>
      </c>
      <c r="AE211" s="429">
        <v>0</v>
      </c>
      <c r="AF211" s="429" t="s">
        <v>1142</v>
      </c>
      <c r="AG211" s="363">
        <v>15000</v>
      </c>
      <c r="AH211" s="363">
        <v>15000</v>
      </c>
      <c r="AI211" s="363">
        <v>15000</v>
      </c>
      <c r="AJ211" s="363">
        <v>15000</v>
      </c>
      <c r="AK211" s="363">
        <v>15000</v>
      </c>
      <c r="AL211" s="360">
        <f t="shared" si="12"/>
        <v>75000</v>
      </c>
      <c r="AM211" s="362">
        <f>ERP_8[[#This Row],[2026 Working Total]]-ERP_8[[#This Row],[LE2 Final Submission]]</f>
        <v>18750</v>
      </c>
      <c r="AN211" s="79">
        <v>0</v>
      </c>
      <c r="AO211" s="79">
        <f t="shared" si="13"/>
        <v>0</v>
      </c>
      <c r="AP211" s="374">
        <f>SUM(ERP_8[[#This Row],[AP01]:[AP07]])-SUM(ERP_8[[#This Row],[AP01 LE2]:[AP07 LE2]])</f>
        <v>-25000</v>
      </c>
      <c r="AQ211" s="80"/>
      <c r="AR211" s="79">
        <f>ERP_8[[#This Row],[2026 Working Total to Budget/LE]]-ERP_8[[#This Row],[Giveback]]</f>
        <v>18750</v>
      </c>
      <c r="AS211" s="81"/>
      <c r="AT211" s="375"/>
      <c r="AU211" s="375"/>
      <c r="AV211" s="375"/>
      <c r="AW211" s="375">
        <v>6250</v>
      </c>
      <c r="AX211" s="375">
        <v>6250</v>
      </c>
      <c r="AY211" s="375">
        <v>6250</v>
      </c>
      <c r="AZ211" s="375">
        <v>6250</v>
      </c>
      <c r="BA211" s="375">
        <v>6250</v>
      </c>
      <c r="BB211" s="375">
        <v>6250</v>
      </c>
      <c r="BC211" s="375">
        <v>6250</v>
      </c>
      <c r="BD211" s="375">
        <v>6250</v>
      </c>
      <c r="BE211" s="375">
        <v>6250</v>
      </c>
      <c r="BF211" s="375">
        <v>56250</v>
      </c>
      <c r="BG211" s="79"/>
      <c r="BH211" s="79"/>
      <c r="BI211" s="79"/>
      <c r="BJ211" s="79">
        <v>6250</v>
      </c>
      <c r="BK211" s="79">
        <v>6250</v>
      </c>
      <c r="BL211" s="79">
        <v>6250</v>
      </c>
      <c r="BM211" s="79">
        <v>6250</v>
      </c>
      <c r="BN211" s="79">
        <v>6250</v>
      </c>
      <c r="BO211" s="79">
        <v>6250</v>
      </c>
      <c r="BP211" s="79">
        <v>6250</v>
      </c>
      <c r="BQ211" s="79">
        <v>6250</v>
      </c>
      <c r="BR211" s="79">
        <v>6250</v>
      </c>
      <c r="BS211" s="79">
        <v>56250</v>
      </c>
    </row>
    <row r="212" spans="1:71" ht="15" hidden="1" customHeight="1">
      <c r="A212" s="150" t="s">
        <v>1767</v>
      </c>
      <c r="B212" s="749" t="s">
        <v>1768</v>
      </c>
      <c r="C212" s="348"/>
      <c r="D212" s="347" t="str">
        <f>_xlfn.TEXTJOIN("_",FALSE,E212,ERP_8[[#This Row],[Expense Category]],ERP_8[[#This Row],[Project Code*]])</f>
        <v>Dougherty, Chris_MANAGED SERVICES_AD-RAOCBINT3-PD-15-US-00</v>
      </c>
      <c r="E212" s="347" t="s">
        <v>1135</v>
      </c>
      <c r="F212" s="348"/>
      <c r="G212" s="150" t="s">
        <v>1136</v>
      </c>
      <c r="H212" s="332" t="s">
        <v>1135</v>
      </c>
      <c r="I212" s="383" t="s">
        <v>1145</v>
      </c>
      <c r="J212" s="383" t="s">
        <v>1145</v>
      </c>
      <c r="K212" s="514" t="s">
        <v>389</v>
      </c>
      <c r="L212" s="812" t="s">
        <v>1769</v>
      </c>
      <c r="M212" s="333"/>
      <c r="N212" s="467" t="s">
        <v>1186</v>
      </c>
      <c r="O212" s="90" t="s">
        <v>400</v>
      </c>
      <c r="P212" s="347"/>
      <c r="Q212" s="347"/>
      <c r="R212" s="348"/>
      <c r="S212" s="348"/>
      <c r="T212" s="348"/>
      <c r="U212" s="402"/>
      <c r="V212" s="406"/>
      <c r="W212" s="406"/>
      <c r="X212" s="425"/>
      <c r="Y212" s="71"/>
      <c r="Z212" s="784"/>
      <c r="AA212" s="780"/>
      <c r="AB212" s="780"/>
      <c r="AC212" s="429">
        <v>19</v>
      </c>
      <c r="AD212" s="429">
        <v>0</v>
      </c>
      <c r="AE212" s="429">
        <v>0</v>
      </c>
      <c r="AF212" s="429">
        <v>0</v>
      </c>
      <c r="AG212" s="364"/>
      <c r="AH212" s="364"/>
      <c r="AI212" s="364"/>
      <c r="AJ212" s="364"/>
      <c r="AK212" s="364"/>
      <c r="AL212" s="360">
        <f t="shared" si="12"/>
        <v>19</v>
      </c>
      <c r="AM212" s="362">
        <f>ERP_8[[#This Row],[2026 Working Total]]-ERP_8[[#This Row],[LE2 Final Submission]]</f>
        <v>19</v>
      </c>
      <c r="AN212" s="79">
        <v>0</v>
      </c>
      <c r="AO212" s="79">
        <f t="shared" si="13"/>
        <v>0</v>
      </c>
      <c r="AP212" s="374">
        <f>SUM(ERP_8[[#This Row],[AP01]:[AP07]])-SUM(ERP_8[[#This Row],[AP01 LE2]:[AP07 LE2]])</f>
        <v>19</v>
      </c>
      <c r="AQ212" s="80"/>
      <c r="AR212" s="79">
        <f>ERP_8[[#This Row],[2026 Working Total to Budget/LE]]-ERP_8[[#This Row],[Giveback]]</f>
        <v>19</v>
      </c>
      <c r="AS212" s="81"/>
      <c r="AT212" s="375"/>
      <c r="AU212" s="375"/>
      <c r="AV212" s="375"/>
      <c r="AW212" s="375"/>
      <c r="AX212" s="375"/>
      <c r="AY212" s="375"/>
      <c r="AZ212" s="375"/>
      <c r="BA212" s="375"/>
      <c r="BB212" s="375"/>
      <c r="BC212" s="375"/>
      <c r="BD212" s="375"/>
      <c r="BE212" s="375"/>
      <c r="BF212" s="375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</row>
    <row r="213" spans="1:71" ht="15" hidden="1" customHeight="1">
      <c r="A213" s="150" t="s">
        <v>1770</v>
      </c>
      <c r="B213" s="749" t="s">
        <v>1771</v>
      </c>
      <c r="C213" s="348"/>
      <c r="D213" s="347" t="str">
        <f>_xlfn.TEXTJOIN("_",FALSE,E213,ERP_8[[#This Row],[Expense Category]],ERP_8[[#This Row],[Project Code*]])</f>
        <v>Dougherty, Chris_MANAGED SERVICES_AR-700001184-1400</v>
      </c>
      <c r="E213" s="347" t="s">
        <v>1135</v>
      </c>
      <c r="F213" s="348"/>
      <c r="G213" s="150" t="s">
        <v>1136</v>
      </c>
      <c r="H213" s="332" t="s">
        <v>1135</v>
      </c>
      <c r="I213" s="383" t="s">
        <v>1145</v>
      </c>
      <c r="J213" s="383" t="s">
        <v>1145</v>
      </c>
      <c r="K213" s="514" t="s">
        <v>389</v>
      </c>
      <c r="L213" s="812" t="s">
        <v>1772</v>
      </c>
      <c r="M213" s="333"/>
      <c r="N213" s="467" t="s">
        <v>1186</v>
      </c>
      <c r="O213" s="90" t="s">
        <v>402</v>
      </c>
      <c r="P213" s="347"/>
      <c r="Q213" s="347"/>
      <c r="R213" s="348"/>
      <c r="S213" s="348"/>
      <c r="T213" s="348"/>
      <c r="U213" s="402"/>
      <c r="V213" s="406"/>
      <c r="W213" s="406"/>
      <c r="X213" s="425"/>
      <c r="Y213" s="71"/>
      <c r="Z213" s="784"/>
      <c r="AA213" s="780"/>
      <c r="AB213" s="780"/>
      <c r="AC213" s="429">
        <v>190</v>
      </c>
      <c r="AD213" s="429">
        <v>0</v>
      </c>
      <c r="AE213" s="429">
        <v>0</v>
      </c>
      <c r="AF213" s="429">
        <v>0</v>
      </c>
      <c r="AG213" s="364"/>
      <c r="AH213" s="364"/>
      <c r="AI213" s="364"/>
      <c r="AJ213" s="364"/>
      <c r="AK213" s="364"/>
      <c r="AL213" s="360">
        <f t="shared" si="12"/>
        <v>190</v>
      </c>
      <c r="AM213" s="362">
        <f>ERP_8[[#This Row],[2026 Working Total]]-ERP_8[[#This Row],[LE2 Final Submission]]</f>
        <v>190</v>
      </c>
      <c r="AN213" s="79">
        <v>0</v>
      </c>
      <c r="AO213" s="79">
        <f t="shared" si="13"/>
        <v>0</v>
      </c>
      <c r="AP213" s="374">
        <f>SUM(ERP_8[[#This Row],[AP01]:[AP07]])-SUM(ERP_8[[#This Row],[AP01 LE2]:[AP07 LE2]])</f>
        <v>190</v>
      </c>
      <c r="AQ213" s="80"/>
      <c r="AR213" s="79">
        <f>ERP_8[[#This Row],[2026 Working Total to Budget/LE]]-ERP_8[[#This Row],[Giveback]]</f>
        <v>190</v>
      </c>
      <c r="AS213" s="81"/>
      <c r="AT213" s="375"/>
      <c r="AU213" s="375"/>
      <c r="AV213" s="375"/>
      <c r="AW213" s="375"/>
      <c r="AX213" s="375"/>
      <c r="AY213" s="375"/>
      <c r="AZ213" s="375"/>
      <c r="BA213" s="375"/>
      <c r="BB213" s="375"/>
      <c r="BC213" s="375"/>
      <c r="BD213" s="375"/>
      <c r="BE213" s="375"/>
      <c r="BF213" s="375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</row>
    <row r="214" spans="1:71" ht="15" hidden="1" customHeight="1">
      <c r="A214" s="66" t="s">
        <v>1773</v>
      </c>
      <c r="B214" s="737" t="s">
        <v>1774</v>
      </c>
      <c r="C214" s="346"/>
      <c r="D214" s="343" t="str">
        <f>_xlfn.TEXTJOIN("_",FALSE,E214,ERP_8[[#This Row],[Expense Category]],ERP_8[[#This Row],[Project Code*]])</f>
        <v>Dougherty, Chris_MANAGED SERVICES_BillingRev001</v>
      </c>
      <c r="E214" s="343" t="s">
        <v>1135</v>
      </c>
      <c r="F214" s="346"/>
      <c r="G214" s="150" t="s">
        <v>1136</v>
      </c>
      <c r="H214" s="150" t="s">
        <v>1135</v>
      </c>
      <c r="I214" s="150" t="s">
        <v>1137</v>
      </c>
      <c r="J214" s="150" t="s">
        <v>1137</v>
      </c>
      <c r="K214" s="511" t="s">
        <v>389</v>
      </c>
      <c r="L214" s="392" t="s">
        <v>1775</v>
      </c>
      <c r="M214" s="343"/>
      <c r="N214" s="800" t="s">
        <v>1776</v>
      </c>
      <c r="O214" s="70" t="s">
        <v>404</v>
      </c>
      <c r="P214" s="346"/>
      <c r="Q214" s="346" t="s">
        <v>1140</v>
      </c>
      <c r="R214" s="346"/>
      <c r="S214" s="150" t="s">
        <v>405</v>
      </c>
      <c r="T214" s="1" t="s">
        <v>1141</v>
      </c>
      <c r="U214" s="404"/>
      <c r="V214" s="407">
        <v>0</v>
      </c>
      <c r="W214" s="407">
        <v>0</v>
      </c>
      <c r="X214" s="430"/>
      <c r="Y214" s="137"/>
      <c r="Z214" s="784"/>
      <c r="AA214" s="780">
        <v>0</v>
      </c>
      <c r="AB214" s="780">
        <v>0</v>
      </c>
      <c r="AC214" s="428">
        <v>-1732.97</v>
      </c>
      <c r="AD214" s="429">
        <v>0</v>
      </c>
      <c r="AE214" s="429">
        <v>0</v>
      </c>
      <c r="AF214" s="429">
        <v>0</v>
      </c>
      <c r="AG214" s="360">
        <v>0</v>
      </c>
      <c r="AH214" s="360">
        <v>0</v>
      </c>
      <c r="AI214" s="360">
        <v>0</v>
      </c>
      <c r="AJ214" s="360">
        <v>0</v>
      </c>
      <c r="AK214" s="360">
        <v>0</v>
      </c>
      <c r="AL214" s="360">
        <f t="shared" si="12"/>
        <v>-1732.97</v>
      </c>
      <c r="AM214" s="362">
        <f>ERP_8[[#This Row],[2026 Working Total]]-ERP_8[[#This Row],[LE2 Final Submission]]</f>
        <v>-1732.97</v>
      </c>
      <c r="AN214" s="79">
        <v>0</v>
      </c>
      <c r="AO214" s="79">
        <f t="shared" si="13"/>
        <v>0</v>
      </c>
      <c r="AP214" s="374">
        <f>SUM(ERP_8[[#This Row],[AP01]:[AP07]])-SUM(ERP_8[[#This Row],[AP01 LE2]:[AP07 LE2]])</f>
        <v>-1732.97</v>
      </c>
      <c r="AQ214" s="80"/>
      <c r="AR214" s="79">
        <f>ERP_8[[#This Row],[2026 Working Total to Budget/LE]]-ERP_8[[#This Row],[Giveback]]</f>
        <v>-1732.97</v>
      </c>
      <c r="AS214" s="81"/>
      <c r="AT214" s="375"/>
      <c r="AU214" s="375">
        <v>0</v>
      </c>
      <c r="AV214" s="375">
        <v>0</v>
      </c>
      <c r="AW214" s="375">
        <v>0</v>
      </c>
      <c r="AX214" s="375">
        <v>0</v>
      </c>
      <c r="AY214" s="375">
        <v>0</v>
      </c>
      <c r="AZ214" s="375">
        <v>0</v>
      </c>
      <c r="BA214" s="375">
        <v>0</v>
      </c>
      <c r="BB214" s="375">
        <v>0</v>
      </c>
      <c r="BC214" s="375">
        <v>0</v>
      </c>
      <c r="BD214" s="375">
        <v>0</v>
      </c>
      <c r="BE214" s="375">
        <v>0</v>
      </c>
      <c r="BF214" s="375">
        <v>0</v>
      </c>
      <c r="BG214" s="79"/>
      <c r="BH214" s="79">
        <v>0</v>
      </c>
      <c r="BI214" s="79">
        <v>0</v>
      </c>
      <c r="BJ214" s="79">
        <v>0</v>
      </c>
      <c r="BK214" s="79">
        <v>0</v>
      </c>
      <c r="BL214" s="79">
        <v>0</v>
      </c>
      <c r="BM214" s="79">
        <v>0</v>
      </c>
      <c r="BN214" s="79">
        <v>0</v>
      </c>
      <c r="BO214" s="79">
        <v>0</v>
      </c>
      <c r="BP214" s="79">
        <v>0</v>
      </c>
      <c r="BQ214" s="79">
        <v>0</v>
      </c>
      <c r="BR214" s="79">
        <v>0</v>
      </c>
      <c r="BS214" s="79">
        <v>0</v>
      </c>
    </row>
    <row r="215" spans="1:71" ht="15" hidden="1" customHeight="1">
      <c r="A215" s="79" t="s">
        <v>1777</v>
      </c>
      <c r="B215" s="749" t="s">
        <v>406</v>
      </c>
      <c r="C215" s="348"/>
      <c r="D215" s="347" t="str">
        <f>_xlfn.TEXTJOIN("_",FALSE,E215,ERP_8[[#This Row],[Expense Category]],ERP_8[[#This Row],[Project Code*]])</f>
        <v>Dougherty, Chris_MANAGED SERVICES_BillingRev019</v>
      </c>
      <c r="E215" s="347" t="s">
        <v>1135</v>
      </c>
      <c r="F215" s="348"/>
      <c r="G215" s="150" t="s">
        <v>1136</v>
      </c>
      <c r="H215" s="332" t="s">
        <v>1135</v>
      </c>
      <c r="I215" s="382" t="s">
        <v>1135</v>
      </c>
      <c r="J215" s="331" t="s">
        <v>1137</v>
      </c>
      <c r="K215" s="512" t="s">
        <v>389</v>
      </c>
      <c r="L215" s="394" t="s">
        <v>1778</v>
      </c>
      <c r="M215" s="343"/>
      <c r="N215" s="803"/>
      <c r="O215" s="122" t="s">
        <v>407</v>
      </c>
      <c r="P215" s="343"/>
      <c r="Q215" s="346" t="s">
        <v>1140</v>
      </c>
      <c r="R215" s="348"/>
      <c r="S215" s="384" t="s">
        <v>408</v>
      </c>
      <c r="T215" s="387" t="s">
        <v>1779</v>
      </c>
      <c r="U215" s="432"/>
      <c r="V215" s="358">
        <v>-21666.659999999996</v>
      </c>
      <c r="W215" s="378">
        <v>-15000</v>
      </c>
      <c r="X215" s="430"/>
      <c r="Y215" s="137"/>
      <c r="Z215" s="783"/>
      <c r="AA215" s="781"/>
      <c r="AB215" s="781"/>
      <c r="AC215" s="428" t="s">
        <v>1142</v>
      </c>
      <c r="AD215" s="429">
        <v>0</v>
      </c>
      <c r="AE215" s="429">
        <v>0</v>
      </c>
      <c r="AF215" s="429" t="s">
        <v>1142</v>
      </c>
      <c r="AG215" s="548">
        <v>-1666.67</v>
      </c>
      <c r="AH215" s="548">
        <v>-1666.67</v>
      </c>
      <c r="AI215" s="548">
        <v>0</v>
      </c>
      <c r="AJ215" s="548">
        <v>0</v>
      </c>
      <c r="AK215" s="548">
        <v>0</v>
      </c>
      <c r="AL215" s="360">
        <f t="shared" si="12"/>
        <v>-3333.34</v>
      </c>
      <c r="AM215" s="362">
        <f>ERP_8[[#This Row],[2026 Working Total]]-ERP_8[[#This Row],[LE2 Final Submission]]</f>
        <v>11666.66</v>
      </c>
      <c r="AN215" s="79">
        <v>0</v>
      </c>
      <c r="AO215" s="79">
        <f t="shared" si="13"/>
        <v>0</v>
      </c>
      <c r="AP215" s="374">
        <f>SUM(ERP_8[[#This Row],[AP01]:[AP07]])-SUM(ERP_8[[#This Row],[AP01 LE2]:[AP07 LE2]])</f>
        <v>11666.66</v>
      </c>
      <c r="AQ215" s="80"/>
      <c r="AR215" s="79">
        <f>ERP_8[[#This Row],[2026 Working Total to Budget/LE]]-ERP_8[[#This Row],[Giveback]]</f>
        <v>11666.66</v>
      </c>
      <c r="AS215" s="81"/>
      <c r="AT215" s="375"/>
      <c r="AU215" s="375"/>
      <c r="AV215" s="375"/>
      <c r="AW215" s="375">
        <v>-3333.33</v>
      </c>
      <c r="AX215" s="375">
        <v>-3333.33</v>
      </c>
      <c r="AY215" s="375">
        <v>-3333.33</v>
      </c>
      <c r="AZ215" s="375">
        <v>-1666.67</v>
      </c>
      <c r="BA215" s="375">
        <v>-1666.67</v>
      </c>
      <c r="BB215" s="375">
        <v>-1666.67</v>
      </c>
      <c r="BC215" s="375">
        <v>0</v>
      </c>
      <c r="BD215" s="375">
        <v>0</v>
      </c>
      <c r="BE215" s="375">
        <v>0</v>
      </c>
      <c r="BF215" s="375">
        <v>-15000</v>
      </c>
      <c r="BG215" s="103">
        <v>0</v>
      </c>
      <c r="BH215" s="103">
        <v>-3333.33</v>
      </c>
      <c r="BI215" s="103">
        <v>-3333.33</v>
      </c>
      <c r="BJ215" s="103">
        <v>-3333.33</v>
      </c>
      <c r="BK215" s="103">
        <v>-3333.33</v>
      </c>
      <c r="BL215" s="103">
        <v>-3333.33</v>
      </c>
      <c r="BM215" s="103">
        <v>-1666.67</v>
      </c>
      <c r="BN215" s="103">
        <v>-1666.67</v>
      </c>
      <c r="BO215" s="103">
        <v>-1666.67</v>
      </c>
      <c r="BP215" s="103">
        <v>0</v>
      </c>
      <c r="BQ215" s="103">
        <v>0</v>
      </c>
      <c r="BR215" s="103">
        <v>0</v>
      </c>
      <c r="BS215" s="79">
        <f>SUM(ERP_8[[#This Row],[2026 AP01]:[2026 AP12]])</f>
        <v>-21666.659999999996</v>
      </c>
    </row>
    <row r="216" spans="1:71" s="15" customFormat="1" ht="15" hidden="1" customHeight="1">
      <c r="A216" s="66" t="s">
        <v>1780</v>
      </c>
      <c r="B216" s="737" t="s">
        <v>1781</v>
      </c>
      <c r="C216" s="346"/>
      <c r="D216" s="343" t="str">
        <f>_xlfn.TEXTJOIN("_",FALSE,E216,ERP_8[[#This Row],[Expense Category]],ERP_8[[#This Row],[Project Code*]])</f>
        <v>Dougherty, Chris_MANAGED SERVICES_BillingSweep005</v>
      </c>
      <c r="E216" s="343" t="s">
        <v>1135</v>
      </c>
      <c r="F216" s="346"/>
      <c r="G216" s="150" t="s">
        <v>1136</v>
      </c>
      <c r="H216" s="150" t="s">
        <v>1135</v>
      </c>
      <c r="I216" s="150" t="s">
        <v>1137</v>
      </c>
      <c r="J216" s="150" t="s">
        <v>1137</v>
      </c>
      <c r="K216" s="511" t="s">
        <v>389</v>
      </c>
      <c r="L216" s="392" t="s">
        <v>1685</v>
      </c>
      <c r="M216" s="343"/>
      <c r="N216" s="804">
        <v>2320494</v>
      </c>
      <c r="O216" s="70" t="s">
        <v>350</v>
      </c>
      <c r="P216" s="346" t="s">
        <v>1139</v>
      </c>
      <c r="Q216" s="346" t="s">
        <v>1140</v>
      </c>
      <c r="R216" s="346"/>
      <c r="S216" s="150" t="s">
        <v>25</v>
      </c>
      <c r="T216" s="1" t="s">
        <v>1141</v>
      </c>
      <c r="U216" s="403"/>
      <c r="V216" s="406">
        <v>0</v>
      </c>
      <c r="W216" s="406">
        <v>-108.52</v>
      </c>
      <c r="X216" s="425"/>
      <c r="Y216" s="425"/>
      <c r="Z216" s="784"/>
      <c r="AA216" s="780">
        <v>-108.52</v>
      </c>
      <c r="AB216" s="780">
        <v>0</v>
      </c>
      <c r="AC216" s="428">
        <v>0</v>
      </c>
      <c r="AD216" s="429">
        <v>0</v>
      </c>
      <c r="AE216" s="429">
        <v>0</v>
      </c>
      <c r="AF216" s="429">
        <v>0</v>
      </c>
      <c r="AG216" s="360">
        <v>0</v>
      </c>
      <c r="AH216" s="360">
        <v>0</v>
      </c>
      <c r="AI216" s="360">
        <v>0</v>
      </c>
      <c r="AJ216" s="360">
        <v>0</v>
      </c>
      <c r="AK216" s="360">
        <v>0</v>
      </c>
      <c r="AL216" s="360">
        <f t="shared" si="12"/>
        <v>-108.52</v>
      </c>
      <c r="AM216" s="362">
        <f>ERP_8[[#This Row],[2026 Working Total]]-ERP_8[[#This Row],[LE2 Final Submission]]</f>
        <v>0</v>
      </c>
      <c r="AN216" s="79">
        <v>0</v>
      </c>
      <c r="AO216" s="79">
        <f t="shared" si="13"/>
        <v>0</v>
      </c>
      <c r="AP216" s="374">
        <f>SUM(ERP_8[[#This Row],[AP01]:[AP07]])-SUM(ERP_8[[#This Row],[AP01 LE2]:[AP07 LE2]])</f>
        <v>0</v>
      </c>
      <c r="AQ216" s="80"/>
      <c r="AR216" s="79">
        <f>ERP_8[[#This Row],[2026 Working Total to Budget/LE]]-ERP_8[[#This Row],[Giveback]]</f>
        <v>0</v>
      </c>
      <c r="AS216" s="81"/>
      <c r="AT216" s="375"/>
      <c r="AU216" s="375">
        <v>-108.52</v>
      </c>
      <c r="AV216" s="375">
        <v>0</v>
      </c>
      <c r="AW216" s="375">
        <v>0</v>
      </c>
      <c r="AX216" s="375">
        <v>0</v>
      </c>
      <c r="AY216" s="375">
        <v>0</v>
      </c>
      <c r="AZ216" s="375">
        <v>0</v>
      </c>
      <c r="BA216" s="375">
        <v>0</v>
      </c>
      <c r="BB216" s="375">
        <v>0</v>
      </c>
      <c r="BC216" s="375">
        <v>0</v>
      </c>
      <c r="BD216" s="375">
        <v>0</v>
      </c>
      <c r="BE216" s="375">
        <v>0</v>
      </c>
      <c r="BF216" s="375">
        <v>-108.52</v>
      </c>
      <c r="BG216" s="79"/>
      <c r="BH216" s="79">
        <v>-108.52</v>
      </c>
      <c r="BI216" s="79">
        <v>0</v>
      </c>
      <c r="BJ216" s="79">
        <v>0</v>
      </c>
      <c r="BK216" s="79">
        <v>0</v>
      </c>
      <c r="BL216" s="79">
        <v>0</v>
      </c>
      <c r="BM216" s="79">
        <v>0</v>
      </c>
      <c r="BN216" s="79">
        <v>0</v>
      </c>
      <c r="BO216" s="79">
        <v>0</v>
      </c>
      <c r="BP216" s="79">
        <v>0</v>
      </c>
      <c r="BQ216" s="79">
        <v>0</v>
      </c>
      <c r="BR216" s="79">
        <v>0</v>
      </c>
      <c r="BS216" s="79">
        <v>-108.52</v>
      </c>
    </row>
    <row r="217" spans="1:71" ht="15" hidden="1" customHeight="1">
      <c r="A217" s="79" t="s">
        <v>1782</v>
      </c>
      <c r="B217" s="749" t="s">
        <v>1783</v>
      </c>
      <c r="C217" s="348"/>
      <c r="D217" s="347" t="str">
        <f>_xlfn.TEXTJOIN("_",FALSE,E217,ERP_8[[#This Row],[Expense Category]],ERP_8[[#This Row],[Project Code*]])</f>
        <v>Dougherty, Chris_MANAGED SERVICES_BILLINGSWEEP006</v>
      </c>
      <c r="E217" s="347" t="s">
        <v>1135</v>
      </c>
      <c r="F217" s="348"/>
      <c r="G217" s="150" t="s">
        <v>1136</v>
      </c>
      <c r="H217" s="332" t="s">
        <v>1135</v>
      </c>
      <c r="I217" s="332" t="s">
        <v>1165</v>
      </c>
      <c r="J217" s="333" t="s">
        <v>1165</v>
      </c>
      <c r="K217" s="514" t="s">
        <v>389</v>
      </c>
      <c r="L217" s="394"/>
      <c r="M217" s="333"/>
      <c r="N217" s="801">
        <v>2321403</v>
      </c>
      <c r="O217" s="90" t="s">
        <v>411</v>
      </c>
      <c r="P217" s="347"/>
      <c r="Q217" s="347"/>
      <c r="R217" s="348"/>
      <c r="S217" s="348"/>
      <c r="T217" s="348"/>
      <c r="U217" s="402"/>
      <c r="V217" s="358"/>
      <c r="W217" s="379"/>
      <c r="X217" s="425"/>
      <c r="Y217" s="71"/>
      <c r="Z217" s="784"/>
      <c r="AA217" s="794"/>
      <c r="AB217" s="794"/>
      <c r="AC217" s="429"/>
      <c r="AD217" s="429"/>
      <c r="AE217" s="429">
        <v>-269.45</v>
      </c>
      <c r="AF217" s="429">
        <v>0</v>
      </c>
      <c r="AG217" s="364"/>
      <c r="AH217" s="364"/>
      <c r="AI217" s="364"/>
      <c r="AJ217" s="364"/>
      <c r="AK217" s="364"/>
      <c r="AL217" s="360">
        <f t="shared" si="12"/>
        <v>-269.45</v>
      </c>
      <c r="AM217" s="362">
        <f>ERP_8[[#This Row],[2026 Working Total]]-ERP_8[[#This Row],[LE2 Final Submission]]</f>
        <v>-269.45</v>
      </c>
      <c r="AN217" s="79">
        <v>0</v>
      </c>
      <c r="AO217" s="79">
        <f t="shared" si="13"/>
        <v>-269.45</v>
      </c>
      <c r="AP217" s="374">
        <f>SUM(ERP_8[[#This Row],[AP01]:[AP07]])-SUM(ERP_8[[#This Row],[AP01 LE2]:[AP07 LE2]])</f>
        <v>-269.45</v>
      </c>
      <c r="AQ217" s="80"/>
      <c r="AR217" s="79">
        <f>ERP_8[[#This Row],[2026 Working Total to Budget/LE]]-ERP_8[[#This Row],[Giveback]]</f>
        <v>-269.45</v>
      </c>
      <c r="AS217" s="81"/>
      <c r="AT217" s="375"/>
      <c r="AU217" s="375"/>
      <c r="AV217" s="375"/>
      <c r="AW217" s="375"/>
      <c r="AX217" s="375"/>
      <c r="AY217" s="375"/>
      <c r="AZ217" s="375"/>
      <c r="BA217" s="375"/>
      <c r="BB217" s="375"/>
      <c r="BC217" s="375"/>
      <c r="BD217" s="375"/>
      <c r="BE217" s="375"/>
      <c r="BF217" s="375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</row>
    <row r="218" spans="1:71" ht="15" hidden="1" customHeight="1">
      <c r="A218" s="66" t="s">
        <v>1784</v>
      </c>
      <c r="B218" s="737" t="s">
        <v>1785</v>
      </c>
      <c r="C218" s="346"/>
      <c r="D218" s="343" t="str">
        <f>_xlfn.TEXTJOIN("_",FALSE,E218,ERP_8[[#This Row],[Expense Category]],ERP_8[[#This Row],[Project Code*]])</f>
        <v>Dougherty, Chris_MANAGED SERVICES_BillingSweep011</v>
      </c>
      <c r="E218" s="343" t="s">
        <v>1135</v>
      </c>
      <c r="F218" s="346"/>
      <c r="G218" s="150" t="s">
        <v>1136</v>
      </c>
      <c r="H218" s="150" t="s">
        <v>1135</v>
      </c>
      <c r="I218" s="150" t="s">
        <v>1137</v>
      </c>
      <c r="J218" s="150" t="s">
        <v>1137</v>
      </c>
      <c r="K218" s="511" t="s">
        <v>389</v>
      </c>
      <c r="L218" s="392" t="s">
        <v>352</v>
      </c>
      <c r="M218" s="343"/>
      <c r="N218" s="804">
        <v>2320494</v>
      </c>
      <c r="O218" s="70" t="s">
        <v>352</v>
      </c>
      <c r="P218" s="346" t="s">
        <v>1139</v>
      </c>
      <c r="Q218" s="346" t="s">
        <v>1140</v>
      </c>
      <c r="R218" s="346"/>
      <c r="S218" s="150" t="s">
        <v>25</v>
      </c>
      <c r="T218" s="150"/>
      <c r="U218" s="404"/>
      <c r="V218" s="407">
        <v>0</v>
      </c>
      <c r="W218" s="407">
        <v>0</v>
      </c>
      <c r="X218" s="430"/>
      <c r="Y218" s="137"/>
      <c r="Z218" s="784"/>
      <c r="AA218" s="780"/>
      <c r="AB218" s="780">
        <v>0</v>
      </c>
      <c r="AC218" s="428">
        <v>0</v>
      </c>
      <c r="AD218" s="429">
        <v>0</v>
      </c>
      <c r="AE218" s="429">
        <v>0</v>
      </c>
      <c r="AF218" s="429">
        <v>0</v>
      </c>
      <c r="AG218" s="360">
        <v>0</v>
      </c>
      <c r="AH218" s="360">
        <v>0</v>
      </c>
      <c r="AI218" s="360">
        <v>0</v>
      </c>
      <c r="AJ218" s="360">
        <v>0</v>
      </c>
      <c r="AK218" s="360">
        <v>0</v>
      </c>
      <c r="AL218" s="360">
        <f t="shared" si="12"/>
        <v>0</v>
      </c>
      <c r="AM218" s="362">
        <f>ERP_8[[#This Row],[2026 Working Total]]-ERP_8[[#This Row],[LE2 Final Submission]]</f>
        <v>0</v>
      </c>
      <c r="AN218" s="79">
        <v>0</v>
      </c>
      <c r="AO218" s="79">
        <f t="shared" si="13"/>
        <v>0</v>
      </c>
      <c r="AP218" s="374">
        <f>SUM(ERP_8[[#This Row],[AP01]:[AP07]])-SUM(ERP_8[[#This Row],[AP01 LE2]:[AP07 LE2]])</f>
        <v>0</v>
      </c>
      <c r="AQ218" s="80"/>
      <c r="AR218" s="79">
        <f>ERP_8[[#This Row],[2026 Working Total to Budget/LE]]-ERP_8[[#This Row],[Giveback]]</f>
        <v>0</v>
      </c>
      <c r="AS218" s="81"/>
      <c r="AT218" s="375"/>
      <c r="AU218" s="375"/>
      <c r="AV218" s="375">
        <v>0</v>
      </c>
      <c r="AW218" s="375">
        <v>0</v>
      </c>
      <c r="AX218" s="375">
        <v>0</v>
      </c>
      <c r="AY218" s="375">
        <v>0</v>
      </c>
      <c r="AZ218" s="375">
        <v>0</v>
      </c>
      <c r="BA218" s="375">
        <v>0</v>
      </c>
      <c r="BB218" s="375">
        <v>0</v>
      </c>
      <c r="BC218" s="375">
        <v>0</v>
      </c>
      <c r="BD218" s="375">
        <v>0</v>
      </c>
      <c r="BE218" s="375">
        <v>0</v>
      </c>
      <c r="BF218" s="375">
        <v>0</v>
      </c>
      <c r="BG218" s="79"/>
      <c r="BH218" s="79"/>
      <c r="BI218" s="79">
        <v>0</v>
      </c>
      <c r="BJ218" s="79">
        <v>0</v>
      </c>
      <c r="BK218" s="79">
        <v>0</v>
      </c>
      <c r="BL218" s="79">
        <v>0</v>
      </c>
      <c r="BM218" s="79">
        <v>0</v>
      </c>
      <c r="BN218" s="79">
        <v>0</v>
      </c>
      <c r="BO218" s="79">
        <v>0</v>
      </c>
      <c r="BP218" s="79">
        <v>0</v>
      </c>
      <c r="BQ218" s="79">
        <v>0</v>
      </c>
      <c r="BR218" s="79">
        <v>0</v>
      </c>
      <c r="BS218" s="79">
        <v>0</v>
      </c>
    </row>
    <row r="219" spans="1:71" ht="15" hidden="1" customHeight="1">
      <c r="A219" s="66" t="s">
        <v>1786</v>
      </c>
      <c r="B219" s="737" t="s">
        <v>1787</v>
      </c>
      <c r="C219" s="346"/>
      <c r="D219" s="343" t="str">
        <f>_xlfn.TEXTJOIN("_",FALSE,E219,ERP_8[[#This Row],[Expense Category]],ERP_8[[#This Row],[Project Code*]])</f>
        <v>Dougherty, Chris_MANAGED SERVICES_BillingSweep021</v>
      </c>
      <c r="E219" s="343" t="s">
        <v>1135</v>
      </c>
      <c r="F219" s="346"/>
      <c r="G219" s="150" t="s">
        <v>1136</v>
      </c>
      <c r="H219" s="150" t="s">
        <v>1135</v>
      </c>
      <c r="I219" s="150" t="s">
        <v>1137</v>
      </c>
      <c r="J219" s="150" t="s">
        <v>1137</v>
      </c>
      <c r="K219" s="511" t="s">
        <v>389</v>
      </c>
      <c r="L219" s="392" t="s">
        <v>414</v>
      </c>
      <c r="M219" s="343"/>
      <c r="N219" s="800" t="s">
        <v>1776</v>
      </c>
      <c r="O219" s="70" t="s">
        <v>414</v>
      </c>
      <c r="P219" s="346" t="s">
        <v>1139</v>
      </c>
      <c r="Q219" s="346" t="s">
        <v>1140</v>
      </c>
      <c r="R219" s="346"/>
      <c r="S219" s="150" t="s">
        <v>25</v>
      </c>
      <c r="T219" s="1" t="s">
        <v>1141</v>
      </c>
      <c r="U219" s="404"/>
      <c r="V219" s="407">
        <v>0</v>
      </c>
      <c r="W219" s="407">
        <v>0</v>
      </c>
      <c r="X219" s="430"/>
      <c r="Y219" s="137"/>
      <c r="Z219" s="784"/>
      <c r="AA219" s="780">
        <v>0</v>
      </c>
      <c r="AB219" s="780">
        <v>0</v>
      </c>
      <c r="AC219" s="428">
        <v>-10742.01</v>
      </c>
      <c r="AD219" s="429">
        <v>0</v>
      </c>
      <c r="AE219" s="429">
        <v>0</v>
      </c>
      <c r="AF219" s="429">
        <v>0</v>
      </c>
      <c r="AG219" s="360">
        <v>0</v>
      </c>
      <c r="AH219" s="360">
        <v>0</v>
      </c>
      <c r="AI219" s="360">
        <v>0</v>
      </c>
      <c r="AJ219" s="360">
        <v>0</v>
      </c>
      <c r="AK219" s="360">
        <v>0</v>
      </c>
      <c r="AL219" s="360">
        <f t="shared" si="12"/>
        <v>-10742.01</v>
      </c>
      <c r="AM219" s="362">
        <f>ERP_8[[#This Row],[2026 Working Total]]-ERP_8[[#This Row],[LE2 Final Submission]]</f>
        <v>-10742.01</v>
      </c>
      <c r="AN219" s="79">
        <v>0</v>
      </c>
      <c r="AO219" s="79">
        <f t="shared" si="13"/>
        <v>0</v>
      </c>
      <c r="AP219" s="374">
        <f>SUM(ERP_8[[#This Row],[AP01]:[AP07]])-SUM(ERP_8[[#This Row],[AP01 LE2]:[AP07 LE2]])</f>
        <v>-10742.01</v>
      </c>
      <c r="AQ219" s="80"/>
      <c r="AR219" s="79">
        <f>ERP_8[[#This Row],[2026 Working Total to Budget/LE]]-ERP_8[[#This Row],[Giveback]]</f>
        <v>-10742.01</v>
      </c>
      <c r="AS219" s="81"/>
      <c r="AT219" s="375"/>
      <c r="AU219" s="375">
        <v>0</v>
      </c>
      <c r="AV219" s="375">
        <v>0</v>
      </c>
      <c r="AW219" s="375">
        <v>0</v>
      </c>
      <c r="AX219" s="375">
        <v>0</v>
      </c>
      <c r="AY219" s="375">
        <v>0</v>
      </c>
      <c r="AZ219" s="375">
        <v>0</v>
      </c>
      <c r="BA219" s="375">
        <v>0</v>
      </c>
      <c r="BB219" s="375">
        <v>0</v>
      </c>
      <c r="BC219" s="375">
        <v>0</v>
      </c>
      <c r="BD219" s="375">
        <v>0</v>
      </c>
      <c r="BE219" s="375">
        <v>0</v>
      </c>
      <c r="BF219" s="375">
        <v>0</v>
      </c>
      <c r="BG219" s="79"/>
      <c r="BH219" s="79">
        <v>0</v>
      </c>
      <c r="BI219" s="79">
        <v>0</v>
      </c>
      <c r="BJ219" s="79">
        <v>0</v>
      </c>
      <c r="BK219" s="79">
        <v>0</v>
      </c>
      <c r="BL219" s="79">
        <v>0</v>
      </c>
      <c r="BM219" s="79">
        <v>0</v>
      </c>
      <c r="BN219" s="79">
        <v>0</v>
      </c>
      <c r="BO219" s="79">
        <v>0</v>
      </c>
      <c r="BP219" s="79">
        <v>0</v>
      </c>
      <c r="BQ219" s="79">
        <v>0</v>
      </c>
      <c r="BR219" s="79">
        <v>0</v>
      </c>
      <c r="BS219" s="79">
        <v>0</v>
      </c>
    </row>
    <row r="220" spans="1:71" ht="15" hidden="1" customHeight="1">
      <c r="A220" s="79" t="s">
        <v>1788</v>
      </c>
      <c r="B220" s="749" t="s">
        <v>415</v>
      </c>
      <c r="C220" s="348"/>
      <c r="D220" s="347" t="str">
        <f>_xlfn.TEXTJOIN("_",FALSE,E220,ERP_8[[#This Row],[Expense Category]],ERP_8[[#This Row],[Project Code*]])</f>
        <v>Dougherty, Chris_MANAGED SERVICES_BillSweepMisc</v>
      </c>
      <c r="E220" s="347" t="s">
        <v>1135</v>
      </c>
      <c r="F220" s="348"/>
      <c r="G220" s="150" t="s">
        <v>1136</v>
      </c>
      <c r="H220" t="s">
        <v>1135</v>
      </c>
      <c r="I220" t="s">
        <v>1135</v>
      </c>
      <c r="J220" t="s">
        <v>1135</v>
      </c>
      <c r="K220" s="514" t="s">
        <v>389</v>
      </c>
      <c r="L220" s="394" t="s">
        <v>1699</v>
      </c>
      <c r="M220" s="343"/>
      <c r="N220" s="801"/>
      <c r="O220" s="70" t="s">
        <v>362</v>
      </c>
      <c r="P220" s="347"/>
      <c r="Q220" s="343"/>
      <c r="R220" s="348"/>
      <c r="S220" s="348"/>
      <c r="T220" s="348" t="s">
        <v>1700</v>
      </c>
      <c r="U220" s="402"/>
      <c r="V220" s="358"/>
      <c r="W220" s="379">
        <v>0</v>
      </c>
      <c r="X220" s="425"/>
      <c r="Y220" s="71"/>
      <c r="Z220" s="784"/>
      <c r="AA220" s="780"/>
      <c r="AB220" s="780"/>
      <c r="AC220" s="428" t="s">
        <v>1142</v>
      </c>
      <c r="AD220" s="429">
        <v>0</v>
      </c>
      <c r="AE220" s="429">
        <v>0</v>
      </c>
      <c r="AF220" s="429" t="s">
        <v>1142</v>
      </c>
      <c r="AG220" s="364"/>
      <c r="AH220" s="364"/>
      <c r="AI220" s="364"/>
      <c r="AJ220" s="364"/>
      <c r="AK220" s="364"/>
      <c r="AL220" s="360">
        <f t="shared" si="12"/>
        <v>0</v>
      </c>
      <c r="AM220" s="362">
        <f>ERP_8[[#This Row],[2026 Working Total]]-ERP_8[[#This Row],[LE2 Final Submission]]</f>
        <v>0</v>
      </c>
      <c r="AN220" s="79">
        <v>0</v>
      </c>
      <c r="AO220" s="79">
        <f t="shared" si="13"/>
        <v>0</v>
      </c>
      <c r="AP220" s="374">
        <f>SUM(ERP_8[[#This Row],[AP01]:[AP07]])-SUM(ERP_8[[#This Row],[AP01 LE2]:[AP07 LE2]])</f>
        <v>0</v>
      </c>
      <c r="AQ220" s="80"/>
      <c r="AR220" s="79">
        <f>ERP_8[[#This Row],[2026 Working Total to Budget/LE]]-ERP_8[[#This Row],[Giveback]]</f>
        <v>0</v>
      </c>
      <c r="AS220" s="81"/>
      <c r="AT220" s="375"/>
      <c r="AU220" s="375"/>
      <c r="AV220" s="375"/>
      <c r="AW220" s="375">
        <v>-9141.65</v>
      </c>
      <c r="AX220" s="375">
        <v>9141.65</v>
      </c>
      <c r="AY220" s="375"/>
      <c r="AZ220" s="375"/>
      <c r="BA220" s="375"/>
      <c r="BB220" s="375"/>
      <c r="BC220" s="375"/>
      <c r="BD220" s="375"/>
      <c r="BE220" s="375"/>
      <c r="BF220" s="375">
        <v>0</v>
      </c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</row>
    <row r="221" spans="1:71" ht="15" hidden="1" customHeight="1">
      <c r="A221" s="66" t="s">
        <v>1789</v>
      </c>
      <c r="B221" s="737" t="s">
        <v>416</v>
      </c>
      <c r="C221" s="346"/>
      <c r="D221" s="343" t="str">
        <f>_xlfn.TEXTJOIN("_",FALSE,E221,ERP_8[[#This Row],[Expense Category]],ERP_8[[#This Row],[Project Code*]])</f>
        <v>Dougherty, Chris_MANAGED SERVICES_EnhanceChargeout001</v>
      </c>
      <c r="E221" s="343" t="s">
        <v>1135</v>
      </c>
      <c r="F221" s="346"/>
      <c r="G221" s="150" t="s">
        <v>1136</v>
      </c>
      <c r="H221" s="150" t="s">
        <v>1135</v>
      </c>
      <c r="I221" s="150" t="s">
        <v>1135</v>
      </c>
      <c r="J221" s="150" t="s">
        <v>1137</v>
      </c>
      <c r="K221" s="511" t="s">
        <v>389</v>
      </c>
      <c r="L221" s="392" t="s">
        <v>1147</v>
      </c>
      <c r="M221" s="343"/>
      <c r="N221" s="800" t="s">
        <v>1264</v>
      </c>
      <c r="O221" s="70" t="s">
        <v>53</v>
      </c>
      <c r="P221" s="346" t="s">
        <v>1153</v>
      </c>
      <c r="Q221" s="343"/>
      <c r="R221" s="346"/>
      <c r="S221" s="150" t="s">
        <v>25</v>
      </c>
      <c r="T221" s="150"/>
      <c r="U221" s="403"/>
      <c r="V221" s="406">
        <v>0</v>
      </c>
      <c r="W221" s="406">
        <v>2101</v>
      </c>
      <c r="X221" s="425"/>
      <c r="Y221" s="71"/>
      <c r="Z221" s="784">
        <v>1821</v>
      </c>
      <c r="AA221" s="780">
        <v>140</v>
      </c>
      <c r="AB221" s="780">
        <v>140</v>
      </c>
      <c r="AC221" s="428">
        <v>139</v>
      </c>
      <c r="AD221" s="429">
        <v>2028.9999999999998</v>
      </c>
      <c r="AE221" s="429">
        <v>0</v>
      </c>
      <c r="AF221" s="429">
        <v>0</v>
      </c>
      <c r="AG221" s="360">
        <v>0</v>
      </c>
      <c r="AH221" s="360">
        <v>0</v>
      </c>
      <c r="AI221" s="360">
        <v>0</v>
      </c>
      <c r="AJ221" s="360">
        <v>0</v>
      </c>
      <c r="AK221" s="360">
        <v>0</v>
      </c>
      <c r="AL221" s="360">
        <f t="shared" si="12"/>
        <v>4269</v>
      </c>
      <c r="AM221" s="362">
        <f>ERP_8[[#This Row],[2026 Working Total]]-ERP_8[[#This Row],[LE2 Final Submission]]</f>
        <v>2168</v>
      </c>
      <c r="AN221" s="79">
        <v>0</v>
      </c>
      <c r="AO221" s="79">
        <f t="shared" si="13"/>
        <v>0</v>
      </c>
      <c r="AP221" s="374">
        <f>SUM(ERP_8[[#This Row],[AP01]:[AP07]])-SUM(ERP_8[[#This Row],[AP01 LE2]:[AP07 LE2]])</f>
        <v>2168</v>
      </c>
      <c r="AQ221" s="80"/>
      <c r="AR221" s="79">
        <f>ERP_8[[#This Row],[2026 Working Total to Budget/LE]]-ERP_8[[#This Row],[Giveback]]</f>
        <v>2168</v>
      </c>
      <c r="AS221" s="81"/>
      <c r="AT221" s="375">
        <v>1821</v>
      </c>
      <c r="AU221" s="375">
        <v>140</v>
      </c>
      <c r="AV221" s="375">
        <v>140</v>
      </c>
      <c r="AW221" s="375">
        <v>0</v>
      </c>
      <c r="AX221" s="375">
        <v>0</v>
      </c>
      <c r="AY221" s="375">
        <v>0</v>
      </c>
      <c r="AZ221" s="375">
        <v>0</v>
      </c>
      <c r="BA221" s="375">
        <v>0</v>
      </c>
      <c r="BB221" s="375">
        <v>0</v>
      </c>
      <c r="BC221" s="375">
        <v>0</v>
      </c>
      <c r="BD221" s="375">
        <v>0</v>
      </c>
      <c r="BE221" s="375">
        <v>0</v>
      </c>
      <c r="BF221" s="375">
        <v>2101</v>
      </c>
      <c r="BG221" s="79">
        <v>1821</v>
      </c>
      <c r="BH221" s="79">
        <v>140</v>
      </c>
      <c r="BI221" s="79">
        <v>140</v>
      </c>
      <c r="BJ221" s="79">
        <v>0</v>
      </c>
      <c r="BK221" s="79">
        <v>0</v>
      </c>
      <c r="BL221" s="79">
        <v>0</v>
      </c>
      <c r="BM221" s="79">
        <v>0</v>
      </c>
      <c r="BN221" s="79">
        <v>0</v>
      </c>
      <c r="BO221" s="79">
        <v>0</v>
      </c>
      <c r="BP221" s="79">
        <v>0</v>
      </c>
      <c r="BQ221" s="79">
        <v>0</v>
      </c>
      <c r="BR221" s="79">
        <v>0</v>
      </c>
      <c r="BS221" s="79">
        <v>2101</v>
      </c>
    </row>
    <row r="222" spans="1:71" ht="15" hidden="1" customHeight="1">
      <c r="A222" s="66" t="s">
        <v>1790</v>
      </c>
      <c r="B222" s="737" t="s">
        <v>417</v>
      </c>
      <c r="C222" s="346"/>
      <c r="D222" s="343" t="str">
        <f>_xlfn.TEXTJOIN("_",FALSE,E222,ERP_8[[#This Row],[Expense Category]],ERP_8[[#This Row],[Project Code*]])</f>
        <v>Dougherty, Chris_MANAGED SERVICES_EP&amp;SCharges001</v>
      </c>
      <c r="E222" s="343" t="s">
        <v>1135</v>
      </c>
      <c r="F222" s="346"/>
      <c r="G222" s="150" t="s">
        <v>1136</v>
      </c>
      <c r="H222" s="150" t="s">
        <v>1135</v>
      </c>
      <c r="I222" s="150" t="s">
        <v>1135</v>
      </c>
      <c r="J222" s="150" t="s">
        <v>1137</v>
      </c>
      <c r="K222" s="511" t="s">
        <v>389</v>
      </c>
      <c r="L222" s="392" t="s">
        <v>1174</v>
      </c>
      <c r="M222" s="343"/>
      <c r="N222" s="804">
        <v>2321402</v>
      </c>
      <c r="O222" s="70" t="s">
        <v>56</v>
      </c>
      <c r="P222" s="346" t="s">
        <v>1139</v>
      </c>
      <c r="Q222" s="346" t="s">
        <v>1140</v>
      </c>
      <c r="R222" s="346"/>
      <c r="S222" s="150" t="s">
        <v>57</v>
      </c>
      <c r="T222" s="150"/>
      <c r="U222" s="403"/>
      <c r="V222" s="406">
        <v>48000</v>
      </c>
      <c r="W222" s="406">
        <v>49773.74</v>
      </c>
      <c r="X222" s="430"/>
      <c r="Y222" s="137"/>
      <c r="Z222" s="784">
        <v>4838.91</v>
      </c>
      <c r="AA222" s="780">
        <v>4409.8999999999996</v>
      </c>
      <c r="AB222" s="780">
        <v>4524.93</v>
      </c>
      <c r="AC222" s="428">
        <v>3908.87</v>
      </c>
      <c r="AD222" s="429">
        <v>4454.8399999999992</v>
      </c>
      <c r="AE222" s="429">
        <v>4602.9500000000007</v>
      </c>
      <c r="AF222" s="429">
        <v>4760.3100000000004</v>
      </c>
      <c r="AG222" s="363">
        <v>4000</v>
      </c>
      <c r="AH222" s="363">
        <v>4000</v>
      </c>
      <c r="AI222" s="363">
        <v>4000</v>
      </c>
      <c r="AJ222" s="363">
        <v>4000</v>
      </c>
      <c r="AK222" s="363">
        <v>4000</v>
      </c>
      <c r="AL222" s="360">
        <f t="shared" si="12"/>
        <v>51500.710000000006</v>
      </c>
      <c r="AM222" s="362">
        <f>ERP_8[[#This Row],[2026 Working Total]]-ERP_8[[#This Row],[LE2 Final Submission]]</f>
        <v>1726.9700000000084</v>
      </c>
      <c r="AN222" s="79">
        <v>0</v>
      </c>
      <c r="AO222" s="79">
        <f t="shared" si="13"/>
        <v>4602.9500000000007</v>
      </c>
      <c r="AP222" s="374">
        <f>SUM(ERP_8[[#This Row],[AP01]:[AP07]])-SUM(ERP_8[[#This Row],[AP01 LE2]:[AP07 LE2]])</f>
        <v>1726.9700000000048</v>
      </c>
      <c r="AQ222" s="80"/>
      <c r="AR222" s="79">
        <f>ERP_8[[#This Row],[2026 Working Total to Budget/LE]]-ERP_8[[#This Row],[Giveback]]</f>
        <v>1726.9700000000084</v>
      </c>
      <c r="AS222" s="81"/>
      <c r="AT222" s="375">
        <v>4838.91</v>
      </c>
      <c r="AU222" s="375">
        <v>4409.8999999999996</v>
      </c>
      <c r="AV222" s="375">
        <v>4524.93</v>
      </c>
      <c r="AW222" s="375">
        <v>4000</v>
      </c>
      <c r="AX222" s="375">
        <v>4000</v>
      </c>
      <c r="AY222" s="375">
        <v>4000</v>
      </c>
      <c r="AZ222" s="375">
        <v>4000</v>
      </c>
      <c r="BA222" s="375">
        <v>4000</v>
      </c>
      <c r="BB222" s="375">
        <v>4000</v>
      </c>
      <c r="BC222" s="375">
        <v>4000</v>
      </c>
      <c r="BD222" s="375">
        <v>4000</v>
      </c>
      <c r="BE222" s="375">
        <v>4000</v>
      </c>
      <c r="BF222" s="375">
        <v>49773.74</v>
      </c>
      <c r="BG222" s="79">
        <v>4838.91</v>
      </c>
      <c r="BH222" s="79">
        <v>4409.8999999999996</v>
      </c>
      <c r="BI222" s="79">
        <v>4524.93</v>
      </c>
      <c r="BJ222" s="79">
        <v>4000</v>
      </c>
      <c r="BK222" s="79">
        <v>4000</v>
      </c>
      <c r="BL222" s="79">
        <v>4000</v>
      </c>
      <c r="BM222" s="79">
        <v>4000</v>
      </c>
      <c r="BN222" s="79">
        <v>4000</v>
      </c>
      <c r="BO222" s="79">
        <v>4000</v>
      </c>
      <c r="BP222" s="79">
        <v>4000</v>
      </c>
      <c r="BQ222" s="79">
        <v>4000</v>
      </c>
      <c r="BR222" s="79">
        <v>4000</v>
      </c>
      <c r="BS222" s="79">
        <v>49773.74</v>
      </c>
    </row>
    <row r="223" spans="1:71" ht="15" hidden="1" customHeight="1">
      <c r="A223" s="66" t="s">
        <v>1791</v>
      </c>
      <c r="B223" s="737" t="s">
        <v>1792</v>
      </c>
      <c r="C223" s="346"/>
      <c r="D223" s="343" t="str">
        <f>_xlfn.TEXTJOIN("_",FALSE,E223,ERP_8[[#This Row],[Expense Category]],ERP_8[[#This Row],[Project Code*]])</f>
        <v>Dougherty, Chris_MANAGED SERVICES_EP&amp;SCharges001</v>
      </c>
      <c r="E223" s="343" t="s">
        <v>1135</v>
      </c>
      <c r="F223" s="346"/>
      <c r="G223" s="150" t="s">
        <v>1136</v>
      </c>
      <c r="H223" s="150" t="s">
        <v>1135</v>
      </c>
      <c r="I223" s="150" t="s">
        <v>1137</v>
      </c>
      <c r="J223" s="150" t="s">
        <v>1137</v>
      </c>
      <c r="K223" s="511" t="s">
        <v>389</v>
      </c>
      <c r="L223" s="392" t="s">
        <v>1174</v>
      </c>
      <c r="M223" s="343"/>
      <c r="N223" s="800" t="s">
        <v>1793</v>
      </c>
      <c r="O223" s="70" t="s">
        <v>56</v>
      </c>
      <c r="P223" s="346" t="s">
        <v>1139</v>
      </c>
      <c r="Q223" s="346" t="s">
        <v>1140</v>
      </c>
      <c r="R223" s="346"/>
      <c r="S223" s="150" t="s">
        <v>57</v>
      </c>
      <c r="T223" s="1" t="s">
        <v>1141</v>
      </c>
      <c r="U223" s="403"/>
      <c r="V223" s="406">
        <v>0</v>
      </c>
      <c r="W223" s="406">
        <v>1.26</v>
      </c>
      <c r="X223" s="425"/>
      <c r="Y223" s="71"/>
      <c r="Z223" s="784">
        <v>0.42</v>
      </c>
      <c r="AA223" s="780">
        <v>0.36</v>
      </c>
      <c r="AB223" s="780">
        <v>0.48</v>
      </c>
      <c r="AC223" s="428">
        <v>1.31</v>
      </c>
      <c r="AD223" s="429">
        <v>209.68999999999997</v>
      </c>
      <c r="AE223" s="429">
        <v>192.01</v>
      </c>
      <c r="AF223" s="429">
        <v>0.62999999999991729</v>
      </c>
      <c r="AG223" s="360">
        <v>0</v>
      </c>
      <c r="AH223" s="360">
        <v>0</v>
      </c>
      <c r="AI223" s="360">
        <v>0</v>
      </c>
      <c r="AJ223" s="360">
        <v>0</v>
      </c>
      <c r="AK223" s="360">
        <v>0</v>
      </c>
      <c r="AL223" s="360">
        <f t="shared" si="12"/>
        <v>404.89999999999992</v>
      </c>
      <c r="AM223" s="362">
        <f>ERP_8[[#This Row],[2026 Working Total]]-ERP_8[[#This Row],[LE2 Final Submission]]</f>
        <v>403.63999999999993</v>
      </c>
      <c r="AN223" s="79">
        <v>0</v>
      </c>
      <c r="AO223" s="79">
        <f t="shared" si="13"/>
        <v>192.01</v>
      </c>
      <c r="AP223" s="374">
        <f>SUM(ERP_8[[#This Row],[AP01]:[AP07]])-SUM(ERP_8[[#This Row],[AP01 LE2]:[AP07 LE2]])</f>
        <v>403.63999999999993</v>
      </c>
      <c r="AQ223" s="80"/>
      <c r="AR223" s="79">
        <f>ERP_8[[#This Row],[2026 Working Total to Budget/LE]]-ERP_8[[#This Row],[Giveback]]</f>
        <v>403.63999999999993</v>
      </c>
      <c r="AS223" s="81"/>
      <c r="AT223" s="375">
        <v>0.42</v>
      </c>
      <c r="AU223" s="375">
        <v>0.36</v>
      </c>
      <c r="AV223" s="375">
        <v>0.48</v>
      </c>
      <c r="AW223" s="375">
        <v>0</v>
      </c>
      <c r="AX223" s="375">
        <v>0</v>
      </c>
      <c r="AY223" s="375">
        <v>0</v>
      </c>
      <c r="AZ223" s="375">
        <v>0</v>
      </c>
      <c r="BA223" s="375">
        <v>0</v>
      </c>
      <c r="BB223" s="375">
        <v>0</v>
      </c>
      <c r="BC223" s="375">
        <v>0</v>
      </c>
      <c r="BD223" s="375">
        <v>0</v>
      </c>
      <c r="BE223" s="375">
        <v>0</v>
      </c>
      <c r="BF223" s="375">
        <v>1.26</v>
      </c>
      <c r="BG223" s="79">
        <v>0.42</v>
      </c>
      <c r="BH223" s="79">
        <v>0.36</v>
      </c>
      <c r="BI223" s="79">
        <v>0.48</v>
      </c>
      <c r="BJ223" s="79">
        <v>0</v>
      </c>
      <c r="BK223" s="79">
        <v>0</v>
      </c>
      <c r="BL223" s="79">
        <v>0</v>
      </c>
      <c r="BM223" s="79">
        <v>0</v>
      </c>
      <c r="BN223" s="79">
        <v>0</v>
      </c>
      <c r="BO223" s="79">
        <v>0</v>
      </c>
      <c r="BP223" s="79">
        <v>0</v>
      </c>
      <c r="BQ223" s="79">
        <v>0</v>
      </c>
      <c r="BR223" s="79">
        <v>0</v>
      </c>
      <c r="BS223" s="79">
        <v>1.26</v>
      </c>
    </row>
    <row r="224" spans="1:71" ht="15" hidden="1" customHeight="1">
      <c r="A224" s="66" t="s">
        <v>1794</v>
      </c>
      <c r="B224" s="737" t="s">
        <v>1795</v>
      </c>
      <c r="C224" s="346"/>
      <c r="D224" s="343" t="str">
        <f>_xlfn.TEXTJOIN("_",FALSE,E224,ERP_8[[#This Row],[Expense Category]],ERP_8[[#This Row],[Project Code*]])</f>
        <v>Dougherty, Chris_MANAGED SERVICES_EP&amp;SCharges001</v>
      </c>
      <c r="E224" s="343" t="s">
        <v>1135</v>
      </c>
      <c r="F224" s="346"/>
      <c r="G224" s="150" t="s">
        <v>1136</v>
      </c>
      <c r="H224" s="150" t="s">
        <v>1135</v>
      </c>
      <c r="I224" s="150" t="s">
        <v>1145</v>
      </c>
      <c r="J224" s="150" t="s">
        <v>1137</v>
      </c>
      <c r="K224" s="511" t="s">
        <v>389</v>
      </c>
      <c r="L224" s="778" t="s">
        <v>1174</v>
      </c>
      <c r="M224" s="343"/>
      <c r="N224" s="800" t="s">
        <v>1186</v>
      </c>
      <c r="O224" s="70" t="s">
        <v>56</v>
      </c>
      <c r="P224" s="346" t="s">
        <v>1153</v>
      </c>
      <c r="Q224" s="346" t="s">
        <v>1140</v>
      </c>
      <c r="R224" s="346"/>
      <c r="S224" s="150" t="s">
        <v>57</v>
      </c>
      <c r="T224" s="150"/>
      <c r="U224" s="403"/>
      <c r="V224" s="406">
        <v>672000</v>
      </c>
      <c r="W224" s="406">
        <v>633103.17999999993</v>
      </c>
      <c r="X224" s="425"/>
      <c r="Y224" s="71"/>
      <c r="Z224" s="784">
        <v>45611.11</v>
      </c>
      <c r="AA224" s="780">
        <v>43675.76</v>
      </c>
      <c r="AB224" s="780">
        <v>39816.31</v>
      </c>
      <c r="AC224" s="428">
        <v>40357.590000000004</v>
      </c>
      <c r="AD224" s="429">
        <v>42129.81</v>
      </c>
      <c r="AE224" s="429">
        <v>42451.69000000001</v>
      </c>
      <c r="AF224" s="429">
        <v>38502.19</v>
      </c>
      <c r="AG224" s="363">
        <v>42318</v>
      </c>
      <c r="AH224" s="363">
        <v>45000</v>
      </c>
      <c r="AI224" s="363">
        <v>45000</v>
      </c>
      <c r="AJ224" s="363">
        <v>45000</v>
      </c>
      <c r="AK224" s="363">
        <v>45000</v>
      </c>
      <c r="AL224" s="360">
        <f t="shared" si="12"/>
        <v>514862.45999999996</v>
      </c>
      <c r="AM224" s="362">
        <f>ERP_8[[#This Row],[2026 Working Total]]-ERP_8[[#This Row],[LE2 Final Submission]]</f>
        <v>-118240.71999999997</v>
      </c>
      <c r="AN224" s="79">
        <v>0</v>
      </c>
      <c r="AO224" s="79">
        <f t="shared" si="13"/>
        <v>42451.69000000001</v>
      </c>
      <c r="AP224" s="374">
        <f>SUM(ERP_8[[#This Row],[AP01]:[AP07]])-SUM(ERP_8[[#This Row],[AP01 LE2]:[AP07 LE2]])</f>
        <v>-60558.72000000003</v>
      </c>
      <c r="AQ224" s="80"/>
      <c r="AR224" s="79">
        <f>ERP_8[[#This Row],[2026 Working Total to Budget/LE]]-ERP_8[[#This Row],[Giveback]]</f>
        <v>-118240.71999999997</v>
      </c>
      <c r="AS224" s="81"/>
      <c r="AT224" s="375">
        <v>45611.11</v>
      </c>
      <c r="AU224" s="375">
        <v>43675.76</v>
      </c>
      <c r="AV224" s="375">
        <v>39816.31</v>
      </c>
      <c r="AW224" s="375">
        <v>56000</v>
      </c>
      <c r="AX224" s="375">
        <v>56000</v>
      </c>
      <c r="AY224" s="375">
        <v>56000</v>
      </c>
      <c r="AZ224" s="375">
        <v>56000</v>
      </c>
      <c r="BA224" s="375">
        <v>56000</v>
      </c>
      <c r="BB224" s="375">
        <v>56000</v>
      </c>
      <c r="BC224" s="375">
        <v>56000</v>
      </c>
      <c r="BD224" s="375">
        <v>56000</v>
      </c>
      <c r="BE224" s="375">
        <v>56000</v>
      </c>
      <c r="BF224" s="375">
        <v>633103.17999999993</v>
      </c>
      <c r="BG224" s="79">
        <v>45611.11</v>
      </c>
      <c r="BH224" s="79">
        <v>43675.76</v>
      </c>
      <c r="BI224" s="79">
        <v>39816.31</v>
      </c>
      <c r="BJ224" s="79">
        <v>56000</v>
      </c>
      <c r="BK224" s="79">
        <v>56000</v>
      </c>
      <c r="BL224" s="79">
        <v>56000</v>
      </c>
      <c r="BM224" s="79">
        <v>56000</v>
      </c>
      <c r="BN224" s="79">
        <v>56000</v>
      </c>
      <c r="BO224" s="79">
        <v>56000</v>
      </c>
      <c r="BP224" s="79">
        <v>56000</v>
      </c>
      <c r="BQ224" s="79">
        <v>56000</v>
      </c>
      <c r="BR224" s="79">
        <v>56000</v>
      </c>
      <c r="BS224" s="79">
        <v>633103.17999999993</v>
      </c>
    </row>
    <row r="225" spans="1:71" ht="15" hidden="1" customHeight="1">
      <c r="A225" s="66" t="s">
        <v>1796</v>
      </c>
      <c r="B225" s="737" t="s">
        <v>1797</v>
      </c>
      <c r="C225" s="346"/>
      <c r="D225" s="343" t="str">
        <f>_xlfn.TEXTJOIN("_",FALSE,E225,ERP_8[[#This Row],[Expense Category]],ERP_8[[#This Row],[Project Code*]])</f>
        <v>Dougherty, Chris_MANAGED SERVICES_EP&amp;SCharges001</v>
      </c>
      <c r="E225" s="343" t="s">
        <v>1135</v>
      </c>
      <c r="F225" s="346"/>
      <c r="G225" s="150" t="s">
        <v>1136</v>
      </c>
      <c r="H225" s="150" t="s">
        <v>1135</v>
      </c>
      <c r="I225" s="150" t="s">
        <v>1165</v>
      </c>
      <c r="J225" s="150" t="s">
        <v>1137</v>
      </c>
      <c r="K225" s="511" t="s">
        <v>389</v>
      </c>
      <c r="L225" s="392" t="s">
        <v>1174</v>
      </c>
      <c r="M225" s="343"/>
      <c r="N225" s="800"/>
      <c r="O225" s="70" t="s">
        <v>56</v>
      </c>
      <c r="P225" s="346"/>
      <c r="Q225" s="346" t="s">
        <v>1140</v>
      </c>
      <c r="R225" s="346"/>
      <c r="S225" s="150" t="s">
        <v>57</v>
      </c>
      <c r="T225" s="150"/>
      <c r="U225" s="403"/>
      <c r="V225" s="406">
        <v>480000</v>
      </c>
      <c r="W225" s="406">
        <v>717425.61</v>
      </c>
      <c r="X225" s="425"/>
      <c r="Y225" s="71"/>
      <c r="Z225" s="784">
        <v>61804.2</v>
      </c>
      <c r="AA225" s="794">
        <v>58988.63</v>
      </c>
      <c r="AB225" s="794">
        <v>56632.78</v>
      </c>
      <c r="AC225" s="428">
        <v>54081.419999999991</v>
      </c>
      <c r="AD225" s="429">
        <v>51184.079999999994</v>
      </c>
      <c r="AE225" s="429">
        <v>49707.65</v>
      </c>
      <c r="AF225" s="429">
        <v>48712.420000000006</v>
      </c>
      <c r="AG225" s="363">
        <f>62000+13287.58</f>
        <v>75287.58</v>
      </c>
      <c r="AH225" s="363">
        <v>62000</v>
      </c>
      <c r="AI225" s="363">
        <v>62000</v>
      </c>
      <c r="AJ225" s="363">
        <v>62000</v>
      </c>
      <c r="AK225" s="363">
        <v>62734</v>
      </c>
      <c r="AL225" s="360">
        <f t="shared" si="12"/>
        <v>705132.76</v>
      </c>
      <c r="AM225" s="362">
        <f>ERP_8[[#This Row],[2026 Working Total]]-ERP_8[[#This Row],[LE2 Final Submission]]</f>
        <v>-12292.849999999977</v>
      </c>
      <c r="AN225" s="79">
        <v>0</v>
      </c>
      <c r="AO225" s="79">
        <f t="shared" si="13"/>
        <v>49707.65</v>
      </c>
      <c r="AP225" s="374">
        <f>SUM(ERP_8[[#This Row],[AP01]:[AP07]])-SUM(ERP_8[[#This Row],[AP01 LE2]:[AP07 LE2]])</f>
        <v>-36314.429999999993</v>
      </c>
      <c r="AQ225" s="80"/>
      <c r="AR225" s="79">
        <f>ERP_8[[#This Row],[2026 Working Total to Budget/LE]]-ERP_8[[#This Row],[Giveback]]</f>
        <v>-12292.849999999977</v>
      </c>
      <c r="AS225" s="81"/>
      <c r="AT225" s="375">
        <v>61804.2</v>
      </c>
      <c r="AU225" s="375">
        <v>58988.63</v>
      </c>
      <c r="AV225" s="375">
        <v>56632.78</v>
      </c>
      <c r="AW225" s="375">
        <v>60000</v>
      </c>
      <c r="AX225" s="375">
        <v>60000</v>
      </c>
      <c r="AY225" s="375">
        <v>60000</v>
      </c>
      <c r="AZ225" s="375">
        <v>60000</v>
      </c>
      <c r="BA225" s="375">
        <v>60000</v>
      </c>
      <c r="BB225" s="375">
        <v>60000</v>
      </c>
      <c r="BC225" s="375">
        <v>60000</v>
      </c>
      <c r="BD225" s="375">
        <v>60000</v>
      </c>
      <c r="BE225" s="375">
        <v>60000</v>
      </c>
      <c r="BF225" s="375">
        <v>717425.61</v>
      </c>
      <c r="BG225" s="79">
        <v>61804.2</v>
      </c>
      <c r="BH225" s="79">
        <v>58988.63</v>
      </c>
      <c r="BI225" s="79">
        <v>56632.78</v>
      </c>
      <c r="BJ225" s="79">
        <v>40000</v>
      </c>
      <c r="BK225" s="79">
        <v>40000</v>
      </c>
      <c r="BL225" s="79">
        <v>40000</v>
      </c>
      <c r="BM225" s="79">
        <v>40000</v>
      </c>
      <c r="BN225" s="79">
        <v>40000</v>
      </c>
      <c r="BO225" s="79">
        <v>40000</v>
      </c>
      <c r="BP225" s="79">
        <v>40000</v>
      </c>
      <c r="BQ225" s="79">
        <v>40000</v>
      </c>
      <c r="BR225" s="79">
        <v>40000</v>
      </c>
      <c r="BS225" s="79">
        <v>537425.61</v>
      </c>
    </row>
    <row r="226" spans="1:71" ht="15" hidden="1" customHeight="1">
      <c r="A226" s="66" t="s">
        <v>1798</v>
      </c>
      <c r="B226" s="737" t="s">
        <v>1799</v>
      </c>
      <c r="C226" s="346"/>
      <c r="D226" s="343" t="str">
        <f>_xlfn.TEXTJOIN("_",FALSE,E226,ERP_8[[#This Row],[Expense Category]],ERP_8[[#This Row],[Project Code*]])</f>
        <v>Dougherty, Chris_MANAGED SERVICES_IT-17BTF01-01</v>
      </c>
      <c r="E226" s="343" t="s">
        <v>1135</v>
      </c>
      <c r="F226" s="346"/>
      <c r="G226" s="150" t="s">
        <v>1136</v>
      </c>
      <c r="H226" s="150" t="s">
        <v>1135</v>
      </c>
      <c r="I226" s="150" t="s">
        <v>1165</v>
      </c>
      <c r="J226" s="150" t="s">
        <v>1137</v>
      </c>
      <c r="K226" s="511" t="s">
        <v>389</v>
      </c>
      <c r="L226" s="392" t="s">
        <v>1800</v>
      </c>
      <c r="M226" s="343"/>
      <c r="N226" s="800" t="s">
        <v>1252</v>
      </c>
      <c r="O226" s="70" t="s">
        <v>419</v>
      </c>
      <c r="P226" s="346"/>
      <c r="Q226" s="343"/>
      <c r="R226" s="346"/>
      <c r="S226" s="150" t="s">
        <v>25</v>
      </c>
      <c r="T226" s="150"/>
      <c r="U226" s="403"/>
      <c r="V226" s="406">
        <v>0</v>
      </c>
      <c r="W226" s="406">
        <v>2006.44</v>
      </c>
      <c r="X226" s="425"/>
      <c r="Y226" s="71"/>
      <c r="Z226" s="784">
        <v>0.45</v>
      </c>
      <c r="AA226" s="794">
        <v>1838.45</v>
      </c>
      <c r="AB226" s="794">
        <v>167.54</v>
      </c>
      <c r="AC226" s="428">
        <v>3132.21</v>
      </c>
      <c r="AD226" s="429">
        <v>3012.3</v>
      </c>
      <c r="AE226" s="429">
        <v>0.82999999999992724</v>
      </c>
      <c r="AF226" s="429">
        <v>0.73999999999978172</v>
      </c>
      <c r="AG226" s="360">
        <v>0</v>
      </c>
      <c r="AH226" s="360">
        <v>0</v>
      </c>
      <c r="AI226" s="360">
        <v>0</v>
      </c>
      <c r="AJ226" s="360">
        <v>0</v>
      </c>
      <c r="AK226" s="360">
        <v>0</v>
      </c>
      <c r="AL226" s="360">
        <f t="shared" si="12"/>
        <v>8152.5199999999995</v>
      </c>
      <c r="AM226" s="362">
        <f>ERP_8[[#This Row],[2026 Working Total]]-ERP_8[[#This Row],[LE2 Final Submission]]</f>
        <v>6146.08</v>
      </c>
      <c r="AN226" s="79">
        <v>0</v>
      </c>
      <c r="AO226" s="79">
        <f t="shared" si="13"/>
        <v>0.82999999999992724</v>
      </c>
      <c r="AP226" s="374">
        <f>SUM(ERP_8[[#This Row],[AP01]:[AP07]])-SUM(ERP_8[[#This Row],[AP01 LE2]:[AP07 LE2]])</f>
        <v>6146.08</v>
      </c>
      <c r="AQ226" s="80"/>
      <c r="AR226" s="79">
        <f>ERP_8[[#This Row],[2026 Working Total to Budget/LE]]-ERP_8[[#This Row],[Giveback]]</f>
        <v>6146.08</v>
      </c>
      <c r="AS226" s="81"/>
      <c r="AT226" s="375">
        <v>0.45</v>
      </c>
      <c r="AU226" s="375">
        <v>1838.45</v>
      </c>
      <c r="AV226" s="375">
        <v>167.54</v>
      </c>
      <c r="AW226" s="375">
        <v>0</v>
      </c>
      <c r="AX226" s="375">
        <v>0</v>
      </c>
      <c r="AY226" s="375">
        <v>0</v>
      </c>
      <c r="AZ226" s="375">
        <v>0</v>
      </c>
      <c r="BA226" s="375">
        <v>0</v>
      </c>
      <c r="BB226" s="375">
        <v>0</v>
      </c>
      <c r="BC226" s="375">
        <v>0</v>
      </c>
      <c r="BD226" s="375">
        <v>0</v>
      </c>
      <c r="BE226" s="375">
        <v>0</v>
      </c>
      <c r="BF226" s="375">
        <v>2006.44</v>
      </c>
      <c r="BG226" s="79">
        <v>0.45</v>
      </c>
      <c r="BH226" s="79">
        <v>1838.45</v>
      </c>
      <c r="BI226" s="79">
        <v>167.54</v>
      </c>
      <c r="BJ226" s="79">
        <v>0</v>
      </c>
      <c r="BK226" s="79">
        <v>0</v>
      </c>
      <c r="BL226" s="79">
        <v>0</v>
      </c>
      <c r="BM226" s="79">
        <v>0</v>
      </c>
      <c r="BN226" s="79">
        <v>0</v>
      </c>
      <c r="BO226" s="79">
        <v>0</v>
      </c>
      <c r="BP226" s="79">
        <v>0</v>
      </c>
      <c r="BQ226" s="79">
        <v>0</v>
      </c>
      <c r="BR226" s="79">
        <v>0</v>
      </c>
      <c r="BS226" s="79">
        <v>2006.44</v>
      </c>
    </row>
    <row r="227" spans="1:71" ht="15" hidden="1" customHeight="1">
      <c r="A227" s="150" t="s">
        <v>1801</v>
      </c>
      <c r="B227" s="749" t="s">
        <v>1802</v>
      </c>
      <c r="C227" s="348"/>
      <c r="D227" s="347" t="str">
        <f>_xlfn.TEXTJOIN("_",FALSE,E227,ERP_8[[#This Row],[Expense Category]],ERP_8[[#This Row],[Project Code*]])</f>
        <v>Dougherty, Chris_MANAGED SERVICES_IT-CTR0044-OG-US-00</v>
      </c>
      <c r="E227" s="347" t="s">
        <v>1135</v>
      </c>
      <c r="F227" s="348"/>
      <c r="G227" s="150" t="s">
        <v>1136</v>
      </c>
      <c r="H227" s="150" t="s">
        <v>1135</v>
      </c>
      <c r="I227" s="332" t="s">
        <v>1156</v>
      </c>
      <c r="J227" s="333" t="s">
        <v>1156</v>
      </c>
      <c r="K227" s="514" t="s">
        <v>389</v>
      </c>
      <c r="L227" s="394" t="s">
        <v>1803</v>
      </c>
      <c r="M227" s="333"/>
      <c r="N227" s="467" t="s">
        <v>1804</v>
      </c>
      <c r="O227" s="90" t="s">
        <v>59</v>
      </c>
      <c r="P227" s="347"/>
      <c r="Q227" s="348" t="s">
        <v>1805</v>
      </c>
      <c r="R227" s="348"/>
      <c r="S227" s="348"/>
      <c r="T227" s="449" t="s">
        <v>1806</v>
      </c>
      <c r="U227" s="402"/>
      <c r="V227" s="406"/>
      <c r="W227" s="406"/>
      <c r="X227" s="425"/>
      <c r="Y227" s="71"/>
      <c r="Z227" s="784"/>
      <c r="AA227" s="794"/>
      <c r="AB227" s="794"/>
      <c r="AC227" s="436"/>
      <c r="AD227" s="429">
        <v>45743</v>
      </c>
      <c r="AE227" s="429">
        <v>9404.5</v>
      </c>
      <c r="AF227" s="429">
        <v>0</v>
      </c>
      <c r="AG227" s="829">
        <v>0</v>
      </c>
      <c r="AH227" s="829">
        <v>0</v>
      </c>
      <c r="AI227" s="829">
        <v>0</v>
      </c>
      <c r="AJ227" s="829">
        <v>0</v>
      </c>
      <c r="AK227" s="829">
        <v>0</v>
      </c>
      <c r="AL227" s="828">
        <f t="shared" si="12"/>
        <v>55147.5</v>
      </c>
      <c r="AM227" s="830">
        <f>ERP_8[[#This Row],[2026 Working Total]]-ERP_8[[#This Row],[LE2 Final Submission]]</f>
        <v>55147.5</v>
      </c>
      <c r="AN227" s="79">
        <v>0</v>
      </c>
      <c r="AO227" s="79">
        <f t="shared" si="13"/>
        <v>9404.5</v>
      </c>
      <c r="AP227" s="374">
        <f>SUM(ERP_8[[#This Row],[AP01]:[AP07]])-SUM(ERP_8[[#This Row],[AP01 LE2]:[AP07 LE2]])</f>
        <v>55147.5</v>
      </c>
      <c r="AQ227" s="80"/>
      <c r="AR227" s="79">
        <f>ERP_8[[#This Row],[2026 Working Total to Budget/LE]]-ERP_8[[#This Row],[Giveback]]</f>
        <v>55147.5</v>
      </c>
      <c r="AS227" s="81"/>
      <c r="AT227" s="375"/>
      <c r="AU227" s="375"/>
      <c r="AV227" s="375"/>
      <c r="AW227" s="375"/>
      <c r="AX227" s="375"/>
      <c r="AY227" s="375"/>
      <c r="AZ227" s="375"/>
      <c r="BA227" s="375"/>
      <c r="BB227" s="375"/>
      <c r="BC227" s="375"/>
      <c r="BD227" s="375"/>
      <c r="BE227" s="375"/>
      <c r="BF227" s="375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</row>
    <row r="228" spans="1:71" ht="15" hidden="1" customHeight="1">
      <c r="A228" s="150" t="s">
        <v>1807</v>
      </c>
      <c r="B228" s="737" t="s">
        <v>1808</v>
      </c>
      <c r="C228" s="346"/>
      <c r="D228" s="343" t="str">
        <f>_xlfn.TEXTJOIN("_",FALSE,E228,ERP_8[[#This Row],[Expense Category]],ERP_8[[#This Row],[Project Code*]])</f>
        <v>Dougherty, Chris_MANAGED SERVICES_IT-CTR0044-OG-US-00</v>
      </c>
      <c r="E228" s="343" t="s">
        <v>1135</v>
      </c>
      <c r="F228" s="346"/>
      <c r="G228" s="150" t="s">
        <v>1136</v>
      </c>
      <c r="H228" s="150" t="s">
        <v>1135</v>
      </c>
      <c r="I228" s="150" t="s">
        <v>1165</v>
      </c>
      <c r="J228" s="150" t="s">
        <v>1165</v>
      </c>
      <c r="K228" s="514" t="s">
        <v>389</v>
      </c>
      <c r="L228" s="394" t="s">
        <v>1809</v>
      </c>
      <c r="M228" s="333" t="s">
        <v>1167</v>
      </c>
      <c r="N228" s="467" t="s">
        <v>1284</v>
      </c>
      <c r="O228" s="90" t="s">
        <v>59</v>
      </c>
      <c r="P228" s="347"/>
      <c r="Q228" s="348" t="s">
        <v>1805</v>
      </c>
      <c r="R228" s="348"/>
      <c r="S228" s="348"/>
      <c r="T228" s="348" t="s">
        <v>1810</v>
      </c>
      <c r="U228" s="402"/>
      <c r="V228" s="406"/>
      <c r="W228" s="406"/>
      <c r="X228" s="425"/>
      <c r="Y228" s="71"/>
      <c r="Z228" s="784"/>
      <c r="AA228" s="794"/>
      <c r="AB228" s="794"/>
      <c r="AC228" s="429">
        <v>35539.5</v>
      </c>
      <c r="AD228" s="429">
        <v>-35539.5</v>
      </c>
      <c r="AE228" s="429">
        <v>0</v>
      </c>
      <c r="AF228" s="429">
        <v>0</v>
      </c>
      <c r="AG228" s="364"/>
      <c r="AH228" s="364"/>
      <c r="AI228" s="364"/>
      <c r="AJ228" s="364"/>
      <c r="AK228" s="364"/>
      <c r="AL228" s="360">
        <f t="shared" si="12"/>
        <v>0</v>
      </c>
      <c r="AM228" s="362">
        <f>ERP_8[[#This Row],[2026 Working Total]]-ERP_8[[#This Row],[LE2 Final Submission]]</f>
        <v>0</v>
      </c>
      <c r="AN228" s="79">
        <v>0</v>
      </c>
      <c r="AO228" s="79">
        <f t="shared" si="13"/>
        <v>0</v>
      </c>
      <c r="AP228" s="374">
        <f>SUM(ERP_8[[#This Row],[AP01]:[AP07]])-SUM(ERP_8[[#This Row],[AP01 LE2]:[AP07 LE2]])</f>
        <v>0</v>
      </c>
      <c r="AQ228" s="80"/>
      <c r="AR228" s="79">
        <f>ERP_8[[#This Row],[2026 Working Total to Budget/LE]]-ERP_8[[#This Row],[Giveback]]</f>
        <v>0</v>
      </c>
      <c r="AS228" s="81"/>
      <c r="AT228" s="375"/>
      <c r="AU228" s="375"/>
      <c r="AV228" s="375"/>
      <c r="AW228" s="375"/>
      <c r="AX228" s="375"/>
      <c r="AY228" s="375"/>
      <c r="AZ228" s="375"/>
      <c r="BA228" s="375"/>
      <c r="BB228" s="375"/>
      <c r="BC228" s="375"/>
      <c r="BD228" s="375"/>
      <c r="BE228" s="375"/>
      <c r="BF228" s="375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</row>
    <row r="229" spans="1:71" ht="15" hidden="1" customHeight="1">
      <c r="A229" s="66" t="s">
        <v>1811</v>
      </c>
      <c r="B229" s="737" t="s">
        <v>1812</v>
      </c>
      <c r="C229" s="346"/>
      <c r="D229" s="343" t="str">
        <f>_xlfn.TEXTJOIN("_",FALSE,E229,ERP_8[[#This Row],[Expense Category]],ERP_8[[#This Row],[Project Code*]])</f>
        <v>Dougherty, Chris_MANAGED SERVICES_IT-FBT0074-OG-US-00</v>
      </c>
      <c r="E229" s="343" t="s">
        <v>1135</v>
      </c>
      <c r="F229" s="346"/>
      <c r="G229" s="150" t="s">
        <v>1136</v>
      </c>
      <c r="H229" s="150" t="s">
        <v>1135</v>
      </c>
      <c r="I229" s="150" t="s">
        <v>1165</v>
      </c>
      <c r="J229" s="150" t="s">
        <v>1137</v>
      </c>
      <c r="K229" s="511" t="s">
        <v>389</v>
      </c>
      <c r="L229" s="392" t="s">
        <v>1813</v>
      </c>
      <c r="M229" s="343"/>
      <c r="N229" s="800"/>
      <c r="O229" s="70" t="s">
        <v>422</v>
      </c>
      <c r="P229" s="346"/>
      <c r="Q229" s="343"/>
      <c r="R229" s="346"/>
      <c r="S229" s="150" t="s">
        <v>25</v>
      </c>
      <c r="T229" s="150"/>
      <c r="U229" s="403"/>
      <c r="V229" s="406">
        <v>116304</v>
      </c>
      <c r="W229" s="406">
        <v>67844</v>
      </c>
      <c r="X229" s="425"/>
      <c r="Y229" s="71"/>
      <c r="Z229" s="784"/>
      <c r="AA229" s="794"/>
      <c r="AB229" s="794"/>
      <c r="AC229" s="428" t="s">
        <v>1142</v>
      </c>
      <c r="AD229" s="429">
        <v>0</v>
      </c>
      <c r="AE229" s="429">
        <v>0</v>
      </c>
      <c r="AF229" s="429" t="s">
        <v>1142</v>
      </c>
      <c r="AG229" s="363">
        <v>11630</v>
      </c>
      <c r="AH229" s="363">
        <v>11630</v>
      </c>
      <c r="AI229" s="363">
        <v>11630</v>
      </c>
      <c r="AJ229" s="363">
        <v>11630</v>
      </c>
      <c r="AK229" s="363">
        <v>11632</v>
      </c>
      <c r="AL229" s="360">
        <f t="shared" si="12"/>
        <v>58152</v>
      </c>
      <c r="AM229" s="362">
        <f>ERP_8[[#This Row],[2026 Working Total]]-ERP_8[[#This Row],[LE2 Final Submission]]</f>
        <v>-9692</v>
      </c>
      <c r="AN229" s="79">
        <v>0</v>
      </c>
      <c r="AO229" s="79">
        <f t="shared" si="13"/>
        <v>0</v>
      </c>
      <c r="AP229" s="374">
        <f>SUM(ERP_8[[#This Row],[AP01]:[AP07]])-SUM(ERP_8[[#This Row],[AP01 LE2]:[AP07 LE2]])</f>
        <v>-19384</v>
      </c>
      <c r="AQ229" s="80">
        <v>-48460</v>
      </c>
      <c r="AR229" s="79">
        <f>ERP_8[[#This Row],[2026 Working Total to Budget/LE]]-ERP_8[[#This Row],[Giveback]]</f>
        <v>38768</v>
      </c>
      <c r="AS229" s="183" t="s">
        <v>1814</v>
      </c>
      <c r="AT229" s="183"/>
      <c r="AU229" s="183"/>
      <c r="AV229" s="183"/>
      <c r="AW229" s="183"/>
      <c r="AX229" s="183"/>
      <c r="AY229" s="183">
        <v>9692</v>
      </c>
      <c r="AZ229" s="183">
        <v>9692</v>
      </c>
      <c r="BA229" s="183">
        <v>9692</v>
      </c>
      <c r="BB229" s="183">
        <v>9692</v>
      </c>
      <c r="BC229" s="183">
        <v>9692</v>
      </c>
      <c r="BD229" s="183">
        <v>9692</v>
      </c>
      <c r="BE229" s="183">
        <v>9692</v>
      </c>
      <c r="BF229" s="183">
        <v>67844</v>
      </c>
      <c r="BG229" s="79"/>
      <c r="BH229" s="79"/>
      <c r="BI229" s="79"/>
      <c r="BJ229" s="79">
        <v>9692</v>
      </c>
      <c r="BK229" s="79">
        <v>9692</v>
      </c>
      <c r="BL229" s="79">
        <v>9692</v>
      </c>
      <c r="BM229" s="79">
        <v>9692</v>
      </c>
      <c r="BN229" s="79">
        <v>9692</v>
      </c>
      <c r="BO229" s="79">
        <v>9692</v>
      </c>
      <c r="BP229" s="79">
        <v>9692</v>
      </c>
      <c r="BQ229" s="79">
        <v>9692</v>
      </c>
      <c r="BR229" s="79">
        <v>9692</v>
      </c>
      <c r="BS229" s="79">
        <v>87228</v>
      </c>
    </row>
    <row r="230" spans="1:71" ht="15" hidden="1" customHeight="1">
      <c r="A230" s="66" t="s">
        <v>1815</v>
      </c>
      <c r="B230" s="737" t="s">
        <v>1816</v>
      </c>
      <c r="C230" s="346"/>
      <c r="D230" s="343" t="str">
        <f>_xlfn.TEXTJOIN("_",FALSE,E230,ERP_8[[#This Row],[Expense Category]],ERP_8[[#This Row],[Project Code*]])</f>
        <v>Dougherty, Chris_MANAGED SERVICES_IT-FBT0210-OG-US-00</v>
      </c>
      <c r="E230" s="343" t="s">
        <v>1135</v>
      </c>
      <c r="F230" s="346"/>
      <c r="G230" s="150" t="s">
        <v>1136</v>
      </c>
      <c r="H230" s="150" t="s">
        <v>1135</v>
      </c>
      <c r="I230" s="150" t="s">
        <v>1156</v>
      </c>
      <c r="J230" s="150" t="s">
        <v>1137</v>
      </c>
      <c r="K230" s="511" t="s">
        <v>389</v>
      </c>
      <c r="L230" s="392" t="s">
        <v>1817</v>
      </c>
      <c r="M230" s="343"/>
      <c r="N230" s="800" t="s">
        <v>1804</v>
      </c>
      <c r="O230" s="70" t="s">
        <v>424</v>
      </c>
      <c r="P230" s="346"/>
      <c r="Q230" s="343"/>
      <c r="R230" s="346"/>
      <c r="S230" s="150" t="s">
        <v>67</v>
      </c>
      <c r="T230" s="150"/>
      <c r="U230" s="403"/>
      <c r="V230" s="406">
        <v>588064.00000000012</v>
      </c>
      <c r="W230" s="406">
        <v>588064.16999999993</v>
      </c>
      <c r="X230" s="425"/>
      <c r="Y230" s="71"/>
      <c r="Z230" s="784">
        <v>40389</v>
      </c>
      <c r="AA230" s="794">
        <v>55285.58</v>
      </c>
      <c r="AB230" s="794">
        <v>47994.59</v>
      </c>
      <c r="AC230" s="428">
        <v>42517.659999999996</v>
      </c>
      <c r="AD230" s="429">
        <v>63850.67</v>
      </c>
      <c r="AE230" s="429">
        <v>47308.070000000007</v>
      </c>
      <c r="AF230" s="429">
        <v>35857.18</v>
      </c>
      <c r="AG230" s="363">
        <v>61543</v>
      </c>
      <c r="AH230" s="363">
        <v>49000</v>
      </c>
      <c r="AI230" s="363">
        <v>48000</v>
      </c>
      <c r="AJ230" s="363">
        <v>48318</v>
      </c>
      <c r="AK230" s="363">
        <v>48000</v>
      </c>
      <c r="AL230" s="360">
        <f t="shared" si="12"/>
        <v>588063.75</v>
      </c>
      <c r="AM230" s="362">
        <f>ERP_8[[#This Row],[2026 Working Total]]-ERP_8[[#This Row],[LE2 Final Submission]]</f>
        <v>-0.41999999992549419</v>
      </c>
      <c r="AN230" s="79">
        <v>0</v>
      </c>
      <c r="AO230" s="79">
        <f t="shared" si="13"/>
        <v>47308.070000000007</v>
      </c>
      <c r="AP230" s="374">
        <f>SUM(ERP_8[[#This Row],[AP01]:[AP07]])-SUM(ERP_8[[#This Row],[AP01 LE2]:[AP07 LE2]])</f>
        <v>-9861.4199999999837</v>
      </c>
      <c r="AQ230" s="80"/>
      <c r="AR230" s="79">
        <f>ERP_8[[#This Row],[2026 Working Total to Budget/LE]]-ERP_8[[#This Row],[Giveback]]</f>
        <v>-0.41999999992549419</v>
      </c>
      <c r="AS230" s="81"/>
      <c r="AT230" s="375">
        <v>40389</v>
      </c>
      <c r="AU230" s="375">
        <v>55285.58</v>
      </c>
      <c r="AV230" s="375">
        <v>47994.59</v>
      </c>
      <c r="AW230" s="375">
        <v>51000</v>
      </c>
      <c r="AX230" s="375">
        <v>49500</v>
      </c>
      <c r="AY230" s="375">
        <v>49495</v>
      </c>
      <c r="AZ230" s="375">
        <v>49400</v>
      </c>
      <c r="BA230" s="375">
        <v>49000</v>
      </c>
      <c r="BB230" s="375">
        <v>49000</v>
      </c>
      <c r="BC230" s="375">
        <v>49000</v>
      </c>
      <c r="BD230" s="375">
        <v>49000</v>
      </c>
      <c r="BE230" s="375">
        <v>49000</v>
      </c>
      <c r="BF230" s="375">
        <v>588064.16999999993</v>
      </c>
      <c r="BG230" s="79">
        <v>40389</v>
      </c>
      <c r="BH230" s="79">
        <v>55285.58</v>
      </c>
      <c r="BI230" s="79">
        <v>47994.59</v>
      </c>
      <c r="BJ230" s="79">
        <v>49068</v>
      </c>
      <c r="BK230" s="79">
        <v>51240</v>
      </c>
      <c r="BL230" s="79">
        <v>37911</v>
      </c>
      <c r="BM230" s="79">
        <v>48731</v>
      </c>
      <c r="BN230" s="79">
        <v>52076</v>
      </c>
      <c r="BO230" s="79">
        <v>52390</v>
      </c>
      <c r="BP230" s="79">
        <v>54876</v>
      </c>
      <c r="BQ230" s="79">
        <v>42961</v>
      </c>
      <c r="BR230" s="79">
        <v>40649</v>
      </c>
      <c r="BS230" s="79">
        <v>573571.16999999993</v>
      </c>
    </row>
    <row r="231" spans="1:71" ht="15" hidden="1" customHeight="1">
      <c r="A231" s="66" t="s">
        <v>1818</v>
      </c>
      <c r="B231" s="737" t="s">
        <v>1819</v>
      </c>
      <c r="C231" s="346"/>
      <c r="D231" s="343" t="str">
        <f>_xlfn.TEXTJOIN("_",FALSE,E231,ERP_8[[#This Row],[Expense Category]],ERP_8[[#This Row],[Project Code*]])</f>
        <v>Dougherty, Chris_MANAGED SERVICES_IT-FBT0281-OG-US-00</v>
      </c>
      <c r="E231" s="343" t="s">
        <v>1135</v>
      </c>
      <c r="F231" s="346"/>
      <c r="G231" s="150" t="s">
        <v>1136</v>
      </c>
      <c r="H231" s="150" t="s">
        <v>1135</v>
      </c>
      <c r="I231" s="150" t="s">
        <v>1165</v>
      </c>
      <c r="J231" s="150" t="s">
        <v>1137</v>
      </c>
      <c r="K231" s="511" t="s">
        <v>389</v>
      </c>
      <c r="L231" s="392" t="s">
        <v>1820</v>
      </c>
      <c r="M231" s="343"/>
      <c r="N231" s="800" t="s">
        <v>1252</v>
      </c>
      <c r="O231" s="70" t="s">
        <v>426</v>
      </c>
      <c r="P231" s="346"/>
      <c r="Q231" s="343"/>
      <c r="R231" s="346"/>
      <c r="S231" s="150" t="s">
        <v>427</v>
      </c>
      <c r="T231" s="184" t="s">
        <v>1821</v>
      </c>
      <c r="U231" s="403"/>
      <c r="V231" s="406">
        <v>4651599.96</v>
      </c>
      <c r="W231" s="406">
        <v>4701598.17</v>
      </c>
      <c r="X231" s="425"/>
      <c r="Y231" s="71"/>
      <c r="Z231" s="784">
        <v>387633.4</v>
      </c>
      <c r="AA231" s="794">
        <v>404902.73</v>
      </c>
      <c r="AB231" s="794">
        <v>356492.04</v>
      </c>
      <c r="AC231" s="428">
        <v>363571.96</v>
      </c>
      <c r="AD231" s="429">
        <v>461544.87000000005</v>
      </c>
      <c r="AE231" s="429">
        <v>394829.05999999994</v>
      </c>
      <c r="AF231" s="429">
        <v>325234.96000000002</v>
      </c>
      <c r="AG231" s="363">
        <f>391800+66565</f>
        <v>458365</v>
      </c>
      <c r="AH231" s="363">
        <v>391800</v>
      </c>
      <c r="AI231" s="363">
        <v>391800</v>
      </c>
      <c r="AJ231" s="363">
        <v>391800</v>
      </c>
      <c r="AK231" s="363">
        <v>387633</v>
      </c>
      <c r="AL231" s="360">
        <f t="shared" si="12"/>
        <v>4715607.0199999996</v>
      </c>
      <c r="AM231" s="504">
        <f>ERP_8[[#This Row],[2026 Working Total]]-ERP_8[[#This Row],[LE2 Final Submission]]</f>
        <v>14008.849999999627</v>
      </c>
      <c r="AN231" s="79">
        <v>0</v>
      </c>
      <c r="AO231" s="79">
        <f t="shared" si="13"/>
        <v>394829.05999999994</v>
      </c>
      <c r="AP231" s="374">
        <f>SUM(ERP_8[[#This Row],[AP01]:[AP07]])-SUM(ERP_8[[#This Row],[AP01 LE2]:[AP07 LE2]])</f>
        <v>-52556.149999999907</v>
      </c>
      <c r="AQ231" s="80"/>
      <c r="AR231" s="79">
        <f>ERP_8[[#This Row],[2026 Working Total to Budget/LE]]-ERP_8[[#This Row],[Giveback]]</f>
        <v>14008.849999999627</v>
      </c>
      <c r="AS231" s="81"/>
      <c r="AT231" s="375">
        <v>387633.4</v>
      </c>
      <c r="AU231" s="375">
        <v>404902.73</v>
      </c>
      <c r="AV231" s="375">
        <v>356492.04</v>
      </c>
      <c r="AW231" s="375">
        <v>422337</v>
      </c>
      <c r="AX231" s="375">
        <v>391800</v>
      </c>
      <c r="AY231" s="375">
        <v>391800</v>
      </c>
      <c r="AZ231" s="375">
        <v>391800</v>
      </c>
      <c r="BA231" s="375">
        <v>391800</v>
      </c>
      <c r="BB231" s="375">
        <v>391800</v>
      </c>
      <c r="BC231" s="375">
        <v>391800</v>
      </c>
      <c r="BD231" s="375">
        <v>391800</v>
      </c>
      <c r="BE231" s="375">
        <v>387633</v>
      </c>
      <c r="BF231" s="375">
        <v>4701598.17</v>
      </c>
      <c r="BG231" s="79">
        <v>387633.4</v>
      </c>
      <c r="BH231" s="79">
        <v>404902.73</v>
      </c>
      <c r="BI231" s="79">
        <v>356492.04</v>
      </c>
      <c r="BJ231" s="79">
        <v>387633.33</v>
      </c>
      <c r="BK231" s="79">
        <v>387633.33</v>
      </c>
      <c r="BL231" s="79">
        <v>387633.33</v>
      </c>
      <c r="BM231" s="79">
        <v>387633.33</v>
      </c>
      <c r="BN231" s="79">
        <v>387633.33</v>
      </c>
      <c r="BO231" s="79">
        <v>387633.33</v>
      </c>
      <c r="BP231" s="79">
        <v>387633.33</v>
      </c>
      <c r="BQ231" s="79">
        <v>387633.33</v>
      </c>
      <c r="BR231" s="79">
        <v>387633.33</v>
      </c>
      <c r="BS231" s="79">
        <v>4637728.1400000006</v>
      </c>
    </row>
    <row r="232" spans="1:71" ht="15" hidden="1" customHeight="1">
      <c r="A232" s="66" t="s">
        <v>1822</v>
      </c>
      <c r="B232" s="737" t="s">
        <v>1823</v>
      </c>
      <c r="C232" s="346"/>
      <c r="D232" s="343" t="str">
        <f>_xlfn.TEXTJOIN("_",FALSE,E232,ERP_8[[#This Row],[Expense Category]],ERP_8[[#This Row],[Project Code*]])</f>
        <v>Dougherty, Chris_MANAGED SERVICES_IT-FBT0282-OG-US-00</v>
      </c>
      <c r="E232" s="343" t="s">
        <v>1135</v>
      </c>
      <c r="F232" s="346"/>
      <c r="G232" s="150" t="s">
        <v>1136</v>
      </c>
      <c r="H232" s="150" t="s">
        <v>1135</v>
      </c>
      <c r="I232" s="150" t="s">
        <v>1165</v>
      </c>
      <c r="J232" s="150" t="s">
        <v>1137</v>
      </c>
      <c r="K232" s="511" t="s">
        <v>389</v>
      </c>
      <c r="L232" s="392" t="s">
        <v>1824</v>
      </c>
      <c r="M232" s="343"/>
      <c r="N232" s="800"/>
      <c r="O232" s="70" t="s">
        <v>429</v>
      </c>
      <c r="P232" s="346"/>
      <c r="Q232" s="343"/>
      <c r="R232" s="346"/>
      <c r="S232" s="150" t="s">
        <v>427</v>
      </c>
      <c r="T232" s="482" t="s">
        <v>1825</v>
      </c>
      <c r="U232" s="403"/>
      <c r="V232" s="406">
        <v>1832799.9600000002</v>
      </c>
      <c r="W232" s="406">
        <v>1832798.4200000002</v>
      </c>
      <c r="X232" s="425"/>
      <c r="Y232" s="71"/>
      <c r="Z232" s="784"/>
      <c r="AA232" s="794">
        <v>293304.34999999998</v>
      </c>
      <c r="AB232" s="794">
        <v>164894.1</v>
      </c>
      <c r="AC232" s="428">
        <v>142089.47</v>
      </c>
      <c r="AD232" s="429">
        <v>163378.12</v>
      </c>
      <c r="AE232" s="429">
        <v>152732.93000000002</v>
      </c>
      <c r="AF232" s="429">
        <v>122422.26999999999</v>
      </c>
      <c r="AG232" s="363">
        <f>172399+49977</f>
        <v>222376</v>
      </c>
      <c r="AH232" s="363">
        <v>172399</v>
      </c>
      <c r="AI232" s="363">
        <v>172399</v>
      </c>
      <c r="AJ232" s="363">
        <v>172399</v>
      </c>
      <c r="AK232" s="363">
        <v>172399</v>
      </c>
      <c r="AL232" s="360">
        <f t="shared" si="12"/>
        <v>1950793.24</v>
      </c>
      <c r="AM232" s="504">
        <f>ERP_8[[#This Row],[2026 Working Total]]-ERP_8[[#This Row],[LE2 Final Submission]]</f>
        <v>117994.81999999983</v>
      </c>
      <c r="AN232" s="79">
        <v>0</v>
      </c>
      <c r="AO232" s="79">
        <f t="shared" si="13"/>
        <v>152732.93000000002</v>
      </c>
      <c r="AP232" s="374">
        <f>SUM(ERP_8[[#This Row],[AP01]:[AP07]])-SUM(ERP_8[[#This Row],[AP01 LE2]:[AP07 LE2]])</f>
        <v>-30310.529999999795</v>
      </c>
      <c r="AQ232" s="80"/>
      <c r="AR232" s="79">
        <f>ERP_8[[#This Row],[2026 Working Total to Budget/LE]]-ERP_8[[#This Row],[Giveback]]</f>
        <v>117994.81999999983</v>
      </c>
      <c r="AS232" s="81"/>
      <c r="AT232" s="375"/>
      <c r="AU232" s="375">
        <v>293304.34999999998</v>
      </c>
      <c r="AV232" s="375">
        <v>164894.1</v>
      </c>
      <c r="AW232" s="375">
        <v>152733.32999999999</v>
      </c>
      <c r="AX232" s="375">
        <v>152733.32999999999</v>
      </c>
      <c r="AY232" s="375">
        <v>152733.32999999999</v>
      </c>
      <c r="AZ232" s="375">
        <v>152733.32999999999</v>
      </c>
      <c r="BA232" s="375">
        <v>152733.32999999999</v>
      </c>
      <c r="BB232" s="375">
        <v>152733.32999999999</v>
      </c>
      <c r="BC232" s="375">
        <v>152733.32999999999</v>
      </c>
      <c r="BD232" s="375">
        <v>152733.32999999999</v>
      </c>
      <c r="BE232" s="375">
        <v>152733.32999999999</v>
      </c>
      <c r="BF232" s="375">
        <v>1832798.4200000002</v>
      </c>
      <c r="BG232" s="79"/>
      <c r="BH232" s="79">
        <v>293304.34999999998</v>
      </c>
      <c r="BI232" s="79">
        <v>164894.1</v>
      </c>
      <c r="BJ232" s="79">
        <v>152733.32999999999</v>
      </c>
      <c r="BK232" s="79">
        <v>152733.32999999999</v>
      </c>
      <c r="BL232" s="79">
        <v>152733.32999999999</v>
      </c>
      <c r="BM232" s="79">
        <v>152733.32999999999</v>
      </c>
      <c r="BN232" s="79">
        <v>152733.32999999999</v>
      </c>
      <c r="BO232" s="79">
        <v>152733.32999999999</v>
      </c>
      <c r="BP232" s="79">
        <v>152733.32999999999</v>
      </c>
      <c r="BQ232" s="79">
        <v>152733.32999999999</v>
      </c>
      <c r="BR232" s="79">
        <v>152733.32999999999</v>
      </c>
      <c r="BS232" s="79">
        <v>1832798.4200000002</v>
      </c>
    </row>
    <row r="233" spans="1:71" ht="15" hidden="1" customHeight="1">
      <c r="A233" s="66" t="s">
        <v>1826</v>
      </c>
      <c r="B233" s="737" t="s">
        <v>1827</v>
      </c>
      <c r="C233" s="346"/>
      <c r="D233" s="343" t="str">
        <f>_xlfn.TEXTJOIN("_",FALSE,E233,ERP_8[[#This Row],[Expense Category]],ERP_8[[#This Row],[Project Code*]])</f>
        <v>Dougherty, Chris_MANAGED SERVICES_IT-FBT0288-OG-BE-00</v>
      </c>
      <c r="E233" s="343" t="s">
        <v>1135</v>
      </c>
      <c r="F233" s="346"/>
      <c r="G233" s="150" t="s">
        <v>1136</v>
      </c>
      <c r="H233" s="150" t="s">
        <v>1135</v>
      </c>
      <c r="I233" s="150" t="s">
        <v>1137</v>
      </c>
      <c r="J233" s="150" t="s">
        <v>1137</v>
      </c>
      <c r="K233" s="511" t="s">
        <v>389</v>
      </c>
      <c r="L233" s="392" t="s">
        <v>1828</v>
      </c>
      <c r="M233" s="343"/>
      <c r="N233" s="800"/>
      <c r="O233" s="70" t="s">
        <v>431</v>
      </c>
      <c r="P233" s="346"/>
      <c r="Q233" s="343"/>
      <c r="R233" s="346"/>
      <c r="S233" s="150" t="s">
        <v>432</v>
      </c>
      <c r="T233" s="1" t="s">
        <v>1141</v>
      </c>
      <c r="U233" s="403"/>
      <c r="V233" s="406">
        <v>18000</v>
      </c>
      <c r="W233" s="406">
        <v>19824.739999999998</v>
      </c>
      <c r="X233" s="425"/>
      <c r="Y233" s="71"/>
      <c r="Z233" s="784">
        <v>531.82000000000005</v>
      </c>
      <c r="AA233" s="780">
        <v>3988.46</v>
      </c>
      <c r="AB233" s="780">
        <v>1804.46</v>
      </c>
      <c r="AC233" s="428">
        <v>988.66</v>
      </c>
      <c r="AD233" s="429">
        <v>162.79999999999998</v>
      </c>
      <c r="AE233" s="429">
        <v>0</v>
      </c>
      <c r="AF233" s="429" t="s">
        <v>1142</v>
      </c>
      <c r="AG233" s="363">
        <v>1500</v>
      </c>
      <c r="AH233" s="363">
        <v>1500</v>
      </c>
      <c r="AI233" s="363">
        <v>1500</v>
      </c>
      <c r="AJ233" s="363">
        <v>1500</v>
      </c>
      <c r="AK233" s="363">
        <v>1500</v>
      </c>
      <c r="AL233" s="360">
        <f t="shared" si="12"/>
        <v>14976.2</v>
      </c>
      <c r="AM233" s="362">
        <f>ERP_8[[#This Row],[2026 Working Total]]-ERP_8[[#This Row],[LE2 Final Submission]]</f>
        <v>-4848.5399999999972</v>
      </c>
      <c r="AN233" s="79">
        <v>0</v>
      </c>
      <c r="AO233" s="79">
        <f t="shared" si="13"/>
        <v>0</v>
      </c>
      <c r="AP233" s="374">
        <f>SUM(ERP_8[[#This Row],[AP01]:[AP07]])-SUM(ERP_8[[#This Row],[AP01 LE2]:[AP07 LE2]])</f>
        <v>-4848.54</v>
      </c>
      <c r="AQ233" s="80"/>
      <c r="AR233" s="79">
        <f>ERP_8[[#This Row],[2026 Working Total to Budget/LE]]-ERP_8[[#This Row],[Giveback]]</f>
        <v>-4848.5399999999972</v>
      </c>
      <c r="AS233" s="81"/>
      <c r="AT233" s="375">
        <v>531.82000000000005</v>
      </c>
      <c r="AU233" s="375">
        <v>3988.46</v>
      </c>
      <c r="AV233" s="375">
        <v>1804.46</v>
      </c>
      <c r="AW233" s="375">
        <v>1500</v>
      </c>
      <c r="AX233" s="375">
        <v>1500</v>
      </c>
      <c r="AY233" s="375">
        <v>1500</v>
      </c>
      <c r="AZ233" s="375">
        <v>1500</v>
      </c>
      <c r="BA233" s="375">
        <v>1500</v>
      </c>
      <c r="BB233" s="375">
        <v>1500</v>
      </c>
      <c r="BC233" s="375">
        <v>1500</v>
      </c>
      <c r="BD233" s="375">
        <v>1500</v>
      </c>
      <c r="BE233" s="375">
        <v>1500</v>
      </c>
      <c r="BF233" s="375">
        <v>19824.739999999998</v>
      </c>
      <c r="BG233" s="79">
        <v>531.82000000000005</v>
      </c>
      <c r="BH233" s="79">
        <v>3988.46</v>
      </c>
      <c r="BI233" s="79">
        <v>1804.46</v>
      </c>
      <c r="BJ233" s="79">
        <v>1500</v>
      </c>
      <c r="BK233" s="79">
        <v>1500</v>
      </c>
      <c r="BL233" s="79">
        <v>1500</v>
      </c>
      <c r="BM233" s="79">
        <v>1500</v>
      </c>
      <c r="BN233" s="79">
        <v>1500</v>
      </c>
      <c r="BO233" s="79">
        <v>1500</v>
      </c>
      <c r="BP233" s="79">
        <v>1500</v>
      </c>
      <c r="BQ233" s="79">
        <v>1500</v>
      </c>
      <c r="BR233" s="79">
        <v>1500</v>
      </c>
      <c r="BS233" s="79">
        <v>19824.739999999998</v>
      </c>
    </row>
    <row r="234" spans="1:71" ht="15" hidden="1" customHeight="1">
      <c r="A234" s="66" t="s">
        <v>1829</v>
      </c>
      <c r="B234" s="737" t="s">
        <v>1830</v>
      </c>
      <c r="C234" s="346"/>
      <c r="D234" s="343" t="str">
        <f>_xlfn.TEXTJOIN("_",FALSE,E234,ERP_8[[#This Row],[Expense Category]],ERP_8[[#This Row],[Project Code*]])</f>
        <v>Dougherty, Chris_MANAGED SERVICES_IT-FBT0393-OG-JP-00</v>
      </c>
      <c r="E234" s="343" t="s">
        <v>1135</v>
      </c>
      <c r="F234" s="346"/>
      <c r="G234" s="150" t="s">
        <v>1136</v>
      </c>
      <c r="H234" s="150" t="s">
        <v>1135</v>
      </c>
      <c r="I234" s="150" t="s">
        <v>1165</v>
      </c>
      <c r="J234" s="150" t="s">
        <v>1137</v>
      </c>
      <c r="K234" s="511" t="s">
        <v>389</v>
      </c>
      <c r="L234" s="392" t="s">
        <v>1831</v>
      </c>
      <c r="M234" s="343" t="s">
        <v>1832</v>
      </c>
      <c r="N234" s="800">
        <v>2430238</v>
      </c>
      <c r="O234" s="70" t="s">
        <v>124</v>
      </c>
      <c r="P234" s="346"/>
      <c r="Q234" s="343">
        <v>9501133449</v>
      </c>
      <c r="R234" s="346"/>
      <c r="S234" s="150" t="s">
        <v>434</v>
      </c>
      <c r="T234" s="150"/>
      <c r="U234" s="403"/>
      <c r="V234" s="406">
        <v>141887.51999999996</v>
      </c>
      <c r="W234" s="406">
        <v>62335.31</v>
      </c>
      <c r="X234" s="425"/>
      <c r="Y234" s="71"/>
      <c r="Z234" s="784">
        <v>11347.01</v>
      </c>
      <c r="AA234" s="794">
        <v>7087.77</v>
      </c>
      <c r="AB234" s="794">
        <v>10590.53</v>
      </c>
      <c r="AC234" s="428">
        <v>13238.160000000002</v>
      </c>
      <c r="AD234" s="429">
        <v>10590.539999999999</v>
      </c>
      <c r="AE234" s="429">
        <v>10590.54</v>
      </c>
      <c r="AF234" s="429">
        <v>-4538.8000000000011</v>
      </c>
      <c r="AG234" s="364"/>
      <c r="AH234" s="364"/>
      <c r="AI234" s="364"/>
      <c r="AJ234" s="364"/>
      <c r="AK234" s="364"/>
      <c r="AL234" s="360">
        <f t="shared" si="12"/>
        <v>58905.75</v>
      </c>
      <c r="AM234" s="362">
        <f>ERP_8[[#This Row],[2026 Working Total]]-ERP_8[[#This Row],[LE2 Final Submission]]</f>
        <v>-3429.5599999999977</v>
      </c>
      <c r="AN234" s="79"/>
      <c r="AO234" s="79">
        <f t="shared" si="13"/>
        <v>10590.54</v>
      </c>
      <c r="AP234" s="374">
        <f>SUM(ERP_8[[#This Row],[AP01]:[AP07]])-SUM(ERP_8[[#This Row],[AP01 LE2]:[AP07 LE2]])</f>
        <v>-3429.5599999999977</v>
      </c>
      <c r="AQ234" s="80"/>
      <c r="AR234" s="79">
        <f>ERP_8[[#This Row],[2026 Working Total to Budget/LE]]-ERP_8[[#This Row],[Giveback]]</f>
        <v>-3429.5599999999977</v>
      </c>
      <c r="AS234" s="81"/>
      <c r="AT234" s="375">
        <v>11347.01</v>
      </c>
      <c r="AU234" s="375">
        <v>7087.77</v>
      </c>
      <c r="AV234" s="375">
        <v>10590.53</v>
      </c>
      <c r="AW234" s="375">
        <v>10590</v>
      </c>
      <c r="AX234" s="375">
        <v>12130</v>
      </c>
      <c r="AY234" s="375">
        <v>10590</v>
      </c>
      <c r="AZ234" s="375"/>
      <c r="BA234" s="375"/>
      <c r="BB234" s="375"/>
      <c r="BC234" s="375"/>
      <c r="BD234" s="375"/>
      <c r="BE234" s="375"/>
      <c r="BF234" s="375">
        <v>62335.31</v>
      </c>
      <c r="BG234" s="79">
        <v>11347.01</v>
      </c>
      <c r="BH234" s="79">
        <v>7087.77</v>
      </c>
      <c r="BI234" s="79">
        <v>10590.53</v>
      </c>
      <c r="BJ234" s="79">
        <v>11157</v>
      </c>
      <c r="BK234" s="79">
        <v>11157</v>
      </c>
      <c r="BL234" s="79">
        <v>11157</v>
      </c>
      <c r="BM234" s="79">
        <v>11157</v>
      </c>
      <c r="BN234" s="79">
        <v>11157</v>
      </c>
      <c r="BO234" s="79">
        <v>11157</v>
      </c>
      <c r="BP234" s="79">
        <v>11157</v>
      </c>
      <c r="BQ234" s="79">
        <v>11157</v>
      </c>
      <c r="BR234" s="79">
        <v>11157</v>
      </c>
      <c r="BS234" s="79">
        <v>129438.31</v>
      </c>
    </row>
    <row r="235" spans="1:71" ht="15" hidden="1" customHeight="1">
      <c r="A235" s="66" t="s">
        <v>1833</v>
      </c>
      <c r="B235" s="737" t="s">
        <v>1834</v>
      </c>
      <c r="C235" s="346"/>
      <c r="D235" s="343" t="str">
        <f>_xlfn.TEXTJOIN("_",FALSE,E235,ERP_8[[#This Row],[Expense Category]],ERP_8[[#This Row],[Project Code*]])</f>
        <v>Dougherty, Chris_MANAGED SERVICES_IT-FBT0524-OG-US-00</v>
      </c>
      <c r="E235" s="343" t="s">
        <v>1135</v>
      </c>
      <c r="F235" s="346"/>
      <c r="G235" s="150" t="s">
        <v>1136</v>
      </c>
      <c r="H235" s="150" t="s">
        <v>1135</v>
      </c>
      <c r="I235" s="150" t="s">
        <v>1156</v>
      </c>
      <c r="J235" s="150" t="s">
        <v>1137</v>
      </c>
      <c r="K235" s="511" t="s">
        <v>389</v>
      </c>
      <c r="L235" s="392" t="s">
        <v>1835</v>
      </c>
      <c r="M235" s="343"/>
      <c r="N235" s="800"/>
      <c r="O235" s="70" t="s">
        <v>436</v>
      </c>
      <c r="P235" s="346"/>
      <c r="Q235" s="343"/>
      <c r="R235" s="346"/>
      <c r="S235" s="150" t="s">
        <v>57</v>
      </c>
      <c r="T235" s="150" t="s">
        <v>1836</v>
      </c>
      <c r="U235" s="403"/>
      <c r="V235" s="406">
        <v>4558</v>
      </c>
      <c r="W235" s="406">
        <v>3418.5099999999998</v>
      </c>
      <c r="X235" s="425"/>
      <c r="Y235" s="71"/>
      <c r="Z235" s="784"/>
      <c r="AA235" s="794"/>
      <c r="AB235" s="794"/>
      <c r="AC235" s="428" t="s">
        <v>1142</v>
      </c>
      <c r="AD235" s="429">
        <v>0</v>
      </c>
      <c r="AE235" s="429">
        <v>0</v>
      </c>
      <c r="AF235" s="429" t="s">
        <v>1142</v>
      </c>
      <c r="AG235" s="363"/>
      <c r="AH235" s="363"/>
      <c r="AI235" s="363"/>
      <c r="AJ235" s="363">
        <v>3418.51</v>
      </c>
      <c r="AK235" s="363"/>
      <c r="AL235" s="360">
        <f t="shared" ref="AL235:AL266" si="14">SUM(Z235:AK235)</f>
        <v>3418.51</v>
      </c>
      <c r="AM235" s="362">
        <f>ERP_8[[#This Row],[2026 Working Total]]-ERP_8[[#This Row],[LE2 Final Submission]]</f>
        <v>0</v>
      </c>
      <c r="AN235" s="79">
        <v>379.83</v>
      </c>
      <c r="AO235" s="79">
        <f t="shared" ref="AO235:AO266" si="15">$AE235 - $AN235</f>
        <v>-379.83</v>
      </c>
      <c r="AP235" s="374">
        <f>SUM(ERP_8[[#This Row],[AP01]:[AP07]])-SUM(ERP_8[[#This Row],[AP01 LE2]:[AP07 LE2]])</f>
        <v>-1519.32</v>
      </c>
      <c r="AQ235" s="80"/>
      <c r="AR235" s="79">
        <f>ERP_8[[#This Row],[2026 Working Total to Budget/LE]]-ERP_8[[#This Row],[Giveback]]</f>
        <v>0</v>
      </c>
      <c r="AS235" s="81"/>
      <c r="AT235" s="375"/>
      <c r="AU235" s="375"/>
      <c r="AV235" s="375"/>
      <c r="AW235" s="375">
        <v>379.83</v>
      </c>
      <c r="AX235" s="375">
        <v>379.83</v>
      </c>
      <c r="AY235" s="375">
        <v>379.83</v>
      </c>
      <c r="AZ235" s="375">
        <v>379.83</v>
      </c>
      <c r="BA235" s="375">
        <v>379.83</v>
      </c>
      <c r="BB235" s="375">
        <v>379.83</v>
      </c>
      <c r="BC235" s="375">
        <v>379.83</v>
      </c>
      <c r="BD235" s="375">
        <v>379.83</v>
      </c>
      <c r="BE235" s="375">
        <v>379.87</v>
      </c>
      <c r="BF235" s="375">
        <v>3418.5099999999998</v>
      </c>
      <c r="BG235" s="79"/>
      <c r="BH235" s="79"/>
      <c r="BI235" s="79"/>
      <c r="BJ235" s="79">
        <v>379.83</v>
      </c>
      <c r="BK235" s="79">
        <v>379.83</v>
      </c>
      <c r="BL235" s="79">
        <v>379.83</v>
      </c>
      <c r="BM235" s="79">
        <v>379.83</v>
      </c>
      <c r="BN235" s="79">
        <v>379.83</v>
      </c>
      <c r="BO235" s="79">
        <v>379.83</v>
      </c>
      <c r="BP235" s="79">
        <v>379.83</v>
      </c>
      <c r="BQ235" s="79">
        <v>379.83</v>
      </c>
      <c r="BR235" s="79">
        <v>379.87</v>
      </c>
      <c r="BS235" s="79">
        <v>3418.5099999999998</v>
      </c>
    </row>
    <row r="236" spans="1:71" ht="15" hidden="1" customHeight="1">
      <c r="A236" s="66" t="s">
        <v>1837</v>
      </c>
      <c r="B236" s="737" t="s">
        <v>1838</v>
      </c>
      <c r="C236" s="346"/>
      <c r="D236" s="343" t="str">
        <f>_xlfn.TEXTJOIN("_",FALSE,E236,ERP_8[[#This Row],[Expense Category]],ERP_8[[#This Row],[Project Code*]])</f>
        <v>Dougherty, Chris_MANAGED SERVICES_IT-FBT0524-OG-US-00</v>
      </c>
      <c r="E236" s="343" t="s">
        <v>1135</v>
      </c>
      <c r="F236" s="346"/>
      <c r="G236" s="150" t="s">
        <v>1136</v>
      </c>
      <c r="H236" s="150" t="s">
        <v>1135</v>
      </c>
      <c r="I236" s="150" t="s">
        <v>1165</v>
      </c>
      <c r="J236" s="150" t="s">
        <v>1137</v>
      </c>
      <c r="K236" s="511" t="s">
        <v>389</v>
      </c>
      <c r="L236" s="392" t="s">
        <v>1835</v>
      </c>
      <c r="M236" s="343"/>
      <c r="N236" s="804">
        <v>2321403</v>
      </c>
      <c r="O236" s="70" t="s">
        <v>436</v>
      </c>
      <c r="P236" s="346"/>
      <c r="Q236" s="343"/>
      <c r="R236" s="346"/>
      <c r="S236" s="150" t="s">
        <v>57</v>
      </c>
      <c r="T236" s="150" t="s">
        <v>1839</v>
      </c>
      <c r="U236" s="403"/>
      <c r="V236" s="406">
        <v>0</v>
      </c>
      <c r="W236" s="406">
        <v>1351.1499999999999</v>
      </c>
      <c r="X236" s="425"/>
      <c r="Y236" s="71"/>
      <c r="Z236" s="784">
        <v>696.35</v>
      </c>
      <c r="AA236" s="794">
        <v>599.02</v>
      </c>
      <c r="AB236" s="794">
        <v>55.78</v>
      </c>
      <c r="AC236" s="428">
        <v>27.89</v>
      </c>
      <c r="AD236" s="429">
        <v>596.58999999999992</v>
      </c>
      <c r="AE236" s="429">
        <v>549.04999999999995</v>
      </c>
      <c r="AF236" s="429">
        <v>540.80999999999995</v>
      </c>
      <c r="AG236" s="363">
        <v>0</v>
      </c>
      <c r="AH236" s="363">
        <v>0</v>
      </c>
      <c r="AI236" s="363">
        <v>0</v>
      </c>
      <c r="AJ236" s="363">
        <v>0</v>
      </c>
      <c r="AK236" s="363">
        <v>0</v>
      </c>
      <c r="AL236" s="360">
        <f t="shared" si="14"/>
        <v>3065.49</v>
      </c>
      <c r="AM236" s="362">
        <f>ERP_8[[#This Row],[2026 Working Total]]-ERP_8[[#This Row],[LE2 Final Submission]]</f>
        <v>1714.34</v>
      </c>
      <c r="AN236" s="79">
        <v>0</v>
      </c>
      <c r="AO236" s="79">
        <f t="shared" si="15"/>
        <v>549.04999999999995</v>
      </c>
      <c r="AP236" s="374">
        <f>SUM(ERP_8[[#This Row],[AP01]:[AP07]])-SUM(ERP_8[[#This Row],[AP01 LE2]:[AP07 LE2]])</f>
        <v>1714.34</v>
      </c>
      <c r="AQ236" s="80"/>
      <c r="AR236" s="79">
        <f>ERP_8[[#This Row],[2026 Working Total to Budget/LE]]-ERP_8[[#This Row],[Giveback]]</f>
        <v>1714.34</v>
      </c>
      <c r="AS236" s="81"/>
      <c r="AT236" s="375">
        <v>696.35</v>
      </c>
      <c r="AU236" s="375">
        <v>599.02</v>
      </c>
      <c r="AV236" s="375">
        <v>55.78</v>
      </c>
      <c r="AW236" s="375">
        <v>0</v>
      </c>
      <c r="AX236" s="375">
        <v>0</v>
      </c>
      <c r="AY236" s="375">
        <v>0</v>
      </c>
      <c r="AZ236" s="375">
        <v>0</v>
      </c>
      <c r="BA236" s="375">
        <v>0</v>
      </c>
      <c r="BB236" s="375">
        <v>0</v>
      </c>
      <c r="BC236" s="375">
        <v>0</v>
      </c>
      <c r="BD236" s="375">
        <v>0</v>
      </c>
      <c r="BE236" s="375">
        <v>0</v>
      </c>
      <c r="BF236" s="375">
        <v>1351.1499999999999</v>
      </c>
      <c r="BG236" s="79">
        <v>696.35</v>
      </c>
      <c r="BH236" s="79">
        <v>599.02</v>
      </c>
      <c r="BI236" s="79">
        <v>55.78</v>
      </c>
      <c r="BJ236" s="79">
        <v>600</v>
      </c>
      <c r="BK236" s="79">
        <v>600</v>
      </c>
      <c r="BL236" s="79">
        <v>600</v>
      </c>
      <c r="BM236" s="79">
        <v>600</v>
      </c>
      <c r="BN236" s="79">
        <v>600</v>
      </c>
      <c r="BO236" s="79">
        <v>600</v>
      </c>
      <c r="BP236" s="79">
        <v>600</v>
      </c>
      <c r="BQ236" s="79">
        <v>600</v>
      </c>
      <c r="BR236" s="79">
        <v>600</v>
      </c>
      <c r="BS236" s="79">
        <v>6751.15</v>
      </c>
    </row>
    <row r="237" spans="1:71" ht="15" hidden="1" customHeight="1">
      <c r="A237" s="66" t="s">
        <v>1840</v>
      </c>
      <c r="B237" s="737" t="s">
        <v>1841</v>
      </c>
      <c r="C237" s="346"/>
      <c r="D237" s="343" t="str">
        <f>_xlfn.TEXTJOIN("_",FALSE,E237,ERP_8[[#This Row],[Expense Category]],ERP_8[[#This Row],[Project Code*]])</f>
        <v>Dougherty, Chris_MANAGED SERVICES_IT-FBT0528-OG-US-00</v>
      </c>
      <c r="E237" s="343" t="s">
        <v>1135</v>
      </c>
      <c r="F237" s="346"/>
      <c r="G237" s="150" t="s">
        <v>1136</v>
      </c>
      <c r="H237" s="150" t="s">
        <v>1135</v>
      </c>
      <c r="I237" s="150" t="s">
        <v>1165</v>
      </c>
      <c r="J237" s="150" t="s">
        <v>1137</v>
      </c>
      <c r="K237" s="511" t="s">
        <v>389</v>
      </c>
      <c r="L237" s="392" t="s">
        <v>1842</v>
      </c>
      <c r="M237" s="343"/>
      <c r="N237" s="800" t="s">
        <v>1433</v>
      </c>
      <c r="O237" s="70" t="s">
        <v>438</v>
      </c>
      <c r="P237" s="346"/>
      <c r="Q237" s="343"/>
      <c r="R237" s="346"/>
      <c r="S237" s="150" t="s">
        <v>439</v>
      </c>
      <c r="T237" s="150"/>
      <c r="U237" s="403"/>
      <c r="V237" s="406">
        <v>60000</v>
      </c>
      <c r="W237" s="406">
        <v>59587</v>
      </c>
      <c r="X237" s="425"/>
      <c r="Y237" s="71"/>
      <c r="Z237" s="784"/>
      <c r="AA237" s="794"/>
      <c r="AB237" s="794">
        <v>7840</v>
      </c>
      <c r="AC237" s="428">
        <v>4772.18</v>
      </c>
      <c r="AD237" s="429">
        <v>4772.17</v>
      </c>
      <c r="AE237" s="429">
        <v>4075.2199999999993</v>
      </c>
      <c r="AF237" s="429">
        <v>4772.1700000000019</v>
      </c>
      <c r="AG237" s="363">
        <v>5224</v>
      </c>
      <c r="AH237" s="363">
        <v>5000</v>
      </c>
      <c r="AI237" s="363">
        <v>5000</v>
      </c>
      <c r="AJ237" s="363">
        <v>5000</v>
      </c>
      <c r="AK237" s="363">
        <v>5000</v>
      </c>
      <c r="AL237" s="360">
        <f t="shared" si="14"/>
        <v>51455.740000000005</v>
      </c>
      <c r="AM237" s="362">
        <f>ERP_8[[#This Row],[2026 Working Total]]-ERP_8[[#This Row],[LE2 Final Submission]]</f>
        <v>-8131.2599999999948</v>
      </c>
      <c r="AN237" s="79">
        <v>5000</v>
      </c>
      <c r="AO237" s="79">
        <f t="shared" si="15"/>
        <v>-924.78000000000065</v>
      </c>
      <c r="AP237" s="374">
        <f>SUM(ERP_8[[#This Row],[AP01]:[AP07]])-SUM(ERP_8[[#This Row],[AP01 LE2]:[AP07 LE2]])</f>
        <v>-8355.2599999999984</v>
      </c>
      <c r="AQ237" s="80"/>
      <c r="AR237" s="79">
        <f>ERP_8[[#This Row],[2026 Working Total to Budget/LE]]-ERP_8[[#This Row],[Giveback]]</f>
        <v>-8131.2599999999948</v>
      </c>
      <c r="AS237" s="81"/>
      <c r="AT237" s="375"/>
      <c r="AU237" s="375"/>
      <c r="AV237" s="375">
        <v>7840</v>
      </c>
      <c r="AW237" s="375">
        <v>11747</v>
      </c>
      <c r="AX237" s="375">
        <v>5000</v>
      </c>
      <c r="AY237" s="375">
        <v>5000</v>
      </c>
      <c r="AZ237" s="375">
        <v>5000</v>
      </c>
      <c r="BA237" s="375">
        <v>5000</v>
      </c>
      <c r="BB237" s="375">
        <v>5000</v>
      </c>
      <c r="BC237" s="375">
        <v>5000</v>
      </c>
      <c r="BD237" s="375">
        <v>5000</v>
      </c>
      <c r="BE237" s="375">
        <v>5000</v>
      </c>
      <c r="BF237" s="375">
        <v>59587</v>
      </c>
      <c r="BG237" s="79"/>
      <c r="BH237" s="79"/>
      <c r="BI237" s="79">
        <v>7840</v>
      </c>
      <c r="BJ237" s="79">
        <v>5000</v>
      </c>
      <c r="BK237" s="79">
        <v>5000</v>
      </c>
      <c r="BL237" s="79">
        <v>5000</v>
      </c>
      <c r="BM237" s="79">
        <v>5000</v>
      </c>
      <c r="BN237" s="79">
        <v>5000</v>
      </c>
      <c r="BO237" s="79">
        <v>5000</v>
      </c>
      <c r="BP237" s="79">
        <v>5000</v>
      </c>
      <c r="BQ237" s="79">
        <v>5000</v>
      </c>
      <c r="BR237" s="79">
        <v>5000</v>
      </c>
      <c r="BS237" s="79">
        <v>52840</v>
      </c>
    </row>
    <row r="238" spans="1:71" ht="15" hidden="1" customHeight="1">
      <c r="A238" s="66" t="s">
        <v>1843</v>
      </c>
      <c r="B238" s="737" t="s">
        <v>440</v>
      </c>
      <c r="C238" s="346"/>
      <c r="D238" s="343" t="str">
        <f>_xlfn.TEXTJOIN("_",FALSE,E238,ERP_8[[#This Row],[Expense Category]],ERP_8[[#This Row],[Project Code*]])</f>
        <v>Dougherty, Chris_MANAGED SERVICES_IT-FBT0587-OG-US-00</v>
      </c>
      <c r="E238" s="343" t="s">
        <v>1135</v>
      </c>
      <c r="F238" s="346"/>
      <c r="G238" s="150" t="s">
        <v>1136</v>
      </c>
      <c r="H238" s="150" t="s">
        <v>1135</v>
      </c>
      <c r="I238" s="150" t="s">
        <v>1135</v>
      </c>
      <c r="J238" s="150" t="s">
        <v>1137</v>
      </c>
      <c r="K238" s="511" t="s">
        <v>389</v>
      </c>
      <c r="L238" s="392" t="s">
        <v>1844</v>
      </c>
      <c r="M238" s="343"/>
      <c r="N238" s="804">
        <v>2321402</v>
      </c>
      <c r="O238" s="70" t="s">
        <v>441</v>
      </c>
      <c r="P238" s="346"/>
      <c r="Q238" s="343"/>
      <c r="R238" s="346"/>
      <c r="S238" s="150" t="s">
        <v>57</v>
      </c>
      <c r="T238" s="150"/>
      <c r="U238" s="403"/>
      <c r="V238" s="406">
        <v>0</v>
      </c>
      <c r="W238" s="406">
        <v>10582.559999999998</v>
      </c>
      <c r="X238" s="425"/>
      <c r="Y238" s="71"/>
      <c r="Z238" s="784">
        <v>881.88</v>
      </c>
      <c r="AA238" s="780">
        <v>881.88</v>
      </c>
      <c r="AB238" s="780">
        <v>881.88</v>
      </c>
      <c r="AC238" s="428">
        <v>881.88</v>
      </c>
      <c r="AD238" s="429">
        <v>881.88</v>
      </c>
      <c r="AE238" s="429">
        <v>881.88</v>
      </c>
      <c r="AF238" s="429">
        <v>881.88</v>
      </c>
      <c r="AG238" s="363">
        <v>881.88</v>
      </c>
      <c r="AH238" s="363">
        <v>881.88</v>
      </c>
      <c r="AI238" s="363">
        <v>881.88</v>
      </c>
      <c r="AJ238" s="363">
        <v>881.88</v>
      </c>
      <c r="AK238" s="363">
        <v>881.88</v>
      </c>
      <c r="AL238" s="360">
        <f t="shared" si="14"/>
        <v>10582.559999999998</v>
      </c>
      <c r="AM238" s="362">
        <f>ERP_8[[#This Row],[2026 Working Total]]-ERP_8[[#This Row],[LE2 Final Submission]]</f>
        <v>0</v>
      </c>
      <c r="AN238" s="79">
        <v>881.88</v>
      </c>
      <c r="AO238" s="79">
        <f t="shared" si="15"/>
        <v>0</v>
      </c>
      <c r="AP238" s="374">
        <f>SUM(ERP_8[[#This Row],[AP01]:[AP07]])-SUM(ERP_8[[#This Row],[AP01 LE2]:[AP07 LE2]])</f>
        <v>0</v>
      </c>
      <c r="AQ238" s="80"/>
      <c r="AR238" s="79">
        <f>ERP_8[[#This Row],[2026 Working Total to Budget/LE]]-ERP_8[[#This Row],[Giveback]]</f>
        <v>0</v>
      </c>
      <c r="AS238" s="81"/>
      <c r="AT238" s="375">
        <v>881.88</v>
      </c>
      <c r="AU238" s="375">
        <v>881.88</v>
      </c>
      <c r="AV238" s="375">
        <v>881.88</v>
      </c>
      <c r="AW238" s="375">
        <v>881.88</v>
      </c>
      <c r="AX238" s="375">
        <v>881.88</v>
      </c>
      <c r="AY238" s="375">
        <v>881.88</v>
      </c>
      <c r="AZ238" s="375">
        <v>881.88</v>
      </c>
      <c r="BA238" s="375">
        <v>881.88</v>
      </c>
      <c r="BB238" s="375">
        <v>881.88</v>
      </c>
      <c r="BC238" s="375">
        <v>881.88</v>
      </c>
      <c r="BD238" s="375">
        <v>881.88</v>
      </c>
      <c r="BE238" s="375">
        <v>881.88</v>
      </c>
      <c r="BF238" s="375">
        <v>10582.559999999998</v>
      </c>
      <c r="BG238" s="79">
        <v>881.88</v>
      </c>
      <c r="BH238" s="79">
        <v>881.88</v>
      </c>
      <c r="BI238" s="79">
        <v>881.88</v>
      </c>
      <c r="BJ238" s="79">
        <v>0</v>
      </c>
      <c r="BK238" s="79">
        <v>0</v>
      </c>
      <c r="BL238" s="79">
        <v>0</v>
      </c>
      <c r="BM238" s="79">
        <v>0</v>
      </c>
      <c r="BN238" s="79">
        <v>0</v>
      </c>
      <c r="BO238" s="79">
        <v>0</v>
      </c>
      <c r="BP238" s="79">
        <v>0</v>
      </c>
      <c r="BQ238" s="79">
        <v>0</v>
      </c>
      <c r="BR238" s="79">
        <v>0</v>
      </c>
      <c r="BS238" s="79">
        <v>2645.64</v>
      </c>
    </row>
    <row r="239" spans="1:71" ht="15" hidden="1" customHeight="1">
      <c r="A239" s="66" t="s">
        <v>1845</v>
      </c>
      <c r="B239" s="737" t="s">
        <v>1846</v>
      </c>
      <c r="C239" s="346"/>
      <c r="D239" s="343" t="str">
        <f>_xlfn.TEXTJOIN("_",FALSE,E239,ERP_8[[#This Row],[Expense Category]],ERP_8[[#This Row],[Project Code*]])</f>
        <v>Dougherty, Chris_MANAGED SERVICES_IT-FBT0587-OG-US-00</v>
      </c>
      <c r="E239" s="343" t="s">
        <v>1135</v>
      </c>
      <c r="F239" s="346"/>
      <c r="G239" s="150" t="s">
        <v>1136</v>
      </c>
      <c r="H239" s="150" t="s">
        <v>1135</v>
      </c>
      <c r="I239" s="150" t="s">
        <v>1165</v>
      </c>
      <c r="J239" s="150" t="s">
        <v>1137</v>
      </c>
      <c r="K239" s="511" t="s">
        <v>389</v>
      </c>
      <c r="L239" s="392" t="s">
        <v>1844</v>
      </c>
      <c r="M239" s="343"/>
      <c r="N239" s="804">
        <v>2321403</v>
      </c>
      <c r="O239" s="70" t="s">
        <v>441</v>
      </c>
      <c r="P239" s="346"/>
      <c r="Q239" s="343"/>
      <c r="R239" s="346"/>
      <c r="S239" s="150" t="s">
        <v>57</v>
      </c>
      <c r="T239" s="150"/>
      <c r="U239" s="403"/>
      <c r="V239" s="406">
        <v>10599.999996000004</v>
      </c>
      <c r="W239" s="406">
        <v>0</v>
      </c>
      <c r="X239" s="425"/>
      <c r="Y239" s="71"/>
      <c r="Z239" s="784"/>
      <c r="AA239" s="794"/>
      <c r="AB239" s="794"/>
      <c r="AC239" s="428" t="s">
        <v>1142</v>
      </c>
      <c r="AD239" s="429">
        <v>0</v>
      </c>
      <c r="AE239" s="429">
        <v>0</v>
      </c>
      <c r="AF239" s="429" t="s">
        <v>1142</v>
      </c>
      <c r="AG239" s="363">
        <v>0</v>
      </c>
      <c r="AH239" s="363">
        <v>0</v>
      </c>
      <c r="AI239" s="363">
        <v>0</v>
      </c>
      <c r="AJ239" s="363">
        <v>0</v>
      </c>
      <c r="AK239" s="363">
        <v>0</v>
      </c>
      <c r="AL239" s="360">
        <f t="shared" si="14"/>
        <v>0</v>
      </c>
      <c r="AM239" s="362">
        <f>ERP_8[[#This Row],[2026 Working Total]]-ERP_8[[#This Row],[LE2 Final Submission]]</f>
        <v>0</v>
      </c>
      <c r="AN239" s="79">
        <v>0</v>
      </c>
      <c r="AO239" s="79">
        <f t="shared" si="15"/>
        <v>0</v>
      </c>
      <c r="AP239" s="374">
        <f>SUM(ERP_8[[#This Row],[AP01]:[AP07]])-SUM(ERP_8[[#This Row],[AP01 LE2]:[AP07 LE2]])</f>
        <v>0</v>
      </c>
      <c r="AQ239" s="80">
        <v>-10600</v>
      </c>
      <c r="AR239" s="79">
        <f>ERP_8[[#This Row],[2026 Working Total to Budget/LE]]-ERP_8[[#This Row],[Giveback]]</f>
        <v>10600</v>
      </c>
      <c r="AS239" s="81"/>
      <c r="AT239" s="375"/>
      <c r="AU239" s="375"/>
      <c r="AV239" s="375"/>
      <c r="AW239" s="375">
        <v>0</v>
      </c>
      <c r="AX239" s="375">
        <v>0</v>
      </c>
      <c r="AY239" s="375">
        <v>0</v>
      </c>
      <c r="AZ239" s="375">
        <v>0</v>
      </c>
      <c r="BA239" s="375">
        <v>0</v>
      </c>
      <c r="BB239" s="375">
        <v>0</v>
      </c>
      <c r="BC239" s="375">
        <v>0</v>
      </c>
      <c r="BD239" s="375">
        <v>0</v>
      </c>
      <c r="BE239" s="375">
        <v>0</v>
      </c>
      <c r="BF239" s="375">
        <v>0</v>
      </c>
      <c r="BG239" s="79"/>
      <c r="BH239" s="79"/>
      <c r="BI239" s="79"/>
      <c r="BJ239" s="79">
        <v>883.33333300000004</v>
      </c>
      <c r="BK239" s="79">
        <v>883.33333300000004</v>
      </c>
      <c r="BL239" s="79">
        <v>883.33333300000004</v>
      </c>
      <c r="BM239" s="79">
        <v>883.33333300000004</v>
      </c>
      <c r="BN239" s="79">
        <v>883.33333300000004</v>
      </c>
      <c r="BO239" s="79">
        <v>883.33333300000004</v>
      </c>
      <c r="BP239" s="79">
        <v>883.33333300000004</v>
      </c>
      <c r="BQ239" s="79">
        <v>883.33333300000004</v>
      </c>
      <c r="BR239" s="79">
        <v>883.33333300000004</v>
      </c>
      <c r="BS239" s="79">
        <v>7949.9999970000026</v>
      </c>
    </row>
    <row r="240" spans="1:71" ht="15" hidden="1" customHeight="1">
      <c r="A240" s="66" t="s">
        <v>1847</v>
      </c>
      <c r="B240" s="737" t="s">
        <v>1848</v>
      </c>
      <c r="C240" s="346"/>
      <c r="D240" s="343" t="str">
        <f>_xlfn.TEXTJOIN("_",FALSE,E240,ERP_8[[#This Row],[Expense Category]],ERP_8[[#This Row],[Project Code*]])</f>
        <v>Dougherty, Chris_MANAGED SERVICES_IT-FBT0588-OG-US-00</v>
      </c>
      <c r="E240" s="343" t="s">
        <v>1135</v>
      </c>
      <c r="F240" s="346"/>
      <c r="G240" s="150" t="s">
        <v>1136</v>
      </c>
      <c r="H240" s="150" t="s">
        <v>1135</v>
      </c>
      <c r="I240" s="150" t="s">
        <v>1165</v>
      </c>
      <c r="J240" s="150" t="s">
        <v>1137</v>
      </c>
      <c r="K240" s="511" t="s">
        <v>389</v>
      </c>
      <c r="L240" s="392" t="s">
        <v>1849</v>
      </c>
      <c r="M240" s="343"/>
      <c r="N240" s="800"/>
      <c r="O240" s="70" t="s">
        <v>443</v>
      </c>
      <c r="P240" s="346"/>
      <c r="Q240" s="343"/>
      <c r="R240" s="346"/>
      <c r="S240" s="150" t="s">
        <v>57</v>
      </c>
      <c r="T240" s="150"/>
      <c r="U240" s="403"/>
      <c r="V240" s="406">
        <v>10599.999996000004</v>
      </c>
      <c r="W240" s="406">
        <v>10595.639997000004</v>
      </c>
      <c r="X240" s="425"/>
      <c r="Y240" s="425"/>
      <c r="Z240" s="784">
        <v>881.88</v>
      </c>
      <c r="AA240" s="784">
        <v>881.88</v>
      </c>
      <c r="AB240" s="784">
        <v>881.88</v>
      </c>
      <c r="AC240" s="714">
        <v>881.88</v>
      </c>
      <c r="AD240" s="714">
        <v>881.88</v>
      </c>
      <c r="AE240" s="429">
        <v>881.88</v>
      </c>
      <c r="AF240" s="429">
        <v>881.88</v>
      </c>
      <c r="AG240" s="363">
        <v>883.33333300000004</v>
      </c>
      <c r="AH240" s="363">
        <v>883.33333300000004</v>
      </c>
      <c r="AI240" s="363">
        <v>883.33333300000004</v>
      </c>
      <c r="AJ240" s="363">
        <v>883.33333300000004</v>
      </c>
      <c r="AK240" s="363">
        <v>883.33333300000004</v>
      </c>
      <c r="AL240" s="360">
        <f t="shared" si="14"/>
        <v>10589.826665000002</v>
      </c>
      <c r="AM240" s="362">
        <f>ERP_8[[#This Row],[2026 Working Total]]-ERP_8[[#This Row],[LE2 Final Submission]]</f>
        <v>-5.8133320000015374</v>
      </c>
      <c r="AN240" s="79">
        <v>883.33333300000004</v>
      </c>
      <c r="AO240" s="79">
        <f t="shared" si="15"/>
        <v>-1.4533330000000433</v>
      </c>
      <c r="AP240" s="374">
        <f>SUM(ERP_8[[#This Row],[AP01]:[AP07]])-SUM(ERP_8[[#This Row],[AP01 LE2]:[AP07 LE2]])</f>
        <v>-5.8133320000015374</v>
      </c>
      <c r="AQ240" s="80"/>
      <c r="AR240" s="79">
        <f>ERP_8[[#This Row],[2026 Working Total to Budget/LE]]-ERP_8[[#This Row],[Giveback]]</f>
        <v>-5.8133320000015374</v>
      </c>
      <c r="AS240" s="81"/>
      <c r="AT240" s="375">
        <v>881.88</v>
      </c>
      <c r="AU240" s="375">
        <v>881.88</v>
      </c>
      <c r="AV240" s="375">
        <v>881.88</v>
      </c>
      <c r="AW240" s="375">
        <v>883.33333300000004</v>
      </c>
      <c r="AX240" s="375">
        <v>883.33333300000004</v>
      </c>
      <c r="AY240" s="375">
        <v>883.33333300000004</v>
      </c>
      <c r="AZ240" s="375">
        <v>883.33333300000004</v>
      </c>
      <c r="BA240" s="375">
        <v>883.33333300000004</v>
      </c>
      <c r="BB240" s="375">
        <v>883.33333300000004</v>
      </c>
      <c r="BC240" s="375">
        <v>883.33333300000004</v>
      </c>
      <c r="BD240" s="375">
        <v>883.33333300000004</v>
      </c>
      <c r="BE240" s="375">
        <v>883.33333300000004</v>
      </c>
      <c r="BF240" s="375">
        <v>10595.639997000004</v>
      </c>
      <c r="BG240" s="79">
        <v>881.88</v>
      </c>
      <c r="BH240" s="79">
        <v>881.88</v>
      </c>
      <c r="BI240" s="79">
        <v>881.88</v>
      </c>
      <c r="BJ240" s="79">
        <v>883.33333300000004</v>
      </c>
      <c r="BK240" s="79">
        <v>883.33333300000004</v>
      </c>
      <c r="BL240" s="79">
        <v>883.33333300000004</v>
      </c>
      <c r="BM240" s="79">
        <v>883.33333300000004</v>
      </c>
      <c r="BN240" s="79">
        <v>883.33333300000004</v>
      </c>
      <c r="BO240" s="79">
        <v>883.33333300000004</v>
      </c>
      <c r="BP240" s="79">
        <v>883.33333300000004</v>
      </c>
      <c r="BQ240" s="79">
        <v>883.33333300000004</v>
      </c>
      <c r="BR240" s="79">
        <v>883.33333300000004</v>
      </c>
      <c r="BS240" s="79">
        <v>10595.639997000004</v>
      </c>
    </row>
    <row r="241" spans="1:71" ht="15" hidden="1" customHeight="1">
      <c r="A241" s="66" t="s">
        <v>1850</v>
      </c>
      <c r="B241" s="737" t="s">
        <v>1851</v>
      </c>
      <c r="C241" s="346"/>
      <c r="D241" s="343" t="str">
        <f>_xlfn.TEXTJOIN("_",FALSE,E241,ERP_8[[#This Row],[Expense Category]],ERP_8[[#This Row],[Project Code*]])</f>
        <v>Dougherty, Chris_MANAGED SERVICES_IT-FBT0638-OG-JP-00</v>
      </c>
      <c r="E241" s="343" t="s">
        <v>1135</v>
      </c>
      <c r="F241" s="346"/>
      <c r="G241" s="150" t="s">
        <v>1136</v>
      </c>
      <c r="H241" s="150" t="s">
        <v>1135</v>
      </c>
      <c r="I241" s="150" t="s">
        <v>1165</v>
      </c>
      <c r="J241" s="150" t="s">
        <v>1137</v>
      </c>
      <c r="K241" s="511" t="s">
        <v>389</v>
      </c>
      <c r="L241" s="392" t="s">
        <v>1852</v>
      </c>
      <c r="M241" s="343"/>
      <c r="N241" s="804">
        <v>2430238</v>
      </c>
      <c r="O241" s="70" t="s">
        <v>445</v>
      </c>
      <c r="P241" s="346"/>
      <c r="Q241" s="343"/>
      <c r="R241" s="346"/>
      <c r="S241" s="150" t="s">
        <v>434</v>
      </c>
      <c r="T241" s="150"/>
      <c r="U241" s="403"/>
      <c r="V241" s="406">
        <v>132431.04000000001</v>
      </c>
      <c r="W241" s="406">
        <v>123849.26</v>
      </c>
      <c r="X241" s="425"/>
      <c r="Y241" s="71"/>
      <c r="Z241" s="784">
        <v>10548.89</v>
      </c>
      <c r="AA241" s="794">
        <v>8790.74</v>
      </c>
      <c r="AB241" s="794">
        <v>9845.6299999999992</v>
      </c>
      <c r="AC241" s="428">
        <v>12307.019999999999</v>
      </c>
      <c r="AD241" s="429">
        <v>9845.619999999999</v>
      </c>
      <c r="AE241" s="429">
        <v>9845.64</v>
      </c>
      <c r="AF241" s="429">
        <v>12307.039999999999</v>
      </c>
      <c r="AG241" s="363">
        <v>10296</v>
      </c>
      <c r="AH241" s="363">
        <v>10296</v>
      </c>
      <c r="AI241" s="363">
        <v>10296</v>
      </c>
      <c r="AJ241" s="363">
        <v>10296</v>
      </c>
      <c r="AK241" s="363">
        <v>10296</v>
      </c>
      <c r="AL241" s="360">
        <f t="shared" si="14"/>
        <v>124970.57999999999</v>
      </c>
      <c r="AM241" s="362">
        <f>ERP_8[[#This Row],[2026 Working Total]]-ERP_8[[#This Row],[LE2 Final Submission]]</f>
        <v>1121.3199999999924</v>
      </c>
      <c r="AN241" s="79">
        <v>10296</v>
      </c>
      <c r="AO241" s="79">
        <f t="shared" si="15"/>
        <v>-450.36000000000058</v>
      </c>
      <c r="AP241" s="374">
        <f>SUM(ERP_8[[#This Row],[AP01]:[AP07]])-SUM(ERP_8[[#This Row],[AP01 LE2]:[AP07 LE2]])</f>
        <v>1121.3199999999924</v>
      </c>
      <c r="AQ241" s="80"/>
      <c r="AR241" s="79">
        <f>ERP_8[[#This Row],[2026 Working Total to Budget/LE]]-ERP_8[[#This Row],[Giveback]]</f>
        <v>1121.3199999999924</v>
      </c>
      <c r="AS241" s="81"/>
      <c r="AT241" s="375">
        <v>10548.89</v>
      </c>
      <c r="AU241" s="375">
        <v>8790.74</v>
      </c>
      <c r="AV241" s="375">
        <v>9845.6299999999992</v>
      </c>
      <c r="AW241" s="375">
        <v>12296</v>
      </c>
      <c r="AX241" s="375">
        <v>10296</v>
      </c>
      <c r="AY241" s="375">
        <v>10296</v>
      </c>
      <c r="AZ241" s="375">
        <v>10296</v>
      </c>
      <c r="BA241" s="375">
        <v>10296</v>
      </c>
      <c r="BB241" s="375">
        <v>10296</v>
      </c>
      <c r="BC241" s="375">
        <v>10296</v>
      </c>
      <c r="BD241" s="375">
        <v>10296</v>
      </c>
      <c r="BE241" s="375">
        <v>10296</v>
      </c>
      <c r="BF241" s="375">
        <v>123849.26</v>
      </c>
      <c r="BG241" s="79">
        <v>10548.89</v>
      </c>
      <c r="BH241" s="79">
        <v>8790.74</v>
      </c>
      <c r="BI241" s="79">
        <v>9845.6299999999992</v>
      </c>
      <c r="BJ241" s="79">
        <v>11035.92</v>
      </c>
      <c r="BK241" s="79">
        <v>11035.92</v>
      </c>
      <c r="BL241" s="79">
        <v>11035.92</v>
      </c>
      <c r="BM241" s="79">
        <v>11035.92</v>
      </c>
      <c r="BN241" s="79">
        <v>11035.92</v>
      </c>
      <c r="BO241" s="79">
        <v>11035.92</v>
      </c>
      <c r="BP241" s="79">
        <v>11035.92</v>
      </c>
      <c r="BQ241" s="79">
        <v>11035.92</v>
      </c>
      <c r="BR241" s="79">
        <v>11035.92</v>
      </c>
      <c r="BS241" s="79">
        <v>128508.53999999998</v>
      </c>
    </row>
    <row r="242" spans="1:71" ht="15" hidden="1" customHeight="1">
      <c r="A242" s="79" t="s">
        <v>1853</v>
      </c>
      <c r="B242" s="749" t="s">
        <v>1854</v>
      </c>
      <c r="C242" s="348"/>
      <c r="D242" s="347" t="str">
        <f>_xlfn.TEXTJOIN("_",FALSE,E242,ERP_8[[#This Row],[Expense Category]],ERP_8[[#This Row],[Project Code*]])</f>
        <v>Dougherty, Chris_MANAGED SERVICES_IT-FBT0651-OG-US-00</v>
      </c>
      <c r="E242" s="347" t="s">
        <v>1135</v>
      </c>
      <c r="F242" s="348"/>
      <c r="G242" s="150" t="s">
        <v>1136</v>
      </c>
      <c r="H242" s="332" t="s">
        <v>1135</v>
      </c>
      <c r="I242" s="383" t="s">
        <v>1137</v>
      </c>
      <c r="J242" s="331" t="s">
        <v>1137</v>
      </c>
      <c r="K242" s="512" t="s">
        <v>389</v>
      </c>
      <c r="L242" s="393" t="s">
        <v>1855</v>
      </c>
      <c r="M242" s="343"/>
      <c r="N242" s="803"/>
      <c r="O242" s="91" t="s">
        <v>447</v>
      </c>
      <c r="P242" s="343"/>
      <c r="Q242" s="346" t="s">
        <v>1221</v>
      </c>
      <c r="R242" s="348"/>
      <c r="S242" s="386" t="s">
        <v>57</v>
      </c>
      <c r="T242" s="387" t="s">
        <v>1856</v>
      </c>
      <c r="U242" s="432"/>
      <c r="V242" s="358">
        <v>6000</v>
      </c>
      <c r="W242" s="378">
        <v>4500</v>
      </c>
      <c r="X242" s="425"/>
      <c r="Y242" s="71"/>
      <c r="Z242" s="783"/>
      <c r="AA242" s="781"/>
      <c r="AB242" s="781"/>
      <c r="AC242" s="428" t="s">
        <v>1142</v>
      </c>
      <c r="AD242" s="429">
        <v>0</v>
      </c>
      <c r="AE242" s="429">
        <v>0</v>
      </c>
      <c r="AF242" s="429" t="s">
        <v>1142</v>
      </c>
      <c r="AG242" s="388">
        <v>500</v>
      </c>
      <c r="AH242" s="388">
        <v>500</v>
      </c>
      <c r="AI242" s="388">
        <v>500</v>
      </c>
      <c r="AJ242" s="388">
        <v>500</v>
      </c>
      <c r="AK242" s="388">
        <v>500</v>
      </c>
      <c r="AL242" s="360">
        <f t="shared" si="14"/>
        <v>2500</v>
      </c>
      <c r="AM242" s="362">
        <f>ERP_8[[#This Row],[2026 Working Total]]-ERP_8[[#This Row],[LE2 Final Submission]]</f>
        <v>-2000</v>
      </c>
      <c r="AN242" s="79">
        <v>500</v>
      </c>
      <c r="AO242" s="79">
        <f t="shared" si="15"/>
        <v>-500</v>
      </c>
      <c r="AP242" s="374">
        <f>SUM(ERP_8[[#This Row],[AP01]:[AP07]])-SUM(ERP_8[[#This Row],[AP01 LE2]:[AP07 LE2]])</f>
        <v>-2000</v>
      </c>
      <c r="AQ242" s="80"/>
      <c r="AR242" s="79">
        <f>ERP_8[[#This Row],[2026 Working Total to Budget/LE]]-ERP_8[[#This Row],[Giveback]]</f>
        <v>-2000</v>
      </c>
      <c r="AS242" s="81"/>
      <c r="AT242" s="375"/>
      <c r="AU242" s="375"/>
      <c r="AV242" s="375"/>
      <c r="AW242" s="375">
        <v>500</v>
      </c>
      <c r="AX242" s="375">
        <v>500</v>
      </c>
      <c r="AY242" s="375">
        <v>500</v>
      </c>
      <c r="AZ242" s="375">
        <v>500</v>
      </c>
      <c r="BA242" s="375">
        <v>500</v>
      </c>
      <c r="BB242" s="375">
        <v>500</v>
      </c>
      <c r="BC242" s="375">
        <v>500</v>
      </c>
      <c r="BD242" s="375">
        <v>500</v>
      </c>
      <c r="BE242" s="375">
        <v>500</v>
      </c>
      <c r="BF242" s="375">
        <v>4500</v>
      </c>
      <c r="BG242" s="103">
        <v>500</v>
      </c>
      <c r="BH242" s="103">
        <v>500</v>
      </c>
      <c r="BI242" s="103">
        <v>500</v>
      </c>
      <c r="BJ242" s="103">
        <v>500</v>
      </c>
      <c r="BK242" s="103">
        <v>500</v>
      </c>
      <c r="BL242" s="103">
        <v>500</v>
      </c>
      <c r="BM242" s="103">
        <v>500</v>
      </c>
      <c r="BN242" s="103">
        <v>500</v>
      </c>
      <c r="BO242" s="103">
        <v>500</v>
      </c>
      <c r="BP242" s="103">
        <v>500</v>
      </c>
      <c r="BQ242" s="103">
        <v>500</v>
      </c>
      <c r="BR242" s="103">
        <v>500</v>
      </c>
      <c r="BS242" s="79">
        <f>SUM(ERP_8[[#This Row],[2026 AP01]:[2026 AP12]])</f>
        <v>6000</v>
      </c>
    </row>
    <row r="243" spans="1:71" ht="15" hidden="1" customHeight="1">
      <c r="A243" s="66" t="s">
        <v>1857</v>
      </c>
      <c r="B243" s="737" t="s">
        <v>448</v>
      </c>
      <c r="C243" s="346"/>
      <c r="D243" s="343" t="str">
        <f>_xlfn.TEXTJOIN("_",FALSE,E243,ERP_8[[#This Row],[Expense Category]],ERP_8[[#This Row],[Project Code*]])</f>
        <v>Dougherty, Chris_MANAGED SERVICES_IT-FBT0665-OG-US-00</v>
      </c>
      <c r="E243" s="343" t="s">
        <v>1135</v>
      </c>
      <c r="F243" s="346"/>
      <c r="G243" s="150" t="s">
        <v>1136</v>
      </c>
      <c r="H243" s="150" t="s">
        <v>1135</v>
      </c>
      <c r="I243" s="150" t="s">
        <v>1135</v>
      </c>
      <c r="J243" s="150" t="s">
        <v>1137</v>
      </c>
      <c r="K243" s="511" t="s">
        <v>389</v>
      </c>
      <c r="L243" s="392" t="s">
        <v>1858</v>
      </c>
      <c r="M243" s="343"/>
      <c r="N243" s="800"/>
      <c r="O243" s="70" t="s">
        <v>449</v>
      </c>
      <c r="P243" s="346"/>
      <c r="Q243" s="346" t="s">
        <v>1140</v>
      </c>
      <c r="R243" s="346"/>
      <c r="S243" s="150" t="s">
        <v>57</v>
      </c>
      <c r="T243" s="150"/>
      <c r="U243" s="403"/>
      <c r="V243" s="406">
        <v>0</v>
      </c>
      <c r="W243" s="406">
        <v>9126</v>
      </c>
      <c r="X243" s="425"/>
      <c r="Y243" s="71"/>
      <c r="Z243" s="784"/>
      <c r="AA243" s="780"/>
      <c r="AB243" s="780"/>
      <c r="AC243" s="428" t="s">
        <v>1142</v>
      </c>
      <c r="AD243" s="429">
        <v>0</v>
      </c>
      <c r="AE243" s="429">
        <v>0</v>
      </c>
      <c r="AF243" s="429" t="s">
        <v>1142</v>
      </c>
      <c r="AG243" s="363">
        <v>1565</v>
      </c>
      <c r="AH243" s="363">
        <v>1565</v>
      </c>
      <c r="AI243" s="363">
        <v>1565</v>
      </c>
      <c r="AJ243" s="363">
        <v>1565</v>
      </c>
      <c r="AK243" s="363">
        <v>1565</v>
      </c>
      <c r="AL243" s="360">
        <f t="shared" si="14"/>
        <v>7825</v>
      </c>
      <c r="AM243" s="362">
        <f>ERP_8[[#This Row],[2026 Working Total]]-ERP_8[[#This Row],[LE2 Final Submission]]</f>
        <v>-1301</v>
      </c>
      <c r="AN243" s="79">
        <v>1300</v>
      </c>
      <c r="AO243" s="79">
        <f t="shared" si="15"/>
        <v>-1300</v>
      </c>
      <c r="AP243" s="374">
        <f>SUM(ERP_8[[#This Row],[AP01]:[AP07]])-SUM(ERP_8[[#This Row],[AP01 LE2]:[AP07 LE2]])</f>
        <v>-4056</v>
      </c>
      <c r="AQ243" s="80"/>
      <c r="AR243" s="79">
        <f>ERP_8[[#This Row],[2026 Working Total to Budget/LE]]-ERP_8[[#This Row],[Giveback]]</f>
        <v>-1301</v>
      </c>
      <c r="AS243" s="81"/>
      <c r="AT243" s="375"/>
      <c r="AU243" s="375"/>
      <c r="AV243" s="375"/>
      <c r="AW243" s="375">
        <v>1014</v>
      </c>
      <c r="AX243" s="375">
        <v>1014</v>
      </c>
      <c r="AY243" s="375">
        <v>1014</v>
      </c>
      <c r="AZ243" s="375">
        <v>1014</v>
      </c>
      <c r="BA243" s="375">
        <v>1014</v>
      </c>
      <c r="BB243" s="375">
        <v>1014</v>
      </c>
      <c r="BC243" s="375">
        <v>1014</v>
      </c>
      <c r="BD243" s="375">
        <v>1014</v>
      </c>
      <c r="BE243" s="375">
        <v>1014</v>
      </c>
      <c r="BF243" s="375">
        <v>9126</v>
      </c>
      <c r="BG243" s="79"/>
      <c r="BH243" s="79"/>
      <c r="BI243" s="79"/>
      <c r="BJ243" s="79">
        <v>1014</v>
      </c>
      <c r="BK243" s="79">
        <v>1014</v>
      </c>
      <c r="BL243" s="79">
        <v>1014</v>
      </c>
      <c r="BM243" s="79">
        <v>1014</v>
      </c>
      <c r="BN243" s="79">
        <v>1014</v>
      </c>
      <c r="BO243" s="79">
        <v>1014</v>
      </c>
      <c r="BP243" s="79">
        <v>1014</v>
      </c>
      <c r="BQ243" s="79">
        <v>1014</v>
      </c>
      <c r="BR243" s="79">
        <v>1014</v>
      </c>
      <c r="BS243" s="79">
        <v>9126</v>
      </c>
    </row>
    <row r="244" spans="1:71" ht="15" hidden="1" customHeight="1">
      <c r="A244" s="66" t="s">
        <v>1859</v>
      </c>
      <c r="B244" s="737" t="s">
        <v>1860</v>
      </c>
      <c r="C244" s="346"/>
      <c r="D244" s="343" t="str">
        <f>_xlfn.TEXTJOIN("_",FALSE,E244,ERP_8[[#This Row],[Expense Category]],ERP_8[[#This Row],[Project Code*]])</f>
        <v>Dougherty, Chris_MANAGED SERVICES_IT-FBT0665-OG-US-00</v>
      </c>
      <c r="E244" s="343" t="s">
        <v>1135</v>
      </c>
      <c r="F244" s="346"/>
      <c r="G244" s="150" t="s">
        <v>1136</v>
      </c>
      <c r="H244" s="150" t="s">
        <v>1135</v>
      </c>
      <c r="I244" s="150" t="s">
        <v>1165</v>
      </c>
      <c r="J244" s="150" t="s">
        <v>1137</v>
      </c>
      <c r="K244" s="511" t="s">
        <v>389</v>
      </c>
      <c r="L244" s="392" t="s">
        <v>1858</v>
      </c>
      <c r="M244" s="343"/>
      <c r="N244" s="804">
        <v>2321403</v>
      </c>
      <c r="O244" s="70" t="s">
        <v>449</v>
      </c>
      <c r="P244" s="346"/>
      <c r="Q244" s="346" t="s">
        <v>1140</v>
      </c>
      <c r="R244" s="346"/>
      <c r="S244" s="150" t="s">
        <v>57</v>
      </c>
      <c r="T244" s="150"/>
      <c r="U244" s="403"/>
      <c r="V244" s="406">
        <v>12168</v>
      </c>
      <c r="W244" s="406">
        <v>9604.119999999999</v>
      </c>
      <c r="X244" s="425"/>
      <c r="Y244" s="71"/>
      <c r="Z244" s="784">
        <v>243.06</v>
      </c>
      <c r="AA244" s="794">
        <v>235.06</v>
      </c>
      <c r="AB244" s="794">
        <v>0</v>
      </c>
      <c r="AC244" s="428">
        <v>527.16999999999996</v>
      </c>
      <c r="AD244" s="429">
        <v>288.64999999999998</v>
      </c>
      <c r="AE244" s="429">
        <v>209.08999999999997</v>
      </c>
      <c r="AF244" s="429">
        <v>205.04</v>
      </c>
      <c r="AG244" s="363">
        <v>1014</v>
      </c>
      <c r="AH244" s="363">
        <v>1014</v>
      </c>
      <c r="AI244" s="363">
        <v>1014</v>
      </c>
      <c r="AJ244" s="363">
        <v>1014</v>
      </c>
      <c r="AK244" s="363">
        <v>1014</v>
      </c>
      <c r="AL244" s="360">
        <f t="shared" si="14"/>
        <v>6778.07</v>
      </c>
      <c r="AM244" s="362">
        <f>ERP_8[[#This Row],[2026 Working Total]]-ERP_8[[#This Row],[LE2 Final Submission]]</f>
        <v>-2826.0499999999993</v>
      </c>
      <c r="AN244" s="79">
        <v>1014</v>
      </c>
      <c r="AO244" s="79">
        <f t="shared" si="15"/>
        <v>-804.91000000000008</v>
      </c>
      <c r="AP244" s="374">
        <f>SUM(ERP_8[[#This Row],[AP01]:[AP07]])-SUM(ERP_8[[#This Row],[AP01 LE2]:[AP07 LE2]])</f>
        <v>-2826.05</v>
      </c>
      <c r="AQ244" s="80"/>
      <c r="AR244" s="79">
        <f>ERP_8[[#This Row],[2026 Working Total to Budget/LE]]-ERP_8[[#This Row],[Giveback]]</f>
        <v>-2826.0499999999993</v>
      </c>
      <c r="AS244" s="81"/>
      <c r="AT244" s="375">
        <v>243.06</v>
      </c>
      <c r="AU244" s="375">
        <v>235.06</v>
      </c>
      <c r="AV244" s="375">
        <v>0</v>
      </c>
      <c r="AW244" s="375">
        <v>1014</v>
      </c>
      <c r="AX244" s="375">
        <v>1014</v>
      </c>
      <c r="AY244" s="375">
        <v>1014</v>
      </c>
      <c r="AZ244" s="375">
        <v>1014</v>
      </c>
      <c r="BA244" s="375">
        <v>1014</v>
      </c>
      <c r="BB244" s="375">
        <v>1014</v>
      </c>
      <c r="BC244" s="375">
        <v>1014</v>
      </c>
      <c r="BD244" s="375">
        <v>1014</v>
      </c>
      <c r="BE244" s="375">
        <v>1014</v>
      </c>
      <c r="BF244" s="375">
        <v>9604.119999999999</v>
      </c>
      <c r="BG244" s="79">
        <v>243.06</v>
      </c>
      <c r="BH244" s="79">
        <v>235.06</v>
      </c>
      <c r="BI244" s="79">
        <v>0</v>
      </c>
      <c r="BJ244" s="79">
        <v>1014</v>
      </c>
      <c r="BK244" s="79">
        <v>1014</v>
      </c>
      <c r="BL244" s="79">
        <v>1014</v>
      </c>
      <c r="BM244" s="79">
        <v>1014</v>
      </c>
      <c r="BN244" s="79">
        <v>1014</v>
      </c>
      <c r="BO244" s="79">
        <v>1014</v>
      </c>
      <c r="BP244" s="79">
        <v>1014</v>
      </c>
      <c r="BQ244" s="79">
        <v>1014</v>
      </c>
      <c r="BR244" s="79">
        <v>1014</v>
      </c>
      <c r="BS244" s="79">
        <v>9604.119999999999</v>
      </c>
    </row>
    <row r="245" spans="1:71" ht="15" hidden="1" customHeight="1">
      <c r="A245" s="66" t="s">
        <v>1861</v>
      </c>
      <c r="B245" s="737" t="s">
        <v>1862</v>
      </c>
      <c r="C245" s="346"/>
      <c r="D245" s="343" t="str">
        <f>_xlfn.TEXTJOIN("_",FALSE,E245,ERP_8[[#This Row],[Expense Category]],ERP_8[[#This Row],[Project Code*]])</f>
        <v>Dougherty, Chris_MANAGED SERVICES_IT-FBT0675-OG-US-00</v>
      </c>
      <c r="E245" s="343" t="s">
        <v>1135</v>
      </c>
      <c r="F245" s="346"/>
      <c r="G245" s="150" t="s">
        <v>1136</v>
      </c>
      <c r="H245" s="150" t="s">
        <v>1135</v>
      </c>
      <c r="I245" s="150" t="s">
        <v>1165</v>
      </c>
      <c r="J245" s="150" t="s">
        <v>1137</v>
      </c>
      <c r="K245" s="511" t="s">
        <v>389</v>
      </c>
      <c r="L245" s="392" t="s">
        <v>1863</v>
      </c>
      <c r="M245" s="343"/>
      <c r="N245" s="804">
        <v>2320843</v>
      </c>
      <c r="O245" s="70" t="s">
        <v>451</v>
      </c>
      <c r="P245" s="346"/>
      <c r="Q245" s="346" t="s">
        <v>1140</v>
      </c>
      <c r="R245" s="346"/>
      <c r="S245" s="150" t="s">
        <v>57</v>
      </c>
      <c r="T245" s="150"/>
      <c r="U245" s="403"/>
      <c r="V245" s="406">
        <v>26558.000004000005</v>
      </c>
      <c r="W245" s="406">
        <v>24873.730003000001</v>
      </c>
      <c r="X245" s="425"/>
      <c r="Y245" s="71"/>
      <c r="Z245" s="784">
        <v>1680.68</v>
      </c>
      <c r="AA245" s="794">
        <v>1679.61</v>
      </c>
      <c r="AB245" s="794">
        <v>1594.94</v>
      </c>
      <c r="AC245" s="428">
        <v>1713.8500000000004</v>
      </c>
      <c r="AD245" s="429">
        <v>1788.77</v>
      </c>
      <c r="AE245" s="429">
        <v>1781.77</v>
      </c>
      <c r="AF245" s="429">
        <v>1642.42</v>
      </c>
      <c r="AG245" s="363">
        <v>2213.166667</v>
      </c>
      <c r="AH245" s="363">
        <v>2213.166667</v>
      </c>
      <c r="AI245" s="363">
        <v>2213.166667</v>
      </c>
      <c r="AJ245" s="363">
        <v>2213.166667</v>
      </c>
      <c r="AK245" s="363">
        <v>2213.166667</v>
      </c>
      <c r="AL245" s="360">
        <f t="shared" si="14"/>
        <v>22947.873335000004</v>
      </c>
      <c r="AM245" s="362">
        <f>ERP_8[[#This Row],[2026 Working Total]]-ERP_8[[#This Row],[LE2 Final Submission]]</f>
        <v>-1925.8566679999967</v>
      </c>
      <c r="AN245" s="79">
        <v>2213.166667</v>
      </c>
      <c r="AO245" s="79">
        <f t="shared" si="15"/>
        <v>-431.39666699999998</v>
      </c>
      <c r="AP245" s="374">
        <f>SUM(ERP_8[[#This Row],[AP01]:[AP07]])-SUM(ERP_8[[#This Row],[AP01 LE2]:[AP07 LE2]])</f>
        <v>-1925.8566679999967</v>
      </c>
      <c r="AQ245" s="80"/>
      <c r="AR245" s="79">
        <f>ERP_8[[#This Row],[2026 Working Total to Budget/LE]]-ERP_8[[#This Row],[Giveback]]</f>
        <v>-1925.8566679999967</v>
      </c>
      <c r="AS245" s="81"/>
      <c r="AT245" s="375">
        <v>1680.68</v>
      </c>
      <c r="AU245" s="375">
        <v>1679.61</v>
      </c>
      <c r="AV245" s="375">
        <v>1594.94</v>
      </c>
      <c r="AW245" s="375">
        <v>2213.166667</v>
      </c>
      <c r="AX245" s="375">
        <v>2213.166667</v>
      </c>
      <c r="AY245" s="375">
        <v>2213.166667</v>
      </c>
      <c r="AZ245" s="375">
        <v>2213.166667</v>
      </c>
      <c r="BA245" s="375">
        <v>2213.166667</v>
      </c>
      <c r="BB245" s="375">
        <v>2213.166667</v>
      </c>
      <c r="BC245" s="375">
        <v>2213.166667</v>
      </c>
      <c r="BD245" s="375">
        <v>2213.166667</v>
      </c>
      <c r="BE245" s="375">
        <v>2213.166667</v>
      </c>
      <c r="BF245" s="375">
        <v>24873.730003000001</v>
      </c>
      <c r="BG245" s="79">
        <v>1680.68</v>
      </c>
      <c r="BH245" s="79">
        <v>1679.61</v>
      </c>
      <c r="BI245" s="79">
        <v>1594.94</v>
      </c>
      <c r="BJ245" s="79">
        <v>2213.166667</v>
      </c>
      <c r="BK245" s="79">
        <v>2213.166667</v>
      </c>
      <c r="BL245" s="79">
        <v>2213.166667</v>
      </c>
      <c r="BM245" s="79">
        <v>2213.166667</v>
      </c>
      <c r="BN245" s="79">
        <v>2213.166667</v>
      </c>
      <c r="BO245" s="79">
        <v>2213.166667</v>
      </c>
      <c r="BP245" s="79">
        <v>2213.166667</v>
      </c>
      <c r="BQ245" s="79">
        <v>2213.166667</v>
      </c>
      <c r="BR245" s="79">
        <v>2213.166667</v>
      </c>
      <c r="BS245" s="79">
        <v>24873.730003000001</v>
      </c>
    </row>
    <row r="246" spans="1:71" ht="15" hidden="1" customHeight="1">
      <c r="A246" s="66" t="s">
        <v>1864</v>
      </c>
      <c r="B246" s="737" t="s">
        <v>452</v>
      </c>
      <c r="C246" s="346"/>
      <c r="D246" s="343" t="str">
        <f>_xlfn.TEXTJOIN("_",FALSE,E246,ERP_8[[#This Row],[Expense Category]],ERP_8[[#This Row],[Project Code*]])</f>
        <v>Dougherty, Chris_MANAGED SERVICES_IT-FBT0693-OG-US-00</v>
      </c>
      <c r="E246" s="343" t="s">
        <v>1135</v>
      </c>
      <c r="F246" s="346"/>
      <c r="G246" s="150" t="s">
        <v>1136</v>
      </c>
      <c r="H246" s="150" t="s">
        <v>1135</v>
      </c>
      <c r="I246" s="150" t="s">
        <v>1135</v>
      </c>
      <c r="J246" s="150" t="s">
        <v>1137</v>
      </c>
      <c r="K246" s="511" t="s">
        <v>389</v>
      </c>
      <c r="L246" s="392" t="s">
        <v>1863</v>
      </c>
      <c r="M246" s="343"/>
      <c r="N246" s="804">
        <v>2321402</v>
      </c>
      <c r="O246" s="70" t="s">
        <v>453</v>
      </c>
      <c r="P246" s="346"/>
      <c r="Q246" s="343"/>
      <c r="R246" s="346"/>
      <c r="S246" s="150" t="s">
        <v>57</v>
      </c>
      <c r="T246" s="150"/>
      <c r="U246" s="403"/>
      <c r="V246" s="406">
        <v>60000</v>
      </c>
      <c r="W246" s="406">
        <v>58916.17</v>
      </c>
      <c r="X246" s="430"/>
      <c r="Y246" s="137"/>
      <c r="Z246" s="784">
        <v>5046.78</v>
      </c>
      <c r="AA246" s="780">
        <v>4733.08</v>
      </c>
      <c r="AB246" s="780">
        <v>4136.3100000000004</v>
      </c>
      <c r="AC246" s="428">
        <v>1611.3500000000001</v>
      </c>
      <c r="AD246" s="429">
        <v>1548.42</v>
      </c>
      <c r="AE246" s="429">
        <v>448.77000000000004</v>
      </c>
      <c r="AF246" s="429">
        <v>421.67999999999995</v>
      </c>
      <c r="AG246" s="363">
        <v>6000</v>
      </c>
      <c r="AH246" s="363">
        <v>6000</v>
      </c>
      <c r="AI246" s="363">
        <v>6000</v>
      </c>
      <c r="AJ246" s="363">
        <v>6000</v>
      </c>
      <c r="AK246" s="363">
        <v>6000</v>
      </c>
      <c r="AL246" s="360">
        <f t="shared" si="14"/>
        <v>47946.39</v>
      </c>
      <c r="AM246" s="362">
        <f>ERP_8[[#This Row],[2026 Working Total]]-ERP_8[[#This Row],[LE2 Final Submission]]</f>
        <v>-10969.779999999999</v>
      </c>
      <c r="AN246" s="79">
        <v>5000</v>
      </c>
      <c r="AO246" s="79">
        <f t="shared" si="15"/>
        <v>-4551.2299999999996</v>
      </c>
      <c r="AP246" s="374">
        <f>SUM(ERP_8[[#This Row],[AP01]:[AP07]])-SUM(ERP_8[[#This Row],[AP01 LE2]:[AP07 LE2]])</f>
        <v>-15969.779999999995</v>
      </c>
      <c r="AQ246" s="80"/>
      <c r="AR246" s="79">
        <f>ERP_8[[#This Row],[2026 Working Total to Budget/LE]]-ERP_8[[#This Row],[Giveback]]</f>
        <v>-10969.779999999999</v>
      </c>
      <c r="AS246" s="81"/>
      <c r="AT246" s="375">
        <v>5046.78</v>
      </c>
      <c r="AU246" s="375">
        <v>4733.08</v>
      </c>
      <c r="AV246" s="375">
        <v>4136.3100000000004</v>
      </c>
      <c r="AW246" s="375">
        <v>5000</v>
      </c>
      <c r="AX246" s="375">
        <v>5000</v>
      </c>
      <c r="AY246" s="375">
        <v>5000</v>
      </c>
      <c r="AZ246" s="375">
        <v>5000</v>
      </c>
      <c r="BA246" s="375">
        <v>5000</v>
      </c>
      <c r="BB246" s="375">
        <v>5000</v>
      </c>
      <c r="BC246" s="375">
        <v>5000</v>
      </c>
      <c r="BD246" s="375">
        <v>5000</v>
      </c>
      <c r="BE246" s="375">
        <v>5000</v>
      </c>
      <c r="BF246" s="375">
        <v>58916.17</v>
      </c>
      <c r="BG246" s="79">
        <v>5046.78</v>
      </c>
      <c r="BH246" s="79">
        <v>4733.08</v>
      </c>
      <c r="BI246" s="79">
        <v>4136.3100000000004</v>
      </c>
      <c r="BJ246" s="79">
        <v>5000</v>
      </c>
      <c r="BK246" s="79">
        <v>5000</v>
      </c>
      <c r="BL246" s="79">
        <v>5000</v>
      </c>
      <c r="BM246" s="79">
        <v>5000</v>
      </c>
      <c r="BN246" s="79">
        <v>5000</v>
      </c>
      <c r="BO246" s="79">
        <v>5000</v>
      </c>
      <c r="BP246" s="79">
        <v>5000</v>
      </c>
      <c r="BQ246" s="79">
        <v>5000</v>
      </c>
      <c r="BR246" s="79">
        <v>5000</v>
      </c>
      <c r="BS246" s="79">
        <v>58916.17</v>
      </c>
    </row>
    <row r="247" spans="1:71" ht="15" hidden="1" customHeight="1">
      <c r="A247" s="66" t="s">
        <v>1865</v>
      </c>
      <c r="B247" s="737" t="s">
        <v>1866</v>
      </c>
      <c r="C247" s="346"/>
      <c r="D247" s="343" t="str">
        <f>_xlfn.TEXTJOIN("_",FALSE,E247,ERP_8[[#This Row],[Expense Category]],ERP_8[[#This Row],[Project Code*]])</f>
        <v>Dougherty, Chris_MANAGED SERVICES_IT-FBT0693-OG-US-00</v>
      </c>
      <c r="E247" s="343" t="s">
        <v>1135</v>
      </c>
      <c r="F247" s="346"/>
      <c r="G247" s="150" t="s">
        <v>1136</v>
      </c>
      <c r="H247" s="150" t="s">
        <v>1135</v>
      </c>
      <c r="I247" s="150" t="s">
        <v>1145</v>
      </c>
      <c r="J247" s="150" t="s">
        <v>1137</v>
      </c>
      <c r="K247" s="511" t="s">
        <v>389</v>
      </c>
      <c r="L247" s="778" t="s">
        <v>1863</v>
      </c>
      <c r="M247" s="343"/>
      <c r="N247" s="800" t="s">
        <v>1186</v>
      </c>
      <c r="O247" s="157" t="s">
        <v>453</v>
      </c>
      <c r="P247" s="346"/>
      <c r="Q247" s="343"/>
      <c r="R247" s="346"/>
      <c r="S247" s="150" t="s">
        <v>57</v>
      </c>
      <c r="T247" s="150"/>
      <c r="U247" s="403"/>
      <c r="V247" s="406">
        <v>0</v>
      </c>
      <c r="W247" s="406">
        <v>81</v>
      </c>
      <c r="X247" s="425"/>
      <c r="Y247" s="71"/>
      <c r="Z247" s="784">
        <v>1.65</v>
      </c>
      <c r="AA247" s="780">
        <v>76.819999999999993</v>
      </c>
      <c r="AB247" s="780">
        <v>2.5299999999999998</v>
      </c>
      <c r="AC247" s="428">
        <v>1008.71</v>
      </c>
      <c r="AD247" s="429">
        <v>1060.44</v>
      </c>
      <c r="AE247" s="429">
        <v>17.300000000000068</v>
      </c>
      <c r="AF247" s="429">
        <v>1.4499999999999034</v>
      </c>
      <c r="AG247" s="360">
        <v>0</v>
      </c>
      <c r="AH247" s="360">
        <v>0</v>
      </c>
      <c r="AI247" s="360">
        <v>0</v>
      </c>
      <c r="AJ247" s="360">
        <v>0</v>
      </c>
      <c r="AK247" s="360">
        <v>0</v>
      </c>
      <c r="AL247" s="360">
        <f t="shared" si="14"/>
        <v>2168.9</v>
      </c>
      <c r="AM247" s="362">
        <f>ERP_8[[#This Row],[2026 Working Total]]-ERP_8[[#This Row],[LE2 Final Submission]]</f>
        <v>2087.9</v>
      </c>
      <c r="AN247" s="79">
        <v>0</v>
      </c>
      <c r="AO247" s="79">
        <f t="shared" si="15"/>
        <v>17.300000000000068</v>
      </c>
      <c r="AP247" s="374">
        <f>SUM(ERP_8[[#This Row],[AP01]:[AP07]])-SUM(ERP_8[[#This Row],[AP01 LE2]:[AP07 LE2]])</f>
        <v>2087.9</v>
      </c>
      <c r="AQ247" s="80"/>
      <c r="AR247" s="79">
        <f>ERP_8[[#This Row],[2026 Working Total to Budget/LE]]-ERP_8[[#This Row],[Giveback]]</f>
        <v>2087.9</v>
      </c>
      <c r="AS247" s="81"/>
      <c r="AT247" s="375">
        <v>1.65</v>
      </c>
      <c r="AU247" s="375">
        <v>76.819999999999993</v>
      </c>
      <c r="AV247" s="375">
        <v>2.5299999999999998</v>
      </c>
      <c r="AW247" s="375">
        <v>0</v>
      </c>
      <c r="AX247" s="375">
        <v>0</v>
      </c>
      <c r="AY247" s="375">
        <v>0</v>
      </c>
      <c r="AZ247" s="375">
        <v>0</v>
      </c>
      <c r="BA247" s="375">
        <v>0</v>
      </c>
      <c r="BB247" s="375">
        <v>0</v>
      </c>
      <c r="BC247" s="375">
        <v>0</v>
      </c>
      <c r="BD247" s="375">
        <v>0</v>
      </c>
      <c r="BE247" s="375">
        <v>0</v>
      </c>
      <c r="BF247" s="375">
        <v>81</v>
      </c>
      <c r="BG247" s="79">
        <v>1.65</v>
      </c>
      <c r="BH247" s="79">
        <v>76.819999999999993</v>
      </c>
      <c r="BI247" s="79">
        <v>2.5299999999999998</v>
      </c>
      <c r="BJ247" s="79">
        <v>0</v>
      </c>
      <c r="BK247" s="79">
        <v>0</v>
      </c>
      <c r="BL247" s="79">
        <v>0</v>
      </c>
      <c r="BM247" s="79">
        <v>0</v>
      </c>
      <c r="BN247" s="79">
        <v>0</v>
      </c>
      <c r="BO247" s="79">
        <v>0</v>
      </c>
      <c r="BP247" s="79">
        <v>0</v>
      </c>
      <c r="BQ247" s="79">
        <v>0</v>
      </c>
      <c r="BR247" s="79">
        <v>0</v>
      </c>
      <c r="BS247" s="79">
        <v>81</v>
      </c>
    </row>
    <row r="248" spans="1:71" ht="15" hidden="1" customHeight="1">
      <c r="A248" s="66" t="s">
        <v>1867</v>
      </c>
      <c r="B248" s="737" t="s">
        <v>1868</v>
      </c>
      <c r="C248" s="346"/>
      <c r="D248" s="343" t="str">
        <f>_xlfn.TEXTJOIN("_",FALSE,E248,ERP_8[[#This Row],[Expense Category]],ERP_8[[#This Row],[Project Code*]])</f>
        <v>Dougherty, Chris_MANAGED SERVICES_IT-FBT0693-OG-US-00</v>
      </c>
      <c r="E248" s="343" t="s">
        <v>1135</v>
      </c>
      <c r="F248" s="346"/>
      <c r="G248" s="150" t="s">
        <v>1136</v>
      </c>
      <c r="H248" s="150" t="s">
        <v>1135</v>
      </c>
      <c r="I248" s="150" t="s">
        <v>1165</v>
      </c>
      <c r="J248" s="150" t="s">
        <v>1137</v>
      </c>
      <c r="K248" s="511" t="s">
        <v>389</v>
      </c>
      <c r="L248" s="392" t="s">
        <v>1863</v>
      </c>
      <c r="M248" s="343"/>
      <c r="N248" s="804">
        <v>2321403</v>
      </c>
      <c r="O248" s="70" t="s">
        <v>453</v>
      </c>
      <c r="P248" s="346"/>
      <c r="Q248" s="343"/>
      <c r="R248" s="346"/>
      <c r="S248" s="150" t="s">
        <v>57</v>
      </c>
      <c r="T248" s="150"/>
      <c r="U248" s="403"/>
      <c r="V248" s="406">
        <v>14400</v>
      </c>
      <c r="W248" s="406">
        <v>11192.33</v>
      </c>
      <c r="X248" s="425"/>
      <c r="Y248" s="71"/>
      <c r="Z248" s="784">
        <v>200.57</v>
      </c>
      <c r="AA248" s="794">
        <v>191.76</v>
      </c>
      <c r="AB248" s="794">
        <v>0</v>
      </c>
      <c r="AC248" s="428">
        <v>14.350000000000001</v>
      </c>
      <c r="AD248" s="429">
        <v>11.24</v>
      </c>
      <c r="AE248" s="429">
        <v>0</v>
      </c>
      <c r="AF248" s="429">
        <v>0</v>
      </c>
      <c r="AG248" s="363">
        <v>1200</v>
      </c>
      <c r="AH248" s="363">
        <v>1200</v>
      </c>
      <c r="AI248" s="363">
        <v>1200</v>
      </c>
      <c r="AJ248" s="363">
        <v>1200</v>
      </c>
      <c r="AK248" s="363">
        <v>1200</v>
      </c>
      <c r="AL248" s="360">
        <f t="shared" si="14"/>
        <v>6417.92</v>
      </c>
      <c r="AM248" s="362">
        <f>ERP_8[[#This Row],[2026 Working Total]]-ERP_8[[#This Row],[LE2 Final Submission]]</f>
        <v>-4774.41</v>
      </c>
      <c r="AN248" s="79">
        <v>1200</v>
      </c>
      <c r="AO248" s="79">
        <f t="shared" si="15"/>
        <v>-1200</v>
      </c>
      <c r="AP248" s="374">
        <f>SUM(ERP_8[[#This Row],[AP01]:[AP07]])-SUM(ERP_8[[#This Row],[AP01 LE2]:[AP07 LE2]])</f>
        <v>-4774.41</v>
      </c>
      <c r="AQ248" s="80"/>
      <c r="AR248" s="79">
        <f>ERP_8[[#This Row],[2026 Working Total to Budget/LE]]-ERP_8[[#This Row],[Giveback]]</f>
        <v>-4774.41</v>
      </c>
      <c r="AS248" s="81"/>
      <c r="AT248" s="375">
        <v>200.57</v>
      </c>
      <c r="AU248" s="375">
        <v>191.76</v>
      </c>
      <c r="AV248" s="375">
        <v>0</v>
      </c>
      <c r="AW248" s="375">
        <v>1200</v>
      </c>
      <c r="AX248" s="375">
        <v>1200</v>
      </c>
      <c r="AY248" s="375">
        <v>1200</v>
      </c>
      <c r="AZ248" s="375">
        <v>1200</v>
      </c>
      <c r="BA248" s="375">
        <v>1200</v>
      </c>
      <c r="BB248" s="375">
        <v>1200</v>
      </c>
      <c r="BC248" s="375">
        <v>1200</v>
      </c>
      <c r="BD248" s="375">
        <v>1200</v>
      </c>
      <c r="BE248" s="375">
        <v>1200</v>
      </c>
      <c r="BF248" s="375">
        <v>11192.33</v>
      </c>
      <c r="BG248" s="79">
        <v>200.57</v>
      </c>
      <c r="BH248" s="79">
        <v>191.76</v>
      </c>
      <c r="BI248" s="79">
        <v>0</v>
      </c>
      <c r="BJ248" s="79">
        <v>1200</v>
      </c>
      <c r="BK248" s="79">
        <v>1200</v>
      </c>
      <c r="BL248" s="79">
        <v>1200</v>
      </c>
      <c r="BM248" s="79">
        <v>1200</v>
      </c>
      <c r="BN248" s="79">
        <v>1200</v>
      </c>
      <c r="BO248" s="79">
        <v>1200</v>
      </c>
      <c r="BP248" s="79">
        <v>1200</v>
      </c>
      <c r="BQ248" s="79">
        <v>1200</v>
      </c>
      <c r="BR248" s="79">
        <v>1200</v>
      </c>
      <c r="BS248" s="79">
        <v>11192.33</v>
      </c>
    </row>
    <row r="249" spans="1:71" ht="15" hidden="1" customHeight="1">
      <c r="A249" s="66" t="s">
        <v>1869</v>
      </c>
      <c r="B249" s="737" t="s">
        <v>1870</v>
      </c>
      <c r="C249" s="346"/>
      <c r="D249" s="343" t="str">
        <f>_xlfn.TEXTJOIN("_",FALSE,E249,ERP_8[[#This Row],[Expense Category]],ERP_8[[#This Row],[Project Code*]])</f>
        <v>Dougherty, Chris_MANAGED SERVICES_IT-FBT0700-OG-US-00</v>
      </c>
      <c r="E249" s="343" t="s">
        <v>1135</v>
      </c>
      <c r="F249" s="346"/>
      <c r="G249" s="150" t="s">
        <v>1136</v>
      </c>
      <c r="H249" s="150" t="s">
        <v>1135</v>
      </c>
      <c r="I249" s="150" t="s">
        <v>1165</v>
      </c>
      <c r="J249" s="150" t="s">
        <v>1137</v>
      </c>
      <c r="K249" s="511" t="s">
        <v>389</v>
      </c>
      <c r="L249" s="392" t="s">
        <v>1871</v>
      </c>
      <c r="M249" s="343"/>
      <c r="N249" s="804">
        <v>2321403</v>
      </c>
      <c r="O249" s="70" t="s">
        <v>455</v>
      </c>
      <c r="P249" s="346"/>
      <c r="Q249" s="343"/>
      <c r="R249" s="346"/>
      <c r="S249" s="150" t="s">
        <v>427</v>
      </c>
      <c r="T249" s="150"/>
      <c r="U249" s="403"/>
      <c r="V249" s="406">
        <v>376200</v>
      </c>
      <c r="W249" s="406">
        <v>376200.45999999996</v>
      </c>
      <c r="X249" s="425"/>
      <c r="Y249" s="71"/>
      <c r="Z249" s="784">
        <v>25838</v>
      </c>
      <c r="AA249" s="794">
        <v>36872.379999999997</v>
      </c>
      <c r="AB249" s="794">
        <v>31340.080000000002</v>
      </c>
      <c r="AC249" s="428">
        <v>25837.46</v>
      </c>
      <c r="AD249" s="429">
        <v>36862.460000000006</v>
      </c>
      <c r="AE249" s="429">
        <v>31349.62</v>
      </c>
      <c r="AF249" s="429">
        <v>25837.919999999998</v>
      </c>
      <c r="AG249" s="363">
        <f>31350+5512</f>
        <v>36862</v>
      </c>
      <c r="AH249" s="363">
        <v>31350</v>
      </c>
      <c r="AI249" s="363">
        <v>31350</v>
      </c>
      <c r="AJ249" s="363">
        <v>31350</v>
      </c>
      <c r="AK249" s="363">
        <v>31350</v>
      </c>
      <c r="AL249" s="360">
        <f t="shared" si="14"/>
        <v>376199.92</v>
      </c>
      <c r="AM249" s="362">
        <f>ERP_8[[#This Row],[2026 Working Total]]-ERP_8[[#This Row],[LE2 Final Submission]]</f>
        <v>-0.53999999997904524</v>
      </c>
      <c r="AN249" s="79">
        <v>31350</v>
      </c>
      <c r="AO249" s="79">
        <f t="shared" si="15"/>
        <v>-0.38000000000101863</v>
      </c>
      <c r="AP249" s="374">
        <f>SUM(ERP_8[[#This Row],[AP01]:[AP07]])-SUM(ERP_8[[#This Row],[AP01 LE2]:[AP07 LE2]])</f>
        <v>-5512.5400000000081</v>
      </c>
      <c r="AQ249" s="80"/>
      <c r="AR249" s="79">
        <f>ERP_8[[#This Row],[2026 Working Total to Budget/LE]]-ERP_8[[#This Row],[Giveback]]</f>
        <v>-0.53999999997904524</v>
      </c>
      <c r="AS249" s="81"/>
      <c r="AT249" s="375">
        <v>25838</v>
      </c>
      <c r="AU249" s="375">
        <v>36872.379999999997</v>
      </c>
      <c r="AV249" s="375">
        <v>31340.080000000002</v>
      </c>
      <c r="AW249" s="375">
        <v>31350</v>
      </c>
      <c r="AX249" s="375">
        <v>31350</v>
      </c>
      <c r="AY249" s="375">
        <v>31350</v>
      </c>
      <c r="AZ249" s="375">
        <v>31350</v>
      </c>
      <c r="BA249" s="375">
        <v>31350</v>
      </c>
      <c r="BB249" s="375">
        <v>31350</v>
      </c>
      <c r="BC249" s="375">
        <v>31350</v>
      </c>
      <c r="BD249" s="375">
        <v>31350</v>
      </c>
      <c r="BE249" s="375">
        <v>31350</v>
      </c>
      <c r="BF249" s="375">
        <v>376200.45999999996</v>
      </c>
      <c r="BG249" s="79">
        <v>25838</v>
      </c>
      <c r="BH249" s="79">
        <v>36872.379999999997</v>
      </c>
      <c r="BI249" s="79">
        <v>31340.080000000002</v>
      </c>
      <c r="BJ249" s="79">
        <v>31350</v>
      </c>
      <c r="BK249" s="79">
        <v>31350</v>
      </c>
      <c r="BL249" s="79">
        <v>31350</v>
      </c>
      <c r="BM249" s="79">
        <v>31350</v>
      </c>
      <c r="BN249" s="79">
        <v>31350</v>
      </c>
      <c r="BO249" s="79">
        <v>31350</v>
      </c>
      <c r="BP249" s="79">
        <v>31350</v>
      </c>
      <c r="BQ249" s="79">
        <v>31350</v>
      </c>
      <c r="BR249" s="79">
        <v>31350</v>
      </c>
      <c r="BS249" s="79">
        <v>376200.45999999996</v>
      </c>
    </row>
    <row r="250" spans="1:71" ht="15" hidden="1" customHeight="1">
      <c r="A250" s="66" t="s">
        <v>1872</v>
      </c>
      <c r="B250" s="737" t="s">
        <v>1873</v>
      </c>
      <c r="C250" s="346"/>
      <c r="D250" s="343" t="str">
        <f>_xlfn.TEXTJOIN("_",FALSE,E250,ERP_8[[#This Row],[Expense Category]],ERP_8[[#This Row],[Project Code*]])</f>
        <v>Dougherty, Chris_MANAGED SERVICES_IT-FBT0753-OT-US-00</v>
      </c>
      <c r="E250" s="343" t="s">
        <v>1135</v>
      </c>
      <c r="F250" s="346"/>
      <c r="G250" s="150" t="s">
        <v>1136</v>
      </c>
      <c r="H250" s="150" t="s">
        <v>1135</v>
      </c>
      <c r="I250" s="150" t="s">
        <v>1165</v>
      </c>
      <c r="J250" s="150" t="s">
        <v>1137</v>
      </c>
      <c r="K250" s="511" t="s">
        <v>389</v>
      </c>
      <c r="L250" s="392" t="s">
        <v>1874</v>
      </c>
      <c r="M250" s="343"/>
      <c r="N250" s="800" t="s">
        <v>1875</v>
      </c>
      <c r="O250" s="70" t="s">
        <v>457</v>
      </c>
      <c r="P250" s="346"/>
      <c r="Q250" s="343"/>
      <c r="R250" s="346"/>
      <c r="S250" s="150" t="s">
        <v>25</v>
      </c>
      <c r="T250" s="150"/>
      <c r="U250" s="403"/>
      <c r="V250" s="406">
        <v>335904</v>
      </c>
      <c r="W250" s="406">
        <v>335903.61</v>
      </c>
      <c r="X250" s="425"/>
      <c r="Y250" s="71"/>
      <c r="Z250" s="784">
        <v>0.04</v>
      </c>
      <c r="AA250" s="794">
        <v>55984.1</v>
      </c>
      <c r="AB250" s="794">
        <v>27991.47</v>
      </c>
      <c r="AC250" s="428">
        <v>23070.760000000002</v>
      </c>
      <c r="AD250" s="429">
        <v>32913.769999999997</v>
      </c>
      <c r="AE250" s="429">
        <v>27991.9</v>
      </c>
      <c r="AF250" s="429">
        <v>23070.33</v>
      </c>
      <c r="AG250" s="363">
        <f>27992+4922</f>
        <v>32914</v>
      </c>
      <c r="AH250" s="363">
        <v>27992</v>
      </c>
      <c r="AI250" s="363">
        <v>27992</v>
      </c>
      <c r="AJ250" s="363">
        <v>27992</v>
      </c>
      <c r="AK250" s="363">
        <v>27992</v>
      </c>
      <c r="AL250" s="360">
        <f t="shared" si="14"/>
        <v>335904.37</v>
      </c>
      <c r="AM250" s="362">
        <f>ERP_8[[#This Row],[2026 Working Total]]-ERP_8[[#This Row],[LE2 Final Submission]]</f>
        <v>0.76000000000931323</v>
      </c>
      <c r="AN250" s="79">
        <v>27992</v>
      </c>
      <c r="AO250" s="79">
        <f t="shared" si="15"/>
        <v>-9.9999999998544808E-2</v>
      </c>
      <c r="AP250" s="374">
        <f>SUM(ERP_8[[#This Row],[AP01]:[AP07]])-SUM(ERP_8[[#This Row],[AP01 LE2]:[AP07 LE2]])</f>
        <v>-4921.2399999999907</v>
      </c>
      <c r="AQ250" s="80"/>
      <c r="AR250" s="79">
        <f>ERP_8[[#This Row],[2026 Working Total to Budget/LE]]-ERP_8[[#This Row],[Giveback]]</f>
        <v>0.76000000000931323</v>
      </c>
      <c r="AS250" s="81"/>
      <c r="AT250" s="375">
        <v>0.04</v>
      </c>
      <c r="AU250" s="375">
        <v>55984.1</v>
      </c>
      <c r="AV250" s="375">
        <v>27991.47</v>
      </c>
      <c r="AW250" s="375">
        <v>27992</v>
      </c>
      <c r="AX250" s="375">
        <v>27992</v>
      </c>
      <c r="AY250" s="375">
        <v>27992</v>
      </c>
      <c r="AZ250" s="375">
        <v>27992</v>
      </c>
      <c r="BA250" s="375">
        <v>27992</v>
      </c>
      <c r="BB250" s="375">
        <v>27992</v>
      </c>
      <c r="BC250" s="375">
        <v>27992</v>
      </c>
      <c r="BD250" s="375">
        <v>27992</v>
      </c>
      <c r="BE250" s="375">
        <v>27992</v>
      </c>
      <c r="BF250" s="375">
        <v>335903.61</v>
      </c>
      <c r="BG250" s="79">
        <v>0.04</v>
      </c>
      <c r="BH250" s="79">
        <v>55984.1</v>
      </c>
      <c r="BI250" s="79">
        <v>27991.47</v>
      </c>
      <c r="BJ250" s="79">
        <v>27992</v>
      </c>
      <c r="BK250" s="79">
        <v>27992</v>
      </c>
      <c r="BL250" s="79">
        <v>27992</v>
      </c>
      <c r="BM250" s="79">
        <v>27992</v>
      </c>
      <c r="BN250" s="79">
        <v>27992</v>
      </c>
      <c r="BO250" s="79">
        <v>27992</v>
      </c>
      <c r="BP250" s="79">
        <v>27992</v>
      </c>
      <c r="BQ250" s="79">
        <v>27992</v>
      </c>
      <c r="BR250" s="79">
        <v>27992</v>
      </c>
      <c r="BS250" s="79">
        <v>335903.61</v>
      </c>
    </row>
    <row r="251" spans="1:71" ht="15" hidden="1" customHeight="1">
      <c r="A251" s="66" t="s">
        <v>1876</v>
      </c>
      <c r="B251" s="737" t="s">
        <v>1877</v>
      </c>
      <c r="C251" s="346"/>
      <c r="D251" s="343" t="str">
        <f>_xlfn.TEXTJOIN("_",FALSE,E251,ERP_8[[#This Row],[Expense Category]],ERP_8[[#This Row],[Project Code*]])</f>
        <v>Dougherty, Chris_MANAGED SERVICES_IT-FBT0769-OT-US-00</v>
      </c>
      <c r="E251" s="343" t="s">
        <v>1135</v>
      </c>
      <c r="F251" s="346"/>
      <c r="G251" s="150" t="s">
        <v>1136</v>
      </c>
      <c r="H251" s="150" t="s">
        <v>1135</v>
      </c>
      <c r="I251" s="150" t="s">
        <v>1165</v>
      </c>
      <c r="J251" s="150" t="s">
        <v>1137</v>
      </c>
      <c r="K251" s="511" t="s">
        <v>389</v>
      </c>
      <c r="L251" s="392" t="s">
        <v>1878</v>
      </c>
      <c r="M251" s="343"/>
      <c r="N251" s="804">
        <v>2320843</v>
      </c>
      <c r="O251" s="70" t="s">
        <v>459</v>
      </c>
      <c r="P251" s="346"/>
      <c r="Q251" s="343"/>
      <c r="R251" s="346"/>
      <c r="S251" s="150" t="s">
        <v>57</v>
      </c>
      <c r="T251" s="150"/>
      <c r="U251" s="404"/>
      <c r="V251" s="407">
        <v>4212</v>
      </c>
      <c r="W251" s="407">
        <v>0</v>
      </c>
      <c r="X251" s="425"/>
      <c r="Y251" s="71"/>
      <c r="Z251" s="784">
        <v>212.71</v>
      </c>
      <c r="AA251" s="794">
        <v>212.88</v>
      </c>
      <c r="AB251" s="794">
        <v>-425.59</v>
      </c>
      <c r="AC251" s="428">
        <v>421.78999999999996</v>
      </c>
      <c r="AD251" s="429">
        <v>11.3</v>
      </c>
      <c r="AE251" s="429">
        <v>0</v>
      </c>
      <c r="AF251" s="429">
        <v>0</v>
      </c>
      <c r="AG251" s="363"/>
      <c r="AH251" s="363"/>
      <c r="AI251" s="363"/>
      <c r="AJ251" s="363"/>
      <c r="AK251" s="363"/>
      <c r="AL251" s="360">
        <f t="shared" si="14"/>
        <v>433.09000000000003</v>
      </c>
      <c r="AM251" s="362">
        <f>ERP_8[[#This Row],[2026 Working Total]]-ERP_8[[#This Row],[LE2 Final Submission]]</f>
        <v>433.09000000000003</v>
      </c>
      <c r="AN251" s="79"/>
      <c r="AO251" s="79">
        <f t="shared" si="15"/>
        <v>0</v>
      </c>
      <c r="AP251" s="374">
        <f>SUM(ERP_8[[#This Row],[AP01]:[AP07]])-SUM(ERP_8[[#This Row],[AP01 LE2]:[AP07 LE2]])</f>
        <v>433.09000000000003</v>
      </c>
      <c r="AQ251" s="80"/>
      <c r="AR251" s="79">
        <f>ERP_8[[#This Row],[2026 Working Total to Budget/LE]]-ERP_8[[#This Row],[Giveback]]</f>
        <v>433.09000000000003</v>
      </c>
      <c r="AS251" s="81"/>
      <c r="AT251" s="375">
        <v>212.71</v>
      </c>
      <c r="AU251" s="375">
        <v>212.88</v>
      </c>
      <c r="AV251" s="375">
        <v>-425.59</v>
      </c>
      <c r="AW251" s="375"/>
      <c r="AX251" s="375"/>
      <c r="AY251" s="375"/>
      <c r="AZ251" s="375"/>
      <c r="BA251" s="375"/>
      <c r="BB251" s="375"/>
      <c r="BC251" s="375"/>
      <c r="BD251" s="375"/>
      <c r="BE251" s="375"/>
      <c r="BF251" s="375">
        <v>0</v>
      </c>
      <c r="BG251" s="79">
        <v>212.71</v>
      </c>
      <c r="BH251" s="79">
        <v>212.88</v>
      </c>
      <c r="BI251" s="79">
        <v>-425.59</v>
      </c>
      <c r="BJ251" s="79"/>
      <c r="BK251" s="79"/>
      <c r="BL251" s="79"/>
      <c r="BM251" s="79"/>
      <c r="BN251" s="79"/>
      <c r="BO251" s="79"/>
      <c r="BP251" s="79"/>
      <c r="BQ251" s="79"/>
      <c r="BR251" s="79"/>
      <c r="BS251" s="79">
        <v>0</v>
      </c>
    </row>
    <row r="252" spans="1:71" ht="15" hidden="1" customHeight="1">
      <c r="A252" s="66" t="s">
        <v>1879</v>
      </c>
      <c r="B252" s="737" t="s">
        <v>1880</v>
      </c>
      <c r="C252" s="346"/>
      <c r="D252" s="343" t="str">
        <f>_xlfn.TEXTJOIN("_",FALSE,E252,ERP_8[[#This Row],[Expense Category]],ERP_8[[#This Row],[Project Code*]])</f>
        <v>Dougherty, Chris_MANAGED SERVICES_IT-FBT0770-OT-US-00</v>
      </c>
      <c r="E252" s="343" t="s">
        <v>1135</v>
      </c>
      <c r="F252" s="346"/>
      <c r="G252" s="150" t="s">
        <v>1136</v>
      </c>
      <c r="H252" s="150" t="s">
        <v>1135</v>
      </c>
      <c r="I252" s="150" t="s">
        <v>1165</v>
      </c>
      <c r="J252" s="150" t="s">
        <v>1137</v>
      </c>
      <c r="K252" s="511" t="s">
        <v>389</v>
      </c>
      <c r="L252" s="392" t="s">
        <v>1881</v>
      </c>
      <c r="M252" s="343"/>
      <c r="N252" s="804">
        <v>2320843</v>
      </c>
      <c r="O252" s="70" t="s">
        <v>133</v>
      </c>
      <c r="P252" s="346"/>
      <c r="Q252" s="343"/>
      <c r="R252" s="346"/>
      <c r="S252" s="150" t="s">
        <v>25</v>
      </c>
      <c r="T252" s="150"/>
      <c r="U252" s="404"/>
      <c r="V252" s="407">
        <v>0</v>
      </c>
      <c r="W252" s="407">
        <v>0</v>
      </c>
      <c r="X252" s="425"/>
      <c r="Y252" s="71"/>
      <c r="Z252" s="784">
        <v>95.28</v>
      </c>
      <c r="AA252" s="794">
        <v>31.62</v>
      </c>
      <c r="AB252" s="794">
        <v>-126.9</v>
      </c>
      <c r="AC252" s="429">
        <v>66.959999999999994</v>
      </c>
      <c r="AD252" s="429">
        <v>61.6</v>
      </c>
      <c r="AE252" s="429">
        <v>63.66</v>
      </c>
      <c r="AF252" s="429">
        <v>0</v>
      </c>
      <c r="AG252" s="363"/>
      <c r="AH252" s="363"/>
      <c r="AI252" s="363"/>
      <c r="AJ252" s="363"/>
      <c r="AK252" s="363"/>
      <c r="AL252" s="360">
        <f t="shared" si="14"/>
        <v>192.22</v>
      </c>
      <c r="AM252" s="362">
        <f>ERP_8[[#This Row],[2026 Working Total]]-ERP_8[[#This Row],[LE2 Final Submission]]</f>
        <v>192.22</v>
      </c>
      <c r="AN252" s="79"/>
      <c r="AO252" s="79">
        <f t="shared" si="15"/>
        <v>63.66</v>
      </c>
      <c r="AP252" s="374">
        <f>SUM(ERP_8[[#This Row],[AP01]:[AP07]])-SUM(ERP_8[[#This Row],[AP01 LE2]:[AP07 LE2]])</f>
        <v>192.22</v>
      </c>
      <c r="AQ252" s="80"/>
      <c r="AR252" s="79">
        <f>ERP_8[[#This Row],[2026 Working Total to Budget/LE]]-ERP_8[[#This Row],[Giveback]]</f>
        <v>192.22</v>
      </c>
      <c r="AS252" s="81"/>
      <c r="AT252" s="375">
        <v>95.28</v>
      </c>
      <c r="AU252" s="375">
        <v>31.62</v>
      </c>
      <c r="AV252" s="375">
        <v>-126.9</v>
      </c>
      <c r="AW252" s="375"/>
      <c r="AX252" s="375"/>
      <c r="AY252" s="375"/>
      <c r="AZ252" s="375"/>
      <c r="BA252" s="375"/>
      <c r="BB252" s="375"/>
      <c r="BC252" s="375"/>
      <c r="BD252" s="375"/>
      <c r="BE252" s="375"/>
      <c r="BF252" s="375">
        <v>0</v>
      </c>
      <c r="BG252" s="79">
        <v>95.28</v>
      </c>
      <c r="BH252" s="79">
        <v>31.62</v>
      </c>
      <c r="BI252" s="79">
        <v>-126.9</v>
      </c>
      <c r="BJ252" s="79"/>
      <c r="BK252" s="79"/>
      <c r="BL252" s="79"/>
      <c r="BM252" s="79"/>
      <c r="BN252" s="79"/>
      <c r="BO252" s="79"/>
      <c r="BP252" s="79"/>
      <c r="BQ252" s="79"/>
      <c r="BR252" s="79"/>
      <c r="BS252" s="79">
        <v>0</v>
      </c>
    </row>
    <row r="253" spans="1:71" ht="15" hidden="1" customHeight="1">
      <c r="A253" s="150" t="s">
        <v>1882</v>
      </c>
      <c r="B253" s="749" t="s">
        <v>1883</v>
      </c>
      <c r="C253" s="348"/>
      <c r="D253" s="347" t="str">
        <f>_xlfn.TEXTJOIN("_",FALSE,E253,ERP_8[[#This Row],[Expense Category]],ERP_8[[#This Row],[Project Code*]])</f>
        <v>Dougherty, Chris_MANAGED SERVICES_IT-FBT0780-OT-US-00</v>
      </c>
      <c r="E253" s="347" t="s">
        <v>1135</v>
      </c>
      <c r="F253" s="348"/>
      <c r="G253" s="150" t="s">
        <v>1136</v>
      </c>
      <c r="H253" s="150" t="s">
        <v>1135</v>
      </c>
      <c r="I253" s="332" t="s">
        <v>1156</v>
      </c>
      <c r="J253" s="333" t="s">
        <v>1156</v>
      </c>
      <c r="K253" s="514" t="s">
        <v>389</v>
      </c>
      <c r="L253" s="394" t="s">
        <v>1884</v>
      </c>
      <c r="M253" s="401" t="s">
        <v>1885</v>
      </c>
      <c r="N253" s="467" t="s">
        <v>1804</v>
      </c>
      <c r="O253" s="90" t="s">
        <v>135</v>
      </c>
      <c r="P253" s="347"/>
      <c r="Q253" s="348" t="s">
        <v>1886</v>
      </c>
      <c r="R253" s="348"/>
      <c r="S253" s="348"/>
      <c r="T253" s="348"/>
      <c r="U253" s="402"/>
      <c r="V253" s="406"/>
      <c r="W253" s="406"/>
      <c r="X253" s="425"/>
      <c r="Y253" s="71"/>
      <c r="Z253" s="784"/>
      <c r="AA253" s="794"/>
      <c r="AB253" s="794"/>
      <c r="AC253" s="436"/>
      <c r="AD253" s="429">
        <v>76500</v>
      </c>
      <c r="AE253" s="429">
        <v>12000</v>
      </c>
      <c r="AF253" s="429">
        <v>0</v>
      </c>
      <c r="AG253" s="364">
        <v>24000</v>
      </c>
      <c r="AH253" s="364">
        <v>12000</v>
      </c>
      <c r="AI253" s="364">
        <v>12000</v>
      </c>
      <c r="AJ253" s="364">
        <v>12000</v>
      </c>
      <c r="AK253" s="364">
        <v>12000</v>
      </c>
      <c r="AL253" s="360">
        <f t="shared" si="14"/>
        <v>160500</v>
      </c>
      <c r="AM253" s="362">
        <f>ERP_8[[#This Row],[2026 Working Total]]-ERP_8[[#This Row],[LE2 Final Submission]]</f>
        <v>160500</v>
      </c>
      <c r="AN253" s="79">
        <v>12000</v>
      </c>
      <c r="AO253" s="79">
        <f t="shared" si="15"/>
        <v>0</v>
      </c>
      <c r="AP253" s="374">
        <f>SUM(ERP_8[[#This Row],[AP01]:[AP07]])-SUM(ERP_8[[#This Row],[AP01 LE2]:[AP07 LE2]])</f>
        <v>88500</v>
      </c>
      <c r="AQ253" s="80"/>
      <c r="AR253" s="79">
        <f>ERP_8[[#This Row],[2026 Working Total to Budget/LE]]-ERP_8[[#This Row],[Giveback]]</f>
        <v>160500</v>
      </c>
      <c r="AS253" s="81"/>
      <c r="AT253" s="375"/>
      <c r="AU253" s="375"/>
      <c r="AV253" s="375"/>
      <c r="AW253" s="375"/>
      <c r="AX253" s="375"/>
      <c r="AY253" s="375"/>
      <c r="AZ253" s="375"/>
      <c r="BA253" s="375"/>
      <c r="BB253" s="375"/>
      <c r="BC253" s="375"/>
      <c r="BD253" s="375"/>
      <c r="BE253" s="375"/>
      <c r="BF253" s="375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</row>
    <row r="254" spans="1:71" ht="15" hidden="1" customHeight="1">
      <c r="A254" s="66" t="s">
        <v>1887</v>
      </c>
      <c r="B254" s="737" t="s">
        <v>1888</v>
      </c>
      <c r="C254" s="346"/>
      <c r="D254" s="343" t="str">
        <f>_xlfn.TEXTJOIN("_",FALSE,E254,ERP_8[[#This Row],[Expense Category]],ERP_8[[#This Row],[Project Code*]])</f>
        <v>Dougherty, Chris_MANAGED SERVICES_IT-FBT0980-OT-US-00</v>
      </c>
      <c r="E254" s="343" t="s">
        <v>1135</v>
      </c>
      <c r="F254" s="346"/>
      <c r="G254" s="150" t="s">
        <v>1136</v>
      </c>
      <c r="H254" s="150" t="s">
        <v>1345</v>
      </c>
      <c r="I254" s="150" t="s">
        <v>1346</v>
      </c>
      <c r="J254" s="150" t="s">
        <v>1346</v>
      </c>
      <c r="K254" s="511" t="s">
        <v>389</v>
      </c>
      <c r="L254" s="392" t="s">
        <v>1889</v>
      </c>
      <c r="M254" s="343"/>
      <c r="N254" s="800" t="s">
        <v>1499</v>
      </c>
      <c r="O254" s="70" t="s">
        <v>578</v>
      </c>
      <c r="P254" s="346"/>
      <c r="Q254" s="346" t="s">
        <v>1221</v>
      </c>
      <c r="R254" s="346"/>
      <c r="S254" s="150" t="s">
        <v>272</v>
      </c>
      <c r="T254" s="150" t="s">
        <v>1890</v>
      </c>
      <c r="U254" s="403"/>
      <c r="V254" s="406">
        <v>0</v>
      </c>
      <c r="W254" s="406">
        <v>275.15000000000055</v>
      </c>
      <c r="X254" s="425"/>
      <c r="Y254" s="71"/>
      <c r="Z254" s="784">
        <v>2699.63</v>
      </c>
      <c r="AA254" s="794">
        <v>2847.71</v>
      </c>
      <c r="AB254" s="794">
        <v>-5272.19</v>
      </c>
      <c r="AC254" s="428">
        <v>3353.36</v>
      </c>
      <c r="AD254" s="429">
        <v>2931.3300000000004</v>
      </c>
      <c r="AE254" s="429">
        <v>3022.73</v>
      </c>
      <c r="AF254" s="429">
        <v>2915.8399999999997</v>
      </c>
      <c r="AG254" s="363">
        <v>0</v>
      </c>
      <c r="AH254" s="363">
        <v>0</v>
      </c>
      <c r="AI254" s="363">
        <v>0</v>
      </c>
      <c r="AJ254" s="363">
        <v>0</v>
      </c>
      <c r="AK254" s="363">
        <v>0</v>
      </c>
      <c r="AL254" s="360">
        <f t="shared" si="14"/>
        <v>12498.410000000002</v>
      </c>
      <c r="AM254" s="362">
        <f>ERP_8[[#This Row],[2026 Working Total]]-ERP_8[[#This Row],[LE2 Final Submission]]</f>
        <v>12223.260000000002</v>
      </c>
      <c r="AN254" s="79">
        <v>0</v>
      </c>
      <c r="AO254" s="79">
        <f t="shared" si="15"/>
        <v>3022.73</v>
      </c>
      <c r="AP254" s="374">
        <f>SUM(ERP_8[[#This Row],[AP01]:[AP07]])-SUM(ERP_8[[#This Row],[AP01 LE2]:[AP07 LE2]])</f>
        <v>12223.260000000002</v>
      </c>
      <c r="AQ254" s="80"/>
      <c r="AR254" s="79">
        <f>ERP_8[[#This Row],[2026 Working Total to Budget/LE]]-ERP_8[[#This Row],[Giveback]]</f>
        <v>12223.260000000002</v>
      </c>
      <c r="AS254" s="81"/>
      <c r="AT254" s="375">
        <v>2699.63</v>
      </c>
      <c r="AU254" s="375">
        <v>2847.71</v>
      </c>
      <c r="AV254" s="375">
        <v>-5272.19</v>
      </c>
      <c r="AW254" s="375">
        <v>0</v>
      </c>
      <c r="AX254" s="375">
        <v>0</v>
      </c>
      <c r="AY254" s="375">
        <v>0</v>
      </c>
      <c r="AZ254" s="375">
        <v>0</v>
      </c>
      <c r="BA254" s="375">
        <v>0</v>
      </c>
      <c r="BB254" s="375">
        <v>0</v>
      </c>
      <c r="BC254" s="375">
        <v>0</v>
      </c>
      <c r="BD254" s="375">
        <v>0</v>
      </c>
      <c r="BE254" s="375">
        <v>0</v>
      </c>
      <c r="BF254" s="375">
        <v>275.15000000000055</v>
      </c>
      <c r="BG254" s="79">
        <v>2699.63</v>
      </c>
      <c r="BH254" s="79">
        <v>2847.71</v>
      </c>
      <c r="BI254" s="79">
        <v>-5272.19</v>
      </c>
      <c r="BJ254" s="79">
        <v>2847.71</v>
      </c>
      <c r="BK254" s="79">
        <v>2847.71</v>
      </c>
      <c r="BL254" s="79">
        <v>2847.71</v>
      </c>
      <c r="BM254" s="79">
        <v>2847.71</v>
      </c>
      <c r="BN254" s="79">
        <v>2847.71</v>
      </c>
      <c r="BO254" s="79">
        <v>2847.71</v>
      </c>
      <c r="BP254" s="79">
        <v>2847.71</v>
      </c>
      <c r="BQ254" s="79">
        <v>2847.71</v>
      </c>
      <c r="BR254" s="79">
        <v>2847.71</v>
      </c>
      <c r="BS254" s="79">
        <v>25904.539999999997</v>
      </c>
    </row>
    <row r="255" spans="1:71" ht="15" hidden="1" customHeight="1">
      <c r="A255" s="150" t="s">
        <v>1891</v>
      </c>
      <c r="B255" s="749" t="s">
        <v>1892</v>
      </c>
      <c r="C255" s="348"/>
      <c r="D255" s="347" t="str">
        <f>_xlfn.TEXTJOIN("_",FALSE,E255,ERP_8[[#This Row],[Expense Category]],ERP_8[[#This Row],[Project Code*]])</f>
        <v>Dougherty, Chris_MANAGED SERVICES_IT-FGS0296-OG-US-00</v>
      </c>
      <c r="E255" s="347" t="s">
        <v>1135</v>
      </c>
      <c r="F255" s="348"/>
      <c r="G255" s="150" t="s">
        <v>1136</v>
      </c>
      <c r="H255" s="150" t="s">
        <v>1135</v>
      </c>
      <c r="I255" s="150" t="s">
        <v>1165</v>
      </c>
      <c r="J255" s="150" t="s">
        <v>1165</v>
      </c>
      <c r="K255" s="514" t="s">
        <v>389</v>
      </c>
      <c r="L255" s="394" t="s">
        <v>1893</v>
      </c>
      <c r="M255" s="333"/>
      <c r="N255" s="467" t="s">
        <v>1284</v>
      </c>
      <c r="O255" s="90" t="s">
        <v>463</v>
      </c>
      <c r="P255" s="347"/>
      <c r="Q255" s="347"/>
      <c r="R255" s="348"/>
      <c r="S255" s="348"/>
      <c r="T255" s="348"/>
      <c r="U255" s="402"/>
      <c r="V255" s="406"/>
      <c r="W255" s="406"/>
      <c r="X255" s="425"/>
      <c r="Y255" s="71"/>
      <c r="Z255" s="784"/>
      <c r="AA255" s="794"/>
      <c r="AB255" s="794"/>
      <c r="AC255" s="429">
        <v>18.2</v>
      </c>
      <c r="AD255" s="429">
        <v>0</v>
      </c>
      <c r="AE255" s="429">
        <v>0</v>
      </c>
      <c r="AF255" s="429">
        <v>0</v>
      </c>
      <c r="AG255" s="364"/>
      <c r="AH255" s="364"/>
      <c r="AI255" s="364"/>
      <c r="AJ255" s="364"/>
      <c r="AK255" s="364"/>
      <c r="AL255" s="360">
        <f t="shared" si="14"/>
        <v>18.2</v>
      </c>
      <c r="AM255" s="362">
        <f>ERP_8[[#This Row],[2026 Working Total]]-ERP_8[[#This Row],[LE2 Final Submission]]</f>
        <v>18.2</v>
      </c>
      <c r="AN255" s="79"/>
      <c r="AO255" s="79">
        <f t="shared" si="15"/>
        <v>0</v>
      </c>
      <c r="AP255" s="374">
        <f>SUM(ERP_8[[#This Row],[AP01]:[AP07]])-SUM(ERP_8[[#This Row],[AP01 LE2]:[AP07 LE2]])</f>
        <v>18.2</v>
      </c>
      <c r="AQ255" s="80"/>
      <c r="AR255" s="79">
        <f>ERP_8[[#This Row],[2026 Working Total to Budget/LE]]-ERP_8[[#This Row],[Giveback]]</f>
        <v>18.2</v>
      </c>
      <c r="AS255" s="81"/>
      <c r="AT255" s="375"/>
      <c r="AU255" s="375"/>
      <c r="AV255" s="375"/>
      <c r="AW255" s="375"/>
      <c r="AX255" s="375"/>
      <c r="AY255" s="375"/>
      <c r="AZ255" s="375"/>
      <c r="BA255" s="375"/>
      <c r="BB255" s="375"/>
      <c r="BC255" s="375"/>
      <c r="BD255" s="375"/>
      <c r="BE255" s="375"/>
      <c r="BF255" s="375"/>
      <c r="BG255" s="79"/>
      <c r="BH255" s="79"/>
      <c r="BI255" s="79"/>
      <c r="BJ255" s="79"/>
      <c r="BK255" s="79"/>
      <c r="BL255" s="79"/>
      <c r="BM255" s="79"/>
      <c r="BN255" s="79"/>
      <c r="BO255" s="79"/>
      <c r="BP255" s="79"/>
      <c r="BQ255" s="79"/>
      <c r="BR255" s="79"/>
      <c r="BS255" s="79"/>
    </row>
    <row r="256" spans="1:71" ht="15" hidden="1" customHeight="1">
      <c r="A256" s="66" t="s">
        <v>1894</v>
      </c>
      <c r="B256" s="737" t="s">
        <v>464</v>
      </c>
      <c r="C256" s="346"/>
      <c r="D256" s="343" t="str">
        <f>_xlfn.TEXTJOIN("_",FALSE,E256,ERP_8[[#This Row],[Expense Category]],ERP_8[[#This Row],[Project Code*]])</f>
        <v>Dougherty, Chris_MANAGED SERVICES_IT-FGS0299-OG-US-00</v>
      </c>
      <c r="E256" s="343" t="s">
        <v>1135</v>
      </c>
      <c r="F256" s="346"/>
      <c r="G256" s="150" t="s">
        <v>1136</v>
      </c>
      <c r="H256" s="150" t="s">
        <v>1135</v>
      </c>
      <c r="I256" s="150" t="s">
        <v>1135</v>
      </c>
      <c r="J256" s="150" t="s">
        <v>1137</v>
      </c>
      <c r="K256" s="511" t="s">
        <v>389</v>
      </c>
      <c r="L256" s="392" t="s">
        <v>1703</v>
      </c>
      <c r="M256" s="343"/>
      <c r="N256" s="804">
        <v>2321402</v>
      </c>
      <c r="O256" s="70" t="s">
        <v>365</v>
      </c>
      <c r="P256" s="346"/>
      <c r="Q256" s="346" t="s">
        <v>1140</v>
      </c>
      <c r="R256" s="346"/>
      <c r="S256" s="150" t="s">
        <v>57</v>
      </c>
      <c r="T256" s="150"/>
      <c r="U256" s="403"/>
      <c r="V256" s="406">
        <v>0</v>
      </c>
      <c r="W256" s="406">
        <v>5151.76</v>
      </c>
      <c r="X256" s="425"/>
      <c r="Y256" s="71"/>
      <c r="Z256" s="784">
        <v>1210.3599999999999</v>
      </c>
      <c r="AA256" s="780">
        <v>1569.34</v>
      </c>
      <c r="AB256" s="780">
        <v>2372.06</v>
      </c>
      <c r="AC256" s="428">
        <v>345.21</v>
      </c>
      <c r="AD256" s="429">
        <v>674.56</v>
      </c>
      <c r="AE256" s="429">
        <v>13726.56</v>
      </c>
      <c r="AF256" s="429">
        <v>14937.279999999999</v>
      </c>
      <c r="AG256" s="360">
        <v>0</v>
      </c>
      <c r="AH256" s="360">
        <v>0</v>
      </c>
      <c r="AI256" s="360">
        <v>0</v>
      </c>
      <c r="AJ256" s="360">
        <v>0</v>
      </c>
      <c r="AK256" s="360">
        <v>0</v>
      </c>
      <c r="AL256" s="360">
        <f t="shared" si="14"/>
        <v>34835.369999999995</v>
      </c>
      <c r="AM256" s="362">
        <f>ERP_8[[#This Row],[2026 Working Total]]-ERP_8[[#This Row],[LE2 Final Submission]]</f>
        <v>29683.609999999993</v>
      </c>
      <c r="AN256" s="79">
        <v>0</v>
      </c>
      <c r="AO256" s="79">
        <f t="shared" si="15"/>
        <v>13726.56</v>
      </c>
      <c r="AP256" s="374">
        <f>SUM(ERP_8[[#This Row],[AP01]:[AP07]])-SUM(ERP_8[[#This Row],[AP01 LE2]:[AP07 LE2]])</f>
        <v>29683.609999999993</v>
      </c>
      <c r="AQ256" s="80"/>
      <c r="AR256" s="79">
        <f>ERP_8[[#This Row],[2026 Working Total to Budget/LE]]-ERP_8[[#This Row],[Giveback]]</f>
        <v>29683.609999999993</v>
      </c>
      <c r="AS256" s="81"/>
      <c r="AT256" s="375">
        <v>1210.3599999999999</v>
      </c>
      <c r="AU256" s="375">
        <v>1569.34</v>
      </c>
      <c r="AV256" s="375">
        <v>2372.06</v>
      </c>
      <c r="AW256" s="375">
        <v>0</v>
      </c>
      <c r="AX256" s="375">
        <v>0</v>
      </c>
      <c r="AY256" s="375">
        <v>0</v>
      </c>
      <c r="AZ256" s="375">
        <v>0</v>
      </c>
      <c r="BA256" s="375">
        <v>0</v>
      </c>
      <c r="BB256" s="375">
        <v>0</v>
      </c>
      <c r="BC256" s="375">
        <v>0</v>
      </c>
      <c r="BD256" s="375">
        <v>0</v>
      </c>
      <c r="BE256" s="375">
        <v>0</v>
      </c>
      <c r="BF256" s="375">
        <v>5151.76</v>
      </c>
      <c r="BG256" s="79">
        <v>1210.3599999999999</v>
      </c>
      <c r="BH256" s="79">
        <v>1569.34</v>
      </c>
      <c r="BI256" s="79">
        <v>2372.06</v>
      </c>
      <c r="BJ256" s="79">
        <v>0</v>
      </c>
      <c r="BK256" s="79">
        <v>0</v>
      </c>
      <c r="BL256" s="79">
        <v>0</v>
      </c>
      <c r="BM256" s="79">
        <v>0</v>
      </c>
      <c r="BN256" s="79">
        <v>0</v>
      </c>
      <c r="BO256" s="79">
        <v>0</v>
      </c>
      <c r="BP256" s="79">
        <v>0</v>
      </c>
      <c r="BQ256" s="79">
        <v>0</v>
      </c>
      <c r="BR256" s="79">
        <v>0</v>
      </c>
      <c r="BS256" s="79">
        <v>5151.76</v>
      </c>
    </row>
    <row r="257" spans="1:71" ht="15" hidden="1" customHeight="1">
      <c r="A257" s="66" t="s">
        <v>1895</v>
      </c>
      <c r="B257" s="737" t="s">
        <v>1896</v>
      </c>
      <c r="C257" s="346"/>
      <c r="D257" s="343" t="str">
        <f>_xlfn.TEXTJOIN("_",FALSE,E257,ERP_8[[#This Row],[Expense Category]],ERP_8[[#This Row],[Project Code*]])</f>
        <v>Dougherty, Chris_MANAGED SERVICES_IT-FGS0299-OG-US-00</v>
      </c>
      <c r="E257" s="343" t="s">
        <v>1135</v>
      </c>
      <c r="F257" s="346"/>
      <c r="G257" s="150" t="s">
        <v>1136</v>
      </c>
      <c r="H257" s="150" t="s">
        <v>1135</v>
      </c>
      <c r="I257" s="150" t="s">
        <v>1137</v>
      </c>
      <c r="J257" s="150" t="s">
        <v>1137</v>
      </c>
      <c r="K257" s="511" t="s">
        <v>389</v>
      </c>
      <c r="L257" s="392" t="s">
        <v>1703</v>
      </c>
      <c r="M257" s="343"/>
      <c r="N257" s="804">
        <v>2661893</v>
      </c>
      <c r="O257" s="70" t="s">
        <v>365</v>
      </c>
      <c r="P257" s="346"/>
      <c r="Q257" s="346" t="s">
        <v>1140</v>
      </c>
      <c r="R257" s="346"/>
      <c r="S257" s="150" t="s">
        <v>57</v>
      </c>
      <c r="T257" s="1" t="s">
        <v>1141</v>
      </c>
      <c r="U257" s="403"/>
      <c r="V257" s="406">
        <v>3300</v>
      </c>
      <c r="W257" s="406">
        <v>1500</v>
      </c>
      <c r="X257" s="425"/>
      <c r="Y257" s="71"/>
      <c r="Z257" s="784"/>
      <c r="AA257" s="780"/>
      <c r="AB257" s="780"/>
      <c r="AC257" s="428">
        <v>0</v>
      </c>
      <c r="AD257" s="429">
        <v>0</v>
      </c>
      <c r="AE257" s="429">
        <v>-1.6999999999999886</v>
      </c>
      <c r="AF257" s="429">
        <v>0</v>
      </c>
      <c r="AG257" s="363">
        <v>300</v>
      </c>
      <c r="AH257" s="360">
        <v>0</v>
      </c>
      <c r="AI257" s="360">
        <v>0</v>
      </c>
      <c r="AJ257" s="360">
        <v>0</v>
      </c>
      <c r="AK257" s="360">
        <v>0</v>
      </c>
      <c r="AL257" s="360">
        <f t="shared" si="14"/>
        <v>298.3</v>
      </c>
      <c r="AM257" s="362">
        <f>ERP_8[[#This Row],[2026 Working Total]]-ERP_8[[#This Row],[LE2 Final Submission]]</f>
        <v>-1201.7</v>
      </c>
      <c r="AN257" s="79">
        <v>300</v>
      </c>
      <c r="AO257" s="79">
        <f t="shared" si="15"/>
        <v>-301.7</v>
      </c>
      <c r="AP257" s="374">
        <f>SUM(ERP_8[[#This Row],[AP01]:[AP07]])-SUM(ERP_8[[#This Row],[AP01 LE2]:[AP07 LE2]])</f>
        <v>-1201.7</v>
      </c>
      <c r="AQ257" s="80"/>
      <c r="AR257" s="79">
        <f>ERP_8[[#This Row],[2026 Working Total to Budget/LE]]-ERP_8[[#This Row],[Giveback]]</f>
        <v>-1201.7</v>
      </c>
      <c r="AS257" s="81"/>
      <c r="AT257" s="375"/>
      <c r="AU257" s="375"/>
      <c r="AV257" s="375"/>
      <c r="AW257" s="375">
        <v>300</v>
      </c>
      <c r="AX257" s="375">
        <v>300</v>
      </c>
      <c r="AY257" s="375">
        <v>300</v>
      </c>
      <c r="AZ257" s="375">
        <v>300</v>
      </c>
      <c r="BA257" s="375">
        <v>300</v>
      </c>
      <c r="BB257" s="375">
        <v>0</v>
      </c>
      <c r="BC257" s="375">
        <v>0</v>
      </c>
      <c r="BD257" s="375">
        <v>0</v>
      </c>
      <c r="BE257" s="375">
        <v>0</v>
      </c>
      <c r="BF257" s="375">
        <v>1500</v>
      </c>
      <c r="BG257" s="79"/>
      <c r="BH257" s="79"/>
      <c r="BI257" s="79"/>
      <c r="BJ257" s="79">
        <v>300</v>
      </c>
      <c r="BK257" s="79">
        <v>300</v>
      </c>
      <c r="BL257" s="79">
        <v>300</v>
      </c>
      <c r="BM257" s="79">
        <v>300</v>
      </c>
      <c r="BN257" s="79">
        <v>300</v>
      </c>
      <c r="BO257" s="79">
        <v>0</v>
      </c>
      <c r="BP257" s="79">
        <v>0</v>
      </c>
      <c r="BQ257" s="79">
        <v>0</v>
      </c>
      <c r="BR257" s="79">
        <v>0</v>
      </c>
      <c r="BS257" s="79">
        <v>1500</v>
      </c>
    </row>
    <row r="258" spans="1:71" ht="15" hidden="1" customHeight="1">
      <c r="A258" s="66" t="s">
        <v>1897</v>
      </c>
      <c r="B258" s="737" t="s">
        <v>1898</v>
      </c>
      <c r="C258" s="346"/>
      <c r="D258" s="343" t="str">
        <f>_xlfn.TEXTJOIN("_",FALSE,E258,ERP_8[[#This Row],[Expense Category]],ERP_8[[#This Row],[Project Code*]])</f>
        <v>Dougherty, Chris_MANAGED SERVICES_IT-FGS0299-OG-US-00</v>
      </c>
      <c r="E258" s="343" t="s">
        <v>1135</v>
      </c>
      <c r="F258" s="346"/>
      <c r="G258" s="150" t="s">
        <v>1136</v>
      </c>
      <c r="H258" s="150" t="s">
        <v>1135</v>
      </c>
      <c r="I258" s="150" t="s">
        <v>1145</v>
      </c>
      <c r="J258" s="150" t="s">
        <v>1137</v>
      </c>
      <c r="K258" s="511" t="s">
        <v>389</v>
      </c>
      <c r="L258" s="778" t="s">
        <v>1703</v>
      </c>
      <c r="M258" s="343"/>
      <c r="N258" s="800" t="s">
        <v>1186</v>
      </c>
      <c r="O258" s="70" t="s">
        <v>365</v>
      </c>
      <c r="P258" s="346"/>
      <c r="Q258" s="346" t="s">
        <v>1140</v>
      </c>
      <c r="R258" s="346"/>
      <c r="S258" s="150" t="s">
        <v>57</v>
      </c>
      <c r="T258" s="150"/>
      <c r="U258" s="403"/>
      <c r="V258" s="406">
        <v>240000</v>
      </c>
      <c r="W258" s="406">
        <v>230345.91999999998</v>
      </c>
      <c r="X258" s="425"/>
      <c r="Y258" s="71"/>
      <c r="Z258" s="784">
        <v>18590.2</v>
      </c>
      <c r="AA258" s="780">
        <v>19113.38</v>
      </c>
      <c r="AB258" s="780">
        <v>12642.34</v>
      </c>
      <c r="AC258" s="428">
        <v>21280.7</v>
      </c>
      <c r="AD258" s="429">
        <v>14563.560000000001</v>
      </c>
      <c r="AE258" s="429">
        <v>26235.370000000003</v>
      </c>
      <c r="AF258" s="429">
        <v>25740.07</v>
      </c>
      <c r="AG258" s="363">
        <v>19000</v>
      </c>
      <c r="AH258" s="363">
        <v>19000</v>
      </c>
      <c r="AI258" s="363">
        <v>19000</v>
      </c>
      <c r="AJ258" s="363">
        <v>19000</v>
      </c>
      <c r="AK258" s="363">
        <v>19000</v>
      </c>
      <c r="AL258" s="360">
        <f t="shared" si="14"/>
        <v>233165.62</v>
      </c>
      <c r="AM258" s="362">
        <f>ERP_8[[#This Row],[2026 Working Total]]-ERP_8[[#This Row],[LE2 Final Submission]]</f>
        <v>2819.7000000000116</v>
      </c>
      <c r="AN258" s="79">
        <v>19000</v>
      </c>
      <c r="AO258" s="79">
        <f t="shared" si="15"/>
        <v>7235.3700000000026</v>
      </c>
      <c r="AP258" s="374">
        <f>SUM(ERP_8[[#This Row],[AP01]:[AP07]])-SUM(ERP_8[[#This Row],[AP01 LE2]:[AP07 LE2]])</f>
        <v>7819.6999999999971</v>
      </c>
      <c r="AQ258" s="80"/>
      <c r="AR258" s="79">
        <f>ERP_8[[#This Row],[2026 Working Total to Budget/LE]]-ERP_8[[#This Row],[Giveback]]</f>
        <v>2819.7000000000116</v>
      </c>
      <c r="AS258" s="81"/>
      <c r="AT258" s="375">
        <v>18590.2</v>
      </c>
      <c r="AU258" s="375">
        <v>19113.38</v>
      </c>
      <c r="AV258" s="375">
        <v>12642.34</v>
      </c>
      <c r="AW258" s="375">
        <v>20000</v>
      </c>
      <c r="AX258" s="375">
        <v>20000</v>
      </c>
      <c r="AY258" s="375">
        <v>20000</v>
      </c>
      <c r="AZ258" s="375">
        <v>20000</v>
      </c>
      <c r="BA258" s="375">
        <v>20000</v>
      </c>
      <c r="BB258" s="375">
        <v>20000</v>
      </c>
      <c r="BC258" s="375">
        <v>20000</v>
      </c>
      <c r="BD258" s="375">
        <v>20000</v>
      </c>
      <c r="BE258" s="375">
        <v>20000</v>
      </c>
      <c r="BF258" s="375">
        <v>230345.91999999998</v>
      </c>
      <c r="BG258" s="79">
        <v>18590.2</v>
      </c>
      <c r="BH258" s="79">
        <v>19113.38</v>
      </c>
      <c r="BI258" s="79">
        <v>12642.34</v>
      </c>
      <c r="BJ258" s="79">
        <v>20000</v>
      </c>
      <c r="BK258" s="79">
        <v>20000</v>
      </c>
      <c r="BL258" s="79">
        <v>20000</v>
      </c>
      <c r="BM258" s="79">
        <v>20000</v>
      </c>
      <c r="BN258" s="79">
        <v>20000</v>
      </c>
      <c r="BO258" s="79">
        <v>20000</v>
      </c>
      <c r="BP258" s="79">
        <v>20000</v>
      </c>
      <c r="BQ258" s="79">
        <v>20000</v>
      </c>
      <c r="BR258" s="79">
        <v>20000</v>
      </c>
      <c r="BS258" s="79">
        <v>230345.91999999998</v>
      </c>
    </row>
    <row r="259" spans="1:71" ht="15" hidden="1" customHeight="1">
      <c r="A259" s="66" t="s">
        <v>1899</v>
      </c>
      <c r="B259" s="737" t="s">
        <v>1900</v>
      </c>
      <c r="C259" s="346"/>
      <c r="D259" s="343" t="str">
        <f>_xlfn.TEXTJOIN("_",FALSE,E259,ERP_8[[#This Row],[Expense Category]],ERP_8[[#This Row],[Project Code*]])</f>
        <v>Dougherty, Chris_MANAGED SERVICES_IT-FGS0299-OG-US-00</v>
      </c>
      <c r="E259" s="343" t="s">
        <v>1135</v>
      </c>
      <c r="F259" s="346"/>
      <c r="G259" s="150" t="s">
        <v>1136</v>
      </c>
      <c r="H259" s="150" t="s">
        <v>1135</v>
      </c>
      <c r="I259" s="150" t="s">
        <v>1165</v>
      </c>
      <c r="J259" s="150" t="s">
        <v>1137</v>
      </c>
      <c r="K259" s="511" t="s">
        <v>389</v>
      </c>
      <c r="L259" s="392" t="s">
        <v>1703</v>
      </c>
      <c r="M259" s="343"/>
      <c r="N259" s="800" t="s">
        <v>1337</v>
      </c>
      <c r="O259" s="70" t="s">
        <v>365</v>
      </c>
      <c r="P259" s="346"/>
      <c r="Q259" s="346" t="s">
        <v>1140</v>
      </c>
      <c r="R259" s="346"/>
      <c r="S259" s="150" t="s">
        <v>57</v>
      </c>
      <c r="T259" s="150"/>
      <c r="U259" s="403"/>
      <c r="V259" s="406">
        <v>12000</v>
      </c>
      <c r="W259" s="406">
        <v>20372.89</v>
      </c>
      <c r="X259" s="425"/>
      <c r="Y259" s="71"/>
      <c r="Z259" s="784">
        <v>3485.94</v>
      </c>
      <c r="AA259" s="794">
        <v>4743.4799999999996</v>
      </c>
      <c r="AB259" s="794">
        <v>3143.47</v>
      </c>
      <c r="AC259" s="428">
        <v>1703.44</v>
      </c>
      <c r="AD259" s="429">
        <v>1676.8800000000003</v>
      </c>
      <c r="AE259" s="429">
        <v>3062.17</v>
      </c>
      <c r="AF259" s="429">
        <v>3519.44</v>
      </c>
      <c r="AG259" s="363">
        <v>1000</v>
      </c>
      <c r="AH259" s="363">
        <v>1000</v>
      </c>
      <c r="AI259" s="363">
        <v>1000</v>
      </c>
      <c r="AJ259" s="363">
        <v>1000</v>
      </c>
      <c r="AK259" s="363">
        <v>1000</v>
      </c>
      <c r="AL259" s="360">
        <f t="shared" si="14"/>
        <v>26334.82</v>
      </c>
      <c r="AM259" s="362">
        <f>ERP_8[[#This Row],[2026 Working Total]]-ERP_8[[#This Row],[LE2 Final Submission]]</f>
        <v>5961.93</v>
      </c>
      <c r="AN259" s="79">
        <v>1000</v>
      </c>
      <c r="AO259" s="79">
        <f t="shared" si="15"/>
        <v>2062.17</v>
      </c>
      <c r="AP259" s="374">
        <f>SUM(ERP_8[[#This Row],[AP01]:[AP07]])-SUM(ERP_8[[#This Row],[AP01 LE2]:[AP07 LE2]])</f>
        <v>5961.93</v>
      </c>
      <c r="AQ259" s="80"/>
      <c r="AR259" s="79">
        <f>ERP_8[[#This Row],[2026 Working Total to Budget/LE]]-ERP_8[[#This Row],[Giveback]]</f>
        <v>5961.93</v>
      </c>
      <c r="AS259" s="81"/>
      <c r="AT259" s="375">
        <v>3485.94</v>
      </c>
      <c r="AU259" s="375">
        <v>4743.4799999999996</v>
      </c>
      <c r="AV259" s="375">
        <v>3143.47</v>
      </c>
      <c r="AW259" s="375">
        <v>1000</v>
      </c>
      <c r="AX259" s="375">
        <v>1000</v>
      </c>
      <c r="AY259" s="375">
        <v>1000</v>
      </c>
      <c r="AZ259" s="375">
        <v>1000</v>
      </c>
      <c r="BA259" s="375">
        <v>1000</v>
      </c>
      <c r="BB259" s="375">
        <v>1000</v>
      </c>
      <c r="BC259" s="375">
        <v>1000</v>
      </c>
      <c r="BD259" s="375">
        <v>1000</v>
      </c>
      <c r="BE259" s="375">
        <v>1000</v>
      </c>
      <c r="BF259" s="375">
        <v>20372.89</v>
      </c>
      <c r="BG259" s="79">
        <v>3485.94</v>
      </c>
      <c r="BH259" s="79">
        <v>4743.4799999999996</v>
      </c>
      <c r="BI259" s="79">
        <v>3143.47</v>
      </c>
      <c r="BJ259" s="79">
        <v>1000</v>
      </c>
      <c r="BK259" s="79">
        <v>1000</v>
      </c>
      <c r="BL259" s="79">
        <v>1000</v>
      </c>
      <c r="BM259" s="79">
        <v>1000</v>
      </c>
      <c r="BN259" s="79">
        <v>1000</v>
      </c>
      <c r="BO259" s="79">
        <v>1000</v>
      </c>
      <c r="BP259" s="79">
        <v>1000</v>
      </c>
      <c r="BQ259" s="79">
        <v>1000</v>
      </c>
      <c r="BR259" s="79">
        <v>1000</v>
      </c>
      <c r="BS259" s="79">
        <v>20372.89</v>
      </c>
    </row>
    <row r="260" spans="1:71" ht="15" hidden="1" customHeight="1">
      <c r="A260" s="66" t="s">
        <v>1901</v>
      </c>
      <c r="B260" s="737" t="s">
        <v>465</v>
      </c>
      <c r="C260" s="346"/>
      <c r="D260" s="343" t="str">
        <f>_xlfn.TEXTJOIN("_",FALSE,E260,ERP_8[[#This Row],[Expense Category]],ERP_8[[#This Row],[Project Code*]])</f>
        <v>Dougherty, Chris_MANAGED SERVICES_IT-FGS0301-OG-US-00</v>
      </c>
      <c r="E260" s="343" t="s">
        <v>1135</v>
      </c>
      <c r="F260" s="346"/>
      <c r="G260" s="150" t="s">
        <v>1136</v>
      </c>
      <c r="H260" s="150" t="s">
        <v>1135</v>
      </c>
      <c r="I260" s="150" t="s">
        <v>1135</v>
      </c>
      <c r="J260" s="150" t="s">
        <v>1137</v>
      </c>
      <c r="K260" s="511" t="s">
        <v>389</v>
      </c>
      <c r="L260" s="392" t="s">
        <v>1855</v>
      </c>
      <c r="M260" s="343"/>
      <c r="N260" s="800" t="s">
        <v>1902</v>
      </c>
      <c r="O260" s="70" t="s">
        <v>466</v>
      </c>
      <c r="P260" s="346"/>
      <c r="Q260" s="346" t="s">
        <v>1140</v>
      </c>
      <c r="R260" s="346"/>
      <c r="S260" s="150" t="s">
        <v>57</v>
      </c>
      <c r="T260" s="150"/>
      <c r="U260" s="403"/>
      <c r="V260" s="406">
        <v>120000</v>
      </c>
      <c r="W260" s="406">
        <v>141134</v>
      </c>
      <c r="X260" s="425"/>
      <c r="Y260" s="71"/>
      <c r="Z260" s="784">
        <v>17770</v>
      </c>
      <c r="AA260" s="780">
        <v>18328</v>
      </c>
      <c r="AB260" s="780">
        <v>15036</v>
      </c>
      <c r="AC260" s="428">
        <v>16438</v>
      </c>
      <c r="AD260" s="429">
        <v>18792</v>
      </c>
      <c r="AE260" s="429">
        <v>20125</v>
      </c>
      <c r="AF260" s="429">
        <v>15614</v>
      </c>
      <c r="AG260" s="363">
        <v>10000</v>
      </c>
      <c r="AH260" s="363">
        <v>10000</v>
      </c>
      <c r="AI260" s="363">
        <v>10000</v>
      </c>
      <c r="AJ260" s="363">
        <v>10000</v>
      </c>
      <c r="AK260" s="363">
        <v>10000</v>
      </c>
      <c r="AL260" s="360">
        <f t="shared" si="14"/>
        <v>172103</v>
      </c>
      <c r="AM260" s="362">
        <f>ERP_8[[#This Row],[2026 Working Total]]-ERP_8[[#This Row],[LE2 Final Submission]]</f>
        <v>30969</v>
      </c>
      <c r="AN260" s="79">
        <v>10000</v>
      </c>
      <c r="AO260" s="79">
        <f t="shared" si="15"/>
        <v>10125</v>
      </c>
      <c r="AP260" s="374">
        <f>SUM(ERP_8[[#This Row],[AP01]:[AP07]])-SUM(ERP_8[[#This Row],[AP01 LE2]:[AP07 LE2]])</f>
        <v>30969</v>
      </c>
      <c r="AQ260" s="80"/>
      <c r="AR260" s="79">
        <f>ERP_8[[#This Row],[2026 Working Total to Budget/LE]]-ERP_8[[#This Row],[Giveback]]</f>
        <v>30969</v>
      </c>
      <c r="AS260" s="81"/>
      <c r="AT260" s="375">
        <v>17770</v>
      </c>
      <c r="AU260" s="375">
        <v>18328</v>
      </c>
      <c r="AV260" s="375">
        <v>15036</v>
      </c>
      <c r="AW260" s="375">
        <v>10000</v>
      </c>
      <c r="AX260" s="375">
        <v>10000</v>
      </c>
      <c r="AY260" s="375">
        <v>10000</v>
      </c>
      <c r="AZ260" s="375">
        <v>10000</v>
      </c>
      <c r="BA260" s="375">
        <v>10000</v>
      </c>
      <c r="BB260" s="375">
        <v>10000</v>
      </c>
      <c r="BC260" s="375">
        <v>10000</v>
      </c>
      <c r="BD260" s="375">
        <v>10000</v>
      </c>
      <c r="BE260" s="375">
        <v>10000</v>
      </c>
      <c r="BF260" s="375">
        <v>141134</v>
      </c>
      <c r="BG260" s="79">
        <v>17770</v>
      </c>
      <c r="BH260" s="79">
        <v>18328</v>
      </c>
      <c r="BI260" s="79">
        <v>15036</v>
      </c>
      <c r="BJ260" s="79">
        <v>10000</v>
      </c>
      <c r="BK260" s="79">
        <v>10000</v>
      </c>
      <c r="BL260" s="79">
        <v>10000</v>
      </c>
      <c r="BM260" s="79">
        <v>10000</v>
      </c>
      <c r="BN260" s="79">
        <v>10000</v>
      </c>
      <c r="BO260" s="79">
        <v>10000</v>
      </c>
      <c r="BP260" s="79">
        <v>10000</v>
      </c>
      <c r="BQ260" s="79">
        <v>10000</v>
      </c>
      <c r="BR260" s="79">
        <v>10000</v>
      </c>
      <c r="BS260" s="79">
        <v>141134</v>
      </c>
    </row>
    <row r="261" spans="1:71" ht="15" hidden="1" customHeight="1">
      <c r="A261" s="66" t="s">
        <v>1903</v>
      </c>
      <c r="B261" s="737" t="s">
        <v>1904</v>
      </c>
      <c r="C261" s="346"/>
      <c r="D261" s="343" t="str">
        <f>_xlfn.TEXTJOIN("_",FALSE,E261,ERP_8[[#This Row],[Expense Category]],ERP_8[[#This Row],[Project Code*]])</f>
        <v>Dougherty, Chris_MANAGED SERVICES_IT-FGS0301-OG-US-00</v>
      </c>
      <c r="E261" s="343" t="s">
        <v>1135</v>
      </c>
      <c r="F261" s="346"/>
      <c r="G261" s="150" t="s">
        <v>1136</v>
      </c>
      <c r="H261" s="150" t="s">
        <v>1135</v>
      </c>
      <c r="I261" s="150" t="s">
        <v>1137</v>
      </c>
      <c r="J261" s="150" t="s">
        <v>1137</v>
      </c>
      <c r="K261" s="511" t="s">
        <v>389</v>
      </c>
      <c r="L261" s="392" t="s">
        <v>1855</v>
      </c>
      <c r="M261" s="343"/>
      <c r="N261" s="800" t="s">
        <v>1905</v>
      </c>
      <c r="O261" s="70" t="s">
        <v>466</v>
      </c>
      <c r="P261" s="346"/>
      <c r="Q261" s="346" t="s">
        <v>1140</v>
      </c>
      <c r="R261" s="346"/>
      <c r="S261" s="150" t="s">
        <v>57</v>
      </c>
      <c r="T261" s="1" t="s">
        <v>1141</v>
      </c>
      <c r="U261" s="403"/>
      <c r="V261" s="406">
        <v>0</v>
      </c>
      <c r="W261" s="406">
        <v>12459.34</v>
      </c>
      <c r="X261" s="425"/>
      <c r="Y261" s="71"/>
      <c r="Z261" s="784">
        <v>3067.29</v>
      </c>
      <c r="AA261" s="780">
        <v>2981.39</v>
      </c>
      <c r="AB261" s="780">
        <v>1910.66</v>
      </c>
      <c r="AC261" s="428">
        <v>1410.86</v>
      </c>
      <c r="AD261" s="429">
        <v>2830.8900000000003</v>
      </c>
      <c r="AE261" s="429">
        <v>2863</v>
      </c>
      <c r="AF261" s="429">
        <v>3543.3600000000006</v>
      </c>
      <c r="AG261" s="363">
        <v>500</v>
      </c>
      <c r="AH261" s="363">
        <v>500</v>
      </c>
      <c r="AI261" s="363">
        <v>500</v>
      </c>
      <c r="AJ261" s="363">
        <v>500</v>
      </c>
      <c r="AK261" s="363">
        <v>500</v>
      </c>
      <c r="AL261" s="360">
        <f t="shared" si="14"/>
        <v>21107.45</v>
      </c>
      <c r="AM261" s="362">
        <f>ERP_8[[#This Row],[2026 Working Total]]-ERP_8[[#This Row],[LE2 Final Submission]]</f>
        <v>8648.11</v>
      </c>
      <c r="AN261" s="79">
        <v>500</v>
      </c>
      <c r="AO261" s="79">
        <f t="shared" si="15"/>
        <v>2363</v>
      </c>
      <c r="AP261" s="374">
        <f>SUM(ERP_8[[#This Row],[AP01]:[AP07]])-SUM(ERP_8[[#This Row],[AP01 LE2]:[AP07 LE2]])</f>
        <v>8648.11</v>
      </c>
      <c r="AQ261" s="80"/>
      <c r="AR261" s="79">
        <f>ERP_8[[#This Row],[2026 Working Total to Budget/LE]]-ERP_8[[#This Row],[Giveback]]</f>
        <v>8648.11</v>
      </c>
      <c r="AS261" s="81"/>
      <c r="AT261" s="375">
        <v>3067.29</v>
      </c>
      <c r="AU261" s="375">
        <v>2981.39</v>
      </c>
      <c r="AV261" s="375">
        <v>1910.66</v>
      </c>
      <c r="AW261" s="375">
        <v>500</v>
      </c>
      <c r="AX261" s="375">
        <v>500</v>
      </c>
      <c r="AY261" s="375">
        <v>500</v>
      </c>
      <c r="AZ261" s="375">
        <v>500</v>
      </c>
      <c r="BA261" s="375">
        <v>500</v>
      </c>
      <c r="BB261" s="375">
        <v>500</v>
      </c>
      <c r="BC261" s="375">
        <v>500</v>
      </c>
      <c r="BD261" s="375">
        <v>500</v>
      </c>
      <c r="BE261" s="375">
        <v>500</v>
      </c>
      <c r="BF261" s="375">
        <v>12459.34</v>
      </c>
      <c r="BG261" s="79">
        <v>3067.29</v>
      </c>
      <c r="BH261" s="79">
        <v>2981.39</v>
      </c>
      <c r="BI261" s="79">
        <v>1910.66</v>
      </c>
      <c r="BJ261" s="79">
        <v>500</v>
      </c>
      <c r="BK261" s="79">
        <v>500</v>
      </c>
      <c r="BL261" s="79">
        <v>500</v>
      </c>
      <c r="BM261" s="79">
        <v>500</v>
      </c>
      <c r="BN261" s="79">
        <v>500</v>
      </c>
      <c r="BO261" s="79">
        <v>500</v>
      </c>
      <c r="BP261" s="79">
        <v>500</v>
      </c>
      <c r="BQ261" s="79">
        <v>500</v>
      </c>
      <c r="BR261" s="79">
        <v>500</v>
      </c>
      <c r="BS261" s="79">
        <v>12459.34</v>
      </c>
    </row>
    <row r="262" spans="1:71" ht="15" hidden="1" customHeight="1">
      <c r="A262" s="66" t="s">
        <v>1906</v>
      </c>
      <c r="B262" s="737" t="s">
        <v>1907</v>
      </c>
      <c r="C262" s="346"/>
      <c r="D262" s="343" t="str">
        <f>_xlfn.TEXTJOIN("_",FALSE,E262,ERP_8[[#This Row],[Expense Category]],ERP_8[[#This Row],[Project Code*]])</f>
        <v>Dougherty, Chris_MANAGED SERVICES_IT-FGS0301-OG-US-00</v>
      </c>
      <c r="E262" s="343" t="s">
        <v>1135</v>
      </c>
      <c r="F262" s="346"/>
      <c r="G262" s="150" t="s">
        <v>1136</v>
      </c>
      <c r="H262" s="150" t="s">
        <v>1135</v>
      </c>
      <c r="I262" s="150" t="s">
        <v>1145</v>
      </c>
      <c r="J262" s="150" t="s">
        <v>1137</v>
      </c>
      <c r="K262" s="511" t="s">
        <v>389</v>
      </c>
      <c r="L262" s="778" t="s">
        <v>1855</v>
      </c>
      <c r="M262" s="343"/>
      <c r="N262" s="800" t="s">
        <v>1186</v>
      </c>
      <c r="O262" s="70" t="s">
        <v>466</v>
      </c>
      <c r="P262" s="346"/>
      <c r="Q262" s="346" t="s">
        <v>1140</v>
      </c>
      <c r="R262" s="346"/>
      <c r="S262" s="150" t="s">
        <v>57</v>
      </c>
      <c r="T262" s="150"/>
      <c r="U262" s="403"/>
      <c r="V262" s="406">
        <v>42000</v>
      </c>
      <c r="W262" s="406">
        <v>31512</v>
      </c>
      <c r="X262" s="425"/>
      <c r="Y262" s="71"/>
      <c r="Z262" s="784">
        <v>3202</v>
      </c>
      <c r="AA262" s="780">
        <v>2807</v>
      </c>
      <c r="AB262" s="780">
        <v>240</v>
      </c>
      <c r="AC262" s="428">
        <v>2458</v>
      </c>
      <c r="AD262" s="429">
        <v>2458</v>
      </c>
      <c r="AE262" s="429">
        <v>2786</v>
      </c>
      <c r="AF262" s="429">
        <v>2430</v>
      </c>
      <c r="AG262" s="363">
        <v>2458</v>
      </c>
      <c r="AH262" s="363">
        <v>2458</v>
      </c>
      <c r="AI262" s="363">
        <v>2458</v>
      </c>
      <c r="AJ262" s="363">
        <v>2458</v>
      </c>
      <c r="AK262" s="363">
        <v>2458</v>
      </c>
      <c r="AL262" s="360">
        <f t="shared" si="14"/>
        <v>28671</v>
      </c>
      <c r="AM262" s="362">
        <f>ERP_8[[#This Row],[2026 Working Total]]-ERP_8[[#This Row],[LE2 Final Submission]]</f>
        <v>-2841</v>
      </c>
      <c r="AN262" s="79">
        <v>2458</v>
      </c>
      <c r="AO262" s="79">
        <f t="shared" si="15"/>
        <v>328</v>
      </c>
      <c r="AP262" s="374">
        <f>SUM(ERP_8[[#This Row],[AP01]:[AP07]])-SUM(ERP_8[[#This Row],[AP01 LE2]:[AP07 LE2]])</f>
        <v>-1096</v>
      </c>
      <c r="AQ262" s="80"/>
      <c r="AR262" s="79">
        <f>ERP_8[[#This Row],[2026 Working Total to Budget/LE]]-ERP_8[[#This Row],[Giveback]]</f>
        <v>-2841</v>
      </c>
      <c r="AS262" s="81"/>
      <c r="AT262" s="375">
        <v>3202</v>
      </c>
      <c r="AU262" s="375">
        <v>2807</v>
      </c>
      <c r="AV262" s="375">
        <v>240</v>
      </c>
      <c r="AW262" s="375">
        <v>2807</v>
      </c>
      <c r="AX262" s="375">
        <v>2807</v>
      </c>
      <c r="AY262" s="375">
        <v>2807</v>
      </c>
      <c r="AZ262" s="375">
        <v>2807</v>
      </c>
      <c r="BA262" s="375">
        <v>2807</v>
      </c>
      <c r="BB262" s="375">
        <v>2807</v>
      </c>
      <c r="BC262" s="375">
        <v>2807</v>
      </c>
      <c r="BD262" s="375">
        <v>2807</v>
      </c>
      <c r="BE262" s="375">
        <v>2807</v>
      </c>
      <c r="BF262" s="375">
        <v>31512</v>
      </c>
      <c r="BG262" s="79">
        <v>3202</v>
      </c>
      <c r="BH262" s="79">
        <v>2807</v>
      </c>
      <c r="BI262" s="79">
        <v>240</v>
      </c>
      <c r="BJ262" s="79">
        <v>2807</v>
      </c>
      <c r="BK262" s="79">
        <v>2807</v>
      </c>
      <c r="BL262" s="79">
        <v>2807</v>
      </c>
      <c r="BM262" s="79">
        <v>2807</v>
      </c>
      <c r="BN262" s="79">
        <v>2807</v>
      </c>
      <c r="BO262" s="79">
        <v>2807</v>
      </c>
      <c r="BP262" s="79">
        <v>2807</v>
      </c>
      <c r="BQ262" s="79">
        <v>2807</v>
      </c>
      <c r="BR262" s="79">
        <v>2807</v>
      </c>
      <c r="BS262" s="79">
        <v>31512</v>
      </c>
    </row>
    <row r="263" spans="1:71" ht="15" hidden="1" customHeight="1">
      <c r="A263" s="66" t="s">
        <v>1908</v>
      </c>
      <c r="B263" s="737" t="s">
        <v>1909</v>
      </c>
      <c r="C263" s="346"/>
      <c r="D263" s="343" t="str">
        <f>_xlfn.TEXTJOIN("_",FALSE,E263,ERP_8[[#This Row],[Expense Category]],ERP_8[[#This Row],[Project Code*]])</f>
        <v>Dougherty, Chris_MANAGED SERVICES_IT-FGS0301-OG-US-00</v>
      </c>
      <c r="E263" s="343" t="s">
        <v>1135</v>
      </c>
      <c r="F263" s="346"/>
      <c r="G263" s="150" t="s">
        <v>1136</v>
      </c>
      <c r="H263" s="150" t="s">
        <v>1135</v>
      </c>
      <c r="I263" s="150" t="s">
        <v>1156</v>
      </c>
      <c r="J263" s="150" t="s">
        <v>1137</v>
      </c>
      <c r="K263" s="511" t="s">
        <v>389</v>
      </c>
      <c r="L263" s="392" t="s">
        <v>1855</v>
      </c>
      <c r="M263" s="343"/>
      <c r="N263" s="800" t="s">
        <v>1804</v>
      </c>
      <c r="O263" s="70" t="s">
        <v>466</v>
      </c>
      <c r="P263" s="346"/>
      <c r="Q263" s="346" t="s">
        <v>1140</v>
      </c>
      <c r="R263" s="346"/>
      <c r="S263" s="150" t="s">
        <v>57</v>
      </c>
      <c r="T263" s="150"/>
      <c r="U263" s="403"/>
      <c r="V263" s="406">
        <v>0</v>
      </c>
      <c r="W263" s="406">
        <v>3535</v>
      </c>
      <c r="X263" s="425"/>
      <c r="Y263" s="71"/>
      <c r="Z263" s="784">
        <v>60</v>
      </c>
      <c r="AA263" s="794">
        <v>0</v>
      </c>
      <c r="AB263" s="794">
        <v>3475</v>
      </c>
      <c r="AC263" s="428">
        <v>0</v>
      </c>
      <c r="AD263" s="429">
        <v>0</v>
      </c>
      <c r="AE263" s="429">
        <v>0</v>
      </c>
      <c r="AF263" s="429">
        <v>0</v>
      </c>
      <c r="AG263" s="360">
        <v>0</v>
      </c>
      <c r="AH263" s="360">
        <v>0</v>
      </c>
      <c r="AI263" s="360">
        <v>0</v>
      </c>
      <c r="AJ263" s="360">
        <v>0</v>
      </c>
      <c r="AK263" s="360">
        <v>0</v>
      </c>
      <c r="AL263" s="360">
        <f t="shared" si="14"/>
        <v>3535</v>
      </c>
      <c r="AM263" s="362">
        <f>ERP_8[[#This Row],[2026 Working Total]]-ERP_8[[#This Row],[LE2 Final Submission]]</f>
        <v>0</v>
      </c>
      <c r="AN263" s="79">
        <v>0</v>
      </c>
      <c r="AO263" s="79">
        <f t="shared" si="15"/>
        <v>0</v>
      </c>
      <c r="AP263" s="374">
        <f>SUM(ERP_8[[#This Row],[AP01]:[AP07]])-SUM(ERP_8[[#This Row],[AP01 LE2]:[AP07 LE2]])</f>
        <v>0</v>
      </c>
      <c r="AQ263" s="80"/>
      <c r="AR263" s="79">
        <f>ERP_8[[#This Row],[2026 Working Total to Budget/LE]]-ERP_8[[#This Row],[Giveback]]</f>
        <v>0</v>
      </c>
      <c r="AS263" s="81"/>
      <c r="AT263" s="375">
        <v>60</v>
      </c>
      <c r="AU263" s="375">
        <v>0</v>
      </c>
      <c r="AV263" s="375">
        <v>3475</v>
      </c>
      <c r="AW263" s="375">
        <v>0</v>
      </c>
      <c r="AX263" s="375">
        <v>0</v>
      </c>
      <c r="AY263" s="375">
        <v>0</v>
      </c>
      <c r="AZ263" s="375">
        <v>0</v>
      </c>
      <c r="BA263" s="375">
        <v>0</v>
      </c>
      <c r="BB263" s="375">
        <v>0</v>
      </c>
      <c r="BC263" s="375">
        <v>0</v>
      </c>
      <c r="BD263" s="375">
        <v>0</v>
      </c>
      <c r="BE263" s="375">
        <v>0</v>
      </c>
      <c r="BF263" s="375">
        <v>3535</v>
      </c>
      <c r="BG263" s="79">
        <v>60</v>
      </c>
      <c r="BH263" s="79">
        <v>0</v>
      </c>
      <c r="BI263" s="79">
        <v>3475</v>
      </c>
      <c r="BJ263" s="79">
        <v>0</v>
      </c>
      <c r="BK263" s="79">
        <v>0</v>
      </c>
      <c r="BL263" s="79">
        <v>0</v>
      </c>
      <c r="BM263" s="79">
        <v>0</v>
      </c>
      <c r="BN263" s="79">
        <v>0</v>
      </c>
      <c r="BO263" s="79">
        <v>0</v>
      </c>
      <c r="BP263" s="79">
        <v>0</v>
      </c>
      <c r="BQ263" s="79">
        <v>0</v>
      </c>
      <c r="BR263" s="79">
        <v>0</v>
      </c>
      <c r="BS263" s="79">
        <v>3535</v>
      </c>
    </row>
    <row r="264" spans="1:71" ht="15" hidden="1" customHeight="1">
      <c r="A264" s="66" t="s">
        <v>1910</v>
      </c>
      <c r="B264" s="737" t="s">
        <v>1911</v>
      </c>
      <c r="C264" s="346"/>
      <c r="D264" s="343" t="str">
        <f>_xlfn.TEXTJOIN("_",FALSE,E264,ERP_8[[#This Row],[Expense Category]],ERP_8[[#This Row],[Project Code*]])</f>
        <v>Dougherty, Chris_MANAGED SERVICES_IT-FGS0301-OG-US-00</v>
      </c>
      <c r="E264" s="343" t="s">
        <v>1135</v>
      </c>
      <c r="F264" s="346"/>
      <c r="G264" s="150" t="s">
        <v>1136</v>
      </c>
      <c r="H264" s="150" t="s">
        <v>1135</v>
      </c>
      <c r="I264" s="150" t="s">
        <v>1161</v>
      </c>
      <c r="J264" s="150" t="s">
        <v>1137</v>
      </c>
      <c r="K264" s="511" t="s">
        <v>389</v>
      </c>
      <c r="L264" s="392" t="s">
        <v>1855</v>
      </c>
      <c r="M264" s="343"/>
      <c r="N264" s="800"/>
      <c r="O264" s="70" t="s">
        <v>466</v>
      </c>
      <c r="P264" s="346"/>
      <c r="Q264" s="346" t="s">
        <v>1140</v>
      </c>
      <c r="R264" s="346"/>
      <c r="S264" s="150" t="s">
        <v>57</v>
      </c>
      <c r="T264" s="150"/>
      <c r="U264" s="403"/>
      <c r="V264" s="406">
        <v>0</v>
      </c>
      <c r="W264" s="406">
        <v>1245</v>
      </c>
      <c r="X264" s="425"/>
      <c r="Y264" s="71"/>
      <c r="Z264" s="784"/>
      <c r="AA264" s="794"/>
      <c r="AB264" s="794">
        <v>1245</v>
      </c>
      <c r="AC264" s="428">
        <v>0</v>
      </c>
      <c r="AD264" s="429">
        <v>0</v>
      </c>
      <c r="AE264" s="429">
        <v>0</v>
      </c>
      <c r="AF264" s="429">
        <v>0</v>
      </c>
      <c r="AG264" s="360">
        <v>0</v>
      </c>
      <c r="AH264" s="360">
        <v>0</v>
      </c>
      <c r="AI264" s="360">
        <v>0</v>
      </c>
      <c r="AJ264" s="360">
        <v>0</v>
      </c>
      <c r="AK264" s="360">
        <v>0</v>
      </c>
      <c r="AL264" s="360">
        <f t="shared" si="14"/>
        <v>1245</v>
      </c>
      <c r="AM264" s="362">
        <f>ERP_8[[#This Row],[2026 Working Total]]-ERP_8[[#This Row],[LE2 Final Submission]]</f>
        <v>0</v>
      </c>
      <c r="AN264" s="79">
        <v>0</v>
      </c>
      <c r="AO264" s="79">
        <f t="shared" si="15"/>
        <v>0</v>
      </c>
      <c r="AP264" s="374">
        <f>SUM(ERP_8[[#This Row],[AP01]:[AP07]])-SUM(ERP_8[[#This Row],[AP01 LE2]:[AP07 LE2]])</f>
        <v>0</v>
      </c>
      <c r="AQ264" s="80"/>
      <c r="AR264" s="79">
        <f>ERP_8[[#This Row],[2026 Working Total to Budget/LE]]-ERP_8[[#This Row],[Giveback]]</f>
        <v>0</v>
      </c>
      <c r="AS264" s="81"/>
      <c r="AT264" s="375"/>
      <c r="AU264" s="375"/>
      <c r="AV264" s="375">
        <v>1245</v>
      </c>
      <c r="AW264" s="375">
        <v>0</v>
      </c>
      <c r="AX264" s="375">
        <v>0</v>
      </c>
      <c r="AY264" s="375">
        <v>0</v>
      </c>
      <c r="AZ264" s="375">
        <v>0</v>
      </c>
      <c r="BA264" s="375">
        <v>0</v>
      </c>
      <c r="BB264" s="375">
        <v>0</v>
      </c>
      <c r="BC264" s="375">
        <v>0</v>
      </c>
      <c r="BD264" s="375">
        <v>0</v>
      </c>
      <c r="BE264" s="375">
        <v>0</v>
      </c>
      <c r="BF264" s="375">
        <v>1245</v>
      </c>
      <c r="BG264" s="79"/>
      <c r="BH264" s="79"/>
      <c r="BI264" s="79">
        <v>1245</v>
      </c>
      <c r="BJ264" s="79">
        <v>0</v>
      </c>
      <c r="BK264" s="79">
        <v>0</v>
      </c>
      <c r="BL264" s="79">
        <v>0</v>
      </c>
      <c r="BM264" s="79">
        <v>0</v>
      </c>
      <c r="BN264" s="79">
        <v>0</v>
      </c>
      <c r="BO264" s="79">
        <v>0</v>
      </c>
      <c r="BP264" s="79">
        <v>0</v>
      </c>
      <c r="BQ264" s="79">
        <v>0</v>
      </c>
      <c r="BR264" s="79">
        <v>0</v>
      </c>
      <c r="BS264" s="79">
        <v>1245</v>
      </c>
    </row>
    <row r="265" spans="1:71" ht="15" hidden="1" customHeight="1">
      <c r="A265" s="66" t="s">
        <v>1912</v>
      </c>
      <c r="B265" s="737" t="s">
        <v>1913</v>
      </c>
      <c r="C265" s="346"/>
      <c r="D265" s="343" t="str">
        <f>_xlfn.TEXTJOIN("_",FALSE,E265,ERP_8[[#This Row],[Expense Category]],ERP_8[[#This Row],[Project Code*]])</f>
        <v>Dougherty, Chris_MANAGED SERVICES_IT-FGS0301-OG-US-00</v>
      </c>
      <c r="E265" s="343" t="s">
        <v>1135</v>
      </c>
      <c r="F265" s="346"/>
      <c r="G265" s="150" t="s">
        <v>1136</v>
      </c>
      <c r="H265" s="150" t="s">
        <v>1135</v>
      </c>
      <c r="I265" s="150" t="s">
        <v>1165</v>
      </c>
      <c r="J265" s="150" t="s">
        <v>1137</v>
      </c>
      <c r="K265" s="511" t="s">
        <v>389</v>
      </c>
      <c r="L265" s="392" t="s">
        <v>1855</v>
      </c>
      <c r="M265" s="343"/>
      <c r="N265" s="800" t="s">
        <v>1175</v>
      </c>
      <c r="O265" s="70" t="s">
        <v>466</v>
      </c>
      <c r="P265" s="346"/>
      <c r="Q265" s="346" t="s">
        <v>1140</v>
      </c>
      <c r="R265" s="346"/>
      <c r="S265" s="150" t="s">
        <v>57</v>
      </c>
      <c r="T265" s="150"/>
      <c r="U265" s="403"/>
      <c r="V265" s="406">
        <v>120000</v>
      </c>
      <c r="W265" s="406">
        <v>114396</v>
      </c>
      <c r="X265" s="425"/>
      <c r="Y265" s="71"/>
      <c r="Z265" s="784">
        <v>8661</v>
      </c>
      <c r="AA265" s="794">
        <v>6471</v>
      </c>
      <c r="AB265" s="794">
        <v>9264</v>
      </c>
      <c r="AC265" s="428">
        <v>5219</v>
      </c>
      <c r="AD265" s="429">
        <v>5092</v>
      </c>
      <c r="AE265" s="429">
        <v>6559</v>
      </c>
      <c r="AF265" s="429">
        <v>4228</v>
      </c>
      <c r="AG265" s="363">
        <v>15772</v>
      </c>
      <c r="AH265" s="363">
        <v>10000</v>
      </c>
      <c r="AI265" s="363">
        <v>10000</v>
      </c>
      <c r="AJ265" s="363">
        <v>10000</v>
      </c>
      <c r="AK265" s="363">
        <v>10000</v>
      </c>
      <c r="AL265" s="360">
        <f t="shared" si="14"/>
        <v>101266</v>
      </c>
      <c r="AM265" s="362">
        <f>ERP_8[[#This Row],[2026 Working Total]]-ERP_8[[#This Row],[LE2 Final Submission]]</f>
        <v>-13130</v>
      </c>
      <c r="AN265" s="79">
        <v>10000</v>
      </c>
      <c r="AO265" s="79">
        <f t="shared" si="15"/>
        <v>-3441</v>
      </c>
      <c r="AP265" s="374">
        <f>SUM(ERP_8[[#This Row],[AP01]:[AP07]])-SUM(ERP_8[[#This Row],[AP01 LE2]:[AP07 LE2]])</f>
        <v>-18902</v>
      </c>
      <c r="AQ265" s="80"/>
      <c r="AR265" s="79">
        <f>ERP_8[[#This Row],[2026 Working Total to Budget/LE]]-ERP_8[[#This Row],[Giveback]]</f>
        <v>-13130</v>
      </c>
      <c r="AS265" s="81"/>
      <c r="AT265" s="375">
        <v>8661</v>
      </c>
      <c r="AU265" s="375">
        <v>6471</v>
      </c>
      <c r="AV265" s="375">
        <v>9264</v>
      </c>
      <c r="AW265" s="375">
        <v>10000</v>
      </c>
      <c r="AX265" s="375">
        <v>10000</v>
      </c>
      <c r="AY265" s="375">
        <v>10000</v>
      </c>
      <c r="AZ265" s="375">
        <v>10000</v>
      </c>
      <c r="BA265" s="375">
        <v>10000</v>
      </c>
      <c r="BB265" s="375">
        <v>10000</v>
      </c>
      <c r="BC265" s="375">
        <v>10000</v>
      </c>
      <c r="BD265" s="375">
        <v>10000</v>
      </c>
      <c r="BE265" s="375">
        <v>10000</v>
      </c>
      <c r="BF265" s="375">
        <v>114396</v>
      </c>
      <c r="BG265" s="79">
        <v>8661</v>
      </c>
      <c r="BH265" s="79">
        <v>6471</v>
      </c>
      <c r="BI265" s="79">
        <v>9264</v>
      </c>
      <c r="BJ265" s="79">
        <v>10000</v>
      </c>
      <c r="BK265" s="79">
        <v>10000</v>
      </c>
      <c r="BL265" s="79">
        <v>10000</v>
      </c>
      <c r="BM265" s="79">
        <v>10000</v>
      </c>
      <c r="BN265" s="79">
        <v>10000</v>
      </c>
      <c r="BO265" s="79">
        <v>10000</v>
      </c>
      <c r="BP265" s="79">
        <v>10000</v>
      </c>
      <c r="BQ265" s="79">
        <v>10000</v>
      </c>
      <c r="BR265" s="79">
        <v>10000</v>
      </c>
      <c r="BS265" s="79">
        <v>114396</v>
      </c>
    </row>
    <row r="266" spans="1:71" ht="15" hidden="1" customHeight="1">
      <c r="A266" s="66" t="s">
        <v>1914</v>
      </c>
      <c r="B266" s="737" t="s">
        <v>1915</v>
      </c>
      <c r="C266" s="346"/>
      <c r="D266" s="343" t="str">
        <f>_xlfn.TEXTJOIN("_",FALSE,E266,ERP_8[[#This Row],[Expense Category]],ERP_8[[#This Row],[Project Code*]])</f>
        <v>Dougherty, Chris_MANAGED SERVICES_IT-HRD0005-OG-US-SS</v>
      </c>
      <c r="E266" s="343" t="s">
        <v>1135</v>
      </c>
      <c r="F266" s="346"/>
      <c r="G266" s="150" t="s">
        <v>1136</v>
      </c>
      <c r="H266" s="150" t="s">
        <v>1135</v>
      </c>
      <c r="I266" s="150" t="s">
        <v>1145</v>
      </c>
      <c r="J266" s="150" t="s">
        <v>1137</v>
      </c>
      <c r="K266" s="511" t="s">
        <v>389</v>
      </c>
      <c r="L266" s="778" t="s">
        <v>1916</v>
      </c>
      <c r="M266" s="343"/>
      <c r="N266" s="802" t="s">
        <v>1186</v>
      </c>
      <c r="O266" s="70" t="s">
        <v>468</v>
      </c>
      <c r="P266" s="346"/>
      <c r="Q266" s="346" t="s">
        <v>1917</v>
      </c>
      <c r="R266" s="346"/>
      <c r="S266" s="150" t="s">
        <v>25</v>
      </c>
      <c r="T266" s="150" t="s">
        <v>1918</v>
      </c>
      <c r="U266" s="403"/>
      <c r="V266" s="406">
        <v>301000</v>
      </c>
      <c r="W266" s="406">
        <v>305973.58</v>
      </c>
      <c r="X266" s="425"/>
      <c r="Y266" s="71"/>
      <c r="Z266" s="784">
        <v>80223.58</v>
      </c>
      <c r="AA266" s="780">
        <v>0</v>
      </c>
      <c r="AB266" s="780">
        <v>0</v>
      </c>
      <c r="AC266" s="428">
        <v>80223.58</v>
      </c>
      <c r="AD266" s="429">
        <v>0</v>
      </c>
      <c r="AE266" s="429">
        <v>0</v>
      </c>
      <c r="AF266" s="429">
        <v>80223.58</v>
      </c>
      <c r="AG266" s="360"/>
      <c r="AH266" s="360">
        <v>0</v>
      </c>
      <c r="AI266" s="360">
        <v>65303</v>
      </c>
      <c r="AJ266" s="360">
        <v>0</v>
      </c>
      <c r="AK266" s="360">
        <v>0</v>
      </c>
      <c r="AL266" s="360">
        <f t="shared" si="14"/>
        <v>305973.74</v>
      </c>
      <c r="AM266" s="362">
        <f>ERP_8[[#This Row],[2026 Working Total]]-ERP_8[[#This Row],[LE2 Final Submission]]</f>
        <v>0.15999999997438863</v>
      </c>
      <c r="AN266" s="79">
        <v>0</v>
      </c>
      <c r="AO266" s="79">
        <f t="shared" si="15"/>
        <v>0</v>
      </c>
      <c r="AP266" s="374">
        <f>SUM(ERP_8[[#This Row],[AP01]:[AP07]])-SUM(ERP_8[[#This Row],[AP01 LE2]:[AP07 LE2]])</f>
        <v>9947.1599999999744</v>
      </c>
      <c r="AQ266" s="80"/>
      <c r="AR266" s="79">
        <f>ERP_8[[#This Row],[2026 Working Total to Budget/LE]]-ERP_8[[#This Row],[Giveback]]</f>
        <v>0.15999999997438863</v>
      </c>
      <c r="AS266" s="81"/>
      <c r="AT266" s="375">
        <v>80223.58</v>
      </c>
      <c r="AU266" s="375">
        <v>0</v>
      </c>
      <c r="AV266" s="375">
        <v>0</v>
      </c>
      <c r="AW266" s="375">
        <v>75250</v>
      </c>
      <c r="AX266" s="375">
        <v>0</v>
      </c>
      <c r="AY266" s="375">
        <v>0</v>
      </c>
      <c r="AZ266" s="375">
        <v>75250</v>
      </c>
      <c r="BA266" s="375">
        <v>0</v>
      </c>
      <c r="BB266" s="375">
        <v>0</v>
      </c>
      <c r="BC266" s="375">
        <v>75250</v>
      </c>
      <c r="BD266" s="375">
        <v>0</v>
      </c>
      <c r="BE266" s="375">
        <v>0</v>
      </c>
      <c r="BF266" s="375">
        <v>305973.58</v>
      </c>
      <c r="BG266" s="79">
        <v>80223.58</v>
      </c>
      <c r="BH266" s="79">
        <v>0</v>
      </c>
      <c r="BI266" s="79">
        <v>0</v>
      </c>
      <c r="BJ266" s="79">
        <v>75250</v>
      </c>
      <c r="BK266" s="79">
        <v>0</v>
      </c>
      <c r="BL266" s="79">
        <v>0</v>
      </c>
      <c r="BM266" s="79">
        <v>75250</v>
      </c>
      <c r="BN266" s="79">
        <v>0</v>
      </c>
      <c r="BO266" s="79">
        <v>0</v>
      </c>
      <c r="BP266" s="79">
        <v>75250</v>
      </c>
      <c r="BQ266" s="79">
        <v>0</v>
      </c>
      <c r="BR266" s="79">
        <v>0</v>
      </c>
      <c r="BS266" s="79">
        <v>305973.58</v>
      </c>
    </row>
    <row r="267" spans="1:71" ht="15" hidden="1" customHeight="1">
      <c r="A267" s="66" t="s">
        <v>1919</v>
      </c>
      <c r="B267" s="737" t="s">
        <v>1920</v>
      </c>
      <c r="C267" s="346"/>
      <c r="D267" s="343" t="str">
        <f>_xlfn.TEXTJOIN("_",FALSE,E267,ERP_8[[#This Row],[Expense Category]],ERP_8[[#This Row],[Project Code*]])</f>
        <v>Dougherty, Chris_MANAGED SERVICES_IT-HRD0006-OG-US-DH</v>
      </c>
      <c r="E267" s="343" t="s">
        <v>1135</v>
      </c>
      <c r="F267" s="346"/>
      <c r="G267" s="150" t="s">
        <v>1136</v>
      </c>
      <c r="H267" s="150" t="s">
        <v>1135</v>
      </c>
      <c r="I267" s="150" t="s">
        <v>1145</v>
      </c>
      <c r="J267" s="150" t="s">
        <v>1137</v>
      </c>
      <c r="K267" s="511" t="s">
        <v>389</v>
      </c>
      <c r="L267" s="778" t="s">
        <v>1921</v>
      </c>
      <c r="M267" s="343"/>
      <c r="N267" s="802" t="s">
        <v>1186</v>
      </c>
      <c r="O267" s="70" t="s">
        <v>470</v>
      </c>
      <c r="P267" s="346"/>
      <c r="Q267" s="346" t="s">
        <v>1922</v>
      </c>
      <c r="R267" s="346"/>
      <c r="S267" s="150" t="s">
        <v>25</v>
      </c>
      <c r="T267" s="150" t="s">
        <v>1923</v>
      </c>
      <c r="U267" s="403"/>
      <c r="V267" s="406">
        <v>282792</v>
      </c>
      <c r="W267" s="406">
        <v>282791.93</v>
      </c>
      <c r="X267" s="425"/>
      <c r="Y267" s="71"/>
      <c r="Z267" s="784">
        <v>70697.440000000002</v>
      </c>
      <c r="AA267" s="780">
        <v>0.49</v>
      </c>
      <c r="AB267" s="780">
        <v>0</v>
      </c>
      <c r="AC267" s="428">
        <v>9484.4399999999951</v>
      </c>
      <c r="AD267" s="429">
        <v>0</v>
      </c>
      <c r="AE267" s="429">
        <v>0</v>
      </c>
      <c r="AF267" s="429">
        <v>70697.929999999993</v>
      </c>
      <c r="AG267" s="364"/>
      <c r="AH267" s="360">
        <v>0</v>
      </c>
      <c r="AI267" s="364">
        <v>60500</v>
      </c>
      <c r="AJ267" s="363">
        <v>70698</v>
      </c>
      <c r="AK267" s="360">
        <v>0</v>
      </c>
      <c r="AL267" s="360">
        <f t="shared" ref="AL267:AL298" si="16">SUM(Z267:AK267)</f>
        <v>282078.3</v>
      </c>
      <c r="AM267" s="362">
        <f>ERP_8[[#This Row],[2026 Working Total]]-ERP_8[[#This Row],[LE2 Final Submission]]</f>
        <v>-713.63000000000466</v>
      </c>
      <c r="AN267" s="79"/>
      <c r="AO267" s="79">
        <f t="shared" ref="AO267:AO298" si="17">$AE267 - $AN267</f>
        <v>0</v>
      </c>
      <c r="AP267" s="374">
        <f>SUM(ERP_8[[#This Row],[AP01]:[AP07]])-SUM(ERP_8[[#This Row],[AP01 LE2]:[AP07 LE2]])</f>
        <v>-61213.630000000005</v>
      </c>
      <c r="AQ267" s="80"/>
      <c r="AR267" s="79">
        <f>ERP_8[[#This Row],[2026 Working Total to Budget/LE]]-ERP_8[[#This Row],[Giveback]]</f>
        <v>-713.63000000000466</v>
      </c>
      <c r="AS267" s="81"/>
      <c r="AT267" s="375">
        <v>70697.440000000002</v>
      </c>
      <c r="AU267" s="375">
        <v>0.49</v>
      </c>
      <c r="AV267" s="375">
        <v>0</v>
      </c>
      <c r="AW267" s="375">
        <v>70698</v>
      </c>
      <c r="AX267" s="375">
        <v>0</v>
      </c>
      <c r="AY267" s="375">
        <v>0</v>
      </c>
      <c r="AZ267" s="375">
        <v>70698</v>
      </c>
      <c r="BA267" s="375">
        <v>0</v>
      </c>
      <c r="BB267" s="375">
        <v>0</v>
      </c>
      <c r="BC267" s="375">
        <v>70698</v>
      </c>
      <c r="BD267" s="375">
        <v>0</v>
      </c>
      <c r="BE267" s="375">
        <v>0</v>
      </c>
      <c r="BF267" s="375">
        <v>282791.93</v>
      </c>
      <c r="BG267" s="79">
        <v>70697.440000000002</v>
      </c>
      <c r="BH267" s="79">
        <v>0.49</v>
      </c>
      <c r="BI267" s="79">
        <v>0</v>
      </c>
      <c r="BJ267" s="79">
        <v>70698</v>
      </c>
      <c r="BK267" s="79">
        <v>0</v>
      </c>
      <c r="BL267" s="79">
        <v>0</v>
      </c>
      <c r="BM267" s="79">
        <v>70698</v>
      </c>
      <c r="BN267" s="79">
        <v>0</v>
      </c>
      <c r="BO267" s="79">
        <v>0</v>
      </c>
      <c r="BP267" s="79">
        <v>70698</v>
      </c>
      <c r="BQ267" s="79">
        <v>0</v>
      </c>
      <c r="BR267" s="79">
        <v>0</v>
      </c>
      <c r="BS267" s="79">
        <v>282791.93</v>
      </c>
    </row>
    <row r="268" spans="1:71" ht="15" hidden="1" customHeight="1">
      <c r="A268" s="66" t="s">
        <v>1924</v>
      </c>
      <c r="B268" s="737" t="s">
        <v>471</v>
      </c>
      <c r="C268" s="346"/>
      <c r="D268" s="343" t="str">
        <f>_xlfn.TEXTJOIN("_",FALSE,E268,ERP_8[[#This Row],[Expense Category]],ERP_8[[#This Row],[Project Code*]])</f>
        <v>Dougherty, Chris_MANAGED SERVICES_IT-MGS0168-OG-US-00</v>
      </c>
      <c r="E268" s="343" t="s">
        <v>1135</v>
      </c>
      <c r="F268" s="346"/>
      <c r="G268" s="150" t="s">
        <v>1136</v>
      </c>
      <c r="H268" s="150" t="s">
        <v>1135</v>
      </c>
      <c r="I268" s="150" t="s">
        <v>1135</v>
      </c>
      <c r="J268" s="150" t="s">
        <v>1137</v>
      </c>
      <c r="K268" s="511" t="s">
        <v>389</v>
      </c>
      <c r="L268" s="393" t="s">
        <v>1319</v>
      </c>
      <c r="M268" s="343"/>
      <c r="N268" s="804">
        <v>2321402</v>
      </c>
      <c r="O268" s="70" t="s">
        <v>145</v>
      </c>
      <c r="P268" s="346" t="s">
        <v>1139</v>
      </c>
      <c r="Q268" s="343"/>
      <c r="R268" s="346"/>
      <c r="S268" s="150" t="s">
        <v>25</v>
      </c>
      <c r="T268" s="150"/>
      <c r="U268" s="403"/>
      <c r="V268" s="406">
        <v>0</v>
      </c>
      <c r="W268" s="406">
        <v>1472196.6600000001</v>
      </c>
      <c r="X268" s="430"/>
      <c r="Y268" s="137"/>
      <c r="Z268" s="784"/>
      <c r="AA268" s="780">
        <v>245366</v>
      </c>
      <c r="AB268" s="780">
        <v>122683.66</v>
      </c>
      <c r="AC268" s="428">
        <v>101112.98</v>
      </c>
      <c r="AD268" s="429">
        <v>144254.16</v>
      </c>
      <c r="AE268" s="429">
        <v>122682.85</v>
      </c>
      <c r="AF268" s="429">
        <v>101112.99</v>
      </c>
      <c r="AG268" s="363">
        <f>122683+21570</f>
        <v>144253</v>
      </c>
      <c r="AH268" s="363">
        <v>122683</v>
      </c>
      <c r="AI268" s="363">
        <v>122683</v>
      </c>
      <c r="AJ268" s="363">
        <v>122683</v>
      </c>
      <c r="AK268" s="363">
        <v>122683</v>
      </c>
      <c r="AL268" s="360">
        <f t="shared" si="16"/>
        <v>1472197.6400000001</v>
      </c>
      <c r="AM268" s="362">
        <f>ERP_8[[#This Row],[2026 Working Total]]-ERP_8[[#This Row],[LE2 Final Submission]]</f>
        <v>0.97999999998137355</v>
      </c>
      <c r="AN268" s="79">
        <v>122683</v>
      </c>
      <c r="AO268" s="79">
        <f t="shared" si="17"/>
        <v>-0.14999999999417923</v>
      </c>
      <c r="AP268" s="374">
        <f>SUM(ERP_8[[#This Row],[AP01]:[AP07]])-SUM(ERP_8[[#This Row],[AP01 LE2]:[AP07 LE2]])</f>
        <v>-21569.020000000019</v>
      </c>
      <c r="AQ268" s="80"/>
      <c r="AR268" s="79">
        <f>ERP_8[[#This Row],[2026 Working Total to Budget/LE]]-ERP_8[[#This Row],[Giveback]]</f>
        <v>0.97999999998137355</v>
      </c>
      <c r="AS268" s="81"/>
      <c r="AT268" s="375"/>
      <c r="AU268" s="375">
        <v>245366</v>
      </c>
      <c r="AV268" s="375">
        <v>122683.66</v>
      </c>
      <c r="AW268" s="375">
        <v>122683</v>
      </c>
      <c r="AX268" s="375">
        <v>122683</v>
      </c>
      <c r="AY268" s="375">
        <v>122683</v>
      </c>
      <c r="AZ268" s="375">
        <v>122683</v>
      </c>
      <c r="BA268" s="375">
        <v>122683</v>
      </c>
      <c r="BB268" s="375">
        <v>122683</v>
      </c>
      <c r="BC268" s="375">
        <v>122683</v>
      </c>
      <c r="BD268" s="375">
        <v>122683</v>
      </c>
      <c r="BE268" s="375">
        <v>122683</v>
      </c>
      <c r="BF268" s="375">
        <v>1472196.6600000001</v>
      </c>
      <c r="BG268" s="79"/>
      <c r="BH268" s="79">
        <v>245366</v>
      </c>
      <c r="BI268" s="79">
        <v>122683.66</v>
      </c>
      <c r="BJ268" s="79">
        <v>122683</v>
      </c>
      <c r="BK268" s="79">
        <v>122683</v>
      </c>
      <c r="BL268" s="79">
        <v>122683</v>
      </c>
      <c r="BM268" s="79">
        <v>122683</v>
      </c>
      <c r="BN268" s="79">
        <v>122683</v>
      </c>
      <c r="BO268" s="79">
        <v>122683</v>
      </c>
      <c r="BP268" s="79">
        <v>122683</v>
      </c>
      <c r="BQ268" s="79">
        <v>122683</v>
      </c>
      <c r="BR268" s="79">
        <v>122683</v>
      </c>
      <c r="BS268" s="79">
        <v>1472196.6600000001</v>
      </c>
    </row>
    <row r="269" spans="1:71" ht="15" hidden="1" customHeight="1">
      <c r="A269" s="66" t="s">
        <v>1925</v>
      </c>
      <c r="B269" s="737" t="s">
        <v>1926</v>
      </c>
      <c r="C269" s="346"/>
      <c r="D269" s="343" t="str">
        <f>_xlfn.TEXTJOIN("_",FALSE,E269,ERP_8[[#This Row],[Expense Category]],ERP_8[[#This Row],[Project Code*]])</f>
        <v>Dougherty, Chris_MANAGED SERVICES_IT-MGS0202-OG-US-00</v>
      </c>
      <c r="E269" s="343" t="s">
        <v>1135</v>
      </c>
      <c r="F269" s="346"/>
      <c r="G269" s="150" t="s">
        <v>1136</v>
      </c>
      <c r="H269" s="150" t="s">
        <v>1135</v>
      </c>
      <c r="I269" s="150" t="s">
        <v>1165</v>
      </c>
      <c r="J269" s="150" t="s">
        <v>1137</v>
      </c>
      <c r="K269" s="511" t="s">
        <v>389</v>
      </c>
      <c r="L269" s="392" t="s">
        <v>1927</v>
      </c>
      <c r="M269" s="343"/>
      <c r="N269" s="800"/>
      <c r="O269" s="70" t="s">
        <v>473</v>
      </c>
      <c r="P269" s="346"/>
      <c r="Q269" s="343"/>
      <c r="R269" s="346"/>
      <c r="S269" s="150" t="s">
        <v>25</v>
      </c>
      <c r="T269" s="150" t="s">
        <v>1928</v>
      </c>
      <c r="U269" s="403"/>
      <c r="V269" s="406">
        <v>123538.99999999999</v>
      </c>
      <c r="W269" s="406">
        <v>0</v>
      </c>
      <c r="X269" s="425"/>
      <c r="Y269" s="71"/>
      <c r="Z269" s="784"/>
      <c r="AA269" s="794"/>
      <c r="AB269" s="794"/>
      <c r="AC269" s="428" t="s">
        <v>1142</v>
      </c>
      <c r="AD269" s="429">
        <v>0</v>
      </c>
      <c r="AE269" s="429">
        <v>0</v>
      </c>
      <c r="AF269" s="429" t="s">
        <v>1142</v>
      </c>
      <c r="AG269" s="363">
        <f>88117-88117</f>
        <v>0</v>
      </c>
      <c r="AH269" s="363">
        <v>0</v>
      </c>
      <c r="AI269" s="363">
        <v>0</v>
      </c>
      <c r="AJ269" s="363">
        <v>0</v>
      </c>
      <c r="AK269" s="363">
        <v>0</v>
      </c>
      <c r="AL269" s="360">
        <f t="shared" si="16"/>
        <v>0</v>
      </c>
      <c r="AM269" s="362">
        <f>ERP_8[[#This Row],[2026 Working Total]]-ERP_8[[#This Row],[LE2 Final Submission]]</f>
        <v>0</v>
      </c>
      <c r="AN269" s="79">
        <v>0</v>
      </c>
      <c r="AO269" s="79">
        <f t="shared" si="17"/>
        <v>0</v>
      </c>
      <c r="AP269" s="374">
        <f>SUM(ERP_8[[#This Row],[AP01]:[AP07]])-SUM(ERP_8[[#This Row],[AP01 LE2]:[AP07 LE2]])</f>
        <v>0</v>
      </c>
      <c r="AQ269" s="80"/>
      <c r="AR269" s="79">
        <f>ERP_8[[#This Row],[2026 Working Total to Budget/LE]]-ERP_8[[#This Row],[Giveback]]</f>
        <v>0</v>
      </c>
      <c r="AS269" s="81" t="s">
        <v>1929</v>
      </c>
      <c r="AT269" s="375"/>
      <c r="AU269" s="375"/>
      <c r="AV269" s="375"/>
      <c r="AW269" s="375">
        <v>0</v>
      </c>
      <c r="AX269" s="375">
        <v>0</v>
      </c>
      <c r="AY269" s="375">
        <v>0</v>
      </c>
      <c r="AZ269" s="375">
        <v>0</v>
      </c>
      <c r="BA269" s="375">
        <v>0</v>
      </c>
      <c r="BB269" s="375">
        <v>0</v>
      </c>
      <c r="BC269" s="375">
        <v>0</v>
      </c>
      <c r="BD269" s="375">
        <v>0</v>
      </c>
      <c r="BE269" s="375">
        <v>0</v>
      </c>
      <c r="BF269" s="375">
        <v>0</v>
      </c>
      <c r="BG269" s="79"/>
      <c r="BH269" s="79"/>
      <c r="BI269" s="79"/>
      <c r="BJ269" s="79">
        <v>10294.92</v>
      </c>
      <c r="BK269" s="79">
        <v>10294.92</v>
      </c>
      <c r="BL269" s="79">
        <v>10294.92</v>
      </c>
      <c r="BM269" s="79">
        <v>10294.92</v>
      </c>
      <c r="BN269" s="79">
        <v>10294.92</v>
      </c>
      <c r="BO269" s="79">
        <v>10294.92</v>
      </c>
      <c r="BP269" s="79">
        <v>10294.92</v>
      </c>
      <c r="BQ269" s="79">
        <v>10294.92</v>
      </c>
      <c r="BR269" s="79">
        <v>10294.92</v>
      </c>
      <c r="BS269" s="79">
        <v>92654.28</v>
      </c>
    </row>
    <row r="270" spans="1:71" ht="15" hidden="1" customHeight="1">
      <c r="A270" s="66" t="s">
        <v>1930</v>
      </c>
      <c r="B270" s="737" t="s">
        <v>1931</v>
      </c>
      <c r="C270" s="346"/>
      <c r="D270" s="343" t="str">
        <f>_xlfn.TEXTJOIN("_",FALSE,E270,ERP_8[[#This Row],[Expense Category]],ERP_8[[#This Row],[Project Code*]])</f>
        <v>Dougherty, Chris_MANAGED SERVICES_IT-MGS0203-OG-US-00</v>
      </c>
      <c r="E270" s="343" t="s">
        <v>1135</v>
      </c>
      <c r="F270" s="346"/>
      <c r="G270" s="150" t="s">
        <v>1136</v>
      </c>
      <c r="H270" s="150" t="s">
        <v>1135</v>
      </c>
      <c r="I270" s="150" t="s">
        <v>1165</v>
      </c>
      <c r="J270" s="150" t="s">
        <v>1137</v>
      </c>
      <c r="K270" s="511" t="s">
        <v>389</v>
      </c>
      <c r="L270" s="392" t="s">
        <v>1932</v>
      </c>
      <c r="M270" s="343"/>
      <c r="N270" s="800"/>
      <c r="O270" s="70" t="s">
        <v>475</v>
      </c>
      <c r="P270" s="346"/>
      <c r="Q270" s="343"/>
      <c r="R270" s="346"/>
      <c r="S270" s="150" t="s">
        <v>25</v>
      </c>
      <c r="T270" s="150"/>
      <c r="U270" s="403"/>
      <c r="V270" s="406">
        <v>26400</v>
      </c>
      <c r="W270" s="406">
        <v>0</v>
      </c>
      <c r="X270" s="425"/>
      <c r="Y270" s="71"/>
      <c r="Z270" s="784"/>
      <c r="AA270" s="794"/>
      <c r="AB270" s="794"/>
      <c r="AC270" s="428" t="s">
        <v>1142</v>
      </c>
      <c r="AD270" s="429">
        <v>0</v>
      </c>
      <c r="AE270" s="429">
        <v>0</v>
      </c>
      <c r="AF270" s="429" t="s">
        <v>1142</v>
      </c>
      <c r="AG270" s="363">
        <v>0</v>
      </c>
      <c r="AH270" s="363">
        <v>0</v>
      </c>
      <c r="AI270" s="363">
        <v>0</v>
      </c>
      <c r="AJ270" s="363">
        <v>0</v>
      </c>
      <c r="AK270" s="363">
        <v>0</v>
      </c>
      <c r="AL270" s="360">
        <f t="shared" si="16"/>
        <v>0</v>
      </c>
      <c r="AM270" s="362">
        <f>ERP_8[[#This Row],[2026 Working Total]]-ERP_8[[#This Row],[LE2 Final Submission]]</f>
        <v>0</v>
      </c>
      <c r="AN270" s="79">
        <v>0</v>
      </c>
      <c r="AO270" s="79">
        <f t="shared" si="17"/>
        <v>0</v>
      </c>
      <c r="AP270" s="374">
        <f>SUM(ERP_8[[#This Row],[AP01]:[AP07]])-SUM(ERP_8[[#This Row],[AP01 LE2]:[AP07 LE2]])</f>
        <v>0</v>
      </c>
      <c r="AQ270" s="80">
        <v>-26400</v>
      </c>
      <c r="AR270" s="79">
        <f>ERP_8[[#This Row],[2026 Working Total to Budget/LE]]-ERP_8[[#This Row],[Giveback]]</f>
        <v>26400</v>
      </c>
      <c r="AS270" s="81"/>
      <c r="AT270" s="375"/>
      <c r="AU270" s="375"/>
      <c r="AV270" s="375"/>
      <c r="AW270" s="375">
        <v>0</v>
      </c>
      <c r="AX270" s="375">
        <v>0</v>
      </c>
      <c r="AY270" s="375">
        <v>0</v>
      </c>
      <c r="AZ270" s="375">
        <v>0</v>
      </c>
      <c r="BA270" s="375">
        <v>0</v>
      </c>
      <c r="BB270" s="375">
        <v>0</v>
      </c>
      <c r="BC270" s="375">
        <v>0</v>
      </c>
      <c r="BD270" s="375">
        <v>0</v>
      </c>
      <c r="BE270" s="375">
        <v>0</v>
      </c>
      <c r="BF270" s="375">
        <v>0</v>
      </c>
      <c r="BG270" s="79"/>
      <c r="BH270" s="79"/>
      <c r="BI270" s="79"/>
      <c r="BJ270" s="79">
        <v>2200</v>
      </c>
      <c r="BK270" s="79">
        <v>2200</v>
      </c>
      <c r="BL270" s="79">
        <v>2200</v>
      </c>
      <c r="BM270" s="79">
        <v>2200</v>
      </c>
      <c r="BN270" s="79">
        <v>2200</v>
      </c>
      <c r="BO270" s="79">
        <v>2200</v>
      </c>
      <c r="BP270" s="79">
        <v>2200</v>
      </c>
      <c r="BQ270" s="79">
        <v>2200</v>
      </c>
      <c r="BR270" s="79">
        <v>2200</v>
      </c>
      <c r="BS270" s="79">
        <v>19800</v>
      </c>
    </row>
    <row r="271" spans="1:71" ht="15" hidden="1" customHeight="1">
      <c r="A271" s="66" t="s">
        <v>1933</v>
      </c>
      <c r="B271" s="737" t="s">
        <v>1934</v>
      </c>
      <c r="C271" s="346"/>
      <c r="D271" s="343" t="str">
        <f>_xlfn.TEXTJOIN("_",FALSE,E271,ERP_8[[#This Row],[Expense Category]],ERP_8[[#This Row],[Project Code*]])</f>
        <v>Dougherty, Chris_MANAGED SERVICES_IT-MGS0204-OG-US-00</v>
      </c>
      <c r="E271" s="343" t="s">
        <v>1135</v>
      </c>
      <c r="F271" s="346"/>
      <c r="G271" s="150" t="s">
        <v>1136</v>
      </c>
      <c r="H271" s="150" t="s">
        <v>1135</v>
      </c>
      <c r="I271" s="150" t="s">
        <v>1165</v>
      </c>
      <c r="J271" s="150" t="s">
        <v>1137</v>
      </c>
      <c r="K271" s="511" t="s">
        <v>389</v>
      </c>
      <c r="L271" s="392" t="s">
        <v>1935</v>
      </c>
      <c r="M271" s="343"/>
      <c r="N271" s="804">
        <v>2321403</v>
      </c>
      <c r="O271" s="70" t="s">
        <v>477</v>
      </c>
      <c r="P271" s="346"/>
      <c r="Q271" s="343"/>
      <c r="R271" s="346"/>
      <c r="S271" s="150" t="s">
        <v>478</v>
      </c>
      <c r="T271" s="150"/>
      <c r="U271" s="403"/>
      <c r="V271" s="406">
        <v>36000</v>
      </c>
      <c r="W271" s="406">
        <v>36000.300000000003</v>
      </c>
      <c r="X271" s="425"/>
      <c r="Y271" s="71"/>
      <c r="Z271" s="784"/>
      <c r="AA271" s="794">
        <v>5999.76</v>
      </c>
      <c r="AB271" s="794">
        <v>2703.54</v>
      </c>
      <c r="AC271" s="428">
        <v>2769.23</v>
      </c>
      <c r="AD271" s="429">
        <v>3527.23</v>
      </c>
      <c r="AE271" s="429">
        <v>2703.54</v>
      </c>
      <c r="AF271" s="429">
        <v>2769.23</v>
      </c>
      <c r="AG271" s="363">
        <v>3231</v>
      </c>
      <c r="AH271" s="363">
        <v>3000</v>
      </c>
      <c r="AI271" s="363">
        <v>3000</v>
      </c>
      <c r="AJ271" s="363">
        <v>3000</v>
      </c>
      <c r="AK271" s="363">
        <v>3297</v>
      </c>
      <c r="AL271" s="360">
        <f t="shared" si="16"/>
        <v>36000.53</v>
      </c>
      <c r="AM271" s="362">
        <f>ERP_8[[#This Row],[2026 Working Total]]-ERP_8[[#This Row],[LE2 Final Submission]]</f>
        <v>0.22999999999592546</v>
      </c>
      <c r="AN271" s="79">
        <v>3000</v>
      </c>
      <c r="AO271" s="79">
        <f t="shared" si="17"/>
        <v>-296.46000000000004</v>
      </c>
      <c r="AP271" s="374">
        <f>SUM(ERP_8[[#This Row],[AP01]:[AP07]])-SUM(ERP_8[[#This Row],[AP01 LE2]:[AP07 LE2]])</f>
        <v>-527.77000000000044</v>
      </c>
      <c r="AQ271" s="80"/>
      <c r="AR271" s="79">
        <f>ERP_8[[#This Row],[2026 Working Total to Budget/LE]]-ERP_8[[#This Row],[Giveback]]</f>
        <v>0.22999999999592546</v>
      </c>
      <c r="AS271" s="81"/>
      <c r="AT271" s="375"/>
      <c r="AU271" s="375">
        <v>5999.76</v>
      </c>
      <c r="AV271" s="375">
        <v>2703.54</v>
      </c>
      <c r="AW271" s="375">
        <v>3297</v>
      </c>
      <c r="AX271" s="375">
        <v>3000</v>
      </c>
      <c r="AY271" s="375">
        <v>3000</v>
      </c>
      <c r="AZ271" s="375">
        <v>3000</v>
      </c>
      <c r="BA271" s="375">
        <v>3000</v>
      </c>
      <c r="BB271" s="375">
        <v>3000</v>
      </c>
      <c r="BC271" s="375">
        <v>3000</v>
      </c>
      <c r="BD271" s="375">
        <v>3000</v>
      </c>
      <c r="BE271" s="375">
        <v>3000</v>
      </c>
      <c r="BF271" s="375">
        <v>36000.300000000003</v>
      </c>
      <c r="BG271" s="79"/>
      <c r="BH271" s="79">
        <v>5999.76</v>
      </c>
      <c r="BI271" s="79">
        <v>2703.54</v>
      </c>
      <c r="BJ271" s="79">
        <v>3000</v>
      </c>
      <c r="BK271" s="79">
        <v>3000</v>
      </c>
      <c r="BL271" s="79">
        <v>3000</v>
      </c>
      <c r="BM271" s="79">
        <v>3000</v>
      </c>
      <c r="BN271" s="79">
        <v>3000</v>
      </c>
      <c r="BO271" s="79">
        <v>3000</v>
      </c>
      <c r="BP271" s="79">
        <v>3000</v>
      </c>
      <c r="BQ271" s="79">
        <v>3000</v>
      </c>
      <c r="BR271" s="79">
        <v>3000</v>
      </c>
      <c r="BS271" s="79">
        <v>35703.300000000003</v>
      </c>
    </row>
    <row r="272" spans="1:71" ht="15" hidden="1" customHeight="1">
      <c r="A272" s="66" t="s">
        <v>1936</v>
      </c>
      <c r="B272" s="737" t="s">
        <v>1937</v>
      </c>
      <c r="C272" s="346"/>
      <c r="D272" s="343" t="str">
        <f>_xlfn.TEXTJOIN("_",FALSE,E272,ERP_8[[#This Row],[Expense Category]],ERP_8[[#This Row],[Project Code*]])</f>
        <v>Dougherty, Chris_MANAGED SERVICES_IT-MGS0205-OG-US-00</v>
      </c>
      <c r="E272" s="343" t="s">
        <v>1135</v>
      </c>
      <c r="F272" s="346"/>
      <c r="G272" s="150" t="s">
        <v>1136</v>
      </c>
      <c r="H272" s="150" t="s">
        <v>1135</v>
      </c>
      <c r="I272" s="150" t="s">
        <v>1165</v>
      </c>
      <c r="J272" s="150" t="s">
        <v>1137</v>
      </c>
      <c r="K272" s="511" t="s">
        <v>389</v>
      </c>
      <c r="L272" s="392" t="s">
        <v>1938</v>
      </c>
      <c r="M272" s="343"/>
      <c r="N272" s="804">
        <v>2321403</v>
      </c>
      <c r="O272" s="70" t="s">
        <v>480</v>
      </c>
      <c r="P272" s="346"/>
      <c r="Q272" s="343"/>
      <c r="R272" s="346"/>
      <c r="S272" s="150" t="s">
        <v>478</v>
      </c>
      <c r="T272" s="150"/>
      <c r="U272" s="403"/>
      <c r="V272" s="406">
        <v>345000</v>
      </c>
      <c r="W272" s="406">
        <v>333579.34999999998</v>
      </c>
      <c r="X272" s="425"/>
      <c r="Y272" s="71"/>
      <c r="Z272" s="784"/>
      <c r="AA272" s="794"/>
      <c r="AB272" s="794">
        <v>80924.350000000006</v>
      </c>
      <c r="AC272" s="428">
        <v>25748.649999999994</v>
      </c>
      <c r="AD272" s="429">
        <v>35684.65</v>
      </c>
      <c r="AE272" s="429">
        <v>28214.84</v>
      </c>
      <c r="AF272" s="429">
        <v>19783.629999999997</v>
      </c>
      <c r="AG272" s="363">
        <f>26933+9714</f>
        <v>36647</v>
      </c>
      <c r="AH272" s="363">
        <v>28215</v>
      </c>
      <c r="AI272" s="363">
        <v>28215</v>
      </c>
      <c r="AJ272" s="363">
        <v>26933</v>
      </c>
      <c r="AK272" s="363">
        <v>29498</v>
      </c>
      <c r="AL272" s="360">
        <f t="shared" si="16"/>
        <v>339864.12</v>
      </c>
      <c r="AM272" s="362">
        <f>ERP_8[[#This Row],[2026 Working Total]]-ERP_8[[#This Row],[LE2 Final Submission]]</f>
        <v>6284.7700000000186</v>
      </c>
      <c r="AN272" s="79">
        <v>29498</v>
      </c>
      <c r="AO272" s="79">
        <f t="shared" si="17"/>
        <v>-1283.1599999999999</v>
      </c>
      <c r="AP272" s="374">
        <f>SUM(ERP_8[[#This Row],[AP01]:[AP07]])-SUM(ERP_8[[#This Row],[AP01 LE2]:[AP07 LE2]])</f>
        <v>-3429.2300000000105</v>
      </c>
      <c r="AQ272" s="80"/>
      <c r="AR272" s="79">
        <f>ERP_8[[#This Row],[2026 Working Total to Budget/LE]]-ERP_8[[#This Row],[Giveback]]</f>
        <v>6284.7700000000186</v>
      </c>
      <c r="AS272" s="81"/>
      <c r="AT272" s="375"/>
      <c r="AU272" s="375"/>
      <c r="AV272" s="375">
        <v>80924.350000000006</v>
      </c>
      <c r="AW272" s="375">
        <v>28215</v>
      </c>
      <c r="AX272" s="375">
        <v>26933</v>
      </c>
      <c r="AY272" s="375">
        <v>28215</v>
      </c>
      <c r="AZ272" s="375">
        <v>29498</v>
      </c>
      <c r="BA272" s="375">
        <v>26933</v>
      </c>
      <c r="BB272" s="375">
        <v>28215</v>
      </c>
      <c r="BC272" s="375">
        <v>28215</v>
      </c>
      <c r="BD272" s="375">
        <v>26933</v>
      </c>
      <c r="BE272" s="375">
        <v>29498</v>
      </c>
      <c r="BF272" s="375">
        <v>333579.34999999998</v>
      </c>
      <c r="BG272" s="79"/>
      <c r="BH272" s="79"/>
      <c r="BI272" s="79">
        <v>80924.350000000006</v>
      </c>
      <c r="BJ272" s="79">
        <v>27894</v>
      </c>
      <c r="BK272" s="79">
        <v>27894</v>
      </c>
      <c r="BL272" s="79">
        <v>27894</v>
      </c>
      <c r="BM272" s="79">
        <v>27894</v>
      </c>
      <c r="BN272" s="79">
        <v>27894</v>
      </c>
      <c r="BO272" s="79">
        <v>27894</v>
      </c>
      <c r="BP272" s="79">
        <v>27894</v>
      </c>
      <c r="BQ272" s="79">
        <v>27894</v>
      </c>
      <c r="BR272" s="79">
        <v>27894</v>
      </c>
      <c r="BS272" s="79">
        <v>331970.34999999998</v>
      </c>
    </row>
    <row r="273" spans="1:71" ht="15" hidden="1" customHeight="1">
      <c r="A273" s="66" t="s">
        <v>1939</v>
      </c>
      <c r="B273" s="737" t="s">
        <v>481</v>
      </c>
      <c r="C273" s="346"/>
      <c r="D273" s="343" t="str">
        <f>_xlfn.TEXTJOIN("_",FALSE,E273,ERP_8[[#This Row],[Expense Category]],ERP_8[[#This Row],[Project Code*]])</f>
        <v>Dougherty, Chris_MANAGED SERVICES_IT-MGS0207-OG-US-00</v>
      </c>
      <c r="E273" s="343" t="s">
        <v>1135</v>
      </c>
      <c r="F273" s="346"/>
      <c r="G273" s="150" t="s">
        <v>1136</v>
      </c>
      <c r="H273" s="150" t="s">
        <v>1135</v>
      </c>
      <c r="I273" s="150" t="s">
        <v>1135</v>
      </c>
      <c r="J273" s="150" t="s">
        <v>1137</v>
      </c>
      <c r="K273" s="511" t="s">
        <v>389</v>
      </c>
      <c r="L273" s="392" t="s">
        <v>1778</v>
      </c>
      <c r="M273" s="343"/>
      <c r="N273" s="804">
        <v>2329622</v>
      </c>
      <c r="O273" s="70" t="s">
        <v>482</v>
      </c>
      <c r="P273" s="346"/>
      <c r="Q273" s="343"/>
      <c r="R273" s="346"/>
      <c r="S273" s="150" t="s">
        <v>408</v>
      </c>
      <c r="T273" s="150"/>
      <c r="U273" s="403"/>
      <c r="V273" s="406">
        <v>0</v>
      </c>
      <c r="W273" s="406">
        <v>-18450</v>
      </c>
      <c r="X273" s="425"/>
      <c r="Y273" s="71"/>
      <c r="Z273" s="784"/>
      <c r="AA273" s="780"/>
      <c r="AB273" s="780">
        <v>-3450</v>
      </c>
      <c r="AC273" s="428">
        <v>0</v>
      </c>
      <c r="AD273" s="429">
        <v>-7116.77</v>
      </c>
      <c r="AE273" s="429">
        <v>-3658.57</v>
      </c>
      <c r="AF273" s="429">
        <v>0</v>
      </c>
      <c r="AG273" s="363">
        <v>-1666.67</v>
      </c>
      <c r="AH273" s="363">
        <v>-1666.67</v>
      </c>
      <c r="AI273" s="360">
        <v>0</v>
      </c>
      <c r="AJ273" s="360">
        <v>0</v>
      </c>
      <c r="AK273" s="360">
        <v>0</v>
      </c>
      <c r="AL273" s="360">
        <f t="shared" si="16"/>
        <v>-17558.68</v>
      </c>
      <c r="AM273" s="362">
        <f>ERP_8[[#This Row],[2026 Working Total]]-ERP_8[[#This Row],[LE2 Final Submission]]</f>
        <v>891.31999999999971</v>
      </c>
      <c r="AN273" s="79">
        <v>-1666.67</v>
      </c>
      <c r="AO273" s="79">
        <f t="shared" si="17"/>
        <v>-1991.9</v>
      </c>
      <c r="AP273" s="374">
        <f>SUM(ERP_8[[#This Row],[AP01]:[AP07]])-SUM(ERP_8[[#This Row],[AP01 LE2]:[AP07 LE2]])</f>
        <v>891.31999999999971</v>
      </c>
      <c r="AQ273" s="80"/>
      <c r="AR273" s="79">
        <f>ERP_8[[#This Row],[2026 Working Total to Budget/LE]]-ERP_8[[#This Row],[Giveback]]</f>
        <v>891.31999999999971</v>
      </c>
      <c r="AS273" s="81"/>
      <c r="AT273" s="375"/>
      <c r="AU273" s="375"/>
      <c r="AV273" s="375">
        <v>-3450</v>
      </c>
      <c r="AW273" s="375">
        <v>-3333.33</v>
      </c>
      <c r="AX273" s="375">
        <v>-3333.33</v>
      </c>
      <c r="AY273" s="375">
        <v>-3333.33</v>
      </c>
      <c r="AZ273" s="375">
        <v>-1666.67</v>
      </c>
      <c r="BA273" s="375">
        <v>-1666.67</v>
      </c>
      <c r="BB273" s="375">
        <v>-1666.67</v>
      </c>
      <c r="BC273" s="375">
        <v>0</v>
      </c>
      <c r="BD273" s="375">
        <v>0</v>
      </c>
      <c r="BE273" s="375">
        <v>0</v>
      </c>
      <c r="BF273" s="375">
        <v>-18450</v>
      </c>
      <c r="BG273" s="79"/>
      <c r="BH273" s="79"/>
      <c r="BI273" s="79">
        <v>-3450</v>
      </c>
      <c r="BJ273" s="79">
        <v>-3333.33</v>
      </c>
      <c r="BK273" s="79">
        <v>-3333.33</v>
      </c>
      <c r="BL273" s="79">
        <v>-3333.33</v>
      </c>
      <c r="BM273" s="79">
        <v>-1666.67</v>
      </c>
      <c r="BN273" s="79">
        <v>-1666.67</v>
      </c>
      <c r="BO273" s="79">
        <v>-1666.67</v>
      </c>
      <c r="BP273" s="79">
        <v>0</v>
      </c>
      <c r="BQ273" s="79">
        <v>0</v>
      </c>
      <c r="BR273" s="79">
        <v>0</v>
      </c>
      <c r="BS273" s="79">
        <v>-18450</v>
      </c>
    </row>
    <row r="274" spans="1:71" ht="15" hidden="1" customHeight="1">
      <c r="A274" s="66" t="s">
        <v>1940</v>
      </c>
      <c r="B274" s="737" t="s">
        <v>1941</v>
      </c>
      <c r="C274" s="346"/>
      <c r="D274" s="343" t="str">
        <f>_xlfn.TEXTJOIN("_",FALSE,E274,ERP_8[[#This Row],[Expense Category]],ERP_8[[#This Row],[Project Code*]])</f>
        <v>Dougherty, Chris_MANAGED SERVICES_IT-MGS0208-OG-US-00</v>
      </c>
      <c r="E274" s="343" t="s">
        <v>1135</v>
      </c>
      <c r="F274" s="346"/>
      <c r="G274" s="150" t="s">
        <v>1136</v>
      </c>
      <c r="H274" s="150" t="s">
        <v>1345</v>
      </c>
      <c r="I274" s="150" t="s">
        <v>1346</v>
      </c>
      <c r="J274" s="150" t="s">
        <v>1346</v>
      </c>
      <c r="K274" s="511" t="s">
        <v>389</v>
      </c>
      <c r="L274" s="392" t="s">
        <v>1942</v>
      </c>
      <c r="M274" s="343"/>
      <c r="N274" s="800" t="s">
        <v>1499</v>
      </c>
      <c r="O274" s="70" t="s">
        <v>585</v>
      </c>
      <c r="P274" s="346"/>
      <c r="Q274" s="346" t="s">
        <v>1140</v>
      </c>
      <c r="R274" s="346"/>
      <c r="S274" s="150" t="s">
        <v>57</v>
      </c>
      <c r="T274" s="150" t="s">
        <v>1890</v>
      </c>
      <c r="U274" s="403"/>
      <c r="V274" s="406">
        <v>0</v>
      </c>
      <c r="W274" s="406">
        <v>31176.729999999992</v>
      </c>
      <c r="X274" s="430"/>
      <c r="Y274" s="137"/>
      <c r="Z274" s="784"/>
      <c r="AA274" s="794"/>
      <c r="AB274" s="794">
        <v>5547.34</v>
      </c>
      <c r="AC274" s="428">
        <v>0</v>
      </c>
      <c r="AD274" s="429">
        <v>112.07</v>
      </c>
      <c r="AE274" s="429">
        <v>112.07</v>
      </c>
      <c r="AF274" s="429">
        <v>112.07</v>
      </c>
      <c r="AG274" s="360">
        <v>2847.71</v>
      </c>
      <c r="AH274" s="360">
        <v>2847.71</v>
      </c>
      <c r="AI274" s="360">
        <v>2847.71</v>
      </c>
      <c r="AJ274" s="360">
        <v>2847.71</v>
      </c>
      <c r="AK274" s="360">
        <v>2847.71</v>
      </c>
      <c r="AL274" s="360">
        <f t="shared" si="16"/>
        <v>20122.099999999995</v>
      </c>
      <c r="AM274" s="362">
        <f>ERP_8[[#This Row],[2026 Working Total]]-ERP_8[[#This Row],[LE2 Final Submission]]</f>
        <v>-11054.629999999997</v>
      </c>
      <c r="AN274" s="79">
        <v>2847.71</v>
      </c>
      <c r="AO274" s="79">
        <f t="shared" si="17"/>
        <v>-2735.64</v>
      </c>
      <c r="AP274" s="374">
        <f>SUM(ERP_8[[#This Row],[AP01]:[AP07]])-SUM(ERP_8[[#This Row],[AP01 LE2]:[AP07 LE2]])</f>
        <v>-11054.629999999997</v>
      </c>
      <c r="AQ274" s="80"/>
      <c r="AR274" s="79">
        <f>ERP_8[[#This Row],[2026 Working Total to Budget/LE]]-ERP_8[[#This Row],[Giveback]]</f>
        <v>-11054.629999999997</v>
      </c>
      <c r="AS274" s="81"/>
      <c r="AT274" s="375"/>
      <c r="AU274" s="375"/>
      <c r="AV274" s="375">
        <v>5547.34</v>
      </c>
      <c r="AW274" s="375">
        <v>2847.71</v>
      </c>
      <c r="AX274" s="375">
        <v>2847.71</v>
      </c>
      <c r="AY274" s="375">
        <v>2847.71</v>
      </c>
      <c r="AZ274" s="375">
        <v>2847.71</v>
      </c>
      <c r="BA274" s="375">
        <v>2847.71</v>
      </c>
      <c r="BB274" s="375">
        <v>2847.71</v>
      </c>
      <c r="BC274" s="375">
        <v>2847.71</v>
      </c>
      <c r="BD274" s="375">
        <v>2847.71</v>
      </c>
      <c r="BE274" s="375">
        <v>2847.71</v>
      </c>
      <c r="BF274" s="375">
        <v>31176.729999999992</v>
      </c>
      <c r="BG274" s="79"/>
      <c r="BH274" s="79"/>
      <c r="BI274" s="79">
        <v>5547.34</v>
      </c>
      <c r="BJ274" s="79">
        <v>0</v>
      </c>
      <c r="BK274" s="79">
        <v>0</v>
      </c>
      <c r="BL274" s="79">
        <v>0</v>
      </c>
      <c r="BM274" s="79">
        <v>0</v>
      </c>
      <c r="BN274" s="79">
        <v>0</v>
      </c>
      <c r="BO274" s="79">
        <v>0</v>
      </c>
      <c r="BP274" s="79">
        <v>0</v>
      </c>
      <c r="BQ274" s="79">
        <v>0</v>
      </c>
      <c r="BR274" s="79">
        <v>0</v>
      </c>
      <c r="BS274" s="79">
        <v>5547.34</v>
      </c>
    </row>
    <row r="275" spans="1:71" ht="15" hidden="1" customHeight="1">
      <c r="A275" s="66" t="s">
        <v>1943</v>
      </c>
      <c r="B275" s="737" t="s">
        <v>1944</v>
      </c>
      <c r="C275" s="346"/>
      <c r="D275" s="343" t="str">
        <f>_xlfn.TEXTJOIN("_",FALSE,E275,ERP_8[[#This Row],[Expense Category]],ERP_8[[#This Row],[Project Code*]])</f>
        <v>Dougherty, Chris_MANAGED SERVICES_IT-MGS0209-OG-US-00</v>
      </c>
      <c r="E275" s="343" t="s">
        <v>1135</v>
      </c>
      <c r="F275" s="346"/>
      <c r="G275" s="150" t="s">
        <v>1136</v>
      </c>
      <c r="H275" s="150" t="s">
        <v>1135</v>
      </c>
      <c r="I275" s="150" t="s">
        <v>1165</v>
      </c>
      <c r="J275" s="150" t="s">
        <v>1137</v>
      </c>
      <c r="K275" s="511" t="s">
        <v>389</v>
      </c>
      <c r="L275" s="392" t="s">
        <v>1945</v>
      </c>
      <c r="M275" s="343"/>
      <c r="N275" s="804">
        <v>2320843</v>
      </c>
      <c r="O275" s="70" t="s">
        <v>484</v>
      </c>
      <c r="P275" s="346"/>
      <c r="Q275" s="343"/>
      <c r="R275" s="346"/>
      <c r="S275" s="150" t="s">
        <v>57</v>
      </c>
      <c r="T275" s="150"/>
      <c r="U275" s="403"/>
      <c r="V275" s="406">
        <v>0</v>
      </c>
      <c r="W275" s="406">
        <v>3711.49</v>
      </c>
      <c r="X275" s="425"/>
      <c r="Y275" s="71"/>
      <c r="Z275" s="784"/>
      <c r="AA275" s="794"/>
      <c r="AB275" s="794">
        <v>552.49</v>
      </c>
      <c r="AC275" s="428">
        <v>0</v>
      </c>
      <c r="AD275" s="429">
        <v>0</v>
      </c>
      <c r="AE275" s="429">
        <v>0</v>
      </c>
      <c r="AF275" s="429">
        <v>0</v>
      </c>
      <c r="AG275" s="363">
        <v>351</v>
      </c>
      <c r="AH275" s="363">
        <v>351</v>
      </c>
      <c r="AI275" s="363">
        <v>351</v>
      </c>
      <c r="AJ275" s="363">
        <v>351</v>
      </c>
      <c r="AK275" s="363">
        <v>351</v>
      </c>
      <c r="AL275" s="360">
        <f t="shared" si="16"/>
        <v>2307.4899999999998</v>
      </c>
      <c r="AM275" s="362">
        <f>ERP_8[[#This Row],[2026 Working Total]]-ERP_8[[#This Row],[LE2 Final Submission]]</f>
        <v>-1404</v>
      </c>
      <c r="AN275" s="79">
        <v>351</v>
      </c>
      <c r="AO275" s="79">
        <f t="shared" si="17"/>
        <v>-351</v>
      </c>
      <c r="AP275" s="374">
        <f>SUM(ERP_8[[#This Row],[AP01]:[AP07]])-SUM(ERP_8[[#This Row],[AP01 LE2]:[AP07 LE2]])</f>
        <v>-1404</v>
      </c>
      <c r="AQ275" s="80"/>
      <c r="AR275" s="79">
        <f>ERP_8[[#This Row],[2026 Working Total to Budget/LE]]-ERP_8[[#This Row],[Giveback]]</f>
        <v>-1404</v>
      </c>
      <c r="AS275" s="81"/>
      <c r="AT275" s="375"/>
      <c r="AU275" s="375"/>
      <c r="AV275" s="375">
        <v>552.49</v>
      </c>
      <c r="AW275" s="375">
        <v>351</v>
      </c>
      <c r="AX275" s="375">
        <v>351</v>
      </c>
      <c r="AY275" s="375">
        <v>351</v>
      </c>
      <c r="AZ275" s="375">
        <v>351</v>
      </c>
      <c r="BA275" s="375">
        <v>351</v>
      </c>
      <c r="BB275" s="375">
        <v>351</v>
      </c>
      <c r="BC275" s="375">
        <v>351</v>
      </c>
      <c r="BD275" s="375">
        <v>351</v>
      </c>
      <c r="BE275" s="375">
        <v>351</v>
      </c>
      <c r="BF275" s="375">
        <v>3711.49</v>
      </c>
      <c r="BG275" s="79"/>
      <c r="BH275" s="79"/>
      <c r="BI275" s="79">
        <v>552.49</v>
      </c>
      <c r="BJ275" s="79">
        <v>351</v>
      </c>
      <c r="BK275" s="79">
        <v>351</v>
      </c>
      <c r="BL275" s="79">
        <v>351</v>
      </c>
      <c r="BM275" s="79">
        <v>351</v>
      </c>
      <c r="BN275" s="79">
        <v>351</v>
      </c>
      <c r="BO275" s="79">
        <v>351</v>
      </c>
      <c r="BP275" s="79">
        <v>351</v>
      </c>
      <c r="BQ275" s="79">
        <v>351</v>
      </c>
      <c r="BR275" s="79">
        <v>351</v>
      </c>
      <c r="BS275" s="79">
        <v>3711.49</v>
      </c>
    </row>
    <row r="276" spans="1:71" ht="15" hidden="1" customHeight="1">
      <c r="A276" s="66" t="s">
        <v>1946</v>
      </c>
      <c r="B276" s="737" t="s">
        <v>485</v>
      </c>
      <c r="C276" s="346"/>
      <c r="D276" s="343" t="str">
        <f>_xlfn.TEXTJOIN("_",FALSE,E276,ERP_8[[#This Row],[Expense Category]],ERP_8[[#This Row],[Project Code*]])</f>
        <v>Dougherty, Chris_MANAGED SERVICES_IT-SFT1282-86-OG-US</v>
      </c>
      <c r="E276" s="343" t="s">
        <v>1135</v>
      </c>
      <c r="F276" s="346"/>
      <c r="G276" s="150" t="s">
        <v>1136</v>
      </c>
      <c r="H276" s="150" t="s">
        <v>1135</v>
      </c>
      <c r="I276" s="150" t="s">
        <v>1135</v>
      </c>
      <c r="J276" s="150" t="s">
        <v>1137</v>
      </c>
      <c r="K276" s="511" t="s">
        <v>389</v>
      </c>
      <c r="L276" s="392" t="s">
        <v>1947</v>
      </c>
      <c r="M276" s="343"/>
      <c r="N276" s="804">
        <v>2329622</v>
      </c>
      <c r="O276" s="70" t="s">
        <v>486</v>
      </c>
      <c r="P276" s="346" t="s">
        <v>1153</v>
      </c>
      <c r="Q276" s="343"/>
      <c r="R276" s="346"/>
      <c r="S276" s="150" t="s">
        <v>487</v>
      </c>
      <c r="T276" s="150"/>
      <c r="U276" s="403"/>
      <c r="V276" s="406">
        <v>-608600</v>
      </c>
      <c r="W276" s="406">
        <v>-597160</v>
      </c>
      <c r="X276" s="425"/>
      <c r="Y276" s="71"/>
      <c r="Z276" s="784"/>
      <c r="AA276" s="780"/>
      <c r="AB276" s="780">
        <v>-123760</v>
      </c>
      <c r="AC276" s="428">
        <v>0</v>
      </c>
      <c r="AD276" s="429">
        <v>-113731.04000000001</v>
      </c>
      <c r="AE276" s="429">
        <v>-60567.46</v>
      </c>
      <c r="AF276" s="429">
        <v>0</v>
      </c>
      <c r="AG276" s="363">
        <v>-105200</v>
      </c>
      <c r="AH276" s="363">
        <v>-52600</v>
      </c>
      <c r="AI276" s="363">
        <v>-52600</v>
      </c>
      <c r="AJ276" s="363">
        <v>-52600</v>
      </c>
      <c r="AK276" s="363">
        <v>-52600</v>
      </c>
      <c r="AL276" s="360">
        <f t="shared" si="16"/>
        <v>-613658.5</v>
      </c>
      <c r="AM276" s="362">
        <f>ERP_8[[#This Row],[2026 Working Total]]-ERP_8[[#This Row],[LE2 Final Submission]]</f>
        <v>-16498.5</v>
      </c>
      <c r="AN276" s="79">
        <v>-52600</v>
      </c>
      <c r="AO276" s="79">
        <f t="shared" si="17"/>
        <v>-7967.4599999999991</v>
      </c>
      <c r="AP276" s="374">
        <f>SUM(ERP_8[[#This Row],[AP01]:[AP07]])-SUM(ERP_8[[#This Row],[AP01 LE2]:[AP07 LE2]])</f>
        <v>36101.5</v>
      </c>
      <c r="AQ276" s="80"/>
      <c r="AR276" s="79">
        <f>ERP_8[[#This Row],[2026 Working Total to Budget/LE]]-ERP_8[[#This Row],[Giveback]]</f>
        <v>-16498.5</v>
      </c>
      <c r="AS276" s="81"/>
      <c r="AT276" s="375"/>
      <c r="AU276" s="375"/>
      <c r="AV276" s="375">
        <v>-123760</v>
      </c>
      <c r="AW276" s="375">
        <v>-52600</v>
      </c>
      <c r="AX276" s="375">
        <v>-52600</v>
      </c>
      <c r="AY276" s="375">
        <v>-52600</v>
      </c>
      <c r="AZ276" s="375">
        <v>-52600</v>
      </c>
      <c r="BA276" s="375">
        <v>-52600</v>
      </c>
      <c r="BB276" s="375">
        <v>-52600</v>
      </c>
      <c r="BC276" s="375">
        <v>-52600</v>
      </c>
      <c r="BD276" s="375">
        <v>-52600</v>
      </c>
      <c r="BE276" s="375">
        <v>-52600</v>
      </c>
      <c r="BF276" s="375">
        <v>-597160</v>
      </c>
      <c r="BG276" s="79"/>
      <c r="BH276" s="79"/>
      <c r="BI276" s="79">
        <v>-123760</v>
      </c>
      <c r="BJ276" s="79">
        <v>-52600</v>
      </c>
      <c r="BK276" s="79">
        <v>-52600</v>
      </c>
      <c r="BL276" s="79">
        <v>-52600</v>
      </c>
      <c r="BM276" s="79">
        <v>-52600</v>
      </c>
      <c r="BN276" s="79">
        <v>-52600</v>
      </c>
      <c r="BO276" s="79">
        <v>-52600</v>
      </c>
      <c r="BP276" s="79">
        <v>-52600</v>
      </c>
      <c r="BQ276" s="79">
        <v>-52600</v>
      </c>
      <c r="BR276" s="79">
        <v>-52600</v>
      </c>
      <c r="BS276" s="79">
        <v>-597160</v>
      </c>
    </row>
    <row r="277" spans="1:71" ht="15" hidden="1" customHeight="1">
      <c r="A277" s="66" t="s">
        <v>1948</v>
      </c>
      <c r="B277" s="737" t="s">
        <v>1949</v>
      </c>
      <c r="C277" s="346"/>
      <c r="D277" s="343" t="str">
        <f>_xlfn.TEXTJOIN("_",FALSE,E277,ERP_8[[#This Row],[Expense Category]],ERP_8[[#This Row],[Project Code*]])</f>
        <v>Dougherty, Chris_MANAGED SERVICES_IT-SFT1282-86-OG-US</v>
      </c>
      <c r="E277" s="343" t="s">
        <v>1135</v>
      </c>
      <c r="F277" s="346"/>
      <c r="G277" s="150" t="s">
        <v>1136</v>
      </c>
      <c r="H277" s="150" t="s">
        <v>1135</v>
      </c>
      <c r="I277" s="150" t="s">
        <v>1145</v>
      </c>
      <c r="J277" s="150" t="s">
        <v>1137</v>
      </c>
      <c r="K277" s="511" t="s">
        <v>389</v>
      </c>
      <c r="L277" s="778" t="s">
        <v>1947</v>
      </c>
      <c r="M277" s="343"/>
      <c r="N277" s="800" t="s">
        <v>1186</v>
      </c>
      <c r="O277" s="70" t="s">
        <v>486</v>
      </c>
      <c r="P277" s="346" t="s">
        <v>1153</v>
      </c>
      <c r="Q277" s="343"/>
      <c r="R277" s="346"/>
      <c r="S277" s="150" t="s">
        <v>487</v>
      </c>
      <c r="T277" s="150"/>
      <c r="U277" s="404"/>
      <c r="V277" s="407">
        <v>0</v>
      </c>
      <c r="W277" s="407">
        <v>0</v>
      </c>
      <c r="X277" s="425"/>
      <c r="Y277" s="71"/>
      <c r="Z277" s="784"/>
      <c r="AA277" s="780">
        <v>-68030</v>
      </c>
      <c r="AB277" s="780">
        <v>68030</v>
      </c>
      <c r="AC277" s="428">
        <v>0</v>
      </c>
      <c r="AD277" s="429">
        <v>0</v>
      </c>
      <c r="AE277" s="429">
        <v>0</v>
      </c>
      <c r="AF277" s="429">
        <v>0</v>
      </c>
      <c r="AG277" s="363"/>
      <c r="AH277" s="363"/>
      <c r="AI277" s="363"/>
      <c r="AJ277" s="363"/>
      <c r="AK277" s="363"/>
      <c r="AL277" s="360">
        <f t="shared" si="16"/>
        <v>0</v>
      </c>
      <c r="AM277" s="362">
        <f>ERP_8[[#This Row],[2026 Working Total]]-ERP_8[[#This Row],[LE2 Final Submission]]</f>
        <v>0</v>
      </c>
      <c r="AN277" s="79"/>
      <c r="AO277" s="79">
        <f t="shared" si="17"/>
        <v>0</v>
      </c>
      <c r="AP277" s="374">
        <f>SUM(ERP_8[[#This Row],[AP01]:[AP07]])-SUM(ERP_8[[#This Row],[AP01 LE2]:[AP07 LE2]])</f>
        <v>0</v>
      </c>
      <c r="AQ277" s="80"/>
      <c r="AR277" s="79">
        <f>ERP_8[[#This Row],[2026 Working Total to Budget/LE]]-ERP_8[[#This Row],[Giveback]]</f>
        <v>0</v>
      </c>
      <c r="AS277" s="81"/>
      <c r="AT277" s="375"/>
      <c r="AU277" s="375">
        <v>-68030</v>
      </c>
      <c r="AV277" s="375">
        <v>68030</v>
      </c>
      <c r="AW277" s="375"/>
      <c r="AX277" s="375"/>
      <c r="AY277" s="375"/>
      <c r="AZ277" s="375"/>
      <c r="BA277" s="375"/>
      <c r="BB277" s="375"/>
      <c r="BC277" s="375"/>
      <c r="BD277" s="375"/>
      <c r="BE277" s="375"/>
      <c r="BF277" s="375">
        <v>0</v>
      </c>
      <c r="BG277" s="79"/>
      <c r="BH277" s="79">
        <v>-68030</v>
      </c>
      <c r="BI277" s="79">
        <v>68030</v>
      </c>
      <c r="BJ277" s="79"/>
      <c r="BK277" s="79"/>
      <c r="BL277" s="79"/>
      <c r="BM277" s="79"/>
      <c r="BN277" s="79"/>
      <c r="BO277" s="79"/>
      <c r="BP277" s="79"/>
      <c r="BQ277" s="79"/>
      <c r="BR277" s="79"/>
      <c r="BS277" s="79">
        <v>0</v>
      </c>
    </row>
    <row r="278" spans="1:71" ht="15" hidden="1" customHeight="1">
      <c r="A278" s="66" t="s">
        <v>1950</v>
      </c>
      <c r="B278" s="737" t="s">
        <v>1951</v>
      </c>
      <c r="C278" s="346"/>
      <c r="D278" s="343" t="str">
        <f>_xlfn.TEXTJOIN("_",FALSE,E278,ERP_8[[#This Row],[Expense Category]],ERP_8[[#This Row],[Project Code*]])</f>
        <v>Dougherty, Chris_MANAGED SERVICES_IT-SFT1434-OG-US-00</v>
      </c>
      <c r="E278" s="343" t="s">
        <v>1135</v>
      </c>
      <c r="F278" s="346"/>
      <c r="G278" s="150" t="s">
        <v>1136</v>
      </c>
      <c r="H278" s="150" t="s">
        <v>1135</v>
      </c>
      <c r="I278" s="150" t="s">
        <v>1165</v>
      </c>
      <c r="J278" s="150" t="s">
        <v>1137</v>
      </c>
      <c r="K278" s="511" t="s">
        <v>389</v>
      </c>
      <c r="L278" s="392" t="s">
        <v>1952</v>
      </c>
      <c r="M278" s="343"/>
      <c r="N278" s="804">
        <v>2321403</v>
      </c>
      <c r="O278" s="70" t="s">
        <v>489</v>
      </c>
      <c r="P278" s="346" t="s">
        <v>1153</v>
      </c>
      <c r="Q278" s="343"/>
      <c r="R278" s="346"/>
      <c r="S278" s="150" t="s">
        <v>57</v>
      </c>
      <c r="T278" s="150"/>
      <c r="U278" s="403"/>
      <c r="V278" s="406">
        <v>3999.9999999999995</v>
      </c>
      <c r="W278" s="406">
        <v>4632.7199999999993</v>
      </c>
      <c r="X278" s="425"/>
      <c r="Y278" s="71"/>
      <c r="Z278" s="784">
        <v>571.28</v>
      </c>
      <c r="AA278" s="794">
        <v>587.64</v>
      </c>
      <c r="AB278" s="794">
        <v>473.79</v>
      </c>
      <c r="AC278" s="428">
        <v>590.85</v>
      </c>
      <c r="AD278" s="429">
        <v>588.03</v>
      </c>
      <c r="AE278" s="429">
        <v>718.07</v>
      </c>
      <c r="AF278" s="429">
        <v>698.95</v>
      </c>
      <c r="AG278" s="363">
        <v>700</v>
      </c>
      <c r="AH278" s="363">
        <v>700</v>
      </c>
      <c r="AI278" s="363">
        <v>700</v>
      </c>
      <c r="AJ278" s="363">
        <v>700</v>
      </c>
      <c r="AK278" s="363">
        <v>700</v>
      </c>
      <c r="AL278" s="360">
        <f t="shared" si="16"/>
        <v>7728.6100000000006</v>
      </c>
      <c r="AM278" s="362">
        <f>ERP_8[[#This Row],[2026 Working Total]]-ERP_8[[#This Row],[LE2 Final Submission]]</f>
        <v>3095.8900000000012</v>
      </c>
      <c r="AN278" s="79">
        <v>333.33</v>
      </c>
      <c r="AO278" s="79">
        <f t="shared" si="17"/>
        <v>384.74000000000007</v>
      </c>
      <c r="AP278" s="374">
        <f>SUM(ERP_8[[#This Row],[AP01]:[AP07]])-SUM(ERP_8[[#This Row],[AP01 LE2]:[AP07 LE2]])</f>
        <v>1262.5800000000008</v>
      </c>
      <c r="AQ278" s="80"/>
      <c r="AR278" s="79">
        <f>ERP_8[[#This Row],[2026 Working Total to Budget/LE]]-ERP_8[[#This Row],[Giveback]]</f>
        <v>3095.8900000000012</v>
      </c>
      <c r="AS278" s="81"/>
      <c r="AT278" s="375">
        <v>571.28</v>
      </c>
      <c r="AU278" s="375">
        <v>587.64</v>
      </c>
      <c r="AV278" s="375">
        <v>473.79</v>
      </c>
      <c r="AW278" s="375">
        <v>333.33</v>
      </c>
      <c r="AX278" s="375">
        <v>333.33</v>
      </c>
      <c r="AY278" s="375">
        <v>333.33</v>
      </c>
      <c r="AZ278" s="375">
        <v>333.33</v>
      </c>
      <c r="BA278" s="375">
        <v>333.33</v>
      </c>
      <c r="BB278" s="375">
        <v>333.33</v>
      </c>
      <c r="BC278" s="375">
        <v>333.33</v>
      </c>
      <c r="BD278" s="375">
        <v>333.33</v>
      </c>
      <c r="BE278" s="375">
        <v>333.37</v>
      </c>
      <c r="BF278" s="375">
        <v>4632.7199999999993</v>
      </c>
      <c r="BG278" s="79">
        <v>571.28</v>
      </c>
      <c r="BH278" s="79">
        <v>587.64</v>
      </c>
      <c r="BI278" s="79">
        <v>473.79</v>
      </c>
      <c r="BJ278" s="79">
        <v>333.33</v>
      </c>
      <c r="BK278" s="79">
        <v>333.33</v>
      </c>
      <c r="BL278" s="79">
        <v>333.33</v>
      </c>
      <c r="BM278" s="79">
        <v>333.33</v>
      </c>
      <c r="BN278" s="79">
        <v>333.33</v>
      </c>
      <c r="BO278" s="79">
        <v>333.33</v>
      </c>
      <c r="BP278" s="79">
        <v>333.33</v>
      </c>
      <c r="BQ278" s="79">
        <v>333.33</v>
      </c>
      <c r="BR278" s="79">
        <v>333.37</v>
      </c>
      <c r="BS278" s="79">
        <v>4632.7199999999993</v>
      </c>
    </row>
    <row r="279" spans="1:71" ht="15" hidden="1" customHeight="1">
      <c r="A279" s="66" t="s">
        <v>1953</v>
      </c>
      <c r="B279" s="737" t="s">
        <v>491</v>
      </c>
      <c r="C279" s="346"/>
      <c r="D279" s="343" t="str">
        <f>_xlfn.TEXTJOIN("_",FALSE,E279,ERP_8[[#This Row],[Expense Category]],ERP_8[[#This Row],[Project Code*]])</f>
        <v>Dougherty, Chris_MANAGED SERVICES_MISC001</v>
      </c>
      <c r="E279" s="343" t="s">
        <v>1135</v>
      </c>
      <c r="F279" s="346"/>
      <c r="G279" s="150" t="s">
        <v>1136</v>
      </c>
      <c r="H279" s="150" t="s">
        <v>1135</v>
      </c>
      <c r="I279" s="150" t="s">
        <v>1135</v>
      </c>
      <c r="J279" s="150" t="s">
        <v>1137</v>
      </c>
      <c r="K279" s="511" t="s">
        <v>389</v>
      </c>
      <c r="L279" s="392" t="s">
        <v>1327</v>
      </c>
      <c r="M279" s="343"/>
      <c r="N279" s="800" t="s">
        <v>1902</v>
      </c>
      <c r="O279" s="70" t="s">
        <v>147</v>
      </c>
      <c r="P279" s="346"/>
      <c r="Q279" s="343"/>
      <c r="R279" s="346"/>
      <c r="S279" s="150" t="s">
        <v>25</v>
      </c>
      <c r="T279" s="150"/>
      <c r="U279" s="403"/>
      <c r="V279" s="406">
        <v>0</v>
      </c>
      <c r="W279" s="406">
        <v>0.03</v>
      </c>
      <c r="X279" s="430"/>
      <c r="Y279" s="137"/>
      <c r="Z279" s="784">
        <v>7.0000000000000007E-2</v>
      </c>
      <c r="AA279" s="780">
        <v>-0.2</v>
      </c>
      <c r="AB279" s="780">
        <v>0.16</v>
      </c>
      <c r="AC279" s="428">
        <v>-0.28999999999999998</v>
      </c>
      <c r="AD279" s="837">
        <v>71439.95</v>
      </c>
      <c r="AE279" s="837">
        <v>1.9999999999999997E-2</v>
      </c>
      <c r="AF279" s="429">
        <v>0</v>
      </c>
      <c r="AG279" s="360">
        <v>0</v>
      </c>
      <c r="AH279" s="360">
        <v>0</v>
      </c>
      <c r="AI279" s="360">
        <v>0</v>
      </c>
      <c r="AJ279" s="360">
        <v>0</v>
      </c>
      <c r="AK279" s="360">
        <v>0</v>
      </c>
      <c r="AL279" s="360">
        <f t="shared" si="16"/>
        <v>71439.710000000006</v>
      </c>
      <c r="AM279" s="362">
        <f>ERP_8[[#This Row],[2026 Working Total]]-ERP_8[[#This Row],[LE2 Final Submission]]</f>
        <v>71439.680000000008</v>
      </c>
      <c r="AN279" s="79">
        <v>0</v>
      </c>
      <c r="AO279" s="79">
        <f t="shared" si="17"/>
        <v>1.9999999999999997E-2</v>
      </c>
      <c r="AP279" s="374">
        <f>SUM(ERP_8[[#This Row],[AP01]:[AP07]])-SUM(ERP_8[[#This Row],[AP01 LE2]:[AP07 LE2]])</f>
        <v>71439.680000000008</v>
      </c>
      <c r="AQ279" s="80"/>
      <c r="AR279" s="79">
        <f>ERP_8[[#This Row],[2026 Working Total to Budget/LE]]-ERP_8[[#This Row],[Giveback]]</f>
        <v>71439.680000000008</v>
      </c>
      <c r="AS279" s="81"/>
      <c r="AT279" s="375">
        <v>7.0000000000000007E-2</v>
      </c>
      <c r="AU279" s="375">
        <v>-0.2</v>
      </c>
      <c r="AV279" s="375">
        <v>0.16</v>
      </c>
      <c r="AW279" s="375">
        <v>0</v>
      </c>
      <c r="AX279" s="375">
        <v>0</v>
      </c>
      <c r="AY279" s="375">
        <v>0</v>
      </c>
      <c r="AZ279" s="375">
        <v>0</v>
      </c>
      <c r="BA279" s="375">
        <v>0</v>
      </c>
      <c r="BB279" s="375">
        <v>0</v>
      </c>
      <c r="BC279" s="375">
        <v>0</v>
      </c>
      <c r="BD279" s="375">
        <v>0</v>
      </c>
      <c r="BE279" s="375">
        <v>0</v>
      </c>
      <c r="BF279" s="375">
        <v>0.03</v>
      </c>
      <c r="BG279" s="79">
        <v>7.0000000000000007E-2</v>
      </c>
      <c r="BH279" s="79">
        <v>-0.2</v>
      </c>
      <c r="BI279" s="79">
        <v>0.16</v>
      </c>
      <c r="BJ279" s="79">
        <v>0</v>
      </c>
      <c r="BK279" s="79">
        <v>0</v>
      </c>
      <c r="BL279" s="79">
        <v>0</v>
      </c>
      <c r="BM279" s="79">
        <v>0</v>
      </c>
      <c r="BN279" s="79">
        <v>0</v>
      </c>
      <c r="BO279" s="79">
        <v>0</v>
      </c>
      <c r="BP279" s="79">
        <v>0</v>
      </c>
      <c r="BQ279" s="79">
        <v>0</v>
      </c>
      <c r="BR279" s="79">
        <v>0</v>
      </c>
      <c r="BS279" s="79">
        <v>0.03</v>
      </c>
    </row>
    <row r="280" spans="1:71" ht="15" hidden="1" customHeight="1">
      <c r="A280" s="66" t="s">
        <v>1954</v>
      </c>
      <c r="B280" s="737" t="s">
        <v>1955</v>
      </c>
      <c r="C280" s="346"/>
      <c r="D280" s="343" t="str">
        <f>_xlfn.TEXTJOIN("_",FALSE,E280,ERP_8[[#This Row],[Expense Category]],ERP_8[[#This Row],[Project Code*]])</f>
        <v>Dougherty, Chris_MANAGED SERVICES_MISC001</v>
      </c>
      <c r="E280" s="343" t="s">
        <v>1135</v>
      </c>
      <c r="F280" s="346"/>
      <c r="G280" s="150" t="s">
        <v>1136</v>
      </c>
      <c r="H280" s="150" t="s">
        <v>1135</v>
      </c>
      <c r="I280" s="150" t="s">
        <v>1137</v>
      </c>
      <c r="J280" s="150" t="s">
        <v>1137</v>
      </c>
      <c r="K280" s="511" t="s">
        <v>389</v>
      </c>
      <c r="L280" s="392" t="s">
        <v>1327</v>
      </c>
      <c r="M280" s="343"/>
      <c r="N280" s="800" t="s">
        <v>1956</v>
      </c>
      <c r="O280" s="70" t="s">
        <v>147</v>
      </c>
      <c r="P280" s="346"/>
      <c r="Q280" s="343"/>
      <c r="R280" s="346"/>
      <c r="S280" s="150" t="s">
        <v>25</v>
      </c>
      <c r="T280" s="1" t="s">
        <v>1141</v>
      </c>
      <c r="U280" s="403"/>
      <c r="V280" s="406">
        <v>0</v>
      </c>
      <c r="W280" s="406">
        <v>1777.1799999999998</v>
      </c>
      <c r="X280" s="425"/>
      <c r="Y280" s="71"/>
      <c r="Z280" s="784">
        <v>843.63</v>
      </c>
      <c r="AA280" s="780">
        <v>-313.26</v>
      </c>
      <c r="AB280" s="780">
        <v>1246.81</v>
      </c>
      <c r="AC280" s="428">
        <v>1159.5900000000001</v>
      </c>
      <c r="AD280" s="429">
        <v>1531.64</v>
      </c>
      <c r="AE280" s="429">
        <v>324.64</v>
      </c>
      <c r="AF280" s="429">
        <v>-2088.0300000000002</v>
      </c>
      <c r="AG280" s="360">
        <v>0</v>
      </c>
      <c r="AH280" s="360">
        <v>0</v>
      </c>
      <c r="AI280" s="360">
        <v>0</v>
      </c>
      <c r="AJ280" s="360">
        <v>0</v>
      </c>
      <c r="AK280" s="360">
        <v>0</v>
      </c>
      <c r="AL280" s="360">
        <f t="shared" si="16"/>
        <v>2705.02</v>
      </c>
      <c r="AM280" s="362">
        <f>ERP_8[[#This Row],[2026 Working Total]]-ERP_8[[#This Row],[LE2 Final Submission]]</f>
        <v>927.84000000000015</v>
      </c>
      <c r="AN280" s="79">
        <v>0</v>
      </c>
      <c r="AO280" s="79">
        <f t="shared" si="17"/>
        <v>324.64</v>
      </c>
      <c r="AP280" s="374">
        <f>SUM(ERP_8[[#This Row],[AP01]:[AP07]])-SUM(ERP_8[[#This Row],[AP01 LE2]:[AP07 LE2]])</f>
        <v>927.84000000000015</v>
      </c>
      <c r="AQ280" s="80"/>
      <c r="AR280" s="79">
        <f>ERP_8[[#This Row],[2026 Working Total to Budget/LE]]-ERP_8[[#This Row],[Giveback]]</f>
        <v>927.84000000000015</v>
      </c>
      <c r="AS280" s="81"/>
      <c r="AT280" s="375">
        <v>843.63</v>
      </c>
      <c r="AU280" s="375">
        <v>-313.26</v>
      </c>
      <c r="AV280" s="375">
        <v>1246.81</v>
      </c>
      <c r="AW280" s="375">
        <v>0</v>
      </c>
      <c r="AX280" s="375">
        <v>0</v>
      </c>
      <c r="AY280" s="375">
        <v>0</v>
      </c>
      <c r="AZ280" s="375">
        <v>0</v>
      </c>
      <c r="BA280" s="375">
        <v>0</v>
      </c>
      <c r="BB280" s="375">
        <v>0</v>
      </c>
      <c r="BC280" s="375">
        <v>0</v>
      </c>
      <c r="BD280" s="375">
        <v>0</v>
      </c>
      <c r="BE280" s="375">
        <v>0</v>
      </c>
      <c r="BF280" s="375">
        <v>1777.1799999999998</v>
      </c>
      <c r="BG280" s="79">
        <v>843.63</v>
      </c>
      <c r="BH280" s="79">
        <v>-313.26</v>
      </c>
      <c r="BI280" s="79">
        <v>1246.81</v>
      </c>
      <c r="BJ280" s="79">
        <v>0</v>
      </c>
      <c r="BK280" s="79">
        <v>0</v>
      </c>
      <c r="BL280" s="79">
        <v>0</v>
      </c>
      <c r="BM280" s="79">
        <v>0</v>
      </c>
      <c r="BN280" s="79">
        <v>0</v>
      </c>
      <c r="BO280" s="79">
        <v>0</v>
      </c>
      <c r="BP280" s="79">
        <v>0</v>
      </c>
      <c r="BQ280" s="79">
        <v>0</v>
      </c>
      <c r="BR280" s="79">
        <v>0</v>
      </c>
      <c r="BS280" s="79">
        <v>1777.1799999999998</v>
      </c>
    </row>
    <row r="281" spans="1:71" ht="15" hidden="1" customHeight="1">
      <c r="A281" s="66" t="s">
        <v>1957</v>
      </c>
      <c r="B281" s="737" t="s">
        <v>1958</v>
      </c>
      <c r="C281" s="346"/>
      <c r="D281" s="343" t="str">
        <f>_xlfn.TEXTJOIN("_",FALSE,E281,ERP_8[[#This Row],[Expense Category]],ERP_8[[#This Row],[Project Code*]])</f>
        <v>Dougherty, Chris_MANAGED SERVICES_MISC001</v>
      </c>
      <c r="E281" s="343" t="s">
        <v>1135</v>
      </c>
      <c r="F281" s="346"/>
      <c r="G281" s="150" t="s">
        <v>1136</v>
      </c>
      <c r="H281" s="150" t="s">
        <v>1135</v>
      </c>
      <c r="I281" s="150" t="s">
        <v>1145</v>
      </c>
      <c r="J281" s="150" t="s">
        <v>1137</v>
      </c>
      <c r="K281" s="511" t="s">
        <v>389</v>
      </c>
      <c r="L281" s="778" t="s">
        <v>1327</v>
      </c>
      <c r="M281" s="343"/>
      <c r="N281" s="800" t="s">
        <v>1186</v>
      </c>
      <c r="O281" s="70" t="s">
        <v>147</v>
      </c>
      <c r="P281" s="346"/>
      <c r="Q281" s="343"/>
      <c r="R281" s="346"/>
      <c r="S281" s="150" t="s">
        <v>25</v>
      </c>
      <c r="T281" s="150"/>
      <c r="U281" s="403"/>
      <c r="V281" s="406">
        <v>0</v>
      </c>
      <c r="W281" s="406">
        <v>-0.12</v>
      </c>
      <c r="X281" s="425"/>
      <c r="Y281" s="71"/>
      <c r="Z281" s="784">
        <v>0.02</v>
      </c>
      <c r="AA281" s="780">
        <v>0.04</v>
      </c>
      <c r="AB281" s="780">
        <v>-0.18</v>
      </c>
      <c r="AC281" s="428">
        <v>-0.02</v>
      </c>
      <c r="AD281" s="429">
        <v>0.19</v>
      </c>
      <c r="AE281" s="429">
        <v>-0.36</v>
      </c>
      <c r="AF281" s="429">
        <v>0</v>
      </c>
      <c r="AG281" s="360">
        <v>0</v>
      </c>
      <c r="AH281" s="360">
        <v>0</v>
      </c>
      <c r="AI281" s="360">
        <v>0</v>
      </c>
      <c r="AJ281" s="360">
        <v>0</v>
      </c>
      <c r="AK281" s="360">
        <v>0</v>
      </c>
      <c r="AL281" s="360">
        <f t="shared" si="16"/>
        <v>-0.30999999999999994</v>
      </c>
      <c r="AM281" s="362">
        <f>ERP_8[[#This Row],[2026 Working Total]]-ERP_8[[#This Row],[LE2 Final Submission]]</f>
        <v>-0.18999999999999995</v>
      </c>
      <c r="AN281" s="79">
        <v>0</v>
      </c>
      <c r="AO281" s="79">
        <f t="shared" si="17"/>
        <v>-0.36</v>
      </c>
      <c r="AP281" s="374">
        <f>SUM(ERP_8[[#This Row],[AP01]:[AP07]])-SUM(ERP_8[[#This Row],[AP01 LE2]:[AP07 LE2]])</f>
        <v>-0.18999999999999995</v>
      </c>
      <c r="AQ281" s="80"/>
      <c r="AR281" s="79">
        <f>ERP_8[[#This Row],[2026 Working Total to Budget/LE]]-ERP_8[[#This Row],[Giveback]]</f>
        <v>-0.18999999999999995</v>
      </c>
      <c r="AS281" s="81"/>
      <c r="AT281" s="375">
        <v>0.02</v>
      </c>
      <c r="AU281" s="375">
        <v>0.04</v>
      </c>
      <c r="AV281" s="375">
        <v>-0.18</v>
      </c>
      <c r="AW281" s="375">
        <v>0</v>
      </c>
      <c r="AX281" s="375">
        <v>0</v>
      </c>
      <c r="AY281" s="375">
        <v>0</v>
      </c>
      <c r="AZ281" s="375">
        <v>0</v>
      </c>
      <c r="BA281" s="375">
        <v>0</v>
      </c>
      <c r="BB281" s="375">
        <v>0</v>
      </c>
      <c r="BC281" s="375">
        <v>0</v>
      </c>
      <c r="BD281" s="375">
        <v>0</v>
      </c>
      <c r="BE281" s="375">
        <v>0</v>
      </c>
      <c r="BF281" s="375">
        <v>-0.12</v>
      </c>
      <c r="BG281" s="79">
        <v>0.02</v>
      </c>
      <c r="BH281" s="79">
        <v>0.04</v>
      </c>
      <c r="BI281" s="79">
        <v>-0.18</v>
      </c>
      <c r="BJ281" s="79">
        <v>0</v>
      </c>
      <c r="BK281" s="79">
        <v>0</v>
      </c>
      <c r="BL281" s="79">
        <v>0</v>
      </c>
      <c r="BM281" s="79">
        <v>0</v>
      </c>
      <c r="BN281" s="79">
        <v>0</v>
      </c>
      <c r="BO281" s="79">
        <v>0</v>
      </c>
      <c r="BP281" s="79">
        <v>0</v>
      </c>
      <c r="BQ281" s="79">
        <v>0</v>
      </c>
      <c r="BR281" s="79">
        <v>0</v>
      </c>
      <c r="BS281" s="79">
        <v>-0.12</v>
      </c>
    </row>
    <row r="282" spans="1:71" ht="15" hidden="1" customHeight="1">
      <c r="A282" s="66" t="s">
        <v>1959</v>
      </c>
      <c r="B282" s="737" t="s">
        <v>1960</v>
      </c>
      <c r="C282" s="346"/>
      <c r="D282" s="343" t="str">
        <f>_xlfn.TEXTJOIN("_",FALSE,E282,ERP_8[[#This Row],[Expense Category]],ERP_8[[#This Row],[Project Code*]])</f>
        <v>Dougherty, Chris_MANAGED SERVICES_MISC001</v>
      </c>
      <c r="E282" s="343" t="s">
        <v>1135</v>
      </c>
      <c r="F282" s="346"/>
      <c r="G282" s="150" t="s">
        <v>1136</v>
      </c>
      <c r="H282" s="150" t="s">
        <v>1135</v>
      </c>
      <c r="I282" s="150" t="s">
        <v>1156</v>
      </c>
      <c r="J282" s="150" t="s">
        <v>1137</v>
      </c>
      <c r="K282" s="511" t="s">
        <v>389</v>
      </c>
      <c r="L282" s="392" t="s">
        <v>1327</v>
      </c>
      <c r="M282" s="343"/>
      <c r="N282" s="800" t="s">
        <v>1804</v>
      </c>
      <c r="O282" s="70" t="s">
        <v>147</v>
      </c>
      <c r="P282" s="346"/>
      <c r="Q282" s="343"/>
      <c r="R282" s="346"/>
      <c r="S282" s="150" t="s">
        <v>25</v>
      </c>
      <c r="T282" s="150" t="s">
        <v>1334</v>
      </c>
      <c r="U282" s="403"/>
      <c r="V282" s="406">
        <v>0</v>
      </c>
      <c r="W282" s="406">
        <v>-0.16999999999999998</v>
      </c>
      <c r="X282" s="425"/>
      <c r="Y282" s="71"/>
      <c r="Z282" s="784"/>
      <c r="AA282" s="794">
        <v>0.42</v>
      </c>
      <c r="AB282" s="794">
        <v>-0.59</v>
      </c>
      <c r="AC282" s="428">
        <v>0.34</v>
      </c>
      <c r="AD282" s="429">
        <v>0.33</v>
      </c>
      <c r="AE282" s="429">
        <v>-0.56999999999999995</v>
      </c>
      <c r="AF282" s="429">
        <v>0</v>
      </c>
      <c r="AG282" s="360">
        <v>0</v>
      </c>
      <c r="AH282" s="360">
        <v>0</v>
      </c>
      <c r="AI282" s="360">
        <v>0</v>
      </c>
      <c r="AJ282" s="360">
        <v>0</v>
      </c>
      <c r="AK282" s="360">
        <v>0</v>
      </c>
      <c r="AL282" s="360">
        <f t="shared" si="16"/>
        <v>-6.9999999999999951E-2</v>
      </c>
      <c r="AM282" s="362">
        <f>ERP_8[[#This Row],[2026 Working Total]]-ERP_8[[#This Row],[LE2 Final Submission]]</f>
        <v>0.10000000000000003</v>
      </c>
      <c r="AN282" s="79">
        <v>0</v>
      </c>
      <c r="AO282" s="79">
        <f t="shared" si="17"/>
        <v>-0.56999999999999995</v>
      </c>
      <c r="AP282" s="374">
        <f>SUM(ERP_8[[#This Row],[AP01]:[AP07]])-SUM(ERP_8[[#This Row],[AP01 LE2]:[AP07 LE2]])</f>
        <v>0.10000000000000003</v>
      </c>
      <c r="AQ282" s="80"/>
      <c r="AR282" s="79">
        <f>ERP_8[[#This Row],[2026 Working Total to Budget/LE]]-ERP_8[[#This Row],[Giveback]]</f>
        <v>0.10000000000000003</v>
      </c>
      <c r="AS282" s="81"/>
      <c r="AT282" s="375"/>
      <c r="AU282" s="375">
        <v>0.42</v>
      </c>
      <c r="AV282" s="375">
        <v>-0.59</v>
      </c>
      <c r="AW282" s="375">
        <v>0</v>
      </c>
      <c r="AX282" s="375">
        <v>0</v>
      </c>
      <c r="AY282" s="375">
        <v>0</v>
      </c>
      <c r="AZ282" s="375">
        <v>0</v>
      </c>
      <c r="BA282" s="375">
        <v>0</v>
      </c>
      <c r="BB282" s="375">
        <v>0</v>
      </c>
      <c r="BC282" s="375">
        <v>0</v>
      </c>
      <c r="BD282" s="375">
        <v>0</v>
      </c>
      <c r="BE282" s="375">
        <v>0</v>
      </c>
      <c r="BF282" s="375">
        <v>-0.16999999999999998</v>
      </c>
      <c r="BG282" s="79"/>
      <c r="BH282" s="79">
        <v>0.42</v>
      </c>
      <c r="BI282" s="79">
        <v>-0.59</v>
      </c>
      <c r="BJ282" s="79">
        <v>0</v>
      </c>
      <c r="BK282" s="79">
        <v>0</v>
      </c>
      <c r="BL282" s="79">
        <v>0</v>
      </c>
      <c r="BM282" s="79">
        <v>0</v>
      </c>
      <c r="BN282" s="79">
        <v>0</v>
      </c>
      <c r="BO282" s="79">
        <v>0</v>
      </c>
      <c r="BP282" s="79">
        <v>0</v>
      </c>
      <c r="BQ282" s="79">
        <v>0</v>
      </c>
      <c r="BR282" s="79">
        <v>0</v>
      </c>
      <c r="BS282" s="79">
        <v>-0.16999999999999998</v>
      </c>
    </row>
    <row r="283" spans="1:71" ht="15" hidden="1" customHeight="1">
      <c r="A283" s="66" t="s">
        <v>1961</v>
      </c>
      <c r="B283" s="737" t="s">
        <v>1962</v>
      </c>
      <c r="C283" s="346"/>
      <c r="D283" s="343" t="str">
        <f>_xlfn.TEXTJOIN("_",FALSE,E283,ERP_8[[#This Row],[Expense Category]],ERP_8[[#This Row],[Project Code*]])</f>
        <v>Dougherty, Chris_MANAGED SERVICES_MISC001</v>
      </c>
      <c r="E283" s="343" t="s">
        <v>1135</v>
      </c>
      <c r="F283" s="346"/>
      <c r="G283" s="150" t="s">
        <v>1136</v>
      </c>
      <c r="H283" s="150" t="s">
        <v>1135</v>
      </c>
      <c r="I283" s="150" t="s">
        <v>1165</v>
      </c>
      <c r="J283" s="150" t="s">
        <v>1137</v>
      </c>
      <c r="K283" s="511" t="s">
        <v>389</v>
      </c>
      <c r="L283" s="392" t="s">
        <v>1327</v>
      </c>
      <c r="M283" s="343"/>
      <c r="N283" s="800"/>
      <c r="O283" s="70" t="s">
        <v>147</v>
      </c>
      <c r="P283" s="346"/>
      <c r="Q283" s="343"/>
      <c r="R283" s="346"/>
      <c r="S283" s="150" t="s">
        <v>25</v>
      </c>
      <c r="T283" s="482" t="s">
        <v>1338</v>
      </c>
      <c r="U283" s="403"/>
      <c r="V283" s="406">
        <v>0</v>
      </c>
      <c r="W283" s="406">
        <v>39996</v>
      </c>
      <c r="X283" s="425"/>
      <c r="Y283" s="71"/>
      <c r="Z283" s="784">
        <v>0.22</v>
      </c>
      <c r="AA283" s="843">
        <v>45000.28</v>
      </c>
      <c r="AB283" s="794">
        <v>-5004.5</v>
      </c>
      <c r="AC283" s="429">
        <v>-0.6</v>
      </c>
      <c r="AD283" s="837">
        <v>-84995.74</v>
      </c>
      <c r="AE283" s="837">
        <v>44999.83</v>
      </c>
      <c r="AF283" s="429">
        <v>0</v>
      </c>
      <c r="AG283" s="360">
        <v>0</v>
      </c>
      <c r="AH283" s="360">
        <v>0</v>
      </c>
      <c r="AI283" s="360">
        <v>0</v>
      </c>
      <c r="AJ283" s="360">
        <v>0</v>
      </c>
      <c r="AK283" s="360">
        <v>0</v>
      </c>
      <c r="AL283" s="360">
        <f t="shared" si="16"/>
        <v>-0.51000000000203727</v>
      </c>
      <c r="AM283" s="362">
        <f>ERP_8[[#This Row],[2026 Working Total]]-ERP_8[[#This Row],[LE2 Final Submission]]</f>
        <v>-39996.51</v>
      </c>
      <c r="AN283" s="79">
        <v>0</v>
      </c>
      <c r="AO283" s="79">
        <f t="shared" si="17"/>
        <v>44999.83</v>
      </c>
      <c r="AP283" s="374">
        <f>SUM(ERP_8[[#This Row],[AP01]:[AP07]])-SUM(ERP_8[[#This Row],[AP01 LE2]:[AP07 LE2]])</f>
        <v>-39996.51</v>
      </c>
      <c r="AQ283" s="80"/>
      <c r="AR283" s="79">
        <f>ERP_8[[#This Row],[2026 Working Total to Budget/LE]]-ERP_8[[#This Row],[Giveback]]</f>
        <v>-39996.51</v>
      </c>
      <c r="AS283" s="81"/>
      <c r="AT283" s="375">
        <v>0.22</v>
      </c>
      <c r="AU283" s="375">
        <v>45000.28</v>
      </c>
      <c r="AV283" s="375">
        <v>-5004.5</v>
      </c>
      <c r="AW283" s="375">
        <v>0</v>
      </c>
      <c r="AX283" s="375">
        <v>0</v>
      </c>
      <c r="AY283" s="375">
        <v>0</v>
      </c>
      <c r="AZ283" s="375">
        <v>0</v>
      </c>
      <c r="BA283" s="375">
        <v>0</v>
      </c>
      <c r="BB283" s="375">
        <v>0</v>
      </c>
      <c r="BC283" s="375">
        <v>0</v>
      </c>
      <c r="BD283" s="375">
        <v>0</v>
      </c>
      <c r="BE283" s="375">
        <v>0</v>
      </c>
      <c r="BF283" s="375">
        <v>39996</v>
      </c>
      <c r="BG283" s="79">
        <v>0.22</v>
      </c>
      <c r="BH283" s="79">
        <v>45000.28</v>
      </c>
      <c r="BI283" s="79">
        <v>-5004.5</v>
      </c>
      <c r="BJ283" s="79">
        <v>0</v>
      </c>
      <c r="BK283" s="79">
        <v>0</v>
      </c>
      <c r="BL283" s="79">
        <v>0</v>
      </c>
      <c r="BM283" s="79">
        <v>0</v>
      </c>
      <c r="BN283" s="79">
        <v>0</v>
      </c>
      <c r="BO283" s="79">
        <v>0</v>
      </c>
      <c r="BP283" s="79">
        <v>0</v>
      </c>
      <c r="BQ283" s="79">
        <v>0</v>
      </c>
      <c r="BR283" s="79">
        <v>0</v>
      </c>
      <c r="BS283" s="79">
        <v>39996</v>
      </c>
    </row>
    <row r="284" spans="1:71" ht="15" hidden="1" customHeight="1">
      <c r="A284" s="66" t="s">
        <v>1963</v>
      </c>
      <c r="B284" s="737" t="s">
        <v>492</v>
      </c>
      <c r="C284" s="346"/>
      <c r="D284" s="343" t="str">
        <f>_xlfn.TEXTJOIN("_",FALSE,E284,ERP_8[[#This Row],[Expense Category]],ERP_8[[#This Row],[Project Code*]])</f>
        <v>Ganesan, Srinivasan_MANAGED SERVICES_EnhanceChargeout001</v>
      </c>
      <c r="E284" s="343" t="s">
        <v>1344</v>
      </c>
      <c r="F284" s="346"/>
      <c r="G284" s="150" t="s">
        <v>1136</v>
      </c>
      <c r="H284" s="150" t="s">
        <v>1345</v>
      </c>
      <c r="I284" s="150" t="s">
        <v>1344</v>
      </c>
      <c r="J284" s="150" t="s">
        <v>1346</v>
      </c>
      <c r="K284" s="511" t="s">
        <v>389</v>
      </c>
      <c r="L284" s="392" t="s">
        <v>1147</v>
      </c>
      <c r="M284" s="343"/>
      <c r="N284" s="800" t="s">
        <v>1358</v>
      </c>
      <c r="O284" s="70" t="s">
        <v>53</v>
      </c>
      <c r="P284" s="346" t="s">
        <v>1153</v>
      </c>
      <c r="Q284" s="343"/>
      <c r="R284" s="346"/>
      <c r="S284" s="150" t="s">
        <v>25</v>
      </c>
      <c r="T284" s="150"/>
      <c r="U284" s="403"/>
      <c r="V284" s="406">
        <v>0</v>
      </c>
      <c r="W284" s="406">
        <v>387</v>
      </c>
      <c r="X284" s="425"/>
      <c r="Y284" s="425"/>
      <c r="Z284" s="784">
        <v>129</v>
      </c>
      <c r="AA284" s="780">
        <v>129</v>
      </c>
      <c r="AB284" s="780">
        <v>129</v>
      </c>
      <c r="AC284" s="428">
        <v>129</v>
      </c>
      <c r="AD284" s="429">
        <v>129</v>
      </c>
      <c r="AE284" s="429">
        <v>129</v>
      </c>
      <c r="AF284" s="429">
        <v>128.9</v>
      </c>
      <c r="AG284" s="360">
        <v>0</v>
      </c>
      <c r="AH284" s="360">
        <v>0</v>
      </c>
      <c r="AI284" s="360">
        <v>0</v>
      </c>
      <c r="AJ284" s="360">
        <v>0</v>
      </c>
      <c r="AK284" s="360">
        <v>0</v>
      </c>
      <c r="AL284" s="360">
        <f t="shared" si="16"/>
        <v>902.9</v>
      </c>
      <c r="AM284" s="362">
        <f>ERP_8[[#This Row],[2026 Working Total]]-ERP_8[[#This Row],[LE2 Final Submission]]</f>
        <v>515.9</v>
      </c>
      <c r="AN284" s="79">
        <v>0</v>
      </c>
      <c r="AO284" s="79">
        <f t="shared" si="17"/>
        <v>129</v>
      </c>
      <c r="AP284" s="374">
        <f>SUM(ERP_8[[#This Row],[AP01]:[AP07]])-SUM(ERP_8[[#This Row],[AP01 LE2]:[AP07 LE2]])</f>
        <v>515.9</v>
      </c>
      <c r="AQ284" s="80"/>
      <c r="AR284" s="79">
        <f>ERP_8[[#This Row],[2026 Working Total to Budget/LE]]-ERP_8[[#This Row],[Giveback]]</f>
        <v>515.9</v>
      </c>
      <c r="AS284" s="81"/>
      <c r="AT284" s="375">
        <v>129</v>
      </c>
      <c r="AU284" s="375">
        <v>129</v>
      </c>
      <c r="AV284" s="375">
        <v>129</v>
      </c>
      <c r="AW284" s="375">
        <v>0</v>
      </c>
      <c r="AX284" s="375">
        <v>0</v>
      </c>
      <c r="AY284" s="375">
        <v>0</v>
      </c>
      <c r="AZ284" s="375">
        <v>0</v>
      </c>
      <c r="BA284" s="375">
        <v>0</v>
      </c>
      <c r="BB284" s="375">
        <v>0</v>
      </c>
      <c r="BC284" s="375">
        <v>0</v>
      </c>
      <c r="BD284" s="375">
        <v>0</v>
      </c>
      <c r="BE284" s="375">
        <v>0</v>
      </c>
      <c r="BF284" s="375">
        <v>387</v>
      </c>
      <c r="BG284" s="79">
        <v>129</v>
      </c>
      <c r="BH284" s="79">
        <v>129</v>
      </c>
      <c r="BI284" s="79">
        <v>129</v>
      </c>
      <c r="BJ284" s="79">
        <v>0</v>
      </c>
      <c r="BK284" s="79">
        <v>0</v>
      </c>
      <c r="BL284" s="79">
        <v>0</v>
      </c>
      <c r="BM284" s="79">
        <v>0</v>
      </c>
      <c r="BN284" s="79">
        <v>0</v>
      </c>
      <c r="BO284" s="79">
        <v>0</v>
      </c>
      <c r="BP284" s="79">
        <v>0</v>
      </c>
      <c r="BQ284" s="79">
        <v>0</v>
      </c>
      <c r="BR284" s="79">
        <v>0</v>
      </c>
      <c r="BS284" s="79">
        <v>387</v>
      </c>
    </row>
    <row r="285" spans="1:71" ht="15" hidden="1" customHeight="1">
      <c r="A285" s="66" t="s">
        <v>1964</v>
      </c>
      <c r="B285" s="737" t="s">
        <v>493</v>
      </c>
      <c r="C285" s="346"/>
      <c r="D285" s="343" t="str">
        <f>_xlfn.TEXTJOIN("_",FALSE,E285,ERP_8[[#This Row],[Expense Category]],ERP_8[[#This Row],[Project Code*]])</f>
        <v>Ganesan, Srinivasan_MANAGED SERVICES_EP&amp;SCharges001</v>
      </c>
      <c r="E285" s="343" t="s">
        <v>1344</v>
      </c>
      <c r="F285" s="346"/>
      <c r="G285" s="150" t="s">
        <v>1136</v>
      </c>
      <c r="H285" s="150" t="s">
        <v>1345</v>
      </c>
      <c r="I285" s="150" t="s">
        <v>1344</v>
      </c>
      <c r="J285" s="150" t="s">
        <v>1346</v>
      </c>
      <c r="K285" s="511" t="s">
        <v>389</v>
      </c>
      <c r="L285" s="392" t="s">
        <v>1174</v>
      </c>
      <c r="M285" s="343"/>
      <c r="N285" s="800" t="s">
        <v>1965</v>
      </c>
      <c r="O285" s="70" t="s">
        <v>56</v>
      </c>
      <c r="P285" s="346"/>
      <c r="Q285" s="346" t="s">
        <v>1140</v>
      </c>
      <c r="R285" s="346"/>
      <c r="S285" s="150" t="s">
        <v>57</v>
      </c>
      <c r="T285" s="150"/>
      <c r="U285" s="403"/>
      <c r="V285" s="406">
        <v>18000</v>
      </c>
      <c r="W285" s="406">
        <v>16521.98</v>
      </c>
      <c r="X285" s="430"/>
      <c r="Y285" s="430"/>
      <c r="Z285" s="784">
        <v>920.95</v>
      </c>
      <c r="AA285" s="780">
        <v>1065.45</v>
      </c>
      <c r="AB285" s="780">
        <v>1035.58</v>
      </c>
      <c r="AC285" s="428">
        <v>1019.5500000000001</v>
      </c>
      <c r="AD285" s="429">
        <v>110.62</v>
      </c>
      <c r="AE285" s="429">
        <v>219.57999999999998</v>
      </c>
      <c r="AF285" s="429">
        <v>219.57999999999998</v>
      </c>
      <c r="AG285" s="363">
        <v>1500</v>
      </c>
      <c r="AH285" s="363">
        <v>1500</v>
      </c>
      <c r="AI285" s="363">
        <v>1500</v>
      </c>
      <c r="AJ285" s="363">
        <v>1500</v>
      </c>
      <c r="AK285" s="363">
        <v>1500</v>
      </c>
      <c r="AL285" s="360">
        <f t="shared" si="16"/>
        <v>12091.310000000001</v>
      </c>
      <c r="AM285" s="362">
        <f>ERP_8[[#This Row],[2026 Working Total]]-ERP_8[[#This Row],[LE2 Final Submission]]</f>
        <v>-4430.6699999999983</v>
      </c>
      <c r="AN285" s="79">
        <v>0</v>
      </c>
      <c r="AO285" s="79">
        <f t="shared" si="17"/>
        <v>219.57999999999998</v>
      </c>
      <c r="AP285" s="374">
        <f>SUM(ERP_8[[#This Row],[AP01]:[AP07]])-SUM(ERP_8[[#This Row],[AP01 LE2]:[AP07 LE2]])</f>
        <v>-4430.6699999999992</v>
      </c>
      <c r="AQ285" s="80"/>
      <c r="AR285" s="79">
        <f>ERP_8[[#This Row],[2026 Working Total to Budget/LE]]-ERP_8[[#This Row],[Giveback]]</f>
        <v>-4430.6699999999983</v>
      </c>
      <c r="AS285" s="81"/>
      <c r="AT285" s="375">
        <v>920.95</v>
      </c>
      <c r="AU285" s="375">
        <v>1065.45</v>
      </c>
      <c r="AV285" s="375">
        <v>1035.58</v>
      </c>
      <c r="AW285" s="375">
        <v>1500</v>
      </c>
      <c r="AX285" s="375">
        <v>1500</v>
      </c>
      <c r="AY285" s="375">
        <v>1500</v>
      </c>
      <c r="AZ285" s="375">
        <v>1500</v>
      </c>
      <c r="BA285" s="375">
        <v>1500</v>
      </c>
      <c r="BB285" s="375">
        <v>1500</v>
      </c>
      <c r="BC285" s="375">
        <v>1500</v>
      </c>
      <c r="BD285" s="375">
        <v>1500</v>
      </c>
      <c r="BE285" s="375">
        <v>1500</v>
      </c>
      <c r="BF285" s="375">
        <v>16521.98</v>
      </c>
      <c r="BG285" s="79">
        <v>920.95</v>
      </c>
      <c r="BH285" s="79">
        <v>1065.45</v>
      </c>
      <c r="BI285" s="79">
        <v>1035.58</v>
      </c>
      <c r="BJ285" s="79">
        <v>1500</v>
      </c>
      <c r="BK285" s="79">
        <v>1500</v>
      </c>
      <c r="BL285" s="79">
        <v>1500</v>
      </c>
      <c r="BM285" s="79">
        <v>1500</v>
      </c>
      <c r="BN285" s="79">
        <v>1500</v>
      </c>
      <c r="BO285" s="79">
        <v>1500</v>
      </c>
      <c r="BP285" s="79">
        <v>1500</v>
      </c>
      <c r="BQ285" s="79">
        <v>1500</v>
      </c>
      <c r="BR285" s="79">
        <v>1500</v>
      </c>
      <c r="BS285" s="79">
        <v>16521.98</v>
      </c>
    </row>
    <row r="286" spans="1:71" ht="15" hidden="1" customHeight="1">
      <c r="A286" s="66" t="s">
        <v>1966</v>
      </c>
      <c r="B286" s="737" t="s">
        <v>494</v>
      </c>
      <c r="C286" s="346"/>
      <c r="D286" s="343" t="str">
        <f>_xlfn.TEXTJOIN("_",FALSE,E286,ERP_8[[#This Row],[Expense Category]],ERP_8[[#This Row],[Project Code*]])</f>
        <v>Ganesan, Srinivasan_MANAGED SERVICES_IT-FBT0658-OG-US-00</v>
      </c>
      <c r="E286" s="343" t="s">
        <v>1344</v>
      </c>
      <c r="F286" s="346"/>
      <c r="G286" s="150" t="s">
        <v>1136</v>
      </c>
      <c r="H286" s="150" t="s">
        <v>1345</v>
      </c>
      <c r="I286" s="150" t="s">
        <v>1344</v>
      </c>
      <c r="J286" s="150" t="s">
        <v>1346</v>
      </c>
      <c r="K286" s="511" t="s">
        <v>389</v>
      </c>
      <c r="L286" s="392" t="s">
        <v>1967</v>
      </c>
      <c r="M286" s="343"/>
      <c r="N286" s="800" t="s">
        <v>1363</v>
      </c>
      <c r="O286" s="70" t="s">
        <v>495</v>
      </c>
      <c r="P286" s="346"/>
      <c r="Q286" s="346" t="s">
        <v>1140</v>
      </c>
      <c r="R286" s="346"/>
      <c r="S286" s="150" t="s">
        <v>57</v>
      </c>
      <c r="T286" s="150"/>
      <c r="U286" s="403"/>
      <c r="V286" s="406">
        <v>8600</v>
      </c>
      <c r="W286" s="406">
        <v>8392.24</v>
      </c>
      <c r="X286" s="425"/>
      <c r="Y286" s="425"/>
      <c r="Z286" s="784">
        <v>540.58000000000004</v>
      </c>
      <c r="AA286" s="780">
        <v>540.04999999999995</v>
      </c>
      <c r="AB286" s="780">
        <v>511.61</v>
      </c>
      <c r="AC286" s="428">
        <v>547.18999999999994</v>
      </c>
      <c r="AD286" s="429">
        <v>534.1099999999999</v>
      </c>
      <c r="AE286" s="429">
        <v>539.85</v>
      </c>
      <c r="AF286" s="429">
        <v>529.17000000000007</v>
      </c>
      <c r="AG286" s="363">
        <v>600</v>
      </c>
      <c r="AH286" s="363">
        <v>600</v>
      </c>
      <c r="AI286" s="363">
        <v>600</v>
      </c>
      <c r="AJ286" s="363">
        <v>600</v>
      </c>
      <c r="AK286" s="363">
        <v>2000</v>
      </c>
      <c r="AL286" s="360">
        <f t="shared" si="16"/>
        <v>8142.5599999999995</v>
      </c>
      <c r="AM286" s="362">
        <f>ERP_8[[#This Row],[2026 Working Total]]-ERP_8[[#This Row],[LE2 Final Submission]]</f>
        <v>-249.68000000000029</v>
      </c>
      <c r="AN286" s="79">
        <v>600</v>
      </c>
      <c r="AO286" s="79">
        <f t="shared" si="17"/>
        <v>-60.149999999999977</v>
      </c>
      <c r="AP286" s="374">
        <f>SUM(ERP_8[[#This Row],[AP01]:[AP07]])-SUM(ERP_8[[#This Row],[AP01 LE2]:[AP07 LE2]])</f>
        <v>-249.68000000000029</v>
      </c>
      <c r="AQ286" s="80"/>
      <c r="AR286" s="79">
        <f>ERP_8[[#This Row],[2026 Working Total to Budget/LE]]-ERP_8[[#This Row],[Giveback]]</f>
        <v>-249.68000000000029</v>
      </c>
      <c r="AS286" s="81"/>
      <c r="AT286" s="375">
        <v>540.58000000000004</v>
      </c>
      <c r="AU286" s="375">
        <v>540.04999999999995</v>
      </c>
      <c r="AV286" s="375">
        <v>511.61</v>
      </c>
      <c r="AW286" s="375">
        <v>600</v>
      </c>
      <c r="AX286" s="375">
        <v>600</v>
      </c>
      <c r="AY286" s="375">
        <v>600</v>
      </c>
      <c r="AZ286" s="375">
        <v>600</v>
      </c>
      <c r="BA286" s="375">
        <v>600</v>
      </c>
      <c r="BB286" s="375">
        <v>600</v>
      </c>
      <c r="BC286" s="375">
        <v>600</v>
      </c>
      <c r="BD286" s="375">
        <v>600</v>
      </c>
      <c r="BE286" s="375">
        <v>2000</v>
      </c>
      <c r="BF286" s="375">
        <v>8392.24</v>
      </c>
      <c r="BG286" s="79">
        <v>540.58000000000004</v>
      </c>
      <c r="BH286" s="79">
        <v>540.04999999999995</v>
      </c>
      <c r="BI286" s="79">
        <v>511.61</v>
      </c>
      <c r="BJ286" s="79">
        <v>600</v>
      </c>
      <c r="BK286" s="79">
        <v>600</v>
      </c>
      <c r="BL286" s="79">
        <v>600</v>
      </c>
      <c r="BM286" s="79">
        <v>600</v>
      </c>
      <c r="BN286" s="79">
        <v>600</v>
      </c>
      <c r="BO286" s="79">
        <v>600</v>
      </c>
      <c r="BP286" s="79">
        <v>600</v>
      </c>
      <c r="BQ286" s="79">
        <v>600</v>
      </c>
      <c r="BR286" s="79">
        <v>2000</v>
      </c>
      <c r="BS286" s="79">
        <v>8392.24</v>
      </c>
    </row>
    <row r="287" spans="1:71" ht="15" hidden="1" customHeight="1">
      <c r="A287" s="66" t="s">
        <v>1968</v>
      </c>
      <c r="B287" s="737" t="s">
        <v>496</v>
      </c>
      <c r="C287" s="346"/>
      <c r="D287" s="343" t="str">
        <f>_xlfn.TEXTJOIN("_",FALSE,E287,ERP_8[[#This Row],[Expense Category]],ERP_8[[#This Row],[Project Code*]])</f>
        <v>Ganesan, Srinivasan_MANAGED SERVICES_IT-FBT0659-OG-US-00</v>
      </c>
      <c r="E287" s="343" t="s">
        <v>1344</v>
      </c>
      <c r="F287" s="346"/>
      <c r="G287" s="150" t="s">
        <v>1136</v>
      </c>
      <c r="H287" s="150" t="s">
        <v>1345</v>
      </c>
      <c r="I287" s="150" t="s">
        <v>1344</v>
      </c>
      <c r="J287" s="150" t="s">
        <v>1346</v>
      </c>
      <c r="K287" s="511" t="s">
        <v>389</v>
      </c>
      <c r="L287" s="392" t="s">
        <v>1969</v>
      </c>
      <c r="M287" s="343"/>
      <c r="N287" s="800" t="s">
        <v>1363</v>
      </c>
      <c r="O287" s="70" t="s">
        <v>497</v>
      </c>
      <c r="P287" s="346"/>
      <c r="Q287" s="343"/>
      <c r="R287" s="346"/>
      <c r="S287" s="150" t="s">
        <v>25</v>
      </c>
      <c r="T287" s="150"/>
      <c r="U287" s="403"/>
      <c r="V287" s="406">
        <v>1560</v>
      </c>
      <c r="W287" s="406">
        <v>1536.8899999999999</v>
      </c>
      <c r="X287" s="425"/>
      <c r="Y287" s="425"/>
      <c r="Z287" s="784">
        <v>124.95</v>
      </c>
      <c r="AA287" s="780">
        <v>125.88</v>
      </c>
      <c r="AB287" s="780">
        <v>116.06</v>
      </c>
      <c r="AC287" s="428">
        <v>129.38999999999999</v>
      </c>
      <c r="AD287" s="429">
        <v>122.35</v>
      </c>
      <c r="AE287" s="429">
        <v>125.51999999999998</v>
      </c>
      <c r="AF287" s="429">
        <v>121.32</v>
      </c>
      <c r="AG287" s="363">
        <v>130</v>
      </c>
      <c r="AH287" s="363">
        <v>130</v>
      </c>
      <c r="AI287" s="363">
        <v>130</v>
      </c>
      <c r="AJ287" s="363">
        <v>130</v>
      </c>
      <c r="AK287" s="363">
        <v>130</v>
      </c>
      <c r="AL287" s="360">
        <f t="shared" si="16"/>
        <v>1515.47</v>
      </c>
      <c r="AM287" s="362">
        <f>ERP_8[[#This Row],[2026 Working Total]]-ERP_8[[#This Row],[LE2 Final Submission]]</f>
        <v>-21.419999999999845</v>
      </c>
      <c r="AN287" s="79">
        <v>130</v>
      </c>
      <c r="AO287" s="79">
        <f t="shared" si="17"/>
        <v>-4.4800000000000182</v>
      </c>
      <c r="AP287" s="374">
        <f>SUM(ERP_8[[#This Row],[AP01]:[AP07]])-SUM(ERP_8[[#This Row],[AP01 LE2]:[AP07 LE2]])</f>
        <v>-21.419999999999959</v>
      </c>
      <c r="AQ287" s="80"/>
      <c r="AR287" s="79">
        <f>ERP_8[[#This Row],[2026 Working Total to Budget/LE]]-ERP_8[[#This Row],[Giveback]]</f>
        <v>-21.419999999999845</v>
      </c>
      <c r="AS287" s="81"/>
      <c r="AT287" s="375">
        <v>124.95</v>
      </c>
      <c r="AU287" s="375">
        <v>125.88</v>
      </c>
      <c r="AV287" s="375">
        <v>116.06</v>
      </c>
      <c r="AW287" s="375">
        <v>130</v>
      </c>
      <c r="AX287" s="375">
        <v>130</v>
      </c>
      <c r="AY287" s="375">
        <v>130</v>
      </c>
      <c r="AZ287" s="375">
        <v>130</v>
      </c>
      <c r="BA287" s="375">
        <v>130</v>
      </c>
      <c r="BB287" s="375">
        <v>130</v>
      </c>
      <c r="BC287" s="375">
        <v>130</v>
      </c>
      <c r="BD287" s="375">
        <v>130</v>
      </c>
      <c r="BE287" s="375">
        <v>130</v>
      </c>
      <c r="BF287" s="375">
        <v>1536.8899999999999</v>
      </c>
      <c r="BG287" s="79">
        <v>124.95</v>
      </c>
      <c r="BH287" s="79">
        <v>125.88</v>
      </c>
      <c r="BI287" s="79">
        <v>116.06</v>
      </c>
      <c r="BJ287" s="79">
        <v>130</v>
      </c>
      <c r="BK287" s="79">
        <v>130</v>
      </c>
      <c r="BL287" s="79">
        <v>130</v>
      </c>
      <c r="BM287" s="79">
        <v>130</v>
      </c>
      <c r="BN287" s="79">
        <v>130</v>
      </c>
      <c r="BO287" s="79">
        <v>130</v>
      </c>
      <c r="BP287" s="79">
        <v>130</v>
      </c>
      <c r="BQ287" s="79">
        <v>130</v>
      </c>
      <c r="BR287" s="79">
        <v>130</v>
      </c>
      <c r="BS287" s="79">
        <v>1536.8899999999999</v>
      </c>
    </row>
    <row r="288" spans="1:71" ht="15" hidden="1" customHeight="1">
      <c r="A288" s="66" t="s">
        <v>1970</v>
      </c>
      <c r="B288" s="737" t="s">
        <v>498</v>
      </c>
      <c r="C288" s="346"/>
      <c r="D288" s="343" t="str">
        <f>_xlfn.TEXTJOIN("_",FALSE,E288,ERP_8[[#This Row],[Expense Category]],ERP_8[[#This Row],[Project Code*]])</f>
        <v>Ganesan, Srinivasan_MANAGED SERVICES_IT-FBT0660-OG-US-00</v>
      </c>
      <c r="E288" s="343" t="s">
        <v>1344</v>
      </c>
      <c r="F288" s="346"/>
      <c r="G288" s="150" t="s">
        <v>1136</v>
      </c>
      <c r="H288" s="150" t="s">
        <v>1345</v>
      </c>
      <c r="I288" s="150" t="s">
        <v>1344</v>
      </c>
      <c r="J288" s="150" t="s">
        <v>1346</v>
      </c>
      <c r="K288" s="511" t="s">
        <v>389</v>
      </c>
      <c r="L288" s="392" t="s">
        <v>1971</v>
      </c>
      <c r="M288" s="343"/>
      <c r="N288" s="800" t="s">
        <v>1363</v>
      </c>
      <c r="O288" s="70" t="s">
        <v>499</v>
      </c>
      <c r="P288" s="346"/>
      <c r="Q288" s="343"/>
      <c r="R288" s="346"/>
      <c r="S288" s="150" t="s">
        <v>57</v>
      </c>
      <c r="T288" s="150"/>
      <c r="U288" s="403"/>
      <c r="V288" s="406">
        <v>0</v>
      </c>
      <c r="W288" s="406">
        <v>354.76</v>
      </c>
      <c r="X288" s="430"/>
      <c r="Y288" s="430"/>
      <c r="Z288" s="784">
        <v>129.77000000000001</v>
      </c>
      <c r="AA288" s="780">
        <v>129.72</v>
      </c>
      <c r="AB288" s="780">
        <v>95.27</v>
      </c>
      <c r="AC288" s="428">
        <v>108.61</v>
      </c>
      <c r="AD288" s="429">
        <v>126.27000000000001</v>
      </c>
      <c r="AE288" s="429">
        <v>130.19999999999999</v>
      </c>
      <c r="AF288" s="429">
        <v>126.24000000000001</v>
      </c>
      <c r="AG288" s="360">
        <v>0</v>
      </c>
      <c r="AH288" s="360">
        <v>0</v>
      </c>
      <c r="AI288" s="360">
        <v>0</v>
      </c>
      <c r="AJ288" s="360">
        <v>0</v>
      </c>
      <c r="AK288" s="360">
        <v>0</v>
      </c>
      <c r="AL288" s="360">
        <f t="shared" si="16"/>
        <v>846.07999999999993</v>
      </c>
      <c r="AM288" s="362">
        <f>ERP_8[[#This Row],[2026 Working Total]]-ERP_8[[#This Row],[LE2 Final Submission]]</f>
        <v>491.31999999999994</v>
      </c>
      <c r="AN288" s="79">
        <v>0</v>
      </c>
      <c r="AO288" s="79">
        <f t="shared" si="17"/>
        <v>130.19999999999999</v>
      </c>
      <c r="AP288" s="374">
        <f>SUM(ERP_8[[#This Row],[AP01]:[AP07]])-SUM(ERP_8[[#This Row],[AP01 LE2]:[AP07 LE2]])</f>
        <v>491.31999999999994</v>
      </c>
      <c r="AQ288" s="80"/>
      <c r="AR288" s="79">
        <f>ERP_8[[#This Row],[2026 Working Total to Budget/LE]]-ERP_8[[#This Row],[Giveback]]</f>
        <v>491.31999999999994</v>
      </c>
      <c r="AS288" s="81"/>
      <c r="AT288" s="375">
        <v>129.77000000000001</v>
      </c>
      <c r="AU288" s="375">
        <v>129.72</v>
      </c>
      <c r="AV288" s="375">
        <v>95.27</v>
      </c>
      <c r="AW288" s="375">
        <v>0</v>
      </c>
      <c r="AX288" s="375">
        <v>0</v>
      </c>
      <c r="AY288" s="375">
        <v>0</v>
      </c>
      <c r="AZ288" s="375">
        <v>0</v>
      </c>
      <c r="BA288" s="375">
        <v>0</v>
      </c>
      <c r="BB288" s="375">
        <v>0</v>
      </c>
      <c r="BC288" s="375">
        <v>0</v>
      </c>
      <c r="BD288" s="375">
        <v>0</v>
      </c>
      <c r="BE288" s="375">
        <v>0</v>
      </c>
      <c r="BF288" s="375">
        <v>354.76</v>
      </c>
      <c r="BG288" s="79">
        <v>129.77000000000001</v>
      </c>
      <c r="BH288" s="79">
        <v>129.72</v>
      </c>
      <c r="BI288" s="79">
        <v>95.27</v>
      </c>
      <c r="BJ288" s="79">
        <v>0</v>
      </c>
      <c r="BK288" s="79">
        <v>0</v>
      </c>
      <c r="BL288" s="79">
        <v>0</v>
      </c>
      <c r="BM288" s="79">
        <v>0</v>
      </c>
      <c r="BN288" s="79">
        <v>0</v>
      </c>
      <c r="BO288" s="79">
        <v>0</v>
      </c>
      <c r="BP288" s="79">
        <v>0</v>
      </c>
      <c r="BQ288" s="79">
        <v>0</v>
      </c>
      <c r="BR288" s="79">
        <v>0</v>
      </c>
      <c r="BS288" s="79">
        <v>354.76</v>
      </c>
    </row>
    <row r="289" spans="1:71" ht="15" hidden="1" customHeight="1">
      <c r="A289" s="66" t="s">
        <v>1972</v>
      </c>
      <c r="B289" s="737" t="s">
        <v>500</v>
      </c>
      <c r="C289" s="346"/>
      <c r="D289" s="343" t="str">
        <f>_xlfn.TEXTJOIN("_",FALSE,E289,ERP_8[[#This Row],[Expense Category]],ERP_8[[#This Row],[Project Code*]])</f>
        <v>Ganesan, Srinivasan_MANAGED SERVICES_IT-FBT0661-OG-US-00</v>
      </c>
      <c r="E289" s="343" t="s">
        <v>1344</v>
      </c>
      <c r="F289" s="346"/>
      <c r="G289" s="150" t="s">
        <v>1136</v>
      </c>
      <c r="H289" s="150" t="s">
        <v>1345</v>
      </c>
      <c r="I289" s="150" t="s">
        <v>1344</v>
      </c>
      <c r="J289" s="150" t="s">
        <v>1346</v>
      </c>
      <c r="K289" s="511" t="s">
        <v>389</v>
      </c>
      <c r="L289" s="392" t="s">
        <v>1399</v>
      </c>
      <c r="M289" s="343"/>
      <c r="N289" s="800" t="s">
        <v>1363</v>
      </c>
      <c r="O289" s="70" t="s">
        <v>185</v>
      </c>
      <c r="P289" s="346"/>
      <c r="Q289" s="343"/>
      <c r="R289" s="346"/>
      <c r="S289" s="150" t="s">
        <v>25</v>
      </c>
      <c r="T289" s="150" t="s">
        <v>1400</v>
      </c>
      <c r="U289" s="403"/>
      <c r="V289" s="406">
        <v>0</v>
      </c>
      <c r="W289" s="406">
        <v>0</v>
      </c>
      <c r="X289" s="425"/>
      <c r="Y289" s="425"/>
      <c r="Z289" s="784"/>
      <c r="AA289" s="780"/>
      <c r="AB289" s="780">
        <v>5850</v>
      </c>
      <c r="AC289" s="428">
        <v>0</v>
      </c>
      <c r="AD289" s="429">
        <v>-5800.26</v>
      </c>
      <c r="AE289" s="429">
        <v>63.66</v>
      </c>
      <c r="AF289" s="429">
        <v>61.6</v>
      </c>
      <c r="AG289" s="360">
        <v>0</v>
      </c>
      <c r="AH289" s="360">
        <v>0</v>
      </c>
      <c r="AI289" s="360">
        <v>0</v>
      </c>
      <c r="AJ289" s="360">
        <v>0</v>
      </c>
      <c r="AK289" s="360">
        <v>0</v>
      </c>
      <c r="AL289" s="360">
        <f t="shared" si="16"/>
        <v>174.99999999999977</v>
      </c>
      <c r="AM289" s="362">
        <f>ERP_8[[#This Row],[2026 Working Total]]-ERP_8[[#This Row],[LE2 Final Submission]]</f>
        <v>174.99999999999977</v>
      </c>
      <c r="AN289" s="79">
        <v>0</v>
      </c>
      <c r="AO289" s="79">
        <f t="shared" si="17"/>
        <v>63.66</v>
      </c>
      <c r="AP289" s="374">
        <f>SUM(ERP_8[[#This Row],[AP01]:[AP07]])-SUM(ERP_8[[#This Row],[AP01 LE2]:[AP07 LE2]])</f>
        <v>174.99999999999977</v>
      </c>
      <c r="AQ289" s="80"/>
      <c r="AR289" s="79">
        <f>ERP_8[[#This Row],[2026 Working Total to Budget/LE]]-ERP_8[[#This Row],[Giveback]]</f>
        <v>174.99999999999977</v>
      </c>
      <c r="AS289" s="81"/>
      <c r="AT289" s="375"/>
      <c r="AU289" s="375"/>
      <c r="AV289" s="375">
        <v>5850</v>
      </c>
      <c r="AW289" s="375"/>
      <c r="AX289" s="375">
        <v>-5850</v>
      </c>
      <c r="AY289" s="375">
        <v>0</v>
      </c>
      <c r="AZ289" s="375">
        <v>0</v>
      </c>
      <c r="BA289" s="375">
        <v>0</v>
      </c>
      <c r="BB289" s="375">
        <v>0</v>
      </c>
      <c r="BC289" s="375">
        <v>0</v>
      </c>
      <c r="BD289" s="375">
        <v>0</v>
      </c>
      <c r="BE289" s="375">
        <v>0</v>
      </c>
      <c r="BF289" s="375">
        <v>0</v>
      </c>
      <c r="BG289" s="79"/>
      <c r="BH289" s="79"/>
      <c r="BI289" s="79">
        <v>5850</v>
      </c>
      <c r="BJ289" s="79">
        <v>0</v>
      </c>
      <c r="BK289" s="79">
        <v>0</v>
      </c>
      <c r="BL289" s="79">
        <v>0</v>
      </c>
      <c r="BM289" s="79">
        <v>0</v>
      </c>
      <c r="BN289" s="79">
        <v>0</v>
      </c>
      <c r="BO289" s="79">
        <v>0</v>
      </c>
      <c r="BP289" s="79">
        <v>0</v>
      </c>
      <c r="BQ289" s="79">
        <v>0</v>
      </c>
      <c r="BR289" s="79">
        <v>0</v>
      </c>
      <c r="BS289" s="79">
        <v>5850</v>
      </c>
    </row>
    <row r="290" spans="1:71" ht="15" hidden="1" customHeight="1">
      <c r="A290" s="66" t="s">
        <v>1973</v>
      </c>
      <c r="B290" s="737" t="s">
        <v>501</v>
      </c>
      <c r="C290" s="346"/>
      <c r="D290" s="343" t="str">
        <f>_xlfn.TEXTJOIN("_",FALSE,E290,ERP_8[[#This Row],[Expense Category]],ERP_8[[#This Row],[Project Code*]])</f>
        <v>Ganesan, Srinivasan_MANAGED SERVICES_IT-FBT0778-OT-US-00</v>
      </c>
      <c r="E290" s="343" t="s">
        <v>1344</v>
      </c>
      <c r="F290" s="346"/>
      <c r="G290" s="150" t="s">
        <v>1136</v>
      </c>
      <c r="H290" s="150" t="s">
        <v>1345</v>
      </c>
      <c r="I290" s="150" t="s">
        <v>1344</v>
      </c>
      <c r="J290" s="150" t="s">
        <v>1346</v>
      </c>
      <c r="K290" s="511" t="s">
        <v>389</v>
      </c>
      <c r="L290" s="392" t="s">
        <v>1402</v>
      </c>
      <c r="M290" s="343"/>
      <c r="N290" s="800" t="s">
        <v>1363</v>
      </c>
      <c r="O290" s="70" t="s">
        <v>187</v>
      </c>
      <c r="P290" s="346"/>
      <c r="Q290" s="343"/>
      <c r="R290" s="346"/>
      <c r="S290" s="150" t="s">
        <v>188</v>
      </c>
      <c r="T290" s="150" t="s">
        <v>1403</v>
      </c>
      <c r="U290" s="403"/>
      <c r="V290" s="406">
        <v>0</v>
      </c>
      <c r="W290" s="406">
        <v>25200</v>
      </c>
      <c r="X290" s="425"/>
      <c r="Y290" s="425"/>
      <c r="Z290" s="784"/>
      <c r="AA290" s="794"/>
      <c r="AB290" s="794">
        <v>6300</v>
      </c>
      <c r="AC290" s="429">
        <v>0</v>
      </c>
      <c r="AD290" s="429">
        <v>4200</v>
      </c>
      <c r="AE290" s="429">
        <v>0</v>
      </c>
      <c r="AF290" s="429">
        <v>0</v>
      </c>
      <c r="AG290" s="360">
        <v>2100</v>
      </c>
      <c r="AH290" s="360">
        <v>2100</v>
      </c>
      <c r="AI290" s="360">
        <v>2100</v>
      </c>
      <c r="AJ290" s="360">
        <v>2100</v>
      </c>
      <c r="AK290" s="360">
        <v>2100</v>
      </c>
      <c r="AL290" s="360">
        <f t="shared" si="16"/>
        <v>21000</v>
      </c>
      <c r="AM290" s="362">
        <f>ERP_8[[#This Row],[2026 Working Total]]-ERP_8[[#This Row],[LE2 Final Submission]]</f>
        <v>-4200</v>
      </c>
      <c r="AN290" s="79">
        <v>2100</v>
      </c>
      <c r="AO290" s="79">
        <f t="shared" si="17"/>
        <v>-2100</v>
      </c>
      <c r="AP290" s="374">
        <f>SUM(ERP_8[[#This Row],[AP01]:[AP07]])-SUM(ERP_8[[#This Row],[AP01 LE2]:[AP07 LE2]])</f>
        <v>-4200</v>
      </c>
      <c r="AQ290" s="80"/>
      <c r="AR290" s="79">
        <f>ERP_8[[#This Row],[2026 Working Total to Budget/LE]]-ERP_8[[#This Row],[Giveback]]</f>
        <v>-4200</v>
      </c>
      <c r="AS290" s="81"/>
      <c r="AT290" s="375"/>
      <c r="AU290" s="375"/>
      <c r="AV290" s="375">
        <v>6300</v>
      </c>
      <c r="AW290" s="375">
        <v>2100</v>
      </c>
      <c r="AX290" s="375">
        <v>2100</v>
      </c>
      <c r="AY290" s="375">
        <v>2100</v>
      </c>
      <c r="AZ290" s="375">
        <v>2100</v>
      </c>
      <c r="BA290" s="375">
        <v>2100</v>
      </c>
      <c r="BB290" s="375">
        <v>2100</v>
      </c>
      <c r="BC290" s="375">
        <v>2100</v>
      </c>
      <c r="BD290" s="375">
        <v>2100</v>
      </c>
      <c r="BE290" s="375">
        <v>2100</v>
      </c>
      <c r="BF290" s="375">
        <v>25200</v>
      </c>
      <c r="BG290" s="79"/>
      <c r="BH290" s="79"/>
      <c r="BI290" s="79">
        <v>6300</v>
      </c>
      <c r="BJ290" s="79">
        <v>0</v>
      </c>
      <c r="BK290" s="79">
        <v>0</v>
      </c>
      <c r="BL290" s="79">
        <v>0</v>
      </c>
      <c r="BM290" s="79">
        <v>0</v>
      </c>
      <c r="BN290" s="79">
        <v>0</v>
      </c>
      <c r="BO290" s="79">
        <v>0</v>
      </c>
      <c r="BP290" s="79">
        <v>0</v>
      </c>
      <c r="BQ290" s="79">
        <v>0</v>
      </c>
      <c r="BR290" s="79">
        <v>0</v>
      </c>
      <c r="BS290" s="79">
        <v>6300</v>
      </c>
    </row>
    <row r="291" spans="1:71" ht="15" hidden="1" customHeight="1">
      <c r="A291" s="66" t="s">
        <v>1974</v>
      </c>
      <c r="B291" s="737" t="s">
        <v>502</v>
      </c>
      <c r="C291" s="346"/>
      <c r="D291" s="343" t="str">
        <f>_xlfn.TEXTJOIN("_",FALSE,E291,ERP_8[[#This Row],[Expense Category]],ERP_8[[#This Row],[Project Code*]])</f>
        <v>Ganesan, Srinivasan_MANAGED SERVICES_IT-FBT0779-OT-US-00</v>
      </c>
      <c r="E291" s="343" t="s">
        <v>1344</v>
      </c>
      <c r="F291" s="346"/>
      <c r="G291" s="150" t="s">
        <v>1136</v>
      </c>
      <c r="H291" s="150" t="s">
        <v>1345</v>
      </c>
      <c r="I291" s="150" t="s">
        <v>1344</v>
      </c>
      <c r="J291" s="150" t="s">
        <v>1346</v>
      </c>
      <c r="K291" s="511" t="s">
        <v>389</v>
      </c>
      <c r="L291" s="392" t="s">
        <v>1471</v>
      </c>
      <c r="M291" s="343"/>
      <c r="N291" s="800" t="s">
        <v>1363</v>
      </c>
      <c r="O291" s="70" t="s">
        <v>221</v>
      </c>
      <c r="P291" s="346"/>
      <c r="Q291" s="343"/>
      <c r="R291" s="346"/>
      <c r="S291" s="150" t="s">
        <v>188</v>
      </c>
      <c r="T291" s="150"/>
      <c r="U291" s="403"/>
      <c r="V291" s="406">
        <v>0</v>
      </c>
      <c r="W291" s="406">
        <v>8751</v>
      </c>
      <c r="X291" s="425"/>
      <c r="Y291" s="425"/>
      <c r="Z291" s="784"/>
      <c r="AA291" s="780"/>
      <c r="AB291" s="780">
        <v>8751</v>
      </c>
      <c r="AC291" s="428">
        <v>0</v>
      </c>
      <c r="AD291" s="429">
        <v>5834</v>
      </c>
      <c r="AE291" s="429">
        <v>0</v>
      </c>
      <c r="AF291" s="429">
        <v>0</v>
      </c>
      <c r="AG291" s="360">
        <v>0</v>
      </c>
      <c r="AH291" s="360">
        <v>0</v>
      </c>
      <c r="AI291" s="360">
        <v>0</v>
      </c>
      <c r="AJ291" s="360">
        <v>0</v>
      </c>
      <c r="AK291" s="360">
        <v>0</v>
      </c>
      <c r="AL291" s="360">
        <f t="shared" si="16"/>
        <v>14585</v>
      </c>
      <c r="AM291" s="362">
        <f>ERP_8[[#This Row],[2026 Working Total]]-ERP_8[[#This Row],[LE2 Final Submission]]</f>
        <v>5834</v>
      </c>
      <c r="AN291" s="79">
        <v>0</v>
      </c>
      <c r="AO291" s="79">
        <f t="shared" si="17"/>
        <v>0</v>
      </c>
      <c r="AP291" s="374">
        <f>SUM(ERP_8[[#This Row],[AP01]:[AP07]])-SUM(ERP_8[[#This Row],[AP01 LE2]:[AP07 LE2]])</f>
        <v>5834</v>
      </c>
      <c r="AQ291" s="80"/>
      <c r="AR291" s="79">
        <f>ERP_8[[#This Row],[2026 Working Total to Budget/LE]]-ERP_8[[#This Row],[Giveback]]</f>
        <v>5834</v>
      </c>
      <c r="AS291" s="81"/>
      <c r="AT291" s="375"/>
      <c r="AU291" s="375"/>
      <c r="AV291" s="375">
        <v>8751</v>
      </c>
      <c r="AW291" s="375">
        <v>0</v>
      </c>
      <c r="AX291" s="375">
        <v>0</v>
      </c>
      <c r="AY291" s="375">
        <v>0</v>
      </c>
      <c r="AZ291" s="375">
        <v>0</v>
      </c>
      <c r="BA291" s="375">
        <v>0</v>
      </c>
      <c r="BB291" s="375">
        <v>0</v>
      </c>
      <c r="BC291" s="375">
        <v>0</v>
      </c>
      <c r="BD291" s="375">
        <v>0</v>
      </c>
      <c r="BE291" s="375">
        <v>0</v>
      </c>
      <c r="BF291" s="375">
        <v>8751</v>
      </c>
      <c r="BG291" s="79"/>
      <c r="BH291" s="79"/>
      <c r="BI291" s="79">
        <v>8751</v>
      </c>
      <c r="BJ291" s="79">
        <v>0</v>
      </c>
      <c r="BK291" s="79">
        <v>0</v>
      </c>
      <c r="BL291" s="79">
        <v>0</v>
      </c>
      <c r="BM291" s="79">
        <v>0</v>
      </c>
      <c r="BN291" s="79">
        <v>0</v>
      </c>
      <c r="BO291" s="79">
        <v>0</v>
      </c>
      <c r="BP291" s="79">
        <v>0</v>
      </c>
      <c r="BQ291" s="79">
        <v>0</v>
      </c>
      <c r="BR291" s="79">
        <v>0</v>
      </c>
      <c r="BS291" s="79">
        <v>8751</v>
      </c>
    </row>
    <row r="292" spans="1:71" ht="15" hidden="1" customHeight="1">
      <c r="A292" s="79" t="s">
        <v>1975</v>
      </c>
      <c r="B292" s="749" t="s">
        <v>503</v>
      </c>
      <c r="C292" s="348"/>
      <c r="D292" s="347" t="str">
        <f>_xlfn.TEXTJOIN("_",FALSE,E292,ERP_8[[#This Row],[Expense Category]],ERP_8[[#This Row],[Project Code*]])</f>
        <v>Ganesan, Srinivasan_MANAGED SERVICES_IT-FBT0793-OG-US-00</v>
      </c>
      <c r="E292" s="347" t="s">
        <v>1344</v>
      </c>
      <c r="F292" s="348"/>
      <c r="G292" s="150" t="s">
        <v>1136</v>
      </c>
      <c r="H292" s="332" t="s">
        <v>1345</v>
      </c>
      <c r="I292" s="383" t="s">
        <v>1344</v>
      </c>
      <c r="J292" s="331" t="s">
        <v>1346</v>
      </c>
      <c r="K292" s="512" t="s">
        <v>389</v>
      </c>
      <c r="L292" s="393" t="s">
        <v>1976</v>
      </c>
      <c r="M292" s="343"/>
      <c r="N292" s="803"/>
      <c r="O292" s="91" t="s">
        <v>504</v>
      </c>
      <c r="P292" s="343"/>
      <c r="Q292" s="346" t="s">
        <v>1221</v>
      </c>
      <c r="R292" s="348"/>
      <c r="S292" s="386" t="s">
        <v>25</v>
      </c>
      <c r="T292" s="387" t="s">
        <v>1348</v>
      </c>
      <c r="U292" s="432"/>
      <c r="V292" s="358">
        <v>12500</v>
      </c>
      <c r="W292" s="378">
        <v>0</v>
      </c>
      <c r="X292" s="425"/>
      <c r="Y292" s="425"/>
      <c r="Z292" s="783"/>
      <c r="AA292" s="781"/>
      <c r="AB292" s="781"/>
      <c r="AC292" s="428" t="s">
        <v>1142</v>
      </c>
      <c r="AD292" s="429">
        <v>0</v>
      </c>
      <c r="AE292" s="429">
        <v>0</v>
      </c>
      <c r="AF292" s="429" t="s">
        <v>1142</v>
      </c>
      <c r="AG292" s="388">
        <v>0</v>
      </c>
      <c r="AH292" s="388">
        <v>0</v>
      </c>
      <c r="AI292" s="388">
        <v>0</v>
      </c>
      <c r="AJ292" s="388">
        <v>0</v>
      </c>
      <c r="AK292" s="388">
        <v>0</v>
      </c>
      <c r="AL292" s="360">
        <f t="shared" si="16"/>
        <v>0</v>
      </c>
      <c r="AM292" s="362">
        <f>ERP_8[[#This Row],[2026 Working Total]]-ERP_8[[#This Row],[LE2 Final Submission]]</f>
        <v>0</v>
      </c>
      <c r="AN292" s="79">
        <v>0</v>
      </c>
      <c r="AO292" s="79">
        <f t="shared" si="17"/>
        <v>0</v>
      </c>
      <c r="AP292" s="374">
        <f>SUM(ERP_8[[#This Row],[AP01]:[AP07]])-SUM(ERP_8[[#This Row],[AP01 LE2]:[AP07 LE2]])</f>
        <v>0</v>
      </c>
      <c r="AQ292" s="80"/>
      <c r="AR292" s="79">
        <f>ERP_8[[#This Row],[2026 Working Total to Budget/LE]]-ERP_8[[#This Row],[Giveback]]</f>
        <v>0</v>
      </c>
      <c r="AS292" s="81"/>
      <c r="AT292" s="375"/>
      <c r="AU292" s="375"/>
      <c r="AV292" s="375"/>
      <c r="AW292" s="375">
        <v>0</v>
      </c>
      <c r="AX292" s="375">
        <v>0</v>
      </c>
      <c r="AY292" s="375">
        <v>0</v>
      </c>
      <c r="AZ292" s="375">
        <v>0</v>
      </c>
      <c r="BA292" s="375">
        <v>0</v>
      </c>
      <c r="BB292" s="375">
        <v>0</v>
      </c>
      <c r="BC292" s="375">
        <v>0</v>
      </c>
      <c r="BD292" s="375">
        <v>0</v>
      </c>
      <c r="BE292" s="375">
        <v>0</v>
      </c>
      <c r="BF292" s="375">
        <v>0</v>
      </c>
      <c r="BG292" s="103">
        <v>0</v>
      </c>
      <c r="BH292" s="103">
        <v>0</v>
      </c>
      <c r="BI292" s="103">
        <v>12500</v>
      </c>
      <c r="BJ292" s="103">
        <v>0</v>
      </c>
      <c r="BK292" s="103">
        <v>0</v>
      </c>
      <c r="BL292" s="103">
        <v>0</v>
      </c>
      <c r="BM292" s="103">
        <v>0</v>
      </c>
      <c r="BN292" s="103">
        <v>0</v>
      </c>
      <c r="BO292" s="103">
        <v>0</v>
      </c>
      <c r="BP292" s="103">
        <v>0</v>
      </c>
      <c r="BQ292" s="103">
        <v>0</v>
      </c>
      <c r="BR292" s="103">
        <v>0</v>
      </c>
      <c r="BS292" s="79">
        <f>SUM(ERP_8[[#This Row],[2026 AP01]:[2026 AP12]])</f>
        <v>12500</v>
      </c>
    </row>
    <row r="293" spans="1:71" ht="15" hidden="1" customHeight="1">
      <c r="A293" s="79" t="s">
        <v>1977</v>
      </c>
      <c r="B293" s="749" t="s">
        <v>505</v>
      </c>
      <c r="C293" s="348"/>
      <c r="D293" s="347" t="str">
        <f>_xlfn.TEXTJOIN("_",FALSE,E293,ERP_8[[#This Row],[Expense Category]],ERP_8[[#This Row],[Project Code*]])</f>
        <v>Ganesan, Srinivasan_MANAGED SERVICES_IT-FBT0793-OG-US-00/CB</v>
      </c>
      <c r="E293" s="347" t="s">
        <v>1344</v>
      </c>
      <c r="F293" s="348"/>
      <c r="G293" s="150" t="s">
        <v>1136</v>
      </c>
      <c r="H293" s="332" t="s">
        <v>1345</v>
      </c>
      <c r="I293" s="383" t="s">
        <v>1344</v>
      </c>
      <c r="J293" s="331" t="s">
        <v>1346</v>
      </c>
      <c r="K293" s="512" t="s">
        <v>389</v>
      </c>
      <c r="L293" s="393" t="s">
        <v>1976</v>
      </c>
      <c r="M293" s="343"/>
      <c r="N293" s="803"/>
      <c r="O293" s="91" t="s">
        <v>506</v>
      </c>
      <c r="P293" s="343"/>
      <c r="Q293" s="343"/>
      <c r="R293" s="348"/>
      <c r="S293" s="386" t="s">
        <v>25</v>
      </c>
      <c r="T293" s="387" t="s">
        <v>1348</v>
      </c>
      <c r="U293" s="432"/>
      <c r="V293" s="358">
        <v>-12500</v>
      </c>
      <c r="W293" s="378">
        <v>0</v>
      </c>
      <c r="X293" s="425"/>
      <c r="Y293" s="425"/>
      <c r="Z293" s="783"/>
      <c r="AA293" s="795"/>
      <c r="AB293" s="795"/>
      <c r="AC293" s="429" t="s">
        <v>1142</v>
      </c>
      <c r="AD293" s="429">
        <v>0</v>
      </c>
      <c r="AE293" s="429">
        <v>0</v>
      </c>
      <c r="AF293" s="429" t="s">
        <v>1142</v>
      </c>
      <c r="AG293" s="388">
        <v>0</v>
      </c>
      <c r="AH293" s="388">
        <v>0</v>
      </c>
      <c r="AI293" s="388">
        <v>0</v>
      </c>
      <c r="AJ293" s="388">
        <v>0</v>
      </c>
      <c r="AK293" s="388">
        <v>0</v>
      </c>
      <c r="AL293" s="360">
        <f t="shared" si="16"/>
        <v>0</v>
      </c>
      <c r="AM293" s="362">
        <f>ERP_8[[#This Row],[2026 Working Total]]-ERP_8[[#This Row],[LE2 Final Submission]]</f>
        <v>0</v>
      </c>
      <c r="AN293" s="79">
        <v>0</v>
      </c>
      <c r="AO293" s="79">
        <f t="shared" si="17"/>
        <v>0</v>
      </c>
      <c r="AP293" s="374">
        <f>SUM(ERP_8[[#This Row],[AP01]:[AP07]])-SUM(ERP_8[[#This Row],[AP01 LE2]:[AP07 LE2]])</f>
        <v>0</v>
      </c>
      <c r="AQ293" s="80"/>
      <c r="AR293" s="79">
        <f>ERP_8[[#This Row],[2026 Working Total to Budget/LE]]-ERP_8[[#This Row],[Giveback]]</f>
        <v>0</v>
      </c>
      <c r="AS293" s="81"/>
      <c r="AT293" s="375"/>
      <c r="AU293" s="375"/>
      <c r="AV293" s="375"/>
      <c r="AW293" s="375">
        <v>0</v>
      </c>
      <c r="AX293" s="375">
        <v>0</v>
      </c>
      <c r="AY293" s="375">
        <v>0</v>
      </c>
      <c r="AZ293" s="375">
        <v>0</v>
      </c>
      <c r="BA293" s="375">
        <v>0</v>
      </c>
      <c r="BB293" s="375">
        <v>0</v>
      </c>
      <c r="BC293" s="375">
        <v>0</v>
      </c>
      <c r="BD293" s="375">
        <v>0</v>
      </c>
      <c r="BE293" s="375">
        <v>0</v>
      </c>
      <c r="BF293" s="375">
        <v>0</v>
      </c>
      <c r="BG293" s="103">
        <v>0</v>
      </c>
      <c r="BH293" s="103">
        <v>0</v>
      </c>
      <c r="BI293" s="103">
        <v>-12500</v>
      </c>
      <c r="BJ293" s="103">
        <v>0</v>
      </c>
      <c r="BK293" s="103">
        <v>0</v>
      </c>
      <c r="BL293" s="103">
        <v>0</v>
      </c>
      <c r="BM293" s="103">
        <v>0</v>
      </c>
      <c r="BN293" s="103">
        <v>0</v>
      </c>
      <c r="BO293" s="103">
        <v>0</v>
      </c>
      <c r="BP293" s="103">
        <v>0</v>
      </c>
      <c r="BQ293" s="103">
        <v>0</v>
      </c>
      <c r="BR293" s="103">
        <v>0</v>
      </c>
      <c r="BS293" s="79">
        <f>SUM(ERP_8[[#This Row],[2026 AP01]:[2026 AP12]])</f>
        <v>-12500</v>
      </c>
    </row>
    <row r="294" spans="1:71" ht="15" hidden="1" customHeight="1">
      <c r="A294" s="66" t="s">
        <v>1978</v>
      </c>
      <c r="B294" s="737" t="s">
        <v>507</v>
      </c>
      <c r="C294" s="346"/>
      <c r="D294" s="343" t="str">
        <f>_xlfn.TEXTJOIN("_",FALSE,E294,ERP_8[[#This Row],[Expense Category]],ERP_8[[#This Row],[Project Code*]])</f>
        <v>Ganesan, Srinivasan_MANAGED SERVICES_IT-FBT0798-OG-BE-00</v>
      </c>
      <c r="E294" s="343" t="s">
        <v>1344</v>
      </c>
      <c r="F294" s="346"/>
      <c r="G294" s="150" t="s">
        <v>1136</v>
      </c>
      <c r="H294" s="150" t="s">
        <v>1345</v>
      </c>
      <c r="I294" s="150" t="s">
        <v>1344</v>
      </c>
      <c r="J294" s="150" t="s">
        <v>1346</v>
      </c>
      <c r="K294" s="511" t="s">
        <v>389</v>
      </c>
      <c r="L294" s="392" t="s">
        <v>1979</v>
      </c>
      <c r="M294" s="343"/>
      <c r="N294" s="800"/>
      <c r="O294" s="70" t="s">
        <v>508</v>
      </c>
      <c r="P294" s="346"/>
      <c r="Q294" s="343"/>
      <c r="R294" s="346"/>
      <c r="S294" s="150" t="s">
        <v>432</v>
      </c>
      <c r="T294" s="150"/>
      <c r="U294" s="403"/>
      <c r="V294" s="406">
        <v>14400</v>
      </c>
      <c r="W294" s="406">
        <v>10800</v>
      </c>
      <c r="X294" s="430"/>
      <c r="Y294" s="137"/>
      <c r="Z294" s="784"/>
      <c r="AA294" s="780"/>
      <c r="AB294" s="780"/>
      <c r="AC294" s="428" t="s">
        <v>1142</v>
      </c>
      <c r="AD294" s="429">
        <v>0</v>
      </c>
      <c r="AE294" s="429">
        <v>0</v>
      </c>
      <c r="AF294" s="429" t="s">
        <v>1142</v>
      </c>
      <c r="AG294" s="363">
        <v>1200</v>
      </c>
      <c r="AH294" s="363">
        <v>1200</v>
      </c>
      <c r="AI294" s="363">
        <v>1200</v>
      </c>
      <c r="AJ294" s="363">
        <v>1200</v>
      </c>
      <c r="AK294" s="363">
        <v>1200</v>
      </c>
      <c r="AL294" s="360">
        <f t="shared" si="16"/>
        <v>6000</v>
      </c>
      <c r="AM294" s="362">
        <f>ERP_8[[#This Row],[2026 Working Total]]-ERP_8[[#This Row],[LE2 Final Submission]]</f>
        <v>-4800</v>
      </c>
      <c r="AN294" s="79">
        <v>1200</v>
      </c>
      <c r="AO294" s="79">
        <f t="shared" si="17"/>
        <v>-1200</v>
      </c>
      <c r="AP294" s="374">
        <f>SUM(ERP_8[[#This Row],[AP01]:[AP07]])-SUM(ERP_8[[#This Row],[AP01 LE2]:[AP07 LE2]])</f>
        <v>-4800</v>
      </c>
      <c r="AQ294" s="80"/>
      <c r="AR294" s="79">
        <f>ERP_8[[#This Row],[2026 Working Total to Budget/LE]]-ERP_8[[#This Row],[Giveback]]</f>
        <v>-4800</v>
      </c>
      <c r="AS294" s="81"/>
      <c r="AT294" s="375"/>
      <c r="AU294" s="375"/>
      <c r="AV294" s="375"/>
      <c r="AW294" s="375">
        <v>1200</v>
      </c>
      <c r="AX294" s="375">
        <v>1200</v>
      </c>
      <c r="AY294" s="375">
        <v>1200</v>
      </c>
      <c r="AZ294" s="375">
        <v>1200</v>
      </c>
      <c r="BA294" s="375">
        <v>1200</v>
      </c>
      <c r="BB294" s="375">
        <v>1200</v>
      </c>
      <c r="BC294" s="375">
        <v>1200</v>
      </c>
      <c r="BD294" s="375">
        <v>1200</v>
      </c>
      <c r="BE294" s="375">
        <v>1200</v>
      </c>
      <c r="BF294" s="375">
        <v>10800</v>
      </c>
      <c r="BG294" s="79"/>
      <c r="BH294" s="79"/>
      <c r="BI294" s="79"/>
      <c r="BJ294" s="79">
        <v>1200</v>
      </c>
      <c r="BK294" s="79">
        <v>1200</v>
      </c>
      <c r="BL294" s="79">
        <v>1200</v>
      </c>
      <c r="BM294" s="79">
        <v>1200</v>
      </c>
      <c r="BN294" s="79">
        <v>1200</v>
      </c>
      <c r="BO294" s="79">
        <v>1200</v>
      </c>
      <c r="BP294" s="79">
        <v>1200</v>
      </c>
      <c r="BQ294" s="79">
        <v>1200</v>
      </c>
      <c r="BR294" s="79">
        <v>1200</v>
      </c>
      <c r="BS294" s="79">
        <v>10800</v>
      </c>
    </row>
    <row r="295" spans="1:71" ht="15" hidden="1" customHeight="1">
      <c r="A295" s="66" t="s">
        <v>1980</v>
      </c>
      <c r="B295" s="737" t="s">
        <v>1981</v>
      </c>
      <c r="C295" s="346"/>
      <c r="D295" s="343" t="str">
        <f>_xlfn.TEXTJOIN("_",FALSE,E295,ERP_8[[#This Row],[Expense Category]],ERP_8[[#This Row],[Project Code*]])</f>
        <v>Ganesan, Srinivasan_MANAGED SERVICES_IT-FBT0798-OG-BE-00</v>
      </c>
      <c r="E295" s="343" t="s">
        <v>1344</v>
      </c>
      <c r="F295" s="346"/>
      <c r="G295" s="150" t="s">
        <v>1136</v>
      </c>
      <c r="H295" s="150" t="s">
        <v>1345</v>
      </c>
      <c r="I295" s="150" t="s">
        <v>1346</v>
      </c>
      <c r="J295" s="150" t="s">
        <v>1346</v>
      </c>
      <c r="K295" s="511" t="s">
        <v>389</v>
      </c>
      <c r="L295" s="392" t="s">
        <v>1979</v>
      </c>
      <c r="M295" s="343"/>
      <c r="N295" s="800" t="s">
        <v>1982</v>
      </c>
      <c r="O295" s="70" t="s">
        <v>508</v>
      </c>
      <c r="P295" s="346"/>
      <c r="Q295" s="343"/>
      <c r="R295" s="346"/>
      <c r="S295" s="150" t="s">
        <v>432</v>
      </c>
      <c r="T295" s="150" t="s">
        <v>1983</v>
      </c>
      <c r="U295" s="403"/>
      <c r="V295" s="406">
        <v>0</v>
      </c>
      <c r="W295" s="406">
        <v>3866.47</v>
      </c>
      <c r="X295" s="425"/>
      <c r="Y295" s="71"/>
      <c r="Z295" s="784">
        <v>387.61</v>
      </c>
      <c r="AA295" s="794">
        <v>1445.99</v>
      </c>
      <c r="AB295" s="794">
        <v>2032.87</v>
      </c>
      <c r="AC295" s="428">
        <v>1085.24</v>
      </c>
      <c r="AD295" s="429">
        <v>866.11</v>
      </c>
      <c r="AE295" s="429">
        <v>938.15</v>
      </c>
      <c r="AF295" s="429">
        <v>1386.8899999999999</v>
      </c>
      <c r="AG295" s="360">
        <v>0</v>
      </c>
      <c r="AH295" s="360">
        <v>0</v>
      </c>
      <c r="AI295" s="360">
        <v>0</v>
      </c>
      <c r="AJ295" s="360">
        <v>0</v>
      </c>
      <c r="AK295" s="360">
        <v>0</v>
      </c>
      <c r="AL295" s="360">
        <f t="shared" si="16"/>
        <v>8142.8599999999988</v>
      </c>
      <c r="AM295" s="362">
        <f>ERP_8[[#This Row],[2026 Working Total]]-ERP_8[[#This Row],[LE2 Final Submission]]</f>
        <v>4276.3899999999994</v>
      </c>
      <c r="AN295" s="79">
        <v>0</v>
      </c>
      <c r="AO295" s="79">
        <f t="shared" si="17"/>
        <v>938.15</v>
      </c>
      <c r="AP295" s="374">
        <f>SUM(ERP_8[[#This Row],[AP01]:[AP07]])-SUM(ERP_8[[#This Row],[AP01 LE2]:[AP07 LE2]])</f>
        <v>4276.3899999999994</v>
      </c>
      <c r="AQ295" s="80"/>
      <c r="AR295" s="79">
        <f>ERP_8[[#This Row],[2026 Working Total to Budget/LE]]-ERP_8[[#This Row],[Giveback]]</f>
        <v>4276.3899999999994</v>
      </c>
      <c r="AS295" s="81"/>
      <c r="AT295" s="375">
        <v>387.61</v>
      </c>
      <c r="AU295" s="375">
        <v>1445.99</v>
      </c>
      <c r="AV295" s="375">
        <v>2032.87</v>
      </c>
      <c r="AW295" s="375">
        <v>0</v>
      </c>
      <c r="AX295" s="375">
        <v>0</v>
      </c>
      <c r="AY295" s="375">
        <v>0</v>
      </c>
      <c r="AZ295" s="375">
        <v>0</v>
      </c>
      <c r="BA295" s="375">
        <v>0</v>
      </c>
      <c r="BB295" s="375">
        <v>0</v>
      </c>
      <c r="BC295" s="375">
        <v>0</v>
      </c>
      <c r="BD295" s="375">
        <v>0</v>
      </c>
      <c r="BE295" s="375">
        <v>0</v>
      </c>
      <c r="BF295" s="375">
        <v>3866.47</v>
      </c>
      <c r="BG295" s="79">
        <v>387.61</v>
      </c>
      <c r="BH295" s="79">
        <v>1445.99</v>
      </c>
      <c r="BI295" s="79">
        <v>2032.87</v>
      </c>
      <c r="BJ295" s="79">
        <v>0</v>
      </c>
      <c r="BK295" s="79">
        <v>0</v>
      </c>
      <c r="BL295" s="79">
        <v>0</v>
      </c>
      <c r="BM295" s="79">
        <v>0</v>
      </c>
      <c r="BN295" s="79">
        <v>0</v>
      </c>
      <c r="BO295" s="79">
        <v>0</v>
      </c>
      <c r="BP295" s="79">
        <v>0</v>
      </c>
      <c r="BQ295" s="79">
        <v>0</v>
      </c>
      <c r="BR295" s="79">
        <v>0</v>
      </c>
      <c r="BS295" s="79">
        <v>3866.47</v>
      </c>
    </row>
    <row r="296" spans="1:71" ht="15" hidden="1" customHeight="1">
      <c r="A296" s="66" t="s">
        <v>1984</v>
      </c>
      <c r="B296" s="737" t="s">
        <v>509</v>
      </c>
      <c r="C296" s="346"/>
      <c r="D296" s="343" t="str">
        <f>_xlfn.TEXTJOIN("_",FALSE,E296,ERP_8[[#This Row],[Expense Category]],ERP_8[[#This Row],[Project Code*]])</f>
        <v>Ganesan, Srinivasan_MANAGED SERVICES_IT-FBT0799-OG-MX-00</v>
      </c>
      <c r="E296" s="343" t="s">
        <v>1344</v>
      </c>
      <c r="F296" s="346"/>
      <c r="G296" s="150" t="s">
        <v>1136</v>
      </c>
      <c r="H296" s="150" t="s">
        <v>1345</v>
      </c>
      <c r="I296" s="150" t="s">
        <v>1344</v>
      </c>
      <c r="J296" s="150" t="s">
        <v>1346</v>
      </c>
      <c r="K296" s="511" t="s">
        <v>389</v>
      </c>
      <c r="L296" s="392" t="s">
        <v>1985</v>
      </c>
      <c r="M296" s="343"/>
      <c r="N296" s="800"/>
      <c r="O296" s="70" t="s">
        <v>510</v>
      </c>
      <c r="P296" s="346"/>
      <c r="Q296" s="343"/>
      <c r="R296" s="346"/>
      <c r="S296" s="150" t="s">
        <v>432</v>
      </c>
      <c r="T296" s="150"/>
      <c r="U296" s="403"/>
      <c r="V296" s="406">
        <v>3000</v>
      </c>
      <c r="W296" s="406">
        <v>2250</v>
      </c>
      <c r="X296" s="425"/>
      <c r="Y296" s="71"/>
      <c r="Z296" s="784"/>
      <c r="AA296" s="780"/>
      <c r="AB296" s="780"/>
      <c r="AC296" s="428" t="s">
        <v>1142</v>
      </c>
      <c r="AD296" s="429">
        <v>0</v>
      </c>
      <c r="AE296" s="429">
        <v>0</v>
      </c>
      <c r="AF296" s="429" t="s">
        <v>1142</v>
      </c>
      <c r="AG296" s="363">
        <v>250</v>
      </c>
      <c r="AH296" s="363">
        <v>250</v>
      </c>
      <c r="AI296" s="363">
        <v>250</v>
      </c>
      <c r="AJ296" s="363">
        <v>250</v>
      </c>
      <c r="AK296" s="363">
        <v>250</v>
      </c>
      <c r="AL296" s="360">
        <f t="shared" si="16"/>
        <v>1250</v>
      </c>
      <c r="AM296" s="362">
        <f>ERP_8[[#This Row],[2026 Working Total]]-ERP_8[[#This Row],[LE2 Final Submission]]</f>
        <v>-1000</v>
      </c>
      <c r="AN296" s="79">
        <v>250</v>
      </c>
      <c r="AO296" s="79">
        <f t="shared" si="17"/>
        <v>-250</v>
      </c>
      <c r="AP296" s="374">
        <f>SUM(ERP_8[[#This Row],[AP01]:[AP07]])-SUM(ERP_8[[#This Row],[AP01 LE2]:[AP07 LE2]])</f>
        <v>-1000</v>
      </c>
      <c r="AQ296" s="80"/>
      <c r="AR296" s="79">
        <f>ERP_8[[#This Row],[2026 Working Total to Budget/LE]]-ERP_8[[#This Row],[Giveback]]</f>
        <v>-1000</v>
      </c>
      <c r="AS296" s="81"/>
      <c r="AT296" s="375"/>
      <c r="AU296" s="375"/>
      <c r="AV296" s="375"/>
      <c r="AW296" s="375">
        <v>250</v>
      </c>
      <c r="AX296" s="375">
        <v>250</v>
      </c>
      <c r="AY296" s="375">
        <v>250</v>
      </c>
      <c r="AZ296" s="375">
        <v>250</v>
      </c>
      <c r="BA296" s="375">
        <v>250</v>
      </c>
      <c r="BB296" s="375">
        <v>250</v>
      </c>
      <c r="BC296" s="375">
        <v>250</v>
      </c>
      <c r="BD296" s="375">
        <v>250</v>
      </c>
      <c r="BE296" s="375">
        <v>250</v>
      </c>
      <c r="BF296" s="375">
        <v>2250</v>
      </c>
      <c r="BG296" s="79"/>
      <c r="BH296" s="79"/>
      <c r="BI296" s="79"/>
      <c r="BJ296" s="79">
        <v>250</v>
      </c>
      <c r="BK296" s="79">
        <v>250</v>
      </c>
      <c r="BL296" s="79">
        <v>250</v>
      </c>
      <c r="BM296" s="79">
        <v>250</v>
      </c>
      <c r="BN296" s="79">
        <v>250</v>
      </c>
      <c r="BO296" s="79">
        <v>250</v>
      </c>
      <c r="BP296" s="79">
        <v>250</v>
      </c>
      <c r="BQ296" s="79">
        <v>250</v>
      </c>
      <c r="BR296" s="79">
        <v>250</v>
      </c>
      <c r="BS296" s="79">
        <v>2250</v>
      </c>
    </row>
    <row r="297" spans="1:71" ht="15" hidden="1" customHeight="1">
      <c r="A297" s="66" t="s">
        <v>1986</v>
      </c>
      <c r="B297" s="737" t="s">
        <v>511</v>
      </c>
      <c r="C297" s="346"/>
      <c r="D297" s="343" t="str">
        <f>_xlfn.TEXTJOIN("_",FALSE,E297,ERP_8[[#This Row],[Expense Category]],ERP_8[[#This Row],[Project Code*]])</f>
        <v>Ganesan, Srinivasan_MANAGED SERVICES_IT-FGS0301-OG-US-00</v>
      </c>
      <c r="E297" s="343" t="s">
        <v>1344</v>
      </c>
      <c r="F297" s="346"/>
      <c r="G297" s="150" t="s">
        <v>1136</v>
      </c>
      <c r="H297" s="150" t="s">
        <v>1345</v>
      </c>
      <c r="I297" s="150" t="s">
        <v>1344</v>
      </c>
      <c r="J297" s="150" t="s">
        <v>1346</v>
      </c>
      <c r="K297" s="511" t="s">
        <v>389</v>
      </c>
      <c r="L297" s="392" t="s">
        <v>1855</v>
      </c>
      <c r="M297" s="343"/>
      <c r="N297" s="800" t="s">
        <v>1363</v>
      </c>
      <c r="O297" s="70" t="s">
        <v>466</v>
      </c>
      <c r="P297" s="346"/>
      <c r="Q297" s="346" t="s">
        <v>1140</v>
      </c>
      <c r="R297" s="346"/>
      <c r="S297" s="150" t="s">
        <v>57</v>
      </c>
      <c r="T297" s="150"/>
      <c r="U297" s="403"/>
      <c r="V297" s="406">
        <v>26400</v>
      </c>
      <c r="W297" s="406">
        <v>26962</v>
      </c>
      <c r="X297" s="425"/>
      <c r="Y297" s="71"/>
      <c r="Z297" s="784">
        <v>2359</v>
      </c>
      <c r="AA297" s="780">
        <v>1615</v>
      </c>
      <c r="AB297" s="780">
        <v>3188</v>
      </c>
      <c r="AC297" s="428">
        <v>2158</v>
      </c>
      <c r="AD297" s="429">
        <v>2091</v>
      </c>
      <c r="AE297" s="429">
        <v>1890</v>
      </c>
      <c r="AF297" s="429">
        <v>1897</v>
      </c>
      <c r="AG297" s="363">
        <v>2200</v>
      </c>
      <c r="AH297" s="363">
        <v>2200</v>
      </c>
      <c r="AI297" s="363">
        <v>2200</v>
      </c>
      <c r="AJ297" s="363">
        <v>2200</v>
      </c>
      <c r="AK297" s="363">
        <v>2200</v>
      </c>
      <c r="AL297" s="360">
        <f t="shared" si="16"/>
        <v>26198</v>
      </c>
      <c r="AM297" s="362">
        <f>ERP_8[[#This Row],[2026 Working Total]]-ERP_8[[#This Row],[LE2 Final Submission]]</f>
        <v>-764</v>
      </c>
      <c r="AN297" s="79">
        <v>2200</v>
      </c>
      <c r="AO297" s="79">
        <f t="shared" si="17"/>
        <v>-310</v>
      </c>
      <c r="AP297" s="374">
        <f>SUM(ERP_8[[#This Row],[AP01]:[AP07]])-SUM(ERP_8[[#This Row],[AP01 LE2]:[AP07 LE2]])</f>
        <v>-764</v>
      </c>
      <c r="AQ297" s="80"/>
      <c r="AR297" s="79">
        <f>ERP_8[[#This Row],[2026 Working Total to Budget/LE]]-ERP_8[[#This Row],[Giveback]]</f>
        <v>-764</v>
      </c>
      <c r="AS297" s="81"/>
      <c r="AT297" s="375">
        <v>2359</v>
      </c>
      <c r="AU297" s="375">
        <v>1615</v>
      </c>
      <c r="AV297" s="375">
        <v>3188</v>
      </c>
      <c r="AW297" s="375">
        <v>2200</v>
      </c>
      <c r="AX297" s="375">
        <v>2200</v>
      </c>
      <c r="AY297" s="375">
        <v>2200</v>
      </c>
      <c r="AZ297" s="375">
        <v>2200</v>
      </c>
      <c r="BA297" s="375">
        <v>2200</v>
      </c>
      <c r="BB297" s="375">
        <v>2200</v>
      </c>
      <c r="BC297" s="375">
        <v>2200</v>
      </c>
      <c r="BD297" s="375">
        <v>2200</v>
      </c>
      <c r="BE297" s="375">
        <v>2200</v>
      </c>
      <c r="BF297" s="375">
        <v>26962</v>
      </c>
      <c r="BG297" s="79">
        <v>2359</v>
      </c>
      <c r="BH297" s="79">
        <v>1615</v>
      </c>
      <c r="BI297" s="79">
        <v>3188</v>
      </c>
      <c r="BJ297" s="79">
        <v>2200</v>
      </c>
      <c r="BK297" s="79">
        <v>2200</v>
      </c>
      <c r="BL297" s="79">
        <v>2200</v>
      </c>
      <c r="BM297" s="79">
        <v>2200</v>
      </c>
      <c r="BN297" s="79">
        <v>2200</v>
      </c>
      <c r="BO297" s="79">
        <v>2200</v>
      </c>
      <c r="BP297" s="79">
        <v>2200</v>
      </c>
      <c r="BQ297" s="79">
        <v>2200</v>
      </c>
      <c r="BR297" s="79">
        <v>2200</v>
      </c>
      <c r="BS297" s="79">
        <v>26962</v>
      </c>
    </row>
    <row r="298" spans="1:71" ht="15" hidden="1" customHeight="1">
      <c r="A298" s="66" t="s">
        <v>1987</v>
      </c>
      <c r="B298" s="737" t="s">
        <v>512</v>
      </c>
      <c r="C298" s="346"/>
      <c r="D298" s="343" t="str">
        <f>_xlfn.TEXTJOIN("_",FALSE,E298,ERP_8[[#This Row],[Expense Category]],ERP_8[[#This Row],[Project Code*]])</f>
        <v>Ganesan, Srinivasan_MANAGED SERVICES_MISC001</v>
      </c>
      <c r="E298" s="343" t="s">
        <v>1344</v>
      </c>
      <c r="F298" s="346"/>
      <c r="G298" s="150" t="s">
        <v>1136</v>
      </c>
      <c r="H298" s="150" t="s">
        <v>1345</v>
      </c>
      <c r="I298" s="150" t="s">
        <v>1344</v>
      </c>
      <c r="J298" s="150" t="s">
        <v>1346</v>
      </c>
      <c r="K298" s="511" t="s">
        <v>389</v>
      </c>
      <c r="L298" s="392" t="s">
        <v>1327</v>
      </c>
      <c r="M298" s="343"/>
      <c r="N298" s="800" t="s">
        <v>1965</v>
      </c>
      <c r="O298" s="70" t="s">
        <v>147</v>
      </c>
      <c r="P298" s="346"/>
      <c r="Q298" s="343"/>
      <c r="R298" s="346"/>
      <c r="S298" s="150" t="s">
        <v>25</v>
      </c>
      <c r="T298" s="150"/>
      <c r="U298" s="403"/>
      <c r="V298" s="406">
        <v>0</v>
      </c>
      <c r="W298" s="406">
        <v>799.29000000000008</v>
      </c>
      <c r="X298" s="430"/>
      <c r="Y298" s="137"/>
      <c r="Z298" s="784">
        <v>-79.28</v>
      </c>
      <c r="AA298" s="780">
        <v>124.37</v>
      </c>
      <c r="AB298" s="780">
        <v>754.2</v>
      </c>
      <c r="AC298" s="428">
        <v>171.12</v>
      </c>
      <c r="AD298" s="429">
        <v>538.97</v>
      </c>
      <c r="AE298" s="429">
        <v>255.20999999999992</v>
      </c>
      <c r="AF298" s="429">
        <v>157.29999999999998</v>
      </c>
      <c r="AG298" s="360">
        <v>0</v>
      </c>
      <c r="AH298" s="360">
        <v>0</v>
      </c>
      <c r="AI298" s="360">
        <v>0</v>
      </c>
      <c r="AJ298" s="360">
        <v>0</v>
      </c>
      <c r="AK298" s="360">
        <v>0</v>
      </c>
      <c r="AL298" s="360">
        <f t="shared" si="16"/>
        <v>1921.89</v>
      </c>
      <c r="AM298" s="362">
        <f>ERP_8[[#This Row],[2026 Working Total]]-ERP_8[[#This Row],[LE2 Final Submission]]</f>
        <v>1122.5999999999999</v>
      </c>
      <c r="AN298" s="79">
        <v>0</v>
      </c>
      <c r="AO298" s="79">
        <f t="shared" si="17"/>
        <v>255.20999999999992</v>
      </c>
      <c r="AP298" s="374">
        <f>SUM(ERP_8[[#This Row],[AP01]:[AP07]])-SUM(ERP_8[[#This Row],[AP01 LE2]:[AP07 LE2]])</f>
        <v>1122.5999999999999</v>
      </c>
      <c r="AQ298" s="80"/>
      <c r="AR298" s="79">
        <f>ERP_8[[#This Row],[2026 Working Total to Budget/LE]]-ERP_8[[#This Row],[Giveback]]</f>
        <v>1122.5999999999999</v>
      </c>
      <c r="AS298" s="81"/>
      <c r="AT298" s="375">
        <v>-79.28</v>
      </c>
      <c r="AU298" s="375">
        <v>124.37</v>
      </c>
      <c r="AV298" s="375">
        <v>754.2</v>
      </c>
      <c r="AW298" s="375">
        <v>0</v>
      </c>
      <c r="AX298" s="375">
        <v>0</v>
      </c>
      <c r="AY298" s="375">
        <v>0</v>
      </c>
      <c r="AZ298" s="375">
        <v>0</v>
      </c>
      <c r="BA298" s="375">
        <v>0</v>
      </c>
      <c r="BB298" s="375">
        <v>0</v>
      </c>
      <c r="BC298" s="375">
        <v>0</v>
      </c>
      <c r="BD298" s="375">
        <v>0</v>
      </c>
      <c r="BE298" s="375">
        <v>0</v>
      </c>
      <c r="BF298" s="375">
        <v>799.29000000000008</v>
      </c>
      <c r="BG298" s="79">
        <v>-79.28</v>
      </c>
      <c r="BH298" s="79">
        <v>124.37</v>
      </c>
      <c r="BI298" s="79">
        <v>754.2</v>
      </c>
      <c r="BJ298" s="79">
        <v>0</v>
      </c>
      <c r="BK298" s="79">
        <v>0</v>
      </c>
      <c r="BL298" s="79">
        <v>0</v>
      </c>
      <c r="BM298" s="79">
        <v>0</v>
      </c>
      <c r="BN298" s="79">
        <v>0</v>
      </c>
      <c r="BO298" s="79">
        <v>0</v>
      </c>
      <c r="BP298" s="79">
        <v>0</v>
      </c>
      <c r="BQ298" s="79">
        <v>0</v>
      </c>
      <c r="BR298" s="79">
        <v>0</v>
      </c>
      <c r="BS298" s="79">
        <v>799.29000000000008</v>
      </c>
    </row>
    <row r="299" spans="1:71" ht="15" hidden="1" customHeight="1">
      <c r="A299" s="66" t="s">
        <v>1988</v>
      </c>
      <c r="B299" s="737" t="s">
        <v>513</v>
      </c>
      <c r="C299" s="346"/>
      <c r="D299" s="343" t="str">
        <f>_xlfn.TEXTJOIN("_",FALSE,E299,ERP_8[[#This Row],[Expense Category]],ERP_8[[#This Row],[Project Code*]])</f>
        <v>Ganesan, Srinivasan_MANAGED SERVICES_PR-252001-0000007901</v>
      </c>
      <c r="E299" s="343" t="s">
        <v>1344</v>
      </c>
      <c r="F299" s="346"/>
      <c r="G299" s="150" t="s">
        <v>1136</v>
      </c>
      <c r="H299" s="150" t="s">
        <v>1345</v>
      </c>
      <c r="I299" s="150" t="s">
        <v>1344</v>
      </c>
      <c r="J299" s="150" t="s">
        <v>1346</v>
      </c>
      <c r="K299" s="511" t="s">
        <v>389</v>
      </c>
      <c r="L299" s="392" t="s">
        <v>1645</v>
      </c>
      <c r="M299" s="343"/>
      <c r="N299" s="804">
        <v>2687857</v>
      </c>
      <c r="O299" s="70" t="s">
        <v>514</v>
      </c>
      <c r="P299" s="346"/>
      <c r="Q299" s="343"/>
      <c r="R299" s="346"/>
      <c r="S299" s="150" t="s">
        <v>25</v>
      </c>
      <c r="T299" s="150"/>
      <c r="U299" s="403"/>
      <c r="V299" s="406">
        <v>0</v>
      </c>
      <c r="W299" s="406">
        <v>298.89999999999998</v>
      </c>
      <c r="X299" s="425"/>
      <c r="Y299" s="71"/>
      <c r="Z299" s="784"/>
      <c r="AA299" s="780">
        <v>256.18</v>
      </c>
      <c r="AB299" s="780">
        <v>42.72</v>
      </c>
      <c r="AC299" s="428">
        <v>0</v>
      </c>
      <c r="AD299" s="429">
        <v>0</v>
      </c>
      <c r="AE299" s="429">
        <v>0</v>
      </c>
      <c r="AF299" s="429">
        <v>0</v>
      </c>
      <c r="AG299" s="360">
        <v>0</v>
      </c>
      <c r="AH299" s="360">
        <v>0</v>
      </c>
      <c r="AI299" s="360">
        <v>0</v>
      </c>
      <c r="AJ299" s="360">
        <v>0</v>
      </c>
      <c r="AK299" s="360">
        <v>0</v>
      </c>
      <c r="AL299" s="360">
        <f t="shared" ref="AL299" si="18">SUM(Z299:AK299)</f>
        <v>298.89999999999998</v>
      </c>
      <c r="AM299" s="362">
        <f>ERP_8[[#This Row],[2026 Working Total]]-ERP_8[[#This Row],[LE2 Final Submission]]</f>
        <v>0</v>
      </c>
      <c r="AN299" s="79">
        <v>0</v>
      </c>
      <c r="AO299" s="79">
        <f t="shared" ref="AO299:AO330" si="19">$AE299 - $AN299</f>
        <v>0</v>
      </c>
      <c r="AP299" s="374">
        <f>SUM(ERP_8[[#This Row],[AP01]:[AP07]])-SUM(ERP_8[[#This Row],[AP01 LE2]:[AP07 LE2]])</f>
        <v>0</v>
      </c>
      <c r="AQ299" s="80"/>
      <c r="AR299" s="79">
        <f>ERP_8[[#This Row],[2026 Working Total to Budget/LE]]-ERP_8[[#This Row],[Giveback]]</f>
        <v>0</v>
      </c>
      <c r="AS299" s="81"/>
      <c r="AT299" s="375"/>
      <c r="AU299" s="375">
        <v>256.18</v>
      </c>
      <c r="AV299" s="375">
        <v>42.72</v>
      </c>
      <c r="AW299" s="375">
        <v>0</v>
      </c>
      <c r="AX299" s="375">
        <v>0</v>
      </c>
      <c r="AY299" s="375">
        <v>0</v>
      </c>
      <c r="AZ299" s="375">
        <v>0</v>
      </c>
      <c r="BA299" s="375">
        <v>0</v>
      </c>
      <c r="BB299" s="375">
        <v>0</v>
      </c>
      <c r="BC299" s="375">
        <v>0</v>
      </c>
      <c r="BD299" s="375">
        <v>0</v>
      </c>
      <c r="BE299" s="375">
        <v>0</v>
      </c>
      <c r="BF299" s="375">
        <v>298.89999999999998</v>
      </c>
      <c r="BG299" s="79"/>
      <c r="BH299" s="79">
        <v>256.18</v>
      </c>
      <c r="BI299" s="79">
        <v>42.72</v>
      </c>
      <c r="BJ299" s="79">
        <v>0</v>
      </c>
      <c r="BK299" s="79">
        <v>0</v>
      </c>
      <c r="BL299" s="79">
        <v>0</v>
      </c>
      <c r="BM299" s="79">
        <v>0</v>
      </c>
      <c r="BN299" s="79">
        <v>0</v>
      </c>
      <c r="BO299" s="79">
        <v>0</v>
      </c>
      <c r="BP299" s="79">
        <v>0</v>
      </c>
      <c r="BQ299" s="79">
        <v>0</v>
      </c>
      <c r="BR299" s="79">
        <v>0</v>
      </c>
      <c r="BS299" s="79">
        <v>298.89999999999998</v>
      </c>
    </row>
    <row r="300" spans="1:71" ht="15" hidden="1" customHeight="1">
      <c r="A300" s="66" t="s">
        <v>1989</v>
      </c>
      <c r="B300" s="737" t="s">
        <v>1990</v>
      </c>
      <c r="C300" s="346"/>
      <c r="D300" s="343" t="str">
        <f>_xlfn.TEXTJOIN("_",FALSE,E300,ERP_8[[#This Row],[Expense Category]],ERP_8[[#This Row],[Project Code*]])</f>
        <v>Hase, Raj_MANAGED SERVICES_2026-XFR-0014-A</v>
      </c>
      <c r="E300" s="343" t="s">
        <v>1345</v>
      </c>
      <c r="F300" s="346"/>
      <c r="G300" s="150" t="s">
        <v>1136</v>
      </c>
      <c r="H300" s="150" t="s">
        <v>1345</v>
      </c>
      <c r="I300" s="150" t="s">
        <v>1437</v>
      </c>
      <c r="J300" s="150" t="s">
        <v>1346</v>
      </c>
      <c r="K300" s="511" t="s">
        <v>389</v>
      </c>
      <c r="L300" s="392" t="s">
        <v>1991</v>
      </c>
      <c r="M300" s="343"/>
      <c r="N300" s="800"/>
      <c r="O300" s="70" t="s">
        <v>516</v>
      </c>
      <c r="P300" s="346"/>
      <c r="Q300" s="343"/>
      <c r="R300" s="346"/>
      <c r="S300" s="150" t="s">
        <v>152</v>
      </c>
      <c r="T300" s="150" t="s">
        <v>1992</v>
      </c>
      <c r="U300" s="403"/>
      <c r="V300" s="406">
        <v>86119.999999999985</v>
      </c>
      <c r="W300" s="406"/>
      <c r="X300" s="425"/>
      <c r="Y300" s="71"/>
      <c r="Z300" s="784"/>
      <c r="AA300" s="780"/>
      <c r="AB300" s="780"/>
      <c r="AC300" s="428" t="s">
        <v>1142</v>
      </c>
      <c r="AD300" s="429">
        <v>0</v>
      </c>
      <c r="AE300" s="429">
        <v>0</v>
      </c>
      <c r="AF300" s="429" t="s">
        <v>1142</v>
      </c>
      <c r="AG300" s="363"/>
      <c r="AH300" s="363"/>
      <c r="AI300" s="363"/>
      <c r="AJ300" s="363"/>
      <c r="AK300" s="363"/>
      <c r="AL300" s="360"/>
      <c r="AM300" s="362">
        <f>ERP_8[[#This Row],[2026 Working Total]]-ERP_8[[#This Row],[LE2 Final Submission]]</f>
        <v>0</v>
      </c>
      <c r="AN300" s="79">
        <v>0</v>
      </c>
      <c r="AO300" s="79">
        <f t="shared" si="19"/>
        <v>0</v>
      </c>
      <c r="AP300" s="374">
        <f>SUM(ERP_8[[#This Row],[AP01]:[AP07]])-SUM(ERP_8[[#This Row],[AP01 LE2]:[AP07 LE2]])</f>
        <v>0</v>
      </c>
      <c r="AQ300" s="80"/>
      <c r="AR300" s="79">
        <f>ERP_8[[#This Row],[2026 Working Total to Budget/LE]]-ERP_8[[#This Row],[Giveback]]</f>
        <v>0</v>
      </c>
      <c r="AS300" s="81" t="s">
        <v>1993</v>
      </c>
      <c r="AT300" s="375"/>
      <c r="AU300" s="375"/>
      <c r="AV300" s="375"/>
      <c r="AW300" s="375"/>
      <c r="AX300" s="375"/>
      <c r="AY300" s="375"/>
      <c r="AZ300" s="375"/>
      <c r="BA300" s="375"/>
      <c r="BB300" s="375"/>
      <c r="BC300" s="375"/>
      <c r="BD300" s="375"/>
      <c r="BE300" s="375"/>
      <c r="BF300" s="375"/>
      <c r="BG300" s="79"/>
      <c r="BH300" s="79"/>
      <c r="BI300" s="79"/>
      <c r="BJ300" s="79">
        <v>8612</v>
      </c>
      <c r="BK300" s="79">
        <v>8612</v>
      </c>
      <c r="BL300" s="79">
        <v>8612</v>
      </c>
      <c r="BM300" s="79">
        <v>8612</v>
      </c>
      <c r="BN300" s="79">
        <v>8612</v>
      </c>
      <c r="BO300" s="79">
        <v>8612</v>
      </c>
      <c r="BP300" s="79">
        <v>8612</v>
      </c>
      <c r="BQ300" s="79">
        <v>8612</v>
      </c>
      <c r="BR300" s="79">
        <v>8612</v>
      </c>
      <c r="BS300" s="79">
        <v>77508</v>
      </c>
    </row>
    <row r="301" spans="1:71" ht="15" hidden="1" customHeight="1">
      <c r="A301" s="66" t="s">
        <v>1994</v>
      </c>
      <c r="B301" s="737" t="s">
        <v>1995</v>
      </c>
      <c r="C301" s="346"/>
      <c r="D301" s="343" t="str">
        <f>_xlfn.TEXTJOIN("_",FALSE,E301,ERP_8[[#This Row],[Expense Category]],ERP_8[[#This Row],[Project Code*]])</f>
        <v>Hase, Raj_MANAGED SERVICES_2026-XFR-0033-A</v>
      </c>
      <c r="E301" s="343" t="s">
        <v>1345</v>
      </c>
      <c r="F301" s="346"/>
      <c r="G301" s="150" t="s">
        <v>1136</v>
      </c>
      <c r="H301" s="150" t="s">
        <v>1345</v>
      </c>
      <c r="I301" s="150" t="s">
        <v>1437</v>
      </c>
      <c r="J301" s="150" t="s">
        <v>1346</v>
      </c>
      <c r="K301" s="511" t="s">
        <v>389</v>
      </c>
      <c r="L301" s="392" t="s">
        <v>1996</v>
      </c>
      <c r="M301" s="343"/>
      <c r="N301" s="800"/>
      <c r="O301" s="70" t="s">
        <v>518</v>
      </c>
      <c r="P301" s="346"/>
      <c r="Q301" s="343"/>
      <c r="R301" s="346"/>
      <c r="S301" s="150" t="s">
        <v>152</v>
      </c>
      <c r="T301" s="150" t="s">
        <v>1997</v>
      </c>
      <c r="U301" s="403"/>
      <c r="V301" s="406">
        <v>100000.00000000001</v>
      </c>
      <c r="W301" s="406">
        <v>60000</v>
      </c>
      <c r="X301" s="425"/>
      <c r="Y301" s="71"/>
      <c r="Z301" s="784"/>
      <c r="AA301" s="780"/>
      <c r="AB301" s="780"/>
      <c r="AC301" s="428" t="s">
        <v>1142</v>
      </c>
      <c r="AD301" s="429">
        <v>0</v>
      </c>
      <c r="AE301" s="429">
        <v>0</v>
      </c>
      <c r="AF301" s="429" t="s">
        <v>1142</v>
      </c>
      <c r="AG301" s="363">
        <v>0</v>
      </c>
      <c r="AH301" s="363">
        <v>0</v>
      </c>
      <c r="AI301" s="363">
        <v>10000</v>
      </c>
      <c r="AJ301" s="363">
        <v>10000</v>
      </c>
      <c r="AK301" s="363">
        <v>10000</v>
      </c>
      <c r="AL301" s="815">
        <f t="shared" ref="AL301:AL332" si="20">SUM(Z301:AK301)</f>
        <v>30000</v>
      </c>
      <c r="AM301" s="362">
        <f>ERP_8[[#This Row],[2026 Working Total]]-ERP_8[[#This Row],[LE2 Final Submission]]</f>
        <v>-30000</v>
      </c>
      <c r="AN301" s="79">
        <v>0</v>
      </c>
      <c r="AO301" s="79">
        <f t="shared" si="19"/>
        <v>0</v>
      </c>
      <c r="AP301" s="374">
        <f>SUM(ERP_8[[#This Row],[AP01]:[AP07]])-SUM(ERP_8[[#This Row],[AP01 LE2]:[AP07 LE2]])</f>
        <v>-10000</v>
      </c>
      <c r="AQ301" s="80"/>
      <c r="AR301" s="79">
        <f>ERP_8[[#This Row],[2026 Working Total to Budget/LE]]-ERP_8[[#This Row],[Giveback]]</f>
        <v>-30000</v>
      </c>
      <c r="AS301" s="81" t="s">
        <v>1998</v>
      </c>
      <c r="AT301" s="375"/>
      <c r="AU301" s="375"/>
      <c r="AV301" s="375"/>
      <c r="AW301" s="375"/>
      <c r="AX301" s="375"/>
      <c r="AY301" s="375"/>
      <c r="AZ301" s="375">
        <v>10000</v>
      </c>
      <c r="BA301" s="375">
        <v>10000</v>
      </c>
      <c r="BB301" s="375">
        <v>10000</v>
      </c>
      <c r="BC301" s="375">
        <v>10000</v>
      </c>
      <c r="BD301" s="375">
        <v>10000</v>
      </c>
      <c r="BE301" s="375">
        <v>10000</v>
      </c>
      <c r="BF301" s="375">
        <v>60000</v>
      </c>
      <c r="BG301" s="79"/>
      <c r="BH301" s="79"/>
      <c r="BI301" s="79"/>
      <c r="BJ301" s="79">
        <v>10000</v>
      </c>
      <c r="BK301" s="79">
        <v>10000</v>
      </c>
      <c r="BL301" s="79">
        <v>10000</v>
      </c>
      <c r="BM301" s="79">
        <v>10000</v>
      </c>
      <c r="BN301" s="79">
        <v>10000</v>
      </c>
      <c r="BO301" s="79">
        <v>10000</v>
      </c>
      <c r="BP301" s="79">
        <v>10000</v>
      </c>
      <c r="BQ301" s="79">
        <v>10000</v>
      </c>
      <c r="BR301" s="79">
        <v>10000</v>
      </c>
      <c r="BS301" s="79">
        <v>90000</v>
      </c>
    </row>
    <row r="302" spans="1:71" ht="15" hidden="1" customHeight="1">
      <c r="A302" s="66" t="s">
        <v>1999</v>
      </c>
      <c r="B302" s="737" t="s">
        <v>2000</v>
      </c>
      <c r="C302" s="346"/>
      <c r="D302" s="343" t="str">
        <f>_xlfn.TEXTJOIN("_",FALSE,E302,ERP_8[[#This Row],[Expense Category]],ERP_8[[#This Row],[Project Code*]])</f>
        <v>Hase, Raj_MANAGED SERVICES_2026-XFR-0035-A</v>
      </c>
      <c r="E302" s="343" t="s">
        <v>1345</v>
      </c>
      <c r="F302" s="346"/>
      <c r="G302" s="150" t="s">
        <v>1136</v>
      </c>
      <c r="H302" s="150" t="s">
        <v>1345</v>
      </c>
      <c r="I302" s="150" t="s">
        <v>1437</v>
      </c>
      <c r="J302" s="150" t="s">
        <v>1346</v>
      </c>
      <c r="K302" s="511" t="s">
        <v>389</v>
      </c>
      <c r="L302" s="392" t="s">
        <v>2001</v>
      </c>
      <c r="M302" s="343"/>
      <c r="N302" s="800"/>
      <c r="O302" s="70" t="s">
        <v>520</v>
      </c>
      <c r="P302" s="346"/>
      <c r="Q302" s="343"/>
      <c r="R302" s="346"/>
      <c r="S302" s="150" t="s">
        <v>152</v>
      </c>
      <c r="T302" s="150" t="s">
        <v>1997</v>
      </c>
      <c r="U302" s="403"/>
      <c r="V302" s="406">
        <v>64999.999999999985</v>
      </c>
      <c r="W302" s="406">
        <v>39000</v>
      </c>
      <c r="X302" s="425"/>
      <c r="Y302" s="71"/>
      <c r="Z302" s="784"/>
      <c r="AA302" s="780"/>
      <c r="AB302" s="780"/>
      <c r="AC302" s="428" t="s">
        <v>1142</v>
      </c>
      <c r="AD302" s="429">
        <v>0</v>
      </c>
      <c r="AE302" s="429">
        <v>0</v>
      </c>
      <c r="AF302" s="429" t="s">
        <v>1142</v>
      </c>
      <c r="AG302" s="363">
        <v>0</v>
      </c>
      <c r="AH302" s="363">
        <v>0</v>
      </c>
      <c r="AI302" s="363">
        <v>6500</v>
      </c>
      <c r="AJ302" s="363">
        <v>6500</v>
      </c>
      <c r="AK302" s="363">
        <v>6500</v>
      </c>
      <c r="AL302" s="815">
        <f t="shared" si="20"/>
        <v>19500</v>
      </c>
      <c r="AM302" s="362">
        <f>ERP_8[[#This Row],[2026 Working Total]]-ERP_8[[#This Row],[LE2 Final Submission]]</f>
        <v>-19500</v>
      </c>
      <c r="AN302" s="79">
        <v>0</v>
      </c>
      <c r="AO302" s="79">
        <f t="shared" si="19"/>
        <v>0</v>
      </c>
      <c r="AP302" s="374">
        <f>SUM(ERP_8[[#This Row],[AP01]:[AP07]])-SUM(ERP_8[[#This Row],[AP01 LE2]:[AP07 LE2]])</f>
        <v>-6500</v>
      </c>
      <c r="AQ302" s="80"/>
      <c r="AR302" s="79">
        <f>ERP_8[[#This Row],[2026 Working Total to Budget/LE]]-ERP_8[[#This Row],[Giveback]]</f>
        <v>-19500</v>
      </c>
      <c r="AS302" s="81" t="s">
        <v>1998</v>
      </c>
      <c r="AT302" s="375"/>
      <c r="AU302" s="375"/>
      <c r="AV302" s="375"/>
      <c r="AW302" s="375"/>
      <c r="AX302" s="375"/>
      <c r="AY302" s="375"/>
      <c r="AZ302" s="375">
        <v>6500</v>
      </c>
      <c r="BA302" s="375">
        <v>6500</v>
      </c>
      <c r="BB302" s="375">
        <v>6500</v>
      </c>
      <c r="BC302" s="375">
        <v>6500</v>
      </c>
      <c r="BD302" s="375">
        <v>6500</v>
      </c>
      <c r="BE302" s="375">
        <v>6500</v>
      </c>
      <c r="BF302" s="375">
        <v>39000</v>
      </c>
      <c r="BG302" s="79"/>
      <c r="BH302" s="79"/>
      <c r="BI302" s="79"/>
      <c r="BJ302" s="79">
        <v>6500</v>
      </c>
      <c r="BK302" s="79">
        <v>6500</v>
      </c>
      <c r="BL302" s="79">
        <v>6500</v>
      </c>
      <c r="BM302" s="79">
        <v>6500</v>
      </c>
      <c r="BN302" s="79">
        <v>6500</v>
      </c>
      <c r="BO302" s="79">
        <v>6500</v>
      </c>
      <c r="BP302" s="79">
        <v>6500</v>
      </c>
      <c r="BQ302" s="79">
        <v>6500</v>
      </c>
      <c r="BR302" s="79">
        <v>6500</v>
      </c>
      <c r="BS302" s="79">
        <v>58500</v>
      </c>
    </row>
    <row r="303" spans="1:71" ht="15" hidden="1" customHeight="1">
      <c r="A303" s="66" t="s">
        <v>2002</v>
      </c>
      <c r="B303" s="737" t="s">
        <v>2003</v>
      </c>
      <c r="C303" s="346"/>
      <c r="D303" s="343" t="str">
        <f>_xlfn.TEXTJOIN("_",FALSE,E303,ERP_8[[#This Row],[Expense Category]],ERP_8[[#This Row],[Project Code*]])</f>
        <v>Hase, Raj_MANAGED SERVICES_2026-XFR-0063-A</v>
      </c>
      <c r="E303" s="150" t="s">
        <v>1345</v>
      </c>
      <c r="F303" s="346"/>
      <c r="G303" s="482" t="s">
        <v>1136</v>
      </c>
      <c r="H303" s="150" t="s">
        <v>1345</v>
      </c>
      <c r="I303" s="150" t="s">
        <v>2004</v>
      </c>
      <c r="J303" s="150" t="s">
        <v>1346</v>
      </c>
      <c r="K303" s="511" t="s">
        <v>389</v>
      </c>
      <c r="L303" s="392" t="s">
        <v>2005</v>
      </c>
      <c r="M303" s="343"/>
      <c r="N303" s="800"/>
      <c r="O303" s="70" t="s">
        <v>593</v>
      </c>
      <c r="P303" s="346"/>
      <c r="Q303" s="343"/>
      <c r="R303" s="346"/>
      <c r="S303" s="150" t="s">
        <v>152</v>
      </c>
      <c r="T303" s="150" t="s">
        <v>2006</v>
      </c>
      <c r="U303" s="403"/>
      <c r="V303" s="406">
        <v>31560</v>
      </c>
      <c r="W303" s="406">
        <v>23670</v>
      </c>
      <c r="X303" s="425"/>
      <c r="Y303" s="71"/>
      <c r="Z303" s="784"/>
      <c r="AA303" s="780"/>
      <c r="AB303" s="780"/>
      <c r="AC303" s="780" t="s">
        <v>1142</v>
      </c>
      <c r="AD303" s="780">
        <v>0</v>
      </c>
      <c r="AE303" s="780">
        <v>0</v>
      </c>
      <c r="AF303" s="780" t="s">
        <v>1142</v>
      </c>
      <c r="AG303" s="363">
        <f>2630-2630</f>
        <v>0</v>
      </c>
      <c r="AH303" s="363">
        <f>2630-2630</f>
        <v>0</v>
      </c>
      <c r="AI303" s="363">
        <f>2630-2630</f>
        <v>0</v>
      </c>
      <c r="AJ303" s="363">
        <f>2630-2630</f>
        <v>0</v>
      </c>
      <c r="AK303" s="363">
        <f>2630-2630</f>
        <v>0</v>
      </c>
      <c r="AL303" s="360">
        <f t="shared" si="20"/>
        <v>0</v>
      </c>
      <c r="AM303" s="362">
        <f>ERP_8[[#This Row],[2026 Working Total]]-ERP_8[[#This Row],[LE2 Final Submission]]</f>
        <v>-23670</v>
      </c>
      <c r="AN303" s="79">
        <v>0</v>
      </c>
      <c r="AO303" s="79">
        <f t="shared" si="19"/>
        <v>0</v>
      </c>
      <c r="AP303" s="652">
        <f>SUM(ERP_8[[#This Row],[AP01]:[AP07]])-SUM(ERP_8[[#This Row],[AP01 LE2]:[AP07 LE2]])</f>
        <v>-10520</v>
      </c>
      <c r="AQ303" s="80"/>
      <c r="AR303" s="79">
        <f>ERP_8[[#This Row],[2026 Working Total to Budget/LE]]-ERP_8[[#This Row],[Giveback]]</f>
        <v>-23670</v>
      </c>
      <c r="AS303" s="81"/>
      <c r="AT303" s="375"/>
      <c r="AU303" s="375"/>
      <c r="AV303" s="375"/>
      <c r="AW303" s="375">
        <v>2630</v>
      </c>
      <c r="AX303" s="375">
        <v>2630</v>
      </c>
      <c r="AY303" s="375">
        <v>2630</v>
      </c>
      <c r="AZ303" s="375">
        <v>2630</v>
      </c>
      <c r="BA303" s="375">
        <v>2630</v>
      </c>
      <c r="BB303" s="375">
        <v>2630</v>
      </c>
      <c r="BC303" s="375">
        <v>2630</v>
      </c>
      <c r="BD303" s="375">
        <v>2630</v>
      </c>
      <c r="BE303" s="375">
        <v>2630</v>
      </c>
      <c r="BF303" s="375">
        <v>23670</v>
      </c>
      <c r="BG303" s="79"/>
      <c r="BH303" s="79"/>
      <c r="BI303" s="79"/>
      <c r="BJ303" s="79">
        <v>2630</v>
      </c>
      <c r="BK303" s="79">
        <v>2630</v>
      </c>
      <c r="BL303" s="79">
        <v>2630</v>
      </c>
      <c r="BM303" s="79">
        <v>2630</v>
      </c>
      <c r="BN303" s="79">
        <v>2630</v>
      </c>
      <c r="BO303" s="79">
        <v>2630</v>
      </c>
      <c r="BP303" s="79">
        <v>2630</v>
      </c>
      <c r="BQ303" s="79">
        <v>2630</v>
      </c>
      <c r="BR303" s="79">
        <v>2630</v>
      </c>
      <c r="BS303" s="79">
        <v>23670</v>
      </c>
    </row>
    <row r="304" spans="1:71" ht="15" hidden="1" customHeight="1">
      <c r="A304" s="79" t="s">
        <v>2007</v>
      </c>
      <c r="B304" s="749" t="s">
        <v>2008</v>
      </c>
      <c r="C304" s="348"/>
      <c r="D304" s="347" t="str">
        <f>_xlfn.TEXTJOIN("_",FALSE,E304,ERP_8[[#This Row],[Expense Category]],ERP_8[[#This Row],[Project Code*]])</f>
        <v>Hase, Raj_MANAGED SERVICES_BILLINGSWEEP006</v>
      </c>
      <c r="E304" s="347" t="s">
        <v>1345</v>
      </c>
      <c r="F304" s="348"/>
      <c r="G304" s="150" t="s">
        <v>1136</v>
      </c>
      <c r="H304" s="150" t="s">
        <v>1345</v>
      </c>
      <c r="I304" s="332" t="s">
        <v>1437</v>
      </c>
      <c r="J304" s="333" t="s">
        <v>1437</v>
      </c>
      <c r="K304" s="514" t="s">
        <v>389</v>
      </c>
      <c r="L304" s="394"/>
      <c r="M304" s="333"/>
      <c r="N304" s="801">
        <v>2329612</v>
      </c>
      <c r="O304" s="90" t="s">
        <v>411</v>
      </c>
      <c r="P304" s="347"/>
      <c r="Q304" s="347"/>
      <c r="R304" s="348"/>
      <c r="S304" s="348"/>
      <c r="T304" s="348"/>
      <c r="U304" s="402"/>
      <c r="V304" s="358"/>
      <c r="W304" s="379"/>
      <c r="X304" s="425"/>
      <c r="Y304" s="71"/>
      <c r="Z304" s="784"/>
      <c r="AA304" s="780"/>
      <c r="AB304" s="780"/>
      <c r="AC304" s="429"/>
      <c r="AD304" s="429"/>
      <c r="AE304" s="429">
        <v>-2915.6</v>
      </c>
      <c r="AF304" s="429">
        <v>0</v>
      </c>
      <c r="AG304" s="364"/>
      <c r="AH304" s="364"/>
      <c r="AI304" s="364"/>
      <c r="AJ304" s="364"/>
      <c r="AK304" s="364"/>
      <c r="AL304" s="360">
        <f t="shared" si="20"/>
        <v>-2915.6</v>
      </c>
      <c r="AM304" s="362">
        <f>ERP_8[[#This Row],[2026 Working Total]]-ERP_8[[#This Row],[LE2 Final Submission]]</f>
        <v>-2915.6</v>
      </c>
      <c r="AN304" s="79"/>
      <c r="AO304" s="79">
        <f t="shared" si="19"/>
        <v>-2915.6</v>
      </c>
      <c r="AP304" s="374">
        <f>SUM(ERP_8[[#This Row],[AP01]:[AP07]])-SUM(ERP_8[[#This Row],[AP01 LE2]:[AP07 LE2]])</f>
        <v>-2915.6</v>
      </c>
      <c r="AQ304" s="80"/>
      <c r="AR304" s="79">
        <f>ERP_8[[#This Row],[2026 Working Total to Budget/LE]]-ERP_8[[#This Row],[Giveback]]</f>
        <v>-2915.6</v>
      </c>
      <c r="AS304" s="81"/>
      <c r="AT304" s="375"/>
      <c r="AU304" s="375"/>
      <c r="AV304" s="375"/>
      <c r="AW304" s="375"/>
      <c r="AX304" s="375"/>
      <c r="AY304" s="375"/>
      <c r="AZ304" s="375"/>
      <c r="BA304" s="375"/>
      <c r="BB304" s="375"/>
      <c r="BC304" s="375"/>
      <c r="BD304" s="375"/>
      <c r="BE304" s="375"/>
      <c r="BF304" s="375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</row>
    <row r="305" spans="1:71" ht="15" hidden="1" customHeight="1">
      <c r="A305" s="66" t="s">
        <v>2009</v>
      </c>
      <c r="B305" s="737" t="s">
        <v>522</v>
      </c>
      <c r="C305" s="346"/>
      <c r="D305" s="343" t="str">
        <f>_xlfn.TEXTJOIN("_",FALSE,E305,ERP_8[[#This Row],[Expense Category]],ERP_8[[#This Row],[Project Code*]])</f>
        <v>Hase, Raj_MANAGED SERVICES_CE-BTF22001-02-EX</v>
      </c>
      <c r="E305" s="343" t="s">
        <v>1345</v>
      </c>
      <c r="F305" s="346"/>
      <c r="G305" s="150" t="s">
        <v>1136</v>
      </c>
      <c r="H305" s="150" t="s">
        <v>1345</v>
      </c>
      <c r="I305" s="150" t="s">
        <v>1345</v>
      </c>
      <c r="J305" s="150" t="s">
        <v>1346</v>
      </c>
      <c r="K305" s="511" t="s">
        <v>389</v>
      </c>
      <c r="L305" s="392" t="s">
        <v>1574</v>
      </c>
      <c r="M305" s="343"/>
      <c r="N305" s="800" t="s">
        <v>1441</v>
      </c>
      <c r="O305" s="70" t="s">
        <v>274</v>
      </c>
      <c r="P305" s="346" t="s">
        <v>1139</v>
      </c>
      <c r="Q305" s="343"/>
      <c r="R305" s="346"/>
      <c r="S305" s="505" t="s">
        <v>275</v>
      </c>
      <c r="T305" s="150" t="s">
        <v>1575</v>
      </c>
      <c r="U305" s="403"/>
      <c r="V305" s="406">
        <v>0</v>
      </c>
      <c r="W305" s="406">
        <v>2263.3900000000003</v>
      </c>
      <c r="X305" s="425"/>
      <c r="Y305" s="71"/>
      <c r="Z305" s="784">
        <v>1841.45</v>
      </c>
      <c r="AA305" s="780">
        <v>1719.99</v>
      </c>
      <c r="AB305" s="780">
        <v>-1298.05</v>
      </c>
      <c r="AC305" s="428">
        <v>1990.16</v>
      </c>
      <c r="AD305" s="429">
        <v>-2552.9100000000003</v>
      </c>
      <c r="AE305" s="429">
        <v>903.75000000000023</v>
      </c>
      <c r="AF305" s="429">
        <v>3091.66</v>
      </c>
      <c r="AG305" s="360">
        <v>-5696.05</v>
      </c>
      <c r="AH305" s="360">
        <v>0</v>
      </c>
      <c r="AI305" s="360">
        <v>0</v>
      </c>
      <c r="AJ305" s="360">
        <v>0</v>
      </c>
      <c r="AK305" s="360">
        <v>0</v>
      </c>
      <c r="AL305" s="360">
        <f t="shared" si="20"/>
        <v>0</v>
      </c>
      <c r="AM305" s="362">
        <f>ERP_8[[#This Row],[2026 Working Total]]-ERP_8[[#This Row],[LE2 Final Submission]]</f>
        <v>-2263.3900000000003</v>
      </c>
      <c r="AN305" s="79">
        <v>0</v>
      </c>
      <c r="AO305" s="79">
        <f t="shared" si="19"/>
        <v>903.75000000000023</v>
      </c>
      <c r="AP305" s="374">
        <f>SUM(ERP_8[[#This Row],[AP01]:[AP07]])-SUM(ERP_8[[#This Row],[AP01 LE2]:[AP07 LE2]])</f>
        <v>3432.66</v>
      </c>
      <c r="AQ305" s="80"/>
      <c r="AR305" s="79">
        <f>ERP_8[[#This Row],[2026 Working Total to Budget/LE]]-ERP_8[[#This Row],[Giveback]]</f>
        <v>-2263.3900000000003</v>
      </c>
      <c r="AS305" s="81"/>
      <c r="AT305" s="375">
        <v>1841.45</v>
      </c>
      <c r="AU305" s="375">
        <v>1719.99</v>
      </c>
      <c r="AV305" s="375">
        <v>-1298.05</v>
      </c>
      <c r="AW305" s="375">
        <v>0</v>
      </c>
      <c r="AX305" s="375">
        <v>0</v>
      </c>
      <c r="AY305" s="375">
        <v>0</v>
      </c>
      <c r="AZ305" s="375">
        <v>0</v>
      </c>
      <c r="BA305" s="375">
        <v>0</v>
      </c>
      <c r="BB305" s="375">
        <v>0</v>
      </c>
      <c r="BC305" s="375">
        <v>0</v>
      </c>
      <c r="BD305" s="375">
        <v>0</v>
      </c>
      <c r="BE305" s="375">
        <v>0</v>
      </c>
      <c r="BF305" s="375">
        <v>2263.3900000000003</v>
      </c>
      <c r="BG305" s="79">
        <v>1841.45</v>
      </c>
      <c r="BH305" s="79">
        <v>1719.99</v>
      </c>
      <c r="BI305" s="79">
        <v>-1298.05</v>
      </c>
      <c r="BJ305" s="79">
        <v>0</v>
      </c>
      <c r="BK305" s="79">
        <v>0</v>
      </c>
      <c r="BL305" s="79">
        <v>0</v>
      </c>
      <c r="BM305" s="79">
        <v>0</v>
      </c>
      <c r="BN305" s="79">
        <v>0</v>
      </c>
      <c r="BO305" s="79">
        <v>0</v>
      </c>
      <c r="BP305" s="79">
        <v>0</v>
      </c>
      <c r="BQ305" s="79">
        <v>0</v>
      </c>
      <c r="BR305" s="79">
        <v>0</v>
      </c>
      <c r="BS305" s="79">
        <v>2263.3900000000003</v>
      </c>
    </row>
    <row r="306" spans="1:71" ht="15" hidden="1" customHeight="1">
      <c r="A306" s="66" t="s">
        <v>2010</v>
      </c>
      <c r="B306" s="737" t="s">
        <v>523</v>
      </c>
      <c r="C306" s="346"/>
      <c r="D306" s="343" t="str">
        <f>_xlfn.TEXTJOIN("_",FALSE,E306,ERP_8[[#This Row],[Expense Category]],ERP_8[[#This Row],[Project Code*]])</f>
        <v>Hase, Raj_MANAGED SERVICES_EnhanceChargeout001</v>
      </c>
      <c r="E306" s="343" t="s">
        <v>1345</v>
      </c>
      <c r="F306" s="346"/>
      <c r="G306" s="150" t="s">
        <v>1136</v>
      </c>
      <c r="H306" s="150" t="s">
        <v>1345</v>
      </c>
      <c r="I306" s="150" t="s">
        <v>1345</v>
      </c>
      <c r="J306" s="150" t="s">
        <v>1346</v>
      </c>
      <c r="K306" s="511" t="s">
        <v>389</v>
      </c>
      <c r="L306" s="392" t="s">
        <v>1147</v>
      </c>
      <c r="M306" s="343"/>
      <c r="N306" s="800" t="s">
        <v>1433</v>
      </c>
      <c r="O306" s="70" t="s">
        <v>53</v>
      </c>
      <c r="P306" s="346" t="s">
        <v>1153</v>
      </c>
      <c r="Q306" s="343"/>
      <c r="R306" s="346"/>
      <c r="S306" s="150" t="s">
        <v>25</v>
      </c>
      <c r="T306" s="150" t="s">
        <v>1434</v>
      </c>
      <c r="U306" s="403"/>
      <c r="V306" s="406">
        <v>0</v>
      </c>
      <c r="W306" s="406">
        <v>0</v>
      </c>
      <c r="X306" s="430"/>
      <c r="Y306" s="137"/>
      <c r="Z306" s="784"/>
      <c r="AA306" s="780"/>
      <c r="AB306" s="780">
        <v>7840</v>
      </c>
      <c r="AC306" s="428">
        <v>4772</v>
      </c>
      <c r="AD306" s="429">
        <v>4772</v>
      </c>
      <c r="AE306" s="429">
        <v>5965.9999999999991</v>
      </c>
      <c r="AF306" s="429">
        <v>4772.1700000000019</v>
      </c>
      <c r="AG306" s="360">
        <v>-14061</v>
      </c>
      <c r="AH306" s="360">
        <v>-14061</v>
      </c>
      <c r="AI306" s="360">
        <v>0</v>
      </c>
      <c r="AJ306" s="360">
        <v>0</v>
      </c>
      <c r="AK306" s="360">
        <v>0</v>
      </c>
      <c r="AL306" s="360">
        <f t="shared" si="20"/>
        <v>0.17000000000189175</v>
      </c>
      <c r="AM306" s="362">
        <f>ERP_8[[#This Row],[2026 Working Total]]-ERP_8[[#This Row],[LE2 Final Submission]]</f>
        <v>0.17000000000189175</v>
      </c>
      <c r="AN306" s="79">
        <v>0</v>
      </c>
      <c r="AO306" s="79">
        <f t="shared" si="19"/>
        <v>5965.9999999999991</v>
      </c>
      <c r="AP306" s="374">
        <f>SUM(ERP_8[[#This Row],[AP01]:[AP07]])-SUM(ERP_8[[#This Row],[AP01 LE2]:[AP07 LE2]])</f>
        <v>28122.170000000002</v>
      </c>
      <c r="AQ306" s="80"/>
      <c r="AR306" s="79">
        <f>ERP_8[[#This Row],[2026 Working Total to Budget/LE]]-ERP_8[[#This Row],[Giveback]]</f>
        <v>0.17000000000189175</v>
      </c>
      <c r="AS306" s="81"/>
      <c r="AT306" s="375"/>
      <c r="AU306" s="375"/>
      <c r="AV306" s="375">
        <v>7840</v>
      </c>
      <c r="AW306" s="375">
        <v>-2500</v>
      </c>
      <c r="AX306" s="375">
        <v>-2500</v>
      </c>
      <c r="AY306" s="375">
        <v>-2840</v>
      </c>
      <c r="AZ306" s="375">
        <v>0</v>
      </c>
      <c r="BA306" s="375">
        <v>0</v>
      </c>
      <c r="BB306" s="375">
        <v>0</v>
      </c>
      <c r="BC306" s="375">
        <v>0</v>
      </c>
      <c r="BD306" s="375">
        <v>0</v>
      </c>
      <c r="BE306" s="375">
        <v>0</v>
      </c>
      <c r="BF306" s="375">
        <v>0</v>
      </c>
      <c r="BG306" s="79"/>
      <c r="BH306" s="79"/>
      <c r="BI306" s="79">
        <v>7840</v>
      </c>
      <c r="BJ306" s="79">
        <v>0</v>
      </c>
      <c r="BK306" s="79">
        <v>0</v>
      </c>
      <c r="BL306" s="79">
        <v>0</v>
      </c>
      <c r="BM306" s="79">
        <v>0</v>
      </c>
      <c r="BN306" s="79">
        <v>0</v>
      </c>
      <c r="BO306" s="79">
        <v>0</v>
      </c>
      <c r="BP306" s="79">
        <v>0</v>
      </c>
      <c r="BQ306" s="79">
        <v>0</v>
      </c>
      <c r="BR306" s="79">
        <v>0</v>
      </c>
      <c r="BS306" s="79">
        <v>7840</v>
      </c>
    </row>
    <row r="307" spans="1:71" ht="15" hidden="1" customHeight="1">
      <c r="A307" s="66" t="s">
        <v>2011</v>
      </c>
      <c r="B307" s="737" t="s">
        <v>524</v>
      </c>
      <c r="C307" s="346"/>
      <c r="D307" s="343" t="str">
        <f>_xlfn.TEXTJOIN("_",FALSE,E307,ERP_8[[#This Row],[Expense Category]],ERP_8[[#This Row],[Project Code*]])</f>
        <v>Hase, Raj_MANAGED SERVICES_EP&amp;SCharges001</v>
      </c>
      <c r="E307" s="343" t="s">
        <v>1345</v>
      </c>
      <c r="F307" s="346"/>
      <c r="G307" s="150" t="s">
        <v>1136</v>
      </c>
      <c r="H307" s="150" t="s">
        <v>1345</v>
      </c>
      <c r="I307" s="150" t="s">
        <v>1345</v>
      </c>
      <c r="J307" s="150" t="s">
        <v>1346</v>
      </c>
      <c r="K307" s="511" t="s">
        <v>389</v>
      </c>
      <c r="L307" s="392" t="s">
        <v>1174</v>
      </c>
      <c r="M307" s="343"/>
      <c r="N307" s="800" t="s">
        <v>1441</v>
      </c>
      <c r="O307" s="70" t="s">
        <v>56</v>
      </c>
      <c r="P307" s="346"/>
      <c r="Q307" s="346" t="s">
        <v>1140</v>
      </c>
      <c r="R307" s="346"/>
      <c r="S307" s="150" t="s">
        <v>57</v>
      </c>
      <c r="T307" s="150"/>
      <c r="U307" s="403"/>
      <c r="V307" s="406">
        <v>10233</v>
      </c>
      <c r="W307" s="406">
        <v>10178.029999999999</v>
      </c>
      <c r="X307" s="425"/>
      <c r="Y307" s="71"/>
      <c r="Z307" s="784">
        <v>961.55</v>
      </c>
      <c r="AA307" s="780">
        <v>816.59</v>
      </c>
      <c r="AB307" s="780">
        <v>725.14</v>
      </c>
      <c r="AC307" s="428">
        <v>139.44999999999999</v>
      </c>
      <c r="AD307" s="429">
        <v>1450.2800000000002</v>
      </c>
      <c r="AE307" s="429">
        <v>0</v>
      </c>
      <c r="AF307" s="429">
        <v>0</v>
      </c>
      <c r="AG307" s="363">
        <v>852.75</v>
      </c>
      <c r="AH307" s="363">
        <v>852.75</v>
      </c>
      <c r="AI307" s="363">
        <v>852.75</v>
      </c>
      <c r="AJ307" s="363">
        <v>852.75</v>
      </c>
      <c r="AK307" s="363">
        <v>852.75</v>
      </c>
      <c r="AL307" s="360">
        <f t="shared" si="20"/>
        <v>8356.76</v>
      </c>
      <c r="AM307" s="362">
        <f>ERP_8[[#This Row],[2026 Working Total]]-ERP_8[[#This Row],[LE2 Final Submission]]</f>
        <v>-1821.2699999999986</v>
      </c>
      <c r="AN307" s="79">
        <v>0</v>
      </c>
      <c r="AO307" s="79">
        <f t="shared" si="19"/>
        <v>0</v>
      </c>
      <c r="AP307" s="374">
        <f>SUM(ERP_8[[#This Row],[AP01]:[AP07]])-SUM(ERP_8[[#This Row],[AP01 LE2]:[AP07 LE2]])</f>
        <v>-1821.27</v>
      </c>
      <c r="AQ307" s="80"/>
      <c r="AR307" s="79">
        <f>ERP_8[[#This Row],[2026 Working Total to Budget/LE]]-ERP_8[[#This Row],[Giveback]]</f>
        <v>-1821.2699999999986</v>
      </c>
      <c r="AS307" s="81"/>
      <c r="AT307" s="375">
        <v>961.55</v>
      </c>
      <c r="AU307" s="375">
        <v>816.59</v>
      </c>
      <c r="AV307" s="375">
        <v>725.14</v>
      </c>
      <c r="AW307" s="375">
        <v>852.75</v>
      </c>
      <c r="AX307" s="375">
        <v>852.75</v>
      </c>
      <c r="AY307" s="375">
        <v>852.75</v>
      </c>
      <c r="AZ307" s="375">
        <v>852.75</v>
      </c>
      <c r="BA307" s="375">
        <v>852.75</v>
      </c>
      <c r="BB307" s="375">
        <v>852.75</v>
      </c>
      <c r="BC307" s="375">
        <v>852.75</v>
      </c>
      <c r="BD307" s="375">
        <v>852.75</v>
      </c>
      <c r="BE307" s="375">
        <v>852.75</v>
      </c>
      <c r="BF307" s="375">
        <v>10178.029999999999</v>
      </c>
      <c r="BG307" s="79">
        <v>961.55</v>
      </c>
      <c r="BH307" s="79">
        <v>816.59</v>
      </c>
      <c r="BI307" s="79">
        <v>725.14</v>
      </c>
      <c r="BJ307" s="79">
        <v>852.75</v>
      </c>
      <c r="BK307" s="79">
        <v>852.75</v>
      </c>
      <c r="BL307" s="79">
        <v>852.75</v>
      </c>
      <c r="BM307" s="79">
        <v>852.75</v>
      </c>
      <c r="BN307" s="79">
        <v>852.75</v>
      </c>
      <c r="BO307" s="79">
        <v>852.75</v>
      </c>
      <c r="BP307" s="79">
        <v>852.75</v>
      </c>
      <c r="BQ307" s="79">
        <v>852.75</v>
      </c>
      <c r="BR307" s="79">
        <v>852.75</v>
      </c>
      <c r="BS307" s="79">
        <v>10178.029999999999</v>
      </c>
    </row>
    <row r="308" spans="1:71" ht="15" hidden="1" customHeight="1">
      <c r="A308" s="66" t="s">
        <v>2012</v>
      </c>
      <c r="B308" s="737" t="s">
        <v>2013</v>
      </c>
      <c r="C308" s="346"/>
      <c r="D308" s="343" t="str">
        <f>_xlfn.TEXTJOIN("_",FALSE,E308,ERP_8[[#This Row],[Expense Category]],ERP_8[[#This Row],[Project Code*]])</f>
        <v>Hase, Raj_MANAGED SERVICES_EP&amp;SCharges001</v>
      </c>
      <c r="E308" s="343" t="s">
        <v>1345</v>
      </c>
      <c r="F308" s="346"/>
      <c r="G308" s="150" t="s">
        <v>1136</v>
      </c>
      <c r="H308" s="150" t="s">
        <v>1345</v>
      </c>
      <c r="I308" s="150" t="s">
        <v>1437</v>
      </c>
      <c r="J308" s="150" t="s">
        <v>1346</v>
      </c>
      <c r="K308" s="511" t="s">
        <v>389</v>
      </c>
      <c r="L308" s="392" t="s">
        <v>1174</v>
      </c>
      <c r="M308" s="343"/>
      <c r="N308" s="801">
        <v>2329612</v>
      </c>
      <c r="O308" s="70" t="s">
        <v>56</v>
      </c>
      <c r="P308" s="346"/>
      <c r="Q308" s="346" t="s">
        <v>1140</v>
      </c>
      <c r="R308" s="346"/>
      <c r="S308" s="150" t="s">
        <v>57</v>
      </c>
      <c r="T308" s="150"/>
      <c r="U308" s="403"/>
      <c r="V308" s="406">
        <v>68292</v>
      </c>
      <c r="W308" s="406">
        <v>61982.03</v>
      </c>
      <c r="X308" s="425"/>
      <c r="Y308" s="71"/>
      <c r="Z308" s="784">
        <v>3349.03</v>
      </c>
      <c r="AA308" s="780">
        <v>3352.38</v>
      </c>
      <c r="AB308" s="780">
        <v>4061.62</v>
      </c>
      <c r="AC308" s="428">
        <v>3971.33</v>
      </c>
      <c r="AD308" s="429">
        <v>5537.35</v>
      </c>
      <c r="AE308" s="429">
        <v>4773.54</v>
      </c>
      <c r="AF308" s="429">
        <v>4820.88</v>
      </c>
      <c r="AG308" s="363">
        <v>5691</v>
      </c>
      <c r="AH308" s="363">
        <v>5691</v>
      </c>
      <c r="AI308" s="363">
        <v>5691</v>
      </c>
      <c r="AJ308" s="363">
        <v>5691</v>
      </c>
      <c r="AK308" s="363">
        <v>5691</v>
      </c>
      <c r="AL308" s="360">
        <f t="shared" si="20"/>
        <v>58321.130000000005</v>
      </c>
      <c r="AM308" s="362">
        <f>ERP_8[[#This Row],[2026 Working Total]]-ERP_8[[#This Row],[LE2 Final Submission]]</f>
        <v>-3660.8999999999942</v>
      </c>
      <c r="AN308" s="79">
        <v>0</v>
      </c>
      <c r="AO308" s="79">
        <f t="shared" si="19"/>
        <v>4773.54</v>
      </c>
      <c r="AP308" s="374">
        <f>SUM(ERP_8[[#This Row],[AP01]:[AP07]])-SUM(ERP_8[[#This Row],[AP01 LE2]:[AP07 LE2]])</f>
        <v>-3660.8999999999978</v>
      </c>
      <c r="AQ308" s="80"/>
      <c r="AR308" s="79">
        <f>ERP_8[[#This Row],[2026 Working Total to Budget/LE]]-ERP_8[[#This Row],[Giveback]]</f>
        <v>-3660.8999999999942</v>
      </c>
      <c r="AS308" s="81"/>
      <c r="AT308" s="375">
        <v>3349.03</v>
      </c>
      <c r="AU308" s="375">
        <v>3352.38</v>
      </c>
      <c r="AV308" s="375">
        <v>4061.62</v>
      </c>
      <c r="AW308" s="375">
        <v>5691</v>
      </c>
      <c r="AX308" s="375">
        <v>5691</v>
      </c>
      <c r="AY308" s="375">
        <v>5691</v>
      </c>
      <c r="AZ308" s="375">
        <v>5691</v>
      </c>
      <c r="BA308" s="375">
        <v>5691</v>
      </c>
      <c r="BB308" s="375">
        <v>5691</v>
      </c>
      <c r="BC308" s="375">
        <v>5691</v>
      </c>
      <c r="BD308" s="375">
        <v>5691</v>
      </c>
      <c r="BE308" s="375">
        <v>5691</v>
      </c>
      <c r="BF308" s="375">
        <v>61982.03</v>
      </c>
      <c r="BG308" s="79">
        <v>3349.03</v>
      </c>
      <c r="BH308" s="79">
        <v>3352.38</v>
      </c>
      <c r="BI308" s="79">
        <v>4061.62</v>
      </c>
      <c r="BJ308" s="79">
        <v>5691</v>
      </c>
      <c r="BK308" s="79">
        <v>5691</v>
      </c>
      <c r="BL308" s="79">
        <v>5691</v>
      </c>
      <c r="BM308" s="79">
        <v>5691</v>
      </c>
      <c r="BN308" s="79">
        <v>5691</v>
      </c>
      <c r="BO308" s="79">
        <v>5691</v>
      </c>
      <c r="BP308" s="79">
        <v>5691</v>
      </c>
      <c r="BQ308" s="79">
        <v>5691</v>
      </c>
      <c r="BR308" s="79">
        <v>5691</v>
      </c>
      <c r="BS308" s="79">
        <v>61982.03</v>
      </c>
    </row>
    <row r="309" spans="1:71" ht="15" hidden="1" customHeight="1">
      <c r="A309" s="129" t="s">
        <v>2014</v>
      </c>
      <c r="B309" s="737" t="s">
        <v>525</v>
      </c>
      <c r="C309" s="346"/>
      <c r="D309" s="343" t="str">
        <f>_xlfn.TEXTJOIN("_",FALSE,E309,ERP_8[[#This Row],[Expense Category]],ERP_8[[#This Row],[Project Code*]])</f>
        <v>Hase, Raj_MANAGED SERVICES_IT-FBT0157-OG-US-00</v>
      </c>
      <c r="E309" s="343" t="s">
        <v>1345</v>
      </c>
      <c r="F309" s="346"/>
      <c r="G309" s="150" t="s">
        <v>1136</v>
      </c>
      <c r="H309" s="150" t="s">
        <v>1345</v>
      </c>
      <c r="I309" s="150" t="s">
        <v>1345</v>
      </c>
      <c r="J309" s="331" t="s">
        <v>1345</v>
      </c>
      <c r="K309" s="511" t="s">
        <v>389</v>
      </c>
      <c r="L309" s="392" t="s">
        <v>1863</v>
      </c>
      <c r="M309" s="343"/>
      <c r="N309" s="803"/>
      <c r="O309" s="70" t="s">
        <v>526</v>
      </c>
      <c r="P309" s="343"/>
      <c r="Q309" s="343"/>
      <c r="R309" s="346"/>
      <c r="S309" s="150" t="s">
        <v>57</v>
      </c>
      <c r="T309" s="777" t="s">
        <v>2015</v>
      </c>
      <c r="U309" s="405"/>
      <c r="V309" s="359"/>
      <c r="W309" s="380">
        <v>63000</v>
      </c>
      <c r="X309" s="425"/>
      <c r="Y309" s="71"/>
      <c r="Z309" s="784"/>
      <c r="AA309" s="780"/>
      <c r="AB309" s="780"/>
      <c r="AC309" s="428" t="s">
        <v>1142</v>
      </c>
      <c r="AD309" s="429">
        <v>0</v>
      </c>
      <c r="AE309" s="429">
        <v>0</v>
      </c>
      <c r="AF309" s="429" t="s">
        <v>1142</v>
      </c>
      <c r="AG309" s="364">
        <f>(63000)/9</f>
        <v>7000</v>
      </c>
      <c r="AH309" s="364">
        <f>(63000)/9</f>
        <v>7000</v>
      </c>
      <c r="AI309" s="364">
        <f>(63000)/9</f>
        <v>7000</v>
      </c>
      <c r="AJ309" s="364">
        <f>(63000)/9</f>
        <v>7000</v>
      </c>
      <c r="AK309" s="364">
        <f>(63000)/9</f>
        <v>7000</v>
      </c>
      <c r="AL309" s="360">
        <f t="shared" si="20"/>
        <v>35000</v>
      </c>
      <c r="AM309" s="362">
        <f>ERP_8[[#This Row],[2026 Working Total]]-ERP_8[[#This Row],[LE2 Final Submission]]</f>
        <v>-28000</v>
      </c>
      <c r="AN309" s="79">
        <v>0</v>
      </c>
      <c r="AO309" s="79">
        <f t="shared" si="19"/>
        <v>0</v>
      </c>
      <c r="AP309" s="374">
        <f>SUM(ERP_8[[#This Row],[AP01]:[AP07]])-SUM(ERP_8[[#This Row],[AP01 LE2]:[AP07 LE2]])</f>
        <v>-28000</v>
      </c>
      <c r="AQ309" s="80"/>
      <c r="AR309" s="79"/>
      <c r="AS309" s="81"/>
      <c r="AT309" s="375"/>
      <c r="AU309" s="375"/>
      <c r="AV309" s="375"/>
      <c r="AW309" s="375">
        <v>7000</v>
      </c>
      <c r="AX309" s="375">
        <v>7000</v>
      </c>
      <c r="AY309" s="375">
        <v>7000</v>
      </c>
      <c r="AZ309" s="375">
        <v>7000</v>
      </c>
      <c r="BA309" s="375">
        <v>7000</v>
      </c>
      <c r="BB309" s="375">
        <v>7000</v>
      </c>
      <c r="BC309" s="375">
        <v>7000</v>
      </c>
      <c r="BD309" s="375">
        <v>7000</v>
      </c>
      <c r="BE309" s="375">
        <v>7000</v>
      </c>
      <c r="BF309" s="375">
        <v>63000</v>
      </c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</row>
    <row r="310" spans="1:71" ht="15" hidden="1" customHeight="1">
      <c r="A310" s="66" t="s">
        <v>2016</v>
      </c>
      <c r="B310" s="737" t="s">
        <v>527</v>
      </c>
      <c r="C310" s="346"/>
      <c r="D310" s="343" t="str">
        <f>_xlfn.TEXTJOIN("_",FALSE,E310,ERP_8[[#This Row],[Expense Category]],ERP_8[[#This Row],[Project Code*]])</f>
        <v>Hase, Raj_MANAGED SERVICES_IT-FBT0450-OG-US-00</v>
      </c>
      <c r="E310" s="343" t="s">
        <v>1345</v>
      </c>
      <c r="F310" s="346"/>
      <c r="G310" s="150" t="s">
        <v>1136</v>
      </c>
      <c r="H310" s="150" t="s">
        <v>1345</v>
      </c>
      <c r="I310" s="150" t="s">
        <v>1345</v>
      </c>
      <c r="J310" s="150" t="s">
        <v>1346</v>
      </c>
      <c r="K310" s="511" t="s">
        <v>389</v>
      </c>
      <c r="L310" s="392" t="s">
        <v>1492</v>
      </c>
      <c r="M310" s="343"/>
      <c r="N310" s="800" t="s">
        <v>1441</v>
      </c>
      <c r="O310" s="70" t="s">
        <v>201</v>
      </c>
      <c r="P310" s="346"/>
      <c r="Q310" s="836" t="s">
        <v>1442</v>
      </c>
      <c r="R310" s="346"/>
      <c r="S310" s="150" t="s">
        <v>232</v>
      </c>
      <c r="T310" s="503" t="s">
        <v>1443</v>
      </c>
      <c r="U310" s="403"/>
      <c r="V310" s="406">
        <v>0</v>
      </c>
      <c r="W310" s="406">
        <v>200000</v>
      </c>
      <c r="X310" s="430"/>
      <c r="Y310" s="137"/>
      <c r="Z310" s="784"/>
      <c r="AA310" s="780"/>
      <c r="AB310" s="838">
        <v>50000</v>
      </c>
      <c r="AC310" s="428">
        <v>0</v>
      </c>
      <c r="AD310" s="837">
        <v>0</v>
      </c>
      <c r="AE310" s="429">
        <v>0</v>
      </c>
      <c r="AF310" s="837">
        <v>50000</v>
      </c>
      <c r="AG310" s="363">
        <v>50000</v>
      </c>
      <c r="AH310" s="360">
        <v>0</v>
      </c>
      <c r="AI310" s="831">
        <v>50000</v>
      </c>
      <c r="AJ310" s="360">
        <v>0</v>
      </c>
      <c r="AK310" s="360">
        <v>0</v>
      </c>
      <c r="AL310" s="360">
        <f t="shared" si="20"/>
        <v>200000</v>
      </c>
      <c r="AM310" s="362">
        <f>ERP_8[[#This Row],[2026 Working Total]]-ERP_8[[#This Row],[LE2 Final Submission]]</f>
        <v>0</v>
      </c>
      <c r="AN310" s="79">
        <v>0</v>
      </c>
      <c r="AO310" s="79">
        <f t="shared" si="19"/>
        <v>0</v>
      </c>
      <c r="AP310" s="374">
        <f>SUM(ERP_8[[#This Row],[AP01]:[AP07]])-SUM(ERP_8[[#This Row],[AP01 LE2]:[AP07 LE2]])</f>
        <v>0</v>
      </c>
      <c r="AQ310" s="80"/>
      <c r="AR310" s="79">
        <f>ERP_8[[#This Row],[2026 Working Total to Budget/LE]]-ERP_8[[#This Row],[Giveback]]</f>
        <v>0</v>
      </c>
      <c r="AS310" s="81"/>
      <c r="AT310" s="375"/>
      <c r="AU310" s="375"/>
      <c r="AV310" s="375">
        <v>50000</v>
      </c>
      <c r="AW310" s="375">
        <v>0</v>
      </c>
      <c r="AX310" s="375">
        <v>50000</v>
      </c>
      <c r="AY310" s="375">
        <v>0</v>
      </c>
      <c r="AZ310" s="375">
        <v>0</v>
      </c>
      <c r="BA310" s="375">
        <v>50000</v>
      </c>
      <c r="BB310" s="375">
        <v>0</v>
      </c>
      <c r="BC310" s="375">
        <v>50000</v>
      </c>
      <c r="BD310" s="375">
        <v>0</v>
      </c>
      <c r="BE310" s="375">
        <v>0</v>
      </c>
      <c r="BF310" s="375">
        <v>200000</v>
      </c>
      <c r="BG310" s="79"/>
      <c r="BH310" s="79"/>
      <c r="BI310" s="79">
        <v>50000</v>
      </c>
      <c r="BJ310" s="79">
        <v>0</v>
      </c>
      <c r="BK310" s="79">
        <v>0</v>
      </c>
      <c r="BL310" s="79">
        <v>0</v>
      </c>
      <c r="BM310" s="79">
        <v>0</v>
      </c>
      <c r="BN310" s="79">
        <v>0</v>
      </c>
      <c r="BO310" s="79">
        <v>0</v>
      </c>
      <c r="BP310" s="79">
        <v>0</v>
      </c>
      <c r="BQ310" s="79">
        <v>0</v>
      </c>
      <c r="BR310" s="79">
        <v>0</v>
      </c>
      <c r="BS310" s="79">
        <v>50000</v>
      </c>
    </row>
    <row r="311" spans="1:71" ht="15" hidden="1" customHeight="1">
      <c r="A311" s="66" t="s">
        <v>2017</v>
      </c>
      <c r="B311" s="737" t="s">
        <v>2018</v>
      </c>
      <c r="C311" s="346"/>
      <c r="D311" s="343" t="str">
        <f>_xlfn.TEXTJOIN("_",FALSE,E311,ERP_8[[#This Row],[Expense Category]],ERP_8[[#This Row],[Project Code*]])</f>
        <v>Hase, Raj_MANAGED SERVICES_IT-FBT0769-OT-US-00</v>
      </c>
      <c r="E311" s="343" t="s">
        <v>1345</v>
      </c>
      <c r="F311" s="346"/>
      <c r="G311" s="150" t="s">
        <v>1136</v>
      </c>
      <c r="H311" s="150" t="s">
        <v>1345</v>
      </c>
      <c r="I311" s="150" t="s">
        <v>1437</v>
      </c>
      <c r="J311" s="150" t="s">
        <v>1346</v>
      </c>
      <c r="K311" s="511" t="s">
        <v>389</v>
      </c>
      <c r="L311" s="392" t="s">
        <v>1878</v>
      </c>
      <c r="M311" s="343"/>
      <c r="N311" s="804">
        <v>2329612</v>
      </c>
      <c r="O311" s="70" t="s">
        <v>459</v>
      </c>
      <c r="P311" s="346"/>
      <c r="Q311" s="343"/>
      <c r="R311" s="346"/>
      <c r="S311" s="150" t="s">
        <v>57</v>
      </c>
      <c r="T311" s="150"/>
      <c r="U311" s="880"/>
      <c r="V311" s="883">
        <v>6600</v>
      </c>
      <c r="W311" s="883">
        <v>497.06000000000006</v>
      </c>
      <c r="X311" s="425"/>
      <c r="Y311" s="425"/>
      <c r="Z311" s="794">
        <v>521.38</v>
      </c>
      <c r="AA311" s="780">
        <v>527.30999999999995</v>
      </c>
      <c r="AB311" s="780">
        <v>-551.63</v>
      </c>
      <c r="AC311" s="428">
        <v>523.94000000000005</v>
      </c>
      <c r="AD311" s="429">
        <v>21.2</v>
      </c>
      <c r="AE311" s="429">
        <v>0</v>
      </c>
      <c r="AF311" s="429">
        <v>0</v>
      </c>
      <c r="AG311" s="360">
        <v>0</v>
      </c>
      <c r="AH311" s="360">
        <v>0</v>
      </c>
      <c r="AI311" s="360">
        <v>0</v>
      </c>
      <c r="AJ311" s="360">
        <v>0</v>
      </c>
      <c r="AK311" s="360">
        <v>0</v>
      </c>
      <c r="AL311" s="360">
        <f t="shared" si="20"/>
        <v>1042.2</v>
      </c>
      <c r="AM311" s="362">
        <f>ERP_8[[#This Row],[2026 Working Total]]-ERP_8[[#This Row],[LE2 Final Submission]]</f>
        <v>545.14</v>
      </c>
      <c r="AN311" s="79">
        <v>0</v>
      </c>
      <c r="AO311" s="79">
        <f t="shared" si="19"/>
        <v>0</v>
      </c>
      <c r="AP311" s="374">
        <f>SUM(ERP_8[[#This Row],[AP01]:[AP07]])-SUM(ERP_8[[#This Row],[AP01 LE2]:[AP07 LE2]])</f>
        <v>545.14</v>
      </c>
      <c r="AQ311" s="80"/>
      <c r="AR311" s="79">
        <f>ERP_8[[#This Row],[2026 Working Total to Budget/LE]]-ERP_8[[#This Row],[Giveback]]</f>
        <v>545.14</v>
      </c>
      <c r="AS311" s="81"/>
      <c r="AT311" s="375">
        <v>521.38</v>
      </c>
      <c r="AU311" s="375">
        <v>527.30999999999995</v>
      </c>
      <c r="AV311" s="375">
        <v>-551.63</v>
      </c>
      <c r="AW311" s="375">
        <v>0</v>
      </c>
      <c r="AX311" s="375">
        <v>0</v>
      </c>
      <c r="AY311" s="375">
        <v>0</v>
      </c>
      <c r="AZ311" s="375">
        <v>0</v>
      </c>
      <c r="BA311" s="375">
        <v>0</v>
      </c>
      <c r="BB311" s="375">
        <v>0</v>
      </c>
      <c r="BC311" s="375">
        <v>0</v>
      </c>
      <c r="BD311" s="375">
        <v>0</v>
      </c>
      <c r="BE311" s="375">
        <v>0</v>
      </c>
      <c r="BF311" s="375">
        <v>497.06000000000006</v>
      </c>
      <c r="BG311" s="79">
        <v>521.38</v>
      </c>
      <c r="BH311" s="79">
        <v>527.30999999999995</v>
      </c>
      <c r="BI311" s="79">
        <v>-551.63</v>
      </c>
      <c r="BJ311" s="79">
        <v>0</v>
      </c>
      <c r="BK311" s="79">
        <v>0</v>
      </c>
      <c r="BL311" s="79">
        <v>0</v>
      </c>
      <c r="BM311" s="79">
        <v>0</v>
      </c>
      <c r="BN311" s="79">
        <v>0</v>
      </c>
      <c r="BO311" s="79">
        <v>0</v>
      </c>
      <c r="BP311" s="79">
        <v>0</v>
      </c>
      <c r="BQ311" s="79">
        <v>0</v>
      </c>
      <c r="BR311" s="79">
        <v>0</v>
      </c>
      <c r="BS311" s="79">
        <v>497.06000000000006</v>
      </c>
    </row>
    <row r="312" spans="1:71" ht="15" hidden="1" customHeight="1">
      <c r="A312" s="79" t="s">
        <v>2019</v>
      </c>
      <c r="B312" s="737" t="s">
        <v>529</v>
      </c>
      <c r="C312" s="346"/>
      <c r="D312" s="343" t="str">
        <f>_xlfn.TEXTJOIN("_",FALSE,E312,ERP_8[[#This Row],[Expense Category]],ERP_8[[#This Row],[Project Code*]])</f>
        <v>Hase, Raj_MANAGED SERVICES_IT-FBT0824-OT-US-00</v>
      </c>
      <c r="E312" s="343" t="s">
        <v>1345</v>
      </c>
      <c r="F312" s="346"/>
      <c r="G312" s="150" t="s">
        <v>1136</v>
      </c>
      <c r="H312" s="150" t="s">
        <v>1345</v>
      </c>
      <c r="I312" s="150" t="s">
        <v>1345</v>
      </c>
      <c r="J312" s="150" t="s">
        <v>1345</v>
      </c>
      <c r="K312" s="511" t="s">
        <v>389</v>
      </c>
      <c r="L312" s="392" t="s">
        <v>2020</v>
      </c>
      <c r="M312" s="343"/>
      <c r="N312" s="803"/>
      <c r="O312" s="70" t="s">
        <v>530</v>
      </c>
      <c r="P312" s="343"/>
      <c r="Q312" s="343"/>
      <c r="R312" s="346"/>
      <c r="S312" s="150" t="s">
        <v>531</v>
      </c>
      <c r="T312" s="346" t="s">
        <v>2021</v>
      </c>
      <c r="U312" s="405"/>
      <c r="V312" s="359"/>
      <c r="W312" s="380">
        <v>26000</v>
      </c>
      <c r="X312" s="425"/>
      <c r="Y312" s="71"/>
      <c r="Z312" s="784"/>
      <c r="AA312" s="784"/>
      <c r="AB312" s="784"/>
      <c r="AC312" s="714" t="s">
        <v>1142</v>
      </c>
      <c r="AD312" s="714">
        <v>0</v>
      </c>
      <c r="AE312" s="429">
        <v>0</v>
      </c>
      <c r="AF312" s="429" t="s">
        <v>1142</v>
      </c>
      <c r="AG312" s="364"/>
      <c r="AH312" s="364">
        <v>13000</v>
      </c>
      <c r="AI312" s="364"/>
      <c r="AJ312" s="364">
        <v>13000</v>
      </c>
      <c r="AK312" s="364"/>
      <c r="AL312" s="367">
        <f t="shared" si="20"/>
        <v>26000</v>
      </c>
      <c r="AM312" s="362">
        <f>ERP_8[[#This Row],[2026 Working Total]]-ERP_8[[#This Row],[LE2 Final Submission]]</f>
        <v>0</v>
      </c>
      <c r="AN312" s="79"/>
      <c r="AO312" s="79">
        <f t="shared" si="19"/>
        <v>0</v>
      </c>
      <c r="AP312" s="374">
        <f>SUM(ERP_8[[#This Row],[AP01]:[AP07]])-SUM(ERP_8[[#This Row],[AP01 LE2]:[AP07 LE2]])</f>
        <v>-13000</v>
      </c>
      <c r="AQ312" s="80"/>
      <c r="AR312" s="79"/>
      <c r="AS312" s="81"/>
      <c r="AT312" s="375"/>
      <c r="AU312" s="375"/>
      <c r="AV312" s="375"/>
      <c r="AW312" s="375"/>
      <c r="AX312" s="375">
        <v>13000</v>
      </c>
      <c r="AY312" s="375"/>
      <c r="AZ312" s="375"/>
      <c r="BA312" s="375"/>
      <c r="BB312" s="375"/>
      <c r="BC312" s="375">
        <v>13000</v>
      </c>
      <c r="BD312" s="375"/>
      <c r="BE312" s="375"/>
      <c r="BF312" s="375">
        <v>26000</v>
      </c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</row>
    <row r="313" spans="1:71" ht="15" hidden="1" customHeight="1">
      <c r="A313" s="66" t="s">
        <v>2022</v>
      </c>
      <c r="B313" s="737" t="s">
        <v>2023</v>
      </c>
      <c r="C313" s="346"/>
      <c r="D313" s="343" t="str">
        <f>_xlfn.TEXTJOIN("_",FALSE,E313,ERP_8[[#This Row],[Expense Category]],ERP_8[[#This Row],[Project Code*]])</f>
        <v>Hase, Raj_MANAGED SERVICES_IT-FGS0299-OG-US-00</v>
      </c>
      <c r="E313" s="343" t="s">
        <v>1345</v>
      </c>
      <c r="F313" s="346"/>
      <c r="G313" s="150" t="s">
        <v>1136</v>
      </c>
      <c r="H313" s="150" t="s">
        <v>1345</v>
      </c>
      <c r="I313" s="150" t="s">
        <v>1437</v>
      </c>
      <c r="J313" s="150" t="s">
        <v>1346</v>
      </c>
      <c r="K313" s="511" t="s">
        <v>389</v>
      </c>
      <c r="L313" s="392" t="s">
        <v>1703</v>
      </c>
      <c r="M313" s="343"/>
      <c r="N313" s="804">
        <v>2329612</v>
      </c>
      <c r="O313" s="70" t="s">
        <v>365</v>
      </c>
      <c r="P313" s="346"/>
      <c r="Q313" s="346" t="s">
        <v>1140</v>
      </c>
      <c r="R313" s="346"/>
      <c r="S313" s="150" t="s">
        <v>57</v>
      </c>
      <c r="T313" s="150"/>
      <c r="U313" s="403"/>
      <c r="V313" s="406">
        <v>29055.720000000005</v>
      </c>
      <c r="W313" s="406">
        <v>28350.190000000002</v>
      </c>
      <c r="X313" s="425"/>
      <c r="Y313" s="71"/>
      <c r="Z313" s="784">
        <v>2204.83</v>
      </c>
      <c r="AA313" s="780">
        <v>2275.48</v>
      </c>
      <c r="AB313" s="780">
        <v>2078.09</v>
      </c>
      <c r="AC313" s="428">
        <v>6776.0599999999995</v>
      </c>
      <c r="AD313" s="429">
        <v>5361.06</v>
      </c>
      <c r="AE313" s="429">
        <v>754.37999999999988</v>
      </c>
      <c r="AF313" s="429">
        <v>753.49</v>
      </c>
      <c r="AG313" s="363">
        <v>2421.31</v>
      </c>
      <c r="AH313" s="363">
        <v>2421.31</v>
      </c>
      <c r="AI313" s="363">
        <v>2421.31</v>
      </c>
      <c r="AJ313" s="363">
        <v>2421.31</v>
      </c>
      <c r="AK313" s="363">
        <v>2421.31</v>
      </c>
      <c r="AL313" s="360">
        <f t="shared" si="20"/>
        <v>32309.94000000001</v>
      </c>
      <c r="AM313" s="362">
        <f>ERP_8[[#This Row],[2026 Working Total]]-ERP_8[[#This Row],[LE2 Final Submission]]</f>
        <v>3959.7500000000073</v>
      </c>
      <c r="AN313" s="79">
        <v>2421.31</v>
      </c>
      <c r="AO313" s="79">
        <f t="shared" si="19"/>
        <v>-1666.93</v>
      </c>
      <c r="AP313" s="374">
        <f>SUM(ERP_8[[#This Row],[AP01]:[AP07]])-SUM(ERP_8[[#This Row],[AP01 LE2]:[AP07 LE2]])</f>
        <v>3959.7500000000055</v>
      </c>
      <c r="AQ313" s="80"/>
      <c r="AR313" s="79">
        <f>ERP_8[[#This Row],[2026 Working Total to Budget/LE]]-ERP_8[[#This Row],[Giveback]]</f>
        <v>3959.7500000000073</v>
      </c>
      <c r="AS313" s="81"/>
      <c r="AT313" s="375">
        <v>2204.83</v>
      </c>
      <c r="AU313" s="375">
        <v>2275.48</v>
      </c>
      <c r="AV313" s="375">
        <v>2078.09</v>
      </c>
      <c r="AW313" s="375">
        <v>2421.31</v>
      </c>
      <c r="AX313" s="375">
        <v>2421.31</v>
      </c>
      <c r="AY313" s="375">
        <v>2421.31</v>
      </c>
      <c r="AZ313" s="375">
        <v>2421.31</v>
      </c>
      <c r="BA313" s="375">
        <v>2421.31</v>
      </c>
      <c r="BB313" s="375">
        <v>2421.31</v>
      </c>
      <c r="BC313" s="375">
        <v>2421.31</v>
      </c>
      <c r="BD313" s="375">
        <v>2421.31</v>
      </c>
      <c r="BE313" s="375">
        <v>2421.31</v>
      </c>
      <c r="BF313" s="375">
        <v>28350.190000000002</v>
      </c>
      <c r="BG313" s="79">
        <v>2204.83</v>
      </c>
      <c r="BH313" s="79">
        <v>2275.48</v>
      </c>
      <c r="BI313" s="79">
        <v>2078.09</v>
      </c>
      <c r="BJ313" s="79">
        <v>2421.31</v>
      </c>
      <c r="BK313" s="79">
        <v>2421.31</v>
      </c>
      <c r="BL313" s="79">
        <v>2421.31</v>
      </c>
      <c r="BM313" s="79">
        <v>2421.31</v>
      </c>
      <c r="BN313" s="79">
        <v>2421.31</v>
      </c>
      <c r="BO313" s="79">
        <v>2421.31</v>
      </c>
      <c r="BP313" s="79">
        <v>2421.31</v>
      </c>
      <c r="BQ313" s="79">
        <v>2421.31</v>
      </c>
      <c r="BR313" s="79">
        <v>2421.31</v>
      </c>
      <c r="BS313" s="79">
        <v>28350.190000000002</v>
      </c>
    </row>
    <row r="314" spans="1:71" ht="15" hidden="1" customHeight="1">
      <c r="A314" s="66" t="s">
        <v>2024</v>
      </c>
      <c r="B314" s="737" t="s">
        <v>533</v>
      </c>
      <c r="C314" s="346"/>
      <c r="D314" s="343" t="str">
        <f>_xlfn.TEXTJOIN("_",FALSE,E314,ERP_8[[#This Row],[Expense Category]],ERP_8[[#This Row],[Project Code*]])</f>
        <v>Hase, Raj_MANAGED SERVICES_IT-FGS0301-OG-US-00</v>
      </c>
      <c r="E314" s="343" t="s">
        <v>1345</v>
      </c>
      <c r="F314" s="346"/>
      <c r="G314" s="150" t="s">
        <v>1136</v>
      </c>
      <c r="H314" s="150" t="s">
        <v>1345</v>
      </c>
      <c r="I314" s="150" t="s">
        <v>1345</v>
      </c>
      <c r="J314" s="150" t="s">
        <v>1346</v>
      </c>
      <c r="K314" s="511" t="s">
        <v>389</v>
      </c>
      <c r="L314" s="392" t="s">
        <v>1855</v>
      </c>
      <c r="M314" s="343"/>
      <c r="N314" s="800" t="s">
        <v>1441</v>
      </c>
      <c r="O314" s="70" t="s">
        <v>466</v>
      </c>
      <c r="P314" s="346"/>
      <c r="Q314" s="346" t="s">
        <v>1140</v>
      </c>
      <c r="R314" s="346"/>
      <c r="S314" s="150" t="s">
        <v>57</v>
      </c>
      <c r="T314" s="150"/>
      <c r="U314" s="403"/>
      <c r="V314" s="406">
        <v>19176</v>
      </c>
      <c r="W314" s="406">
        <v>21479</v>
      </c>
      <c r="X314" s="425"/>
      <c r="Y314" s="71"/>
      <c r="Z314" s="784">
        <v>1566</v>
      </c>
      <c r="AA314" s="780">
        <v>1439</v>
      </c>
      <c r="AB314" s="780">
        <v>4092</v>
      </c>
      <c r="AC314" s="428">
        <v>1259</v>
      </c>
      <c r="AD314" s="429">
        <v>1259</v>
      </c>
      <c r="AE314" s="429">
        <v>1192</v>
      </c>
      <c r="AF314" s="429">
        <v>1192</v>
      </c>
      <c r="AG314" s="363">
        <v>1192</v>
      </c>
      <c r="AH314" s="363">
        <v>1192</v>
      </c>
      <c r="AI314" s="363">
        <v>1192</v>
      </c>
      <c r="AJ314" s="363">
        <v>1192</v>
      </c>
      <c r="AK314" s="363">
        <v>1192</v>
      </c>
      <c r="AL314" s="360">
        <f t="shared" si="20"/>
        <v>17959</v>
      </c>
      <c r="AM314" s="362">
        <f>ERP_8[[#This Row],[2026 Working Total]]-ERP_8[[#This Row],[LE2 Final Submission]]</f>
        <v>-3520</v>
      </c>
      <c r="AN314" s="79">
        <v>1598</v>
      </c>
      <c r="AO314" s="79">
        <f t="shared" si="19"/>
        <v>-406</v>
      </c>
      <c r="AP314" s="374">
        <f>SUM(ERP_8[[#This Row],[AP01]:[AP07]])-SUM(ERP_8[[#This Row],[AP01 LE2]:[AP07 LE2]])</f>
        <v>-1490</v>
      </c>
      <c r="AQ314" s="80"/>
      <c r="AR314" s="79">
        <f>ERP_8[[#This Row],[2026 Working Total to Budget/LE]]-ERP_8[[#This Row],[Giveback]]</f>
        <v>-3520</v>
      </c>
      <c r="AS314" s="81"/>
      <c r="AT314" s="375">
        <v>1566</v>
      </c>
      <c r="AU314" s="375">
        <v>1439</v>
      </c>
      <c r="AV314" s="375">
        <v>4092</v>
      </c>
      <c r="AW314" s="375">
        <v>1598</v>
      </c>
      <c r="AX314" s="375">
        <v>1598</v>
      </c>
      <c r="AY314" s="375">
        <v>1598</v>
      </c>
      <c r="AZ314" s="375">
        <v>1598</v>
      </c>
      <c r="BA314" s="375">
        <v>1598</v>
      </c>
      <c r="BB314" s="375">
        <v>1598</v>
      </c>
      <c r="BC314" s="375">
        <v>1598</v>
      </c>
      <c r="BD314" s="375">
        <v>1598</v>
      </c>
      <c r="BE314" s="375">
        <v>1598</v>
      </c>
      <c r="BF314" s="375">
        <v>21479</v>
      </c>
      <c r="BG314" s="79">
        <v>1566</v>
      </c>
      <c r="BH314" s="79">
        <v>1439</v>
      </c>
      <c r="BI314" s="79">
        <v>4092</v>
      </c>
      <c r="BJ314" s="79">
        <v>1598</v>
      </c>
      <c r="BK314" s="79">
        <v>1598</v>
      </c>
      <c r="BL314" s="79">
        <v>1598</v>
      </c>
      <c r="BM314" s="79">
        <v>1598</v>
      </c>
      <c r="BN314" s="79">
        <v>1598</v>
      </c>
      <c r="BO314" s="79">
        <v>1598</v>
      </c>
      <c r="BP314" s="79">
        <v>1598</v>
      </c>
      <c r="BQ314" s="79">
        <v>1598</v>
      </c>
      <c r="BR314" s="79">
        <v>1598</v>
      </c>
      <c r="BS314" s="79">
        <v>21479</v>
      </c>
    </row>
    <row r="315" spans="1:71" ht="15" hidden="1" customHeight="1">
      <c r="A315" s="66" t="s">
        <v>2025</v>
      </c>
      <c r="B315" s="737" t="s">
        <v>2026</v>
      </c>
      <c r="C315" s="346"/>
      <c r="D315" s="343" t="str">
        <f>_xlfn.TEXTJOIN("_",FALSE,E315,ERP_8[[#This Row],[Expense Category]],ERP_8[[#This Row],[Project Code*]])</f>
        <v>Hase, Raj_MANAGED SERVICES_IT-FGS0301-OG-US-00</v>
      </c>
      <c r="E315" s="343" t="s">
        <v>1345</v>
      </c>
      <c r="F315" s="346"/>
      <c r="G315" s="150" t="s">
        <v>1136</v>
      </c>
      <c r="H315" s="150" t="s">
        <v>1345</v>
      </c>
      <c r="I315" s="150" t="s">
        <v>1437</v>
      </c>
      <c r="J315" s="150" t="s">
        <v>1346</v>
      </c>
      <c r="K315" s="511" t="s">
        <v>389</v>
      </c>
      <c r="L315" s="392" t="s">
        <v>1855</v>
      </c>
      <c r="M315" s="343"/>
      <c r="N315" s="804">
        <v>2329612</v>
      </c>
      <c r="O315" s="70" t="s">
        <v>466</v>
      </c>
      <c r="P315" s="346"/>
      <c r="Q315" s="346" t="s">
        <v>1140</v>
      </c>
      <c r="R315" s="346"/>
      <c r="S315" s="150" t="s">
        <v>57</v>
      </c>
      <c r="T315" s="150"/>
      <c r="U315" s="403"/>
      <c r="V315" s="406">
        <v>22800</v>
      </c>
      <c r="W315" s="406">
        <v>20679</v>
      </c>
      <c r="X315" s="425"/>
      <c r="Y315" s="71"/>
      <c r="Z315" s="784">
        <v>1636</v>
      </c>
      <c r="AA315" s="780">
        <v>1153</v>
      </c>
      <c r="AB315" s="780">
        <v>790</v>
      </c>
      <c r="AC315" s="428">
        <v>1287</v>
      </c>
      <c r="AD315" s="429">
        <v>1227</v>
      </c>
      <c r="AE315" s="429">
        <v>1227</v>
      </c>
      <c r="AF315" s="429">
        <v>1227</v>
      </c>
      <c r="AG315" s="363">
        <v>1900</v>
      </c>
      <c r="AH315" s="363">
        <v>1900</v>
      </c>
      <c r="AI315" s="363">
        <v>1900</v>
      </c>
      <c r="AJ315" s="363">
        <v>1900</v>
      </c>
      <c r="AK315" s="363">
        <v>1900</v>
      </c>
      <c r="AL315" s="360">
        <f t="shared" si="20"/>
        <v>18047</v>
      </c>
      <c r="AM315" s="362">
        <f>ERP_8[[#This Row],[2026 Working Total]]-ERP_8[[#This Row],[LE2 Final Submission]]</f>
        <v>-2632</v>
      </c>
      <c r="AN315" s="79">
        <v>1900</v>
      </c>
      <c r="AO315" s="79">
        <f t="shared" si="19"/>
        <v>-673</v>
      </c>
      <c r="AP315" s="374">
        <f>SUM(ERP_8[[#This Row],[AP01]:[AP07]])-SUM(ERP_8[[#This Row],[AP01 LE2]:[AP07 LE2]])</f>
        <v>-2632</v>
      </c>
      <c r="AQ315" s="80"/>
      <c r="AR315" s="79">
        <f>ERP_8[[#This Row],[2026 Working Total to Budget/LE]]-ERP_8[[#This Row],[Giveback]]</f>
        <v>-2632</v>
      </c>
      <c r="AS315" s="81"/>
      <c r="AT315" s="375">
        <v>1636</v>
      </c>
      <c r="AU315" s="375">
        <v>1153</v>
      </c>
      <c r="AV315" s="375">
        <v>790</v>
      </c>
      <c r="AW315" s="375">
        <v>1900</v>
      </c>
      <c r="AX315" s="375">
        <v>1900</v>
      </c>
      <c r="AY315" s="375">
        <v>1900</v>
      </c>
      <c r="AZ315" s="375">
        <v>1900</v>
      </c>
      <c r="BA315" s="375">
        <v>1900</v>
      </c>
      <c r="BB315" s="375">
        <v>1900</v>
      </c>
      <c r="BC315" s="375">
        <v>1900</v>
      </c>
      <c r="BD315" s="375">
        <v>1900</v>
      </c>
      <c r="BE315" s="375">
        <v>1900</v>
      </c>
      <c r="BF315" s="375">
        <v>20679</v>
      </c>
      <c r="BG315" s="79">
        <v>1636</v>
      </c>
      <c r="BH315" s="79">
        <v>1153</v>
      </c>
      <c r="BI315" s="79">
        <v>790</v>
      </c>
      <c r="BJ315" s="79">
        <v>1900</v>
      </c>
      <c r="BK315" s="79">
        <v>1900</v>
      </c>
      <c r="BL315" s="79">
        <v>1900</v>
      </c>
      <c r="BM315" s="79">
        <v>1900</v>
      </c>
      <c r="BN315" s="79">
        <v>1900</v>
      </c>
      <c r="BO315" s="79">
        <v>1900</v>
      </c>
      <c r="BP315" s="79">
        <v>1900</v>
      </c>
      <c r="BQ315" s="79">
        <v>1900</v>
      </c>
      <c r="BR315" s="79">
        <v>1900</v>
      </c>
      <c r="BS315" s="79">
        <v>20679</v>
      </c>
    </row>
    <row r="316" spans="1:71" ht="15" hidden="1" customHeight="1">
      <c r="A316" s="66" t="s">
        <v>2027</v>
      </c>
      <c r="B316" s="737" t="s">
        <v>2028</v>
      </c>
      <c r="C316" s="346"/>
      <c r="D316" s="343" t="str">
        <f>_xlfn.TEXTJOIN("_",FALSE,E316,ERP_8[[#This Row],[Expense Category]],ERP_8[[#This Row],[Project Code*]])</f>
        <v>Hase, Raj_MANAGED SERVICES_IT-MGS0210-OG-US-00</v>
      </c>
      <c r="E316" s="343" t="s">
        <v>1345</v>
      </c>
      <c r="F316" s="346"/>
      <c r="G316" s="150" t="s">
        <v>1136</v>
      </c>
      <c r="H316" s="150" t="s">
        <v>1345</v>
      </c>
      <c r="I316" s="150" t="s">
        <v>1437</v>
      </c>
      <c r="J316" s="150" t="s">
        <v>1346</v>
      </c>
      <c r="K316" s="511" t="s">
        <v>389</v>
      </c>
      <c r="L316" s="392" t="s">
        <v>2029</v>
      </c>
      <c r="M316" s="343"/>
      <c r="N316" s="804">
        <v>2329612</v>
      </c>
      <c r="O316" s="70" t="s">
        <v>535</v>
      </c>
      <c r="P316" s="346"/>
      <c r="Q316" s="343"/>
      <c r="R316" s="346"/>
      <c r="S316" s="150" t="s">
        <v>57</v>
      </c>
      <c r="T316" s="150"/>
      <c r="U316" s="403"/>
      <c r="V316" s="406">
        <v>0</v>
      </c>
      <c r="W316" s="406">
        <v>5998.6900000000005</v>
      </c>
      <c r="X316" s="425"/>
      <c r="Y316" s="71"/>
      <c r="Z316" s="784"/>
      <c r="AA316" s="780"/>
      <c r="AB316" s="780">
        <v>1048.69</v>
      </c>
      <c r="AC316" s="428">
        <v>0</v>
      </c>
      <c r="AD316" s="429">
        <v>0</v>
      </c>
      <c r="AE316" s="429">
        <v>0</v>
      </c>
      <c r="AF316" s="429">
        <v>0</v>
      </c>
      <c r="AG316" s="363">
        <v>550</v>
      </c>
      <c r="AH316" s="363">
        <v>550</v>
      </c>
      <c r="AI316" s="363">
        <v>550</v>
      </c>
      <c r="AJ316" s="363">
        <v>550</v>
      </c>
      <c r="AK316" s="363">
        <v>550</v>
      </c>
      <c r="AL316" s="360">
        <f t="shared" si="20"/>
        <v>3798.69</v>
      </c>
      <c r="AM316" s="362">
        <f>ERP_8[[#This Row],[2026 Working Total]]-ERP_8[[#This Row],[LE2 Final Submission]]</f>
        <v>-2200.0000000000005</v>
      </c>
      <c r="AN316" s="79">
        <v>550</v>
      </c>
      <c r="AO316" s="79">
        <f t="shared" si="19"/>
        <v>-550</v>
      </c>
      <c r="AP316" s="374">
        <f>SUM(ERP_8[[#This Row],[AP01]:[AP07]])-SUM(ERP_8[[#This Row],[AP01 LE2]:[AP07 LE2]])</f>
        <v>-2200</v>
      </c>
      <c r="AQ316" s="80"/>
      <c r="AR316" s="79">
        <f>ERP_8[[#This Row],[2026 Working Total to Budget/LE]]-ERP_8[[#This Row],[Giveback]]</f>
        <v>-2200.0000000000005</v>
      </c>
      <c r="AS316" s="81"/>
      <c r="AT316" s="375"/>
      <c r="AU316" s="375"/>
      <c r="AV316" s="375">
        <v>1048.69</v>
      </c>
      <c r="AW316" s="375">
        <v>550</v>
      </c>
      <c r="AX316" s="375">
        <v>550</v>
      </c>
      <c r="AY316" s="375">
        <v>550</v>
      </c>
      <c r="AZ316" s="375">
        <v>550</v>
      </c>
      <c r="BA316" s="375">
        <v>550</v>
      </c>
      <c r="BB316" s="375">
        <v>550</v>
      </c>
      <c r="BC316" s="375">
        <v>550</v>
      </c>
      <c r="BD316" s="375">
        <v>550</v>
      </c>
      <c r="BE316" s="375">
        <v>550</v>
      </c>
      <c r="BF316" s="375">
        <v>5998.6900000000005</v>
      </c>
      <c r="BG316" s="79"/>
      <c r="BH316" s="79"/>
      <c r="BI316" s="79">
        <v>1048.69</v>
      </c>
      <c r="BJ316" s="79">
        <v>550</v>
      </c>
      <c r="BK316" s="79">
        <v>550</v>
      </c>
      <c r="BL316" s="79">
        <v>550</v>
      </c>
      <c r="BM316" s="79">
        <v>550</v>
      </c>
      <c r="BN316" s="79">
        <v>550</v>
      </c>
      <c r="BO316" s="79">
        <v>550</v>
      </c>
      <c r="BP316" s="79">
        <v>550</v>
      </c>
      <c r="BQ316" s="79">
        <v>550</v>
      </c>
      <c r="BR316" s="79">
        <v>550</v>
      </c>
      <c r="BS316" s="79">
        <v>5998.6900000000005</v>
      </c>
    </row>
    <row r="317" spans="1:71" ht="15" hidden="1" customHeight="1">
      <c r="A317" s="66" t="s">
        <v>2030</v>
      </c>
      <c r="B317" s="737" t="s">
        <v>536</v>
      </c>
      <c r="C317" s="346"/>
      <c r="D317" s="343" t="str">
        <f>_xlfn.TEXTJOIN("_",FALSE,E317,ERP_8[[#This Row],[Expense Category]],ERP_8[[#This Row],[Project Code*]])</f>
        <v>Hase, Raj_MANAGED SERVICES_IT-SFT1436-OG-US-00</v>
      </c>
      <c r="E317" s="343" t="s">
        <v>1345</v>
      </c>
      <c r="F317" s="346"/>
      <c r="G317" s="150" t="s">
        <v>1136</v>
      </c>
      <c r="H317" s="150" t="s">
        <v>1345</v>
      </c>
      <c r="I317" s="150" t="s">
        <v>1345</v>
      </c>
      <c r="J317" s="150" t="s">
        <v>1346</v>
      </c>
      <c r="K317" s="511" t="s">
        <v>389</v>
      </c>
      <c r="L317" s="392" t="s">
        <v>2031</v>
      </c>
      <c r="M317" s="343"/>
      <c r="N317" s="800" t="s">
        <v>1441</v>
      </c>
      <c r="O317" s="70" t="s">
        <v>537</v>
      </c>
      <c r="P317" s="346"/>
      <c r="Q317" s="343"/>
      <c r="R317" s="346"/>
      <c r="S317" s="150" t="s">
        <v>25</v>
      </c>
      <c r="T317" s="150"/>
      <c r="U317" s="403"/>
      <c r="V317" s="406">
        <v>9476.7599999999984</v>
      </c>
      <c r="W317" s="406">
        <v>8989.8399999999983</v>
      </c>
      <c r="X317" s="430"/>
      <c r="Y317" s="137"/>
      <c r="Z317" s="784">
        <v>730.3</v>
      </c>
      <c r="AA317" s="780">
        <v>738.84</v>
      </c>
      <c r="AB317" s="780">
        <v>752.07</v>
      </c>
      <c r="AC317" s="428">
        <v>738.27</v>
      </c>
      <c r="AD317" s="429">
        <v>704.13</v>
      </c>
      <c r="AE317" s="429">
        <v>719.83999999999992</v>
      </c>
      <c r="AF317" s="429">
        <v>704.85</v>
      </c>
      <c r="AG317" s="363">
        <v>752.07</v>
      </c>
      <c r="AH317" s="363">
        <v>752.07</v>
      </c>
      <c r="AI317" s="363">
        <v>752.07</v>
      </c>
      <c r="AJ317" s="363">
        <v>752.07</v>
      </c>
      <c r="AK317" s="363">
        <v>752.07</v>
      </c>
      <c r="AL317" s="367">
        <f t="shared" si="20"/>
        <v>8848.65</v>
      </c>
      <c r="AM317" s="362">
        <f>ERP_8[[#This Row],[2026 Working Total]]-ERP_8[[#This Row],[LE2 Final Submission]]</f>
        <v>-141.18999999999869</v>
      </c>
      <c r="AN317" s="79">
        <v>752.07</v>
      </c>
      <c r="AO317" s="79">
        <f t="shared" si="19"/>
        <v>-32.230000000000132</v>
      </c>
      <c r="AP317" s="374">
        <f>SUM(ERP_8[[#This Row],[AP01]:[AP07]])-SUM(ERP_8[[#This Row],[AP01 LE2]:[AP07 LE2]])</f>
        <v>-141.1899999999996</v>
      </c>
      <c r="AQ317" s="80"/>
      <c r="AR317" s="79">
        <f>ERP_8[[#This Row],[2026 Working Total to Budget/LE]]-ERP_8[[#This Row],[Giveback]]</f>
        <v>-141.18999999999869</v>
      </c>
      <c r="AS317" s="81"/>
      <c r="AT317" s="375">
        <v>730.3</v>
      </c>
      <c r="AU317" s="375">
        <v>738.84</v>
      </c>
      <c r="AV317" s="375">
        <v>752.07</v>
      </c>
      <c r="AW317" s="375">
        <v>752.07</v>
      </c>
      <c r="AX317" s="375">
        <v>752.07</v>
      </c>
      <c r="AY317" s="375">
        <v>752.07</v>
      </c>
      <c r="AZ317" s="375">
        <v>752.07</v>
      </c>
      <c r="BA317" s="375">
        <v>752.07</v>
      </c>
      <c r="BB317" s="375">
        <v>752.07</v>
      </c>
      <c r="BC317" s="375">
        <v>752.07</v>
      </c>
      <c r="BD317" s="375">
        <v>752.07</v>
      </c>
      <c r="BE317" s="375">
        <v>752.07</v>
      </c>
      <c r="BF317" s="375">
        <v>8989.8399999999983</v>
      </c>
      <c r="BG317" s="79">
        <v>730.3</v>
      </c>
      <c r="BH317" s="79">
        <v>738.84</v>
      </c>
      <c r="BI317" s="79">
        <v>752.07</v>
      </c>
      <c r="BJ317" s="79">
        <v>789.73</v>
      </c>
      <c r="BK317" s="79">
        <v>789.73</v>
      </c>
      <c r="BL317" s="79">
        <v>789.73</v>
      </c>
      <c r="BM317" s="79">
        <v>789.73</v>
      </c>
      <c r="BN317" s="79">
        <v>789.73</v>
      </c>
      <c r="BO317" s="79">
        <v>789.73</v>
      </c>
      <c r="BP317" s="79">
        <v>789.73</v>
      </c>
      <c r="BQ317" s="79">
        <v>789.73</v>
      </c>
      <c r="BR317" s="79">
        <v>789.73</v>
      </c>
      <c r="BS317" s="79">
        <v>9328.779999999997</v>
      </c>
    </row>
    <row r="318" spans="1:71" ht="15" hidden="1" customHeight="1">
      <c r="A318" s="66" t="s">
        <v>2032</v>
      </c>
      <c r="B318" s="737" t="s">
        <v>538</v>
      </c>
      <c r="C318" s="346"/>
      <c r="D318" s="343" t="str">
        <f>_xlfn.TEXTJOIN("_",FALSE,E318,ERP_8[[#This Row],[Expense Category]],ERP_8[[#This Row],[Project Code*]])</f>
        <v>Hase, Raj_MANAGED SERVICES_MISC001</v>
      </c>
      <c r="E318" s="343" t="s">
        <v>1345</v>
      </c>
      <c r="F318" s="346"/>
      <c r="G318" s="150" t="s">
        <v>1136</v>
      </c>
      <c r="H318" s="150" t="s">
        <v>1345</v>
      </c>
      <c r="I318" s="150" t="s">
        <v>1345</v>
      </c>
      <c r="J318" s="150" t="s">
        <v>1346</v>
      </c>
      <c r="K318" s="511" t="s">
        <v>389</v>
      </c>
      <c r="L318" s="392" t="s">
        <v>1327</v>
      </c>
      <c r="M318" s="343"/>
      <c r="N318" s="800" t="s">
        <v>1441</v>
      </c>
      <c r="O318" s="70" t="s">
        <v>147</v>
      </c>
      <c r="P318" s="346"/>
      <c r="Q318" s="343"/>
      <c r="R318" s="346"/>
      <c r="S318" s="150" t="s">
        <v>25</v>
      </c>
      <c r="T318" s="150"/>
      <c r="U318" s="403"/>
      <c r="V318" s="406">
        <v>0</v>
      </c>
      <c r="W318" s="406">
        <v>0.11999999999999997</v>
      </c>
      <c r="X318" s="425"/>
      <c r="Y318" s="71"/>
      <c r="Z318" s="784">
        <v>-0.3</v>
      </c>
      <c r="AA318" s="780">
        <v>0.57999999999999996</v>
      </c>
      <c r="AB318" s="780">
        <v>-0.16</v>
      </c>
      <c r="AC318" s="428">
        <v>0.12</v>
      </c>
      <c r="AD318" s="429">
        <v>-0.5</v>
      </c>
      <c r="AE318" s="429">
        <v>0.41</v>
      </c>
      <c r="AF318" s="429">
        <v>0</v>
      </c>
      <c r="AG318" s="360">
        <v>0</v>
      </c>
      <c r="AH318" s="360">
        <v>0</v>
      </c>
      <c r="AI318" s="360">
        <v>0</v>
      </c>
      <c r="AJ318" s="360">
        <v>0</v>
      </c>
      <c r="AK318" s="360">
        <v>0</v>
      </c>
      <c r="AL318" s="360">
        <f t="shared" si="20"/>
        <v>0.14999999999999997</v>
      </c>
      <c r="AM318" s="362">
        <f>ERP_8[[#This Row],[2026 Working Total]]-ERP_8[[#This Row],[LE2 Final Submission]]</f>
        <v>0.03</v>
      </c>
      <c r="AN318" s="79">
        <v>0</v>
      </c>
      <c r="AO318" s="79">
        <f t="shared" si="19"/>
        <v>0.41</v>
      </c>
      <c r="AP318" s="374">
        <f>SUM(ERP_8[[#This Row],[AP01]:[AP07]])-SUM(ERP_8[[#This Row],[AP01 LE2]:[AP07 LE2]])</f>
        <v>0.03</v>
      </c>
      <c r="AQ318" s="80"/>
      <c r="AR318" s="79">
        <f>ERP_8[[#This Row],[2026 Working Total to Budget/LE]]-ERP_8[[#This Row],[Giveback]]</f>
        <v>0.03</v>
      </c>
      <c r="AS318" s="81"/>
      <c r="AT318" s="375">
        <v>-0.3</v>
      </c>
      <c r="AU318" s="375">
        <v>0.57999999999999996</v>
      </c>
      <c r="AV318" s="375">
        <v>-0.16</v>
      </c>
      <c r="AW318" s="375">
        <v>0</v>
      </c>
      <c r="AX318" s="375">
        <v>0</v>
      </c>
      <c r="AY318" s="375">
        <v>0</v>
      </c>
      <c r="AZ318" s="375">
        <v>0</v>
      </c>
      <c r="BA318" s="375">
        <v>0</v>
      </c>
      <c r="BB318" s="375">
        <v>0</v>
      </c>
      <c r="BC318" s="375">
        <v>0</v>
      </c>
      <c r="BD318" s="375">
        <v>0</v>
      </c>
      <c r="BE318" s="375">
        <v>0</v>
      </c>
      <c r="BF318" s="375">
        <v>0.11999999999999997</v>
      </c>
      <c r="BG318" s="79">
        <v>-0.3</v>
      </c>
      <c r="BH318" s="79">
        <v>0.57999999999999996</v>
      </c>
      <c r="BI318" s="79">
        <v>-0.16</v>
      </c>
      <c r="BJ318" s="79">
        <v>0</v>
      </c>
      <c r="BK318" s="79">
        <v>0</v>
      </c>
      <c r="BL318" s="79">
        <v>0</v>
      </c>
      <c r="BM318" s="79">
        <v>0</v>
      </c>
      <c r="BN318" s="79">
        <v>0</v>
      </c>
      <c r="BO318" s="79">
        <v>0</v>
      </c>
      <c r="BP318" s="79">
        <v>0</v>
      </c>
      <c r="BQ318" s="79">
        <v>0</v>
      </c>
      <c r="BR318" s="79">
        <v>0</v>
      </c>
      <c r="BS318" s="79">
        <v>0.11999999999999997</v>
      </c>
    </row>
    <row r="319" spans="1:71" ht="15" hidden="1" customHeight="1">
      <c r="A319" s="66" t="s">
        <v>2033</v>
      </c>
      <c r="B319" s="737" t="s">
        <v>2034</v>
      </c>
      <c r="C319" s="346"/>
      <c r="D319" s="343" t="str">
        <f>_xlfn.TEXTJOIN("_",FALSE,E319,ERP_8[[#This Row],[Expense Category]],ERP_8[[#This Row],[Project Code*]])</f>
        <v>Hase, Raj_MANAGED SERVICES_MISC001</v>
      </c>
      <c r="E319" s="343" t="s">
        <v>1345</v>
      </c>
      <c r="F319" s="346"/>
      <c r="G319" s="150" t="s">
        <v>1136</v>
      </c>
      <c r="H319" s="150" t="s">
        <v>1345</v>
      </c>
      <c r="I319" s="150" t="s">
        <v>1437</v>
      </c>
      <c r="J319" s="150" t="s">
        <v>1346</v>
      </c>
      <c r="K319" s="511" t="s">
        <v>389</v>
      </c>
      <c r="L319" s="392" t="s">
        <v>1327</v>
      </c>
      <c r="M319" s="343"/>
      <c r="N319" s="804">
        <v>2329612</v>
      </c>
      <c r="O319" s="70" t="s">
        <v>147</v>
      </c>
      <c r="P319" s="346"/>
      <c r="Q319" s="343"/>
      <c r="R319" s="346"/>
      <c r="S319" s="150" t="s">
        <v>25</v>
      </c>
      <c r="T319" s="150"/>
      <c r="U319" s="403"/>
      <c r="V319" s="406">
        <v>0</v>
      </c>
      <c r="W319" s="406">
        <v>-0.18000000000000002</v>
      </c>
      <c r="X319" s="425"/>
      <c r="Y319" s="71"/>
      <c r="Z319" s="784">
        <v>-0.24</v>
      </c>
      <c r="AA319" s="780">
        <v>-0.17</v>
      </c>
      <c r="AB319" s="780">
        <v>0.23</v>
      </c>
      <c r="AC319" s="428">
        <v>0.67</v>
      </c>
      <c r="AD319" s="429">
        <v>-0.61</v>
      </c>
      <c r="AE319" s="429">
        <v>-0.32</v>
      </c>
      <c r="AF319" s="429">
        <v>0</v>
      </c>
      <c r="AG319" s="360">
        <v>0</v>
      </c>
      <c r="AH319" s="360">
        <v>0</v>
      </c>
      <c r="AI319" s="360">
        <v>0</v>
      </c>
      <c r="AJ319" s="360">
        <v>0</v>
      </c>
      <c r="AK319" s="360">
        <v>0</v>
      </c>
      <c r="AL319" s="360">
        <f t="shared" si="20"/>
        <v>-0.44</v>
      </c>
      <c r="AM319" s="362">
        <f>ERP_8[[#This Row],[2026 Working Total]]-ERP_8[[#This Row],[LE2 Final Submission]]</f>
        <v>-0.26</v>
      </c>
      <c r="AN319" s="79">
        <v>0</v>
      </c>
      <c r="AO319" s="79">
        <f t="shared" si="19"/>
        <v>-0.32</v>
      </c>
      <c r="AP319" s="374">
        <f>SUM(ERP_8[[#This Row],[AP01]:[AP07]])-SUM(ERP_8[[#This Row],[AP01 LE2]:[AP07 LE2]])</f>
        <v>-0.26</v>
      </c>
      <c r="AQ319" s="80"/>
      <c r="AR319" s="79">
        <f>ERP_8[[#This Row],[2026 Working Total to Budget/LE]]-ERP_8[[#This Row],[Giveback]]</f>
        <v>-0.26</v>
      </c>
      <c r="AS319" s="81"/>
      <c r="AT319" s="375">
        <v>-0.24</v>
      </c>
      <c r="AU319" s="375">
        <v>-0.17</v>
      </c>
      <c r="AV319" s="375">
        <v>0.23</v>
      </c>
      <c r="AW319" s="375">
        <v>0</v>
      </c>
      <c r="AX319" s="375">
        <v>0</v>
      </c>
      <c r="AY319" s="375">
        <v>0</v>
      </c>
      <c r="AZ319" s="375">
        <v>0</v>
      </c>
      <c r="BA319" s="375">
        <v>0</v>
      </c>
      <c r="BB319" s="375">
        <v>0</v>
      </c>
      <c r="BC319" s="375">
        <v>0</v>
      </c>
      <c r="BD319" s="375">
        <v>0</v>
      </c>
      <c r="BE319" s="375">
        <v>0</v>
      </c>
      <c r="BF319" s="375">
        <v>-0.18000000000000002</v>
      </c>
      <c r="BG319" s="79">
        <v>-0.24</v>
      </c>
      <c r="BH319" s="79">
        <v>-0.17</v>
      </c>
      <c r="BI319" s="79">
        <v>0.23</v>
      </c>
      <c r="BJ319" s="79">
        <v>0</v>
      </c>
      <c r="BK319" s="79">
        <v>0</v>
      </c>
      <c r="BL319" s="79">
        <v>0</v>
      </c>
      <c r="BM319" s="79">
        <v>0</v>
      </c>
      <c r="BN319" s="79">
        <v>0</v>
      </c>
      <c r="BO319" s="79">
        <v>0</v>
      </c>
      <c r="BP319" s="79">
        <v>0</v>
      </c>
      <c r="BQ319" s="79">
        <v>0</v>
      </c>
      <c r="BR319" s="79">
        <v>0</v>
      </c>
      <c r="BS319" s="79">
        <v>-0.18000000000000002</v>
      </c>
    </row>
    <row r="320" spans="1:71" ht="15" hidden="1" customHeight="1">
      <c r="A320" s="66" t="s">
        <v>2035</v>
      </c>
      <c r="B320" s="737" t="s">
        <v>539</v>
      </c>
      <c r="C320" s="346"/>
      <c r="D320" s="343" t="str">
        <f>_xlfn.TEXTJOIN("_",FALSE,E320,ERP_8[[#This Row],[Expense Category]],ERP_8[[#This Row],[Project Code*]])</f>
        <v>Herman, Shaun_MANAGED SERVICES_EP&amp;SCharges001</v>
      </c>
      <c r="E320" s="343" t="s">
        <v>1450</v>
      </c>
      <c r="F320" s="346"/>
      <c r="G320" s="150" t="s">
        <v>1136</v>
      </c>
      <c r="H320" s="150" t="s">
        <v>1345</v>
      </c>
      <c r="I320" s="150" t="s">
        <v>1450</v>
      </c>
      <c r="J320" s="150" t="s">
        <v>1346</v>
      </c>
      <c r="K320" s="511" t="s">
        <v>389</v>
      </c>
      <c r="L320" s="392" t="s">
        <v>1174</v>
      </c>
      <c r="M320" s="343"/>
      <c r="N320" s="800" t="s">
        <v>1451</v>
      </c>
      <c r="O320" s="70" t="s">
        <v>56</v>
      </c>
      <c r="P320" s="346"/>
      <c r="Q320" s="346" t="s">
        <v>1140</v>
      </c>
      <c r="R320" s="346"/>
      <c r="S320" s="150" t="s">
        <v>57</v>
      </c>
      <c r="T320" s="150"/>
      <c r="U320" s="403"/>
      <c r="V320" s="406">
        <v>24000</v>
      </c>
      <c r="W320" s="406">
        <v>21077.66</v>
      </c>
      <c r="X320" s="430"/>
      <c r="Y320" s="137"/>
      <c r="Z320" s="784">
        <v>1075.3900000000001</v>
      </c>
      <c r="AA320" s="780">
        <v>1075.5999999999999</v>
      </c>
      <c r="AB320" s="780">
        <v>926.67</v>
      </c>
      <c r="AC320" s="428">
        <v>1030.1999999999998</v>
      </c>
      <c r="AD320" s="429">
        <v>1176.04</v>
      </c>
      <c r="AE320" s="429">
        <v>1160.54</v>
      </c>
      <c r="AF320" s="429">
        <v>1147.98</v>
      </c>
      <c r="AG320" s="363">
        <v>2000</v>
      </c>
      <c r="AH320" s="363">
        <v>2000</v>
      </c>
      <c r="AI320" s="363">
        <v>2000</v>
      </c>
      <c r="AJ320" s="363">
        <v>2000</v>
      </c>
      <c r="AK320" s="363">
        <v>2000</v>
      </c>
      <c r="AL320" s="360">
        <f t="shared" si="20"/>
        <v>17592.419999999998</v>
      </c>
      <c r="AM320" s="362">
        <f>ERP_8[[#This Row],[2026 Working Total]]-ERP_8[[#This Row],[LE2 Final Submission]]</f>
        <v>-3485.2400000000016</v>
      </c>
      <c r="AN320" s="79">
        <v>0</v>
      </c>
      <c r="AO320" s="79">
        <f t="shared" si="19"/>
        <v>1160.54</v>
      </c>
      <c r="AP320" s="374">
        <f>SUM(ERP_8[[#This Row],[AP01]:[AP07]])-SUM(ERP_8[[#This Row],[AP01 LE2]:[AP07 LE2]])</f>
        <v>-3485.24</v>
      </c>
      <c r="AQ320" s="80"/>
      <c r="AR320" s="79">
        <f>ERP_8[[#This Row],[2026 Working Total to Budget/LE]]-ERP_8[[#This Row],[Giveback]]</f>
        <v>-3485.2400000000016</v>
      </c>
      <c r="AS320" s="81"/>
      <c r="AT320" s="375">
        <v>1075.3900000000001</v>
      </c>
      <c r="AU320" s="375">
        <v>1075.5999999999999</v>
      </c>
      <c r="AV320" s="375">
        <v>926.67</v>
      </c>
      <c r="AW320" s="375">
        <v>2000</v>
      </c>
      <c r="AX320" s="375">
        <v>2000</v>
      </c>
      <c r="AY320" s="375">
        <v>2000</v>
      </c>
      <c r="AZ320" s="375">
        <v>2000</v>
      </c>
      <c r="BA320" s="375">
        <v>2000</v>
      </c>
      <c r="BB320" s="375">
        <v>2000</v>
      </c>
      <c r="BC320" s="375">
        <v>2000</v>
      </c>
      <c r="BD320" s="375">
        <v>2000</v>
      </c>
      <c r="BE320" s="375">
        <v>2000</v>
      </c>
      <c r="BF320" s="375">
        <v>21077.66</v>
      </c>
      <c r="BG320" s="79">
        <v>1075.3900000000001</v>
      </c>
      <c r="BH320" s="79">
        <v>1075.5999999999999</v>
      </c>
      <c r="BI320" s="79">
        <v>926.67</v>
      </c>
      <c r="BJ320" s="79">
        <v>2000</v>
      </c>
      <c r="BK320" s="79">
        <v>2000</v>
      </c>
      <c r="BL320" s="79">
        <v>2000</v>
      </c>
      <c r="BM320" s="79">
        <v>2000</v>
      </c>
      <c r="BN320" s="79">
        <v>2000</v>
      </c>
      <c r="BO320" s="79">
        <v>2000</v>
      </c>
      <c r="BP320" s="79">
        <v>2000</v>
      </c>
      <c r="BQ320" s="79">
        <v>2000</v>
      </c>
      <c r="BR320" s="79">
        <v>2000</v>
      </c>
      <c r="BS320" s="79">
        <v>21077.66</v>
      </c>
    </row>
    <row r="321" spans="1:71" ht="15" hidden="1" customHeight="1">
      <c r="A321" s="66" t="s">
        <v>2036</v>
      </c>
      <c r="B321" s="737" t="s">
        <v>540</v>
      </c>
      <c r="C321" s="346"/>
      <c r="D321" s="343" t="str">
        <f>_xlfn.TEXTJOIN("_",FALSE,E321,ERP_8[[#This Row],[Expense Category]],ERP_8[[#This Row],[Project Code*]])</f>
        <v>Herman, Shaun_MANAGED SERVICES_IT-FBT0262-OG-US-00</v>
      </c>
      <c r="E321" s="343" t="s">
        <v>1450</v>
      </c>
      <c r="F321" s="346"/>
      <c r="G321" s="150" t="s">
        <v>1136</v>
      </c>
      <c r="H321" s="150" t="s">
        <v>1345</v>
      </c>
      <c r="I321" s="150" t="s">
        <v>1450</v>
      </c>
      <c r="J321" s="150" t="s">
        <v>1346</v>
      </c>
      <c r="K321" s="511" t="s">
        <v>389</v>
      </c>
      <c r="L321" s="392" t="s">
        <v>1464</v>
      </c>
      <c r="M321" s="343"/>
      <c r="N321" s="800" t="s">
        <v>1451</v>
      </c>
      <c r="O321" s="70" t="s">
        <v>214</v>
      </c>
      <c r="P321" s="346"/>
      <c r="Q321" s="343"/>
      <c r="R321" s="346"/>
      <c r="S321" s="150" t="s">
        <v>188</v>
      </c>
      <c r="T321" s="150"/>
      <c r="U321" s="403"/>
      <c r="V321" s="406">
        <v>0</v>
      </c>
      <c r="W321" s="406">
        <v>35000</v>
      </c>
      <c r="X321" s="425"/>
      <c r="Y321" s="71"/>
      <c r="Z321" s="784"/>
      <c r="AA321" s="780"/>
      <c r="AB321" s="780">
        <v>8751</v>
      </c>
      <c r="AC321" s="428">
        <v>0</v>
      </c>
      <c r="AD321" s="429">
        <v>5834</v>
      </c>
      <c r="AE321" s="429">
        <v>0</v>
      </c>
      <c r="AF321" s="429">
        <v>0</v>
      </c>
      <c r="AG321" s="360">
        <v>2917</v>
      </c>
      <c r="AH321" s="360">
        <v>2916</v>
      </c>
      <c r="AI321" s="360">
        <v>2916</v>
      </c>
      <c r="AJ321" s="360">
        <v>2916</v>
      </c>
      <c r="AK321" s="360">
        <v>2916</v>
      </c>
      <c r="AL321" s="360">
        <f t="shared" si="20"/>
        <v>29166</v>
      </c>
      <c r="AM321" s="362">
        <f>ERP_8[[#This Row],[2026 Working Total]]-ERP_8[[#This Row],[LE2 Final Submission]]</f>
        <v>-5834</v>
      </c>
      <c r="AN321" s="79">
        <v>0</v>
      </c>
      <c r="AO321" s="79">
        <f t="shared" si="19"/>
        <v>0</v>
      </c>
      <c r="AP321" s="374">
        <f>SUM(ERP_8[[#This Row],[AP01]:[AP07]])-SUM(ERP_8[[#This Row],[AP01 LE2]:[AP07 LE2]])</f>
        <v>-5834</v>
      </c>
      <c r="AQ321" s="80"/>
      <c r="AR321" s="79">
        <f>ERP_8[[#This Row],[2026 Working Total to Budget/LE]]-ERP_8[[#This Row],[Giveback]]</f>
        <v>-5834</v>
      </c>
      <c r="AS321" s="81" t="s">
        <v>2037</v>
      </c>
      <c r="AT321" s="375"/>
      <c r="AU321" s="375"/>
      <c r="AV321" s="375">
        <v>8751</v>
      </c>
      <c r="AW321" s="375">
        <v>2917</v>
      </c>
      <c r="AX321" s="375">
        <v>2917</v>
      </c>
      <c r="AY321" s="375">
        <v>2917</v>
      </c>
      <c r="AZ321" s="375">
        <v>2917</v>
      </c>
      <c r="BA321" s="375">
        <v>2917</v>
      </c>
      <c r="BB321" s="375">
        <v>2916</v>
      </c>
      <c r="BC321" s="375">
        <v>2916</v>
      </c>
      <c r="BD321" s="375">
        <v>2916</v>
      </c>
      <c r="BE321" s="375">
        <v>2916</v>
      </c>
      <c r="BF321" s="375">
        <v>35000</v>
      </c>
      <c r="BG321" s="79"/>
      <c r="BH321" s="79"/>
      <c r="BI321" s="79">
        <v>8751</v>
      </c>
      <c r="BJ321" s="79">
        <v>0</v>
      </c>
      <c r="BK321" s="79">
        <v>0</v>
      </c>
      <c r="BL321" s="79">
        <v>0</v>
      </c>
      <c r="BM321" s="79">
        <v>0</v>
      </c>
      <c r="BN321" s="79">
        <v>0</v>
      </c>
      <c r="BO321" s="79">
        <v>0</v>
      </c>
      <c r="BP321" s="79">
        <v>0</v>
      </c>
      <c r="BQ321" s="79">
        <v>0</v>
      </c>
      <c r="BR321" s="79">
        <v>0</v>
      </c>
      <c r="BS321" s="79">
        <v>8751</v>
      </c>
    </row>
    <row r="322" spans="1:71" ht="15" hidden="1" customHeight="1">
      <c r="A322" s="66" t="s">
        <v>2038</v>
      </c>
      <c r="B322" s="737" t="s">
        <v>541</v>
      </c>
      <c r="C322" s="346"/>
      <c r="D322" s="343" t="str">
        <f>_xlfn.TEXTJOIN("_",FALSE,E322,ERP_8[[#This Row],[Expense Category]],ERP_8[[#This Row],[Project Code*]])</f>
        <v>Herman, Shaun_MANAGED SERVICES_IT-FBT0541-OG-US-00</v>
      </c>
      <c r="E322" s="343" t="s">
        <v>1450</v>
      </c>
      <c r="F322" s="346"/>
      <c r="G322" s="150" t="s">
        <v>1136</v>
      </c>
      <c r="H322" s="150" t="s">
        <v>1345</v>
      </c>
      <c r="I322" s="150" t="s">
        <v>1450</v>
      </c>
      <c r="J322" s="150" t="s">
        <v>1346</v>
      </c>
      <c r="K322" s="511" t="s">
        <v>389</v>
      </c>
      <c r="L322" s="392" t="s">
        <v>1467</v>
      </c>
      <c r="M322" s="343"/>
      <c r="N322" s="800" t="s">
        <v>1451</v>
      </c>
      <c r="O322" s="70" t="s">
        <v>216</v>
      </c>
      <c r="P322" s="346"/>
      <c r="Q322" s="343"/>
      <c r="R322" s="346"/>
      <c r="S322" s="150" t="s">
        <v>217</v>
      </c>
      <c r="T322" s="150"/>
      <c r="U322" s="403"/>
      <c r="V322" s="406">
        <v>0</v>
      </c>
      <c r="W322" s="406">
        <v>7906.64</v>
      </c>
      <c r="X322" s="425"/>
      <c r="Y322" s="71"/>
      <c r="Z322" s="784">
        <v>988.33</v>
      </c>
      <c r="AA322" s="780">
        <v>988.33</v>
      </c>
      <c r="AB322" s="780">
        <v>988.33</v>
      </c>
      <c r="AC322" s="428">
        <v>1792.83</v>
      </c>
      <c r="AD322" s="429">
        <v>988.32999999999993</v>
      </c>
      <c r="AE322" s="429">
        <v>10337.959999999999</v>
      </c>
      <c r="AF322" s="429">
        <v>10337.959999999999</v>
      </c>
      <c r="AG322" s="360">
        <v>988.33</v>
      </c>
      <c r="AH322" s="360">
        <v>0</v>
      </c>
      <c r="AI322" s="360">
        <v>0</v>
      </c>
      <c r="AJ322" s="360">
        <v>0</v>
      </c>
      <c r="AK322" s="360">
        <v>0</v>
      </c>
      <c r="AL322" s="360">
        <f t="shared" si="20"/>
        <v>27410.400000000001</v>
      </c>
      <c r="AM322" s="362">
        <f>ERP_8[[#This Row],[2026 Working Total]]-ERP_8[[#This Row],[LE2 Final Submission]]</f>
        <v>19503.760000000002</v>
      </c>
      <c r="AN322" s="79">
        <v>988.33</v>
      </c>
      <c r="AO322" s="79">
        <f t="shared" si="19"/>
        <v>9349.6299999999992</v>
      </c>
      <c r="AP322" s="374">
        <f>SUM(ERP_8[[#This Row],[AP01]:[AP07]])-SUM(ERP_8[[#This Row],[AP01 LE2]:[AP07 LE2]])</f>
        <v>19503.759999999998</v>
      </c>
      <c r="AQ322" s="80"/>
      <c r="AR322" s="79">
        <f>ERP_8[[#This Row],[2026 Working Total to Budget/LE]]-ERP_8[[#This Row],[Giveback]]</f>
        <v>19503.760000000002</v>
      </c>
      <c r="AS322" s="81" t="s">
        <v>2037</v>
      </c>
      <c r="AT322" s="375">
        <v>988.33</v>
      </c>
      <c r="AU322" s="375">
        <v>988.33</v>
      </c>
      <c r="AV322" s="375">
        <v>988.33</v>
      </c>
      <c r="AW322" s="375">
        <v>988.33</v>
      </c>
      <c r="AX322" s="375">
        <v>988.33</v>
      </c>
      <c r="AY322" s="375">
        <v>988.33</v>
      </c>
      <c r="AZ322" s="375">
        <v>988.33</v>
      </c>
      <c r="BA322" s="375">
        <v>988.33</v>
      </c>
      <c r="BB322" s="375">
        <v>0</v>
      </c>
      <c r="BC322" s="375">
        <v>0</v>
      </c>
      <c r="BD322" s="375">
        <v>0</v>
      </c>
      <c r="BE322" s="375">
        <v>0</v>
      </c>
      <c r="BF322" s="375">
        <v>7906.64</v>
      </c>
      <c r="BG322" s="79">
        <v>988.33</v>
      </c>
      <c r="BH322" s="79">
        <v>988.33</v>
      </c>
      <c r="BI322" s="79">
        <v>988.33</v>
      </c>
      <c r="BJ322" s="79">
        <v>0</v>
      </c>
      <c r="BK322" s="79">
        <v>0</v>
      </c>
      <c r="BL322" s="79">
        <v>0</v>
      </c>
      <c r="BM322" s="79">
        <v>0</v>
      </c>
      <c r="BN322" s="79">
        <v>0</v>
      </c>
      <c r="BO322" s="79">
        <v>0</v>
      </c>
      <c r="BP322" s="79">
        <v>0</v>
      </c>
      <c r="BQ322" s="79">
        <v>0</v>
      </c>
      <c r="BR322" s="79">
        <v>0</v>
      </c>
      <c r="BS322" s="79">
        <v>2964.9900000000002</v>
      </c>
    </row>
    <row r="323" spans="1:71" ht="15" hidden="1" customHeight="1">
      <c r="A323" s="66" t="s">
        <v>2039</v>
      </c>
      <c r="B323" s="737" t="s">
        <v>542</v>
      </c>
      <c r="C323" s="346"/>
      <c r="D323" s="343" t="str">
        <f>_xlfn.TEXTJOIN("_",FALSE,E323,ERP_8[[#This Row],[Expense Category]],ERP_8[[#This Row],[Project Code*]])</f>
        <v>Herman, Shaun_MANAGED SERVICES_IT-FGS0299-OG-US-00</v>
      </c>
      <c r="E323" s="343" t="s">
        <v>1450</v>
      </c>
      <c r="F323" s="346"/>
      <c r="G323" s="150" t="s">
        <v>1136</v>
      </c>
      <c r="H323" s="150" t="s">
        <v>1345</v>
      </c>
      <c r="I323" s="150" t="s">
        <v>1450</v>
      </c>
      <c r="J323" s="150" t="s">
        <v>1346</v>
      </c>
      <c r="K323" s="511" t="s">
        <v>389</v>
      </c>
      <c r="L323" s="392" t="s">
        <v>1703</v>
      </c>
      <c r="M323" s="343"/>
      <c r="N323" s="800" t="s">
        <v>1451</v>
      </c>
      <c r="O323" s="70" t="s">
        <v>365</v>
      </c>
      <c r="P323" s="346"/>
      <c r="Q323" s="346" t="s">
        <v>1140</v>
      </c>
      <c r="R323" s="346"/>
      <c r="S323" s="150" t="s">
        <v>57</v>
      </c>
      <c r="T323" s="150"/>
      <c r="U323" s="403"/>
      <c r="V323" s="406">
        <v>8220</v>
      </c>
      <c r="W323" s="406">
        <v>7536.92</v>
      </c>
      <c r="X323" s="430"/>
      <c r="Y323" s="137"/>
      <c r="Z323" s="784">
        <v>685.96</v>
      </c>
      <c r="AA323" s="780">
        <v>685.96</v>
      </c>
      <c r="AB323" s="780">
        <v>0</v>
      </c>
      <c r="AC323" s="428">
        <v>510.91</v>
      </c>
      <c r="AD323" s="429">
        <v>685.96</v>
      </c>
      <c r="AE323" s="429">
        <v>685.96</v>
      </c>
      <c r="AF323" s="429">
        <v>685.96</v>
      </c>
      <c r="AG323" s="363">
        <v>685</v>
      </c>
      <c r="AH323" s="363">
        <v>685</v>
      </c>
      <c r="AI323" s="363">
        <v>685</v>
      </c>
      <c r="AJ323" s="363">
        <v>685</v>
      </c>
      <c r="AK323" s="363">
        <v>685</v>
      </c>
      <c r="AL323" s="360">
        <f t="shared" si="20"/>
        <v>7365.71</v>
      </c>
      <c r="AM323" s="362">
        <f>ERP_8[[#This Row],[2026 Working Total]]-ERP_8[[#This Row],[LE2 Final Submission]]</f>
        <v>-171.21000000000004</v>
      </c>
      <c r="AN323" s="79">
        <v>685</v>
      </c>
      <c r="AO323" s="79">
        <f t="shared" si="19"/>
        <v>0.96000000000003638</v>
      </c>
      <c r="AP323" s="374">
        <f>SUM(ERP_8[[#This Row],[AP01]:[AP07]])-SUM(ERP_8[[#This Row],[AP01 LE2]:[AP07 LE2]])</f>
        <v>-171.21000000000004</v>
      </c>
      <c r="AQ323" s="80"/>
      <c r="AR323" s="79">
        <f>ERP_8[[#This Row],[2026 Working Total to Budget/LE]]-ERP_8[[#This Row],[Giveback]]</f>
        <v>-171.21000000000004</v>
      </c>
      <c r="AS323" s="81"/>
      <c r="AT323" s="375">
        <v>685.96</v>
      </c>
      <c r="AU323" s="375">
        <v>685.96</v>
      </c>
      <c r="AV323" s="375">
        <v>0</v>
      </c>
      <c r="AW323" s="375">
        <v>685</v>
      </c>
      <c r="AX323" s="375">
        <v>685</v>
      </c>
      <c r="AY323" s="375">
        <v>685</v>
      </c>
      <c r="AZ323" s="375">
        <v>685</v>
      </c>
      <c r="BA323" s="375">
        <v>685</v>
      </c>
      <c r="BB323" s="375">
        <v>685</v>
      </c>
      <c r="BC323" s="375">
        <v>685</v>
      </c>
      <c r="BD323" s="375">
        <v>685</v>
      </c>
      <c r="BE323" s="375">
        <v>685</v>
      </c>
      <c r="BF323" s="375">
        <v>7536.92</v>
      </c>
      <c r="BG323" s="79">
        <v>685.96</v>
      </c>
      <c r="BH323" s="79">
        <v>685.96</v>
      </c>
      <c r="BI323" s="79">
        <v>0</v>
      </c>
      <c r="BJ323" s="79">
        <v>685</v>
      </c>
      <c r="BK323" s="79">
        <v>685</v>
      </c>
      <c r="BL323" s="79">
        <v>685</v>
      </c>
      <c r="BM323" s="79">
        <v>685</v>
      </c>
      <c r="BN323" s="79">
        <v>685</v>
      </c>
      <c r="BO323" s="79">
        <v>685</v>
      </c>
      <c r="BP323" s="79">
        <v>685</v>
      </c>
      <c r="BQ323" s="79">
        <v>685</v>
      </c>
      <c r="BR323" s="79">
        <v>685</v>
      </c>
      <c r="BS323" s="79">
        <v>7536.92</v>
      </c>
    </row>
    <row r="324" spans="1:71" ht="15" hidden="1" customHeight="1">
      <c r="A324" s="66" t="s">
        <v>2040</v>
      </c>
      <c r="B324" s="737" t="s">
        <v>543</v>
      </c>
      <c r="C324" s="346"/>
      <c r="D324" s="343" t="str">
        <f>_xlfn.TEXTJOIN("_",FALSE,E324,ERP_8[[#This Row],[Expense Category]],ERP_8[[#This Row],[Project Code*]])</f>
        <v>Herman, Shaun_MANAGED SERVICES_IT-FGS0301-OG-US-00</v>
      </c>
      <c r="E324" s="343" t="s">
        <v>1450</v>
      </c>
      <c r="F324" s="346"/>
      <c r="G324" s="150" t="s">
        <v>1136</v>
      </c>
      <c r="H324" s="150" t="s">
        <v>1345</v>
      </c>
      <c r="I324" s="150" t="s">
        <v>1450</v>
      </c>
      <c r="J324" s="150" t="s">
        <v>1346</v>
      </c>
      <c r="K324" s="511" t="s">
        <v>389</v>
      </c>
      <c r="L324" s="392" t="s">
        <v>1855</v>
      </c>
      <c r="M324" s="343"/>
      <c r="N324" s="800" t="s">
        <v>1451</v>
      </c>
      <c r="O324" s="70" t="s">
        <v>466</v>
      </c>
      <c r="P324" s="346"/>
      <c r="Q324" s="346" t="s">
        <v>1140</v>
      </c>
      <c r="R324" s="346"/>
      <c r="S324" s="150" t="s">
        <v>57</v>
      </c>
      <c r="T324" s="150"/>
      <c r="U324" s="403"/>
      <c r="V324" s="406">
        <v>36000</v>
      </c>
      <c r="W324" s="406">
        <v>34822</v>
      </c>
      <c r="X324" s="425"/>
      <c r="Y324" s="71"/>
      <c r="Z324" s="784">
        <v>2137</v>
      </c>
      <c r="AA324" s="780">
        <v>1809</v>
      </c>
      <c r="AB324" s="780">
        <v>3876</v>
      </c>
      <c r="AC324" s="428">
        <v>1749</v>
      </c>
      <c r="AD324" s="429">
        <v>1548</v>
      </c>
      <c r="AE324" s="429">
        <v>1273</v>
      </c>
      <c r="AF324" s="429">
        <v>1213</v>
      </c>
      <c r="AG324" s="363">
        <v>3000</v>
      </c>
      <c r="AH324" s="363">
        <v>3000</v>
      </c>
      <c r="AI324" s="363">
        <v>3000</v>
      </c>
      <c r="AJ324" s="363">
        <v>3000</v>
      </c>
      <c r="AK324" s="363">
        <v>3000</v>
      </c>
      <c r="AL324" s="360">
        <f t="shared" si="20"/>
        <v>28605</v>
      </c>
      <c r="AM324" s="362">
        <f>ERP_8[[#This Row],[2026 Working Total]]-ERP_8[[#This Row],[LE2 Final Submission]]</f>
        <v>-6217</v>
      </c>
      <c r="AN324" s="79">
        <v>3000</v>
      </c>
      <c r="AO324" s="79">
        <f t="shared" si="19"/>
        <v>-1727</v>
      </c>
      <c r="AP324" s="374">
        <f>SUM(ERP_8[[#This Row],[AP01]:[AP07]])-SUM(ERP_8[[#This Row],[AP01 LE2]:[AP07 LE2]])</f>
        <v>-6217</v>
      </c>
      <c r="AQ324" s="80"/>
      <c r="AR324" s="79">
        <f>ERP_8[[#This Row],[2026 Working Total to Budget/LE]]-ERP_8[[#This Row],[Giveback]]</f>
        <v>-6217</v>
      </c>
      <c r="AS324" s="81"/>
      <c r="AT324" s="375">
        <v>2137</v>
      </c>
      <c r="AU324" s="375">
        <v>1809</v>
      </c>
      <c r="AV324" s="375">
        <v>3876</v>
      </c>
      <c r="AW324" s="375">
        <v>3000</v>
      </c>
      <c r="AX324" s="375">
        <v>3000</v>
      </c>
      <c r="AY324" s="375">
        <v>3000</v>
      </c>
      <c r="AZ324" s="375">
        <v>3000</v>
      </c>
      <c r="BA324" s="375">
        <v>3000</v>
      </c>
      <c r="BB324" s="375">
        <v>3000</v>
      </c>
      <c r="BC324" s="375">
        <v>3000</v>
      </c>
      <c r="BD324" s="375">
        <v>3000</v>
      </c>
      <c r="BE324" s="375">
        <v>3000</v>
      </c>
      <c r="BF324" s="375">
        <v>34822</v>
      </c>
      <c r="BG324" s="79">
        <v>2137</v>
      </c>
      <c r="BH324" s="79">
        <v>1809</v>
      </c>
      <c r="BI324" s="79">
        <v>3876</v>
      </c>
      <c r="BJ324" s="79">
        <v>3000</v>
      </c>
      <c r="BK324" s="79">
        <v>3000</v>
      </c>
      <c r="BL324" s="79">
        <v>3000</v>
      </c>
      <c r="BM324" s="79">
        <v>3000</v>
      </c>
      <c r="BN324" s="79">
        <v>3000</v>
      </c>
      <c r="BO324" s="79">
        <v>3000</v>
      </c>
      <c r="BP324" s="79">
        <v>3000</v>
      </c>
      <c r="BQ324" s="79">
        <v>3000</v>
      </c>
      <c r="BR324" s="79">
        <v>3000</v>
      </c>
      <c r="BS324" s="79">
        <v>34822</v>
      </c>
    </row>
    <row r="325" spans="1:71" ht="15" hidden="1" customHeight="1">
      <c r="A325" s="66" t="s">
        <v>2041</v>
      </c>
      <c r="B325" s="737" t="s">
        <v>544</v>
      </c>
      <c r="C325" s="346"/>
      <c r="D325" s="343" t="str">
        <f>_xlfn.TEXTJOIN("_",FALSE,E325,ERP_8[[#This Row],[Expense Category]],ERP_8[[#This Row],[Project Code*]])</f>
        <v>Herman, Shaun_MANAGED SERVICES_MISC001</v>
      </c>
      <c r="E325" s="343" t="s">
        <v>1450</v>
      </c>
      <c r="F325" s="346"/>
      <c r="G325" s="150" t="s">
        <v>1136</v>
      </c>
      <c r="H325" s="150" t="s">
        <v>1345</v>
      </c>
      <c r="I325" s="150" t="s">
        <v>1450</v>
      </c>
      <c r="J325" s="150" t="s">
        <v>1346</v>
      </c>
      <c r="K325" s="511" t="s">
        <v>389</v>
      </c>
      <c r="L325" s="392" t="s">
        <v>1327</v>
      </c>
      <c r="M325" s="343"/>
      <c r="N325" s="800" t="s">
        <v>1451</v>
      </c>
      <c r="O325" s="70" t="s">
        <v>147</v>
      </c>
      <c r="P325" s="346"/>
      <c r="Q325" s="343"/>
      <c r="R325" s="346"/>
      <c r="S325" s="150" t="s">
        <v>25</v>
      </c>
      <c r="T325" s="150"/>
      <c r="U325" s="403"/>
      <c r="V325" s="406">
        <v>0</v>
      </c>
      <c r="W325" s="406">
        <v>0.43</v>
      </c>
      <c r="X325" s="425"/>
      <c r="Y325" s="71"/>
      <c r="Z325" s="784">
        <v>0.32</v>
      </c>
      <c r="AA325" s="780">
        <v>0.11</v>
      </c>
      <c r="AB325" s="780">
        <v>0</v>
      </c>
      <c r="AC325" s="428">
        <v>0.06</v>
      </c>
      <c r="AD325" s="429">
        <v>-0.33</v>
      </c>
      <c r="AE325" s="429">
        <v>-0.46</v>
      </c>
      <c r="AF325" s="429">
        <v>0</v>
      </c>
      <c r="AG325" s="360">
        <v>0</v>
      </c>
      <c r="AH325" s="360">
        <v>0</v>
      </c>
      <c r="AI325" s="360">
        <v>0</v>
      </c>
      <c r="AJ325" s="360">
        <v>0</v>
      </c>
      <c r="AK325" s="360">
        <v>0</v>
      </c>
      <c r="AL325" s="360">
        <f t="shared" si="20"/>
        <v>-0.30000000000000004</v>
      </c>
      <c r="AM325" s="362">
        <f>ERP_8[[#This Row],[2026 Working Total]]-ERP_8[[#This Row],[LE2 Final Submission]]</f>
        <v>-0.73</v>
      </c>
      <c r="AN325" s="79">
        <v>0</v>
      </c>
      <c r="AO325" s="79">
        <f t="shared" si="19"/>
        <v>-0.46</v>
      </c>
      <c r="AP325" s="374">
        <f>SUM(ERP_8[[#This Row],[AP01]:[AP07]])-SUM(ERP_8[[#This Row],[AP01 LE2]:[AP07 LE2]])</f>
        <v>-0.73</v>
      </c>
      <c r="AQ325" s="80"/>
      <c r="AR325" s="79">
        <f>ERP_8[[#This Row],[2026 Working Total to Budget/LE]]-ERP_8[[#This Row],[Giveback]]</f>
        <v>-0.73</v>
      </c>
      <c r="AS325" s="81"/>
      <c r="AT325" s="375">
        <v>0.32</v>
      </c>
      <c r="AU325" s="375">
        <v>0.11</v>
      </c>
      <c r="AV325" s="375">
        <v>0</v>
      </c>
      <c r="AW325" s="375">
        <v>0</v>
      </c>
      <c r="AX325" s="375">
        <v>0</v>
      </c>
      <c r="AY325" s="375">
        <v>0</v>
      </c>
      <c r="AZ325" s="375">
        <v>0</v>
      </c>
      <c r="BA325" s="375">
        <v>0</v>
      </c>
      <c r="BB325" s="375">
        <v>0</v>
      </c>
      <c r="BC325" s="375">
        <v>0</v>
      </c>
      <c r="BD325" s="375">
        <v>0</v>
      </c>
      <c r="BE325" s="375">
        <v>0</v>
      </c>
      <c r="BF325" s="375">
        <v>0.43</v>
      </c>
      <c r="BG325" s="79">
        <v>0.32</v>
      </c>
      <c r="BH325" s="79">
        <v>0.11</v>
      </c>
      <c r="BI325" s="79">
        <v>0</v>
      </c>
      <c r="BJ325" s="79">
        <v>0</v>
      </c>
      <c r="BK325" s="79">
        <v>0</v>
      </c>
      <c r="BL325" s="79">
        <v>0</v>
      </c>
      <c r="BM325" s="79">
        <v>0</v>
      </c>
      <c r="BN325" s="79">
        <v>0</v>
      </c>
      <c r="BO325" s="79">
        <v>0</v>
      </c>
      <c r="BP325" s="79">
        <v>0</v>
      </c>
      <c r="BQ325" s="79">
        <v>0</v>
      </c>
      <c r="BR325" s="79">
        <v>0</v>
      </c>
      <c r="BS325" s="79">
        <v>0.43</v>
      </c>
    </row>
    <row r="326" spans="1:71" ht="15" hidden="1" customHeight="1">
      <c r="A326" s="79" t="s">
        <v>2042</v>
      </c>
      <c r="B326" s="749" t="s">
        <v>545</v>
      </c>
      <c r="C326" s="348"/>
      <c r="D326" s="347" t="str">
        <f>_xlfn.TEXTJOIN("_",FALSE,E326,ERP_8[[#This Row],[Expense Category]],ERP_8[[#This Row],[Project Code*]])</f>
        <v>Hovanyetz, Mike_MANAGED SERVICES_2026-XFR-0017-C</v>
      </c>
      <c r="E326" s="347" t="s">
        <v>1480</v>
      </c>
      <c r="F326" s="348"/>
      <c r="G326" s="150" t="s">
        <v>1136</v>
      </c>
      <c r="H326" s="332" t="s">
        <v>1345</v>
      </c>
      <c r="I326" s="383" t="s">
        <v>1480</v>
      </c>
      <c r="J326" s="331" t="s">
        <v>1346</v>
      </c>
      <c r="K326" s="512" t="s">
        <v>389</v>
      </c>
      <c r="L326" s="393" t="s">
        <v>1758</v>
      </c>
      <c r="M326" s="343"/>
      <c r="N326" s="803"/>
      <c r="O326" s="91" t="s">
        <v>393</v>
      </c>
      <c r="P326" s="343"/>
      <c r="Q326" s="343"/>
      <c r="R326" s="348"/>
      <c r="S326" s="386" t="s">
        <v>152</v>
      </c>
      <c r="T326" s="387" t="s">
        <v>2043</v>
      </c>
      <c r="U326" s="432"/>
      <c r="V326" s="358">
        <v>125000</v>
      </c>
      <c r="W326" s="378">
        <v>0</v>
      </c>
      <c r="X326" s="425"/>
      <c r="Y326" s="71"/>
      <c r="Z326" s="783"/>
      <c r="AA326" s="781"/>
      <c r="AB326" s="781"/>
      <c r="AC326" s="428" t="s">
        <v>1142</v>
      </c>
      <c r="AD326" s="429">
        <v>0</v>
      </c>
      <c r="AE326" s="429">
        <v>0</v>
      </c>
      <c r="AF326" s="429" t="s">
        <v>1142</v>
      </c>
      <c r="AG326" s="388">
        <f>12500-12500</f>
        <v>0</v>
      </c>
      <c r="AH326" s="388">
        <f>12500-12500</f>
        <v>0</v>
      </c>
      <c r="AI326" s="388">
        <f>12500-12500</f>
        <v>0</v>
      </c>
      <c r="AJ326" s="388">
        <f>12500-12500</f>
        <v>0</v>
      </c>
      <c r="AK326" s="388">
        <f>12500-12500</f>
        <v>0</v>
      </c>
      <c r="AL326" s="360">
        <f t="shared" si="20"/>
        <v>0</v>
      </c>
      <c r="AM326" s="362">
        <f>ERP_8[[#This Row],[2026 Working Total]]-ERP_8[[#This Row],[LE2 Final Submission]]</f>
        <v>0</v>
      </c>
      <c r="AN326" s="79">
        <v>0</v>
      </c>
      <c r="AO326" s="79">
        <f t="shared" si="19"/>
        <v>0</v>
      </c>
      <c r="AP326" s="374">
        <f>SUM(ERP_8[[#This Row],[AP01]:[AP07]])-SUM(ERP_8[[#This Row],[AP01 LE2]:[AP07 LE2]])</f>
        <v>0</v>
      </c>
      <c r="AQ326" s="80"/>
      <c r="AR326" s="79">
        <f>ERP_8[[#This Row],[2026 Working Total to Budget/LE]]-ERP_8[[#This Row],[Giveback]]</f>
        <v>0</v>
      </c>
      <c r="AS326" s="81"/>
      <c r="AT326" s="375"/>
      <c r="AU326" s="375"/>
      <c r="AV326" s="375"/>
      <c r="AW326" s="375">
        <v>0</v>
      </c>
      <c r="AX326" s="375">
        <v>0</v>
      </c>
      <c r="AY326" s="375">
        <v>0</v>
      </c>
      <c r="AZ326" s="375">
        <v>0</v>
      </c>
      <c r="BA326" s="375">
        <v>0</v>
      </c>
      <c r="BB326" s="375">
        <v>0</v>
      </c>
      <c r="BC326" s="375">
        <v>0</v>
      </c>
      <c r="BD326" s="375">
        <v>0</v>
      </c>
      <c r="BE326" s="375">
        <v>0</v>
      </c>
      <c r="BF326" s="375">
        <v>0</v>
      </c>
      <c r="BG326" s="103">
        <v>0</v>
      </c>
      <c r="BH326" s="103">
        <v>0</v>
      </c>
      <c r="BI326" s="103">
        <v>12500</v>
      </c>
      <c r="BJ326" s="103">
        <v>12500</v>
      </c>
      <c r="BK326" s="103">
        <v>12500</v>
      </c>
      <c r="BL326" s="103">
        <v>12500</v>
      </c>
      <c r="BM326" s="103">
        <v>12500</v>
      </c>
      <c r="BN326" s="103">
        <v>12500</v>
      </c>
      <c r="BO326" s="103">
        <v>12500</v>
      </c>
      <c r="BP326" s="103">
        <v>12500</v>
      </c>
      <c r="BQ326" s="103">
        <v>12500</v>
      </c>
      <c r="BR326" s="103">
        <v>12500</v>
      </c>
      <c r="BS326" s="79">
        <f>SUM(ERP_8[[#This Row],[2026 AP01]:[2026 AP12]])</f>
        <v>125000</v>
      </c>
    </row>
    <row r="327" spans="1:71" ht="15" hidden="1" customHeight="1">
      <c r="A327" s="79" t="s">
        <v>2044</v>
      </c>
      <c r="B327" s="749" t="s">
        <v>546</v>
      </c>
      <c r="C327" s="348"/>
      <c r="D327" s="347" t="str">
        <f>_xlfn.TEXTJOIN("_",FALSE,E327,ERP_8[[#This Row],[Expense Category]],ERP_8[[#This Row],[Project Code*]])</f>
        <v>Hovanyetz, Mike_MANAGED SERVICES_2026-XFR-0017-D</v>
      </c>
      <c r="E327" s="347" t="s">
        <v>1480</v>
      </c>
      <c r="F327" s="348"/>
      <c r="G327" s="150" t="s">
        <v>1136</v>
      </c>
      <c r="H327" s="332" t="s">
        <v>1345</v>
      </c>
      <c r="I327" s="383" t="s">
        <v>1480</v>
      </c>
      <c r="J327" s="331" t="s">
        <v>1346</v>
      </c>
      <c r="K327" s="512" t="s">
        <v>389</v>
      </c>
      <c r="L327" s="393" t="s">
        <v>1761</v>
      </c>
      <c r="M327" s="343"/>
      <c r="N327" s="803"/>
      <c r="O327" s="91" t="s">
        <v>395</v>
      </c>
      <c r="P327" s="343"/>
      <c r="Q327" s="343"/>
      <c r="R327" s="348"/>
      <c r="S327" s="386" t="s">
        <v>152</v>
      </c>
      <c r="T327" s="387" t="s">
        <v>2043</v>
      </c>
      <c r="U327" s="432"/>
      <c r="V327" s="358">
        <v>100000</v>
      </c>
      <c r="W327" s="378">
        <v>0</v>
      </c>
      <c r="X327" s="425"/>
      <c r="Y327" s="71"/>
      <c r="Z327" s="783"/>
      <c r="AA327" s="781"/>
      <c r="AB327" s="781"/>
      <c r="AC327" s="428" t="s">
        <v>1142</v>
      </c>
      <c r="AD327" s="429">
        <v>0</v>
      </c>
      <c r="AE327" s="429">
        <v>0</v>
      </c>
      <c r="AF327" s="429" t="s">
        <v>1142</v>
      </c>
      <c r="AG327" s="388">
        <f>10000-10000</f>
        <v>0</v>
      </c>
      <c r="AH327" s="388">
        <f>10000-10000</f>
        <v>0</v>
      </c>
      <c r="AI327" s="388">
        <f>10000-10000</f>
        <v>0</v>
      </c>
      <c r="AJ327" s="388">
        <f>10000-10000</f>
        <v>0</v>
      </c>
      <c r="AK327" s="388">
        <f>10000-10000</f>
        <v>0</v>
      </c>
      <c r="AL327" s="360">
        <f t="shared" si="20"/>
        <v>0</v>
      </c>
      <c r="AM327" s="362">
        <f>ERP_8[[#This Row],[2026 Working Total]]-ERP_8[[#This Row],[LE2 Final Submission]]</f>
        <v>0</v>
      </c>
      <c r="AN327" s="79">
        <v>0</v>
      </c>
      <c r="AO327" s="79">
        <f t="shared" si="19"/>
        <v>0</v>
      </c>
      <c r="AP327" s="374">
        <f>SUM(ERP_8[[#This Row],[AP01]:[AP07]])-SUM(ERP_8[[#This Row],[AP01 LE2]:[AP07 LE2]])</f>
        <v>0</v>
      </c>
      <c r="AQ327" s="80"/>
      <c r="AR327" s="79">
        <f>ERP_8[[#This Row],[2026 Working Total to Budget/LE]]-ERP_8[[#This Row],[Giveback]]</f>
        <v>0</v>
      </c>
      <c r="AS327" s="81"/>
      <c r="AT327" s="375"/>
      <c r="AU327" s="375"/>
      <c r="AV327" s="375"/>
      <c r="AW327" s="375">
        <v>0</v>
      </c>
      <c r="AX327" s="375">
        <v>0</v>
      </c>
      <c r="AY327" s="375">
        <v>0</v>
      </c>
      <c r="AZ327" s="375">
        <v>0</v>
      </c>
      <c r="BA327" s="375">
        <v>0</v>
      </c>
      <c r="BB327" s="375">
        <v>0</v>
      </c>
      <c r="BC327" s="375">
        <v>0</v>
      </c>
      <c r="BD327" s="375">
        <v>0</v>
      </c>
      <c r="BE327" s="375">
        <v>0</v>
      </c>
      <c r="BF327" s="375">
        <v>0</v>
      </c>
      <c r="BG327" s="103">
        <v>0</v>
      </c>
      <c r="BH327" s="103">
        <v>0</v>
      </c>
      <c r="BI327" s="103">
        <v>10000</v>
      </c>
      <c r="BJ327" s="103">
        <v>10000</v>
      </c>
      <c r="BK327" s="103">
        <v>10000</v>
      </c>
      <c r="BL327" s="103">
        <v>10000</v>
      </c>
      <c r="BM327" s="103">
        <v>10000</v>
      </c>
      <c r="BN327" s="103">
        <v>10000</v>
      </c>
      <c r="BO327" s="103">
        <v>10000</v>
      </c>
      <c r="BP327" s="103">
        <v>10000</v>
      </c>
      <c r="BQ327" s="103">
        <v>10000</v>
      </c>
      <c r="BR327" s="103">
        <v>10000</v>
      </c>
      <c r="BS327" s="79">
        <f>SUM(ERP_8[[#This Row],[2026 AP01]:[2026 AP12]])</f>
        <v>100000</v>
      </c>
    </row>
    <row r="328" spans="1:71" ht="15" hidden="1" customHeight="1">
      <c r="A328" s="79" t="s">
        <v>2045</v>
      </c>
      <c r="B328" s="749" t="s">
        <v>547</v>
      </c>
      <c r="C328" s="348"/>
      <c r="D328" s="347" t="str">
        <f>_xlfn.TEXTJOIN("_",FALSE,E328,ERP_8[[#This Row],[Expense Category]],ERP_8[[#This Row],[Project Code*]])</f>
        <v>Hovanyetz, Mike_MANAGED SERVICES_2026-XFR-0020-A</v>
      </c>
      <c r="E328" s="347" t="s">
        <v>1480</v>
      </c>
      <c r="F328" s="348"/>
      <c r="G328" s="150" t="s">
        <v>1136</v>
      </c>
      <c r="H328" s="332" t="s">
        <v>1345</v>
      </c>
      <c r="I328" s="383" t="s">
        <v>1480</v>
      </c>
      <c r="J328" s="331" t="s">
        <v>1346</v>
      </c>
      <c r="K328" s="512" t="s">
        <v>389</v>
      </c>
      <c r="L328" s="393" t="s">
        <v>2046</v>
      </c>
      <c r="M328" s="343"/>
      <c r="N328" s="803"/>
      <c r="O328" s="91" t="s">
        <v>397</v>
      </c>
      <c r="P328" s="343"/>
      <c r="Q328" s="343"/>
      <c r="R328" s="348"/>
      <c r="S328" s="386" t="s">
        <v>152</v>
      </c>
      <c r="T328" s="387" t="s">
        <v>2043</v>
      </c>
      <c r="U328" s="432"/>
      <c r="V328" s="358">
        <v>75000</v>
      </c>
      <c r="W328" s="378">
        <v>0</v>
      </c>
      <c r="X328" s="430"/>
      <c r="Y328" s="137"/>
      <c r="Z328" s="783"/>
      <c r="AA328" s="781"/>
      <c r="AB328" s="781"/>
      <c r="AC328" s="428" t="s">
        <v>1142</v>
      </c>
      <c r="AD328" s="429">
        <v>0</v>
      </c>
      <c r="AE328" s="429">
        <v>0</v>
      </c>
      <c r="AF328" s="429" t="s">
        <v>1142</v>
      </c>
      <c r="AG328" s="388">
        <f>6250-6250</f>
        <v>0</v>
      </c>
      <c r="AH328" s="388">
        <f>6250-6250</f>
        <v>0</v>
      </c>
      <c r="AI328" s="388">
        <f>6250-6250</f>
        <v>0</v>
      </c>
      <c r="AJ328" s="388">
        <f>6250-6250</f>
        <v>0</v>
      </c>
      <c r="AK328" s="388">
        <f>6250-6250</f>
        <v>0</v>
      </c>
      <c r="AL328" s="360">
        <f t="shared" si="20"/>
        <v>0</v>
      </c>
      <c r="AM328" s="362">
        <f>ERP_8[[#This Row],[2026 Working Total]]-ERP_8[[#This Row],[LE2 Final Submission]]</f>
        <v>0</v>
      </c>
      <c r="AN328" s="79">
        <v>0</v>
      </c>
      <c r="AO328" s="79">
        <f t="shared" si="19"/>
        <v>0</v>
      </c>
      <c r="AP328" s="374">
        <f>SUM(ERP_8[[#This Row],[AP01]:[AP07]])-SUM(ERP_8[[#This Row],[AP01 LE2]:[AP07 LE2]])</f>
        <v>0</v>
      </c>
      <c r="AQ328" s="80"/>
      <c r="AR328" s="79">
        <f>ERP_8[[#This Row],[2026 Working Total to Budget/LE]]-ERP_8[[#This Row],[Giveback]]</f>
        <v>0</v>
      </c>
      <c r="AS328" s="81"/>
      <c r="AT328" s="375"/>
      <c r="AU328" s="375"/>
      <c r="AV328" s="375"/>
      <c r="AW328" s="375">
        <v>0</v>
      </c>
      <c r="AX328" s="375">
        <v>0</v>
      </c>
      <c r="AY328" s="375">
        <v>0</v>
      </c>
      <c r="AZ328" s="375">
        <v>0</v>
      </c>
      <c r="BA328" s="375">
        <v>0</v>
      </c>
      <c r="BB328" s="375">
        <v>0</v>
      </c>
      <c r="BC328" s="375">
        <v>0</v>
      </c>
      <c r="BD328" s="375">
        <v>0</v>
      </c>
      <c r="BE328" s="375">
        <v>0</v>
      </c>
      <c r="BF328" s="375">
        <v>0</v>
      </c>
      <c r="BG328" s="103">
        <v>6250</v>
      </c>
      <c r="BH328" s="103">
        <v>6250</v>
      </c>
      <c r="BI328" s="103">
        <v>6250</v>
      </c>
      <c r="BJ328" s="103">
        <v>6250</v>
      </c>
      <c r="BK328" s="103">
        <v>6250</v>
      </c>
      <c r="BL328" s="103">
        <v>6250</v>
      </c>
      <c r="BM328" s="103">
        <v>6250</v>
      </c>
      <c r="BN328" s="103">
        <v>6250</v>
      </c>
      <c r="BO328" s="103">
        <v>6250</v>
      </c>
      <c r="BP328" s="103">
        <v>6250</v>
      </c>
      <c r="BQ328" s="103">
        <v>6250</v>
      </c>
      <c r="BR328" s="103">
        <v>6250</v>
      </c>
      <c r="BS328" s="79">
        <f>SUM(ERP_8[[#This Row],[2026 AP01]:[2026 AP12]])</f>
        <v>75000</v>
      </c>
    </row>
    <row r="329" spans="1:71" ht="15" hidden="1" customHeight="1">
      <c r="A329" s="66" t="s">
        <v>2047</v>
      </c>
      <c r="B329" s="737" t="s">
        <v>2048</v>
      </c>
      <c r="C329" s="346"/>
      <c r="D329" s="343" t="str">
        <f>_xlfn.TEXTJOIN("_",FALSE,E329,ERP_8[[#This Row],[Expense Category]],ERP_8[[#This Row],[Project Code*]])</f>
        <v>Hovanyetz, Mike_MANAGED SERVICES_EnhanceChargeout001</v>
      </c>
      <c r="E329" s="343" t="s">
        <v>1480</v>
      </c>
      <c r="F329" s="346"/>
      <c r="G329" s="150" t="s">
        <v>1136</v>
      </c>
      <c r="H329" s="150" t="s">
        <v>1345</v>
      </c>
      <c r="I329" s="150" t="s">
        <v>1481</v>
      </c>
      <c r="J329" s="150" t="s">
        <v>1346</v>
      </c>
      <c r="K329" s="511" t="s">
        <v>389</v>
      </c>
      <c r="L329" s="392" t="s">
        <v>1147</v>
      </c>
      <c r="M329" s="343"/>
      <c r="N329" s="800" t="s">
        <v>1482</v>
      </c>
      <c r="O329" s="70" t="s">
        <v>53</v>
      </c>
      <c r="P329" s="346" t="s">
        <v>1153</v>
      </c>
      <c r="Q329" s="343"/>
      <c r="R329" s="346"/>
      <c r="S329" s="150" t="s">
        <v>25</v>
      </c>
      <c r="T329" s="473" t="s">
        <v>1513</v>
      </c>
      <c r="U329" s="403"/>
      <c r="V329" s="406">
        <v>0</v>
      </c>
      <c r="W329" s="406">
        <v>2360</v>
      </c>
      <c r="X329" s="425"/>
      <c r="Y329" s="71"/>
      <c r="Z329" s="784"/>
      <c r="AA329" s="780">
        <v>2180</v>
      </c>
      <c r="AB329" s="780">
        <v>180</v>
      </c>
      <c r="AC329" s="428">
        <v>180</v>
      </c>
      <c r="AD329" s="429">
        <v>180</v>
      </c>
      <c r="AE329" s="429">
        <v>60</v>
      </c>
      <c r="AF329" s="429">
        <v>60</v>
      </c>
      <c r="AG329" s="360">
        <v>0</v>
      </c>
      <c r="AH329" s="360">
        <v>0</v>
      </c>
      <c r="AI329" s="360">
        <v>0</v>
      </c>
      <c r="AJ329" s="360">
        <v>0</v>
      </c>
      <c r="AK329" s="360">
        <v>0</v>
      </c>
      <c r="AL329" s="360">
        <f t="shared" si="20"/>
        <v>2840</v>
      </c>
      <c r="AM329" s="362">
        <f>ERP_8[[#This Row],[2026 Working Total]]-ERP_8[[#This Row],[LE2 Final Submission]]</f>
        <v>480</v>
      </c>
      <c r="AN329" s="79">
        <v>0</v>
      </c>
      <c r="AO329" s="79">
        <f t="shared" si="19"/>
        <v>60</v>
      </c>
      <c r="AP329" s="374">
        <f>SUM(ERP_8[[#This Row],[AP01]:[AP07]])-SUM(ERP_8[[#This Row],[AP01 LE2]:[AP07 LE2]])</f>
        <v>480</v>
      </c>
      <c r="AQ329" s="80"/>
      <c r="AR329" s="79">
        <f>ERP_8[[#This Row],[2026 Working Total to Budget/LE]]-ERP_8[[#This Row],[Giveback]]</f>
        <v>480</v>
      </c>
      <c r="AS329" s="81"/>
      <c r="AT329" s="375"/>
      <c r="AU329" s="375">
        <v>2180</v>
      </c>
      <c r="AV329" s="375">
        <v>180</v>
      </c>
      <c r="AW329" s="375">
        <v>0</v>
      </c>
      <c r="AX329" s="375">
        <v>0</v>
      </c>
      <c r="AY329" s="375">
        <v>0</v>
      </c>
      <c r="AZ329" s="375">
        <v>0</v>
      </c>
      <c r="BA329" s="375">
        <v>0</v>
      </c>
      <c r="BB329" s="375">
        <v>0</v>
      </c>
      <c r="BC329" s="375">
        <v>0</v>
      </c>
      <c r="BD329" s="375">
        <v>0</v>
      </c>
      <c r="BE329" s="375">
        <v>0</v>
      </c>
      <c r="BF329" s="375">
        <v>2360</v>
      </c>
      <c r="BG329" s="79"/>
      <c r="BH329" s="79">
        <v>2180</v>
      </c>
      <c r="BI329" s="79">
        <v>180</v>
      </c>
      <c r="BJ329" s="79">
        <v>0</v>
      </c>
      <c r="BK329" s="79">
        <v>0</v>
      </c>
      <c r="BL329" s="79">
        <v>0</v>
      </c>
      <c r="BM329" s="79">
        <v>0</v>
      </c>
      <c r="BN329" s="79">
        <v>0</v>
      </c>
      <c r="BO329" s="79">
        <v>0</v>
      </c>
      <c r="BP329" s="79">
        <v>0</v>
      </c>
      <c r="BQ329" s="79">
        <v>0</v>
      </c>
      <c r="BR329" s="79">
        <v>0</v>
      </c>
      <c r="BS329" s="79">
        <v>2360</v>
      </c>
    </row>
    <row r="330" spans="1:71" ht="15" hidden="1" customHeight="1">
      <c r="A330" s="66" t="s">
        <v>2049</v>
      </c>
      <c r="B330" s="737" t="s">
        <v>549</v>
      </c>
      <c r="C330" s="346"/>
      <c r="D330" s="343" t="str">
        <f>_xlfn.TEXTJOIN("_",FALSE,E330,ERP_8[[#This Row],[Expense Category]],ERP_8[[#This Row],[Project Code*]])</f>
        <v>Hovanyetz, Mike_MANAGED SERVICES_EP&amp;SCharges001</v>
      </c>
      <c r="E330" s="343" t="s">
        <v>1480</v>
      </c>
      <c r="F330" s="346"/>
      <c r="G330" s="150" t="s">
        <v>1136</v>
      </c>
      <c r="H330" s="150" t="s">
        <v>1345</v>
      </c>
      <c r="I330" s="150" t="s">
        <v>1480</v>
      </c>
      <c r="J330" s="150" t="s">
        <v>1346</v>
      </c>
      <c r="K330" s="511" t="s">
        <v>389</v>
      </c>
      <c r="L330" s="392" t="s">
        <v>1174</v>
      </c>
      <c r="M330" s="343"/>
      <c r="N330" s="800" t="s">
        <v>1493</v>
      </c>
      <c r="O330" s="70" t="s">
        <v>56</v>
      </c>
      <c r="P330" s="346"/>
      <c r="Q330" s="346" t="s">
        <v>1140</v>
      </c>
      <c r="R330" s="346"/>
      <c r="S330" s="150" t="s">
        <v>57</v>
      </c>
      <c r="T330" s="150" t="s">
        <v>2050</v>
      </c>
      <c r="U330" s="403"/>
      <c r="V330" s="406">
        <v>36000</v>
      </c>
      <c r="W330" s="406">
        <v>38955.51</v>
      </c>
      <c r="X330" s="425"/>
      <c r="Y330" s="71"/>
      <c r="Z330" s="784">
        <v>4414.1899999999996</v>
      </c>
      <c r="AA330" s="780">
        <v>3932.76</v>
      </c>
      <c r="AB330" s="780">
        <v>3608.56</v>
      </c>
      <c r="AC330" s="428">
        <v>3606.4999999999995</v>
      </c>
      <c r="AD330" s="429">
        <v>3644.34</v>
      </c>
      <c r="AE330" s="429">
        <v>3811.5099999999998</v>
      </c>
      <c r="AF330" s="429">
        <v>3865.44</v>
      </c>
      <c r="AG330" s="363">
        <v>3700</v>
      </c>
      <c r="AH330" s="363">
        <v>3700</v>
      </c>
      <c r="AI330" s="363">
        <v>3700</v>
      </c>
      <c r="AJ330" s="363">
        <v>3700</v>
      </c>
      <c r="AK330" s="363">
        <v>3700</v>
      </c>
      <c r="AL330" s="360">
        <f t="shared" si="20"/>
        <v>45383.299999999996</v>
      </c>
      <c r="AM330" s="362">
        <f>ERP_8[[#This Row],[2026 Working Total]]-ERP_8[[#This Row],[LE2 Final Submission]]</f>
        <v>6427.7899999999936</v>
      </c>
      <c r="AN330" s="79">
        <v>0</v>
      </c>
      <c r="AO330" s="79">
        <f t="shared" si="19"/>
        <v>3811.5099999999998</v>
      </c>
      <c r="AP330" s="374">
        <f>SUM(ERP_8[[#This Row],[AP01]:[AP07]])-SUM(ERP_8[[#This Row],[AP01 LE2]:[AP07 LE2]])</f>
        <v>2927.7899999999936</v>
      </c>
      <c r="AQ330" s="80"/>
      <c r="AR330" s="79">
        <f>ERP_8[[#This Row],[2026 Working Total to Budget/LE]]-ERP_8[[#This Row],[Giveback]]</f>
        <v>6427.7899999999936</v>
      </c>
      <c r="AS330" s="81"/>
      <c r="AT330" s="375">
        <v>4414.1899999999996</v>
      </c>
      <c r="AU330" s="375">
        <v>3932.76</v>
      </c>
      <c r="AV330" s="375">
        <v>3608.56</v>
      </c>
      <c r="AW330" s="375">
        <v>3000</v>
      </c>
      <c r="AX330" s="375">
        <v>3000</v>
      </c>
      <c r="AY330" s="375">
        <v>3000</v>
      </c>
      <c r="AZ330" s="375">
        <v>3000</v>
      </c>
      <c r="BA330" s="375">
        <v>3000</v>
      </c>
      <c r="BB330" s="375">
        <v>3000</v>
      </c>
      <c r="BC330" s="375">
        <v>3000</v>
      </c>
      <c r="BD330" s="375">
        <v>3000</v>
      </c>
      <c r="BE330" s="375">
        <v>3000</v>
      </c>
      <c r="BF330" s="375">
        <v>38955.51</v>
      </c>
      <c r="BG330" s="79">
        <v>4414.1899999999996</v>
      </c>
      <c r="BH330" s="79">
        <v>3932.76</v>
      </c>
      <c r="BI330" s="79">
        <v>3608.56</v>
      </c>
      <c r="BJ330" s="79">
        <v>3000</v>
      </c>
      <c r="BK330" s="79">
        <v>3000</v>
      </c>
      <c r="BL330" s="79">
        <v>3000</v>
      </c>
      <c r="BM330" s="79">
        <v>3000</v>
      </c>
      <c r="BN330" s="79">
        <v>3000</v>
      </c>
      <c r="BO330" s="79">
        <v>3000</v>
      </c>
      <c r="BP330" s="79">
        <v>3000</v>
      </c>
      <c r="BQ330" s="79">
        <v>3000</v>
      </c>
      <c r="BR330" s="79">
        <v>3000</v>
      </c>
      <c r="BS330" s="79">
        <v>38955.51</v>
      </c>
    </row>
    <row r="331" spans="1:71" ht="15" hidden="1" customHeight="1">
      <c r="A331" s="66" t="s">
        <v>2051</v>
      </c>
      <c r="B331" s="737" t="s">
        <v>550</v>
      </c>
      <c r="C331" s="346"/>
      <c r="D331" s="343" t="str">
        <f>_xlfn.TEXTJOIN("_",FALSE,E331,ERP_8[[#This Row],[Expense Category]],ERP_8[[#This Row],[Project Code*]])</f>
        <v>Hovanyetz, Mike_MANAGED SERVICES_IT-FBT0157-OG-US-00</v>
      </c>
      <c r="E331" s="343" t="s">
        <v>1480</v>
      </c>
      <c r="F331" s="346"/>
      <c r="G331" s="150" t="s">
        <v>1136</v>
      </c>
      <c r="H331" s="150" t="s">
        <v>1345</v>
      </c>
      <c r="I331" s="150" t="s">
        <v>1480</v>
      </c>
      <c r="J331" s="150" t="s">
        <v>1346</v>
      </c>
      <c r="K331" s="511" t="s">
        <v>389</v>
      </c>
      <c r="L331" s="392" t="s">
        <v>1863</v>
      </c>
      <c r="M331" s="343"/>
      <c r="N331" s="800" t="s">
        <v>1493</v>
      </c>
      <c r="O331" s="70" t="s">
        <v>526</v>
      </c>
      <c r="P331" s="346"/>
      <c r="Q331" s="343"/>
      <c r="R331" s="346"/>
      <c r="S331" s="150" t="s">
        <v>57</v>
      </c>
      <c r="T331" s="346" t="s">
        <v>2021</v>
      </c>
      <c r="U331" s="403"/>
      <c r="V331" s="406">
        <v>84000</v>
      </c>
      <c r="W331" s="406">
        <v>-14686.309999999998</v>
      </c>
      <c r="X331" s="425"/>
      <c r="Y331" s="71"/>
      <c r="Z331" s="784">
        <v>6710.29</v>
      </c>
      <c r="AA331" s="780">
        <v>-18265.05</v>
      </c>
      <c r="AB331" s="780">
        <v>-3131.55</v>
      </c>
      <c r="AC331" s="428">
        <v>7060.4400000000005</v>
      </c>
      <c r="AD331" s="429">
        <v>6784.5</v>
      </c>
      <c r="AE331" s="429">
        <v>-12968.59</v>
      </c>
      <c r="AF331" s="429">
        <v>7006.3</v>
      </c>
      <c r="AG331" s="363">
        <f>7000-7000</f>
        <v>0</v>
      </c>
      <c r="AH331" s="363">
        <f>7000-7000</f>
        <v>0</v>
      </c>
      <c r="AI331" s="363">
        <f>7000-7000</f>
        <v>0</v>
      </c>
      <c r="AJ331" s="363">
        <f>7000-7000</f>
        <v>0</v>
      </c>
      <c r="AK331" s="363">
        <f>7000-7000</f>
        <v>0</v>
      </c>
      <c r="AL331" s="360">
        <f t="shared" si="20"/>
        <v>-6803.6599999999971</v>
      </c>
      <c r="AM331" s="362">
        <f>ERP_8[[#This Row],[2026 Working Total]]-ERP_8[[#This Row],[LE2 Final Submission]]</f>
        <v>7882.6500000000005</v>
      </c>
      <c r="AN331" s="79">
        <v>0</v>
      </c>
      <c r="AO331" s="79">
        <f t="shared" ref="AO331:AO354" si="21">$AE331 - $AN331</f>
        <v>-12968.59</v>
      </c>
      <c r="AP331" s="374">
        <f>SUM(ERP_8[[#This Row],[AP01]:[AP07]])-SUM(ERP_8[[#This Row],[AP01 LE2]:[AP07 LE2]])</f>
        <v>7882.6500000000005</v>
      </c>
      <c r="AQ331" s="80"/>
      <c r="AR331" s="79">
        <f>ERP_8[[#This Row],[2026 Working Total to Budget/LE]]-ERP_8[[#This Row],[Giveback]]</f>
        <v>7882.6500000000005</v>
      </c>
      <c r="AS331" s="81"/>
      <c r="AT331" s="375">
        <v>6710.29</v>
      </c>
      <c r="AU331" s="375">
        <v>-18265.05</v>
      </c>
      <c r="AV331" s="375">
        <v>-3131.55</v>
      </c>
      <c r="AW331" s="375">
        <v>0</v>
      </c>
      <c r="AX331" s="375">
        <v>0</v>
      </c>
      <c r="AY331" s="375">
        <v>0</v>
      </c>
      <c r="AZ331" s="375">
        <v>0</v>
      </c>
      <c r="BA331" s="375">
        <v>0</v>
      </c>
      <c r="BB331" s="375">
        <v>0</v>
      </c>
      <c r="BC331" s="375">
        <v>0</v>
      </c>
      <c r="BD331" s="375">
        <v>0</v>
      </c>
      <c r="BE331" s="375">
        <v>0</v>
      </c>
      <c r="BF331" s="375">
        <v>-14686.309999999998</v>
      </c>
      <c r="BG331" s="79">
        <v>6710.29</v>
      </c>
      <c r="BH331" s="79">
        <v>-18265.05</v>
      </c>
      <c r="BI331" s="79">
        <v>-3131.55</v>
      </c>
      <c r="BJ331" s="79">
        <v>7000</v>
      </c>
      <c r="BK331" s="79">
        <v>7000</v>
      </c>
      <c r="BL331" s="79">
        <v>7000</v>
      </c>
      <c r="BM331" s="79">
        <v>7000</v>
      </c>
      <c r="BN331" s="79">
        <v>7000</v>
      </c>
      <c r="BO331" s="79">
        <v>7000</v>
      </c>
      <c r="BP331" s="79">
        <v>7000</v>
      </c>
      <c r="BQ331" s="79">
        <v>7000</v>
      </c>
      <c r="BR331" s="79">
        <v>7000</v>
      </c>
      <c r="BS331" s="79">
        <v>48313.69</v>
      </c>
    </row>
    <row r="332" spans="1:71" ht="15" hidden="1" customHeight="1">
      <c r="A332" s="66" t="s">
        <v>2052</v>
      </c>
      <c r="B332" s="737" t="s">
        <v>2053</v>
      </c>
      <c r="C332" s="346"/>
      <c r="D332" s="343" t="str">
        <f>_xlfn.TEXTJOIN("_",FALSE,E332,ERP_8[[#This Row],[Expense Category]],ERP_8[[#This Row],[Project Code*]])</f>
        <v>Hovanyetz, Mike_MANAGED SERVICES_IT-FBT0286-OG-BE-00</v>
      </c>
      <c r="E332" s="343" t="s">
        <v>1480</v>
      </c>
      <c r="F332" s="346"/>
      <c r="G332" s="150" t="s">
        <v>1136</v>
      </c>
      <c r="H332" s="150" t="s">
        <v>1345</v>
      </c>
      <c r="I332" s="150" t="s">
        <v>1346</v>
      </c>
      <c r="J332" s="150" t="s">
        <v>1346</v>
      </c>
      <c r="K332" s="511" t="s">
        <v>389</v>
      </c>
      <c r="L332" s="392" t="s">
        <v>2054</v>
      </c>
      <c r="M332" s="343"/>
      <c r="N332" s="800" t="s">
        <v>1982</v>
      </c>
      <c r="O332" s="70" t="s">
        <v>573</v>
      </c>
      <c r="P332" s="346"/>
      <c r="Q332" s="343"/>
      <c r="R332" s="346"/>
      <c r="S332" s="150" t="s">
        <v>432</v>
      </c>
      <c r="T332" s="150" t="s">
        <v>2055</v>
      </c>
      <c r="U332" s="403"/>
      <c r="V332" s="406">
        <v>42000</v>
      </c>
      <c r="W332" s="406">
        <v>37871.96</v>
      </c>
      <c r="X332" s="430"/>
      <c r="Y332" s="137"/>
      <c r="Z332" s="784">
        <v>1370.43</v>
      </c>
      <c r="AA332" s="794">
        <v>3605.56</v>
      </c>
      <c r="AB332" s="794">
        <v>1395.97</v>
      </c>
      <c r="AC332" s="428">
        <v>1255.79</v>
      </c>
      <c r="AD332" s="429">
        <v>2734.6699999999996</v>
      </c>
      <c r="AE332" s="429">
        <v>2056.0299999999997</v>
      </c>
      <c r="AF332" s="429">
        <v>1996.7099999999998</v>
      </c>
      <c r="AG332" s="363">
        <v>3500</v>
      </c>
      <c r="AH332" s="363">
        <v>3500</v>
      </c>
      <c r="AI332" s="363">
        <v>3500</v>
      </c>
      <c r="AJ332" s="363">
        <v>3500</v>
      </c>
      <c r="AK332" s="363">
        <v>3500</v>
      </c>
      <c r="AL332" s="360">
        <f t="shared" si="20"/>
        <v>31915.16</v>
      </c>
      <c r="AM332" s="362">
        <f>ERP_8[[#This Row],[2026 Working Total]]-ERP_8[[#This Row],[LE2 Final Submission]]</f>
        <v>-5956.7999999999993</v>
      </c>
      <c r="AN332" s="79">
        <v>0</v>
      </c>
      <c r="AO332" s="79">
        <f t="shared" si="21"/>
        <v>2056.0299999999997</v>
      </c>
      <c r="AP332" s="374">
        <f>SUM(ERP_8[[#This Row],[AP01]:[AP07]])-SUM(ERP_8[[#This Row],[AP01 LE2]:[AP07 LE2]])</f>
        <v>-5956.7999999999993</v>
      </c>
      <c r="AQ332" s="80"/>
      <c r="AR332" s="79">
        <f>ERP_8[[#This Row],[2026 Working Total to Budget/LE]]-ERP_8[[#This Row],[Giveback]]</f>
        <v>-5956.7999999999993</v>
      </c>
      <c r="AS332" s="81"/>
      <c r="AT332" s="375">
        <v>1370.43</v>
      </c>
      <c r="AU332" s="375">
        <v>3605.56</v>
      </c>
      <c r="AV332" s="375">
        <v>1395.97</v>
      </c>
      <c r="AW332" s="375">
        <v>3500</v>
      </c>
      <c r="AX332" s="375">
        <v>3500</v>
      </c>
      <c r="AY332" s="375">
        <v>3500</v>
      </c>
      <c r="AZ332" s="375">
        <v>3500</v>
      </c>
      <c r="BA332" s="375">
        <v>3500</v>
      </c>
      <c r="BB332" s="375">
        <v>3500</v>
      </c>
      <c r="BC332" s="375">
        <v>3500</v>
      </c>
      <c r="BD332" s="375">
        <v>3500</v>
      </c>
      <c r="BE332" s="375">
        <v>3500</v>
      </c>
      <c r="BF332" s="375">
        <v>37871.96</v>
      </c>
      <c r="BG332" s="79">
        <v>1370.43</v>
      </c>
      <c r="BH332" s="79">
        <v>3605.56</v>
      </c>
      <c r="BI332" s="79">
        <v>1395.97</v>
      </c>
      <c r="BJ332" s="79">
        <v>3500</v>
      </c>
      <c r="BK332" s="79">
        <v>3500</v>
      </c>
      <c r="BL332" s="79">
        <v>3500</v>
      </c>
      <c r="BM332" s="79">
        <v>3500</v>
      </c>
      <c r="BN332" s="79">
        <v>3500</v>
      </c>
      <c r="BO332" s="79">
        <v>3500</v>
      </c>
      <c r="BP332" s="79">
        <v>3500</v>
      </c>
      <c r="BQ332" s="79">
        <v>3500</v>
      </c>
      <c r="BR332" s="79">
        <v>3500</v>
      </c>
      <c r="BS332" s="79">
        <v>37871.96</v>
      </c>
    </row>
    <row r="333" spans="1:71" ht="15" hidden="1" customHeight="1">
      <c r="A333" s="66" t="s">
        <v>2056</v>
      </c>
      <c r="B333" s="737" t="s">
        <v>551</v>
      </c>
      <c r="C333" s="346"/>
      <c r="D333" s="343" t="str">
        <f>_xlfn.TEXTJOIN("_",FALSE,E333,ERP_8[[#This Row],[Expense Category]],ERP_8[[#This Row],[Project Code*]])</f>
        <v>Hovanyetz, Mike_MANAGED SERVICES_IT-FBT0450-OG-US-00</v>
      </c>
      <c r="E333" s="343" t="s">
        <v>1480</v>
      </c>
      <c r="F333" s="346"/>
      <c r="G333" s="150" t="s">
        <v>1136</v>
      </c>
      <c r="H333" s="150" t="s">
        <v>1345</v>
      </c>
      <c r="I333" s="150" t="s">
        <v>1480</v>
      </c>
      <c r="J333" s="150" t="s">
        <v>1346</v>
      </c>
      <c r="K333" s="511" t="s">
        <v>389</v>
      </c>
      <c r="L333" s="392" t="s">
        <v>1492</v>
      </c>
      <c r="M333" s="343"/>
      <c r="N333" s="800"/>
      <c r="O333" s="70" t="s">
        <v>201</v>
      </c>
      <c r="P333" s="346"/>
      <c r="Q333" s="343" t="s">
        <v>1442</v>
      </c>
      <c r="R333" s="346"/>
      <c r="S333" s="150" t="s">
        <v>232</v>
      </c>
      <c r="T333" s="150" t="s">
        <v>2057</v>
      </c>
      <c r="U333" s="403"/>
      <c r="V333" s="406">
        <v>200000</v>
      </c>
      <c r="W333" s="406">
        <v>0</v>
      </c>
      <c r="X333" s="430"/>
      <c r="Y333" s="137"/>
      <c r="Z333" s="784"/>
      <c r="AA333" s="780"/>
      <c r="AB333" s="780"/>
      <c r="AC333" s="428" t="s">
        <v>1142</v>
      </c>
      <c r="AD333" s="429">
        <v>0</v>
      </c>
      <c r="AE333" s="429">
        <v>0</v>
      </c>
      <c r="AF333" s="429" t="s">
        <v>1142</v>
      </c>
      <c r="AG333" s="363">
        <v>0</v>
      </c>
      <c r="AH333" s="360">
        <v>0</v>
      </c>
      <c r="AI333" s="363">
        <v>0</v>
      </c>
      <c r="AJ333" s="360">
        <v>0</v>
      </c>
      <c r="AK333" s="360">
        <v>0</v>
      </c>
      <c r="AL333" s="360">
        <f t="shared" ref="AL333:AL354" si="22">SUM(Z333:AK333)</f>
        <v>0</v>
      </c>
      <c r="AM333" s="362">
        <f>ERP_8[[#This Row],[2026 Working Total]]-ERP_8[[#This Row],[LE2 Final Submission]]</f>
        <v>0</v>
      </c>
      <c r="AN333" s="79">
        <v>0</v>
      </c>
      <c r="AO333" s="79">
        <f t="shared" si="21"/>
        <v>0</v>
      </c>
      <c r="AP333" s="374">
        <f>SUM(ERP_8[[#This Row],[AP01]:[AP07]])-SUM(ERP_8[[#This Row],[AP01 LE2]:[AP07 LE2]])</f>
        <v>0</v>
      </c>
      <c r="AQ333" s="80"/>
      <c r="AR333" s="79">
        <f>ERP_8[[#This Row],[2026 Working Total to Budget/LE]]-ERP_8[[#This Row],[Giveback]]</f>
        <v>0</v>
      </c>
      <c r="AS333" s="81"/>
      <c r="AT333" s="375"/>
      <c r="AU333" s="375"/>
      <c r="AV333" s="375"/>
      <c r="AW333" s="375"/>
      <c r="AX333" s="375">
        <v>0</v>
      </c>
      <c r="AY333" s="375">
        <v>0</v>
      </c>
      <c r="AZ333" s="375">
        <v>0</v>
      </c>
      <c r="BA333" s="375">
        <v>0</v>
      </c>
      <c r="BB333" s="375">
        <v>0</v>
      </c>
      <c r="BC333" s="375">
        <v>0</v>
      </c>
      <c r="BD333" s="375">
        <v>0</v>
      </c>
      <c r="BE333" s="375">
        <v>0</v>
      </c>
      <c r="BF333" s="375">
        <v>0</v>
      </c>
      <c r="BG333" s="79"/>
      <c r="BH333" s="79"/>
      <c r="BI333" s="79"/>
      <c r="BJ333" s="79"/>
      <c r="BK333" s="79">
        <v>50000</v>
      </c>
      <c r="BL333" s="79">
        <v>0</v>
      </c>
      <c r="BM333" s="79">
        <v>0</v>
      </c>
      <c r="BN333" s="79">
        <v>50000</v>
      </c>
      <c r="BO333" s="79">
        <v>0</v>
      </c>
      <c r="BP333" s="79">
        <v>50000</v>
      </c>
      <c r="BQ333" s="79">
        <v>0</v>
      </c>
      <c r="BR333" s="79">
        <v>0</v>
      </c>
      <c r="BS333" s="79">
        <v>150000</v>
      </c>
    </row>
    <row r="334" spans="1:71" ht="15" hidden="1" customHeight="1">
      <c r="A334" s="66" t="s">
        <v>2058</v>
      </c>
      <c r="B334" s="737" t="s">
        <v>552</v>
      </c>
      <c r="C334" s="346"/>
      <c r="D334" s="343" t="str">
        <f>_xlfn.TEXTJOIN("_",FALSE,E334,ERP_8[[#This Row],[Expense Category]],ERP_8[[#This Row],[Project Code*]])</f>
        <v>Hovanyetz, Mike_MANAGED SERVICES_IT-FBT0824-OT-US-00</v>
      </c>
      <c r="E334" s="343" t="s">
        <v>1480</v>
      </c>
      <c r="F334" s="346"/>
      <c r="G334" s="150" t="s">
        <v>1136</v>
      </c>
      <c r="H334" s="150" t="s">
        <v>1345</v>
      </c>
      <c r="I334" s="150" t="s">
        <v>1480</v>
      </c>
      <c r="J334" s="150" t="s">
        <v>1346</v>
      </c>
      <c r="K334" s="511" t="s">
        <v>389</v>
      </c>
      <c r="L334" s="392" t="s">
        <v>2020</v>
      </c>
      <c r="M334" s="343"/>
      <c r="N334" s="800"/>
      <c r="O334" s="70" t="s">
        <v>530</v>
      </c>
      <c r="P334" s="346"/>
      <c r="Q334" s="343"/>
      <c r="R334" s="346"/>
      <c r="S334" s="150" t="s">
        <v>531</v>
      </c>
      <c r="T334" s="346" t="s">
        <v>2021</v>
      </c>
      <c r="U334" s="403"/>
      <c r="V334" s="406">
        <v>26000</v>
      </c>
      <c r="W334" s="406">
        <v>0</v>
      </c>
      <c r="X334" s="425"/>
      <c r="Y334" s="71"/>
      <c r="Z334" s="784"/>
      <c r="AA334" s="780"/>
      <c r="AB334" s="780"/>
      <c r="AC334" s="428" t="s">
        <v>1142</v>
      </c>
      <c r="AD334" s="429">
        <v>0</v>
      </c>
      <c r="AE334" s="429">
        <v>0</v>
      </c>
      <c r="AF334" s="429" t="s">
        <v>1142</v>
      </c>
      <c r="AG334" s="360">
        <v>0</v>
      </c>
      <c r="AH334" s="360">
        <v>0</v>
      </c>
      <c r="AI334" s="363">
        <f>13000-13000</f>
        <v>0</v>
      </c>
      <c r="AJ334" s="360">
        <v>0</v>
      </c>
      <c r="AK334" s="360">
        <v>0</v>
      </c>
      <c r="AL334" s="360">
        <f t="shared" si="22"/>
        <v>0</v>
      </c>
      <c r="AM334" s="362">
        <f>ERP_8[[#This Row],[2026 Working Total]]-ERP_8[[#This Row],[LE2 Final Submission]]</f>
        <v>0</v>
      </c>
      <c r="AN334" s="79">
        <v>0</v>
      </c>
      <c r="AO334" s="79">
        <f t="shared" si="21"/>
        <v>0</v>
      </c>
      <c r="AP334" s="374">
        <f>SUM(ERP_8[[#This Row],[AP01]:[AP07]])-SUM(ERP_8[[#This Row],[AP01 LE2]:[AP07 LE2]])</f>
        <v>0</v>
      </c>
      <c r="AQ334" s="80"/>
      <c r="AR334" s="79">
        <f>ERP_8[[#This Row],[2026 Working Total to Budget/LE]]-ERP_8[[#This Row],[Giveback]]</f>
        <v>0</v>
      </c>
      <c r="AS334" s="81"/>
      <c r="AT334" s="375"/>
      <c r="AU334" s="375"/>
      <c r="AV334" s="375"/>
      <c r="AW334" s="375"/>
      <c r="AX334" s="375">
        <v>0</v>
      </c>
      <c r="AY334" s="375">
        <v>0</v>
      </c>
      <c r="AZ334" s="375">
        <v>0</v>
      </c>
      <c r="BA334" s="375">
        <v>0</v>
      </c>
      <c r="BB334" s="375">
        <v>0</v>
      </c>
      <c r="BC334" s="375">
        <v>0</v>
      </c>
      <c r="BD334" s="375">
        <v>0</v>
      </c>
      <c r="BE334" s="375">
        <v>0</v>
      </c>
      <c r="BF334" s="375">
        <v>0</v>
      </c>
      <c r="BG334" s="79"/>
      <c r="BH334" s="79"/>
      <c r="BI334" s="79"/>
      <c r="BJ334" s="79"/>
      <c r="BK334" s="79">
        <v>13000</v>
      </c>
      <c r="BL334" s="79">
        <v>0</v>
      </c>
      <c r="BM334" s="79">
        <v>0</v>
      </c>
      <c r="BN334" s="79">
        <v>0</v>
      </c>
      <c r="BO334" s="79">
        <v>0</v>
      </c>
      <c r="BP334" s="79">
        <v>13000</v>
      </c>
      <c r="BQ334" s="79">
        <v>0</v>
      </c>
      <c r="BR334" s="79">
        <v>0</v>
      </c>
      <c r="BS334" s="79">
        <v>26000</v>
      </c>
    </row>
    <row r="335" spans="1:71" ht="15" hidden="1" customHeight="1">
      <c r="A335" s="66" t="s">
        <v>2059</v>
      </c>
      <c r="B335" s="737" t="s">
        <v>553</v>
      </c>
      <c r="C335" s="346"/>
      <c r="D335" s="343" t="str">
        <f>_xlfn.TEXTJOIN("_",FALSE,E335,ERP_8[[#This Row],[Expense Category]],ERP_8[[#This Row],[Project Code*]])</f>
        <v>Hovanyetz, Mike_MANAGED SERVICES_IT-FGS0301-OG-US-00</v>
      </c>
      <c r="E335" s="343" t="s">
        <v>1480</v>
      </c>
      <c r="F335" s="346"/>
      <c r="G335" s="150" t="s">
        <v>1136</v>
      </c>
      <c r="H335" s="150" t="s">
        <v>1345</v>
      </c>
      <c r="I335" s="150" t="s">
        <v>1480</v>
      </c>
      <c r="J335" s="150" t="s">
        <v>1346</v>
      </c>
      <c r="K335" s="511" t="s">
        <v>389</v>
      </c>
      <c r="L335" s="392" t="s">
        <v>1855</v>
      </c>
      <c r="M335" s="343"/>
      <c r="N335" s="800" t="s">
        <v>2060</v>
      </c>
      <c r="O335" s="70" t="s">
        <v>466</v>
      </c>
      <c r="P335" s="346"/>
      <c r="Q335" s="346" t="s">
        <v>1140</v>
      </c>
      <c r="R335" s="346"/>
      <c r="S335" s="150" t="s">
        <v>57</v>
      </c>
      <c r="T335" s="150"/>
      <c r="U335" s="403"/>
      <c r="V335" s="406">
        <v>27000</v>
      </c>
      <c r="W335" s="406">
        <v>26481</v>
      </c>
      <c r="X335" s="425"/>
      <c r="Y335" s="71"/>
      <c r="Z335" s="784">
        <v>1883</v>
      </c>
      <c r="AA335" s="780">
        <v>1481</v>
      </c>
      <c r="AB335" s="780">
        <v>2867</v>
      </c>
      <c r="AC335" s="428">
        <v>1442</v>
      </c>
      <c r="AD335" s="429">
        <v>1442</v>
      </c>
      <c r="AE335" s="429">
        <v>1375</v>
      </c>
      <c r="AF335" s="429">
        <v>1241</v>
      </c>
      <c r="AG335" s="363">
        <v>2250</v>
      </c>
      <c r="AH335" s="363">
        <v>2250</v>
      </c>
      <c r="AI335" s="363">
        <v>2250</v>
      </c>
      <c r="AJ335" s="363">
        <v>2250</v>
      </c>
      <c r="AK335" s="363">
        <v>2250</v>
      </c>
      <c r="AL335" s="360">
        <f t="shared" si="22"/>
        <v>22981</v>
      </c>
      <c r="AM335" s="362">
        <f>ERP_8[[#This Row],[2026 Working Total]]-ERP_8[[#This Row],[LE2 Final Submission]]</f>
        <v>-3500</v>
      </c>
      <c r="AN335" s="79">
        <v>2250</v>
      </c>
      <c r="AO335" s="79">
        <f t="shared" si="21"/>
        <v>-875</v>
      </c>
      <c r="AP335" s="374">
        <f>SUM(ERP_8[[#This Row],[AP01]:[AP07]])-SUM(ERP_8[[#This Row],[AP01 LE2]:[AP07 LE2]])</f>
        <v>-3500</v>
      </c>
      <c r="AQ335" s="80"/>
      <c r="AR335" s="79">
        <f>ERP_8[[#This Row],[2026 Working Total to Budget/LE]]-ERP_8[[#This Row],[Giveback]]</f>
        <v>-3500</v>
      </c>
      <c r="AS335" s="81"/>
      <c r="AT335" s="375">
        <v>1883</v>
      </c>
      <c r="AU335" s="375">
        <v>1481</v>
      </c>
      <c r="AV335" s="375">
        <v>2867</v>
      </c>
      <c r="AW335" s="375">
        <v>2250</v>
      </c>
      <c r="AX335" s="375">
        <v>2250</v>
      </c>
      <c r="AY335" s="375">
        <v>2250</v>
      </c>
      <c r="AZ335" s="375">
        <v>2250</v>
      </c>
      <c r="BA335" s="375">
        <v>2250</v>
      </c>
      <c r="BB335" s="375">
        <v>2250</v>
      </c>
      <c r="BC335" s="375">
        <v>2250</v>
      </c>
      <c r="BD335" s="375">
        <v>2250</v>
      </c>
      <c r="BE335" s="375">
        <v>2250</v>
      </c>
      <c r="BF335" s="375">
        <v>26481</v>
      </c>
      <c r="BG335" s="79">
        <v>1883</v>
      </c>
      <c r="BH335" s="79">
        <v>1481</v>
      </c>
      <c r="BI335" s="79">
        <v>2867</v>
      </c>
      <c r="BJ335" s="79">
        <v>2250</v>
      </c>
      <c r="BK335" s="79">
        <v>2250</v>
      </c>
      <c r="BL335" s="79">
        <v>2250</v>
      </c>
      <c r="BM335" s="79">
        <v>2250</v>
      </c>
      <c r="BN335" s="79">
        <v>2250</v>
      </c>
      <c r="BO335" s="79">
        <v>2250</v>
      </c>
      <c r="BP335" s="79">
        <v>2250</v>
      </c>
      <c r="BQ335" s="79">
        <v>2250</v>
      </c>
      <c r="BR335" s="79">
        <v>2250</v>
      </c>
      <c r="BS335" s="79">
        <v>26481</v>
      </c>
    </row>
    <row r="336" spans="1:71" ht="15" hidden="1" customHeight="1">
      <c r="A336" s="66" t="s">
        <v>2061</v>
      </c>
      <c r="B336" s="737" t="s">
        <v>2062</v>
      </c>
      <c r="C336" s="346"/>
      <c r="D336" s="343" t="str">
        <f>_xlfn.TEXTJOIN("_",FALSE,E336,ERP_8[[#This Row],[Expense Category]],ERP_8[[#This Row],[Project Code*]])</f>
        <v>Hovanyetz, Mike_MANAGED SERVICES_IT-FGS0301-OG-US-00</v>
      </c>
      <c r="E336" s="343" t="s">
        <v>1480</v>
      </c>
      <c r="F336" s="346"/>
      <c r="G336" s="150" t="s">
        <v>1136</v>
      </c>
      <c r="H336" s="150" t="s">
        <v>1345</v>
      </c>
      <c r="I336" s="150" t="s">
        <v>1481</v>
      </c>
      <c r="J336" s="150" t="s">
        <v>1346</v>
      </c>
      <c r="K336" s="511" t="s">
        <v>389</v>
      </c>
      <c r="L336" s="392" t="s">
        <v>1855</v>
      </c>
      <c r="M336" s="343"/>
      <c r="N336" s="804">
        <v>2329610</v>
      </c>
      <c r="O336" s="70" t="s">
        <v>466</v>
      </c>
      <c r="P336" s="346"/>
      <c r="Q336" s="346" t="s">
        <v>1140</v>
      </c>
      <c r="R336" s="346"/>
      <c r="S336" s="150" t="s">
        <v>57</v>
      </c>
      <c r="T336" s="473" t="s">
        <v>1513</v>
      </c>
      <c r="U336" s="403"/>
      <c r="V336" s="406">
        <v>18852</v>
      </c>
      <c r="W336" s="406">
        <v>18092</v>
      </c>
      <c r="X336" s="425"/>
      <c r="Y336" s="71"/>
      <c r="Z336" s="784">
        <v>1206</v>
      </c>
      <c r="AA336" s="780">
        <v>1139</v>
      </c>
      <c r="AB336" s="780">
        <v>1608</v>
      </c>
      <c r="AC336" s="428">
        <v>1206</v>
      </c>
      <c r="AD336" s="429">
        <v>1206</v>
      </c>
      <c r="AE336" s="429">
        <v>1206</v>
      </c>
      <c r="AF336" s="429">
        <v>1206</v>
      </c>
      <c r="AG336" s="363">
        <v>1571</v>
      </c>
      <c r="AH336" s="363">
        <v>1571</v>
      </c>
      <c r="AI336" s="363">
        <v>1571</v>
      </c>
      <c r="AJ336" s="363">
        <v>1571</v>
      </c>
      <c r="AK336" s="363">
        <v>1571</v>
      </c>
      <c r="AL336" s="360">
        <f t="shared" si="22"/>
        <v>16632</v>
      </c>
      <c r="AM336" s="362">
        <f>ERP_8[[#This Row],[2026 Working Total]]-ERP_8[[#This Row],[LE2 Final Submission]]</f>
        <v>-1460</v>
      </c>
      <c r="AN336" s="79">
        <v>1571</v>
      </c>
      <c r="AO336" s="79">
        <f t="shared" si="21"/>
        <v>-365</v>
      </c>
      <c r="AP336" s="374">
        <f>SUM(ERP_8[[#This Row],[AP01]:[AP07]])-SUM(ERP_8[[#This Row],[AP01 LE2]:[AP07 LE2]])</f>
        <v>-1460</v>
      </c>
      <c r="AQ336" s="80"/>
      <c r="AR336" s="79">
        <f>ERP_8[[#This Row],[2026 Working Total to Budget/LE]]-ERP_8[[#This Row],[Giveback]]</f>
        <v>-1460</v>
      </c>
      <c r="AS336" s="81"/>
      <c r="AT336" s="375">
        <v>1206</v>
      </c>
      <c r="AU336" s="375">
        <v>1139</v>
      </c>
      <c r="AV336" s="375">
        <v>1608</v>
      </c>
      <c r="AW336" s="375">
        <v>1571</v>
      </c>
      <c r="AX336" s="375">
        <v>1571</v>
      </c>
      <c r="AY336" s="375">
        <v>1571</v>
      </c>
      <c r="AZ336" s="375">
        <v>1571</v>
      </c>
      <c r="BA336" s="375">
        <v>1571</v>
      </c>
      <c r="BB336" s="375">
        <v>1571</v>
      </c>
      <c r="BC336" s="375">
        <v>1571</v>
      </c>
      <c r="BD336" s="375">
        <v>1571</v>
      </c>
      <c r="BE336" s="375">
        <v>1571</v>
      </c>
      <c r="BF336" s="375">
        <v>18092</v>
      </c>
      <c r="BG336" s="79">
        <v>1206</v>
      </c>
      <c r="BH336" s="79">
        <v>1139</v>
      </c>
      <c r="BI336" s="79">
        <v>1608</v>
      </c>
      <c r="BJ336" s="79">
        <v>1571</v>
      </c>
      <c r="BK336" s="79">
        <v>1571</v>
      </c>
      <c r="BL336" s="79">
        <v>1571</v>
      </c>
      <c r="BM336" s="79">
        <v>1571</v>
      </c>
      <c r="BN336" s="79">
        <v>1571</v>
      </c>
      <c r="BO336" s="79">
        <v>1571</v>
      </c>
      <c r="BP336" s="79">
        <v>1571</v>
      </c>
      <c r="BQ336" s="79">
        <v>1571</v>
      </c>
      <c r="BR336" s="79">
        <v>1571</v>
      </c>
      <c r="BS336" s="79">
        <v>18092</v>
      </c>
    </row>
    <row r="337" spans="1:71" ht="15" hidden="1" customHeight="1">
      <c r="A337" s="66" t="s">
        <v>2063</v>
      </c>
      <c r="B337" s="737" t="s">
        <v>554</v>
      </c>
      <c r="C337" s="346"/>
      <c r="D337" s="343" t="str">
        <f>_xlfn.TEXTJOIN("_",FALSE,E337,ERP_8[[#This Row],[Expense Category]],ERP_8[[#This Row],[Project Code*]])</f>
        <v>Hovanyetz, Mike_MANAGED SERVICES_MISC001</v>
      </c>
      <c r="E337" s="343" t="s">
        <v>1480</v>
      </c>
      <c r="F337" s="346"/>
      <c r="G337" s="150" t="s">
        <v>1136</v>
      </c>
      <c r="H337" s="150" t="s">
        <v>1345</v>
      </c>
      <c r="I337" s="150" t="s">
        <v>1480</v>
      </c>
      <c r="J337" s="150" t="s">
        <v>1346</v>
      </c>
      <c r="K337" s="511" t="s">
        <v>389</v>
      </c>
      <c r="L337" s="392" t="s">
        <v>1327</v>
      </c>
      <c r="M337" s="343"/>
      <c r="N337" s="800" t="s">
        <v>2060</v>
      </c>
      <c r="O337" s="70" t="s">
        <v>147</v>
      </c>
      <c r="P337" s="346"/>
      <c r="Q337" s="343"/>
      <c r="R337" s="346"/>
      <c r="S337" s="150" t="s">
        <v>25</v>
      </c>
      <c r="T337" s="150"/>
      <c r="U337" s="403"/>
      <c r="V337" s="406">
        <v>0</v>
      </c>
      <c r="W337" s="406">
        <v>-0.2</v>
      </c>
      <c r="X337" s="430"/>
      <c r="Y337" s="137"/>
      <c r="Z337" s="784">
        <v>-0.48</v>
      </c>
      <c r="AA337" s="780">
        <v>0.28999999999999998</v>
      </c>
      <c r="AB337" s="780">
        <v>-0.01</v>
      </c>
      <c r="AC337" s="428">
        <v>0.06</v>
      </c>
      <c r="AD337" s="429">
        <v>0.16</v>
      </c>
      <c r="AE337" s="429">
        <v>0.08</v>
      </c>
      <c r="AF337" s="429">
        <v>0</v>
      </c>
      <c r="AG337" s="360">
        <v>0</v>
      </c>
      <c r="AH337" s="360">
        <v>0</v>
      </c>
      <c r="AI337" s="360">
        <v>0</v>
      </c>
      <c r="AJ337" s="360">
        <v>0</v>
      </c>
      <c r="AK337" s="360">
        <v>0</v>
      </c>
      <c r="AL337" s="360">
        <f t="shared" si="22"/>
        <v>9.9999999999999992E-2</v>
      </c>
      <c r="AM337" s="362">
        <f>ERP_8[[#This Row],[2026 Working Total]]-ERP_8[[#This Row],[LE2 Final Submission]]</f>
        <v>0.3</v>
      </c>
      <c r="AN337" s="79">
        <v>0</v>
      </c>
      <c r="AO337" s="79">
        <f t="shared" si="21"/>
        <v>0.08</v>
      </c>
      <c r="AP337" s="374">
        <f>SUM(ERP_8[[#This Row],[AP01]:[AP07]])-SUM(ERP_8[[#This Row],[AP01 LE2]:[AP07 LE2]])</f>
        <v>0.3</v>
      </c>
      <c r="AQ337" s="80"/>
      <c r="AR337" s="79">
        <f>ERP_8[[#This Row],[2026 Working Total to Budget/LE]]-ERP_8[[#This Row],[Giveback]]</f>
        <v>0.3</v>
      </c>
      <c r="AS337" s="81"/>
      <c r="AT337" s="375">
        <v>-0.48</v>
      </c>
      <c r="AU337" s="375">
        <v>0.28999999999999998</v>
      </c>
      <c r="AV337" s="375">
        <v>-0.01</v>
      </c>
      <c r="AW337" s="375">
        <v>0</v>
      </c>
      <c r="AX337" s="375">
        <v>0</v>
      </c>
      <c r="AY337" s="375">
        <v>0</v>
      </c>
      <c r="AZ337" s="375">
        <v>0</v>
      </c>
      <c r="BA337" s="375">
        <v>0</v>
      </c>
      <c r="BB337" s="375">
        <v>0</v>
      </c>
      <c r="BC337" s="375">
        <v>0</v>
      </c>
      <c r="BD337" s="375">
        <v>0</v>
      </c>
      <c r="BE337" s="375">
        <v>0</v>
      </c>
      <c r="BF337" s="375">
        <v>-0.2</v>
      </c>
      <c r="BG337" s="79">
        <v>-0.48</v>
      </c>
      <c r="BH337" s="79">
        <v>0.28999999999999998</v>
      </c>
      <c r="BI337" s="79">
        <v>-0.01</v>
      </c>
      <c r="BJ337" s="79">
        <v>0</v>
      </c>
      <c r="BK337" s="79">
        <v>0</v>
      </c>
      <c r="BL337" s="79">
        <v>0</v>
      </c>
      <c r="BM337" s="79">
        <v>0</v>
      </c>
      <c r="BN337" s="79">
        <v>0</v>
      </c>
      <c r="BO337" s="79">
        <v>0</v>
      </c>
      <c r="BP337" s="79">
        <v>0</v>
      </c>
      <c r="BQ337" s="79">
        <v>0</v>
      </c>
      <c r="BR337" s="79">
        <v>0</v>
      </c>
      <c r="BS337" s="79">
        <v>-0.2</v>
      </c>
    </row>
    <row r="338" spans="1:71" ht="15" hidden="1" customHeight="1">
      <c r="A338" s="150" t="s">
        <v>2064</v>
      </c>
      <c r="B338" s="749" t="s">
        <v>2065</v>
      </c>
      <c r="C338" s="348"/>
      <c r="D338" s="347" t="str">
        <f>_xlfn.TEXTJOIN("_",FALSE,E338,ERP_8[[#This Row],[Expense Category]],ERP_8[[#This Row],[Project Code*]])</f>
        <v>Hovanyetz, Mike_MANAGED SERVICES_MISC001</v>
      </c>
      <c r="E338" s="347" t="s">
        <v>1480</v>
      </c>
      <c r="F338" s="348"/>
      <c r="G338" s="150" t="s">
        <v>1136</v>
      </c>
      <c r="H338" s="332" t="s">
        <v>1345</v>
      </c>
      <c r="I338" s="332" t="s">
        <v>1481</v>
      </c>
      <c r="J338" s="332" t="s">
        <v>1481</v>
      </c>
      <c r="K338" s="514" t="s">
        <v>389</v>
      </c>
      <c r="L338" s="394" t="s">
        <v>1327</v>
      </c>
      <c r="M338" s="333"/>
      <c r="N338" s="467" t="s">
        <v>1487</v>
      </c>
      <c r="O338" s="90" t="s">
        <v>147</v>
      </c>
      <c r="P338" s="347"/>
      <c r="Q338" s="347"/>
      <c r="R338" s="348"/>
      <c r="S338" s="348"/>
      <c r="T338" s="348"/>
      <c r="U338" s="402"/>
      <c r="V338" s="406"/>
      <c r="W338" s="406"/>
      <c r="X338" s="425"/>
      <c r="Y338" s="71"/>
      <c r="Z338" s="784"/>
      <c r="AA338" s="780"/>
      <c r="AB338" s="780"/>
      <c r="AC338" s="436"/>
      <c r="AD338" s="429">
        <v>0</v>
      </c>
      <c r="AE338" s="429">
        <v>0</v>
      </c>
      <c r="AF338" s="429">
        <v>0</v>
      </c>
      <c r="AG338" s="364"/>
      <c r="AH338" s="364"/>
      <c r="AI338" s="364"/>
      <c r="AJ338" s="364"/>
      <c r="AK338" s="364"/>
      <c r="AL338" s="360">
        <f t="shared" si="22"/>
        <v>0</v>
      </c>
      <c r="AM338" s="362">
        <f>ERP_8[[#This Row],[2026 Working Total]]-ERP_8[[#This Row],[LE2 Final Submission]]</f>
        <v>0</v>
      </c>
      <c r="AN338" s="79"/>
      <c r="AO338" s="79">
        <f t="shared" si="21"/>
        <v>0</v>
      </c>
      <c r="AP338" s="374">
        <f>SUM(ERP_8[[#This Row],[AP01]:[AP07]])-SUM(ERP_8[[#This Row],[AP01 LE2]:[AP07 LE2]])</f>
        <v>0</v>
      </c>
      <c r="AQ338" s="80"/>
      <c r="AR338" s="79">
        <f>ERP_8[[#This Row],[2026 Working Total to Budget/LE]]-ERP_8[[#This Row],[Giveback]]</f>
        <v>0</v>
      </c>
      <c r="AS338" s="81"/>
      <c r="AT338" s="375"/>
      <c r="AU338" s="375"/>
      <c r="AV338" s="375"/>
      <c r="AW338" s="375"/>
      <c r="AX338" s="375"/>
      <c r="AY338" s="375"/>
      <c r="AZ338" s="375"/>
      <c r="BA338" s="375"/>
      <c r="BB338" s="375"/>
      <c r="BC338" s="375"/>
      <c r="BD338" s="375"/>
      <c r="BE338" s="375"/>
      <c r="BF338" s="375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</row>
    <row r="339" spans="1:71" ht="15" hidden="1" customHeight="1">
      <c r="A339" s="66" t="s">
        <v>2066</v>
      </c>
      <c r="B339" s="737" t="s">
        <v>555</v>
      </c>
      <c r="C339" s="346"/>
      <c r="D339" s="343" t="str">
        <f>_xlfn.TEXTJOIN("_",FALSE,E339,ERP_8[[#This Row],[Expense Category]],ERP_8[[#This Row],[Project Code*]])</f>
        <v>Jajodia, Amit_MANAGED SERVICES_EnhanceChargeout001</v>
      </c>
      <c r="E339" s="343" t="s">
        <v>1515</v>
      </c>
      <c r="F339" s="346"/>
      <c r="G339" s="150" t="s">
        <v>1136</v>
      </c>
      <c r="H339" s="150" t="s">
        <v>1345</v>
      </c>
      <c r="I339" s="150" t="s">
        <v>1515</v>
      </c>
      <c r="J339" s="150" t="s">
        <v>1346</v>
      </c>
      <c r="K339" s="511" t="s">
        <v>389</v>
      </c>
      <c r="L339" s="392" t="s">
        <v>1147</v>
      </c>
      <c r="M339" s="343"/>
      <c r="N339" s="800" t="s">
        <v>2067</v>
      </c>
      <c r="O339" s="70" t="s">
        <v>53</v>
      </c>
      <c r="P339" s="346" t="s">
        <v>1153</v>
      </c>
      <c r="Q339" s="343"/>
      <c r="R339" s="346"/>
      <c r="S339" s="150" t="s">
        <v>25</v>
      </c>
      <c r="T339" s="150"/>
      <c r="U339" s="403"/>
      <c r="V339" s="406">
        <v>0</v>
      </c>
      <c r="W339" s="406">
        <v>1177</v>
      </c>
      <c r="X339" s="425"/>
      <c r="Y339" s="71"/>
      <c r="Z339" s="784">
        <v>-14023</v>
      </c>
      <c r="AA339" s="794">
        <v>60</v>
      </c>
      <c r="AB339" s="794">
        <v>15140</v>
      </c>
      <c r="AC339" s="428">
        <v>60</v>
      </c>
      <c r="AD339" s="429">
        <v>60</v>
      </c>
      <c r="AE339" s="429">
        <v>-1401</v>
      </c>
      <c r="AF339" s="429">
        <v>67</v>
      </c>
      <c r="AG339" s="360">
        <v>0</v>
      </c>
      <c r="AH339" s="360">
        <v>0</v>
      </c>
      <c r="AI339" s="360">
        <v>0</v>
      </c>
      <c r="AJ339" s="360">
        <v>0</v>
      </c>
      <c r="AK339" s="360">
        <v>0</v>
      </c>
      <c r="AL339" s="360">
        <f t="shared" si="22"/>
        <v>-37</v>
      </c>
      <c r="AM339" s="362">
        <f>ERP_8[[#This Row],[2026 Working Total]]-ERP_8[[#This Row],[LE2 Final Submission]]</f>
        <v>-1214</v>
      </c>
      <c r="AN339" s="79">
        <v>0</v>
      </c>
      <c r="AO339" s="79">
        <f t="shared" si="21"/>
        <v>-1401</v>
      </c>
      <c r="AP339" s="374">
        <f>SUM(ERP_8[[#This Row],[AP01]:[AP07]])-SUM(ERP_8[[#This Row],[AP01 LE2]:[AP07 LE2]])</f>
        <v>-1214</v>
      </c>
      <c r="AQ339" s="80"/>
      <c r="AR339" s="79">
        <f>ERP_8[[#This Row],[2026 Working Total to Budget/LE]]-ERP_8[[#This Row],[Giveback]]</f>
        <v>-1214</v>
      </c>
      <c r="AS339" s="81"/>
      <c r="AT339" s="375">
        <v>-14023</v>
      </c>
      <c r="AU339" s="375">
        <v>60</v>
      </c>
      <c r="AV339" s="375">
        <v>15140</v>
      </c>
      <c r="AW339" s="375">
        <v>0</v>
      </c>
      <c r="AX339" s="375">
        <v>0</v>
      </c>
      <c r="AY339" s="375">
        <v>0</v>
      </c>
      <c r="AZ339" s="375">
        <v>0</v>
      </c>
      <c r="BA339" s="375">
        <v>0</v>
      </c>
      <c r="BB339" s="375">
        <v>0</v>
      </c>
      <c r="BC339" s="375">
        <v>0</v>
      </c>
      <c r="BD339" s="375">
        <v>0</v>
      </c>
      <c r="BE339" s="375">
        <v>0</v>
      </c>
      <c r="BF339" s="375">
        <v>1177</v>
      </c>
      <c r="BG339" s="79">
        <v>-14023</v>
      </c>
      <c r="BH339" s="79">
        <v>60</v>
      </c>
      <c r="BI339" s="79">
        <v>15140</v>
      </c>
      <c r="BJ339" s="79">
        <v>0</v>
      </c>
      <c r="BK339" s="79">
        <v>0</v>
      </c>
      <c r="BL339" s="79">
        <v>0</v>
      </c>
      <c r="BM339" s="79">
        <v>0</v>
      </c>
      <c r="BN339" s="79">
        <v>0</v>
      </c>
      <c r="BO339" s="79">
        <v>0</v>
      </c>
      <c r="BP339" s="79">
        <v>0</v>
      </c>
      <c r="BQ339" s="79">
        <v>0</v>
      </c>
      <c r="BR339" s="79">
        <v>0</v>
      </c>
      <c r="BS339" s="79">
        <v>1177</v>
      </c>
    </row>
    <row r="340" spans="1:71" ht="15" hidden="1" customHeight="1">
      <c r="A340" s="66" t="s">
        <v>2068</v>
      </c>
      <c r="B340" s="737" t="s">
        <v>556</v>
      </c>
      <c r="C340" s="346"/>
      <c r="D340" s="343" t="str">
        <f>_xlfn.TEXTJOIN("_",FALSE,E340,ERP_8[[#This Row],[Expense Category]],ERP_8[[#This Row],[Project Code*]])</f>
        <v>Jajodia, Amit_MANAGED SERVICES_IT-FBT0659-OG-US-00</v>
      </c>
      <c r="E340" s="343" t="s">
        <v>1515</v>
      </c>
      <c r="F340" s="346"/>
      <c r="G340" s="150" t="s">
        <v>1136</v>
      </c>
      <c r="H340" s="150" t="s">
        <v>1345</v>
      </c>
      <c r="I340" s="150" t="s">
        <v>1515</v>
      </c>
      <c r="J340" s="150" t="s">
        <v>1346</v>
      </c>
      <c r="K340" s="511" t="s">
        <v>389</v>
      </c>
      <c r="L340" s="392" t="s">
        <v>1969</v>
      </c>
      <c r="M340" s="343"/>
      <c r="N340" s="800"/>
      <c r="O340" s="70" t="s">
        <v>497</v>
      </c>
      <c r="P340" s="346"/>
      <c r="Q340" s="343"/>
      <c r="R340" s="346"/>
      <c r="S340" s="150" t="s">
        <v>25</v>
      </c>
      <c r="T340" s="150"/>
      <c r="U340" s="403"/>
      <c r="V340" s="406">
        <v>4213</v>
      </c>
      <c r="W340" s="406">
        <v>3403</v>
      </c>
      <c r="X340" s="425"/>
      <c r="Y340" s="71"/>
      <c r="Z340" s="784"/>
      <c r="AA340" s="794"/>
      <c r="AB340" s="794"/>
      <c r="AC340" s="428" t="s">
        <v>1142</v>
      </c>
      <c r="AD340" s="429">
        <v>0</v>
      </c>
      <c r="AE340" s="429">
        <v>0</v>
      </c>
      <c r="AF340" s="429" t="s">
        <v>1142</v>
      </c>
      <c r="AG340" s="363">
        <v>267</v>
      </c>
      <c r="AH340" s="363">
        <v>267</v>
      </c>
      <c r="AI340" s="363">
        <v>267</v>
      </c>
      <c r="AJ340" s="363">
        <v>267</v>
      </c>
      <c r="AK340" s="363">
        <v>1267</v>
      </c>
      <c r="AL340" s="360">
        <f t="shared" si="22"/>
        <v>2335</v>
      </c>
      <c r="AM340" s="362">
        <f>ERP_8[[#This Row],[2026 Working Total]]-ERP_8[[#This Row],[LE2 Final Submission]]</f>
        <v>-1068</v>
      </c>
      <c r="AN340" s="79">
        <v>267</v>
      </c>
      <c r="AO340" s="79">
        <f t="shared" si="21"/>
        <v>-267</v>
      </c>
      <c r="AP340" s="374">
        <f>SUM(ERP_8[[#This Row],[AP01]:[AP07]])-SUM(ERP_8[[#This Row],[AP01 LE2]:[AP07 LE2]])</f>
        <v>-1068</v>
      </c>
      <c r="AQ340" s="80"/>
      <c r="AR340" s="79">
        <f>ERP_8[[#This Row],[2026 Working Total to Budget/LE]]-ERP_8[[#This Row],[Giveback]]</f>
        <v>-1068</v>
      </c>
      <c r="AS340" s="81"/>
      <c r="AT340" s="375"/>
      <c r="AU340" s="375"/>
      <c r="AV340" s="375"/>
      <c r="AW340" s="375">
        <v>267</v>
      </c>
      <c r="AX340" s="375">
        <v>267</v>
      </c>
      <c r="AY340" s="375">
        <v>267</v>
      </c>
      <c r="AZ340" s="375">
        <v>267</v>
      </c>
      <c r="BA340" s="375">
        <v>267</v>
      </c>
      <c r="BB340" s="375">
        <v>267</v>
      </c>
      <c r="BC340" s="375">
        <v>267</v>
      </c>
      <c r="BD340" s="375">
        <v>267</v>
      </c>
      <c r="BE340" s="375">
        <v>1267</v>
      </c>
      <c r="BF340" s="375">
        <v>3403</v>
      </c>
      <c r="BG340" s="79"/>
      <c r="BH340" s="79"/>
      <c r="BI340" s="79"/>
      <c r="BJ340" s="79">
        <v>267</v>
      </c>
      <c r="BK340" s="79">
        <v>267</v>
      </c>
      <c r="BL340" s="79">
        <v>267</v>
      </c>
      <c r="BM340" s="79">
        <v>267</v>
      </c>
      <c r="BN340" s="79">
        <v>267</v>
      </c>
      <c r="BO340" s="79">
        <v>267</v>
      </c>
      <c r="BP340" s="79">
        <v>267</v>
      </c>
      <c r="BQ340" s="79">
        <v>267</v>
      </c>
      <c r="BR340" s="79">
        <v>1267</v>
      </c>
      <c r="BS340" s="79">
        <v>3403</v>
      </c>
    </row>
    <row r="341" spans="1:71" ht="15" hidden="1" customHeight="1">
      <c r="A341" s="66" t="s">
        <v>2069</v>
      </c>
      <c r="B341" s="737" t="s">
        <v>557</v>
      </c>
      <c r="C341" s="346"/>
      <c r="D341" s="343" t="str">
        <f>_xlfn.TEXTJOIN("_",FALSE,E341,ERP_8[[#This Row],[Expense Category]],ERP_8[[#This Row],[Project Code*]])</f>
        <v>Jajodia, Amit_MANAGED SERVICES_IT-FBT0660-OG-US-00</v>
      </c>
      <c r="E341" s="343" t="s">
        <v>1515</v>
      </c>
      <c r="F341" s="346"/>
      <c r="G341" s="150" t="s">
        <v>1136</v>
      </c>
      <c r="H341" s="150" t="s">
        <v>1345</v>
      </c>
      <c r="I341" s="150" t="s">
        <v>1515</v>
      </c>
      <c r="J341" s="150" t="s">
        <v>1346</v>
      </c>
      <c r="K341" s="511" t="s">
        <v>389</v>
      </c>
      <c r="L341" s="392" t="s">
        <v>1971</v>
      </c>
      <c r="M341" s="343"/>
      <c r="N341" s="800"/>
      <c r="O341" s="70" t="s">
        <v>499</v>
      </c>
      <c r="P341" s="346"/>
      <c r="Q341" s="343"/>
      <c r="R341" s="346"/>
      <c r="S341" s="150" t="s">
        <v>57</v>
      </c>
      <c r="T341" s="150"/>
      <c r="U341" s="403"/>
      <c r="V341" s="406">
        <v>3260</v>
      </c>
      <c r="W341" s="406">
        <v>2780</v>
      </c>
      <c r="X341" s="425"/>
      <c r="Y341" s="71"/>
      <c r="Z341" s="784"/>
      <c r="AA341" s="794"/>
      <c r="AB341" s="794"/>
      <c r="AC341" s="428" t="s">
        <v>1142</v>
      </c>
      <c r="AD341" s="429">
        <v>0</v>
      </c>
      <c r="AE341" s="429">
        <v>0</v>
      </c>
      <c r="AF341" s="429" t="s">
        <v>1142</v>
      </c>
      <c r="AG341" s="363">
        <v>160</v>
      </c>
      <c r="AH341" s="363">
        <v>160</v>
      </c>
      <c r="AI341" s="363">
        <v>160</v>
      </c>
      <c r="AJ341" s="363">
        <v>160</v>
      </c>
      <c r="AK341" s="363">
        <v>1500</v>
      </c>
      <c r="AL341" s="360">
        <f t="shared" si="22"/>
        <v>2140</v>
      </c>
      <c r="AM341" s="362">
        <f>ERP_8[[#This Row],[2026 Working Total]]-ERP_8[[#This Row],[LE2 Final Submission]]</f>
        <v>-640</v>
      </c>
      <c r="AN341" s="79">
        <v>160</v>
      </c>
      <c r="AO341" s="79">
        <f t="shared" si="21"/>
        <v>-160</v>
      </c>
      <c r="AP341" s="374">
        <f>SUM(ERP_8[[#This Row],[AP01]:[AP07]])-SUM(ERP_8[[#This Row],[AP01 LE2]:[AP07 LE2]])</f>
        <v>-640</v>
      </c>
      <c r="AQ341" s="80"/>
      <c r="AR341" s="79">
        <f>ERP_8[[#This Row],[2026 Working Total to Budget/LE]]-ERP_8[[#This Row],[Giveback]]</f>
        <v>-640</v>
      </c>
      <c r="AS341" s="81"/>
      <c r="AT341" s="375"/>
      <c r="AU341" s="375"/>
      <c r="AV341" s="375"/>
      <c r="AW341" s="375">
        <v>160</v>
      </c>
      <c r="AX341" s="375">
        <v>160</v>
      </c>
      <c r="AY341" s="375">
        <v>160</v>
      </c>
      <c r="AZ341" s="375">
        <v>160</v>
      </c>
      <c r="BA341" s="375">
        <v>160</v>
      </c>
      <c r="BB341" s="375">
        <v>160</v>
      </c>
      <c r="BC341" s="375">
        <v>160</v>
      </c>
      <c r="BD341" s="375">
        <v>160</v>
      </c>
      <c r="BE341" s="375">
        <v>1500</v>
      </c>
      <c r="BF341" s="375">
        <v>2780</v>
      </c>
      <c r="BG341" s="79"/>
      <c r="BH341" s="79"/>
      <c r="BI341" s="79"/>
      <c r="BJ341" s="79">
        <v>160</v>
      </c>
      <c r="BK341" s="79">
        <v>160</v>
      </c>
      <c r="BL341" s="79">
        <v>160</v>
      </c>
      <c r="BM341" s="79">
        <v>160</v>
      </c>
      <c r="BN341" s="79">
        <v>160</v>
      </c>
      <c r="BO341" s="79">
        <v>160</v>
      </c>
      <c r="BP341" s="79">
        <v>160</v>
      </c>
      <c r="BQ341" s="79">
        <v>160</v>
      </c>
      <c r="BR341" s="79">
        <v>1500</v>
      </c>
      <c r="BS341" s="79">
        <v>2780</v>
      </c>
    </row>
    <row r="342" spans="1:71" ht="15" hidden="1" customHeight="1">
      <c r="A342" s="66" t="s">
        <v>2070</v>
      </c>
      <c r="B342" s="737" t="s">
        <v>558</v>
      </c>
      <c r="C342" s="346"/>
      <c r="D342" s="343" t="str">
        <f>_xlfn.TEXTJOIN("_",FALSE,E342,ERP_8[[#This Row],[Expense Category]],ERP_8[[#This Row],[Project Code*]])</f>
        <v>Jajodia, Amit_MANAGED SERVICES_IT-FBT0772-OG-US-00</v>
      </c>
      <c r="E342" s="343" t="s">
        <v>1515</v>
      </c>
      <c r="F342" s="346"/>
      <c r="G342" s="150" t="s">
        <v>1136</v>
      </c>
      <c r="H342" s="150" t="s">
        <v>1345</v>
      </c>
      <c r="I342" s="150" t="s">
        <v>1515</v>
      </c>
      <c r="J342" s="150" t="s">
        <v>1346</v>
      </c>
      <c r="K342" s="511" t="s">
        <v>389</v>
      </c>
      <c r="L342" s="392" t="s">
        <v>2071</v>
      </c>
      <c r="M342" s="343"/>
      <c r="N342" s="800"/>
      <c r="O342" s="70" t="s">
        <v>559</v>
      </c>
      <c r="P342" s="346"/>
      <c r="Q342" s="343"/>
      <c r="R342" s="346"/>
      <c r="S342" s="150" t="s">
        <v>57</v>
      </c>
      <c r="T342" s="150"/>
      <c r="U342" s="403"/>
      <c r="V342" s="406">
        <v>17000</v>
      </c>
      <c r="W342" s="406">
        <v>13700</v>
      </c>
      <c r="X342" s="425"/>
      <c r="Y342" s="71"/>
      <c r="Z342" s="784"/>
      <c r="AA342" s="794"/>
      <c r="AB342" s="794"/>
      <c r="AC342" s="428" t="s">
        <v>1142</v>
      </c>
      <c r="AD342" s="429">
        <v>0</v>
      </c>
      <c r="AE342" s="429">
        <v>0</v>
      </c>
      <c r="AF342" s="429" t="s">
        <v>1142</v>
      </c>
      <c r="AG342" s="363">
        <v>1100</v>
      </c>
      <c r="AH342" s="363">
        <v>1100</v>
      </c>
      <c r="AI342" s="363">
        <v>1100</v>
      </c>
      <c r="AJ342" s="363">
        <v>3000</v>
      </c>
      <c r="AK342" s="363">
        <v>3000</v>
      </c>
      <c r="AL342" s="360">
        <f t="shared" si="22"/>
        <v>9300</v>
      </c>
      <c r="AM342" s="362">
        <f>ERP_8[[#This Row],[2026 Working Total]]-ERP_8[[#This Row],[LE2 Final Submission]]</f>
        <v>-4400</v>
      </c>
      <c r="AN342" s="79">
        <v>1100</v>
      </c>
      <c r="AO342" s="79">
        <f t="shared" si="21"/>
        <v>-1100</v>
      </c>
      <c r="AP342" s="374">
        <f>SUM(ERP_8[[#This Row],[AP01]:[AP07]])-SUM(ERP_8[[#This Row],[AP01 LE2]:[AP07 LE2]])</f>
        <v>-4400</v>
      </c>
      <c r="AQ342" s="80"/>
      <c r="AR342" s="79">
        <f>ERP_8[[#This Row],[2026 Working Total to Budget/LE]]-ERP_8[[#This Row],[Giveback]]</f>
        <v>-4400</v>
      </c>
      <c r="AS342" s="81"/>
      <c r="AT342" s="375"/>
      <c r="AU342" s="375"/>
      <c r="AV342" s="375"/>
      <c r="AW342" s="375">
        <v>1100</v>
      </c>
      <c r="AX342" s="375">
        <v>1100</v>
      </c>
      <c r="AY342" s="375">
        <v>1100</v>
      </c>
      <c r="AZ342" s="375">
        <v>1100</v>
      </c>
      <c r="BA342" s="375">
        <v>1100</v>
      </c>
      <c r="BB342" s="375">
        <v>1100</v>
      </c>
      <c r="BC342" s="375">
        <v>1100</v>
      </c>
      <c r="BD342" s="375">
        <v>3000</v>
      </c>
      <c r="BE342" s="375">
        <v>3000</v>
      </c>
      <c r="BF342" s="375">
        <v>13700</v>
      </c>
      <c r="BG342" s="79"/>
      <c r="BH342" s="79"/>
      <c r="BI342" s="79"/>
      <c r="BJ342" s="79">
        <v>1100</v>
      </c>
      <c r="BK342" s="79">
        <v>1100</v>
      </c>
      <c r="BL342" s="79">
        <v>1100</v>
      </c>
      <c r="BM342" s="79">
        <v>1100</v>
      </c>
      <c r="BN342" s="79">
        <v>1100</v>
      </c>
      <c r="BO342" s="79">
        <v>1100</v>
      </c>
      <c r="BP342" s="79">
        <v>1100</v>
      </c>
      <c r="BQ342" s="79">
        <v>3000</v>
      </c>
      <c r="BR342" s="79">
        <v>3000</v>
      </c>
      <c r="BS342" s="79">
        <v>13700</v>
      </c>
    </row>
    <row r="343" spans="1:71" ht="15" hidden="1" customHeight="1">
      <c r="A343" s="66" t="s">
        <v>2072</v>
      </c>
      <c r="B343" s="737" t="s">
        <v>560</v>
      </c>
      <c r="C343" s="346"/>
      <c r="D343" s="343" t="str">
        <f>_xlfn.TEXTJOIN("_",FALSE,E343,ERP_8[[#This Row],[Expense Category]],ERP_8[[#This Row],[Project Code*]])</f>
        <v>Jajodia, Amit_MANAGED SERVICES_IT-FGS0301-OG-US-00</v>
      </c>
      <c r="E343" s="343" t="s">
        <v>1515</v>
      </c>
      <c r="F343" s="346"/>
      <c r="G343" s="150" t="s">
        <v>1136</v>
      </c>
      <c r="H343" s="150" t="s">
        <v>1345</v>
      </c>
      <c r="I343" s="150" t="s">
        <v>1515</v>
      </c>
      <c r="J343" s="150" t="s">
        <v>1346</v>
      </c>
      <c r="K343" s="511" t="s">
        <v>389</v>
      </c>
      <c r="L343" s="392" t="s">
        <v>1855</v>
      </c>
      <c r="M343" s="343"/>
      <c r="N343" s="800" t="s">
        <v>2073</v>
      </c>
      <c r="O343" s="70" t="s">
        <v>466</v>
      </c>
      <c r="P343" s="346"/>
      <c r="Q343" s="346" t="s">
        <v>1140</v>
      </c>
      <c r="R343" s="346"/>
      <c r="S343" s="150" t="s">
        <v>57</v>
      </c>
      <c r="T343" s="150"/>
      <c r="U343" s="403"/>
      <c r="V343" s="406">
        <v>0</v>
      </c>
      <c r="W343" s="406">
        <v>3562</v>
      </c>
      <c r="X343" s="425"/>
      <c r="Y343" s="71"/>
      <c r="Z343" s="784">
        <v>60</v>
      </c>
      <c r="AA343" s="794">
        <v>0</v>
      </c>
      <c r="AB343" s="794">
        <v>3502</v>
      </c>
      <c r="AC343" s="780">
        <v>0</v>
      </c>
      <c r="AD343" s="780">
        <v>0</v>
      </c>
      <c r="AE343" s="780">
        <v>60</v>
      </c>
      <c r="AF343" s="780">
        <v>119.44</v>
      </c>
      <c r="AG343" s="360">
        <v>0</v>
      </c>
      <c r="AH343" s="360">
        <v>0</v>
      </c>
      <c r="AI343" s="360">
        <v>0</v>
      </c>
      <c r="AJ343" s="360">
        <v>0</v>
      </c>
      <c r="AK343" s="360">
        <v>0</v>
      </c>
      <c r="AL343" s="360">
        <f t="shared" si="22"/>
        <v>3741.44</v>
      </c>
      <c r="AM343" s="362">
        <f>ERP_8[[#This Row],[2026 Working Total]]-ERP_8[[#This Row],[LE2 Final Submission]]</f>
        <v>179.44000000000005</v>
      </c>
      <c r="AN343" s="79">
        <v>0</v>
      </c>
      <c r="AO343" s="79">
        <f t="shared" si="21"/>
        <v>60</v>
      </c>
      <c r="AP343" s="652">
        <f>SUM(ERP_8[[#This Row],[AP01]:[AP07]])-SUM(ERP_8[[#This Row],[AP01 LE2]:[AP07 LE2]])</f>
        <v>179.44000000000005</v>
      </c>
      <c r="AQ343" s="80"/>
      <c r="AR343" s="79">
        <f>ERP_8[[#This Row],[2026 Working Total to Budget/LE]]-ERP_8[[#This Row],[Giveback]]</f>
        <v>179.44000000000005</v>
      </c>
      <c r="AS343" s="81"/>
      <c r="AT343" s="375">
        <v>60</v>
      </c>
      <c r="AU343" s="375">
        <v>0</v>
      </c>
      <c r="AV343" s="375">
        <v>3502</v>
      </c>
      <c r="AW343" s="375">
        <v>0</v>
      </c>
      <c r="AX343" s="375">
        <v>0</v>
      </c>
      <c r="AY343" s="375">
        <v>0</v>
      </c>
      <c r="AZ343" s="375">
        <v>0</v>
      </c>
      <c r="BA343" s="375">
        <v>0</v>
      </c>
      <c r="BB343" s="375">
        <v>0</v>
      </c>
      <c r="BC343" s="375">
        <v>0</v>
      </c>
      <c r="BD343" s="375">
        <v>0</v>
      </c>
      <c r="BE343" s="375">
        <v>0</v>
      </c>
      <c r="BF343" s="375">
        <v>3562</v>
      </c>
      <c r="BG343" s="79">
        <v>60</v>
      </c>
      <c r="BH343" s="79">
        <v>0</v>
      </c>
      <c r="BI343" s="79">
        <v>3502</v>
      </c>
      <c r="BJ343" s="79">
        <v>0</v>
      </c>
      <c r="BK343" s="79">
        <v>0</v>
      </c>
      <c r="BL343" s="79">
        <v>0</v>
      </c>
      <c r="BM343" s="79">
        <v>0</v>
      </c>
      <c r="BN343" s="79">
        <v>0</v>
      </c>
      <c r="BO343" s="79">
        <v>0</v>
      </c>
      <c r="BP343" s="79">
        <v>0</v>
      </c>
      <c r="BQ343" s="79">
        <v>0</v>
      </c>
      <c r="BR343" s="79">
        <v>0</v>
      </c>
      <c r="BS343" s="79">
        <v>3562</v>
      </c>
    </row>
    <row r="344" spans="1:71" ht="15" hidden="1" customHeight="1">
      <c r="A344" s="66" t="s">
        <v>2074</v>
      </c>
      <c r="B344" s="737" t="s">
        <v>2075</v>
      </c>
      <c r="C344" s="346"/>
      <c r="D344" s="343" t="str">
        <f>_xlfn.TEXTJOIN("_",FALSE,E344,ERP_8[[#This Row],[Expense Category]],ERP_8[[#This Row],[Project Code*]])</f>
        <v>Patel, Apurva_MANAGED SERVICES_BillingRev001</v>
      </c>
      <c r="E344" s="343" t="s">
        <v>1566</v>
      </c>
      <c r="F344" s="346"/>
      <c r="G344" s="150" t="s">
        <v>1136</v>
      </c>
      <c r="H344" s="150" t="s">
        <v>1567</v>
      </c>
      <c r="I344" s="150" t="s">
        <v>1567</v>
      </c>
      <c r="J344" s="150" t="s">
        <v>1567</v>
      </c>
      <c r="K344" s="511" t="s">
        <v>389</v>
      </c>
      <c r="L344" s="392" t="s">
        <v>1775</v>
      </c>
      <c r="M344" s="343"/>
      <c r="N344" s="800" t="s">
        <v>2076</v>
      </c>
      <c r="O344" s="70" t="s">
        <v>404</v>
      </c>
      <c r="P344" s="346"/>
      <c r="Q344" s="346" t="s">
        <v>1140</v>
      </c>
      <c r="R344" s="346"/>
      <c r="S344" s="150" t="s">
        <v>405</v>
      </c>
      <c r="T344" s="150"/>
      <c r="U344" s="404"/>
      <c r="V344" s="407">
        <v>0</v>
      </c>
      <c r="W344" s="407">
        <v>0</v>
      </c>
      <c r="X344" s="425"/>
      <c r="Y344" s="71"/>
      <c r="Z344" s="784"/>
      <c r="AA344" s="794">
        <v>0</v>
      </c>
      <c r="AB344" s="794">
        <v>0</v>
      </c>
      <c r="AC344" s="428">
        <v>-5.07</v>
      </c>
      <c r="AD344" s="429">
        <v>0</v>
      </c>
      <c r="AE344" s="429">
        <v>0</v>
      </c>
      <c r="AF344" s="429">
        <v>0</v>
      </c>
      <c r="AG344" s="360">
        <v>0</v>
      </c>
      <c r="AH344" s="360">
        <v>0</v>
      </c>
      <c r="AI344" s="360">
        <v>0</v>
      </c>
      <c r="AJ344" s="360">
        <v>0</v>
      </c>
      <c r="AK344" s="360">
        <v>0</v>
      </c>
      <c r="AL344" s="360">
        <f t="shared" si="22"/>
        <v>-5.07</v>
      </c>
      <c r="AM344" s="362">
        <f>ERP_8[[#This Row],[2026 Working Total]]-ERP_8[[#This Row],[LE2 Final Submission]]</f>
        <v>-5.07</v>
      </c>
      <c r="AN344" s="79">
        <v>0</v>
      </c>
      <c r="AO344" s="79">
        <f t="shared" si="21"/>
        <v>0</v>
      </c>
      <c r="AP344" s="374">
        <f>SUM(ERP_8[[#This Row],[AP01]:[AP07]])-SUM(ERP_8[[#This Row],[AP01 LE2]:[AP07 LE2]])</f>
        <v>-5.07</v>
      </c>
      <c r="AQ344" s="80"/>
      <c r="AR344" s="79">
        <f>ERP_8[[#This Row],[2026 Working Total to Budget/LE]]-ERP_8[[#This Row],[Giveback]]</f>
        <v>-5.07</v>
      </c>
      <c r="AS344" s="81"/>
      <c r="AT344" s="375"/>
      <c r="AU344" s="375">
        <v>0</v>
      </c>
      <c r="AV344" s="375">
        <v>0</v>
      </c>
      <c r="AW344" s="375">
        <v>0</v>
      </c>
      <c r="AX344" s="375">
        <v>0</v>
      </c>
      <c r="AY344" s="375">
        <v>0</v>
      </c>
      <c r="AZ344" s="375">
        <v>0</v>
      </c>
      <c r="BA344" s="375">
        <v>0</v>
      </c>
      <c r="BB344" s="375">
        <v>0</v>
      </c>
      <c r="BC344" s="375">
        <v>0</v>
      </c>
      <c r="BD344" s="375">
        <v>0</v>
      </c>
      <c r="BE344" s="375">
        <v>0</v>
      </c>
      <c r="BF344" s="375">
        <v>0</v>
      </c>
      <c r="BG344" s="79"/>
      <c r="BH344" s="79">
        <v>0</v>
      </c>
      <c r="BI344" s="79">
        <v>0</v>
      </c>
      <c r="BJ344" s="79">
        <v>0</v>
      </c>
      <c r="BK344" s="79">
        <v>0</v>
      </c>
      <c r="BL344" s="79">
        <v>0</v>
      </c>
      <c r="BM344" s="79">
        <v>0</v>
      </c>
      <c r="BN344" s="79">
        <v>0</v>
      </c>
      <c r="BO344" s="79">
        <v>0</v>
      </c>
      <c r="BP344" s="79">
        <v>0</v>
      </c>
      <c r="BQ344" s="79">
        <v>0</v>
      </c>
      <c r="BR344" s="79">
        <v>0</v>
      </c>
      <c r="BS344" s="79">
        <v>0</v>
      </c>
    </row>
    <row r="345" spans="1:71" ht="15" hidden="1" customHeight="1">
      <c r="A345" s="66" t="s">
        <v>2077</v>
      </c>
      <c r="B345" s="737" t="s">
        <v>2078</v>
      </c>
      <c r="C345" s="346"/>
      <c r="D345" s="343" t="str">
        <f>_xlfn.TEXTJOIN("_",FALSE,E345,ERP_8[[#This Row],[Expense Category]],ERP_8[[#This Row],[Project Code*]])</f>
        <v>Patel, Apurva_MANAGED SERVICES_BillingSweep005</v>
      </c>
      <c r="E345" s="343" t="s">
        <v>1566</v>
      </c>
      <c r="F345" s="346"/>
      <c r="G345" s="150" t="s">
        <v>1136</v>
      </c>
      <c r="H345" s="150" t="s">
        <v>1345</v>
      </c>
      <c r="I345" s="150" t="s">
        <v>1346</v>
      </c>
      <c r="J345" s="150" t="s">
        <v>1346</v>
      </c>
      <c r="K345" s="511" t="s">
        <v>389</v>
      </c>
      <c r="L345" s="392" t="s">
        <v>1685</v>
      </c>
      <c r="M345" s="343"/>
      <c r="N345" s="800"/>
      <c r="O345" s="70" t="s">
        <v>350</v>
      </c>
      <c r="P345" s="346" t="s">
        <v>1139</v>
      </c>
      <c r="Q345" s="346" t="s">
        <v>1140</v>
      </c>
      <c r="R345" s="346"/>
      <c r="S345" s="150" t="s">
        <v>25</v>
      </c>
      <c r="T345" s="150"/>
      <c r="U345" s="403"/>
      <c r="V345" s="406">
        <v>0</v>
      </c>
      <c r="W345" s="406">
        <v>108.52</v>
      </c>
      <c r="X345" s="430"/>
      <c r="Y345" s="137"/>
      <c r="Z345" s="784">
        <v>108.52</v>
      </c>
      <c r="AA345" s="794">
        <v>0</v>
      </c>
      <c r="AB345" s="794">
        <v>0</v>
      </c>
      <c r="AC345" s="428" t="s">
        <v>1142</v>
      </c>
      <c r="AD345" s="429">
        <v>0</v>
      </c>
      <c r="AE345" s="429">
        <v>0</v>
      </c>
      <c r="AF345" s="429" t="s">
        <v>1142</v>
      </c>
      <c r="AG345" s="360">
        <v>0</v>
      </c>
      <c r="AH345" s="360">
        <v>0</v>
      </c>
      <c r="AI345" s="360">
        <v>0</v>
      </c>
      <c r="AJ345" s="360">
        <v>0</v>
      </c>
      <c r="AK345" s="360">
        <v>0</v>
      </c>
      <c r="AL345" s="360">
        <f t="shared" si="22"/>
        <v>108.52</v>
      </c>
      <c r="AM345" s="362">
        <f>ERP_8[[#This Row],[2026 Working Total]]-ERP_8[[#This Row],[LE2 Final Submission]]</f>
        <v>0</v>
      </c>
      <c r="AN345" s="79">
        <v>0</v>
      </c>
      <c r="AO345" s="79">
        <f t="shared" si="21"/>
        <v>0</v>
      </c>
      <c r="AP345" s="374">
        <f>SUM(ERP_8[[#This Row],[AP01]:[AP07]])-SUM(ERP_8[[#This Row],[AP01 LE2]:[AP07 LE2]])</f>
        <v>0</v>
      </c>
      <c r="AQ345" s="80"/>
      <c r="AR345" s="79">
        <f>ERP_8[[#This Row],[2026 Working Total to Budget/LE]]-ERP_8[[#This Row],[Giveback]]</f>
        <v>0</v>
      </c>
      <c r="AS345" s="81"/>
      <c r="AT345" s="375">
        <v>108.52</v>
      </c>
      <c r="AU345" s="375">
        <v>0</v>
      </c>
      <c r="AV345" s="375">
        <v>0</v>
      </c>
      <c r="AW345" s="375">
        <v>0</v>
      </c>
      <c r="AX345" s="375">
        <v>0</v>
      </c>
      <c r="AY345" s="375">
        <v>0</v>
      </c>
      <c r="AZ345" s="375">
        <v>0</v>
      </c>
      <c r="BA345" s="375">
        <v>0</v>
      </c>
      <c r="BB345" s="375">
        <v>0</v>
      </c>
      <c r="BC345" s="375">
        <v>0</v>
      </c>
      <c r="BD345" s="375">
        <v>0</v>
      </c>
      <c r="BE345" s="375">
        <v>0</v>
      </c>
      <c r="BF345" s="375">
        <v>108.52</v>
      </c>
      <c r="BG345" s="79">
        <v>108.52</v>
      </c>
      <c r="BH345" s="79">
        <v>0</v>
      </c>
      <c r="BI345" s="79">
        <v>0</v>
      </c>
      <c r="BJ345" s="79">
        <v>0</v>
      </c>
      <c r="BK345" s="79">
        <v>0</v>
      </c>
      <c r="BL345" s="79">
        <v>0</v>
      </c>
      <c r="BM345" s="79">
        <v>0</v>
      </c>
      <c r="BN345" s="79">
        <v>0</v>
      </c>
      <c r="BO345" s="79">
        <v>0</v>
      </c>
      <c r="BP345" s="79">
        <v>0</v>
      </c>
      <c r="BQ345" s="79">
        <v>0</v>
      </c>
      <c r="BR345" s="79">
        <v>0</v>
      </c>
      <c r="BS345" s="79">
        <v>108.52</v>
      </c>
    </row>
    <row r="346" spans="1:71" ht="15" hidden="1" customHeight="1">
      <c r="A346" s="66" t="s">
        <v>2079</v>
      </c>
      <c r="B346" s="737" t="s">
        <v>2080</v>
      </c>
      <c r="C346" s="346"/>
      <c r="D346" s="343" t="str">
        <f>_xlfn.TEXTJOIN("_",FALSE,E346,ERP_8[[#This Row],[Expense Category]],ERP_8[[#This Row],[Project Code*]])</f>
        <v>Patel, Apurva_MANAGED SERVICES_BillingSweep011</v>
      </c>
      <c r="E346" s="343" t="s">
        <v>1566</v>
      </c>
      <c r="F346" s="346"/>
      <c r="G346" s="150" t="s">
        <v>1136</v>
      </c>
      <c r="H346" s="150" t="s">
        <v>1567</v>
      </c>
      <c r="I346" s="150" t="s">
        <v>1567</v>
      </c>
      <c r="J346" s="150" t="s">
        <v>1567</v>
      </c>
      <c r="K346" s="511" t="s">
        <v>389</v>
      </c>
      <c r="L346" s="392" t="s">
        <v>352</v>
      </c>
      <c r="M346" s="343"/>
      <c r="N346" s="800" t="s">
        <v>1593</v>
      </c>
      <c r="O346" s="70" t="s">
        <v>352</v>
      </c>
      <c r="P346" s="346" t="s">
        <v>1139</v>
      </c>
      <c r="Q346" s="346" t="s">
        <v>1140</v>
      </c>
      <c r="R346" s="346"/>
      <c r="S346" s="150" t="s">
        <v>25</v>
      </c>
      <c r="T346" s="150"/>
      <c r="U346" s="404"/>
      <c r="V346" s="407">
        <v>0</v>
      </c>
      <c r="W346" s="407">
        <v>0</v>
      </c>
      <c r="X346" s="425"/>
      <c r="Y346" s="71"/>
      <c r="Z346" s="784"/>
      <c r="AA346" s="794"/>
      <c r="AB346" s="794">
        <v>0</v>
      </c>
      <c r="AC346" s="428">
        <v>0</v>
      </c>
      <c r="AD346" s="429">
        <v>0</v>
      </c>
      <c r="AE346" s="429">
        <v>0</v>
      </c>
      <c r="AF346" s="429">
        <v>0</v>
      </c>
      <c r="AG346" s="360">
        <v>0</v>
      </c>
      <c r="AH346" s="360">
        <v>0</v>
      </c>
      <c r="AI346" s="360">
        <v>0</v>
      </c>
      <c r="AJ346" s="360">
        <v>0</v>
      </c>
      <c r="AK346" s="360">
        <v>0</v>
      </c>
      <c r="AL346" s="360">
        <f t="shared" si="22"/>
        <v>0</v>
      </c>
      <c r="AM346" s="362">
        <f>ERP_8[[#This Row],[2026 Working Total]]-ERP_8[[#This Row],[LE2 Final Submission]]</f>
        <v>0</v>
      </c>
      <c r="AN346" s="79">
        <v>0</v>
      </c>
      <c r="AO346" s="79">
        <f t="shared" si="21"/>
        <v>0</v>
      </c>
      <c r="AP346" s="374">
        <f>SUM(ERP_8[[#This Row],[AP01]:[AP07]])-SUM(ERP_8[[#This Row],[AP01 LE2]:[AP07 LE2]])</f>
        <v>0</v>
      </c>
      <c r="AQ346" s="80"/>
      <c r="AR346" s="79">
        <f>ERP_8[[#This Row],[2026 Working Total to Budget/LE]]-ERP_8[[#This Row],[Giveback]]</f>
        <v>0</v>
      </c>
      <c r="AS346" s="81"/>
      <c r="AT346" s="375"/>
      <c r="AU346" s="375"/>
      <c r="AV346" s="375">
        <v>0</v>
      </c>
      <c r="AW346" s="375">
        <v>0</v>
      </c>
      <c r="AX346" s="375">
        <v>0</v>
      </c>
      <c r="AY346" s="375">
        <v>0</v>
      </c>
      <c r="AZ346" s="375">
        <v>0</v>
      </c>
      <c r="BA346" s="375">
        <v>0</v>
      </c>
      <c r="BB346" s="375">
        <v>0</v>
      </c>
      <c r="BC346" s="375">
        <v>0</v>
      </c>
      <c r="BD346" s="375">
        <v>0</v>
      </c>
      <c r="BE346" s="375">
        <v>0</v>
      </c>
      <c r="BF346" s="375">
        <v>0</v>
      </c>
      <c r="BG346" s="79"/>
      <c r="BH346" s="79"/>
      <c r="BI346" s="79">
        <v>0</v>
      </c>
      <c r="BJ346" s="79">
        <v>0</v>
      </c>
      <c r="BK346" s="79">
        <v>0</v>
      </c>
      <c r="BL346" s="79">
        <v>0</v>
      </c>
      <c r="BM346" s="79">
        <v>0</v>
      </c>
      <c r="BN346" s="79">
        <v>0</v>
      </c>
      <c r="BO346" s="79">
        <v>0</v>
      </c>
      <c r="BP346" s="79">
        <v>0</v>
      </c>
      <c r="BQ346" s="79">
        <v>0</v>
      </c>
      <c r="BR346" s="79">
        <v>0</v>
      </c>
      <c r="BS346" s="79">
        <v>0</v>
      </c>
    </row>
    <row r="347" spans="1:71" ht="15" hidden="1" customHeight="1">
      <c r="A347" s="66" t="s">
        <v>2081</v>
      </c>
      <c r="B347" s="737" t="s">
        <v>2082</v>
      </c>
      <c r="C347" s="346"/>
      <c r="D347" s="343" t="str">
        <f>_xlfn.TEXTJOIN("_",FALSE,E347,ERP_8[[#This Row],[Expense Category]],ERP_8[[#This Row],[Project Code*]])</f>
        <v>Patel, Apurva_MANAGED SERVICES_BillingSweep021</v>
      </c>
      <c r="E347" s="343" t="s">
        <v>1566</v>
      </c>
      <c r="F347" s="346"/>
      <c r="G347" s="150" t="s">
        <v>1136</v>
      </c>
      <c r="H347" s="150" t="s">
        <v>1567</v>
      </c>
      <c r="I347" s="150" t="s">
        <v>1567</v>
      </c>
      <c r="J347" s="150" t="s">
        <v>1567</v>
      </c>
      <c r="K347" s="511" t="s">
        <v>389</v>
      </c>
      <c r="L347" s="392" t="s">
        <v>414</v>
      </c>
      <c r="M347" s="343"/>
      <c r="N347" s="800" t="s">
        <v>2076</v>
      </c>
      <c r="O347" s="70" t="s">
        <v>414</v>
      </c>
      <c r="P347" s="346" t="s">
        <v>1139</v>
      </c>
      <c r="Q347" s="346" t="s">
        <v>1140</v>
      </c>
      <c r="R347" s="346"/>
      <c r="S347" s="150" t="s">
        <v>25</v>
      </c>
      <c r="T347" s="150"/>
      <c r="U347" s="404"/>
      <c r="V347" s="407">
        <v>0</v>
      </c>
      <c r="W347" s="407">
        <v>0</v>
      </c>
      <c r="X347" s="425"/>
      <c r="Y347" s="71"/>
      <c r="Z347" s="784"/>
      <c r="AA347" s="794">
        <v>0</v>
      </c>
      <c r="AB347" s="794">
        <v>0</v>
      </c>
      <c r="AC347" s="428">
        <v>-5040.41</v>
      </c>
      <c r="AD347" s="429">
        <v>0</v>
      </c>
      <c r="AE347" s="429">
        <v>0</v>
      </c>
      <c r="AF347" s="429">
        <v>0</v>
      </c>
      <c r="AG347" s="360">
        <v>0</v>
      </c>
      <c r="AH347" s="360">
        <v>0</v>
      </c>
      <c r="AI347" s="360">
        <v>0</v>
      </c>
      <c r="AJ347" s="360">
        <v>0</v>
      </c>
      <c r="AK347" s="360">
        <v>0</v>
      </c>
      <c r="AL347" s="360">
        <f t="shared" si="22"/>
        <v>-5040.41</v>
      </c>
      <c r="AM347" s="362">
        <f>ERP_8[[#This Row],[2026 Working Total]]-ERP_8[[#This Row],[LE2 Final Submission]]</f>
        <v>-5040.41</v>
      </c>
      <c r="AN347" s="79">
        <v>0</v>
      </c>
      <c r="AO347" s="79">
        <f t="shared" si="21"/>
        <v>0</v>
      </c>
      <c r="AP347" s="374">
        <f>SUM(ERP_8[[#This Row],[AP01]:[AP07]])-SUM(ERP_8[[#This Row],[AP01 LE2]:[AP07 LE2]])</f>
        <v>-5040.41</v>
      </c>
      <c r="AQ347" s="80"/>
      <c r="AR347" s="79">
        <f>ERP_8[[#This Row],[2026 Working Total to Budget/LE]]-ERP_8[[#This Row],[Giveback]]</f>
        <v>-5040.41</v>
      </c>
      <c r="AS347" s="81"/>
      <c r="AT347" s="375"/>
      <c r="AU347" s="375">
        <v>0</v>
      </c>
      <c r="AV347" s="375">
        <v>0</v>
      </c>
      <c r="AW347" s="375">
        <v>0</v>
      </c>
      <c r="AX347" s="375">
        <v>0</v>
      </c>
      <c r="AY347" s="375">
        <v>0</v>
      </c>
      <c r="AZ347" s="375">
        <v>0</v>
      </c>
      <c r="BA347" s="375">
        <v>0</v>
      </c>
      <c r="BB347" s="375">
        <v>0</v>
      </c>
      <c r="BC347" s="375">
        <v>0</v>
      </c>
      <c r="BD347" s="375">
        <v>0</v>
      </c>
      <c r="BE347" s="375">
        <v>0</v>
      </c>
      <c r="BF347" s="375">
        <v>0</v>
      </c>
      <c r="BG347" s="79"/>
      <c r="BH347" s="79">
        <v>0</v>
      </c>
      <c r="BI347" s="79">
        <v>0</v>
      </c>
      <c r="BJ347" s="79">
        <v>0</v>
      </c>
      <c r="BK347" s="79">
        <v>0</v>
      </c>
      <c r="BL347" s="79">
        <v>0</v>
      </c>
      <c r="BM347" s="79">
        <v>0</v>
      </c>
      <c r="BN347" s="79">
        <v>0</v>
      </c>
      <c r="BO347" s="79">
        <v>0</v>
      </c>
      <c r="BP347" s="79">
        <v>0</v>
      </c>
      <c r="BQ347" s="79">
        <v>0</v>
      </c>
      <c r="BR347" s="79">
        <v>0</v>
      </c>
      <c r="BS347" s="79">
        <v>0</v>
      </c>
    </row>
    <row r="348" spans="1:71" ht="15" hidden="1" customHeight="1">
      <c r="A348" s="79" t="s">
        <v>2083</v>
      </c>
      <c r="B348" s="749" t="s">
        <v>2084</v>
      </c>
      <c r="C348" s="348"/>
      <c r="D348" s="347" t="str">
        <f>_xlfn.TEXTJOIN("_",FALSE,E348,ERP_8[[#This Row],[Expense Category]],ERP_8[[#This Row],[Project Code*]])</f>
        <v>Patel, Apurva_MANAGED SERVICES_BillSweepMisc</v>
      </c>
      <c r="E348" s="347" t="s">
        <v>1566</v>
      </c>
      <c r="F348" s="348"/>
      <c r="G348" s="150" t="s">
        <v>1136</v>
      </c>
      <c r="H348" t="s">
        <v>1567</v>
      </c>
      <c r="I348" t="s">
        <v>1567</v>
      </c>
      <c r="J348" s="150" t="s">
        <v>1567</v>
      </c>
      <c r="K348" s="514" t="s">
        <v>389</v>
      </c>
      <c r="L348" s="394" t="s">
        <v>1699</v>
      </c>
      <c r="M348" s="343"/>
      <c r="N348" s="801"/>
      <c r="O348" s="70" t="s">
        <v>362</v>
      </c>
      <c r="P348" s="347"/>
      <c r="Q348" s="343"/>
      <c r="R348" s="348"/>
      <c r="S348" s="348"/>
      <c r="T348" s="348" t="s">
        <v>1700</v>
      </c>
      <c r="U348" s="402"/>
      <c r="V348" s="358"/>
      <c r="W348" s="379">
        <v>0</v>
      </c>
      <c r="X348" s="425"/>
      <c r="Y348" s="71"/>
      <c r="Z348" s="784"/>
      <c r="AA348" s="794"/>
      <c r="AB348" s="794"/>
      <c r="AC348" s="428" t="s">
        <v>1142</v>
      </c>
      <c r="AD348" s="429">
        <v>0</v>
      </c>
      <c r="AE348" s="429">
        <v>0</v>
      </c>
      <c r="AF348" s="429" t="s">
        <v>1142</v>
      </c>
      <c r="AG348" s="364"/>
      <c r="AH348" s="364"/>
      <c r="AI348" s="364"/>
      <c r="AJ348" s="364"/>
      <c r="AK348" s="364"/>
      <c r="AL348" s="360">
        <f t="shared" si="22"/>
        <v>0</v>
      </c>
      <c r="AM348" s="362">
        <f>ERP_8[[#This Row],[2026 Working Total]]-ERP_8[[#This Row],[LE2 Final Submission]]</f>
        <v>0</v>
      </c>
      <c r="AN348" s="79">
        <v>0</v>
      </c>
      <c r="AO348" s="79">
        <f t="shared" si="21"/>
        <v>0</v>
      </c>
      <c r="AP348" s="374">
        <f>SUM(ERP_8[[#This Row],[AP01]:[AP07]])-SUM(ERP_8[[#This Row],[AP01 LE2]:[AP07 LE2]])</f>
        <v>0</v>
      </c>
      <c r="AQ348" s="80"/>
      <c r="AR348" s="79">
        <f>ERP_8[[#This Row],[2026 Working Total to Budget/LE]]-ERP_8[[#This Row],[Giveback]]</f>
        <v>0</v>
      </c>
      <c r="AS348" s="81"/>
      <c r="AT348" s="375"/>
      <c r="AU348" s="375"/>
      <c r="AV348" s="375"/>
      <c r="AW348" s="375">
        <v>-5045.4799999999996</v>
      </c>
      <c r="AX348" s="375">
        <v>5045.4799999999996</v>
      </c>
      <c r="AY348" s="375"/>
      <c r="AZ348" s="375"/>
      <c r="BA348" s="375"/>
      <c r="BB348" s="375"/>
      <c r="BC348" s="375"/>
      <c r="BD348" s="375"/>
      <c r="BE348" s="375"/>
      <c r="BF348" s="375">
        <v>0</v>
      </c>
      <c r="BG348" s="79"/>
      <c r="BH348" s="79"/>
      <c r="BI348" s="79"/>
      <c r="BJ348" s="79"/>
      <c r="BK348" s="79"/>
      <c r="BL348" s="79"/>
      <c r="BM348" s="79"/>
      <c r="BN348" s="79"/>
      <c r="BO348" s="79"/>
      <c r="BP348" s="79"/>
      <c r="BQ348" s="79"/>
      <c r="BR348" s="79"/>
      <c r="BS348" s="79"/>
    </row>
    <row r="349" spans="1:71" ht="15" hidden="1" customHeight="1">
      <c r="A349" s="150" t="s">
        <v>2085</v>
      </c>
      <c r="B349" s="749" t="s">
        <v>2086</v>
      </c>
      <c r="C349" s="348"/>
      <c r="D349" s="347" t="str">
        <f>_xlfn.TEXTJOIN("_",FALSE,E349,ERP_8[[#This Row],[Expense Category]],ERP_8[[#This Row],[Project Code*]])</f>
        <v>Patel, Apurva_MANAGED SERVICES_CC-BTF25001-02-EX</v>
      </c>
      <c r="E349" s="347" t="s">
        <v>1566</v>
      </c>
      <c r="F349" s="348"/>
      <c r="G349" s="150" t="s">
        <v>1136</v>
      </c>
      <c r="H349" s="150" t="s">
        <v>1567</v>
      </c>
      <c r="I349" s="150" t="s">
        <v>1567</v>
      </c>
      <c r="J349" s="150" t="s">
        <v>1567</v>
      </c>
      <c r="K349" s="514" t="s">
        <v>389</v>
      </c>
      <c r="L349" s="394" t="s">
        <v>2087</v>
      </c>
      <c r="M349" s="333"/>
      <c r="N349" s="467" t="s">
        <v>1634</v>
      </c>
      <c r="O349" s="90" t="s">
        <v>271</v>
      </c>
      <c r="P349" s="347"/>
      <c r="Q349" s="347"/>
      <c r="R349" s="348"/>
      <c r="S349" s="505" t="s">
        <v>272</v>
      </c>
      <c r="T349" s="150" t="s">
        <v>1571</v>
      </c>
      <c r="U349" s="881"/>
      <c r="V349" s="883"/>
      <c r="W349" s="883"/>
      <c r="X349" s="425"/>
      <c r="Y349" s="425"/>
      <c r="Z349" s="794"/>
      <c r="AA349" s="794"/>
      <c r="AB349" s="794"/>
      <c r="AC349" s="429">
        <v>142.1</v>
      </c>
      <c r="AD349" s="429">
        <v>309.31</v>
      </c>
      <c r="AE349" s="429">
        <v>316.74</v>
      </c>
      <c r="AF349" s="429">
        <v>305.13</v>
      </c>
      <c r="AG349" s="364"/>
      <c r="AH349" s="364"/>
      <c r="AI349" s="364"/>
      <c r="AJ349" s="364"/>
      <c r="AK349" s="364"/>
      <c r="AL349" s="360">
        <f t="shared" si="22"/>
        <v>1073.28</v>
      </c>
      <c r="AM349" s="362">
        <f>ERP_8[[#This Row],[2026 Working Total]]-ERP_8[[#This Row],[LE2 Final Submission]]</f>
        <v>1073.28</v>
      </c>
      <c r="AN349" s="79">
        <v>0</v>
      </c>
      <c r="AO349" s="79">
        <f t="shared" si="21"/>
        <v>316.74</v>
      </c>
      <c r="AP349" s="374">
        <f>SUM(ERP_8[[#This Row],[AP01]:[AP07]])-SUM(ERP_8[[#This Row],[AP01 LE2]:[AP07 LE2]])</f>
        <v>1073.28</v>
      </c>
      <c r="AQ349" s="80"/>
      <c r="AR349" s="79">
        <f>ERP_8[[#This Row],[2026 Working Total to Budget/LE]]-ERP_8[[#This Row],[Giveback]]</f>
        <v>1073.28</v>
      </c>
      <c r="AS349" s="81"/>
      <c r="AT349" s="375"/>
      <c r="AU349" s="375"/>
      <c r="AV349" s="375"/>
      <c r="AW349" s="375"/>
      <c r="AX349" s="375"/>
      <c r="AY349" s="375"/>
      <c r="AZ349" s="375"/>
      <c r="BA349" s="375"/>
      <c r="BB349" s="375"/>
      <c r="BC349" s="375"/>
      <c r="BD349" s="375"/>
      <c r="BE349" s="375"/>
      <c r="BF349" s="375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</row>
    <row r="350" spans="1:71" ht="15" hidden="1" customHeight="1">
      <c r="A350" s="66" t="s">
        <v>2088</v>
      </c>
      <c r="B350" s="737" t="s">
        <v>2089</v>
      </c>
      <c r="C350" s="346"/>
      <c r="D350" s="343" t="str">
        <f>_xlfn.TEXTJOIN("_",FALSE,E350,ERP_8[[#This Row],[Expense Category]],ERP_8[[#This Row],[Project Code*]])</f>
        <v>Patel, Apurva_MANAGED SERVICES_CE-BTF22001-02-EX</v>
      </c>
      <c r="E350" s="343" t="s">
        <v>1566</v>
      </c>
      <c r="F350" s="346"/>
      <c r="G350" s="150" t="s">
        <v>1136</v>
      </c>
      <c r="H350" s="150" t="s">
        <v>1567</v>
      </c>
      <c r="I350" s="150" t="s">
        <v>1567</v>
      </c>
      <c r="J350" s="150" t="s">
        <v>1567</v>
      </c>
      <c r="K350" s="511" t="s">
        <v>389</v>
      </c>
      <c r="L350" s="392" t="s">
        <v>1574</v>
      </c>
      <c r="M350" s="343"/>
      <c r="N350" s="800" t="s">
        <v>1634</v>
      </c>
      <c r="O350" s="70" t="s">
        <v>274</v>
      </c>
      <c r="P350" s="346" t="s">
        <v>1139</v>
      </c>
      <c r="Q350" s="343"/>
      <c r="R350" s="346"/>
      <c r="S350" s="505" t="s">
        <v>275</v>
      </c>
      <c r="T350" s="150" t="s">
        <v>1575</v>
      </c>
      <c r="U350" s="403"/>
      <c r="V350" s="406">
        <v>0</v>
      </c>
      <c r="W350" s="406">
        <v>23735.440000000002</v>
      </c>
      <c r="X350" s="425"/>
      <c r="Y350" s="71"/>
      <c r="Z350" s="784"/>
      <c r="AA350" s="784"/>
      <c r="AB350" s="784">
        <v>3561.44</v>
      </c>
      <c r="AC350" s="714">
        <v>0</v>
      </c>
      <c r="AD350" s="714">
        <v>6253.55</v>
      </c>
      <c r="AE350" s="429">
        <v>3700.6400000000003</v>
      </c>
      <c r="AF350" s="429">
        <v>2000</v>
      </c>
      <c r="AG350" s="360">
        <v>7686.05</v>
      </c>
      <c r="AH350" s="360">
        <v>1990</v>
      </c>
      <c r="AI350" s="360">
        <v>1990</v>
      </c>
      <c r="AJ350" s="360">
        <v>1990</v>
      </c>
      <c r="AK350" s="360">
        <v>1990</v>
      </c>
      <c r="AL350" s="360">
        <f t="shared" si="22"/>
        <v>31161.68</v>
      </c>
      <c r="AM350" s="362">
        <f>ERP_8[[#This Row],[2026 Working Total]]-ERP_8[[#This Row],[LE2 Final Submission]]</f>
        <v>7426.239999999998</v>
      </c>
      <c r="AN350" s="79">
        <v>0</v>
      </c>
      <c r="AO350" s="79">
        <f t="shared" si="21"/>
        <v>3700.6400000000003</v>
      </c>
      <c r="AP350" s="374">
        <f>SUM(ERP_8[[#This Row],[AP01]:[AP07]])-SUM(ERP_8[[#This Row],[AP01 LE2]:[AP07 LE2]])</f>
        <v>1730.1900000000005</v>
      </c>
      <c r="AQ350" s="80"/>
      <c r="AR350" s="79">
        <f>ERP_8[[#This Row],[2026 Working Total to Budget/LE]]-ERP_8[[#This Row],[Giveback]]</f>
        <v>7426.239999999998</v>
      </c>
      <c r="AS350" s="81"/>
      <c r="AT350" s="375"/>
      <c r="AU350" s="375"/>
      <c r="AV350" s="375">
        <v>3561.44</v>
      </c>
      <c r="AW350" s="375">
        <v>0</v>
      </c>
      <c r="AX350" s="375">
        <v>6244</v>
      </c>
      <c r="AY350" s="375">
        <v>1990</v>
      </c>
      <c r="AZ350" s="375">
        <v>1990</v>
      </c>
      <c r="BA350" s="375">
        <v>1990</v>
      </c>
      <c r="BB350" s="375">
        <v>1990</v>
      </c>
      <c r="BC350" s="375">
        <v>1990</v>
      </c>
      <c r="BD350" s="375">
        <v>1990</v>
      </c>
      <c r="BE350" s="375">
        <v>1990</v>
      </c>
      <c r="BF350" s="375">
        <v>23735.440000000002</v>
      </c>
      <c r="BG350" s="79"/>
      <c r="BH350" s="79"/>
      <c r="BI350" s="79">
        <v>3561.44</v>
      </c>
      <c r="BJ350" s="79">
        <v>0</v>
      </c>
      <c r="BK350" s="79">
        <v>0</v>
      </c>
      <c r="BL350" s="79">
        <v>0</v>
      </c>
      <c r="BM350" s="79">
        <v>0</v>
      </c>
      <c r="BN350" s="79">
        <v>0</v>
      </c>
      <c r="BO350" s="79">
        <v>0</v>
      </c>
      <c r="BP350" s="79">
        <v>0</v>
      </c>
      <c r="BQ350" s="79">
        <v>0</v>
      </c>
      <c r="BR350" s="79">
        <v>0</v>
      </c>
      <c r="BS350" s="79">
        <v>3561.44</v>
      </c>
    </row>
    <row r="351" spans="1:71" ht="15" hidden="1" customHeight="1">
      <c r="A351" s="150" t="s">
        <v>2090</v>
      </c>
      <c r="B351" s="749" t="s">
        <v>2091</v>
      </c>
      <c r="C351" s="348"/>
      <c r="D351" s="347" t="str">
        <f>_xlfn.TEXTJOIN("_",FALSE,E351,ERP_8[[#This Row],[Expense Category]],ERP_8[[#This Row],[Project Code*]])</f>
        <v>Patel, Apurva_MANAGED SERVICES_CE-BTF24003-02-EX</v>
      </c>
      <c r="E351" s="347" t="s">
        <v>1566</v>
      </c>
      <c r="F351" s="348"/>
      <c r="G351" s="150" t="s">
        <v>1136</v>
      </c>
      <c r="H351" s="332" t="s">
        <v>1567</v>
      </c>
      <c r="I351" s="332" t="s">
        <v>1567</v>
      </c>
      <c r="J351" s="333" t="s">
        <v>1567</v>
      </c>
      <c r="K351" s="514" t="s">
        <v>389</v>
      </c>
      <c r="L351" s="394" t="s">
        <v>2092</v>
      </c>
      <c r="M351" s="333"/>
      <c r="N351" s="467" t="s">
        <v>1634</v>
      </c>
      <c r="O351" s="90" t="s">
        <v>281</v>
      </c>
      <c r="P351" s="347"/>
      <c r="Q351" s="348" t="s">
        <v>2093</v>
      </c>
      <c r="R351" s="348"/>
      <c r="S351" s="506" t="s">
        <v>272</v>
      </c>
      <c r="T351" s="150" t="s">
        <v>1586</v>
      </c>
      <c r="U351" s="402"/>
      <c r="V351" s="406"/>
      <c r="W351" s="406"/>
      <c r="X351" s="425"/>
      <c r="Y351" s="71"/>
      <c r="Z351" s="784"/>
      <c r="AA351" s="794"/>
      <c r="AB351" s="794"/>
      <c r="AC351" s="429"/>
      <c r="AD351" s="429">
        <v>-10419.43</v>
      </c>
      <c r="AE351" s="429">
        <v>0</v>
      </c>
      <c r="AF351" s="429">
        <v>0</v>
      </c>
      <c r="AG351" s="364"/>
      <c r="AH351" s="364"/>
      <c r="AI351" s="364"/>
      <c r="AJ351" s="364"/>
      <c r="AK351" s="364"/>
      <c r="AL351" s="360">
        <f t="shared" si="22"/>
        <v>-10419.43</v>
      </c>
      <c r="AM351" s="362">
        <f>ERP_8[[#This Row],[2026 Working Total]]-ERP_8[[#This Row],[LE2 Final Submission]]</f>
        <v>-10419.43</v>
      </c>
      <c r="AN351" s="79">
        <v>0</v>
      </c>
      <c r="AO351" s="79">
        <f t="shared" si="21"/>
        <v>0</v>
      </c>
      <c r="AP351" s="374">
        <f>SUM(ERP_8[[#This Row],[AP01]:[AP07]])-SUM(ERP_8[[#This Row],[AP01 LE2]:[AP07 LE2]])</f>
        <v>-10419.43</v>
      </c>
      <c r="AQ351" s="80"/>
      <c r="AR351" s="79">
        <f>ERP_8[[#This Row],[2026 Working Total to Budget/LE]]-ERP_8[[#This Row],[Giveback]]</f>
        <v>-10419.43</v>
      </c>
      <c r="AS351" s="81"/>
      <c r="AT351" s="375"/>
      <c r="AU351" s="375"/>
      <c r="AV351" s="375"/>
      <c r="AW351" s="375"/>
      <c r="AX351" s="375"/>
      <c r="AY351" s="375"/>
      <c r="AZ351" s="375"/>
      <c r="BA351" s="375"/>
      <c r="BB351" s="375"/>
      <c r="BC351" s="375"/>
      <c r="BD351" s="375"/>
      <c r="BE351" s="375"/>
      <c r="BF351" s="375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</row>
    <row r="352" spans="1:71" ht="15" hidden="1" customHeight="1">
      <c r="A352" s="66" t="s">
        <v>2094</v>
      </c>
      <c r="B352" s="737" t="s">
        <v>2095</v>
      </c>
      <c r="C352" s="346"/>
      <c r="D352" s="343" t="str">
        <f>_xlfn.TEXTJOIN("_",FALSE,E352,ERP_8[[#This Row],[Expense Category]],ERP_8[[#This Row],[Project Code*]])</f>
        <v>Patel, Apurva_MANAGED SERVICES_EP&amp;SCharges001</v>
      </c>
      <c r="E352" s="343" t="s">
        <v>1566</v>
      </c>
      <c r="F352" s="346"/>
      <c r="G352" s="150" t="s">
        <v>1136</v>
      </c>
      <c r="H352" s="150" t="s">
        <v>1345</v>
      </c>
      <c r="I352" s="150" t="s">
        <v>1346</v>
      </c>
      <c r="J352" s="150" t="s">
        <v>1346</v>
      </c>
      <c r="K352" s="511" t="s">
        <v>389</v>
      </c>
      <c r="L352" s="392" t="s">
        <v>1174</v>
      </c>
      <c r="M352" s="343"/>
      <c r="N352" s="800"/>
      <c r="O352" s="70" t="s">
        <v>56</v>
      </c>
      <c r="P352" s="346"/>
      <c r="Q352" s="346" t="s">
        <v>1140</v>
      </c>
      <c r="R352" s="346"/>
      <c r="S352" s="150" t="s">
        <v>57</v>
      </c>
      <c r="T352" s="150"/>
      <c r="U352" s="403"/>
      <c r="V352" s="406">
        <v>19212</v>
      </c>
      <c r="W352" s="406">
        <v>19118.86</v>
      </c>
      <c r="X352" s="425"/>
      <c r="Y352" s="71"/>
      <c r="Z352" s="784">
        <v>1556.11</v>
      </c>
      <c r="AA352" s="794">
        <v>1531.5</v>
      </c>
      <c r="AB352" s="794">
        <v>1622.25</v>
      </c>
      <c r="AC352" s="428">
        <v>1712.9899999999998</v>
      </c>
      <c r="AD352" s="429">
        <v>1903.18</v>
      </c>
      <c r="AE352" s="429">
        <v>456.33000000000004</v>
      </c>
      <c r="AF352" s="429">
        <v>1996.78</v>
      </c>
      <c r="AG352" s="363">
        <v>1601</v>
      </c>
      <c r="AH352" s="363">
        <v>1601</v>
      </c>
      <c r="AI352" s="363">
        <v>1601</v>
      </c>
      <c r="AJ352" s="363">
        <v>1601</v>
      </c>
      <c r="AK352" s="363">
        <v>1601</v>
      </c>
      <c r="AL352" s="360">
        <f t="shared" si="22"/>
        <v>18784.14</v>
      </c>
      <c r="AM352" s="362">
        <f>ERP_8[[#This Row],[2026 Working Total]]-ERP_8[[#This Row],[LE2 Final Submission]]</f>
        <v>-334.72000000000116</v>
      </c>
      <c r="AN352" s="79">
        <v>0</v>
      </c>
      <c r="AO352" s="79">
        <f t="shared" si="21"/>
        <v>456.33000000000004</v>
      </c>
      <c r="AP352" s="374">
        <f>SUM(ERP_8[[#This Row],[AP01]:[AP07]])-SUM(ERP_8[[#This Row],[AP01 LE2]:[AP07 LE2]])</f>
        <v>-334.72000000000116</v>
      </c>
      <c r="AQ352" s="80"/>
      <c r="AR352" s="79">
        <f>ERP_8[[#This Row],[2026 Working Total to Budget/LE]]-ERP_8[[#This Row],[Giveback]]</f>
        <v>-334.72000000000116</v>
      </c>
      <c r="AS352" s="81"/>
      <c r="AT352" s="375">
        <v>1556.11</v>
      </c>
      <c r="AU352" s="375">
        <v>1531.5</v>
      </c>
      <c r="AV352" s="375">
        <v>1622.25</v>
      </c>
      <c r="AW352" s="375">
        <v>1601</v>
      </c>
      <c r="AX352" s="375">
        <v>1601</v>
      </c>
      <c r="AY352" s="375">
        <v>1601</v>
      </c>
      <c r="AZ352" s="375">
        <v>1601</v>
      </c>
      <c r="BA352" s="375">
        <v>1601</v>
      </c>
      <c r="BB352" s="375">
        <v>1601</v>
      </c>
      <c r="BC352" s="375">
        <v>1601</v>
      </c>
      <c r="BD352" s="375">
        <v>1601</v>
      </c>
      <c r="BE352" s="375">
        <v>1601</v>
      </c>
      <c r="BF352" s="375">
        <v>19118.86</v>
      </c>
      <c r="BG352" s="79">
        <v>1556.11</v>
      </c>
      <c r="BH352" s="79">
        <v>1531.5</v>
      </c>
      <c r="BI352" s="79">
        <v>1622.25</v>
      </c>
      <c r="BJ352" s="79">
        <v>1601</v>
      </c>
      <c r="BK352" s="79">
        <v>1601</v>
      </c>
      <c r="BL352" s="79">
        <v>1601</v>
      </c>
      <c r="BM352" s="79">
        <v>1601</v>
      </c>
      <c r="BN352" s="79">
        <v>1601</v>
      </c>
      <c r="BO352" s="79">
        <v>1601</v>
      </c>
      <c r="BP352" s="79">
        <v>1601</v>
      </c>
      <c r="BQ352" s="79">
        <v>1601</v>
      </c>
      <c r="BR352" s="79">
        <v>1601</v>
      </c>
      <c r="BS352" s="79">
        <v>19118.86</v>
      </c>
    </row>
    <row r="353" spans="1:71" ht="15" hidden="1" customHeight="1">
      <c r="A353" s="66" t="s">
        <v>2096</v>
      </c>
      <c r="B353" s="737" t="s">
        <v>2097</v>
      </c>
      <c r="C353" s="346"/>
      <c r="D353" s="343" t="str">
        <f>_xlfn.TEXTJOIN("_",FALSE,E353,ERP_8[[#This Row],[Expense Category]],ERP_8[[#This Row],[Project Code*]])</f>
        <v>Patel, Apurva_MANAGED SERVICES_EP&amp;SCharges001</v>
      </c>
      <c r="E353" s="343" t="s">
        <v>1566</v>
      </c>
      <c r="F353" s="346"/>
      <c r="G353" s="150" t="s">
        <v>1136</v>
      </c>
      <c r="H353" s="150" t="s">
        <v>1567</v>
      </c>
      <c r="I353" s="150" t="s">
        <v>1567</v>
      </c>
      <c r="J353" s="150" t="s">
        <v>1567</v>
      </c>
      <c r="K353" s="511" t="s">
        <v>389</v>
      </c>
      <c r="L353" s="392" t="s">
        <v>1174</v>
      </c>
      <c r="M353" s="343"/>
      <c r="N353" s="800" t="s">
        <v>2098</v>
      </c>
      <c r="O353" s="70" t="s">
        <v>56</v>
      </c>
      <c r="P353" s="346"/>
      <c r="Q353" s="346" t="s">
        <v>1140</v>
      </c>
      <c r="R353" s="346"/>
      <c r="S353" s="150" t="s">
        <v>57</v>
      </c>
      <c r="T353" s="150"/>
      <c r="U353" s="403"/>
      <c r="V353" s="406">
        <v>42000</v>
      </c>
      <c r="W353" s="406">
        <v>36969.919999999998</v>
      </c>
      <c r="X353" s="425"/>
      <c r="Y353" s="71"/>
      <c r="Z353" s="784">
        <v>1654.46</v>
      </c>
      <c r="AA353" s="794">
        <v>2175.66</v>
      </c>
      <c r="AB353" s="794">
        <v>1639.8</v>
      </c>
      <c r="AC353" s="428">
        <v>3229.0899999999997</v>
      </c>
      <c r="AD353" s="429">
        <v>4136.0599999999995</v>
      </c>
      <c r="AE353" s="429">
        <v>4975.22</v>
      </c>
      <c r="AF353" s="429">
        <v>5086.09</v>
      </c>
      <c r="AG353" s="363">
        <v>3500</v>
      </c>
      <c r="AH353" s="363">
        <v>3500</v>
      </c>
      <c r="AI353" s="363">
        <v>3500</v>
      </c>
      <c r="AJ353" s="363">
        <v>3500</v>
      </c>
      <c r="AK353" s="363">
        <v>3500</v>
      </c>
      <c r="AL353" s="360">
        <f t="shared" si="22"/>
        <v>40396.380000000005</v>
      </c>
      <c r="AM353" s="362">
        <f>ERP_8[[#This Row],[2026 Working Total]]-ERP_8[[#This Row],[LE2 Final Submission]]</f>
        <v>3426.4600000000064</v>
      </c>
      <c r="AN353" s="79">
        <v>0</v>
      </c>
      <c r="AO353" s="79">
        <f t="shared" si="21"/>
        <v>4975.22</v>
      </c>
      <c r="AP353" s="374">
        <f>SUM(ERP_8[[#This Row],[AP01]:[AP07]])-SUM(ERP_8[[#This Row],[AP01 LE2]:[AP07 LE2]])</f>
        <v>3426.4600000000028</v>
      </c>
      <c r="AQ353" s="80"/>
      <c r="AR353" s="79">
        <f>ERP_8[[#This Row],[2026 Working Total to Budget/LE]]-ERP_8[[#This Row],[Giveback]]</f>
        <v>3426.4600000000064</v>
      </c>
      <c r="AS353" s="81"/>
      <c r="AT353" s="375">
        <v>1654.46</v>
      </c>
      <c r="AU353" s="375">
        <v>2175.66</v>
      </c>
      <c r="AV353" s="375">
        <v>1639.8</v>
      </c>
      <c r="AW353" s="375">
        <v>3500</v>
      </c>
      <c r="AX353" s="375">
        <v>3500</v>
      </c>
      <c r="AY353" s="375">
        <v>3500</v>
      </c>
      <c r="AZ353" s="375">
        <v>3500</v>
      </c>
      <c r="BA353" s="375">
        <v>3500</v>
      </c>
      <c r="BB353" s="375">
        <v>3500</v>
      </c>
      <c r="BC353" s="375">
        <v>3500</v>
      </c>
      <c r="BD353" s="375">
        <v>3500</v>
      </c>
      <c r="BE353" s="375">
        <v>3500</v>
      </c>
      <c r="BF353" s="375">
        <v>36969.919999999998</v>
      </c>
      <c r="BG353" s="79">
        <v>1654.46</v>
      </c>
      <c r="BH353" s="79">
        <v>2175.66</v>
      </c>
      <c r="BI353" s="79">
        <v>1639.8</v>
      </c>
      <c r="BJ353" s="79">
        <v>3500</v>
      </c>
      <c r="BK353" s="79">
        <v>3500</v>
      </c>
      <c r="BL353" s="79">
        <v>3500</v>
      </c>
      <c r="BM353" s="79">
        <v>3500</v>
      </c>
      <c r="BN353" s="79">
        <v>3500</v>
      </c>
      <c r="BO353" s="79">
        <v>3500</v>
      </c>
      <c r="BP353" s="79">
        <v>3500</v>
      </c>
      <c r="BQ353" s="79">
        <v>3500</v>
      </c>
      <c r="BR353" s="79">
        <v>3500</v>
      </c>
      <c r="BS353" s="79">
        <v>36969.919999999998</v>
      </c>
    </row>
    <row r="354" spans="1:71" ht="15" hidden="1" customHeight="1">
      <c r="A354" s="79" t="s">
        <v>2099</v>
      </c>
      <c r="B354" s="749" t="s">
        <v>2100</v>
      </c>
      <c r="C354" s="348"/>
      <c r="D354" s="347" t="str">
        <f>_xlfn.TEXTJOIN("_",FALSE,E354,ERP_8[[#This Row],[Expense Category]],ERP_8[[#This Row],[Project Code*]])</f>
        <v>Patel, Apurva_MANAGED SERVICES_IT-FBT0285-OG-ES-00</v>
      </c>
      <c r="E354" s="347" t="s">
        <v>1566</v>
      </c>
      <c r="F354" s="348"/>
      <c r="G354" s="150" t="s">
        <v>1136</v>
      </c>
      <c r="H354" s="332" t="s">
        <v>1345</v>
      </c>
      <c r="I354" s="383" t="s">
        <v>1346</v>
      </c>
      <c r="J354" s="331" t="s">
        <v>1346</v>
      </c>
      <c r="K354" s="512" t="s">
        <v>389</v>
      </c>
      <c r="L354" s="393" t="s">
        <v>2101</v>
      </c>
      <c r="M354" s="343"/>
      <c r="N354" s="803"/>
      <c r="O354" s="91" t="s">
        <v>571</v>
      </c>
      <c r="P354" s="343"/>
      <c r="Q354" s="346" t="s">
        <v>1221</v>
      </c>
      <c r="R354" s="348"/>
      <c r="S354" s="386" t="s">
        <v>432</v>
      </c>
      <c r="T354" s="777" t="s">
        <v>2102</v>
      </c>
      <c r="U354" s="432"/>
      <c r="V354" s="358">
        <v>1236</v>
      </c>
      <c r="W354" s="378">
        <v>0</v>
      </c>
      <c r="X354" s="425"/>
      <c r="Y354" s="71"/>
      <c r="Z354" s="783"/>
      <c r="AA354" s="795"/>
      <c r="AB354" s="795"/>
      <c r="AC354" s="428" t="s">
        <v>1142</v>
      </c>
      <c r="AD354" s="429">
        <v>0</v>
      </c>
      <c r="AE354" s="429">
        <v>0</v>
      </c>
      <c r="AF354" s="429" t="s">
        <v>1142</v>
      </c>
      <c r="AG354" s="388">
        <v>0</v>
      </c>
      <c r="AH354" s="388">
        <v>0</v>
      </c>
      <c r="AI354" s="388">
        <v>0</v>
      </c>
      <c r="AJ354" s="388">
        <v>0</v>
      </c>
      <c r="AK354" s="388">
        <v>0</v>
      </c>
      <c r="AL354" s="360">
        <f t="shared" si="22"/>
        <v>0</v>
      </c>
      <c r="AM354" s="362">
        <f>ERP_8[[#This Row],[2026 Working Total]]-ERP_8[[#This Row],[LE2 Final Submission]]</f>
        <v>0</v>
      </c>
      <c r="AN354" s="79">
        <v>0</v>
      </c>
      <c r="AO354" s="79">
        <f t="shared" si="21"/>
        <v>0</v>
      </c>
      <c r="AP354" s="374">
        <f>SUM(ERP_8[[#This Row],[AP01]:[AP07]])-SUM(ERP_8[[#This Row],[AP01 LE2]:[AP07 LE2]])</f>
        <v>0</v>
      </c>
      <c r="AQ354" s="80"/>
      <c r="AR354" s="79">
        <f>ERP_8[[#This Row],[2026 Working Total to Budget/LE]]-ERP_8[[#This Row],[Giveback]]</f>
        <v>0</v>
      </c>
      <c r="AS354" s="81"/>
      <c r="AT354" s="375"/>
      <c r="AU354" s="375"/>
      <c r="AV354" s="375"/>
      <c r="AW354" s="375">
        <v>0</v>
      </c>
      <c r="AX354" s="375">
        <v>0</v>
      </c>
      <c r="AY354" s="375">
        <v>0</v>
      </c>
      <c r="AZ354" s="375">
        <v>0</v>
      </c>
      <c r="BA354" s="375">
        <v>0</v>
      </c>
      <c r="BB354" s="375">
        <v>0</v>
      </c>
      <c r="BC354" s="375">
        <v>0</v>
      </c>
      <c r="BD354" s="375">
        <v>0</v>
      </c>
      <c r="BE354" s="375">
        <v>0</v>
      </c>
      <c r="BF354" s="375">
        <v>0</v>
      </c>
      <c r="BG354" s="103">
        <v>412</v>
      </c>
      <c r="BH354" s="103">
        <v>412</v>
      </c>
      <c r="BI354" s="103">
        <v>412</v>
      </c>
      <c r="BJ354" s="103">
        <v>0</v>
      </c>
      <c r="BK354" s="103">
        <v>0</v>
      </c>
      <c r="BL354" s="103">
        <v>0</v>
      </c>
      <c r="BM354" s="103">
        <v>0</v>
      </c>
      <c r="BN354" s="103">
        <v>0</v>
      </c>
      <c r="BO354" s="103">
        <v>0</v>
      </c>
      <c r="BP354" s="103">
        <v>0</v>
      </c>
      <c r="BQ354" s="103">
        <v>0</v>
      </c>
      <c r="BR354" s="103">
        <v>0</v>
      </c>
      <c r="BS354" s="79">
        <f>SUM(ERP_8[[#This Row],[2026 AP01]:[2026 AP12]])</f>
        <v>1236</v>
      </c>
    </row>
    <row r="355" spans="1:71" ht="15" hidden="1" customHeight="1">
      <c r="A355" s="79" t="s">
        <v>2103</v>
      </c>
      <c r="B355" s="66" t="s">
        <v>2104</v>
      </c>
      <c r="C355" s="818"/>
      <c r="D355" s="343" t="str">
        <f>_xlfn.TEXTJOIN("_",FALSE,E355,ERP_8[[#This Row],[Expense Category]],ERP_8[[#This Row],[Project Code*]])</f>
        <v>Patel, Apurva_MANAGED SERVICES_IT-FBT0288-OG-BE-00</v>
      </c>
      <c r="E355" s="331" t="s">
        <v>1566</v>
      </c>
      <c r="F355" s="818"/>
      <c r="G355" s="150" t="s">
        <v>1136</v>
      </c>
      <c r="H355" s="490" t="s">
        <v>1566</v>
      </c>
      <c r="I355" s="150" t="s">
        <v>1566</v>
      </c>
      <c r="J355" s="590" t="s">
        <v>1135</v>
      </c>
      <c r="K355" s="333" t="s">
        <v>389</v>
      </c>
      <c r="L355" s="858" t="s">
        <v>1736</v>
      </c>
      <c r="M355" s="333"/>
      <c r="N355" s="801"/>
      <c r="O355" s="348" t="s">
        <v>431</v>
      </c>
      <c r="P355" s="347"/>
      <c r="Q355" s="347"/>
      <c r="R355" s="348"/>
      <c r="S355" s="348"/>
      <c r="T355" s="826" t="s">
        <v>1737</v>
      </c>
      <c r="U355" s="779"/>
      <c r="V355" s="358"/>
      <c r="W355" s="379"/>
      <c r="X355" s="425"/>
      <c r="Y355" s="71"/>
      <c r="Z355" s="714">
        <v>-496.91</v>
      </c>
      <c r="AA355" s="795">
        <v>-1814.32</v>
      </c>
      <c r="AB355" s="795">
        <v>-1804.46</v>
      </c>
      <c r="AC355" s="434">
        <v>-988.66</v>
      </c>
      <c r="AD355" s="434">
        <v>-162.79999999999998</v>
      </c>
      <c r="AE355" s="434"/>
      <c r="AF355" s="429" t="s">
        <v>1142</v>
      </c>
      <c r="AG355" s="364"/>
      <c r="AH355" s="364"/>
      <c r="AI355" s="364"/>
      <c r="AJ355" s="364"/>
      <c r="AK355" s="364"/>
      <c r="AL355" s="360">
        <f>SUM(X355:AK355)</f>
        <v>-5267.1500000000005</v>
      </c>
      <c r="AM355" s="362">
        <f>ERP_8[[#This Row],[2026 Working Total]]-ERP_8[[#This Row],[LE2 Final Submission]]</f>
        <v>-5267.1500000000005</v>
      </c>
      <c r="AN355" s="79"/>
      <c r="AO355" s="79">
        <f>$Z355 - $AN355</f>
        <v>-496.91</v>
      </c>
      <c r="AP355" s="374">
        <f>SUM(ERP_8[[#This Row],[AP01]:[AP07]])-SUM(ERP_8[[#This Row],[AP01 LE2]:[AP07 LE2]])</f>
        <v>-5267.1500000000005</v>
      </c>
      <c r="AQ355" s="80"/>
      <c r="AR355" s="79">
        <f>ERP_8[[#This Row],[2026 Working Total to Budget/LE]]-ERP_8[[#This Row],[Giveback]]</f>
        <v>-5267.1500000000005</v>
      </c>
      <c r="AS355" s="81"/>
      <c r="AT355" s="375"/>
      <c r="AU355" s="375"/>
      <c r="AV355" s="375"/>
      <c r="AW355" s="375"/>
      <c r="AX355" s="375"/>
      <c r="AY355" s="375"/>
      <c r="AZ355" s="375"/>
      <c r="BA355" s="375"/>
      <c r="BB355" s="375"/>
      <c r="BC355" s="375"/>
      <c r="BD355" s="375"/>
      <c r="BE355" s="375"/>
      <c r="BF355" s="375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</row>
    <row r="356" spans="1:71" ht="15" hidden="1" customHeight="1">
      <c r="A356" s="66" t="s">
        <v>2105</v>
      </c>
      <c r="B356" s="737" t="s">
        <v>2106</v>
      </c>
      <c r="C356" s="346"/>
      <c r="D356" s="343" t="str">
        <f>_xlfn.TEXTJOIN("_",FALSE,E356,ERP_8[[#This Row],[Expense Category]],ERP_8[[#This Row],[Project Code*]])</f>
        <v>Patel, Apurva_MANAGED SERVICES_IT-FBT0830-OT-US-00</v>
      </c>
      <c r="E356" s="343" t="s">
        <v>1566</v>
      </c>
      <c r="F356" s="346"/>
      <c r="G356" s="150" t="s">
        <v>1136</v>
      </c>
      <c r="H356" s="150" t="s">
        <v>1567</v>
      </c>
      <c r="I356" s="150" t="s">
        <v>1567</v>
      </c>
      <c r="J356" s="150" t="s">
        <v>1567</v>
      </c>
      <c r="K356" s="511" t="s">
        <v>389</v>
      </c>
      <c r="L356" s="392" t="s">
        <v>2107</v>
      </c>
      <c r="M356" s="343"/>
      <c r="N356" s="800" t="s">
        <v>1634</v>
      </c>
      <c r="O356" s="70" t="s">
        <v>576</v>
      </c>
      <c r="P356" s="346"/>
      <c r="Q356" s="343"/>
      <c r="R356" s="346"/>
      <c r="S356" s="505" t="s">
        <v>272</v>
      </c>
      <c r="T356" s="150" t="s">
        <v>2108</v>
      </c>
      <c r="U356" s="403"/>
      <c r="V356" s="406">
        <v>-30</v>
      </c>
      <c r="W356" s="406">
        <v>-30</v>
      </c>
      <c r="X356" s="425"/>
      <c r="Y356" s="71"/>
      <c r="Z356" s="784"/>
      <c r="AA356" s="794"/>
      <c r="AB356" s="794">
        <v>-30</v>
      </c>
      <c r="AC356" s="428">
        <v>0</v>
      </c>
      <c r="AD356" s="429">
        <v>0</v>
      </c>
      <c r="AE356" s="429">
        <v>650</v>
      </c>
      <c r="AF356" s="429">
        <v>0</v>
      </c>
      <c r="AG356" s="360">
        <v>0</v>
      </c>
      <c r="AH356" s="363">
        <v>1550</v>
      </c>
      <c r="AI356" s="360">
        <v>0</v>
      </c>
      <c r="AJ356" s="360">
        <v>0</v>
      </c>
      <c r="AK356" s="363">
        <v>0</v>
      </c>
      <c r="AL356" s="360">
        <f t="shared" ref="AL356:AL363" si="23">SUM(Z356:AK356)</f>
        <v>2170</v>
      </c>
      <c r="AM356" s="362">
        <f>ERP_8[[#This Row],[2026 Working Total]]-ERP_8[[#This Row],[LE2 Final Submission]]</f>
        <v>2200</v>
      </c>
      <c r="AN356" s="79">
        <v>0</v>
      </c>
      <c r="AO356" s="79">
        <f t="shared" ref="AO356:AO363" si="24">$AE356 - $AN356</f>
        <v>650</v>
      </c>
      <c r="AP356" s="374">
        <f>SUM(ERP_8[[#This Row],[AP01]:[AP07]])-SUM(ERP_8[[#This Row],[AP01 LE2]:[AP07 LE2]])</f>
        <v>650</v>
      </c>
      <c r="AQ356" s="80"/>
      <c r="AR356" s="79">
        <f>ERP_8[[#This Row],[2026 Working Total to Budget/LE]]-ERP_8[[#This Row],[Giveback]]</f>
        <v>2200</v>
      </c>
      <c r="AS356" s="81"/>
      <c r="AT356" s="375"/>
      <c r="AU356" s="375"/>
      <c r="AV356" s="375">
        <v>-30</v>
      </c>
      <c r="AW356" s="375">
        <v>0</v>
      </c>
      <c r="AX356" s="375">
        <v>0</v>
      </c>
      <c r="AY356" s="375">
        <v>0</v>
      </c>
      <c r="AZ356" s="375">
        <v>0</v>
      </c>
      <c r="BA356" s="375">
        <v>0</v>
      </c>
      <c r="BB356" s="375">
        <v>0</v>
      </c>
      <c r="BC356" s="375">
        <v>0</v>
      </c>
      <c r="BD356" s="375">
        <v>0</v>
      </c>
      <c r="BE356" s="375">
        <v>0</v>
      </c>
      <c r="BF356" s="375">
        <v>-30</v>
      </c>
      <c r="BG356" s="79"/>
      <c r="BH356" s="79"/>
      <c r="BI356" s="79">
        <v>-30</v>
      </c>
      <c r="BJ356" s="79">
        <v>0</v>
      </c>
      <c r="BK356" s="79">
        <v>0</v>
      </c>
      <c r="BL356" s="79">
        <v>5000</v>
      </c>
      <c r="BM356" s="79">
        <v>0</v>
      </c>
      <c r="BN356" s="79">
        <v>0</v>
      </c>
      <c r="BO356" s="79">
        <v>5000</v>
      </c>
      <c r="BP356" s="79">
        <v>0</v>
      </c>
      <c r="BQ356" s="79">
        <v>0</v>
      </c>
      <c r="BR356" s="79">
        <v>-15000</v>
      </c>
      <c r="BS356" s="79">
        <v>-5030</v>
      </c>
    </row>
    <row r="357" spans="1:71" ht="15" hidden="1" customHeight="1">
      <c r="A357" s="66" t="s">
        <v>2109</v>
      </c>
      <c r="B357" s="737" t="s">
        <v>2110</v>
      </c>
      <c r="C357" s="346"/>
      <c r="D357" s="343" t="str">
        <f>_xlfn.TEXTJOIN("_",FALSE,E357,ERP_8[[#This Row],[Expense Category]],ERP_8[[#This Row],[Project Code*]])</f>
        <v>Patel, Apurva_MANAGED SERVICES_IT-FBT1017-OT-US-00</v>
      </c>
      <c r="E357" s="343" t="s">
        <v>1566</v>
      </c>
      <c r="F357" s="346"/>
      <c r="G357" s="150" t="s">
        <v>1136</v>
      </c>
      <c r="H357" s="150" t="s">
        <v>1567</v>
      </c>
      <c r="I357" s="150" t="s">
        <v>1567</v>
      </c>
      <c r="J357" s="150" t="s">
        <v>1567</v>
      </c>
      <c r="K357" s="511" t="s">
        <v>389</v>
      </c>
      <c r="L357" s="392" t="s">
        <v>1626</v>
      </c>
      <c r="M357" s="343"/>
      <c r="N357" s="800" t="s">
        <v>1634</v>
      </c>
      <c r="O357" s="70" t="s">
        <v>307</v>
      </c>
      <c r="P357" s="346"/>
      <c r="Q357" s="343"/>
      <c r="R357" s="346"/>
      <c r="S357" s="505" t="s">
        <v>272</v>
      </c>
      <c r="T357" s="150" t="s">
        <v>2111</v>
      </c>
      <c r="U357" s="403"/>
      <c r="V357" s="406">
        <v>0</v>
      </c>
      <c r="W357" s="406">
        <v>2089.6999999999998</v>
      </c>
      <c r="X357" s="425"/>
      <c r="Y357" s="71"/>
      <c r="Z357" s="784"/>
      <c r="AA357" s="794"/>
      <c r="AB357" s="794">
        <v>2089.6999999999998</v>
      </c>
      <c r="AC357" s="428">
        <v>0</v>
      </c>
      <c r="AD357" s="429">
        <v>2520.12</v>
      </c>
      <c r="AE357" s="429">
        <v>0</v>
      </c>
      <c r="AF357" s="429">
        <v>0</v>
      </c>
      <c r="AG357" s="360">
        <v>3240</v>
      </c>
      <c r="AH357" s="360">
        <v>0</v>
      </c>
      <c r="AI357" s="360">
        <v>0</v>
      </c>
      <c r="AJ357" s="360">
        <v>0</v>
      </c>
      <c r="AK357" s="360">
        <v>0</v>
      </c>
      <c r="AL357" s="360">
        <f t="shared" si="23"/>
        <v>7849.82</v>
      </c>
      <c r="AM357" s="362">
        <f>ERP_8[[#This Row],[2026 Working Total]]-ERP_8[[#This Row],[LE2 Final Submission]]</f>
        <v>5760.12</v>
      </c>
      <c r="AN357" s="79">
        <v>0</v>
      </c>
      <c r="AO357" s="79">
        <f t="shared" si="24"/>
        <v>0</v>
      </c>
      <c r="AP357" s="374">
        <f>SUM(ERP_8[[#This Row],[AP01]:[AP07]])-SUM(ERP_8[[#This Row],[AP01 LE2]:[AP07 LE2]])</f>
        <v>2520.12</v>
      </c>
      <c r="AQ357" s="80"/>
      <c r="AR357" s="79">
        <f>ERP_8[[#This Row],[2026 Working Total to Budget/LE]]-ERP_8[[#This Row],[Giveback]]</f>
        <v>5760.12</v>
      </c>
      <c r="AS357" s="81"/>
      <c r="AT357" s="375"/>
      <c r="AU357" s="375"/>
      <c r="AV357" s="375">
        <v>2089.6999999999998</v>
      </c>
      <c r="AW357" s="375">
        <v>0</v>
      </c>
      <c r="AX357" s="375">
        <v>0</v>
      </c>
      <c r="AY357" s="375">
        <v>0</v>
      </c>
      <c r="AZ357" s="375">
        <v>0</v>
      </c>
      <c r="BA357" s="375">
        <v>0</v>
      </c>
      <c r="BB357" s="375">
        <v>0</v>
      </c>
      <c r="BC357" s="375">
        <v>0</v>
      </c>
      <c r="BD357" s="375">
        <v>0</v>
      </c>
      <c r="BE357" s="375">
        <v>0</v>
      </c>
      <c r="BF357" s="375">
        <v>2089.6999999999998</v>
      </c>
      <c r="BG357" s="79"/>
      <c r="BH357" s="79"/>
      <c r="BI357" s="79">
        <v>2089.6999999999998</v>
      </c>
      <c r="BJ357" s="79">
        <v>0</v>
      </c>
      <c r="BK357" s="79">
        <v>0</v>
      </c>
      <c r="BL357" s="79">
        <v>0</v>
      </c>
      <c r="BM357" s="79">
        <v>0</v>
      </c>
      <c r="BN357" s="79">
        <v>0</v>
      </c>
      <c r="BO357" s="79">
        <v>0</v>
      </c>
      <c r="BP357" s="79">
        <v>0</v>
      </c>
      <c r="BQ357" s="79">
        <v>0</v>
      </c>
      <c r="BR357" s="79">
        <v>0</v>
      </c>
      <c r="BS357" s="79">
        <v>2089.6999999999998</v>
      </c>
    </row>
    <row r="358" spans="1:71" ht="15" hidden="1" customHeight="1">
      <c r="A358" s="66" t="s">
        <v>2112</v>
      </c>
      <c r="B358" s="737" t="s">
        <v>2113</v>
      </c>
      <c r="C358" s="346"/>
      <c r="D358" s="343" t="str">
        <f>_xlfn.TEXTJOIN("_",FALSE,E358,ERP_8[[#This Row],[Expense Category]],ERP_8[[#This Row],[Project Code*]])</f>
        <v>Patel, Apurva_MANAGED SERVICES_IT-FGS0299-OG-US-00</v>
      </c>
      <c r="E358" s="343" t="s">
        <v>1566</v>
      </c>
      <c r="F358" s="346"/>
      <c r="G358" s="150" t="s">
        <v>1136</v>
      </c>
      <c r="H358" s="150" t="s">
        <v>1345</v>
      </c>
      <c r="I358" s="150" t="s">
        <v>1346</v>
      </c>
      <c r="J358" s="150" t="s">
        <v>1346</v>
      </c>
      <c r="K358" s="511" t="s">
        <v>389</v>
      </c>
      <c r="L358" s="392" t="s">
        <v>1703</v>
      </c>
      <c r="M358" s="343"/>
      <c r="N358" s="800" t="s">
        <v>2114</v>
      </c>
      <c r="O358" s="70" t="s">
        <v>365</v>
      </c>
      <c r="P358" s="346"/>
      <c r="Q358" s="346" t="s">
        <v>1140</v>
      </c>
      <c r="R358" s="346"/>
      <c r="S358" s="150" t="s">
        <v>57</v>
      </c>
      <c r="T358" s="150"/>
      <c r="U358" s="403"/>
      <c r="V358" s="406">
        <v>0</v>
      </c>
      <c r="W358" s="406">
        <v>2000</v>
      </c>
      <c r="X358" s="430"/>
      <c r="Y358" s="137"/>
      <c r="Z358" s="784">
        <v>2000</v>
      </c>
      <c r="AA358" s="794">
        <v>0</v>
      </c>
      <c r="AB358" s="794">
        <v>0</v>
      </c>
      <c r="AC358" s="428">
        <v>0</v>
      </c>
      <c r="AD358" s="429">
        <v>90.2</v>
      </c>
      <c r="AE358" s="429">
        <v>90.2</v>
      </c>
      <c r="AF358" s="429">
        <v>2105.27</v>
      </c>
      <c r="AG358" s="360">
        <v>0</v>
      </c>
      <c r="AH358" s="360">
        <v>0</v>
      </c>
      <c r="AI358" s="360">
        <v>0</v>
      </c>
      <c r="AJ358" s="360">
        <v>0</v>
      </c>
      <c r="AK358" s="360">
        <v>0</v>
      </c>
      <c r="AL358" s="360">
        <f t="shared" si="23"/>
        <v>4285.67</v>
      </c>
      <c r="AM358" s="362">
        <f>ERP_8[[#This Row],[2026 Working Total]]-ERP_8[[#This Row],[LE2 Final Submission]]</f>
        <v>2285.67</v>
      </c>
      <c r="AN358" s="79">
        <v>0</v>
      </c>
      <c r="AO358" s="79">
        <f t="shared" si="24"/>
        <v>90.2</v>
      </c>
      <c r="AP358" s="374">
        <f>SUM(ERP_8[[#This Row],[AP01]:[AP07]])-SUM(ERP_8[[#This Row],[AP01 LE2]:[AP07 LE2]])</f>
        <v>2285.67</v>
      </c>
      <c r="AQ358" s="80"/>
      <c r="AR358" s="79">
        <f>ERP_8[[#This Row],[2026 Working Total to Budget/LE]]-ERP_8[[#This Row],[Giveback]]</f>
        <v>2285.67</v>
      </c>
      <c r="AS358" s="81"/>
      <c r="AT358" s="375">
        <v>2000</v>
      </c>
      <c r="AU358" s="375">
        <v>0</v>
      </c>
      <c r="AV358" s="375">
        <v>0</v>
      </c>
      <c r="AW358" s="375">
        <v>0</v>
      </c>
      <c r="AX358" s="375">
        <v>0</v>
      </c>
      <c r="AY358" s="375">
        <v>0</v>
      </c>
      <c r="AZ358" s="375">
        <v>0</v>
      </c>
      <c r="BA358" s="375">
        <v>0</v>
      </c>
      <c r="BB358" s="375">
        <v>0</v>
      </c>
      <c r="BC358" s="375">
        <v>0</v>
      </c>
      <c r="BD358" s="375">
        <v>0</v>
      </c>
      <c r="BE358" s="375">
        <v>0</v>
      </c>
      <c r="BF358" s="375">
        <v>2000</v>
      </c>
      <c r="BG358" s="79">
        <v>2000</v>
      </c>
      <c r="BH358" s="79">
        <v>0</v>
      </c>
      <c r="BI358" s="79">
        <v>0</v>
      </c>
      <c r="BJ358" s="79">
        <v>0</v>
      </c>
      <c r="BK358" s="79">
        <v>0</v>
      </c>
      <c r="BL358" s="79">
        <v>0</v>
      </c>
      <c r="BM358" s="79">
        <v>0</v>
      </c>
      <c r="BN358" s="79">
        <v>0</v>
      </c>
      <c r="BO358" s="79">
        <v>0</v>
      </c>
      <c r="BP358" s="79">
        <v>0</v>
      </c>
      <c r="BQ358" s="79">
        <v>0</v>
      </c>
      <c r="BR358" s="79">
        <v>0</v>
      </c>
      <c r="BS358" s="79">
        <v>2000</v>
      </c>
    </row>
    <row r="359" spans="1:71" ht="15" hidden="1" customHeight="1">
      <c r="A359" s="66" t="s">
        <v>2115</v>
      </c>
      <c r="B359" s="737" t="s">
        <v>2116</v>
      </c>
      <c r="C359" s="346"/>
      <c r="D359" s="343" t="str">
        <f>_xlfn.TEXTJOIN("_",FALSE,E359,ERP_8[[#This Row],[Expense Category]],ERP_8[[#This Row],[Project Code*]])</f>
        <v>Patel, Apurva_MANAGED SERVICES_IT-FGS0299-OG-US-00</v>
      </c>
      <c r="E359" s="343" t="s">
        <v>1566</v>
      </c>
      <c r="F359" s="346"/>
      <c r="G359" s="150" t="s">
        <v>1136</v>
      </c>
      <c r="H359" s="150" t="s">
        <v>1567</v>
      </c>
      <c r="I359" s="150" t="s">
        <v>1567</v>
      </c>
      <c r="J359" s="150" t="s">
        <v>1567</v>
      </c>
      <c r="K359" s="511" t="s">
        <v>389</v>
      </c>
      <c r="L359" s="392" t="s">
        <v>1703</v>
      </c>
      <c r="M359" s="343"/>
      <c r="N359" s="800" t="s">
        <v>1593</v>
      </c>
      <c r="O359" s="70" t="s">
        <v>365</v>
      </c>
      <c r="P359" s="346"/>
      <c r="Q359" s="346" t="s">
        <v>1140</v>
      </c>
      <c r="R359" s="346"/>
      <c r="S359" s="150" t="s">
        <v>57</v>
      </c>
      <c r="T359" s="150"/>
      <c r="U359" s="403"/>
      <c r="V359" s="406">
        <v>18000</v>
      </c>
      <c r="W359" s="406">
        <v>15727.5</v>
      </c>
      <c r="X359" s="425"/>
      <c r="Y359" s="71"/>
      <c r="Z359" s="784">
        <v>2227.5</v>
      </c>
      <c r="AA359" s="794">
        <v>0</v>
      </c>
      <c r="AB359" s="794">
        <v>0</v>
      </c>
      <c r="AC359" s="428">
        <v>0</v>
      </c>
      <c r="AD359" s="429">
        <v>1.86</v>
      </c>
      <c r="AE359" s="429">
        <v>388.92</v>
      </c>
      <c r="AF359" s="429">
        <v>388.92</v>
      </c>
      <c r="AG359" s="363">
        <v>1500</v>
      </c>
      <c r="AH359" s="363">
        <v>1500</v>
      </c>
      <c r="AI359" s="363">
        <v>1500</v>
      </c>
      <c r="AJ359" s="363">
        <v>1500</v>
      </c>
      <c r="AK359" s="363">
        <v>1500</v>
      </c>
      <c r="AL359" s="360">
        <f t="shared" si="23"/>
        <v>10507.2</v>
      </c>
      <c r="AM359" s="362">
        <f>ERP_8[[#This Row],[2026 Working Total]]-ERP_8[[#This Row],[LE2 Final Submission]]</f>
        <v>-5220.2999999999993</v>
      </c>
      <c r="AN359" s="79">
        <v>1500</v>
      </c>
      <c r="AO359" s="79">
        <f t="shared" si="24"/>
        <v>-1111.08</v>
      </c>
      <c r="AP359" s="374">
        <f>SUM(ERP_8[[#This Row],[AP01]:[AP07]])-SUM(ERP_8[[#This Row],[AP01 LE2]:[AP07 LE2]])</f>
        <v>-5220.2999999999993</v>
      </c>
      <c r="AQ359" s="80"/>
      <c r="AR359" s="79">
        <f>ERP_8[[#This Row],[2026 Working Total to Budget/LE]]-ERP_8[[#This Row],[Giveback]]</f>
        <v>-5220.2999999999993</v>
      </c>
      <c r="AS359" s="81"/>
      <c r="AT359" s="375">
        <v>2227.5</v>
      </c>
      <c r="AU359" s="375">
        <v>0</v>
      </c>
      <c r="AV359" s="375">
        <v>0</v>
      </c>
      <c r="AW359" s="375">
        <v>1500</v>
      </c>
      <c r="AX359" s="375">
        <v>1500</v>
      </c>
      <c r="AY359" s="375">
        <v>1500</v>
      </c>
      <c r="AZ359" s="375">
        <v>1500</v>
      </c>
      <c r="BA359" s="375">
        <v>1500</v>
      </c>
      <c r="BB359" s="375">
        <v>1500</v>
      </c>
      <c r="BC359" s="375">
        <v>1500</v>
      </c>
      <c r="BD359" s="375">
        <v>1500</v>
      </c>
      <c r="BE359" s="375">
        <v>1500</v>
      </c>
      <c r="BF359" s="375">
        <v>15727.5</v>
      </c>
      <c r="BG359" s="79">
        <v>2227.5</v>
      </c>
      <c r="BH359" s="79">
        <v>0</v>
      </c>
      <c r="BI359" s="79">
        <v>0</v>
      </c>
      <c r="BJ359" s="79">
        <v>1500</v>
      </c>
      <c r="BK359" s="79">
        <v>1500</v>
      </c>
      <c r="BL359" s="79">
        <v>1500</v>
      </c>
      <c r="BM359" s="79">
        <v>1500</v>
      </c>
      <c r="BN359" s="79">
        <v>1500</v>
      </c>
      <c r="BO359" s="79">
        <v>1500</v>
      </c>
      <c r="BP359" s="79">
        <v>1500</v>
      </c>
      <c r="BQ359" s="79">
        <v>1500</v>
      </c>
      <c r="BR359" s="79">
        <v>1500</v>
      </c>
      <c r="BS359" s="79">
        <v>15727.5</v>
      </c>
    </row>
    <row r="360" spans="1:71" ht="15" hidden="1" customHeight="1">
      <c r="A360" s="66" t="s">
        <v>2117</v>
      </c>
      <c r="B360" s="737" t="s">
        <v>2118</v>
      </c>
      <c r="C360" s="346"/>
      <c r="D360" s="343" t="str">
        <f>_xlfn.TEXTJOIN("_",FALSE,E360,ERP_8[[#This Row],[Expense Category]],ERP_8[[#This Row],[Project Code*]])</f>
        <v>Patel, Apurva_MANAGED SERVICES_IT-FGS0301-OG-US-00</v>
      </c>
      <c r="E360" s="343" t="s">
        <v>1566</v>
      </c>
      <c r="F360" s="346"/>
      <c r="G360" s="150" t="s">
        <v>1136</v>
      </c>
      <c r="H360" s="150" t="s">
        <v>1345</v>
      </c>
      <c r="I360" s="150" t="s">
        <v>1346</v>
      </c>
      <c r="J360" s="150" t="s">
        <v>1346</v>
      </c>
      <c r="K360" s="511" t="s">
        <v>389</v>
      </c>
      <c r="L360" s="392" t="s">
        <v>1855</v>
      </c>
      <c r="M360" s="343"/>
      <c r="N360" s="800" t="s">
        <v>2119</v>
      </c>
      <c r="O360" s="70" t="s">
        <v>466</v>
      </c>
      <c r="P360" s="346"/>
      <c r="Q360" s="346" t="s">
        <v>1140</v>
      </c>
      <c r="R360" s="346"/>
      <c r="S360" s="150" t="s">
        <v>57</v>
      </c>
      <c r="T360" s="150"/>
      <c r="U360" s="403"/>
      <c r="V360" s="406">
        <v>60000</v>
      </c>
      <c r="W360" s="406">
        <v>76216.11</v>
      </c>
      <c r="X360" s="425"/>
      <c r="Y360" s="71"/>
      <c r="Z360" s="784">
        <v>14407.17</v>
      </c>
      <c r="AA360" s="794">
        <v>13803.08</v>
      </c>
      <c r="AB360" s="794">
        <v>3005.86</v>
      </c>
      <c r="AC360" s="428">
        <v>15296.21</v>
      </c>
      <c r="AD360" s="429">
        <v>17035.269999999997</v>
      </c>
      <c r="AE360" s="429">
        <v>17290.900000000001</v>
      </c>
      <c r="AF360" s="429">
        <v>18125.97</v>
      </c>
      <c r="AG360" s="363">
        <v>5000</v>
      </c>
      <c r="AH360" s="363">
        <v>5000</v>
      </c>
      <c r="AI360" s="363">
        <v>5000</v>
      </c>
      <c r="AJ360" s="363">
        <v>5000</v>
      </c>
      <c r="AK360" s="363">
        <v>5000</v>
      </c>
      <c r="AL360" s="360">
        <f t="shared" si="23"/>
        <v>123964.45999999999</v>
      </c>
      <c r="AM360" s="362">
        <f>ERP_8[[#This Row],[2026 Working Total]]-ERP_8[[#This Row],[LE2 Final Submission]]</f>
        <v>47748.349999999991</v>
      </c>
      <c r="AN360" s="79">
        <v>5000</v>
      </c>
      <c r="AO360" s="79">
        <f t="shared" si="24"/>
        <v>12290.900000000001</v>
      </c>
      <c r="AP360" s="374">
        <f>SUM(ERP_8[[#This Row],[AP01]:[AP07]])-SUM(ERP_8[[#This Row],[AP01 LE2]:[AP07 LE2]])</f>
        <v>47748.349999999991</v>
      </c>
      <c r="AQ360" s="80"/>
      <c r="AR360" s="79">
        <f>ERP_8[[#This Row],[2026 Working Total to Budget/LE]]-ERP_8[[#This Row],[Giveback]]</f>
        <v>47748.349999999991</v>
      </c>
      <c r="AS360" s="81"/>
      <c r="AT360" s="375">
        <v>14407.17</v>
      </c>
      <c r="AU360" s="375">
        <v>13803.08</v>
      </c>
      <c r="AV360" s="375">
        <v>3005.86</v>
      </c>
      <c r="AW360" s="375">
        <v>5000</v>
      </c>
      <c r="AX360" s="375">
        <v>5000</v>
      </c>
      <c r="AY360" s="375">
        <v>5000</v>
      </c>
      <c r="AZ360" s="375">
        <v>5000</v>
      </c>
      <c r="BA360" s="375">
        <v>5000</v>
      </c>
      <c r="BB360" s="375">
        <v>5000</v>
      </c>
      <c r="BC360" s="375">
        <v>5000</v>
      </c>
      <c r="BD360" s="375">
        <v>5000</v>
      </c>
      <c r="BE360" s="375">
        <v>5000</v>
      </c>
      <c r="BF360" s="375">
        <v>76216.11</v>
      </c>
      <c r="BG360" s="79">
        <v>14407.17</v>
      </c>
      <c r="BH360" s="79">
        <v>13803.08</v>
      </c>
      <c r="BI360" s="79">
        <v>3005.86</v>
      </c>
      <c r="BJ360" s="79">
        <v>5000</v>
      </c>
      <c r="BK360" s="79">
        <v>5000</v>
      </c>
      <c r="BL360" s="79">
        <v>5000</v>
      </c>
      <c r="BM360" s="79">
        <v>5000</v>
      </c>
      <c r="BN360" s="79">
        <v>5000</v>
      </c>
      <c r="BO360" s="79">
        <v>5000</v>
      </c>
      <c r="BP360" s="79">
        <v>5000</v>
      </c>
      <c r="BQ360" s="79">
        <v>5000</v>
      </c>
      <c r="BR360" s="79">
        <v>5000</v>
      </c>
      <c r="BS360" s="79">
        <v>76216.11</v>
      </c>
    </row>
    <row r="361" spans="1:71" ht="15" hidden="1" customHeight="1">
      <c r="A361" s="66" t="s">
        <v>2120</v>
      </c>
      <c r="B361" s="737" t="s">
        <v>2121</v>
      </c>
      <c r="C361" s="346"/>
      <c r="D361" s="343" t="str">
        <f>_xlfn.TEXTJOIN("_",FALSE,E361,ERP_8[[#This Row],[Expense Category]],ERP_8[[#This Row],[Project Code*]])</f>
        <v>Patel, Apurva_MANAGED SERVICES_IT-FGS0301-OG-US-00</v>
      </c>
      <c r="E361" s="343" t="s">
        <v>1566</v>
      </c>
      <c r="F361" s="346"/>
      <c r="G361" s="150" t="s">
        <v>1136</v>
      </c>
      <c r="H361" s="150" t="s">
        <v>1567</v>
      </c>
      <c r="I361" s="150" t="s">
        <v>1567</v>
      </c>
      <c r="J361" s="150" t="s">
        <v>1567</v>
      </c>
      <c r="K361" s="511" t="s">
        <v>389</v>
      </c>
      <c r="L361" s="392" t="s">
        <v>1855</v>
      </c>
      <c r="M361" s="343"/>
      <c r="N361" s="800" t="s">
        <v>1593</v>
      </c>
      <c r="O361" s="70" t="s">
        <v>466</v>
      </c>
      <c r="P361" s="346"/>
      <c r="Q361" s="346" t="s">
        <v>1140</v>
      </c>
      <c r="R361" s="346"/>
      <c r="S361" s="150" t="s">
        <v>57</v>
      </c>
      <c r="T361" s="150"/>
      <c r="U361" s="403"/>
      <c r="V361" s="406">
        <v>0</v>
      </c>
      <c r="W361" s="406">
        <v>882</v>
      </c>
      <c r="X361" s="425"/>
      <c r="Y361" s="71"/>
      <c r="Z361" s="784">
        <v>194</v>
      </c>
      <c r="AA361" s="794">
        <v>194</v>
      </c>
      <c r="AB361" s="794">
        <v>494</v>
      </c>
      <c r="AC361" s="428">
        <v>688</v>
      </c>
      <c r="AD361" s="429">
        <v>501</v>
      </c>
      <c r="AE361" s="429">
        <v>441</v>
      </c>
      <c r="AF361" s="429">
        <v>508</v>
      </c>
      <c r="AG361" s="360">
        <v>0</v>
      </c>
      <c r="AH361" s="360">
        <v>0</v>
      </c>
      <c r="AI361" s="360">
        <v>0</v>
      </c>
      <c r="AJ361" s="360">
        <v>0</v>
      </c>
      <c r="AK361" s="360">
        <v>0</v>
      </c>
      <c r="AL361" s="360">
        <f t="shared" si="23"/>
        <v>3020</v>
      </c>
      <c r="AM361" s="362">
        <f>ERP_8[[#This Row],[2026 Working Total]]-ERP_8[[#This Row],[LE2 Final Submission]]</f>
        <v>2138</v>
      </c>
      <c r="AN361" s="79">
        <v>0</v>
      </c>
      <c r="AO361" s="79">
        <f t="shared" si="24"/>
        <v>441</v>
      </c>
      <c r="AP361" s="374">
        <f>SUM(ERP_8[[#This Row],[AP01]:[AP07]])-SUM(ERP_8[[#This Row],[AP01 LE2]:[AP07 LE2]])</f>
        <v>2138</v>
      </c>
      <c r="AQ361" s="80"/>
      <c r="AR361" s="79">
        <f>ERP_8[[#This Row],[2026 Working Total to Budget/LE]]-ERP_8[[#This Row],[Giveback]]</f>
        <v>2138</v>
      </c>
      <c r="AS361" s="81"/>
      <c r="AT361" s="375">
        <v>194</v>
      </c>
      <c r="AU361" s="375">
        <v>194</v>
      </c>
      <c r="AV361" s="375">
        <v>494</v>
      </c>
      <c r="AW361" s="375">
        <v>0</v>
      </c>
      <c r="AX361" s="375">
        <v>0</v>
      </c>
      <c r="AY361" s="375">
        <v>0</v>
      </c>
      <c r="AZ361" s="375">
        <v>0</v>
      </c>
      <c r="BA361" s="375">
        <v>0</v>
      </c>
      <c r="BB361" s="375">
        <v>0</v>
      </c>
      <c r="BC361" s="375">
        <v>0</v>
      </c>
      <c r="BD361" s="375">
        <v>0</v>
      </c>
      <c r="BE361" s="375">
        <v>0</v>
      </c>
      <c r="BF361" s="375">
        <v>882</v>
      </c>
      <c r="BG361" s="79">
        <v>194</v>
      </c>
      <c r="BH361" s="79">
        <v>194</v>
      </c>
      <c r="BI361" s="79">
        <v>494</v>
      </c>
      <c r="BJ361" s="79">
        <v>0</v>
      </c>
      <c r="BK361" s="79">
        <v>0</v>
      </c>
      <c r="BL361" s="79">
        <v>0</v>
      </c>
      <c r="BM361" s="79">
        <v>0</v>
      </c>
      <c r="BN361" s="79">
        <v>0</v>
      </c>
      <c r="BO361" s="79">
        <v>0</v>
      </c>
      <c r="BP361" s="79">
        <v>0</v>
      </c>
      <c r="BQ361" s="79">
        <v>0</v>
      </c>
      <c r="BR361" s="79">
        <v>0</v>
      </c>
      <c r="BS361" s="79">
        <v>882</v>
      </c>
    </row>
    <row r="362" spans="1:71" ht="15" hidden="1" customHeight="1">
      <c r="A362" s="66" t="s">
        <v>2122</v>
      </c>
      <c r="B362" s="737" t="s">
        <v>2123</v>
      </c>
      <c r="C362" s="346"/>
      <c r="D362" s="343" t="str">
        <f>_xlfn.TEXTJOIN("_",FALSE,E362,ERP_8[[#This Row],[Expense Category]],ERP_8[[#This Row],[Project Code*]])</f>
        <v>Patel, Apurva_MANAGED SERVICES_IT-MGS0158-OG-US-00</v>
      </c>
      <c r="E362" s="343" t="s">
        <v>1566</v>
      </c>
      <c r="F362" s="346"/>
      <c r="G362" s="150" t="s">
        <v>1136</v>
      </c>
      <c r="H362" s="150" t="s">
        <v>1345</v>
      </c>
      <c r="I362" s="150" t="s">
        <v>1346</v>
      </c>
      <c r="J362" s="150" t="s">
        <v>1346</v>
      </c>
      <c r="K362" s="511" t="s">
        <v>389</v>
      </c>
      <c r="L362" s="392" t="s">
        <v>2124</v>
      </c>
      <c r="M362" s="343"/>
      <c r="N362" s="800"/>
      <c r="O362" s="70" t="s">
        <v>583</v>
      </c>
      <c r="P362" s="346"/>
      <c r="Q362" s="343"/>
      <c r="R362" s="346"/>
      <c r="S362" s="150" t="s">
        <v>25</v>
      </c>
      <c r="T362" s="150"/>
      <c r="U362" s="403"/>
      <c r="V362" s="406">
        <v>4032</v>
      </c>
      <c r="W362" s="406">
        <v>3024</v>
      </c>
      <c r="X362" s="425"/>
      <c r="Y362" s="71"/>
      <c r="Z362" s="784"/>
      <c r="AA362" s="794"/>
      <c r="AB362" s="794"/>
      <c r="AC362" s="428" t="s">
        <v>1142</v>
      </c>
      <c r="AD362" s="429">
        <v>0</v>
      </c>
      <c r="AE362" s="429">
        <v>0</v>
      </c>
      <c r="AF362" s="429" t="s">
        <v>1142</v>
      </c>
      <c r="AG362" s="363">
        <v>336</v>
      </c>
      <c r="AH362" s="363">
        <v>336</v>
      </c>
      <c r="AI362" s="363">
        <v>336</v>
      </c>
      <c r="AJ362" s="363">
        <v>336</v>
      </c>
      <c r="AK362" s="363">
        <v>336</v>
      </c>
      <c r="AL362" s="360">
        <f t="shared" si="23"/>
        <v>1680</v>
      </c>
      <c r="AM362" s="362">
        <f>ERP_8[[#This Row],[2026 Working Total]]-ERP_8[[#This Row],[LE2 Final Submission]]</f>
        <v>-1344</v>
      </c>
      <c r="AN362" s="79">
        <v>336</v>
      </c>
      <c r="AO362" s="79">
        <f t="shared" si="24"/>
        <v>-336</v>
      </c>
      <c r="AP362" s="374">
        <f>SUM(ERP_8[[#This Row],[AP01]:[AP07]])-SUM(ERP_8[[#This Row],[AP01 LE2]:[AP07 LE2]])</f>
        <v>-1344</v>
      </c>
      <c r="AQ362" s="80"/>
      <c r="AR362" s="79">
        <f>ERP_8[[#This Row],[2026 Working Total to Budget/LE]]-ERP_8[[#This Row],[Giveback]]</f>
        <v>-1344</v>
      </c>
      <c r="AS362" s="81"/>
      <c r="AT362" s="375"/>
      <c r="AU362" s="375"/>
      <c r="AV362" s="375"/>
      <c r="AW362" s="375">
        <v>336</v>
      </c>
      <c r="AX362" s="375">
        <v>336</v>
      </c>
      <c r="AY362" s="375">
        <v>336</v>
      </c>
      <c r="AZ362" s="375">
        <v>336</v>
      </c>
      <c r="BA362" s="375">
        <v>336</v>
      </c>
      <c r="BB362" s="375">
        <v>336</v>
      </c>
      <c r="BC362" s="375">
        <v>336</v>
      </c>
      <c r="BD362" s="375">
        <v>336</v>
      </c>
      <c r="BE362" s="375">
        <v>336</v>
      </c>
      <c r="BF362" s="375">
        <v>3024</v>
      </c>
      <c r="BG362" s="79"/>
      <c r="BH362" s="79"/>
      <c r="BI362" s="79"/>
      <c r="BJ362" s="79">
        <v>336</v>
      </c>
      <c r="BK362" s="79">
        <v>336</v>
      </c>
      <c r="BL362" s="79">
        <v>336</v>
      </c>
      <c r="BM362" s="79">
        <v>336</v>
      </c>
      <c r="BN362" s="79">
        <v>336</v>
      </c>
      <c r="BO362" s="79">
        <v>336</v>
      </c>
      <c r="BP362" s="79">
        <v>336</v>
      </c>
      <c r="BQ362" s="79">
        <v>336</v>
      </c>
      <c r="BR362" s="79">
        <v>336</v>
      </c>
      <c r="BS362" s="79">
        <v>3024</v>
      </c>
    </row>
    <row r="363" spans="1:71" ht="15" hidden="1" customHeight="1">
      <c r="A363" s="66" t="s">
        <v>2125</v>
      </c>
      <c r="B363" s="737" t="s">
        <v>2126</v>
      </c>
      <c r="C363" s="346"/>
      <c r="D363" s="343" t="str">
        <f>_xlfn.TEXTJOIN("_",FALSE,E363,ERP_8[[#This Row],[Expense Category]],ERP_8[[#This Row],[Project Code*]])</f>
        <v>Patel, Apurva_MANAGED SERVICES_IT-SFT1442-OG-US-00</v>
      </c>
      <c r="E363" s="343" t="s">
        <v>1566</v>
      </c>
      <c r="F363" s="346"/>
      <c r="G363" s="150" t="s">
        <v>1136</v>
      </c>
      <c r="H363" s="150" t="s">
        <v>1567</v>
      </c>
      <c r="I363" s="150" t="s">
        <v>1567</v>
      </c>
      <c r="J363" s="150" t="s">
        <v>1567</v>
      </c>
      <c r="K363" s="511" t="s">
        <v>389</v>
      </c>
      <c r="L363" s="392" t="s">
        <v>2127</v>
      </c>
      <c r="M363" s="343"/>
      <c r="N363" s="800" t="s">
        <v>1593</v>
      </c>
      <c r="O363" s="70" t="s">
        <v>587</v>
      </c>
      <c r="P363" s="346"/>
      <c r="Q363" s="343"/>
      <c r="R363" s="346"/>
      <c r="S363" s="150" t="s">
        <v>25</v>
      </c>
      <c r="T363" s="150"/>
      <c r="U363" s="403"/>
      <c r="V363" s="406">
        <v>0</v>
      </c>
      <c r="W363" s="406">
        <v>21.89</v>
      </c>
      <c r="X363" s="425"/>
      <c r="Y363" s="71"/>
      <c r="Z363" s="784">
        <v>11.06</v>
      </c>
      <c r="AA363" s="794">
        <v>5.54</v>
      </c>
      <c r="AB363" s="794">
        <v>5.29</v>
      </c>
      <c r="AC363" s="428">
        <v>5.5299999999999994</v>
      </c>
      <c r="AD363" s="429">
        <v>5.33</v>
      </c>
      <c r="AE363" s="429">
        <v>5.5299999999999994</v>
      </c>
      <c r="AF363" s="429">
        <v>5.33</v>
      </c>
      <c r="AG363" s="360">
        <v>0</v>
      </c>
      <c r="AH363" s="360">
        <v>0</v>
      </c>
      <c r="AI363" s="360">
        <v>0</v>
      </c>
      <c r="AJ363" s="360">
        <v>0</v>
      </c>
      <c r="AK363" s="360">
        <v>0</v>
      </c>
      <c r="AL363" s="360">
        <f t="shared" si="23"/>
        <v>43.61</v>
      </c>
      <c r="AM363" s="362">
        <f>ERP_8[[#This Row],[2026 Working Total]]-ERP_8[[#This Row],[LE2 Final Submission]]</f>
        <v>21.72</v>
      </c>
      <c r="AN363" s="79">
        <v>0</v>
      </c>
      <c r="AO363" s="79">
        <f t="shared" si="24"/>
        <v>5.5299999999999994</v>
      </c>
      <c r="AP363" s="374">
        <f>SUM(ERP_8[[#This Row],[AP01]:[AP07]])-SUM(ERP_8[[#This Row],[AP01 LE2]:[AP07 LE2]])</f>
        <v>21.72</v>
      </c>
      <c r="AQ363" s="80"/>
      <c r="AR363" s="79">
        <f>ERP_8[[#This Row],[2026 Working Total to Budget/LE]]-ERP_8[[#This Row],[Giveback]]</f>
        <v>21.72</v>
      </c>
      <c r="AS363" s="81"/>
      <c r="AT363" s="375">
        <v>11.06</v>
      </c>
      <c r="AU363" s="375">
        <v>5.54</v>
      </c>
      <c r="AV363" s="375">
        <v>5.29</v>
      </c>
      <c r="AW363" s="375">
        <v>0</v>
      </c>
      <c r="AX363" s="375">
        <v>0</v>
      </c>
      <c r="AY363" s="375">
        <v>0</v>
      </c>
      <c r="AZ363" s="375">
        <v>0</v>
      </c>
      <c r="BA363" s="375">
        <v>0</v>
      </c>
      <c r="BB363" s="375">
        <v>0</v>
      </c>
      <c r="BC363" s="375">
        <v>0</v>
      </c>
      <c r="BD363" s="375">
        <v>0</v>
      </c>
      <c r="BE363" s="375">
        <v>0</v>
      </c>
      <c r="BF363" s="375">
        <v>21.89</v>
      </c>
      <c r="BG363" s="79">
        <v>11.06</v>
      </c>
      <c r="BH363" s="79">
        <v>5.54</v>
      </c>
      <c r="BI363" s="79">
        <v>5.29</v>
      </c>
      <c r="BJ363" s="79">
        <v>0</v>
      </c>
      <c r="BK363" s="79">
        <v>0</v>
      </c>
      <c r="BL363" s="79">
        <v>0</v>
      </c>
      <c r="BM363" s="79">
        <v>0</v>
      </c>
      <c r="BN363" s="79">
        <v>0</v>
      </c>
      <c r="BO363" s="79">
        <v>0</v>
      </c>
      <c r="BP363" s="79">
        <v>0</v>
      </c>
      <c r="BQ363" s="79">
        <v>0</v>
      </c>
      <c r="BR363" s="79">
        <v>0</v>
      </c>
      <c r="BS363" s="79">
        <v>21.89</v>
      </c>
    </row>
    <row r="364" spans="1:71" ht="15" hidden="1" customHeight="1">
      <c r="A364" s="79" t="s">
        <v>2128</v>
      </c>
      <c r="B364" s="66" t="s">
        <v>588</v>
      </c>
      <c r="C364" s="818"/>
      <c r="D364" s="343" t="str">
        <f>_xlfn.TEXTJOIN("_",FALSE,E364,ERP_8[[#This Row],[Expense Category]],ERP_8[[#This Row],[Project Code*]])</f>
        <v>Patel, Apurva_MANAGED SERVICES_MISC001</v>
      </c>
      <c r="E364" s="331" t="s">
        <v>1566</v>
      </c>
      <c r="F364" s="818"/>
      <c r="G364" s="150" t="s">
        <v>1136</v>
      </c>
      <c r="H364" s="490" t="s">
        <v>1566</v>
      </c>
      <c r="I364" s="150" t="s">
        <v>1566</v>
      </c>
      <c r="J364" s="590" t="s">
        <v>1135</v>
      </c>
      <c r="K364" s="333" t="s">
        <v>389</v>
      </c>
      <c r="L364" s="858" t="s">
        <v>1736</v>
      </c>
      <c r="M364" s="333"/>
      <c r="N364" s="801"/>
      <c r="O364" s="348" t="s">
        <v>147</v>
      </c>
      <c r="P364" s="347"/>
      <c r="Q364" s="347"/>
      <c r="R364" s="348"/>
      <c r="S364" s="348"/>
      <c r="T364" s="826" t="s">
        <v>1737</v>
      </c>
      <c r="U364" s="779"/>
      <c r="V364" s="358"/>
      <c r="W364" s="379"/>
      <c r="X364" s="425"/>
      <c r="Y364" s="71"/>
      <c r="Z364" s="714">
        <v>-34.579999999999927</v>
      </c>
      <c r="AA364" s="795">
        <v>-2174.2599999999998</v>
      </c>
      <c r="AB364" s="795">
        <v>-1377.2199999999998</v>
      </c>
      <c r="AC364" s="434">
        <v>-1682.44</v>
      </c>
      <c r="AD364" s="434">
        <v>-2072.7199999999998</v>
      </c>
      <c r="AE364" s="434"/>
      <c r="AF364" s="429" t="s">
        <v>1142</v>
      </c>
      <c r="AG364" s="364"/>
      <c r="AH364" s="364"/>
      <c r="AI364" s="364"/>
      <c r="AJ364" s="364"/>
      <c r="AK364" s="364"/>
      <c r="AL364" s="360">
        <f>SUM(X364:AK364)</f>
        <v>-7341.2199999999993</v>
      </c>
      <c r="AM364" s="362">
        <f>ERP_8[[#This Row],[2026 Working Total]]-ERP_8[[#This Row],[LE2 Final Submission]]</f>
        <v>-7341.2199999999993</v>
      </c>
      <c r="AN364" s="79"/>
      <c r="AO364" s="79">
        <f>$Z364 - $AN364</f>
        <v>-34.579999999999927</v>
      </c>
      <c r="AP364" s="374">
        <f>SUM(ERP_8[[#This Row],[AP01]:[AP07]])-SUM(ERP_8[[#This Row],[AP01 LE2]:[AP07 LE2]])</f>
        <v>-7341.2199999999993</v>
      </c>
      <c r="AQ364" s="80"/>
      <c r="AR364" s="79">
        <f>ERP_8[[#This Row],[2026 Working Total to Budget/LE]]-ERP_8[[#This Row],[Giveback]]</f>
        <v>-7341.2199999999993</v>
      </c>
      <c r="AS364" s="81"/>
      <c r="AT364" s="375"/>
      <c r="AU364" s="375"/>
      <c r="AV364" s="375"/>
      <c r="AW364" s="375"/>
      <c r="AX364" s="375"/>
      <c r="AY364" s="375"/>
      <c r="AZ364" s="375"/>
      <c r="BA364" s="375"/>
      <c r="BB364" s="375"/>
      <c r="BC364" s="375"/>
      <c r="BD364" s="375"/>
      <c r="BE364" s="375"/>
      <c r="BF364" s="375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</row>
    <row r="365" spans="1:71" ht="15" hidden="1" customHeight="1">
      <c r="A365" s="66" t="s">
        <v>2129</v>
      </c>
      <c r="B365" s="737" t="s">
        <v>2130</v>
      </c>
      <c r="C365" s="346"/>
      <c r="D365" s="343" t="str">
        <f>_xlfn.TEXTJOIN("_",FALSE,E365,ERP_8[[#This Row],[Expense Category]],ERP_8[[#This Row],[Project Code*]])</f>
        <v>Patel, Apurva_MANAGED SERVICES_MISC001</v>
      </c>
      <c r="E365" s="343" t="s">
        <v>1566</v>
      </c>
      <c r="F365" s="346"/>
      <c r="G365" s="150" t="s">
        <v>1136</v>
      </c>
      <c r="H365" s="150" t="s">
        <v>1345</v>
      </c>
      <c r="I365" s="150" t="s">
        <v>1346</v>
      </c>
      <c r="J365" s="150" t="s">
        <v>1346</v>
      </c>
      <c r="K365" s="511" t="s">
        <v>389</v>
      </c>
      <c r="L365" s="392" t="s">
        <v>1327</v>
      </c>
      <c r="M365" s="343"/>
      <c r="N365" s="800"/>
      <c r="O365" s="70" t="s">
        <v>147</v>
      </c>
      <c r="P365" s="346"/>
      <c r="Q365" s="343"/>
      <c r="R365" s="346"/>
      <c r="S365" s="150" t="s">
        <v>25</v>
      </c>
      <c r="T365" s="150"/>
      <c r="U365" s="403"/>
      <c r="V365" s="406">
        <v>0</v>
      </c>
      <c r="W365" s="406">
        <v>-991.60999999999967</v>
      </c>
      <c r="X365" s="425"/>
      <c r="Y365" s="71"/>
      <c r="Z365" s="784">
        <v>2949.13</v>
      </c>
      <c r="AA365" s="794">
        <v>-734.7</v>
      </c>
      <c r="AB365" s="794">
        <v>-3206.04</v>
      </c>
      <c r="AC365" s="428">
        <v>1083.7399999999998</v>
      </c>
      <c r="AD365" s="429">
        <v>2193.66</v>
      </c>
      <c r="AE365" s="429">
        <v>2312.1299999999997</v>
      </c>
      <c r="AF365" s="429">
        <v>-904.16</v>
      </c>
      <c r="AG365" s="360">
        <v>0</v>
      </c>
      <c r="AH365" s="360">
        <v>0</v>
      </c>
      <c r="AI365" s="360">
        <v>0</v>
      </c>
      <c r="AJ365" s="360">
        <v>0</v>
      </c>
      <c r="AK365" s="360">
        <v>0</v>
      </c>
      <c r="AL365" s="360">
        <f t="shared" ref="AL365:AL386" si="25">SUM(Z365:AK365)</f>
        <v>3693.76</v>
      </c>
      <c r="AM365" s="362">
        <f>ERP_8[[#This Row],[2026 Working Total]]-ERP_8[[#This Row],[LE2 Final Submission]]</f>
        <v>4685.37</v>
      </c>
      <c r="AN365" s="79">
        <v>0</v>
      </c>
      <c r="AO365" s="79">
        <f t="shared" ref="AO365:AO386" si="26">$AE365 - $AN365</f>
        <v>2312.1299999999997</v>
      </c>
      <c r="AP365" s="374">
        <f>SUM(ERP_8[[#This Row],[AP01]:[AP07]])-SUM(ERP_8[[#This Row],[AP01 LE2]:[AP07 LE2]])</f>
        <v>4685.37</v>
      </c>
      <c r="AQ365" s="80"/>
      <c r="AR365" s="79">
        <f>ERP_8[[#This Row],[2026 Working Total to Budget/LE]]-ERP_8[[#This Row],[Giveback]]</f>
        <v>4685.37</v>
      </c>
      <c r="AS365" s="81"/>
      <c r="AT365" s="375">
        <v>2949.13</v>
      </c>
      <c r="AU365" s="375">
        <v>-734.7</v>
      </c>
      <c r="AV365" s="375">
        <v>-3206.04</v>
      </c>
      <c r="AW365" s="375">
        <v>0</v>
      </c>
      <c r="AX365" s="375">
        <v>0</v>
      </c>
      <c r="AY365" s="375">
        <v>0</v>
      </c>
      <c r="AZ365" s="375">
        <v>0</v>
      </c>
      <c r="BA365" s="375">
        <v>0</v>
      </c>
      <c r="BB365" s="375">
        <v>0</v>
      </c>
      <c r="BC365" s="375">
        <v>0</v>
      </c>
      <c r="BD365" s="375">
        <v>0</v>
      </c>
      <c r="BE365" s="375">
        <v>0</v>
      </c>
      <c r="BF365" s="375">
        <v>-991.60999999999967</v>
      </c>
      <c r="BG365" s="79">
        <v>2949.13</v>
      </c>
      <c r="BH365" s="79">
        <v>-734.7</v>
      </c>
      <c r="BI365" s="79">
        <v>-3206.04</v>
      </c>
      <c r="BJ365" s="79">
        <v>0</v>
      </c>
      <c r="BK365" s="79">
        <v>0</v>
      </c>
      <c r="BL365" s="79">
        <v>0</v>
      </c>
      <c r="BM365" s="79">
        <v>0</v>
      </c>
      <c r="BN365" s="79">
        <v>0</v>
      </c>
      <c r="BO365" s="79">
        <v>0</v>
      </c>
      <c r="BP365" s="79">
        <v>0</v>
      </c>
      <c r="BQ365" s="79">
        <v>0</v>
      </c>
      <c r="BR365" s="79">
        <v>0</v>
      </c>
      <c r="BS365" s="79">
        <v>-991.60999999999967</v>
      </c>
    </row>
    <row r="366" spans="1:71" ht="15" hidden="1" customHeight="1">
      <c r="A366" s="66" t="s">
        <v>2131</v>
      </c>
      <c r="B366" s="737" t="s">
        <v>2132</v>
      </c>
      <c r="C366" s="346"/>
      <c r="D366" s="343" t="str">
        <f>_xlfn.TEXTJOIN("_",FALSE,E366,ERP_8[[#This Row],[Expense Category]],ERP_8[[#This Row],[Project Code*]])</f>
        <v>Patel, Apurva_MANAGED SERVICES_MISC001</v>
      </c>
      <c r="E366" s="343" t="s">
        <v>1566</v>
      </c>
      <c r="F366" s="346"/>
      <c r="G366" s="150" t="s">
        <v>1136</v>
      </c>
      <c r="H366" s="150" t="s">
        <v>1567</v>
      </c>
      <c r="I366" s="150" t="s">
        <v>1567</v>
      </c>
      <c r="J366" s="150" t="s">
        <v>1567</v>
      </c>
      <c r="K366" s="511" t="s">
        <v>389</v>
      </c>
      <c r="L366" s="392" t="s">
        <v>1327</v>
      </c>
      <c r="M366" s="343"/>
      <c r="N366" s="800" t="s">
        <v>2133</v>
      </c>
      <c r="O366" s="70" t="s">
        <v>147</v>
      </c>
      <c r="P366" s="346"/>
      <c r="Q366" s="343"/>
      <c r="R366" s="346"/>
      <c r="S366" s="150" t="s">
        <v>25</v>
      </c>
      <c r="T366" s="150"/>
      <c r="U366" s="403"/>
      <c r="V366" s="406">
        <v>0</v>
      </c>
      <c r="W366" s="406">
        <v>1501.59</v>
      </c>
      <c r="X366" s="425"/>
      <c r="Y366" s="71"/>
      <c r="Z366" s="784">
        <v>-0.46</v>
      </c>
      <c r="AA366" s="794">
        <v>0.71</v>
      </c>
      <c r="AB366" s="794">
        <v>1501.34</v>
      </c>
      <c r="AC366" s="428">
        <v>0.24</v>
      </c>
      <c r="AD366" s="429">
        <v>0.2</v>
      </c>
      <c r="AE366" s="429">
        <v>1249.95</v>
      </c>
      <c r="AF366" s="429">
        <v>0</v>
      </c>
      <c r="AG366" s="360">
        <v>0</v>
      </c>
      <c r="AH366" s="360">
        <v>0</v>
      </c>
      <c r="AI366" s="360">
        <v>0</v>
      </c>
      <c r="AJ366" s="360">
        <v>0</v>
      </c>
      <c r="AK366" s="360">
        <v>0</v>
      </c>
      <c r="AL366" s="360">
        <f t="shared" si="25"/>
        <v>2751.98</v>
      </c>
      <c r="AM366" s="362">
        <f>ERP_8[[#This Row],[2026 Working Total]]-ERP_8[[#This Row],[LE2 Final Submission]]</f>
        <v>1250.3900000000001</v>
      </c>
      <c r="AN366" s="79">
        <v>0</v>
      </c>
      <c r="AO366" s="79">
        <f t="shared" si="26"/>
        <v>1249.95</v>
      </c>
      <c r="AP366" s="374">
        <f>SUM(ERP_8[[#This Row],[AP01]:[AP07]])-SUM(ERP_8[[#This Row],[AP01 LE2]:[AP07 LE2]])</f>
        <v>1250.3900000000001</v>
      </c>
      <c r="AQ366" s="80"/>
      <c r="AR366" s="79">
        <f>ERP_8[[#This Row],[2026 Working Total to Budget/LE]]-ERP_8[[#This Row],[Giveback]]</f>
        <v>1250.3900000000001</v>
      </c>
      <c r="AS366" s="81"/>
      <c r="AT366" s="375">
        <v>-0.46</v>
      </c>
      <c r="AU366" s="375">
        <v>0.71</v>
      </c>
      <c r="AV366" s="375">
        <v>1501.34</v>
      </c>
      <c r="AW366" s="375">
        <v>0</v>
      </c>
      <c r="AX366" s="375">
        <v>0</v>
      </c>
      <c r="AY366" s="375">
        <v>0</v>
      </c>
      <c r="AZ366" s="375">
        <v>0</v>
      </c>
      <c r="BA366" s="375">
        <v>0</v>
      </c>
      <c r="BB366" s="375">
        <v>0</v>
      </c>
      <c r="BC366" s="375">
        <v>0</v>
      </c>
      <c r="BD366" s="375">
        <v>0</v>
      </c>
      <c r="BE366" s="375">
        <v>0</v>
      </c>
      <c r="BF366" s="375">
        <v>1501.59</v>
      </c>
      <c r="BG366" s="79">
        <v>-0.46</v>
      </c>
      <c r="BH366" s="79">
        <v>0.71</v>
      </c>
      <c r="BI366" s="79">
        <v>1501.34</v>
      </c>
      <c r="BJ366" s="79">
        <v>0</v>
      </c>
      <c r="BK366" s="79">
        <v>0</v>
      </c>
      <c r="BL366" s="79">
        <v>0</v>
      </c>
      <c r="BM366" s="79">
        <v>0</v>
      </c>
      <c r="BN366" s="79">
        <v>0</v>
      </c>
      <c r="BO366" s="79">
        <v>0</v>
      </c>
      <c r="BP366" s="79">
        <v>0</v>
      </c>
      <c r="BQ366" s="79">
        <v>0</v>
      </c>
      <c r="BR366" s="79">
        <v>0</v>
      </c>
      <c r="BS366" s="79">
        <v>1501.59</v>
      </c>
    </row>
    <row r="367" spans="1:71" ht="15" hidden="1" customHeight="1">
      <c r="A367" s="66" t="s">
        <v>2134</v>
      </c>
      <c r="B367" s="737" t="s">
        <v>2135</v>
      </c>
      <c r="C367" s="346"/>
      <c r="D367" s="343" t="str">
        <f>_xlfn.TEXTJOIN("_",FALSE,E367,ERP_8[[#This Row],[Expense Category]],ERP_8[[#This Row],[Project Code*]])</f>
        <v>Patel, Apurva_MANAGED SERVICES_OnetimeCredit002</v>
      </c>
      <c r="E367" s="343" t="s">
        <v>1566</v>
      </c>
      <c r="F367" s="346"/>
      <c r="G367" s="150" t="s">
        <v>1136</v>
      </c>
      <c r="H367" s="150" t="s">
        <v>1567</v>
      </c>
      <c r="I367" s="150" t="s">
        <v>1567</v>
      </c>
      <c r="J367" s="150" t="s">
        <v>1567</v>
      </c>
      <c r="K367" s="511" t="s">
        <v>389</v>
      </c>
      <c r="L367" s="392" t="s">
        <v>2136</v>
      </c>
      <c r="M367" s="343"/>
      <c r="N367" s="800"/>
      <c r="O367" s="70" t="s">
        <v>590</v>
      </c>
      <c r="P367" s="346"/>
      <c r="Q367" s="343"/>
      <c r="R367" s="346"/>
      <c r="S367" s="150" t="s">
        <v>44</v>
      </c>
      <c r="T367" s="150"/>
      <c r="U367" s="403"/>
      <c r="V367" s="406">
        <v>-338500</v>
      </c>
      <c r="W367" s="406">
        <v>-435500</v>
      </c>
      <c r="X367" s="425"/>
      <c r="Y367" s="71"/>
      <c r="Z367" s="784"/>
      <c r="AA367" s="794"/>
      <c r="AB367" s="794"/>
      <c r="AC367" s="428" t="s">
        <v>1142</v>
      </c>
      <c r="AD367" s="429">
        <v>0</v>
      </c>
      <c r="AE367" s="429">
        <v>0</v>
      </c>
      <c r="AF367" s="429" t="s">
        <v>1142</v>
      </c>
      <c r="AG367" s="360">
        <v>0</v>
      </c>
      <c r="AH367" s="363">
        <v>-203100</v>
      </c>
      <c r="AI367" s="360">
        <v>0</v>
      </c>
      <c r="AJ367" s="360">
        <v>0</v>
      </c>
      <c r="AK367" s="363">
        <v>-97000</v>
      </c>
      <c r="AL367" s="360">
        <f t="shared" si="25"/>
        <v>-300100</v>
      </c>
      <c r="AM367" s="362">
        <f>ERP_8[[#This Row],[2026 Working Total]]-ERP_8[[#This Row],[LE2 Final Submission]]</f>
        <v>135400</v>
      </c>
      <c r="AN367" s="79">
        <v>0</v>
      </c>
      <c r="AO367" s="79">
        <f t="shared" si="26"/>
        <v>0</v>
      </c>
      <c r="AP367" s="374">
        <f>SUM(ERP_8[[#This Row],[AP01]:[AP07]])-SUM(ERP_8[[#This Row],[AP01 LE2]:[AP07 LE2]])</f>
        <v>135400</v>
      </c>
      <c r="AQ367" s="80"/>
      <c r="AR367" s="79">
        <f>ERP_8[[#This Row],[2026 Working Total to Budget/LE]]-ERP_8[[#This Row],[Giveback]]</f>
        <v>135400</v>
      </c>
      <c r="AS367" s="81"/>
      <c r="AT367" s="375"/>
      <c r="AU367" s="375"/>
      <c r="AV367" s="375"/>
      <c r="AW367" s="375"/>
      <c r="AX367" s="375"/>
      <c r="AY367" s="375">
        <v>-135400</v>
      </c>
      <c r="AZ367" s="375">
        <v>0</v>
      </c>
      <c r="BA367" s="375">
        <v>0</v>
      </c>
      <c r="BB367" s="375">
        <v>-203100</v>
      </c>
      <c r="BC367" s="375">
        <v>0</v>
      </c>
      <c r="BD367" s="375">
        <v>0</v>
      </c>
      <c r="BE367" s="375">
        <v>-97000</v>
      </c>
      <c r="BF367" s="375">
        <v>-435500</v>
      </c>
      <c r="BG367" s="79"/>
      <c r="BH367" s="79"/>
      <c r="BI367" s="79"/>
      <c r="BJ367" s="79"/>
      <c r="BK367" s="79"/>
      <c r="BL367" s="79">
        <v>-135400</v>
      </c>
      <c r="BM367" s="79">
        <v>0</v>
      </c>
      <c r="BN367" s="79">
        <v>0</v>
      </c>
      <c r="BO367" s="79">
        <v>-203100</v>
      </c>
      <c r="BP367" s="79">
        <v>0</v>
      </c>
      <c r="BQ367" s="79">
        <v>0</v>
      </c>
      <c r="BR367" s="79">
        <v>-97000</v>
      </c>
      <c r="BS367" s="79">
        <v>-435500</v>
      </c>
    </row>
    <row r="368" spans="1:71" ht="15" hidden="1" customHeight="1">
      <c r="A368" s="66" t="s">
        <v>2137</v>
      </c>
      <c r="B368" s="737" t="s">
        <v>2138</v>
      </c>
      <c r="C368" s="346"/>
      <c r="D368" s="343" t="str">
        <f>_xlfn.TEXTJOIN("_",FALSE,E368,ERP_8[[#This Row],[Expense Category]],ERP_8[[#This Row],[Project Code*]])</f>
        <v>Patel, Apurva_MANAGED SERVICES_PR-587101-0000007986</v>
      </c>
      <c r="E368" s="343" t="s">
        <v>1566</v>
      </c>
      <c r="F368" s="346"/>
      <c r="G368" s="150" t="s">
        <v>1136</v>
      </c>
      <c r="H368" s="150" t="s">
        <v>1345</v>
      </c>
      <c r="I368" s="150" t="s">
        <v>1346</v>
      </c>
      <c r="J368" s="150" t="s">
        <v>1346</v>
      </c>
      <c r="K368" s="511" t="s">
        <v>389</v>
      </c>
      <c r="L368" s="392" t="s">
        <v>1648</v>
      </c>
      <c r="M368" s="343"/>
      <c r="N368" s="800"/>
      <c r="O368" s="70" t="s">
        <v>323</v>
      </c>
      <c r="P368" s="346"/>
      <c r="Q368" s="343"/>
      <c r="R368" s="346"/>
      <c r="S368" s="150" t="s">
        <v>25</v>
      </c>
      <c r="T368" s="150"/>
      <c r="U368" s="403"/>
      <c r="V368" s="406">
        <v>0</v>
      </c>
      <c r="W368" s="406">
        <v>356.72</v>
      </c>
      <c r="X368" s="425"/>
      <c r="Y368" s="71"/>
      <c r="Z368" s="784"/>
      <c r="AA368" s="794">
        <v>356.72</v>
      </c>
      <c r="AB368" s="794">
        <v>0</v>
      </c>
      <c r="AC368" s="428" t="s">
        <v>1142</v>
      </c>
      <c r="AD368" s="429">
        <v>0</v>
      </c>
      <c r="AE368" s="429">
        <v>0</v>
      </c>
      <c r="AF368" s="429" t="s">
        <v>1142</v>
      </c>
      <c r="AG368" s="360">
        <v>0</v>
      </c>
      <c r="AH368" s="360">
        <v>0</v>
      </c>
      <c r="AI368" s="360">
        <v>0</v>
      </c>
      <c r="AJ368" s="360">
        <v>0</v>
      </c>
      <c r="AK368" s="360">
        <v>0</v>
      </c>
      <c r="AL368" s="360">
        <f t="shared" si="25"/>
        <v>356.72</v>
      </c>
      <c r="AM368" s="362">
        <f>ERP_8[[#This Row],[2026 Working Total]]-ERP_8[[#This Row],[LE2 Final Submission]]</f>
        <v>0</v>
      </c>
      <c r="AN368" s="79">
        <v>0</v>
      </c>
      <c r="AO368" s="79">
        <f t="shared" si="26"/>
        <v>0</v>
      </c>
      <c r="AP368" s="374">
        <f>SUM(ERP_8[[#This Row],[AP01]:[AP07]])-SUM(ERP_8[[#This Row],[AP01 LE2]:[AP07 LE2]])</f>
        <v>0</v>
      </c>
      <c r="AQ368" s="80"/>
      <c r="AR368" s="79">
        <f>ERP_8[[#This Row],[2026 Working Total to Budget/LE]]-ERP_8[[#This Row],[Giveback]]</f>
        <v>0</v>
      </c>
      <c r="AS368" s="81"/>
      <c r="AT368" s="375"/>
      <c r="AU368" s="375">
        <v>356.72</v>
      </c>
      <c r="AV368" s="375">
        <v>0</v>
      </c>
      <c r="AW368" s="375">
        <v>0</v>
      </c>
      <c r="AX368" s="375">
        <v>0</v>
      </c>
      <c r="AY368" s="375">
        <v>0</v>
      </c>
      <c r="AZ368" s="375">
        <v>0</v>
      </c>
      <c r="BA368" s="375">
        <v>0</v>
      </c>
      <c r="BB368" s="375">
        <v>0</v>
      </c>
      <c r="BC368" s="375">
        <v>0</v>
      </c>
      <c r="BD368" s="375">
        <v>0</v>
      </c>
      <c r="BE368" s="375">
        <v>0</v>
      </c>
      <c r="BF368" s="375">
        <v>356.72</v>
      </c>
      <c r="BG368" s="79"/>
      <c r="BH368" s="79">
        <v>356.72</v>
      </c>
      <c r="BI368" s="79">
        <v>0</v>
      </c>
      <c r="BJ368" s="79">
        <v>0</v>
      </c>
      <c r="BK368" s="79">
        <v>0</v>
      </c>
      <c r="BL368" s="79">
        <v>0</v>
      </c>
      <c r="BM368" s="79">
        <v>0</v>
      </c>
      <c r="BN368" s="79">
        <v>0</v>
      </c>
      <c r="BO368" s="79">
        <v>0</v>
      </c>
      <c r="BP368" s="79">
        <v>0</v>
      </c>
      <c r="BQ368" s="79">
        <v>0</v>
      </c>
      <c r="BR368" s="79">
        <v>0</v>
      </c>
      <c r="BS368" s="79">
        <v>356.72</v>
      </c>
    </row>
    <row r="369" spans="1:71" ht="15" hidden="1" customHeight="1">
      <c r="A369" s="66" t="s">
        <v>2139</v>
      </c>
      <c r="B369" s="737" t="s">
        <v>594</v>
      </c>
      <c r="C369" s="346"/>
      <c r="D369" s="343" t="str">
        <f>_xlfn.TEXTJOIN("_",FALSE,E369,ERP_8[[#This Row],[Expense Category]],ERP_8[[#This Row],[Project Code*]])</f>
        <v>Robertson, Jerome_MANAGED SERVICES_IT-FBT0573-OG-US-00</v>
      </c>
      <c r="E369" s="343" t="s">
        <v>1650</v>
      </c>
      <c r="F369" s="346"/>
      <c r="G369" s="150" t="s">
        <v>1136</v>
      </c>
      <c r="H369" s="150" t="s">
        <v>1650</v>
      </c>
      <c r="I369" s="150" t="s">
        <v>1650</v>
      </c>
      <c r="J369" s="150" t="s">
        <v>1650</v>
      </c>
      <c r="K369" s="511" t="s">
        <v>389</v>
      </c>
      <c r="L369" s="392" t="s">
        <v>1658</v>
      </c>
      <c r="M369" s="343"/>
      <c r="N369" s="804">
        <v>1696680</v>
      </c>
      <c r="O369" s="70" t="s">
        <v>330</v>
      </c>
      <c r="P369" s="346"/>
      <c r="Q369" s="343"/>
      <c r="R369" s="346"/>
      <c r="S369" s="150" t="s">
        <v>67</v>
      </c>
      <c r="T369" s="150"/>
      <c r="U369" s="403"/>
      <c r="V369" s="406">
        <v>1274196</v>
      </c>
      <c r="W369" s="406">
        <v>1157512.03</v>
      </c>
      <c r="X369" s="425"/>
      <c r="Y369" s="71"/>
      <c r="Z369" s="784"/>
      <c r="AA369" s="794"/>
      <c r="AB369" s="794">
        <v>201865.03</v>
      </c>
      <c r="AC369" s="428">
        <v>98015.38</v>
      </c>
      <c r="AD369" s="429">
        <v>98015.39</v>
      </c>
      <c r="AE369" s="429">
        <v>122519.23000000001</v>
      </c>
      <c r="AF369" s="429">
        <v>98015.37999999999</v>
      </c>
      <c r="AG369" s="363">
        <v>106183</v>
      </c>
      <c r="AH369" s="363">
        <v>106183</v>
      </c>
      <c r="AI369" s="363">
        <v>106183</v>
      </c>
      <c r="AJ369" s="363">
        <v>106183</v>
      </c>
      <c r="AK369" s="363">
        <v>106183</v>
      </c>
      <c r="AL369" s="360">
        <f t="shared" si="25"/>
        <v>1149345.4100000001</v>
      </c>
      <c r="AM369" s="362">
        <f>ERP_8[[#This Row],[2026 Working Total]]-ERP_8[[#This Row],[LE2 Final Submission]]</f>
        <v>-8166.6199999998789</v>
      </c>
      <c r="AN369" s="79">
        <v>106183</v>
      </c>
      <c r="AO369" s="79">
        <f t="shared" si="26"/>
        <v>16336.23000000001</v>
      </c>
      <c r="AP369" s="374">
        <f>SUM(ERP_8[[#This Row],[AP01]:[AP07]])-SUM(ERP_8[[#This Row],[AP01 LE2]:[AP07 LE2]])</f>
        <v>-8166.6199999999953</v>
      </c>
      <c r="AQ369" s="80"/>
      <c r="AR369" s="79">
        <f>ERP_8[[#This Row],[2026 Working Total to Budget/LE]]-ERP_8[[#This Row],[Giveback]]</f>
        <v>-8166.6199999998789</v>
      </c>
      <c r="AS369" s="81"/>
      <c r="AT369" s="375"/>
      <c r="AU369" s="375"/>
      <c r="AV369" s="375">
        <v>201865.03</v>
      </c>
      <c r="AW369" s="375">
        <v>106183</v>
      </c>
      <c r="AX369" s="375">
        <v>106183</v>
      </c>
      <c r="AY369" s="375">
        <v>106183</v>
      </c>
      <c r="AZ369" s="375">
        <v>106183</v>
      </c>
      <c r="BA369" s="375">
        <v>106183</v>
      </c>
      <c r="BB369" s="375">
        <v>106183</v>
      </c>
      <c r="BC369" s="375">
        <v>106183</v>
      </c>
      <c r="BD369" s="375">
        <v>106183</v>
      </c>
      <c r="BE369" s="375">
        <v>106183</v>
      </c>
      <c r="BF369" s="375">
        <v>1157512.03</v>
      </c>
      <c r="BG369" s="79"/>
      <c r="BH369" s="79"/>
      <c r="BI369" s="79">
        <v>201865.03</v>
      </c>
      <c r="BJ369" s="79">
        <v>106183</v>
      </c>
      <c r="BK369" s="79">
        <v>106183</v>
      </c>
      <c r="BL369" s="79">
        <v>106183</v>
      </c>
      <c r="BM369" s="79">
        <v>106183</v>
      </c>
      <c r="BN369" s="79">
        <v>106183</v>
      </c>
      <c r="BO369" s="79">
        <v>106183</v>
      </c>
      <c r="BP369" s="79">
        <v>106183</v>
      </c>
      <c r="BQ369" s="79">
        <v>106183</v>
      </c>
      <c r="BR369" s="79">
        <v>106183</v>
      </c>
      <c r="BS369" s="79">
        <v>1157512.03</v>
      </c>
    </row>
    <row r="370" spans="1:71" ht="15" hidden="1" customHeight="1">
      <c r="A370" s="66" t="s">
        <v>2140</v>
      </c>
      <c r="B370" s="737" t="s">
        <v>595</v>
      </c>
      <c r="C370" s="346"/>
      <c r="D370" s="343" t="str">
        <f>_xlfn.TEXTJOIN("_",FALSE,E370,ERP_8[[#This Row],[Expense Category]],ERP_8[[#This Row],[Project Code*]])</f>
        <v>Robertson, Jerome_MANAGED SERVICES_IT-FBT0573-OG-US-00-CB</v>
      </c>
      <c r="E370" s="343" t="s">
        <v>1650</v>
      </c>
      <c r="F370" s="346"/>
      <c r="G370" s="150" t="s">
        <v>1136</v>
      </c>
      <c r="H370" s="150" t="s">
        <v>1650</v>
      </c>
      <c r="I370" s="150" t="s">
        <v>1650</v>
      </c>
      <c r="J370" s="150" t="s">
        <v>1650</v>
      </c>
      <c r="K370" s="511" t="s">
        <v>389</v>
      </c>
      <c r="L370" s="392" t="s">
        <v>1658</v>
      </c>
      <c r="M370" s="343"/>
      <c r="N370" s="800"/>
      <c r="O370" s="70" t="s">
        <v>596</v>
      </c>
      <c r="P370" s="346"/>
      <c r="Q370" s="343"/>
      <c r="R370" s="346"/>
      <c r="S370" s="150" t="s">
        <v>67</v>
      </c>
      <c r="T370" s="150" t="s">
        <v>1652</v>
      </c>
      <c r="U370" s="403"/>
      <c r="V370" s="406">
        <v>-12000</v>
      </c>
      <c r="W370" s="406">
        <v>0</v>
      </c>
      <c r="X370" s="425"/>
      <c r="Y370" s="71"/>
      <c r="Z370" s="784"/>
      <c r="AA370" s="794"/>
      <c r="AB370" s="794"/>
      <c r="AC370" s="428" t="s">
        <v>1142</v>
      </c>
      <c r="AD370" s="429">
        <v>0</v>
      </c>
      <c r="AE370" s="429">
        <v>0</v>
      </c>
      <c r="AF370" s="429" t="s">
        <v>1142</v>
      </c>
      <c r="AG370" s="360">
        <v>0</v>
      </c>
      <c r="AH370" s="360">
        <v>0</v>
      </c>
      <c r="AI370" s="360">
        <v>0</v>
      </c>
      <c r="AJ370" s="360">
        <v>0</v>
      </c>
      <c r="AK370" s="360">
        <v>0</v>
      </c>
      <c r="AL370" s="360">
        <f t="shared" si="25"/>
        <v>0</v>
      </c>
      <c r="AM370" s="362">
        <f>ERP_8[[#This Row],[2026 Working Total]]-ERP_8[[#This Row],[LE2 Final Submission]]</f>
        <v>0</v>
      </c>
      <c r="AN370" s="79">
        <v>0</v>
      </c>
      <c r="AO370" s="79">
        <f t="shared" si="26"/>
        <v>0</v>
      </c>
      <c r="AP370" s="374">
        <f>SUM(ERP_8[[#This Row],[AP01]:[AP07]])-SUM(ERP_8[[#This Row],[AP01 LE2]:[AP07 LE2]])</f>
        <v>0</v>
      </c>
      <c r="AQ370" s="80"/>
      <c r="AR370" s="79">
        <f>ERP_8[[#This Row],[2026 Working Total to Budget/LE]]-ERP_8[[#This Row],[Giveback]]</f>
        <v>0</v>
      </c>
      <c r="AS370" s="81"/>
      <c r="AT370" s="375"/>
      <c r="AU370" s="375"/>
      <c r="AV370" s="375"/>
      <c r="AW370" s="375"/>
      <c r="AX370" s="375"/>
      <c r="AY370" s="375">
        <v>0</v>
      </c>
      <c r="AZ370" s="375">
        <v>0</v>
      </c>
      <c r="BA370" s="375">
        <v>0</v>
      </c>
      <c r="BB370" s="375">
        <v>0</v>
      </c>
      <c r="BC370" s="375">
        <v>0</v>
      </c>
      <c r="BD370" s="375">
        <v>0</v>
      </c>
      <c r="BE370" s="375">
        <v>0</v>
      </c>
      <c r="BF370" s="375">
        <v>0</v>
      </c>
      <c r="BG370" s="79"/>
      <c r="BH370" s="79"/>
      <c r="BI370" s="79"/>
      <c r="BJ370" s="79"/>
      <c r="BK370" s="79"/>
      <c r="BL370" s="79">
        <v>-3000</v>
      </c>
      <c r="BM370" s="79">
        <v>0</v>
      </c>
      <c r="BN370" s="79">
        <v>0</v>
      </c>
      <c r="BO370" s="79">
        <v>-3000</v>
      </c>
      <c r="BP370" s="79">
        <v>0</v>
      </c>
      <c r="BQ370" s="79">
        <v>0</v>
      </c>
      <c r="BR370" s="79">
        <v>-3000</v>
      </c>
      <c r="BS370" s="79">
        <v>-9000</v>
      </c>
    </row>
    <row r="371" spans="1:71" ht="15" hidden="1" customHeight="1">
      <c r="A371" s="66" t="s">
        <v>2141</v>
      </c>
      <c r="B371" s="737" t="s">
        <v>597</v>
      </c>
      <c r="C371" s="346"/>
      <c r="D371" s="343" t="str">
        <f>_xlfn.TEXTJOIN("_",FALSE,E371,ERP_8[[#This Row],[Expense Category]],ERP_8[[#This Row],[Project Code*]])</f>
        <v>Robertson, Jerome_MANAGED SERVICES_IT-FGS0301-OG-US-00</v>
      </c>
      <c r="E371" s="343" t="s">
        <v>1650</v>
      </c>
      <c r="F371" s="346"/>
      <c r="G371" s="150" t="s">
        <v>1136</v>
      </c>
      <c r="H371" s="150" t="s">
        <v>1650</v>
      </c>
      <c r="I371" s="150" t="s">
        <v>1650</v>
      </c>
      <c r="J371" s="150" t="s">
        <v>1650</v>
      </c>
      <c r="K371" s="511" t="s">
        <v>389</v>
      </c>
      <c r="L371" s="392" t="s">
        <v>1855</v>
      </c>
      <c r="M371" s="343"/>
      <c r="N371" s="800" t="s">
        <v>2142</v>
      </c>
      <c r="O371" s="70" t="s">
        <v>466</v>
      </c>
      <c r="P371" s="346"/>
      <c r="Q371" s="346" t="s">
        <v>1140</v>
      </c>
      <c r="R371" s="346"/>
      <c r="S371" s="150" t="s">
        <v>57</v>
      </c>
      <c r="T371" s="150"/>
      <c r="U371" s="403"/>
      <c r="V371" s="406">
        <v>0</v>
      </c>
      <c r="W371" s="406">
        <v>11571</v>
      </c>
      <c r="X371" s="425"/>
      <c r="Y371" s="71"/>
      <c r="Z371" s="784">
        <v>681</v>
      </c>
      <c r="AA371" s="794">
        <v>981</v>
      </c>
      <c r="AB371" s="794">
        <v>2709</v>
      </c>
      <c r="AC371" s="428">
        <v>2441</v>
      </c>
      <c r="AD371" s="429">
        <v>2448</v>
      </c>
      <c r="AE371" s="429">
        <v>1771</v>
      </c>
      <c r="AF371" s="429">
        <v>2828.27</v>
      </c>
      <c r="AG371" s="363">
        <v>800</v>
      </c>
      <c r="AH371" s="363">
        <v>800</v>
      </c>
      <c r="AI371" s="363">
        <v>800</v>
      </c>
      <c r="AJ371" s="363">
        <v>800</v>
      </c>
      <c r="AK371" s="363">
        <v>800</v>
      </c>
      <c r="AL371" s="360">
        <f t="shared" si="25"/>
        <v>17859.27</v>
      </c>
      <c r="AM371" s="362">
        <f>ERP_8[[#This Row],[2026 Working Total]]-ERP_8[[#This Row],[LE2 Final Submission]]</f>
        <v>6288.27</v>
      </c>
      <c r="AN371" s="79">
        <v>800</v>
      </c>
      <c r="AO371" s="79">
        <f t="shared" si="26"/>
        <v>971</v>
      </c>
      <c r="AP371" s="374">
        <f>SUM(ERP_8[[#This Row],[AP01]:[AP07]])-SUM(ERP_8[[#This Row],[AP01 LE2]:[AP07 LE2]])</f>
        <v>6288.27</v>
      </c>
      <c r="AQ371" s="80"/>
      <c r="AR371" s="79">
        <f>ERP_8[[#This Row],[2026 Working Total to Budget/LE]]-ERP_8[[#This Row],[Giveback]]</f>
        <v>6288.27</v>
      </c>
      <c r="AS371" s="81"/>
      <c r="AT371" s="375">
        <v>681</v>
      </c>
      <c r="AU371" s="375">
        <v>981</v>
      </c>
      <c r="AV371" s="375">
        <v>2709</v>
      </c>
      <c r="AW371" s="375">
        <v>800</v>
      </c>
      <c r="AX371" s="375">
        <v>800</v>
      </c>
      <c r="AY371" s="375">
        <v>800</v>
      </c>
      <c r="AZ371" s="375">
        <v>800</v>
      </c>
      <c r="BA371" s="375">
        <v>800</v>
      </c>
      <c r="BB371" s="375">
        <v>800</v>
      </c>
      <c r="BC371" s="375">
        <v>800</v>
      </c>
      <c r="BD371" s="375">
        <v>800</v>
      </c>
      <c r="BE371" s="375">
        <v>800</v>
      </c>
      <c r="BF371" s="375">
        <v>11571</v>
      </c>
      <c r="BG371" s="79">
        <v>681</v>
      </c>
      <c r="BH371" s="79">
        <v>981</v>
      </c>
      <c r="BI371" s="79">
        <v>2709</v>
      </c>
      <c r="BJ371" s="79">
        <v>800</v>
      </c>
      <c r="BK371" s="79">
        <v>800</v>
      </c>
      <c r="BL371" s="79">
        <v>800</v>
      </c>
      <c r="BM371" s="79">
        <v>800</v>
      </c>
      <c r="BN371" s="79">
        <v>800</v>
      </c>
      <c r="BO371" s="79">
        <v>800</v>
      </c>
      <c r="BP371" s="79">
        <v>800</v>
      </c>
      <c r="BQ371" s="79">
        <v>800</v>
      </c>
      <c r="BR371" s="79">
        <v>800</v>
      </c>
      <c r="BS371" s="79">
        <v>11571</v>
      </c>
    </row>
    <row r="372" spans="1:71" ht="15" hidden="1" customHeight="1">
      <c r="A372" s="66" t="s">
        <v>2143</v>
      </c>
      <c r="B372" s="737" t="s">
        <v>598</v>
      </c>
      <c r="C372" s="346"/>
      <c r="D372" s="343" t="str">
        <f>_xlfn.TEXTJOIN("_",FALSE,E372,ERP_8[[#This Row],[Expense Category]],ERP_8[[#This Row],[Project Code*]])</f>
        <v>Robertson, Jerome_MANAGED SERVICES_IT-MGS0165-OG-US-00</v>
      </c>
      <c r="E372" s="343" t="s">
        <v>1650</v>
      </c>
      <c r="F372" s="346"/>
      <c r="G372" s="150" t="s">
        <v>1136</v>
      </c>
      <c r="H372" s="150" t="s">
        <v>1650</v>
      </c>
      <c r="I372" s="150" t="s">
        <v>1650</v>
      </c>
      <c r="J372" s="150" t="s">
        <v>1650</v>
      </c>
      <c r="K372" s="511" t="s">
        <v>389</v>
      </c>
      <c r="L372" s="392" t="s">
        <v>2144</v>
      </c>
      <c r="M372" s="343"/>
      <c r="N372" s="800"/>
      <c r="O372" s="70" t="s">
        <v>599</v>
      </c>
      <c r="P372" s="346"/>
      <c r="Q372" s="343"/>
      <c r="R372" s="346"/>
      <c r="S372" s="150" t="s">
        <v>25</v>
      </c>
      <c r="T372" s="150"/>
      <c r="U372" s="403"/>
      <c r="V372" s="406">
        <v>12000</v>
      </c>
      <c r="W372" s="406">
        <v>12000</v>
      </c>
      <c r="X372" s="425"/>
      <c r="Y372" s="71"/>
      <c r="Z372" s="784"/>
      <c r="AA372" s="794"/>
      <c r="AB372" s="794"/>
      <c r="AC372" s="428" t="s">
        <v>1142</v>
      </c>
      <c r="AD372" s="429">
        <v>0</v>
      </c>
      <c r="AE372" s="429">
        <v>0</v>
      </c>
      <c r="AF372" s="429" t="s">
        <v>1142</v>
      </c>
      <c r="AG372" s="360">
        <v>0</v>
      </c>
      <c r="AH372" s="360">
        <v>0</v>
      </c>
      <c r="AI372" s="360">
        <v>0</v>
      </c>
      <c r="AJ372" s="360">
        <v>0</v>
      </c>
      <c r="AK372" s="360">
        <v>0</v>
      </c>
      <c r="AL372" s="360">
        <f t="shared" si="25"/>
        <v>0</v>
      </c>
      <c r="AM372" s="362">
        <f>ERP_8[[#This Row],[2026 Working Total]]-ERP_8[[#This Row],[LE2 Final Submission]]</f>
        <v>-12000</v>
      </c>
      <c r="AN372" s="79">
        <v>0</v>
      </c>
      <c r="AO372" s="79">
        <f t="shared" si="26"/>
        <v>0</v>
      </c>
      <c r="AP372" s="374">
        <f>SUM(ERP_8[[#This Row],[AP01]:[AP07]])-SUM(ERP_8[[#This Row],[AP01 LE2]:[AP07 LE2]])</f>
        <v>-12000</v>
      </c>
      <c r="AQ372" s="80"/>
      <c r="AR372" s="79">
        <f>ERP_8[[#This Row],[2026 Working Total to Budget/LE]]-ERP_8[[#This Row],[Giveback]]</f>
        <v>-12000</v>
      </c>
      <c r="AS372" s="81"/>
      <c r="AT372" s="375"/>
      <c r="AU372" s="375"/>
      <c r="AV372" s="375"/>
      <c r="AW372" s="375"/>
      <c r="AX372" s="375"/>
      <c r="AY372" s="375">
        <v>12000</v>
      </c>
      <c r="AZ372" s="375">
        <v>0</v>
      </c>
      <c r="BA372" s="375">
        <v>0</v>
      </c>
      <c r="BB372" s="375">
        <v>0</v>
      </c>
      <c r="BC372" s="375">
        <v>0</v>
      </c>
      <c r="BD372" s="375">
        <v>0</v>
      </c>
      <c r="BE372" s="375">
        <v>0</v>
      </c>
      <c r="BF372" s="375">
        <v>12000</v>
      </c>
      <c r="BG372" s="79"/>
      <c r="BH372" s="79"/>
      <c r="BI372" s="79"/>
      <c r="BJ372" s="79"/>
      <c r="BK372" s="79"/>
      <c r="BL372" s="79">
        <v>12000</v>
      </c>
      <c r="BM372" s="79">
        <v>0</v>
      </c>
      <c r="BN372" s="79">
        <v>0</v>
      </c>
      <c r="BO372" s="79">
        <v>0</v>
      </c>
      <c r="BP372" s="79">
        <v>0</v>
      </c>
      <c r="BQ372" s="79">
        <v>0</v>
      </c>
      <c r="BR372" s="79">
        <v>0</v>
      </c>
      <c r="BS372" s="79">
        <v>12000</v>
      </c>
    </row>
    <row r="373" spans="1:71" ht="15" hidden="1" customHeight="1">
      <c r="A373" s="66" t="s">
        <v>2145</v>
      </c>
      <c r="B373" s="737" t="s">
        <v>600</v>
      </c>
      <c r="C373" s="346"/>
      <c r="D373" s="343" t="str">
        <f>_xlfn.TEXTJOIN("_",FALSE,E373,ERP_8[[#This Row],[Expense Category]],ERP_8[[#This Row],[Project Code*]])</f>
        <v>Robertson, Jerome_MANAGED SERVICES_MISC001</v>
      </c>
      <c r="E373" s="343" t="s">
        <v>1650</v>
      </c>
      <c r="F373" s="346"/>
      <c r="G373" s="150" t="s">
        <v>1136</v>
      </c>
      <c r="H373" s="150" t="s">
        <v>1650</v>
      </c>
      <c r="I373" s="150" t="s">
        <v>1650</v>
      </c>
      <c r="J373" s="150" t="s">
        <v>1650</v>
      </c>
      <c r="K373" s="511" t="s">
        <v>389</v>
      </c>
      <c r="L373" s="392" t="s">
        <v>1327</v>
      </c>
      <c r="M373" s="343"/>
      <c r="N373" s="800" t="s">
        <v>2146</v>
      </c>
      <c r="O373" s="70" t="s">
        <v>147</v>
      </c>
      <c r="P373" s="346"/>
      <c r="Q373" s="343"/>
      <c r="R373" s="346"/>
      <c r="S373" s="150" t="s">
        <v>25</v>
      </c>
      <c r="T373" s="150" t="s">
        <v>2147</v>
      </c>
      <c r="U373" s="403"/>
      <c r="V373" s="406">
        <v>0</v>
      </c>
      <c r="W373" s="406">
        <v>-0.03</v>
      </c>
      <c r="X373" s="425"/>
      <c r="Y373" s="71"/>
      <c r="Z373" s="784"/>
      <c r="AA373" s="794"/>
      <c r="AB373" s="794">
        <v>-0.03</v>
      </c>
      <c r="AC373" s="428">
        <v>-0.38</v>
      </c>
      <c r="AD373" s="429">
        <v>0.61</v>
      </c>
      <c r="AE373" s="429">
        <v>341292.15</v>
      </c>
      <c r="AF373" s="429">
        <v>0.01</v>
      </c>
      <c r="AG373" s="360">
        <v>-340000</v>
      </c>
      <c r="AH373" s="360">
        <v>0</v>
      </c>
      <c r="AI373" s="360">
        <v>0</v>
      </c>
      <c r="AJ373" s="360">
        <v>0</v>
      </c>
      <c r="AK373" s="360">
        <v>0</v>
      </c>
      <c r="AL373" s="360">
        <f t="shared" si="25"/>
        <v>1292.3600000000442</v>
      </c>
      <c r="AM373" s="362">
        <f>ERP_8[[#This Row],[2026 Working Total]]-ERP_8[[#This Row],[LE2 Final Submission]]</f>
        <v>1292.3900000000442</v>
      </c>
      <c r="AN373" s="79">
        <v>0</v>
      </c>
      <c r="AO373" s="79">
        <f t="shared" si="26"/>
        <v>341292.15</v>
      </c>
      <c r="AP373" s="374">
        <f>SUM(ERP_8[[#This Row],[AP01]:[AP07]])-SUM(ERP_8[[#This Row],[AP01 LE2]:[AP07 LE2]])</f>
        <v>341292.39000000007</v>
      </c>
      <c r="AQ373" s="80"/>
      <c r="AR373" s="79">
        <f>ERP_8[[#This Row],[2026 Working Total to Budget/LE]]-ERP_8[[#This Row],[Giveback]]</f>
        <v>1292.3900000000442</v>
      </c>
      <c r="AS373" s="81"/>
      <c r="AT373" s="375"/>
      <c r="AU373" s="375"/>
      <c r="AV373" s="375">
        <v>-0.03</v>
      </c>
      <c r="AW373" s="375">
        <v>0</v>
      </c>
      <c r="AX373" s="375">
        <v>0</v>
      </c>
      <c r="AY373" s="375">
        <v>0</v>
      </c>
      <c r="AZ373" s="375">
        <v>0</v>
      </c>
      <c r="BA373" s="375">
        <v>0</v>
      </c>
      <c r="BB373" s="375">
        <v>0</v>
      </c>
      <c r="BC373" s="375">
        <v>0</v>
      </c>
      <c r="BD373" s="375">
        <v>0</v>
      </c>
      <c r="BE373" s="375">
        <v>0</v>
      </c>
      <c r="BF373" s="375">
        <v>-0.03</v>
      </c>
      <c r="BG373" s="79"/>
      <c r="BH373" s="79"/>
      <c r="BI373" s="79">
        <v>-0.03</v>
      </c>
      <c r="BJ373" s="79">
        <v>0</v>
      </c>
      <c r="BK373" s="79">
        <v>0</v>
      </c>
      <c r="BL373" s="79">
        <v>0</v>
      </c>
      <c r="BM373" s="79">
        <v>0</v>
      </c>
      <c r="BN373" s="79">
        <v>0</v>
      </c>
      <c r="BO373" s="79">
        <v>0</v>
      </c>
      <c r="BP373" s="79">
        <v>0</v>
      </c>
      <c r="BQ373" s="79">
        <v>0</v>
      </c>
      <c r="BR373" s="79">
        <v>0</v>
      </c>
      <c r="BS373" s="79">
        <v>-0.03</v>
      </c>
    </row>
    <row r="374" spans="1:71" ht="15" hidden="1" customHeight="1">
      <c r="A374" s="66" t="s">
        <v>2148</v>
      </c>
      <c r="B374" s="737" t="s">
        <v>603</v>
      </c>
      <c r="C374" s="346"/>
      <c r="D374" s="343" t="str">
        <f>_xlfn.TEXTJOIN("_",FALSE,E374,ERP_8[[#This Row],[Expense Category]],ERP_8[[#This Row],[Project Code*]])</f>
        <v>Dougherty, Chris_OTHER_IT-SFT1010-86-OG-US</v>
      </c>
      <c r="E374" s="343" t="s">
        <v>1135</v>
      </c>
      <c r="F374" s="346"/>
      <c r="G374" s="150" t="s">
        <v>1136</v>
      </c>
      <c r="H374" s="150" t="s">
        <v>1135</v>
      </c>
      <c r="I374" s="150" t="s">
        <v>1135</v>
      </c>
      <c r="J374" s="150" t="s">
        <v>1137</v>
      </c>
      <c r="K374" s="511" t="s">
        <v>602</v>
      </c>
      <c r="L374" s="392" t="s">
        <v>2149</v>
      </c>
      <c r="M374" s="343"/>
      <c r="N374" s="800"/>
      <c r="O374" s="70" t="s">
        <v>604</v>
      </c>
      <c r="P374" s="346"/>
      <c r="Q374" s="343"/>
      <c r="R374" s="346"/>
      <c r="S374" s="150" t="s">
        <v>605</v>
      </c>
      <c r="T374" s="150" t="s">
        <v>2150</v>
      </c>
      <c r="U374" s="404"/>
      <c r="V374" s="407">
        <v>0</v>
      </c>
      <c r="W374" s="407">
        <v>0</v>
      </c>
      <c r="X374" s="425"/>
      <c r="Y374" s="71"/>
      <c r="Z374" s="784">
        <v>4356992.08</v>
      </c>
      <c r="AA374" s="780">
        <v>-4356992.08</v>
      </c>
      <c r="AB374" s="780"/>
      <c r="AC374" s="428" t="s">
        <v>1142</v>
      </c>
      <c r="AD374" s="429">
        <v>0</v>
      </c>
      <c r="AE374" s="429">
        <v>0</v>
      </c>
      <c r="AF374" s="429" t="s">
        <v>1142</v>
      </c>
      <c r="AG374" s="363"/>
      <c r="AH374" s="363"/>
      <c r="AI374" s="363"/>
      <c r="AJ374" s="363"/>
      <c r="AK374" s="363"/>
      <c r="AL374" s="360">
        <f t="shared" si="25"/>
        <v>0</v>
      </c>
      <c r="AM374" s="362">
        <f>ERP_8[[#This Row],[2026 Working Total]]-ERP_8[[#This Row],[LE2 Final Submission]]</f>
        <v>0</v>
      </c>
      <c r="AN374" s="79"/>
      <c r="AO374" s="79">
        <f t="shared" si="26"/>
        <v>0</v>
      </c>
      <c r="AP374" s="374">
        <f>SUM(ERP_8[[#This Row],[AP01]:[AP07]])-SUM(ERP_8[[#This Row],[AP01 LE2]:[AP07 LE2]])</f>
        <v>0</v>
      </c>
      <c r="AQ374" s="80"/>
      <c r="AR374" s="79">
        <f>ERP_8[[#This Row],[2026 Working Total to Budget/LE]]-ERP_8[[#This Row],[Giveback]]</f>
        <v>0</v>
      </c>
      <c r="AS374" s="81"/>
      <c r="AT374" s="375">
        <v>4356992.08</v>
      </c>
      <c r="AU374" s="375">
        <v>-4356992.08</v>
      </c>
      <c r="AV374" s="375"/>
      <c r="AW374" s="375"/>
      <c r="AX374" s="375"/>
      <c r="AY374" s="375"/>
      <c r="AZ374" s="375"/>
      <c r="BA374" s="375"/>
      <c r="BB374" s="375"/>
      <c r="BC374" s="375"/>
      <c r="BD374" s="375"/>
      <c r="BE374" s="375"/>
      <c r="BF374" s="375">
        <v>0</v>
      </c>
      <c r="BG374" s="79">
        <v>4356992.08</v>
      </c>
      <c r="BH374" s="79">
        <v>-4356992.08</v>
      </c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>
        <v>0</v>
      </c>
    </row>
    <row r="375" spans="1:71" ht="15" hidden="1" customHeight="1">
      <c r="A375" s="66" t="s">
        <v>2151</v>
      </c>
      <c r="B375" s="737" t="s">
        <v>2152</v>
      </c>
      <c r="C375" s="346"/>
      <c r="D375" s="343" t="str">
        <f>_xlfn.TEXTJOIN("_",FALSE,E375,ERP_8[[#This Row],[Expense Category]],ERP_8[[#This Row],[Project Code*]])</f>
        <v>Dougherty, Chris_OTHER_IT-SFT1249-86-OG-US</v>
      </c>
      <c r="E375" s="343" t="s">
        <v>1135</v>
      </c>
      <c r="F375" s="346"/>
      <c r="G375" s="150" t="s">
        <v>1136</v>
      </c>
      <c r="H375" s="150" t="s">
        <v>1135</v>
      </c>
      <c r="I375" s="150" t="s">
        <v>1145</v>
      </c>
      <c r="J375" s="150" t="s">
        <v>1137</v>
      </c>
      <c r="K375" s="511" t="s">
        <v>602</v>
      </c>
      <c r="L375" s="778" t="s">
        <v>2153</v>
      </c>
      <c r="M375" s="343"/>
      <c r="N375" s="385" t="s">
        <v>1186</v>
      </c>
      <c r="O375" s="70" t="s">
        <v>607</v>
      </c>
      <c r="P375" s="346" t="s">
        <v>1153</v>
      </c>
      <c r="Q375" s="346" t="s">
        <v>2154</v>
      </c>
      <c r="R375" s="346" t="s">
        <v>1710</v>
      </c>
      <c r="S375" s="150" t="s">
        <v>608</v>
      </c>
      <c r="T375" s="150" t="s">
        <v>2150</v>
      </c>
      <c r="U375" s="404"/>
      <c r="V375" s="407">
        <v>0</v>
      </c>
      <c r="W375" s="407">
        <v>0</v>
      </c>
      <c r="X375" s="425"/>
      <c r="Y375" s="71"/>
      <c r="Z375" s="784">
        <v>-11125</v>
      </c>
      <c r="AA375" s="780">
        <v>11125</v>
      </c>
      <c r="AB375" s="780"/>
      <c r="AC375" s="428" t="s">
        <v>1142</v>
      </c>
      <c r="AD375" s="429">
        <v>0</v>
      </c>
      <c r="AE375" s="429">
        <v>0</v>
      </c>
      <c r="AF375" s="429" t="s">
        <v>1142</v>
      </c>
      <c r="AG375" s="363"/>
      <c r="AH375" s="363"/>
      <c r="AI375" s="363"/>
      <c r="AJ375" s="363"/>
      <c r="AK375" s="363"/>
      <c r="AL375" s="360">
        <f t="shared" si="25"/>
        <v>0</v>
      </c>
      <c r="AM375" s="362">
        <f>ERP_8[[#This Row],[2026 Working Total]]-ERP_8[[#This Row],[LE2 Final Submission]]</f>
        <v>0</v>
      </c>
      <c r="AN375" s="79"/>
      <c r="AO375" s="79">
        <f t="shared" si="26"/>
        <v>0</v>
      </c>
      <c r="AP375" s="374">
        <f>SUM(ERP_8[[#This Row],[AP01]:[AP07]])-SUM(ERP_8[[#This Row],[AP01 LE2]:[AP07 LE2]])</f>
        <v>0</v>
      </c>
      <c r="AQ375" s="80"/>
      <c r="AR375" s="79">
        <f>ERP_8[[#This Row],[2026 Working Total to Budget/LE]]-ERP_8[[#This Row],[Giveback]]</f>
        <v>0</v>
      </c>
      <c r="AS375" s="81"/>
      <c r="AT375" s="375">
        <v>-11125</v>
      </c>
      <c r="AU375" s="375">
        <v>11125</v>
      </c>
      <c r="AV375" s="375"/>
      <c r="AW375" s="375"/>
      <c r="AX375" s="375"/>
      <c r="AY375" s="375"/>
      <c r="AZ375" s="375"/>
      <c r="BA375" s="375"/>
      <c r="BB375" s="375"/>
      <c r="BC375" s="375"/>
      <c r="BD375" s="375"/>
      <c r="BE375" s="375"/>
      <c r="BF375" s="375">
        <v>0</v>
      </c>
      <c r="BG375" s="79">
        <v>-11125</v>
      </c>
      <c r="BH375" s="79">
        <v>11125</v>
      </c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>
        <v>0</v>
      </c>
    </row>
    <row r="376" spans="1:71" ht="15" hidden="1" customHeight="1">
      <c r="A376" s="66" t="s">
        <v>2155</v>
      </c>
      <c r="B376" s="737" t="s">
        <v>609</v>
      </c>
      <c r="C376" s="346"/>
      <c r="D376" s="343" t="str">
        <f>_xlfn.TEXTJOIN("_",FALSE,E376,ERP_8[[#This Row],[Expense Category]],ERP_8[[#This Row],[Project Code*]])</f>
        <v>Dougherty, Chris_OTHER_Others001</v>
      </c>
      <c r="E376" s="343" t="s">
        <v>1135</v>
      </c>
      <c r="F376" s="346"/>
      <c r="G376" s="150" t="s">
        <v>1136</v>
      </c>
      <c r="H376" s="150" t="s">
        <v>1135</v>
      </c>
      <c r="I376" s="150" t="s">
        <v>1135</v>
      </c>
      <c r="J376" s="150" t="s">
        <v>1137</v>
      </c>
      <c r="K376" s="511" t="s">
        <v>602</v>
      </c>
      <c r="L376" s="392" t="s">
        <v>611</v>
      </c>
      <c r="M376" s="343"/>
      <c r="N376" s="800"/>
      <c r="O376" s="70" t="s">
        <v>610</v>
      </c>
      <c r="P376" s="346"/>
      <c r="Q376" s="343"/>
      <c r="R376" s="346"/>
      <c r="S376" s="150" t="s">
        <v>611</v>
      </c>
      <c r="T376" s="150"/>
      <c r="U376" s="403"/>
      <c r="V376" s="406">
        <v>0</v>
      </c>
      <c r="W376" s="406">
        <v>69</v>
      </c>
      <c r="X376" s="425"/>
      <c r="Y376" s="71"/>
      <c r="Z376" s="784">
        <v>-0.08</v>
      </c>
      <c r="AA376" s="780">
        <v>69.08</v>
      </c>
      <c r="AB376" s="780">
        <v>0</v>
      </c>
      <c r="AC376" s="428">
        <v>61</v>
      </c>
      <c r="AD376" s="429">
        <v>104</v>
      </c>
      <c r="AE376" s="429">
        <v>88</v>
      </c>
      <c r="AF376" s="429">
        <v>148.13999999999999</v>
      </c>
      <c r="AG376" s="360">
        <v>0</v>
      </c>
      <c r="AH376" s="360">
        <v>0</v>
      </c>
      <c r="AI376" s="360">
        <v>0</v>
      </c>
      <c r="AJ376" s="360">
        <v>0</v>
      </c>
      <c r="AK376" s="360">
        <v>0</v>
      </c>
      <c r="AL376" s="360">
        <f t="shared" si="25"/>
        <v>470.14</v>
      </c>
      <c r="AM376" s="362">
        <f>ERP_8[[#This Row],[2026 Working Total]]-ERP_8[[#This Row],[LE2 Final Submission]]</f>
        <v>401.14</v>
      </c>
      <c r="AN376" s="79">
        <v>0</v>
      </c>
      <c r="AO376" s="79">
        <f t="shared" si="26"/>
        <v>88</v>
      </c>
      <c r="AP376" s="374">
        <f>SUM(ERP_8[[#This Row],[AP01]:[AP07]])-SUM(ERP_8[[#This Row],[AP01 LE2]:[AP07 LE2]])</f>
        <v>401.14</v>
      </c>
      <c r="AQ376" s="80"/>
      <c r="AR376" s="79">
        <f>ERP_8[[#This Row],[2026 Working Total to Budget/LE]]-ERP_8[[#This Row],[Giveback]]</f>
        <v>401.14</v>
      </c>
      <c r="AS376" s="81"/>
      <c r="AT376" s="375">
        <v>-0.08</v>
      </c>
      <c r="AU376" s="375">
        <v>69.08</v>
      </c>
      <c r="AV376" s="375">
        <v>0</v>
      </c>
      <c r="AW376" s="375">
        <v>0</v>
      </c>
      <c r="AX376" s="375">
        <v>0</v>
      </c>
      <c r="AY376" s="375">
        <v>0</v>
      </c>
      <c r="AZ376" s="375">
        <v>0</v>
      </c>
      <c r="BA376" s="375">
        <v>0</v>
      </c>
      <c r="BB376" s="375">
        <v>0</v>
      </c>
      <c r="BC376" s="375">
        <v>0</v>
      </c>
      <c r="BD376" s="375">
        <v>0</v>
      </c>
      <c r="BE376" s="375">
        <v>0</v>
      </c>
      <c r="BF376" s="375">
        <v>69</v>
      </c>
      <c r="BG376" s="79">
        <v>-0.08</v>
      </c>
      <c r="BH376" s="79">
        <v>69.08</v>
      </c>
      <c r="BI376" s="79">
        <v>0</v>
      </c>
      <c r="BJ376" s="79">
        <v>0</v>
      </c>
      <c r="BK376" s="79">
        <v>0</v>
      </c>
      <c r="BL376" s="79">
        <v>0</v>
      </c>
      <c r="BM376" s="79">
        <v>0</v>
      </c>
      <c r="BN376" s="79">
        <v>0</v>
      </c>
      <c r="BO376" s="79">
        <v>0</v>
      </c>
      <c r="BP376" s="79">
        <v>0</v>
      </c>
      <c r="BQ376" s="79">
        <v>0</v>
      </c>
      <c r="BR376" s="79">
        <v>0</v>
      </c>
      <c r="BS376" s="79">
        <v>69</v>
      </c>
    </row>
    <row r="377" spans="1:71" ht="15" hidden="1" customHeight="1">
      <c r="A377" s="66" t="s">
        <v>2156</v>
      </c>
      <c r="B377" s="737" t="s">
        <v>2157</v>
      </c>
      <c r="C377" s="346"/>
      <c r="D377" s="343" t="str">
        <f>_xlfn.TEXTJOIN("_",FALSE,E377,ERP_8[[#This Row],[Expense Category]],ERP_8[[#This Row],[Project Code*]])</f>
        <v>Dougherty, Chris_OTHER_Others001</v>
      </c>
      <c r="E377" s="343" t="s">
        <v>1135</v>
      </c>
      <c r="F377" s="346"/>
      <c r="G377" s="150" t="s">
        <v>1136</v>
      </c>
      <c r="H377" s="150" t="s">
        <v>1135</v>
      </c>
      <c r="I377" s="150" t="s">
        <v>1137</v>
      </c>
      <c r="J377" s="150" t="s">
        <v>1137</v>
      </c>
      <c r="K377" s="511" t="s">
        <v>602</v>
      </c>
      <c r="L377" s="392" t="s">
        <v>611</v>
      </c>
      <c r="M377" s="343"/>
      <c r="N377" s="800"/>
      <c r="O377" s="70" t="s">
        <v>610</v>
      </c>
      <c r="P377" s="346"/>
      <c r="Q377" s="343"/>
      <c r="R377" s="346"/>
      <c r="S377" s="150" t="s">
        <v>611</v>
      </c>
      <c r="T377" s="1" t="s">
        <v>1141</v>
      </c>
      <c r="U377" s="403"/>
      <c r="V377" s="406">
        <v>0</v>
      </c>
      <c r="W377" s="406">
        <v>9271.2199999999993</v>
      </c>
      <c r="X377" s="425"/>
      <c r="Y377" s="71"/>
      <c r="Z377" s="784">
        <v>497.32</v>
      </c>
      <c r="AA377" s="780">
        <v>7672.35</v>
      </c>
      <c r="AB377" s="780">
        <v>1101.55</v>
      </c>
      <c r="AC377" s="428">
        <v>216.08999999999983</v>
      </c>
      <c r="AD377" s="429">
        <v>402.42000000000007</v>
      </c>
      <c r="AE377" s="429">
        <v>209.19</v>
      </c>
      <c r="AF377" s="429">
        <v>1612.59</v>
      </c>
      <c r="AG377" s="360">
        <v>0</v>
      </c>
      <c r="AH377" s="360">
        <v>0</v>
      </c>
      <c r="AI377" s="360">
        <v>0</v>
      </c>
      <c r="AJ377" s="360">
        <v>0</v>
      </c>
      <c r="AK377" s="360">
        <v>0</v>
      </c>
      <c r="AL377" s="360">
        <f t="shared" si="25"/>
        <v>11711.51</v>
      </c>
      <c r="AM377" s="362">
        <f>ERP_8[[#This Row],[2026 Working Total]]-ERP_8[[#This Row],[LE2 Final Submission]]</f>
        <v>2440.2900000000009</v>
      </c>
      <c r="AN377" s="79">
        <v>0</v>
      </c>
      <c r="AO377" s="79">
        <f t="shared" si="26"/>
        <v>209.19</v>
      </c>
      <c r="AP377" s="374">
        <f>SUM(ERP_8[[#This Row],[AP01]:[AP07]])-SUM(ERP_8[[#This Row],[AP01 LE2]:[AP07 LE2]])</f>
        <v>2440.2900000000009</v>
      </c>
      <c r="AQ377" s="80"/>
      <c r="AR377" s="79">
        <f>ERP_8[[#This Row],[2026 Working Total to Budget/LE]]-ERP_8[[#This Row],[Giveback]]</f>
        <v>2440.2900000000009</v>
      </c>
      <c r="AS377" s="81"/>
      <c r="AT377" s="375">
        <v>497.32</v>
      </c>
      <c r="AU377" s="375">
        <v>7672.35</v>
      </c>
      <c r="AV377" s="375">
        <v>1101.55</v>
      </c>
      <c r="AW377" s="375">
        <v>0</v>
      </c>
      <c r="AX377" s="375">
        <v>0</v>
      </c>
      <c r="AY377" s="375">
        <v>0</v>
      </c>
      <c r="AZ377" s="375">
        <v>0</v>
      </c>
      <c r="BA377" s="375">
        <v>0</v>
      </c>
      <c r="BB377" s="375">
        <v>0</v>
      </c>
      <c r="BC377" s="375">
        <v>0</v>
      </c>
      <c r="BD377" s="375">
        <v>0</v>
      </c>
      <c r="BE377" s="375">
        <v>0</v>
      </c>
      <c r="BF377" s="375">
        <v>9271.2199999999993</v>
      </c>
      <c r="BG377" s="79">
        <v>497.32</v>
      </c>
      <c r="BH377" s="79">
        <v>7672.35</v>
      </c>
      <c r="BI377" s="79">
        <v>1101.55</v>
      </c>
      <c r="BJ377" s="79">
        <v>0</v>
      </c>
      <c r="BK377" s="79">
        <v>0</v>
      </c>
      <c r="BL377" s="79">
        <v>0</v>
      </c>
      <c r="BM377" s="79">
        <v>0</v>
      </c>
      <c r="BN377" s="79">
        <v>0</v>
      </c>
      <c r="BO377" s="79">
        <v>0</v>
      </c>
      <c r="BP377" s="79">
        <v>0</v>
      </c>
      <c r="BQ377" s="79">
        <v>0</v>
      </c>
      <c r="BR377" s="79">
        <v>0</v>
      </c>
      <c r="BS377" s="79">
        <v>9271.2199999999993</v>
      </c>
    </row>
    <row r="378" spans="1:71" ht="15" hidden="1" customHeight="1">
      <c r="A378" s="150" t="s">
        <v>2158</v>
      </c>
      <c r="B378" s="770" t="s">
        <v>2159</v>
      </c>
      <c r="C378" s="449"/>
      <c r="D378" s="448" t="str">
        <f>_xlfn.TEXTJOIN("_",FALSE,E378,ERP_8[[#This Row],[Expense Category]],ERP_8[[#This Row],[Project Code*]])</f>
        <v>Dougherty, Chris_OTHER_Others001</v>
      </c>
      <c r="E378" s="448" t="s">
        <v>1135</v>
      </c>
      <c r="F378" s="449"/>
      <c r="G378" s="150" t="s">
        <v>1136</v>
      </c>
      <c r="H378" s="446" t="s">
        <v>1135</v>
      </c>
      <c r="I378" s="446" t="s">
        <v>1145</v>
      </c>
      <c r="J378" s="523" t="s">
        <v>1145</v>
      </c>
      <c r="K378" s="524" t="s">
        <v>602</v>
      </c>
      <c r="L378" s="813" t="s">
        <v>2160</v>
      </c>
      <c r="M378" s="333" t="s">
        <v>2160</v>
      </c>
      <c r="N378" s="805" t="s">
        <v>1186</v>
      </c>
      <c r="O378" s="447" t="s">
        <v>610</v>
      </c>
      <c r="P378" s="448"/>
      <c r="Q378" s="449"/>
      <c r="R378" s="449"/>
      <c r="S378" s="449"/>
      <c r="T378" s="449"/>
      <c r="U378" s="402"/>
      <c r="V378" s="402"/>
      <c r="W378" s="402"/>
      <c r="X378" s="425"/>
      <c r="Y378" s="71"/>
      <c r="Z378" s="784"/>
      <c r="AA378" s="780"/>
      <c r="AB378" s="780"/>
      <c r="AC378" s="436"/>
      <c r="AD378" s="436">
        <v>16</v>
      </c>
      <c r="AE378" s="429">
        <v>0</v>
      </c>
      <c r="AF378" s="429">
        <v>0</v>
      </c>
      <c r="AG378" s="450"/>
      <c r="AH378" s="450"/>
      <c r="AI378" s="450"/>
      <c r="AJ378" s="450"/>
      <c r="AK378" s="450"/>
      <c r="AL378" s="366">
        <f t="shared" si="25"/>
        <v>16</v>
      </c>
      <c r="AM378" s="362">
        <f>ERP_8[[#This Row],[2026 Working Total]]-ERP_8[[#This Row],[LE2 Final Submission]]</f>
        <v>16</v>
      </c>
      <c r="AN378" s="172"/>
      <c r="AO378" s="172">
        <f t="shared" si="26"/>
        <v>0</v>
      </c>
      <c r="AP378" s="374">
        <f>SUM(ERP_8[[#This Row],[AP01]:[AP07]])-SUM(ERP_8[[#This Row],[AP01 LE2]:[AP07 LE2]])</f>
        <v>16</v>
      </c>
      <c r="AQ378" s="80"/>
      <c r="AR378" s="79">
        <f>ERP_8[[#This Row],[2026 Working Total to Budget/LE]]-ERP_8[[#This Row],[Giveback]]</f>
        <v>16</v>
      </c>
      <c r="AS378" s="81"/>
      <c r="AT378" s="375"/>
      <c r="AU378" s="375"/>
      <c r="AV378" s="375"/>
      <c r="AW378" s="375"/>
      <c r="AX378" s="375"/>
      <c r="AY378" s="375"/>
      <c r="AZ378" s="375"/>
      <c r="BA378" s="375"/>
      <c r="BB378" s="375"/>
      <c r="BC378" s="375"/>
      <c r="BD378" s="375"/>
      <c r="BE378" s="375"/>
      <c r="BF378" s="375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172"/>
    </row>
    <row r="379" spans="1:71" ht="15" hidden="1" customHeight="1">
      <c r="A379" s="66" t="s">
        <v>2161</v>
      </c>
      <c r="B379" s="737" t="s">
        <v>612</v>
      </c>
      <c r="C379" s="346"/>
      <c r="D379" s="343" t="str">
        <f>_xlfn.TEXTJOIN("_",FALSE,E379,ERP_8[[#This Row],[Expense Category]],ERP_8[[#This Row],[Project Code*]])</f>
        <v>Ganesan, Srinivasan_OTHER_Others001</v>
      </c>
      <c r="E379" s="343" t="s">
        <v>1344</v>
      </c>
      <c r="F379" s="346"/>
      <c r="G379" s="150" t="s">
        <v>1136</v>
      </c>
      <c r="H379" s="150" t="s">
        <v>1345</v>
      </c>
      <c r="I379" s="150" t="s">
        <v>1344</v>
      </c>
      <c r="J379" s="150" t="s">
        <v>1346</v>
      </c>
      <c r="K379" s="511" t="s">
        <v>602</v>
      </c>
      <c r="L379" s="392" t="s">
        <v>611</v>
      </c>
      <c r="M379" s="343"/>
      <c r="N379" s="800"/>
      <c r="O379" s="70" t="s">
        <v>610</v>
      </c>
      <c r="P379" s="346"/>
      <c r="Q379" s="343"/>
      <c r="R379" s="346"/>
      <c r="S379" s="150" t="s">
        <v>611</v>
      </c>
      <c r="T379" s="150"/>
      <c r="U379" s="403"/>
      <c r="V379" s="406">
        <v>0</v>
      </c>
      <c r="W379" s="406">
        <v>85.04</v>
      </c>
      <c r="X379" s="425"/>
      <c r="Y379" s="71"/>
      <c r="Z379" s="784">
        <v>38.450000000000003</v>
      </c>
      <c r="AA379" s="794">
        <v>0</v>
      </c>
      <c r="AB379" s="794">
        <v>46.59</v>
      </c>
      <c r="AC379" s="429">
        <v>0</v>
      </c>
      <c r="AD379" s="429">
        <v>91.13</v>
      </c>
      <c r="AE379" s="429">
        <v>37.570000000000007</v>
      </c>
      <c r="AF379" s="429">
        <v>498.71999999999997</v>
      </c>
      <c r="AG379" s="360">
        <v>0</v>
      </c>
      <c r="AH379" s="360">
        <v>0</v>
      </c>
      <c r="AI379" s="360">
        <v>0</v>
      </c>
      <c r="AJ379" s="360">
        <v>0</v>
      </c>
      <c r="AK379" s="360">
        <v>0</v>
      </c>
      <c r="AL379" s="360">
        <f t="shared" si="25"/>
        <v>712.46</v>
      </c>
      <c r="AM379" s="362">
        <f>ERP_8[[#This Row],[2026 Working Total]]-ERP_8[[#This Row],[LE2 Final Submission]]</f>
        <v>627.42000000000007</v>
      </c>
      <c r="AN379" s="79">
        <v>0</v>
      </c>
      <c r="AO379" s="79">
        <f t="shared" si="26"/>
        <v>37.570000000000007</v>
      </c>
      <c r="AP379" s="374">
        <f>SUM(ERP_8[[#This Row],[AP01]:[AP07]])-SUM(ERP_8[[#This Row],[AP01 LE2]:[AP07 LE2]])</f>
        <v>627.42000000000007</v>
      </c>
      <c r="AQ379" s="80"/>
      <c r="AR379" s="79">
        <f>ERP_8[[#This Row],[2026 Working Total to Budget/LE]]-ERP_8[[#This Row],[Giveback]]</f>
        <v>627.42000000000007</v>
      </c>
      <c r="AS379" s="81"/>
      <c r="AT379" s="375">
        <v>38.450000000000003</v>
      </c>
      <c r="AU379" s="375">
        <v>0</v>
      </c>
      <c r="AV379" s="375">
        <v>46.59</v>
      </c>
      <c r="AW379" s="375">
        <v>0</v>
      </c>
      <c r="AX379" s="375">
        <v>0</v>
      </c>
      <c r="AY379" s="375">
        <v>0</v>
      </c>
      <c r="AZ379" s="375">
        <v>0</v>
      </c>
      <c r="BA379" s="375">
        <v>0</v>
      </c>
      <c r="BB379" s="375">
        <v>0</v>
      </c>
      <c r="BC379" s="375">
        <v>0</v>
      </c>
      <c r="BD379" s="375">
        <v>0</v>
      </c>
      <c r="BE379" s="375">
        <v>0</v>
      </c>
      <c r="BF379" s="375">
        <v>85.04</v>
      </c>
      <c r="BG379" s="79">
        <v>38.450000000000003</v>
      </c>
      <c r="BH379" s="79">
        <v>0</v>
      </c>
      <c r="BI379" s="79">
        <v>46.59</v>
      </c>
      <c r="BJ379" s="79">
        <v>0</v>
      </c>
      <c r="BK379" s="79">
        <v>0</v>
      </c>
      <c r="BL379" s="79">
        <v>0</v>
      </c>
      <c r="BM379" s="79">
        <v>0</v>
      </c>
      <c r="BN379" s="79">
        <v>0</v>
      </c>
      <c r="BO379" s="79">
        <v>0</v>
      </c>
      <c r="BP379" s="79">
        <v>0</v>
      </c>
      <c r="BQ379" s="79">
        <v>0</v>
      </c>
      <c r="BR379" s="79">
        <v>0</v>
      </c>
      <c r="BS379" s="79">
        <v>85.04</v>
      </c>
    </row>
    <row r="380" spans="1:71" ht="15" hidden="1" customHeight="1">
      <c r="A380" s="66" t="s">
        <v>2162</v>
      </c>
      <c r="B380" s="737" t="s">
        <v>613</v>
      </c>
      <c r="C380" s="346"/>
      <c r="D380" s="343" t="str">
        <f>_xlfn.TEXTJOIN("_",FALSE,E380,ERP_8[[#This Row],[Expense Category]],ERP_8[[#This Row],[Project Code*]])</f>
        <v>Hase, Raj_OTHER_Others001</v>
      </c>
      <c r="E380" s="343" t="s">
        <v>1345</v>
      </c>
      <c r="F380" s="346"/>
      <c r="G380" s="150" t="s">
        <v>1136</v>
      </c>
      <c r="H380" s="150" t="s">
        <v>1345</v>
      </c>
      <c r="I380" s="150" t="s">
        <v>1345</v>
      </c>
      <c r="J380" s="150" t="s">
        <v>1346</v>
      </c>
      <c r="K380" s="511" t="s">
        <v>602</v>
      </c>
      <c r="L380" s="392" t="s">
        <v>611</v>
      </c>
      <c r="M380" s="343"/>
      <c r="N380" s="800"/>
      <c r="O380" s="70" t="s">
        <v>610</v>
      </c>
      <c r="P380" s="346"/>
      <c r="Q380" s="343"/>
      <c r="R380" s="346"/>
      <c r="S380" s="150" t="s">
        <v>611</v>
      </c>
      <c r="T380" s="150"/>
      <c r="U380" s="403"/>
      <c r="V380" s="406">
        <v>0</v>
      </c>
      <c r="W380" s="406">
        <v>57</v>
      </c>
      <c r="X380" s="425"/>
      <c r="Y380" s="71"/>
      <c r="Z380" s="784">
        <v>57</v>
      </c>
      <c r="AA380" s="780">
        <v>0</v>
      </c>
      <c r="AB380" s="780">
        <v>0</v>
      </c>
      <c r="AC380" s="428">
        <v>0</v>
      </c>
      <c r="AD380" s="429">
        <v>16</v>
      </c>
      <c r="AE380" s="429">
        <v>0</v>
      </c>
      <c r="AF380" s="429">
        <v>0</v>
      </c>
      <c r="AG380" s="360">
        <v>0</v>
      </c>
      <c r="AH380" s="360">
        <v>0</v>
      </c>
      <c r="AI380" s="360">
        <v>0</v>
      </c>
      <c r="AJ380" s="360">
        <v>0</v>
      </c>
      <c r="AK380" s="360">
        <v>0</v>
      </c>
      <c r="AL380" s="360">
        <f t="shared" si="25"/>
        <v>73</v>
      </c>
      <c r="AM380" s="362">
        <f>ERP_8[[#This Row],[2026 Working Total]]-ERP_8[[#This Row],[LE2 Final Submission]]</f>
        <v>16</v>
      </c>
      <c r="AN380" s="79">
        <v>0</v>
      </c>
      <c r="AO380" s="79">
        <f t="shared" si="26"/>
        <v>0</v>
      </c>
      <c r="AP380" s="374">
        <f>SUM(ERP_8[[#This Row],[AP01]:[AP07]])-SUM(ERP_8[[#This Row],[AP01 LE2]:[AP07 LE2]])</f>
        <v>16</v>
      </c>
      <c r="AQ380" s="80"/>
      <c r="AR380" s="79">
        <f>ERP_8[[#This Row],[2026 Working Total to Budget/LE]]-ERP_8[[#This Row],[Giveback]]</f>
        <v>16</v>
      </c>
      <c r="AS380" s="81"/>
      <c r="AT380" s="375">
        <v>57</v>
      </c>
      <c r="AU380" s="375">
        <v>0</v>
      </c>
      <c r="AV380" s="375">
        <v>0</v>
      </c>
      <c r="AW380" s="375">
        <v>0</v>
      </c>
      <c r="AX380" s="375">
        <v>0</v>
      </c>
      <c r="AY380" s="375">
        <v>0</v>
      </c>
      <c r="AZ380" s="375">
        <v>0</v>
      </c>
      <c r="BA380" s="375">
        <v>0</v>
      </c>
      <c r="BB380" s="375">
        <v>0</v>
      </c>
      <c r="BC380" s="375">
        <v>0</v>
      </c>
      <c r="BD380" s="375">
        <v>0</v>
      </c>
      <c r="BE380" s="375">
        <v>0</v>
      </c>
      <c r="BF380" s="375">
        <v>57</v>
      </c>
      <c r="BG380" s="79">
        <v>57</v>
      </c>
      <c r="BH380" s="79">
        <v>0</v>
      </c>
      <c r="BI380" s="79">
        <v>0</v>
      </c>
      <c r="BJ380" s="79">
        <v>0</v>
      </c>
      <c r="BK380" s="79">
        <v>0</v>
      </c>
      <c r="BL380" s="79">
        <v>0</v>
      </c>
      <c r="BM380" s="79">
        <v>0</v>
      </c>
      <c r="BN380" s="79">
        <v>0</v>
      </c>
      <c r="BO380" s="79">
        <v>0</v>
      </c>
      <c r="BP380" s="79">
        <v>0</v>
      </c>
      <c r="BQ380" s="79">
        <v>0</v>
      </c>
      <c r="BR380" s="79">
        <v>0</v>
      </c>
      <c r="BS380" s="79">
        <v>57</v>
      </c>
    </row>
    <row r="381" spans="1:71" ht="15" hidden="1" customHeight="1">
      <c r="A381" s="66" t="s">
        <v>2163</v>
      </c>
      <c r="B381" s="737" t="s">
        <v>2164</v>
      </c>
      <c r="C381" s="346"/>
      <c r="D381" s="343" t="str">
        <f>_xlfn.TEXTJOIN("_",FALSE,E381,ERP_8[[#This Row],[Expense Category]],ERP_8[[#This Row],[Project Code*]])</f>
        <v>Hovanyetz, Mike_OTHER_IT-OTH0062-OG-US-00</v>
      </c>
      <c r="E381" s="343" t="s">
        <v>1480</v>
      </c>
      <c r="F381" s="346"/>
      <c r="G381" s="150" t="s">
        <v>1136</v>
      </c>
      <c r="H381" s="150" t="s">
        <v>1345</v>
      </c>
      <c r="I381" s="150" t="s">
        <v>1481</v>
      </c>
      <c r="J381" s="150" t="s">
        <v>1346</v>
      </c>
      <c r="K381" s="511" t="s">
        <v>602</v>
      </c>
      <c r="L381" s="392" t="s">
        <v>2165</v>
      </c>
      <c r="M381" s="343"/>
      <c r="N381" s="800"/>
      <c r="O381" s="70" t="s">
        <v>615</v>
      </c>
      <c r="P381" s="346"/>
      <c r="Q381" s="343"/>
      <c r="R381" s="346"/>
      <c r="S381" s="150" t="s">
        <v>25</v>
      </c>
      <c r="T381" s="184" t="s">
        <v>2166</v>
      </c>
      <c r="U381" s="403"/>
      <c r="V381" s="406">
        <v>80000</v>
      </c>
      <c r="W381" s="406">
        <v>40000</v>
      </c>
      <c r="X381" s="425"/>
      <c r="Y381" s="71"/>
      <c r="Z381" s="784"/>
      <c r="AA381" s="780"/>
      <c r="AB381" s="780"/>
      <c r="AC381" s="428" t="s">
        <v>1142</v>
      </c>
      <c r="AD381" s="429">
        <v>0</v>
      </c>
      <c r="AE381" s="429">
        <v>0</v>
      </c>
      <c r="AF381" s="429" t="s">
        <v>1142</v>
      </c>
      <c r="AG381" s="363">
        <v>10000</v>
      </c>
      <c r="AH381" s="360">
        <v>10000</v>
      </c>
      <c r="AI381" s="360">
        <v>10000</v>
      </c>
      <c r="AJ381" s="360">
        <v>10000</v>
      </c>
      <c r="AK381" s="360">
        <v>0</v>
      </c>
      <c r="AL381" s="360">
        <f t="shared" si="25"/>
        <v>40000</v>
      </c>
      <c r="AM381" s="362">
        <f>ERP_8[[#This Row],[2026 Working Total]]-ERP_8[[#This Row],[LE2 Final Submission]]</f>
        <v>0</v>
      </c>
      <c r="AN381" s="79">
        <v>0</v>
      </c>
      <c r="AO381" s="79">
        <f t="shared" si="26"/>
        <v>0</v>
      </c>
      <c r="AP381" s="374">
        <f>SUM(ERP_8[[#This Row],[AP01]:[AP07]])-SUM(ERP_8[[#This Row],[AP01 LE2]:[AP07 LE2]])</f>
        <v>0</v>
      </c>
      <c r="AQ381" s="80"/>
      <c r="AR381" s="79">
        <f>ERP_8[[#This Row],[2026 Working Total to Budget/LE]]-ERP_8[[#This Row],[Giveback]]</f>
        <v>0</v>
      </c>
      <c r="AS381" s="81"/>
      <c r="AT381" s="375"/>
      <c r="AU381" s="375"/>
      <c r="AV381" s="375"/>
      <c r="AW381" s="375">
        <v>0</v>
      </c>
      <c r="AX381" s="375">
        <v>0</v>
      </c>
      <c r="AY381" s="375">
        <v>0</v>
      </c>
      <c r="AZ381" s="375">
        <v>0</v>
      </c>
      <c r="BA381" s="375">
        <v>10000</v>
      </c>
      <c r="BB381" s="375">
        <v>10000</v>
      </c>
      <c r="BC381" s="375">
        <v>10000</v>
      </c>
      <c r="BD381" s="375">
        <v>10000</v>
      </c>
      <c r="BE381" s="375">
        <v>0</v>
      </c>
      <c r="BF381" s="375">
        <v>40000</v>
      </c>
      <c r="BG381" s="79"/>
      <c r="BH381" s="79"/>
      <c r="BI381" s="79"/>
      <c r="BJ381" s="79">
        <v>20000</v>
      </c>
      <c r="BK381" s="79">
        <v>20000</v>
      </c>
      <c r="BL381" s="79">
        <v>20000</v>
      </c>
      <c r="BM381" s="79">
        <v>20000</v>
      </c>
      <c r="BN381" s="79">
        <v>0</v>
      </c>
      <c r="BO381" s="79">
        <v>0</v>
      </c>
      <c r="BP381" s="79">
        <v>0</v>
      </c>
      <c r="BQ381" s="79">
        <v>0</v>
      </c>
      <c r="BR381" s="79">
        <v>0</v>
      </c>
      <c r="BS381" s="79">
        <v>80000</v>
      </c>
    </row>
    <row r="382" spans="1:71" ht="15" hidden="1" customHeight="1">
      <c r="A382" s="150" t="s">
        <v>2167</v>
      </c>
      <c r="B382" s="749" t="s">
        <v>616</v>
      </c>
      <c r="C382" s="348"/>
      <c r="D382" s="347" t="str">
        <f>_xlfn.TEXTJOIN("_",FALSE,E382,ERP_8[[#This Row],[Expense Category]],ERP_8[[#This Row],[Project Code*]])</f>
        <v>Hovanyetz, Mike_OTHER_Others001</v>
      </c>
      <c r="E382" s="347" t="s">
        <v>1480</v>
      </c>
      <c r="F382" s="348"/>
      <c r="G382" s="150" t="s">
        <v>1136</v>
      </c>
      <c r="H382" s="332" t="s">
        <v>1345</v>
      </c>
      <c r="I382" s="332" t="s">
        <v>1480</v>
      </c>
      <c r="J382" s="333" t="s">
        <v>1480</v>
      </c>
      <c r="K382" s="514" t="s">
        <v>602</v>
      </c>
      <c r="L382" s="394" t="s">
        <v>2168</v>
      </c>
      <c r="M382" s="333"/>
      <c r="N382" s="467" t="s">
        <v>1493</v>
      </c>
      <c r="O382" s="90" t="s">
        <v>610</v>
      </c>
      <c r="P382" s="347"/>
      <c r="Q382" s="347"/>
      <c r="R382" s="348"/>
      <c r="S382" s="348"/>
      <c r="T382" s="348"/>
      <c r="U382" s="402"/>
      <c r="V382" s="406"/>
      <c r="W382" s="406"/>
      <c r="X382" s="425"/>
      <c r="Y382" s="71"/>
      <c r="Z382" s="784"/>
      <c r="AA382" s="780"/>
      <c r="AB382" s="780"/>
      <c r="AC382" s="429"/>
      <c r="AD382" s="429">
        <v>693</v>
      </c>
      <c r="AE382" s="429">
        <v>0</v>
      </c>
      <c r="AF382" s="429">
        <v>0</v>
      </c>
      <c r="AG382" s="364"/>
      <c r="AH382" s="364"/>
      <c r="AI382" s="364"/>
      <c r="AJ382" s="364"/>
      <c r="AK382" s="364"/>
      <c r="AL382" s="360">
        <f t="shared" si="25"/>
        <v>693</v>
      </c>
      <c r="AM382" s="362">
        <f>ERP_8[[#This Row],[2026 Working Total]]-ERP_8[[#This Row],[LE2 Final Submission]]</f>
        <v>693</v>
      </c>
      <c r="AN382" s="79"/>
      <c r="AO382" s="79">
        <f t="shared" si="26"/>
        <v>0</v>
      </c>
      <c r="AP382" s="374">
        <f>SUM(ERP_8[[#This Row],[AP01]:[AP07]])-SUM(ERP_8[[#This Row],[AP01 LE2]:[AP07 LE2]])</f>
        <v>693</v>
      </c>
      <c r="AQ382" s="80"/>
      <c r="AR382" s="79">
        <f>ERP_8[[#This Row],[2026 Working Total to Budget/LE]]-ERP_8[[#This Row],[Giveback]]</f>
        <v>693</v>
      </c>
      <c r="AS382" s="81"/>
      <c r="AT382" s="375"/>
      <c r="AU382" s="375"/>
      <c r="AV382" s="375"/>
      <c r="AW382" s="375"/>
      <c r="AX382" s="375"/>
      <c r="AY382" s="375"/>
      <c r="AZ382" s="375"/>
      <c r="BA382" s="375"/>
      <c r="BB382" s="375"/>
      <c r="BC382" s="375"/>
      <c r="BD382" s="375"/>
      <c r="BE382" s="375"/>
      <c r="BF382" s="375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</row>
    <row r="383" spans="1:71" ht="15" hidden="1" customHeight="1">
      <c r="A383" s="66" t="s">
        <v>2169</v>
      </c>
      <c r="B383" s="737" t="s">
        <v>617</v>
      </c>
      <c r="C383" s="346"/>
      <c r="D383" s="343" t="str">
        <f>_xlfn.TEXTJOIN("_",FALSE,E383,ERP_8[[#This Row],[Expense Category]],ERP_8[[#This Row],[Project Code*]])</f>
        <v>Jajodia, Amit_OTHER_Others001</v>
      </c>
      <c r="E383" s="343" t="s">
        <v>1515</v>
      </c>
      <c r="F383" s="346"/>
      <c r="G383" s="150" t="s">
        <v>1136</v>
      </c>
      <c r="H383" s="150" t="s">
        <v>1345</v>
      </c>
      <c r="I383" s="150" t="s">
        <v>1515</v>
      </c>
      <c r="J383" s="150" t="s">
        <v>1346</v>
      </c>
      <c r="K383" s="511" t="s">
        <v>602</v>
      </c>
      <c r="L383" s="392" t="s">
        <v>611</v>
      </c>
      <c r="M383" s="343"/>
      <c r="N383" s="800"/>
      <c r="O383" s="70" t="s">
        <v>610</v>
      </c>
      <c r="P383" s="346"/>
      <c r="Q383" s="343"/>
      <c r="R383" s="346"/>
      <c r="S383" s="150" t="s">
        <v>611</v>
      </c>
      <c r="T383" s="150"/>
      <c r="U383" s="403"/>
      <c r="V383" s="406">
        <v>0</v>
      </c>
      <c r="W383" s="406">
        <v>414.36</v>
      </c>
      <c r="X383" s="425"/>
      <c r="Y383" s="71"/>
      <c r="Z383" s="784"/>
      <c r="AA383" s="794"/>
      <c r="AB383" s="794">
        <v>414.36</v>
      </c>
      <c r="AC383" s="428">
        <v>0</v>
      </c>
      <c r="AD383" s="429">
        <v>0</v>
      </c>
      <c r="AE383" s="429">
        <v>0</v>
      </c>
      <c r="AF383" s="429">
        <v>0</v>
      </c>
      <c r="AG383" s="360">
        <v>0</v>
      </c>
      <c r="AH383" s="360">
        <v>0</v>
      </c>
      <c r="AI383" s="360">
        <v>0</v>
      </c>
      <c r="AJ383" s="360">
        <v>0</v>
      </c>
      <c r="AK383" s="360">
        <v>0</v>
      </c>
      <c r="AL383" s="360">
        <f t="shared" si="25"/>
        <v>414.36</v>
      </c>
      <c r="AM383" s="362">
        <f>ERP_8[[#This Row],[2026 Working Total]]-ERP_8[[#This Row],[LE2 Final Submission]]</f>
        <v>0</v>
      </c>
      <c r="AN383" s="79">
        <v>0</v>
      </c>
      <c r="AO383" s="79">
        <f t="shared" si="26"/>
        <v>0</v>
      </c>
      <c r="AP383" s="374">
        <f>SUM(ERP_8[[#This Row],[AP01]:[AP07]])-SUM(ERP_8[[#This Row],[AP01 LE2]:[AP07 LE2]])</f>
        <v>0</v>
      </c>
      <c r="AQ383" s="80"/>
      <c r="AR383" s="79">
        <f>ERP_8[[#This Row],[2026 Working Total to Budget/LE]]-ERP_8[[#This Row],[Giveback]]</f>
        <v>0</v>
      </c>
      <c r="AS383" s="81"/>
      <c r="AT383" s="375"/>
      <c r="AU383" s="375"/>
      <c r="AV383" s="375">
        <v>414.36</v>
      </c>
      <c r="AW383" s="375">
        <v>0</v>
      </c>
      <c r="AX383" s="375">
        <v>0</v>
      </c>
      <c r="AY383" s="375">
        <v>0</v>
      </c>
      <c r="AZ383" s="375">
        <v>0</v>
      </c>
      <c r="BA383" s="375">
        <v>0</v>
      </c>
      <c r="BB383" s="375">
        <v>0</v>
      </c>
      <c r="BC383" s="375">
        <v>0</v>
      </c>
      <c r="BD383" s="375">
        <v>0</v>
      </c>
      <c r="BE383" s="375">
        <v>0</v>
      </c>
      <c r="BF383" s="375">
        <v>414.36</v>
      </c>
      <c r="BG383" s="79"/>
      <c r="BH383" s="79"/>
      <c r="BI383" s="79">
        <v>414.36</v>
      </c>
      <c r="BJ383" s="79">
        <v>0</v>
      </c>
      <c r="BK383" s="79">
        <v>0</v>
      </c>
      <c r="BL383" s="79">
        <v>0</v>
      </c>
      <c r="BM383" s="79">
        <v>0</v>
      </c>
      <c r="BN383" s="79">
        <v>0</v>
      </c>
      <c r="BO383" s="79">
        <v>0</v>
      </c>
      <c r="BP383" s="79">
        <v>0</v>
      </c>
      <c r="BQ383" s="79">
        <v>0</v>
      </c>
      <c r="BR383" s="79">
        <v>0</v>
      </c>
      <c r="BS383" s="79">
        <v>414.36</v>
      </c>
    </row>
    <row r="384" spans="1:71" ht="15" hidden="1" customHeight="1">
      <c r="A384" s="79" t="s">
        <v>2170</v>
      </c>
      <c r="B384" s="749" t="s">
        <v>2171</v>
      </c>
      <c r="C384" s="348"/>
      <c r="D384" s="347" t="str">
        <f>_xlfn.TEXTJOIN("_",FALSE,E384,ERP_8[[#This Row],[Expense Category]],ERP_8[[#This Row],[Project Code*]])</f>
        <v>Patel, Apurva_OTHER_</v>
      </c>
      <c r="E384" s="347" t="s">
        <v>1566</v>
      </c>
      <c r="F384" s="348"/>
      <c r="G384" s="150" t="s">
        <v>1136</v>
      </c>
      <c r="H384" s="332" t="s">
        <v>1567</v>
      </c>
      <c r="I384" s="332" t="s">
        <v>1567</v>
      </c>
      <c r="J384" s="150" t="s">
        <v>1567</v>
      </c>
      <c r="K384" s="514" t="s">
        <v>602</v>
      </c>
      <c r="L384" s="491" t="s">
        <v>2172</v>
      </c>
      <c r="M384" s="343"/>
      <c r="N384" s="801"/>
      <c r="O384" s="90"/>
      <c r="P384" s="347"/>
      <c r="Q384" s="343"/>
      <c r="R384" s="348"/>
      <c r="S384" s="348"/>
      <c r="T384" s="348" t="s">
        <v>2173</v>
      </c>
      <c r="U384" s="402"/>
      <c r="V384" s="358"/>
      <c r="W384" s="379">
        <v>-6407318.4800000004</v>
      </c>
      <c r="X384" s="425"/>
      <c r="Y384" s="71"/>
      <c r="Z384" s="784"/>
      <c r="AA384" s="794"/>
      <c r="AB384" s="794"/>
      <c r="AC384" s="428" t="s">
        <v>1142</v>
      </c>
      <c r="AD384" s="429">
        <v>0</v>
      </c>
      <c r="AE384" s="429">
        <v>0</v>
      </c>
      <c r="AF384" s="429" t="s">
        <v>1142</v>
      </c>
      <c r="AG384" s="364"/>
      <c r="AH384" s="364">
        <f>-1601829.62+1601829.62</f>
        <v>0</v>
      </c>
      <c r="AI384" s="364">
        <f>-1601829.62+1601829.62</f>
        <v>0</v>
      </c>
      <c r="AJ384" s="364">
        <f>-1601829.62+1601829.62</f>
        <v>0</v>
      </c>
      <c r="AK384" s="364">
        <f>-1601829.62+1601829.62</f>
        <v>0</v>
      </c>
      <c r="AL384" s="360">
        <f t="shared" si="25"/>
        <v>0</v>
      </c>
      <c r="AM384" s="362">
        <f>ERP_8[[#This Row],[2026 Working Total]]-ERP_8[[#This Row],[LE2 Final Submission]]</f>
        <v>6407318.4800000004</v>
      </c>
      <c r="AN384" s="79"/>
      <c r="AO384" s="79">
        <f t="shared" si="26"/>
        <v>0</v>
      </c>
      <c r="AP384" s="374">
        <f>SUM(ERP_8[[#This Row],[AP01]:[AP07]])-SUM(ERP_8[[#This Row],[AP01 LE2]:[AP07 LE2]])</f>
        <v>0</v>
      </c>
      <c r="AQ384" s="80"/>
      <c r="AR384" s="79">
        <f>ERP_8[[#This Row],[2026 Working Total to Budget/LE]]-ERP_8[[#This Row],[Giveback]]</f>
        <v>6407318.4800000004</v>
      </c>
      <c r="AS384" s="81"/>
      <c r="AT384" s="375"/>
      <c r="AU384" s="375"/>
      <c r="AV384" s="375"/>
      <c r="AW384" s="375"/>
      <c r="AX384" s="375"/>
      <c r="AY384" s="375"/>
      <c r="AZ384" s="375"/>
      <c r="BA384" s="375"/>
      <c r="BB384" s="375">
        <v>-1601829.62</v>
      </c>
      <c r="BC384" s="375">
        <v>-1601829.62</v>
      </c>
      <c r="BD384" s="375">
        <v>-1601829.62</v>
      </c>
      <c r="BE384" s="375">
        <v>-1601829.62</v>
      </c>
      <c r="BF384" s="375">
        <v>-6407318.4800000004</v>
      </c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</row>
    <row r="385" spans="1:71" ht="15" hidden="1" customHeight="1">
      <c r="A385" s="66" t="s">
        <v>2174</v>
      </c>
      <c r="B385" s="737" t="s">
        <v>2175</v>
      </c>
      <c r="C385" s="346"/>
      <c r="D385" s="343" t="str">
        <f>_xlfn.TEXTJOIN("_",FALSE,E385,ERP_8[[#This Row],[Expense Category]],ERP_8[[#This Row],[Project Code*]])</f>
        <v>Patel, Apurva_OTHER_NondigitalCatering001</v>
      </c>
      <c r="E385" s="343" t="s">
        <v>1566</v>
      </c>
      <c r="F385" s="346"/>
      <c r="G385" s="150" t="s">
        <v>1136</v>
      </c>
      <c r="H385" s="150" t="s">
        <v>1345</v>
      </c>
      <c r="I385" s="150" t="s">
        <v>1346</v>
      </c>
      <c r="J385" s="150" t="s">
        <v>1346</v>
      </c>
      <c r="K385" s="511" t="s">
        <v>602</v>
      </c>
      <c r="L385" s="392" t="s">
        <v>2176</v>
      </c>
      <c r="M385" s="343"/>
      <c r="N385" s="800"/>
      <c r="O385" s="70" t="s">
        <v>620</v>
      </c>
      <c r="P385" s="346"/>
      <c r="Q385" s="343"/>
      <c r="R385" s="346"/>
      <c r="S385" s="150" t="s">
        <v>25</v>
      </c>
      <c r="T385" s="150"/>
      <c r="U385" s="403"/>
      <c r="V385" s="406">
        <v>0</v>
      </c>
      <c r="W385" s="406">
        <v>614.69000000000005</v>
      </c>
      <c r="X385" s="430"/>
      <c r="Y385" s="137"/>
      <c r="Z385" s="784"/>
      <c r="AA385" s="794">
        <v>260.76</v>
      </c>
      <c r="AB385" s="794">
        <v>353.93</v>
      </c>
      <c r="AC385" s="428" t="s">
        <v>1142</v>
      </c>
      <c r="AD385" s="429">
        <v>0</v>
      </c>
      <c r="AE385" s="429">
        <v>0</v>
      </c>
      <c r="AF385" s="429" t="s">
        <v>1142</v>
      </c>
      <c r="AG385" s="360">
        <v>0</v>
      </c>
      <c r="AH385" s="360">
        <v>0</v>
      </c>
      <c r="AI385" s="360">
        <v>0</v>
      </c>
      <c r="AJ385" s="360">
        <v>0</v>
      </c>
      <c r="AK385" s="360">
        <v>0</v>
      </c>
      <c r="AL385" s="360">
        <f t="shared" si="25"/>
        <v>614.69000000000005</v>
      </c>
      <c r="AM385" s="362">
        <f>ERP_8[[#This Row],[2026 Working Total]]-ERP_8[[#This Row],[LE2 Final Submission]]</f>
        <v>0</v>
      </c>
      <c r="AN385" s="79">
        <v>0</v>
      </c>
      <c r="AO385" s="79">
        <f t="shared" si="26"/>
        <v>0</v>
      </c>
      <c r="AP385" s="374">
        <f>SUM(ERP_8[[#This Row],[AP01]:[AP07]])-SUM(ERP_8[[#This Row],[AP01 LE2]:[AP07 LE2]])</f>
        <v>0</v>
      </c>
      <c r="AQ385" s="80"/>
      <c r="AR385" s="79">
        <f>ERP_8[[#This Row],[2026 Working Total to Budget/LE]]-ERP_8[[#This Row],[Giveback]]</f>
        <v>0</v>
      </c>
      <c r="AS385" s="81"/>
      <c r="AT385" s="375"/>
      <c r="AU385" s="375">
        <v>260.76</v>
      </c>
      <c r="AV385" s="375">
        <v>353.93</v>
      </c>
      <c r="AW385" s="375">
        <v>0</v>
      </c>
      <c r="AX385" s="375">
        <v>0</v>
      </c>
      <c r="AY385" s="375">
        <v>0</v>
      </c>
      <c r="AZ385" s="375">
        <v>0</v>
      </c>
      <c r="BA385" s="375">
        <v>0</v>
      </c>
      <c r="BB385" s="375">
        <v>0</v>
      </c>
      <c r="BC385" s="375">
        <v>0</v>
      </c>
      <c r="BD385" s="375">
        <v>0</v>
      </c>
      <c r="BE385" s="375">
        <v>0</v>
      </c>
      <c r="BF385" s="375">
        <v>614.69000000000005</v>
      </c>
      <c r="BG385" s="79"/>
      <c r="BH385" s="79">
        <v>260.76</v>
      </c>
      <c r="BI385" s="79">
        <v>353.93</v>
      </c>
      <c r="BJ385" s="79">
        <v>0</v>
      </c>
      <c r="BK385" s="79">
        <v>0</v>
      </c>
      <c r="BL385" s="79">
        <v>0</v>
      </c>
      <c r="BM385" s="79">
        <v>0</v>
      </c>
      <c r="BN385" s="79">
        <v>0</v>
      </c>
      <c r="BO385" s="79">
        <v>0</v>
      </c>
      <c r="BP385" s="79">
        <v>0</v>
      </c>
      <c r="BQ385" s="79">
        <v>0</v>
      </c>
      <c r="BR385" s="79">
        <v>0</v>
      </c>
      <c r="BS385" s="79">
        <v>614.69000000000005</v>
      </c>
    </row>
    <row r="386" spans="1:71" ht="15" hidden="1" customHeight="1">
      <c r="A386" s="66" t="s">
        <v>2177</v>
      </c>
      <c r="B386" s="737" t="s">
        <v>2178</v>
      </c>
      <c r="C386" s="346"/>
      <c r="D386" s="343" t="str">
        <f>_xlfn.TEXTJOIN("_",FALSE,E386,ERP_8[[#This Row],[Expense Category]],ERP_8[[#This Row],[Project Code*]])</f>
        <v>Patel, Apurva_OTHER_NondigitalCatering001</v>
      </c>
      <c r="E386" s="343" t="s">
        <v>1566</v>
      </c>
      <c r="F386" s="346"/>
      <c r="G386" s="150" t="s">
        <v>1136</v>
      </c>
      <c r="H386" s="150" t="s">
        <v>1567</v>
      </c>
      <c r="I386" s="150" t="s">
        <v>1567</v>
      </c>
      <c r="J386" s="150" t="s">
        <v>1567</v>
      </c>
      <c r="K386" s="511" t="s">
        <v>602</v>
      </c>
      <c r="L386" s="392" t="s">
        <v>2176</v>
      </c>
      <c r="M386" s="343"/>
      <c r="N386" s="800"/>
      <c r="O386" s="70" t="s">
        <v>620</v>
      </c>
      <c r="P386" s="346"/>
      <c r="Q386" s="343"/>
      <c r="R386" s="346"/>
      <c r="S386" s="150" t="s">
        <v>25</v>
      </c>
      <c r="T386" s="150"/>
      <c r="U386" s="403"/>
      <c r="V386" s="406">
        <v>0</v>
      </c>
      <c r="W386" s="406">
        <v>11815.17</v>
      </c>
      <c r="X386" s="425"/>
      <c r="Y386" s="71"/>
      <c r="Z386" s="784"/>
      <c r="AA386" s="794">
        <v>11815.17</v>
      </c>
      <c r="AB386" s="794">
        <v>0</v>
      </c>
      <c r="AC386" s="428" t="s">
        <v>1142</v>
      </c>
      <c r="AD386" s="429">
        <v>0</v>
      </c>
      <c r="AE386" s="429">
        <v>0</v>
      </c>
      <c r="AF386" s="429" t="s">
        <v>1142</v>
      </c>
      <c r="AG386" s="360">
        <v>0</v>
      </c>
      <c r="AH386" s="360">
        <v>0</v>
      </c>
      <c r="AI386" s="360">
        <v>0</v>
      </c>
      <c r="AJ386" s="360">
        <v>0</v>
      </c>
      <c r="AK386" s="360">
        <v>0</v>
      </c>
      <c r="AL386" s="360">
        <f t="shared" si="25"/>
        <v>11815.17</v>
      </c>
      <c r="AM386" s="362">
        <f>ERP_8[[#This Row],[2026 Working Total]]-ERP_8[[#This Row],[LE2 Final Submission]]</f>
        <v>0</v>
      </c>
      <c r="AN386" s="79">
        <v>0</v>
      </c>
      <c r="AO386" s="79">
        <f t="shared" si="26"/>
        <v>0</v>
      </c>
      <c r="AP386" s="374">
        <f>SUM(ERP_8[[#This Row],[AP01]:[AP07]])-SUM(ERP_8[[#This Row],[AP01 LE2]:[AP07 LE2]])</f>
        <v>0</v>
      </c>
      <c r="AQ386" s="80"/>
      <c r="AR386" s="79">
        <f>ERP_8[[#This Row],[2026 Working Total to Budget/LE]]-ERP_8[[#This Row],[Giveback]]</f>
        <v>0</v>
      </c>
      <c r="AS386" s="81"/>
      <c r="AT386" s="375"/>
      <c r="AU386" s="375">
        <v>11815.17</v>
      </c>
      <c r="AV386" s="375">
        <v>0</v>
      </c>
      <c r="AW386" s="375">
        <v>0</v>
      </c>
      <c r="AX386" s="375">
        <v>0</v>
      </c>
      <c r="AY386" s="375">
        <v>0</v>
      </c>
      <c r="AZ386" s="375">
        <v>0</v>
      </c>
      <c r="BA386" s="375">
        <v>0</v>
      </c>
      <c r="BB386" s="375">
        <v>0</v>
      </c>
      <c r="BC386" s="375">
        <v>0</v>
      </c>
      <c r="BD386" s="375">
        <v>0</v>
      </c>
      <c r="BE386" s="375">
        <v>0</v>
      </c>
      <c r="BF386" s="375">
        <v>11815.17</v>
      </c>
      <c r="BG386" s="79"/>
      <c r="BH386" s="79">
        <v>11815.17</v>
      </c>
      <c r="BI386" s="79">
        <v>0</v>
      </c>
      <c r="BJ386" s="79">
        <v>0</v>
      </c>
      <c r="BK386" s="79">
        <v>0</v>
      </c>
      <c r="BL386" s="79">
        <v>0</v>
      </c>
      <c r="BM386" s="79">
        <v>0</v>
      </c>
      <c r="BN386" s="79">
        <v>0</v>
      </c>
      <c r="BO386" s="79">
        <v>0</v>
      </c>
      <c r="BP386" s="79">
        <v>0</v>
      </c>
      <c r="BQ386" s="79">
        <v>0</v>
      </c>
      <c r="BR386" s="79">
        <v>0</v>
      </c>
      <c r="BS386" s="79">
        <v>11815.17</v>
      </c>
    </row>
    <row r="387" spans="1:71" ht="15" hidden="1" customHeight="1">
      <c r="A387" s="79" t="s">
        <v>2179</v>
      </c>
      <c r="B387" s="66" t="s">
        <v>621</v>
      </c>
      <c r="C387" s="818"/>
      <c r="D387" s="343" t="str">
        <f>_xlfn.TEXTJOIN("_",FALSE,E387,ERP_8[[#This Row],[Expense Category]],ERP_8[[#This Row],[Project Code*]])</f>
        <v>Patel, Apurva_OTHER_Others001</v>
      </c>
      <c r="E387" s="331" t="s">
        <v>1566</v>
      </c>
      <c r="F387" s="818"/>
      <c r="G387" s="150" t="s">
        <v>1136</v>
      </c>
      <c r="H387" s="490" t="s">
        <v>1566</v>
      </c>
      <c r="I387" s="150" t="s">
        <v>1566</v>
      </c>
      <c r="J387" s="590" t="s">
        <v>1135</v>
      </c>
      <c r="K387" s="333" t="s">
        <v>602</v>
      </c>
      <c r="L387" s="858" t="s">
        <v>1736</v>
      </c>
      <c r="M387" s="333"/>
      <c r="N387" s="801"/>
      <c r="O387" s="348" t="s">
        <v>610</v>
      </c>
      <c r="P387" s="347"/>
      <c r="Q387" s="347"/>
      <c r="R387" s="348"/>
      <c r="S387" s="348"/>
      <c r="T387" s="826" t="s">
        <v>1737</v>
      </c>
      <c r="U387" s="779"/>
      <c r="V387" s="358"/>
      <c r="W387" s="379"/>
      <c r="X387" s="425"/>
      <c r="Y387" s="71"/>
      <c r="Z387" s="714">
        <v>-9.23</v>
      </c>
      <c r="AA387" s="795">
        <v>-9.25</v>
      </c>
      <c r="AB387" s="795">
        <v>-9.120000000000001</v>
      </c>
      <c r="AC387" s="434">
        <v>-9.32</v>
      </c>
      <c r="AD387" s="434">
        <v>-8.33</v>
      </c>
      <c r="AE387" s="434"/>
      <c r="AF387" s="429" t="s">
        <v>1142</v>
      </c>
      <c r="AG387" s="364"/>
      <c r="AH387" s="364"/>
      <c r="AI387" s="364"/>
      <c r="AJ387" s="364"/>
      <c r="AK387" s="364"/>
      <c r="AL387" s="360">
        <f>SUM(X387:AK387)</f>
        <v>-45.25</v>
      </c>
      <c r="AM387" s="362">
        <f>ERP_8[[#This Row],[2026 Working Total]]-ERP_8[[#This Row],[LE2 Final Submission]]</f>
        <v>-45.25</v>
      </c>
      <c r="AN387" s="79"/>
      <c r="AO387" s="79">
        <f>$Z387 - $AN387</f>
        <v>-9.23</v>
      </c>
      <c r="AP387" s="374">
        <f>SUM(ERP_8[[#This Row],[AP01]:[AP07]])-SUM(ERP_8[[#This Row],[AP01 LE2]:[AP07 LE2]])</f>
        <v>-45.25</v>
      </c>
      <c r="AQ387" s="80"/>
      <c r="AR387" s="79">
        <f>ERP_8[[#This Row],[2026 Working Total to Budget/LE]]-ERP_8[[#This Row],[Giveback]]</f>
        <v>-45.25</v>
      </c>
      <c r="AS387" s="81"/>
      <c r="AT387" s="375"/>
      <c r="AU387" s="375"/>
      <c r="AV387" s="375"/>
      <c r="AW387" s="375"/>
      <c r="AX387" s="375"/>
      <c r="AY387" s="375"/>
      <c r="AZ387" s="375"/>
      <c r="BA387" s="375"/>
      <c r="BB387" s="375"/>
      <c r="BC387" s="375"/>
      <c r="BD387" s="375"/>
      <c r="BE387" s="375"/>
      <c r="BF387" s="375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</row>
    <row r="388" spans="1:71" ht="15" hidden="1" customHeight="1">
      <c r="A388" s="66" t="s">
        <v>2180</v>
      </c>
      <c r="B388" s="737" t="s">
        <v>2181</v>
      </c>
      <c r="C388" s="346"/>
      <c r="D388" s="343" t="str">
        <f>_xlfn.TEXTJOIN("_",FALSE,E388,ERP_8[[#This Row],[Expense Category]],ERP_8[[#This Row],[Project Code*]])</f>
        <v>Patel, Apurva_OTHER_Others001</v>
      </c>
      <c r="E388" s="343" t="s">
        <v>1566</v>
      </c>
      <c r="F388" s="346"/>
      <c r="G388" s="150" t="s">
        <v>1136</v>
      </c>
      <c r="H388" s="150" t="s">
        <v>1345</v>
      </c>
      <c r="I388" s="150" t="s">
        <v>1346</v>
      </c>
      <c r="J388" s="150" t="s">
        <v>1346</v>
      </c>
      <c r="K388" s="511" t="s">
        <v>602</v>
      </c>
      <c r="L388" s="392" t="s">
        <v>611</v>
      </c>
      <c r="M388" s="343"/>
      <c r="N388" s="800"/>
      <c r="O388" s="70" t="s">
        <v>610</v>
      </c>
      <c r="P388" s="346"/>
      <c r="Q388" s="343"/>
      <c r="R388" s="346"/>
      <c r="S388" s="150" t="s">
        <v>611</v>
      </c>
      <c r="T388" s="150"/>
      <c r="U388" s="403"/>
      <c r="V388" s="406">
        <v>0</v>
      </c>
      <c r="W388" s="406">
        <v>9893.24</v>
      </c>
      <c r="X388" s="425"/>
      <c r="Y388" s="71"/>
      <c r="Z388" s="784">
        <v>478.59</v>
      </c>
      <c r="AA388" s="794">
        <v>9120.75</v>
      </c>
      <c r="AB388" s="794">
        <v>293.89999999999998</v>
      </c>
      <c r="AC388" s="428">
        <v>94.080000000000013</v>
      </c>
      <c r="AD388" s="429">
        <v>275.29999999999984</v>
      </c>
      <c r="AE388" s="429">
        <v>-458.89999999999986</v>
      </c>
      <c r="AF388" s="429">
        <v>1784.4600000000003</v>
      </c>
      <c r="AG388" s="360">
        <v>0</v>
      </c>
      <c r="AH388" s="360">
        <v>0</v>
      </c>
      <c r="AI388" s="360">
        <v>0</v>
      </c>
      <c r="AJ388" s="360">
        <v>0</v>
      </c>
      <c r="AK388" s="360">
        <v>0</v>
      </c>
      <c r="AL388" s="360">
        <f t="shared" ref="AL388:AL451" si="27">SUM(Z388:AK388)</f>
        <v>11588.18</v>
      </c>
      <c r="AM388" s="362">
        <f>ERP_8[[#This Row],[2026 Working Total]]-ERP_8[[#This Row],[LE2 Final Submission]]</f>
        <v>1694.9400000000005</v>
      </c>
      <c r="AN388" s="79">
        <v>0</v>
      </c>
      <c r="AO388" s="79">
        <f t="shared" ref="AO388:AO401" si="28">$AE388 - $AN388</f>
        <v>-458.89999999999986</v>
      </c>
      <c r="AP388" s="374">
        <f>SUM(ERP_8[[#This Row],[AP01]:[AP07]])-SUM(ERP_8[[#This Row],[AP01 LE2]:[AP07 LE2]])</f>
        <v>1694.9400000000005</v>
      </c>
      <c r="AQ388" s="80"/>
      <c r="AR388" s="79">
        <f>ERP_8[[#This Row],[2026 Working Total to Budget/LE]]-ERP_8[[#This Row],[Giveback]]</f>
        <v>1694.9400000000005</v>
      </c>
      <c r="AS388" s="81"/>
      <c r="AT388" s="375">
        <v>478.59</v>
      </c>
      <c r="AU388" s="375">
        <v>9120.75</v>
      </c>
      <c r="AV388" s="375">
        <v>293.89999999999998</v>
      </c>
      <c r="AW388" s="375">
        <v>0</v>
      </c>
      <c r="AX388" s="375">
        <v>0</v>
      </c>
      <c r="AY388" s="375">
        <v>0</v>
      </c>
      <c r="AZ388" s="375">
        <v>0</v>
      </c>
      <c r="BA388" s="375">
        <v>0</v>
      </c>
      <c r="BB388" s="375">
        <v>0</v>
      </c>
      <c r="BC388" s="375">
        <v>0</v>
      </c>
      <c r="BD388" s="375">
        <v>0</v>
      </c>
      <c r="BE388" s="375">
        <v>0</v>
      </c>
      <c r="BF388" s="375">
        <v>9893.24</v>
      </c>
      <c r="BG388" s="79">
        <v>478.59</v>
      </c>
      <c r="BH388" s="79">
        <v>9120.75</v>
      </c>
      <c r="BI388" s="79">
        <v>293.89999999999998</v>
      </c>
      <c r="BJ388" s="79">
        <v>0</v>
      </c>
      <c r="BK388" s="79">
        <v>0</v>
      </c>
      <c r="BL388" s="79">
        <v>0</v>
      </c>
      <c r="BM388" s="79">
        <v>0</v>
      </c>
      <c r="BN388" s="79">
        <v>0</v>
      </c>
      <c r="BO388" s="79">
        <v>0</v>
      </c>
      <c r="BP388" s="79">
        <v>0</v>
      </c>
      <c r="BQ388" s="79">
        <v>0</v>
      </c>
      <c r="BR388" s="79">
        <v>0</v>
      </c>
      <c r="BS388" s="79">
        <v>9893.24</v>
      </c>
    </row>
    <row r="389" spans="1:71" ht="15" hidden="1" customHeight="1">
      <c r="A389" s="66" t="s">
        <v>2182</v>
      </c>
      <c r="B389" s="737" t="s">
        <v>2183</v>
      </c>
      <c r="C389" s="346"/>
      <c r="D389" s="343" t="str">
        <f>_xlfn.TEXTJOIN("_",FALSE,E389,ERP_8[[#This Row],[Expense Category]],ERP_8[[#This Row],[Project Code*]])</f>
        <v>Patel, Apurva_OTHER_Others001</v>
      </c>
      <c r="E389" s="343" t="s">
        <v>1566</v>
      </c>
      <c r="F389" s="346"/>
      <c r="G389" s="150" t="s">
        <v>1136</v>
      </c>
      <c r="H389" s="150" t="s">
        <v>1567</v>
      </c>
      <c r="I389" s="150" t="s">
        <v>1567</v>
      </c>
      <c r="J389" s="150" t="s">
        <v>1567</v>
      </c>
      <c r="K389" s="511" t="s">
        <v>602</v>
      </c>
      <c r="L389" s="392" t="s">
        <v>611</v>
      </c>
      <c r="M389" s="343"/>
      <c r="N389" s="800"/>
      <c r="O389" s="70" t="s">
        <v>610</v>
      </c>
      <c r="P389" s="346"/>
      <c r="Q389" s="343"/>
      <c r="R389" s="346"/>
      <c r="S389" s="150" t="s">
        <v>611</v>
      </c>
      <c r="T389" s="150"/>
      <c r="U389" s="403"/>
      <c r="V389" s="406">
        <v>0</v>
      </c>
      <c r="W389" s="406">
        <v>18.829999999999998</v>
      </c>
      <c r="X389" s="425"/>
      <c r="Y389" s="71"/>
      <c r="Z389" s="784">
        <v>19</v>
      </c>
      <c r="AA389" s="794">
        <v>-0.17</v>
      </c>
      <c r="AB389" s="794">
        <v>0</v>
      </c>
      <c r="AC389" s="428">
        <v>4245.9400000000005</v>
      </c>
      <c r="AD389" s="429">
        <v>16</v>
      </c>
      <c r="AE389" s="429">
        <v>0</v>
      </c>
      <c r="AF389" s="429">
        <v>515.87</v>
      </c>
      <c r="AG389" s="360">
        <v>0</v>
      </c>
      <c r="AH389" s="360">
        <v>0</v>
      </c>
      <c r="AI389" s="360">
        <v>0</v>
      </c>
      <c r="AJ389" s="360">
        <v>0</v>
      </c>
      <c r="AK389" s="360">
        <v>0</v>
      </c>
      <c r="AL389" s="360">
        <f t="shared" si="27"/>
        <v>4796.6400000000003</v>
      </c>
      <c r="AM389" s="362">
        <f>ERP_8[[#This Row],[2026 Working Total]]-ERP_8[[#This Row],[LE2 Final Submission]]</f>
        <v>4777.8100000000004</v>
      </c>
      <c r="AN389" s="79">
        <v>0</v>
      </c>
      <c r="AO389" s="79">
        <f t="shared" si="28"/>
        <v>0</v>
      </c>
      <c r="AP389" s="374">
        <f>SUM(ERP_8[[#This Row],[AP01]:[AP07]])-SUM(ERP_8[[#This Row],[AP01 LE2]:[AP07 LE2]])</f>
        <v>4777.8100000000004</v>
      </c>
      <c r="AQ389" s="80"/>
      <c r="AR389" s="79">
        <f>ERP_8[[#This Row],[2026 Working Total to Budget/LE]]-ERP_8[[#This Row],[Giveback]]</f>
        <v>4777.8100000000004</v>
      </c>
      <c r="AS389" s="81"/>
      <c r="AT389" s="375">
        <v>19</v>
      </c>
      <c r="AU389" s="375">
        <v>-0.17</v>
      </c>
      <c r="AV389" s="375">
        <v>0</v>
      </c>
      <c r="AW389" s="375">
        <v>0</v>
      </c>
      <c r="AX389" s="375">
        <v>0</v>
      </c>
      <c r="AY389" s="375">
        <v>0</v>
      </c>
      <c r="AZ389" s="375">
        <v>0</v>
      </c>
      <c r="BA389" s="375">
        <v>0</v>
      </c>
      <c r="BB389" s="375">
        <v>0</v>
      </c>
      <c r="BC389" s="375">
        <v>0</v>
      </c>
      <c r="BD389" s="375">
        <v>0</v>
      </c>
      <c r="BE389" s="375">
        <v>0</v>
      </c>
      <c r="BF389" s="375">
        <v>18.829999999999998</v>
      </c>
      <c r="BG389" s="79">
        <v>19</v>
      </c>
      <c r="BH389" s="79">
        <v>-0.17</v>
      </c>
      <c r="BI389" s="79">
        <v>0</v>
      </c>
      <c r="BJ389" s="79">
        <v>0</v>
      </c>
      <c r="BK389" s="79">
        <v>0</v>
      </c>
      <c r="BL389" s="79">
        <v>0</v>
      </c>
      <c r="BM389" s="79">
        <v>0</v>
      </c>
      <c r="BN389" s="79">
        <v>0</v>
      </c>
      <c r="BO389" s="79">
        <v>0</v>
      </c>
      <c r="BP389" s="79">
        <v>0</v>
      </c>
      <c r="BQ389" s="79">
        <v>0</v>
      </c>
      <c r="BR389" s="79">
        <v>0</v>
      </c>
      <c r="BS389" s="79">
        <v>18.829999999999998</v>
      </c>
    </row>
    <row r="390" spans="1:71" ht="15" hidden="1" customHeight="1">
      <c r="A390" s="66" t="s">
        <v>2184</v>
      </c>
      <c r="B390" s="737" t="s">
        <v>2185</v>
      </c>
      <c r="C390" s="346"/>
      <c r="D390" s="343" t="str">
        <f>_xlfn.TEXTJOIN("_",FALSE,E390,ERP_8[[#This Row],[Expense Category]],ERP_8[[#This Row],[Project Code*]])</f>
        <v>Patel, Apurva_OTHER_PR-587101-0000007986</v>
      </c>
      <c r="E390" s="343" t="s">
        <v>1566</v>
      </c>
      <c r="F390" s="346"/>
      <c r="G390" s="150" t="s">
        <v>1136</v>
      </c>
      <c r="H390" s="150" t="s">
        <v>1345</v>
      </c>
      <c r="I390" s="150" t="s">
        <v>1346</v>
      </c>
      <c r="J390" s="150" t="s">
        <v>1346</v>
      </c>
      <c r="K390" s="511" t="s">
        <v>602</v>
      </c>
      <c r="L390" s="392" t="s">
        <v>1648</v>
      </c>
      <c r="M390" s="343"/>
      <c r="N390" s="800"/>
      <c r="O390" s="70" t="s">
        <v>323</v>
      </c>
      <c r="P390" s="346"/>
      <c r="Q390" s="343"/>
      <c r="R390" s="346"/>
      <c r="S390" s="150" t="s">
        <v>25</v>
      </c>
      <c r="T390" s="150"/>
      <c r="U390" s="403"/>
      <c r="V390" s="406">
        <v>0</v>
      </c>
      <c r="W390" s="406">
        <v>220.29</v>
      </c>
      <c r="X390" s="425"/>
      <c r="Y390" s="71"/>
      <c r="Z390" s="784"/>
      <c r="AA390" s="794">
        <v>220.29</v>
      </c>
      <c r="AB390" s="794">
        <v>0</v>
      </c>
      <c r="AC390" s="428" t="s">
        <v>1142</v>
      </c>
      <c r="AD390" s="429">
        <v>0</v>
      </c>
      <c r="AE390" s="429">
        <v>0</v>
      </c>
      <c r="AF390" s="429" t="s">
        <v>1142</v>
      </c>
      <c r="AG390" s="360">
        <v>0</v>
      </c>
      <c r="AH390" s="360">
        <v>0</v>
      </c>
      <c r="AI390" s="360">
        <v>0</v>
      </c>
      <c r="AJ390" s="360">
        <v>0</v>
      </c>
      <c r="AK390" s="360">
        <v>0</v>
      </c>
      <c r="AL390" s="360">
        <f t="shared" si="27"/>
        <v>220.29</v>
      </c>
      <c r="AM390" s="362">
        <f>ERP_8[[#This Row],[2026 Working Total]]-ERP_8[[#This Row],[LE2 Final Submission]]</f>
        <v>0</v>
      </c>
      <c r="AN390" s="79">
        <v>0</v>
      </c>
      <c r="AO390" s="79">
        <f t="shared" si="28"/>
        <v>0</v>
      </c>
      <c r="AP390" s="374">
        <f>SUM(ERP_8[[#This Row],[AP01]:[AP07]])-SUM(ERP_8[[#This Row],[AP01 LE2]:[AP07 LE2]])</f>
        <v>0</v>
      </c>
      <c r="AQ390" s="80"/>
      <c r="AR390" s="79">
        <f>ERP_8[[#This Row],[2026 Working Total to Budget/LE]]-ERP_8[[#This Row],[Giveback]]</f>
        <v>0</v>
      </c>
      <c r="AS390" s="81"/>
      <c r="AT390" s="375"/>
      <c r="AU390" s="375">
        <v>220.29</v>
      </c>
      <c r="AV390" s="375">
        <v>0</v>
      </c>
      <c r="AW390" s="375">
        <v>0</v>
      </c>
      <c r="AX390" s="375">
        <v>0</v>
      </c>
      <c r="AY390" s="375">
        <v>0</v>
      </c>
      <c r="AZ390" s="375">
        <v>0</v>
      </c>
      <c r="BA390" s="375">
        <v>0</v>
      </c>
      <c r="BB390" s="375">
        <v>0</v>
      </c>
      <c r="BC390" s="375">
        <v>0</v>
      </c>
      <c r="BD390" s="375">
        <v>0</v>
      </c>
      <c r="BE390" s="375">
        <v>0</v>
      </c>
      <c r="BF390" s="375">
        <v>220.29</v>
      </c>
      <c r="BG390" s="79"/>
      <c r="BH390" s="79">
        <v>220.29</v>
      </c>
      <c r="BI390" s="79">
        <v>0</v>
      </c>
      <c r="BJ390" s="79">
        <v>0</v>
      </c>
      <c r="BK390" s="79">
        <v>0</v>
      </c>
      <c r="BL390" s="79">
        <v>0</v>
      </c>
      <c r="BM390" s="79">
        <v>0</v>
      </c>
      <c r="BN390" s="79">
        <v>0</v>
      </c>
      <c r="BO390" s="79">
        <v>0</v>
      </c>
      <c r="BP390" s="79">
        <v>0</v>
      </c>
      <c r="BQ390" s="79">
        <v>0</v>
      </c>
      <c r="BR390" s="79">
        <v>0</v>
      </c>
      <c r="BS390" s="79">
        <v>220.29</v>
      </c>
    </row>
    <row r="391" spans="1:71" ht="15" hidden="1" customHeight="1">
      <c r="A391" s="66" t="s">
        <v>2186</v>
      </c>
      <c r="B391" s="737" t="s">
        <v>623</v>
      </c>
      <c r="C391" s="346"/>
      <c r="D391" s="343" t="str">
        <f>_xlfn.TEXTJOIN("_",FALSE,E391,ERP_8[[#This Row],[Expense Category]],ERP_8[[#This Row],[Project Code*]])</f>
        <v>Robertson, Jerome_OTHER_Others001</v>
      </c>
      <c r="E391" s="343" t="s">
        <v>1650</v>
      </c>
      <c r="F391" s="346"/>
      <c r="G391" s="150" t="s">
        <v>1136</v>
      </c>
      <c r="H391" s="150" t="s">
        <v>1650</v>
      </c>
      <c r="I391" s="150" t="s">
        <v>1650</v>
      </c>
      <c r="J391" s="150" t="s">
        <v>1650</v>
      </c>
      <c r="K391" s="511" t="s">
        <v>602</v>
      </c>
      <c r="L391" s="392" t="s">
        <v>611</v>
      </c>
      <c r="M391" s="343"/>
      <c r="N391" s="800"/>
      <c r="O391" s="70" t="s">
        <v>610</v>
      </c>
      <c r="P391" s="346"/>
      <c r="Q391" s="343"/>
      <c r="R391" s="346"/>
      <c r="S391" s="150" t="s">
        <v>611</v>
      </c>
      <c r="T391" s="150"/>
      <c r="U391" s="403"/>
      <c r="V391" s="406">
        <v>0</v>
      </c>
      <c r="W391" s="406">
        <v>28.1</v>
      </c>
      <c r="X391" s="425"/>
      <c r="Y391" s="71"/>
      <c r="Z391" s="784"/>
      <c r="AA391" s="794">
        <v>27.55</v>
      </c>
      <c r="AB391" s="794">
        <v>0.55000000000000004</v>
      </c>
      <c r="AC391" s="428">
        <v>2.16</v>
      </c>
      <c r="AD391" s="429">
        <v>4.129999999999999</v>
      </c>
      <c r="AE391" s="429">
        <v>57.92</v>
      </c>
      <c r="AF391" s="429">
        <v>18.649999999999999</v>
      </c>
      <c r="AG391" s="360">
        <v>0</v>
      </c>
      <c r="AH391" s="360">
        <v>0</v>
      </c>
      <c r="AI391" s="360">
        <v>0</v>
      </c>
      <c r="AJ391" s="360">
        <v>0</v>
      </c>
      <c r="AK391" s="360">
        <v>0</v>
      </c>
      <c r="AL391" s="360">
        <f t="shared" si="27"/>
        <v>110.96000000000001</v>
      </c>
      <c r="AM391" s="362">
        <f>ERP_8[[#This Row],[2026 Working Total]]-ERP_8[[#This Row],[LE2 Final Submission]]</f>
        <v>82.860000000000014</v>
      </c>
      <c r="AN391" s="79">
        <v>0</v>
      </c>
      <c r="AO391" s="79">
        <f t="shared" si="28"/>
        <v>57.92</v>
      </c>
      <c r="AP391" s="374">
        <f>SUM(ERP_8[[#This Row],[AP01]:[AP07]])-SUM(ERP_8[[#This Row],[AP01 LE2]:[AP07 LE2]])</f>
        <v>82.860000000000014</v>
      </c>
      <c r="AQ391" s="80"/>
      <c r="AR391" s="79">
        <f>ERP_8[[#This Row],[2026 Working Total to Budget/LE]]-ERP_8[[#This Row],[Giveback]]</f>
        <v>82.860000000000014</v>
      </c>
      <c r="AS391" s="81"/>
      <c r="AT391" s="375"/>
      <c r="AU391" s="375">
        <v>27.55</v>
      </c>
      <c r="AV391" s="375">
        <v>0.55000000000000004</v>
      </c>
      <c r="AW391" s="375">
        <v>0</v>
      </c>
      <c r="AX391" s="375">
        <v>0</v>
      </c>
      <c r="AY391" s="375">
        <v>0</v>
      </c>
      <c r="AZ391" s="375">
        <v>0</v>
      </c>
      <c r="BA391" s="375">
        <v>0</v>
      </c>
      <c r="BB391" s="375">
        <v>0</v>
      </c>
      <c r="BC391" s="375">
        <v>0</v>
      </c>
      <c r="BD391" s="375">
        <v>0</v>
      </c>
      <c r="BE391" s="375">
        <v>0</v>
      </c>
      <c r="BF391" s="375">
        <v>28.1</v>
      </c>
      <c r="BG391" s="79"/>
      <c r="BH391" s="79">
        <v>27.55</v>
      </c>
      <c r="BI391" s="79">
        <v>0.55000000000000004</v>
      </c>
      <c r="BJ391" s="79">
        <v>0</v>
      </c>
      <c r="BK391" s="79">
        <v>0</v>
      </c>
      <c r="BL391" s="79">
        <v>0</v>
      </c>
      <c r="BM391" s="79">
        <v>0</v>
      </c>
      <c r="BN391" s="79">
        <v>0</v>
      </c>
      <c r="BO391" s="79">
        <v>0</v>
      </c>
      <c r="BP391" s="79">
        <v>0</v>
      </c>
      <c r="BQ391" s="79">
        <v>0</v>
      </c>
      <c r="BR391" s="79">
        <v>0</v>
      </c>
      <c r="BS391" s="79">
        <v>28.1</v>
      </c>
    </row>
    <row r="392" spans="1:71" ht="15" hidden="1" customHeight="1">
      <c r="A392" s="79" t="s">
        <v>1427</v>
      </c>
      <c r="B392" s="296" t="s">
        <v>2187</v>
      </c>
      <c r="C392" s="109"/>
      <c r="D392" s="347" t="str">
        <f>_xlfn.TEXTJOIN("_",FALSE,E392,ERP_8[[#This Row],[Expense Category]],ERP_8[[#This Row],[Project Code*]])</f>
        <v>Ganesan, Srinivasan_OUTSIDE COUNSEL_MISC001</v>
      </c>
      <c r="E392" s="109" t="s">
        <v>1344</v>
      </c>
      <c r="F392" s="109"/>
      <c r="G392" s="332" t="s">
        <v>1136</v>
      </c>
      <c r="H392" s="332" t="s">
        <v>1345</v>
      </c>
      <c r="I392" s="332" t="s">
        <v>1344</v>
      </c>
      <c r="J392" s="333" t="s">
        <v>1344</v>
      </c>
      <c r="K392" s="514" t="s">
        <v>625</v>
      </c>
      <c r="L392" s="394"/>
      <c r="M392" s="333"/>
      <c r="N392" s="801"/>
      <c r="O392" s="90" t="s">
        <v>147</v>
      </c>
      <c r="P392" s="347"/>
      <c r="Q392" s="347"/>
      <c r="R392" s="348"/>
      <c r="S392" s="348"/>
      <c r="T392" s="348"/>
      <c r="U392" s="402"/>
      <c r="V392" s="358"/>
      <c r="W392" s="379"/>
      <c r="X392" s="425"/>
      <c r="Y392" s="71"/>
      <c r="Z392" s="784"/>
      <c r="AA392" s="780"/>
      <c r="AB392" s="780"/>
      <c r="AC392" s="429"/>
      <c r="AD392" s="780"/>
      <c r="AE392" s="429"/>
      <c r="AF392" s="429">
        <v>392.49</v>
      </c>
      <c r="AG392" s="364"/>
      <c r="AH392" s="364"/>
      <c r="AI392" s="364"/>
      <c r="AJ392" s="364"/>
      <c r="AK392" s="364"/>
      <c r="AL392" s="360">
        <f t="shared" si="27"/>
        <v>392.49</v>
      </c>
      <c r="AM392" s="362">
        <f>ERP_8[[#This Row],[2026 Working Total]]-ERP_8[[#This Row],[LE2 Final Submission]]</f>
        <v>392.49</v>
      </c>
      <c r="AN392" s="79"/>
      <c r="AO392" s="79">
        <f t="shared" si="28"/>
        <v>0</v>
      </c>
      <c r="AP392" s="391">
        <f>SUM(ERP_8[[#This Row],[AP01]:[AP07]])-SUM(ERP_8[[#This Row],[AP01 LE2]:[AP07 LE2]])</f>
        <v>392.49</v>
      </c>
      <c r="AQ392" s="80"/>
      <c r="AR392" s="79">
        <f>ERP_8[[#This Row],[2026 Working Total to Budget/LE]]-ERP_8[[#This Row],[Giveback]]</f>
        <v>392.49</v>
      </c>
      <c r="AS392" s="81"/>
      <c r="AT392" s="375"/>
      <c r="AU392" s="375"/>
      <c r="AV392" s="375"/>
      <c r="AW392" s="375"/>
      <c r="AX392" s="375"/>
      <c r="AY392" s="375"/>
      <c r="AZ392" s="375"/>
      <c r="BA392" s="375"/>
      <c r="BB392" s="375"/>
      <c r="BC392" s="375"/>
      <c r="BD392" s="375"/>
      <c r="BE392" s="375"/>
      <c r="BF392" s="375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</row>
    <row r="393" spans="1:71" ht="15" hidden="1" customHeight="1">
      <c r="A393" s="66" t="s">
        <v>2188</v>
      </c>
      <c r="B393" s="737" t="s">
        <v>2189</v>
      </c>
      <c r="C393" s="346"/>
      <c r="D393" s="343" t="str">
        <f>_xlfn.TEXTJOIN("_",FALSE,E393,ERP_8[[#This Row],[Expense Category]],ERP_8[[#This Row],[Project Code*]])</f>
        <v>Patel, Apurva_OUTSIDE COUNSEL_Others001</v>
      </c>
      <c r="E393" s="343" t="s">
        <v>1566</v>
      </c>
      <c r="F393" s="346"/>
      <c r="G393" s="150" t="s">
        <v>1136</v>
      </c>
      <c r="H393" s="150" t="s">
        <v>1345</v>
      </c>
      <c r="I393" s="150" t="s">
        <v>1346</v>
      </c>
      <c r="J393" s="150" t="s">
        <v>1346</v>
      </c>
      <c r="K393" s="511" t="s">
        <v>625</v>
      </c>
      <c r="L393" s="392" t="s">
        <v>611</v>
      </c>
      <c r="M393" s="343"/>
      <c r="N393" s="800"/>
      <c r="O393" s="70" t="s">
        <v>610</v>
      </c>
      <c r="P393" s="346"/>
      <c r="Q393" s="343"/>
      <c r="R393" s="346"/>
      <c r="S393" s="150" t="s">
        <v>611</v>
      </c>
      <c r="T393" s="150"/>
      <c r="U393" s="403"/>
      <c r="V393" s="406">
        <v>0</v>
      </c>
      <c r="W393" s="406">
        <v>20.21</v>
      </c>
      <c r="X393" s="430"/>
      <c r="Y393" s="137"/>
      <c r="Z393" s="784">
        <v>16.29</v>
      </c>
      <c r="AA393" s="794">
        <v>0</v>
      </c>
      <c r="AB393" s="794">
        <v>3.92</v>
      </c>
      <c r="AC393" s="429" t="s">
        <v>1142</v>
      </c>
      <c r="AD393" s="429">
        <v>0</v>
      </c>
      <c r="AE393" s="429">
        <v>0</v>
      </c>
      <c r="AF393" s="429" t="s">
        <v>1142</v>
      </c>
      <c r="AG393" s="360">
        <v>0</v>
      </c>
      <c r="AH393" s="360">
        <v>0</v>
      </c>
      <c r="AI393" s="360">
        <v>0</v>
      </c>
      <c r="AJ393" s="360">
        <v>0</v>
      </c>
      <c r="AK393" s="360">
        <v>0</v>
      </c>
      <c r="AL393" s="360">
        <f t="shared" si="27"/>
        <v>20.21</v>
      </c>
      <c r="AM393" s="362">
        <f>ERP_8[[#This Row],[2026 Working Total]]-ERP_8[[#This Row],[LE2 Final Submission]]</f>
        <v>0</v>
      </c>
      <c r="AN393" s="79">
        <v>0</v>
      </c>
      <c r="AO393" s="79">
        <f t="shared" si="28"/>
        <v>0</v>
      </c>
      <c r="AP393" s="374">
        <f>SUM(ERP_8[[#This Row],[AP01]:[AP07]])-SUM(ERP_8[[#This Row],[AP01 LE2]:[AP07 LE2]])</f>
        <v>0</v>
      </c>
      <c r="AQ393" s="80"/>
      <c r="AR393" s="79">
        <f>ERP_8[[#This Row],[2026 Working Total to Budget/LE]]-ERP_8[[#This Row],[Giveback]]</f>
        <v>0</v>
      </c>
      <c r="AS393" s="81"/>
      <c r="AT393" s="375">
        <v>16.29</v>
      </c>
      <c r="AU393" s="375">
        <v>0</v>
      </c>
      <c r="AV393" s="375">
        <v>3.92</v>
      </c>
      <c r="AW393" s="375">
        <v>0</v>
      </c>
      <c r="AX393" s="375">
        <v>0</v>
      </c>
      <c r="AY393" s="375">
        <v>0</v>
      </c>
      <c r="AZ393" s="375">
        <v>0</v>
      </c>
      <c r="BA393" s="375">
        <v>0</v>
      </c>
      <c r="BB393" s="375">
        <v>0</v>
      </c>
      <c r="BC393" s="375">
        <v>0</v>
      </c>
      <c r="BD393" s="375">
        <v>0</v>
      </c>
      <c r="BE393" s="375">
        <v>0</v>
      </c>
      <c r="BF393" s="375">
        <v>20.21</v>
      </c>
      <c r="BG393" s="79">
        <v>16.29</v>
      </c>
      <c r="BH393" s="79">
        <v>0</v>
      </c>
      <c r="BI393" s="79">
        <v>3.92</v>
      </c>
      <c r="BJ393" s="79">
        <v>0</v>
      </c>
      <c r="BK393" s="79">
        <v>0</v>
      </c>
      <c r="BL393" s="79">
        <v>0</v>
      </c>
      <c r="BM393" s="79">
        <v>0</v>
      </c>
      <c r="BN393" s="79">
        <v>0</v>
      </c>
      <c r="BO393" s="79">
        <v>0</v>
      </c>
      <c r="BP393" s="79">
        <v>0</v>
      </c>
      <c r="BQ393" s="79">
        <v>0</v>
      </c>
      <c r="BR393" s="79">
        <v>0</v>
      </c>
      <c r="BS393" s="79">
        <v>20.21</v>
      </c>
    </row>
    <row r="394" spans="1:71" ht="15" hidden="1" customHeight="1">
      <c r="A394" s="66" t="s">
        <v>2190</v>
      </c>
      <c r="B394" s="737" t="s">
        <v>2191</v>
      </c>
      <c r="C394" s="346"/>
      <c r="D394" s="343" t="str">
        <f>_xlfn.TEXTJOIN("_",FALSE,E394,ERP_8[[#This Row],[Expense Category]],ERP_8[[#This Row],[Project Code*]])</f>
        <v>Patel, Apurva_OUTSIDE COUNSEL_PR-587101-0000007986</v>
      </c>
      <c r="E394" s="343" t="s">
        <v>1566</v>
      </c>
      <c r="F394" s="346"/>
      <c r="G394" s="150" t="s">
        <v>1136</v>
      </c>
      <c r="H394" s="150" t="s">
        <v>1345</v>
      </c>
      <c r="I394" s="150" t="s">
        <v>1346</v>
      </c>
      <c r="J394" s="150" t="s">
        <v>1346</v>
      </c>
      <c r="K394" s="511" t="s">
        <v>625</v>
      </c>
      <c r="L394" s="392" t="s">
        <v>1648</v>
      </c>
      <c r="M394" s="343"/>
      <c r="N394" s="800"/>
      <c r="O394" s="70" t="s">
        <v>323</v>
      </c>
      <c r="P394" s="346"/>
      <c r="Q394" s="343"/>
      <c r="R394" s="346"/>
      <c r="S394" s="150" t="s">
        <v>25</v>
      </c>
      <c r="T394" s="150"/>
      <c r="U394" s="403"/>
      <c r="V394" s="406">
        <v>0</v>
      </c>
      <c r="W394" s="406">
        <v>3.5</v>
      </c>
      <c r="X394" s="425"/>
      <c r="Y394" s="71"/>
      <c r="Z394" s="784"/>
      <c r="AA394" s="794">
        <v>3.5</v>
      </c>
      <c r="AB394" s="794">
        <v>0</v>
      </c>
      <c r="AC394" s="429" t="s">
        <v>1142</v>
      </c>
      <c r="AD394" s="429">
        <v>0</v>
      </c>
      <c r="AE394" s="429">
        <v>0</v>
      </c>
      <c r="AF394" s="429" t="s">
        <v>1142</v>
      </c>
      <c r="AG394" s="360">
        <v>0</v>
      </c>
      <c r="AH394" s="360">
        <v>0</v>
      </c>
      <c r="AI394" s="360">
        <v>0</v>
      </c>
      <c r="AJ394" s="360">
        <v>0</v>
      </c>
      <c r="AK394" s="360">
        <v>0</v>
      </c>
      <c r="AL394" s="360">
        <f t="shared" si="27"/>
        <v>3.5</v>
      </c>
      <c r="AM394" s="362">
        <f>ERP_8[[#This Row],[2026 Working Total]]-ERP_8[[#This Row],[LE2 Final Submission]]</f>
        <v>0</v>
      </c>
      <c r="AN394" s="79">
        <v>0</v>
      </c>
      <c r="AO394" s="79">
        <f t="shared" si="28"/>
        <v>0</v>
      </c>
      <c r="AP394" s="374">
        <f>SUM(ERP_8[[#This Row],[AP01]:[AP07]])-SUM(ERP_8[[#This Row],[AP01 LE2]:[AP07 LE2]])</f>
        <v>0</v>
      </c>
      <c r="AQ394" s="80"/>
      <c r="AR394" s="79">
        <f>ERP_8[[#This Row],[2026 Working Total to Budget/LE]]-ERP_8[[#This Row],[Giveback]]</f>
        <v>0</v>
      </c>
      <c r="AS394" s="81"/>
      <c r="AT394" s="375"/>
      <c r="AU394" s="375">
        <v>3.5</v>
      </c>
      <c r="AV394" s="375">
        <v>0</v>
      </c>
      <c r="AW394" s="375">
        <v>0</v>
      </c>
      <c r="AX394" s="375">
        <v>0</v>
      </c>
      <c r="AY394" s="375">
        <v>0</v>
      </c>
      <c r="AZ394" s="375">
        <v>0</v>
      </c>
      <c r="BA394" s="375">
        <v>0</v>
      </c>
      <c r="BB394" s="375">
        <v>0</v>
      </c>
      <c r="BC394" s="375">
        <v>0</v>
      </c>
      <c r="BD394" s="375">
        <v>0</v>
      </c>
      <c r="BE394" s="375">
        <v>0</v>
      </c>
      <c r="BF394" s="375">
        <v>3.5</v>
      </c>
      <c r="BG394" s="79"/>
      <c r="BH394" s="79">
        <v>3.5</v>
      </c>
      <c r="BI394" s="79">
        <v>0</v>
      </c>
      <c r="BJ394" s="79">
        <v>0</v>
      </c>
      <c r="BK394" s="79">
        <v>0</v>
      </c>
      <c r="BL394" s="79">
        <v>0</v>
      </c>
      <c r="BM394" s="79">
        <v>0</v>
      </c>
      <c r="BN394" s="79">
        <v>0</v>
      </c>
      <c r="BO394" s="79">
        <v>0</v>
      </c>
      <c r="BP394" s="79">
        <v>0</v>
      </c>
      <c r="BQ394" s="79">
        <v>0</v>
      </c>
      <c r="BR394" s="79">
        <v>0</v>
      </c>
      <c r="BS394" s="79">
        <v>3.5</v>
      </c>
    </row>
    <row r="395" spans="1:71" ht="15" hidden="1" customHeight="1">
      <c r="A395" s="66" t="s">
        <v>2192</v>
      </c>
      <c r="B395" s="737" t="s">
        <v>630</v>
      </c>
      <c r="C395" s="346"/>
      <c r="D395" s="343" t="str">
        <f>_xlfn.TEXTJOIN("_",FALSE,E395,ERP_8[[#This Row],[Expense Category]],ERP_8[[#This Row],[Project Code*]])</f>
        <v>Jajodia, Amit_RENT AND UTILITIES_KM_CompanyCar001</v>
      </c>
      <c r="E395" s="343" t="s">
        <v>1515</v>
      </c>
      <c r="F395" s="346"/>
      <c r="G395" s="150" t="s">
        <v>1136</v>
      </c>
      <c r="H395" s="150" t="s">
        <v>1345</v>
      </c>
      <c r="I395" s="150" t="s">
        <v>1515</v>
      </c>
      <c r="J395" s="150" t="s">
        <v>1346</v>
      </c>
      <c r="K395" s="511" t="s">
        <v>629</v>
      </c>
      <c r="L395" s="392" t="s">
        <v>2193</v>
      </c>
      <c r="M395" s="343"/>
      <c r="N395" s="800"/>
      <c r="O395" s="70" t="s">
        <v>631</v>
      </c>
      <c r="P395" s="346"/>
      <c r="Q395" s="343"/>
      <c r="R395" s="346"/>
      <c r="S395" s="150" t="s">
        <v>632</v>
      </c>
      <c r="T395" s="150"/>
      <c r="U395" s="403"/>
      <c r="V395" s="406">
        <v>17000</v>
      </c>
      <c r="W395" s="406">
        <v>15576.84</v>
      </c>
      <c r="X395" s="425"/>
      <c r="Y395" s="71"/>
      <c r="Z395" s="784"/>
      <c r="AA395" s="794">
        <v>1512.59</v>
      </c>
      <c r="AB395" s="794">
        <v>814.25</v>
      </c>
      <c r="AC395" s="428" t="s">
        <v>1142</v>
      </c>
      <c r="AD395" s="429">
        <v>0</v>
      </c>
      <c r="AE395" s="429">
        <v>0</v>
      </c>
      <c r="AF395" s="429" t="s">
        <v>1142</v>
      </c>
      <c r="AG395" s="363"/>
      <c r="AH395" s="363"/>
      <c r="AI395" s="363"/>
      <c r="AJ395" s="363"/>
      <c r="AK395" s="363"/>
      <c r="AL395" s="360">
        <f t="shared" si="27"/>
        <v>2326.84</v>
      </c>
      <c r="AM395" s="362">
        <f>ERP_8[[#This Row],[2026 Working Total]]-ERP_8[[#This Row],[LE2 Final Submission]]</f>
        <v>-13250</v>
      </c>
      <c r="AN395" s="79">
        <v>1500</v>
      </c>
      <c r="AO395" s="79">
        <f t="shared" si="28"/>
        <v>-1500</v>
      </c>
      <c r="AP395" s="374">
        <f>SUM(ERP_8[[#This Row],[AP01]:[AP07]])-SUM(ERP_8[[#This Row],[AP01 LE2]:[AP07 LE2]])</f>
        <v>-5750</v>
      </c>
      <c r="AQ395" s="80"/>
      <c r="AR395" s="79">
        <f>ERP_8[[#This Row],[2026 Working Total to Budget/LE]]-ERP_8[[#This Row],[Giveback]]</f>
        <v>-13250</v>
      </c>
      <c r="AS395" s="81"/>
      <c r="AT395" s="375"/>
      <c r="AU395" s="375">
        <v>1512.59</v>
      </c>
      <c r="AV395" s="375">
        <v>814.25</v>
      </c>
      <c r="AW395" s="375">
        <v>1250</v>
      </c>
      <c r="AX395" s="375">
        <v>1500</v>
      </c>
      <c r="AY395" s="375">
        <v>1500</v>
      </c>
      <c r="AZ395" s="375">
        <v>1500</v>
      </c>
      <c r="BA395" s="375">
        <v>1500</v>
      </c>
      <c r="BB395" s="375">
        <v>1500</v>
      </c>
      <c r="BC395" s="375">
        <v>1500</v>
      </c>
      <c r="BD395" s="375">
        <v>1500</v>
      </c>
      <c r="BE395" s="375">
        <v>1500</v>
      </c>
      <c r="BF395" s="375">
        <v>15576.84</v>
      </c>
      <c r="BG395" s="79"/>
      <c r="BH395" s="79">
        <v>1512.59</v>
      </c>
      <c r="BI395" s="79">
        <v>814.25</v>
      </c>
      <c r="BJ395" s="79">
        <v>1250</v>
      </c>
      <c r="BK395" s="79">
        <v>1500</v>
      </c>
      <c r="BL395" s="79">
        <v>1500</v>
      </c>
      <c r="BM395" s="79">
        <v>1500</v>
      </c>
      <c r="BN395" s="79">
        <v>1500</v>
      </c>
      <c r="BO395" s="79">
        <v>1500</v>
      </c>
      <c r="BP395" s="79">
        <v>1500</v>
      </c>
      <c r="BQ395" s="79">
        <v>1500</v>
      </c>
      <c r="BR395" s="79">
        <v>1500</v>
      </c>
      <c r="BS395" s="79">
        <v>15576.84</v>
      </c>
    </row>
    <row r="396" spans="1:71" ht="15" hidden="1" customHeight="1">
      <c r="A396" s="66" t="s">
        <v>2194</v>
      </c>
      <c r="B396" s="737" t="s">
        <v>633</v>
      </c>
      <c r="C396" s="346"/>
      <c r="D396" s="343" t="str">
        <f>_xlfn.TEXTJOIN("_",FALSE,E396,ERP_8[[#This Row],[Expense Category]],ERP_8[[#This Row],[Project Code*]])</f>
        <v>Jajodia, Amit_RENT AND UTILITIES_MISC001</v>
      </c>
      <c r="E396" s="343" t="s">
        <v>1515</v>
      </c>
      <c r="F396" s="346"/>
      <c r="G396" s="150" t="s">
        <v>1136</v>
      </c>
      <c r="H396" s="150" t="s">
        <v>1345</v>
      </c>
      <c r="I396" s="150" t="s">
        <v>1515</v>
      </c>
      <c r="J396" s="150" t="s">
        <v>1346</v>
      </c>
      <c r="K396" s="511" t="s">
        <v>629</v>
      </c>
      <c r="L396" s="392" t="s">
        <v>1327</v>
      </c>
      <c r="M396" s="343"/>
      <c r="N396" s="800"/>
      <c r="O396" s="70" t="s">
        <v>147</v>
      </c>
      <c r="P396" s="346"/>
      <c r="Q396" s="343"/>
      <c r="R396" s="346"/>
      <c r="S396" s="150" t="s">
        <v>25</v>
      </c>
      <c r="T396" s="150"/>
      <c r="U396" s="403"/>
      <c r="V396" s="406">
        <v>0</v>
      </c>
      <c r="W396" s="406">
        <v>1.999999999999999E-2</v>
      </c>
      <c r="X396" s="425"/>
      <c r="Y396" s="71"/>
      <c r="Z396" s="784"/>
      <c r="AA396" s="794">
        <v>0.21</v>
      </c>
      <c r="AB396" s="794">
        <v>-0.19</v>
      </c>
      <c r="AC396" s="428">
        <v>0</v>
      </c>
      <c r="AD396" s="429">
        <v>2430.29</v>
      </c>
      <c r="AE396" s="429">
        <v>1250.79</v>
      </c>
      <c r="AF396" s="429">
        <v>0</v>
      </c>
      <c r="AG396" s="360">
        <v>0</v>
      </c>
      <c r="AH396" s="360">
        <v>0</v>
      </c>
      <c r="AI396" s="360">
        <v>0</v>
      </c>
      <c r="AJ396" s="360">
        <v>0</v>
      </c>
      <c r="AK396" s="360">
        <v>0</v>
      </c>
      <c r="AL396" s="360">
        <f t="shared" si="27"/>
        <v>3681.1</v>
      </c>
      <c r="AM396" s="362">
        <f>ERP_8[[#This Row],[2026 Working Total]]-ERP_8[[#This Row],[LE2 Final Submission]]</f>
        <v>3681.08</v>
      </c>
      <c r="AN396" s="79">
        <v>0</v>
      </c>
      <c r="AO396" s="79">
        <f t="shared" si="28"/>
        <v>1250.79</v>
      </c>
      <c r="AP396" s="374">
        <f>SUM(ERP_8[[#This Row],[AP01]:[AP07]])-SUM(ERP_8[[#This Row],[AP01 LE2]:[AP07 LE2]])</f>
        <v>3681.08</v>
      </c>
      <c r="AQ396" s="80"/>
      <c r="AR396" s="79">
        <f>ERP_8[[#This Row],[2026 Working Total to Budget/LE]]-ERP_8[[#This Row],[Giveback]]</f>
        <v>3681.08</v>
      </c>
      <c r="AS396" s="81"/>
      <c r="AT396" s="375"/>
      <c r="AU396" s="375">
        <v>0.21</v>
      </c>
      <c r="AV396" s="375">
        <v>-0.19</v>
      </c>
      <c r="AW396" s="375">
        <v>0</v>
      </c>
      <c r="AX396" s="375">
        <v>0</v>
      </c>
      <c r="AY396" s="375">
        <v>0</v>
      </c>
      <c r="AZ396" s="375">
        <v>0</v>
      </c>
      <c r="BA396" s="375">
        <v>0</v>
      </c>
      <c r="BB396" s="375">
        <v>0</v>
      </c>
      <c r="BC396" s="375">
        <v>0</v>
      </c>
      <c r="BD396" s="375">
        <v>0</v>
      </c>
      <c r="BE396" s="375">
        <v>0</v>
      </c>
      <c r="BF396" s="375">
        <v>1.999999999999999E-2</v>
      </c>
      <c r="BG396" s="79"/>
      <c r="BH396" s="79">
        <v>0.21</v>
      </c>
      <c r="BI396" s="79">
        <v>-0.19</v>
      </c>
      <c r="BJ396" s="79">
        <v>0</v>
      </c>
      <c r="BK396" s="79">
        <v>0</v>
      </c>
      <c r="BL396" s="79">
        <v>0</v>
      </c>
      <c r="BM396" s="79">
        <v>0</v>
      </c>
      <c r="BN396" s="79">
        <v>0</v>
      </c>
      <c r="BO396" s="79">
        <v>0</v>
      </c>
      <c r="BP396" s="79">
        <v>0</v>
      </c>
      <c r="BQ396" s="79">
        <v>0</v>
      </c>
      <c r="BR396" s="79">
        <v>0</v>
      </c>
      <c r="BS396" s="79">
        <v>1.999999999999999E-2</v>
      </c>
    </row>
    <row r="397" spans="1:71" ht="15" hidden="1" customHeight="1">
      <c r="A397" s="66" t="s">
        <v>2195</v>
      </c>
      <c r="B397" s="737" t="s">
        <v>2196</v>
      </c>
      <c r="C397" s="346"/>
      <c r="D397" s="343" t="str">
        <f>_xlfn.TEXTJOIN("_",FALSE,E397,ERP_8[[#This Row],[Expense Category]],ERP_8[[#This Row],[Project Code*]])</f>
        <v>Patel, Apurva_RENT AND UTILITIES_MISC001</v>
      </c>
      <c r="E397" s="343" t="s">
        <v>1566</v>
      </c>
      <c r="F397" s="346"/>
      <c r="G397" s="150" t="s">
        <v>1136</v>
      </c>
      <c r="H397" s="150" t="s">
        <v>1345</v>
      </c>
      <c r="I397" s="150" t="s">
        <v>1346</v>
      </c>
      <c r="J397" s="150" t="s">
        <v>1346</v>
      </c>
      <c r="K397" s="511" t="s">
        <v>629</v>
      </c>
      <c r="L397" s="392" t="s">
        <v>1327</v>
      </c>
      <c r="M397" s="343"/>
      <c r="N397" s="800"/>
      <c r="O397" s="70" t="s">
        <v>147</v>
      </c>
      <c r="P397" s="346"/>
      <c r="Q397" s="343"/>
      <c r="R397" s="346"/>
      <c r="S397" s="150" t="s">
        <v>25</v>
      </c>
      <c r="T397" s="150"/>
      <c r="U397" s="403"/>
      <c r="V397" s="406">
        <v>0</v>
      </c>
      <c r="W397" s="406">
        <v>7191.02</v>
      </c>
      <c r="X397" s="425"/>
      <c r="Y397" s="71"/>
      <c r="Z397" s="784">
        <v>843.69</v>
      </c>
      <c r="AA397" s="794">
        <v>4879.99</v>
      </c>
      <c r="AB397" s="794">
        <v>1467.34</v>
      </c>
      <c r="AC397" s="429" t="s">
        <v>1142</v>
      </c>
      <c r="AD397" s="429">
        <v>0</v>
      </c>
      <c r="AE397" s="429">
        <v>237.8</v>
      </c>
      <c r="AF397" s="429">
        <v>0</v>
      </c>
      <c r="AG397" s="360">
        <v>0</v>
      </c>
      <c r="AH397" s="360">
        <v>0</v>
      </c>
      <c r="AI397" s="360">
        <v>0</v>
      </c>
      <c r="AJ397" s="360">
        <v>0</v>
      </c>
      <c r="AK397" s="360">
        <v>0</v>
      </c>
      <c r="AL397" s="360">
        <f t="shared" si="27"/>
        <v>7428.8200000000006</v>
      </c>
      <c r="AM397" s="362">
        <f>ERP_8[[#This Row],[2026 Working Total]]-ERP_8[[#This Row],[LE2 Final Submission]]</f>
        <v>237.80000000000018</v>
      </c>
      <c r="AN397" s="79">
        <v>0</v>
      </c>
      <c r="AO397" s="79">
        <f t="shared" si="28"/>
        <v>237.8</v>
      </c>
      <c r="AP397" s="374">
        <f>SUM(ERP_8[[#This Row],[AP01]:[AP07]])-SUM(ERP_8[[#This Row],[AP01 LE2]:[AP07 LE2]])</f>
        <v>237.80000000000018</v>
      </c>
      <c r="AQ397" s="80"/>
      <c r="AR397" s="79">
        <f>ERP_8[[#This Row],[2026 Working Total to Budget/LE]]-ERP_8[[#This Row],[Giveback]]</f>
        <v>237.80000000000018</v>
      </c>
      <c r="AS397" s="81"/>
      <c r="AT397" s="375">
        <v>843.69</v>
      </c>
      <c r="AU397" s="375">
        <v>4879.99</v>
      </c>
      <c r="AV397" s="375">
        <v>1467.34</v>
      </c>
      <c r="AW397" s="375">
        <v>0</v>
      </c>
      <c r="AX397" s="375">
        <v>0</v>
      </c>
      <c r="AY397" s="375">
        <v>0</v>
      </c>
      <c r="AZ397" s="375">
        <v>0</v>
      </c>
      <c r="BA397" s="375">
        <v>0</v>
      </c>
      <c r="BB397" s="375">
        <v>0</v>
      </c>
      <c r="BC397" s="375">
        <v>0</v>
      </c>
      <c r="BD397" s="375">
        <v>0</v>
      </c>
      <c r="BE397" s="375">
        <v>0</v>
      </c>
      <c r="BF397" s="375">
        <v>7191.02</v>
      </c>
      <c r="BG397" s="79">
        <v>843.69</v>
      </c>
      <c r="BH397" s="79">
        <v>4879.99</v>
      </c>
      <c r="BI397" s="79">
        <v>1467.34</v>
      </c>
      <c r="BJ397" s="79">
        <v>0</v>
      </c>
      <c r="BK397" s="79">
        <v>0</v>
      </c>
      <c r="BL397" s="79">
        <v>0</v>
      </c>
      <c r="BM397" s="79">
        <v>0</v>
      </c>
      <c r="BN397" s="79">
        <v>0</v>
      </c>
      <c r="BO397" s="79">
        <v>0</v>
      </c>
      <c r="BP397" s="79">
        <v>0</v>
      </c>
      <c r="BQ397" s="79">
        <v>0</v>
      </c>
      <c r="BR397" s="79">
        <v>0</v>
      </c>
      <c r="BS397" s="79">
        <v>7191.02</v>
      </c>
    </row>
    <row r="398" spans="1:71" ht="15" hidden="1" customHeight="1">
      <c r="A398" s="150" t="s">
        <v>2197</v>
      </c>
      <c r="B398" s="749" t="s">
        <v>2198</v>
      </c>
      <c r="C398" s="348"/>
      <c r="D398" s="347" t="str">
        <f>_xlfn.TEXTJOIN("_",FALSE,E398,ERP_8[[#This Row],[Expense Category]],ERP_8[[#This Row],[Project Code*]])</f>
        <v>Patel, Apurva_RENT AND UTILITIES_MISC001</v>
      </c>
      <c r="E398" s="347" t="s">
        <v>1566</v>
      </c>
      <c r="F398" s="348"/>
      <c r="G398" s="150" t="s">
        <v>1136</v>
      </c>
      <c r="H398" s="332" t="s">
        <v>1567</v>
      </c>
      <c r="I398" s="332" t="s">
        <v>1567</v>
      </c>
      <c r="J398" s="333" t="s">
        <v>1567</v>
      </c>
      <c r="K398" s="514" t="s">
        <v>629</v>
      </c>
      <c r="L398" s="394" t="s">
        <v>1327</v>
      </c>
      <c r="M398" s="333"/>
      <c r="N398" s="467" t="s">
        <v>1593</v>
      </c>
      <c r="O398" s="90" t="s">
        <v>147</v>
      </c>
      <c r="P398" s="347"/>
      <c r="Q398" s="347"/>
      <c r="R398" s="348"/>
      <c r="S398" s="348"/>
      <c r="T398" s="348"/>
      <c r="U398" s="402"/>
      <c r="V398" s="406"/>
      <c r="W398" s="406"/>
      <c r="X398" s="425"/>
      <c r="Y398" s="71"/>
      <c r="Z398" s="784"/>
      <c r="AA398" s="780"/>
      <c r="AB398" s="780"/>
      <c r="AC398" s="436"/>
      <c r="AD398" s="429">
        <v>0</v>
      </c>
      <c r="AE398" s="429">
        <v>0</v>
      </c>
      <c r="AF398" s="429">
        <v>0</v>
      </c>
      <c r="AG398" s="364"/>
      <c r="AH398" s="364"/>
      <c r="AI398" s="364"/>
      <c r="AJ398" s="364"/>
      <c r="AK398" s="364"/>
      <c r="AL398" s="360">
        <f t="shared" si="27"/>
        <v>0</v>
      </c>
      <c r="AM398" s="362">
        <f>ERP_8[[#This Row],[2026 Working Total]]-ERP_8[[#This Row],[LE2 Final Submission]]</f>
        <v>0</v>
      </c>
      <c r="AN398" s="79"/>
      <c r="AO398" s="79">
        <f t="shared" si="28"/>
        <v>0</v>
      </c>
      <c r="AP398" s="374">
        <f>SUM(ERP_8[[#This Row],[AP01]:[AP07]])-SUM(ERP_8[[#This Row],[AP01 LE2]:[AP07 LE2]])</f>
        <v>0</v>
      </c>
      <c r="AQ398" s="80"/>
      <c r="AR398" s="79">
        <f>ERP_8[[#This Row],[2026 Working Total to Budget/LE]]-ERP_8[[#This Row],[Giveback]]</f>
        <v>0</v>
      </c>
      <c r="AS398" s="81"/>
      <c r="AT398" s="375"/>
      <c r="AU398" s="375"/>
      <c r="AV398" s="375"/>
      <c r="AW398" s="375"/>
      <c r="AX398" s="375"/>
      <c r="AY398" s="375"/>
      <c r="AZ398" s="375"/>
      <c r="BA398" s="375"/>
      <c r="BB398" s="375"/>
      <c r="BC398" s="375"/>
      <c r="BD398" s="375"/>
      <c r="BE398" s="375"/>
      <c r="BF398" s="375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</row>
    <row r="399" spans="1:71" ht="15" hidden="1" customHeight="1">
      <c r="A399" s="66" t="s">
        <v>2199</v>
      </c>
      <c r="B399" s="737" t="s">
        <v>2200</v>
      </c>
      <c r="C399" s="346"/>
      <c r="D399" s="343" t="str">
        <f>_xlfn.TEXTJOIN("_",FALSE,E399,ERP_8[[#This Row],[Expense Category]],ERP_8[[#This Row],[Project Code*]])</f>
        <v>Patel, Apurva_RENT AND UTILITIES_PR-320001-0000007986</v>
      </c>
      <c r="E399" s="343" t="s">
        <v>1566</v>
      </c>
      <c r="F399" s="346"/>
      <c r="G399" s="150" t="s">
        <v>1136</v>
      </c>
      <c r="H399" s="150" t="s">
        <v>1345</v>
      </c>
      <c r="I399" s="150" t="s">
        <v>1346</v>
      </c>
      <c r="J399" s="150" t="s">
        <v>1346</v>
      </c>
      <c r="K399" s="511" t="s">
        <v>629</v>
      </c>
      <c r="L399" s="392" t="s">
        <v>1648</v>
      </c>
      <c r="M399" s="343"/>
      <c r="N399" s="800"/>
      <c r="O399" s="70" t="s">
        <v>636</v>
      </c>
      <c r="P399" s="346"/>
      <c r="Q399" s="343"/>
      <c r="R399" s="346"/>
      <c r="S399" s="150" t="s">
        <v>25</v>
      </c>
      <c r="T399" s="150"/>
      <c r="U399" s="403"/>
      <c r="V399" s="406">
        <v>0</v>
      </c>
      <c r="W399" s="406">
        <v>961.71</v>
      </c>
      <c r="X399" s="430"/>
      <c r="Y399" s="137"/>
      <c r="Z399" s="784"/>
      <c r="AA399" s="780">
        <v>961.71</v>
      </c>
      <c r="AB399" s="780">
        <v>0</v>
      </c>
      <c r="AC399" s="428" t="s">
        <v>1142</v>
      </c>
      <c r="AD399" s="429">
        <v>0</v>
      </c>
      <c r="AE399" s="429">
        <v>0</v>
      </c>
      <c r="AF399" s="429" t="s">
        <v>1142</v>
      </c>
      <c r="AG399" s="360">
        <v>0</v>
      </c>
      <c r="AH399" s="360">
        <v>0</v>
      </c>
      <c r="AI399" s="360">
        <v>0</v>
      </c>
      <c r="AJ399" s="360">
        <v>0</v>
      </c>
      <c r="AK399" s="360">
        <v>0</v>
      </c>
      <c r="AL399" s="360">
        <f t="shared" si="27"/>
        <v>961.71</v>
      </c>
      <c r="AM399" s="362">
        <f>ERP_8[[#This Row],[2026 Working Total]]-ERP_8[[#This Row],[LE2 Final Submission]]</f>
        <v>0</v>
      </c>
      <c r="AN399" s="79">
        <v>0</v>
      </c>
      <c r="AO399" s="79">
        <f t="shared" si="28"/>
        <v>0</v>
      </c>
      <c r="AP399" s="374">
        <f>SUM(ERP_8[[#This Row],[AP01]:[AP07]])-SUM(ERP_8[[#This Row],[AP01 LE2]:[AP07 LE2]])</f>
        <v>0</v>
      </c>
      <c r="AQ399" s="80"/>
      <c r="AR399" s="79">
        <f>ERP_8[[#This Row],[2026 Working Total to Budget/LE]]-ERP_8[[#This Row],[Giveback]]</f>
        <v>0</v>
      </c>
      <c r="AS399" s="81"/>
      <c r="AT399" s="375"/>
      <c r="AU399" s="375">
        <v>961.71</v>
      </c>
      <c r="AV399" s="375">
        <v>0</v>
      </c>
      <c r="AW399" s="375">
        <v>0</v>
      </c>
      <c r="AX399" s="375">
        <v>0</v>
      </c>
      <c r="AY399" s="375">
        <v>0</v>
      </c>
      <c r="AZ399" s="375">
        <v>0</v>
      </c>
      <c r="BA399" s="375">
        <v>0</v>
      </c>
      <c r="BB399" s="375">
        <v>0</v>
      </c>
      <c r="BC399" s="375">
        <v>0</v>
      </c>
      <c r="BD399" s="375">
        <v>0</v>
      </c>
      <c r="BE399" s="375">
        <v>0</v>
      </c>
      <c r="BF399" s="375">
        <v>961.71</v>
      </c>
      <c r="BG399" s="79"/>
      <c r="BH399" s="79">
        <v>961.71</v>
      </c>
      <c r="BI399" s="79">
        <v>0</v>
      </c>
      <c r="BJ399" s="79">
        <v>0</v>
      </c>
      <c r="BK399" s="79">
        <v>0</v>
      </c>
      <c r="BL399" s="79">
        <v>0</v>
      </c>
      <c r="BM399" s="79">
        <v>0</v>
      </c>
      <c r="BN399" s="79">
        <v>0</v>
      </c>
      <c r="BO399" s="79">
        <v>0</v>
      </c>
      <c r="BP399" s="79">
        <v>0</v>
      </c>
      <c r="BQ399" s="79">
        <v>0</v>
      </c>
      <c r="BR399" s="79">
        <v>0</v>
      </c>
      <c r="BS399" s="79">
        <v>961.71</v>
      </c>
    </row>
    <row r="400" spans="1:71" ht="15" hidden="1" customHeight="1">
      <c r="A400" s="66" t="s">
        <v>2201</v>
      </c>
      <c r="B400" s="737" t="s">
        <v>2202</v>
      </c>
      <c r="C400" s="346"/>
      <c r="D400" s="343" t="str">
        <f>_xlfn.TEXTJOIN("_",FALSE,E400,ERP_8[[#This Row],[Expense Category]],ERP_8[[#This Row],[Project Code*]])</f>
        <v>Patel, Apurva_RENT AND UTILITIES_PR-587101-0000007986</v>
      </c>
      <c r="E400" s="343" t="s">
        <v>1566</v>
      </c>
      <c r="F400" s="346"/>
      <c r="G400" s="150" t="s">
        <v>1136</v>
      </c>
      <c r="H400" s="150" t="s">
        <v>1345</v>
      </c>
      <c r="I400" s="150" t="s">
        <v>1346</v>
      </c>
      <c r="J400" s="150" t="s">
        <v>1346</v>
      </c>
      <c r="K400" s="511" t="s">
        <v>629</v>
      </c>
      <c r="L400" s="392" t="s">
        <v>1648</v>
      </c>
      <c r="M400" s="343"/>
      <c r="N400" s="800"/>
      <c r="O400" s="70" t="s">
        <v>323</v>
      </c>
      <c r="P400" s="346"/>
      <c r="Q400" s="343"/>
      <c r="R400" s="346"/>
      <c r="S400" s="150" t="s">
        <v>25</v>
      </c>
      <c r="T400" s="150"/>
      <c r="U400" s="403"/>
      <c r="V400" s="406">
        <v>0</v>
      </c>
      <c r="W400" s="406">
        <v>1672.26</v>
      </c>
      <c r="X400" s="425"/>
      <c r="Y400" s="71"/>
      <c r="Z400" s="784"/>
      <c r="AA400" s="780">
        <v>1672.26</v>
      </c>
      <c r="AB400" s="780">
        <v>0</v>
      </c>
      <c r="AC400" s="428" t="s">
        <v>1142</v>
      </c>
      <c r="AD400" s="429">
        <v>0</v>
      </c>
      <c r="AE400" s="429">
        <v>0</v>
      </c>
      <c r="AF400" s="429" t="s">
        <v>1142</v>
      </c>
      <c r="AG400" s="360">
        <v>0</v>
      </c>
      <c r="AH400" s="360">
        <v>0</v>
      </c>
      <c r="AI400" s="360">
        <v>0</v>
      </c>
      <c r="AJ400" s="360">
        <v>0</v>
      </c>
      <c r="AK400" s="360">
        <v>0</v>
      </c>
      <c r="AL400" s="360">
        <f t="shared" si="27"/>
        <v>1672.26</v>
      </c>
      <c r="AM400" s="362">
        <f>ERP_8[[#This Row],[2026 Working Total]]-ERP_8[[#This Row],[LE2 Final Submission]]</f>
        <v>0</v>
      </c>
      <c r="AN400" s="79">
        <v>0</v>
      </c>
      <c r="AO400" s="79">
        <f t="shared" si="28"/>
        <v>0</v>
      </c>
      <c r="AP400" s="374">
        <f>SUM(ERP_8[[#This Row],[AP01]:[AP07]])-SUM(ERP_8[[#This Row],[AP01 LE2]:[AP07 LE2]])</f>
        <v>0</v>
      </c>
      <c r="AQ400" s="80"/>
      <c r="AR400" s="79">
        <f>ERP_8[[#This Row],[2026 Working Total to Budget/LE]]-ERP_8[[#This Row],[Giveback]]</f>
        <v>0</v>
      </c>
      <c r="AS400" s="81"/>
      <c r="AT400" s="375"/>
      <c r="AU400" s="375">
        <v>1672.26</v>
      </c>
      <c r="AV400" s="375">
        <v>0</v>
      </c>
      <c r="AW400" s="375">
        <v>0</v>
      </c>
      <c r="AX400" s="375">
        <v>0</v>
      </c>
      <c r="AY400" s="375">
        <v>0</v>
      </c>
      <c r="AZ400" s="375">
        <v>0</v>
      </c>
      <c r="BA400" s="375">
        <v>0</v>
      </c>
      <c r="BB400" s="375">
        <v>0</v>
      </c>
      <c r="BC400" s="375">
        <v>0</v>
      </c>
      <c r="BD400" s="375">
        <v>0</v>
      </c>
      <c r="BE400" s="375">
        <v>0</v>
      </c>
      <c r="BF400" s="375">
        <v>1672.26</v>
      </c>
      <c r="BG400" s="79"/>
      <c r="BH400" s="79">
        <v>1672.26</v>
      </c>
      <c r="BI400" s="79">
        <v>0</v>
      </c>
      <c r="BJ400" s="79">
        <v>0</v>
      </c>
      <c r="BK400" s="79">
        <v>0</v>
      </c>
      <c r="BL400" s="79">
        <v>0</v>
      </c>
      <c r="BM400" s="79">
        <v>0</v>
      </c>
      <c r="BN400" s="79">
        <v>0</v>
      </c>
      <c r="BO400" s="79">
        <v>0</v>
      </c>
      <c r="BP400" s="79">
        <v>0</v>
      </c>
      <c r="BQ400" s="79">
        <v>0</v>
      </c>
      <c r="BR400" s="79">
        <v>0</v>
      </c>
      <c r="BS400" s="79">
        <v>1672.26</v>
      </c>
    </row>
    <row r="401" spans="1:71" ht="15" hidden="1" customHeight="1">
      <c r="A401" s="79" t="s">
        <v>2203</v>
      </c>
      <c r="B401" s="749" t="s">
        <v>2204</v>
      </c>
      <c r="C401" s="348"/>
      <c r="D401" s="347" t="str">
        <f>_xlfn.TEXTJOIN("_",FALSE,E401,ERP_8[[#This Row],[Expense Category]],ERP_8[[#This Row],[Project Code*]])</f>
        <v>Dougherty, Chris_SOFTWARE_</v>
      </c>
      <c r="E401" s="347" t="s">
        <v>1135</v>
      </c>
      <c r="F401" s="348"/>
      <c r="G401" s="150" t="s">
        <v>1136</v>
      </c>
      <c r="H401" s="150" t="s">
        <v>1135</v>
      </c>
      <c r="I401" s="332" t="s">
        <v>1135</v>
      </c>
      <c r="J401" s="331" t="s">
        <v>1346</v>
      </c>
      <c r="K401" s="514" t="s">
        <v>639</v>
      </c>
      <c r="L401" s="394" t="s">
        <v>2205</v>
      </c>
      <c r="M401" s="343" t="s">
        <v>2206</v>
      </c>
      <c r="N401" s="801"/>
      <c r="O401" s="90"/>
      <c r="P401" s="347"/>
      <c r="Q401" s="343"/>
      <c r="R401" s="348"/>
      <c r="S401" s="348"/>
      <c r="T401" s="348" t="s">
        <v>2207</v>
      </c>
      <c r="U401" s="402"/>
      <c r="V401" s="358"/>
      <c r="W401" s="379">
        <v>624226</v>
      </c>
      <c r="X401" s="430"/>
      <c r="Y401" s="137"/>
      <c r="Z401" s="784"/>
      <c r="AA401" s="780"/>
      <c r="AB401" s="780"/>
      <c r="AC401" s="428" t="s">
        <v>1142</v>
      </c>
      <c r="AD401" s="429">
        <v>0</v>
      </c>
      <c r="AE401" s="429">
        <v>0</v>
      </c>
      <c r="AF401" s="429" t="s">
        <v>1142</v>
      </c>
      <c r="AG401" s="364"/>
      <c r="AH401" s="364"/>
      <c r="AI401" s="364"/>
      <c r="AJ401" s="364"/>
      <c r="AK401" s="832">
        <v>624226</v>
      </c>
      <c r="AL401" s="833">
        <f t="shared" si="27"/>
        <v>624226</v>
      </c>
      <c r="AM401" s="362">
        <f>ERP_8[[#This Row],[2026 Working Total]]-ERP_8[[#This Row],[LE2 Final Submission]]</f>
        <v>0</v>
      </c>
      <c r="AN401" s="79"/>
      <c r="AO401" s="79">
        <f t="shared" si="28"/>
        <v>0</v>
      </c>
      <c r="AP401" s="374">
        <f>SUM(ERP_8[[#This Row],[AP01]:[AP07]])-SUM(ERP_8[[#This Row],[AP01 LE2]:[AP07 LE2]])</f>
        <v>0</v>
      </c>
      <c r="AQ401" s="80"/>
      <c r="AR401" s="79">
        <f>ERP_8[[#This Row],[2026 Working Total to Budget/LE]]-ERP_8[[#This Row],[Giveback]]</f>
        <v>0</v>
      </c>
      <c r="AS401" s="81"/>
      <c r="AT401" s="375"/>
      <c r="AU401" s="375"/>
      <c r="AV401" s="375"/>
      <c r="AW401" s="375"/>
      <c r="AX401" s="375"/>
      <c r="AY401" s="375"/>
      <c r="AZ401" s="375"/>
      <c r="BA401" s="375"/>
      <c r="BB401" s="375"/>
      <c r="BC401" s="375"/>
      <c r="BD401" s="375"/>
      <c r="BE401" s="375">
        <v>624226</v>
      </c>
      <c r="BF401" s="375">
        <v>624226</v>
      </c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</row>
    <row r="402" spans="1:71" ht="15" hidden="1" customHeight="1">
      <c r="A402" s="66" t="s">
        <v>2208</v>
      </c>
      <c r="B402" s="737" t="s">
        <v>641</v>
      </c>
      <c r="C402" s="346"/>
      <c r="D402" s="343" t="str">
        <f>_xlfn.TEXTJOIN("_",FALSE,E402,ERP_8[[#This Row],[Expense Category]],ERP_8[[#This Row],[Project Code*]])</f>
        <v>Dougherty, Chris_SOFTWARE_2026-XFR-0007-A</v>
      </c>
      <c r="E402" s="343" t="s">
        <v>1135</v>
      </c>
      <c r="F402" s="346"/>
      <c r="G402" s="150" t="s">
        <v>1136</v>
      </c>
      <c r="H402" s="150" t="s">
        <v>1135</v>
      </c>
      <c r="I402" s="150" t="s">
        <v>1135</v>
      </c>
      <c r="J402" s="150" t="s">
        <v>1137</v>
      </c>
      <c r="K402" s="511" t="s">
        <v>639</v>
      </c>
      <c r="L402" s="392" t="s">
        <v>2209</v>
      </c>
      <c r="M402" s="343"/>
      <c r="N402" s="800"/>
      <c r="O402" s="157" t="s">
        <v>642</v>
      </c>
      <c r="P402" s="346"/>
      <c r="Q402" s="343"/>
      <c r="R402" s="346"/>
      <c r="S402" s="150" t="s">
        <v>152</v>
      </c>
      <c r="T402" s="348"/>
      <c r="U402" s="403"/>
      <c r="V402" s="406">
        <v>103465.00000000001</v>
      </c>
      <c r="W402" s="406">
        <v>77598.720000000001</v>
      </c>
      <c r="X402" s="425"/>
      <c r="Y402" s="71"/>
      <c r="Z402" s="784"/>
      <c r="AA402" s="780"/>
      <c r="AB402" s="780"/>
      <c r="AC402" s="428" t="s">
        <v>1142</v>
      </c>
      <c r="AD402" s="429">
        <v>0</v>
      </c>
      <c r="AE402" s="429">
        <v>0</v>
      </c>
      <c r="AF402" s="429">
        <v>0</v>
      </c>
      <c r="AG402" s="831">
        <v>20693</v>
      </c>
      <c r="AH402" s="831">
        <v>20693</v>
      </c>
      <c r="AI402" s="831">
        <v>20693</v>
      </c>
      <c r="AJ402" s="831">
        <v>20693</v>
      </c>
      <c r="AK402" s="831">
        <v>20693</v>
      </c>
      <c r="AL402" s="833">
        <f t="shared" si="27"/>
        <v>103465</v>
      </c>
      <c r="AM402" s="362">
        <f>ERP_8[[#This Row],[2026 Working Total]]-ERP_8[[#This Row],[LE2 Final Submission]]</f>
        <v>25866.28</v>
      </c>
      <c r="AN402" s="79">
        <v>0</v>
      </c>
      <c r="AO402" s="79">
        <f>$AF402 - $AN402</f>
        <v>0</v>
      </c>
      <c r="AP402" s="374">
        <f>SUM(ERP_8[[#This Row],[AP01]:[AP07]])-SUM(ERP_8[[#This Row],[AP01 LE2]:[AP07 LE2]])</f>
        <v>-34488.32</v>
      </c>
      <c r="AQ402" s="80"/>
      <c r="AR402" s="79">
        <f>ERP_8[[#This Row],[2026 Working Total to Budget/LE]]-ERP_8[[#This Row],[Giveback]]</f>
        <v>25866.28</v>
      </c>
      <c r="AS402" s="81"/>
      <c r="AT402" s="375"/>
      <c r="AU402" s="375"/>
      <c r="AV402" s="375"/>
      <c r="AW402" s="375">
        <v>8622.08</v>
      </c>
      <c r="AX402" s="375">
        <v>8622.08</v>
      </c>
      <c r="AY402" s="375">
        <v>8622.08</v>
      </c>
      <c r="AZ402" s="375">
        <v>8622.08</v>
      </c>
      <c r="BA402" s="375">
        <v>8622.08</v>
      </c>
      <c r="BB402" s="375">
        <v>8622.08</v>
      </c>
      <c r="BC402" s="375">
        <v>8622.08</v>
      </c>
      <c r="BD402" s="375">
        <v>8622.08</v>
      </c>
      <c r="BE402" s="375">
        <v>8622.08</v>
      </c>
      <c r="BF402" s="375">
        <v>77598.720000000001</v>
      </c>
      <c r="BG402" s="79"/>
      <c r="BH402" s="79"/>
      <c r="BI402" s="79"/>
      <c r="BJ402" s="79">
        <v>8622.08</v>
      </c>
      <c r="BK402" s="79">
        <v>8622.08</v>
      </c>
      <c r="BL402" s="79">
        <v>8622.08</v>
      </c>
      <c r="BM402" s="79">
        <v>8622.08</v>
      </c>
      <c r="BN402" s="79">
        <v>8622.08</v>
      </c>
      <c r="BO402" s="79">
        <v>8622.08</v>
      </c>
      <c r="BP402" s="79">
        <v>8622.08</v>
      </c>
      <c r="BQ402" s="79">
        <v>8622.08</v>
      </c>
      <c r="BR402" s="79">
        <v>8622.08</v>
      </c>
      <c r="BS402" s="79">
        <v>77598.720000000001</v>
      </c>
    </row>
    <row r="403" spans="1:71" ht="15" hidden="1" customHeight="1">
      <c r="A403" s="66" t="s">
        <v>2210</v>
      </c>
      <c r="B403" s="737" t="s">
        <v>643</v>
      </c>
      <c r="C403" s="346"/>
      <c r="D403" s="343" t="str">
        <f>_xlfn.TEXTJOIN("_",FALSE,E403,ERP_8[[#This Row],[Expense Category]],ERP_8[[#This Row],[Project Code*]])</f>
        <v>Dougherty, Chris_SOFTWARE_2026-XFR-0013-A</v>
      </c>
      <c r="E403" s="343" t="s">
        <v>1135</v>
      </c>
      <c r="F403" s="346"/>
      <c r="G403" s="150" t="s">
        <v>1136</v>
      </c>
      <c r="H403" s="150" t="s">
        <v>1135</v>
      </c>
      <c r="I403" s="150" t="s">
        <v>1135</v>
      </c>
      <c r="J403" s="150" t="s">
        <v>1137</v>
      </c>
      <c r="K403" s="511" t="s">
        <v>639</v>
      </c>
      <c r="L403" s="392" t="s">
        <v>2211</v>
      </c>
      <c r="M403" s="343"/>
      <c r="N403" s="800"/>
      <c r="O403" s="157" t="s">
        <v>644</v>
      </c>
      <c r="P403" s="346"/>
      <c r="Q403" s="343"/>
      <c r="R403" s="346"/>
      <c r="S403" s="150" t="s">
        <v>152</v>
      </c>
      <c r="T403" s="150" t="s">
        <v>2212</v>
      </c>
      <c r="U403" s="403"/>
      <c r="V403" s="406">
        <v>204127.99999999994</v>
      </c>
      <c r="W403" s="406">
        <v>204128</v>
      </c>
      <c r="X403" s="425"/>
      <c r="Y403" s="71"/>
      <c r="Z403" s="784"/>
      <c r="AA403" s="780"/>
      <c r="AB403" s="780"/>
      <c r="AC403" s="428" t="s">
        <v>1142</v>
      </c>
      <c r="AD403" s="429">
        <v>0</v>
      </c>
      <c r="AE403" s="429">
        <v>0</v>
      </c>
      <c r="AF403" s="429" t="s">
        <v>1142</v>
      </c>
      <c r="AG403" s="363">
        <f>17010.67-17010.67</f>
        <v>0</v>
      </c>
      <c r="AH403" s="363">
        <f>17010.67-17010.67</f>
        <v>0</v>
      </c>
      <c r="AI403" s="814">
        <f>17010.67-17010.67+204128</f>
        <v>204128</v>
      </c>
      <c r="AJ403" s="363">
        <f>17010.67-17010.67</f>
        <v>0</v>
      </c>
      <c r="AK403" s="363">
        <f>17010.67-17010.67</f>
        <v>0</v>
      </c>
      <c r="AL403" s="833">
        <f t="shared" si="27"/>
        <v>204128</v>
      </c>
      <c r="AM403" s="362">
        <f>ERP_8[[#This Row],[2026 Working Total]]-ERP_8[[#This Row],[LE2 Final Submission]]</f>
        <v>0</v>
      </c>
      <c r="AN403" s="79">
        <v>0</v>
      </c>
      <c r="AO403" s="79">
        <f t="shared" ref="AO403:AO466" si="29">$AE403 - $AN403</f>
        <v>0</v>
      </c>
      <c r="AP403" s="374">
        <f>SUM(ERP_8[[#This Row],[AP01]:[AP07]])-SUM(ERP_8[[#This Row],[AP01 LE2]:[AP07 LE2]])</f>
        <v>0</v>
      </c>
      <c r="AQ403" s="80"/>
      <c r="AR403" s="79">
        <f>ERP_8[[#This Row],[2026 Working Total to Budget/LE]]-ERP_8[[#This Row],[Giveback]]</f>
        <v>0</v>
      </c>
      <c r="AS403" s="81"/>
      <c r="AT403" s="375"/>
      <c r="AU403" s="375"/>
      <c r="AV403" s="375"/>
      <c r="AW403" s="375">
        <v>0</v>
      </c>
      <c r="AX403" s="375">
        <v>0</v>
      </c>
      <c r="AY403" s="375">
        <v>0</v>
      </c>
      <c r="AZ403" s="375">
        <v>0</v>
      </c>
      <c r="BA403" s="375">
        <v>0</v>
      </c>
      <c r="BB403" s="375">
        <v>0</v>
      </c>
      <c r="BC403" s="375">
        <v>204128</v>
      </c>
      <c r="BD403" s="375">
        <v>0</v>
      </c>
      <c r="BE403" s="375">
        <v>0</v>
      </c>
      <c r="BF403" s="375">
        <v>204128</v>
      </c>
      <c r="BG403" s="79"/>
      <c r="BH403" s="79"/>
      <c r="BI403" s="79"/>
      <c r="BJ403" s="79">
        <v>17010.669999999998</v>
      </c>
      <c r="BK403" s="79">
        <v>17010.669999999998</v>
      </c>
      <c r="BL403" s="79">
        <v>17010.669999999998</v>
      </c>
      <c r="BM403" s="79">
        <v>17010.669999999998</v>
      </c>
      <c r="BN403" s="79">
        <v>17010.669999999998</v>
      </c>
      <c r="BO403" s="79">
        <v>17010.669999999998</v>
      </c>
      <c r="BP403" s="79">
        <v>17010.669999999998</v>
      </c>
      <c r="BQ403" s="79">
        <v>17010.669999999998</v>
      </c>
      <c r="BR403" s="79">
        <v>17010.669999999998</v>
      </c>
      <c r="BS403" s="79">
        <v>153096.02999999997</v>
      </c>
    </row>
    <row r="404" spans="1:71" ht="15" hidden="1" customHeight="1">
      <c r="A404" s="66" t="s">
        <v>2213</v>
      </c>
      <c r="B404" s="737" t="s">
        <v>645</v>
      </c>
      <c r="C404" s="346"/>
      <c r="D404" s="343" t="str">
        <f>_xlfn.TEXTJOIN("_",FALSE,E404,ERP_8[[#This Row],[Expense Category]],ERP_8[[#This Row],[Project Code*]])</f>
        <v>Dougherty, Chris_SOFTWARE_2026-XFR-0017-A</v>
      </c>
      <c r="E404" s="343" t="s">
        <v>1135</v>
      </c>
      <c r="F404" s="346"/>
      <c r="G404" s="150" t="s">
        <v>1136</v>
      </c>
      <c r="H404" s="150" t="s">
        <v>1135</v>
      </c>
      <c r="I404" s="150" t="s">
        <v>1135</v>
      </c>
      <c r="J404" s="150" t="s">
        <v>1137</v>
      </c>
      <c r="K404" s="511" t="s">
        <v>639</v>
      </c>
      <c r="L404" s="392" t="s">
        <v>2214</v>
      </c>
      <c r="M404" s="343"/>
      <c r="N404" s="800"/>
      <c r="O404" s="70" t="s">
        <v>646</v>
      </c>
      <c r="P404" s="346"/>
      <c r="Q404" s="343"/>
      <c r="R404" s="346"/>
      <c r="S404" s="150" t="s">
        <v>152</v>
      </c>
      <c r="T404" s="840" t="s">
        <v>2215</v>
      </c>
      <c r="U404" s="403"/>
      <c r="V404" s="406">
        <v>0</v>
      </c>
      <c r="W404" s="406">
        <v>650000</v>
      </c>
      <c r="X404" s="430"/>
      <c r="Y404" s="137"/>
      <c r="Z404" s="784"/>
      <c r="AA404" s="780"/>
      <c r="AB404" s="780"/>
      <c r="AC404" s="428" t="s">
        <v>1142</v>
      </c>
      <c r="AD404" s="429">
        <v>0</v>
      </c>
      <c r="AE404" s="429">
        <v>0</v>
      </c>
      <c r="AF404" s="429" t="s">
        <v>1142</v>
      </c>
      <c r="AG404" s="360">
        <v>0</v>
      </c>
      <c r="AH404" s="360">
        <v>0</v>
      </c>
      <c r="AI404" s="815">
        <v>650000</v>
      </c>
      <c r="AJ404" s="360">
        <v>0</v>
      </c>
      <c r="AK404" s="360">
        <v>0</v>
      </c>
      <c r="AL404" s="833">
        <f t="shared" si="27"/>
        <v>650000</v>
      </c>
      <c r="AM404" s="362">
        <f>ERP_8[[#This Row],[2026 Working Total]]-ERP_8[[#This Row],[LE2 Final Submission]]</f>
        <v>0</v>
      </c>
      <c r="AN404" s="79">
        <v>0</v>
      </c>
      <c r="AO404" s="79">
        <f t="shared" si="29"/>
        <v>0</v>
      </c>
      <c r="AP404" s="374">
        <f>SUM(ERP_8[[#This Row],[AP01]:[AP07]])-SUM(ERP_8[[#This Row],[AP01 LE2]:[AP07 LE2]])</f>
        <v>-650000</v>
      </c>
      <c r="AQ404" s="80"/>
      <c r="AR404" s="79">
        <f>ERP_8[[#This Row],[2026 Working Total to Budget/LE]]-ERP_8[[#This Row],[Giveback]]</f>
        <v>0</v>
      </c>
      <c r="AS404" s="81" t="s">
        <v>2216</v>
      </c>
      <c r="AT404" s="375"/>
      <c r="AU404" s="375"/>
      <c r="AV404" s="375"/>
      <c r="AW404" s="375"/>
      <c r="AX404" s="375"/>
      <c r="AY404" s="375">
        <v>650000</v>
      </c>
      <c r="AZ404" s="375">
        <v>0</v>
      </c>
      <c r="BA404" s="375">
        <v>0</v>
      </c>
      <c r="BB404" s="375">
        <v>0</v>
      </c>
      <c r="BC404" s="375">
        <v>0</v>
      </c>
      <c r="BD404" s="375">
        <v>0</v>
      </c>
      <c r="BE404" s="375">
        <v>0</v>
      </c>
      <c r="BF404" s="375">
        <v>650000</v>
      </c>
      <c r="BG404" s="79"/>
      <c r="BH404" s="79"/>
      <c r="BI404" s="79"/>
      <c r="BJ404" s="79"/>
      <c r="BK404" s="79"/>
      <c r="BL404" s="79">
        <v>650000</v>
      </c>
      <c r="BM404" s="79">
        <v>0</v>
      </c>
      <c r="BN404" s="79">
        <v>0</v>
      </c>
      <c r="BO404" s="79">
        <v>0</v>
      </c>
      <c r="BP404" s="79">
        <v>0</v>
      </c>
      <c r="BQ404" s="79">
        <v>0</v>
      </c>
      <c r="BR404" s="79">
        <v>0</v>
      </c>
      <c r="BS404" s="79">
        <v>650000</v>
      </c>
    </row>
    <row r="405" spans="1:71" ht="15" hidden="1" customHeight="1">
      <c r="A405" s="66" t="s">
        <v>2217</v>
      </c>
      <c r="B405" s="737" t="s">
        <v>647</v>
      </c>
      <c r="C405" s="346"/>
      <c r="D405" s="343" t="str">
        <f>_xlfn.TEXTJOIN("_",FALSE,E405,ERP_8[[#This Row],[Expense Category]],ERP_8[[#This Row],[Project Code*]])</f>
        <v>Dougherty, Chris_SOFTWARE_2026-XFR-0017-B</v>
      </c>
      <c r="E405" s="343" t="s">
        <v>1135</v>
      </c>
      <c r="F405" s="346"/>
      <c r="G405" s="150" t="s">
        <v>1136</v>
      </c>
      <c r="H405" s="150" t="s">
        <v>1135</v>
      </c>
      <c r="I405" s="150" t="s">
        <v>1135</v>
      </c>
      <c r="J405" s="150" t="s">
        <v>1137</v>
      </c>
      <c r="K405" s="511" t="s">
        <v>639</v>
      </c>
      <c r="L405" s="392" t="s">
        <v>2218</v>
      </c>
      <c r="M405" s="343"/>
      <c r="N405" s="800"/>
      <c r="O405" s="70" t="s">
        <v>648</v>
      </c>
      <c r="P405" s="346"/>
      <c r="Q405" s="343"/>
      <c r="R405" s="346"/>
      <c r="S405" s="150" t="s">
        <v>152</v>
      </c>
      <c r="T405" s="150" t="s">
        <v>2219</v>
      </c>
      <c r="U405" s="403"/>
      <c r="V405" s="406">
        <v>0</v>
      </c>
      <c r="W405" s="406">
        <v>300000</v>
      </c>
      <c r="X405" s="425"/>
      <c r="Y405" s="71"/>
      <c r="Z405" s="784"/>
      <c r="AA405" s="780"/>
      <c r="AB405" s="780"/>
      <c r="AC405" s="428" t="s">
        <v>1142</v>
      </c>
      <c r="AD405" s="429">
        <v>0</v>
      </c>
      <c r="AE405" s="429">
        <v>0</v>
      </c>
      <c r="AF405" s="429" t="s">
        <v>1142</v>
      </c>
      <c r="AG405" s="360">
        <v>0</v>
      </c>
      <c r="AH405" s="360">
        <v>0</v>
      </c>
      <c r="AI405" s="815">
        <v>300000</v>
      </c>
      <c r="AJ405" s="360">
        <v>0</v>
      </c>
      <c r="AK405" s="360">
        <v>0</v>
      </c>
      <c r="AL405" s="833">
        <f t="shared" si="27"/>
        <v>300000</v>
      </c>
      <c r="AM405" s="362">
        <f>ERP_8[[#This Row],[2026 Working Total]]-ERP_8[[#This Row],[LE2 Final Submission]]</f>
        <v>0</v>
      </c>
      <c r="AN405" s="79">
        <v>0</v>
      </c>
      <c r="AO405" s="79">
        <f t="shared" si="29"/>
        <v>0</v>
      </c>
      <c r="AP405" s="374">
        <f>SUM(ERP_8[[#This Row],[AP01]:[AP07]])-SUM(ERP_8[[#This Row],[AP01 LE2]:[AP07 LE2]])</f>
        <v>-300000</v>
      </c>
      <c r="AQ405" s="80"/>
      <c r="AR405" s="79">
        <f>ERP_8[[#This Row],[2026 Working Total to Budget/LE]]-ERP_8[[#This Row],[Giveback]]</f>
        <v>0</v>
      </c>
      <c r="AS405" s="81" t="s">
        <v>2216</v>
      </c>
      <c r="AT405" s="375"/>
      <c r="AU405" s="375"/>
      <c r="AV405" s="375"/>
      <c r="AW405" s="375"/>
      <c r="AX405" s="375"/>
      <c r="AY405" s="375">
        <v>300000</v>
      </c>
      <c r="AZ405" s="375">
        <v>0</v>
      </c>
      <c r="BA405" s="375">
        <v>0</v>
      </c>
      <c r="BB405" s="375">
        <v>0</v>
      </c>
      <c r="BC405" s="375">
        <v>0</v>
      </c>
      <c r="BD405" s="375">
        <v>0</v>
      </c>
      <c r="BE405" s="375">
        <v>0</v>
      </c>
      <c r="BF405" s="375">
        <v>300000</v>
      </c>
      <c r="BG405" s="79"/>
      <c r="BH405" s="79"/>
      <c r="BI405" s="79"/>
      <c r="BJ405" s="79"/>
      <c r="BK405" s="79"/>
      <c r="BL405" s="79">
        <v>300000</v>
      </c>
      <c r="BM405" s="79">
        <v>0</v>
      </c>
      <c r="BN405" s="79">
        <v>0</v>
      </c>
      <c r="BO405" s="79">
        <v>0</v>
      </c>
      <c r="BP405" s="79">
        <v>0</v>
      </c>
      <c r="BQ405" s="79">
        <v>0</v>
      </c>
      <c r="BR405" s="79">
        <v>0</v>
      </c>
      <c r="BS405" s="79">
        <v>300000</v>
      </c>
    </row>
    <row r="406" spans="1:71" ht="15" hidden="1" customHeight="1">
      <c r="A406" s="66" t="s">
        <v>2220</v>
      </c>
      <c r="B406" s="737" t="s">
        <v>649</v>
      </c>
      <c r="C406" s="346"/>
      <c r="D406" s="343" t="str">
        <f>_xlfn.TEXTJOIN("_",FALSE,E406,ERP_8[[#This Row],[Expense Category]],ERP_8[[#This Row],[Project Code*]])</f>
        <v>Dougherty, Chris_SOFTWARE_2026-XFR-0034-A</v>
      </c>
      <c r="E406" s="343" t="s">
        <v>1135</v>
      </c>
      <c r="F406" s="346"/>
      <c r="G406" s="150" t="s">
        <v>1136</v>
      </c>
      <c r="H406" s="150" t="s">
        <v>1135</v>
      </c>
      <c r="I406" s="150" t="s">
        <v>1135</v>
      </c>
      <c r="J406" s="150" t="s">
        <v>1137</v>
      </c>
      <c r="K406" s="511" t="s">
        <v>639</v>
      </c>
      <c r="L406" s="392" t="s">
        <v>2221</v>
      </c>
      <c r="M406" s="343"/>
      <c r="N406" s="800"/>
      <c r="O406" s="70" t="s">
        <v>650</v>
      </c>
      <c r="P406" s="346"/>
      <c r="Q406" s="343"/>
      <c r="R406" s="346"/>
      <c r="S406" s="150" t="s">
        <v>152</v>
      </c>
      <c r="T406" s="150"/>
      <c r="U406" s="403"/>
      <c r="V406" s="406">
        <v>0</v>
      </c>
      <c r="W406" s="406">
        <v>2475</v>
      </c>
      <c r="X406" s="425"/>
      <c r="Y406" s="71"/>
      <c r="Z406" s="784"/>
      <c r="AA406" s="780"/>
      <c r="AB406" s="780"/>
      <c r="AC406" s="428" t="s">
        <v>1142</v>
      </c>
      <c r="AD406" s="429">
        <v>0</v>
      </c>
      <c r="AE406" s="429">
        <v>0</v>
      </c>
      <c r="AF406" s="429" t="s">
        <v>1142</v>
      </c>
      <c r="AG406" s="363">
        <v>413</v>
      </c>
      <c r="AH406" s="363">
        <v>413</v>
      </c>
      <c r="AI406" s="363">
        <v>412</v>
      </c>
      <c r="AJ406" s="363">
        <v>412</v>
      </c>
      <c r="AK406" s="363">
        <v>412</v>
      </c>
      <c r="AL406" s="360">
        <f t="shared" si="27"/>
        <v>2062</v>
      </c>
      <c r="AM406" s="362">
        <f>ERP_8[[#This Row],[2026 Working Total]]-ERP_8[[#This Row],[LE2 Final Submission]]</f>
        <v>-413</v>
      </c>
      <c r="AN406" s="79">
        <v>0</v>
      </c>
      <c r="AO406" s="79">
        <f t="shared" si="29"/>
        <v>0</v>
      </c>
      <c r="AP406" s="374">
        <f>SUM(ERP_8[[#This Row],[AP01]:[AP07]])-SUM(ERP_8[[#This Row],[AP01 LE2]:[AP07 LE2]])</f>
        <v>-1100</v>
      </c>
      <c r="AQ406" s="80"/>
      <c r="AR406" s="79">
        <f>ERP_8[[#This Row],[2026 Working Total to Budget/LE]]-ERP_8[[#This Row],[Giveback]]</f>
        <v>-413</v>
      </c>
      <c r="AS406" s="81"/>
      <c r="AT406" s="375"/>
      <c r="AU406" s="375"/>
      <c r="AV406" s="375"/>
      <c r="AW406" s="375">
        <v>275</v>
      </c>
      <c r="AX406" s="375">
        <v>275</v>
      </c>
      <c r="AY406" s="375">
        <v>275</v>
      </c>
      <c r="AZ406" s="375">
        <v>275</v>
      </c>
      <c r="BA406" s="375">
        <v>275</v>
      </c>
      <c r="BB406" s="375">
        <v>275</v>
      </c>
      <c r="BC406" s="375">
        <v>275</v>
      </c>
      <c r="BD406" s="375">
        <v>275</v>
      </c>
      <c r="BE406" s="375">
        <v>275</v>
      </c>
      <c r="BF406" s="375">
        <v>2475</v>
      </c>
      <c r="BG406" s="79"/>
      <c r="BH406" s="79"/>
      <c r="BI406" s="79"/>
      <c r="BJ406" s="79">
        <v>275</v>
      </c>
      <c r="BK406" s="79">
        <v>275</v>
      </c>
      <c r="BL406" s="79">
        <v>275</v>
      </c>
      <c r="BM406" s="79">
        <v>275</v>
      </c>
      <c r="BN406" s="79">
        <v>275</v>
      </c>
      <c r="BO406" s="79">
        <v>275</v>
      </c>
      <c r="BP406" s="79">
        <v>275</v>
      </c>
      <c r="BQ406" s="79">
        <v>275</v>
      </c>
      <c r="BR406" s="79">
        <v>275</v>
      </c>
      <c r="BS406" s="79">
        <v>2475</v>
      </c>
    </row>
    <row r="407" spans="1:71" ht="15" hidden="1" customHeight="1">
      <c r="A407" s="66" t="s">
        <v>2222</v>
      </c>
      <c r="B407" s="737" t="s">
        <v>2223</v>
      </c>
      <c r="C407" s="346"/>
      <c r="D407" s="343" t="str">
        <f>_xlfn.TEXTJOIN("_",FALSE,E407,ERP_8[[#This Row],[Expense Category]],ERP_8[[#This Row],[Project Code*]])</f>
        <v>Dougherty, Chris_SOFTWARE_2026-XFR-0036-A</v>
      </c>
      <c r="E407" s="343" t="s">
        <v>1135</v>
      </c>
      <c r="F407" s="346"/>
      <c r="G407" s="150" t="s">
        <v>1136</v>
      </c>
      <c r="H407" s="150" t="s">
        <v>1135</v>
      </c>
      <c r="I407" s="150" t="s">
        <v>1165</v>
      </c>
      <c r="J407" s="150" t="s">
        <v>1137</v>
      </c>
      <c r="K407" s="511" t="s">
        <v>639</v>
      </c>
      <c r="L407" s="392" t="s">
        <v>2224</v>
      </c>
      <c r="M407" s="343"/>
      <c r="N407" s="800"/>
      <c r="O407" s="70" t="s">
        <v>652</v>
      </c>
      <c r="P407" s="346"/>
      <c r="Q407" s="343"/>
      <c r="R407" s="346"/>
      <c r="S407" s="150" t="s">
        <v>152</v>
      </c>
      <c r="T407" s="150"/>
      <c r="U407" s="403"/>
      <c r="V407" s="406">
        <v>0</v>
      </c>
      <c r="W407" s="406">
        <v>-118715.37</v>
      </c>
      <c r="X407" s="425"/>
      <c r="Y407" s="71"/>
      <c r="Z407" s="784"/>
      <c r="AA407" s="780">
        <v>-118715.37</v>
      </c>
      <c r="AB407" s="780">
        <v>0</v>
      </c>
      <c r="AC407" s="428">
        <v>0</v>
      </c>
      <c r="AD407" s="429">
        <v>0</v>
      </c>
      <c r="AE407" s="429">
        <v>0</v>
      </c>
      <c r="AF407" s="429">
        <v>0</v>
      </c>
      <c r="AG407" s="360"/>
      <c r="AH407" s="360">
        <v>0</v>
      </c>
      <c r="AI407" s="360">
        <v>0</v>
      </c>
      <c r="AJ407" s="360">
        <v>0</v>
      </c>
      <c r="AK407" s="360">
        <v>0</v>
      </c>
      <c r="AL407" s="360">
        <f t="shared" si="27"/>
        <v>-118715.37</v>
      </c>
      <c r="AM407" s="362">
        <f>ERP_8[[#This Row],[2026 Working Total]]-ERP_8[[#This Row],[LE2 Final Submission]]</f>
        <v>0</v>
      </c>
      <c r="AN407" s="79">
        <v>0</v>
      </c>
      <c r="AO407" s="79">
        <f t="shared" si="29"/>
        <v>0</v>
      </c>
      <c r="AP407" s="374">
        <f>SUM(ERP_8[[#This Row],[AP01]:[AP07]])-SUM(ERP_8[[#This Row],[AP01 LE2]:[AP07 LE2]])</f>
        <v>0</v>
      </c>
      <c r="AQ407" s="80"/>
      <c r="AR407" s="79">
        <f>ERP_8[[#This Row],[2026 Working Total to Budget/LE]]-ERP_8[[#This Row],[Giveback]]</f>
        <v>0</v>
      </c>
      <c r="AS407" s="81"/>
      <c r="AT407" s="375"/>
      <c r="AU407" s="375">
        <v>-118715.37</v>
      </c>
      <c r="AV407" s="375">
        <v>0</v>
      </c>
      <c r="AW407" s="375">
        <v>0</v>
      </c>
      <c r="AX407" s="375">
        <v>0</v>
      </c>
      <c r="AY407" s="375">
        <v>0</v>
      </c>
      <c r="AZ407" s="375">
        <v>0</v>
      </c>
      <c r="BA407" s="375"/>
      <c r="BB407" s="375">
        <v>0</v>
      </c>
      <c r="BC407" s="375">
        <v>0</v>
      </c>
      <c r="BD407" s="375">
        <v>0</v>
      </c>
      <c r="BE407" s="375">
        <v>0</v>
      </c>
      <c r="BF407" s="375">
        <v>-118715.37</v>
      </c>
      <c r="BG407" s="79"/>
      <c r="BH407" s="79">
        <v>-118715.37</v>
      </c>
      <c r="BI407" s="79">
        <v>0</v>
      </c>
      <c r="BJ407" s="79">
        <v>0</v>
      </c>
      <c r="BK407" s="79">
        <v>0</v>
      </c>
      <c r="BL407" s="79">
        <v>0</v>
      </c>
      <c r="BM407" s="79">
        <v>0</v>
      </c>
      <c r="BN407" s="79">
        <v>0</v>
      </c>
      <c r="BO407" s="79">
        <v>0</v>
      </c>
      <c r="BP407" s="79">
        <v>0</v>
      </c>
      <c r="BQ407" s="79">
        <v>0</v>
      </c>
      <c r="BR407" s="79">
        <v>0</v>
      </c>
      <c r="BS407" s="79">
        <v>-118715.37</v>
      </c>
    </row>
    <row r="408" spans="1:71" ht="15" hidden="1" customHeight="1">
      <c r="A408" s="79" t="s">
        <v>2225</v>
      </c>
      <c r="B408" s="749" t="s">
        <v>2226</v>
      </c>
      <c r="C408" s="348"/>
      <c r="D408" s="347" t="str">
        <f>_xlfn.TEXTJOIN("_",FALSE,E408,ERP_8[[#This Row],[Expense Category]],ERP_8[[#This Row],[Project Code*]])</f>
        <v>Dougherty, Chris_SOFTWARE_2026-XFR-KM001</v>
      </c>
      <c r="E408" s="347" t="s">
        <v>1135</v>
      </c>
      <c r="F408" s="348"/>
      <c r="G408" s="150" t="s">
        <v>1136</v>
      </c>
      <c r="H408" s="332" t="s">
        <v>1135</v>
      </c>
      <c r="I408" s="383" t="s">
        <v>1156</v>
      </c>
      <c r="J408" s="333" t="s">
        <v>1137</v>
      </c>
      <c r="K408" s="512" t="s">
        <v>639</v>
      </c>
      <c r="L408" s="393" t="s">
        <v>2227</v>
      </c>
      <c r="M408" s="343"/>
      <c r="N408" s="801"/>
      <c r="O408" s="91" t="s">
        <v>654</v>
      </c>
      <c r="P408" s="347"/>
      <c r="Q408" s="343"/>
      <c r="R408" s="348"/>
      <c r="S408" s="386" t="s">
        <v>655</v>
      </c>
      <c r="T408" s="387" t="s">
        <v>2228</v>
      </c>
      <c r="U408" s="432"/>
      <c r="V408" s="358">
        <v>282999.99999599991</v>
      </c>
      <c r="W408" s="378">
        <v>0</v>
      </c>
      <c r="X408" s="425"/>
      <c r="Y408" s="71"/>
      <c r="Z408" s="783"/>
      <c r="AA408" s="795"/>
      <c r="AB408" s="795"/>
      <c r="AC408" s="428" t="s">
        <v>1142</v>
      </c>
      <c r="AD408" s="429">
        <v>0</v>
      </c>
      <c r="AE408" s="429">
        <v>0</v>
      </c>
      <c r="AF408" s="429" t="s">
        <v>1142</v>
      </c>
      <c r="AG408" s="388">
        <v>0</v>
      </c>
      <c r="AH408" s="388">
        <v>0</v>
      </c>
      <c r="AI408" s="388">
        <v>0</v>
      </c>
      <c r="AJ408" s="388">
        <v>0</v>
      </c>
      <c r="AK408" s="388">
        <v>0</v>
      </c>
      <c r="AL408" s="360">
        <f t="shared" si="27"/>
        <v>0</v>
      </c>
      <c r="AM408" s="362">
        <f>ERP_8[[#This Row],[2026 Working Total]]-ERP_8[[#This Row],[LE2 Final Submission]]</f>
        <v>0</v>
      </c>
      <c r="AN408" s="79">
        <v>0</v>
      </c>
      <c r="AO408" s="79">
        <f t="shared" si="29"/>
        <v>0</v>
      </c>
      <c r="AP408" s="374">
        <f>SUM(ERP_8[[#This Row],[AP01]:[AP07]])-SUM(ERP_8[[#This Row],[AP01 LE2]:[AP07 LE2]])</f>
        <v>0</v>
      </c>
      <c r="AQ408" s="80">
        <v>-283000</v>
      </c>
      <c r="AR408" s="79">
        <f>ERP_8[[#This Row],[2026 Working Total to Budget/LE]]-ERP_8[[#This Row],[Giveback]]</f>
        <v>283000</v>
      </c>
      <c r="AS408" s="128" t="s">
        <v>2229</v>
      </c>
      <c r="AT408" s="376"/>
      <c r="AU408" s="376"/>
      <c r="AV408" s="376"/>
      <c r="AW408" s="376">
        <v>0</v>
      </c>
      <c r="AX408" s="376">
        <v>0</v>
      </c>
      <c r="AY408" s="376">
        <v>0</v>
      </c>
      <c r="AZ408" s="376">
        <v>0</v>
      </c>
      <c r="BA408" s="376">
        <v>0</v>
      </c>
      <c r="BB408" s="376">
        <v>0</v>
      </c>
      <c r="BC408" s="376">
        <v>0</v>
      </c>
      <c r="BD408" s="376">
        <v>0</v>
      </c>
      <c r="BE408" s="376">
        <v>0</v>
      </c>
      <c r="BF408" s="376">
        <v>0</v>
      </c>
      <c r="BG408" s="103">
        <v>23583.333332999999</v>
      </c>
      <c r="BH408" s="103">
        <v>23583.333332999999</v>
      </c>
      <c r="BI408" s="103">
        <v>23583.333332999999</v>
      </c>
      <c r="BJ408" s="103">
        <v>23583.333332999999</v>
      </c>
      <c r="BK408" s="103">
        <v>23583.333332999999</v>
      </c>
      <c r="BL408" s="103">
        <v>23583.333332999999</v>
      </c>
      <c r="BM408" s="103">
        <v>23583.333332999999</v>
      </c>
      <c r="BN408" s="103">
        <v>23583.333332999999</v>
      </c>
      <c r="BO408" s="103">
        <v>23583.333332999999</v>
      </c>
      <c r="BP408" s="103">
        <v>23583.333332999999</v>
      </c>
      <c r="BQ408" s="103">
        <v>23583.333332999999</v>
      </c>
      <c r="BR408" s="103">
        <v>23583.333332999999</v>
      </c>
      <c r="BS408" s="79">
        <f>SUM(ERP_8[[#This Row],[2026 AP01]:[2026 AP12]])</f>
        <v>282999.99999599991</v>
      </c>
    </row>
    <row r="409" spans="1:71" ht="15" hidden="1" customHeight="1">
      <c r="A409" s="150" t="s">
        <v>2230</v>
      </c>
      <c r="B409" s="749" t="s">
        <v>2231</v>
      </c>
      <c r="C409" s="348"/>
      <c r="D409" s="347" t="str">
        <f>_xlfn.TEXTJOIN("_",FALSE,E409,ERP_8[[#This Row],[Expense Category]],ERP_8[[#This Row],[Project Code*]])</f>
        <v>Dougherty, Chris_SOFTWARE_BILLINGREV001CN</v>
      </c>
      <c r="E409" s="347" t="s">
        <v>1135</v>
      </c>
      <c r="F409" s="348"/>
      <c r="G409" s="150" t="s">
        <v>1136</v>
      </c>
      <c r="H409" s="150" t="s">
        <v>1135</v>
      </c>
      <c r="I409" s="150" t="s">
        <v>1137</v>
      </c>
      <c r="J409" s="150" t="s">
        <v>1137</v>
      </c>
      <c r="K409" s="514" t="s">
        <v>639</v>
      </c>
      <c r="L409" s="394" t="s">
        <v>2232</v>
      </c>
      <c r="M409" s="333"/>
      <c r="N409" s="467" t="s">
        <v>1695</v>
      </c>
      <c r="O409" s="90" t="s">
        <v>657</v>
      </c>
      <c r="P409" s="347"/>
      <c r="Q409" s="347"/>
      <c r="R409" s="348"/>
      <c r="S409" s="348"/>
      <c r="T409" s="1" t="s">
        <v>1141</v>
      </c>
      <c r="U409" s="402"/>
      <c r="V409" s="406"/>
      <c r="W409" s="406"/>
      <c r="X409" s="425"/>
      <c r="Y409" s="71"/>
      <c r="Z409" s="784"/>
      <c r="AA409" s="780"/>
      <c r="AB409" s="780"/>
      <c r="AC409" s="429">
        <v>-4832.8900000000003</v>
      </c>
      <c r="AD409" s="429">
        <v>0</v>
      </c>
      <c r="AE409" s="429">
        <v>0</v>
      </c>
      <c r="AF409" s="429">
        <v>0</v>
      </c>
      <c r="AG409" s="364"/>
      <c r="AH409" s="364"/>
      <c r="AI409" s="364"/>
      <c r="AJ409" s="364"/>
      <c r="AK409" s="364"/>
      <c r="AL409" s="360">
        <f t="shared" si="27"/>
        <v>-4832.8900000000003</v>
      </c>
      <c r="AM409" s="362">
        <f>ERP_8[[#This Row],[2026 Working Total]]-ERP_8[[#This Row],[LE2 Final Submission]]</f>
        <v>-4832.8900000000003</v>
      </c>
      <c r="AN409" s="79">
        <v>0</v>
      </c>
      <c r="AO409" s="79">
        <f t="shared" si="29"/>
        <v>0</v>
      </c>
      <c r="AP409" s="374">
        <f>SUM(ERP_8[[#This Row],[AP01]:[AP07]])-SUM(ERP_8[[#This Row],[AP01 LE2]:[AP07 LE2]])</f>
        <v>-4832.8900000000003</v>
      </c>
      <c r="AQ409" s="80"/>
      <c r="AR409" s="79">
        <f>ERP_8[[#This Row],[2026 Working Total to Budget/LE]]-ERP_8[[#This Row],[Giveback]]</f>
        <v>-4832.8900000000003</v>
      </c>
      <c r="AS409" s="81"/>
      <c r="AT409" s="375"/>
      <c r="AU409" s="375"/>
      <c r="AV409" s="375"/>
      <c r="AW409" s="375"/>
      <c r="AX409" s="375"/>
      <c r="AY409" s="375"/>
      <c r="AZ409" s="375"/>
      <c r="BA409" s="375"/>
      <c r="BB409" s="375"/>
      <c r="BC409" s="375"/>
      <c r="BD409" s="375"/>
      <c r="BE409" s="375"/>
      <c r="BF409" s="375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</row>
    <row r="410" spans="1:71" ht="15" hidden="1" customHeight="1">
      <c r="A410" s="150" t="s">
        <v>2233</v>
      </c>
      <c r="B410" s="749" t="s">
        <v>2234</v>
      </c>
      <c r="C410" s="348"/>
      <c r="D410" s="347" t="str">
        <f>_xlfn.TEXTJOIN("_",FALSE,E410,ERP_8[[#This Row],[Expense Category]],ERP_8[[#This Row],[Project Code*]])</f>
        <v>Dougherty, Chris_SOFTWARE_BILLINGREV009B</v>
      </c>
      <c r="E410" s="347" t="s">
        <v>1135</v>
      </c>
      <c r="F410" s="348"/>
      <c r="G410" s="150" t="s">
        <v>1136</v>
      </c>
      <c r="H410" s="150" t="s">
        <v>1135</v>
      </c>
      <c r="I410" s="150" t="s">
        <v>1137</v>
      </c>
      <c r="J410" s="150" t="s">
        <v>1137</v>
      </c>
      <c r="K410" s="514" t="s">
        <v>639</v>
      </c>
      <c r="L410" s="394" t="s">
        <v>2235</v>
      </c>
      <c r="M410" s="333"/>
      <c r="N410" s="467" t="s">
        <v>1695</v>
      </c>
      <c r="O410" s="90" t="s">
        <v>659</v>
      </c>
      <c r="P410" s="347"/>
      <c r="Q410" s="347"/>
      <c r="R410" s="348"/>
      <c r="S410" s="348"/>
      <c r="T410" s="1" t="s">
        <v>1141</v>
      </c>
      <c r="U410" s="402"/>
      <c r="V410" s="406"/>
      <c r="W410" s="406"/>
      <c r="X410" s="425"/>
      <c r="Y410" s="71"/>
      <c r="Z410" s="784"/>
      <c r="AA410" s="780"/>
      <c r="AB410" s="780"/>
      <c r="AC410" s="429">
        <v>-38080.83</v>
      </c>
      <c r="AD410" s="429">
        <v>0</v>
      </c>
      <c r="AE410" s="429">
        <v>0</v>
      </c>
      <c r="AF410" s="429">
        <v>0</v>
      </c>
      <c r="AG410" s="364"/>
      <c r="AH410" s="364"/>
      <c r="AI410" s="364"/>
      <c r="AJ410" s="364"/>
      <c r="AK410" s="364"/>
      <c r="AL410" s="360">
        <f t="shared" si="27"/>
        <v>-38080.83</v>
      </c>
      <c r="AM410" s="362">
        <f>ERP_8[[#This Row],[2026 Working Total]]-ERP_8[[#This Row],[LE2 Final Submission]]</f>
        <v>-38080.83</v>
      </c>
      <c r="AN410" s="79">
        <v>0</v>
      </c>
      <c r="AO410" s="79">
        <f t="shared" si="29"/>
        <v>0</v>
      </c>
      <c r="AP410" s="374">
        <f>SUM(ERP_8[[#This Row],[AP01]:[AP07]])-SUM(ERP_8[[#This Row],[AP01 LE2]:[AP07 LE2]])</f>
        <v>-38080.83</v>
      </c>
      <c r="AQ410" s="80"/>
      <c r="AR410" s="79">
        <f>ERP_8[[#This Row],[2026 Working Total to Budget/LE]]-ERP_8[[#This Row],[Giveback]]</f>
        <v>-38080.83</v>
      </c>
      <c r="AS410" s="81"/>
      <c r="AT410" s="375"/>
      <c r="AU410" s="375"/>
      <c r="AV410" s="375"/>
      <c r="AW410" s="375"/>
      <c r="AX410" s="375"/>
      <c r="AY410" s="375"/>
      <c r="AZ410" s="375"/>
      <c r="BA410" s="375"/>
      <c r="BB410" s="375"/>
      <c r="BC410" s="375"/>
      <c r="BD410" s="375"/>
      <c r="BE410" s="375"/>
      <c r="BF410" s="375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</row>
    <row r="411" spans="1:71" ht="15" hidden="1" customHeight="1">
      <c r="A411" s="66" t="s">
        <v>2236</v>
      </c>
      <c r="B411" s="737" t="s">
        <v>2237</v>
      </c>
      <c r="C411" s="346"/>
      <c r="D411" s="343" t="str">
        <f>_xlfn.TEXTJOIN("_",FALSE,E411,ERP_8[[#This Row],[Expense Category]],ERP_8[[#This Row],[Project Code*]])</f>
        <v>Dougherty, Chris_SOFTWARE_BillingSweep001</v>
      </c>
      <c r="E411" s="343" t="s">
        <v>1135</v>
      </c>
      <c r="F411" s="346"/>
      <c r="G411" s="150" t="s">
        <v>1136</v>
      </c>
      <c r="H411" s="150" t="s">
        <v>1135</v>
      </c>
      <c r="I411" s="150" t="s">
        <v>1137</v>
      </c>
      <c r="J411" s="150" t="s">
        <v>1137</v>
      </c>
      <c r="K411" s="511" t="s">
        <v>639</v>
      </c>
      <c r="L411" s="392" t="s">
        <v>1685</v>
      </c>
      <c r="M411" s="343"/>
      <c r="N411" s="800"/>
      <c r="O411" s="70" t="s">
        <v>661</v>
      </c>
      <c r="P411" s="346" t="s">
        <v>1139</v>
      </c>
      <c r="Q411" s="346" t="s">
        <v>1140</v>
      </c>
      <c r="R411" s="346"/>
      <c r="S411" s="150" t="s">
        <v>25</v>
      </c>
      <c r="T411" s="150"/>
      <c r="U411" s="404"/>
      <c r="V411" s="407">
        <v>0</v>
      </c>
      <c r="W411" s="407">
        <v>0</v>
      </c>
      <c r="X411" s="425"/>
      <c r="Y411" s="71"/>
      <c r="Z411" s="784">
        <v>-18074.080000000002</v>
      </c>
      <c r="AA411" s="780">
        <v>18074.080000000002</v>
      </c>
      <c r="AB411" s="780">
        <v>0</v>
      </c>
      <c r="AC411" s="428" t="s">
        <v>1142</v>
      </c>
      <c r="AD411" s="429">
        <v>0</v>
      </c>
      <c r="AE411" s="429">
        <v>0</v>
      </c>
      <c r="AF411" s="429" t="s">
        <v>1142</v>
      </c>
      <c r="AG411" s="360">
        <v>0</v>
      </c>
      <c r="AH411" s="360">
        <v>0</v>
      </c>
      <c r="AI411" s="360">
        <v>0</v>
      </c>
      <c r="AJ411" s="360">
        <v>0</v>
      </c>
      <c r="AK411" s="360">
        <v>0</v>
      </c>
      <c r="AL411" s="360">
        <f t="shared" si="27"/>
        <v>0</v>
      </c>
      <c r="AM411" s="362">
        <f>ERP_8[[#This Row],[2026 Working Total]]-ERP_8[[#This Row],[LE2 Final Submission]]</f>
        <v>0</v>
      </c>
      <c r="AN411" s="79">
        <v>0</v>
      </c>
      <c r="AO411" s="79">
        <f t="shared" si="29"/>
        <v>0</v>
      </c>
      <c r="AP411" s="374">
        <f>SUM(ERP_8[[#This Row],[AP01]:[AP07]])-SUM(ERP_8[[#This Row],[AP01 LE2]:[AP07 LE2]])</f>
        <v>0</v>
      </c>
      <c r="AQ411" s="80"/>
      <c r="AR411" s="79">
        <f>ERP_8[[#This Row],[2026 Working Total to Budget/LE]]-ERP_8[[#This Row],[Giveback]]</f>
        <v>0</v>
      </c>
      <c r="AS411" s="81"/>
      <c r="AT411" s="375">
        <v>-18074.080000000002</v>
      </c>
      <c r="AU411" s="375">
        <v>18074.080000000002</v>
      </c>
      <c r="AV411" s="375">
        <v>0</v>
      </c>
      <c r="AW411" s="375">
        <v>0</v>
      </c>
      <c r="AX411" s="375">
        <v>0</v>
      </c>
      <c r="AY411" s="375">
        <v>0</v>
      </c>
      <c r="AZ411" s="375">
        <v>0</v>
      </c>
      <c r="BA411" s="375">
        <v>0</v>
      </c>
      <c r="BB411" s="375">
        <v>0</v>
      </c>
      <c r="BC411" s="375">
        <v>0</v>
      </c>
      <c r="BD411" s="375">
        <v>0</v>
      </c>
      <c r="BE411" s="375">
        <v>0</v>
      </c>
      <c r="BF411" s="375">
        <v>0</v>
      </c>
      <c r="BG411" s="79">
        <v>-18074.080000000002</v>
      </c>
      <c r="BH411" s="79">
        <v>18074.080000000002</v>
      </c>
      <c r="BI411" s="79">
        <v>0</v>
      </c>
      <c r="BJ411" s="79">
        <v>0</v>
      </c>
      <c r="BK411" s="79">
        <v>0</v>
      </c>
      <c r="BL411" s="79">
        <v>0</v>
      </c>
      <c r="BM411" s="79">
        <v>0</v>
      </c>
      <c r="BN411" s="79">
        <v>0</v>
      </c>
      <c r="BO411" s="79">
        <v>0</v>
      </c>
      <c r="BP411" s="79">
        <v>0</v>
      </c>
      <c r="BQ411" s="79">
        <v>0</v>
      </c>
      <c r="BR411" s="79">
        <v>0</v>
      </c>
      <c r="BS411" s="79">
        <v>0</v>
      </c>
    </row>
    <row r="412" spans="1:71" ht="15" hidden="1" customHeight="1">
      <c r="A412" s="66" t="s">
        <v>2238</v>
      </c>
      <c r="B412" s="737" t="s">
        <v>2239</v>
      </c>
      <c r="C412" s="346"/>
      <c r="D412" s="343" t="str">
        <f>_xlfn.TEXTJOIN("_",FALSE,E412,ERP_8[[#This Row],[Expense Category]],ERP_8[[#This Row],[Project Code*]])</f>
        <v>Dougherty, Chris_SOFTWARE_BillingSweep002</v>
      </c>
      <c r="E412" s="343" t="s">
        <v>1135</v>
      </c>
      <c r="F412" s="346"/>
      <c r="G412" s="150" t="s">
        <v>1136</v>
      </c>
      <c r="H412" s="150" t="s">
        <v>1135</v>
      </c>
      <c r="I412" s="150" t="s">
        <v>1137</v>
      </c>
      <c r="J412" s="150" t="s">
        <v>1137</v>
      </c>
      <c r="K412" s="511" t="s">
        <v>639</v>
      </c>
      <c r="L412" s="392" t="s">
        <v>1685</v>
      </c>
      <c r="M412" s="343"/>
      <c r="N412" s="800"/>
      <c r="O412" s="70" t="s">
        <v>663</v>
      </c>
      <c r="P412" s="346" t="s">
        <v>1139</v>
      </c>
      <c r="Q412" s="346" t="s">
        <v>1140</v>
      </c>
      <c r="R412" s="346"/>
      <c r="S412" s="150" t="s">
        <v>25</v>
      </c>
      <c r="T412" s="150"/>
      <c r="U412" s="404"/>
      <c r="V412" s="407">
        <v>0</v>
      </c>
      <c r="W412" s="407">
        <v>0</v>
      </c>
      <c r="X412" s="425"/>
      <c r="Y412" s="71"/>
      <c r="Z412" s="784">
        <v>-1922.23</v>
      </c>
      <c r="AA412" s="780">
        <v>1922.23</v>
      </c>
      <c r="AB412" s="780">
        <v>0</v>
      </c>
      <c r="AC412" s="428" t="s">
        <v>1142</v>
      </c>
      <c r="AD412" s="429">
        <v>0</v>
      </c>
      <c r="AE412" s="429">
        <v>0</v>
      </c>
      <c r="AF412" s="429" t="s">
        <v>1142</v>
      </c>
      <c r="AG412" s="360">
        <v>0</v>
      </c>
      <c r="AH412" s="360">
        <v>0</v>
      </c>
      <c r="AI412" s="360">
        <v>0</v>
      </c>
      <c r="AJ412" s="360">
        <v>0</v>
      </c>
      <c r="AK412" s="360">
        <v>0</v>
      </c>
      <c r="AL412" s="360">
        <f t="shared" si="27"/>
        <v>0</v>
      </c>
      <c r="AM412" s="362">
        <f>ERP_8[[#This Row],[2026 Working Total]]-ERP_8[[#This Row],[LE2 Final Submission]]</f>
        <v>0</v>
      </c>
      <c r="AN412" s="79">
        <v>0</v>
      </c>
      <c r="AO412" s="79">
        <f t="shared" si="29"/>
        <v>0</v>
      </c>
      <c r="AP412" s="374">
        <f>SUM(ERP_8[[#This Row],[AP01]:[AP07]])-SUM(ERP_8[[#This Row],[AP01 LE2]:[AP07 LE2]])</f>
        <v>0</v>
      </c>
      <c r="AQ412" s="80"/>
      <c r="AR412" s="79">
        <f>ERP_8[[#This Row],[2026 Working Total to Budget/LE]]-ERP_8[[#This Row],[Giveback]]</f>
        <v>0</v>
      </c>
      <c r="AS412" s="81"/>
      <c r="AT412" s="375">
        <v>-1922.23</v>
      </c>
      <c r="AU412" s="375">
        <v>1922.23</v>
      </c>
      <c r="AV412" s="375">
        <v>0</v>
      </c>
      <c r="AW412" s="375">
        <v>0</v>
      </c>
      <c r="AX412" s="375">
        <v>0</v>
      </c>
      <c r="AY412" s="375">
        <v>0</v>
      </c>
      <c r="AZ412" s="375">
        <v>0</v>
      </c>
      <c r="BA412" s="375">
        <v>0</v>
      </c>
      <c r="BB412" s="375">
        <v>0</v>
      </c>
      <c r="BC412" s="375">
        <v>0</v>
      </c>
      <c r="BD412" s="375">
        <v>0</v>
      </c>
      <c r="BE412" s="375">
        <v>0</v>
      </c>
      <c r="BF412" s="375">
        <v>0</v>
      </c>
      <c r="BG412" s="79">
        <v>-1922.23</v>
      </c>
      <c r="BH412" s="79">
        <v>1922.23</v>
      </c>
      <c r="BI412" s="79">
        <v>0</v>
      </c>
      <c r="BJ412" s="79">
        <v>0</v>
      </c>
      <c r="BK412" s="79">
        <v>0</v>
      </c>
      <c r="BL412" s="79">
        <v>0</v>
      </c>
      <c r="BM412" s="79">
        <v>0</v>
      </c>
      <c r="BN412" s="79">
        <v>0</v>
      </c>
      <c r="BO412" s="79">
        <v>0</v>
      </c>
      <c r="BP412" s="79">
        <v>0</v>
      </c>
      <c r="BQ412" s="79">
        <v>0</v>
      </c>
      <c r="BR412" s="79">
        <v>0</v>
      </c>
      <c r="BS412" s="79">
        <v>0</v>
      </c>
    </row>
    <row r="413" spans="1:71" ht="15" hidden="1" customHeight="1">
      <c r="A413" s="66" t="s">
        <v>2240</v>
      </c>
      <c r="B413" s="737" t="s">
        <v>2241</v>
      </c>
      <c r="C413" s="346"/>
      <c r="D413" s="343" t="str">
        <f>_xlfn.TEXTJOIN("_",FALSE,E413,ERP_8[[#This Row],[Expense Category]],ERP_8[[#This Row],[Project Code*]])</f>
        <v>Dougherty, Chris_SOFTWARE_BillingSweep006</v>
      </c>
      <c r="E413" s="343" t="s">
        <v>1135</v>
      </c>
      <c r="F413" s="346"/>
      <c r="G413" s="150" t="s">
        <v>1136</v>
      </c>
      <c r="H413" s="150" t="s">
        <v>1135</v>
      </c>
      <c r="I413" s="150" t="s">
        <v>1137</v>
      </c>
      <c r="J413" s="150" t="s">
        <v>1137</v>
      </c>
      <c r="K413" s="511" t="s">
        <v>639</v>
      </c>
      <c r="L413" s="392" t="s">
        <v>1685</v>
      </c>
      <c r="M413" s="343"/>
      <c r="N413" s="800"/>
      <c r="O413" s="70" t="s">
        <v>2242</v>
      </c>
      <c r="P413" s="346" t="s">
        <v>1139</v>
      </c>
      <c r="Q413" s="346" t="s">
        <v>1140</v>
      </c>
      <c r="R413" s="346"/>
      <c r="S413" s="150" t="s">
        <v>25</v>
      </c>
      <c r="T413" s="150"/>
      <c r="U413" s="404"/>
      <c r="V413" s="407">
        <v>0</v>
      </c>
      <c r="W413" s="407">
        <v>0</v>
      </c>
      <c r="X413" s="425"/>
      <c r="Y413" s="71"/>
      <c r="Z413" s="784">
        <v>-11.41</v>
      </c>
      <c r="AA413" s="780">
        <v>11.41</v>
      </c>
      <c r="AB413" s="780">
        <v>0</v>
      </c>
      <c r="AC413" s="428">
        <v>0</v>
      </c>
      <c r="AD413" s="429">
        <v>0</v>
      </c>
      <c r="AE413" s="429">
        <v>0</v>
      </c>
      <c r="AF413" s="429">
        <v>0</v>
      </c>
      <c r="AG413" s="360">
        <v>0</v>
      </c>
      <c r="AH413" s="360">
        <v>0</v>
      </c>
      <c r="AI413" s="360">
        <v>0</v>
      </c>
      <c r="AJ413" s="360">
        <v>0</v>
      </c>
      <c r="AK413" s="360">
        <v>0</v>
      </c>
      <c r="AL413" s="360">
        <f t="shared" si="27"/>
        <v>0</v>
      </c>
      <c r="AM413" s="362">
        <f>ERP_8[[#This Row],[2026 Working Total]]-ERP_8[[#This Row],[LE2 Final Submission]]</f>
        <v>0</v>
      </c>
      <c r="AN413" s="79">
        <v>0</v>
      </c>
      <c r="AO413" s="79">
        <f t="shared" si="29"/>
        <v>0</v>
      </c>
      <c r="AP413" s="374">
        <f>SUM(ERP_8[[#This Row],[AP01]:[AP07]])-SUM(ERP_8[[#This Row],[AP01 LE2]:[AP07 LE2]])</f>
        <v>0</v>
      </c>
      <c r="AQ413" s="80"/>
      <c r="AR413" s="79">
        <f>ERP_8[[#This Row],[2026 Working Total to Budget/LE]]-ERP_8[[#This Row],[Giveback]]</f>
        <v>0</v>
      </c>
      <c r="AS413" s="81"/>
      <c r="AT413" s="375">
        <v>-11.41</v>
      </c>
      <c r="AU413" s="375">
        <v>11.41</v>
      </c>
      <c r="AV413" s="375">
        <v>0</v>
      </c>
      <c r="AW413" s="375">
        <v>0</v>
      </c>
      <c r="AX413" s="375">
        <v>0</v>
      </c>
      <c r="AY413" s="375">
        <v>0</v>
      </c>
      <c r="AZ413" s="375">
        <v>0</v>
      </c>
      <c r="BA413" s="375">
        <v>0</v>
      </c>
      <c r="BB413" s="375">
        <v>0</v>
      </c>
      <c r="BC413" s="375">
        <v>0</v>
      </c>
      <c r="BD413" s="375">
        <v>0</v>
      </c>
      <c r="BE413" s="375">
        <v>0</v>
      </c>
      <c r="BF413" s="375">
        <v>0</v>
      </c>
      <c r="BG413" s="79">
        <v>-11.41</v>
      </c>
      <c r="BH413" s="79">
        <v>11.41</v>
      </c>
      <c r="BI413" s="79">
        <v>0</v>
      </c>
      <c r="BJ413" s="79">
        <v>0</v>
      </c>
      <c r="BK413" s="79">
        <v>0</v>
      </c>
      <c r="BL413" s="79">
        <v>0</v>
      </c>
      <c r="BM413" s="79">
        <v>0</v>
      </c>
      <c r="BN413" s="79">
        <v>0</v>
      </c>
      <c r="BO413" s="79">
        <v>0</v>
      </c>
      <c r="BP413" s="79">
        <v>0</v>
      </c>
      <c r="BQ413" s="79">
        <v>0</v>
      </c>
      <c r="BR413" s="79">
        <v>0</v>
      </c>
      <c r="BS413" s="79">
        <v>0</v>
      </c>
    </row>
    <row r="414" spans="1:71" ht="15" hidden="1" customHeight="1">
      <c r="A414" s="150" t="s">
        <v>2243</v>
      </c>
      <c r="B414" s="749" t="s">
        <v>2244</v>
      </c>
      <c r="C414" s="348"/>
      <c r="D414" s="347" t="str">
        <f>_xlfn.TEXTJOIN("_",FALSE,E414,ERP_8[[#This Row],[Expense Category]],ERP_8[[#This Row],[Project Code*]])</f>
        <v>Dougherty, Chris_SOFTWARE_BILLINGSWEEP021</v>
      </c>
      <c r="E414" s="347" t="s">
        <v>1135</v>
      </c>
      <c r="F414" s="348"/>
      <c r="G414" s="150" t="s">
        <v>1136</v>
      </c>
      <c r="H414" s="150" t="s">
        <v>1135</v>
      </c>
      <c r="I414" s="150" t="s">
        <v>1137</v>
      </c>
      <c r="J414" s="150" t="s">
        <v>1137</v>
      </c>
      <c r="K414" s="514" t="s">
        <v>639</v>
      </c>
      <c r="L414" s="394" t="s">
        <v>2245</v>
      </c>
      <c r="M414" s="333"/>
      <c r="N414" s="467" t="s">
        <v>1695</v>
      </c>
      <c r="O414" s="90" t="s">
        <v>2246</v>
      </c>
      <c r="P414" s="347"/>
      <c r="Q414" s="347"/>
      <c r="R414" s="348"/>
      <c r="S414" s="348"/>
      <c r="T414" s="1" t="s">
        <v>1141</v>
      </c>
      <c r="U414" s="402"/>
      <c r="V414" s="406"/>
      <c r="W414" s="406"/>
      <c r="X414" s="425"/>
      <c r="Y414" s="71"/>
      <c r="Z414" s="784"/>
      <c r="AA414" s="780"/>
      <c r="AB414" s="780"/>
      <c r="AC414" s="429">
        <v>-41167.729999999996</v>
      </c>
      <c r="AD414" s="429">
        <v>0</v>
      </c>
      <c r="AE414" s="429">
        <v>0</v>
      </c>
      <c r="AF414" s="429">
        <v>0</v>
      </c>
      <c r="AG414" s="364"/>
      <c r="AH414" s="364"/>
      <c r="AI414" s="364"/>
      <c r="AJ414" s="364"/>
      <c r="AK414" s="364"/>
      <c r="AL414" s="360">
        <f t="shared" si="27"/>
        <v>-41167.729999999996</v>
      </c>
      <c r="AM414" s="362">
        <f>ERP_8[[#This Row],[2026 Working Total]]-ERP_8[[#This Row],[LE2 Final Submission]]</f>
        <v>-41167.729999999996</v>
      </c>
      <c r="AN414" s="79">
        <v>0</v>
      </c>
      <c r="AO414" s="79">
        <f t="shared" si="29"/>
        <v>0</v>
      </c>
      <c r="AP414" s="374">
        <f>SUM(ERP_8[[#This Row],[AP01]:[AP07]])-SUM(ERP_8[[#This Row],[AP01 LE2]:[AP07 LE2]])</f>
        <v>-41167.729999999996</v>
      </c>
      <c r="AQ414" s="80"/>
      <c r="AR414" s="79">
        <f>ERP_8[[#This Row],[2026 Working Total to Budget/LE]]-ERP_8[[#This Row],[Giveback]]</f>
        <v>-41167.729999999996</v>
      </c>
      <c r="AS414" s="81"/>
      <c r="AT414" s="375"/>
      <c r="AU414" s="375"/>
      <c r="AV414" s="375"/>
      <c r="AW414" s="375"/>
      <c r="AX414" s="375"/>
      <c r="AY414" s="375"/>
      <c r="AZ414" s="375"/>
      <c r="BA414" s="375"/>
      <c r="BB414" s="375"/>
      <c r="BC414" s="375"/>
      <c r="BD414" s="375"/>
      <c r="BE414" s="375"/>
      <c r="BF414" s="375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</row>
    <row r="415" spans="1:71" ht="15" hidden="1" customHeight="1">
      <c r="A415" s="79" t="s">
        <v>2247</v>
      </c>
      <c r="B415" s="749" t="s">
        <v>666</v>
      </c>
      <c r="C415" s="348"/>
      <c r="D415" s="347" t="str">
        <f>_xlfn.TEXTJOIN("_",FALSE,E415,ERP_8[[#This Row],[Expense Category]],ERP_8[[#This Row],[Project Code*]])</f>
        <v>Dougherty, Chris_SOFTWARE_BillSweepMisc</v>
      </c>
      <c r="E415" s="347" t="s">
        <v>1135</v>
      </c>
      <c r="F415" s="348"/>
      <c r="G415" s="150" t="s">
        <v>1136</v>
      </c>
      <c r="H415" t="s">
        <v>1135</v>
      </c>
      <c r="I415" t="s">
        <v>1135</v>
      </c>
      <c r="J415" t="s">
        <v>1135</v>
      </c>
      <c r="K415" s="514" t="s">
        <v>639</v>
      </c>
      <c r="L415" s="394" t="s">
        <v>1699</v>
      </c>
      <c r="M415" s="343"/>
      <c r="N415" s="801"/>
      <c r="O415" s="70" t="s">
        <v>362</v>
      </c>
      <c r="P415" s="347"/>
      <c r="Q415" s="343"/>
      <c r="R415" s="348"/>
      <c r="S415" s="348"/>
      <c r="T415" s="348" t="s">
        <v>1700</v>
      </c>
      <c r="U415" s="402"/>
      <c r="V415" s="358"/>
      <c r="W415" s="379">
        <v>0</v>
      </c>
      <c r="X415" s="430"/>
      <c r="Y415" s="137"/>
      <c r="Z415" s="784"/>
      <c r="AA415" s="780"/>
      <c r="AB415" s="780"/>
      <c r="AC415" s="428" t="s">
        <v>1142</v>
      </c>
      <c r="AD415" s="429">
        <v>0</v>
      </c>
      <c r="AE415" s="429">
        <v>0</v>
      </c>
      <c r="AF415" s="429" t="s">
        <v>1142</v>
      </c>
      <c r="AG415" s="364"/>
      <c r="AH415" s="364"/>
      <c r="AI415" s="364"/>
      <c r="AJ415" s="364"/>
      <c r="AK415" s="364"/>
      <c r="AL415" s="360">
        <f t="shared" si="27"/>
        <v>0</v>
      </c>
      <c r="AM415" s="362">
        <f>ERP_8[[#This Row],[2026 Working Total]]-ERP_8[[#This Row],[LE2 Final Submission]]</f>
        <v>0</v>
      </c>
      <c r="AN415" s="79">
        <v>0</v>
      </c>
      <c r="AO415" s="79">
        <f t="shared" si="29"/>
        <v>0</v>
      </c>
      <c r="AP415" s="374">
        <f>SUM(ERP_8[[#This Row],[AP01]:[AP07]])-SUM(ERP_8[[#This Row],[AP01 LE2]:[AP07 LE2]])</f>
        <v>0</v>
      </c>
      <c r="AQ415" s="80"/>
      <c r="AR415" s="79">
        <f>ERP_8[[#This Row],[2026 Working Total to Budget/LE]]-ERP_8[[#This Row],[Giveback]]</f>
        <v>0</v>
      </c>
      <c r="AS415" s="81"/>
      <c r="AT415" s="375"/>
      <c r="AU415" s="375"/>
      <c r="AV415" s="375"/>
      <c r="AW415" s="375">
        <v>-84081.45</v>
      </c>
      <c r="AX415" s="375">
        <v>84081.45</v>
      </c>
      <c r="AY415" s="375"/>
      <c r="AZ415" s="375"/>
      <c r="BA415" s="375"/>
      <c r="BB415" s="375"/>
      <c r="BC415" s="375"/>
      <c r="BD415" s="375"/>
      <c r="BE415" s="375"/>
      <c r="BF415" s="375">
        <v>0</v>
      </c>
      <c r="BG415" s="79"/>
      <c r="BH415" s="79"/>
      <c r="BI415" s="79"/>
      <c r="BJ415" s="79"/>
      <c r="BK415" s="79"/>
      <c r="BL415" s="79"/>
      <c r="BM415" s="79"/>
      <c r="BN415" s="79"/>
      <c r="BO415" s="79"/>
      <c r="BP415" s="79"/>
      <c r="BQ415" s="79"/>
      <c r="BR415" s="79"/>
      <c r="BS415" s="79"/>
    </row>
    <row r="416" spans="1:71" ht="15" hidden="1" customHeight="1">
      <c r="A416" s="66" t="s">
        <v>2248</v>
      </c>
      <c r="B416" s="737" t="s">
        <v>667</v>
      </c>
      <c r="C416" s="346"/>
      <c r="D416" s="343" t="str">
        <f>_xlfn.TEXTJOIN("_",FALSE,E416,ERP_8[[#This Row],[Expense Category]],ERP_8[[#This Row],[Project Code*]])</f>
        <v>Dougherty, Chris_SOFTWARE_ColleagueSolutions001</v>
      </c>
      <c r="E416" s="343" t="s">
        <v>1135</v>
      </c>
      <c r="F416" s="346"/>
      <c r="G416" s="150" t="s">
        <v>1136</v>
      </c>
      <c r="H416" s="150" t="s">
        <v>1135</v>
      </c>
      <c r="I416" s="150" t="s">
        <v>1135</v>
      </c>
      <c r="J416" s="150" t="s">
        <v>1137</v>
      </c>
      <c r="K416" s="511" t="s">
        <v>639</v>
      </c>
      <c r="L416" s="392" t="s">
        <v>1138</v>
      </c>
      <c r="M416" s="343"/>
      <c r="N416" s="800"/>
      <c r="O416" s="70" t="s">
        <v>51</v>
      </c>
      <c r="P416" s="346" t="s">
        <v>1139</v>
      </c>
      <c r="Q416" s="346" t="s">
        <v>1140</v>
      </c>
      <c r="R416" s="346"/>
      <c r="S416" s="150" t="s">
        <v>25</v>
      </c>
      <c r="T416" s="150"/>
      <c r="U416" s="403"/>
      <c r="V416" s="406">
        <v>0</v>
      </c>
      <c r="W416" s="406">
        <v>3777.33</v>
      </c>
      <c r="X416" s="425"/>
      <c r="Y416" s="71"/>
      <c r="Z416" s="784"/>
      <c r="AA416" s="794">
        <v>3777.33</v>
      </c>
      <c r="AB416" s="794">
        <v>0</v>
      </c>
      <c r="AC416" s="429">
        <v>83.61</v>
      </c>
      <c r="AD416" s="429">
        <v>0</v>
      </c>
      <c r="AE416" s="429">
        <v>0</v>
      </c>
      <c r="AF416" s="429">
        <v>155</v>
      </c>
      <c r="AG416" s="360">
        <v>0</v>
      </c>
      <c r="AH416" s="360">
        <v>0</v>
      </c>
      <c r="AI416" s="360">
        <v>0</v>
      </c>
      <c r="AJ416" s="360">
        <v>0</v>
      </c>
      <c r="AK416" s="360">
        <v>0</v>
      </c>
      <c r="AL416" s="360">
        <f t="shared" si="27"/>
        <v>4015.94</v>
      </c>
      <c r="AM416" s="362">
        <f>ERP_8[[#This Row],[2026 Working Total]]-ERP_8[[#This Row],[LE2 Final Submission]]</f>
        <v>238.61000000000013</v>
      </c>
      <c r="AN416" s="79">
        <v>0</v>
      </c>
      <c r="AO416" s="79">
        <f t="shared" si="29"/>
        <v>0</v>
      </c>
      <c r="AP416" s="374">
        <f>SUM(ERP_8[[#This Row],[AP01]:[AP07]])-SUM(ERP_8[[#This Row],[AP01 LE2]:[AP07 LE2]])</f>
        <v>238.61000000000013</v>
      </c>
      <c r="AQ416" s="80"/>
      <c r="AR416" s="79">
        <f>ERP_8[[#This Row],[2026 Working Total to Budget/LE]]-ERP_8[[#This Row],[Giveback]]</f>
        <v>238.61000000000013</v>
      </c>
      <c r="AS416" s="81"/>
      <c r="AT416" s="375"/>
      <c r="AU416" s="375">
        <v>3777.33</v>
      </c>
      <c r="AV416" s="375">
        <v>0</v>
      </c>
      <c r="AW416" s="375">
        <v>0</v>
      </c>
      <c r="AX416" s="375">
        <v>0</v>
      </c>
      <c r="AY416" s="375">
        <v>0</v>
      </c>
      <c r="AZ416" s="375">
        <v>0</v>
      </c>
      <c r="BA416" s="375">
        <v>0</v>
      </c>
      <c r="BB416" s="375">
        <v>0</v>
      </c>
      <c r="BC416" s="375">
        <v>0</v>
      </c>
      <c r="BD416" s="375">
        <v>0</v>
      </c>
      <c r="BE416" s="375">
        <v>0</v>
      </c>
      <c r="BF416" s="375">
        <v>3777.33</v>
      </c>
      <c r="BG416" s="79"/>
      <c r="BH416" s="79">
        <v>3777.33</v>
      </c>
      <c r="BI416" s="79">
        <v>0</v>
      </c>
      <c r="BJ416" s="79">
        <v>0</v>
      </c>
      <c r="BK416" s="79">
        <v>0</v>
      </c>
      <c r="BL416" s="79">
        <v>0</v>
      </c>
      <c r="BM416" s="79">
        <v>0</v>
      </c>
      <c r="BN416" s="79">
        <v>0</v>
      </c>
      <c r="BO416" s="79">
        <v>0</v>
      </c>
      <c r="BP416" s="79">
        <v>0</v>
      </c>
      <c r="BQ416" s="79">
        <v>0</v>
      </c>
      <c r="BR416" s="79">
        <v>0</v>
      </c>
      <c r="BS416" s="79">
        <v>3777.33</v>
      </c>
    </row>
    <row r="417" spans="1:71" ht="15" hidden="1" customHeight="1">
      <c r="A417" s="66" t="s">
        <v>2249</v>
      </c>
      <c r="B417" s="737" t="s">
        <v>2250</v>
      </c>
      <c r="C417" s="346"/>
      <c r="D417" s="343" t="str">
        <f>_xlfn.TEXTJOIN("_",FALSE,E417,ERP_8[[#This Row],[Expense Category]],ERP_8[[#This Row],[Project Code*]])</f>
        <v>Dougherty, Chris_SOFTWARE_ColleagueSolutions001</v>
      </c>
      <c r="E417" s="343" t="s">
        <v>1135</v>
      </c>
      <c r="F417" s="346"/>
      <c r="G417" s="150" t="s">
        <v>1136</v>
      </c>
      <c r="H417" s="150" t="s">
        <v>1135</v>
      </c>
      <c r="I417" s="150" t="s">
        <v>1137</v>
      </c>
      <c r="J417" s="150" t="s">
        <v>1137</v>
      </c>
      <c r="K417" s="511" t="s">
        <v>639</v>
      </c>
      <c r="L417" s="392" t="s">
        <v>1138</v>
      </c>
      <c r="M417" s="343"/>
      <c r="N417" s="800"/>
      <c r="O417" s="70" t="s">
        <v>51</v>
      </c>
      <c r="P417" s="346" t="s">
        <v>1139</v>
      </c>
      <c r="Q417" s="346" t="s">
        <v>1140</v>
      </c>
      <c r="R417" s="346"/>
      <c r="S417" s="150" t="s">
        <v>25</v>
      </c>
      <c r="T417" s="1" t="s">
        <v>1141</v>
      </c>
      <c r="U417" s="403"/>
      <c r="V417" s="406">
        <v>0</v>
      </c>
      <c r="W417" s="406">
        <v>1742.3400000000001</v>
      </c>
      <c r="X417" s="425"/>
      <c r="Y417" s="71"/>
      <c r="Z417" s="784"/>
      <c r="AA417" s="780">
        <v>984.48</v>
      </c>
      <c r="AB417" s="780">
        <v>757.86</v>
      </c>
      <c r="AC417" s="428">
        <v>0</v>
      </c>
      <c r="AD417" s="429">
        <v>0</v>
      </c>
      <c r="AE417" s="429">
        <v>0</v>
      </c>
      <c r="AF417" s="429">
        <v>0</v>
      </c>
      <c r="AG417" s="360">
        <v>0</v>
      </c>
      <c r="AH417" s="360">
        <v>0</v>
      </c>
      <c r="AI417" s="360">
        <v>0</v>
      </c>
      <c r="AJ417" s="360">
        <v>0</v>
      </c>
      <c r="AK417" s="360">
        <v>0</v>
      </c>
      <c r="AL417" s="360">
        <f t="shared" si="27"/>
        <v>1742.3400000000001</v>
      </c>
      <c r="AM417" s="362">
        <f>ERP_8[[#This Row],[2026 Working Total]]-ERP_8[[#This Row],[LE2 Final Submission]]</f>
        <v>0</v>
      </c>
      <c r="AN417" s="79">
        <v>0</v>
      </c>
      <c r="AO417" s="79">
        <f t="shared" si="29"/>
        <v>0</v>
      </c>
      <c r="AP417" s="374">
        <f>SUM(ERP_8[[#This Row],[AP01]:[AP07]])-SUM(ERP_8[[#This Row],[AP01 LE2]:[AP07 LE2]])</f>
        <v>0</v>
      </c>
      <c r="AQ417" s="80"/>
      <c r="AR417" s="79">
        <f>ERP_8[[#This Row],[2026 Working Total to Budget/LE]]-ERP_8[[#This Row],[Giveback]]</f>
        <v>0</v>
      </c>
      <c r="AS417" s="81"/>
      <c r="AT417" s="375"/>
      <c r="AU417" s="375">
        <v>984.48</v>
      </c>
      <c r="AV417" s="375">
        <v>757.86</v>
      </c>
      <c r="AW417" s="375">
        <v>0</v>
      </c>
      <c r="AX417" s="375">
        <v>0</v>
      </c>
      <c r="AY417" s="375">
        <v>0</v>
      </c>
      <c r="AZ417" s="375">
        <v>0</v>
      </c>
      <c r="BA417" s="375">
        <v>0</v>
      </c>
      <c r="BB417" s="375">
        <v>0</v>
      </c>
      <c r="BC417" s="375">
        <v>0</v>
      </c>
      <c r="BD417" s="375">
        <v>0</v>
      </c>
      <c r="BE417" s="375">
        <v>0</v>
      </c>
      <c r="BF417" s="375">
        <v>1742.3400000000001</v>
      </c>
      <c r="BG417" s="79"/>
      <c r="BH417" s="79">
        <v>984.48</v>
      </c>
      <c r="BI417" s="79">
        <v>757.86</v>
      </c>
      <c r="BJ417" s="79">
        <v>0</v>
      </c>
      <c r="BK417" s="79">
        <v>0</v>
      </c>
      <c r="BL417" s="79">
        <v>0</v>
      </c>
      <c r="BM417" s="79">
        <v>0</v>
      </c>
      <c r="BN417" s="79">
        <v>0</v>
      </c>
      <c r="BO417" s="79">
        <v>0</v>
      </c>
      <c r="BP417" s="79">
        <v>0</v>
      </c>
      <c r="BQ417" s="79">
        <v>0</v>
      </c>
      <c r="BR417" s="79">
        <v>0</v>
      </c>
      <c r="BS417" s="79">
        <v>1742.3400000000001</v>
      </c>
    </row>
    <row r="418" spans="1:71" ht="15" hidden="1" customHeight="1">
      <c r="A418" s="66" t="s">
        <v>2251</v>
      </c>
      <c r="B418" s="737" t="s">
        <v>2252</v>
      </c>
      <c r="C418" s="346"/>
      <c r="D418" s="343" t="str">
        <f>_xlfn.TEXTJOIN("_",FALSE,E418,ERP_8[[#This Row],[Expense Category]],ERP_8[[#This Row],[Project Code*]])</f>
        <v>Dougherty, Chris_SOFTWARE_ColleagueSolutions001</v>
      </c>
      <c r="E418" s="343" t="s">
        <v>1135</v>
      </c>
      <c r="F418" s="346"/>
      <c r="G418" s="150" t="s">
        <v>1136</v>
      </c>
      <c r="H418" s="150" t="s">
        <v>1135</v>
      </c>
      <c r="I418" s="150" t="s">
        <v>1145</v>
      </c>
      <c r="J418" s="150" t="s">
        <v>1137</v>
      </c>
      <c r="K418" s="511" t="s">
        <v>639</v>
      </c>
      <c r="L418" s="778" t="s">
        <v>1138</v>
      </c>
      <c r="M418" s="343"/>
      <c r="N418" s="800"/>
      <c r="O418" s="70" t="s">
        <v>51</v>
      </c>
      <c r="P418" s="346" t="s">
        <v>1139</v>
      </c>
      <c r="Q418" s="346" t="s">
        <v>1140</v>
      </c>
      <c r="R418" s="346"/>
      <c r="S418" s="150" t="s">
        <v>25</v>
      </c>
      <c r="T418" s="150"/>
      <c r="U418" s="403"/>
      <c r="V418" s="406">
        <v>0</v>
      </c>
      <c r="W418" s="406">
        <v>1312.56</v>
      </c>
      <c r="X418" s="425"/>
      <c r="Y418" s="71"/>
      <c r="Z418" s="784"/>
      <c r="AA418" s="780">
        <v>1312.56</v>
      </c>
      <c r="AB418" s="780">
        <v>0</v>
      </c>
      <c r="AC418" s="428">
        <v>0</v>
      </c>
      <c r="AD418" s="429">
        <v>0</v>
      </c>
      <c r="AE418" s="429">
        <v>0</v>
      </c>
      <c r="AF418" s="429">
        <v>0</v>
      </c>
      <c r="AG418" s="360">
        <v>0</v>
      </c>
      <c r="AH418" s="360">
        <v>0</v>
      </c>
      <c r="AI418" s="360">
        <v>0</v>
      </c>
      <c r="AJ418" s="360">
        <v>0</v>
      </c>
      <c r="AK418" s="360">
        <v>0</v>
      </c>
      <c r="AL418" s="360">
        <f t="shared" si="27"/>
        <v>1312.56</v>
      </c>
      <c r="AM418" s="362">
        <f>ERP_8[[#This Row],[2026 Working Total]]-ERP_8[[#This Row],[LE2 Final Submission]]</f>
        <v>0</v>
      </c>
      <c r="AN418" s="79">
        <v>0</v>
      </c>
      <c r="AO418" s="79">
        <f t="shared" si="29"/>
        <v>0</v>
      </c>
      <c r="AP418" s="374">
        <f>SUM(ERP_8[[#This Row],[AP01]:[AP07]])-SUM(ERP_8[[#This Row],[AP01 LE2]:[AP07 LE2]])</f>
        <v>0</v>
      </c>
      <c r="AQ418" s="80"/>
      <c r="AR418" s="79">
        <f>ERP_8[[#This Row],[2026 Working Total to Budget/LE]]-ERP_8[[#This Row],[Giveback]]</f>
        <v>0</v>
      </c>
      <c r="AS418" s="81"/>
      <c r="AT418" s="375"/>
      <c r="AU418" s="375">
        <v>1312.56</v>
      </c>
      <c r="AV418" s="375">
        <v>0</v>
      </c>
      <c r="AW418" s="375">
        <v>0</v>
      </c>
      <c r="AX418" s="375">
        <v>0</v>
      </c>
      <c r="AY418" s="375">
        <v>0</v>
      </c>
      <c r="AZ418" s="375">
        <v>0</v>
      </c>
      <c r="BA418" s="375">
        <v>0</v>
      </c>
      <c r="BB418" s="375">
        <v>0</v>
      </c>
      <c r="BC418" s="375">
        <v>0</v>
      </c>
      <c r="BD418" s="375">
        <v>0</v>
      </c>
      <c r="BE418" s="375">
        <v>0</v>
      </c>
      <c r="BF418" s="375">
        <v>1312.56</v>
      </c>
      <c r="BG418" s="79"/>
      <c r="BH418" s="79">
        <v>1312.56</v>
      </c>
      <c r="BI418" s="79">
        <v>0</v>
      </c>
      <c r="BJ418" s="79">
        <v>0</v>
      </c>
      <c r="BK418" s="79">
        <v>0</v>
      </c>
      <c r="BL418" s="79">
        <v>0</v>
      </c>
      <c r="BM418" s="79">
        <v>0</v>
      </c>
      <c r="BN418" s="79">
        <v>0</v>
      </c>
      <c r="BO418" s="79">
        <v>0</v>
      </c>
      <c r="BP418" s="79">
        <v>0</v>
      </c>
      <c r="BQ418" s="79">
        <v>0</v>
      </c>
      <c r="BR418" s="79">
        <v>0</v>
      </c>
      <c r="BS418" s="79">
        <v>1312.56</v>
      </c>
    </row>
    <row r="419" spans="1:71" ht="15" hidden="1" customHeight="1">
      <c r="A419" s="66" t="s">
        <v>2253</v>
      </c>
      <c r="B419" s="737" t="s">
        <v>2254</v>
      </c>
      <c r="C419" s="346"/>
      <c r="D419" s="343" t="str">
        <f>_xlfn.TEXTJOIN("_",FALSE,E419,ERP_8[[#This Row],[Expense Category]],ERP_8[[#This Row],[Project Code*]])</f>
        <v>Dougherty, Chris_SOFTWARE_ColleagueSolutions001</v>
      </c>
      <c r="E419" s="343" t="s">
        <v>1135</v>
      </c>
      <c r="F419" s="346"/>
      <c r="G419" s="150" t="s">
        <v>1136</v>
      </c>
      <c r="H419" s="150" t="s">
        <v>1135</v>
      </c>
      <c r="I419" s="150" t="s">
        <v>1165</v>
      </c>
      <c r="J419" s="150" t="s">
        <v>1137</v>
      </c>
      <c r="K419" s="511" t="s">
        <v>639</v>
      </c>
      <c r="L419" s="392" t="s">
        <v>1138</v>
      </c>
      <c r="M419" s="343"/>
      <c r="N419" s="800"/>
      <c r="O419" s="70" t="s">
        <v>51</v>
      </c>
      <c r="P419" s="346" t="s">
        <v>1139</v>
      </c>
      <c r="Q419" s="346" t="s">
        <v>1140</v>
      </c>
      <c r="R419" s="346"/>
      <c r="S419" s="150" t="s">
        <v>25</v>
      </c>
      <c r="T419" s="150"/>
      <c r="U419" s="403"/>
      <c r="V419" s="406">
        <v>0</v>
      </c>
      <c r="W419" s="406">
        <v>3879.27</v>
      </c>
      <c r="X419" s="425"/>
      <c r="Y419" s="71"/>
      <c r="Z419" s="784"/>
      <c r="AA419" s="780">
        <v>3879.27</v>
      </c>
      <c r="AB419" s="780">
        <v>0</v>
      </c>
      <c r="AC419" s="428">
        <v>0</v>
      </c>
      <c r="AD419" s="429">
        <v>0</v>
      </c>
      <c r="AE419" s="429">
        <v>0</v>
      </c>
      <c r="AF419" s="429">
        <v>0</v>
      </c>
      <c r="AG419" s="360">
        <v>0</v>
      </c>
      <c r="AH419" s="360">
        <v>0</v>
      </c>
      <c r="AI419" s="360">
        <v>0</v>
      </c>
      <c r="AJ419" s="360">
        <v>0</v>
      </c>
      <c r="AK419" s="360">
        <v>0</v>
      </c>
      <c r="AL419" s="360">
        <f t="shared" si="27"/>
        <v>3879.27</v>
      </c>
      <c r="AM419" s="362">
        <f>ERP_8[[#This Row],[2026 Working Total]]-ERP_8[[#This Row],[LE2 Final Submission]]</f>
        <v>0</v>
      </c>
      <c r="AN419" s="79">
        <v>0</v>
      </c>
      <c r="AO419" s="79">
        <f t="shared" si="29"/>
        <v>0</v>
      </c>
      <c r="AP419" s="374">
        <f>SUM(ERP_8[[#This Row],[AP01]:[AP07]])-SUM(ERP_8[[#This Row],[AP01 LE2]:[AP07 LE2]])</f>
        <v>0</v>
      </c>
      <c r="AQ419" s="80"/>
      <c r="AR419" s="79">
        <f>ERP_8[[#This Row],[2026 Working Total to Budget/LE]]-ERP_8[[#This Row],[Giveback]]</f>
        <v>0</v>
      </c>
      <c r="AS419" s="81"/>
      <c r="AT419" s="375"/>
      <c r="AU419" s="375">
        <v>3879.27</v>
      </c>
      <c r="AV419" s="375">
        <v>0</v>
      </c>
      <c r="AW419" s="375">
        <v>0</v>
      </c>
      <c r="AX419" s="375">
        <v>0</v>
      </c>
      <c r="AY419" s="375">
        <v>0</v>
      </c>
      <c r="AZ419" s="375">
        <v>0</v>
      </c>
      <c r="BA419" s="375">
        <v>0</v>
      </c>
      <c r="BB419" s="375">
        <v>0</v>
      </c>
      <c r="BC419" s="375">
        <v>0</v>
      </c>
      <c r="BD419" s="375">
        <v>0</v>
      </c>
      <c r="BE419" s="375">
        <v>0</v>
      </c>
      <c r="BF419" s="375">
        <v>3879.27</v>
      </c>
      <c r="BG419" s="79"/>
      <c r="BH419" s="79">
        <v>3879.27</v>
      </c>
      <c r="BI419" s="79">
        <v>0</v>
      </c>
      <c r="BJ419" s="79">
        <v>0</v>
      </c>
      <c r="BK419" s="79">
        <v>0</v>
      </c>
      <c r="BL419" s="79">
        <v>0</v>
      </c>
      <c r="BM419" s="79">
        <v>0</v>
      </c>
      <c r="BN419" s="79">
        <v>0</v>
      </c>
      <c r="BO419" s="79">
        <v>0</v>
      </c>
      <c r="BP419" s="79">
        <v>0</v>
      </c>
      <c r="BQ419" s="79">
        <v>0</v>
      </c>
      <c r="BR419" s="79">
        <v>0</v>
      </c>
      <c r="BS419" s="79">
        <v>3879.27</v>
      </c>
    </row>
    <row r="420" spans="1:71" ht="15" hidden="1" customHeight="1">
      <c r="A420" s="79" t="s">
        <v>2255</v>
      </c>
      <c r="B420" s="296" t="s">
        <v>2256</v>
      </c>
      <c r="C420" s="109"/>
      <c r="D420" s="347" t="str">
        <f>_xlfn.TEXTJOIN("_",FALSE,E420,ERP_8[[#This Row],[Expense Category]],ERP_8[[#This Row],[Project Code*]])</f>
        <v>Dougherty, Chris_SOFTWARE_EnhanceChargeout001</v>
      </c>
      <c r="E420" s="109" t="s">
        <v>1135</v>
      </c>
      <c r="F420" s="109"/>
      <c r="G420" s="332" t="s">
        <v>1136</v>
      </c>
      <c r="H420" s="332" t="s">
        <v>1135</v>
      </c>
      <c r="I420" s="332" t="s">
        <v>1165</v>
      </c>
      <c r="J420" s="333" t="s">
        <v>1165</v>
      </c>
      <c r="K420" s="514" t="s">
        <v>639</v>
      </c>
      <c r="L420" s="394"/>
      <c r="M420" s="333"/>
      <c r="N420" s="801"/>
      <c r="O420" s="300" t="s">
        <v>53</v>
      </c>
      <c r="P420" s="347"/>
      <c r="Q420" s="347"/>
      <c r="R420" s="348"/>
      <c r="S420" s="348"/>
      <c r="T420" s="348"/>
      <c r="U420" s="402"/>
      <c r="V420" s="358"/>
      <c r="W420" s="379"/>
      <c r="X420" s="425"/>
      <c r="Y420" s="71"/>
      <c r="Z420" s="784"/>
      <c r="AA420" s="780"/>
      <c r="AB420" s="780"/>
      <c r="AC420" s="429"/>
      <c r="AD420" s="780"/>
      <c r="AE420" s="429"/>
      <c r="AF420" s="429">
        <v>251.44</v>
      </c>
      <c r="AG420" s="364"/>
      <c r="AH420" s="364"/>
      <c r="AI420" s="364"/>
      <c r="AJ420" s="364"/>
      <c r="AK420" s="364"/>
      <c r="AL420" s="360">
        <f t="shared" si="27"/>
        <v>251.44</v>
      </c>
      <c r="AM420" s="362">
        <f>ERP_8[[#This Row],[2026 Working Total]]-ERP_8[[#This Row],[LE2 Final Submission]]</f>
        <v>251.44</v>
      </c>
      <c r="AN420" s="79"/>
      <c r="AO420" s="79">
        <f t="shared" si="29"/>
        <v>0</v>
      </c>
      <c r="AP420" s="391">
        <f>SUM(ERP_8[[#This Row],[AP01]:[AP07]])-SUM(ERP_8[[#This Row],[AP01 LE2]:[AP07 LE2]])</f>
        <v>251.44</v>
      </c>
      <c r="AQ420" s="80"/>
      <c r="AR420" s="79">
        <f>ERP_8[[#This Row],[2026 Working Total to Budget/LE]]-ERP_8[[#This Row],[Giveback]]</f>
        <v>251.44</v>
      </c>
      <c r="AS420" s="81"/>
      <c r="AT420" s="375"/>
      <c r="AU420" s="375"/>
      <c r="AV420" s="375"/>
      <c r="AW420" s="375"/>
      <c r="AX420" s="375"/>
      <c r="AY420" s="375"/>
      <c r="AZ420" s="375"/>
      <c r="BA420" s="375"/>
      <c r="BB420" s="375"/>
      <c r="BC420" s="375"/>
      <c r="BD420" s="375"/>
      <c r="BE420" s="375"/>
      <c r="BF420" s="375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</row>
    <row r="421" spans="1:71" ht="15" hidden="1" customHeight="1">
      <c r="A421" s="66" t="s">
        <v>2257</v>
      </c>
      <c r="B421" s="737" t="s">
        <v>2258</v>
      </c>
      <c r="C421" s="346"/>
      <c r="D421" s="343" t="str">
        <f>_xlfn.TEXTJOIN("_",FALSE,E421,ERP_8[[#This Row],[Expense Category]],ERP_8[[#This Row],[Project Code*]])</f>
        <v>Dougherty, Chris_SOFTWARE_EnhanceChargeout001</v>
      </c>
      <c r="E421" s="343" t="s">
        <v>1135</v>
      </c>
      <c r="F421" s="346"/>
      <c r="G421" s="150" t="s">
        <v>1136</v>
      </c>
      <c r="H421" s="150" t="s">
        <v>1135</v>
      </c>
      <c r="I421" s="150" t="s">
        <v>1161</v>
      </c>
      <c r="J421" s="150" t="s">
        <v>1137</v>
      </c>
      <c r="K421" s="511" t="s">
        <v>639</v>
      </c>
      <c r="L421" s="392" t="s">
        <v>1147</v>
      </c>
      <c r="M421" s="343"/>
      <c r="N421" s="823"/>
      <c r="O421" s="70" t="s">
        <v>53</v>
      </c>
      <c r="P421" s="346" t="s">
        <v>1153</v>
      </c>
      <c r="Q421" s="346" t="s">
        <v>1140</v>
      </c>
      <c r="R421" s="346"/>
      <c r="S421" s="150" t="s">
        <v>25</v>
      </c>
      <c r="T421" s="150" t="s">
        <v>2259</v>
      </c>
      <c r="U421" s="403"/>
      <c r="V421" s="406">
        <v>0</v>
      </c>
      <c r="W421" s="406">
        <v>227</v>
      </c>
      <c r="X421" s="425"/>
      <c r="Y421" s="71"/>
      <c r="Z421" s="784"/>
      <c r="AA421" s="794">
        <v>227</v>
      </c>
      <c r="AB421" s="794">
        <v>0</v>
      </c>
      <c r="AC421" s="428" t="s">
        <v>1142</v>
      </c>
      <c r="AD421" s="429">
        <v>0</v>
      </c>
      <c r="AE421" s="429">
        <v>0</v>
      </c>
      <c r="AF421" s="429" t="s">
        <v>1142</v>
      </c>
      <c r="AG421" s="360">
        <v>0</v>
      </c>
      <c r="AH421" s="360">
        <v>0</v>
      </c>
      <c r="AI421" s="360">
        <v>0</v>
      </c>
      <c r="AJ421" s="360">
        <v>0</v>
      </c>
      <c r="AK421" s="360">
        <v>0</v>
      </c>
      <c r="AL421" s="360">
        <f t="shared" si="27"/>
        <v>227</v>
      </c>
      <c r="AM421" s="362">
        <f>ERP_8[[#This Row],[2026 Working Total]]-ERP_8[[#This Row],[LE2 Final Submission]]</f>
        <v>0</v>
      </c>
      <c r="AN421" s="79">
        <v>0</v>
      </c>
      <c r="AO421" s="79">
        <f t="shared" si="29"/>
        <v>0</v>
      </c>
      <c r="AP421" s="374">
        <f>SUM(ERP_8[[#This Row],[AP01]:[AP07]])-SUM(ERP_8[[#This Row],[AP01 LE2]:[AP07 LE2]])</f>
        <v>0</v>
      </c>
      <c r="AQ421" s="80"/>
      <c r="AR421" s="79">
        <f>ERP_8[[#This Row],[2026 Working Total to Budget/LE]]-ERP_8[[#This Row],[Giveback]]</f>
        <v>0</v>
      </c>
      <c r="AS421" s="81"/>
      <c r="AT421" s="375"/>
      <c r="AU421" s="375">
        <v>227</v>
      </c>
      <c r="AV421" s="375">
        <v>0</v>
      </c>
      <c r="AW421" s="375">
        <v>0</v>
      </c>
      <c r="AX421" s="375">
        <v>0</v>
      </c>
      <c r="AY421" s="375">
        <v>0</v>
      </c>
      <c r="AZ421" s="375">
        <v>0</v>
      </c>
      <c r="BA421" s="375">
        <v>0</v>
      </c>
      <c r="BB421" s="375">
        <v>0</v>
      </c>
      <c r="BC421" s="375">
        <v>0</v>
      </c>
      <c r="BD421" s="375">
        <v>0</v>
      </c>
      <c r="BE421" s="375">
        <v>0</v>
      </c>
      <c r="BF421" s="375">
        <v>227</v>
      </c>
      <c r="BG421" s="79"/>
      <c r="BH421" s="79">
        <v>227</v>
      </c>
      <c r="BI421" s="79">
        <v>0</v>
      </c>
      <c r="BJ421" s="79">
        <v>0</v>
      </c>
      <c r="BK421" s="79">
        <v>0</v>
      </c>
      <c r="BL421" s="79">
        <v>0</v>
      </c>
      <c r="BM421" s="79">
        <v>0</v>
      </c>
      <c r="BN421" s="79">
        <v>0</v>
      </c>
      <c r="BO421" s="79">
        <v>0</v>
      </c>
      <c r="BP421" s="79">
        <v>0</v>
      </c>
      <c r="BQ421" s="79">
        <v>0</v>
      </c>
      <c r="BR421" s="79">
        <v>0</v>
      </c>
      <c r="BS421" s="79">
        <v>227</v>
      </c>
    </row>
    <row r="422" spans="1:71" ht="15" hidden="1" customHeight="1">
      <c r="A422" s="66" t="s">
        <v>2260</v>
      </c>
      <c r="B422" s="737" t="s">
        <v>669</v>
      </c>
      <c r="C422" s="346"/>
      <c r="D422" s="343" t="str">
        <f>_xlfn.TEXTJOIN("_",FALSE,E422,ERP_8[[#This Row],[Expense Category]],ERP_8[[#This Row],[Project Code*]])</f>
        <v>Dougherty, Chris_SOFTWARE_EP&amp;SCharges001</v>
      </c>
      <c r="E422" s="343" t="s">
        <v>1135</v>
      </c>
      <c r="F422" s="346"/>
      <c r="G422" s="150" t="s">
        <v>1136</v>
      </c>
      <c r="H422" s="150" t="s">
        <v>1135</v>
      </c>
      <c r="I422" s="150" t="s">
        <v>1135</v>
      </c>
      <c r="J422" s="150" t="s">
        <v>1137</v>
      </c>
      <c r="K422" s="511" t="s">
        <v>639</v>
      </c>
      <c r="L422" s="392" t="s">
        <v>1174</v>
      </c>
      <c r="M422" s="343"/>
      <c r="N422" s="800"/>
      <c r="O422" s="70" t="s">
        <v>56</v>
      </c>
      <c r="P422" s="346"/>
      <c r="Q422" s="346" t="s">
        <v>1140</v>
      </c>
      <c r="R422" s="346"/>
      <c r="S422" s="150" t="s">
        <v>57</v>
      </c>
      <c r="T422" s="150"/>
      <c r="U422" s="403"/>
      <c r="V422" s="406">
        <v>0</v>
      </c>
      <c r="W422" s="406">
        <v>4158.38</v>
      </c>
      <c r="X422" s="425"/>
      <c r="Y422" s="71"/>
      <c r="Z422" s="784">
        <v>279.45999999999998</v>
      </c>
      <c r="AA422" s="780">
        <v>279.45999999999998</v>
      </c>
      <c r="AB422" s="780">
        <v>899.46</v>
      </c>
      <c r="AC422" s="428">
        <v>139.72999999999999</v>
      </c>
      <c r="AD422" s="429">
        <v>139.72999999999999</v>
      </c>
      <c r="AE422" s="429">
        <v>139.72999999999999</v>
      </c>
      <c r="AF422" s="429">
        <v>0</v>
      </c>
      <c r="AG422" s="360">
        <v>300</v>
      </c>
      <c r="AH422" s="360">
        <v>300</v>
      </c>
      <c r="AI422" s="360">
        <v>300</v>
      </c>
      <c r="AJ422" s="360">
        <v>300</v>
      </c>
      <c r="AK422" s="360">
        <v>300</v>
      </c>
      <c r="AL422" s="360">
        <f t="shared" si="27"/>
        <v>3377.57</v>
      </c>
      <c r="AM422" s="362">
        <f>ERP_8[[#This Row],[2026 Working Total]]-ERP_8[[#This Row],[LE2 Final Submission]]</f>
        <v>-780.81</v>
      </c>
      <c r="AN422" s="79">
        <v>0</v>
      </c>
      <c r="AO422" s="79">
        <f t="shared" si="29"/>
        <v>139.72999999999999</v>
      </c>
      <c r="AP422" s="374">
        <f>SUM(ERP_8[[#This Row],[AP01]:[AP07]])-SUM(ERP_8[[#This Row],[AP01 LE2]:[AP07 LE2]])</f>
        <v>-780.81</v>
      </c>
      <c r="AQ422" s="80"/>
      <c r="AR422" s="79">
        <f>ERP_8[[#This Row],[2026 Working Total to Budget/LE]]-ERP_8[[#This Row],[Giveback]]</f>
        <v>-780.81</v>
      </c>
      <c r="AS422" s="81"/>
      <c r="AT422" s="375">
        <v>279.45999999999998</v>
      </c>
      <c r="AU422" s="375">
        <v>279.45999999999998</v>
      </c>
      <c r="AV422" s="375">
        <v>899.46</v>
      </c>
      <c r="AW422" s="375">
        <v>300</v>
      </c>
      <c r="AX422" s="375">
        <v>300</v>
      </c>
      <c r="AY422" s="375">
        <v>300</v>
      </c>
      <c r="AZ422" s="375">
        <v>300</v>
      </c>
      <c r="BA422" s="375">
        <v>300</v>
      </c>
      <c r="BB422" s="375">
        <v>300</v>
      </c>
      <c r="BC422" s="375">
        <v>300</v>
      </c>
      <c r="BD422" s="375">
        <v>300</v>
      </c>
      <c r="BE422" s="375">
        <v>300</v>
      </c>
      <c r="BF422" s="375">
        <v>4158.38</v>
      </c>
      <c r="BG422" s="79">
        <v>279.45999999999998</v>
      </c>
      <c r="BH422" s="79">
        <v>279.45999999999998</v>
      </c>
      <c r="BI422" s="79">
        <v>899.46</v>
      </c>
      <c r="BJ422" s="79">
        <v>0</v>
      </c>
      <c r="BK422" s="79">
        <v>0</v>
      </c>
      <c r="BL422" s="79">
        <v>0</v>
      </c>
      <c r="BM422" s="79">
        <v>0</v>
      </c>
      <c r="BN422" s="79">
        <v>0</v>
      </c>
      <c r="BO422" s="79">
        <v>0</v>
      </c>
      <c r="BP422" s="79">
        <v>0</v>
      </c>
      <c r="BQ422" s="79">
        <v>0</v>
      </c>
      <c r="BR422" s="79">
        <v>0</v>
      </c>
      <c r="BS422" s="79">
        <v>1458.38</v>
      </c>
    </row>
    <row r="423" spans="1:71" ht="15" hidden="1" customHeight="1">
      <c r="A423" s="66" t="s">
        <v>2261</v>
      </c>
      <c r="B423" s="737" t="s">
        <v>2262</v>
      </c>
      <c r="C423" s="346"/>
      <c r="D423" s="343" t="str">
        <f>_xlfn.TEXTJOIN("_",FALSE,E423,ERP_8[[#This Row],[Expense Category]],ERP_8[[#This Row],[Project Code*]])</f>
        <v>Dougherty, Chris_SOFTWARE_EP&amp;SCharges001</v>
      </c>
      <c r="E423" s="343" t="s">
        <v>1135</v>
      </c>
      <c r="F423" s="346"/>
      <c r="G423" s="150" t="s">
        <v>1136</v>
      </c>
      <c r="H423" s="150" t="s">
        <v>1135</v>
      </c>
      <c r="I423" s="150" t="s">
        <v>1145</v>
      </c>
      <c r="J423" s="150" t="s">
        <v>1137</v>
      </c>
      <c r="K423" s="511" t="s">
        <v>639</v>
      </c>
      <c r="L423" s="778" t="s">
        <v>1174</v>
      </c>
      <c r="M423" s="343"/>
      <c r="N423" s="800"/>
      <c r="O423" s="70" t="s">
        <v>56</v>
      </c>
      <c r="P423" s="346"/>
      <c r="Q423" s="346" t="s">
        <v>1140</v>
      </c>
      <c r="R423" s="346"/>
      <c r="S423" s="150" t="s">
        <v>57</v>
      </c>
      <c r="T423" s="150"/>
      <c r="U423" s="403"/>
      <c r="V423" s="406">
        <v>48000</v>
      </c>
      <c r="W423" s="406">
        <v>47938.130000000005</v>
      </c>
      <c r="X423" s="425"/>
      <c r="Y423" s="71"/>
      <c r="Z423" s="784">
        <v>4052.17</v>
      </c>
      <c r="AA423" s="780">
        <v>3772.71</v>
      </c>
      <c r="AB423" s="780">
        <v>4113.25</v>
      </c>
      <c r="AC423" s="428">
        <v>3493.25</v>
      </c>
      <c r="AD423" s="429">
        <v>3493.25</v>
      </c>
      <c r="AE423" s="429">
        <v>3493.25</v>
      </c>
      <c r="AF423" s="429">
        <v>3353.52</v>
      </c>
      <c r="AG423" s="363">
        <v>4000</v>
      </c>
      <c r="AH423" s="363">
        <v>4000</v>
      </c>
      <c r="AI423" s="363">
        <v>4000</v>
      </c>
      <c r="AJ423" s="363">
        <v>4000</v>
      </c>
      <c r="AK423" s="363">
        <v>4000</v>
      </c>
      <c r="AL423" s="360">
        <f t="shared" si="27"/>
        <v>45771.4</v>
      </c>
      <c r="AM423" s="362">
        <f>ERP_8[[#This Row],[2026 Working Total]]-ERP_8[[#This Row],[LE2 Final Submission]]</f>
        <v>-2166.7300000000032</v>
      </c>
      <c r="AN423" s="79">
        <v>0</v>
      </c>
      <c r="AO423" s="79">
        <f t="shared" si="29"/>
        <v>3493.25</v>
      </c>
      <c r="AP423" s="374">
        <f>SUM(ERP_8[[#This Row],[AP01]:[AP07]])-SUM(ERP_8[[#This Row],[AP01 LE2]:[AP07 LE2]])</f>
        <v>-2166.7299999999996</v>
      </c>
      <c r="AQ423" s="80"/>
      <c r="AR423" s="79">
        <f>ERP_8[[#This Row],[2026 Working Total to Budget/LE]]-ERP_8[[#This Row],[Giveback]]</f>
        <v>-2166.7300000000032</v>
      </c>
      <c r="AS423" s="81"/>
      <c r="AT423" s="375">
        <v>4052.17</v>
      </c>
      <c r="AU423" s="375">
        <v>3772.71</v>
      </c>
      <c r="AV423" s="375">
        <v>4113.25</v>
      </c>
      <c r="AW423" s="375">
        <v>4000</v>
      </c>
      <c r="AX423" s="375">
        <v>4000</v>
      </c>
      <c r="AY423" s="375">
        <v>4000</v>
      </c>
      <c r="AZ423" s="375">
        <v>4000</v>
      </c>
      <c r="BA423" s="375">
        <v>4000</v>
      </c>
      <c r="BB423" s="375">
        <v>4000</v>
      </c>
      <c r="BC423" s="375">
        <v>4000</v>
      </c>
      <c r="BD423" s="375">
        <v>4000</v>
      </c>
      <c r="BE423" s="375">
        <v>4000</v>
      </c>
      <c r="BF423" s="375">
        <v>47938.130000000005</v>
      </c>
      <c r="BG423" s="79">
        <v>4052.17</v>
      </c>
      <c r="BH423" s="79">
        <v>3772.71</v>
      </c>
      <c r="BI423" s="79">
        <v>4113.25</v>
      </c>
      <c r="BJ423" s="79">
        <v>4000</v>
      </c>
      <c r="BK423" s="79">
        <v>4000</v>
      </c>
      <c r="BL423" s="79">
        <v>4000</v>
      </c>
      <c r="BM423" s="79">
        <v>4000</v>
      </c>
      <c r="BN423" s="79">
        <v>4000</v>
      </c>
      <c r="BO423" s="79">
        <v>4000</v>
      </c>
      <c r="BP423" s="79">
        <v>4000</v>
      </c>
      <c r="BQ423" s="79">
        <v>4000</v>
      </c>
      <c r="BR423" s="79">
        <v>4000</v>
      </c>
      <c r="BS423" s="79">
        <v>47938.130000000005</v>
      </c>
    </row>
    <row r="424" spans="1:71" ht="15" hidden="1" customHeight="1">
      <c r="A424" s="66" t="s">
        <v>2263</v>
      </c>
      <c r="B424" s="737" t="s">
        <v>2264</v>
      </c>
      <c r="C424" s="346"/>
      <c r="D424" s="343" t="str">
        <f>_xlfn.TEXTJOIN("_",FALSE,E424,ERP_8[[#This Row],[Expense Category]],ERP_8[[#This Row],[Project Code*]])</f>
        <v>Dougherty, Chris_SOFTWARE_EP&amp;SCharges001</v>
      </c>
      <c r="E424" s="343" t="s">
        <v>1135</v>
      </c>
      <c r="F424" s="346"/>
      <c r="G424" s="150" t="s">
        <v>1136</v>
      </c>
      <c r="H424" s="150" t="s">
        <v>1135</v>
      </c>
      <c r="I424" s="150" t="s">
        <v>1165</v>
      </c>
      <c r="J424" s="150" t="s">
        <v>1137</v>
      </c>
      <c r="K424" s="511" t="s">
        <v>639</v>
      </c>
      <c r="L424" s="392" t="s">
        <v>1174</v>
      </c>
      <c r="M424" s="343"/>
      <c r="N424" s="800"/>
      <c r="O424" s="70" t="s">
        <v>56</v>
      </c>
      <c r="P424" s="346"/>
      <c r="Q424" s="346" t="s">
        <v>1140</v>
      </c>
      <c r="R424" s="346"/>
      <c r="S424" s="150" t="s">
        <v>57</v>
      </c>
      <c r="T424" s="150"/>
      <c r="U424" s="403"/>
      <c r="V424" s="406">
        <v>8383.7999999999975</v>
      </c>
      <c r="W424" s="406">
        <v>8383.76</v>
      </c>
      <c r="X424" s="425"/>
      <c r="Y424" s="71"/>
      <c r="Z424" s="784">
        <v>698.65</v>
      </c>
      <c r="AA424" s="780">
        <v>558.91999999999996</v>
      </c>
      <c r="AB424" s="780">
        <v>419.19</v>
      </c>
      <c r="AC424" s="428">
        <v>279.45999999999998</v>
      </c>
      <c r="AD424" s="429">
        <v>279.45999999999998</v>
      </c>
      <c r="AE424" s="429">
        <v>279.45999999999998</v>
      </c>
      <c r="AF424" s="429">
        <v>279.45999999999998</v>
      </c>
      <c r="AG424" s="363">
        <v>750</v>
      </c>
      <c r="AH424" s="363">
        <v>750</v>
      </c>
      <c r="AI424" s="363">
        <v>750</v>
      </c>
      <c r="AJ424" s="363">
        <v>750</v>
      </c>
      <c r="AK424" s="363">
        <v>750</v>
      </c>
      <c r="AL424" s="360">
        <f t="shared" si="27"/>
        <v>6544.6</v>
      </c>
      <c r="AM424" s="362">
        <f>ERP_8[[#This Row],[2026 Working Total]]-ERP_8[[#This Row],[LE2 Final Submission]]</f>
        <v>-1839.1599999999999</v>
      </c>
      <c r="AN424" s="79">
        <v>0</v>
      </c>
      <c r="AO424" s="79">
        <f t="shared" si="29"/>
        <v>279.45999999999998</v>
      </c>
      <c r="AP424" s="374">
        <f>SUM(ERP_8[[#This Row],[AP01]:[AP07]])-SUM(ERP_8[[#This Row],[AP01 LE2]:[AP07 LE2]])</f>
        <v>-1839.1600000000003</v>
      </c>
      <c r="AQ424" s="80"/>
      <c r="AR424" s="79">
        <f>ERP_8[[#This Row],[2026 Working Total to Budget/LE]]-ERP_8[[#This Row],[Giveback]]</f>
        <v>-1839.1599999999999</v>
      </c>
      <c r="AS424" s="81"/>
      <c r="AT424" s="375">
        <v>698.65</v>
      </c>
      <c r="AU424" s="375">
        <v>558.91999999999996</v>
      </c>
      <c r="AV424" s="375">
        <v>419.19</v>
      </c>
      <c r="AW424" s="375">
        <v>690</v>
      </c>
      <c r="AX424" s="375">
        <v>767</v>
      </c>
      <c r="AY424" s="375">
        <v>750</v>
      </c>
      <c r="AZ424" s="375">
        <v>750</v>
      </c>
      <c r="BA424" s="375">
        <v>750</v>
      </c>
      <c r="BB424" s="375">
        <v>750</v>
      </c>
      <c r="BC424" s="375">
        <v>750</v>
      </c>
      <c r="BD424" s="375">
        <v>750</v>
      </c>
      <c r="BE424" s="375">
        <v>750</v>
      </c>
      <c r="BF424" s="375">
        <v>8383.76</v>
      </c>
      <c r="BG424" s="79">
        <v>698.65</v>
      </c>
      <c r="BH424" s="79">
        <v>558.91999999999996</v>
      </c>
      <c r="BI424" s="79">
        <v>419.19</v>
      </c>
      <c r="BJ424" s="79">
        <v>698.65</v>
      </c>
      <c r="BK424" s="79">
        <v>698.65</v>
      </c>
      <c r="BL424" s="79">
        <v>698.65</v>
      </c>
      <c r="BM424" s="79">
        <v>698.65</v>
      </c>
      <c r="BN424" s="79">
        <v>698.65</v>
      </c>
      <c r="BO424" s="79">
        <v>698.65</v>
      </c>
      <c r="BP424" s="79">
        <v>698.65</v>
      </c>
      <c r="BQ424" s="79">
        <v>698.65</v>
      </c>
      <c r="BR424" s="79">
        <v>698.65</v>
      </c>
      <c r="BS424" s="79">
        <v>7964.6099999999979</v>
      </c>
    </row>
    <row r="425" spans="1:71" ht="15" hidden="1" customHeight="1">
      <c r="A425" s="66" t="s">
        <v>2265</v>
      </c>
      <c r="B425" s="737" t="s">
        <v>2266</v>
      </c>
      <c r="C425" s="346"/>
      <c r="D425" s="343" t="str">
        <f>_xlfn.TEXTJOIN("_",FALSE,E425,ERP_8[[#This Row],[Expense Category]],ERP_8[[#This Row],[Project Code*]])</f>
        <v>Dougherty, Chris_SOFTWARE_IT-FBT0665-OG-US-00</v>
      </c>
      <c r="E425" s="343" t="s">
        <v>1135</v>
      </c>
      <c r="F425" s="346"/>
      <c r="G425" s="150" t="s">
        <v>1136</v>
      </c>
      <c r="H425" s="150" t="s">
        <v>1135</v>
      </c>
      <c r="I425" s="150" t="s">
        <v>1165</v>
      </c>
      <c r="J425" s="150" t="s">
        <v>1137</v>
      </c>
      <c r="K425" s="511" t="s">
        <v>639</v>
      </c>
      <c r="L425" s="392" t="s">
        <v>1858</v>
      </c>
      <c r="M425" s="343"/>
      <c r="N425" s="800"/>
      <c r="O425" s="70" t="s">
        <v>449</v>
      </c>
      <c r="P425" s="346"/>
      <c r="Q425" s="346" t="s">
        <v>1140</v>
      </c>
      <c r="R425" s="346"/>
      <c r="S425" s="150" t="s">
        <v>57</v>
      </c>
      <c r="T425" s="150"/>
      <c r="U425" s="403"/>
      <c r="V425" s="406">
        <v>0</v>
      </c>
      <c r="W425" s="406">
        <v>838.37999999999988</v>
      </c>
      <c r="X425" s="425"/>
      <c r="Y425" s="71"/>
      <c r="Z425" s="784">
        <v>279.45999999999998</v>
      </c>
      <c r="AA425" s="794">
        <v>279.45999999999998</v>
      </c>
      <c r="AB425" s="794">
        <v>279.45999999999998</v>
      </c>
      <c r="AC425" s="429">
        <v>279.45999999999998</v>
      </c>
      <c r="AD425" s="429">
        <v>139.72999999999999</v>
      </c>
      <c r="AE425" s="429">
        <v>139.72999999999999</v>
      </c>
      <c r="AF425" s="429">
        <v>139.72999999999999</v>
      </c>
      <c r="AG425" s="360">
        <v>0</v>
      </c>
      <c r="AH425" s="360">
        <v>0</v>
      </c>
      <c r="AI425" s="360">
        <v>0</v>
      </c>
      <c r="AJ425" s="360">
        <v>0</v>
      </c>
      <c r="AK425" s="360">
        <v>0</v>
      </c>
      <c r="AL425" s="360">
        <f t="shared" si="27"/>
        <v>1537.03</v>
      </c>
      <c r="AM425" s="362">
        <f>ERP_8[[#This Row],[2026 Working Total]]-ERP_8[[#This Row],[LE2 Final Submission]]</f>
        <v>698.65000000000009</v>
      </c>
      <c r="AN425" s="79">
        <v>0</v>
      </c>
      <c r="AO425" s="79">
        <f t="shared" si="29"/>
        <v>139.72999999999999</v>
      </c>
      <c r="AP425" s="374">
        <f>SUM(ERP_8[[#This Row],[AP01]:[AP07]])-SUM(ERP_8[[#This Row],[AP01 LE2]:[AP07 LE2]])</f>
        <v>698.65000000000009</v>
      </c>
      <c r="AQ425" s="80"/>
      <c r="AR425" s="79">
        <f>ERP_8[[#This Row],[2026 Working Total to Budget/LE]]-ERP_8[[#This Row],[Giveback]]</f>
        <v>698.65000000000009</v>
      </c>
      <c r="AS425" s="81"/>
      <c r="AT425" s="375">
        <v>279.45999999999998</v>
      </c>
      <c r="AU425" s="375">
        <v>279.45999999999998</v>
      </c>
      <c r="AV425" s="375">
        <v>279.45999999999998</v>
      </c>
      <c r="AW425" s="375">
        <v>0</v>
      </c>
      <c r="AX425" s="375">
        <v>0</v>
      </c>
      <c r="AY425" s="375">
        <v>0</v>
      </c>
      <c r="AZ425" s="375">
        <v>0</v>
      </c>
      <c r="BA425" s="375">
        <v>0</v>
      </c>
      <c r="BB425" s="375">
        <v>0</v>
      </c>
      <c r="BC425" s="375">
        <v>0</v>
      </c>
      <c r="BD425" s="375">
        <v>0</v>
      </c>
      <c r="BE425" s="375">
        <v>0</v>
      </c>
      <c r="BF425" s="375">
        <v>838.37999999999988</v>
      </c>
      <c r="BG425" s="79">
        <v>279.45999999999998</v>
      </c>
      <c r="BH425" s="79">
        <v>279.45999999999998</v>
      </c>
      <c r="BI425" s="79">
        <v>279.45999999999998</v>
      </c>
      <c r="BJ425" s="79">
        <v>0</v>
      </c>
      <c r="BK425" s="79">
        <v>0</v>
      </c>
      <c r="BL425" s="79">
        <v>0</v>
      </c>
      <c r="BM425" s="79">
        <v>0</v>
      </c>
      <c r="BN425" s="79">
        <v>0</v>
      </c>
      <c r="BO425" s="79">
        <v>0</v>
      </c>
      <c r="BP425" s="79">
        <v>0</v>
      </c>
      <c r="BQ425" s="79">
        <v>0</v>
      </c>
      <c r="BR425" s="79">
        <v>0</v>
      </c>
      <c r="BS425" s="79">
        <v>838.37999999999988</v>
      </c>
    </row>
    <row r="426" spans="1:71" ht="15" hidden="1" customHeight="1">
      <c r="A426" s="66" t="s">
        <v>2267</v>
      </c>
      <c r="B426" s="737" t="s">
        <v>2268</v>
      </c>
      <c r="C426" s="346"/>
      <c r="D426" s="343" t="str">
        <f>_xlfn.TEXTJOIN("_",FALSE,E426,ERP_8[[#This Row],[Expense Category]],ERP_8[[#This Row],[Project Code*]])</f>
        <v>Dougherty, Chris_SOFTWARE_IT-FBT0675-OG-US-00</v>
      </c>
      <c r="E426" s="343" t="s">
        <v>1135</v>
      </c>
      <c r="F426" s="346"/>
      <c r="G426" s="150" t="s">
        <v>1136</v>
      </c>
      <c r="H426" s="150" t="s">
        <v>1135</v>
      </c>
      <c r="I426" s="150" t="s">
        <v>1165</v>
      </c>
      <c r="J426" s="150" t="s">
        <v>1137</v>
      </c>
      <c r="K426" s="511" t="s">
        <v>639</v>
      </c>
      <c r="L426" s="392" t="s">
        <v>1863</v>
      </c>
      <c r="M426" s="343"/>
      <c r="N426" s="800"/>
      <c r="O426" s="70" t="s">
        <v>451</v>
      </c>
      <c r="P426" s="346"/>
      <c r="Q426" s="346" t="s">
        <v>1140</v>
      </c>
      <c r="R426" s="346"/>
      <c r="S426" s="150" t="s">
        <v>57</v>
      </c>
      <c r="T426" s="150"/>
      <c r="U426" s="403"/>
      <c r="V426" s="406">
        <v>1854.9999960000002</v>
      </c>
      <c r="W426" s="406">
        <v>2120.4399970000004</v>
      </c>
      <c r="X426" s="425"/>
      <c r="Y426" s="71"/>
      <c r="Z426" s="784">
        <v>139.72999999999999</v>
      </c>
      <c r="AA426" s="780">
        <v>139.72999999999999</v>
      </c>
      <c r="AB426" s="780">
        <v>449.73</v>
      </c>
      <c r="AC426" s="428">
        <v>139.72999999999999</v>
      </c>
      <c r="AD426" s="429">
        <v>139.72999999999999</v>
      </c>
      <c r="AE426" s="429">
        <v>139.72999999999999</v>
      </c>
      <c r="AF426" s="429">
        <v>139.72999999999999</v>
      </c>
      <c r="AG426" s="363">
        <v>154.58333300000001</v>
      </c>
      <c r="AH426" s="363">
        <v>154.58333300000001</v>
      </c>
      <c r="AI426" s="363">
        <v>154.58333300000001</v>
      </c>
      <c r="AJ426" s="363">
        <v>154.58333300000001</v>
      </c>
      <c r="AK426" s="363">
        <v>154.58333300000001</v>
      </c>
      <c r="AL426" s="360">
        <f t="shared" si="27"/>
        <v>2061.0266650000003</v>
      </c>
      <c r="AM426" s="362">
        <f>ERP_8[[#This Row],[2026 Working Total]]-ERP_8[[#This Row],[LE2 Final Submission]]</f>
        <v>-59.413332000000082</v>
      </c>
      <c r="AN426" s="79">
        <v>154.58333300000001</v>
      </c>
      <c r="AO426" s="79">
        <f t="shared" si="29"/>
        <v>-14.853333000000021</v>
      </c>
      <c r="AP426" s="374">
        <f>SUM(ERP_8[[#This Row],[AP01]:[AP07]])-SUM(ERP_8[[#This Row],[AP01 LE2]:[AP07 LE2]])</f>
        <v>-59.413332000000082</v>
      </c>
      <c r="AQ426" s="80"/>
      <c r="AR426" s="79">
        <f>ERP_8[[#This Row],[2026 Working Total to Budget/LE]]-ERP_8[[#This Row],[Giveback]]</f>
        <v>-59.413332000000082</v>
      </c>
      <c r="AS426" s="81"/>
      <c r="AT426" s="375">
        <v>139.72999999999999</v>
      </c>
      <c r="AU426" s="375">
        <v>139.72999999999999</v>
      </c>
      <c r="AV426" s="375">
        <v>449.73</v>
      </c>
      <c r="AW426" s="375">
        <v>154.58333300000001</v>
      </c>
      <c r="AX426" s="375">
        <v>154.58333300000001</v>
      </c>
      <c r="AY426" s="375">
        <v>154.58333300000001</v>
      </c>
      <c r="AZ426" s="375">
        <v>154.58333300000001</v>
      </c>
      <c r="BA426" s="375">
        <v>154.58333300000001</v>
      </c>
      <c r="BB426" s="375">
        <v>154.58333300000001</v>
      </c>
      <c r="BC426" s="375">
        <v>154.58333300000001</v>
      </c>
      <c r="BD426" s="375">
        <v>154.58333300000001</v>
      </c>
      <c r="BE426" s="375">
        <v>154.58333300000001</v>
      </c>
      <c r="BF426" s="375">
        <v>2120.4399970000004</v>
      </c>
      <c r="BG426" s="79">
        <v>139.72999999999999</v>
      </c>
      <c r="BH426" s="79">
        <v>139.72999999999999</v>
      </c>
      <c r="BI426" s="79">
        <v>449.73</v>
      </c>
      <c r="BJ426" s="79">
        <v>154.58333300000001</v>
      </c>
      <c r="BK426" s="79">
        <v>154.58333300000001</v>
      </c>
      <c r="BL426" s="79">
        <v>154.58333300000001</v>
      </c>
      <c r="BM426" s="79">
        <v>154.58333300000001</v>
      </c>
      <c r="BN426" s="79">
        <v>154.58333300000001</v>
      </c>
      <c r="BO426" s="79">
        <v>154.58333300000001</v>
      </c>
      <c r="BP426" s="79">
        <v>154.58333300000001</v>
      </c>
      <c r="BQ426" s="79">
        <v>154.58333300000001</v>
      </c>
      <c r="BR426" s="79">
        <v>154.58333300000001</v>
      </c>
      <c r="BS426" s="79">
        <v>2120.4399970000004</v>
      </c>
    </row>
    <row r="427" spans="1:71" ht="15" hidden="1" customHeight="1">
      <c r="A427" s="66" t="s">
        <v>2269</v>
      </c>
      <c r="B427" s="737" t="s">
        <v>2270</v>
      </c>
      <c r="C427" s="346"/>
      <c r="D427" s="343" t="str">
        <f>_xlfn.TEXTJOIN("_",FALSE,E427,ERP_8[[#This Row],[Expense Category]],ERP_8[[#This Row],[Project Code*]])</f>
        <v>Dougherty, Chris_SOFTWARE_IT-FBT0980-OT-US-00</v>
      </c>
      <c r="E427" s="343" t="s">
        <v>1135</v>
      </c>
      <c r="F427" s="346"/>
      <c r="G427" s="150" t="s">
        <v>1136</v>
      </c>
      <c r="H427" s="150" t="s">
        <v>1345</v>
      </c>
      <c r="I427" s="150" t="s">
        <v>1346</v>
      </c>
      <c r="J427" s="150" t="s">
        <v>1346</v>
      </c>
      <c r="K427" s="511" t="s">
        <v>639</v>
      </c>
      <c r="L427" s="392" t="s">
        <v>1889</v>
      </c>
      <c r="M427" s="343"/>
      <c r="N427" s="800"/>
      <c r="O427" s="70" t="s">
        <v>578</v>
      </c>
      <c r="P427" s="346"/>
      <c r="Q427" s="346" t="s">
        <v>1221</v>
      </c>
      <c r="R427" s="346"/>
      <c r="S427" s="150" t="s">
        <v>272</v>
      </c>
      <c r="T427" s="834" t="s">
        <v>1890</v>
      </c>
      <c r="U427" s="403"/>
      <c r="V427" s="406">
        <v>0</v>
      </c>
      <c r="W427" s="406">
        <v>139.72999999999999</v>
      </c>
      <c r="X427" s="425"/>
      <c r="Y427" s="71"/>
      <c r="Z427" s="784">
        <v>139.72999999999999</v>
      </c>
      <c r="AA427" s="794">
        <v>139.72999999999999</v>
      </c>
      <c r="AB427" s="794">
        <v>-139.72999999999999</v>
      </c>
      <c r="AC427" s="428">
        <v>0</v>
      </c>
      <c r="AD427" s="429">
        <v>0</v>
      </c>
      <c r="AE427" s="429">
        <v>0</v>
      </c>
      <c r="AF427" s="429">
        <v>0</v>
      </c>
      <c r="AG427" s="363">
        <v>0</v>
      </c>
      <c r="AH427" s="363">
        <v>0</v>
      </c>
      <c r="AI427" s="363">
        <v>0</v>
      </c>
      <c r="AJ427" s="363">
        <v>0</v>
      </c>
      <c r="AK427" s="363">
        <v>0</v>
      </c>
      <c r="AL427" s="360">
        <f t="shared" si="27"/>
        <v>139.72999999999999</v>
      </c>
      <c r="AM427" s="362">
        <f>ERP_8[[#This Row],[2026 Working Total]]-ERP_8[[#This Row],[LE2 Final Submission]]</f>
        <v>0</v>
      </c>
      <c r="AN427" s="79">
        <v>0</v>
      </c>
      <c r="AO427" s="79">
        <f t="shared" si="29"/>
        <v>0</v>
      </c>
      <c r="AP427" s="374">
        <f>SUM(ERP_8[[#This Row],[AP01]:[AP07]])-SUM(ERP_8[[#This Row],[AP01 LE2]:[AP07 LE2]])</f>
        <v>0</v>
      </c>
      <c r="AQ427" s="80"/>
      <c r="AR427" s="79">
        <f>ERP_8[[#This Row],[2026 Working Total to Budget/LE]]-ERP_8[[#This Row],[Giveback]]</f>
        <v>0</v>
      </c>
      <c r="AS427" s="81"/>
      <c r="AT427" s="375">
        <v>139.72999999999999</v>
      </c>
      <c r="AU427" s="375">
        <v>139.72999999999999</v>
      </c>
      <c r="AV427" s="375">
        <v>-139.72999999999999</v>
      </c>
      <c r="AW427" s="375">
        <v>0</v>
      </c>
      <c r="AX427" s="375">
        <v>0</v>
      </c>
      <c r="AY427" s="375">
        <v>0</v>
      </c>
      <c r="AZ427" s="375">
        <v>0</v>
      </c>
      <c r="BA427" s="375">
        <v>0</v>
      </c>
      <c r="BB427" s="375">
        <v>0</v>
      </c>
      <c r="BC427" s="375">
        <v>0</v>
      </c>
      <c r="BD427" s="375">
        <v>0</v>
      </c>
      <c r="BE427" s="375">
        <v>0</v>
      </c>
      <c r="BF427" s="375">
        <v>139.72999999999999</v>
      </c>
      <c r="BG427" s="79">
        <v>139.72999999999999</v>
      </c>
      <c r="BH427" s="79">
        <v>139.72999999999999</v>
      </c>
      <c r="BI427" s="79">
        <v>-139.72999999999999</v>
      </c>
      <c r="BJ427" s="79">
        <v>139.72999999999999</v>
      </c>
      <c r="BK427" s="79">
        <v>139.72999999999999</v>
      </c>
      <c r="BL427" s="79">
        <v>139.72999999999999</v>
      </c>
      <c r="BM427" s="79">
        <v>139.72999999999999</v>
      </c>
      <c r="BN427" s="79">
        <v>139.72999999999999</v>
      </c>
      <c r="BO427" s="79">
        <v>139.72999999999999</v>
      </c>
      <c r="BP427" s="79">
        <v>139.72999999999999</v>
      </c>
      <c r="BQ427" s="79">
        <v>139.72999999999999</v>
      </c>
      <c r="BR427" s="79">
        <v>139.72999999999999</v>
      </c>
      <c r="BS427" s="79">
        <v>1397.3</v>
      </c>
    </row>
    <row r="428" spans="1:71" ht="15" hidden="1" customHeight="1">
      <c r="A428" s="79" t="s">
        <v>2271</v>
      </c>
      <c r="B428" s="749" t="s">
        <v>672</v>
      </c>
      <c r="C428" s="348"/>
      <c r="D428" s="347" t="str">
        <f>_xlfn.TEXTJOIN("_",FALSE,E428,ERP_8[[#This Row],[Expense Category]],ERP_8[[#This Row],[Project Code*]])</f>
        <v>Dougherty, Chris_SOFTWARE_IT-FGS0298-SW-US-00</v>
      </c>
      <c r="E428" s="347" t="s">
        <v>1135</v>
      </c>
      <c r="F428" s="348"/>
      <c r="G428" s="150" t="s">
        <v>1136</v>
      </c>
      <c r="H428" s="332" t="s">
        <v>1135</v>
      </c>
      <c r="I428" s="332" t="s">
        <v>1135</v>
      </c>
      <c r="J428" s="333" t="s">
        <v>1135</v>
      </c>
      <c r="K428" s="514" t="s">
        <v>639</v>
      </c>
      <c r="L428" s="394"/>
      <c r="M428" s="333"/>
      <c r="N428" s="801"/>
      <c r="O428" s="90" t="s">
        <v>673</v>
      </c>
      <c r="P428" s="347"/>
      <c r="Q428" s="347"/>
      <c r="R428" s="348"/>
      <c r="S428" s="348"/>
      <c r="T428" s="348"/>
      <c r="U428" s="402"/>
      <c r="V428" s="358"/>
      <c r="W428" s="379"/>
      <c r="X428" s="425"/>
      <c r="Y428" s="71"/>
      <c r="Z428" s="784"/>
      <c r="AA428" s="794"/>
      <c r="AB428" s="794"/>
      <c r="AC428" s="429"/>
      <c r="AD428" s="429"/>
      <c r="AE428" s="429">
        <v>308.33</v>
      </c>
      <c r="AF428" s="429">
        <v>308.33</v>
      </c>
      <c r="AG428" s="364"/>
      <c r="AH428" s="364"/>
      <c r="AI428" s="364"/>
      <c r="AJ428" s="364"/>
      <c r="AK428" s="364"/>
      <c r="AL428" s="360">
        <f t="shared" si="27"/>
        <v>616.66</v>
      </c>
      <c r="AM428" s="362">
        <f>ERP_8[[#This Row],[2026 Working Total]]-ERP_8[[#This Row],[LE2 Final Submission]]</f>
        <v>616.66</v>
      </c>
      <c r="AN428" s="79"/>
      <c r="AO428" s="79">
        <f t="shared" si="29"/>
        <v>308.33</v>
      </c>
      <c r="AP428" s="374">
        <f>SUM(ERP_8[[#This Row],[AP01]:[AP07]])-SUM(ERP_8[[#This Row],[AP01 LE2]:[AP07 LE2]])</f>
        <v>616.66</v>
      </c>
      <c r="AQ428" s="80"/>
      <c r="AR428" s="79">
        <f>ERP_8[[#This Row],[2026 Working Total to Budget/LE]]-ERP_8[[#This Row],[Giveback]]</f>
        <v>616.66</v>
      </c>
      <c r="AS428" s="81"/>
      <c r="AT428" s="375"/>
      <c r="AU428" s="375"/>
      <c r="AV428" s="375"/>
      <c r="AW428" s="375"/>
      <c r="AX428" s="375"/>
      <c r="AY428" s="375"/>
      <c r="AZ428" s="375"/>
      <c r="BA428" s="375"/>
      <c r="BB428" s="375"/>
      <c r="BC428" s="375"/>
      <c r="BD428" s="375"/>
      <c r="BE428" s="375"/>
      <c r="BF428" s="375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</row>
    <row r="429" spans="1:71" ht="15" hidden="1" customHeight="1">
      <c r="A429" s="66" t="s">
        <v>2272</v>
      </c>
      <c r="B429" s="737" t="s">
        <v>2273</v>
      </c>
      <c r="C429" s="346"/>
      <c r="D429" s="343" t="str">
        <f>_xlfn.TEXTJOIN("_",FALSE,E429,ERP_8[[#This Row],[Expense Category]],ERP_8[[#This Row],[Project Code*]])</f>
        <v>Dougherty, Chris_SOFTWARE_IT-FGS0298-SW-US-00</v>
      </c>
      <c r="E429" s="343" t="s">
        <v>1135</v>
      </c>
      <c r="F429" s="346"/>
      <c r="G429" s="150" t="s">
        <v>1136</v>
      </c>
      <c r="H429" s="150" t="s">
        <v>1135</v>
      </c>
      <c r="I429" s="150" t="s">
        <v>1145</v>
      </c>
      <c r="J429" s="150" t="s">
        <v>1137</v>
      </c>
      <c r="K429" s="511" t="s">
        <v>639</v>
      </c>
      <c r="L429" s="778" t="s">
        <v>2274</v>
      </c>
      <c r="M429" s="343"/>
      <c r="N429" s="800"/>
      <c r="O429" s="70" t="s">
        <v>673</v>
      </c>
      <c r="P429" s="346"/>
      <c r="Q429" s="346" t="s">
        <v>1140</v>
      </c>
      <c r="R429" s="346"/>
      <c r="S429" s="150" t="s">
        <v>57</v>
      </c>
      <c r="T429" s="150"/>
      <c r="U429" s="403"/>
      <c r="V429" s="406">
        <v>0</v>
      </c>
      <c r="W429" s="406">
        <v>616.66</v>
      </c>
      <c r="X429" s="425"/>
      <c r="Y429" s="71"/>
      <c r="Z429" s="784">
        <v>308.33</v>
      </c>
      <c r="AA429" s="780">
        <v>0</v>
      </c>
      <c r="AB429" s="780">
        <v>308.33</v>
      </c>
      <c r="AC429" s="428">
        <v>308.33</v>
      </c>
      <c r="AD429" s="429">
        <v>308.33</v>
      </c>
      <c r="AE429" s="429">
        <v>0</v>
      </c>
      <c r="AF429" s="429">
        <v>0</v>
      </c>
      <c r="AG429" s="360">
        <v>0</v>
      </c>
      <c r="AH429" s="360">
        <v>0</v>
      </c>
      <c r="AI429" s="360">
        <v>0</v>
      </c>
      <c r="AJ429" s="360">
        <v>0</v>
      </c>
      <c r="AK429" s="360">
        <v>0</v>
      </c>
      <c r="AL429" s="360">
        <f t="shared" si="27"/>
        <v>1233.32</v>
      </c>
      <c r="AM429" s="362">
        <f>ERP_8[[#This Row],[2026 Working Total]]-ERP_8[[#This Row],[LE2 Final Submission]]</f>
        <v>616.66</v>
      </c>
      <c r="AN429" s="79">
        <v>0</v>
      </c>
      <c r="AO429" s="79">
        <f t="shared" si="29"/>
        <v>0</v>
      </c>
      <c r="AP429" s="374">
        <f>SUM(ERP_8[[#This Row],[AP01]:[AP07]])-SUM(ERP_8[[#This Row],[AP01 LE2]:[AP07 LE2]])</f>
        <v>616.66</v>
      </c>
      <c r="AQ429" s="80"/>
      <c r="AR429" s="79">
        <f>ERP_8[[#This Row],[2026 Working Total to Budget/LE]]-ERP_8[[#This Row],[Giveback]]</f>
        <v>616.66</v>
      </c>
      <c r="AS429" s="81"/>
      <c r="AT429" s="375">
        <v>308.33</v>
      </c>
      <c r="AU429" s="375">
        <v>0</v>
      </c>
      <c r="AV429" s="375">
        <v>308.33</v>
      </c>
      <c r="AW429" s="375">
        <v>0</v>
      </c>
      <c r="AX429" s="375">
        <v>0</v>
      </c>
      <c r="AY429" s="375">
        <v>0</v>
      </c>
      <c r="AZ429" s="375">
        <v>0</v>
      </c>
      <c r="BA429" s="375">
        <v>0</v>
      </c>
      <c r="BB429" s="375">
        <v>0</v>
      </c>
      <c r="BC429" s="375">
        <v>0</v>
      </c>
      <c r="BD429" s="375">
        <v>0</v>
      </c>
      <c r="BE429" s="375">
        <v>0</v>
      </c>
      <c r="BF429" s="375">
        <v>616.66</v>
      </c>
      <c r="BG429" s="79">
        <v>308.33</v>
      </c>
      <c r="BH429" s="79">
        <v>0</v>
      </c>
      <c r="BI429" s="79">
        <v>308.33</v>
      </c>
      <c r="BJ429" s="79">
        <v>0</v>
      </c>
      <c r="BK429" s="79">
        <v>0</v>
      </c>
      <c r="BL429" s="79">
        <v>0</v>
      </c>
      <c r="BM429" s="79">
        <v>0</v>
      </c>
      <c r="BN429" s="79">
        <v>0</v>
      </c>
      <c r="BO429" s="79">
        <v>0</v>
      </c>
      <c r="BP429" s="79">
        <v>0</v>
      </c>
      <c r="BQ429" s="79">
        <v>0</v>
      </c>
      <c r="BR429" s="79">
        <v>0</v>
      </c>
      <c r="BS429" s="79">
        <v>616.66</v>
      </c>
    </row>
    <row r="430" spans="1:71" ht="15" hidden="1" customHeight="1">
      <c r="A430" s="66" t="s">
        <v>2275</v>
      </c>
      <c r="B430" s="737" t="s">
        <v>2276</v>
      </c>
      <c r="C430" s="346"/>
      <c r="D430" s="343" t="str">
        <f>_xlfn.TEXTJOIN("_",FALSE,E430,ERP_8[[#This Row],[Expense Category]],ERP_8[[#This Row],[Project Code*]])</f>
        <v>Dougherty, Chris_SOFTWARE_IT-FGS0298-SW-US-00</v>
      </c>
      <c r="E430" s="343" t="s">
        <v>1135</v>
      </c>
      <c r="F430" s="346"/>
      <c r="G430" s="150" t="s">
        <v>1136</v>
      </c>
      <c r="H430" s="150" t="s">
        <v>1135</v>
      </c>
      <c r="I430" s="150" t="s">
        <v>1165</v>
      </c>
      <c r="J430" s="150" t="s">
        <v>1137</v>
      </c>
      <c r="K430" s="511" t="s">
        <v>639</v>
      </c>
      <c r="L430" s="392" t="s">
        <v>2274</v>
      </c>
      <c r="M430" s="343"/>
      <c r="N430" s="800"/>
      <c r="O430" s="70" t="s">
        <v>673</v>
      </c>
      <c r="P430" s="346"/>
      <c r="Q430" s="346" t="s">
        <v>1140</v>
      </c>
      <c r="R430" s="346"/>
      <c r="S430" s="150" t="s">
        <v>57</v>
      </c>
      <c r="T430" s="150"/>
      <c r="U430" s="403"/>
      <c r="V430" s="406">
        <v>11109.88</v>
      </c>
      <c r="W430" s="406">
        <v>9249.9</v>
      </c>
      <c r="X430" s="425"/>
      <c r="Y430" s="71"/>
      <c r="Z430" s="784">
        <v>616.66</v>
      </c>
      <c r="AA430" s="780">
        <v>0</v>
      </c>
      <c r="AB430" s="780">
        <v>308.33</v>
      </c>
      <c r="AC430" s="428">
        <v>308.33</v>
      </c>
      <c r="AD430" s="429">
        <v>308.33</v>
      </c>
      <c r="AE430" s="429">
        <v>308.33</v>
      </c>
      <c r="AF430" s="429">
        <v>308.33</v>
      </c>
      <c r="AG430" s="363">
        <v>308</v>
      </c>
      <c r="AH430" s="363">
        <v>308</v>
      </c>
      <c r="AI430" s="363">
        <v>308</v>
      </c>
      <c r="AJ430" s="363">
        <v>308</v>
      </c>
      <c r="AK430" s="363">
        <v>308</v>
      </c>
      <c r="AL430" s="360">
        <f t="shared" si="27"/>
        <v>3698.31</v>
      </c>
      <c r="AM430" s="362">
        <f>ERP_8[[#This Row],[2026 Working Total]]-ERP_8[[#This Row],[LE2 Final Submission]]</f>
        <v>-5551.59</v>
      </c>
      <c r="AN430" s="79">
        <v>924.99</v>
      </c>
      <c r="AO430" s="79">
        <f t="shared" si="29"/>
        <v>-616.66000000000008</v>
      </c>
      <c r="AP430" s="374">
        <f>SUM(ERP_8[[#This Row],[AP01]:[AP07]])-SUM(ERP_8[[#This Row],[AP01 LE2]:[AP07 LE2]])</f>
        <v>-2466.64</v>
      </c>
      <c r="AQ430" s="80"/>
      <c r="AR430" s="79">
        <f>ERP_8[[#This Row],[2026 Working Total to Budget/LE]]-ERP_8[[#This Row],[Giveback]]</f>
        <v>-5551.59</v>
      </c>
      <c r="AS430" s="81"/>
      <c r="AT430" s="375">
        <v>616.66</v>
      </c>
      <c r="AU430" s="375">
        <v>0</v>
      </c>
      <c r="AV430" s="375">
        <v>308.33</v>
      </c>
      <c r="AW430" s="375">
        <v>924.99</v>
      </c>
      <c r="AX430" s="375">
        <v>924.99</v>
      </c>
      <c r="AY430" s="375">
        <v>924.99</v>
      </c>
      <c r="AZ430" s="375">
        <v>924.99</v>
      </c>
      <c r="BA430" s="375">
        <v>924.99</v>
      </c>
      <c r="BB430" s="375">
        <v>924.99</v>
      </c>
      <c r="BC430" s="375">
        <v>924.99</v>
      </c>
      <c r="BD430" s="375">
        <v>924.99</v>
      </c>
      <c r="BE430" s="375">
        <v>924.99</v>
      </c>
      <c r="BF430" s="375">
        <v>9249.9</v>
      </c>
      <c r="BG430" s="79">
        <v>616.66</v>
      </c>
      <c r="BH430" s="79">
        <v>0</v>
      </c>
      <c r="BI430" s="79">
        <v>308.33</v>
      </c>
      <c r="BJ430" s="79">
        <v>924.99</v>
      </c>
      <c r="BK430" s="79">
        <v>924.99</v>
      </c>
      <c r="BL430" s="79">
        <v>924.99</v>
      </c>
      <c r="BM430" s="79">
        <v>924.99</v>
      </c>
      <c r="BN430" s="79">
        <v>924.99</v>
      </c>
      <c r="BO430" s="79">
        <v>924.99</v>
      </c>
      <c r="BP430" s="79">
        <v>924.99</v>
      </c>
      <c r="BQ430" s="79">
        <v>924.99</v>
      </c>
      <c r="BR430" s="79">
        <v>924.99</v>
      </c>
      <c r="BS430" s="79">
        <v>9249.9</v>
      </c>
    </row>
    <row r="431" spans="1:71" ht="15" hidden="1" customHeight="1">
      <c r="A431" s="66" t="s">
        <v>2277</v>
      </c>
      <c r="B431" s="737" t="s">
        <v>674</v>
      </c>
      <c r="C431" s="346"/>
      <c r="D431" s="343" t="str">
        <f>_xlfn.TEXTJOIN("_",FALSE,E431,ERP_8[[#This Row],[Expense Category]],ERP_8[[#This Row],[Project Code*]])</f>
        <v>Dougherty, Chris_SOFTWARE_IT-FGS0299-OG-US-00</v>
      </c>
      <c r="E431" s="343" t="s">
        <v>1135</v>
      </c>
      <c r="F431" s="346"/>
      <c r="G431" s="150" t="s">
        <v>1136</v>
      </c>
      <c r="H431" s="150" t="s">
        <v>1135</v>
      </c>
      <c r="I431" s="150" t="s">
        <v>1135</v>
      </c>
      <c r="J431" s="150" t="s">
        <v>1137</v>
      </c>
      <c r="K431" s="511" t="s">
        <v>639</v>
      </c>
      <c r="L431" s="392" t="s">
        <v>1703</v>
      </c>
      <c r="M431" s="343"/>
      <c r="N431" s="800"/>
      <c r="O431" s="70" t="s">
        <v>365</v>
      </c>
      <c r="P431" s="346"/>
      <c r="Q431" s="346" t="s">
        <v>1140</v>
      </c>
      <c r="R431" s="346"/>
      <c r="S431" s="150" t="s">
        <v>57</v>
      </c>
      <c r="T431" s="150"/>
      <c r="U431" s="403"/>
      <c r="V431" s="406">
        <v>0</v>
      </c>
      <c r="W431" s="406">
        <v>288</v>
      </c>
      <c r="X431" s="430"/>
      <c r="Y431" s="137"/>
      <c r="Z431" s="784"/>
      <c r="AA431" s="780">
        <v>288</v>
      </c>
      <c r="AB431" s="780">
        <v>0</v>
      </c>
      <c r="AC431" s="428">
        <v>0</v>
      </c>
      <c r="AD431" s="429">
        <v>800</v>
      </c>
      <c r="AE431" s="429">
        <v>0</v>
      </c>
      <c r="AF431" s="429">
        <v>0</v>
      </c>
      <c r="AG431" s="360">
        <v>0</v>
      </c>
      <c r="AH431" s="360">
        <v>0</v>
      </c>
      <c r="AI431" s="360">
        <v>0</v>
      </c>
      <c r="AJ431" s="360">
        <v>0</v>
      </c>
      <c r="AK431" s="360">
        <v>0</v>
      </c>
      <c r="AL431" s="360">
        <f t="shared" si="27"/>
        <v>1088</v>
      </c>
      <c r="AM431" s="362">
        <f>ERP_8[[#This Row],[2026 Working Total]]-ERP_8[[#This Row],[LE2 Final Submission]]</f>
        <v>800</v>
      </c>
      <c r="AN431" s="79">
        <v>0</v>
      </c>
      <c r="AO431" s="79">
        <f t="shared" si="29"/>
        <v>0</v>
      </c>
      <c r="AP431" s="374">
        <f>SUM(ERP_8[[#This Row],[AP01]:[AP07]])-SUM(ERP_8[[#This Row],[AP01 LE2]:[AP07 LE2]])</f>
        <v>800</v>
      </c>
      <c r="AQ431" s="80"/>
      <c r="AR431" s="79">
        <f>ERP_8[[#This Row],[2026 Working Total to Budget/LE]]-ERP_8[[#This Row],[Giveback]]</f>
        <v>800</v>
      </c>
      <c r="AS431" s="81"/>
      <c r="AT431" s="375"/>
      <c r="AU431" s="375">
        <v>288</v>
      </c>
      <c r="AV431" s="375">
        <v>0</v>
      </c>
      <c r="AW431" s="375">
        <v>0</v>
      </c>
      <c r="AX431" s="375">
        <v>0</v>
      </c>
      <c r="AY431" s="375">
        <v>0</v>
      </c>
      <c r="AZ431" s="375">
        <v>0</v>
      </c>
      <c r="BA431" s="375">
        <v>0</v>
      </c>
      <c r="BB431" s="375">
        <v>0</v>
      </c>
      <c r="BC431" s="375">
        <v>0</v>
      </c>
      <c r="BD431" s="375">
        <v>0</v>
      </c>
      <c r="BE431" s="375">
        <v>0</v>
      </c>
      <c r="BF431" s="375">
        <v>288</v>
      </c>
      <c r="BG431" s="79"/>
      <c r="BH431" s="79">
        <v>288</v>
      </c>
      <c r="BI431" s="79">
        <v>0</v>
      </c>
      <c r="BJ431" s="79">
        <v>0</v>
      </c>
      <c r="BK431" s="79">
        <v>0</v>
      </c>
      <c r="BL431" s="79">
        <v>0</v>
      </c>
      <c r="BM431" s="79">
        <v>0</v>
      </c>
      <c r="BN431" s="79">
        <v>0</v>
      </c>
      <c r="BO431" s="79">
        <v>0</v>
      </c>
      <c r="BP431" s="79">
        <v>0</v>
      </c>
      <c r="BQ431" s="79">
        <v>0</v>
      </c>
      <c r="BR431" s="79">
        <v>0</v>
      </c>
      <c r="BS431" s="79">
        <v>288</v>
      </c>
    </row>
    <row r="432" spans="1:71" ht="15" hidden="1" customHeight="1">
      <c r="A432" s="79" t="s">
        <v>2278</v>
      </c>
      <c r="B432" s="749" t="s">
        <v>2279</v>
      </c>
      <c r="C432" s="348"/>
      <c r="D432" s="347" t="str">
        <f>_xlfn.TEXTJOIN("_",FALSE,E432,ERP_8[[#This Row],[Expense Category]],ERP_8[[#This Row],[Project Code*]])</f>
        <v>Dougherty, Chris_SOFTWARE_IT-FGS0299-OG-US-00</v>
      </c>
      <c r="E432" s="347" t="s">
        <v>1135</v>
      </c>
      <c r="F432" s="348"/>
      <c r="G432" s="150" t="s">
        <v>1136</v>
      </c>
      <c r="H432" s="332" t="s">
        <v>1135</v>
      </c>
      <c r="I432" s="332" t="s">
        <v>1137</v>
      </c>
      <c r="J432" s="333" t="s">
        <v>1135</v>
      </c>
      <c r="K432" s="514" t="s">
        <v>639</v>
      </c>
      <c r="L432" s="394"/>
      <c r="M432" s="333"/>
      <c r="N432" s="801"/>
      <c r="O432" s="90" t="s">
        <v>365</v>
      </c>
      <c r="P432" s="347"/>
      <c r="Q432" s="347"/>
      <c r="R432" s="348"/>
      <c r="S432" s="348"/>
      <c r="T432" s="1" t="s">
        <v>1141</v>
      </c>
      <c r="U432" s="402"/>
      <c r="V432" s="358"/>
      <c r="W432" s="379"/>
      <c r="X432" s="425"/>
      <c r="Y432" s="71"/>
      <c r="Z432" s="784"/>
      <c r="AA432" s="780"/>
      <c r="AB432" s="780"/>
      <c r="AC432" s="429"/>
      <c r="AD432" s="429"/>
      <c r="AE432" s="429">
        <v>446.19</v>
      </c>
      <c r="AF432" s="429">
        <v>0</v>
      </c>
      <c r="AG432" s="364"/>
      <c r="AH432" s="364"/>
      <c r="AI432" s="364"/>
      <c r="AJ432" s="364"/>
      <c r="AK432" s="364"/>
      <c r="AL432" s="360">
        <f t="shared" si="27"/>
        <v>446.19</v>
      </c>
      <c r="AM432" s="362">
        <f>ERP_8[[#This Row],[2026 Working Total]]-ERP_8[[#This Row],[LE2 Final Submission]]</f>
        <v>446.19</v>
      </c>
      <c r="AN432" s="79"/>
      <c r="AO432" s="79">
        <f t="shared" si="29"/>
        <v>446.19</v>
      </c>
      <c r="AP432" s="374">
        <f>SUM(ERP_8[[#This Row],[AP01]:[AP07]])-SUM(ERP_8[[#This Row],[AP01 LE2]:[AP07 LE2]])</f>
        <v>446.19</v>
      </c>
      <c r="AQ432" s="80"/>
      <c r="AR432" s="79">
        <f>ERP_8[[#This Row],[2026 Working Total to Budget/LE]]-ERP_8[[#This Row],[Giveback]]</f>
        <v>446.19</v>
      </c>
      <c r="AS432" s="81"/>
      <c r="AT432" s="375"/>
      <c r="AU432" s="375"/>
      <c r="AV432" s="375"/>
      <c r="AW432" s="375"/>
      <c r="AX432" s="375"/>
      <c r="AY432" s="375"/>
      <c r="AZ432" s="375"/>
      <c r="BA432" s="375"/>
      <c r="BB432" s="375"/>
      <c r="BC432" s="375"/>
      <c r="BD432" s="375"/>
      <c r="BE432" s="375"/>
      <c r="BF432" s="375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</row>
    <row r="433" spans="1:71" ht="15" hidden="1" customHeight="1">
      <c r="A433" s="66" t="s">
        <v>2280</v>
      </c>
      <c r="B433" s="737" t="s">
        <v>2281</v>
      </c>
      <c r="C433" s="346"/>
      <c r="D433" s="343" t="str">
        <f>_xlfn.TEXTJOIN("_",FALSE,E433,ERP_8[[#This Row],[Expense Category]],ERP_8[[#This Row],[Project Code*]])</f>
        <v>Dougherty, Chris_SOFTWARE_IT-FGS0299-OG-US-00</v>
      </c>
      <c r="E433" s="343" t="s">
        <v>1135</v>
      </c>
      <c r="F433" s="346"/>
      <c r="G433" s="150" t="s">
        <v>1136</v>
      </c>
      <c r="H433" s="150" t="s">
        <v>1135</v>
      </c>
      <c r="I433" s="150" t="s">
        <v>1165</v>
      </c>
      <c r="J433" s="150" t="s">
        <v>1137</v>
      </c>
      <c r="K433" s="511" t="s">
        <v>639</v>
      </c>
      <c r="L433" s="392" t="s">
        <v>1703</v>
      </c>
      <c r="M433" s="343"/>
      <c r="N433" s="800"/>
      <c r="O433" s="70" t="s">
        <v>365</v>
      </c>
      <c r="P433" s="346"/>
      <c r="Q433" s="346" t="s">
        <v>1140</v>
      </c>
      <c r="R433" s="346"/>
      <c r="S433" s="150" t="s">
        <v>57</v>
      </c>
      <c r="T433" s="150"/>
      <c r="U433" s="403"/>
      <c r="V433" s="406">
        <v>0</v>
      </c>
      <c r="W433" s="406">
        <v>18.920000000000002</v>
      </c>
      <c r="X433" s="425"/>
      <c r="Y433" s="71"/>
      <c r="Z433" s="784"/>
      <c r="AA433" s="780">
        <v>18.920000000000002</v>
      </c>
      <c r="AB433" s="780">
        <v>0</v>
      </c>
      <c r="AC433" s="428">
        <v>0</v>
      </c>
      <c r="AD433" s="429">
        <v>0</v>
      </c>
      <c r="AE433" s="429">
        <v>0</v>
      </c>
      <c r="AF433" s="429">
        <v>0</v>
      </c>
      <c r="AG433" s="360">
        <v>0</v>
      </c>
      <c r="AH433" s="360">
        <v>0</v>
      </c>
      <c r="AI433" s="360">
        <v>0</v>
      </c>
      <c r="AJ433" s="360">
        <v>0</v>
      </c>
      <c r="AK433" s="360">
        <v>0</v>
      </c>
      <c r="AL433" s="360">
        <f t="shared" si="27"/>
        <v>18.920000000000002</v>
      </c>
      <c r="AM433" s="362">
        <f>ERP_8[[#This Row],[2026 Working Total]]-ERP_8[[#This Row],[LE2 Final Submission]]</f>
        <v>0</v>
      </c>
      <c r="AN433" s="79">
        <v>0</v>
      </c>
      <c r="AO433" s="79">
        <f t="shared" si="29"/>
        <v>0</v>
      </c>
      <c r="AP433" s="374">
        <f>SUM(ERP_8[[#This Row],[AP01]:[AP07]])-SUM(ERP_8[[#This Row],[AP01 LE2]:[AP07 LE2]])</f>
        <v>0</v>
      </c>
      <c r="AQ433" s="80"/>
      <c r="AR433" s="79">
        <f>ERP_8[[#This Row],[2026 Working Total to Budget/LE]]-ERP_8[[#This Row],[Giveback]]</f>
        <v>0</v>
      </c>
      <c r="AS433" s="81"/>
      <c r="AT433" s="375"/>
      <c r="AU433" s="375">
        <v>18.920000000000002</v>
      </c>
      <c r="AV433" s="375">
        <v>0</v>
      </c>
      <c r="AW433" s="375">
        <v>0</v>
      </c>
      <c r="AX433" s="375">
        <v>0</v>
      </c>
      <c r="AY433" s="375">
        <v>0</v>
      </c>
      <c r="AZ433" s="375">
        <v>0</v>
      </c>
      <c r="BA433" s="375">
        <v>0</v>
      </c>
      <c r="BB433" s="375">
        <v>0</v>
      </c>
      <c r="BC433" s="375">
        <v>0</v>
      </c>
      <c r="BD433" s="375">
        <v>0</v>
      </c>
      <c r="BE433" s="375">
        <v>0</v>
      </c>
      <c r="BF433" s="375">
        <v>18.920000000000002</v>
      </c>
      <c r="BG433" s="79"/>
      <c r="BH433" s="79">
        <v>18.920000000000002</v>
      </c>
      <c r="BI433" s="79">
        <v>0</v>
      </c>
      <c r="BJ433" s="79">
        <v>0</v>
      </c>
      <c r="BK433" s="79">
        <v>0</v>
      </c>
      <c r="BL433" s="79">
        <v>0</v>
      </c>
      <c r="BM433" s="79">
        <v>0</v>
      </c>
      <c r="BN433" s="79">
        <v>0</v>
      </c>
      <c r="BO433" s="79">
        <v>0</v>
      </c>
      <c r="BP433" s="79">
        <v>0</v>
      </c>
      <c r="BQ433" s="79">
        <v>0</v>
      </c>
      <c r="BR433" s="79">
        <v>0</v>
      </c>
      <c r="BS433" s="79">
        <v>18.920000000000002</v>
      </c>
    </row>
    <row r="434" spans="1:71" ht="15" hidden="1" customHeight="1">
      <c r="A434" s="79" t="s">
        <v>1269</v>
      </c>
      <c r="B434" s="296" t="s">
        <v>2282</v>
      </c>
      <c r="C434" s="109"/>
      <c r="D434" s="347" t="str">
        <f>_xlfn.TEXTJOIN("_",FALSE,E434,ERP_8[[#This Row],[Expense Category]],ERP_8[[#This Row],[Project Code*]])</f>
        <v>Dougherty, Chris_SOFTWARE_IT-FGS0300-SW-US-00</v>
      </c>
      <c r="E434" s="109" t="s">
        <v>1135</v>
      </c>
      <c r="F434" s="109"/>
      <c r="G434" s="332" t="s">
        <v>1136</v>
      </c>
      <c r="H434" s="332" t="s">
        <v>1135</v>
      </c>
      <c r="I434" s="332" t="s">
        <v>1156</v>
      </c>
      <c r="J434" s="333" t="s">
        <v>1156</v>
      </c>
      <c r="K434" s="514" t="s">
        <v>639</v>
      </c>
      <c r="L434" s="394"/>
      <c r="M434" s="333"/>
      <c r="N434" s="801"/>
      <c r="O434" s="824" t="s">
        <v>676</v>
      </c>
      <c r="P434" s="347"/>
      <c r="Q434" s="347"/>
      <c r="R434" s="348"/>
      <c r="S434" s="348"/>
      <c r="T434" s="348" t="s">
        <v>2283</v>
      </c>
      <c r="U434" s="402"/>
      <c r="V434" s="358"/>
      <c r="W434" s="379"/>
      <c r="X434" s="425"/>
      <c r="Y434" s="71"/>
      <c r="Z434" s="784"/>
      <c r="AA434" s="794"/>
      <c r="AB434" s="794"/>
      <c r="AC434" s="429"/>
      <c r="AD434" s="780"/>
      <c r="AE434" s="429"/>
      <c r="AF434" s="429">
        <v>227</v>
      </c>
      <c r="AG434" s="364"/>
      <c r="AH434" s="364"/>
      <c r="AI434" s="364"/>
      <c r="AJ434" s="364"/>
      <c r="AK434" s="364"/>
      <c r="AL434" s="360">
        <f t="shared" si="27"/>
        <v>227</v>
      </c>
      <c r="AM434" s="362">
        <f>ERP_8[[#This Row],[2026 Working Total]]-ERP_8[[#This Row],[LE2 Final Submission]]</f>
        <v>227</v>
      </c>
      <c r="AN434" s="79"/>
      <c r="AO434" s="79">
        <f t="shared" si="29"/>
        <v>0</v>
      </c>
      <c r="AP434" s="391">
        <f>SUM(ERP_8[[#This Row],[AP01]:[AP07]])-SUM(ERP_8[[#This Row],[AP01 LE2]:[AP07 LE2]])</f>
        <v>227</v>
      </c>
      <c r="AQ434" s="80"/>
      <c r="AR434" s="79">
        <f>ERP_8[[#This Row],[2026 Working Total to Budget/LE]]-ERP_8[[#This Row],[Giveback]]</f>
        <v>227</v>
      </c>
      <c r="AS434" s="81"/>
      <c r="AT434" s="375"/>
      <c r="AU434" s="375"/>
      <c r="AV434" s="375"/>
      <c r="AW434" s="375"/>
      <c r="AX434" s="375"/>
      <c r="AY434" s="375"/>
      <c r="AZ434" s="375"/>
      <c r="BA434" s="375"/>
      <c r="BB434" s="375"/>
      <c r="BC434" s="375"/>
      <c r="BD434" s="375"/>
      <c r="BE434" s="375"/>
      <c r="BF434" s="375"/>
      <c r="BG434" s="79"/>
      <c r="BH434" s="79"/>
      <c r="BI434" s="79"/>
      <c r="BJ434" s="79"/>
      <c r="BK434" s="79"/>
      <c r="BL434" s="79"/>
      <c r="BM434" s="79"/>
      <c r="BN434" s="79"/>
      <c r="BO434" s="79"/>
      <c r="BP434" s="79"/>
      <c r="BQ434" s="79"/>
      <c r="BR434" s="79"/>
      <c r="BS434" s="79"/>
    </row>
    <row r="435" spans="1:71" ht="15" hidden="1" customHeight="1">
      <c r="A435" s="66" t="s">
        <v>2284</v>
      </c>
      <c r="B435" s="737" t="s">
        <v>675</v>
      </c>
      <c r="C435" s="346"/>
      <c r="D435" s="343" t="str">
        <f>_xlfn.TEXTJOIN("_",FALSE,E435,ERP_8[[#This Row],[Expense Category]],ERP_8[[#This Row],[Project Code*]])</f>
        <v>Dougherty, Chris_SOFTWARE_IT-FGS0300-SW-US-00</v>
      </c>
      <c r="E435" s="343" t="s">
        <v>1135</v>
      </c>
      <c r="F435" s="346"/>
      <c r="G435" s="150" t="s">
        <v>1136</v>
      </c>
      <c r="H435" s="150" t="s">
        <v>1135</v>
      </c>
      <c r="I435" s="150" t="s">
        <v>1135</v>
      </c>
      <c r="J435" s="150" t="s">
        <v>1137</v>
      </c>
      <c r="K435" s="511" t="s">
        <v>639</v>
      </c>
      <c r="L435" s="392" t="s">
        <v>2285</v>
      </c>
      <c r="M435" s="343"/>
      <c r="N435" s="800"/>
      <c r="O435" s="70" t="s">
        <v>676</v>
      </c>
      <c r="P435" s="346"/>
      <c r="Q435" s="346" t="s">
        <v>1140</v>
      </c>
      <c r="R435" s="346"/>
      <c r="S435" s="150" t="s">
        <v>677</v>
      </c>
      <c r="T435" s="150"/>
      <c r="U435" s="403"/>
      <c r="V435" s="406">
        <v>6000</v>
      </c>
      <c r="W435" s="406">
        <v>10540</v>
      </c>
      <c r="X435" s="425"/>
      <c r="Y435" s="71"/>
      <c r="Z435" s="784"/>
      <c r="AA435" s="780">
        <v>4313</v>
      </c>
      <c r="AB435" s="780">
        <v>227</v>
      </c>
      <c r="AC435" s="428">
        <v>0</v>
      </c>
      <c r="AD435" s="429">
        <v>1362</v>
      </c>
      <c r="AE435" s="429">
        <v>0</v>
      </c>
      <c r="AF435" s="429">
        <v>0</v>
      </c>
      <c r="AG435" s="363">
        <v>6000</v>
      </c>
      <c r="AH435" s="360">
        <v>0</v>
      </c>
      <c r="AI435" s="360">
        <v>0</v>
      </c>
      <c r="AJ435" s="360">
        <v>0</v>
      </c>
      <c r="AK435" s="360">
        <v>0</v>
      </c>
      <c r="AL435" s="360">
        <f t="shared" si="27"/>
        <v>11902</v>
      </c>
      <c r="AM435" s="362">
        <f>ERP_8[[#This Row],[2026 Working Total]]-ERP_8[[#This Row],[LE2 Final Submission]]</f>
        <v>1362</v>
      </c>
      <c r="AN435" s="79">
        <v>0</v>
      </c>
      <c r="AO435" s="79">
        <f t="shared" si="29"/>
        <v>0</v>
      </c>
      <c r="AP435" s="374">
        <f>SUM(ERP_8[[#This Row],[AP01]:[AP07]])-SUM(ERP_8[[#This Row],[AP01 LE2]:[AP07 LE2]])</f>
        <v>1362</v>
      </c>
      <c r="AQ435" s="80"/>
      <c r="AR435" s="79">
        <f>ERP_8[[#This Row],[2026 Working Total to Budget/LE]]-ERP_8[[#This Row],[Giveback]]</f>
        <v>1362</v>
      </c>
      <c r="AS435" s="81"/>
      <c r="AT435" s="375"/>
      <c r="AU435" s="375">
        <v>4313</v>
      </c>
      <c r="AV435" s="375">
        <v>227</v>
      </c>
      <c r="AW435" s="375">
        <v>0</v>
      </c>
      <c r="AX435" s="375">
        <v>0</v>
      </c>
      <c r="AY435" s="375">
        <v>0</v>
      </c>
      <c r="AZ435" s="375">
        <v>0</v>
      </c>
      <c r="BA435" s="375">
        <v>6000</v>
      </c>
      <c r="BB435" s="375">
        <v>0</v>
      </c>
      <c r="BC435" s="375">
        <v>0</v>
      </c>
      <c r="BD435" s="375">
        <v>0</v>
      </c>
      <c r="BE435" s="375">
        <v>0</v>
      </c>
      <c r="BF435" s="375">
        <v>10540</v>
      </c>
      <c r="BG435" s="79"/>
      <c r="BH435" s="79">
        <v>4313</v>
      </c>
      <c r="BI435" s="79">
        <v>227</v>
      </c>
      <c r="BJ435" s="79">
        <v>0</v>
      </c>
      <c r="BK435" s="79">
        <v>0</v>
      </c>
      <c r="BL435" s="79">
        <v>0</v>
      </c>
      <c r="BM435" s="79">
        <v>0</v>
      </c>
      <c r="BN435" s="79">
        <v>6000</v>
      </c>
      <c r="BO435" s="79">
        <v>0</v>
      </c>
      <c r="BP435" s="79">
        <v>0</v>
      </c>
      <c r="BQ435" s="79">
        <v>0</v>
      </c>
      <c r="BR435" s="79">
        <v>0</v>
      </c>
      <c r="BS435" s="79">
        <v>10540</v>
      </c>
    </row>
    <row r="436" spans="1:71" ht="15" hidden="1" customHeight="1">
      <c r="A436" s="66" t="s">
        <v>2286</v>
      </c>
      <c r="B436" s="737" t="s">
        <v>2287</v>
      </c>
      <c r="C436" s="346"/>
      <c r="D436" s="343" t="str">
        <f>_xlfn.TEXTJOIN("_",FALSE,E436,ERP_8[[#This Row],[Expense Category]],ERP_8[[#This Row],[Project Code*]])</f>
        <v>Dougherty, Chris_SOFTWARE_IT-FGS0300-SW-US-00</v>
      </c>
      <c r="E436" s="343" t="s">
        <v>1135</v>
      </c>
      <c r="F436" s="346"/>
      <c r="G436" s="150" t="s">
        <v>1136</v>
      </c>
      <c r="H436" s="150" t="s">
        <v>1135</v>
      </c>
      <c r="I436" s="150" t="s">
        <v>1137</v>
      </c>
      <c r="J436" s="150" t="s">
        <v>1137</v>
      </c>
      <c r="K436" s="511" t="s">
        <v>639</v>
      </c>
      <c r="L436" s="392" t="s">
        <v>2285</v>
      </c>
      <c r="M436" s="343"/>
      <c r="N436" s="800"/>
      <c r="O436" s="70" t="s">
        <v>676</v>
      </c>
      <c r="P436" s="346"/>
      <c r="Q436" s="346" t="s">
        <v>1140</v>
      </c>
      <c r="R436" s="346"/>
      <c r="S436" s="150" t="s">
        <v>677</v>
      </c>
      <c r="T436" s="1" t="s">
        <v>1141</v>
      </c>
      <c r="U436" s="403"/>
      <c r="V436" s="406">
        <v>10000</v>
      </c>
      <c r="W436" s="406">
        <v>12811.43</v>
      </c>
      <c r="X436" s="425"/>
      <c r="Y436" s="71"/>
      <c r="Z436" s="784">
        <v>553.5</v>
      </c>
      <c r="AA436" s="780">
        <v>681</v>
      </c>
      <c r="AB436" s="780">
        <v>1576.93</v>
      </c>
      <c r="AC436" s="428">
        <v>227</v>
      </c>
      <c r="AD436" s="429">
        <v>496.48</v>
      </c>
      <c r="AE436" s="429">
        <v>0</v>
      </c>
      <c r="AF436" s="429">
        <v>681</v>
      </c>
      <c r="AG436" s="360">
        <v>0</v>
      </c>
      <c r="AH436" s="360">
        <v>0</v>
      </c>
      <c r="AI436" s="360">
        <v>0</v>
      </c>
      <c r="AJ436" s="360">
        <v>0</v>
      </c>
      <c r="AK436" s="363">
        <v>5000</v>
      </c>
      <c r="AL436" s="360">
        <f t="shared" si="27"/>
        <v>9215.91</v>
      </c>
      <c r="AM436" s="362">
        <f>ERP_8[[#This Row],[2026 Working Total]]-ERP_8[[#This Row],[LE2 Final Submission]]</f>
        <v>-3595.5200000000004</v>
      </c>
      <c r="AN436" s="79">
        <v>0</v>
      </c>
      <c r="AO436" s="79">
        <f t="shared" si="29"/>
        <v>0</v>
      </c>
      <c r="AP436" s="374">
        <f>SUM(ERP_8[[#This Row],[AP01]:[AP07]])-SUM(ERP_8[[#This Row],[AP01 LE2]:[AP07 LE2]])</f>
        <v>-3595.5200000000004</v>
      </c>
      <c r="AQ436" s="80"/>
      <c r="AR436" s="79">
        <f>ERP_8[[#This Row],[2026 Working Total to Budget/LE]]-ERP_8[[#This Row],[Giveback]]</f>
        <v>-3595.5200000000004</v>
      </c>
      <c r="AS436" s="81"/>
      <c r="AT436" s="375">
        <v>553.5</v>
      </c>
      <c r="AU436" s="375">
        <v>681</v>
      </c>
      <c r="AV436" s="375">
        <v>1576.93</v>
      </c>
      <c r="AW436" s="375">
        <v>0</v>
      </c>
      <c r="AX436" s="375">
        <v>0</v>
      </c>
      <c r="AY436" s="375">
        <v>5000</v>
      </c>
      <c r="AZ436" s="375">
        <v>0</v>
      </c>
      <c r="BA436" s="375">
        <v>0</v>
      </c>
      <c r="BB436" s="375">
        <v>0</v>
      </c>
      <c r="BC436" s="375">
        <v>0</v>
      </c>
      <c r="BD436" s="375">
        <v>0</v>
      </c>
      <c r="BE436" s="375">
        <v>5000</v>
      </c>
      <c r="BF436" s="375">
        <v>12811.43</v>
      </c>
      <c r="BG436" s="79">
        <v>553.5</v>
      </c>
      <c r="BH436" s="79">
        <v>681</v>
      </c>
      <c r="BI436" s="79">
        <v>1576.93</v>
      </c>
      <c r="BJ436" s="79">
        <v>0</v>
      </c>
      <c r="BK436" s="79">
        <v>0</v>
      </c>
      <c r="BL436" s="79">
        <v>5000</v>
      </c>
      <c r="BM436" s="79">
        <v>0</v>
      </c>
      <c r="BN436" s="79">
        <v>0</v>
      </c>
      <c r="BO436" s="79">
        <v>0</v>
      </c>
      <c r="BP436" s="79">
        <v>0</v>
      </c>
      <c r="BQ436" s="79">
        <v>0</v>
      </c>
      <c r="BR436" s="79">
        <v>5000</v>
      </c>
      <c r="BS436" s="79">
        <v>12811.43</v>
      </c>
    </row>
    <row r="437" spans="1:71" ht="15" hidden="1" customHeight="1">
      <c r="A437" s="66" t="s">
        <v>2288</v>
      </c>
      <c r="B437" s="737" t="s">
        <v>2289</v>
      </c>
      <c r="C437" s="346"/>
      <c r="D437" s="343" t="str">
        <f>_xlfn.TEXTJOIN("_",FALSE,E437,ERP_8[[#This Row],[Expense Category]],ERP_8[[#This Row],[Project Code*]])</f>
        <v>Dougherty, Chris_SOFTWARE_IT-FGS0300-SW-US-00</v>
      </c>
      <c r="E437" s="343" t="s">
        <v>1135</v>
      </c>
      <c r="F437" s="346"/>
      <c r="G437" s="150" t="s">
        <v>1136</v>
      </c>
      <c r="H437" s="150" t="s">
        <v>1135</v>
      </c>
      <c r="I437" s="150" t="s">
        <v>1145</v>
      </c>
      <c r="J437" s="150" t="s">
        <v>1137</v>
      </c>
      <c r="K437" s="511" t="s">
        <v>639</v>
      </c>
      <c r="L437" s="778" t="s">
        <v>2285</v>
      </c>
      <c r="M437" s="343"/>
      <c r="N437" s="800"/>
      <c r="O437" s="70" t="s">
        <v>676</v>
      </c>
      <c r="P437" s="346"/>
      <c r="Q437" s="346" t="s">
        <v>1140</v>
      </c>
      <c r="R437" s="346"/>
      <c r="S437" s="150" t="s">
        <v>677</v>
      </c>
      <c r="T437" s="150"/>
      <c r="U437" s="403"/>
      <c r="V437" s="406">
        <v>550</v>
      </c>
      <c r="W437" s="406">
        <v>777</v>
      </c>
      <c r="X437" s="425"/>
      <c r="Y437" s="71"/>
      <c r="Z437" s="784"/>
      <c r="AA437" s="780">
        <v>227</v>
      </c>
      <c r="AB437" s="780">
        <v>0</v>
      </c>
      <c r="AC437" s="428">
        <v>0</v>
      </c>
      <c r="AD437" s="429">
        <v>454</v>
      </c>
      <c r="AE437" s="429">
        <v>0</v>
      </c>
      <c r="AF437" s="429">
        <v>0</v>
      </c>
      <c r="AG437" s="360">
        <v>0</v>
      </c>
      <c r="AH437" s="360">
        <v>0</v>
      </c>
      <c r="AI437" s="360">
        <v>0</v>
      </c>
      <c r="AJ437" s="360">
        <v>0</v>
      </c>
      <c r="AK437" s="360">
        <v>0</v>
      </c>
      <c r="AL437" s="360">
        <f t="shared" si="27"/>
        <v>681</v>
      </c>
      <c r="AM437" s="362">
        <f>ERP_8[[#This Row],[2026 Working Total]]-ERP_8[[#This Row],[LE2 Final Submission]]</f>
        <v>-96</v>
      </c>
      <c r="AN437" s="79">
        <v>0</v>
      </c>
      <c r="AO437" s="79">
        <f t="shared" si="29"/>
        <v>0</v>
      </c>
      <c r="AP437" s="374">
        <f>SUM(ERP_8[[#This Row],[AP01]:[AP07]])-SUM(ERP_8[[#This Row],[AP01 LE2]:[AP07 LE2]])</f>
        <v>-96</v>
      </c>
      <c r="AQ437" s="80"/>
      <c r="AR437" s="79">
        <f>ERP_8[[#This Row],[2026 Working Total to Budget/LE]]-ERP_8[[#This Row],[Giveback]]</f>
        <v>-96</v>
      </c>
      <c r="AS437" s="81"/>
      <c r="AT437" s="375"/>
      <c r="AU437" s="375">
        <v>227</v>
      </c>
      <c r="AV437" s="375">
        <v>0</v>
      </c>
      <c r="AW437" s="375">
        <v>550</v>
      </c>
      <c r="AX437" s="375">
        <v>0</v>
      </c>
      <c r="AY437" s="375">
        <v>0</v>
      </c>
      <c r="AZ437" s="375">
        <v>0</v>
      </c>
      <c r="BA437" s="375">
        <v>0</v>
      </c>
      <c r="BB437" s="375">
        <v>0</v>
      </c>
      <c r="BC437" s="375">
        <v>0</v>
      </c>
      <c r="BD437" s="375">
        <v>0</v>
      </c>
      <c r="BE437" s="375">
        <v>0</v>
      </c>
      <c r="BF437" s="375">
        <v>777</v>
      </c>
      <c r="BG437" s="79"/>
      <c r="BH437" s="79">
        <v>227</v>
      </c>
      <c r="BI437" s="79">
        <v>0</v>
      </c>
      <c r="BJ437" s="79">
        <v>550</v>
      </c>
      <c r="BK437" s="79">
        <v>0</v>
      </c>
      <c r="BL437" s="79">
        <v>0</v>
      </c>
      <c r="BM437" s="79">
        <v>0</v>
      </c>
      <c r="BN437" s="79">
        <v>0</v>
      </c>
      <c r="BO437" s="79">
        <v>0</v>
      </c>
      <c r="BP437" s="79">
        <v>0</v>
      </c>
      <c r="BQ437" s="79">
        <v>0</v>
      </c>
      <c r="BR437" s="79">
        <v>0</v>
      </c>
      <c r="BS437" s="79">
        <v>777</v>
      </c>
    </row>
    <row r="438" spans="1:71" ht="15" hidden="1" customHeight="1">
      <c r="A438" s="66" t="s">
        <v>2290</v>
      </c>
      <c r="B438" s="737" t="s">
        <v>678</v>
      </c>
      <c r="C438" s="346"/>
      <c r="D438" s="343" t="str">
        <f>_xlfn.TEXTJOIN("_",FALSE,E438,ERP_8[[#This Row],[Expense Category]],ERP_8[[#This Row],[Project Code*]])</f>
        <v>Dougherty, Chris_SOFTWARE_IT-FGS0302-SW-US-00</v>
      </c>
      <c r="E438" s="343" t="s">
        <v>1135</v>
      </c>
      <c r="F438" s="346"/>
      <c r="G438" s="150" t="s">
        <v>1136</v>
      </c>
      <c r="H438" s="150" t="s">
        <v>1135</v>
      </c>
      <c r="I438" s="150" t="s">
        <v>1135</v>
      </c>
      <c r="J438" s="150" t="s">
        <v>1137</v>
      </c>
      <c r="K438" s="511" t="s">
        <v>639</v>
      </c>
      <c r="L438" s="392" t="s">
        <v>2291</v>
      </c>
      <c r="M438" s="343"/>
      <c r="N438" s="800"/>
      <c r="O438" s="70" t="s">
        <v>679</v>
      </c>
      <c r="P438" s="346" t="s">
        <v>1153</v>
      </c>
      <c r="Q438" s="346" t="s">
        <v>1140</v>
      </c>
      <c r="R438" s="346"/>
      <c r="S438" s="150" t="s">
        <v>680</v>
      </c>
      <c r="T438" s="150"/>
      <c r="U438" s="403"/>
      <c r="V438" s="406">
        <v>180000</v>
      </c>
      <c r="W438" s="406">
        <v>164308</v>
      </c>
      <c r="X438" s="425"/>
      <c r="Y438" s="71"/>
      <c r="Z438" s="784">
        <v>8189</v>
      </c>
      <c r="AA438" s="780">
        <v>13361</v>
      </c>
      <c r="AB438" s="780">
        <v>7758</v>
      </c>
      <c r="AC438" s="428">
        <v>16378</v>
      </c>
      <c r="AD438" s="429">
        <v>11637</v>
      </c>
      <c r="AE438" s="429">
        <v>10775</v>
      </c>
      <c r="AF438" s="429">
        <v>6465</v>
      </c>
      <c r="AG438" s="363">
        <v>24535</v>
      </c>
      <c r="AH438" s="363">
        <v>15500</v>
      </c>
      <c r="AI438" s="363">
        <v>15485</v>
      </c>
      <c r="AJ438" s="363">
        <v>15000</v>
      </c>
      <c r="AK438" s="363">
        <v>15000</v>
      </c>
      <c r="AL438" s="360">
        <f t="shared" si="27"/>
        <v>160083</v>
      </c>
      <c r="AM438" s="362">
        <f>ERP_8[[#This Row],[2026 Working Total]]-ERP_8[[#This Row],[LE2 Final Submission]]</f>
        <v>-4225</v>
      </c>
      <c r="AN438" s="79">
        <v>15500</v>
      </c>
      <c r="AO438" s="79">
        <f t="shared" si="29"/>
        <v>-4725</v>
      </c>
      <c r="AP438" s="374">
        <f>SUM(ERP_8[[#This Row],[AP01]:[AP07]])-SUM(ERP_8[[#This Row],[AP01 LE2]:[AP07 LE2]])</f>
        <v>-14745</v>
      </c>
      <c r="AQ438" s="80"/>
      <c r="AR438" s="79">
        <f>ERP_8[[#This Row],[2026 Working Total to Budget/LE]]-ERP_8[[#This Row],[Giveback]]</f>
        <v>-4225</v>
      </c>
      <c r="AS438" s="81"/>
      <c r="AT438" s="375">
        <v>8189</v>
      </c>
      <c r="AU438" s="375">
        <v>13361</v>
      </c>
      <c r="AV438" s="375">
        <v>7758</v>
      </c>
      <c r="AW438" s="375">
        <v>15000</v>
      </c>
      <c r="AX438" s="375">
        <v>15000</v>
      </c>
      <c r="AY438" s="375">
        <v>15000</v>
      </c>
      <c r="AZ438" s="375">
        <v>15000</v>
      </c>
      <c r="BA438" s="375">
        <v>15000</v>
      </c>
      <c r="BB438" s="375">
        <v>15000</v>
      </c>
      <c r="BC438" s="375">
        <v>15000</v>
      </c>
      <c r="BD438" s="375">
        <v>15000</v>
      </c>
      <c r="BE438" s="375">
        <v>15000</v>
      </c>
      <c r="BF438" s="375">
        <v>164308</v>
      </c>
      <c r="BG438" s="79">
        <v>8189</v>
      </c>
      <c r="BH438" s="79">
        <v>13361</v>
      </c>
      <c r="BI438" s="79">
        <v>7758</v>
      </c>
      <c r="BJ438" s="79">
        <v>15000</v>
      </c>
      <c r="BK438" s="79">
        <v>15000</v>
      </c>
      <c r="BL438" s="79">
        <v>15000</v>
      </c>
      <c r="BM438" s="79">
        <v>15000</v>
      </c>
      <c r="BN438" s="79">
        <v>15000</v>
      </c>
      <c r="BO438" s="79">
        <v>15000</v>
      </c>
      <c r="BP438" s="79">
        <v>15000</v>
      </c>
      <c r="BQ438" s="79">
        <v>15000</v>
      </c>
      <c r="BR438" s="79">
        <v>15000</v>
      </c>
      <c r="BS438" s="79">
        <v>164308</v>
      </c>
    </row>
    <row r="439" spans="1:71" ht="15" hidden="1" customHeight="1">
      <c r="A439" s="66" t="s">
        <v>2292</v>
      </c>
      <c r="B439" s="737" t="s">
        <v>2293</v>
      </c>
      <c r="C439" s="346"/>
      <c r="D439" s="343" t="str">
        <f>_xlfn.TEXTJOIN("_",FALSE,E439,ERP_8[[#This Row],[Expense Category]],ERP_8[[#This Row],[Project Code*]])</f>
        <v>Dougherty, Chris_SOFTWARE_IT-FGS0302-SW-US-00</v>
      </c>
      <c r="E439" s="343" t="s">
        <v>1135</v>
      </c>
      <c r="F439" s="346"/>
      <c r="G439" s="150" t="s">
        <v>1136</v>
      </c>
      <c r="H439" s="150" t="s">
        <v>1135</v>
      </c>
      <c r="I439" s="150" t="s">
        <v>1137</v>
      </c>
      <c r="J439" s="150" t="s">
        <v>1137</v>
      </c>
      <c r="K439" s="511" t="s">
        <v>639</v>
      </c>
      <c r="L439" s="392" t="s">
        <v>2291</v>
      </c>
      <c r="M439" s="343"/>
      <c r="N439" s="800"/>
      <c r="O439" s="70" t="s">
        <v>679</v>
      </c>
      <c r="P439" s="346" t="s">
        <v>1153</v>
      </c>
      <c r="Q439" s="346" t="s">
        <v>1140</v>
      </c>
      <c r="R439" s="346"/>
      <c r="S439" s="150" t="s">
        <v>680</v>
      </c>
      <c r="T439" s="1" t="s">
        <v>1141</v>
      </c>
      <c r="U439" s="403"/>
      <c r="V439" s="406">
        <v>12000</v>
      </c>
      <c r="W439" s="406">
        <v>13503.74</v>
      </c>
      <c r="X439" s="425"/>
      <c r="Y439" s="71"/>
      <c r="Z439" s="784">
        <v>3614.02</v>
      </c>
      <c r="AA439" s="780">
        <v>0</v>
      </c>
      <c r="AB439" s="780">
        <v>889.72</v>
      </c>
      <c r="AC439" s="428">
        <v>917.6</v>
      </c>
      <c r="AD439" s="429">
        <v>3154.91</v>
      </c>
      <c r="AE439" s="429">
        <v>4127.83</v>
      </c>
      <c r="AF439" s="429">
        <v>2406.29</v>
      </c>
      <c r="AG439" s="363">
        <v>1000</v>
      </c>
      <c r="AH439" s="363">
        <v>1000</v>
      </c>
      <c r="AI439" s="363">
        <v>1000</v>
      </c>
      <c r="AJ439" s="363">
        <v>1000</v>
      </c>
      <c r="AK439" s="363">
        <v>1000</v>
      </c>
      <c r="AL439" s="360">
        <f t="shared" si="27"/>
        <v>20110.37</v>
      </c>
      <c r="AM439" s="362">
        <f>ERP_8[[#This Row],[2026 Working Total]]-ERP_8[[#This Row],[LE2 Final Submission]]</f>
        <v>6606.6299999999992</v>
      </c>
      <c r="AN439" s="79">
        <v>1000</v>
      </c>
      <c r="AO439" s="79">
        <f t="shared" si="29"/>
        <v>3127.83</v>
      </c>
      <c r="AP439" s="374">
        <f>SUM(ERP_8[[#This Row],[AP01]:[AP07]])-SUM(ERP_8[[#This Row],[AP01 LE2]:[AP07 LE2]])</f>
        <v>6606.6299999999992</v>
      </c>
      <c r="AQ439" s="80"/>
      <c r="AR439" s="79">
        <f>ERP_8[[#This Row],[2026 Working Total to Budget/LE]]-ERP_8[[#This Row],[Giveback]]</f>
        <v>6606.6299999999992</v>
      </c>
      <c r="AS439" s="81"/>
      <c r="AT439" s="375">
        <v>3614.02</v>
      </c>
      <c r="AU439" s="375">
        <v>0</v>
      </c>
      <c r="AV439" s="375">
        <v>889.72</v>
      </c>
      <c r="AW439" s="375">
        <v>1000</v>
      </c>
      <c r="AX439" s="375">
        <v>1000</v>
      </c>
      <c r="AY439" s="375">
        <v>1000</v>
      </c>
      <c r="AZ439" s="375">
        <v>1000</v>
      </c>
      <c r="BA439" s="375">
        <v>1000</v>
      </c>
      <c r="BB439" s="375">
        <v>1000</v>
      </c>
      <c r="BC439" s="375">
        <v>1000</v>
      </c>
      <c r="BD439" s="375">
        <v>1000</v>
      </c>
      <c r="BE439" s="375">
        <v>1000</v>
      </c>
      <c r="BF439" s="375">
        <v>13503.74</v>
      </c>
      <c r="BG439" s="79">
        <v>3614.02</v>
      </c>
      <c r="BH439" s="79">
        <v>0</v>
      </c>
      <c r="BI439" s="79">
        <v>889.72</v>
      </c>
      <c r="BJ439" s="79">
        <v>1000</v>
      </c>
      <c r="BK439" s="79">
        <v>1000</v>
      </c>
      <c r="BL439" s="79">
        <v>1000</v>
      </c>
      <c r="BM439" s="79">
        <v>1000</v>
      </c>
      <c r="BN439" s="79">
        <v>1000</v>
      </c>
      <c r="BO439" s="79">
        <v>1000</v>
      </c>
      <c r="BP439" s="79">
        <v>1000</v>
      </c>
      <c r="BQ439" s="79">
        <v>1000</v>
      </c>
      <c r="BR439" s="79">
        <v>1000</v>
      </c>
      <c r="BS439" s="79">
        <v>13503.74</v>
      </c>
    </row>
    <row r="440" spans="1:71" ht="15" hidden="1" customHeight="1">
      <c r="A440" s="66" t="s">
        <v>2294</v>
      </c>
      <c r="B440" s="737" t="s">
        <v>2295</v>
      </c>
      <c r="C440" s="346"/>
      <c r="D440" s="343" t="str">
        <f>_xlfn.TEXTJOIN("_",FALSE,E440,ERP_8[[#This Row],[Expense Category]],ERP_8[[#This Row],[Project Code*]])</f>
        <v>Dougherty, Chris_SOFTWARE_IT-FGS0302-SW-US-00</v>
      </c>
      <c r="E440" s="343" t="s">
        <v>1135</v>
      </c>
      <c r="F440" s="346"/>
      <c r="G440" s="150" t="s">
        <v>1136</v>
      </c>
      <c r="H440" s="150" t="s">
        <v>1135</v>
      </c>
      <c r="I440" s="150" t="s">
        <v>1145</v>
      </c>
      <c r="J440" s="150" t="s">
        <v>1137</v>
      </c>
      <c r="K440" s="511" t="s">
        <v>639</v>
      </c>
      <c r="L440" s="778" t="s">
        <v>2291</v>
      </c>
      <c r="M440" s="343"/>
      <c r="N440" s="800"/>
      <c r="O440" s="70" t="s">
        <v>679</v>
      </c>
      <c r="P440" s="346" t="s">
        <v>1153</v>
      </c>
      <c r="Q440" s="346" t="s">
        <v>1140</v>
      </c>
      <c r="R440" s="346"/>
      <c r="S440" s="150" t="s">
        <v>680</v>
      </c>
      <c r="T440" s="150"/>
      <c r="U440" s="403"/>
      <c r="V440" s="406">
        <v>370</v>
      </c>
      <c r="W440" s="406">
        <v>370</v>
      </c>
      <c r="X440" s="425"/>
      <c r="Y440" s="71"/>
      <c r="Z440" s="784"/>
      <c r="AA440" s="780"/>
      <c r="AB440" s="780"/>
      <c r="AC440" s="428" t="s">
        <v>1142</v>
      </c>
      <c r="AD440" s="429">
        <v>0</v>
      </c>
      <c r="AE440" s="429">
        <v>0</v>
      </c>
      <c r="AF440" s="429" t="s">
        <v>1142</v>
      </c>
      <c r="AG440" s="360">
        <v>0</v>
      </c>
      <c r="AH440" s="360">
        <v>0</v>
      </c>
      <c r="AI440" s="360">
        <v>0</v>
      </c>
      <c r="AJ440" s="360">
        <v>0</v>
      </c>
      <c r="AK440" s="360">
        <v>0</v>
      </c>
      <c r="AL440" s="360">
        <f t="shared" si="27"/>
        <v>0</v>
      </c>
      <c r="AM440" s="362">
        <f>ERP_8[[#This Row],[2026 Working Total]]-ERP_8[[#This Row],[LE2 Final Submission]]</f>
        <v>-370</v>
      </c>
      <c r="AN440" s="79">
        <v>0</v>
      </c>
      <c r="AO440" s="79">
        <f t="shared" si="29"/>
        <v>0</v>
      </c>
      <c r="AP440" s="374">
        <f>SUM(ERP_8[[#This Row],[AP01]:[AP07]])-SUM(ERP_8[[#This Row],[AP01 LE2]:[AP07 LE2]])</f>
        <v>-370</v>
      </c>
      <c r="AQ440" s="80"/>
      <c r="AR440" s="79">
        <f>ERP_8[[#This Row],[2026 Working Total to Budget/LE]]-ERP_8[[#This Row],[Giveback]]</f>
        <v>-370</v>
      </c>
      <c r="AS440" s="81"/>
      <c r="AT440" s="375"/>
      <c r="AU440" s="375"/>
      <c r="AV440" s="375"/>
      <c r="AW440" s="375">
        <v>370</v>
      </c>
      <c r="AX440" s="375">
        <v>0</v>
      </c>
      <c r="AY440" s="375">
        <v>0</v>
      </c>
      <c r="AZ440" s="375">
        <v>0</v>
      </c>
      <c r="BA440" s="375">
        <v>0</v>
      </c>
      <c r="BB440" s="375">
        <v>0</v>
      </c>
      <c r="BC440" s="375">
        <v>0</v>
      </c>
      <c r="BD440" s="375">
        <v>0</v>
      </c>
      <c r="BE440" s="375">
        <v>0</v>
      </c>
      <c r="BF440" s="375">
        <v>370</v>
      </c>
      <c r="BG440" s="79"/>
      <c r="BH440" s="79"/>
      <c r="BI440" s="79"/>
      <c r="BJ440" s="79">
        <v>370</v>
      </c>
      <c r="BK440" s="79">
        <v>0</v>
      </c>
      <c r="BL440" s="79">
        <v>0</v>
      </c>
      <c r="BM440" s="79">
        <v>0</v>
      </c>
      <c r="BN440" s="79">
        <v>0</v>
      </c>
      <c r="BO440" s="79">
        <v>0</v>
      </c>
      <c r="BP440" s="79">
        <v>0</v>
      </c>
      <c r="BQ440" s="79">
        <v>0</v>
      </c>
      <c r="BR440" s="79">
        <v>0</v>
      </c>
      <c r="BS440" s="79">
        <v>370</v>
      </c>
    </row>
    <row r="441" spans="1:71" ht="15" hidden="1" customHeight="1">
      <c r="A441" s="66" t="s">
        <v>2296</v>
      </c>
      <c r="B441" s="737" t="s">
        <v>2297</v>
      </c>
      <c r="C441" s="346"/>
      <c r="D441" s="343" t="str">
        <f>_xlfn.TEXTJOIN("_",FALSE,E441,ERP_8[[#This Row],[Expense Category]],ERP_8[[#This Row],[Project Code*]])</f>
        <v>Dougherty, Chris_SOFTWARE_IT-FGS0302-SW-US-00</v>
      </c>
      <c r="E441" s="343" t="s">
        <v>1135</v>
      </c>
      <c r="F441" s="346"/>
      <c r="G441" s="150" t="s">
        <v>1136</v>
      </c>
      <c r="H441" s="150" t="s">
        <v>1135</v>
      </c>
      <c r="I441" s="150" t="s">
        <v>1165</v>
      </c>
      <c r="J441" s="150" t="s">
        <v>1137</v>
      </c>
      <c r="K441" s="511" t="s">
        <v>639</v>
      </c>
      <c r="L441" s="392" t="s">
        <v>2291</v>
      </c>
      <c r="M441" s="343"/>
      <c r="N441" s="800"/>
      <c r="O441" s="70" t="s">
        <v>679</v>
      </c>
      <c r="P441" s="346" t="s">
        <v>1153</v>
      </c>
      <c r="Q441" s="346" t="s">
        <v>1140</v>
      </c>
      <c r="R441" s="346"/>
      <c r="S441" s="150" t="s">
        <v>680</v>
      </c>
      <c r="T441" s="150"/>
      <c r="U441" s="403"/>
      <c r="V441" s="406">
        <v>0</v>
      </c>
      <c r="W441" s="406">
        <v>1293</v>
      </c>
      <c r="X441" s="425"/>
      <c r="Y441" s="71"/>
      <c r="Z441" s="784"/>
      <c r="AA441" s="780">
        <v>1293</v>
      </c>
      <c r="AB441" s="780">
        <v>0</v>
      </c>
      <c r="AC441" s="428">
        <v>0</v>
      </c>
      <c r="AD441" s="429">
        <v>0</v>
      </c>
      <c r="AE441" s="429">
        <v>431</v>
      </c>
      <c r="AF441" s="429">
        <v>455.75</v>
      </c>
      <c r="AG441" s="360">
        <v>0</v>
      </c>
      <c r="AH441" s="360">
        <v>0</v>
      </c>
      <c r="AI441" s="360">
        <v>0</v>
      </c>
      <c r="AJ441" s="360">
        <v>0</v>
      </c>
      <c r="AK441" s="360">
        <v>0</v>
      </c>
      <c r="AL441" s="360">
        <f t="shared" si="27"/>
        <v>2179.75</v>
      </c>
      <c r="AM441" s="362">
        <f>ERP_8[[#This Row],[2026 Working Total]]-ERP_8[[#This Row],[LE2 Final Submission]]</f>
        <v>886.75</v>
      </c>
      <c r="AN441" s="79">
        <v>0</v>
      </c>
      <c r="AO441" s="79">
        <f t="shared" si="29"/>
        <v>431</v>
      </c>
      <c r="AP441" s="374">
        <f>SUM(ERP_8[[#This Row],[AP01]:[AP07]])-SUM(ERP_8[[#This Row],[AP01 LE2]:[AP07 LE2]])</f>
        <v>886.75</v>
      </c>
      <c r="AQ441" s="80"/>
      <c r="AR441" s="79">
        <f>ERP_8[[#This Row],[2026 Working Total to Budget/LE]]-ERP_8[[#This Row],[Giveback]]</f>
        <v>886.75</v>
      </c>
      <c r="AS441" s="81"/>
      <c r="AT441" s="375"/>
      <c r="AU441" s="375">
        <v>1293</v>
      </c>
      <c r="AV441" s="375">
        <v>0</v>
      </c>
      <c r="AW441" s="375">
        <v>0</v>
      </c>
      <c r="AX441" s="375">
        <v>0</v>
      </c>
      <c r="AY441" s="375">
        <v>0</v>
      </c>
      <c r="AZ441" s="375">
        <v>0</v>
      </c>
      <c r="BA441" s="375">
        <v>0</v>
      </c>
      <c r="BB441" s="375">
        <v>0</v>
      </c>
      <c r="BC441" s="375">
        <v>0</v>
      </c>
      <c r="BD441" s="375">
        <v>0</v>
      </c>
      <c r="BE441" s="375">
        <v>0</v>
      </c>
      <c r="BF441" s="375">
        <v>1293</v>
      </c>
      <c r="BG441" s="79"/>
      <c r="BH441" s="79">
        <v>1293</v>
      </c>
      <c r="BI441" s="79">
        <v>0</v>
      </c>
      <c r="BJ441" s="79">
        <v>0</v>
      </c>
      <c r="BK441" s="79">
        <v>0</v>
      </c>
      <c r="BL441" s="79">
        <v>0</v>
      </c>
      <c r="BM441" s="79">
        <v>0</v>
      </c>
      <c r="BN441" s="79">
        <v>0</v>
      </c>
      <c r="BO441" s="79">
        <v>0</v>
      </c>
      <c r="BP441" s="79">
        <v>0</v>
      </c>
      <c r="BQ441" s="79">
        <v>0</v>
      </c>
      <c r="BR441" s="79">
        <v>0</v>
      </c>
      <c r="BS441" s="79">
        <v>1293</v>
      </c>
    </row>
    <row r="442" spans="1:71" ht="15" hidden="1" customHeight="1">
      <c r="A442" s="79" t="s">
        <v>2298</v>
      </c>
      <c r="B442" s="749" t="s">
        <v>2299</v>
      </c>
      <c r="C442" s="348"/>
      <c r="D442" s="347" t="str">
        <f>_xlfn.TEXTJOIN("_",FALSE,E442,ERP_8[[#This Row],[Expense Category]],ERP_8[[#This Row],[Project Code*]])</f>
        <v>Dougherty, Chris_SOFTWARE_IT-MGS0202-OG-US-00</v>
      </c>
      <c r="E442" s="347" t="s">
        <v>1135</v>
      </c>
      <c r="F442" s="348"/>
      <c r="G442" s="150" t="s">
        <v>1136</v>
      </c>
      <c r="H442" s="150" t="s">
        <v>1135</v>
      </c>
      <c r="I442" s="150" t="s">
        <v>1165</v>
      </c>
      <c r="J442" s="150" t="s">
        <v>1165</v>
      </c>
      <c r="K442" s="514" t="s">
        <v>639</v>
      </c>
      <c r="L442" s="392" t="s">
        <v>1927</v>
      </c>
      <c r="M442" s="343"/>
      <c r="N442" s="801"/>
      <c r="O442" s="70" t="s">
        <v>473</v>
      </c>
      <c r="P442" s="347"/>
      <c r="Q442" s="343"/>
      <c r="R442" s="348"/>
      <c r="S442" s="348"/>
      <c r="T442" s="150" t="s">
        <v>1928</v>
      </c>
      <c r="U442" s="402"/>
      <c r="V442" s="358"/>
      <c r="W442" s="379">
        <v>123539</v>
      </c>
      <c r="X442" s="425"/>
      <c r="Y442" s="71"/>
      <c r="Z442" s="784"/>
      <c r="AA442" s="780"/>
      <c r="AB442" s="780"/>
      <c r="AC442" s="428" t="s">
        <v>1142</v>
      </c>
      <c r="AD442" s="429">
        <v>0</v>
      </c>
      <c r="AE442" s="429">
        <v>0</v>
      </c>
      <c r="AF442" s="429" t="s">
        <v>1142</v>
      </c>
      <c r="AG442" s="364">
        <v>123539</v>
      </c>
      <c r="AH442" s="364"/>
      <c r="AI442" s="364"/>
      <c r="AJ442" s="364"/>
      <c r="AK442" s="364"/>
      <c r="AL442" s="833">
        <f t="shared" si="27"/>
        <v>123539</v>
      </c>
      <c r="AM442" s="362">
        <f>ERP_8[[#This Row],[2026 Working Total]]-ERP_8[[#This Row],[LE2 Final Submission]]</f>
        <v>0</v>
      </c>
      <c r="AN442" s="79"/>
      <c r="AO442" s="79">
        <f t="shared" si="29"/>
        <v>0</v>
      </c>
      <c r="AP442" s="374">
        <f>SUM(ERP_8[[#This Row],[AP01]:[AP07]])-SUM(ERP_8[[#This Row],[AP01 LE2]:[AP07 LE2]])</f>
        <v>0</v>
      </c>
      <c r="AQ442" s="80"/>
      <c r="AR442" s="79">
        <f>ERP_8[[#This Row],[2026 Working Total to Budget/LE]]-ERP_8[[#This Row],[Giveback]]</f>
        <v>0</v>
      </c>
      <c r="AS442" s="81" t="s">
        <v>1929</v>
      </c>
      <c r="AT442" s="375"/>
      <c r="AU442" s="375"/>
      <c r="AV442" s="375"/>
      <c r="AW442" s="375"/>
      <c r="AX442" s="375"/>
      <c r="AY442" s="375"/>
      <c r="AZ442" s="375"/>
      <c r="BA442" s="375">
        <v>123539</v>
      </c>
      <c r="BB442" s="375"/>
      <c r="BC442" s="375"/>
      <c r="BD442" s="375"/>
      <c r="BE442" s="375"/>
      <c r="BF442" s="375">
        <v>123539</v>
      </c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</row>
    <row r="443" spans="1:71" ht="15" hidden="1" customHeight="1">
      <c r="A443" s="66" t="s">
        <v>2300</v>
      </c>
      <c r="B443" s="737" t="s">
        <v>2301</v>
      </c>
      <c r="C443" s="346"/>
      <c r="D443" s="343" t="str">
        <f>_xlfn.TEXTJOIN("_",FALSE,E443,ERP_8[[#This Row],[Expense Category]],ERP_8[[#This Row],[Project Code*]])</f>
        <v>Dougherty, Chris_SOFTWARE_IT-MGS0208-OG-US-00</v>
      </c>
      <c r="E443" s="343" t="s">
        <v>1135</v>
      </c>
      <c r="F443" s="346"/>
      <c r="G443" s="150" t="s">
        <v>1136</v>
      </c>
      <c r="H443" s="150" t="s">
        <v>1345</v>
      </c>
      <c r="I443" s="150" t="s">
        <v>1346</v>
      </c>
      <c r="J443" s="150" t="s">
        <v>1346</v>
      </c>
      <c r="K443" s="511" t="s">
        <v>639</v>
      </c>
      <c r="L443" s="392" t="s">
        <v>1942</v>
      </c>
      <c r="M443" s="343"/>
      <c r="N443" s="800"/>
      <c r="O443" s="70" t="s">
        <v>585</v>
      </c>
      <c r="P443" s="346"/>
      <c r="Q443" s="346" t="s">
        <v>1140</v>
      </c>
      <c r="R443" s="346"/>
      <c r="S443" s="150" t="s">
        <v>57</v>
      </c>
      <c r="T443" s="834" t="s">
        <v>1890</v>
      </c>
      <c r="U443" s="403"/>
      <c r="V443" s="406">
        <v>0</v>
      </c>
      <c r="W443" s="406">
        <v>1537.03</v>
      </c>
      <c r="X443" s="425"/>
      <c r="Y443" s="71"/>
      <c r="Z443" s="784"/>
      <c r="AA443" s="780"/>
      <c r="AB443" s="780">
        <v>279.45999999999998</v>
      </c>
      <c r="AC443" s="428">
        <v>139.72999999999999</v>
      </c>
      <c r="AD443" s="429">
        <v>139.72999999999999</v>
      </c>
      <c r="AE443" s="429">
        <v>139.72999999999999</v>
      </c>
      <c r="AF443" s="429">
        <v>0</v>
      </c>
      <c r="AG443" s="360">
        <v>139.72999999999999</v>
      </c>
      <c r="AH443" s="360">
        <v>139.72999999999999</v>
      </c>
      <c r="AI443" s="360">
        <v>139.72999999999999</v>
      </c>
      <c r="AJ443" s="360">
        <v>139.72999999999999</v>
      </c>
      <c r="AK443" s="360">
        <v>139.72999999999999</v>
      </c>
      <c r="AL443" s="360">
        <f t="shared" si="27"/>
        <v>1397.3</v>
      </c>
      <c r="AM443" s="362">
        <f>ERP_8[[#This Row],[2026 Working Total]]-ERP_8[[#This Row],[LE2 Final Submission]]</f>
        <v>-139.73000000000002</v>
      </c>
      <c r="AN443" s="79">
        <v>139.72999999999999</v>
      </c>
      <c r="AO443" s="79">
        <f t="shared" si="29"/>
        <v>0</v>
      </c>
      <c r="AP443" s="374">
        <f>SUM(ERP_8[[#This Row],[AP01]:[AP07]])-SUM(ERP_8[[#This Row],[AP01 LE2]:[AP07 LE2]])</f>
        <v>-139.73000000000002</v>
      </c>
      <c r="AQ443" s="80"/>
      <c r="AR443" s="79">
        <f>ERP_8[[#This Row],[2026 Working Total to Budget/LE]]-ERP_8[[#This Row],[Giveback]]</f>
        <v>-139.73000000000002</v>
      </c>
      <c r="AS443" s="81"/>
      <c r="AT443" s="375"/>
      <c r="AU443" s="375"/>
      <c r="AV443" s="375">
        <v>279.45999999999998</v>
      </c>
      <c r="AW443" s="375">
        <v>139.72999999999999</v>
      </c>
      <c r="AX443" s="375">
        <v>139.72999999999999</v>
      </c>
      <c r="AY443" s="375">
        <v>139.72999999999999</v>
      </c>
      <c r="AZ443" s="375">
        <v>139.72999999999999</v>
      </c>
      <c r="BA443" s="375">
        <v>139.72999999999999</v>
      </c>
      <c r="BB443" s="375">
        <v>139.72999999999999</v>
      </c>
      <c r="BC443" s="375">
        <v>139.72999999999999</v>
      </c>
      <c r="BD443" s="375">
        <v>139.72999999999999</v>
      </c>
      <c r="BE443" s="375">
        <v>139.72999999999999</v>
      </c>
      <c r="BF443" s="375">
        <v>1537.03</v>
      </c>
      <c r="BG443" s="79"/>
      <c r="BH443" s="79"/>
      <c r="BI443" s="79">
        <v>279.45999999999998</v>
      </c>
      <c r="BJ443" s="79">
        <v>0</v>
      </c>
      <c r="BK443" s="79">
        <v>0</v>
      </c>
      <c r="BL443" s="79">
        <v>0</v>
      </c>
      <c r="BM443" s="79">
        <v>0</v>
      </c>
      <c r="BN443" s="79">
        <v>0</v>
      </c>
      <c r="BO443" s="79">
        <v>0</v>
      </c>
      <c r="BP443" s="79">
        <v>0</v>
      </c>
      <c r="BQ443" s="79">
        <v>0</v>
      </c>
      <c r="BR443" s="79">
        <v>0</v>
      </c>
      <c r="BS443" s="79">
        <v>279.45999999999998</v>
      </c>
    </row>
    <row r="444" spans="1:71" ht="15" hidden="1" customHeight="1">
      <c r="A444" s="66" t="s">
        <v>2302</v>
      </c>
      <c r="B444" s="737" t="s">
        <v>2303</v>
      </c>
      <c r="C444" s="346"/>
      <c r="D444" s="343" t="str">
        <f>_xlfn.TEXTJOIN("_",FALSE,E444,ERP_8[[#This Row],[Expense Category]],ERP_8[[#This Row],[Project Code*]])</f>
        <v>Dougherty, Chris_SOFTWARE_IT-SFT0159-86-OG-US</v>
      </c>
      <c r="E444" s="343" t="s">
        <v>1135</v>
      </c>
      <c r="F444" s="346"/>
      <c r="G444" s="150" t="s">
        <v>1136</v>
      </c>
      <c r="H444" s="150" t="s">
        <v>1135</v>
      </c>
      <c r="I444" s="150" t="s">
        <v>1165</v>
      </c>
      <c r="J444" s="150" t="s">
        <v>1137</v>
      </c>
      <c r="K444" s="511" t="s">
        <v>639</v>
      </c>
      <c r="L444" s="392" t="s">
        <v>2304</v>
      </c>
      <c r="M444" s="343" t="s">
        <v>2305</v>
      </c>
      <c r="N444" s="802" t="s">
        <v>1252</v>
      </c>
      <c r="O444" s="70" t="s">
        <v>683</v>
      </c>
      <c r="P444" s="346"/>
      <c r="Q444" s="346" t="s">
        <v>2306</v>
      </c>
      <c r="R444" s="346" t="s">
        <v>1710</v>
      </c>
      <c r="S444" s="150" t="s">
        <v>684</v>
      </c>
      <c r="T444" s="150"/>
      <c r="U444" s="404"/>
      <c r="V444" s="407">
        <v>146492.82999999999</v>
      </c>
      <c r="W444" s="407">
        <v>-115764.16</v>
      </c>
      <c r="X444" s="425"/>
      <c r="Y444" s="71"/>
      <c r="Z444" s="784">
        <v>-115764.16</v>
      </c>
      <c r="AA444" s="780">
        <f>115764.16-115764.16</f>
        <v>0</v>
      </c>
      <c r="AB444" s="780"/>
      <c r="AC444" s="428">
        <v>0</v>
      </c>
      <c r="AD444" s="429">
        <v>0</v>
      </c>
      <c r="AE444" s="429">
        <v>0</v>
      </c>
      <c r="AF444" s="429">
        <v>0</v>
      </c>
      <c r="AG444" s="363"/>
      <c r="AH444" s="363"/>
      <c r="AI444" s="363"/>
      <c r="AJ444" s="363"/>
      <c r="AK444" s="363"/>
      <c r="AL444" s="360">
        <f t="shared" si="27"/>
        <v>-115764.16</v>
      </c>
      <c r="AM444" s="362">
        <f>ERP_8[[#This Row],[2026 Working Total]]-ERP_8[[#This Row],[LE2 Final Submission]]</f>
        <v>0</v>
      </c>
      <c r="AN444" s="79"/>
      <c r="AO444" s="79">
        <f t="shared" si="29"/>
        <v>0</v>
      </c>
      <c r="AP444" s="374">
        <f>SUM(ERP_8[[#This Row],[AP01]:[AP07]])-SUM(ERP_8[[#This Row],[AP01 LE2]:[AP07 LE2]])</f>
        <v>0</v>
      </c>
      <c r="AQ444" s="80"/>
      <c r="AR444" s="79">
        <f>ERP_8[[#This Row],[2026 Working Total to Budget/LE]]-ERP_8[[#This Row],[Giveback]]</f>
        <v>0</v>
      </c>
      <c r="AS444" s="81"/>
      <c r="AT444" s="375">
        <v>-115764.16</v>
      </c>
      <c r="AU444" s="375">
        <v>0</v>
      </c>
      <c r="AV444" s="375"/>
      <c r="AW444" s="375"/>
      <c r="AX444" s="375"/>
      <c r="AY444" s="375"/>
      <c r="AZ444" s="375"/>
      <c r="BA444" s="375"/>
      <c r="BB444" s="375"/>
      <c r="BC444" s="375"/>
      <c r="BD444" s="375"/>
      <c r="BE444" s="375"/>
      <c r="BF444" s="375">
        <v>-115764.16</v>
      </c>
      <c r="BG444" s="79">
        <v>-115764.16</v>
      </c>
      <c r="BH444" s="79">
        <v>115764.16</v>
      </c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>
        <v>0</v>
      </c>
    </row>
    <row r="445" spans="1:71" ht="15" hidden="1" customHeight="1">
      <c r="A445" s="79" t="s">
        <v>2307</v>
      </c>
      <c r="B445" s="749" t="s">
        <v>2308</v>
      </c>
      <c r="C445" s="348"/>
      <c r="D445" s="347" t="str">
        <f>_xlfn.TEXTJOIN("_",FALSE,E445,ERP_8[[#This Row],[Expense Category]],ERP_8[[#This Row],[Project Code*]])</f>
        <v>Dougherty, Chris_SOFTWARE_IT-SFT0159-86-OG-US/PF</v>
      </c>
      <c r="E445" s="347" t="s">
        <v>1135</v>
      </c>
      <c r="F445" s="348"/>
      <c r="G445" s="150" t="s">
        <v>1136</v>
      </c>
      <c r="H445" s="332" t="s">
        <v>1135</v>
      </c>
      <c r="I445" s="383" t="s">
        <v>1165</v>
      </c>
      <c r="J445" s="333" t="s">
        <v>1137</v>
      </c>
      <c r="K445" s="512" t="s">
        <v>639</v>
      </c>
      <c r="L445" s="393" t="s">
        <v>2309</v>
      </c>
      <c r="M445" s="343"/>
      <c r="N445" s="801"/>
      <c r="O445" s="91" t="s">
        <v>686</v>
      </c>
      <c r="P445" s="347"/>
      <c r="Q445" s="346" t="s">
        <v>2306</v>
      </c>
      <c r="R445" s="346" t="s">
        <v>2310</v>
      </c>
      <c r="S445" s="386" t="s">
        <v>684</v>
      </c>
      <c r="T445" s="346" t="s">
        <v>1779</v>
      </c>
      <c r="U445" s="437"/>
      <c r="V445" s="358">
        <v>-146492.82999999999</v>
      </c>
      <c r="W445" s="378">
        <v>115764.16</v>
      </c>
      <c r="X445" s="425"/>
      <c r="Y445" s="71"/>
      <c r="Z445" s="783"/>
      <c r="AA445" s="781">
        <v>115764.16</v>
      </c>
      <c r="AB445" s="781"/>
      <c r="AC445" s="428" t="s">
        <v>1142</v>
      </c>
      <c r="AD445" s="429">
        <v>0</v>
      </c>
      <c r="AE445" s="429">
        <v>0</v>
      </c>
      <c r="AF445" s="429" t="s">
        <v>1142</v>
      </c>
      <c r="AG445" s="388">
        <v>0</v>
      </c>
      <c r="AH445" s="388">
        <v>0</v>
      </c>
      <c r="AI445" s="388">
        <v>0</v>
      </c>
      <c r="AJ445" s="388">
        <v>0</v>
      </c>
      <c r="AK445" s="388">
        <v>0</v>
      </c>
      <c r="AL445" s="360">
        <f t="shared" si="27"/>
        <v>115764.16</v>
      </c>
      <c r="AM445" s="362">
        <f>ERP_8[[#This Row],[2026 Working Total]]-ERP_8[[#This Row],[LE2 Final Submission]]</f>
        <v>0</v>
      </c>
      <c r="AN445" s="79">
        <v>0</v>
      </c>
      <c r="AO445" s="79">
        <f t="shared" si="29"/>
        <v>0</v>
      </c>
      <c r="AP445" s="374">
        <f>SUM(ERP_8[[#This Row],[AP01]:[AP07]])-SUM(ERP_8[[#This Row],[AP01 LE2]:[AP07 LE2]])</f>
        <v>0</v>
      </c>
      <c r="AQ445" s="80"/>
      <c r="AR445" s="79">
        <f>ERP_8[[#This Row],[2026 Working Total to Budget/LE]]-ERP_8[[#This Row],[Giveback]]</f>
        <v>0</v>
      </c>
      <c r="AS445" s="81"/>
      <c r="AT445" s="375"/>
      <c r="AU445" s="375">
        <v>115764.16</v>
      </c>
      <c r="AV445" s="375"/>
      <c r="AW445" s="375">
        <v>0</v>
      </c>
      <c r="AX445" s="375">
        <v>0</v>
      </c>
      <c r="AY445" s="375">
        <v>0</v>
      </c>
      <c r="AZ445" s="375">
        <v>0</v>
      </c>
      <c r="BA445" s="375">
        <v>0</v>
      </c>
      <c r="BB445" s="375">
        <v>0</v>
      </c>
      <c r="BC445" s="375">
        <v>0</v>
      </c>
      <c r="BD445" s="375">
        <v>0</v>
      </c>
      <c r="BE445" s="375">
        <v>0</v>
      </c>
      <c r="BF445" s="375">
        <v>115764.16</v>
      </c>
      <c r="BG445" s="103">
        <v>-146492.82999999999</v>
      </c>
      <c r="BH445" s="103">
        <v>0</v>
      </c>
      <c r="BI445" s="103">
        <v>0</v>
      </c>
      <c r="BJ445" s="103">
        <v>0</v>
      </c>
      <c r="BK445" s="103">
        <v>0</v>
      </c>
      <c r="BL445" s="103">
        <v>0</v>
      </c>
      <c r="BM445" s="103">
        <v>0</v>
      </c>
      <c r="BN445" s="103">
        <v>0</v>
      </c>
      <c r="BO445" s="103">
        <v>0</v>
      </c>
      <c r="BP445" s="103">
        <v>0</v>
      </c>
      <c r="BQ445" s="103">
        <v>0</v>
      </c>
      <c r="BR445" s="103">
        <v>0</v>
      </c>
      <c r="BS445" s="79">
        <f>SUM(ERP_8[[#This Row],[2026 AP01]:[2026 AP12]])</f>
        <v>-146492.82999999999</v>
      </c>
    </row>
    <row r="446" spans="1:71" ht="15" hidden="1" customHeight="1">
      <c r="A446" s="79" t="s">
        <v>2311</v>
      </c>
      <c r="B446" s="749" t="s">
        <v>2312</v>
      </c>
      <c r="C446" s="348"/>
      <c r="D446" s="347" t="str">
        <f>_xlfn.TEXTJOIN("_",FALSE,E446,ERP_8[[#This Row],[Expense Category]],ERP_8[[#This Row],[Project Code*]])</f>
        <v>Dougherty, Chris_SOFTWARE_IT-SFT0170-86-OG-US</v>
      </c>
      <c r="E446" s="347" t="s">
        <v>1135</v>
      </c>
      <c r="F446" s="348"/>
      <c r="G446" s="150" t="s">
        <v>1136</v>
      </c>
      <c r="H446" s="332" t="s">
        <v>1135</v>
      </c>
      <c r="I446" s="383" t="s">
        <v>1165</v>
      </c>
      <c r="J446" s="333" t="s">
        <v>1137</v>
      </c>
      <c r="K446" s="512" t="s">
        <v>639</v>
      </c>
      <c r="L446" s="393" t="s">
        <v>2313</v>
      </c>
      <c r="M446" s="343" t="s">
        <v>2314</v>
      </c>
      <c r="N446" s="467" t="s">
        <v>1186</v>
      </c>
      <c r="O446" s="91" t="s">
        <v>688</v>
      </c>
      <c r="P446" s="347"/>
      <c r="Q446" s="346" t="s">
        <v>2315</v>
      </c>
      <c r="R446" s="346" t="s">
        <v>1710</v>
      </c>
      <c r="S446" s="386" t="s">
        <v>689</v>
      </c>
      <c r="T446" s="346" t="s">
        <v>1348</v>
      </c>
      <c r="U446" s="437"/>
      <c r="V446" s="358">
        <v>169727.17</v>
      </c>
      <c r="W446" s="378">
        <v>0</v>
      </c>
      <c r="X446" s="425"/>
      <c r="Y446" s="71"/>
      <c r="Z446" s="783"/>
      <c r="AA446" s="781"/>
      <c r="AB446" s="781"/>
      <c r="AC446" s="428" t="s">
        <v>1142</v>
      </c>
      <c r="AD446" s="429">
        <v>0</v>
      </c>
      <c r="AE446" s="429">
        <v>0</v>
      </c>
      <c r="AF446" s="429" t="s">
        <v>1142</v>
      </c>
      <c r="AG446" s="388">
        <v>0</v>
      </c>
      <c r="AH446" s="388">
        <v>0</v>
      </c>
      <c r="AI446" s="388">
        <v>0</v>
      </c>
      <c r="AJ446" s="388">
        <v>0</v>
      </c>
      <c r="AK446" s="388">
        <v>0</v>
      </c>
      <c r="AL446" s="360">
        <f t="shared" si="27"/>
        <v>0</v>
      </c>
      <c r="AM446" s="362">
        <f>ERP_8[[#This Row],[2026 Working Total]]-ERP_8[[#This Row],[LE2 Final Submission]]</f>
        <v>0</v>
      </c>
      <c r="AN446" s="79">
        <v>0</v>
      </c>
      <c r="AO446" s="79">
        <f t="shared" si="29"/>
        <v>0</v>
      </c>
      <c r="AP446" s="374">
        <f>SUM(ERP_8[[#This Row],[AP01]:[AP07]])-SUM(ERP_8[[#This Row],[AP01 LE2]:[AP07 LE2]])</f>
        <v>0</v>
      </c>
      <c r="AQ446" s="80"/>
      <c r="AR446" s="79">
        <f>ERP_8[[#This Row],[2026 Working Total to Budget/LE]]-ERP_8[[#This Row],[Giveback]]</f>
        <v>0</v>
      </c>
      <c r="AS446" s="81"/>
      <c r="AT446" s="375"/>
      <c r="AU446" s="375"/>
      <c r="AV446" s="375"/>
      <c r="AW446" s="375">
        <v>0</v>
      </c>
      <c r="AX446" s="375">
        <v>0</v>
      </c>
      <c r="AY446" s="375">
        <v>0</v>
      </c>
      <c r="AZ446" s="375">
        <v>0</v>
      </c>
      <c r="BA446" s="375">
        <v>0</v>
      </c>
      <c r="BB446" s="375">
        <v>0</v>
      </c>
      <c r="BC446" s="375">
        <v>0</v>
      </c>
      <c r="BD446" s="375">
        <v>0</v>
      </c>
      <c r="BE446" s="375">
        <v>0</v>
      </c>
      <c r="BF446" s="375">
        <v>0</v>
      </c>
      <c r="BG446" s="103">
        <v>169727.17</v>
      </c>
      <c r="BH446" s="103">
        <v>0</v>
      </c>
      <c r="BI446" s="103">
        <v>0</v>
      </c>
      <c r="BJ446" s="103">
        <v>0</v>
      </c>
      <c r="BK446" s="103">
        <v>0</v>
      </c>
      <c r="BL446" s="103">
        <v>0</v>
      </c>
      <c r="BM446" s="103">
        <v>0</v>
      </c>
      <c r="BN446" s="103">
        <v>0</v>
      </c>
      <c r="BO446" s="103">
        <v>0</v>
      </c>
      <c r="BP446" s="103">
        <v>0</v>
      </c>
      <c r="BQ446" s="103">
        <v>0</v>
      </c>
      <c r="BR446" s="103">
        <v>0</v>
      </c>
      <c r="BS446" s="79">
        <f>SUM(ERP_8[[#This Row],[2026 AP01]:[2026 AP12]])</f>
        <v>169727.17</v>
      </c>
    </row>
    <row r="447" spans="1:71" ht="15" hidden="1" customHeight="1">
      <c r="A447" s="79" t="s">
        <v>2316</v>
      </c>
      <c r="B447" s="749" t="s">
        <v>2317</v>
      </c>
      <c r="C447" s="348"/>
      <c r="D447" s="347" t="str">
        <f>_xlfn.TEXTJOIN("_",FALSE,E447,ERP_8[[#This Row],[Expense Category]],ERP_8[[#This Row],[Project Code*]])</f>
        <v>Dougherty, Chris_SOFTWARE_IT-SFT0170-86-OG-US/PF</v>
      </c>
      <c r="E447" s="347" t="s">
        <v>1135</v>
      </c>
      <c r="F447" s="348"/>
      <c r="G447" s="150" t="s">
        <v>1136</v>
      </c>
      <c r="H447" s="332" t="s">
        <v>1135</v>
      </c>
      <c r="I447" s="383" t="s">
        <v>1165</v>
      </c>
      <c r="J447" s="333" t="s">
        <v>1137</v>
      </c>
      <c r="K447" s="512" t="s">
        <v>639</v>
      </c>
      <c r="L447" s="393" t="s">
        <v>2318</v>
      </c>
      <c r="M447" s="343"/>
      <c r="N447" s="801"/>
      <c r="O447" s="91" t="s">
        <v>691</v>
      </c>
      <c r="P447" s="347"/>
      <c r="Q447" s="346" t="s">
        <v>2315</v>
      </c>
      <c r="R447" s="346" t="s">
        <v>1710</v>
      </c>
      <c r="S447" s="386" t="s">
        <v>689</v>
      </c>
      <c r="T447" s="346" t="s">
        <v>1348</v>
      </c>
      <c r="U447" s="437"/>
      <c r="V447" s="358">
        <v>-169727.17</v>
      </c>
      <c r="W447" s="378">
        <v>0</v>
      </c>
      <c r="X447" s="425"/>
      <c r="Y447" s="71"/>
      <c r="Z447" s="783"/>
      <c r="AA447" s="781"/>
      <c r="AB447" s="781"/>
      <c r="AC447" s="428" t="s">
        <v>1142</v>
      </c>
      <c r="AD447" s="429">
        <v>0</v>
      </c>
      <c r="AE447" s="429">
        <v>0</v>
      </c>
      <c r="AF447" s="429" t="s">
        <v>1142</v>
      </c>
      <c r="AG447" s="388">
        <v>0</v>
      </c>
      <c r="AH447" s="388">
        <v>0</v>
      </c>
      <c r="AI447" s="388">
        <v>0</v>
      </c>
      <c r="AJ447" s="388">
        <v>0</v>
      </c>
      <c r="AK447" s="388">
        <v>0</v>
      </c>
      <c r="AL447" s="360">
        <f t="shared" si="27"/>
        <v>0</v>
      </c>
      <c r="AM447" s="362">
        <f>ERP_8[[#This Row],[2026 Working Total]]-ERP_8[[#This Row],[LE2 Final Submission]]</f>
        <v>0</v>
      </c>
      <c r="AN447" s="79">
        <v>0</v>
      </c>
      <c r="AO447" s="79">
        <f t="shared" si="29"/>
        <v>0</v>
      </c>
      <c r="AP447" s="374">
        <f>SUM(ERP_8[[#This Row],[AP01]:[AP07]])-SUM(ERP_8[[#This Row],[AP01 LE2]:[AP07 LE2]])</f>
        <v>0</v>
      </c>
      <c r="AQ447" s="80"/>
      <c r="AR447" s="79">
        <f>ERP_8[[#This Row],[2026 Working Total to Budget/LE]]-ERP_8[[#This Row],[Giveback]]</f>
        <v>0</v>
      </c>
      <c r="AS447" s="81"/>
      <c r="AT447" s="375"/>
      <c r="AU447" s="375"/>
      <c r="AV447" s="375"/>
      <c r="AW447" s="375">
        <v>0</v>
      </c>
      <c r="AX447" s="375">
        <v>0</v>
      </c>
      <c r="AY447" s="375">
        <v>0</v>
      </c>
      <c r="AZ447" s="375">
        <v>0</v>
      </c>
      <c r="BA447" s="375">
        <v>0</v>
      </c>
      <c r="BB447" s="375">
        <v>0</v>
      </c>
      <c r="BC447" s="375">
        <v>0</v>
      </c>
      <c r="BD447" s="375">
        <v>0</v>
      </c>
      <c r="BE447" s="375">
        <v>0</v>
      </c>
      <c r="BF447" s="375">
        <v>0</v>
      </c>
      <c r="BG447" s="103">
        <v>-169727.17</v>
      </c>
      <c r="BH447" s="103">
        <v>0</v>
      </c>
      <c r="BI447" s="103">
        <v>0</v>
      </c>
      <c r="BJ447" s="103">
        <v>0</v>
      </c>
      <c r="BK447" s="103">
        <v>0</v>
      </c>
      <c r="BL447" s="103">
        <v>0</v>
      </c>
      <c r="BM447" s="103">
        <v>0</v>
      </c>
      <c r="BN447" s="103">
        <v>0</v>
      </c>
      <c r="BO447" s="103">
        <v>0</v>
      </c>
      <c r="BP447" s="103">
        <v>0</v>
      </c>
      <c r="BQ447" s="103">
        <v>0</v>
      </c>
      <c r="BR447" s="103">
        <v>0</v>
      </c>
      <c r="BS447" s="79">
        <f>SUM(ERP_8[[#This Row],[2026 AP01]:[2026 AP12]])</f>
        <v>-169727.17</v>
      </c>
    </row>
    <row r="448" spans="1:71" ht="15" hidden="1" customHeight="1">
      <c r="A448" s="66" t="s">
        <v>2319</v>
      </c>
      <c r="B448" s="737" t="s">
        <v>2320</v>
      </c>
      <c r="C448" s="346"/>
      <c r="D448" s="343" t="str">
        <f>_xlfn.TEXTJOIN("_",FALSE,E448,ERP_8[[#This Row],[Expense Category]],ERP_8[[#This Row],[Project Code*]])</f>
        <v>Dougherty, Chris_SOFTWARE_IT-SFT0673-86-OG-US</v>
      </c>
      <c r="E448" s="343" t="s">
        <v>1135</v>
      </c>
      <c r="F448" s="346"/>
      <c r="G448" s="150" t="s">
        <v>1136</v>
      </c>
      <c r="H448" s="150" t="s">
        <v>1135</v>
      </c>
      <c r="I448" s="150" t="s">
        <v>1161</v>
      </c>
      <c r="J448" s="150" t="s">
        <v>1137</v>
      </c>
      <c r="K448" s="511" t="s">
        <v>639</v>
      </c>
      <c r="L448" s="392" t="s">
        <v>2321</v>
      </c>
      <c r="M448" s="343" t="s">
        <v>2322</v>
      </c>
      <c r="N448" s="802" t="s">
        <v>1252</v>
      </c>
      <c r="O448" s="70" t="s">
        <v>693</v>
      </c>
      <c r="P448" s="346"/>
      <c r="Q448" s="346" t="s">
        <v>2323</v>
      </c>
      <c r="R448" s="346"/>
      <c r="S448" s="150" t="s">
        <v>25</v>
      </c>
      <c r="T448" s="150" t="s">
        <v>2324</v>
      </c>
      <c r="U448" s="403"/>
      <c r="V448" s="406">
        <v>11026</v>
      </c>
      <c r="W448" s="406">
        <v>11026</v>
      </c>
      <c r="X448" s="425"/>
      <c r="Y448" s="71"/>
      <c r="Z448" s="784"/>
      <c r="AA448" s="794"/>
      <c r="AB448" s="794"/>
      <c r="AC448" s="428" t="s">
        <v>1142</v>
      </c>
      <c r="AD448" s="429">
        <v>0</v>
      </c>
      <c r="AE448" s="429">
        <v>0</v>
      </c>
      <c r="AF448" s="429" t="s">
        <v>1142</v>
      </c>
      <c r="AG448" s="363"/>
      <c r="AH448" s="363"/>
      <c r="AI448" s="363"/>
      <c r="AJ448" s="363">
        <v>11026</v>
      </c>
      <c r="AK448" s="360">
        <v>0</v>
      </c>
      <c r="AL448" s="360">
        <f t="shared" si="27"/>
        <v>11026</v>
      </c>
      <c r="AM448" s="362">
        <f>ERP_8[[#This Row],[2026 Working Total]]-ERP_8[[#This Row],[LE2 Final Submission]]</f>
        <v>0</v>
      </c>
      <c r="AN448" s="79"/>
      <c r="AO448" s="79">
        <f t="shared" si="29"/>
        <v>0</v>
      </c>
      <c r="AP448" s="374">
        <f>SUM(ERP_8[[#This Row],[AP01]:[AP07]])-SUM(ERP_8[[#This Row],[AP01 LE2]:[AP07 LE2]])</f>
        <v>0</v>
      </c>
      <c r="AQ448" s="80"/>
      <c r="AR448" s="79">
        <f>ERP_8[[#This Row],[2026 Working Total to Budget/LE]]-ERP_8[[#This Row],[Giveback]]</f>
        <v>0</v>
      </c>
      <c r="AS448" s="81"/>
      <c r="AT448" s="375"/>
      <c r="AU448" s="375"/>
      <c r="AV448" s="375"/>
      <c r="AW448" s="375"/>
      <c r="AX448" s="375"/>
      <c r="AY448" s="375"/>
      <c r="AZ448" s="375"/>
      <c r="BA448" s="375"/>
      <c r="BB448" s="375"/>
      <c r="BC448" s="375"/>
      <c r="BD448" s="375">
        <v>11026</v>
      </c>
      <c r="BE448" s="375">
        <v>0</v>
      </c>
      <c r="BF448" s="375">
        <v>11026</v>
      </c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>
        <v>11026</v>
      </c>
      <c r="BR448" s="79">
        <v>0</v>
      </c>
      <c r="BS448" s="79">
        <v>11026</v>
      </c>
    </row>
    <row r="449" spans="1:71" ht="15" hidden="1" customHeight="1">
      <c r="A449" s="79" t="s">
        <v>2325</v>
      </c>
      <c r="B449" s="749" t="s">
        <v>2326</v>
      </c>
      <c r="C449" s="348"/>
      <c r="D449" s="347" t="str">
        <f>_xlfn.TEXTJOIN("_",FALSE,E449,ERP_8[[#This Row],[Expense Category]],ERP_8[[#This Row],[Project Code*]])</f>
        <v>Dougherty, Chris_SOFTWARE_IT-SFT1003-86-OG-US</v>
      </c>
      <c r="E449" s="347" t="s">
        <v>1135</v>
      </c>
      <c r="F449" s="348"/>
      <c r="G449" s="150" t="s">
        <v>1136</v>
      </c>
      <c r="H449" s="332" t="s">
        <v>1135</v>
      </c>
      <c r="I449" s="383" t="s">
        <v>1145</v>
      </c>
      <c r="J449" s="331" t="s">
        <v>1137</v>
      </c>
      <c r="K449" s="512" t="s">
        <v>639</v>
      </c>
      <c r="L449" s="811" t="s">
        <v>2327</v>
      </c>
      <c r="M449" s="343" t="s">
        <v>2328</v>
      </c>
      <c r="N449" s="385" t="s">
        <v>1171</v>
      </c>
      <c r="O449" s="91" t="s">
        <v>695</v>
      </c>
      <c r="P449" s="343"/>
      <c r="Q449" s="346" t="s">
        <v>2329</v>
      </c>
      <c r="R449" s="346" t="s">
        <v>1710</v>
      </c>
      <c r="S449" s="386" t="s">
        <v>696</v>
      </c>
      <c r="T449" s="346" t="s">
        <v>1348</v>
      </c>
      <c r="U449" s="437"/>
      <c r="V449" s="358">
        <v>325620</v>
      </c>
      <c r="W449" s="378">
        <v>0</v>
      </c>
      <c r="X449" s="425"/>
      <c r="Y449" s="71"/>
      <c r="Z449" s="783"/>
      <c r="AA449" s="781"/>
      <c r="AB449" s="781"/>
      <c r="AC449" s="428" t="s">
        <v>1142</v>
      </c>
      <c r="AD449" s="429">
        <v>0</v>
      </c>
      <c r="AE449" s="429">
        <v>0</v>
      </c>
      <c r="AF449" s="429" t="s">
        <v>1142</v>
      </c>
      <c r="AG449" s="388">
        <v>0</v>
      </c>
      <c r="AH449" s="388">
        <v>0</v>
      </c>
      <c r="AI449" s="388">
        <v>0</v>
      </c>
      <c r="AJ449" s="388">
        <v>0</v>
      </c>
      <c r="AK449" s="388">
        <v>0</v>
      </c>
      <c r="AL449" s="360">
        <f t="shared" si="27"/>
        <v>0</v>
      </c>
      <c r="AM449" s="362">
        <f>ERP_8[[#This Row],[2026 Working Total]]-ERP_8[[#This Row],[LE2 Final Submission]]</f>
        <v>0</v>
      </c>
      <c r="AN449" s="79">
        <v>0</v>
      </c>
      <c r="AO449" s="79">
        <f t="shared" si="29"/>
        <v>0</v>
      </c>
      <c r="AP449" s="374">
        <f>SUM(ERP_8[[#This Row],[AP01]:[AP07]])-SUM(ERP_8[[#This Row],[AP01 LE2]:[AP07 LE2]])</f>
        <v>0</v>
      </c>
      <c r="AQ449" s="80"/>
      <c r="AR449" s="79">
        <f>ERP_8[[#This Row],[2026 Working Total to Budget/LE]]-ERP_8[[#This Row],[Giveback]]</f>
        <v>0</v>
      </c>
      <c r="AS449" s="81"/>
      <c r="AT449" s="375"/>
      <c r="AU449" s="375"/>
      <c r="AV449" s="375"/>
      <c r="AW449" s="375">
        <v>0</v>
      </c>
      <c r="AX449" s="375">
        <v>0</v>
      </c>
      <c r="AY449" s="375">
        <v>0</v>
      </c>
      <c r="AZ449" s="375">
        <v>0</v>
      </c>
      <c r="BA449" s="375">
        <v>0</v>
      </c>
      <c r="BB449" s="375">
        <v>0</v>
      </c>
      <c r="BC449" s="375">
        <v>0</v>
      </c>
      <c r="BD449" s="375">
        <v>0</v>
      </c>
      <c r="BE449" s="375">
        <v>0</v>
      </c>
      <c r="BF449" s="375">
        <v>0</v>
      </c>
      <c r="BG449" s="103">
        <v>325620</v>
      </c>
      <c r="BH449" s="103">
        <v>0</v>
      </c>
      <c r="BI449" s="103">
        <v>0</v>
      </c>
      <c r="BJ449" s="103">
        <v>0</v>
      </c>
      <c r="BK449" s="103">
        <v>0</v>
      </c>
      <c r="BL449" s="103">
        <v>0</v>
      </c>
      <c r="BM449" s="103">
        <v>0</v>
      </c>
      <c r="BN449" s="103">
        <v>0</v>
      </c>
      <c r="BO449" s="103">
        <v>0</v>
      </c>
      <c r="BP449" s="103">
        <v>0</v>
      </c>
      <c r="BQ449" s="103">
        <v>0</v>
      </c>
      <c r="BR449" s="103">
        <v>0</v>
      </c>
      <c r="BS449" s="79">
        <f>SUM(ERP_8[[#This Row],[2026 AP01]:[2026 AP12]])</f>
        <v>325620</v>
      </c>
    </row>
    <row r="450" spans="1:71" ht="15" hidden="1" customHeight="1">
      <c r="A450" s="79" t="s">
        <v>2330</v>
      </c>
      <c r="B450" s="749" t="s">
        <v>2331</v>
      </c>
      <c r="C450" s="348"/>
      <c r="D450" s="347" t="str">
        <f>_xlfn.TEXTJOIN("_",FALSE,E450,ERP_8[[#This Row],[Expense Category]],ERP_8[[#This Row],[Project Code*]])</f>
        <v>Dougherty, Chris_SOFTWARE_IT-SFT1003-86-OG-US/PF</v>
      </c>
      <c r="E450" s="347" t="s">
        <v>1135</v>
      </c>
      <c r="F450" s="348"/>
      <c r="G450" s="150" t="s">
        <v>1136</v>
      </c>
      <c r="H450" s="332" t="s">
        <v>1135</v>
      </c>
      <c r="I450" s="383" t="s">
        <v>1145</v>
      </c>
      <c r="J450" s="331" t="s">
        <v>1137</v>
      </c>
      <c r="K450" s="512" t="s">
        <v>639</v>
      </c>
      <c r="L450" s="811" t="s">
        <v>2332</v>
      </c>
      <c r="M450" s="343"/>
      <c r="N450" s="803"/>
      <c r="O450" s="91" t="s">
        <v>698</v>
      </c>
      <c r="P450" s="343"/>
      <c r="Q450" s="346" t="s">
        <v>2329</v>
      </c>
      <c r="R450" s="346" t="s">
        <v>1710</v>
      </c>
      <c r="S450" s="386" t="s">
        <v>696</v>
      </c>
      <c r="T450" s="346" t="s">
        <v>1348</v>
      </c>
      <c r="U450" s="437"/>
      <c r="V450" s="358">
        <v>-325620</v>
      </c>
      <c r="W450" s="378">
        <v>0</v>
      </c>
      <c r="X450" s="425"/>
      <c r="Y450" s="71"/>
      <c r="Z450" s="783"/>
      <c r="AA450" s="781"/>
      <c r="AB450" s="781"/>
      <c r="AC450" s="428" t="s">
        <v>1142</v>
      </c>
      <c r="AD450" s="429">
        <v>0</v>
      </c>
      <c r="AE450" s="429">
        <v>0</v>
      </c>
      <c r="AF450" s="429" t="s">
        <v>1142</v>
      </c>
      <c r="AG450" s="388">
        <v>0</v>
      </c>
      <c r="AH450" s="388">
        <v>0</v>
      </c>
      <c r="AI450" s="388">
        <v>0</v>
      </c>
      <c r="AJ450" s="388">
        <v>0</v>
      </c>
      <c r="AK450" s="388">
        <v>0</v>
      </c>
      <c r="AL450" s="360">
        <f t="shared" si="27"/>
        <v>0</v>
      </c>
      <c r="AM450" s="362">
        <f>ERP_8[[#This Row],[2026 Working Total]]-ERP_8[[#This Row],[LE2 Final Submission]]</f>
        <v>0</v>
      </c>
      <c r="AN450" s="79">
        <v>0</v>
      </c>
      <c r="AO450" s="79">
        <f t="shared" si="29"/>
        <v>0</v>
      </c>
      <c r="AP450" s="374">
        <f>SUM(ERP_8[[#This Row],[AP01]:[AP07]])-SUM(ERP_8[[#This Row],[AP01 LE2]:[AP07 LE2]])</f>
        <v>0</v>
      </c>
      <c r="AQ450" s="80"/>
      <c r="AR450" s="79">
        <f>ERP_8[[#This Row],[2026 Working Total to Budget/LE]]-ERP_8[[#This Row],[Giveback]]</f>
        <v>0</v>
      </c>
      <c r="AS450" s="81"/>
      <c r="AT450" s="375"/>
      <c r="AU450" s="375"/>
      <c r="AV450" s="375"/>
      <c r="AW450" s="375">
        <v>0</v>
      </c>
      <c r="AX450" s="375">
        <v>0</v>
      </c>
      <c r="AY450" s="375">
        <v>0</v>
      </c>
      <c r="AZ450" s="375">
        <v>0</v>
      </c>
      <c r="BA450" s="375">
        <v>0</v>
      </c>
      <c r="BB450" s="375">
        <v>0</v>
      </c>
      <c r="BC450" s="375">
        <v>0</v>
      </c>
      <c r="BD450" s="375">
        <v>0</v>
      </c>
      <c r="BE450" s="375">
        <v>0</v>
      </c>
      <c r="BF450" s="375">
        <v>0</v>
      </c>
      <c r="BG450" s="103">
        <v>-325620</v>
      </c>
      <c r="BH450" s="103">
        <v>0</v>
      </c>
      <c r="BI450" s="103">
        <v>0</v>
      </c>
      <c r="BJ450" s="103">
        <v>0</v>
      </c>
      <c r="BK450" s="103">
        <v>0</v>
      </c>
      <c r="BL450" s="103">
        <v>0</v>
      </c>
      <c r="BM450" s="103">
        <v>0</v>
      </c>
      <c r="BN450" s="103">
        <v>0</v>
      </c>
      <c r="BO450" s="103">
        <v>0</v>
      </c>
      <c r="BP450" s="103">
        <v>0</v>
      </c>
      <c r="BQ450" s="103">
        <v>0</v>
      </c>
      <c r="BR450" s="103">
        <v>0</v>
      </c>
      <c r="BS450" s="79">
        <f>SUM(ERP_8[[#This Row],[2026 AP01]:[2026 AP12]])</f>
        <v>-325620</v>
      </c>
    </row>
    <row r="451" spans="1:71" ht="15" hidden="1" customHeight="1">
      <c r="A451" s="66" t="s">
        <v>2333</v>
      </c>
      <c r="B451" s="737" t="s">
        <v>2334</v>
      </c>
      <c r="C451" s="346"/>
      <c r="D451" s="343" t="str">
        <f>_xlfn.TEXTJOIN("_",FALSE,E451,ERP_8[[#This Row],[Expense Category]],ERP_8[[#This Row],[Project Code*]])</f>
        <v>Dougherty, Chris_SOFTWARE_IT-SFT1006-86-OG-US</v>
      </c>
      <c r="E451" s="343" t="s">
        <v>1135</v>
      </c>
      <c r="F451" s="346"/>
      <c r="G451" s="150" t="s">
        <v>1136</v>
      </c>
      <c r="H451" s="150" t="s">
        <v>1135</v>
      </c>
      <c r="I451" s="150" t="s">
        <v>1145</v>
      </c>
      <c r="J451" s="150" t="s">
        <v>1137</v>
      </c>
      <c r="K451" s="511" t="s">
        <v>639</v>
      </c>
      <c r="L451" s="778" t="s">
        <v>2335</v>
      </c>
      <c r="M451" s="343" t="s">
        <v>2305</v>
      </c>
      <c r="N451" s="802" t="s">
        <v>1186</v>
      </c>
      <c r="O451" s="70" t="s">
        <v>700</v>
      </c>
      <c r="P451" s="346"/>
      <c r="Q451" s="346" t="s">
        <v>2336</v>
      </c>
      <c r="R451" s="346"/>
      <c r="S451" s="150" t="s">
        <v>701</v>
      </c>
      <c r="T451" s="150"/>
      <c r="U451" s="403"/>
      <c r="V451" s="406">
        <v>54093.63</v>
      </c>
      <c r="W451" s="406">
        <v>55716.44</v>
      </c>
      <c r="X451" s="425"/>
      <c r="Y451" s="71"/>
      <c r="Z451" s="784"/>
      <c r="AA451" s="780">
        <v>55716.44</v>
      </c>
      <c r="AB451" s="780">
        <v>0</v>
      </c>
      <c r="AC451" s="428">
        <v>0</v>
      </c>
      <c r="AD451" s="429">
        <v>0</v>
      </c>
      <c r="AE451" s="429">
        <v>0</v>
      </c>
      <c r="AF451" s="429">
        <v>0</v>
      </c>
      <c r="AG451" s="360">
        <v>0</v>
      </c>
      <c r="AH451" s="360">
        <v>0</v>
      </c>
      <c r="AI451" s="360">
        <v>0</v>
      </c>
      <c r="AJ451" s="360">
        <v>0</v>
      </c>
      <c r="AK451" s="360">
        <v>0</v>
      </c>
      <c r="AL451" s="360">
        <f t="shared" si="27"/>
        <v>55716.44</v>
      </c>
      <c r="AM451" s="362">
        <f>ERP_8[[#This Row],[2026 Working Total]]-ERP_8[[#This Row],[LE2 Final Submission]]</f>
        <v>0</v>
      </c>
      <c r="AN451" s="79">
        <v>0</v>
      </c>
      <c r="AO451" s="79">
        <f t="shared" si="29"/>
        <v>0</v>
      </c>
      <c r="AP451" s="374">
        <f>SUM(ERP_8[[#This Row],[AP01]:[AP07]])-SUM(ERP_8[[#This Row],[AP01 LE2]:[AP07 LE2]])</f>
        <v>0</v>
      </c>
      <c r="AQ451" s="80"/>
      <c r="AR451" s="79">
        <f>ERP_8[[#This Row],[2026 Working Total to Budget/LE]]-ERP_8[[#This Row],[Giveback]]</f>
        <v>0</v>
      </c>
      <c r="AS451" s="81"/>
      <c r="AT451" s="375"/>
      <c r="AU451" s="375">
        <v>55716.44</v>
      </c>
      <c r="AV451" s="375">
        <v>0</v>
      </c>
      <c r="AW451" s="375">
        <v>0</v>
      </c>
      <c r="AX451" s="375">
        <v>0</v>
      </c>
      <c r="AY451" s="375">
        <v>0</v>
      </c>
      <c r="AZ451" s="375">
        <v>0</v>
      </c>
      <c r="BA451" s="375">
        <v>0</v>
      </c>
      <c r="BB451" s="375">
        <v>0</v>
      </c>
      <c r="BC451" s="375">
        <v>0</v>
      </c>
      <c r="BD451" s="375">
        <v>0</v>
      </c>
      <c r="BE451" s="375">
        <v>0</v>
      </c>
      <c r="BF451" s="375">
        <v>55716.44</v>
      </c>
      <c r="BG451" s="79"/>
      <c r="BH451" s="79">
        <v>55716.44</v>
      </c>
      <c r="BI451" s="79">
        <v>0</v>
      </c>
      <c r="BJ451" s="79">
        <v>0</v>
      </c>
      <c r="BK451" s="79">
        <v>0</v>
      </c>
      <c r="BL451" s="79">
        <v>0</v>
      </c>
      <c r="BM451" s="79">
        <v>0</v>
      </c>
      <c r="BN451" s="79">
        <v>0</v>
      </c>
      <c r="BO451" s="79">
        <v>0</v>
      </c>
      <c r="BP451" s="79">
        <v>0</v>
      </c>
      <c r="BQ451" s="79">
        <v>0</v>
      </c>
      <c r="BR451" s="79">
        <v>0</v>
      </c>
      <c r="BS451" s="79">
        <v>55716.44</v>
      </c>
    </row>
    <row r="452" spans="1:71" ht="15" hidden="1" customHeight="1">
      <c r="A452" s="66" t="s">
        <v>2337</v>
      </c>
      <c r="B452" s="737" t="s">
        <v>702</v>
      </c>
      <c r="C452" s="346"/>
      <c r="D452" s="343" t="str">
        <f>_xlfn.TEXTJOIN("_",FALSE,E452,ERP_8[[#This Row],[Expense Category]],ERP_8[[#This Row],[Project Code*]])</f>
        <v>Dougherty, Chris_SOFTWARE_IT-SFT1009-86-OG-US</v>
      </c>
      <c r="E452" s="343" t="s">
        <v>1135</v>
      </c>
      <c r="F452" s="346"/>
      <c r="G452" s="150" t="s">
        <v>1136</v>
      </c>
      <c r="H452" s="150" t="s">
        <v>1135</v>
      </c>
      <c r="I452" s="150" t="s">
        <v>1135</v>
      </c>
      <c r="J452" s="150" t="s">
        <v>1137</v>
      </c>
      <c r="K452" s="511" t="s">
        <v>639</v>
      </c>
      <c r="L452" s="392" t="s">
        <v>2338</v>
      </c>
      <c r="M452" s="343" t="s">
        <v>1231</v>
      </c>
      <c r="N452" s="802" t="s">
        <v>1171</v>
      </c>
      <c r="O452" s="70" t="s">
        <v>703</v>
      </c>
      <c r="P452" s="346"/>
      <c r="Q452" s="346" t="s">
        <v>2339</v>
      </c>
      <c r="R452" s="346"/>
      <c r="S452" s="150" t="s">
        <v>704</v>
      </c>
      <c r="T452" s="150" t="s">
        <v>2340</v>
      </c>
      <c r="U452" s="403"/>
      <c r="V452" s="406">
        <v>3581394.5999999992</v>
      </c>
      <c r="W452" s="406">
        <v>3026808.87</v>
      </c>
      <c r="X452" s="430"/>
      <c r="Y452" s="137"/>
      <c r="Z452" s="784">
        <v>3026811.49</v>
      </c>
      <c r="AA452" s="780">
        <v>-3073725.16</v>
      </c>
      <c r="AB452" s="780">
        <v>803616.54</v>
      </c>
      <c r="AC452" s="428">
        <v>0</v>
      </c>
      <c r="AD452" s="429">
        <v>1470681.36</v>
      </c>
      <c r="AE452" s="429">
        <v>735340.67999999993</v>
      </c>
      <c r="AF452" s="429">
        <v>0</v>
      </c>
      <c r="AG452" s="363">
        <f>252234+252234</f>
        <v>504468</v>
      </c>
      <c r="AH452" s="363">
        <v>252234</v>
      </c>
      <c r="AI452" s="363">
        <f>252234-252234</f>
        <v>0</v>
      </c>
      <c r="AJ452" s="363">
        <f>252234+252234</f>
        <v>504468</v>
      </c>
      <c r="AK452" s="363">
        <v>252234</v>
      </c>
      <c r="AL452" s="360">
        <f t="shared" ref="AL452:AL515" si="30">SUM(Z452:AK452)</f>
        <v>4476128.91</v>
      </c>
      <c r="AM452" s="362">
        <f>ERP_8[[#This Row],[2026 Working Total]]-ERP_8[[#This Row],[LE2 Final Submission]]</f>
        <v>1449320.04</v>
      </c>
      <c r="AN452" s="79">
        <v>0</v>
      </c>
      <c r="AO452" s="79">
        <f t="shared" si="29"/>
        <v>735340.67999999993</v>
      </c>
      <c r="AP452" s="374">
        <f>SUM(ERP_8[[#This Row],[AP01]:[AP07]])-SUM(ERP_8[[#This Row],[AP01 LE2]:[AP07 LE2]])</f>
        <v>1449320.04</v>
      </c>
      <c r="AQ452" s="80"/>
      <c r="AR452" s="79">
        <f>ERP_8[[#This Row],[2026 Working Total to Budget/LE]]-ERP_8[[#This Row],[Giveback]]</f>
        <v>1449320.04</v>
      </c>
      <c r="AS452" s="81"/>
      <c r="AT452" s="375">
        <v>3026811.49</v>
      </c>
      <c r="AU452" s="375">
        <v>-3073725.16</v>
      </c>
      <c r="AV452" s="375">
        <v>803616.54</v>
      </c>
      <c r="AW452" s="375">
        <v>0</v>
      </c>
      <c r="AX452" s="375">
        <v>504468</v>
      </c>
      <c r="AY452" s="375">
        <v>252234</v>
      </c>
      <c r="AZ452" s="375">
        <v>0</v>
      </c>
      <c r="BA452" s="375">
        <v>504468</v>
      </c>
      <c r="BB452" s="375">
        <v>252234</v>
      </c>
      <c r="BC452" s="375">
        <v>0</v>
      </c>
      <c r="BD452" s="375">
        <v>504468</v>
      </c>
      <c r="BE452" s="375">
        <v>252234</v>
      </c>
      <c r="BF452" s="375">
        <v>3026808.87</v>
      </c>
      <c r="BG452" s="79">
        <v>3026811.49</v>
      </c>
      <c r="BH452" s="79">
        <v>-3073725.16</v>
      </c>
      <c r="BI452" s="79">
        <v>803616.54</v>
      </c>
      <c r="BJ452" s="79">
        <v>252234</v>
      </c>
      <c r="BK452" s="79">
        <v>252234</v>
      </c>
      <c r="BL452" s="79">
        <v>252234</v>
      </c>
      <c r="BM452" s="79">
        <v>252234</v>
      </c>
      <c r="BN452" s="79">
        <v>252234</v>
      </c>
      <c r="BO452" s="79">
        <v>252234</v>
      </c>
      <c r="BP452" s="79">
        <v>252234</v>
      </c>
      <c r="BQ452" s="79">
        <v>252234</v>
      </c>
      <c r="BR452" s="79">
        <v>252234</v>
      </c>
      <c r="BS452" s="79">
        <v>3026808.87</v>
      </c>
    </row>
    <row r="453" spans="1:71" ht="15" hidden="1" customHeight="1">
      <c r="A453" s="79" t="s">
        <v>2341</v>
      </c>
      <c r="B453" s="749" t="s">
        <v>705</v>
      </c>
      <c r="C453" s="348"/>
      <c r="D453" s="347" t="str">
        <f>_xlfn.TEXTJOIN("_",FALSE,E453,ERP_8[[#This Row],[Expense Category]],ERP_8[[#This Row],[Project Code*]])</f>
        <v>Dougherty, Chris_SOFTWARE_IT-SFT1009-86-OG-US/02</v>
      </c>
      <c r="E453" s="347" t="s">
        <v>1135</v>
      </c>
      <c r="F453" s="348"/>
      <c r="G453" s="150" t="s">
        <v>1136</v>
      </c>
      <c r="H453" s="332" t="s">
        <v>1135</v>
      </c>
      <c r="I453" s="383" t="s">
        <v>1135</v>
      </c>
      <c r="J453" s="331" t="s">
        <v>1137</v>
      </c>
      <c r="K453" s="512" t="s">
        <v>639</v>
      </c>
      <c r="L453" s="393" t="s">
        <v>2342</v>
      </c>
      <c r="M453" s="343" t="s">
        <v>2343</v>
      </c>
      <c r="N453" s="385" t="s">
        <v>1171</v>
      </c>
      <c r="O453" s="91" t="s">
        <v>706</v>
      </c>
      <c r="P453" s="343"/>
      <c r="Q453" s="346" t="s">
        <v>2339</v>
      </c>
      <c r="R453" s="346" t="s">
        <v>1710</v>
      </c>
      <c r="S453" s="386" t="s">
        <v>707</v>
      </c>
      <c r="T453" s="387" t="s">
        <v>2344</v>
      </c>
      <c r="U453" s="437"/>
      <c r="V453" s="358">
        <v>678893.73</v>
      </c>
      <c r="W453" s="378">
        <v>0</v>
      </c>
      <c r="X453" s="425"/>
      <c r="Y453" s="71"/>
      <c r="Z453" s="783"/>
      <c r="AA453" s="781"/>
      <c r="AB453" s="781"/>
      <c r="AC453" s="428" t="s">
        <v>1142</v>
      </c>
      <c r="AD453" s="429">
        <v>0</v>
      </c>
      <c r="AE453" s="429">
        <v>0</v>
      </c>
      <c r="AF453" s="429" t="s">
        <v>1142</v>
      </c>
      <c r="AG453" s="388">
        <v>0</v>
      </c>
      <c r="AH453" s="388">
        <v>0</v>
      </c>
      <c r="AI453" s="388">
        <v>0</v>
      </c>
      <c r="AJ453" s="388">
        <v>0</v>
      </c>
      <c r="AK453" s="388">
        <v>0</v>
      </c>
      <c r="AL453" s="360">
        <f t="shared" si="30"/>
        <v>0</v>
      </c>
      <c r="AM453" s="362">
        <f>ERP_8[[#This Row],[2026 Working Total]]-ERP_8[[#This Row],[LE2 Final Submission]]</f>
        <v>0</v>
      </c>
      <c r="AN453" s="79">
        <v>0</v>
      </c>
      <c r="AO453" s="79">
        <f t="shared" si="29"/>
        <v>0</v>
      </c>
      <c r="AP453" s="374">
        <f>SUM(ERP_8[[#This Row],[AP01]:[AP07]])-SUM(ERP_8[[#This Row],[AP01 LE2]:[AP07 LE2]])</f>
        <v>0</v>
      </c>
      <c r="AQ453" s="80"/>
      <c r="AR453" s="79">
        <f>ERP_8[[#This Row],[2026 Working Total to Budget/LE]]-ERP_8[[#This Row],[Giveback]]</f>
        <v>0</v>
      </c>
      <c r="AS453" s="81"/>
      <c r="AT453" s="375"/>
      <c r="AU453" s="375"/>
      <c r="AV453" s="375"/>
      <c r="AW453" s="375">
        <v>0</v>
      </c>
      <c r="AX453" s="375">
        <v>0</v>
      </c>
      <c r="AY453" s="375">
        <v>0</v>
      </c>
      <c r="AZ453" s="375">
        <v>0</v>
      </c>
      <c r="BA453" s="375">
        <v>0</v>
      </c>
      <c r="BB453" s="375">
        <v>0</v>
      </c>
      <c r="BC453" s="375">
        <v>0</v>
      </c>
      <c r="BD453" s="375">
        <v>0</v>
      </c>
      <c r="BE453" s="375">
        <v>0</v>
      </c>
      <c r="BF453" s="375">
        <v>0</v>
      </c>
      <c r="BG453" s="103">
        <v>678893.73</v>
      </c>
      <c r="BH453" s="103">
        <v>0</v>
      </c>
      <c r="BI453" s="103">
        <v>0</v>
      </c>
      <c r="BJ453" s="103">
        <v>0</v>
      </c>
      <c r="BK453" s="103">
        <v>0</v>
      </c>
      <c r="BL453" s="103">
        <v>0</v>
      </c>
      <c r="BM453" s="103">
        <v>0</v>
      </c>
      <c r="BN453" s="103">
        <v>0</v>
      </c>
      <c r="BO453" s="103">
        <v>0</v>
      </c>
      <c r="BP453" s="103">
        <v>0</v>
      </c>
      <c r="BQ453" s="103">
        <v>0</v>
      </c>
      <c r="BR453" s="103">
        <v>0</v>
      </c>
      <c r="BS453" s="79">
        <f>SUM(ERP_8[[#This Row],[2026 AP01]:[2026 AP12]])</f>
        <v>678893.73</v>
      </c>
    </row>
    <row r="454" spans="1:71" ht="15" hidden="1" customHeight="1">
      <c r="A454" s="79" t="s">
        <v>2345</v>
      </c>
      <c r="B454" s="749" t="s">
        <v>708</v>
      </c>
      <c r="C454" s="348"/>
      <c r="D454" s="347" t="str">
        <f>_xlfn.TEXTJOIN("_",FALSE,E454,ERP_8[[#This Row],[Expense Category]],ERP_8[[#This Row],[Project Code*]])</f>
        <v>Dougherty, Chris_SOFTWARE_IT-SFT1009-86-OG-US/02/PF</v>
      </c>
      <c r="E454" s="347" t="s">
        <v>1135</v>
      </c>
      <c r="F454" s="348"/>
      <c r="G454" s="150" t="s">
        <v>1136</v>
      </c>
      <c r="H454" s="332" t="s">
        <v>1135</v>
      </c>
      <c r="I454" s="383" t="s">
        <v>1135</v>
      </c>
      <c r="J454" s="331" t="s">
        <v>1137</v>
      </c>
      <c r="K454" s="512" t="s">
        <v>639</v>
      </c>
      <c r="L454" s="393" t="s">
        <v>2346</v>
      </c>
      <c r="M454" s="343" t="s">
        <v>2343</v>
      </c>
      <c r="N454" s="385" t="s">
        <v>1171</v>
      </c>
      <c r="O454" s="91" t="s">
        <v>709</v>
      </c>
      <c r="P454" s="343"/>
      <c r="Q454" s="346" t="s">
        <v>2339</v>
      </c>
      <c r="R454" s="346" t="s">
        <v>1710</v>
      </c>
      <c r="S454" s="386" t="s">
        <v>707</v>
      </c>
      <c r="T454" s="346" t="s">
        <v>1348</v>
      </c>
      <c r="U454" s="437"/>
      <c r="V454" s="358">
        <v>-678893.73</v>
      </c>
      <c r="W454" s="378">
        <v>0</v>
      </c>
      <c r="X454" s="425"/>
      <c r="Y454" s="71"/>
      <c r="Z454" s="783"/>
      <c r="AA454" s="781"/>
      <c r="AB454" s="781"/>
      <c r="AC454" s="428" t="s">
        <v>1142</v>
      </c>
      <c r="AD454" s="429">
        <v>0</v>
      </c>
      <c r="AE454" s="429">
        <v>0</v>
      </c>
      <c r="AF454" s="429" t="s">
        <v>1142</v>
      </c>
      <c r="AG454" s="388">
        <v>0</v>
      </c>
      <c r="AH454" s="388">
        <v>0</v>
      </c>
      <c r="AI454" s="388">
        <v>0</v>
      </c>
      <c r="AJ454" s="388">
        <v>0</v>
      </c>
      <c r="AK454" s="388">
        <v>0</v>
      </c>
      <c r="AL454" s="360">
        <f t="shared" si="30"/>
        <v>0</v>
      </c>
      <c r="AM454" s="362">
        <f>ERP_8[[#This Row],[2026 Working Total]]-ERP_8[[#This Row],[LE2 Final Submission]]</f>
        <v>0</v>
      </c>
      <c r="AN454" s="79">
        <v>0</v>
      </c>
      <c r="AO454" s="79">
        <f t="shared" si="29"/>
        <v>0</v>
      </c>
      <c r="AP454" s="374">
        <f>SUM(ERP_8[[#This Row],[AP01]:[AP07]])-SUM(ERP_8[[#This Row],[AP01 LE2]:[AP07 LE2]])</f>
        <v>0</v>
      </c>
      <c r="AQ454" s="80"/>
      <c r="AR454" s="79">
        <f>ERP_8[[#This Row],[2026 Working Total to Budget/LE]]-ERP_8[[#This Row],[Giveback]]</f>
        <v>0</v>
      </c>
      <c r="AS454" s="81"/>
      <c r="AT454" s="375"/>
      <c r="AU454" s="375"/>
      <c r="AV454" s="375"/>
      <c r="AW454" s="375">
        <v>0</v>
      </c>
      <c r="AX454" s="375">
        <v>0</v>
      </c>
      <c r="AY454" s="375">
        <v>0</v>
      </c>
      <c r="AZ454" s="375">
        <v>0</v>
      </c>
      <c r="BA454" s="375">
        <v>0</v>
      </c>
      <c r="BB454" s="375">
        <v>0</v>
      </c>
      <c r="BC454" s="375">
        <v>0</v>
      </c>
      <c r="BD454" s="375">
        <v>0</v>
      </c>
      <c r="BE454" s="375">
        <v>0</v>
      </c>
      <c r="BF454" s="375">
        <v>0</v>
      </c>
      <c r="BG454" s="103">
        <v>-678893.73</v>
      </c>
      <c r="BH454" s="103">
        <v>0</v>
      </c>
      <c r="BI454" s="103">
        <v>0</v>
      </c>
      <c r="BJ454" s="103">
        <v>0</v>
      </c>
      <c r="BK454" s="103">
        <v>0</v>
      </c>
      <c r="BL454" s="103">
        <v>0</v>
      </c>
      <c r="BM454" s="103">
        <v>0</v>
      </c>
      <c r="BN454" s="103">
        <v>0</v>
      </c>
      <c r="BO454" s="103">
        <v>0</v>
      </c>
      <c r="BP454" s="103">
        <v>0</v>
      </c>
      <c r="BQ454" s="103">
        <v>0</v>
      </c>
      <c r="BR454" s="103">
        <v>0</v>
      </c>
      <c r="BS454" s="79">
        <f>SUM(ERP_8[[#This Row],[2026 AP01]:[2026 AP12]])</f>
        <v>-678893.73</v>
      </c>
    </row>
    <row r="455" spans="1:71" ht="15" hidden="1" customHeight="1">
      <c r="A455" s="79" t="s">
        <v>2347</v>
      </c>
      <c r="B455" s="749" t="s">
        <v>710</v>
      </c>
      <c r="C455" s="348"/>
      <c r="D455" s="347" t="str">
        <f>_xlfn.TEXTJOIN("_",FALSE,E455,ERP_8[[#This Row],[Expense Category]],ERP_8[[#This Row],[Project Code*]])</f>
        <v>Dougherty, Chris_SOFTWARE_IT-SFT1009-86-OG-US/04</v>
      </c>
      <c r="E455" s="347" t="s">
        <v>1135</v>
      </c>
      <c r="F455" s="348"/>
      <c r="G455" s="150" t="s">
        <v>1136</v>
      </c>
      <c r="H455" s="332" t="s">
        <v>1135</v>
      </c>
      <c r="I455" s="383" t="s">
        <v>1135</v>
      </c>
      <c r="J455" s="331" t="s">
        <v>1137</v>
      </c>
      <c r="K455" s="512" t="s">
        <v>639</v>
      </c>
      <c r="L455" s="393" t="s">
        <v>2348</v>
      </c>
      <c r="M455" s="343" t="s">
        <v>2343</v>
      </c>
      <c r="N455" s="385" t="s">
        <v>1171</v>
      </c>
      <c r="O455" s="91" t="s">
        <v>711</v>
      </c>
      <c r="P455" s="343"/>
      <c r="Q455" s="346" t="s">
        <v>2339</v>
      </c>
      <c r="R455" s="346" t="s">
        <v>1710</v>
      </c>
      <c r="S455" s="386" t="s">
        <v>707</v>
      </c>
      <c r="T455" s="346" t="s">
        <v>1348</v>
      </c>
      <c r="U455" s="437"/>
      <c r="V455" s="358">
        <v>4128.4799999999996</v>
      </c>
      <c r="W455" s="378">
        <v>0</v>
      </c>
      <c r="X455" s="430"/>
      <c r="Y455" s="137"/>
      <c r="Z455" s="783"/>
      <c r="AA455" s="781"/>
      <c r="AB455" s="781"/>
      <c r="AC455" s="428" t="s">
        <v>1142</v>
      </c>
      <c r="AD455" s="429">
        <v>0</v>
      </c>
      <c r="AE455" s="429">
        <v>0</v>
      </c>
      <c r="AF455" s="429" t="s">
        <v>1142</v>
      </c>
      <c r="AG455" s="388">
        <v>0</v>
      </c>
      <c r="AH455" s="388">
        <v>0</v>
      </c>
      <c r="AI455" s="388">
        <v>0</v>
      </c>
      <c r="AJ455" s="388">
        <v>0</v>
      </c>
      <c r="AK455" s="388">
        <v>0</v>
      </c>
      <c r="AL455" s="360">
        <f t="shared" si="30"/>
        <v>0</v>
      </c>
      <c r="AM455" s="362">
        <f>ERP_8[[#This Row],[2026 Working Total]]-ERP_8[[#This Row],[LE2 Final Submission]]</f>
        <v>0</v>
      </c>
      <c r="AN455" s="79">
        <v>0</v>
      </c>
      <c r="AO455" s="79">
        <f t="shared" si="29"/>
        <v>0</v>
      </c>
      <c r="AP455" s="374">
        <f>SUM(ERP_8[[#This Row],[AP01]:[AP07]])-SUM(ERP_8[[#This Row],[AP01 LE2]:[AP07 LE2]])</f>
        <v>0</v>
      </c>
      <c r="AQ455" s="80"/>
      <c r="AR455" s="79">
        <f>ERP_8[[#This Row],[2026 Working Total to Budget/LE]]-ERP_8[[#This Row],[Giveback]]</f>
        <v>0</v>
      </c>
      <c r="AS455" s="81"/>
      <c r="AT455" s="375"/>
      <c r="AU455" s="375"/>
      <c r="AV455" s="375"/>
      <c r="AW455" s="375">
        <v>0</v>
      </c>
      <c r="AX455" s="375">
        <v>0</v>
      </c>
      <c r="AY455" s="375">
        <v>0</v>
      </c>
      <c r="AZ455" s="375">
        <v>0</v>
      </c>
      <c r="BA455" s="375">
        <v>0</v>
      </c>
      <c r="BB455" s="375">
        <v>0</v>
      </c>
      <c r="BC455" s="375">
        <v>0</v>
      </c>
      <c r="BD455" s="375">
        <v>0</v>
      </c>
      <c r="BE455" s="375">
        <v>0</v>
      </c>
      <c r="BF455" s="375">
        <v>0</v>
      </c>
      <c r="BG455" s="103">
        <v>4128.4799999999996</v>
      </c>
      <c r="BH455" s="103">
        <v>0</v>
      </c>
      <c r="BI455" s="103">
        <v>0</v>
      </c>
      <c r="BJ455" s="103">
        <v>0</v>
      </c>
      <c r="BK455" s="103">
        <v>0</v>
      </c>
      <c r="BL455" s="103">
        <v>0</v>
      </c>
      <c r="BM455" s="103">
        <v>0</v>
      </c>
      <c r="BN455" s="103">
        <v>0</v>
      </c>
      <c r="BO455" s="103">
        <v>0</v>
      </c>
      <c r="BP455" s="103">
        <v>0</v>
      </c>
      <c r="BQ455" s="103">
        <v>0</v>
      </c>
      <c r="BR455" s="103">
        <v>0</v>
      </c>
      <c r="BS455" s="79">
        <f>SUM(ERP_8[[#This Row],[2026 AP01]:[2026 AP12]])</f>
        <v>4128.4799999999996</v>
      </c>
    </row>
    <row r="456" spans="1:71" ht="15" hidden="1" customHeight="1">
      <c r="A456" s="79" t="s">
        <v>2349</v>
      </c>
      <c r="B456" s="749" t="s">
        <v>712</v>
      </c>
      <c r="C456" s="348"/>
      <c r="D456" s="347" t="str">
        <f>_xlfn.TEXTJOIN("_",FALSE,E456,ERP_8[[#This Row],[Expense Category]],ERP_8[[#This Row],[Project Code*]])</f>
        <v>Dougherty, Chris_SOFTWARE_IT-SFT1009-86-OG-US/04/PF</v>
      </c>
      <c r="E456" s="347" t="s">
        <v>1135</v>
      </c>
      <c r="F456" s="348"/>
      <c r="G456" s="150" t="s">
        <v>1136</v>
      </c>
      <c r="H456" s="332" t="s">
        <v>1135</v>
      </c>
      <c r="I456" s="383" t="s">
        <v>1135</v>
      </c>
      <c r="J456" s="331" t="s">
        <v>1137</v>
      </c>
      <c r="K456" s="512" t="s">
        <v>639</v>
      </c>
      <c r="L456" s="393" t="s">
        <v>2350</v>
      </c>
      <c r="M456" s="343" t="s">
        <v>2343</v>
      </c>
      <c r="N456" s="385" t="s">
        <v>1171</v>
      </c>
      <c r="O456" s="91" t="s">
        <v>713</v>
      </c>
      <c r="P456" s="343"/>
      <c r="Q456" s="346" t="s">
        <v>2339</v>
      </c>
      <c r="R456" s="346" t="s">
        <v>1710</v>
      </c>
      <c r="S456" s="386" t="s">
        <v>707</v>
      </c>
      <c r="T456" s="346" t="s">
        <v>1348</v>
      </c>
      <c r="U456" s="437"/>
      <c r="V456" s="358">
        <v>-4128.4799999999996</v>
      </c>
      <c r="W456" s="378">
        <v>0</v>
      </c>
      <c r="X456" s="425"/>
      <c r="Y456" s="71"/>
      <c r="Z456" s="783"/>
      <c r="AA456" s="781"/>
      <c r="AB456" s="781"/>
      <c r="AC456" s="428" t="s">
        <v>1142</v>
      </c>
      <c r="AD456" s="429">
        <v>0</v>
      </c>
      <c r="AE456" s="429">
        <v>0</v>
      </c>
      <c r="AF456" s="429" t="s">
        <v>1142</v>
      </c>
      <c r="AG456" s="388">
        <v>0</v>
      </c>
      <c r="AH456" s="388">
        <v>0</v>
      </c>
      <c r="AI456" s="388">
        <v>0</v>
      </c>
      <c r="AJ456" s="388">
        <v>0</v>
      </c>
      <c r="AK456" s="388">
        <v>0</v>
      </c>
      <c r="AL456" s="360">
        <f t="shared" si="30"/>
        <v>0</v>
      </c>
      <c r="AM456" s="362">
        <f>ERP_8[[#This Row],[2026 Working Total]]-ERP_8[[#This Row],[LE2 Final Submission]]</f>
        <v>0</v>
      </c>
      <c r="AN456" s="79">
        <v>0</v>
      </c>
      <c r="AO456" s="79">
        <f t="shared" si="29"/>
        <v>0</v>
      </c>
      <c r="AP456" s="374">
        <f>SUM(ERP_8[[#This Row],[AP01]:[AP07]])-SUM(ERP_8[[#This Row],[AP01 LE2]:[AP07 LE2]])</f>
        <v>0</v>
      </c>
      <c r="AQ456" s="80"/>
      <c r="AR456" s="79">
        <f>ERP_8[[#This Row],[2026 Working Total to Budget/LE]]-ERP_8[[#This Row],[Giveback]]</f>
        <v>0</v>
      </c>
      <c r="AS456" s="81"/>
      <c r="AT456" s="375"/>
      <c r="AU456" s="375"/>
      <c r="AV456" s="375"/>
      <c r="AW456" s="375">
        <v>0</v>
      </c>
      <c r="AX456" s="375">
        <v>0</v>
      </c>
      <c r="AY456" s="375">
        <v>0</v>
      </c>
      <c r="AZ456" s="375">
        <v>0</v>
      </c>
      <c r="BA456" s="375">
        <v>0</v>
      </c>
      <c r="BB456" s="375">
        <v>0</v>
      </c>
      <c r="BC456" s="375">
        <v>0</v>
      </c>
      <c r="BD456" s="375">
        <v>0</v>
      </c>
      <c r="BE456" s="375">
        <v>0</v>
      </c>
      <c r="BF456" s="375">
        <v>0</v>
      </c>
      <c r="BG456" s="103">
        <v>-4128.4799999999996</v>
      </c>
      <c r="BH456" s="103">
        <v>0</v>
      </c>
      <c r="BI456" s="103">
        <v>0</v>
      </c>
      <c r="BJ456" s="103">
        <v>0</v>
      </c>
      <c r="BK456" s="103">
        <v>0</v>
      </c>
      <c r="BL456" s="103">
        <v>0</v>
      </c>
      <c r="BM456" s="103">
        <v>0</v>
      </c>
      <c r="BN456" s="103">
        <v>0</v>
      </c>
      <c r="BO456" s="103">
        <v>0</v>
      </c>
      <c r="BP456" s="103">
        <v>0</v>
      </c>
      <c r="BQ456" s="103">
        <v>0</v>
      </c>
      <c r="BR456" s="103">
        <v>0</v>
      </c>
      <c r="BS456" s="79">
        <f>SUM(ERP_8[[#This Row],[2026 AP01]:[2026 AP12]])</f>
        <v>-4128.4799999999996</v>
      </c>
    </row>
    <row r="457" spans="1:71" ht="15" hidden="1" customHeight="1">
      <c r="A457" s="79" t="s">
        <v>2351</v>
      </c>
      <c r="B457" s="749" t="s">
        <v>714</v>
      </c>
      <c r="C457" s="348"/>
      <c r="D457" s="347" t="str">
        <f>_xlfn.TEXTJOIN("_",FALSE,E457,ERP_8[[#This Row],[Expense Category]],ERP_8[[#This Row],[Project Code*]])</f>
        <v>Dougherty, Chris_SOFTWARE_IT-SFT1009-86-OG-US/05</v>
      </c>
      <c r="E457" s="347" t="s">
        <v>1135</v>
      </c>
      <c r="F457" s="348"/>
      <c r="G457" s="150" t="s">
        <v>1136</v>
      </c>
      <c r="H457" s="332" t="s">
        <v>1135</v>
      </c>
      <c r="I457" s="383" t="s">
        <v>1135</v>
      </c>
      <c r="J457" s="331" t="s">
        <v>1137</v>
      </c>
      <c r="K457" s="512" t="s">
        <v>639</v>
      </c>
      <c r="L457" s="393" t="s">
        <v>2352</v>
      </c>
      <c r="M457" s="343" t="s">
        <v>2343</v>
      </c>
      <c r="N457" s="385" t="s">
        <v>1171</v>
      </c>
      <c r="O457" s="91" t="s">
        <v>715</v>
      </c>
      <c r="P457" s="343"/>
      <c r="Q457" s="346" t="s">
        <v>2339</v>
      </c>
      <c r="R457" s="346" t="s">
        <v>1710</v>
      </c>
      <c r="S457" s="386" t="s">
        <v>707</v>
      </c>
      <c r="T457" s="346" t="s">
        <v>1348</v>
      </c>
      <c r="U457" s="437"/>
      <c r="V457" s="358">
        <v>37248.410000000003</v>
      </c>
      <c r="W457" s="378">
        <v>0</v>
      </c>
      <c r="X457" s="425"/>
      <c r="Y457" s="71"/>
      <c r="Z457" s="783"/>
      <c r="AA457" s="781"/>
      <c r="AB457" s="781"/>
      <c r="AC457" s="428" t="s">
        <v>1142</v>
      </c>
      <c r="AD457" s="429">
        <v>0</v>
      </c>
      <c r="AE457" s="429">
        <v>0</v>
      </c>
      <c r="AF457" s="429" t="s">
        <v>1142</v>
      </c>
      <c r="AG457" s="388">
        <v>0</v>
      </c>
      <c r="AH457" s="388">
        <v>0</v>
      </c>
      <c r="AI457" s="388">
        <v>0</v>
      </c>
      <c r="AJ457" s="388">
        <v>0</v>
      </c>
      <c r="AK457" s="388">
        <v>0</v>
      </c>
      <c r="AL457" s="360">
        <f t="shared" si="30"/>
        <v>0</v>
      </c>
      <c r="AM457" s="362">
        <f>ERP_8[[#This Row],[2026 Working Total]]-ERP_8[[#This Row],[LE2 Final Submission]]</f>
        <v>0</v>
      </c>
      <c r="AN457" s="79">
        <v>0</v>
      </c>
      <c r="AO457" s="79">
        <f t="shared" si="29"/>
        <v>0</v>
      </c>
      <c r="AP457" s="374">
        <f>SUM(ERP_8[[#This Row],[AP01]:[AP07]])-SUM(ERP_8[[#This Row],[AP01 LE2]:[AP07 LE2]])</f>
        <v>0</v>
      </c>
      <c r="AQ457" s="80"/>
      <c r="AR457" s="79">
        <f>ERP_8[[#This Row],[2026 Working Total to Budget/LE]]-ERP_8[[#This Row],[Giveback]]</f>
        <v>0</v>
      </c>
      <c r="AS457" s="81"/>
      <c r="AT457" s="375"/>
      <c r="AU457" s="375"/>
      <c r="AV457" s="375"/>
      <c r="AW457" s="375">
        <v>0</v>
      </c>
      <c r="AX457" s="375">
        <v>0</v>
      </c>
      <c r="AY457" s="375">
        <v>0</v>
      </c>
      <c r="AZ457" s="375">
        <v>0</v>
      </c>
      <c r="BA457" s="375">
        <v>0</v>
      </c>
      <c r="BB457" s="375">
        <v>0</v>
      </c>
      <c r="BC457" s="375">
        <v>0</v>
      </c>
      <c r="BD457" s="375">
        <v>0</v>
      </c>
      <c r="BE457" s="375">
        <v>0</v>
      </c>
      <c r="BF457" s="375">
        <v>0</v>
      </c>
      <c r="BG457" s="103">
        <v>37248.410000000003</v>
      </c>
      <c r="BH457" s="103">
        <v>0</v>
      </c>
      <c r="BI457" s="103">
        <v>0</v>
      </c>
      <c r="BJ457" s="103">
        <v>0</v>
      </c>
      <c r="BK457" s="103">
        <v>0</v>
      </c>
      <c r="BL457" s="103">
        <v>0</v>
      </c>
      <c r="BM457" s="103">
        <v>0</v>
      </c>
      <c r="BN457" s="103">
        <v>0</v>
      </c>
      <c r="BO457" s="103">
        <v>0</v>
      </c>
      <c r="BP457" s="103">
        <v>0</v>
      </c>
      <c r="BQ457" s="103">
        <v>0</v>
      </c>
      <c r="BR457" s="103">
        <v>0</v>
      </c>
      <c r="BS457" s="79">
        <f>SUM(ERP_8[[#This Row],[2026 AP01]:[2026 AP12]])</f>
        <v>37248.410000000003</v>
      </c>
    </row>
    <row r="458" spans="1:71" ht="15" hidden="1" customHeight="1">
      <c r="A458" s="79" t="s">
        <v>2353</v>
      </c>
      <c r="B458" s="749" t="s">
        <v>716</v>
      </c>
      <c r="C458" s="348"/>
      <c r="D458" s="347" t="str">
        <f>_xlfn.TEXTJOIN("_",FALSE,E458,ERP_8[[#This Row],[Expense Category]],ERP_8[[#This Row],[Project Code*]])</f>
        <v>Dougherty, Chris_SOFTWARE_IT-SFT1009-86-OG-US/05/PF</v>
      </c>
      <c r="E458" s="347" t="s">
        <v>1135</v>
      </c>
      <c r="F458" s="348"/>
      <c r="G458" s="150" t="s">
        <v>1136</v>
      </c>
      <c r="H458" s="332" t="s">
        <v>1135</v>
      </c>
      <c r="I458" s="383" t="s">
        <v>1135</v>
      </c>
      <c r="J458" s="331" t="s">
        <v>1137</v>
      </c>
      <c r="K458" s="512" t="s">
        <v>639</v>
      </c>
      <c r="L458" s="393" t="s">
        <v>2354</v>
      </c>
      <c r="M458" s="343" t="s">
        <v>2343</v>
      </c>
      <c r="N458" s="385" t="s">
        <v>1171</v>
      </c>
      <c r="O458" s="91" t="s">
        <v>717</v>
      </c>
      <c r="P458" s="343"/>
      <c r="Q458" s="346" t="s">
        <v>2339</v>
      </c>
      <c r="R458" s="346" t="s">
        <v>1710</v>
      </c>
      <c r="S458" s="386" t="s">
        <v>707</v>
      </c>
      <c r="T458" s="346" t="s">
        <v>1348</v>
      </c>
      <c r="U458" s="437"/>
      <c r="V458" s="358">
        <v>-37248.410000000003</v>
      </c>
      <c r="W458" s="378">
        <v>0</v>
      </c>
      <c r="X458" s="430"/>
      <c r="Y458" s="137"/>
      <c r="Z458" s="783"/>
      <c r="AA458" s="781"/>
      <c r="AB458" s="781"/>
      <c r="AC458" s="428" t="s">
        <v>1142</v>
      </c>
      <c r="AD458" s="429">
        <v>0</v>
      </c>
      <c r="AE458" s="429">
        <v>0</v>
      </c>
      <c r="AF458" s="429" t="s">
        <v>1142</v>
      </c>
      <c r="AG458" s="388">
        <v>0</v>
      </c>
      <c r="AH458" s="388">
        <v>0</v>
      </c>
      <c r="AI458" s="388">
        <v>0</v>
      </c>
      <c r="AJ458" s="388">
        <v>0</v>
      </c>
      <c r="AK458" s="388">
        <v>0</v>
      </c>
      <c r="AL458" s="360">
        <f t="shared" si="30"/>
        <v>0</v>
      </c>
      <c r="AM458" s="362">
        <f>ERP_8[[#This Row],[2026 Working Total]]-ERP_8[[#This Row],[LE2 Final Submission]]</f>
        <v>0</v>
      </c>
      <c r="AN458" s="79">
        <v>0</v>
      </c>
      <c r="AO458" s="79">
        <f t="shared" si="29"/>
        <v>0</v>
      </c>
      <c r="AP458" s="374">
        <f>SUM(ERP_8[[#This Row],[AP01]:[AP07]])-SUM(ERP_8[[#This Row],[AP01 LE2]:[AP07 LE2]])</f>
        <v>0</v>
      </c>
      <c r="AQ458" s="80"/>
      <c r="AR458" s="79">
        <f>ERP_8[[#This Row],[2026 Working Total to Budget/LE]]-ERP_8[[#This Row],[Giveback]]</f>
        <v>0</v>
      </c>
      <c r="AS458" s="81"/>
      <c r="AT458" s="375"/>
      <c r="AU458" s="375"/>
      <c r="AV458" s="375"/>
      <c r="AW458" s="375">
        <v>0</v>
      </c>
      <c r="AX458" s="375">
        <v>0</v>
      </c>
      <c r="AY458" s="375">
        <v>0</v>
      </c>
      <c r="AZ458" s="375">
        <v>0</v>
      </c>
      <c r="BA458" s="375">
        <v>0</v>
      </c>
      <c r="BB458" s="375">
        <v>0</v>
      </c>
      <c r="BC458" s="375">
        <v>0</v>
      </c>
      <c r="BD458" s="375">
        <v>0</v>
      </c>
      <c r="BE458" s="375">
        <v>0</v>
      </c>
      <c r="BF458" s="375">
        <v>0</v>
      </c>
      <c r="BG458" s="103">
        <v>-37248.410000000003</v>
      </c>
      <c r="BH458" s="103">
        <v>0</v>
      </c>
      <c r="BI458" s="103">
        <v>0</v>
      </c>
      <c r="BJ458" s="103">
        <v>0</v>
      </c>
      <c r="BK458" s="103">
        <v>0</v>
      </c>
      <c r="BL458" s="103">
        <v>0</v>
      </c>
      <c r="BM458" s="103">
        <v>0</v>
      </c>
      <c r="BN458" s="103">
        <v>0</v>
      </c>
      <c r="BO458" s="103">
        <v>0</v>
      </c>
      <c r="BP458" s="103">
        <v>0</v>
      </c>
      <c r="BQ458" s="103">
        <v>0</v>
      </c>
      <c r="BR458" s="103">
        <v>0</v>
      </c>
      <c r="BS458" s="79">
        <f>SUM(ERP_8[[#This Row],[2026 AP01]:[2026 AP12]])</f>
        <v>-37248.410000000003</v>
      </c>
    </row>
    <row r="459" spans="1:71" ht="15" hidden="1" customHeight="1">
      <c r="A459" s="79" t="s">
        <v>2355</v>
      </c>
      <c r="B459" s="749" t="s">
        <v>718</v>
      </c>
      <c r="C459" s="348"/>
      <c r="D459" s="347" t="str">
        <f>_xlfn.TEXTJOIN("_",FALSE,E459,ERP_8[[#This Row],[Expense Category]],ERP_8[[#This Row],[Project Code*]])</f>
        <v>Dougherty, Chris_SOFTWARE_IT-SFT1009-86-OG-US/07</v>
      </c>
      <c r="E459" s="347" t="s">
        <v>1135</v>
      </c>
      <c r="F459" s="348"/>
      <c r="G459" s="150" t="s">
        <v>1136</v>
      </c>
      <c r="H459" s="332" t="s">
        <v>1135</v>
      </c>
      <c r="I459" s="383" t="s">
        <v>1135</v>
      </c>
      <c r="J459" s="331" t="s">
        <v>1137</v>
      </c>
      <c r="K459" s="512" t="s">
        <v>639</v>
      </c>
      <c r="L459" s="393" t="s">
        <v>2356</v>
      </c>
      <c r="M459" s="343" t="s">
        <v>2343</v>
      </c>
      <c r="N459" s="385" t="s">
        <v>1171</v>
      </c>
      <c r="O459" s="91" t="s">
        <v>719</v>
      </c>
      <c r="P459" s="343"/>
      <c r="Q459" s="346" t="s">
        <v>2339</v>
      </c>
      <c r="R459" s="346" t="s">
        <v>1710</v>
      </c>
      <c r="S459" s="386" t="s">
        <v>707</v>
      </c>
      <c r="T459" s="346" t="s">
        <v>1348</v>
      </c>
      <c r="U459" s="437"/>
      <c r="V459" s="358">
        <v>40181.519999999997</v>
      </c>
      <c r="W459" s="378">
        <v>0</v>
      </c>
      <c r="X459" s="425"/>
      <c r="Y459" s="71"/>
      <c r="Z459" s="783"/>
      <c r="AA459" s="781"/>
      <c r="AB459" s="781"/>
      <c r="AC459" s="428" t="s">
        <v>1142</v>
      </c>
      <c r="AD459" s="429">
        <v>0</v>
      </c>
      <c r="AE459" s="429">
        <v>0</v>
      </c>
      <c r="AF459" s="429" t="s">
        <v>1142</v>
      </c>
      <c r="AG459" s="388">
        <v>0</v>
      </c>
      <c r="AH459" s="388">
        <v>0</v>
      </c>
      <c r="AI459" s="388">
        <v>0</v>
      </c>
      <c r="AJ459" s="388">
        <v>0</v>
      </c>
      <c r="AK459" s="388">
        <v>0</v>
      </c>
      <c r="AL459" s="360">
        <f t="shared" si="30"/>
        <v>0</v>
      </c>
      <c r="AM459" s="362">
        <f>ERP_8[[#This Row],[2026 Working Total]]-ERP_8[[#This Row],[LE2 Final Submission]]</f>
        <v>0</v>
      </c>
      <c r="AN459" s="79">
        <v>0</v>
      </c>
      <c r="AO459" s="79">
        <f t="shared" si="29"/>
        <v>0</v>
      </c>
      <c r="AP459" s="374">
        <f>SUM(ERP_8[[#This Row],[AP01]:[AP07]])-SUM(ERP_8[[#This Row],[AP01 LE2]:[AP07 LE2]])</f>
        <v>0</v>
      </c>
      <c r="AQ459" s="80"/>
      <c r="AR459" s="79">
        <f>ERP_8[[#This Row],[2026 Working Total to Budget/LE]]-ERP_8[[#This Row],[Giveback]]</f>
        <v>0</v>
      </c>
      <c r="AS459" s="81"/>
      <c r="AT459" s="375"/>
      <c r="AU459" s="375"/>
      <c r="AV459" s="375"/>
      <c r="AW459" s="375">
        <v>0</v>
      </c>
      <c r="AX459" s="375">
        <v>0</v>
      </c>
      <c r="AY459" s="375">
        <v>0</v>
      </c>
      <c r="AZ459" s="375">
        <v>0</v>
      </c>
      <c r="BA459" s="375">
        <v>0</v>
      </c>
      <c r="BB459" s="375">
        <v>0</v>
      </c>
      <c r="BC459" s="375">
        <v>0</v>
      </c>
      <c r="BD459" s="375">
        <v>0</v>
      </c>
      <c r="BE459" s="375">
        <v>0</v>
      </c>
      <c r="BF459" s="375">
        <v>0</v>
      </c>
      <c r="BG459" s="103">
        <v>40181.519999999997</v>
      </c>
      <c r="BH459" s="103">
        <v>0</v>
      </c>
      <c r="BI459" s="103">
        <v>0</v>
      </c>
      <c r="BJ459" s="103">
        <v>0</v>
      </c>
      <c r="BK459" s="103">
        <v>0</v>
      </c>
      <c r="BL459" s="103">
        <v>0</v>
      </c>
      <c r="BM459" s="103">
        <v>0</v>
      </c>
      <c r="BN459" s="103">
        <v>0</v>
      </c>
      <c r="BO459" s="103">
        <v>0</v>
      </c>
      <c r="BP459" s="103">
        <v>0</v>
      </c>
      <c r="BQ459" s="103">
        <v>0</v>
      </c>
      <c r="BR459" s="103">
        <v>0</v>
      </c>
      <c r="BS459" s="79">
        <f>SUM(ERP_8[[#This Row],[2026 AP01]:[2026 AP12]])</f>
        <v>40181.519999999997</v>
      </c>
    </row>
    <row r="460" spans="1:71" ht="15" hidden="1" customHeight="1">
      <c r="A460" s="79" t="s">
        <v>2357</v>
      </c>
      <c r="B460" s="749" t="s">
        <v>720</v>
      </c>
      <c r="C460" s="348"/>
      <c r="D460" s="347" t="str">
        <f>_xlfn.TEXTJOIN("_",FALSE,E460,ERP_8[[#This Row],[Expense Category]],ERP_8[[#This Row],[Project Code*]])</f>
        <v>Dougherty, Chris_SOFTWARE_IT-SFT1009-86-OG-US/07/PF</v>
      </c>
      <c r="E460" s="347" t="s">
        <v>1135</v>
      </c>
      <c r="F460" s="348"/>
      <c r="G460" s="150" t="s">
        <v>1136</v>
      </c>
      <c r="H460" s="332" t="s">
        <v>1135</v>
      </c>
      <c r="I460" s="383" t="s">
        <v>1135</v>
      </c>
      <c r="J460" s="331" t="s">
        <v>1137</v>
      </c>
      <c r="K460" s="512" t="s">
        <v>639</v>
      </c>
      <c r="L460" s="393" t="s">
        <v>2358</v>
      </c>
      <c r="M460" s="343" t="s">
        <v>2343</v>
      </c>
      <c r="N460" s="385" t="s">
        <v>1171</v>
      </c>
      <c r="O460" s="91" t="s">
        <v>721</v>
      </c>
      <c r="P460" s="343"/>
      <c r="Q460" s="346" t="s">
        <v>2339</v>
      </c>
      <c r="R460" s="346" t="s">
        <v>1710</v>
      </c>
      <c r="S460" s="386" t="s">
        <v>707</v>
      </c>
      <c r="T460" s="346" t="s">
        <v>1348</v>
      </c>
      <c r="U460" s="437"/>
      <c r="V460" s="358">
        <v>-40181</v>
      </c>
      <c r="W460" s="378">
        <v>0</v>
      </c>
      <c r="X460" s="425"/>
      <c r="Y460" s="71"/>
      <c r="Z460" s="783"/>
      <c r="AA460" s="781"/>
      <c r="AB460" s="781"/>
      <c r="AC460" s="428" t="s">
        <v>1142</v>
      </c>
      <c r="AD460" s="429">
        <v>0</v>
      </c>
      <c r="AE460" s="429">
        <v>0</v>
      </c>
      <c r="AF460" s="429" t="s">
        <v>1142</v>
      </c>
      <c r="AG460" s="388">
        <v>0</v>
      </c>
      <c r="AH460" s="388">
        <v>0</v>
      </c>
      <c r="AI460" s="388">
        <v>0</v>
      </c>
      <c r="AJ460" s="388">
        <v>0</v>
      </c>
      <c r="AK460" s="388">
        <v>0</v>
      </c>
      <c r="AL460" s="360">
        <f t="shared" si="30"/>
        <v>0</v>
      </c>
      <c r="AM460" s="362">
        <f>ERP_8[[#This Row],[2026 Working Total]]-ERP_8[[#This Row],[LE2 Final Submission]]</f>
        <v>0</v>
      </c>
      <c r="AN460" s="79">
        <v>0</v>
      </c>
      <c r="AO460" s="79">
        <f t="shared" si="29"/>
        <v>0</v>
      </c>
      <c r="AP460" s="374">
        <f>SUM(ERP_8[[#This Row],[AP01]:[AP07]])-SUM(ERP_8[[#This Row],[AP01 LE2]:[AP07 LE2]])</f>
        <v>0</v>
      </c>
      <c r="AQ460" s="80"/>
      <c r="AR460" s="79">
        <f>ERP_8[[#This Row],[2026 Working Total to Budget/LE]]-ERP_8[[#This Row],[Giveback]]</f>
        <v>0</v>
      </c>
      <c r="AS460" s="81"/>
      <c r="AT460" s="375"/>
      <c r="AU460" s="375"/>
      <c r="AV460" s="375"/>
      <c r="AW460" s="375">
        <v>0</v>
      </c>
      <c r="AX460" s="375">
        <v>0</v>
      </c>
      <c r="AY460" s="375">
        <v>0</v>
      </c>
      <c r="AZ460" s="375">
        <v>0</v>
      </c>
      <c r="BA460" s="375">
        <v>0</v>
      </c>
      <c r="BB460" s="375">
        <v>0</v>
      </c>
      <c r="BC460" s="375">
        <v>0</v>
      </c>
      <c r="BD460" s="375">
        <v>0</v>
      </c>
      <c r="BE460" s="375">
        <v>0</v>
      </c>
      <c r="BF460" s="375">
        <v>0</v>
      </c>
      <c r="BG460" s="103">
        <v>-40181</v>
      </c>
      <c r="BH460" s="103">
        <v>0</v>
      </c>
      <c r="BI460" s="103">
        <v>0</v>
      </c>
      <c r="BJ460" s="103">
        <v>0</v>
      </c>
      <c r="BK460" s="103">
        <v>0</v>
      </c>
      <c r="BL460" s="103">
        <v>0</v>
      </c>
      <c r="BM460" s="103">
        <v>0</v>
      </c>
      <c r="BN460" s="103">
        <v>0</v>
      </c>
      <c r="BO460" s="103">
        <v>0</v>
      </c>
      <c r="BP460" s="103">
        <v>0</v>
      </c>
      <c r="BQ460" s="103">
        <v>0</v>
      </c>
      <c r="BR460" s="103">
        <v>0</v>
      </c>
      <c r="BS460" s="79">
        <f>SUM(ERP_8[[#This Row],[2026 AP01]:[2026 AP12]])</f>
        <v>-40181</v>
      </c>
    </row>
    <row r="461" spans="1:71" ht="15" hidden="1" customHeight="1">
      <c r="A461" s="79" t="s">
        <v>2359</v>
      </c>
      <c r="B461" s="749" t="s">
        <v>722</v>
      </c>
      <c r="C461" s="348"/>
      <c r="D461" s="347" t="str">
        <f>_xlfn.TEXTJOIN("_",FALSE,E461,ERP_8[[#This Row],[Expense Category]],ERP_8[[#This Row],[Project Code*]])</f>
        <v>Dougherty, Chris_SOFTWARE_IT-SFT1009-86-OG-US/08</v>
      </c>
      <c r="E461" s="347" t="s">
        <v>1135</v>
      </c>
      <c r="F461" s="348"/>
      <c r="G461" s="150" t="s">
        <v>1136</v>
      </c>
      <c r="H461" s="332" t="s">
        <v>1135</v>
      </c>
      <c r="I461" s="383" t="s">
        <v>1135</v>
      </c>
      <c r="J461" s="331" t="s">
        <v>1137</v>
      </c>
      <c r="K461" s="512" t="s">
        <v>639</v>
      </c>
      <c r="L461" s="393" t="s">
        <v>2360</v>
      </c>
      <c r="M461" s="343" t="s">
        <v>2343</v>
      </c>
      <c r="N461" s="385" t="s">
        <v>1171</v>
      </c>
      <c r="O461" s="91" t="s">
        <v>723</v>
      </c>
      <c r="P461" s="343"/>
      <c r="Q461" s="346" t="s">
        <v>2339</v>
      </c>
      <c r="R461" s="346" t="s">
        <v>1710</v>
      </c>
      <c r="S461" s="386" t="s">
        <v>707</v>
      </c>
      <c r="T461" s="346" t="s">
        <v>1348</v>
      </c>
      <c r="U461" s="437"/>
      <c r="V461" s="358">
        <v>253752.12</v>
      </c>
      <c r="W461" s="378">
        <v>0</v>
      </c>
      <c r="X461" s="430"/>
      <c r="Y461" s="137"/>
      <c r="Z461" s="783"/>
      <c r="AA461" s="781"/>
      <c r="AB461" s="781"/>
      <c r="AC461" s="428" t="s">
        <v>1142</v>
      </c>
      <c r="AD461" s="429">
        <v>0</v>
      </c>
      <c r="AE461" s="429">
        <v>0</v>
      </c>
      <c r="AF461" s="429" t="s">
        <v>1142</v>
      </c>
      <c r="AG461" s="388">
        <v>0</v>
      </c>
      <c r="AH461" s="388">
        <v>0</v>
      </c>
      <c r="AI461" s="388">
        <v>0</v>
      </c>
      <c r="AJ461" s="388">
        <v>0</v>
      </c>
      <c r="AK461" s="388">
        <v>0</v>
      </c>
      <c r="AL461" s="360">
        <f t="shared" si="30"/>
        <v>0</v>
      </c>
      <c r="AM461" s="362">
        <f>ERP_8[[#This Row],[2026 Working Total]]-ERP_8[[#This Row],[LE2 Final Submission]]</f>
        <v>0</v>
      </c>
      <c r="AN461" s="79">
        <v>0</v>
      </c>
      <c r="AO461" s="79">
        <f t="shared" si="29"/>
        <v>0</v>
      </c>
      <c r="AP461" s="374">
        <f>SUM(ERP_8[[#This Row],[AP01]:[AP07]])-SUM(ERP_8[[#This Row],[AP01 LE2]:[AP07 LE2]])</f>
        <v>0</v>
      </c>
      <c r="AQ461" s="80"/>
      <c r="AR461" s="79">
        <f>ERP_8[[#This Row],[2026 Working Total to Budget/LE]]-ERP_8[[#This Row],[Giveback]]</f>
        <v>0</v>
      </c>
      <c r="AS461" s="81"/>
      <c r="AT461" s="375"/>
      <c r="AU461" s="375"/>
      <c r="AV461" s="375"/>
      <c r="AW461" s="375">
        <v>0</v>
      </c>
      <c r="AX461" s="375">
        <v>0</v>
      </c>
      <c r="AY461" s="375">
        <v>0</v>
      </c>
      <c r="AZ461" s="375">
        <v>0</v>
      </c>
      <c r="BA461" s="375">
        <v>0</v>
      </c>
      <c r="BB461" s="375">
        <v>0</v>
      </c>
      <c r="BC461" s="375">
        <v>0</v>
      </c>
      <c r="BD461" s="375">
        <v>0</v>
      </c>
      <c r="BE461" s="375">
        <v>0</v>
      </c>
      <c r="BF461" s="375">
        <v>0</v>
      </c>
      <c r="BG461" s="103">
        <v>253752.12</v>
      </c>
      <c r="BH461" s="103">
        <v>0</v>
      </c>
      <c r="BI461" s="103">
        <v>0</v>
      </c>
      <c r="BJ461" s="103">
        <v>0</v>
      </c>
      <c r="BK461" s="103">
        <v>0</v>
      </c>
      <c r="BL461" s="103">
        <v>0</v>
      </c>
      <c r="BM461" s="103">
        <v>0</v>
      </c>
      <c r="BN461" s="103">
        <v>0</v>
      </c>
      <c r="BO461" s="103">
        <v>0</v>
      </c>
      <c r="BP461" s="103">
        <v>0</v>
      </c>
      <c r="BQ461" s="103">
        <v>0</v>
      </c>
      <c r="BR461" s="103">
        <v>0</v>
      </c>
      <c r="BS461" s="79">
        <f>SUM(ERP_8[[#This Row],[2026 AP01]:[2026 AP12]])</f>
        <v>253752.12</v>
      </c>
    </row>
    <row r="462" spans="1:71" ht="15" hidden="1" customHeight="1">
      <c r="A462" s="79" t="s">
        <v>2361</v>
      </c>
      <c r="B462" s="749" t="s">
        <v>724</v>
      </c>
      <c r="C462" s="348"/>
      <c r="D462" s="347" t="str">
        <f>_xlfn.TEXTJOIN("_",FALSE,E462,ERP_8[[#This Row],[Expense Category]],ERP_8[[#This Row],[Project Code*]])</f>
        <v>Dougherty, Chris_SOFTWARE_IT-SFT1009-86-OG-US/08/PF</v>
      </c>
      <c r="E462" s="347" t="s">
        <v>1135</v>
      </c>
      <c r="F462" s="348"/>
      <c r="G462" s="150" t="s">
        <v>1136</v>
      </c>
      <c r="H462" s="332" t="s">
        <v>1135</v>
      </c>
      <c r="I462" s="383" t="s">
        <v>1135</v>
      </c>
      <c r="J462" s="331" t="s">
        <v>1137</v>
      </c>
      <c r="K462" s="512" t="s">
        <v>639</v>
      </c>
      <c r="L462" s="393" t="s">
        <v>2362</v>
      </c>
      <c r="M462" s="343" t="s">
        <v>2343</v>
      </c>
      <c r="N462" s="385" t="s">
        <v>1171</v>
      </c>
      <c r="O462" s="91" t="s">
        <v>725</v>
      </c>
      <c r="P462" s="343"/>
      <c r="Q462" s="346" t="s">
        <v>2339</v>
      </c>
      <c r="R462" s="346" t="s">
        <v>1710</v>
      </c>
      <c r="S462" s="386" t="s">
        <v>707</v>
      </c>
      <c r="T462" s="346" t="s">
        <v>1348</v>
      </c>
      <c r="U462" s="437"/>
      <c r="V462" s="358">
        <v>-253752.12</v>
      </c>
      <c r="W462" s="378">
        <v>0</v>
      </c>
      <c r="X462" s="425"/>
      <c r="Y462" s="71"/>
      <c r="Z462" s="783"/>
      <c r="AA462" s="781"/>
      <c r="AB462" s="781"/>
      <c r="AC462" s="428" t="s">
        <v>1142</v>
      </c>
      <c r="AD462" s="429">
        <v>0</v>
      </c>
      <c r="AE462" s="429">
        <v>0</v>
      </c>
      <c r="AF462" s="429" t="s">
        <v>1142</v>
      </c>
      <c r="AG462" s="388">
        <v>0</v>
      </c>
      <c r="AH462" s="388">
        <v>0</v>
      </c>
      <c r="AI462" s="388">
        <v>0</v>
      </c>
      <c r="AJ462" s="388">
        <v>0</v>
      </c>
      <c r="AK462" s="388">
        <v>0</v>
      </c>
      <c r="AL462" s="360">
        <f t="shared" si="30"/>
        <v>0</v>
      </c>
      <c r="AM462" s="362">
        <f>ERP_8[[#This Row],[2026 Working Total]]-ERP_8[[#This Row],[LE2 Final Submission]]</f>
        <v>0</v>
      </c>
      <c r="AN462" s="79">
        <v>0</v>
      </c>
      <c r="AO462" s="79">
        <f t="shared" si="29"/>
        <v>0</v>
      </c>
      <c r="AP462" s="374">
        <f>SUM(ERP_8[[#This Row],[AP01]:[AP07]])-SUM(ERP_8[[#This Row],[AP01 LE2]:[AP07 LE2]])</f>
        <v>0</v>
      </c>
      <c r="AQ462" s="80"/>
      <c r="AR462" s="79">
        <f>ERP_8[[#This Row],[2026 Working Total to Budget/LE]]-ERP_8[[#This Row],[Giveback]]</f>
        <v>0</v>
      </c>
      <c r="AS462" s="81"/>
      <c r="AT462" s="375"/>
      <c r="AU462" s="375"/>
      <c r="AV462" s="375"/>
      <c r="AW462" s="375">
        <v>0</v>
      </c>
      <c r="AX462" s="375">
        <v>0</v>
      </c>
      <c r="AY462" s="375">
        <v>0</v>
      </c>
      <c r="AZ462" s="375">
        <v>0</v>
      </c>
      <c r="BA462" s="375">
        <v>0</v>
      </c>
      <c r="BB462" s="375">
        <v>0</v>
      </c>
      <c r="BC462" s="375">
        <v>0</v>
      </c>
      <c r="BD462" s="375">
        <v>0</v>
      </c>
      <c r="BE462" s="375">
        <v>0</v>
      </c>
      <c r="BF462" s="375">
        <v>0</v>
      </c>
      <c r="BG462" s="103">
        <v>-253752.12</v>
      </c>
      <c r="BH462" s="103">
        <v>0</v>
      </c>
      <c r="BI462" s="103">
        <v>0</v>
      </c>
      <c r="BJ462" s="103">
        <v>0</v>
      </c>
      <c r="BK462" s="103">
        <v>0</v>
      </c>
      <c r="BL462" s="103">
        <v>0</v>
      </c>
      <c r="BM462" s="103">
        <v>0</v>
      </c>
      <c r="BN462" s="103">
        <v>0</v>
      </c>
      <c r="BO462" s="103">
        <v>0</v>
      </c>
      <c r="BP462" s="103">
        <v>0</v>
      </c>
      <c r="BQ462" s="103">
        <v>0</v>
      </c>
      <c r="BR462" s="103">
        <v>0</v>
      </c>
      <c r="BS462" s="79">
        <f>SUM(ERP_8[[#This Row],[2026 AP01]:[2026 AP12]])</f>
        <v>-253752.12</v>
      </c>
    </row>
    <row r="463" spans="1:71" ht="15" hidden="1" customHeight="1">
      <c r="A463" s="79" t="s">
        <v>2363</v>
      </c>
      <c r="B463" s="749" t="s">
        <v>726</v>
      </c>
      <c r="C463" s="348"/>
      <c r="D463" s="347" t="str">
        <f>_xlfn.TEXTJOIN("_",FALSE,E463,ERP_8[[#This Row],[Expense Category]],ERP_8[[#This Row],[Project Code*]])</f>
        <v>Dougherty, Chris_SOFTWARE_IT-SFT1009-86-OG-US/13</v>
      </c>
      <c r="E463" s="347" t="s">
        <v>1135</v>
      </c>
      <c r="F463" s="348"/>
      <c r="G463" s="150" t="s">
        <v>1136</v>
      </c>
      <c r="H463" s="332" t="s">
        <v>1135</v>
      </c>
      <c r="I463" s="383" t="s">
        <v>1135</v>
      </c>
      <c r="J463" s="331" t="s">
        <v>1137</v>
      </c>
      <c r="K463" s="512" t="s">
        <v>639</v>
      </c>
      <c r="L463" s="393" t="s">
        <v>2364</v>
      </c>
      <c r="M463" s="343" t="s">
        <v>2343</v>
      </c>
      <c r="N463" s="385" t="s">
        <v>1171</v>
      </c>
      <c r="O463" s="91" t="s">
        <v>727</v>
      </c>
      <c r="P463" s="343"/>
      <c r="Q463" s="346" t="s">
        <v>2339</v>
      </c>
      <c r="R463" s="346" t="s">
        <v>1710</v>
      </c>
      <c r="S463" s="386" t="s">
        <v>707</v>
      </c>
      <c r="T463" s="346" t="s">
        <v>1348</v>
      </c>
      <c r="U463" s="437"/>
      <c r="V463" s="358">
        <v>6285.51</v>
      </c>
      <c r="W463" s="378">
        <v>0</v>
      </c>
      <c r="X463" s="425"/>
      <c r="Y463" s="71"/>
      <c r="Z463" s="783"/>
      <c r="AA463" s="781"/>
      <c r="AB463" s="781"/>
      <c r="AC463" s="428" t="s">
        <v>1142</v>
      </c>
      <c r="AD463" s="429">
        <v>0</v>
      </c>
      <c r="AE463" s="429">
        <v>0</v>
      </c>
      <c r="AF463" s="429" t="s">
        <v>1142</v>
      </c>
      <c r="AG463" s="388">
        <v>0</v>
      </c>
      <c r="AH463" s="388">
        <v>0</v>
      </c>
      <c r="AI463" s="388">
        <v>0</v>
      </c>
      <c r="AJ463" s="388">
        <v>0</v>
      </c>
      <c r="AK463" s="388">
        <v>0</v>
      </c>
      <c r="AL463" s="360">
        <f t="shared" si="30"/>
        <v>0</v>
      </c>
      <c r="AM463" s="362">
        <f>ERP_8[[#This Row],[2026 Working Total]]-ERP_8[[#This Row],[LE2 Final Submission]]</f>
        <v>0</v>
      </c>
      <c r="AN463" s="79">
        <v>0</v>
      </c>
      <c r="AO463" s="79">
        <f t="shared" si="29"/>
        <v>0</v>
      </c>
      <c r="AP463" s="374">
        <f>SUM(ERP_8[[#This Row],[AP01]:[AP07]])-SUM(ERP_8[[#This Row],[AP01 LE2]:[AP07 LE2]])</f>
        <v>0</v>
      </c>
      <c r="AQ463" s="80"/>
      <c r="AR463" s="79">
        <f>ERP_8[[#This Row],[2026 Working Total to Budget/LE]]-ERP_8[[#This Row],[Giveback]]</f>
        <v>0</v>
      </c>
      <c r="AS463" s="81"/>
      <c r="AT463" s="375"/>
      <c r="AU463" s="375"/>
      <c r="AV463" s="375"/>
      <c r="AW463" s="375">
        <v>0</v>
      </c>
      <c r="AX463" s="375">
        <v>0</v>
      </c>
      <c r="AY463" s="375">
        <v>0</v>
      </c>
      <c r="AZ463" s="375">
        <v>0</v>
      </c>
      <c r="BA463" s="375">
        <v>0</v>
      </c>
      <c r="BB463" s="375">
        <v>0</v>
      </c>
      <c r="BC463" s="375">
        <v>0</v>
      </c>
      <c r="BD463" s="375">
        <v>0</v>
      </c>
      <c r="BE463" s="375">
        <v>0</v>
      </c>
      <c r="BF463" s="375">
        <v>0</v>
      </c>
      <c r="BG463" s="103">
        <v>6285.51</v>
      </c>
      <c r="BH463" s="103">
        <v>0</v>
      </c>
      <c r="BI463" s="103">
        <v>0</v>
      </c>
      <c r="BJ463" s="103">
        <v>0</v>
      </c>
      <c r="BK463" s="103">
        <v>0</v>
      </c>
      <c r="BL463" s="103">
        <v>0</v>
      </c>
      <c r="BM463" s="103">
        <v>0</v>
      </c>
      <c r="BN463" s="103">
        <v>0</v>
      </c>
      <c r="BO463" s="103">
        <v>0</v>
      </c>
      <c r="BP463" s="103">
        <v>0</v>
      </c>
      <c r="BQ463" s="103">
        <v>0</v>
      </c>
      <c r="BR463" s="103">
        <v>0</v>
      </c>
      <c r="BS463" s="79">
        <f>SUM(ERP_8[[#This Row],[2026 AP01]:[2026 AP12]])</f>
        <v>6285.51</v>
      </c>
    </row>
    <row r="464" spans="1:71" ht="15" hidden="1" customHeight="1">
      <c r="A464" s="79" t="s">
        <v>2365</v>
      </c>
      <c r="B464" s="749" t="s">
        <v>728</v>
      </c>
      <c r="C464" s="348"/>
      <c r="D464" s="347" t="str">
        <f>_xlfn.TEXTJOIN("_",FALSE,E464,ERP_8[[#This Row],[Expense Category]],ERP_8[[#This Row],[Project Code*]])</f>
        <v>Dougherty, Chris_SOFTWARE_IT-SFT1009-86-OG-US/13/PF</v>
      </c>
      <c r="E464" s="347" t="s">
        <v>1135</v>
      </c>
      <c r="F464" s="348"/>
      <c r="G464" s="150" t="s">
        <v>1136</v>
      </c>
      <c r="H464" s="332" t="s">
        <v>1135</v>
      </c>
      <c r="I464" s="383" t="s">
        <v>1135</v>
      </c>
      <c r="J464" s="331" t="s">
        <v>1137</v>
      </c>
      <c r="K464" s="512" t="s">
        <v>639</v>
      </c>
      <c r="L464" s="393" t="s">
        <v>2366</v>
      </c>
      <c r="M464" s="343" t="s">
        <v>2343</v>
      </c>
      <c r="N464" s="385" t="s">
        <v>1171</v>
      </c>
      <c r="O464" s="91" t="s">
        <v>729</v>
      </c>
      <c r="P464" s="343"/>
      <c r="Q464" s="346" t="s">
        <v>2339</v>
      </c>
      <c r="R464" s="346" t="s">
        <v>1710</v>
      </c>
      <c r="S464" s="386" t="s">
        <v>707</v>
      </c>
      <c r="T464" s="346" t="s">
        <v>1348</v>
      </c>
      <c r="U464" s="437"/>
      <c r="V464" s="358">
        <v>-6285.51</v>
      </c>
      <c r="W464" s="378">
        <v>0</v>
      </c>
      <c r="X464" s="430"/>
      <c r="Y464" s="137"/>
      <c r="Z464" s="783"/>
      <c r="AA464" s="781"/>
      <c r="AB464" s="781"/>
      <c r="AC464" s="428" t="s">
        <v>1142</v>
      </c>
      <c r="AD464" s="429">
        <v>0</v>
      </c>
      <c r="AE464" s="429">
        <v>0</v>
      </c>
      <c r="AF464" s="429" t="s">
        <v>1142</v>
      </c>
      <c r="AG464" s="388">
        <v>0</v>
      </c>
      <c r="AH464" s="388">
        <v>0</v>
      </c>
      <c r="AI464" s="388">
        <v>0</v>
      </c>
      <c r="AJ464" s="388">
        <v>0</v>
      </c>
      <c r="AK464" s="388">
        <v>0</v>
      </c>
      <c r="AL464" s="360">
        <f t="shared" si="30"/>
        <v>0</v>
      </c>
      <c r="AM464" s="362">
        <f>ERP_8[[#This Row],[2026 Working Total]]-ERP_8[[#This Row],[LE2 Final Submission]]</f>
        <v>0</v>
      </c>
      <c r="AN464" s="79">
        <v>0</v>
      </c>
      <c r="AO464" s="79">
        <f t="shared" si="29"/>
        <v>0</v>
      </c>
      <c r="AP464" s="374">
        <f>SUM(ERP_8[[#This Row],[AP01]:[AP07]])-SUM(ERP_8[[#This Row],[AP01 LE2]:[AP07 LE2]])</f>
        <v>0</v>
      </c>
      <c r="AQ464" s="80"/>
      <c r="AR464" s="79">
        <f>ERP_8[[#This Row],[2026 Working Total to Budget/LE]]-ERP_8[[#This Row],[Giveback]]</f>
        <v>0</v>
      </c>
      <c r="AS464" s="81"/>
      <c r="AT464" s="375"/>
      <c r="AU464" s="375"/>
      <c r="AV464" s="375"/>
      <c r="AW464" s="375">
        <v>0</v>
      </c>
      <c r="AX464" s="375">
        <v>0</v>
      </c>
      <c r="AY464" s="375">
        <v>0</v>
      </c>
      <c r="AZ464" s="375">
        <v>0</v>
      </c>
      <c r="BA464" s="375">
        <v>0</v>
      </c>
      <c r="BB464" s="375">
        <v>0</v>
      </c>
      <c r="BC464" s="375">
        <v>0</v>
      </c>
      <c r="BD464" s="375">
        <v>0</v>
      </c>
      <c r="BE464" s="375">
        <v>0</v>
      </c>
      <c r="BF464" s="375">
        <v>0</v>
      </c>
      <c r="BG464" s="103">
        <v>-6285.51</v>
      </c>
      <c r="BH464" s="103">
        <v>0</v>
      </c>
      <c r="BI464" s="103">
        <v>0</v>
      </c>
      <c r="BJ464" s="103">
        <v>0</v>
      </c>
      <c r="BK464" s="103">
        <v>0</v>
      </c>
      <c r="BL464" s="103">
        <v>0</v>
      </c>
      <c r="BM464" s="103">
        <v>0</v>
      </c>
      <c r="BN464" s="103">
        <v>0</v>
      </c>
      <c r="BO464" s="103">
        <v>0</v>
      </c>
      <c r="BP464" s="103">
        <v>0</v>
      </c>
      <c r="BQ464" s="103">
        <v>0</v>
      </c>
      <c r="BR464" s="103">
        <v>0</v>
      </c>
      <c r="BS464" s="79">
        <f>SUM(ERP_8[[#This Row],[2026 AP01]:[2026 AP12]])</f>
        <v>-6285.51</v>
      </c>
    </row>
    <row r="465" spans="1:71" ht="15" hidden="1" customHeight="1">
      <c r="A465" s="79" t="s">
        <v>2367</v>
      </c>
      <c r="B465" s="749" t="s">
        <v>730</v>
      </c>
      <c r="C465" s="348"/>
      <c r="D465" s="347" t="str">
        <f>_xlfn.TEXTJOIN("_",FALSE,E465,ERP_8[[#This Row],[Expense Category]],ERP_8[[#This Row],[Project Code*]])</f>
        <v>Dougherty, Chris_SOFTWARE_IT-SFT1009-86-OG-US/17</v>
      </c>
      <c r="E465" s="347" t="s">
        <v>1135</v>
      </c>
      <c r="F465" s="348"/>
      <c r="G465" s="150" t="s">
        <v>1136</v>
      </c>
      <c r="H465" s="332" t="s">
        <v>1135</v>
      </c>
      <c r="I465" s="383" t="s">
        <v>1135</v>
      </c>
      <c r="J465" s="331" t="s">
        <v>1137</v>
      </c>
      <c r="K465" s="512" t="s">
        <v>639</v>
      </c>
      <c r="L465" s="393" t="s">
        <v>2368</v>
      </c>
      <c r="M465" s="343" t="s">
        <v>2343</v>
      </c>
      <c r="N465" s="385" t="s">
        <v>1171</v>
      </c>
      <c r="O465" s="91" t="s">
        <v>731</v>
      </c>
      <c r="P465" s="343"/>
      <c r="Q465" s="346" t="s">
        <v>2339</v>
      </c>
      <c r="R465" s="346" t="s">
        <v>1710</v>
      </c>
      <c r="S465" s="386" t="s">
        <v>707</v>
      </c>
      <c r="T465" s="346" t="s">
        <v>1348</v>
      </c>
      <c r="U465" s="437"/>
      <c r="V465" s="358">
        <v>30136.080000000002</v>
      </c>
      <c r="W465" s="378">
        <v>0</v>
      </c>
      <c r="X465" s="425"/>
      <c r="Y465" s="71"/>
      <c r="Z465" s="783"/>
      <c r="AA465" s="781"/>
      <c r="AB465" s="781"/>
      <c r="AC465" s="428" t="s">
        <v>1142</v>
      </c>
      <c r="AD465" s="429">
        <v>0</v>
      </c>
      <c r="AE465" s="429">
        <v>0</v>
      </c>
      <c r="AF465" s="429" t="s">
        <v>1142</v>
      </c>
      <c r="AG465" s="388">
        <v>0</v>
      </c>
      <c r="AH465" s="388">
        <v>0</v>
      </c>
      <c r="AI465" s="388">
        <v>0</v>
      </c>
      <c r="AJ465" s="388">
        <v>0</v>
      </c>
      <c r="AK465" s="388">
        <v>0</v>
      </c>
      <c r="AL465" s="360">
        <f t="shared" si="30"/>
        <v>0</v>
      </c>
      <c r="AM465" s="362">
        <f>ERP_8[[#This Row],[2026 Working Total]]-ERP_8[[#This Row],[LE2 Final Submission]]</f>
        <v>0</v>
      </c>
      <c r="AN465" s="79">
        <v>0</v>
      </c>
      <c r="AO465" s="79">
        <f t="shared" si="29"/>
        <v>0</v>
      </c>
      <c r="AP465" s="374">
        <f>SUM(ERP_8[[#This Row],[AP01]:[AP07]])-SUM(ERP_8[[#This Row],[AP01 LE2]:[AP07 LE2]])</f>
        <v>0</v>
      </c>
      <c r="AQ465" s="80"/>
      <c r="AR465" s="79">
        <f>ERP_8[[#This Row],[2026 Working Total to Budget/LE]]-ERP_8[[#This Row],[Giveback]]</f>
        <v>0</v>
      </c>
      <c r="AS465" s="81"/>
      <c r="AT465" s="375"/>
      <c r="AU465" s="375"/>
      <c r="AV465" s="375"/>
      <c r="AW465" s="375">
        <v>0</v>
      </c>
      <c r="AX465" s="375">
        <v>0</v>
      </c>
      <c r="AY465" s="375">
        <v>0</v>
      </c>
      <c r="AZ465" s="375">
        <v>0</v>
      </c>
      <c r="BA465" s="375">
        <v>0</v>
      </c>
      <c r="BB465" s="375">
        <v>0</v>
      </c>
      <c r="BC465" s="375">
        <v>0</v>
      </c>
      <c r="BD465" s="375">
        <v>0</v>
      </c>
      <c r="BE465" s="375">
        <v>0</v>
      </c>
      <c r="BF465" s="375">
        <v>0</v>
      </c>
      <c r="BG465" s="103">
        <v>30136.080000000002</v>
      </c>
      <c r="BH465" s="103">
        <v>0</v>
      </c>
      <c r="BI465" s="103">
        <v>0</v>
      </c>
      <c r="BJ465" s="103">
        <v>0</v>
      </c>
      <c r="BK465" s="103">
        <v>0</v>
      </c>
      <c r="BL465" s="103">
        <v>0</v>
      </c>
      <c r="BM465" s="103">
        <v>0</v>
      </c>
      <c r="BN465" s="103">
        <v>0</v>
      </c>
      <c r="BO465" s="103">
        <v>0</v>
      </c>
      <c r="BP465" s="103">
        <v>0</v>
      </c>
      <c r="BQ465" s="103">
        <v>0</v>
      </c>
      <c r="BR465" s="103">
        <v>0</v>
      </c>
      <c r="BS465" s="79">
        <f>SUM(ERP_8[[#This Row],[2026 AP01]:[2026 AP12]])</f>
        <v>30136.080000000002</v>
      </c>
    </row>
    <row r="466" spans="1:71" ht="15" hidden="1" customHeight="1">
      <c r="A466" s="79" t="s">
        <v>2369</v>
      </c>
      <c r="B466" s="749" t="s">
        <v>732</v>
      </c>
      <c r="C466" s="348"/>
      <c r="D466" s="347" t="str">
        <f>_xlfn.TEXTJOIN("_",FALSE,E466,ERP_8[[#This Row],[Expense Category]],ERP_8[[#This Row],[Project Code*]])</f>
        <v>Dougherty, Chris_SOFTWARE_IT-SFT1009-86-OG-US/17/PF</v>
      </c>
      <c r="E466" s="347" t="s">
        <v>1135</v>
      </c>
      <c r="F466" s="348"/>
      <c r="G466" s="150" t="s">
        <v>1136</v>
      </c>
      <c r="H466" s="332" t="s">
        <v>1135</v>
      </c>
      <c r="I466" s="383" t="s">
        <v>1135</v>
      </c>
      <c r="J466" s="331" t="s">
        <v>1137</v>
      </c>
      <c r="K466" s="512" t="s">
        <v>639</v>
      </c>
      <c r="L466" s="393" t="s">
        <v>2370</v>
      </c>
      <c r="M466" s="343" t="s">
        <v>2343</v>
      </c>
      <c r="N466" s="385" t="s">
        <v>1171</v>
      </c>
      <c r="O466" s="91" t="s">
        <v>733</v>
      </c>
      <c r="P466" s="343"/>
      <c r="Q466" s="346" t="s">
        <v>2339</v>
      </c>
      <c r="R466" s="346" t="s">
        <v>1710</v>
      </c>
      <c r="S466" s="386" t="s">
        <v>707</v>
      </c>
      <c r="T466" s="346" t="s">
        <v>1348</v>
      </c>
      <c r="U466" s="437"/>
      <c r="V466" s="358">
        <v>-30136.080000000002</v>
      </c>
      <c r="W466" s="378">
        <v>0</v>
      </c>
      <c r="X466" s="425"/>
      <c r="Y466" s="425"/>
      <c r="Z466" s="783"/>
      <c r="AA466" s="781"/>
      <c r="AB466" s="781"/>
      <c r="AC466" s="428" t="s">
        <v>1142</v>
      </c>
      <c r="AD466" s="429">
        <v>0</v>
      </c>
      <c r="AE466" s="429">
        <v>0</v>
      </c>
      <c r="AF466" s="429" t="s">
        <v>1142</v>
      </c>
      <c r="AG466" s="388">
        <v>0</v>
      </c>
      <c r="AH466" s="388">
        <v>0</v>
      </c>
      <c r="AI466" s="388">
        <v>0</v>
      </c>
      <c r="AJ466" s="388">
        <v>0</v>
      </c>
      <c r="AK466" s="388">
        <v>0</v>
      </c>
      <c r="AL466" s="360">
        <f t="shared" si="30"/>
        <v>0</v>
      </c>
      <c r="AM466" s="362">
        <f>ERP_8[[#This Row],[2026 Working Total]]-ERP_8[[#This Row],[LE2 Final Submission]]</f>
        <v>0</v>
      </c>
      <c r="AN466" s="79">
        <v>0</v>
      </c>
      <c r="AO466" s="79">
        <f t="shared" si="29"/>
        <v>0</v>
      </c>
      <c r="AP466" s="374">
        <f>SUM(ERP_8[[#This Row],[AP01]:[AP07]])-SUM(ERP_8[[#This Row],[AP01 LE2]:[AP07 LE2]])</f>
        <v>0</v>
      </c>
      <c r="AQ466" s="80"/>
      <c r="AR466" s="79">
        <f>ERP_8[[#This Row],[2026 Working Total to Budget/LE]]-ERP_8[[#This Row],[Giveback]]</f>
        <v>0</v>
      </c>
      <c r="AS466" s="81"/>
      <c r="AT466" s="375"/>
      <c r="AU466" s="375"/>
      <c r="AV466" s="375"/>
      <c r="AW466" s="375">
        <v>0</v>
      </c>
      <c r="AX466" s="375">
        <v>0</v>
      </c>
      <c r="AY466" s="375">
        <v>0</v>
      </c>
      <c r="AZ466" s="375">
        <v>0</v>
      </c>
      <c r="BA466" s="375">
        <v>0</v>
      </c>
      <c r="BB466" s="375">
        <v>0</v>
      </c>
      <c r="BC466" s="375">
        <v>0</v>
      </c>
      <c r="BD466" s="375">
        <v>0</v>
      </c>
      <c r="BE466" s="375">
        <v>0</v>
      </c>
      <c r="BF466" s="375">
        <v>0</v>
      </c>
      <c r="BG466" s="103">
        <v>-30136.080000000002</v>
      </c>
      <c r="BH466" s="103">
        <v>0</v>
      </c>
      <c r="BI466" s="103">
        <v>0</v>
      </c>
      <c r="BJ466" s="103">
        <v>0</v>
      </c>
      <c r="BK466" s="103">
        <v>0</v>
      </c>
      <c r="BL466" s="103">
        <v>0</v>
      </c>
      <c r="BM466" s="103">
        <v>0</v>
      </c>
      <c r="BN466" s="103">
        <v>0</v>
      </c>
      <c r="BO466" s="103">
        <v>0</v>
      </c>
      <c r="BP466" s="103">
        <v>0</v>
      </c>
      <c r="BQ466" s="103">
        <v>0</v>
      </c>
      <c r="BR466" s="103">
        <v>0</v>
      </c>
      <c r="BS466" s="79">
        <f>SUM(ERP_8[[#This Row],[2026 AP01]:[2026 AP12]])</f>
        <v>-30136.080000000002</v>
      </c>
    </row>
    <row r="467" spans="1:71" ht="15" hidden="1" customHeight="1">
      <c r="A467" s="79" t="s">
        <v>2371</v>
      </c>
      <c r="B467" s="749" t="s">
        <v>734</v>
      </c>
      <c r="C467" s="348"/>
      <c r="D467" s="347" t="str">
        <f>_xlfn.TEXTJOIN("_",FALSE,E467,ERP_8[[#This Row],[Expense Category]],ERP_8[[#This Row],[Project Code*]])</f>
        <v>Dougherty, Chris_SOFTWARE_IT-SFT1009-86-OG-US/19</v>
      </c>
      <c r="E467" s="347" t="s">
        <v>1135</v>
      </c>
      <c r="F467" s="348"/>
      <c r="G467" s="150" t="s">
        <v>1136</v>
      </c>
      <c r="H467" s="332" t="s">
        <v>1135</v>
      </c>
      <c r="I467" s="383" t="s">
        <v>1135</v>
      </c>
      <c r="J467" s="331" t="s">
        <v>1137</v>
      </c>
      <c r="K467" s="512" t="s">
        <v>639</v>
      </c>
      <c r="L467" s="393" t="s">
        <v>2372</v>
      </c>
      <c r="M467" s="343" t="s">
        <v>2343</v>
      </c>
      <c r="N467" s="385" t="s">
        <v>1171</v>
      </c>
      <c r="O467" s="91" t="s">
        <v>735</v>
      </c>
      <c r="P467" s="343"/>
      <c r="Q467" s="346" t="s">
        <v>2339</v>
      </c>
      <c r="R467" s="346" t="s">
        <v>1710</v>
      </c>
      <c r="S467" s="386" t="s">
        <v>707</v>
      </c>
      <c r="T467" s="346" t="s">
        <v>1348</v>
      </c>
      <c r="U467" s="437"/>
      <c r="V467" s="358">
        <v>17349.84</v>
      </c>
      <c r="W467" s="378">
        <v>0</v>
      </c>
      <c r="X467" s="430"/>
      <c r="Y467" s="137"/>
      <c r="Z467" s="783"/>
      <c r="AA467" s="781"/>
      <c r="AB467" s="781"/>
      <c r="AC467" s="428" t="s">
        <v>1142</v>
      </c>
      <c r="AD467" s="429">
        <v>0</v>
      </c>
      <c r="AE467" s="429">
        <v>0</v>
      </c>
      <c r="AF467" s="429" t="s">
        <v>1142</v>
      </c>
      <c r="AG467" s="388">
        <v>0</v>
      </c>
      <c r="AH467" s="388">
        <v>0</v>
      </c>
      <c r="AI467" s="388">
        <v>0</v>
      </c>
      <c r="AJ467" s="388">
        <v>0</v>
      </c>
      <c r="AK467" s="388">
        <v>0</v>
      </c>
      <c r="AL467" s="360">
        <f t="shared" si="30"/>
        <v>0</v>
      </c>
      <c r="AM467" s="362">
        <f>ERP_8[[#This Row],[2026 Working Total]]-ERP_8[[#This Row],[LE2 Final Submission]]</f>
        <v>0</v>
      </c>
      <c r="AN467" s="79">
        <v>0</v>
      </c>
      <c r="AO467" s="79">
        <f t="shared" ref="AO467:AO530" si="31">$AE467 - $AN467</f>
        <v>0</v>
      </c>
      <c r="AP467" s="374">
        <f>SUM(ERP_8[[#This Row],[AP01]:[AP07]])-SUM(ERP_8[[#This Row],[AP01 LE2]:[AP07 LE2]])</f>
        <v>0</v>
      </c>
      <c r="AQ467" s="80"/>
      <c r="AR467" s="79">
        <f>ERP_8[[#This Row],[2026 Working Total to Budget/LE]]-ERP_8[[#This Row],[Giveback]]</f>
        <v>0</v>
      </c>
      <c r="AS467" s="81"/>
      <c r="AT467" s="375"/>
      <c r="AU467" s="375"/>
      <c r="AV467" s="375"/>
      <c r="AW467" s="375">
        <v>0</v>
      </c>
      <c r="AX467" s="375">
        <v>0</v>
      </c>
      <c r="AY467" s="375">
        <v>0</v>
      </c>
      <c r="AZ467" s="375">
        <v>0</v>
      </c>
      <c r="BA467" s="375">
        <v>0</v>
      </c>
      <c r="BB467" s="375">
        <v>0</v>
      </c>
      <c r="BC467" s="375">
        <v>0</v>
      </c>
      <c r="BD467" s="375">
        <v>0</v>
      </c>
      <c r="BE467" s="375">
        <v>0</v>
      </c>
      <c r="BF467" s="375">
        <v>0</v>
      </c>
      <c r="BG467" s="103">
        <v>17349.84</v>
      </c>
      <c r="BH467" s="103">
        <v>0</v>
      </c>
      <c r="BI467" s="103">
        <v>0</v>
      </c>
      <c r="BJ467" s="103">
        <v>0</v>
      </c>
      <c r="BK467" s="103">
        <v>0</v>
      </c>
      <c r="BL467" s="103">
        <v>0</v>
      </c>
      <c r="BM467" s="103">
        <v>0</v>
      </c>
      <c r="BN467" s="103">
        <v>0</v>
      </c>
      <c r="BO467" s="103">
        <v>0</v>
      </c>
      <c r="BP467" s="103">
        <v>0</v>
      </c>
      <c r="BQ467" s="103">
        <v>0</v>
      </c>
      <c r="BR467" s="103">
        <v>0</v>
      </c>
      <c r="BS467" s="79">
        <f>SUM(ERP_8[[#This Row],[2026 AP01]:[2026 AP12]])</f>
        <v>17349.84</v>
      </c>
    </row>
    <row r="468" spans="1:71" ht="15" hidden="1" customHeight="1">
      <c r="A468" s="79" t="s">
        <v>2373</v>
      </c>
      <c r="B468" s="749" t="s">
        <v>736</v>
      </c>
      <c r="C468" s="348"/>
      <c r="D468" s="347" t="str">
        <f>_xlfn.TEXTJOIN("_",FALSE,E468,ERP_8[[#This Row],[Expense Category]],ERP_8[[#This Row],[Project Code*]])</f>
        <v>Dougherty, Chris_SOFTWARE_IT-SFT1009-86-OG-US/19/PF</v>
      </c>
      <c r="E468" s="347" t="s">
        <v>1135</v>
      </c>
      <c r="F468" s="348"/>
      <c r="G468" s="150" t="s">
        <v>1136</v>
      </c>
      <c r="H468" s="332" t="s">
        <v>1135</v>
      </c>
      <c r="I468" s="383" t="s">
        <v>1135</v>
      </c>
      <c r="J468" s="331" t="s">
        <v>1137</v>
      </c>
      <c r="K468" s="512" t="s">
        <v>639</v>
      </c>
      <c r="L468" s="393" t="s">
        <v>2374</v>
      </c>
      <c r="M468" s="343" t="s">
        <v>2343</v>
      </c>
      <c r="N468" s="385" t="s">
        <v>1171</v>
      </c>
      <c r="O468" s="91" t="s">
        <v>737</v>
      </c>
      <c r="P468" s="343"/>
      <c r="Q468" s="346" t="s">
        <v>2339</v>
      </c>
      <c r="R468" s="346" t="s">
        <v>1710</v>
      </c>
      <c r="S468" s="386" t="s">
        <v>707</v>
      </c>
      <c r="T468" s="346" t="s">
        <v>1348</v>
      </c>
      <c r="U468" s="437"/>
      <c r="V468" s="358">
        <v>-17349.84</v>
      </c>
      <c r="W468" s="378">
        <v>0</v>
      </c>
      <c r="X468" s="425"/>
      <c r="Y468" s="71"/>
      <c r="Z468" s="783"/>
      <c r="AA468" s="781"/>
      <c r="AB468" s="781"/>
      <c r="AC468" s="428" t="s">
        <v>1142</v>
      </c>
      <c r="AD468" s="429">
        <v>0</v>
      </c>
      <c r="AE468" s="429">
        <v>0</v>
      </c>
      <c r="AF468" s="429" t="s">
        <v>1142</v>
      </c>
      <c r="AG468" s="388">
        <v>0</v>
      </c>
      <c r="AH468" s="388">
        <v>0</v>
      </c>
      <c r="AI468" s="388">
        <v>0</v>
      </c>
      <c r="AJ468" s="388">
        <v>0</v>
      </c>
      <c r="AK468" s="388">
        <v>0</v>
      </c>
      <c r="AL468" s="360">
        <f t="shared" si="30"/>
        <v>0</v>
      </c>
      <c r="AM468" s="362">
        <f>ERP_8[[#This Row],[2026 Working Total]]-ERP_8[[#This Row],[LE2 Final Submission]]</f>
        <v>0</v>
      </c>
      <c r="AN468" s="79">
        <v>0</v>
      </c>
      <c r="AO468" s="79">
        <f t="shared" si="31"/>
        <v>0</v>
      </c>
      <c r="AP468" s="374">
        <f>SUM(ERP_8[[#This Row],[AP01]:[AP07]])-SUM(ERP_8[[#This Row],[AP01 LE2]:[AP07 LE2]])</f>
        <v>0</v>
      </c>
      <c r="AQ468" s="80"/>
      <c r="AR468" s="79">
        <f>ERP_8[[#This Row],[2026 Working Total to Budget/LE]]-ERP_8[[#This Row],[Giveback]]</f>
        <v>0</v>
      </c>
      <c r="AS468" s="81"/>
      <c r="AT468" s="375"/>
      <c r="AU468" s="375"/>
      <c r="AV468" s="375"/>
      <c r="AW468" s="375">
        <v>0</v>
      </c>
      <c r="AX468" s="375">
        <v>0</v>
      </c>
      <c r="AY468" s="375">
        <v>0</v>
      </c>
      <c r="AZ468" s="375">
        <v>0</v>
      </c>
      <c r="BA468" s="375">
        <v>0</v>
      </c>
      <c r="BB468" s="375">
        <v>0</v>
      </c>
      <c r="BC468" s="375">
        <v>0</v>
      </c>
      <c r="BD468" s="375">
        <v>0</v>
      </c>
      <c r="BE468" s="375">
        <v>0</v>
      </c>
      <c r="BF468" s="375">
        <v>0</v>
      </c>
      <c r="BG468" s="103">
        <v>-17349.84</v>
      </c>
      <c r="BH468" s="103">
        <v>0</v>
      </c>
      <c r="BI468" s="103">
        <v>0</v>
      </c>
      <c r="BJ468" s="103">
        <v>0</v>
      </c>
      <c r="BK468" s="103">
        <v>0</v>
      </c>
      <c r="BL468" s="103">
        <v>0</v>
      </c>
      <c r="BM468" s="103">
        <v>0</v>
      </c>
      <c r="BN468" s="103">
        <v>0</v>
      </c>
      <c r="BO468" s="103">
        <v>0</v>
      </c>
      <c r="BP468" s="103">
        <v>0</v>
      </c>
      <c r="BQ468" s="103">
        <v>0</v>
      </c>
      <c r="BR468" s="103">
        <v>0</v>
      </c>
      <c r="BS468" s="79">
        <f>SUM(ERP_8[[#This Row],[2026 AP01]:[2026 AP12]])</f>
        <v>-17349.84</v>
      </c>
    </row>
    <row r="469" spans="1:71" ht="15" hidden="1" customHeight="1">
      <c r="A469" s="79" t="s">
        <v>2375</v>
      </c>
      <c r="B469" s="749" t="s">
        <v>738</v>
      </c>
      <c r="C469" s="348"/>
      <c r="D469" s="347" t="str">
        <f>_xlfn.TEXTJOIN("_",FALSE,E469,ERP_8[[#This Row],[Expense Category]],ERP_8[[#This Row],[Project Code*]])</f>
        <v>Dougherty, Chris_SOFTWARE_IT-SFT1009-86-OG-US/23</v>
      </c>
      <c r="E469" s="347" t="s">
        <v>1135</v>
      </c>
      <c r="F469" s="348"/>
      <c r="G469" s="150" t="s">
        <v>1136</v>
      </c>
      <c r="H469" s="332" t="s">
        <v>1135</v>
      </c>
      <c r="I469" s="383" t="s">
        <v>1135</v>
      </c>
      <c r="J469" s="331" t="s">
        <v>1137</v>
      </c>
      <c r="K469" s="512" t="s">
        <v>639</v>
      </c>
      <c r="L469" s="393" t="s">
        <v>2376</v>
      </c>
      <c r="M469" s="343" t="s">
        <v>2343</v>
      </c>
      <c r="N469" s="385" t="s">
        <v>1171</v>
      </c>
      <c r="O469" s="91" t="s">
        <v>739</v>
      </c>
      <c r="P469" s="343"/>
      <c r="Q469" s="346" t="s">
        <v>2339</v>
      </c>
      <c r="R469" s="346" t="s">
        <v>1710</v>
      </c>
      <c r="S469" s="386" t="s">
        <v>707</v>
      </c>
      <c r="T469" s="346" t="s">
        <v>1348</v>
      </c>
      <c r="U469" s="437"/>
      <c r="V469" s="358">
        <v>5357.52</v>
      </c>
      <c r="W469" s="378">
        <v>0</v>
      </c>
      <c r="X469" s="425"/>
      <c r="Y469" s="71"/>
      <c r="Z469" s="783"/>
      <c r="AA469" s="781"/>
      <c r="AB469" s="781"/>
      <c r="AC469" s="428" t="s">
        <v>1142</v>
      </c>
      <c r="AD469" s="429">
        <v>0</v>
      </c>
      <c r="AE469" s="429">
        <v>0</v>
      </c>
      <c r="AF469" s="429" t="s">
        <v>1142</v>
      </c>
      <c r="AG469" s="388">
        <v>0</v>
      </c>
      <c r="AH469" s="388">
        <v>0</v>
      </c>
      <c r="AI469" s="388">
        <v>0</v>
      </c>
      <c r="AJ469" s="388">
        <v>0</v>
      </c>
      <c r="AK469" s="388">
        <v>0</v>
      </c>
      <c r="AL469" s="360">
        <f t="shared" si="30"/>
        <v>0</v>
      </c>
      <c r="AM469" s="362">
        <f>ERP_8[[#This Row],[2026 Working Total]]-ERP_8[[#This Row],[LE2 Final Submission]]</f>
        <v>0</v>
      </c>
      <c r="AN469" s="79">
        <v>0</v>
      </c>
      <c r="AO469" s="79">
        <f t="shared" si="31"/>
        <v>0</v>
      </c>
      <c r="AP469" s="374">
        <f>SUM(ERP_8[[#This Row],[AP01]:[AP07]])-SUM(ERP_8[[#This Row],[AP01 LE2]:[AP07 LE2]])</f>
        <v>0</v>
      </c>
      <c r="AQ469" s="80"/>
      <c r="AR469" s="79">
        <f>ERP_8[[#This Row],[2026 Working Total to Budget/LE]]-ERP_8[[#This Row],[Giveback]]</f>
        <v>0</v>
      </c>
      <c r="AS469" s="81"/>
      <c r="AT469" s="375"/>
      <c r="AU469" s="375"/>
      <c r="AV469" s="375"/>
      <c r="AW469" s="375">
        <v>0</v>
      </c>
      <c r="AX469" s="375">
        <v>0</v>
      </c>
      <c r="AY469" s="375">
        <v>0</v>
      </c>
      <c r="AZ469" s="375">
        <v>0</v>
      </c>
      <c r="BA469" s="375">
        <v>0</v>
      </c>
      <c r="BB469" s="375">
        <v>0</v>
      </c>
      <c r="BC469" s="375">
        <v>0</v>
      </c>
      <c r="BD469" s="375">
        <v>0</v>
      </c>
      <c r="BE469" s="375">
        <v>0</v>
      </c>
      <c r="BF469" s="375">
        <v>0</v>
      </c>
      <c r="BG469" s="103">
        <v>5357.52</v>
      </c>
      <c r="BH469" s="103">
        <v>0</v>
      </c>
      <c r="BI469" s="103">
        <v>0</v>
      </c>
      <c r="BJ469" s="103">
        <v>0</v>
      </c>
      <c r="BK469" s="103">
        <v>0</v>
      </c>
      <c r="BL469" s="103">
        <v>0</v>
      </c>
      <c r="BM469" s="103">
        <v>0</v>
      </c>
      <c r="BN469" s="103">
        <v>0</v>
      </c>
      <c r="BO469" s="103">
        <v>0</v>
      </c>
      <c r="BP469" s="103">
        <v>0</v>
      </c>
      <c r="BQ469" s="103">
        <v>0</v>
      </c>
      <c r="BR469" s="103">
        <v>0</v>
      </c>
      <c r="BS469" s="79">
        <f>SUM(ERP_8[[#This Row],[2026 AP01]:[2026 AP12]])</f>
        <v>5357.52</v>
      </c>
    </row>
    <row r="470" spans="1:71" ht="15" hidden="1" customHeight="1">
      <c r="A470" s="79" t="s">
        <v>2377</v>
      </c>
      <c r="B470" s="749" t="s">
        <v>740</v>
      </c>
      <c r="C470" s="348"/>
      <c r="D470" s="347" t="str">
        <f>_xlfn.TEXTJOIN("_",FALSE,E470,ERP_8[[#This Row],[Expense Category]],ERP_8[[#This Row],[Project Code*]])</f>
        <v>Dougherty, Chris_SOFTWARE_IT-SFT1009-86-OG-US/23/PF</v>
      </c>
      <c r="E470" s="347" t="s">
        <v>1135</v>
      </c>
      <c r="F470" s="348"/>
      <c r="G470" s="150" t="s">
        <v>1136</v>
      </c>
      <c r="H470" s="332" t="s">
        <v>1135</v>
      </c>
      <c r="I470" s="383" t="s">
        <v>1135</v>
      </c>
      <c r="J470" s="331" t="s">
        <v>1137</v>
      </c>
      <c r="K470" s="512" t="s">
        <v>639</v>
      </c>
      <c r="L470" s="393" t="s">
        <v>2378</v>
      </c>
      <c r="M470" s="343" t="s">
        <v>2343</v>
      </c>
      <c r="N470" s="385" t="s">
        <v>1171</v>
      </c>
      <c r="O470" s="91" t="s">
        <v>741</v>
      </c>
      <c r="P470" s="343"/>
      <c r="Q470" s="346" t="s">
        <v>2339</v>
      </c>
      <c r="R470" s="346" t="s">
        <v>1710</v>
      </c>
      <c r="S470" s="386" t="s">
        <v>707</v>
      </c>
      <c r="T470" s="346" t="s">
        <v>1348</v>
      </c>
      <c r="U470" s="437"/>
      <c r="V470" s="358">
        <v>-5357.52</v>
      </c>
      <c r="W470" s="378">
        <v>0</v>
      </c>
      <c r="X470" s="430"/>
      <c r="Y470" s="137"/>
      <c r="Z470" s="783"/>
      <c r="AA470" s="781"/>
      <c r="AB470" s="781"/>
      <c r="AC470" s="428" t="s">
        <v>1142</v>
      </c>
      <c r="AD470" s="429">
        <v>0</v>
      </c>
      <c r="AE470" s="429">
        <v>0</v>
      </c>
      <c r="AF470" s="429" t="s">
        <v>1142</v>
      </c>
      <c r="AG470" s="388">
        <v>0</v>
      </c>
      <c r="AH470" s="388">
        <v>0</v>
      </c>
      <c r="AI470" s="388">
        <v>0</v>
      </c>
      <c r="AJ470" s="388">
        <v>0</v>
      </c>
      <c r="AK470" s="388">
        <v>0</v>
      </c>
      <c r="AL470" s="360">
        <f t="shared" si="30"/>
        <v>0</v>
      </c>
      <c r="AM470" s="362">
        <f>ERP_8[[#This Row],[2026 Working Total]]-ERP_8[[#This Row],[LE2 Final Submission]]</f>
        <v>0</v>
      </c>
      <c r="AN470" s="79">
        <v>0</v>
      </c>
      <c r="AO470" s="79">
        <f t="shared" si="31"/>
        <v>0</v>
      </c>
      <c r="AP470" s="374">
        <f>SUM(ERP_8[[#This Row],[AP01]:[AP07]])-SUM(ERP_8[[#This Row],[AP01 LE2]:[AP07 LE2]])</f>
        <v>0</v>
      </c>
      <c r="AQ470" s="80"/>
      <c r="AR470" s="79">
        <f>ERP_8[[#This Row],[2026 Working Total to Budget/LE]]-ERP_8[[#This Row],[Giveback]]</f>
        <v>0</v>
      </c>
      <c r="AS470" s="81"/>
      <c r="AT470" s="375"/>
      <c r="AU470" s="375"/>
      <c r="AV470" s="375"/>
      <c r="AW470" s="375">
        <v>0</v>
      </c>
      <c r="AX470" s="375">
        <v>0</v>
      </c>
      <c r="AY470" s="375">
        <v>0</v>
      </c>
      <c r="AZ470" s="375">
        <v>0</v>
      </c>
      <c r="BA470" s="375">
        <v>0</v>
      </c>
      <c r="BB470" s="375">
        <v>0</v>
      </c>
      <c r="BC470" s="375">
        <v>0</v>
      </c>
      <c r="BD470" s="375">
        <v>0</v>
      </c>
      <c r="BE470" s="375">
        <v>0</v>
      </c>
      <c r="BF470" s="375">
        <v>0</v>
      </c>
      <c r="BG470" s="103">
        <v>-5357.52</v>
      </c>
      <c r="BH470" s="103">
        <v>0</v>
      </c>
      <c r="BI470" s="103">
        <v>0</v>
      </c>
      <c r="BJ470" s="103">
        <v>0</v>
      </c>
      <c r="BK470" s="103">
        <v>0</v>
      </c>
      <c r="BL470" s="103">
        <v>0</v>
      </c>
      <c r="BM470" s="103">
        <v>0</v>
      </c>
      <c r="BN470" s="103">
        <v>0</v>
      </c>
      <c r="BO470" s="103">
        <v>0</v>
      </c>
      <c r="BP470" s="103">
        <v>0</v>
      </c>
      <c r="BQ470" s="103">
        <v>0</v>
      </c>
      <c r="BR470" s="103">
        <v>0</v>
      </c>
      <c r="BS470" s="79">
        <f>SUM(ERP_8[[#This Row],[2026 AP01]:[2026 AP12]])</f>
        <v>-5357.52</v>
      </c>
    </row>
    <row r="471" spans="1:71" ht="15" hidden="1" customHeight="1">
      <c r="A471" s="79" t="s">
        <v>2379</v>
      </c>
      <c r="B471" s="749" t="s">
        <v>742</v>
      </c>
      <c r="C471" s="348"/>
      <c r="D471" s="347" t="str">
        <f>_xlfn.TEXTJOIN("_",FALSE,E471,ERP_8[[#This Row],[Expense Category]],ERP_8[[#This Row],[Project Code*]])</f>
        <v>Dougherty, Chris_SOFTWARE_IT-SFT1009-86-OG-US/25</v>
      </c>
      <c r="E471" s="347" t="s">
        <v>1135</v>
      </c>
      <c r="F471" s="348"/>
      <c r="G471" s="150" t="s">
        <v>1136</v>
      </c>
      <c r="H471" s="332" t="s">
        <v>1135</v>
      </c>
      <c r="I471" s="383" t="s">
        <v>1135</v>
      </c>
      <c r="J471" s="331" t="s">
        <v>1137</v>
      </c>
      <c r="K471" s="512" t="s">
        <v>639</v>
      </c>
      <c r="L471" s="393" t="s">
        <v>2380</v>
      </c>
      <c r="M471" s="343" t="s">
        <v>2343</v>
      </c>
      <c r="N471" s="385" t="s">
        <v>1171</v>
      </c>
      <c r="O471" s="91" t="s">
        <v>743</v>
      </c>
      <c r="P471" s="343"/>
      <c r="Q471" s="346" t="s">
        <v>2339</v>
      </c>
      <c r="R471" s="346" t="s">
        <v>1710</v>
      </c>
      <c r="S471" s="386" t="s">
        <v>707</v>
      </c>
      <c r="T471" s="346" t="s">
        <v>1348</v>
      </c>
      <c r="U471" s="437"/>
      <c r="V471" s="358">
        <v>101279.37</v>
      </c>
      <c r="W471" s="378">
        <v>0</v>
      </c>
      <c r="X471" s="425"/>
      <c r="Y471" s="71"/>
      <c r="Z471" s="783"/>
      <c r="AA471" s="781"/>
      <c r="AB471" s="781"/>
      <c r="AC471" s="428" t="s">
        <v>1142</v>
      </c>
      <c r="AD471" s="429">
        <v>0</v>
      </c>
      <c r="AE471" s="429">
        <v>0</v>
      </c>
      <c r="AF471" s="429" t="s">
        <v>1142</v>
      </c>
      <c r="AG471" s="388">
        <v>0</v>
      </c>
      <c r="AH471" s="388">
        <v>0</v>
      </c>
      <c r="AI471" s="388">
        <v>0</v>
      </c>
      <c r="AJ471" s="388">
        <v>0</v>
      </c>
      <c r="AK471" s="388">
        <v>0</v>
      </c>
      <c r="AL471" s="360">
        <f t="shared" si="30"/>
        <v>0</v>
      </c>
      <c r="AM471" s="362">
        <f>ERP_8[[#This Row],[2026 Working Total]]-ERP_8[[#This Row],[LE2 Final Submission]]</f>
        <v>0</v>
      </c>
      <c r="AN471" s="79">
        <v>0</v>
      </c>
      <c r="AO471" s="79">
        <f t="shared" si="31"/>
        <v>0</v>
      </c>
      <c r="AP471" s="374">
        <f>SUM(ERP_8[[#This Row],[AP01]:[AP07]])-SUM(ERP_8[[#This Row],[AP01 LE2]:[AP07 LE2]])</f>
        <v>0</v>
      </c>
      <c r="AQ471" s="80"/>
      <c r="AR471" s="79">
        <f>ERP_8[[#This Row],[2026 Working Total to Budget/LE]]-ERP_8[[#This Row],[Giveback]]</f>
        <v>0</v>
      </c>
      <c r="AS471" s="81"/>
      <c r="AT471" s="375"/>
      <c r="AU471" s="375"/>
      <c r="AV471" s="375"/>
      <c r="AW471" s="375">
        <v>0</v>
      </c>
      <c r="AX471" s="375">
        <v>0</v>
      </c>
      <c r="AY471" s="375">
        <v>0</v>
      </c>
      <c r="AZ471" s="375">
        <v>0</v>
      </c>
      <c r="BA471" s="375">
        <v>0</v>
      </c>
      <c r="BB471" s="375">
        <v>0</v>
      </c>
      <c r="BC471" s="375">
        <v>0</v>
      </c>
      <c r="BD471" s="375">
        <v>0</v>
      </c>
      <c r="BE471" s="375">
        <v>0</v>
      </c>
      <c r="BF471" s="375">
        <v>0</v>
      </c>
      <c r="BG471" s="103">
        <v>101279.37</v>
      </c>
      <c r="BH471" s="103">
        <v>0</v>
      </c>
      <c r="BI471" s="103">
        <v>0</v>
      </c>
      <c r="BJ471" s="103">
        <v>0</v>
      </c>
      <c r="BK471" s="103">
        <v>0</v>
      </c>
      <c r="BL471" s="103">
        <v>0</v>
      </c>
      <c r="BM471" s="103">
        <v>0</v>
      </c>
      <c r="BN471" s="103">
        <v>0</v>
      </c>
      <c r="BO471" s="103">
        <v>0</v>
      </c>
      <c r="BP471" s="103">
        <v>0</v>
      </c>
      <c r="BQ471" s="103">
        <v>0</v>
      </c>
      <c r="BR471" s="103">
        <v>0</v>
      </c>
      <c r="BS471" s="79">
        <f>SUM(ERP_8[[#This Row],[2026 AP01]:[2026 AP12]])</f>
        <v>101279.37</v>
      </c>
    </row>
    <row r="472" spans="1:71" ht="15" hidden="1" customHeight="1">
      <c r="A472" s="79" t="s">
        <v>2381</v>
      </c>
      <c r="B472" s="749" t="s">
        <v>744</v>
      </c>
      <c r="C472" s="348"/>
      <c r="D472" s="347" t="str">
        <f>_xlfn.TEXTJOIN("_",FALSE,E472,ERP_8[[#This Row],[Expense Category]],ERP_8[[#This Row],[Project Code*]])</f>
        <v>Dougherty, Chris_SOFTWARE_IT-SFT1009-86-OG-US/25/PF</v>
      </c>
      <c r="E472" s="347" t="s">
        <v>1135</v>
      </c>
      <c r="F472" s="348"/>
      <c r="G472" s="150" t="s">
        <v>1136</v>
      </c>
      <c r="H472" s="332" t="s">
        <v>1135</v>
      </c>
      <c r="I472" s="383" t="s">
        <v>1135</v>
      </c>
      <c r="J472" s="331" t="s">
        <v>1137</v>
      </c>
      <c r="K472" s="512" t="s">
        <v>639</v>
      </c>
      <c r="L472" s="393" t="s">
        <v>2382</v>
      </c>
      <c r="M472" s="343" t="s">
        <v>2343</v>
      </c>
      <c r="N472" s="385" t="s">
        <v>1171</v>
      </c>
      <c r="O472" s="91" t="s">
        <v>745</v>
      </c>
      <c r="P472" s="343"/>
      <c r="Q472" s="346" t="s">
        <v>2339</v>
      </c>
      <c r="R472" s="346" t="s">
        <v>1710</v>
      </c>
      <c r="S472" s="386" t="s">
        <v>707</v>
      </c>
      <c r="T472" s="346" t="s">
        <v>1348</v>
      </c>
      <c r="U472" s="437"/>
      <c r="V472" s="358">
        <v>-101279.37</v>
      </c>
      <c r="W472" s="378">
        <v>0</v>
      </c>
      <c r="X472" s="425"/>
      <c r="Y472" s="71"/>
      <c r="Z472" s="783"/>
      <c r="AA472" s="781"/>
      <c r="AB472" s="781"/>
      <c r="AC472" s="428" t="s">
        <v>1142</v>
      </c>
      <c r="AD472" s="429">
        <v>0</v>
      </c>
      <c r="AE472" s="429">
        <v>0</v>
      </c>
      <c r="AF472" s="429" t="s">
        <v>1142</v>
      </c>
      <c r="AG472" s="388">
        <v>0</v>
      </c>
      <c r="AH472" s="388">
        <v>0</v>
      </c>
      <c r="AI472" s="388">
        <v>0</v>
      </c>
      <c r="AJ472" s="388">
        <v>0</v>
      </c>
      <c r="AK472" s="388">
        <v>0</v>
      </c>
      <c r="AL472" s="360">
        <f t="shared" si="30"/>
        <v>0</v>
      </c>
      <c r="AM472" s="362">
        <f>ERP_8[[#This Row],[2026 Working Total]]-ERP_8[[#This Row],[LE2 Final Submission]]</f>
        <v>0</v>
      </c>
      <c r="AN472" s="79">
        <v>0</v>
      </c>
      <c r="AO472" s="79">
        <f t="shared" si="31"/>
        <v>0</v>
      </c>
      <c r="AP472" s="374">
        <f>SUM(ERP_8[[#This Row],[AP01]:[AP07]])-SUM(ERP_8[[#This Row],[AP01 LE2]:[AP07 LE2]])</f>
        <v>0</v>
      </c>
      <c r="AQ472" s="80"/>
      <c r="AR472" s="79">
        <f>ERP_8[[#This Row],[2026 Working Total to Budget/LE]]-ERP_8[[#This Row],[Giveback]]</f>
        <v>0</v>
      </c>
      <c r="AS472" s="81"/>
      <c r="AT472" s="375"/>
      <c r="AU472" s="375"/>
      <c r="AV472" s="375"/>
      <c r="AW472" s="375">
        <v>0</v>
      </c>
      <c r="AX472" s="375">
        <v>0</v>
      </c>
      <c r="AY472" s="375">
        <v>0</v>
      </c>
      <c r="AZ472" s="375">
        <v>0</v>
      </c>
      <c r="BA472" s="375">
        <v>0</v>
      </c>
      <c r="BB472" s="375">
        <v>0</v>
      </c>
      <c r="BC472" s="375">
        <v>0</v>
      </c>
      <c r="BD472" s="375">
        <v>0</v>
      </c>
      <c r="BE472" s="375">
        <v>0</v>
      </c>
      <c r="BF472" s="375">
        <v>0</v>
      </c>
      <c r="BG472" s="103">
        <v>-101279.37</v>
      </c>
      <c r="BH472" s="103">
        <v>0</v>
      </c>
      <c r="BI472" s="103">
        <v>0</v>
      </c>
      <c r="BJ472" s="103">
        <v>0</v>
      </c>
      <c r="BK472" s="103">
        <v>0</v>
      </c>
      <c r="BL472" s="103">
        <v>0</v>
      </c>
      <c r="BM472" s="103">
        <v>0</v>
      </c>
      <c r="BN472" s="103">
        <v>0</v>
      </c>
      <c r="BO472" s="103">
        <v>0</v>
      </c>
      <c r="BP472" s="103">
        <v>0</v>
      </c>
      <c r="BQ472" s="103">
        <v>0</v>
      </c>
      <c r="BR472" s="103">
        <v>0</v>
      </c>
      <c r="BS472" s="79">
        <f>SUM(ERP_8[[#This Row],[2026 AP01]:[2026 AP12]])</f>
        <v>-101279.37</v>
      </c>
    </row>
    <row r="473" spans="1:71" ht="15" hidden="1" customHeight="1">
      <c r="A473" s="79" t="s">
        <v>2383</v>
      </c>
      <c r="B473" s="749" t="s">
        <v>746</v>
      </c>
      <c r="C473" s="348"/>
      <c r="D473" s="347" t="str">
        <f>_xlfn.TEXTJOIN("_",FALSE,E473,ERP_8[[#This Row],[Expense Category]],ERP_8[[#This Row],[Project Code*]])</f>
        <v>Dougherty, Chris_SOFTWARE_IT-SFT1009-86-OG-US/29</v>
      </c>
      <c r="E473" s="347" t="s">
        <v>1135</v>
      </c>
      <c r="F473" s="348"/>
      <c r="G473" s="150" t="s">
        <v>1136</v>
      </c>
      <c r="H473" s="332" t="s">
        <v>1135</v>
      </c>
      <c r="I473" s="383" t="s">
        <v>1135</v>
      </c>
      <c r="J473" s="331" t="s">
        <v>1137</v>
      </c>
      <c r="K473" s="512" t="s">
        <v>639</v>
      </c>
      <c r="L473" s="393" t="s">
        <v>2384</v>
      </c>
      <c r="M473" s="343" t="s">
        <v>2343</v>
      </c>
      <c r="N473" s="385" t="s">
        <v>1171</v>
      </c>
      <c r="O473" s="91" t="s">
        <v>747</v>
      </c>
      <c r="P473" s="343"/>
      <c r="Q473" s="346" t="s">
        <v>2339</v>
      </c>
      <c r="R473" s="346" t="s">
        <v>1710</v>
      </c>
      <c r="S473" s="386" t="s">
        <v>707</v>
      </c>
      <c r="T473" s="346" t="s">
        <v>1348</v>
      </c>
      <c r="U473" s="437"/>
      <c r="V473" s="358">
        <v>169017.36</v>
      </c>
      <c r="W473" s="378">
        <v>0</v>
      </c>
      <c r="X473" s="430"/>
      <c r="Y473" s="137"/>
      <c r="Z473" s="783"/>
      <c r="AA473" s="781"/>
      <c r="AB473" s="781"/>
      <c r="AC473" s="428" t="s">
        <v>1142</v>
      </c>
      <c r="AD473" s="429">
        <v>0</v>
      </c>
      <c r="AE473" s="429">
        <v>0</v>
      </c>
      <c r="AF473" s="429" t="s">
        <v>1142</v>
      </c>
      <c r="AG473" s="388">
        <v>0</v>
      </c>
      <c r="AH473" s="388">
        <v>0</v>
      </c>
      <c r="AI473" s="388">
        <v>0</v>
      </c>
      <c r="AJ473" s="388">
        <v>0</v>
      </c>
      <c r="AK473" s="388">
        <v>0</v>
      </c>
      <c r="AL473" s="360">
        <f t="shared" si="30"/>
        <v>0</v>
      </c>
      <c r="AM473" s="362">
        <f>ERP_8[[#This Row],[2026 Working Total]]-ERP_8[[#This Row],[LE2 Final Submission]]</f>
        <v>0</v>
      </c>
      <c r="AN473" s="79">
        <v>0</v>
      </c>
      <c r="AO473" s="79">
        <f t="shared" si="31"/>
        <v>0</v>
      </c>
      <c r="AP473" s="374">
        <f>SUM(ERP_8[[#This Row],[AP01]:[AP07]])-SUM(ERP_8[[#This Row],[AP01 LE2]:[AP07 LE2]])</f>
        <v>0</v>
      </c>
      <c r="AQ473" s="80"/>
      <c r="AR473" s="79">
        <f>ERP_8[[#This Row],[2026 Working Total to Budget/LE]]-ERP_8[[#This Row],[Giveback]]</f>
        <v>0</v>
      </c>
      <c r="AS473" s="81"/>
      <c r="AT473" s="375"/>
      <c r="AU473" s="375"/>
      <c r="AV473" s="375"/>
      <c r="AW473" s="375">
        <v>0</v>
      </c>
      <c r="AX473" s="375">
        <v>0</v>
      </c>
      <c r="AY473" s="375">
        <v>0</v>
      </c>
      <c r="AZ473" s="375">
        <v>0</v>
      </c>
      <c r="BA473" s="375">
        <v>0</v>
      </c>
      <c r="BB473" s="375">
        <v>0</v>
      </c>
      <c r="BC473" s="375">
        <v>0</v>
      </c>
      <c r="BD473" s="375">
        <v>0</v>
      </c>
      <c r="BE473" s="375">
        <v>0</v>
      </c>
      <c r="BF473" s="375">
        <v>0</v>
      </c>
      <c r="BG473" s="103">
        <v>169017.36</v>
      </c>
      <c r="BH473" s="103">
        <v>0</v>
      </c>
      <c r="BI473" s="103">
        <v>0</v>
      </c>
      <c r="BJ473" s="103">
        <v>0</v>
      </c>
      <c r="BK473" s="103">
        <v>0</v>
      </c>
      <c r="BL473" s="103">
        <v>0</v>
      </c>
      <c r="BM473" s="103">
        <v>0</v>
      </c>
      <c r="BN473" s="103">
        <v>0</v>
      </c>
      <c r="BO473" s="103">
        <v>0</v>
      </c>
      <c r="BP473" s="103">
        <v>0</v>
      </c>
      <c r="BQ473" s="103">
        <v>0</v>
      </c>
      <c r="BR473" s="103">
        <v>0</v>
      </c>
      <c r="BS473" s="79">
        <f>SUM(ERP_8[[#This Row],[2026 AP01]:[2026 AP12]])</f>
        <v>169017.36</v>
      </c>
    </row>
    <row r="474" spans="1:71" ht="15" hidden="1" customHeight="1">
      <c r="A474" s="79" t="s">
        <v>2385</v>
      </c>
      <c r="B474" s="749" t="s">
        <v>748</v>
      </c>
      <c r="C474" s="348"/>
      <c r="D474" s="347" t="str">
        <f>_xlfn.TEXTJOIN("_",FALSE,E474,ERP_8[[#This Row],[Expense Category]],ERP_8[[#This Row],[Project Code*]])</f>
        <v>Dougherty, Chris_SOFTWARE_IT-SFT1009-86-OG-US/29/PF</v>
      </c>
      <c r="E474" s="347" t="s">
        <v>1135</v>
      </c>
      <c r="F474" s="348"/>
      <c r="G474" s="150" t="s">
        <v>1136</v>
      </c>
      <c r="H474" s="332" t="s">
        <v>1135</v>
      </c>
      <c r="I474" s="383" t="s">
        <v>1135</v>
      </c>
      <c r="J474" s="331" t="s">
        <v>1137</v>
      </c>
      <c r="K474" s="512" t="s">
        <v>639</v>
      </c>
      <c r="L474" s="393" t="s">
        <v>2386</v>
      </c>
      <c r="M474" s="343" t="s">
        <v>2343</v>
      </c>
      <c r="N474" s="385" t="s">
        <v>1171</v>
      </c>
      <c r="O474" s="91" t="s">
        <v>749</v>
      </c>
      <c r="P474" s="343"/>
      <c r="Q474" s="346" t="s">
        <v>2339</v>
      </c>
      <c r="R474" s="346" t="s">
        <v>1710</v>
      </c>
      <c r="S474" s="386" t="s">
        <v>707</v>
      </c>
      <c r="T474" s="346" t="s">
        <v>1348</v>
      </c>
      <c r="U474" s="437"/>
      <c r="V474" s="358">
        <v>-169017.36</v>
      </c>
      <c r="W474" s="378">
        <v>0</v>
      </c>
      <c r="X474" s="425"/>
      <c r="Y474" s="71"/>
      <c r="Z474" s="783"/>
      <c r="AA474" s="781"/>
      <c r="AB474" s="781"/>
      <c r="AC474" s="428" t="s">
        <v>1142</v>
      </c>
      <c r="AD474" s="429">
        <v>0</v>
      </c>
      <c r="AE474" s="429">
        <v>0</v>
      </c>
      <c r="AF474" s="429" t="s">
        <v>1142</v>
      </c>
      <c r="AG474" s="388">
        <v>0</v>
      </c>
      <c r="AH474" s="388">
        <v>0</v>
      </c>
      <c r="AI474" s="388">
        <v>0</v>
      </c>
      <c r="AJ474" s="388">
        <v>0</v>
      </c>
      <c r="AK474" s="388">
        <v>0</v>
      </c>
      <c r="AL474" s="360">
        <f t="shared" si="30"/>
        <v>0</v>
      </c>
      <c r="AM474" s="362">
        <f>ERP_8[[#This Row],[2026 Working Total]]-ERP_8[[#This Row],[LE2 Final Submission]]</f>
        <v>0</v>
      </c>
      <c r="AN474" s="79">
        <v>0</v>
      </c>
      <c r="AO474" s="79">
        <f t="shared" si="31"/>
        <v>0</v>
      </c>
      <c r="AP474" s="374">
        <f>SUM(ERP_8[[#This Row],[AP01]:[AP07]])-SUM(ERP_8[[#This Row],[AP01 LE2]:[AP07 LE2]])</f>
        <v>0</v>
      </c>
      <c r="AQ474" s="80"/>
      <c r="AR474" s="79">
        <f>ERP_8[[#This Row],[2026 Working Total to Budget/LE]]-ERP_8[[#This Row],[Giveback]]</f>
        <v>0</v>
      </c>
      <c r="AS474" s="81"/>
      <c r="AT474" s="375"/>
      <c r="AU474" s="375"/>
      <c r="AV474" s="375"/>
      <c r="AW474" s="375">
        <v>0</v>
      </c>
      <c r="AX474" s="375">
        <v>0</v>
      </c>
      <c r="AY474" s="375">
        <v>0</v>
      </c>
      <c r="AZ474" s="375">
        <v>0</v>
      </c>
      <c r="BA474" s="375">
        <v>0</v>
      </c>
      <c r="BB474" s="375">
        <v>0</v>
      </c>
      <c r="BC474" s="375">
        <v>0</v>
      </c>
      <c r="BD474" s="375">
        <v>0</v>
      </c>
      <c r="BE474" s="375">
        <v>0</v>
      </c>
      <c r="BF474" s="375">
        <v>0</v>
      </c>
      <c r="BG474" s="103">
        <v>-169017.36</v>
      </c>
      <c r="BH474" s="103">
        <v>0</v>
      </c>
      <c r="BI474" s="103">
        <v>0</v>
      </c>
      <c r="BJ474" s="103">
        <v>0</v>
      </c>
      <c r="BK474" s="103">
        <v>0</v>
      </c>
      <c r="BL474" s="103">
        <v>0</v>
      </c>
      <c r="BM474" s="103">
        <v>0</v>
      </c>
      <c r="BN474" s="103">
        <v>0</v>
      </c>
      <c r="BO474" s="103">
        <v>0</v>
      </c>
      <c r="BP474" s="103">
        <v>0</v>
      </c>
      <c r="BQ474" s="103">
        <v>0</v>
      </c>
      <c r="BR474" s="103">
        <v>0</v>
      </c>
      <c r="BS474" s="79">
        <f>SUM(ERP_8[[#This Row],[2026 AP01]:[2026 AP12]])</f>
        <v>-169017.36</v>
      </c>
    </row>
    <row r="475" spans="1:71" ht="15" hidden="1" customHeight="1">
      <c r="A475" s="79" t="s">
        <v>2387</v>
      </c>
      <c r="B475" s="749" t="s">
        <v>750</v>
      </c>
      <c r="C475" s="348"/>
      <c r="D475" s="347" t="str">
        <f>_xlfn.TEXTJOIN("_",FALSE,E475,ERP_8[[#This Row],[Expense Category]],ERP_8[[#This Row],[Project Code*]])</f>
        <v>Dougherty, Chris_SOFTWARE_IT-SFT1009-86-OG-US/30</v>
      </c>
      <c r="E475" s="347" t="s">
        <v>1135</v>
      </c>
      <c r="F475" s="348"/>
      <c r="G475" s="150" t="s">
        <v>1136</v>
      </c>
      <c r="H475" s="332" t="s">
        <v>1135</v>
      </c>
      <c r="I475" s="383" t="s">
        <v>1135</v>
      </c>
      <c r="J475" s="331" t="s">
        <v>1137</v>
      </c>
      <c r="K475" s="512" t="s">
        <v>639</v>
      </c>
      <c r="L475" s="393" t="s">
        <v>2388</v>
      </c>
      <c r="M475" s="343" t="s">
        <v>2343</v>
      </c>
      <c r="N475" s="385" t="s">
        <v>1171</v>
      </c>
      <c r="O475" s="91" t="s">
        <v>751</v>
      </c>
      <c r="P475" s="343"/>
      <c r="Q475" s="346" t="s">
        <v>2339</v>
      </c>
      <c r="R475" s="346" t="s">
        <v>1710</v>
      </c>
      <c r="S475" s="386" t="s">
        <v>707</v>
      </c>
      <c r="T475" s="346" t="s">
        <v>1348</v>
      </c>
      <c r="U475" s="437"/>
      <c r="V475" s="358">
        <v>872512.08</v>
      </c>
      <c r="W475" s="378">
        <v>0</v>
      </c>
      <c r="X475" s="425"/>
      <c r="Y475" s="71"/>
      <c r="Z475" s="783"/>
      <c r="AA475" s="781"/>
      <c r="AB475" s="781"/>
      <c r="AC475" s="428" t="s">
        <v>1142</v>
      </c>
      <c r="AD475" s="429">
        <v>0</v>
      </c>
      <c r="AE475" s="429">
        <v>0</v>
      </c>
      <c r="AF475" s="429" t="s">
        <v>1142</v>
      </c>
      <c r="AG475" s="388">
        <v>0</v>
      </c>
      <c r="AH475" s="388">
        <v>0</v>
      </c>
      <c r="AI475" s="388">
        <v>0</v>
      </c>
      <c r="AJ475" s="388">
        <v>0</v>
      </c>
      <c r="AK475" s="388">
        <v>0</v>
      </c>
      <c r="AL475" s="360">
        <f t="shared" si="30"/>
        <v>0</v>
      </c>
      <c r="AM475" s="362">
        <f>ERP_8[[#This Row],[2026 Working Total]]-ERP_8[[#This Row],[LE2 Final Submission]]</f>
        <v>0</v>
      </c>
      <c r="AN475" s="79">
        <v>0</v>
      </c>
      <c r="AO475" s="79">
        <f t="shared" si="31"/>
        <v>0</v>
      </c>
      <c r="AP475" s="374">
        <f>SUM(ERP_8[[#This Row],[AP01]:[AP07]])-SUM(ERP_8[[#This Row],[AP01 LE2]:[AP07 LE2]])</f>
        <v>0</v>
      </c>
      <c r="AQ475" s="80"/>
      <c r="AR475" s="79">
        <f>ERP_8[[#This Row],[2026 Working Total to Budget/LE]]-ERP_8[[#This Row],[Giveback]]</f>
        <v>0</v>
      </c>
      <c r="AS475" s="81"/>
      <c r="AT475" s="375"/>
      <c r="AU475" s="375"/>
      <c r="AV475" s="375"/>
      <c r="AW475" s="375">
        <v>0</v>
      </c>
      <c r="AX475" s="375">
        <v>0</v>
      </c>
      <c r="AY475" s="375">
        <v>0</v>
      </c>
      <c r="AZ475" s="375">
        <v>0</v>
      </c>
      <c r="BA475" s="375">
        <v>0</v>
      </c>
      <c r="BB475" s="375">
        <v>0</v>
      </c>
      <c r="BC475" s="375">
        <v>0</v>
      </c>
      <c r="BD475" s="375">
        <v>0</v>
      </c>
      <c r="BE475" s="375">
        <v>0</v>
      </c>
      <c r="BF475" s="375">
        <v>0</v>
      </c>
      <c r="BG475" s="103">
        <v>872512.08</v>
      </c>
      <c r="BH475" s="103">
        <v>0</v>
      </c>
      <c r="BI475" s="103">
        <v>0</v>
      </c>
      <c r="BJ475" s="103">
        <v>0</v>
      </c>
      <c r="BK475" s="103">
        <v>0</v>
      </c>
      <c r="BL475" s="103">
        <v>0</v>
      </c>
      <c r="BM475" s="103">
        <v>0</v>
      </c>
      <c r="BN475" s="103">
        <v>0</v>
      </c>
      <c r="BO475" s="103">
        <v>0</v>
      </c>
      <c r="BP475" s="103">
        <v>0</v>
      </c>
      <c r="BQ475" s="103">
        <v>0</v>
      </c>
      <c r="BR475" s="103">
        <v>0</v>
      </c>
      <c r="BS475" s="79">
        <f>SUM(ERP_8[[#This Row],[2026 AP01]:[2026 AP12]])</f>
        <v>872512.08</v>
      </c>
    </row>
    <row r="476" spans="1:71" ht="15" hidden="1" customHeight="1">
      <c r="A476" s="79" t="s">
        <v>2389</v>
      </c>
      <c r="B476" s="749" t="s">
        <v>752</v>
      </c>
      <c r="C476" s="348"/>
      <c r="D476" s="347" t="str">
        <f>_xlfn.TEXTJOIN("_",FALSE,E476,ERP_8[[#This Row],[Expense Category]],ERP_8[[#This Row],[Project Code*]])</f>
        <v>Dougherty, Chris_SOFTWARE_IT-SFT1009-86-OG-US/30/PF</v>
      </c>
      <c r="E476" s="347" t="s">
        <v>1135</v>
      </c>
      <c r="F476" s="348"/>
      <c r="G476" s="150" t="s">
        <v>1136</v>
      </c>
      <c r="H476" s="332" t="s">
        <v>1135</v>
      </c>
      <c r="I476" s="383" t="s">
        <v>1135</v>
      </c>
      <c r="J476" s="331" t="s">
        <v>1137</v>
      </c>
      <c r="K476" s="512" t="s">
        <v>639</v>
      </c>
      <c r="L476" s="393" t="s">
        <v>2390</v>
      </c>
      <c r="M476" s="343" t="s">
        <v>2343</v>
      </c>
      <c r="N476" s="385" t="s">
        <v>1171</v>
      </c>
      <c r="O476" s="91" t="s">
        <v>753</v>
      </c>
      <c r="P476" s="343"/>
      <c r="Q476" s="346" t="s">
        <v>2339</v>
      </c>
      <c r="R476" s="346" t="s">
        <v>1710</v>
      </c>
      <c r="S476" s="386" t="s">
        <v>707</v>
      </c>
      <c r="T476" s="346" t="s">
        <v>1348</v>
      </c>
      <c r="U476" s="437"/>
      <c r="V476" s="358">
        <v>-872512.08</v>
      </c>
      <c r="W476" s="378">
        <v>0</v>
      </c>
      <c r="X476" s="430"/>
      <c r="Y476" s="137"/>
      <c r="Z476" s="783"/>
      <c r="AA476" s="781"/>
      <c r="AB476" s="781"/>
      <c r="AC476" s="428" t="s">
        <v>1142</v>
      </c>
      <c r="AD476" s="429">
        <v>0</v>
      </c>
      <c r="AE476" s="429">
        <v>0</v>
      </c>
      <c r="AF476" s="429" t="s">
        <v>1142</v>
      </c>
      <c r="AG476" s="388">
        <v>0</v>
      </c>
      <c r="AH476" s="388">
        <v>0</v>
      </c>
      <c r="AI476" s="388">
        <v>0</v>
      </c>
      <c r="AJ476" s="388">
        <v>0</v>
      </c>
      <c r="AK476" s="388">
        <v>0</v>
      </c>
      <c r="AL476" s="360">
        <f t="shared" si="30"/>
        <v>0</v>
      </c>
      <c r="AM476" s="362">
        <f>ERP_8[[#This Row],[2026 Working Total]]-ERP_8[[#This Row],[LE2 Final Submission]]</f>
        <v>0</v>
      </c>
      <c r="AN476" s="79">
        <v>0</v>
      </c>
      <c r="AO476" s="79">
        <f t="shared" si="31"/>
        <v>0</v>
      </c>
      <c r="AP476" s="374">
        <f>SUM(ERP_8[[#This Row],[AP01]:[AP07]])-SUM(ERP_8[[#This Row],[AP01 LE2]:[AP07 LE2]])</f>
        <v>0</v>
      </c>
      <c r="AQ476" s="80"/>
      <c r="AR476" s="79">
        <f>ERP_8[[#This Row],[2026 Working Total to Budget/LE]]-ERP_8[[#This Row],[Giveback]]</f>
        <v>0</v>
      </c>
      <c r="AS476" s="81"/>
      <c r="AT476" s="375"/>
      <c r="AU476" s="375"/>
      <c r="AV476" s="375"/>
      <c r="AW476" s="375">
        <v>0</v>
      </c>
      <c r="AX476" s="375">
        <v>0</v>
      </c>
      <c r="AY476" s="375">
        <v>0</v>
      </c>
      <c r="AZ476" s="375">
        <v>0</v>
      </c>
      <c r="BA476" s="375">
        <v>0</v>
      </c>
      <c r="BB476" s="375">
        <v>0</v>
      </c>
      <c r="BC476" s="375">
        <v>0</v>
      </c>
      <c r="BD476" s="375">
        <v>0</v>
      </c>
      <c r="BE476" s="375">
        <v>0</v>
      </c>
      <c r="BF476" s="375">
        <v>0</v>
      </c>
      <c r="BG476" s="103">
        <v>-872512.08</v>
      </c>
      <c r="BH476" s="103">
        <v>0</v>
      </c>
      <c r="BI476" s="103">
        <v>0</v>
      </c>
      <c r="BJ476" s="103">
        <v>0</v>
      </c>
      <c r="BK476" s="103">
        <v>0</v>
      </c>
      <c r="BL476" s="103">
        <v>0</v>
      </c>
      <c r="BM476" s="103">
        <v>0</v>
      </c>
      <c r="BN476" s="103">
        <v>0</v>
      </c>
      <c r="BO476" s="103">
        <v>0</v>
      </c>
      <c r="BP476" s="103">
        <v>0</v>
      </c>
      <c r="BQ476" s="103">
        <v>0</v>
      </c>
      <c r="BR476" s="103">
        <v>0</v>
      </c>
      <c r="BS476" s="79">
        <f>SUM(ERP_8[[#This Row],[2026 AP01]:[2026 AP12]])</f>
        <v>-872512.08</v>
      </c>
    </row>
    <row r="477" spans="1:71" ht="15" hidden="1" customHeight="1">
      <c r="A477" s="79" t="s">
        <v>2391</v>
      </c>
      <c r="B477" s="749" t="s">
        <v>754</v>
      </c>
      <c r="C477" s="348"/>
      <c r="D477" s="347" t="str">
        <f>_xlfn.TEXTJOIN("_",FALSE,E477,ERP_8[[#This Row],[Expense Category]],ERP_8[[#This Row],[Project Code*]])</f>
        <v>Dougherty, Chris_SOFTWARE_IT-SFT1009-86-OG-US/32</v>
      </c>
      <c r="E477" s="347" t="s">
        <v>1135</v>
      </c>
      <c r="F477" s="348"/>
      <c r="G477" s="150" t="s">
        <v>1136</v>
      </c>
      <c r="H477" s="332" t="s">
        <v>1135</v>
      </c>
      <c r="I477" s="383" t="s">
        <v>1135</v>
      </c>
      <c r="J477" s="331" t="s">
        <v>1137</v>
      </c>
      <c r="K477" s="512" t="s">
        <v>639</v>
      </c>
      <c r="L477" s="393" t="s">
        <v>2392</v>
      </c>
      <c r="M477" s="343" t="s">
        <v>2343</v>
      </c>
      <c r="N477" s="385" t="s">
        <v>1171</v>
      </c>
      <c r="O477" s="91" t="s">
        <v>755</v>
      </c>
      <c r="P477" s="343"/>
      <c r="Q477" s="346" t="s">
        <v>2339</v>
      </c>
      <c r="R477" s="346" t="s">
        <v>1710</v>
      </c>
      <c r="S477" s="386" t="s">
        <v>707</v>
      </c>
      <c r="T477" s="346" t="s">
        <v>1348</v>
      </c>
      <c r="U477" s="437"/>
      <c r="V477" s="358">
        <v>267876.47999999998</v>
      </c>
      <c r="W477" s="378">
        <v>0</v>
      </c>
      <c r="X477" s="425"/>
      <c r="Y477" s="71"/>
      <c r="Z477" s="783"/>
      <c r="AA477" s="781"/>
      <c r="AB477" s="781"/>
      <c r="AC477" s="428" t="s">
        <v>1142</v>
      </c>
      <c r="AD477" s="429">
        <v>0</v>
      </c>
      <c r="AE477" s="429">
        <v>0</v>
      </c>
      <c r="AF477" s="429" t="s">
        <v>1142</v>
      </c>
      <c r="AG477" s="388">
        <v>0</v>
      </c>
      <c r="AH477" s="388">
        <v>0</v>
      </c>
      <c r="AI477" s="388">
        <v>0</v>
      </c>
      <c r="AJ477" s="388">
        <v>0</v>
      </c>
      <c r="AK477" s="388">
        <v>0</v>
      </c>
      <c r="AL477" s="360">
        <f t="shared" si="30"/>
        <v>0</v>
      </c>
      <c r="AM477" s="362">
        <f>ERP_8[[#This Row],[2026 Working Total]]-ERP_8[[#This Row],[LE2 Final Submission]]</f>
        <v>0</v>
      </c>
      <c r="AN477" s="79">
        <v>0</v>
      </c>
      <c r="AO477" s="79">
        <f t="shared" si="31"/>
        <v>0</v>
      </c>
      <c r="AP477" s="374">
        <f>SUM(ERP_8[[#This Row],[AP01]:[AP07]])-SUM(ERP_8[[#This Row],[AP01 LE2]:[AP07 LE2]])</f>
        <v>0</v>
      </c>
      <c r="AQ477" s="80"/>
      <c r="AR477" s="79">
        <f>ERP_8[[#This Row],[2026 Working Total to Budget/LE]]-ERP_8[[#This Row],[Giveback]]</f>
        <v>0</v>
      </c>
      <c r="AS477" s="81"/>
      <c r="AT477" s="375"/>
      <c r="AU477" s="375"/>
      <c r="AV477" s="375"/>
      <c r="AW477" s="375">
        <v>0</v>
      </c>
      <c r="AX477" s="375">
        <v>0</v>
      </c>
      <c r="AY477" s="375">
        <v>0</v>
      </c>
      <c r="AZ477" s="375">
        <v>0</v>
      </c>
      <c r="BA477" s="375">
        <v>0</v>
      </c>
      <c r="BB477" s="375">
        <v>0</v>
      </c>
      <c r="BC477" s="375">
        <v>0</v>
      </c>
      <c r="BD477" s="375">
        <v>0</v>
      </c>
      <c r="BE477" s="375">
        <v>0</v>
      </c>
      <c r="BF477" s="375">
        <v>0</v>
      </c>
      <c r="BG477" s="103">
        <v>267876.47999999998</v>
      </c>
      <c r="BH477" s="103">
        <v>0</v>
      </c>
      <c r="BI477" s="103">
        <v>0</v>
      </c>
      <c r="BJ477" s="103">
        <v>0</v>
      </c>
      <c r="BK477" s="103">
        <v>0</v>
      </c>
      <c r="BL477" s="103">
        <v>0</v>
      </c>
      <c r="BM477" s="103">
        <v>0</v>
      </c>
      <c r="BN477" s="103">
        <v>0</v>
      </c>
      <c r="BO477" s="103">
        <v>0</v>
      </c>
      <c r="BP477" s="103">
        <v>0</v>
      </c>
      <c r="BQ477" s="103">
        <v>0</v>
      </c>
      <c r="BR477" s="103">
        <v>0</v>
      </c>
      <c r="BS477" s="79">
        <f>SUM(ERP_8[[#This Row],[2026 AP01]:[2026 AP12]])</f>
        <v>267876.47999999998</v>
      </c>
    </row>
    <row r="478" spans="1:71" ht="15" hidden="1" customHeight="1">
      <c r="A478" s="79" t="s">
        <v>2393</v>
      </c>
      <c r="B478" s="749" t="s">
        <v>756</v>
      </c>
      <c r="C478" s="348"/>
      <c r="D478" s="347" t="str">
        <f>_xlfn.TEXTJOIN("_",FALSE,E478,ERP_8[[#This Row],[Expense Category]],ERP_8[[#This Row],[Project Code*]])</f>
        <v>Dougherty, Chris_SOFTWARE_IT-SFT1009-86-OG-US/32/PF</v>
      </c>
      <c r="E478" s="347" t="s">
        <v>1135</v>
      </c>
      <c r="F478" s="348"/>
      <c r="G478" s="150" t="s">
        <v>1136</v>
      </c>
      <c r="H478" s="332" t="s">
        <v>1135</v>
      </c>
      <c r="I478" s="383" t="s">
        <v>1135</v>
      </c>
      <c r="J478" s="331" t="s">
        <v>1137</v>
      </c>
      <c r="K478" s="512" t="s">
        <v>639</v>
      </c>
      <c r="L478" s="393" t="s">
        <v>2394</v>
      </c>
      <c r="M478" s="343" t="s">
        <v>2343</v>
      </c>
      <c r="N478" s="385" t="s">
        <v>1171</v>
      </c>
      <c r="O478" s="91" t="s">
        <v>757</v>
      </c>
      <c r="P478" s="343"/>
      <c r="Q478" s="346" t="s">
        <v>2339</v>
      </c>
      <c r="R478" s="346" t="s">
        <v>1710</v>
      </c>
      <c r="S478" s="386" t="s">
        <v>707</v>
      </c>
      <c r="T478" s="346" t="s">
        <v>1348</v>
      </c>
      <c r="U478" s="437"/>
      <c r="V478" s="358">
        <v>-267876.47999999998</v>
      </c>
      <c r="W478" s="378">
        <v>0</v>
      </c>
      <c r="X478" s="425"/>
      <c r="Y478" s="71"/>
      <c r="Z478" s="783"/>
      <c r="AA478" s="781"/>
      <c r="AB478" s="781"/>
      <c r="AC478" s="428" t="s">
        <v>1142</v>
      </c>
      <c r="AD478" s="429">
        <v>0</v>
      </c>
      <c r="AE478" s="429">
        <v>0</v>
      </c>
      <c r="AF478" s="429" t="s">
        <v>1142</v>
      </c>
      <c r="AG478" s="388">
        <v>0</v>
      </c>
      <c r="AH478" s="388">
        <v>0</v>
      </c>
      <c r="AI478" s="388">
        <v>0</v>
      </c>
      <c r="AJ478" s="388">
        <v>0</v>
      </c>
      <c r="AK478" s="388">
        <v>0</v>
      </c>
      <c r="AL478" s="360">
        <f t="shared" si="30"/>
        <v>0</v>
      </c>
      <c r="AM478" s="362">
        <f>ERP_8[[#This Row],[2026 Working Total]]-ERP_8[[#This Row],[LE2 Final Submission]]</f>
        <v>0</v>
      </c>
      <c r="AN478" s="79">
        <v>0</v>
      </c>
      <c r="AO478" s="79">
        <f t="shared" si="31"/>
        <v>0</v>
      </c>
      <c r="AP478" s="374">
        <f>SUM(ERP_8[[#This Row],[AP01]:[AP07]])-SUM(ERP_8[[#This Row],[AP01 LE2]:[AP07 LE2]])</f>
        <v>0</v>
      </c>
      <c r="AQ478" s="80"/>
      <c r="AR478" s="79">
        <f>ERP_8[[#This Row],[2026 Working Total to Budget/LE]]-ERP_8[[#This Row],[Giveback]]</f>
        <v>0</v>
      </c>
      <c r="AS478" s="81"/>
      <c r="AT478" s="375"/>
      <c r="AU478" s="375"/>
      <c r="AV478" s="375"/>
      <c r="AW478" s="375">
        <v>0</v>
      </c>
      <c r="AX478" s="375">
        <v>0</v>
      </c>
      <c r="AY478" s="375">
        <v>0</v>
      </c>
      <c r="AZ478" s="375">
        <v>0</v>
      </c>
      <c r="BA478" s="375">
        <v>0</v>
      </c>
      <c r="BB478" s="375">
        <v>0</v>
      </c>
      <c r="BC478" s="375">
        <v>0</v>
      </c>
      <c r="BD478" s="375">
        <v>0</v>
      </c>
      <c r="BE478" s="375">
        <v>0</v>
      </c>
      <c r="BF478" s="375">
        <v>0</v>
      </c>
      <c r="BG478" s="103">
        <v>-267876.47999999998</v>
      </c>
      <c r="BH478" s="103">
        <v>0</v>
      </c>
      <c r="BI478" s="103">
        <v>0</v>
      </c>
      <c r="BJ478" s="103">
        <v>0</v>
      </c>
      <c r="BK478" s="103">
        <v>0</v>
      </c>
      <c r="BL478" s="103">
        <v>0</v>
      </c>
      <c r="BM478" s="103">
        <v>0</v>
      </c>
      <c r="BN478" s="103">
        <v>0</v>
      </c>
      <c r="BO478" s="103">
        <v>0</v>
      </c>
      <c r="BP478" s="103">
        <v>0</v>
      </c>
      <c r="BQ478" s="103">
        <v>0</v>
      </c>
      <c r="BR478" s="103">
        <v>0</v>
      </c>
      <c r="BS478" s="79">
        <f>SUM(ERP_8[[#This Row],[2026 AP01]:[2026 AP12]])</f>
        <v>-267876.47999999998</v>
      </c>
    </row>
    <row r="479" spans="1:71" ht="15" hidden="1" customHeight="1">
      <c r="A479" s="66" t="s">
        <v>2395</v>
      </c>
      <c r="B479" s="737" t="s">
        <v>758</v>
      </c>
      <c r="C479" s="346"/>
      <c r="D479" s="343" t="str">
        <f>_xlfn.TEXTJOIN("_",FALSE,E479,ERP_8[[#This Row],[Expense Category]],ERP_8[[#This Row],[Project Code*]])</f>
        <v>Dougherty, Chris_SOFTWARE_IT-SFT1009-86-OG-US/35</v>
      </c>
      <c r="E479" s="343" t="s">
        <v>1135</v>
      </c>
      <c r="F479" s="346"/>
      <c r="G479" s="150" t="s">
        <v>1136</v>
      </c>
      <c r="H479" s="150" t="s">
        <v>1135</v>
      </c>
      <c r="I479" s="150" t="s">
        <v>1135</v>
      </c>
      <c r="J479" s="150" t="s">
        <v>1137</v>
      </c>
      <c r="K479" s="511" t="s">
        <v>639</v>
      </c>
      <c r="L479" s="392" t="s">
        <v>2396</v>
      </c>
      <c r="M479" s="343" t="s">
        <v>1231</v>
      </c>
      <c r="N479" s="802" t="s">
        <v>1171</v>
      </c>
      <c r="O479" s="70" t="s">
        <v>759</v>
      </c>
      <c r="P479" s="346"/>
      <c r="Q479" s="346" t="s">
        <v>2339</v>
      </c>
      <c r="R479" s="346"/>
      <c r="S479" s="150" t="s">
        <v>704</v>
      </c>
      <c r="T479" s="150" t="s">
        <v>2340</v>
      </c>
      <c r="U479" s="403"/>
      <c r="V479" s="406">
        <v>2542329.3599999994</v>
      </c>
      <c r="W479" s="406">
        <v>2542329.36</v>
      </c>
      <c r="X479" s="430"/>
      <c r="Y479" s="137"/>
      <c r="Z479" s="784">
        <v>2542329.37</v>
      </c>
      <c r="AA479" s="780">
        <v>-2118607.81</v>
      </c>
      <c r="AB479" s="780">
        <v>211860.78</v>
      </c>
      <c r="AC479" s="428" t="s">
        <v>1142</v>
      </c>
      <c r="AD479" s="429">
        <v>0</v>
      </c>
      <c r="AE479" s="429">
        <v>0</v>
      </c>
      <c r="AF479" s="429" t="s">
        <v>1142</v>
      </c>
      <c r="AG479" s="363">
        <f>211860.78+211860.78</f>
        <v>423721.56</v>
      </c>
      <c r="AH479" s="363">
        <v>211860.78</v>
      </c>
      <c r="AI479" s="363">
        <f>211860.78-211860.78</f>
        <v>0</v>
      </c>
      <c r="AJ479" s="363">
        <f>211860.78+211860.78</f>
        <v>423721.56</v>
      </c>
      <c r="AK479" s="363">
        <v>211860.78</v>
      </c>
      <c r="AL479" s="360">
        <f t="shared" si="30"/>
        <v>1906747.0200000003</v>
      </c>
      <c r="AM479" s="362">
        <f>ERP_8[[#This Row],[2026 Working Total]]-ERP_8[[#This Row],[LE2 Final Submission]]</f>
        <v>-635582.33999999962</v>
      </c>
      <c r="AN479" s="79">
        <v>0</v>
      </c>
      <c r="AO479" s="79">
        <f t="shared" si="31"/>
        <v>0</v>
      </c>
      <c r="AP479" s="374">
        <f>SUM(ERP_8[[#This Row],[AP01]:[AP07]])-SUM(ERP_8[[#This Row],[AP01 LE2]:[AP07 LE2]])</f>
        <v>-635582.34000000008</v>
      </c>
      <c r="AQ479" s="80"/>
      <c r="AR479" s="79">
        <f>ERP_8[[#This Row],[2026 Working Total to Budget/LE]]-ERP_8[[#This Row],[Giveback]]</f>
        <v>-635582.33999999962</v>
      </c>
      <c r="AS479" s="81"/>
      <c r="AT479" s="375">
        <v>2542329.37</v>
      </c>
      <c r="AU479" s="375">
        <v>-2118607.81</v>
      </c>
      <c r="AV479" s="375">
        <v>211860.78</v>
      </c>
      <c r="AW479" s="375">
        <v>0</v>
      </c>
      <c r="AX479" s="375">
        <v>423721.56</v>
      </c>
      <c r="AY479" s="375">
        <v>211860.78</v>
      </c>
      <c r="AZ479" s="375">
        <v>0</v>
      </c>
      <c r="BA479" s="375">
        <v>423721.56</v>
      </c>
      <c r="BB479" s="375">
        <v>211860.78</v>
      </c>
      <c r="BC479" s="375">
        <v>0</v>
      </c>
      <c r="BD479" s="375">
        <v>423721.56</v>
      </c>
      <c r="BE479" s="375">
        <v>211860.78</v>
      </c>
      <c r="BF479" s="375">
        <v>2542329.36</v>
      </c>
      <c r="BG479" s="79">
        <v>2542329.37</v>
      </c>
      <c r="BH479" s="79">
        <v>-2118607.81</v>
      </c>
      <c r="BI479" s="79">
        <v>211860.78</v>
      </c>
      <c r="BJ479" s="79">
        <v>211860.78</v>
      </c>
      <c r="BK479" s="79">
        <v>211860.78</v>
      </c>
      <c r="BL479" s="79">
        <v>211860.78</v>
      </c>
      <c r="BM479" s="79">
        <v>211860.78</v>
      </c>
      <c r="BN479" s="79">
        <v>211860.78</v>
      </c>
      <c r="BO479" s="79">
        <v>211860.78</v>
      </c>
      <c r="BP479" s="79">
        <v>211860.78</v>
      </c>
      <c r="BQ479" s="79">
        <v>211860.78</v>
      </c>
      <c r="BR479" s="79">
        <v>211860.78</v>
      </c>
      <c r="BS479" s="79">
        <v>2542329.36</v>
      </c>
    </row>
    <row r="480" spans="1:71" ht="15" hidden="1" customHeight="1">
      <c r="A480" s="79" t="s">
        <v>2397</v>
      </c>
      <c r="B480" s="749" t="s">
        <v>760</v>
      </c>
      <c r="C480" s="348"/>
      <c r="D480" s="347" t="str">
        <f>_xlfn.TEXTJOIN("_",FALSE,E480,ERP_8[[#This Row],[Expense Category]],ERP_8[[#This Row],[Project Code*]])</f>
        <v>Dougherty, Chris_SOFTWARE_IT-SFT1009-86-OG-US/37</v>
      </c>
      <c r="E480" s="347" t="s">
        <v>1135</v>
      </c>
      <c r="F480" s="348"/>
      <c r="G480" s="150" t="s">
        <v>1136</v>
      </c>
      <c r="H480" s="332" t="s">
        <v>1135</v>
      </c>
      <c r="I480" s="383" t="s">
        <v>1135</v>
      </c>
      <c r="J480" s="331" t="s">
        <v>1137</v>
      </c>
      <c r="K480" s="512" t="s">
        <v>639</v>
      </c>
      <c r="L480" s="393" t="s">
        <v>2398</v>
      </c>
      <c r="M480" s="343" t="s">
        <v>2343</v>
      </c>
      <c r="N480" s="385" t="s">
        <v>1171</v>
      </c>
      <c r="O480" s="91" t="s">
        <v>761</v>
      </c>
      <c r="P480" s="343"/>
      <c r="Q480" s="346" t="s">
        <v>2339</v>
      </c>
      <c r="R480" s="346" t="s">
        <v>1710</v>
      </c>
      <c r="S480" s="386" t="s">
        <v>707</v>
      </c>
      <c r="T480" s="346" t="s">
        <v>1348</v>
      </c>
      <c r="U480" s="437"/>
      <c r="V480" s="358">
        <v>539731.92000000004</v>
      </c>
      <c r="W480" s="378">
        <v>0</v>
      </c>
      <c r="X480" s="425"/>
      <c r="Y480" s="71"/>
      <c r="Z480" s="783"/>
      <c r="AA480" s="781"/>
      <c r="AB480" s="781"/>
      <c r="AC480" s="428" t="s">
        <v>1142</v>
      </c>
      <c r="AD480" s="429">
        <v>0</v>
      </c>
      <c r="AE480" s="429">
        <v>0</v>
      </c>
      <c r="AF480" s="429" t="s">
        <v>1142</v>
      </c>
      <c r="AG480" s="388">
        <v>0</v>
      </c>
      <c r="AH480" s="388">
        <v>0</v>
      </c>
      <c r="AI480" s="388">
        <v>0</v>
      </c>
      <c r="AJ480" s="388">
        <v>0</v>
      </c>
      <c r="AK480" s="388">
        <v>0</v>
      </c>
      <c r="AL480" s="360">
        <f t="shared" si="30"/>
        <v>0</v>
      </c>
      <c r="AM480" s="362">
        <f>ERP_8[[#This Row],[2026 Working Total]]-ERP_8[[#This Row],[LE2 Final Submission]]</f>
        <v>0</v>
      </c>
      <c r="AN480" s="79">
        <v>0</v>
      </c>
      <c r="AO480" s="79">
        <f t="shared" si="31"/>
        <v>0</v>
      </c>
      <c r="AP480" s="374">
        <f>SUM(ERP_8[[#This Row],[AP01]:[AP07]])-SUM(ERP_8[[#This Row],[AP01 LE2]:[AP07 LE2]])</f>
        <v>0</v>
      </c>
      <c r="AQ480" s="80"/>
      <c r="AR480" s="79">
        <f>ERP_8[[#This Row],[2026 Working Total to Budget/LE]]-ERP_8[[#This Row],[Giveback]]</f>
        <v>0</v>
      </c>
      <c r="AS480" s="81"/>
      <c r="AT480" s="375"/>
      <c r="AU480" s="375"/>
      <c r="AV480" s="375"/>
      <c r="AW480" s="375">
        <v>0</v>
      </c>
      <c r="AX480" s="375">
        <v>0</v>
      </c>
      <c r="AY480" s="375">
        <v>0</v>
      </c>
      <c r="AZ480" s="375">
        <v>0</v>
      </c>
      <c r="BA480" s="375">
        <v>0</v>
      </c>
      <c r="BB480" s="375">
        <v>0</v>
      </c>
      <c r="BC480" s="375">
        <v>0</v>
      </c>
      <c r="BD480" s="375">
        <v>0</v>
      </c>
      <c r="BE480" s="375">
        <v>0</v>
      </c>
      <c r="BF480" s="375">
        <v>0</v>
      </c>
      <c r="BG480" s="103">
        <v>539731.92000000004</v>
      </c>
      <c r="BH480" s="103">
        <v>0</v>
      </c>
      <c r="BI480" s="103">
        <v>0</v>
      </c>
      <c r="BJ480" s="103">
        <v>0</v>
      </c>
      <c r="BK480" s="103">
        <v>0</v>
      </c>
      <c r="BL480" s="103">
        <v>0</v>
      </c>
      <c r="BM480" s="103">
        <v>0</v>
      </c>
      <c r="BN480" s="103">
        <v>0</v>
      </c>
      <c r="BO480" s="103">
        <v>0</v>
      </c>
      <c r="BP480" s="103">
        <v>0</v>
      </c>
      <c r="BQ480" s="103">
        <v>0</v>
      </c>
      <c r="BR480" s="103">
        <v>0</v>
      </c>
      <c r="BS480" s="79">
        <f>SUM(ERP_8[[#This Row],[2026 AP01]:[2026 AP12]])</f>
        <v>539731.92000000004</v>
      </c>
    </row>
    <row r="481" spans="1:71" ht="15" hidden="1" customHeight="1">
      <c r="A481" s="79" t="s">
        <v>2399</v>
      </c>
      <c r="B481" s="749" t="s">
        <v>762</v>
      </c>
      <c r="C481" s="348"/>
      <c r="D481" s="347" t="str">
        <f>_xlfn.TEXTJOIN("_",FALSE,E481,ERP_8[[#This Row],[Expense Category]],ERP_8[[#This Row],[Project Code*]])</f>
        <v>Dougherty, Chris_SOFTWARE_IT-SFT1009-86-OG-US/37/PF</v>
      </c>
      <c r="E481" s="347" t="s">
        <v>1135</v>
      </c>
      <c r="F481" s="348"/>
      <c r="G481" s="150" t="s">
        <v>1136</v>
      </c>
      <c r="H481" s="332" t="s">
        <v>1135</v>
      </c>
      <c r="I481" s="383" t="s">
        <v>1135</v>
      </c>
      <c r="J481" s="331" t="s">
        <v>1137</v>
      </c>
      <c r="K481" s="512" t="s">
        <v>639</v>
      </c>
      <c r="L481" s="393" t="s">
        <v>2400</v>
      </c>
      <c r="M481" s="343" t="s">
        <v>2343</v>
      </c>
      <c r="N481" s="385" t="s">
        <v>1171</v>
      </c>
      <c r="O481" s="91" t="s">
        <v>763</v>
      </c>
      <c r="P481" s="343"/>
      <c r="Q481" s="346" t="s">
        <v>2339</v>
      </c>
      <c r="R481" s="346" t="s">
        <v>1710</v>
      </c>
      <c r="S481" s="386" t="s">
        <v>707</v>
      </c>
      <c r="T481" s="346" t="s">
        <v>1348</v>
      </c>
      <c r="U481" s="437"/>
      <c r="V481" s="358">
        <v>-539731.92000000004</v>
      </c>
      <c r="W481" s="378">
        <v>0</v>
      </c>
      <c r="X481" s="425"/>
      <c r="Y481" s="71"/>
      <c r="Z481" s="783"/>
      <c r="AA481" s="781"/>
      <c r="AB481" s="781"/>
      <c r="AC481" s="428" t="s">
        <v>1142</v>
      </c>
      <c r="AD481" s="429">
        <v>0</v>
      </c>
      <c r="AE481" s="429">
        <v>0</v>
      </c>
      <c r="AF481" s="429" t="s">
        <v>1142</v>
      </c>
      <c r="AG481" s="388">
        <v>0</v>
      </c>
      <c r="AH481" s="388">
        <v>0</v>
      </c>
      <c r="AI481" s="388">
        <v>0</v>
      </c>
      <c r="AJ481" s="388">
        <v>0</v>
      </c>
      <c r="AK481" s="388">
        <v>0</v>
      </c>
      <c r="AL481" s="360">
        <f t="shared" si="30"/>
        <v>0</v>
      </c>
      <c r="AM481" s="362">
        <f>ERP_8[[#This Row],[2026 Working Total]]-ERP_8[[#This Row],[LE2 Final Submission]]</f>
        <v>0</v>
      </c>
      <c r="AN481" s="79">
        <v>0</v>
      </c>
      <c r="AO481" s="79">
        <f t="shared" si="31"/>
        <v>0</v>
      </c>
      <c r="AP481" s="374">
        <f>SUM(ERP_8[[#This Row],[AP01]:[AP07]])-SUM(ERP_8[[#This Row],[AP01 LE2]:[AP07 LE2]])</f>
        <v>0</v>
      </c>
      <c r="AQ481" s="80"/>
      <c r="AR481" s="79">
        <f>ERP_8[[#This Row],[2026 Working Total to Budget/LE]]-ERP_8[[#This Row],[Giveback]]</f>
        <v>0</v>
      </c>
      <c r="AS481" s="81"/>
      <c r="AT481" s="375"/>
      <c r="AU481" s="375"/>
      <c r="AV481" s="375"/>
      <c r="AW481" s="375">
        <v>0</v>
      </c>
      <c r="AX481" s="375">
        <v>0</v>
      </c>
      <c r="AY481" s="375">
        <v>0</v>
      </c>
      <c r="AZ481" s="375">
        <v>0</v>
      </c>
      <c r="BA481" s="375">
        <v>0</v>
      </c>
      <c r="BB481" s="375">
        <v>0</v>
      </c>
      <c r="BC481" s="375">
        <v>0</v>
      </c>
      <c r="BD481" s="375">
        <v>0</v>
      </c>
      <c r="BE481" s="375">
        <v>0</v>
      </c>
      <c r="BF481" s="375">
        <v>0</v>
      </c>
      <c r="BG481" s="103">
        <v>-539731.92000000004</v>
      </c>
      <c r="BH481" s="103">
        <v>0</v>
      </c>
      <c r="BI481" s="103">
        <v>0</v>
      </c>
      <c r="BJ481" s="103">
        <v>0</v>
      </c>
      <c r="BK481" s="103">
        <v>0</v>
      </c>
      <c r="BL481" s="103">
        <v>0</v>
      </c>
      <c r="BM481" s="103">
        <v>0</v>
      </c>
      <c r="BN481" s="103">
        <v>0</v>
      </c>
      <c r="BO481" s="103">
        <v>0</v>
      </c>
      <c r="BP481" s="103">
        <v>0</v>
      </c>
      <c r="BQ481" s="103">
        <v>0</v>
      </c>
      <c r="BR481" s="103">
        <v>0</v>
      </c>
      <c r="BS481" s="79">
        <f>SUM(ERP_8[[#This Row],[2026 AP01]:[2026 AP12]])</f>
        <v>-539731.92000000004</v>
      </c>
    </row>
    <row r="482" spans="1:71" ht="15" hidden="1" customHeight="1">
      <c r="A482" s="79" t="s">
        <v>2401</v>
      </c>
      <c r="B482" s="749" t="s">
        <v>764</v>
      </c>
      <c r="C482" s="348"/>
      <c r="D482" s="347" t="str">
        <f>_xlfn.TEXTJOIN("_",FALSE,E482,ERP_8[[#This Row],[Expense Category]],ERP_8[[#This Row],[Project Code*]])</f>
        <v>Dougherty, Chris_SOFTWARE_IT-SFT1009-86-OG-US/38</v>
      </c>
      <c r="E482" s="347" t="s">
        <v>1135</v>
      </c>
      <c r="F482" s="348"/>
      <c r="G482" s="150" t="s">
        <v>1136</v>
      </c>
      <c r="H482" s="332" t="s">
        <v>1135</v>
      </c>
      <c r="I482" s="383" t="s">
        <v>1135</v>
      </c>
      <c r="J482" s="331" t="s">
        <v>1137</v>
      </c>
      <c r="K482" s="512" t="s">
        <v>639</v>
      </c>
      <c r="L482" s="393" t="s">
        <v>2402</v>
      </c>
      <c r="M482" s="343" t="s">
        <v>2343</v>
      </c>
      <c r="N482" s="385" t="s">
        <v>1171</v>
      </c>
      <c r="O482" s="91" t="s">
        <v>765</v>
      </c>
      <c r="P482" s="343"/>
      <c r="Q482" s="346" t="s">
        <v>2339</v>
      </c>
      <c r="R482" s="346" t="s">
        <v>1710</v>
      </c>
      <c r="S482" s="386" t="s">
        <v>707</v>
      </c>
      <c r="T482" s="346" t="s">
        <v>1348</v>
      </c>
      <c r="U482" s="437"/>
      <c r="V482" s="358">
        <v>60272.160000000003</v>
      </c>
      <c r="W482" s="378">
        <v>0</v>
      </c>
      <c r="X482" s="430"/>
      <c r="Y482" s="137"/>
      <c r="Z482" s="783"/>
      <c r="AA482" s="781"/>
      <c r="AB482" s="781"/>
      <c r="AC482" s="428" t="s">
        <v>1142</v>
      </c>
      <c r="AD482" s="429">
        <v>0</v>
      </c>
      <c r="AE482" s="429">
        <v>0</v>
      </c>
      <c r="AF482" s="429" t="s">
        <v>1142</v>
      </c>
      <c r="AG482" s="388">
        <v>0</v>
      </c>
      <c r="AH482" s="388">
        <v>0</v>
      </c>
      <c r="AI482" s="388">
        <v>0</v>
      </c>
      <c r="AJ482" s="388">
        <v>0</v>
      </c>
      <c r="AK482" s="388">
        <v>0</v>
      </c>
      <c r="AL482" s="360">
        <f t="shared" si="30"/>
        <v>0</v>
      </c>
      <c r="AM482" s="362">
        <f>ERP_8[[#This Row],[2026 Working Total]]-ERP_8[[#This Row],[LE2 Final Submission]]</f>
        <v>0</v>
      </c>
      <c r="AN482" s="79">
        <v>0</v>
      </c>
      <c r="AO482" s="79">
        <f t="shared" si="31"/>
        <v>0</v>
      </c>
      <c r="AP482" s="374">
        <f>SUM(ERP_8[[#This Row],[AP01]:[AP07]])-SUM(ERP_8[[#This Row],[AP01 LE2]:[AP07 LE2]])</f>
        <v>0</v>
      </c>
      <c r="AQ482" s="80"/>
      <c r="AR482" s="79">
        <f>ERP_8[[#This Row],[2026 Working Total to Budget/LE]]-ERP_8[[#This Row],[Giveback]]</f>
        <v>0</v>
      </c>
      <c r="AS482" s="81"/>
      <c r="AT482" s="375"/>
      <c r="AU482" s="375"/>
      <c r="AV482" s="375"/>
      <c r="AW482" s="375">
        <v>0</v>
      </c>
      <c r="AX482" s="375">
        <v>0</v>
      </c>
      <c r="AY482" s="375">
        <v>0</v>
      </c>
      <c r="AZ482" s="375">
        <v>0</v>
      </c>
      <c r="BA482" s="375">
        <v>0</v>
      </c>
      <c r="BB482" s="375">
        <v>0</v>
      </c>
      <c r="BC482" s="375">
        <v>0</v>
      </c>
      <c r="BD482" s="375">
        <v>0</v>
      </c>
      <c r="BE482" s="375">
        <v>0</v>
      </c>
      <c r="BF482" s="375">
        <v>0</v>
      </c>
      <c r="BG482" s="103">
        <v>60272.160000000003</v>
      </c>
      <c r="BH482" s="103">
        <v>0</v>
      </c>
      <c r="BI482" s="103">
        <v>0</v>
      </c>
      <c r="BJ482" s="103">
        <v>0</v>
      </c>
      <c r="BK482" s="103">
        <v>0</v>
      </c>
      <c r="BL482" s="103">
        <v>0</v>
      </c>
      <c r="BM482" s="103">
        <v>0</v>
      </c>
      <c r="BN482" s="103">
        <v>0</v>
      </c>
      <c r="BO482" s="103">
        <v>0</v>
      </c>
      <c r="BP482" s="103">
        <v>0</v>
      </c>
      <c r="BQ482" s="103">
        <v>0</v>
      </c>
      <c r="BR482" s="103">
        <v>0</v>
      </c>
      <c r="BS482" s="79">
        <f>SUM(ERP_8[[#This Row],[2026 AP01]:[2026 AP12]])</f>
        <v>60272.160000000003</v>
      </c>
    </row>
    <row r="483" spans="1:71" ht="15" hidden="1" customHeight="1">
      <c r="A483" s="79" t="s">
        <v>2403</v>
      </c>
      <c r="B483" s="749" t="s">
        <v>766</v>
      </c>
      <c r="C483" s="348"/>
      <c r="D483" s="347" t="str">
        <f>_xlfn.TEXTJOIN("_",FALSE,E483,ERP_8[[#This Row],[Expense Category]],ERP_8[[#This Row],[Project Code*]])</f>
        <v>Dougherty, Chris_SOFTWARE_IT-SFT1009-86-OG-US/38/PF</v>
      </c>
      <c r="E483" s="347" t="s">
        <v>1135</v>
      </c>
      <c r="F483" s="348"/>
      <c r="G483" s="150" t="s">
        <v>1136</v>
      </c>
      <c r="H483" s="332" t="s">
        <v>1135</v>
      </c>
      <c r="I483" s="383" t="s">
        <v>1135</v>
      </c>
      <c r="J483" s="331" t="s">
        <v>1137</v>
      </c>
      <c r="K483" s="512" t="s">
        <v>639</v>
      </c>
      <c r="L483" s="393" t="s">
        <v>2404</v>
      </c>
      <c r="M483" s="343" t="s">
        <v>2343</v>
      </c>
      <c r="N483" s="385" t="s">
        <v>1171</v>
      </c>
      <c r="O483" s="91" t="s">
        <v>767</v>
      </c>
      <c r="P483" s="343"/>
      <c r="Q483" s="346" t="s">
        <v>2339</v>
      </c>
      <c r="R483" s="346" t="s">
        <v>1710</v>
      </c>
      <c r="S483" s="386" t="s">
        <v>707</v>
      </c>
      <c r="T483" s="346" t="s">
        <v>1348</v>
      </c>
      <c r="U483" s="437"/>
      <c r="V483" s="358">
        <v>-60272.160000000003</v>
      </c>
      <c r="W483" s="378">
        <v>0</v>
      </c>
      <c r="X483" s="425"/>
      <c r="Y483" s="71"/>
      <c r="Z483" s="783"/>
      <c r="AA483" s="781"/>
      <c r="AB483" s="781"/>
      <c r="AC483" s="428" t="s">
        <v>1142</v>
      </c>
      <c r="AD483" s="429">
        <v>0</v>
      </c>
      <c r="AE483" s="429">
        <v>0</v>
      </c>
      <c r="AF483" s="429" t="s">
        <v>1142</v>
      </c>
      <c r="AG483" s="388">
        <v>0</v>
      </c>
      <c r="AH483" s="388">
        <v>0</v>
      </c>
      <c r="AI483" s="388">
        <v>0</v>
      </c>
      <c r="AJ483" s="388">
        <v>0</v>
      </c>
      <c r="AK483" s="388">
        <v>0</v>
      </c>
      <c r="AL483" s="360">
        <f t="shared" si="30"/>
        <v>0</v>
      </c>
      <c r="AM483" s="362">
        <f>ERP_8[[#This Row],[2026 Working Total]]-ERP_8[[#This Row],[LE2 Final Submission]]</f>
        <v>0</v>
      </c>
      <c r="AN483" s="79">
        <v>0</v>
      </c>
      <c r="AO483" s="79">
        <f t="shared" si="31"/>
        <v>0</v>
      </c>
      <c r="AP483" s="374">
        <f>SUM(ERP_8[[#This Row],[AP01]:[AP07]])-SUM(ERP_8[[#This Row],[AP01 LE2]:[AP07 LE2]])</f>
        <v>0</v>
      </c>
      <c r="AQ483" s="80"/>
      <c r="AR483" s="79">
        <f>ERP_8[[#This Row],[2026 Working Total to Budget/LE]]-ERP_8[[#This Row],[Giveback]]</f>
        <v>0</v>
      </c>
      <c r="AS483" s="81"/>
      <c r="AT483" s="375"/>
      <c r="AU483" s="375"/>
      <c r="AV483" s="375"/>
      <c r="AW483" s="375">
        <v>0</v>
      </c>
      <c r="AX483" s="375">
        <v>0</v>
      </c>
      <c r="AY483" s="375">
        <v>0</v>
      </c>
      <c r="AZ483" s="375">
        <v>0</v>
      </c>
      <c r="BA483" s="375">
        <v>0</v>
      </c>
      <c r="BB483" s="375">
        <v>0</v>
      </c>
      <c r="BC483" s="375">
        <v>0</v>
      </c>
      <c r="BD483" s="375">
        <v>0</v>
      </c>
      <c r="BE483" s="375">
        <v>0</v>
      </c>
      <c r="BF483" s="375">
        <v>0</v>
      </c>
      <c r="BG483" s="103">
        <v>-60272.160000000003</v>
      </c>
      <c r="BH483" s="103">
        <v>0</v>
      </c>
      <c r="BI483" s="103">
        <v>0</v>
      </c>
      <c r="BJ483" s="103">
        <v>0</v>
      </c>
      <c r="BK483" s="103">
        <v>0</v>
      </c>
      <c r="BL483" s="103">
        <v>0</v>
      </c>
      <c r="BM483" s="103">
        <v>0</v>
      </c>
      <c r="BN483" s="103">
        <v>0</v>
      </c>
      <c r="BO483" s="103">
        <v>0</v>
      </c>
      <c r="BP483" s="103">
        <v>0</v>
      </c>
      <c r="BQ483" s="103">
        <v>0</v>
      </c>
      <c r="BR483" s="103">
        <v>0</v>
      </c>
      <c r="BS483" s="79">
        <f>SUM(ERP_8[[#This Row],[2026 AP01]:[2026 AP12]])</f>
        <v>-60272.160000000003</v>
      </c>
    </row>
    <row r="484" spans="1:71" ht="15" hidden="1" customHeight="1">
      <c r="A484" s="79" t="s">
        <v>2405</v>
      </c>
      <c r="B484" s="749" t="s">
        <v>768</v>
      </c>
      <c r="C484" s="348"/>
      <c r="D484" s="347" t="str">
        <f>_xlfn.TEXTJOIN("_",FALSE,E484,ERP_8[[#This Row],[Expense Category]],ERP_8[[#This Row],[Project Code*]])</f>
        <v>Dougherty, Chris_SOFTWARE_IT-SFT1009-86-OG-US/41</v>
      </c>
      <c r="E484" s="347" t="s">
        <v>1135</v>
      </c>
      <c r="F484" s="348"/>
      <c r="G484" s="150" t="s">
        <v>1136</v>
      </c>
      <c r="H484" s="332" t="s">
        <v>1135</v>
      </c>
      <c r="I484" s="383" t="s">
        <v>1135</v>
      </c>
      <c r="J484" s="331" t="s">
        <v>1137</v>
      </c>
      <c r="K484" s="512" t="s">
        <v>639</v>
      </c>
      <c r="L484" s="393" t="s">
        <v>2406</v>
      </c>
      <c r="M484" s="343" t="s">
        <v>2343</v>
      </c>
      <c r="N484" s="385" t="s">
        <v>1171</v>
      </c>
      <c r="O484" s="91" t="s">
        <v>769</v>
      </c>
      <c r="P484" s="343"/>
      <c r="Q484" s="346" t="s">
        <v>2339</v>
      </c>
      <c r="R484" s="346" t="s">
        <v>1710</v>
      </c>
      <c r="S484" s="386" t="s">
        <v>707</v>
      </c>
      <c r="T484" s="346" t="s">
        <v>1348</v>
      </c>
      <c r="U484" s="437"/>
      <c r="V484" s="358">
        <v>626867.82999999996</v>
      </c>
      <c r="W484" s="378">
        <v>0</v>
      </c>
      <c r="X484" s="425"/>
      <c r="Y484" s="71"/>
      <c r="Z484" s="783"/>
      <c r="AA484" s="781"/>
      <c r="AB484" s="781"/>
      <c r="AC484" s="428" t="s">
        <v>1142</v>
      </c>
      <c r="AD484" s="429">
        <v>0</v>
      </c>
      <c r="AE484" s="429">
        <v>0</v>
      </c>
      <c r="AF484" s="429" t="s">
        <v>1142</v>
      </c>
      <c r="AG484" s="388">
        <v>0</v>
      </c>
      <c r="AH484" s="388">
        <v>0</v>
      </c>
      <c r="AI484" s="388">
        <v>0</v>
      </c>
      <c r="AJ484" s="388">
        <v>0</v>
      </c>
      <c r="AK484" s="388">
        <v>0</v>
      </c>
      <c r="AL484" s="360">
        <f t="shared" si="30"/>
        <v>0</v>
      </c>
      <c r="AM484" s="362">
        <f>ERP_8[[#This Row],[2026 Working Total]]-ERP_8[[#This Row],[LE2 Final Submission]]</f>
        <v>0</v>
      </c>
      <c r="AN484" s="79">
        <v>0</v>
      </c>
      <c r="AO484" s="79">
        <f t="shared" si="31"/>
        <v>0</v>
      </c>
      <c r="AP484" s="374">
        <f>SUM(ERP_8[[#This Row],[AP01]:[AP07]])-SUM(ERP_8[[#This Row],[AP01 LE2]:[AP07 LE2]])</f>
        <v>0</v>
      </c>
      <c r="AQ484" s="80"/>
      <c r="AR484" s="79">
        <f>ERP_8[[#This Row],[2026 Working Total to Budget/LE]]-ERP_8[[#This Row],[Giveback]]</f>
        <v>0</v>
      </c>
      <c r="AS484" s="81"/>
      <c r="AT484" s="375"/>
      <c r="AU484" s="375"/>
      <c r="AV484" s="375"/>
      <c r="AW484" s="375">
        <v>0</v>
      </c>
      <c r="AX484" s="375">
        <v>0</v>
      </c>
      <c r="AY484" s="375">
        <v>0</v>
      </c>
      <c r="AZ484" s="375">
        <v>0</v>
      </c>
      <c r="BA484" s="375">
        <v>0</v>
      </c>
      <c r="BB484" s="375">
        <v>0</v>
      </c>
      <c r="BC484" s="375">
        <v>0</v>
      </c>
      <c r="BD484" s="375">
        <v>0</v>
      </c>
      <c r="BE484" s="375">
        <v>0</v>
      </c>
      <c r="BF484" s="375">
        <v>0</v>
      </c>
      <c r="BG484" s="103">
        <v>626867.82999999996</v>
      </c>
      <c r="BH484" s="103">
        <v>0</v>
      </c>
      <c r="BI484" s="103">
        <v>0</v>
      </c>
      <c r="BJ484" s="103">
        <v>0</v>
      </c>
      <c r="BK484" s="103">
        <v>0</v>
      </c>
      <c r="BL484" s="103">
        <v>0</v>
      </c>
      <c r="BM484" s="103">
        <v>0</v>
      </c>
      <c r="BN484" s="103">
        <v>0</v>
      </c>
      <c r="BO484" s="103">
        <v>0</v>
      </c>
      <c r="BP484" s="103">
        <v>0</v>
      </c>
      <c r="BQ484" s="103">
        <v>0</v>
      </c>
      <c r="BR484" s="103">
        <v>0</v>
      </c>
      <c r="BS484" s="79">
        <f>SUM(ERP_8[[#This Row],[2026 AP01]:[2026 AP12]])</f>
        <v>626867.82999999996</v>
      </c>
    </row>
    <row r="485" spans="1:71" ht="15" hidden="1" customHeight="1">
      <c r="A485" s="79" t="s">
        <v>2407</v>
      </c>
      <c r="B485" s="749" t="s">
        <v>770</v>
      </c>
      <c r="C485" s="348"/>
      <c r="D485" s="347" t="str">
        <f>_xlfn.TEXTJOIN("_",FALSE,E485,ERP_8[[#This Row],[Expense Category]],ERP_8[[#This Row],[Project Code*]])</f>
        <v>Dougherty, Chris_SOFTWARE_IT-SFT1009-86-OG-US/41/PF</v>
      </c>
      <c r="E485" s="347" t="s">
        <v>1135</v>
      </c>
      <c r="F485" s="348"/>
      <c r="G485" s="150" t="s">
        <v>1136</v>
      </c>
      <c r="H485" s="332" t="s">
        <v>1135</v>
      </c>
      <c r="I485" s="383" t="s">
        <v>1135</v>
      </c>
      <c r="J485" s="331" t="s">
        <v>1137</v>
      </c>
      <c r="K485" s="512" t="s">
        <v>639</v>
      </c>
      <c r="L485" s="393" t="s">
        <v>2408</v>
      </c>
      <c r="M485" s="343" t="s">
        <v>2343</v>
      </c>
      <c r="N485" s="385" t="s">
        <v>1171</v>
      </c>
      <c r="O485" s="91" t="s">
        <v>771</v>
      </c>
      <c r="P485" s="343"/>
      <c r="Q485" s="346" t="s">
        <v>2339</v>
      </c>
      <c r="R485" s="346" t="s">
        <v>1710</v>
      </c>
      <c r="S485" s="386" t="s">
        <v>707</v>
      </c>
      <c r="T485" s="346" t="s">
        <v>1348</v>
      </c>
      <c r="U485" s="437"/>
      <c r="V485" s="358">
        <v>-626867.82999999996</v>
      </c>
      <c r="W485" s="378">
        <v>0</v>
      </c>
      <c r="X485" s="430"/>
      <c r="Y485" s="137"/>
      <c r="Z485" s="783"/>
      <c r="AA485" s="781"/>
      <c r="AB485" s="781"/>
      <c r="AC485" s="428" t="s">
        <v>1142</v>
      </c>
      <c r="AD485" s="429">
        <v>0</v>
      </c>
      <c r="AE485" s="429">
        <v>0</v>
      </c>
      <c r="AF485" s="429" t="s">
        <v>1142</v>
      </c>
      <c r="AG485" s="388">
        <v>0</v>
      </c>
      <c r="AH485" s="388">
        <v>0</v>
      </c>
      <c r="AI485" s="388">
        <v>0</v>
      </c>
      <c r="AJ485" s="388">
        <v>0</v>
      </c>
      <c r="AK485" s="388">
        <v>0</v>
      </c>
      <c r="AL485" s="360">
        <f t="shared" si="30"/>
        <v>0</v>
      </c>
      <c r="AM485" s="362">
        <f>ERP_8[[#This Row],[2026 Working Total]]-ERP_8[[#This Row],[LE2 Final Submission]]</f>
        <v>0</v>
      </c>
      <c r="AN485" s="79">
        <v>0</v>
      </c>
      <c r="AO485" s="79">
        <f t="shared" si="31"/>
        <v>0</v>
      </c>
      <c r="AP485" s="374">
        <f>SUM(ERP_8[[#This Row],[AP01]:[AP07]])-SUM(ERP_8[[#This Row],[AP01 LE2]:[AP07 LE2]])</f>
        <v>0</v>
      </c>
      <c r="AQ485" s="80"/>
      <c r="AR485" s="79">
        <f>ERP_8[[#This Row],[2026 Working Total to Budget/LE]]-ERP_8[[#This Row],[Giveback]]</f>
        <v>0</v>
      </c>
      <c r="AS485" s="81"/>
      <c r="AT485" s="375"/>
      <c r="AU485" s="375"/>
      <c r="AV485" s="375"/>
      <c r="AW485" s="375">
        <v>0</v>
      </c>
      <c r="AX485" s="375">
        <v>0</v>
      </c>
      <c r="AY485" s="375">
        <v>0</v>
      </c>
      <c r="AZ485" s="375">
        <v>0</v>
      </c>
      <c r="BA485" s="375">
        <v>0</v>
      </c>
      <c r="BB485" s="375">
        <v>0</v>
      </c>
      <c r="BC485" s="375">
        <v>0</v>
      </c>
      <c r="BD485" s="375">
        <v>0</v>
      </c>
      <c r="BE485" s="375">
        <v>0</v>
      </c>
      <c r="BF485" s="375">
        <v>0</v>
      </c>
      <c r="BG485" s="103">
        <v>-626867.82999999996</v>
      </c>
      <c r="BH485" s="103">
        <v>0</v>
      </c>
      <c r="BI485" s="103">
        <v>0</v>
      </c>
      <c r="BJ485" s="103">
        <v>0</v>
      </c>
      <c r="BK485" s="103">
        <v>0</v>
      </c>
      <c r="BL485" s="103">
        <v>0</v>
      </c>
      <c r="BM485" s="103">
        <v>0</v>
      </c>
      <c r="BN485" s="103">
        <v>0</v>
      </c>
      <c r="BO485" s="103">
        <v>0</v>
      </c>
      <c r="BP485" s="103">
        <v>0</v>
      </c>
      <c r="BQ485" s="103">
        <v>0</v>
      </c>
      <c r="BR485" s="103">
        <v>0</v>
      </c>
      <c r="BS485" s="79">
        <f>SUM(ERP_8[[#This Row],[2026 AP01]:[2026 AP12]])</f>
        <v>-626867.82999999996</v>
      </c>
    </row>
    <row r="486" spans="1:71" ht="15" hidden="1" customHeight="1">
      <c r="A486" s="79" t="s">
        <v>2409</v>
      </c>
      <c r="B486" s="749" t="s">
        <v>772</v>
      </c>
      <c r="C486" s="348"/>
      <c r="D486" s="347" t="str">
        <f>_xlfn.TEXTJOIN("_",FALSE,E486,ERP_8[[#This Row],[Expense Category]],ERP_8[[#This Row],[Project Code*]])</f>
        <v>Dougherty, Chris_SOFTWARE_IT-SFT1009-86-OG-US/45</v>
      </c>
      <c r="E486" s="347" t="s">
        <v>1135</v>
      </c>
      <c r="F486" s="348"/>
      <c r="G486" s="150" t="s">
        <v>1136</v>
      </c>
      <c r="H486" s="332" t="s">
        <v>1135</v>
      </c>
      <c r="I486" s="383" t="s">
        <v>1135</v>
      </c>
      <c r="J486" s="331" t="s">
        <v>1137</v>
      </c>
      <c r="K486" s="512" t="s">
        <v>639</v>
      </c>
      <c r="L486" s="393" t="s">
        <v>2410</v>
      </c>
      <c r="M486" s="343" t="s">
        <v>2343</v>
      </c>
      <c r="N486" s="385" t="s">
        <v>1171</v>
      </c>
      <c r="O486" s="91" t="s">
        <v>773</v>
      </c>
      <c r="P486" s="343"/>
      <c r="Q486" s="346" t="s">
        <v>2339</v>
      </c>
      <c r="R486" s="346" t="s">
        <v>1710</v>
      </c>
      <c r="S486" s="386" t="s">
        <v>707</v>
      </c>
      <c r="T486" s="346" t="s">
        <v>1348</v>
      </c>
      <c r="U486" s="437"/>
      <c r="V486" s="358">
        <v>15713.16</v>
      </c>
      <c r="W486" s="378">
        <v>0</v>
      </c>
      <c r="X486" s="425"/>
      <c r="Y486" s="71"/>
      <c r="Z486" s="783"/>
      <c r="AA486" s="795"/>
      <c r="AB486" s="795"/>
      <c r="AC486" s="429" t="s">
        <v>1142</v>
      </c>
      <c r="AD486" s="429">
        <v>0</v>
      </c>
      <c r="AE486" s="429">
        <v>0</v>
      </c>
      <c r="AF486" s="429" t="s">
        <v>1142</v>
      </c>
      <c r="AG486" s="388">
        <v>0</v>
      </c>
      <c r="AH486" s="388">
        <v>0</v>
      </c>
      <c r="AI486" s="388">
        <v>0</v>
      </c>
      <c r="AJ486" s="388">
        <v>0</v>
      </c>
      <c r="AK486" s="388">
        <v>0</v>
      </c>
      <c r="AL486" s="360">
        <f t="shared" si="30"/>
        <v>0</v>
      </c>
      <c r="AM486" s="362">
        <f>ERP_8[[#This Row],[2026 Working Total]]-ERP_8[[#This Row],[LE2 Final Submission]]</f>
        <v>0</v>
      </c>
      <c r="AN486" s="79">
        <v>0</v>
      </c>
      <c r="AO486" s="79">
        <f t="shared" si="31"/>
        <v>0</v>
      </c>
      <c r="AP486" s="374">
        <f>SUM(ERP_8[[#This Row],[AP01]:[AP07]])-SUM(ERP_8[[#This Row],[AP01 LE2]:[AP07 LE2]])</f>
        <v>0</v>
      </c>
      <c r="AQ486" s="80"/>
      <c r="AR486" s="79">
        <f>ERP_8[[#This Row],[2026 Working Total to Budget/LE]]-ERP_8[[#This Row],[Giveback]]</f>
        <v>0</v>
      </c>
      <c r="AS486" s="81"/>
      <c r="AT486" s="375"/>
      <c r="AU486" s="375"/>
      <c r="AV486" s="375"/>
      <c r="AW486" s="375">
        <v>0</v>
      </c>
      <c r="AX486" s="375">
        <v>0</v>
      </c>
      <c r="AY486" s="375">
        <v>0</v>
      </c>
      <c r="AZ486" s="375">
        <v>0</v>
      </c>
      <c r="BA486" s="375">
        <v>0</v>
      </c>
      <c r="BB486" s="375">
        <v>0</v>
      </c>
      <c r="BC486" s="375">
        <v>0</v>
      </c>
      <c r="BD486" s="375">
        <v>0</v>
      </c>
      <c r="BE486" s="375">
        <v>0</v>
      </c>
      <c r="BF486" s="375">
        <v>0</v>
      </c>
      <c r="BG486" s="103">
        <v>15713.16</v>
      </c>
      <c r="BH486" s="103">
        <v>0</v>
      </c>
      <c r="BI486" s="103">
        <v>0</v>
      </c>
      <c r="BJ486" s="103">
        <v>0</v>
      </c>
      <c r="BK486" s="103">
        <v>0</v>
      </c>
      <c r="BL486" s="103">
        <v>0</v>
      </c>
      <c r="BM486" s="103">
        <v>0</v>
      </c>
      <c r="BN486" s="103">
        <v>0</v>
      </c>
      <c r="BO486" s="103">
        <v>0</v>
      </c>
      <c r="BP486" s="103">
        <v>0</v>
      </c>
      <c r="BQ486" s="103">
        <v>0</v>
      </c>
      <c r="BR486" s="103">
        <v>0</v>
      </c>
      <c r="BS486" s="79">
        <f>SUM(ERP_8[[#This Row],[2026 AP01]:[2026 AP12]])</f>
        <v>15713.16</v>
      </c>
    </row>
    <row r="487" spans="1:71" ht="15" hidden="1" customHeight="1">
      <c r="A487" s="79" t="s">
        <v>2411</v>
      </c>
      <c r="B487" s="749" t="s">
        <v>774</v>
      </c>
      <c r="C487" s="348"/>
      <c r="D487" s="347" t="str">
        <f>_xlfn.TEXTJOIN("_",FALSE,E487,ERP_8[[#This Row],[Expense Category]],ERP_8[[#This Row],[Project Code*]])</f>
        <v>Dougherty, Chris_SOFTWARE_IT-SFT1009-86-OG-US/45/PF</v>
      </c>
      <c r="E487" s="347" t="s">
        <v>1135</v>
      </c>
      <c r="F487" s="348"/>
      <c r="G487" s="150" t="s">
        <v>1136</v>
      </c>
      <c r="H487" s="332" t="s">
        <v>1135</v>
      </c>
      <c r="I487" s="383" t="s">
        <v>1135</v>
      </c>
      <c r="J487" s="331" t="s">
        <v>1137</v>
      </c>
      <c r="K487" s="512" t="s">
        <v>639</v>
      </c>
      <c r="L487" s="393" t="s">
        <v>2412</v>
      </c>
      <c r="M487" s="343" t="s">
        <v>2343</v>
      </c>
      <c r="N487" s="385" t="s">
        <v>1171</v>
      </c>
      <c r="O487" s="91" t="s">
        <v>775</v>
      </c>
      <c r="P487" s="343"/>
      <c r="Q487" s="346" t="s">
        <v>2339</v>
      </c>
      <c r="R487" s="346" t="s">
        <v>1710</v>
      </c>
      <c r="S487" s="386" t="s">
        <v>707</v>
      </c>
      <c r="T487" s="346" t="s">
        <v>1348</v>
      </c>
      <c r="U487" s="437"/>
      <c r="V487" s="358">
        <v>-15713.16</v>
      </c>
      <c r="W487" s="378">
        <v>0</v>
      </c>
      <c r="X487" s="425"/>
      <c r="Y487" s="71"/>
      <c r="Z487" s="783"/>
      <c r="AA487" s="781"/>
      <c r="AB487" s="781"/>
      <c r="AC487" s="428" t="s">
        <v>1142</v>
      </c>
      <c r="AD487" s="429">
        <v>0</v>
      </c>
      <c r="AE487" s="429">
        <v>0</v>
      </c>
      <c r="AF487" s="429" t="s">
        <v>1142</v>
      </c>
      <c r="AG487" s="388">
        <v>0</v>
      </c>
      <c r="AH487" s="388">
        <v>0</v>
      </c>
      <c r="AI487" s="388">
        <v>0</v>
      </c>
      <c r="AJ487" s="388">
        <v>0</v>
      </c>
      <c r="AK487" s="388">
        <v>0</v>
      </c>
      <c r="AL487" s="360">
        <f t="shared" si="30"/>
        <v>0</v>
      </c>
      <c r="AM487" s="362">
        <f>ERP_8[[#This Row],[2026 Working Total]]-ERP_8[[#This Row],[LE2 Final Submission]]</f>
        <v>0</v>
      </c>
      <c r="AN487" s="79">
        <v>0</v>
      </c>
      <c r="AO487" s="79">
        <f t="shared" si="31"/>
        <v>0</v>
      </c>
      <c r="AP487" s="374">
        <f>SUM(ERP_8[[#This Row],[AP01]:[AP07]])-SUM(ERP_8[[#This Row],[AP01 LE2]:[AP07 LE2]])</f>
        <v>0</v>
      </c>
      <c r="AQ487" s="80"/>
      <c r="AR487" s="79">
        <f>ERP_8[[#This Row],[2026 Working Total to Budget/LE]]-ERP_8[[#This Row],[Giveback]]</f>
        <v>0</v>
      </c>
      <c r="AS487" s="81"/>
      <c r="AT487" s="375"/>
      <c r="AU487" s="375"/>
      <c r="AV487" s="375"/>
      <c r="AW487" s="375">
        <v>0</v>
      </c>
      <c r="AX487" s="375">
        <v>0</v>
      </c>
      <c r="AY487" s="375">
        <v>0</v>
      </c>
      <c r="AZ487" s="375">
        <v>0</v>
      </c>
      <c r="BA487" s="375">
        <v>0</v>
      </c>
      <c r="BB487" s="375">
        <v>0</v>
      </c>
      <c r="BC487" s="375">
        <v>0</v>
      </c>
      <c r="BD487" s="375">
        <v>0</v>
      </c>
      <c r="BE487" s="375">
        <v>0</v>
      </c>
      <c r="BF487" s="375">
        <v>0</v>
      </c>
      <c r="BG487" s="103">
        <v>-15713.16</v>
      </c>
      <c r="BH487" s="103">
        <v>0</v>
      </c>
      <c r="BI487" s="103">
        <v>0</v>
      </c>
      <c r="BJ487" s="103">
        <v>0</v>
      </c>
      <c r="BK487" s="103">
        <v>0</v>
      </c>
      <c r="BL487" s="103">
        <v>0</v>
      </c>
      <c r="BM487" s="103">
        <v>0</v>
      </c>
      <c r="BN487" s="103">
        <v>0</v>
      </c>
      <c r="BO487" s="103">
        <v>0</v>
      </c>
      <c r="BP487" s="103">
        <v>0</v>
      </c>
      <c r="BQ487" s="103">
        <v>0</v>
      </c>
      <c r="BR487" s="103">
        <v>0</v>
      </c>
      <c r="BS487" s="79">
        <f>SUM(ERP_8[[#This Row],[2026 AP01]:[2026 AP12]])</f>
        <v>-15713.16</v>
      </c>
    </row>
    <row r="488" spans="1:71" ht="15" hidden="1" customHeight="1">
      <c r="A488" s="79" t="s">
        <v>2413</v>
      </c>
      <c r="B488" s="749" t="s">
        <v>776</v>
      </c>
      <c r="C488" s="348"/>
      <c r="D488" s="347" t="str">
        <f>_xlfn.TEXTJOIN("_",FALSE,E488,ERP_8[[#This Row],[Expense Category]],ERP_8[[#This Row],[Project Code*]])</f>
        <v>Dougherty, Chris_SOFTWARE_IT-SFT1009-86-OG-US/46</v>
      </c>
      <c r="E488" s="347" t="s">
        <v>1135</v>
      </c>
      <c r="F488" s="348"/>
      <c r="G488" s="150" t="s">
        <v>1136</v>
      </c>
      <c r="H488" s="332" t="s">
        <v>1135</v>
      </c>
      <c r="I488" s="383" t="s">
        <v>1135</v>
      </c>
      <c r="J488" s="331" t="s">
        <v>1137</v>
      </c>
      <c r="K488" s="512" t="s">
        <v>639</v>
      </c>
      <c r="L488" s="393" t="s">
        <v>2414</v>
      </c>
      <c r="M488" s="343" t="s">
        <v>2343</v>
      </c>
      <c r="N488" s="385" t="s">
        <v>1171</v>
      </c>
      <c r="O488" s="91" t="s">
        <v>777</v>
      </c>
      <c r="P488" s="343"/>
      <c r="Q488" s="346" t="s">
        <v>2339</v>
      </c>
      <c r="R488" s="346" t="s">
        <v>1710</v>
      </c>
      <c r="S488" s="386" t="s">
        <v>707</v>
      </c>
      <c r="T488" s="346" t="s">
        <v>1348</v>
      </c>
      <c r="U488" s="437"/>
      <c r="V488" s="358">
        <v>930750</v>
      </c>
      <c r="W488" s="378">
        <v>0</v>
      </c>
      <c r="X488" s="430"/>
      <c r="Y488" s="137"/>
      <c r="Z488" s="783"/>
      <c r="AA488" s="781"/>
      <c r="AB488" s="781"/>
      <c r="AC488" s="428" t="s">
        <v>1142</v>
      </c>
      <c r="AD488" s="429">
        <v>0</v>
      </c>
      <c r="AE488" s="429">
        <v>0</v>
      </c>
      <c r="AF488" s="429" t="s">
        <v>1142</v>
      </c>
      <c r="AG488" s="388">
        <v>0</v>
      </c>
      <c r="AH488" s="388">
        <v>0</v>
      </c>
      <c r="AI488" s="388">
        <v>0</v>
      </c>
      <c r="AJ488" s="388">
        <v>0</v>
      </c>
      <c r="AK488" s="388">
        <v>0</v>
      </c>
      <c r="AL488" s="360">
        <f t="shared" si="30"/>
        <v>0</v>
      </c>
      <c r="AM488" s="362">
        <f>ERP_8[[#This Row],[2026 Working Total]]-ERP_8[[#This Row],[LE2 Final Submission]]</f>
        <v>0</v>
      </c>
      <c r="AN488" s="79">
        <v>0</v>
      </c>
      <c r="AO488" s="79">
        <f t="shared" si="31"/>
        <v>0</v>
      </c>
      <c r="AP488" s="374">
        <f>SUM(ERP_8[[#This Row],[AP01]:[AP07]])-SUM(ERP_8[[#This Row],[AP01 LE2]:[AP07 LE2]])</f>
        <v>0</v>
      </c>
      <c r="AQ488" s="80"/>
      <c r="AR488" s="79">
        <f>ERP_8[[#This Row],[2026 Working Total to Budget/LE]]-ERP_8[[#This Row],[Giveback]]</f>
        <v>0</v>
      </c>
      <c r="AS488" s="81"/>
      <c r="AT488" s="375"/>
      <c r="AU488" s="375"/>
      <c r="AV488" s="375"/>
      <c r="AW488" s="375">
        <v>0</v>
      </c>
      <c r="AX488" s="375">
        <v>0</v>
      </c>
      <c r="AY488" s="375">
        <v>0</v>
      </c>
      <c r="AZ488" s="375">
        <v>0</v>
      </c>
      <c r="BA488" s="375">
        <v>0</v>
      </c>
      <c r="BB488" s="375">
        <v>0</v>
      </c>
      <c r="BC488" s="375">
        <v>0</v>
      </c>
      <c r="BD488" s="375">
        <v>0</v>
      </c>
      <c r="BE488" s="375">
        <v>0</v>
      </c>
      <c r="BF488" s="375">
        <v>0</v>
      </c>
      <c r="BG488" s="103">
        <v>930750</v>
      </c>
      <c r="BH488" s="103">
        <v>0</v>
      </c>
      <c r="BI488" s="103">
        <v>0</v>
      </c>
      <c r="BJ488" s="103">
        <v>0</v>
      </c>
      <c r="BK488" s="103">
        <v>0</v>
      </c>
      <c r="BL488" s="103">
        <v>0</v>
      </c>
      <c r="BM488" s="103">
        <v>0</v>
      </c>
      <c r="BN488" s="103">
        <v>0</v>
      </c>
      <c r="BO488" s="103">
        <v>0</v>
      </c>
      <c r="BP488" s="103">
        <v>0</v>
      </c>
      <c r="BQ488" s="103">
        <v>0</v>
      </c>
      <c r="BR488" s="103">
        <v>0</v>
      </c>
      <c r="BS488" s="79">
        <f>SUM(ERP_8[[#This Row],[2026 AP01]:[2026 AP12]])</f>
        <v>930750</v>
      </c>
    </row>
    <row r="489" spans="1:71" ht="15" hidden="1" customHeight="1">
      <c r="A489" s="79" t="s">
        <v>2415</v>
      </c>
      <c r="B489" s="749" t="s">
        <v>778</v>
      </c>
      <c r="C489" s="348"/>
      <c r="D489" s="347" t="str">
        <f>_xlfn.TEXTJOIN("_",FALSE,E489,ERP_8[[#This Row],[Expense Category]],ERP_8[[#This Row],[Project Code*]])</f>
        <v>Dougherty, Chris_SOFTWARE_IT-SFT1009-86-OG-US/46/PF</v>
      </c>
      <c r="E489" s="347" t="s">
        <v>1135</v>
      </c>
      <c r="F489" s="348"/>
      <c r="G489" s="150" t="s">
        <v>1136</v>
      </c>
      <c r="H489" s="332" t="s">
        <v>1135</v>
      </c>
      <c r="I489" s="383" t="s">
        <v>1135</v>
      </c>
      <c r="J489" s="331" t="s">
        <v>1137</v>
      </c>
      <c r="K489" s="512" t="s">
        <v>639</v>
      </c>
      <c r="L489" s="393" t="s">
        <v>2416</v>
      </c>
      <c r="M489" s="343" t="s">
        <v>2343</v>
      </c>
      <c r="N489" s="385" t="s">
        <v>1171</v>
      </c>
      <c r="O489" s="91" t="s">
        <v>779</v>
      </c>
      <c r="P489" s="343"/>
      <c r="Q489" s="346" t="s">
        <v>2339</v>
      </c>
      <c r="R489" s="346" t="s">
        <v>1710</v>
      </c>
      <c r="S489" s="386" t="s">
        <v>707</v>
      </c>
      <c r="T489" s="346" t="s">
        <v>1348</v>
      </c>
      <c r="U489" s="437"/>
      <c r="V489" s="358">
        <v>-930750</v>
      </c>
      <c r="W489" s="378">
        <v>0</v>
      </c>
      <c r="X489" s="425"/>
      <c r="Y489" s="71"/>
      <c r="Z489" s="783"/>
      <c r="AA489" s="781"/>
      <c r="AB489" s="781"/>
      <c r="AC489" s="428" t="s">
        <v>1142</v>
      </c>
      <c r="AD489" s="429">
        <v>0</v>
      </c>
      <c r="AE489" s="429">
        <v>0</v>
      </c>
      <c r="AF489" s="429" t="s">
        <v>1142</v>
      </c>
      <c r="AG489" s="388">
        <v>0</v>
      </c>
      <c r="AH489" s="388">
        <v>0</v>
      </c>
      <c r="AI489" s="388">
        <v>0</v>
      </c>
      <c r="AJ489" s="388">
        <v>0</v>
      </c>
      <c r="AK489" s="388">
        <v>0</v>
      </c>
      <c r="AL489" s="360">
        <f t="shared" si="30"/>
        <v>0</v>
      </c>
      <c r="AM489" s="362">
        <f>ERP_8[[#This Row],[2026 Working Total]]-ERP_8[[#This Row],[LE2 Final Submission]]</f>
        <v>0</v>
      </c>
      <c r="AN489" s="79">
        <v>0</v>
      </c>
      <c r="AO489" s="79">
        <f t="shared" si="31"/>
        <v>0</v>
      </c>
      <c r="AP489" s="374">
        <f>SUM(ERP_8[[#This Row],[AP01]:[AP07]])-SUM(ERP_8[[#This Row],[AP01 LE2]:[AP07 LE2]])</f>
        <v>0</v>
      </c>
      <c r="AQ489" s="80"/>
      <c r="AR489" s="79">
        <f>ERP_8[[#This Row],[2026 Working Total to Budget/LE]]-ERP_8[[#This Row],[Giveback]]</f>
        <v>0</v>
      </c>
      <c r="AS489" s="81"/>
      <c r="AT489" s="375"/>
      <c r="AU489" s="375"/>
      <c r="AV489" s="375"/>
      <c r="AW489" s="375">
        <v>0</v>
      </c>
      <c r="AX489" s="375">
        <v>0</v>
      </c>
      <c r="AY489" s="375">
        <v>0</v>
      </c>
      <c r="AZ489" s="375">
        <v>0</v>
      </c>
      <c r="BA489" s="375">
        <v>0</v>
      </c>
      <c r="BB489" s="375">
        <v>0</v>
      </c>
      <c r="BC489" s="375">
        <v>0</v>
      </c>
      <c r="BD489" s="375">
        <v>0</v>
      </c>
      <c r="BE489" s="375">
        <v>0</v>
      </c>
      <c r="BF489" s="375">
        <v>0</v>
      </c>
      <c r="BG489" s="103">
        <v>-930750</v>
      </c>
      <c r="BH489" s="103">
        <v>0</v>
      </c>
      <c r="BI489" s="103">
        <v>0</v>
      </c>
      <c r="BJ489" s="103">
        <v>0</v>
      </c>
      <c r="BK489" s="103">
        <v>0</v>
      </c>
      <c r="BL489" s="103">
        <v>0</v>
      </c>
      <c r="BM489" s="103">
        <v>0</v>
      </c>
      <c r="BN489" s="103">
        <v>0</v>
      </c>
      <c r="BO489" s="103">
        <v>0</v>
      </c>
      <c r="BP489" s="103">
        <v>0</v>
      </c>
      <c r="BQ489" s="103">
        <v>0</v>
      </c>
      <c r="BR489" s="103">
        <v>0</v>
      </c>
      <c r="BS489" s="79">
        <f>SUM(ERP_8[[#This Row],[2026 AP01]:[2026 AP12]])</f>
        <v>-930750</v>
      </c>
    </row>
    <row r="490" spans="1:71" ht="15" hidden="1" customHeight="1">
      <c r="A490" s="79" t="s">
        <v>2417</v>
      </c>
      <c r="B490" s="749" t="s">
        <v>780</v>
      </c>
      <c r="C490" s="348"/>
      <c r="D490" s="347" t="str">
        <f>_xlfn.TEXTJOIN("_",FALSE,E490,ERP_8[[#This Row],[Expense Category]],ERP_8[[#This Row],[Project Code*]])</f>
        <v>Dougherty, Chris_SOFTWARE_IT-SFT1009-86-OG-US/FV</v>
      </c>
      <c r="E490" s="347" t="s">
        <v>1135</v>
      </c>
      <c r="F490" s="348"/>
      <c r="G490" s="150" t="s">
        <v>1136</v>
      </c>
      <c r="H490" s="332" t="s">
        <v>1135</v>
      </c>
      <c r="I490" s="383" t="s">
        <v>1135</v>
      </c>
      <c r="J490" s="331" t="s">
        <v>1137</v>
      </c>
      <c r="K490" s="512" t="s">
        <v>639</v>
      </c>
      <c r="L490" s="393" t="s">
        <v>2418</v>
      </c>
      <c r="M490" s="343" t="s">
        <v>2343</v>
      </c>
      <c r="N490" s="385" t="s">
        <v>1171</v>
      </c>
      <c r="O490" s="91" t="s">
        <v>781</v>
      </c>
      <c r="P490" s="343"/>
      <c r="Q490" s="346" t="s">
        <v>2339</v>
      </c>
      <c r="R490" s="346" t="s">
        <v>1710</v>
      </c>
      <c r="S490" s="386" t="s">
        <v>707</v>
      </c>
      <c r="T490" s="346" t="s">
        <v>1348</v>
      </c>
      <c r="U490" s="437"/>
      <c r="V490" s="358">
        <v>9567</v>
      </c>
      <c r="W490" s="378">
        <v>0</v>
      </c>
      <c r="X490" s="425"/>
      <c r="Y490" s="71"/>
      <c r="Z490" s="783"/>
      <c r="AA490" s="781"/>
      <c r="AB490" s="781"/>
      <c r="AC490" s="428" t="s">
        <v>1142</v>
      </c>
      <c r="AD490" s="429">
        <v>0</v>
      </c>
      <c r="AE490" s="429">
        <v>0</v>
      </c>
      <c r="AF490" s="429" t="s">
        <v>1142</v>
      </c>
      <c r="AG490" s="388">
        <v>0</v>
      </c>
      <c r="AH490" s="388">
        <v>0</v>
      </c>
      <c r="AI490" s="388">
        <v>0</v>
      </c>
      <c r="AJ490" s="388">
        <v>0</v>
      </c>
      <c r="AK490" s="388">
        <v>0</v>
      </c>
      <c r="AL490" s="360">
        <f t="shared" si="30"/>
        <v>0</v>
      </c>
      <c r="AM490" s="362">
        <f>ERP_8[[#This Row],[2026 Working Total]]-ERP_8[[#This Row],[LE2 Final Submission]]</f>
        <v>0</v>
      </c>
      <c r="AN490" s="79">
        <v>0</v>
      </c>
      <c r="AO490" s="79">
        <f t="shared" si="31"/>
        <v>0</v>
      </c>
      <c r="AP490" s="374">
        <f>SUM(ERP_8[[#This Row],[AP01]:[AP07]])-SUM(ERP_8[[#This Row],[AP01 LE2]:[AP07 LE2]])</f>
        <v>0</v>
      </c>
      <c r="AQ490" s="80"/>
      <c r="AR490" s="79">
        <f>ERP_8[[#This Row],[2026 Working Total to Budget/LE]]-ERP_8[[#This Row],[Giveback]]</f>
        <v>0</v>
      </c>
      <c r="AS490" s="81"/>
      <c r="AT490" s="375"/>
      <c r="AU490" s="375"/>
      <c r="AV490" s="375"/>
      <c r="AW490" s="375">
        <v>0</v>
      </c>
      <c r="AX490" s="375">
        <v>0</v>
      </c>
      <c r="AY490" s="375">
        <v>0</v>
      </c>
      <c r="AZ490" s="375">
        <v>0</v>
      </c>
      <c r="BA490" s="375">
        <v>0</v>
      </c>
      <c r="BB490" s="375">
        <v>0</v>
      </c>
      <c r="BC490" s="375">
        <v>0</v>
      </c>
      <c r="BD490" s="375">
        <v>0</v>
      </c>
      <c r="BE490" s="375">
        <v>0</v>
      </c>
      <c r="BF490" s="375">
        <v>0</v>
      </c>
      <c r="BG490" s="103">
        <v>9567</v>
      </c>
      <c r="BH490" s="103">
        <v>0</v>
      </c>
      <c r="BI490" s="103">
        <v>0</v>
      </c>
      <c r="BJ490" s="103">
        <v>0</v>
      </c>
      <c r="BK490" s="103">
        <v>0</v>
      </c>
      <c r="BL490" s="103">
        <v>0</v>
      </c>
      <c r="BM490" s="103">
        <v>0</v>
      </c>
      <c r="BN490" s="103">
        <v>0</v>
      </c>
      <c r="BO490" s="103">
        <v>0</v>
      </c>
      <c r="BP490" s="103">
        <v>0</v>
      </c>
      <c r="BQ490" s="103">
        <v>0</v>
      </c>
      <c r="BR490" s="103">
        <v>0</v>
      </c>
      <c r="BS490" s="79">
        <f>SUM(ERP_8[[#This Row],[2026 AP01]:[2026 AP12]])</f>
        <v>9567</v>
      </c>
    </row>
    <row r="491" spans="1:71" ht="15" hidden="1" customHeight="1">
      <c r="A491" s="79" t="s">
        <v>2419</v>
      </c>
      <c r="B491" s="749" t="s">
        <v>782</v>
      </c>
      <c r="C491" s="348"/>
      <c r="D491" s="347" t="str">
        <f>_xlfn.TEXTJOIN("_",FALSE,E491,ERP_8[[#This Row],[Expense Category]],ERP_8[[#This Row],[Project Code*]])</f>
        <v>Dougherty, Chris_SOFTWARE_IT-SFT1009-86-OG-US/FV/PF</v>
      </c>
      <c r="E491" s="347" t="s">
        <v>1135</v>
      </c>
      <c r="F491" s="348"/>
      <c r="G491" s="150" t="s">
        <v>1136</v>
      </c>
      <c r="H491" s="332" t="s">
        <v>1135</v>
      </c>
      <c r="I491" s="383" t="s">
        <v>1135</v>
      </c>
      <c r="J491" s="331" t="s">
        <v>1137</v>
      </c>
      <c r="K491" s="512" t="s">
        <v>639</v>
      </c>
      <c r="L491" s="393" t="s">
        <v>2420</v>
      </c>
      <c r="M491" s="343" t="s">
        <v>2343</v>
      </c>
      <c r="N491" s="385" t="s">
        <v>1171</v>
      </c>
      <c r="O491" s="91" t="s">
        <v>783</v>
      </c>
      <c r="P491" s="343"/>
      <c r="Q491" s="346" t="s">
        <v>2339</v>
      </c>
      <c r="R491" s="346" t="s">
        <v>1710</v>
      </c>
      <c r="S491" s="386" t="s">
        <v>707</v>
      </c>
      <c r="T491" s="346" t="s">
        <v>1348</v>
      </c>
      <c r="U491" s="437"/>
      <c r="V491" s="358">
        <v>-9567</v>
      </c>
      <c r="W491" s="378">
        <v>0</v>
      </c>
      <c r="X491" s="430"/>
      <c r="Y491" s="137"/>
      <c r="Z491" s="783"/>
      <c r="AA491" s="795"/>
      <c r="AB491" s="795"/>
      <c r="AC491" s="429" t="s">
        <v>1142</v>
      </c>
      <c r="AD491" s="429">
        <v>0</v>
      </c>
      <c r="AE491" s="429">
        <v>0</v>
      </c>
      <c r="AF491" s="429" t="s">
        <v>1142</v>
      </c>
      <c r="AG491" s="388">
        <v>0</v>
      </c>
      <c r="AH491" s="388">
        <v>0</v>
      </c>
      <c r="AI491" s="388">
        <v>0</v>
      </c>
      <c r="AJ491" s="388">
        <v>0</v>
      </c>
      <c r="AK491" s="388">
        <v>0</v>
      </c>
      <c r="AL491" s="360">
        <f t="shared" si="30"/>
        <v>0</v>
      </c>
      <c r="AM491" s="362">
        <f>ERP_8[[#This Row],[2026 Working Total]]-ERP_8[[#This Row],[LE2 Final Submission]]</f>
        <v>0</v>
      </c>
      <c r="AN491" s="79">
        <v>0</v>
      </c>
      <c r="AO491" s="79">
        <f t="shared" si="31"/>
        <v>0</v>
      </c>
      <c r="AP491" s="374">
        <f>SUM(ERP_8[[#This Row],[AP01]:[AP07]])-SUM(ERP_8[[#This Row],[AP01 LE2]:[AP07 LE2]])</f>
        <v>0</v>
      </c>
      <c r="AQ491" s="80"/>
      <c r="AR491" s="79">
        <f>ERP_8[[#This Row],[2026 Working Total to Budget/LE]]-ERP_8[[#This Row],[Giveback]]</f>
        <v>0</v>
      </c>
      <c r="AS491" s="81"/>
      <c r="AT491" s="375"/>
      <c r="AU491" s="375"/>
      <c r="AV491" s="375"/>
      <c r="AW491" s="375">
        <v>0</v>
      </c>
      <c r="AX491" s="375">
        <v>0</v>
      </c>
      <c r="AY491" s="375">
        <v>0</v>
      </c>
      <c r="AZ491" s="375">
        <v>0</v>
      </c>
      <c r="BA491" s="375">
        <v>0</v>
      </c>
      <c r="BB491" s="375">
        <v>0</v>
      </c>
      <c r="BC491" s="375">
        <v>0</v>
      </c>
      <c r="BD491" s="375">
        <v>0</v>
      </c>
      <c r="BE491" s="375">
        <v>0</v>
      </c>
      <c r="BF491" s="375">
        <v>0</v>
      </c>
      <c r="BG491" s="103">
        <v>-9567</v>
      </c>
      <c r="BH491" s="103">
        <v>0</v>
      </c>
      <c r="BI491" s="103">
        <v>0</v>
      </c>
      <c r="BJ491" s="103">
        <v>0</v>
      </c>
      <c r="BK491" s="103">
        <v>0</v>
      </c>
      <c r="BL491" s="103">
        <v>0</v>
      </c>
      <c r="BM491" s="103">
        <v>0</v>
      </c>
      <c r="BN491" s="103">
        <v>0</v>
      </c>
      <c r="BO491" s="103">
        <v>0</v>
      </c>
      <c r="BP491" s="103">
        <v>0</v>
      </c>
      <c r="BQ491" s="103">
        <v>0</v>
      </c>
      <c r="BR491" s="103">
        <v>0</v>
      </c>
      <c r="BS491" s="79">
        <f>SUM(ERP_8[[#This Row],[2026 AP01]:[2026 AP12]])</f>
        <v>-9567</v>
      </c>
    </row>
    <row r="492" spans="1:71" ht="15" hidden="1" customHeight="1">
      <c r="A492" s="66" t="s">
        <v>2421</v>
      </c>
      <c r="B492" s="737" t="s">
        <v>784</v>
      </c>
      <c r="C492" s="346"/>
      <c r="D492" s="343" t="str">
        <f>_xlfn.TEXTJOIN("_",FALSE,E492,ERP_8[[#This Row],[Expense Category]],ERP_8[[#This Row],[Project Code*]])</f>
        <v>Dougherty, Chris_SOFTWARE_IT-SFT1009-86-OG-US-CB</v>
      </c>
      <c r="E492" s="343" t="s">
        <v>1135</v>
      </c>
      <c r="F492" s="346"/>
      <c r="G492" s="150" t="s">
        <v>1136</v>
      </c>
      <c r="H492" s="150" t="s">
        <v>1135</v>
      </c>
      <c r="I492" s="150" t="s">
        <v>1135</v>
      </c>
      <c r="J492" s="150" t="s">
        <v>1137</v>
      </c>
      <c r="K492" s="511" t="s">
        <v>639</v>
      </c>
      <c r="L492" s="392" t="s">
        <v>2422</v>
      </c>
      <c r="M492" s="343"/>
      <c r="N492" s="800"/>
      <c r="O492" s="70" t="s">
        <v>785</v>
      </c>
      <c r="P492" s="346"/>
      <c r="Q492" s="343"/>
      <c r="R492" s="346"/>
      <c r="S492" s="150" t="s">
        <v>67</v>
      </c>
      <c r="T492" s="150"/>
      <c r="U492" s="403"/>
      <c r="V492" s="406">
        <v>-551382.25</v>
      </c>
      <c r="W492" s="406">
        <v>-551382.25</v>
      </c>
      <c r="X492" s="425"/>
      <c r="Y492" s="71"/>
      <c r="Z492" s="784"/>
      <c r="AA492" s="780"/>
      <c r="AB492" s="780">
        <v>-551382.25</v>
      </c>
      <c r="AC492" s="428" t="s">
        <v>1142</v>
      </c>
      <c r="AD492" s="429">
        <v>0</v>
      </c>
      <c r="AE492" s="429">
        <v>0</v>
      </c>
      <c r="AF492" s="429">
        <v>0</v>
      </c>
      <c r="AG492" s="360">
        <v>0</v>
      </c>
      <c r="AH492" s="360">
        <v>0</v>
      </c>
      <c r="AI492" s="360">
        <v>0</v>
      </c>
      <c r="AJ492" s="360">
        <v>0</v>
      </c>
      <c r="AK492" s="360">
        <v>0</v>
      </c>
      <c r="AL492" s="360">
        <f t="shared" si="30"/>
        <v>-551382.25</v>
      </c>
      <c r="AM492" s="362">
        <f>ERP_8[[#This Row],[2026 Working Total]]-ERP_8[[#This Row],[LE2 Final Submission]]</f>
        <v>0</v>
      </c>
      <c r="AN492" s="79">
        <v>0</v>
      </c>
      <c r="AO492" s="79">
        <f t="shared" si="31"/>
        <v>0</v>
      </c>
      <c r="AP492" s="374">
        <f>SUM(ERP_8[[#This Row],[AP01]:[AP07]])-SUM(ERP_8[[#This Row],[AP01 LE2]:[AP07 LE2]])</f>
        <v>0</v>
      </c>
      <c r="AQ492" s="80"/>
      <c r="AR492" s="79">
        <f>ERP_8[[#This Row],[2026 Working Total to Budget/LE]]-ERP_8[[#This Row],[Giveback]]</f>
        <v>0</v>
      </c>
      <c r="AS492" s="81"/>
      <c r="AT492" s="375"/>
      <c r="AU492" s="375"/>
      <c r="AV492" s="375">
        <v>-551382.25</v>
      </c>
      <c r="AW492" s="375">
        <v>0</v>
      </c>
      <c r="AX492" s="375">
        <v>0</v>
      </c>
      <c r="AY492" s="375">
        <v>0</v>
      </c>
      <c r="AZ492" s="375">
        <v>0</v>
      </c>
      <c r="BA492" s="375">
        <v>0</v>
      </c>
      <c r="BB492" s="375">
        <v>0</v>
      </c>
      <c r="BC492" s="375">
        <v>0</v>
      </c>
      <c r="BD492" s="375">
        <v>0</v>
      </c>
      <c r="BE492" s="375">
        <v>0</v>
      </c>
      <c r="BF492" s="375">
        <v>-551382.25</v>
      </c>
      <c r="BG492" s="79"/>
      <c r="BH492" s="79"/>
      <c r="BI492" s="79">
        <v>-551382.25</v>
      </c>
      <c r="BJ492" s="79">
        <v>0</v>
      </c>
      <c r="BK492" s="79">
        <v>0</v>
      </c>
      <c r="BL492" s="79">
        <v>0</v>
      </c>
      <c r="BM492" s="79">
        <v>0</v>
      </c>
      <c r="BN492" s="79">
        <v>0</v>
      </c>
      <c r="BO492" s="79">
        <v>0</v>
      </c>
      <c r="BP492" s="79">
        <v>0</v>
      </c>
      <c r="BQ492" s="79">
        <v>0</v>
      </c>
      <c r="BR492" s="79">
        <v>0</v>
      </c>
      <c r="BS492" s="79">
        <v>-551382.25</v>
      </c>
    </row>
    <row r="493" spans="1:71" ht="15" hidden="1" customHeight="1">
      <c r="A493" s="66" t="s">
        <v>2423</v>
      </c>
      <c r="B493" s="737" t="s">
        <v>786</v>
      </c>
      <c r="C493" s="346"/>
      <c r="D493" s="343" t="str">
        <f>_xlfn.TEXTJOIN("_",FALSE,E493,ERP_8[[#This Row],[Expense Category]],ERP_8[[#This Row],[Project Code*]])</f>
        <v>Dougherty, Chris_SOFTWARE_IT-SFT1010-86-OG-US</v>
      </c>
      <c r="E493" s="343" t="s">
        <v>1135</v>
      </c>
      <c r="F493" s="346"/>
      <c r="G493" s="150" t="s">
        <v>1136</v>
      </c>
      <c r="H493" s="150" t="s">
        <v>1135</v>
      </c>
      <c r="I493" s="150" t="s">
        <v>1135</v>
      </c>
      <c r="J493" s="150" t="s">
        <v>1137</v>
      </c>
      <c r="K493" s="511" t="s">
        <v>639</v>
      </c>
      <c r="L493" s="392" t="s">
        <v>2149</v>
      </c>
      <c r="M493" s="343" t="s">
        <v>1231</v>
      </c>
      <c r="N493" s="802" t="s">
        <v>1171</v>
      </c>
      <c r="O493" s="70" t="s">
        <v>604</v>
      </c>
      <c r="P493" s="346"/>
      <c r="Q493" s="346" t="s">
        <v>2424</v>
      </c>
      <c r="R493" s="346"/>
      <c r="S493" s="150" t="s">
        <v>605</v>
      </c>
      <c r="T493" s="150" t="s">
        <v>2425</v>
      </c>
      <c r="U493" s="403"/>
      <c r="V493" s="406">
        <v>4356984</v>
      </c>
      <c r="W493" s="406">
        <v>4356986.0199999996</v>
      </c>
      <c r="X493" s="425"/>
      <c r="Y493" s="71"/>
      <c r="Z493" s="784"/>
      <c r="AA493" s="780">
        <v>726165.35</v>
      </c>
      <c r="AB493" s="780">
        <v>363082.67</v>
      </c>
      <c r="AC493" s="428">
        <v>0</v>
      </c>
      <c r="AD493" s="429">
        <v>726165.34</v>
      </c>
      <c r="AE493" s="429">
        <v>363082.67</v>
      </c>
      <c r="AF493" s="429">
        <v>0</v>
      </c>
      <c r="AG493" s="363">
        <f>363082+363082</f>
        <v>726164</v>
      </c>
      <c r="AH493" s="363">
        <v>363082</v>
      </c>
      <c r="AI493" s="363">
        <f>363082-363082</f>
        <v>0</v>
      </c>
      <c r="AJ493" s="363">
        <f>363082+363082</f>
        <v>726164</v>
      </c>
      <c r="AK493" s="363">
        <v>363082</v>
      </c>
      <c r="AL493" s="360">
        <f t="shared" si="30"/>
        <v>4356988.0299999993</v>
      </c>
      <c r="AM493" s="362">
        <f>ERP_8[[#This Row],[2026 Working Total]]-ERP_8[[#This Row],[LE2 Final Submission]]</f>
        <v>2.0099999997764826</v>
      </c>
      <c r="AN493" s="79">
        <v>0</v>
      </c>
      <c r="AO493" s="79">
        <f t="shared" si="31"/>
        <v>363082.67</v>
      </c>
      <c r="AP493" s="374">
        <f>SUM(ERP_8[[#This Row],[AP01]:[AP07]])-SUM(ERP_8[[#This Row],[AP01 LE2]:[AP07 LE2]])</f>
        <v>2.0099999997764826</v>
      </c>
      <c r="AQ493" s="80"/>
      <c r="AR493" s="79">
        <f>ERP_8[[#This Row],[2026 Working Total to Budget/LE]]-ERP_8[[#This Row],[Giveback]]</f>
        <v>2.0099999997764826</v>
      </c>
      <c r="AS493" s="81"/>
      <c r="AT493" s="375"/>
      <c r="AU493" s="375">
        <v>726165.35</v>
      </c>
      <c r="AV493" s="375">
        <v>363082.67</v>
      </c>
      <c r="AW493" s="375">
        <v>0</v>
      </c>
      <c r="AX493" s="375">
        <v>726164</v>
      </c>
      <c r="AY493" s="375">
        <v>363082</v>
      </c>
      <c r="AZ493" s="375">
        <v>0</v>
      </c>
      <c r="BA493" s="375">
        <v>726164</v>
      </c>
      <c r="BB493" s="375">
        <v>363082</v>
      </c>
      <c r="BC493" s="375">
        <v>0</v>
      </c>
      <c r="BD493" s="375">
        <v>726164</v>
      </c>
      <c r="BE493" s="375">
        <v>363082</v>
      </c>
      <c r="BF493" s="375">
        <v>4356986.0199999996</v>
      </c>
      <c r="BG493" s="79"/>
      <c r="BH493" s="79">
        <v>726165.35</v>
      </c>
      <c r="BI493" s="79">
        <v>363082.67</v>
      </c>
      <c r="BJ493" s="79">
        <v>363082</v>
      </c>
      <c r="BK493" s="79">
        <v>363082</v>
      </c>
      <c r="BL493" s="79">
        <v>363082</v>
      </c>
      <c r="BM493" s="79">
        <v>363082</v>
      </c>
      <c r="BN493" s="79">
        <v>363082</v>
      </c>
      <c r="BO493" s="79">
        <v>363082</v>
      </c>
      <c r="BP493" s="79">
        <v>363082</v>
      </c>
      <c r="BQ493" s="79">
        <v>363082</v>
      </c>
      <c r="BR493" s="79">
        <v>363082</v>
      </c>
      <c r="BS493" s="79">
        <v>4356986.0199999996</v>
      </c>
    </row>
    <row r="494" spans="1:71" ht="15" hidden="1" customHeight="1">
      <c r="A494" s="66" t="s">
        <v>2426</v>
      </c>
      <c r="B494" s="737" t="s">
        <v>787</v>
      </c>
      <c r="C494" s="346"/>
      <c r="D494" s="343" t="str">
        <f>_xlfn.TEXTJOIN("_",FALSE,E494,ERP_8[[#This Row],[Expense Category]],ERP_8[[#This Row],[Project Code*]])</f>
        <v>Dougherty, Chris_SOFTWARE_IT-SFT1012-86-OG-US</v>
      </c>
      <c r="E494" s="343" t="s">
        <v>1135</v>
      </c>
      <c r="F494" s="346"/>
      <c r="G494" s="150" t="s">
        <v>1136</v>
      </c>
      <c r="H494" s="150" t="s">
        <v>1135</v>
      </c>
      <c r="I494" s="150" t="s">
        <v>1135</v>
      </c>
      <c r="J494" s="150" t="s">
        <v>1137</v>
      </c>
      <c r="K494" s="511" t="s">
        <v>639</v>
      </c>
      <c r="L494" s="392" t="s">
        <v>2427</v>
      </c>
      <c r="M494" s="343" t="s">
        <v>2428</v>
      </c>
      <c r="N494" s="802" t="s">
        <v>1171</v>
      </c>
      <c r="O494" s="70" t="s">
        <v>788</v>
      </c>
      <c r="P494" s="346"/>
      <c r="Q494" s="343"/>
      <c r="R494" s="346"/>
      <c r="S494" s="150" t="s">
        <v>789</v>
      </c>
      <c r="T494" s="150"/>
      <c r="U494" s="403"/>
      <c r="V494" s="406">
        <v>5012</v>
      </c>
      <c r="W494" s="406">
        <v>2512</v>
      </c>
      <c r="X494" s="430"/>
      <c r="Y494" s="137"/>
      <c r="Z494" s="784"/>
      <c r="AA494" s="780"/>
      <c r="AB494" s="780"/>
      <c r="AC494" s="428" t="s">
        <v>1142</v>
      </c>
      <c r="AD494" s="429">
        <v>0</v>
      </c>
      <c r="AE494" s="429">
        <v>0</v>
      </c>
      <c r="AF494" s="429" t="s">
        <v>1142</v>
      </c>
      <c r="AG494" s="360">
        <v>0</v>
      </c>
      <c r="AH494" s="360">
        <v>0</v>
      </c>
      <c r="AI494" s="360">
        <v>0</v>
      </c>
      <c r="AJ494" s="363">
        <v>2512</v>
      </c>
      <c r="AK494" s="360">
        <v>0</v>
      </c>
      <c r="AL494" s="360">
        <f t="shared" si="30"/>
        <v>2512</v>
      </c>
      <c r="AM494" s="362">
        <f>ERP_8[[#This Row],[2026 Working Total]]-ERP_8[[#This Row],[LE2 Final Submission]]</f>
        <v>0</v>
      </c>
      <c r="AN494" s="79">
        <v>0</v>
      </c>
      <c r="AO494" s="79">
        <f t="shared" si="31"/>
        <v>0</v>
      </c>
      <c r="AP494" s="374">
        <f>SUM(ERP_8[[#This Row],[AP01]:[AP07]])-SUM(ERP_8[[#This Row],[AP01 LE2]:[AP07 LE2]])</f>
        <v>0</v>
      </c>
      <c r="AQ494" s="80"/>
      <c r="AR494" s="79">
        <f>ERP_8[[#This Row],[2026 Working Total to Budget/LE]]-ERP_8[[#This Row],[Giveback]]</f>
        <v>0</v>
      </c>
      <c r="AS494" s="81"/>
      <c r="AT494" s="375"/>
      <c r="AU494" s="375"/>
      <c r="AV494" s="375"/>
      <c r="AW494" s="375"/>
      <c r="AX494" s="375"/>
      <c r="AY494" s="375"/>
      <c r="AZ494" s="375">
        <v>0</v>
      </c>
      <c r="BA494" s="375">
        <v>0</v>
      </c>
      <c r="BB494" s="375">
        <v>0</v>
      </c>
      <c r="BC494" s="375">
        <v>0</v>
      </c>
      <c r="BD494" s="375">
        <v>2512</v>
      </c>
      <c r="BE494" s="375">
        <v>0</v>
      </c>
      <c r="BF494" s="375">
        <v>2512</v>
      </c>
      <c r="BG494" s="79"/>
      <c r="BH494" s="79"/>
      <c r="BI494" s="79"/>
      <c r="BJ494" s="79"/>
      <c r="BK494" s="79"/>
      <c r="BL494" s="79">
        <v>2500</v>
      </c>
      <c r="BM494" s="79">
        <v>0</v>
      </c>
      <c r="BN494" s="79">
        <v>0</v>
      </c>
      <c r="BO494" s="79">
        <v>0</v>
      </c>
      <c r="BP494" s="79">
        <v>0</v>
      </c>
      <c r="BQ494" s="79">
        <v>2512</v>
      </c>
      <c r="BR494" s="79">
        <v>0</v>
      </c>
      <c r="BS494" s="79">
        <v>5012</v>
      </c>
    </row>
    <row r="495" spans="1:71" ht="15" hidden="1" customHeight="1">
      <c r="A495" s="79" t="s">
        <v>2429</v>
      </c>
      <c r="B495" s="749" t="s">
        <v>2430</v>
      </c>
      <c r="C495" s="348"/>
      <c r="D495" s="347" t="str">
        <f>_xlfn.TEXTJOIN("_",FALSE,E495,ERP_8[[#This Row],[Expense Category]],ERP_8[[#This Row],[Project Code*]])</f>
        <v>Dougherty, Chris_SOFTWARE_IT-SFT1023-86-OG-US</v>
      </c>
      <c r="E495" s="347" t="s">
        <v>1135</v>
      </c>
      <c r="F495" s="348"/>
      <c r="G495" s="150" t="s">
        <v>1136</v>
      </c>
      <c r="H495" s="332" t="s">
        <v>1135</v>
      </c>
      <c r="I495" s="382" t="s">
        <v>1161</v>
      </c>
      <c r="J495" s="333" t="s">
        <v>1137</v>
      </c>
      <c r="K495" s="512" t="s">
        <v>639</v>
      </c>
      <c r="L495" s="394" t="s">
        <v>2431</v>
      </c>
      <c r="M495" s="343" t="s">
        <v>2432</v>
      </c>
      <c r="N495" s="467" t="s">
        <v>1252</v>
      </c>
      <c r="O495" s="122" t="s">
        <v>791</v>
      </c>
      <c r="P495" s="347"/>
      <c r="Q495" s="346" t="s">
        <v>2433</v>
      </c>
      <c r="R495" s="346" t="s">
        <v>1710</v>
      </c>
      <c r="S495" s="384" t="s">
        <v>792</v>
      </c>
      <c r="T495" s="387" t="s">
        <v>2434</v>
      </c>
      <c r="U495" s="437"/>
      <c r="V495" s="358">
        <v>56404</v>
      </c>
      <c r="W495" s="378">
        <v>0</v>
      </c>
      <c r="X495" s="425"/>
      <c r="Y495" s="71"/>
      <c r="Z495" s="783"/>
      <c r="AA495" s="795"/>
      <c r="AB495" s="795"/>
      <c r="AC495" s="429" t="s">
        <v>1142</v>
      </c>
      <c r="AD495" s="429">
        <v>0</v>
      </c>
      <c r="AE495" s="429">
        <v>0</v>
      </c>
      <c r="AF495" s="429" t="s">
        <v>1142</v>
      </c>
      <c r="AG495" s="388">
        <v>0</v>
      </c>
      <c r="AH495" s="388">
        <v>0</v>
      </c>
      <c r="AI495" s="388">
        <v>0</v>
      </c>
      <c r="AJ495" s="388">
        <v>0</v>
      </c>
      <c r="AK495" s="388">
        <v>0</v>
      </c>
      <c r="AL495" s="360">
        <f t="shared" si="30"/>
        <v>0</v>
      </c>
      <c r="AM495" s="362">
        <f>ERP_8[[#This Row],[2026 Working Total]]-ERP_8[[#This Row],[LE2 Final Submission]]</f>
        <v>0</v>
      </c>
      <c r="AN495" s="79">
        <v>0</v>
      </c>
      <c r="AO495" s="79">
        <f t="shared" si="31"/>
        <v>0</v>
      </c>
      <c r="AP495" s="374">
        <f>SUM(ERP_8[[#This Row],[AP01]:[AP07]])-SUM(ERP_8[[#This Row],[AP01 LE2]:[AP07 LE2]])</f>
        <v>0</v>
      </c>
      <c r="AQ495" s="80"/>
      <c r="AR495" s="79">
        <f>ERP_8[[#This Row],[2026 Working Total to Budget/LE]]-ERP_8[[#This Row],[Giveback]]</f>
        <v>0</v>
      </c>
      <c r="AS495" s="81"/>
      <c r="AT495" s="375"/>
      <c r="AU495" s="375"/>
      <c r="AV495" s="375"/>
      <c r="AW495" s="375">
        <v>0</v>
      </c>
      <c r="AX495" s="375">
        <v>0</v>
      </c>
      <c r="AY495" s="375">
        <v>0</v>
      </c>
      <c r="AZ495" s="375">
        <v>0</v>
      </c>
      <c r="BA495" s="375">
        <v>0</v>
      </c>
      <c r="BB495" s="375">
        <v>0</v>
      </c>
      <c r="BC495" s="375">
        <v>0</v>
      </c>
      <c r="BD495" s="375">
        <v>0</v>
      </c>
      <c r="BE495" s="375">
        <v>0</v>
      </c>
      <c r="BF495" s="375">
        <v>0</v>
      </c>
      <c r="BG495" s="103">
        <v>56404</v>
      </c>
      <c r="BH495" s="103">
        <v>0</v>
      </c>
      <c r="BI495" s="103">
        <v>0</v>
      </c>
      <c r="BJ495" s="103">
        <v>0</v>
      </c>
      <c r="BK495" s="103">
        <v>0</v>
      </c>
      <c r="BL495" s="103">
        <v>0</v>
      </c>
      <c r="BM495" s="103">
        <v>0</v>
      </c>
      <c r="BN495" s="103">
        <v>0</v>
      </c>
      <c r="BO495" s="103">
        <v>0</v>
      </c>
      <c r="BP495" s="103">
        <v>0</v>
      </c>
      <c r="BQ495" s="103">
        <v>0</v>
      </c>
      <c r="BR495" s="103">
        <v>0</v>
      </c>
      <c r="BS495" s="79">
        <f>SUM(ERP_8[[#This Row],[2026 AP01]:[2026 AP12]])</f>
        <v>56404</v>
      </c>
    </row>
    <row r="496" spans="1:71" ht="15" hidden="1" customHeight="1">
      <c r="A496" s="79" t="s">
        <v>2435</v>
      </c>
      <c r="B496" s="749" t="s">
        <v>2436</v>
      </c>
      <c r="C496" s="348"/>
      <c r="D496" s="347" t="str">
        <f>_xlfn.TEXTJOIN("_",FALSE,E496,ERP_8[[#This Row],[Expense Category]],ERP_8[[#This Row],[Project Code*]])</f>
        <v>Dougherty, Chris_SOFTWARE_IT-SFT1023-86-OG-US/PF</v>
      </c>
      <c r="E496" s="347" t="s">
        <v>1135</v>
      </c>
      <c r="F496" s="348"/>
      <c r="G496" s="150" t="s">
        <v>1136</v>
      </c>
      <c r="H496" s="332" t="s">
        <v>1135</v>
      </c>
      <c r="I496" s="382" t="s">
        <v>1161</v>
      </c>
      <c r="J496" s="333" t="s">
        <v>1137</v>
      </c>
      <c r="K496" s="512" t="s">
        <v>639</v>
      </c>
      <c r="L496" s="394" t="s">
        <v>2437</v>
      </c>
      <c r="M496" s="343" t="s">
        <v>2432</v>
      </c>
      <c r="N496" s="467" t="s">
        <v>1252</v>
      </c>
      <c r="O496" s="122" t="s">
        <v>794</v>
      </c>
      <c r="P496" s="347"/>
      <c r="Q496" s="346" t="s">
        <v>2433</v>
      </c>
      <c r="R496" s="346" t="s">
        <v>1710</v>
      </c>
      <c r="S496" s="384" t="s">
        <v>792</v>
      </c>
      <c r="T496" s="387" t="s">
        <v>2438</v>
      </c>
      <c r="U496" s="437"/>
      <c r="V496" s="358">
        <v>-56404</v>
      </c>
      <c r="W496" s="378">
        <v>0</v>
      </c>
      <c r="X496" s="425"/>
      <c r="Y496" s="71"/>
      <c r="Z496" s="783"/>
      <c r="AA496" s="795"/>
      <c r="AB496" s="795"/>
      <c r="AC496" s="428" t="s">
        <v>1142</v>
      </c>
      <c r="AD496" s="429">
        <v>0</v>
      </c>
      <c r="AE496" s="429">
        <v>0</v>
      </c>
      <c r="AF496" s="429" t="s">
        <v>1142</v>
      </c>
      <c r="AG496" s="388">
        <v>0</v>
      </c>
      <c r="AH496" s="388">
        <v>0</v>
      </c>
      <c r="AI496" s="388">
        <v>0</v>
      </c>
      <c r="AJ496" s="388">
        <v>0</v>
      </c>
      <c r="AK496" s="388">
        <v>0</v>
      </c>
      <c r="AL496" s="360">
        <f t="shared" si="30"/>
        <v>0</v>
      </c>
      <c r="AM496" s="362">
        <f>ERP_8[[#This Row],[2026 Working Total]]-ERP_8[[#This Row],[LE2 Final Submission]]</f>
        <v>0</v>
      </c>
      <c r="AN496" s="79">
        <v>0</v>
      </c>
      <c r="AO496" s="79">
        <f t="shared" si="31"/>
        <v>0</v>
      </c>
      <c r="AP496" s="374">
        <f>SUM(ERP_8[[#This Row],[AP01]:[AP07]])-SUM(ERP_8[[#This Row],[AP01 LE2]:[AP07 LE2]])</f>
        <v>0</v>
      </c>
      <c r="AQ496" s="80"/>
      <c r="AR496" s="79">
        <f>ERP_8[[#This Row],[2026 Working Total to Budget/LE]]-ERP_8[[#This Row],[Giveback]]</f>
        <v>0</v>
      </c>
      <c r="AS496" s="81"/>
      <c r="AT496" s="375"/>
      <c r="AU496" s="375"/>
      <c r="AV496" s="375"/>
      <c r="AW496" s="375">
        <v>0</v>
      </c>
      <c r="AX496" s="375">
        <v>0</v>
      </c>
      <c r="AY496" s="375">
        <v>0</v>
      </c>
      <c r="AZ496" s="375">
        <v>0</v>
      </c>
      <c r="BA496" s="375">
        <v>0</v>
      </c>
      <c r="BB496" s="375">
        <v>0</v>
      </c>
      <c r="BC496" s="375">
        <v>0</v>
      </c>
      <c r="BD496" s="375">
        <v>0</v>
      </c>
      <c r="BE496" s="375">
        <v>0</v>
      </c>
      <c r="BF496" s="375">
        <v>0</v>
      </c>
      <c r="BG496" s="103">
        <v>-56404</v>
      </c>
      <c r="BH496" s="103">
        <v>0</v>
      </c>
      <c r="BI496" s="103">
        <v>0</v>
      </c>
      <c r="BJ496" s="103">
        <v>0</v>
      </c>
      <c r="BK496" s="103">
        <v>0</v>
      </c>
      <c r="BL496" s="103">
        <v>0</v>
      </c>
      <c r="BM496" s="103">
        <v>0</v>
      </c>
      <c r="BN496" s="103">
        <v>0</v>
      </c>
      <c r="BO496" s="103">
        <v>0</v>
      </c>
      <c r="BP496" s="103">
        <v>0</v>
      </c>
      <c r="BQ496" s="103">
        <v>0</v>
      </c>
      <c r="BR496" s="103">
        <v>0</v>
      </c>
      <c r="BS496" s="79">
        <f>SUM(ERP_8[[#This Row],[2026 AP01]:[2026 AP12]])</f>
        <v>-56404</v>
      </c>
    </row>
    <row r="497" spans="1:71" ht="15" hidden="1" customHeight="1">
      <c r="A497" s="66" t="s">
        <v>2439</v>
      </c>
      <c r="B497" s="737" t="s">
        <v>2440</v>
      </c>
      <c r="C497" s="346"/>
      <c r="D497" s="343" t="str">
        <f>_xlfn.TEXTJOIN("_",FALSE,E497,ERP_8[[#This Row],[Expense Category]],ERP_8[[#This Row],[Project Code*]])</f>
        <v>Dougherty, Chris_SOFTWARE_IT-SFT1119-86-OG-US</v>
      </c>
      <c r="E497" s="343" t="s">
        <v>1135</v>
      </c>
      <c r="F497" s="346"/>
      <c r="G497" s="150" t="s">
        <v>1136</v>
      </c>
      <c r="H497" s="150" t="s">
        <v>1135</v>
      </c>
      <c r="I497" s="150" t="s">
        <v>1137</v>
      </c>
      <c r="J497" s="150" t="s">
        <v>1137</v>
      </c>
      <c r="K497" s="511" t="s">
        <v>639</v>
      </c>
      <c r="L497" s="392" t="s">
        <v>2441</v>
      </c>
      <c r="M497" s="343"/>
      <c r="N497" s="800"/>
      <c r="O497" s="70" t="s">
        <v>796</v>
      </c>
      <c r="P497" s="346"/>
      <c r="Q497" s="343"/>
      <c r="R497" s="346"/>
      <c r="S497" s="150" t="s">
        <v>680</v>
      </c>
      <c r="T497" s="150"/>
      <c r="U497" s="403"/>
      <c r="V497" s="406">
        <v>1200</v>
      </c>
      <c r="W497" s="406">
        <v>600</v>
      </c>
      <c r="X497" s="425"/>
      <c r="Y497" s="71"/>
      <c r="Z497" s="784"/>
      <c r="AA497" s="780"/>
      <c r="AB497" s="780"/>
      <c r="AC497" s="428" t="s">
        <v>1142</v>
      </c>
      <c r="AD497" s="429">
        <v>0</v>
      </c>
      <c r="AE497" s="429">
        <v>0</v>
      </c>
      <c r="AF497" s="429" t="s">
        <v>1142</v>
      </c>
      <c r="AG497" s="360">
        <v>0</v>
      </c>
      <c r="AH497" s="360">
        <v>0</v>
      </c>
      <c r="AI497" s="360">
        <v>0</v>
      </c>
      <c r="AJ497" s="360">
        <v>0</v>
      </c>
      <c r="AK497" s="360">
        <v>0</v>
      </c>
      <c r="AL497" s="360">
        <f t="shared" si="30"/>
        <v>0</v>
      </c>
      <c r="AM497" s="362">
        <f>ERP_8[[#This Row],[2026 Working Total]]-ERP_8[[#This Row],[LE2 Final Submission]]</f>
        <v>-600</v>
      </c>
      <c r="AN497" s="79">
        <v>600</v>
      </c>
      <c r="AO497" s="79">
        <f t="shared" si="31"/>
        <v>-600</v>
      </c>
      <c r="AP497" s="374">
        <f>SUM(ERP_8[[#This Row],[AP01]:[AP07]])-SUM(ERP_8[[#This Row],[AP01 LE2]:[AP07 LE2]])</f>
        <v>-600</v>
      </c>
      <c r="AQ497" s="80"/>
      <c r="AR497" s="79">
        <f>ERP_8[[#This Row],[2026 Working Total to Budget/LE]]-ERP_8[[#This Row],[Giveback]]</f>
        <v>-600</v>
      </c>
      <c r="AS497" s="81"/>
      <c r="AT497" s="375"/>
      <c r="AU497" s="375"/>
      <c r="AV497" s="375"/>
      <c r="AW497" s="375"/>
      <c r="AX497" s="375"/>
      <c r="AY497" s="375"/>
      <c r="AZ497" s="375">
        <v>600</v>
      </c>
      <c r="BA497" s="375">
        <v>0</v>
      </c>
      <c r="BB497" s="375">
        <v>0</v>
      </c>
      <c r="BC497" s="375">
        <v>0</v>
      </c>
      <c r="BD497" s="375">
        <v>0</v>
      </c>
      <c r="BE497" s="375">
        <v>0</v>
      </c>
      <c r="BF497" s="375">
        <v>600</v>
      </c>
      <c r="BG497" s="79"/>
      <c r="BH497" s="79"/>
      <c r="BI497" s="79"/>
      <c r="BJ497" s="79"/>
      <c r="BK497" s="79"/>
      <c r="BL497" s="79"/>
      <c r="BM497" s="79">
        <v>600</v>
      </c>
      <c r="BN497" s="79">
        <v>0</v>
      </c>
      <c r="BO497" s="79">
        <v>0</v>
      </c>
      <c r="BP497" s="79">
        <v>0</v>
      </c>
      <c r="BQ497" s="79">
        <v>0</v>
      </c>
      <c r="BR497" s="79">
        <v>0</v>
      </c>
      <c r="BS497" s="79">
        <v>600</v>
      </c>
    </row>
    <row r="498" spans="1:71" ht="15" hidden="1" customHeight="1">
      <c r="A498" s="215" t="s">
        <v>2442</v>
      </c>
      <c r="B498" s="732" t="s">
        <v>2443</v>
      </c>
      <c r="C498" s="346"/>
      <c r="D498" s="343" t="str">
        <f>_xlfn.TEXTJOIN("_",FALSE,E498,ERP_8[[#This Row],[Expense Category]],ERP_8[[#This Row],[Project Code*]])</f>
        <v>Dougherty, Chris_SOFTWARE_IT-SFT1121-86-OG-US</v>
      </c>
      <c r="E498" s="343" t="s">
        <v>1135</v>
      </c>
      <c r="F498" s="346"/>
      <c r="G498" s="150" t="s">
        <v>1136</v>
      </c>
      <c r="H498" s="334" t="s">
        <v>1135</v>
      </c>
      <c r="I498" s="334" t="s">
        <v>1137</v>
      </c>
      <c r="J498" s="334" t="s">
        <v>1137</v>
      </c>
      <c r="K498" s="516" t="s">
        <v>639</v>
      </c>
      <c r="L498" s="398" t="s">
        <v>2444</v>
      </c>
      <c r="M498" s="343"/>
      <c r="N498" s="807"/>
      <c r="O498" s="219" t="s">
        <v>798</v>
      </c>
      <c r="P498" s="349"/>
      <c r="Q498" s="343"/>
      <c r="R498" s="349"/>
      <c r="S498" s="334" t="s">
        <v>680</v>
      </c>
      <c r="T498" s="525" t="s">
        <v>1141</v>
      </c>
      <c r="U498" s="403"/>
      <c r="V498" s="406">
        <v>600</v>
      </c>
      <c r="W498" s="406">
        <v>600</v>
      </c>
      <c r="X498" s="425"/>
      <c r="Y498" s="71"/>
      <c r="Z498" s="789"/>
      <c r="AA498" s="785"/>
      <c r="AB498" s="785"/>
      <c r="AC498" s="428" t="s">
        <v>1142</v>
      </c>
      <c r="AD498" s="429">
        <v>0</v>
      </c>
      <c r="AE498" s="429">
        <v>0</v>
      </c>
      <c r="AF498" s="429" t="s">
        <v>1142</v>
      </c>
      <c r="AG498" s="369"/>
      <c r="AH498" s="369"/>
      <c r="AI498" s="369"/>
      <c r="AJ498" s="369"/>
      <c r="AK498" s="369">
        <v>600</v>
      </c>
      <c r="AL498" s="367">
        <f t="shared" si="30"/>
        <v>600</v>
      </c>
      <c r="AM498" s="362">
        <f>ERP_8[[#This Row],[2026 Working Total]]-ERP_8[[#This Row],[LE2 Final Submission]]</f>
        <v>0</v>
      </c>
      <c r="AN498" s="79"/>
      <c r="AO498" s="227">
        <f t="shared" si="31"/>
        <v>0</v>
      </c>
      <c r="AP498" s="374">
        <f>SUM(ERP_8[[#This Row],[AP01]:[AP07]])-SUM(ERP_8[[#This Row],[AP01 LE2]:[AP07 LE2]])</f>
        <v>0</v>
      </c>
      <c r="AQ498" s="80"/>
      <c r="AR498" s="79">
        <f>ERP_8[[#This Row],[2026 Working Total to Budget/LE]]-ERP_8[[#This Row],[Giveback]]</f>
        <v>0</v>
      </c>
      <c r="AS498" s="81"/>
      <c r="AT498" s="375"/>
      <c r="AU498" s="375"/>
      <c r="AV498" s="375"/>
      <c r="AW498" s="375"/>
      <c r="AX498" s="375"/>
      <c r="AY498" s="375"/>
      <c r="AZ498" s="375"/>
      <c r="BA498" s="375"/>
      <c r="BB498" s="375"/>
      <c r="BC498" s="375"/>
      <c r="BD498" s="375"/>
      <c r="BE498" s="375">
        <v>600</v>
      </c>
      <c r="BF498" s="375">
        <v>600</v>
      </c>
      <c r="BG498" s="227"/>
      <c r="BH498" s="227"/>
      <c r="BI498" s="227"/>
      <c r="BJ498" s="227"/>
      <c r="BK498" s="227"/>
      <c r="BL498" s="227"/>
      <c r="BM498" s="227"/>
      <c r="BN498" s="227"/>
      <c r="BO498" s="227"/>
      <c r="BP498" s="227"/>
      <c r="BQ498" s="227"/>
      <c r="BR498" s="227">
        <v>600</v>
      </c>
      <c r="BS498" s="227">
        <v>600</v>
      </c>
    </row>
    <row r="499" spans="1:71" ht="15" hidden="1" customHeight="1">
      <c r="A499" s="227" t="s">
        <v>2445</v>
      </c>
      <c r="B499" s="745" t="s">
        <v>2446</v>
      </c>
      <c r="C499" s="348"/>
      <c r="D499" s="347" t="str">
        <f>_xlfn.TEXTJOIN("_",FALSE,E499,ERP_8[[#This Row],[Expense Category]],ERP_8[[#This Row],[Project Code*]])</f>
        <v>Dougherty, Chris_SOFTWARE_IT-SFT1147-86-OG-US</v>
      </c>
      <c r="E499" s="347" t="s">
        <v>1135</v>
      </c>
      <c r="F499" s="348"/>
      <c r="G499" s="150" t="s">
        <v>1136</v>
      </c>
      <c r="H499" s="336" t="s">
        <v>1135</v>
      </c>
      <c r="I499" s="338" t="s">
        <v>1156</v>
      </c>
      <c r="J499" s="339" t="s">
        <v>1137</v>
      </c>
      <c r="K499" s="517" t="s">
        <v>639</v>
      </c>
      <c r="L499" s="399" t="s">
        <v>2447</v>
      </c>
      <c r="M499" s="343" t="s">
        <v>1251</v>
      </c>
      <c r="N499" s="806" t="s">
        <v>1252</v>
      </c>
      <c r="O499" s="235" t="s">
        <v>800</v>
      </c>
      <c r="P499" s="351"/>
      <c r="Q499" s="346" t="s">
        <v>2448</v>
      </c>
      <c r="R499" s="353" t="s">
        <v>1710</v>
      </c>
      <c r="S499" s="352" t="s">
        <v>801</v>
      </c>
      <c r="T499" s="356" t="s">
        <v>2449</v>
      </c>
      <c r="U499" s="432"/>
      <c r="V499" s="358">
        <v>120000</v>
      </c>
      <c r="W499" s="378">
        <v>0</v>
      </c>
      <c r="X499" s="425"/>
      <c r="Y499" s="71"/>
      <c r="Z499" s="790"/>
      <c r="AA499" s="786"/>
      <c r="AB499" s="786"/>
      <c r="AC499" s="428" t="s">
        <v>1142</v>
      </c>
      <c r="AD499" s="429">
        <v>0</v>
      </c>
      <c r="AE499" s="429">
        <v>0</v>
      </c>
      <c r="AF499" s="429" t="s">
        <v>1142</v>
      </c>
      <c r="AG499" s="370">
        <v>0</v>
      </c>
      <c r="AH499" s="370">
        <v>0</v>
      </c>
      <c r="AI499" s="370">
        <v>0</v>
      </c>
      <c r="AJ499" s="370">
        <v>0</v>
      </c>
      <c r="AK499" s="370">
        <v>0</v>
      </c>
      <c r="AL499" s="367">
        <f t="shared" si="30"/>
        <v>0</v>
      </c>
      <c r="AM499" s="362">
        <f>ERP_8[[#This Row],[2026 Working Total]]-ERP_8[[#This Row],[LE2 Final Submission]]</f>
        <v>0</v>
      </c>
      <c r="AN499" s="79">
        <v>0</v>
      </c>
      <c r="AO499" s="227">
        <f t="shared" si="31"/>
        <v>0</v>
      </c>
      <c r="AP499" s="374">
        <f>SUM(ERP_8[[#This Row],[AP01]:[AP07]])-SUM(ERP_8[[#This Row],[AP01 LE2]:[AP07 LE2]])</f>
        <v>0</v>
      </c>
      <c r="AQ499" s="80"/>
      <c r="AR499" s="79">
        <f>ERP_8[[#This Row],[2026 Working Total to Budget/LE]]-ERP_8[[#This Row],[Giveback]]</f>
        <v>0</v>
      </c>
      <c r="AS499" s="81"/>
      <c r="AT499" s="375"/>
      <c r="AU499" s="375"/>
      <c r="AV499" s="375"/>
      <c r="AW499" s="375">
        <v>0</v>
      </c>
      <c r="AX499" s="375">
        <v>0</v>
      </c>
      <c r="AY499" s="375">
        <v>0</v>
      </c>
      <c r="AZ499" s="375">
        <v>0</v>
      </c>
      <c r="BA499" s="375">
        <v>0</v>
      </c>
      <c r="BB499" s="375">
        <v>0</v>
      </c>
      <c r="BC499" s="375">
        <v>0</v>
      </c>
      <c r="BD499" s="375">
        <v>0</v>
      </c>
      <c r="BE499" s="375">
        <v>0</v>
      </c>
      <c r="BF499" s="375">
        <v>0</v>
      </c>
      <c r="BG499" s="246">
        <v>120000</v>
      </c>
      <c r="BH499" s="246">
        <v>0</v>
      </c>
      <c r="BI499" s="246">
        <v>0</v>
      </c>
      <c r="BJ499" s="246">
        <v>0</v>
      </c>
      <c r="BK499" s="246">
        <v>0</v>
      </c>
      <c r="BL499" s="246">
        <v>0</v>
      </c>
      <c r="BM499" s="246">
        <v>0</v>
      </c>
      <c r="BN499" s="246">
        <v>0</v>
      </c>
      <c r="BO499" s="246">
        <v>0</v>
      </c>
      <c r="BP499" s="246">
        <v>0</v>
      </c>
      <c r="BQ499" s="246">
        <v>0</v>
      </c>
      <c r="BR499" s="246">
        <v>0</v>
      </c>
      <c r="BS499" s="227">
        <f>SUM(ERP_8[[#This Row],[2026 AP01]:[2026 AP12]])</f>
        <v>120000</v>
      </c>
    </row>
    <row r="500" spans="1:71" ht="15" hidden="1" customHeight="1">
      <c r="A500" s="227" t="s">
        <v>2450</v>
      </c>
      <c r="B500" s="745" t="s">
        <v>2451</v>
      </c>
      <c r="C500" s="348"/>
      <c r="D500" s="347" t="str">
        <f>_xlfn.TEXTJOIN("_",FALSE,E500,ERP_8[[#This Row],[Expense Category]],ERP_8[[#This Row],[Project Code*]])</f>
        <v>Dougherty, Chris_SOFTWARE_IT-SFT1147-86-OG-US/PF</v>
      </c>
      <c r="E500" s="347" t="s">
        <v>1135</v>
      </c>
      <c r="F500" s="348"/>
      <c r="G500" s="150" t="s">
        <v>1136</v>
      </c>
      <c r="H500" s="336" t="s">
        <v>1135</v>
      </c>
      <c r="I500" s="338" t="s">
        <v>1156</v>
      </c>
      <c r="J500" s="339" t="s">
        <v>1137</v>
      </c>
      <c r="K500" s="517" t="s">
        <v>639</v>
      </c>
      <c r="L500" s="399" t="s">
        <v>2452</v>
      </c>
      <c r="M500" s="343" t="s">
        <v>1251</v>
      </c>
      <c r="N500" s="806" t="s">
        <v>1252</v>
      </c>
      <c r="O500" s="235" t="s">
        <v>803</v>
      </c>
      <c r="P500" s="347"/>
      <c r="Q500" s="346" t="s">
        <v>2448</v>
      </c>
      <c r="R500" s="353" t="s">
        <v>1710</v>
      </c>
      <c r="S500" s="352" t="s">
        <v>801</v>
      </c>
      <c r="T500" s="355" t="s">
        <v>2453</v>
      </c>
      <c r="U500" s="432"/>
      <c r="V500" s="358">
        <v>-120000</v>
      </c>
      <c r="W500" s="378">
        <v>0</v>
      </c>
      <c r="X500" s="425"/>
      <c r="Y500" s="71"/>
      <c r="Z500" s="790"/>
      <c r="AA500" s="786"/>
      <c r="AB500" s="786"/>
      <c r="AC500" s="428" t="s">
        <v>1142</v>
      </c>
      <c r="AD500" s="429">
        <v>0</v>
      </c>
      <c r="AE500" s="429">
        <v>0</v>
      </c>
      <c r="AF500" s="429" t="s">
        <v>1142</v>
      </c>
      <c r="AG500" s="370">
        <v>0</v>
      </c>
      <c r="AH500" s="370">
        <v>0</v>
      </c>
      <c r="AI500" s="370">
        <v>0</v>
      </c>
      <c r="AJ500" s="370">
        <v>0</v>
      </c>
      <c r="AK500" s="370">
        <v>0</v>
      </c>
      <c r="AL500" s="367">
        <f t="shared" si="30"/>
        <v>0</v>
      </c>
      <c r="AM500" s="362">
        <f>ERP_8[[#This Row],[2026 Working Total]]-ERP_8[[#This Row],[LE2 Final Submission]]</f>
        <v>0</v>
      </c>
      <c r="AN500" s="79">
        <v>0</v>
      </c>
      <c r="AO500" s="227">
        <f t="shared" si="31"/>
        <v>0</v>
      </c>
      <c r="AP500" s="374">
        <f>SUM(ERP_8[[#This Row],[AP01]:[AP07]])-SUM(ERP_8[[#This Row],[AP01 LE2]:[AP07 LE2]])</f>
        <v>0</v>
      </c>
      <c r="AQ500" s="80"/>
      <c r="AR500" s="79">
        <f>ERP_8[[#This Row],[2026 Working Total to Budget/LE]]-ERP_8[[#This Row],[Giveback]]</f>
        <v>0</v>
      </c>
      <c r="AS500" s="81"/>
      <c r="AT500" s="375"/>
      <c r="AU500" s="375"/>
      <c r="AV500" s="375"/>
      <c r="AW500" s="375">
        <v>0</v>
      </c>
      <c r="AX500" s="375">
        <v>0</v>
      </c>
      <c r="AY500" s="375">
        <v>0</v>
      </c>
      <c r="AZ500" s="375">
        <v>0</v>
      </c>
      <c r="BA500" s="375">
        <v>0</v>
      </c>
      <c r="BB500" s="375">
        <v>0</v>
      </c>
      <c r="BC500" s="375">
        <v>0</v>
      </c>
      <c r="BD500" s="375">
        <v>0</v>
      </c>
      <c r="BE500" s="375">
        <v>0</v>
      </c>
      <c r="BF500" s="375">
        <v>0</v>
      </c>
      <c r="BG500" s="246">
        <v>-120000</v>
      </c>
      <c r="BH500" s="246">
        <v>0</v>
      </c>
      <c r="BI500" s="246">
        <v>0</v>
      </c>
      <c r="BJ500" s="246">
        <v>0</v>
      </c>
      <c r="BK500" s="246">
        <v>0</v>
      </c>
      <c r="BL500" s="246">
        <v>0</v>
      </c>
      <c r="BM500" s="246">
        <v>0</v>
      </c>
      <c r="BN500" s="246">
        <v>0</v>
      </c>
      <c r="BO500" s="246">
        <v>0</v>
      </c>
      <c r="BP500" s="246">
        <v>0</v>
      </c>
      <c r="BQ500" s="246">
        <v>0</v>
      </c>
      <c r="BR500" s="246">
        <v>0</v>
      </c>
      <c r="BS500" s="227">
        <f>SUM(ERP_8[[#This Row],[2026 AP01]:[2026 AP12]])</f>
        <v>-120000</v>
      </c>
    </row>
    <row r="501" spans="1:71" ht="15" hidden="1" customHeight="1">
      <c r="A501" s="227" t="s">
        <v>2454</v>
      </c>
      <c r="B501" s="745" t="s">
        <v>2455</v>
      </c>
      <c r="C501" s="348"/>
      <c r="D501" s="347" t="str">
        <f>_xlfn.TEXTJOIN("_",FALSE,E501,ERP_8[[#This Row],[Expense Category]],ERP_8[[#This Row],[Project Code*]])</f>
        <v>Dougherty, Chris_SOFTWARE_IT-SFT1172-86-OG-US</v>
      </c>
      <c r="E501" s="347" t="s">
        <v>1135</v>
      </c>
      <c r="F501" s="348"/>
      <c r="G501" s="150" t="s">
        <v>1136</v>
      </c>
      <c r="H501" s="336" t="s">
        <v>1135</v>
      </c>
      <c r="I501" s="338" t="s">
        <v>1145</v>
      </c>
      <c r="J501" s="335" t="s">
        <v>1137</v>
      </c>
      <c r="K501" s="517" t="s">
        <v>639</v>
      </c>
      <c r="L501" s="860" t="s">
        <v>2456</v>
      </c>
      <c r="M501" s="343" t="s">
        <v>2457</v>
      </c>
      <c r="N501" s="865" t="s">
        <v>1186</v>
      </c>
      <c r="O501" s="235" t="s">
        <v>805</v>
      </c>
      <c r="P501" s="343"/>
      <c r="Q501" s="346" t="s">
        <v>2458</v>
      </c>
      <c r="R501" s="349" t="s">
        <v>1710</v>
      </c>
      <c r="S501" s="352" t="s">
        <v>806</v>
      </c>
      <c r="T501" s="355" t="s">
        <v>1348</v>
      </c>
      <c r="U501" s="437"/>
      <c r="V501" s="358">
        <v>99064.42</v>
      </c>
      <c r="W501" s="378">
        <v>0</v>
      </c>
      <c r="X501" s="425"/>
      <c r="Y501" s="71"/>
      <c r="Z501" s="790"/>
      <c r="AA501" s="786"/>
      <c r="AB501" s="786"/>
      <c r="AC501" s="428" t="s">
        <v>1142</v>
      </c>
      <c r="AD501" s="429">
        <v>0</v>
      </c>
      <c r="AE501" s="429">
        <v>0</v>
      </c>
      <c r="AF501" s="429" t="s">
        <v>1142</v>
      </c>
      <c r="AG501" s="370">
        <v>0</v>
      </c>
      <c r="AH501" s="370">
        <v>0</v>
      </c>
      <c r="AI501" s="370">
        <v>0</v>
      </c>
      <c r="AJ501" s="370">
        <v>0</v>
      </c>
      <c r="AK501" s="370">
        <v>0</v>
      </c>
      <c r="AL501" s="367">
        <f t="shared" si="30"/>
        <v>0</v>
      </c>
      <c r="AM501" s="362">
        <f>ERP_8[[#This Row],[2026 Working Total]]-ERP_8[[#This Row],[LE2 Final Submission]]</f>
        <v>0</v>
      </c>
      <c r="AN501" s="79">
        <v>0</v>
      </c>
      <c r="AO501" s="227">
        <f t="shared" si="31"/>
        <v>0</v>
      </c>
      <c r="AP501" s="374">
        <f>SUM(ERP_8[[#This Row],[AP01]:[AP07]])-SUM(ERP_8[[#This Row],[AP01 LE2]:[AP07 LE2]])</f>
        <v>0</v>
      </c>
      <c r="AQ501" s="80"/>
      <c r="AR501" s="79">
        <f>ERP_8[[#This Row],[2026 Working Total to Budget/LE]]-ERP_8[[#This Row],[Giveback]]</f>
        <v>0</v>
      </c>
      <c r="AS501" s="81"/>
      <c r="AT501" s="375"/>
      <c r="AU501" s="375"/>
      <c r="AV501" s="375"/>
      <c r="AW501" s="375">
        <v>0</v>
      </c>
      <c r="AX501" s="375">
        <v>0</v>
      </c>
      <c r="AY501" s="375">
        <v>0</v>
      </c>
      <c r="AZ501" s="375">
        <v>0</v>
      </c>
      <c r="BA501" s="375">
        <v>0</v>
      </c>
      <c r="BB501" s="375">
        <v>0</v>
      </c>
      <c r="BC501" s="375">
        <v>0</v>
      </c>
      <c r="BD501" s="375">
        <v>0</v>
      </c>
      <c r="BE501" s="375">
        <v>0</v>
      </c>
      <c r="BF501" s="375">
        <v>0</v>
      </c>
      <c r="BG501" s="246">
        <v>99064.42</v>
      </c>
      <c r="BH501" s="246">
        <v>0</v>
      </c>
      <c r="BI501" s="246">
        <v>0</v>
      </c>
      <c r="BJ501" s="246">
        <v>0</v>
      </c>
      <c r="BK501" s="246">
        <v>0</v>
      </c>
      <c r="BL501" s="246">
        <v>0</v>
      </c>
      <c r="BM501" s="246">
        <v>0</v>
      </c>
      <c r="BN501" s="246">
        <v>0</v>
      </c>
      <c r="BO501" s="246">
        <v>0</v>
      </c>
      <c r="BP501" s="246">
        <v>0</v>
      </c>
      <c r="BQ501" s="246">
        <v>0</v>
      </c>
      <c r="BR501" s="246">
        <v>0</v>
      </c>
      <c r="BS501" s="227">
        <f>SUM(ERP_8[[#This Row],[2026 AP01]:[2026 AP12]])</f>
        <v>99064.42</v>
      </c>
    </row>
    <row r="502" spans="1:71" ht="15" hidden="1" customHeight="1">
      <c r="A502" s="227" t="s">
        <v>2459</v>
      </c>
      <c r="B502" s="745" t="s">
        <v>2460</v>
      </c>
      <c r="C502" s="348"/>
      <c r="D502" s="347" t="str">
        <f>_xlfn.TEXTJOIN("_",FALSE,E502,ERP_8[[#This Row],[Expense Category]],ERP_8[[#This Row],[Project Code*]])</f>
        <v>Dougherty, Chris_SOFTWARE_IT-SFT1172-86-OG-US/PF</v>
      </c>
      <c r="E502" s="347" t="s">
        <v>1135</v>
      </c>
      <c r="F502" s="348"/>
      <c r="G502" s="150" t="s">
        <v>1136</v>
      </c>
      <c r="H502" s="336" t="s">
        <v>1135</v>
      </c>
      <c r="I502" s="338" t="s">
        <v>1145</v>
      </c>
      <c r="J502" s="335" t="s">
        <v>1137</v>
      </c>
      <c r="K502" s="517" t="s">
        <v>639</v>
      </c>
      <c r="L502" s="860" t="s">
        <v>2461</v>
      </c>
      <c r="M502" s="343" t="s">
        <v>2457</v>
      </c>
      <c r="N502" s="865" t="s">
        <v>1186</v>
      </c>
      <c r="O502" s="235" t="s">
        <v>808</v>
      </c>
      <c r="P502" s="344"/>
      <c r="Q502" s="346" t="s">
        <v>2458</v>
      </c>
      <c r="R502" s="349" t="s">
        <v>1710</v>
      </c>
      <c r="S502" s="352" t="s">
        <v>806</v>
      </c>
      <c r="T502" s="355" t="s">
        <v>1348</v>
      </c>
      <c r="U502" s="437"/>
      <c r="V502" s="358">
        <v>-99064.42</v>
      </c>
      <c r="W502" s="378">
        <v>0</v>
      </c>
      <c r="X502" s="425"/>
      <c r="Y502" s="71"/>
      <c r="Z502" s="790"/>
      <c r="AA502" s="786"/>
      <c r="AB502" s="786"/>
      <c r="AC502" s="428" t="s">
        <v>1142</v>
      </c>
      <c r="AD502" s="429">
        <v>0</v>
      </c>
      <c r="AE502" s="429">
        <v>0</v>
      </c>
      <c r="AF502" s="429" t="s">
        <v>1142</v>
      </c>
      <c r="AG502" s="370">
        <v>0</v>
      </c>
      <c r="AH502" s="370">
        <v>0</v>
      </c>
      <c r="AI502" s="370">
        <v>0</v>
      </c>
      <c r="AJ502" s="370">
        <v>0</v>
      </c>
      <c r="AK502" s="370">
        <v>0</v>
      </c>
      <c r="AL502" s="367">
        <f t="shared" si="30"/>
        <v>0</v>
      </c>
      <c r="AM502" s="362">
        <f>ERP_8[[#This Row],[2026 Working Total]]-ERP_8[[#This Row],[LE2 Final Submission]]</f>
        <v>0</v>
      </c>
      <c r="AN502" s="79">
        <v>0</v>
      </c>
      <c r="AO502" s="227">
        <f t="shared" si="31"/>
        <v>0</v>
      </c>
      <c r="AP502" s="374">
        <f>SUM(ERP_8[[#This Row],[AP01]:[AP07]])-SUM(ERP_8[[#This Row],[AP01 LE2]:[AP07 LE2]])</f>
        <v>0</v>
      </c>
      <c r="AQ502" s="80"/>
      <c r="AR502" s="79">
        <f>ERP_8[[#This Row],[2026 Working Total to Budget/LE]]-ERP_8[[#This Row],[Giveback]]</f>
        <v>0</v>
      </c>
      <c r="AS502" s="81"/>
      <c r="AT502" s="375"/>
      <c r="AU502" s="375"/>
      <c r="AV502" s="375"/>
      <c r="AW502" s="375">
        <v>0</v>
      </c>
      <c r="AX502" s="375">
        <v>0</v>
      </c>
      <c r="AY502" s="375">
        <v>0</v>
      </c>
      <c r="AZ502" s="375">
        <v>0</v>
      </c>
      <c r="BA502" s="375">
        <v>0</v>
      </c>
      <c r="BB502" s="375">
        <v>0</v>
      </c>
      <c r="BC502" s="375">
        <v>0</v>
      </c>
      <c r="BD502" s="375">
        <v>0</v>
      </c>
      <c r="BE502" s="375">
        <v>0</v>
      </c>
      <c r="BF502" s="375">
        <v>0</v>
      </c>
      <c r="BG502" s="246">
        <v>-99064.42</v>
      </c>
      <c r="BH502" s="246">
        <v>0</v>
      </c>
      <c r="BI502" s="246">
        <v>0</v>
      </c>
      <c r="BJ502" s="246">
        <v>0</v>
      </c>
      <c r="BK502" s="246">
        <v>0</v>
      </c>
      <c r="BL502" s="246">
        <v>0</v>
      </c>
      <c r="BM502" s="246">
        <v>0</v>
      </c>
      <c r="BN502" s="246">
        <v>0</v>
      </c>
      <c r="BO502" s="246">
        <v>0</v>
      </c>
      <c r="BP502" s="246">
        <v>0</v>
      </c>
      <c r="BQ502" s="246">
        <v>0</v>
      </c>
      <c r="BR502" s="246">
        <v>0</v>
      </c>
      <c r="BS502" s="227">
        <f>SUM(ERP_8[[#This Row],[2026 AP01]:[2026 AP12]])</f>
        <v>-99064.42</v>
      </c>
    </row>
    <row r="503" spans="1:71" ht="15" hidden="1" customHeight="1">
      <c r="A503" s="215" t="s">
        <v>2462</v>
      </c>
      <c r="B503" s="732" t="s">
        <v>809</v>
      </c>
      <c r="C503" s="346"/>
      <c r="D503" s="343" t="str">
        <f>_xlfn.TEXTJOIN("_",FALSE,E503,ERP_8[[#This Row],[Expense Category]],ERP_8[[#This Row],[Project Code*]])</f>
        <v>Dougherty, Chris_SOFTWARE_IT-SFT1185-86-OG-US</v>
      </c>
      <c r="E503" s="343" t="s">
        <v>1135</v>
      </c>
      <c r="F503" s="346"/>
      <c r="G503" s="150" t="s">
        <v>1136</v>
      </c>
      <c r="H503" s="334" t="s">
        <v>1135</v>
      </c>
      <c r="I503" s="334" t="s">
        <v>1135</v>
      </c>
      <c r="J503" s="334" t="s">
        <v>1137</v>
      </c>
      <c r="K503" s="516" t="s">
        <v>639</v>
      </c>
      <c r="L503" s="398" t="s">
        <v>2463</v>
      </c>
      <c r="M503" s="343" t="s">
        <v>1231</v>
      </c>
      <c r="N503" s="810" t="s">
        <v>1171</v>
      </c>
      <c r="O503" s="219" t="s">
        <v>810</v>
      </c>
      <c r="P503" s="349"/>
      <c r="Q503" s="343"/>
      <c r="R503" s="349"/>
      <c r="S503" s="334" t="s">
        <v>811</v>
      </c>
      <c r="T503" s="150" t="s">
        <v>2464</v>
      </c>
      <c r="U503" s="403"/>
      <c r="V503" s="406">
        <v>1136537.76</v>
      </c>
      <c r="W503" s="406">
        <v>1100039.77</v>
      </c>
      <c r="X503" s="425"/>
      <c r="Y503" s="71"/>
      <c r="Z503" s="789">
        <v>818279</v>
      </c>
      <c r="AA503" s="785">
        <v>-636439.42000000004</v>
      </c>
      <c r="AB503" s="785">
        <v>90919.92</v>
      </c>
      <c r="AC503" s="428">
        <v>0</v>
      </c>
      <c r="AD503" s="429">
        <v>181839.84</v>
      </c>
      <c r="AE503" s="429">
        <v>90919.92</v>
      </c>
      <c r="AF503" s="429">
        <v>0</v>
      </c>
      <c r="AG503" s="369">
        <f>90919.92+90919.92</f>
        <v>181839.84</v>
      </c>
      <c r="AH503" s="369">
        <v>90919.92</v>
      </c>
      <c r="AI503" s="369">
        <f>90919.92-90919.92</f>
        <v>0</v>
      </c>
      <c r="AJ503" s="369">
        <f>(1127043/12)*2</f>
        <v>187840.5</v>
      </c>
      <c r="AK503" s="369">
        <v>93920.25</v>
      </c>
      <c r="AL503" s="367">
        <f t="shared" si="30"/>
        <v>1100039.77</v>
      </c>
      <c r="AM503" s="362">
        <f>ERP_8[[#This Row],[2026 Working Total]]-ERP_8[[#This Row],[LE2 Final Submission]]</f>
        <v>0</v>
      </c>
      <c r="AN503" s="79">
        <v>0</v>
      </c>
      <c r="AO503" s="227">
        <f t="shared" si="31"/>
        <v>90919.92</v>
      </c>
      <c r="AP503" s="374">
        <f>SUM(ERP_8[[#This Row],[AP01]:[AP07]])-SUM(ERP_8[[#This Row],[AP01 LE2]:[AP07 LE2]])</f>
        <v>0</v>
      </c>
      <c r="AQ503" s="80"/>
      <c r="AR503" s="79">
        <f>ERP_8[[#This Row],[2026 Working Total to Budget/LE]]-ERP_8[[#This Row],[Giveback]]</f>
        <v>0</v>
      </c>
      <c r="AS503" s="81"/>
      <c r="AT503" s="375">
        <v>818279</v>
      </c>
      <c r="AU503" s="375">
        <v>-636439.42000000004</v>
      </c>
      <c r="AV503" s="375">
        <v>90919.92</v>
      </c>
      <c r="AW503" s="375">
        <v>0</v>
      </c>
      <c r="AX503" s="375">
        <v>181839.84</v>
      </c>
      <c r="AY503" s="375">
        <v>90919.92</v>
      </c>
      <c r="AZ503" s="375">
        <v>0</v>
      </c>
      <c r="BA503" s="375">
        <v>181839.84</v>
      </c>
      <c r="BB503" s="375">
        <v>90919.92</v>
      </c>
      <c r="BC503" s="375">
        <v>0</v>
      </c>
      <c r="BD503" s="375">
        <v>187840.5</v>
      </c>
      <c r="BE503" s="375">
        <v>93920.25</v>
      </c>
      <c r="BF503" s="375">
        <v>1100039.77</v>
      </c>
      <c r="BG503" s="227">
        <v>818279</v>
      </c>
      <c r="BH503" s="227">
        <v>-636439.42000000004</v>
      </c>
      <c r="BI503" s="227">
        <v>90919.92</v>
      </c>
      <c r="BJ503" s="227">
        <v>90919.92</v>
      </c>
      <c r="BK503" s="227">
        <v>90919.92</v>
      </c>
      <c r="BL503" s="227">
        <v>90919.92</v>
      </c>
      <c r="BM503" s="227">
        <v>90919.92</v>
      </c>
      <c r="BN503" s="227">
        <v>90919.92</v>
      </c>
      <c r="BO503" s="227">
        <v>90919.92</v>
      </c>
      <c r="BP503" s="227">
        <v>106085.92</v>
      </c>
      <c r="BQ503" s="227">
        <v>106085.92</v>
      </c>
      <c r="BR503" s="227">
        <v>106085.92</v>
      </c>
      <c r="BS503" s="227">
        <v>1136536.78</v>
      </c>
    </row>
    <row r="504" spans="1:71" ht="15" hidden="1" customHeight="1">
      <c r="A504" s="215" t="s">
        <v>2465</v>
      </c>
      <c r="B504" s="732" t="s">
        <v>812</v>
      </c>
      <c r="C504" s="346"/>
      <c r="D504" s="343" t="str">
        <f>_xlfn.TEXTJOIN("_",FALSE,E504,ERP_8[[#This Row],[Expense Category]],ERP_8[[#This Row],[Project Code*]])</f>
        <v>Dougherty, Chris_SOFTWARE_IT-SFT1185-86-OG-US/01</v>
      </c>
      <c r="E504" s="343" t="s">
        <v>1135</v>
      </c>
      <c r="F504" s="346"/>
      <c r="G504" s="150" t="s">
        <v>1136</v>
      </c>
      <c r="H504" s="334" t="s">
        <v>1135</v>
      </c>
      <c r="I504" s="334" t="s">
        <v>1135</v>
      </c>
      <c r="J504" s="334" t="s">
        <v>1137</v>
      </c>
      <c r="K504" s="516" t="s">
        <v>639</v>
      </c>
      <c r="L504" s="398" t="s">
        <v>2466</v>
      </c>
      <c r="M504" s="343"/>
      <c r="N504" s="807"/>
      <c r="O504" s="70" t="s">
        <v>813</v>
      </c>
      <c r="P504" s="349"/>
      <c r="Q504" s="343"/>
      <c r="R504" s="349"/>
      <c r="S504" s="334" t="s">
        <v>64</v>
      </c>
      <c r="T504" s="354" t="s">
        <v>2467</v>
      </c>
      <c r="U504" s="403"/>
      <c r="V504" s="406">
        <v>287700</v>
      </c>
      <c r="W504" s="406">
        <v>297194</v>
      </c>
      <c r="X504" s="425"/>
      <c r="Y504" s="71"/>
      <c r="Z504" s="789"/>
      <c r="AA504" s="785"/>
      <c r="AB504" s="785"/>
      <c r="AC504" s="428" t="s">
        <v>1142</v>
      </c>
      <c r="AD504" s="429">
        <v>0</v>
      </c>
      <c r="AE504" s="429">
        <v>0</v>
      </c>
      <c r="AF504" s="429" t="s">
        <v>1142</v>
      </c>
      <c r="AG504" s="369"/>
      <c r="AH504" s="369"/>
      <c r="AI504" s="845">
        <f>287700-287700+297194</f>
        <v>297194</v>
      </c>
      <c r="AJ504" s="368">
        <v>0</v>
      </c>
      <c r="AK504" s="368">
        <v>0</v>
      </c>
      <c r="AL504" s="367">
        <f t="shared" si="30"/>
        <v>297194</v>
      </c>
      <c r="AM504" s="362">
        <f>ERP_8[[#This Row],[2026 Working Total]]-ERP_8[[#This Row],[LE2 Final Submission]]</f>
        <v>0</v>
      </c>
      <c r="AN504" s="79"/>
      <c r="AO504" s="227">
        <f t="shared" si="31"/>
        <v>0</v>
      </c>
      <c r="AP504" s="374">
        <f>SUM(ERP_8[[#This Row],[AP01]:[AP07]])-SUM(ERP_8[[#This Row],[AP01 LE2]:[AP07 LE2]])</f>
        <v>0</v>
      </c>
      <c r="AQ504" s="80"/>
      <c r="AR504" s="79">
        <f>ERP_8[[#This Row],[2026 Working Total to Budget/LE]]-ERP_8[[#This Row],[Giveback]]</f>
        <v>0</v>
      </c>
      <c r="AS504" s="81"/>
      <c r="AT504" s="375"/>
      <c r="AU504" s="375"/>
      <c r="AV504" s="375"/>
      <c r="AW504" s="375"/>
      <c r="AX504" s="375"/>
      <c r="AY504" s="375"/>
      <c r="AZ504" s="375"/>
      <c r="BA504" s="375"/>
      <c r="BB504" s="375"/>
      <c r="BC504" s="375">
        <v>297194</v>
      </c>
      <c r="BD504" s="375">
        <v>0</v>
      </c>
      <c r="BE504" s="375">
        <v>0</v>
      </c>
      <c r="BF504" s="375">
        <v>297194</v>
      </c>
      <c r="BG504" s="227"/>
      <c r="BH504" s="227"/>
      <c r="BI504" s="227"/>
      <c r="BJ504" s="227"/>
      <c r="BK504" s="227"/>
      <c r="BL504" s="227"/>
      <c r="BM504" s="227"/>
      <c r="BN504" s="227"/>
      <c r="BO504" s="227"/>
      <c r="BP504" s="227">
        <v>287700</v>
      </c>
      <c r="BQ504" s="227">
        <v>0</v>
      </c>
      <c r="BR504" s="227">
        <v>0</v>
      </c>
      <c r="BS504" s="227">
        <v>287700</v>
      </c>
    </row>
    <row r="505" spans="1:71" ht="15" hidden="1" customHeight="1">
      <c r="A505" s="215" t="s">
        <v>2468</v>
      </c>
      <c r="B505" s="732" t="s">
        <v>814</v>
      </c>
      <c r="C505" s="346"/>
      <c r="D505" s="343" t="str">
        <f>_xlfn.TEXTJOIN("_",FALSE,E505,ERP_8[[#This Row],[Expense Category]],ERP_8[[#This Row],[Project Code*]])</f>
        <v>Dougherty, Chris_SOFTWARE_IT-SFT1186-86-OG-US</v>
      </c>
      <c r="E505" s="343" t="s">
        <v>1135</v>
      </c>
      <c r="F505" s="346"/>
      <c r="G505" s="150" t="s">
        <v>1136</v>
      </c>
      <c r="H505" s="334" t="s">
        <v>1135</v>
      </c>
      <c r="I505" s="334" t="s">
        <v>1135</v>
      </c>
      <c r="J505" s="334" t="s">
        <v>1137</v>
      </c>
      <c r="K505" s="516" t="s">
        <v>639</v>
      </c>
      <c r="L505" s="398" t="s">
        <v>2469</v>
      </c>
      <c r="M505" s="343"/>
      <c r="N505" s="807"/>
      <c r="O505" s="219" t="s">
        <v>815</v>
      </c>
      <c r="P505" s="349"/>
      <c r="Q505" s="343"/>
      <c r="R505" s="349"/>
      <c r="S505" s="334" t="s">
        <v>67</v>
      </c>
      <c r="T505" s="354"/>
      <c r="U505" s="403"/>
      <c r="V505" s="406">
        <v>58000</v>
      </c>
      <c r="W505" s="406">
        <v>58000</v>
      </c>
      <c r="X505" s="430"/>
      <c r="Y505" s="137"/>
      <c r="Z505" s="789"/>
      <c r="AA505" s="785"/>
      <c r="AB505" s="785"/>
      <c r="AC505" s="428" t="s">
        <v>1142</v>
      </c>
      <c r="AD505" s="429">
        <v>0</v>
      </c>
      <c r="AE505" s="429">
        <v>0</v>
      </c>
      <c r="AF505" s="429" t="s">
        <v>1142</v>
      </c>
      <c r="AG505" s="369"/>
      <c r="AH505" s="369">
        <v>22000</v>
      </c>
      <c r="AI505" s="368">
        <v>0</v>
      </c>
      <c r="AJ505" s="369">
        <v>36000</v>
      </c>
      <c r="AK505" s="368">
        <v>0</v>
      </c>
      <c r="AL505" s="367">
        <f t="shared" si="30"/>
        <v>58000</v>
      </c>
      <c r="AM505" s="362">
        <f>ERP_8[[#This Row],[2026 Working Total]]-ERP_8[[#This Row],[LE2 Final Submission]]</f>
        <v>0</v>
      </c>
      <c r="AN505" s="79"/>
      <c r="AO505" s="227">
        <f t="shared" si="31"/>
        <v>0</v>
      </c>
      <c r="AP505" s="374">
        <f>SUM(ERP_8[[#This Row],[AP01]:[AP07]])-SUM(ERP_8[[#This Row],[AP01 LE2]:[AP07 LE2]])</f>
        <v>0</v>
      </c>
      <c r="AQ505" s="80"/>
      <c r="AR505" s="79">
        <f>ERP_8[[#This Row],[2026 Working Total to Budget/LE]]-ERP_8[[#This Row],[Giveback]]</f>
        <v>0</v>
      </c>
      <c r="AS505" s="81"/>
      <c r="AT505" s="375"/>
      <c r="AU505" s="375"/>
      <c r="AV505" s="375"/>
      <c r="AW505" s="375"/>
      <c r="AX505" s="375"/>
      <c r="AY505" s="375"/>
      <c r="AZ505" s="375"/>
      <c r="BA505" s="375"/>
      <c r="BB505" s="375">
        <v>22000</v>
      </c>
      <c r="BC505" s="375">
        <v>0</v>
      </c>
      <c r="BD505" s="375">
        <v>36000</v>
      </c>
      <c r="BE505" s="375">
        <v>0</v>
      </c>
      <c r="BF505" s="375">
        <v>58000</v>
      </c>
      <c r="BG505" s="227"/>
      <c r="BH505" s="227"/>
      <c r="BI505" s="227"/>
      <c r="BJ505" s="227"/>
      <c r="BK505" s="227"/>
      <c r="BL505" s="227"/>
      <c r="BM505" s="227"/>
      <c r="BN505" s="227"/>
      <c r="BO505" s="227">
        <v>22000</v>
      </c>
      <c r="BP505" s="227">
        <v>0</v>
      </c>
      <c r="BQ505" s="227">
        <v>36000</v>
      </c>
      <c r="BR505" s="227">
        <v>0</v>
      </c>
      <c r="BS505" s="227">
        <v>58000</v>
      </c>
    </row>
    <row r="506" spans="1:71" ht="15" hidden="1" customHeight="1">
      <c r="A506" s="215" t="s">
        <v>2470</v>
      </c>
      <c r="B506" s="732" t="s">
        <v>816</v>
      </c>
      <c r="C506" s="346"/>
      <c r="D506" s="343" t="str">
        <f>_xlfn.TEXTJOIN("_",FALSE,E506,ERP_8[[#This Row],[Expense Category]],ERP_8[[#This Row],[Project Code*]])</f>
        <v>Dougherty, Chris_SOFTWARE_IT-SFT1194-86-OG-US</v>
      </c>
      <c r="E506" s="343" t="s">
        <v>1135</v>
      </c>
      <c r="F506" s="346"/>
      <c r="G506" s="150" t="s">
        <v>1136</v>
      </c>
      <c r="H506" s="334" t="s">
        <v>1135</v>
      </c>
      <c r="I506" s="334" t="s">
        <v>1135</v>
      </c>
      <c r="J506" s="334" t="s">
        <v>1137</v>
      </c>
      <c r="K506" s="516" t="s">
        <v>639</v>
      </c>
      <c r="L506" s="398" t="s">
        <v>818</v>
      </c>
      <c r="M506" s="343"/>
      <c r="N506" s="807"/>
      <c r="O506" s="219" t="s">
        <v>817</v>
      </c>
      <c r="P506" s="349"/>
      <c r="Q506" s="346" t="s">
        <v>1140</v>
      </c>
      <c r="R506" s="349"/>
      <c r="S506" s="334" t="s">
        <v>818</v>
      </c>
      <c r="T506" s="354"/>
      <c r="U506" s="403"/>
      <c r="V506" s="406">
        <v>124504</v>
      </c>
      <c r="W506" s="406">
        <v>146423.48000000001</v>
      </c>
      <c r="X506" s="425"/>
      <c r="Y506" s="71"/>
      <c r="Z506" s="789"/>
      <c r="AA506" s="785"/>
      <c r="AB506" s="785">
        <v>61919.48</v>
      </c>
      <c r="AC506" s="428">
        <v>0</v>
      </c>
      <c r="AD506" s="429">
        <v>0</v>
      </c>
      <c r="AE506" s="429">
        <v>45968.679999999993</v>
      </c>
      <c r="AF506" s="429">
        <v>0</v>
      </c>
      <c r="AG506" s="368">
        <v>0</v>
      </c>
      <c r="AH506" s="369">
        <v>40000</v>
      </c>
      <c r="AI506" s="368">
        <v>0</v>
      </c>
      <c r="AJ506" s="369">
        <v>4504</v>
      </c>
      <c r="AK506" s="368">
        <v>0</v>
      </c>
      <c r="AL506" s="367">
        <f t="shared" si="30"/>
        <v>152392.16</v>
      </c>
      <c r="AM506" s="362">
        <f>ERP_8[[#This Row],[2026 Working Total]]-ERP_8[[#This Row],[LE2 Final Submission]]</f>
        <v>5968.679999999993</v>
      </c>
      <c r="AN506" s="227">
        <v>0</v>
      </c>
      <c r="AO506" s="227">
        <f t="shared" si="31"/>
        <v>45968.679999999993</v>
      </c>
      <c r="AP506" s="374">
        <f>SUM(ERP_8[[#This Row],[AP01]:[AP07]])-SUM(ERP_8[[#This Row],[AP01 LE2]:[AP07 LE2]])</f>
        <v>5968.679999999993</v>
      </c>
      <c r="AQ506" s="80"/>
      <c r="AR506" s="79">
        <f>ERP_8[[#This Row],[2026 Working Total to Budget/LE]]-ERP_8[[#This Row],[Giveback]]</f>
        <v>5968.679999999993</v>
      </c>
      <c r="AS506" s="81"/>
      <c r="AT506" s="375"/>
      <c r="AU506" s="375"/>
      <c r="AV506" s="375">
        <v>61919.48</v>
      </c>
      <c r="AW506" s="375">
        <v>0</v>
      </c>
      <c r="AX506" s="375">
        <v>0</v>
      </c>
      <c r="AY506" s="375">
        <v>40000</v>
      </c>
      <c r="AZ506" s="375">
        <v>0</v>
      </c>
      <c r="BA506" s="375">
        <v>0</v>
      </c>
      <c r="BB506" s="375">
        <v>40000</v>
      </c>
      <c r="BC506" s="375">
        <v>0</v>
      </c>
      <c r="BD506" s="375">
        <v>4504</v>
      </c>
      <c r="BE506" s="375">
        <v>0</v>
      </c>
      <c r="BF506" s="375">
        <v>146423.48000000001</v>
      </c>
      <c r="BG506" s="227"/>
      <c r="BH506" s="227"/>
      <c r="BI506" s="227">
        <v>61919.48</v>
      </c>
      <c r="BJ506" s="227">
        <v>0</v>
      </c>
      <c r="BK506" s="227">
        <v>0</v>
      </c>
      <c r="BL506" s="227">
        <v>40000</v>
      </c>
      <c r="BM506" s="227">
        <v>0</v>
      </c>
      <c r="BN506" s="227">
        <v>0</v>
      </c>
      <c r="BO506" s="227">
        <v>40000</v>
      </c>
      <c r="BP506" s="227">
        <v>0</v>
      </c>
      <c r="BQ506" s="227">
        <v>4504</v>
      </c>
      <c r="BR506" s="227">
        <v>0</v>
      </c>
      <c r="BS506" s="227">
        <v>146423.48000000001</v>
      </c>
    </row>
    <row r="507" spans="1:71" ht="15" hidden="1" customHeight="1">
      <c r="A507" s="215" t="s">
        <v>2471</v>
      </c>
      <c r="B507" s="732" t="s">
        <v>2472</v>
      </c>
      <c r="C507" s="346"/>
      <c r="D507" s="343" t="str">
        <f>_xlfn.TEXTJOIN("_",FALSE,E507,ERP_8[[#This Row],[Expense Category]],ERP_8[[#This Row],[Project Code*]])</f>
        <v>Dougherty, Chris_SOFTWARE_IT-SFT1194-86-OG-US</v>
      </c>
      <c r="E507" s="343" t="s">
        <v>1135</v>
      </c>
      <c r="F507" s="346"/>
      <c r="G507" s="150" t="s">
        <v>1136</v>
      </c>
      <c r="H507" s="334" t="s">
        <v>1135</v>
      </c>
      <c r="I507" s="334" t="s">
        <v>1137</v>
      </c>
      <c r="J507" s="334" t="s">
        <v>1137</v>
      </c>
      <c r="K507" s="516" t="s">
        <v>639</v>
      </c>
      <c r="L507" s="398" t="s">
        <v>818</v>
      </c>
      <c r="M507" s="343"/>
      <c r="N507" s="807"/>
      <c r="O507" s="219" t="s">
        <v>817</v>
      </c>
      <c r="P507" s="349"/>
      <c r="Q507" s="346" t="s">
        <v>1140</v>
      </c>
      <c r="R507" s="349"/>
      <c r="S507" s="334" t="s">
        <v>818</v>
      </c>
      <c r="T507" s="525" t="s">
        <v>1141</v>
      </c>
      <c r="U507" s="403"/>
      <c r="V507" s="406">
        <v>50000</v>
      </c>
      <c r="W507" s="406">
        <v>38665</v>
      </c>
      <c r="X507" s="425"/>
      <c r="Y507" s="71"/>
      <c r="Z507" s="789"/>
      <c r="AA507" s="785"/>
      <c r="AB507" s="785">
        <v>1165</v>
      </c>
      <c r="AC507" s="428">
        <v>0</v>
      </c>
      <c r="AD507" s="429">
        <v>0</v>
      </c>
      <c r="AE507" s="429">
        <v>1720.74</v>
      </c>
      <c r="AF507" s="429">
        <v>1435.8899999999999</v>
      </c>
      <c r="AG507" s="368">
        <v>0</v>
      </c>
      <c r="AH507" s="369">
        <v>12500</v>
      </c>
      <c r="AI507" s="368">
        <v>0</v>
      </c>
      <c r="AJ507" s="369">
        <v>12500</v>
      </c>
      <c r="AK507" s="368">
        <v>0</v>
      </c>
      <c r="AL507" s="367">
        <f t="shared" si="30"/>
        <v>29321.629999999997</v>
      </c>
      <c r="AM507" s="362">
        <f>ERP_8[[#This Row],[2026 Working Total]]-ERP_8[[#This Row],[LE2 Final Submission]]</f>
        <v>-9343.3700000000026</v>
      </c>
      <c r="AN507" s="227">
        <v>0</v>
      </c>
      <c r="AO507" s="227">
        <f t="shared" si="31"/>
        <v>1720.74</v>
      </c>
      <c r="AP507" s="374">
        <f>SUM(ERP_8[[#This Row],[AP01]:[AP07]])-SUM(ERP_8[[#This Row],[AP01 LE2]:[AP07 LE2]])</f>
        <v>-9343.3700000000008</v>
      </c>
      <c r="AQ507" s="80"/>
      <c r="AR507" s="79">
        <f>ERP_8[[#This Row],[2026 Working Total to Budget/LE]]-ERP_8[[#This Row],[Giveback]]</f>
        <v>-9343.3700000000026</v>
      </c>
      <c r="AS507" s="81"/>
      <c r="AT507" s="375"/>
      <c r="AU507" s="375"/>
      <c r="AV507" s="375">
        <v>1165</v>
      </c>
      <c r="AW507" s="375">
        <v>0</v>
      </c>
      <c r="AX507" s="375">
        <v>0</v>
      </c>
      <c r="AY507" s="375">
        <v>12500</v>
      </c>
      <c r="AZ507" s="375">
        <v>0</v>
      </c>
      <c r="BA507" s="375">
        <v>0</v>
      </c>
      <c r="BB507" s="375">
        <v>12500</v>
      </c>
      <c r="BC507" s="375">
        <v>0</v>
      </c>
      <c r="BD507" s="375">
        <v>12500</v>
      </c>
      <c r="BE507" s="375">
        <v>0</v>
      </c>
      <c r="BF507" s="375">
        <v>38665</v>
      </c>
      <c r="BG507" s="227"/>
      <c r="BH507" s="227"/>
      <c r="BI507" s="227">
        <v>1165</v>
      </c>
      <c r="BJ507" s="227">
        <v>0</v>
      </c>
      <c r="BK507" s="227">
        <v>0</v>
      </c>
      <c r="BL507" s="227">
        <v>12500</v>
      </c>
      <c r="BM507" s="227">
        <v>0</v>
      </c>
      <c r="BN507" s="227">
        <v>0</v>
      </c>
      <c r="BO507" s="227">
        <v>12500</v>
      </c>
      <c r="BP507" s="227">
        <v>0</v>
      </c>
      <c r="BQ507" s="227">
        <v>12500</v>
      </c>
      <c r="BR507" s="227">
        <v>0</v>
      </c>
      <c r="BS507" s="227">
        <v>38665</v>
      </c>
    </row>
    <row r="508" spans="1:71" ht="15" hidden="1" customHeight="1">
      <c r="A508" s="215" t="s">
        <v>2473</v>
      </c>
      <c r="B508" s="732" t="s">
        <v>2474</v>
      </c>
      <c r="C508" s="346"/>
      <c r="D508" s="343" t="str">
        <f>_xlfn.TEXTJOIN("_",FALSE,E508,ERP_8[[#This Row],[Expense Category]],ERP_8[[#This Row],[Project Code*]])</f>
        <v>Dougherty, Chris_SOFTWARE_IT-SFT1194-86-OG-US</v>
      </c>
      <c r="E508" s="343" t="s">
        <v>1135</v>
      </c>
      <c r="F508" s="346"/>
      <c r="G508" s="150" t="s">
        <v>1136</v>
      </c>
      <c r="H508" s="334" t="s">
        <v>1135</v>
      </c>
      <c r="I508" s="334" t="s">
        <v>1145</v>
      </c>
      <c r="J508" s="334" t="s">
        <v>1137</v>
      </c>
      <c r="K508" s="516" t="s">
        <v>639</v>
      </c>
      <c r="L508" s="857" t="s">
        <v>818</v>
      </c>
      <c r="M508" s="343"/>
      <c r="N508" s="807"/>
      <c r="O508" s="219" t="s">
        <v>817</v>
      </c>
      <c r="P508" s="349"/>
      <c r="Q508" s="346" t="s">
        <v>1140</v>
      </c>
      <c r="R508" s="349"/>
      <c r="S508" s="334" t="s">
        <v>818</v>
      </c>
      <c r="T508" s="354"/>
      <c r="U508" s="403"/>
      <c r="V508" s="406">
        <v>3000</v>
      </c>
      <c r="W508" s="406">
        <v>3010.21</v>
      </c>
      <c r="X508" s="425"/>
      <c r="Y508" s="71"/>
      <c r="Z508" s="789"/>
      <c r="AA508" s="785"/>
      <c r="AB508" s="785">
        <v>410.21</v>
      </c>
      <c r="AC508" s="428">
        <v>0</v>
      </c>
      <c r="AD508" s="429">
        <v>0</v>
      </c>
      <c r="AE508" s="429">
        <v>398.24</v>
      </c>
      <c r="AF508" s="429">
        <v>0</v>
      </c>
      <c r="AG508" s="368">
        <v>0</v>
      </c>
      <c r="AH508" s="368">
        <v>0</v>
      </c>
      <c r="AI508" s="368">
        <v>0</v>
      </c>
      <c r="AJ508" s="368">
        <v>0</v>
      </c>
      <c r="AK508" s="368">
        <v>0</v>
      </c>
      <c r="AL508" s="367">
        <f t="shared" si="30"/>
        <v>808.45</v>
      </c>
      <c r="AM508" s="362">
        <f>ERP_8[[#This Row],[2026 Working Total]]-ERP_8[[#This Row],[LE2 Final Submission]]</f>
        <v>-2201.7600000000002</v>
      </c>
      <c r="AN508" s="227">
        <v>0</v>
      </c>
      <c r="AO508" s="227">
        <f t="shared" si="31"/>
        <v>398.24</v>
      </c>
      <c r="AP508" s="374">
        <f>SUM(ERP_8[[#This Row],[AP01]:[AP07]])-SUM(ERP_8[[#This Row],[AP01 LE2]:[AP07 LE2]])</f>
        <v>-2201.7600000000002</v>
      </c>
      <c r="AQ508" s="80"/>
      <c r="AR508" s="79">
        <f>ERP_8[[#This Row],[2026 Working Total to Budget/LE]]-ERP_8[[#This Row],[Giveback]]</f>
        <v>-2201.7600000000002</v>
      </c>
      <c r="AS508" s="81"/>
      <c r="AT508" s="375"/>
      <c r="AU508" s="375"/>
      <c r="AV508" s="375">
        <v>410.21</v>
      </c>
      <c r="AW508" s="375">
        <v>2600</v>
      </c>
      <c r="AX508" s="375">
        <v>0</v>
      </c>
      <c r="AY508" s="375">
        <v>0</v>
      </c>
      <c r="AZ508" s="375">
        <v>0</v>
      </c>
      <c r="BA508" s="375">
        <v>0</v>
      </c>
      <c r="BB508" s="375">
        <v>0</v>
      </c>
      <c r="BC508" s="375">
        <v>0</v>
      </c>
      <c r="BD508" s="375">
        <v>0</v>
      </c>
      <c r="BE508" s="375">
        <v>0</v>
      </c>
      <c r="BF508" s="375">
        <v>3010.21</v>
      </c>
      <c r="BG508" s="227"/>
      <c r="BH508" s="227"/>
      <c r="BI508" s="227">
        <v>410.21</v>
      </c>
      <c r="BJ508" s="227">
        <v>3000</v>
      </c>
      <c r="BK508" s="227">
        <v>0</v>
      </c>
      <c r="BL508" s="227">
        <v>0</v>
      </c>
      <c r="BM508" s="227">
        <v>0</v>
      </c>
      <c r="BN508" s="227">
        <v>0</v>
      </c>
      <c r="BO508" s="227">
        <v>0</v>
      </c>
      <c r="BP508" s="227">
        <v>0</v>
      </c>
      <c r="BQ508" s="227">
        <v>0</v>
      </c>
      <c r="BR508" s="227">
        <v>0</v>
      </c>
      <c r="BS508" s="227">
        <v>3410.21</v>
      </c>
    </row>
    <row r="509" spans="1:71" ht="15" hidden="1" customHeight="1">
      <c r="A509" s="215" t="s">
        <v>2475</v>
      </c>
      <c r="B509" s="732" t="s">
        <v>2476</v>
      </c>
      <c r="C509" s="346"/>
      <c r="D509" s="343" t="str">
        <f>_xlfn.TEXTJOIN("_",FALSE,E509,ERP_8[[#This Row],[Expense Category]],ERP_8[[#This Row],[Project Code*]])</f>
        <v>Dougherty, Chris_SOFTWARE_IT-SFT1194-86-OG-US</v>
      </c>
      <c r="E509" s="343" t="s">
        <v>1135</v>
      </c>
      <c r="F509" s="346"/>
      <c r="G509" s="150" t="s">
        <v>1136</v>
      </c>
      <c r="H509" s="334" t="s">
        <v>1135</v>
      </c>
      <c r="I509" s="334" t="s">
        <v>1156</v>
      </c>
      <c r="J509" s="334" t="s">
        <v>1137</v>
      </c>
      <c r="K509" s="516" t="s">
        <v>639</v>
      </c>
      <c r="L509" s="398" t="s">
        <v>818</v>
      </c>
      <c r="M509" s="343"/>
      <c r="N509" s="807"/>
      <c r="O509" s="219" t="s">
        <v>817</v>
      </c>
      <c r="P509" s="349"/>
      <c r="Q509" s="346" t="s">
        <v>1140</v>
      </c>
      <c r="R509" s="349"/>
      <c r="S509" s="334" t="s">
        <v>818</v>
      </c>
      <c r="T509" s="354" t="s">
        <v>2477</v>
      </c>
      <c r="U509" s="403"/>
      <c r="V509" s="406">
        <v>2800</v>
      </c>
      <c r="W509" s="406">
        <v>11294.74</v>
      </c>
      <c r="X509" s="425"/>
      <c r="Y509" s="71"/>
      <c r="Z509" s="789"/>
      <c r="AA509" s="785"/>
      <c r="AB509" s="785">
        <v>3116.74</v>
      </c>
      <c r="AC509" s="428">
        <v>0</v>
      </c>
      <c r="AD509" s="429">
        <v>0</v>
      </c>
      <c r="AE509" s="429">
        <v>2380</v>
      </c>
      <c r="AF509" s="429">
        <v>0</v>
      </c>
      <c r="AG509" s="368">
        <v>0</v>
      </c>
      <c r="AH509" s="369">
        <v>2726</v>
      </c>
      <c r="AI509" s="368">
        <v>0</v>
      </c>
      <c r="AJ509" s="369">
        <v>2726</v>
      </c>
      <c r="AK509" s="368">
        <v>0</v>
      </c>
      <c r="AL509" s="367">
        <f t="shared" si="30"/>
        <v>10948.74</v>
      </c>
      <c r="AM509" s="362">
        <f>ERP_8[[#This Row],[2026 Working Total]]-ERP_8[[#This Row],[LE2 Final Submission]]</f>
        <v>-346</v>
      </c>
      <c r="AN509" s="227">
        <v>0</v>
      </c>
      <c r="AO509" s="227">
        <f t="shared" si="31"/>
        <v>2380</v>
      </c>
      <c r="AP509" s="374">
        <f>SUM(ERP_8[[#This Row],[AP01]:[AP07]])-SUM(ERP_8[[#This Row],[AP01 LE2]:[AP07 LE2]])</f>
        <v>-346</v>
      </c>
      <c r="AQ509" s="80"/>
      <c r="AR509" s="79">
        <f>ERP_8[[#This Row],[2026 Working Total to Budget/LE]]-ERP_8[[#This Row],[Giveback]]</f>
        <v>-346</v>
      </c>
      <c r="AS509" s="81"/>
      <c r="AT509" s="375"/>
      <c r="AU509" s="375"/>
      <c r="AV509" s="375">
        <v>3116.74</v>
      </c>
      <c r="AW509" s="375">
        <v>0</v>
      </c>
      <c r="AX509" s="375">
        <v>0</v>
      </c>
      <c r="AY509" s="375">
        <v>2726</v>
      </c>
      <c r="AZ509" s="375">
        <v>0</v>
      </c>
      <c r="BA509" s="375">
        <v>0</v>
      </c>
      <c r="BB509" s="375">
        <v>2726</v>
      </c>
      <c r="BC509" s="375">
        <v>0</v>
      </c>
      <c r="BD509" s="375">
        <v>2726</v>
      </c>
      <c r="BE509" s="375">
        <v>0</v>
      </c>
      <c r="BF509" s="375">
        <v>11294.74</v>
      </c>
      <c r="BG509" s="227"/>
      <c r="BH509" s="227"/>
      <c r="BI509" s="227">
        <v>3116.74</v>
      </c>
      <c r="BJ509" s="227">
        <v>0</v>
      </c>
      <c r="BK509" s="227">
        <v>0</v>
      </c>
      <c r="BL509" s="227">
        <v>700</v>
      </c>
      <c r="BM509" s="227">
        <v>0</v>
      </c>
      <c r="BN509" s="227">
        <v>0</v>
      </c>
      <c r="BO509" s="227">
        <v>700</v>
      </c>
      <c r="BP509" s="227">
        <v>0</v>
      </c>
      <c r="BQ509" s="227">
        <v>700</v>
      </c>
      <c r="BR509" s="227">
        <v>0</v>
      </c>
      <c r="BS509" s="227">
        <v>5216.74</v>
      </c>
    </row>
    <row r="510" spans="1:71" ht="15" hidden="1" customHeight="1">
      <c r="A510" s="215" t="s">
        <v>2478</v>
      </c>
      <c r="B510" s="732" t="s">
        <v>2479</v>
      </c>
      <c r="C510" s="346"/>
      <c r="D510" s="343" t="str">
        <f>_xlfn.TEXTJOIN("_",FALSE,E510,ERP_8[[#This Row],[Expense Category]],ERP_8[[#This Row],[Project Code*]])</f>
        <v>Dougherty, Chris_SOFTWARE_IT-SFT1194-86-OG-US</v>
      </c>
      <c r="E510" s="343" t="s">
        <v>1135</v>
      </c>
      <c r="F510" s="346"/>
      <c r="G510" s="150" t="s">
        <v>1136</v>
      </c>
      <c r="H510" s="334" t="s">
        <v>1135</v>
      </c>
      <c r="I510" s="334" t="s">
        <v>1161</v>
      </c>
      <c r="J510" s="334" t="s">
        <v>1137</v>
      </c>
      <c r="K510" s="516" t="s">
        <v>639</v>
      </c>
      <c r="L510" s="398" t="s">
        <v>818</v>
      </c>
      <c r="M510" s="343"/>
      <c r="N510" s="807"/>
      <c r="O510" s="70" t="s">
        <v>817</v>
      </c>
      <c r="P510" s="349"/>
      <c r="Q510" s="346" t="s">
        <v>1140</v>
      </c>
      <c r="R510" s="349"/>
      <c r="S510" s="334" t="s">
        <v>818</v>
      </c>
      <c r="T510" s="354"/>
      <c r="U510" s="403"/>
      <c r="V510" s="406">
        <v>800</v>
      </c>
      <c r="W510" s="406">
        <v>4147.87</v>
      </c>
      <c r="X510" s="425"/>
      <c r="Y510" s="71"/>
      <c r="Z510" s="789"/>
      <c r="AA510" s="785"/>
      <c r="AB510" s="785">
        <v>3547.87</v>
      </c>
      <c r="AC510" s="428">
        <v>0</v>
      </c>
      <c r="AD510" s="429">
        <v>0</v>
      </c>
      <c r="AE510" s="429">
        <v>3172.87</v>
      </c>
      <c r="AF510" s="429">
        <v>0</v>
      </c>
      <c r="AG510" s="368">
        <v>0</v>
      </c>
      <c r="AH510" s="369">
        <v>200</v>
      </c>
      <c r="AI510" s="368">
        <v>0</v>
      </c>
      <c r="AJ510" s="369">
        <v>200</v>
      </c>
      <c r="AK510" s="368">
        <v>0</v>
      </c>
      <c r="AL510" s="367">
        <f t="shared" si="30"/>
        <v>7120.74</v>
      </c>
      <c r="AM510" s="362">
        <f>ERP_8[[#This Row],[2026 Working Total]]-ERP_8[[#This Row],[LE2 Final Submission]]</f>
        <v>2972.87</v>
      </c>
      <c r="AN510" s="227">
        <v>0</v>
      </c>
      <c r="AO510" s="227">
        <f t="shared" si="31"/>
        <v>3172.87</v>
      </c>
      <c r="AP510" s="374">
        <f>SUM(ERP_8[[#This Row],[AP01]:[AP07]])-SUM(ERP_8[[#This Row],[AP01 LE2]:[AP07 LE2]])</f>
        <v>2972.87</v>
      </c>
      <c r="AQ510" s="80"/>
      <c r="AR510" s="79">
        <f>ERP_8[[#This Row],[2026 Working Total to Budget/LE]]-ERP_8[[#This Row],[Giveback]]</f>
        <v>2972.87</v>
      </c>
      <c r="AS510" s="81"/>
      <c r="AT510" s="375"/>
      <c r="AU510" s="375"/>
      <c r="AV510" s="375">
        <v>3547.87</v>
      </c>
      <c r="AW510" s="375">
        <v>0</v>
      </c>
      <c r="AX510" s="375">
        <v>0</v>
      </c>
      <c r="AY510" s="375">
        <v>200</v>
      </c>
      <c r="AZ510" s="375">
        <v>0</v>
      </c>
      <c r="BA510" s="375">
        <v>0</v>
      </c>
      <c r="BB510" s="375">
        <v>200</v>
      </c>
      <c r="BC510" s="375">
        <v>0</v>
      </c>
      <c r="BD510" s="375">
        <v>200</v>
      </c>
      <c r="BE510" s="375">
        <v>0</v>
      </c>
      <c r="BF510" s="375">
        <v>4147.87</v>
      </c>
      <c r="BG510" s="227"/>
      <c r="BH510" s="227"/>
      <c r="BI510" s="227">
        <v>3547.87</v>
      </c>
      <c r="BJ510" s="227">
        <v>0</v>
      </c>
      <c r="BK510" s="227">
        <v>0</v>
      </c>
      <c r="BL510" s="227">
        <v>200</v>
      </c>
      <c r="BM510" s="227">
        <v>0</v>
      </c>
      <c r="BN510" s="227">
        <v>0</v>
      </c>
      <c r="BO510" s="227">
        <v>200</v>
      </c>
      <c r="BP510" s="227">
        <v>0</v>
      </c>
      <c r="BQ510" s="227">
        <v>200</v>
      </c>
      <c r="BR510" s="227">
        <v>0</v>
      </c>
      <c r="BS510" s="227">
        <v>4147.87</v>
      </c>
    </row>
    <row r="511" spans="1:71" ht="15" hidden="1" customHeight="1">
      <c r="A511" s="215" t="s">
        <v>2480</v>
      </c>
      <c r="B511" s="732" t="s">
        <v>2481</v>
      </c>
      <c r="C511" s="346"/>
      <c r="D511" s="343" t="str">
        <f>_xlfn.TEXTJOIN("_",FALSE,E511,ERP_8[[#This Row],[Expense Category]],ERP_8[[#This Row],[Project Code*]])</f>
        <v>Dougherty, Chris_SOFTWARE_IT-SFT1194-86-OG-US</v>
      </c>
      <c r="E511" s="343" t="s">
        <v>1135</v>
      </c>
      <c r="F511" s="346"/>
      <c r="G511" s="150" t="s">
        <v>1136</v>
      </c>
      <c r="H511" s="334" t="s">
        <v>1135</v>
      </c>
      <c r="I511" s="334" t="s">
        <v>1165</v>
      </c>
      <c r="J511" s="334" t="s">
        <v>1137</v>
      </c>
      <c r="K511" s="516" t="s">
        <v>639</v>
      </c>
      <c r="L511" s="398" t="s">
        <v>818</v>
      </c>
      <c r="M511" s="343"/>
      <c r="N511" s="807"/>
      <c r="O511" s="219" t="s">
        <v>817</v>
      </c>
      <c r="P511" s="349"/>
      <c r="Q511" s="346" t="s">
        <v>1140</v>
      </c>
      <c r="R511" s="349"/>
      <c r="S511" s="334" t="s">
        <v>818</v>
      </c>
      <c r="T511" s="354"/>
      <c r="U511" s="403"/>
      <c r="V511" s="406">
        <v>12119.24</v>
      </c>
      <c r="W511" s="406">
        <v>21230.870000000003</v>
      </c>
      <c r="X511" s="425"/>
      <c r="Y511" s="71"/>
      <c r="Z511" s="789"/>
      <c r="AA511" s="785"/>
      <c r="AB511" s="785">
        <v>12141.44</v>
      </c>
      <c r="AC511" s="428">
        <v>0</v>
      </c>
      <c r="AD511" s="429">
        <v>0</v>
      </c>
      <c r="AE511" s="429">
        <v>10504.75</v>
      </c>
      <c r="AF511" s="429">
        <v>0</v>
      </c>
      <c r="AG511" s="368">
        <v>0</v>
      </c>
      <c r="AH511" s="369">
        <v>3029.81</v>
      </c>
      <c r="AI511" s="368">
        <v>0</v>
      </c>
      <c r="AJ511" s="369">
        <v>3029.81</v>
      </c>
      <c r="AK511" s="368">
        <v>0</v>
      </c>
      <c r="AL511" s="367">
        <f t="shared" si="30"/>
        <v>28705.810000000005</v>
      </c>
      <c r="AM511" s="362">
        <f>ERP_8[[#This Row],[2026 Working Total]]-ERP_8[[#This Row],[LE2 Final Submission]]</f>
        <v>7474.9400000000023</v>
      </c>
      <c r="AN511" s="227">
        <v>0</v>
      </c>
      <c r="AO511" s="227">
        <f t="shared" si="31"/>
        <v>10504.75</v>
      </c>
      <c r="AP511" s="374">
        <f>SUM(ERP_8[[#This Row],[AP01]:[AP07]])-SUM(ERP_8[[#This Row],[AP01 LE2]:[AP07 LE2]])</f>
        <v>7474.9400000000023</v>
      </c>
      <c r="AQ511" s="80"/>
      <c r="AR511" s="79">
        <f>ERP_8[[#This Row],[2026 Working Total to Budget/LE]]-ERP_8[[#This Row],[Giveback]]</f>
        <v>7474.9400000000023</v>
      </c>
      <c r="AS511" s="81"/>
      <c r="AT511" s="375"/>
      <c r="AU511" s="375"/>
      <c r="AV511" s="375">
        <v>12141.44</v>
      </c>
      <c r="AW511" s="375">
        <v>0</v>
      </c>
      <c r="AX511" s="375">
        <v>0</v>
      </c>
      <c r="AY511" s="375">
        <v>3029.81</v>
      </c>
      <c r="AZ511" s="375">
        <v>0</v>
      </c>
      <c r="BA511" s="375">
        <v>0</v>
      </c>
      <c r="BB511" s="375">
        <v>3029.81</v>
      </c>
      <c r="BC511" s="375">
        <v>0</v>
      </c>
      <c r="BD511" s="375">
        <v>3029.81</v>
      </c>
      <c r="BE511" s="375">
        <v>0</v>
      </c>
      <c r="BF511" s="375">
        <v>21230.870000000003</v>
      </c>
      <c r="BG511" s="227"/>
      <c r="BH511" s="227"/>
      <c r="BI511" s="227">
        <v>12141.44</v>
      </c>
      <c r="BJ511" s="227">
        <v>0</v>
      </c>
      <c r="BK511" s="227">
        <v>0</v>
      </c>
      <c r="BL511" s="227">
        <v>3029.81</v>
      </c>
      <c r="BM511" s="227">
        <v>0</v>
      </c>
      <c r="BN511" s="227">
        <v>0</v>
      </c>
      <c r="BO511" s="227">
        <v>3029.81</v>
      </c>
      <c r="BP511" s="227">
        <v>0</v>
      </c>
      <c r="BQ511" s="227">
        <v>3029.81</v>
      </c>
      <c r="BR511" s="227">
        <v>0</v>
      </c>
      <c r="BS511" s="227">
        <v>21230.870000000003</v>
      </c>
    </row>
    <row r="512" spans="1:71" ht="15" hidden="1" customHeight="1">
      <c r="A512" s="215" t="s">
        <v>2482</v>
      </c>
      <c r="B512" s="732" t="s">
        <v>819</v>
      </c>
      <c r="C512" s="346"/>
      <c r="D512" s="343" t="str">
        <f>_xlfn.TEXTJOIN("_",FALSE,E512,ERP_8[[#This Row],[Expense Category]],ERP_8[[#This Row],[Project Code*]])</f>
        <v>Dougherty, Chris_SOFTWARE_IT-SFT1208-86-OG-US</v>
      </c>
      <c r="E512" s="343" t="s">
        <v>1135</v>
      </c>
      <c r="F512" s="346"/>
      <c r="G512" s="150" t="s">
        <v>1136</v>
      </c>
      <c r="H512" s="334" t="s">
        <v>1135</v>
      </c>
      <c r="I512" s="334" t="s">
        <v>1135</v>
      </c>
      <c r="J512" s="334" t="s">
        <v>1137</v>
      </c>
      <c r="K512" s="516" t="s">
        <v>639</v>
      </c>
      <c r="L512" s="861" t="s">
        <v>2483</v>
      </c>
      <c r="M512" s="343" t="s">
        <v>2484</v>
      </c>
      <c r="N512" s="810" t="s">
        <v>1171</v>
      </c>
      <c r="O512" s="219" t="s">
        <v>820</v>
      </c>
      <c r="P512" s="349"/>
      <c r="Q512" s="346" t="s">
        <v>1187</v>
      </c>
      <c r="R512" s="349"/>
      <c r="S512" s="865" t="s">
        <v>821</v>
      </c>
      <c r="T512" s="357" t="s">
        <v>2485</v>
      </c>
      <c r="U512" s="403"/>
      <c r="V512" s="406">
        <v>280976</v>
      </c>
      <c r="W512" s="406">
        <v>290275.11</v>
      </c>
      <c r="X512" s="425"/>
      <c r="Y512" s="71"/>
      <c r="Z512" s="789"/>
      <c r="AA512" s="785"/>
      <c r="AB512" s="785"/>
      <c r="AC512" s="428" t="s">
        <v>1142</v>
      </c>
      <c r="AD512" s="429">
        <v>390539.25000000006</v>
      </c>
      <c r="AE512" s="429">
        <v>-88688.920000000013</v>
      </c>
      <c r="AF512" s="429">
        <v>-110827.21</v>
      </c>
      <c r="AG512" s="368">
        <v>99598</v>
      </c>
      <c r="AH512" s="368">
        <v>0</v>
      </c>
      <c r="AI512" s="368">
        <v>0</v>
      </c>
      <c r="AJ512" s="368">
        <v>0</v>
      </c>
      <c r="AK512" s="368">
        <v>0</v>
      </c>
      <c r="AL512" s="367">
        <f t="shared" si="30"/>
        <v>290621.12000000005</v>
      </c>
      <c r="AM512" s="362">
        <f>ERP_8[[#This Row],[2026 Working Total]]-ERP_8[[#This Row],[LE2 Final Submission]]</f>
        <v>346.01000000006752</v>
      </c>
      <c r="AN512" s="227"/>
      <c r="AO512" s="227">
        <f t="shared" si="31"/>
        <v>-88688.920000000013</v>
      </c>
      <c r="AP512" s="374">
        <f>SUM(ERP_8[[#This Row],[AP01]:[AP07]])-SUM(ERP_8[[#This Row],[AP01 LE2]:[AP07 LE2]])</f>
        <v>-99251.989999999932</v>
      </c>
      <c r="AQ512" s="80"/>
      <c r="AR512" s="79">
        <f>ERP_8[[#This Row],[2026 Working Total to Budget/LE]]-ERP_8[[#This Row],[Giveback]]</f>
        <v>346.01000000006752</v>
      </c>
      <c r="AS512" s="81"/>
      <c r="AT512" s="375"/>
      <c r="AU512" s="375"/>
      <c r="AV512" s="375"/>
      <c r="AW512" s="375"/>
      <c r="AX512" s="375">
        <v>290275.11</v>
      </c>
      <c r="AY512" s="375">
        <v>0</v>
      </c>
      <c r="AZ512" s="375">
        <v>0</v>
      </c>
      <c r="BA512" s="375">
        <v>0</v>
      </c>
      <c r="BB512" s="375">
        <v>0</v>
      </c>
      <c r="BC512" s="375">
        <v>0</v>
      </c>
      <c r="BD512" s="375">
        <v>0</v>
      </c>
      <c r="BE512" s="375">
        <v>0</v>
      </c>
      <c r="BF512" s="375">
        <v>290275.11</v>
      </c>
      <c r="BG512" s="227"/>
      <c r="BH512" s="227"/>
      <c r="BI512" s="227"/>
      <c r="BJ512" s="227"/>
      <c r="BK512" s="227">
        <v>280976</v>
      </c>
      <c r="BL512" s="227">
        <v>0</v>
      </c>
      <c r="BM512" s="227">
        <v>0</v>
      </c>
      <c r="BN512" s="227">
        <v>0</v>
      </c>
      <c r="BO512" s="227">
        <v>0</v>
      </c>
      <c r="BP512" s="227">
        <v>0</v>
      </c>
      <c r="BQ512" s="227">
        <v>0</v>
      </c>
      <c r="BR512" s="227">
        <v>0</v>
      </c>
      <c r="BS512" s="227">
        <v>280976</v>
      </c>
    </row>
    <row r="513" spans="1:71" ht="15" hidden="1" customHeight="1">
      <c r="A513" s="215" t="s">
        <v>2486</v>
      </c>
      <c r="B513" s="732" t="s">
        <v>822</v>
      </c>
      <c r="C513" s="346"/>
      <c r="D513" s="343" t="str">
        <f>_xlfn.TEXTJOIN("_",FALSE,E513,ERP_8[[#This Row],[Expense Category]],ERP_8[[#This Row],[Project Code*]])</f>
        <v>Dougherty, Chris_SOFTWARE_IT-SFT1235-86-OG-US</v>
      </c>
      <c r="E513" s="343" t="s">
        <v>1135</v>
      </c>
      <c r="F513" s="346"/>
      <c r="G513" s="150" t="s">
        <v>1136</v>
      </c>
      <c r="H513" s="334" t="s">
        <v>1135</v>
      </c>
      <c r="I513" s="334" t="s">
        <v>1135</v>
      </c>
      <c r="J513" s="334" t="s">
        <v>1137</v>
      </c>
      <c r="K513" s="516" t="s">
        <v>639</v>
      </c>
      <c r="L513" s="398" t="s">
        <v>2487</v>
      </c>
      <c r="M513" s="343"/>
      <c r="N513" s="807"/>
      <c r="O513" s="219" t="s">
        <v>823</v>
      </c>
      <c r="P513" s="349"/>
      <c r="Q513" s="343"/>
      <c r="R513" s="349"/>
      <c r="S513" s="334" t="s">
        <v>605</v>
      </c>
      <c r="T513" s="354"/>
      <c r="U513" s="403"/>
      <c r="V513" s="406">
        <v>849804</v>
      </c>
      <c r="W513" s="406">
        <v>637353</v>
      </c>
      <c r="X513" s="430"/>
      <c r="Y513" s="137"/>
      <c r="Z513" s="789"/>
      <c r="AA513" s="785"/>
      <c r="AB513" s="785">
        <v>-212451</v>
      </c>
      <c r="AC513" s="428">
        <v>0</v>
      </c>
      <c r="AD513" s="429">
        <v>0</v>
      </c>
      <c r="AE513" s="429">
        <v>0</v>
      </c>
      <c r="AF513" s="429">
        <v>0</v>
      </c>
      <c r="AG513" s="368">
        <v>0</v>
      </c>
      <c r="AH513" s="369">
        <v>849804</v>
      </c>
      <c r="AI513" s="368">
        <v>0</v>
      </c>
      <c r="AJ513" s="368">
        <v>0</v>
      </c>
      <c r="AK513" s="368">
        <v>0</v>
      </c>
      <c r="AL513" s="367">
        <f t="shared" si="30"/>
        <v>637353</v>
      </c>
      <c r="AM513" s="362">
        <f>ERP_8[[#This Row],[2026 Working Total]]-ERP_8[[#This Row],[LE2 Final Submission]]</f>
        <v>0</v>
      </c>
      <c r="AN513" s="227">
        <v>0</v>
      </c>
      <c r="AO513" s="227">
        <f t="shared" si="31"/>
        <v>0</v>
      </c>
      <c r="AP513" s="374">
        <f>SUM(ERP_8[[#This Row],[AP01]:[AP07]])-SUM(ERP_8[[#This Row],[AP01 LE2]:[AP07 LE2]])</f>
        <v>0</v>
      </c>
      <c r="AQ513" s="80"/>
      <c r="AR513" s="79">
        <f>ERP_8[[#This Row],[2026 Working Total to Budget/LE]]-ERP_8[[#This Row],[Giveback]]</f>
        <v>0</v>
      </c>
      <c r="AS513" s="81"/>
      <c r="AT513" s="375"/>
      <c r="AU513" s="375"/>
      <c r="AV513" s="375">
        <v>-212451</v>
      </c>
      <c r="AW513" s="375">
        <v>0</v>
      </c>
      <c r="AX513" s="375">
        <v>0</v>
      </c>
      <c r="AY513" s="375">
        <v>0</v>
      </c>
      <c r="AZ513" s="375">
        <v>0</v>
      </c>
      <c r="BA513" s="375">
        <v>0</v>
      </c>
      <c r="BB513" s="375">
        <v>849804</v>
      </c>
      <c r="BC513" s="375">
        <v>0</v>
      </c>
      <c r="BD513" s="375">
        <v>0</v>
      </c>
      <c r="BE513" s="375">
        <v>0</v>
      </c>
      <c r="BF513" s="375">
        <v>637353</v>
      </c>
      <c r="BG513" s="227"/>
      <c r="BH513" s="227"/>
      <c r="BI513" s="227">
        <v>-212451</v>
      </c>
      <c r="BJ513" s="227">
        <v>0</v>
      </c>
      <c r="BK513" s="227">
        <v>0</v>
      </c>
      <c r="BL513" s="227">
        <v>0</v>
      </c>
      <c r="BM513" s="227">
        <v>0</v>
      </c>
      <c r="BN513" s="227">
        <v>0</v>
      </c>
      <c r="BO513" s="227">
        <v>849804</v>
      </c>
      <c r="BP513" s="227">
        <v>0</v>
      </c>
      <c r="BQ513" s="227">
        <v>0</v>
      </c>
      <c r="BR513" s="227">
        <v>0</v>
      </c>
      <c r="BS513" s="227">
        <v>637353</v>
      </c>
    </row>
    <row r="514" spans="1:71" ht="15" hidden="1" customHeight="1">
      <c r="A514" s="227" t="s">
        <v>2488</v>
      </c>
      <c r="B514" s="745" t="s">
        <v>824</v>
      </c>
      <c r="C514" s="348"/>
      <c r="D514" s="347" t="str">
        <f>_xlfn.TEXTJOIN("_",FALSE,E514,ERP_8[[#This Row],[Expense Category]],ERP_8[[#This Row],[Project Code*]])</f>
        <v>Dougherty, Chris_SOFTWARE_IT-SFT1236-86-OG-US</v>
      </c>
      <c r="E514" s="347" t="s">
        <v>1135</v>
      </c>
      <c r="F514" s="348"/>
      <c r="G514" s="150" t="s">
        <v>1136</v>
      </c>
      <c r="H514" s="336" t="s">
        <v>1135</v>
      </c>
      <c r="I514" s="338" t="s">
        <v>1135</v>
      </c>
      <c r="J514" s="335" t="s">
        <v>1137</v>
      </c>
      <c r="K514" s="517" t="s">
        <v>639</v>
      </c>
      <c r="L514" s="399" t="s">
        <v>2489</v>
      </c>
      <c r="M514" s="343" t="s">
        <v>2484</v>
      </c>
      <c r="N514" s="385" t="s">
        <v>1171</v>
      </c>
      <c r="O514" s="235" t="s">
        <v>825</v>
      </c>
      <c r="P514" s="344"/>
      <c r="Q514" s="346" t="s">
        <v>2490</v>
      </c>
      <c r="R514" s="349" t="s">
        <v>1710</v>
      </c>
      <c r="S514" s="352" t="s">
        <v>826</v>
      </c>
      <c r="T514" s="355" t="s">
        <v>1348</v>
      </c>
      <c r="U514" s="437"/>
      <c r="V514" s="358">
        <v>44842</v>
      </c>
      <c r="W514" s="378">
        <v>0</v>
      </c>
      <c r="X514" s="425"/>
      <c r="Y514" s="71"/>
      <c r="Z514" s="790"/>
      <c r="AA514" s="786"/>
      <c r="AB514" s="786"/>
      <c r="AC514" s="428">
        <v>0</v>
      </c>
      <c r="AD514" s="429">
        <v>0</v>
      </c>
      <c r="AE514" s="429">
        <v>0</v>
      </c>
      <c r="AF514" s="429">
        <v>0</v>
      </c>
      <c r="AG514" s="370">
        <v>0</v>
      </c>
      <c r="AH514" s="370">
        <v>0</v>
      </c>
      <c r="AI514" s="370">
        <v>0</v>
      </c>
      <c r="AJ514" s="370">
        <v>0</v>
      </c>
      <c r="AK514" s="370">
        <v>0</v>
      </c>
      <c r="AL514" s="367">
        <f t="shared" si="30"/>
        <v>0</v>
      </c>
      <c r="AM514" s="362">
        <f>ERP_8[[#This Row],[2026 Working Total]]-ERP_8[[#This Row],[LE2 Final Submission]]</f>
        <v>0</v>
      </c>
      <c r="AN514" s="79">
        <v>0</v>
      </c>
      <c r="AO514" s="227">
        <f t="shared" si="31"/>
        <v>0</v>
      </c>
      <c r="AP514" s="374">
        <f>SUM(ERP_8[[#This Row],[AP01]:[AP07]])-SUM(ERP_8[[#This Row],[AP01 LE2]:[AP07 LE2]])</f>
        <v>0</v>
      </c>
      <c r="AQ514" s="80"/>
      <c r="AR514" s="79">
        <f>ERP_8[[#This Row],[2026 Working Total to Budget/LE]]-ERP_8[[#This Row],[Giveback]]</f>
        <v>0</v>
      </c>
      <c r="AS514" s="81"/>
      <c r="AT514" s="375"/>
      <c r="AU514" s="375"/>
      <c r="AV514" s="375"/>
      <c r="AW514" s="375">
        <v>0</v>
      </c>
      <c r="AX514" s="375">
        <v>0</v>
      </c>
      <c r="AY514" s="375">
        <v>0</v>
      </c>
      <c r="AZ514" s="375">
        <v>0</v>
      </c>
      <c r="BA514" s="375">
        <v>0</v>
      </c>
      <c r="BB514" s="375">
        <v>0</v>
      </c>
      <c r="BC514" s="375">
        <v>0</v>
      </c>
      <c r="BD514" s="375">
        <v>0</v>
      </c>
      <c r="BE514" s="375">
        <v>0</v>
      </c>
      <c r="BF514" s="375">
        <v>0</v>
      </c>
      <c r="BG514" s="246">
        <v>44842</v>
      </c>
      <c r="BH514" s="246">
        <v>0</v>
      </c>
      <c r="BI514" s="246">
        <v>0</v>
      </c>
      <c r="BJ514" s="246">
        <v>0</v>
      </c>
      <c r="BK514" s="246">
        <v>0</v>
      </c>
      <c r="BL514" s="246">
        <v>0</v>
      </c>
      <c r="BM514" s="246">
        <v>0</v>
      </c>
      <c r="BN514" s="246">
        <v>0</v>
      </c>
      <c r="BO514" s="246">
        <v>0</v>
      </c>
      <c r="BP514" s="246">
        <v>0</v>
      </c>
      <c r="BQ514" s="246">
        <v>0</v>
      </c>
      <c r="BR514" s="246">
        <v>0</v>
      </c>
      <c r="BS514" s="227">
        <f>SUM(ERP_8[[#This Row],[2026 AP01]:[2026 AP12]])</f>
        <v>44842</v>
      </c>
    </row>
    <row r="515" spans="1:71" ht="15" hidden="1" customHeight="1">
      <c r="A515" s="227" t="s">
        <v>2491</v>
      </c>
      <c r="B515" s="745" t="s">
        <v>827</v>
      </c>
      <c r="C515" s="348"/>
      <c r="D515" s="347" t="str">
        <f>_xlfn.TEXTJOIN("_",FALSE,E515,ERP_8[[#This Row],[Expense Category]],ERP_8[[#This Row],[Project Code*]])</f>
        <v>Dougherty, Chris_SOFTWARE_IT-SFT1236-86-OG-US/PF</v>
      </c>
      <c r="E515" s="347" t="s">
        <v>1135</v>
      </c>
      <c r="F515" s="348"/>
      <c r="G515" s="150" t="s">
        <v>1136</v>
      </c>
      <c r="H515" s="336" t="s">
        <v>1135</v>
      </c>
      <c r="I515" s="338" t="s">
        <v>1135</v>
      </c>
      <c r="J515" s="335" t="s">
        <v>1137</v>
      </c>
      <c r="K515" s="517" t="s">
        <v>639</v>
      </c>
      <c r="L515" s="399" t="s">
        <v>2492</v>
      </c>
      <c r="M515" s="343" t="s">
        <v>2484</v>
      </c>
      <c r="N515" s="865" t="s">
        <v>1171</v>
      </c>
      <c r="O515" s="235" t="s">
        <v>828</v>
      </c>
      <c r="P515" s="344"/>
      <c r="Q515" s="346" t="s">
        <v>2490</v>
      </c>
      <c r="R515" s="349" t="s">
        <v>1710</v>
      </c>
      <c r="S515" s="352" t="s">
        <v>826</v>
      </c>
      <c r="T515" s="355" t="s">
        <v>1348</v>
      </c>
      <c r="U515" s="437"/>
      <c r="V515" s="358">
        <v>-44842</v>
      </c>
      <c r="W515" s="378">
        <v>0</v>
      </c>
      <c r="X515" s="425"/>
      <c r="Y515" s="71"/>
      <c r="Z515" s="790"/>
      <c r="AA515" s="786"/>
      <c r="AB515" s="786"/>
      <c r="AC515" s="428" t="s">
        <v>1142</v>
      </c>
      <c r="AD515" s="429">
        <v>0</v>
      </c>
      <c r="AE515" s="429">
        <v>0</v>
      </c>
      <c r="AF515" s="429" t="s">
        <v>1142</v>
      </c>
      <c r="AG515" s="370">
        <v>0</v>
      </c>
      <c r="AH515" s="370">
        <v>0</v>
      </c>
      <c r="AI515" s="370">
        <v>0</v>
      </c>
      <c r="AJ515" s="370">
        <v>0</v>
      </c>
      <c r="AK515" s="370">
        <v>0</v>
      </c>
      <c r="AL515" s="367">
        <f t="shared" si="30"/>
        <v>0</v>
      </c>
      <c r="AM515" s="362">
        <f>ERP_8[[#This Row],[2026 Working Total]]-ERP_8[[#This Row],[LE2 Final Submission]]</f>
        <v>0</v>
      </c>
      <c r="AN515" s="79">
        <v>0</v>
      </c>
      <c r="AO515" s="227">
        <f t="shared" si="31"/>
        <v>0</v>
      </c>
      <c r="AP515" s="374">
        <f>SUM(ERP_8[[#This Row],[AP01]:[AP07]])-SUM(ERP_8[[#This Row],[AP01 LE2]:[AP07 LE2]])</f>
        <v>0</v>
      </c>
      <c r="AQ515" s="80"/>
      <c r="AR515" s="79">
        <f>ERP_8[[#This Row],[2026 Working Total to Budget/LE]]-ERP_8[[#This Row],[Giveback]]</f>
        <v>0</v>
      </c>
      <c r="AS515" s="81"/>
      <c r="AT515" s="375"/>
      <c r="AU515" s="375"/>
      <c r="AV515" s="375"/>
      <c r="AW515" s="375">
        <v>0</v>
      </c>
      <c r="AX515" s="375">
        <v>0</v>
      </c>
      <c r="AY515" s="375">
        <v>0</v>
      </c>
      <c r="AZ515" s="375">
        <v>0</v>
      </c>
      <c r="BA515" s="375">
        <v>0</v>
      </c>
      <c r="BB515" s="375">
        <v>0</v>
      </c>
      <c r="BC515" s="375">
        <v>0</v>
      </c>
      <c r="BD515" s="375">
        <v>0</v>
      </c>
      <c r="BE515" s="375">
        <v>0</v>
      </c>
      <c r="BF515" s="375">
        <v>0</v>
      </c>
      <c r="BG515" s="246">
        <v>-44842</v>
      </c>
      <c r="BH515" s="246">
        <v>0</v>
      </c>
      <c r="BI515" s="246">
        <v>0</v>
      </c>
      <c r="BJ515" s="246">
        <v>0</v>
      </c>
      <c r="BK515" s="246">
        <v>0</v>
      </c>
      <c r="BL515" s="246">
        <v>0</v>
      </c>
      <c r="BM515" s="246">
        <v>0</v>
      </c>
      <c r="BN515" s="246">
        <v>0</v>
      </c>
      <c r="BO515" s="246">
        <v>0</v>
      </c>
      <c r="BP515" s="246">
        <v>0</v>
      </c>
      <c r="BQ515" s="246">
        <v>0</v>
      </c>
      <c r="BR515" s="246">
        <v>0</v>
      </c>
      <c r="BS515" s="227">
        <f>SUM(ERP_8[[#This Row],[2026 AP01]:[2026 AP12]])</f>
        <v>-44842</v>
      </c>
    </row>
    <row r="516" spans="1:71" ht="15" hidden="1" customHeight="1">
      <c r="A516" s="227" t="s">
        <v>2493</v>
      </c>
      <c r="B516" s="745" t="s">
        <v>829</v>
      </c>
      <c r="C516" s="348"/>
      <c r="D516" s="347" t="str">
        <f>_xlfn.TEXTJOIN("_",FALSE,E516,ERP_8[[#This Row],[Expense Category]],ERP_8[[#This Row],[Project Code*]])</f>
        <v>Dougherty, Chris_SOFTWARE_IT-SFT1237-86-US-00</v>
      </c>
      <c r="E516" s="347" t="s">
        <v>1135</v>
      </c>
      <c r="F516" s="348"/>
      <c r="G516" s="150" t="s">
        <v>1136</v>
      </c>
      <c r="H516" s="336" t="s">
        <v>1135</v>
      </c>
      <c r="I516" s="338" t="s">
        <v>1135</v>
      </c>
      <c r="J516" s="335" t="s">
        <v>1137</v>
      </c>
      <c r="K516" s="517" t="s">
        <v>639</v>
      </c>
      <c r="L516" s="399" t="s">
        <v>2494</v>
      </c>
      <c r="M516" s="343" t="s">
        <v>2484</v>
      </c>
      <c r="N516" s="865" t="s">
        <v>1171</v>
      </c>
      <c r="O516" s="235" t="s">
        <v>830</v>
      </c>
      <c r="P516" s="344"/>
      <c r="Q516" s="346" t="s">
        <v>2495</v>
      </c>
      <c r="R516" s="349" t="s">
        <v>1710</v>
      </c>
      <c r="S516" s="352" t="s">
        <v>826</v>
      </c>
      <c r="T516" s="355" t="s">
        <v>2496</v>
      </c>
      <c r="U516" s="437"/>
      <c r="V516" s="358">
        <v>664963</v>
      </c>
      <c r="W516" s="378">
        <v>0</v>
      </c>
      <c r="X516" s="430"/>
      <c r="Y516" s="137"/>
      <c r="Z516" s="790"/>
      <c r="AA516" s="786"/>
      <c r="AB516" s="786"/>
      <c r="AC516" s="428" t="s">
        <v>1142</v>
      </c>
      <c r="AD516" s="429">
        <v>0</v>
      </c>
      <c r="AE516" s="429">
        <v>0</v>
      </c>
      <c r="AF516" s="429" t="s">
        <v>1142</v>
      </c>
      <c r="AG516" s="370">
        <v>0</v>
      </c>
      <c r="AH516" s="370">
        <v>0</v>
      </c>
      <c r="AI516" s="370">
        <v>0</v>
      </c>
      <c r="AJ516" s="370">
        <v>0</v>
      </c>
      <c r="AK516" s="370">
        <v>0</v>
      </c>
      <c r="AL516" s="367">
        <f t="shared" ref="AL516:AL579" si="32">SUM(Z516:AK516)</f>
        <v>0</v>
      </c>
      <c r="AM516" s="362">
        <f>ERP_8[[#This Row],[2026 Working Total]]-ERP_8[[#This Row],[LE2 Final Submission]]</f>
        <v>0</v>
      </c>
      <c r="AN516" s="79">
        <v>0</v>
      </c>
      <c r="AO516" s="227">
        <f t="shared" si="31"/>
        <v>0</v>
      </c>
      <c r="AP516" s="374">
        <f>SUM(ERP_8[[#This Row],[AP01]:[AP07]])-SUM(ERP_8[[#This Row],[AP01 LE2]:[AP07 LE2]])</f>
        <v>0</v>
      </c>
      <c r="AQ516" s="80"/>
      <c r="AR516" s="79">
        <f>ERP_8[[#This Row],[2026 Working Total to Budget/LE]]-ERP_8[[#This Row],[Giveback]]</f>
        <v>0</v>
      </c>
      <c r="AS516" s="81"/>
      <c r="AT516" s="375"/>
      <c r="AU516" s="375"/>
      <c r="AV516" s="375"/>
      <c r="AW516" s="375">
        <v>0</v>
      </c>
      <c r="AX516" s="375">
        <v>0</v>
      </c>
      <c r="AY516" s="375">
        <v>0</v>
      </c>
      <c r="AZ516" s="375">
        <v>0</v>
      </c>
      <c r="BA516" s="375">
        <v>0</v>
      </c>
      <c r="BB516" s="375">
        <v>0</v>
      </c>
      <c r="BC516" s="375">
        <v>0</v>
      </c>
      <c r="BD516" s="375">
        <v>0</v>
      </c>
      <c r="BE516" s="375">
        <v>0</v>
      </c>
      <c r="BF516" s="375">
        <v>0</v>
      </c>
      <c r="BG516" s="246">
        <v>664963</v>
      </c>
      <c r="BH516" s="246">
        <v>0</v>
      </c>
      <c r="BI516" s="246">
        <v>0</v>
      </c>
      <c r="BJ516" s="246">
        <v>0</v>
      </c>
      <c r="BK516" s="246">
        <v>0</v>
      </c>
      <c r="BL516" s="246">
        <v>0</v>
      </c>
      <c r="BM516" s="246">
        <v>0</v>
      </c>
      <c r="BN516" s="246">
        <v>0</v>
      </c>
      <c r="BO516" s="246">
        <v>0</v>
      </c>
      <c r="BP516" s="246">
        <v>0</v>
      </c>
      <c r="BQ516" s="246">
        <v>0</v>
      </c>
      <c r="BR516" s="246">
        <v>0</v>
      </c>
      <c r="BS516" s="227">
        <f>SUM(ERP_8[[#This Row],[2026 AP01]:[2026 AP12]])</f>
        <v>664963</v>
      </c>
    </row>
    <row r="517" spans="1:71" ht="15" hidden="1" customHeight="1">
      <c r="A517" s="227" t="s">
        <v>2497</v>
      </c>
      <c r="B517" s="745" t="s">
        <v>831</v>
      </c>
      <c r="C517" s="348"/>
      <c r="D517" s="347" t="str">
        <f>_xlfn.TEXTJOIN("_",FALSE,E517,ERP_8[[#This Row],[Expense Category]],ERP_8[[#This Row],[Project Code*]])</f>
        <v>Dougherty, Chris_SOFTWARE_IT-SFT1237-86-US-00/PF</v>
      </c>
      <c r="E517" s="347" t="s">
        <v>1135</v>
      </c>
      <c r="F517" s="348"/>
      <c r="G517" s="150" t="s">
        <v>1136</v>
      </c>
      <c r="H517" s="336" t="s">
        <v>1135</v>
      </c>
      <c r="I517" s="337" t="s">
        <v>1135</v>
      </c>
      <c r="J517" s="335" t="s">
        <v>1137</v>
      </c>
      <c r="K517" s="517" t="s">
        <v>639</v>
      </c>
      <c r="L517" s="397" t="s">
        <v>2498</v>
      </c>
      <c r="M517" s="343" t="s">
        <v>2484</v>
      </c>
      <c r="N517" s="865" t="s">
        <v>1171</v>
      </c>
      <c r="O517" s="253" t="s">
        <v>832</v>
      </c>
      <c r="P517" s="344"/>
      <c r="Q517" s="346" t="s">
        <v>2495</v>
      </c>
      <c r="R517" s="349" t="s">
        <v>1710</v>
      </c>
      <c r="S517" s="350" t="s">
        <v>826</v>
      </c>
      <c r="T517" s="355" t="s">
        <v>2499</v>
      </c>
      <c r="U517" s="437"/>
      <c r="V517" s="358">
        <v>-664963</v>
      </c>
      <c r="W517" s="378">
        <v>0</v>
      </c>
      <c r="X517" s="425"/>
      <c r="Y517" s="71"/>
      <c r="Z517" s="790"/>
      <c r="AA517" s="786"/>
      <c r="AB517" s="786"/>
      <c r="AC517" s="428" t="s">
        <v>1142</v>
      </c>
      <c r="AD517" s="429">
        <v>0</v>
      </c>
      <c r="AE517" s="429">
        <v>0</v>
      </c>
      <c r="AF517" s="429" t="s">
        <v>1142</v>
      </c>
      <c r="AG517" s="370">
        <v>0</v>
      </c>
      <c r="AH517" s="370">
        <v>0</v>
      </c>
      <c r="AI517" s="370">
        <v>0</v>
      </c>
      <c r="AJ517" s="370">
        <v>0</v>
      </c>
      <c r="AK517" s="370">
        <v>0</v>
      </c>
      <c r="AL517" s="367">
        <f t="shared" si="32"/>
        <v>0</v>
      </c>
      <c r="AM517" s="362">
        <f>ERP_8[[#This Row],[2026 Working Total]]-ERP_8[[#This Row],[LE2 Final Submission]]</f>
        <v>0</v>
      </c>
      <c r="AN517" s="79">
        <v>0</v>
      </c>
      <c r="AO517" s="227">
        <f t="shared" si="31"/>
        <v>0</v>
      </c>
      <c r="AP517" s="374">
        <f>SUM(ERP_8[[#This Row],[AP01]:[AP07]])-SUM(ERP_8[[#This Row],[AP01 LE2]:[AP07 LE2]])</f>
        <v>0</v>
      </c>
      <c r="AQ517" s="80"/>
      <c r="AR517" s="79">
        <f>ERP_8[[#This Row],[2026 Working Total to Budget/LE]]-ERP_8[[#This Row],[Giveback]]</f>
        <v>0</v>
      </c>
      <c r="AS517" s="81"/>
      <c r="AT517" s="375"/>
      <c r="AU517" s="375"/>
      <c r="AV517" s="375"/>
      <c r="AW517" s="375">
        <v>0</v>
      </c>
      <c r="AX517" s="375">
        <v>0</v>
      </c>
      <c r="AY517" s="375">
        <v>0</v>
      </c>
      <c r="AZ517" s="375">
        <v>0</v>
      </c>
      <c r="BA517" s="375">
        <v>0</v>
      </c>
      <c r="BB517" s="375">
        <v>0</v>
      </c>
      <c r="BC517" s="375">
        <v>0</v>
      </c>
      <c r="BD517" s="375">
        <v>0</v>
      </c>
      <c r="BE517" s="375">
        <v>0</v>
      </c>
      <c r="BF517" s="375">
        <v>0</v>
      </c>
      <c r="BG517" s="246">
        <v>-664963</v>
      </c>
      <c r="BH517" s="246">
        <v>0</v>
      </c>
      <c r="BI517" s="246">
        <v>0</v>
      </c>
      <c r="BJ517" s="246">
        <v>0</v>
      </c>
      <c r="BK517" s="246">
        <v>0</v>
      </c>
      <c r="BL517" s="246">
        <v>0</v>
      </c>
      <c r="BM517" s="246">
        <v>0</v>
      </c>
      <c r="BN517" s="246">
        <v>0</v>
      </c>
      <c r="BO517" s="246">
        <v>0</v>
      </c>
      <c r="BP517" s="246">
        <v>0</v>
      </c>
      <c r="BQ517" s="246">
        <v>0</v>
      </c>
      <c r="BR517" s="246">
        <v>0</v>
      </c>
      <c r="BS517" s="227">
        <f>SUM(ERP_8[[#This Row],[2026 AP01]:[2026 AP12]])</f>
        <v>-664963</v>
      </c>
    </row>
    <row r="518" spans="1:71" ht="15" hidden="1" customHeight="1">
      <c r="A518" s="227" t="s">
        <v>2500</v>
      </c>
      <c r="B518" s="745" t="s">
        <v>833</v>
      </c>
      <c r="C518" s="348"/>
      <c r="D518" s="347" t="str">
        <f>_xlfn.TEXTJOIN("_",FALSE,E518,ERP_8[[#This Row],[Expense Category]],ERP_8[[#This Row],[Project Code*]])</f>
        <v>Dougherty, Chris_SOFTWARE_IT-SFT1238-86-OG-US</v>
      </c>
      <c r="E518" s="347" t="s">
        <v>1135</v>
      </c>
      <c r="F518" s="348"/>
      <c r="G518" s="150" t="s">
        <v>1136</v>
      </c>
      <c r="H518" s="336" t="s">
        <v>1135</v>
      </c>
      <c r="I518" s="338" t="s">
        <v>1135</v>
      </c>
      <c r="J518" s="335" t="s">
        <v>1137</v>
      </c>
      <c r="K518" s="517" t="s">
        <v>639</v>
      </c>
      <c r="L518" s="399" t="s">
        <v>2501</v>
      </c>
      <c r="M518" s="343" t="s">
        <v>2484</v>
      </c>
      <c r="N518" s="865" t="s">
        <v>1171</v>
      </c>
      <c r="O518" s="235" t="s">
        <v>834</v>
      </c>
      <c r="P518" s="344"/>
      <c r="Q518" s="346" t="s">
        <v>2502</v>
      </c>
      <c r="R518" s="349" t="s">
        <v>1710</v>
      </c>
      <c r="S518" s="352" t="s">
        <v>826</v>
      </c>
      <c r="T518" s="355" t="s">
        <v>2496</v>
      </c>
      <c r="U518" s="437"/>
      <c r="V518" s="358">
        <v>663273</v>
      </c>
      <c r="W518" s="378">
        <v>0</v>
      </c>
      <c r="X518" s="425"/>
      <c r="Y518" s="71"/>
      <c r="Z518" s="790"/>
      <c r="AA518" s="786"/>
      <c r="AB518" s="786"/>
      <c r="AC518" s="428">
        <v>0</v>
      </c>
      <c r="AD518" s="429">
        <v>0</v>
      </c>
      <c r="AE518" s="429">
        <v>0</v>
      </c>
      <c r="AF518" s="429">
        <v>0</v>
      </c>
      <c r="AG518" s="370">
        <v>0</v>
      </c>
      <c r="AH518" s="370">
        <v>0</v>
      </c>
      <c r="AI518" s="370">
        <v>0</v>
      </c>
      <c r="AJ518" s="370">
        <v>0</v>
      </c>
      <c r="AK518" s="370">
        <v>0</v>
      </c>
      <c r="AL518" s="367">
        <f t="shared" si="32"/>
        <v>0</v>
      </c>
      <c r="AM518" s="362">
        <f>ERP_8[[#This Row],[2026 Working Total]]-ERP_8[[#This Row],[LE2 Final Submission]]</f>
        <v>0</v>
      </c>
      <c r="AN518" s="227">
        <v>0</v>
      </c>
      <c r="AO518" s="227">
        <f t="shared" si="31"/>
        <v>0</v>
      </c>
      <c r="AP518" s="374">
        <f>SUM(ERP_8[[#This Row],[AP01]:[AP07]])-SUM(ERP_8[[#This Row],[AP01 LE2]:[AP07 LE2]])</f>
        <v>0</v>
      </c>
      <c r="AQ518" s="80"/>
      <c r="AR518" s="79">
        <f>ERP_8[[#This Row],[2026 Working Total to Budget/LE]]-ERP_8[[#This Row],[Giveback]]</f>
        <v>0</v>
      </c>
      <c r="AS518" s="81"/>
      <c r="AT518" s="375"/>
      <c r="AU518" s="375"/>
      <c r="AV518" s="375"/>
      <c r="AW518" s="375">
        <v>0</v>
      </c>
      <c r="AX518" s="375">
        <v>0</v>
      </c>
      <c r="AY518" s="375">
        <v>0</v>
      </c>
      <c r="AZ518" s="375">
        <v>0</v>
      </c>
      <c r="BA518" s="375">
        <v>0</v>
      </c>
      <c r="BB518" s="375">
        <v>0</v>
      </c>
      <c r="BC518" s="375">
        <v>0</v>
      </c>
      <c r="BD518" s="375">
        <v>0</v>
      </c>
      <c r="BE518" s="375">
        <v>0</v>
      </c>
      <c r="BF518" s="375">
        <v>0</v>
      </c>
      <c r="BG518" s="246">
        <v>663273</v>
      </c>
      <c r="BH518" s="246">
        <v>0</v>
      </c>
      <c r="BI518" s="246">
        <v>0</v>
      </c>
      <c r="BJ518" s="246">
        <v>0</v>
      </c>
      <c r="BK518" s="246">
        <v>0</v>
      </c>
      <c r="BL518" s="246">
        <v>0</v>
      </c>
      <c r="BM518" s="246">
        <v>0</v>
      </c>
      <c r="BN518" s="246">
        <v>0</v>
      </c>
      <c r="BO518" s="246">
        <v>0</v>
      </c>
      <c r="BP518" s="246">
        <v>0</v>
      </c>
      <c r="BQ518" s="246">
        <v>0</v>
      </c>
      <c r="BR518" s="246">
        <v>0</v>
      </c>
      <c r="BS518" s="227">
        <f>SUM(ERP_8[[#This Row],[2026 AP01]:[2026 AP12]])</f>
        <v>663273</v>
      </c>
    </row>
    <row r="519" spans="1:71" ht="15" hidden="1" customHeight="1">
      <c r="A519" s="227" t="s">
        <v>2503</v>
      </c>
      <c r="B519" s="745" t="s">
        <v>835</v>
      </c>
      <c r="C519" s="348"/>
      <c r="D519" s="347" t="str">
        <f>_xlfn.TEXTJOIN("_",FALSE,E519,ERP_8[[#This Row],[Expense Category]],ERP_8[[#This Row],[Project Code*]])</f>
        <v>Dougherty, Chris_SOFTWARE_IT-SFT1238-86-OG-US/PF</v>
      </c>
      <c r="E519" s="347" t="s">
        <v>1135</v>
      </c>
      <c r="F519" s="348"/>
      <c r="G519" s="150" t="s">
        <v>1136</v>
      </c>
      <c r="H519" s="336" t="s">
        <v>1135</v>
      </c>
      <c r="I519" s="337" t="s">
        <v>1135</v>
      </c>
      <c r="J519" s="335" t="s">
        <v>1137</v>
      </c>
      <c r="K519" s="517" t="s">
        <v>639</v>
      </c>
      <c r="L519" s="397" t="s">
        <v>2504</v>
      </c>
      <c r="M519" s="343" t="s">
        <v>2484</v>
      </c>
      <c r="N519" s="865" t="s">
        <v>1171</v>
      </c>
      <c r="O519" s="253" t="s">
        <v>836</v>
      </c>
      <c r="P519" s="344"/>
      <c r="Q519" s="346" t="s">
        <v>2502</v>
      </c>
      <c r="R519" s="349" t="s">
        <v>1710</v>
      </c>
      <c r="S519" s="350" t="s">
        <v>826</v>
      </c>
      <c r="T519" s="355" t="s">
        <v>2499</v>
      </c>
      <c r="U519" s="437"/>
      <c r="V519" s="358">
        <v>-663273</v>
      </c>
      <c r="W519" s="378">
        <v>0</v>
      </c>
      <c r="X519" s="430"/>
      <c r="Y519" s="137"/>
      <c r="Z519" s="790"/>
      <c r="AA519" s="786"/>
      <c r="AB519" s="786"/>
      <c r="AC519" s="428" t="s">
        <v>1142</v>
      </c>
      <c r="AD519" s="429">
        <v>0</v>
      </c>
      <c r="AE519" s="429">
        <v>0</v>
      </c>
      <c r="AF519" s="429" t="s">
        <v>1142</v>
      </c>
      <c r="AG519" s="370">
        <v>0</v>
      </c>
      <c r="AH519" s="370">
        <v>0</v>
      </c>
      <c r="AI519" s="370">
        <v>0</v>
      </c>
      <c r="AJ519" s="370">
        <v>0</v>
      </c>
      <c r="AK519" s="370">
        <v>0</v>
      </c>
      <c r="AL519" s="367">
        <f t="shared" si="32"/>
        <v>0</v>
      </c>
      <c r="AM519" s="362">
        <f>ERP_8[[#This Row],[2026 Working Total]]-ERP_8[[#This Row],[LE2 Final Submission]]</f>
        <v>0</v>
      </c>
      <c r="AN519" s="227">
        <v>0</v>
      </c>
      <c r="AO519" s="227">
        <f t="shared" si="31"/>
        <v>0</v>
      </c>
      <c r="AP519" s="374">
        <f>SUM(ERP_8[[#This Row],[AP01]:[AP07]])-SUM(ERP_8[[#This Row],[AP01 LE2]:[AP07 LE2]])</f>
        <v>0</v>
      </c>
      <c r="AQ519" s="80"/>
      <c r="AR519" s="79">
        <f>ERP_8[[#This Row],[2026 Working Total to Budget/LE]]-ERP_8[[#This Row],[Giveback]]</f>
        <v>0</v>
      </c>
      <c r="AS519" s="81"/>
      <c r="AT519" s="375"/>
      <c r="AU519" s="375"/>
      <c r="AV519" s="375"/>
      <c r="AW519" s="375">
        <v>0</v>
      </c>
      <c r="AX519" s="375">
        <v>0</v>
      </c>
      <c r="AY519" s="375">
        <v>0</v>
      </c>
      <c r="AZ519" s="375">
        <v>0</v>
      </c>
      <c r="BA519" s="375">
        <v>0</v>
      </c>
      <c r="BB519" s="375">
        <v>0</v>
      </c>
      <c r="BC519" s="375">
        <v>0</v>
      </c>
      <c r="BD519" s="375">
        <v>0</v>
      </c>
      <c r="BE519" s="375">
        <v>0</v>
      </c>
      <c r="BF519" s="375">
        <v>0</v>
      </c>
      <c r="BG519" s="246">
        <v>-663273</v>
      </c>
      <c r="BH519" s="246">
        <v>0</v>
      </c>
      <c r="BI519" s="246">
        <v>0</v>
      </c>
      <c r="BJ519" s="246">
        <v>0</v>
      </c>
      <c r="BK519" s="246">
        <v>0</v>
      </c>
      <c r="BL519" s="246">
        <v>0</v>
      </c>
      <c r="BM519" s="246">
        <v>0</v>
      </c>
      <c r="BN519" s="246">
        <v>0</v>
      </c>
      <c r="BO519" s="246">
        <v>0</v>
      </c>
      <c r="BP519" s="246">
        <v>0</v>
      </c>
      <c r="BQ519" s="246">
        <v>0</v>
      </c>
      <c r="BR519" s="246">
        <v>0</v>
      </c>
      <c r="BS519" s="227">
        <f>SUM(ERP_8[[#This Row],[2026 AP01]:[2026 AP12]])</f>
        <v>-663273</v>
      </c>
    </row>
    <row r="520" spans="1:71" ht="15" hidden="1" customHeight="1">
      <c r="A520" s="215" t="s">
        <v>2505</v>
      </c>
      <c r="B520" s="732" t="s">
        <v>837</v>
      </c>
      <c r="C520" s="346"/>
      <c r="D520" s="343" t="str">
        <f>_xlfn.TEXTJOIN("_",FALSE,E520,ERP_8[[#This Row],[Expense Category]],ERP_8[[#This Row],[Project Code*]])</f>
        <v>Dougherty, Chris_SOFTWARE_IT-SFT1239-86-OG-US</v>
      </c>
      <c r="E520" s="343" t="s">
        <v>1135</v>
      </c>
      <c r="F520" s="346"/>
      <c r="G520" s="150" t="s">
        <v>1136</v>
      </c>
      <c r="H520" s="334" t="s">
        <v>1135</v>
      </c>
      <c r="I520" s="334" t="s">
        <v>1135</v>
      </c>
      <c r="J520" s="334" t="s">
        <v>1137</v>
      </c>
      <c r="K520" s="516" t="s">
        <v>639</v>
      </c>
      <c r="L520" s="398" t="s">
        <v>2506</v>
      </c>
      <c r="M520" s="343"/>
      <c r="N520" s="807"/>
      <c r="O520" s="219" t="s">
        <v>838</v>
      </c>
      <c r="P520" s="349"/>
      <c r="Q520" s="343"/>
      <c r="R520" s="349"/>
      <c r="S520" s="334" t="s">
        <v>605</v>
      </c>
      <c r="T520" s="354"/>
      <c r="U520" s="403"/>
      <c r="V520" s="406">
        <v>107212</v>
      </c>
      <c r="W520" s="406">
        <v>107212</v>
      </c>
      <c r="X520" s="425"/>
      <c r="Y520" s="71"/>
      <c r="Z520" s="789"/>
      <c r="AA520" s="785"/>
      <c r="AB520" s="785"/>
      <c r="AC520" s="428" t="s">
        <v>1142</v>
      </c>
      <c r="AD520" s="429">
        <v>0</v>
      </c>
      <c r="AE520" s="429">
        <v>0</v>
      </c>
      <c r="AF520" s="429" t="s">
        <v>1142</v>
      </c>
      <c r="AG520" s="368">
        <v>0</v>
      </c>
      <c r="AH520" s="368">
        <v>0</v>
      </c>
      <c r="AI520" s="368">
        <v>0</v>
      </c>
      <c r="AJ520" s="368">
        <v>0</v>
      </c>
      <c r="AK520" s="368">
        <v>0</v>
      </c>
      <c r="AL520" s="367">
        <f t="shared" si="32"/>
        <v>0</v>
      </c>
      <c r="AM520" s="362">
        <f>ERP_8[[#This Row],[2026 Working Total]]-ERP_8[[#This Row],[LE2 Final Submission]]</f>
        <v>-107212</v>
      </c>
      <c r="AN520" s="227">
        <v>0</v>
      </c>
      <c r="AO520" s="227">
        <f t="shared" si="31"/>
        <v>0</v>
      </c>
      <c r="AP520" s="374">
        <f>SUM(ERP_8[[#This Row],[AP01]:[AP07]])-SUM(ERP_8[[#This Row],[AP01 LE2]:[AP07 LE2]])</f>
        <v>-107212</v>
      </c>
      <c r="AQ520" s="80"/>
      <c r="AR520" s="79">
        <f>ERP_8[[#This Row],[2026 Working Total to Budget/LE]]-ERP_8[[#This Row],[Giveback]]</f>
        <v>-107212</v>
      </c>
      <c r="AS520" s="81"/>
      <c r="AT520" s="375"/>
      <c r="AU520" s="375"/>
      <c r="AV520" s="375"/>
      <c r="AW520" s="375"/>
      <c r="AX520" s="375">
        <v>107212</v>
      </c>
      <c r="AY520" s="375">
        <v>0</v>
      </c>
      <c r="AZ520" s="375">
        <v>0</v>
      </c>
      <c r="BA520" s="375">
        <v>0</v>
      </c>
      <c r="BB520" s="375">
        <v>0</v>
      </c>
      <c r="BC520" s="375">
        <v>0</v>
      </c>
      <c r="BD520" s="375">
        <v>0</v>
      </c>
      <c r="BE520" s="375">
        <v>0</v>
      </c>
      <c r="BF520" s="375">
        <v>107212</v>
      </c>
      <c r="BG520" s="227"/>
      <c r="BH520" s="227"/>
      <c r="BI520" s="227"/>
      <c r="BJ520" s="227"/>
      <c r="BK520" s="227">
        <v>107212</v>
      </c>
      <c r="BL520" s="227">
        <v>0</v>
      </c>
      <c r="BM520" s="227">
        <v>0</v>
      </c>
      <c r="BN520" s="227">
        <v>0</v>
      </c>
      <c r="BO520" s="227">
        <v>0</v>
      </c>
      <c r="BP520" s="227">
        <v>0</v>
      </c>
      <c r="BQ520" s="227">
        <v>0</v>
      </c>
      <c r="BR520" s="227">
        <v>0</v>
      </c>
      <c r="BS520" s="227">
        <v>107212</v>
      </c>
    </row>
    <row r="521" spans="1:71" ht="15" hidden="1" customHeight="1">
      <c r="A521" s="215" t="s">
        <v>2507</v>
      </c>
      <c r="B521" s="732" t="s">
        <v>839</v>
      </c>
      <c r="C521" s="346"/>
      <c r="D521" s="343" t="str">
        <f>_xlfn.TEXTJOIN("_",FALSE,E521,ERP_8[[#This Row],[Expense Category]],ERP_8[[#This Row],[Project Code*]])</f>
        <v>Dougherty, Chris_SOFTWARE_IT-SFT1240-86-OG-US</v>
      </c>
      <c r="E521" s="343" t="s">
        <v>1135</v>
      </c>
      <c r="F521" s="346"/>
      <c r="G521" s="150" t="s">
        <v>1136</v>
      </c>
      <c r="H521" s="334" t="s">
        <v>1135</v>
      </c>
      <c r="I521" s="334" t="s">
        <v>1135</v>
      </c>
      <c r="J521" s="334" t="s">
        <v>1137</v>
      </c>
      <c r="K521" s="516" t="s">
        <v>639</v>
      </c>
      <c r="L521" s="398" t="s">
        <v>2508</v>
      </c>
      <c r="M521" s="343" t="s">
        <v>1231</v>
      </c>
      <c r="N521" s="810" t="s">
        <v>1171</v>
      </c>
      <c r="O521" s="219" t="s">
        <v>840</v>
      </c>
      <c r="P521" s="349"/>
      <c r="Q521" s="346" t="s">
        <v>2509</v>
      </c>
      <c r="R521" s="349"/>
      <c r="S521" s="334" t="s">
        <v>605</v>
      </c>
      <c r="T521" s="354" t="s">
        <v>2340</v>
      </c>
      <c r="U521" s="403"/>
      <c r="V521" s="406">
        <v>1155056.04</v>
      </c>
      <c r="W521" s="406">
        <v>1155043.3</v>
      </c>
      <c r="X521" s="425"/>
      <c r="Y521" s="71"/>
      <c r="Z521" s="789">
        <v>1155005.0900000001</v>
      </c>
      <c r="AA521" s="785">
        <v>-962504.24</v>
      </c>
      <c r="AB521" s="785">
        <v>96250.42</v>
      </c>
      <c r="AC521" s="428">
        <v>0</v>
      </c>
      <c r="AD521" s="429">
        <v>192500.84</v>
      </c>
      <c r="AE521" s="429">
        <v>96250.42</v>
      </c>
      <c r="AF521" s="429">
        <v>0</v>
      </c>
      <c r="AG521" s="369">
        <f>96254.67+96254.67</f>
        <v>192509.34</v>
      </c>
      <c r="AH521" s="369">
        <v>96254.67</v>
      </c>
      <c r="AI521" s="369">
        <f>96254.67-96254.67</f>
        <v>0</v>
      </c>
      <c r="AJ521" s="369">
        <f>96254.67+96254.67</f>
        <v>192509.34</v>
      </c>
      <c r="AK521" s="369">
        <v>96254.67</v>
      </c>
      <c r="AL521" s="367">
        <f t="shared" si="32"/>
        <v>1155030.55</v>
      </c>
      <c r="AM521" s="362">
        <f>ERP_8[[#This Row],[2026 Working Total]]-ERP_8[[#This Row],[LE2 Final Submission]]</f>
        <v>-12.75</v>
      </c>
      <c r="AN521" s="227">
        <v>0</v>
      </c>
      <c r="AO521" s="227">
        <f t="shared" si="31"/>
        <v>96250.42</v>
      </c>
      <c r="AP521" s="374">
        <f>SUM(ERP_8[[#This Row],[AP01]:[AP07]])-SUM(ERP_8[[#This Row],[AP01 LE2]:[AP07 LE2]])</f>
        <v>-12.75</v>
      </c>
      <c r="AQ521" s="80"/>
      <c r="AR521" s="79">
        <f>ERP_8[[#This Row],[2026 Working Total to Budget/LE]]-ERP_8[[#This Row],[Giveback]]</f>
        <v>-12.75</v>
      </c>
      <c r="AS521" s="81"/>
      <c r="AT521" s="375">
        <v>1155005.0900000001</v>
      </c>
      <c r="AU521" s="375">
        <v>-962504.24</v>
      </c>
      <c r="AV521" s="375">
        <v>96250.42</v>
      </c>
      <c r="AW521" s="375">
        <v>0</v>
      </c>
      <c r="AX521" s="375">
        <v>192509.34</v>
      </c>
      <c r="AY521" s="375">
        <v>96254.67</v>
      </c>
      <c r="AZ521" s="375">
        <v>0</v>
      </c>
      <c r="BA521" s="375">
        <v>192509.34</v>
      </c>
      <c r="BB521" s="375">
        <v>96254.67</v>
      </c>
      <c r="BC521" s="375">
        <v>0</v>
      </c>
      <c r="BD521" s="375">
        <v>192509.34</v>
      </c>
      <c r="BE521" s="375">
        <v>96254.67</v>
      </c>
      <c r="BF521" s="375">
        <v>1155043.3</v>
      </c>
      <c r="BG521" s="227">
        <v>1155005.0900000001</v>
      </c>
      <c r="BH521" s="227">
        <v>-962504.24</v>
      </c>
      <c r="BI521" s="227">
        <v>96250.42</v>
      </c>
      <c r="BJ521" s="227">
        <v>96254.67</v>
      </c>
      <c r="BK521" s="227">
        <v>96254.67</v>
      </c>
      <c r="BL521" s="227">
        <v>96254.67</v>
      </c>
      <c r="BM521" s="227">
        <v>96254.67</v>
      </c>
      <c r="BN521" s="227">
        <v>96254.67</v>
      </c>
      <c r="BO521" s="227">
        <v>96254.67</v>
      </c>
      <c r="BP521" s="227">
        <v>96254.67</v>
      </c>
      <c r="BQ521" s="227">
        <v>96254.67</v>
      </c>
      <c r="BR521" s="227">
        <v>96254.67</v>
      </c>
      <c r="BS521" s="227">
        <v>1155043.3</v>
      </c>
    </row>
    <row r="522" spans="1:71" ht="15" hidden="1" customHeight="1">
      <c r="A522" s="215" t="s">
        <v>2510</v>
      </c>
      <c r="B522" s="732" t="s">
        <v>841</v>
      </c>
      <c r="C522" s="346"/>
      <c r="D522" s="343" t="str">
        <f>_xlfn.TEXTJOIN("_",FALSE,E522,ERP_8[[#This Row],[Expense Category]],ERP_8[[#This Row],[Project Code*]])</f>
        <v>Dougherty, Chris_SOFTWARE_IT-SFT1247-86-OG-US</v>
      </c>
      <c r="E522" s="343" t="s">
        <v>1135</v>
      </c>
      <c r="F522" s="346"/>
      <c r="G522" s="150" t="s">
        <v>1136</v>
      </c>
      <c r="H522" s="334" t="s">
        <v>1135</v>
      </c>
      <c r="I522" s="334" t="s">
        <v>1135</v>
      </c>
      <c r="J522" s="334" t="s">
        <v>1137</v>
      </c>
      <c r="K522" s="516" t="s">
        <v>639</v>
      </c>
      <c r="L522" s="398" t="s">
        <v>2511</v>
      </c>
      <c r="M522" s="343" t="s">
        <v>1231</v>
      </c>
      <c r="N522" s="810" t="s">
        <v>1171</v>
      </c>
      <c r="O522" s="219" t="s">
        <v>842</v>
      </c>
      <c r="P522" s="349"/>
      <c r="Q522" s="346" t="s">
        <v>2339</v>
      </c>
      <c r="R522" s="349"/>
      <c r="S522" s="334" t="s">
        <v>843</v>
      </c>
      <c r="T522" s="354" t="s">
        <v>2340</v>
      </c>
      <c r="U522" s="403"/>
      <c r="V522" s="406">
        <v>3290595.8399999994</v>
      </c>
      <c r="W522" s="406">
        <v>3254950.82</v>
      </c>
      <c r="X522" s="430"/>
      <c r="Y522" s="137"/>
      <c r="Z522" s="789">
        <v>3254947.27</v>
      </c>
      <c r="AA522" s="785">
        <v>-2712456.06</v>
      </c>
      <c r="AB522" s="785">
        <v>271245.61</v>
      </c>
      <c r="AC522" s="428" t="s">
        <v>1142</v>
      </c>
      <c r="AD522" s="429">
        <v>0</v>
      </c>
      <c r="AE522" s="429">
        <v>0</v>
      </c>
      <c r="AF522" s="429">
        <v>0</v>
      </c>
      <c r="AG522" s="369">
        <f>271246+271246</f>
        <v>542492</v>
      </c>
      <c r="AH522" s="369">
        <v>271246</v>
      </c>
      <c r="AI522" s="369">
        <f>271246-271246</f>
        <v>0</v>
      </c>
      <c r="AJ522" s="369">
        <f>271246+271246</f>
        <v>542492</v>
      </c>
      <c r="AK522" s="369">
        <v>271246</v>
      </c>
      <c r="AL522" s="367">
        <f t="shared" si="32"/>
        <v>2441212.8199999998</v>
      </c>
      <c r="AM522" s="362">
        <f>ERP_8[[#This Row],[2026 Working Total]]-ERP_8[[#This Row],[LE2 Final Submission]]</f>
        <v>-813738</v>
      </c>
      <c r="AN522" s="227">
        <v>0</v>
      </c>
      <c r="AO522" s="227">
        <f t="shared" si="31"/>
        <v>0</v>
      </c>
      <c r="AP522" s="374">
        <f>SUM(ERP_8[[#This Row],[AP01]:[AP07]])-SUM(ERP_8[[#This Row],[AP01 LE2]:[AP07 LE2]])</f>
        <v>-813737.99999999988</v>
      </c>
      <c r="AQ522" s="80"/>
      <c r="AR522" s="79">
        <f>ERP_8[[#This Row],[2026 Working Total to Budget/LE]]-ERP_8[[#This Row],[Giveback]]</f>
        <v>-813738</v>
      </c>
      <c r="AS522" s="81"/>
      <c r="AT522" s="375">
        <v>3254947.27</v>
      </c>
      <c r="AU522" s="375">
        <v>-2712456.06</v>
      </c>
      <c r="AV522" s="375">
        <v>271245.61</v>
      </c>
      <c r="AW522" s="375">
        <v>0</v>
      </c>
      <c r="AX522" s="375">
        <v>542492</v>
      </c>
      <c r="AY522" s="375">
        <v>271246</v>
      </c>
      <c r="AZ522" s="375">
        <v>0</v>
      </c>
      <c r="BA522" s="375">
        <v>542492</v>
      </c>
      <c r="BB522" s="375">
        <v>271246</v>
      </c>
      <c r="BC522" s="375">
        <v>0</v>
      </c>
      <c r="BD522" s="375">
        <v>542492</v>
      </c>
      <c r="BE522" s="375">
        <v>271246</v>
      </c>
      <c r="BF522" s="375">
        <v>3254950.82</v>
      </c>
      <c r="BG522" s="227">
        <v>3254947.27</v>
      </c>
      <c r="BH522" s="227">
        <v>-2712456.06</v>
      </c>
      <c r="BI522" s="227">
        <v>271245.61</v>
      </c>
      <c r="BJ522" s="227">
        <v>271246</v>
      </c>
      <c r="BK522" s="227">
        <v>271246</v>
      </c>
      <c r="BL522" s="227">
        <v>271246</v>
      </c>
      <c r="BM522" s="227">
        <v>271246</v>
      </c>
      <c r="BN522" s="227">
        <v>271246</v>
      </c>
      <c r="BO522" s="227">
        <v>271246</v>
      </c>
      <c r="BP522" s="227">
        <v>271246</v>
      </c>
      <c r="BQ522" s="227">
        <v>271246</v>
      </c>
      <c r="BR522" s="227">
        <v>271246</v>
      </c>
      <c r="BS522" s="227">
        <v>3254950.82</v>
      </c>
    </row>
    <row r="523" spans="1:71" ht="15" hidden="1" customHeight="1">
      <c r="A523" s="227" t="s">
        <v>2512</v>
      </c>
      <c r="B523" s="745" t="s">
        <v>2513</v>
      </c>
      <c r="C523" s="348"/>
      <c r="D523" s="347" t="str">
        <f>_xlfn.TEXTJOIN("_",FALSE,E523,ERP_8[[#This Row],[Expense Category]],ERP_8[[#This Row],[Project Code*]])</f>
        <v>Dougherty, Chris_SOFTWARE_IT-SFT1249-86-OG-US</v>
      </c>
      <c r="E523" s="347" t="s">
        <v>1135</v>
      </c>
      <c r="F523" s="348"/>
      <c r="G523" s="150" t="s">
        <v>1136</v>
      </c>
      <c r="H523" s="336" t="s">
        <v>1135</v>
      </c>
      <c r="I523" s="338" t="s">
        <v>1145</v>
      </c>
      <c r="J523" s="335" t="s">
        <v>1137</v>
      </c>
      <c r="K523" s="517" t="s">
        <v>639</v>
      </c>
      <c r="L523" s="860" t="s">
        <v>2514</v>
      </c>
      <c r="M523" s="343"/>
      <c r="N523" s="865" t="s">
        <v>1186</v>
      </c>
      <c r="O523" s="235" t="s">
        <v>607</v>
      </c>
      <c r="P523" s="349" t="s">
        <v>1153</v>
      </c>
      <c r="Q523" s="346" t="s">
        <v>2154</v>
      </c>
      <c r="R523" s="349" t="s">
        <v>1710</v>
      </c>
      <c r="S523" s="352" t="s">
        <v>608</v>
      </c>
      <c r="T523" s="355" t="s">
        <v>1779</v>
      </c>
      <c r="U523" s="437"/>
      <c r="V523" s="358">
        <v>11125</v>
      </c>
      <c r="W523" s="378">
        <v>0</v>
      </c>
      <c r="X523" s="425"/>
      <c r="Y523" s="71"/>
      <c r="Z523" s="790"/>
      <c r="AA523" s="786"/>
      <c r="AB523" s="786"/>
      <c r="AC523" s="428" t="s">
        <v>1142</v>
      </c>
      <c r="AD523" s="429">
        <v>0</v>
      </c>
      <c r="AE523" s="429">
        <v>0</v>
      </c>
      <c r="AF523" s="429" t="s">
        <v>1142</v>
      </c>
      <c r="AG523" s="370">
        <v>0</v>
      </c>
      <c r="AH523" s="370">
        <v>0</v>
      </c>
      <c r="AI523" s="370">
        <v>0</v>
      </c>
      <c r="AJ523" s="370">
        <v>0</v>
      </c>
      <c r="AK523" s="370">
        <v>0</v>
      </c>
      <c r="AL523" s="367">
        <f t="shared" si="32"/>
        <v>0</v>
      </c>
      <c r="AM523" s="362">
        <f>ERP_8[[#This Row],[2026 Working Total]]-ERP_8[[#This Row],[LE2 Final Submission]]</f>
        <v>0</v>
      </c>
      <c r="AN523" s="79">
        <v>0</v>
      </c>
      <c r="AO523" s="227">
        <f t="shared" si="31"/>
        <v>0</v>
      </c>
      <c r="AP523" s="374">
        <f>SUM(ERP_8[[#This Row],[AP01]:[AP07]])-SUM(ERP_8[[#This Row],[AP01 LE2]:[AP07 LE2]])</f>
        <v>0</v>
      </c>
      <c r="AQ523" s="80"/>
      <c r="AR523" s="79">
        <f>ERP_8[[#This Row],[2026 Working Total to Budget/LE]]-ERP_8[[#This Row],[Giveback]]</f>
        <v>0</v>
      </c>
      <c r="AS523" s="81"/>
      <c r="AT523" s="375"/>
      <c r="AU523" s="375"/>
      <c r="AV523" s="375"/>
      <c r="AW523" s="375">
        <v>0</v>
      </c>
      <c r="AX523" s="375">
        <v>0</v>
      </c>
      <c r="AY523" s="375">
        <v>0</v>
      </c>
      <c r="AZ523" s="375">
        <v>0</v>
      </c>
      <c r="BA523" s="375">
        <v>0</v>
      </c>
      <c r="BB523" s="375">
        <v>0</v>
      </c>
      <c r="BC523" s="375">
        <v>0</v>
      </c>
      <c r="BD523" s="375">
        <v>0</v>
      </c>
      <c r="BE523" s="375">
        <v>0</v>
      </c>
      <c r="BF523" s="375">
        <v>0</v>
      </c>
      <c r="BG523" s="246">
        <v>11125</v>
      </c>
      <c r="BH523" s="246">
        <v>0</v>
      </c>
      <c r="BI523" s="246">
        <v>0</v>
      </c>
      <c r="BJ523" s="246">
        <v>0</v>
      </c>
      <c r="BK523" s="246">
        <v>0</v>
      </c>
      <c r="BL523" s="246">
        <v>0</v>
      </c>
      <c r="BM523" s="246">
        <v>0</v>
      </c>
      <c r="BN523" s="246">
        <v>0</v>
      </c>
      <c r="BO523" s="246">
        <v>0</v>
      </c>
      <c r="BP523" s="246">
        <v>0</v>
      </c>
      <c r="BQ523" s="246">
        <v>0</v>
      </c>
      <c r="BR523" s="246">
        <v>0</v>
      </c>
      <c r="BS523" s="227">
        <f>SUM(ERP_8[[#This Row],[2026 AP01]:[2026 AP12]])</f>
        <v>11125</v>
      </c>
    </row>
    <row r="524" spans="1:71" ht="15" hidden="1" customHeight="1">
      <c r="A524" s="227" t="s">
        <v>2515</v>
      </c>
      <c r="B524" s="745" t="s">
        <v>2516</v>
      </c>
      <c r="C524" s="348"/>
      <c r="D524" s="347" t="str">
        <f>_xlfn.TEXTJOIN("_",FALSE,E524,ERP_8[[#This Row],[Expense Category]],ERP_8[[#This Row],[Project Code*]])</f>
        <v>Dougherty, Chris_SOFTWARE_IT-SFT1249-86-OG-US/PF</v>
      </c>
      <c r="E524" s="347" t="s">
        <v>1135</v>
      </c>
      <c r="F524" s="348"/>
      <c r="G524" s="150" t="s">
        <v>1136</v>
      </c>
      <c r="H524" s="336" t="s">
        <v>1135</v>
      </c>
      <c r="I524" s="338" t="s">
        <v>1145</v>
      </c>
      <c r="J524" s="335" t="s">
        <v>1137</v>
      </c>
      <c r="K524" s="517" t="s">
        <v>639</v>
      </c>
      <c r="L524" s="860" t="s">
        <v>2517</v>
      </c>
      <c r="M524" s="343" t="s">
        <v>2484</v>
      </c>
      <c r="N524" s="865" t="s">
        <v>1186</v>
      </c>
      <c r="O524" s="235" t="s">
        <v>846</v>
      </c>
      <c r="P524" s="344"/>
      <c r="Q524" s="346" t="s">
        <v>2154</v>
      </c>
      <c r="R524" s="349" t="s">
        <v>1710</v>
      </c>
      <c r="S524" s="352" t="s">
        <v>608</v>
      </c>
      <c r="T524" s="355" t="s">
        <v>1348</v>
      </c>
      <c r="U524" s="437"/>
      <c r="V524" s="358">
        <v>-11125</v>
      </c>
      <c r="W524" s="378">
        <v>0</v>
      </c>
      <c r="X524" s="425"/>
      <c r="Y524" s="71"/>
      <c r="Z524" s="790"/>
      <c r="AA524" s="786"/>
      <c r="AB524" s="786"/>
      <c r="AC524" s="428" t="s">
        <v>1142</v>
      </c>
      <c r="AD524" s="429">
        <v>0</v>
      </c>
      <c r="AE524" s="429">
        <v>0</v>
      </c>
      <c r="AF524" s="429" t="s">
        <v>1142</v>
      </c>
      <c r="AG524" s="370">
        <v>0</v>
      </c>
      <c r="AH524" s="370">
        <v>0</v>
      </c>
      <c r="AI524" s="370">
        <v>0</v>
      </c>
      <c r="AJ524" s="370">
        <v>0</v>
      </c>
      <c r="AK524" s="370">
        <v>0</v>
      </c>
      <c r="AL524" s="367">
        <f t="shared" si="32"/>
        <v>0</v>
      </c>
      <c r="AM524" s="362">
        <f>ERP_8[[#This Row],[2026 Working Total]]-ERP_8[[#This Row],[LE2 Final Submission]]</f>
        <v>0</v>
      </c>
      <c r="AN524" s="79">
        <v>0</v>
      </c>
      <c r="AO524" s="227">
        <f t="shared" si="31"/>
        <v>0</v>
      </c>
      <c r="AP524" s="374">
        <f>SUM(ERP_8[[#This Row],[AP01]:[AP07]])-SUM(ERP_8[[#This Row],[AP01 LE2]:[AP07 LE2]])</f>
        <v>0</v>
      </c>
      <c r="AQ524" s="80"/>
      <c r="AR524" s="79">
        <f>ERP_8[[#This Row],[2026 Working Total to Budget/LE]]-ERP_8[[#This Row],[Giveback]]</f>
        <v>0</v>
      </c>
      <c r="AS524" s="81"/>
      <c r="AT524" s="375"/>
      <c r="AU524" s="375"/>
      <c r="AV524" s="375"/>
      <c r="AW524" s="375">
        <v>0</v>
      </c>
      <c r="AX524" s="375">
        <v>0</v>
      </c>
      <c r="AY524" s="375">
        <v>0</v>
      </c>
      <c r="AZ524" s="375">
        <v>0</v>
      </c>
      <c r="BA524" s="375">
        <v>0</v>
      </c>
      <c r="BB524" s="375">
        <v>0</v>
      </c>
      <c r="BC524" s="375">
        <v>0</v>
      </c>
      <c r="BD524" s="375">
        <v>0</v>
      </c>
      <c r="BE524" s="375">
        <v>0</v>
      </c>
      <c r="BF524" s="375">
        <v>0</v>
      </c>
      <c r="BG524" s="246">
        <v>-11125</v>
      </c>
      <c r="BH524" s="246">
        <v>0</v>
      </c>
      <c r="BI524" s="246">
        <v>0</v>
      </c>
      <c r="BJ524" s="246">
        <v>0</v>
      </c>
      <c r="BK524" s="246">
        <v>0</v>
      </c>
      <c r="BL524" s="246">
        <v>0</v>
      </c>
      <c r="BM524" s="246">
        <v>0</v>
      </c>
      <c r="BN524" s="246">
        <v>0</v>
      </c>
      <c r="BO524" s="246">
        <v>0</v>
      </c>
      <c r="BP524" s="246">
        <v>0</v>
      </c>
      <c r="BQ524" s="246">
        <v>0</v>
      </c>
      <c r="BR524" s="246">
        <v>0</v>
      </c>
      <c r="BS524" s="227">
        <f>SUM(ERP_8[[#This Row],[2026 AP01]:[2026 AP12]])</f>
        <v>-11125</v>
      </c>
    </row>
    <row r="525" spans="1:71" ht="15" hidden="1" customHeight="1">
      <c r="A525" s="215" t="s">
        <v>2518</v>
      </c>
      <c r="B525" s="732" t="s">
        <v>2519</v>
      </c>
      <c r="C525" s="346"/>
      <c r="D525" s="343" t="str">
        <f>_xlfn.TEXTJOIN("_",FALSE,E525,ERP_8[[#This Row],[Expense Category]],ERP_8[[#This Row],[Project Code*]])</f>
        <v>Dougherty, Chris_SOFTWARE_IT-SFT1257-86-OG-US</v>
      </c>
      <c r="E525" s="343" t="s">
        <v>1135</v>
      </c>
      <c r="F525" s="346"/>
      <c r="G525" s="150" t="s">
        <v>1136</v>
      </c>
      <c r="H525" s="334" t="s">
        <v>1135</v>
      </c>
      <c r="I525" s="334" t="s">
        <v>1145</v>
      </c>
      <c r="J525" s="334" t="s">
        <v>1137</v>
      </c>
      <c r="K525" s="516" t="s">
        <v>639</v>
      </c>
      <c r="L525" s="857" t="s">
        <v>2520</v>
      </c>
      <c r="M525" s="343"/>
      <c r="N525" s="810" t="s">
        <v>1186</v>
      </c>
      <c r="O525" s="219" t="s">
        <v>848</v>
      </c>
      <c r="P525" s="349"/>
      <c r="Q525" s="346" t="s">
        <v>1187</v>
      </c>
      <c r="R525" s="349"/>
      <c r="S525" s="334" t="s">
        <v>849</v>
      </c>
      <c r="T525" s="354" t="s">
        <v>2521</v>
      </c>
      <c r="U525" s="403"/>
      <c r="V525" s="406">
        <v>307237.74</v>
      </c>
      <c r="W525" s="406">
        <v>331713.26</v>
      </c>
      <c r="X525" s="425"/>
      <c r="Y525" s="71"/>
      <c r="Z525" s="789">
        <v>67277.88</v>
      </c>
      <c r="AA525" s="785">
        <v>13527.14</v>
      </c>
      <c r="AB525" s="785">
        <v>16908.240000000002</v>
      </c>
      <c r="AC525" s="428">
        <v>36231.229999999996</v>
      </c>
      <c r="AD525" s="429">
        <v>37708.980000000003</v>
      </c>
      <c r="AE525" s="429">
        <v>0</v>
      </c>
      <c r="AF525" s="429">
        <v>74339.960000000006</v>
      </c>
      <c r="AG525" s="369"/>
      <c r="AH525" s="371"/>
      <c r="AI525" s="371">
        <v>33703</v>
      </c>
      <c r="AJ525" s="368">
        <v>0</v>
      </c>
      <c r="AK525" s="371">
        <v>33703</v>
      </c>
      <c r="AL525" s="367">
        <f t="shared" si="32"/>
        <v>313399.43</v>
      </c>
      <c r="AM525" s="362">
        <f>ERP_8[[#This Row],[2026 Working Total]]-ERP_8[[#This Row],[LE2 Final Submission]]</f>
        <v>-18313.830000000016</v>
      </c>
      <c r="AN525" s="227">
        <v>47249</v>
      </c>
      <c r="AO525" s="227">
        <f t="shared" si="31"/>
        <v>-47249</v>
      </c>
      <c r="AP525" s="374">
        <f>SUM(ERP_8[[#This Row],[AP01]:[AP07]])-SUM(ERP_8[[#This Row],[AP01 LE2]:[AP07 LE2]])</f>
        <v>70280.169999999984</v>
      </c>
      <c r="AQ525" s="80"/>
      <c r="AR525" s="79">
        <f>ERP_8[[#This Row],[2026 Working Total to Budget/LE]]-ERP_8[[#This Row],[Giveback]]</f>
        <v>-18313.830000000016</v>
      </c>
      <c r="AS525" s="81"/>
      <c r="AT525" s="375">
        <v>67277.88</v>
      </c>
      <c r="AU525" s="375">
        <v>13527.14</v>
      </c>
      <c r="AV525" s="375">
        <v>16908.240000000002</v>
      </c>
      <c r="AW525" s="375">
        <v>0</v>
      </c>
      <c r="AX525" s="375">
        <v>0</v>
      </c>
      <c r="AY525" s="375">
        <v>78000</v>
      </c>
      <c r="AZ525" s="375">
        <v>0</v>
      </c>
      <c r="BA525" s="375">
        <v>0</v>
      </c>
      <c r="BB525" s="375">
        <v>78000</v>
      </c>
      <c r="BC525" s="375">
        <v>0</v>
      </c>
      <c r="BD525" s="375">
        <v>0</v>
      </c>
      <c r="BE525" s="375">
        <v>78000</v>
      </c>
      <c r="BF525" s="375">
        <v>331713.26</v>
      </c>
      <c r="BG525" s="227">
        <v>67277.88</v>
      </c>
      <c r="BH525" s="227">
        <v>13527.14</v>
      </c>
      <c r="BI525" s="227">
        <v>16908.240000000002</v>
      </c>
      <c r="BJ525" s="227">
        <v>0</v>
      </c>
      <c r="BK525" s="227">
        <v>0</v>
      </c>
      <c r="BL525" s="227">
        <v>78000</v>
      </c>
      <c r="BM525" s="227">
        <v>0</v>
      </c>
      <c r="BN525" s="227">
        <v>0</v>
      </c>
      <c r="BO525" s="227">
        <v>78000</v>
      </c>
      <c r="BP525" s="227">
        <v>0</v>
      </c>
      <c r="BQ525" s="227">
        <v>0</v>
      </c>
      <c r="BR525" s="227">
        <v>78000</v>
      </c>
      <c r="BS525" s="227">
        <v>331713.26</v>
      </c>
    </row>
    <row r="526" spans="1:71" ht="15" hidden="1" customHeight="1">
      <c r="A526" s="215" t="s">
        <v>2522</v>
      </c>
      <c r="B526" s="732" t="s">
        <v>850</v>
      </c>
      <c r="C526" s="346"/>
      <c r="D526" s="343" t="str">
        <f>_xlfn.TEXTJOIN("_",FALSE,E526,ERP_8[[#This Row],[Expense Category]],ERP_8[[#This Row],[Project Code*]])</f>
        <v>Dougherty, Chris_SOFTWARE_IT-SFT1270-86-OG-US</v>
      </c>
      <c r="E526" s="343" t="s">
        <v>1135</v>
      </c>
      <c r="F526" s="346"/>
      <c r="G526" s="150" t="s">
        <v>1136</v>
      </c>
      <c r="H526" s="334" t="s">
        <v>1135</v>
      </c>
      <c r="I526" s="334" t="s">
        <v>1135</v>
      </c>
      <c r="J526" s="334" t="s">
        <v>1137</v>
      </c>
      <c r="K526" s="516" t="s">
        <v>639</v>
      </c>
      <c r="L526" s="398" t="s">
        <v>2523</v>
      </c>
      <c r="M526" s="343"/>
      <c r="N526" s="807"/>
      <c r="O526" s="219" t="s">
        <v>851</v>
      </c>
      <c r="P526" s="349" t="s">
        <v>1153</v>
      </c>
      <c r="Q526" s="343"/>
      <c r="R526" s="349"/>
      <c r="S526" s="334" t="s">
        <v>64</v>
      </c>
      <c r="T526" s="354"/>
      <c r="U526" s="403"/>
      <c r="V526" s="406">
        <v>1527544</v>
      </c>
      <c r="W526" s="406">
        <v>1513628.4099999997</v>
      </c>
      <c r="X526" s="425"/>
      <c r="Y526" s="71"/>
      <c r="Z526" s="789"/>
      <c r="AA526" s="785"/>
      <c r="AB526" s="785">
        <v>367969.99</v>
      </c>
      <c r="AC526" s="428">
        <v>0</v>
      </c>
      <c r="AD526" s="429">
        <v>254590.76</v>
      </c>
      <c r="AE526" s="429">
        <v>127295.38</v>
      </c>
      <c r="AF526" s="429">
        <v>0</v>
      </c>
      <c r="AG526" s="369">
        <v>254590.7</v>
      </c>
      <c r="AH526" s="369">
        <v>127295.38</v>
      </c>
      <c r="AI526" s="845">
        <f>127295.38-127295.38</f>
        <v>0</v>
      </c>
      <c r="AJ526" s="369">
        <f>127295.38+127295.38</f>
        <v>254590.76</v>
      </c>
      <c r="AK526" s="369">
        <v>127295.38</v>
      </c>
      <c r="AL526" s="367">
        <f t="shared" si="32"/>
        <v>1513628.35</v>
      </c>
      <c r="AM526" s="362">
        <f>ERP_8[[#This Row],[2026 Working Total]]-ERP_8[[#This Row],[LE2 Final Submission]]</f>
        <v>-5.9999999590218067E-2</v>
      </c>
      <c r="AN526" s="227">
        <v>127295.38</v>
      </c>
      <c r="AO526" s="227">
        <f t="shared" si="31"/>
        <v>0</v>
      </c>
      <c r="AP526" s="374">
        <f>SUM(ERP_8[[#This Row],[AP01]:[AP07]])-SUM(ERP_8[[#This Row],[AP01 LE2]:[AP07 LE2]])</f>
        <v>-127295.38</v>
      </c>
      <c r="AQ526" s="80"/>
      <c r="AR526" s="79">
        <f>ERP_8[[#This Row],[2026 Working Total to Budget/LE]]-ERP_8[[#This Row],[Giveback]]</f>
        <v>-5.9999999590218067E-2</v>
      </c>
      <c r="AS526" s="81"/>
      <c r="AT526" s="375"/>
      <c r="AU526" s="375"/>
      <c r="AV526" s="375">
        <v>367969.99</v>
      </c>
      <c r="AW526" s="375">
        <v>127295.38</v>
      </c>
      <c r="AX526" s="375">
        <v>127295.38</v>
      </c>
      <c r="AY526" s="375">
        <v>127295.38</v>
      </c>
      <c r="AZ526" s="375">
        <v>127295.38</v>
      </c>
      <c r="BA526" s="375">
        <v>127295.38</v>
      </c>
      <c r="BB526" s="375">
        <v>127295.38</v>
      </c>
      <c r="BC526" s="375">
        <v>127295.38</v>
      </c>
      <c r="BD526" s="375">
        <v>127295.38</v>
      </c>
      <c r="BE526" s="375">
        <v>127295.38</v>
      </c>
      <c r="BF526" s="375">
        <v>1513628.4099999997</v>
      </c>
      <c r="BG526" s="227"/>
      <c r="BH526" s="227"/>
      <c r="BI526" s="227">
        <v>367969.99</v>
      </c>
      <c r="BJ526" s="227">
        <v>127295.38</v>
      </c>
      <c r="BK526" s="227">
        <v>127295.38</v>
      </c>
      <c r="BL526" s="227">
        <v>127295.38</v>
      </c>
      <c r="BM526" s="227">
        <v>127295.38</v>
      </c>
      <c r="BN526" s="227">
        <v>127295.38</v>
      </c>
      <c r="BO526" s="227">
        <v>127295.38</v>
      </c>
      <c r="BP526" s="227">
        <v>127295.38</v>
      </c>
      <c r="BQ526" s="227">
        <v>127295.38</v>
      </c>
      <c r="BR526" s="227">
        <v>127295.38</v>
      </c>
      <c r="BS526" s="227">
        <v>1513628.4099999997</v>
      </c>
    </row>
    <row r="527" spans="1:71" ht="15" hidden="1" customHeight="1">
      <c r="A527" s="215" t="s">
        <v>2524</v>
      </c>
      <c r="B527" s="732" t="s">
        <v>2525</v>
      </c>
      <c r="C527" s="346"/>
      <c r="D527" s="343" t="str">
        <f>_xlfn.TEXTJOIN("_",FALSE,E527,ERP_8[[#This Row],[Expense Category]],ERP_8[[#This Row],[Project Code*]])</f>
        <v>Dougherty, Chris_SOFTWARE_IT-SFT1270-86-OG-US</v>
      </c>
      <c r="E527" s="343" t="s">
        <v>1135</v>
      </c>
      <c r="F527" s="346"/>
      <c r="G527" s="150" t="s">
        <v>1136</v>
      </c>
      <c r="H527" s="334" t="s">
        <v>1135</v>
      </c>
      <c r="I527" s="334" t="s">
        <v>1145</v>
      </c>
      <c r="J527" s="334" t="s">
        <v>1137</v>
      </c>
      <c r="K527" s="516" t="s">
        <v>639</v>
      </c>
      <c r="L527" s="857" t="s">
        <v>2523</v>
      </c>
      <c r="M527" s="343"/>
      <c r="N527" s="807"/>
      <c r="O527" s="219" t="s">
        <v>851</v>
      </c>
      <c r="P527" s="349" t="s">
        <v>1153</v>
      </c>
      <c r="Q527" s="343"/>
      <c r="R527" s="349"/>
      <c r="S527" s="334" t="s">
        <v>64</v>
      </c>
      <c r="T527" s="354"/>
      <c r="U527" s="404"/>
      <c r="V527" s="407">
        <v>0</v>
      </c>
      <c r="W527" s="407">
        <v>0</v>
      </c>
      <c r="X527" s="425"/>
      <c r="Y527" s="71"/>
      <c r="Z527" s="789">
        <v>127295.39</v>
      </c>
      <c r="AA527" s="785">
        <v>113379.22</v>
      </c>
      <c r="AB527" s="785">
        <v>-240674.61</v>
      </c>
      <c r="AC527" s="428">
        <v>0</v>
      </c>
      <c r="AD527" s="429">
        <v>0</v>
      </c>
      <c r="AE527" s="429">
        <v>0</v>
      </c>
      <c r="AF527" s="429">
        <v>0</v>
      </c>
      <c r="AG527" s="369"/>
      <c r="AH527" s="369"/>
      <c r="AI527" s="369"/>
      <c r="AJ527" s="369"/>
      <c r="AK527" s="369"/>
      <c r="AL527" s="367">
        <f t="shared" si="32"/>
        <v>0</v>
      </c>
      <c r="AM527" s="362">
        <f>ERP_8[[#This Row],[2026 Working Total]]-ERP_8[[#This Row],[LE2 Final Submission]]</f>
        <v>0</v>
      </c>
      <c r="AN527" s="227"/>
      <c r="AO527" s="227">
        <f t="shared" si="31"/>
        <v>0</v>
      </c>
      <c r="AP527" s="374">
        <f>SUM(ERP_8[[#This Row],[AP01]:[AP07]])-SUM(ERP_8[[#This Row],[AP01 LE2]:[AP07 LE2]])</f>
        <v>0</v>
      </c>
      <c r="AQ527" s="80"/>
      <c r="AR527" s="79">
        <f>ERP_8[[#This Row],[2026 Working Total to Budget/LE]]-ERP_8[[#This Row],[Giveback]]</f>
        <v>0</v>
      </c>
      <c r="AS527" s="81"/>
      <c r="AT527" s="375">
        <v>127295.39</v>
      </c>
      <c r="AU527" s="375">
        <v>113379.22</v>
      </c>
      <c r="AV527" s="375">
        <v>-240674.61</v>
      </c>
      <c r="AW527" s="375"/>
      <c r="AX527" s="375"/>
      <c r="AY527" s="375"/>
      <c r="AZ527" s="375"/>
      <c r="BA527" s="375"/>
      <c r="BB527" s="375"/>
      <c r="BC527" s="375"/>
      <c r="BD527" s="375"/>
      <c r="BE527" s="375"/>
      <c r="BF527" s="375">
        <v>0</v>
      </c>
      <c r="BG527" s="227">
        <v>127295.39</v>
      </c>
      <c r="BH527" s="227">
        <v>113379.22</v>
      </c>
      <c r="BI527" s="227">
        <v>-240674.61</v>
      </c>
      <c r="BJ527" s="227"/>
      <c r="BK527" s="227"/>
      <c r="BL527" s="227"/>
      <c r="BM527" s="227"/>
      <c r="BN527" s="227"/>
      <c r="BO527" s="227"/>
      <c r="BP527" s="227"/>
      <c r="BQ527" s="227"/>
      <c r="BR527" s="227"/>
      <c r="BS527" s="227">
        <v>0</v>
      </c>
    </row>
    <row r="528" spans="1:71" ht="15" hidden="1" customHeight="1">
      <c r="A528" s="215" t="s">
        <v>2526</v>
      </c>
      <c r="B528" s="732" t="s">
        <v>852</v>
      </c>
      <c r="C528" s="346"/>
      <c r="D528" s="343" t="str">
        <f>_xlfn.TEXTJOIN("_",FALSE,E528,ERP_8[[#This Row],[Expense Category]],ERP_8[[#This Row],[Project Code*]])</f>
        <v>Dougherty, Chris_SOFTWARE_IT-SFT1282-86-OG-US</v>
      </c>
      <c r="E528" s="343" t="s">
        <v>1135</v>
      </c>
      <c r="F528" s="346"/>
      <c r="G528" s="150" t="s">
        <v>1136</v>
      </c>
      <c r="H528" s="334" t="s">
        <v>1135</v>
      </c>
      <c r="I528" s="334" t="s">
        <v>1135</v>
      </c>
      <c r="J528" s="334" t="s">
        <v>1137</v>
      </c>
      <c r="K528" s="516" t="s">
        <v>639</v>
      </c>
      <c r="L528" s="398" t="s">
        <v>1947</v>
      </c>
      <c r="M528" s="343"/>
      <c r="N528" s="807"/>
      <c r="O528" s="219" t="s">
        <v>486</v>
      </c>
      <c r="P528" s="349" t="s">
        <v>1153</v>
      </c>
      <c r="Q528" s="343"/>
      <c r="R528" s="349"/>
      <c r="S528" s="334" t="s">
        <v>487</v>
      </c>
      <c r="T528" s="354"/>
      <c r="U528" s="403"/>
      <c r="V528" s="406">
        <v>-937488</v>
      </c>
      <c r="W528" s="406">
        <v>-925916</v>
      </c>
      <c r="X528" s="425"/>
      <c r="Y528" s="71"/>
      <c r="Z528" s="789"/>
      <c r="AA528" s="785"/>
      <c r="AB528" s="785">
        <v>-222800</v>
      </c>
      <c r="AC528" s="428">
        <v>0</v>
      </c>
      <c r="AD528" s="429">
        <v>-128741.87</v>
      </c>
      <c r="AE528" s="429">
        <v>-52011.25</v>
      </c>
      <c r="AF528" s="429">
        <v>0</v>
      </c>
      <c r="AG528" s="369">
        <v>-156248</v>
      </c>
      <c r="AH528" s="369">
        <v>-78124</v>
      </c>
      <c r="AI528" s="892">
        <v>-78124</v>
      </c>
      <c r="AJ528" s="369">
        <v>-78124</v>
      </c>
      <c r="AK528" s="892">
        <v>-78124</v>
      </c>
      <c r="AL528" s="367">
        <f t="shared" si="32"/>
        <v>-872297.12</v>
      </c>
      <c r="AM528" s="362">
        <f>ERP_8[[#This Row],[2026 Working Total]]-ERP_8[[#This Row],[LE2 Final Submission]]</f>
        <v>53618.880000000005</v>
      </c>
      <c r="AN528" s="227">
        <v>-78124</v>
      </c>
      <c r="AO528" s="227">
        <f t="shared" si="31"/>
        <v>26112.75</v>
      </c>
      <c r="AP528" s="374">
        <f>SUM(ERP_8[[#This Row],[AP01]:[AP07]])-SUM(ERP_8[[#This Row],[AP01 LE2]:[AP07 LE2]])</f>
        <v>131742.88</v>
      </c>
      <c r="AQ528" s="80"/>
      <c r="AR528" s="79">
        <f>ERP_8[[#This Row],[2026 Working Total to Budget/LE]]-ERP_8[[#This Row],[Giveback]]</f>
        <v>53618.880000000005</v>
      </c>
      <c r="AS528" s="81"/>
      <c r="AT528" s="375"/>
      <c r="AU528" s="375"/>
      <c r="AV528" s="375">
        <v>-222800</v>
      </c>
      <c r="AW528" s="375">
        <v>-78124</v>
      </c>
      <c r="AX528" s="375">
        <v>-78124</v>
      </c>
      <c r="AY528" s="375">
        <v>-78124</v>
      </c>
      <c r="AZ528" s="375">
        <v>-78124</v>
      </c>
      <c r="BA528" s="375">
        <v>-78124</v>
      </c>
      <c r="BB528" s="375">
        <v>-78124</v>
      </c>
      <c r="BC528" s="375">
        <v>-78124</v>
      </c>
      <c r="BD528" s="375">
        <v>-78124</v>
      </c>
      <c r="BE528" s="375">
        <v>-78124</v>
      </c>
      <c r="BF528" s="375">
        <v>-925916</v>
      </c>
      <c r="BG528" s="227"/>
      <c r="BH528" s="227"/>
      <c r="BI528" s="227">
        <v>-222800</v>
      </c>
      <c r="BJ528" s="227">
        <v>-78124</v>
      </c>
      <c r="BK528" s="227">
        <v>-78124</v>
      </c>
      <c r="BL528" s="227">
        <v>-78124</v>
      </c>
      <c r="BM528" s="227">
        <v>-78124</v>
      </c>
      <c r="BN528" s="227">
        <v>-78124</v>
      </c>
      <c r="BO528" s="227">
        <v>-78124</v>
      </c>
      <c r="BP528" s="227">
        <v>-78124</v>
      </c>
      <c r="BQ528" s="227">
        <v>-78124</v>
      </c>
      <c r="BR528" s="227">
        <v>-78124</v>
      </c>
      <c r="BS528" s="227">
        <v>-925916</v>
      </c>
    </row>
    <row r="529" spans="1:71" ht="15" hidden="1" customHeight="1">
      <c r="A529" s="215" t="s">
        <v>2527</v>
      </c>
      <c r="B529" s="732" t="s">
        <v>2528</v>
      </c>
      <c r="C529" s="346"/>
      <c r="D529" s="343" t="str">
        <f>_xlfn.TEXTJOIN("_",FALSE,E529,ERP_8[[#This Row],[Expense Category]],ERP_8[[#This Row],[Project Code*]])</f>
        <v>Dougherty, Chris_SOFTWARE_IT-SFT1282-86-OG-US</v>
      </c>
      <c r="E529" s="343" t="s">
        <v>1135</v>
      </c>
      <c r="F529" s="346"/>
      <c r="G529" s="150" t="s">
        <v>1136</v>
      </c>
      <c r="H529" s="334" t="s">
        <v>1135</v>
      </c>
      <c r="I529" s="334" t="s">
        <v>1145</v>
      </c>
      <c r="J529" s="334" t="s">
        <v>1137</v>
      </c>
      <c r="K529" s="516" t="s">
        <v>639</v>
      </c>
      <c r="L529" s="857" t="s">
        <v>1947</v>
      </c>
      <c r="M529" s="343"/>
      <c r="N529" s="807"/>
      <c r="O529" s="219" t="s">
        <v>486</v>
      </c>
      <c r="P529" s="349" t="s">
        <v>1153</v>
      </c>
      <c r="Q529" s="343"/>
      <c r="R529" s="349"/>
      <c r="S529" s="334" t="s">
        <v>487</v>
      </c>
      <c r="T529" s="354"/>
      <c r="U529" s="404"/>
      <c r="V529" s="407">
        <v>0</v>
      </c>
      <c r="W529" s="407">
        <v>0</v>
      </c>
      <c r="X529" s="425"/>
      <c r="Y529" s="71"/>
      <c r="Z529" s="789"/>
      <c r="AA529" s="785">
        <v>-158800</v>
      </c>
      <c r="AB529" s="785">
        <v>158800</v>
      </c>
      <c r="AC529" s="428">
        <v>0</v>
      </c>
      <c r="AD529" s="429">
        <v>0</v>
      </c>
      <c r="AE529" s="429">
        <v>0</v>
      </c>
      <c r="AF529" s="429">
        <v>0</v>
      </c>
      <c r="AG529" s="369"/>
      <c r="AH529" s="369"/>
      <c r="AI529" s="369"/>
      <c r="AJ529" s="369"/>
      <c r="AK529" s="369"/>
      <c r="AL529" s="367">
        <f t="shared" si="32"/>
        <v>0</v>
      </c>
      <c r="AM529" s="362">
        <f>ERP_8[[#This Row],[2026 Working Total]]-ERP_8[[#This Row],[LE2 Final Submission]]</f>
        <v>0</v>
      </c>
      <c r="AN529" s="79"/>
      <c r="AO529" s="227">
        <f t="shared" si="31"/>
        <v>0</v>
      </c>
      <c r="AP529" s="374">
        <f>SUM(ERP_8[[#This Row],[AP01]:[AP07]])-SUM(ERP_8[[#This Row],[AP01 LE2]:[AP07 LE2]])</f>
        <v>0</v>
      </c>
      <c r="AQ529" s="80"/>
      <c r="AR529" s="79">
        <f>ERP_8[[#This Row],[2026 Working Total to Budget/LE]]-ERP_8[[#This Row],[Giveback]]</f>
        <v>0</v>
      </c>
      <c r="AS529" s="81"/>
      <c r="AT529" s="375"/>
      <c r="AU529" s="375">
        <v>-158800</v>
      </c>
      <c r="AV529" s="375">
        <v>158800</v>
      </c>
      <c r="AW529" s="375"/>
      <c r="AX529" s="375"/>
      <c r="AY529" s="375"/>
      <c r="AZ529" s="375"/>
      <c r="BA529" s="375"/>
      <c r="BB529" s="375"/>
      <c r="BC529" s="375"/>
      <c r="BD529" s="375"/>
      <c r="BE529" s="375"/>
      <c r="BF529" s="375">
        <v>0</v>
      </c>
      <c r="BG529" s="227"/>
      <c r="BH529" s="227">
        <v>-158800</v>
      </c>
      <c r="BI529" s="227">
        <v>158800</v>
      </c>
      <c r="BJ529" s="227"/>
      <c r="BK529" s="227"/>
      <c r="BL529" s="227"/>
      <c r="BM529" s="227"/>
      <c r="BN529" s="227"/>
      <c r="BO529" s="227"/>
      <c r="BP529" s="227"/>
      <c r="BQ529" s="227"/>
      <c r="BR529" s="227"/>
      <c r="BS529" s="227">
        <v>0</v>
      </c>
    </row>
    <row r="530" spans="1:71" ht="15" hidden="1" customHeight="1">
      <c r="A530" s="227" t="s">
        <v>2529</v>
      </c>
      <c r="B530" s="745" t="s">
        <v>2530</v>
      </c>
      <c r="C530" s="348"/>
      <c r="D530" s="347" t="str">
        <f>_xlfn.TEXTJOIN("_",FALSE,E530,ERP_8[[#This Row],[Expense Category]],ERP_8[[#This Row],[Project Code*]])</f>
        <v>Dougherty, Chris_SOFTWARE_IT-SFT1283-86-OG-US</v>
      </c>
      <c r="E530" s="347" t="s">
        <v>1135</v>
      </c>
      <c r="F530" s="348"/>
      <c r="G530" s="150" t="s">
        <v>1136</v>
      </c>
      <c r="H530" s="336" t="s">
        <v>1135</v>
      </c>
      <c r="I530" s="338" t="s">
        <v>1145</v>
      </c>
      <c r="J530" s="335" t="s">
        <v>1137</v>
      </c>
      <c r="K530" s="517" t="s">
        <v>639</v>
      </c>
      <c r="L530" s="860" t="s">
        <v>2531</v>
      </c>
      <c r="M530" s="343" t="s">
        <v>2532</v>
      </c>
      <c r="N530" s="865" t="s">
        <v>1186</v>
      </c>
      <c r="O530" s="235" t="s">
        <v>854</v>
      </c>
      <c r="P530" s="344"/>
      <c r="Q530" s="346" t="s">
        <v>1717</v>
      </c>
      <c r="R530" s="349" t="s">
        <v>1710</v>
      </c>
      <c r="S530" s="352" t="s">
        <v>368</v>
      </c>
      <c r="T530" s="355" t="s">
        <v>1348</v>
      </c>
      <c r="U530" s="437"/>
      <c r="V530" s="358">
        <v>40902.519999999997</v>
      </c>
      <c r="W530" s="378">
        <v>0</v>
      </c>
      <c r="X530" s="425"/>
      <c r="Y530" s="425"/>
      <c r="Z530" s="790"/>
      <c r="AA530" s="786"/>
      <c r="AB530" s="786"/>
      <c r="AC530" s="428" t="s">
        <v>1142</v>
      </c>
      <c r="AD530" s="429">
        <v>0</v>
      </c>
      <c r="AE530" s="429">
        <v>0</v>
      </c>
      <c r="AF530" s="429" t="s">
        <v>1142</v>
      </c>
      <c r="AG530" s="370">
        <v>0</v>
      </c>
      <c r="AH530" s="370">
        <v>0</v>
      </c>
      <c r="AI530" s="370">
        <v>0</v>
      </c>
      <c r="AJ530" s="370">
        <v>0</v>
      </c>
      <c r="AK530" s="370">
        <v>0</v>
      </c>
      <c r="AL530" s="367">
        <f t="shared" si="32"/>
        <v>0</v>
      </c>
      <c r="AM530" s="362">
        <f>ERP_8[[#This Row],[2026 Working Total]]-ERP_8[[#This Row],[LE2 Final Submission]]</f>
        <v>0</v>
      </c>
      <c r="AN530" s="227">
        <v>0</v>
      </c>
      <c r="AO530" s="227">
        <f t="shared" si="31"/>
        <v>0</v>
      </c>
      <c r="AP530" s="374">
        <f>SUM(ERP_8[[#This Row],[AP01]:[AP07]])-SUM(ERP_8[[#This Row],[AP01 LE2]:[AP07 LE2]])</f>
        <v>0</v>
      </c>
      <c r="AQ530" s="80"/>
      <c r="AR530" s="79">
        <f>ERP_8[[#This Row],[2026 Working Total to Budget/LE]]-ERP_8[[#This Row],[Giveback]]</f>
        <v>0</v>
      </c>
      <c r="AS530" s="81"/>
      <c r="AT530" s="375"/>
      <c r="AU530" s="375"/>
      <c r="AV530" s="375"/>
      <c r="AW530" s="375">
        <v>0</v>
      </c>
      <c r="AX530" s="375">
        <v>0</v>
      </c>
      <c r="AY530" s="375">
        <v>0</v>
      </c>
      <c r="AZ530" s="375">
        <v>0</v>
      </c>
      <c r="BA530" s="375">
        <v>0</v>
      </c>
      <c r="BB530" s="375">
        <v>0</v>
      </c>
      <c r="BC530" s="375">
        <v>0</v>
      </c>
      <c r="BD530" s="375">
        <v>0</v>
      </c>
      <c r="BE530" s="375">
        <v>0</v>
      </c>
      <c r="BF530" s="375">
        <v>0</v>
      </c>
      <c r="BG530" s="246">
        <v>40902.519999999997</v>
      </c>
      <c r="BH530" s="246">
        <v>0</v>
      </c>
      <c r="BI530" s="246">
        <v>0</v>
      </c>
      <c r="BJ530" s="246">
        <v>0</v>
      </c>
      <c r="BK530" s="246">
        <v>0</v>
      </c>
      <c r="BL530" s="246">
        <v>0</v>
      </c>
      <c r="BM530" s="246">
        <v>0</v>
      </c>
      <c r="BN530" s="246">
        <v>0</v>
      </c>
      <c r="BO530" s="246">
        <v>0</v>
      </c>
      <c r="BP530" s="246">
        <v>0</v>
      </c>
      <c r="BQ530" s="246">
        <v>0</v>
      </c>
      <c r="BR530" s="246">
        <v>0</v>
      </c>
      <c r="BS530" s="227">
        <f>SUM(ERP_8[[#This Row],[2026 AP01]:[2026 AP12]])</f>
        <v>40902.519999999997</v>
      </c>
    </row>
    <row r="531" spans="1:71" ht="15" hidden="1" customHeight="1">
      <c r="A531" s="227" t="s">
        <v>2533</v>
      </c>
      <c r="B531" s="745" t="s">
        <v>2534</v>
      </c>
      <c r="C531" s="348"/>
      <c r="D531" s="347" t="str">
        <f>_xlfn.TEXTJOIN("_",FALSE,E531,ERP_8[[#This Row],[Expense Category]],ERP_8[[#This Row],[Project Code*]])</f>
        <v>Dougherty, Chris_SOFTWARE_IT-SFT1283-86-OG-US/PF</v>
      </c>
      <c r="E531" s="347" t="s">
        <v>1135</v>
      </c>
      <c r="F531" s="348"/>
      <c r="G531" s="150" t="s">
        <v>1136</v>
      </c>
      <c r="H531" s="336" t="s">
        <v>1135</v>
      </c>
      <c r="I531" s="338" t="s">
        <v>1145</v>
      </c>
      <c r="J531" s="335" t="s">
        <v>1137</v>
      </c>
      <c r="K531" s="517" t="s">
        <v>639</v>
      </c>
      <c r="L531" s="860" t="s">
        <v>2535</v>
      </c>
      <c r="M531" s="343" t="s">
        <v>2532</v>
      </c>
      <c r="N531" s="865" t="s">
        <v>1186</v>
      </c>
      <c r="O531" s="235" t="s">
        <v>856</v>
      </c>
      <c r="P531" s="344"/>
      <c r="Q531" s="346" t="s">
        <v>1717</v>
      </c>
      <c r="R531" s="349" t="s">
        <v>1710</v>
      </c>
      <c r="S531" s="352" t="s">
        <v>368</v>
      </c>
      <c r="T531" s="355" t="s">
        <v>1348</v>
      </c>
      <c r="U531" s="437"/>
      <c r="V531" s="358">
        <v>-40902.519999999997</v>
      </c>
      <c r="W531" s="378">
        <v>0</v>
      </c>
      <c r="X531" s="425"/>
      <c r="Y531" s="71"/>
      <c r="Z531" s="790"/>
      <c r="AA531" s="786"/>
      <c r="AB531" s="786"/>
      <c r="AC531" s="428" t="s">
        <v>1142</v>
      </c>
      <c r="AD531" s="429">
        <v>0</v>
      </c>
      <c r="AE531" s="429">
        <v>0</v>
      </c>
      <c r="AF531" s="429" t="s">
        <v>1142</v>
      </c>
      <c r="AG531" s="370">
        <v>0</v>
      </c>
      <c r="AH531" s="370">
        <v>0</v>
      </c>
      <c r="AI531" s="370">
        <v>0</v>
      </c>
      <c r="AJ531" s="370">
        <v>0</v>
      </c>
      <c r="AK531" s="370">
        <v>0</v>
      </c>
      <c r="AL531" s="367">
        <f t="shared" si="32"/>
        <v>0</v>
      </c>
      <c r="AM531" s="362">
        <f>ERP_8[[#This Row],[2026 Working Total]]-ERP_8[[#This Row],[LE2 Final Submission]]</f>
        <v>0</v>
      </c>
      <c r="AN531" s="227">
        <v>0</v>
      </c>
      <c r="AO531" s="227">
        <f t="shared" ref="AO531:AO594" si="33">$AE531 - $AN531</f>
        <v>0</v>
      </c>
      <c r="AP531" s="374">
        <f>SUM(ERP_8[[#This Row],[AP01]:[AP07]])-SUM(ERP_8[[#This Row],[AP01 LE2]:[AP07 LE2]])</f>
        <v>0</v>
      </c>
      <c r="AQ531" s="80"/>
      <c r="AR531" s="79">
        <f>ERP_8[[#This Row],[2026 Working Total to Budget/LE]]-ERP_8[[#This Row],[Giveback]]</f>
        <v>0</v>
      </c>
      <c r="AS531" s="81"/>
      <c r="AT531" s="375"/>
      <c r="AU531" s="375"/>
      <c r="AV531" s="375"/>
      <c r="AW531" s="375">
        <v>0</v>
      </c>
      <c r="AX531" s="375">
        <v>0</v>
      </c>
      <c r="AY531" s="375">
        <v>0</v>
      </c>
      <c r="AZ531" s="375">
        <v>0</v>
      </c>
      <c r="BA531" s="375">
        <v>0</v>
      </c>
      <c r="BB531" s="375">
        <v>0</v>
      </c>
      <c r="BC531" s="375">
        <v>0</v>
      </c>
      <c r="BD531" s="375">
        <v>0</v>
      </c>
      <c r="BE531" s="375">
        <v>0</v>
      </c>
      <c r="BF531" s="375">
        <v>0</v>
      </c>
      <c r="BG531" s="246">
        <v>-40902.519999999997</v>
      </c>
      <c r="BH531" s="246">
        <v>0</v>
      </c>
      <c r="BI531" s="246">
        <v>0</v>
      </c>
      <c r="BJ531" s="246">
        <v>0</v>
      </c>
      <c r="BK531" s="246">
        <v>0</v>
      </c>
      <c r="BL531" s="246">
        <v>0</v>
      </c>
      <c r="BM531" s="246">
        <v>0</v>
      </c>
      <c r="BN531" s="246">
        <v>0</v>
      </c>
      <c r="BO531" s="246">
        <v>0</v>
      </c>
      <c r="BP531" s="246">
        <v>0</v>
      </c>
      <c r="BQ531" s="246">
        <v>0</v>
      </c>
      <c r="BR531" s="246">
        <v>0</v>
      </c>
      <c r="BS531" s="227">
        <f>SUM(ERP_8[[#This Row],[2026 AP01]:[2026 AP12]])</f>
        <v>-40902.519999999997</v>
      </c>
    </row>
    <row r="532" spans="1:71" ht="15" hidden="1" customHeight="1">
      <c r="A532" s="227" t="s">
        <v>2536</v>
      </c>
      <c r="B532" s="745" t="s">
        <v>2537</v>
      </c>
      <c r="C532" s="348"/>
      <c r="D532" s="347" t="str">
        <f>_xlfn.TEXTJOIN("_",FALSE,E532,ERP_8[[#This Row],[Expense Category]],ERP_8[[#This Row],[Project Code*]])</f>
        <v>Dougherty, Chris_SOFTWARE_IT-SFT1284-86-OG-US</v>
      </c>
      <c r="E532" s="347" t="s">
        <v>1135</v>
      </c>
      <c r="F532" s="348"/>
      <c r="G532" s="150" t="s">
        <v>1136</v>
      </c>
      <c r="H532" s="336" t="s">
        <v>1135</v>
      </c>
      <c r="I532" s="338" t="s">
        <v>1145</v>
      </c>
      <c r="J532" s="335" t="s">
        <v>1137</v>
      </c>
      <c r="K532" s="517" t="s">
        <v>639</v>
      </c>
      <c r="L532" s="860" t="s">
        <v>2538</v>
      </c>
      <c r="M532" s="343" t="s">
        <v>2532</v>
      </c>
      <c r="N532" s="865" t="s">
        <v>1186</v>
      </c>
      <c r="O532" s="235" t="s">
        <v>858</v>
      </c>
      <c r="P532" s="344"/>
      <c r="Q532" s="346" t="s">
        <v>1709</v>
      </c>
      <c r="R532" s="349" t="s">
        <v>1710</v>
      </c>
      <c r="S532" s="352" t="s">
        <v>368</v>
      </c>
      <c r="T532" s="355" t="s">
        <v>1348</v>
      </c>
      <c r="U532" s="437"/>
      <c r="V532" s="358">
        <v>26386.85</v>
      </c>
      <c r="W532" s="378">
        <v>0</v>
      </c>
      <c r="X532" s="425"/>
      <c r="Y532" s="71"/>
      <c r="Z532" s="790"/>
      <c r="AA532" s="786"/>
      <c r="AB532" s="786"/>
      <c r="AC532" s="428" t="s">
        <v>1142</v>
      </c>
      <c r="AD532" s="429">
        <v>0</v>
      </c>
      <c r="AE532" s="429">
        <v>0</v>
      </c>
      <c r="AF532" s="429" t="s">
        <v>1142</v>
      </c>
      <c r="AG532" s="370">
        <v>0</v>
      </c>
      <c r="AH532" s="370">
        <v>0</v>
      </c>
      <c r="AI532" s="370">
        <v>0</v>
      </c>
      <c r="AJ532" s="370">
        <v>0</v>
      </c>
      <c r="AK532" s="370">
        <v>0</v>
      </c>
      <c r="AL532" s="367">
        <f t="shared" si="32"/>
        <v>0</v>
      </c>
      <c r="AM532" s="362">
        <f>ERP_8[[#This Row],[2026 Working Total]]-ERP_8[[#This Row],[LE2 Final Submission]]</f>
        <v>0</v>
      </c>
      <c r="AN532" s="227">
        <v>0</v>
      </c>
      <c r="AO532" s="227">
        <f t="shared" si="33"/>
        <v>0</v>
      </c>
      <c r="AP532" s="374">
        <f>SUM(ERP_8[[#This Row],[AP01]:[AP07]])-SUM(ERP_8[[#This Row],[AP01 LE2]:[AP07 LE2]])</f>
        <v>0</v>
      </c>
      <c r="AQ532" s="80"/>
      <c r="AR532" s="79">
        <f>ERP_8[[#This Row],[2026 Working Total to Budget/LE]]-ERP_8[[#This Row],[Giveback]]</f>
        <v>0</v>
      </c>
      <c r="AS532" s="81"/>
      <c r="AT532" s="375"/>
      <c r="AU532" s="375"/>
      <c r="AV532" s="375"/>
      <c r="AW532" s="375">
        <v>0</v>
      </c>
      <c r="AX532" s="375">
        <v>0</v>
      </c>
      <c r="AY532" s="375">
        <v>0</v>
      </c>
      <c r="AZ532" s="375">
        <v>0</v>
      </c>
      <c r="BA532" s="375">
        <v>0</v>
      </c>
      <c r="BB532" s="375">
        <v>0</v>
      </c>
      <c r="BC532" s="375">
        <v>0</v>
      </c>
      <c r="BD532" s="375">
        <v>0</v>
      </c>
      <c r="BE532" s="375">
        <v>0</v>
      </c>
      <c r="BF532" s="375">
        <v>0</v>
      </c>
      <c r="BG532" s="246">
        <v>26386.85</v>
      </c>
      <c r="BH532" s="246">
        <v>0</v>
      </c>
      <c r="BI532" s="246">
        <v>0</v>
      </c>
      <c r="BJ532" s="246">
        <v>0</v>
      </c>
      <c r="BK532" s="246">
        <v>0</v>
      </c>
      <c r="BL532" s="246">
        <v>0</v>
      </c>
      <c r="BM532" s="246">
        <v>0</v>
      </c>
      <c r="BN532" s="246">
        <v>0</v>
      </c>
      <c r="BO532" s="246">
        <v>0</v>
      </c>
      <c r="BP532" s="246">
        <v>0</v>
      </c>
      <c r="BQ532" s="246">
        <v>0</v>
      </c>
      <c r="BR532" s="246">
        <v>0</v>
      </c>
      <c r="BS532" s="227">
        <f>SUM(ERP_8[[#This Row],[2026 AP01]:[2026 AP12]])</f>
        <v>26386.85</v>
      </c>
    </row>
    <row r="533" spans="1:71" ht="15" hidden="1" customHeight="1">
      <c r="A533" s="227" t="s">
        <v>2539</v>
      </c>
      <c r="B533" s="745" t="s">
        <v>2540</v>
      </c>
      <c r="C533" s="348"/>
      <c r="D533" s="347" t="str">
        <f>_xlfn.TEXTJOIN("_",FALSE,E533,ERP_8[[#This Row],[Expense Category]],ERP_8[[#This Row],[Project Code*]])</f>
        <v>Dougherty, Chris_SOFTWARE_IT-SFT1284-86-OG-US/PF</v>
      </c>
      <c r="E533" s="347" t="s">
        <v>1135</v>
      </c>
      <c r="F533" s="348"/>
      <c r="G533" s="150" t="s">
        <v>1136</v>
      </c>
      <c r="H533" s="336" t="s">
        <v>1135</v>
      </c>
      <c r="I533" s="338" t="s">
        <v>1145</v>
      </c>
      <c r="J533" s="335" t="s">
        <v>1137</v>
      </c>
      <c r="K533" s="517" t="s">
        <v>639</v>
      </c>
      <c r="L533" s="860" t="s">
        <v>2541</v>
      </c>
      <c r="M533" s="343" t="s">
        <v>2532</v>
      </c>
      <c r="N533" s="865" t="s">
        <v>1186</v>
      </c>
      <c r="O533" s="235" t="s">
        <v>860</v>
      </c>
      <c r="P533" s="344"/>
      <c r="Q533" s="346" t="s">
        <v>1709</v>
      </c>
      <c r="R533" s="349" t="s">
        <v>1710</v>
      </c>
      <c r="S533" s="352" t="s">
        <v>368</v>
      </c>
      <c r="T533" s="355" t="s">
        <v>1348</v>
      </c>
      <c r="U533" s="437"/>
      <c r="V533" s="358">
        <v>-26386.85</v>
      </c>
      <c r="W533" s="378">
        <v>0</v>
      </c>
      <c r="X533" s="425"/>
      <c r="Y533" s="71"/>
      <c r="Z533" s="790"/>
      <c r="AA533" s="786"/>
      <c r="AB533" s="786"/>
      <c r="AC533" s="428" t="s">
        <v>1142</v>
      </c>
      <c r="AD533" s="429">
        <v>0</v>
      </c>
      <c r="AE533" s="429">
        <v>0</v>
      </c>
      <c r="AF533" s="429" t="s">
        <v>1142</v>
      </c>
      <c r="AG533" s="370">
        <v>0</v>
      </c>
      <c r="AH533" s="370">
        <v>0</v>
      </c>
      <c r="AI533" s="370">
        <v>0</v>
      </c>
      <c r="AJ533" s="370">
        <v>0</v>
      </c>
      <c r="AK533" s="370">
        <v>0</v>
      </c>
      <c r="AL533" s="367">
        <f t="shared" si="32"/>
        <v>0</v>
      </c>
      <c r="AM533" s="362">
        <f>ERP_8[[#This Row],[2026 Working Total]]-ERP_8[[#This Row],[LE2 Final Submission]]</f>
        <v>0</v>
      </c>
      <c r="AN533" s="227">
        <v>0</v>
      </c>
      <c r="AO533" s="227">
        <f t="shared" si="33"/>
        <v>0</v>
      </c>
      <c r="AP533" s="374">
        <f>SUM(ERP_8[[#This Row],[AP01]:[AP07]])-SUM(ERP_8[[#This Row],[AP01 LE2]:[AP07 LE2]])</f>
        <v>0</v>
      </c>
      <c r="AQ533" s="80"/>
      <c r="AR533" s="79">
        <f>ERP_8[[#This Row],[2026 Working Total to Budget/LE]]-ERP_8[[#This Row],[Giveback]]</f>
        <v>0</v>
      </c>
      <c r="AS533" s="81"/>
      <c r="AT533" s="375"/>
      <c r="AU533" s="375"/>
      <c r="AV533" s="375"/>
      <c r="AW533" s="375">
        <v>0</v>
      </c>
      <c r="AX533" s="375">
        <v>0</v>
      </c>
      <c r="AY533" s="375">
        <v>0</v>
      </c>
      <c r="AZ533" s="375">
        <v>0</v>
      </c>
      <c r="BA533" s="375">
        <v>0</v>
      </c>
      <c r="BB533" s="375">
        <v>0</v>
      </c>
      <c r="BC533" s="375">
        <v>0</v>
      </c>
      <c r="BD533" s="375">
        <v>0</v>
      </c>
      <c r="BE533" s="375">
        <v>0</v>
      </c>
      <c r="BF533" s="375">
        <v>0</v>
      </c>
      <c r="BG533" s="246">
        <v>-26386.85</v>
      </c>
      <c r="BH533" s="246">
        <v>0</v>
      </c>
      <c r="BI533" s="246">
        <v>0</v>
      </c>
      <c r="BJ533" s="246">
        <v>0</v>
      </c>
      <c r="BK533" s="246">
        <v>0</v>
      </c>
      <c r="BL533" s="246">
        <v>0</v>
      </c>
      <c r="BM533" s="246">
        <v>0</v>
      </c>
      <c r="BN533" s="246">
        <v>0</v>
      </c>
      <c r="BO533" s="246">
        <v>0</v>
      </c>
      <c r="BP533" s="246">
        <v>0</v>
      </c>
      <c r="BQ533" s="246">
        <v>0</v>
      </c>
      <c r="BR533" s="246">
        <v>0</v>
      </c>
      <c r="BS533" s="227">
        <f>SUM(ERP_8[[#This Row],[2026 AP01]:[2026 AP12]])</f>
        <v>-26386.85</v>
      </c>
    </row>
    <row r="534" spans="1:71" ht="15" hidden="1" customHeight="1">
      <c r="A534" s="227" t="s">
        <v>2542</v>
      </c>
      <c r="B534" s="745" t="s">
        <v>2543</v>
      </c>
      <c r="C534" s="348"/>
      <c r="D534" s="347" t="str">
        <f>_xlfn.TEXTJOIN("_",FALSE,E534,ERP_8[[#This Row],[Expense Category]],ERP_8[[#This Row],[Project Code*]])</f>
        <v>Dougherty, Chris_SOFTWARE_IT-SFT1401-OG-US-00</v>
      </c>
      <c r="E534" s="347" t="s">
        <v>1135</v>
      </c>
      <c r="F534" s="348"/>
      <c r="G534" s="150" t="s">
        <v>1136</v>
      </c>
      <c r="H534" s="336" t="s">
        <v>1135</v>
      </c>
      <c r="I534" s="338" t="s">
        <v>1145</v>
      </c>
      <c r="J534" s="335" t="s">
        <v>1137</v>
      </c>
      <c r="K534" s="517" t="s">
        <v>639</v>
      </c>
      <c r="L534" s="860" t="s">
        <v>2544</v>
      </c>
      <c r="M534" s="343" t="s">
        <v>2545</v>
      </c>
      <c r="N534" s="865" t="s">
        <v>1186</v>
      </c>
      <c r="O534" s="235" t="s">
        <v>862</v>
      </c>
      <c r="P534" s="344"/>
      <c r="Q534" s="346" t="s">
        <v>2546</v>
      </c>
      <c r="R534" s="349" t="s">
        <v>1710</v>
      </c>
      <c r="S534" s="352" t="s">
        <v>863</v>
      </c>
      <c r="T534" s="355" t="s">
        <v>1348</v>
      </c>
      <c r="U534" s="437"/>
      <c r="V534" s="358">
        <v>21386.720000000001</v>
      </c>
      <c r="W534" s="378">
        <v>0</v>
      </c>
      <c r="X534" s="425"/>
      <c r="Y534" s="71"/>
      <c r="Z534" s="790"/>
      <c r="AA534" s="786"/>
      <c r="AB534" s="786"/>
      <c r="AC534" s="428" t="s">
        <v>1142</v>
      </c>
      <c r="AD534" s="429">
        <v>0</v>
      </c>
      <c r="AE534" s="429">
        <v>0</v>
      </c>
      <c r="AF534" s="429" t="s">
        <v>1142</v>
      </c>
      <c r="AG534" s="370">
        <v>0</v>
      </c>
      <c r="AH534" s="370">
        <v>0</v>
      </c>
      <c r="AI534" s="370">
        <v>0</v>
      </c>
      <c r="AJ534" s="370">
        <v>0</v>
      </c>
      <c r="AK534" s="370">
        <v>0</v>
      </c>
      <c r="AL534" s="367">
        <f t="shared" si="32"/>
        <v>0</v>
      </c>
      <c r="AM534" s="362">
        <f>ERP_8[[#This Row],[2026 Working Total]]-ERP_8[[#This Row],[LE2 Final Submission]]</f>
        <v>0</v>
      </c>
      <c r="AN534" s="227">
        <v>0</v>
      </c>
      <c r="AO534" s="227">
        <f t="shared" si="33"/>
        <v>0</v>
      </c>
      <c r="AP534" s="374">
        <f>SUM(ERP_8[[#This Row],[AP01]:[AP07]])-SUM(ERP_8[[#This Row],[AP01 LE2]:[AP07 LE2]])</f>
        <v>0</v>
      </c>
      <c r="AQ534" s="80"/>
      <c r="AR534" s="79">
        <f>ERP_8[[#This Row],[2026 Working Total to Budget/LE]]-ERP_8[[#This Row],[Giveback]]</f>
        <v>0</v>
      </c>
      <c r="AS534" s="81"/>
      <c r="AT534" s="375"/>
      <c r="AU534" s="375"/>
      <c r="AV534" s="375"/>
      <c r="AW534" s="375">
        <v>0</v>
      </c>
      <c r="AX534" s="375">
        <v>0</v>
      </c>
      <c r="AY534" s="375">
        <v>0</v>
      </c>
      <c r="AZ534" s="375">
        <v>0</v>
      </c>
      <c r="BA534" s="375">
        <v>0</v>
      </c>
      <c r="BB534" s="375">
        <v>0</v>
      </c>
      <c r="BC534" s="375">
        <v>0</v>
      </c>
      <c r="BD534" s="375">
        <v>0</v>
      </c>
      <c r="BE534" s="375">
        <v>0</v>
      </c>
      <c r="BF534" s="375">
        <v>0</v>
      </c>
      <c r="BG534" s="246">
        <v>21386.720000000001</v>
      </c>
      <c r="BH534" s="246">
        <v>0</v>
      </c>
      <c r="BI534" s="246">
        <v>0</v>
      </c>
      <c r="BJ534" s="246">
        <v>0</v>
      </c>
      <c r="BK534" s="246">
        <v>0</v>
      </c>
      <c r="BL534" s="246">
        <v>0</v>
      </c>
      <c r="BM534" s="246">
        <v>0</v>
      </c>
      <c r="BN534" s="246">
        <v>0</v>
      </c>
      <c r="BO534" s="246">
        <v>0</v>
      </c>
      <c r="BP534" s="246">
        <v>0</v>
      </c>
      <c r="BQ534" s="246">
        <v>0</v>
      </c>
      <c r="BR534" s="246">
        <v>0</v>
      </c>
      <c r="BS534" s="227">
        <f>SUM(ERP_8[[#This Row],[2026 AP01]:[2026 AP12]])</f>
        <v>21386.720000000001</v>
      </c>
    </row>
    <row r="535" spans="1:71" ht="15" hidden="1" customHeight="1">
      <c r="A535" s="227" t="s">
        <v>2547</v>
      </c>
      <c r="B535" s="745" t="s">
        <v>2548</v>
      </c>
      <c r="C535" s="348"/>
      <c r="D535" s="347" t="str">
        <f>_xlfn.TEXTJOIN("_",FALSE,E535,ERP_8[[#This Row],[Expense Category]],ERP_8[[#This Row],[Project Code*]])</f>
        <v>Dougherty, Chris_SOFTWARE_IT-SFT1401-OG-US-00/PF</v>
      </c>
      <c r="E535" s="347" t="s">
        <v>1135</v>
      </c>
      <c r="F535" s="348"/>
      <c r="G535" s="150" t="s">
        <v>1136</v>
      </c>
      <c r="H535" s="336" t="s">
        <v>1135</v>
      </c>
      <c r="I535" s="338" t="s">
        <v>1145</v>
      </c>
      <c r="J535" s="335" t="s">
        <v>1137</v>
      </c>
      <c r="K535" s="517" t="s">
        <v>639</v>
      </c>
      <c r="L535" s="860" t="s">
        <v>2549</v>
      </c>
      <c r="M535" s="343" t="s">
        <v>2545</v>
      </c>
      <c r="N535" s="385" t="s">
        <v>1186</v>
      </c>
      <c r="O535" s="235" t="s">
        <v>865</v>
      </c>
      <c r="P535" s="344"/>
      <c r="Q535" s="346" t="s">
        <v>2546</v>
      </c>
      <c r="R535" s="349" t="s">
        <v>1710</v>
      </c>
      <c r="S535" s="352" t="s">
        <v>863</v>
      </c>
      <c r="T535" s="355" t="s">
        <v>1348</v>
      </c>
      <c r="U535" s="437"/>
      <c r="V535" s="358">
        <v>-21386.720000000001</v>
      </c>
      <c r="W535" s="378">
        <v>0</v>
      </c>
      <c r="X535" s="425"/>
      <c r="Y535" s="71"/>
      <c r="Z535" s="790"/>
      <c r="AA535" s="786"/>
      <c r="AB535" s="786"/>
      <c r="AC535" s="428" t="s">
        <v>1142</v>
      </c>
      <c r="AD535" s="429">
        <v>0</v>
      </c>
      <c r="AE535" s="429">
        <v>0</v>
      </c>
      <c r="AF535" s="429" t="s">
        <v>1142</v>
      </c>
      <c r="AG535" s="370">
        <v>0</v>
      </c>
      <c r="AH535" s="370">
        <v>0</v>
      </c>
      <c r="AI535" s="370">
        <v>0</v>
      </c>
      <c r="AJ535" s="370">
        <v>0</v>
      </c>
      <c r="AK535" s="370">
        <v>0</v>
      </c>
      <c r="AL535" s="367">
        <f t="shared" si="32"/>
        <v>0</v>
      </c>
      <c r="AM535" s="362">
        <f>ERP_8[[#This Row],[2026 Working Total]]-ERP_8[[#This Row],[LE2 Final Submission]]</f>
        <v>0</v>
      </c>
      <c r="AN535" s="79">
        <v>0</v>
      </c>
      <c r="AO535" s="227">
        <f t="shared" si="33"/>
        <v>0</v>
      </c>
      <c r="AP535" s="374">
        <f>SUM(ERP_8[[#This Row],[AP01]:[AP07]])-SUM(ERP_8[[#This Row],[AP01 LE2]:[AP07 LE2]])</f>
        <v>0</v>
      </c>
      <c r="AQ535" s="80"/>
      <c r="AR535" s="79">
        <f>ERP_8[[#This Row],[2026 Working Total to Budget/LE]]-ERP_8[[#This Row],[Giveback]]</f>
        <v>0</v>
      </c>
      <c r="AS535" s="81"/>
      <c r="AT535" s="375"/>
      <c r="AU535" s="375"/>
      <c r="AV535" s="375"/>
      <c r="AW535" s="375">
        <v>0</v>
      </c>
      <c r="AX535" s="375">
        <v>0</v>
      </c>
      <c r="AY535" s="375">
        <v>0</v>
      </c>
      <c r="AZ535" s="375">
        <v>0</v>
      </c>
      <c r="BA535" s="375">
        <v>0</v>
      </c>
      <c r="BB535" s="375">
        <v>0</v>
      </c>
      <c r="BC535" s="375">
        <v>0</v>
      </c>
      <c r="BD535" s="375">
        <v>0</v>
      </c>
      <c r="BE535" s="375">
        <v>0</v>
      </c>
      <c r="BF535" s="375">
        <v>0</v>
      </c>
      <c r="BG535" s="246">
        <v>-21386.720000000001</v>
      </c>
      <c r="BH535" s="246">
        <v>0</v>
      </c>
      <c r="BI535" s="246">
        <v>0</v>
      </c>
      <c r="BJ535" s="246">
        <v>0</v>
      </c>
      <c r="BK535" s="246">
        <v>0</v>
      </c>
      <c r="BL535" s="246">
        <v>0</v>
      </c>
      <c r="BM535" s="246">
        <v>0</v>
      </c>
      <c r="BN535" s="246">
        <v>0</v>
      </c>
      <c r="BO535" s="246">
        <v>0</v>
      </c>
      <c r="BP535" s="246">
        <v>0</v>
      </c>
      <c r="BQ535" s="246">
        <v>0</v>
      </c>
      <c r="BR535" s="246">
        <v>0</v>
      </c>
      <c r="BS535" s="227">
        <f>SUM(ERP_8[[#This Row],[2026 AP01]:[2026 AP12]])</f>
        <v>-21386.720000000001</v>
      </c>
    </row>
    <row r="536" spans="1:71" ht="15" hidden="1" customHeight="1">
      <c r="A536" s="215" t="s">
        <v>2550</v>
      </c>
      <c r="B536" s="732" t="s">
        <v>866</v>
      </c>
      <c r="C536" s="346"/>
      <c r="D536" s="343" t="str">
        <f>_xlfn.TEXTJOIN("_",FALSE,E536,ERP_8[[#This Row],[Expense Category]],ERP_8[[#This Row],[Project Code*]])</f>
        <v>Dougherty, Chris_SOFTWARE_IT-SFT1402-OG-US-00</v>
      </c>
      <c r="E536" s="343" t="s">
        <v>1135</v>
      </c>
      <c r="F536" s="346"/>
      <c r="G536" s="150" t="s">
        <v>1136</v>
      </c>
      <c r="H536" s="334" t="s">
        <v>1135</v>
      </c>
      <c r="I536" s="334" t="s">
        <v>1135</v>
      </c>
      <c r="J536" s="334" t="s">
        <v>1137</v>
      </c>
      <c r="K536" s="516" t="s">
        <v>639</v>
      </c>
      <c r="L536" s="398" t="s">
        <v>2551</v>
      </c>
      <c r="M536" s="343" t="s">
        <v>1167</v>
      </c>
      <c r="N536" s="810" t="s">
        <v>1171</v>
      </c>
      <c r="O536" s="219" t="s">
        <v>867</v>
      </c>
      <c r="P536" s="349"/>
      <c r="Q536" s="346" t="s">
        <v>2552</v>
      </c>
      <c r="R536" s="349"/>
      <c r="S536" s="334" t="s">
        <v>64</v>
      </c>
      <c r="T536" s="354"/>
      <c r="U536" s="403"/>
      <c r="V536" s="406">
        <v>207900</v>
      </c>
      <c r="W536" s="406">
        <v>196875</v>
      </c>
      <c r="X536" s="430"/>
      <c r="Y536" s="137"/>
      <c r="Z536" s="789">
        <v>15750</v>
      </c>
      <c r="AA536" s="785">
        <v>15750</v>
      </c>
      <c r="AB536" s="785">
        <v>15750</v>
      </c>
      <c r="AC536" s="428">
        <v>15750</v>
      </c>
      <c r="AD536" s="429">
        <v>15750</v>
      </c>
      <c r="AE536" s="429">
        <v>15750</v>
      </c>
      <c r="AF536" s="429">
        <v>15750</v>
      </c>
      <c r="AG536" s="369">
        <v>17325</v>
      </c>
      <c r="AH536" s="369">
        <v>17325</v>
      </c>
      <c r="AI536" s="369">
        <v>17325</v>
      </c>
      <c r="AJ536" s="369">
        <v>17325</v>
      </c>
      <c r="AK536" s="369">
        <v>17325</v>
      </c>
      <c r="AL536" s="367">
        <f t="shared" si="32"/>
        <v>196875</v>
      </c>
      <c r="AM536" s="362">
        <f>ERP_8[[#This Row],[2026 Working Total]]-ERP_8[[#This Row],[LE2 Final Submission]]</f>
        <v>0</v>
      </c>
      <c r="AN536" s="227">
        <v>15750</v>
      </c>
      <c r="AO536" s="227">
        <f t="shared" si="33"/>
        <v>0</v>
      </c>
      <c r="AP536" s="374">
        <f>SUM(ERP_8[[#This Row],[AP01]:[AP07]])-SUM(ERP_8[[#This Row],[AP01 LE2]:[AP07 LE2]])</f>
        <v>0</v>
      </c>
      <c r="AQ536" s="80"/>
      <c r="AR536" s="79">
        <f>ERP_8[[#This Row],[2026 Working Total to Budget/LE]]-ERP_8[[#This Row],[Giveback]]</f>
        <v>0</v>
      </c>
      <c r="AS536" s="81"/>
      <c r="AT536" s="375">
        <v>15750</v>
      </c>
      <c r="AU536" s="375">
        <v>15750</v>
      </c>
      <c r="AV536" s="375">
        <v>15750</v>
      </c>
      <c r="AW536" s="375">
        <v>15750</v>
      </c>
      <c r="AX536" s="375">
        <v>15750</v>
      </c>
      <c r="AY536" s="375">
        <v>15750</v>
      </c>
      <c r="AZ536" s="375">
        <v>15750</v>
      </c>
      <c r="BA536" s="375">
        <v>17325</v>
      </c>
      <c r="BB536" s="375">
        <v>17325</v>
      </c>
      <c r="BC536" s="375">
        <v>17325</v>
      </c>
      <c r="BD536" s="375">
        <v>17325</v>
      </c>
      <c r="BE536" s="375">
        <v>17325</v>
      </c>
      <c r="BF536" s="375">
        <v>196875</v>
      </c>
      <c r="BG536" s="227">
        <v>15750</v>
      </c>
      <c r="BH536" s="227">
        <v>15750</v>
      </c>
      <c r="BI536" s="227">
        <v>15750</v>
      </c>
      <c r="BJ536" s="227">
        <v>17325</v>
      </c>
      <c r="BK536" s="227">
        <v>17325</v>
      </c>
      <c r="BL536" s="227">
        <v>17325</v>
      </c>
      <c r="BM536" s="227">
        <v>17325</v>
      </c>
      <c r="BN536" s="227">
        <v>17325</v>
      </c>
      <c r="BO536" s="227">
        <v>17325</v>
      </c>
      <c r="BP536" s="227">
        <v>17325</v>
      </c>
      <c r="BQ536" s="227">
        <v>17325</v>
      </c>
      <c r="BR536" s="227">
        <v>17325</v>
      </c>
      <c r="BS536" s="227">
        <v>203175</v>
      </c>
    </row>
    <row r="537" spans="1:71" ht="15" hidden="1" customHeight="1">
      <c r="A537" s="215" t="s">
        <v>2553</v>
      </c>
      <c r="B537" s="732" t="s">
        <v>868</v>
      </c>
      <c r="C537" s="346"/>
      <c r="D537" s="343" t="str">
        <f>_xlfn.TEXTJOIN("_",FALSE,E537,ERP_8[[#This Row],[Expense Category]],ERP_8[[#This Row],[Project Code*]])</f>
        <v>Dougherty, Chris_SOFTWARE_IT-SFT1406-OG-US-00</v>
      </c>
      <c r="E537" s="343" t="s">
        <v>1135</v>
      </c>
      <c r="F537" s="346"/>
      <c r="G537" s="150" t="s">
        <v>1136</v>
      </c>
      <c r="H537" s="334" t="s">
        <v>1135</v>
      </c>
      <c r="I537" s="334" t="s">
        <v>1135</v>
      </c>
      <c r="J537" s="334" t="s">
        <v>1137</v>
      </c>
      <c r="K537" s="516" t="s">
        <v>639</v>
      </c>
      <c r="L537" s="398" t="s">
        <v>2554</v>
      </c>
      <c r="M537" s="343"/>
      <c r="N537" s="800"/>
      <c r="O537" s="219" t="s">
        <v>869</v>
      </c>
      <c r="P537" s="349"/>
      <c r="Q537" s="343"/>
      <c r="R537" s="349"/>
      <c r="S537" s="334" t="s">
        <v>152</v>
      </c>
      <c r="T537" s="354"/>
      <c r="U537" s="403"/>
      <c r="V537" s="406">
        <v>37661</v>
      </c>
      <c r="W537" s="406">
        <v>37661</v>
      </c>
      <c r="X537" s="425"/>
      <c r="Y537" s="71"/>
      <c r="Z537" s="789"/>
      <c r="AA537" s="785"/>
      <c r="AB537" s="785"/>
      <c r="AC537" s="428" t="s">
        <v>1142</v>
      </c>
      <c r="AD537" s="429">
        <v>0</v>
      </c>
      <c r="AE537" s="429">
        <v>0</v>
      </c>
      <c r="AF537" s="429" t="s">
        <v>1142</v>
      </c>
      <c r="AG537" s="369"/>
      <c r="AH537" s="369"/>
      <c r="AI537" s="369">
        <v>37661</v>
      </c>
      <c r="AJ537" s="368">
        <v>0</v>
      </c>
      <c r="AK537" s="368">
        <v>0</v>
      </c>
      <c r="AL537" s="367">
        <f t="shared" si="32"/>
        <v>37661</v>
      </c>
      <c r="AM537" s="362">
        <f>ERP_8[[#This Row],[2026 Working Total]]-ERP_8[[#This Row],[LE2 Final Submission]]</f>
        <v>0</v>
      </c>
      <c r="AN537" s="79"/>
      <c r="AO537" s="227">
        <f t="shared" si="33"/>
        <v>0</v>
      </c>
      <c r="AP537" s="374">
        <f>SUM(ERP_8[[#This Row],[AP01]:[AP07]])-SUM(ERP_8[[#This Row],[AP01 LE2]:[AP07 LE2]])</f>
        <v>0</v>
      </c>
      <c r="AQ537" s="80"/>
      <c r="AR537" s="79">
        <f>ERP_8[[#This Row],[2026 Working Total to Budget/LE]]-ERP_8[[#This Row],[Giveback]]</f>
        <v>0</v>
      </c>
      <c r="AS537" s="81"/>
      <c r="AT537" s="375"/>
      <c r="AU537" s="375"/>
      <c r="AV537" s="375"/>
      <c r="AW537" s="375"/>
      <c r="AX537" s="375"/>
      <c r="AY537" s="375"/>
      <c r="AZ537" s="375"/>
      <c r="BA537" s="375"/>
      <c r="BB537" s="375"/>
      <c r="BC537" s="375">
        <v>37661</v>
      </c>
      <c r="BD537" s="375">
        <v>0</v>
      </c>
      <c r="BE537" s="375">
        <v>0</v>
      </c>
      <c r="BF537" s="375">
        <v>37661</v>
      </c>
      <c r="BG537" s="227"/>
      <c r="BH537" s="227"/>
      <c r="BI537" s="227"/>
      <c r="BJ537" s="227"/>
      <c r="BK537" s="227"/>
      <c r="BL537" s="227"/>
      <c r="BM537" s="227"/>
      <c r="BN537" s="227"/>
      <c r="BO537" s="227"/>
      <c r="BP537" s="227">
        <v>37661</v>
      </c>
      <c r="BQ537" s="227">
        <v>0</v>
      </c>
      <c r="BR537" s="227">
        <v>0</v>
      </c>
      <c r="BS537" s="227">
        <v>37661</v>
      </c>
    </row>
    <row r="538" spans="1:71" ht="15" hidden="1" customHeight="1">
      <c r="A538" s="215" t="s">
        <v>2555</v>
      </c>
      <c r="B538" s="732" t="s">
        <v>870</v>
      </c>
      <c r="C538" s="346"/>
      <c r="D538" s="343" t="str">
        <f>_xlfn.TEXTJOIN("_",FALSE,E538,ERP_8[[#This Row],[Expense Category]],ERP_8[[#This Row],[Project Code*]])</f>
        <v>Dougherty, Chris_SOFTWARE_IT-SFT1408-OG-US-00</v>
      </c>
      <c r="E538" s="343" t="s">
        <v>1135</v>
      </c>
      <c r="F538" s="346"/>
      <c r="G538" s="150" t="s">
        <v>1136</v>
      </c>
      <c r="H538" s="334" t="s">
        <v>1135</v>
      </c>
      <c r="I538" s="334" t="s">
        <v>1135</v>
      </c>
      <c r="J538" s="334" t="s">
        <v>1137</v>
      </c>
      <c r="K538" s="516" t="s">
        <v>639</v>
      </c>
      <c r="L538" s="398" t="s">
        <v>2556</v>
      </c>
      <c r="M538" s="343"/>
      <c r="N538" s="807"/>
      <c r="O538" s="219" t="s">
        <v>871</v>
      </c>
      <c r="P538" s="349"/>
      <c r="Q538" s="343"/>
      <c r="R538" s="349"/>
      <c r="S538" s="334" t="s">
        <v>25</v>
      </c>
      <c r="T538" s="354"/>
      <c r="U538" s="403"/>
      <c r="V538" s="406">
        <v>24500</v>
      </c>
      <c r="W538" s="406">
        <v>24500</v>
      </c>
      <c r="X538" s="425"/>
      <c r="Y538" s="71"/>
      <c r="Z538" s="789"/>
      <c r="AA538" s="785"/>
      <c r="AB538" s="785"/>
      <c r="AC538" s="428" t="s">
        <v>1142</v>
      </c>
      <c r="AD538" s="429">
        <v>0</v>
      </c>
      <c r="AE538" s="429">
        <v>0</v>
      </c>
      <c r="AF538" s="429" t="s">
        <v>1142</v>
      </c>
      <c r="AG538" s="369"/>
      <c r="AH538" s="369">
        <v>24500</v>
      </c>
      <c r="AI538" s="368">
        <v>0</v>
      </c>
      <c r="AJ538" s="368">
        <v>0</v>
      </c>
      <c r="AK538" s="368">
        <v>0</v>
      </c>
      <c r="AL538" s="367">
        <f t="shared" si="32"/>
        <v>24500</v>
      </c>
      <c r="AM538" s="362">
        <f>ERP_8[[#This Row],[2026 Working Total]]-ERP_8[[#This Row],[LE2 Final Submission]]</f>
        <v>0</v>
      </c>
      <c r="AN538" s="227"/>
      <c r="AO538" s="227">
        <f t="shared" si="33"/>
        <v>0</v>
      </c>
      <c r="AP538" s="374">
        <f>SUM(ERP_8[[#This Row],[AP01]:[AP07]])-SUM(ERP_8[[#This Row],[AP01 LE2]:[AP07 LE2]])</f>
        <v>0</v>
      </c>
      <c r="AQ538" s="80"/>
      <c r="AR538" s="79">
        <f>ERP_8[[#This Row],[2026 Working Total to Budget/LE]]-ERP_8[[#This Row],[Giveback]]</f>
        <v>0</v>
      </c>
      <c r="AS538" s="81"/>
      <c r="AT538" s="375"/>
      <c r="AU538" s="375"/>
      <c r="AV538" s="375"/>
      <c r="AW538" s="375"/>
      <c r="AX538" s="375"/>
      <c r="AY538" s="375"/>
      <c r="AZ538" s="375"/>
      <c r="BA538" s="375"/>
      <c r="BB538" s="375">
        <v>24500</v>
      </c>
      <c r="BC538" s="375">
        <v>0</v>
      </c>
      <c r="BD538" s="375">
        <v>0</v>
      </c>
      <c r="BE538" s="375">
        <v>0</v>
      </c>
      <c r="BF538" s="375">
        <v>24500</v>
      </c>
      <c r="BG538" s="227"/>
      <c r="BH538" s="227"/>
      <c r="BI538" s="227"/>
      <c r="BJ538" s="227"/>
      <c r="BK538" s="227"/>
      <c r="BL538" s="227"/>
      <c r="BM538" s="227"/>
      <c r="BN538" s="227"/>
      <c r="BO538" s="227">
        <v>24500</v>
      </c>
      <c r="BP538" s="227">
        <v>0</v>
      </c>
      <c r="BQ538" s="227">
        <v>0</v>
      </c>
      <c r="BR538" s="227">
        <v>0</v>
      </c>
      <c r="BS538" s="227">
        <v>24500</v>
      </c>
    </row>
    <row r="539" spans="1:71" ht="15" hidden="1" customHeight="1">
      <c r="A539" s="215" t="s">
        <v>2557</v>
      </c>
      <c r="B539" s="732" t="s">
        <v>2558</v>
      </c>
      <c r="C539" s="346"/>
      <c r="D539" s="343" t="str">
        <f>_xlfn.TEXTJOIN("_",FALSE,E539,ERP_8[[#This Row],[Expense Category]],ERP_8[[#This Row],[Project Code*]])</f>
        <v>Dougherty, Chris_SOFTWARE_IT-SFT1410-OG-US-00</v>
      </c>
      <c r="E539" s="343" t="s">
        <v>1135</v>
      </c>
      <c r="F539" s="346"/>
      <c r="G539" s="150" t="s">
        <v>1136</v>
      </c>
      <c r="H539" s="334" t="s">
        <v>1135</v>
      </c>
      <c r="I539" s="334" t="s">
        <v>1145</v>
      </c>
      <c r="J539" s="334" t="s">
        <v>1137</v>
      </c>
      <c r="K539" s="516" t="s">
        <v>639</v>
      </c>
      <c r="L539" s="857" t="s">
        <v>2559</v>
      </c>
      <c r="M539" s="343" t="s">
        <v>1167</v>
      </c>
      <c r="N539" s="810" t="s">
        <v>1186</v>
      </c>
      <c r="O539" s="219" t="s">
        <v>873</v>
      </c>
      <c r="P539" s="349"/>
      <c r="Q539" s="346" t="s">
        <v>2560</v>
      </c>
      <c r="R539" s="349" t="s">
        <v>1710</v>
      </c>
      <c r="S539" s="334" t="s">
        <v>874</v>
      </c>
      <c r="T539" s="354"/>
      <c r="U539" s="404"/>
      <c r="V539" s="407">
        <v>14353.4</v>
      </c>
      <c r="W539" s="407">
        <v>0</v>
      </c>
      <c r="X539" s="425"/>
      <c r="Y539" s="71"/>
      <c r="Z539" s="789">
        <v>0.28000000000000003</v>
      </c>
      <c r="AA539" s="785">
        <v>-0.28000000000000003</v>
      </c>
      <c r="AB539" s="785"/>
      <c r="AC539" s="428">
        <v>-11391.72</v>
      </c>
      <c r="AD539" s="429">
        <v>0</v>
      </c>
      <c r="AE539" s="429">
        <v>0</v>
      </c>
      <c r="AF539" s="429">
        <v>0</v>
      </c>
      <c r="AG539" s="369"/>
      <c r="AH539" s="369"/>
      <c r="AI539" s="369"/>
      <c r="AJ539" s="369"/>
      <c r="AK539" s="369"/>
      <c r="AL539" s="367">
        <f t="shared" si="32"/>
        <v>-11391.72</v>
      </c>
      <c r="AM539" s="362">
        <f>ERP_8[[#This Row],[2026 Working Total]]-ERP_8[[#This Row],[LE2 Final Submission]]</f>
        <v>-11391.72</v>
      </c>
      <c r="AN539" s="227"/>
      <c r="AO539" s="227">
        <f t="shared" si="33"/>
        <v>0</v>
      </c>
      <c r="AP539" s="374">
        <f>SUM(ERP_8[[#This Row],[AP01]:[AP07]])-SUM(ERP_8[[#This Row],[AP01 LE2]:[AP07 LE2]])</f>
        <v>-11391.72</v>
      </c>
      <c r="AQ539" s="80"/>
      <c r="AR539" s="79">
        <f>ERP_8[[#This Row],[2026 Working Total to Budget/LE]]-ERP_8[[#This Row],[Giveback]]</f>
        <v>-11391.72</v>
      </c>
      <c r="AS539" s="81"/>
      <c r="AT539" s="375">
        <v>0.28000000000000003</v>
      </c>
      <c r="AU539" s="375">
        <v>-0.28000000000000003</v>
      </c>
      <c r="AV539" s="375"/>
      <c r="AW539" s="375"/>
      <c r="AX539" s="375"/>
      <c r="AY539" s="375"/>
      <c r="AZ539" s="375"/>
      <c r="BA539" s="375"/>
      <c r="BB539" s="375"/>
      <c r="BC539" s="375"/>
      <c r="BD539" s="375"/>
      <c r="BE539" s="375"/>
      <c r="BF539" s="375">
        <v>0</v>
      </c>
      <c r="BG539" s="227">
        <v>0.28000000000000003</v>
      </c>
      <c r="BH539" s="227">
        <v>-0.28000000000000003</v>
      </c>
      <c r="BI539" s="227"/>
      <c r="BJ539" s="227"/>
      <c r="BK539" s="227"/>
      <c r="BL539" s="227"/>
      <c r="BM539" s="227"/>
      <c r="BN539" s="227"/>
      <c r="BO539" s="227"/>
      <c r="BP539" s="227"/>
      <c r="BQ539" s="227"/>
      <c r="BR539" s="227"/>
      <c r="BS539" s="227">
        <v>0</v>
      </c>
    </row>
    <row r="540" spans="1:71" ht="15" hidden="1" customHeight="1">
      <c r="A540" s="227" t="s">
        <v>2561</v>
      </c>
      <c r="B540" s="745" t="s">
        <v>2562</v>
      </c>
      <c r="C540" s="348"/>
      <c r="D540" s="347" t="str">
        <f>_xlfn.TEXTJOIN("_",FALSE,E540,ERP_8[[#This Row],[Expense Category]],ERP_8[[#This Row],[Project Code*]])</f>
        <v>Dougherty, Chris_SOFTWARE_IT-SFT1410-OG-US-00/PF</v>
      </c>
      <c r="E540" s="347" t="s">
        <v>1135</v>
      </c>
      <c r="F540" s="348"/>
      <c r="G540" s="150" t="s">
        <v>1136</v>
      </c>
      <c r="H540" s="336" t="s">
        <v>1135</v>
      </c>
      <c r="I540" s="338" t="s">
        <v>1145</v>
      </c>
      <c r="J540" s="335" t="s">
        <v>1137</v>
      </c>
      <c r="K540" s="517" t="s">
        <v>639</v>
      </c>
      <c r="L540" s="860" t="s">
        <v>2563</v>
      </c>
      <c r="M540" s="343" t="s">
        <v>1167</v>
      </c>
      <c r="N540" s="865" t="s">
        <v>1186</v>
      </c>
      <c r="O540" s="235" t="s">
        <v>876</v>
      </c>
      <c r="P540" s="344"/>
      <c r="Q540" s="346" t="s">
        <v>2560</v>
      </c>
      <c r="R540" s="349" t="s">
        <v>2310</v>
      </c>
      <c r="S540" s="352" t="s">
        <v>874</v>
      </c>
      <c r="T540" s="355" t="s">
        <v>1779</v>
      </c>
      <c r="U540" s="437"/>
      <c r="V540" s="358">
        <v>-14353.4</v>
      </c>
      <c r="W540" s="378">
        <v>0</v>
      </c>
      <c r="X540" s="425"/>
      <c r="Y540" s="71"/>
      <c r="Z540" s="790"/>
      <c r="AA540" s="786"/>
      <c r="AB540" s="786"/>
      <c r="AC540" s="428" t="s">
        <v>1142</v>
      </c>
      <c r="AD540" s="429">
        <v>0</v>
      </c>
      <c r="AE540" s="429">
        <v>0</v>
      </c>
      <c r="AF540" s="429" t="s">
        <v>1142</v>
      </c>
      <c r="AG540" s="370">
        <v>0</v>
      </c>
      <c r="AH540" s="370">
        <v>0</v>
      </c>
      <c r="AI540" s="370">
        <v>0</v>
      </c>
      <c r="AJ540" s="370">
        <v>0</v>
      </c>
      <c r="AK540" s="370">
        <v>0</v>
      </c>
      <c r="AL540" s="367">
        <f t="shared" si="32"/>
        <v>0</v>
      </c>
      <c r="AM540" s="362">
        <f>ERP_8[[#This Row],[2026 Working Total]]-ERP_8[[#This Row],[LE2 Final Submission]]</f>
        <v>0</v>
      </c>
      <c r="AN540" s="227">
        <v>0</v>
      </c>
      <c r="AO540" s="227">
        <f t="shared" si="33"/>
        <v>0</v>
      </c>
      <c r="AP540" s="374">
        <f>SUM(ERP_8[[#This Row],[AP01]:[AP07]])-SUM(ERP_8[[#This Row],[AP01 LE2]:[AP07 LE2]])</f>
        <v>0</v>
      </c>
      <c r="AQ540" s="80"/>
      <c r="AR540" s="79">
        <f>ERP_8[[#This Row],[2026 Working Total to Budget/LE]]-ERP_8[[#This Row],[Giveback]]</f>
        <v>0</v>
      </c>
      <c r="AS540" s="81"/>
      <c r="AT540" s="375"/>
      <c r="AU540" s="375"/>
      <c r="AV540" s="375"/>
      <c r="AW540" s="375">
        <v>0</v>
      </c>
      <c r="AX540" s="375">
        <v>0</v>
      </c>
      <c r="AY540" s="375">
        <v>0</v>
      </c>
      <c r="AZ540" s="375">
        <v>0</v>
      </c>
      <c r="BA540" s="375">
        <v>0</v>
      </c>
      <c r="BB540" s="375">
        <v>0</v>
      </c>
      <c r="BC540" s="375">
        <v>0</v>
      </c>
      <c r="BD540" s="375">
        <v>0</v>
      </c>
      <c r="BE540" s="375">
        <v>0</v>
      </c>
      <c r="BF540" s="375">
        <v>0</v>
      </c>
      <c r="BG540" s="246">
        <v>-14353.4</v>
      </c>
      <c r="BH540" s="246">
        <v>0</v>
      </c>
      <c r="BI540" s="246">
        <v>0</v>
      </c>
      <c r="BJ540" s="246">
        <v>0</v>
      </c>
      <c r="BK540" s="246">
        <v>0</v>
      </c>
      <c r="BL540" s="246">
        <v>0</v>
      </c>
      <c r="BM540" s="246">
        <v>0</v>
      </c>
      <c r="BN540" s="246">
        <v>0</v>
      </c>
      <c r="BO540" s="246">
        <v>0</v>
      </c>
      <c r="BP540" s="246">
        <v>0</v>
      </c>
      <c r="BQ540" s="246">
        <v>0</v>
      </c>
      <c r="BR540" s="246">
        <v>0</v>
      </c>
      <c r="BS540" s="227">
        <f>SUM(ERP_8[[#This Row],[2026 AP01]:[2026 AP12]])</f>
        <v>-14353.4</v>
      </c>
    </row>
    <row r="541" spans="1:71" ht="15" hidden="1" customHeight="1">
      <c r="A541" s="215" t="s">
        <v>2564</v>
      </c>
      <c r="B541" s="732" t="s">
        <v>2565</v>
      </c>
      <c r="C541" s="346"/>
      <c r="D541" s="343" t="str">
        <f>_xlfn.TEXTJOIN("_",FALSE,E541,ERP_8[[#This Row],[Expense Category]],ERP_8[[#This Row],[Project Code*]])</f>
        <v>Dougherty, Chris_SOFTWARE_IT-SFT1412-OG-US-00</v>
      </c>
      <c r="E541" s="343" t="s">
        <v>1135</v>
      </c>
      <c r="F541" s="346"/>
      <c r="G541" s="150" t="s">
        <v>1136</v>
      </c>
      <c r="H541" s="334" t="s">
        <v>1135</v>
      </c>
      <c r="I541" s="334" t="s">
        <v>1145</v>
      </c>
      <c r="J541" s="334" t="s">
        <v>1137</v>
      </c>
      <c r="K541" s="516" t="s">
        <v>639</v>
      </c>
      <c r="L541" s="857" t="s">
        <v>2566</v>
      </c>
      <c r="M541" s="343"/>
      <c r="N541" s="807"/>
      <c r="O541" s="219" t="s">
        <v>878</v>
      </c>
      <c r="P541" s="349"/>
      <c r="Q541" s="343"/>
      <c r="R541" s="349"/>
      <c r="S541" s="334" t="s">
        <v>849</v>
      </c>
      <c r="T541" s="354"/>
      <c r="U541" s="403"/>
      <c r="V541" s="406">
        <v>4000</v>
      </c>
      <c r="W541" s="406">
        <v>4000</v>
      </c>
      <c r="X541" s="425"/>
      <c r="Y541" s="71"/>
      <c r="Z541" s="789">
        <v>0.1</v>
      </c>
      <c r="AA541" s="785">
        <v>-0.1</v>
      </c>
      <c r="AB541" s="785"/>
      <c r="AC541" s="428">
        <v>0</v>
      </c>
      <c r="AD541" s="429">
        <v>0</v>
      </c>
      <c r="AE541" s="429">
        <v>0</v>
      </c>
      <c r="AF541" s="429">
        <v>0</v>
      </c>
      <c r="AG541" s="368">
        <v>0</v>
      </c>
      <c r="AH541" s="368">
        <v>0</v>
      </c>
      <c r="AI541" s="368">
        <v>0</v>
      </c>
      <c r="AJ541" s="368">
        <v>0</v>
      </c>
      <c r="AK541" s="368">
        <v>0</v>
      </c>
      <c r="AL541" s="367">
        <f t="shared" si="32"/>
        <v>0</v>
      </c>
      <c r="AM541" s="362">
        <f>ERP_8[[#This Row],[2026 Working Total]]-ERP_8[[#This Row],[LE2 Final Submission]]</f>
        <v>-4000</v>
      </c>
      <c r="AN541" s="227">
        <v>4000</v>
      </c>
      <c r="AO541" s="227">
        <f t="shared" si="33"/>
        <v>-4000</v>
      </c>
      <c r="AP541" s="374">
        <f>SUM(ERP_8[[#This Row],[AP01]:[AP07]])-SUM(ERP_8[[#This Row],[AP01 LE2]:[AP07 LE2]])</f>
        <v>-4000</v>
      </c>
      <c r="AQ541" s="80"/>
      <c r="AR541" s="79">
        <f>ERP_8[[#This Row],[2026 Working Total to Budget/LE]]-ERP_8[[#This Row],[Giveback]]</f>
        <v>-4000</v>
      </c>
      <c r="AS541" s="81"/>
      <c r="AT541" s="375">
        <v>0.1</v>
      </c>
      <c r="AU541" s="375">
        <v>-0.1</v>
      </c>
      <c r="AV541" s="375"/>
      <c r="AW541" s="375"/>
      <c r="AX541" s="375"/>
      <c r="AY541" s="375">
        <v>2000</v>
      </c>
      <c r="AZ541" s="375">
        <v>2000</v>
      </c>
      <c r="BA541" s="375">
        <v>0</v>
      </c>
      <c r="BB541" s="375">
        <v>0</v>
      </c>
      <c r="BC541" s="375">
        <v>0</v>
      </c>
      <c r="BD541" s="375">
        <v>0</v>
      </c>
      <c r="BE541" s="375">
        <v>0</v>
      </c>
      <c r="BF541" s="375">
        <v>4000</v>
      </c>
      <c r="BG541" s="227">
        <v>0.1</v>
      </c>
      <c r="BH541" s="227">
        <v>-0.1</v>
      </c>
      <c r="BI541" s="227"/>
      <c r="BJ541" s="227"/>
      <c r="BK541" s="227"/>
      <c r="BL541" s="227">
        <v>2000</v>
      </c>
      <c r="BM541" s="227">
        <v>2000</v>
      </c>
      <c r="BN541" s="227">
        <v>0</v>
      </c>
      <c r="BO541" s="227">
        <v>0</v>
      </c>
      <c r="BP541" s="227">
        <v>0</v>
      </c>
      <c r="BQ541" s="227">
        <v>0</v>
      </c>
      <c r="BR541" s="227">
        <v>0</v>
      </c>
      <c r="BS541" s="227">
        <v>4000</v>
      </c>
    </row>
    <row r="542" spans="1:71" ht="15" hidden="1" customHeight="1">
      <c r="A542" s="215" t="s">
        <v>2567</v>
      </c>
      <c r="B542" s="732" t="s">
        <v>879</v>
      </c>
      <c r="C542" s="346"/>
      <c r="D542" s="343" t="str">
        <f>_xlfn.TEXTJOIN("_",FALSE,E542,ERP_8[[#This Row],[Expense Category]],ERP_8[[#This Row],[Project Code*]])</f>
        <v>Dougherty, Chris_SOFTWARE_IT-SFT1413-OG-US-00</v>
      </c>
      <c r="E542" s="343" t="s">
        <v>1135</v>
      </c>
      <c r="F542" s="346"/>
      <c r="G542" s="150" t="s">
        <v>1136</v>
      </c>
      <c r="H542" s="334" t="s">
        <v>1135</v>
      </c>
      <c r="I542" s="334" t="s">
        <v>1135</v>
      </c>
      <c r="J542" s="334" t="s">
        <v>1137</v>
      </c>
      <c r="K542" s="516" t="s">
        <v>639</v>
      </c>
      <c r="L542" s="398" t="s">
        <v>2568</v>
      </c>
      <c r="M542" s="343"/>
      <c r="N542" s="807"/>
      <c r="O542" s="219" t="s">
        <v>880</v>
      </c>
      <c r="P542" s="349"/>
      <c r="Q542" s="346" t="s">
        <v>2569</v>
      </c>
      <c r="R542" s="349"/>
      <c r="S542" s="334" t="s">
        <v>64</v>
      </c>
      <c r="T542" s="354"/>
      <c r="U542" s="403"/>
      <c r="V542" s="406">
        <v>144819</v>
      </c>
      <c r="W542" s="406">
        <v>144819</v>
      </c>
      <c r="X542" s="430"/>
      <c r="Y542" s="137"/>
      <c r="Z542" s="789"/>
      <c r="AA542" s="785"/>
      <c r="AB542" s="785"/>
      <c r="AC542" s="428" t="s">
        <v>1142</v>
      </c>
      <c r="AD542" s="429">
        <v>0</v>
      </c>
      <c r="AE542" s="429">
        <v>159302.39999999999</v>
      </c>
      <c r="AF542" s="429">
        <v>0</v>
      </c>
      <c r="AG542" s="368">
        <v>0</v>
      </c>
      <c r="AH542" s="368">
        <v>0</v>
      </c>
      <c r="AI542" s="368">
        <v>0</v>
      </c>
      <c r="AJ542" s="368">
        <v>0</v>
      </c>
      <c r="AK542" s="368">
        <v>0</v>
      </c>
      <c r="AL542" s="367">
        <f t="shared" si="32"/>
        <v>159302.39999999999</v>
      </c>
      <c r="AM542" s="362">
        <f>ERP_8[[#This Row],[2026 Working Total]]-ERP_8[[#This Row],[LE2 Final Submission]]</f>
        <v>14483.399999999994</v>
      </c>
      <c r="AN542" s="227">
        <v>0</v>
      </c>
      <c r="AO542" s="227">
        <f t="shared" si="33"/>
        <v>159302.39999999999</v>
      </c>
      <c r="AP542" s="374">
        <f>SUM(ERP_8[[#This Row],[AP01]:[AP07]])-SUM(ERP_8[[#This Row],[AP01 LE2]:[AP07 LE2]])</f>
        <v>14483.399999999994</v>
      </c>
      <c r="AQ542" s="80"/>
      <c r="AR542" s="79">
        <f>ERP_8[[#This Row],[2026 Working Total to Budget/LE]]-ERP_8[[#This Row],[Giveback]]</f>
        <v>14483.399999999994</v>
      </c>
      <c r="AS542" s="81"/>
      <c r="AT542" s="375"/>
      <c r="AU542" s="375"/>
      <c r="AV542" s="375"/>
      <c r="AW542" s="375"/>
      <c r="AX542" s="375">
        <v>144819</v>
      </c>
      <c r="AY542" s="375">
        <v>0</v>
      </c>
      <c r="AZ542" s="375">
        <v>0</v>
      </c>
      <c r="BA542" s="375">
        <v>0</v>
      </c>
      <c r="BB542" s="375">
        <v>0</v>
      </c>
      <c r="BC542" s="375">
        <v>0</v>
      </c>
      <c r="BD542" s="375">
        <v>0</v>
      </c>
      <c r="BE542" s="375">
        <v>0</v>
      </c>
      <c r="BF542" s="375">
        <v>144819</v>
      </c>
      <c r="BG542" s="227"/>
      <c r="BH542" s="227"/>
      <c r="BI542" s="227"/>
      <c r="BJ542" s="227">
        <v>144819</v>
      </c>
      <c r="BK542" s="227">
        <v>0</v>
      </c>
      <c r="BL542" s="227">
        <v>0</v>
      </c>
      <c r="BM542" s="227">
        <v>0</v>
      </c>
      <c r="BN542" s="227">
        <v>0</v>
      </c>
      <c r="BO542" s="227">
        <v>0</v>
      </c>
      <c r="BP542" s="227">
        <v>0</v>
      </c>
      <c r="BQ542" s="227">
        <v>0</v>
      </c>
      <c r="BR542" s="227">
        <v>0</v>
      </c>
      <c r="BS542" s="227">
        <v>144819</v>
      </c>
    </row>
    <row r="543" spans="1:71" ht="15" hidden="1" customHeight="1">
      <c r="A543" s="227" t="s">
        <v>2570</v>
      </c>
      <c r="B543" s="745" t="s">
        <v>881</v>
      </c>
      <c r="C543" s="348"/>
      <c r="D543" s="347" t="str">
        <f>_xlfn.TEXTJOIN("_",FALSE,E543,ERP_8[[#This Row],[Expense Category]],ERP_8[[#This Row],[Project Code*]])</f>
        <v>Dougherty, Chris_SOFTWARE_IT-SFT1414-OG-US-00</v>
      </c>
      <c r="E543" s="347" t="s">
        <v>1135</v>
      </c>
      <c r="F543" s="348"/>
      <c r="G543" s="150" t="s">
        <v>1136</v>
      </c>
      <c r="H543" s="336" t="s">
        <v>1135</v>
      </c>
      <c r="I543" s="338" t="s">
        <v>1135</v>
      </c>
      <c r="J543" s="335" t="s">
        <v>1137</v>
      </c>
      <c r="K543" s="517" t="s">
        <v>639</v>
      </c>
      <c r="L543" s="399" t="s">
        <v>2571</v>
      </c>
      <c r="M543" s="343" t="s">
        <v>2572</v>
      </c>
      <c r="N543" s="865" t="s">
        <v>1171</v>
      </c>
      <c r="O543" s="235" t="s">
        <v>882</v>
      </c>
      <c r="P543" s="344"/>
      <c r="Q543" s="346" t="s">
        <v>2329</v>
      </c>
      <c r="R543" s="349" t="s">
        <v>1710</v>
      </c>
      <c r="S543" s="352" t="s">
        <v>883</v>
      </c>
      <c r="T543" s="355" t="s">
        <v>1779</v>
      </c>
      <c r="U543" s="437"/>
      <c r="V543" s="358">
        <v>64566</v>
      </c>
      <c r="W543" s="378">
        <v>0</v>
      </c>
      <c r="X543" s="425"/>
      <c r="Y543" s="71"/>
      <c r="Z543" s="790"/>
      <c r="AA543" s="786"/>
      <c r="AB543" s="786"/>
      <c r="AC543" s="428">
        <v>0</v>
      </c>
      <c r="AD543" s="429">
        <v>0</v>
      </c>
      <c r="AE543" s="429">
        <v>0</v>
      </c>
      <c r="AF543" s="429">
        <v>0</v>
      </c>
      <c r="AG543" s="370">
        <v>0</v>
      </c>
      <c r="AH543" s="370">
        <v>0</v>
      </c>
      <c r="AI543" s="370">
        <v>0</v>
      </c>
      <c r="AJ543" s="370">
        <v>0</v>
      </c>
      <c r="AK543" s="370">
        <v>0</v>
      </c>
      <c r="AL543" s="367">
        <f t="shared" si="32"/>
        <v>0</v>
      </c>
      <c r="AM543" s="362">
        <f>ERP_8[[#This Row],[2026 Working Total]]-ERP_8[[#This Row],[LE2 Final Submission]]</f>
        <v>0</v>
      </c>
      <c r="AN543" s="79">
        <v>0</v>
      </c>
      <c r="AO543" s="227">
        <f t="shared" si="33"/>
        <v>0</v>
      </c>
      <c r="AP543" s="374">
        <f>SUM(ERP_8[[#This Row],[AP01]:[AP07]])-SUM(ERP_8[[#This Row],[AP01 LE2]:[AP07 LE2]])</f>
        <v>0</v>
      </c>
      <c r="AQ543" s="80"/>
      <c r="AR543" s="79">
        <f>ERP_8[[#This Row],[2026 Working Total to Budget/LE]]-ERP_8[[#This Row],[Giveback]]</f>
        <v>0</v>
      </c>
      <c r="AS543" s="81"/>
      <c r="AT543" s="375"/>
      <c r="AU543" s="375"/>
      <c r="AV543" s="375"/>
      <c r="AW543" s="375">
        <v>0</v>
      </c>
      <c r="AX543" s="375">
        <v>0</v>
      </c>
      <c r="AY543" s="375">
        <v>0</v>
      </c>
      <c r="AZ543" s="375">
        <v>0</v>
      </c>
      <c r="BA543" s="375">
        <v>0</v>
      </c>
      <c r="BB543" s="375">
        <v>0</v>
      </c>
      <c r="BC543" s="375">
        <v>0</v>
      </c>
      <c r="BD543" s="375">
        <v>0</v>
      </c>
      <c r="BE543" s="375">
        <v>0</v>
      </c>
      <c r="BF543" s="375">
        <v>0</v>
      </c>
      <c r="BG543" s="246">
        <v>64566</v>
      </c>
      <c r="BH543" s="246">
        <v>0</v>
      </c>
      <c r="BI543" s="246">
        <v>0</v>
      </c>
      <c r="BJ543" s="246">
        <v>0</v>
      </c>
      <c r="BK543" s="246">
        <v>0</v>
      </c>
      <c r="BL543" s="246">
        <v>0</v>
      </c>
      <c r="BM543" s="246">
        <v>0</v>
      </c>
      <c r="BN543" s="246">
        <v>0</v>
      </c>
      <c r="BO543" s="246">
        <v>0</v>
      </c>
      <c r="BP543" s="246">
        <v>0</v>
      </c>
      <c r="BQ543" s="246">
        <v>0</v>
      </c>
      <c r="BR543" s="246">
        <v>0</v>
      </c>
      <c r="BS543" s="227">
        <f>SUM(ERP_8[[#This Row],[2026 AP01]:[2026 AP12]])</f>
        <v>64566</v>
      </c>
    </row>
    <row r="544" spans="1:71" ht="15" hidden="1" customHeight="1">
      <c r="A544" s="227" t="s">
        <v>2573</v>
      </c>
      <c r="B544" s="745" t="s">
        <v>884</v>
      </c>
      <c r="C544" s="348"/>
      <c r="D544" s="347" t="str">
        <f>_xlfn.TEXTJOIN("_",FALSE,E544,ERP_8[[#This Row],[Expense Category]],ERP_8[[#This Row],[Project Code*]])</f>
        <v>Dougherty, Chris_SOFTWARE_IT-SFT1414-OG-US-00/PF</v>
      </c>
      <c r="E544" s="347" t="s">
        <v>1135</v>
      </c>
      <c r="F544" s="348"/>
      <c r="G544" s="150" t="s">
        <v>1136</v>
      </c>
      <c r="H544" s="336" t="s">
        <v>1135</v>
      </c>
      <c r="I544" s="337" t="s">
        <v>1135</v>
      </c>
      <c r="J544" s="335" t="s">
        <v>1137</v>
      </c>
      <c r="K544" s="517" t="s">
        <v>639</v>
      </c>
      <c r="L544" s="397" t="s">
        <v>2574</v>
      </c>
      <c r="M544" s="343" t="s">
        <v>2572</v>
      </c>
      <c r="N544" s="865" t="s">
        <v>1171</v>
      </c>
      <c r="O544" s="253" t="s">
        <v>885</v>
      </c>
      <c r="P544" s="344"/>
      <c r="Q544" s="346" t="s">
        <v>2329</v>
      </c>
      <c r="R544" s="349" t="s">
        <v>1710</v>
      </c>
      <c r="S544" s="350" t="s">
        <v>883</v>
      </c>
      <c r="T544" s="355" t="s">
        <v>2499</v>
      </c>
      <c r="U544" s="437"/>
      <c r="V544" s="358">
        <v>-64566</v>
      </c>
      <c r="W544" s="378">
        <v>0</v>
      </c>
      <c r="X544" s="425"/>
      <c r="Y544" s="71"/>
      <c r="Z544" s="790"/>
      <c r="AA544" s="786"/>
      <c r="AB544" s="786"/>
      <c r="AC544" s="428" t="s">
        <v>1142</v>
      </c>
      <c r="AD544" s="429">
        <v>0</v>
      </c>
      <c r="AE544" s="429">
        <v>0</v>
      </c>
      <c r="AF544" s="429" t="s">
        <v>1142</v>
      </c>
      <c r="AG544" s="370">
        <v>0</v>
      </c>
      <c r="AH544" s="370">
        <v>0</v>
      </c>
      <c r="AI544" s="370">
        <v>0</v>
      </c>
      <c r="AJ544" s="370">
        <v>0</v>
      </c>
      <c r="AK544" s="370">
        <v>0</v>
      </c>
      <c r="AL544" s="367">
        <f t="shared" si="32"/>
        <v>0</v>
      </c>
      <c r="AM544" s="362">
        <f>ERP_8[[#This Row],[2026 Working Total]]-ERP_8[[#This Row],[LE2 Final Submission]]</f>
        <v>0</v>
      </c>
      <c r="AN544" s="79">
        <v>0</v>
      </c>
      <c r="AO544" s="227">
        <f t="shared" si="33"/>
        <v>0</v>
      </c>
      <c r="AP544" s="374">
        <f>SUM(ERP_8[[#This Row],[AP01]:[AP07]])-SUM(ERP_8[[#This Row],[AP01 LE2]:[AP07 LE2]])</f>
        <v>0</v>
      </c>
      <c r="AQ544" s="80"/>
      <c r="AR544" s="79">
        <f>ERP_8[[#This Row],[2026 Working Total to Budget/LE]]-ERP_8[[#This Row],[Giveback]]</f>
        <v>0</v>
      </c>
      <c r="AS544" s="81"/>
      <c r="AT544" s="375"/>
      <c r="AU544" s="375"/>
      <c r="AV544" s="375"/>
      <c r="AW544" s="375">
        <v>0</v>
      </c>
      <c r="AX544" s="375">
        <v>0</v>
      </c>
      <c r="AY544" s="375">
        <v>0</v>
      </c>
      <c r="AZ544" s="375">
        <v>0</v>
      </c>
      <c r="BA544" s="375">
        <v>0</v>
      </c>
      <c r="BB544" s="375">
        <v>0</v>
      </c>
      <c r="BC544" s="375">
        <v>0</v>
      </c>
      <c r="BD544" s="375">
        <v>0</v>
      </c>
      <c r="BE544" s="375">
        <v>0</v>
      </c>
      <c r="BF544" s="375">
        <v>0</v>
      </c>
      <c r="BG544" s="246">
        <v>-64566</v>
      </c>
      <c r="BH544" s="246">
        <v>0</v>
      </c>
      <c r="BI544" s="246">
        <v>0</v>
      </c>
      <c r="BJ544" s="246">
        <v>0</v>
      </c>
      <c r="BK544" s="246">
        <v>0</v>
      </c>
      <c r="BL544" s="246">
        <v>0</v>
      </c>
      <c r="BM544" s="246">
        <v>0</v>
      </c>
      <c r="BN544" s="246">
        <v>0</v>
      </c>
      <c r="BO544" s="246">
        <v>0</v>
      </c>
      <c r="BP544" s="246">
        <v>0</v>
      </c>
      <c r="BQ544" s="246">
        <v>0</v>
      </c>
      <c r="BR544" s="246">
        <v>0</v>
      </c>
      <c r="BS544" s="227">
        <f>SUM(ERP_8[[#This Row],[2026 AP01]:[2026 AP12]])</f>
        <v>-64566</v>
      </c>
    </row>
    <row r="545" spans="1:71" ht="15" hidden="1" customHeight="1">
      <c r="A545" s="215" t="s">
        <v>2575</v>
      </c>
      <c r="B545" s="732" t="s">
        <v>886</v>
      </c>
      <c r="C545" s="346"/>
      <c r="D545" s="343" t="str">
        <f>_xlfn.TEXTJOIN("_",FALSE,E545,ERP_8[[#This Row],[Expense Category]],ERP_8[[#This Row],[Project Code*]])</f>
        <v>Dougherty, Chris_SOFTWARE_IT-SFT1415-OG-US-00</v>
      </c>
      <c r="E545" s="343" t="s">
        <v>1135</v>
      </c>
      <c r="F545" s="346"/>
      <c r="G545" s="150" t="s">
        <v>1136</v>
      </c>
      <c r="H545" s="334" t="s">
        <v>1135</v>
      </c>
      <c r="I545" s="334" t="s">
        <v>1135</v>
      </c>
      <c r="J545" s="334" t="s">
        <v>1137</v>
      </c>
      <c r="K545" s="516" t="s">
        <v>639</v>
      </c>
      <c r="L545" s="398" t="s">
        <v>2576</v>
      </c>
      <c r="M545" s="343" t="s">
        <v>2577</v>
      </c>
      <c r="N545" s="810" t="s">
        <v>1171</v>
      </c>
      <c r="O545" s="219" t="s">
        <v>887</v>
      </c>
      <c r="P545" s="349"/>
      <c r="Q545" s="346" t="s">
        <v>2578</v>
      </c>
      <c r="R545" s="349"/>
      <c r="S545" s="334" t="s">
        <v>64</v>
      </c>
      <c r="T545" s="354"/>
      <c r="U545" s="403"/>
      <c r="V545" s="406">
        <v>0</v>
      </c>
      <c r="W545" s="406">
        <v>5298.95</v>
      </c>
      <c r="X545" s="430"/>
      <c r="Y545" s="137"/>
      <c r="Z545" s="789"/>
      <c r="AA545" s="785"/>
      <c r="AB545" s="785">
        <v>5298.95</v>
      </c>
      <c r="AC545" s="428">
        <v>0</v>
      </c>
      <c r="AD545" s="429">
        <v>0</v>
      </c>
      <c r="AE545" s="429">
        <v>0</v>
      </c>
      <c r="AF545" s="429">
        <v>0</v>
      </c>
      <c r="AG545" s="368">
        <v>0</v>
      </c>
      <c r="AH545" s="368">
        <v>0</v>
      </c>
      <c r="AI545" s="368">
        <v>0</v>
      </c>
      <c r="AJ545" s="368">
        <v>0</v>
      </c>
      <c r="AK545" s="368">
        <v>0</v>
      </c>
      <c r="AL545" s="367">
        <f t="shared" si="32"/>
        <v>5298.95</v>
      </c>
      <c r="AM545" s="362">
        <f>ERP_8[[#This Row],[2026 Working Total]]-ERP_8[[#This Row],[LE2 Final Submission]]</f>
        <v>0</v>
      </c>
      <c r="AN545" s="79">
        <v>0</v>
      </c>
      <c r="AO545" s="227">
        <f t="shared" si="33"/>
        <v>0</v>
      </c>
      <c r="AP545" s="374">
        <f>SUM(ERP_8[[#This Row],[AP01]:[AP07]])-SUM(ERP_8[[#This Row],[AP01 LE2]:[AP07 LE2]])</f>
        <v>0</v>
      </c>
      <c r="AQ545" s="80"/>
      <c r="AR545" s="79">
        <f>ERP_8[[#This Row],[2026 Working Total to Budget/LE]]-ERP_8[[#This Row],[Giveback]]</f>
        <v>0</v>
      </c>
      <c r="AS545" s="81"/>
      <c r="AT545" s="375"/>
      <c r="AU545" s="375"/>
      <c r="AV545" s="375">
        <v>5298.95</v>
      </c>
      <c r="AW545" s="375">
        <v>0</v>
      </c>
      <c r="AX545" s="375">
        <v>0</v>
      </c>
      <c r="AY545" s="375">
        <v>0</v>
      </c>
      <c r="AZ545" s="375">
        <v>0</v>
      </c>
      <c r="BA545" s="375">
        <v>0</v>
      </c>
      <c r="BB545" s="375">
        <v>0</v>
      </c>
      <c r="BC545" s="375">
        <v>0</v>
      </c>
      <c r="BD545" s="375">
        <v>0</v>
      </c>
      <c r="BE545" s="375">
        <v>0</v>
      </c>
      <c r="BF545" s="375">
        <v>5298.95</v>
      </c>
      <c r="BG545" s="227"/>
      <c r="BH545" s="227"/>
      <c r="BI545" s="227">
        <v>5298.95</v>
      </c>
      <c r="BJ545" s="227">
        <v>0</v>
      </c>
      <c r="BK545" s="227">
        <v>0</v>
      </c>
      <c r="BL545" s="227">
        <v>0</v>
      </c>
      <c r="BM545" s="227">
        <v>0</v>
      </c>
      <c r="BN545" s="227">
        <v>0</v>
      </c>
      <c r="BO545" s="227">
        <v>0</v>
      </c>
      <c r="BP545" s="227">
        <v>0</v>
      </c>
      <c r="BQ545" s="227">
        <v>0</v>
      </c>
      <c r="BR545" s="227">
        <v>0</v>
      </c>
      <c r="BS545" s="227">
        <v>5298.95</v>
      </c>
    </row>
    <row r="546" spans="1:71" ht="15" hidden="1" customHeight="1">
      <c r="A546" s="215" t="s">
        <v>2579</v>
      </c>
      <c r="B546" s="732" t="s">
        <v>2580</v>
      </c>
      <c r="C546" s="346"/>
      <c r="D546" s="343" t="str">
        <f>_xlfn.TEXTJOIN("_",FALSE,E546,ERP_8[[#This Row],[Expense Category]],ERP_8[[#This Row],[Project Code*]])</f>
        <v>Dougherty, Chris_SOFTWARE_IT-SFT1416-OG-US-00</v>
      </c>
      <c r="E546" s="343" t="s">
        <v>1135</v>
      </c>
      <c r="F546" s="346"/>
      <c r="G546" s="150" t="s">
        <v>1136</v>
      </c>
      <c r="H546" s="334" t="s">
        <v>1135</v>
      </c>
      <c r="I546" s="334" t="s">
        <v>1145</v>
      </c>
      <c r="J546" s="334" t="s">
        <v>1137</v>
      </c>
      <c r="K546" s="516" t="s">
        <v>639</v>
      </c>
      <c r="L546" s="857" t="s">
        <v>2581</v>
      </c>
      <c r="M546" s="343"/>
      <c r="N546" s="800"/>
      <c r="O546" s="219" t="s">
        <v>889</v>
      </c>
      <c r="P546" s="349"/>
      <c r="Q546" s="343"/>
      <c r="R546" s="349"/>
      <c r="S546" s="334" t="s">
        <v>25</v>
      </c>
      <c r="T546" s="354"/>
      <c r="U546" s="403"/>
      <c r="V546" s="406">
        <v>1190.6600000000001</v>
      </c>
      <c r="W546" s="406">
        <v>1190.6600000000001</v>
      </c>
      <c r="X546" s="425"/>
      <c r="Y546" s="71"/>
      <c r="Z546" s="789"/>
      <c r="AA546" s="785"/>
      <c r="AB546" s="785"/>
      <c r="AC546" s="428" t="s">
        <v>1142</v>
      </c>
      <c r="AD546" s="429">
        <v>0</v>
      </c>
      <c r="AE546" s="429">
        <v>0</v>
      </c>
      <c r="AF546" s="429" t="s">
        <v>1142</v>
      </c>
      <c r="AG546" s="368">
        <v>0</v>
      </c>
      <c r="AH546" s="368">
        <v>0</v>
      </c>
      <c r="AI546" s="368">
        <v>0</v>
      </c>
      <c r="AJ546" s="368">
        <v>0</v>
      </c>
      <c r="AK546" s="368">
        <v>0</v>
      </c>
      <c r="AL546" s="367">
        <f t="shared" si="32"/>
        <v>0</v>
      </c>
      <c r="AM546" s="362">
        <f>ERP_8[[#This Row],[2026 Working Total]]-ERP_8[[#This Row],[LE2 Final Submission]]</f>
        <v>-1190.6600000000001</v>
      </c>
      <c r="AN546" s="79">
        <v>0</v>
      </c>
      <c r="AO546" s="227">
        <f t="shared" si="33"/>
        <v>0</v>
      </c>
      <c r="AP546" s="374">
        <f>SUM(ERP_8[[#This Row],[AP01]:[AP07]])-SUM(ERP_8[[#This Row],[AP01 LE2]:[AP07 LE2]])</f>
        <v>-1190.6600000000001</v>
      </c>
      <c r="AQ546" s="80"/>
      <c r="AR546" s="79">
        <f>ERP_8[[#This Row],[2026 Working Total to Budget/LE]]-ERP_8[[#This Row],[Giveback]]</f>
        <v>-1190.6600000000001</v>
      </c>
      <c r="AS546" s="81"/>
      <c r="AT546" s="375"/>
      <c r="AU546" s="375"/>
      <c r="AV546" s="375"/>
      <c r="AW546" s="375"/>
      <c r="AX546" s="375"/>
      <c r="AY546" s="375">
        <v>1190.6600000000001</v>
      </c>
      <c r="AZ546" s="375">
        <v>0</v>
      </c>
      <c r="BA546" s="375">
        <v>0</v>
      </c>
      <c r="BB546" s="375">
        <v>0</v>
      </c>
      <c r="BC546" s="375">
        <v>0</v>
      </c>
      <c r="BD546" s="375">
        <v>0</v>
      </c>
      <c r="BE546" s="375">
        <v>0</v>
      </c>
      <c r="BF546" s="375">
        <v>1190.6600000000001</v>
      </c>
      <c r="BG546" s="227"/>
      <c r="BH546" s="227"/>
      <c r="BI546" s="227"/>
      <c r="BJ546" s="227"/>
      <c r="BK546" s="227"/>
      <c r="BL546" s="227">
        <v>1190.6600000000001</v>
      </c>
      <c r="BM546" s="227">
        <v>0</v>
      </c>
      <c r="BN546" s="227">
        <v>0</v>
      </c>
      <c r="BO546" s="227">
        <v>0</v>
      </c>
      <c r="BP546" s="227">
        <v>0</v>
      </c>
      <c r="BQ546" s="227">
        <v>0</v>
      </c>
      <c r="BR546" s="227">
        <v>0</v>
      </c>
      <c r="BS546" s="227">
        <v>1190.6600000000001</v>
      </c>
    </row>
    <row r="547" spans="1:71" ht="15" hidden="1" customHeight="1">
      <c r="A547" s="215" t="s">
        <v>2582</v>
      </c>
      <c r="B547" s="732" t="s">
        <v>2583</v>
      </c>
      <c r="C547" s="346"/>
      <c r="D547" s="343" t="str">
        <f>_xlfn.TEXTJOIN("_",FALSE,E547,ERP_8[[#This Row],[Expense Category]],ERP_8[[#This Row],[Project Code*]])</f>
        <v>Dougherty, Chris_SOFTWARE_IT-SFT1434-OG-US-00</v>
      </c>
      <c r="E547" s="343" t="s">
        <v>1135</v>
      </c>
      <c r="F547" s="346"/>
      <c r="G547" s="150" t="s">
        <v>1136</v>
      </c>
      <c r="H547" s="334" t="s">
        <v>1135</v>
      </c>
      <c r="I547" s="334" t="s">
        <v>1165</v>
      </c>
      <c r="J547" s="334" t="s">
        <v>1137</v>
      </c>
      <c r="K547" s="516" t="s">
        <v>639</v>
      </c>
      <c r="L547" s="398" t="s">
        <v>1952</v>
      </c>
      <c r="M547" s="343"/>
      <c r="N547" s="807"/>
      <c r="O547" s="219" t="s">
        <v>489</v>
      </c>
      <c r="P547" s="349" t="s">
        <v>1153</v>
      </c>
      <c r="Q547" s="343"/>
      <c r="R547" s="349"/>
      <c r="S547" s="334" t="s">
        <v>490</v>
      </c>
      <c r="T547" s="354"/>
      <c r="U547" s="403"/>
      <c r="V547" s="406">
        <v>23000</v>
      </c>
      <c r="W547" s="406">
        <v>21098.22</v>
      </c>
      <c r="X547" s="425"/>
      <c r="Y547" s="71"/>
      <c r="Z547" s="789"/>
      <c r="AA547" s="785"/>
      <c r="AB547" s="785">
        <v>21098.22</v>
      </c>
      <c r="AC547" s="428">
        <v>0</v>
      </c>
      <c r="AD547" s="429">
        <v>0</v>
      </c>
      <c r="AE547" s="429">
        <v>0</v>
      </c>
      <c r="AF547" s="429">
        <v>0</v>
      </c>
      <c r="AG547" s="368">
        <v>0</v>
      </c>
      <c r="AH547" s="368">
        <v>0</v>
      </c>
      <c r="AI547" s="368">
        <v>0</v>
      </c>
      <c r="AJ547" s="368">
        <v>0</v>
      </c>
      <c r="AK547" s="368">
        <v>0</v>
      </c>
      <c r="AL547" s="367">
        <f t="shared" si="32"/>
        <v>21098.22</v>
      </c>
      <c r="AM547" s="362">
        <f>ERP_8[[#This Row],[2026 Working Total]]-ERP_8[[#This Row],[LE2 Final Submission]]</f>
        <v>0</v>
      </c>
      <c r="AN547" s="79">
        <v>0</v>
      </c>
      <c r="AO547" s="227">
        <f t="shared" si="33"/>
        <v>0</v>
      </c>
      <c r="AP547" s="374">
        <f>SUM(ERP_8[[#This Row],[AP01]:[AP07]])-SUM(ERP_8[[#This Row],[AP01 LE2]:[AP07 LE2]])</f>
        <v>0</v>
      </c>
      <c r="AQ547" s="80"/>
      <c r="AR547" s="79">
        <f>ERP_8[[#This Row],[2026 Working Total to Budget/LE]]-ERP_8[[#This Row],[Giveback]]</f>
        <v>0</v>
      </c>
      <c r="AS547" s="81"/>
      <c r="AT547" s="375"/>
      <c r="AU547" s="375"/>
      <c r="AV547" s="375">
        <v>21098.22</v>
      </c>
      <c r="AW547" s="375">
        <v>0</v>
      </c>
      <c r="AX547" s="375">
        <v>0</v>
      </c>
      <c r="AY547" s="375">
        <v>0</v>
      </c>
      <c r="AZ547" s="375">
        <v>0</v>
      </c>
      <c r="BA547" s="375">
        <v>0</v>
      </c>
      <c r="BB547" s="375">
        <v>0</v>
      </c>
      <c r="BC547" s="375">
        <v>0</v>
      </c>
      <c r="BD547" s="375">
        <v>0</v>
      </c>
      <c r="BE547" s="375">
        <v>0</v>
      </c>
      <c r="BF547" s="375">
        <v>21098.22</v>
      </c>
      <c r="BG547" s="227"/>
      <c r="BH547" s="227"/>
      <c r="BI547" s="227">
        <v>21098.22</v>
      </c>
      <c r="BJ547" s="227">
        <v>21098.22</v>
      </c>
      <c r="BK547" s="227">
        <v>0</v>
      </c>
      <c r="BL547" s="227">
        <v>0</v>
      </c>
      <c r="BM547" s="227">
        <v>0</v>
      </c>
      <c r="BN547" s="227">
        <v>0</v>
      </c>
      <c r="BO547" s="227">
        <v>0</v>
      </c>
      <c r="BP547" s="227">
        <v>0</v>
      </c>
      <c r="BQ547" s="227">
        <v>0</v>
      </c>
      <c r="BR547" s="227">
        <v>0</v>
      </c>
      <c r="BS547" s="227">
        <v>42196.44</v>
      </c>
    </row>
    <row r="548" spans="1:71" ht="15" hidden="1" customHeight="1">
      <c r="A548" s="215" t="s">
        <v>2584</v>
      </c>
      <c r="B548" s="732" t="s">
        <v>2585</v>
      </c>
      <c r="C548" s="346"/>
      <c r="D548" s="343" t="str">
        <f>_xlfn.TEXTJOIN("_",FALSE,E548,ERP_8[[#This Row],[Expense Category]],ERP_8[[#This Row],[Project Code*]])</f>
        <v>Dougherty, Chris_SOFTWARE_IT-SFT1441-OG-US-00</v>
      </c>
      <c r="E548" s="343" t="s">
        <v>1135</v>
      </c>
      <c r="F548" s="346"/>
      <c r="G548" s="150" t="s">
        <v>1136</v>
      </c>
      <c r="H548" s="334" t="s">
        <v>1135</v>
      </c>
      <c r="I548" s="334" t="s">
        <v>1165</v>
      </c>
      <c r="J548" s="334" t="s">
        <v>1137</v>
      </c>
      <c r="K548" s="516" t="s">
        <v>639</v>
      </c>
      <c r="L548" s="398" t="s">
        <v>2586</v>
      </c>
      <c r="M548" s="343"/>
      <c r="N548" s="807"/>
      <c r="O548" s="219" t="s">
        <v>892</v>
      </c>
      <c r="P548" s="349"/>
      <c r="Q548" s="343"/>
      <c r="R548" s="349"/>
      <c r="S548" s="334" t="s">
        <v>490</v>
      </c>
      <c r="T548" s="354"/>
      <c r="U548" s="403"/>
      <c r="V548" s="406">
        <v>35569</v>
      </c>
      <c r="W548" s="406">
        <v>35569</v>
      </c>
      <c r="X548" s="425"/>
      <c r="Y548" s="71"/>
      <c r="Z548" s="789"/>
      <c r="AA548" s="785"/>
      <c r="AB548" s="785"/>
      <c r="AC548" s="428" t="s">
        <v>1142</v>
      </c>
      <c r="AD548" s="429">
        <v>0</v>
      </c>
      <c r="AE548" s="429">
        <v>0</v>
      </c>
      <c r="AF548" s="429" t="s">
        <v>1142</v>
      </c>
      <c r="AG548" s="371">
        <v>37347.410000000003</v>
      </c>
      <c r="AH548" s="368">
        <v>0</v>
      </c>
      <c r="AI548" s="368">
        <v>0</v>
      </c>
      <c r="AJ548" s="368">
        <v>0</v>
      </c>
      <c r="AK548" s="368">
        <v>0</v>
      </c>
      <c r="AL548" s="367">
        <f t="shared" si="32"/>
        <v>37347.410000000003</v>
      </c>
      <c r="AM548" s="362">
        <f>ERP_8[[#This Row],[2026 Working Total]]-ERP_8[[#This Row],[LE2 Final Submission]]</f>
        <v>1778.4100000000035</v>
      </c>
      <c r="AN548" s="227"/>
      <c r="AO548" s="227">
        <f t="shared" si="33"/>
        <v>0</v>
      </c>
      <c r="AP548" s="374">
        <f>SUM(ERP_8[[#This Row],[AP01]:[AP07]])-SUM(ERP_8[[#This Row],[AP01 LE2]:[AP07 LE2]])</f>
        <v>-35569</v>
      </c>
      <c r="AQ548" s="80"/>
      <c r="AR548" s="79">
        <f>ERP_8[[#This Row],[2026 Working Total to Budget/LE]]-ERP_8[[#This Row],[Giveback]]</f>
        <v>1778.4100000000035</v>
      </c>
      <c r="AS548" s="81"/>
      <c r="AT548" s="375"/>
      <c r="AU548" s="375"/>
      <c r="AV548" s="375"/>
      <c r="AW548" s="375"/>
      <c r="AX548" s="375"/>
      <c r="AY548" s="375">
        <v>35569</v>
      </c>
      <c r="AZ548" s="375">
        <v>0</v>
      </c>
      <c r="BA548" s="375">
        <v>0</v>
      </c>
      <c r="BB548" s="375">
        <v>0</v>
      </c>
      <c r="BC548" s="375">
        <v>0</v>
      </c>
      <c r="BD548" s="375">
        <v>0</v>
      </c>
      <c r="BE548" s="375">
        <v>0</v>
      </c>
      <c r="BF548" s="375">
        <v>35569</v>
      </c>
      <c r="BG548" s="227"/>
      <c r="BH548" s="227"/>
      <c r="BI548" s="227"/>
      <c r="BJ548" s="227"/>
      <c r="BK548" s="227"/>
      <c r="BL548" s="227">
        <v>35569</v>
      </c>
      <c r="BM548" s="227">
        <v>0</v>
      </c>
      <c r="BN548" s="227">
        <v>0</v>
      </c>
      <c r="BO548" s="227">
        <v>0</v>
      </c>
      <c r="BP548" s="227">
        <v>0</v>
      </c>
      <c r="BQ548" s="227">
        <v>0</v>
      </c>
      <c r="BR548" s="227">
        <v>0</v>
      </c>
      <c r="BS548" s="227">
        <v>35569</v>
      </c>
    </row>
    <row r="549" spans="1:71" ht="15" hidden="1" customHeight="1">
      <c r="A549" s="215" t="s">
        <v>2587</v>
      </c>
      <c r="B549" s="732" t="s">
        <v>893</v>
      </c>
      <c r="C549" s="346"/>
      <c r="D549" s="343" t="str">
        <f>_xlfn.TEXTJOIN("_",FALSE,E549,ERP_8[[#This Row],[Expense Category]],ERP_8[[#This Row],[Project Code*]])</f>
        <v>Dougherty, Chris_SOFTWARE_IT-SFT1445-OG-US-00</v>
      </c>
      <c r="E549" s="343" t="s">
        <v>1135</v>
      </c>
      <c r="F549" s="346"/>
      <c r="G549" s="150" t="s">
        <v>1136</v>
      </c>
      <c r="H549" s="334" t="s">
        <v>1135</v>
      </c>
      <c r="I549" s="334" t="s">
        <v>1135</v>
      </c>
      <c r="J549" s="334" t="s">
        <v>1137</v>
      </c>
      <c r="K549" s="516" t="s">
        <v>639</v>
      </c>
      <c r="L549" s="398" t="s">
        <v>2588</v>
      </c>
      <c r="M549" s="343"/>
      <c r="N549" s="807"/>
      <c r="O549" s="219" t="s">
        <v>894</v>
      </c>
      <c r="P549" s="349"/>
      <c r="Q549" s="343"/>
      <c r="R549" s="349"/>
      <c r="S549" s="334" t="s">
        <v>25</v>
      </c>
      <c r="T549" s="354"/>
      <c r="U549" s="403"/>
      <c r="V549" s="406">
        <v>30000</v>
      </c>
      <c r="W549" s="406">
        <v>30000</v>
      </c>
      <c r="X549" s="425"/>
      <c r="Y549" s="71"/>
      <c r="Z549" s="789"/>
      <c r="AA549" s="785"/>
      <c r="AB549" s="785"/>
      <c r="AC549" s="428" t="s">
        <v>1142</v>
      </c>
      <c r="AD549" s="429">
        <v>0</v>
      </c>
      <c r="AE549" s="429">
        <v>0</v>
      </c>
      <c r="AF549" s="429" t="s">
        <v>1142</v>
      </c>
      <c r="AG549" s="369">
        <v>30000</v>
      </c>
      <c r="AH549" s="368">
        <v>0</v>
      </c>
      <c r="AI549" s="368">
        <v>0</v>
      </c>
      <c r="AJ549" s="368">
        <v>0</v>
      </c>
      <c r="AK549" s="368">
        <v>0</v>
      </c>
      <c r="AL549" s="367">
        <f t="shared" si="32"/>
        <v>30000</v>
      </c>
      <c r="AM549" s="362">
        <f>ERP_8[[#This Row],[2026 Working Total]]-ERP_8[[#This Row],[LE2 Final Submission]]</f>
        <v>0</v>
      </c>
      <c r="AN549" s="227"/>
      <c r="AO549" s="227">
        <f t="shared" si="33"/>
        <v>0</v>
      </c>
      <c r="AP549" s="374">
        <f>SUM(ERP_8[[#This Row],[AP01]:[AP07]])-SUM(ERP_8[[#This Row],[AP01 LE2]:[AP07 LE2]])</f>
        <v>0</v>
      </c>
      <c r="AQ549" s="80"/>
      <c r="AR549" s="79">
        <f>ERP_8[[#This Row],[2026 Working Total to Budget/LE]]-ERP_8[[#This Row],[Giveback]]</f>
        <v>0</v>
      </c>
      <c r="AS549" s="81"/>
      <c r="AT549" s="375"/>
      <c r="AU549" s="375"/>
      <c r="AV549" s="375"/>
      <c r="AW549" s="375"/>
      <c r="AX549" s="375"/>
      <c r="AY549" s="375"/>
      <c r="AZ549" s="375"/>
      <c r="BA549" s="375">
        <v>30000</v>
      </c>
      <c r="BB549" s="375">
        <v>0</v>
      </c>
      <c r="BC549" s="375">
        <v>0</v>
      </c>
      <c r="BD549" s="375">
        <v>0</v>
      </c>
      <c r="BE549" s="375">
        <v>0</v>
      </c>
      <c r="BF549" s="375">
        <v>30000</v>
      </c>
      <c r="BG549" s="227"/>
      <c r="BH549" s="227"/>
      <c r="BI549" s="227"/>
      <c r="BJ549" s="227"/>
      <c r="BK549" s="227"/>
      <c r="BL549" s="227"/>
      <c r="BM549" s="227"/>
      <c r="BN549" s="227">
        <v>30000</v>
      </c>
      <c r="BO549" s="227">
        <v>0</v>
      </c>
      <c r="BP549" s="227">
        <v>0</v>
      </c>
      <c r="BQ549" s="227">
        <v>0</v>
      </c>
      <c r="BR549" s="227">
        <v>0</v>
      </c>
      <c r="BS549" s="227">
        <v>30000</v>
      </c>
    </row>
    <row r="550" spans="1:71" ht="15" hidden="1" customHeight="1">
      <c r="A550" s="227" t="s">
        <v>2589</v>
      </c>
      <c r="B550" s="745" t="s">
        <v>895</v>
      </c>
      <c r="C550" s="348"/>
      <c r="D550" s="347" t="str">
        <f>_xlfn.TEXTJOIN("_",FALSE,E550,ERP_8[[#This Row],[Expense Category]],ERP_8[[#This Row],[Project Code*]])</f>
        <v>Dougherty, Chris_SOFTWARE_IT-SFT1457-OG-US-00</v>
      </c>
      <c r="E550" s="347" t="s">
        <v>1135</v>
      </c>
      <c r="F550" s="348"/>
      <c r="G550" s="150" t="s">
        <v>1136</v>
      </c>
      <c r="H550" s="336" t="s">
        <v>1135</v>
      </c>
      <c r="I550" s="338" t="s">
        <v>1135</v>
      </c>
      <c r="J550" s="335" t="s">
        <v>1137</v>
      </c>
      <c r="K550" s="517" t="s">
        <v>639</v>
      </c>
      <c r="L550" s="399" t="s">
        <v>2590</v>
      </c>
      <c r="M550" s="343" t="s">
        <v>2484</v>
      </c>
      <c r="N550" s="865" t="s">
        <v>1171</v>
      </c>
      <c r="O550" s="235" t="s">
        <v>896</v>
      </c>
      <c r="P550" s="344"/>
      <c r="Q550" s="346" t="s">
        <v>2591</v>
      </c>
      <c r="R550" s="349" t="s">
        <v>1710</v>
      </c>
      <c r="S550" s="352" t="s">
        <v>863</v>
      </c>
      <c r="T550" s="355" t="s">
        <v>1779</v>
      </c>
      <c r="U550" s="437"/>
      <c r="V550" s="358">
        <v>169614.9</v>
      </c>
      <c r="W550" s="378">
        <v>0</v>
      </c>
      <c r="X550" s="425"/>
      <c r="Y550" s="71"/>
      <c r="Z550" s="790"/>
      <c r="AA550" s="786"/>
      <c r="AB550" s="786"/>
      <c r="AC550" s="428" t="s">
        <v>1142</v>
      </c>
      <c r="AD550" s="429">
        <v>0</v>
      </c>
      <c r="AE550" s="429">
        <v>0</v>
      </c>
      <c r="AF550" s="429" t="s">
        <v>1142</v>
      </c>
      <c r="AG550" s="370">
        <v>0</v>
      </c>
      <c r="AH550" s="370">
        <v>0</v>
      </c>
      <c r="AI550" s="370">
        <v>0</v>
      </c>
      <c r="AJ550" s="370">
        <v>0</v>
      </c>
      <c r="AK550" s="370">
        <v>0</v>
      </c>
      <c r="AL550" s="367">
        <f t="shared" si="32"/>
        <v>0</v>
      </c>
      <c r="AM550" s="362">
        <f>ERP_8[[#This Row],[2026 Working Total]]-ERP_8[[#This Row],[LE2 Final Submission]]</f>
        <v>0</v>
      </c>
      <c r="AN550" s="227">
        <v>0</v>
      </c>
      <c r="AO550" s="227">
        <f t="shared" si="33"/>
        <v>0</v>
      </c>
      <c r="AP550" s="374">
        <f>SUM(ERP_8[[#This Row],[AP01]:[AP07]])-SUM(ERP_8[[#This Row],[AP01 LE2]:[AP07 LE2]])</f>
        <v>0</v>
      </c>
      <c r="AQ550" s="80"/>
      <c r="AR550" s="79">
        <f>ERP_8[[#This Row],[2026 Working Total to Budget/LE]]-ERP_8[[#This Row],[Giveback]]</f>
        <v>0</v>
      </c>
      <c r="AS550" s="81"/>
      <c r="AT550" s="375"/>
      <c r="AU550" s="375"/>
      <c r="AV550" s="375"/>
      <c r="AW550" s="375">
        <v>0</v>
      </c>
      <c r="AX550" s="375">
        <v>0</v>
      </c>
      <c r="AY550" s="375">
        <v>0</v>
      </c>
      <c r="AZ550" s="375">
        <v>0</v>
      </c>
      <c r="BA550" s="375">
        <v>0</v>
      </c>
      <c r="BB550" s="375">
        <v>0</v>
      </c>
      <c r="BC550" s="375">
        <v>0</v>
      </c>
      <c r="BD550" s="375">
        <v>0</v>
      </c>
      <c r="BE550" s="375">
        <v>0</v>
      </c>
      <c r="BF550" s="375">
        <v>0</v>
      </c>
      <c r="BG550" s="246">
        <v>169614.9</v>
      </c>
      <c r="BH550" s="246">
        <v>0</v>
      </c>
      <c r="BI550" s="246">
        <v>0</v>
      </c>
      <c r="BJ550" s="246">
        <v>0</v>
      </c>
      <c r="BK550" s="246">
        <v>0</v>
      </c>
      <c r="BL550" s="246">
        <v>0</v>
      </c>
      <c r="BM550" s="246">
        <v>0</v>
      </c>
      <c r="BN550" s="246">
        <v>0</v>
      </c>
      <c r="BO550" s="246">
        <v>0</v>
      </c>
      <c r="BP550" s="246">
        <v>0</v>
      </c>
      <c r="BQ550" s="246">
        <v>0</v>
      </c>
      <c r="BR550" s="246">
        <v>0</v>
      </c>
      <c r="BS550" s="227">
        <f>SUM(ERP_8[[#This Row],[2026 AP01]:[2026 AP12]])</f>
        <v>169614.9</v>
      </c>
    </row>
    <row r="551" spans="1:71" ht="15" hidden="1" customHeight="1">
      <c r="A551" s="227" t="s">
        <v>2592</v>
      </c>
      <c r="B551" s="745" t="s">
        <v>897</v>
      </c>
      <c r="C551" s="348"/>
      <c r="D551" s="347" t="str">
        <f>_xlfn.TEXTJOIN("_",FALSE,E551,ERP_8[[#This Row],[Expense Category]],ERP_8[[#This Row],[Project Code*]])</f>
        <v>Dougherty, Chris_SOFTWARE_IT-SFT1457-OG-US-00/PF</v>
      </c>
      <c r="E551" s="347" t="s">
        <v>1135</v>
      </c>
      <c r="F551" s="348"/>
      <c r="G551" s="150" t="s">
        <v>1136</v>
      </c>
      <c r="H551" s="336" t="s">
        <v>1135</v>
      </c>
      <c r="I551" s="337" t="s">
        <v>1135</v>
      </c>
      <c r="J551" s="335" t="s">
        <v>1137</v>
      </c>
      <c r="K551" s="517" t="s">
        <v>639</v>
      </c>
      <c r="L551" s="397" t="s">
        <v>2593</v>
      </c>
      <c r="M551" s="343" t="s">
        <v>2484</v>
      </c>
      <c r="N551" s="865" t="s">
        <v>1171</v>
      </c>
      <c r="O551" s="253" t="s">
        <v>898</v>
      </c>
      <c r="P551" s="344"/>
      <c r="Q551" s="346" t="s">
        <v>2591</v>
      </c>
      <c r="R551" s="349" t="s">
        <v>1710</v>
      </c>
      <c r="S551" s="350" t="s">
        <v>863</v>
      </c>
      <c r="T551" s="355" t="s">
        <v>2499</v>
      </c>
      <c r="U551" s="437"/>
      <c r="V551" s="358">
        <v>-169614.9</v>
      </c>
      <c r="W551" s="378">
        <v>0</v>
      </c>
      <c r="X551" s="430"/>
      <c r="Y551" s="137"/>
      <c r="Z551" s="790"/>
      <c r="AA551" s="786"/>
      <c r="AB551" s="786"/>
      <c r="AC551" s="428" t="s">
        <v>1142</v>
      </c>
      <c r="AD551" s="429">
        <v>0</v>
      </c>
      <c r="AE551" s="429">
        <v>0</v>
      </c>
      <c r="AF551" s="429" t="s">
        <v>1142</v>
      </c>
      <c r="AG551" s="370">
        <v>0</v>
      </c>
      <c r="AH551" s="370">
        <v>0</v>
      </c>
      <c r="AI551" s="370">
        <v>0</v>
      </c>
      <c r="AJ551" s="370">
        <v>0</v>
      </c>
      <c r="AK551" s="370">
        <v>0</v>
      </c>
      <c r="AL551" s="367">
        <f t="shared" si="32"/>
        <v>0</v>
      </c>
      <c r="AM551" s="362">
        <f>ERP_8[[#This Row],[2026 Working Total]]-ERP_8[[#This Row],[LE2 Final Submission]]</f>
        <v>0</v>
      </c>
      <c r="AN551" s="79">
        <v>0</v>
      </c>
      <c r="AO551" s="227">
        <f t="shared" si="33"/>
        <v>0</v>
      </c>
      <c r="AP551" s="374">
        <f>SUM(ERP_8[[#This Row],[AP01]:[AP07]])-SUM(ERP_8[[#This Row],[AP01 LE2]:[AP07 LE2]])</f>
        <v>0</v>
      </c>
      <c r="AQ551" s="80"/>
      <c r="AR551" s="79">
        <f>ERP_8[[#This Row],[2026 Working Total to Budget/LE]]-ERP_8[[#This Row],[Giveback]]</f>
        <v>0</v>
      </c>
      <c r="AS551" s="81"/>
      <c r="AT551" s="375"/>
      <c r="AU551" s="375"/>
      <c r="AV551" s="375"/>
      <c r="AW551" s="375">
        <v>0</v>
      </c>
      <c r="AX551" s="375">
        <v>0</v>
      </c>
      <c r="AY551" s="375">
        <v>0</v>
      </c>
      <c r="AZ551" s="375">
        <v>0</v>
      </c>
      <c r="BA551" s="375">
        <v>0</v>
      </c>
      <c r="BB551" s="375">
        <v>0</v>
      </c>
      <c r="BC551" s="375">
        <v>0</v>
      </c>
      <c r="BD551" s="375">
        <v>0</v>
      </c>
      <c r="BE551" s="375">
        <v>0</v>
      </c>
      <c r="BF551" s="375">
        <v>0</v>
      </c>
      <c r="BG551" s="246">
        <v>-169614.9</v>
      </c>
      <c r="BH551" s="246">
        <v>0</v>
      </c>
      <c r="BI551" s="246">
        <v>0</v>
      </c>
      <c r="BJ551" s="246">
        <v>0</v>
      </c>
      <c r="BK551" s="246">
        <v>0</v>
      </c>
      <c r="BL551" s="246">
        <v>0</v>
      </c>
      <c r="BM551" s="246">
        <v>0</v>
      </c>
      <c r="BN551" s="246">
        <v>0</v>
      </c>
      <c r="BO551" s="246">
        <v>0</v>
      </c>
      <c r="BP551" s="246">
        <v>0</v>
      </c>
      <c r="BQ551" s="246">
        <v>0</v>
      </c>
      <c r="BR551" s="246">
        <v>0</v>
      </c>
      <c r="BS551" s="227">
        <f>SUM(ERP_8[[#This Row],[2026 AP01]:[2026 AP12]])</f>
        <v>-169614.9</v>
      </c>
    </row>
    <row r="552" spans="1:71" ht="15" hidden="1" customHeight="1">
      <c r="A552" s="215" t="s">
        <v>2594</v>
      </c>
      <c r="B552" s="732" t="s">
        <v>899</v>
      </c>
      <c r="C552" s="346"/>
      <c r="D552" s="343" t="str">
        <f>_xlfn.TEXTJOIN("_",FALSE,E552,ERP_8[[#This Row],[Expense Category]],ERP_8[[#This Row],[Project Code*]])</f>
        <v>Dougherty, Chris_SOFTWARE_MISC001</v>
      </c>
      <c r="E552" s="343" t="s">
        <v>1135</v>
      </c>
      <c r="F552" s="346"/>
      <c r="G552" s="150" t="s">
        <v>1136</v>
      </c>
      <c r="H552" s="334" t="s">
        <v>1135</v>
      </c>
      <c r="I552" s="334" t="s">
        <v>1135</v>
      </c>
      <c r="J552" s="334" t="s">
        <v>1137</v>
      </c>
      <c r="K552" s="516" t="s">
        <v>639</v>
      </c>
      <c r="L552" s="398" t="s">
        <v>1327</v>
      </c>
      <c r="M552" s="343"/>
      <c r="N552" s="807"/>
      <c r="O552" s="219" t="s">
        <v>147</v>
      </c>
      <c r="P552" s="349"/>
      <c r="Q552" s="343"/>
      <c r="R552" s="349"/>
      <c r="S552" s="334" t="s">
        <v>25</v>
      </c>
      <c r="T552" s="354"/>
      <c r="U552" s="403"/>
      <c r="V552" s="406">
        <v>0</v>
      </c>
      <c r="W552" s="406">
        <v>0.3</v>
      </c>
      <c r="X552" s="425"/>
      <c r="Y552" s="71"/>
      <c r="Z552" s="789">
        <v>0.32</v>
      </c>
      <c r="AA552" s="785">
        <v>-0.45</v>
      </c>
      <c r="AB552" s="785">
        <v>0.43</v>
      </c>
      <c r="AC552" s="428">
        <v>-0.34</v>
      </c>
      <c r="AD552" s="429">
        <v>30694.750000000004</v>
      </c>
      <c r="AE552" s="429">
        <v>0.96</v>
      </c>
      <c r="AF552" s="429">
        <v>5331.25</v>
      </c>
      <c r="AG552" s="368">
        <v>0</v>
      </c>
      <c r="AH552" s="368">
        <v>0</v>
      </c>
      <c r="AI552" s="368">
        <v>0</v>
      </c>
      <c r="AJ552" s="368">
        <v>0</v>
      </c>
      <c r="AK552" s="368">
        <v>0</v>
      </c>
      <c r="AL552" s="367">
        <f t="shared" si="32"/>
        <v>36026.92</v>
      </c>
      <c r="AM552" s="362">
        <f>ERP_8[[#This Row],[2026 Working Total]]-ERP_8[[#This Row],[LE2 Final Submission]]</f>
        <v>36026.619999999995</v>
      </c>
      <c r="AN552" s="227">
        <v>0</v>
      </c>
      <c r="AO552" s="227">
        <f t="shared" si="33"/>
        <v>0.96</v>
      </c>
      <c r="AP552" s="374">
        <f>SUM(ERP_8[[#This Row],[AP01]:[AP07]])-SUM(ERP_8[[#This Row],[AP01 LE2]:[AP07 LE2]])</f>
        <v>36026.619999999995</v>
      </c>
      <c r="AQ552" s="80"/>
      <c r="AR552" s="79">
        <f>ERP_8[[#This Row],[2026 Working Total to Budget/LE]]-ERP_8[[#This Row],[Giveback]]</f>
        <v>36026.619999999995</v>
      </c>
      <c r="AS552" s="81"/>
      <c r="AT552" s="375">
        <v>0.32</v>
      </c>
      <c r="AU552" s="375">
        <v>-0.45</v>
      </c>
      <c r="AV552" s="375">
        <v>0.43</v>
      </c>
      <c r="AW552" s="375">
        <v>0</v>
      </c>
      <c r="AX552" s="375">
        <v>0</v>
      </c>
      <c r="AY552" s="375">
        <v>0</v>
      </c>
      <c r="AZ552" s="375">
        <v>0</v>
      </c>
      <c r="BA552" s="375">
        <v>0</v>
      </c>
      <c r="BB552" s="375">
        <v>0</v>
      </c>
      <c r="BC552" s="375">
        <v>0</v>
      </c>
      <c r="BD552" s="375">
        <v>0</v>
      </c>
      <c r="BE552" s="375">
        <v>0</v>
      </c>
      <c r="BF552" s="375">
        <v>0.3</v>
      </c>
      <c r="BG552" s="227">
        <v>0.32</v>
      </c>
      <c r="BH552" s="227">
        <v>-0.45</v>
      </c>
      <c r="BI552" s="227">
        <v>0.43</v>
      </c>
      <c r="BJ552" s="227">
        <v>0</v>
      </c>
      <c r="BK552" s="227">
        <v>0</v>
      </c>
      <c r="BL552" s="227">
        <v>0</v>
      </c>
      <c r="BM552" s="227">
        <v>0</v>
      </c>
      <c r="BN552" s="227">
        <v>0</v>
      </c>
      <c r="BO552" s="227">
        <v>0</v>
      </c>
      <c r="BP552" s="227">
        <v>0</v>
      </c>
      <c r="BQ552" s="227">
        <v>0</v>
      </c>
      <c r="BR552" s="227">
        <v>0</v>
      </c>
      <c r="BS552" s="227">
        <v>0.3</v>
      </c>
    </row>
    <row r="553" spans="1:71" ht="15" hidden="1" customHeight="1">
      <c r="A553" s="215" t="s">
        <v>2595</v>
      </c>
      <c r="B553" s="732" t="s">
        <v>2596</v>
      </c>
      <c r="C553" s="346"/>
      <c r="D553" s="343" t="str">
        <f>_xlfn.TEXTJOIN("_",FALSE,E553,ERP_8[[#This Row],[Expense Category]],ERP_8[[#This Row],[Project Code*]])</f>
        <v>Dougherty, Chris_SOFTWARE_MISC001</v>
      </c>
      <c r="E553" s="343" t="s">
        <v>1135</v>
      </c>
      <c r="F553" s="346"/>
      <c r="G553" s="150" t="s">
        <v>1136</v>
      </c>
      <c r="H553" s="334" t="s">
        <v>1135</v>
      </c>
      <c r="I553" s="334" t="s">
        <v>1137</v>
      </c>
      <c r="J553" s="334" t="s">
        <v>1137</v>
      </c>
      <c r="K553" s="516" t="s">
        <v>639</v>
      </c>
      <c r="L553" s="398" t="s">
        <v>1327</v>
      </c>
      <c r="M553" s="343"/>
      <c r="N553" s="807"/>
      <c r="O553" s="219" t="s">
        <v>147</v>
      </c>
      <c r="P553" s="349"/>
      <c r="Q553" s="343"/>
      <c r="R553" s="349"/>
      <c r="S553" s="334" t="s">
        <v>25</v>
      </c>
      <c r="T553" s="525" t="s">
        <v>1141</v>
      </c>
      <c r="U553" s="403"/>
      <c r="V553" s="406">
        <v>0</v>
      </c>
      <c r="W553" s="406">
        <v>-1868.9199999999998</v>
      </c>
      <c r="X553" s="425"/>
      <c r="Y553" s="71"/>
      <c r="Z553" s="789">
        <v>0.19</v>
      </c>
      <c r="AA553" s="785">
        <v>-0.3</v>
      </c>
      <c r="AB553" s="785">
        <v>-1868.81</v>
      </c>
      <c r="AC553" s="428">
        <v>0</v>
      </c>
      <c r="AD553" s="429">
        <v>0</v>
      </c>
      <c r="AE553" s="429">
        <v>11.07</v>
      </c>
      <c r="AF553" s="429">
        <v>0</v>
      </c>
      <c r="AG553" s="368">
        <v>0</v>
      </c>
      <c r="AH553" s="368">
        <v>0</v>
      </c>
      <c r="AI553" s="368">
        <v>0</v>
      </c>
      <c r="AJ553" s="368">
        <v>0</v>
      </c>
      <c r="AK553" s="368">
        <v>0</v>
      </c>
      <c r="AL553" s="367">
        <f t="shared" si="32"/>
        <v>-1857.85</v>
      </c>
      <c r="AM553" s="362">
        <f>ERP_8[[#This Row],[2026 Working Total]]-ERP_8[[#This Row],[LE2 Final Submission]]</f>
        <v>11.069999999999936</v>
      </c>
      <c r="AN553" s="227">
        <v>0</v>
      </c>
      <c r="AO553" s="227">
        <f t="shared" si="33"/>
        <v>11.07</v>
      </c>
      <c r="AP553" s="374">
        <f>SUM(ERP_8[[#This Row],[AP01]:[AP07]])-SUM(ERP_8[[#This Row],[AP01 LE2]:[AP07 LE2]])</f>
        <v>11.069999999999936</v>
      </c>
      <c r="AQ553" s="80"/>
      <c r="AR553" s="79">
        <f>ERP_8[[#This Row],[2026 Working Total to Budget/LE]]-ERP_8[[#This Row],[Giveback]]</f>
        <v>11.069999999999936</v>
      </c>
      <c r="AS553" s="81"/>
      <c r="AT553" s="375">
        <v>0.19</v>
      </c>
      <c r="AU553" s="375">
        <v>-0.3</v>
      </c>
      <c r="AV553" s="375">
        <v>-1868.81</v>
      </c>
      <c r="AW553" s="375">
        <v>0</v>
      </c>
      <c r="AX553" s="375">
        <v>0</v>
      </c>
      <c r="AY553" s="375">
        <v>0</v>
      </c>
      <c r="AZ553" s="375">
        <v>0</v>
      </c>
      <c r="BA553" s="375">
        <v>0</v>
      </c>
      <c r="BB553" s="375">
        <v>0</v>
      </c>
      <c r="BC553" s="375">
        <v>0</v>
      </c>
      <c r="BD553" s="375">
        <v>0</v>
      </c>
      <c r="BE553" s="375">
        <v>0</v>
      </c>
      <c r="BF553" s="375">
        <v>-1868.9199999999998</v>
      </c>
      <c r="BG553" s="227">
        <v>0.19</v>
      </c>
      <c r="BH553" s="227">
        <v>-0.3</v>
      </c>
      <c r="BI553" s="227">
        <v>-1868.81</v>
      </c>
      <c r="BJ553" s="227">
        <v>0</v>
      </c>
      <c r="BK553" s="227">
        <v>0</v>
      </c>
      <c r="BL553" s="227">
        <v>0</v>
      </c>
      <c r="BM553" s="227">
        <v>0</v>
      </c>
      <c r="BN553" s="227">
        <v>0</v>
      </c>
      <c r="BO553" s="227">
        <v>0</v>
      </c>
      <c r="BP553" s="227">
        <v>0</v>
      </c>
      <c r="BQ553" s="227">
        <v>0</v>
      </c>
      <c r="BR553" s="227">
        <v>0</v>
      </c>
      <c r="BS553" s="227">
        <v>-1868.9199999999998</v>
      </c>
    </row>
    <row r="554" spans="1:71" ht="15" hidden="1" customHeight="1">
      <c r="A554" s="215" t="s">
        <v>2597</v>
      </c>
      <c r="B554" s="732" t="s">
        <v>2598</v>
      </c>
      <c r="C554" s="346"/>
      <c r="D554" s="343" t="str">
        <f>_xlfn.TEXTJOIN("_",FALSE,E554,ERP_8[[#This Row],[Expense Category]],ERP_8[[#This Row],[Project Code*]])</f>
        <v>Dougherty, Chris_SOFTWARE_MISC001</v>
      </c>
      <c r="E554" s="343" t="s">
        <v>1135</v>
      </c>
      <c r="F554" s="346"/>
      <c r="G554" s="150" t="s">
        <v>1136</v>
      </c>
      <c r="H554" s="334" t="s">
        <v>1135</v>
      </c>
      <c r="I554" s="334" t="s">
        <v>1145</v>
      </c>
      <c r="J554" s="334" t="s">
        <v>1137</v>
      </c>
      <c r="K554" s="516" t="s">
        <v>639</v>
      </c>
      <c r="L554" s="857" t="s">
        <v>1327</v>
      </c>
      <c r="M554" s="343"/>
      <c r="N554" s="807"/>
      <c r="O554" s="219" t="s">
        <v>147</v>
      </c>
      <c r="P554" s="349"/>
      <c r="Q554" s="343"/>
      <c r="R554" s="349"/>
      <c r="S554" s="334" t="s">
        <v>25</v>
      </c>
      <c r="T554" s="354"/>
      <c r="U554" s="403"/>
      <c r="V554" s="406">
        <v>0</v>
      </c>
      <c r="W554" s="406">
        <v>-0.26</v>
      </c>
      <c r="X554" s="425"/>
      <c r="Y554" s="71"/>
      <c r="Z554" s="789">
        <v>-0.15</v>
      </c>
      <c r="AA554" s="785">
        <v>0.31</v>
      </c>
      <c r="AB554" s="785">
        <v>-0.42</v>
      </c>
      <c r="AC554" s="428">
        <v>-8.9999999999918145E-2</v>
      </c>
      <c r="AD554" s="429">
        <v>0.44</v>
      </c>
      <c r="AE554" s="429">
        <v>-0.49</v>
      </c>
      <c r="AF554" s="429">
        <v>0</v>
      </c>
      <c r="AG554" s="368">
        <v>0</v>
      </c>
      <c r="AH554" s="368">
        <v>0</v>
      </c>
      <c r="AI554" s="368">
        <v>0</v>
      </c>
      <c r="AJ554" s="368">
        <v>0</v>
      </c>
      <c r="AK554" s="368">
        <v>0</v>
      </c>
      <c r="AL554" s="367">
        <f t="shared" si="32"/>
        <v>-0.39999999999991814</v>
      </c>
      <c r="AM554" s="362">
        <f>ERP_8[[#This Row],[2026 Working Total]]-ERP_8[[#This Row],[LE2 Final Submission]]</f>
        <v>-0.13999999999991813</v>
      </c>
      <c r="AN554" s="227">
        <v>0</v>
      </c>
      <c r="AO554" s="227">
        <f t="shared" si="33"/>
        <v>-0.49</v>
      </c>
      <c r="AP554" s="374">
        <f>SUM(ERP_8[[#This Row],[AP01]:[AP07]])-SUM(ERP_8[[#This Row],[AP01 LE2]:[AP07 LE2]])</f>
        <v>-0.13999999999991813</v>
      </c>
      <c r="AQ554" s="80"/>
      <c r="AR554" s="79">
        <f>ERP_8[[#This Row],[2026 Working Total to Budget/LE]]-ERP_8[[#This Row],[Giveback]]</f>
        <v>-0.13999999999991813</v>
      </c>
      <c r="AS554" s="81"/>
      <c r="AT554" s="375">
        <v>-0.15</v>
      </c>
      <c r="AU554" s="375">
        <v>0.31</v>
      </c>
      <c r="AV554" s="375">
        <v>-0.42</v>
      </c>
      <c r="AW554" s="375">
        <v>0</v>
      </c>
      <c r="AX554" s="375">
        <v>0</v>
      </c>
      <c r="AY554" s="375">
        <v>0</v>
      </c>
      <c r="AZ554" s="375">
        <v>0</v>
      </c>
      <c r="BA554" s="375">
        <v>0</v>
      </c>
      <c r="BB554" s="375">
        <v>0</v>
      </c>
      <c r="BC554" s="375">
        <v>0</v>
      </c>
      <c r="BD554" s="375">
        <v>0</v>
      </c>
      <c r="BE554" s="375">
        <v>0</v>
      </c>
      <c r="BF554" s="375">
        <v>-0.26</v>
      </c>
      <c r="BG554" s="227">
        <v>-0.15</v>
      </c>
      <c r="BH554" s="227">
        <v>0.31</v>
      </c>
      <c r="BI554" s="227">
        <v>-0.42</v>
      </c>
      <c r="BJ554" s="227">
        <v>0</v>
      </c>
      <c r="BK554" s="227">
        <v>0</v>
      </c>
      <c r="BL554" s="227">
        <v>0</v>
      </c>
      <c r="BM554" s="227">
        <v>0</v>
      </c>
      <c r="BN554" s="227">
        <v>0</v>
      </c>
      <c r="BO554" s="227">
        <v>0</v>
      </c>
      <c r="BP554" s="227">
        <v>0</v>
      </c>
      <c r="BQ554" s="227">
        <v>0</v>
      </c>
      <c r="BR554" s="227">
        <v>0</v>
      </c>
      <c r="BS554" s="227">
        <v>-0.26</v>
      </c>
    </row>
    <row r="555" spans="1:71" ht="15" hidden="1" customHeight="1">
      <c r="A555" s="215" t="s">
        <v>2599</v>
      </c>
      <c r="B555" s="732" t="s">
        <v>2600</v>
      </c>
      <c r="C555" s="346"/>
      <c r="D555" s="343" t="str">
        <f>_xlfn.TEXTJOIN("_",FALSE,E555,ERP_8[[#This Row],[Expense Category]],ERP_8[[#This Row],[Project Code*]])</f>
        <v>Dougherty, Chris_SOFTWARE_MISC001</v>
      </c>
      <c r="E555" s="343" t="s">
        <v>1135</v>
      </c>
      <c r="F555" s="346"/>
      <c r="G555" s="150" t="s">
        <v>1136</v>
      </c>
      <c r="H555" s="334" t="s">
        <v>1135</v>
      </c>
      <c r="I555" s="334" t="s">
        <v>1156</v>
      </c>
      <c r="J555" s="334" t="s">
        <v>1137</v>
      </c>
      <c r="K555" s="516" t="s">
        <v>639</v>
      </c>
      <c r="L555" s="398" t="s">
        <v>1327</v>
      </c>
      <c r="M555" s="343"/>
      <c r="N555" s="807"/>
      <c r="O555" s="219" t="s">
        <v>147</v>
      </c>
      <c r="P555" s="349"/>
      <c r="Q555" s="343"/>
      <c r="R555" s="349"/>
      <c r="S555" s="334" t="s">
        <v>25</v>
      </c>
      <c r="T555" s="354" t="s">
        <v>1334</v>
      </c>
      <c r="U555" s="403"/>
      <c r="V555" s="406">
        <v>0</v>
      </c>
      <c r="W555" s="406">
        <v>0.26</v>
      </c>
      <c r="X555" s="425"/>
      <c r="Y555" s="71"/>
      <c r="Z555" s="789"/>
      <c r="AA555" s="785"/>
      <c r="AB555" s="785">
        <v>0.26</v>
      </c>
      <c r="AC555" s="428">
        <v>0</v>
      </c>
      <c r="AD555" s="429">
        <v>0</v>
      </c>
      <c r="AE555" s="429">
        <v>0</v>
      </c>
      <c r="AF555" s="429">
        <v>0</v>
      </c>
      <c r="AG555" s="368">
        <v>0</v>
      </c>
      <c r="AH555" s="368">
        <v>0</v>
      </c>
      <c r="AI555" s="368">
        <v>0</v>
      </c>
      <c r="AJ555" s="368">
        <v>0</v>
      </c>
      <c r="AK555" s="368">
        <v>0</v>
      </c>
      <c r="AL555" s="367">
        <f t="shared" si="32"/>
        <v>0.26</v>
      </c>
      <c r="AM555" s="362">
        <f>ERP_8[[#This Row],[2026 Working Total]]-ERP_8[[#This Row],[LE2 Final Submission]]</f>
        <v>0</v>
      </c>
      <c r="AN555" s="227">
        <v>0</v>
      </c>
      <c r="AO555" s="227">
        <f t="shared" si="33"/>
        <v>0</v>
      </c>
      <c r="AP555" s="374">
        <f>SUM(ERP_8[[#This Row],[AP01]:[AP07]])-SUM(ERP_8[[#This Row],[AP01 LE2]:[AP07 LE2]])</f>
        <v>0</v>
      </c>
      <c r="AQ555" s="80"/>
      <c r="AR555" s="79">
        <f>ERP_8[[#This Row],[2026 Working Total to Budget/LE]]-ERP_8[[#This Row],[Giveback]]</f>
        <v>0</v>
      </c>
      <c r="AS555" s="81"/>
      <c r="AT555" s="375"/>
      <c r="AU555" s="375"/>
      <c r="AV555" s="375">
        <v>0.26</v>
      </c>
      <c r="AW555" s="375">
        <v>0</v>
      </c>
      <c r="AX555" s="375">
        <v>0</v>
      </c>
      <c r="AY555" s="375">
        <v>0</v>
      </c>
      <c r="AZ555" s="375">
        <v>0</v>
      </c>
      <c r="BA555" s="375">
        <v>0</v>
      </c>
      <c r="BB555" s="375">
        <v>0</v>
      </c>
      <c r="BC555" s="375">
        <v>0</v>
      </c>
      <c r="BD555" s="375">
        <v>0</v>
      </c>
      <c r="BE555" s="375">
        <v>0</v>
      </c>
      <c r="BF555" s="375">
        <v>0.26</v>
      </c>
      <c r="BG555" s="227"/>
      <c r="BH555" s="227"/>
      <c r="BI555" s="227">
        <v>0.26</v>
      </c>
      <c r="BJ555" s="227">
        <v>0</v>
      </c>
      <c r="BK555" s="227">
        <v>0</v>
      </c>
      <c r="BL555" s="227">
        <v>0</v>
      </c>
      <c r="BM555" s="227">
        <v>0</v>
      </c>
      <c r="BN555" s="227">
        <v>0</v>
      </c>
      <c r="BO555" s="227">
        <v>0</v>
      </c>
      <c r="BP555" s="227">
        <v>0</v>
      </c>
      <c r="BQ555" s="227">
        <v>0</v>
      </c>
      <c r="BR555" s="227">
        <v>0</v>
      </c>
      <c r="BS555" s="227">
        <v>0.26</v>
      </c>
    </row>
    <row r="556" spans="1:71" ht="15" hidden="1" customHeight="1">
      <c r="A556" s="215" t="s">
        <v>2601</v>
      </c>
      <c r="B556" s="732" t="s">
        <v>2602</v>
      </c>
      <c r="C556" s="346"/>
      <c r="D556" s="343" t="str">
        <f>_xlfn.TEXTJOIN("_",FALSE,E556,ERP_8[[#This Row],[Expense Category]],ERP_8[[#This Row],[Project Code*]])</f>
        <v>Dougherty, Chris_SOFTWARE_MISC001</v>
      </c>
      <c r="E556" s="343" t="s">
        <v>1135</v>
      </c>
      <c r="F556" s="346"/>
      <c r="G556" s="150" t="s">
        <v>1136</v>
      </c>
      <c r="H556" s="334" t="s">
        <v>1135</v>
      </c>
      <c r="I556" s="334" t="s">
        <v>1161</v>
      </c>
      <c r="J556" s="334" t="s">
        <v>1137</v>
      </c>
      <c r="K556" s="516" t="s">
        <v>639</v>
      </c>
      <c r="L556" s="398" t="s">
        <v>1327</v>
      </c>
      <c r="M556" s="343"/>
      <c r="N556" s="807"/>
      <c r="O556" s="219" t="s">
        <v>147</v>
      </c>
      <c r="P556" s="349"/>
      <c r="Q556" s="343"/>
      <c r="R556" s="349"/>
      <c r="S556" s="334" t="s">
        <v>25</v>
      </c>
      <c r="T556" s="354"/>
      <c r="U556" s="403"/>
      <c r="V556" s="406">
        <v>0</v>
      </c>
      <c r="W556" s="406">
        <v>0.13</v>
      </c>
      <c r="X556" s="425"/>
      <c r="Y556" s="425"/>
      <c r="Z556" s="789"/>
      <c r="AA556" s="785"/>
      <c r="AB556" s="785">
        <v>0.13</v>
      </c>
      <c r="AC556" s="428">
        <v>0</v>
      </c>
      <c r="AD556" s="429">
        <v>0</v>
      </c>
      <c r="AE556" s="429">
        <v>0.13</v>
      </c>
      <c r="AF556" s="429">
        <v>0</v>
      </c>
      <c r="AG556" s="368">
        <v>0</v>
      </c>
      <c r="AH556" s="368">
        <v>0</v>
      </c>
      <c r="AI556" s="368">
        <v>0</v>
      </c>
      <c r="AJ556" s="368">
        <v>0</v>
      </c>
      <c r="AK556" s="368">
        <v>0</v>
      </c>
      <c r="AL556" s="367">
        <f t="shared" si="32"/>
        <v>0.26</v>
      </c>
      <c r="AM556" s="362">
        <f>ERP_8[[#This Row],[2026 Working Total]]-ERP_8[[#This Row],[LE2 Final Submission]]</f>
        <v>0.13</v>
      </c>
      <c r="AN556" s="227">
        <v>0</v>
      </c>
      <c r="AO556" s="227">
        <f t="shared" si="33"/>
        <v>0.13</v>
      </c>
      <c r="AP556" s="374">
        <f>SUM(ERP_8[[#This Row],[AP01]:[AP07]])-SUM(ERP_8[[#This Row],[AP01 LE2]:[AP07 LE2]])</f>
        <v>0.13</v>
      </c>
      <c r="AQ556" s="80"/>
      <c r="AR556" s="79">
        <f>ERP_8[[#This Row],[2026 Working Total to Budget/LE]]-ERP_8[[#This Row],[Giveback]]</f>
        <v>0.13</v>
      </c>
      <c r="AS556" s="81"/>
      <c r="AT556" s="375"/>
      <c r="AU556" s="375"/>
      <c r="AV556" s="375">
        <v>0.13</v>
      </c>
      <c r="AW556" s="375">
        <v>0</v>
      </c>
      <c r="AX556" s="375">
        <v>0</v>
      </c>
      <c r="AY556" s="375">
        <v>0</v>
      </c>
      <c r="AZ556" s="375">
        <v>0</v>
      </c>
      <c r="BA556" s="375">
        <v>0</v>
      </c>
      <c r="BB556" s="375">
        <v>0</v>
      </c>
      <c r="BC556" s="375">
        <v>0</v>
      </c>
      <c r="BD556" s="375">
        <v>0</v>
      </c>
      <c r="BE556" s="375">
        <v>0</v>
      </c>
      <c r="BF556" s="375">
        <v>0.13</v>
      </c>
      <c r="BG556" s="227"/>
      <c r="BH556" s="227"/>
      <c r="BI556" s="227">
        <v>0.13</v>
      </c>
      <c r="BJ556" s="227">
        <v>0</v>
      </c>
      <c r="BK556" s="227">
        <v>0</v>
      </c>
      <c r="BL556" s="227">
        <v>0</v>
      </c>
      <c r="BM556" s="227">
        <v>0</v>
      </c>
      <c r="BN556" s="227">
        <v>0</v>
      </c>
      <c r="BO556" s="227">
        <v>0</v>
      </c>
      <c r="BP556" s="227">
        <v>0</v>
      </c>
      <c r="BQ556" s="227">
        <v>0</v>
      </c>
      <c r="BR556" s="227">
        <v>0</v>
      </c>
      <c r="BS556" s="227">
        <v>0.13</v>
      </c>
    </row>
    <row r="557" spans="1:71" ht="15" hidden="1" customHeight="1">
      <c r="A557" s="215" t="s">
        <v>2603</v>
      </c>
      <c r="B557" s="732" t="s">
        <v>2604</v>
      </c>
      <c r="C557" s="346"/>
      <c r="D557" s="343" t="str">
        <f>_xlfn.TEXTJOIN("_",FALSE,E557,ERP_8[[#This Row],[Expense Category]],ERP_8[[#This Row],[Project Code*]])</f>
        <v>Dougherty, Chris_SOFTWARE_MISC001</v>
      </c>
      <c r="E557" s="343" t="s">
        <v>1135</v>
      </c>
      <c r="F557" s="346"/>
      <c r="G557" s="150" t="s">
        <v>1136</v>
      </c>
      <c r="H557" s="334" t="s">
        <v>1135</v>
      </c>
      <c r="I557" s="334" t="s">
        <v>1165</v>
      </c>
      <c r="J557" s="334" t="s">
        <v>1137</v>
      </c>
      <c r="K557" s="516" t="s">
        <v>639</v>
      </c>
      <c r="L557" s="398" t="s">
        <v>1327</v>
      </c>
      <c r="M557" s="343"/>
      <c r="N557" s="807"/>
      <c r="O557" s="219" t="s">
        <v>147</v>
      </c>
      <c r="P557" s="349"/>
      <c r="Q557" s="343"/>
      <c r="R557" s="349"/>
      <c r="S557" s="334" t="s">
        <v>25</v>
      </c>
      <c r="T557" s="582" t="s">
        <v>1338</v>
      </c>
      <c r="U557" s="403"/>
      <c r="V557" s="406">
        <v>0</v>
      </c>
      <c r="W557" s="406">
        <v>0.19999999999999996</v>
      </c>
      <c r="X557" s="425"/>
      <c r="Y557" s="425"/>
      <c r="Z557" s="789">
        <v>-0.34</v>
      </c>
      <c r="AA557" s="785">
        <v>-0.09</v>
      </c>
      <c r="AB557" s="785">
        <v>0.63</v>
      </c>
      <c r="AC557" s="428">
        <v>-0.98</v>
      </c>
      <c r="AD557" s="429">
        <v>0.75</v>
      </c>
      <c r="AE557" s="429">
        <v>0</v>
      </c>
      <c r="AF557" s="429">
        <v>0</v>
      </c>
      <c r="AG557" s="368">
        <v>0</v>
      </c>
      <c r="AH557" s="368">
        <v>0</v>
      </c>
      <c r="AI557" s="368">
        <v>0</v>
      </c>
      <c r="AJ557" s="368">
        <v>0</v>
      </c>
      <c r="AK557" s="368">
        <v>0</v>
      </c>
      <c r="AL557" s="367">
        <f t="shared" si="32"/>
        <v>-3.0000000000000027E-2</v>
      </c>
      <c r="AM557" s="362">
        <f>ERP_8[[#This Row],[2026 Working Total]]-ERP_8[[#This Row],[LE2 Final Submission]]</f>
        <v>-0.22999999999999998</v>
      </c>
      <c r="AN557" s="227">
        <v>0</v>
      </c>
      <c r="AO557" s="227">
        <f t="shared" si="33"/>
        <v>0</v>
      </c>
      <c r="AP557" s="374">
        <f>SUM(ERP_8[[#This Row],[AP01]:[AP07]])-SUM(ERP_8[[#This Row],[AP01 LE2]:[AP07 LE2]])</f>
        <v>-0.22999999999999998</v>
      </c>
      <c r="AQ557" s="80"/>
      <c r="AR557" s="79">
        <f>ERP_8[[#This Row],[2026 Working Total to Budget/LE]]-ERP_8[[#This Row],[Giveback]]</f>
        <v>-0.22999999999999998</v>
      </c>
      <c r="AS557" s="81"/>
      <c r="AT557" s="375">
        <v>-0.34</v>
      </c>
      <c r="AU557" s="375">
        <v>-0.09</v>
      </c>
      <c r="AV557" s="375">
        <v>0.63</v>
      </c>
      <c r="AW557" s="375">
        <v>0</v>
      </c>
      <c r="AX557" s="375">
        <v>0</v>
      </c>
      <c r="AY557" s="375">
        <v>0</v>
      </c>
      <c r="AZ557" s="375">
        <v>0</v>
      </c>
      <c r="BA557" s="375">
        <v>0</v>
      </c>
      <c r="BB557" s="375">
        <v>0</v>
      </c>
      <c r="BC557" s="375">
        <v>0</v>
      </c>
      <c r="BD557" s="375">
        <v>0</v>
      </c>
      <c r="BE557" s="375">
        <v>0</v>
      </c>
      <c r="BF557" s="375">
        <v>0.19999999999999996</v>
      </c>
      <c r="BG557" s="227">
        <v>-0.34</v>
      </c>
      <c r="BH557" s="227">
        <v>-0.09</v>
      </c>
      <c r="BI557" s="227">
        <v>0.63</v>
      </c>
      <c r="BJ557" s="227">
        <v>0</v>
      </c>
      <c r="BK557" s="227">
        <v>0</v>
      </c>
      <c r="BL557" s="227">
        <v>0</v>
      </c>
      <c r="BM557" s="227">
        <v>0</v>
      </c>
      <c r="BN557" s="227">
        <v>0</v>
      </c>
      <c r="BO557" s="227">
        <v>0</v>
      </c>
      <c r="BP557" s="227">
        <v>0</v>
      </c>
      <c r="BQ557" s="227">
        <v>0</v>
      </c>
      <c r="BR557" s="227">
        <v>0</v>
      </c>
      <c r="BS557" s="227">
        <v>0.19999999999999996</v>
      </c>
    </row>
    <row r="558" spans="1:71" ht="15" hidden="1" customHeight="1">
      <c r="A558" s="215" t="s">
        <v>2605</v>
      </c>
      <c r="B558" s="732" t="s">
        <v>901</v>
      </c>
      <c r="C558" s="346"/>
      <c r="D558" s="343" t="str">
        <f>_xlfn.TEXTJOIN("_",FALSE,E558,ERP_8[[#This Row],[Expense Category]],ERP_8[[#This Row],[Project Code*]])</f>
        <v>Ganesan, Srinivasan_SOFTWARE_ColleagueSolutions001</v>
      </c>
      <c r="E558" s="343" t="s">
        <v>1344</v>
      </c>
      <c r="F558" s="346"/>
      <c r="G558" s="150" t="s">
        <v>1136</v>
      </c>
      <c r="H558" s="334" t="s">
        <v>1345</v>
      </c>
      <c r="I558" s="334" t="s">
        <v>1344</v>
      </c>
      <c r="J558" s="334" t="s">
        <v>1346</v>
      </c>
      <c r="K558" s="516" t="s">
        <v>639</v>
      </c>
      <c r="L558" s="398" t="s">
        <v>1138</v>
      </c>
      <c r="M558" s="343"/>
      <c r="N558" s="807"/>
      <c r="O558" s="219" t="s">
        <v>51</v>
      </c>
      <c r="P558" s="349" t="s">
        <v>1139</v>
      </c>
      <c r="Q558" s="346" t="s">
        <v>1140</v>
      </c>
      <c r="R558" s="349"/>
      <c r="S558" s="334" t="s">
        <v>25</v>
      </c>
      <c r="T558" s="354"/>
      <c r="U558" s="403"/>
      <c r="V558" s="406">
        <v>0</v>
      </c>
      <c r="W558" s="406">
        <v>2288.52</v>
      </c>
      <c r="X558" s="425"/>
      <c r="Y558" s="425"/>
      <c r="Z558" s="789"/>
      <c r="AA558" s="785">
        <v>2188.1999999999998</v>
      </c>
      <c r="AB558" s="785">
        <v>100.32</v>
      </c>
      <c r="AC558" s="428">
        <v>0</v>
      </c>
      <c r="AD558" s="429">
        <v>0</v>
      </c>
      <c r="AE558" s="429">
        <v>0</v>
      </c>
      <c r="AF558" s="429">
        <v>0</v>
      </c>
      <c r="AG558" s="368">
        <v>0</v>
      </c>
      <c r="AH558" s="368">
        <v>0</v>
      </c>
      <c r="AI558" s="368">
        <v>0</v>
      </c>
      <c r="AJ558" s="368">
        <v>0</v>
      </c>
      <c r="AK558" s="360">
        <v>0</v>
      </c>
      <c r="AL558" s="367">
        <f t="shared" si="32"/>
        <v>2288.52</v>
      </c>
      <c r="AM558" s="362">
        <f>ERP_8[[#This Row],[2026 Working Total]]-ERP_8[[#This Row],[LE2 Final Submission]]</f>
        <v>0</v>
      </c>
      <c r="AN558" s="227">
        <v>0</v>
      </c>
      <c r="AO558" s="227">
        <f t="shared" si="33"/>
        <v>0</v>
      </c>
      <c r="AP558" s="374">
        <f>SUM(ERP_8[[#This Row],[AP01]:[AP07]])-SUM(ERP_8[[#This Row],[AP01 LE2]:[AP07 LE2]])</f>
        <v>0</v>
      </c>
      <c r="AQ558" s="80"/>
      <c r="AR558" s="79">
        <f>ERP_8[[#This Row],[2026 Working Total to Budget/LE]]-ERP_8[[#This Row],[Giveback]]</f>
        <v>0</v>
      </c>
      <c r="AS558" s="81"/>
      <c r="AT558" s="375"/>
      <c r="AU558" s="375">
        <v>2188.1999999999998</v>
      </c>
      <c r="AV558" s="375">
        <v>100.32</v>
      </c>
      <c r="AW558" s="375">
        <v>0</v>
      </c>
      <c r="AX558" s="375">
        <v>0</v>
      </c>
      <c r="AY558" s="375">
        <v>0</v>
      </c>
      <c r="AZ558" s="375">
        <v>0</v>
      </c>
      <c r="BA558" s="375">
        <v>0</v>
      </c>
      <c r="BB558" s="375">
        <v>0</v>
      </c>
      <c r="BC558" s="375">
        <v>0</v>
      </c>
      <c r="BD558" s="375">
        <v>0</v>
      </c>
      <c r="BE558" s="375">
        <v>0</v>
      </c>
      <c r="BF558" s="375">
        <v>2288.52</v>
      </c>
      <c r="BG558" s="227"/>
      <c r="BH558" s="227">
        <v>2188.1999999999998</v>
      </c>
      <c r="BI558" s="227">
        <v>100.32</v>
      </c>
      <c r="BJ558" s="227">
        <v>0</v>
      </c>
      <c r="BK558" s="227">
        <v>0</v>
      </c>
      <c r="BL558" s="227">
        <v>0</v>
      </c>
      <c r="BM558" s="227">
        <v>0</v>
      </c>
      <c r="BN558" s="227">
        <v>0</v>
      </c>
      <c r="BO558" s="227">
        <v>0</v>
      </c>
      <c r="BP558" s="227">
        <v>0</v>
      </c>
      <c r="BQ558" s="227">
        <v>0</v>
      </c>
      <c r="BR558" s="227">
        <v>0</v>
      </c>
      <c r="BS558" s="227">
        <v>2288.52</v>
      </c>
    </row>
    <row r="559" spans="1:71" ht="15" hidden="1" customHeight="1">
      <c r="A559" s="334" t="s">
        <v>2606</v>
      </c>
      <c r="B559" s="745" t="s">
        <v>902</v>
      </c>
      <c r="C559" s="348"/>
      <c r="D559" s="347" t="str">
        <f>_xlfn.TEXTJOIN("_",FALSE,E559,ERP_8[[#This Row],[Expense Category]],ERP_8[[#This Row],[Project Code*]])</f>
        <v>Ganesan, Srinivasan_SOFTWARE_EnhanceChargeout001</v>
      </c>
      <c r="E559" s="347" t="s">
        <v>1344</v>
      </c>
      <c r="F559" s="348"/>
      <c r="G559" s="150" t="s">
        <v>1136</v>
      </c>
      <c r="H559" s="334" t="s">
        <v>1345</v>
      </c>
      <c r="I559" s="336" t="s">
        <v>1344</v>
      </c>
      <c r="J559" s="335" t="s">
        <v>1346</v>
      </c>
      <c r="K559" s="518" t="s">
        <v>639</v>
      </c>
      <c r="L559" s="397" t="s">
        <v>2607</v>
      </c>
      <c r="M559" s="333"/>
      <c r="N559" s="809" t="s">
        <v>1358</v>
      </c>
      <c r="O559" s="237" t="s">
        <v>53</v>
      </c>
      <c r="P559" s="351"/>
      <c r="Q559" s="347"/>
      <c r="R559" s="353"/>
      <c r="S559" s="353"/>
      <c r="T559" s="452"/>
      <c r="U559" s="402"/>
      <c r="V559" s="406"/>
      <c r="W559" s="406"/>
      <c r="X559" s="425"/>
      <c r="Y559" s="71"/>
      <c r="Z559" s="789"/>
      <c r="AA559" s="785"/>
      <c r="AB559" s="785"/>
      <c r="AC559" s="429">
        <v>90</v>
      </c>
      <c r="AD559" s="429">
        <v>0</v>
      </c>
      <c r="AE559" s="429">
        <v>0</v>
      </c>
      <c r="AF559" s="429">
        <v>103.5</v>
      </c>
      <c r="AG559" s="371"/>
      <c r="AH559" s="371"/>
      <c r="AI559" s="371"/>
      <c r="AJ559" s="371"/>
      <c r="AK559" s="371"/>
      <c r="AL559" s="367">
        <f t="shared" si="32"/>
        <v>193.5</v>
      </c>
      <c r="AM559" s="362">
        <f>ERP_8[[#This Row],[2026 Working Total]]-ERP_8[[#This Row],[LE2 Final Submission]]</f>
        <v>193.5</v>
      </c>
      <c r="AN559" s="227">
        <v>0</v>
      </c>
      <c r="AO559" s="227">
        <f t="shared" si="33"/>
        <v>0</v>
      </c>
      <c r="AP559" s="374">
        <f>SUM(ERP_8[[#This Row],[AP01]:[AP07]])-SUM(ERP_8[[#This Row],[AP01 LE2]:[AP07 LE2]])</f>
        <v>193.5</v>
      </c>
      <c r="AQ559" s="80"/>
      <c r="AR559" s="79">
        <f>ERP_8[[#This Row],[2026 Working Total to Budget/LE]]-ERP_8[[#This Row],[Giveback]]</f>
        <v>193.5</v>
      </c>
      <c r="AS559" s="81"/>
      <c r="AT559" s="375"/>
      <c r="AU559" s="375"/>
      <c r="AV559" s="375"/>
      <c r="AW559" s="375"/>
      <c r="AX559" s="375"/>
      <c r="AY559" s="375"/>
      <c r="AZ559" s="375"/>
      <c r="BA559" s="375"/>
      <c r="BB559" s="375"/>
      <c r="BC559" s="375"/>
      <c r="BD559" s="375"/>
      <c r="BE559" s="375"/>
      <c r="BF559" s="375"/>
      <c r="BG559" s="227"/>
      <c r="BH559" s="227"/>
      <c r="BI559" s="227"/>
      <c r="BJ559" s="227"/>
      <c r="BK559" s="227"/>
      <c r="BL559" s="227"/>
      <c r="BM559" s="227"/>
      <c r="BN559" s="227"/>
      <c r="BO559" s="227"/>
      <c r="BP559" s="227"/>
      <c r="BQ559" s="227"/>
      <c r="BR559" s="227"/>
      <c r="BS559" s="227"/>
    </row>
    <row r="560" spans="1:71" ht="15" hidden="1" customHeight="1">
      <c r="A560" s="215" t="s">
        <v>2608</v>
      </c>
      <c r="B560" s="732" t="s">
        <v>903</v>
      </c>
      <c r="C560" s="346"/>
      <c r="D560" s="343" t="str">
        <f>_xlfn.TEXTJOIN("_",FALSE,E560,ERP_8[[#This Row],[Expense Category]],ERP_8[[#This Row],[Project Code*]])</f>
        <v>Ganesan, Srinivasan_SOFTWARE_EP&amp;SCharges001</v>
      </c>
      <c r="E560" s="343" t="s">
        <v>1344</v>
      </c>
      <c r="F560" s="346"/>
      <c r="G560" s="150" t="s">
        <v>1136</v>
      </c>
      <c r="H560" s="334" t="s">
        <v>1345</v>
      </c>
      <c r="I560" s="334" t="s">
        <v>1344</v>
      </c>
      <c r="J560" s="334" t="s">
        <v>1346</v>
      </c>
      <c r="K560" s="516" t="s">
        <v>639</v>
      </c>
      <c r="L560" s="398" t="s">
        <v>1174</v>
      </c>
      <c r="M560" s="343"/>
      <c r="N560" s="807"/>
      <c r="O560" s="219" t="s">
        <v>56</v>
      </c>
      <c r="P560" s="349"/>
      <c r="Q560" s="346" t="s">
        <v>1140</v>
      </c>
      <c r="R560" s="349"/>
      <c r="S560" s="334" t="s">
        <v>57</v>
      </c>
      <c r="T560" s="354"/>
      <c r="U560" s="403"/>
      <c r="V560" s="406">
        <v>4200</v>
      </c>
      <c r="W560" s="406">
        <v>3888.09</v>
      </c>
      <c r="X560" s="425"/>
      <c r="Y560" s="71"/>
      <c r="Z560" s="789">
        <v>251.53</v>
      </c>
      <c r="AA560" s="785">
        <v>246.74</v>
      </c>
      <c r="AB560" s="785">
        <v>239.82</v>
      </c>
      <c r="AC560" s="428">
        <v>236.11</v>
      </c>
      <c r="AD560" s="429">
        <v>0</v>
      </c>
      <c r="AE560" s="429">
        <v>0</v>
      </c>
      <c r="AF560" s="429">
        <v>237.54</v>
      </c>
      <c r="AG560" s="369">
        <v>350</v>
      </c>
      <c r="AH560" s="369">
        <v>350</v>
      </c>
      <c r="AI560" s="369">
        <v>350</v>
      </c>
      <c r="AJ560" s="369">
        <v>350</v>
      </c>
      <c r="AK560" s="369">
        <v>350</v>
      </c>
      <c r="AL560" s="367">
        <f t="shared" si="32"/>
        <v>2961.74</v>
      </c>
      <c r="AM560" s="362">
        <f>ERP_8[[#This Row],[2026 Working Total]]-ERP_8[[#This Row],[LE2 Final Submission]]</f>
        <v>-926.35000000000036</v>
      </c>
      <c r="AN560" s="79">
        <v>0</v>
      </c>
      <c r="AO560" s="227">
        <f t="shared" si="33"/>
        <v>0</v>
      </c>
      <c r="AP560" s="374">
        <f>SUM(ERP_8[[#This Row],[AP01]:[AP07]])-SUM(ERP_8[[#This Row],[AP01 LE2]:[AP07 LE2]])</f>
        <v>-926.35000000000014</v>
      </c>
      <c r="AQ560" s="80"/>
      <c r="AR560" s="79">
        <f>ERP_8[[#This Row],[2026 Working Total to Budget/LE]]-ERP_8[[#This Row],[Giveback]]</f>
        <v>-926.35000000000036</v>
      </c>
      <c r="AS560" s="81"/>
      <c r="AT560" s="375">
        <v>251.53</v>
      </c>
      <c r="AU560" s="375">
        <v>246.74</v>
      </c>
      <c r="AV560" s="375">
        <v>239.82</v>
      </c>
      <c r="AW560" s="375">
        <v>350</v>
      </c>
      <c r="AX560" s="375">
        <v>350</v>
      </c>
      <c r="AY560" s="375">
        <v>350</v>
      </c>
      <c r="AZ560" s="375">
        <v>350</v>
      </c>
      <c r="BA560" s="375">
        <v>350</v>
      </c>
      <c r="BB560" s="375">
        <v>350</v>
      </c>
      <c r="BC560" s="375">
        <v>350</v>
      </c>
      <c r="BD560" s="375">
        <v>350</v>
      </c>
      <c r="BE560" s="375">
        <v>350</v>
      </c>
      <c r="BF560" s="375">
        <v>3888.09</v>
      </c>
      <c r="BG560" s="227">
        <v>251.53</v>
      </c>
      <c r="BH560" s="227">
        <v>246.74</v>
      </c>
      <c r="BI560" s="227">
        <v>239.82</v>
      </c>
      <c r="BJ560" s="227">
        <v>350</v>
      </c>
      <c r="BK560" s="227">
        <v>350</v>
      </c>
      <c r="BL560" s="227">
        <v>350</v>
      </c>
      <c r="BM560" s="227">
        <v>350</v>
      </c>
      <c r="BN560" s="227">
        <v>350</v>
      </c>
      <c r="BO560" s="227">
        <v>350</v>
      </c>
      <c r="BP560" s="227">
        <v>350</v>
      </c>
      <c r="BQ560" s="227">
        <v>350</v>
      </c>
      <c r="BR560" s="227">
        <v>350</v>
      </c>
      <c r="BS560" s="227">
        <v>3888.09</v>
      </c>
    </row>
    <row r="561" spans="1:71" ht="15" hidden="1" customHeight="1">
      <c r="A561" s="215" t="s">
        <v>2609</v>
      </c>
      <c r="B561" s="732" t="s">
        <v>904</v>
      </c>
      <c r="C561" s="346"/>
      <c r="D561" s="343" t="str">
        <f>_xlfn.TEXTJOIN("_",FALSE,E561,ERP_8[[#This Row],[Expense Category]],ERP_8[[#This Row],[Project Code*]])</f>
        <v>Ganesan, Srinivasan_SOFTWARE_IT-FBT0658-OG-US-00</v>
      </c>
      <c r="E561" s="343" t="s">
        <v>1344</v>
      </c>
      <c r="F561" s="346"/>
      <c r="G561" s="150" t="s">
        <v>1136</v>
      </c>
      <c r="H561" s="334" t="s">
        <v>1345</v>
      </c>
      <c r="I561" s="334" t="s">
        <v>1344</v>
      </c>
      <c r="J561" s="334" t="s">
        <v>1346</v>
      </c>
      <c r="K561" s="516" t="s">
        <v>639</v>
      </c>
      <c r="L561" s="398" t="s">
        <v>1967</v>
      </c>
      <c r="M561" s="343"/>
      <c r="N561" s="807"/>
      <c r="O561" s="219" t="s">
        <v>495</v>
      </c>
      <c r="P561" s="349"/>
      <c r="Q561" s="346" t="s">
        <v>1140</v>
      </c>
      <c r="R561" s="349"/>
      <c r="S561" s="334" t="s">
        <v>57</v>
      </c>
      <c r="T561" s="354"/>
      <c r="U561" s="403"/>
      <c r="V561" s="406">
        <v>3348</v>
      </c>
      <c r="W561" s="406">
        <v>3659.38</v>
      </c>
      <c r="X561" s="430"/>
      <c r="Y561" s="137"/>
      <c r="Z561" s="789">
        <v>279.45999999999998</v>
      </c>
      <c r="AA561" s="785">
        <v>279.45999999999998</v>
      </c>
      <c r="AB561" s="785">
        <v>589.46</v>
      </c>
      <c r="AC561" s="428">
        <v>279.45999999999998</v>
      </c>
      <c r="AD561" s="429">
        <v>279.45999999999998</v>
      </c>
      <c r="AE561" s="429">
        <v>279.45999999999998</v>
      </c>
      <c r="AF561" s="429">
        <v>279.45999999999998</v>
      </c>
      <c r="AG561" s="369">
        <v>279</v>
      </c>
      <c r="AH561" s="369">
        <v>279</v>
      </c>
      <c r="AI561" s="369">
        <v>279</v>
      </c>
      <c r="AJ561" s="369">
        <v>279</v>
      </c>
      <c r="AK561" s="369">
        <v>279</v>
      </c>
      <c r="AL561" s="367">
        <f t="shared" si="32"/>
        <v>3661.2200000000003</v>
      </c>
      <c r="AM561" s="362">
        <f>ERP_8[[#This Row],[2026 Working Total]]-ERP_8[[#This Row],[LE2 Final Submission]]</f>
        <v>1.8400000000001455</v>
      </c>
      <c r="AN561" s="227">
        <v>279</v>
      </c>
      <c r="AO561" s="227">
        <f t="shared" si="33"/>
        <v>0.45999999999997954</v>
      </c>
      <c r="AP561" s="374">
        <f>SUM(ERP_8[[#This Row],[AP01]:[AP07]])-SUM(ERP_8[[#This Row],[AP01 LE2]:[AP07 LE2]])</f>
        <v>1.8400000000001455</v>
      </c>
      <c r="AQ561" s="80"/>
      <c r="AR561" s="79">
        <f>ERP_8[[#This Row],[2026 Working Total to Budget/LE]]-ERP_8[[#This Row],[Giveback]]</f>
        <v>1.8400000000001455</v>
      </c>
      <c r="AS561" s="81" t="s">
        <v>2610</v>
      </c>
      <c r="AT561" s="375">
        <v>279.45999999999998</v>
      </c>
      <c r="AU561" s="375">
        <v>279.45999999999998</v>
      </c>
      <c r="AV561" s="375">
        <v>589.46</v>
      </c>
      <c r="AW561" s="375">
        <v>279</v>
      </c>
      <c r="AX561" s="375">
        <v>279</v>
      </c>
      <c r="AY561" s="375">
        <v>279</v>
      </c>
      <c r="AZ561" s="375">
        <v>279</v>
      </c>
      <c r="BA561" s="375">
        <v>279</v>
      </c>
      <c r="BB561" s="375">
        <v>279</v>
      </c>
      <c r="BC561" s="375">
        <v>279</v>
      </c>
      <c r="BD561" s="375">
        <v>279</v>
      </c>
      <c r="BE561" s="375">
        <v>279</v>
      </c>
      <c r="BF561" s="375">
        <v>3659.38</v>
      </c>
      <c r="BG561" s="227">
        <v>279.45999999999998</v>
      </c>
      <c r="BH561" s="227">
        <v>279.45999999999998</v>
      </c>
      <c r="BI561" s="227">
        <v>589.46</v>
      </c>
      <c r="BJ561" s="227">
        <v>279</v>
      </c>
      <c r="BK561" s="227">
        <v>279</v>
      </c>
      <c r="BL561" s="227">
        <v>279</v>
      </c>
      <c r="BM561" s="227">
        <v>279</v>
      </c>
      <c r="BN561" s="227">
        <v>279</v>
      </c>
      <c r="BO561" s="227">
        <v>279</v>
      </c>
      <c r="BP561" s="227">
        <v>279</v>
      </c>
      <c r="BQ561" s="227">
        <v>279</v>
      </c>
      <c r="BR561" s="227">
        <v>279</v>
      </c>
      <c r="BS561" s="227">
        <v>3659.38</v>
      </c>
    </row>
    <row r="562" spans="1:71" ht="15" hidden="1" customHeight="1">
      <c r="A562" s="215" t="s">
        <v>2611</v>
      </c>
      <c r="B562" s="732" t="s">
        <v>905</v>
      </c>
      <c r="C562" s="346"/>
      <c r="D562" s="343" t="str">
        <f>_xlfn.TEXTJOIN("_",FALSE,E562,ERP_8[[#This Row],[Expense Category]],ERP_8[[#This Row],[Project Code*]])</f>
        <v>Ganesan, Srinivasan_SOFTWARE_IT-FBT0784-OG-US-00</v>
      </c>
      <c r="E562" s="343" t="s">
        <v>1344</v>
      </c>
      <c r="F562" s="346"/>
      <c r="G562" s="150" t="s">
        <v>1136</v>
      </c>
      <c r="H562" s="334" t="s">
        <v>1345</v>
      </c>
      <c r="I562" s="334" t="s">
        <v>1344</v>
      </c>
      <c r="J562" s="334" t="s">
        <v>1346</v>
      </c>
      <c r="K562" s="516" t="s">
        <v>639</v>
      </c>
      <c r="L562" s="398" t="s">
        <v>1405</v>
      </c>
      <c r="M562" s="343"/>
      <c r="N562" s="807"/>
      <c r="O562" s="219" t="s">
        <v>190</v>
      </c>
      <c r="P562" s="349" t="s">
        <v>1153</v>
      </c>
      <c r="Q562" s="346" t="s">
        <v>1406</v>
      </c>
      <c r="R562" s="349"/>
      <c r="S562" s="334" t="s">
        <v>25</v>
      </c>
      <c r="T562" s="354"/>
      <c r="U562" s="403"/>
      <c r="V562" s="406">
        <v>0</v>
      </c>
      <c r="W562" s="406">
        <v>292.39999999999998</v>
      </c>
      <c r="X562" s="425"/>
      <c r="Y562" s="71"/>
      <c r="Z562" s="789"/>
      <c r="AA562" s="785"/>
      <c r="AB562" s="785">
        <v>292.39999999999998</v>
      </c>
      <c r="AC562" s="428">
        <v>0</v>
      </c>
      <c r="AD562" s="429">
        <v>0</v>
      </c>
      <c r="AE562" s="429">
        <v>0</v>
      </c>
      <c r="AF562" s="429">
        <v>0</v>
      </c>
      <c r="AG562" s="368">
        <v>0</v>
      </c>
      <c r="AH562" s="368">
        <v>0</v>
      </c>
      <c r="AI562" s="368">
        <v>0</v>
      </c>
      <c r="AJ562" s="368">
        <v>0</v>
      </c>
      <c r="AK562" s="368">
        <v>0</v>
      </c>
      <c r="AL562" s="367">
        <f t="shared" si="32"/>
        <v>292.39999999999998</v>
      </c>
      <c r="AM562" s="362">
        <f>ERP_8[[#This Row],[2026 Working Total]]-ERP_8[[#This Row],[LE2 Final Submission]]</f>
        <v>0</v>
      </c>
      <c r="AN562" s="227">
        <v>0</v>
      </c>
      <c r="AO562" s="227">
        <f t="shared" si="33"/>
        <v>0</v>
      </c>
      <c r="AP562" s="374">
        <f>SUM(ERP_8[[#This Row],[AP01]:[AP07]])-SUM(ERP_8[[#This Row],[AP01 LE2]:[AP07 LE2]])</f>
        <v>0</v>
      </c>
      <c r="AQ562" s="80"/>
      <c r="AR562" s="79">
        <f>ERP_8[[#This Row],[2026 Working Total to Budget/LE]]-ERP_8[[#This Row],[Giveback]]</f>
        <v>0</v>
      </c>
      <c r="AS562" s="81" t="s">
        <v>2612</v>
      </c>
      <c r="AT562" s="375"/>
      <c r="AU562" s="375"/>
      <c r="AV562" s="375">
        <v>292.39999999999998</v>
      </c>
      <c r="AW562" s="375">
        <v>0</v>
      </c>
      <c r="AX562" s="375">
        <v>0</v>
      </c>
      <c r="AY562" s="375">
        <v>0</v>
      </c>
      <c r="AZ562" s="375">
        <v>0</v>
      </c>
      <c r="BA562" s="375">
        <v>0</v>
      </c>
      <c r="BB562" s="375">
        <v>0</v>
      </c>
      <c r="BC562" s="375">
        <v>0</v>
      </c>
      <c r="BD562" s="375">
        <v>0</v>
      </c>
      <c r="BE562" s="375">
        <v>0</v>
      </c>
      <c r="BF562" s="375">
        <v>292.39999999999998</v>
      </c>
      <c r="BG562" s="227"/>
      <c r="BH562" s="227"/>
      <c r="BI562" s="227">
        <v>292.39999999999998</v>
      </c>
      <c r="BJ562" s="227">
        <v>0</v>
      </c>
      <c r="BK562" s="227">
        <v>0</v>
      </c>
      <c r="BL562" s="227">
        <v>0</v>
      </c>
      <c r="BM562" s="227">
        <v>0</v>
      </c>
      <c r="BN562" s="227">
        <v>0</v>
      </c>
      <c r="BO562" s="227">
        <v>0</v>
      </c>
      <c r="BP562" s="227">
        <v>0</v>
      </c>
      <c r="BQ562" s="227">
        <v>0</v>
      </c>
      <c r="BR562" s="227">
        <v>0</v>
      </c>
      <c r="BS562" s="227">
        <v>292.39999999999998</v>
      </c>
    </row>
    <row r="563" spans="1:71" ht="15" hidden="1" customHeight="1">
      <c r="A563" s="334" t="s">
        <v>2613</v>
      </c>
      <c r="B563" s="745" t="s">
        <v>906</v>
      </c>
      <c r="C563" s="348"/>
      <c r="D563" s="347" t="str">
        <f>_xlfn.TEXTJOIN("_",FALSE,E563,ERP_8[[#This Row],[Expense Category]],ERP_8[[#This Row],[Project Code*]])</f>
        <v>Ganesan, Srinivasan_SOFTWARE_IT-FGS0300-SW-US-00</v>
      </c>
      <c r="E563" s="347" t="s">
        <v>1344</v>
      </c>
      <c r="F563" s="348"/>
      <c r="G563" s="150" t="s">
        <v>1136</v>
      </c>
      <c r="H563" s="334" t="s">
        <v>1345</v>
      </c>
      <c r="I563" s="336" t="s">
        <v>1344</v>
      </c>
      <c r="J563" s="335" t="s">
        <v>1346</v>
      </c>
      <c r="K563" s="518" t="s">
        <v>639</v>
      </c>
      <c r="L563" s="397" t="s">
        <v>2614</v>
      </c>
      <c r="M563" s="333"/>
      <c r="N563" s="806" t="s">
        <v>1363</v>
      </c>
      <c r="O563" s="237" t="s">
        <v>676</v>
      </c>
      <c r="P563" s="351"/>
      <c r="Q563" s="347"/>
      <c r="R563" s="353"/>
      <c r="S563" s="353"/>
      <c r="T563" s="452"/>
      <c r="U563" s="402"/>
      <c r="V563" s="406"/>
      <c r="W563" s="406"/>
      <c r="X563" s="425"/>
      <c r="Y563" s="71"/>
      <c r="Z563" s="789"/>
      <c r="AA563" s="785"/>
      <c r="AB563" s="785"/>
      <c r="AC563" s="429">
        <v>454</v>
      </c>
      <c r="AD563" s="429">
        <v>227</v>
      </c>
      <c r="AE563" s="429">
        <v>227</v>
      </c>
      <c r="AF563" s="429">
        <v>0</v>
      </c>
      <c r="AG563" s="371"/>
      <c r="AH563" s="371"/>
      <c r="AI563" s="371"/>
      <c r="AJ563" s="371"/>
      <c r="AK563" s="371"/>
      <c r="AL563" s="367">
        <f t="shared" si="32"/>
        <v>908</v>
      </c>
      <c r="AM563" s="362">
        <f>ERP_8[[#This Row],[2026 Working Total]]-ERP_8[[#This Row],[LE2 Final Submission]]</f>
        <v>908</v>
      </c>
      <c r="AN563" s="227"/>
      <c r="AO563" s="227">
        <f t="shared" si="33"/>
        <v>227</v>
      </c>
      <c r="AP563" s="374">
        <f>SUM(ERP_8[[#This Row],[AP01]:[AP07]])-SUM(ERP_8[[#This Row],[AP01 LE2]:[AP07 LE2]])</f>
        <v>908</v>
      </c>
      <c r="AQ563" s="80"/>
      <c r="AR563" s="79">
        <f>ERP_8[[#This Row],[2026 Working Total to Budget/LE]]-ERP_8[[#This Row],[Giveback]]</f>
        <v>908</v>
      </c>
      <c r="AS563" s="81"/>
      <c r="AT563" s="375"/>
      <c r="AU563" s="375"/>
      <c r="AV563" s="375"/>
      <c r="AW563" s="375"/>
      <c r="AX563" s="375"/>
      <c r="AY563" s="375"/>
      <c r="AZ563" s="375"/>
      <c r="BA563" s="375"/>
      <c r="BB563" s="375"/>
      <c r="BC563" s="375"/>
      <c r="BD563" s="375"/>
      <c r="BE563" s="375"/>
      <c r="BF563" s="375"/>
      <c r="BG563" s="227"/>
      <c r="BH563" s="227"/>
      <c r="BI563" s="227"/>
      <c r="BJ563" s="227"/>
      <c r="BK563" s="227"/>
      <c r="BL563" s="227"/>
      <c r="BM563" s="227"/>
      <c r="BN563" s="227"/>
      <c r="BO563" s="227"/>
      <c r="BP563" s="227"/>
      <c r="BQ563" s="227"/>
      <c r="BR563" s="227"/>
      <c r="BS563" s="227"/>
    </row>
    <row r="564" spans="1:71" ht="15" hidden="1" customHeight="1">
      <c r="A564" s="215" t="s">
        <v>2615</v>
      </c>
      <c r="B564" s="732" t="s">
        <v>907</v>
      </c>
      <c r="C564" s="346"/>
      <c r="D564" s="343" t="str">
        <f>_xlfn.TEXTJOIN("_",FALSE,E564,ERP_8[[#This Row],[Expense Category]],ERP_8[[#This Row],[Project Code*]])</f>
        <v>Ganesan, Srinivasan_SOFTWARE_IT-FGS0302-SW-US-00</v>
      </c>
      <c r="E564" s="343" t="s">
        <v>1344</v>
      </c>
      <c r="F564" s="346"/>
      <c r="G564" s="150" t="s">
        <v>1136</v>
      </c>
      <c r="H564" s="334" t="s">
        <v>1345</v>
      </c>
      <c r="I564" s="334" t="s">
        <v>1344</v>
      </c>
      <c r="J564" s="334" t="s">
        <v>1346</v>
      </c>
      <c r="K564" s="516" t="s">
        <v>639</v>
      </c>
      <c r="L564" s="398" t="s">
        <v>2291</v>
      </c>
      <c r="M564" s="343"/>
      <c r="N564" s="807"/>
      <c r="O564" s="219" t="s">
        <v>679</v>
      </c>
      <c r="P564" s="349"/>
      <c r="Q564" s="346" t="s">
        <v>1140</v>
      </c>
      <c r="R564" s="349"/>
      <c r="S564" s="334" t="s">
        <v>680</v>
      </c>
      <c r="T564" s="354"/>
      <c r="U564" s="403"/>
      <c r="V564" s="406">
        <v>6000</v>
      </c>
      <c r="W564" s="406">
        <v>4931</v>
      </c>
      <c r="X564" s="425"/>
      <c r="Y564" s="71"/>
      <c r="Z564" s="789">
        <v>431</v>
      </c>
      <c r="AA564" s="785">
        <v>0</v>
      </c>
      <c r="AB564" s="785">
        <v>0</v>
      </c>
      <c r="AC564" s="428">
        <v>0</v>
      </c>
      <c r="AD564" s="429">
        <v>0</v>
      </c>
      <c r="AE564" s="429">
        <v>431</v>
      </c>
      <c r="AF564" s="429">
        <v>0</v>
      </c>
      <c r="AG564" s="369">
        <v>500</v>
      </c>
      <c r="AH564" s="369">
        <v>500</v>
      </c>
      <c r="AI564" s="369">
        <v>500</v>
      </c>
      <c r="AJ564" s="369">
        <v>500</v>
      </c>
      <c r="AK564" s="369">
        <v>500</v>
      </c>
      <c r="AL564" s="367">
        <f t="shared" si="32"/>
        <v>3362</v>
      </c>
      <c r="AM564" s="362">
        <f>ERP_8[[#This Row],[2026 Working Total]]-ERP_8[[#This Row],[LE2 Final Submission]]</f>
        <v>-1569</v>
      </c>
      <c r="AN564" s="227">
        <v>500</v>
      </c>
      <c r="AO564" s="227">
        <f t="shared" si="33"/>
        <v>-69</v>
      </c>
      <c r="AP564" s="374">
        <f>SUM(ERP_8[[#This Row],[AP01]:[AP07]])-SUM(ERP_8[[#This Row],[AP01 LE2]:[AP07 LE2]])</f>
        <v>-1569</v>
      </c>
      <c r="AQ564" s="80"/>
      <c r="AR564" s="79">
        <f>ERP_8[[#This Row],[2026 Working Total to Budget/LE]]-ERP_8[[#This Row],[Giveback]]</f>
        <v>-1569</v>
      </c>
      <c r="AS564" s="81"/>
      <c r="AT564" s="375">
        <v>431</v>
      </c>
      <c r="AU564" s="375">
        <v>0</v>
      </c>
      <c r="AV564" s="375">
        <v>0</v>
      </c>
      <c r="AW564" s="375">
        <v>500</v>
      </c>
      <c r="AX564" s="375">
        <v>500</v>
      </c>
      <c r="AY564" s="375">
        <v>500</v>
      </c>
      <c r="AZ564" s="375">
        <v>500</v>
      </c>
      <c r="BA564" s="375">
        <v>500</v>
      </c>
      <c r="BB564" s="375">
        <v>500</v>
      </c>
      <c r="BC564" s="375">
        <v>500</v>
      </c>
      <c r="BD564" s="375">
        <v>500</v>
      </c>
      <c r="BE564" s="375">
        <v>500</v>
      </c>
      <c r="BF564" s="375">
        <v>4931</v>
      </c>
      <c r="BG564" s="227">
        <v>431</v>
      </c>
      <c r="BH564" s="227">
        <v>0</v>
      </c>
      <c r="BI564" s="227">
        <v>0</v>
      </c>
      <c r="BJ564" s="227">
        <v>500</v>
      </c>
      <c r="BK564" s="227">
        <v>500</v>
      </c>
      <c r="BL564" s="227">
        <v>500</v>
      </c>
      <c r="BM564" s="227">
        <v>500</v>
      </c>
      <c r="BN564" s="227">
        <v>500</v>
      </c>
      <c r="BO564" s="227">
        <v>500</v>
      </c>
      <c r="BP564" s="227">
        <v>500</v>
      </c>
      <c r="BQ564" s="227">
        <v>500</v>
      </c>
      <c r="BR564" s="227">
        <v>500</v>
      </c>
      <c r="BS564" s="227">
        <v>4931</v>
      </c>
    </row>
    <row r="565" spans="1:71" ht="15" hidden="1" customHeight="1">
      <c r="A565" s="215" t="s">
        <v>2616</v>
      </c>
      <c r="B565" s="732" t="s">
        <v>908</v>
      </c>
      <c r="C565" s="346"/>
      <c r="D565" s="343" t="str">
        <f>_xlfn.TEXTJOIN("_",FALSE,E565,ERP_8[[#This Row],[Expense Category]],ERP_8[[#This Row],[Project Code*]])</f>
        <v>Ganesan, Srinivasan_SOFTWARE_IT-SFT0486-86-OG-MX</v>
      </c>
      <c r="E565" s="343" t="s">
        <v>1344</v>
      </c>
      <c r="F565" s="346"/>
      <c r="G565" s="150" t="s">
        <v>1136</v>
      </c>
      <c r="H565" s="334" t="s">
        <v>1345</v>
      </c>
      <c r="I565" s="334" t="s">
        <v>1344</v>
      </c>
      <c r="J565" s="334" t="s">
        <v>1346</v>
      </c>
      <c r="K565" s="516" t="s">
        <v>639</v>
      </c>
      <c r="L565" s="398" t="s">
        <v>2617</v>
      </c>
      <c r="M565" s="343"/>
      <c r="N565" s="807"/>
      <c r="O565" s="219" t="s">
        <v>909</v>
      </c>
      <c r="P565" s="349"/>
      <c r="Q565" s="343"/>
      <c r="R565" s="349"/>
      <c r="S565" s="334" t="s">
        <v>910</v>
      </c>
      <c r="T565" s="354"/>
      <c r="U565" s="403"/>
      <c r="V565" s="406">
        <v>50000</v>
      </c>
      <c r="W565" s="406">
        <v>50000</v>
      </c>
      <c r="X565" s="430"/>
      <c r="Y565" s="137"/>
      <c r="Z565" s="789"/>
      <c r="AA565" s="785"/>
      <c r="AB565" s="785"/>
      <c r="AC565" s="428" t="s">
        <v>1142</v>
      </c>
      <c r="AD565" s="429">
        <v>0</v>
      </c>
      <c r="AE565" s="429">
        <v>0</v>
      </c>
      <c r="AF565" s="429">
        <v>46132.67</v>
      </c>
      <c r="AG565" s="369">
        <v>3877</v>
      </c>
      <c r="AH565" s="369"/>
      <c r="AI565" s="369">
        <f>50000-50000</f>
        <v>0</v>
      </c>
      <c r="AJ565" s="368">
        <v>0</v>
      </c>
      <c r="AK565" s="368">
        <v>0</v>
      </c>
      <c r="AL565" s="367">
        <f t="shared" si="32"/>
        <v>50009.67</v>
      </c>
      <c r="AM565" s="362">
        <f>ERP_8[[#This Row],[2026 Working Total]]-ERP_8[[#This Row],[LE2 Final Submission]]</f>
        <v>9.6699999999982538</v>
      </c>
      <c r="AN565" s="227"/>
      <c r="AO565" s="227">
        <f t="shared" si="33"/>
        <v>0</v>
      </c>
      <c r="AP565" s="374">
        <f>SUM(ERP_8[[#This Row],[AP01]:[AP07]])-SUM(ERP_8[[#This Row],[AP01 LE2]:[AP07 LE2]])</f>
        <v>46132.67</v>
      </c>
      <c r="AQ565" s="80"/>
      <c r="AR565" s="79">
        <f>ERP_8[[#This Row],[2026 Working Total to Budget/LE]]-ERP_8[[#This Row],[Giveback]]</f>
        <v>9.6699999999982538</v>
      </c>
      <c r="AS565" s="81"/>
      <c r="AT565" s="375"/>
      <c r="AU565" s="375"/>
      <c r="AV565" s="375"/>
      <c r="AW565" s="375"/>
      <c r="AX565" s="375"/>
      <c r="AY565" s="375"/>
      <c r="AZ565" s="375"/>
      <c r="BA565" s="375"/>
      <c r="BB565" s="375"/>
      <c r="BC565" s="375">
        <v>50000</v>
      </c>
      <c r="BD565" s="375">
        <v>0</v>
      </c>
      <c r="BE565" s="375">
        <v>0</v>
      </c>
      <c r="BF565" s="375">
        <v>50000</v>
      </c>
      <c r="BG565" s="227"/>
      <c r="BH565" s="227"/>
      <c r="BI565" s="227"/>
      <c r="BJ565" s="227"/>
      <c r="BK565" s="227"/>
      <c r="BL565" s="227"/>
      <c r="BM565" s="227"/>
      <c r="BN565" s="227"/>
      <c r="BO565" s="227"/>
      <c r="BP565" s="227">
        <v>50000</v>
      </c>
      <c r="BQ565" s="227">
        <v>0</v>
      </c>
      <c r="BR565" s="227">
        <v>0</v>
      </c>
      <c r="BS565" s="227">
        <v>50000</v>
      </c>
    </row>
    <row r="566" spans="1:71" ht="15" hidden="1" customHeight="1">
      <c r="A566" s="215" t="s">
        <v>2618</v>
      </c>
      <c r="B566" s="732" t="s">
        <v>911</v>
      </c>
      <c r="C566" s="346"/>
      <c r="D566" s="343" t="str">
        <f>_xlfn.TEXTJOIN("_",FALSE,E566,ERP_8[[#This Row],[Expense Category]],ERP_8[[#This Row],[Project Code*]])</f>
        <v>Ganesan, Srinivasan_SOFTWARE_IT-SFT1042-02-OG-US</v>
      </c>
      <c r="E566" s="343" t="s">
        <v>1344</v>
      </c>
      <c r="F566" s="346"/>
      <c r="G566" s="150" t="s">
        <v>1136</v>
      </c>
      <c r="H566" s="334" t="s">
        <v>1345</v>
      </c>
      <c r="I566" s="334" t="s">
        <v>1344</v>
      </c>
      <c r="J566" s="334" t="s">
        <v>1346</v>
      </c>
      <c r="K566" s="516" t="s">
        <v>639</v>
      </c>
      <c r="L566" s="398" t="s">
        <v>2619</v>
      </c>
      <c r="M566" s="343"/>
      <c r="N566" s="807"/>
      <c r="O566" s="219" t="s">
        <v>912</v>
      </c>
      <c r="P566" s="349"/>
      <c r="Q566" s="343"/>
      <c r="R566" s="349"/>
      <c r="S566" s="334" t="s">
        <v>25</v>
      </c>
      <c r="T566" s="354"/>
      <c r="U566" s="403"/>
      <c r="V566" s="406">
        <v>5000</v>
      </c>
      <c r="W566" s="406">
        <v>5000</v>
      </c>
      <c r="X566" s="425"/>
      <c r="Y566" s="71"/>
      <c r="Z566" s="789"/>
      <c r="AA566" s="785"/>
      <c r="AB566" s="785"/>
      <c r="AC566" s="428" t="s">
        <v>1142</v>
      </c>
      <c r="AD566" s="429">
        <v>0</v>
      </c>
      <c r="AE566" s="429">
        <v>0</v>
      </c>
      <c r="AF566" s="429" t="s">
        <v>1142</v>
      </c>
      <c r="AG566" s="369"/>
      <c r="AH566" s="369"/>
      <c r="AI566" s="369"/>
      <c r="AJ566" s="369"/>
      <c r="AK566" s="369">
        <v>5000</v>
      </c>
      <c r="AL566" s="367">
        <f t="shared" si="32"/>
        <v>5000</v>
      </c>
      <c r="AM566" s="362">
        <f>ERP_8[[#This Row],[2026 Working Total]]-ERP_8[[#This Row],[LE2 Final Submission]]</f>
        <v>0</v>
      </c>
      <c r="AN566" s="227"/>
      <c r="AO566" s="227">
        <f t="shared" si="33"/>
        <v>0</v>
      </c>
      <c r="AP566" s="374">
        <f>SUM(ERP_8[[#This Row],[AP01]:[AP07]])-SUM(ERP_8[[#This Row],[AP01 LE2]:[AP07 LE2]])</f>
        <v>0</v>
      </c>
      <c r="AQ566" s="80"/>
      <c r="AR566" s="79">
        <f>ERP_8[[#This Row],[2026 Working Total to Budget/LE]]-ERP_8[[#This Row],[Giveback]]</f>
        <v>0</v>
      </c>
      <c r="AS566" s="81" t="s">
        <v>2620</v>
      </c>
      <c r="AT566" s="375"/>
      <c r="AU566" s="375"/>
      <c r="AV566" s="375"/>
      <c r="AW566" s="375"/>
      <c r="AX566" s="375"/>
      <c r="AY566" s="375"/>
      <c r="AZ566" s="375"/>
      <c r="BA566" s="375"/>
      <c r="BB566" s="375"/>
      <c r="BC566" s="375"/>
      <c r="BD566" s="375"/>
      <c r="BE566" s="375">
        <v>5000</v>
      </c>
      <c r="BF566" s="375">
        <v>5000</v>
      </c>
      <c r="BG566" s="227"/>
      <c r="BH566" s="227"/>
      <c r="BI566" s="227"/>
      <c r="BJ566" s="227"/>
      <c r="BK566" s="227"/>
      <c r="BL566" s="227"/>
      <c r="BM566" s="227"/>
      <c r="BN566" s="227"/>
      <c r="BO566" s="227"/>
      <c r="BP566" s="227"/>
      <c r="BQ566" s="227"/>
      <c r="BR566" s="227">
        <v>5000</v>
      </c>
      <c r="BS566" s="227">
        <v>5000</v>
      </c>
    </row>
    <row r="567" spans="1:71" ht="15" hidden="1" customHeight="1">
      <c r="A567" s="215" t="s">
        <v>2621</v>
      </c>
      <c r="B567" s="732" t="s">
        <v>913</v>
      </c>
      <c r="C567" s="346"/>
      <c r="D567" s="343" t="str">
        <f>_xlfn.TEXTJOIN("_",FALSE,E567,ERP_8[[#This Row],[Expense Category]],ERP_8[[#This Row],[Project Code*]])</f>
        <v>Ganesan, Srinivasan_SOFTWARE_IT-SFT1126-86-OG-US</v>
      </c>
      <c r="E567" s="343" t="s">
        <v>1344</v>
      </c>
      <c r="F567" s="346"/>
      <c r="G567" s="150" t="s">
        <v>1136</v>
      </c>
      <c r="H567" s="334" t="s">
        <v>1345</v>
      </c>
      <c r="I567" s="334" t="s">
        <v>1344</v>
      </c>
      <c r="J567" s="334" t="s">
        <v>1346</v>
      </c>
      <c r="K567" s="516" t="s">
        <v>639</v>
      </c>
      <c r="L567" s="398" t="s">
        <v>2622</v>
      </c>
      <c r="M567" s="343"/>
      <c r="N567" s="807"/>
      <c r="O567" s="219" t="s">
        <v>914</v>
      </c>
      <c r="P567" s="349"/>
      <c r="Q567" s="343"/>
      <c r="R567" s="349"/>
      <c r="S567" s="334" t="s">
        <v>119</v>
      </c>
      <c r="T567" s="354"/>
      <c r="U567" s="403"/>
      <c r="V567" s="406">
        <v>25000</v>
      </c>
      <c r="W567" s="406">
        <v>25000</v>
      </c>
      <c r="X567" s="425"/>
      <c r="Y567" s="71"/>
      <c r="Z567" s="789"/>
      <c r="AA567" s="785"/>
      <c r="AB567" s="785"/>
      <c r="AC567" s="428" t="s">
        <v>1142</v>
      </c>
      <c r="AD567" s="429">
        <v>0</v>
      </c>
      <c r="AE567" s="429">
        <v>0</v>
      </c>
      <c r="AF567" s="429" t="s">
        <v>1142</v>
      </c>
      <c r="AG567" s="369">
        <v>25000</v>
      </c>
      <c r="AH567" s="368">
        <v>0</v>
      </c>
      <c r="AI567" s="368">
        <v>0</v>
      </c>
      <c r="AJ567" s="368">
        <v>0</v>
      </c>
      <c r="AK567" s="368">
        <v>0</v>
      </c>
      <c r="AL567" s="367">
        <f t="shared" si="32"/>
        <v>25000</v>
      </c>
      <c r="AM567" s="362">
        <f>ERP_8[[#This Row],[2026 Working Total]]-ERP_8[[#This Row],[LE2 Final Submission]]</f>
        <v>0</v>
      </c>
      <c r="AN567" s="227"/>
      <c r="AO567" s="227">
        <f t="shared" si="33"/>
        <v>0</v>
      </c>
      <c r="AP567" s="374">
        <f>SUM(ERP_8[[#This Row],[AP01]:[AP07]])-SUM(ERP_8[[#This Row],[AP01 LE2]:[AP07 LE2]])</f>
        <v>0</v>
      </c>
      <c r="AQ567" s="80"/>
      <c r="AR567" s="79">
        <f>ERP_8[[#This Row],[2026 Working Total to Budget/LE]]-ERP_8[[#This Row],[Giveback]]</f>
        <v>0</v>
      </c>
      <c r="AS567" s="81"/>
      <c r="AT567" s="375"/>
      <c r="AU567" s="375"/>
      <c r="AV567" s="375"/>
      <c r="AW567" s="375"/>
      <c r="AX567" s="375"/>
      <c r="AY567" s="375"/>
      <c r="AZ567" s="375"/>
      <c r="BA567" s="375">
        <v>25000</v>
      </c>
      <c r="BB567" s="375">
        <v>0</v>
      </c>
      <c r="BC567" s="375">
        <v>0</v>
      </c>
      <c r="BD567" s="375">
        <v>0</v>
      </c>
      <c r="BE567" s="375">
        <v>0</v>
      </c>
      <c r="BF567" s="375">
        <v>25000</v>
      </c>
      <c r="BG567" s="227"/>
      <c r="BH567" s="227"/>
      <c r="BI567" s="227"/>
      <c r="BJ567" s="227"/>
      <c r="BK567" s="227"/>
      <c r="BL567" s="227"/>
      <c r="BM567" s="227"/>
      <c r="BN567" s="227">
        <v>25000</v>
      </c>
      <c r="BO567" s="227">
        <v>0</v>
      </c>
      <c r="BP567" s="227">
        <v>0</v>
      </c>
      <c r="BQ567" s="227">
        <v>0</v>
      </c>
      <c r="BR567" s="227">
        <v>0</v>
      </c>
      <c r="BS567" s="227">
        <v>25000</v>
      </c>
    </row>
    <row r="568" spans="1:71" ht="15" hidden="1" customHeight="1">
      <c r="A568" s="215" t="s">
        <v>2623</v>
      </c>
      <c r="B568" s="732" t="s">
        <v>915</v>
      </c>
      <c r="C568" s="346"/>
      <c r="D568" s="343" t="str">
        <f>_xlfn.TEXTJOIN("_",FALSE,E568,ERP_8[[#This Row],[Expense Category]],ERP_8[[#This Row],[Project Code*]])</f>
        <v>Ganesan, Srinivasan_SOFTWARE_IT-SFT1194-86-OG-US</v>
      </c>
      <c r="E568" s="343" t="s">
        <v>1344</v>
      </c>
      <c r="F568" s="346"/>
      <c r="G568" s="150" t="s">
        <v>1136</v>
      </c>
      <c r="H568" s="334" t="s">
        <v>1345</v>
      </c>
      <c r="I568" s="334" t="s">
        <v>1344</v>
      </c>
      <c r="J568" s="334" t="s">
        <v>1346</v>
      </c>
      <c r="K568" s="516" t="s">
        <v>639</v>
      </c>
      <c r="L568" s="398" t="s">
        <v>818</v>
      </c>
      <c r="M568" s="343"/>
      <c r="N568" s="807"/>
      <c r="O568" s="219" t="s">
        <v>817</v>
      </c>
      <c r="P568" s="349"/>
      <c r="Q568" s="346" t="s">
        <v>1140</v>
      </c>
      <c r="R568" s="349"/>
      <c r="S568" s="334" t="s">
        <v>818</v>
      </c>
      <c r="T568" s="354"/>
      <c r="U568" s="403"/>
      <c r="V568" s="406">
        <v>8000</v>
      </c>
      <c r="W568" s="406">
        <v>16362.7</v>
      </c>
      <c r="X568" s="430"/>
      <c r="Y568" s="137"/>
      <c r="Z568" s="789"/>
      <c r="AA568" s="785"/>
      <c r="AB568" s="785">
        <v>10362.700000000001</v>
      </c>
      <c r="AC568" s="428">
        <v>0</v>
      </c>
      <c r="AD568" s="429">
        <v>0</v>
      </c>
      <c r="AE568" s="429">
        <v>8211.1</v>
      </c>
      <c r="AF568" s="429">
        <v>0</v>
      </c>
      <c r="AG568" s="368">
        <v>0</v>
      </c>
      <c r="AH568" s="369">
        <v>2000</v>
      </c>
      <c r="AI568" s="368">
        <v>0</v>
      </c>
      <c r="AJ568" s="369">
        <v>2000</v>
      </c>
      <c r="AK568" s="368">
        <v>0</v>
      </c>
      <c r="AL568" s="367">
        <f t="shared" si="32"/>
        <v>22573.800000000003</v>
      </c>
      <c r="AM568" s="362">
        <f>ERP_8[[#This Row],[2026 Working Total]]-ERP_8[[#This Row],[LE2 Final Submission]]</f>
        <v>6211.1000000000022</v>
      </c>
      <c r="AN568" s="227">
        <v>0</v>
      </c>
      <c r="AO568" s="227">
        <f t="shared" si="33"/>
        <v>8211.1</v>
      </c>
      <c r="AP568" s="374">
        <f>SUM(ERP_8[[#This Row],[AP01]:[AP07]])-SUM(ERP_8[[#This Row],[AP01 LE2]:[AP07 LE2]])</f>
        <v>6211.1000000000022</v>
      </c>
      <c r="AQ568" s="80"/>
      <c r="AR568" s="79">
        <f>ERP_8[[#This Row],[2026 Working Total to Budget/LE]]-ERP_8[[#This Row],[Giveback]]</f>
        <v>6211.1000000000022</v>
      </c>
      <c r="AS568" s="81"/>
      <c r="AT568" s="375"/>
      <c r="AU568" s="375"/>
      <c r="AV568" s="375">
        <v>10362.700000000001</v>
      </c>
      <c r="AW568" s="375">
        <v>0</v>
      </c>
      <c r="AX568" s="375">
        <v>0</v>
      </c>
      <c r="AY568" s="375">
        <v>2000</v>
      </c>
      <c r="AZ568" s="375">
        <v>0</v>
      </c>
      <c r="BA568" s="375">
        <v>0</v>
      </c>
      <c r="BB568" s="375">
        <v>2000</v>
      </c>
      <c r="BC568" s="375">
        <v>0</v>
      </c>
      <c r="BD568" s="375">
        <v>2000</v>
      </c>
      <c r="BE568" s="375">
        <v>0</v>
      </c>
      <c r="BF568" s="375">
        <v>16362.7</v>
      </c>
      <c r="BG568" s="227"/>
      <c r="BH568" s="227"/>
      <c r="BI568" s="227">
        <v>10362.700000000001</v>
      </c>
      <c r="BJ568" s="227">
        <v>0</v>
      </c>
      <c r="BK568" s="227">
        <v>0</v>
      </c>
      <c r="BL568" s="227">
        <v>2000</v>
      </c>
      <c r="BM568" s="227">
        <v>0</v>
      </c>
      <c r="BN568" s="227">
        <v>0</v>
      </c>
      <c r="BO568" s="227">
        <v>2000</v>
      </c>
      <c r="BP568" s="227">
        <v>0</v>
      </c>
      <c r="BQ568" s="227">
        <v>2000</v>
      </c>
      <c r="BR568" s="227">
        <v>0</v>
      </c>
      <c r="BS568" s="227">
        <v>16362.7</v>
      </c>
    </row>
    <row r="569" spans="1:71" ht="15" hidden="1" customHeight="1">
      <c r="A569" s="215" t="s">
        <v>2624</v>
      </c>
      <c r="B569" s="732" t="s">
        <v>916</v>
      </c>
      <c r="C569" s="346"/>
      <c r="D569" s="343" t="str">
        <f>_xlfn.TEXTJOIN("_",FALSE,E569,ERP_8[[#This Row],[Expense Category]],ERP_8[[#This Row],[Project Code*]])</f>
        <v>Ganesan, Srinivasan_SOFTWARE_IT-SFT1205-86-OG-US</v>
      </c>
      <c r="E569" s="343" t="s">
        <v>1344</v>
      </c>
      <c r="F569" s="346"/>
      <c r="G569" s="150" t="s">
        <v>1136</v>
      </c>
      <c r="H569" s="334" t="s">
        <v>1345</v>
      </c>
      <c r="I569" s="334" t="s">
        <v>1344</v>
      </c>
      <c r="J569" s="334" t="s">
        <v>1346</v>
      </c>
      <c r="K569" s="516" t="s">
        <v>639</v>
      </c>
      <c r="L569" s="398" t="s">
        <v>1423</v>
      </c>
      <c r="M569" s="343"/>
      <c r="N569" s="807"/>
      <c r="O569" s="219" t="s">
        <v>194</v>
      </c>
      <c r="P569" s="349"/>
      <c r="Q569" s="343"/>
      <c r="R569" s="349"/>
      <c r="S569" s="334" t="s">
        <v>25</v>
      </c>
      <c r="T569" s="354"/>
      <c r="U569" s="403"/>
      <c r="V569" s="406">
        <v>21665.519999999993</v>
      </c>
      <c r="W569" s="406">
        <v>21665.52</v>
      </c>
      <c r="X569" s="425"/>
      <c r="Y569" s="71"/>
      <c r="Z569" s="789"/>
      <c r="AA569" s="785"/>
      <c r="AB569" s="785"/>
      <c r="AC569" s="428" t="s">
        <v>1142</v>
      </c>
      <c r="AD569" s="429">
        <v>0</v>
      </c>
      <c r="AE569" s="429">
        <v>0</v>
      </c>
      <c r="AF569" s="429" t="s">
        <v>1142</v>
      </c>
      <c r="AG569" s="369"/>
      <c r="AH569" s="369"/>
      <c r="AI569" s="369">
        <v>21665.52</v>
      </c>
      <c r="AJ569" s="369"/>
      <c r="AK569" s="369"/>
      <c r="AL569" s="367">
        <f t="shared" si="32"/>
        <v>21665.52</v>
      </c>
      <c r="AM569" s="362">
        <f>ERP_8[[#This Row],[2026 Working Total]]-ERP_8[[#This Row],[LE2 Final Submission]]</f>
        <v>0</v>
      </c>
      <c r="AN569" s="79"/>
      <c r="AO569" s="227">
        <f t="shared" si="33"/>
        <v>0</v>
      </c>
      <c r="AP569" s="374">
        <f>SUM(ERP_8[[#This Row],[AP01]:[AP07]])-SUM(ERP_8[[#This Row],[AP01 LE2]:[AP07 LE2]])</f>
        <v>0</v>
      </c>
      <c r="AQ569" s="80"/>
      <c r="AR569" s="79">
        <f>ERP_8[[#This Row],[2026 Working Total to Budget/LE]]-ERP_8[[#This Row],[Giveback]]</f>
        <v>0</v>
      </c>
      <c r="AS569" s="81" t="s">
        <v>1423</v>
      </c>
      <c r="AT569" s="375"/>
      <c r="AU569" s="375"/>
      <c r="AV569" s="375"/>
      <c r="AW569" s="375"/>
      <c r="AX569" s="375"/>
      <c r="AY569" s="375"/>
      <c r="AZ569" s="375"/>
      <c r="BA569" s="375"/>
      <c r="BB569" s="375"/>
      <c r="BC569" s="375">
        <v>21665.52</v>
      </c>
      <c r="BD569" s="375"/>
      <c r="BE569" s="375"/>
      <c r="BF569" s="375">
        <v>21665.52</v>
      </c>
      <c r="BG569" s="227"/>
      <c r="BH569" s="227"/>
      <c r="BI569" s="227"/>
      <c r="BJ569" s="227">
        <v>1805.46</v>
      </c>
      <c r="BK569" s="227">
        <v>1805.46</v>
      </c>
      <c r="BL569" s="227">
        <v>1805.46</v>
      </c>
      <c r="BM569" s="227">
        <v>1805.46</v>
      </c>
      <c r="BN569" s="227">
        <v>1805.46</v>
      </c>
      <c r="BO569" s="227">
        <v>1805.46</v>
      </c>
      <c r="BP569" s="227">
        <v>1805.46</v>
      </c>
      <c r="BQ569" s="227">
        <v>1805.46</v>
      </c>
      <c r="BR569" s="227">
        <v>1805.46</v>
      </c>
      <c r="BS569" s="227">
        <v>16249.139999999996</v>
      </c>
    </row>
    <row r="570" spans="1:71" ht="15" hidden="1" customHeight="1">
      <c r="A570" s="227" t="s">
        <v>2625</v>
      </c>
      <c r="B570" s="745" t="s">
        <v>917</v>
      </c>
      <c r="C570" s="348"/>
      <c r="D570" s="347" t="str">
        <f>_xlfn.TEXTJOIN("_",FALSE,E570,ERP_8[[#This Row],[Expense Category]],ERP_8[[#This Row],[Project Code*]])</f>
        <v>Ganesan, Srinivasan_SOFTWARE_IT-SFT1224-86-OG-US</v>
      </c>
      <c r="E570" s="347" t="s">
        <v>1344</v>
      </c>
      <c r="F570" s="348"/>
      <c r="G570" s="150" t="s">
        <v>1136</v>
      </c>
      <c r="H570" s="336" t="s">
        <v>1345</v>
      </c>
      <c r="I570" s="338" t="s">
        <v>1344</v>
      </c>
      <c r="J570" s="335" t="s">
        <v>1346</v>
      </c>
      <c r="K570" s="517" t="s">
        <v>639</v>
      </c>
      <c r="L570" s="399" t="s">
        <v>2626</v>
      </c>
      <c r="M570" s="343"/>
      <c r="N570" s="822"/>
      <c r="O570" s="235" t="s">
        <v>918</v>
      </c>
      <c r="P570" s="344"/>
      <c r="Q570" s="343"/>
      <c r="R570" s="353"/>
      <c r="S570" s="352" t="s">
        <v>25</v>
      </c>
      <c r="T570" s="356" t="s">
        <v>1348</v>
      </c>
      <c r="U570" s="432"/>
      <c r="V570" s="358">
        <v>65000</v>
      </c>
      <c r="W570" s="378">
        <v>0</v>
      </c>
      <c r="X570" s="425"/>
      <c r="Y570" s="71"/>
      <c r="Z570" s="790"/>
      <c r="AA570" s="786"/>
      <c r="AB570" s="786"/>
      <c r="AC570" s="428" t="s">
        <v>1142</v>
      </c>
      <c r="AD570" s="429">
        <v>0</v>
      </c>
      <c r="AE570" s="429">
        <v>0</v>
      </c>
      <c r="AF570" s="429" t="s">
        <v>1142</v>
      </c>
      <c r="AG570" s="370">
        <v>0</v>
      </c>
      <c r="AH570" s="370">
        <v>0</v>
      </c>
      <c r="AI570" s="370">
        <v>65000</v>
      </c>
      <c r="AJ570" s="370">
        <v>0</v>
      </c>
      <c r="AK570" s="370">
        <v>0</v>
      </c>
      <c r="AL570" s="893">
        <f t="shared" si="32"/>
        <v>65000</v>
      </c>
      <c r="AM570" s="362">
        <f>ERP_8[[#This Row],[2026 Working Total]]-ERP_8[[#This Row],[LE2 Final Submission]]</f>
        <v>65000</v>
      </c>
      <c r="AN570" s="79">
        <v>0</v>
      </c>
      <c r="AO570" s="227">
        <f t="shared" si="33"/>
        <v>0</v>
      </c>
      <c r="AP570" s="374">
        <f>SUM(ERP_8[[#This Row],[AP01]:[AP07]])-SUM(ERP_8[[#This Row],[AP01 LE2]:[AP07 LE2]])</f>
        <v>0</v>
      </c>
      <c r="AQ570" s="80"/>
      <c r="AR570" s="79">
        <f>ERP_8[[#This Row],[2026 Working Total to Budget/LE]]-ERP_8[[#This Row],[Giveback]]</f>
        <v>65000</v>
      </c>
      <c r="AS570" s="81"/>
      <c r="AT570" s="375"/>
      <c r="AU570" s="375"/>
      <c r="AV570" s="375"/>
      <c r="AW570" s="375">
        <v>0</v>
      </c>
      <c r="AX570" s="375">
        <v>0</v>
      </c>
      <c r="AY570" s="375">
        <v>0</v>
      </c>
      <c r="AZ570" s="375">
        <v>0</v>
      </c>
      <c r="BA570" s="375">
        <v>0</v>
      </c>
      <c r="BB570" s="375">
        <v>0</v>
      </c>
      <c r="BC570" s="375">
        <v>0</v>
      </c>
      <c r="BD570" s="375">
        <v>0</v>
      </c>
      <c r="BE570" s="375">
        <v>0</v>
      </c>
      <c r="BF570" s="375">
        <v>0</v>
      </c>
      <c r="BG570" s="246">
        <v>0</v>
      </c>
      <c r="BH570" s="246">
        <v>0</v>
      </c>
      <c r="BI570" s="246">
        <v>65000</v>
      </c>
      <c r="BJ570" s="246">
        <v>0</v>
      </c>
      <c r="BK570" s="246">
        <v>0</v>
      </c>
      <c r="BL570" s="246">
        <v>0</v>
      </c>
      <c r="BM570" s="246">
        <v>0</v>
      </c>
      <c r="BN570" s="246">
        <v>0</v>
      </c>
      <c r="BO570" s="246">
        <v>0</v>
      </c>
      <c r="BP570" s="246">
        <v>0</v>
      </c>
      <c r="BQ570" s="246">
        <v>0</v>
      </c>
      <c r="BR570" s="246">
        <v>0</v>
      </c>
      <c r="BS570" s="227">
        <f>SUM(ERP_8[[#This Row],[2026 AP01]:[2026 AP12]])</f>
        <v>65000</v>
      </c>
    </row>
    <row r="571" spans="1:71" ht="15" hidden="1" customHeight="1">
      <c r="A571" s="227" t="s">
        <v>2627</v>
      </c>
      <c r="B571" s="745" t="s">
        <v>919</v>
      </c>
      <c r="C571" s="348"/>
      <c r="D571" s="347" t="str">
        <f>_xlfn.TEXTJOIN("_",FALSE,E571,ERP_8[[#This Row],[Expense Category]],ERP_8[[#This Row],[Project Code*]])</f>
        <v>Ganesan, Srinivasan_SOFTWARE_IT-SFT1262-86-OG-US</v>
      </c>
      <c r="E571" s="347" t="s">
        <v>1344</v>
      </c>
      <c r="F571" s="348"/>
      <c r="G571" s="150" t="s">
        <v>1136</v>
      </c>
      <c r="H571" s="336" t="s">
        <v>1345</v>
      </c>
      <c r="I571" s="338" t="s">
        <v>1344</v>
      </c>
      <c r="J571" s="335" t="s">
        <v>1346</v>
      </c>
      <c r="K571" s="517" t="s">
        <v>639</v>
      </c>
      <c r="L571" s="399" t="s">
        <v>2628</v>
      </c>
      <c r="M571" s="343"/>
      <c r="N571" s="822"/>
      <c r="O571" s="235" t="s">
        <v>920</v>
      </c>
      <c r="P571" s="344"/>
      <c r="Q571" s="343"/>
      <c r="R571" s="353"/>
      <c r="S571" s="352" t="s">
        <v>25</v>
      </c>
      <c r="T571" s="356" t="s">
        <v>2629</v>
      </c>
      <c r="U571" s="432"/>
      <c r="V571" s="358">
        <v>32000</v>
      </c>
      <c r="W571" s="378">
        <v>32000</v>
      </c>
      <c r="X571" s="430"/>
      <c r="Y571" s="137"/>
      <c r="Z571" s="790"/>
      <c r="AA571" s="786"/>
      <c r="AB571" s="786"/>
      <c r="AC571" s="428" t="s">
        <v>1142</v>
      </c>
      <c r="AD571" s="429">
        <v>0</v>
      </c>
      <c r="AE571" s="429">
        <v>0</v>
      </c>
      <c r="AF571" s="429" t="s">
        <v>1142</v>
      </c>
      <c r="AG571" s="370">
        <v>0</v>
      </c>
      <c r="AH571" s="370">
        <v>0</v>
      </c>
      <c r="AI571" s="370">
        <v>32000</v>
      </c>
      <c r="AJ571" s="370">
        <v>0</v>
      </c>
      <c r="AK571" s="370">
        <v>0</v>
      </c>
      <c r="AL571" s="367">
        <f t="shared" si="32"/>
        <v>32000</v>
      </c>
      <c r="AM571" s="362">
        <f>ERP_8[[#This Row],[2026 Working Total]]-ERP_8[[#This Row],[LE2 Final Submission]]</f>
        <v>0</v>
      </c>
      <c r="AN571" s="79">
        <v>0</v>
      </c>
      <c r="AO571" s="227">
        <f t="shared" si="33"/>
        <v>0</v>
      </c>
      <c r="AP571" s="374">
        <f>SUM(ERP_8[[#This Row],[AP01]:[AP07]])-SUM(ERP_8[[#This Row],[AP01 LE2]:[AP07 LE2]])</f>
        <v>0</v>
      </c>
      <c r="AQ571" s="80"/>
      <c r="AR571" s="79">
        <f>ERP_8[[#This Row],[2026 Working Total to Budget/LE]]-ERP_8[[#This Row],[Giveback]]</f>
        <v>0</v>
      </c>
      <c r="AS571" s="155" t="s">
        <v>2630</v>
      </c>
      <c r="AT571" s="375"/>
      <c r="AU571" s="375"/>
      <c r="AV571" s="375"/>
      <c r="AW571" s="375">
        <v>0</v>
      </c>
      <c r="AX571" s="375">
        <v>0</v>
      </c>
      <c r="AY571" s="375">
        <v>0</v>
      </c>
      <c r="AZ571" s="375">
        <v>0</v>
      </c>
      <c r="BA571" s="375">
        <v>0</v>
      </c>
      <c r="BB571" s="375">
        <v>0</v>
      </c>
      <c r="BC571" s="375">
        <v>32000</v>
      </c>
      <c r="BD571" s="375">
        <v>0</v>
      </c>
      <c r="BE571" s="375">
        <v>0</v>
      </c>
      <c r="BF571" s="375">
        <v>32000</v>
      </c>
      <c r="BG571" s="246">
        <v>0</v>
      </c>
      <c r="BH571" s="246">
        <v>32000</v>
      </c>
      <c r="BI571" s="246">
        <v>0</v>
      </c>
      <c r="BJ571" s="246">
        <v>0</v>
      </c>
      <c r="BK571" s="246">
        <v>0</v>
      </c>
      <c r="BL571" s="246">
        <v>0</v>
      </c>
      <c r="BM571" s="246">
        <v>0</v>
      </c>
      <c r="BN571" s="246">
        <v>0</v>
      </c>
      <c r="BO571" s="246">
        <v>0</v>
      </c>
      <c r="BP571" s="246">
        <v>0</v>
      </c>
      <c r="BQ571" s="246">
        <v>0</v>
      </c>
      <c r="BR571" s="246">
        <v>0</v>
      </c>
      <c r="BS571" s="227">
        <f>SUM(ERP_8[[#This Row],[2026 AP01]:[2026 AP12]])</f>
        <v>32000</v>
      </c>
    </row>
    <row r="572" spans="1:71" ht="15" hidden="1" customHeight="1">
      <c r="A572" s="215" t="s">
        <v>2631</v>
      </c>
      <c r="B572" s="732" t="s">
        <v>921</v>
      </c>
      <c r="C572" s="346"/>
      <c r="D572" s="343" t="str">
        <f>_xlfn.TEXTJOIN("_",FALSE,E572,ERP_8[[#This Row],[Expense Category]],ERP_8[[#This Row],[Project Code*]])</f>
        <v>Ganesan, Srinivasan_SOFTWARE_IT-SFT1266-86-OG-US</v>
      </c>
      <c r="E572" s="343" t="s">
        <v>1344</v>
      </c>
      <c r="F572" s="346"/>
      <c r="G572" s="150" t="s">
        <v>1136</v>
      </c>
      <c r="H572" s="334" t="s">
        <v>1345</v>
      </c>
      <c r="I572" s="334" t="s">
        <v>1344</v>
      </c>
      <c r="J572" s="334" t="s">
        <v>1346</v>
      </c>
      <c r="K572" s="516" t="s">
        <v>639</v>
      </c>
      <c r="L572" s="398" t="s">
        <v>2632</v>
      </c>
      <c r="M572" s="343"/>
      <c r="N572" s="807"/>
      <c r="O572" s="219" t="s">
        <v>922</v>
      </c>
      <c r="P572" s="349"/>
      <c r="Q572" s="343"/>
      <c r="R572" s="349"/>
      <c r="S572" s="334" t="s">
        <v>25</v>
      </c>
      <c r="T572" s="354"/>
      <c r="U572" s="403"/>
      <c r="V572" s="406">
        <v>5000</v>
      </c>
      <c r="W572" s="406">
        <v>5000</v>
      </c>
      <c r="X572" s="425"/>
      <c r="Y572" s="71"/>
      <c r="Z572" s="789"/>
      <c r="AA572" s="785"/>
      <c r="AB572" s="785"/>
      <c r="AC572" s="428" t="s">
        <v>1142</v>
      </c>
      <c r="AD572" s="429">
        <v>0</v>
      </c>
      <c r="AE572" s="429">
        <v>0</v>
      </c>
      <c r="AF572" s="429" t="s">
        <v>1142</v>
      </c>
      <c r="AG572" s="369"/>
      <c r="AH572" s="369">
        <v>5000</v>
      </c>
      <c r="AI572" s="368">
        <v>0</v>
      </c>
      <c r="AJ572" s="368">
        <v>0</v>
      </c>
      <c r="AK572" s="368">
        <v>0</v>
      </c>
      <c r="AL572" s="367">
        <f t="shared" si="32"/>
        <v>5000</v>
      </c>
      <c r="AM572" s="362">
        <f>ERP_8[[#This Row],[2026 Working Total]]-ERP_8[[#This Row],[LE2 Final Submission]]</f>
        <v>0</v>
      </c>
      <c r="AN572" s="79"/>
      <c r="AO572" s="227">
        <f t="shared" si="33"/>
        <v>0</v>
      </c>
      <c r="AP572" s="374">
        <f>SUM(ERP_8[[#This Row],[AP01]:[AP07]])-SUM(ERP_8[[#This Row],[AP01 LE2]:[AP07 LE2]])</f>
        <v>0</v>
      </c>
      <c r="AQ572" s="80"/>
      <c r="AR572" s="79">
        <f>ERP_8[[#This Row],[2026 Working Total to Budget/LE]]-ERP_8[[#This Row],[Giveback]]</f>
        <v>0</v>
      </c>
      <c r="AS572" s="81"/>
      <c r="AT572" s="375"/>
      <c r="AU572" s="375"/>
      <c r="AV572" s="375"/>
      <c r="AW572" s="375"/>
      <c r="AX572" s="375"/>
      <c r="AY572" s="375"/>
      <c r="AZ572" s="375"/>
      <c r="BA572" s="375"/>
      <c r="BB572" s="375">
        <v>5000</v>
      </c>
      <c r="BC572" s="375">
        <v>0</v>
      </c>
      <c r="BD572" s="375">
        <v>0</v>
      </c>
      <c r="BE572" s="375">
        <v>0</v>
      </c>
      <c r="BF572" s="375">
        <v>5000</v>
      </c>
      <c r="BG572" s="227"/>
      <c r="BH572" s="227"/>
      <c r="BI572" s="227"/>
      <c r="BJ572" s="227"/>
      <c r="BK572" s="227"/>
      <c r="BL572" s="227"/>
      <c r="BM572" s="227"/>
      <c r="BN572" s="227"/>
      <c r="BO572" s="227">
        <v>5000</v>
      </c>
      <c r="BP572" s="227">
        <v>0</v>
      </c>
      <c r="BQ572" s="227">
        <v>0</v>
      </c>
      <c r="BR572" s="227">
        <v>0</v>
      </c>
      <c r="BS572" s="227">
        <v>5000</v>
      </c>
    </row>
    <row r="573" spans="1:71" ht="15" hidden="1" customHeight="1">
      <c r="A573" s="215" t="s">
        <v>2633</v>
      </c>
      <c r="B573" s="732" t="s">
        <v>923</v>
      </c>
      <c r="C573" s="346"/>
      <c r="D573" s="343" t="str">
        <f>_xlfn.TEXTJOIN("_",FALSE,E573,ERP_8[[#This Row],[Expense Category]],ERP_8[[#This Row],[Project Code*]])</f>
        <v>Ganesan, Srinivasan_SOFTWARE_IT-SFT1267-86-OG-US</v>
      </c>
      <c r="E573" s="343" t="s">
        <v>1344</v>
      </c>
      <c r="F573" s="346"/>
      <c r="G573" s="150" t="s">
        <v>1136</v>
      </c>
      <c r="H573" s="334" t="s">
        <v>1345</v>
      </c>
      <c r="I573" s="334" t="s">
        <v>1344</v>
      </c>
      <c r="J573" s="334" t="s">
        <v>1346</v>
      </c>
      <c r="K573" s="516" t="s">
        <v>639</v>
      </c>
      <c r="L573" s="398" t="s">
        <v>2634</v>
      </c>
      <c r="M573" s="343"/>
      <c r="N573" s="807"/>
      <c r="O573" s="219" t="s">
        <v>924</v>
      </c>
      <c r="P573" s="349"/>
      <c r="Q573" s="343"/>
      <c r="R573" s="349"/>
      <c r="S573" s="334" t="s">
        <v>25</v>
      </c>
      <c r="T573" s="354"/>
      <c r="U573" s="403"/>
      <c r="V573" s="406">
        <v>6000</v>
      </c>
      <c r="W573" s="406">
        <v>4500</v>
      </c>
      <c r="X573" s="425"/>
      <c r="Y573" s="71"/>
      <c r="Z573" s="789"/>
      <c r="AA573" s="785"/>
      <c r="AB573" s="785"/>
      <c r="AC573" s="428" t="s">
        <v>1142</v>
      </c>
      <c r="AD573" s="429">
        <v>0</v>
      </c>
      <c r="AE573" s="429">
        <v>2323.36</v>
      </c>
      <c r="AF573" s="429">
        <v>0</v>
      </c>
      <c r="AG573" s="368">
        <v>0</v>
      </c>
      <c r="AH573" s="369">
        <v>1500</v>
      </c>
      <c r="AI573" s="368">
        <v>0</v>
      </c>
      <c r="AJ573" s="368">
        <v>0</v>
      </c>
      <c r="AK573" s="369">
        <v>1500</v>
      </c>
      <c r="AL573" s="367">
        <f t="shared" si="32"/>
        <v>5323.3600000000006</v>
      </c>
      <c r="AM573" s="362">
        <f>ERP_8[[#This Row],[2026 Working Total]]-ERP_8[[#This Row],[LE2 Final Submission]]</f>
        <v>823.36000000000058</v>
      </c>
      <c r="AN573" s="227">
        <v>0</v>
      </c>
      <c r="AO573" s="227">
        <f t="shared" si="33"/>
        <v>2323.36</v>
      </c>
      <c r="AP573" s="374">
        <f>SUM(ERP_8[[#This Row],[AP01]:[AP07]])-SUM(ERP_8[[#This Row],[AP01 LE2]:[AP07 LE2]])</f>
        <v>823.36000000000013</v>
      </c>
      <c r="AQ573" s="80"/>
      <c r="AR573" s="79">
        <f>ERP_8[[#This Row],[2026 Working Total to Budget/LE]]-ERP_8[[#This Row],[Giveback]]</f>
        <v>823.36000000000058</v>
      </c>
      <c r="AS573" s="81"/>
      <c r="AT573" s="375"/>
      <c r="AU573" s="375"/>
      <c r="AV573" s="375"/>
      <c r="AW573" s="375"/>
      <c r="AX573" s="375"/>
      <c r="AY573" s="375">
        <v>1500</v>
      </c>
      <c r="AZ573" s="375">
        <v>0</v>
      </c>
      <c r="BA573" s="375">
        <v>0</v>
      </c>
      <c r="BB573" s="375">
        <v>1500</v>
      </c>
      <c r="BC573" s="375">
        <v>0</v>
      </c>
      <c r="BD573" s="375">
        <v>0</v>
      </c>
      <c r="BE573" s="375">
        <v>1500</v>
      </c>
      <c r="BF573" s="375">
        <v>4500</v>
      </c>
      <c r="BG573" s="227"/>
      <c r="BH573" s="227"/>
      <c r="BI573" s="227"/>
      <c r="BJ573" s="227"/>
      <c r="BK573" s="227"/>
      <c r="BL573" s="227">
        <v>1500</v>
      </c>
      <c r="BM573" s="227">
        <v>0</v>
      </c>
      <c r="BN573" s="227">
        <v>0</v>
      </c>
      <c r="BO573" s="227">
        <v>1500</v>
      </c>
      <c r="BP573" s="227">
        <v>0</v>
      </c>
      <c r="BQ573" s="227">
        <v>0</v>
      </c>
      <c r="BR573" s="227">
        <v>1500</v>
      </c>
      <c r="BS573" s="227">
        <v>4500</v>
      </c>
    </row>
    <row r="574" spans="1:71" ht="15" hidden="1" customHeight="1">
      <c r="A574" s="227" t="s">
        <v>2635</v>
      </c>
      <c r="B574" s="745" t="s">
        <v>925</v>
      </c>
      <c r="C574" s="348"/>
      <c r="D574" s="347" t="str">
        <f>_xlfn.TEXTJOIN("_",FALSE,E574,ERP_8[[#This Row],[Expense Category]],ERP_8[[#This Row],[Project Code*]])</f>
        <v>Ganesan, Srinivasan_SOFTWARE_IT-SFT1269-86-OG-US</v>
      </c>
      <c r="E574" s="347" t="s">
        <v>1344</v>
      </c>
      <c r="F574" s="348"/>
      <c r="G574" s="150" t="s">
        <v>1136</v>
      </c>
      <c r="H574" s="336" t="s">
        <v>1345</v>
      </c>
      <c r="I574" s="338" t="s">
        <v>1344</v>
      </c>
      <c r="J574" s="335" t="s">
        <v>1346</v>
      </c>
      <c r="K574" s="517" t="s">
        <v>639</v>
      </c>
      <c r="L574" s="399" t="s">
        <v>2636</v>
      </c>
      <c r="M574" s="343" t="s">
        <v>2637</v>
      </c>
      <c r="N574" s="865" t="s">
        <v>1363</v>
      </c>
      <c r="O574" s="235" t="s">
        <v>926</v>
      </c>
      <c r="P574" s="344"/>
      <c r="Q574" s="346" t="s">
        <v>2638</v>
      </c>
      <c r="R574" s="349" t="s">
        <v>1710</v>
      </c>
      <c r="S574" s="352" t="s">
        <v>863</v>
      </c>
      <c r="T574" s="355" t="s">
        <v>2639</v>
      </c>
      <c r="U574" s="437"/>
      <c r="V574" s="358">
        <v>111372.91</v>
      </c>
      <c r="W574" s="378">
        <v>0</v>
      </c>
      <c r="X574" s="430"/>
      <c r="Y574" s="137"/>
      <c r="Z574" s="790"/>
      <c r="AA574" s="786"/>
      <c r="AB574" s="786"/>
      <c r="AC574" s="428" t="s">
        <v>1142</v>
      </c>
      <c r="AD574" s="429">
        <v>0</v>
      </c>
      <c r="AE574" s="429">
        <v>0</v>
      </c>
      <c r="AF574" s="429" t="s">
        <v>1142</v>
      </c>
      <c r="AG574" s="370">
        <v>0</v>
      </c>
      <c r="AH574" s="370">
        <v>0</v>
      </c>
      <c r="AI574" s="370">
        <f>115000-115000</f>
        <v>0</v>
      </c>
      <c r="AJ574" s="370">
        <v>0</v>
      </c>
      <c r="AK574" s="371"/>
      <c r="AL574" s="367">
        <f t="shared" si="32"/>
        <v>0</v>
      </c>
      <c r="AM574" s="362">
        <f>ERP_8[[#This Row],[2026 Working Total]]-ERP_8[[#This Row],[LE2 Final Submission]]</f>
        <v>0</v>
      </c>
      <c r="AN574" s="227">
        <v>0</v>
      </c>
      <c r="AO574" s="227">
        <f t="shared" si="33"/>
        <v>0</v>
      </c>
      <c r="AP574" s="374">
        <f>SUM(ERP_8[[#This Row],[AP01]:[AP07]])-SUM(ERP_8[[#This Row],[AP01 LE2]:[AP07 LE2]])</f>
        <v>0</v>
      </c>
      <c r="AQ574" s="80"/>
      <c r="AR574" s="79">
        <f>ERP_8[[#This Row],[2026 Working Total to Budget/LE]]-ERP_8[[#This Row],[Giveback]]</f>
        <v>0</v>
      </c>
      <c r="AS574" s="81" t="s">
        <v>2640</v>
      </c>
      <c r="AT574" s="375"/>
      <c r="AU574" s="375"/>
      <c r="AV574" s="375"/>
      <c r="AW574" s="375">
        <v>0</v>
      </c>
      <c r="AX574" s="375">
        <v>0</v>
      </c>
      <c r="AY574" s="375">
        <v>0</v>
      </c>
      <c r="AZ574" s="375">
        <v>0</v>
      </c>
      <c r="BA574" s="375">
        <v>0</v>
      </c>
      <c r="BB574" s="375">
        <v>0</v>
      </c>
      <c r="BC574" s="375">
        <v>0</v>
      </c>
      <c r="BD574" s="375">
        <v>0</v>
      </c>
      <c r="BE574" s="375"/>
      <c r="BF574" s="375">
        <v>0</v>
      </c>
      <c r="BG574" s="246">
        <v>111372.91</v>
      </c>
      <c r="BH574" s="246">
        <v>0</v>
      </c>
      <c r="BI574" s="246">
        <v>0</v>
      </c>
      <c r="BJ574" s="246">
        <v>0</v>
      </c>
      <c r="BK574" s="246">
        <v>0</v>
      </c>
      <c r="BL574" s="246">
        <v>0</v>
      </c>
      <c r="BM574" s="246">
        <v>0</v>
      </c>
      <c r="BN574" s="246">
        <v>0</v>
      </c>
      <c r="BO574" s="246">
        <v>0</v>
      </c>
      <c r="BP574" s="246">
        <v>0</v>
      </c>
      <c r="BQ574" s="246">
        <v>0</v>
      </c>
      <c r="BR574" s="246">
        <v>0</v>
      </c>
      <c r="BS574" s="227">
        <f>SUM(ERP_8[[#This Row],[2026 AP01]:[2026 AP12]])</f>
        <v>111372.91</v>
      </c>
    </row>
    <row r="575" spans="1:71" ht="15" hidden="1" customHeight="1">
      <c r="A575" s="227" t="s">
        <v>2641</v>
      </c>
      <c r="B575" s="745" t="s">
        <v>927</v>
      </c>
      <c r="C575" s="348"/>
      <c r="D575" s="347" t="str">
        <f>_xlfn.TEXTJOIN("_",FALSE,E575,ERP_8[[#This Row],[Expense Category]],ERP_8[[#This Row],[Project Code*]])</f>
        <v>Ganesan, Srinivasan_SOFTWARE_IT-SFT1269-86-OG-US/PF</v>
      </c>
      <c r="E575" s="347" t="s">
        <v>1344</v>
      </c>
      <c r="F575" s="348"/>
      <c r="G575" s="150" t="s">
        <v>1136</v>
      </c>
      <c r="H575" s="336" t="s">
        <v>1345</v>
      </c>
      <c r="I575" s="338" t="s">
        <v>1344</v>
      </c>
      <c r="J575" s="335" t="s">
        <v>1346</v>
      </c>
      <c r="K575" s="517" t="s">
        <v>639</v>
      </c>
      <c r="L575" s="399" t="s">
        <v>2642</v>
      </c>
      <c r="M575" s="343" t="s">
        <v>2637</v>
      </c>
      <c r="N575" s="865" t="s">
        <v>1363</v>
      </c>
      <c r="O575" s="235" t="s">
        <v>928</v>
      </c>
      <c r="P575" s="344"/>
      <c r="Q575" s="346" t="s">
        <v>2638</v>
      </c>
      <c r="R575" s="349" t="s">
        <v>1710</v>
      </c>
      <c r="S575" s="352" t="s">
        <v>863</v>
      </c>
      <c r="T575" s="355" t="s">
        <v>2643</v>
      </c>
      <c r="U575" s="437"/>
      <c r="V575" s="358">
        <v>-111372.91</v>
      </c>
      <c r="W575" s="378">
        <v>0</v>
      </c>
      <c r="X575" s="425"/>
      <c r="Y575" s="71"/>
      <c r="Z575" s="790"/>
      <c r="AA575" s="786"/>
      <c r="AB575" s="786"/>
      <c r="AC575" s="428" t="s">
        <v>1142</v>
      </c>
      <c r="AD575" s="429">
        <v>0</v>
      </c>
      <c r="AE575" s="429">
        <v>0</v>
      </c>
      <c r="AF575" s="429" t="s">
        <v>1142</v>
      </c>
      <c r="AG575" s="370">
        <v>0</v>
      </c>
      <c r="AH575" s="370">
        <v>0</v>
      </c>
      <c r="AI575" s="370">
        <f>-115000+115000</f>
        <v>0</v>
      </c>
      <c r="AJ575" s="370">
        <v>0</v>
      </c>
      <c r="AK575" s="370">
        <v>0</v>
      </c>
      <c r="AL575" s="367">
        <f t="shared" si="32"/>
        <v>0</v>
      </c>
      <c r="AM575" s="362">
        <f>ERP_8[[#This Row],[2026 Working Total]]-ERP_8[[#This Row],[LE2 Final Submission]]</f>
        <v>0</v>
      </c>
      <c r="AN575" s="227">
        <v>0</v>
      </c>
      <c r="AO575" s="227">
        <f t="shared" si="33"/>
        <v>0</v>
      </c>
      <c r="AP575" s="374">
        <f>SUM(ERP_8[[#This Row],[AP01]:[AP07]])-SUM(ERP_8[[#This Row],[AP01 LE2]:[AP07 LE2]])</f>
        <v>0</v>
      </c>
      <c r="AQ575" s="80"/>
      <c r="AR575" s="79">
        <f>ERP_8[[#This Row],[2026 Working Total to Budget/LE]]-ERP_8[[#This Row],[Giveback]]</f>
        <v>0</v>
      </c>
      <c r="AS575" s="81" t="s">
        <v>2640</v>
      </c>
      <c r="AT575" s="375"/>
      <c r="AU575" s="375"/>
      <c r="AV575" s="375"/>
      <c r="AW575" s="375">
        <v>0</v>
      </c>
      <c r="AX575" s="375">
        <v>0</v>
      </c>
      <c r="AY575" s="375">
        <v>0</v>
      </c>
      <c r="AZ575" s="375">
        <v>0</v>
      </c>
      <c r="BA575" s="375">
        <v>0</v>
      </c>
      <c r="BB575" s="375">
        <v>0</v>
      </c>
      <c r="BC575" s="375">
        <v>0</v>
      </c>
      <c r="BD575" s="375">
        <v>0</v>
      </c>
      <c r="BE575" s="375">
        <v>0</v>
      </c>
      <c r="BF575" s="375">
        <v>0</v>
      </c>
      <c r="BG575" s="246">
        <v>-111372.91</v>
      </c>
      <c r="BH575" s="246">
        <v>0</v>
      </c>
      <c r="BI575" s="246">
        <v>0</v>
      </c>
      <c r="BJ575" s="246">
        <v>0</v>
      </c>
      <c r="BK575" s="246">
        <v>0</v>
      </c>
      <c r="BL575" s="246">
        <v>0</v>
      </c>
      <c r="BM575" s="246">
        <v>0</v>
      </c>
      <c r="BN575" s="246">
        <v>0</v>
      </c>
      <c r="BO575" s="246">
        <v>0</v>
      </c>
      <c r="BP575" s="246">
        <v>0</v>
      </c>
      <c r="BQ575" s="246">
        <v>0</v>
      </c>
      <c r="BR575" s="246">
        <v>0</v>
      </c>
      <c r="BS575" s="227">
        <f>SUM(ERP_8[[#This Row],[2026 AP01]:[2026 AP12]])</f>
        <v>-111372.91</v>
      </c>
    </row>
    <row r="576" spans="1:71" ht="15" hidden="1" customHeight="1">
      <c r="A576" s="215" t="s">
        <v>2644</v>
      </c>
      <c r="B576" s="732" t="s">
        <v>929</v>
      </c>
      <c r="C576" s="346"/>
      <c r="D576" s="343" t="str">
        <f>_xlfn.TEXTJOIN("_",FALSE,E576,ERP_8[[#This Row],[Expense Category]],ERP_8[[#This Row],[Project Code*]])</f>
        <v>Ganesan, Srinivasan_SOFTWARE_IT-SFT1281-86-OG-US</v>
      </c>
      <c r="E576" s="343" t="s">
        <v>1344</v>
      </c>
      <c r="F576" s="346"/>
      <c r="G576" s="150" t="s">
        <v>1136</v>
      </c>
      <c r="H576" s="334" t="s">
        <v>1345</v>
      </c>
      <c r="I576" s="334" t="s">
        <v>1344</v>
      </c>
      <c r="J576" s="334" t="s">
        <v>1346</v>
      </c>
      <c r="K576" s="516" t="s">
        <v>639</v>
      </c>
      <c r="L576" s="398" t="s">
        <v>2645</v>
      </c>
      <c r="M576" s="343"/>
      <c r="N576" s="807"/>
      <c r="O576" s="219" t="s">
        <v>930</v>
      </c>
      <c r="P576" s="349"/>
      <c r="Q576" s="343"/>
      <c r="R576" s="349"/>
      <c r="S576" s="334" t="s">
        <v>677</v>
      </c>
      <c r="T576" s="354"/>
      <c r="U576" s="403"/>
      <c r="V576" s="406">
        <v>0</v>
      </c>
      <c r="W576" s="406">
        <v>227</v>
      </c>
      <c r="X576" s="425"/>
      <c r="Y576" s="71"/>
      <c r="Z576" s="789"/>
      <c r="AA576" s="785">
        <v>227</v>
      </c>
      <c r="AB576" s="785">
        <v>0</v>
      </c>
      <c r="AC576" s="428">
        <v>0</v>
      </c>
      <c r="AD576" s="429">
        <v>0</v>
      </c>
      <c r="AE576" s="429">
        <v>0</v>
      </c>
      <c r="AF576" s="429">
        <v>0</v>
      </c>
      <c r="AG576" s="368">
        <v>0</v>
      </c>
      <c r="AH576" s="368">
        <v>0</v>
      </c>
      <c r="AI576" s="368">
        <v>0</v>
      </c>
      <c r="AJ576" s="368">
        <v>0</v>
      </c>
      <c r="AK576" s="368">
        <v>0</v>
      </c>
      <c r="AL576" s="367">
        <f t="shared" si="32"/>
        <v>227</v>
      </c>
      <c r="AM576" s="362">
        <f>ERP_8[[#This Row],[2026 Working Total]]-ERP_8[[#This Row],[LE2 Final Submission]]</f>
        <v>0</v>
      </c>
      <c r="AN576" s="227">
        <v>0</v>
      </c>
      <c r="AO576" s="227">
        <f t="shared" si="33"/>
        <v>0</v>
      </c>
      <c r="AP576" s="374">
        <f>SUM(ERP_8[[#This Row],[AP01]:[AP07]])-SUM(ERP_8[[#This Row],[AP01 LE2]:[AP07 LE2]])</f>
        <v>0</v>
      </c>
      <c r="AQ576" s="80"/>
      <c r="AR576" s="79">
        <f>ERP_8[[#This Row],[2026 Working Total to Budget/LE]]-ERP_8[[#This Row],[Giveback]]</f>
        <v>0</v>
      </c>
      <c r="AS576" s="81"/>
      <c r="AT576" s="375"/>
      <c r="AU576" s="375">
        <v>227</v>
      </c>
      <c r="AV576" s="375">
        <v>0</v>
      </c>
      <c r="AW576" s="375">
        <v>0</v>
      </c>
      <c r="AX576" s="375">
        <v>0</v>
      </c>
      <c r="AY576" s="375">
        <v>0</v>
      </c>
      <c r="AZ576" s="375">
        <v>0</v>
      </c>
      <c r="BA576" s="375">
        <v>0</v>
      </c>
      <c r="BB576" s="375">
        <v>0</v>
      </c>
      <c r="BC576" s="375">
        <v>0</v>
      </c>
      <c r="BD576" s="375">
        <v>0</v>
      </c>
      <c r="BE576" s="375">
        <v>0</v>
      </c>
      <c r="BF576" s="375">
        <v>227</v>
      </c>
      <c r="BG576" s="227"/>
      <c r="BH576" s="227">
        <v>227</v>
      </c>
      <c r="BI576" s="227">
        <v>0</v>
      </c>
      <c r="BJ576" s="227">
        <v>0</v>
      </c>
      <c r="BK576" s="227">
        <v>0</v>
      </c>
      <c r="BL576" s="227">
        <v>0</v>
      </c>
      <c r="BM576" s="227">
        <v>0</v>
      </c>
      <c r="BN576" s="227">
        <v>0</v>
      </c>
      <c r="BO576" s="227">
        <v>0</v>
      </c>
      <c r="BP576" s="227">
        <v>0</v>
      </c>
      <c r="BQ576" s="227">
        <v>0</v>
      </c>
      <c r="BR576" s="227">
        <v>0</v>
      </c>
      <c r="BS576" s="227">
        <v>227</v>
      </c>
    </row>
    <row r="577" spans="1:71" ht="15" hidden="1" customHeight="1">
      <c r="A577" s="215" t="s">
        <v>2646</v>
      </c>
      <c r="B577" s="732" t="s">
        <v>931</v>
      </c>
      <c r="C577" s="346"/>
      <c r="D577" s="343" t="str">
        <f>_xlfn.TEXTJOIN("_",FALSE,E577,ERP_8[[#This Row],[Expense Category]],ERP_8[[#This Row],[Project Code*]])</f>
        <v>Ganesan, Srinivasan_SOFTWARE_MISC001</v>
      </c>
      <c r="E577" s="343" t="s">
        <v>1344</v>
      </c>
      <c r="F577" s="346"/>
      <c r="G577" s="150" t="s">
        <v>1136</v>
      </c>
      <c r="H577" s="334" t="s">
        <v>1345</v>
      </c>
      <c r="I577" s="334" t="s">
        <v>1344</v>
      </c>
      <c r="J577" s="334" t="s">
        <v>1346</v>
      </c>
      <c r="K577" s="516" t="s">
        <v>639</v>
      </c>
      <c r="L577" s="398" t="s">
        <v>1327</v>
      </c>
      <c r="M577" s="343"/>
      <c r="N577" s="807"/>
      <c r="O577" s="219" t="s">
        <v>147</v>
      </c>
      <c r="P577" s="349"/>
      <c r="Q577" s="343"/>
      <c r="R577" s="349"/>
      <c r="S577" s="334" t="s">
        <v>25</v>
      </c>
      <c r="T577" s="354"/>
      <c r="U577" s="403"/>
      <c r="V577" s="406">
        <v>0</v>
      </c>
      <c r="W577" s="406">
        <v>44.39</v>
      </c>
      <c r="X577" s="430"/>
      <c r="Y577" s="137"/>
      <c r="Z577" s="789">
        <v>44.95</v>
      </c>
      <c r="AA577" s="785">
        <v>-0.67</v>
      </c>
      <c r="AB577" s="785">
        <v>0.11</v>
      </c>
      <c r="AC577" s="428">
        <v>0.56000000000000005</v>
      </c>
      <c r="AD577" s="429">
        <v>-0.46</v>
      </c>
      <c r="AE577" s="429">
        <v>0.08</v>
      </c>
      <c r="AF577" s="429">
        <v>0</v>
      </c>
      <c r="AG577" s="368">
        <v>0</v>
      </c>
      <c r="AH577" s="368">
        <v>0</v>
      </c>
      <c r="AI577" s="368">
        <v>0</v>
      </c>
      <c r="AJ577" s="368">
        <v>0</v>
      </c>
      <c r="AK577" s="368">
        <v>0</v>
      </c>
      <c r="AL577" s="367">
        <f t="shared" si="32"/>
        <v>44.57</v>
      </c>
      <c r="AM577" s="362">
        <f>ERP_8[[#This Row],[2026 Working Total]]-ERP_8[[#This Row],[LE2 Final Submission]]</f>
        <v>0.17999999999999972</v>
      </c>
      <c r="AN577" s="227">
        <v>0</v>
      </c>
      <c r="AO577" s="227">
        <f t="shared" si="33"/>
        <v>0.08</v>
      </c>
      <c r="AP577" s="374">
        <f>SUM(ERP_8[[#This Row],[AP01]:[AP07]])-SUM(ERP_8[[#This Row],[AP01 LE2]:[AP07 LE2]])</f>
        <v>0.17999999999999972</v>
      </c>
      <c r="AQ577" s="80"/>
      <c r="AR577" s="79">
        <f>ERP_8[[#This Row],[2026 Working Total to Budget/LE]]-ERP_8[[#This Row],[Giveback]]</f>
        <v>0.17999999999999972</v>
      </c>
      <c r="AS577" s="81"/>
      <c r="AT577" s="375">
        <v>44.95</v>
      </c>
      <c r="AU577" s="375">
        <v>-0.67</v>
      </c>
      <c r="AV577" s="375">
        <v>0.11</v>
      </c>
      <c r="AW577" s="375">
        <v>0</v>
      </c>
      <c r="AX577" s="375">
        <v>0</v>
      </c>
      <c r="AY577" s="375">
        <v>0</v>
      </c>
      <c r="AZ577" s="375">
        <v>0</v>
      </c>
      <c r="BA577" s="375">
        <v>0</v>
      </c>
      <c r="BB577" s="375">
        <v>0</v>
      </c>
      <c r="BC577" s="375">
        <v>0</v>
      </c>
      <c r="BD577" s="375">
        <v>0</v>
      </c>
      <c r="BE577" s="375">
        <v>0</v>
      </c>
      <c r="BF577" s="375">
        <v>44.39</v>
      </c>
      <c r="BG577" s="227">
        <v>44.95</v>
      </c>
      <c r="BH577" s="227">
        <v>-0.67</v>
      </c>
      <c r="BI577" s="227">
        <v>0.11</v>
      </c>
      <c r="BJ577" s="227">
        <v>0</v>
      </c>
      <c r="BK577" s="227">
        <v>0</v>
      </c>
      <c r="BL577" s="227">
        <v>0</v>
      </c>
      <c r="BM577" s="227">
        <v>0</v>
      </c>
      <c r="BN577" s="227">
        <v>0</v>
      </c>
      <c r="BO577" s="227">
        <v>0</v>
      </c>
      <c r="BP577" s="227">
        <v>0</v>
      </c>
      <c r="BQ577" s="227">
        <v>0</v>
      </c>
      <c r="BR577" s="227">
        <v>0</v>
      </c>
      <c r="BS577" s="227">
        <v>44.39</v>
      </c>
    </row>
    <row r="578" spans="1:71" ht="15" hidden="1" customHeight="1">
      <c r="A578" s="227" t="s">
        <v>2647</v>
      </c>
      <c r="B578" s="745" t="s">
        <v>2648</v>
      </c>
      <c r="C578" s="348"/>
      <c r="D578" s="347" t="str">
        <f>_xlfn.TEXTJOIN("_",FALSE,E578,ERP_8[[#This Row],[Expense Category]],ERP_8[[#This Row],[Project Code*]])</f>
        <v>Ganesan, Srinivasan_SOFTWARE_PR12483352</v>
      </c>
      <c r="E578" s="347" t="s">
        <v>1344</v>
      </c>
      <c r="F578" s="348"/>
      <c r="G578" s="150" t="s">
        <v>1136</v>
      </c>
      <c r="H578" s="334" t="s">
        <v>1345</v>
      </c>
      <c r="I578" s="336" t="s">
        <v>1344</v>
      </c>
      <c r="J578" s="335" t="s">
        <v>1346</v>
      </c>
      <c r="K578" s="518" t="s">
        <v>639</v>
      </c>
      <c r="L578" s="397" t="s">
        <v>2649</v>
      </c>
      <c r="M578" s="343" t="s">
        <v>2206</v>
      </c>
      <c r="N578" s="808"/>
      <c r="O578" s="844" t="s">
        <v>2650</v>
      </c>
      <c r="P578" s="347"/>
      <c r="Q578" s="343"/>
      <c r="R578" s="353"/>
      <c r="S578" s="353"/>
      <c r="T578" s="452" t="s">
        <v>2651</v>
      </c>
      <c r="U578" s="402"/>
      <c r="V578" s="358"/>
      <c r="W578" s="379">
        <v>143000</v>
      </c>
      <c r="X578" s="430"/>
      <c r="Y578" s="137"/>
      <c r="Z578" s="789"/>
      <c r="AA578" s="785"/>
      <c r="AB578" s="785"/>
      <c r="AC578" s="428" t="s">
        <v>1142</v>
      </c>
      <c r="AD578" s="429">
        <v>0</v>
      </c>
      <c r="AE578" s="429">
        <v>0</v>
      </c>
      <c r="AF578" s="429" t="s">
        <v>1142</v>
      </c>
      <c r="AG578" s="371">
        <v>143000</v>
      </c>
      <c r="AH578" s="371"/>
      <c r="AI578" s="371">
        <f>143000-143000</f>
        <v>0</v>
      </c>
      <c r="AJ578" s="371"/>
      <c r="AK578" s="371"/>
      <c r="AL578" s="367">
        <f t="shared" si="32"/>
        <v>143000</v>
      </c>
      <c r="AM578" s="362">
        <f>ERP_8[[#This Row],[2026 Working Total]]-ERP_8[[#This Row],[LE2 Final Submission]]</f>
        <v>0</v>
      </c>
      <c r="AN578" s="79"/>
      <c r="AO578" s="227">
        <f t="shared" si="33"/>
        <v>0</v>
      </c>
      <c r="AP578" s="374">
        <f>SUM(ERP_8[[#This Row],[AP01]:[AP07]])-SUM(ERP_8[[#This Row],[AP01 LE2]:[AP07 LE2]])</f>
        <v>0</v>
      </c>
      <c r="AQ578" s="80"/>
      <c r="AR578" s="79">
        <f>ERP_8[[#This Row],[2026 Working Total to Budget/LE]]-ERP_8[[#This Row],[Giveback]]</f>
        <v>0</v>
      </c>
      <c r="AS578" s="81"/>
      <c r="AT578" s="375"/>
      <c r="AU578" s="375"/>
      <c r="AV578" s="375"/>
      <c r="AW578" s="375"/>
      <c r="AX578" s="375"/>
      <c r="AY578" s="375"/>
      <c r="AZ578" s="375"/>
      <c r="BA578" s="375"/>
      <c r="BB578" s="375"/>
      <c r="BC578" s="375">
        <v>143000</v>
      </c>
      <c r="BD578" s="375"/>
      <c r="BE578" s="375"/>
      <c r="BF578" s="375">
        <v>143000</v>
      </c>
      <c r="BG578" s="227"/>
      <c r="BH578" s="227"/>
      <c r="BI578" s="227"/>
      <c r="BJ578" s="227"/>
      <c r="BK578" s="227"/>
      <c r="BL578" s="227"/>
      <c r="BM578" s="227"/>
      <c r="BN578" s="227"/>
      <c r="BO578" s="227"/>
      <c r="BP578" s="227"/>
      <c r="BQ578" s="227"/>
      <c r="BR578" s="227"/>
      <c r="BS578" s="227"/>
    </row>
    <row r="579" spans="1:71" ht="15" hidden="1" customHeight="1">
      <c r="A579" s="215" t="s">
        <v>2652</v>
      </c>
      <c r="B579" s="732" t="s">
        <v>2653</v>
      </c>
      <c r="C579" s="346"/>
      <c r="D579" s="343" t="str">
        <f>_xlfn.TEXTJOIN("_",FALSE,E579,ERP_8[[#This Row],[Expense Category]],ERP_8[[#This Row],[Project Code*]])</f>
        <v>Hase, Raj_SOFTWARE_2026-XFR-0014-B</v>
      </c>
      <c r="E579" s="343" t="s">
        <v>1345</v>
      </c>
      <c r="F579" s="346"/>
      <c r="G579" s="150" t="s">
        <v>1136</v>
      </c>
      <c r="H579" s="334" t="s">
        <v>1345</v>
      </c>
      <c r="I579" s="334" t="s">
        <v>1437</v>
      </c>
      <c r="J579" s="334" t="s">
        <v>1346</v>
      </c>
      <c r="K579" s="516" t="s">
        <v>639</v>
      </c>
      <c r="L579" s="398" t="s">
        <v>2654</v>
      </c>
      <c r="M579" s="343"/>
      <c r="N579" s="807"/>
      <c r="O579" s="219" t="s">
        <v>933</v>
      </c>
      <c r="P579" s="346"/>
      <c r="Q579" s="343"/>
      <c r="R579" s="349"/>
      <c r="S579" s="334" t="s">
        <v>152</v>
      </c>
      <c r="T579" s="354" t="s">
        <v>1992</v>
      </c>
      <c r="U579" s="403"/>
      <c r="V579" s="406">
        <v>39999.960000000014</v>
      </c>
      <c r="W579" s="406">
        <v>0</v>
      </c>
      <c r="X579" s="425"/>
      <c r="Y579" s="71"/>
      <c r="Z579" s="789"/>
      <c r="AA579" s="785"/>
      <c r="AB579" s="785"/>
      <c r="AC579" s="428" t="s">
        <v>1142</v>
      </c>
      <c r="AD579" s="429">
        <v>0</v>
      </c>
      <c r="AE579" s="429">
        <v>0</v>
      </c>
      <c r="AF579" s="429" t="s">
        <v>1142</v>
      </c>
      <c r="AG579" s="369"/>
      <c r="AH579" s="369"/>
      <c r="AI579" s="369"/>
      <c r="AJ579" s="369"/>
      <c r="AK579" s="369"/>
      <c r="AL579" s="367">
        <f t="shared" si="32"/>
        <v>0</v>
      </c>
      <c r="AM579" s="362">
        <f>ERP_8[[#This Row],[2026 Working Total]]-ERP_8[[#This Row],[LE2 Final Submission]]</f>
        <v>0</v>
      </c>
      <c r="AN579" s="79">
        <v>0</v>
      </c>
      <c r="AO579" s="227">
        <f t="shared" si="33"/>
        <v>0</v>
      </c>
      <c r="AP579" s="374">
        <f>SUM(ERP_8[[#This Row],[AP01]:[AP07]])-SUM(ERP_8[[#This Row],[AP01 LE2]:[AP07 LE2]])</f>
        <v>0</v>
      </c>
      <c r="AQ579" s="80"/>
      <c r="AR579" s="79">
        <f>ERP_8[[#This Row],[2026 Working Total to Budget/LE]]-ERP_8[[#This Row],[Giveback]]</f>
        <v>0</v>
      </c>
      <c r="AS579" s="81" t="s">
        <v>2655</v>
      </c>
      <c r="AT579" s="375"/>
      <c r="AU579" s="375"/>
      <c r="AV579" s="375"/>
      <c r="AW579" s="375"/>
      <c r="AX579" s="375"/>
      <c r="AY579" s="375"/>
      <c r="AZ579" s="375"/>
      <c r="BA579" s="375"/>
      <c r="BB579" s="375"/>
      <c r="BC579" s="375"/>
      <c r="BD579" s="375"/>
      <c r="BE579" s="375"/>
      <c r="BF579" s="375">
        <v>0</v>
      </c>
      <c r="BG579" s="227"/>
      <c r="BH579" s="227"/>
      <c r="BI579" s="227"/>
      <c r="BJ579" s="227">
        <v>4000</v>
      </c>
      <c r="BK579" s="227">
        <v>4000</v>
      </c>
      <c r="BL579" s="227">
        <v>4000</v>
      </c>
      <c r="BM579" s="227">
        <v>4000</v>
      </c>
      <c r="BN579" s="227">
        <v>4000</v>
      </c>
      <c r="BO579" s="227">
        <v>4000</v>
      </c>
      <c r="BP579" s="227">
        <v>4000</v>
      </c>
      <c r="BQ579" s="227">
        <v>4000</v>
      </c>
      <c r="BR579" s="227">
        <v>4000</v>
      </c>
      <c r="BS579" s="227">
        <v>36000</v>
      </c>
    </row>
    <row r="580" spans="1:71" ht="15" hidden="1" customHeight="1">
      <c r="A580" s="215" t="s">
        <v>2656</v>
      </c>
      <c r="B580" s="732" t="s">
        <v>934</v>
      </c>
      <c r="C580" s="346"/>
      <c r="D580" s="343" t="str">
        <f>_xlfn.TEXTJOIN("_",FALSE,E580,ERP_8[[#This Row],[Expense Category]],ERP_8[[#This Row],[Project Code*]])</f>
        <v>Hase, Raj_SOFTWARE_2026-XFR-0015-A</v>
      </c>
      <c r="E580" s="343" t="s">
        <v>1345</v>
      </c>
      <c r="F580" s="346"/>
      <c r="G580" s="150" t="s">
        <v>1136</v>
      </c>
      <c r="H580" s="334" t="s">
        <v>1345</v>
      </c>
      <c r="I580" s="334" t="s">
        <v>1345</v>
      </c>
      <c r="J580" s="334" t="s">
        <v>1346</v>
      </c>
      <c r="K580" s="516" t="s">
        <v>639</v>
      </c>
      <c r="L580" s="398" t="s">
        <v>2657</v>
      </c>
      <c r="M580" s="343"/>
      <c r="N580" s="807"/>
      <c r="O580" s="219" t="s">
        <v>935</v>
      </c>
      <c r="P580" s="346"/>
      <c r="Q580" s="343"/>
      <c r="R580" s="349"/>
      <c r="S580" s="334" t="s">
        <v>152</v>
      </c>
      <c r="T580" s="150" t="s">
        <v>2658</v>
      </c>
      <c r="U580" s="403"/>
      <c r="V580" s="406">
        <v>0</v>
      </c>
      <c r="W580" s="406">
        <v>0</v>
      </c>
      <c r="X580" s="430"/>
      <c r="Y580" s="137"/>
      <c r="Z580" s="789"/>
      <c r="AA580" s="785"/>
      <c r="AB580" s="785"/>
      <c r="AC580" s="428" t="s">
        <v>1142</v>
      </c>
      <c r="AD580" s="429">
        <v>0</v>
      </c>
      <c r="AE580" s="429">
        <v>0</v>
      </c>
      <c r="AF580" s="429" t="s">
        <v>1142</v>
      </c>
      <c r="AG580" s="888">
        <v>81120</v>
      </c>
      <c r="AH580" s="888">
        <v>-81120</v>
      </c>
      <c r="AI580" s="369">
        <v>0</v>
      </c>
      <c r="AJ580" s="369">
        <v>0</v>
      </c>
      <c r="AK580" s="888">
        <v>0</v>
      </c>
      <c r="AL580" s="367">
        <f t="shared" ref="AL580:AL643" si="34">SUM(Z580:AK580)</f>
        <v>0</v>
      </c>
      <c r="AM580" s="362">
        <f>ERP_8[[#This Row],[2026 Working Total]]-ERP_8[[#This Row],[LE2 Final Submission]]</f>
        <v>0</v>
      </c>
      <c r="AN580" s="79">
        <v>0</v>
      </c>
      <c r="AO580" s="227">
        <f t="shared" si="33"/>
        <v>0</v>
      </c>
      <c r="AP580" s="374">
        <f>SUM(ERP_8[[#This Row],[AP01]:[AP07]])-SUM(ERP_8[[#This Row],[AP01 LE2]:[AP07 LE2]])</f>
        <v>0</v>
      </c>
      <c r="AQ580" s="80"/>
      <c r="AR580" s="79">
        <f>ERP_8[[#This Row],[2026 Working Total to Budget/LE]]-ERP_8[[#This Row],[Giveback]]</f>
        <v>0</v>
      </c>
      <c r="AS580" s="81"/>
      <c r="AT580" s="375"/>
      <c r="AU580" s="375"/>
      <c r="AV580" s="375"/>
      <c r="AW580" s="375">
        <v>0</v>
      </c>
      <c r="AX580" s="375">
        <v>0</v>
      </c>
      <c r="AY580" s="375">
        <v>0</v>
      </c>
      <c r="AZ580" s="375">
        <v>0</v>
      </c>
      <c r="BA580" s="375">
        <v>81120</v>
      </c>
      <c r="BB580" s="375">
        <v>-81120</v>
      </c>
      <c r="BC580" s="375">
        <v>0</v>
      </c>
      <c r="BD580" s="375">
        <v>0</v>
      </c>
      <c r="BE580" s="375">
        <v>0</v>
      </c>
      <c r="BF580" s="375">
        <v>0</v>
      </c>
      <c r="BG580" s="227"/>
      <c r="BH580" s="227"/>
      <c r="BI580" s="227"/>
      <c r="BJ580" s="227">
        <v>3235.5</v>
      </c>
      <c r="BK580" s="227">
        <v>3235.5</v>
      </c>
      <c r="BL580" s="227">
        <v>3235.5</v>
      </c>
      <c r="BM580" s="227">
        <v>3235.5</v>
      </c>
      <c r="BN580" s="227">
        <v>3235.5</v>
      </c>
      <c r="BO580" s="227">
        <v>3235.5</v>
      </c>
      <c r="BP580" s="227">
        <v>3235.5</v>
      </c>
      <c r="BQ580" s="227">
        <v>3235.5</v>
      </c>
      <c r="BR580" s="227">
        <v>-35590.5</v>
      </c>
      <c r="BS580" s="227">
        <v>-9706.5</v>
      </c>
    </row>
    <row r="581" spans="1:71" ht="15" hidden="1" customHeight="1">
      <c r="A581" s="215" t="s">
        <v>2659</v>
      </c>
      <c r="B581" s="732" t="s">
        <v>936</v>
      </c>
      <c r="C581" s="346"/>
      <c r="D581" s="343" t="str">
        <f>_xlfn.TEXTJOIN("_",FALSE,E581,ERP_8[[#This Row],[Expense Category]],ERP_8[[#This Row],[Project Code*]])</f>
        <v>Hase, Raj_SOFTWARE_2026-XFR-LD001</v>
      </c>
      <c r="E581" s="343" t="s">
        <v>1345</v>
      </c>
      <c r="F581" s="346"/>
      <c r="G581" s="150" t="s">
        <v>1136</v>
      </c>
      <c r="H581" s="334" t="s">
        <v>1345</v>
      </c>
      <c r="I581" s="334" t="s">
        <v>1345</v>
      </c>
      <c r="J581" s="334" t="s">
        <v>1346</v>
      </c>
      <c r="K581" s="516" t="s">
        <v>639</v>
      </c>
      <c r="L581" s="398" t="s">
        <v>2660</v>
      </c>
      <c r="M581" s="343"/>
      <c r="N581" s="807"/>
      <c r="O581" s="219" t="s">
        <v>937</v>
      </c>
      <c r="P581" s="343" t="s">
        <v>1139</v>
      </c>
      <c r="Q581" s="343"/>
      <c r="R581" s="349"/>
      <c r="S581" s="334" t="s">
        <v>152</v>
      </c>
      <c r="T581" s="835" t="s">
        <v>2661</v>
      </c>
      <c r="U581" s="403"/>
      <c r="V581" s="406">
        <v>174240</v>
      </c>
      <c r="W581" s="406">
        <v>0</v>
      </c>
      <c r="X581" s="425"/>
      <c r="Y581" s="71"/>
      <c r="Z581" s="789"/>
      <c r="AA581" s="785"/>
      <c r="AB581" s="785"/>
      <c r="AC581" s="428" t="s">
        <v>1142</v>
      </c>
      <c r="AD581" s="429">
        <v>0</v>
      </c>
      <c r="AE581" s="429">
        <v>0</v>
      </c>
      <c r="AF581" s="429" t="s">
        <v>1142</v>
      </c>
      <c r="AG581" s="369">
        <f>14520-14520</f>
        <v>0</v>
      </c>
      <c r="AH581" s="369">
        <f>14520-14520</f>
        <v>0</v>
      </c>
      <c r="AI581" s="369">
        <f>14520-14520</f>
        <v>0</v>
      </c>
      <c r="AJ581" s="369">
        <f>14520-14520</f>
        <v>0</v>
      </c>
      <c r="AK581" s="369">
        <f>14520-14520</f>
        <v>0</v>
      </c>
      <c r="AL581" s="367">
        <f t="shared" si="34"/>
        <v>0</v>
      </c>
      <c r="AM581" s="362">
        <f>ERP_8[[#This Row],[2026 Working Total]]-ERP_8[[#This Row],[LE2 Final Submission]]</f>
        <v>0</v>
      </c>
      <c r="AN581" s="79">
        <v>0</v>
      </c>
      <c r="AO581" s="227">
        <f t="shared" si="33"/>
        <v>0</v>
      </c>
      <c r="AP581" s="374">
        <f>SUM(ERP_8[[#This Row],[AP01]:[AP07]])-SUM(ERP_8[[#This Row],[AP01 LE2]:[AP07 LE2]])</f>
        <v>0</v>
      </c>
      <c r="AQ581" s="80"/>
      <c r="AR581" s="79">
        <f>ERP_8[[#This Row],[2026 Working Total to Budget/LE]]-ERP_8[[#This Row],[Giveback]]</f>
        <v>0</v>
      </c>
      <c r="AS581" s="81"/>
      <c r="AT581" s="375"/>
      <c r="AU581" s="375"/>
      <c r="AV581" s="375"/>
      <c r="AW581" s="375">
        <v>0</v>
      </c>
      <c r="AX581" s="375">
        <v>0</v>
      </c>
      <c r="AY581" s="375">
        <v>0</v>
      </c>
      <c r="AZ581" s="375">
        <v>0</v>
      </c>
      <c r="BA581" s="375">
        <v>0</v>
      </c>
      <c r="BB581" s="375">
        <v>0</v>
      </c>
      <c r="BC581" s="375">
        <v>0</v>
      </c>
      <c r="BD581" s="375">
        <v>0</v>
      </c>
      <c r="BE581" s="375">
        <v>0</v>
      </c>
      <c r="BF581" s="375">
        <v>0</v>
      </c>
      <c r="BG581" s="227"/>
      <c r="BH581" s="227"/>
      <c r="BI581" s="227"/>
      <c r="BJ581" s="227">
        <v>14520</v>
      </c>
      <c r="BK581" s="227">
        <v>14520</v>
      </c>
      <c r="BL581" s="227">
        <v>14520</v>
      </c>
      <c r="BM581" s="227">
        <v>14520</v>
      </c>
      <c r="BN581" s="227">
        <v>14520</v>
      </c>
      <c r="BO581" s="227">
        <v>14520</v>
      </c>
      <c r="BP581" s="227">
        <v>14520</v>
      </c>
      <c r="BQ581" s="227">
        <v>14520</v>
      </c>
      <c r="BR581" s="227">
        <v>14520</v>
      </c>
      <c r="BS581" s="227">
        <v>130680</v>
      </c>
    </row>
    <row r="582" spans="1:71" ht="15" hidden="1" customHeight="1">
      <c r="A582" s="215" t="s">
        <v>2662</v>
      </c>
      <c r="B582" s="732" t="s">
        <v>938</v>
      </c>
      <c r="C582" s="346"/>
      <c r="D582" s="343" t="str">
        <f>_xlfn.TEXTJOIN("_",FALSE,E582,ERP_8[[#This Row],[Expense Category]],ERP_8[[#This Row],[Project Code*]])</f>
        <v>Hase, Raj_SOFTWARE_2026-XFR-LD002</v>
      </c>
      <c r="E582" s="343" t="s">
        <v>1345</v>
      </c>
      <c r="F582" s="346"/>
      <c r="G582" s="150" t="s">
        <v>1136</v>
      </c>
      <c r="H582" s="334" t="s">
        <v>1345</v>
      </c>
      <c r="I582" s="334" t="s">
        <v>1345</v>
      </c>
      <c r="J582" s="334" t="s">
        <v>1346</v>
      </c>
      <c r="K582" s="516" t="s">
        <v>639</v>
      </c>
      <c r="L582" s="398" t="s">
        <v>2663</v>
      </c>
      <c r="M582" s="343"/>
      <c r="N582" s="807"/>
      <c r="O582" s="219" t="s">
        <v>939</v>
      </c>
      <c r="P582" s="343" t="s">
        <v>1139</v>
      </c>
      <c r="Q582" s="343"/>
      <c r="R582" s="349"/>
      <c r="S582" s="334" t="s">
        <v>152</v>
      </c>
      <c r="T582" s="835" t="s">
        <v>2661</v>
      </c>
      <c r="U582" s="403"/>
      <c r="V582" s="406">
        <v>266860.99999999988</v>
      </c>
      <c r="W582" s="406">
        <v>0</v>
      </c>
      <c r="X582" s="425"/>
      <c r="Y582" s="71"/>
      <c r="Z582" s="789"/>
      <c r="AA582" s="785"/>
      <c r="AB582" s="785"/>
      <c r="AC582" s="428" t="s">
        <v>1142</v>
      </c>
      <c r="AD582" s="429">
        <v>0</v>
      </c>
      <c r="AE582" s="429">
        <v>0</v>
      </c>
      <c r="AF582" s="429" t="s">
        <v>1142</v>
      </c>
      <c r="AG582" s="369">
        <f>22238.42-22238.42</f>
        <v>0</v>
      </c>
      <c r="AH582" s="369">
        <f>22238.42-22238.42</f>
        <v>0</v>
      </c>
      <c r="AI582" s="369">
        <f>22238.42-22238.42</f>
        <v>0</v>
      </c>
      <c r="AJ582" s="369">
        <f>22238.42-22238.42</f>
        <v>0</v>
      </c>
      <c r="AK582" s="369">
        <f>22238.42-22238.42</f>
        <v>0</v>
      </c>
      <c r="AL582" s="367">
        <f t="shared" si="34"/>
        <v>0</v>
      </c>
      <c r="AM582" s="362">
        <f>ERP_8[[#This Row],[2026 Working Total]]-ERP_8[[#This Row],[LE2 Final Submission]]</f>
        <v>0</v>
      </c>
      <c r="AN582" s="79">
        <v>0</v>
      </c>
      <c r="AO582" s="227">
        <f t="shared" si="33"/>
        <v>0</v>
      </c>
      <c r="AP582" s="374">
        <f>SUM(ERP_8[[#This Row],[AP01]:[AP07]])-SUM(ERP_8[[#This Row],[AP01 LE2]:[AP07 LE2]])</f>
        <v>0</v>
      </c>
      <c r="AQ582" s="80"/>
      <c r="AR582" s="79">
        <f>ERP_8[[#This Row],[2026 Working Total to Budget/LE]]-ERP_8[[#This Row],[Giveback]]</f>
        <v>0</v>
      </c>
      <c r="AS582" s="81"/>
      <c r="AT582" s="375"/>
      <c r="AU582" s="375"/>
      <c r="AV582" s="375"/>
      <c r="AW582" s="375">
        <v>0</v>
      </c>
      <c r="AX582" s="375">
        <v>0</v>
      </c>
      <c r="AY582" s="375">
        <v>0</v>
      </c>
      <c r="AZ582" s="375">
        <v>0</v>
      </c>
      <c r="BA582" s="375">
        <v>0</v>
      </c>
      <c r="BB582" s="375">
        <v>0</v>
      </c>
      <c r="BC582" s="375">
        <v>0</v>
      </c>
      <c r="BD582" s="375">
        <v>0</v>
      </c>
      <c r="BE582" s="375">
        <v>0</v>
      </c>
      <c r="BF582" s="375">
        <v>0</v>
      </c>
      <c r="BG582" s="227"/>
      <c r="BH582" s="227"/>
      <c r="BI582" s="227"/>
      <c r="BJ582" s="227">
        <v>22238.42</v>
      </c>
      <c r="BK582" s="227">
        <v>22238.42</v>
      </c>
      <c r="BL582" s="227">
        <v>22238.42</v>
      </c>
      <c r="BM582" s="227">
        <v>22238.42</v>
      </c>
      <c r="BN582" s="227">
        <v>22238.42</v>
      </c>
      <c r="BO582" s="227">
        <v>22238.42</v>
      </c>
      <c r="BP582" s="227">
        <v>22238.42</v>
      </c>
      <c r="BQ582" s="227">
        <v>22238.42</v>
      </c>
      <c r="BR582" s="227">
        <v>22238.42</v>
      </c>
      <c r="BS582" s="227">
        <v>200145.77999999997</v>
      </c>
    </row>
    <row r="583" spans="1:71" ht="15" hidden="1" customHeight="1">
      <c r="A583" s="215" t="s">
        <v>2664</v>
      </c>
      <c r="B583" s="732" t="s">
        <v>940</v>
      </c>
      <c r="C583" s="346"/>
      <c r="D583" s="343" t="str">
        <f>_xlfn.TEXTJOIN("_",FALSE,E583,ERP_8[[#This Row],[Expense Category]],ERP_8[[#This Row],[Project Code*]])</f>
        <v>Hase, Raj_SOFTWARE_ColleagueSolutions001</v>
      </c>
      <c r="E583" s="343" t="s">
        <v>1345</v>
      </c>
      <c r="F583" s="346"/>
      <c r="G583" s="150" t="s">
        <v>1136</v>
      </c>
      <c r="H583" s="334" t="s">
        <v>1345</v>
      </c>
      <c r="I583" s="334" t="s">
        <v>1345</v>
      </c>
      <c r="J583" s="334" t="s">
        <v>1346</v>
      </c>
      <c r="K583" s="516" t="s">
        <v>639</v>
      </c>
      <c r="L583" s="398" t="s">
        <v>1138</v>
      </c>
      <c r="M583" s="343"/>
      <c r="N583" s="807"/>
      <c r="O583" s="219" t="s">
        <v>51</v>
      </c>
      <c r="P583" s="346" t="s">
        <v>1139</v>
      </c>
      <c r="Q583" s="346" t="s">
        <v>1140</v>
      </c>
      <c r="R583" s="349"/>
      <c r="S583" s="334" t="s">
        <v>25</v>
      </c>
      <c r="T583" s="150"/>
      <c r="U583" s="403"/>
      <c r="V583" s="406">
        <v>0</v>
      </c>
      <c r="W583" s="406">
        <v>218.76</v>
      </c>
      <c r="X583" s="430"/>
      <c r="Y583" s="137"/>
      <c r="Z583" s="789"/>
      <c r="AA583" s="785">
        <v>218.76</v>
      </c>
      <c r="AB583" s="785">
        <v>0</v>
      </c>
      <c r="AC583" s="428">
        <v>0</v>
      </c>
      <c r="AD583" s="429">
        <v>0</v>
      </c>
      <c r="AE583" s="429">
        <v>0</v>
      </c>
      <c r="AF583" s="429">
        <v>0</v>
      </c>
      <c r="AG583" s="368">
        <v>0</v>
      </c>
      <c r="AH583" s="368">
        <v>0</v>
      </c>
      <c r="AI583" s="368">
        <v>0</v>
      </c>
      <c r="AJ583" s="368">
        <v>0</v>
      </c>
      <c r="AK583" s="368">
        <v>0</v>
      </c>
      <c r="AL583" s="367">
        <f t="shared" si="34"/>
        <v>218.76</v>
      </c>
      <c r="AM583" s="362">
        <f>ERP_8[[#This Row],[2026 Working Total]]-ERP_8[[#This Row],[LE2 Final Submission]]</f>
        <v>0</v>
      </c>
      <c r="AN583" s="79">
        <v>0</v>
      </c>
      <c r="AO583" s="227">
        <f t="shared" si="33"/>
        <v>0</v>
      </c>
      <c r="AP583" s="374">
        <f>SUM(ERP_8[[#This Row],[AP01]:[AP07]])-SUM(ERP_8[[#This Row],[AP01 LE2]:[AP07 LE2]])</f>
        <v>0</v>
      </c>
      <c r="AQ583" s="80"/>
      <c r="AR583" s="79">
        <f>ERP_8[[#This Row],[2026 Working Total to Budget/LE]]-ERP_8[[#This Row],[Giveback]]</f>
        <v>0</v>
      </c>
      <c r="AS583" s="81"/>
      <c r="AT583" s="375"/>
      <c r="AU583" s="375">
        <v>218.76</v>
      </c>
      <c r="AV583" s="375">
        <v>0</v>
      </c>
      <c r="AW583" s="375">
        <v>0</v>
      </c>
      <c r="AX583" s="375">
        <v>0</v>
      </c>
      <c r="AY583" s="375">
        <v>0</v>
      </c>
      <c r="AZ583" s="375">
        <v>0</v>
      </c>
      <c r="BA583" s="375">
        <v>0</v>
      </c>
      <c r="BB583" s="375">
        <v>0</v>
      </c>
      <c r="BC583" s="375">
        <v>0</v>
      </c>
      <c r="BD583" s="375">
        <v>0</v>
      </c>
      <c r="BE583" s="375">
        <v>0</v>
      </c>
      <c r="BF583" s="375">
        <v>218.76</v>
      </c>
      <c r="BG583" s="227"/>
      <c r="BH583" s="227">
        <v>218.76</v>
      </c>
      <c r="BI583" s="227">
        <v>0</v>
      </c>
      <c r="BJ583" s="227">
        <v>0</v>
      </c>
      <c r="BK583" s="227">
        <v>0</v>
      </c>
      <c r="BL583" s="227">
        <v>0</v>
      </c>
      <c r="BM583" s="227">
        <v>0</v>
      </c>
      <c r="BN583" s="227">
        <v>0</v>
      </c>
      <c r="BO583" s="227">
        <v>0</v>
      </c>
      <c r="BP583" s="227">
        <v>0</v>
      </c>
      <c r="BQ583" s="227">
        <v>0</v>
      </c>
      <c r="BR583" s="227">
        <v>0</v>
      </c>
      <c r="BS583" s="227">
        <v>218.76</v>
      </c>
    </row>
    <row r="584" spans="1:71" ht="15" hidden="1" customHeight="1">
      <c r="A584" s="215" t="s">
        <v>2665</v>
      </c>
      <c r="B584" s="732" t="s">
        <v>2666</v>
      </c>
      <c r="C584" s="346"/>
      <c r="D584" s="343" t="str">
        <f>_xlfn.TEXTJOIN("_",FALSE,E584,ERP_8[[#This Row],[Expense Category]],ERP_8[[#This Row],[Project Code*]])</f>
        <v>Hase, Raj_SOFTWARE_ColleagueSolutions001</v>
      </c>
      <c r="E584" s="343" t="s">
        <v>1345</v>
      </c>
      <c r="F584" s="346"/>
      <c r="G584" s="150" t="s">
        <v>1136</v>
      </c>
      <c r="H584" s="334" t="s">
        <v>1345</v>
      </c>
      <c r="I584" s="334" t="s">
        <v>1437</v>
      </c>
      <c r="J584" s="334" t="s">
        <v>1346</v>
      </c>
      <c r="K584" s="516" t="s">
        <v>639</v>
      </c>
      <c r="L584" s="398" t="s">
        <v>1138</v>
      </c>
      <c r="M584" s="343"/>
      <c r="N584" s="807"/>
      <c r="O584" s="219" t="s">
        <v>51</v>
      </c>
      <c r="P584" s="349" t="s">
        <v>1139</v>
      </c>
      <c r="Q584" s="346" t="s">
        <v>1140</v>
      </c>
      <c r="R584" s="349"/>
      <c r="S584" s="334" t="s">
        <v>25</v>
      </c>
      <c r="T584" s="354"/>
      <c r="U584" s="403"/>
      <c r="V584" s="406">
        <v>0</v>
      </c>
      <c r="W584" s="406">
        <v>431.03</v>
      </c>
      <c r="X584" s="425"/>
      <c r="Y584" s="71"/>
      <c r="Z584" s="789"/>
      <c r="AA584" s="785">
        <v>431.03</v>
      </c>
      <c r="AB584" s="785">
        <v>0</v>
      </c>
      <c r="AC584" s="428">
        <v>0</v>
      </c>
      <c r="AD584" s="429">
        <v>0</v>
      </c>
      <c r="AE584" s="429">
        <v>0</v>
      </c>
      <c r="AF584" s="429">
        <v>0</v>
      </c>
      <c r="AG584" s="368">
        <v>0</v>
      </c>
      <c r="AH584" s="368">
        <v>0</v>
      </c>
      <c r="AI584" s="368">
        <v>0</v>
      </c>
      <c r="AJ584" s="368">
        <v>0</v>
      </c>
      <c r="AK584" s="368">
        <v>0</v>
      </c>
      <c r="AL584" s="367">
        <f t="shared" si="34"/>
        <v>431.03</v>
      </c>
      <c r="AM584" s="362">
        <f>ERP_8[[#This Row],[2026 Working Total]]-ERP_8[[#This Row],[LE2 Final Submission]]</f>
        <v>0</v>
      </c>
      <c r="AN584" s="79">
        <v>0</v>
      </c>
      <c r="AO584" s="227">
        <f t="shared" si="33"/>
        <v>0</v>
      </c>
      <c r="AP584" s="374">
        <f>SUM(ERP_8[[#This Row],[AP01]:[AP07]])-SUM(ERP_8[[#This Row],[AP01 LE2]:[AP07 LE2]])</f>
        <v>0</v>
      </c>
      <c r="AQ584" s="80"/>
      <c r="AR584" s="79">
        <f>ERP_8[[#This Row],[2026 Working Total to Budget/LE]]-ERP_8[[#This Row],[Giveback]]</f>
        <v>0</v>
      </c>
      <c r="AS584" s="81"/>
      <c r="AT584" s="375"/>
      <c r="AU584" s="375">
        <v>431.03</v>
      </c>
      <c r="AV584" s="375">
        <v>0</v>
      </c>
      <c r="AW584" s="375">
        <v>0</v>
      </c>
      <c r="AX584" s="375">
        <v>0</v>
      </c>
      <c r="AY584" s="375">
        <v>0</v>
      </c>
      <c r="AZ584" s="375">
        <v>0</v>
      </c>
      <c r="BA584" s="375">
        <v>0</v>
      </c>
      <c r="BB584" s="375">
        <v>0</v>
      </c>
      <c r="BC584" s="375">
        <v>0</v>
      </c>
      <c r="BD584" s="375">
        <v>0</v>
      </c>
      <c r="BE584" s="375">
        <v>0</v>
      </c>
      <c r="BF584" s="375">
        <v>431.03</v>
      </c>
      <c r="BG584" s="227"/>
      <c r="BH584" s="227">
        <v>431.03</v>
      </c>
      <c r="BI584" s="227">
        <v>0</v>
      </c>
      <c r="BJ584" s="227">
        <v>0</v>
      </c>
      <c r="BK584" s="227">
        <v>0</v>
      </c>
      <c r="BL584" s="227">
        <v>0</v>
      </c>
      <c r="BM584" s="227">
        <v>0</v>
      </c>
      <c r="BN584" s="227">
        <v>0</v>
      </c>
      <c r="BO584" s="227">
        <v>0</v>
      </c>
      <c r="BP584" s="227">
        <v>0</v>
      </c>
      <c r="BQ584" s="227">
        <v>0</v>
      </c>
      <c r="BR584" s="227">
        <v>0</v>
      </c>
      <c r="BS584" s="227">
        <v>431.03</v>
      </c>
    </row>
    <row r="585" spans="1:71" ht="15" hidden="1" customHeight="1">
      <c r="A585" s="227" t="s">
        <v>2667</v>
      </c>
      <c r="B585" s="745" t="s">
        <v>941</v>
      </c>
      <c r="C585" s="348"/>
      <c r="D585" s="347" t="str">
        <f>_xlfn.TEXTJOIN("_",FALSE,E585,ERP_8[[#This Row],[Expense Category]],ERP_8[[#This Row],[Project Code*]])</f>
        <v>Hase, Raj_SOFTWARE_EnhanceChargeout001</v>
      </c>
      <c r="E585" s="347" t="s">
        <v>1345</v>
      </c>
      <c r="F585" s="348"/>
      <c r="G585" s="150" t="s">
        <v>1136</v>
      </c>
      <c r="H585" s="336" t="s">
        <v>1345</v>
      </c>
      <c r="I585" s="336" t="s">
        <v>1345</v>
      </c>
      <c r="J585" s="336" t="s">
        <v>1345</v>
      </c>
      <c r="K585" s="518" t="s">
        <v>639</v>
      </c>
      <c r="L585" s="397" t="s">
        <v>2668</v>
      </c>
      <c r="M585" s="343"/>
      <c r="N585" s="807" t="s">
        <v>1140</v>
      </c>
      <c r="O585" s="219" t="s">
        <v>53</v>
      </c>
      <c r="P585" s="351"/>
      <c r="Q585" s="343"/>
      <c r="R585" s="353"/>
      <c r="S585" s="353"/>
      <c r="T585" s="452" t="s">
        <v>1700</v>
      </c>
      <c r="U585" s="402"/>
      <c r="V585" s="358"/>
      <c r="W585" s="379">
        <v>0</v>
      </c>
      <c r="X585" s="425"/>
      <c r="Y585" s="71"/>
      <c r="Z585" s="789"/>
      <c r="AA585" s="785"/>
      <c r="AB585" s="785"/>
      <c r="AC585" s="428" t="s">
        <v>1142</v>
      </c>
      <c r="AD585" s="429">
        <v>0</v>
      </c>
      <c r="AE585" s="429">
        <v>0</v>
      </c>
      <c r="AF585" s="429" t="s">
        <v>1142</v>
      </c>
      <c r="AG585" s="371"/>
      <c r="AH585" s="371"/>
      <c r="AI585" s="371"/>
      <c r="AJ585" s="371"/>
      <c r="AK585" s="371"/>
      <c r="AL585" s="367">
        <f t="shared" si="34"/>
        <v>0</v>
      </c>
      <c r="AM585" s="362">
        <f>ERP_8[[#This Row],[2026 Working Total]]-ERP_8[[#This Row],[LE2 Final Submission]]</f>
        <v>0</v>
      </c>
      <c r="AN585" s="79">
        <v>0</v>
      </c>
      <c r="AO585" s="227">
        <f t="shared" si="33"/>
        <v>0</v>
      </c>
      <c r="AP585" s="374">
        <f>SUM(ERP_8[[#This Row],[AP01]:[AP07]])-SUM(ERP_8[[#This Row],[AP01 LE2]:[AP07 LE2]])</f>
        <v>0</v>
      </c>
      <c r="AQ585" s="80"/>
      <c r="AR585" s="79">
        <f>ERP_8[[#This Row],[2026 Working Total to Budget/LE]]-ERP_8[[#This Row],[Giveback]]</f>
        <v>0</v>
      </c>
      <c r="AS585" s="81"/>
      <c r="AT585" s="375"/>
      <c r="AU585" s="375"/>
      <c r="AV585" s="375"/>
      <c r="AW585" s="375">
        <v>180</v>
      </c>
      <c r="AX585" s="375">
        <v>-180</v>
      </c>
      <c r="AY585" s="375"/>
      <c r="AZ585" s="375"/>
      <c r="BA585" s="375"/>
      <c r="BB585" s="375"/>
      <c r="BC585" s="375"/>
      <c r="BD585" s="375"/>
      <c r="BE585" s="375"/>
      <c r="BF585" s="375">
        <v>0</v>
      </c>
      <c r="BG585" s="227"/>
      <c r="BH585" s="227"/>
      <c r="BI585" s="227"/>
      <c r="BJ585" s="227"/>
      <c r="BK585" s="227"/>
      <c r="BL585" s="227"/>
      <c r="BM585" s="227"/>
      <c r="BN585" s="227"/>
      <c r="BO585" s="227"/>
      <c r="BP585" s="227"/>
      <c r="BQ585" s="227"/>
      <c r="BR585" s="227"/>
      <c r="BS585" s="227"/>
    </row>
    <row r="586" spans="1:71" ht="15" hidden="1" customHeight="1">
      <c r="A586" s="215" t="s">
        <v>2669</v>
      </c>
      <c r="B586" s="732" t="s">
        <v>2670</v>
      </c>
      <c r="C586" s="346"/>
      <c r="D586" s="343" t="str">
        <f>_xlfn.TEXTJOIN("_",FALSE,E586,ERP_8[[#This Row],[Expense Category]],ERP_8[[#This Row],[Project Code*]])</f>
        <v>Hase, Raj_SOFTWARE_EP&amp;SCharges001</v>
      </c>
      <c r="E586" s="343" t="s">
        <v>1345</v>
      </c>
      <c r="F586" s="346"/>
      <c r="G586" s="150" t="s">
        <v>1136</v>
      </c>
      <c r="H586" s="334" t="s">
        <v>1345</v>
      </c>
      <c r="I586" s="334" t="s">
        <v>1437</v>
      </c>
      <c r="J586" s="334" t="s">
        <v>1346</v>
      </c>
      <c r="K586" s="516" t="s">
        <v>639</v>
      </c>
      <c r="L586" s="398" t="s">
        <v>1174</v>
      </c>
      <c r="M586" s="343"/>
      <c r="N586" s="807"/>
      <c r="O586" s="219" t="s">
        <v>56</v>
      </c>
      <c r="P586" s="349"/>
      <c r="Q586" s="346" t="s">
        <v>1140</v>
      </c>
      <c r="R586" s="349"/>
      <c r="S586" s="334" t="s">
        <v>57</v>
      </c>
      <c r="T586" s="354"/>
      <c r="U586" s="403"/>
      <c r="V586" s="406">
        <v>23474.640000000003</v>
      </c>
      <c r="W586" s="406">
        <v>27085.450000000004</v>
      </c>
      <c r="X586" s="425"/>
      <c r="Y586" s="71"/>
      <c r="Z586" s="789">
        <v>1816.49</v>
      </c>
      <c r="AA586" s="785">
        <v>1816.49</v>
      </c>
      <c r="AB586" s="785">
        <v>5846.49</v>
      </c>
      <c r="AC586" s="428">
        <v>1816.49</v>
      </c>
      <c r="AD586" s="429">
        <v>1816.49</v>
      </c>
      <c r="AE586" s="429">
        <v>1816.49</v>
      </c>
      <c r="AF586" s="429">
        <v>279.45999999999998</v>
      </c>
      <c r="AG586" s="369">
        <v>1956.22</v>
      </c>
      <c r="AH586" s="369">
        <v>1956.22</v>
      </c>
      <c r="AI586" s="369">
        <v>1956.22</v>
      </c>
      <c r="AJ586" s="369">
        <v>1956.22</v>
      </c>
      <c r="AK586" s="369">
        <v>1956.22</v>
      </c>
      <c r="AL586" s="367">
        <f t="shared" si="34"/>
        <v>24989.500000000004</v>
      </c>
      <c r="AM586" s="362">
        <f>ERP_8[[#This Row],[2026 Working Total]]-ERP_8[[#This Row],[LE2 Final Submission]]</f>
        <v>-2095.9500000000007</v>
      </c>
      <c r="AN586" s="79">
        <v>0</v>
      </c>
      <c r="AO586" s="227">
        <f t="shared" si="33"/>
        <v>1816.49</v>
      </c>
      <c r="AP586" s="374">
        <f>SUM(ERP_8[[#This Row],[AP01]:[AP07]])-SUM(ERP_8[[#This Row],[AP01 LE2]:[AP07 LE2]])</f>
        <v>-2095.9500000000007</v>
      </c>
      <c r="AQ586" s="80"/>
      <c r="AR586" s="79">
        <f>ERP_8[[#This Row],[2026 Working Total to Budget/LE]]-ERP_8[[#This Row],[Giveback]]</f>
        <v>-2095.9500000000007</v>
      </c>
      <c r="AS586" s="81"/>
      <c r="AT586" s="375">
        <v>1816.49</v>
      </c>
      <c r="AU586" s="375">
        <v>1816.49</v>
      </c>
      <c r="AV586" s="375">
        <v>5846.49</v>
      </c>
      <c r="AW586" s="375">
        <v>1956.22</v>
      </c>
      <c r="AX586" s="375">
        <v>1956.22</v>
      </c>
      <c r="AY586" s="375">
        <v>1956.22</v>
      </c>
      <c r="AZ586" s="375">
        <v>1956.22</v>
      </c>
      <c r="BA586" s="375">
        <v>1956.22</v>
      </c>
      <c r="BB586" s="375">
        <v>1956.22</v>
      </c>
      <c r="BC586" s="375">
        <v>1956.22</v>
      </c>
      <c r="BD586" s="375">
        <v>1956.22</v>
      </c>
      <c r="BE586" s="375">
        <v>1956.22</v>
      </c>
      <c r="BF586" s="375">
        <v>27085.450000000004</v>
      </c>
      <c r="BG586" s="227">
        <v>1816.49</v>
      </c>
      <c r="BH586" s="227">
        <v>1816.49</v>
      </c>
      <c r="BI586" s="227">
        <v>5846.49</v>
      </c>
      <c r="BJ586" s="227">
        <v>1956.22</v>
      </c>
      <c r="BK586" s="227">
        <v>1956.22</v>
      </c>
      <c r="BL586" s="227">
        <v>1956.22</v>
      </c>
      <c r="BM586" s="227">
        <v>1956.22</v>
      </c>
      <c r="BN586" s="227">
        <v>1956.22</v>
      </c>
      <c r="BO586" s="227">
        <v>1956.22</v>
      </c>
      <c r="BP586" s="227">
        <v>1956.22</v>
      </c>
      <c r="BQ586" s="227">
        <v>1956.22</v>
      </c>
      <c r="BR586" s="227">
        <v>1956.22</v>
      </c>
      <c r="BS586" s="227">
        <v>27085.450000000004</v>
      </c>
    </row>
    <row r="587" spans="1:71" ht="15" hidden="1" customHeight="1">
      <c r="A587" s="215" t="s">
        <v>2671</v>
      </c>
      <c r="B587" s="732" t="s">
        <v>2672</v>
      </c>
      <c r="C587" s="346"/>
      <c r="D587" s="343" t="str">
        <f>_xlfn.TEXTJOIN("_",FALSE,E587,ERP_8[[#This Row],[Expense Category]],ERP_8[[#This Row],[Project Code*]])</f>
        <v>Hase, Raj_SOFTWARE_IT-DATAIKU-01</v>
      </c>
      <c r="E587" s="343" t="s">
        <v>1345</v>
      </c>
      <c r="F587" s="346"/>
      <c r="G587" s="150" t="s">
        <v>1136</v>
      </c>
      <c r="H587" s="334" t="s">
        <v>1345</v>
      </c>
      <c r="I587" s="334" t="s">
        <v>1437</v>
      </c>
      <c r="J587" s="334" t="s">
        <v>1346</v>
      </c>
      <c r="K587" s="516" t="s">
        <v>639</v>
      </c>
      <c r="L587" s="398" t="s">
        <v>2673</v>
      </c>
      <c r="M587" s="343" t="s">
        <v>2674</v>
      </c>
      <c r="N587" s="810" t="s">
        <v>2675</v>
      </c>
      <c r="O587" s="219" t="s">
        <v>944</v>
      </c>
      <c r="P587" s="349"/>
      <c r="Q587" s="346" t="s">
        <v>2676</v>
      </c>
      <c r="R587" s="349"/>
      <c r="S587" s="334" t="s">
        <v>25</v>
      </c>
      <c r="T587" s="354"/>
      <c r="U587" s="403"/>
      <c r="V587" s="406">
        <v>0</v>
      </c>
      <c r="W587" s="406">
        <v>729.19</v>
      </c>
      <c r="X587" s="425"/>
      <c r="Y587" s="71"/>
      <c r="Z587" s="789">
        <v>139.72999999999999</v>
      </c>
      <c r="AA587" s="785">
        <v>139.72999999999999</v>
      </c>
      <c r="AB587" s="785">
        <v>449.73</v>
      </c>
      <c r="AC587" s="428">
        <v>139.72999999999999</v>
      </c>
      <c r="AD587" s="429">
        <v>139.72999999999999</v>
      </c>
      <c r="AE587" s="429">
        <v>139.72999999999999</v>
      </c>
      <c r="AF587" s="429">
        <v>0</v>
      </c>
      <c r="AG587" s="368">
        <v>0</v>
      </c>
      <c r="AH587" s="368">
        <v>0</v>
      </c>
      <c r="AI587" s="368">
        <v>0</v>
      </c>
      <c r="AJ587" s="368">
        <v>0</v>
      </c>
      <c r="AK587" s="368">
        <v>0</v>
      </c>
      <c r="AL587" s="367">
        <f t="shared" si="34"/>
        <v>1148.3800000000001</v>
      </c>
      <c r="AM587" s="362">
        <f>ERP_8[[#This Row],[2026 Working Total]]-ERP_8[[#This Row],[LE2 Final Submission]]</f>
        <v>419.19000000000005</v>
      </c>
      <c r="AN587" s="79">
        <v>0</v>
      </c>
      <c r="AO587" s="227">
        <f t="shared" si="33"/>
        <v>139.72999999999999</v>
      </c>
      <c r="AP587" s="374">
        <f>SUM(ERP_8[[#This Row],[AP01]:[AP07]])-SUM(ERP_8[[#This Row],[AP01 LE2]:[AP07 LE2]])</f>
        <v>419.19000000000005</v>
      </c>
      <c r="AQ587" s="80"/>
      <c r="AR587" s="79">
        <f>ERP_8[[#This Row],[2026 Working Total to Budget/LE]]-ERP_8[[#This Row],[Giveback]]</f>
        <v>419.19000000000005</v>
      </c>
      <c r="AS587" s="81"/>
      <c r="AT587" s="375">
        <v>139.72999999999999</v>
      </c>
      <c r="AU587" s="375">
        <v>139.72999999999999</v>
      </c>
      <c r="AV587" s="375">
        <v>449.73</v>
      </c>
      <c r="AW587" s="375">
        <v>0</v>
      </c>
      <c r="AX587" s="375">
        <v>0</v>
      </c>
      <c r="AY587" s="375">
        <v>0</v>
      </c>
      <c r="AZ587" s="375">
        <v>0</v>
      </c>
      <c r="BA587" s="375">
        <v>0</v>
      </c>
      <c r="BB587" s="375">
        <v>0</v>
      </c>
      <c r="BC587" s="375">
        <v>0</v>
      </c>
      <c r="BD587" s="375">
        <v>0</v>
      </c>
      <c r="BE587" s="375">
        <v>0</v>
      </c>
      <c r="BF587" s="375">
        <v>729.19</v>
      </c>
      <c r="BG587" s="227">
        <v>139.72999999999999</v>
      </c>
      <c r="BH587" s="227">
        <v>139.72999999999999</v>
      </c>
      <c r="BI587" s="227">
        <v>449.73</v>
      </c>
      <c r="BJ587" s="227">
        <v>0</v>
      </c>
      <c r="BK587" s="227">
        <v>0</v>
      </c>
      <c r="BL587" s="227">
        <v>0</v>
      </c>
      <c r="BM587" s="227">
        <v>0</v>
      </c>
      <c r="BN587" s="227">
        <v>0</v>
      </c>
      <c r="BO587" s="227">
        <v>0</v>
      </c>
      <c r="BP587" s="227">
        <v>0</v>
      </c>
      <c r="BQ587" s="227">
        <v>0</v>
      </c>
      <c r="BR587" s="227">
        <v>0</v>
      </c>
      <c r="BS587" s="227">
        <v>729.19</v>
      </c>
    </row>
    <row r="588" spans="1:71" ht="15" hidden="1" customHeight="1">
      <c r="A588" s="215" t="s">
        <v>2677</v>
      </c>
      <c r="B588" s="732" t="s">
        <v>2678</v>
      </c>
      <c r="C588" s="346"/>
      <c r="D588" s="343" t="str">
        <f>_xlfn.TEXTJOIN("_",FALSE,E588,ERP_8[[#This Row],[Expense Category]],ERP_8[[#This Row],[Project Code*]])</f>
        <v>Hase, Raj_SOFTWARE_IT-FGS0298-SW-US-00</v>
      </c>
      <c r="E588" s="343" t="s">
        <v>1345</v>
      </c>
      <c r="F588" s="346"/>
      <c r="G588" s="150" t="s">
        <v>1136</v>
      </c>
      <c r="H588" s="334" t="s">
        <v>1345</v>
      </c>
      <c r="I588" s="334" t="s">
        <v>1437</v>
      </c>
      <c r="J588" s="334" t="s">
        <v>1346</v>
      </c>
      <c r="K588" s="516" t="s">
        <v>639</v>
      </c>
      <c r="L588" s="398" t="s">
        <v>2274</v>
      </c>
      <c r="M588" s="343"/>
      <c r="N588" s="807"/>
      <c r="O588" s="219" t="s">
        <v>673</v>
      </c>
      <c r="P588" s="349"/>
      <c r="Q588" s="346" t="s">
        <v>1140</v>
      </c>
      <c r="R588" s="349"/>
      <c r="S588" s="334" t="s">
        <v>57</v>
      </c>
      <c r="T588" s="354"/>
      <c r="U588" s="403"/>
      <c r="V588" s="406">
        <v>18499.8</v>
      </c>
      <c r="W588" s="406">
        <v>16958.149999999998</v>
      </c>
      <c r="X588" s="425"/>
      <c r="Y588" s="71"/>
      <c r="Z588" s="789">
        <v>1541.65</v>
      </c>
      <c r="AA588" s="785">
        <v>0</v>
      </c>
      <c r="AB588" s="785">
        <v>1541.65</v>
      </c>
      <c r="AC588" s="428">
        <v>1541.65</v>
      </c>
      <c r="AD588" s="429">
        <v>1541.65</v>
      </c>
      <c r="AE588" s="429">
        <v>1541.65</v>
      </c>
      <c r="AF588" s="429">
        <v>1541.65</v>
      </c>
      <c r="AG588" s="369">
        <v>1541.65</v>
      </c>
      <c r="AH588" s="369">
        <v>1541.65</v>
      </c>
      <c r="AI588" s="369">
        <v>1541.65</v>
      </c>
      <c r="AJ588" s="369">
        <v>1541.65</v>
      </c>
      <c r="AK588" s="369">
        <v>1541.65</v>
      </c>
      <c r="AL588" s="367">
        <f t="shared" si="34"/>
        <v>16958.149999999998</v>
      </c>
      <c r="AM588" s="362">
        <f>ERP_8[[#This Row],[2026 Working Total]]-ERP_8[[#This Row],[LE2 Final Submission]]</f>
        <v>0</v>
      </c>
      <c r="AN588" s="79">
        <v>1541.65</v>
      </c>
      <c r="AO588" s="227">
        <f t="shared" si="33"/>
        <v>0</v>
      </c>
      <c r="AP588" s="374">
        <f>SUM(ERP_8[[#This Row],[AP01]:[AP07]])-SUM(ERP_8[[#This Row],[AP01 LE2]:[AP07 LE2]])</f>
        <v>0</v>
      </c>
      <c r="AQ588" s="80"/>
      <c r="AR588" s="79">
        <f>ERP_8[[#This Row],[2026 Working Total to Budget/LE]]-ERP_8[[#This Row],[Giveback]]</f>
        <v>0</v>
      </c>
      <c r="AS588" s="81"/>
      <c r="AT588" s="375">
        <v>1541.65</v>
      </c>
      <c r="AU588" s="375">
        <v>0</v>
      </c>
      <c r="AV588" s="375">
        <v>1541.65</v>
      </c>
      <c r="AW588" s="375">
        <v>1541.65</v>
      </c>
      <c r="AX588" s="375">
        <v>1541.65</v>
      </c>
      <c r="AY588" s="375">
        <v>1541.65</v>
      </c>
      <c r="AZ588" s="375">
        <v>1541.65</v>
      </c>
      <c r="BA588" s="375">
        <v>1541.65</v>
      </c>
      <c r="BB588" s="375">
        <v>1541.65</v>
      </c>
      <c r="BC588" s="375">
        <v>1541.65</v>
      </c>
      <c r="BD588" s="375">
        <v>1541.65</v>
      </c>
      <c r="BE588" s="375">
        <v>1541.65</v>
      </c>
      <c r="BF588" s="375">
        <v>16958.149999999998</v>
      </c>
      <c r="BG588" s="227">
        <v>1541.65</v>
      </c>
      <c r="BH588" s="227">
        <v>0</v>
      </c>
      <c r="BI588" s="227">
        <v>1541.65</v>
      </c>
      <c r="BJ588" s="227">
        <v>1541.65</v>
      </c>
      <c r="BK588" s="227">
        <v>1541.65</v>
      </c>
      <c r="BL588" s="227">
        <v>1541.65</v>
      </c>
      <c r="BM588" s="227">
        <v>1541.65</v>
      </c>
      <c r="BN588" s="227">
        <v>1541.65</v>
      </c>
      <c r="BO588" s="227">
        <v>1541.65</v>
      </c>
      <c r="BP588" s="227">
        <v>1541.65</v>
      </c>
      <c r="BQ588" s="227">
        <v>1541.65</v>
      </c>
      <c r="BR588" s="227">
        <v>1541.65</v>
      </c>
      <c r="BS588" s="227">
        <v>16958.149999999998</v>
      </c>
    </row>
    <row r="589" spans="1:71" ht="15" hidden="1" customHeight="1">
      <c r="A589" s="215" t="s">
        <v>2679</v>
      </c>
      <c r="B589" s="732" t="s">
        <v>946</v>
      </c>
      <c r="C589" s="346"/>
      <c r="D589" s="343" t="str">
        <f>_xlfn.TEXTJOIN("_",FALSE,E589,ERP_8[[#This Row],[Expense Category]],ERP_8[[#This Row],[Project Code*]])</f>
        <v>Hase, Raj_SOFTWARE_IT-FGS0300-SW-US-00</v>
      </c>
      <c r="E589" s="343" t="s">
        <v>1345</v>
      </c>
      <c r="F589" s="346"/>
      <c r="G589" s="150" t="s">
        <v>1136</v>
      </c>
      <c r="H589" s="334" t="s">
        <v>1345</v>
      </c>
      <c r="I589" s="334" t="s">
        <v>1345</v>
      </c>
      <c r="J589" s="334" t="s">
        <v>1346</v>
      </c>
      <c r="K589" s="516" t="s">
        <v>639</v>
      </c>
      <c r="L589" s="398" t="s">
        <v>2285</v>
      </c>
      <c r="M589" s="343"/>
      <c r="N589" s="807"/>
      <c r="O589" s="219" t="s">
        <v>676</v>
      </c>
      <c r="P589" s="349"/>
      <c r="Q589" s="346" t="s">
        <v>1140</v>
      </c>
      <c r="R589" s="349"/>
      <c r="S589" s="334" t="s">
        <v>677</v>
      </c>
      <c r="T589" s="354"/>
      <c r="U589" s="403"/>
      <c r="V589" s="406">
        <v>275</v>
      </c>
      <c r="W589" s="406">
        <v>227</v>
      </c>
      <c r="X589" s="425"/>
      <c r="Y589" s="71"/>
      <c r="Z589" s="789"/>
      <c r="AA589" s="785">
        <v>227</v>
      </c>
      <c r="AB589" s="785">
        <v>0</v>
      </c>
      <c r="AC589" s="428">
        <v>0</v>
      </c>
      <c r="AD589" s="429">
        <v>0</v>
      </c>
      <c r="AE589" s="429">
        <v>0</v>
      </c>
      <c r="AF589" s="429">
        <v>0</v>
      </c>
      <c r="AG589" s="368">
        <v>0</v>
      </c>
      <c r="AH589" s="368">
        <v>0</v>
      </c>
      <c r="AI589" s="368">
        <v>0</v>
      </c>
      <c r="AJ589" s="368">
        <v>0</v>
      </c>
      <c r="AK589" s="368">
        <v>0</v>
      </c>
      <c r="AL589" s="367">
        <f t="shared" si="34"/>
        <v>227</v>
      </c>
      <c r="AM589" s="362">
        <f>ERP_8[[#This Row],[2026 Working Total]]-ERP_8[[#This Row],[LE2 Final Submission]]</f>
        <v>0</v>
      </c>
      <c r="AN589" s="227">
        <v>0</v>
      </c>
      <c r="AO589" s="227">
        <f t="shared" si="33"/>
        <v>0</v>
      </c>
      <c r="AP589" s="374">
        <f>SUM(ERP_8[[#This Row],[AP01]:[AP07]])-SUM(ERP_8[[#This Row],[AP01 LE2]:[AP07 LE2]])</f>
        <v>0</v>
      </c>
      <c r="AQ589" s="80"/>
      <c r="AR589" s="79">
        <f>ERP_8[[#This Row],[2026 Working Total to Budget/LE]]-ERP_8[[#This Row],[Giveback]]</f>
        <v>0</v>
      </c>
      <c r="AS589" s="81"/>
      <c r="AT589" s="375"/>
      <c r="AU589" s="375">
        <v>227</v>
      </c>
      <c r="AV589" s="375">
        <v>0</v>
      </c>
      <c r="AW589" s="375">
        <v>0</v>
      </c>
      <c r="AX589" s="375">
        <v>0</v>
      </c>
      <c r="AY589" s="375">
        <v>0</v>
      </c>
      <c r="AZ589" s="375">
        <v>0</v>
      </c>
      <c r="BA589" s="375">
        <v>0</v>
      </c>
      <c r="BB589" s="375">
        <v>0</v>
      </c>
      <c r="BC589" s="375">
        <v>0</v>
      </c>
      <c r="BD589" s="375">
        <v>0</v>
      </c>
      <c r="BE589" s="375">
        <v>0</v>
      </c>
      <c r="BF589" s="375">
        <v>227</v>
      </c>
      <c r="BG589" s="227"/>
      <c r="BH589" s="227">
        <v>227</v>
      </c>
      <c r="BI589" s="227">
        <v>0</v>
      </c>
      <c r="BJ589" s="227">
        <v>0</v>
      </c>
      <c r="BK589" s="227">
        <v>0</v>
      </c>
      <c r="BL589" s="227">
        <v>0</v>
      </c>
      <c r="BM589" s="227">
        <v>0</v>
      </c>
      <c r="BN589" s="227">
        <v>0</v>
      </c>
      <c r="BO589" s="227">
        <v>0</v>
      </c>
      <c r="BP589" s="227">
        <v>0</v>
      </c>
      <c r="BQ589" s="227">
        <v>0</v>
      </c>
      <c r="BR589" s="227">
        <v>0</v>
      </c>
      <c r="BS589" s="227">
        <v>227</v>
      </c>
    </row>
    <row r="590" spans="1:71" ht="15" hidden="1" customHeight="1">
      <c r="A590" s="215" t="s">
        <v>2680</v>
      </c>
      <c r="B590" s="732" t="s">
        <v>2681</v>
      </c>
      <c r="C590" s="346"/>
      <c r="D590" s="343" t="str">
        <f>_xlfn.TEXTJOIN("_",FALSE,E590,ERP_8[[#This Row],[Expense Category]],ERP_8[[#This Row],[Project Code*]])</f>
        <v>Hase, Raj_SOFTWARE_IT-SFT1139-86-OG-US</v>
      </c>
      <c r="E590" s="343" t="s">
        <v>1345</v>
      </c>
      <c r="F590" s="346"/>
      <c r="G590" s="150" t="s">
        <v>1136</v>
      </c>
      <c r="H590" s="334" t="s">
        <v>1345</v>
      </c>
      <c r="I590" s="334" t="s">
        <v>1437</v>
      </c>
      <c r="J590" s="334" t="s">
        <v>1346</v>
      </c>
      <c r="K590" s="516" t="s">
        <v>639</v>
      </c>
      <c r="L590" s="398" t="s">
        <v>2682</v>
      </c>
      <c r="M590" s="343"/>
      <c r="N590" s="807"/>
      <c r="O590" s="219" t="s">
        <v>948</v>
      </c>
      <c r="P590" s="349"/>
      <c r="Q590" s="346" t="s">
        <v>2683</v>
      </c>
      <c r="R590" s="349"/>
      <c r="S590" s="334" t="s">
        <v>949</v>
      </c>
      <c r="T590" s="354" t="s">
        <v>2684</v>
      </c>
      <c r="U590" s="403"/>
      <c r="V590" s="406">
        <v>7299999.96</v>
      </c>
      <c r="W590" s="406">
        <v>7299999.96</v>
      </c>
      <c r="X590" s="425"/>
      <c r="Y590" s="71"/>
      <c r="Z590" s="789"/>
      <c r="AA590" s="785">
        <v>1216666.6599999999</v>
      </c>
      <c r="AB590" s="785">
        <v>608333.32999999996</v>
      </c>
      <c r="AC590" s="428">
        <v>0</v>
      </c>
      <c r="AD590" s="429">
        <v>1216666.6599999999</v>
      </c>
      <c r="AE590" s="429">
        <v>608333.32999999996</v>
      </c>
      <c r="AF590" s="429">
        <v>0</v>
      </c>
      <c r="AG590" s="369">
        <f>608333.33*2</f>
        <v>1216666.6599999999</v>
      </c>
      <c r="AH590" s="369">
        <v>608333.32999999996</v>
      </c>
      <c r="AI590" s="369">
        <f>608333.33-608333.33</f>
        <v>0</v>
      </c>
      <c r="AJ590" s="369">
        <f>608333.33*2</f>
        <v>1216666.6599999999</v>
      </c>
      <c r="AK590" s="369">
        <v>608333.32999999996</v>
      </c>
      <c r="AL590" s="367">
        <f t="shared" si="34"/>
        <v>7299999.96</v>
      </c>
      <c r="AM590" s="362">
        <f>ERP_8[[#This Row],[2026 Working Total]]-ERP_8[[#This Row],[LE2 Final Submission]]</f>
        <v>0</v>
      </c>
      <c r="AN590" s="227">
        <v>0</v>
      </c>
      <c r="AO590" s="227">
        <f t="shared" si="33"/>
        <v>608333.32999999996</v>
      </c>
      <c r="AP590" s="374">
        <f>SUM(ERP_8[[#This Row],[AP01]:[AP07]])-SUM(ERP_8[[#This Row],[AP01 LE2]:[AP07 LE2]])</f>
        <v>0</v>
      </c>
      <c r="AQ590" s="80"/>
      <c r="AR590" s="79">
        <f>ERP_8[[#This Row],[2026 Working Total to Budget/LE]]-ERP_8[[#This Row],[Giveback]]</f>
        <v>0</v>
      </c>
      <c r="AS590" s="81"/>
      <c r="AT590" s="375"/>
      <c r="AU590" s="375">
        <v>1216666.6599999999</v>
      </c>
      <c r="AV590" s="375">
        <v>608333.32999999996</v>
      </c>
      <c r="AW590" s="375">
        <v>0</v>
      </c>
      <c r="AX590" s="375">
        <v>1216666.6599999999</v>
      </c>
      <c r="AY590" s="375">
        <v>608333.32999999996</v>
      </c>
      <c r="AZ590" s="375">
        <v>0</v>
      </c>
      <c r="BA590" s="375">
        <v>1216666.6599999999</v>
      </c>
      <c r="BB590" s="375">
        <v>608333.32999999996</v>
      </c>
      <c r="BC590" s="375">
        <v>0</v>
      </c>
      <c r="BD590" s="375">
        <v>1216666.6599999999</v>
      </c>
      <c r="BE590" s="375">
        <v>608333.32999999996</v>
      </c>
      <c r="BF590" s="375">
        <v>7299999.96</v>
      </c>
      <c r="BG590" s="227"/>
      <c r="BH590" s="227">
        <v>1216666.6599999999</v>
      </c>
      <c r="BI590" s="227">
        <v>608333.32999999996</v>
      </c>
      <c r="BJ590" s="227">
        <v>608333.32999999996</v>
      </c>
      <c r="BK590" s="227">
        <v>608333.32999999996</v>
      </c>
      <c r="BL590" s="227">
        <v>608333.32999999996</v>
      </c>
      <c r="BM590" s="227">
        <v>608333.32999999996</v>
      </c>
      <c r="BN590" s="227">
        <v>608333.32999999996</v>
      </c>
      <c r="BO590" s="227">
        <v>608333.32999999996</v>
      </c>
      <c r="BP590" s="227">
        <v>608333.32999999996</v>
      </c>
      <c r="BQ590" s="227">
        <v>608333.32999999996</v>
      </c>
      <c r="BR590" s="227">
        <v>608333.32999999996</v>
      </c>
      <c r="BS590" s="227">
        <v>7299999.96</v>
      </c>
    </row>
    <row r="591" spans="1:71" ht="15" hidden="1" customHeight="1">
      <c r="A591" s="215" t="s">
        <v>2685</v>
      </c>
      <c r="B591" s="732" t="s">
        <v>950</v>
      </c>
      <c r="C591" s="346"/>
      <c r="D591" s="343" t="str">
        <f>_xlfn.TEXTJOIN("_",FALSE,E591,ERP_8[[#This Row],[Expense Category]],ERP_8[[#This Row],[Project Code*]])</f>
        <v>Hase, Raj_SOFTWARE_IT-SFT1194-86-OG-US</v>
      </c>
      <c r="E591" s="343" t="s">
        <v>1345</v>
      </c>
      <c r="F591" s="346"/>
      <c r="G591" s="150" t="s">
        <v>1136</v>
      </c>
      <c r="H591" s="334" t="s">
        <v>1345</v>
      </c>
      <c r="I591" s="334" t="s">
        <v>1345</v>
      </c>
      <c r="J591" s="334" t="s">
        <v>1346</v>
      </c>
      <c r="K591" s="516" t="s">
        <v>639</v>
      </c>
      <c r="L591" s="398" t="s">
        <v>818</v>
      </c>
      <c r="M591" s="343"/>
      <c r="N591" s="807"/>
      <c r="O591" s="219" t="s">
        <v>817</v>
      </c>
      <c r="P591" s="349"/>
      <c r="Q591" s="346" t="s">
        <v>1140</v>
      </c>
      <c r="R591" s="349"/>
      <c r="S591" s="334" t="s">
        <v>818</v>
      </c>
      <c r="T591" s="354"/>
      <c r="U591" s="403"/>
      <c r="V591" s="406">
        <v>13200</v>
      </c>
      <c r="W591" s="406">
        <v>19370.91</v>
      </c>
      <c r="X591" s="430"/>
      <c r="Y591" s="137"/>
      <c r="Z591" s="789"/>
      <c r="AA591" s="785"/>
      <c r="AB591" s="785">
        <v>9470.91</v>
      </c>
      <c r="AC591" s="428">
        <v>0</v>
      </c>
      <c r="AD591" s="429">
        <v>0</v>
      </c>
      <c r="AE591" s="429">
        <v>6148.3</v>
      </c>
      <c r="AF591" s="429">
        <v>0</v>
      </c>
      <c r="AG591" s="368">
        <v>0</v>
      </c>
      <c r="AH591" s="369">
        <v>3300</v>
      </c>
      <c r="AI591" s="368">
        <v>0</v>
      </c>
      <c r="AJ591" s="368">
        <v>0</v>
      </c>
      <c r="AK591" s="369">
        <v>3300</v>
      </c>
      <c r="AL591" s="367">
        <f t="shared" si="34"/>
        <v>22219.21</v>
      </c>
      <c r="AM591" s="362">
        <f>ERP_8[[#This Row],[2026 Working Total]]-ERP_8[[#This Row],[LE2 Final Submission]]</f>
        <v>2848.2999999999993</v>
      </c>
      <c r="AN591" s="227">
        <v>0</v>
      </c>
      <c r="AO591" s="227">
        <f t="shared" si="33"/>
        <v>6148.3</v>
      </c>
      <c r="AP591" s="374">
        <f>SUM(ERP_8[[#This Row],[AP01]:[AP07]])-SUM(ERP_8[[#This Row],[AP01 LE2]:[AP07 LE2]])</f>
        <v>2848.2999999999993</v>
      </c>
      <c r="AQ591" s="80"/>
      <c r="AR591" s="79">
        <f>ERP_8[[#This Row],[2026 Working Total to Budget/LE]]-ERP_8[[#This Row],[Giveback]]</f>
        <v>2848.2999999999993</v>
      </c>
      <c r="AS591" s="81"/>
      <c r="AT591" s="375"/>
      <c r="AU591" s="375"/>
      <c r="AV591" s="375">
        <v>9470.91</v>
      </c>
      <c r="AW591" s="375">
        <v>0</v>
      </c>
      <c r="AX591" s="375">
        <v>0</v>
      </c>
      <c r="AY591" s="375">
        <v>3300</v>
      </c>
      <c r="AZ591" s="375">
        <v>0</v>
      </c>
      <c r="BA591" s="375">
        <v>0</v>
      </c>
      <c r="BB591" s="375">
        <v>3300</v>
      </c>
      <c r="BC591" s="375">
        <v>0</v>
      </c>
      <c r="BD591" s="375">
        <v>0</v>
      </c>
      <c r="BE591" s="375">
        <v>3300</v>
      </c>
      <c r="BF591" s="375">
        <v>19370.91</v>
      </c>
      <c r="BG591" s="227"/>
      <c r="BH591" s="227"/>
      <c r="BI591" s="227">
        <v>9470.91</v>
      </c>
      <c r="BJ591" s="227">
        <v>0</v>
      </c>
      <c r="BK591" s="227">
        <v>0</v>
      </c>
      <c r="BL591" s="227">
        <v>3300</v>
      </c>
      <c r="BM591" s="227">
        <v>0</v>
      </c>
      <c r="BN591" s="227">
        <v>0</v>
      </c>
      <c r="BO591" s="227">
        <v>3300</v>
      </c>
      <c r="BP591" s="227">
        <v>0</v>
      </c>
      <c r="BQ591" s="227">
        <v>0</v>
      </c>
      <c r="BR591" s="227">
        <v>3300</v>
      </c>
      <c r="BS591" s="227">
        <v>19370.91</v>
      </c>
    </row>
    <row r="592" spans="1:71" ht="15" hidden="1" customHeight="1">
      <c r="A592" s="227" t="s">
        <v>2686</v>
      </c>
      <c r="B592" s="745" t="s">
        <v>2687</v>
      </c>
      <c r="C592" s="348"/>
      <c r="D592" s="347" t="str">
        <f>_xlfn.TEXTJOIN("_",FALSE,E592,ERP_8[[#This Row],[Expense Category]],ERP_8[[#This Row],[Project Code*]])</f>
        <v>Hase, Raj_SOFTWARE_IT-SFT1194-86-OG-US</v>
      </c>
      <c r="E592" s="347" t="s">
        <v>1345</v>
      </c>
      <c r="F592" s="348"/>
      <c r="G592" s="150" t="s">
        <v>1136</v>
      </c>
      <c r="H592" s="334" t="s">
        <v>1345</v>
      </c>
      <c r="I592" s="336" t="s">
        <v>1437</v>
      </c>
      <c r="J592" s="339" t="s">
        <v>1437</v>
      </c>
      <c r="K592" s="518" t="s">
        <v>639</v>
      </c>
      <c r="L592" s="398" t="s">
        <v>818</v>
      </c>
      <c r="M592" s="333"/>
      <c r="N592" s="808"/>
      <c r="O592" s="219" t="s">
        <v>817</v>
      </c>
      <c r="P592" s="351"/>
      <c r="Q592" s="347"/>
      <c r="R592" s="353"/>
      <c r="S592" s="353"/>
      <c r="T592" s="452"/>
      <c r="U592" s="402"/>
      <c r="V592" s="358"/>
      <c r="W592" s="379"/>
      <c r="X592" s="425"/>
      <c r="Y592" s="71"/>
      <c r="Z592" s="789"/>
      <c r="AA592" s="785"/>
      <c r="AB592" s="785"/>
      <c r="AC592" s="429"/>
      <c r="AD592" s="429"/>
      <c r="AE592" s="429">
        <v>3285.0699999999997</v>
      </c>
      <c r="AF592" s="429">
        <v>0</v>
      </c>
      <c r="AG592" s="371"/>
      <c r="AH592" s="371"/>
      <c r="AI592" s="371"/>
      <c r="AJ592" s="371"/>
      <c r="AK592" s="371"/>
      <c r="AL592" s="367">
        <f t="shared" si="34"/>
        <v>3285.0699999999997</v>
      </c>
      <c r="AM592" s="362">
        <f>ERP_8[[#This Row],[2026 Working Total]]-ERP_8[[#This Row],[LE2 Final Submission]]</f>
        <v>3285.0699999999997</v>
      </c>
      <c r="AN592" s="227"/>
      <c r="AO592" s="227">
        <f t="shared" si="33"/>
        <v>3285.0699999999997</v>
      </c>
      <c r="AP592" s="374">
        <f>SUM(ERP_8[[#This Row],[AP01]:[AP07]])-SUM(ERP_8[[#This Row],[AP01 LE2]:[AP07 LE2]])</f>
        <v>3285.0699999999997</v>
      </c>
      <c r="AQ592" s="80"/>
      <c r="AR592" s="79">
        <f>ERP_8[[#This Row],[2026 Working Total to Budget/LE]]-ERP_8[[#This Row],[Giveback]]</f>
        <v>3285.0699999999997</v>
      </c>
      <c r="AS592" s="81"/>
      <c r="AT592" s="375"/>
      <c r="AU592" s="375"/>
      <c r="AV592" s="375"/>
      <c r="AW592" s="375"/>
      <c r="AX592" s="375"/>
      <c r="AY592" s="375"/>
      <c r="AZ592" s="375"/>
      <c r="BA592" s="375"/>
      <c r="BB592" s="375"/>
      <c r="BC592" s="375"/>
      <c r="BD592" s="375"/>
      <c r="BE592" s="375"/>
      <c r="BF592" s="375"/>
      <c r="BG592" s="227"/>
      <c r="BH592" s="227"/>
      <c r="BI592" s="227"/>
      <c r="BJ592" s="227"/>
      <c r="BK592" s="227"/>
      <c r="BL592" s="227"/>
      <c r="BM592" s="227"/>
      <c r="BN592" s="227"/>
      <c r="BO592" s="227"/>
      <c r="BP592" s="227"/>
      <c r="BQ592" s="227"/>
      <c r="BR592" s="227"/>
      <c r="BS592" s="227"/>
    </row>
    <row r="593" spans="1:71" ht="15" hidden="1" customHeight="1">
      <c r="A593" s="215" t="s">
        <v>2688</v>
      </c>
      <c r="B593" s="732" t="s">
        <v>2689</v>
      </c>
      <c r="C593" s="346"/>
      <c r="D593" s="343" t="str">
        <f>_xlfn.TEXTJOIN("_",FALSE,E593,ERP_8[[#This Row],[Expense Category]],ERP_8[[#This Row],[Project Code*]])</f>
        <v>Hase, Raj_SOFTWARE_IT-SFT1398-OG-US-00</v>
      </c>
      <c r="E593" s="343" t="s">
        <v>1345</v>
      </c>
      <c r="F593" s="346"/>
      <c r="G593" s="150" t="s">
        <v>1136</v>
      </c>
      <c r="H593" s="334" t="s">
        <v>1345</v>
      </c>
      <c r="I593" s="553" t="s">
        <v>1346</v>
      </c>
      <c r="J593" s="334" t="s">
        <v>1346</v>
      </c>
      <c r="K593" s="516" t="s">
        <v>639</v>
      </c>
      <c r="L593" s="398" t="s">
        <v>2690</v>
      </c>
      <c r="M593" s="343"/>
      <c r="N593" s="809">
        <v>2321399</v>
      </c>
      <c r="O593" s="219" t="s">
        <v>1014</v>
      </c>
      <c r="P593" s="349"/>
      <c r="Q593" s="347">
        <v>9501323802</v>
      </c>
      <c r="R593" s="349"/>
      <c r="S593" s="334" t="s">
        <v>25</v>
      </c>
      <c r="T593" s="877" t="s">
        <v>2691</v>
      </c>
      <c r="U593" s="403"/>
      <c r="V593" s="406">
        <v>250000</v>
      </c>
      <c r="W593" s="406">
        <v>250000</v>
      </c>
      <c r="X593" s="430"/>
      <c r="Y593" s="137"/>
      <c r="Z593" s="789"/>
      <c r="AA593" s="785"/>
      <c r="AB593" s="785"/>
      <c r="AC593" s="428" t="s">
        <v>1142</v>
      </c>
      <c r="AD593" s="429">
        <v>0</v>
      </c>
      <c r="AE593" s="429">
        <v>0</v>
      </c>
      <c r="AF593" s="429" t="s">
        <v>1142</v>
      </c>
      <c r="AG593" s="890">
        <v>282751.78999999998</v>
      </c>
      <c r="AH593" s="368">
        <v>0</v>
      </c>
      <c r="AI593" s="368">
        <v>0</v>
      </c>
      <c r="AJ593" s="368">
        <v>0</v>
      </c>
      <c r="AK593" s="368">
        <v>0</v>
      </c>
      <c r="AL593" s="367">
        <f t="shared" si="34"/>
        <v>282751.78999999998</v>
      </c>
      <c r="AM593" s="362">
        <f>ERP_8[[#This Row],[2026 Working Total]]-ERP_8[[#This Row],[LE2 Final Submission]]</f>
        <v>32751.789999999979</v>
      </c>
      <c r="AN593" s="227">
        <v>0</v>
      </c>
      <c r="AO593" s="227">
        <f t="shared" si="33"/>
        <v>0</v>
      </c>
      <c r="AP593" s="374">
        <f>SUM(ERP_8[[#This Row],[AP01]:[AP07]])-SUM(ERP_8[[#This Row],[AP01 LE2]:[AP07 LE2]])</f>
        <v>-250000</v>
      </c>
      <c r="AQ593" s="80"/>
      <c r="AR593" s="79">
        <f>ERP_8[[#This Row],[2026 Working Total to Budget/LE]]-ERP_8[[#This Row],[Giveback]]</f>
        <v>32751.789999999979</v>
      </c>
      <c r="AS593" s="81"/>
      <c r="AT593" s="375"/>
      <c r="AU593" s="375"/>
      <c r="AV593" s="375"/>
      <c r="AW593" s="375"/>
      <c r="AX593" s="375"/>
      <c r="AY593" s="375">
        <v>250000</v>
      </c>
      <c r="AZ593" s="375">
        <v>0</v>
      </c>
      <c r="BA593" s="375">
        <v>0</v>
      </c>
      <c r="BB593" s="375">
        <v>0</v>
      </c>
      <c r="BC593" s="375">
        <v>0</v>
      </c>
      <c r="BD593" s="375">
        <v>0</v>
      </c>
      <c r="BE593" s="375">
        <v>0</v>
      </c>
      <c r="BF593" s="375">
        <v>250000</v>
      </c>
      <c r="BG593" s="227"/>
      <c r="BH593" s="227"/>
      <c r="BI593" s="227"/>
      <c r="BJ593" s="227"/>
      <c r="BK593" s="227"/>
      <c r="BL593" s="227">
        <v>250000</v>
      </c>
      <c r="BM593" s="227">
        <v>0</v>
      </c>
      <c r="BN593" s="227">
        <v>0</v>
      </c>
      <c r="BO593" s="227">
        <v>0</v>
      </c>
      <c r="BP593" s="227">
        <v>0</v>
      </c>
      <c r="BQ593" s="227">
        <v>0</v>
      </c>
      <c r="BR593" s="227">
        <v>0</v>
      </c>
      <c r="BS593" s="227">
        <v>250000</v>
      </c>
    </row>
    <row r="594" spans="1:71" ht="15" hidden="1" customHeight="1">
      <c r="A594" s="227" t="s">
        <v>2692</v>
      </c>
      <c r="B594" s="745" t="s">
        <v>2693</v>
      </c>
      <c r="C594" s="348"/>
      <c r="D594" s="347" t="str">
        <f>_xlfn.TEXTJOIN("_",FALSE,E594,ERP_8[[#This Row],[Expense Category]],ERP_8[[#This Row],[Project Code*]])</f>
        <v>Hase, Raj_SOFTWARE_IT-SFT1449-OG-US-00</v>
      </c>
      <c r="E594" s="347" t="s">
        <v>1345</v>
      </c>
      <c r="F594" s="348"/>
      <c r="G594" s="150" t="s">
        <v>1136</v>
      </c>
      <c r="H594" s="336" t="s">
        <v>1345</v>
      </c>
      <c r="I594" s="338" t="s">
        <v>1437</v>
      </c>
      <c r="J594" s="339" t="s">
        <v>1346</v>
      </c>
      <c r="K594" s="517" t="s">
        <v>639</v>
      </c>
      <c r="L594" s="399" t="s">
        <v>2694</v>
      </c>
      <c r="M594" s="343" t="s">
        <v>949</v>
      </c>
      <c r="N594" s="806" t="s">
        <v>1438</v>
      </c>
      <c r="O594" s="235" t="s">
        <v>952</v>
      </c>
      <c r="P594" s="351"/>
      <c r="Q594" s="346" t="s">
        <v>2695</v>
      </c>
      <c r="R594" s="349" t="s">
        <v>1710</v>
      </c>
      <c r="S594" s="352" t="s">
        <v>863</v>
      </c>
      <c r="T594" s="355" t="s">
        <v>1348</v>
      </c>
      <c r="U594" s="437"/>
      <c r="V594" s="358">
        <v>231903.75</v>
      </c>
      <c r="W594" s="378">
        <v>0</v>
      </c>
      <c r="X594" s="425"/>
      <c r="Y594" s="71"/>
      <c r="Z594" s="790"/>
      <c r="AA594" s="786"/>
      <c r="AB594" s="786"/>
      <c r="AC594" s="428" t="s">
        <v>1142</v>
      </c>
      <c r="AD594" s="429">
        <v>0</v>
      </c>
      <c r="AE594" s="429">
        <v>0</v>
      </c>
      <c r="AF594" s="429" t="s">
        <v>1142</v>
      </c>
      <c r="AG594" s="370">
        <v>0</v>
      </c>
      <c r="AH594" s="370">
        <v>0</v>
      </c>
      <c r="AI594" s="370">
        <v>0</v>
      </c>
      <c r="AJ594" s="370">
        <v>0</v>
      </c>
      <c r="AK594" s="370">
        <v>0</v>
      </c>
      <c r="AL594" s="367">
        <f t="shared" si="34"/>
        <v>0</v>
      </c>
      <c r="AM594" s="362">
        <f>ERP_8[[#This Row],[2026 Working Total]]-ERP_8[[#This Row],[LE2 Final Submission]]</f>
        <v>0</v>
      </c>
      <c r="AN594" s="227">
        <v>0</v>
      </c>
      <c r="AO594" s="227">
        <f t="shared" si="33"/>
        <v>0</v>
      </c>
      <c r="AP594" s="374">
        <f>SUM(ERP_8[[#This Row],[AP01]:[AP07]])-SUM(ERP_8[[#This Row],[AP01 LE2]:[AP07 LE2]])</f>
        <v>0</v>
      </c>
      <c r="AQ594" s="80"/>
      <c r="AR594" s="79">
        <f>ERP_8[[#This Row],[2026 Working Total to Budget/LE]]-ERP_8[[#This Row],[Giveback]]</f>
        <v>0</v>
      </c>
      <c r="AS594" s="81"/>
      <c r="AT594" s="375"/>
      <c r="AU594" s="375"/>
      <c r="AV594" s="375"/>
      <c r="AW594" s="375">
        <v>0</v>
      </c>
      <c r="AX594" s="375">
        <v>0</v>
      </c>
      <c r="AY594" s="375">
        <v>0</v>
      </c>
      <c r="AZ594" s="375">
        <v>0</v>
      </c>
      <c r="BA594" s="375">
        <v>0</v>
      </c>
      <c r="BB594" s="375">
        <v>0</v>
      </c>
      <c r="BC594" s="375">
        <v>0</v>
      </c>
      <c r="BD594" s="375">
        <v>0</v>
      </c>
      <c r="BE594" s="375">
        <v>0</v>
      </c>
      <c r="BF594" s="375">
        <v>0</v>
      </c>
      <c r="BG594" s="246">
        <v>231903.75</v>
      </c>
      <c r="BH594" s="246">
        <v>0</v>
      </c>
      <c r="BI594" s="246">
        <v>0</v>
      </c>
      <c r="BJ594" s="246">
        <v>0</v>
      </c>
      <c r="BK594" s="246">
        <v>0</v>
      </c>
      <c r="BL594" s="246">
        <v>0</v>
      </c>
      <c r="BM594" s="246">
        <v>0</v>
      </c>
      <c r="BN594" s="246">
        <v>0</v>
      </c>
      <c r="BO594" s="246">
        <v>0</v>
      </c>
      <c r="BP594" s="246">
        <v>0</v>
      </c>
      <c r="BQ594" s="246">
        <v>0</v>
      </c>
      <c r="BR594" s="246">
        <v>0</v>
      </c>
      <c r="BS594" s="227">
        <f>SUM(ERP_8[[#This Row],[2026 AP01]:[2026 AP12]])</f>
        <v>231903.75</v>
      </c>
    </row>
    <row r="595" spans="1:71" ht="15" hidden="1" customHeight="1">
      <c r="A595" s="227" t="s">
        <v>2696</v>
      </c>
      <c r="B595" s="745" t="s">
        <v>2697</v>
      </c>
      <c r="C595" s="348"/>
      <c r="D595" s="347" t="str">
        <f>_xlfn.TEXTJOIN("_",FALSE,E595,ERP_8[[#This Row],[Expense Category]],ERP_8[[#This Row],[Project Code*]])</f>
        <v>Hase, Raj_SOFTWARE_IT-SFT1449-OG-US-00/PF</v>
      </c>
      <c r="E595" s="347" t="s">
        <v>1345</v>
      </c>
      <c r="F595" s="348"/>
      <c r="G595" s="150" t="s">
        <v>1136</v>
      </c>
      <c r="H595" s="336" t="s">
        <v>1345</v>
      </c>
      <c r="I595" s="338" t="s">
        <v>1437</v>
      </c>
      <c r="J595" s="339" t="s">
        <v>1346</v>
      </c>
      <c r="K595" s="517" t="s">
        <v>639</v>
      </c>
      <c r="L595" s="399" t="s">
        <v>2698</v>
      </c>
      <c r="M595" s="343" t="s">
        <v>949</v>
      </c>
      <c r="N595" s="806" t="s">
        <v>1438</v>
      </c>
      <c r="O595" s="235" t="s">
        <v>954</v>
      </c>
      <c r="P595" s="351"/>
      <c r="Q595" s="346" t="s">
        <v>2695</v>
      </c>
      <c r="R595" s="349" t="s">
        <v>1710</v>
      </c>
      <c r="S595" s="352" t="s">
        <v>863</v>
      </c>
      <c r="T595" s="355" t="s">
        <v>1348</v>
      </c>
      <c r="U595" s="437"/>
      <c r="V595" s="358">
        <v>-231903.75</v>
      </c>
      <c r="W595" s="378">
        <v>0</v>
      </c>
      <c r="X595" s="425"/>
      <c r="Y595" s="71"/>
      <c r="Z595" s="790"/>
      <c r="AA595" s="786"/>
      <c r="AB595" s="786"/>
      <c r="AC595" s="428" t="s">
        <v>1142</v>
      </c>
      <c r="AD595" s="429">
        <v>0</v>
      </c>
      <c r="AE595" s="429">
        <v>0</v>
      </c>
      <c r="AF595" s="429" t="s">
        <v>1142</v>
      </c>
      <c r="AG595" s="370">
        <v>0</v>
      </c>
      <c r="AH595" s="370">
        <v>0</v>
      </c>
      <c r="AI595" s="370">
        <v>0</v>
      </c>
      <c r="AJ595" s="370">
        <v>0</v>
      </c>
      <c r="AK595" s="370">
        <v>0</v>
      </c>
      <c r="AL595" s="367">
        <f t="shared" si="34"/>
        <v>0</v>
      </c>
      <c r="AM595" s="362">
        <f>ERP_8[[#This Row],[2026 Working Total]]-ERP_8[[#This Row],[LE2 Final Submission]]</f>
        <v>0</v>
      </c>
      <c r="AN595" s="227">
        <v>0</v>
      </c>
      <c r="AO595" s="227">
        <f t="shared" ref="AO595:AO658" si="35">$AE595 - $AN595</f>
        <v>0</v>
      </c>
      <c r="AP595" s="374">
        <f>SUM(ERP_8[[#This Row],[AP01]:[AP07]])-SUM(ERP_8[[#This Row],[AP01 LE2]:[AP07 LE2]])</f>
        <v>0</v>
      </c>
      <c r="AQ595" s="80"/>
      <c r="AR595" s="79">
        <f>ERP_8[[#This Row],[2026 Working Total to Budget/LE]]-ERP_8[[#This Row],[Giveback]]</f>
        <v>0</v>
      </c>
      <c r="AS595" s="81"/>
      <c r="AT595" s="375"/>
      <c r="AU595" s="375"/>
      <c r="AV595" s="375"/>
      <c r="AW595" s="375">
        <v>0</v>
      </c>
      <c r="AX595" s="375">
        <v>0</v>
      </c>
      <c r="AY595" s="375">
        <v>0</v>
      </c>
      <c r="AZ595" s="375">
        <v>0</v>
      </c>
      <c r="BA595" s="375">
        <v>0</v>
      </c>
      <c r="BB595" s="375">
        <v>0</v>
      </c>
      <c r="BC595" s="375">
        <v>0</v>
      </c>
      <c r="BD595" s="375">
        <v>0</v>
      </c>
      <c r="BE595" s="375">
        <v>0</v>
      </c>
      <c r="BF595" s="375">
        <v>0</v>
      </c>
      <c r="BG595" s="246">
        <v>-231903.75</v>
      </c>
      <c r="BH595" s="246">
        <v>0</v>
      </c>
      <c r="BI595" s="246">
        <v>0</v>
      </c>
      <c r="BJ595" s="246">
        <v>0</v>
      </c>
      <c r="BK595" s="246">
        <v>0</v>
      </c>
      <c r="BL595" s="246">
        <v>0</v>
      </c>
      <c r="BM595" s="246">
        <v>0</v>
      </c>
      <c r="BN595" s="246">
        <v>0</v>
      </c>
      <c r="BO595" s="246">
        <v>0</v>
      </c>
      <c r="BP595" s="246">
        <v>0</v>
      </c>
      <c r="BQ595" s="246">
        <v>0</v>
      </c>
      <c r="BR595" s="246">
        <v>0</v>
      </c>
      <c r="BS595" s="227">
        <f>SUM(ERP_8[[#This Row],[2026 AP01]:[2026 AP12]])</f>
        <v>-231903.75</v>
      </c>
    </row>
    <row r="596" spans="1:71" ht="15" hidden="1" customHeight="1">
      <c r="A596" s="215" t="s">
        <v>2699</v>
      </c>
      <c r="B596" s="732" t="s">
        <v>955</v>
      </c>
      <c r="C596" s="346"/>
      <c r="D596" s="343" t="str">
        <f>_xlfn.TEXTJOIN("_",FALSE,E596,ERP_8[[#This Row],[Expense Category]],ERP_8[[#This Row],[Project Code*]])</f>
        <v>Hase, Raj_SOFTWARE_MISC001</v>
      </c>
      <c r="E596" s="343" t="s">
        <v>1345</v>
      </c>
      <c r="F596" s="346"/>
      <c r="G596" s="150" t="s">
        <v>1136</v>
      </c>
      <c r="H596" s="334" t="s">
        <v>1345</v>
      </c>
      <c r="I596" s="334" t="s">
        <v>1345</v>
      </c>
      <c r="J596" s="334" t="s">
        <v>1346</v>
      </c>
      <c r="K596" s="516" t="s">
        <v>639</v>
      </c>
      <c r="L596" s="398" t="s">
        <v>1327</v>
      </c>
      <c r="M596" s="343"/>
      <c r="N596" s="807"/>
      <c r="O596" s="219" t="s">
        <v>147</v>
      </c>
      <c r="P596" s="349"/>
      <c r="Q596" s="343"/>
      <c r="R596" s="349"/>
      <c r="S596" s="334" t="s">
        <v>25</v>
      </c>
      <c r="T596" s="354"/>
      <c r="U596" s="403"/>
      <c r="V596" s="406">
        <v>0</v>
      </c>
      <c r="W596" s="406">
        <v>0.32999999999999996</v>
      </c>
      <c r="X596" s="425"/>
      <c r="Y596" s="71"/>
      <c r="Z596" s="789"/>
      <c r="AA596" s="785">
        <v>0.24</v>
      </c>
      <c r="AB596" s="785">
        <v>0.09</v>
      </c>
      <c r="AC596" s="428">
        <v>0</v>
      </c>
      <c r="AD596" s="429">
        <v>0</v>
      </c>
      <c r="AE596" s="429">
        <v>-0.3</v>
      </c>
      <c r="AF596" s="429">
        <v>0</v>
      </c>
      <c r="AG596" s="368">
        <v>0</v>
      </c>
      <c r="AH596" s="368">
        <v>0</v>
      </c>
      <c r="AI596" s="368">
        <v>0</v>
      </c>
      <c r="AJ596" s="368">
        <v>0</v>
      </c>
      <c r="AK596" s="368">
        <v>0</v>
      </c>
      <c r="AL596" s="367">
        <f t="shared" si="34"/>
        <v>2.9999999999999971E-2</v>
      </c>
      <c r="AM596" s="362">
        <f>ERP_8[[#This Row],[2026 Working Total]]-ERP_8[[#This Row],[LE2 Final Submission]]</f>
        <v>-0.3</v>
      </c>
      <c r="AN596" s="227">
        <v>0</v>
      </c>
      <c r="AO596" s="227">
        <f t="shared" si="35"/>
        <v>-0.3</v>
      </c>
      <c r="AP596" s="374">
        <f>SUM(ERP_8[[#This Row],[AP01]:[AP07]])-SUM(ERP_8[[#This Row],[AP01 LE2]:[AP07 LE2]])</f>
        <v>-0.3</v>
      </c>
      <c r="AQ596" s="80"/>
      <c r="AR596" s="79">
        <f>ERP_8[[#This Row],[2026 Working Total to Budget/LE]]-ERP_8[[#This Row],[Giveback]]</f>
        <v>-0.3</v>
      </c>
      <c r="AS596" s="81"/>
      <c r="AT596" s="375"/>
      <c r="AU596" s="375">
        <v>0.24</v>
      </c>
      <c r="AV596" s="375">
        <v>0.09</v>
      </c>
      <c r="AW596" s="375">
        <v>0</v>
      </c>
      <c r="AX596" s="375">
        <v>0</v>
      </c>
      <c r="AY596" s="375">
        <v>0</v>
      </c>
      <c r="AZ596" s="375">
        <v>0</v>
      </c>
      <c r="BA596" s="375">
        <v>0</v>
      </c>
      <c r="BB596" s="375">
        <v>0</v>
      </c>
      <c r="BC596" s="375">
        <v>0</v>
      </c>
      <c r="BD596" s="375">
        <v>0</v>
      </c>
      <c r="BE596" s="375">
        <v>0</v>
      </c>
      <c r="BF596" s="375">
        <v>0.32999999999999996</v>
      </c>
      <c r="BG596" s="227"/>
      <c r="BH596" s="227">
        <v>0.24</v>
      </c>
      <c r="BI596" s="227">
        <v>0.09</v>
      </c>
      <c r="BJ596" s="227">
        <v>0</v>
      </c>
      <c r="BK596" s="227">
        <v>0</v>
      </c>
      <c r="BL596" s="227">
        <v>0</v>
      </c>
      <c r="BM596" s="227">
        <v>0</v>
      </c>
      <c r="BN596" s="227">
        <v>0</v>
      </c>
      <c r="BO596" s="227">
        <v>0</v>
      </c>
      <c r="BP596" s="227">
        <v>0</v>
      </c>
      <c r="BQ596" s="227">
        <v>0</v>
      </c>
      <c r="BR596" s="227">
        <v>0</v>
      </c>
      <c r="BS596" s="227">
        <v>0.32999999999999996</v>
      </c>
    </row>
    <row r="597" spans="1:71" ht="15" hidden="1" customHeight="1">
      <c r="A597" s="215" t="s">
        <v>2700</v>
      </c>
      <c r="B597" s="732" t="s">
        <v>2701</v>
      </c>
      <c r="C597" s="346"/>
      <c r="D597" s="343" t="str">
        <f>_xlfn.TEXTJOIN("_",FALSE,E597,ERP_8[[#This Row],[Expense Category]],ERP_8[[#This Row],[Project Code*]])</f>
        <v>Hase, Raj_SOFTWARE_MISC001</v>
      </c>
      <c r="E597" s="343" t="s">
        <v>1345</v>
      </c>
      <c r="F597" s="346"/>
      <c r="G597" s="150" t="s">
        <v>1136</v>
      </c>
      <c r="H597" s="334" t="s">
        <v>1345</v>
      </c>
      <c r="I597" s="334" t="s">
        <v>1437</v>
      </c>
      <c r="J597" s="334" t="s">
        <v>1346</v>
      </c>
      <c r="K597" s="516" t="s">
        <v>639</v>
      </c>
      <c r="L597" s="398" t="s">
        <v>1327</v>
      </c>
      <c r="M597" s="343"/>
      <c r="N597" s="807"/>
      <c r="O597" s="219" t="s">
        <v>147</v>
      </c>
      <c r="P597" s="349"/>
      <c r="Q597" s="343"/>
      <c r="R597" s="349"/>
      <c r="S597" s="334" t="s">
        <v>25</v>
      </c>
      <c r="T597" s="354"/>
      <c r="U597" s="403"/>
      <c r="V597" s="406">
        <v>0</v>
      </c>
      <c r="W597" s="406">
        <v>1.999999999999999E-2</v>
      </c>
      <c r="X597" s="425"/>
      <c r="Y597" s="71"/>
      <c r="Z597" s="789">
        <v>0.13</v>
      </c>
      <c r="AA597" s="786">
        <v>0.09</v>
      </c>
      <c r="AB597" s="786">
        <v>-0.2</v>
      </c>
      <c r="AC597" s="434">
        <v>0.13</v>
      </c>
      <c r="AD597" s="434">
        <v>-0.53</v>
      </c>
      <c r="AE597" s="434">
        <v>0.73</v>
      </c>
      <c r="AF597" s="429">
        <v>0</v>
      </c>
      <c r="AG597" s="368">
        <v>0</v>
      </c>
      <c r="AH597" s="368">
        <v>0</v>
      </c>
      <c r="AI597" s="368">
        <v>0</v>
      </c>
      <c r="AJ597" s="368">
        <v>0</v>
      </c>
      <c r="AK597" s="368">
        <v>0</v>
      </c>
      <c r="AL597" s="367">
        <f t="shared" si="34"/>
        <v>0.35</v>
      </c>
      <c r="AM597" s="362">
        <f>ERP_8[[#This Row],[2026 Working Total]]-ERP_8[[#This Row],[LE2 Final Submission]]</f>
        <v>0.32999999999999996</v>
      </c>
      <c r="AN597" s="227">
        <v>0</v>
      </c>
      <c r="AO597" s="227">
        <f t="shared" si="35"/>
        <v>0.73</v>
      </c>
      <c r="AP597" s="374">
        <f>SUM(ERP_8[[#This Row],[AP01]:[AP07]])-SUM(ERP_8[[#This Row],[AP01 LE2]:[AP07 LE2]])</f>
        <v>0.32999999999999996</v>
      </c>
      <c r="AQ597" s="80"/>
      <c r="AR597" s="79">
        <f>ERP_8[[#This Row],[2026 Working Total to Budget/LE]]-ERP_8[[#This Row],[Giveback]]</f>
        <v>0.32999999999999996</v>
      </c>
      <c r="AS597" s="81"/>
      <c r="AT597" s="375">
        <v>0.13</v>
      </c>
      <c r="AU597" s="375">
        <v>0.09</v>
      </c>
      <c r="AV597" s="375">
        <v>-0.2</v>
      </c>
      <c r="AW597" s="375">
        <v>0</v>
      </c>
      <c r="AX597" s="375">
        <v>0</v>
      </c>
      <c r="AY597" s="375">
        <v>0</v>
      </c>
      <c r="AZ597" s="375">
        <v>0</v>
      </c>
      <c r="BA597" s="375">
        <v>0</v>
      </c>
      <c r="BB597" s="375">
        <v>0</v>
      </c>
      <c r="BC597" s="375">
        <v>0</v>
      </c>
      <c r="BD597" s="375">
        <v>0</v>
      </c>
      <c r="BE597" s="375">
        <v>0</v>
      </c>
      <c r="BF597" s="375">
        <v>1.999999999999999E-2</v>
      </c>
      <c r="BG597" s="227">
        <v>0.13</v>
      </c>
      <c r="BH597" s="227">
        <v>0.09</v>
      </c>
      <c r="BI597" s="227">
        <v>-0.2</v>
      </c>
      <c r="BJ597" s="227">
        <v>0</v>
      </c>
      <c r="BK597" s="227">
        <v>0</v>
      </c>
      <c r="BL597" s="227">
        <v>0</v>
      </c>
      <c r="BM597" s="227">
        <v>0</v>
      </c>
      <c r="BN597" s="227">
        <v>0</v>
      </c>
      <c r="BO597" s="227">
        <v>0</v>
      </c>
      <c r="BP597" s="227">
        <v>0</v>
      </c>
      <c r="BQ597" s="227">
        <v>0</v>
      </c>
      <c r="BR597" s="227">
        <v>0</v>
      </c>
      <c r="BS597" s="227">
        <v>1.999999999999999E-2</v>
      </c>
    </row>
    <row r="598" spans="1:71" ht="15" hidden="1" customHeight="1">
      <c r="A598" s="215" t="s">
        <v>2702</v>
      </c>
      <c r="B598" s="732" t="s">
        <v>956</v>
      </c>
      <c r="C598" s="346"/>
      <c r="D598" s="343" t="str">
        <f>_xlfn.TEXTJOIN("_",FALSE,E598,ERP_8[[#This Row],[Expense Category]],ERP_8[[#This Row],[Project Code*]])</f>
        <v>Herman, Shaun_SOFTWARE_ColleagueSolutions001</v>
      </c>
      <c r="E598" s="343" t="s">
        <v>1450</v>
      </c>
      <c r="F598" s="346"/>
      <c r="G598" s="150" t="s">
        <v>1136</v>
      </c>
      <c r="H598" s="334" t="s">
        <v>1345</v>
      </c>
      <c r="I598" s="334" t="s">
        <v>1450</v>
      </c>
      <c r="J598" s="334" t="s">
        <v>1346</v>
      </c>
      <c r="K598" s="516" t="s">
        <v>639</v>
      </c>
      <c r="L598" s="398" t="s">
        <v>1138</v>
      </c>
      <c r="M598" s="343"/>
      <c r="N598" s="807"/>
      <c r="O598" s="219" t="s">
        <v>51</v>
      </c>
      <c r="P598" s="349" t="s">
        <v>1139</v>
      </c>
      <c r="Q598" s="346" t="s">
        <v>1140</v>
      </c>
      <c r="R598" s="349"/>
      <c r="S598" s="334" t="s">
        <v>25</v>
      </c>
      <c r="T598" s="354"/>
      <c r="U598" s="403"/>
      <c r="V598" s="406">
        <v>0</v>
      </c>
      <c r="W598" s="406">
        <v>431.03</v>
      </c>
      <c r="X598" s="430"/>
      <c r="Y598" s="137"/>
      <c r="Z598" s="789"/>
      <c r="AA598" s="785">
        <v>431.03</v>
      </c>
      <c r="AB598" s="785">
        <v>0</v>
      </c>
      <c r="AC598" s="428">
        <v>0</v>
      </c>
      <c r="AD598" s="429">
        <v>0</v>
      </c>
      <c r="AE598" s="429">
        <v>0</v>
      </c>
      <c r="AF598" s="429">
        <v>0</v>
      </c>
      <c r="AG598" s="368">
        <v>0</v>
      </c>
      <c r="AH598" s="368">
        <v>0</v>
      </c>
      <c r="AI598" s="368">
        <v>0</v>
      </c>
      <c r="AJ598" s="368">
        <v>0</v>
      </c>
      <c r="AK598" s="368">
        <v>0</v>
      </c>
      <c r="AL598" s="367">
        <f t="shared" si="34"/>
        <v>431.03</v>
      </c>
      <c r="AM598" s="362">
        <f>ERP_8[[#This Row],[2026 Working Total]]-ERP_8[[#This Row],[LE2 Final Submission]]</f>
        <v>0</v>
      </c>
      <c r="AN598" s="227">
        <v>0</v>
      </c>
      <c r="AO598" s="227">
        <f t="shared" si="35"/>
        <v>0</v>
      </c>
      <c r="AP598" s="374">
        <f>SUM(ERP_8[[#This Row],[AP01]:[AP07]])-SUM(ERP_8[[#This Row],[AP01 LE2]:[AP07 LE2]])</f>
        <v>0</v>
      </c>
      <c r="AQ598" s="80"/>
      <c r="AR598" s="79">
        <f>ERP_8[[#This Row],[2026 Working Total to Budget/LE]]-ERP_8[[#This Row],[Giveback]]</f>
        <v>0</v>
      </c>
      <c r="AS598" s="81"/>
      <c r="AT598" s="375"/>
      <c r="AU598" s="375">
        <v>431.03</v>
      </c>
      <c r="AV598" s="375">
        <v>0</v>
      </c>
      <c r="AW598" s="375">
        <v>0</v>
      </c>
      <c r="AX598" s="375">
        <v>0</v>
      </c>
      <c r="AY598" s="375">
        <v>0</v>
      </c>
      <c r="AZ598" s="375">
        <v>0</v>
      </c>
      <c r="BA598" s="375">
        <v>0</v>
      </c>
      <c r="BB598" s="375">
        <v>0</v>
      </c>
      <c r="BC598" s="375">
        <v>0</v>
      </c>
      <c r="BD598" s="375">
        <v>0</v>
      </c>
      <c r="BE598" s="375">
        <v>0</v>
      </c>
      <c r="BF598" s="375">
        <v>431.03</v>
      </c>
      <c r="BG598" s="227"/>
      <c r="BH598" s="227">
        <v>431.03</v>
      </c>
      <c r="BI598" s="227">
        <v>0</v>
      </c>
      <c r="BJ598" s="227">
        <v>0</v>
      </c>
      <c r="BK598" s="227">
        <v>0</v>
      </c>
      <c r="BL598" s="227">
        <v>0</v>
      </c>
      <c r="BM598" s="227">
        <v>0</v>
      </c>
      <c r="BN598" s="227">
        <v>0</v>
      </c>
      <c r="BO598" s="227">
        <v>0</v>
      </c>
      <c r="BP598" s="227">
        <v>0</v>
      </c>
      <c r="BQ598" s="227">
        <v>0</v>
      </c>
      <c r="BR598" s="227">
        <v>0</v>
      </c>
      <c r="BS598" s="227">
        <v>431.03</v>
      </c>
    </row>
    <row r="599" spans="1:71" ht="15" hidden="1" customHeight="1">
      <c r="A599" s="215" t="s">
        <v>2703</v>
      </c>
      <c r="B599" s="732" t="s">
        <v>957</v>
      </c>
      <c r="C599" s="346"/>
      <c r="D599" s="343" t="str">
        <f>_xlfn.TEXTJOIN("_",FALSE,E599,ERP_8[[#This Row],[Expense Category]],ERP_8[[#This Row],[Project Code*]])</f>
        <v>Herman, Shaun_SOFTWARE_IT-SFT1194-86-OG-US</v>
      </c>
      <c r="E599" s="343" t="s">
        <v>1450</v>
      </c>
      <c r="F599" s="346"/>
      <c r="G599" s="150" t="s">
        <v>1136</v>
      </c>
      <c r="H599" s="334" t="s">
        <v>1345</v>
      </c>
      <c r="I599" s="334" t="s">
        <v>1450</v>
      </c>
      <c r="J599" s="334" t="s">
        <v>1346</v>
      </c>
      <c r="K599" s="516" t="s">
        <v>639</v>
      </c>
      <c r="L599" s="398" t="s">
        <v>818</v>
      </c>
      <c r="M599" s="343"/>
      <c r="N599" s="807"/>
      <c r="O599" s="219" t="s">
        <v>817</v>
      </c>
      <c r="P599" s="349"/>
      <c r="Q599" s="346" t="s">
        <v>1140</v>
      </c>
      <c r="R599" s="349"/>
      <c r="S599" s="334" t="s">
        <v>818</v>
      </c>
      <c r="T599" s="354"/>
      <c r="U599" s="403"/>
      <c r="V599" s="406">
        <v>12000</v>
      </c>
      <c r="W599" s="406">
        <v>19022.099999999999</v>
      </c>
      <c r="X599" s="425"/>
      <c r="Y599" s="71"/>
      <c r="Z599" s="789"/>
      <c r="AA599" s="785"/>
      <c r="AB599" s="785">
        <v>10022.1</v>
      </c>
      <c r="AC599" s="428">
        <v>0</v>
      </c>
      <c r="AD599" s="429">
        <v>0</v>
      </c>
      <c r="AE599" s="429">
        <v>7983.4299999999994</v>
      </c>
      <c r="AF599" s="429">
        <v>0</v>
      </c>
      <c r="AG599" s="368">
        <v>0</v>
      </c>
      <c r="AH599" s="369">
        <v>10000</v>
      </c>
      <c r="AI599" s="368">
        <v>0</v>
      </c>
      <c r="AJ599" s="368">
        <v>0</v>
      </c>
      <c r="AK599" s="369">
        <v>10000</v>
      </c>
      <c r="AL599" s="367">
        <f t="shared" si="34"/>
        <v>38005.53</v>
      </c>
      <c r="AM599" s="362">
        <f>ERP_8[[#This Row],[2026 Working Total]]-ERP_8[[#This Row],[LE2 Final Submission]]</f>
        <v>18983.43</v>
      </c>
      <c r="AN599" s="227">
        <v>0</v>
      </c>
      <c r="AO599" s="227">
        <f t="shared" si="35"/>
        <v>7983.4299999999994</v>
      </c>
      <c r="AP599" s="374">
        <f>SUM(ERP_8[[#This Row],[AP01]:[AP07]])-SUM(ERP_8[[#This Row],[AP01 LE2]:[AP07 LE2]])</f>
        <v>4983.4299999999985</v>
      </c>
      <c r="AQ599" s="80"/>
      <c r="AR599" s="79">
        <f>ERP_8[[#This Row],[2026 Working Total to Budget/LE]]-ERP_8[[#This Row],[Giveback]]</f>
        <v>18983.43</v>
      </c>
      <c r="AS599" s="81"/>
      <c r="AT599" s="375"/>
      <c r="AU599" s="375"/>
      <c r="AV599" s="375">
        <v>10022.1</v>
      </c>
      <c r="AW599" s="375">
        <v>0</v>
      </c>
      <c r="AX599" s="375">
        <v>0</v>
      </c>
      <c r="AY599" s="375">
        <v>3000</v>
      </c>
      <c r="AZ599" s="375">
        <v>0</v>
      </c>
      <c r="BA599" s="375">
        <v>0</v>
      </c>
      <c r="BB599" s="375">
        <v>3000</v>
      </c>
      <c r="BC599" s="375">
        <v>0</v>
      </c>
      <c r="BD599" s="375">
        <v>0</v>
      </c>
      <c r="BE599" s="375">
        <v>3000</v>
      </c>
      <c r="BF599" s="375">
        <v>19022.099999999999</v>
      </c>
      <c r="BG599" s="227"/>
      <c r="BH599" s="227"/>
      <c r="BI599" s="227">
        <v>10022.1</v>
      </c>
      <c r="BJ599" s="227">
        <v>0</v>
      </c>
      <c r="BK599" s="227">
        <v>0</v>
      </c>
      <c r="BL599" s="227">
        <v>3000</v>
      </c>
      <c r="BM599" s="227">
        <v>0</v>
      </c>
      <c r="BN599" s="227">
        <v>0</v>
      </c>
      <c r="BO599" s="227">
        <v>3000</v>
      </c>
      <c r="BP599" s="227">
        <v>0</v>
      </c>
      <c r="BQ599" s="227">
        <v>0</v>
      </c>
      <c r="BR599" s="227">
        <v>3000</v>
      </c>
      <c r="BS599" s="227">
        <v>19022.099999999999</v>
      </c>
    </row>
    <row r="600" spans="1:71" ht="15" hidden="1" customHeight="1">
      <c r="A600" s="215" t="s">
        <v>2704</v>
      </c>
      <c r="B600" s="732" t="s">
        <v>958</v>
      </c>
      <c r="C600" s="346"/>
      <c r="D600" s="343" t="str">
        <f>_xlfn.TEXTJOIN("_",FALSE,E600,ERP_8[[#This Row],[Expense Category]],ERP_8[[#This Row],[Project Code*]])</f>
        <v>Herman, Shaun_SOFTWARE_MISC001</v>
      </c>
      <c r="E600" s="343" t="s">
        <v>1450</v>
      </c>
      <c r="F600" s="346"/>
      <c r="G600" s="150" t="s">
        <v>1136</v>
      </c>
      <c r="H600" s="334" t="s">
        <v>1345</v>
      </c>
      <c r="I600" s="334" t="s">
        <v>1450</v>
      </c>
      <c r="J600" s="334" t="s">
        <v>1346</v>
      </c>
      <c r="K600" s="516" t="s">
        <v>639</v>
      </c>
      <c r="L600" s="398" t="s">
        <v>1327</v>
      </c>
      <c r="M600" s="343"/>
      <c r="N600" s="807"/>
      <c r="O600" s="219" t="s">
        <v>147</v>
      </c>
      <c r="P600" s="349"/>
      <c r="Q600" s="343"/>
      <c r="R600" s="349"/>
      <c r="S600" s="334" t="s">
        <v>25</v>
      </c>
      <c r="T600" s="354"/>
      <c r="U600" s="403"/>
      <c r="V600" s="406">
        <v>0</v>
      </c>
      <c r="W600" s="406">
        <v>-0.13</v>
      </c>
      <c r="X600" s="425"/>
      <c r="Y600" s="71"/>
      <c r="Z600" s="789"/>
      <c r="AA600" s="785">
        <v>-0.03</v>
      </c>
      <c r="AB600" s="785">
        <v>-0.1</v>
      </c>
      <c r="AC600" s="428">
        <v>0</v>
      </c>
      <c r="AD600" s="429">
        <v>0</v>
      </c>
      <c r="AE600" s="429">
        <v>0.56999999999999995</v>
      </c>
      <c r="AF600" s="429">
        <v>0</v>
      </c>
      <c r="AG600" s="368">
        <v>0</v>
      </c>
      <c r="AH600" s="368">
        <v>0</v>
      </c>
      <c r="AI600" s="368">
        <v>0</v>
      </c>
      <c r="AJ600" s="368">
        <v>0</v>
      </c>
      <c r="AK600" s="368">
        <v>0</v>
      </c>
      <c r="AL600" s="367">
        <f t="shared" si="34"/>
        <v>0.43999999999999995</v>
      </c>
      <c r="AM600" s="362">
        <f>ERP_8[[#This Row],[2026 Working Total]]-ERP_8[[#This Row],[LE2 Final Submission]]</f>
        <v>0.56999999999999995</v>
      </c>
      <c r="AN600" s="227">
        <v>0</v>
      </c>
      <c r="AO600" s="227">
        <f t="shared" si="35"/>
        <v>0.56999999999999995</v>
      </c>
      <c r="AP600" s="374">
        <f>SUM(ERP_8[[#This Row],[AP01]:[AP07]])-SUM(ERP_8[[#This Row],[AP01 LE2]:[AP07 LE2]])</f>
        <v>0.56999999999999995</v>
      </c>
      <c r="AQ600" s="80"/>
      <c r="AR600" s="79">
        <f>ERP_8[[#This Row],[2026 Working Total to Budget/LE]]-ERP_8[[#This Row],[Giveback]]</f>
        <v>0.56999999999999995</v>
      </c>
      <c r="AS600" s="81"/>
      <c r="AT600" s="375"/>
      <c r="AU600" s="375">
        <v>-0.03</v>
      </c>
      <c r="AV600" s="375">
        <v>-0.1</v>
      </c>
      <c r="AW600" s="375">
        <v>0</v>
      </c>
      <c r="AX600" s="375">
        <v>0</v>
      </c>
      <c r="AY600" s="375">
        <v>0</v>
      </c>
      <c r="AZ600" s="375">
        <v>0</v>
      </c>
      <c r="BA600" s="375">
        <v>0</v>
      </c>
      <c r="BB600" s="375">
        <v>0</v>
      </c>
      <c r="BC600" s="375">
        <v>0</v>
      </c>
      <c r="BD600" s="375">
        <v>0</v>
      </c>
      <c r="BE600" s="375">
        <v>0</v>
      </c>
      <c r="BF600" s="375">
        <v>-0.13</v>
      </c>
      <c r="BG600" s="227"/>
      <c r="BH600" s="227">
        <v>-0.03</v>
      </c>
      <c r="BI600" s="227">
        <v>-0.1</v>
      </c>
      <c r="BJ600" s="227">
        <v>0</v>
      </c>
      <c r="BK600" s="227">
        <v>0</v>
      </c>
      <c r="BL600" s="227">
        <v>0</v>
      </c>
      <c r="BM600" s="227">
        <v>0</v>
      </c>
      <c r="BN600" s="227">
        <v>0</v>
      </c>
      <c r="BO600" s="227">
        <v>0</v>
      </c>
      <c r="BP600" s="227">
        <v>0</v>
      </c>
      <c r="BQ600" s="227">
        <v>0</v>
      </c>
      <c r="BR600" s="227">
        <v>0</v>
      </c>
      <c r="BS600" s="227">
        <v>-0.13</v>
      </c>
    </row>
    <row r="601" spans="1:71" ht="15" hidden="1" customHeight="1">
      <c r="A601" s="227" t="s">
        <v>2705</v>
      </c>
      <c r="B601" s="745" t="s">
        <v>959</v>
      </c>
      <c r="C601" s="348"/>
      <c r="D601" s="347" t="str">
        <f>_xlfn.TEXTJOIN("_",FALSE,E601,ERP_8[[#This Row],[Expense Category]],ERP_8[[#This Row],[Project Code*]])</f>
        <v>Hovanyetz, Mike_SOFTWARE_2026-XFR-0017-A</v>
      </c>
      <c r="E601" s="347" t="s">
        <v>1480</v>
      </c>
      <c r="F601" s="348"/>
      <c r="G601" s="150" t="s">
        <v>1136</v>
      </c>
      <c r="H601" s="336" t="s">
        <v>1345</v>
      </c>
      <c r="I601" s="338" t="s">
        <v>1480</v>
      </c>
      <c r="J601" s="335" t="s">
        <v>1346</v>
      </c>
      <c r="K601" s="517" t="s">
        <v>639</v>
      </c>
      <c r="L601" s="399" t="s">
        <v>2214</v>
      </c>
      <c r="M601" s="343"/>
      <c r="N601" s="822"/>
      <c r="O601" s="235" t="s">
        <v>646</v>
      </c>
      <c r="P601" s="344"/>
      <c r="Q601" s="343"/>
      <c r="R601" s="353"/>
      <c r="S601" s="352" t="s">
        <v>152</v>
      </c>
      <c r="T601" s="356" t="s">
        <v>2706</v>
      </c>
      <c r="U601" s="432"/>
      <c r="V601" s="358">
        <v>650000</v>
      </c>
      <c r="W601" s="378">
        <v>0</v>
      </c>
      <c r="X601" s="425"/>
      <c r="Y601" s="71"/>
      <c r="Z601" s="790"/>
      <c r="AA601" s="786"/>
      <c r="AB601" s="786"/>
      <c r="AC601" s="428" t="s">
        <v>1142</v>
      </c>
      <c r="AD601" s="429">
        <v>0</v>
      </c>
      <c r="AE601" s="429">
        <v>0</v>
      </c>
      <c r="AF601" s="429" t="s">
        <v>1142</v>
      </c>
      <c r="AG601" s="370">
        <v>0</v>
      </c>
      <c r="AH601" s="370">
        <v>0</v>
      </c>
      <c r="AI601" s="370">
        <v>0</v>
      </c>
      <c r="AJ601" s="370">
        <v>0</v>
      </c>
      <c r="AK601" s="370">
        <v>0</v>
      </c>
      <c r="AL601" s="367">
        <f t="shared" si="34"/>
        <v>0</v>
      </c>
      <c r="AM601" s="362">
        <f>ERP_8[[#This Row],[2026 Working Total]]-ERP_8[[#This Row],[LE2 Final Submission]]</f>
        <v>0</v>
      </c>
      <c r="AN601" s="227">
        <v>0</v>
      </c>
      <c r="AO601" s="227">
        <f t="shared" si="35"/>
        <v>0</v>
      </c>
      <c r="AP601" s="374">
        <f>SUM(ERP_8[[#This Row],[AP01]:[AP07]])-SUM(ERP_8[[#This Row],[AP01 LE2]:[AP07 LE2]])</f>
        <v>0</v>
      </c>
      <c r="AQ601" s="80"/>
      <c r="AR601" s="79">
        <f>ERP_8[[#This Row],[2026 Working Total to Budget/LE]]-ERP_8[[#This Row],[Giveback]]</f>
        <v>0</v>
      </c>
      <c r="AS601" s="81" t="s">
        <v>2216</v>
      </c>
      <c r="AT601" s="375"/>
      <c r="AU601" s="375"/>
      <c r="AV601" s="375"/>
      <c r="AW601" s="375">
        <v>0</v>
      </c>
      <c r="AX601" s="375">
        <v>0</v>
      </c>
      <c r="AY601" s="375">
        <v>0</v>
      </c>
      <c r="AZ601" s="375">
        <v>0</v>
      </c>
      <c r="BA601" s="375">
        <v>0</v>
      </c>
      <c r="BB601" s="375">
        <v>0</v>
      </c>
      <c r="BC601" s="375">
        <v>0</v>
      </c>
      <c r="BD601" s="375">
        <v>0</v>
      </c>
      <c r="BE601" s="375">
        <v>0</v>
      </c>
      <c r="BF601" s="375">
        <v>0</v>
      </c>
      <c r="BG601" s="246">
        <v>0</v>
      </c>
      <c r="BH601" s="246">
        <v>0</v>
      </c>
      <c r="BI601" s="246">
        <v>0</v>
      </c>
      <c r="BJ601" s="246">
        <v>0</v>
      </c>
      <c r="BK601" s="246">
        <v>0</v>
      </c>
      <c r="BL601" s="246">
        <v>650000</v>
      </c>
      <c r="BM601" s="246">
        <v>0</v>
      </c>
      <c r="BN601" s="246">
        <v>0</v>
      </c>
      <c r="BO601" s="246">
        <v>0</v>
      </c>
      <c r="BP601" s="246">
        <v>0</v>
      </c>
      <c r="BQ601" s="246">
        <v>0</v>
      </c>
      <c r="BR601" s="246">
        <v>0</v>
      </c>
      <c r="BS601" s="227">
        <f>SUM(ERP_8[[#This Row],[2026 AP01]:[2026 AP12]])</f>
        <v>650000</v>
      </c>
    </row>
    <row r="602" spans="1:71" ht="15" hidden="1" customHeight="1">
      <c r="A602" s="227" t="s">
        <v>2707</v>
      </c>
      <c r="B602" s="821" t="s">
        <v>960</v>
      </c>
      <c r="C602" s="348"/>
      <c r="D602" s="347" t="str">
        <f>_xlfn.TEXTJOIN("_",FALSE,E602,ERP_8[[#This Row],[Expense Category]],ERP_8[[#This Row],[Project Code*]])</f>
        <v>Hovanyetz, Mike_SOFTWARE_2026-XFR-0017-B</v>
      </c>
      <c r="E602" s="347" t="s">
        <v>1480</v>
      </c>
      <c r="F602" s="348"/>
      <c r="G602" s="150" t="s">
        <v>1136</v>
      </c>
      <c r="H602" s="816" t="s">
        <v>1345</v>
      </c>
      <c r="I602" s="848" t="s">
        <v>1480</v>
      </c>
      <c r="J602" s="335" t="s">
        <v>1346</v>
      </c>
      <c r="K602" s="853" t="s">
        <v>639</v>
      </c>
      <c r="L602" s="859" t="s">
        <v>2218</v>
      </c>
      <c r="M602" s="343"/>
      <c r="N602" s="822"/>
      <c r="O602" s="867" t="s">
        <v>648</v>
      </c>
      <c r="P602" s="344"/>
      <c r="Q602" s="343"/>
      <c r="R602" s="353"/>
      <c r="S602" s="873" t="s">
        <v>152</v>
      </c>
      <c r="T602" s="356" t="s">
        <v>2706</v>
      </c>
      <c r="U602" s="432"/>
      <c r="V602" s="358">
        <v>300000</v>
      </c>
      <c r="W602" s="378">
        <v>0</v>
      </c>
      <c r="X602" s="425"/>
      <c r="Y602" s="71"/>
      <c r="Z602" s="839"/>
      <c r="AA602" s="839"/>
      <c r="AB602" s="839"/>
      <c r="AC602" s="428" t="s">
        <v>1142</v>
      </c>
      <c r="AD602" s="429">
        <v>0</v>
      </c>
      <c r="AE602" s="429">
        <v>0</v>
      </c>
      <c r="AF602" s="429" t="s">
        <v>1142</v>
      </c>
      <c r="AG602" s="889">
        <v>0</v>
      </c>
      <c r="AH602" s="889">
        <v>0</v>
      </c>
      <c r="AI602" s="889">
        <v>0</v>
      </c>
      <c r="AJ602" s="889">
        <v>0</v>
      </c>
      <c r="AK602" s="889">
        <v>0</v>
      </c>
      <c r="AL602" s="367">
        <f t="shared" si="34"/>
        <v>0</v>
      </c>
      <c r="AM602" s="362">
        <f>ERP_8[[#This Row],[2026 Working Total]]-ERP_8[[#This Row],[LE2 Final Submission]]</f>
        <v>0</v>
      </c>
      <c r="AN602" s="227">
        <v>0</v>
      </c>
      <c r="AO602" s="227">
        <f t="shared" si="35"/>
        <v>0</v>
      </c>
      <c r="AP602" s="374">
        <f>SUM(ERP_8[[#This Row],[AP01]:[AP07]])-SUM(ERP_8[[#This Row],[AP01 LE2]:[AP07 LE2]])</f>
        <v>0</v>
      </c>
      <c r="AQ602" s="80"/>
      <c r="AR602" s="79">
        <f>ERP_8[[#This Row],[2026 Working Total to Budget/LE]]-ERP_8[[#This Row],[Giveback]]</f>
        <v>0</v>
      </c>
      <c r="AS602" s="81" t="s">
        <v>2216</v>
      </c>
      <c r="AT602" s="375"/>
      <c r="AU602" s="375"/>
      <c r="AV602" s="375"/>
      <c r="AW602" s="375">
        <v>0</v>
      </c>
      <c r="AX602" s="375">
        <v>0</v>
      </c>
      <c r="AY602" s="375">
        <v>0</v>
      </c>
      <c r="AZ602" s="375">
        <v>0</v>
      </c>
      <c r="BA602" s="375">
        <v>0</v>
      </c>
      <c r="BB602" s="375">
        <v>0</v>
      </c>
      <c r="BC602" s="375">
        <v>0</v>
      </c>
      <c r="BD602" s="375">
        <v>0</v>
      </c>
      <c r="BE602" s="375">
        <v>0</v>
      </c>
      <c r="BF602" s="375">
        <v>0</v>
      </c>
      <c r="BG602" s="894">
        <v>0</v>
      </c>
      <c r="BH602" s="894">
        <v>0</v>
      </c>
      <c r="BI602" s="894">
        <v>0</v>
      </c>
      <c r="BJ602" s="894">
        <v>0</v>
      </c>
      <c r="BK602" s="894">
        <v>0</v>
      </c>
      <c r="BL602" s="894">
        <v>300000</v>
      </c>
      <c r="BM602" s="894">
        <v>0</v>
      </c>
      <c r="BN602" s="894">
        <v>0</v>
      </c>
      <c r="BO602" s="894">
        <v>0</v>
      </c>
      <c r="BP602" s="894">
        <v>0</v>
      </c>
      <c r="BQ602" s="894">
        <v>0</v>
      </c>
      <c r="BR602" s="894">
        <v>0</v>
      </c>
      <c r="BS602" s="227">
        <f>SUM(ERP_8[[#This Row],[2026 AP01]:[2026 AP12]])</f>
        <v>300000</v>
      </c>
    </row>
    <row r="603" spans="1:71" ht="15" hidden="1" customHeight="1">
      <c r="A603" s="227" t="s">
        <v>2708</v>
      </c>
      <c r="B603" s="821" t="s">
        <v>961</v>
      </c>
      <c r="C603" s="348"/>
      <c r="D603" s="347" t="str">
        <f>_xlfn.TEXTJOIN("_",FALSE,E603,ERP_8[[#This Row],[Expense Category]],ERP_8[[#This Row],[Project Code*]])</f>
        <v>Hovanyetz, Mike_SOFTWARE_2026-XFR-0034-A</v>
      </c>
      <c r="E603" s="347" t="s">
        <v>1480</v>
      </c>
      <c r="F603" s="348"/>
      <c r="G603" s="150" t="s">
        <v>1136</v>
      </c>
      <c r="H603" s="816" t="s">
        <v>1345</v>
      </c>
      <c r="I603" s="851" t="s">
        <v>1480</v>
      </c>
      <c r="J603" s="335" t="s">
        <v>1346</v>
      </c>
      <c r="K603" s="853" t="s">
        <v>639</v>
      </c>
      <c r="L603" s="864" t="s">
        <v>2221</v>
      </c>
      <c r="M603" s="343"/>
      <c r="N603" s="822"/>
      <c r="O603" s="872" t="s">
        <v>650</v>
      </c>
      <c r="P603" s="344"/>
      <c r="Q603" s="343"/>
      <c r="R603" s="353"/>
      <c r="S603" s="875" t="s">
        <v>152</v>
      </c>
      <c r="T603" s="356" t="s">
        <v>2706</v>
      </c>
      <c r="U603" s="432"/>
      <c r="V603" s="358">
        <v>3300</v>
      </c>
      <c r="W603" s="378">
        <v>0</v>
      </c>
      <c r="X603" s="430"/>
      <c r="Y603" s="137"/>
      <c r="Z603" s="839"/>
      <c r="AA603" s="839"/>
      <c r="AB603" s="839"/>
      <c r="AC603" s="428" t="s">
        <v>1142</v>
      </c>
      <c r="AD603" s="429">
        <v>0</v>
      </c>
      <c r="AE603" s="429">
        <v>0</v>
      </c>
      <c r="AF603" s="429" t="s">
        <v>1142</v>
      </c>
      <c r="AG603" s="889">
        <f>275-275</f>
        <v>0</v>
      </c>
      <c r="AH603" s="889">
        <f>275-275</f>
        <v>0</v>
      </c>
      <c r="AI603" s="889">
        <f>275-275</f>
        <v>0</v>
      </c>
      <c r="AJ603" s="889">
        <f>275-275</f>
        <v>0</v>
      </c>
      <c r="AK603" s="889">
        <f>275-275</f>
        <v>0</v>
      </c>
      <c r="AL603" s="367">
        <f t="shared" si="34"/>
        <v>0</v>
      </c>
      <c r="AM603" s="362">
        <f>ERP_8[[#This Row],[2026 Working Total]]-ERP_8[[#This Row],[LE2 Final Submission]]</f>
        <v>0</v>
      </c>
      <c r="AN603" s="227">
        <v>0</v>
      </c>
      <c r="AO603" s="227">
        <f t="shared" si="35"/>
        <v>0</v>
      </c>
      <c r="AP603" s="374">
        <f>SUM(ERP_8[[#This Row],[AP01]:[AP07]])-SUM(ERP_8[[#This Row],[AP01 LE2]:[AP07 LE2]])</f>
        <v>0</v>
      </c>
      <c r="AQ603" s="80"/>
      <c r="AR603" s="79">
        <f>ERP_8[[#This Row],[2026 Working Total to Budget/LE]]-ERP_8[[#This Row],[Giveback]]</f>
        <v>0</v>
      </c>
      <c r="AS603" s="81"/>
      <c r="AT603" s="375"/>
      <c r="AU603" s="375"/>
      <c r="AV603" s="375"/>
      <c r="AW603" s="375">
        <v>0</v>
      </c>
      <c r="AX603" s="375">
        <v>0</v>
      </c>
      <c r="AY603" s="375">
        <v>0</v>
      </c>
      <c r="AZ603" s="375">
        <v>0</v>
      </c>
      <c r="BA603" s="375">
        <v>0</v>
      </c>
      <c r="BB603" s="375">
        <v>0</v>
      </c>
      <c r="BC603" s="375">
        <v>0</v>
      </c>
      <c r="BD603" s="375">
        <v>0</v>
      </c>
      <c r="BE603" s="375">
        <v>0</v>
      </c>
      <c r="BF603" s="375">
        <v>0</v>
      </c>
      <c r="BG603" s="894">
        <v>275</v>
      </c>
      <c r="BH603" s="894">
        <v>275</v>
      </c>
      <c r="BI603" s="894">
        <v>275</v>
      </c>
      <c r="BJ603" s="894">
        <v>275</v>
      </c>
      <c r="BK603" s="894">
        <v>275</v>
      </c>
      <c r="BL603" s="894">
        <v>275</v>
      </c>
      <c r="BM603" s="894">
        <v>275</v>
      </c>
      <c r="BN603" s="894">
        <v>275</v>
      </c>
      <c r="BO603" s="894">
        <v>275</v>
      </c>
      <c r="BP603" s="894">
        <v>275</v>
      </c>
      <c r="BQ603" s="894">
        <v>275</v>
      </c>
      <c r="BR603" s="894">
        <v>275</v>
      </c>
      <c r="BS603" s="227">
        <f>SUM(ERP_8[[#This Row],[2026 AP01]:[2026 AP12]])</f>
        <v>3300</v>
      </c>
    </row>
    <row r="604" spans="1:71" ht="15" hidden="1" customHeight="1">
      <c r="A604" s="215" t="s">
        <v>2709</v>
      </c>
      <c r="B604" s="769" t="s">
        <v>962</v>
      </c>
      <c r="C604" s="346"/>
      <c r="D604" s="343" t="str">
        <f>_xlfn.TEXTJOIN("_",FALSE,E604,ERP_8[[#This Row],[Expense Category]],ERP_8[[#This Row],[Project Code*]])</f>
        <v>Hovanyetz, Mike_SOFTWARE_2026-XFR-0059-A</v>
      </c>
      <c r="E604" s="343" t="s">
        <v>1480</v>
      </c>
      <c r="F604" s="346"/>
      <c r="G604" s="150" t="s">
        <v>1136</v>
      </c>
      <c r="H604" s="340" t="s">
        <v>1345</v>
      </c>
      <c r="I604" s="341" t="s">
        <v>1480</v>
      </c>
      <c r="J604" s="334" t="s">
        <v>1346</v>
      </c>
      <c r="K604" s="519" t="s">
        <v>639</v>
      </c>
      <c r="L604" s="400" t="s">
        <v>2710</v>
      </c>
      <c r="M604" s="343"/>
      <c r="N604" s="807"/>
      <c r="O604" s="269" t="s">
        <v>963</v>
      </c>
      <c r="P604" s="349"/>
      <c r="Q604" s="343"/>
      <c r="R604" s="349"/>
      <c r="S604" s="341" t="s">
        <v>152</v>
      </c>
      <c r="T604" s="354"/>
      <c r="U604" s="403"/>
      <c r="V604" s="406">
        <v>0</v>
      </c>
      <c r="W604" s="406">
        <v>24000</v>
      </c>
      <c r="X604" s="425"/>
      <c r="Y604" s="71"/>
      <c r="Z604" s="787">
        <v>24000</v>
      </c>
      <c r="AA604" s="787">
        <v>0</v>
      </c>
      <c r="AB604" s="787">
        <v>0</v>
      </c>
      <c r="AC604" s="428">
        <v>5.0699999999999363</v>
      </c>
      <c r="AD604" s="429">
        <v>-7.8299999999999272</v>
      </c>
      <c r="AE604" s="429">
        <v>-15479.01</v>
      </c>
      <c r="AF604" s="429">
        <v>1698.57</v>
      </c>
      <c r="AG604" s="372">
        <v>0</v>
      </c>
      <c r="AH604" s="372">
        <v>0</v>
      </c>
      <c r="AI604" s="372">
        <v>0</v>
      </c>
      <c r="AJ604" s="372">
        <v>0</v>
      </c>
      <c r="AK604" s="372">
        <v>0</v>
      </c>
      <c r="AL604" s="367">
        <f t="shared" si="34"/>
        <v>10216.799999999997</v>
      </c>
      <c r="AM604" s="362">
        <f>ERP_8[[#This Row],[2026 Working Total]]-ERP_8[[#This Row],[LE2 Final Submission]]</f>
        <v>-13783.200000000003</v>
      </c>
      <c r="AN604" s="227">
        <v>0</v>
      </c>
      <c r="AO604" s="227">
        <f t="shared" si="35"/>
        <v>-15479.01</v>
      </c>
      <c r="AP604" s="374">
        <f>SUM(ERP_8[[#This Row],[AP01]:[AP07]])-SUM(ERP_8[[#This Row],[AP01 LE2]:[AP07 LE2]])</f>
        <v>-13783.200000000003</v>
      </c>
      <c r="AQ604" s="80"/>
      <c r="AR604" s="79">
        <f>ERP_8[[#This Row],[2026 Working Total to Budget/LE]]-ERP_8[[#This Row],[Giveback]]</f>
        <v>-13783.200000000003</v>
      </c>
      <c r="AS604" s="81"/>
      <c r="AT604" s="375">
        <v>24000</v>
      </c>
      <c r="AU604" s="375">
        <v>0</v>
      </c>
      <c r="AV604" s="375">
        <v>0</v>
      </c>
      <c r="AW604" s="375">
        <v>0</v>
      </c>
      <c r="AX604" s="375">
        <v>0</v>
      </c>
      <c r="AY604" s="375">
        <v>0</v>
      </c>
      <c r="AZ604" s="375">
        <v>0</v>
      </c>
      <c r="BA604" s="375">
        <v>0</v>
      </c>
      <c r="BB604" s="375">
        <v>0</v>
      </c>
      <c r="BC604" s="375">
        <v>0</v>
      </c>
      <c r="BD604" s="375">
        <v>0</v>
      </c>
      <c r="BE604" s="375">
        <v>0</v>
      </c>
      <c r="BF604" s="375">
        <v>24000</v>
      </c>
      <c r="BG604" s="276">
        <v>24000</v>
      </c>
      <c r="BH604" s="276">
        <v>0</v>
      </c>
      <c r="BI604" s="276">
        <v>0</v>
      </c>
      <c r="BJ604" s="276">
        <v>0</v>
      </c>
      <c r="BK604" s="276">
        <v>0</v>
      </c>
      <c r="BL604" s="276">
        <v>0</v>
      </c>
      <c r="BM604" s="276">
        <v>0</v>
      </c>
      <c r="BN604" s="276">
        <v>0</v>
      </c>
      <c r="BO604" s="276">
        <v>0</v>
      </c>
      <c r="BP604" s="276">
        <v>0</v>
      </c>
      <c r="BQ604" s="276">
        <v>0</v>
      </c>
      <c r="BR604" s="276">
        <v>0</v>
      </c>
      <c r="BS604" s="227">
        <v>24000</v>
      </c>
    </row>
    <row r="605" spans="1:71" ht="15" hidden="1" customHeight="1">
      <c r="A605" s="846" t="s">
        <v>2711</v>
      </c>
      <c r="B605" s="769" t="s">
        <v>964</v>
      </c>
      <c r="C605" s="346"/>
      <c r="D605" s="343" t="str">
        <f>_xlfn.TEXTJOIN("_",FALSE,E605,ERP_8[[#This Row],[Expense Category]],ERP_8[[#This Row],[Project Code*]])</f>
        <v>Hovanyetz, Mike_SOFTWARE_2026-XFR-LD001</v>
      </c>
      <c r="E605" s="343" t="s">
        <v>1480</v>
      </c>
      <c r="F605" s="346"/>
      <c r="G605" s="150" t="s">
        <v>1136</v>
      </c>
      <c r="H605" s="340" t="s">
        <v>1345</v>
      </c>
      <c r="I605" s="341" t="s">
        <v>1480</v>
      </c>
      <c r="J605" s="334" t="s">
        <v>1480</v>
      </c>
      <c r="K605" s="855" t="s">
        <v>639</v>
      </c>
      <c r="L605" s="400" t="s">
        <v>2660</v>
      </c>
      <c r="M605" s="343"/>
      <c r="N605" s="822"/>
      <c r="O605" s="269" t="s">
        <v>937</v>
      </c>
      <c r="P605" s="344" t="s">
        <v>1139</v>
      </c>
      <c r="Q605" s="343"/>
      <c r="R605" s="349"/>
      <c r="S605" s="341" t="s">
        <v>152</v>
      </c>
      <c r="T605" s="354" t="s">
        <v>2712</v>
      </c>
      <c r="U605" s="405"/>
      <c r="V605" s="359"/>
      <c r="W605" s="380">
        <v>0</v>
      </c>
      <c r="X605" s="425"/>
      <c r="Y605" s="71"/>
      <c r="Z605" s="787"/>
      <c r="AA605" s="787"/>
      <c r="AB605" s="787"/>
      <c r="AC605" s="428" t="s">
        <v>1142</v>
      </c>
      <c r="AD605" s="429">
        <v>0</v>
      </c>
      <c r="AE605" s="429">
        <v>0</v>
      </c>
      <c r="AF605" s="429" t="s">
        <v>1142</v>
      </c>
      <c r="AG605" s="373"/>
      <c r="AH605" s="373"/>
      <c r="AI605" s="373">
        <f>15000-15000</f>
        <v>0</v>
      </c>
      <c r="AJ605" s="373">
        <f>15000-15000</f>
        <v>0</v>
      </c>
      <c r="AK605" s="373">
        <f>15000-15000</f>
        <v>0</v>
      </c>
      <c r="AL605" s="367">
        <f t="shared" si="34"/>
        <v>0</v>
      </c>
      <c r="AM605" s="362">
        <f>ERP_8[[#This Row],[2026 Working Total]]-ERP_8[[#This Row],[LE2 Final Submission]]</f>
        <v>0</v>
      </c>
      <c r="AN605" s="227">
        <v>0</v>
      </c>
      <c r="AO605" s="227">
        <f t="shared" si="35"/>
        <v>0</v>
      </c>
      <c r="AP605" s="374">
        <f>SUM(ERP_8[[#This Row],[AP01]:[AP07]])-SUM(ERP_8[[#This Row],[AP01 LE2]:[AP07 LE2]])</f>
        <v>0</v>
      </c>
      <c r="AQ605" s="80"/>
      <c r="AR605" s="79">
        <f>ERP_8[[#This Row],[2026 Working Total to Budget/LE]]-ERP_8[[#This Row],[Giveback]]</f>
        <v>0</v>
      </c>
      <c r="AS605" s="81"/>
      <c r="AT605" s="375"/>
      <c r="AU605" s="375"/>
      <c r="AV605" s="375"/>
      <c r="AW605" s="375"/>
      <c r="AX605" s="375"/>
      <c r="AY605" s="375"/>
      <c r="AZ605" s="375"/>
      <c r="BA605" s="375"/>
      <c r="BB605" s="375"/>
      <c r="BC605" s="375">
        <v>0</v>
      </c>
      <c r="BD605" s="375">
        <v>0</v>
      </c>
      <c r="BE605" s="375">
        <v>0</v>
      </c>
      <c r="BF605" s="375">
        <v>0</v>
      </c>
      <c r="BG605" s="276"/>
      <c r="BH605" s="276"/>
      <c r="BI605" s="276"/>
      <c r="BJ605" s="276"/>
      <c r="BK605" s="276"/>
      <c r="BL605" s="276"/>
      <c r="BM605" s="276"/>
      <c r="BN605" s="276"/>
      <c r="BO605" s="276"/>
      <c r="BP605" s="276"/>
      <c r="BQ605" s="276"/>
      <c r="BR605" s="276"/>
      <c r="BS605" s="227"/>
    </row>
    <row r="606" spans="1:71" ht="15" hidden="1" customHeight="1">
      <c r="A606" s="846" t="s">
        <v>2713</v>
      </c>
      <c r="B606" s="769" t="s">
        <v>965</v>
      </c>
      <c r="C606" s="346"/>
      <c r="D606" s="343" t="str">
        <f>_xlfn.TEXTJOIN("_",FALSE,E606,ERP_8[[#This Row],[Expense Category]],ERP_8[[#This Row],[Project Code*]])</f>
        <v>Hovanyetz, Mike_SOFTWARE_2026-XFR-LD002</v>
      </c>
      <c r="E606" s="343" t="s">
        <v>1480</v>
      </c>
      <c r="F606" s="346"/>
      <c r="G606" s="150" t="s">
        <v>1136</v>
      </c>
      <c r="H606" s="340" t="s">
        <v>1345</v>
      </c>
      <c r="I606" s="341" t="s">
        <v>1480</v>
      </c>
      <c r="J606" s="334" t="s">
        <v>1480</v>
      </c>
      <c r="K606" s="855" t="s">
        <v>639</v>
      </c>
      <c r="L606" s="400" t="s">
        <v>2663</v>
      </c>
      <c r="M606" s="343"/>
      <c r="N606" s="822"/>
      <c r="O606" s="269" t="s">
        <v>939</v>
      </c>
      <c r="P606" s="344" t="s">
        <v>1139</v>
      </c>
      <c r="Q606" s="343"/>
      <c r="R606" s="349"/>
      <c r="S606" s="341" t="s">
        <v>152</v>
      </c>
      <c r="T606" s="354" t="s">
        <v>2714</v>
      </c>
      <c r="U606" s="405"/>
      <c r="V606" s="359"/>
      <c r="W606" s="380">
        <v>0</v>
      </c>
      <c r="X606" s="430"/>
      <c r="Y606" s="137"/>
      <c r="Z606" s="787"/>
      <c r="AA606" s="787"/>
      <c r="AB606" s="787"/>
      <c r="AC606" s="428" t="s">
        <v>1142</v>
      </c>
      <c r="AD606" s="429">
        <v>0</v>
      </c>
      <c r="AE606" s="429">
        <v>0</v>
      </c>
      <c r="AF606" s="429" t="s">
        <v>1142</v>
      </c>
      <c r="AG606" s="373">
        <f>22238.42-22238.42</f>
        <v>0</v>
      </c>
      <c r="AH606" s="373">
        <f>22238.42-22238.42</f>
        <v>0</v>
      </c>
      <c r="AI606" s="373">
        <f>22238.42-22238.42</f>
        <v>0</v>
      </c>
      <c r="AJ606" s="373">
        <f>22238.42-22238.42</f>
        <v>0</v>
      </c>
      <c r="AK606" s="373">
        <f>22238.42-22238.42</f>
        <v>0</v>
      </c>
      <c r="AL606" s="367">
        <f t="shared" si="34"/>
        <v>0</v>
      </c>
      <c r="AM606" s="362">
        <f>ERP_8[[#This Row],[2026 Working Total]]-ERP_8[[#This Row],[LE2 Final Submission]]</f>
        <v>0</v>
      </c>
      <c r="AN606" s="227">
        <v>0</v>
      </c>
      <c r="AO606" s="227">
        <f t="shared" si="35"/>
        <v>0</v>
      </c>
      <c r="AP606" s="374">
        <f>SUM(ERP_8[[#This Row],[AP01]:[AP07]])-SUM(ERP_8[[#This Row],[AP01 LE2]:[AP07 LE2]])</f>
        <v>0</v>
      </c>
      <c r="AQ606" s="80"/>
      <c r="AR606" s="79">
        <f>ERP_8[[#This Row],[2026 Working Total to Budget/LE]]-ERP_8[[#This Row],[Giveback]]</f>
        <v>0</v>
      </c>
      <c r="AS606" s="81"/>
      <c r="AT606" s="375"/>
      <c r="AU606" s="375"/>
      <c r="AV606" s="375"/>
      <c r="AW606" s="375">
        <v>0</v>
      </c>
      <c r="AX606" s="375">
        <v>0</v>
      </c>
      <c r="AY606" s="375">
        <v>0</v>
      </c>
      <c r="AZ606" s="375">
        <v>0</v>
      </c>
      <c r="BA606" s="375">
        <v>0</v>
      </c>
      <c r="BB606" s="375">
        <v>0</v>
      </c>
      <c r="BC606" s="375">
        <v>0</v>
      </c>
      <c r="BD606" s="375">
        <v>0</v>
      </c>
      <c r="BE606" s="375">
        <v>0</v>
      </c>
      <c r="BF606" s="375">
        <v>0</v>
      </c>
      <c r="BG606" s="276"/>
      <c r="BH606" s="276"/>
      <c r="BI606" s="276"/>
      <c r="BJ606" s="276"/>
      <c r="BK606" s="276"/>
      <c r="BL606" s="276"/>
      <c r="BM606" s="276"/>
      <c r="BN606" s="276"/>
      <c r="BO606" s="276"/>
      <c r="BP606" s="276"/>
      <c r="BQ606" s="276"/>
      <c r="BR606" s="276"/>
      <c r="BS606" s="227"/>
    </row>
    <row r="607" spans="1:71" ht="15" hidden="1" customHeight="1">
      <c r="A607" s="215" t="s">
        <v>2715</v>
      </c>
      <c r="B607" s="769" t="s">
        <v>2716</v>
      </c>
      <c r="C607" s="346"/>
      <c r="D607" s="343" t="str">
        <f>_xlfn.TEXTJOIN("_",FALSE,E607,ERP_8[[#This Row],[Expense Category]],ERP_8[[#This Row],[Project Code*]])</f>
        <v>Hovanyetz, Mike_SOFTWARE_EnhanceChargeout001</v>
      </c>
      <c r="E607" s="343" t="s">
        <v>1480</v>
      </c>
      <c r="F607" s="346"/>
      <c r="G607" s="150" t="s">
        <v>1136</v>
      </c>
      <c r="H607" s="340" t="s">
        <v>1345</v>
      </c>
      <c r="I607" s="341" t="s">
        <v>1481</v>
      </c>
      <c r="J607" s="334" t="s">
        <v>1346</v>
      </c>
      <c r="K607" s="519" t="s">
        <v>639</v>
      </c>
      <c r="L607" s="400" t="s">
        <v>1147</v>
      </c>
      <c r="M607" s="343"/>
      <c r="N607" s="807" t="s">
        <v>1482</v>
      </c>
      <c r="O607" s="269" t="s">
        <v>53</v>
      </c>
      <c r="P607" s="349" t="s">
        <v>1153</v>
      </c>
      <c r="Q607" s="346" t="s">
        <v>1140</v>
      </c>
      <c r="R607" s="349"/>
      <c r="S607" s="341" t="s">
        <v>25</v>
      </c>
      <c r="T607" s="390" t="s">
        <v>1513</v>
      </c>
      <c r="U607" s="403"/>
      <c r="V607" s="406">
        <v>0</v>
      </c>
      <c r="W607" s="406">
        <v>1520</v>
      </c>
      <c r="X607" s="425"/>
      <c r="Y607" s="71"/>
      <c r="Z607" s="787"/>
      <c r="AA607" s="787">
        <v>1520</v>
      </c>
      <c r="AB607" s="787">
        <v>0</v>
      </c>
      <c r="AC607" s="428">
        <v>0</v>
      </c>
      <c r="AD607" s="429">
        <v>0</v>
      </c>
      <c r="AE607" s="429">
        <v>0</v>
      </c>
      <c r="AF607" s="429">
        <v>0</v>
      </c>
      <c r="AG607" s="372">
        <v>0</v>
      </c>
      <c r="AH607" s="372">
        <v>0</v>
      </c>
      <c r="AI607" s="372">
        <v>0</v>
      </c>
      <c r="AJ607" s="372">
        <v>0</v>
      </c>
      <c r="AK607" s="372">
        <v>0</v>
      </c>
      <c r="AL607" s="367">
        <f t="shared" si="34"/>
        <v>1520</v>
      </c>
      <c r="AM607" s="362">
        <f>ERP_8[[#This Row],[2026 Working Total]]-ERP_8[[#This Row],[LE2 Final Submission]]</f>
        <v>0</v>
      </c>
      <c r="AN607" s="227">
        <v>0</v>
      </c>
      <c r="AO607" s="227">
        <f t="shared" si="35"/>
        <v>0</v>
      </c>
      <c r="AP607" s="374">
        <f>SUM(ERP_8[[#This Row],[AP01]:[AP07]])-SUM(ERP_8[[#This Row],[AP01 LE2]:[AP07 LE2]])</f>
        <v>0</v>
      </c>
      <c r="AQ607" s="80"/>
      <c r="AR607" s="79">
        <f>ERP_8[[#This Row],[2026 Working Total to Budget/LE]]-ERP_8[[#This Row],[Giveback]]</f>
        <v>0</v>
      </c>
      <c r="AS607" s="81"/>
      <c r="AT607" s="375"/>
      <c r="AU607" s="375">
        <v>1520</v>
      </c>
      <c r="AV607" s="375">
        <v>0</v>
      </c>
      <c r="AW607" s="375">
        <v>0</v>
      </c>
      <c r="AX607" s="375">
        <v>0</v>
      </c>
      <c r="AY607" s="375">
        <v>0</v>
      </c>
      <c r="AZ607" s="375">
        <v>0</v>
      </c>
      <c r="BA607" s="375">
        <v>0</v>
      </c>
      <c r="BB607" s="375">
        <v>0</v>
      </c>
      <c r="BC607" s="375">
        <v>0</v>
      </c>
      <c r="BD607" s="375">
        <v>0</v>
      </c>
      <c r="BE607" s="375">
        <v>0</v>
      </c>
      <c r="BF607" s="375">
        <v>1520</v>
      </c>
      <c r="BG607" s="276"/>
      <c r="BH607" s="276">
        <v>1520</v>
      </c>
      <c r="BI607" s="276">
        <v>0</v>
      </c>
      <c r="BJ607" s="276">
        <v>0</v>
      </c>
      <c r="BK607" s="276">
        <v>0</v>
      </c>
      <c r="BL607" s="276">
        <v>0</v>
      </c>
      <c r="BM607" s="276">
        <v>0</v>
      </c>
      <c r="BN607" s="276">
        <v>0</v>
      </c>
      <c r="BO607" s="276">
        <v>0</v>
      </c>
      <c r="BP607" s="276">
        <v>0</v>
      </c>
      <c r="BQ607" s="276">
        <v>0</v>
      </c>
      <c r="BR607" s="276">
        <v>0</v>
      </c>
      <c r="BS607" s="227">
        <v>1520</v>
      </c>
    </row>
    <row r="608" spans="1:71" ht="15" hidden="1" customHeight="1">
      <c r="A608" s="215" t="s">
        <v>2717</v>
      </c>
      <c r="B608" s="769" t="s">
        <v>967</v>
      </c>
      <c r="C608" s="346"/>
      <c r="D608" s="343" t="str">
        <f>_xlfn.TEXTJOIN("_",FALSE,E608,ERP_8[[#This Row],[Expense Category]],ERP_8[[#This Row],[Project Code*]])</f>
        <v>Hovanyetz, Mike_SOFTWARE_IT-FGS0300-SW-US-00</v>
      </c>
      <c r="E608" s="343" t="s">
        <v>1480</v>
      </c>
      <c r="F608" s="346"/>
      <c r="G608" s="150" t="s">
        <v>1136</v>
      </c>
      <c r="H608" s="340" t="s">
        <v>1345</v>
      </c>
      <c r="I608" s="341" t="s">
        <v>1480</v>
      </c>
      <c r="J608" s="334" t="s">
        <v>1346</v>
      </c>
      <c r="K608" s="519" t="s">
        <v>639</v>
      </c>
      <c r="L608" s="400" t="s">
        <v>2285</v>
      </c>
      <c r="M608" s="343"/>
      <c r="N608" s="807"/>
      <c r="O608" s="269" t="s">
        <v>676</v>
      </c>
      <c r="P608" s="349"/>
      <c r="Q608" s="346" t="s">
        <v>1140</v>
      </c>
      <c r="R608" s="349"/>
      <c r="S608" s="341" t="s">
        <v>677</v>
      </c>
      <c r="T608" s="354"/>
      <c r="U608" s="403"/>
      <c r="V608" s="406">
        <v>1100</v>
      </c>
      <c r="W608" s="406">
        <v>825</v>
      </c>
      <c r="X608" s="425"/>
      <c r="Y608" s="71"/>
      <c r="Z608" s="787"/>
      <c r="AA608" s="787"/>
      <c r="AB608" s="787"/>
      <c r="AC608" s="428" t="s">
        <v>1142</v>
      </c>
      <c r="AD608" s="429">
        <v>0</v>
      </c>
      <c r="AE608" s="429">
        <v>0</v>
      </c>
      <c r="AF608" s="429" t="s">
        <v>1142</v>
      </c>
      <c r="AG608" s="372">
        <v>0</v>
      </c>
      <c r="AH608" s="373">
        <v>275</v>
      </c>
      <c r="AI608" s="372">
        <v>0</v>
      </c>
      <c r="AJ608" s="372">
        <v>0</v>
      </c>
      <c r="AK608" s="373">
        <v>275</v>
      </c>
      <c r="AL608" s="367">
        <f t="shared" si="34"/>
        <v>550</v>
      </c>
      <c r="AM608" s="362">
        <f>ERP_8[[#This Row],[2026 Working Total]]-ERP_8[[#This Row],[LE2 Final Submission]]</f>
        <v>-275</v>
      </c>
      <c r="AN608" s="227">
        <v>0</v>
      </c>
      <c r="AO608" s="227">
        <f t="shared" si="35"/>
        <v>0</v>
      </c>
      <c r="AP608" s="374">
        <f>SUM(ERP_8[[#This Row],[AP01]:[AP07]])-SUM(ERP_8[[#This Row],[AP01 LE2]:[AP07 LE2]])</f>
        <v>-275</v>
      </c>
      <c r="AQ608" s="80"/>
      <c r="AR608" s="79">
        <f>ERP_8[[#This Row],[2026 Working Total to Budget/LE]]-ERP_8[[#This Row],[Giveback]]</f>
        <v>-275</v>
      </c>
      <c r="AS608" s="81"/>
      <c r="AT608" s="375"/>
      <c r="AU608" s="375"/>
      <c r="AV608" s="375"/>
      <c r="AW608" s="375"/>
      <c r="AX608" s="375"/>
      <c r="AY608" s="375">
        <v>275</v>
      </c>
      <c r="AZ608" s="375">
        <v>0</v>
      </c>
      <c r="BA608" s="375">
        <v>0</v>
      </c>
      <c r="BB608" s="375">
        <v>275</v>
      </c>
      <c r="BC608" s="375">
        <v>0</v>
      </c>
      <c r="BD608" s="375">
        <v>0</v>
      </c>
      <c r="BE608" s="375">
        <v>275</v>
      </c>
      <c r="BF608" s="375">
        <v>825</v>
      </c>
      <c r="BG608" s="276"/>
      <c r="BH608" s="276"/>
      <c r="BI608" s="276"/>
      <c r="BJ608" s="276"/>
      <c r="BK608" s="276"/>
      <c r="BL608" s="276">
        <v>275</v>
      </c>
      <c r="BM608" s="276">
        <v>0</v>
      </c>
      <c r="BN608" s="276">
        <v>0</v>
      </c>
      <c r="BO608" s="276">
        <v>275</v>
      </c>
      <c r="BP608" s="276">
        <v>0</v>
      </c>
      <c r="BQ608" s="276">
        <v>0</v>
      </c>
      <c r="BR608" s="276">
        <v>275</v>
      </c>
      <c r="BS608" s="227">
        <v>825</v>
      </c>
    </row>
    <row r="609" spans="1:71" ht="15" hidden="1" customHeight="1">
      <c r="A609" s="215" t="s">
        <v>2718</v>
      </c>
      <c r="B609" s="769" t="s">
        <v>968</v>
      </c>
      <c r="C609" s="346"/>
      <c r="D609" s="343" t="str">
        <f>_xlfn.TEXTJOIN("_",FALSE,E609,ERP_8[[#This Row],[Expense Category]],ERP_8[[#This Row],[Project Code*]])</f>
        <v>Hovanyetz, Mike_SOFTWARE_IT-FGS0302-SW-US-00</v>
      </c>
      <c r="E609" s="343" t="s">
        <v>1480</v>
      </c>
      <c r="F609" s="346"/>
      <c r="G609" s="150" t="s">
        <v>1136</v>
      </c>
      <c r="H609" s="340" t="s">
        <v>1345</v>
      </c>
      <c r="I609" s="341" t="s">
        <v>1480</v>
      </c>
      <c r="J609" s="334" t="s">
        <v>1346</v>
      </c>
      <c r="K609" s="519" t="s">
        <v>639</v>
      </c>
      <c r="L609" s="400" t="s">
        <v>2291</v>
      </c>
      <c r="M609" s="343"/>
      <c r="N609" s="807"/>
      <c r="O609" s="70" t="s">
        <v>679</v>
      </c>
      <c r="P609" s="349"/>
      <c r="Q609" s="346" t="s">
        <v>1140</v>
      </c>
      <c r="R609" s="349"/>
      <c r="S609" s="341" t="s">
        <v>680</v>
      </c>
      <c r="T609" s="354"/>
      <c r="U609" s="403"/>
      <c r="V609" s="406">
        <v>370</v>
      </c>
      <c r="W609" s="406">
        <v>370</v>
      </c>
      <c r="X609" s="425"/>
      <c r="Y609" s="71"/>
      <c r="Z609" s="787"/>
      <c r="AA609" s="787"/>
      <c r="AB609" s="787"/>
      <c r="AC609" s="428" t="s">
        <v>1142</v>
      </c>
      <c r="AD609" s="429">
        <v>0</v>
      </c>
      <c r="AE609" s="429">
        <v>0</v>
      </c>
      <c r="AF609" s="429" t="s">
        <v>1142</v>
      </c>
      <c r="AG609" s="372">
        <v>0</v>
      </c>
      <c r="AH609" s="372">
        <v>0</v>
      </c>
      <c r="AI609" s="372">
        <v>0</v>
      </c>
      <c r="AJ609" s="372">
        <v>0</v>
      </c>
      <c r="AK609" s="372">
        <v>0</v>
      </c>
      <c r="AL609" s="367">
        <f t="shared" si="34"/>
        <v>0</v>
      </c>
      <c r="AM609" s="362">
        <f>ERP_8[[#This Row],[2026 Working Total]]-ERP_8[[#This Row],[LE2 Final Submission]]</f>
        <v>-370</v>
      </c>
      <c r="AN609" s="227">
        <v>0</v>
      </c>
      <c r="AO609" s="227">
        <f t="shared" si="35"/>
        <v>0</v>
      </c>
      <c r="AP609" s="374">
        <f>SUM(ERP_8[[#This Row],[AP01]:[AP07]])-SUM(ERP_8[[#This Row],[AP01 LE2]:[AP07 LE2]])</f>
        <v>-370</v>
      </c>
      <c r="AQ609" s="80"/>
      <c r="AR609" s="79">
        <f>ERP_8[[#This Row],[2026 Working Total to Budget/LE]]-ERP_8[[#This Row],[Giveback]]</f>
        <v>-370</v>
      </c>
      <c r="AS609" s="81"/>
      <c r="AT609" s="375"/>
      <c r="AU609" s="375"/>
      <c r="AV609" s="375"/>
      <c r="AW609" s="375">
        <v>370</v>
      </c>
      <c r="AX609" s="375">
        <v>0</v>
      </c>
      <c r="AY609" s="375">
        <v>0</v>
      </c>
      <c r="AZ609" s="375">
        <v>0</v>
      </c>
      <c r="BA609" s="375">
        <v>0</v>
      </c>
      <c r="BB609" s="375">
        <v>0</v>
      </c>
      <c r="BC609" s="375">
        <v>0</v>
      </c>
      <c r="BD609" s="375">
        <v>0</v>
      </c>
      <c r="BE609" s="375">
        <v>0</v>
      </c>
      <c r="BF609" s="375">
        <v>370</v>
      </c>
      <c r="BG609" s="276"/>
      <c r="BH609" s="276"/>
      <c r="BI609" s="276"/>
      <c r="BJ609" s="276">
        <v>370</v>
      </c>
      <c r="BK609" s="276">
        <v>0</v>
      </c>
      <c r="BL609" s="276">
        <v>0</v>
      </c>
      <c r="BM609" s="276">
        <v>0</v>
      </c>
      <c r="BN609" s="276">
        <v>0</v>
      </c>
      <c r="BO609" s="276">
        <v>0</v>
      </c>
      <c r="BP609" s="276">
        <v>0</v>
      </c>
      <c r="BQ609" s="276">
        <v>0</v>
      </c>
      <c r="BR609" s="276">
        <v>0</v>
      </c>
      <c r="BS609" s="227">
        <v>370</v>
      </c>
    </row>
    <row r="610" spans="1:71" ht="15" hidden="1" customHeight="1">
      <c r="A610" s="294" t="s">
        <v>2719</v>
      </c>
      <c r="B610" s="821" t="s">
        <v>969</v>
      </c>
      <c r="C610" s="348"/>
      <c r="D610" s="347" t="str">
        <f>_xlfn.TEXTJOIN("_",FALSE,E610,ERP_8[[#This Row],[Expense Category]],ERP_8[[#This Row],[Project Code*]])</f>
        <v>Hovanyetz, Mike_SOFTWARE_IT-SFT1040-02-OG-US</v>
      </c>
      <c r="E610" s="347" t="s">
        <v>1480</v>
      </c>
      <c r="F610" s="348"/>
      <c r="G610" s="150" t="s">
        <v>1136</v>
      </c>
      <c r="H610" s="461" t="s">
        <v>1345</v>
      </c>
      <c r="I610" s="850" t="s">
        <v>1480</v>
      </c>
      <c r="J610" s="852" t="s">
        <v>1346</v>
      </c>
      <c r="K610" s="856" t="s">
        <v>639</v>
      </c>
      <c r="L610" s="863" t="s">
        <v>2720</v>
      </c>
      <c r="M610" s="343" t="s">
        <v>2721</v>
      </c>
      <c r="N610" s="866" t="s">
        <v>1493</v>
      </c>
      <c r="O610" s="871" t="s">
        <v>970</v>
      </c>
      <c r="P610" s="550"/>
      <c r="Q610" s="346" t="s">
        <v>2722</v>
      </c>
      <c r="R610" s="545" t="s">
        <v>1710</v>
      </c>
      <c r="S610" s="874" t="s">
        <v>863</v>
      </c>
      <c r="T610" s="879" t="s">
        <v>1348</v>
      </c>
      <c r="U610" s="437"/>
      <c r="V610" s="358">
        <v>26967.21</v>
      </c>
      <c r="W610" s="378">
        <v>0</v>
      </c>
      <c r="X610" s="430"/>
      <c r="Y610" s="137"/>
      <c r="Z610" s="885"/>
      <c r="AA610" s="885"/>
      <c r="AB610" s="885"/>
      <c r="AC610" s="428">
        <v>0</v>
      </c>
      <c r="AD610" s="429">
        <v>0</v>
      </c>
      <c r="AE610" s="429">
        <v>0</v>
      </c>
      <c r="AF610" s="429">
        <v>0</v>
      </c>
      <c r="AG610" s="891">
        <v>0</v>
      </c>
      <c r="AH610" s="891">
        <v>0</v>
      </c>
      <c r="AI610" s="891">
        <v>0</v>
      </c>
      <c r="AJ610" s="891">
        <v>0</v>
      </c>
      <c r="AK610" s="891">
        <v>0</v>
      </c>
      <c r="AL610" s="367">
        <f t="shared" si="34"/>
        <v>0</v>
      </c>
      <c r="AM610" s="362">
        <f>ERP_8[[#This Row],[2026 Working Total]]-ERP_8[[#This Row],[LE2 Final Submission]]</f>
        <v>0</v>
      </c>
      <c r="AN610" s="294">
        <v>0</v>
      </c>
      <c r="AO610" s="294">
        <f t="shared" si="35"/>
        <v>0</v>
      </c>
      <c r="AP610" s="374">
        <f>SUM(ERP_8[[#This Row],[AP01]:[AP07]])-SUM(ERP_8[[#This Row],[AP01 LE2]:[AP07 LE2]])</f>
        <v>0</v>
      </c>
      <c r="AQ610" s="80"/>
      <c r="AR610" s="79">
        <f>ERP_8[[#This Row],[2026 Working Total to Budget/LE]]-ERP_8[[#This Row],[Giveback]]</f>
        <v>0</v>
      </c>
      <c r="AS610" s="81"/>
      <c r="AT610" s="375"/>
      <c r="AU610" s="375"/>
      <c r="AV610" s="375"/>
      <c r="AW610" s="375">
        <v>0</v>
      </c>
      <c r="AX610" s="375">
        <v>0</v>
      </c>
      <c r="AY610" s="375">
        <v>0</v>
      </c>
      <c r="AZ610" s="375">
        <v>0</v>
      </c>
      <c r="BA610" s="375">
        <v>0</v>
      </c>
      <c r="BB610" s="375">
        <v>0</v>
      </c>
      <c r="BC610" s="375">
        <v>0</v>
      </c>
      <c r="BD610" s="375">
        <v>0</v>
      </c>
      <c r="BE610" s="375">
        <v>0</v>
      </c>
      <c r="BF610" s="375">
        <v>0</v>
      </c>
      <c r="BG610" s="895">
        <v>26967.21</v>
      </c>
      <c r="BH610" s="895">
        <v>0</v>
      </c>
      <c r="BI610" s="895">
        <v>0</v>
      </c>
      <c r="BJ610" s="895">
        <v>0</v>
      </c>
      <c r="BK610" s="895">
        <v>0</v>
      </c>
      <c r="BL610" s="895">
        <v>0</v>
      </c>
      <c r="BM610" s="895">
        <v>0</v>
      </c>
      <c r="BN610" s="895">
        <v>0</v>
      </c>
      <c r="BO610" s="895">
        <v>0</v>
      </c>
      <c r="BP610" s="895">
        <v>0</v>
      </c>
      <c r="BQ610" s="895">
        <v>0</v>
      </c>
      <c r="BR610" s="895">
        <v>0</v>
      </c>
      <c r="BS610" s="227">
        <f>SUM(ERP_8[[#This Row],[2026 AP01]:[2026 AP12]])</f>
        <v>26967.21</v>
      </c>
    </row>
    <row r="611" spans="1:71" ht="15" hidden="1" customHeight="1">
      <c r="A611" s="79" t="s">
        <v>2723</v>
      </c>
      <c r="B611" s="749" t="s">
        <v>971</v>
      </c>
      <c r="C611" s="348"/>
      <c r="D611" s="347" t="str">
        <f>_xlfn.TEXTJOIN("_",FALSE,E611,ERP_8[[#This Row],[Expense Category]],ERP_8[[#This Row],[Project Code*]])</f>
        <v>Hovanyetz, Mike_SOFTWARE_IT-SFT1040-02-OG-US/PF</v>
      </c>
      <c r="E611" s="347" t="s">
        <v>1480</v>
      </c>
      <c r="F611" s="348"/>
      <c r="G611" s="150" t="s">
        <v>1136</v>
      </c>
      <c r="H611" s="336" t="s">
        <v>1345</v>
      </c>
      <c r="I611" s="849" t="s">
        <v>1480</v>
      </c>
      <c r="J611" s="852" t="s">
        <v>1346</v>
      </c>
      <c r="K611" s="854" t="s">
        <v>639</v>
      </c>
      <c r="L611" s="862" t="s">
        <v>2724</v>
      </c>
      <c r="M611" s="343" t="s">
        <v>2721</v>
      </c>
      <c r="N611" s="385" t="s">
        <v>1493</v>
      </c>
      <c r="O611" s="91" t="s">
        <v>972</v>
      </c>
      <c r="P611" s="343"/>
      <c r="Q611" s="346" t="s">
        <v>2722</v>
      </c>
      <c r="R611" s="346" t="s">
        <v>1710</v>
      </c>
      <c r="S611" s="386" t="s">
        <v>863</v>
      </c>
      <c r="T611" s="346" t="s">
        <v>1348</v>
      </c>
      <c r="U611" s="437"/>
      <c r="V611" s="358">
        <v>-26967.21</v>
      </c>
      <c r="W611" s="378">
        <v>0</v>
      </c>
      <c r="X611" s="425"/>
      <c r="Y611" s="71"/>
      <c r="Z611" s="885"/>
      <c r="AA611" s="885"/>
      <c r="AB611" s="885"/>
      <c r="AC611" s="531" t="s">
        <v>1142</v>
      </c>
      <c r="AD611" s="531">
        <v>0</v>
      </c>
      <c r="AE611" s="429">
        <v>0</v>
      </c>
      <c r="AF611" s="429" t="s">
        <v>1142</v>
      </c>
      <c r="AG611" s="388">
        <v>0</v>
      </c>
      <c r="AH611" s="388">
        <v>0</v>
      </c>
      <c r="AI611" s="388">
        <v>0</v>
      </c>
      <c r="AJ611" s="388">
        <v>0</v>
      </c>
      <c r="AK611" s="388">
        <v>0</v>
      </c>
      <c r="AL611" s="367">
        <f t="shared" si="34"/>
        <v>0</v>
      </c>
      <c r="AM611" s="362">
        <f>ERP_8[[#This Row],[2026 Working Total]]-ERP_8[[#This Row],[LE2 Final Submission]]</f>
        <v>0</v>
      </c>
      <c r="AN611" s="79">
        <v>0</v>
      </c>
      <c r="AO611" s="79">
        <f t="shared" si="35"/>
        <v>0</v>
      </c>
      <c r="AP611" s="374">
        <f>SUM(ERP_8[[#This Row],[AP01]:[AP07]])-SUM(ERP_8[[#This Row],[AP01 LE2]:[AP07 LE2]])</f>
        <v>0</v>
      </c>
      <c r="AQ611" s="80"/>
      <c r="AR611" s="79">
        <f>ERP_8[[#This Row],[2026 Working Total to Budget/LE]]-ERP_8[[#This Row],[Giveback]]</f>
        <v>0</v>
      </c>
      <c r="AS611" s="81"/>
      <c r="AT611" s="375"/>
      <c r="AU611" s="375"/>
      <c r="AV611" s="375"/>
      <c r="AW611" s="375">
        <v>0</v>
      </c>
      <c r="AX611" s="375">
        <v>0</v>
      </c>
      <c r="AY611" s="375">
        <v>0</v>
      </c>
      <c r="AZ611" s="375">
        <v>0</v>
      </c>
      <c r="BA611" s="375">
        <v>0</v>
      </c>
      <c r="BB611" s="375">
        <v>0</v>
      </c>
      <c r="BC611" s="375">
        <v>0</v>
      </c>
      <c r="BD611" s="375">
        <v>0</v>
      </c>
      <c r="BE611" s="375">
        <v>0</v>
      </c>
      <c r="BF611" s="375">
        <v>0</v>
      </c>
      <c r="BG611" s="103">
        <v>-26967.21</v>
      </c>
      <c r="BH611" s="103">
        <v>0</v>
      </c>
      <c r="BI611" s="103">
        <v>0</v>
      </c>
      <c r="BJ611" s="103">
        <v>0</v>
      </c>
      <c r="BK611" s="103">
        <v>0</v>
      </c>
      <c r="BL611" s="103">
        <v>0</v>
      </c>
      <c r="BM611" s="103">
        <v>0</v>
      </c>
      <c r="BN611" s="103">
        <v>0</v>
      </c>
      <c r="BO611" s="103">
        <v>0</v>
      </c>
      <c r="BP611" s="103">
        <v>0</v>
      </c>
      <c r="BQ611" s="103">
        <v>0</v>
      </c>
      <c r="BR611" s="103">
        <v>0</v>
      </c>
      <c r="BS611" s="79">
        <f>SUM(ERP_8[[#This Row],[2026 AP01]:[2026 AP12]])</f>
        <v>-26967.21</v>
      </c>
    </row>
    <row r="612" spans="1:71" ht="15" hidden="1" customHeight="1">
      <c r="A612" s="66" t="s">
        <v>2725</v>
      </c>
      <c r="B612" s="737" t="s">
        <v>973</v>
      </c>
      <c r="C612" s="346"/>
      <c r="D612" s="343" t="str">
        <f>_xlfn.TEXTJOIN("_",FALSE,E612,ERP_8[[#This Row],[Expense Category]],ERP_8[[#This Row],[Project Code*]])</f>
        <v>Hovanyetz, Mike_SOFTWARE_IT-SFT1194-86-OG-US</v>
      </c>
      <c r="E612" s="343" t="s">
        <v>1480</v>
      </c>
      <c r="F612" s="346"/>
      <c r="G612" s="150" t="s">
        <v>1136</v>
      </c>
      <c r="H612" s="342" t="s">
        <v>1345</v>
      </c>
      <c r="I612" s="342" t="s">
        <v>1480</v>
      </c>
      <c r="J612" s="342" t="s">
        <v>1346</v>
      </c>
      <c r="K612" s="521" t="s">
        <v>639</v>
      </c>
      <c r="L612" s="451" t="s">
        <v>818</v>
      </c>
      <c r="M612" s="343"/>
      <c r="N612" s="800"/>
      <c r="O612" s="70" t="s">
        <v>817</v>
      </c>
      <c r="P612" s="346"/>
      <c r="Q612" s="346" t="s">
        <v>1140</v>
      </c>
      <c r="R612" s="346"/>
      <c r="S612" s="150" t="s">
        <v>818</v>
      </c>
      <c r="T612" s="150"/>
      <c r="U612" s="403"/>
      <c r="V612" s="406">
        <v>30000</v>
      </c>
      <c r="W612" s="406">
        <v>33718.54</v>
      </c>
      <c r="X612" s="425"/>
      <c r="Y612" s="71"/>
      <c r="Z612" s="794"/>
      <c r="AA612" s="780"/>
      <c r="AB612" s="780">
        <v>11218.54</v>
      </c>
      <c r="AC612" s="428">
        <v>0</v>
      </c>
      <c r="AD612" s="429">
        <v>0</v>
      </c>
      <c r="AE612" s="429">
        <v>15527.55</v>
      </c>
      <c r="AF612" s="429">
        <v>0</v>
      </c>
      <c r="AG612" s="360">
        <v>0</v>
      </c>
      <c r="AH612" s="363">
        <v>10000</v>
      </c>
      <c r="AI612" s="360">
        <v>0</v>
      </c>
      <c r="AJ612" s="363">
        <v>10000</v>
      </c>
      <c r="AK612" s="360">
        <v>0</v>
      </c>
      <c r="AL612" s="367">
        <f t="shared" si="34"/>
        <v>46746.09</v>
      </c>
      <c r="AM612" s="455">
        <f>ERP_8[[#This Row],[2026 Working Total]]-ERP_8[[#This Row],[LE2 Final Submission]]</f>
        <v>13027.549999999996</v>
      </c>
      <c r="AN612" s="79">
        <v>0</v>
      </c>
      <c r="AO612" s="79">
        <f t="shared" si="35"/>
        <v>15527.55</v>
      </c>
      <c r="AP612" s="374">
        <f>SUM(ERP_8[[#This Row],[AP01]:[AP07]])-SUM(ERP_8[[#This Row],[AP01 LE2]:[AP07 LE2]])</f>
        <v>8027.5499999999993</v>
      </c>
      <c r="AQ612" s="80"/>
      <c r="AR612" s="79">
        <f>ERP_8[[#This Row],[2026 Working Total to Budget/LE]]-ERP_8[[#This Row],[Giveback]]</f>
        <v>13027.549999999996</v>
      </c>
      <c r="AS612" s="81"/>
      <c r="AT612" s="375"/>
      <c r="AU612" s="375"/>
      <c r="AV612" s="375">
        <v>11218.54</v>
      </c>
      <c r="AW612" s="375">
        <v>0</v>
      </c>
      <c r="AX612" s="375">
        <v>0</v>
      </c>
      <c r="AY612" s="375">
        <v>7500</v>
      </c>
      <c r="AZ612" s="375">
        <v>0</v>
      </c>
      <c r="BA612" s="375">
        <v>0</v>
      </c>
      <c r="BB612" s="375">
        <v>7500</v>
      </c>
      <c r="BC612" s="375">
        <v>0</v>
      </c>
      <c r="BD612" s="375">
        <v>7500</v>
      </c>
      <c r="BE612" s="375">
        <v>0</v>
      </c>
      <c r="BF612" s="375">
        <v>33718.54</v>
      </c>
      <c r="BG612" s="79"/>
      <c r="BH612" s="79"/>
      <c r="BI612" s="79">
        <v>11218.54</v>
      </c>
      <c r="BJ612" s="79">
        <v>0</v>
      </c>
      <c r="BK612" s="79">
        <v>0</v>
      </c>
      <c r="BL612" s="79">
        <v>7500</v>
      </c>
      <c r="BM612" s="79">
        <v>0</v>
      </c>
      <c r="BN612" s="79">
        <v>0</v>
      </c>
      <c r="BO612" s="79">
        <v>7500</v>
      </c>
      <c r="BP612" s="79">
        <v>0</v>
      </c>
      <c r="BQ612" s="79">
        <v>7500</v>
      </c>
      <c r="BR612" s="79">
        <v>0</v>
      </c>
      <c r="BS612" s="79">
        <v>33718.54</v>
      </c>
    </row>
    <row r="613" spans="1:71" ht="15" hidden="1" customHeight="1">
      <c r="A613" s="66" t="s">
        <v>2726</v>
      </c>
      <c r="B613" s="737" t="s">
        <v>2727</v>
      </c>
      <c r="C613" s="346"/>
      <c r="D613" s="343" t="str">
        <f>_xlfn.TEXTJOIN("_",FALSE,E613,ERP_8[[#This Row],[Expense Category]],ERP_8[[#This Row],[Project Code*]])</f>
        <v>Hovanyetz, Mike_SOFTWARE_IT-SFT1194-86-OG-US</v>
      </c>
      <c r="E613" s="343" t="s">
        <v>1480</v>
      </c>
      <c r="F613" s="346"/>
      <c r="G613" s="150" t="s">
        <v>1136</v>
      </c>
      <c r="H613" s="150" t="s">
        <v>1345</v>
      </c>
      <c r="I613" s="150" t="s">
        <v>1481</v>
      </c>
      <c r="J613" s="150" t="s">
        <v>1346</v>
      </c>
      <c r="K613" s="511" t="s">
        <v>639</v>
      </c>
      <c r="L613" s="392" t="s">
        <v>818</v>
      </c>
      <c r="M613" s="343"/>
      <c r="N613" s="800"/>
      <c r="O613" s="70" t="s">
        <v>817</v>
      </c>
      <c r="P613" s="346"/>
      <c r="Q613" s="346" t="s">
        <v>1140</v>
      </c>
      <c r="R613" s="346"/>
      <c r="S613" s="150" t="s">
        <v>818</v>
      </c>
      <c r="T613" s="473" t="s">
        <v>1513</v>
      </c>
      <c r="U613" s="403"/>
      <c r="V613" s="406">
        <v>7176</v>
      </c>
      <c r="W613" s="406">
        <v>11702.54</v>
      </c>
      <c r="X613" s="425"/>
      <c r="Y613" s="71"/>
      <c r="Z613" s="794"/>
      <c r="AA613" s="780"/>
      <c r="AB613" s="780">
        <v>6320.54</v>
      </c>
      <c r="AC613" s="428">
        <v>0</v>
      </c>
      <c r="AD613" s="429">
        <v>0</v>
      </c>
      <c r="AE613" s="429">
        <v>0</v>
      </c>
      <c r="AF613" s="429">
        <v>0</v>
      </c>
      <c r="AG613" s="360">
        <v>0</v>
      </c>
      <c r="AH613" s="363">
        <v>3000</v>
      </c>
      <c r="AI613" s="360">
        <v>0</v>
      </c>
      <c r="AJ613" s="363">
        <v>3000</v>
      </c>
      <c r="AK613" s="360">
        <v>0</v>
      </c>
      <c r="AL613" s="367">
        <f t="shared" si="34"/>
        <v>12320.54</v>
      </c>
      <c r="AM613" s="455">
        <f>ERP_8[[#This Row],[2026 Working Total]]-ERP_8[[#This Row],[LE2 Final Submission]]</f>
        <v>618</v>
      </c>
      <c r="AN613" s="79">
        <v>0</v>
      </c>
      <c r="AO613" s="79">
        <f t="shared" si="35"/>
        <v>0</v>
      </c>
      <c r="AP613" s="374">
        <f>SUM(ERP_8[[#This Row],[AP01]:[AP07]])-SUM(ERP_8[[#This Row],[AP01 LE2]:[AP07 LE2]])</f>
        <v>-1794</v>
      </c>
      <c r="AQ613" s="80"/>
      <c r="AR613" s="79">
        <f>ERP_8[[#This Row],[2026 Working Total to Budget/LE]]-ERP_8[[#This Row],[Giveback]]</f>
        <v>618</v>
      </c>
      <c r="AS613" s="81"/>
      <c r="AT613" s="375"/>
      <c r="AU613" s="375"/>
      <c r="AV613" s="375">
        <v>6320.54</v>
      </c>
      <c r="AW613" s="375">
        <v>0</v>
      </c>
      <c r="AX613" s="375">
        <v>0</v>
      </c>
      <c r="AY613" s="375">
        <v>1794</v>
      </c>
      <c r="AZ613" s="375">
        <v>0</v>
      </c>
      <c r="BA613" s="375">
        <v>0</v>
      </c>
      <c r="BB613" s="375">
        <v>1794</v>
      </c>
      <c r="BC613" s="375">
        <v>0</v>
      </c>
      <c r="BD613" s="375">
        <v>1794</v>
      </c>
      <c r="BE613" s="375">
        <v>0</v>
      </c>
      <c r="BF613" s="375">
        <v>11702.54</v>
      </c>
      <c r="BG613" s="79"/>
      <c r="BH613" s="79"/>
      <c r="BI613" s="79">
        <v>6320.54</v>
      </c>
      <c r="BJ613" s="79">
        <v>0</v>
      </c>
      <c r="BK613" s="79">
        <v>0</v>
      </c>
      <c r="BL613" s="79">
        <v>1794</v>
      </c>
      <c r="BM613" s="79">
        <v>0</v>
      </c>
      <c r="BN613" s="79">
        <v>0</v>
      </c>
      <c r="BO613" s="79">
        <v>1794</v>
      </c>
      <c r="BP613" s="79">
        <v>0</v>
      </c>
      <c r="BQ613" s="79">
        <v>1794</v>
      </c>
      <c r="BR613" s="79">
        <v>0</v>
      </c>
      <c r="BS613" s="79">
        <v>11702.54</v>
      </c>
    </row>
    <row r="614" spans="1:71" ht="15" hidden="1" customHeight="1">
      <c r="A614" s="66" t="s">
        <v>2728</v>
      </c>
      <c r="B614" s="737" t="s">
        <v>2729</v>
      </c>
      <c r="C614" s="346"/>
      <c r="D614" s="343" t="str">
        <f>_xlfn.TEXTJOIN("_",FALSE,E614,ERP_8[[#This Row],[Expense Category]],ERP_8[[#This Row],[Project Code*]])</f>
        <v>Hovanyetz, Mike_SOFTWARE_IT-SFT1458-OG-US-00</v>
      </c>
      <c r="E614" s="343" t="s">
        <v>1480</v>
      </c>
      <c r="F614" s="346"/>
      <c r="G614" s="150" t="s">
        <v>1136</v>
      </c>
      <c r="H614" s="150" t="s">
        <v>1345</v>
      </c>
      <c r="I614" s="150" t="s">
        <v>1481</v>
      </c>
      <c r="J614" s="150" t="s">
        <v>1346</v>
      </c>
      <c r="K614" s="511" t="s">
        <v>639</v>
      </c>
      <c r="L614" s="451" t="s">
        <v>1504</v>
      </c>
      <c r="M614" s="343"/>
      <c r="N614" s="800"/>
      <c r="O614" s="70" t="s">
        <v>234</v>
      </c>
      <c r="P614" s="346"/>
      <c r="Q614" s="343"/>
      <c r="R614" s="346"/>
      <c r="S614" s="150" t="s">
        <v>25</v>
      </c>
      <c r="T614" s="150" t="s">
        <v>1483</v>
      </c>
      <c r="U614" s="403"/>
      <c r="V614" s="406">
        <v>353631</v>
      </c>
      <c r="W614" s="406">
        <v>353631</v>
      </c>
      <c r="X614" s="425"/>
      <c r="Y614" s="425"/>
      <c r="Z614" s="794"/>
      <c r="AA614" s="780"/>
      <c r="AB614" s="780">
        <v>304987.09999999998</v>
      </c>
      <c r="AC614" s="428">
        <v>0</v>
      </c>
      <c r="AD614" s="429">
        <v>0</v>
      </c>
      <c r="AE614" s="429">
        <v>0</v>
      </c>
      <c r="AF614" s="429">
        <v>0</v>
      </c>
      <c r="AG614" s="360">
        <v>0</v>
      </c>
      <c r="AH614" s="360">
        <v>0</v>
      </c>
      <c r="AI614" s="363">
        <v>48643.9</v>
      </c>
      <c r="AJ614" s="360">
        <v>0</v>
      </c>
      <c r="AK614" s="360">
        <v>0</v>
      </c>
      <c r="AL614" s="367">
        <f t="shared" si="34"/>
        <v>353631</v>
      </c>
      <c r="AM614" s="455">
        <f>ERP_8[[#This Row],[2026 Working Total]]-ERP_8[[#This Row],[LE2 Final Submission]]</f>
        <v>0</v>
      </c>
      <c r="AN614" s="79">
        <v>0</v>
      </c>
      <c r="AO614" s="79">
        <f t="shared" si="35"/>
        <v>0</v>
      </c>
      <c r="AP614" s="374">
        <f>SUM(ERP_8[[#This Row],[AP01]:[AP07]])-SUM(ERP_8[[#This Row],[AP01 LE2]:[AP07 LE2]])</f>
        <v>0</v>
      </c>
      <c r="AQ614" s="80"/>
      <c r="AR614" s="79">
        <f>ERP_8[[#This Row],[2026 Working Total to Budget/LE]]-ERP_8[[#This Row],[Giveback]]</f>
        <v>0</v>
      </c>
      <c r="AS614" s="81"/>
      <c r="AT614" s="375"/>
      <c r="AU614" s="375"/>
      <c r="AV614" s="375">
        <v>304987.09999999998</v>
      </c>
      <c r="AW614" s="375">
        <v>0</v>
      </c>
      <c r="AX614" s="375">
        <v>0</v>
      </c>
      <c r="AY614" s="375">
        <v>0</v>
      </c>
      <c r="AZ614" s="375">
        <v>0</v>
      </c>
      <c r="BA614" s="375">
        <v>0</v>
      </c>
      <c r="BB614" s="375">
        <v>48643.9</v>
      </c>
      <c r="BC614" s="375">
        <v>0</v>
      </c>
      <c r="BD614" s="375">
        <v>0</v>
      </c>
      <c r="BE614" s="375">
        <v>0</v>
      </c>
      <c r="BF614" s="375">
        <v>353631</v>
      </c>
      <c r="BG614" s="79"/>
      <c r="BH614" s="79"/>
      <c r="BI614" s="79">
        <v>304987.09999999998</v>
      </c>
      <c r="BJ614" s="79">
        <v>0</v>
      </c>
      <c r="BK614" s="79">
        <v>0</v>
      </c>
      <c r="BL614" s="79">
        <v>0</v>
      </c>
      <c r="BM614" s="79">
        <v>24321.95</v>
      </c>
      <c r="BN614" s="79">
        <v>24321.95</v>
      </c>
      <c r="BO614" s="79">
        <v>0</v>
      </c>
      <c r="BP614" s="79">
        <v>0</v>
      </c>
      <c r="BQ614" s="79">
        <v>0</v>
      </c>
      <c r="BR614" s="79">
        <v>0</v>
      </c>
      <c r="BS614" s="79">
        <v>353631</v>
      </c>
    </row>
    <row r="615" spans="1:71" ht="15" hidden="1" customHeight="1">
      <c r="A615" s="66" t="s">
        <v>2730</v>
      </c>
      <c r="B615" s="737" t="s">
        <v>2731</v>
      </c>
      <c r="C615" s="346"/>
      <c r="D615" s="343" t="str">
        <f>_xlfn.TEXTJOIN("_",FALSE,E615,ERP_8[[#This Row],[Expense Category]],ERP_8[[#This Row],[Project Code*]])</f>
        <v>Hovanyetz, Mike_SOFTWARE_IT-SFT1459-OG-US-00</v>
      </c>
      <c r="E615" s="343" t="s">
        <v>1480</v>
      </c>
      <c r="F615" s="346"/>
      <c r="G615" s="150" t="s">
        <v>1136</v>
      </c>
      <c r="H615" s="150" t="s">
        <v>1345</v>
      </c>
      <c r="I615" s="150" t="s">
        <v>1481</v>
      </c>
      <c r="J615" s="150" t="s">
        <v>1346</v>
      </c>
      <c r="K615" s="511" t="s">
        <v>639</v>
      </c>
      <c r="L615" s="451" t="s">
        <v>1508</v>
      </c>
      <c r="M615" s="343"/>
      <c r="N615" s="800"/>
      <c r="O615" s="70" t="s">
        <v>236</v>
      </c>
      <c r="P615" s="346"/>
      <c r="Q615" s="343"/>
      <c r="R615" s="346"/>
      <c r="S615" s="150" t="s">
        <v>25</v>
      </c>
      <c r="T615" s="150" t="s">
        <v>1483</v>
      </c>
      <c r="U615" s="403"/>
      <c r="V615" s="406">
        <v>434000</v>
      </c>
      <c r="W615" s="406">
        <v>434000</v>
      </c>
      <c r="X615" s="425"/>
      <c r="Y615" s="425"/>
      <c r="Z615" s="794"/>
      <c r="AA615" s="780"/>
      <c r="AB615" s="780">
        <v>331000</v>
      </c>
      <c r="AC615" s="428">
        <v>0</v>
      </c>
      <c r="AD615" s="429">
        <v>0</v>
      </c>
      <c r="AE615" s="429">
        <v>0</v>
      </c>
      <c r="AF615" s="429">
        <v>0</v>
      </c>
      <c r="AG615" s="360">
        <v>81000</v>
      </c>
      <c r="AH615" s="360">
        <v>0</v>
      </c>
      <c r="AI615" s="360">
        <v>22000</v>
      </c>
      <c r="AJ615" s="360">
        <v>0</v>
      </c>
      <c r="AK615" s="360">
        <v>0</v>
      </c>
      <c r="AL615" s="367">
        <f t="shared" si="34"/>
        <v>434000</v>
      </c>
      <c r="AM615" s="455">
        <f>ERP_8[[#This Row],[2026 Working Total]]-ERP_8[[#This Row],[LE2 Final Submission]]</f>
        <v>0</v>
      </c>
      <c r="AN615" s="79">
        <v>0</v>
      </c>
      <c r="AO615" s="79">
        <f t="shared" si="35"/>
        <v>0</v>
      </c>
      <c r="AP615" s="374">
        <f>SUM(ERP_8[[#This Row],[AP01]:[AP07]])-SUM(ERP_8[[#This Row],[AP01 LE2]:[AP07 LE2]])</f>
        <v>-81000</v>
      </c>
      <c r="AQ615" s="80"/>
      <c r="AR615" s="79">
        <f>ERP_8[[#This Row],[2026 Working Total to Budget/LE]]-ERP_8[[#This Row],[Giveback]]</f>
        <v>0</v>
      </c>
      <c r="AS615" s="81"/>
      <c r="AT615" s="375"/>
      <c r="AU615" s="375"/>
      <c r="AV615" s="375">
        <v>331000</v>
      </c>
      <c r="AW615" s="375">
        <v>0</v>
      </c>
      <c r="AX615" s="375">
        <v>0</v>
      </c>
      <c r="AY615" s="375">
        <v>81000</v>
      </c>
      <c r="AZ615" s="375">
        <v>0</v>
      </c>
      <c r="BA615" s="375">
        <v>0</v>
      </c>
      <c r="BB615" s="375">
        <v>0</v>
      </c>
      <c r="BC615" s="375">
        <v>22000</v>
      </c>
      <c r="BD615" s="375">
        <v>0</v>
      </c>
      <c r="BE615" s="375">
        <v>0</v>
      </c>
      <c r="BF615" s="375">
        <v>434000</v>
      </c>
      <c r="BG615" s="79"/>
      <c r="BH615" s="79"/>
      <c r="BI615" s="79">
        <v>331000</v>
      </c>
      <c r="BJ615" s="79">
        <v>0</v>
      </c>
      <c r="BK615" s="79">
        <v>0</v>
      </c>
      <c r="BL615" s="79">
        <v>0</v>
      </c>
      <c r="BM615" s="79">
        <v>0</v>
      </c>
      <c r="BN615" s="79">
        <v>103000</v>
      </c>
      <c r="BO615" s="79">
        <v>0</v>
      </c>
      <c r="BP615" s="79">
        <v>0</v>
      </c>
      <c r="BQ615" s="79">
        <v>0</v>
      </c>
      <c r="BR615" s="79">
        <v>0</v>
      </c>
      <c r="BS615" s="79">
        <v>434000</v>
      </c>
    </row>
    <row r="616" spans="1:71" ht="15" hidden="1" customHeight="1">
      <c r="A616" s="66" t="s">
        <v>2732</v>
      </c>
      <c r="B616" s="737" t="s">
        <v>2733</v>
      </c>
      <c r="C616" s="346"/>
      <c r="D616" s="343" t="str">
        <f>_xlfn.TEXTJOIN("_",FALSE,E616,ERP_8[[#This Row],[Expense Category]],ERP_8[[#This Row],[Project Code*]])</f>
        <v>Hovanyetz, Mike_SOFTWARE_IT-SFT1461-OG-US-00</v>
      </c>
      <c r="E616" s="343" t="s">
        <v>1480</v>
      </c>
      <c r="F616" s="346"/>
      <c r="G616" s="150" t="s">
        <v>1136</v>
      </c>
      <c r="H616" s="150" t="s">
        <v>1345</v>
      </c>
      <c r="I616" s="150" t="s">
        <v>1481</v>
      </c>
      <c r="J616" s="150" t="s">
        <v>1346</v>
      </c>
      <c r="K616" s="511" t="s">
        <v>639</v>
      </c>
      <c r="L616" s="451" t="s">
        <v>2734</v>
      </c>
      <c r="M616" s="343"/>
      <c r="N616" s="800"/>
      <c r="O616" s="70" t="s">
        <v>977</v>
      </c>
      <c r="P616" s="346"/>
      <c r="Q616" s="343"/>
      <c r="R616" s="346"/>
      <c r="S616" s="150" t="s">
        <v>25</v>
      </c>
      <c r="T616" s="150" t="s">
        <v>2735</v>
      </c>
      <c r="U616" s="403"/>
      <c r="V616" s="406">
        <v>15096</v>
      </c>
      <c r="W616" s="406">
        <v>0</v>
      </c>
      <c r="X616" s="425"/>
      <c r="Y616" s="71"/>
      <c r="Z616" s="794"/>
      <c r="AA616" s="780"/>
      <c r="AB616" s="780"/>
      <c r="AC616" s="428" t="s">
        <v>1142</v>
      </c>
      <c r="AD616" s="429">
        <v>0</v>
      </c>
      <c r="AE616" s="429">
        <v>0</v>
      </c>
      <c r="AF616" s="429" t="s">
        <v>1142</v>
      </c>
      <c r="AG616" s="360">
        <v>0</v>
      </c>
      <c r="AH616" s="360">
        <v>15096</v>
      </c>
      <c r="AI616" s="360">
        <v>0</v>
      </c>
      <c r="AJ616" s="360">
        <v>0</v>
      </c>
      <c r="AK616" s="360">
        <v>0</v>
      </c>
      <c r="AL616" s="367">
        <f t="shared" si="34"/>
        <v>15096</v>
      </c>
      <c r="AM616" s="455">
        <f>ERP_8[[#This Row],[2026 Working Total]]-ERP_8[[#This Row],[LE2 Final Submission]]</f>
        <v>15096</v>
      </c>
      <c r="AN616" s="79">
        <v>0</v>
      </c>
      <c r="AO616" s="79">
        <f t="shared" si="35"/>
        <v>0</v>
      </c>
      <c r="AP616" s="374">
        <f>SUM(ERP_8[[#This Row],[AP01]:[AP07]])-SUM(ERP_8[[#This Row],[AP01 LE2]:[AP07 LE2]])</f>
        <v>0</v>
      </c>
      <c r="AQ616" s="80"/>
      <c r="AR616" s="79">
        <f>ERP_8[[#This Row],[2026 Working Total to Budget/LE]]-ERP_8[[#This Row],[Giveback]]</f>
        <v>15096</v>
      </c>
      <c r="AS616" s="81"/>
      <c r="AT616" s="375"/>
      <c r="AU616" s="375"/>
      <c r="AV616" s="375"/>
      <c r="AW616" s="375">
        <v>0</v>
      </c>
      <c r="AX616" s="375">
        <v>0</v>
      </c>
      <c r="AY616" s="375">
        <v>0</v>
      </c>
      <c r="AZ616" s="375">
        <v>0</v>
      </c>
      <c r="BA616" s="375">
        <v>0</v>
      </c>
      <c r="BB616" s="375">
        <v>0</v>
      </c>
      <c r="BC616" s="375">
        <v>0</v>
      </c>
      <c r="BD616" s="375">
        <v>0</v>
      </c>
      <c r="BE616" s="375">
        <v>0</v>
      </c>
      <c r="BF616" s="375">
        <v>0</v>
      </c>
      <c r="BG616" s="79"/>
      <c r="BH616" s="79"/>
      <c r="BI616" s="79"/>
      <c r="BJ616" s="79"/>
      <c r="BK616" s="79"/>
      <c r="BL616" s="79">
        <v>15096</v>
      </c>
      <c r="BM616" s="79">
        <v>0</v>
      </c>
      <c r="BN616" s="79">
        <v>0</v>
      </c>
      <c r="BO616" s="79">
        <v>0</v>
      </c>
      <c r="BP616" s="79">
        <v>0</v>
      </c>
      <c r="BQ616" s="79">
        <v>0</v>
      </c>
      <c r="BR616" s="79">
        <v>0</v>
      </c>
      <c r="BS616" s="79">
        <v>15096</v>
      </c>
    </row>
    <row r="617" spans="1:71" ht="15" hidden="1" customHeight="1">
      <c r="A617" s="79" t="s">
        <v>2736</v>
      </c>
      <c r="B617" s="749" t="s">
        <v>2737</v>
      </c>
      <c r="C617" s="348"/>
      <c r="D617" s="347" t="str">
        <f>_xlfn.TEXTJOIN("_",FALSE,E617,ERP_8[[#This Row],[Expense Category]],ERP_8[[#This Row],[Project Code*]])</f>
        <v>Hovanyetz, Mike_SOFTWARE_IT-SFT1462-OG-US-00</v>
      </c>
      <c r="E617" s="347" t="s">
        <v>1480</v>
      </c>
      <c r="F617" s="348"/>
      <c r="G617" s="150" t="s">
        <v>1136</v>
      </c>
      <c r="H617" s="332" t="s">
        <v>1345</v>
      </c>
      <c r="I617" s="382" t="s">
        <v>1481</v>
      </c>
      <c r="J617" s="333" t="s">
        <v>1346</v>
      </c>
      <c r="K617" s="512" t="s">
        <v>639</v>
      </c>
      <c r="L617" s="401" t="s">
        <v>1486</v>
      </c>
      <c r="M617" s="343"/>
      <c r="N617" s="801"/>
      <c r="O617" s="122" t="s">
        <v>979</v>
      </c>
      <c r="P617" s="347"/>
      <c r="Q617" s="343"/>
      <c r="R617" s="348"/>
      <c r="S617" s="384" t="s">
        <v>25</v>
      </c>
      <c r="T617" s="387" t="s">
        <v>2738</v>
      </c>
      <c r="U617" s="432"/>
      <c r="V617" s="358">
        <v>120000</v>
      </c>
      <c r="W617" s="378">
        <v>0</v>
      </c>
      <c r="X617" s="425"/>
      <c r="Y617" s="71"/>
      <c r="Z617" s="795">
        <v>0</v>
      </c>
      <c r="AA617" s="781">
        <v>0</v>
      </c>
      <c r="AB617" s="781">
        <v>0</v>
      </c>
      <c r="AC617" s="428" t="s">
        <v>1142</v>
      </c>
      <c r="AD617" s="429">
        <v>0</v>
      </c>
      <c r="AE617" s="429">
        <v>0</v>
      </c>
      <c r="AF617" s="429" t="s">
        <v>1142</v>
      </c>
      <c r="AG617" s="388">
        <f>20000-20000</f>
        <v>0</v>
      </c>
      <c r="AH617" s="388">
        <f>20000-20000</f>
        <v>0</v>
      </c>
      <c r="AI617" s="388">
        <f>20000-20000</f>
        <v>0</v>
      </c>
      <c r="AJ617" s="388">
        <f>20000-20000</f>
        <v>0</v>
      </c>
      <c r="AK617" s="388">
        <f>20000-20000</f>
        <v>0</v>
      </c>
      <c r="AL617" s="367">
        <f t="shared" si="34"/>
        <v>0</v>
      </c>
      <c r="AM617" s="455">
        <f>ERP_8[[#This Row],[2026 Working Total]]-ERP_8[[#This Row],[LE2 Final Submission]]</f>
        <v>0</v>
      </c>
      <c r="AN617" s="79">
        <v>0</v>
      </c>
      <c r="AO617" s="79">
        <f t="shared" si="35"/>
        <v>0</v>
      </c>
      <c r="AP617" s="374">
        <f>SUM(ERP_8[[#This Row],[AP01]:[AP07]])-SUM(ERP_8[[#This Row],[AP01 LE2]:[AP07 LE2]])</f>
        <v>0</v>
      </c>
      <c r="AQ617" s="80"/>
      <c r="AR617" s="79">
        <f>ERP_8[[#This Row],[2026 Working Total to Budget/LE]]-ERP_8[[#This Row],[Giveback]]</f>
        <v>0</v>
      </c>
      <c r="AS617" s="81" t="s">
        <v>2739</v>
      </c>
      <c r="AT617" s="375">
        <v>0</v>
      </c>
      <c r="AU617" s="375">
        <v>0</v>
      </c>
      <c r="AV617" s="375">
        <v>0</v>
      </c>
      <c r="AW617" s="375">
        <v>0</v>
      </c>
      <c r="AX617" s="375">
        <v>0</v>
      </c>
      <c r="AY617" s="375">
        <v>0</v>
      </c>
      <c r="AZ617" s="375">
        <v>0</v>
      </c>
      <c r="BA617" s="375">
        <v>0</v>
      </c>
      <c r="BB617" s="375">
        <v>0</v>
      </c>
      <c r="BC617" s="375">
        <v>0</v>
      </c>
      <c r="BD617" s="375">
        <v>0</v>
      </c>
      <c r="BE617" s="375">
        <v>0</v>
      </c>
      <c r="BF617" s="375">
        <v>0</v>
      </c>
      <c r="BG617" s="103">
        <v>0</v>
      </c>
      <c r="BH617" s="103">
        <v>0</v>
      </c>
      <c r="BI617" s="103">
        <v>0</v>
      </c>
      <c r="BJ617" s="103">
        <v>0</v>
      </c>
      <c r="BK617" s="103">
        <v>0</v>
      </c>
      <c r="BL617" s="103">
        <v>0</v>
      </c>
      <c r="BM617" s="103">
        <v>20000</v>
      </c>
      <c r="BN617" s="103">
        <v>20000</v>
      </c>
      <c r="BO617" s="103">
        <v>20000</v>
      </c>
      <c r="BP617" s="103">
        <v>20000</v>
      </c>
      <c r="BQ617" s="103">
        <v>20000</v>
      </c>
      <c r="BR617" s="103">
        <v>20000</v>
      </c>
      <c r="BS617" s="79">
        <f>SUM(ERP_8[[#This Row],[2026 AP01]:[2026 AP12]])</f>
        <v>120000</v>
      </c>
    </row>
    <row r="618" spans="1:71" ht="15" hidden="1" customHeight="1">
      <c r="A618" s="66" t="s">
        <v>2740</v>
      </c>
      <c r="B618" s="737" t="s">
        <v>980</v>
      </c>
      <c r="C618" s="346"/>
      <c r="D618" s="343" t="str">
        <f>_xlfn.TEXTJOIN("_",FALSE,E618,ERP_8[[#This Row],[Expense Category]],ERP_8[[#This Row],[Project Code*]])</f>
        <v>Hovanyetz, Mike_SOFTWARE_MISC001</v>
      </c>
      <c r="E618" s="343" t="s">
        <v>1480</v>
      </c>
      <c r="F618" s="346"/>
      <c r="G618" s="150" t="s">
        <v>1136</v>
      </c>
      <c r="H618" s="150" t="s">
        <v>1345</v>
      </c>
      <c r="I618" s="150" t="s">
        <v>1480</v>
      </c>
      <c r="J618" s="150" t="s">
        <v>1346</v>
      </c>
      <c r="K618" s="511" t="s">
        <v>639</v>
      </c>
      <c r="L618" s="451" t="s">
        <v>1327</v>
      </c>
      <c r="M618" s="343"/>
      <c r="N618" s="800"/>
      <c r="O618" s="70" t="s">
        <v>147</v>
      </c>
      <c r="P618" s="346"/>
      <c r="Q618" s="343"/>
      <c r="R618" s="346"/>
      <c r="S618" s="150" t="s">
        <v>25</v>
      </c>
      <c r="T618" s="150"/>
      <c r="U618" s="403"/>
      <c r="V618" s="406">
        <v>0</v>
      </c>
      <c r="W618" s="406">
        <v>16.46</v>
      </c>
      <c r="X618" s="430"/>
      <c r="Y618" s="137"/>
      <c r="Z618" s="794"/>
      <c r="AA618" s="780">
        <v>18</v>
      </c>
      <c r="AB618" s="780">
        <v>-1.54</v>
      </c>
      <c r="AC618" s="428">
        <v>-7.0000000000000007E-2</v>
      </c>
      <c r="AD618" s="429">
        <v>0.83</v>
      </c>
      <c r="AE618" s="429">
        <v>-0.54</v>
      </c>
      <c r="AF618" s="429">
        <v>0</v>
      </c>
      <c r="AG618" s="360">
        <v>0</v>
      </c>
      <c r="AH618" s="360">
        <v>0</v>
      </c>
      <c r="AI618" s="360">
        <v>0</v>
      </c>
      <c r="AJ618" s="360">
        <v>0</v>
      </c>
      <c r="AK618" s="360">
        <v>0</v>
      </c>
      <c r="AL618" s="367">
        <f t="shared" si="34"/>
        <v>16.68</v>
      </c>
      <c r="AM618" s="455">
        <f>ERP_8[[#This Row],[2026 Working Total]]-ERP_8[[#This Row],[LE2 Final Submission]]</f>
        <v>0.21999999999999886</v>
      </c>
      <c r="AN618" s="79">
        <v>0</v>
      </c>
      <c r="AO618" s="79">
        <f t="shared" si="35"/>
        <v>-0.54</v>
      </c>
      <c r="AP618" s="374">
        <f>SUM(ERP_8[[#This Row],[AP01]:[AP07]])-SUM(ERP_8[[#This Row],[AP01 LE2]:[AP07 LE2]])</f>
        <v>0.21999999999999886</v>
      </c>
      <c r="AQ618" s="80"/>
      <c r="AR618" s="79">
        <f>ERP_8[[#This Row],[2026 Working Total to Budget/LE]]-ERP_8[[#This Row],[Giveback]]</f>
        <v>0.21999999999999886</v>
      </c>
      <c r="AS618" s="81"/>
      <c r="AT618" s="375"/>
      <c r="AU618" s="375">
        <v>18</v>
      </c>
      <c r="AV618" s="375">
        <v>-1.54</v>
      </c>
      <c r="AW618" s="375">
        <v>0</v>
      </c>
      <c r="AX618" s="375">
        <v>0</v>
      </c>
      <c r="AY618" s="375">
        <v>0</v>
      </c>
      <c r="AZ618" s="375">
        <v>0</v>
      </c>
      <c r="BA618" s="375">
        <v>0</v>
      </c>
      <c r="BB618" s="375">
        <v>0</v>
      </c>
      <c r="BC618" s="375">
        <v>0</v>
      </c>
      <c r="BD618" s="375">
        <v>0</v>
      </c>
      <c r="BE618" s="375">
        <v>0</v>
      </c>
      <c r="BF618" s="375">
        <v>16.46</v>
      </c>
      <c r="BG618" s="79"/>
      <c r="BH618" s="79">
        <v>18</v>
      </c>
      <c r="BI618" s="79">
        <v>-1.54</v>
      </c>
      <c r="BJ618" s="79">
        <v>0</v>
      </c>
      <c r="BK618" s="79">
        <v>0</v>
      </c>
      <c r="BL618" s="79">
        <v>0</v>
      </c>
      <c r="BM618" s="79">
        <v>0</v>
      </c>
      <c r="BN618" s="79">
        <v>0</v>
      </c>
      <c r="BO618" s="79">
        <v>0</v>
      </c>
      <c r="BP618" s="79">
        <v>0</v>
      </c>
      <c r="BQ618" s="79">
        <v>0</v>
      </c>
      <c r="BR618" s="79">
        <v>0</v>
      </c>
      <c r="BS618" s="79">
        <v>16.46</v>
      </c>
    </row>
    <row r="619" spans="1:71" ht="15" hidden="1" customHeight="1">
      <c r="A619" s="66" t="s">
        <v>2741</v>
      </c>
      <c r="B619" s="737" t="s">
        <v>2742</v>
      </c>
      <c r="C619" s="346"/>
      <c r="D619" s="343" t="str">
        <f>_xlfn.TEXTJOIN("_",FALSE,E619,ERP_8[[#This Row],[Expense Category]],ERP_8[[#This Row],[Project Code*]])</f>
        <v>Hovanyetz, Mike_SOFTWARE_MISC001</v>
      </c>
      <c r="E619" s="343" t="s">
        <v>1480</v>
      </c>
      <c r="F619" s="346"/>
      <c r="G619" s="150" t="s">
        <v>1136</v>
      </c>
      <c r="H619" s="150" t="s">
        <v>1345</v>
      </c>
      <c r="I619" s="150" t="s">
        <v>1481</v>
      </c>
      <c r="J619" s="150" t="s">
        <v>1346</v>
      </c>
      <c r="K619" s="511" t="s">
        <v>639</v>
      </c>
      <c r="L619" s="451" t="s">
        <v>1327</v>
      </c>
      <c r="M619" s="343"/>
      <c r="N619" s="800"/>
      <c r="O619" s="70" t="s">
        <v>147</v>
      </c>
      <c r="P619" s="346"/>
      <c r="Q619" s="343"/>
      <c r="R619" s="346"/>
      <c r="S619" s="150" t="s">
        <v>25</v>
      </c>
      <c r="T619" s="473" t="s">
        <v>1513</v>
      </c>
      <c r="U619" s="403"/>
      <c r="V619" s="406">
        <v>0</v>
      </c>
      <c r="W619" s="406">
        <v>0.36</v>
      </c>
      <c r="X619" s="425"/>
      <c r="Y619" s="71"/>
      <c r="Z619" s="794"/>
      <c r="AA619" s="780"/>
      <c r="AB619" s="780">
        <v>0.36</v>
      </c>
      <c r="AC619" s="428">
        <v>0</v>
      </c>
      <c r="AD619" s="429">
        <v>0</v>
      </c>
      <c r="AE619" s="429">
        <v>0</v>
      </c>
      <c r="AF619" s="429">
        <v>0</v>
      </c>
      <c r="AG619" s="360">
        <v>0</v>
      </c>
      <c r="AH619" s="360">
        <v>0</v>
      </c>
      <c r="AI619" s="360">
        <v>0</v>
      </c>
      <c r="AJ619" s="360">
        <v>0</v>
      </c>
      <c r="AK619" s="360">
        <v>0</v>
      </c>
      <c r="AL619" s="367">
        <f t="shared" si="34"/>
        <v>0.36</v>
      </c>
      <c r="AM619" s="455">
        <f>ERP_8[[#This Row],[2026 Working Total]]-ERP_8[[#This Row],[LE2 Final Submission]]</f>
        <v>0</v>
      </c>
      <c r="AN619" s="79">
        <v>0</v>
      </c>
      <c r="AO619" s="79">
        <f t="shared" si="35"/>
        <v>0</v>
      </c>
      <c r="AP619" s="374">
        <f>SUM(ERP_8[[#This Row],[AP01]:[AP07]])-SUM(ERP_8[[#This Row],[AP01 LE2]:[AP07 LE2]])</f>
        <v>0</v>
      </c>
      <c r="AQ619" s="80"/>
      <c r="AR619" s="79">
        <f>ERP_8[[#This Row],[2026 Working Total to Budget/LE]]-ERP_8[[#This Row],[Giveback]]</f>
        <v>0</v>
      </c>
      <c r="AS619" s="81"/>
      <c r="AT619" s="375"/>
      <c r="AU619" s="375"/>
      <c r="AV619" s="375">
        <v>0.36</v>
      </c>
      <c r="AW619" s="375">
        <v>0</v>
      </c>
      <c r="AX619" s="375">
        <v>0</v>
      </c>
      <c r="AY619" s="375">
        <v>0</v>
      </c>
      <c r="AZ619" s="375">
        <v>0</v>
      </c>
      <c r="BA619" s="375">
        <v>0</v>
      </c>
      <c r="BB619" s="375">
        <v>0</v>
      </c>
      <c r="BC619" s="375">
        <v>0</v>
      </c>
      <c r="BD619" s="375">
        <v>0</v>
      </c>
      <c r="BE619" s="375">
        <v>0</v>
      </c>
      <c r="BF619" s="375">
        <v>0.36</v>
      </c>
      <c r="BG619" s="79"/>
      <c r="BH619" s="79"/>
      <c r="BI619" s="79">
        <v>0.36</v>
      </c>
      <c r="BJ619" s="79">
        <v>0</v>
      </c>
      <c r="BK619" s="79">
        <v>0</v>
      </c>
      <c r="BL619" s="79">
        <v>0</v>
      </c>
      <c r="BM619" s="79">
        <v>0</v>
      </c>
      <c r="BN619" s="79">
        <v>0</v>
      </c>
      <c r="BO619" s="79">
        <v>0</v>
      </c>
      <c r="BP619" s="79">
        <v>0</v>
      </c>
      <c r="BQ619" s="79">
        <v>0</v>
      </c>
      <c r="BR619" s="79">
        <v>0</v>
      </c>
      <c r="BS619" s="79">
        <v>0.36</v>
      </c>
    </row>
    <row r="620" spans="1:71" ht="15" hidden="1" customHeight="1">
      <c r="A620" s="66" t="s">
        <v>2743</v>
      </c>
      <c r="B620" s="737" t="s">
        <v>981</v>
      </c>
      <c r="C620" s="346"/>
      <c r="D620" s="343" t="str">
        <f>_xlfn.TEXTJOIN("_",FALSE,E620,ERP_8[[#This Row],[Expense Category]],ERP_8[[#This Row],[Project Code*]])</f>
        <v>Jajodia, Amit_SOFTWARE_2026-XFR-0032-A</v>
      </c>
      <c r="E620" s="343" t="s">
        <v>1515</v>
      </c>
      <c r="F620" s="346"/>
      <c r="G620" s="150" t="s">
        <v>1136</v>
      </c>
      <c r="H620" s="150" t="s">
        <v>1345</v>
      </c>
      <c r="I620" s="150" t="s">
        <v>1515</v>
      </c>
      <c r="J620" s="150" t="s">
        <v>1346</v>
      </c>
      <c r="K620" s="511" t="s">
        <v>639</v>
      </c>
      <c r="L620" s="451" t="s">
        <v>2744</v>
      </c>
      <c r="M620" s="343"/>
      <c r="N620" s="800"/>
      <c r="O620" s="70" t="s">
        <v>982</v>
      </c>
      <c r="P620" s="346"/>
      <c r="Q620" s="343"/>
      <c r="R620" s="346"/>
      <c r="S620" s="150" t="s">
        <v>152</v>
      </c>
      <c r="T620" s="150"/>
      <c r="U620" s="403"/>
      <c r="V620" s="406">
        <v>18000</v>
      </c>
      <c r="W620" s="406">
        <v>13500</v>
      </c>
      <c r="X620" s="425"/>
      <c r="Y620" s="71"/>
      <c r="Z620" s="794"/>
      <c r="AA620" s="794"/>
      <c r="AB620" s="794"/>
      <c r="AC620" s="428" t="s">
        <v>1142</v>
      </c>
      <c r="AD620" s="429">
        <v>0</v>
      </c>
      <c r="AE620" s="429">
        <v>0</v>
      </c>
      <c r="AF620" s="429" t="s">
        <v>1142</v>
      </c>
      <c r="AG620" s="363">
        <v>1500</v>
      </c>
      <c r="AH620" s="363">
        <v>1500</v>
      </c>
      <c r="AI620" s="363">
        <v>1500</v>
      </c>
      <c r="AJ620" s="363">
        <v>1500</v>
      </c>
      <c r="AK620" s="363">
        <v>1500</v>
      </c>
      <c r="AL620" s="367">
        <f t="shared" si="34"/>
        <v>7500</v>
      </c>
      <c r="AM620" s="455">
        <f>ERP_8[[#This Row],[2026 Working Total]]-ERP_8[[#This Row],[LE2 Final Submission]]</f>
        <v>-6000</v>
      </c>
      <c r="AN620" s="79">
        <v>0</v>
      </c>
      <c r="AO620" s="79">
        <f t="shared" si="35"/>
        <v>0</v>
      </c>
      <c r="AP620" s="374">
        <f>SUM(ERP_8[[#This Row],[AP01]:[AP07]])-SUM(ERP_8[[#This Row],[AP01 LE2]:[AP07 LE2]])</f>
        <v>-6000</v>
      </c>
      <c r="AQ620" s="80"/>
      <c r="AR620" s="79">
        <f>ERP_8[[#This Row],[2026 Working Total to Budget/LE]]-ERP_8[[#This Row],[Giveback]]</f>
        <v>-6000</v>
      </c>
      <c r="AS620" s="81"/>
      <c r="AT620" s="375"/>
      <c r="AU620" s="375"/>
      <c r="AV620" s="375"/>
      <c r="AW620" s="375">
        <v>1500</v>
      </c>
      <c r="AX620" s="375">
        <v>1500</v>
      </c>
      <c r="AY620" s="375">
        <v>1500</v>
      </c>
      <c r="AZ620" s="375">
        <v>1500</v>
      </c>
      <c r="BA620" s="375">
        <v>1500</v>
      </c>
      <c r="BB620" s="375">
        <v>1500</v>
      </c>
      <c r="BC620" s="375">
        <v>1500</v>
      </c>
      <c r="BD620" s="375">
        <v>1500</v>
      </c>
      <c r="BE620" s="375">
        <v>1500</v>
      </c>
      <c r="BF620" s="375">
        <v>13500</v>
      </c>
      <c r="BG620" s="79"/>
      <c r="BH620" s="79"/>
      <c r="BI620" s="79"/>
      <c r="BJ620" s="79">
        <v>1500</v>
      </c>
      <c r="BK620" s="79">
        <v>1500</v>
      </c>
      <c r="BL620" s="79">
        <v>1500</v>
      </c>
      <c r="BM620" s="79">
        <v>1500</v>
      </c>
      <c r="BN620" s="79">
        <v>1500</v>
      </c>
      <c r="BO620" s="79">
        <v>1500</v>
      </c>
      <c r="BP620" s="79">
        <v>1500</v>
      </c>
      <c r="BQ620" s="79">
        <v>1500</v>
      </c>
      <c r="BR620" s="79">
        <v>1500</v>
      </c>
      <c r="BS620" s="79">
        <v>13500</v>
      </c>
    </row>
    <row r="621" spans="1:71" ht="15" hidden="1" customHeight="1">
      <c r="A621" s="150" t="s">
        <v>2745</v>
      </c>
      <c r="B621" s="749" t="s">
        <v>983</v>
      </c>
      <c r="C621" s="348"/>
      <c r="D621" s="347" t="str">
        <f>_xlfn.TEXTJOIN("_",FALSE,E621,ERP_8[[#This Row],[Expense Category]],ERP_8[[#This Row],[Project Code*]])</f>
        <v>Jajodia, Amit_SOFTWARE_EnhanceChargeout001</v>
      </c>
      <c r="E621" s="347" t="s">
        <v>1515</v>
      </c>
      <c r="F621" s="348"/>
      <c r="G621" s="150" t="s">
        <v>1136</v>
      </c>
      <c r="H621" s="150" t="s">
        <v>1345</v>
      </c>
      <c r="I621" s="332" t="s">
        <v>1515</v>
      </c>
      <c r="J621" s="333" t="s">
        <v>1515</v>
      </c>
      <c r="K621" s="514" t="s">
        <v>639</v>
      </c>
      <c r="L621" s="401" t="s">
        <v>2614</v>
      </c>
      <c r="M621" s="333"/>
      <c r="N621" s="467" t="s">
        <v>2746</v>
      </c>
      <c r="O621" s="90" t="s">
        <v>53</v>
      </c>
      <c r="P621" s="347"/>
      <c r="Q621" s="347"/>
      <c r="R621" s="348"/>
      <c r="S621" s="348"/>
      <c r="T621" s="348"/>
      <c r="U621" s="402"/>
      <c r="V621" s="406"/>
      <c r="W621" s="406"/>
      <c r="X621" s="425"/>
      <c r="Y621" s="71"/>
      <c r="Z621" s="794"/>
      <c r="AA621" s="794"/>
      <c r="AB621" s="794"/>
      <c r="AC621" s="429"/>
      <c r="AD621" s="429">
        <v>227</v>
      </c>
      <c r="AE621" s="429">
        <v>0</v>
      </c>
      <c r="AF621" s="429">
        <v>0</v>
      </c>
      <c r="AG621" s="364"/>
      <c r="AH621" s="364"/>
      <c r="AI621" s="364"/>
      <c r="AJ621" s="364"/>
      <c r="AK621" s="364"/>
      <c r="AL621" s="367">
        <f t="shared" si="34"/>
        <v>227</v>
      </c>
      <c r="AM621" s="455">
        <f>ERP_8[[#This Row],[2026 Working Total]]-ERP_8[[#This Row],[LE2 Final Submission]]</f>
        <v>227</v>
      </c>
      <c r="AN621" s="79">
        <v>0</v>
      </c>
      <c r="AO621" s="79">
        <f t="shared" si="35"/>
        <v>0</v>
      </c>
      <c r="AP621" s="374">
        <f>SUM(ERP_8[[#This Row],[AP01]:[AP07]])-SUM(ERP_8[[#This Row],[AP01 LE2]:[AP07 LE2]])</f>
        <v>227</v>
      </c>
      <c r="AQ621" s="80"/>
      <c r="AR621" s="79">
        <f>ERP_8[[#This Row],[2026 Working Total to Budget/LE]]-ERP_8[[#This Row],[Giveback]]</f>
        <v>227</v>
      </c>
      <c r="AS621" s="81"/>
      <c r="AT621" s="375"/>
      <c r="AU621" s="375"/>
      <c r="AV621" s="375"/>
      <c r="AW621" s="375"/>
      <c r="AX621" s="375"/>
      <c r="AY621" s="375"/>
      <c r="AZ621" s="375"/>
      <c r="BA621" s="375"/>
      <c r="BB621" s="375"/>
      <c r="BC621" s="375"/>
      <c r="BD621" s="375"/>
      <c r="BE621" s="375"/>
      <c r="BF621" s="375"/>
      <c r="BG621" s="79"/>
      <c r="BH621" s="79"/>
      <c r="BI621" s="79"/>
      <c r="BJ621" s="79"/>
      <c r="BK621" s="79"/>
      <c r="BL621" s="79"/>
      <c r="BM621" s="79"/>
      <c r="BN621" s="79"/>
      <c r="BO621" s="79"/>
      <c r="BP621" s="79"/>
      <c r="BQ621" s="79"/>
      <c r="BR621" s="79"/>
      <c r="BS621" s="79"/>
    </row>
    <row r="622" spans="1:71" ht="15" hidden="1" customHeight="1">
      <c r="A622" s="66" t="s">
        <v>2747</v>
      </c>
      <c r="B622" s="841" t="s">
        <v>984</v>
      </c>
      <c r="C622" s="346"/>
      <c r="D622" s="343" t="str">
        <f>_xlfn.TEXTJOIN("_",FALSE,E622,ERP_8[[#This Row],[Expense Category]],ERP_8[[#This Row],[Project Code*]])</f>
        <v>Jajodia, Amit_SOFTWARE_IT-FGS0300-SW-US-00</v>
      </c>
      <c r="E622" s="343" t="s">
        <v>1515</v>
      </c>
      <c r="F622" s="346"/>
      <c r="G622" s="150" t="s">
        <v>1136</v>
      </c>
      <c r="H622" s="150" t="s">
        <v>1345</v>
      </c>
      <c r="I622" s="150" t="s">
        <v>1515</v>
      </c>
      <c r="J622" s="150" t="s">
        <v>1346</v>
      </c>
      <c r="K622" s="511" t="s">
        <v>639</v>
      </c>
      <c r="L622" s="451" t="s">
        <v>2285</v>
      </c>
      <c r="M622" s="343"/>
      <c r="N622" s="800"/>
      <c r="O622" s="70" t="s">
        <v>676</v>
      </c>
      <c r="P622" s="346"/>
      <c r="Q622" s="346" t="s">
        <v>1140</v>
      </c>
      <c r="R622" s="346"/>
      <c r="S622" s="150" t="s">
        <v>677</v>
      </c>
      <c r="T622" s="150"/>
      <c r="U622" s="453"/>
      <c r="V622" s="406">
        <v>0</v>
      </c>
      <c r="W622" s="406">
        <v>218.38</v>
      </c>
      <c r="X622" s="425"/>
      <c r="Y622" s="71"/>
      <c r="Z622" s="794"/>
      <c r="AA622" s="794"/>
      <c r="AB622" s="794">
        <v>218.38</v>
      </c>
      <c r="AC622" s="428">
        <v>0</v>
      </c>
      <c r="AD622" s="429">
        <v>0</v>
      </c>
      <c r="AE622" s="429">
        <v>0</v>
      </c>
      <c r="AF622" s="429">
        <v>0</v>
      </c>
      <c r="AG622" s="360">
        <v>0</v>
      </c>
      <c r="AH622" s="360">
        <v>0</v>
      </c>
      <c r="AI622" s="360">
        <v>0</v>
      </c>
      <c r="AJ622" s="360">
        <v>0</v>
      </c>
      <c r="AK622" s="360">
        <v>0</v>
      </c>
      <c r="AL622" s="360">
        <f t="shared" si="34"/>
        <v>218.38</v>
      </c>
      <c r="AM622" s="455">
        <f>ERP_8[[#This Row],[2026 Working Total]]-ERP_8[[#This Row],[LE2 Final Submission]]</f>
        <v>0</v>
      </c>
      <c r="AN622" s="79">
        <v>0</v>
      </c>
      <c r="AO622" s="79">
        <f t="shared" si="35"/>
        <v>0</v>
      </c>
      <c r="AP622" s="374">
        <f>SUM(ERP_8[[#This Row],[AP01]:[AP07]])-SUM(ERP_8[[#This Row],[AP01 LE2]:[AP07 LE2]])</f>
        <v>0</v>
      </c>
      <c r="AQ622" s="80"/>
      <c r="AR622" s="79">
        <f>ERP_8[[#This Row],[2026 Working Total to Budget/LE]]-ERP_8[[#This Row],[Giveback]]</f>
        <v>0</v>
      </c>
      <c r="AS622" s="81"/>
      <c r="AT622" s="375"/>
      <c r="AU622" s="375"/>
      <c r="AV622" s="375">
        <v>218.38</v>
      </c>
      <c r="AW622" s="375">
        <v>0</v>
      </c>
      <c r="AX622" s="375">
        <v>0</v>
      </c>
      <c r="AY622" s="375">
        <v>0</v>
      </c>
      <c r="AZ622" s="375">
        <v>0</v>
      </c>
      <c r="BA622" s="375">
        <v>0</v>
      </c>
      <c r="BB622" s="375">
        <v>0</v>
      </c>
      <c r="BC622" s="375">
        <v>0</v>
      </c>
      <c r="BD622" s="375">
        <v>0</v>
      </c>
      <c r="BE622" s="375">
        <v>0</v>
      </c>
      <c r="BF622" s="375">
        <v>218.38</v>
      </c>
      <c r="BG622" s="79"/>
      <c r="BH622" s="79"/>
      <c r="BI622" s="79">
        <v>218.38</v>
      </c>
      <c r="BJ622" s="79">
        <v>0</v>
      </c>
      <c r="BK622" s="79">
        <v>0</v>
      </c>
      <c r="BL622" s="79">
        <v>0</v>
      </c>
      <c r="BM622" s="79">
        <v>0</v>
      </c>
      <c r="BN622" s="79">
        <v>0</v>
      </c>
      <c r="BO622" s="79">
        <v>0</v>
      </c>
      <c r="BP622" s="79">
        <v>0</v>
      </c>
      <c r="BQ622" s="79">
        <v>0</v>
      </c>
      <c r="BR622" s="79">
        <v>0</v>
      </c>
      <c r="BS622" s="79">
        <v>218.38</v>
      </c>
    </row>
    <row r="623" spans="1:71" ht="15" hidden="1" customHeight="1">
      <c r="A623" s="150" t="s">
        <v>2748</v>
      </c>
      <c r="B623" s="749" t="s">
        <v>985</v>
      </c>
      <c r="C623" s="348"/>
      <c r="D623" s="347" t="str">
        <f>_xlfn.TEXTJOIN("_",FALSE,E623,ERP_8[[#This Row],[Expense Category]],ERP_8[[#This Row],[Project Code*]])</f>
        <v>Jajodia, Amit_SOFTWARE_IT-FGS0302-SW-US-00</v>
      </c>
      <c r="E623" s="347" t="s">
        <v>1515</v>
      </c>
      <c r="F623" s="348"/>
      <c r="G623" s="150" t="s">
        <v>1136</v>
      </c>
      <c r="H623" s="150" t="s">
        <v>1345</v>
      </c>
      <c r="I623" s="332" t="s">
        <v>1515</v>
      </c>
      <c r="J623" s="333" t="s">
        <v>1515</v>
      </c>
      <c r="K623" s="514" t="s">
        <v>639</v>
      </c>
      <c r="L623" s="401" t="s">
        <v>2749</v>
      </c>
      <c r="M623" s="333"/>
      <c r="N623" s="467" t="s">
        <v>2750</v>
      </c>
      <c r="O623" s="90" t="s">
        <v>679</v>
      </c>
      <c r="P623" s="347"/>
      <c r="Q623" s="347"/>
      <c r="R623" s="348"/>
      <c r="S623" s="348"/>
      <c r="T623" s="348"/>
      <c r="U623" s="440"/>
      <c r="V623" s="406"/>
      <c r="W623" s="406"/>
      <c r="X623" s="425"/>
      <c r="Y623" s="71"/>
      <c r="Z623" s="794"/>
      <c r="AA623" s="794"/>
      <c r="AB623" s="794"/>
      <c r="AC623" s="429"/>
      <c r="AD623" s="429">
        <v>417.44</v>
      </c>
      <c r="AE623" s="429">
        <v>0</v>
      </c>
      <c r="AF623" s="429">
        <v>415.73</v>
      </c>
      <c r="AG623" s="364"/>
      <c r="AH623" s="364"/>
      <c r="AI623" s="364"/>
      <c r="AJ623" s="364"/>
      <c r="AK623" s="364"/>
      <c r="AL623" s="360">
        <f t="shared" si="34"/>
        <v>833.17000000000007</v>
      </c>
      <c r="AM623" s="455">
        <f>ERP_8[[#This Row],[2026 Working Total]]-ERP_8[[#This Row],[LE2 Final Submission]]</f>
        <v>833.17000000000007</v>
      </c>
      <c r="AN623" s="79"/>
      <c r="AO623" s="79">
        <f t="shared" si="35"/>
        <v>0</v>
      </c>
      <c r="AP623" s="374">
        <f>SUM(ERP_8[[#This Row],[AP01]:[AP07]])-SUM(ERP_8[[#This Row],[AP01 LE2]:[AP07 LE2]])</f>
        <v>833.17000000000007</v>
      </c>
      <c r="AQ623" s="80"/>
      <c r="AR623" s="79">
        <f>ERP_8[[#This Row],[2026 Working Total to Budget/LE]]-ERP_8[[#This Row],[Giveback]]</f>
        <v>833.17000000000007</v>
      </c>
      <c r="AS623" s="81"/>
      <c r="AT623" s="375"/>
      <c r="AU623" s="375"/>
      <c r="AV623" s="375"/>
      <c r="AW623" s="375"/>
      <c r="AX623" s="375"/>
      <c r="AY623" s="375"/>
      <c r="AZ623" s="375"/>
      <c r="BA623" s="375"/>
      <c r="BB623" s="375"/>
      <c r="BC623" s="375"/>
      <c r="BD623" s="375"/>
      <c r="BE623" s="375"/>
      <c r="BF623" s="375"/>
      <c r="BG623" s="79"/>
      <c r="BH623" s="79"/>
      <c r="BI623" s="79"/>
      <c r="BJ623" s="79"/>
      <c r="BK623" s="79"/>
      <c r="BL623" s="79"/>
      <c r="BM623" s="79"/>
      <c r="BN623" s="79"/>
      <c r="BO623" s="79"/>
      <c r="BP623" s="79"/>
      <c r="BQ623" s="79"/>
      <c r="BR623" s="79"/>
      <c r="BS623" s="79"/>
    </row>
    <row r="624" spans="1:71" ht="15" hidden="1" customHeight="1">
      <c r="A624" s="66" t="s">
        <v>2751</v>
      </c>
      <c r="B624" s="737" t="s">
        <v>986</v>
      </c>
      <c r="C624" s="346"/>
      <c r="D624" s="343" t="str">
        <f>_xlfn.TEXTJOIN("_",FALSE,E624,ERP_8[[#This Row],[Expense Category]],ERP_8[[#This Row],[Project Code*]])</f>
        <v>Jajodia, Amit_SOFTWARE_IT-SFT1194-86-OG-US</v>
      </c>
      <c r="E624" s="343" t="s">
        <v>1515</v>
      </c>
      <c r="F624" s="346"/>
      <c r="G624" s="150" t="s">
        <v>1136</v>
      </c>
      <c r="H624" s="150" t="s">
        <v>1345</v>
      </c>
      <c r="I624" s="150" t="s">
        <v>1515</v>
      </c>
      <c r="J624" s="150" t="s">
        <v>1346</v>
      </c>
      <c r="K624" s="511" t="s">
        <v>639</v>
      </c>
      <c r="L624" s="451" t="s">
        <v>818</v>
      </c>
      <c r="M624" s="343"/>
      <c r="N624" s="800"/>
      <c r="O624" s="70" t="s">
        <v>817</v>
      </c>
      <c r="P624" s="346"/>
      <c r="Q624" s="346" t="s">
        <v>1140</v>
      </c>
      <c r="R624" s="346"/>
      <c r="S624" s="150" t="s">
        <v>818</v>
      </c>
      <c r="T624" s="150"/>
      <c r="U624" s="453"/>
      <c r="V624" s="406">
        <v>8000</v>
      </c>
      <c r="W624" s="406">
        <v>17389.7</v>
      </c>
      <c r="X624" s="425"/>
      <c r="Y624" s="71"/>
      <c r="Z624" s="794"/>
      <c r="AA624" s="794"/>
      <c r="AB624" s="794">
        <v>11389.7</v>
      </c>
      <c r="AC624" s="428">
        <v>0</v>
      </c>
      <c r="AD624" s="429">
        <v>0</v>
      </c>
      <c r="AE624" s="429">
        <v>8531.9</v>
      </c>
      <c r="AF624" s="429">
        <v>123.82</v>
      </c>
      <c r="AG624" s="360">
        <v>0</v>
      </c>
      <c r="AH624" s="363">
        <v>2000</v>
      </c>
      <c r="AI624" s="360">
        <v>0</v>
      </c>
      <c r="AJ624" s="363">
        <v>2000</v>
      </c>
      <c r="AK624" s="360">
        <v>0</v>
      </c>
      <c r="AL624" s="360">
        <f t="shared" si="34"/>
        <v>24045.42</v>
      </c>
      <c r="AM624" s="455">
        <f>ERP_8[[#This Row],[2026 Working Total]]-ERP_8[[#This Row],[LE2 Final Submission]]</f>
        <v>6655.7199999999975</v>
      </c>
      <c r="AN624" s="79">
        <v>0</v>
      </c>
      <c r="AO624" s="79">
        <f t="shared" si="35"/>
        <v>8531.9</v>
      </c>
      <c r="AP624" s="374">
        <f>SUM(ERP_8[[#This Row],[AP01]:[AP07]])-SUM(ERP_8[[#This Row],[AP01 LE2]:[AP07 LE2]])</f>
        <v>6655.7199999999975</v>
      </c>
      <c r="AQ624" s="80"/>
      <c r="AR624" s="79">
        <f>ERP_8[[#This Row],[2026 Working Total to Budget/LE]]-ERP_8[[#This Row],[Giveback]]</f>
        <v>6655.7199999999975</v>
      </c>
      <c r="AS624" s="81"/>
      <c r="AT624" s="375"/>
      <c r="AU624" s="375"/>
      <c r="AV624" s="375">
        <v>11389.7</v>
      </c>
      <c r="AW624" s="375">
        <v>0</v>
      </c>
      <c r="AX624" s="375">
        <v>0</v>
      </c>
      <c r="AY624" s="375">
        <v>2000</v>
      </c>
      <c r="AZ624" s="375">
        <v>0</v>
      </c>
      <c r="BA624" s="375">
        <v>0</v>
      </c>
      <c r="BB624" s="375">
        <v>2000</v>
      </c>
      <c r="BC624" s="375">
        <v>0</v>
      </c>
      <c r="BD624" s="375">
        <v>2000</v>
      </c>
      <c r="BE624" s="375">
        <v>0</v>
      </c>
      <c r="BF624" s="375">
        <v>17389.7</v>
      </c>
      <c r="BG624" s="79"/>
      <c r="BH624" s="79"/>
      <c r="BI624" s="79">
        <v>11389.7</v>
      </c>
      <c r="BJ624" s="79">
        <v>0</v>
      </c>
      <c r="BK624" s="79">
        <v>0</v>
      </c>
      <c r="BL624" s="79">
        <v>2000</v>
      </c>
      <c r="BM624" s="79">
        <v>0</v>
      </c>
      <c r="BN624" s="79">
        <v>0</v>
      </c>
      <c r="BO624" s="79">
        <v>2000</v>
      </c>
      <c r="BP624" s="79">
        <v>0</v>
      </c>
      <c r="BQ624" s="79">
        <v>2000</v>
      </c>
      <c r="BR624" s="79">
        <v>0</v>
      </c>
      <c r="BS624" s="79">
        <v>17389.7</v>
      </c>
    </row>
    <row r="625" spans="1:71" ht="15" hidden="1" customHeight="1">
      <c r="A625" s="66" t="s">
        <v>2752</v>
      </c>
      <c r="B625" s="737" t="s">
        <v>987</v>
      </c>
      <c r="C625" s="346"/>
      <c r="D625" s="343" t="str">
        <f>_xlfn.TEXTJOIN("_",FALSE,E625,ERP_8[[#This Row],[Expense Category]],ERP_8[[#This Row],[Project Code*]])</f>
        <v>Jajodia, Amit_SOFTWARE_MISC001</v>
      </c>
      <c r="E625" s="343" t="s">
        <v>1515</v>
      </c>
      <c r="F625" s="346"/>
      <c r="G625" s="150" t="s">
        <v>1136</v>
      </c>
      <c r="H625" s="150" t="s">
        <v>1345</v>
      </c>
      <c r="I625" s="150" t="s">
        <v>1515</v>
      </c>
      <c r="J625" s="150" t="s">
        <v>1346</v>
      </c>
      <c r="K625" s="511" t="s">
        <v>639</v>
      </c>
      <c r="L625" s="451" t="s">
        <v>1327</v>
      </c>
      <c r="M625" s="343"/>
      <c r="N625" s="800"/>
      <c r="O625" s="70" t="s">
        <v>147</v>
      </c>
      <c r="P625" s="346"/>
      <c r="Q625" s="343"/>
      <c r="R625" s="346"/>
      <c r="S625" s="150" t="s">
        <v>25</v>
      </c>
      <c r="T625" s="150"/>
      <c r="U625" s="453"/>
      <c r="V625" s="406">
        <v>0</v>
      </c>
      <c r="W625" s="406">
        <v>0.63</v>
      </c>
      <c r="X625" s="425"/>
      <c r="Y625" s="71"/>
      <c r="Z625" s="794"/>
      <c r="AA625" s="794"/>
      <c r="AB625" s="794">
        <v>0.63</v>
      </c>
      <c r="AC625" s="428">
        <v>0</v>
      </c>
      <c r="AD625" s="429">
        <v>-0.28000000000000003</v>
      </c>
      <c r="AE625" s="429">
        <v>0.1</v>
      </c>
      <c r="AF625" s="429">
        <v>-0.1</v>
      </c>
      <c r="AG625" s="360">
        <v>0</v>
      </c>
      <c r="AH625" s="360">
        <v>0</v>
      </c>
      <c r="AI625" s="360">
        <v>0</v>
      </c>
      <c r="AJ625" s="360">
        <v>0</v>
      </c>
      <c r="AK625" s="360">
        <v>0</v>
      </c>
      <c r="AL625" s="360">
        <f t="shared" si="34"/>
        <v>0.35</v>
      </c>
      <c r="AM625" s="455">
        <f>ERP_8[[#This Row],[2026 Working Total]]-ERP_8[[#This Row],[LE2 Final Submission]]</f>
        <v>-0.28000000000000003</v>
      </c>
      <c r="AN625" s="79">
        <v>0</v>
      </c>
      <c r="AO625" s="79">
        <f t="shared" si="35"/>
        <v>0.1</v>
      </c>
      <c r="AP625" s="374">
        <f>SUM(ERP_8[[#This Row],[AP01]:[AP07]])-SUM(ERP_8[[#This Row],[AP01 LE2]:[AP07 LE2]])</f>
        <v>-0.28000000000000003</v>
      </c>
      <c r="AQ625" s="80"/>
      <c r="AR625" s="79">
        <f>ERP_8[[#This Row],[2026 Working Total to Budget/LE]]-ERP_8[[#This Row],[Giveback]]</f>
        <v>-0.28000000000000003</v>
      </c>
      <c r="AS625" s="81"/>
      <c r="AT625" s="375"/>
      <c r="AU625" s="375"/>
      <c r="AV625" s="375">
        <v>0.63</v>
      </c>
      <c r="AW625" s="375">
        <v>0</v>
      </c>
      <c r="AX625" s="375">
        <v>0</v>
      </c>
      <c r="AY625" s="375">
        <v>0</v>
      </c>
      <c r="AZ625" s="375">
        <v>0</v>
      </c>
      <c r="BA625" s="375">
        <v>0</v>
      </c>
      <c r="BB625" s="375">
        <v>0</v>
      </c>
      <c r="BC625" s="375">
        <v>0</v>
      </c>
      <c r="BD625" s="375">
        <v>0</v>
      </c>
      <c r="BE625" s="375">
        <v>0</v>
      </c>
      <c r="BF625" s="375">
        <v>0.63</v>
      </c>
      <c r="BG625" s="79"/>
      <c r="BH625" s="79"/>
      <c r="BI625" s="79">
        <v>0.63</v>
      </c>
      <c r="BJ625" s="79">
        <v>0</v>
      </c>
      <c r="BK625" s="79">
        <v>0</v>
      </c>
      <c r="BL625" s="79">
        <v>0</v>
      </c>
      <c r="BM625" s="79">
        <v>0</v>
      </c>
      <c r="BN625" s="79">
        <v>0</v>
      </c>
      <c r="BO625" s="79">
        <v>0</v>
      </c>
      <c r="BP625" s="79">
        <v>0</v>
      </c>
      <c r="BQ625" s="79">
        <v>0</v>
      </c>
      <c r="BR625" s="79">
        <v>0</v>
      </c>
      <c r="BS625" s="79">
        <v>0.63</v>
      </c>
    </row>
    <row r="626" spans="1:71" ht="15" hidden="1" customHeight="1">
      <c r="A626" s="150" t="s">
        <v>2753</v>
      </c>
      <c r="B626" s="749" t="s">
        <v>2754</v>
      </c>
      <c r="C626" s="348"/>
      <c r="D626" s="347" t="str">
        <f>_xlfn.TEXTJOIN("_",FALSE,E626,ERP_8[[#This Row],[Expense Category]],ERP_8[[#This Row],[Project Code*]])</f>
        <v>Patel, Apurva_SOFTWARE_BILLINGREV001CN</v>
      </c>
      <c r="E626" s="347" t="s">
        <v>1566</v>
      </c>
      <c r="F626" s="348"/>
      <c r="G626" s="150" t="s">
        <v>1136</v>
      </c>
      <c r="H626" s="150" t="s">
        <v>1567</v>
      </c>
      <c r="I626" s="150" t="s">
        <v>1567</v>
      </c>
      <c r="J626" s="150" t="s">
        <v>1567</v>
      </c>
      <c r="K626" s="511" t="s">
        <v>639</v>
      </c>
      <c r="L626" s="401" t="s">
        <v>2232</v>
      </c>
      <c r="M626" s="333"/>
      <c r="N626" s="467" t="s">
        <v>2755</v>
      </c>
      <c r="O626" s="90" t="s">
        <v>657</v>
      </c>
      <c r="P626" s="347"/>
      <c r="Q626" s="347"/>
      <c r="R626" s="348"/>
      <c r="S626" s="348"/>
      <c r="T626" s="348"/>
      <c r="U626" s="440"/>
      <c r="V626" s="406"/>
      <c r="W626" s="406"/>
      <c r="X626" s="425"/>
      <c r="Y626" s="71"/>
      <c r="Z626" s="794"/>
      <c r="AA626" s="794"/>
      <c r="AB626" s="794"/>
      <c r="AC626" s="429">
        <v>-920.3</v>
      </c>
      <c r="AD626" s="429">
        <v>0</v>
      </c>
      <c r="AE626" s="429">
        <v>0</v>
      </c>
      <c r="AF626" s="429">
        <v>0</v>
      </c>
      <c r="AG626" s="364"/>
      <c r="AH626" s="364"/>
      <c r="AI626" s="364"/>
      <c r="AJ626" s="364"/>
      <c r="AK626" s="364"/>
      <c r="AL626" s="360">
        <f t="shared" si="34"/>
        <v>-920.3</v>
      </c>
      <c r="AM626" s="455">
        <f>ERP_8[[#This Row],[2026 Working Total]]-ERP_8[[#This Row],[LE2 Final Submission]]</f>
        <v>-920.3</v>
      </c>
      <c r="AN626" s="79">
        <v>0</v>
      </c>
      <c r="AO626" s="79">
        <f t="shared" si="35"/>
        <v>0</v>
      </c>
      <c r="AP626" s="374">
        <f>SUM(ERP_8[[#This Row],[AP01]:[AP07]])-SUM(ERP_8[[#This Row],[AP01 LE2]:[AP07 LE2]])</f>
        <v>-920.3</v>
      </c>
      <c r="AQ626" s="80"/>
      <c r="AR626" s="79">
        <f>ERP_8[[#This Row],[2026 Working Total to Budget/LE]]-ERP_8[[#This Row],[Giveback]]</f>
        <v>-920.3</v>
      </c>
      <c r="AS626" s="81"/>
      <c r="AT626" s="375"/>
      <c r="AU626" s="375"/>
      <c r="AV626" s="375"/>
      <c r="AW626" s="375"/>
      <c r="AX626" s="375"/>
      <c r="AY626" s="375"/>
      <c r="AZ626" s="375"/>
      <c r="BA626" s="375"/>
      <c r="BB626" s="375"/>
      <c r="BC626" s="375"/>
      <c r="BD626" s="375"/>
      <c r="BE626" s="375"/>
      <c r="BF626" s="375"/>
      <c r="BG626" s="79"/>
      <c r="BH626" s="79"/>
      <c r="BI626" s="79"/>
      <c r="BJ626" s="79"/>
      <c r="BK626" s="79"/>
      <c r="BL626" s="79"/>
      <c r="BM626" s="79"/>
      <c r="BN626" s="79"/>
      <c r="BO626" s="79"/>
      <c r="BP626" s="79"/>
      <c r="BQ626" s="79"/>
      <c r="BR626" s="79"/>
      <c r="BS626" s="79"/>
    </row>
    <row r="627" spans="1:71" ht="15" hidden="1" customHeight="1">
      <c r="A627" s="150" t="s">
        <v>2756</v>
      </c>
      <c r="B627" s="749" t="s">
        <v>2757</v>
      </c>
      <c r="C627" s="348"/>
      <c r="D627" s="347" t="str">
        <f>_xlfn.TEXTJOIN("_",FALSE,E627,ERP_8[[#This Row],[Expense Category]],ERP_8[[#This Row],[Project Code*]])</f>
        <v>Patel, Apurva_SOFTWARE_BILLINGREV009B</v>
      </c>
      <c r="E627" s="347" t="s">
        <v>1566</v>
      </c>
      <c r="F627" s="348"/>
      <c r="G627" s="150" t="s">
        <v>1136</v>
      </c>
      <c r="H627" s="150" t="s">
        <v>1567</v>
      </c>
      <c r="I627" s="150" t="s">
        <v>1567</v>
      </c>
      <c r="J627" s="150" t="s">
        <v>1567</v>
      </c>
      <c r="K627" s="511" t="s">
        <v>639</v>
      </c>
      <c r="L627" s="401" t="s">
        <v>2758</v>
      </c>
      <c r="M627" s="333"/>
      <c r="N627" s="467" t="s">
        <v>2755</v>
      </c>
      <c r="O627" s="90" t="s">
        <v>659</v>
      </c>
      <c r="P627" s="347"/>
      <c r="Q627" s="347"/>
      <c r="R627" s="348"/>
      <c r="S627" s="348"/>
      <c r="T627" s="348"/>
      <c r="U627" s="440"/>
      <c r="V627" s="406"/>
      <c r="W627" s="406"/>
      <c r="X627" s="425"/>
      <c r="Y627" s="71"/>
      <c r="Z627" s="794"/>
      <c r="AA627" s="794"/>
      <c r="AB627" s="794"/>
      <c r="AC627" s="429">
        <v>-6115.8</v>
      </c>
      <c r="AD627" s="429">
        <v>0</v>
      </c>
      <c r="AE627" s="429">
        <v>0</v>
      </c>
      <c r="AF627" s="429">
        <v>0</v>
      </c>
      <c r="AG627" s="364"/>
      <c r="AH627" s="364"/>
      <c r="AI627" s="364"/>
      <c r="AJ627" s="364"/>
      <c r="AK627" s="364"/>
      <c r="AL627" s="360">
        <f t="shared" si="34"/>
        <v>-6115.8</v>
      </c>
      <c r="AM627" s="455">
        <f>ERP_8[[#This Row],[2026 Working Total]]-ERP_8[[#This Row],[LE2 Final Submission]]</f>
        <v>-6115.8</v>
      </c>
      <c r="AN627" s="79">
        <v>0</v>
      </c>
      <c r="AO627" s="79">
        <f t="shared" si="35"/>
        <v>0</v>
      </c>
      <c r="AP627" s="374">
        <f>SUM(ERP_8[[#This Row],[AP01]:[AP07]])-SUM(ERP_8[[#This Row],[AP01 LE2]:[AP07 LE2]])</f>
        <v>-6115.8</v>
      </c>
      <c r="AQ627" s="80"/>
      <c r="AR627" s="79">
        <f>ERP_8[[#This Row],[2026 Working Total to Budget/LE]]-ERP_8[[#This Row],[Giveback]]</f>
        <v>-6115.8</v>
      </c>
      <c r="AS627" s="81"/>
      <c r="AT627" s="375"/>
      <c r="AU627" s="375"/>
      <c r="AV627" s="375"/>
      <c r="AW627" s="375"/>
      <c r="AX627" s="375"/>
      <c r="AY627" s="375"/>
      <c r="AZ627" s="375"/>
      <c r="BA627" s="375"/>
      <c r="BB627" s="375"/>
      <c r="BC627" s="375"/>
      <c r="BD627" s="375"/>
      <c r="BE627" s="375"/>
      <c r="BF627" s="375"/>
      <c r="BG627" s="79"/>
      <c r="BH627" s="79"/>
      <c r="BI627" s="79"/>
      <c r="BJ627" s="79"/>
      <c r="BK627" s="79"/>
      <c r="BL627" s="79"/>
      <c r="BM627" s="79"/>
      <c r="BN627" s="79"/>
      <c r="BO627" s="79"/>
      <c r="BP627" s="79"/>
      <c r="BQ627" s="79"/>
      <c r="BR627" s="79"/>
      <c r="BS627" s="79"/>
    </row>
    <row r="628" spans="1:71" ht="15" hidden="1" customHeight="1">
      <c r="A628" s="66" t="s">
        <v>2759</v>
      </c>
      <c r="B628" s="737" t="s">
        <v>2760</v>
      </c>
      <c r="C628" s="346"/>
      <c r="D628" s="343" t="str">
        <f>_xlfn.TEXTJOIN("_",FALSE,E628,ERP_8[[#This Row],[Expense Category]],ERP_8[[#This Row],[Project Code*]])</f>
        <v>Patel, Apurva_SOFTWARE_BillingSweep001</v>
      </c>
      <c r="E628" s="343" t="s">
        <v>1566</v>
      </c>
      <c r="F628" s="346"/>
      <c r="G628" s="150" t="s">
        <v>1136</v>
      </c>
      <c r="H628" s="150" t="s">
        <v>1567</v>
      </c>
      <c r="I628" s="150" t="s">
        <v>1567</v>
      </c>
      <c r="J628" s="150" t="s">
        <v>1567</v>
      </c>
      <c r="K628" s="511" t="s">
        <v>639</v>
      </c>
      <c r="L628" s="451" t="s">
        <v>1685</v>
      </c>
      <c r="M628" s="343"/>
      <c r="N628" s="800"/>
      <c r="O628" s="70" t="s">
        <v>661</v>
      </c>
      <c r="P628" s="346" t="s">
        <v>1139</v>
      </c>
      <c r="Q628" s="346" t="s">
        <v>1140</v>
      </c>
      <c r="R628" s="346"/>
      <c r="S628" s="150" t="s">
        <v>25</v>
      </c>
      <c r="T628" s="150"/>
      <c r="U628" s="551"/>
      <c r="V628" s="407">
        <v>0</v>
      </c>
      <c r="W628" s="407">
        <v>0</v>
      </c>
      <c r="X628" s="425"/>
      <c r="Y628" s="71"/>
      <c r="Z628" s="794">
        <v>-6074.45</v>
      </c>
      <c r="AA628" s="794">
        <v>6074.45</v>
      </c>
      <c r="AB628" s="794">
        <v>0</v>
      </c>
      <c r="AC628" s="428" t="s">
        <v>1142</v>
      </c>
      <c r="AD628" s="429">
        <v>0</v>
      </c>
      <c r="AE628" s="429">
        <v>0</v>
      </c>
      <c r="AF628" s="429" t="s">
        <v>1142</v>
      </c>
      <c r="AG628" s="360">
        <v>0</v>
      </c>
      <c r="AH628" s="360">
        <v>0</v>
      </c>
      <c r="AI628" s="360">
        <v>0</v>
      </c>
      <c r="AJ628" s="360">
        <v>0</v>
      </c>
      <c r="AK628" s="360">
        <v>0</v>
      </c>
      <c r="AL628" s="360">
        <f t="shared" si="34"/>
        <v>0</v>
      </c>
      <c r="AM628" s="455">
        <f>ERP_8[[#This Row],[2026 Working Total]]-ERP_8[[#This Row],[LE2 Final Submission]]</f>
        <v>0</v>
      </c>
      <c r="AN628" s="79">
        <v>0</v>
      </c>
      <c r="AO628" s="79">
        <f t="shared" si="35"/>
        <v>0</v>
      </c>
      <c r="AP628" s="374">
        <f>SUM(ERP_8[[#This Row],[AP01]:[AP07]])-SUM(ERP_8[[#This Row],[AP01 LE2]:[AP07 LE2]])</f>
        <v>0</v>
      </c>
      <c r="AQ628" s="80"/>
      <c r="AR628" s="79">
        <f>ERP_8[[#This Row],[2026 Working Total to Budget/LE]]-ERP_8[[#This Row],[Giveback]]</f>
        <v>0</v>
      </c>
      <c r="AS628" s="81"/>
      <c r="AT628" s="375">
        <v>-6074.45</v>
      </c>
      <c r="AU628" s="375">
        <v>6074.45</v>
      </c>
      <c r="AV628" s="375">
        <v>0</v>
      </c>
      <c r="AW628" s="375">
        <v>0</v>
      </c>
      <c r="AX628" s="375">
        <v>0</v>
      </c>
      <c r="AY628" s="375">
        <v>0</v>
      </c>
      <c r="AZ628" s="375">
        <v>0</v>
      </c>
      <c r="BA628" s="375">
        <v>0</v>
      </c>
      <c r="BB628" s="375">
        <v>0</v>
      </c>
      <c r="BC628" s="375">
        <v>0</v>
      </c>
      <c r="BD628" s="375">
        <v>0</v>
      </c>
      <c r="BE628" s="375">
        <v>0</v>
      </c>
      <c r="BF628" s="375">
        <v>0</v>
      </c>
      <c r="BG628" s="79">
        <v>-6074.45</v>
      </c>
      <c r="BH628" s="79">
        <v>6074.45</v>
      </c>
      <c r="BI628" s="79">
        <v>0</v>
      </c>
      <c r="BJ628" s="79">
        <v>0</v>
      </c>
      <c r="BK628" s="79">
        <v>0</v>
      </c>
      <c r="BL628" s="79">
        <v>0</v>
      </c>
      <c r="BM628" s="79">
        <v>0</v>
      </c>
      <c r="BN628" s="79">
        <v>0</v>
      </c>
      <c r="BO628" s="79">
        <v>0</v>
      </c>
      <c r="BP628" s="79">
        <v>0</v>
      </c>
      <c r="BQ628" s="79">
        <v>0</v>
      </c>
      <c r="BR628" s="79">
        <v>0</v>
      </c>
      <c r="BS628" s="79">
        <v>0</v>
      </c>
    </row>
    <row r="629" spans="1:71" ht="15" hidden="1" customHeight="1">
      <c r="A629" s="66" t="s">
        <v>2761</v>
      </c>
      <c r="B629" s="737" t="s">
        <v>2762</v>
      </c>
      <c r="C629" s="346"/>
      <c r="D629" s="343" t="str">
        <f>_xlfn.TEXTJOIN("_",FALSE,E629,ERP_8[[#This Row],[Expense Category]],ERP_8[[#This Row],[Project Code*]])</f>
        <v>Patel, Apurva_SOFTWARE_BillingSweep002</v>
      </c>
      <c r="E629" s="343" t="s">
        <v>1566</v>
      </c>
      <c r="F629" s="346"/>
      <c r="G629" s="150" t="s">
        <v>1136</v>
      </c>
      <c r="H629" s="334" t="s">
        <v>1567</v>
      </c>
      <c r="I629" s="334" t="s">
        <v>1567</v>
      </c>
      <c r="J629" s="334" t="s">
        <v>1567</v>
      </c>
      <c r="K629" s="511" t="s">
        <v>639</v>
      </c>
      <c r="L629" s="451" t="s">
        <v>1685</v>
      </c>
      <c r="M629" s="343"/>
      <c r="N629" s="800"/>
      <c r="O629" s="70" t="s">
        <v>663</v>
      </c>
      <c r="P629" s="346" t="s">
        <v>1139</v>
      </c>
      <c r="Q629" s="346" t="s">
        <v>1140</v>
      </c>
      <c r="R629" s="346"/>
      <c r="S629" s="150" t="s">
        <v>25</v>
      </c>
      <c r="T629" s="150"/>
      <c r="U629" s="882"/>
      <c r="V629" s="407">
        <v>0</v>
      </c>
      <c r="W629" s="407">
        <v>0</v>
      </c>
      <c r="X629" s="425"/>
      <c r="Y629" s="71"/>
      <c r="Z629" s="794">
        <v>-1978.48</v>
      </c>
      <c r="AA629" s="794">
        <v>1978.48</v>
      </c>
      <c r="AB629" s="794">
        <v>0</v>
      </c>
      <c r="AC629" s="428" t="s">
        <v>1142</v>
      </c>
      <c r="AD629" s="429">
        <v>0</v>
      </c>
      <c r="AE629" s="429">
        <v>0</v>
      </c>
      <c r="AF629" s="429" t="s">
        <v>1142</v>
      </c>
      <c r="AG629" s="360">
        <v>0</v>
      </c>
      <c r="AH629" s="360">
        <v>0</v>
      </c>
      <c r="AI629" s="360">
        <v>0</v>
      </c>
      <c r="AJ629" s="360">
        <v>0</v>
      </c>
      <c r="AK629" s="360">
        <v>0</v>
      </c>
      <c r="AL629" s="360">
        <f t="shared" si="34"/>
        <v>0</v>
      </c>
      <c r="AM629" s="455">
        <f>ERP_8[[#This Row],[2026 Working Total]]-ERP_8[[#This Row],[LE2 Final Submission]]</f>
        <v>0</v>
      </c>
      <c r="AN629" s="79">
        <v>0</v>
      </c>
      <c r="AO629" s="79">
        <f t="shared" si="35"/>
        <v>0</v>
      </c>
      <c r="AP629" s="374">
        <f>SUM(ERP_8[[#This Row],[AP01]:[AP07]])-SUM(ERP_8[[#This Row],[AP01 LE2]:[AP07 LE2]])</f>
        <v>0</v>
      </c>
      <c r="AQ629" s="80"/>
      <c r="AR629" s="79">
        <f>ERP_8[[#This Row],[2026 Working Total to Budget/LE]]-ERP_8[[#This Row],[Giveback]]</f>
        <v>0</v>
      </c>
      <c r="AS629" s="81"/>
      <c r="AT629" s="375">
        <v>-1978.48</v>
      </c>
      <c r="AU629" s="375">
        <v>1978.48</v>
      </c>
      <c r="AV629" s="375">
        <v>0</v>
      </c>
      <c r="AW629" s="375">
        <v>0</v>
      </c>
      <c r="AX629" s="375">
        <v>0</v>
      </c>
      <c r="AY629" s="375">
        <v>0</v>
      </c>
      <c r="AZ629" s="375">
        <v>0</v>
      </c>
      <c r="BA629" s="375">
        <v>0</v>
      </c>
      <c r="BB629" s="375">
        <v>0</v>
      </c>
      <c r="BC629" s="375">
        <v>0</v>
      </c>
      <c r="BD629" s="375">
        <v>0</v>
      </c>
      <c r="BE629" s="375">
        <v>0</v>
      </c>
      <c r="BF629" s="375">
        <v>0</v>
      </c>
      <c r="BG629" s="79">
        <v>-1978.48</v>
      </c>
      <c r="BH629" s="79">
        <v>1978.48</v>
      </c>
      <c r="BI629" s="79">
        <v>0</v>
      </c>
      <c r="BJ629" s="79">
        <v>0</v>
      </c>
      <c r="BK629" s="79">
        <v>0</v>
      </c>
      <c r="BL629" s="79">
        <v>0</v>
      </c>
      <c r="BM629" s="79">
        <v>0</v>
      </c>
      <c r="BN629" s="79">
        <v>0</v>
      </c>
      <c r="BO629" s="79">
        <v>0</v>
      </c>
      <c r="BP629" s="79">
        <v>0</v>
      </c>
      <c r="BQ629" s="79">
        <v>0</v>
      </c>
      <c r="BR629" s="79">
        <v>0</v>
      </c>
      <c r="BS629" s="79">
        <v>0</v>
      </c>
    </row>
    <row r="630" spans="1:71" ht="15" hidden="1" customHeight="1">
      <c r="A630" s="66" t="s">
        <v>2763</v>
      </c>
      <c r="B630" s="732" t="s">
        <v>2764</v>
      </c>
      <c r="C630" s="346"/>
      <c r="D630" s="343" t="str">
        <f>_xlfn.TEXTJOIN("_",FALSE,E630,ERP_8[[#This Row],[Expense Category]],ERP_8[[#This Row],[Project Code*]])</f>
        <v>Patel, Apurva_SOFTWARE_BillingSweep005</v>
      </c>
      <c r="E630" s="343" t="s">
        <v>1566</v>
      </c>
      <c r="F630" s="346"/>
      <c r="G630" s="150" t="s">
        <v>1136</v>
      </c>
      <c r="H630" s="334" t="s">
        <v>1345</v>
      </c>
      <c r="I630" s="334" t="s">
        <v>1346</v>
      </c>
      <c r="J630" s="334" t="s">
        <v>1346</v>
      </c>
      <c r="K630" s="511" t="s">
        <v>639</v>
      </c>
      <c r="L630" s="392" t="s">
        <v>1685</v>
      </c>
      <c r="M630" s="343"/>
      <c r="N630" s="800"/>
      <c r="O630" s="70" t="s">
        <v>350</v>
      </c>
      <c r="P630" s="346" t="s">
        <v>1139</v>
      </c>
      <c r="Q630" s="346" t="s">
        <v>1140</v>
      </c>
      <c r="R630" s="346"/>
      <c r="S630" s="150" t="s">
        <v>25</v>
      </c>
      <c r="T630" s="150"/>
      <c r="U630" s="882"/>
      <c r="V630" s="407">
        <v>0</v>
      </c>
      <c r="W630" s="407">
        <v>0</v>
      </c>
      <c r="X630" s="425"/>
      <c r="Y630" s="71"/>
      <c r="Z630" s="794">
        <v>-256.76</v>
      </c>
      <c r="AA630" s="780">
        <v>256.76</v>
      </c>
      <c r="AB630" s="780">
        <v>0</v>
      </c>
      <c r="AC630" s="428">
        <v>0</v>
      </c>
      <c r="AD630" s="429">
        <v>0</v>
      </c>
      <c r="AE630" s="429">
        <v>0</v>
      </c>
      <c r="AF630" s="429">
        <v>0</v>
      </c>
      <c r="AG630" s="360">
        <v>0</v>
      </c>
      <c r="AH630" s="360">
        <v>0</v>
      </c>
      <c r="AI630" s="360">
        <v>0</v>
      </c>
      <c r="AJ630" s="360">
        <v>0</v>
      </c>
      <c r="AK630" s="360">
        <v>0</v>
      </c>
      <c r="AL630" s="360">
        <f t="shared" si="34"/>
        <v>0</v>
      </c>
      <c r="AM630" s="455">
        <f>ERP_8[[#This Row],[2026 Working Total]]-ERP_8[[#This Row],[LE2 Final Submission]]</f>
        <v>0</v>
      </c>
      <c r="AN630" s="79">
        <v>0</v>
      </c>
      <c r="AO630" s="79">
        <f t="shared" si="35"/>
        <v>0</v>
      </c>
      <c r="AP630" s="374">
        <f>SUM(ERP_8[[#This Row],[AP01]:[AP07]])-SUM(ERP_8[[#This Row],[AP01 LE2]:[AP07 LE2]])</f>
        <v>0</v>
      </c>
      <c r="AQ630" s="80"/>
      <c r="AR630" s="79">
        <f>ERP_8[[#This Row],[2026 Working Total to Budget/LE]]-ERP_8[[#This Row],[Giveback]]</f>
        <v>0</v>
      </c>
      <c r="AS630" s="81"/>
      <c r="AT630" s="375">
        <v>-256.76</v>
      </c>
      <c r="AU630" s="375">
        <v>256.76</v>
      </c>
      <c r="AV630" s="375">
        <v>0</v>
      </c>
      <c r="AW630" s="375">
        <v>0</v>
      </c>
      <c r="AX630" s="375">
        <v>0</v>
      </c>
      <c r="AY630" s="375">
        <v>0</v>
      </c>
      <c r="AZ630" s="375">
        <v>0</v>
      </c>
      <c r="BA630" s="375">
        <v>0</v>
      </c>
      <c r="BB630" s="375">
        <v>0</v>
      </c>
      <c r="BC630" s="375">
        <v>0</v>
      </c>
      <c r="BD630" s="375">
        <v>0</v>
      </c>
      <c r="BE630" s="375">
        <v>0</v>
      </c>
      <c r="BF630" s="375">
        <v>0</v>
      </c>
      <c r="BG630" s="79">
        <v>-256.76</v>
      </c>
      <c r="BH630" s="79">
        <v>256.76</v>
      </c>
      <c r="BI630" s="79">
        <v>0</v>
      </c>
      <c r="BJ630" s="79">
        <v>0</v>
      </c>
      <c r="BK630" s="79">
        <v>0</v>
      </c>
      <c r="BL630" s="79">
        <v>0</v>
      </c>
      <c r="BM630" s="79">
        <v>0</v>
      </c>
      <c r="BN630" s="79">
        <v>0</v>
      </c>
      <c r="BO630" s="79">
        <v>0</v>
      </c>
      <c r="BP630" s="79">
        <v>0</v>
      </c>
      <c r="BQ630" s="79">
        <v>0</v>
      </c>
      <c r="BR630" s="79">
        <v>0</v>
      </c>
      <c r="BS630" s="79">
        <v>0</v>
      </c>
    </row>
    <row r="631" spans="1:71" ht="15" hidden="1" customHeight="1">
      <c r="A631" s="66" t="s">
        <v>2765</v>
      </c>
      <c r="B631" s="737" t="s">
        <v>2766</v>
      </c>
      <c r="C631" s="346"/>
      <c r="D631" s="343" t="str">
        <f>_xlfn.TEXTJOIN("_",FALSE,E631,ERP_8[[#This Row],[Expense Category]],ERP_8[[#This Row],[Project Code*]])</f>
        <v>Patel, Apurva_SOFTWARE_BillingSweep006</v>
      </c>
      <c r="E631" s="343" t="s">
        <v>1566</v>
      </c>
      <c r="F631" s="346"/>
      <c r="G631" s="150" t="s">
        <v>1136</v>
      </c>
      <c r="H631" s="334" t="s">
        <v>1567</v>
      </c>
      <c r="I631" s="334" t="s">
        <v>1567</v>
      </c>
      <c r="J631" s="334" t="s">
        <v>1567</v>
      </c>
      <c r="K631" s="511" t="s">
        <v>639</v>
      </c>
      <c r="L631" s="451" t="s">
        <v>1685</v>
      </c>
      <c r="M631" s="343"/>
      <c r="N631" s="800"/>
      <c r="O631" s="70" t="s">
        <v>2242</v>
      </c>
      <c r="P631" s="346" t="s">
        <v>1139</v>
      </c>
      <c r="Q631" s="346" t="s">
        <v>1140</v>
      </c>
      <c r="R631" s="346"/>
      <c r="S631" s="150" t="s">
        <v>25</v>
      </c>
      <c r="T631" s="150"/>
      <c r="U631" s="882"/>
      <c r="V631" s="407">
        <v>0</v>
      </c>
      <c r="W631" s="407">
        <v>0</v>
      </c>
      <c r="X631" s="425"/>
      <c r="Y631" s="71"/>
      <c r="Z631" s="794"/>
      <c r="AA631" s="794"/>
      <c r="AB631" s="794">
        <v>0</v>
      </c>
      <c r="AC631" s="428">
        <v>-184.67</v>
      </c>
      <c r="AD631" s="429">
        <v>0</v>
      </c>
      <c r="AE631" s="429">
        <v>0</v>
      </c>
      <c r="AF631" s="429">
        <v>0</v>
      </c>
      <c r="AG631" s="360">
        <v>0</v>
      </c>
      <c r="AH631" s="360">
        <v>0</v>
      </c>
      <c r="AI631" s="360">
        <v>0</v>
      </c>
      <c r="AJ631" s="360">
        <v>0</v>
      </c>
      <c r="AK631" s="360">
        <v>0</v>
      </c>
      <c r="AL631" s="360">
        <f t="shared" si="34"/>
        <v>-184.67</v>
      </c>
      <c r="AM631" s="455">
        <f>ERP_8[[#This Row],[2026 Working Total]]-ERP_8[[#This Row],[LE2 Final Submission]]</f>
        <v>-184.67</v>
      </c>
      <c r="AN631" s="79">
        <v>0</v>
      </c>
      <c r="AO631" s="79">
        <f t="shared" si="35"/>
        <v>0</v>
      </c>
      <c r="AP631" s="374">
        <f>SUM(ERP_8[[#This Row],[AP01]:[AP07]])-SUM(ERP_8[[#This Row],[AP01 LE2]:[AP07 LE2]])</f>
        <v>-184.67</v>
      </c>
      <c r="AQ631" s="80"/>
      <c r="AR631" s="79">
        <f>ERP_8[[#This Row],[2026 Working Total to Budget/LE]]-ERP_8[[#This Row],[Giveback]]</f>
        <v>-184.67</v>
      </c>
      <c r="AS631" s="81"/>
      <c r="AT631" s="375"/>
      <c r="AU631" s="375"/>
      <c r="AV631" s="375">
        <v>0</v>
      </c>
      <c r="AW631" s="375">
        <v>0</v>
      </c>
      <c r="AX631" s="375">
        <v>0</v>
      </c>
      <c r="AY631" s="375">
        <v>0</v>
      </c>
      <c r="AZ631" s="375">
        <v>0</v>
      </c>
      <c r="BA631" s="375">
        <v>0</v>
      </c>
      <c r="BB631" s="375">
        <v>0</v>
      </c>
      <c r="BC631" s="375">
        <v>0</v>
      </c>
      <c r="BD631" s="375">
        <v>0</v>
      </c>
      <c r="BE631" s="375">
        <v>0</v>
      </c>
      <c r="BF631" s="375">
        <v>0</v>
      </c>
      <c r="BG631" s="79"/>
      <c r="BH631" s="79"/>
      <c r="BI631" s="79">
        <v>0</v>
      </c>
      <c r="BJ631" s="79">
        <v>0</v>
      </c>
      <c r="BK631" s="79">
        <v>0</v>
      </c>
      <c r="BL631" s="79">
        <v>0</v>
      </c>
      <c r="BM631" s="79">
        <v>0</v>
      </c>
      <c r="BN631" s="79">
        <v>0</v>
      </c>
      <c r="BO631" s="79">
        <v>0</v>
      </c>
      <c r="BP631" s="79">
        <v>0</v>
      </c>
      <c r="BQ631" s="79">
        <v>0</v>
      </c>
      <c r="BR631" s="79">
        <v>0</v>
      </c>
      <c r="BS631" s="79">
        <v>0</v>
      </c>
    </row>
    <row r="632" spans="1:71" ht="15" hidden="1" customHeight="1">
      <c r="A632" s="150" t="s">
        <v>2767</v>
      </c>
      <c r="B632" s="749" t="s">
        <v>2768</v>
      </c>
      <c r="C632" s="348"/>
      <c r="D632" s="347" t="str">
        <f>_xlfn.TEXTJOIN("_",FALSE,E632,ERP_8[[#This Row],[Expense Category]],ERP_8[[#This Row],[Project Code*]])</f>
        <v>Patel, Apurva_SOFTWARE_BILLINGSWEEP021</v>
      </c>
      <c r="E632" s="347" t="s">
        <v>1566</v>
      </c>
      <c r="F632" s="348"/>
      <c r="G632" s="150" t="s">
        <v>1136</v>
      </c>
      <c r="H632" s="150" t="s">
        <v>1567</v>
      </c>
      <c r="I632" s="150" t="s">
        <v>1567</v>
      </c>
      <c r="J632" s="150" t="s">
        <v>1567</v>
      </c>
      <c r="K632" s="511" t="s">
        <v>639</v>
      </c>
      <c r="L632" s="401" t="s">
        <v>2245</v>
      </c>
      <c r="M632" s="333"/>
      <c r="N632" s="467" t="s">
        <v>2755</v>
      </c>
      <c r="O632" s="90" t="s">
        <v>2246</v>
      </c>
      <c r="P632" s="347"/>
      <c r="Q632" s="347"/>
      <c r="R632" s="348"/>
      <c r="S632" s="348"/>
      <c r="T632" s="348"/>
      <c r="U632" s="842"/>
      <c r="V632" s="406"/>
      <c r="W632" s="406"/>
      <c r="X632" s="425"/>
      <c r="Y632" s="71"/>
      <c r="Z632" s="794"/>
      <c r="AA632" s="794"/>
      <c r="AB632" s="794"/>
      <c r="AC632" s="429">
        <v>-451.1</v>
      </c>
      <c r="AD632" s="429">
        <v>0</v>
      </c>
      <c r="AE632" s="429">
        <v>0</v>
      </c>
      <c r="AF632" s="429">
        <v>0</v>
      </c>
      <c r="AG632" s="364"/>
      <c r="AH632" s="364"/>
      <c r="AI632" s="364"/>
      <c r="AJ632" s="364"/>
      <c r="AK632" s="364"/>
      <c r="AL632" s="360">
        <f t="shared" si="34"/>
        <v>-451.1</v>
      </c>
      <c r="AM632" s="455">
        <f>ERP_8[[#This Row],[2026 Working Total]]-ERP_8[[#This Row],[LE2 Final Submission]]</f>
        <v>-451.1</v>
      </c>
      <c r="AN632" s="79">
        <v>0</v>
      </c>
      <c r="AO632" s="79">
        <f t="shared" si="35"/>
        <v>0</v>
      </c>
      <c r="AP632" s="374">
        <f>SUM(ERP_8[[#This Row],[AP01]:[AP07]])-SUM(ERP_8[[#This Row],[AP01 LE2]:[AP07 LE2]])</f>
        <v>-451.1</v>
      </c>
      <c r="AQ632" s="80"/>
      <c r="AR632" s="79">
        <f>ERP_8[[#This Row],[2026 Working Total to Budget/LE]]-ERP_8[[#This Row],[Giveback]]</f>
        <v>-451.1</v>
      </c>
      <c r="AS632" s="81"/>
      <c r="AT632" s="375"/>
      <c r="AU632" s="375"/>
      <c r="AV632" s="375"/>
      <c r="AW632" s="375"/>
      <c r="AX632" s="375"/>
      <c r="AY632" s="375"/>
      <c r="AZ632" s="375"/>
      <c r="BA632" s="375"/>
      <c r="BB632" s="375"/>
      <c r="BC632" s="375"/>
      <c r="BD632" s="375"/>
      <c r="BE632" s="375"/>
      <c r="BF632" s="375"/>
      <c r="BG632" s="79"/>
      <c r="BH632" s="79"/>
      <c r="BI632" s="79"/>
      <c r="BJ632" s="79"/>
      <c r="BK632" s="79"/>
      <c r="BL632" s="79"/>
      <c r="BM632" s="79"/>
      <c r="BN632" s="79"/>
      <c r="BO632" s="79"/>
      <c r="BP632" s="79"/>
      <c r="BQ632" s="79"/>
      <c r="BR632" s="79"/>
      <c r="BS632" s="79"/>
    </row>
    <row r="633" spans="1:71" ht="15" hidden="1" customHeight="1">
      <c r="A633" s="79" t="s">
        <v>2769</v>
      </c>
      <c r="B633" s="749" t="s">
        <v>2770</v>
      </c>
      <c r="C633" s="348"/>
      <c r="D633" s="347" t="str">
        <f>_xlfn.TEXTJOIN("_",FALSE,E633,ERP_8[[#This Row],[Expense Category]],ERP_8[[#This Row],[Project Code*]])</f>
        <v>Patel, Apurva_SOFTWARE_BillSweepMisc</v>
      </c>
      <c r="E633" s="347" t="s">
        <v>1566</v>
      </c>
      <c r="F633" s="348"/>
      <c r="G633" s="150" t="s">
        <v>1136</v>
      </c>
      <c r="H633" t="s">
        <v>1567</v>
      </c>
      <c r="I633" t="s">
        <v>1567</v>
      </c>
      <c r="J633" s="150" t="s">
        <v>1567</v>
      </c>
      <c r="K633" s="514" t="s">
        <v>639</v>
      </c>
      <c r="L633" s="401" t="s">
        <v>1699</v>
      </c>
      <c r="M633" s="343"/>
      <c r="N633" s="801"/>
      <c r="O633" s="70" t="s">
        <v>362</v>
      </c>
      <c r="P633" s="347"/>
      <c r="Q633" s="343"/>
      <c r="R633" s="348"/>
      <c r="S633" s="348"/>
      <c r="T633" s="348" t="s">
        <v>1700</v>
      </c>
      <c r="U633" s="842"/>
      <c r="V633" s="358"/>
      <c r="W633" s="379">
        <v>0</v>
      </c>
      <c r="X633" s="425"/>
      <c r="Y633" s="71"/>
      <c r="Z633" s="794"/>
      <c r="AA633" s="794"/>
      <c r="AB633" s="794"/>
      <c r="AC633" s="428" t="s">
        <v>1142</v>
      </c>
      <c r="AD633" s="429">
        <v>0</v>
      </c>
      <c r="AE633" s="429">
        <v>0</v>
      </c>
      <c r="AF633" s="429" t="s">
        <v>1142</v>
      </c>
      <c r="AG633" s="364"/>
      <c r="AH633" s="364"/>
      <c r="AI633" s="364"/>
      <c r="AJ633" s="364"/>
      <c r="AK633" s="364"/>
      <c r="AL633" s="360">
        <f t="shared" si="34"/>
        <v>0</v>
      </c>
      <c r="AM633" s="455">
        <f>ERP_8[[#This Row],[2026 Working Total]]-ERP_8[[#This Row],[LE2 Final Submission]]</f>
        <v>0</v>
      </c>
      <c r="AN633" s="79">
        <v>0</v>
      </c>
      <c r="AO633" s="79">
        <f t="shared" si="35"/>
        <v>0</v>
      </c>
      <c r="AP633" s="374">
        <f>SUM(ERP_8[[#This Row],[AP01]:[AP07]])-SUM(ERP_8[[#This Row],[AP01 LE2]:[AP07 LE2]])</f>
        <v>0</v>
      </c>
      <c r="AQ633" s="80"/>
      <c r="AR633" s="79">
        <f>ERP_8[[#This Row],[2026 Working Total to Budget/LE]]-ERP_8[[#This Row],[Giveback]]</f>
        <v>0</v>
      </c>
      <c r="AS633" s="81"/>
      <c r="AT633" s="375"/>
      <c r="AU633" s="375"/>
      <c r="AV633" s="375"/>
      <c r="AW633" s="375">
        <v>-7671.84</v>
      </c>
      <c r="AX633" s="375">
        <v>7671.84</v>
      </c>
      <c r="AY633" s="375"/>
      <c r="AZ633" s="375"/>
      <c r="BA633" s="375"/>
      <c r="BB633" s="375"/>
      <c r="BC633" s="375"/>
      <c r="BD633" s="375"/>
      <c r="BE633" s="375"/>
      <c r="BF633" s="375">
        <v>0</v>
      </c>
      <c r="BG633" s="79"/>
      <c r="BH633" s="79"/>
      <c r="BI633" s="79"/>
      <c r="BJ633" s="79"/>
      <c r="BK633" s="79"/>
      <c r="BL633" s="79"/>
      <c r="BM633" s="79"/>
      <c r="BN633" s="79"/>
      <c r="BO633" s="79"/>
      <c r="BP633" s="79"/>
      <c r="BQ633" s="79"/>
      <c r="BR633" s="79"/>
      <c r="BS633" s="79"/>
    </row>
    <row r="634" spans="1:71" ht="15" hidden="1" customHeight="1">
      <c r="A634" s="150" t="s">
        <v>2771</v>
      </c>
      <c r="B634" s="749" t="s">
        <v>2772</v>
      </c>
      <c r="C634" s="348"/>
      <c r="D634" s="347" t="str">
        <f>_xlfn.TEXTJOIN("_",FALSE,E634,ERP_8[[#This Row],[Expense Category]],ERP_8[[#This Row],[Project Code*]])</f>
        <v>Patel, Apurva_SOFTWARE_CE-BTF22001-02-EX</v>
      </c>
      <c r="E634" s="347" t="s">
        <v>1566</v>
      </c>
      <c r="F634" s="348"/>
      <c r="G634" s="150" t="s">
        <v>1136</v>
      </c>
      <c r="H634" s="332" t="s">
        <v>1567</v>
      </c>
      <c r="I634" s="332" t="s">
        <v>1567</v>
      </c>
      <c r="J634" s="333" t="s">
        <v>1567</v>
      </c>
      <c r="K634" s="514" t="s">
        <v>639</v>
      </c>
      <c r="L634" s="401" t="s">
        <v>2773</v>
      </c>
      <c r="M634" s="333"/>
      <c r="N634" s="467" t="s">
        <v>1634</v>
      </c>
      <c r="O634" s="90" t="s">
        <v>274</v>
      </c>
      <c r="P634" s="347"/>
      <c r="Q634" s="347"/>
      <c r="R634" s="348"/>
      <c r="S634" s="506" t="s">
        <v>310</v>
      </c>
      <c r="T634" s="150" t="s">
        <v>1575</v>
      </c>
      <c r="U634" s="842"/>
      <c r="V634" s="406"/>
      <c r="W634" s="406"/>
      <c r="X634" s="425"/>
      <c r="Y634" s="71"/>
      <c r="Z634" s="794"/>
      <c r="AA634" s="794"/>
      <c r="AB634" s="794"/>
      <c r="AC634" s="436"/>
      <c r="AD634" s="429">
        <v>227</v>
      </c>
      <c r="AE634" s="429">
        <v>0</v>
      </c>
      <c r="AF634" s="429">
        <v>0</v>
      </c>
      <c r="AG634" s="364"/>
      <c r="AH634" s="364"/>
      <c r="AI634" s="364"/>
      <c r="AJ634" s="364"/>
      <c r="AK634" s="364"/>
      <c r="AL634" s="360">
        <f t="shared" si="34"/>
        <v>227</v>
      </c>
      <c r="AM634" s="455">
        <f>ERP_8[[#This Row],[2026 Working Total]]-ERP_8[[#This Row],[LE2 Final Submission]]</f>
        <v>227</v>
      </c>
      <c r="AN634" s="79">
        <v>0</v>
      </c>
      <c r="AO634" s="79">
        <f t="shared" si="35"/>
        <v>0</v>
      </c>
      <c r="AP634" s="374">
        <f>SUM(ERP_8[[#This Row],[AP01]:[AP07]])-SUM(ERP_8[[#This Row],[AP01 LE2]:[AP07 LE2]])</f>
        <v>227</v>
      </c>
      <c r="AQ634" s="80"/>
      <c r="AR634" s="79">
        <f>ERP_8[[#This Row],[2026 Working Total to Budget/LE]]-ERP_8[[#This Row],[Giveback]]</f>
        <v>227</v>
      </c>
      <c r="AS634" s="81"/>
      <c r="AT634" s="375"/>
      <c r="AU634" s="375"/>
      <c r="AV634" s="375"/>
      <c r="AW634" s="375"/>
      <c r="AX634" s="375"/>
      <c r="AY634" s="375"/>
      <c r="AZ634" s="375"/>
      <c r="BA634" s="375"/>
      <c r="BB634" s="375"/>
      <c r="BC634" s="375"/>
      <c r="BD634" s="375"/>
      <c r="BE634" s="375"/>
      <c r="BF634" s="375"/>
      <c r="BG634" s="79"/>
      <c r="BH634" s="79"/>
      <c r="BI634" s="79"/>
      <c r="BJ634" s="79"/>
      <c r="BK634" s="79"/>
      <c r="BL634" s="79"/>
      <c r="BM634" s="79"/>
      <c r="BN634" s="79"/>
      <c r="BO634" s="79"/>
      <c r="BP634" s="79"/>
      <c r="BQ634" s="79"/>
      <c r="BR634" s="79"/>
      <c r="BS634" s="79"/>
    </row>
    <row r="635" spans="1:71" ht="15" hidden="1" customHeight="1">
      <c r="A635" s="66" t="s">
        <v>2774</v>
      </c>
      <c r="B635" s="737" t="s">
        <v>2775</v>
      </c>
      <c r="C635" s="346"/>
      <c r="D635" s="343" t="str">
        <f>_xlfn.TEXTJOIN("_",FALSE,E635,ERP_8[[#This Row],[Expense Category]],ERP_8[[#This Row],[Project Code*]])</f>
        <v>Patel, Apurva_SOFTWARE_ColleagueSolutions001</v>
      </c>
      <c r="E635" s="343" t="s">
        <v>1566</v>
      </c>
      <c r="F635" s="346"/>
      <c r="G635" s="150" t="s">
        <v>1136</v>
      </c>
      <c r="H635" s="150" t="s">
        <v>1345</v>
      </c>
      <c r="I635" s="150" t="s">
        <v>1346</v>
      </c>
      <c r="J635" s="150" t="s">
        <v>1346</v>
      </c>
      <c r="K635" s="511" t="s">
        <v>639</v>
      </c>
      <c r="L635" s="451" t="s">
        <v>1138</v>
      </c>
      <c r="M635" s="343"/>
      <c r="N635" s="800"/>
      <c r="O635" s="70" t="s">
        <v>51</v>
      </c>
      <c r="P635" s="346" t="s">
        <v>1139</v>
      </c>
      <c r="Q635" s="346" t="s">
        <v>1140</v>
      </c>
      <c r="R635" s="346"/>
      <c r="S635" s="150" t="s">
        <v>25</v>
      </c>
      <c r="T635" s="150"/>
      <c r="U635" s="475"/>
      <c r="V635" s="406">
        <v>0</v>
      </c>
      <c r="W635" s="406">
        <v>3227.2200000000003</v>
      </c>
      <c r="X635" s="430"/>
      <c r="Y635" s="137"/>
      <c r="Z635" s="794"/>
      <c r="AA635" s="780">
        <v>1859.42</v>
      </c>
      <c r="AB635" s="780">
        <v>1367.8</v>
      </c>
      <c r="AC635" s="428">
        <v>0</v>
      </c>
      <c r="AD635" s="429">
        <v>682.06</v>
      </c>
      <c r="AE635" s="429">
        <v>91.56</v>
      </c>
      <c r="AF635" s="429">
        <v>0</v>
      </c>
      <c r="AG635" s="360">
        <v>0</v>
      </c>
      <c r="AH635" s="360">
        <v>0</v>
      </c>
      <c r="AI635" s="360">
        <v>0</v>
      </c>
      <c r="AJ635" s="360">
        <v>0</v>
      </c>
      <c r="AK635" s="360">
        <v>0</v>
      </c>
      <c r="AL635" s="360">
        <f t="shared" si="34"/>
        <v>4000.84</v>
      </c>
      <c r="AM635" s="455">
        <f>ERP_8[[#This Row],[2026 Working Total]]-ERP_8[[#This Row],[LE2 Final Submission]]</f>
        <v>773.61999999999989</v>
      </c>
      <c r="AN635" s="79">
        <v>0</v>
      </c>
      <c r="AO635" s="79">
        <f t="shared" si="35"/>
        <v>91.56</v>
      </c>
      <c r="AP635" s="374">
        <f>SUM(ERP_8[[#This Row],[AP01]:[AP07]])-SUM(ERP_8[[#This Row],[AP01 LE2]:[AP07 LE2]])</f>
        <v>773.61999999999989</v>
      </c>
      <c r="AQ635" s="80"/>
      <c r="AR635" s="79">
        <f>ERP_8[[#This Row],[2026 Working Total to Budget/LE]]-ERP_8[[#This Row],[Giveback]]</f>
        <v>773.61999999999989</v>
      </c>
      <c r="AS635" s="81"/>
      <c r="AT635" s="375"/>
      <c r="AU635" s="375">
        <v>1859.42</v>
      </c>
      <c r="AV635" s="375">
        <v>1367.8</v>
      </c>
      <c r="AW635" s="375">
        <v>0</v>
      </c>
      <c r="AX635" s="375">
        <v>0</v>
      </c>
      <c r="AY635" s="375">
        <v>0</v>
      </c>
      <c r="AZ635" s="375">
        <v>0</v>
      </c>
      <c r="BA635" s="375">
        <v>0</v>
      </c>
      <c r="BB635" s="375">
        <v>0</v>
      </c>
      <c r="BC635" s="375">
        <v>0</v>
      </c>
      <c r="BD635" s="375">
        <v>0</v>
      </c>
      <c r="BE635" s="375">
        <v>0</v>
      </c>
      <c r="BF635" s="375">
        <v>3227.2200000000003</v>
      </c>
      <c r="BG635" s="79"/>
      <c r="BH635" s="79">
        <v>1859.42</v>
      </c>
      <c r="BI635" s="79">
        <v>1367.8</v>
      </c>
      <c r="BJ635" s="79">
        <v>0</v>
      </c>
      <c r="BK635" s="79">
        <v>0</v>
      </c>
      <c r="BL635" s="79">
        <v>0</v>
      </c>
      <c r="BM635" s="79">
        <v>0</v>
      </c>
      <c r="BN635" s="79">
        <v>0</v>
      </c>
      <c r="BO635" s="79">
        <v>0</v>
      </c>
      <c r="BP635" s="79">
        <v>0</v>
      </c>
      <c r="BQ635" s="79">
        <v>0</v>
      </c>
      <c r="BR635" s="79">
        <v>0</v>
      </c>
      <c r="BS635" s="79">
        <v>3227.2200000000003</v>
      </c>
    </row>
    <row r="636" spans="1:71" ht="15" hidden="1" customHeight="1">
      <c r="A636" s="66" t="s">
        <v>2776</v>
      </c>
      <c r="B636" s="737" t="s">
        <v>2777</v>
      </c>
      <c r="C636" s="346"/>
      <c r="D636" s="343" t="str">
        <f>_xlfn.TEXTJOIN("_",FALSE,E636,ERP_8[[#This Row],[Expense Category]],ERP_8[[#This Row],[Project Code*]])</f>
        <v>Patel, Apurva_SOFTWARE_ColleagueSolutions001</v>
      </c>
      <c r="E636" s="343" t="s">
        <v>1566</v>
      </c>
      <c r="F636" s="346"/>
      <c r="G636" s="150" t="s">
        <v>1136</v>
      </c>
      <c r="H636" s="150" t="s">
        <v>1567</v>
      </c>
      <c r="I636" s="150" t="s">
        <v>1567</v>
      </c>
      <c r="J636" s="150" t="s">
        <v>1567</v>
      </c>
      <c r="K636" s="511" t="s">
        <v>639</v>
      </c>
      <c r="L636" s="451" t="s">
        <v>1138</v>
      </c>
      <c r="M636" s="343"/>
      <c r="N636" s="800"/>
      <c r="O636" s="70" t="s">
        <v>51</v>
      </c>
      <c r="P636" s="346" t="s">
        <v>1139</v>
      </c>
      <c r="Q636" s="346" t="s">
        <v>1140</v>
      </c>
      <c r="R636" s="346"/>
      <c r="S636" s="150" t="s">
        <v>25</v>
      </c>
      <c r="T636" s="150"/>
      <c r="U636" s="475"/>
      <c r="V636" s="406">
        <v>0</v>
      </c>
      <c r="W636" s="406">
        <v>257.52</v>
      </c>
      <c r="X636" s="425"/>
      <c r="Y636" s="71"/>
      <c r="Z636" s="794"/>
      <c r="AA636" s="794">
        <v>257.52</v>
      </c>
      <c r="AB636" s="794">
        <v>0</v>
      </c>
      <c r="AC636" s="428">
        <v>0</v>
      </c>
      <c r="AD636" s="429">
        <v>0</v>
      </c>
      <c r="AE636" s="429">
        <v>0</v>
      </c>
      <c r="AF636" s="429">
        <v>0</v>
      </c>
      <c r="AG636" s="360">
        <v>0</v>
      </c>
      <c r="AH636" s="360">
        <v>0</v>
      </c>
      <c r="AI636" s="360">
        <v>0</v>
      </c>
      <c r="AJ636" s="360">
        <v>0</v>
      </c>
      <c r="AK636" s="360">
        <v>0</v>
      </c>
      <c r="AL636" s="360">
        <f t="shared" si="34"/>
        <v>257.52</v>
      </c>
      <c r="AM636" s="455">
        <f>ERP_8[[#This Row],[2026 Working Total]]-ERP_8[[#This Row],[LE2 Final Submission]]</f>
        <v>0</v>
      </c>
      <c r="AN636" s="79">
        <v>0</v>
      </c>
      <c r="AO636" s="79">
        <f t="shared" si="35"/>
        <v>0</v>
      </c>
      <c r="AP636" s="374">
        <f>SUM(ERP_8[[#This Row],[AP01]:[AP07]])-SUM(ERP_8[[#This Row],[AP01 LE2]:[AP07 LE2]])</f>
        <v>0</v>
      </c>
      <c r="AQ636" s="80"/>
      <c r="AR636" s="79">
        <f>ERP_8[[#This Row],[2026 Working Total to Budget/LE]]-ERP_8[[#This Row],[Giveback]]</f>
        <v>0</v>
      </c>
      <c r="AS636" s="81"/>
      <c r="AT636" s="375"/>
      <c r="AU636" s="375">
        <v>257.52</v>
      </c>
      <c r="AV636" s="375">
        <v>0</v>
      </c>
      <c r="AW636" s="375">
        <v>0</v>
      </c>
      <c r="AX636" s="375">
        <v>0</v>
      </c>
      <c r="AY636" s="375">
        <v>0</v>
      </c>
      <c r="AZ636" s="375">
        <v>0</v>
      </c>
      <c r="BA636" s="375">
        <v>0</v>
      </c>
      <c r="BB636" s="375">
        <v>0</v>
      </c>
      <c r="BC636" s="375">
        <v>0</v>
      </c>
      <c r="BD636" s="375">
        <v>0</v>
      </c>
      <c r="BE636" s="375">
        <v>0</v>
      </c>
      <c r="BF636" s="375">
        <v>257.52</v>
      </c>
      <c r="BG636" s="79"/>
      <c r="BH636" s="79">
        <v>257.52</v>
      </c>
      <c r="BI636" s="79">
        <v>0</v>
      </c>
      <c r="BJ636" s="79">
        <v>0</v>
      </c>
      <c r="BK636" s="79">
        <v>0</v>
      </c>
      <c r="BL636" s="79">
        <v>0</v>
      </c>
      <c r="BM636" s="79">
        <v>0</v>
      </c>
      <c r="BN636" s="79">
        <v>0</v>
      </c>
      <c r="BO636" s="79">
        <v>0</v>
      </c>
      <c r="BP636" s="79">
        <v>0</v>
      </c>
      <c r="BQ636" s="79">
        <v>0</v>
      </c>
      <c r="BR636" s="79">
        <v>0</v>
      </c>
      <c r="BS636" s="79">
        <v>257.52</v>
      </c>
    </row>
    <row r="637" spans="1:71" ht="15" hidden="1" customHeight="1">
      <c r="A637" s="66" t="s">
        <v>2778</v>
      </c>
      <c r="B637" s="737" t="s">
        <v>2779</v>
      </c>
      <c r="C637" s="346"/>
      <c r="D637" s="343" t="str">
        <f>_xlfn.TEXTJOIN("_",FALSE,E637,ERP_8[[#This Row],[Expense Category]],ERP_8[[#This Row],[Project Code*]])</f>
        <v>Patel, Apurva_SOFTWARE_ERP_Amort001</v>
      </c>
      <c r="E637" s="343" t="s">
        <v>1566</v>
      </c>
      <c r="F637" s="346"/>
      <c r="G637" s="150" t="s">
        <v>1136</v>
      </c>
      <c r="H637" s="150" t="s">
        <v>1567</v>
      </c>
      <c r="I637" s="150" t="s">
        <v>1567</v>
      </c>
      <c r="J637" s="150" t="s">
        <v>1567</v>
      </c>
      <c r="K637" s="511" t="s">
        <v>639</v>
      </c>
      <c r="L637" s="451" t="s">
        <v>2780</v>
      </c>
      <c r="M637" s="343"/>
      <c r="N637" s="800"/>
      <c r="O637" s="70" t="s">
        <v>999</v>
      </c>
      <c r="P637" s="346"/>
      <c r="Q637" s="346" t="s">
        <v>1140</v>
      </c>
      <c r="R637" s="346"/>
      <c r="S637" s="150" t="s">
        <v>1000</v>
      </c>
      <c r="T637" s="150"/>
      <c r="U637" s="551"/>
      <c r="V637" s="407">
        <v>0</v>
      </c>
      <c r="W637" s="407">
        <v>0</v>
      </c>
      <c r="X637" s="425"/>
      <c r="Y637" s="71"/>
      <c r="Z637" s="794">
        <v>16675.14</v>
      </c>
      <c r="AA637" s="794">
        <v>0</v>
      </c>
      <c r="AB637" s="794">
        <v>-16675.14</v>
      </c>
      <c r="AC637" s="428" t="s">
        <v>1142</v>
      </c>
      <c r="AD637" s="429">
        <v>0</v>
      </c>
      <c r="AE637" s="429">
        <v>0</v>
      </c>
      <c r="AF637" s="429" t="s">
        <v>1142</v>
      </c>
      <c r="AG637" s="363"/>
      <c r="AH637" s="363"/>
      <c r="AI637" s="363"/>
      <c r="AJ637" s="363"/>
      <c r="AK637" s="363"/>
      <c r="AL637" s="360">
        <f t="shared" si="34"/>
        <v>0</v>
      </c>
      <c r="AM637" s="455">
        <f>ERP_8[[#This Row],[2026 Working Total]]-ERP_8[[#This Row],[LE2 Final Submission]]</f>
        <v>0</v>
      </c>
      <c r="AN637" s="79">
        <v>0</v>
      </c>
      <c r="AO637" s="79">
        <f t="shared" si="35"/>
        <v>0</v>
      </c>
      <c r="AP637" s="374">
        <f>SUM(ERP_8[[#This Row],[AP01]:[AP07]])-SUM(ERP_8[[#This Row],[AP01 LE2]:[AP07 LE2]])</f>
        <v>0</v>
      </c>
      <c r="AQ637" s="80"/>
      <c r="AR637" s="79">
        <f>ERP_8[[#This Row],[2026 Working Total to Budget/LE]]-ERP_8[[#This Row],[Giveback]]</f>
        <v>0</v>
      </c>
      <c r="AS637" s="81"/>
      <c r="AT637" s="375">
        <v>16675.14</v>
      </c>
      <c r="AU637" s="375">
        <v>0</v>
      </c>
      <c r="AV637" s="375">
        <v>-16675.14</v>
      </c>
      <c r="AW637" s="375"/>
      <c r="AX637" s="375"/>
      <c r="AY637" s="375"/>
      <c r="AZ637" s="375"/>
      <c r="BA637" s="375"/>
      <c r="BB637" s="375"/>
      <c r="BC637" s="375"/>
      <c r="BD637" s="375"/>
      <c r="BE637" s="375"/>
      <c r="BF637" s="375">
        <v>0</v>
      </c>
      <c r="BG637" s="79">
        <v>16675.14</v>
      </c>
      <c r="BH637" s="79">
        <v>0</v>
      </c>
      <c r="BI637" s="79">
        <v>-16675.14</v>
      </c>
      <c r="BJ637" s="79"/>
      <c r="BK637" s="79"/>
      <c r="BL637" s="79"/>
      <c r="BM637" s="79"/>
      <c r="BN637" s="79"/>
      <c r="BO637" s="79"/>
      <c r="BP637" s="79"/>
      <c r="BQ637" s="79"/>
      <c r="BR637" s="79"/>
      <c r="BS637" s="79">
        <v>0</v>
      </c>
    </row>
    <row r="638" spans="1:71" ht="15" hidden="1" customHeight="1">
      <c r="A638" s="150" t="s">
        <v>2781</v>
      </c>
      <c r="B638" s="749" t="s">
        <v>2782</v>
      </c>
      <c r="C638" s="348"/>
      <c r="D638" s="347" t="str">
        <f>_xlfn.TEXTJOIN("_",FALSE,E638,ERP_8[[#This Row],[Expense Category]],ERP_8[[#This Row],[Project Code*]])</f>
        <v>Patel, Apurva_SOFTWARE_IT-FGS0299-OG-US-00</v>
      </c>
      <c r="E638" s="347" t="s">
        <v>1566</v>
      </c>
      <c r="F638" s="348"/>
      <c r="G638" s="150" t="s">
        <v>1136</v>
      </c>
      <c r="H638" s="150" t="s">
        <v>1345</v>
      </c>
      <c r="I638" s="150" t="s">
        <v>1346</v>
      </c>
      <c r="J638" s="331" t="s">
        <v>1346</v>
      </c>
      <c r="K638" s="514" t="s">
        <v>639</v>
      </c>
      <c r="L638" s="401" t="s">
        <v>2783</v>
      </c>
      <c r="M638" s="333"/>
      <c r="N638" s="467" t="s">
        <v>1499</v>
      </c>
      <c r="O638" s="90" t="s">
        <v>365</v>
      </c>
      <c r="P638" s="347"/>
      <c r="Q638" s="347"/>
      <c r="R638" s="348"/>
      <c r="S638" s="348"/>
      <c r="T638" s="348"/>
      <c r="U638" s="440"/>
      <c r="V638" s="406"/>
      <c r="W638" s="406"/>
      <c r="X638" s="425"/>
      <c r="Y638" s="71"/>
      <c r="Z638" s="794"/>
      <c r="AA638" s="780"/>
      <c r="AB638" s="780"/>
      <c r="AC638" s="429"/>
      <c r="AD638" s="429">
        <v>200</v>
      </c>
      <c r="AE638" s="429">
        <v>223.09</v>
      </c>
      <c r="AF638" s="429">
        <v>0</v>
      </c>
      <c r="AG638" s="364"/>
      <c r="AH638" s="364"/>
      <c r="AI638" s="364"/>
      <c r="AJ638" s="364"/>
      <c r="AK638" s="364"/>
      <c r="AL638" s="360">
        <f t="shared" si="34"/>
        <v>423.09000000000003</v>
      </c>
      <c r="AM638" s="455">
        <f>ERP_8[[#This Row],[2026 Working Total]]-ERP_8[[#This Row],[LE2 Final Submission]]</f>
        <v>423.09000000000003</v>
      </c>
      <c r="AN638" s="79"/>
      <c r="AO638" s="79">
        <f t="shared" si="35"/>
        <v>223.09</v>
      </c>
      <c r="AP638" s="374">
        <f>SUM(ERP_8[[#This Row],[AP01]:[AP07]])-SUM(ERP_8[[#This Row],[AP01 LE2]:[AP07 LE2]])</f>
        <v>423.09000000000003</v>
      </c>
      <c r="AQ638" s="80"/>
      <c r="AR638" s="79">
        <f>ERP_8[[#This Row],[2026 Working Total to Budget/LE]]-ERP_8[[#This Row],[Giveback]]</f>
        <v>423.09000000000003</v>
      </c>
      <c r="AS638" s="81"/>
      <c r="AT638" s="375"/>
      <c r="AU638" s="375"/>
      <c r="AV638" s="375"/>
      <c r="AW638" s="375"/>
      <c r="AX638" s="375"/>
      <c r="AY638" s="375"/>
      <c r="AZ638" s="375"/>
      <c r="BA638" s="375"/>
      <c r="BB638" s="375"/>
      <c r="BC638" s="375"/>
      <c r="BD638" s="375"/>
      <c r="BE638" s="375"/>
      <c r="BF638" s="375"/>
      <c r="BG638" s="79"/>
      <c r="BH638" s="79"/>
      <c r="BI638" s="79"/>
      <c r="BJ638" s="79"/>
      <c r="BK638" s="79"/>
      <c r="BL638" s="79"/>
      <c r="BM638" s="79"/>
      <c r="BN638" s="79"/>
      <c r="BO638" s="79"/>
      <c r="BP638" s="79"/>
      <c r="BQ638" s="79"/>
      <c r="BR638" s="79"/>
      <c r="BS638" s="79"/>
    </row>
    <row r="639" spans="1:71" ht="15" hidden="1" customHeight="1">
      <c r="A639" s="66" t="s">
        <v>2784</v>
      </c>
      <c r="B639" s="737" t="s">
        <v>2785</v>
      </c>
      <c r="C639" s="346"/>
      <c r="D639" s="343" t="str">
        <f>_xlfn.TEXTJOIN("_",FALSE,E639,ERP_8[[#This Row],[Expense Category]],ERP_8[[#This Row],[Project Code*]])</f>
        <v>Patel, Apurva_SOFTWARE_IT-FGS0300-SW-US-00</v>
      </c>
      <c r="E639" s="343" t="s">
        <v>1566</v>
      </c>
      <c r="F639" s="346"/>
      <c r="G639" s="150" t="s">
        <v>1136</v>
      </c>
      <c r="H639" s="150" t="s">
        <v>1345</v>
      </c>
      <c r="I639" s="150" t="s">
        <v>1346</v>
      </c>
      <c r="J639" s="150" t="s">
        <v>1346</v>
      </c>
      <c r="K639" s="511" t="s">
        <v>639</v>
      </c>
      <c r="L639" s="451" t="s">
        <v>2285</v>
      </c>
      <c r="M639" s="343"/>
      <c r="N639" s="800"/>
      <c r="O639" s="70" t="s">
        <v>676</v>
      </c>
      <c r="P639" s="346"/>
      <c r="Q639" s="346" t="s">
        <v>1140</v>
      </c>
      <c r="R639" s="346"/>
      <c r="S639" s="150" t="s">
        <v>677</v>
      </c>
      <c r="T639" s="150"/>
      <c r="U639" s="453"/>
      <c r="V639" s="406">
        <v>6000</v>
      </c>
      <c r="W639" s="406">
        <v>13404.42</v>
      </c>
      <c r="X639" s="425"/>
      <c r="Y639" s="71"/>
      <c r="Z639" s="794">
        <v>542.75</v>
      </c>
      <c r="AA639" s="780">
        <v>6823.51</v>
      </c>
      <c r="AB639" s="780">
        <v>1538.16</v>
      </c>
      <c r="AC639" s="428">
        <v>1141.3400000000001</v>
      </c>
      <c r="AD639" s="429">
        <v>2127.96</v>
      </c>
      <c r="AE639" s="429">
        <v>672.49</v>
      </c>
      <c r="AF639" s="429">
        <v>211.45</v>
      </c>
      <c r="AG639" s="363">
        <v>500</v>
      </c>
      <c r="AH639" s="363">
        <v>500</v>
      </c>
      <c r="AI639" s="363">
        <v>500</v>
      </c>
      <c r="AJ639" s="363">
        <v>500</v>
      </c>
      <c r="AK639" s="363">
        <v>500</v>
      </c>
      <c r="AL639" s="360">
        <f t="shared" si="34"/>
        <v>15557.660000000002</v>
      </c>
      <c r="AM639" s="455">
        <f>ERP_8[[#This Row],[2026 Working Total]]-ERP_8[[#This Row],[LE2 Final Submission]]</f>
        <v>2153.2400000000016</v>
      </c>
      <c r="AN639" s="79">
        <v>500</v>
      </c>
      <c r="AO639" s="79">
        <f t="shared" si="35"/>
        <v>172.49</v>
      </c>
      <c r="AP639" s="374">
        <f>SUM(ERP_8[[#This Row],[AP01]:[AP07]])-SUM(ERP_8[[#This Row],[AP01 LE2]:[AP07 LE2]])</f>
        <v>2153.2400000000016</v>
      </c>
      <c r="AQ639" s="80"/>
      <c r="AR639" s="79">
        <f>ERP_8[[#This Row],[2026 Working Total to Budget/LE]]-ERP_8[[#This Row],[Giveback]]</f>
        <v>2153.2400000000016</v>
      </c>
      <c r="AS639" s="81"/>
      <c r="AT639" s="375">
        <v>542.75</v>
      </c>
      <c r="AU639" s="375">
        <v>6823.51</v>
      </c>
      <c r="AV639" s="375">
        <v>1538.16</v>
      </c>
      <c r="AW639" s="375">
        <v>500</v>
      </c>
      <c r="AX639" s="375">
        <v>500</v>
      </c>
      <c r="AY639" s="375">
        <v>500</v>
      </c>
      <c r="AZ639" s="375">
        <v>500</v>
      </c>
      <c r="BA639" s="375">
        <v>500</v>
      </c>
      <c r="BB639" s="375">
        <v>500</v>
      </c>
      <c r="BC639" s="375">
        <v>500</v>
      </c>
      <c r="BD639" s="375">
        <v>500</v>
      </c>
      <c r="BE639" s="375">
        <v>500</v>
      </c>
      <c r="BF639" s="375">
        <v>13404.42</v>
      </c>
      <c r="BG639" s="79">
        <v>542.75</v>
      </c>
      <c r="BH639" s="79">
        <v>6823.51</v>
      </c>
      <c r="BI639" s="79">
        <v>1538.16</v>
      </c>
      <c r="BJ639" s="79">
        <v>500</v>
      </c>
      <c r="BK639" s="79">
        <v>500</v>
      </c>
      <c r="BL639" s="79">
        <v>500</v>
      </c>
      <c r="BM639" s="79">
        <v>500</v>
      </c>
      <c r="BN639" s="79">
        <v>500</v>
      </c>
      <c r="BO639" s="79">
        <v>500</v>
      </c>
      <c r="BP639" s="79">
        <v>500</v>
      </c>
      <c r="BQ639" s="79">
        <v>500</v>
      </c>
      <c r="BR639" s="79">
        <v>500</v>
      </c>
      <c r="BS639" s="79">
        <v>13404.42</v>
      </c>
    </row>
    <row r="640" spans="1:71" ht="15" hidden="1" customHeight="1">
      <c r="A640" s="66" t="s">
        <v>2786</v>
      </c>
      <c r="B640" s="737" t="s">
        <v>2787</v>
      </c>
      <c r="C640" s="346"/>
      <c r="D640" s="343" t="str">
        <f>_xlfn.TEXTJOIN("_",FALSE,E640,ERP_8[[#This Row],[Expense Category]],ERP_8[[#This Row],[Project Code*]])</f>
        <v>Patel, Apurva_SOFTWARE_IT-FGS0300-SW-US-00</v>
      </c>
      <c r="E640" s="343" t="s">
        <v>1566</v>
      </c>
      <c r="F640" s="346"/>
      <c r="G640" s="150" t="s">
        <v>1136</v>
      </c>
      <c r="H640" s="334" t="s">
        <v>1567</v>
      </c>
      <c r="I640" s="334" t="s">
        <v>1567</v>
      </c>
      <c r="J640" s="334" t="s">
        <v>1567</v>
      </c>
      <c r="K640" s="511" t="s">
        <v>639</v>
      </c>
      <c r="L640" s="451" t="s">
        <v>2285</v>
      </c>
      <c r="M640" s="343"/>
      <c r="N640" s="800"/>
      <c r="O640" s="70" t="s">
        <v>676</v>
      </c>
      <c r="P640" s="346"/>
      <c r="Q640" s="346" t="s">
        <v>1140</v>
      </c>
      <c r="R640" s="346"/>
      <c r="S640" s="150" t="s">
        <v>677</v>
      </c>
      <c r="T640" s="150"/>
      <c r="U640" s="453"/>
      <c r="V640" s="406">
        <v>0</v>
      </c>
      <c r="W640" s="406">
        <v>934.17</v>
      </c>
      <c r="X640" s="425"/>
      <c r="Y640" s="71"/>
      <c r="Z640" s="794">
        <v>253.17</v>
      </c>
      <c r="AA640" s="794">
        <v>681</v>
      </c>
      <c r="AB640" s="794">
        <v>0</v>
      </c>
      <c r="AC640" s="428">
        <v>0</v>
      </c>
      <c r="AD640" s="429">
        <v>681</v>
      </c>
      <c r="AE640" s="429">
        <v>0</v>
      </c>
      <c r="AF640" s="429">
        <v>0</v>
      </c>
      <c r="AG640" s="360">
        <v>0</v>
      </c>
      <c r="AH640" s="360">
        <v>0</v>
      </c>
      <c r="AI640" s="360">
        <v>0</v>
      </c>
      <c r="AJ640" s="360">
        <v>0</v>
      </c>
      <c r="AK640" s="360">
        <v>0</v>
      </c>
      <c r="AL640" s="360">
        <f t="shared" si="34"/>
        <v>1615.17</v>
      </c>
      <c r="AM640" s="455">
        <f>ERP_8[[#This Row],[2026 Working Total]]-ERP_8[[#This Row],[LE2 Final Submission]]</f>
        <v>681.00000000000011</v>
      </c>
      <c r="AN640" s="79">
        <v>0</v>
      </c>
      <c r="AO640" s="79">
        <f t="shared" si="35"/>
        <v>0</v>
      </c>
      <c r="AP640" s="374">
        <f>SUM(ERP_8[[#This Row],[AP01]:[AP07]])-SUM(ERP_8[[#This Row],[AP01 LE2]:[AP07 LE2]])</f>
        <v>681.00000000000011</v>
      </c>
      <c r="AQ640" s="80"/>
      <c r="AR640" s="79">
        <f>ERP_8[[#This Row],[2026 Working Total to Budget/LE]]-ERP_8[[#This Row],[Giveback]]</f>
        <v>681.00000000000011</v>
      </c>
      <c r="AS640" s="81"/>
      <c r="AT640" s="375">
        <v>253.17</v>
      </c>
      <c r="AU640" s="375">
        <v>681</v>
      </c>
      <c r="AV640" s="375">
        <v>0</v>
      </c>
      <c r="AW640" s="375">
        <v>0</v>
      </c>
      <c r="AX640" s="375">
        <v>0</v>
      </c>
      <c r="AY640" s="375">
        <v>0</v>
      </c>
      <c r="AZ640" s="375">
        <v>0</v>
      </c>
      <c r="BA640" s="375">
        <v>0</v>
      </c>
      <c r="BB640" s="375">
        <v>0</v>
      </c>
      <c r="BC640" s="375">
        <v>0</v>
      </c>
      <c r="BD640" s="375">
        <v>0</v>
      </c>
      <c r="BE640" s="375">
        <v>0</v>
      </c>
      <c r="BF640" s="375">
        <v>934.17</v>
      </c>
      <c r="BG640" s="79">
        <v>253.17</v>
      </c>
      <c r="BH640" s="79">
        <v>681</v>
      </c>
      <c r="BI640" s="79">
        <v>0</v>
      </c>
      <c r="BJ640" s="79">
        <v>0</v>
      </c>
      <c r="BK640" s="79">
        <v>0</v>
      </c>
      <c r="BL640" s="79">
        <v>0</v>
      </c>
      <c r="BM640" s="79">
        <v>0</v>
      </c>
      <c r="BN640" s="79">
        <v>0</v>
      </c>
      <c r="BO640" s="79">
        <v>0</v>
      </c>
      <c r="BP640" s="79">
        <v>0</v>
      </c>
      <c r="BQ640" s="79">
        <v>0</v>
      </c>
      <c r="BR640" s="79">
        <v>0</v>
      </c>
      <c r="BS640" s="79">
        <v>934.17</v>
      </c>
    </row>
    <row r="641" spans="1:71" ht="15" hidden="1" customHeight="1">
      <c r="A641" s="66" t="s">
        <v>2788</v>
      </c>
      <c r="B641" s="737" t="s">
        <v>2789</v>
      </c>
      <c r="C641" s="346"/>
      <c r="D641" s="343" t="str">
        <f>_xlfn.TEXTJOIN("_",FALSE,E641,ERP_8[[#This Row],[Expense Category]],ERP_8[[#This Row],[Project Code*]])</f>
        <v>Patel, Apurva_SOFTWARE_IT-FGS0302-SW-US-00</v>
      </c>
      <c r="E641" s="343" t="s">
        <v>1566</v>
      </c>
      <c r="F641" s="346"/>
      <c r="G641" s="150" t="s">
        <v>1136</v>
      </c>
      <c r="H641" s="150" t="s">
        <v>1345</v>
      </c>
      <c r="I641" s="150" t="s">
        <v>1346</v>
      </c>
      <c r="J641" s="150" t="s">
        <v>1346</v>
      </c>
      <c r="K641" s="511" t="s">
        <v>639</v>
      </c>
      <c r="L641" s="451" t="s">
        <v>2291</v>
      </c>
      <c r="M641" s="343"/>
      <c r="N641" s="800"/>
      <c r="O641" s="70" t="s">
        <v>679</v>
      </c>
      <c r="P641" s="346"/>
      <c r="Q641" s="346" t="s">
        <v>1140</v>
      </c>
      <c r="R641" s="346"/>
      <c r="S641" s="150" t="s">
        <v>680</v>
      </c>
      <c r="T641" s="150"/>
      <c r="U641" s="453"/>
      <c r="V641" s="406">
        <v>36000</v>
      </c>
      <c r="W641" s="406">
        <v>46414.39</v>
      </c>
      <c r="X641" s="430"/>
      <c r="Y641" s="137"/>
      <c r="Z641" s="794">
        <v>6465</v>
      </c>
      <c r="AA641" s="780">
        <v>5197.6400000000003</v>
      </c>
      <c r="AB641" s="780">
        <v>7751.75</v>
      </c>
      <c r="AC641" s="428">
        <v>17671</v>
      </c>
      <c r="AD641" s="429">
        <v>9482</v>
      </c>
      <c r="AE641" s="429">
        <v>14223</v>
      </c>
      <c r="AF641" s="429">
        <v>6807.42</v>
      </c>
      <c r="AG641" s="363">
        <v>3000</v>
      </c>
      <c r="AH641" s="363">
        <v>3000</v>
      </c>
      <c r="AI641" s="363">
        <v>3000</v>
      </c>
      <c r="AJ641" s="363">
        <v>3000</v>
      </c>
      <c r="AK641" s="363">
        <v>3000</v>
      </c>
      <c r="AL641" s="360">
        <f t="shared" si="34"/>
        <v>82597.81</v>
      </c>
      <c r="AM641" s="455">
        <f>ERP_8[[#This Row],[2026 Working Total]]-ERP_8[[#This Row],[LE2 Final Submission]]</f>
        <v>36183.42</v>
      </c>
      <c r="AN641" s="79">
        <v>3000</v>
      </c>
      <c r="AO641" s="79">
        <f t="shared" si="35"/>
        <v>11223</v>
      </c>
      <c r="AP641" s="374">
        <f>SUM(ERP_8[[#This Row],[AP01]:[AP07]])-SUM(ERP_8[[#This Row],[AP01 LE2]:[AP07 LE2]])</f>
        <v>36183.42</v>
      </c>
      <c r="AQ641" s="80"/>
      <c r="AR641" s="79">
        <f>ERP_8[[#This Row],[2026 Working Total to Budget/LE]]-ERP_8[[#This Row],[Giveback]]</f>
        <v>36183.42</v>
      </c>
      <c r="AS641" s="81"/>
      <c r="AT641" s="375">
        <v>6465</v>
      </c>
      <c r="AU641" s="375">
        <v>5197.6400000000003</v>
      </c>
      <c r="AV641" s="375">
        <v>7751.75</v>
      </c>
      <c r="AW641" s="375">
        <v>3000</v>
      </c>
      <c r="AX641" s="375">
        <v>3000</v>
      </c>
      <c r="AY641" s="375">
        <v>3000</v>
      </c>
      <c r="AZ641" s="375">
        <v>3000</v>
      </c>
      <c r="BA641" s="375">
        <v>3000</v>
      </c>
      <c r="BB641" s="375">
        <v>3000</v>
      </c>
      <c r="BC641" s="375">
        <v>3000</v>
      </c>
      <c r="BD641" s="375">
        <v>3000</v>
      </c>
      <c r="BE641" s="375">
        <v>3000</v>
      </c>
      <c r="BF641" s="375">
        <v>46414.39</v>
      </c>
      <c r="BG641" s="79">
        <v>6465</v>
      </c>
      <c r="BH641" s="79">
        <v>5197.6400000000003</v>
      </c>
      <c r="BI641" s="79">
        <v>7751.75</v>
      </c>
      <c r="BJ641" s="79">
        <v>3000</v>
      </c>
      <c r="BK641" s="79">
        <v>3000</v>
      </c>
      <c r="BL641" s="79">
        <v>3000</v>
      </c>
      <c r="BM641" s="79">
        <v>3000</v>
      </c>
      <c r="BN641" s="79">
        <v>3000</v>
      </c>
      <c r="BO641" s="79">
        <v>3000</v>
      </c>
      <c r="BP641" s="79">
        <v>3000</v>
      </c>
      <c r="BQ641" s="79">
        <v>3000</v>
      </c>
      <c r="BR641" s="79">
        <v>3000</v>
      </c>
      <c r="BS641" s="79">
        <v>46414.39</v>
      </c>
    </row>
    <row r="642" spans="1:71" ht="15" hidden="1" customHeight="1">
      <c r="A642" s="66" t="s">
        <v>2790</v>
      </c>
      <c r="B642" s="737" t="s">
        <v>2791</v>
      </c>
      <c r="C642" s="346"/>
      <c r="D642" s="343" t="str">
        <f>_xlfn.TEXTJOIN("_",FALSE,E642,ERP_8[[#This Row],[Expense Category]],ERP_8[[#This Row],[Project Code*]])</f>
        <v>Patel, Apurva_SOFTWARE_IT-FGS0302-SW-US-00</v>
      </c>
      <c r="E642" s="343" t="s">
        <v>1566</v>
      </c>
      <c r="F642" s="346"/>
      <c r="G642" s="150" t="s">
        <v>1136</v>
      </c>
      <c r="H642" s="150" t="s">
        <v>1567</v>
      </c>
      <c r="I642" s="150" t="s">
        <v>1567</v>
      </c>
      <c r="J642" s="150" t="s">
        <v>1567</v>
      </c>
      <c r="K642" s="511" t="s">
        <v>639</v>
      </c>
      <c r="L642" s="451" t="s">
        <v>2291</v>
      </c>
      <c r="M642" s="343"/>
      <c r="N642" s="800"/>
      <c r="O642" s="70" t="s">
        <v>679</v>
      </c>
      <c r="P642" s="346"/>
      <c r="Q642" s="346" t="s">
        <v>1140</v>
      </c>
      <c r="R642" s="346"/>
      <c r="S642" s="150" t="s">
        <v>680</v>
      </c>
      <c r="T642" s="150"/>
      <c r="U642" s="453"/>
      <c r="V642" s="406">
        <v>0</v>
      </c>
      <c r="W642" s="406">
        <v>2155</v>
      </c>
      <c r="X642" s="425"/>
      <c r="Y642" s="71"/>
      <c r="Z642" s="794"/>
      <c r="AA642" s="794"/>
      <c r="AB642" s="794">
        <v>2155</v>
      </c>
      <c r="AC642" s="428">
        <v>0</v>
      </c>
      <c r="AD642" s="429">
        <v>0</v>
      </c>
      <c r="AE642" s="429">
        <v>0</v>
      </c>
      <c r="AF642" s="429">
        <v>0</v>
      </c>
      <c r="AG642" s="360">
        <v>0</v>
      </c>
      <c r="AH642" s="360">
        <v>0</v>
      </c>
      <c r="AI642" s="360">
        <v>0</v>
      </c>
      <c r="AJ642" s="360">
        <v>0</v>
      </c>
      <c r="AK642" s="360">
        <v>0</v>
      </c>
      <c r="AL642" s="360">
        <f t="shared" si="34"/>
        <v>2155</v>
      </c>
      <c r="AM642" s="455">
        <f>ERP_8[[#This Row],[2026 Working Total]]-ERP_8[[#This Row],[LE2 Final Submission]]</f>
        <v>0</v>
      </c>
      <c r="AN642" s="79">
        <v>0</v>
      </c>
      <c r="AO642" s="79">
        <f t="shared" si="35"/>
        <v>0</v>
      </c>
      <c r="AP642" s="374">
        <f>SUM(ERP_8[[#This Row],[AP01]:[AP07]])-SUM(ERP_8[[#This Row],[AP01 LE2]:[AP07 LE2]])</f>
        <v>0</v>
      </c>
      <c r="AQ642" s="80"/>
      <c r="AR642" s="79">
        <f>ERP_8[[#This Row],[2026 Working Total to Budget/LE]]-ERP_8[[#This Row],[Giveback]]</f>
        <v>0</v>
      </c>
      <c r="AS642" s="81"/>
      <c r="AT642" s="375"/>
      <c r="AU642" s="375"/>
      <c r="AV642" s="375">
        <v>2155</v>
      </c>
      <c r="AW642" s="375">
        <v>0</v>
      </c>
      <c r="AX642" s="375">
        <v>0</v>
      </c>
      <c r="AY642" s="375">
        <v>0</v>
      </c>
      <c r="AZ642" s="375">
        <v>0</v>
      </c>
      <c r="BA642" s="375">
        <v>0</v>
      </c>
      <c r="BB642" s="375">
        <v>0</v>
      </c>
      <c r="BC642" s="375">
        <v>0</v>
      </c>
      <c r="BD642" s="375">
        <v>0</v>
      </c>
      <c r="BE642" s="375">
        <v>0</v>
      </c>
      <c r="BF642" s="375">
        <v>2155</v>
      </c>
      <c r="BG642" s="79"/>
      <c r="BH642" s="79"/>
      <c r="BI642" s="79">
        <v>2155</v>
      </c>
      <c r="BJ642" s="79">
        <v>0</v>
      </c>
      <c r="BK642" s="79">
        <v>0</v>
      </c>
      <c r="BL642" s="79">
        <v>0</v>
      </c>
      <c r="BM642" s="79">
        <v>0</v>
      </c>
      <c r="BN642" s="79">
        <v>0</v>
      </c>
      <c r="BO642" s="79">
        <v>0</v>
      </c>
      <c r="BP642" s="79">
        <v>0</v>
      </c>
      <c r="BQ642" s="79">
        <v>0</v>
      </c>
      <c r="BR642" s="79">
        <v>0</v>
      </c>
      <c r="BS642" s="79">
        <v>2155</v>
      </c>
    </row>
    <row r="643" spans="1:71" ht="15" hidden="1" customHeight="1">
      <c r="A643" s="66" t="s">
        <v>2792</v>
      </c>
      <c r="B643" s="737" t="s">
        <v>2793</v>
      </c>
      <c r="C643" s="346"/>
      <c r="D643" s="343" t="str">
        <f>_xlfn.TEXTJOIN("_",FALSE,E643,ERP_8[[#This Row],[Expense Category]],ERP_8[[#This Row],[Project Code*]])</f>
        <v>Patel, Apurva_SOFTWARE_IT-SFT1194-86-OG-US</v>
      </c>
      <c r="E643" s="343" t="s">
        <v>1566</v>
      </c>
      <c r="F643" s="346"/>
      <c r="G643" s="150" t="s">
        <v>1136</v>
      </c>
      <c r="H643" s="150" t="s">
        <v>1345</v>
      </c>
      <c r="I643" s="150" t="s">
        <v>1346</v>
      </c>
      <c r="J643" s="150" t="s">
        <v>1346</v>
      </c>
      <c r="K643" s="511" t="s">
        <v>639</v>
      </c>
      <c r="L643" s="451" t="s">
        <v>818</v>
      </c>
      <c r="M643" s="343"/>
      <c r="N643" s="800"/>
      <c r="O643" s="70" t="s">
        <v>817</v>
      </c>
      <c r="P643" s="346"/>
      <c r="Q643" s="346" t="s">
        <v>1140</v>
      </c>
      <c r="R643" s="346"/>
      <c r="S643" s="150" t="s">
        <v>818</v>
      </c>
      <c r="T643" s="150"/>
      <c r="U643" s="453"/>
      <c r="V643" s="406">
        <v>0</v>
      </c>
      <c r="W643" s="406">
        <v>3886.48</v>
      </c>
      <c r="X643" s="425"/>
      <c r="Y643" s="71"/>
      <c r="Z643" s="794"/>
      <c r="AA643" s="780"/>
      <c r="AB643" s="780">
        <v>3886.48</v>
      </c>
      <c r="AC643" s="428">
        <v>174.65</v>
      </c>
      <c r="AD643" s="429">
        <v>0</v>
      </c>
      <c r="AE643" s="429">
        <v>3826.04</v>
      </c>
      <c r="AF643" s="429">
        <v>797.57</v>
      </c>
      <c r="AG643" s="360">
        <v>0</v>
      </c>
      <c r="AH643" s="360">
        <v>0</v>
      </c>
      <c r="AI643" s="360">
        <v>0</v>
      </c>
      <c r="AJ643" s="360">
        <v>0</v>
      </c>
      <c r="AK643" s="360">
        <v>0</v>
      </c>
      <c r="AL643" s="360">
        <f t="shared" si="34"/>
        <v>8684.74</v>
      </c>
      <c r="AM643" s="455">
        <f>ERP_8[[#This Row],[2026 Working Total]]-ERP_8[[#This Row],[LE2 Final Submission]]</f>
        <v>4798.26</v>
      </c>
      <c r="AN643" s="79">
        <v>0</v>
      </c>
      <c r="AO643" s="79">
        <f t="shared" si="35"/>
        <v>3826.04</v>
      </c>
      <c r="AP643" s="374">
        <f>SUM(ERP_8[[#This Row],[AP01]:[AP07]])-SUM(ERP_8[[#This Row],[AP01 LE2]:[AP07 LE2]])</f>
        <v>4798.26</v>
      </c>
      <c r="AQ643" s="80"/>
      <c r="AR643" s="79">
        <f>ERP_8[[#This Row],[2026 Working Total to Budget/LE]]-ERP_8[[#This Row],[Giveback]]</f>
        <v>4798.26</v>
      </c>
      <c r="AS643" s="81"/>
      <c r="AT643" s="375"/>
      <c r="AU643" s="375"/>
      <c r="AV643" s="375">
        <v>3886.48</v>
      </c>
      <c r="AW643" s="375">
        <v>0</v>
      </c>
      <c r="AX643" s="375">
        <v>0</v>
      </c>
      <c r="AY643" s="375">
        <v>0</v>
      </c>
      <c r="AZ643" s="375">
        <v>0</v>
      </c>
      <c r="BA643" s="375">
        <v>0</v>
      </c>
      <c r="BB643" s="375">
        <v>0</v>
      </c>
      <c r="BC643" s="375">
        <v>0</v>
      </c>
      <c r="BD643" s="375">
        <v>0</v>
      </c>
      <c r="BE643" s="375">
        <v>0</v>
      </c>
      <c r="BF643" s="375">
        <v>3886.48</v>
      </c>
      <c r="BG643" s="79"/>
      <c r="BH643" s="79"/>
      <c r="BI643" s="79">
        <v>3886.48</v>
      </c>
      <c r="BJ643" s="79">
        <v>0</v>
      </c>
      <c r="BK643" s="79">
        <v>0</v>
      </c>
      <c r="BL643" s="79">
        <v>0</v>
      </c>
      <c r="BM643" s="79">
        <v>0</v>
      </c>
      <c r="BN643" s="79">
        <v>0</v>
      </c>
      <c r="BO643" s="79">
        <v>0</v>
      </c>
      <c r="BP643" s="79">
        <v>0</v>
      </c>
      <c r="BQ643" s="79">
        <v>0</v>
      </c>
      <c r="BR643" s="79">
        <v>0</v>
      </c>
      <c r="BS643" s="79">
        <v>3886.48</v>
      </c>
    </row>
    <row r="644" spans="1:71" ht="15" hidden="1" customHeight="1">
      <c r="A644" s="66" t="s">
        <v>2794</v>
      </c>
      <c r="B644" s="737" t="s">
        <v>2795</v>
      </c>
      <c r="C644" s="346"/>
      <c r="D644" s="343" t="str">
        <f>_xlfn.TEXTJOIN("_",FALSE,E644,ERP_8[[#This Row],[Expense Category]],ERP_8[[#This Row],[Project Code*]])</f>
        <v>Patel, Apurva_SOFTWARE_IT-SFT1194-86-OG-US</v>
      </c>
      <c r="E644" s="343" t="s">
        <v>1566</v>
      </c>
      <c r="F644" s="346"/>
      <c r="G644" s="150" t="s">
        <v>1136</v>
      </c>
      <c r="H644" s="150" t="s">
        <v>1567</v>
      </c>
      <c r="I644" s="150" t="s">
        <v>1567</v>
      </c>
      <c r="J644" s="150" t="s">
        <v>1567</v>
      </c>
      <c r="K644" s="511" t="s">
        <v>639</v>
      </c>
      <c r="L644" s="451" t="s">
        <v>818</v>
      </c>
      <c r="M644" s="343"/>
      <c r="N644" s="800"/>
      <c r="O644" s="70" t="s">
        <v>817</v>
      </c>
      <c r="P644" s="346"/>
      <c r="Q644" s="346" t="s">
        <v>1140</v>
      </c>
      <c r="R644" s="346"/>
      <c r="S644" s="150" t="s">
        <v>818</v>
      </c>
      <c r="T644" s="150"/>
      <c r="U644" s="453"/>
      <c r="V644" s="406">
        <v>0</v>
      </c>
      <c r="W644" s="406">
        <v>95.05</v>
      </c>
      <c r="X644" s="425"/>
      <c r="Y644" s="71"/>
      <c r="Z644" s="794"/>
      <c r="AA644" s="794"/>
      <c r="AB644" s="794">
        <v>95.05</v>
      </c>
      <c r="AC644" s="428">
        <v>0</v>
      </c>
      <c r="AD644" s="429">
        <v>0</v>
      </c>
      <c r="AE644" s="429">
        <v>160.29</v>
      </c>
      <c r="AF644" s="429">
        <v>0</v>
      </c>
      <c r="AG644" s="360">
        <v>0</v>
      </c>
      <c r="AH644" s="360">
        <v>0</v>
      </c>
      <c r="AI644" s="360">
        <v>0</v>
      </c>
      <c r="AJ644" s="360">
        <v>0</v>
      </c>
      <c r="AK644" s="360">
        <v>0</v>
      </c>
      <c r="AL644" s="360">
        <f t="shared" ref="AL644:AL666" si="36">SUM(Z644:AK644)</f>
        <v>255.33999999999997</v>
      </c>
      <c r="AM644" s="455">
        <f>ERP_8[[#This Row],[2026 Working Total]]-ERP_8[[#This Row],[LE2 Final Submission]]</f>
        <v>160.28999999999996</v>
      </c>
      <c r="AN644" s="79">
        <v>0</v>
      </c>
      <c r="AO644" s="79">
        <f t="shared" si="35"/>
        <v>160.29</v>
      </c>
      <c r="AP644" s="374">
        <f>SUM(ERP_8[[#This Row],[AP01]:[AP07]])-SUM(ERP_8[[#This Row],[AP01 LE2]:[AP07 LE2]])</f>
        <v>160.28999999999996</v>
      </c>
      <c r="AQ644" s="80"/>
      <c r="AR644" s="79">
        <f>ERP_8[[#This Row],[2026 Working Total to Budget/LE]]-ERP_8[[#This Row],[Giveback]]</f>
        <v>160.28999999999996</v>
      </c>
      <c r="AS644" s="81"/>
      <c r="AT644" s="375"/>
      <c r="AU644" s="375"/>
      <c r="AV644" s="375">
        <v>95.05</v>
      </c>
      <c r="AW644" s="375">
        <v>0</v>
      </c>
      <c r="AX644" s="375">
        <v>0</v>
      </c>
      <c r="AY644" s="375">
        <v>0</v>
      </c>
      <c r="AZ644" s="375">
        <v>0</v>
      </c>
      <c r="BA644" s="375">
        <v>0</v>
      </c>
      <c r="BB644" s="375">
        <v>0</v>
      </c>
      <c r="BC644" s="375">
        <v>0</v>
      </c>
      <c r="BD644" s="375">
        <v>0</v>
      </c>
      <c r="BE644" s="375">
        <v>0</v>
      </c>
      <c r="BF644" s="375">
        <v>95.05</v>
      </c>
      <c r="BG644" s="79"/>
      <c r="BH644" s="79"/>
      <c r="BI644" s="79">
        <v>95.05</v>
      </c>
      <c r="BJ644" s="79">
        <v>0</v>
      </c>
      <c r="BK644" s="79">
        <v>0</v>
      </c>
      <c r="BL644" s="79">
        <v>0</v>
      </c>
      <c r="BM644" s="79">
        <v>0</v>
      </c>
      <c r="BN644" s="79">
        <v>0</v>
      </c>
      <c r="BO644" s="79">
        <v>0</v>
      </c>
      <c r="BP644" s="79">
        <v>0</v>
      </c>
      <c r="BQ644" s="79">
        <v>0</v>
      </c>
      <c r="BR644" s="79">
        <v>0</v>
      </c>
      <c r="BS644" s="79">
        <v>95.05</v>
      </c>
    </row>
    <row r="645" spans="1:71" ht="15" hidden="1" customHeight="1">
      <c r="A645" s="66" t="s">
        <v>2796</v>
      </c>
      <c r="B645" s="737" t="s">
        <v>2797</v>
      </c>
      <c r="C645" s="346"/>
      <c r="D645" s="343" t="str">
        <f>_xlfn.TEXTJOIN("_",FALSE,E645,ERP_8[[#This Row],[Expense Category]],ERP_8[[#This Row],[Project Code*]])</f>
        <v>Patel, Apurva_SOFTWARE_IT-SFT1220-86-OG-US</v>
      </c>
      <c r="E645" s="343" t="s">
        <v>1566</v>
      </c>
      <c r="F645" s="346"/>
      <c r="G645" s="150" t="s">
        <v>1136</v>
      </c>
      <c r="H645" s="150" t="s">
        <v>1345</v>
      </c>
      <c r="I645" s="150" t="s">
        <v>1346</v>
      </c>
      <c r="J645" s="150" t="s">
        <v>1346</v>
      </c>
      <c r="K645" s="511" t="s">
        <v>639</v>
      </c>
      <c r="L645" s="451" t="s">
        <v>2798</v>
      </c>
      <c r="M645" s="343"/>
      <c r="N645" s="800"/>
      <c r="O645" s="70" t="s">
        <v>1008</v>
      </c>
      <c r="P645" s="346"/>
      <c r="Q645" s="343"/>
      <c r="R645" s="346"/>
      <c r="S645" s="150" t="s">
        <v>57</v>
      </c>
      <c r="T645" s="150"/>
      <c r="U645" s="475"/>
      <c r="V645" s="406">
        <v>3348</v>
      </c>
      <c r="W645" s="406">
        <v>2511</v>
      </c>
      <c r="X645" s="430"/>
      <c r="Y645" s="137"/>
      <c r="Z645" s="794"/>
      <c r="AA645" s="780"/>
      <c r="AB645" s="780"/>
      <c r="AC645" s="428" t="s">
        <v>1142</v>
      </c>
      <c r="AD645" s="429">
        <v>0</v>
      </c>
      <c r="AE645" s="429">
        <v>0</v>
      </c>
      <c r="AF645" s="429" t="s">
        <v>1142</v>
      </c>
      <c r="AG645" s="363">
        <v>279</v>
      </c>
      <c r="AH645" s="363">
        <v>279</v>
      </c>
      <c r="AI645" s="363">
        <v>279</v>
      </c>
      <c r="AJ645" s="363">
        <v>279</v>
      </c>
      <c r="AK645" s="363">
        <v>279</v>
      </c>
      <c r="AL645" s="360">
        <f t="shared" si="36"/>
        <v>1395</v>
      </c>
      <c r="AM645" s="455">
        <f>ERP_8[[#This Row],[2026 Working Total]]-ERP_8[[#This Row],[LE2 Final Submission]]</f>
        <v>-1116</v>
      </c>
      <c r="AN645" s="79">
        <v>279</v>
      </c>
      <c r="AO645" s="79">
        <f t="shared" si="35"/>
        <v>-279</v>
      </c>
      <c r="AP645" s="374">
        <f>SUM(ERP_8[[#This Row],[AP01]:[AP07]])-SUM(ERP_8[[#This Row],[AP01 LE2]:[AP07 LE2]])</f>
        <v>-1116</v>
      </c>
      <c r="AQ645" s="80"/>
      <c r="AR645" s="79">
        <f>ERP_8[[#This Row],[2026 Working Total to Budget/LE]]-ERP_8[[#This Row],[Giveback]]</f>
        <v>-1116</v>
      </c>
      <c r="AS645" s="81"/>
      <c r="AT645" s="375"/>
      <c r="AU645" s="375"/>
      <c r="AV645" s="375"/>
      <c r="AW645" s="375">
        <v>279</v>
      </c>
      <c r="AX645" s="375">
        <v>279</v>
      </c>
      <c r="AY645" s="375">
        <v>279</v>
      </c>
      <c r="AZ645" s="375">
        <v>279</v>
      </c>
      <c r="BA645" s="375">
        <v>279</v>
      </c>
      <c r="BB645" s="375">
        <v>279</v>
      </c>
      <c r="BC645" s="375">
        <v>279</v>
      </c>
      <c r="BD645" s="375">
        <v>279</v>
      </c>
      <c r="BE645" s="375">
        <v>279</v>
      </c>
      <c r="BF645" s="375">
        <v>2511</v>
      </c>
      <c r="BG645" s="79"/>
      <c r="BH645" s="79"/>
      <c r="BI645" s="79"/>
      <c r="BJ645" s="79">
        <v>279</v>
      </c>
      <c r="BK645" s="79">
        <v>279</v>
      </c>
      <c r="BL645" s="79">
        <v>279</v>
      </c>
      <c r="BM645" s="79">
        <v>279</v>
      </c>
      <c r="BN645" s="79">
        <v>279</v>
      </c>
      <c r="BO645" s="79">
        <v>279</v>
      </c>
      <c r="BP645" s="79">
        <v>279</v>
      </c>
      <c r="BQ645" s="79">
        <v>279</v>
      </c>
      <c r="BR645" s="79">
        <v>279</v>
      </c>
      <c r="BS645" s="79">
        <v>2511</v>
      </c>
    </row>
    <row r="646" spans="1:71" ht="15" hidden="1" customHeight="1">
      <c r="A646" s="66" t="s">
        <v>2799</v>
      </c>
      <c r="B646" s="737" t="s">
        <v>2800</v>
      </c>
      <c r="C646" s="346"/>
      <c r="D646" s="343" t="str">
        <f>_xlfn.TEXTJOIN("_",FALSE,E646,ERP_8[[#This Row],[Expense Category]],ERP_8[[#This Row],[Project Code*]])</f>
        <v>Patel, Apurva_SOFTWARE_IT-SFT1346-OG-US-00</v>
      </c>
      <c r="E646" s="343" t="s">
        <v>1566</v>
      </c>
      <c r="F646" s="346"/>
      <c r="G646" s="150" t="s">
        <v>1136</v>
      </c>
      <c r="H646" s="150" t="s">
        <v>1345</v>
      </c>
      <c r="I646" s="150" t="s">
        <v>1346</v>
      </c>
      <c r="J646" s="150" t="s">
        <v>1346</v>
      </c>
      <c r="K646" s="511" t="s">
        <v>639</v>
      </c>
      <c r="L646" s="451" t="s">
        <v>2801</v>
      </c>
      <c r="M646" s="343"/>
      <c r="N646" s="800"/>
      <c r="O646" s="70" t="s">
        <v>1010</v>
      </c>
      <c r="P646" s="346"/>
      <c r="Q646" s="343"/>
      <c r="R646" s="346"/>
      <c r="S646" s="150" t="s">
        <v>25</v>
      </c>
      <c r="T646" s="150"/>
      <c r="U646" s="453"/>
      <c r="V646" s="406">
        <v>500</v>
      </c>
      <c r="W646" s="406">
        <v>500</v>
      </c>
      <c r="X646" s="425"/>
      <c r="Y646" s="71"/>
      <c r="Z646" s="794"/>
      <c r="AA646" s="780"/>
      <c r="AB646" s="780"/>
      <c r="AC646" s="428" t="s">
        <v>1142</v>
      </c>
      <c r="AD646" s="429">
        <v>0</v>
      </c>
      <c r="AE646" s="429">
        <v>0</v>
      </c>
      <c r="AF646" s="429" t="s">
        <v>1142</v>
      </c>
      <c r="AG646" s="363"/>
      <c r="AH646" s="363"/>
      <c r="AI646" s="363"/>
      <c r="AJ646" s="363">
        <v>500</v>
      </c>
      <c r="AK646" s="360">
        <v>0</v>
      </c>
      <c r="AL646" s="360">
        <f t="shared" si="36"/>
        <v>500</v>
      </c>
      <c r="AM646" s="455">
        <f>ERP_8[[#This Row],[2026 Working Total]]-ERP_8[[#This Row],[LE2 Final Submission]]</f>
        <v>0</v>
      </c>
      <c r="AN646" s="79"/>
      <c r="AO646" s="79">
        <f t="shared" si="35"/>
        <v>0</v>
      </c>
      <c r="AP646" s="374">
        <f>SUM(ERP_8[[#This Row],[AP01]:[AP07]])-SUM(ERP_8[[#This Row],[AP01 LE2]:[AP07 LE2]])</f>
        <v>0</v>
      </c>
      <c r="AQ646" s="80"/>
      <c r="AR646" s="79">
        <f>ERP_8[[#This Row],[2026 Working Total to Budget/LE]]-ERP_8[[#This Row],[Giveback]]</f>
        <v>0</v>
      </c>
      <c r="AS646" s="81"/>
      <c r="AT646" s="375"/>
      <c r="AU646" s="375"/>
      <c r="AV646" s="375"/>
      <c r="AW646" s="375"/>
      <c r="AX646" s="375"/>
      <c r="AY646" s="375"/>
      <c r="AZ646" s="375"/>
      <c r="BA646" s="375"/>
      <c r="BB646" s="375"/>
      <c r="BC646" s="375"/>
      <c r="BD646" s="375">
        <v>500</v>
      </c>
      <c r="BE646" s="375">
        <v>0</v>
      </c>
      <c r="BF646" s="375">
        <v>500</v>
      </c>
      <c r="BG646" s="79"/>
      <c r="BH646" s="79"/>
      <c r="BI646" s="79"/>
      <c r="BJ646" s="79"/>
      <c r="BK646" s="79"/>
      <c r="BL646" s="79"/>
      <c r="BM646" s="79"/>
      <c r="BN646" s="79"/>
      <c r="BO646" s="79"/>
      <c r="BP646" s="79"/>
      <c r="BQ646" s="79">
        <v>500</v>
      </c>
      <c r="BR646" s="79">
        <v>0</v>
      </c>
      <c r="BS646" s="79">
        <v>500</v>
      </c>
    </row>
    <row r="647" spans="1:71" s="15" customFormat="1" ht="15" hidden="1" customHeight="1">
      <c r="A647" s="66" t="s">
        <v>2802</v>
      </c>
      <c r="B647" s="737" t="s">
        <v>2803</v>
      </c>
      <c r="C647" s="346"/>
      <c r="D647" s="343" t="str">
        <f>_xlfn.TEXTJOIN("_",FALSE,E647,ERP_8[[#This Row],[Expense Category]],ERP_8[[#This Row],[Project Code*]])</f>
        <v>Patel, Apurva_SOFTWARE_IT-SFT1347-OG-US-00</v>
      </c>
      <c r="E647" s="343" t="s">
        <v>1566</v>
      </c>
      <c r="F647" s="346"/>
      <c r="G647" s="150" t="s">
        <v>1136</v>
      </c>
      <c r="H647" s="150" t="s">
        <v>1345</v>
      </c>
      <c r="I647" s="150" t="s">
        <v>1346</v>
      </c>
      <c r="J647" s="150" t="s">
        <v>1346</v>
      </c>
      <c r="K647" s="511" t="s">
        <v>639</v>
      </c>
      <c r="L647" s="451" t="s">
        <v>2804</v>
      </c>
      <c r="M647" s="343"/>
      <c r="N647" s="800"/>
      <c r="O647" s="70" t="s">
        <v>1012</v>
      </c>
      <c r="P647" s="346"/>
      <c r="Q647" s="343"/>
      <c r="R647" s="346"/>
      <c r="S647" s="150" t="s">
        <v>25</v>
      </c>
      <c r="T647" s="150"/>
      <c r="U647" s="453"/>
      <c r="V647" s="406">
        <v>130</v>
      </c>
      <c r="W647" s="406">
        <v>130</v>
      </c>
      <c r="X647" s="425"/>
      <c r="Y647" s="71"/>
      <c r="Z647" s="794"/>
      <c r="AA647" s="780"/>
      <c r="AB647" s="780"/>
      <c r="AC647" s="428" t="s">
        <v>1142</v>
      </c>
      <c r="AD647" s="429">
        <v>0</v>
      </c>
      <c r="AE647" s="429">
        <v>0</v>
      </c>
      <c r="AF647" s="429" t="s">
        <v>1142</v>
      </c>
      <c r="AG647" s="360">
        <v>0</v>
      </c>
      <c r="AH647" s="360">
        <v>0</v>
      </c>
      <c r="AI647" s="360">
        <v>0</v>
      </c>
      <c r="AJ647" s="360">
        <v>0</v>
      </c>
      <c r="AK647" s="360">
        <v>0</v>
      </c>
      <c r="AL647" s="360">
        <f t="shared" si="36"/>
        <v>0</v>
      </c>
      <c r="AM647" s="455">
        <f>ERP_8[[#This Row],[2026 Working Total]]-ERP_8[[#This Row],[LE2 Final Submission]]</f>
        <v>-130</v>
      </c>
      <c r="AN647" s="79">
        <v>0</v>
      </c>
      <c r="AO647" s="79">
        <f t="shared" si="35"/>
        <v>0</v>
      </c>
      <c r="AP647" s="374">
        <f>SUM(ERP_8[[#This Row],[AP01]:[AP07]])-SUM(ERP_8[[#This Row],[AP01 LE2]:[AP07 LE2]])</f>
        <v>-130</v>
      </c>
      <c r="AQ647" s="80"/>
      <c r="AR647" s="79">
        <f>ERP_8[[#This Row],[2026 Working Total to Budget/LE]]-ERP_8[[#This Row],[Giveback]]</f>
        <v>-130</v>
      </c>
      <c r="AS647" s="81"/>
      <c r="AT647" s="375"/>
      <c r="AU647" s="375"/>
      <c r="AV647" s="375"/>
      <c r="AW647" s="375"/>
      <c r="AX647" s="375"/>
      <c r="AY647" s="375">
        <v>130</v>
      </c>
      <c r="AZ647" s="375">
        <v>0</v>
      </c>
      <c r="BA647" s="375">
        <v>0</v>
      </c>
      <c r="BB647" s="375">
        <v>0</v>
      </c>
      <c r="BC647" s="375">
        <v>0</v>
      </c>
      <c r="BD647" s="375">
        <v>0</v>
      </c>
      <c r="BE647" s="375">
        <v>0</v>
      </c>
      <c r="BF647" s="375">
        <v>130</v>
      </c>
      <c r="BG647" s="79"/>
      <c r="BH647" s="79"/>
      <c r="BI647" s="79"/>
      <c r="BJ647" s="79"/>
      <c r="BK647" s="79"/>
      <c r="BL647" s="79">
        <v>130</v>
      </c>
      <c r="BM647" s="79">
        <v>0</v>
      </c>
      <c r="BN647" s="79">
        <v>0</v>
      </c>
      <c r="BO647" s="79">
        <v>0</v>
      </c>
      <c r="BP647" s="79">
        <v>0</v>
      </c>
      <c r="BQ647" s="79">
        <v>0</v>
      </c>
      <c r="BR647" s="79">
        <v>0</v>
      </c>
      <c r="BS647" s="79">
        <v>130</v>
      </c>
    </row>
    <row r="648" spans="1:71" ht="15" hidden="1" customHeight="1">
      <c r="A648" s="66" t="s">
        <v>2805</v>
      </c>
      <c r="B648" s="737" t="s">
        <v>2806</v>
      </c>
      <c r="C648" s="346"/>
      <c r="D648" s="343" t="str">
        <f>_xlfn.TEXTJOIN("_",FALSE,E648,ERP_8[[#This Row],[Expense Category]],ERP_8[[#This Row],[Project Code*]])</f>
        <v>Patel, Apurva_SOFTWARE_MISC001</v>
      </c>
      <c r="E648" s="343" t="s">
        <v>1566</v>
      </c>
      <c r="F648" s="346"/>
      <c r="G648" s="150" t="s">
        <v>1136</v>
      </c>
      <c r="H648" s="150" t="s">
        <v>1345</v>
      </c>
      <c r="I648" s="150" t="s">
        <v>1346</v>
      </c>
      <c r="J648" s="150" t="s">
        <v>1346</v>
      </c>
      <c r="K648" s="511" t="s">
        <v>639</v>
      </c>
      <c r="L648" s="451" t="s">
        <v>1327</v>
      </c>
      <c r="M648" s="343"/>
      <c r="N648" s="800"/>
      <c r="O648" s="70" t="s">
        <v>147</v>
      </c>
      <c r="P648" s="346"/>
      <c r="Q648" s="343"/>
      <c r="R648" s="346"/>
      <c r="S648" s="150" t="s">
        <v>25</v>
      </c>
      <c r="T648" s="150"/>
      <c r="U648" s="453"/>
      <c r="V648" s="406">
        <v>0</v>
      </c>
      <c r="W648" s="406">
        <v>2702.75</v>
      </c>
      <c r="X648" s="425"/>
      <c r="Y648" s="71"/>
      <c r="Z648" s="794">
        <v>45.54</v>
      </c>
      <c r="AA648" s="780">
        <v>0.09</v>
      </c>
      <c r="AB648" s="780">
        <v>2657.12</v>
      </c>
      <c r="AC648" s="428">
        <v>12.72</v>
      </c>
      <c r="AD648" s="429">
        <v>29.21</v>
      </c>
      <c r="AE648" s="429">
        <v>7.47</v>
      </c>
      <c r="AF648" s="429">
        <v>-46.37</v>
      </c>
      <c r="AG648" s="360">
        <v>0</v>
      </c>
      <c r="AH648" s="360">
        <v>0</v>
      </c>
      <c r="AI648" s="360">
        <v>0</v>
      </c>
      <c r="AJ648" s="360">
        <v>0</v>
      </c>
      <c r="AK648" s="360">
        <v>0</v>
      </c>
      <c r="AL648" s="360">
        <f t="shared" si="36"/>
        <v>2705.7799999999997</v>
      </c>
      <c r="AM648" s="455">
        <f>ERP_8[[#This Row],[2026 Working Total]]-ERP_8[[#This Row],[LE2 Final Submission]]</f>
        <v>3.0299999999997453</v>
      </c>
      <c r="AN648" s="79">
        <v>0</v>
      </c>
      <c r="AO648" s="79">
        <f t="shared" si="35"/>
        <v>7.47</v>
      </c>
      <c r="AP648" s="374">
        <f>SUM(ERP_8[[#This Row],[AP01]:[AP07]])-SUM(ERP_8[[#This Row],[AP01 LE2]:[AP07 LE2]])</f>
        <v>3.0299999999997453</v>
      </c>
      <c r="AQ648" s="80"/>
      <c r="AR648" s="79">
        <f>ERP_8[[#This Row],[2026 Working Total to Budget/LE]]-ERP_8[[#This Row],[Giveback]]</f>
        <v>3.0299999999997453</v>
      </c>
      <c r="AS648" s="81"/>
      <c r="AT648" s="375">
        <v>45.54</v>
      </c>
      <c r="AU648" s="375">
        <v>0.09</v>
      </c>
      <c r="AV648" s="375">
        <v>2657.12</v>
      </c>
      <c r="AW648" s="375">
        <v>0</v>
      </c>
      <c r="AX648" s="375">
        <v>0</v>
      </c>
      <c r="AY648" s="375">
        <v>0</v>
      </c>
      <c r="AZ648" s="375">
        <v>0</v>
      </c>
      <c r="BA648" s="375">
        <v>0</v>
      </c>
      <c r="BB648" s="375">
        <v>0</v>
      </c>
      <c r="BC648" s="375">
        <v>0</v>
      </c>
      <c r="BD648" s="375">
        <v>0</v>
      </c>
      <c r="BE648" s="375">
        <v>0</v>
      </c>
      <c r="BF648" s="375">
        <v>2702.75</v>
      </c>
      <c r="BG648" s="79">
        <v>45.54</v>
      </c>
      <c r="BH648" s="79">
        <v>0.09</v>
      </c>
      <c r="BI648" s="79">
        <v>2657.12</v>
      </c>
      <c r="BJ648" s="79">
        <v>0</v>
      </c>
      <c r="BK648" s="79">
        <v>0</v>
      </c>
      <c r="BL648" s="79">
        <v>0</v>
      </c>
      <c r="BM648" s="79">
        <v>0</v>
      </c>
      <c r="BN648" s="79">
        <v>0</v>
      </c>
      <c r="BO648" s="79">
        <v>0</v>
      </c>
      <c r="BP648" s="79">
        <v>0</v>
      </c>
      <c r="BQ648" s="79">
        <v>0</v>
      </c>
      <c r="BR648" s="79">
        <v>0</v>
      </c>
      <c r="BS648" s="79">
        <v>2702.75</v>
      </c>
    </row>
    <row r="649" spans="1:71" ht="15" hidden="1" customHeight="1">
      <c r="A649" s="66" t="s">
        <v>2807</v>
      </c>
      <c r="B649" s="737" t="s">
        <v>2808</v>
      </c>
      <c r="C649" s="346"/>
      <c r="D649" s="343" t="str">
        <f>_xlfn.TEXTJOIN("_",FALSE,E649,ERP_8[[#This Row],[Expense Category]],ERP_8[[#This Row],[Project Code*]])</f>
        <v>Patel, Apurva_SOFTWARE_MISC001</v>
      </c>
      <c r="E649" s="343" t="s">
        <v>1566</v>
      </c>
      <c r="F649" s="346"/>
      <c r="G649" s="150" t="s">
        <v>1136</v>
      </c>
      <c r="H649" s="150" t="s">
        <v>1567</v>
      </c>
      <c r="I649" s="150" t="s">
        <v>1567</v>
      </c>
      <c r="J649" s="150" t="s">
        <v>1567</v>
      </c>
      <c r="K649" s="511" t="s">
        <v>639</v>
      </c>
      <c r="L649" s="451" t="s">
        <v>1327</v>
      </c>
      <c r="M649" s="343"/>
      <c r="N649" s="800"/>
      <c r="O649" s="70" t="s">
        <v>147</v>
      </c>
      <c r="P649" s="346"/>
      <c r="Q649" s="343"/>
      <c r="R649" s="346"/>
      <c r="S649" s="150" t="s">
        <v>25</v>
      </c>
      <c r="T649" s="150"/>
      <c r="U649" s="453"/>
      <c r="V649" s="406">
        <v>0</v>
      </c>
      <c r="W649" s="406">
        <v>-711.61</v>
      </c>
      <c r="X649" s="425"/>
      <c r="Y649" s="71"/>
      <c r="Z649" s="794">
        <v>-0.39</v>
      </c>
      <c r="AA649" s="794">
        <v>0.11</v>
      </c>
      <c r="AB649" s="794">
        <v>-711.33</v>
      </c>
      <c r="AC649" s="428">
        <v>0</v>
      </c>
      <c r="AD649" s="429">
        <v>0</v>
      </c>
      <c r="AE649" s="429">
        <v>-0.28999999999999998</v>
      </c>
      <c r="AF649" s="429">
        <v>0</v>
      </c>
      <c r="AG649" s="360">
        <v>0</v>
      </c>
      <c r="AH649" s="360">
        <v>0</v>
      </c>
      <c r="AI649" s="360">
        <v>0</v>
      </c>
      <c r="AJ649" s="360">
        <v>0</v>
      </c>
      <c r="AK649" s="360">
        <v>0</v>
      </c>
      <c r="AL649" s="360">
        <f t="shared" si="36"/>
        <v>-711.9</v>
      </c>
      <c r="AM649" s="455">
        <f>ERP_8[[#This Row],[2026 Working Total]]-ERP_8[[#This Row],[LE2 Final Submission]]</f>
        <v>-0.28999999999996362</v>
      </c>
      <c r="AN649" s="79">
        <v>0</v>
      </c>
      <c r="AO649" s="79">
        <f t="shared" si="35"/>
        <v>-0.28999999999999998</v>
      </c>
      <c r="AP649" s="374">
        <f>SUM(ERP_8[[#This Row],[AP01]:[AP07]])-SUM(ERP_8[[#This Row],[AP01 LE2]:[AP07 LE2]])</f>
        <v>-0.28999999999996362</v>
      </c>
      <c r="AQ649" s="80"/>
      <c r="AR649" s="79">
        <f>ERP_8[[#This Row],[2026 Working Total to Budget/LE]]-ERP_8[[#This Row],[Giveback]]</f>
        <v>-0.28999999999996362</v>
      </c>
      <c r="AS649" s="81"/>
      <c r="AT649" s="375">
        <v>-0.39</v>
      </c>
      <c r="AU649" s="375">
        <v>0.11</v>
      </c>
      <c r="AV649" s="375">
        <v>-711.33</v>
      </c>
      <c r="AW649" s="375">
        <v>0</v>
      </c>
      <c r="AX649" s="375">
        <v>0</v>
      </c>
      <c r="AY649" s="375">
        <v>0</v>
      </c>
      <c r="AZ649" s="375">
        <v>0</v>
      </c>
      <c r="BA649" s="375">
        <v>0</v>
      </c>
      <c r="BB649" s="375">
        <v>0</v>
      </c>
      <c r="BC649" s="375">
        <v>0</v>
      </c>
      <c r="BD649" s="375">
        <v>0</v>
      </c>
      <c r="BE649" s="375">
        <v>0</v>
      </c>
      <c r="BF649" s="375">
        <v>-711.61</v>
      </c>
      <c r="BG649" s="79">
        <v>-0.39</v>
      </c>
      <c r="BH649" s="79">
        <v>0.11</v>
      </c>
      <c r="BI649" s="79">
        <v>-711.33</v>
      </c>
      <c r="BJ649" s="79">
        <v>0</v>
      </c>
      <c r="BK649" s="79">
        <v>0</v>
      </c>
      <c r="BL649" s="79">
        <v>0</v>
      </c>
      <c r="BM649" s="79">
        <v>0</v>
      </c>
      <c r="BN649" s="79">
        <v>0</v>
      </c>
      <c r="BO649" s="79">
        <v>0</v>
      </c>
      <c r="BP649" s="79">
        <v>0</v>
      </c>
      <c r="BQ649" s="79">
        <v>0</v>
      </c>
      <c r="BR649" s="79">
        <v>0</v>
      </c>
      <c r="BS649" s="79">
        <v>-711.61</v>
      </c>
    </row>
    <row r="650" spans="1:71" ht="15" hidden="1" customHeight="1">
      <c r="A650" s="66" t="s">
        <v>2809</v>
      </c>
      <c r="B650" s="737" t="s">
        <v>1016</v>
      </c>
      <c r="C650" s="346"/>
      <c r="D650" s="343" t="str">
        <f>_xlfn.TEXTJOIN("_",FALSE,E650,ERP_8[[#This Row],[Expense Category]],ERP_8[[#This Row],[Project Code*]])</f>
        <v>Robertson, Jerome_SOFTWARE_ColleagueSolutions001</v>
      </c>
      <c r="E650" s="343" t="s">
        <v>1650</v>
      </c>
      <c r="F650" s="346"/>
      <c r="G650" s="150" t="s">
        <v>1136</v>
      </c>
      <c r="H650" s="150" t="s">
        <v>1650</v>
      </c>
      <c r="I650" s="150" t="s">
        <v>1650</v>
      </c>
      <c r="J650" s="150" t="s">
        <v>1650</v>
      </c>
      <c r="K650" s="511" t="s">
        <v>639</v>
      </c>
      <c r="L650" s="451" t="s">
        <v>1138</v>
      </c>
      <c r="M650" s="343"/>
      <c r="N650" s="800"/>
      <c r="O650" s="70" t="s">
        <v>51</v>
      </c>
      <c r="P650" s="346" t="s">
        <v>1139</v>
      </c>
      <c r="Q650" s="346" t="s">
        <v>1140</v>
      </c>
      <c r="R650" s="346"/>
      <c r="S650" s="150" t="s">
        <v>25</v>
      </c>
      <c r="T650" s="150"/>
      <c r="U650" s="453"/>
      <c r="V650" s="406">
        <v>0</v>
      </c>
      <c r="W650" s="406">
        <v>200.42</v>
      </c>
      <c r="X650" s="425"/>
      <c r="Y650" s="71"/>
      <c r="Z650" s="794"/>
      <c r="AA650" s="794"/>
      <c r="AB650" s="794">
        <v>200.42</v>
      </c>
      <c r="AC650" s="428">
        <v>0</v>
      </c>
      <c r="AD650" s="429">
        <v>0</v>
      </c>
      <c r="AE650" s="429">
        <v>0</v>
      </c>
      <c r="AF650" s="429">
        <v>0</v>
      </c>
      <c r="AG650" s="360">
        <v>0</v>
      </c>
      <c r="AH650" s="360">
        <v>0</v>
      </c>
      <c r="AI650" s="360">
        <v>0</v>
      </c>
      <c r="AJ650" s="360">
        <v>0</v>
      </c>
      <c r="AK650" s="360">
        <v>0</v>
      </c>
      <c r="AL650" s="360">
        <f t="shared" si="36"/>
        <v>200.42</v>
      </c>
      <c r="AM650" s="455">
        <f>ERP_8[[#This Row],[2026 Working Total]]-ERP_8[[#This Row],[LE2 Final Submission]]</f>
        <v>0</v>
      </c>
      <c r="AN650" s="79">
        <v>0</v>
      </c>
      <c r="AO650" s="79">
        <f t="shared" si="35"/>
        <v>0</v>
      </c>
      <c r="AP650" s="374">
        <f>SUM(ERP_8[[#This Row],[AP01]:[AP07]])-SUM(ERP_8[[#This Row],[AP01 LE2]:[AP07 LE2]])</f>
        <v>0</v>
      </c>
      <c r="AQ650" s="80"/>
      <c r="AR650" s="79">
        <f>ERP_8[[#This Row],[2026 Working Total to Budget/LE]]-ERP_8[[#This Row],[Giveback]]</f>
        <v>0</v>
      </c>
      <c r="AS650" s="81"/>
      <c r="AT650" s="375"/>
      <c r="AU650" s="375"/>
      <c r="AV650" s="375">
        <v>200.42</v>
      </c>
      <c r="AW650" s="375">
        <v>0</v>
      </c>
      <c r="AX650" s="375">
        <v>0</v>
      </c>
      <c r="AY650" s="375">
        <v>0</v>
      </c>
      <c r="AZ650" s="375">
        <v>0</v>
      </c>
      <c r="BA650" s="375">
        <v>0</v>
      </c>
      <c r="BB650" s="375">
        <v>0</v>
      </c>
      <c r="BC650" s="375">
        <v>0</v>
      </c>
      <c r="BD650" s="375">
        <v>0</v>
      </c>
      <c r="BE650" s="375">
        <v>0</v>
      </c>
      <c r="BF650" s="375">
        <v>200.42</v>
      </c>
      <c r="BG650" s="79"/>
      <c r="BH650" s="79"/>
      <c r="BI650" s="79">
        <v>200.42</v>
      </c>
      <c r="BJ650" s="79">
        <v>0</v>
      </c>
      <c r="BK650" s="79">
        <v>0</v>
      </c>
      <c r="BL650" s="79">
        <v>0</v>
      </c>
      <c r="BM650" s="79">
        <v>0</v>
      </c>
      <c r="BN650" s="79">
        <v>0</v>
      </c>
      <c r="BO650" s="79">
        <v>0</v>
      </c>
      <c r="BP650" s="79">
        <v>0</v>
      </c>
      <c r="BQ650" s="79">
        <v>0</v>
      </c>
      <c r="BR650" s="79">
        <v>0</v>
      </c>
      <c r="BS650" s="79">
        <v>200.42</v>
      </c>
    </row>
    <row r="651" spans="1:71" ht="15" hidden="1" customHeight="1">
      <c r="A651" s="66" t="s">
        <v>2810</v>
      </c>
      <c r="B651" s="737" t="s">
        <v>1017</v>
      </c>
      <c r="C651" s="346"/>
      <c r="D651" s="343" t="str">
        <f>_xlfn.TEXTJOIN("_",FALSE,E651,ERP_8[[#This Row],[Expense Category]],ERP_8[[#This Row],[Project Code*]])</f>
        <v>Robertson, Jerome_SOFTWARE_IT-FGS0300-SW-US-00</v>
      </c>
      <c r="E651" s="343" t="s">
        <v>1650</v>
      </c>
      <c r="F651" s="346"/>
      <c r="G651" s="150" t="s">
        <v>1136</v>
      </c>
      <c r="H651" s="150" t="s">
        <v>1650</v>
      </c>
      <c r="I651" s="150" t="s">
        <v>1650</v>
      </c>
      <c r="J651" s="150" t="s">
        <v>1650</v>
      </c>
      <c r="K651" s="511" t="s">
        <v>639</v>
      </c>
      <c r="L651" s="451" t="s">
        <v>2285</v>
      </c>
      <c r="M651" s="343"/>
      <c r="N651" s="800"/>
      <c r="O651" s="70" t="s">
        <v>676</v>
      </c>
      <c r="P651" s="346"/>
      <c r="Q651" s="346" t="s">
        <v>1140</v>
      </c>
      <c r="R651" s="346"/>
      <c r="S651" s="150" t="s">
        <v>677</v>
      </c>
      <c r="T651" s="150"/>
      <c r="U651" s="453"/>
      <c r="V651" s="406">
        <v>838.44</v>
      </c>
      <c r="W651" s="406">
        <v>1759.95</v>
      </c>
      <c r="X651" s="425"/>
      <c r="Y651" s="71"/>
      <c r="Z651" s="794"/>
      <c r="AA651" s="794">
        <v>921.51</v>
      </c>
      <c r="AB651" s="794">
        <v>0</v>
      </c>
      <c r="AC651" s="428">
        <v>717.38</v>
      </c>
      <c r="AD651" s="429">
        <v>227</v>
      </c>
      <c r="AE651" s="429">
        <v>0</v>
      </c>
      <c r="AF651" s="429">
        <v>0</v>
      </c>
      <c r="AG651" s="363">
        <v>550</v>
      </c>
      <c r="AH651" s="363">
        <v>288.44</v>
      </c>
      <c r="AI651" s="360">
        <v>0</v>
      </c>
      <c r="AJ651" s="360">
        <v>0</v>
      </c>
      <c r="AK651" s="360">
        <v>0</v>
      </c>
      <c r="AL651" s="360">
        <f t="shared" si="36"/>
        <v>2704.33</v>
      </c>
      <c r="AM651" s="455">
        <f>ERP_8[[#This Row],[2026 Working Total]]-ERP_8[[#This Row],[LE2 Final Submission]]</f>
        <v>944.37999999999988</v>
      </c>
      <c r="AN651" s="79">
        <v>0</v>
      </c>
      <c r="AO651" s="79">
        <f t="shared" si="35"/>
        <v>0</v>
      </c>
      <c r="AP651" s="374">
        <f>SUM(ERP_8[[#This Row],[AP01]:[AP07]])-SUM(ERP_8[[#This Row],[AP01 LE2]:[AP07 LE2]])</f>
        <v>944.37999999999988</v>
      </c>
      <c r="AQ651" s="80"/>
      <c r="AR651" s="79">
        <f>ERP_8[[#This Row],[2026 Working Total to Budget/LE]]-ERP_8[[#This Row],[Giveback]]</f>
        <v>944.37999999999988</v>
      </c>
      <c r="AS651" s="81"/>
      <c r="AT651" s="375"/>
      <c r="AU651" s="375">
        <v>921.51</v>
      </c>
      <c r="AV651" s="375">
        <v>0</v>
      </c>
      <c r="AW651" s="375">
        <v>0</v>
      </c>
      <c r="AX651" s="375">
        <v>0</v>
      </c>
      <c r="AY651" s="375">
        <v>0</v>
      </c>
      <c r="AZ651" s="375">
        <v>0</v>
      </c>
      <c r="BA651" s="375">
        <v>550</v>
      </c>
      <c r="BB651" s="375">
        <v>288.44</v>
      </c>
      <c r="BC651" s="375">
        <v>0</v>
      </c>
      <c r="BD651" s="375">
        <v>0</v>
      </c>
      <c r="BE651" s="375">
        <v>0</v>
      </c>
      <c r="BF651" s="375">
        <v>1759.95</v>
      </c>
      <c r="BG651" s="79"/>
      <c r="BH651" s="79">
        <v>921.51</v>
      </c>
      <c r="BI651" s="79">
        <v>0</v>
      </c>
      <c r="BJ651" s="79">
        <v>0</v>
      </c>
      <c r="BK651" s="79">
        <v>0</v>
      </c>
      <c r="BL651" s="79">
        <v>0</v>
      </c>
      <c r="BM651" s="79">
        <v>0</v>
      </c>
      <c r="BN651" s="79">
        <v>550</v>
      </c>
      <c r="BO651" s="79">
        <v>288.44</v>
      </c>
      <c r="BP651" s="79">
        <v>0</v>
      </c>
      <c r="BQ651" s="79">
        <v>0</v>
      </c>
      <c r="BR651" s="79">
        <v>0</v>
      </c>
      <c r="BS651" s="79">
        <v>1759.95</v>
      </c>
    </row>
    <row r="652" spans="1:71" ht="15" hidden="1" customHeight="1">
      <c r="A652" s="66" t="s">
        <v>2811</v>
      </c>
      <c r="B652" s="737" t="s">
        <v>1018</v>
      </c>
      <c r="C652" s="346"/>
      <c r="D652" s="343" t="str">
        <f>_xlfn.TEXTJOIN("_",FALSE,E652,ERP_8[[#This Row],[Expense Category]],ERP_8[[#This Row],[Project Code*]])</f>
        <v>Robertson, Jerome_SOFTWARE_IT-FGS0302-SW-US-00</v>
      </c>
      <c r="E652" s="343" t="s">
        <v>1650</v>
      </c>
      <c r="F652" s="346"/>
      <c r="G652" s="150" t="s">
        <v>1136</v>
      </c>
      <c r="H652" s="150" t="s">
        <v>1650</v>
      </c>
      <c r="I652" s="150" t="s">
        <v>1650</v>
      </c>
      <c r="J652" s="150" t="s">
        <v>1650</v>
      </c>
      <c r="K652" s="511" t="s">
        <v>639</v>
      </c>
      <c r="L652" s="451" t="s">
        <v>2291</v>
      </c>
      <c r="M652" s="343"/>
      <c r="N652" s="800"/>
      <c r="O652" s="70" t="s">
        <v>679</v>
      </c>
      <c r="P652" s="346"/>
      <c r="Q652" s="346" t="s">
        <v>1140</v>
      </c>
      <c r="R652" s="346"/>
      <c r="S652" s="150" t="s">
        <v>680</v>
      </c>
      <c r="T652" s="150"/>
      <c r="U652" s="453"/>
      <c r="V652" s="406">
        <v>4500</v>
      </c>
      <c r="W652" s="406">
        <v>8574.7199999999993</v>
      </c>
      <c r="X652" s="425"/>
      <c r="Y652" s="71"/>
      <c r="Z652" s="794">
        <v>431</v>
      </c>
      <c r="AA652" s="794">
        <v>2586</v>
      </c>
      <c r="AB652" s="794">
        <v>2182.7199999999998</v>
      </c>
      <c r="AC652" s="428">
        <v>431</v>
      </c>
      <c r="AD652" s="429">
        <v>0</v>
      </c>
      <c r="AE652" s="429">
        <v>1724</v>
      </c>
      <c r="AF652" s="429">
        <v>1775.56</v>
      </c>
      <c r="AG652" s="363">
        <v>375</v>
      </c>
      <c r="AH652" s="363">
        <v>375</v>
      </c>
      <c r="AI652" s="363">
        <v>375</v>
      </c>
      <c r="AJ652" s="363">
        <v>375</v>
      </c>
      <c r="AK652" s="363">
        <v>375</v>
      </c>
      <c r="AL652" s="360">
        <f t="shared" si="36"/>
        <v>11005.279999999999</v>
      </c>
      <c r="AM652" s="455">
        <f>ERP_8[[#This Row],[2026 Working Total]]-ERP_8[[#This Row],[LE2 Final Submission]]</f>
        <v>2430.5599999999995</v>
      </c>
      <c r="AN652" s="79">
        <v>375</v>
      </c>
      <c r="AO652" s="79">
        <f t="shared" si="35"/>
        <v>1349</v>
      </c>
      <c r="AP652" s="374">
        <f>SUM(ERP_8[[#This Row],[AP01]:[AP07]])-SUM(ERP_8[[#This Row],[AP01 LE2]:[AP07 LE2]])</f>
        <v>2430.5599999999995</v>
      </c>
      <c r="AQ652" s="80"/>
      <c r="AR652" s="79">
        <f>ERP_8[[#This Row],[2026 Working Total to Budget/LE]]-ERP_8[[#This Row],[Giveback]]</f>
        <v>2430.5599999999995</v>
      </c>
      <c r="AS652" s="81"/>
      <c r="AT652" s="375">
        <v>431</v>
      </c>
      <c r="AU652" s="375">
        <v>2586</v>
      </c>
      <c r="AV652" s="375">
        <v>2182.7199999999998</v>
      </c>
      <c r="AW652" s="375">
        <v>375</v>
      </c>
      <c r="AX652" s="375">
        <v>375</v>
      </c>
      <c r="AY652" s="375">
        <v>375</v>
      </c>
      <c r="AZ652" s="375">
        <v>375</v>
      </c>
      <c r="BA652" s="375">
        <v>375</v>
      </c>
      <c r="BB652" s="375">
        <v>375</v>
      </c>
      <c r="BC652" s="375">
        <v>375</v>
      </c>
      <c r="BD652" s="375">
        <v>375</v>
      </c>
      <c r="BE652" s="375">
        <v>375</v>
      </c>
      <c r="BF652" s="375">
        <v>8574.7199999999993</v>
      </c>
      <c r="BG652" s="79">
        <v>431</v>
      </c>
      <c r="BH652" s="79">
        <v>2586</v>
      </c>
      <c r="BI652" s="79">
        <v>2182.7199999999998</v>
      </c>
      <c r="BJ652" s="79">
        <v>375</v>
      </c>
      <c r="BK652" s="79">
        <v>375</v>
      </c>
      <c r="BL652" s="79">
        <v>375</v>
      </c>
      <c r="BM652" s="79">
        <v>375</v>
      </c>
      <c r="BN652" s="79">
        <v>375</v>
      </c>
      <c r="BO652" s="79">
        <v>375</v>
      </c>
      <c r="BP652" s="79">
        <v>375</v>
      </c>
      <c r="BQ652" s="79">
        <v>375</v>
      </c>
      <c r="BR652" s="79">
        <v>375</v>
      </c>
      <c r="BS652" s="79">
        <v>8574.7199999999993</v>
      </c>
    </row>
    <row r="653" spans="1:71" ht="15" hidden="1" customHeight="1">
      <c r="A653" s="79" t="s">
        <v>2812</v>
      </c>
      <c r="B653" s="749" t="s">
        <v>1019</v>
      </c>
      <c r="C653" s="348"/>
      <c r="D653" s="347" t="str">
        <f>_xlfn.TEXTJOIN("_",FALSE,E653,ERP_8[[#This Row],[Expense Category]],ERP_8[[#This Row],[Project Code*]])</f>
        <v>Robertson, Jerome_SOFTWARE_IT-MGS0167-OG-US-00</v>
      </c>
      <c r="E653" s="347" t="s">
        <v>1650</v>
      </c>
      <c r="F653" s="348"/>
      <c r="G653" s="150" t="s">
        <v>1136</v>
      </c>
      <c r="H653" s="383" t="s">
        <v>1650</v>
      </c>
      <c r="I653" s="382" t="s">
        <v>1650</v>
      </c>
      <c r="J653" s="333" t="s">
        <v>1650</v>
      </c>
      <c r="K653" s="512" t="s">
        <v>639</v>
      </c>
      <c r="L653" s="401" t="s">
        <v>2813</v>
      </c>
      <c r="M653" s="343"/>
      <c r="N653" s="801"/>
      <c r="O653" s="122" t="s">
        <v>1020</v>
      </c>
      <c r="P653" s="347"/>
      <c r="Q653" s="346" t="s">
        <v>1140</v>
      </c>
      <c r="R653" s="348"/>
      <c r="S653" s="384" t="s">
        <v>1021</v>
      </c>
      <c r="T653" s="387" t="s">
        <v>2814</v>
      </c>
      <c r="U653" s="773"/>
      <c r="V653" s="358">
        <v>340000</v>
      </c>
      <c r="W653" s="378">
        <v>340000</v>
      </c>
      <c r="X653" s="425"/>
      <c r="Y653" s="71"/>
      <c r="Z653" s="795"/>
      <c r="AA653" s="795"/>
      <c r="AB653" s="795"/>
      <c r="AC653" s="428" t="s">
        <v>1142</v>
      </c>
      <c r="AD653" s="429">
        <v>0</v>
      </c>
      <c r="AE653" s="429">
        <v>0</v>
      </c>
      <c r="AF653" s="429" t="s">
        <v>1142</v>
      </c>
      <c r="AG653" s="508">
        <v>340000</v>
      </c>
      <c r="AH653" s="388">
        <v>0</v>
      </c>
      <c r="AI653" s="388">
        <v>0</v>
      </c>
      <c r="AJ653" s="388">
        <v>0</v>
      </c>
      <c r="AK653" s="388">
        <v>0</v>
      </c>
      <c r="AL653" s="360">
        <f t="shared" si="36"/>
        <v>340000</v>
      </c>
      <c r="AM653" s="455">
        <f>ERP_8[[#This Row],[2026 Working Total]]-ERP_8[[#This Row],[LE2 Final Submission]]</f>
        <v>0</v>
      </c>
      <c r="AN653" s="79">
        <v>0</v>
      </c>
      <c r="AO653" s="79">
        <f t="shared" si="35"/>
        <v>0</v>
      </c>
      <c r="AP653" s="374">
        <f>SUM(ERP_8[[#This Row],[AP01]:[AP07]])-SUM(ERP_8[[#This Row],[AP01 LE2]:[AP07 LE2]])</f>
        <v>0</v>
      </c>
      <c r="AQ653" s="80"/>
      <c r="AR653" s="79">
        <f>ERP_8[[#This Row],[2026 Working Total to Budget/LE]]-ERP_8[[#This Row],[Giveback]]</f>
        <v>0</v>
      </c>
      <c r="AS653" s="81"/>
      <c r="AT653" s="375"/>
      <c r="AU653" s="375"/>
      <c r="AV653" s="375"/>
      <c r="AW653" s="375">
        <v>0</v>
      </c>
      <c r="AX653" s="375">
        <v>0</v>
      </c>
      <c r="AY653" s="375">
        <v>0</v>
      </c>
      <c r="AZ653" s="375">
        <v>0</v>
      </c>
      <c r="BA653" s="375">
        <v>340000</v>
      </c>
      <c r="BB653" s="375">
        <v>0</v>
      </c>
      <c r="BC653" s="375">
        <v>0</v>
      </c>
      <c r="BD653" s="375">
        <v>0</v>
      </c>
      <c r="BE653" s="375">
        <v>0</v>
      </c>
      <c r="BF653" s="375">
        <v>340000</v>
      </c>
      <c r="BG653" s="103">
        <v>0</v>
      </c>
      <c r="BH653" s="103">
        <v>0</v>
      </c>
      <c r="BI653" s="103">
        <v>340000</v>
      </c>
      <c r="BJ653" s="103">
        <v>0</v>
      </c>
      <c r="BK653" s="103">
        <v>0</v>
      </c>
      <c r="BL653" s="103">
        <v>0</v>
      </c>
      <c r="BM653" s="103">
        <v>0</v>
      </c>
      <c r="BN653" s="103">
        <v>0</v>
      </c>
      <c r="BO653" s="103">
        <v>0</v>
      </c>
      <c r="BP653" s="103">
        <v>0</v>
      </c>
      <c r="BQ653" s="103">
        <v>0</v>
      </c>
      <c r="BR653" s="103">
        <v>0</v>
      </c>
      <c r="BS653" s="79">
        <f>SUM(ERP_8[[#This Row],[2026 AP01]:[2026 AP12]])</f>
        <v>340000</v>
      </c>
    </row>
    <row r="654" spans="1:71" ht="15" hidden="1" customHeight="1">
      <c r="A654" s="66" t="s">
        <v>2815</v>
      </c>
      <c r="B654" s="737" t="s">
        <v>1022</v>
      </c>
      <c r="C654" s="346"/>
      <c r="D654" s="343" t="str">
        <f>_xlfn.TEXTJOIN("_",FALSE,E654,ERP_8[[#This Row],[Expense Category]],ERP_8[[#This Row],[Project Code*]])</f>
        <v>Robertson, Jerome_SOFTWARE_IT-SFT1194-86-OG-US</v>
      </c>
      <c r="E654" s="343" t="s">
        <v>1650</v>
      </c>
      <c r="F654" s="346"/>
      <c r="G654" s="150" t="s">
        <v>1136</v>
      </c>
      <c r="H654" s="150" t="s">
        <v>1650</v>
      </c>
      <c r="I654" s="150" t="s">
        <v>1650</v>
      </c>
      <c r="J654" s="150" t="s">
        <v>1650</v>
      </c>
      <c r="K654" s="511" t="s">
        <v>639</v>
      </c>
      <c r="L654" s="451" t="s">
        <v>818</v>
      </c>
      <c r="M654" s="343"/>
      <c r="N654" s="800"/>
      <c r="O654" s="70" t="s">
        <v>817</v>
      </c>
      <c r="P654" s="346"/>
      <c r="Q654" s="346" t="s">
        <v>1140</v>
      </c>
      <c r="R654" s="346"/>
      <c r="S654" s="150" t="s">
        <v>818</v>
      </c>
      <c r="T654" s="150" t="s">
        <v>2816</v>
      </c>
      <c r="U654" s="453"/>
      <c r="V654" s="406">
        <v>17784.52</v>
      </c>
      <c r="W654" s="406">
        <v>32897.279999999999</v>
      </c>
      <c r="X654" s="425"/>
      <c r="Y654" s="71"/>
      <c r="Z654" s="794"/>
      <c r="AA654" s="794"/>
      <c r="AB654" s="794">
        <v>8224.32</v>
      </c>
      <c r="AC654" s="428">
        <v>0</v>
      </c>
      <c r="AD654" s="429">
        <v>0</v>
      </c>
      <c r="AE654" s="429">
        <v>10506.24</v>
      </c>
      <c r="AF654" s="429">
        <v>553.20000000000005</v>
      </c>
      <c r="AG654" s="360">
        <v>0</v>
      </c>
      <c r="AH654" s="363">
        <v>8224.32</v>
      </c>
      <c r="AI654" s="360">
        <v>0</v>
      </c>
      <c r="AJ654" s="363">
        <v>8224.32</v>
      </c>
      <c r="AK654" s="360">
        <v>0</v>
      </c>
      <c r="AL654" s="360">
        <f t="shared" si="36"/>
        <v>35732.399999999994</v>
      </c>
      <c r="AM654" s="455">
        <f>ERP_8[[#This Row],[2026 Working Total]]-ERP_8[[#This Row],[LE2 Final Submission]]</f>
        <v>2835.1199999999953</v>
      </c>
      <c r="AN654" s="79">
        <v>0</v>
      </c>
      <c r="AO654" s="79">
        <f t="shared" si="35"/>
        <v>10506.24</v>
      </c>
      <c r="AP654" s="374">
        <f>SUM(ERP_8[[#This Row],[AP01]:[AP07]])-SUM(ERP_8[[#This Row],[AP01 LE2]:[AP07 LE2]])</f>
        <v>2835.119999999999</v>
      </c>
      <c r="AQ654" s="80"/>
      <c r="AR654" s="79">
        <f>ERP_8[[#This Row],[2026 Working Total to Budget/LE]]-ERP_8[[#This Row],[Giveback]]</f>
        <v>2835.1199999999953</v>
      </c>
      <c r="AS654" s="81"/>
      <c r="AT654" s="375"/>
      <c r="AU654" s="375"/>
      <c r="AV654" s="375">
        <v>8224.32</v>
      </c>
      <c r="AW654" s="375">
        <v>0</v>
      </c>
      <c r="AX654" s="375">
        <v>0</v>
      </c>
      <c r="AY654" s="375">
        <v>8224.32</v>
      </c>
      <c r="AZ654" s="375">
        <v>0</v>
      </c>
      <c r="BA654" s="375">
        <v>0</v>
      </c>
      <c r="BB654" s="375">
        <v>8224.32</v>
      </c>
      <c r="BC654" s="375">
        <v>0</v>
      </c>
      <c r="BD654" s="375">
        <v>8224.32</v>
      </c>
      <c r="BE654" s="375">
        <v>0</v>
      </c>
      <c r="BF654" s="375">
        <v>32897.279999999999</v>
      </c>
      <c r="BG654" s="79"/>
      <c r="BH654" s="79"/>
      <c r="BI654" s="79">
        <v>8224.32</v>
      </c>
      <c r="BJ654" s="79">
        <v>0</v>
      </c>
      <c r="BK654" s="79">
        <v>0</v>
      </c>
      <c r="BL654" s="79">
        <v>4446.13</v>
      </c>
      <c r="BM654" s="79">
        <v>0</v>
      </c>
      <c r="BN654" s="79">
        <v>0</v>
      </c>
      <c r="BO654" s="79">
        <v>4446.13</v>
      </c>
      <c r="BP654" s="79">
        <v>0</v>
      </c>
      <c r="BQ654" s="79">
        <v>4446.13</v>
      </c>
      <c r="BR654" s="79">
        <v>0</v>
      </c>
      <c r="BS654" s="79">
        <v>21562.710000000003</v>
      </c>
    </row>
    <row r="655" spans="1:71" ht="15" hidden="1" customHeight="1">
      <c r="A655" s="66" t="s">
        <v>2817</v>
      </c>
      <c r="B655" s="737" t="s">
        <v>1023</v>
      </c>
      <c r="C655" s="346"/>
      <c r="D655" s="343" t="str">
        <f>_xlfn.TEXTJOIN("_",FALSE,E655,ERP_8[[#This Row],[Expense Category]],ERP_8[[#This Row],[Project Code*]])</f>
        <v>Robertson, Jerome_SOFTWARE_IT-SFT1453-OG-US-00</v>
      </c>
      <c r="E655" s="343" t="s">
        <v>1650</v>
      </c>
      <c r="F655" s="346"/>
      <c r="G655" s="150" t="s">
        <v>1136</v>
      </c>
      <c r="H655" s="150" t="s">
        <v>1650</v>
      </c>
      <c r="I655" s="150" t="s">
        <v>1650</v>
      </c>
      <c r="J655" s="150" t="s">
        <v>1650</v>
      </c>
      <c r="K655" s="511" t="s">
        <v>639</v>
      </c>
      <c r="L655" s="451" t="s">
        <v>2818</v>
      </c>
      <c r="M655" s="343"/>
      <c r="N655" s="800"/>
      <c r="O655" s="70" t="s">
        <v>1024</v>
      </c>
      <c r="P655" s="346"/>
      <c r="Q655" s="343"/>
      <c r="R655" s="346"/>
      <c r="S655" s="150" t="s">
        <v>25</v>
      </c>
      <c r="T655" s="150"/>
      <c r="U655" s="453"/>
      <c r="V655" s="406">
        <v>156778.01999999999</v>
      </c>
      <c r="W655" s="406">
        <v>156778.01999999999</v>
      </c>
      <c r="X655" s="425"/>
      <c r="Y655" s="71"/>
      <c r="Z655" s="794">
        <v>10768</v>
      </c>
      <c r="AA655" s="794">
        <v>146010.01999999999</v>
      </c>
      <c r="AB655" s="794">
        <v>0</v>
      </c>
      <c r="AC655" s="428">
        <v>0</v>
      </c>
      <c r="AD655" s="429">
        <v>0</v>
      </c>
      <c r="AE655" s="429">
        <v>0</v>
      </c>
      <c r="AF655" s="429">
        <v>0</v>
      </c>
      <c r="AG655" s="360">
        <v>0</v>
      </c>
      <c r="AH655" s="360">
        <v>0</v>
      </c>
      <c r="AI655" s="360">
        <v>0</v>
      </c>
      <c r="AJ655" s="360">
        <v>0</v>
      </c>
      <c r="AK655" s="360">
        <v>0</v>
      </c>
      <c r="AL655" s="360">
        <f t="shared" si="36"/>
        <v>156778.01999999999</v>
      </c>
      <c r="AM655" s="455">
        <f>ERP_8[[#This Row],[2026 Working Total]]-ERP_8[[#This Row],[LE2 Final Submission]]</f>
        <v>0</v>
      </c>
      <c r="AN655" s="79">
        <v>0</v>
      </c>
      <c r="AO655" s="79">
        <f t="shared" si="35"/>
        <v>0</v>
      </c>
      <c r="AP655" s="374">
        <f>SUM(ERP_8[[#This Row],[AP01]:[AP07]])-SUM(ERP_8[[#This Row],[AP01 LE2]:[AP07 LE2]])</f>
        <v>0</v>
      </c>
      <c r="AQ655" s="80"/>
      <c r="AR655" s="79">
        <f>ERP_8[[#This Row],[2026 Working Total to Budget/LE]]-ERP_8[[#This Row],[Giveback]]</f>
        <v>0</v>
      </c>
      <c r="AS655" s="81"/>
      <c r="AT655" s="375">
        <v>10768</v>
      </c>
      <c r="AU655" s="375">
        <v>146010.01999999999</v>
      </c>
      <c r="AV655" s="375">
        <v>0</v>
      </c>
      <c r="AW655" s="375">
        <v>0</v>
      </c>
      <c r="AX655" s="375">
        <v>0</v>
      </c>
      <c r="AY655" s="375">
        <v>0</v>
      </c>
      <c r="AZ655" s="375">
        <v>0</v>
      </c>
      <c r="BA655" s="375">
        <v>0</v>
      </c>
      <c r="BB655" s="375">
        <v>0</v>
      </c>
      <c r="BC655" s="375">
        <v>0</v>
      </c>
      <c r="BD655" s="375">
        <v>0</v>
      </c>
      <c r="BE655" s="375">
        <v>0</v>
      </c>
      <c r="BF655" s="375">
        <v>156778.01999999999</v>
      </c>
      <c r="BG655" s="79">
        <v>10768</v>
      </c>
      <c r="BH655" s="79">
        <v>146010.01999999999</v>
      </c>
      <c r="BI655" s="79">
        <v>0</v>
      </c>
      <c r="BJ655" s="79">
        <v>0</v>
      </c>
      <c r="BK655" s="79">
        <v>0</v>
      </c>
      <c r="BL655" s="79">
        <v>0</v>
      </c>
      <c r="BM655" s="79">
        <v>0</v>
      </c>
      <c r="BN655" s="79">
        <v>0</v>
      </c>
      <c r="BO655" s="79">
        <v>0</v>
      </c>
      <c r="BP655" s="79">
        <v>0</v>
      </c>
      <c r="BQ655" s="79">
        <v>0</v>
      </c>
      <c r="BR655" s="79">
        <v>0</v>
      </c>
      <c r="BS655" s="79">
        <v>156778.01999999999</v>
      </c>
    </row>
    <row r="656" spans="1:71" ht="15" hidden="1" customHeight="1">
      <c r="A656" s="66" t="s">
        <v>2819</v>
      </c>
      <c r="B656" s="737" t="s">
        <v>1025</v>
      </c>
      <c r="C656" s="346"/>
      <c r="D656" s="343" t="str">
        <f>_xlfn.TEXTJOIN("_",FALSE,E656,ERP_8[[#This Row],[Expense Category]],ERP_8[[#This Row],[Project Code*]])</f>
        <v>Robertson, Jerome_SOFTWARE_MISC001</v>
      </c>
      <c r="E656" s="343" t="s">
        <v>1650</v>
      </c>
      <c r="F656" s="346"/>
      <c r="G656" s="150" t="s">
        <v>1136</v>
      </c>
      <c r="H656" s="150" t="s">
        <v>1650</v>
      </c>
      <c r="I656" s="150" t="s">
        <v>1650</v>
      </c>
      <c r="J656" s="150" t="s">
        <v>1650</v>
      </c>
      <c r="K656" s="511" t="s">
        <v>639</v>
      </c>
      <c r="L656" s="451" t="s">
        <v>1327</v>
      </c>
      <c r="M656" s="343"/>
      <c r="N656" s="800"/>
      <c r="O656" s="70" t="s">
        <v>147</v>
      </c>
      <c r="P656" s="346"/>
      <c r="Q656" s="343"/>
      <c r="R656" s="346"/>
      <c r="S656" s="150" t="s">
        <v>25</v>
      </c>
      <c r="T656" s="150"/>
      <c r="U656" s="453"/>
      <c r="V656" s="528">
        <v>0</v>
      </c>
      <c r="W656" s="528">
        <v>227.23999999999998</v>
      </c>
      <c r="X656" s="425"/>
      <c r="Y656" s="71"/>
      <c r="Z656" s="794"/>
      <c r="AA656" s="794">
        <v>-0.02</v>
      </c>
      <c r="AB656" s="794">
        <v>227.26</v>
      </c>
      <c r="AC656" s="428">
        <v>0</v>
      </c>
      <c r="AD656" s="429">
        <v>0</v>
      </c>
      <c r="AE656" s="429">
        <v>-0.24</v>
      </c>
      <c r="AF656" s="429">
        <v>0</v>
      </c>
      <c r="AG656" s="360">
        <v>0</v>
      </c>
      <c r="AH656" s="360">
        <v>0</v>
      </c>
      <c r="AI656" s="360">
        <v>0</v>
      </c>
      <c r="AJ656" s="360">
        <v>0</v>
      </c>
      <c r="AK656" s="360">
        <v>0</v>
      </c>
      <c r="AL656" s="360">
        <f t="shared" si="36"/>
        <v>226.99999999999997</v>
      </c>
      <c r="AM656" s="455">
        <f>ERP_8[[#This Row],[2026 Working Total]]-ERP_8[[#This Row],[LE2 Final Submission]]</f>
        <v>-0.24000000000000909</v>
      </c>
      <c r="AN656" s="79">
        <v>0</v>
      </c>
      <c r="AO656" s="79">
        <f t="shared" si="35"/>
        <v>-0.24</v>
      </c>
      <c r="AP656" s="374">
        <f>SUM(ERP_8[[#This Row],[AP01]:[AP07]])-SUM(ERP_8[[#This Row],[AP01 LE2]:[AP07 LE2]])</f>
        <v>-0.24000000000000909</v>
      </c>
      <c r="AQ656" s="80"/>
      <c r="AR656" s="79">
        <f>ERP_8[[#This Row],[2026 Working Total to Budget/LE]]-ERP_8[[#This Row],[Giveback]]</f>
        <v>-0.24000000000000909</v>
      </c>
      <c r="AS656" s="81"/>
      <c r="AT656" s="375"/>
      <c r="AU656" s="375">
        <v>-0.02</v>
      </c>
      <c r="AV656" s="375">
        <v>227.26</v>
      </c>
      <c r="AW656" s="375">
        <v>0</v>
      </c>
      <c r="AX656" s="375">
        <v>0</v>
      </c>
      <c r="AY656" s="375">
        <v>0</v>
      </c>
      <c r="AZ656" s="375">
        <v>0</v>
      </c>
      <c r="BA656" s="375">
        <v>0</v>
      </c>
      <c r="BB656" s="375">
        <v>0</v>
      </c>
      <c r="BC656" s="375">
        <v>0</v>
      </c>
      <c r="BD656" s="375">
        <v>0</v>
      </c>
      <c r="BE656" s="375">
        <v>0</v>
      </c>
      <c r="BF656" s="375">
        <v>227.23999999999998</v>
      </c>
      <c r="BG656" s="79"/>
      <c r="BH656" s="79">
        <v>-0.02</v>
      </c>
      <c r="BI656" s="79">
        <v>227.26</v>
      </c>
      <c r="BJ656" s="79">
        <v>0</v>
      </c>
      <c r="BK656" s="79">
        <v>0</v>
      </c>
      <c r="BL656" s="79">
        <v>0</v>
      </c>
      <c r="BM656" s="79">
        <v>0</v>
      </c>
      <c r="BN656" s="79">
        <v>0</v>
      </c>
      <c r="BO656" s="79">
        <v>0</v>
      </c>
      <c r="BP656" s="79">
        <v>0</v>
      </c>
      <c r="BQ656" s="79">
        <v>0</v>
      </c>
      <c r="BR656" s="79">
        <v>0</v>
      </c>
      <c r="BS656" s="79">
        <v>227.23999999999998</v>
      </c>
    </row>
    <row r="657" spans="1:71" ht="15" hidden="1" customHeight="1">
      <c r="A657" s="79"/>
      <c r="B657" s="296"/>
      <c r="C657" s="348"/>
      <c r="D657" s="347" t="str">
        <f>_xlfn.TEXTJOIN("_",FALSE,E657,ERP_8[[#This Row],[Expense Category]],ERP_8[[#This Row],[Project Code*]])</f>
        <v>Dougherty, Chris_SOFTWARE_2026-XFR-0007-A</v>
      </c>
      <c r="E657" s="347" t="s">
        <v>1135</v>
      </c>
      <c r="F657" s="348"/>
      <c r="G657" s="332" t="s">
        <v>1136</v>
      </c>
      <c r="H657" s="332" t="s">
        <v>1135</v>
      </c>
      <c r="I657" s="332" t="s">
        <v>1135</v>
      </c>
      <c r="J657" s="333" t="s">
        <v>1135</v>
      </c>
      <c r="K657" s="514" t="s">
        <v>639</v>
      </c>
      <c r="L657" s="401" t="s">
        <v>2820</v>
      </c>
      <c r="M657" s="333"/>
      <c r="N657" s="801"/>
      <c r="O657" s="90" t="s">
        <v>642</v>
      </c>
      <c r="P657" s="347"/>
      <c r="Q657" s="347"/>
      <c r="R657" s="348"/>
      <c r="S657" s="348" t="s">
        <v>152</v>
      </c>
      <c r="T657" s="150" t="s">
        <v>2821</v>
      </c>
      <c r="U657" s="440"/>
      <c r="V657" s="454"/>
      <c r="W657" s="509"/>
      <c r="X657" s="425"/>
      <c r="Y657" s="425"/>
      <c r="Z657" s="429"/>
      <c r="AA657" s="429"/>
      <c r="AB657" s="429"/>
      <c r="AC657" s="429"/>
      <c r="AD657" s="429"/>
      <c r="AE657" s="429"/>
      <c r="AF657" s="429"/>
      <c r="AG657" s="364">
        <v>-103465</v>
      </c>
      <c r="AH657" s="364"/>
      <c r="AI657" s="364"/>
      <c r="AJ657" s="364"/>
      <c r="AK657" s="364"/>
      <c r="AL657" s="360">
        <f t="shared" si="36"/>
        <v>-103465</v>
      </c>
      <c r="AM657" s="455">
        <f>ERP_8[[#This Row],[2026 Working Total]]-ERP_8[[#This Row],[LE2 Final Submission]]</f>
        <v>-103465</v>
      </c>
      <c r="AN657" s="79"/>
      <c r="AO657" s="79">
        <f t="shared" si="35"/>
        <v>0</v>
      </c>
      <c r="AP657" s="391">
        <f>SUM(ERP_8[[#This Row],[AP01]:[AP07]])-SUM(ERP_8[[#This Row],[AP01 LE2]:[AP07 LE2]])</f>
        <v>0</v>
      </c>
      <c r="AQ657" s="80"/>
      <c r="AR657" s="79">
        <f>ERP_8[[#This Row],[2026 Working Total to Budget/LE]]-ERP_8[[#This Row],[Giveback]]</f>
        <v>-103465</v>
      </c>
      <c r="AS657" s="81"/>
      <c r="AT657" s="375"/>
      <c r="AU657" s="375"/>
      <c r="AV657" s="375"/>
      <c r="AW657" s="375"/>
      <c r="AX657" s="375"/>
      <c r="AY657" s="375"/>
      <c r="AZ657" s="375"/>
      <c r="BA657" s="375"/>
      <c r="BB657" s="375"/>
      <c r="BC657" s="375"/>
      <c r="BD657" s="375"/>
      <c r="BE657" s="375"/>
      <c r="BF657" s="375"/>
      <c r="BG657" s="79"/>
      <c r="BH657" s="79"/>
      <c r="BI657" s="79"/>
      <c r="BJ657" s="79"/>
      <c r="BK657" s="79"/>
      <c r="BL657" s="79"/>
      <c r="BM657" s="79"/>
      <c r="BN657" s="79"/>
      <c r="BO657" s="79"/>
      <c r="BP657" s="79"/>
      <c r="BQ657" s="79"/>
      <c r="BR657" s="79"/>
      <c r="BS657" s="79"/>
    </row>
    <row r="658" spans="1:71" ht="15" hidden="1" customHeight="1">
      <c r="A658" s="79"/>
      <c r="B658" s="296"/>
      <c r="C658" s="348"/>
      <c r="D658" s="347" t="str">
        <f>_xlfn.TEXTJOIN("_",FALSE,E658,ERP_8[[#This Row],[Expense Category]],ERP_8[[#This Row],[Project Code*]])</f>
        <v>Dougherty, Chris_SOFTWARE_2026-XFR-0019-A</v>
      </c>
      <c r="E658" s="347" t="s">
        <v>1135</v>
      </c>
      <c r="F658" s="348"/>
      <c r="G658" s="332" t="s">
        <v>1136</v>
      </c>
      <c r="H658" s="332" t="s">
        <v>1135</v>
      </c>
      <c r="I658" s="332" t="s">
        <v>1135</v>
      </c>
      <c r="J658" s="333" t="s">
        <v>1135</v>
      </c>
      <c r="K658" s="514" t="s">
        <v>639</v>
      </c>
      <c r="L658" s="401" t="s">
        <v>2822</v>
      </c>
      <c r="M658" s="333"/>
      <c r="N658" s="801"/>
      <c r="O658" s="90" t="s">
        <v>2823</v>
      </c>
      <c r="P658" s="347"/>
      <c r="Q658" s="347"/>
      <c r="R658" s="348"/>
      <c r="S658" s="348" t="s">
        <v>152</v>
      </c>
      <c r="T658" s="348" t="s">
        <v>2821</v>
      </c>
      <c r="U658" s="440"/>
      <c r="V658" s="454"/>
      <c r="W658" s="509"/>
      <c r="X658" s="425"/>
      <c r="Y658" s="425"/>
      <c r="Z658" s="429"/>
      <c r="AA658" s="429"/>
      <c r="AB658" s="429"/>
      <c r="AC658" s="429"/>
      <c r="AD658" s="429"/>
      <c r="AE658" s="429"/>
      <c r="AF658" s="429"/>
      <c r="AG658" s="364">
        <v>-36004</v>
      </c>
      <c r="AH658" s="364"/>
      <c r="AI658" s="364"/>
      <c r="AJ658" s="364"/>
      <c r="AK658" s="364"/>
      <c r="AL658" s="360">
        <f t="shared" si="36"/>
        <v>-36004</v>
      </c>
      <c r="AM658" s="455">
        <f>ERP_8[[#This Row],[2026 Working Total]]-ERP_8[[#This Row],[LE2 Final Submission]]</f>
        <v>-36004</v>
      </c>
      <c r="AN658" s="79"/>
      <c r="AO658" s="79">
        <f t="shared" si="35"/>
        <v>0</v>
      </c>
      <c r="AP658" s="391">
        <f>SUM(ERP_8[[#This Row],[AP01]:[AP07]])-SUM(ERP_8[[#This Row],[AP01 LE2]:[AP07 LE2]])</f>
        <v>0</v>
      </c>
      <c r="AQ658" s="80"/>
      <c r="AR658" s="79">
        <f>ERP_8[[#This Row],[2026 Working Total to Budget/LE]]-ERP_8[[#This Row],[Giveback]]</f>
        <v>-36004</v>
      </c>
      <c r="AS658" s="81"/>
      <c r="AT658" s="375"/>
      <c r="AU658" s="375"/>
      <c r="AV658" s="375"/>
      <c r="AW658" s="375"/>
      <c r="AX658" s="375"/>
      <c r="AY658" s="375"/>
      <c r="AZ658" s="375"/>
      <c r="BA658" s="375"/>
      <c r="BB658" s="375"/>
      <c r="BC658" s="375"/>
      <c r="BD658" s="375"/>
      <c r="BE658" s="375"/>
      <c r="BF658" s="375"/>
      <c r="BG658" s="79"/>
      <c r="BH658" s="79"/>
      <c r="BI658" s="79"/>
      <c r="BJ658" s="79"/>
      <c r="BK658" s="79"/>
      <c r="BL658" s="79"/>
      <c r="BM658" s="79"/>
      <c r="BN658" s="79"/>
      <c r="BO658" s="79"/>
      <c r="BP658" s="79"/>
      <c r="BQ658" s="79"/>
      <c r="BR658" s="79"/>
      <c r="BS658" s="79"/>
    </row>
    <row r="659" spans="1:71" ht="15" hidden="1" customHeight="1">
      <c r="A659" s="79"/>
      <c r="B659" s="296"/>
      <c r="C659" s="348"/>
      <c r="D659" s="347" t="str">
        <f>_xlfn.TEXTJOIN("_",FALSE,E659,ERP_8[[#This Row],[Expense Category]],ERP_8[[#This Row],[Project Code*]])</f>
        <v>Ganessan, Srinivasan_SOFTWARE_2026-XFR-0011-A</v>
      </c>
      <c r="E659" s="347" t="s">
        <v>2824</v>
      </c>
      <c r="F659" s="348"/>
      <c r="G659" s="332" t="s">
        <v>1136</v>
      </c>
      <c r="H659" s="332" t="s">
        <v>2824</v>
      </c>
      <c r="I659" s="332" t="s">
        <v>2824</v>
      </c>
      <c r="J659" s="333" t="s">
        <v>2824</v>
      </c>
      <c r="K659" s="514" t="s">
        <v>639</v>
      </c>
      <c r="L659" s="401" t="s">
        <v>2825</v>
      </c>
      <c r="M659" s="333"/>
      <c r="N659" s="801"/>
      <c r="O659" s="90" t="s">
        <v>2826</v>
      </c>
      <c r="P659" s="347"/>
      <c r="Q659" s="347"/>
      <c r="R659" s="348"/>
      <c r="S659" s="348" t="s">
        <v>152</v>
      </c>
      <c r="T659" s="348" t="s">
        <v>2821</v>
      </c>
      <c r="U659" s="440"/>
      <c r="V659" s="454"/>
      <c r="W659" s="509"/>
      <c r="X659" s="425"/>
      <c r="Y659" s="425"/>
      <c r="Z659" s="429"/>
      <c r="AA659" s="429"/>
      <c r="AB659" s="429"/>
      <c r="AC659" s="429"/>
      <c r="AD659" s="429"/>
      <c r="AE659" s="429"/>
      <c r="AF659" s="429"/>
      <c r="AG659" s="364">
        <v>-9494</v>
      </c>
      <c r="AH659" s="364"/>
      <c r="AI659" s="364"/>
      <c r="AJ659" s="364"/>
      <c r="AK659" s="364"/>
      <c r="AL659" s="360">
        <f t="shared" si="36"/>
        <v>-9494</v>
      </c>
      <c r="AM659" s="455">
        <f>ERP_8[[#This Row],[2026 Working Total]]-ERP_8[[#This Row],[LE2 Final Submission]]</f>
        <v>-9494</v>
      </c>
      <c r="AN659" s="79"/>
      <c r="AO659" s="79">
        <f t="shared" ref="AO659:AO666" si="37">$AE659 - $AN659</f>
        <v>0</v>
      </c>
      <c r="AP659" s="391">
        <f>SUM(ERP_8[[#This Row],[AP01]:[AP07]])-SUM(ERP_8[[#This Row],[AP01 LE2]:[AP07 LE2]])</f>
        <v>0</v>
      </c>
      <c r="AQ659" s="80"/>
      <c r="AR659" s="79">
        <f>ERP_8[[#This Row],[2026 Working Total to Budget/LE]]-ERP_8[[#This Row],[Giveback]]</f>
        <v>-9494</v>
      </c>
      <c r="AS659" s="81"/>
      <c r="AT659" s="375"/>
      <c r="AU659" s="375"/>
      <c r="AV659" s="375"/>
      <c r="AW659" s="375"/>
      <c r="AX659" s="375"/>
      <c r="AY659" s="375"/>
      <c r="AZ659" s="375"/>
      <c r="BA659" s="375"/>
      <c r="BB659" s="375"/>
      <c r="BC659" s="375"/>
      <c r="BD659" s="375"/>
      <c r="BE659" s="375"/>
      <c r="BF659" s="375"/>
      <c r="BG659" s="79"/>
      <c r="BH659" s="79"/>
      <c r="BI659" s="79"/>
      <c r="BJ659" s="79"/>
      <c r="BK659" s="79"/>
      <c r="BL659" s="79"/>
      <c r="BM659" s="79"/>
      <c r="BN659" s="79"/>
      <c r="BO659" s="79"/>
      <c r="BP659" s="79"/>
      <c r="BQ659" s="79"/>
      <c r="BR659" s="79"/>
      <c r="BS659" s="79"/>
    </row>
    <row r="660" spans="1:71" ht="15" hidden="1" customHeight="1">
      <c r="A660" s="79"/>
      <c r="B660" s="296"/>
      <c r="C660" s="348"/>
      <c r="D660" s="347" t="str">
        <f>_xlfn.TEXTJOIN("_",FALSE,E660,ERP_8[[#This Row],[Expense Category]],ERP_8[[#This Row],[Project Code*]])</f>
        <v>Dougherty, Chris_SOFTWARE_2026-XFR-0062-A</v>
      </c>
      <c r="E660" s="347" t="s">
        <v>1135</v>
      </c>
      <c r="F660" s="348"/>
      <c r="G660" s="332" t="s">
        <v>1136</v>
      </c>
      <c r="H660" s="332" t="s">
        <v>1135</v>
      </c>
      <c r="I660" s="332" t="s">
        <v>1135</v>
      </c>
      <c r="J660" s="333" t="s">
        <v>1145</v>
      </c>
      <c r="K660" s="514" t="s">
        <v>639</v>
      </c>
      <c r="L660" s="401" t="s">
        <v>2827</v>
      </c>
      <c r="M660" s="333"/>
      <c r="N660" s="801"/>
      <c r="O660" s="90" t="s">
        <v>2828</v>
      </c>
      <c r="P660" s="347"/>
      <c r="Q660" s="347"/>
      <c r="R660" s="348"/>
      <c r="S660" s="348" t="s">
        <v>152</v>
      </c>
      <c r="T660" s="348" t="s">
        <v>2821</v>
      </c>
      <c r="U660" s="440"/>
      <c r="V660" s="454"/>
      <c r="W660" s="509"/>
      <c r="X660" s="425"/>
      <c r="Y660" s="425"/>
      <c r="Z660" s="429"/>
      <c r="AA660" s="429"/>
      <c r="AB660" s="429"/>
      <c r="AC660" s="429"/>
      <c r="AD660" s="429"/>
      <c r="AE660" s="429"/>
      <c r="AF660" s="429"/>
      <c r="AG660" s="364">
        <v>-40092</v>
      </c>
      <c r="AH660" s="364"/>
      <c r="AI660" s="364"/>
      <c r="AJ660" s="364"/>
      <c r="AK660" s="364"/>
      <c r="AL660" s="360">
        <f t="shared" si="36"/>
        <v>-40092</v>
      </c>
      <c r="AM660" s="455">
        <f>ERP_8[[#This Row],[2026 Working Total]]-ERP_8[[#This Row],[LE2 Final Submission]]</f>
        <v>-40092</v>
      </c>
      <c r="AN660" s="79"/>
      <c r="AO660" s="79">
        <f t="shared" si="37"/>
        <v>0</v>
      </c>
      <c r="AP660" s="391">
        <f>SUM(ERP_8[[#This Row],[AP01]:[AP07]])-SUM(ERP_8[[#This Row],[AP01 LE2]:[AP07 LE2]])</f>
        <v>0</v>
      </c>
      <c r="AQ660" s="80"/>
      <c r="AR660" s="79">
        <f>ERP_8[[#This Row],[2026 Working Total to Budget/LE]]-ERP_8[[#This Row],[Giveback]]</f>
        <v>-40092</v>
      </c>
      <c r="AS660" s="81"/>
      <c r="AT660" s="375"/>
      <c r="AU660" s="375"/>
      <c r="AV660" s="375"/>
      <c r="AW660" s="375"/>
      <c r="AX660" s="375"/>
      <c r="AY660" s="375"/>
      <c r="AZ660" s="375"/>
      <c r="BA660" s="375"/>
      <c r="BB660" s="375"/>
      <c r="BC660" s="375"/>
      <c r="BD660" s="375"/>
      <c r="BE660" s="375"/>
      <c r="BF660" s="375"/>
      <c r="BG660" s="79"/>
      <c r="BH660" s="79"/>
      <c r="BI660" s="79"/>
      <c r="BJ660" s="79"/>
      <c r="BK660" s="79"/>
      <c r="BL660" s="79"/>
      <c r="BM660" s="79"/>
      <c r="BN660" s="79"/>
      <c r="BO660" s="79"/>
      <c r="BP660" s="79"/>
      <c r="BQ660" s="79"/>
      <c r="BR660" s="79"/>
      <c r="BS660" s="79"/>
    </row>
    <row r="661" spans="1:71" ht="15" hidden="1" customHeight="1">
      <c r="A661" s="66" t="s">
        <v>2829</v>
      </c>
      <c r="B661" s="737" t="s">
        <v>1028</v>
      </c>
      <c r="C661" s="346"/>
      <c r="D661" s="343" t="str">
        <f>_xlfn.TEXTJOIN("_",FALSE,E661,ERP_8[[#This Row],[Expense Category]],ERP_8[[#This Row],[Project Code*]])</f>
        <v>Dougherty, Chris_TELECOMMUNICATIONS_Telecom001</v>
      </c>
      <c r="E661" s="343" t="s">
        <v>1135</v>
      </c>
      <c r="F661" s="346"/>
      <c r="G661" s="150" t="s">
        <v>1136</v>
      </c>
      <c r="H661" s="150" t="s">
        <v>1135</v>
      </c>
      <c r="I661" s="150" t="s">
        <v>1135</v>
      </c>
      <c r="J661" s="150" t="s">
        <v>1137</v>
      </c>
      <c r="K661" s="511" t="s">
        <v>1027</v>
      </c>
      <c r="L661" s="451" t="s">
        <v>2830</v>
      </c>
      <c r="M661" s="343"/>
      <c r="N661" s="800"/>
      <c r="O661" s="70" t="s">
        <v>1029</v>
      </c>
      <c r="P661" s="346"/>
      <c r="Q661" s="343"/>
      <c r="R661" s="346"/>
      <c r="S661" s="150" t="s">
        <v>25</v>
      </c>
      <c r="T661" s="150"/>
      <c r="U661" s="453"/>
      <c r="V661" s="528">
        <v>0</v>
      </c>
      <c r="W661" s="529">
        <v>4741</v>
      </c>
      <c r="X661" s="425"/>
      <c r="Y661" s="425"/>
      <c r="Z661" s="794">
        <v>876</v>
      </c>
      <c r="AA661" s="794">
        <v>1712</v>
      </c>
      <c r="AB661" s="794">
        <v>2153</v>
      </c>
      <c r="AC661" s="429">
        <v>1577</v>
      </c>
      <c r="AD661" s="429">
        <v>1546.0000000000002</v>
      </c>
      <c r="AE661" s="429">
        <v>2107.0000000000005</v>
      </c>
      <c r="AF661" s="429">
        <v>2449.8699999999994</v>
      </c>
      <c r="AG661" s="360">
        <v>0</v>
      </c>
      <c r="AH661" s="360">
        <v>0</v>
      </c>
      <c r="AI661" s="360">
        <v>0</v>
      </c>
      <c r="AJ661" s="360">
        <v>0</v>
      </c>
      <c r="AK661" s="360">
        <v>0</v>
      </c>
      <c r="AL661" s="360">
        <f t="shared" si="36"/>
        <v>12420.869999999999</v>
      </c>
      <c r="AM661" s="455">
        <f>ERP_8[[#This Row],[2026 Working Total]]-ERP_8[[#This Row],[LE2 Final Submission]]</f>
        <v>7679.869999999999</v>
      </c>
      <c r="AN661" s="79">
        <v>0</v>
      </c>
      <c r="AO661" s="79">
        <f t="shared" si="37"/>
        <v>2107.0000000000005</v>
      </c>
      <c r="AP661" s="374">
        <f>SUM(ERP_8[[#This Row],[AP01]:[AP07]])-SUM(ERP_8[[#This Row],[AP01 LE2]:[AP07 LE2]])</f>
        <v>7679.869999999999</v>
      </c>
      <c r="AQ661" s="80"/>
      <c r="AR661" s="79">
        <f>ERP_8[[#This Row],[2026 Working Total to Budget/LE]]-ERP_8[[#This Row],[Giveback]]</f>
        <v>7679.869999999999</v>
      </c>
      <c r="AS661" s="81"/>
      <c r="AT661" s="375">
        <v>876</v>
      </c>
      <c r="AU661" s="375">
        <v>1712</v>
      </c>
      <c r="AV661" s="375">
        <v>2153</v>
      </c>
      <c r="AW661" s="375">
        <v>0</v>
      </c>
      <c r="AX661" s="375">
        <v>0</v>
      </c>
      <c r="AY661" s="375">
        <v>0</v>
      </c>
      <c r="AZ661" s="375">
        <v>0</v>
      </c>
      <c r="BA661" s="375">
        <v>0</v>
      </c>
      <c r="BB661" s="375">
        <v>0</v>
      </c>
      <c r="BC661" s="375">
        <v>0</v>
      </c>
      <c r="BD661" s="375">
        <v>0</v>
      </c>
      <c r="BE661" s="375">
        <v>0</v>
      </c>
      <c r="BF661" s="375">
        <v>4741</v>
      </c>
      <c r="BG661" s="79">
        <v>876</v>
      </c>
      <c r="BH661" s="79">
        <v>1712</v>
      </c>
      <c r="BI661" s="79">
        <v>2153</v>
      </c>
      <c r="BJ661" s="79">
        <v>0</v>
      </c>
      <c r="BK661" s="79">
        <v>0</v>
      </c>
      <c r="BL661" s="79">
        <v>0</v>
      </c>
      <c r="BM661" s="79">
        <v>0</v>
      </c>
      <c r="BN661" s="79">
        <v>0</v>
      </c>
      <c r="BO661" s="79">
        <v>0</v>
      </c>
      <c r="BP661" s="79">
        <v>0</v>
      </c>
      <c r="BQ661" s="79">
        <v>0</v>
      </c>
      <c r="BR661" s="79">
        <v>0</v>
      </c>
      <c r="BS661" s="79">
        <v>4741</v>
      </c>
    </row>
    <row r="662" spans="1:71" ht="15" hidden="1" customHeight="1">
      <c r="A662" s="66" t="s">
        <v>2831</v>
      </c>
      <c r="B662" s="737" t="s">
        <v>2832</v>
      </c>
      <c r="C662" s="346"/>
      <c r="D662" s="343" t="str">
        <f>_xlfn.TEXTJOIN("_",FALSE,E662,ERP_8[[#This Row],[Expense Category]],ERP_8[[#This Row],[Project Code*]])</f>
        <v>Dougherty, Chris_TELECOMMUNICATIONS_Telecom001</v>
      </c>
      <c r="E662" s="343" t="s">
        <v>1135</v>
      </c>
      <c r="F662" s="346"/>
      <c r="G662" s="150" t="s">
        <v>1136</v>
      </c>
      <c r="H662" s="150" t="s">
        <v>1135</v>
      </c>
      <c r="I662" s="150" t="s">
        <v>1137</v>
      </c>
      <c r="J662" s="150" t="s">
        <v>1137</v>
      </c>
      <c r="K662" s="511" t="s">
        <v>1027</v>
      </c>
      <c r="L662" s="451" t="s">
        <v>2830</v>
      </c>
      <c r="M662" s="343"/>
      <c r="N662" s="800"/>
      <c r="O662" s="70" t="s">
        <v>1029</v>
      </c>
      <c r="P662" s="346"/>
      <c r="Q662" s="343"/>
      <c r="R662" s="346"/>
      <c r="S662" s="150" t="s">
        <v>25</v>
      </c>
      <c r="T662" s="1" t="s">
        <v>1141</v>
      </c>
      <c r="U662" s="453"/>
      <c r="V662" s="528">
        <v>78300</v>
      </c>
      <c r="W662" s="529">
        <v>62093.21</v>
      </c>
      <c r="X662" s="425"/>
      <c r="Y662" s="425"/>
      <c r="Z662" s="794">
        <v>350.82</v>
      </c>
      <c r="AA662" s="780">
        <v>683.3</v>
      </c>
      <c r="AB662" s="780">
        <v>1259.0899999999999</v>
      </c>
      <c r="AC662" s="428">
        <v>404.51000000000005</v>
      </c>
      <c r="AD662" s="429">
        <v>2183.5099999999993</v>
      </c>
      <c r="AE662" s="429">
        <v>2294.7200000000003</v>
      </c>
      <c r="AF662" s="429">
        <v>331.28</v>
      </c>
      <c r="AG662" s="363">
        <v>6500</v>
      </c>
      <c r="AH662" s="363">
        <v>6900</v>
      </c>
      <c r="AI662" s="363">
        <v>6900</v>
      </c>
      <c r="AJ662" s="363">
        <v>6900</v>
      </c>
      <c r="AK662" s="363">
        <v>6900</v>
      </c>
      <c r="AL662" s="360">
        <f t="shared" si="36"/>
        <v>41607.229999999996</v>
      </c>
      <c r="AM662" s="455">
        <f>ERP_8[[#This Row],[2026 Working Total]]-ERP_8[[#This Row],[LE2 Final Submission]]</f>
        <v>-20485.980000000003</v>
      </c>
      <c r="AN662" s="79">
        <v>6500</v>
      </c>
      <c r="AO662" s="79">
        <f t="shared" si="37"/>
        <v>-4205.28</v>
      </c>
      <c r="AP662" s="374">
        <f>SUM(ERP_8[[#This Row],[AP01]:[AP07]])-SUM(ERP_8[[#This Row],[AP01 LE2]:[AP07 LE2]])</f>
        <v>-20485.98</v>
      </c>
      <c r="AQ662" s="80"/>
      <c r="AR662" s="79">
        <f>ERP_8[[#This Row],[2026 Working Total to Budget/LE]]-ERP_8[[#This Row],[Giveback]]</f>
        <v>-20485.980000000003</v>
      </c>
      <c r="AS662" s="81"/>
      <c r="AT662" s="375">
        <v>350.82</v>
      </c>
      <c r="AU662" s="375">
        <v>683.3</v>
      </c>
      <c r="AV662" s="375">
        <v>1259.0899999999999</v>
      </c>
      <c r="AW662" s="375">
        <v>6400</v>
      </c>
      <c r="AX662" s="375">
        <v>6400</v>
      </c>
      <c r="AY662" s="375">
        <v>6400</v>
      </c>
      <c r="AZ662" s="375">
        <v>6500</v>
      </c>
      <c r="BA662" s="375">
        <v>6500</v>
      </c>
      <c r="BB662" s="375">
        <v>6900</v>
      </c>
      <c r="BC662" s="375">
        <v>6900</v>
      </c>
      <c r="BD662" s="375">
        <v>6900</v>
      </c>
      <c r="BE662" s="375">
        <v>6900</v>
      </c>
      <c r="BF662" s="375">
        <v>62093.21</v>
      </c>
      <c r="BG662" s="79">
        <v>350.82</v>
      </c>
      <c r="BH662" s="79">
        <v>683.3</v>
      </c>
      <c r="BI662" s="79">
        <v>1259.0899999999999</v>
      </c>
      <c r="BJ662" s="79">
        <v>6400</v>
      </c>
      <c r="BK662" s="79">
        <v>6400</v>
      </c>
      <c r="BL662" s="79">
        <v>6400</v>
      </c>
      <c r="BM662" s="79">
        <v>6500</v>
      </c>
      <c r="BN662" s="79">
        <v>6500</v>
      </c>
      <c r="BO662" s="79">
        <v>6900</v>
      </c>
      <c r="BP662" s="79">
        <v>6900</v>
      </c>
      <c r="BQ662" s="79">
        <v>6900</v>
      </c>
      <c r="BR662" s="79">
        <v>6900</v>
      </c>
      <c r="BS662" s="79">
        <v>62093.21</v>
      </c>
    </row>
    <row r="663" spans="1:71" ht="15" hidden="1" customHeight="1">
      <c r="A663" s="66" t="s">
        <v>2833</v>
      </c>
      <c r="B663" s="737" t="s">
        <v>1030</v>
      </c>
      <c r="C663" s="346"/>
      <c r="D663" s="343" t="str">
        <f>_xlfn.TEXTJOIN("_",FALSE,E663,ERP_8[[#This Row],[Expense Category]],ERP_8[[#This Row],[Project Code*]])</f>
        <v>Ganesan, Srinivasan_TELECOMMUNICATIONS_Telecom001</v>
      </c>
      <c r="E663" s="343" t="s">
        <v>1344</v>
      </c>
      <c r="F663" s="346"/>
      <c r="G663" s="150" t="s">
        <v>1136</v>
      </c>
      <c r="H663" s="150" t="s">
        <v>1345</v>
      </c>
      <c r="I663" s="150" t="s">
        <v>1344</v>
      </c>
      <c r="J663" s="150" t="s">
        <v>1346</v>
      </c>
      <c r="K663" s="511" t="s">
        <v>1027</v>
      </c>
      <c r="L663" s="451" t="s">
        <v>2830</v>
      </c>
      <c r="M663" s="343"/>
      <c r="N663" s="800"/>
      <c r="O663" s="70" t="s">
        <v>1029</v>
      </c>
      <c r="P663" s="346"/>
      <c r="Q663" s="343"/>
      <c r="R663" s="346"/>
      <c r="S663" s="150" t="s">
        <v>25</v>
      </c>
      <c r="T663" s="150"/>
      <c r="U663" s="453"/>
      <c r="V663" s="528">
        <v>0</v>
      </c>
      <c r="W663" s="529">
        <v>39.089999999999996</v>
      </c>
      <c r="X663" s="425"/>
      <c r="Y663" s="425"/>
      <c r="Z663" s="794">
        <v>-39.24</v>
      </c>
      <c r="AA663" s="780">
        <v>78.33</v>
      </c>
      <c r="AB663" s="780">
        <v>0</v>
      </c>
      <c r="AC663" s="428">
        <v>101.53</v>
      </c>
      <c r="AD663" s="429">
        <v>0</v>
      </c>
      <c r="AE663" s="429">
        <v>0</v>
      </c>
      <c r="AF663" s="429">
        <v>33.839999999999996</v>
      </c>
      <c r="AG663" s="360">
        <v>0</v>
      </c>
      <c r="AH663" s="360">
        <v>0</v>
      </c>
      <c r="AI663" s="360">
        <v>0</v>
      </c>
      <c r="AJ663" s="360">
        <v>0</v>
      </c>
      <c r="AK663" s="360">
        <v>0</v>
      </c>
      <c r="AL663" s="360">
        <f t="shared" si="36"/>
        <v>174.46</v>
      </c>
      <c r="AM663" s="455">
        <f>ERP_8[[#This Row],[2026 Working Total]]-ERP_8[[#This Row],[LE2 Final Submission]]</f>
        <v>135.37</v>
      </c>
      <c r="AN663" s="79">
        <v>0</v>
      </c>
      <c r="AO663" s="79">
        <f t="shared" si="37"/>
        <v>0</v>
      </c>
      <c r="AP663" s="374">
        <f>SUM(ERP_8[[#This Row],[AP01]:[AP07]])-SUM(ERP_8[[#This Row],[AP01 LE2]:[AP07 LE2]])</f>
        <v>135.37</v>
      </c>
      <c r="AQ663" s="80"/>
      <c r="AR663" s="79">
        <f>ERP_8[[#This Row],[2026 Working Total to Budget/LE]]-ERP_8[[#This Row],[Giveback]]</f>
        <v>135.37</v>
      </c>
      <c r="AS663" s="81"/>
      <c r="AT663" s="375">
        <v>-39.24</v>
      </c>
      <c r="AU663" s="375">
        <v>78.33</v>
      </c>
      <c r="AV663" s="375">
        <v>0</v>
      </c>
      <c r="AW663" s="375">
        <v>0</v>
      </c>
      <c r="AX663" s="375">
        <v>0</v>
      </c>
      <c r="AY663" s="375">
        <v>0</v>
      </c>
      <c r="AZ663" s="375">
        <v>0</v>
      </c>
      <c r="BA663" s="375">
        <v>0</v>
      </c>
      <c r="BB663" s="375">
        <v>0</v>
      </c>
      <c r="BC663" s="375">
        <v>0</v>
      </c>
      <c r="BD663" s="375">
        <v>0</v>
      </c>
      <c r="BE663" s="375">
        <v>0</v>
      </c>
      <c r="BF663" s="375">
        <v>39.089999999999996</v>
      </c>
      <c r="BG663" s="79">
        <v>-39.24</v>
      </c>
      <c r="BH663" s="79">
        <v>78.33</v>
      </c>
      <c r="BI663" s="79">
        <v>0</v>
      </c>
      <c r="BJ663" s="79">
        <v>0</v>
      </c>
      <c r="BK663" s="79">
        <v>0</v>
      </c>
      <c r="BL663" s="79">
        <v>0</v>
      </c>
      <c r="BM663" s="79">
        <v>0</v>
      </c>
      <c r="BN663" s="79">
        <v>0</v>
      </c>
      <c r="BO663" s="79">
        <v>0</v>
      </c>
      <c r="BP663" s="79">
        <v>0</v>
      </c>
      <c r="BQ663" s="79">
        <v>0</v>
      </c>
      <c r="BR663" s="79">
        <v>0</v>
      </c>
      <c r="BS663" s="79">
        <v>39.089999999999996</v>
      </c>
    </row>
    <row r="664" spans="1:71" ht="15" hidden="1" customHeight="1">
      <c r="A664" s="66" t="s">
        <v>2834</v>
      </c>
      <c r="B664" s="737" t="s">
        <v>1031</v>
      </c>
      <c r="C664" s="346"/>
      <c r="D664" s="343" t="str">
        <f>_xlfn.TEXTJOIN("_",FALSE,E664,ERP_8[[#This Row],[Expense Category]],ERP_8[[#This Row],[Project Code*]])</f>
        <v>Jajodia, Amit_TELECOMMUNICATIONS_Telecom001</v>
      </c>
      <c r="E664" s="343" t="s">
        <v>1515</v>
      </c>
      <c r="F664" s="346"/>
      <c r="G664" s="150" t="s">
        <v>1136</v>
      </c>
      <c r="H664" s="150" t="s">
        <v>1345</v>
      </c>
      <c r="I664" s="150" t="s">
        <v>1515</v>
      </c>
      <c r="J664" s="150" t="s">
        <v>1346</v>
      </c>
      <c r="K664" s="511" t="s">
        <v>1027</v>
      </c>
      <c r="L664" s="451" t="s">
        <v>2830</v>
      </c>
      <c r="M664" s="343"/>
      <c r="N664" s="800"/>
      <c r="O664" s="70" t="s">
        <v>1029</v>
      </c>
      <c r="P664" s="346"/>
      <c r="Q664" s="343"/>
      <c r="R664" s="346"/>
      <c r="S664" s="150" t="s">
        <v>25</v>
      </c>
      <c r="T664" s="150"/>
      <c r="U664" s="453"/>
      <c r="V664" s="528">
        <v>0</v>
      </c>
      <c r="W664" s="529">
        <v>208.93</v>
      </c>
      <c r="X664" s="425"/>
      <c r="Y664" s="425"/>
      <c r="Z664" s="794">
        <v>-76.86</v>
      </c>
      <c r="AA664" s="794">
        <v>111.1</v>
      </c>
      <c r="AB664" s="794">
        <v>174.69</v>
      </c>
      <c r="AC664" s="428">
        <v>0</v>
      </c>
      <c r="AD664" s="429">
        <v>108.31</v>
      </c>
      <c r="AE664" s="429">
        <v>60.089999999999996</v>
      </c>
      <c r="AF664" s="429">
        <v>0</v>
      </c>
      <c r="AG664" s="360">
        <v>0</v>
      </c>
      <c r="AH664" s="360">
        <v>0</v>
      </c>
      <c r="AI664" s="360">
        <v>0</v>
      </c>
      <c r="AJ664" s="360">
        <v>0</v>
      </c>
      <c r="AK664" s="360">
        <v>0</v>
      </c>
      <c r="AL664" s="360">
        <f t="shared" si="36"/>
        <v>377.33</v>
      </c>
      <c r="AM664" s="455">
        <f>ERP_8[[#This Row],[2026 Working Total]]-ERP_8[[#This Row],[LE2 Final Submission]]</f>
        <v>168.39999999999998</v>
      </c>
      <c r="AN664" s="79">
        <v>0</v>
      </c>
      <c r="AO664" s="79">
        <f t="shared" si="37"/>
        <v>60.089999999999996</v>
      </c>
      <c r="AP664" s="374">
        <f>SUM(ERP_8[[#This Row],[AP01]:[AP07]])-SUM(ERP_8[[#This Row],[AP01 LE2]:[AP07 LE2]])</f>
        <v>168.39999999999998</v>
      </c>
      <c r="AQ664" s="80"/>
      <c r="AR664" s="79">
        <f>ERP_8[[#This Row],[2026 Working Total to Budget/LE]]-ERP_8[[#This Row],[Giveback]]</f>
        <v>168.39999999999998</v>
      </c>
      <c r="AS664" s="81"/>
      <c r="AT664" s="375">
        <v>-76.86</v>
      </c>
      <c r="AU664" s="375">
        <v>111.1</v>
      </c>
      <c r="AV664" s="375">
        <v>174.69</v>
      </c>
      <c r="AW664" s="375">
        <v>0</v>
      </c>
      <c r="AX664" s="375">
        <v>0</v>
      </c>
      <c r="AY664" s="375">
        <v>0</v>
      </c>
      <c r="AZ664" s="375">
        <v>0</v>
      </c>
      <c r="BA664" s="375">
        <v>0</v>
      </c>
      <c r="BB664" s="375">
        <v>0</v>
      </c>
      <c r="BC664" s="375">
        <v>0</v>
      </c>
      <c r="BD664" s="375">
        <v>0</v>
      </c>
      <c r="BE664" s="375">
        <v>0</v>
      </c>
      <c r="BF664" s="375">
        <v>208.93</v>
      </c>
      <c r="BG664" s="79">
        <v>-76.86</v>
      </c>
      <c r="BH664" s="79">
        <v>111.1</v>
      </c>
      <c r="BI664" s="79">
        <v>174.69</v>
      </c>
      <c r="BJ664" s="79">
        <v>0</v>
      </c>
      <c r="BK664" s="79">
        <v>0</v>
      </c>
      <c r="BL664" s="79">
        <v>0</v>
      </c>
      <c r="BM664" s="79">
        <v>0</v>
      </c>
      <c r="BN664" s="79">
        <v>0</v>
      </c>
      <c r="BO664" s="79">
        <v>0</v>
      </c>
      <c r="BP664" s="79">
        <v>0</v>
      </c>
      <c r="BQ664" s="79">
        <v>0</v>
      </c>
      <c r="BR664" s="79">
        <v>0</v>
      </c>
      <c r="BS664" s="79">
        <v>208.93</v>
      </c>
    </row>
    <row r="665" spans="1:71" ht="15" hidden="1" customHeight="1">
      <c r="A665" s="66" t="s">
        <v>2835</v>
      </c>
      <c r="B665" s="737" t="s">
        <v>2836</v>
      </c>
      <c r="C665" s="346"/>
      <c r="D665" s="343" t="str">
        <f>_xlfn.TEXTJOIN("_",FALSE,E665,ERP_8[[#This Row],[Expense Category]],ERP_8[[#This Row],[Project Code*]])</f>
        <v>Patel, Apurva_TELECOMMUNICATIONS_PR-320001-0000007901</v>
      </c>
      <c r="E665" s="343" t="s">
        <v>1566</v>
      </c>
      <c r="F665" s="346"/>
      <c r="G665" s="150" t="s">
        <v>1136</v>
      </c>
      <c r="H665" s="150" t="s">
        <v>1567</v>
      </c>
      <c r="I665" s="150" t="s">
        <v>1567</v>
      </c>
      <c r="J665" s="150" t="s">
        <v>1567</v>
      </c>
      <c r="K665" s="511" t="s">
        <v>1027</v>
      </c>
      <c r="L665" s="451" t="s">
        <v>1645</v>
      </c>
      <c r="M665" s="343"/>
      <c r="N665" s="800"/>
      <c r="O665" s="70" t="s">
        <v>321</v>
      </c>
      <c r="P665" s="346"/>
      <c r="Q665" s="343"/>
      <c r="R665" s="346"/>
      <c r="S665" s="771" t="s">
        <v>25</v>
      </c>
      <c r="T665" s="772"/>
      <c r="U665" s="475"/>
      <c r="V665" s="774">
        <v>0</v>
      </c>
      <c r="W665" s="775">
        <v>8.51</v>
      </c>
      <c r="X665" s="776"/>
      <c r="Y665" s="776"/>
      <c r="Z665" s="794"/>
      <c r="AA665" s="794">
        <v>8.51</v>
      </c>
      <c r="AB665" s="794">
        <v>0</v>
      </c>
      <c r="AC665" s="428" t="s">
        <v>1142</v>
      </c>
      <c r="AD665" s="429">
        <v>0</v>
      </c>
      <c r="AE665" s="429">
        <v>0</v>
      </c>
      <c r="AF665" s="429" t="s">
        <v>1142</v>
      </c>
      <c r="AG665" s="360">
        <v>0</v>
      </c>
      <c r="AH665" s="360">
        <v>0</v>
      </c>
      <c r="AI665" s="360">
        <v>0</v>
      </c>
      <c r="AJ665" s="360">
        <v>0</v>
      </c>
      <c r="AK665" s="360">
        <v>0</v>
      </c>
      <c r="AL665" s="360">
        <f t="shared" si="36"/>
        <v>8.51</v>
      </c>
      <c r="AM665" s="455">
        <f>ERP_8[[#This Row],[2026 Working Total]]-ERP_8[[#This Row],[LE2 Final Submission]]</f>
        <v>0</v>
      </c>
      <c r="AN665" s="79">
        <v>0</v>
      </c>
      <c r="AO665" s="79">
        <f t="shared" si="37"/>
        <v>0</v>
      </c>
      <c r="AP665" s="374">
        <f>SUM(ERP_8[[#This Row],[AP01]:[AP07]])-SUM(ERP_8[[#This Row],[AP01 LE2]:[AP07 LE2]])</f>
        <v>0</v>
      </c>
      <c r="AQ665" s="80"/>
      <c r="AR665" s="79">
        <f>ERP_8[[#This Row],[2026 Working Total to Budget/LE]]-ERP_8[[#This Row],[Giveback]]</f>
        <v>0</v>
      </c>
      <c r="AS665" s="81"/>
      <c r="AT665" s="375"/>
      <c r="AU665" s="375">
        <v>8.51</v>
      </c>
      <c r="AV665" s="375">
        <v>0</v>
      </c>
      <c r="AW665" s="375">
        <v>0</v>
      </c>
      <c r="AX665" s="375">
        <v>0</v>
      </c>
      <c r="AY665" s="375">
        <v>0</v>
      </c>
      <c r="AZ665" s="375">
        <v>0</v>
      </c>
      <c r="BA665" s="375">
        <v>0</v>
      </c>
      <c r="BB665" s="375">
        <v>0</v>
      </c>
      <c r="BC665" s="375">
        <v>0</v>
      </c>
      <c r="BD665" s="375">
        <v>0</v>
      </c>
      <c r="BE665" s="375">
        <v>0</v>
      </c>
      <c r="BF665" s="375">
        <v>8.51</v>
      </c>
      <c r="BG665" s="79"/>
      <c r="BH665" s="79">
        <v>8.51</v>
      </c>
      <c r="BI665" s="79">
        <v>0</v>
      </c>
      <c r="BJ665" s="79">
        <v>0</v>
      </c>
      <c r="BK665" s="79">
        <v>0</v>
      </c>
      <c r="BL665" s="79">
        <v>0</v>
      </c>
      <c r="BM665" s="79">
        <v>0</v>
      </c>
      <c r="BN665" s="79">
        <v>0</v>
      </c>
      <c r="BO665" s="79">
        <v>0</v>
      </c>
      <c r="BP665" s="79">
        <v>0</v>
      </c>
      <c r="BQ665" s="79">
        <v>0</v>
      </c>
      <c r="BR665" s="79">
        <v>0</v>
      </c>
      <c r="BS665" s="79">
        <v>8.51</v>
      </c>
    </row>
    <row r="666" spans="1:71" ht="15" hidden="1" customHeight="1">
      <c r="A666" s="66" t="s">
        <v>2837</v>
      </c>
      <c r="B666" s="737" t="s">
        <v>2838</v>
      </c>
      <c r="C666" s="346"/>
      <c r="D666" s="343" t="str">
        <f>_xlfn.TEXTJOIN("_",FALSE,E666,ERP_8[[#This Row],[Expense Category]],ERP_8[[#This Row],[Project Code*]])</f>
        <v>Patel, Apurva_TELECOMMUNICATIONS_PR-320001-0000007986</v>
      </c>
      <c r="E666" s="343" t="s">
        <v>1566</v>
      </c>
      <c r="F666" s="346"/>
      <c r="G666" s="150" t="s">
        <v>1136</v>
      </c>
      <c r="H666" s="150" t="s">
        <v>1345</v>
      </c>
      <c r="I666" s="150" t="s">
        <v>1346</v>
      </c>
      <c r="J666" s="150" t="s">
        <v>1346</v>
      </c>
      <c r="K666" s="511" t="s">
        <v>1027</v>
      </c>
      <c r="L666" s="451" t="s">
        <v>1648</v>
      </c>
      <c r="M666" s="343"/>
      <c r="N666" s="800"/>
      <c r="O666" s="70" t="s">
        <v>636</v>
      </c>
      <c r="P666" s="346"/>
      <c r="Q666" s="343"/>
      <c r="R666" s="346"/>
      <c r="S666" s="771" t="s">
        <v>25</v>
      </c>
      <c r="T666" s="772"/>
      <c r="U666" s="475"/>
      <c r="V666" s="774">
        <v>0</v>
      </c>
      <c r="W666" s="775">
        <v>11.32</v>
      </c>
      <c r="X666" s="776"/>
      <c r="Y666" s="776"/>
      <c r="Z666" s="794"/>
      <c r="AA666" s="780">
        <v>11.32</v>
      </c>
      <c r="AB666" s="780">
        <v>0</v>
      </c>
      <c r="AC666" s="428" t="s">
        <v>1142</v>
      </c>
      <c r="AD666" s="429">
        <v>0</v>
      </c>
      <c r="AE666" s="429">
        <v>0</v>
      </c>
      <c r="AF666" s="429" t="s">
        <v>1142</v>
      </c>
      <c r="AG666" s="360">
        <v>0</v>
      </c>
      <c r="AH666" s="360">
        <v>0</v>
      </c>
      <c r="AI666" s="360">
        <v>0</v>
      </c>
      <c r="AJ666" s="360">
        <v>0</v>
      </c>
      <c r="AK666" s="360">
        <v>0</v>
      </c>
      <c r="AL666" s="360">
        <f t="shared" si="36"/>
        <v>11.32</v>
      </c>
      <c r="AM666" s="455">
        <f>ERP_8[[#This Row],[2026 Working Total]]-ERP_8[[#This Row],[LE2 Final Submission]]</f>
        <v>0</v>
      </c>
      <c r="AN666" s="79">
        <v>0</v>
      </c>
      <c r="AO666" s="79">
        <f t="shared" si="37"/>
        <v>0</v>
      </c>
      <c r="AP666" s="374">
        <f>SUM(ERP_8[[#This Row],[AP01]:[AP07]])-SUM(ERP_8[[#This Row],[AP01 LE2]:[AP07 LE2]])</f>
        <v>0</v>
      </c>
      <c r="AQ666" s="80"/>
      <c r="AR666" s="79">
        <f>ERP_8[[#This Row],[2026 Working Total to Budget/LE]]-ERP_8[[#This Row],[Giveback]]</f>
        <v>0</v>
      </c>
      <c r="AS666" s="81"/>
      <c r="AT666" s="375"/>
      <c r="AU666" s="375">
        <v>11.32</v>
      </c>
      <c r="AV666" s="375">
        <v>0</v>
      </c>
      <c r="AW666" s="375">
        <v>0</v>
      </c>
      <c r="AX666" s="375">
        <v>0</v>
      </c>
      <c r="AY666" s="375">
        <v>0</v>
      </c>
      <c r="AZ666" s="375">
        <v>0</v>
      </c>
      <c r="BA666" s="375">
        <v>0</v>
      </c>
      <c r="BB666" s="375">
        <v>0</v>
      </c>
      <c r="BC666" s="375">
        <v>0</v>
      </c>
      <c r="BD666" s="375">
        <v>0</v>
      </c>
      <c r="BE666" s="375">
        <v>0</v>
      </c>
      <c r="BF666" s="375">
        <v>11.32</v>
      </c>
      <c r="BG666" s="79"/>
      <c r="BH666" s="79">
        <v>11.32</v>
      </c>
      <c r="BI666" s="79">
        <v>0</v>
      </c>
      <c r="BJ666" s="79">
        <v>0</v>
      </c>
      <c r="BK666" s="79">
        <v>0</v>
      </c>
      <c r="BL666" s="79">
        <v>0</v>
      </c>
      <c r="BM666" s="79">
        <v>0</v>
      </c>
      <c r="BN666" s="79">
        <v>0</v>
      </c>
      <c r="BO666" s="79">
        <v>0</v>
      </c>
      <c r="BP666" s="79">
        <v>0</v>
      </c>
      <c r="BQ666" s="79">
        <v>0</v>
      </c>
      <c r="BR666" s="79">
        <v>0</v>
      </c>
      <c r="BS666" s="79">
        <v>11.32</v>
      </c>
    </row>
    <row r="667" spans="1:71" ht="15" hidden="1" customHeight="1">
      <c r="A667" s="79" t="s">
        <v>2839</v>
      </c>
      <c r="B667" s="66" t="s">
        <v>1034</v>
      </c>
      <c r="C667" s="818"/>
      <c r="D667" s="343" t="str">
        <f>_xlfn.TEXTJOIN("_",FALSE,E667,ERP_8[[#This Row],[Expense Category]],ERP_8[[#This Row],[Project Code*]])</f>
        <v>Patel, Apurva_TELECOMMUNICATIONS_Telecom001</v>
      </c>
      <c r="E667" s="331" t="s">
        <v>1566</v>
      </c>
      <c r="F667" s="818"/>
      <c r="G667" s="150" t="s">
        <v>1136</v>
      </c>
      <c r="H667" s="490" t="s">
        <v>1566</v>
      </c>
      <c r="I667" s="150" t="s">
        <v>1566</v>
      </c>
      <c r="J667" s="590" t="s">
        <v>1135</v>
      </c>
      <c r="K667" s="333" t="s">
        <v>1027</v>
      </c>
      <c r="L667" s="591" t="s">
        <v>1736</v>
      </c>
      <c r="M667" s="333"/>
      <c r="N667" s="801"/>
      <c r="O667" s="348" t="s">
        <v>1029</v>
      </c>
      <c r="P667" s="347"/>
      <c r="Q667" s="347"/>
      <c r="R667" s="348"/>
      <c r="S667" s="592"/>
      <c r="T667" s="589" t="s">
        <v>1737</v>
      </c>
      <c r="U667" s="594"/>
      <c r="V667" s="588"/>
      <c r="W667" s="589"/>
      <c r="X667" s="776"/>
      <c r="Y667" s="776"/>
      <c r="Z667" s="429">
        <v>29.53</v>
      </c>
      <c r="AA667" s="795">
        <v>-32.380000000000003</v>
      </c>
      <c r="AB667" s="795">
        <v>-28.27</v>
      </c>
      <c r="AC667" s="434">
        <v>-55.89</v>
      </c>
      <c r="AD667" s="434">
        <v>-25</v>
      </c>
      <c r="AE667" s="434"/>
      <c r="AF667" s="429" t="s">
        <v>1142</v>
      </c>
      <c r="AG667" s="364"/>
      <c r="AH667" s="364"/>
      <c r="AI667" s="364"/>
      <c r="AJ667" s="364"/>
      <c r="AK667" s="364"/>
      <c r="AL667" s="360">
        <f>SUM(X667:AK667)</f>
        <v>-112.01</v>
      </c>
      <c r="AM667" s="455">
        <f>ERP_8[[#This Row],[2026 Working Total]]-ERP_8[[#This Row],[LE2 Final Submission]]</f>
        <v>-112.01</v>
      </c>
      <c r="AN667" s="79"/>
      <c r="AO667" s="79">
        <f>$Z667 - $AN667</f>
        <v>29.53</v>
      </c>
      <c r="AP667" s="374">
        <f>SUM(ERP_8[[#This Row],[AP01]:[AP07]])-SUM(ERP_8[[#This Row],[AP01 LE2]:[AP07 LE2]])</f>
        <v>-112.01</v>
      </c>
      <c r="AQ667" s="80"/>
      <c r="AR667" s="79">
        <f>ERP_8[[#This Row],[2026 Working Total to Budget/LE]]-ERP_8[[#This Row],[Giveback]]</f>
        <v>-112.01</v>
      </c>
      <c r="AS667" s="81"/>
      <c r="AT667" s="375"/>
      <c r="AU667" s="375"/>
      <c r="AV667" s="375"/>
      <c r="AW667" s="375"/>
      <c r="AX667" s="375"/>
      <c r="AY667" s="375"/>
      <c r="AZ667" s="375"/>
      <c r="BA667" s="375"/>
      <c r="BB667" s="375"/>
      <c r="BC667" s="375"/>
      <c r="BD667" s="375"/>
      <c r="BE667" s="375"/>
      <c r="BF667" s="375"/>
      <c r="BG667" s="79"/>
      <c r="BH667" s="79"/>
      <c r="BI667" s="79"/>
      <c r="BJ667" s="79"/>
      <c r="BK667" s="79"/>
      <c r="BL667" s="79"/>
      <c r="BM667" s="79"/>
      <c r="BN667" s="79"/>
      <c r="BO667" s="79"/>
      <c r="BP667" s="79"/>
      <c r="BQ667" s="79"/>
      <c r="BR667" s="79"/>
      <c r="BS667" s="79"/>
    </row>
    <row r="668" spans="1:71" ht="15" hidden="1" customHeight="1">
      <c r="A668" s="66" t="s">
        <v>2840</v>
      </c>
      <c r="B668" s="737" t="s">
        <v>2841</v>
      </c>
      <c r="C668" s="346"/>
      <c r="D668" s="343" t="str">
        <f>_xlfn.TEXTJOIN("_",FALSE,E668,ERP_8[[#This Row],[Expense Category]],ERP_8[[#This Row],[Project Code*]])</f>
        <v>Patel, Apurva_TELECOMMUNICATIONS_Telecom001</v>
      </c>
      <c r="E668" s="343" t="s">
        <v>1566</v>
      </c>
      <c r="F668" s="346"/>
      <c r="G668" s="150" t="s">
        <v>1136</v>
      </c>
      <c r="H668" s="150" t="s">
        <v>1345</v>
      </c>
      <c r="I668" s="150" t="s">
        <v>1346</v>
      </c>
      <c r="J668" s="150" t="s">
        <v>1346</v>
      </c>
      <c r="K668" s="511" t="s">
        <v>1027</v>
      </c>
      <c r="L668" s="451" t="s">
        <v>2830</v>
      </c>
      <c r="M668" s="343"/>
      <c r="N668" s="800"/>
      <c r="O668" s="70" t="s">
        <v>1029</v>
      </c>
      <c r="P668" s="346"/>
      <c r="Q668" s="343"/>
      <c r="R668" s="346"/>
      <c r="S668" s="771" t="s">
        <v>25</v>
      </c>
      <c r="T668" s="772"/>
      <c r="U668" s="475"/>
      <c r="V668" s="774">
        <v>157900</v>
      </c>
      <c r="W668" s="775">
        <v>130982.95</v>
      </c>
      <c r="X668" s="884"/>
      <c r="Y668" s="884"/>
      <c r="Z668" s="794">
        <v>2896.56</v>
      </c>
      <c r="AA668" s="780">
        <v>3761.9</v>
      </c>
      <c r="AB668" s="780">
        <v>4324.49</v>
      </c>
      <c r="AC668" s="428">
        <v>5457.6899999999987</v>
      </c>
      <c r="AD668" s="429">
        <v>8526.0100000000039</v>
      </c>
      <c r="AE668" s="429">
        <v>5199.119999999999</v>
      </c>
      <c r="AF668" s="429">
        <v>2897.2900000000004</v>
      </c>
      <c r="AG668" s="363">
        <v>13700</v>
      </c>
      <c r="AH668" s="363">
        <v>13700</v>
      </c>
      <c r="AI668" s="363">
        <v>13700</v>
      </c>
      <c r="AJ668" s="363">
        <v>13800</v>
      </c>
      <c r="AK668" s="363">
        <v>13800</v>
      </c>
      <c r="AL668" s="360">
        <f t="shared" ref="AL668:AL677" si="38">SUM(Z668:AK668)</f>
        <v>101763.06</v>
      </c>
      <c r="AM668" s="455">
        <f>ERP_8[[#This Row],[2026 Working Total]]-ERP_8[[#This Row],[LE2 Final Submission]]</f>
        <v>-29219.89</v>
      </c>
      <c r="AN668" s="79">
        <v>13500</v>
      </c>
      <c r="AO668" s="79">
        <f t="shared" ref="AO668:AO677" si="39">$AE668 - $AN668</f>
        <v>-8300.880000000001</v>
      </c>
      <c r="AP668" s="374">
        <f>SUM(ERP_8[[#This Row],[AP01]:[AP07]])-SUM(ERP_8[[#This Row],[AP01 LE2]:[AP07 LE2]])</f>
        <v>-29219.89</v>
      </c>
      <c r="AQ668" s="80"/>
      <c r="AR668" s="79">
        <f>ERP_8[[#This Row],[2026 Working Total to Budget/LE]]-ERP_8[[#This Row],[Giveback]]</f>
        <v>-29219.89</v>
      </c>
      <c r="AS668" s="81"/>
      <c r="AT668" s="375">
        <v>2896.56</v>
      </c>
      <c r="AU668" s="375">
        <v>3761.9</v>
      </c>
      <c r="AV668" s="375">
        <v>4324.49</v>
      </c>
      <c r="AW668" s="375">
        <v>12300</v>
      </c>
      <c r="AX668" s="375">
        <v>12300</v>
      </c>
      <c r="AY668" s="375">
        <v>13200</v>
      </c>
      <c r="AZ668" s="375">
        <v>13500</v>
      </c>
      <c r="BA668" s="375">
        <v>13700</v>
      </c>
      <c r="BB668" s="375">
        <v>13700</v>
      </c>
      <c r="BC668" s="375">
        <v>13700</v>
      </c>
      <c r="BD668" s="375">
        <v>13800</v>
      </c>
      <c r="BE668" s="375">
        <v>13800</v>
      </c>
      <c r="BF668" s="375">
        <v>130982.95</v>
      </c>
      <c r="BG668" s="79">
        <v>2896.56</v>
      </c>
      <c r="BH668" s="79">
        <v>3761.9</v>
      </c>
      <c r="BI668" s="79">
        <v>4324.49</v>
      </c>
      <c r="BJ668" s="79">
        <v>12300</v>
      </c>
      <c r="BK668" s="79">
        <v>12300</v>
      </c>
      <c r="BL668" s="79">
        <v>13200</v>
      </c>
      <c r="BM668" s="79">
        <v>13500</v>
      </c>
      <c r="BN668" s="79">
        <v>13700</v>
      </c>
      <c r="BO668" s="79">
        <v>13700</v>
      </c>
      <c r="BP668" s="79">
        <v>13700</v>
      </c>
      <c r="BQ668" s="79">
        <v>13800</v>
      </c>
      <c r="BR668" s="79">
        <v>13800</v>
      </c>
      <c r="BS668" s="79">
        <v>130982.95</v>
      </c>
    </row>
    <row r="669" spans="1:71" ht="15" hidden="1" customHeight="1">
      <c r="A669" s="66" t="s">
        <v>2842</v>
      </c>
      <c r="B669" s="737" t="s">
        <v>2843</v>
      </c>
      <c r="C669" s="346"/>
      <c r="D669" s="343" t="str">
        <f>_xlfn.TEXTJOIN("_",FALSE,E669,ERP_8[[#This Row],[Expense Category]],ERP_8[[#This Row],[Project Code*]])</f>
        <v>Patel, Apurva_TELECOMMUNICATIONS_Telecom001</v>
      </c>
      <c r="E669" s="343" t="s">
        <v>1566</v>
      </c>
      <c r="F669" s="346"/>
      <c r="G669" s="150" t="s">
        <v>1136</v>
      </c>
      <c r="H669" s="150" t="s">
        <v>1567</v>
      </c>
      <c r="I669" s="150" t="s">
        <v>1567</v>
      </c>
      <c r="J669" s="150" t="s">
        <v>1567</v>
      </c>
      <c r="K669" s="511" t="s">
        <v>1027</v>
      </c>
      <c r="L669" s="451" t="s">
        <v>2830</v>
      </c>
      <c r="M669" s="343"/>
      <c r="N669" s="800"/>
      <c r="O669" s="70" t="s">
        <v>1029</v>
      </c>
      <c r="P669" s="346"/>
      <c r="Q669" s="343"/>
      <c r="R669" s="346"/>
      <c r="S669" s="771" t="s">
        <v>25</v>
      </c>
      <c r="T669" s="772"/>
      <c r="U669" s="475"/>
      <c r="V669" s="774">
        <v>3200</v>
      </c>
      <c r="W669" s="775">
        <v>4217.2800000000007</v>
      </c>
      <c r="X669" s="776"/>
      <c r="Y669" s="776"/>
      <c r="Z669" s="794">
        <v>470.66</v>
      </c>
      <c r="AA669" s="794">
        <v>1081.01</v>
      </c>
      <c r="AB669" s="794">
        <v>665.61</v>
      </c>
      <c r="AC669" s="428">
        <v>309.95</v>
      </c>
      <c r="AD669" s="429">
        <v>41.64</v>
      </c>
      <c r="AE669" s="429">
        <v>76.3</v>
      </c>
      <c r="AF669" s="429">
        <v>44.080000000000005</v>
      </c>
      <c r="AG669" s="363">
        <v>200</v>
      </c>
      <c r="AH669" s="363">
        <v>200</v>
      </c>
      <c r="AI669" s="363">
        <v>200</v>
      </c>
      <c r="AJ669" s="363">
        <v>200</v>
      </c>
      <c r="AK669" s="363">
        <v>200</v>
      </c>
      <c r="AL669" s="360">
        <f t="shared" si="38"/>
        <v>3689.25</v>
      </c>
      <c r="AM669" s="455">
        <f>ERP_8[[#This Row],[2026 Working Total]]-ERP_8[[#This Row],[LE2 Final Submission]]</f>
        <v>-528.03000000000065</v>
      </c>
      <c r="AN669" s="79">
        <v>200</v>
      </c>
      <c r="AO669" s="79">
        <f t="shared" si="39"/>
        <v>-123.7</v>
      </c>
      <c r="AP669" s="374">
        <f>SUM(ERP_8[[#This Row],[AP01]:[AP07]])-SUM(ERP_8[[#This Row],[AP01 LE2]:[AP07 LE2]])</f>
        <v>-528.0300000000002</v>
      </c>
      <c r="AQ669" s="80"/>
      <c r="AR669" s="79">
        <f>ERP_8[[#This Row],[2026 Working Total to Budget/LE]]-ERP_8[[#This Row],[Giveback]]</f>
        <v>-528.03000000000065</v>
      </c>
      <c r="AS669" s="81"/>
      <c r="AT669" s="375">
        <v>470.66</v>
      </c>
      <c r="AU669" s="375">
        <v>1081.01</v>
      </c>
      <c r="AV669" s="375">
        <v>665.61</v>
      </c>
      <c r="AW669" s="375">
        <v>200</v>
      </c>
      <c r="AX669" s="375">
        <v>300</v>
      </c>
      <c r="AY669" s="375">
        <v>300</v>
      </c>
      <c r="AZ669" s="375">
        <v>200</v>
      </c>
      <c r="BA669" s="375">
        <v>200</v>
      </c>
      <c r="BB669" s="375">
        <v>200</v>
      </c>
      <c r="BC669" s="375">
        <v>200</v>
      </c>
      <c r="BD669" s="375">
        <v>200</v>
      </c>
      <c r="BE669" s="375">
        <v>200</v>
      </c>
      <c r="BF669" s="375">
        <v>4217.2800000000007</v>
      </c>
      <c r="BG669" s="79">
        <v>470.66</v>
      </c>
      <c r="BH669" s="79">
        <v>1081.01</v>
      </c>
      <c r="BI669" s="79">
        <v>665.61</v>
      </c>
      <c r="BJ669" s="79">
        <v>200</v>
      </c>
      <c r="BK669" s="79">
        <v>300</v>
      </c>
      <c r="BL669" s="79">
        <v>300</v>
      </c>
      <c r="BM669" s="79">
        <v>200</v>
      </c>
      <c r="BN669" s="79">
        <v>200</v>
      </c>
      <c r="BO669" s="79">
        <v>200</v>
      </c>
      <c r="BP669" s="79">
        <v>200</v>
      </c>
      <c r="BQ669" s="79">
        <v>200</v>
      </c>
      <c r="BR669" s="79">
        <v>200</v>
      </c>
      <c r="BS669" s="79">
        <v>4217.2800000000007</v>
      </c>
    </row>
    <row r="670" spans="1:71" ht="15" hidden="1" customHeight="1">
      <c r="A670" s="66" t="s">
        <v>2844</v>
      </c>
      <c r="B670" s="737" t="s">
        <v>1035</v>
      </c>
      <c r="C670" s="346"/>
      <c r="D670" s="343" t="str">
        <f>_xlfn.TEXTJOIN("_",FALSE,E670,ERP_8[[#This Row],[Expense Category]],ERP_8[[#This Row],[Project Code*]])</f>
        <v>Robertson, Jerome_TELECOMMUNICATIONS_Telecom001</v>
      </c>
      <c r="E670" s="343" t="s">
        <v>1650</v>
      </c>
      <c r="F670" s="346"/>
      <c r="G670" s="150" t="s">
        <v>1136</v>
      </c>
      <c r="H670" s="150" t="s">
        <v>1650</v>
      </c>
      <c r="I670" s="150" t="s">
        <v>1650</v>
      </c>
      <c r="J670" s="150" t="s">
        <v>1650</v>
      </c>
      <c r="K670" s="511" t="s">
        <v>1027</v>
      </c>
      <c r="L670" s="451" t="s">
        <v>2830</v>
      </c>
      <c r="M670" s="343"/>
      <c r="N670" s="800"/>
      <c r="O670" s="70" t="s">
        <v>1029</v>
      </c>
      <c r="P670" s="346"/>
      <c r="Q670" s="343"/>
      <c r="R670" s="346"/>
      <c r="S670" s="771" t="s">
        <v>25</v>
      </c>
      <c r="T670" s="772"/>
      <c r="U670" s="475"/>
      <c r="V670" s="774">
        <v>18800</v>
      </c>
      <c r="W670" s="775">
        <v>15498</v>
      </c>
      <c r="X670" s="776"/>
      <c r="Y670" s="776"/>
      <c r="Z670" s="794">
        <v>102</v>
      </c>
      <c r="AA670" s="794">
        <v>121</v>
      </c>
      <c r="AB670" s="794">
        <v>675</v>
      </c>
      <c r="AC670" s="428">
        <v>1883.5499999999997</v>
      </c>
      <c r="AD670" s="429">
        <v>861.93999999999994</v>
      </c>
      <c r="AE670" s="429">
        <v>234.03</v>
      </c>
      <c r="AF670" s="429">
        <v>1196.79</v>
      </c>
      <c r="AG670" s="363">
        <v>1700</v>
      </c>
      <c r="AH670" s="363">
        <v>1700</v>
      </c>
      <c r="AI670" s="363">
        <v>1700</v>
      </c>
      <c r="AJ670" s="363">
        <v>1700</v>
      </c>
      <c r="AK670" s="363">
        <v>1700</v>
      </c>
      <c r="AL670" s="360">
        <f t="shared" si="38"/>
        <v>13574.31</v>
      </c>
      <c r="AM670" s="455">
        <f>ERP_8[[#This Row],[2026 Working Total]]-ERP_8[[#This Row],[LE2 Final Submission]]</f>
        <v>-1923.6900000000005</v>
      </c>
      <c r="AN670" s="79">
        <v>1500</v>
      </c>
      <c r="AO670" s="79">
        <f t="shared" si="39"/>
        <v>-1265.97</v>
      </c>
      <c r="AP670" s="374">
        <f>SUM(ERP_8[[#This Row],[AP01]:[AP07]])-SUM(ERP_8[[#This Row],[AP01 LE2]:[AP07 LE2]])</f>
        <v>-1923.6900000000005</v>
      </c>
      <c r="AQ670" s="80"/>
      <c r="AR670" s="79">
        <f>ERP_8[[#This Row],[2026 Working Total to Budget/LE]]-ERP_8[[#This Row],[Giveback]]</f>
        <v>-1923.6900000000005</v>
      </c>
      <c r="AS670" s="81"/>
      <c r="AT670" s="375">
        <v>102</v>
      </c>
      <c r="AU670" s="375">
        <v>121</v>
      </c>
      <c r="AV670" s="375">
        <v>675</v>
      </c>
      <c r="AW670" s="375">
        <v>1600</v>
      </c>
      <c r="AX670" s="375">
        <v>1500</v>
      </c>
      <c r="AY670" s="375">
        <v>1500</v>
      </c>
      <c r="AZ670" s="375">
        <v>1500</v>
      </c>
      <c r="BA670" s="375">
        <v>1700</v>
      </c>
      <c r="BB670" s="375">
        <v>1700</v>
      </c>
      <c r="BC670" s="375">
        <v>1700</v>
      </c>
      <c r="BD670" s="375">
        <v>1700</v>
      </c>
      <c r="BE670" s="375">
        <v>1700</v>
      </c>
      <c r="BF670" s="375">
        <v>15498</v>
      </c>
      <c r="BG670" s="79">
        <v>102</v>
      </c>
      <c r="BH670" s="79">
        <v>121</v>
      </c>
      <c r="BI670" s="79">
        <v>675</v>
      </c>
      <c r="BJ670" s="79">
        <v>1600</v>
      </c>
      <c r="BK670" s="79">
        <v>1500</v>
      </c>
      <c r="BL670" s="79">
        <v>1500</v>
      </c>
      <c r="BM670" s="79">
        <v>1500</v>
      </c>
      <c r="BN670" s="79">
        <v>1700</v>
      </c>
      <c r="BO670" s="79">
        <v>1700</v>
      </c>
      <c r="BP670" s="79">
        <v>1700</v>
      </c>
      <c r="BQ670" s="79">
        <v>1700</v>
      </c>
      <c r="BR670" s="79">
        <v>1700</v>
      </c>
      <c r="BS670" s="79">
        <v>15498</v>
      </c>
    </row>
    <row r="671" spans="1:71" ht="15" hidden="1" customHeight="1">
      <c r="A671" s="66" t="s">
        <v>2845</v>
      </c>
      <c r="B671" s="737" t="s">
        <v>1038</v>
      </c>
      <c r="C671" s="346"/>
      <c r="D671" s="343" t="str">
        <f>_xlfn.TEXTJOIN("_",FALSE,E671,ERP_8[[#This Row],[Expense Category]],ERP_8[[#This Row],[Project Code*]])</f>
        <v>Dougherty, Chris_TRAVEL &amp; ENTERTAINMENT_TravelEnt001</v>
      </c>
      <c r="E671" s="343" t="s">
        <v>1135</v>
      </c>
      <c r="F671" s="346"/>
      <c r="G671" s="150" t="s">
        <v>1136</v>
      </c>
      <c r="H671" s="150" t="s">
        <v>1135</v>
      </c>
      <c r="I671" s="150" t="s">
        <v>1135</v>
      </c>
      <c r="J671" s="150" t="s">
        <v>1137</v>
      </c>
      <c r="K671" s="511" t="s">
        <v>1037</v>
      </c>
      <c r="L671" s="451" t="s">
        <v>2846</v>
      </c>
      <c r="M671" s="343"/>
      <c r="N671" s="800"/>
      <c r="O671" s="70" t="s">
        <v>1039</v>
      </c>
      <c r="P671" s="346"/>
      <c r="Q671" s="346" t="s">
        <v>1140</v>
      </c>
      <c r="R671" s="346"/>
      <c r="S671" s="771" t="s">
        <v>1040</v>
      </c>
      <c r="T671" s="772"/>
      <c r="U671" s="475"/>
      <c r="V671" s="774">
        <v>0</v>
      </c>
      <c r="W671" s="775">
        <v>4</v>
      </c>
      <c r="X671" s="884"/>
      <c r="Y671" s="884"/>
      <c r="Z671" s="794"/>
      <c r="AA671" s="780">
        <v>-101</v>
      </c>
      <c r="AB671" s="780">
        <v>105</v>
      </c>
      <c r="AC671" s="428">
        <v>479</v>
      </c>
      <c r="AD671" s="429">
        <v>66</v>
      </c>
      <c r="AE671" s="429">
        <v>2208.0000000000005</v>
      </c>
      <c r="AF671" s="429">
        <v>369.45</v>
      </c>
      <c r="AG671" s="360">
        <v>0</v>
      </c>
      <c r="AH671" s="360">
        <v>0</v>
      </c>
      <c r="AI671" s="360">
        <v>0</v>
      </c>
      <c r="AJ671" s="360">
        <v>0</v>
      </c>
      <c r="AK671" s="360">
        <v>0</v>
      </c>
      <c r="AL671" s="360">
        <f t="shared" si="38"/>
        <v>3126.4500000000003</v>
      </c>
      <c r="AM671" s="455">
        <f>ERP_8[[#This Row],[2026 Working Total]]-ERP_8[[#This Row],[LE2 Final Submission]]</f>
        <v>3122.4500000000003</v>
      </c>
      <c r="AN671" s="79">
        <v>0</v>
      </c>
      <c r="AO671" s="79">
        <f t="shared" si="39"/>
        <v>2208.0000000000005</v>
      </c>
      <c r="AP671" s="374">
        <f>SUM(ERP_8[[#This Row],[AP01]:[AP07]])-SUM(ERP_8[[#This Row],[AP01 LE2]:[AP07 LE2]])</f>
        <v>3122.4500000000003</v>
      </c>
      <c r="AQ671" s="80"/>
      <c r="AR671" s="79">
        <f>ERP_8[[#This Row],[2026 Working Total to Budget/LE]]-ERP_8[[#This Row],[Giveback]]</f>
        <v>3122.4500000000003</v>
      </c>
      <c r="AS671" s="81"/>
      <c r="AT671" s="375"/>
      <c r="AU671" s="375">
        <v>-101</v>
      </c>
      <c r="AV671" s="375">
        <v>105</v>
      </c>
      <c r="AW671" s="375">
        <v>0</v>
      </c>
      <c r="AX671" s="375">
        <v>0</v>
      </c>
      <c r="AY671" s="375">
        <v>0</v>
      </c>
      <c r="AZ671" s="375">
        <v>0</v>
      </c>
      <c r="BA671" s="375">
        <v>0</v>
      </c>
      <c r="BB671" s="375">
        <v>0</v>
      </c>
      <c r="BC671" s="375">
        <v>0</v>
      </c>
      <c r="BD671" s="375">
        <v>0</v>
      </c>
      <c r="BE671" s="375">
        <v>0</v>
      </c>
      <c r="BF671" s="375">
        <v>4</v>
      </c>
      <c r="BG671" s="79"/>
      <c r="BH671" s="79">
        <v>-101</v>
      </c>
      <c r="BI671" s="79">
        <v>105</v>
      </c>
      <c r="BJ671" s="79">
        <v>0</v>
      </c>
      <c r="BK671" s="79">
        <v>0</v>
      </c>
      <c r="BL671" s="79">
        <v>0</v>
      </c>
      <c r="BM671" s="79">
        <v>0</v>
      </c>
      <c r="BN671" s="79">
        <v>0</v>
      </c>
      <c r="BO671" s="79">
        <v>0</v>
      </c>
      <c r="BP671" s="79">
        <v>0</v>
      </c>
      <c r="BQ671" s="79">
        <v>0</v>
      </c>
      <c r="BR671" s="79">
        <v>0</v>
      </c>
      <c r="BS671" s="79">
        <v>4</v>
      </c>
    </row>
    <row r="672" spans="1:71" ht="15" hidden="1" customHeight="1">
      <c r="A672" s="66" t="s">
        <v>2847</v>
      </c>
      <c r="B672" s="737" t="s">
        <v>2848</v>
      </c>
      <c r="C672" s="346"/>
      <c r="D672" s="343" t="str">
        <f>_xlfn.TEXTJOIN("_",FALSE,E672,ERP_8[[#This Row],[Expense Category]],ERP_8[[#This Row],[Project Code*]])</f>
        <v>Dougherty, Chris_TRAVEL &amp; ENTERTAINMENT_TravelEnt001</v>
      </c>
      <c r="E672" s="343" t="s">
        <v>1135</v>
      </c>
      <c r="F672" s="346"/>
      <c r="G672" s="150" t="s">
        <v>1136</v>
      </c>
      <c r="H672" s="150" t="s">
        <v>1135</v>
      </c>
      <c r="I672" s="150" t="s">
        <v>1137</v>
      </c>
      <c r="J672" s="150" t="s">
        <v>1137</v>
      </c>
      <c r="K672" s="511" t="s">
        <v>1037</v>
      </c>
      <c r="L672" s="451" t="s">
        <v>2846</v>
      </c>
      <c r="M672" s="343"/>
      <c r="N672" s="800"/>
      <c r="O672" s="70" t="s">
        <v>1039</v>
      </c>
      <c r="P672" s="346"/>
      <c r="Q672" s="346" t="s">
        <v>1140</v>
      </c>
      <c r="R672" s="346"/>
      <c r="S672" s="793" t="s">
        <v>1040</v>
      </c>
      <c r="T672" s="876" t="s">
        <v>1141</v>
      </c>
      <c r="U672" s="453"/>
      <c r="V672" s="528">
        <v>0</v>
      </c>
      <c r="W672" s="529">
        <v>7225.12</v>
      </c>
      <c r="X672" s="776"/>
      <c r="Y672" s="776"/>
      <c r="Z672" s="794">
        <v>302.32</v>
      </c>
      <c r="AA672" s="780">
        <v>-468.02</v>
      </c>
      <c r="AB672" s="780">
        <v>7390.82</v>
      </c>
      <c r="AC672" s="428">
        <v>10390.350000000002</v>
      </c>
      <c r="AD672" s="429">
        <v>-6560.7800000000007</v>
      </c>
      <c r="AE672" s="429">
        <v>1751.47</v>
      </c>
      <c r="AF672" s="429">
        <v>1683.06</v>
      </c>
      <c r="AG672" s="360">
        <v>0</v>
      </c>
      <c r="AH672" s="360">
        <v>0</v>
      </c>
      <c r="AI672" s="360">
        <v>0</v>
      </c>
      <c r="AJ672" s="360">
        <v>0</v>
      </c>
      <c r="AK672" s="360">
        <v>0</v>
      </c>
      <c r="AL672" s="360">
        <f t="shared" si="38"/>
        <v>14489.22</v>
      </c>
      <c r="AM672" s="455">
        <f>ERP_8[[#This Row],[2026 Working Total]]-ERP_8[[#This Row],[LE2 Final Submission]]</f>
        <v>7264.0999999999995</v>
      </c>
      <c r="AN672" s="79">
        <v>0</v>
      </c>
      <c r="AO672" s="79">
        <f t="shared" si="39"/>
        <v>1751.47</v>
      </c>
      <c r="AP672" s="374">
        <f>SUM(ERP_8[[#This Row],[AP01]:[AP07]])-SUM(ERP_8[[#This Row],[AP01 LE2]:[AP07 LE2]])</f>
        <v>7264.0999999999995</v>
      </c>
      <c r="AQ672" s="80"/>
      <c r="AR672" s="79">
        <f>ERP_8[[#This Row],[2026 Working Total to Budget/LE]]-ERP_8[[#This Row],[Giveback]]</f>
        <v>7264.0999999999995</v>
      </c>
      <c r="AS672" s="81"/>
      <c r="AT672" s="375">
        <v>302.32</v>
      </c>
      <c r="AU672" s="375">
        <v>-468.02</v>
      </c>
      <c r="AV672" s="375">
        <v>7390.82</v>
      </c>
      <c r="AW672" s="375">
        <v>0</v>
      </c>
      <c r="AX672" s="375">
        <v>0</v>
      </c>
      <c r="AY672" s="375">
        <v>0</v>
      </c>
      <c r="AZ672" s="375">
        <v>0</v>
      </c>
      <c r="BA672" s="375">
        <v>0</v>
      </c>
      <c r="BB672" s="375">
        <v>0</v>
      </c>
      <c r="BC672" s="375">
        <v>0</v>
      </c>
      <c r="BD672" s="375">
        <v>0</v>
      </c>
      <c r="BE672" s="375">
        <v>0</v>
      </c>
      <c r="BF672" s="375">
        <v>7225.12</v>
      </c>
      <c r="BG672" s="79">
        <v>302.32</v>
      </c>
      <c r="BH672" s="79">
        <v>-468.02</v>
      </c>
      <c r="BI672" s="79">
        <v>7390.82</v>
      </c>
      <c r="BJ672" s="79">
        <v>0</v>
      </c>
      <c r="BK672" s="79">
        <v>0</v>
      </c>
      <c r="BL672" s="79">
        <v>0</v>
      </c>
      <c r="BM672" s="79">
        <v>0</v>
      </c>
      <c r="BN672" s="79">
        <v>0</v>
      </c>
      <c r="BO672" s="79">
        <v>0</v>
      </c>
      <c r="BP672" s="79">
        <v>0</v>
      </c>
      <c r="BQ672" s="79">
        <v>0</v>
      </c>
      <c r="BR672" s="79">
        <v>0</v>
      </c>
      <c r="BS672" s="79">
        <v>7225.12</v>
      </c>
    </row>
    <row r="673" spans="1:71" ht="15" hidden="1" customHeight="1">
      <c r="A673" s="66" t="s">
        <v>2849</v>
      </c>
      <c r="B673" s="737" t="s">
        <v>1041</v>
      </c>
      <c r="C673" s="346"/>
      <c r="D673" s="343" t="str">
        <f>_xlfn.TEXTJOIN("_",FALSE,E673,ERP_8[[#This Row],[Expense Category]],ERP_8[[#This Row],[Project Code*]])</f>
        <v>Ganesan, Srinivasan_TRAVEL &amp; ENTERTAINMENT_TravelEnt001</v>
      </c>
      <c r="E673" s="343" t="s">
        <v>1344</v>
      </c>
      <c r="F673" s="346"/>
      <c r="G673" s="150" t="s">
        <v>1136</v>
      </c>
      <c r="H673" s="150" t="s">
        <v>1345</v>
      </c>
      <c r="I673" s="150" t="s">
        <v>1344</v>
      </c>
      <c r="J673" s="150" t="s">
        <v>1346</v>
      </c>
      <c r="K673" s="511" t="s">
        <v>1037</v>
      </c>
      <c r="L673" s="451" t="s">
        <v>2846</v>
      </c>
      <c r="M673" s="343"/>
      <c r="N673" s="800"/>
      <c r="O673" s="70" t="s">
        <v>1039</v>
      </c>
      <c r="P673" s="346"/>
      <c r="Q673" s="346" t="s">
        <v>1140</v>
      </c>
      <c r="R673" s="346"/>
      <c r="S673" s="150" t="s">
        <v>1040</v>
      </c>
      <c r="T673" s="150"/>
      <c r="U673" s="453"/>
      <c r="V673" s="528">
        <v>0</v>
      </c>
      <c r="W673" s="529">
        <v>995.34</v>
      </c>
      <c r="X673" s="776"/>
      <c r="Y673" s="776"/>
      <c r="Z673" s="794">
        <v>948.99</v>
      </c>
      <c r="AA673" s="780">
        <v>0</v>
      </c>
      <c r="AB673" s="780">
        <v>46.35</v>
      </c>
      <c r="AC673" s="428">
        <v>0</v>
      </c>
      <c r="AD673" s="429">
        <v>0</v>
      </c>
      <c r="AE673" s="429">
        <v>0</v>
      </c>
      <c r="AF673" s="429">
        <v>0</v>
      </c>
      <c r="AG673" s="360">
        <v>0</v>
      </c>
      <c r="AH673" s="360">
        <v>0</v>
      </c>
      <c r="AI673" s="360">
        <v>0</v>
      </c>
      <c r="AJ673" s="360">
        <v>0</v>
      </c>
      <c r="AK673" s="360">
        <v>0</v>
      </c>
      <c r="AL673" s="360">
        <f t="shared" si="38"/>
        <v>995.34</v>
      </c>
      <c r="AM673" s="455">
        <f>ERP_8[[#This Row],[2026 Working Total]]-ERP_8[[#This Row],[LE2 Final Submission]]</f>
        <v>0</v>
      </c>
      <c r="AN673" s="79">
        <v>0</v>
      </c>
      <c r="AO673" s="79">
        <f t="shared" si="39"/>
        <v>0</v>
      </c>
      <c r="AP673" s="374">
        <f>SUM(ERP_8[[#This Row],[AP01]:[AP07]])-SUM(ERP_8[[#This Row],[AP01 LE2]:[AP07 LE2]])</f>
        <v>0</v>
      </c>
      <c r="AQ673" s="80"/>
      <c r="AR673" s="79">
        <f>ERP_8[[#This Row],[2026 Working Total to Budget/LE]]-ERP_8[[#This Row],[Giveback]]</f>
        <v>0</v>
      </c>
      <c r="AS673" s="81"/>
      <c r="AT673" s="375">
        <v>948.99</v>
      </c>
      <c r="AU673" s="375">
        <v>0</v>
      </c>
      <c r="AV673" s="375">
        <v>46.35</v>
      </c>
      <c r="AW673" s="375">
        <v>0</v>
      </c>
      <c r="AX673" s="375">
        <v>0</v>
      </c>
      <c r="AY673" s="375">
        <v>0</v>
      </c>
      <c r="AZ673" s="375">
        <v>0</v>
      </c>
      <c r="BA673" s="375">
        <v>0</v>
      </c>
      <c r="BB673" s="375">
        <v>0</v>
      </c>
      <c r="BC673" s="375">
        <v>0</v>
      </c>
      <c r="BD673" s="375">
        <v>0</v>
      </c>
      <c r="BE673" s="375">
        <v>0</v>
      </c>
      <c r="BF673" s="375">
        <v>995.34</v>
      </c>
      <c r="BG673" s="79">
        <v>948.99</v>
      </c>
      <c r="BH673" s="79">
        <v>0</v>
      </c>
      <c r="BI673" s="79">
        <v>46.35</v>
      </c>
      <c r="BJ673" s="79">
        <v>0</v>
      </c>
      <c r="BK673" s="79">
        <v>0</v>
      </c>
      <c r="BL673" s="79">
        <v>0</v>
      </c>
      <c r="BM673" s="79">
        <v>0</v>
      </c>
      <c r="BN673" s="79">
        <v>0</v>
      </c>
      <c r="BO673" s="79">
        <v>0</v>
      </c>
      <c r="BP673" s="79">
        <v>0</v>
      </c>
      <c r="BQ673" s="79">
        <v>0</v>
      </c>
      <c r="BR673" s="79">
        <v>0</v>
      </c>
      <c r="BS673" s="79">
        <v>995.34</v>
      </c>
    </row>
    <row r="674" spans="1:71" ht="15" hidden="1" customHeight="1">
      <c r="A674" s="66" t="s">
        <v>2850</v>
      </c>
      <c r="B674" s="737" t="s">
        <v>1042</v>
      </c>
      <c r="C674" s="346"/>
      <c r="D674" s="343" t="str">
        <f>_xlfn.TEXTJOIN("_",FALSE,E674,ERP_8[[#This Row],[Expense Category]],ERP_8[[#This Row],[Project Code*]])</f>
        <v>Jajodia, Amit_TRAVEL &amp; ENTERTAINMENT_TravelEnt001</v>
      </c>
      <c r="E674" s="343" t="s">
        <v>1515</v>
      </c>
      <c r="F674" s="346"/>
      <c r="G674" s="150" t="s">
        <v>1136</v>
      </c>
      <c r="H674" s="150" t="s">
        <v>1345</v>
      </c>
      <c r="I674" s="150" t="s">
        <v>1515</v>
      </c>
      <c r="J674" s="150" t="s">
        <v>1346</v>
      </c>
      <c r="K674" s="511" t="s">
        <v>1037</v>
      </c>
      <c r="L674" s="451" t="s">
        <v>2846</v>
      </c>
      <c r="M674" s="343"/>
      <c r="N674" s="800"/>
      <c r="O674" s="70" t="s">
        <v>1039</v>
      </c>
      <c r="P674" s="346"/>
      <c r="Q674" s="346" t="s">
        <v>1140</v>
      </c>
      <c r="R674" s="346"/>
      <c r="S674" s="150" t="s">
        <v>1040</v>
      </c>
      <c r="T674" s="150"/>
      <c r="U674" s="453"/>
      <c r="V674" s="528">
        <v>0</v>
      </c>
      <c r="W674" s="529">
        <v>1947.4499999999998</v>
      </c>
      <c r="X674" s="776"/>
      <c r="Y674" s="776"/>
      <c r="Z674" s="794">
        <v>1400.32</v>
      </c>
      <c r="AA674" s="794">
        <v>547.13</v>
      </c>
      <c r="AB674" s="794">
        <v>0</v>
      </c>
      <c r="AC674" s="428">
        <v>0</v>
      </c>
      <c r="AD674" s="429">
        <v>0</v>
      </c>
      <c r="AE674" s="429">
        <v>0</v>
      </c>
      <c r="AF674" s="429">
        <v>0</v>
      </c>
      <c r="AG674" s="360">
        <v>0</v>
      </c>
      <c r="AH674" s="360">
        <v>0</v>
      </c>
      <c r="AI674" s="360">
        <v>0</v>
      </c>
      <c r="AJ674" s="360">
        <v>0</v>
      </c>
      <c r="AK674" s="360">
        <v>0</v>
      </c>
      <c r="AL674" s="360">
        <f t="shared" si="38"/>
        <v>1947.4499999999998</v>
      </c>
      <c r="AM674" s="455">
        <f>ERP_8[[#This Row],[2026 Working Total]]-ERP_8[[#This Row],[LE2 Final Submission]]</f>
        <v>0</v>
      </c>
      <c r="AN674" s="79">
        <v>0</v>
      </c>
      <c r="AO674" s="79">
        <f t="shared" si="39"/>
        <v>0</v>
      </c>
      <c r="AP674" s="374">
        <f>SUM(ERP_8[[#This Row],[AP01]:[AP07]])-SUM(ERP_8[[#This Row],[AP01 LE2]:[AP07 LE2]])</f>
        <v>0</v>
      </c>
      <c r="AQ674" s="80"/>
      <c r="AR674" s="79">
        <f>ERP_8[[#This Row],[2026 Working Total to Budget/LE]]-ERP_8[[#This Row],[Giveback]]</f>
        <v>0</v>
      </c>
      <c r="AS674" s="81"/>
      <c r="AT674" s="375">
        <v>1400.32</v>
      </c>
      <c r="AU674" s="375">
        <v>547.13</v>
      </c>
      <c r="AV674" s="375">
        <v>0</v>
      </c>
      <c r="AW674" s="375">
        <v>0</v>
      </c>
      <c r="AX674" s="375">
        <v>0</v>
      </c>
      <c r="AY674" s="375">
        <v>0</v>
      </c>
      <c r="AZ674" s="375">
        <v>0</v>
      </c>
      <c r="BA674" s="375">
        <v>0</v>
      </c>
      <c r="BB674" s="375">
        <v>0</v>
      </c>
      <c r="BC674" s="375">
        <v>0</v>
      </c>
      <c r="BD674" s="375">
        <v>0</v>
      </c>
      <c r="BE674" s="375">
        <v>0</v>
      </c>
      <c r="BF674" s="375">
        <v>1947.4499999999998</v>
      </c>
      <c r="BG674" s="79">
        <v>1400.32</v>
      </c>
      <c r="BH674" s="79">
        <v>547.13</v>
      </c>
      <c r="BI674" s="79">
        <v>0</v>
      </c>
      <c r="BJ674" s="79">
        <v>0</v>
      </c>
      <c r="BK674" s="79">
        <v>0</v>
      </c>
      <c r="BL674" s="79">
        <v>0</v>
      </c>
      <c r="BM674" s="79">
        <v>0</v>
      </c>
      <c r="BN674" s="79">
        <v>0</v>
      </c>
      <c r="BO674" s="79">
        <v>0</v>
      </c>
      <c r="BP674" s="79">
        <v>0</v>
      </c>
      <c r="BQ674" s="79">
        <v>0</v>
      </c>
      <c r="BR674" s="79">
        <v>0</v>
      </c>
      <c r="BS674" s="79">
        <v>1947.4499999999998</v>
      </c>
    </row>
    <row r="675" spans="1:71" ht="15" hidden="1" customHeight="1">
      <c r="A675" s="66" t="s">
        <v>2851</v>
      </c>
      <c r="B675" s="737" t="s">
        <v>2852</v>
      </c>
      <c r="C675" s="346"/>
      <c r="D675" s="343" t="str">
        <f>_xlfn.TEXTJOIN("_",FALSE,E675,ERP_8[[#This Row],[Expense Category]],ERP_8[[#This Row],[Project Code*]])</f>
        <v>Patel, Apurva_TRAVEL &amp; ENTERTAINMENT_CE-BTS23000-02-EX-GR</v>
      </c>
      <c r="E675" s="343" t="s">
        <v>1566</v>
      </c>
      <c r="F675" s="346"/>
      <c r="G675" s="150" t="s">
        <v>1136</v>
      </c>
      <c r="H675" s="150" t="s">
        <v>1345</v>
      </c>
      <c r="I675" s="150" t="s">
        <v>1346</v>
      </c>
      <c r="J675" s="150" t="s">
        <v>1346</v>
      </c>
      <c r="K675" s="511" t="s">
        <v>1037</v>
      </c>
      <c r="L675" s="451" t="s">
        <v>2853</v>
      </c>
      <c r="M675" s="343"/>
      <c r="N675" s="800"/>
      <c r="O675" s="70" t="s">
        <v>1044</v>
      </c>
      <c r="P675" s="346"/>
      <c r="Q675" s="343"/>
      <c r="R675" s="346"/>
      <c r="S675" s="150" t="s">
        <v>272</v>
      </c>
      <c r="T675" s="150"/>
      <c r="U675" s="453"/>
      <c r="V675" s="528">
        <v>0</v>
      </c>
      <c r="W675" s="529">
        <v>485.43</v>
      </c>
      <c r="X675" s="776"/>
      <c r="Y675" s="776"/>
      <c r="Z675" s="794"/>
      <c r="AA675" s="780"/>
      <c r="AB675" s="780">
        <v>485.43</v>
      </c>
      <c r="AC675" s="428" t="s">
        <v>1142</v>
      </c>
      <c r="AD675" s="429">
        <v>0</v>
      </c>
      <c r="AE675" s="429">
        <v>0</v>
      </c>
      <c r="AF675" s="429" t="s">
        <v>1142</v>
      </c>
      <c r="AG675" s="360">
        <v>0</v>
      </c>
      <c r="AH675" s="360">
        <v>0</v>
      </c>
      <c r="AI675" s="360">
        <v>0</v>
      </c>
      <c r="AJ675" s="360">
        <v>0</v>
      </c>
      <c r="AK675" s="360">
        <v>0</v>
      </c>
      <c r="AL675" s="360">
        <f t="shared" si="38"/>
        <v>485.43</v>
      </c>
      <c r="AM675" s="455">
        <f>ERP_8[[#This Row],[2026 Working Total]]-ERP_8[[#This Row],[LE2 Final Submission]]</f>
        <v>0</v>
      </c>
      <c r="AN675" s="79">
        <v>0</v>
      </c>
      <c r="AO675" s="79">
        <f t="shared" si="39"/>
        <v>0</v>
      </c>
      <c r="AP675" s="374">
        <f>SUM(ERP_8[[#This Row],[AP01]:[AP07]])-SUM(ERP_8[[#This Row],[AP01 LE2]:[AP07 LE2]])</f>
        <v>0</v>
      </c>
      <c r="AQ675" s="80"/>
      <c r="AR675" s="79">
        <f>ERP_8[[#This Row],[2026 Working Total to Budget/LE]]-ERP_8[[#This Row],[Giveback]]</f>
        <v>0</v>
      </c>
      <c r="AS675" s="81"/>
      <c r="AT675" s="375"/>
      <c r="AU675" s="375"/>
      <c r="AV675" s="375">
        <v>485.43</v>
      </c>
      <c r="AW675" s="375">
        <v>0</v>
      </c>
      <c r="AX675" s="375">
        <v>0</v>
      </c>
      <c r="AY675" s="375">
        <v>0</v>
      </c>
      <c r="AZ675" s="375">
        <v>0</v>
      </c>
      <c r="BA675" s="375">
        <v>0</v>
      </c>
      <c r="BB675" s="375">
        <v>0</v>
      </c>
      <c r="BC675" s="375">
        <v>0</v>
      </c>
      <c r="BD675" s="375">
        <v>0</v>
      </c>
      <c r="BE675" s="375">
        <v>0</v>
      </c>
      <c r="BF675" s="375">
        <v>485.43</v>
      </c>
      <c r="BG675" s="79"/>
      <c r="BH675" s="79"/>
      <c r="BI675" s="79">
        <v>485.43</v>
      </c>
      <c r="BJ675" s="79">
        <v>0</v>
      </c>
      <c r="BK675" s="79">
        <v>0</v>
      </c>
      <c r="BL675" s="79">
        <v>0</v>
      </c>
      <c r="BM675" s="79">
        <v>0</v>
      </c>
      <c r="BN675" s="79">
        <v>0</v>
      </c>
      <c r="BO675" s="79">
        <v>0</v>
      </c>
      <c r="BP675" s="79">
        <v>0</v>
      </c>
      <c r="BQ675" s="79">
        <v>0</v>
      </c>
      <c r="BR675" s="79">
        <v>0</v>
      </c>
      <c r="BS675" s="79">
        <v>485.43</v>
      </c>
    </row>
    <row r="676" spans="1:71" ht="15" hidden="1" customHeight="1">
      <c r="A676" s="66" t="s">
        <v>2854</v>
      </c>
      <c r="B676" s="737" t="s">
        <v>2855</v>
      </c>
      <c r="C676" s="346"/>
      <c r="D676" s="343" t="str">
        <f>_xlfn.TEXTJOIN("_",FALSE,E676,ERP_8[[#This Row],[Expense Category]],ERP_8[[#This Row],[Project Code*]])</f>
        <v>Patel, Apurva_TRAVEL &amp; ENTERTAINMENT_IT-PBU1070-OT-IE-00</v>
      </c>
      <c r="E676" s="343" t="s">
        <v>1566</v>
      </c>
      <c r="F676" s="346"/>
      <c r="G676" s="150" t="s">
        <v>1136</v>
      </c>
      <c r="H676" s="150" t="s">
        <v>1345</v>
      </c>
      <c r="I676" s="150" t="s">
        <v>1346</v>
      </c>
      <c r="J676" s="150" t="s">
        <v>1346</v>
      </c>
      <c r="K676" s="511" t="s">
        <v>1037</v>
      </c>
      <c r="L676" s="451" t="s">
        <v>2856</v>
      </c>
      <c r="M676" s="343"/>
      <c r="N676" s="800"/>
      <c r="O676" s="70" t="s">
        <v>318</v>
      </c>
      <c r="P676" s="346"/>
      <c r="Q676" s="343"/>
      <c r="R676" s="346"/>
      <c r="S676" s="150" t="s">
        <v>25</v>
      </c>
      <c r="T676" s="150"/>
      <c r="U676" s="453"/>
      <c r="V676" s="528">
        <v>0</v>
      </c>
      <c r="W676" s="529">
        <v>1583.99</v>
      </c>
      <c r="X676" s="776"/>
      <c r="Y676" s="776"/>
      <c r="Z676" s="794"/>
      <c r="AA676" s="780"/>
      <c r="AB676" s="780">
        <v>1583.99</v>
      </c>
      <c r="AC676" s="428" t="s">
        <v>1142</v>
      </c>
      <c r="AD676" s="429">
        <v>0</v>
      </c>
      <c r="AE676" s="429">
        <v>0</v>
      </c>
      <c r="AF676" s="429" t="s">
        <v>1142</v>
      </c>
      <c r="AG676" s="360">
        <v>0</v>
      </c>
      <c r="AH676" s="360">
        <v>0</v>
      </c>
      <c r="AI676" s="360">
        <v>0</v>
      </c>
      <c r="AJ676" s="360">
        <v>0</v>
      </c>
      <c r="AK676" s="360">
        <v>0</v>
      </c>
      <c r="AL676" s="360">
        <f t="shared" si="38"/>
        <v>1583.99</v>
      </c>
      <c r="AM676" s="455">
        <f>ERP_8[[#This Row],[2026 Working Total]]-ERP_8[[#This Row],[LE2 Final Submission]]</f>
        <v>0</v>
      </c>
      <c r="AN676" s="79">
        <v>0</v>
      </c>
      <c r="AO676" s="79">
        <f t="shared" si="39"/>
        <v>0</v>
      </c>
      <c r="AP676" s="374">
        <f>SUM(ERP_8[[#This Row],[AP01]:[AP07]])-SUM(ERP_8[[#This Row],[AP01 LE2]:[AP07 LE2]])</f>
        <v>0</v>
      </c>
      <c r="AQ676" s="80"/>
      <c r="AR676" s="79">
        <f>ERP_8[[#This Row],[2026 Working Total to Budget/LE]]-ERP_8[[#This Row],[Giveback]]</f>
        <v>0</v>
      </c>
      <c r="AS676" s="81"/>
      <c r="AT676" s="375"/>
      <c r="AU676" s="375"/>
      <c r="AV676" s="375">
        <v>1583.99</v>
      </c>
      <c r="AW676" s="375">
        <v>0</v>
      </c>
      <c r="AX676" s="375">
        <v>0</v>
      </c>
      <c r="AY676" s="375">
        <v>0</v>
      </c>
      <c r="AZ676" s="375">
        <v>0</v>
      </c>
      <c r="BA676" s="375">
        <v>0</v>
      </c>
      <c r="BB676" s="375">
        <v>0</v>
      </c>
      <c r="BC676" s="375">
        <v>0</v>
      </c>
      <c r="BD676" s="375">
        <v>0</v>
      </c>
      <c r="BE676" s="375">
        <v>0</v>
      </c>
      <c r="BF676" s="375">
        <v>1583.99</v>
      </c>
      <c r="BG676" s="79"/>
      <c r="BH676" s="79"/>
      <c r="BI676" s="79">
        <v>1583.99</v>
      </c>
      <c r="BJ676" s="79">
        <v>0</v>
      </c>
      <c r="BK676" s="79">
        <v>0</v>
      </c>
      <c r="BL676" s="79">
        <v>0</v>
      </c>
      <c r="BM676" s="79">
        <v>0</v>
      </c>
      <c r="BN676" s="79">
        <v>0</v>
      </c>
      <c r="BO676" s="79">
        <v>0</v>
      </c>
      <c r="BP676" s="79">
        <v>0</v>
      </c>
      <c r="BQ676" s="79">
        <v>0</v>
      </c>
      <c r="BR676" s="79">
        <v>0</v>
      </c>
      <c r="BS676" s="79">
        <v>1583.99</v>
      </c>
    </row>
    <row r="677" spans="1:71" ht="15" hidden="1" customHeight="1">
      <c r="A677" s="66" t="s">
        <v>2857</v>
      </c>
      <c r="B677" s="737" t="s">
        <v>2858</v>
      </c>
      <c r="C677" s="346"/>
      <c r="D677" s="343" t="str">
        <f>_xlfn.TEXTJOIN("_",FALSE,E677,ERP_8[[#This Row],[Expense Category]],ERP_8[[#This Row],[Project Code*]])</f>
        <v>Patel, Apurva_TRAVEL &amp; ENTERTAINMENT_PR-587101-0000007986</v>
      </c>
      <c r="E677" s="343" t="s">
        <v>1566</v>
      </c>
      <c r="F677" s="346"/>
      <c r="G677" s="150" t="s">
        <v>1136</v>
      </c>
      <c r="H677" s="150" t="s">
        <v>1345</v>
      </c>
      <c r="I677" s="150" t="s">
        <v>1346</v>
      </c>
      <c r="J677" s="150" t="s">
        <v>1346</v>
      </c>
      <c r="K677" s="511" t="s">
        <v>1037</v>
      </c>
      <c r="L677" s="451" t="s">
        <v>1648</v>
      </c>
      <c r="M677" s="343"/>
      <c r="N677" s="800"/>
      <c r="O677" s="70" t="s">
        <v>323</v>
      </c>
      <c r="P677" s="346"/>
      <c r="Q677" s="343"/>
      <c r="R677" s="346"/>
      <c r="S677" s="150" t="s">
        <v>25</v>
      </c>
      <c r="T677" s="150"/>
      <c r="U677" s="453"/>
      <c r="V677" s="528">
        <v>0</v>
      </c>
      <c r="W677" s="529">
        <v>64.67</v>
      </c>
      <c r="X677" s="884"/>
      <c r="Y677" s="884"/>
      <c r="Z677" s="794"/>
      <c r="AA677" s="780">
        <v>64.67</v>
      </c>
      <c r="AB677" s="780">
        <v>0</v>
      </c>
      <c r="AC677" s="428" t="s">
        <v>1142</v>
      </c>
      <c r="AD677" s="429">
        <v>0</v>
      </c>
      <c r="AE677" s="429">
        <v>0</v>
      </c>
      <c r="AF677" s="429" t="s">
        <v>1142</v>
      </c>
      <c r="AG677" s="360">
        <v>0</v>
      </c>
      <c r="AH677" s="360">
        <v>0</v>
      </c>
      <c r="AI677" s="360">
        <v>0</v>
      </c>
      <c r="AJ677" s="360">
        <v>0</v>
      </c>
      <c r="AK677" s="360">
        <v>0</v>
      </c>
      <c r="AL677" s="360">
        <f t="shared" si="38"/>
        <v>64.67</v>
      </c>
      <c r="AM677" s="455">
        <f>ERP_8[[#This Row],[2026 Working Total]]-ERP_8[[#This Row],[LE2 Final Submission]]</f>
        <v>0</v>
      </c>
      <c r="AN677" s="79">
        <v>0</v>
      </c>
      <c r="AO677" s="79">
        <f t="shared" si="39"/>
        <v>0</v>
      </c>
      <c r="AP677" s="374">
        <f>SUM(ERP_8[[#This Row],[AP01]:[AP07]])-SUM(ERP_8[[#This Row],[AP01 LE2]:[AP07 LE2]])</f>
        <v>0</v>
      </c>
      <c r="AQ677" s="80"/>
      <c r="AR677" s="79">
        <f>ERP_8[[#This Row],[2026 Working Total to Budget/LE]]-ERP_8[[#This Row],[Giveback]]</f>
        <v>0</v>
      </c>
      <c r="AS677" s="81"/>
      <c r="AT677" s="375"/>
      <c r="AU677" s="375">
        <v>64.67</v>
      </c>
      <c r="AV677" s="375">
        <v>0</v>
      </c>
      <c r="AW677" s="375">
        <v>0</v>
      </c>
      <c r="AX677" s="375">
        <v>0</v>
      </c>
      <c r="AY677" s="375">
        <v>0</v>
      </c>
      <c r="AZ677" s="375">
        <v>0</v>
      </c>
      <c r="BA677" s="375">
        <v>0</v>
      </c>
      <c r="BB677" s="375">
        <v>0</v>
      </c>
      <c r="BC677" s="375">
        <v>0</v>
      </c>
      <c r="BD677" s="375">
        <v>0</v>
      </c>
      <c r="BE677" s="375">
        <v>0</v>
      </c>
      <c r="BF677" s="375">
        <v>64.67</v>
      </c>
      <c r="BG677" s="79"/>
      <c r="BH677" s="79">
        <v>64.67</v>
      </c>
      <c r="BI677" s="79">
        <v>0</v>
      </c>
      <c r="BJ677" s="79">
        <v>0</v>
      </c>
      <c r="BK677" s="79">
        <v>0</v>
      </c>
      <c r="BL677" s="79">
        <v>0</v>
      </c>
      <c r="BM677" s="79">
        <v>0</v>
      </c>
      <c r="BN677" s="79">
        <v>0</v>
      </c>
      <c r="BO677" s="79">
        <v>0</v>
      </c>
      <c r="BP677" s="79">
        <v>0</v>
      </c>
      <c r="BQ677" s="79">
        <v>0</v>
      </c>
      <c r="BR677" s="79">
        <v>0</v>
      </c>
      <c r="BS677" s="79">
        <v>64.67</v>
      </c>
    </row>
    <row r="678" spans="1:71" ht="15" hidden="1" customHeight="1">
      <c r="A678" s="79" t="s">
        <v>2859</v>
      </c>
      <c r="B678" s="66" t="s">
        <v>1047</v>
      </c>
      <c r="C678" s="818"/>
      <c r="D678" s="343" t="str">
        <f>_xlfn.TEXTJOIN("_",FALSE,E678,ERP_8[[#This Row],[Expense Category]],ERP_8[[#This Row],[Project Code*]])</f>
        <v>Patel, Apurva_TRAVEL &amp; ENTERTAINMENT_TravelEnt001</v>
      </c>
      <c r="E678" s="331" t="s">
        <v>1566</v>
      </c>
      <c r="F678" s="818"/>
      <c r="G678" s="150" t="s">
        <v>1136</v>
      </c>
      <c r="H678" s="490" t="s">
        <v>1566</v>
      </c>
      <c r="I678" s="150" t="s">
        <v>1566</v>
      </c>
      <c r="J678" s="590" t="s">
        <v>1135</v>
      </c>
      <c r="K678" s="333" t="s">
        <v>1037</v>
      </c>
      <c r="L678" s="591" t="s">
        <v>1736</v>
      </c>
      <c r="M678" s="333"/>
      <c r="N678" s="801"/>
      <c r="O678" s="348" t="s">
        <v>1039</v>
      </c>
      <c r="P678" s="347"/>
      <c r="Q678" s="347"/>
      <c r="R678" s="348"/>
      <c r="S678" s="348"/>
      <c r="T678" s="826" t="s">
        <v>1737</v>
      </c>
      <c r="U678" s="595"/>
      <c r="V678" s="454"/>
      <c r="W678" s="509"/>
      <c r="X678" s="776"/>
      <c r="Y678" s="776"/>
      <c r="Z678" s="429">
        <v>0</v>
      </c>
      <c r="AA678" s="795">
        <v>0</v>
      </c>
      <c r="AB678" s="795">
        <v>0</v>
      </c>
      <c r="AC678" s="434">
        <v>-470.32</v>
      </c>
      <c r="AD678" s="434">
        <v>0</v>
      </c>
      <c r="AE678" s="434"/>
      <c r="AF678" s="429" t="s">
        <v>1142</v>
      </c>
      <c r="AG678" s="364"/>
      <c r="AH678" s="364"/>
      <c r="AI678" s="364"/>
      <c r="AJ678" s="364"/>
      <c r="AK678" s="364"/>
      <c r="AL678" s="360">
        <f>SUM(X678:AK678)</f>
        <v>-470.32</v>
      </c>
      <c r="AM678" s="455">
        <f>ERP_8[[#This Row],[2026 Working Total]]-ERP_8[[#This Row],[LE2 Final Submission]]</f>
        <v>-470.32</v>
      </c>
      <c r="AN678" s="79"/>
      <c r="AO678" s="79">
        <f>$Z678 - $AN678</f>
        <v>0</v>
      </c>
      <c r="AP678" s="374">
        <f>SUM(ERP_8[[#This Row],[AP01]:[AP07]])-SUM(ERP_8[[#This Row],[AP01 LE2]:[AP07 LE2]])</f>
        <v>-470.32</v>
      </c>
      <c r="AQ678" s="80"/>
      <c r="AR678" s="79">
        <f>ERP_8[[#This Row],[2026 Working Total to Budget/LE]]-ERP_8[[#This Row],[Giveback]]</f>
        <v>-470.32</v>
      </c>
      <c r="AS678" s="81"/>
      <c r="AT678" s="375"/>
      <c r="AU678" s="375"/>
      <c r="AV678" s="375"/>
      <c r="AW678" s="375"/>
      <c r="AX678" s="375"/>
      <c r="AY678" s="375"/>
      <c r="AZ678" s="375"/>
      <c r="BA678" s="375"/>
      <c r="BB678" s="375"/>
      <c r="BC678" s="375"/>
      <c r="BD678" s="375"/>
      <c r="BE678" s="375"/>
      <c r="BF678" s="375"/>
      <c r="BG678" s="79"/>
      <c r="BH678" s="79"/>
      <c r="BI678" s="79"/>
      <c r="BJ678" s="79"/>
      <c r="BK678" s="79"/>
      <c r="BL678" s="79"/>
      <c r="BM678" s="79"/>
      <c r="BN678" s="79"/>
      <c r="BO678" s="79"/>
      <c r="BP678" s="79"/>
      <c r="BQ678" s="79"/>
      <c r="BR678" s="79"/>
      <c r="BS678" s="79"/>
    </row>
    <row r="679" spans="1:71" ht="15" hidden="1" customHeight="1">
      <c r="A679" s="66" t="s">
        <v>2860</v>
      </c>
      <c r="B679" s="737" t="s">
        <v>2861</v>
      </c>
      <c r="C679" s="346"/>
      <c r="D679" s="343" t="str">
        <f>_xlfn.TEXTJOIN("_",FALSE,E679,ERP_8[[#This Row],[Expense Category]],ERP_8[[#This Row],[Project Code*]])</f>
        <v>Patel, Apurva_TRAVEL &amp; ENTERTAINMENT_TravelEnt001</v>
      </c>
      <c r="E679" s="343" t="s">
        <v>1566</v>
      </c>
      <c r="F679" s="346"/>
      <c r="G679" s="150" t="s">
        <v>1136</v>
      </c>
      <c r="H679" s="150" t="s">
        <v>1345</v>
      </c>
      <c r="I679" s="150" t="s">
        <v>1346</v>
      </c>
      <c r="J679" s="150" t="s">
        <v>1346</v>
      </c>
      <c r="K679" s="511" t="s">
        <v>1037</v>
      </c>
      <c r="L679" s="451" t="s">
        <v>2846</v>
      </c>
      <c r="M679" s="343"/>
      <c r="N679" s="800"/>
      <c r="O679" s="70" t="s">
        <v>1039</v>
      </c>
      <c r="P679" s="346"/>
      <c r="Q679" s="346" t="s">
        <v>1140</v>
      </c>
      <c r="R679" s="346"/>
      <c r="S679" s="150" t="s">
        <v>1040</v>
      </c>
      <c r="T679" s="150"/>
      <c r="U679" s="453"/>
      <c r="V679" s="528">
        <v>0</v>
      </c>
      <c r="W679" s="529">
        <v>23976.370000000003</v>
      </c>
      <c r="X679" s="425"/>
      <c r="Y679" s="425"/>
      <c r="Z679" s="794">
        <v>10095.790000000001</v>
      </c>
      <c r="AA679" s="780">
        <v>9921.4500000000007</v>
      </c>
      <c r="AB679" s="780">
        <v>3959.13</v>
      </c>
      <c r="AC679" s="428">
        <v>7339.65</v>
      </c>
      <c r="AD679" s="429">
        <v>-891.2900000000003</v>
      </c>
      <c r="AE679" s="429">
        <v>4400.72</v>
      </c>
      <c r="AF679" s="429">
        <v>6179.96</v>
      </c>
      <c r="AG679" s="360">
        <v>0</v>
      </c>
      <c r="AH679" s="360">
        <v>0</v>
      </c>
      <c r="AI679" s="360">
        <v>0</v>
      </c>
      <c r="AJ679" s="360">
        <v>0</v>
      </c>
      <c r="AK679" s="360">
        <v>0</v>
      </c>
      <c r="AL679" s="360">
        <f>SUM(Z679:AK679)</f>
        <v>41005.410000000003</v>
      </c>
      <c r="AM679" s="455">
        <f>ERP_8[[#This Row],[2026 Working Total]]-ERP_8[[#This Row],[LE2 Final Submission]]</f>
        <v>17029.04</v>
      </c>
      <c r="AN679" s="79">
        <v>0</v>
      </c>
      <c r="AO679" s="79">
        <f>$AE679 - $AN679</f>
        <v>4400.72</v>
      </c>
      <c r="AP679" s="374">
        <f>SUM(ERP_8[[#This Row],[AP01]:[AP07]])-SUM(ERP_8[[#This Row],[AP01 LE2]:[AP07 LE2]])</f>
        <v>17029.04</v>
      </c>
      <c r="AQ679" s="80"/>
      <c r="AR679" s="79">
        <f>ERP_8[[#This Row],[2026 Working Total to Budget/LE]]-ERP_8[[#This Row],[Giveback]]</f>
        <v>17029.04</v>
      </c>
      <c r="AS679" s="81"/>
      <c r="AT679" s="375">
        <v>10095.790000000001</v>
      </c>
      <c r="AU679" s="375">
        <v>9921.4500000000007</v>
      </c>
      <c r="AV679" s="375">
        <v>3959.13</v>
      </c>
      <c r="AW679" s="375">
        <v>0</v>
      </c>
      <c r="AX679" s="375">
        <v>0</v>
      </c>
      <c r="AY679" s="375">
        <v>0</v>
      </c>
      <c r="AZ679" s="375">
        <v>0</v>
      </c>
      <c r="BA679" s="375">
        <v>0</v>
      </c>
      <c r="BB679" s="375">
        <v>0</v>
      </c>
      <c r="BC679" s="375">
        <v>0</v>
      </c>
      <c r="BD679" s="375">
        <v>0</v>
      </c>
      <c r="BE679" s="375">
        <v>0</v>
      </c>
      <c r="BF679" s="375">
        <v>23976.370000000003</v>
      </c>
      <c r="BG679" s="79">
        <v>10095.790000000001</v>
      </c>
      <c r="BH679" s="79">
        <v>9921.4500000000007</v>
      </c>
      <c r="BI679" s="79">
        <v>3959.13</v>
      </c>
      <c r="BJ679" s="79">
        <v>0</v>
      </c>
      <c r="BK679" s="79">
        <v>0</v>
      </c>
      <c r="BL679" s="79">
        <v>0</v>
      </c>
      <c r="BM679" s="79">
        <v>0</v>
      </c>
      <c r="BN679" s="79">
        <v>0</v>
      </c>
      <c r="BO679" s="79">
        <v>0</v>
      </c>
      <c r="BP679" s="79">
        <v>0</v>
      </c>
      <c r="BQ679" s="79">
        <v>0</v>
      </c>
      <c r="BR679" s="79">
        <v>0</v>
      </c>
      <c r="BS679" s="79">
        <v>23976.370000000003</v>
      </c>
    </row>
    <row r="680" spans="1:71" ht="15" hidden="1" customHeight="1">
      <c r="A680" s="66" t="s">
        <v>2862</v>
      </c>
      <c r="B680" s="737" t="s">
        <v>2863</v>
      </c>
      <c r="C680" s="346"/>
      <c r="D680" s="343" t="str">
        <f>_xlfn.TEXTJOIN("_",FALSE,E680,ERP_8[[#This Row],[Expense Category]],ERP_8[[#This Row],[Project Code*]])</f>
        <v>Patel, Apurva_TRAVEL &amp; ENTERTAINMENT_TravelEnt001</v>
      </c>
      <c r="E680" s="343" t="s">
        <v>1566</v>
      </c>
      <c r="F680" s="346"/>
      <c r="G680" s="150" t="s">
        <v>1136</v>
      </c>
      <c r="H680" s="150" t="s">
        <v>1567</v>
      </c>
      <c r="I680" s="150" t="s">
        <v>1567</v>
      </c>
      <c r="J680" s="150" t="s">
        <v>1567</v>
      </c>
      <c r="K680" s="511" t="s">
        <v>1037</v>
      </c>
      <c r="L680" s="451" t="s">
        <v>2846</v>
      </c>
      <c r="M680" s="343"/>
      <c r="N680" s="800"/>
      <c r="O680" s="70" t="s">
        <v>1039</v>
      </c>
      <c r="P680" s="346"/>
      <c r="Q680" s="346" t="s">
        <v>1140</v>
      </c>
      <c r="R680" s="346"/>
      <c r="S680" s="150" t="s">
        <v>1040</v>
      </c>
      <c r="T680" s="150"/>
      <c r="U680" s="453"/>
      <c r="V680" s="528">
        <v>0</v>
      </c>
      <c r="W680" s="529">
        <v>-468023.23</v>
      </c>
      <c r="X680" s="425"/>
      <c r="Y680" s="425"/>
      <c r="Z680" s="794">
        <v>-478537.04</v>
      </c>
      <c r="AA680" s="794">
        <v>11513.92</v>
      </c>
      <c r="AB680" s="794">
        <v>-1000.11</v>
      </c>
      <c r="AC680" s="428">
        <v>5133</v>
      </c>
      <c r="AD680" s="429">
        <v>288</v>
      </c>
      <c r="AE680" s="429">
        <v>864</v>
      </c>
      <c r="AF680" s="429">
        <v>260.59999999999997</v>
      </c>
      <c r="AG680" s="360">
        <v>0</v>
      </c>
      <c r="AH680" s="360">
        <v>0</v>
      </c>
      <c r="AI680" s="360">
        <v>0</v>
      </c>
      <c r="AJ680" s="360">
        <v>0</v>
      </c>
      <c r="AK680" s="360">
        <v>0</v>
      </c>
      <c r="AL680" s="360">
        <f>SUM(Z680:AK680)</f>
        <v>-461477.63</v>
      </c>
      <c r="AM680" s="455">
        <f>ERP_8[[#This Row],[2026 Working Total]]-ERP_8[[#This Row],[LE2 Final Submission]]</f>
        <v>6545.5999999999767</v>
      </c>
      <c r="AN680" s="79">
        <v>0</v>
      </c>
      <c r="AO680" s="79">
        <f>$AE680 - $AN680</f>
        <v>864</v>
      </c>
      <c r="AP680" s="374">
        <f>SUM(ERP_8[[#This Row],[AP01]:[AP07]])-SUM(ERP_8[[#This Row],[AP01 LE2]:[AP07 LE2]])</f>
        <v>6545.5999999999767</v>
      </c>
      <c r="AQ680" s="80"/>
      <c r="AR680" s="79">
        <f>ERP_8[[#This Row],[2026 Working Total to Budget/LE]]-ERP_8[[#This Row],[Giveback]]</f>
        <v>6545.5999999999767</v>
      </c>
      <c r="AS680" s="81"/>
      <c r="AT680" s="375">
        <v>-478537.04</v>
      </c>
      <c r="AU680" s="375">
        <v>11513.92</v>
      </c>
      <c r="AV680" s="375">
        <v>-1000.11</v>
      </c>
      <c r="AW680" s="375">
        <v>0</v>
      </c>
      <c r="AX680" s="375">
        <v>0</v>
      </c>
      <c r="AY680" s="375">
        <v>0</v>
      </c>
      <c r="AZ680" s="375">
        <v>0</v>
      </c>
      <c r="BA680" s="375">
        <v>0</v>
      </c>
      <c r="BB680" s="375">
        <v>0</v>
      </c>
      <c r="BC680" s="375">
        <v>0</v>
      </c>
      <c r="BD680" s="375">
        <v>0</v>
      </c>
      <c r="BE680" s="375">
        <v>0</v>
      </c>
      <c r="BF680" s="375">
        <v>-468023.23</v>
      </c>
      <c r="BG680" s="79">
        <v>-478537.04</v>
      </c>
      <c r="BH680" s="79">
        <v>11513.92</v>
      </c>
      <c r="BI680" s="79">
        <v>-1000.11</v>
      </c>
      <c r="BJ680" s="79">
        <v>0</v>
      </c>
      <c r="BK680" s="79">
        <v>0</v>
      </c>
      <c r="BL680" s="79">
        <v>0</v>
      </c>
      <c r="BM680" s="79">
        <v>0</v>
      </c>
      <c r="BN680" s="79">
        <v>0</v>
      </c>
      <c r="BO680" s="79">
        <v>0</v>
      </c>
      <c r="BP680" s="79">
        <v>0</v>
      </c>
      <c r="BQ680" s="79">
        <v>0</v>
      </c>
      <c r="BR680" s="79">
        <v>0</v>
      </c>
      <c r="BS680" s="79">
        <v>-468023.23</v>
      </c>
    </row>
    <row r="681" spans="1:71" ht="15" hidden="1" customHeight="1">
      <c r="A681" s="66" t="s">
        <v>2864</v>
      </c>
      <c r="B681" s="737" t="s">
        <v>2865</v>
      </c>
      <c r="C681" s="346"/>
      <c r="D681" s="343" t="str">
        <f>_xlfn.TEXTJOIN("_",FALSE,E681,ERP_8[[#This Row],[Expense Category]],ERP_8[[#This Row],[Project Code*]])</f>
        <v>Patel, Apurva_TRAVEL &amp; ENTERTAINMENT_TravelEnt001_Reserve</v>
      </c>
      <c r="E681" s="343" t="s">
        <v>1566</v>
      </c>
      <c r="F681" s="346"/>
      <c r="G681" s="150" t="s">
        <v>1136</v>
      </c>
      <c r="H681" s="150" t="s">
        <v>1567</v>
      </c>
      <c r="I681" s="150" t="s">
        <v>1567</v>
      </c>
      <c r="J681" s="150" t="s">
        <v>1567</v>
      </c>
      <c r="K681" s="511" t="s">
        <v>1037</v>
      </c>
      <c r="L681" s="451" t="s">
        <v>1049</v>
      </c>
      <c r="M681" s="343"/>
      <c r="N681" s="800"/>
      <c r="O681" s="70" t="s">
        <v>1049</v>
      </c>
      <c r="P681" s="346"/>
      <c r="Q681" s="346" t="s">
        <v>1140</v>
      </c>
      <c r="R681" s="346"/>
      <c r="S681" s="150" t="s">
        <v>44</v>
      </c>
      <c r="T681" s="150"/>
      <c r="U681" s="453"/>
      <c r="V681" s="528">
        <v>285714.29000400001</v>
      </c>
      <c r="W681" s="529">
        <v>214285.71750299999</v>
      </c>
      <c r="X681" s="425"/>
      <c r="Y681" s="425"/>
      <c r="Z681" s="794"/>
      <c r="AA681" s="794"/>
      <c r="AB681" s="794"/>
      <c r="AC681" s="428" t="s">
        <v>1142</v>
      </c>
      <c r="AD681" s="429">
        <v>0</v>
      </c>
      <c r="AE681" s="429">
        <v>0</v>
      </c>
      <c r="AF681" s="429" t="s">
        <v>1142</v>
      </c>
      <c r="AG681" s="363">
        <v>23809.524167</v>
      </c>
      <c r="AH681" s="363">
        <v>23809.524167</v>
      </c>
      <c r="AI681" s="363">
        <v>23809.524167</v>
      </c>
      <c r="AJ681" s="363">
        <v>23809.524167</v>
      </c>
      <c r="AK681" s="363">
        <v>23809.524167</v>
      </c>
      <c r="AL681" s="360">
        <f>SUM(Z681:AK681)</f>
        <v>119047.62083499999</v>
      </c>
      <c r="AM681" s="455">
        <f>ERP_8[[#This Row],[2026 Working Total]]-ERP_8[[#This Row],[LE2 Final Submission]]</f>
        <v>-95238.096667999998</v>
      </c>
      <c r="AN681" s="79">
        <v>23809.524167</v>
      </c>
      <c r="AO681" s="79">
        <f>$AE681 - $AN681</f>
        <v>-23809.524167</v>
      </c>
      <c r="AP681" s="374">
        <f>SUM(ERP_8[[#This Row],[AP01]:[AP07]])-SUM(ERP_8[[#This Row],[AP01 LE2]:[AP07 LE2]])</f>
        <v>-95238.096667999998</v>
      </c>
      <c r="AQ681" s="80"/>
      <c r="AR681" s="79">
        <f>ERP_8[[#This Row],[2026 Working Total to Budget/LE]]-ERP_8[[#This Row],[Giveback]]</f>
        <v>-95238.096667999998</v>
      </c>
      <c r="AS681" s="81"/>
      <c r="AT681" s="375"/>
      <c r="AU681" s="375"/>
      <c r="AV681" s="375"/>
      <c r="AW681" s="375">
        <v>23809.524167</v>
      </c>
      <c r="AX681" s="375">
        <v>23809.524167</v>
      </c>
      <c r="AY681" s="375">
        <v>23809.524167</v>
      </c>
      <c r="AZ681" s="375">
        <v>23809.524167</v>
      </c>
      <c r="BA681" s="375">
        <v>23809.524167</v>
      </c>
      <c r="BB681" s="375">
        <v>23809.524167</v>
      </c>
      <c r="BC681" s="375">
        <v>23809.524167</v>
      </c>
      <c r="BD681" s="375">
        <v>23809.524167</v>
      </c>
      <c r="BE681" s="375">
        <v>23809.524167</v>
      </c>
      <c r="BF681" s="375">
        <v>214285.71750299999</v>
      </c>
      <c r="BG681" s="79"/>
      <c r="BH681" s="79"/>
      <c r="BI681" s="79"/>
      <c r="BJ681" s="79">
        <v>23809.524167</v>
      </c>
      <c r="BK681" s="79">
        <v>23809.524167</v>
      </c>
      <c r="BL681" s="79">
        <v>23809.524167</v>
      </c>
      <c r="BM681" s="79">
        <v>23809.524167</v>
      </c>
      <c r="BN681" s="79">
        <v>23809.524167</v>
      </c>
      <c r="BO681" s="79">
        <v>23809.524167</v>
      </c>
      <c r="BP681" s="79">
        <v>23809.524167</v>
      </c>
      <c r="BQ681" s="79">
        <v>23809.524167</v>
      </c>
      <c r="BR681" s="79">
        <v>23809.524167</v>
      </c>
      <c r="BS681" s="79">
        <v>214285.71750299999</v>
      </c>
    </row>
    <row r="682" spans="1:71" ht="15" hidden="1" customHeight="1">
      <c r="A682" s="66" t="s">
        <v>2866</v>
      </c>
      <c r="B682" s="737" t="s">
        <v>1050</v>
      </c>
      <c r="C682" s="346"/>
      <c r="D682" s="343" t="str">
        <f>_xlfn.TEXTJOIN("_",FALSE,E682,ERP_8[[#This Row],[Expense Category]],ERP_8[[#This Row],[Project Code*]])</f>
        <v>Robertson, Jerome_TRAVEL &amp; ENTERTAINMENT_TravelEnt001</v>
      </c>
      <c r="E682" s="343" t="s">
        <v>1650</v>
      </c>
      <c r="F682" s="346"/>
      <c r="G682" s="150" t="s">
        <v>1136</v>
      </c>
      <c r="H682" s="150" t="s">
        <v>1650</v>
      </c>
      <c r="I682" s="150" t="s">
        <v>1650</v>
      </c>
      <c r="J682" s="150" t="s">
        <v>1650</v>
      </c>
      <c r="K682" s="511" t="s">
        <v>1037</v>
      </c>
      <c r="L682" s="451" t="s">
        <v>2846</v>
      </c>
      <c r="M682" s="343"/>
      <c r="N682" s="800"/>
      <c r="O682" s="70" t="s">
        <v>1039</v>
      </c>
      <c r="P682" s="346"/>
      <c r="Q682" s="346" t="s">
        <v>1140</v>
      </c>
      <c r="R682" s="346"/>
      <c r="S682" s="150" t="s">
        <v>1040</v>
      </c>
      <c r="T682" s="150"/>
      <c r="U682" s="453"/>
      <c r="V682" s="528">
        <v>0</v>
      </c>
      <c r="W682" s="529">
        <v>17997.310000000001</v>
      </c>
      <c r="X682" s="425"/>
      <c r="Y682" s="425"/>
      <c r="Z682" s="794">
        <v>401</v>
      </c>
      <c r="AA682" s="794">
        <v>11440.6</v>
      </c>
      <c r="AB682" s="794">
        <v>6155.71</v>
      </c>
      <c r="AC682" s="428">
        <v>1364.6499999999996</v>
      </c>
      <c r="AD682" s="429">
        <v>535.48</v>
      </c>
      <c r="AE682" s="429">
        <v>1808.77</v>
      </c>
      <c r="AF682" s="429">
        <v>0</v>
      </c>
      <c r="AG682" s="360">
        <v>0</v>
      </c>
      <c r="AH682" s="360">
        <v>0</v>
      </c>
      <c r="AI682" s="360">
        <v>0</v>
      </c>
      <c r="AJ682" s="360">
        <v>0</v>
      </c>
      <c r="AK682" s="360">
        <v>0</v>
      </c>
      <c r="AL682" s="360">
        <f>SUM(Z682:AK682)</f>
        <v>21706.21</v>
      </c>
      <c r="AM682" s="455">
        <f>ERP_8[[#This Row],[2026 Working Total]]-ERP_8[[#This Row],[LE2 Final Submission]]</f>
        <v>3708.8999999999978</v>
      </c>
      <c r="AN682" s="79">
        <v>0</v>
      </c>
      <c r="AO682" s="79">
        <f>$AE682 - $AN682</f>
        <v>1808.77</v>
      </c>
      <c r="AP682" s="374">
        <f>SUM(ERP_8[[#This Row],[AP01]:[AP07]])-SUM(ERP_8[[#This Row],[AP01 LE2]:[AP07 LE2]])</f>
        <v>3708.8999999999978</v>
      </c>
      <c r="AQ682" s="80"/>
      <c r="AR682" s="79">
        <f>ERP_8[[#This Row],[2026 Working Total to Budget/LE]]-ERP_8[[#This Row],[Giveback]]</f>
        <v>3708.8999999999978</v>
      </c>
      <c r="AS682" s="81"/>
      <c r="AT682" s="375">
        <v>401</v>
      </c>
      <c r="AU682" s="375">
        <v>11440.6</v>
      </c>
      <c r="AV682" s="375">
        <v>6155.71</v>
      </c>
      <c r="AW682" s="375">
        <v>0</v>
      </c>
      <c r="AX682" s="375">
        <v>0</v>
      </c>
      <c r="AY682" s="375">
        <v>0</v>
      </c>
      <c r="AZ682" s="375">
        <v>0</v>
      </c>
      <c r="BA682" s="375">
        <v>0</v>
      </c>
      <c r="BB682" s="375">
        <v>0</v>
      </c>
      <c r="BC682" s="375">
        <v>0</v>
      </c>
      <c r="BD682" s="375">
        <v>0</v>
      </c>
      <c r="BE682" s="375">
        <v>0</v>
      </c>
      <c r="BF682" s="375">
        <v>17997.310000000001</v>
      </c>
      <c r="BG682" s="79">
        <v>401</v>
      </c>
      <c r="BH682" s="79">
        <v>11440.6</v>
      </c>
      <c r="BI682" s="79">
        <v>6155.71</v>
      </c>
      <c r="BJ682" s="79">
        <v>0</v>
      </c>
      <c r="BK682" s="79">
        <v>0</v>
      </c>
      <c r="BL682" s="79">
        <v>0</v>
      </c>
      <c r="BM682" s="79">
        <v>0</v>
      </c>
      <c r="BN682" s="79">
        <v>0</v>
      </c>
      <c r="BO682" s="79">
        <v>0</v>
      </c>
      <c r="BP682" s="79">
        <v>0</v>
      </c>
      <c r="BQ682" s="79">
        <v>0</v>
      </c>
      <c r="BR682" s="79">
        <v>0</v>
      </c>
      <c r="BS682" s="79">
        <v>17997.310000000001</v>
      </c>
    </row>
  </sheetData>
  <sheetProtection algorithmName="SHA-512" hashValue="yBS+CHIstRFDz7Jy2eIu8lLRFIL8NcjSvOoT6OZF/AyWK9NXYHOc5Zn0m8KB0hp0HE2KKdFUbYrqejVKLhIgzA==" saltValue="cOBA3eF0ZMQaVpztbBKvoQ==" spinCount="100000" sheet="1" formatCells="0" formatColumns="0" formatRows="0" insertRows="0" sort="0" autoFilter="0" pivotTables="0"/>
  <phoneticPr fontId="27" type="noConversion"/>
  <conditionalFormatting sqref="B1:B1048576">
    <cfRule type="duplicateValues" dxfId="675" priority="2"/>
  </conditionalFormatting>
  <conditionalFormatting sqref="D1:D1048576">
    <cfRule type="duplicateValues" dxfId="674" priority="3"/>
  </conditionalFormatting>
  <conditionalFormatting sqref="O1:O1048576">
    <cfRule type="duplicateValues" dxfId="673" priority="1"/>
  </conditionalFormatting>
  <conditionalFormatting sqref="Q1:Q6">
    <cfRule type="duplicateValues" dxfId="672" priority="11"/>
  </conditionalFormatting>
  <conditionalFormatting sqref="AS267:BF267">
    <cfRule type="duplicateValues" dxfId="671" priority="7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8C11-8323-4A4A-B764-ABC34A99549A}">
  <dimension ref="A2:BS19"/>
  <sheetViews>
    <sheetView workbookViewId="0">
      <selection activeCell="E28" sqref="E28"/>
    </sheetView>
  </sheetViews>
  <sheetFormatPr defaultRowHeight="14.45"/>
  <sheetData>
    <row r="2" spans="1:71" ht="15" customHeight="1">
      <c r="A2" s="66" t="s">
        <v>2867</v>
      </c>
      <c r="B2" s="737" t="s">
        <v>30</v>
      </c>
      <c r="C2" s="346"/>
      <c r="D2" s="343" t="e">
        <f>_xlfn.TEXTJOIN("_",FALSE,E2,ERP_8[[#This Row],[Expense Category]],ERP_8[[#This Row],[Project Code*]])</f>
        <v>#VALUE!</v>
      </c>
      <c r="E2" s="343" t="s">
        <v>1344</v>
      </c>
      <c r="F2" s="346"/>
      <c r="G2" s="150" t="s">
        <v>1136</v>
      </c>
      <c r="H2" s="150" t="s">
        <v>1345</v>
      </c>
      <c r="I2" s="150" t="s">
        <v>1344</v>
      </c>
      <c r="J2" s="150" t="s">
        <v>1346</v>
      </c>
      <c r="K2" s="511" t="s">
        <v>22</v>
      </c>
      <c r="L2" s="392" t="s">
        <v>2868</v>
      </c>
      <c r="M2" s="343"/>
      <c r="N2" s="800"/>
      <c r="O2" s="70" t="s">
        <v>24</v>
      </c>
      <c r="P2" s="346" t="s">
        <v>1139</v>
      </c>
      <c r="Q2" s="346" t="s">
        <v>1140</v>
      </c>
      <c r="R2" s="346"/>
      <c r="S2" s="150" t="s">
        <v>25</v>
      </c>
      <c r="T2" s="150"/>
      <c r="U2" s="403"/>
      <c r="V2" s="406">
        <v>0</v>
      </c>
      <c r="W2" s="406">
        <v>0</v>
      </c>
      <c r="X2" s="425"/>
      <c r="Y2" s="71"/>
      <c r="Z2" s="784"/>
      <c r="AA2" s="780"/>
      <c r="AB2" s="780"/>
      <c r="AC2" s="428" t="s">
        <v>1142</v>
      </c>
      <c r="AD2" s="429">
        <v>0</v>
      </c>
      <c r="AE2" s="429">
        <v>0</v>
      </c>
      <c r="AF2" s="429" t="s">
        <v>1142</v>
      </c>
      <c r="AG2" s="360">
        <v>0</v>
      </c>
      <c r="AH2" s="360">
        <v>0</v>
      </c>
      <c r="AI2" s="360">
        <v>0</v>
      </c>
      <c r="AJ2" s="360">
        <v>0</v>
      </c>
      <c r="AK2" s="360">
        <v>0</v>
      </c>
      <c r="AL2" s="360">
        <f t="shared" ref="AL2:AL13" si="0">SUM(Z2:AK2)</f>
        <v>0</v>
      </c>
      <c r="AM2" s="362" t="e">
        <f>ERP_8[[#This Row],[2026 Working Total]]-ERP_8[[#This Row],[LE2 Final Submission]]</f>
        <v>#VALUE!</v>
      </c>
      <c r="AN2" s="79">
        <v>0</v>
      </c>
      <c r="AO2" s="79">
        <f t="shared" ref="AO2:AO13" si="1">$AE2 - $AN2</f>
        <v>0</v>
      </c>
      <c r="AP2" s="374" t="e">
        <f>SUM(ERP_8[[#This Row],[AP01]:[AP07]])-SUM(ERP_8[[#This Row],[AP01 LE2]:[AP07 LE2]])</f>
        <v>#VALUE!</v>
      </c>
      <c r="AQ2" s="80"/>
      <c r="AR2" s="79" t="e">
        <f>ERP_8[[#This Row],[2026 Working Total to Budget/LE]]-ERP_8[[#This Row],[Giveback]]</f>
        <v>#VALUE!</v>
      </c>
      <c r="AS2" s="81"/>
      <c r="AT2" s="375"/>
      <c r="AU2" s="375"/>
      <c r="AV2" s="375"/>
      <c r="AW2" s="375">
        <v>0</v>
      </c>
      <c r="AX2" s="375">
        <v>0</v>
      </c>
      <c r="AY2" s="375">
        <v>0</v>
      </c>
      <c r="AZ2" s="375">
        <v>0</v>
      </c>
      <c r="BA2" s="375">
        <v>0</v>
      </c>
      <c r="BB2" s="375">
        <v>0</v>
      </c>
      <c r="BC2" s="375">
        <v>0</v>
      </c>
      <c r="BD2" s="375">
        <v>0</v>
      </c>
      <c r="BE2" s="375">
        <v>0</v>
      </c>
      <c r="BF2" s="375">
        <v>0</v>
      </c>
      <c r="BG2" s="79">
        <v>3835.35</v>
      </c>
      <c r="BH2" s="79">
        <v>2416.25</v>
      </c>
      <c r="BI2" s="79">
        <v>3735.66</v>
      </c>
      <c r="BJ2" s="79">
        <v>0</v>
      </c>
      <c r="BK2" s="79">
        <v>0</v>
      </c>
      <c r="BL2" s="79">
        <v>0</v>
      </c>
      <c r="BM2" s="79">
        <v>0</v>
      </c>
      <c r="BN2" s="79">
        <v>0</v>
      </c>
      <c r="BO2" s="79">
        <v>0</v>
      </c>
      <c r="BP2" s="79">
        <v>0</v>
      </c>
      <c r="BQ2" s="79">
        <v>0</v>
      </c>
      <c r="BR2" s="79">
        <v>0</v>
      </c>
      <c r="BS2" s="79">
        <v>9987.26</v>
      </c>
    </row>
    <row r="3" spans="1:71" ht="15" customHeight="1">
      <c r="A3" s="66" t="s">
        <v>2869</v>
      </c>
      <c r="B3" s="737" t="s">
        <v>31</v>
      </c>
      <c r="C3" s="346"/>
      <c r="D3" s="343" t="e">
        <f>_xlfn.TEXTJOIN("_",FALSE,E3,ERP_8[[#This Row],[Expense Category]],ERP_8[[#This Row],[Project Code*]])</f>
        <v>#VALUE!</v>
      </c>
      <c r="E3" s="343" t="s">
        <v>1344</v>
      </c>
      <c r="F3" s="346"/>
      <c r="G3" s="150" t="s">
        <v>1136</v>
      </c>
      <c r="H3" s="150" t="s">
        <v>1345</v>
      </c>
      <c r="I3" s="150" t="s">
        <v>1344</v>
      </c>
      <c r="J3" s="150" t="s">
        <v>1346</v>
      </c>
      <c r="K3" s="511" t="s">
        <v>22</v>
      </c>
      <c r="L3" s="392" t="s">
        <v>2870</v>
      </c>
      <c r="M3" s="343"/>
      <c r="N3" s="800"/>
      <c r="O3" s="70" t="s">
        <v>27</v>
      </c>
      <c r="P3" s="346" t="s">
        <v>1139</v>
      </c>
      <c r="Q3" s="346" t="s">
        <v>1140</v>
      </c>
      <c r="R3" s="346"/>
      <c r="S3" s="150" t="s">
        <v>25</v>
      </c>
      <c r="T3" s="150"/>
      <c r="U3" s="403"/>
      <c r="V3" s="406">
        <v>0</v>
      </c>
      <c r="W3" s="406">
        <v>0</v>
      </c>
      <c r="X3" s="425"/>
      <c r="Y3" s="71"/>
      <c r="Z3" s="784"/>
      <c r="AA3" s="794"/>
      <c r="AB3" s="794"/>
      <c r="AC3" s="429" t="s">
        <v>1142</v>
      </c>
      <c r="AD3" s="429">
        <v>0</v>
      </c>
      <c r="AE3" s="429">
        <v>0</v>
      </c>
      <c r="AF3" s="429" t="s">
        <v>1142</v>
      </c>
      <c r="AG3" s="360">
        <v>0</v>
      </c>
      <c r="AH3" s="360">
        <v>0</v>
      </c>
      <c r="AI3" s="360">
        <v>0</v>
      </c>
      <c r="AJ3" s="360">
        <v>0</v>
      </c>
      <c r="AK3" s="360">
        <v>0</v>
      </c>
      <c r="AL3" s="360">
        <f t="shared" si="0"/>
        <v>0</v>
      </c>
      <c r="AM3" s="362" t="e">
        <f>ERP_8[[#This Row],[2026 Working Total]]-ERP_8[[#This Row],[LE2 Final Submission]]</f>
        <v>#VALUE!</v>
      </c>
      <c r="AN3" s="79">
        <v>0</v>
      </c>
      <c r="AO3" s="79">
        <f t="shared" si="1"/>
        <v>0</v>
      </c>
      <c r="AP3" s="374" t="e">
        <f>SUM(ERP_8[[#This Row],[AP01]:[AP07]])-SUM(ERP_8[[#This Row],[AP01 LE2]:[AP07 LE2]])</f>
        <v>#VALUE!</v>
      </c>
      <c r="AQ3" s="80"/>
      <c r="AR3" s="79" t="e">
        <f>ERP_8[[#This Row],[2026 Working Total to Budget/LE]]-ERP_8[[#This Row],[Giveback]]</f>
        <v>#VALUE!</v>
      </c>
      <c r="AS3" s="81"/>
      <c r="AT3" s="375"/>
      <c r="AU3" s="375"/>
      <c r="AV3" s="375"/>
      <c r="AW3" s="375">
        <v>0</v>
      </c>
      <c r="AX3" s="375">
        <v>0</v>
      </c>
      <c r="AY3" s="375">
        <v>0</v>
      </c>
      <c r="AZ3" s="375">
        <v>0</v>
      </c>
      <c r="BA3" s="375">
        <v>0</v>
      </c>
      <c r="BB3" s="375">
        <v>0</v>
      </c>
      <c r="BC3" s="375">
        <v>0</v>
      </c>
      <c r="BD3" s="375">
        <v>0</v>
      </c>
      <c r="BE3" s="375">
        <v>0</v>
      </c>
      <c r="BF3" s="375">
        <v>0</v>
      </c>
      <c r="BG3" s="79">
        <v>3779.53</v>
      </c>
      <c r="BH3" s="79">
        <v>7255.22</v>
      </c>
      <c r="BI3" s="79">
        <v>5363.84</v>
      </c>
      <c r="BJ3" s="79">
        <v>0</v>
      </c>
      <c r="BK3" s="79">
        <v>0</v>
      </c>
      <c r="BL3" s="79">
        <v>0</v>
      </c>
      <c r="BM3" s="79">
        <v>0</v>
      </c>
      <c r="BN3" s="79">
        <v>0</v>
      </c>
      <c r="BO3" s="79">
        <v>0</v>
      </c>
      <c r="BP3" s="79">
        <v>0</v>
      </c>
      <c r="BQ3" s="79">
        <v>0</v>
      </c>
      <c r="BR3" s="79">
        <v>0</v>
      </c>
      <c r="BS3" s="79">
        <v>16398.59</v>
      </c>
    </row>
    <row r="4" spans="1:71" ht="15" customHeight="1">
      <c r="A4" s="66" t="s">
        <v>2871</v>
      </c>
      <c r="B4" s="737" t="s">
        <v>32</v>
      </c>
      <c r="C4" s="346"/>
      <c r="D4" s="343" t="e">
        <f>_xlfn.TEXTJOIN("_",FALSE,E4,ERP_8[[#This Row],[Expense Category]],ERP_8[[#This Row],[Project Code*]])</f>
        <v>#VALUE!</v>
      </c>
      <c r="E4" s="343" t="s">
        <v>1344</v>
      </c>
      <c r="F4" s="346"/>
      <c r="G4" s="150" t="s">
        <v>1136</v>
      </c>
      <c r="H4" s="150" t="s">
        <v>1345</v>
      </c>
      <c r="I4" s="150" t="s">
        <v>1344</v>
      </c>
      <c r="J4" s="150" t="s">
        <v>1346</v>
      </c>
      <c r="K4" s="511" t="s">
        <v>22</v>
      </c>
      <c r="L4" s="392" t="s">
        <v>2872</v>
      </c>
      <c r="M4" s="343"/>
      <c r="N4" s="800"/>
      <c r="O4" s="70" t="s">
        <v>29</v>
      </c>
      <c r="P4" s="346" t="s">
        <v>1139</v>
      </c>
      <c r="Q4" s="346" t="s">
        <v>1140</v>
      </c>
      <c r="R4" s="346"/>
      <c r="S4" s="150" t="s">
        <v>25</v>
      </c>
      <c r="T4" s="150"/>
      <c r="U4" s="403"/>
      <c r="V4" s="403">
        <v>0</v>
      </c>
      <c r="W4" s="403">
        <v>0</v>
      </c>
      <c r="X4" s="425"/>
      <c r="Y4" s="71"/>
      <c r="Z4" s="784"/>
      <c r="AA4" s="794"/>
      <c r="AB4" s="794"/>
      <c r="AC4" s="427"/>
      <c r="AD4" s="427"/>
      <c r="AE4" s="429"/>
      <c r="AF4" s="429"/>
      <c r="AG4" s="360">
        <v>0</v>
      </c>
      <c r="AH4" s="360">
        <v>0</v>
      </c>
      <c r="AI4" s="360">
        <v>0</v>
      </c>
      <c r="AJ4" s="360">
        <v>0</v>
      </c>
      <c r="AK4" s="360">
        <v>0</v>
      </c>
      <c r="AL4" s="360">
        <f t="shared" si="0"/>
        <v>0</v>
      </c>
      <c r="AM4" s="362" t="e">
        <f>ERP_8[[#This Row],[2026 Working Total]]-ERP_8[[#This Row],[LE2 Final Submission]]</f>
        <v>#VALUE!</v>
      </c>
      <c r="AN4" s="79">
        <v>0</v>
      </c>
      <c r="AO4" s="79">
        <f t="shared" si="1"/>
        <v>0</v>
      </c>
      <c r="AP4" s="374" t="e">
        <f>SUM(ERP_8[[#This Row],[AP01]:[AP07]])-SUM(ERP_8[[#This Row],[AP01 LE2]:[AP07 LE2]])</f>
        <v>#VALUE!</v>
      </c>
      <c r="AQ4" s="80"/>
      <c r="AR4" s="79" t="e">
        <f>ERP_8[[#This Row],[2026 Working Total to Budget/LE]]-ERP_8[[#This Row],[Giveback]]</f>
        <v>#VALUE!</v>
      </c>
      <c r="AS4" s="81"/>
      <c r="AT4" s="375"/>
      <c r="AU4" s="375"/>
      <c r="AV4" s="375"/>
      <c r="AW4" s="375">
        <v>0</v>
      </c>
      <c r="AX4" s="375">
        <v>0</v>
      </c>
      <c r="AY4" s="375">
        <v>0</v>
      </c>
      <c r="AZ4" s="375">
        <v>0</v>
      </c>
      <c r="BA4" s="375">
        <v>0</v>
      </c>
      <c r="BB4" s="375">
        <v>0</v>
      </c>
      <c r="BC4" s="375">
        <v>0</v>
      </c>
      <c r="BD4" s="375">
        <v>0</v>
      </c>
      <c r="BE4" s="375">
        <v>0</v>
      </c>
      <c r="BF4" s="375">
        <v>0</v>
      </c>
      <c r="BG4" s="79">
        <v>6685.48</v>
      </c>
      <c r="BH4" s="79">
        <v>-19872.71</v>
      </c>
      <c r="BI4" s="79">
        <v>7440.92</v>
      </c>
      <c r="BJ4" s="79">
        <v>0</v>
      </c>
      <c r="BK4" s="79">
        <v>0</v>
      </c>
      <c r="BL4" s="79">
        <v>0</v>
      </c>
      <c r="BM4" s="79">
        <v>0</v>
      </c>
      <c r="BN4" s="79">
        <v>0</v>
      </c>
      <c r="BO4" s="79">
        <v>0</v>
      </c>
      <c r="BP4" s="79">
        <v>0</v>
      </c>
      <c r="BQ4" s="79">
        <v>0</v>
      </c>
      <c r="BR4" s="79">
        <v>0</v>
      </c>
      <c r="BS4" s="79">
        <v>-5746.3099999999995</v>
      </c>
    </row>
    <row r="5" spans="1:71" ht="15" customHeight="1">
      <c r="A5" s="66" t="s">
        <v>2873</v>
      </c>
      <c r="B5" s="737" t="s">
        <v>33</v>
      </c>
      <c r="C5" s="346"/>
      <c r="D5" s="343" t="e">
        <f>_xlfn.TEXTJOIN("_",FALSE,E5,ERP_8[[#This Row],[Expense Category]],ERP_8[[#This Row],[Project Code*]])</f>
        <v>#VALUE!</v>
      </c>
      <c r="E5" s="343" t="s">
        <v>1345</v>
      </c>
      <c r="F5" s="346"/>
      <c r="G5" s="150" t="s">
        <v>1136</v>
      </c>
      <c r="H5" s="150" t="s">
        <v>1345</v>
      </c>
      <c r="I5" s="150" t="s">
        <v>1345</v>
      </c>
      <c r="J5" s="150" t="s">
        <v>1346</v>
      </c>
      <c r="K5" s="511" t="s">
        <v>22</v>
      </c>
      <c r="L5" s="392" t="s">
        <v>2872</v>
      </c>
      <c r="M5" s="343"/>
      <c r="N5" s="800"/>
      <c r="O5" s="70" t="s">
        <v>29</v>
      </c>
      <c r="P5" s="346" t="s">
        <v>1139</v>
      </c>
      <c r="Q5" s="346" t="s">
        <v>1140</v>
      </c>
      <c r="R5" s="346"/>
      <c r="S5" s="150" t="s">
        <v>25</v>
      </c>
      <c r="T5" s="150" t="s">
        <v>2874</v>
      </c>
      <c r="U5" s="403"/>
      <c r="V5" s="403">
        <v>16484280.790000003</v>
      </c>
      <c r="W5" s="403">
        <v>21816549.886619337</v>
      </c>
      <c r="X5" s="425"/>
      <c r="Y5" s="71"/>
      <c r="Z5" s="784">
        <v>1733430.9899999991</v>
      </c>
      <c r="AA5" s="794">
        <v>2659121.5100000012</v>
      </c>
      <c r="AB5" s="794">
        <v>1591278.1799999983</v>
      </c>
      <c r="AC5" s="436">
        <v>2358182.7000000007</v>
      </c>
      <c r="AD5" s="436">
        <v>54442.760000000351</v>
      </c>
      <c r="AE5" s="429">
        <v>1931126.61</v>
      </c>
      <c r="AF5" s="429">
        <v>1528268.42</v>
      </c>
      <c r="AG5" s="363">
        <v>1781851.6968221199</v>
      </c>
      <c r="AH5" s="363">
        <v>1807055.77390462</v>
      </c>
      <c r="AI5" s="363">
        <v>1862531.492714915</v>
      </c>
      <c r="AJ5" s="363">
        <v>1871209.9824649149</v>
      </c>
      <c r="AK5" s="363">
        <v>1871209.9824649149</v>
      </c>
      <c r="AL5" s="360">
        <f t="shared" si="0"/>
        <v>21049710.09837148</v>
      </c>
      <c r="AM5" s="362" t="e">
        <f>ERP_8[[#This Row],[2026 Working Total]]-ERP_8[[#This Row],[LE2 Final Submission]]</f>
        <v>#VALUE!</v>
      </c>
      <c r="AN5" s="79">
        <v>0</v>
      </c>
      <c r="AO5" s="79">
        <f t="shared" si="1"/>
        <v>1931126.61</v>
      </c>
      <c r="AP5" s="374" t="e">
        <f>SUM(ERP_8[[#This Row],[AP01]:[AP07]])-SUM(ERP_8[[#This Row],[AP01 LE2]:[AP07 LE2]])</f>
        <v>#VALUE!</v>
      </c>
      <c r="AQ5" s="80"/>
      <c r="AR5" s="79" t="e">
        <f>ERP_8[[#This Row],[2026 Working Total to Budget/LE]]-ERP_8[[#This Row],[Giveback]]</f>
        <v>#VALUE!</v>
      </c>
      <c r="AS5" s="81"/>
      <c r="AT5" s="375">
        <v>1733430.9899999991</v>
      </c>
      <c r="AU5" s="375">
        <v>2659121.5100000012</v>
      </c>
      <c r="AV5" s="375">
        <v>1591278.1799999983</v>
      </c>
      <c r="AW5" s="375">
        <v>2405320.04</v>
      </c>
      <c r="AX5" s="375">
        <v>657407.65222870966</v>
      </c>
      <c r="AY5" s="375">
        <v>1790825.862228709</v>
      </c>
      <c r="AZ5" s="375">
        <v>1785306.7237904386</v>
      </c>
      <c r="BA5" s="375">
        <v>1781851.6968221199</v>
      </c>
      <c r="BB5" s="375">
        <v>1807055.77390462</v>
      </c>
      <c r="BC5" s="375">
        <v>1862531.492714915</v>
      </c>
      <c r="BD5" s="375">
        <v>1871209.9824649149</v>
      </c>
      <c r="BE5" s="375">
        <v>1871209.9824649149</v>
      </c>
      <c r="BF5" s="375">
        <v>21816549.886619337</v>
      </c>
      <c r="BG5" s="79">
        <v>1086387.3400000001</v>
      </c>
      <c r="BH5" s="79">
        <v>1551142.73</v>
      </c>
      <c r="BI5" s="79">
        <v>857806.14</v>
      </c>
      <c r="BJ5" s="79">
        <v>1328752.27</v>
      </c>
      <c r="BK5" s="79">
        <v>1328097.83</v>
      </c>
      <c r="BL5" s="79">
        <v>1371182.86</v>
      </c>
      <c r="BM5" s="79">
        <v>1392643.5</v>
      </c>
      <c r="BN5" s="79">
        <v>1403661.35</v>
      </c>
      <c r="BO5" s="79">
        <v>1403661.35</v>
      </c>
      <c r="BP5" s="79">
        <v>1403661.35</v>
      </c>
      <c r="BQ5" s="79">
        <v>1409426</v>
      </c>
      <c r="BR5" s="79">
        <v>1409426</v>
      </c>
      <c r="BS5" s="79">
        <v>15945848.720000001</v>
      </c>
    </row>
    <row r="6" spans="1:71" ht="15" customHeight="1">
      <c r="A6" s="66" t="s">
        <v>2875</v>
      </c>
      <c r="B6" s="737" t="s">
        <v>34</v>
      </c>
      <c r="C6" s="346"/>
      <c r="D6" s="343" t="e">
        <f>_xlfn.TEXTJOIN("_",FALSE,E6,ERP_8[[#This Row],[Expense Category]],ERP_8[[#This Row],[Project Code*]])</f>
        <v>#VALUE!</v>
      </c>
      <c r="E6" s="343" t="s">
        <v>1515</v>
      </c>
      <c r="F6" s="346"/>
      <c r="G6" s="150" t="s">
        <v>1136</v>
      </c>
      <c r="H6" s="150" t="s">
        <v>1345</v>
      </c>
      <c r="I6" s="150" t="s">
        <v>1515</v>
      </c>
      <c r="J6" s="150" t="s">
        <v>1346</v>
      </c>
      <c r="K6" s="511" t="s">
        <v>22</v>
      </c>
      <c r="L6" s="392" t="s">
        <v>2868</v>
      </c>
      <c r="M6" s="343"/>
      <c r="N6" s="800"/>
      <c r="O6" s="70" t="s">
        <v>24</v>
      </c>
      <c r="P6" s="346" t="s">
        <v>1139</v>
      </c>
      <c r="Q6" s="346" t="s">
        <v>1140</v>
      </c>
      <c r="R6" s="346"/>
      <c r="S6" s="150" t="s">
        <v>25</v>
      </c>
      <c r="T6" s="150"/>
      <c r="U6" s="403"/>
      <c r="V6" s="406">
        <v>0</v>
      </c>
      <c r="W6" s="406">
        <v>0</v>
      </c>
      <c r="X6" s="425"/>
      <c r="Y6" s="71"/>
      <c r="Z6" s="784"/>
      <c r="AA6" s="780"/>
      <c r="AB6" s="780"/>
      <c r="AC6" s="428" t="s">
        <v>1142</v>
      </c>
      <c r="AD6" s="429">
        <v>0</v>
      </c>
      <c r="AE6" s="429">
        <v>0</v>
      </c>
      <c r="AF6" s="429" t="s">
        <v>1142</v>
      </c>
      <c r="AG6" s="360">
        <v>0</v>
      </c>
      <c r="AH6" s="360">
        <v>0</v>
      </c>
      <c r="AI6" s="360">
        <v>0</v>
      </c>
      <c r="AJ6" s="360">
        <v>0</v>
      </c>
      <c r="AK6" s="360">
        <v>0</v>
      </c>
      <c r="AL6" s="360">
        <f t="shared" si="0"/>
        <v>0</v>
      </c>
      <c r="AM6" s="362" t="e">
        <f>ERP_8[[#This Row],[2026 Working Total]]-ERP_8[[#This Row],[LE2 Final Submission]]</f>
        <v>#VALUE!</v>
      </c>
      <c r="AN6" s="79">
        <v>0</v>
      </c>
      <c r="AO6" s="79">
        <f t="shared" si="1"/>
        <v>0</v>
      </c>
      <c r="AP6" s="374" t="e">
        <f>SUM(ERP_8[[#This Row],[AP01]:[AP07]])-SUM(ERP_8[[#This Row],[AP01 LE2]:[AP07 LE2]])</f>
        <v>#VALUE!</v>
      </c>
      <c r="AQ6" s="80"/>
      <c r="AR6" s="79" t="e">
        <f>ERP_8[[#This Row],[2026 Working Total to Budget/LE]]-ERP_8[[#This Row],[Giveback]]</f>
        <v>#VALUE!</v>
      </c>
      <c r="AS6" s="81"/>
      <c r="AT6" s="375"/>
      <c r="AU6" s="375"/>
      <c r="AV6" s="375"/>
      <c r="AW6" s="375">
        <v>0</v>
      </c>
      <c r="AX6" s="375">
        <v>0</v>
      </c>
      <c r="AY6" s="375">
        <v>0</v>
      </c>
      <c r="AZ6" s="375">
        <v>0</v>
      </c>
      <c r="BA6" s="375">
        <v>0</v>
      </c>
      <c r="BB6" s="375">
        <v>0</v>
      </c>
      <c r="BC6" s="375">
        <v>0</v>
      </c>
      <c r="BD6" s="375">
        <v>0</v>
      </c>
      <c r="BE6" s="375">
        <v>0</v>
      </c>
      <c r="BF6" s="375">
        <v>0</v>
      </c>
      <c r="BG6" s="79">
        <v>1989.38</v>
      </c>
      <c r="BH6" s="79">
        <v>2792.24</v>
      </c>
      <c r="BI6" s="79">
        <v>4195.3599999999997</v>
      </c>
      <c r="BJ6" s="79">
        <v>0</v>
      </c>
      <c r="BK6" s="79">
        <v>0</v>
      </c>
      <c r="BL6" s="79">
        <v>0</v>
      </c>
      <c r="BM6" s="79">
        <v>0</v>
      </c>
      <c r="BN6" s="79">
        <v>0</v>
      </c>
      <c r="BO6" s="79">
        <v>0</v>
      </c>
      <c r="BP6" s="79">
        <v>0</v>
      </c>
      <c r="BQ6" s="79">
        <v>0</v>
      </c>
      <c r="BR6" s="79">
        <v>0</v>
      </c>
      <c r="BS6" s="79">
        <v>8976.98</v>
      </c>
    </row>
    <row r="7" spans="1:71" ht="15" customHeight="1">
      <c r="A7" s="66" t="s">
        <v>2876</v>
      </c>
      <c r="B7" s="737" t="s">
        <v>35</v>
      </c>
      <c r="C7" s="346"/>
      <c r="D7" s="343" t="e">
        <f>_xlfn.TEXTJOIN("_",FALSE,E7,ERP_8[[#This Row],[Expense Category]],ERP_8[[#This Row],[Project Code*]])</f>
        <v>#VALUE!</v>
      </c>
      <c r="E7" s="343" t="s">
        <v>1515</v>
      </c>
      <c r="F7" s="346"/>
      <c r="G7" s="150" t="s">
        <v>1136</v>
      </c>
      <c r="H7" s="150" t="s">
        <v>1345</v>
      </c>
      <c r="I7" s="150" t="s">
        <v>1515</v>
      </c>
      <c r="J7" s="150" t="s">
        <v>1346</v>
      </c>
      <c r="K7" s="511" t="s">
        <v>22</v>
      </c>
      <c r="L7" s="392" t="s">
        <v>2870</v>
      </c>
      <c r="M7" s="343"/>
      <c r="N7" s="800"/>
      <c r="O7" s="70" t="s">
        <v>27</v>
      </c>
      <c r="P7" s="346" t="s">
        <v>1139</v>
      </c>
      <c r="Q7" s="346" t="s">
        <v>1140</v>
      </c>
      <c r="R7" s="346"/>
      <c r="S7" s="150" t="s">
        <v>25</v>
      </c>
      <c r="T7" s="150"/>
      <c r="U7" s="403"/>
      <c r="V7" s="406">
        <v>0</v>
      </c>
      <c r="W7" s="406">
        <v>0</v>
      </c>
      <c r="X7" s="425"/>
      <c r="Y7" s="71"/>
      <c r="Z7" s="784"/>
      <c r="AA7" s="780"/>
      <c r="AB7" s="780"/>
      <c r="AC7" s="428" t="s">
        <v>1142</v>
      </c>
      <c r="AD7" s="429">
        <v>0</v>
      </c>
      <c r="AE7" s="429">
        <v>0</v>
      </c>
      <c r="AF7" s="429" t="s">
        <v>1142</v>
      </c>
      <c r="AG7" s="360">
        <v>0</v>
      </c>
      <c r="AH7" s="360">
        <v>0</v>
      </c>
      <c r="AI7" s="360">
        <v>0</v>
      </c>
      <c r="AJ7" s="360">
        <v>0</v>
      </c>
      <c r="AK7" s="360">
        <v>0</v>
      </c>
      <c r="AL7" s="360">
        <f t="shared" si="0"/>
        <v>0</v>
      </c>
      <c r="AM7" s="362" t="e">
        <f>ERP_8[[#This Row],[2026 Working Total]]-ERP_8[[#This Row],[LE2 Final Submission]]</f>
        <v>#VALUE!</v>
      </c>
      <c r="AN7" s="79">
        <v>0</v>
      </c>
      <c r="AO7" s="79">
        <f t="shared" si="1"/>
        <v>0</v>
      </c>
      <c r="AP7" s="374" t="e">
        <f>SUM(ERP_8[[#This Row],[AP01]:[AP07]])-SUM(ERP_8[[#This Row],[AP01 LE2]:[AP07 LE2]])</f>
        <v>#VALUE!</v>
      </c>
      <c r="AQ7" s="80"/>
      <c r="AR7" s="79" t="e">
        <f>ERP_8[[#This Row],[2026 Working Total to Budget/LE]]-ERP_8[[#This Row],[Giveback]]</f>
        <v>#VALUE!</v>
      </c>
      <c r="AS7" s="81"/>
      <c r="AT7" s="375"/>
      <c r="AU7" s="375"/>
      <c r="AV7" s="375"/>
      <c r="AW7" s="375">
        <v>0</v>
      </c>
      <c r="AX7" s="375">
        <v>0</v>
      </c>
      <c r="AY7" s="375">
        <v>0</v>
      </c>
      <c r="AZ7" s="375">
        <v>0</v>
      </c>
      <c r="BA7" s="375">
        <v>0</v>
      </c>
      <c r="BB7" s="375">
        <v>0</v>
      </c>
      <c r="BC7" s="375">
        <v>0</v>
      </c>
      <c r="BD7" s="375">
        <v>0</v>
      </c>
      <c r="BE7" s="375">
        <v>0</v>
      </c>
      <c r="BF7" s="375">
        <v>0</v>
      </c>
      <c r="BG7" s="79">
        <v>2651.11</v>
      </c>
      <c r="BH7" s="79">
        <v>1336.03</v>
      </c>
      <c r="BI7" s="79">
        <v>1800.7</v>
      </c>
      <c r="BJ7" s="79">
        <v>0</v>
      </c>
      <c r="BK7" s="79">
        <v>0</v>
      </c>
      <c r="BL7" s="79">
        <v>0</v>
      </c>
      <c r="BM7" s="79">
        <v>0</v>
      </c>
      <c r="BN7" s="79">
        <v>0</v>
      </c>
      <c r="BO7" s="79">
        <v>0</v>
      </c>
      <c r="BP7" s="79">
        <v>0</v>
      </c>
      <c r="BQ7" s="79">
        <v>0</v>
      </c>
      <c r="BR7" s="79">
        <v>0</v>
      </c>
      <c r="BS7" s="79">
        <v>5787.84</v>
      </c>
    </row>
    <row r="8" spans="1:71" ht="15" customHeight="1">
      <c r="A8" s="66" t="s">
        <v>2877</v>
      </c>
      <c r="B8" s="737" t="s">
        <v>36</v>
      </c>
      <c r="C8" s="346"/>
      <c r="D8" s="343" t="str">
        <f>_xlfn.TEXTJOIN("_",FALSE,E8,ERP_8[[#This Row],[Expense Category]],ERP_8[[#This Row],[Project Code*]])</f>
        <v>Jajodia, Amit_CONTRACTORS_ColleagueSolutions001</v>
      </c>
      <c r="E8" s="343" t="s">
        <v>1515</v>
      </c>
      <c r="F8" s="346"/>
      <c r="G8" s="150" t="s">
        <v>1136</v>
      </c>
      <c r="H8" s="150" t="s">
        <v>1345</v>
      </c>
      <c r="I8" s="150" t="s">
        <v>1515</v>
      </c>
      <c r="J8" s="150" t="s">
        <v>1346</v>
      </c>
      <c r="K8" s="511" t="s">
        <v>22</v>
      </c>
      <c r="L8" s="392" t="s">
        <v>2872</v>
      </c>
      <c r="M8" s="343"/>
      <c r="N8" s="800"/>
      <c r="O8" s="70" t="s">
        <v>29</v>
      </c>
      <c r="P8" s="346" t="s">
        <v>1139</v>
      </c>
      <c r="Q8" s="346" t="s">
        <v>1140</v>
      </c>
      <c r="R8" s="346"/>
      <c r="S8" s="150" t="s">
        <v>25</v>
      </c>
      <c r="T8" s="150"/>
      <c r="U8" s="403"/>
      <c r="V8" s="406">
        <v>0</v>
      </c>
      <c r="W8" s="406">
        <v>0</v>
      </c>
      <c r="X8" s="425"/>
      <c r="Y8" s="71"/>
      <c r="Z8" s="784"/>
      <c r="AA8" s="794"/>
      <c r="AB8" s="794"/>
      <c r="AC8" s="427"/>
      <c r="AD8" s="427"/>
      <c r="AE8" s="429"/>
      <c r="AF8" s="429"/>
      <c r="AG8" s="360">
        <v>0</v>
      </c>
      <c r="AH8" s="360">
        <v>0</v>
      </c>
      <c r="AI8" s="360">
        <v>0</v>
      </c>
      <c r="AJ8" s="360">
        <v>0</v>
      </c>
      <c r="AK8" s="360">
        <v>0</v>
      </c>
      <c r="AL8" s="360">
        <f t="shared" si="0"/>
        <v>0</v>
      </c>
      <c r="AM8" s="362">
        <f>ERP_8[[#This Row],[2026 Working Total]]-ERP_8[[#This Row],[LE2 Final Submission]]</f>
        <v>-404.80000000000018</v>
      </c>
      <c r="AN8" s="79">
        <v>0</v>
      </c>
      <c r="AO8" s="79">
        <f t="shared" si="1"/>
        <v>0</v>
      </c>
      <c r="AP8" s="374">
        <f>SUM(ERP_8[[#This Row],[AP01]:[AP07]])-SUM(ERP_8[[#This Row],[AP01 LE2]:[AP07 LE2]])</f>
        <v>-404.8</v>
      </c>
      <c r="AQ8" s="80"/>
      <c r="AR8" s="79">
        <f>ERP_8[[#This Row],[2026 Working Total to Budget/LE]]-ERP_8[[#This Row],[Giveback]]</f>
        <v>-404.80000000000018</v>
      </c>
      <c r="AS8" s="81"/>
      <c r="AT8" s="375"/>
      <c r="AU8" s="375"/>
      <c r="AV8" s="375"/>
      <c r="AW8" s="375">
        <v>0</v>
      </c>
      <c r="AX8" s="375">
        <v>0</v>
      </c>
      <c r="AY8" s="375">
        <v>0</v>
      </c>
      <c r="AZ8" s="375">
        <v>0</v>
      </c>
      <c r="BA8" s="375">
        <v>0</v>
      </c>
      <c r="BB8" s="375">
        <v>0</v>
      </c>
      <c r="BC8" s="375">
        <v>0</v>
      </c>
      <c r="BD8" s="375">
        <v>0</v>
      </c>
      <c r="BE8" s="375">
        <v>0</v>
      </c>
      <c r="BF8" s="375">
        <v>0</v>
      </c>
      <c r="BG8" s="79">
        <v>9779.9</v>
      </c>
      <c r="BH8" s="79">
        <v>9779.8799999999992</v>
      </c>
      <c r="BI8" s="79">
        <v>9779.8799999999992</v>
      </c>
      <c r="BJ8" s="79">
        <v>0</v>
      </c>
      <c r="BK8" s="79">
        <v>0</v>
      </c>
      <c r="BL8" s="79">
        <v>0</v>
      </c>
      <c r="BM8" s="79">
        <v>0</v>
      </c>
      <c r="BN8" s="79">
        <v>0</v>
      </c>
      <c r="BO8" s="79">
        <v>0</v>
      </c>
      <c r="BP8" s="79">
        <v>0</v>
      </c>
      <c r="BQ8" s="79">
        <v>0</v>
      </c>
      <c r="BR8" s="79">
        <v>0</v>
      </c>
      <c r="BS8" s="79">
        <v>29339.659999999996</v>
      </c>
    </row>
    <row r="9" spans="1:71" ht="15" customHeight="1">
      <c r="A9" s="66" t="s">
        <v>2878</v>
      </c>
      <c r="B9" s="737" t="s">
        <v>2879</v>
      </c>
      <c r="C9" s="346"/>
      <c r="D9" s="343" t="str">
        <f>_xlfn.TEXTJOIN("_",FALSE,E9,ERP_8[[#This Row],[Expense Category]],ERP_8[[#This Row],[Project Code*]])</f>
        <v>Patel, Apurva_CONTRACTORS_ColleagueSolutions001</v>
      </c>
      <c r="E9" s="343" t="s">
        <v>1566</v>
      </c>
      <c r="F9" s="346"/>
      <c r="G9" s="150" t="s">
        <v>1136</v>
      </c>
      <c r="H9" s="150" t="s">
        <v>1345</v>
      </c>
      <c r="I9" s="150" t="s">
        <v>1346</v>
      </c>
      <c r="J9" s="150" t="s">
        <v>1346</v>
      </c>
      <c r="K9" s="511" t="s">
        <v>22</v>
      </c>
      <c r="L9" s="392" t="s">
        <v>2868</v>
      </c>
      <c r="M9" s="343"/>
      <c r="N9" s="800"/>
      <c r="O9" s="70" t="s">
        <v>24</v>
      </c>
      <c r="P9" s="346" t="s">
        <v>1139</v>
      </c>
      <c r="Q9" s="346" t="s">
        <v>1140</v>
      </c>
      <c r="R9" s="346"/>
      <c r="S9" s="150" t="s">
        <v>25</v>
      </c>
      <c r="T9" s="150"/>
      <c r="U9" s="403"/>
      <c r="V9" s="406">
        <v>6952243.9899999993</v>
      </c>
      <c r="W9" s="406">
        <v>0</v>
      </c>
      <c r="X9" s="425"/>
      <c r="Y9" s="71"/>
      <c r="Z9" s="784"/>
      <c r="AA9" s="794"/>
      <c r="AB9" s="794"/>
      <c r="AC9" s="428" t="s">
        <v>1142</v>
      </c>
      <c r="AD9" s="429">
        <v>0</v>
      </c>
      <c r="AE9" s="429">
        <v>0</v>
      </c>
      <c r="AF9" s="429" t="s">
        <v>1142</v>
      </c>
      <c r="AG9" s="363"/>
      <c r="AH9" s="363"/>
      <c r="AI9" s="363"/>
      <c r="AJ9" s="363"/>
      <c r="AK9" s="363"/>
      <c r="AL9" s="360">
        <f t="shared" si="0"/>
        <v>0</v>
      </c>
      <c r="AM9" s="362">
        <f>ERP_8[[#This Row],[2026 Working Total]]-ERP_8[[#This Row],[LE2 Final Submission]]</f>
        <v>-1800</v>
      </c>
      <c r="AN9" s="79">
        <v>0</v>
      </c>
      <c r="AO9" s="79">
        <f t="shared" si="1"/>
        <v>0</v>
      </c>
      <c r="AP9" s="374">
        <f>SUM(ERP_8[[#This Row],[AP01]:[AP07]])-SUM(ERP_8[[#This Row],[AP01 LE2]:[AP07 LE2]])</f>
        <v>-3600</v>
      </c>
      <c r="AQ9" s="80"/>
      <c r="AR9" s="79">
        <f>ERP_8[[#This Row],[2026 Working Total to Budget/LE]]-ERP_8[[#This Row],[Giveback]]</f>
        <v>-1800</v>
      </c>
      <c r="AS9" s="81"/>
      <c r="AT9" s="375"/>
      <c r="AU9" s="375"/>
      <c r="AV9" s="375"/>
      <c r="AW9" s="375"/>
      <c r="AX9" s="375"/>
      <c r="AY9" s="375"/>
      <c r="AZ9" s="375"/>
      <c r="BA9" s="375"/>
      <c r="BB9" s="375"/>
      <c r="BC9" s="375"/>
      <c r="BD9" s="375"/>
      <c r="BE9" s="375"/>
      <c r="BF9" s="375">
        <v>0</v>
      </c>
      <c r="BG9" s="79">
        <v>423409.35</v>
      </c>
      <c r="BH9" s="79">
        <v>937161.13</v>
      </c>
      <c r="BI9" s="79">
        <v>426573.21</v>
      </c>
      <c r="BJ9" s="79">
        <v>561924.32999999996</v>
      </c>
      <c r="BK9" s="79">
        <v>560912.64000000001</v>
      </c>
      <c r="BL9" s="79">
        <v>576476.29</v>
      </c>
      <c r="BM9" s="79">
        <v>585831.80000000005</v>
      </c>
      <c r="BN9" s="79">
        <v>590499.77</v>
      </c>
      <c r="BO9" s="79">
        <v>590499.77</v>
      </c>
      <c r="BP9" s="79">
        <v>590499.77</v>
      </c>
      <c r="BQ9" s="79">
        <v>592897.86</v>
      </c>
      <c r="BR9" s="79">
        <v>592897.86</v>
      </c>
      <c r="BS9" s="79">
        <v>7029583.7799999993</v>
      </c>
    </row>
    <row r="10" spans="1:71" ht="15" customHeight="1">
      <c r="A10" s="66" t="s">
        <v>2880</v>
      </c>
      <c r="B10" s="737" t="s">
        <v>2881</v>
      </c>
      <c r="C10" s="346"/>
      <c r="D10" s="343" t="str">
        <f>_xlfn.TEXTJOIN("_",FALSE,E10,ERP_8[[#This Row],[Expense Category]],ERP_8[[#This Row],[Project Code*]])</f>
        <v>Patel, Apurva_CONTRACTORS_EnhanceChargeout001</v>
      </c>
      <c r="E10" s="343" t="s">
        <v>1566</v>
      </c>
      <c r="F10" s="346"/>
      <c r="G10" s="150" t="s">
        <v>1136</v>
      </c>
      <c r="H10" s="150" t="s">
        <v>1567</v>
      </c>
      <c r="I10" s="150" t="s">
        <v>1567</v>
      </c>
      <c r="J10" s="150" t="s">
        <v>1567</v>
      </c>
      <c r="K10" s="511" t="s">
        <v>22</v>
      </c>
      <c r="L10" s="392" t="s">
        <v>2868</v>
      </c>
      <c r="M10" s="343"/>
      <c r="N10" s="800"/>
      <c r="O10" s="70" t="s">
        <v>24</v>
      </c>
      <c r="P10" s="346" t="s">
        <v>1139</v>
      </c>
      <c r="Q10" s="346" t="s">
        <v>1140</v>
      </c>
      <c r="R10" s="346"/>
      <c r="S10" s="150" t="s">
        <v>25</v>
      </c>
      <c r="T10" s="150"/>
      <c r="U10" s="403"/>
      <c r="V10" s="406">
        <v>330694.30999999988</v>
      </c>
      <c r="W10" s="406">
        <v>0</v>
      </c>
      <c r="X10" s="425"/>
      <c r="Y10" s="71"/>
      <c r="Z10" s="784"/>
      <c r="AA10" s="794"/>
      <c r="AB10" s="794"/>
      <c r="AC10" s="428" t="s">
        <v>1142</v>
      </c>
      <c r="AD10" s="429">
        <v>0</v>
      </c>
      <c r="AE10" s="429">
        <v>0</v>
      </c>
      <c r="AF10" s="429" t="s">
        <v>1142</v>
      </c>
      <c r="AG10" s="363"/>
      <c r="AH10" s="363"/>
      <c r="AI10" s="363"/>
      <c r="AJ10" s="363"/>
      <c r="AK10" s="363"/>
      <c r="AL10" s="360">
        <f t="shared" si="0"/>
        <v>0</v>
      </c>
      <c r="AM10" s="362">
        <f>ERP_8[[#This Row],[2026 Working Total]]-ERP_8[[#This Row],[LE2 Final Submission]]</f>
        <v>22500.97</v>
      </c>
      <c r="AN10" s="79">
        <v>0</v>
      </c>
      <c r="AO10" s="79">
        <f t="shared" si="1"/>
        <v>0</v>
      </c>
      <c r="AP10" s="374">
        <f>SUM(ERP_8[[#This Row],[AP01]:[AP07]])-SUM(ERP_8[[#This Row],[AP01 LE2]:[AP07 LE2]])</f>
        <v>22500.97</v>
      </c>
      <c r="AQ10" s="80"/>
      <c r="AR10" s="79">
        <f>ERP_8[[#This Row],[2026 Working Total to Budget/LE]]-ERP_8[[#This Row],[Giveback]]</f>
        <v>22500.97</v>
      </c>
      <c r="AS10" s="81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375">
        <v>0</v>
      </c>
      <c r="BG10" s="79">
        <v>92230.9</v>
      </c>
      <c r="BH10" s="79">
        <v>-4919.59</v>
      </c>
      <c r="BI10" s="79">
        <v>59978.67</v>
      </c>
      <c r="BJ10" s="79">
        <v>20638.45</v>
      </c>
      <c r="BK10" s="79">
        <v>34028.449999999997</v>
      </c>
      <c r="BL10" s="79">
        <v>32963.75</v>
      </c>
      <c r="BM10" s="79">
        <v>22316.67</v>
      </c>
      <c r="BN10" s="79">
        <v>22316.67</v>
      </c>
      <c r="BO10" s="79">
        <v>22316.67</v>
      </c>
      <c r="BP10" s="79">
        <v>22316.67</v>
      </c>
      <c r="BQ10" s="79">
        <v>22316.67</v>
      </c>
      <c r="BR10" s="79">
        <v>22316.67</v>
      </c>
      <c r="BS10" s="79">
        <v>368820.64999999991</v>
      </c>
    </row>
    <row r="11" spans="1:71" ht="15" customHeight="1">
      <c r="A11" s="66" t="s">
        <v>2882</v>
      </c>
      <c r="B11" s="737" t="s">
        <v>2883</v>
      </c>
      <c r="C11" s="346"/>
      <c r="D11" s="343" t="str">
        <f>_xlfn.TEXTJOIN("_",FALSE,E11,ERP_8[[#This Row],[Expense Category]],ERP_8[[#This Row],[Project Code*]])</f>
        <v>Patel, Apurva_CONTRACTORS_EnhanceChargeout001</v>
      </c>
      <c r="E11" s="343" t="s">
        <v>1566</v>
      </c>
      <c r="F11" s="346"/>
      <c r="G11" s="150" t="s">
        <v>1136</v>
      </c>
      <c r="H11" s="150" t="s">
        <v>1567</v>
      </c>
      <c r="I11" s="150" t="s">
        <v>1567</v>
      </c>
      <c r="J11" s="150" t="s">
        <v>1567</v>
      </c>
      <c r="K11" s="511" t="s">
        <v>22</v>
      </c>
      <c r="L11" s="392" t="s">
        <v>2884</v>
      </c>
      <c r="M11" s="343"/>
      <c r="N11" s="800"/>
      <c r="O11" s="70" t="s">
        <v>39</v>
      </c>
      <c r="P11" s="346"/>
      <c r="Q11" s="346" t="s">
        <v>1140</v>
      </c>
      <c r="R11" s="346"/>
      <c r="S11" s="150" t="s">
        <v>25</v>
      </c>
      <c r="T11" s="150"/>
      <c r="U11" s="403"/>
      <c r="V11" s="406">
        <v>144000</v>
      </c>
      <c r="W11" s="406">
        <v>108000</v>
      </c>
      <c r="X11" s="425"/>
      <c r="Y11" s="71"/>
      <c r="Z11" s="784"/>
      <c r="AA11" s="794"/>
      <c r="AB11" s="794"/>
      <c r="AC11" s="428" t="s">
        <v>1142</v>
      </c>
      <c r="AD11" s="429">
        <v>0</v>
      </c>
      <c r="AE11" s="429">
        <v>0</v>
      </c>
      <c r="AF11" s="429" t="s">
        <v>1142</v>
      </c>
      <c r="AG11" s="363">
        <v>12000</v>
      </c>
      <c r="AH11" s="363">
        <v>12000</v>
      </c>
      <c r="AI11" s="363">
        <v>12000</v>
      </c>
      <c r="AJ11" s="363">
        <v>12000</v>
      </c>
      <c r="AK11" s="363">
        <v>12000</v>
      </c>
      <c r="AL11" s="360">
        <f t="shared" si="0"/>
        <v>60000</v>
      </c>
      <c r="AM11" s="362">
        <f>ERP_8[[#This Row],[2026 Working Total]]-ERP_8[[#This Row],[LE2 Final Submission]]</f>
        <v>-135929.30000000005</v>
      </c>
      <c r="AN11" s="79">
        <v>0</v>
      </c>
      <c r="AO11" s="79">
        <f t="shared" si="1"/>
        <v>0</v>
      </c>
      <c r="AP11" s="374">
        <f>SUM(ERP_8[[#This Row],[AP01]:[AP07]])-SUM(ERP_8[[#This Row],[AP01 LE2]:[AP07 LE2]])</f>
        <v>-67270.300000000017</v>
      </c>
      <c r="AQ11" s="80"/>
      <c r="AR11" s="79">
        <f>ERP_8[[#This Row],[2026 Working Total to Budget/LE]]-ERP_8[[#This Row],[Giveback]]</f>
        <v>-135929.30000000005</v>
      </c>
      <c r="AS11" s="81"/>
      <c r="AT11" s="375"/>
      <c r="AU11" s="375"/>
      <c r="AV11" s="375"/>
      <c r="AW11" s="375">
        <v>12000</v>
      </c>
      <c r="AX11" s="375">
        <v>12000</v>
      </c>
      <c r="AY11" s="375">
        <v>12000</v>
      </c>
      <c r="AZ11" s="375">
        <v>12000</v>
      </c>
      <c r="BA11" s="375">
        <v>12000</v>
      </c>
      <c r="BB11" s="375">
        <v>12000</v>
      </c>
      <c r="BC11" s="375">
        <v>12000</v>
      </c>
      <c r="BD11" s="375">
        <v>12000</v>
      </c>
      <c r="BE11" s="375">
        <v>12000</v>
      </c>
      <c r="BF11" s="375">
        <v>108000</v>
      </c>
      <c r="BG11" s="79"/>
      <c r="BH11" s="79"/>
      <c r="BI11" s="79"/>
      <c r="BJ11" s="79">
        <v>12000</v>
      </c>
      <c r="BK11" s="79">
        <v>12000</v>
      </c>
      <c r="BL11" s="79">
        <v>12000</v>
      </c>
      <c r="BM11" s="79">
        <v>12000</v>
      </c>
      <c r="BN11" s="79">
        <v>12000</v>
      </c>
      <c r="BO11" s="79">
        <v>12000</v>
      </c>
      <c r="BP11" s="79">
        <v>12000</v>
      </c>
      <c r="BQ11" s="79">
        <v>12000</v>
      </c>
      <c r="BR11" s="79">
        <v>12000</v>
      </c>
      <c r="BS11" s="79">
        <v>108000</v>
      </c>
    </row>
    <row r="12" spans="1:71" ht="15" customHeight="1">
      <c r="A12" s="66" t="s">
        <v>2885</v>
      </c>
      <c r="B12" s="737" t="s">
        <v>2886</v>
      </c>
      <c r="C12" s="346"/>
      <c r="D12" s="343" t="str">
        <f>_xlfn.TEXTJOIN("_",FALSE,E12,ERP_8[[#This Row],[Expense Category]],ERP_8[[#This Row],[Project Code*]])</f>
        <v>Patel, Apurva_CONTRACTORS_EnhanceChargeout001</v>
      </c>
      <c r="E12" s="343" t="s">
        <v>1566</v>
      </c>
      <c r="F12" s="346"/>
      <c r="G12" s="150" t="s">
        <v>1136</v>
      </c>
      <c r="H12" s="150" t="s">
        <v>1345</v>
      </c>
      <c r="I12" s="150" t="s">
        <v>1346</v>
      </c>
      <c r="J12" s="150" t="s">
        <v>1346</v>
      </c>
      <c r="K12" s="511" t="s">
        <v>22</v>
      </c>
      <c r="L12" s="392" t="s">
        <v>2870</v>
      </c>
      <c r="M12" s="343"/>
      <c r="N12" s="800"/>
      <c r="O12" s="70" t="s">
        <v>27</v>
      </c>
      <c r="P12" s="346" t="s">
        <v>1139</v>
      </c>
      <c r="Q12" s="346" t="s">
        <v>1140</v>
      </c>
      <c r="R12" s="346"/>
      <c r="S12" s="150" t="s">
        <v>25</v>
      </c>
      <c r="T12" s="150"/>
      <c r="U12" s="403"/>
      <c r="V12" s="406">
        <v>2865793.42</v>
      </c>
      <c r="W12" s="406">
        <v>0</v>
      </c>
      <c r="X12" s="425"/>
      <c r="Y12" s="71"/>
      <c r="Z12" s="784"/>
      <c r="AA12" s="794"/>
      <c r="AB12" s="794"/>
      <c r="AC12" s="428" t="s">
        <v>1142</v>
      </c>
      <c r="AD12" s="429">
        <v>0</v>
      </c>
      <c r="AE12" s="429">
        <v>0</v>
      </c>
      <c r="AF12" s="429" t="s">
        <v>1142</v>
      </c>
      <c r="AG12" s="363"/>
      <c r="AH12" s="363"/>
      <c r="AI12" s="363"/>
      <c r="AJ12" s="363"/>
      <c r="AK12" s="363"/>
      <c r="AL12" s="360">
        <f t="shared" si="0"/>
        <v>0</v>
      </c>
      <c r="AM12" s="362">
        <f>ERP_8[[#This Row],[2026 Working Total]]-ERP_8[[#This Row],[LE2 Final Submission]]</f>
        <v>-18000</v>
      </c>
      <c r="AN12" s="79">
        <v>0</v>
      </c>
      <c r="AO12" s="79">
        <f t="shared" si="1"/>
        <v>0</v>
      </c>
      <c r="AP12" s="374">
        <f>SUM(ERP_8[[#This Row],[AP01]:[AP07]])-SUM(ERP_8[[#This Row],[AP01 LE2]:[AP07 LE2]])</f>
        <v>-18000</v>
      </c>
      <c r="AQ12" s="80"/>
      <c r="AR12" s="79">
        <f>ERP_8[[#This Row],[2026 Working Total to Budget/LE]]-ERP_8[[#This Row],[Giveback]]</f>
        <v>-18000</v>
      </c>
      <c r="AS12" s="81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375">
        <v>0</v>
      </c>
      <c r="BG12" s="79">
        <v>195133.21</v>
      </c>
      <c r="BH12" s="79">
        <v>214325.71</v>
      </c>
      <c r="BI12" s="79">
        <v>291685.48</v>
      </c>
      <c r="BJ12" s="79">
        <v>233173.12</v>
      </c>
      <c r="BK12" s="79">
        <v>232919.73</v>
      </c>
      <c r="BL12" s="79">
        <v>238777.23</v>
      </c>
      <c r="BM12" s="79">
        <v>240555.68</v>
      </c>
      <c r="BN12" s="79">
        <v>242084.56</v>
      </c>
      <c r="BO12" s="79">
        <v>242084.56</v>
      </c>
      <c r="BP12" s="79">
        <v>242084.56</v>
      </c>
      <c r="BQ12" s="79">
        <v>242516.91</v>
      </c>
      <c r="BR12" s="79">
        <v>242516.91</v>
      </c>
      <c r="BS12" s="79">
        <v>2857857.66</v>
      </c>
    </row>
    <row r="13" spans="1:71" ht="15" customHeight="1">
      <c r="A13" s="66" t="s">
        <v>2887</v>
      </c>
      <c r="B13" s="737" t="s">
        <v>2888</v>
      </c>
      <c r="C13" s="346"/>
      <c r="D13" s="343" t="str">
        <f>_xlfn.TEXTJOIN("_",FALSE,E13,ERP_8[[#This Row],[Expense Category]],ERP_8[[#This Row],[Project Code*]])</f>
        <v>Patel, Apurva_CONTRACTORS_EnhanceChargeout001</v>
      </c>
      <c r="E13" s="343" t="s">
        <v>1566</v>
      </c>
      <c r="F13" s="346"/>
      <c r="G13" s="150" t="s">
        <v>1136</v>
      </c>
      <c r="H13" s="150" t="s">
        <v>1567</v>
      </c>
      <c r="I13" s="150" t="s">
        <v>1567</v>
      </c>
      <c r="J13" s="150" t="s">
        <v>1567</v>
      </c>
      <c r="K13" s="511" t="s">
        <v>22</v>
      </c>
      <c r="L13" s="392" t="s">
        <v>2870</v>
      </c>
      <c r="M13" s="343"/>
      <c r="N13" s="800"/>
      <c r="O13" s="70" t="s">
        <v>27</v>
      </c>
      <c r="P13" s="346" t="s">
        <v>1139</v>
      </c>
      <c r="Q13" s="346" t="s">
        <v>1140</v>
      </c>
      <c r="R13" s="346"/>
      <c r="S13" s="150" t="s">
        <v>25</v>
      </c>
      <c r="T13" s="150"/>
      <c r="U13" s="403"/>
      <c r="V13" s="406">
        <v>204823.02000000002</v>
      </c>
      <c r="W13" s="406">
        <v>0</v>
      </c>
      <c r="X13" s="425"/>
      <c r="Y13" s="71"/>
      <c r="Z13" s="784"/>
      <c r="AA13" s="794"/>
      <c r="AB13" s="794"/>
      <c r="AC13" s="428" t="s">
        <v>1142</v>
      </c>
      <c r="AD13" s="429">
        <v>0</v>
      </c>
      <c r="AE13" s="429">
        <v>0</v>
      </c>
      <c r="AF13" s="429" t="s">
        <v>1142</v>
      </c>
      <c r="AG13" s="363"/>
      <c r="AH13" s="363"/>
      <c r="AI13" s="363"/>
      <c r="AJ13" s="363"/>
      <c r="AK13" s="363"/>
      <c r="AL13" s="360">
        <f t="shared" si="0"/>
        <v>0</v>
      </c>
      <c r="AM13" s="362">
        <f>ERP_8[[#This Row],[2026 Working Total]]-ERP_8[[#This Row],[LE2 Final Submission]]</f>
        <v>0</v>
      </c>
      <c r="AN13" s="79">
        <v>0</v>
      </c>
      <c r="AO13" s="79">
        <f t="shared" si="1"/>
        <v>0</v>
      </c>
      <c r="AP13" s="374">
        <f>SUM(ERP_8[[#This Row],[AP01]:[AP07]])-SUM(ERP_8[[#This Row],[AP01 LE2]:[AP07 LE2]])</f>
        <v>0</v>
      </c>
      <c r="AQ13" s="80"/>
      <c r="AR13" s="79">
        <f>ERP_8[[#This Row],[2026 Working Total to Budget/LE]]-ERP_8[[#This Row],[Giveback]]</f>
        <v>0</v>
      </c>
      <c r="AS13" s="81"/>
      <c r="AT13" s="375"/>
      <c r="AU13" s="375"/>
      <c r="AV13" s="375"/>
      <c r="AW13" s="375"/>
      <c r="AX13" s="375"/>
      <c r="AY13" s="375"/>
      <c r="AZ13" s="375"/>
      <c r="BA13" s="375"/>
      <c r="BB13" s="375"/>
      <c r="BC13" s="375"/>
      <c r="BD13" s="375"/>
      <c r="BE13" s="375"/>
      <c r="BF13" s="375">
        <v>0</v>
      </c>
      <c r="BG13" s="79">
        <v>51562.58</v>
      </c>
      <c r="BH13" s="79">
        <v>27159.83</v>
      </c>
      <c r="BI13" s="79">
        <v>40975</v>
      </c>
      <c r="BJ13" s="79">
        <v>11866.46</v>
      </c>
      <c r="BK13" s="79">
        <v>21522.71</v>
      </c>
      <c r="BL13" s="79">
        <v>20882.86</v>
      </c>
      <c r="BM13" s="79">
        <v>14484.38</v>
      </c>
      <c r="BN13" s="79">
        <v>14484.38</v>
      </c>
      <c r="BO13" s="79">
        <v>14484.38</v>
      </c>
      <c r="BP13" s="79">
        <v>14484.38</v>
      </c>
      <c r="BQ13" s="79">
        <v>14484.38</v>
      </c>
      <c r="BR13" s="79">
        <v>14484.38</v>
      </c>
      <c r="BS13" s="79">
        <v>260875.72000000003</v>
      </c>
    </row>
    <row r="14" spans="1:71" ht="15" customHeight="1">
      <c r="A14" s="79" t="s">
        <v>2889</v>
      </c>
      <c r="B14" s="66" t="s">
        <v>41</v>
      </c>
      <c r="C14" s="818"/>
      <c r="D14" s="343" t="str">
        <f>_xlfn.TEXTJOIN("_",FALSE,E14,ERP_8[[#This Row],[Expense Category]],ERP_8[[#This Row],[Project Code*]])</f>
        <v>Patel, Apurva_CONTRACTORS_EnhanceChargeout001</v>
      </c>
      <c r="E14" s="331" t="s">
        <v>1566</v>
      </c>
      <c r="F14" s="818"/>
      <c r="G14" s="150" t="s">
        <v>1136</v>
      </c>
      <c r="H14" s="490" t="s">
        <v>1566</v>
      </c>
      <c r="I14" s="150" t="s">
        <v>1566</v>
      </c>
      <c r="J14" s="590" t="s">
        <v>1135</v>
      </c>
      <c r="K14" s="333" t="s">
        <v>22</v>
      </c>
      <c r="L14" s="858" t="s">
        <v>1736</v>
      </c>
      <c r="M14" s="333"/>
      <c r="N14" s="801"/>
      <c r="O14" s="348" t="s">
        <v>29</v>
      </c>
      <c r="P14" s="347"/>
      <c r="Q14" s="347"/>
      <c r="R14" s="348"/>
      <c r="S14" s="348"/>
      <c r="T14" s="826" t="s">
        <v>1737</v>
      </c>
      <c r="U14" s="779"/>
      <c r="V14" s="358"/>
      <c r="W14" s="379"/>
      <c r="X14" s="425"/>
      <c r="Y14" s="71"/>
      <c r="Z14" s="714">
        <v>-26238.68</v>
      </c>
      <c r="AA14" s="795">
        <v>-44376.73</v>
      </c>
      <c r="AB14" s="795">
        <v>-25573.77</v>
      </c>
      <c r="AC14" s="434">
        <v>65766.400000000009</v>
      </c>
      <c r="AD14" s="434">
        <v>-31842.660000000003</v>
      </c>
      <c r="AE14" s="434"/>
      <c r="AF14" s="429" t="s">
        <v>1142</v>
      </c>
      <c r="AG14" s="364"/>
      <c r="AH14" s="364"/>
      <c r="AI14" s="364"/>
      <c r="AJ14" s="364"/>
      <c r="AK14" s="364"/>
      <c r="AL14" s="360">
        <f>SUM(X14:AK14)</f>
        <v>-62265.440000000002</v>
      </c>
      <c r="AM14" s="362">
        <f>ERP_8[[#This Row],[2026 Working Total]]-ERP_8[[#This Row],[LE2 Final Submission]]</f>
        <v>-206607.95</v>
      </c>
      <c r="AN14" s="79"/>
      <c r="AO14" s="79">
        <f>$Z14 - $AN14</f>
        <v>-26238.68</v>
      </c>
      <c r="AP14" s="374">
        <f>SUM(ERP_8[[#This Row],[AP01]:[AP07]])-SUM(ERP_8[[#This Row],[AP01 LE2]:[AP07 LE2]])</f>
        <v>-206607.95</v>
      </c>
      <c r="AQ14" s="80"/>
      <c r="AR14" s="79">
        <f>ERP_8[[#This Row],[2026 Working Total to Budget/LE]]-ERP_8[[#This Row],[Giveback]]</f>
        <v>-206607.95</v>
      </c>
      <c r="AS14" s="81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</row>
    <row r="15" spans="1:71" ht="15" customHeight="1">
      <c r="A15" s="66" t="s">
        <v>2890</v>
      </c>
      <c r="B15" s="737" t="s">
        <v>2891</v>
      </c>
      <c r="C15" s="346"/>
      <c r="D15" s="343" t="str">
        <f>_xlfn.TEXTJOIN("_",FALSE,E15,ERP_8[[#This Row],[Expense Category]],ERP_8[[#This Row],[Project Code*]])</f>
        <v>Patel, Apurva_CONTRACTORS_EP&amp;SCharges001</v>
      </c>
      <c r="E15" s="343" t="s">
        <v>1566</v>
      </c>
      <c r="F15" s="346"/>
      <c r="G15" s="150" t="s">
        <v>1136</v>
      </c>
      <c r="H15" s="150" t="s">
        <v>1567</v>
      </c>
      <c r="I15" s="150" t="s">
        <v>1567</v>
      </c>
      <c r="J15" s="150" t="s">
        <v>1567</v>
      </c>
      <c r="K15" s="511" t="s">
        <v>22</v>
      </c>
      <c r="L15" s="392" t="s">
        <v>2872</v>
      </c>
      <c r="M15" s="343"/>
      <c r="N15" s="800"/>
      <c r="O15" s="70" t="s">
        <v>29</v>
      </c>
      <c r="P15" s="346" t="s">
        <v>1139</v>
      </c>
      <c r="Q15" s="346" t="s">
        <v>1140</v>
      </c>
      <c r="R15" s="346"/>
      <c r="S15" s="150" t="s">
        <v>25</v>
      </c>
      <c r="T15" s="150" t="s">
        <v>2892</v>
      </c>
      <c r="U15" s="403"/>
      <c r="V15" s="406">
        <v>794938.1799999997</v>
      </c>
      <c r="W15" s="406">
        <v>806177.41999999993</v>
      </c>
      <c r="X15" s="425"/>
      <c r="Y15" s="71"/>
      <c r="Z15" s="784">
        <v>358290.86</v>
      </c>
      <c r="AA15" s="794">
        <v>-25689.760000000002</v>
      </c>
      <c r="AB15" s="794">
        <v>41090.669999999984</v>
      </c>
      <c r="AC15" s="428">
        <v>85849.400000000009</v>
      </c>
      <c r="AD15" s="429">
        <v>-59378.359999999986</v>
      </c>
      <c r="AE15" s="429">
        <v>-23605.23000000001</v>
      </c>
      <c r="AF15" s="429">
        <v>-39022.839999999997</v>
      </c>
      <c r="AG15" s="363">
        <v>55233.75</v>
      </c>
      <c r="AH15" s="363">
        <v>55233.75</v>
      </c>
      <c r="AI15" s="363">
        <v>55233.75</v>
      </c>
      <c r="AJ15" s="363">
        <v>55233.75</v>
      </c>
      <c r="AK15" s="363">
        <v>55233.75</v>
      </c>
      <c r="AL15" s="360">
        <f>SUM(Z15:AK15)</f>
        <v>613703.49</v>
      </c>
      <c r="AM15" s="362">
        <f>ERP_8[[#This Row],[2026 Working Total]]-ERP_8[[#This Row],[LE2 Final Submission]]</f>
        <v>550</v>
      </c>
      <c r="AN15" s="79">
        <v>0</v>
      </c>
      <c r="AO15" s="79">
        <f>$AE15 - $AN15</f>
        <v>-23605.23000000001</v>
      </c>
      <c r="AP15" s="374">
        <f>SUM(ERP_8[[#This Row],[AP01]:[AP07]])-SUM(ERP_8[[#This Row],[AP01 LE2]:[AP07 LE2]])</f>
        <v>550</v>
      </c>
      <c r="AQ15" s="80"/>
      <c r="AR15" s="79">
        <f>ERP_8[[#This Row],[2026 Working Total to Budget/LE]]-ERP_8[[#This Row],[Giveback]]</f>
        <v>550</v>
      </c>
      <c r="AS15" s="81"/>
      <c r="AT15" s="375">
        <v>358290.86</v>
      </c>
      <c r="AU15" s="375">
        <v>-25689.760000000002</v>
      </c>
      <c r="AV15" s="375">
        <v>41090.669999999984</v>
      </c>
      <c r="AW15" s="375">
        <v>85849.400000000009</v>
      </c>
      <c r="AX15" s="375">
        <v>-40000</v>
      </c>
      <c r="AY15" s="375">
        <v>55233.75</v>
      </c>
      <c r="AZ15" s="375">
        <v>55233.75</v>
      </c>
      <c r="BA15" s="375">
        <v>55233.75</v>
      </c>
      <c r="BB15" s="375">
        <v>55233.75</v>
      </c>
      <c r="BC15" s="375">
        <v>55233.75</v>
      </c>
      <c r="BD15" s="375">
        <v>55233.75</v>
      </c>
      <c r="BE15" s="375">
        <v>55233.75</v>
      </c>
      <c r="BF15" s="375">
        <v>806177.41999999993</v>
      </c>
      <c r="BG15" s="79">
        <v>214497.38</v>
      </c>
      <c r="BH15" s="79">
        <v>-47930</v>
      </c>
      <c r="BI15" s="79">
        <v>-59863</v>
      </c>
      <c r="BJ15" s="79">
        <v>49611.67</v>
      </c>
      <c r="BK15" s="79">
        <v>81799.17</v>
      </c>
      <c r="BL15" s="79">
        <v>79239.77</v>
      </c>
      <c r="BM15" s="79">
        <v>53645.83</v>
      </c>
      <c r="BN15" s="79">
        <v>53645.83</v>
      </c>
      <c r="BO15" s="79">
        <v>53645.83</v>
      </c>
      <c r="BP15" s="79">
        <v>53645.83</v>
      </c>
      <c r="BQ15" s="79">
        <v>53645.83</v>
      </c>
      <c r="BR15" s="79">
        <v>53645.83</v>
      </c>
      <c r="BS15" s="79">
        <v>639229.97</v>
      </c>
    </row>
    <row r="16" spans="1:71" ht="15" customHeight="1">
      <c r="A16" s="66" t="s">
        <v>2893</v>
      </c>
      <c r="B16" s="737" t="s">
        <v>2894</v>
      </c>
      <c r="C16" s="346"/>
      <c r="D16" s="343" t="str">
        <f>_xlfn.TEXTJOIN("_",FALSE,E16,ERP_8[[#This Row],[Expense Category]],ERP_8[[#This Row],[Project Code*]])</f>
        <v>Patel, Apurva_CONTRACTORS_EP&amp;SCharges001</v>
      </c>
      <c r="E16" s="343" t="s">
        <v>1566</v>
      </c>
      <c r="F16" s="346"/>
      <c r="G16" s="150" t="s">
        <v>1136</v>
      </c>
      <c r="H16" s="150" t="s">
        <v>1567</v>
      </c>
      <c r="I16" s="150" t="s">
        <v>1567</v>
      </c>
      <c r="J16" s="150" t="s">
        <v>1567</v>
      </c>
      <c r="K16" s="511" t="s">
        <v>22</v>
      </c>
      <c r="L16" s="392" t="s">
        <v>2895</v>
      </c>
      <c r="M16" s="343"/>
      <c r="N16" s="800"/>
      <c r="O16" s="70" t="s">
        <v>43</v>
      </c>
      <c r="P16" s="346"/>
      <c r="Q16" s="346" t="s">
        <v>1140</v>
      </c>
      <c r="R16" s="346"/>
      <c r="S16" s="150" t="s">
        <v>44</v>
      </c>
      <c r="T16" s="150"/>
      <c r="U16" s="403"/>
      <c r="V16" s="406">
        <v>-472222.21000000008</v>
      </c>
      <c r="W16" s="406">
        <v>-160000</v>
      </c>
      <c r="X16" s="425"/>
      <c r="Y16" s="71"/>
      <c r="Z16" s="784"/>
      <c r="AA16" s="794"/>
      <c r="AB16" s="794"/>
      <c r="AC16" s="428" t="s">
        <v>1142</v>
      </c>
      <c r="AD16" s="429">
        <v>0</v>
      </c>
      <c r="AE16" s="429">
        <v>0</v>
      </c>
      <c r="AF16" s="429" t="s">
        <v>1142</v>
      </c>
      <c r="AG16" s="363">
        <v>-20000</v>
      </c>
      <c r="AH16" s="363">
        <v>-20000</v>
      </c>
      <c r="AI16" s="363">
        <v>-20000</v>
      </c>
      <c r="AJ16" s="363">
        <v>-20000</v>
      </c>
      <c r="AK16" s="363">
        <v>-20000</v>
      </c>
      <c r="AL16" s="360">
        <f>SUM(Z16:AK16)</f>
        <v>-100000</v>
      </c>
      <c r="AM16" s="362">
        <f>ERP_8[[#This Row],[2026 Working Total]]-ERP_8[[#This Row],[LE2 Final Submission]]</f>
        <v>0</v>
      </c>
      <c r="AN16" s="79">
        <v>-20000</v>
      </c>
      <c r="AO16" s="79">
        <f>$AE16 - $AN16</f>
        <v>20000</v>
      </c>
      <c r="AP16" s="374">
        <f>SUM(ERP_8[[#This Row],[AP01]:[AP07]])-SUM(ERP_8[[#This Row],[AP01 LE2]:[AP07 LE2]])</f>
        <v>0</v>
      </c>
      <c r="AQ16" s="80"/>
      <c r="AR16" s="79">
        <f>ERP_8[[#This Row],[2026 Working Total to Budget/LE]]-ERP_8[[#This Row],[Giveback]]</f>
        <v>0</v>
      </c>
      <c r="AS16" s="81"/>
      <c r="AT16" s="375"/>
      <c r="AU16" s="375"/>
      <c r="AV16" s="375"/>
      <c r="AW16" s="375"/>
      <c r="AX16" s="375">
        <v>-20000</v>
      </c>
      <c r="AY16" s="375">
        <v>-20000</v>
      </c>
      <c r="AZ16" s="375">
        <v>-20000</v>
      </c>
      <c r="BA16" s="375">
        <v>-20000</v>
      </c>
      <c r="BB16" s="375">
        <v>-20000</v>
      </c>
      <c r="BC16" s="375">
        <v>-20000</v>
      </c>
      <c r="BD16" s="375">
        <v>-20000</v>
      </c>
      <c r="BE16" s="375">
        <v>-20000</v>
      </c>
      <c r="BF16" s="375">
        <v>-160000</v>
      </c>
      <c r="BG16" s="79"/>
      <c r="BH16" s="79"/>
      <c r="BI16" s="79"/>
      <c r="BJ16" s="79">
        <v>-47222.220999999998</v>
      </c>
      <c r="BK16" s="79">
        <v>-47222.220999999998</v>
      </c>
      <c r="BL16" s="79">
        <v>-47222.220999999998</v>
      </c>
      <c r="BM16" s="79">
        <v>-47222.220999999998</v>
      </c>
      <c r="BN16" s="79">
        <v>-47222.220999999998</v>
      </c>
      <c r="BO16" s="79">
        <v>-47222.220999999998</v>
      </c>
      <c r="BP16" s="79">
        <v>-47222.220999999998</v>
      </c>
      <c r="BQ16" s="79">
        <v>-47222.220999999998</v>
      </c>
      <c r="BR16" s="79">
        <v>-47222.220999999998</v>
      </c>
      <c r="BS16" s="79">
        <v>-424999.98900000006</v>
      </c>
    </row>
    <row r="17" spans="1:71" ht="15" customHeight="1">
      <c r="A17" s="66" t="s">
        <v>2896</v>
      </c>
      <c r="B17" s="737" t="s">
        <v>45</v>
      </c>
      <c r="C17" s="346"/>
      <c r="D17" s="343" t="str">
        <f>_xlfn.TEXTJOIN("_",FALSE,E17,ERP_8[[#This Row],[Expense Category]],ERP_8[[#This Row],[Project Code*]])</f>
        <v>Robertson, Jerome_CONTRACTORS_IT-CTR0044-OG-US-00</v>
      </c>
      <c r="E17" s="343" t="s">
        <v>1650</v>
      </c>
      <c r="F17" s="346"/>
      <c r="G17" s="150" t="s">
        <v>1136</v>
      </c>
      <c r="H17" s="150" t="s">
        <v>1650</v>
      </c>
      <c r="I17" s="150" t="s">
        <v>1650</v>
      </c>
      <c r="J17" s="150" t="s">
        <v>1650</v>
      </c>
      <c r="K17" s="511" t="s">
        <v>22</v>
      </c>
      <c r="L17" s="392" t="s">
        <v>2868</v>
      </c>
      <c r="M17" s="343"/>
      <c r="N17" s="800"/>
      <c r="O17" s="70" t="s">
        <v>24</v>
      </c>
      <c r="P17" s="346" t="s">
        <v>1139</v>
      </c>
      <c r="Q17" s="346" t="s">
        <v>1140</v>
      </c>
      <c r="R17" s="346"/>
      <c r="S17" s="150" t="s">
        <v>25</v>
      </c>
      <c r="T17" s="150"/>
      <c r="U17" s="403"/>
      <c r="V17" s="406">
        <v>763217.94999999984</v>
      </c>
      <c r="W17" s="406">
        <v>0</v>
      </c>
      <c r="X17" s="425"/>
      <c r="Y17" s="71"/>
      <c r="Z17" s="784"/>
      <c r="AA17" s="794"/>
      <c r="AB17" s="794"/>
      <c r="AC17" s="428" t="s">
        <v>1142</v>
      </c>
      <c r="AD17" s="429">
        <v>0</v>
      </c>
      <c r="AE17" s="429">
        <v>0</v>
      </c>
      <c r="AF17" s="429" t="s">
        <v>1142</v>
      </c>
      <c r="AG17" s="363"/>
      <c r="AH17" s="363"/>
      <c r="AI17" s="363"/>
      <c r="AJ17" s="363"/>
      <c r="AK17" s="363"/>
      <c r="AL17" s="360">
        <f>SUM(Z17:AK17)</f>
        <v>0</v>
      </c>
      <c r="AM17" s="362">
        <f>ERP_8[[#This Row],[2026 Working Total]]-ERP_8[[#This Row],[LE2 Final Submission]]</f>
        <v>-55147.619999999995</v>
      </c>
      <c r="AN17" s="79">
        <v>0</v>
      </c>
      <c r="AO17" s="79">
        <f>$AE17 - $AN17</f>
        <v>0</v>
      </c>
      <c r="AP17" s="374">
        <f>SUM(ERP_8[[#This Row],[AP01]:[AP07]])-SUM(ERP_8[[#This Row],[AP01 LE2]:[AP07 LE2]])</f>
        <v>-138125.62</v>
      </c>
      <c r="AQ17" s="80"/>
      <c r="AR17" s="79">
        <f>ERP_8[[#This Row],[2026 Working Total to Budget/LE]]-ERP_8[[#This Row],[Giveback]]</f>
        <v>35933.380000000005</v>
      </c>
      <c r="AS17" s="81"/>
      <c r="AT17" s="375"/>
      <c r="AU17" s="375"/>
      <c r="AV17" s="375"/>
      <c r="AW17" s="375"/>
      <c r="AX17" s="375"/>
      <c r="AY17" s="375"/>
      <c r="AZ17" s="375"/>
      <c r="BA17" s="375"/>
      <c r="BB17" s="375"/>
      <c r="BC17" s="375"/>
      <c r="BD17" s="375"/>
      <c r="BE17" s="375"/>
      <c r="BF17" s="375">
        <v>0</v>
      </c>
      <c r="BG17" s="79">
        <v>60869.22</v>
      </c>
      <c r="BH17" s="79">
        <v>66348.7</v>
      </c>
      <c r="BI17" s="79">
        <v>65556.320000000007</v>
      </c>
      <c r="BJ17" s="79">
        <v>66648.33</v>
      </c>
      <c r="BK17" s="79">
        <v>58804.22</v>
      </c>
      <c r="BL17" s="79">
        <v>58804.22</v>
      </c>
      <c r="BM17" s="79">
        <v>58804.22</v>
      </c>
      <c r="BN17" s="79">
        <v>66557.960000000006</v>
      </c>
      <c r="BO17" s="79">
        <v>66703.34</v>
      </c>
      <c r="BP17" s="79">
        <v>66703.34</v>
      </c>
      <c r="BQ17" s="79">
        <v>66703.34</v>
      </c>
      <c r="BR17" s="79">
        <v>66703.34</v>
      </c>
      <c r="BS17" s="79">
        <v>769206.54999999993</v>
      </c>
    </row>
    <row r="18" spans="1:71" ht="15" customHeight="1">
      <c r="A18" s="66" t="s">
        <v>2897</v>
      </c>
      <c r="B18" s="737" t="s">
        <v>46</v>
      </c>
      <c r="C18" s="346"/>
      <c r="D18" s="343" t="str">
        <f>_xlfn.TEXTJOIN("_",FALSE,E18,ERP_8[[#This Row],[Expense Category]],ERP_8[[#This Row],[Project Code*]])</f>
        <v>Robertson, Jerome_CONTRACTORS_IT-CTR0067-OG-CR-00</v>
      </c>
      <c r="E18" s="343" t="s">
        <v>1650</v>
      </c>
      <c r="F18" s="346"/>
      <c r="G18" s="150" t="s">
        <v>1136</v>
      </c>
      <c r="H18" s="150" t="s">
        <v>1650</v>
      </c>
      <c r="I18" s="150" t="s">
        <v>1650</v>
      </c>
      <c r="J18" s="150" t="s">
        <v>1650</v>
      </c>
      <c r="K18" s="511" t="s">
        <v>22</v>
      </c>
      <c r="L18" s="392" t="s">
        <v>2870</v>
      </c>
      <c r="M18" s="343"/>
      <c r="N18" s="800"/>
      <c r="O18" s="70" t="s">
        <v>27</v>
      </c>
      <c r="P18" s="346" t="s">
        <v>1139</v>
      </c>
      <c r="Q18" s="346" t="s">
        <v>1140</v>
      </c>
      <c r="R18" s="346"/>
      <c r="S18" s="150" t="s">
        <v>25</v>
      </c>
      <c r="T18" s="150"/>
      <c r="U18" s="403"/>
      <c r="V18" s="406">
        <v>355072.04000000004</v>
      </c>
      <c r="W18" s="406">
        <v>0</v>
      </c>
      <c r="X18" s="425"/>
      <c r="Y18" s="71"/>
      <c r="Z18" s="784"/>
      <c r="AA18" s="794"/>
      <c r="AB18" s="794"/>
      <c r="AC18" s="428" t="s">
        <v>1142</v>
      </c>
      <c r="AD18" s="429">
        <v>0</v>
      </c>
      <c r="AE18" s="429">
        <v>0</v>
      </c>
      <c r="AF18" s="429" t="s">
        <v>1142</v>
      </c>
      <c r="AG18" s="363"/>
      <c r="AH18" s="363"/>
      <c r="AI18" s="363"/>
      <c r="AJ18" s="363"/>
      <c r="AK18" s="363"/>
      <c r="AL18" s="360">
        <f>SUM(Z18:AK18)</f>
        <v>0</v>
      </c>
      <c r="AM18" s="362">
        <f>ERP_8[[#This Row],[2026 Working Total]]-ERP_8[[#This Row],[LE2 Final Submission]]</f>
        <v>0</v>
      </c>
      <c r="AN18" s="79">
        <v>0</v>
      </c>
      <c r="AO18" s="79">
        <f>$AE18 - $AN18</f>
        <v>0</v>
      </c>
      <c r="AP18" s="374">
        <f>SUM(ERP_8[[#This Row],[AP01]:[AP07]])-SUM(ERP_8[[#This Row],[AP01 LE2]:[AP07 LE2]])</f>
        <v>0</v>
      </c>
      <c r="AQ18" s="80"/>
      <c r="AR18" s="79">
        <f>ERP_8[[#This Row],[2026 Working Total to Budget/LE]]-ERP_8[[#This Row],[Giveback]]</f>
        <v>0</v>
      </c>
      <c r="AS18" s="81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375">
        <v>0</v>
      </c>
      <c r="BG18" s="79">
        <v>27497.84</v>
      </c>
      <c r="BH18" s="79">
        <v>27805.69</v>
      </c>
      <c r="BI18" s="79">
        <v>37986.93</v>
      </c>
      <c r="BJ18" s="79">
        <v>30575.919999999998</v>
      </c>
      <c r="BK18" s="79">
        <v>26871.200000000001</v>
      </c>
      <c r="BL18" s="79">
        <v>26871.200000000001</v>
      </c>
      <c r="BM18" s="79">
        <v>26871.200000000001</v>
      </c>
      <c r="BN18" s="79">
        <v>31487.49</v>
      </c>
      <c r="BO18" s="79">
        <v>31751.82</v>
      </c>
      <c r="BP18" s="79">
        <v>31751.82</v>
      </c>
      <c r="BQ18" s="79">
        <v>31751.82</v>
      </c>
      <c r="BR18" s="79">
        <v>31751.82</v>
      </c>
      <c r="BS18" s="79">
        <v>362974.75</v>
      </c>
    </row>
    <row r="19" spans="1:71" ht="15" customHeight="1">
      <c r="A19" s="66" t="s">
        <v>2898</v>
      </c>
      <c r="B19" s="737" t="s">
        <v>47</v>
      </c>
      <c r="C19" s="346"/>
      <c r="D19" s="343" t="str">
        <f>_xlfn.TEXTJOIN("_",FALSE,E19,ERP_8[[#This Row],[Expense Category]],ERP_8[[#This Row],[Project Code*]])</f>
        <v>Robertson, Jerome_CONTRACTORS_IT-CTR0093-OG-US-00</v>
      </c>
      <c r="E19" s="343" t="s">
        <v>1650</v>
      </c>
      <c r="F19" s="346"/>
      <c r="G19" s="150" t="s">
        <v>1136</v>
      </c>
      <c r="H19" s="150" t="s">
        <v>1650</v>
      </c>
      <c r="I19" s="150" t="s">
        <v>1650</v>
      </c>
      <c r="J19" s="150" t="s">
        <v>1650</v>
      </c>
      <c r="K19" s="511" t="s">
        <v>22</v>
      </c>
      <c r="L19" s="392" t="s">
        <v>2872</v>
      </c>
      <c r="M19" s="343"/>
      <c r="N19" s="800"/>
      <c r="O19" s="70" t="s">
        <v>29</v>
      </c>
      <c r="P19" s="346" t="s">
        <v>1139</v>
      </c>
      <c r="Q19" s="346" t="s">
        <v>1140</v>
      </c>
      <c r="R19" s="346"/>
      <c r="S19" s="150" t="s">
        <v>25</v>
      </c>
      <c r="T19" s="150"/>
      <c r="U19" s="403"/>
      <c r="V19" s="406">
        <v>2029390.9400000004</v>
      </c>
      <c r="W19" s="406">
        <v>3060870.8486933634</v>
      </c>
      <c r="X19" s="425"/>
      <c r="Y19" s="71"/>
      <c r="Z19" s="784">
        <v>238474.06999999998</v>
      </c>
      <c r="AA19" s="794">
        <v>255306.30000000005</v>
      </c>
      <c r="AB19" s="794">
        <v>190399.43</v>
      </c>
      <c r="AC19" s="428">
        <v>293204.89</v>
      </c>
      <c r="AD19" s="429">
        <v>312206.57999999996</v>
      </c>
      <c r="AE19" s="429">
        <v>165290.4</v>
      </c>
      <c r="AF19" s="429">
        <v>237654.9</v>
      </c>
      <c r="AG19" s="363">
        <v>265188.32548648014</v>
      </c>
      <c r="AH19" s="363">
        <v>265188.32548648014</v>
      </c>
      <c r="AI19" s="363">
        <v>278462.33017032093</v>
      </c>
      <c r="AJ19" s="363">
        <v>278462.33017032093</v>
      </c>
      <c r="AK19" s="363">
        <v>278462.33017032093</v>
      </c>
      <c r="AL19" s="360">
        <f>SUM(Z19:AK19)</f>
        <v>3058300.2114839228</v>
      </c>
      <c r="AM19" s="362">
        <f>ERP_8[[#This Row],[2026 Working Total]]-ERP_8[[#This Row],[LE2 Final Submission]]</f>
        <v>-71.869999999995343</v>
      </c>
      <c r="AN19" s="79">
        <v>0</v>
      </c>
      <c r="AO19" s="79">
        <f>$AE19 - $AN19</f>
        <v>165290.4</v>
      </c>
      <c r="AP19" s="374">
        <f>SUM(ERP_8[[#This Row],[AP01]:[AP07]])-SUM(ERP_8[[#This Row],[AP01 LE2]:[AP07 LE2]])</f>
        <v>28658.130000000005</v>
      </c>
      <c r="AQ19" s="80"/>
      <c r="AR19" s="79">
        <f>ERP_8[[#This Row],[2026 Working Total to Budget/LE]]-ERP_8[[#This Row],[Giveback]]</f>
        <v>-71.869999999995343</v>
      </c>
      <c r="AS19" s="81"/>
      <c r="AT19" s="375">
        <v>238474.06999999998</v>
      </c>
      <c r="AU19" s="375">
        <v>255306.30000000005</v>
      </c>
      <c r="AV19" s="375">
        <v>190399.43</v>
      </c>
      <c r="AW19" s="375">
        <v>293204.89</v>
      </c>
      <c r="AX19" s="375">
        <v>239240.83906981352</v>
      </c>
      <c r="AY19" s="375">
        <v>239240.83906981352</v>
      </c>
      <c r="AZ19" s="375">
        <v>239240.83906981352</v>
      </c>
      <c r="BA19" s="375">
        <v>265188.32548648014</v>
      </c>
      <c r="BB19" s="375">
        <v>265188.32548648014</v>
      </c>
      <c r="BC19" s="375">
        <v>278462.33017032093</v>
      </c>
      <c r="BD19" s="375">
        <v>278462.33017032093</v>
      </c>
      <c r="BE19" s="375">
        <v>278462.33017032093</v>
      </c>
      <c r="BF19" s="375">
        <v>3060870.8486933634</v>
      </c>
      <c r="BG19" s="79">
        <v>150107.01</v>
      </c>
      <c r="BH19" s="79">
        <v>161151.91</v>
      </c>
      <c r="BI19" s="79">
        <v>86856.18</v>
      </c>
      <c r="BJ19" s="79">
        <v>173603.4</v>
      </c>
      <c r="BK19" s="79">
        <v>155785.32</v>
      </c>
      <c r="BL19" s="79">
        <v>155785.32</v>
      </c>
      <c r="BM19" s="79">
        <v>155785.32</v>
      </c>
      <c r="BN19" s="79">
        <v>180905.4</v>
      </c>
      <c r="BO19" s="79">
        <v>182227.08</v>
      </c>
      <c r="BP19" s="79">
        <v>182227.08</v>
      </c>
      <c r="BQ19" s="79">
        <v>182227.08</v>
      </c>
      <c r="BR19" s="79">
        <v>182227.08</v>
      </c>
      <c r="BS19" s="79">
        <v>1948888.1800000004</v>
      </c>
    </row>
  </sheetData>
  <conditionalFormatting sqref="B2:B19">
    <cfRule type="duplicateValues" dxfId="595" priority="2"/>
  </conditionalFormatting>
  <conditionalFormatting sqref="D2:D19">
    <cfRule type="duplicateValues" dxfId="594" priority="3"/>
  </conditionalFormatting>
  <conditionalFormatting sqref="O2:O19">
    <cfRule type="duplicateValues" dxfId="593" priority="1"/>
  </conditionalFormatting>
  <conditionalFormatting sqref="AS14:BF14">
    <cfRule type="duplicateValues" dxfId="59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0BE2-EE29-48BD-8B7B-3DDADEECEE91}">
  <sheetPr codeName="Sheet4">
    <pageSetUpPr fitToPage="1"/>
  </sheetPr>
  <dimension ref="A1:BU696"/>
  <sheetViews>
    <sheetView topLeftCell="P1" zoomScaleNormal="100" workbookViewId="0">
      <selection activeCell="V13" sqref="V13"/>
    </sheetView>
  </sheetViews>
  <sheetFormatPr defaultColWidth="9.140625" defaultRowHeight="15" customHeight="1" outlineLevelCol="2"/>
  <cols>
    <col min="1" max="1" width="12" customWidth="1"/>
    <col min="2" max="2" width="55.5703125" customWidth="1" outlineLevel="1"/>
    <col min="3" max="3" width="4.85546875" customWidth="1" outlineLevel="1"/>
    <col min="4" max="4" width="19.5703125" customWidth="1"/>
    <col min="5" max="5" width="15" customWidth="1" collapsed="1"/>
    <col min="6" max="6" width="13.5703125" customWidth="1"/>
    <col min="7" max="7" width="21.5703125" style="1" customWidth="1"/>
    <col min="8" max="8" width="64.5703125" style="318" customWidth="1"/>
    <col min="9" max="9" width="16.140625" style="10" customWidth="1"/>
    <col min="10" max="10" width="18.85546875" customWidth="1"/>
    <col min="11" max="11" width="21.42578125" customWidth="1"/>
    <col min="12" max="12" width="25.85546875" customWidth="1"/>
    <col min="13" max="13" width="21.85546875" customWidth="1"/>
    <col min="14" max="14" width="5.42578125" customWidth="1"/>
    <col min="15" max="15" width="19.5703125" customWidth="1"/>
    <col min="16" max="16" width="65.140625" customWidth="1"/>
    <col min="17" max="19" width="16.85546875" customWidth="1"/>
    <col min="20" max="21" width="16.85546875" hidden="1" customWidth="1"/>
    <col min="22" max="22" width="18.140625" customWidth="1" outlineLevel="2"/>
    <col min="23" max="23" width="15.140625" customWidth="1" outlineLevel="2"/>
    <col min="24" max="24" width="16.42578125" customWidth="1" outlineLevel="2"/>
    <col min="25" max="25" width="12.140625" style="419" customWidth="1" outlineLevel="2"/>
    <col min="26" max="33" width="12.140625" customWidth="1" outlineLevel="2"/>
    <col min="34" max="34" width="14.42578125" customWidth="1"/>
    <col min="35" max="35" width="18.140625" customWidth="1"/>
    <col min="36" max="36" width="18.140625" hidden="1" customWidth="1" outlineLevel="1"/>
    <col min="37" max="37" width="21.5703125" hidden="1" customWidth="1" outlineLevel="1"/>
    <col min="38" max="38" width="26.140625" style="321" customWidth="1" collapsed="1"/>
    <col min="39" max="39" width="18.140625" style="1" customWidth="1"/>
    <col min="40" max="40" width="18.140625" customWidth="1"/>
    <col min="41" max="41" width="18.140625" style="4" customWidth="1"/>
    <col min="42" max="53" width="18.140625" style="15" customWidth="1" outlineLevel="2"/>
    <col min="54" max="54" width="18.140625" style="15" customWidth="1"/>
    <col min="55" max="66" width="18.140625" hidden="1" customWidth="1" outlineLevel="1"/>
    <col min="67" max="67" width="18.140625" customWidth="1" collapsed="1"/>
  </cols>
  <sheetData>
    <row r="1" spans="1:73" ht="15" customHeight="1">
      <c r="B1" s="1"/>
      <c r="C1" s="1"/>
      <c r="D1" s="1"/>
      <c r="E1" s="1"/>
      <c r="F1" s="1"/>
      <c r="H1" s="2"/>
      <c r="I1" s="1"/>
      <c r="J1" s="1"/>
      <c r="K1" s="1"/>
      <c r="L1" s="1"/>
      <c r="M1" s="1"/>
      <c r="N1" s="3"/>
      <c r="O1" s="3"/>
      <c r="P1" s="4"/>
      <c r="AA1" s="1"/>
      <c r="AB1" s="1"/>
      <c r="AC1" s="1"/>
      <c r="AD1" s="1"/>
      <c r="AE1" s="1"/>
      <c r="AF1" s="1"/>
      <c r="AG1" s="1"/>
    </row>
    <row r="2" spans="1:73" s="5" customFormat="1" ht="15" customHeight="1">
      <c r="B2" s="6"/>
      <c r="C2" s="6"/>
      <c r="D2" s="6"/>
      <c r="E2" s="6"/>
      <c r="F2" s="1"/>
      <c r="G2" s="510"/>
      <c r="H2" s="7"/>
      <c r="I2" s="322"/>
      <c r="J2" s="322"/>
      <c r="K2" s="6"/>
      <c r="L2" s="6"/>
      <c r="M2" s="322"/>
      <c r="N2" s="8"/>
      <c r="O2" s="8"/>
      <c r="P2" s="6"/>
      <c r="R2" s="5" t="e">
        <f>R3-AH3</f>
        <v>#N/A</v>
      </c>
      <c r="AA2" s="6"/>
      <c r="AB2" s="6"/>
      <c r="AC2" s="6"/>
      <c r="AD2" s="6"/>
      <c r="AE2" s="6"/>
      <c r="AF2" s="6"/>
      <c r="AG2" s="6"/>
      <c r="AM2" s="6"/>
      <c r="AO2" s="9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</row>
    <row r="3" spans="1:73" ht="15" customHeight="1">
      <c r="A3" s="10"/>
      <c r="B3" s="1"/>
      <c r="C3" s="1"/>
      <c r="D3" s="1"/>
      <c r="E3" s="1"/>
      <c r="F3" s="1"/>
      <c r="H3" s="2"/>
      <c r="I3" s="1"/>
      <c r="J3" s="1"/>
      <c r="K3" s="1"/>
      <c r="L3" s="1"/>
      <c r="M3" s="1"/>
      <c r="N3" s="3"/>
      <c r="O3" s="3"/>
      <c r="P3" s="4"/>
      <c r="Q3" s="11">
        <f>R3-554586-35645</f>
        <v>143262608.33998999</v>
      </c>
      <c r="R3" s="11">
        <f>SUBTOTAL(9,ERP[2026 LE0])</f>
        <v>143852839.33998999</v>
      </c>
      <c r="S3" s="12">
        <f>SUBTOTAL(9,ERP[LE2 Final Submission])</f>
        <v>127116568.77019593</v>
      </c>
      <c r="T3" s="12">
        <f>SUBTOTAL(9,ERP[LE3 Final Submission])</f>
        <v>0</v>
      </c>
      <c r="U3" s="12">
        <f>SUBTOTAL(9,ERP[LE4 Final Submission])</f>
        <v>0</v>
      </c>
      <c r="V3" s="12">
        <f>SUBTOTAL(9,ERP[AP01])</f>
        <v>23366589.620000005</v>
      </c>
      <c r="W3" s="12">
        <f>SUBTOTAL(9,ERP[AP02])</f>
        <v>-814833.85999998578</v>
      </c>
      <c r="X3" s="12">
        <f>SUBTOTAL(9,ERP[AP03])</f>
        <v>10595457.520000005</v>
      </c>
      <c r="Y3" s="12">
        <f>SUBTOTAL(9,ERP[AP04])</f>
        <v>11367344.890000014</v>
      </c>
      <c r="Z3" s="12">
        <f>SUBTOTAL(9,ERP[AP05])</f>
        <v>10053232.450000012</v>
      </c>
      <c r="AA3" s="12">
        <f>SUBTOTAL(9,ERP[AP06])</f>
        <v>11179044.490000008</v>
      </c>
      <c r="AB3" s="12" t="e">
        <f>SUBTOTAL(9,ERP[AP07])</f>
        <v>#N/A</v>
      </c>
      <c r="AC3" s="12">
        <f>SUBTOTAL(9,ERP[AP08])</f>
        <v>13228554.215355609</v>
      </c>
      <c r="AD3" s="12">
        <f>SUBTOTAL(9,ERP[AP09])</f>
        <v>9856073.4886614382</v>
      </c>
      <c r="AE3" s="12">
        <f>SUBTOTAL(9,ERP[AP10])</f>
        <v>9104264.5268416069</v>
      </c>
      <c r="AF3" s="12">
        <f>SUBTOTAL(9,ERP[AP11])</f>
        <v>11021883.415480494</v>
      </c>
      <c r="AG3" s="12">
        <f>SUBTOTAL(9,ERP[AP12])</f>
        <v>9531482.1171611585</v>
      </c>
      <c r="AH3" s="12" t="e">
        <f>SUBTOTAL(9,ERP[2026 Working Total])</f>
        <v>#N/A</v>
      </c>
      <c r="AI3" s="13" t="e">
        <f>SUBTOTAL(9,ERP[2026 Working Total to Budget/LE])</f>
        <v>#N/A</v>
      </c>
      <c r="AJ3" s="12" t="e">
        <f>SUBTOTAL(9,ERP[Latest AP Snapshot])</f>
        <v>#N/A</v>
      </c>
      <c r="AK3" s="12" t="e">
        <f>SUBTOTAL(9,ERP[Latest AP Variance to Snapshot])</f>
        <v>#N/A</v>
      </c>
      <c r="AL3" s="13">
        <f>SUBTOTAL(9,ERP[YTD Act to Bud/LE])</f>
        <v>-1508422.5089828242</v>
      </c>
      <c r="AM3" s="14">
        <f>SUBTOTAL(9,ERP[Giveback])</f>
        <v>1115265</v>
      </c>
      <c r="AN3" s="12" t="e">
        <f>SUBTOTAL(9,ERP[Other Allocation])</f>
        <v>#N/A</v>
      </c>
      <c r="AO3" s="14"/>
      <c r="AP3" s="12">
        <f>SUBTOTAL(9,ERP[AP01 LE2])</f>
        <v>23394262.160000004</v>
      </c>
      <c r="AQ3" s="12">
        <f>SUBTOTAL(9,ERP[AP02 LE2])</f>
        <v>-766426.91999998584</v>
      </c>
      <c r="AR3" s="12">
        <f>SUBTOTAL(9,ERP[AP03 LE2])</f>
        <v>10624250.360000005</v>
      </c>
      <c r="AS3" s="12">
        <f>SUBTOTAL(9,ERP[AP04 LE2])</f>
        <v>10731145.104166668</v>
      </c>
      <c r="AT3" s="12">
        <f>SUBTOTAL(9,ERP[AP05 LE2])</f>
        <v>11493575.49658175</v>
      </c>
      <c r="AU3" s="12">
        <f>SUBTOTAL(9,ERP[AP06 LE2])</f>
        <v>11778451.418234417</v>
      </c>
      <c r="AV3" s="12">
        <f>SUBTOTAL(9,ERP[AP07 LE2])</f>
        <v>8765081.0693794787</v>
      </c>
      <c r="AW3" s="12">
        <f>SUBTOTAL(9,ERP[AP08 LE2])</f>
        <v>13268735.826577831</v>
      </c>
      <c r="AX3" s="12">
        <f>SUBTOTAL(9,ERP[AP09 LE2])</f>
        <v>9757694.0498836599</v>
      </c>
      <c r="AY3" s="12">
        <f>SUBTOTAL(9,ERP[AP10 LE2])</f>
        <v>7868848.1380638266</v>
      </c>
      <c r="AZ3" s="12">
        <f>SUBTOTAL(9,ERP[AP11 LE2])</f>
        <v>10799280.18781383</v>
      </c>
      <c r="BA3" s="12">
        <f>SUBTOTAL(9,ERP[AP12 LE2])</f>
        <v>9401671.879494492</v>
      </c>
      <c r="BB3" s="12">
        <f>SUBTOTAL(9,ERP[2026 LE2 Working Total])</f>
        <v>127116568.77019593</v>
      </c>
      <c r="BC3" s="12">
        <f>SUBTOTAL(9,ERP[2026 AP01])</f>
        <v>23567752.933333009</v>
      </c>
      <c r="BD3" s="12">
        <f>SUBTOTAL(9,ERP[2026 AP02])</f>
        <v>-355739.15666698577</v>
      </c>
      <c r="BE3" s="12">
        <f>SUBTOTAL(9,ERP[2026 AP03])</f>
        <v>11418986.783333013</v>
      </c>
      <c r="BF3" s="12">
        <f>SUBTOTAL(9,ERP[2026 AP04])</f>
        <v>12341162.823166003</v>
      </c>
      <c r="BG3" s="12">
        <f>SUBTOTAL(9,ERP[2026 AP05])</f>
        <v>12420207.713166002</v>
      </c>
      <c r="BH3" s="12">
        <f>SUBTOTAL(9,ERP[2026 AP06])</f>
        <v>13447114.253166007</v>
      </c>
      <c r="BI3" s="12">
        <f>SUBTOTAL(9,ERP[2026 AP07])</f>
        <v>12251484.013166001</v>
      </c>
      <c r="BJ3" s="12">
        <f>SUBTOTAL(9,ERP[2026 AP08])</f>
        <v>12298739.823166002</v>
      </c>
      <c r="BK3" s="12">
        <f>SUBTOTAL(9,ERP[2026 AP09])</f>
        <v>12666138.213166002</v>
      </c>
      <c r="BL3" s="12">
        <f>SUBTOTAL(9,ERP[2026 AP10])</f>
        <v>12314418.343166003</v>
      </c>
      <c r="BM3" s="12">
        <f>SUBTOTAL(9,ERP[2026 AP11])</f>
        <v>11523451.103166005</v>
      </c>
      <c r="BN3" s="12">
        <f>SUBTOTAL(9,ERP[2026 AP12])</f>
        <v>11426085.893166</v>
      </c>
      <c r="BO3" s="12">
        <f>SUBTOTAL(9,ERP[2026 LE0 Submission])</f>
        <v>145319802.738493</v>
      </c>
      <c r="BU3" s="15"/>
    </row>
    <row r="4" spans="1:73" ht="15" customHeight="1">
      <c r="B4" s="1"/>
      <c r="C4" s="1"/>
      <c r="D4" s="1"/>
      <c r="E4" s="1"/>
      <c r="F4" s="1"/>
      <c r="H4" s="16"/>
      <c r="I4" s="4"/>
      <c r="J4" s="1"/>
      <c r="K4" s="1"/>
      <c r="L4" s="1"/>
      <c r="M4" s="1"/>
      <c r="N4" s="3"/>
      <c r="O4" s="3"/>
      <c r="P4" s="4"/>
      <c r="AA4" s="1"/>
      <c r="AB4" s="1"/>
      <c r="AC4" s="1"/>
      <c r="AD4" s="1"/>
      <c r="AE4" s="1"/>
      <c r="AF4" s="1"/>
      <c r="AG4" s="1"/>
      <c r="BU4" s="15"/>
    </row>
    <row r="5" spans="1:73" s="10" customFormat="1" ht="15" customHeight="1">
      <c r="B5" s="21"/>
      <c r="C5" s="18"/>
      <c r="D5" s="18"/>
      <c r="E5" s="18"/>
      <c r="F5" s="18"/>
      <c r="G5" s="18"/>
      <c r="H5" s="19"/>
      <c r="I5" s="18"/>
      <c r="J5" s="18"/>
      <c r="K5" s="20" t="s">
        <v>310</v>
      </c>
      <c r="L5" s="18"/>
      <c r="M5" s="18"/>
      <c r="N5" s="21"/>
      <c r="O5" s="18"/>
      <c r="P5" s="22"/>
      <c r="Q5" s="23" t="s">
        <v>1053</v>
      </c>
      <c r="R5" s="24" t="s">
        <v>1054</v>
      </c>
      <c r="S5" s="24"/>
      <c r="T5" s="24"/>
      <c r="U5" s="24"/>
      <c r="V5" s="25" t="s">
        <v>1055</v>
      </c>
      <c r="W5" s="26"/>
      <c r="X5" s="26"/>
      <c r="Y5" s="420"/>
      <c r="Z5" s="26"/>
      <c r="AA5" s="27"/>
      <c r="AB5" s="27"/>
      <c r="AC5" s="27"/>
      <c r="AD5" s="27"/>
      <c r="AE5" s="27"/>
      <c r="AF5" s="27"/>
      <c r="AG5" s="27"/>
      <c r="AH5" s="26"/>
      <c r="AI5" s="28"/>
      <c r="AJ5" s="29"/>
      <c r="AK5" s="29"/>
      <c r="AL5" s="327" t="s">
        <v>1056</v>
      </c>
      <c r="AM5" s="31"/>
      <c r="AN5" s="29"/>
      <c r="AO5" s="32"/>
      <c r="AP5" s="326" t="s">
        <v>1057</v>
      </c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3" t="s">
        <v>1054</v>
      </c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443"/>
      <c r="BU5" s="35"/>
    </row>
    <row r="6" spans="1:73" s="47" customFormat="1" ht="15" customHeight="1">
      <c r="A6" s="36"/>
      <c r="B6" s="37"/>
      <c r="C6" s="37"/>
      <c r="D6" s="37"/>
      <c r="E6" s="37"/>
      <c r="F6" s="1"/>
      <c r="G6" s="37"/>
      <c r="H6" s="38"/>
      <c r="I6" s="37"/>
      <c r="J6" s="37"/>
      <c r="K6" s="37"/>
      <c r="L6" s="37"/>
      <c r="M6" s="37"/>
      <c r="N6" s="37"/>
      <c r="O6" s="37"/>
      <c r="P6" s="39"/>
      <c r="Q6" s="40"/>
      <c r="R6" s="456" t="s">
        <v>1058</v>
      </c>
      <c r="S6" s="457">
        <v>518</v>
      </c>
      <c r="T6" s="41">
        <v>821</v>
      </c>
      <c r="U6" s="41">
        <v>1023</v>
      </c>
      <c r="V6" s="42" t="s">
        <v>1059</v>
      </c>
      <c r="W6" s="42" t="s">
        <v>1059</v>
      </c>
      <c r="X6" s="42" t="s">
        <v>1059</v>
      </c>
      <c r="Y6" s="421" t="s">
        <v>1059</v>
      </c>
      <c r="Z6" s="42" t="s">
        <v>1059</v>
      </c>
      <c r="AA6" s="43" t="s">
        <v>1059</v>
      </c>
      <c r="AB6" s="43" t="s">
        <v>1059</v>
      </c>
      <c r="AC6" s="43" t="s">
        <v>1060</v>
      </c>
      <c r="AD6" s="43" t="s">
        <v>1060</v>
      </c>
      <c r="AE6" s="43" t="s">
        <v>1060</v>
      </c>
      <c r="AF6" s="43" t="s">
        <v>1060</v>
      </c>
      <c r="AG6" s="43" t="s">
        <v>1060</v>
      </c>
      <c r="AH6" s="40"/>
      <c r="AI6" s="40"/>
      <c r="AJ6" s="458" t="s">
        <v>1061</v>
      </c>
      <c r="AK6" s="458"/>
      <c r="AL6" s="328" t="s">
        <v>1062</v>
      </c>
      <c r="AM6" s="44" t="s">
        <v>1063</v>
      </c>
      <c r="AN6" s="45" t="s">
        <v>1064</v>
      </c>
      <c r="AO6" s="46"/>
      <c r="AP6" s="42" t="s">
        <v>1065</v>
      </c>
      <c r="AQ6" s="42" t="s">
        <v>1065</v>
      </c>
      <c r="AR6" s="42" t="s">
        <v>1065</v>
      </c>
      <c r="AS6" s="42" t="s">
        <v>1065</v>
      </c>
      <c r="AT6" s="42" t="s">
        <v>1065</v>
      </c>
      <c r="AU6" s="42" t="s">
        <v>1065</v>
      </c>
      <c r="AV6" s="42" t="s">
        <v>1065</v>
      </c>
      <c r="AW6" s="42" t="s">
        <v>1065</v>
      </c>
      <c r="AX6" s="42" t="s">
        <v>1065</v>
      </c>
      <c r="AY6" s="42" t="s">
        <v>1065</v>
      </c>
      <c r="AZ6" s="42" t="s">
        <v>1065</v>
      </c>
      <c r="BA6" s="42" t="s">
        <v>1065</v>
      </c>
      <c r="BB6" s="42" t="s">
        <v>1065</v>
      </c>
      <c r="BC6" s="42" t="s">
        <v>1066</v>
      </c>
      <c r="BD6" s="42" t="s">
        <v>1066</v>
      </c>
      <c r="BE6" s="42" t="s">
        <v>1066</v>
      </c>
      <c r="BF6" s="42" t="s">
        <v>1066</v>
      </c>
      <c r="BG6" s="42" t="s">
        <v>1066</v>
      </c>
      <c r="BH6" s="42" t="s">
        <v>1066</v>
      </c>
      <c r="BI6" s="42" t="s">
        <v>1066</v>
      </c>
      <c r="BJ6" s="42" t="s">
        <v>1066</v>
      </c>
      <c r="BK6" s="42" t="s">
        <v>1066</v>
      </c>
      <c r="BL6" s="42" t="s">
        <v>1066</v>
      </c>
      <c r="BM6" s="42" t="s">
        <v>1066</v>
      </c>
      <c r="BN6" s="42" t="s">
        <v>1066</v>
      </c>
      <c r="BO6" s="42" t="s">
        <v>1066</v>
      </c>
      <c r="BU6" s="48"/>
    </row>
    <row r="7" spans="1:73" ht="30.95" customHeight="1" thickBot="1">
      <c r="A7" s="49" t="s">
        <v>1067</v>
      </c>
      <c r="B7" s="49" t="s">
        <v>1</v>
      </c>
      <c r="C7" s="50" t="s">
        <v>1072</v>
      </c>
      <c r="D7" s="49" t="s">
        <v>1073</v>
      </c>
      <c r="E7" s="51" t="s">
        <v>1074</v>
      </c>
      <c r="F7" s="49" t="s">
        <v>1075</v>
      </c>
      <c r="G7" s="52" t="s">
        <v>0</v>
      </c>
      <c r="H7" s="53" t="s">
        <v>1076</v>
      </c>
      <c r="I7" s="324" t="s">
        <v>1077</v>
      </c>
      <c r="J7" s="444" t="s">
        <v>1078</v>
      </c>
      <c r="K7" s="49" t="s">
        <v>2</v>
      </c>
      <c r="L7" s="49" t="s">
        <v>1079</v>
      </c>
      <c r="M7" s="323" t="s">
        <v>1080</v>
      </c>
      <c r="N7" s="54" t="s">
        <v>1081</v>
      </c>
      <c r="O7" s="54" t="s">
        <v>3</v>
      </c>
      <c r="P7" s="54" t="s">
        <v>1082</v>
      </c>
      <c r="Q7" s="422" t="s">
        <v>1083</v>
      </c>
      <c r="R7" s="423" t="s">
        <v>1084</v>
      </c>
      <c r="S7" s="423" t="s">
        <v>1085</v>
      </c>
      <c r="T7" s="55" t="s">
        <v>1086</v>
      </c>
      <c r="U7" s="55" t="s">
        <v>1087</v>
      </c>
      <c r="V7" s="57" t="s">
        <v>1088</v>
      </c>
      <c r="W7" s="49" t="s">
        <v>1089</v>
      </c>
      <c r="X7" s="49" t="s">
        <v>1090</v>
      </c>
      <c r="Y7" s="424" t="s">
        <v>1091</v>
      </c>
      <c r="Z7" s="59" t="s">
        <v>1092</v>
      </c>
      <c r="AA7" s="59" t="s">
        <v>1093</v>
      </c>
      <c r="AB7" s="58" t="s">
        <v>1061</v>
      </c>
      <c r="AC7" s="59" t="s">
        <v>1094</v>
      </c>
      <c r="AD7" s="59" t="s">
        <v>1095</v>
      </c>
      <c r="AE7" s="58" t="s">
        <v>1096</v>
      </c>
      <c r="AF7" s="59" t="s">
        <v>1097</v>
      </c>
      <c r="AG7" s="60" t="s">
        <v>1098</v>
      </c>
      <c r="AH7" s="61" t="s">
        <v>1099</v>
      </c>
      <c r="AI7" s="62" t="s">
        <v>1100</v>
      </c>
      <c r="AJ7" s="63" t="s">
        <v>1101</v>
      </c>
      <c r="AK7" s="63" t="s">
        <v>1102</v>
      </c>
      <c r="AL7" s="329" t="s">
        <v>1103</v>
      </c>
      <c r="AM7" s="64" t="s">
        <v>1104</v>
      </c>
      <c r="AN7" s="63" t="s">
        <v>1105</v>
      </c>
      <c r="AO7" s="64" t="s">
        <v>1106</v>
      </c>
      <c r="AP7" s="441" t="s">
        <v>1107</v>
      </c>
      <c r="AQ7" s="441" t="s">
        <v>1108</v>
      </c>
      <c r="AR7" s="441" t="s">
        <v>1109</v>
      </c>
      <c r="AS7" s="441" t="s">
        <v>1110</v>
      </c>
      <c r="AT7" s="441" t="s">
        <v>1111</v>
      </c>
      <c r="AU7" s="441" t="s">
        <v>1112</v>
      </c>
      <c r="AV7" s="441" t="s">
        <v>1113</v>
      </c>
      <c r="AW7" s="441" t="s">
        <v>1114</v>
      </c>
      <c r="AX7" s="441" t="s">
        <v>1115</v>
      </c>
      <c r="AY7" s="441" t="s">
        <v>1116</v>
      </c>
      <c r="AZ7" s="441" t="s">
        <v>1117</v>
      </c>
      <c r="BA7" s="441" t="s">
        <v>1118</v>
      </c>
      <c r="BB7" s="441" t="s">
        <v>1119</v>
      </c>
      <c r="BC7" s="442" t="s">
        <v>1120</v>
      </c>
      <c r="BD7" s="442" t="s">
        <v>1121</v>
      </c>
      <c r="BE7" s="442" t="s">
        <v>1122</v>
      </c>
      <c r="BF7" s="442" t="s">
        <v>1123</v>
      </c>
      <c r="BG7" s="442" t="s">
        <v>1124</v>
      </c>
      <c r="BH7" s="442" t="s">
        <v>1125</v>
      </c>
      <c r="BI7" s="442" t="s">
        <v>1126</v>
      </c>
      <c r="BJ7" s="442" t="s">
        <v>1127</v>
      </c>
      <c r="BK7" s="442" t="s">
        <v>1128</v>
      </c>
      <c r="BL7" s="442" t="s">
        <v>1129</v>
      </c>
      <c r="BM7" s="442" t="s">
        <v>1130</v>
      </c>
      <c r="BN7" s="442" t="s">
        <v>1131</v>
      </c>
      <c r="BO7" s="442" t="s">
        <v>1132</v>
      </c>
    </row>
    <row r="8" spans="1:73" ht="15" customHeight="1">
      <c r="A8" s="66" t="s">
        <v>2208</v>
      </c>
      <c r="B8" s="66" t="s">
        <v>641</v>
      </c>
      <c r="C8" s="150" t="s">
        <v>1136</v>
      </c>
      <c r="D8" s="150" t="s">
        <v>1135</v>
      </c>
      <c r="E8" s="150" t="s">
        <v>1135</v>
      </c>
      <c r="F8" s="150" t="s">
        <v>1137</v>
      </c>
      <c r="G8" s="511" t="s">
        <v>639</v>
      </c>
      <c r="H8" s="392" t="s">
        <v>2209</v>
      </c>
      <c r="I8" s="343"/>
      <c r="J8" s="343"/>
      <c r="K8" s="157" t="s">
        <v>642</v>
      </c>
      <c r="L8" s="346"/>
      <c r="M8" s="343"/>
      <c r="N8" s="346"/>
      <c r="O8" s="150" t="s">
        <v>152</v>
      </c>
      <c r="P8" s="150"/>
      <c r="Q8" s="403"/>
      <c r="R8" s="406">
        <v>103465.00000000001</v>
      </c>
      <c r="S8" s="406">
        <v>77598.720000000001</v>
      </c>
      <c r="T8" s="425"/>
      <c r="U8" s="71"/>
      <c r="V8" s="426"/>
      <c r="W8" s="427"/>
      <c r="X8" s="427"/>
      <c r="Y8" s="428" t="s">
        <v>1142</v>
      </c>
      <c r="Z8" s="429">
        <v>0</v>
      </c>
      <c r="AA8" s="429">
        <v>0</v>
      </c>
      <c r="AB8" s="363"/>
      <c r="AC8" s="363">
        <v>17244</v>
      </c>
      <c r="AD8" s="363">
        <v>17244</v>
      </c>
      <c r="AE8" s="363">
        <v>17244</v>
      </c>
      <c r="AF8" s="363">
        <v>17244</v>
      </c>
      <c r="AG8" s="363">
        <v>17244</v>
      </c>
      <c r="AH8" s="360">
        <f>SUM(V8:AG8)</f>
        <v>86220</v>
      </c>
      <c r="AI8" s="361">
        <f>ERP[[#This Row],[2026 Working Total]]-ERP[[#This Row],[LE2 Final Submission]]</f>
        <v>8621.2799999999988</v>
      </c>
      <c r="AJ8" s="79" t="e">
        <v>#N/A</v>
      </c>
      <c r="AK8" s="79" t="e">
        <f>$AB8 - $AJ8</f>
        <v>#N/A</v>
      </c>
      <c r="AL8" s="374">
        <f>SUM(ERP[[#This Row],[AP01]:[AP06]])-SUM(ERP[[#This Row],[AP01 LE2]:[AP06 LE2]])</f>
        <v>-25866.239999999998</v>
      </c>
      <c r="AM8" s="80"/>
      <c r="AN8" s="79">
        <f>ERP[[#This Row],[2026 Working Total to Budget/LE]]-ERP[[#This Row],[Giveback]]</f>
        <v>8621.2799999999988</v>
      </c>
      <c r="AO8" s="81"/>
      <c r="AP8" s="375"/>
      <c r="AQ8" s="375"/>
      <c r="AR8" s="375"/>
      <c r="AS8" s="375">
        <v>8622.08</v>
      </c>
      <c r="AT8" s="375">
        <v>8622.08</v>
      </c>
      <c r="AU8" s="375">
        <v>8622.08</v>
      </c>
      <c r="AV8" s="375">
        <v>8622.08</v>
      </c>
      <c r="AW8" s="375">
        <v>8622.08</v>
      </c>
      <c r="AX8" s="375">
        <v>8622.08</v>
      </c>
      <c r="AY8" s="375">
        <v>8622.08</v>
      </c>
      <c r="AZ8" s="375">
        <v>8622.08</v>
      </c>
      <c r="BA8" s="375">
        <v>8622.08</v>
      </c>
      <c r="BB8" s="375">
        <v>77598.720000000001</v>
      </c>
      <c r="BC8" s="79"/>
      <c r="BD8" s="79"/>
      <c r="BE8" s="79"/>
      <c r="BF8" s="79">
        <v>8622.08</v>
      </c>
      <c r="BG8" s="79">
        <v>8622.08</v>
      </c>
      <c r="BH8" s="79">
        <v>8622.08</v>
      </c>
      <c r="BI8" s="79">
        <v>8622.08</v>
      </c>
      <c r="BJ8" s="79">
        <v>8622.08</v>
      </c>
      <c r="BK8" s="79">
        <v>8622.08</v>
      </c>
      <c r="BL8" s="79">
        <v>8622.08</v>
      </c>
      <c r="BM8" s="79">
        <v>8622.08</v>
      </c>
      <c r="BN8" s="79">
        <v>8622.08</v>
      </c>
      <c r="BO8" s="79">
        <v>77598.720000000001</v>
      </c>
    </row>
    <row r="9" spans="1:73" ht="15" customHeight="1">
      <c r="A9" s="79" t="s">
        <v>1751</v>
      </c>
      <c r="B9" s="296" t="s">
        <v>1752</v>
      </c>
      <c r="C9" s="150" t="s">
        <v>1136</v>
      </c>
      <c r="D9" s="332" t="s">
        <v>1135</v>
      </c>
      <c r="E9" s="383" t="s">
        <v>1165</v>
      </c>
      <c r="F9" s="150" t="s">
        <v>1137</v>
      </c>
      <c r="G9" s="512" t="s">
        <v>389</v>
      </c>
      <c r="H9" s="393" t="s">
        <v>1753</v>
      </c>
      <c r="I9" s="343"/>
      <c r="J9" s="333"/>
      <c r="K9" s="91" t="s">
        <v>391</v>
      </c>
      <c r="L9" s="347"/>
      <c r="M9" s="343"/>
      <c r="N9" s="348"/>
      <c r="O9" s="386" t="s">
        <v>152</v>
      </c>
      <c r="P9" s="387" t="s">
        <v>1754</v>
      </c>
      <c r="Q9" s="432"/>
      <c r="R9" s="358">
        <v>183105</v>
      </c>
      <c r="S9" s="378">
        <v>0</v>
      </c>
      <c r="T9" s="425"/>
      <c r="U9" s="71"/>
      <c r="V9" s="433"/>
      <c r="W9" s="434"/>
      <c r="X9" s="434"/>
      <c r="Y9" s="428" t="s">
        <v>1142</v>
      </c>
      <c r="Z9" s="429">
        <v>0</v>
      </c>
      <c r="AA9" s="429">
        <v>0</v>
      </c>
      <c r="AB9" s="363" t="e">
        <v>#N/A</v>
      </c>
      <c r="AC9" s="388"/>
      <c r="AD9" s="388"/>
      <c r="AE9" s="388"/>
      <c r="AF9" s="388"/>
      <c r="AG9" s="388"/>
      <c r="AH9" s="360" t="e">
        <f>SUM(V9:AG9)</f>
        <v>#N/A</v>
      </c>
      <c r="AI9" s="362" t="e">
        <f>ERP[[#This Row],[2026 Working Total]]-ERP[[#This Row],[LE2 Final Submission]]</f>
        <v>#N/A</v>
      </c>
      <c r="AJ9" s="79" t="e">
        <v>#N/A</v>
      </c>
      <c r="AK9" s="79" t="e">
        <f t="shared" ref="AK9:AK71" si="0">$AA9 - $AJ9</f>
        <v>#N/A</v>
      </c>
      <c r="AL9" s="374">
        <f>SUM(ERP[[#This Row],[AP01]:[AP06]])-SUM(ERP[[#This Row],[AP01 LE2]:[AP06 LE2]])</f>
        <v>0</v>
      </c>
      <c r="AM9" s="80">
        <v>-183105</v>
      </c>
      <c r="AN9" s="79" t="e">
        <f>ERP[[#This Row],[2026 Working Total to Budget/LE]]-ERP[[#This Row],[Giveback]]</f>
        <v>#N/A</v>
      </c>
      <c r="AO9" s="81" t="s">
        <v>1755</v>
      </c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>
        <v>0</v>
      </c>
      <c r="BC9" s="103">
        <v>15258.75</v>
      </c>
      <c r="BD9" s="103">
        <v>15258.75</v>
      </c>
      <c r="BE9" s="103">
        <v>15258.75</v>
      </c>
      <c r="BF9" s="103">
        <v>15258.75</v>
      </c>
      <c r="BG9" s="103">
        <v>15258.75</v>
      </c>
      <c r="BH9" s="103">
        <v>15258.75</v>
      </c>
      <c r="BI9" s="103">
        <v>15258.75</v>
      </c>
      <c r="BJ9" s="103">
        <v>15258.75</v>
      </c>
      <c r="BK9" s="103">
        <v>15258.75</v>
      </c>
      <c r="BL9" s="103">
        <v>15258.75</v>
      </c>
      <c r="BM9" s="103">
        <v>15258.75</v>
      </c>
      <c r="BN9" s="103">
        <v>15258.75</v>
      </c>
      <c r="BO9" s="79">
        <f>SUM(ERP[[#This Row],[2026 AP01]:[2026 AP12]])</f>
        <v>183105</v>
      </c>
    </row>
    <row r="10" spans="1:73" ht="15" customHeight="1">
      <c r="A10" s="66" t="s">
        <v>2210</v>
      </c>
      <c r="B10" s="66" t="s">
        <v>643</v>
      </c>
      <c r="C10" s="150" t="s">
        <v>1136</v>
      </c>
      <c r="D10" s="150" t="s">
        <v>1135</v>
      </c>
      <c r="E10" s="150" t="s">
        <v>1135</v>
      </c>
      <c r="F10" s="150" t="s">
        <v>1137</v>
      </c>
      <c r="G10" s="511" t="s">
        <v>639</v>
      </c>
      <c r="H10" s="392" t="s">
        <v>2211</v>
      </c>
      <c r="I10" s="343"/>
      <c r="J10" s="343"/>
      <c r="K10" s="157" t="s">
        <v>644</v>
      </c>
      <c r="L10" s="346"/>
      <c r="M10" s="343"/>
      <c r="N10" s="346"/>
      <c r="O10" s="150" t="s">
        <v>152</v>
      </c>
      <c r="P10" s="150" t="s">
        <v>2212</v>
      </c>
      <c r="Q10" s="403"/>
      <c r="R10" s="406">
        <v>204127.99999999994</v>
      </c>
      <c r="S10" s="406">
        <v>204128</v>
      </c>
      <c r="T10" s="425"/>
      <c r="U10" s="71"/>
      <c r="V10" s="426"/>
      <c r="W10" s="427"/>
      <c r="X10" s="427"/>
      <c r="Y10" s="428" t="s">
        <v>1142</v>
      </c>
      <c r="Z10" s="429">
        <v>0</v>
      </c>
      <c r="AA10" s="429">
        <v>0</v>
      </c>
      <c r="AB10" s="363" t="e">
        <v>#N/A</v>
      </c>
      <c r="AC10" s="363">
        <f>17010.67-17010.67</f>
        <v>0</v>
      </c>
      <c r="AD10" s="363">
        <f>17010.67-17010.67</f>
        <v>0</v>
      </c>
      <c r="AE10" s="363">
        <f>17010.67-17010.67+204128</f>
        <v>204128</v>
      </c>
      <c r="AF10" s="363">
        <f>17010.67-17010.67</f>
        <v>0</v>
      </c>
      <c r="AG10" s="363">
        <f>17010.67-17010.67</f>
        <v>0</v>
      </c>
      <c r="AH10" s="360" t="e">
        <f>SUM(V10:AG10)</f>
        <v>#N/A</v>
      </c>
      <c r="AI10" s="362" t="e">
        <f>ERP[[#This Row],[2026 Working Total]]-ERP[[#This Row],[LE2 Final Submission]]</f>
        <v>#N/A</v>
      </c>
      <c r="AJ10" s="79" t="e">
        <v>#N/A</v>
      </c>
      <c r="AK10" s="79" t="e">
        <f t="shared" si="0"/>
        <v>#N/A</v>
      </c>
      <c r="AL10" s="374">
        <f>SUM(ERP[[#This Row],[AP01]:[AP06]])-SUM(ERP[[#This Row],[AP01 LE2]:[AP06 LE2]])</f>
        <v>0</v>
      </c>
      <c r="AM10" s="80"/>
      <c r="AN10" s="79" t="e">
        <f>ERP[[#This Row],[2026 Working Total to Budget/LE]]-ERP[[#This Row],[Giveback]]</f>
        <v>#N/A</v>
      </c>
      <c r="AO10" s="81"/>
      <c r="AP10" s="375"/>
      <c r="AQ10" s="375"/>
      <c r="AR10" s="375"/>
      <c r="AS10" s="375">
        <v>0</v>
      </c>
      <c r="AT10" s="375">
        <v>0</v>
      </c>
      <c r="AU10" s="375">
        <v>0</v>
      </c>
      <c r="AV10" s="375">
        <v>0</v>
      </c>
      <c r="AW10" s="375">
        <v>0</v>
      </c>
      <c r="AX10" s="375">
        <v>0</v>
      </c>
      <c r="AY10" s="375">
        <v>204128</v>
      </c>
      <c r="AZ10" s="375">
        <v>0</v>
      </c>
      <c r="BA10" s="375">
        <v>0</v>
      </c>
      <c r="BB10" s="375">
        <v>204128</v>
      </c>
      <c r="BC10" s="79"/>
      <c r="BD10" s="79"/>
      <c r="BE10" s="79"/>
      <c r="BF10" s="79">
        <v>17010.669999999998</v>
      </c>
      <c r="BG10" s="79">
        <v>17010.669999999998</v>
      </c>
      <c r="BH10" s="79">
        <v>17010.669999999998</v>
      </c>
      <c r="BI10" s="79">
        <v>17010.669999999998</v>
      </c>
      <c r="BJ10" s="79">
        <v>17010.669999999998</v>
      </c>
      <c r="BK10" s="79">
        <v>17010.669999999998</v>
      </c>
      <c r="BL10" s="79">
        <v>17010.669999999998</v>
      </c>
      <c r="BM10" s="79">
        <v>17010.669999999998</v>
      </c>
      <c r="BN10" s="79">
        <v>17010.669999999998</v>
      </c>
      <c r="BO10" s="79">
        <v>153096.02999999997</v>
      </c>
    </row>
    <row r="11" spans="1:73" ht="15" customHeight="1">
      <c r="A11" s="66" t="s">
        <v>1989</v>
      </c>
      <c r="B11" s="66" t="s">
        <v>1990</v>
      </c>
      <c r="C11" s="150" t="s">
        <v>1136</v>
      </c>
      <c r="D11" s="150" t="s">
        <v>1345</v>
      </c>
      <c r="E11" s="150" t="s">
        <v>1437</v>
      </c>
      <c r="F11" s="150" t="s">
        <v>1346</v>
      </c>
      <c r="G11" s="511" t="s">
        <v>389</v>
      </c>
      <c r="H11" s="392" t="s">
        <v>1991</v>
      </c>
      <c r="I11" s="343"/>
      <c r="J11" s="343"/>
      <c r="K11" s="70" t="s">
        <v>516</v>
      </c>
      <c r="L11" s="346"/>
      <c r="M11" s="343"/>
      <c r="N11" s="346"/>
      <c r="O11" s="150" t="s">
        <v>152</v>
      </c>
      <c r="P11" s="150" t="s">
        <v>1992</v>
      </c>
      <c r="Q11" s="403"/>
      <c r="R11" s="406">
        <v>86119.999999999985</v>
      </c>
      <c r="S11" s="406"/>
      <c r="T11" s="425"/>
      <c r="U11" s="71"/>
      <c r="V11" s="426"/>
      <c r="W11" s="427"/>
      <c r="X11" s="427"/>
      <c r="Y11" s="428" t="s">
        <v>1142</v>
      </c>
      <c r="Z11" s="429">
        <v>0</v>
      </c>
      <c r="AA11" s="429">
        <v>0</v>
      </c>
      <c r="AB11" s="363" t="e">
        <v>#N/A</v>
      </c>
      <c r="AC11" s="363"/>
      <c r="AD11" s="363"/>
      <c r="AE11" s="363"/>
      <c r="AF11" s="363"/>
      <c r="AG11" s="363"/>
      <c r="AH11" s="360"/>
      <c r="AI11" s="362">
        <f>ERP[[#This Row],[2026 Working Total]]-ERP[[#This Row],[LE2 Final Submission]]</f>
        <v>0</v>
      </c>
      <c r="AJ11" s="79" t="e">
        <v>#N/A</v>
      </c>
      <c r="AK11" s="79" t="e">
        <f t="shared" si="0"/>
        <v>#N/A</v>
      </c>
      <c r="AL11" s="374">
        <f>SUM(ERP[[#This Row],[AP01]:[AP06]])-SUM(ERP[[#This Row],[AP01 LE2]:[AP06 LE2]])</f>
        <v>0</v>
      </c>
      <c r="AM11" s="80"/>
      <c r="AN11" s="79">
        <f>ERP[[#This Row],[2026 Working Total to Budget/LE]]-ERP[[#This Row],[Giveback]]</f>
        <v>0</v>
      </c>
      <c r="AO11" s="81" t="s">
        <v>1993</v>
      </c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79"/>
      <c r="BD11" s="79"/>
      <c r="BE11" s="79"/>
      <c r="BF11" s="79">
        <v>8612</v>
      </c>
      <c r="BG11" s="79">
        <v>8612</v>
      </c>
      <c r="BH11" s="79">
        <v>8612</v>
      </c>
      <c r="BI11" s="79">
        <v>8612</v>
      </c>
      <c r="BJ11" s="79">
        <v>8612</v>
      </c>
      <c r="BK11" s="79">
        <v>8612</v>
      </c>
      <c r="BL11" s="79">
        <v>8612</v>
      </c>
      <c r="BM11" s="79">
        <v>8612</v>
      </c>
      <c r="BN11" s="79">
        <v>8612</v>
      </c>
      <c r="BO11" s="79">
        <v>77508</v>
      </c>
    </row>
    <row r="12" spans="1:73" ht="15" customHeight="1">
      <c r="A12" s="66" t="s">
        <v>2652</v>
      </c>
      <c r="B12" s="66" t="s">
        <v>2653</v>
      </c>
      <c r="C12" s="150" t="s">
        <v>1136</v>
      </c>
      <c r="D12" s="150" t="s">
        <v>1345</v>
      </c>
      <c r="E12" s="150" t="s">
        <v>1437</v>
      </c>
      <c r="F12" s="150" t="s">
        <v>1346</v>
      </c>
      <c r="G12" s="511" t="s">
        <v>639</v>
      </c>
      <c r="H12" s="392" t="s">
        <v>2654</v>
      </c>
      <c r="I12" s="343"/>
      <c r="J12" s="343"/>
      <c r="K12" s="70" t="s">
        <v>933</v>
      </c>
      <c r="L12" s="346"/>
      <c r="M12" s="343"/>
      <c r="N12" s="346"/>
      <c r="O12" s="150" t="s">
        <v>152</v>
      </c>
      <c r="P12" s="150" t="s">
        <v>1992</v>
      </c>
      <c r="Q12" s="403"/>
      <c r="R12" s="406">
        <v>39999.960000000014</v>
      </c>
      <c r="S12" s="406">
        <v>0</v>
      </c>
      <c r="T12" s="425"/>
      <c r="U12" s="71"/>
      <c r="V12" s="426"/>
      <c r="W12" s="427"/>
      <c r="X12" s="427"/>
      <c r="Y12" s="428" t="s">
        <v>1142</v>
      </c>
      <c r="Z12" s="429">
        <v>0</v>
      </c>
      <c r="AA12" s="429">
        <v>0</v>
      </c>
      <c r="AB12" s="363" t="e">
        <v>#N/A</v>
      </c>
      <c r="AC12" s="363"/>
      <c r="AD12" s="363"/>
      <c r="AE12" s="363"/>
      <c r="AF12" s="363"/>
      <c r="AG12" s="363"/>
      <c r="AH12" s="360" t="e">
        <f t="shared" ref="AH12:AH75" si="1">SUM(V12:AG12)</f>
        <v>#N/A</v>
      </c>
      <c r="AI12" s="362" t="e">
        <f>ERP[[#This Row],[2026 Working Total]]-ERP[[#This Row],[LE2 Final Submission]]</f>
        <v>#N/A</v>
      </c>
      <c r="AJ12" s="79" t="e">
        <v>#N/A</v>
      </c>
      <c r="AK12" s="79" t="e">
        <f t="shared" si="0"/>
        <v>#N/A</v>
      </c>
      <c r="AL12" s="374">
        <f>SUM(ERP[[#This Row],[AP01]:[AP06]])-SUM(ERP[[#This Row],[AP01 LE2]:[AP06 LE2]])</f>
        <v>0</v>
      </c>
      <c r="AM12" s="80"/>
      <c r="AN12" s="79" t="e">
        <f>ERP[[#This Row],[2026 Working Total to Budget/LE]]-ERP[[#This Row],[Giveback]]</f>
        <v>#N/A</v>
      </c>
      <c r="AO12" s="81" t="s">
        <v>2655</v>
      </c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>
        <v>0</v>
      </c>
      <c r="BC12" s="79"/>
      <c r="BD12" s="79"/>
      <c r="BE12" s="79"/>
      <c r="BF12" s="79">
        <v>4000</v>
      </c>
      <c r="BG12" s="79">
        <v>4000</v>
      </c>
      <c r="BH12" s="79">
        <v>4000</v>
      </c>
      <c r="BI12" s="79">
        <v>4000</v>
      </c>
      <c r="BJ12" s="79">
        <v>4000</v>
      </c>
      <c r="BK12" s="79">
        <v>4000</v>
      </c>
      <c r="BL12" s="79">
        <v>4000</v>
      </c>
      <c r="BM12" s="79">
        <v>4000</v>
      </c>
      <c r="BN12" s="79">
        <v>4000</v>
      </c>
      <c r="BO12" s="79">
        <v>36000</v>
      </c>
    </row>
    <row r="13" spans="1:73" ht="15" customHeight="1">
      <c r="A13" s="66" t="s">
        <v>2656</v>
      </c>
      <c r="B13" s="66" t="s">
        <v>934</v>
      </c>
      <c r="C13" s="150" t="s">
        <v>1136</v>
      </c>
      <c r="D13" s="150" t="s">
        <v>1345</v>
      </c>
      <c r="E13" s="150" t="s">
        <v>1345</v>
      </c>
      <c r="F13" s="150" t="s">
        <v>1346</v>
      </c>
      <c r="G13" s="511" t="s">
        <v>639</v>
      </c>
      <c r="H13" s="392" t="s">
        <v>2657</v>
      </c>
      <c r="I13" s="343"/>
      <c r="J13" s="343"/>
      <c r="K13" s="70" t="s">
        <v>935</v>
      </c>
      <c r="L13" s="346"/>
      <c r="M13" s="343"/>
      <c r="N13" s="346"/>
      <c r="O13" s="150" t="s">
        <v>152</v>
      </c>
      <c r="P13" s="150" t="s">
        <v>2658</v>
      </c>
      <c r="Q13" s="403"/>
      <c r="R13" s="406">
        <v>0</v>
      </c>
      <c r="S13" s="406">
        <v>0</v>
      </c>
      <c r="T13" s="430"/>
      <c r="U13" s="137"/>
      <c r="V13" s="426"/>
      <c r="W13" s="427"/>
      <c r="X13" s="427"/>
      <c r="Y13" s="428" t="s">
        <v>1142</v>
      </c>
      <c r="Z13" s="429">
        <v>0</v>
      </c>
      <c r="AA13" s="429">
        <v>0</v>
      </c>
      <c r="AB13" s="363" t="e">
        <v>#N/A</v>
      </c>
      <c r="AC13" s="363">
        <v>81120</v>
      </c>
      <c r="AD13" s="363">
        <v>-81120</v>
      </c>
      <c r="AE13" s="363">
        <v>0</v>
      </c>
      <c r="AF13" s="363">
        <v>0</v>
      </c>
      <c r="AG13" s="363">
        <v>0</v>
      </c>
      <c r="AH13" s="360" t="e">
        <f t="shared" si="1"/>
        <v>#N/A</v>
      </c>
      <c r="AI13" s="362" t="e">
        <f>ERP[[#This Row],[2026 Working Total]]-ERP[[#This Row],[LE2 Final Submission]]</f>
        <v>#N/A</v>
      </c>
      <c r="AJ13" s="79" t="e">
        <v>#N/A</v>
      </c>
      <c r="AK13" s="79" t="e">
        <f t="shared" si="0"/>
        <v>#N/A</v>
      </c>
      <c r="AL13" s="374">
        <f>SUM(ERP[[#This Row],[AP01]:[AP06]])-SUM(ERP[[#This Row],[AP01 LE2]:[AP06 LE2]])</f>
        <v>0</v>
      </c>
      <c r="AM13" s="80"/>
      <c r="AN13" s="79" t="e">
        <f>ERP[[#This Row],[2026 Working Total to Budget/LE]]-ERP[[#This Row],[Giveback]]</f>
        <v>#N/A</v>
      </c>
      <c r="AO13" s="81"/>
      <c r="AP13" s="375"/>
      <c r="AQ13" s="375"/>
      <c r="AR13" s="375"/>
      <c r="AS13" s="375">
        <v>0</v>
      </c>
      <c r="AT13" s="375">
        <v>0</v>
      </c>
      <c r="AU13" s="375">
        <v>0</v>
      </c>
      <c r="AV13" s="375">
        <v>0</v>
      </c>
      <c r="AW13" s="375">
        <v>81120</v>
      </c>
      <c r="AX13" s="375">
        <v>-81120</v>
      </c>
      <c r="AY13" s="375">
        <v>0</v>
      </c>
      <c r="AZ13" s="375">
        <v>0</v>
      </c>
      <c r="BA13" s="375">
        <v>0</v>
      </c>
      <c r="BB13" s="375">
        <v>0</v>
      </c>
      <c r="BC13" s="79"/>
      <c r="BD13" s="79"/>
      <c r="BE13" s="79"/>
      <c r="BF13" s="79">
        <v>3235.5</v>
      </c>
      <c r="BG13" s="79">
        <v>3235.5</v>
      </c>
      <c r="BH13" s="79">
        <v>3235.5</v>
      </c>
      <c r="BI13" s="79">
        <v>3235.5</v>
      </c>
      <c r="BJ13" s="79">
        <v>3235.5</v>
      </c>
      <c r="BK13" s="79">
        <v>3235.5</v>
      </c>
      <c r="BL13" s="79">
        <v>3235.5</v>
      </c>
      <c r="BM13" s="79">
        <v>3235.5</v>
      </c>
      <c r="BN13" s="79">
        <v>-35590.5</v>
      </c>
      <c r="BO13" s="79">
        <v>-9706.5</v>
      </c>
    </row>
    <row r="14" spans="1:73" ht="15" customHeight="1">
      <c r="A14" s="66" t="s">
        <v>2213</v>
      </c>
      <c r="B14" s="66" t="s">
        <v>645</v>
      </c>
      <c r="C14" s="150" t="s">
        <v>1136</v>
      </c>
      <c r="D14" s="150" t="s">
        <v>1135</v>
      </c>
      <c r="E14" s="150" t="s">
        <v>1135</v>
      </c>
      <c r="F14" s="150" t="s">
        <v>1137</v>
      </c>
      <c r="G14" s="511" t="s">
        <v>639</v>
      </c>
      <c r="H14" s="392" t="s">
        <v>2214</v>
      </c>
      <c r="I14" s="343"/>
      <c r="J14" s="343"/>
      <c r="K14" s="70" t="s">
        <v>646</v>
      </c>
      <c r="L14" s="346"/>
      <c r="M14" s="343"/>
      <c r="N14" s="346"/>
      <c r="O14" s="150" t="s">
        <v>152</v>
      </c>
      <c r="P14" s="150"/>
      <c r="Q14" s="403"/>
      <c r="R14" s="406">
        <v>0</v>
      </c>
      <c r="S14" s="406">
        <v>650000</v>
      </c>
      <c r="T14" s="430"/>
      <c r="U14" s="137"/>
      <c r="V14" s="426"/>
      <c r="W14" s="427"/>
      <c r="X14" s="427"/>
      <c r="Y14" s="428" t="s">
        <v>1142</v>
      </c>
      <c r="Z14" s="429">
        <v>0</v>
      </c>
      <c r="AA14" s="429">
        <v>0</v>
      </c>
      <c r="AB14" s="363" t="e">
        <v>#N/A</v>
      </c>
      <c r="AC14" s="360">
        <v>0</v>
      </c>
      <c r="AD14" s="360">
        <v>0</v>
      </c>
      <c r="AE14" s="360">
        <v>650000</v>
      </c>
      <c r="AF14" s="360">
        <v>0</v>
      </c>
      <c r="AG14" s="360">
        <v>0</v>
      </c>
      <c r="AH14" s="360" t="e">
        <f t="shared" si="1"/>
        <v>#N/A</v>
      </c>
      <c r="AI14" s="362" t="e">
        <f>ERP[[#This Row],[2026 Working Total]]-ERP[[#This Row],[LE2 Final Submission]]</f>
        <v>#N/A</v>
      </c>
      <c r="AJ14" s="79" t="e">
        <v>#N/A</v>
      </c>
      <c r="AK14" s="79" t="e">
        <f t="shared" si="0"/>
        <v>#N/A</v>
      </c>
      <c r="AL14" s="374">
        <f>SUM(ERP[[#This Row],[AP01]:[AP06]])-SUM(ERP[[#This Row],[AP01 LE2]:[AP06 LE2]])</f>
        <v>-650000</v>
      </c>
      <c r="AM14" s="80"/>
      <c r="AN14" s="79" t="e">
        <f>ERP[[#This Row],[2026 Working Total to Budget/LE]]-ERP[[#This Row],[Giveback]]</f>
        <v>#N/A</v>
      </c>
      <c r="AO14" s="81" t="s">
        <v>2216</v>
      </c>
      <c r="AP14" s="375"/>
      <c r="AQ14" s="375"/>
      <c r="AR14" s="375"/>
      <c r="AS14" s="375"/>
      <c r="AT14" s="375"/>
      <c r="AU14" s="375">
        <v>650000</v>
      </c>
      <c r="AV14" s="375">
        <v>0</v>
      </c>
      <c r="AW14" s="375">
        <v>0</v>
      </c>
      <c r="AX14" s="375">
        <v>0</v>
      </c>
      <c r="AY14" s="375">
        <v>0</v>
      </c>
      <c r="AZ14" s="375">
        <v>0</v>
      </c>
      <c r="BA14" s="375">
        <v>0</v>
      </c>
      <c r="BB14" s="375">
        <v>650000</v>
      </c>
      <c r="BC14" s="79"/>
      <c r="BD14" s="79"/>
      <c r="BE14" s="79"/>
      <c r="BF14" s="79"/>
      <c r="BG14" s="79"/>
      <c r="BH14" s="79">
        <v>650000</v>
      </c>
      <c r="BI14" s="79">
        <v>0</v>
      </c>
      <c r="BJ14" s="79">
        <v>0</v>
      </c>
      <c r="BK14" s="79">
        <v>0</v>
      </c>
      <c r="BL14" s="79">
        <v>0</v>
      </c>
      <c r="BM14" s="79">
        <v>0</v>
      </c>
      <c r="BN14" s="79">
        <v>0</v>
      </c>
      <c r="BO14" s="79">
        <v>650000</v>
      </c>
    </row>
    <row r="15" spans="1:73" ht="15" customHeight="1">
      <c r="A15" s="79" t="s">
        <v>2705</v>
      </c>
      <c r="B15" s="296" t="s">
        <v>959</v>
      </c>
      <c r="C15" s="150" t="s">
        <v>1136</v>
      </c>
      <c r="D15" s="332" t="s">
        <v>1345</v>
      </c>
      <c r="E15" s="383" t="s">
        <v>1480</v>
      </c>
      <c r="F15" s="331" t="s">
        <v>1346</v>
      </c>
      <c r="G15" s="512" t="s">
        <v>639</v>
      </c>
      <c r="H15" s="393" t="s">
        <v>2214</v>
      </c>
      <c r="I15" s="343"/>
      <c r="J15" s="331"/>
      <c r="K15" s="91" t="s">
        <v>646</v>
      </c>
      <c r="L15" s="343"/>
      <c r="M15" s="343"/>
      <c r="N15" s="348"/>
      <c r="O15" s="386" t="s">
        <v>152</v>
      </c>
      <c r="P15" s="387" t="s">
        <v>2706</v>
      </c>
      <c r="Q15" s="432"/>
      <c r="R15" s="358">
        <v>650000</v>
      </c>
      <c r="S15" s="378">
        <v>0</v>
      </c>
      <c r="T15" s="425"/>
      <c r="U15" s="71"/>
      <c r="V15" s="433"/>
      <c r="W15" s="434"/>
      <c r="X15" s="434"/>
      <c r="Y15" s="428" t="s">
        <v>1142</v>
      </c>
      <c r="Z15" s="429">
        <v>0</v>
      </c>
      <c r="AA15" s="429">
        <v>0</v>
      </c>
      <c r="AB15" s="363" t="e">
        <v>#N/A</v>
      </c>
      <c r="AC15" s="388">
        <v>0</v>
      </c>
      <c r="AD15" s="388">
        <v>0</v>
      </c>
      <c r="AE15" s="388">
        <v>0</v>
      </c>
      <c r="AF15" s="388">
        <v>0</v>
      </c>
      <c r="AG15" s="388">
        <v>0</v>
      </c>
      <c r="AH15" s="360" t="e">
        <f t="shared" si="1"/>
        <v>#N/A</v>
      </c>
      <c r="AI15" s="362" t="e">
        <f>ERP[[#This Row],[2026 Working Total]]-ERP[[#This Row],[LE2 Final Submission]]</f>
        <v>#N/A</v>
      </c>
      <c r="AJ15" s="79" t="e">
        <v>#N/A</v>
      </c>
      <c r="AK15" s="79" t="e">
        <f t="shared" si="0"/>
        <v>#N/A</v>
      </c>
      <c r="AL15" s="374">
        <f>SUM(ERP[[#This Row],[AP01]:[AP06]])-SUM(ERP[[#This Row],[AP01 LE2]:[AP06 LE2]])</f>
        <v>0</v>
      </c>
      <c r="AM15" s="80"/>
      <c r="AN15" s="79" t="e">
        <f>ERP[[#This Row],[2026 Working Total to Budget/LE]]-ERP[[#This Row],[Giveback]]</f>
        <v>#N/A</v>
      </c>
      <c r="AO15" s="81" t="s">
        <v>2216</v>
      </c>
      <c r="AP15" s="375"/>
      <c r="AQ15" s="375"/>
      <c r="AR15" s="375"/>
      <c r="AS15" s="375">
        <v>0</v>
      </c>
      <c r="AT15" s="375">
        <v>0</v>
      </c>
      <c r="AU15" s="375">
        <v>0</v>
      </c>
      <c r="AV15" s="375">
        <v>0</v>
      </c>
      <c r="AW15" s="375">
        <v>0</v>
      </c>
      <c r="AX15" s="375">
        <v>0</v>
      </c>
      <c r="AY15" s="375">
        <v>0</v>
      </c>
      <c r="AZ15" s="375">
        <v>0</v>
      </c>
      <c r="BA15" s="375">
        <v>0</v>
      </c>
      <c r="BB15" s="375">
        <v>0</v>
      </c>
      <c r="BC15" s="103">
        <v>0</v>
      </c>
      <c r="BD15" s="103">
        <v>0</v>
      </c>
      <c r="BE15" s="103">
        <v>0</v>
      </c>
      <c r="BF15" s="103">
        <v>0</v>
      </c>
      <c r="BG15" s="103">
        <v>0</v>
      </c>
      <c r="BH15" s="103">
        <v>650000</v>
      </c>
      <c r="BI15" s="103">
        <v>0</v>
      </c>
      <c r="BJ15" s="103">
        <v>0</v>
      </c>
      <c r="BK15" s="103">
        <v>0</v>
      </c>
      <c r="BL15" s="103">
        <v>0</v>
      </c>
      <c r="BM15" s="103">
        <v>0</v>
      </c>
      <c r="BN15" s="103">
        <v>0</v>
      </c>
      <c r="BO15" s="79">
        <f>SUM(ERP[[#This Row],[2026 AP01]:[2026 AP12]])</f>
        <v>650000</v>
      </c>
    </row>
    <row r="16" spans="1:73" ht="15" customHeight="1">
      <c r="A16" s="66" t="s">
        <v>2217</v>
      </c>
      <c r="B16" s="66" t="s">
        <v>647</v>
      </c>
      <c r="C16" s="150" t="s">
        <v>1136</v>
      </c>
      <c r="D16" s="150" t="s">
        <v>1135</v>
      </c>
      <c r="E16" s="150" t="s">
        <v>1135</v>
      </c>
      <c r="F16" s="150" t="s">
        <v>1137</v>
      </c>
      <c r="G16" s="511" t="s">
        <v>639</v>
      </c>
      <c r="H16" s="392" t="s">
        <v>2218</v>
      </c>
      <c r="I16" s="343"/>
      <c r="J16" s="343"/>
      <c r="K16" s="70" t="s">
        <v>648</v>
      </c>
      <c r="L16" s="346"/>
      <c r="M16" s="343"/>
      <c r="N16" s="346"/>
      <c r="O16" s="150" t="s">
        <v>152</v>
      </c>
      <c r="P16" s="150"/>
      <c r="Q16" s="403"/>
      <c r="R16" s="406">
        <v>0</v>
      </c>
      <c r="S16" s="406">
        <v>300000</v>
      </c>
      <c r="T16" s="425"/>
      <c r="U16" s="71"/>
      <c r="V16" s="426"/>
      <c r="W16" s="427"/>
      <c r="X16" s="427"/>
      <c r="Y16" s="428" t="s">
        <v>1142</v>
      </c>
      <c r="Z16" s="429">
        <v>0</v>
      </c>
      <c r="AA16" s="429">
        <v>0</v>
      </c>
      <c r="AB16" s="363" t="e">
        <v>#N/A</v>
      </c>
      <c r="AC16" s="360">
        <v>0</v>
      </c>
      <c r="AD16" s="360">
        <v>0</v>
      </c>
      <c r="AE16" s="360">
        <v>300000</v>
      </c>
      <c r="AF16" s="360">
        <v>0</v>
      </c>
      <c r="AG16" s="360">
        <v>0</v>
      </c>
      <c r="AH16" s="360" t="e">
        <f t="shared" si="1"/>
        <v>#N/A</v>
      </c>
      <c r="AI16" s="362" t="e">
        <f>ERP[[#This Row],[2026 Working Total]]-ERP[[#This Row],[LE2 Final Submission]]</f>
        <v>#N/A</v>
      </c>
      <c r="AJ16" s="79" t="e">
        <v>#N/A</v>
      </c>
      <c r="AK16" s="79" t="e">
        <f t="shared" si="0"/>
        <v>#N/A</v>
      </c>
      <c r="AL16" s="374">
        <f>SUM(ERP[[#This Row],[AP01]:[AP06]])-SUM(ERP[[#This Row],[AP01 LE2]:[AP06 LE2]])</f>
        <v>-300000</v>
      </c>
      <c r="AM16" s="80"/>
      <c r="AN16" s="79" t="e">
        <f>ERP[[#This Row],[2026 Working Total to Budget/LE]]-ERP[[#This Row],[Giveback]]</f>
        <v>#N/A</v>
      </c>
      <c r="AO16" s="81" t="s">
        <v>2216</v>
      </c>
      <c r="AP16" s="375"/>
      <c r="AQ16" s="375"/>
      <c r="AR16" s="375"/>
      <c r="AS16" s="375"/>
      <c r="AT16" s="375"/>
      <c r="AU16" s="375">
        <v>300000</v>
      </c>
      <c r="AV16" s="375">
        <v>0</v>
      </c>
      <c r="AW16" s="375">
        <v>0</v>
      </c>
      <c r="AX16" s="375">
        <v>0</v>
      </c>
      <c r="AY16" s="375">
        <v>0</v>
      </c>
      <c r="AZ16" s="375">
        <v>0</v>
      </c>
      <c r="BA16" s="375">
        <v>0</v>
      </c>
      <c r="BB16" s="375">
        <v>300000</v>
      </c>
      <c r="BC16" s="79"/>
      <c r="BD16" s="79"/>
      <c r="BE16" s="79"/>
      <c r="BF16" s="79"/>
      <c r="BG16" s="79"/>
      <c r="BH16" s="79">
        <v>300000</v>
      </c>
      <c r="BI16" s="79">
        <v>0</v>
      </c>
      <c r="BJ16" s="79">
        <v>0</v>
      </c>
      <c r="BK16" s="79">
        <v>0</v>
      </c>
      <c r="BL16" s="79">
        <v>0</v>
      </c>
      <c r="BM16" s="79">
        <v>0</v>
      </c>
      <c r="BN16" s="79">
        <v>0</v>
      </c>
      <c r="BO16" s="79">
        <v>300000</v>
      </c>
    </row>
    <row r="17" spans="1:67" ht="15" customHeight="1">
      <c r="A17" s="79" t="s">
        <v>2707</v>
      </c>
      <c r="B17" s="296" t="s">
        <v>960</v>
      </c>
      <c r="C17" s="150" t="s">
        <v>1136</v>
      </c>
      <c r="D17" s="332" t="s">
        <v>1345</v>
      </c>
      <c r="E17" s="383" t="s">
        <v>1480</v>
      </c>
      <c r="F17" s="331" t="s">
        <v>1346</v>
      </c>
      <c r="G17" s="512" t="s">
        <v>639</v>
      </c>
      <c r="H17" s="393" t="s">
        <v>2218</v>
      </c>
      <c r="I17" s="343"/>
      <c r="J17" s="331"/>
      <c r="K17" s="91" t="s">
        <v>648</v>
      </c>
      <c r="L17" s="343"/>
      <c r="M17" s="343"/>
      <c r="N17" s="348"/>
      <c r="O17" s="386" t="s">
        <v>152</v>
      </c>
      <c r="P17" s="387" t="s">
        <v>2706</v>
      </c>
      <c r="Q17" s="432"/>
      <c r="R17" s="358">
        <v>300000</v>
      </c>
      <c r="S17" s="378">
        <v>0</v>
      </c>
      <c r="T17" s="425"/>
      <c r="U17" s="71"/>
      <c r="V17" s="433"/>
      <c r="W17" s="434"/>
      <c r="X17" s="434"/>
      <c r="Y17" s="428" t="s">
        <v>1142</v>
      </c>
      <c r="Z17" s="429">
        <v>0</v>
      </c>
      <c r="AA17" s="429">
        <v>0</v>
      </c>
      <c r="AB17" s="363" t="e">
        <v>#N/A</v>
      </c>
      <c r="AC17" s="388">
        <v>0</v>
      </c>
      <c r="AD17" s="388">
        <v>0</v>
      </c>
      <c r="AE17" s="388">
        <v>0</v>
      </c>
      <c r="AF17" s="388">
        <v>0</v>
      </c>
      <c r="AG17" s="388">
        <v>0</v>
      </c>
      <c r="AH17" s="360" t="e">
        <f t="shared" si="1"/>
        <v>#N/A</v>
      </c>
      <c r="AI17" s="362" t="e">
        <f>ERP[[#This Row],[2026 Working Total]]-ERP[[#This Row],[LE2 Final Submission]]</f>
        <v>#N/A</v>
      </c>
      <c r="AJ17" s="79" t="e">
        <v>#N/A</v>
      </c>
      <c r="AK17" s="79" t="e">
        <f t="shared" si="0"/>
        <v>#N/A</v>
      </c>
      <c r="AL17" s="374">
        <f>SUM(ERP[[#This Row],[AP01]:[AP06]])-SUM(ERP[[#This Row],[AP01 LE2]:[AP06 LE2]])</f>
        <v>0</v>
      </c>
      <c r="AM17" s="80"/>
      <c r="AN17" s="79" t="e">
        <f>ERP[[#This Row],[2026 Working Total to Budget/LE]]-ERP[[#This Row],[Giveback]]</f>
        <v>#N/A</v>
      </c>
      <c r="AO17" s="81" t="s">
        <v>2216</v>
      </c>
      <c r="AP17" s="375"/>
      <c r="AQ17" s="375"/>
      <c r="AR17" s="375"/>
      <c r="AS17" s="375">
        <v>0</v>
      </c>
      <c r="AT17" s="375">
        <v>0</v>
      </c>
      <c r="AU17" s="375">
        <v>0</v>
      </c>
      <c r="AV17" s="375">
        <v>0</v>
      </c>
      <c r="AW17" s="375">
        <v>0</v>
      </c>
      <c r="AX17" s="375">
        <v>0</v>
      </c>
      <c r="AY17" s="375">
        <v>0</v>
      </c>
      <c r="AZ17" s="375">
        <v>0</v>
      </c>
      <c r="BA17" s="375">
        <v>0</v>
      </c>
      <c r="BB17" s="375">
        <v>0</v>
      </c>
      <c r="BC17" s="103">
        <v>0</v>
      </c>
      <c r="BD17" s="103">
        <v>0</v>
      </c>
      <c r="BE17" s="103">
        <v>0</v>
      </c>
      <c r="BF17" s="103">
        <v>0</v>
      </c>
      <c r="BG17" s="103">
        <v>0</v>
      </c>
      <c r="BH17" s="103">
        <v>300000</v>
      </c>
      <c r="BI17" s="103">
        <v>0</v>
      </c>
      <c r="BJ17" s="103">
        <v>0</v>
      </c>
      <c r="BK17" s="103">
        <v>0</v>
      </c>
      <c r="BL17" s="103">
        <v>0</v>
      </c>
      <c r="BM17" s="103">
        <v>0</v>
      </c>
      <c r="BN17" s="103">
        <v>0</v>
      </c>
      <c r="BO17" s="79">
        <f>SUM(ERP[[#This Row],[2026 AP01]:[2026 AP12]])</f>
        <v>300000</v>
      </c>
    </row>
    <row r="18" spans="1:67" ht="15" customHeight="1">
      <c r="A18" s="66" t="s">
        <v>1756</v>
      </c>
      <c r="B18" s="66" t="s">
        <v>1757</v>
      </c>
      <c r="C18" s="150" t="s">
        <v>1136</v>
      </c>
      <c r="D18" s="150" t="s">
        <v>1135</v>
      </c>
      <c r="E18" s="150" t="s">
        <v>1165</v>
      </c>
      <c r="F18" s="150" t="s">
        <v>1137</v>
      </c>
      <c r="G18" s="511" t="s">
        <v>389</v>
      </c>
      <c r="H18" s="392" t="s">
        <v>1758</v>
      </c>
      <c r="I18" s="343"/>
      <c r="J18" s="343"/>
      <c r="K18" s="70" t="s">
        <v>393</v>
      </c>
      <c r="L18" s="346"/>
      <c r="M18" s="343"/>
      <c r="N18" s="346"/>
      <c r="O18" s="150" t="s">
        <v>152</v>
      </c>
      <c r="P18" s="150"/>
      <c r="Q18" s="403"/>
      <c r="R18" s="406">
        <v>0</v>
      </c>
      <c r="S18" s="406">
        <v>112500</v>
      </c>
      <c r="T18" s="425"/>
      <c r="U18" s="71"/>
      <c r="V18" s="426"/>
      <c r="W18" s="427"/>
      <c r="X18" s="427"/>
      <c r="Y18" s="428" t="s">
        <v>1142</v>
      </c>
      <c r="Z18" s="429">
        <v>0</v>
      </c>
      <c r="AA18" s="429">
        <v>0</v>
      </c>
      <c r="AB18" s="363" t="e">
        <v>#N/A</v>
      </c>
      <c r="AC18" s="363">
        <v>19000</v>
      </c>
      <c r="AD18" s="363">
        <v>19000</v>
      </c>
      <c r="AE18" s="363">
        <v>18500</v>
      </c>
      <c r="AF18" s="363">
        <v>18500</v>
      </c>
      <c r="AG18" s="363">
        <v>18500</v>
      </c>
      <c r="AH18" s="360" t="e">
        <f t="shared" si="1"/>
        <v>#N/A</v>
      </c>
      <c r="AI18" s="362" t="e">
        <f>ERP[[#This Row],[2026 Working Total]]-ERP[[#This Row],[LE2 Final Submission]]</f>
        <v>#N/A</v>
      </c>
      <c r="AJ18" s="79" t="e">
        <v>#N/A</v>
      </c>
      <c r="AK18" s="79" t="e">
        <f t="shared" si="0"/>
        <v>#N/A</v>
      </c>
      <c r="AL18" s="374">
        <f>SUM(ERP[[#This Row],[AP01]:[AP06]])-SUM(ERP[[#This Row],[AP01 LE2]:[AP06 LE2]])</f>
        <v>-37500</v>
      </c>
      <c r="AM18" s="80"/>
      <c r="AN18" s="79" t="e">
        <f>ERP[[#This Row],[2026 Working Total to Budget/LE]]-ERP[[#This Row],[Giveback]]</f>
        <v>#N/A</v>
      </c>
      <c r="AO18" s="81"/>
      <c r="AP18" s="375"/>
      <c r="AQ18" s="375"/>
      <c r="AR18" s="375"/>
      <c r="AS18" s="375">
        <v>12500</v>
      </c>
      <c r="AT18" s="375">
        <v>12500</v>
      </c>
      <c r="AU18" s="375">
        <v>12500</v>
      </c>
      <c r="AV18" s="375">
        <v>12500</v>
      </c>
      <c r="AW18" s="375">
        <v>12500</v>
      </c>
      <c r="AX18" s="375">
        <v>12500</v>
      </c>
      <c r="AY18" s="375">
        <v>12500</v>
      </c>
      <c r="AZ18" s="375">
        <v>12500</v>
      </c>
      <c r="BA18" s="375">
        <v>12500</v>
      </c>
      <c r="BB18" s="375">
        <v>112500</v>
      </c>
      <c r="BC18" s="79"/>
      <c r="BD18" s="79"/>
      <c r="BE18" s="79"/>
      <c r="BF18" s="79">
        <v>12500</v>
      </c>
      <c r="BG18" s="79">
        <v>12500</v>
      </c>
      <c r="BH18" s="79">
        <v>12500</v>
      </c>
      <c r="BI18" s="79">
        <v>12500</v>
      </c>
      <c r="BJ18" s="79">
        <v>12500</v>
      </c>
      <c r="BK18" s="79">
        <v>12500</v>
      </c>
      <c r="BL18" s="79">
        <v>12500</v>
      </c>
      <c r="BM18" s="79">
        <v>12500</v>
      </c>
      <c r="BN18" s="79">
        <v>12500</v>
      </c>
      <c r="BO18" s="79">
        <v>112500</v>
      </c>
    </row>
    <row r="19" spans="1:67" ht="15" customHeight="1">
      <c r="A19" s="79" t="s">
        <v>2042</v>
      </c>
      <c r="B19" s="296" t="s">
        <v>545</v>
      </c>
      <c r="C19" s="150" t="s">
        <v>1136</v>
      </c>
      <c r="D19" s="332" t="s">
        <v>1345</v>
      </c>
      <c r="E19" s="383" t="s">
        <v>1480</v>
      </c>
      <c r="F19" s="331" t="s">
        <v>1346</v>
      </c>
      <c r="G19" s="512" t="s">
        <v>389</v>
      </c>
      <c r="H19" s="393" t="s">
        <v>1758</v>
      </c>
      <c r="I19" s="343"/>
      <c r="J19" s="331"/>
      <c r="K19" s="91" t="s">
        <v>393</v>
      </c>
      <c r="L19" s="343"/>
      <c r="M19" s="343"/>
      <c r="N19" s="348"/>
      <c r="O19" s="386" t="s">
        <v>152</v>
      </c>
      <c r="P19" s="387" t="s">
        <v>2043</v>
      </c>
      <c r="Q19" s="432"/>
      <c r="R19" s="358">
        <v>125000</v>
      </c>
      <c r="S19" s="378">
        <v>0</v>
      </c>
      <c r="T19" s="425"/>
      <c r="U19" s="71"/>
      <c r="V19" s="433"/>
      <c r="W19" s="434"/>
      <c r="X19" s="434"/>
      <c r="Y19" s="428" t="s">
        <v>1142</v>
      </c>
      <c r="Z19" s="429">
        <v>0</v>
      </c>
      <c r="AA19" s="429">
        <v>0</v>
      </c>
      <c r="AB19" s="363" t="e">
        <v>#N/A</v>
      </c>
      <c r="AC19" s="388">
        <f t="shared" ref="AC19:AG19" si="2">12500-12500</f>
        <v>0</v>
      </c>
      <c r="AD19" s="388">
        <f t="shared" si="2"/>
        <v>0</v>
      </c>
      <c r="AE19" s="388">
        <f t="shared" si="2"/>
        <v>0</v>
      </c>
      <c r="AF19" s="388">
        <f t="shared" si="2"/>
        <v>0</v>
      </c>
      <c r="AG19" s="388">
        <f t="shared" si="2"/>
        <v>0</v>
      </c>
      <c r="AH19" s="360" t="e">
        <f t="shared" si="1"/>
        <v>#N/A</v>
      </c>
      <c r="AI19" s="362" t="e">
        <f>ERP[[#This Row],[2026 Working Total]]-ERP[[#This Row],[LE2 Final Submission]]</f>
        <v>#N/A</v>
      </c>
      <c r="AJ19" s="79" t="e">
        <v>#N/A</v>
      </c>
      <c r="AK19" s="79" t="e">
        <f t="shared" si="0"/>
        <v>#N/A</v>
      </c>
      <c r="AL19" s="374">
        <f>SUM(ERP[[#This Row],[AP01]:[AP06]])-SUM(ERP[[#This Row],[AP01 LE2]:[AP06 LE2]])</f>
        <v>0</v>
      </c>
      <c r="AM19" s="80"/>
      <c r="AN19" s="79" t="e">
        <f>ERP[[#This Row],[2026 Working Total to Budget/LE]]-ERP[[#This Row],[Giveback]]</f>
        <v>#N/A</v>
      </c>
      <c r="AO19" s="81"/>
      <c r="AP19" s="375"/>
      <c r="AQ19" s="375"/>
      <c r="AR19" s="375"/>
      <c r="AS19" s="375">
        <v>0</v>
      </c>
      <c r="AT19" s="375">
        <v>0</v>
      </c>
      <c r="AU19" s="375">
        <v>0</v>
      </c>
      <c r="AV19" s="375">
        <v>0</v>
      </c>
      <c r="AW19" s="375">
        <v>0</v>
      </c>
      <c r="AX19" s="375">
        <v>0</v>
      </c>
      <c r="AY19" s="375">
        <v>0</v>
      </c>
      <c r="AZ19" s="375">
        <v>0</v>
      </c>
      <c r="BA19" s="375">
        <v>0</v>
      </c>
      <c r="BB19" s="375">
        <v>0</v>
      </c>
      <c r="BC19" s="103">
        <v>0</v>
      </c>
      <c r="BD19" s="103">
        <v>0</v>
      </c>
      <c r="BE19" s="103">
        <v>12500</v>
      </c>
      <c r="BF19" s="103">
        <v>12500</v>
      </c>
      <c r="BG19" s="103">
        <v>12500</v>
      </c>
      <c r="BH19" s="103">
        <v>12500</v>
      </c>
      <c r="BI19" s="103">
        <v>12500</v>
      </c>
      <c r="BJ19" s="103">
        <v>12500</v>
      </c>
      <c r="BK19" s="103">
        <v>12500</v>
      </c>
      <c r="BL19" s="103">
        <v>12500</v>
      </c>
      <c r="BM19" s="103">
        <v>12500</v>
      </c>
      <c r="BN19" s="103">
        <v>12500</v>
      </c>
      <c r="BO19" s="79">
        <f>SUM(ERP[[#This Row],[2026 AP01]:[2026 AP12]])</f>
        <v>125000</v>
      </c>
    </row>
    <row r="20" spans="1:67" ht="15" customHeight="1">
      <c r="A20" s="66" t="s">
        <v>1759</v>
      </c>
      <c r="B20" s="66" t="s">
        <v>1760</v>
      </c>
      <c r="C20" s="150" t="s">
        <v>1136</v>
      </c>
      <c r="D20" s="150" t="s">
        <v>1135</v>
      </c>
      <c r="E20" s="150" t="s">
        <v>1165</v>
      </c>
      <c r="F20" s="150" t="s">
        <v>1137</v>
      </c>
      <c r="G20" s="511" t="s">
        <v>389</v>
      </c>
      <c r="H20" s="392" t="s">
        <v>1761</v>
      </c>
      <c r="I20" s="343"/>
      <c r="J20" s="343"/>
      <c r="K20" s="70" t="s">
        <v>395</v>
      </c>
      <c r="L20" s="346"/>
      <c r="M20" s="343"/>
      <c r="N20" s="346"/>
      <c r="O20" s="150" t="s">
        <v>152</v>
      </c>
      <c r="P20" s="150"/>
      <c r="Q20" s="403"/>
      <c r="R20" s="406">
        <v>0</v>
      </c>
      <c r="S20" s="406">
        <v>90000</v>
      </c>
      <c r="T20" s="425"/>
      <c r="U20" s="71"/>
      <c r="V20" s="426"/>
      <c r="W20" s="427"/>
      <c r="X20" s="427"/>
      <c r="Y20" s="428" t="s">
        <v>1142</v>
      </c>
      <c r="Z20" s="429">
        <v>0</v>
      </c>
      <c r="AA20" s="429">
        <v>0</v>
      </c>
      <c r="AB20" s="363" t="e">
        <v>#N/A</v>
      </c>
      <c r="AC20" s="363">
        <v>15000</v>
      </c>
      <c r="AD20" s="363">
        <v>15000</v>
      </c>
      <c r="AE20" s="363">
        <v>15000</v>
      </c>
      <c r="AF20" s="363">
        <v>15000</v>
      </c>
      <c r="AG20" s="363">
        <v>15000</v>
      </c>
      <c r="AH20" s="360" t="e">
        <f t="shared" si="1"/>
        <v>#N/A</v>
      </c>
      <c r="AI20" s="362" t="e">
        <f>ERP[[#This Row],[2026 Working Total]]-ERP[[#This Row],[LE2 Final Submission]]</f>
        <v>#N/A</v>
      </c>
      <c r="AJ20" s="79" t="e">
        <v>#N/A</v>
      </c>
      <c r="AK20" s="79" t="e">
        <f t="shared" si="0"/>
        <v>#N/A</v>
      </c>
      <c r="AL20" s="374">
        <f>SUM(ERP[[#This Row],[AP01]:[AP06]])-SUM(ERP[[#This Row],[AP01 LE2]:[AP06 LE2]])</f>
        <v>-30000</v>
      </c>
      <c r="AM20" s="80"/>
      <c r="AN20" s="79" t="e">
        <f>ERP[[#This Row],[2026 Working Total to Budget/LE]]-ERP[[#This Row],[Giveback]]</f>
        <v>#N/A</v>
      </c>
      <c r="AO20" s="81"/>
      <c r="AP20" s="375"/>
      <c r="AQ20" s="375"/>
      <c r="AR20" s="375"/>
      <c r="AS20" s="375">
        <v>10000</v>
      </c>
      <c r="AT20" s="375">
        <v>10000</v>
      </c>
      <c r="AU20" s="375">
        <v>10000</v>
      </c>
      <c r="AV20" s="375">
        <v>10000</v>
      </c>
      <c r="AW20" s="375">
        <v>10000</v>
      </c>
      <c r="AX20" s="375">
        <v>10000</v>
      </c>
      <c r="AY20" s="375">
        <v>10000</v>
      </c>
      <c r="AZ20" s="375">
        <v>10000</v>
      </c>
      <c r="BA20" s="375">
        <v>10000</v>
      </c>
      <c r="BB20" s="375">
        <v>90000</v>
      </c>
      <c r="BC20" s="79"/>
      <c r="BD20" s="79"/>
      <c r="BE20" s="79"/>
      <c r="BF20" s="79">
        <v>10000</v>
      </c>
      <c r="BG20" s="79">
        <v>10000</v>
      </c>
      <c r="BH20" s="79">
        <v>10000</v>
      </c>
      <c r="BI20" s="79">
        <v>10000</v>
      </c>
      <c r="BJ20" s="79">
        <v>10000</v>
      </c>
      <c r="BK20" s="79">
        <v>10000</v>
      </c>
      <c r="BL20" s="79">
        <v>10000</v>
      </c>
      <c r="BM20" s="79">
        <v>10000</v>
      </c>
      <c r="BN20" s="79">
        <v>10000</v>
      </c>
      <c r="BO20" s="79">
        <v>90000</v>
      </c>
    </row>
    <row r="21" spans="1:67" ht="15" customHeight="1">
      <c r="A21" s="79" t="s">
        <v>2044</v>
      </c>
      <c r="B21" s="296" t="s">
        <v>546</v>
      </c>
      <c r="C21" s="150" t="s">
        <v>1136</v>
      </c>
      <c r="D21" s="332" t="s">
        <v>1345</v>
      </c>
      <c r="E21" s="383" t="s">
        <v>1480</v>
      </c>
      <c r="F21" s="331" t="s">
        <v>1346</v>
      </c>
      <c r="G21" s="512" t="s">
        <v>389</v>
      </c>
      <c r="H21" s="393" t="s">
        <v>1761</v>
      </c>
      <c r="I21" s="343"/>
      <c r="J21" s="331"/>
      <c r="K21" s="91" t="s">
        <v>395</v>
      </c>
      <c r="L21" s="343"/>
      <c r="M21" s="343"/>
      <c r="N21" s="348"/>
      <c r="O21" s="386" t="s">
        <v>152</v>
      </c>
      <c r="P21" s="387" t="s">
        <v>2043</v>
      </c>
      <c r="Q21" s="432"/>
      <c r="R21" s="358">
        <v>100000</v>
      </c>
      <c r="S21" s="378">
        <v>0</v>
      </c>
      <c r="T21" s="425"/>
      <c r="U21" s="71"/>
      <c r="V21" s="433"/>
      <c r="W21" s="434"/>
      <c r="X21" s="434"/>
      <c r="Y21" s="428" t="s">
        <v>1142</v>
      </c>
      <c r="Z21" s="429">
        <v>0</v>
      </c>
      <c r="AA21" s="429">
        <v>0</v>
      </c>
      <c r="AB21" s="363" t="e">
        <v>#N/A</v>
      </c>
      <c r="AC21" s="388">
        <f t="shared" ref="AC21:AG21" si="3">10000-10000</f>
        <v>0</v>
      </c>
      <c r="AD21" s="388">
        <f t="shared" si="3"/>
        <v>0</v>
      </c>
      <c r="AE21" s="388">
        <f t="shared" si="3"/>
        <v>0</v>
      </c>
      <c r="AF21" s="388">
        <f t="shared" si="3"/>
        <v>0</v>
      </c>
      <c r="AG21" s="388">
        <f t="shared" si="3"/>
        <v>0</v>
      </c>
      <c r="AH21" s="360" t="e">
        <f t="shared" si="1"/>
        <v>#N/A</v>
      </c>
      <c r="AI21" s="362" t="e">
        <f>ERP[[#This Row],[2026 Working Total]]-ERP[[#This Row],[LE2 Final Submission]]</f>
        <v>#N/A</v>
      </c>
      <c r="AJ21" s="79" t="e">
        <v>#N/A</v>
      </c>
      <c r="AK21" s="79" t="e">
        <f t="shared" si="0"/>
        <v>#N/A</v>
      </c>
      <c r="AL21" s="374">
        <f>SUM(ERP[[#This Row],[AP01]:[AP06]])-SUM(ERP[[#This Row],[AP01 LE2]:[AP06 LE2]])</f>
        <v>0</v>
      </c>
      <c r="AM21" s="80"/>
      <c r="AN21" s="79" t="e">
        <f>ERP[[#This Row],[2026 Working Total to Budget/LE]]-ERP[[#This Row],[Giveback]]</f>
        <v>#N/A</v>
      </c>
      <c r="AO21" s="81"/>
      <c r="AP21" s="375"/>
      <c r="AQ21" s="375"/>
      <c r="AR21" s="375"/>
      <c r="AS21" s="375">
        <v>0</v>
      </c>
      <c r="AT21" s="375">
        <v>0</v>
      </c>
      <c r="AU21" s="375">
        <v>0</v>
      </c>
      <c r="AV21" s="375">
        <v>0</v>
      </c>
      <c r="AW21" s="375">
        <v>0</v>
      </c>
      <c r="AX21" s="375">
        <v>0</v>
      </c>
      <c r="AY21" s="375">
        <v>0</v>
      </c>
      <c r="AZ21" s="375">
        <v>0</v>
      </c>
      <c r="BA21" s="375">
        <v>0</v>
      </c>
      <c r="BB21" s="375">
        <v>0</v>
      </c>
      <c r="BC21" s="103">
        <v>0</v>
      </c>
      <c r="BD21" s="103">
        <v>0</v>
      </c>
      <c r="BE21" s="103">
        <v>10000</v>
      </c>
      <c r="BF21" s="103">
        <v>10000</v>
      </c>
      <c r="BG21" s="103">
        <v>10000</v>
      </c>
      <c r="BH21" s="103">
        <v>10000</v>
      </c>
      <c r="BI21" s="103">
        <v>10000</v>
      </c>
      <c r="BJ21" s="103">
        <v>10000</v>
      </c>
      <c r="BK21" s="103">
        <v>10000</v>
      </c>
      <c r="BL21" s="103">
        <v>10000</v>
      </c>
      <c r="BM21" s="103">
        <v>10000</v>
      </c>
      <c r="BN21" s="103">
        <v>10000</v>
      </c>
      <c r="BO21" s="79">
        <f>SUM(ERP[[#This Row],[2026 AP01]:[2026 AP12]])</f>
        <v>100000</v>
      </c>
    </row>
    <row r="22" spans="1:67" ht="15" customHeight="1">
      <c r="A22" s="66" t="s">
        <v>1763</v>
      </c>
      <c r="B22" s="66" t="s">
        <v>1764</v>
      </c>
      <c r="C22" s="150" t="s">
        <v>1136</v>
      </c>
      <c r="D22" s="150" t="s">
        <v>1135</v>
      </c>
      <c r="E22" s="150" t="s">
        <v>1165</v>
      </c>
      <c r="F22" s="150" t="s">
        <v>1137</v>
      </c>
      <c r="G22" s="511" t="s">
        <v>389</v>
      </c>
      <c r="H22" s="392" t="s">
        <v>1765</v>
      </c>
      <c r="I22" s="343"/>
      <c r="J22" s="343"/>
      <c r="K22" s="70" t="s">
        <v>397</v>
      </c>
      <c r="L22" s="346"/>
      <c r="M22" s="343"/>
      <c r="N22" s="346"/>
      <c r="O22" s="150" t="s">
        <v>398</v>
      </c>
      <c r="P22" s="150"/>
      <c r="Q22" s="403"/>
      <c r="R22" s="406">
        <v>0</v>
      </c>
      <c r="S22" s="406">
        <v>56250</v>
      </c>
      <c r="T22" s="425"/>
      <c r="U22" s="71"/>
      <c r="V22" s="426"/>
      <c r="W22" s="427"/>
      <c r="X22" s="427"/>
      <c r="Y22" s="428" t="s">
        <v>1142</v>
      </c>
      <c r="Z22" s="429">
        <v>0</v>
      </c>
      <c r="AA22" s="429">
        <v>0</v>
      </c>
      <c r="AB22" s="363" t="e">
        <v>#N/A</v>
      </c>
      <c r="AC22" s="363">
        <v>9250</v>
      </c>
      <c r="AD22" s="363">
        <v>9500</v>
      </c>
      <c r="AE22" s="363">
        <v>9250</v>
      </c>
      <c r="AF22" s="363">
        <v>9500</v>
      </c>
      <c r="AG22" s="363">
        <v>9250</v>
      </c>
      <c r="AH22" s="360" t="e">
        <f t="shared" si="1"/>
        <v>#N/A</v>
      </c>
      <c r="AI22" s="362" t="e">
        <f>ERP[[#This Row],[2026 Working Total]]-ERP[[#This Row],[LE2 Final Submission]]</f>
        <v>#N/A</v>
      </c>
      <c r="AJ22" s="79" t="e">
        <v>#N/A</v>
      </c>
      <c r="AK22" s="79" t="e">
        <f t="shared" si="0"/>
        <v>#N/A</v>
      </c>
      <c r="AL22" s="374">
        <f>SUM(ERP[[#This Row],[AP01]:[AP06]])-SUM(ERP[[#This Row],[AP01 LE2]:[AP06 LE2]])</f>
        <v>-18750</v>
      </c>
      <c r="AM22" s="80"/>
      <c r="AN22" s="79" t="e">
        <f>ERP[[#This Row],[2026 Working Total to Budget/LE]]-ERP[[#This Row],[Giveback]]</f>
        <v>#N/A</v>
      </c>
      <c r="AO22" s="81"/>
      <c r="AP22" s="375"/>
      <c r="AQ22" s="375"/>
      <c r="AR22" s="375"/>
      <c r="AS22" s="375">
        <v>6250</v>
      </c>
      <c r="AT22" s="375">
        <v>6250</v>
      </c>
      <c r="AU22" s="375">
        <v>6250</v>
      </c>
      <c r="AV22" s="375">
        <v>6250</v>
      </c>
      <c r="AW22" s="375">
        <v>6250</v>
      </c>
      <c r="AX22" s="375">
        <v>6250</v>
      </c>
      <c r="AY22" s="375">
        <v>6250</v>
      </c>
      <c r="AZ22" s="375">
        <v>6250</v>
      </c>
      <c r="BA22" s="375">
        <v>6250</v>
      </c>
      <c r="BB22" s="375">
        <v>56250</v>
      </c>
      <c r="BC22" s="79"/>
      <c r="BD22" s="79"/>
      <c r="BE22" s="79"/>
      <c r="BF22" s="79">
        <v>6250</v>
      </c>
      <c r="BG22" s="79">
        <v>6250</v>
      </c>
      <c r="BH22" s="79">
        <v>6250</v>
      </c>
      <c r="BI22" s="79">
        <v>6250</v>
      </c>
      <c r="BJ22" s="79">
        <v>6250</v>
      </c>
      <c r="BK22" s="79">
        <v>6250</v>
      </c>
      <c r="BL22" s="79">
        <v>6250</v>
      </c>
      <c r="BM22" s="79">
        <v>6250</v>
      </c>
      <c r="BN22" s="79">
        <v>6250</v>
      </c>
      <c r="BO22" s="79">
        <v>56250</v>
      </c>
    </row>
    <row r="23" spans="1:67" ht="15" customHeight="1">
      <c r="A23" s="79" t="s">
        <v>2045</v>
      </c>
      <c r="B23" s="296" t="s">
        <v>547</v>
      </c>
      <c r="C23" s="150" t="s">
        <v>1136</v>
      </c>
      <c r="D23" s="332" t="s">
        <v>1345</v>
      </c>
      <c r="E23" s="383" t="s">
        <v>1480</v>
      </c>
      <c r="F23" s="331" t="s">
        <v>1346</v>
      </c>
      <c r="G23" s="512" t="s">
        <v>389</v>
      </c>
      <c r="H23" s="393" t="s">
        <v>2046</v>
      </c>
      <c r="I23" s="343"/>
      <c r="J23" s="331"/>
      <c r="K23" s="91" t="s">
        <v>397</v>
      </c>
      <c r="L23" s="343"/>
      <c r="M23" s="343"/>
      <c r="N23" s="348"/>
      <c r="O23" s="386" t="s">
        <v>152</v>
      </c>
      <c r="P23" s="387" t="s">
        <v>2043</v>
      </c>
      <c r="Q23" s="432"/>
      <c r="R23" s="358">
        <v>75000</v>
      </c>
      <c r="S23" s="378">
        <v>0</v>
      </c>
      <c r="T23" s="430"/>
      <c r="U23" s="137"/>
      <c r="V23" s="433"/>
      <c r="W23" s="434"/>
      <c r="X23" s="434"/>
      <c r="Y23" s="428" t="s">
        <v>1142</v>
      </c>
      <c r="Z23" s="429">
        <v>0</v>
      </c>
      <c r="AA23" s="429">
        <v>0</v>
      </c>
      <c r="AB23" s="363" t="e">
        <v>#N/A</v>
      </c>
      <c r="AC23" s="388">
        <f t="shared" ref="AC23:AG23" si="4">6250-6250</f>
        <v>0</v>
      </c>
      <c r="AD23" s="388">
        <f t="shared" si="4"/>
        <v>0</v>
      </c>
      <c r="AE23" s="388">
        <f t="shared" si="4"/>
        <v>0</v>
      </c>
      <c r="AF23" s="388">
        <f t="shared" si="4"/>
        <v>0</v>
      </c>
      <c r="AG23" s="388">
        <f t="shared" si="4"/>
        <v>0</v>
      </c>
      <c r="AH23" s="360" t="e">
        <f t="shared" si="1"/>
        <v>#N/A</v>
      </c>
      <c r="AI23" s="362" t="e">
        <f>ERP[[#This Row],[2026 Working Total]]-ERP[[#This Row],[LE2 Final Submission]]</f>
        <v>#N/A</v>
      </c>
      <c r="AJ23" s="79" t="e">
        <v>#N/A</v>
      </c>
      <c r="AK23" s="79" t="e">
        <f t="shared" si="0"/>
        <v>#N/A</v>
      </c>
      <c r="AL23" s="374">
        <f>SUM(ERP[[#This Row],[AP01]:[AP06]])-SUM(ERP[[#This Row],[AP01 LE2]:[AP06 LE2]])</f>
        <v>0</v>
      </c>
      <c r="AM23" s="80"/>
      <c r="AN23" s="79" t="e">
        <f>ERP[[#This Row],[2026 Working Total to Budget/LE]]-ERP[[#This Row],[Giveback]]</f>
        <v>#N/A</v>
      </c>
      <c r="AO23" s="81"/>
      <c r="AP23" s="375"/>
      <c r="AQ23" s="375"/>
      <c r="AR23" s="375"/>
      <c r="AS23" s="375">
        <v>0</v>
      </c>
      <c r="AT23" s="375">
        <v>0</v>
      </c>
      <c r="AU23" s="375">
        <v>0</v>
      </c>
      <c r="AV23" s="375">
        <v>0</v>
      </c>
      <c r="AW23" s="375">
        <v>0</v>
      </c>
      <c r="AX23" s="375">
        <v>0</v>
      </c>
      <c r="AY23" s="375">
        <v>0</v>
      </c>
      <c r="AZ23" s="375">
        <v>0</v>
      </c>
      <c r="BA23" s="375">
        <v>0</v>
      </c>
      <c r="BB23" s="375">
        <v>0</v>
      </c>
      <c r="BC23" s="103">
        <v>6250</v>
      </c>
      <c r="BD23" s="103">
        <v>6250</v>
      </c>
      <c r="BE23" s="103">
        <v>6250</v>
      </c>
      <c r="BF23" s="103">
        <v>6250</v>
      </c>
      <c r="BG23" s="103">
        <v>6250</v>
      </c>
      <c r="BH23" s="103">
        <v>6250</v>
      </c>
      <c r="BI23" s="103">
        <v>6250</v>
      </c>
      <c r="BJ23" s="103">
        <v>6250</v>
      </c>
      <c r="BK23" s="103">
        <v>6250</v>
      </c>
      <c r="BL23" s="103">
        <v>6250</v>
      </c>
      <c r="BM23" s="103">
        <v>6250</v>
      </c>
      <c r="BN23" s="103">
        <v>6250</v>
      </c>
      <c r="BO23" s="79">
        <f>SUM(ERP[[#This Row],[2026 AP01]:[2026 AP12]])</f>
        <v>75000</v>
      </c>
    </row>
    <row r="24" spans="1:67" ht="15" customHeight="1">
      <c r="A24" s="79" t="s">
        <v>1343</v>
      </c>
      <c r="B24" s="296" t="s">
        <v>150</v>
      </c>
      <c r="C24" s="150" t="s">
        <v>1136</v>
      </c>
      <c r="D24" s="332" t="s">
        <v>1345</v>
      </c>
      <c r="E24" s="383" t="s">
        <v>1344</v>
      </c>
      <c r="F24" s="331" t="s">
        <v>1346</v>
      </c>
      <c r="G24" s="512" t="s">
        <v>49</v>
      </c>
      <c r="H24" s="393" t="s">
        <v>1347</v>
      </c>
      <c r="I24" s="343"/>
      <c r="J24" s="331"/>
      <c r="K24" s="91" t="s">
        <v>151</v>
      </c>
      <c r="L24" s="343"/>
      <c r="M24" s="343"/>
      <c r="N24" s="348"/>
      <c r="O24" s="386" t="s">
        <v>152</v>
      </c>
      <c r="P24" s="387" t="s">
        <v>1348</v>
      </c>
      <c r="Q24" s="432"/>
      <c r="R24" s="358">
        <v>70000.000000000015</v>
      </c>
      <c r="S24" s="378">
        <v>0</v>
      </c>
      <c r="T24" s="425"/>
      <c r="U24" s="71"/>
      <c r="V24" s="433"/>
      <c r="W24" s="434"/>
      <c r="X24" s="434"/>
      <c r="Y24" s="428" t="s">
        <v>1142</v>
      </c>
      <c r="Z24" s="429">
        <v>0</v>
      </c>
      <c r="AA24" s="429">
        <v>0</v>
      </c>
      <c r="AB24" s="363" t="e">
        <v>#N/A</v>
      </c>
      <c r="AC24" s="388">
        <v>0</v>
      </c>
      <c r="AD24" s="388">
        <v>0</v>
      </c>
      <c r="AE24" s="388">
        <v>0</v>
      </c>
      <c r="AF24" s="388">
        <v>0</v>
      </c>
      <c r="AG24" s="388">
        <v>0</v>
      </c>
      <c r="AH24" s="360" t="e">
        <f t="shared" si="1"/>
        <v>#N/A</v>
      </c>
      <c r="AI24" s="362" t="e">
        <f>ERP[[#This Row],[2026 Working Total]]-ERP[[#This Row],[LE2 Final Submission]]</f>
        <v>#N/A</v>
      </c>
      <c r="AJ24" s="79" t="e">
        <v>#N/A</v>
      </c>
      <c r="AK24" s="79" t="e">
        <f t="shared" si="0"/>
        <v>#N/A</v>
      </c>
      <c r="AL24" s="374">
        <f>SUM(ERP[[#This Row],[AP01]:[AP06]])-SUM(ERP[[#This Row],[AP01 LE2]:[AP06 LE2]])</f>
        <v>0</v>
      </c>
      <c r="AM24" s="80">
        <v>70000</v>
      </c>
      <c r="AN24" s="79" t="e">
        <f>ERP[[#This Row],[2026 Working Total to Budget/LE]]-ERP[[#This Row],[Giveback]]</f>
        <v>#N/A</v>
      </c>
      <c r="AO24" s="81" t="s">
        <v>1349</v>
      </c>
      <c r="AP24" s="375"/>
      <c r="AQ24" s="375"/>
      <c r="AR24" s="375"/>
      <c r="AS24" s="375">
        <v>0</v>
      </c>
      <c r="AT24" s="375">
        <v>0</v>
      </c>
      <c r="AU24" s="375">
        <v>0</v>
      </c>
      <c r="AV24" s="375">
        <v>0</v>
      </c>
      <c r="AW24" s="375">
        <v>0</v>
      </c>
      <c r="AX24" s="375">
        <v>0</v>
      </c>
      <c r="AY24" s="375">
        <v>0</v>
      </c>
      <c r="AZ24" s="375">
        <v>0</v>
      </c>
      <c r="BA24" s="375">
        <v>0</v>
      </c>
      <c r="BB24" s="375">
        <v>0</v>
      </c>
      <c r="BC24" s="103">
        <v>5833.37</v>
      </c>
      <c r="BD24" s="103">
        <v>5833.33</v>
      </c>
      <c r="BE24" s="103">
        <v>5833.33</v>
      </c>
      <c r="BF24" s="103">
        <v>5833.33</v>
      </c>
      <c r="BG24" s="103">
        <v>5833.33</v>
      </c>
      <c r="BH24" s="103">
        <v>5833.33</v>
      </c>
      <c r="BI24" s="103">
        <v>5833.33</v>
      </c>
      <c r="BJ24" s="103">
        <v>5833.33</v>
      </c>
      <c r="BK24" s="103">
        <v>5833.33</v>
      </c>
      <c r="BL24" s="103">
        <v>5833.33</v>
      </c>
      <c r="BM24" s="103">
        <v>5833.33</v>
      </c>
      <c r="BN24" s="103">
        <v>5833.33</v>
      </c>
      <c r="BO24" s="79">
        <f>SUM(ERP[[#This Row],[2026 AP01]:[2026 AP12]])</f>
        <v>70000.000000000015</v>
      </c>
    </row>
    <row r="25" spans="1:67" ht="15" customHeight="1">
      <c r="A25" s="79" t="s">
        <v>1350</v>
      </c>
      <c r="B25" s="296" t="s">
        <v>153</v>
      </c>
      <c r="C25" s="150" t="s">
        <v>1136</v>
      </c>
      <c r="D25" s="332" t="s">
        <v>1345</v>
      </c>
      <c r="E25" s="383" t="s">
        <v>1344</v>
      </c>
      <c r="F25" s="331" t="s">
        <v>1346</v>
      </c>
      <c r="G25" s="512" t="s">
        <v>49</v>
      </c>
      <c r="H25" s="393" t="s">
        <v>1351</v>
      </c>
      <c r="I25" s="343"/>
      <c r="J25" s="331"/>
      <c r="K25" s="91" t="s">
        <v>154</v>
      </c>
      <c r="L25" s="343"/>
      <c r="M25" s="343"/>
      <c r="N25" s="348"/>
      <c r="O25" s="386" t="s">
        <v>152</v>
      </c>
      <c r="P25" s="387" t="s">
        <v>1352</v>
      </c>
      <c r="Q25" s="432"/>
      <c r="R25" s="358">
        <v>120000</v>
      </c>
      <c r="S25" s="378">
        <v>0</v>
      </c>
      <c r="T25" s="425"/>
      <c r="U25" s="71"/>
      <c r="V25" s="433"/>
      <c r="W25" s="434"/>
      <c r="X25" s="434"/>
      <c r="Y25" s="428" t="s">
        <v>1142</v>
      </c>
      <c r="Z25" s="429">
        <v>0</v>
      </c>
      <c r="AA25" s="429">
        <v>0</v>
      </c>
      <c r="AB25" s="363" t="e">
        <v>#N/A</v>
      </c>
      <c r="AC25" s="388">
        <v>0</v>
      </c>
      <c r="AD25" s="388">
        <v>0</v>
      </c>
      <c r="AE25" s="388">
        <v>0</v>
      </c>
      <c r="AF25" s="388">
        <v>0</v>
      </c>
      <c r="AG25" s="388">
        <v>0</v>
      </c>
      <c r="AH25" s="360" t="e">
        <f t="shared" si="1"/>
        <v>#N/A</v>
      </c>
      <c r="AI25" s="362" t="e">
        <f>ERP[[#This Row],[2026 Working Total]]-ERP[[#This Row],[LE2 Final Submission]]</f>
        <v>#N/A</v>
      </c>
      <c r="AJ25" s="79" t="e">
        <v>#N/A</v>
      </c>
      <c r="AK25" s="79" t="e">
        <f t="shared" si="0"/>
        <v>#N/A</v>
      </c>
      <c r="AL25" s="374">
        <f>SUM(ERP[[#This Row],[AP01]:[AP06]])-SUM(ERP[[#This Row],[AP01 LE2]:[AP06 LE2]])</f>
        <v>0</v>
      </c>
      <c r="AM25" s="80">
        <v>120000</v>
      </c>
      <c r="AN25" s="79" t="e">
        <f>ERP[[#This Row],[2026 Working Total to Budget/LE]]-ERP[[#This Row],[Giveback]]</f>
        <v>#N/A</v>
      </c>
      <c r="AO25" s="81" t="s">
        <v>1349</v>
      </c>
      <c r="AP25" s="375"/>
      <c r="AQ25" s="375"/>
      <c r="AR25" s="375"/>
      <c r="AS25" s="375">
        <v>0</v>
      </c>
      <c r="AT25" s="375">
        <v>0</v>
      </c>
      <c r="AU25" s="375">
        <v>0</v>
      </c>
      <c r="AV25" s="375">
        <v>0</v>
      </c>
      <c r="AW25" s="375">
        <v>0</v>
      </c>
      <c r="AX25" s="375">
        <v>0</v>
      </c>
      <c r="AY25" s="375">
        <v>0</v>
      </c>
      <c r="AZ25" s="375">
        <v>0</v>
      </c>
      <c r="BA25" s="375">
        <v>0</v>
      </c>
      <c r="BB25" s="375">
        <v>0</v>
      </c>
      <c r="BC25" s="103">
        <v>10000</v>
      </c>
      <c r="BD25" s="103">
        <v>10000</v>
      </c>
      <c r="BE25" s="103">
        <v>10000</v>
      </c>
      <c r="BF25" s="103">
        <v>10000</v>
      </c>
      <c r="BG25" s="103">
        <v>10000</v>
      </c>
      <c r="BH25" s="103">
        <v>10000</v>
      </c>
      <c r="BI25" s="103">
        <v>10000</v>
      </c>
      <c r="BJ25" s="103">
        <v>10000</v>
      </c>
      <c r="BK25" s="103">
        <v>10000</v>
      </c>
      <c r="BL25" s="103">
        <v>10000</v>
      </c>
      <c r="BM25" s="103">
        <v>10000</v>
      </c>
      <c r="BN25" s="103">
        <v>10000</v>
      </c>
      <c r="BO25" s="79">
        <f>SUM(ERP[[#This Row],[2026 AP01]:[2026 AP12]])</f>
        <v>120000</v>
      </c>
    </row>
    <row r="26" spans="1:67" ht="15" customHeight="1">
      <c r="A26" s="79" t="s">
        <v>1514</v>
      </c>
      <c r="B26" s="296" t="s">
        <v>238</v>
      </c>
      <c r="C26" s="150" t="s">
        <v>1136</v>
      </c>
      <c r="D26" s="332" t="s">
        <v>1345</v>
      </c>
      <c r="E26" s="383" t="s">
        <v>1515</v>
      </c>
      <c r="F26" s="331" t="s">
        <v>1346</v>
      </c>
      <c r="G26" s="512" t="s">
        <v>49</v>
      </c>
      <c r="H26" s="393" t="s">
        <v>1516</v>
      </c>
      <c r="I26" s="343"/>
      <c r="J26" s="331"/>
      <c r="K26" s="91" t="s">
        <v>239</v>
      </c>
      <c r="L26" s="343"/>
      <c r="M26" s="343"/>
      <c r="N26" s="348"/>
      <c r="O26" s="386" t="s">
        <v>152</v>
      </c>
      <c r="P26" s="389" t="s">
        <v>1517</v>
      </c>
      <c r="Q26" s="432"/>
      <c r="R26" s="358">
        <v>200000</v>
      </c>
      <c r="S26" s="378">
        <v>0</v>
      </c>
      <c r="T26" s="425"/>
      <c r="U26" s="71"/>
      <c r="V26" s="433"/>
      <c r="W26" s="434"/>
      <c r="X26" s="434"/>
      <c r="Y26" s="428" t="s">
        <v>1142</v>
      </c>
      <c r="Z26" s="429">
        <v>0</v>
      </c>
      <c r="AA26" s="429">
        <v>0</v>
      </c>
      <c r="AB26" s="363" t="e">
        <v>#N/A</v>
      </c>
      <c r="AC26" s="388">
        <v>0</v>
      </c>
      <c r="AD26" s="388">
        <v>0</v>
      </c>
      <c r="AE26" s="388">
        <v>0</v>
      </c>
      <c r="AF26" s="388">
        <v>0</v>
      </c>
      <c r="AG26" s="388">
        <v>0</v>
      </c>
      <c r="AH26" s="360" t="e">
        <f t="shared" si="1"/>
        <v>#N/A</v>
      </c>
      <c r="AI26" s="362" t="e">
        <f>ERP[[#This Row],[2026 Working Total]]-ERP[[#This Row],[LE2 Final Submission]]</f>
        <v>#N/A</v>
      </c>
      <c r="AJ26" s="79" t="e">
        <v>#N/A</v>
      </c>
      <c r="AK26" s="79" t="e">
        <f t="shared" si="0"/>
        <v>#N/A</v>
      </c>
      <c r="AL26" s="374">
        <f>SUM(ERP[[#This Row],[AP01]:[AP06]])-SUM(ERP[[#This Row],[AP01 LE2]:[AP06 LE2]])</f>
        <v>0</v>
      </c>
      <c r="AM26" s="80"/>
      <c r="AN26" s="79" t="e">
        <f>ERP[[#This Row],[2026 Working Total to Budget/LE]]-ERP[[#This Row],[Giveback]]</f>
        <v>#N/A</v>
      </c>
      <c r="AO26" s="119" t="s">
        <v>1518</v>
      </c>
      <c r="AP26" s="377"/>
      <c r="AQ26" s="377"/>
      <c r="AR26" s="377"/>
      <c r="AS26" s="377">
        <v>0</v>
      </c>
      <c r="AT26" s="377">
        <v>0</v>
      </c>
      <c r="AU26" s="377">
        <v>0</v>
      </c>
      <c r="AV26" s="377">
        <v>0</v>
      </c>
      <c r="AW26" s="377">
        <v>0</v>
      </c>
      <c r="AX26" s="377">
        <v>0</v>
      </c>
      <c r="AY26" s="377">
        <v>0</v>
      </c>
      <c r="AZ26" s="377">
        <v>0</v>
      </c>
      <c r="BA26" s="377">
        <v>0</v>
      </c>
      <c r="BB26" s="377">
        <v>0</v>
      </c>
      <c r="BC26" s="103">
        <v>16667</v>
      </c>
      <c r="BD26" s="103">
        <v>16667</v>
      </c>
      <c r="BE26" s="103">
        <v>16667</v>
      </c>
      <c r="BF26" s="103">
        <v>16667</v>
      </c>
      <c r="BG26" s="103">
        <v>16667</v>
      </c>
      <c r="BH26" s="103">
        <v>16667</v>
      </c>
      <c r="BI26" s="103">
        <v>16667</v>
      </c>
      <c r="BJ26" s="103">
        <v>16667</v>
      </c>
      <c r="BK26" s="103">
        <v>16666</v>
      </c>
      <c r="BL26" s="103">
        <v>16666</v>
      </c>
      <c r="BM26" s="103">
        <v>16666</v>
      </c>
      <c r="BN26" s="103">
        <v>16666</v>
      </c>
      <c r="BO26" s="79">
        <f>SUM(ERP[[#This Row],[2026 AP01]:[2026 AP12]])</f>
        <v>200000</v>
      </c>
    </row>
    <row r="27" spans="1:67" ht="15" customHeight="1">
      <c r="A27" s="66" t="s">
        <v>2743</v>
      </c>
      <c r="B27" s="66" t="s">
        <v>981</v>
      </c>
      <c r="C27" s="150" t="s">
        <v>1136</v>
      </c>
      <c r="D27" s="150" t="s">
        <v>1345</v>
      </c>
      <c r="E27" s="150" t="s">
        <v>1515</v>
      </c>
      <c r="F27" s="150" t="s">
        <v>1346</v>
      </c>
      <c r="G27" s="511" t="s">
        <v>639</v>
      </c>
      <c r="H27" s="392" t="s">
        <v>2744</v>
      </c>
      <c r="I27" s="343"/>
      <c r="J27" s="343"/>
      <c r="K27" s="70" t="s">
        <v>982</v>
      </c>
      <c r="L27" s="346"/>
      <c r="M27" s="343"/>
      <c r="N27" s="346"/>
      <c r="O27" s="150" t="s">
        <v>152</v>
      </c>
      <c r="P27" s="150"/>
      <c r="Q27" s="403"/>
      <c r="R27" s="406">
        <v>18000</v>
      </c>
      <c r="S27" s="406">
        <v>13500</v>
      </c>
      <c r="T27" s="425"/>
      <c r="U27" s="71"/>
      <c r="V27" s="426"/>
      <c r="W27" s="427"/>
      <c r="X27" s="427"/>
      <c r="Y27" s="428" t="s">
        <v>1142</v>
      </c>
      <c r="Z27" s="429">
        <v>0</v>
      </c>
      <c r="AA27" s="429">
        <v>0</v>
      </c>
      <c r="AB27" s="363" t="e">
        <v>#N/A</v>
      </c>
      <c r="AC27" s="363">
        <v>1500</v>
      </c>
      <c r="AD27" s="363">
        <v>1500</v>
      </c>
      <c r="AE27" s="363">
        <v>1500</v>
      </c>
      <c r="AF27" s="363">
        <v>1500</v>
      </c>
      <c r="AG27" s="363">
        <v>1500</v>
      </c>
      <c r="AH27" s="360" t="e">
        <f t="shared" si="1"/>
        <v>#N/A</v>
      </c>
      <c r="AI27" s="362" t="e">
        <f>ERP[[#This Row],[2026 Working Total]]-ERP[[#This Row],[LE2 Final Submission]]</f>
        <v>#N/A</v>
      </c>
      <c r="AJ27" s="79" t="e">
        <v>#N/A</v>
      </c>
      <c r="AK27" s="79" t="e">
        <f t="shared" si="0"/>
        <v>#N/A</v>
      </c>
      <c r="AL27" s="374">
        <f>SUM(ERP[[#This Row],[AP01]:[AP06]])-SUM(ERP[[#This Row],[AP01 LE2]:[AP06 LE2]])</f>
        <v>-4500</v>
      </c>
      <c r="AM27" s="80"/>
      <c r="AN27" s="79" t="e">
        <f>ERP[[#This Row],[2026 Working Total to Budget/LE]]-ERP[[#This Row],[Giveback]]</f>
        <v>#N/A</v>
      </c>
      <c r="AO27" s="81"/>
      <c r="AP27" s="375"/>
      <c r="AQ27" s="375"/>
      <c r="AR27" s="375"/>
      <c r="AS27" s="375">
        <v>1500</v>
      </c>
      <c r="AT27" s="375">
        <v>1500</v>
      </c>
      <c r="AU27" s="375">
        <v>1500</v>
      </c>
      <c r="AV27" s="375">
        <v>1500</v>
      </c>
      <c r="AW27" s="375">
        <v>1500</v>
      </c>
      <c r="AX27" s="375">
        <v>1500</v>
      </c>
      <c r="AY27" s="375">
        <v>1500</v>
      </c>
      <c r="AZ27" s="375">
        <v>1500</v>
      </c>
      <c r="BA27" s="375">
        <v>1500</v>
      </c>
      <c r="BB27" s="375">
        <v>13500</v>
      </c>
      <c r="BC27" s="79"/>
      <c r="BD27" s="79"/>
      <c r="BE27" s="79"/>
      <c r="BF27" s="79">
        <v>1500</v>
      </c>
      <c r="BG27" s="79">
        <v>1500</v>
      </c>
      <c r="BH27" s="79">
        <v>1500</v>
      </c>
      <c r="BI27" s="79">
        <v>1500</v>
      </c>
      <c r="BJ27" s="79">
        <v>1500</v>
      </c>
      <c r="BK27" s="79">
        <v>1500</v>
      </c>
      <c r="BL27" s="79">
        <v>1500</v>
      </c>
      <c r="BM27" s="79">
        <v>1500</v>
      </c>
      <c r="BN27" s="79">
        <v>1500</v>
      </c>
      <c r="BO27" s="79">
        <v>13500</v>
      </c>
    </row>
    <row r="28" spans="1:67" ht="15" customHeight="1">
      <c r="A28" s="66" t="s">
        <v>1994</v>
      </c>
      <c r="B28" s="66" t="s">
        <v>1995</v>
      </c>
      <c r="C28" s="150" t="s">
        <v>1136</v>
      </c>
      <c r="D28" s="150" t="s">
        <v>1345</v>
      </c>
      <c r="E28" s="150" t="s">
        <v>1437</v>
      </c>
      <c r="F28" s="150" t="s">
        <v>1346</v>
      </c>
      <c r="G28" s="511" t="s">
        <v>389</v>
      </c>
      <c r="H28" s="392" t="s">
        <v>1996</v>
      </c>
      <c r="I28" s="343"/>
      <c r="J28" s="343"/>
      <c r="K28" s="70" t="s">
        <v>518</v>
      </c>
      <c r="L28" s="346"/>
      <c r="M28" s="343"/>
      <c r="N28" s="346"/>
      <c r="O28" s="150" t="s">
        <v>152</v>
      </c>
      <c r="P28" s="150" t="s">
        <v>1997</v>
      </c>
      <c r="Q28" s="403"/>
      <c r="R28" s="406">
        <v>100000.00000000001</v>
      </c>
      <c r="S28" s="406">
        <v>60000</v>
      </c>
      <c r="T28" s="425"/>
      <c r="U28" s="71"/>
      <c r="V28" s="426"/>
      <c r="W28" s="427"/>
      <c r="X28" s="427"/>
      <c r="Y28" s="428" t="s">
        <v>1142</v>
      </c>
      <c r="Z28" s="429">
        <v>0</v>
      </c>
      <c r="AA28" s="429">
        <v>0</v>
      </c>
      <c r="AB28" s="363" t="e">
        <v>#N/A</v>
      </c>
      <c r="AC28" s="363">
        <v>10000</v>
      </c>
      <c r="AD28" s="363">
        <v>10000</v>
      </c>
      <c r="AE28" s="363">
        <v>10000</v>
      </c>
      <c r="AF28" s="363">
        <v>10000</v>
      </c>
      <c r="AG28" s="363">
        <v>10000</v>
      </c>
      <c r="AH28" s="360" t="e">
        <f t="shared" si="1"/>
        <v>#N/A</v>
      </c>
      <c r="AI28" s="362" t="e">
        <f>ERP[[#This Row],[2026 Working Total]]-ERP[[#This Row],[LE2 Final Submission]]</f>
        <v>#N/A</v>
      </c>
      <c r="AJ28" s="79" t="e">
        <v>#N/A</v>
      </c>
      <c r="AK28" s="79" t="e">
        <f t="shared" si="0"/>
        <v>#N/A</v>
      </c>
      <c r="AL28" s="374">
        <f>SUM(ERP[[#This Row],[AP01]:[AP06]])-SUM(ERP[[#This Row],[AP01 LE2]:[AP06 LE2]])</f>
        <v>0</v>
      </c>
      <c r="AM28" s="80"/>
      <c r="AN28" s="79" t="e">
        <f>ERP[[#This Row],[2026 Working Total to Budget/LE]]-ERP[[#This Row],[Giveback]]</f>
        <v>#N/A</v>
      </c>
      <c r="AO28" s="81" t="s">
        <v>1998</v>
      </c>
      <c r="AP28" s="375"/>
      <c r="AQ28" s="375"/>
      <c r="AR28" s="375"/>
      <c r="AS28" s="375"/>
      <c r="AT28" s="375"/>
      <c r="AU28" s="375"/>
      <c r="AV28" s="375">
        <v>10000</v>
      </c>
      <c r="AW28" s="375">
        <v>10000</v>
      </c>
      <c r="AX28" s="375">
        <v>10000</v>
      </c>
      <c r="AY28" s="375">
        <v>10000</v>
      </c>
      <c r="AZ28" s="375">
        <v>10000</v>
      </c>
      <c r="BA28" s="375">
        <v>10000</v>
      </c>
      <c r="BB28" s="375">
        <v>60000</v>
      </c>
      <c r="BC28" s="79"/>
      <c r="BD28" s="79"/>
      <c r="BE28" s="79"/>
      <c r="BF28" s="79">
        <v>10000</v>
      </c>
      <c r="BG28" s="79">
        <v>10000</v>
      </c>
      <c r="BH28" s="79">
        <v>10000</v>
      </c>
      <c r="BI28" s="79">
        <v>10000</v>
      </c>
      <c r="BJ28" s="79">
        <v>10000</v>
      </c>
      <c r="BK28" s="79">
        <v>10000</v>
      </c>
      <c r="BL28" s="79">
        <v>10000</v>
      </c>
      <c r="BM28" s="79">
        <v>10000</v>
      </c>
      <c r="BN28" s="79">
        <v>10000</v>
      </c>
      <c r="BO28" s="79">
        <v>90000</v>
      </c>
    </row>
    <row r="29" spans="1:67" ht="15" customHeight="1">
      <c r="A29" s="66" t="s">
        <v>2220</v>
      </c>
      <c r="B29" s="66" t="s">
        <v>649</v>
      </c>
      <c r="C29" s="150" t="s">
        <v>1136</v>
      </c>
      <c r="D29" s="150" t="s">
        <v>1135</v>
      </c>
      <c r="E29" s="150" t="s">
        <v>1135</v>
      </c>
      <c r="F29" s="150" t="s">
        <v>1137</v>
      </c>
      <c r="G29" s="511" t="s">
        <v>639</v>
      </c>
      <c r="H29" s="392" t="s">
        <v>2221</v>
      </c>
      <c r="I29" s="343"/>
      <c r="J29" s="343"/>
      <c r="K29" s="70" t="s">
        <v>650</v>
      </c>
      <c r="L29" s="346"/>
      <c r="M29" s="343"/>
      <c r="N29" s="346"/>
      <c r="O29" s="150" t="s">
        <v>152</v>
      </c>
      <c r="P29" s="150"/>
      <c r="Q29" s="403"/>
      <c r="R29" s="406">
        <v>0</v>
      </c>
      <c r="S29" s="406">
        <v>2475</v>
      </c>
      <c r="T29" s="425"/>
      <c r="U29" s="71"/>
      <c r="V29" s="426"/>
      <c r="W29" s="427"/>
      <c r="X29" s="427"/>
      <c r="Y29" s="428" t="s">
        <v>1142</v>
      </c>
      <c r="Z29" s="429">
        <v>0</v>
      </c>
      <c r="AA29" s="429">
        <v>0</v>
      </c>
      <c r="AB29" s="363" t="e">
        <v>#N/A</v>
      </c>
      <c r="AC29" s="363">
        <v>413</v>
      </c>
      <c r="AD29" s="363">
        <v>413</v>
      </c>
      <c r="AE29" s="363">
        <v>412</v>
      </c>
      <c r="AF29" s="363">
        <v>412</v>
      </c>
      <c r="AG29" s="363">
        <v>412</v>
      </c>
      <c r="AH29" s="360" t="e">
        <f t="shared" si="1"/>
        <v>#N/A</v>
      </c>
      <c r="AI29" s="362" t="e">
        <f>ERP[[#This Row],[2026 Working Total]]-ERP[[#This Row],[LE2 Final Submission]]</f>
        <v>#N/A</v>
      </c>
      <c r="AJ29" s="79" t="e">
        <v>#N/A</v>
      </c>
      <c r="AK29" s="79" t="e">
        <f t="shared" si="0"/>
        <v>#N/A</v>
      </c>
      <c r="AL29" s="374">
        <f>SUM(ERP[[#This Row],[AP01]:[AP06]])-SUM(ERP[[#This Row],[AP01 LE2]:[AP06 LE2]])</f>
        <v>-825</v>
      </c>
      <c r="AM29" s="80"/>
      <c r="AN29" s="79" t="e">
        <f>ERP[[#This Row],[2026 Working Total to Budget/LE]]-ERP[[#This Row],[Giveback]]</f>
        <v>#N/A</v>
      </c>
      <c r="AO29" s="81"/>
      <c r="AP29" s="375"/>
      <c r="AQ29" s="375"/>
      <c r="AR29" s="375"/>
      <c r="AS29" s="375">
        <v>275</v>
      </c>
      <c r="AT29" s="375">
        <v>275</v>
      </c>
      <c r="AU29" s="375">
        <v>275</v>
      </c>
      <c r="AV29" s="375">
        <v>275</v>
      </c>
      <c r="AW29" s="375">
        <v>275</v>
      </c>
      <c r="AX29" s="375">
        <v>275</v>
      </c>
      <c r="AY29" s="375">
        <v>275</v>
      </c>
      <c r="AZ29" s="375">
        <v>275</v>
      </c>
      <c r="BA29" s="375">
        <v>275</v>
      </c>
      <c r="BB29" s="375">
        <v>2475</v>
      </c>
      <c r="BC29" s="79"/>
      <c r="BD29" s="79"/>
      <c r="BE29" s="79"/>
      <c r="BF29" s="79">
        <v>275</v>
      </c>
      <c r="BG29" s="79">
        <v>275</v>
      </c>
      <c r="BH29" s="79">
        <v>275</v>
      </c>
      <c r="BI29" s="79">
        <v>275</v>
      </c>
      <c r="BJ29" s="79">
        <v>275</v>
      </c>
      <c r="BK29" s="79">
        <v>275</v>
      </c>
      <c r="BL29" s="79">
        <v>275</v>
      </c>
      <c r="BM29" s="79">
        <v>275</v>
      </c>
      <c r="BN29" s="79">
        <v>275</v>
      </c>
      <c r="BO29" s="79">
        <v>2475</v>
      </c>
    </row>
    <row r="30" spans="1:67" ht="15" customHeight="1">
      <c r="A30" s="79" t="s">
        <v>2708</v>
      </c>
      <c r="B30" s="296" t="s">
        <v>961</v>
      </c>
      <c r="C30" s="150" t="s">
        <v>1136</v>
      </c>
      <c r="D30" s="332" t="s">
        <v>1345</v>
      </c>
      <c r="E30" s="382" t="s">
        <v>1480</v>
      </c>
      <c r="F30" s="331" t="s">
        <v>1346</v>
      </c>
      <c r="G30" s="512" t="s">
        <v>639</v>
      </c>
      <c r="H30" s="394" t="s">
        <v>2221</v>
      </c>
      <c r="I30" s="343"/>
      <c r="J30" s="331"/>
      <c r="K30" s="122" t="s">
        <v>650</v>
      </c>
      <c r="L30" s="343"/>
      <c r="M30" s="343"/>
      <c r="N30" s="348"/>
      <c r="O30" s="384" t="s">
        <v>152</v>
      </c>
      <c r="P30" s="387" t="s">
        <v>2706</v>
      </c>
      <c r="Q30" s="432"/>
      <c r="R30" s="358">
        <v>3300</v>
      </c>
      <c r="S30" s="378">
        <v>0</v>
      </c>
      <c r="T30" s="430"/>
      <c r="U30" s="137"/>
      <c r="V30" s="433"/>
      <c r="W30" s="434"/>
      <c r="X30" s="434"/>
      <c r="Y30" s="428" t="s">
        <v>1142</v>
      </c>
      <c r="Z30" s="429">
        <v>0</v>
      </c>
      <c r="AA30" s="429">
        <v>0</v>
      </c>
      <c r="AB30" s="363" t="e">
        <v>#N/A</v>
      </c>
      <c r="AC30" s="388">
        <f t="shared" ref="AC30:AG30" si="5">275-275</f>
        <v>0</v>
      </c>
      <c r="AD30" s="388">
        <f t="shared" si="5"/>
        <v>0</v>
      </c>
      <c r="AE30" s="388">
        <f t="shared" si="5"/>
        <v>0</v>
      </c>
      <c r="AF30" s="388">
        <f t="shared" si="5"/>
        <v>0</v>
      </c>
      <c r="AG30" s="388">
        <f t="shared" si="5"/>
        <v>0</v>
      </c>
      <c r="AH30" s="360" t="e">
        <f t="shared" si="1"/>
        <v>#N/A</v>
      </c>
      <c r="AI30" s="362" t="e">
        <f>ERP[[#This Row],[2026 Working Total]]-ERP[[#This Row],[LE2 Final Submission]]</f>
        <v>#N/A</v>
      </c>
      <c r="AJ30" s="79" t="e">
        <v>#N/A</v>
      </c>
      <c r="AK30" s="79" t="e">
        <f t="shared" si="0"/>
        <v>#N/A</v>
      </c>
      <c r="AL30" s="374">
        <f>SUM(ERP[[#This Row],[AP01]:[AP06]])-SUM(ERP[[#This Row],[AP01 LE2]:[AP06 LE2]])</f>
        <v>0</v>
      </c>
      <c r="AM30" s="80"/>
      <c r="AN30" s="79" t="e">
        <f>ERP[[#This Row],[2026 Working Total to Budget/LE]]-ERP[[#This Row],[Giveback]]</f>
        <v>#N/A</v>
      </c>
      <c r="AO30" s="81"/>
      <c r="AP30" s="375"/>
      <c r="AQ30" s="375"/>
      <c r="AR30" s="375"/>
      <c r="AS30" s="375">
        <v>0</v>
      </c>
      <c r="AT30" s="375">
        <v>0</v>
      </c>
      <c r="AU30" s="375">
        <v>0</v>
      </c>
      <c r="AV30" s="375">
        <v>0</v>
      </c>
      <c r="AW30" s="375">
        <v>0</v>
      </c>
      <c r="AX30" s="375">
        <v>0</v>
      </c>
      <c r="AY30" s="375">
        <v>0</v>
      </c>
      <c r="AZ30" s="375">
        <v>0</v>
      </c>
      <c r="BA30" s="375">
        <v>0</v>
      </c>
      <c r="BB30" s="375">
        <v>0</v>
      </c>
      <c r="BC30" s="103">
        <v>275</v>
      </c>
      <c r="BD30" s="103">
        <v>275</v>
      </c>
      <c r="BE30" s="103">
        <v>275</v>
      </c>
      <c r="BF30" s="103">
        <v>275</v>
      </c>
      <c r="BG30" s="103">
        <v>275</v>
      </c>
      <c r="BH30" s="103">
        <v>275</v>
      </c>
      <c r="BI30" s="103">
        <v>275</v>
      </c>
      <c r="BJ30" s="103">
        <v>275</v>
      </c>
      <c r="BK30" s="103">
        <v>275</v>
      </c>
      <c r="BL30" s="103">
        <v>275</v>
      </c>
      <c r="BM30" s="103">
        <v>275</v>
      </c>
      <c r="BN30" s="103">
        <v>275</v>
      </c>
      <c r="BO30" s="79">
        <f>SUM(ERP[[#This Row],[2026 AP01]:[2026 AP12]])</f>
        <v>3300</v>
      </c>
    </row>
    <row r="31" spans="1:67" ht="15" customHeight="1">
      <c r="A31" s="66" t="s">
        <v>1999</v>
      </c>
      <c r="B31" s="66" t="s">
        <v>2000</v>
      </c>
      <c r="C31" s="150" t="s">
        <v>1136</v>
      </c>
      <c r="D31" s="150" t="s">
        <v>1345</v>
      </c>
      <c r="E31" s="150" t="s">
        <v>1437</v>
      </c>
      <c r="F31" s="150" t="s">
        <v>1346</v>
      </c>
      <c r="G31" s="511" t="s">
        <v>389</v>
      </c>
      <c r="H31" s="392" t="s">
        <v>2001</v>
      </c>
      <c r="I31" s="343"/>
      <c r="J31" s="343"/>
      <c r="K31" s="70" t="s">
        <v>520</v>
      </c>
      <c r="L31" s="346"/>
      <c r="M31" s="343"/>
      <c r="N31" s="346"/>
      <c r="O31" s="150" t="s">
        <v>152</v>
      </c>
      <c r="P31" s="150" t="s">
        <v>1997</v>
      </c>
      <c r="Q31" s="403"/>
      <c r="R31" s="406">
        <v>64999.999999999985</v>
      </c>
      <c r="S31" s="406">
        <v>39000</v>
      </c>
      <c r="T31" s="425"/>
      <c r="U31" s="71"/>
      <c r="V31" s="426"/>
      <c r="W31" s="427"/>
      <c r="X31" s="427"/>
      <c r="Y31" s="428" t="s">
        <v>1142</v>
      </c>
      <c r="Z31" s="429">
        <v>0</v>
      </c>
      <c r="AA31" s="429">
        <v>0</v>
      </c>
      <c r="AB31" s="363" t="e">
        <v>#N/A</v>
      </c>
      <c r="AC31" s="363">
        <v>6500</v>
      </c>
      <c r="AD31" s="363">
        <v>6500</v>
      </c>
      <c r="AE31" s="363">
        <v>6500</v>
      </c>
      <c r="AF31" s="363">
        <v>6500</v>
      </c>
      <c r="AG31" s="363">
        <v>6500</v>
      </c>
      <c r="AH31" s="360" t="e">
        <f t="shared" si="1"/>
        <v>#N/A</v>
      </c>
      <c r="AI31" s="362" t="e">
        <f>ERP[[#This Row],[2026 Working Total]]-ERP[[#This Row],[LE2 Final Submission]]</f>
        <v>#N/A</v>
      </c>
      <c r="AJ31" s="79" t="e">
        <v>#N/A</v>
      </c>
      <c r="AK31" s="79" t="e">
        <f t="shared" si="0"/>
        <v>#N/A</v>
      </c>
      <c r="AL31" s="374">
        <f>SUM(ERP[[#This Row],[AP01]:[AP06]])-SUM(ERP[[#This Row],[AP01 LE2]:[AP06 LE2]])</f>
        <v>0</v>
      </c>
      <c r="AM31" s="80"/>
      <c r="AN31" s="79" t="e">
        <f>ERP[[#This Row],[2026 Working Total to Budget/LE]]-ERP[[#This Row],[Giveback]]</f>
        <v>#N/A</v>
      </c>
      <c r="AO31" s="81" t="s">
        <v>1998</v>
      </c>
      <c r="AP31" s="375"/>
      <c r="AQ31" s="375"/>
      <c r="AR31" s="375"/>
      <c r="AS31" s="375"/>
      <c r="AT31" s="375"/>
      <c r="AU31" s="375"/>
      <c r="AV31" s="375">
        <v>6500</v>
      </c>
      <c r="AW31" s="375">
        <v>6500</v>
      </c>
      <c r="AX31" s="375">
        <v>6500</v>
      </c>
      <c r="AY31" s="375">
        <v>6500</v>
      </c>
      <c r="AZ31" s="375">
        <v>6500</v>
      </c>
      <c r="BA31" s="375">
        <v>6500</v>
      </c>
      <c r="BB31" s="375">
        <v>39000</v>
      </c>
      <c r="BC31" s="79"/>
      <c r="BD31" s="79"/>
      <c r="BE31" s="79"/>
      <c r="BF31" s="79">
        <v>6500</v>
      </c>
      <c r="BG31" s="79">
        <v>6500</v>
      </c>
      <c r="BH31" s="79">
        <v>6500</v>
      </c>
      <c r="BI31" s="79">
        <v>6500</v>
      </c>
      <c r="BJ31" s="79">
        <v>6500</v>
      </c>
      <c r="BK31" s="79">
        <v>6500</v>
      </c>
      <c r="BL31" s="79">
        <v>6500</v>
      </c>
      <c r="BM31" s="79">
        <v>6500</v>
      </c>
      <c r="BN31" s="79">
        <v>6500</v>
      </c>
      <c r="BO31" s="79">
        <v>58500</v>
      </c>
    </row>
    <row r="32" spans="1:67" ht="15" customHeight="1">
      <c r="A32" s="66" t="s">
        <v>2222</v>
      </c>
      <c r="B32" s="66" t="s">
        <v>2223</v>
      </c>
      <c r="C32" s="150" t="s">
        <v>1136</v>
      </c>
      <c r="D32" s="150" t="s">
        <v>1135</v>
      </c>
      <c r="E32" s="150" t="s">
        <v>1165</v>
      </c>
      <c r="F32" s="150" t="s">
        <v>1137</v>
      </c>
      <c r="G32" s="511" t="s">
        <v>639</v>
      </c>
      <c r="H32" s="392" t="s">
        <v>2224</v>
      </c>
      <c r="I32" s="343"/>
      <c r="J32" s="343"/>
      <c r="K32" s="70" t="s">
        <v>652</v>
      </c>
      <c r="L32" s="346"/>
      <c r="M32" s="343"/>
      <c r="N32" s="346"/>
      <c r="O32" s="150" t="s">
        <v>152</v>
      </c>
      <c r="P32" s="150"/>
      <c r="Q32" s="403"/>
      <c r="R32" s="406">
        <v>0</v>
      </c>
      <c r="S32" s="406">
        <v>-118715.37</v>
      </c>
      <c r="T32" s="425"/>
      <c r="U32" s="71"/>
      <c r="V32" s="426"/>
      <c r="W32" s="427">
        <v>-118715.37</v>
      </c>
      <c r="X32" s="431">
        <v>0</v>
      </c>
      <c r="Y32" s="428">
        <v>0</v>
      </c>
      <c r="Z32" s="429">
        <v>0</v>
      </c>
      <c r="AA32" s="429">
        <v>0</v>
      </c>
      <c r="AB32" s="363" t="e">
        <v>#N/A</v>
      </c>
      <c r="AC32" s="360"/>
      <c r="AD32" s="360">
        <v>0</v>
      </c>
      <c r="AE32" s="360">
        <v>0</v>
      </c>
      <c r="AF32" s="360">
        <v>0</v>
      </c>
      <c r="AG32" s="360">
        <v>0</v>
      </c>
      <c r="AH32" s="360" t="e">
        <f t="shared" si="1"/>
        <v>#N/A</v>
      </c>
      <c r="AI32" s="362" t="e">
        <f>ERP[[#This Row],[2026 Working Total]]-ERP[[#This Row],[LE2 Final Submission]]</f>
        <v>#N/A</v>
      </c>
      <c r="AJ32" s="79" t="e">
        <v>#N/A</v>
      </c>
      <c r="AK32" s="79" t="e">
        <f t="shared" si="0"/>
        <v>#N/A</v>
      </c>
      <c r="AL32" s="374">
        <f>SUM(ERP[[#This Row],[AP01]:[AP06]])-SUM(ERP[[#This Row],[AP01 LE2]:[AP06 LE2]])</f>
        <v>0</v>
      </c>
      <c r="AM32" s="80"/>
      <c r="AN32" s="79" t="e">
        <f>ERP[[#This Row],[2026 Working Total to Budget/LE]]-ERP[[#This Row],[Giveback]]</f>
        <v>#N/A</v>
      </c>
      <c r="AO32" s="81"/>
      <c r="AP32" s="375"/>
      <c r="AQ32" s="375">
        <v>-118715.37</v>
      </c>
      <c r="AR32" s="375">
        <v>0</v>
      </c>
      <c r="AS32" s="375">
        <v>0</v>
      </c>
      <c r="AT32" s="375">
        <v>0</v>
      </c>
      <c r="AU32" s="375">
        <v>0</v>
      </c>
      <c r="AV32" s="375">
        <v>0</v>
      </c>
      <c r="AW32" s="375"/>
      <c r="AX32" s="375">
        <v>0</v>
      </c>
      <c r="AY32" s="375">
        <v>0</v>
      </c>
      <c r="AZ32" s="375">
        <v>0</v>
      </c>
      <c r="BA32" s="375">
        <v>0</v>
      </c>
      <c r="BB32" s="375">
        <v>-118715.37</v>
      </c>
      <c r="BC32" s="79"/>
      <c r="BD32" s="79">
        <v>-118715.37</v>
      </c>
      <c r="BE32" s="79">
        <v>0</v>
      </c>
      <c r="BF32" s="79">
        <v>0</v>
      </c>
      <c r="BG32" s="79">
        <v>0</v>
      </c>
      <c r="BH32" s="79">
        <v>0</v>
      </c>
      <c r="BI32" s="79">
        <v>0</v>
      </c>
      <c r="BJ32" s="79">
        <v>0</v>
      </c>
      <c r="BK32" s="79">
        <v>0</v>
      </c>
      <c r="BL32" s="79">
        <v>0</v>
      </c>
      <c r="BM32" s="79">
        <v>0</v>
      </c>
      <c r="BN32" s="79">
        <v>0</v>
      </c>
      <c r="BO32" s="79">
        <v>-118715.37</v>
      </c>
    </row>
    <row r="33" spans="1:67" ht="15" customHeight="1">
      <c r="A33" s="79" t="s">
        <v>1353</v>
      </c>
      <c r="B33" s="296" t="s">
        <v>155</v>
      </c>
      <c r="C33" s="150" t="s">
        <v>1136</v>
      </c>
      <c r="D33" s="332" t="s">
        <v>1345</v>
      </c>
      <c r="E33" s="383" t="s">
        <v>1344</v>
      </c>
      <c r="F33" s="331" t="s">
        <v>1346</v>
      </c>
      <c r="G33" s="512" t="s">
        <v>49</v>
      </c>
      <c r="H33" s="393" t="s">
        <v>1354</v>
      </c>
      <c r="I33" s="343"/>
      <c r="J33" s="331"/>
      <c r="K33" s="91" t="s">
        <v>156</v>
      </c>
      <c r="L33" s="343"/>
      <c r="M33" s="343"/>
      <c r="N33" s="348"/>
      <c r="O33" s="386" t="s">
        <v>152</v>
      </c>
      <c r="P33" s="387" t="s">
        <v>1348</v>
      </c>
      <c r="Q33" s="432"/>
      <c r="R33" s="358">
        <v>70000.000000000015</v>
      </c>
      <c r="S33" s="378">
        <v>0</v>
      </c>
      <c r="T33" s="430"/>
      <c r="U33" s="137"/>
      <c r="V33" s="433"/>
      <c r="W33" s="434"/>
      <c r="X33" s="434"/>
      <c r="Y33" s="428" t="s">
        <v>1142</v>
      </c>
      <c r="Z33" s="429">
        <v>0</v>
      </c>
      <c r="AA33" s="429">
        <v>0</v>
      </c>
      <c r="AB33" s="363" t="e">
        <v>#N/A</v>
      </c>
      <c r="AC33" s="388">
        <v>0</v>
      </c>
      <c r="AD33" s="388">
        <v>0</v>
      </c>
      <c r="AE33" s="388">
        <v>0</v>
      </c>
      <c r="AF33" s="388">
        <v>0</v>
      </c>
      <c r="AG33" s="388">
        <v>0</v>
      </c>
      <c r="AH33" s="360" t="e">
        <f t="shared" si="1"/>
        <v>#N/A</v>
      </c>
      <c r="AI33" s="362" t="e">
        <f>ERP[[#This Row],[2026 Working Total]]-ERP[[#This Row],[LE2 Final Submission]]</f>
        <v>#N/A</v>
      </c>
      <c r="AJ33" s="79" t="e">
        <v>#N/A</v>
      </c>
      <c r="AK33" s="79" t="e">
        <f t="shared" si="0"/>
        <v>#N/A</v>
      </c>
      <c r="AL33" s="374">
        <f>SUM(ERP[[#This Row],[AP01]:[AP06]])-SUM(ERP[[#This Row],[AP01 LE2]:[AP06 LE2]])</f>
        <v>0</v>
      </c>
      <c r="AM33" s="80">
        <v>70000</v>
      </c>
      <c r="AN33" s="79" t="e">
        <f>ERP[[#This Row],[2026 Working Total to Budget/LE]]-ERP[[#This Row],[Giveback]]</f>
        <v>#N/A</v>
      </c>
      <c r="AO33" s="81" t="s">
        <v>1349</v>
      </c>
      <c r="AP33" s="375"/>
      <c r="AQ33" s="375"/>
      <c r="AR33" s="375"/>
      <c r="AS33" s="375">
        <v>0</v>
      </c>
      <c r="AT33" s="375">
        <v>0</v>
      </c>
      <c r="AU33" s="375">
        <v>0</v>
      </c>
      <c r="AV33" s="375">
        <v>0</v>
      </c>
      <c r="AW33" s="375">
        <v>0</v>
      </c>
      <c r="AX33" s="375">
        <v>0</v>
      </c>
      <c r="AY33" s="375">
        <v>0</v>
      </c>
      <c r="AZ33" s="375">
        <v>0</v>
      </c>
      <c r="BA33" s="375">
        <v>0</v>
      </c>
      <c r="BB33" s="375">
        <v>0</v>
      </c>
      <c r="BC33" s="103">
        <v>5833.37</v>
      </c>
      <c r="BD33" s="103">
        <v>5833.33</v>
      </c>
      <c r="BE33" s="103">
        <v>5833.33</v>
      </c>
      <c r="BF33" s="103">
        <v>5833.33</v>
      </c>
      <c r="BG33" s="103">
        <v>5833.33</v>
      </c>
      <c r="BH33" s="103">
        <v>5833.33</v>
      </c>
      <c r="BI33" s="103">
        <v>5833.33</v>
      </c>
      <c r="BJ33" s="103">
        <v>5833.33</v>
      </c>
      <c r="BK33" s="103">
        <v>5833.33</v>
      </c>
      <c r="BL33" s="103">
        <v>5833.33</v>
      </c>
      <c r="BM33" s="103">
        <v>5833.33</v>
      </c>
      <c r="BN33" s="103">
        <v>5833.33</v>
      </c>
      <c r="BO33" s="79">
        <f>SUM(ERP[[#This Row],[2026 AP01]:[2026 AP12]])</f>
        <v>70000.000000000015</v>
      </c>
    </row>
    <row r="34" spans="1:67" ht="15" customHeight="1">
      <c r="A34" s="66" t="s">
        <v>1519</v>
      </c>
      <c r="B34" s="66" t="s">
        <v>240</v>
      </c>
      <c r="C34" s="150" t="s">
        <v>1136</v>
      </c>
      <c r="D34" s="150" t="s">
        <v>1345</v>
      </c>
      <c r="E34" s="150" t="s">
        <v>1515</v>
      </c>
      <c r="F34" s="150" t="s">
        <v>1346</v>
      </c>
      <c r="G34" s="511" t="s">
        <v>49</v>
      </c>
      <c r="H34" s="392" t="s">
        <v>1520</v>
      </c>
      <c r="I34" s="343"/>
      <c r="J34" s="343"/>
      <c r="K34" s="70" t="s">
        <v>241</v>
      </c>
      <c r="L34" s="346"/>
      <c r="M34" s="343"/>
      <c r="N34" s="346"/>
      <c r="O34" s="150" t="s">
        <v>152</v>
      </c>
      <c r="P34" s="150" t="s">
        <v>1521</v>
      </c>
      <c r="Q34" s="403"/>
      <c r="R34" s="406">
        <v>150000</v>
      </c>
      <c r="S34" s="406">
        <v>0</v>
      </c>
      <c r="T34" s="425"/>
      <c r="U34" s="71"/>
      <c r="V34" s="426"/>
      <c r="W34" s="427"/>
      <c r="X34" s="427"/>
      <c r="Y34" s="428" t="s">
        <v>1142</v>
      </c>
      <c r="Z34" s="429">
        <v>0</v>
      </c>
      <c r="AA34" s="429">
        <v>0</v>
      </c>
      <c r="AB34" s="363" t="e">
        <v>#N/A</v>
      </c>
      <c r="AC34" s="363">
        <v>0</v>
      </c>
      <c r="AD34" s="363">
        <v>0</v>
      </c>
      <c r="AE34" s="363">
        <v>0</v>
      </c>
      <c r="AF34" s="363">
        <v>0</v>
      </c>
      <c r="AG34" s="363">
        <v>0</v>
      </c>
      <c r="AH34" s="360" t="e">
        <f t="shared" si="1"/>
        <v>#N/A</v>
      </c>
      <c r="AI34" s="362" t="e">
        <f>ERP[[#This Row],[2026 Working Total]]-ERP[[#This Row],[LE2 Final Submission]]</f>
        <v>#N/A</v>
      </c>
      <c r="AJ34" s="79" t="e">
        <v>#N/A</v>
      </c>
      <c r="AK34" s="79" t="e">
        <f t="shared" si="0"/>
        <v>#N/A</v>
      </c>
      <c r="AL34" s="374">
        <f>SUM(ERP[[#This Row],[AP01]:[AP06]])-SUM(ERP[[#This Row],[AP01 LE2]:[AP06 LE2]])</f>
        <v>0</v>
      </c>
      <c r="AM34" s="80"/>
      <c r="AN34" s="79" t="e">
        <f>ERP[[#This Row],[2026 Working Total to Budget/LE]]-ERP[[#This Row],[Giveback]]</f>
        <v>#N/A</v>
      </c>
      <c r="AO34" s="81"/>
      <c r="AP34" s="375"/>
      <c r="AQ34" s="375"/>
      <c r="AR34" s="375"/>
      <c r="AS34" s="375">
        <v>0</v>
      </c>
      <c r="AT34" s="375">
        <v>0</v>
      </c>
      <c r="AU34" s="375">
        <v>0</v>
      </c>
      <c r="AV34" s="375">
        <v>0</v>
      </c>
      <c r="AW34" s="375">
        <v>0</v>
      </c>
      <c r="AX34" s="375">
        <v>0</v>
      </c>
      <c r="AY34" s="375">
        <v>0</v>
      </c>
      <c r="AZ34" s="375">
        <v>0</v>
      </c>
      <c r="BA34" s="375">
        <v>0</v>
      </c>
      <c r="BB34" s="375">
        <v>0</v>
      </c>
      <c r="BC34" s="79"/>
      <c r="BD34" s="79"/>
      <c r="BE34" s="79"/>
      <c r="BF34" s="79">
        <v>12500</v>
      </c>
      <c r="BG34" s="79">
        <v>12500</v>
      </c>
      <c r="BH34" s="79">
        <v>12500</v>
      </c>
      <c r="BI34" s="79">
        <v>12500</v>
      </c>
      <c r="BJ34" s="79">
        <v>12500</v>
      </c>
      <c r="BK34" s="79">
        <v>12500</v>
      </c>
      <c r="BL34" s="79">
        <v>12500</v>
      </c>
      <c r="BM34" s="79">
        <v>12500</v>
      </c>
      <c r="BN34" s="79">
        <v>12500</v>
      </c>
      <c r="BO34" s="79">
        <v>112500</v>
      </c>
    </row>
    <row r="35" spans="1:67" ht="15" customHeight="1">
      <c r="A35" s="79" t="s">
        <v>1355</v>
      </c>
      <c r="B35" s="296" t="s">
        <v>157</v>
      </c>
      <c r="C35" s="150" t="s">
        <v>1136</v>
      </c>
      <c r="D35" s="332" t="s">
        <v>1345</v>
      </c>
      <c r="E35" s="383" t="s">
        <v>1344</v>
      </c>
      <c r="F35" s="331" t="s">
        <v>1346</v>
      </c>
      <c r="G35" s="512" t="s">
        <v>49</v>
      </c>
      <c r="H35" s="393" t="s">
        <v>1356</v>
      </c>
      <c r="I35" s="343"/>
      <c r="J35" s="331"/>
      <c r="K35" s="91" t="s">
        <v>158</v>
      </c>
      <c r="L35" s="343"/>
      <c r="M35" s="343"/>
      <c r="N35" s="348"/>
      <c r="O35" s="386" t="s">
        <v>152</v>
      </c>
      <c r="P35" s="387" t="s">
        <v>1348</v>
      </c>
      <c r="Q35" s="432"/>
      <c r="R35" s="358">
        <v>140000</v>
      </c>
      <c r="S35" s="378">
        <v>0</v>
      </c>
      <c r="T35" s="425"/>
      <c r="U35" s="71"/>
      <c r="V35" s="433"/>
      <c r="W35" s="434"/>
      <c r="X35" s="434"/>
      <c r="Y35" s="428" t="s">
        <v>1142</v>
      </c>
      <c r="Z35" s="429">
        <v>0</v>
      </c>
      <c r="AA35" s="429">
        <v>0</v>
      </c>
      <c r="AB35" s="363" t="e">
        <v>#N/A</v>
      </c>
      <c r="AC35" s="388">
        <v>0</v>
      </c>
      <c r="AD35" s="388">
        <v>0</v>
      </c>
      <c r="AE35" s="388">
        <v>0</v>
      </c>
      <c r="AF35" s="388">
        <v>0</v>
      </c>
      <c r="AG35" s="388">
        <v>0</v>
      </c>
      <c r="AH35" s="360" t="e">
        <f t="shared" si="1"/>
        <v>#N/A</v>
      </c>
      <c r="AI35" s="362" t="e">
        <f>ERP[[#This Row],[2026 Working Total]]-ERP[[#This Row],[LE2 Final Submission]]</f>
        <v>#N/A</v>
      </c>
      <c r="AJ35" s="79" t="e">
        <v>#N/A</v>
      </c>
      <c r="AK35" s="79" t="e">
        <f t="shared" si="0"/>
        <v>#N/A</v>
      </c>
      <c r="AL35" s="374">
        <f>SUM(ERP[[#This Row],[AP01]:[AP06]])-SUM(ERP[[#This Row],[AP01 LE2]:[AP06 LE2]])</f>
        <v>0</v>
      </c>
      <c r="AM35" s="80">
        <v>140000</v>
      </c>
      <c r="AN35" s="79" t="e">
        <f>ERP[[#This Row],[2026 Working Total to Budget/LE]]-ERP[[#This Row],[Giveback]]</f>
        <v>#N/A</v>
      </c>
      <c r="AO35" s="81" t="s">
        <v>1349</v>
      </c>
      <c r="AP35" s="375"/>
      <c r="AQ35" s="375"/>
      <c r="AR35" s="375"/>
      <c r="AS35" s="375">
        <v>0</v>
      </c>
      <c r="AT35" s="375">
        <v>0</v>
      </c>
      <c r="AU35" s="375">
        <v>0</v>
      </c>
      <c r="AV35" s="375">
        <v>0</v>
      </c>
      <c r="AW35" s="375">
        <v>0</v>
      </c>
      <c r="AX35" s="375">
        <v>0</v>
      </c>
      <c r="AY35" s="375">
        <v>0</v>
      </c>
      <c r="AZ35" s="375">
        <v>0</v>
      </c>
      <c r="BA35" s="375">
        <v>0</v>
      </c>
      <c r="BB35" s="375">
        <v>0</v>
      </c>
      <c r="BC35" s="103">
        <v>11666.63</v>
      </c>
      <c r="BD35" s="103">
        <v>11666.67</v>
      </c>
      <c r="BE35" s="103">
        <v>11666.67</v>
      </c>
      <c r="BF35" s="103">
        <v>11666.67</v>
      </c>
      <c r="BG35" s="103">
        <v>11666.67</v>
      </c>
      <c r="BH35" s="103">
        <v>11666.67</v>
      </c>
      <c r="BI35" s="103">
        <v>11666.67</v>
      </c>
      <c r="BJ35" s="103">
        <v>11666.67</v>
      </c>
      <c r="BK35" s="103">
        <v>11666.67</v>
      </c>
      <c r="BL35" s="103">
        <v>11666.67</v>
      </c>
      <c r="BM35" s="103">
        <v>11666.67</v>
      </c>
      <c r="BN35" s="103">
        <v>11666.67</v>
      </c>
      <c r="BO35" s="79">
        <f>SUM(ERP[[#This Row],[2026 AP01]:[2026 AP12]])</f>
        <v>140000</v>
      </c>
    </row>
    <row r="36" spans="1:67" ht="15" customHeight="1">
      <c r="A36" s="79" t="s">
        <v>1522</v>
      </c>
      <c r="B36" s="296" t="s">
        <v>242</v>
      </c>
      <c r="C36" s="150" t="s">
        <v>1136</v>
      </c>
      <c r="D36" s="332" t="s">
        <v>1345</v>
      </c>
      <c r="E36" s="383" t="s">
        <v>1515</v>
      </c>
      <c r="F36" s="331" t="s">
        <v>1346</v>
      </c>
      <c r="G36" s="512" t="s">
        <v>49</v>
      </c>
      <c r="H36" s="393" t="s">
        <v>1523</v>
      </c>
      <c r="I36" s="343"/>
      <c r="J36" s="331"/>
      <c r="K36" s="91" t="s">
        <v>243</v>
      </c>
      <c r="L36" s="343"/>
      <c r="M36" s="343"/>
      <c r="N36" s="348"/>
      <c r="O36" s="386" t="s">
        <v>152</v>
      </c>
      <c r="P36" s="389" t="s">
        <v>1348</v>
      </c>
      <c r="Q36" s="432"/>
      <c r="R36" s="358">
        <v>-199716</v>
      </c>
      <c r="S36" s="378">
        <v>-149787</v>
      </c>
      <c r="T36" s="430"/>
      <c r="U36" s="137"/>
      <c r="V36" s="433"/>
      <c r="W36" s="434"/>
      <c r="X36" s="434"/>
      <c r="Y36" s="428" t="s">
        <v>1142</v>
      </c>
      <c r="Z36" s="429">
        <v>0</v>
      </c>
      <c r="AA36" s="429">
        <v>0</v>
      </c>
      <c r="AB36" s="363" t="e">
        <v>#N/A</v>
      </c>
      <c r="AC36" s="388">
        <v>-16643</v>
      </c>
      <c r="AD36" s="388">
        <v>-16643</v>
      </c>
      <c r="AE36" s="388">
        <v>-16643</v>
      </c>
      <c r="AF36" s="388">
        <v>-16643</v>
      </c>
      <c r="AG36" s="388">
        <v>-16643</v>
      </c>
      <c r="AH36" s="360" t="e">
        <f t="shared" si="1"/>
        <v>#N/A</v>
      </c>
      <c r="AI36" s="362" t="e">
        <f>ERP[[#This Row],[2026 Working Total]]-ERP[[#This Row],[LE2 Final Submission]]</f>
        <v>#N/A</v>
      </c>
      <c r="AJ36" s="79" t="e">
        <v>#N/A</v>
      </c>
      <c r="AK36" s="79" t="e">
        <f t="shared" si="0"/>
        <v>#N/A</v>
      </c>
      <c r="AL36" s="374">
        <f>SUM(ERP[[#This Row],[AP01]:[AP06]])-SUM(ERP[[#This Row],[AP01 LE2]:[AP06 LE2]])</f>
        <v>49929</v>
      </c>
      <c r="AM36" s="80"/>
      <c r="AN36" s="79" t="e">
        <f>ERP[[#This Row],[2026 Working Total to Budget/LE]]-ERP[[#This Row],[Giveback]]</f>
        <v>#N/A</v>
      </c>
      <c r="AO36" s="81"/>
      <c r="AP36" s="375"/>
      <c r="AQ36" s="375"/>
      <c r="AR36" s="375"/>
      <c r="AS36" s="375">
        <v>-16643</v>
      </c>
      <c r="AT36" s="375">
        <v>-16643</v>
      </c>
      <c r="AU36" s="375">
        <v>-16643</v>
      </c>
      <c r="AV36" s="375">
        <v>-16643</v>
      </c>
      <c r="AW36" s="375">
        <v>-16643</v>
      </c>
      <c r="AX36" s="375">
        <v>-16643</v>
      </c>
      <c r="AY36" s="375">
        <v>-16643</v>
      </c>
      <c r="AZ36" s="375">
        <v>-16643</v>
      </c>
      <c r="BA36" s="375">
        <v>-16643</v>
      </c>
      <c r="BB36" s="375">
        <v>-149787</v>
      </c>
      <c r="BC36" s="103">
        <v>-16643</v>
      </c>
      <c r="BD36" s="103">
        <v>-16643</v>
      </c>
      <c r="BE36" s="103">
        <v>-16643</v>
      </c>
      <c r="BF36" s="103">
        <v>-16643</v>
      </c>
      <c r="BG36" s="103">
        <v>-16643</v>
      </c>
      <c r="BH36" s="103">
        <v>-16643</v>
      </c>
      <c r="BI36" s="103">
        <v>-16643</v>
      </c>
      <c r="BJ36" s="103">
        <v>-16643</v>
      </c>
      <c r="BK36" s="103">
        <v>-16643</v>
      </c>
      <c r="BL36" s="103">
        <v>-16643</v>
      </c>
      <c r="BM36" s="103">
        <v>-16643</v>
      </c>
      <c r="BN36" s="103">
        <v>-16643</v>
      </c>
      <c r="BO36" s="79">
        <f>SUM(ERP[[#This Row],[2026 AP01]:[2026 AP12]])</f>
        <v>-199716</v>
      </c>
    </row>
    <row r="37" spans="1:67" ht="15" customHeight="1">
      <c r="A37" s="79" t="s">
        <v>1525</v>
      </c>
      <c r="B37" s="296" t="s">
        <v>244</v>
      </c>
      <c r="C37" s="150" t="s">
        <v>1136</v>
      </c>
      <c r="D37" s="332" t="s">
        <v>1345</v>
      </c>
      <c r="E37" s="383" t="s">
        <v>1515</v>
      </c>
      <c r="F37" s="331" t="s">
        <v>1346</v>
      </c>
      <c r="G37" s="512" t="s">
        <v>49</v>
      </c>
      <c r="H37" s="393" t="s">
        <v>1526</v>
      </c>
      <c r="I37" s="343"/>
      <c r="J37" s="331"/>
      <c r="K37" s="91" t="s">
        <v>245</v>
      </c>
      <c r="L37" s="343"/>
      <c r="M37" s="343"/>
      <c r="N37" s="348"/>
      <c r="O37" s="386" t="s">
        <v>152</v>
      </c>
      <c r="P37" s="389" t="s">
        <v>1348</v>
      </c>
      <c r="Q37" s="432"/>
      <c r="R37" s="358">
        <v>-289999.99999999988</v>
      </c>
      <c r="S37" s="378">
        <v>-217500.02999999997</v>
      </c>
      <c r="T37" s="425"/>
      <c r="U37" s="71"/>
      <c r="V37" s="433"/>
      <c r="W37" s="434"/>
      <c r="X37" s="434"/>
      <c r="Y37" s="428" t="s">
        <v>1142</v>
      </c>
      <c r="Z37" s="429">
        <v>0</v>
      </c>
      <c r="AA37" s="429">
        <v>0</v>
      </c>
      <c r="AB37" s="363" t="e">
        <v>#N/A</v>
      </c>
      <c r="AC37" s="388">
        <v>-24166.67</v>
      </c>
      <c r="AD37" s="388">
        <v>-24166.67</v>
      </c>
      <c r="AE37" s="388">
        <v>-24166.67</v>
      </c>
      <c r="AF37" s="388">
        <v>-24166.67</v>
      </c>
      <c r="AG37" s="388">
        <v>-24166.67</v>
      </c>
      <c r="AH37" s="360" t="e">
        <f t="shared" si="1"/>
        <v>#N/A</v>
      </c>
      <c r="AI37" s="362" t="e">
        <f>ERP[[#This Row],[2026 Working Total]]-ERP[[#This Row],[LE2 Final Submission]]</f>
        <v>#N/A</v>
      </c>
      <c r="AJ37" s="79" t="e">
        <v>#N/A</v>
      </c>
      <c r="AK37" s="79" t="e">
        <f t="shared" si="0"/>
        <v>#N/A</v>
      </c>
      <c r="AL37" s="374">
        <f>SUM(ERP[[#This Row],[AP01]:[AP06]])-SUM(ERP[[#This Row],[AP01 LE2]:[AP06 LE2]])</f>
        <v>72500.009999999995</v>
      </c>
      <c r="AM37" s="80"/>
      <c r="AN37" s="79" t="e">
        <f>ERP[[#This Row],[2026 Working Total to Budget/LE]]-ERP[[#This Row],[Giveback]]</f>
        <v>#N/A</v>
      </c>
      <c r="AO37" s="81"/>
      <c r="AP37" s="375"/>
      <c r="AQ37" s="375"/>
      <c r="AR37" s="375"/>
      <c r="AS37" s="375">
        <v>-24166.67</v>
      </c>
      <c r="AT37" s="375">
        <v>-24166.67</v>
      </c>
      <c r="AU37" s="375">
        <v>-24166.67</v>
      </c>
      <c r="AV37" s="375">
        <v>-24166.67</v>
      </c>
      <c r="AW37" s="375">
        <v>-24166.67</v>
      </c>
      <c r="AX37" s="375">
        <v>-24166.67</v>
      </c>
      <c r="AY37" s="375">
        <v>-24166.67</v>
      </c>
      <c r="AZ37" s="375">
        <v>-24166.67</v>
      </c>
      <c r="BA37" s="375">
        <v>-24166.67</v>
      </c>
      <c r="BB37" s="375">
        <v>-217500.02999999997</v>
      </c>
      <c r="BC37" s="103">
        <v>-24166.63</v>
      </c>
      <c r="BD37" s="103">
        <v>-24166.67</v>
      </c>
      <c r="BE37" s="103">
        <v>-24166.67</v>
      </c>
      <c r="BF37" s="103">
        <v>-24166.67</v>
      </c>
      <c r="BG37" s="103">
        <v>-24166.67</v>
      </c>
      <c r="BH37" s="103">
        <v>-24166.67</v>
      </c>
      <c r="BI37" s="103">
        <v>-24166.67</v>
      </c>
      <c r="BJ37" s="103">
        <v>-24166.67</v>
      </c>
      <c r="BK37" s="103">
        <v>-24166.67</v>
      </c>
      <c r="BL37" s="103">
        <v>-24166.67</v>
      </c>
      <c r="BM37" s="103">
        <v>-24166.67</v>
      </c>
      <c r="BN37" s="103">
        <v>-24166.67</v>
      </c>
      <c r="BO37" s="79">
        <f>SUM(ERP[[#This Row],[2026 AP01]:[2026 AP12]])</f>
        <v>-289999.99999999988</v>
      </c>
    </row>
    <row r="38" spans="1:67" ht="15" customHeight="1">
      <c r="A38" s="66" t="s">
        <v>2709</v>
      </c>
      <c r="B38" s="66" t="s">
        <v>962</v>
      </c>
      <c r="C38" s="150" t="s">
        <v>1136</v>
      </c>
      <c r="D38" s="150" t="s">
        <v>1345</v>
      </c>
      <c r="E38" s="150" t="s">
        <v>1480</v>
      </c>
      <c r="F38" s="150" t="s">
        <v>1346</v>
      </c>
      <c r="G38" s="511" t="s">
        <v>639</v>
      </c>
      <c r="H38" s="392" t="s">
        <v>2710</v>
      </c>
      <c r="I38" s="343"/>
      <c r="J38" s="343"/>
      <c r="K38" s="70" t="s">
        <v>963</v>
      </c>
      <c r="L38" s="346"/>
      <c r="M38" s="343"/>
      <c r="N38" s="346"/>
      <c r="O38" s="150" t="s">
        <v>152</v>
      </c>
      <c r="P38" s="150"/>
      <c r="Q38" s="403"/>
      <c r="R38" s="406">
        <v>0</v>
      </c>
      <c r="S38" s="406">
        <v>24000</v>
      </c>
      <c r="T38" s="425"/>
      <c r="U38" s="71"/>
      <c r="V38" s="426">
        <v>24000</v>
      </c>
      <c r="W38" s="431">
        <v>0</v>
      </c>
      <c r="X38" s="431">
        <v>0</v>
      </c>
      <c r="Y38" s="428">
        <v>5.0699999999999363</v>
      </c>
      <c r="Z38" s="429">
        <v>-7.8299999999999272</v>
      </c>
      <c r="AA38" s="429">
        <v>-15479.01</v>
      </c>
      <c r="AB38" s="363" t="e">
        <v>#N/A</v>
      </c>
      <c r="AC38" s="360">
        <v>0</v>
      </c>
      <c r="AD38" s="360">
        <v>0</v>
      </c>
      <c r="AE38" s="360">
        <v>0</v>
      </c>
      <c r="AF38" s="360">
        <v>0</v>
      </c>
      <c r="AG38" s="360">
        <v>0</v>
      </c>
      <c r="AH38" s="360" t="e">
        <f t="shared" si="1"/>
        <v>#N/A</v>
      </c>
      <c r="AI38" s="362" t="e">
        <f>ERP[[#This Row],[2026 Working Total]]-ERP[[#This Row],[LE2 Final Submission]]</f>
        <v>#N/A</v>
      </c>
      <c r="AJ38" s="79" t="e">
        <v>#N/A</v>
      </c>
      <c r="AK38" s="79" t="e">
        <f t="shared" si="0"/>
        <v>#N/A</v>
      </c>
      <c r="AL38" s="374">
        <f>SUM(ERP[[#This Row],[AP01]:[AP06]])-SUM(ERP[[#This Row],[AP01 LE2]:[AP06 LE2]])</f>
        <v>-15481.770000000002</v>
      </c>
      <c r="AM38" s="80"/>
      <c r="AN38" s="79" t="e">
        <f>ERP[[#This Row],[2026 Working Total to Budget/LE]]-ERP[[#This Row],[Giveback]]</f>
        <v>#N/A</v>
      </c>
      <c r="AO38" s="81"/>
      <c r="AP38" s="375">
        <v>24000</v>
      </c>
      <c r="AQ38" s="375">
        <v>0</v>
      </c>
      <c r="AR38" s="375">
        <v>0</v>
      </c>
      <c r="AS38" s="375">
        <v>0</v>
      </c>
      <c r="AT38" s="375">
        <v>0</v>
      </c>
      <c r="AU38" s="375">
        <v>0</v>
      </c>
      <c r="AV38" s="375">
        <v>0</v>
      </c>
      <c r="AW38" s="375">
        <v>0</v>
      </c>
      <c r="AX38" s="375">
        <v>0</v>
      </c>
      <c r="AY38" s="375">
        <v>0</v>
      </c>
      <c r="AZ38" s="375">
        <v>0</v>
      </c>
      <c r="BA38" s="375">
        <v>0</v>
      </c>
      <c r="BB38" s="375">
        <v>24000</v>
      </c>
      <c r="BC38" s="79">
        <v>24000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24000</v>
      </c>
    </row>
    <row r="39" spans="1:67" ht="15" customHeight="1">
      <c r="A39" s="66" t="s">
        <v>2002</v>
      </c>
      <c r="B39" s="66" t="s">
        <v>2003</v>
      </c>
      <c r="C39" s="150" t="s">
        <v>1136</v>
      </c>
      <c r="D39" s="150" t="s">
        <v>1345</v>
      </c>
      <c r="E39" s="150" t="s">
        <v>2004</v>
      </c>
      <c r="F39" s="150" t="s">
        <v>1346</v>
      </c>
      <c r="G39" s="511" t="s">
        <v>389</v>
      </c>
      <c r="H39" s="392" t="s">
        <v>2005</v>
      </c>
      <c r="I39" s="343"/>
      <c r="J39" s="343"/>
      <c r="K39" s="70" t="s">
        <v>593</v>
      </c>
      <c r="L39" s="346"/>
      <c r="M39" s="343"/>
      <c r="N39" s="346"/>
      <c r="O39" s="150" t="s">
        <v>152</v>
      </c>
      <c r="P39" s="150"/>
      <c r="Q39" s="403"/>
      <c r="R39" s="406">
        <v>31560</v>
      </c>
      <c r="S39" s="406">
        <v>23670</v>
      </c>
      <c r="T39" s="425"/>
      <c r="U39" s="71"/>
      <c r="V39" s="426"/>
      <c r="W39" s="427"/>
      <c r="X39" s="427"/>
      <c r="Y39" s="428" t="s">
        <v>1142</v>
      </c>
      <c r="Z39" s="429">
        <v>0</v>
      </c>
      <c r="AA39" s="429">
        <v>0</v>
      </c>
      <c r="AB39" s="363" t="e">
        <v>#N/A</v>
      </c>
      <c r="AC39" s="363">
        <v>2630</v>
      </c>
      <c r="AD39" s="363">
        <v>2630</v>
      </c>
      <c r="AE39" s="363">
        <v>2630</v>
      </c>
      <c r="AF39" s="363">
        <v>2630</v>
      </c>
      <c r="AG39" s="363">
        <v>2630</v>
      </c>
      <c r="AH39" s="360" t="e">
        <f t="shared" si="1"/>
        <v>#N/A</v>
      </c>
      <c r="AI39" s="362" t="e">
        <f>ERP[[#This Row],[2026 Working Total]]-ERP[[#This Row],[LE2 Final Submission]]</f>
        <v>#N/A</v>
      </c>
      <c r="AJ39" s="79" t="e">
        <v>#N/A</v>
      </c>
      <c r="AK39" s="79" t="e">
        <f t="shared" si="0"/>
        <v>#N/A</v>
      </c>
      <c r="AL39" s="374">
        <f>SUM(ERP[[#This Row],[AP01]:[AP06]])-SUM(ERP[[#This Row],[AP01 LE2]:[AP06 LE2]])</f>
        <v>-7890</v>
      </c>
      <c r="AM39" s="80"/>
      <c r="AN39" s="79" t="e">
        <f>ERP[[#This Row],[2026 Working Total to Budget/LE]]-ERP[[#This Row],[Giveback]]</f>
        <v>#N/A</v>
      </c>
      <c r="AO39" s="81"/>
      <c r="AP39" s="375"/>
      <c r="AQ39" s="375"/>
      <c r="AR39" s="375"/>
      <c r="AS39" s="375">
        <v>2630</v>
      </c>
      <c r="AT39" s="375">
        <v>2630</v>
      </c>
      <c r="AU39" s="375">
        <v>2630</v>
      </c>
      <c r="AV39" s="375">
        <v>2630</v>
      </c>
      <c r="AW39" s="375">
        <v>2630</v>
      </c>
      <c r="AX39" s="375">
        <v>2630</v>
      </c>
      <c r="AY39" s="375">
        <v>2630</v>
      </c>
      <c r="AZ39" s="375">
        <v>2630</v>
      </c>
      <c r="BA39" s="375">
        <v>2630</v>
      </c>
      <c r="BB39" s="375">
        <v>23670</v>
      </c>
      <c r="BC39" s="79"/>
      <c r="BD39" s="79"/>
      <c r="BE39" s="79"/>
      <c r="BF39" s="79">
        <v>2630</v>
      </c>
      <c r="BG39" s="79">
        <v>2630</v>
      </c>
      <c r="BH39" s="79">
        <v>2630</v>
      </c>
      <c r="BI39" s="79">
        <v>2630</v>
      </c>
      <c r="BJ39" s="79">
        <v>2630</v>
      </c>
      <c r="BK39" s="79">
        <v>2630</v>
      </c>
      <c r="BL39" s="79">
        <v>2630</v>
      </c>
      <c r="BM39" s="79">
        <v>2630</v>
      </c>
      <c r="BN39" s="79">
        <v>2630</v>
      </c>
      <c r="BO39" s="79">
        <v>23670</v>
      </c>
    </row>
    <row r="40" spans="1:67" ht="15" customHeight="1">
      <c r="A40" s="79" t="s">
        <v>2225</v>
      </c>
      <c r="B40" s="296" t="s">
        <v>2226</v>
      </c>
      <c r="C40" s="150" t="s">
        <v>1136</v>
      </c>
      <c r="D40" s="332" t="s">
        <v>1135</v>
      </c>
      <c r="E40" s="383" t="s">
        <v>1156</v>
      </c>
      <c r="F40" s="333" t="s">
        <v>1137</v>
      </c>
      <c r="G40" s="512" t="s">
        <v>639</v>
      </c>
      <c r="H40" s="393" t="s">
        <v>2227</v>
      </c>
      <c r="I40" s="343"/>
      <c r="J40" s="333"/>
      <c r="K40" s="91" t="s">
        <v>654</v>
      </c>
      <c r="L40" s="347"/>
      <c r="M40" s="343"/>
      <c r="N40" s="348"/>
      <c r="O40" s="386" t="s">
        <v>655</v>
      </c>
      <c r="P40" s="387" t="s">
        <v>2228</v>
      </c>
      <c r="Q40" s="432"/>
      <c r="R40" s="358">
        <v>282999.99999599991</v>
      </c>
      <c r="S40" s="378">
        <v>0</v>
      </c>
      <c r="T40" s="425"/>
      <c r="U40" s="71"/>
      <c r="V40" s="433"/>
      <c r="W40" s="434"/>
      <c r="X40" s="434"/>
      <c r="Y40" s="428" t="s">
        <v>1142</v>
      </c>
      <c r="Z40" s="429">
        <v>0</v>
      </c>
      <c r="AA40" s="429">
        <v>0</v>
      </c>
      <c r="AB40" s="363" t="e">
        <v>#N/A</v>
      </c>
      <c r="AC40" s="388">
        <v>0</v>
      </c>
      <c r="AD40" s="388">
        <v>0</v>
      </c>
      <c r="AE40" s="388">
        <v>0</v>
      </c>
      <c r="AF40" s="388">
        <v>0</v>
      </c>
      <c r="AG40" s="388">
        <v>0</v>
      </c>
      <c r="AH40" s="360" t="e">
        <f t="shared" si="1"/>
        <v>#N/A</v>
      </c>
      <c r="AI40" s="362" t="e">
        <f>ERP[[#This Row],[2026 Working Total]]-ERP[[#This Row],[LE2 Final Submission]]</f>
        <v>#N/A</v>
      </c>
      <c r="AJ40" s="79" t="e">
        <v>#N/A</v>
      </c>
      <c r="AK40" s="79" t="e">
        <f t="shared" si="0"/>
        <v>#N/A</v>
      </c>
      <c r="AL40" s="374">
        <f>SUM(ERP[[#This Row],[AP01]:[AP06]])-SUM(ERP[[#This Row],[AP01 LE2]:[AP06 LE2]])</f>
        <v>0</v>
      </c>
      <c r="AM40" s="80">
        <v>-283000</v>
      </c>
      <c r="AN40" s="79" t="e">
        <f>ERP[[#This Row],[2026 Working Total to Budget/LE]]-ERP[[#This Row],[Giveback]]</f>
        <v>#N/A</v>
      </c>
      <c r="AO40" s="128" t="s">
        <v>2229</v>
      </c>
      <c r="AP40" s="376"/>
      <c r="AQ40" s="376"/>
      <c r="AR40" s="376"/>
      <c r="AS40" s="376">
        <v>0</v>
      </c>
      <c r="AT40" s="376">
        <v>0</v>
      </c>
      <c r="AU40" s="376">
        <v>0</v>
      </c>
      <c r="AV40" s="376">
        <v>0</v>
      </c>
      <c r="AW40" s="376">
        <v>0</v>
      </c>
      <c r="AX40" s="376">
        <v>0</v>
      </c>
      <c r="AY40" s="376">
        <v>0</v>
      </c>
      <c r="AZ40" s="376">
        <v>0</v>
      </c>
      <c r="BA40" s="376">
        <v>0</v>
      </c>
      <c r="BB40" s="376">
        <v>0</v>
      </c>
      <c r="BC40" s="103">
        <v>23583.333332999999</v>
      </c>
      <c r="BD40" s="103">
        <v>23583.333332999999</v>
      </c>
      <c r="BE40" s="103">
        <v>23583.333332999999</v>
      </c>
      <c r="BF40" s="103">
        <v>23583.333332999999</v>
      </c>
      <c r="BG40" s="103">
        <v>23583.333332999999</v>
      </c>
      <c r="BH40" s="103">
        <v>23583.333332999999</v>
      </c>
      <c r="BI40" s="103">
        <v>23583.333332999999</v>
      </c>
      <c r="BJ40" s="103">
        <v>23583.333332999999</v>
      </c>
      <c r="BK40" s="103">
        <v>23583.333332999999</v>
      </c>
      <c r="BL40" s="103">
        <v>23583.333332999999</v>
      </c>
      <c r="BM40" s="103">
        <v>23583.333332999999</v>
      </c>
      <c r="BN40" s="103">
        <v>23583.333332999999</v>
      </c>
      <c r="BO40" s="79">
        <f>SUM(ERP[[#This Row],[2026 AP01]:[2026 AP12]])</f>
        <v>282999.99999599991</v>
      </c>
    </row>
    <row r="41" spans="1:67" ht="15" customHeight="1">
      <c r="A41" s="129" t="s">
        <v>2711</v>
      </c>
      <c r="B41" s="66" t="s">
        <v>964</v>
      </c>
      <c r="C41" s="150" t="s">
        <v>1136</v>
      </c>
      <c r="D41" s="150" t="s">
        <v>1345</v>
      </c>
      <c r="E41" s="150" t="s">
        <v>1480</v>
      </c>
      <c r="F41" s="150" t="s">
        <v>1480</v>
      </c>
      <c r="G41" s="513" t="s">
        <v>639</v>
      </c>
      <c r="H41" s="392" t="s">
        <v>2660</v>
      </c>
      <c r="I41" s="343"/>
      <c r="J41" s="331"/>
      <c r="K41" s="70" t="s">
        <v>937</v>
      </c>
      <c r="L41" s="343" t="s">
        <v>1139</v>
      </c>
      <c r="M41" s="343"/>
      <c r="N41" s="346"/>
      <c r="O41" s="150" t="s">
        <v>152</v>
      </c>
      <c r="P41" s="150" t="s">
        <v>2712</v>
      </c>
      <c r="Q41" s="405"/>
      <c r="R41" s="359"/>
      <c r="S41" s="380">
        <v>0</v>
      </c>
      <c r="T41" s="425"/>
      <c r="U41" s="71"/>
      <c r="V41" s="426"/>
      <c r="W41" s="427"/>
      <c r="X41" s="427"/>
      <c r="Y41" s="428" t="s">
        <v>1142</v>
      </c>
      <c r="Z41" s="429">
        <v>0</v>
      </c>
      <c r="AA41" s="429">
        <v>0</v>
      </c>
      <c r="AB41" s="363" t="e">
        <v>#N/A</v>
      </c>
      <c r="AC41" s="363"/>
      <c r="AD41" s="363"/>
      <c r="AE41" s="363">
        <f>15000-15000</f>
        <v>0</v>
      </c>
      <c r="AF41" s="363">
        <f>15000-15000</f>
        <v>0</v>
      </c>
      <c r="AG41" s="363">
        <f>15000-15000</f>
        <v>0</v>
      </c>
      <c r="AH41" s="360" t="e">
        <f t="shared" si="1"/>
        <v>#N/A</v>
      </c>
      <c r="AI41" s="362" t="e">
        <f>ERP[[#This Row],[2026 Working Total]]-ERP[[#This Row],[LE2 Final Submission]]</f>
        <v>#N/A</v>
      </c>
      <c r="AJ41" s="79" t="e">
        <v>#N/A</v>
      </c>
      <c r="AK41" s="79" t="e">
        <f t="shared" si="0"/>
        <v>#N/A</v>
      </c>
      <c r="AL41" s="374">
        <f>SUM(ERP[[#This Row],[AP01]:[AP06]])-SUM(ERP[[#This Row],[AP01 LE2]:[AP06 LE2]])</f>
        <v>0</v>
      </c>
      <c r="AM41" s="80"/>
      <c r="AN41" s="79" t="e">
        <f>ERP[[#This Row],[2026 Working Total to Budget/LE]]-ERP[[#This Row],[Giveback]]</f>
        <v>#N/A</v>
      </c>
      <c r="AO41" s="81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>
        <v>0</v>
      </c>
      <c r="AZ41" s="375">
        <v>0</v>
      </c>
      <c r="BA41" s="375">
        <v>0</v>
      </c>
      <c r="BB41" s="375">
        <v>0</v>
      </c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</row>
    <row r="42" spans="1:67" ht="15" customHeight="1">
      <c r="A42" s="66" t="s">
        <v>2659</v>
      </c>
      <c r="B42" s="66" t="s">
        <v>936</v>
      </c>
      <c r="C42" s="150" t="s">
        <v>1136</v>
      </c>
      <c r="D42" s="150" t="s">
        <v>1345</v>
      </c>
      <c r="E42" s="150" t="s">
        <v>1345</v>
      </c>
      <c r="F42" s="150" t="s">
        <v>1346</v>
      </c>
      <c r="G42" s="511" t="s">
        <v>639</v>
      </c>
      <c r="H42" s="392" t="s">
        <v>2660</v>
      </c>
      <c r="I42" s="343"/>
      <c r="J42" s="343"/>
      <c r="K42" s="70" t="s">
        <v>937</v>
      </c>
      <c r="L42" s="343" t="s">
        <v>1139</v>
      </c>
      <c r="M42" s="343"/>
      <c r="N42" s="346"/>
      <c r="O42" s="150" t="s">
        <v>152</v>
      </c>
      <c r="P42" s="150" t="s">
        <v>2661</v>
      </c>
      <c r="Q42" s="403"/>
      <c r="R42" s="406">
        <v>174240</v>
      </c>
      <c r="S42" s="406">
        <v>0</v>
      </c>
      <c r="T42" s="425"/>
      <c r="U42" s="71"/>
      <c r="V42" s="426"/>
      <c r="W42" s="427"/>
      <c r="X42" s="427"/>
      <c r="Y42" s="428" t="s">
        <v>1142</v>
      </c>
      <c r="Z42" s="429">
        <v>0</v>
      </c>
      <c r="AA42" s="429">
        <v>0</v>
      </c>
      <c r="AB42" s="363" t="e">
        <v>#N/A</v>
      </c>
      <c r="AC42" s="363">
        <f t="shared" ref="AC42:AG42" si="6">14520-14520</f>
        <v>0</v>
      </c>
      <c r="AD42" s="363">
        <f t="shared" si="6"/>
        <v>0</v>
      </c>
      <c r="AE42" s="363">
        <f t="shared" si="6"/>
        <v>0</v>
      </c>
      <c r="AF42" s="363">
        <f t="shared" si="6"/>
        <v>0</v>
      </c>
      <c r="AG42" s="363">
        <f t="shared" si="6"/>
        <v>0</v>
      </c>
      <c r="AH42" s="360" t="e">
        <f t="shared" si="1"/>
        <v>#N/A</v>
      </c>
      <c r="AI42" s="362" t="e">
        <f>ERP[[#This Row],[2026 Working Total]]-ERP[[#This Row],[LE2 Final Submission]]</f>
        <v>#N/A</v>
      </c>
      <c r="AJ42" s="79" t="e">
        <v>#N/A</v>
      </c>
      <c r="AK42" s="79" t="e">
        <f t="shared" si="0"/>
        <v>#N/A</v>
      </c>
      <c r="AL42" s="374">
        <f>SUM(ERP[[#This Row],[AP01]:[AP06]])-SUM(ERP[[#This Row],[AP01 LE2]:[AP06 LE2]])</f>
        <v>0</v>
      </c>
      <c r="AM42" s="80"/>
      <c r="AN42" s="79" t="e">
        <f>ERP[[#This Row],[2026 Working Total to Budget/LE]]-ERP[[#This Row],[Giveback]]</f>
        <v>#N/A</v>
      </c>
      <c r="AO42" s="81"/>
      <c r="AP42" s="375"/>
      <c r="AQ42" s="375"/>
      <c r="AR42" s="375"/>
      <c r="AS42" s="375">
        <v>0</v>
      </c>
      <c r="AT42" s="375">
        <v>0</v>
      </c>
      <c r="AU42" s="375">
        <v>0</v>
      </c>
      <c r="AV42" s="375">
        <v>0</v>
      </c>
      <c r="AW42" s="375">
        <v>0</v>
      </c>
      <c r="AX42" s="375">
        <v>0</v>
      </c>
      <c r="AY42" s="375">
        <v>0</v>
      </c>
      <c r="AZ42" s="375">
        <v>0</v>
      </c>
      <c r="BA42" s="375">
        <v>0</v>
      </c>
      <c r="BB42" s="375">
        <v>0</v>
      </c>
      <c r="BC42" s="79"/>
      <c r="BD42" s="79"/>
      <c r="BE42" s="79"/>
      <c r="BF42" s="79">
        <v>14520</v>
      </c>
      <c r="BG42" s="79">
        <v>14520</v>
      </c>
      <c r="BH42" s="79">
        <v>14520</v>
      </c>
      <c r="BI42" s="79">
        <v>14520</v>
      </c>
      <c r="BJ42" s="79">
        <v>14520</v>
      </c>
      <c r="BK42" s="79">
        <v>14520</v>
      </c>
      <c r="BL42" s="79">
        <v>14520</v>
      </c>
      <c r="BM42" s="79">
        <v>14520</v>
      </c>
      <c r="BN42" s="79">
        <v>14520</v>
      </c>
      <c r="BO42" s="79">
        <v>130680</v>
      </c>
    </row>
    <row r="43" spans="1:67" ht="15" customHeight="1">
      <c r="A43" s="129" t="s">
        <v>2713</v>
      </c>
      <c r="B43" s="66" t="s">
        <v>965</v>
      </c>
      <c r="C43" s="150" t="s">
        <v>1136</v>
      </c>
      <c r="D43" s="150" t="s">
        <v>1345</v>
      </c>
      <c r="E43" s="150" t="s">
        <v>1480</v>
      </c>
      <c r="F43" s="150" t="s">
        <v>1480</v>
      </c>
      <c r="G43" s="513" t="s">
        <v>639</v>
      </c>
      <c r="H43" s="392" t="s">
        <v>2663</v>
      </c>
      <c r="I43" s="343"/>
      <c r="J43" s="331"/>
      <c r="K43" s="70" t="s">
        <v>939</v>
      </c>
      <c r="L43" s="343" t="s">
        <v>1139</v>
      </c>
      <c r="M43" s="343"/>
      <c r="N43" s="346"/>
      <c r="O43" s="150" t="s">
        <v>152</v>
      </c>
      <c r="P43" s="150" t="s">
        <v>2714</v>
      </c>
      <c r="Q43" s="405"/>
      <c r="R43" s="359"/>
      <c r="S43" s="380">
        <v>0</v>
      </c>
      <c r="T43" s="430"/>
      <c r="U43" s="137"/>
      <c r="V43" s="426"/>
      <c r="W43" s="427"/>
      <c r="X43" s="427"/>
      <c r="Y43" s="428" t="s">
        <v>1142</v>
      </c>
      <c r="Z43" s="429">
        <v>0</v>
      </c>
      <c r="AA43" s="429">
        <v>0</v>
      </c>
      <c r="AB43" s="363" t="e">
        <v>#N/A</v>
      </c>
      <c r="AC43" s="363">
        <f t="shared" ref="AC43:AG44" si="7">22238.42-22238.42</f>
        <v>0</v>
      </c>
      <c r="AD43" s="363">
        <f t="shared" si="7"/>
        <v>0</v>
      </c>
      <c r="AE43" s="363">
        <f t="shared" si="7"/>
        <v>0</v>
      </c>
      <c r="AF43" s="363">
        <f t="shared" si="7"/>
        <v>0</v>
      </c>
      <c r="AG43" s="363">
        <f t="shared" si="7"/>
        <v>0</v>
      </c>
      <c r="AH43" s="360" t="e">
        <f t="shared" si="1"/>
        <v>#N/A</v>
      </c>
      <c r="AI43" s="362" t="e">
        <f>ERP[[#This Row],[2026 Working Total]]-ERP[[#This Row],[LE2 Final Submission]]</f>
        <v>#N/A</v>
      </c>
      <c r="AJ43" s="79" t="e">
        <v>#N/A</v>
      </c>
      <c r="AK43" s="79" t="e">
        <f t="shared" si="0"/>
        <v>#N/A</v>
      </c>
      <c r="AL43" s="374">
        <f>SUM(ERP[[#This Row],[AP01]:[AP06]])-SUM(ERP[[#This Row],[AP01 LE2]:[AP06 LE2]])</f>
        <v>0</v>
      </c>
      <c r="AM43" s="80"/>
      <c r="AN43" s="79" t="e">
        <f>ERP[[#This Row],[2026 Working Total to Budget/LE]]-ERP[[#This Row],[Giveback]]</f>
        <v>#N/A</v>
      </c>
      <c r="AO43" s="81"/>
      <c r="AP43" s="375"/>
      <c r="AQ43" s="375"/>
      <c r="AR43" s="375"/>
      <c r="AS43" s="375">
        <v>0</v>
      </c>
      <c r="AT43" s="375">
        <v>0</v>
      </c>
      <c r="AU43" s="375">
        <v>0</v>
      </c>
      <c r="AV43" s="375">
        <v>0</v>
      </c>
      <c r="AW43" s="375">
        <v>0</v>
      </c>
      <c r="AX43" s="375">
        <v>0</v>
      </c>
      <c r="AY43" s="375">
        <v>0</v>
      </c>
      <c r="AZ43" s="375">
        <v>0</v>
      </c>
      <c r="BA43" s="375">
        <v>0</v>
      </c>
      <c r="BB43" s="375">
        <v>0</v>
      </c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</row>
    <row r="44" spans="1:67" ht="15" customHeight="1">
      <c r="A44" s="66" t="s">
        <v>2662</v>
      </c>
      <c r="B44" s="66" t="s">
        <v>938</v>
      </c>
      <c r="C44" s="150" t="s">
        <v>1136</v>
      </c>
      <c r="D44" s="150" t="s">
        <v>1345</v>
      </c>
      <c r="E44" s="150" t="s">
        <v>1345</v>
      </c>
      <c r="F44" s="150" t="s">
        <v>1346</v>
      </c>
      <c r="G44" s="511" t="s">
        <v>639</v>
      </c>
      <c r="H44" s="392" t="s">
        <v>2663</v>
      </c>
      <c r="I44" s="343"/>
      <c r="J44" s="343"/>
      <c r="K44" s="70" t="s">
        <v>939</v>
      </c>
      <c r="L44" s="343" t="s">
        <v>1139</v>
      </c>
      <c r="M44" s="343"/>
      <c r="N44" s="346"/>
      <c r="O44" s="150" t="s">
        <v>152</v>
      </c>
      <c r="P44" s="150" t="s">
        <v>2661</v>
      </c>
      <c r="Q44" s="403"/>
      <c r="R44" s="406">
        <v>266860.99999999988</v>
      </c>
      <c r="S44" s="406">
        <v>0</v>
      </c>
      <c r="T44" s="425"/>
      <c r="U44" s="71"/>
      <c r="V44" s="426"/>
      <c r="W44" s="427"/>
      <c r="X44" s="427"/>
      <c r="Y44" s="428" t="s">
        <v>1142</v>
      </c>
      <c r="Z44" s="429">
        <v>0</v>
      </c>
      <c r="AA44" s="429">
        <v>0</v>
      </c>
      <c r="AB44" s="363" t="e">
        <v>#N/A</v>
      </c>
      <c r="AC44" s="363">
        <f t="shared" si="7"/>
        <v>0</v>
      </c>
      <c r="AD44" s="363">
        <f t="shared" si="7"/>
        <v>0</v>
      </c>
      <c r="AE44" s="363">
        <f t="shared" si="7"/>
        <v>0</v>
      </c>
      <c r="AF44" s="363">
        <f t="shared" si="7"/>
        <v>0</v>
      </c>
      <c r="AG44" s="363">
        <f t="shared" si="7"/>
        <v>0</v>
      </c>
      <c r="AH44" s="360" t="e">
        <f t="shared" si="1"/>
        <v>#N/A</v>
      </c>
      <c r="AI44" s="362" t="e">
        <f>ERP[[#This Row],[2026 Working Total]]-ERP[[#This Row],[LE2 Final Submission]]</f>
        <v>#N/A</v>
      </c>
      <c r="AJ44" s="79" t="e">
        <v>#N/A</v>
      </c>
      <c r="AK44" s="79" t="e">
        <f t="shared" si="0"/>
        <v>#N/A</v>
      </c>
      <c r="AL44" s="374">
        <f>SUM(ERP[[#This Row],[AP01]:[AP06]])-SUM(ERP[[#This Row],[AP01 LE2]:[AP06 LE2]])</f>
        <v>0</v>
      </c>
      <c r="AM44" s="80"/>
      <c r="AN44" s="79" t="e">
        <f>ERP[[#This Row],[2026 Working Total to Budget/LE]]-ERP[[#This Row],[Giveback]]</f>
        <v>#N/A</v>
      </c>
      <c r="AO44" s="81"/>
      <c r="AP44" s="375"/>
      <c r="AQ44" s="375"/>
      <c r="AR44" s="375"/>
      <c r="AS44" s="375">
        <v>0</v>
      </c>
      <c r="AT44" s="375">
        <v>0</v>
      </c>
      <c r="AU44" s="375">
        <v>0</v>
      </c>
      <c r="AV44" s="375">
        <v>0</v>
      </c>
      <c r="AW44" s="375">
        <v>0</v>
      </c>
      <c r="AX44" s="375">
        <v>0</v>
      </c>
      <c r="AY44" s="375">
        <v>0</v>
      </c>
      <c r="AZ44" s="375">
        <v>0</v>
      </c>
      <c r="BA44" s="375">
        <v>0</v>
      </c>
      <c r="BB44" s="375">
        <v>0</v>
      </c>
      <c r="BC44" s="79"/>
      <c r="BD44" s="79"/>
      <c r="BE44" s="79"/>
      <c r="BF44" s="79">
        <v>22238.42</v>
      </c>
      <c r="BG44" s="79">
        <v>22238.42</v>
      </c>
      <c r="BH44" s="79">
        <v>22238.42</v>
      </c>
      <c r="BI44" s="79">
        <v>22238.42</v>
      </c>
      <c r="BJ44" s="79">
        <v>22238.42</v>
      </c>
      <c r="BK44" s="79">
        <v>22238.42</v>
      </c>
      <c r="BL44" s="79">
        <v>22238.42</v>
      </c>
      <c r="BM44" s="79">
        <v>22238.42</v>
      </c>
      <c r="BN44" s="79">
        <v>22238.42</v>
      </c>
      <c r="BO44" s="79">
        <v>200145.77999999997</v>
      </c>
    </row>
    <row r="45" spans="1:67" ht="15" customHeight="1">
      <c r="A45" s="66" t="s">
        <v>1674</v>
      </c>
      <c r="B45" s="66" t="s">
        <v>1675</v>
      </c>
      <c r="C45" s="150" t="s">
        <v>1136</v>
      </c>
      <c r="D45" s="150" t="s">
        <v>1135</v>
      </c>
      <c r="E45" s="150" t="s">
        <v>1145</v>
      </c>
      <c r="F45" s="150" t="s">
        <v>1137</v>
      </c>
      <c r="G45" s="511" t="s">
        <v>342</v>
      </c>
      <c r="H45" s="392" t="s">
        <v>1676</v>
      </c>
      <c r="I45" s="343"/>
      <c r="J45" s="343"/>
      <c r="K45" s="70" t="s">
        <v>344</v>
      </c>
      <c r="L45" s="346"/>
      <c r="M45" s="343"/>
      <c r="N45" s="346"/>
      <c r="O45" s="150" t="s">
        <v>152</v>
      </c>
      <c r="P45" s="150"/>
      <c r="Q45" s="403"/>
      <c r="R45" s="406">
        <v>51615</v>
      </c>
      <c r="S45" s="406">
        <v>38711.25</v>
      </c>
      <c r="T45" s="425"/>
      <c r="U45" s="71"/>
      <c r="V45" s="426"/>
      <c r="W45" s="427"/>
      <c r="X45" s="427"/>
      <c r="Y45" s="428" t="s">
        <v>1142</v>
      </c>
      <c r="Z45" s="429">
        <v>0</v>
      </c>
      <c r="AA45" s="429">
        <v>0</v>
      </c>
      <c r="AB45" s="363" t="e">
        <v>#N/A</v>
      </c>
      <c r="AC45" s="363">
        <v>4301.25</v>
      </c>
      <c r="AD45" s="363">
        <v>4301.25</v>
      </c>
      <c r="AE45" s="363">
        <v>4301.25</v>
      </c>
      <c r="AF45" s="363">
        <v>4301.25</v>
      </c>
      <c r="AG45" s="363">
        <v>4301.25</v>
      </c>
      <c r="AH45" s="360" t="e">
        <f t="shared" si="1"/>
        <v>#N/A</v>
      </c>
      <c r="AI45" s="362" t="e">
        <f>ERP[[#This Row],[2026 Working Total]]-ERP[[#This Row],[LE2 Final Submission]]</f>
        <v>#N/A</v>
      </c>
      <c r="AJ45" s="79" t="e">
        <v>#N/A</v>
      </c>
      <c r="AK45" s="79" t="e">
        <f t="shared" si="0"/>
        <v>#N/A</v>
      </c>
      <c r="AL45" s="374">
        <f>SUM(ERP[[#This Row],[AP01]:[AP06]])-SUM(ERP[[#This Row],[AP01 LE2]:[AP06 LE2]])</f>
        <v>-12903.75</v>
      </c>
      <c r="AM45" s="80"/>
      <c r="AN45" s="79" t="e">
        <f>ERP[[#This Row],[2026 Working Total to Budget/LE]]-ERP[[#This Row],[Giveback]]</f>
        <v>#N/A</v>
      </c>
      <c r="AO45" s="81"/>
      <c r="AP45" s="375"/>
      <c r="AQ45" s="375"/>
      <c r="AR45" s="375"/>
      <c r="AS45" s="375">
        <v>4301.25</v>
      </c>
      <c r="AT45" s="375">
        <v>4301.25</v>
      </c>
      <c r="AU45" s="375">
        <v>4301.25</v>
      </c>
      <c r="AV45" s="375">
        <v>4301.25</v>
      </c>
      <c r="AW45" s="375">
        <v>4301.25</v>
      </c>
      <c r="AX45" s="375">
        <v>4301.25</v>
      </c>
      <c r="AY45" s="375">
        <v>4301.25</v>
      </c>
      <c r="AZ45" s="375">
        <v>4301.25</v>
      </c>
      <c r="BA45" s="375">
        <v>4301.25</v>
      </c>
      <c r="BB45" s="375">
        <v>38711.25</v>
      </c>
      <c r="BC45" s="79"/>
      <c r="BD45" s="79"/>
      <c r="BE45" s="79"/>
      <c r="BF45" s="79">
        <v>4301.25</v>
      </c>
      <c r="BG45" s="79">
        <v>4301.25</v>
      </c>
      <c r="BH45" s="79">
        <v>4301.25</v>
      </c>
      <c r="BI45" s="79">
        <v>4301.25</v>
      </c>
      <c r="BJ45" s="79">
        <v>4301.25</v>
      </c>
      <c r="BK45" s="79">
        <v>4301.25</v>
      </c>
      <c r="BL45" s="79">
        <v>4301.25</v>
      </c>
      <c r="BM45" s="79">
        <v>4301.25</v>
      </c>
      <c r="BN45" s="79">
        <v>4301.25</v>
      </c>
      <c r="BO45" s="79">
        <v>38711.25</v>
      </c>
    </row>
    <row r="46" spans="1:67" ht="15" customHeight="1">
      <c r="A46" s="66" t="s">
        <v>1677</v>
      </c>
      <c r="B46" s="66" t="s">
        <v>1678</v>
      </c>
      <c r="C46" s="150" t="s">
        <v>1136</v>
      </c>
      <c r="D46" s="150" t="s">
        <v>1135</v>
      </c>
      <c r="E46" s="150" t="s">
        <v>1145</v>
      </c>
      <c r="F46" s="150" t="s">
        <v>1137</v>
      </c>
      <c r="G46" s="511" t="s">
        <v>342</v>
      </c>
      <c r="H46" s="392" t="s">
        <v>1679</v>
      </c>
      <c r="I46" s="343"/>
      <c r="J46" s="343"/>
      <c r="K46" s="70" t="s">
        <v>346</v>
      </c>
      <c r="L46" s="346"/>
      <c r="M46" s="343"/>
      <c r="N46" s="346"/>
      <c r="O46" s="150" t="s">
        <v>152</v>
      </c>
      <c r="P46" s="150"/>
      <c r="Q46" s="403"/>
      <c r="R46" s="406">
        <v>-12195</v>
      </c>
      <c r="S46" s="406">
        <v>-9146.25</v>
      </c>
      <c r="T46" s="425"/>
      <c r="U46" s="71"/>
      <c r="V46" s="426"/>
      <c r="W46" s="427"/>
      <c r="X46" s="427"/>
      <c r="Y46" s="428" t="s">
        <v>1142</v>
      </c>
      <c r="Z46" s="429">
        <v>0</v>
      </c>
      <c r="AA46" s="429">
        <v>0</v>
      </c>
      <c r="AB46" s="363" t="e">
        <v>#N/A</v>
      </c>
      <c r="AC46" s="363">
        <v>-1016.25</v>
      </c>
      <c r="AD46" s="363">
        <v>-1016.25</v>
      </c>
      <c r="AE46" s="363">
        <v>-1016.25</v>
      </c>
      <c r="AF46" s="363">
        <v>-1016.25</v>
      </c>
      <c r="AG46" s="363">
        <v>-1016.25</v>
      </c>
      <c r="AH46" s="360" t="e">
        <f t="shared" si="1"/>
        <v>#N/A</v>
      </c>
      <c r="AI46" s="362" t="e">
        <f>ERP[[#This Row],[2026 Working Total]]-ERP[[#This Row],[LE2 Final Submission]]</f>
        <v>#N/A</v>
      </c>
      <c r="AJ46" s="79" t="e">
        <v>#N/A</v>
      </c>
      <c r="AK46" s="79" t="e">
        <f t="shared" si="0"/>
        <v>#N/A</v>
      </c>
      <c r="AL46" s="374">
        <f>SUM(ERP[[#This Row],[AP01]:[AP06]])-SUM(ERP[[#This Row],[AP01 LE2]:[AP06 LE2]])</f>
        <v>3048.75</v>
      </c>
      <c r="AM46" s="80"/>
      <c r="AN46" s="79" t="e">
        <f>ERP[[#This Row],[2026 Working Total to Budget/LE]]-ERP[[#This Row],[Giveback]]</f>
        <v>#N/A</v>
      </c>
      <c r="AO46" s="81"/>
      <c r="AP46" s="375"/>
      <c r="AQ46" s="375"/>
      <c r="AR46" s="375"/>
      <c r="AS46" s="375">
        <v>-1016.25</v>
      </c>
      <c r="AT46" s="375">
        <v>-1016.25</v>
      </c>
      <c r="AU46" s="375">
        <v>-1016.25</v>
      </c>
      <c r="AV46" s="375">
        <v>-1016.25</v>
      </c>
      <c r="AW46" s="375">
        <v>-1016.25</v>
      </c>
      <c r="AX46" s="375">
        <v>-1016.25</v>
      </c>
      <c r="AY46" s="375">
        <v>-1016.25</v>
      </c>
      <c r="AZ46" s="375">
        <v>-1016.25</v>
      </c>
      <c r="BA46" s="375">
        <v>-1016.25</v>
      </c>
      <c r="BB46" s="375">
        <v>-9146.25</v>
      </c>
      <c r="BC46" s="79"/>
      <c r="BD46" s="79"/>
      <c r="BE46" s="79"/>
      <c r="BF46" s="79">
        <v>-1016.25</v>
      </c>
      <c r="BG46" s="79">
        <v>-1016.25</v>
      </c>
      <c r="BH46" s="79">
        <v>-1016.25</v>
      </c>
      <c r="BI46" s="79">
        <v>-1016.25</v>
      </c>
      <c r="BJ46" s="79">
        <v>-1016.25</v>
      </c>
      <c r="BK46" s="79">
        <v>-1016.25</v>
      </c>
      <c r="BL46" s="79">
        <v>-1016.25</v>
      </c>
      <c r="BM46" s="79">
        <v>-1016.25</v>
      </c>
      <c r="BN46" s="79">
        <v>-1016.25</v>
      </c>
      <c r="BO46" s="79">
        <v>-9146.25</v>
      </c>
    </row>
    <row r="47" spans="1:67" ht="15" customHeight="1">
      <c r="A47" s="66" t="s">
        <v>1680</v>
      </c>
      <c r="B47" s="66" t="s">
        <v>1681</v>
      </c>
      <c r="C47" s="150" t="s">
        <v>1136</v>
      </c>
      <c r="D47" s="150" t="s">
        <v>1135</v>
      </c>
      <c r="E47" s="150" t="s">
        <v>1145</v>
      </c>
      <c r="F47" s="150" t="s">
        <v>1137</v>
      </c>
      <c r="G47" s="511" t="s">
        <v>342</v>
      </c>
      <c r="H47" s="392" t="s">
        <v>1682</v>
      </c>
      <c r="I47" s="343"/>
      <c r="J47" s="343"/>
      <c r="K47" s="70" t="s">
        <v>348</v>
      </c>
      <c r="L47" s="346"/>
      <c r="M47" s="343"/>
      <c r="N47" s="346"/>
      <c r="O47" s="150" t="s">
        <v>152</v>
      </c>
      <c r="P47" s="150"/>
      <c r="Q47" s="403"/>
      <c r="R47" s="406">
        <v>-12195</v>
      </c>
      <c r="S47" s="406">
        <v>-9146.25</v>
      </c>
      <c r="T47" s="425"/>
      <c r="U47" s="71"/>
      <c r="V47" s="426"/>
      <c r="W47" s="427"/>
      <c r="X47" s="427"/>
      <c r="Y47" s="428" t="s">
        <v>1142</v>
      </c>
      <c r="Z47" s="429">
        <v>0</v>
      </c>
      <c r="AA47" s="429">
        <v>0</v>
      </c>
      <c r="AB47" s="363" t="e">
        <v>#N/A</v>
      </c>
      <c r="AC47" s="363">
        <v>-1016.25</v>
      </c>
      <c r="AD47" s="363">
        <v>-1016.25</v>
      </c>
      <c r="AE47" s="363">
        <v>-1016.25</v>
      </c>
      <c r="AF47" s="363">
        <v>-1016.25</v>
      </c>
      <c r="AG47" s="363">
        <v>-1016.25</v>
      </c>
      <c r="AH47" s="360" t="e">
        <f t="shared" si="1"/>
        <v>#N/A</v>
      </c>
      <c r="AI47" s="362" t="e">
        <f>ERP[[#This Row],[2026 Working Total]]-ERP[[#This Row],[LE2 Final Submission]]</f>
        <v>#N/A</v>
      </c>
      <c r="AJ47" s="79" t="e">
        <v>#N/A</v>
      </c>
      <c r="AK47" s="79" t="e">
        <f t="shared" si="0"/>
        <v>#N/A</v>
      </c>
      <c r="AL47" s="374">
        <f>SUM(ERP[[#This Row],[AP01]:[AP06]])-SUM(ERP[[#This Row],[AP01 LE2]:[AP06 LE2]])</f>
        <v>3048.75</v>
      </c>
      <c r="AM47" s="80"/>
      <c r="AN47" s="79" t="e">
        <f>ERP[[#This Row],[2026 Working Total to Budget/LE]]-ERP[[#This Row],[Giveback]]</f>
        <v>#N/A</v>
      </c>
      <c r="AO47" s="81"/>
      <c r="AP47" s="375"/>
      <c r="AQ47" s="375"/>
      <c r="AR47" s="375"/>
      <c r="AS47" s="375">
        <v>-1016.25</v>
      </c>
      <c r="AT47" s="375">
        <v>-1016.25</v>
      </c>
      <c r="AU47" s="375">
        <v>-1016.25</v>
      </c>
      <c r="AV47" s="375">
        <v>-1016.25</v>
      </c>
      <c r="AW47" s="375">
        <v>-1016.25</v>
      </c>
      <c r="AX47" s="375">
        <v>-1016.25</v>
      </c>
      <c r="AY47" s="375">
        <v>-1016.25</v>
      </c>
      <c r="AZ47" s="375">
        <v>-1016.25</v>
      </c>
      <c r="BA47" s="375">
        <v>-1016.25</v>
      </c>
      <c r="BB47" s="375">
        <v>-9146.25</v>
      </c>
      <c r="BC47" s="79"/>
      <c r="BD47" s="79"/>
      <c r="BE47" s="79"/>
      <c r="BF47" s="79">
        <v>-1016.25</v>
      </c>
      <c r="BG47" s="79">
        <v>-1016.25</v>
      </c>
      <c r="BH47" s="79">
        <v>-1016.25</v>
      </c>
      <c r="BI47" s="79">
        <v>-1016.25</v>
      </c>
      <c r="BJ47" s="79">
        <v>-1016.25</v>
      </c>
      <c r="BK47" s="79">
        <v>-1016.25</v>
      </c>
      <c r="BL47" s="79">
        <v>-1016.25</v>
      </c>
      <c r="BM47" s="79">
        <v>-1016.25</v>
      </c>
      <c r="BN47" s="79">
        <v>-1016.25</v>
      </c>
      <c r="BO47" s="79">
        <v>-9146.25</v>
      </c>
    </row>
    <row r="48" spans="1:67" ht="15" customHeight="1">
      <c r="A48" s="150" t="s">
        <v>1767</v>
      </c>
      <c r="B48" s="296" t="s">
        <v>1768</v>
      </c>
      <c r="C48" s="150" t="s">
        <v>1136</v>
      </c>
      <c r="D48" s="332" t="s">
        <v>1135</v>
      </c>
      <c r="E48" s="383" t="s">
        <v>1145</v>
      </c>
      <c r="F48" s="383" t="s">
        <v>1145</v>
      </c>
      <c r="G48" s="514" t="s">
        <v>389</v>
      </c>
      <c r="H48" s="394" t="s">
        <v>1769</v>
      </c>
      <c r="I48" s="333"/>
      <c r="J48" s="332" t="s">
        <v>1186</v>
      </c>
      <c r="K48" s="90" t="s">
        <v>400</v>
      </c>
      <c r="L48" s="347"/>
      <c r="M48" s="347"/>
      <c r="N48" s="348"/>
      <c r="O48" s="348"/>
      <c r="P48" s="348"/>
      <c r="Q48" s="402"/>
      <c r="R48" s="406"/>
      <c r="S48" s="406"/>
      <c r="T48" s="425"/>
      <c r="U48" s="71"/>
      <c r="V48" s="435"/>
      <c r="W48" s="436"/>
      <c r="X48" s="436"/>
      <c r="Y48" s="429">
        <v>19</v>
      </c>
      <c r="Z48" s="429">
        <v>0</v>
      </c>
      <c r="AA48" s="429">
        <v>0</v>
      </c>
      <c r="AB48" s="363" t="e">
        <v>#N/A</v>
      </c>
      <c r="AC48" s="364"/>
      <c r="AD48" s="364"/>
      <c r="AE48" s="364"/>
      <c r="AF48" s="364"/>
      <c r="AG48" s="364"/>
      <c r="AH48" s="360" t="e">
        <f t="shared" si="1"/>
        <v>#N/A</v>
      </c>
      <c r="AI48" s="362" t="e">
        <f>ERP[[#This Row],[2026 Working Total]]-ERP[[#This Row],[LE2 Final Submission]]</f>
        <v>#N/A</v>
      </c>
      <c r="AJ48" s="79" t="e">
        <v>#N/A</v>
      </c>
      <c r="AK48" s="79" t="e">
        <f t="shared" si="0"/>
        <v>#N/A</v>
      </c>
      <c r="AL48" s="374">
        <f>SUM(ERP[[#This Row],[AP01]:[AP06]])-SUM(ERP[[#This Row],[AP01 LE2]:[AP06 LE2]])</f>
        <v>19</v>
      </c>
      <c r="AM48" s="80"/>
      <c r="AN48" s="79" t="e">
        <f>ERP[[#This Row],[2026 Working Total to Budget/LE]]-ERP[[#This Row],[Giveback]]</f>
        <v>#N/A</v>
      </c>
      <c r="AO48" s="81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</row>
    <row r="49" spans="1:67" ht="15" customHeight="1">
      <c r="A49" s="150" t="s">
        <v>1770</v>
      </c>
      <c r="B49" s="296" t="s">
        <v>1771</v>
      </c>
      <c r="C49" s="150" t="s">
        <v>1136</v>
      </c>
      <c r="D49" s="332" t="s">
        <v>1135</v>
      </c>
      <c r="E49" s="383" t="s">
        <v>1145</v>
      </c>
      <c r="F49" s="383" t="s">
        <v>1145</v>
      </c>
      <c r="G49" s="514" t="s">
        <v>389</v>
      </c>
      <c r="H49" s="394" t="s">
        <v>1772</v>
      </c>
      <c r="I49" s="333"/>
      <c r="J49" s="332" t="s">
        <v>1186</v>
      </c>
      <c r="K49" s="90" t="s">
        <v>402</v>
      </c>
      <c r="L49" s="347"/>
      <c r="M49" s="347"/>
      <c r="N49" s="348"/>
      <c r="O49" s="348"/>
      <c r="P49" s="348"/>
      <c r="Q49" s="402"/>
      <c r="R49" s="406"/>
      <c r="S49" s="406"/>
      <c r="T49" s="425"/>
      <c r="U49" s="71"/>
      <c r="V49" s="435"/>
      <c r="W49" s="436"/>
      <c r="X49" s="436"/>
      <c r="Y49" s="429">
        <v>190</v>
      </c>
      <c r="Z49" s="429">
        <v>0</v>
      </c>
      <c r="AA49" s="429">
        <v>0</v>
      </c>
      <c r="AB49" s="363" t="e">
        <v>#N/A</v>
      </c>
      <c r="AC49" s="364"/>
      <c r="AD49" s="364"/>
      <c r="AE49" s="364"/>
      <c r="AF49" s="364"/>
      <c r="AG49" s="364"/>
      <c r="AH49" s="360" t="e">
        <f t="shared" si="1"/>
        <v>#N/A</v>
      </c>
      <c r="AI49" s="362" t="e">
        <f>ERP[[#This Row],[2026 Working Total]]-ERP[[#This Row],[LE2 Final Submission]]</f>
        <v>#N/A</v>
      </c>
      <c r="AJ49" s="79" t="e">
        <v>#N/A</v>
      </c>
      <c r="AK49" s="79" t="e">
        <f t="shared" si="0"/>
        <v>#N/A</v>
      </c>
      <c r="AL49" s="374">
        <f>SUM(ERP[[#This Row],[AP01]:[AP06]])-SUM(ERP[[#This Row],[AP01 LE2]:[AP06 LE2]])</f>
        <v>190</v>
      </c>
      <c r="AM49" s="80"/>
      <c r="AN49" s="79" t="e">
        <f>ERP[[#This Row],[2026 Working Total to Budget/LE]]-ERP[[#This Row],[Giveback]]</f>
        <v>#N/A</v>
      </c>
      <c r="AO49" s="81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</row>
    <row r="50" spans="1:67" ht="15" customHeight="1">
      <c r="A50" s="66" t="s">
        <v>1773</v>
      </c>
      <c r="B50" s="66" t="s">
        <v>1774</v>
      </c>
      <c r="C50" s="150" t="s">
        <v>1136</v>
      </c>
      <c r="D50" s="150" t="s">
        <v>1135</v>
      </c>
      <c r="E50" s="150" t="s">
        <v>1137</v>
      </c>
      <c r="F50" s="150" t="s">
        <v>1137</v>
      </c>
      <c r="G50" s="511" t="s">
        <v>389</v>
      </c>
      <c r="H50" s="392" t="s">
        <v>1775</v>
      </c>
      <c r="I50" s="343"/>
      <c r="J50" s="343"/>
      <c r="K50" s="70" t="s">
        <v>404</v>
      </c>
      <c r="L50" s="346"/>
      <c r="M50" s="346" t="s">
        <v>1140</v>
      </c>
      <c r="N50" s="346"/>
      <c r="O50" s="150" t="s">
        <v>405</v>
      </c>
      <c r="P50" s="1" t="s">
        <v>1141</v>
      </c>
      <c r="Q50" s="404"/>
      <c r="R50" s="407">
        <v>0</v>
      </c>
      <c r="S50" s="407">
        <v>0</v>
      </c>
      <c r="T50" s="430"/>
      <c r="U50" s="137"/>
      <c r="V50" s="426"/>
      <c r="W50" s="431">
        <v>0</v>
      </c>
      <c r="X50" s="431">
        <v>0</v>
      </c>
      <c r="Y50" s="428">
        <v>-1732.97</v>
      </c>
      <c r="Z50" s="429">
        <v>0</v>
      </c>
      <c r="AA50" s="429">
        <v>0</v>
      </c>
      <c r="AB50" s="363" t="e">
        <v>#N/A</v>
      </c>
      <c r="AC50" s="360">
        <v>0</v>
      </c>
      <c r="AD50" s="360">
        <v>0</v>
      </c>
      <c r="AE50" s="360">
        <v>0</v>
      </c>
      <c r="AF50" s="360">
        <v>0</v>
      </c>
      <c r="AG50" s="360">
        <v>0</v>
      </c>
      <c r="AH50" s="360" t="e">
        <f t="shared" si="1"/>
        <v>#N/A</v>
      </c>
      <c r="AI50" s="362" t="e">
        <f>ERP[[#This Row],[2026 Working Total]]-ERP[[#This Row],[LE2 Final Submission]]</f>
        <v>#N/A</v>
      </c>
      <c r="AJ50" s="79" t="e">
        <v>#N/A</v>
      </c>
      <c r="AK50" s="79" t="e">
        <f t="shared" si="0"/>
        <v>#N/A</v>
      </c>
      <c r="AL50" s="374">
        <f>SUM(ERP[[#This Row],[AP01]:[AP06]])-SUM(ERP[[#This Row],[AP01 LE2]:[AP06 LE2]])</f>
        <v>-1732.97</v>
      </c>
      <c r="AM50" s="80"/>
      <c r="AN50" s="79" t="e">
        <f>ERP[[#This Row],[2026 Working Total to Budget/LE]]-ERP[[#This Row],[Giveback]]</f>
        <v>#N/A</v>
      </c>
      <c r="AO50" s="81"/>
      <c r="AP50" s="375"/>
      <c r="AQ50" s="375">
        <v>0</v>
      </c>
      <c r="AR50" s="375">
        <v>0</v>
      </c>
      <c r="AS50" s="375">
        <v>0</v>
      </c>
      <c r="AT50" s="375">
        <v>0</v>
      </c>
      <c r="AU50" s="375">
        <v>0</v>
      </c>
      <c r="AV50" s="375">
        <v>0</v>
      </c>
      <c r="AW50" s="375">
        <v>0</v>
      </c>
      <c r="AX50" s="375">
        <v>0</v>
      </c>
      <c r="AY50" s="375">
        <v>0</v>
      </c>
      <c r="AZ50" s="375">
        <v>0</v>
      </c>
      <c r="BA50" s="375">
        <v>0</v>
      </c>
      <c r="BB50" s="375">
        <v>0</v>
      </c>
      <c r="BC50" s="79"/>
      <c r="BD50" s="79">
        <v>0</v>
      </c>
      <c r="BE50" s="79">
        <v>0</v>
      </c>
      <c r="BF50" s="79">
        <v>0</v>
      </c>
      <c r="BG50" s="79">
        <v>0</v>
      </c>
      <c r="BH50" s="79">
        <v>0</v>
      </c>
      <c r="BI50" s="79">
        <v>0</v>
      </c>
      <c r="BJ50" s="79">
        <v>0</v>
      </c>
      <c r="BK50" s="79">
        <v>0</v>
      </c>
      <c r="BL50" s="79">
        <v>0</v>
      </c>
      <c r="BM50" s="79">
        <v>0</v>
      </c>
      <c r="BN50" s="79">
        <v>0</v>
      </c>
      <c r="BO50" s="79">
        <v>0</v>
      </c>
    </row>
    <row r="51" spans="1:67" ht="15" customHeight="1">
      <c r="A51" s="66" t="s">
        <v>2074</v>
      </c>
      <c r="B51" s="66" t="s">
        <v>2075</v>
      </c>
      <c r="C51" s="150" t="s">
        <v>1136</v>
      </c>
      <c r="D51" s="150" t="s">
        <v>1567</v>
      </c>
      <c r="E51" s="150" t="s">
        <v>1567</v>
      </c>
      <c r="F51" s="150" t="s">
        <v>1567</v>
      </c>
      <c r="G51" s="511" t="s">
        <v>389</v>
      </c>
      <c r="H51" s="392" t="s">
        <v>1775</v>
      </c>
      <c r="I51" s="343"/>
      <c r="J51" s="343"/>
      <c r="K51" s="70" t="s">
        <v>404</v>
      </c>
      <c r="L51" s="346"/>
      <c r="M51" s="346" t="s">
        <v>1140</v>
      </c>
      <c r="N51" s="346"/>
      <c r="O51" s="150" t="s">
        <v>405</v>
      </c>
      <c r="P51" s="150"/>
      <c r="Q51" s="404"/>
      <c r="R51" s="407">
        <v>0</v>
      </c>
      <c r="S51" s="407">
        <v>0</v>
      </c>
      <c r="T51" s="425"/>
      <c r="U51" s="71"/>
      <c r="V51" s="426"/>
      <c r="W51" s="431">
        <v>0</v>
      </c>
      <c r="X51" s="431">
        <v>0</v>
      </c>
      <c r="Y51" s="428">
        <v>-5.07</v>
      </c>
      <c r="Z51" s="429">
        <v>0</v>
      </c>
      <c r="AA51" s="429">
        <v>0</v>
      </c>
      <c r="AB51" s="363" t="e">
        <v>#N/A</v>
      </c>
      <c r="AC51" s="360">
        <v>0</v>
      </c>
      <c r="AD51" s="360">
        <v>0</v>
      </c>
      <c r="AE51" s="360">
        <v>0</v>
      </c>
      <c r="AF51" s="360">
        <v>0</v>
      </c>
      <c r="AG51" s="360">
        <v>0</v>
      </c>
      <c r="AH51" s="360" t="e">
        <f t="shared" si="1"/>
        <v>#N/A</v>
      </c>
      <c r="AI51" s="362" t="e">
        <f>ERP[[#This Row],[2026 Working Total]]-ERP[[#This Row],[LE2 Final Submission]]</f>
        <v>#N/A</v>
      </c>
      <c r="AJ51" s="79" t="e">
        <v>#N/A</v>
      </c>
      <c r="AK51" s="79" t="e">
        <f t="shared" si="0"/>
        <v>#N/A</v>
      </c>
      <c r="AL51" s="374">
        <f>SUM(ERP[[#This Row],[AP01]:[AP06]])-SUM(ERP[[#This Row],[AP01 LE2]:[AP06 LE2]])</f>
        <v>-5.07</v>
      </c>
      <c r="AM51" s="80"/>
      <c r="AN51" s="79" t="e">
        <f>ERP[[#This Row],[2026 Working Total to Budget/LE]]-ERP[[#This Row],[Giveback]]</f>
        <v>#N/A</v>
      </c>
      <c r="AO51" s="81"/>
      <c r="AP51" s="375"/>
      <c r="AQ51" s="375">
        <v>0</v>
      </c>
      <c r="AR51" s="375">
        <v>0</v>
      </c>
      <c r="AS51" s="375">
        <v>0</v>
      </c>
      <c r="AT51" s="375">
        <v>0</v>
      </c>
      <c r="AU51" s="375">
        <v>0</v>
      </c>
      <c r="AV51" s="375">
        <v>0</v>
      </c>
      <c r="AW51" s="375">
        <v>0</v>
      </c>
      <c r="AX51" s="375">
        <v>0</v>
      </c>
      <c r="AY51" s="375">
        <v>0</v>
      </c>
      <c r="AZ51" s="375">
        <v>0</v>
      </c>
      <c r="BA51" s="375">
        <v>0</v>
      </c>
      <c r="BB51" s="375">
        <v>0</v>
      </c>
      <c r="BC51" s="79"/>
      <c r="BD51" s="79">
        <v>0</v>
      </c>
      <c r="BE51" s="79">
        <v>0</v>
      </c>
      <c r="BF51" s="79">
        <v>0</v>
      </c>
      <c r="BG51" s="79">
        <v>0</v>
      </c>
      <c r="BH51" s="79">
        <v>0</v>
      </c>
      <c r="BI51" s="79">
        <v>0</v>
      </c>
      <c r="BJ51" s="79">
        <v>0</v>
      </c>
      <c r="BK51" s="79">
        <v>0</v>
      </c>
      <c r="BL51" s="79">
        <v>0</v>
      </c>
      <c r="BM51" s="79">
        <v>0</v>
      </c>
      <c r="BN51" s="79">
        <v>0</v>
      </c>
      <c r="BO51" s="79">
        <v>0</v>
      </c>
    </row>
    <row r="52" spans="1:67" ht="15" customHeight="1">
      <c r="A52" s="150" t="s">
        <v>2753</v>
      </c>
      <c r="B52" s="296" t="s">
        <v>2754</v>
      </c>
      <c r="C52" s="150" t="s">
        <v>1136</v>
      </c>
      <c r="D52" s="150" t="s">
        <v>1567</v>
      </c>
      <c r="E52" s="150" t="s">
        <v>1567</v>
      </c>
      <c r="F52" s="150" t="s">
        <v>1567</v>
      </c>
      <c r="G52" s="511" t="s">
        <v>639</v>
      </c>
      <c r="H52" s="394" t="s">
        <v>2232</v>
      </c>
      <c r="I52" s="333"/>
      <c r="J52" s="332" t="s">
        <v>2755</v>
      </c>
      <c r="K52" s="90" t="s">
        <v>657</v>
      </c>
      <c r="L52" s="347"/>
      <c r="M52" s="347"/>
      <c r="N52" s="348"/>
      <c r="O52" s="348"/>
      <c r="P52" s="348"/>
      <c r="Q52" s="402"/>
      <c r="R52" s="406"/>
      <c r="S52" s="406"/>
      <c r="T52" s="425"/>
      <c r="U52" s="71"/>
      <c r="V52" s="435"/>
      <c r="W52" s="436"/>
      <c r="X52" s="436"/>
      <c r="Y52" s="429">
        <v>-920.3</v>
      </c>
      <c r="Z52" s="429">
        <v>0</v>
      </c>
      <c r="AA52" s="429">
        <v>0</v>
      </c>
      <c r="AB52" s="363" t="e">
        <v>#N/A</v>
      </c>
      <c r="AC52" s="364"/>
      <c r="AD52" s="364"/>
      <c r="AE52" s="364"/>
      <c r="AF52" s="364"/>
      <c r="AG52" s="364"/>
      <c r="AH52" s="360" t="e">
        <f t="shared" si="1"/>
        <v>#N/A</v>
      </c>
      <c r="AI52" s="362" t="e">
        <f>ERP[[#This Row],[2026 Working Total]]-ERP[[#This Row],[LE2 Final Submission]]</f>
        <v>#N/A</v>
      </c>
      <c r="AJ52" s="79" t="e">
        <v>#N/A</v>
      </c>
      <c r="AK52" s="79" t="e">
        <f t="shared" si="0"/>
        <v>#N/A</v>
      </c>
      <c r="AL52" s="374">
        <f>SUM(ERP[[#This Row],[AP01]:[AP06]])-SUM(ERP[[#This Row],[AP01 LE2]:[AP06 LE2]])</f>
        <v>-920.3</v>
      </c>
      <c r="AM52" s="80"/>
      <c r="AN52" s="79" t="e">
        <f>ERP[[#This Row],[2026 Working Total to Budget/LE]]-ERP[[#This Row],[Giveback]]</f>
        <v>#N/A</v>
      </c>
      <c r="AO52" s="81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</row>
    <row r="53" spans="1:67" ht="15" customHeight="1">
      <c r="A53" s="150" t="s">
        <v>2230</v>
      </c>
      <c r="B53" s="296" t="s">
        <v>2231</v>
      </c>
      <c r="C53" s="150" t="s">
        <v>1136</v>
      </c>
      <c r="D53" s="150" t="s">
        <v>1135</v>
      </c>
      <c r="E53" s="150" t="s">
        <v>1137</v>
      </c>
      <c r="F53" s="150" t="s">
        <v>1137</v>
      </c>
      <c r="G53" s="514" t="s">
        <v>639</v>
      </c>
      <c r="H53" s="394" t="s">
        <v>2232</v>
      </c>
      <c r="I53" s="333"/>
      <c r="J53" s="332" t="s">
        <v>1695</v>
      </c>
      <c r="K53" s="90" t="s">
        <v>657</v>
      </c>
      <c r="L53" s="347"/>
      <c r="M53" s="347"/>
      <c r="N53" s="348"/>
      <c r="O53" s="348"/>
      <c r="P53" s="1" t="s">
        <v>1141</v>
      </c>
      <c r="Q53" s="402"/>
      <c r="R53" s="406"/>
      <c r="S53" s="406"/>
      <c r="T53" s="425"/>
      <c r="U53" s="71"/>
      <c r="V53" s="435"/>
      <c r="W53" s="436"/>
      <c r="X53" s="436"/>
      <c r="Y53" s="429">
        <v>-4832.8900000000003</v>
      </c>
      <c r="Z53" s="429">
        <v>0</v>
      </c>
      <c r="AA53" s="429">
        <v>0</v>
      </c>
      <c r="AB53" s="363" t="e">
        <v>#N/A</v>
      </c>
      <c r="AC53" s="364"/>
      <c r="AD53" s="364"/>
      <c r="AE53" s="364"/>
      <c r="AF53" s="364"/>
      <c r="AG53" s="364"/>
      <c r="AH53" s="360" t="e">
        <f t="shared" si="1"/>
        <v>#N/A</v>
      </c>
      <c r="AI53" s="362" t="e">
        <f>ERP[[#This Row],[2026 Working Total]]-ERP[[#This Row],[LE2 Final Submission]]</f>
        <v>#N/A</v>
      </c>
      <c r="AJ53" s="79" t="e">
        <v>#N/A</v>
      </c>
      <c r="AK53" s="79" t="e">
        <f t="shared" si="0"/>
        <v>#N/A</v>
      </c>
      <c r="AL53" s="374">
        <f>SUM(ERP[[#This Row],[AP01]:[AP06]])-SUM(ERP[[#This Row],[AP01 LE2]:[AP06 LE2]])</f>
        <v>-4832.8900000000003</v>
      </c>
      <c r="AM53" s="80"/>
      <c r="AN53" s="79" t="e">
        <f>ERP[[#This Row],[2026 Working Total to Budget/LE]]-ERP[[#This Row],[Giveback]]</f>
        <v>#N/A</v>
      </c>
      <c r="AO53" s="81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</row>
    <row r="54" spans="1:67" ht="15" customHeight="1">
      <c r="A54" s="150" t="s">
        <v>2756</v>
      </c>
      <c r="B54" s="296" t="s">
        <v>2757</v>
      </c>
      <c r="C54" s="150" t="s">
        <v>1136</v>
      </c>
      <c r="D54" s="150" t="s">
        <v>1567</v>
      </c>
      <c r="E54" s="150" t="s">
        <v>1567</v>
      </c>
      <c r="F54" s="150" t="s">
        <v>1567</v>
      </c>
      <c r="G54" s="511" t="s">
        <v>639</v>
      </c>
      <c r="H54" s="394" t="s">
        <v>2758</v>
      </c>
      <c r="I54" s="333"/>
      <c r="J54" s="332" t="s">
        <v>2755</v>
      </c>
      <c r="K54" s="90" t="s">
        <v>659</v>
      </c>
      <c r="L54" s="347"/>
      <c r="M54" s="347"/>
      <c r="N54" s="348"/>
      <c r="O54" s="348"/>
      <c r="P54" s="348"/>
      <c r="Q54" s="402"/>
      <c r="R54" s="406"/>
      <c r="S54" s="406"/>
      <c r="T54" s="425"/>
      <c r="U54" s="71"/>
      <c r="V54" s="435"/>
      <c r="W54" s="436"/>
      <c r="X54" s="436"/>
      <c r="Y54" s="429">
        <v>-6115.8</v>
      </c>
      <c r="Z54" s="429">
        <v>0</v>
      </c>
      <c r="AA54" s="429">
        <v>0</v>
      </c>
      <c r="AB54" s="363" t="e">
        <v>#N/A</v>
      </c>
      <c r="AC54" s="364"/>
      <c r="AD54" s="364"/>
      <c r="AE54" s="364"/>
      <c r="AF54" s="364"/>
      <c r="AG54" s="364"/>
      <c r="AH54" s="360" t="e">
        <f t="shared" si="1"/>
        <v>#N/A</v>
      </c>
      <c r="AI54" s="362" t="e">
        <f>ERP[[#This Row],[2026 Working Total]]-ERP[[#This Row],[LE2 Final Submission]]</f>
        <v>#N/A</v>
      </c>
      <c r="AJ54" s="79" t="e">
        <v>#N/A</v>
      </c>
      <c r="AK54" s="79" t="e">
        <f t="shared" si="0"/>
        <v>#N/A</v>
      </c>
      <c r="AL54" s="374">
        <f>SUM(ERP[[#This Row],[AP01]:[AP06]])-SUM(ERP[[#This Row],[AP01 LE2]:[AP06 LE2]])</f>
        <v>-6115.8</v>
      </c>
      <c r="AM54" s="80"/>
      <c r="AN54" s="79" t="e">
        <f>ERP[[#This Row],[2026 Working Total to Budget/LE]]-ERP[[#This Row],[Giveback]]</f>
        <v>#N/A</v>
      </c>
      <c r="AO54" s="81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</row>
    <row r="55" spans="1:67" ht="15" customHeight="1">
      <c r="A55" s="150" t="s">
        <v>2233</v>
      </c>
      <c r="B55" s="296" t="s">
        <v>2234</v>
      </c>
      <c r="C55" s="150" t="s">
        <v>1136</v>
      </c>
      <c r="D55" s="150" t="s">
        <v>1135</v>
      </c>
      <c r="E55" s="150" t="s">
        <v>1137</v>
      </c>
      <c r="F55" s="150" t="s">
        <v>1137</v>
      </c>
      <c r="G55" s="514" t="s">
        <v>639</v>
      </c>
      <c r="H55" s="394" t="s">
        <v>2235</v>
      </c>
      <c r="I55" s="333"/>
      <c r="J55" s="332" t="s">
        <v>1695</v>
      </c>
      <c r="K55" s="90" t="s">
        <v>659</v>
      </c>
      <c r="L55" s="347"/>
      <c r="M55" s="347"/>
      <c r="N55" s="348"/>
      <c r="O55" s="348"/>
      <c r="P55" s="1" t="s">
        <v>1141</v>
      </c>
      <c r="Q55" s="402"/>
      <c r="R55" s="406"/>
      <c r="S55" s="406"/>
      <c r="T55" s="425"/>
      <c r="U55" s="71"/>
      <c r="V55" s="435"/>
      <c r="W55" s="436"/>
      <c r="X55" s="436"/>
      <c r="Y55" s="429">
        <v>-38080.83</v>
      </c>
      <c r="Z55" s="429">
        <v>0</v>
      </c>
      <c r="AA55" s="429">
        <v>0</v>
      </c>
      <c r="AB55" s="363" t="e">
        <v>#N/A</v>
      </c>
      <c r="AC55" s="364"/>
      <c r="AD55" s="364"/>
      <c r="AE55" s="364"/>
      <c r="AF55" s="364"/>
      <c r="AG55" s="364"/>
      <c r="AH55" s="360" t="e">
        <f t="shared" si="1"/>
        <v>#N/A</v>
      </c>
      <c r="AI55" s="362" t="e">
        <f>ERP[[#This Row],[2026 Working Total]]-ERP[[#This Row],[LE2 Final Submission]]</f>
        <v>#N/A</v>
      </c>
      <c r="AJ55" s="79" t="e">
        <v>#N/A</v>
      </c>
      <c r="AK55" s="79" t="e">
        <f t="shared" si="0"/>
        <v>#N/A</v>
      </c>
      <c r="AL55" s="374">
        <f>SUM(ERP[[#This Row],[AP01]:[AP06]])-SUM(ERP[[#This Row],[AP01 LE2]:[AP06 LE2]])</f>
        <v>-38080.83</v>
      </c>
      <c r="AM55" s="80"/>
      <c r="AN55" s="79" t="e">
        <f>ERP[[#This Row],[2026 Working Total to Budget/LE]]-ERP[[#This Row],[Giveback]]</f>
        <v>#N/A</v>
      </c>
      <c r="AO55" s="81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</row>
    <row r="56" spans="1:67" ht="15" customHeight="1">
      <c r="A56" s="79" t="s">
        <v>1777</v>
      </c>
      <c r="B56" s="296" t="s">
        <v>406</v>
      </c>
      <c r="C56" s="150" t="s">
        <v>1136</v>
      </c>
      <c r="D56" s="332" t="s">
        <v>1135</v>
      </c>
      <c r="E56" s="382" t="s">
        <v>1135</v>
      </c>
      <c r="F56" s="331" t="s">
        <v>1137</v>
      </c>
      <c r="G56" s="512" t="s">
        <v>389</v>
      </c>
      <c r="H56" s="394" t="s">
        <v>1778</v>
      </c>
      <c r="I56" s="343"/>
      <c r="J56" s="331"/>
      <c r="K56" s="122" t="s">
        <v>407</v>
      </c>
      <c r="L56" s="343"/>
      <c r="M56" s="346" t="s">
        <v>1140</v>
      </c>
      <c r="N56" s="348"/>
      <c r="O56" s="384" t="s">
        <v>408</v>
      </c>
      <c r="P56" s="387" t="s">
        <v>1779</v>
      </c>
      <c r="Q56" s="432"/>
      <c r="R56" s="358">
        <v>-21666.659999999996</v>
      </c>
      <c r="S56" s="378">
        <v>-15000</v>
      </c>
      <c r="T56" s="430"/>
      <c r="U56" s="137"/>
      <c r="V56" s="433"/>
      <c r="W56" s="434"/>
      <c r="X56" s="434"/>
      <c r="Y56" s="428" t="s">
        <v>1142</v>
      </c>
      <c r="Z56" s="429">
        <v>0</v>
      </c>
      <c r="AA56" s="429">
        <v>0</v>
      </c>
      <c r="AB56" s="363" t="e">
        <v>#N/A</v>
      </c>
      <c r="AC56" s="388">
        <v>-1666.67</v>
      </c>
      <c r="AD56" s="388">
        <v>-1666.67</v>
      </c>
      <c r="AE56" s="388">
        <v>0</v>
      </c>
      <c r="AF56" s="388">
        <v>0</v>
      </c>
      <c r="AG56" s="388">
        <v>0</v>
      </c>
      <c r="AH56" s="360" t="e">
        <f t="shared" si="1"/>
        <v>#N/A</v>
      </c>
      <c r="AI56" s="362" t="e">
        <f>ERP[[#This Row],[2026 Working Total]]-ERP[[#This Row],[LE2 Final Submission]]</f>
        <v>#N/A</v>
      </c>
      <c r="AJ56" s="79" t="e">
        <v>#N/A</v>
      </c>
      <c r="AK56" s="79" t="e">
        <f t="shared" si="0"/>
        <v>#N/A</v>
      </c>
      <c r="AL56" s="374">
        <f>SUM(ERP[[#This Row],[AP01]:[AP06]])-SUM(ERP[[#This Row],[AP01 LE2]:[AP06 LE2]])</f>
        <v>9999.99</v>
      </c>
      <c r="AM56" s="80"/>
      <c r="AN56" s="79" t="e">
        <f>ERP[[#This Row],[2026 Working Total to Budget/LE]]-ERP[[#This Row],[Giveback]]</f>
        <v>#N/A</v>
      </c>
      <c r="AO56" s="81"/>
      <c r="AP56" s="375"/>
      <c r="AQ56" s="375"/>
      <c r="AR56" s="375"/>
      <c r="AS56" s="375">
        <v>-3333.33</v>
      </c>
      <c r="AT56" s="375">
        <v>-3333.33</v>
      </c>
      <c r="AU56" s="375">
        <v>-3333.33</v>
      </c>
      <c r="AV56" s="375">
        <v>-1666.67</v>
      </c>
      <c r="AW56" s="375">
        <v>-1666.67</v>
      </c>
      <c r="AX56" s="375">
        <v>-1666.67</v>
      </c>
      <c r="AY56" s="375">
        <v>0</v>
      </c>
      <c r="AZ56" s="375">
        <v>0</v>
      </c>
      <c r="BA56" s="375">
        <v>0</v>
      </c>
      <c r="BB56" s="375">
        <v>-15000</v>
      </c>
      <c r="BC56" s="103">
        <v>0</v>
      </c>
      <c r="BD56" s="103">
        <v>-3333.33</v>
      </c>
      <c r="BE56" s="103">
        <v>-3333.33</v>
      </c>
      <c r="BF56" s="103">
        <v>-3333.33</v>
      </c>
      <c r="BG56" s="103">
        <v>-3333.33</v>
      </c>
      <c r="BH56" s="103">
        <v>-3333.33</v>
      </c>
      <c r="BI56" s="103">
        <v>-1666.67</v>
      </c>
      <c r="BJ56" s="103">
        <v>-1666.67</v>
      </c>
      <c r="BK56" s="103">
        <v>-1666.67</v>
      </c>
      <c r="BL56" s="103">
        <v>0</v>
      </c>
      <c r="BM56" s="103">
        <v>0</v>
      </c>
      <c r="BN56" s="103">
        <v>0</v>
      </c>
      <c r="BO56" s="79">
        <f>SUM(ERP[[#This Row],[2026 AP01]:[2026 AP12]])</f>
        <v>-21666.659999999996</v>
      </c>
    </row>
    <row r="57" spans="1:67" ht="15" customHeight="1">
      <c r="A57" s="66" t="s">
        <v>2236</v>
      </c>
      <c r="B57" s="66" t="s">
        <v>2237</v>
      </c>
      <c r="C57" s="150" t="s">
        <v>1136</v>
      </c>
      <c r="D57" s="150" t="s">
        <v>1135</v>
      </c>
      <c r="E57" s="150" t="s">
        <v>1137</v>
      </c>
      <c r="F57" s="150" t="s">
        <v>1137</v>
      </c>
      <c r="G57" s="511" t="s">
        <v>639</v>
      </c>
      <c r="H57" s="392" t="s">
        <v>1685</v>
      </c>
      <c r="I57" s="343"/>
      <c r="J57" s="343"/>
      <c r="K57" s="70" t="s">
        <v>661</v>
      </c>
      <c r="L57" s="346" t="s">
        <v>1139</v>
      </c>
      <c r="M57" s="346" t="s">
        <v>1140</v>
      </c>
      <c r="N57" s="346"/>
      <c r="O57" s="150" t="s">
        <v>25</v>
      </c>
      <c r="P57" s="150"/>
      <c r="Q57" s="404"/>
      <c r="R57" s="407">
        <v>0</v>
      </c>
      <c r="S57" s="407">
        <v>0</v>
      </c>
      <c r="T57" s="425"/>
      <c r="U57" s="71"/>
      <c r="V57" s="426">
        <v>-18074.080000000002</v>
      </c>
      <c r="W57" s="427">
        <v>18074.080000000002</v>
      </c>
      <c r="X57" s="431">
        <v>0</v>
      </c>
      <c r="Y57" s="428" t="s">
        <v>1142</v>
      </c>
      <c r="Z57" s="429">
        <v>0</v>
      </c>
      <c r="AA57" s="429">
        <v>0</v>
      </c>
      <c r="AB57" s="363" t="e">
        <v>#N/A</v>
      </c>
      <c r="AC57" s="360">
        <v>0</v>
      </c>
      <c r="AD57" s="360">
        <v>0</v>
      </c>
      <c r="AE57" s="360">
        <v>0</v>
      </c>
      <c r="AF57" s="360">
        <v>0</v>
      </c>
      <c r="AG57" s="360">
        <v>0</v>
      </c>
      <c r="AH57" s="360" t="e">
        <f t="shared" si="1"/>
        <v>#N/A</v>
      </c>
      <c r="AI57" s="362" t="e">
        <f>ERP[[#This Row],[2026 Working Total]]-ERP[[#This Row],[LE2 Final Submission]]</f>
        <v>#N/A</v>
      </c>
      <c r="AJ57" s="79" t="e">
        <v>#N/A</v>
      </c>
      <c r="AK57" s="79" t="e">
        <f t="shared" si="0"/>
        <v>#N/A</v>
      </c>
      <c r="AL57" s="374">
        <f>SUM(ERP[[#This Row],[AP01]:[AP06]])-SUM(ERP[[#This Row],[AP01 LE2]:[AP06 LE2]])</f>
        <v>0</v>
      </c>
      <c r="AM57" s="80"/>
      <c r="AN57" s="79" t="e">
        <f>ERP[[#This Row],[2026 Working Total to Budget/LE]]-ERP[[#This Row],[Giveback]]</f>
        <v>#N/A</v>
      </c>
      <c r="AO57" s="81"/>
      <c r="AP57" s="375">
        <v>-18074.080000000002</v>
      </c>
      <c r="AQ57" s="375">
        <v>18074.080000000002</v>
      </c>
      <c r="AR57" s="375">
        <v>0</v>
      </c>
      <c r="AS57" s="375">
        <v>0</v>
      </c>
      <c r="AT57" s="375">
        <v>0</v>
      </c>
      <c r="AU57" s="375">
        <v>0</v>
      </c>
      <c r="AV57" s="375">
        <v>0</v>
      </c>
      <c r="AW57" s="375">
        <v>0</v>
      </c>
      <c r="AX57" s="375">
        <v>0</v>
      </c>
      <c r="AY57" s="375">
        <v>0</v>
      </c>
      <c r="AZ57" s="375">
        <v>0</v>
      </c>
      <c r="BA57" s="375">
        <v>0</v>
      </c>
      <c r="BB57" s="375">
        <v>0</v>
      </c>
      <c r="BC57" s="79">
        <v>-18074.080000000002</v>
      </c>
      <c r="BD57" s="79">
        <v>18074.080000000002</v>
      </c>
      <c r="BE57" s="79">
        <v>0</v>
      </c>
      <c r="BF57" s="79">
        <v>0</v>
      </c>
      <c r="BG57" s="79">
        <v>0</v>
      </c>
      <c r="BH57" s="79">
        <v>0</v>
      </c>
      <c r="BI57" s="79">
        <v>0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0</v>
      </c>
    </row>
    <row r="58" spans="1:67" ht="15" customHeight="1">
      <c r="A58" s="66" t="s">
        <v>2759</v>
      </c>
      <c r="B58" s="66" t="s">
        <v>2760</v>
      </c>
      <c r="C58" s="150" t="s">
        <v>1136</v>
      </c>
      <c r="D58" s="150" t="s">
        <v>1567</v>
      </c>
      <c r="E58" s="150" t="s">
        <v>1567</v>
      </c>
      <c r="F58" s="150" t="s">
        <v>1567</v>
      </c>
      <c r="G58" s="511" t="s">
        <v>639</v>
      </c>
      <c r="H58" s="392" t="s">
        <v>1685</v>
      </c>
      <c r="I58" s="343"/>
      <c r="J58" s="343"/>
      <c r="K58" s="70" t="s">
        <v>661</v>
      </c>
      <c r="L58" s="346" t="s">
        <v>1139</v>
      </c>
      <c r="M58" s="346" t="s">
        <v>1140</v>
      </c>
      <c r="N58" s="346"/>
      <c r="O58" s="150" t="s">
        <v>25</v>
      </c>
      <c r="P58" s="150"/>
      <c r="Q58" s="404"/>
      <c r="R58" s="407">
        <v>0</v>
      </c>
      <c r="S58" s="407">
        <v>0</v>
      </c>
      <c r="T58" s="425"/>
      <c r="U58" s="71"/>
      <c r="V58" s="426">
        <v>-6074.45</v>
      </c>
      <c r="W58" s="427">
        <v>6074.45</v>
      </c>
      <c r="X58" s="431">
        <v>0</v>
      </c>
      <c r="Y58" s="428" t="s">
        <v>1142</v>
      </c>
      <c r="Z58" s="429">
        <v>0</v>
      </c>
      <c r="AA58" s="429">
        <v>0</v>
      </c>
      <c r="AB58" s="363" t="e">
        <v>#N/A</v>
      </c>
      <c r="AC58" s="360">
        <v>0</v>
      </c>
      <c r="AD58" s="360">
        <v>0</v>
      </c>
      <c r="AE58" s="360">
        <v>0</v>
      </c>
      <c r="AF58" s="360">
        <v>0</v>
      </c>
      <c r="AG58" s="360">
        <v>0</v>
      </c>
      <c r="AH58" s="360" t="e">
        <f t="shared" si="1"/>
        <v>#N/A</v>
      </c>
      <c r="AI58" s="362" t="e">
        <f>ERP[[#This Row],[2026 Working Total]]-ERP[[#This Row],[LE2 Final Submission]]</f>
        <v>#N/A</v>
      </c>
      <c r="AJ58" s="79" t="e">
        <v>#N/A</v>
      </c>
      <c r="AK58" s="79" t="e">
        <f t="shared" si="0"/>
        <v>#N/A</v>
      </c>
      <c r="AL58" s="374">
        <f>SUM(ERP[[#This Row],[AP01]:[AP06]])-SUM(ERP[[#This Row],[AP01 LE2]:[AP06 LE2]])</f>
        <v>0</v>
      </c>
      <c r="AM58" s="80"/>
      <c r="AN58" s="79" t="e">
        <f>ERP[[#This Row],[2026 Working Total to Budget/LE]]-ERP[[#This Row],[Giveback]]</f>
        <v>#N/A</v>
      </c>
      <c r="AO58" s="81"/>
      <c r="AP58" s="375">
        <v>-6074.45</v>
      </c>
      <c r="AQ58" s="375">
        <v>6074.45</v>
      </c>
      <c r="AR58" s="375">
        <v>0</v>
      </c>
      <c r="AS58" s="375">
        <v>0</v>
      </c>
      <c r="AT58" s="375">
        <v>0</v>
      </c>
      <c r="AU58" s="375">
        <v>0</v>
      </c>
      <c r="AV58" s="375">
        <v>0</v>
      </c>
      <c r="AW58" s="375">
        <v>0</v>
      </c>
      <c r="AX58" s="375">
        <v>0</v>
      </c>
      <c r="AY58" s="375">
        <v>0</v>
      </c>
      <c r="AZ58" s="375">
        <v>0</v>
      </c>
      <c r="BA58" s="375">
        <v>0</v>
      </c>
      <c r="BB58" s="375">
        <v>0</v>
      </c>
      <c r="BC58" s="79">
        <v>-6074.45</v>
      </c>
      <c r="BD58" s="79">
        <v>6074.45</v>
      </c>
      <c r="BE58" s="79">
        <v>0</v>
      </c>
      <c r="BF58" s="79">
        <v>0</v>
      </c>
      <c r="BG58" s="79">
        <v>0</v>
      </c>
      <c r="BH58" s="79">
        <v>0</v>
      </c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0</v>
      </c>
    </row>
    <row r="59" spans="1:67" ht="15" customHeight="1">
      <c r="A59" s="66" t="s">
        <v>2238</v>
      </c>
      <c r="B59" s="66" t="s">
        <v>2239</v>
      </c>
      <c r="C59" s="150" t="s">
        <v>1136</v>
      </c>
      <c r="D59" s="150" t="s">
        <v>1135</v>
      </c>
      <c r="E59" s="150" t="s">
        <v>1137</v>
      </c>
      <c r="F59" s="150" t="s">
        <v>1137</v>
      </c>
      <c r="G59" s="511" t="s">
        <v>639</v>
      </c>
      <c r="H59" s="392" t="s">
        <v>1685</v>
      </c>
      <c r="I59" s="343"/>
      <c r="J59" s="343"/>
      <c r="K59" s="70" t="s">
        <v>663</v>
      </c>
      <c r="L59" s="346" t="s">
        <v>1139</v>
      </c>
      <c r="M59" s="346" t="s">
        <v>1140</v>
      </c>
      <c r="N59" s="346"/>
      <c r="O59" s="150" t="s">
        <v>25</v>
      </c>
      <c r="P59" s="150"/>
      <c r="Q59" s="404"/>
      <c r="R59" s="407">
        <v>0</v>
      </c>
      <c r="S59" s="407">
        <v>0</v>
      </c>
      <c r="T59" s="425"/>
      <c r="U59" s="71"/>
      <c r="V59" s="426">
        <v>-1922.23</v>
      </c>
      <c r="W59" s="427">
        <v>1922.23</v>
      </c>
      <c r="X59" s="431">
        <v>0</v>
      </c>
      <c r="Y59" s="428" t="s">
        <v>1142</v>
      </c>
      <c r="Z59" s="429">
        <v>0</v>
      </c>
      <c r="AA59" s="429">
        <v>0</v>
      </c>
      <c r="AB59" s="363" t="e">
        <v>#N/A</v>
      </c>
      <c r="AC59" s="360">
        <v>0</v>
      </c>
      <c r="AD59" s="360">
        <v>0</v>
      </c>
      <c r="AE59" s="360">
        <v>0</v>
      </c>
      <c r="AF59" s="360">
        <v>0</v>
      </c>
      <c r="AG59" s="360">
        <v>0</v>
      </c>
      <c r="AH59" s="360" t="e">
        <f t="shared" si="1"/>
        <v>#N/A</v>
      </c>
      <c r="AI59" s="362" t="e">
        <f>ERP[[#This Row],[2026 Working Total]]-ERP[[#This Row],[LE2 Final Submission]]</f>
        <v>#N/A</v>
      </c>
      <c r="AJ59" s="79" t="e">
        <v>#N/A</v>
      </c>
      <c r="AK59" s="79" t="e">
        <f t="shared" si="0"/>
        <v>#N/A</v>
      </c>
      <c r="AL59" s="374">
        <f>SUM(ERP[[#This Row],[AP01]:[AP06]])-SUM(ERP[[#This Row],[AP01 LE2]:[AP06 LE2]])</f>
        <v>0</v>
      </c>
      <c r="AM59" s="80"/>
      <c r="AN59" s="79" t="e">
        <f>ERP[[#This Row],[2026 Working Total to Budget/LE]]-ERP[[#This Row],[Giveback]]</f>
        <v>#N/A</v>
      </c>
      <c r="AO59" s="81"/>
      <c r="AP59" s="375">
        <v>-1922.23</v>
      </c>
      <c r="AQ59" s="375">
        <v>1922.23</v>
      </c>
      <c r="AR59" s="375">
        <v>0</v>
      </c>
      <c r="AS59" s="375">
        <v>0</v>
      </c>
      <c r="AT59" s="375">
        <v>0</v>
      </c>
      <c r="AU59" s="375">
        <v>0</v>
      </c>
      <c r="AV59" s="375">
        <v>0</v>
      </c>
      <c r="AW59" s="375">
        <v>0</v>
      </c>
      <c r="AX59" s="375">
        <v>0</v>
      </c>
      <c r="AY59" s="375">
        <v>0</v>
      </c>
      <c r="AZ59" s="375">
        <v>0</v>
      </c>
      <c r="BA59" s="375">
        <v>0</v>
      </c>
      <c r="BB59" s="375">
        <v>0</v>
      </c>
      <c r="BC59" s="79">
        <v>-1922.23</v>
      </c>
      <c r="BD59" s="79">
        <v>1922.23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</row>
    <row r="60" spans="1:67" ht="15" customHeight="1">
      <c r="A60" s="66" t="s">
        <v>2761</v>
      </c>
      <c r="B60" s="66" t="s">
        <v>2762</v>
      </c>
      <c r="C60" s="150" t="s">
        <v>1136</v>
      </c>
      <c r="D60" s="150" t="s">
        <v>1567</v>
      </c>
      <c r="E60" s="150" t="s">
        <v>1567</v>
      </c>
      <c r="F60" s="150" t="s">
        <v>1567</v>
      </c>
      <c r="G60" s="511" t="s">
        <v>639</v>
      </c>
      <c r="H60" s="392" t="s">
        <v>1685</v>
      </c>
      <c r="I60" s="343"/>
      <c r="J60" s="343"/>
      <c r="K60" s="70" t="s">
        <v>663</v>
      </c>
      <c r="L60" s="346" t="s">
        <v>1139</v>
      </c>
      <c r="M60" s="346" t="s">
        <v>1140</v>
      </c>
      <c r="N60" s="346"/>
      <c r="O60" s="150" t="s">
        <v>25</v>
      </c>
      <c r="P60" s="150"/>
      <c r="Q60" s="404"/>
      <c r="R60" s="407">
        <v>0</v>
      </c>
      <c r="S60" s="407">
        <v>0</v>
      </c>
      <c r="T60" s="425"/>
      <c r="U60" s="71"/>
      <c r="V60" s="426">
        <v>-1978.48</v>
      </c>
      <c r="W60" s="427">
        <v>1978.48</v>
      </c>
      <c r="X60" s="431">
        <v>0</v>
      </c>
      <c r="Y60" s="428" t="s">
        <v>1142</v>
      </c>
      <c r="Z60" s="429">
        <v>0</v>
      </c>
      <c r="AA60" s="429">
        <v>0</v>
      </c>
      <c r="AB60" s="363" t="e">
        <v>#N/A</v>
      </c>
      <c r="AC60" s="360">
        <v>0</v>
      </c>
      <c r="AD60" s="360">
        <v>0</v>
      </c>
      <c r="AE60" s="360">
        <v>0</v>
      </c>
      <c r="AF60" s="360">
        <v>0</v>
      </c>
      <c r="AG60" s="360">
        <v>0</v>
      </c>
      <c r="AH60" s="360" t="e">
        <f t="shared" si="1"/>
        <v>#N/A</v>
      </c>
      <c r="AI60" s="362" t="e">
        <f>ERP[[#This Row],[2026 Working Total]]-ERP[[#This Row],[LE2 Final Submission]]</f>
        <v>#N/A</v>
      </c>
      <c r="AJ60" s="79" t="e">
        <v>#N/A</v>
      </c>
      <c r="AK60" s="79" t="e">
        <f t="shared" si="0"/>
        <v>#N/A</v>
      </c>
      <c r="AL60" s="374">
        <f>SUM(ERP[[#This Row],[AP01]:[AP06]])-SUM(ERP[[#This Row],[AP01 LE2]:[AP06 LE2]])</f>
        <v>0</v>
      </c>
      <c r="AM60" s="80"/>
      <c r="AN60" s="79" t="e">
        <f>ERP[[#This Row],[2026 Working Total to Budget/LE]]-ERP[[#This Row],[Giveback]]</f>
        <v>#N/A</v>
      </c>
      <c r="AO60" s="81"/>
      <c r="AP60" s="375">
        <v>-1978.48</v>
      </c>
      <c r="AQ60" s="375">
        <v>1978.48</v>
      </c>
      <c r="AR60" s="375">
        <v>0</v>
      </c>
      <c r="AS60" s="375">
        <v>0</v>
      </c>
      <c r="AT60" s="375">
        <v>0</v>
      </c>
      <c r="AU60" s="375">
        <v>0</v>
      </c>
      <c r="AV60" s="375">
        <v>0</v>
      </c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79">
        <v>-1978.48</v>
      </c>
      <c r="BD60" s="79">
        <v>1978.48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</row>
    <row r="61" spans="1:67" ht="15" customHeight="1">
      <c r="A61" s="66" t="s">
        <v>1724</v>
      </c>
      <c r="B61" s="66" t="s">
        <v>1725</v>
      </c>
      <c r="C61" s="150" t="s">
        <v>1136</v>
      </c>
      <c r="D61" s="150" t="s">
        <v>1345</v>
      </c>
      <c r="E61" s="150" t="s">
        <v>1346</v>
      </c>
      <c r="F61" s="150" t="s">
        <v>1346</v>
      </c>
      <c r="G61" s="511" t="s">
        <v>342</v>
      </c>
      <c r="H61" s="392" t="s">
        <v>1685</v>
      </c>
      <c r="I61" s="343"/>
      <c r="J61" s="343"/>
      <c r="K61" s="70" t="s">
        <v>350</v>
      </c>
      <c r="L61" s="346" t="s">
        <v>1139</v>
      </c>
      <c r="M61" s="346" t="s">
        <v>1140</v>
      </c>
      <c r="N61" s="346"/>
      <c r="O61" s="150" t="s">
        <v>25</v>
      </c>
      <c r="P61" s="150"/>
      <c r="Q61" s="403"/>
      <c r="R61" s="406">
        <v>0</v>
      </c>
      <c r="S61" s="406">
        <v>904.37</v>
      </c>
      <c r="T61" s="425"/>
      <c r="U61" s="71"/>
      <c r="V61" s="426">
        <v>904.37</v>
      </c>
      <c r="W61" s="431">
        <v>0</v>
      </c>
      <c r="X61" s="431">
        <v>0</v>
      </c>
      <c r="Y61" s="428" t="s">
        <v>1142</v>
      </c>
      <c r="Z61" s="429">
        <v>0</v>
      </c>
      <c r="AA61" s="429">
        <v>0</v>
      </c>
      <c r="AB61" s="363" t="e">
        <v>#N/A</v>
      </c>
      <c r="AC61" s="360">
        <v>0</v>
      </c>
      <c r="AD61" s="360">
        <v>0</v>
      </c>
      <c r="AE61" s="360">
        <v>0</v>
      </c>
      <c r="AF61" s="360">
        <v>0</v>
      </c>
      <c r="AG61" s="360">
        <v>0</v>
      </c>
      <c r="AH61" s="360" t="e">
        <f t="shared" si="1"/>
        <v>#N/A</v>
      </c>
      <c r="AI61" s="362" t="e">
        <f>ERP[[#This Row],[2026 Working Total]]-ERP[[#This Row],[LE2 Final Submission]]</f>
        <v>#N/A</v>
      </c>
      <c r="AJ61" s="79" t="e">
        <v>#N/A</v>
      </c>
      <c r="AK61" s="79" t="e">
        <f t="shared" si="0"/>
        <v>#N/A</v>
      </c>
      <c r="AL61" s="374">
        <f>SUM(ERP[[#This Row],[AP01]:[AP06]])-SUM(ERP[[#This Row],[AP01 LE2]:[AP06 LE2]])</f>
        <v>0</v>
      </c>
      <c r="AM61" s="80"/>
      <c r="AN61" s="79" t="e">
        <f>ERP[[#This Row],[2026 Working Total to Budget/LE]]-ERP[[#This Row],[Giveback]]</f>
        <v>#N/A</v>
      </c>
      <c r="AO61" s="81"/>
      <c r="AP61" s="375">
        <v>904.37</v>
      </c>
      <c r="AQ61" s="375">
        <v>0</v>
      </c>
      <c r="AR61" s="375">
        <v>0</v>
      </c>
      <c r="AS61" s="375">
        <v>0</v>
      </c>
      <c r="AT61" s="375">
        <v>0</v>
      </c>
      <c r="AU61" s="375">
        <v>0</v>
      </c>
      <c r="AV61" s="375">
        <v>0</v>
      </c>
      <c r="AW61" s="375">
        <v>0</v>
      </c>
      <c r="AX61" s="375">
        <v>0</v>
      </c>
      <c r="AY61" s="375">
        <v>0</v>
      </c>
      <c r="AZ61" s="375">
        <v>0</v>
      </c>
      <c r="BA61" s="375">
        <v>0</v>
      </c>
      <c r="BB61" s="375">
        <v>904.37</v>
      </c>
      <c r="BC61" s="79">
        <v>904.37</v>
      </c>
      <c r="BD61" s="79">
        <v>0</v>
      </c>
      <c r="BE61" s="79">
        <v>0</v>
      </c>
      <c r="BF61" s="79">
        <v>0</v>
      </c>
      <c r="BG61" s="79">
        <v>0</v>
      </c>
      <c r="BH61" s="79">
        <v>0</v>
      </c>
      <c r="BI61" s="79">
        <v>0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904.37</v>
      </c>
    </row>
    <row r="62" spans="1:67" ht="15" customHeight="1">
      <c r="A62" s="66" t="s">
        <v>2077</v>
      </c>
      <c r="B62" s="66" t="s">
        <v>2078</v>
      </c>
      <c r="C62" s="150" t="s">
        <v>1136</v>
      </c>
      <c r="D62" s="150" t="s">
        <v>1345</v>
      </c>
      <c r="E62" s="150" t="s">
        <v>1346</v>
      </c>
      <c r="F62" s="150" t="s">
        <v>1346</v>
      </c>
      <c r="G62" s="511" t="s">
        <v>389</v>
      </c>
      <c r="H62" s="392" t="s">
        <v>1685</v>
      </c>
      <c r="I62" s="343"/>
      <c r="J62" s="343"/>
      <c r="K62" s="70" t="s">
        <v>350</v>
      </c>
      <c r="L62" s="346" t="s">
        <v>1139</v>
      </c>
      <c r="M62" s="346" t="s">
        <v>1140</v>
      </c>
      <c r="N62" s="346"/>
      <c r="O62" s="150" t="s">
        <v>25</v>
      </c>
      <c r="P62" s="150"/>
      <c r="Q62" s="403"/>
      <c r="R62" s="406">
        <v>0</v>
      </c>
      <c r="S62" s="406">
        <v>108.52</v>
      </c>
      <c r="T62" s="430"/>
      <c r="U62" s="137"/>
      <c r="V62" s="426">
        <v>108.52</v>
      </c>
      <c r="W62" s="431">
        <v>0</v>
      </c>
      <c r="X62" s="431">
        <v>0</v>
      </c>
      <c r="Y62" s="428" t="s">
        <v>1142</v>
      </c>
      <c r="Z62" s="429">
        <v>0</v>
      </c>
      <c r="AA62" s="429">
        <v>0</v>
      </c>
      <c r="AB62" s="363" t="e">
        <v>#N/A</v>
      </c>
      <c r="AC62" s="360">
        <v>0</v>
      </c>
      <c r="AD62" s="360">
        <v>0</v>
      </c>
      <c r="AE62" s="360">
        <v>0</v>
      </c>
      <c r="AF62" s="360">
        <v>0</v>
      </c>
      <c r="AG62" s="360">
        <v>0</v>
      </c>
      <c r="AH62" s="360" t="e">
        <f t="shared" si="1"/>
        <v>#N/A</v>
      </c>
      <c r="AI62" s="362" t="e">
        <f>ERP[[#This Row],[2026 Working Total]]-ERP[[#This Row],[LE2 Final Submission]]</f>
        <v>#N/A</v>
      </c>
      <c r="AJ62" s="79" t="e">
        <v>#N/A</v>
      </c>
      <c r="AK62" s="79" t="e">
        <f t="shared" si="0"/>
        <v>#N/A</v>
      </c>
      <c r="AL62" s="374">
        <f>SUM(ERP[[#This Row],[AP01]:[AP06]])-SUM(ERP[[#This Row],[AP01 LE2]:[AP06 LE2]])</f>
        <v>0</v>
      </c>
      <c r="AM62" s="80"/>
      <c r="AN62" s="79" t="e">
        <f>ERP[[#This Row],[2026 Working Total to Budget/LE]]-ERP[[#This Row],[Giveback]]</f>
        <v>#N/A</v>
      </c>
      <c r="AO62" s="81"/>
      <c r="AP62" s="375">
        <v>108.52</v>
      </c>
      <c r="AQ62" s="375">
        <v>0</v>
      </c>
      <c r="AR62" s="375">
        <v>0</v>
      </c>
      <c r="AS62" s="375">
        <v>0</v>
      </c>
      <c r="AT62" s="375">
        <v>0</v>
      </c>
      <c r="AU62" s="375">
        <v>0</v>
      </c>
      <c r="AV62" s="375">
        <v>0</v>
      </c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108.52</v>
      </c>
      <c r="BC62" s="79">
        <v>108.52</v>
      </c>
      <c r="BD62" s="79">
        <v>0</v>
      </c>
      <c r="BE62" s="79">
        <v>0</v>
      </c>
      <c r="BF62" s="79">
        <v>0</v>
      </c>
      <c r="BG62" s="79">
        <v>0</v>
      </c>
      <c r="BH62" s="79">
        <v>0</v>
      </c>
      <c r="BI62" s="79">
        <v>0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108.52</v>
      </c>
    </row>
    <row r="63" spans="1:67" ht="15" customHeight="1">
      <c r="A63" s="66" t="s">
        <v>2763</v>
      </c>
      <c r="B63" s="66" t="s">
        <v>2764</v>
      </c>
      <c r="C63" s="150" t="s">
        <v>1136</v>
      </c>
      <c r="D63" s="150" t="s">
        <v>1345</v>
      </c>
      <c r="E63" s="150" t="s">
        <v>1346</v>
      </c>
      <c r="F63" s="150" t="s">
        <v>1346</v>
      </c>
      <c r="G63" s="511" t="s">
        <v>639</v>
      </c>
      <c r="H63" s="392" t="s">
        <v>1685</v>
      </c>
      <c r="I63" s="343"/>
      <c r="J63" s="343"/>
      <c r="K63" s="70" t="s">
        <v>350</v>
      </c>
      <c r="L63" s="346" t="s">
        <v>1139</v>
      </c>
      <c r="M63" s="346" t="s">
        <v>1140</v>
      </c>
      <c r="N63" s="346"/>
      <c r="O63" s="150" t="s">
        <v>25</v>
      </c>
      <c r="P63" s="150"/>
      <c r="Q63" s="404"/>
      <c r="R63" s="407">
        <v>0</v>
      </c>
      <c r="S63" s="407">
        <v>0</v>
      </c>
      <c r="T63" s="425"/>
      <c r="U63" s="71"/>
      <c r="V63" s="426">
        <v>-256.76</v>
      </c>
      <c r="W63" s="427">
        <v>256.76</v>
      </c>
      <c r="X63" s="431">
        <v>0</v>
      </c>
      <c r="Y63" s="428">
        <v>0</v>
      </c>
      <c r="Z63" s="429">
        <v>0</v>
      </c>
      <c r="AA63" s="429">
        <v>0</v>
      </c>
      <c r="AB63" s="363" t="e">
        <v>#N/A</v>
      </c>
      <c r="AC63" s="360">
        <v>0</v>
      </c>
      <c r="AD63" s="360">
        <v>0</v>
      </c>
      <c r="AE63" s="360">
        <v>0</v>
      </c>
      <c r="AF63" s="360">
        <v>0</v>
      </c>
      <c r="AG63" s="360">
        <v>0</v>
      </c>
      <c r="AH63" s="360" t="e">
        <f t="shared" si="1"/>
        <v>#N/A</v>
      </c>
      <c r="AI63" s="362" t="e">
        <f>ERP[[#This Row],[2026 Working Total]]-ERP[[#This Row],[LE2 Final Submission]]</f>
        <v>#N/A</v>
      </c>
      <c r="AJ63" s="79" t="e">
        <v>#N/A</v>
      </c>
      <c r="AK63" s="79" t="e">
        <f t="shared" si="0"/>
        <v>#N/A</v>
      </c>
      <c r="AL63" s="374">
        <f>SUM(ERP[[#This Row],[AP01]:[AP06]])-SUM(ERP[[#This Row],[AP01 LE2]:[AP06 LE2]])</f>
        <v>0</v>
      </c>
      <c r="AM63" s="80"/>
      <c r="AN63" s="79" t="e">
        <f>ERP[[#This Row],[2026 Working Total to Budget/LE]]-ERP[[#This Row],[Giveback]]</f>
        <v>#N/A</v>
      </c>
      <c r="AO63" s="81"/>
      <c r="AP63" s="375">
        <v>-256.76</v>
      </c>
      <c r="AQ63" s="375">
        <v>256.76</v>
      </c>
      <c r="AR63" s="375">
        <v>0</v>
      </c>
      <c r="AS63" s="375">
        <v>0</v>
      </c>
      <c r="AT63" s="375">
        <v>0</v>
      </c>
      <c r="AU63" s="375">
        <v>0</v>
      </c>
      <c r="AV63" s="375">
        <v>0</v>
      </c>
      <c r="AW63" s="375">
        <v>0</v>
      </c>
      <c r="AX63" s="375">
        <v>0</v>
      </c>
      <c r="AY63" s="375">
        <v>0</v>
      </c>
      <c r="AZ63" s="375">
        <v>0</v>
      </c>
      <c r="BA63" s="375">
        <v>0</v>
      </c>
      <c r="BB63" s="375">
        <v>0</v>
      </c>
      <c r="BC63" s="79">
        <v>-256.76</v>
      </c>
      <c r="BD63" s="79">
        <v>256.76</v>
      </c>
      <c r="BE63" s="79">
        <v>0</v>
      </c>
      <c r="BF63" s="79">
        <v>0</v>
      </c>
      <c r="BG63" s="79">
        <v>0</v>
      </c>
      <c r="BH63" s="79">
        <v>0</v>
      </c>
      <c r="BI63" s="79">
        <v>0</v>
      </c>
      <c r="BJ63" s="79">
        <v>0</v>
      </c>
      <c r="BK63" s="79">
        <v>0</v>
      </c>
      <c r="BL63" s="79">
        <v>0</v>
      </c>
      <c r="BM63" s="79">
        <v>0</v>
      </c>
      <c r="BN63" s="79">
        <v>0</v>
      </c>
      <c r="BO63" s="79">
        <v>0</v>
      </c>
    </row>
    <row r="64" spans="1:67" ht="15" customHeight="1">
      <c r="A64" s="66" t="s">
        <v>1683</v>
      </c>
      <c r="B64" s="66" t="s">
        <v>1684</v>
      </c>
      <c r="C64" s="150" t="s">
        <v>1136</v>
      </c>
      <c r="D64" s="150" t="s">
        <v>1135</v>
      </c>
      <c r="E64" s="150" t="s">
        <v>1137</v>
      </c>
      <c r="F64" s="150" t="s">
        <v>1137</v>
      </c>
      <c r="G64" s="511" t="s">
        <v>342</v>
      </c>
      <c r="H64" s="392" t="s">
        <v>1685</v>
      </c>
      <c r="I64" s="343"/>
      <c r="J64" s="343"/>
      <c r="K64" s="70" t="s">
        <v>350</v>
      </c>
      <c r="L64" s="346" t="s">
        <v>1139</v>
      </c>
      <c r="M64" s="346" t="s">
        <v>1140</v>
      </c>
      <c r="N64" s="346"/>
      <c r="O64" s="150" t="s">
        <v>25</v>
      </c>
      <c r="P64" s="1" t="s">
        <v>1141</v>
      </c>
      <c r="Q64" s="403"/>
      <c r="R64" s="406">
        <v>0</v>
      </c>
      <c r="S64" s="406">
        <v>-904.37</v>
      </c>
      <c r="T64" s="425"/>
      <c r="U64" s="71"/>
      <c r="V64" s="426"/>
      <c r="W64" s="427">
        <v>-904.37</v>
      </c>
      <c r="X64" s="431">
        <v>0</v>
      </c>
      <c r="Y64" s="428">
        <v>0</v>
      </c>
      <c r="Z64" s="429">
        <v>0</v>
      </c>
      <c r="AA64" s="429">
        <v>0</v>
      </c>
      <c r="AB64" s="363" t="e">
        <v>#N/A</v>
      </c>
      <c r="AC64" s="360">
        <v>0</v>
      </c>
      <c r="AD64" s="360">
        <v>0</v>
      </c>
      <c r="AE64" s="360">
        <v>0</v>
      </c>
      <c r="AF64" s="360">
        <v>0</v>
      </c>
      <c r="AG64" s="360">
        <v>0</v>
      </c>
      <c r="AH64" s="360" t="e">
        <f t="shared" si="1"/>
        <v>#N/A</v>
      </c>
      <c r="AI64" s="362" t="e">
        <f>ERP[[#This Row],[2026 Working Total]]-ERP[[#This Row],[LE2 Final Submission]]</f>
        <v>#N/A</v>
      </c>
      <c r="AJ64" s="79" t="e">
        <v>#N/A</v>
      </c>
      <c r="AK64" s="79" t="e">
        <f t="shared" si="0"/>
        <v>#N/A</v>
      </c>
      <c r="AL64" s="374">
        <f>SUM(ERP[[#This Row],[AP01]:[AP06]])-SUM(ERP[[#This Row],[AP01 LE2]:[AP06 LE2]])</f>
        <v>0</v>
      </c>
      <c r="AM64" s="80"/>
      <c r="AN64" s="79" t="e">
        <f>ERP[[#This Row],[2026 Working Total to Budget/LE]]-ERP[[#This Row],[Giveback]]</f>
        <v>#N/A</v>
      </c>
      <c r="AO64" s="81"/>
      <c r="AP64" s="375"/>
      <c r="AQ64" s="375">
        <v>-904.37</v>
      </c>
      <c r="AR64" s="375">
        <v>0</v>
      </c>
      <c r="AS64" s="375">
        <v>0</v>
      </c>
      <c r="AT64" s="375">
        <v>0</v>
      </c>
      <c r="AU64" s="375">
        <v>0</v>
      </c>
      <c r="AV64" s="375">
        <v>0</v>
      </c>
      <c r="AW64" s="375">
        <v>0</v>
      </c>
      <c r="AX64" s="375">
        <v>0</v>
      </c>
      <c r="AY64" s="375">
        <v>0</v>
      </c>
      <c r="AZ64" s="375">
        <v>0</v>
      </c>
      <c r="BA64" s="375">
        <v>0</v>
      </c>
      <c r="BB64" s="375">
        <v>-904.37</v>
      </c>
      <c r="BC64" s="79"/>
      <c r="BD64" s="79">
        <v>-904.37</v>
      </c>
      <c r="BE64" s="79">
        <v>0</v>
      </c>
      <c r="BF64" s="79">
        <v>0</v>
      </c>
      <c r="BG64" s="79">
        <v>0</v>
      </c>
      <c r="BH64" s="79">
        <v>0</v>
      </c>
      <c r="BI64" s="79">
        <v>0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-904.37</v>
      </c>
    </row>
    <row r="65" spans="1:67" ht="15" customHeight="1">
      <c r="A65" s="66" t="s">
        <v>1780</v>
      </c>
      <c r="B65" s="66" t="s">
        <v>1781</v>
      </c>
      <c r="C65" s="150" t="s">
        <v>1136</v>
      </c>
      <c r="D65" s="150" t="s">
        <v>1135</v>
      </c>
      <c r="E65" s="150" t="s">
        <v>1137</v>
      </c>
      <c r="F65" s="150" t="s">
        <v>1137</v>
      </c>
      <c r="G65" s="511" t="s">
        <v>389</v>
      </c>
      <c r="H65" s="392" t="s">
        <v>1685</v>
      </c>
      <c r="I65" s="343"/>
      <c r="J65" s="343"/>
      <c r="K65" s="70" t="s">
        <v>350</v>
      </c>
      <c r="L65" s="346" t="s">
        <v>1139</v>
      </c>
      <c r="M65" s="346" t="s">
        <v>1140</v>
      </c>
      <c r="N65" s="346"/>
      <c r="O65" s="150" t="s">
        <v>25</v>
      </c>
      <c r="P65" s="1" t="s">
        <v>1141</v>
      </c>
      <c r="Q65" s="403"/>
      <c r="R65" s="406">
        <v>0</v>
      </c>
      <c r="S65" s="406">
        <v>-108.52</v>
      </c>
      <c r="T65" s="425"/>
      <c r="U65" s="71"/>
      <c r="V65" s="426"/>
      <c r="W65" s="427">
        <v>-108.52</v>
      </c>
      <c r="X65" s="431">
        <v>0</v>
      </c>
      <c r="Y65" s="428">
        <v>0</v>
      </c>
      <c r="Z65" s="429">
        <v>0</v>
      </c>
      <c r="AA65" s="429">
        <v>0</v>
      </c>
      <c r="AB65" s="363" t="e">
        <v>#N/A</v>
      </c>
      <c r="AC65" s="360">
        <v>0</v>
      </c>
      <c r="AD65" s="360">
        <v>0</v>
      </c>
      <c r="AE65" s="360">
        <v>0</v>
      </c>
      <c r="AF65" s="360">
        <v>0</v>
      </c>
      <c r="AG65" s="360">
        <v>0</v>
      </c>
      <c r="AH65" s="360" t="e">
        <f t="shared" si="1"/>
        <v>#N/A</v>
      </c>
      <c r="AI65" s="362" t="e">
        <f>ERP[[#This Row],[2026 Working Total]]-ERP[[#This Row],[LE2 Final Submission]]</f>
        <v>#N/A</v>
      </c>
      <c r="AJ65" s="79" t="e">
        <v>#N/A</v>
      </c>
      <c r="AK65" s="79" t="e">
        <f t="shared" si="0"/>
        <v>#N/A</v>
      </c>
      <c r="AL65" s="374">
        <f>SUM(ERP[[#This Row],[AP01]:[AP06]])-SUM(ERP[[#This Row],[AP01 LE2]:[AP06 LE2]])</f>
        <v>0</v>
      </c>
      <c r="AM65" s="80"/>
      <c r="AN65" s="79" t="e">
        <f>ERP[[#This Row],[2026 Working Total to Budget/LE]]-ERP[[#This Row],[Giveback]]</f>
        <v>#N/A</v>
      </c>
      <c r="AO65" s="81"/>
      <c r="AP65" s="375"/>
      <c r="AQ65" s="375">
        <v>-108.52</v>
      </c>
      <c r="AR65" s="375">
        <v>0</v>
      </c>
      <c r="AS65" s="375">
        <v>0</v>
      </c>
      <c r="AT65" s="375">
        <v>0</v>
      </c>
      <c r="AU65" s="375">
        <v>0</v>
      </c>
      <c r="AV65" s="375">
        <v>0</v>
      </c>
      <c r="AW65" s="375">
        <v>0</v>
      </c>
      <c r="AX65" s="375">
        <v>0</v>
      </c>
      <c r="AY65" s="375">
        <v>0</v>
      </c>
      <c r="AZ65" s="375">
        <v>0</v>
      </c>
      <c r="BA65" s="375">
        <v>0</v>
      </c>
      <c r="BB65" s="375">
        <v>-108.52</v>
      </c>
      <c r="BC65" s="79"/>
      <c r="BD65" s="79">
        <v>-108.52</v>
      </c>
      <c r="BE65" s="79">
        <v>0</v>
      </c>
      <c r="BF65" s="79">
        <v>0</v>
      </c>
      <c r="BG65" s="79">
        <v>0</v>
      </c>
      <c r="BH65" s="79">
        <v>0</v>
      </c>
      <c r="BI65" s="79">
        <v>0</v>
      </c>
      <c r="BJ65" s="79">
        <v>0</v>
      </c>
      <c r="BK65" s="79">
        <v>0</v>
      </c>
      <c r="BL65" s="79">
        <v>0</v>
      </c>
      <c r="BM65" s="79">
        <v>0</v>
      </c>
      <c r="BN65" s="79">
        <v>0</v>
      </c>
      <c r="BO65" s="79">
        <v>-108.52</v>
      </c>
    </row>
    <row r="66" spans="1:67" ht="15" customHeight="1">
      <c r="A66" s="66" t="s">
        <v>2240</v>
      </c>
      <c r="B66" s="66" t="s">
        <v>2241</v>
      </c>
      <c r="C66" s="150" t="s">
        <v>1136</v>
      </c>
      <c r="D66" s="150" t="s">
        <v>1135</v>
      </c>
      <c r="E66" s="150" t="s">
        <v>1137</v>
      </c>
      <c r="F66" s="150" t="s">
        <v>1137</v>
      </c>
      <c r="G66" s="511" t="s">
        <v>639</v>
      </c>
      <c r="H66" s="392" t="s">
        <v>1685</v>
      </c>
      <c r="I66" s="343"/>
      <c r="J66" s="343"/>
      <c r="K66" s="70" t="s">
        <v>2242</v>
      </c>
      <c r="L66" s="346" t="s">
        <v>1139</v>
      </c>
      <c r="M66" s="346" t="s">
        <v>1140</v>
      </c>
      <c r="N66" s="346"/>
      <c r="O66" s="150" t="s">
        <v>25</v>
      </c>
      <c r="P66" s="150"/>
      <c r="Q66" s="404"/>
      <c r="R66" s="407">
        <v>0</v>
      </c>
      <c r="S66" s="407">
        <v>0</v>
      </c>
      <c r="T66" s="425"/>
      <c r="U66" s="71"/>
      <c r="V66" s="426">
        <v>-11.41</v>
      </c>
      <c r="W66" s="427">
        <v>11.41</v>
      </c>
      <c r="X66" s="431">
        <v>0</v>
      </c>
      <c r="Y66" s="428">
        <v>0</v>
      </c>
      <c r="Z66" s="429">
        <v>0</v>
      </c>
      <c r="AA66" s="429">
        <v>0</v>
      </c>
      <c r="AB66" s="363" t="e">
        <v>#N/A</v>
      </c>
      <c r="AC66" s="360">
        <v>0</v>
      </c>
      <c r="AD66" s="360">
        <v>0</v>
      </c>
      <c r="AE66" s="360">
        <v>0</v>
      </c>
      <c r="AF66" s="360">
        <v>0</v>
      </c>
      <c r="AG66" s="360">
        <v>0</v>
      </c>
      <c r="AH66" s="360" t="e">
        <f t="shared" si="1"/>
        <v>#N/A</v>
      </c>
      <c r="AI66" s="362" t="e">
        <f>ERP[[#This Row],[2026 Working Total]]-ERP[[#This Row],[LE2 Final Submission]]</f>
        <v>#N/A</v>
      </c>
      <c r="AJ66" s="79" t="e">
        <v>#N/A</v>
      </c>
      <c r="AK66" s="79" t="e">
        <f t="shared" si="0"/>
        <v>#N/A</v>
      </c>
      <c r="AL66" s="374">
        <f>SUM(ERP[[#This Row],[AP01]:[AP06]])-SUM(ERP[[#This Row],[AP01 LE2]:[AP06 LE2]])</f>
        <v>0</v>
      </c>
      <c r="AM66" s="80"/>
      <c r="AN66" s="79" t="e">
        <f>ERP[[#This Row],[2026 Working Total to Budget/LE]]-ERP[[#This Row],[Giveback]]</f>
        <v>#N/A</v>
      </c>
      <c r="AO66" s="81"/>
      <c r="AP66" s="375">
        <v>-11.41</v>
      </c>
      <c r="AQ66" s="375">
        <v>11.41</v>
      </c>
      <c r="AR66" s="375">
        <v>0</v>
      </c>
      <c r="AS66" s="375">
        <v>0</v>
      </c>
      <c r="AT66" s="375">
        <v>0</v>
      </c>
      <c r="AU66" s="375">
        <v>0</v>
      </c>
      <c r="AV66" s="375">
        <v>0</v>
      </c>
      <c r="AW66" s="375">
        <v>0</v>
      </c>
      <c r="AX66" s="375">
        <v>0</v>
      </c>
      <c r="AY66" s="375">
        <v>0</v>
      </c>
      <c r="AZ66" s="375">
        <v>0</v>
      </c>
      <c r="BA66" s="375">
        <v>0</v>
      </c>
      <c r="BB66" s="375">
        <v>0</v>
      </c>
      <c r="BC66" s="79">
        <v>-11.41</v>
      </c>
      <c r="BD66" s="79">
        <v>11.41</v>
      </c>
      <c r="BE66" s="79">
        <v>0</v>
      </c>
      <c r="BF66" s="79">
        <v>0</v>
      </c>
      <c r="BG66" s="79">
        <v>0</v>
      </c>
      <c r="BH66" s="79">
        <v>0</v>
      </c>
      <c r="BI66" s="79">
        <v>0</v>
      </c>
      <c r="BJ66" s="79">
        <v>0</v>
      </c>
      <c r="BK66" s="79">
        <v>0</v>
      </c>
      <c r="BL66" s="79">
        <v>0</v>
      </c>
      <c r="BM66" s="79">
        <v>0</v>
      </c>
      <c r="BN66" s="79">
        <v>0</v>
      </c>
      <c r="BO66" s="79">
        <v>0</v>
      </c>
    </row>
    <row r="67" spans="1:67" ht="15" customHeight="1">
      <c r="A67" s="66" t="s">
        <v>2765</v>
      </c>
      <c r="B67" s="66" t="s">
        <v>2766</v>
      </c>
      <c r="C67" s="150" t="s">
        <v>1136</v>
      </c>
      <c r="D67" s="150" t="s">
        <v>1567</v>
      </c>
      <c r="E67" s="150" t="s">
        <v>1567</v>
      </c>
      <c r="F67" s="150" t="s">
        <v>1567</v>
      </c>
      <c r="G67" s="511" t="s">
        <v>639</v>
      </c>
      <c r="H67" s="392" t="s">
        <v>1685</v>
      </c>
      <c r="I67" s="343"/>
      <c r="J67" s="343"/>
      <c r="K67" s="70" t="s">
        <v>2242</v>
      </c>
      <c r="L67" s="346" t="s">
        <v>1139</v>
      </c>
      <c r="M67" s="346" t="s">
        <v>1140</v>
      </c>
      <c r="N67" s="346"/>
      <c r="O67" s="150" t="s">
        <v>25</v>
      </c>
      <c r="P67" s="150"/>
      <c r="Q67" s="404"/>
      <c r="R67" s="407">
        <v>0</v>
      </c>
      <c r="S67" s="407">
        <v>0</v>
      </c>
      <c r="T67" s="425"/>
      <c r="U67" s="71"/>
      <c r="V67" s="426"/>
      <c r="W67" s="427"/>
      <c r="X67" s="431">
        <v>0</v>
      </c>
      <c r="Y67" s="428">
        <v>-184.67</v>
      </c>
      <c r="Z67" s="429">
        <v>0</v>
      </c>
      <c r="AA67" s="429">
        <v>0</v>
      </c>
      <c r="AB67" s="363" t="e">
        <v>#N/A</v>
      </c>
      <c r="AC67" s="360">
        <v>0</v>
      </c>
      <c r="AD67" s="360">
        <v>0</v>
      </c>
      <c r="AE67" s="360">
        <v>0</v>
      </c>
      <c r="AF67" s="360">
        <v>0</v>
      </c>
      <c r="AG67" s="360">
        <v>0</v>
      </c>
      <c r="AH67" s="360" t="e">
        <f t="shared" si="1"/>
        <v>#N/A</v>
      </c>
      <c r="AI67" s="362" t="e">
        <f>ERP[[#This Row],[2026 Working Total]]-ERP[[#This Row],[LE2 Final Submission]]</f>
        <v>#N/A</v>
      </c>
      <c r="AJ67" s="79" t="e">
        <v>#N/A</v>
      </c>
      <c r="AK67" s="79" t="e">
        <f t="shared" si="0"/>
        <v>#N/A</v>
      </c>
      <c r="AL67" s="374">
        <f>SUM(ERP[[#This Row],[AP01]:[AP06]])-SUM(ERP[[#This Row],[AP01 LE2]:[AP06 LE2]])</f>
        <v>-184.67</v>
      </c>
      <c r="AM67" s="80"/>
      <c r="AN67" s="79" t="e">
        <f>ERP[[#This Row],[2026 Working Total to Budget/LE]]-ERP[[#This Row],[Giveback]]</f>
        <v>#N/A</v>
      </c>
      <c r="AO67" s="81"/>
      <c r="AP67" s="375"/>
      <c r="AQ67" s="375"/>
      <c r="AR67" s="375">
        <v>0</v>
      </c>
      <c r="AS67" s="375">
        <v>0</v>
      </c>
      <c r="AT67" s="375">
        <v>0</v>
      </c>
      <c r="AU67" s="375">
        <v>0</v>
      </c>
      <c r="AV67" s="375">
        <v>0</v>
      </c>
      <c r="AW67" s="375">
        <v>0</v>
      </c>
      <c r="AX67" s="375">
        <v>0</v>
      </c>
      <c r="AY67" s="375">
        <v>0</v>
      </c>
      <c r="AZ67" s="375">
        <v>0</v>
      </c>
      <c r="BA67" s="375">
        <v>0</v>
      </c>
      <c r="BB67" s="375">
        <v>0</v>
      </c>
      <c r="BC67" s="79"/>
      <c r="BD67" s="79"/>
      <c r="BE67" s="79">
        <v>0</v>
      </c>
      <c r="BF67" s="79">
        <v>0</v>
      </c>
      <c r="BG67" s="79">
        <v>0</v>
      </c>
      <c r="BH67" s="79">
        <v>0</v>
      </c>
      <c r="BI67" s="79">
        <v>0</v>
      </c>
      <c r="BJ67" s="79">
        <v>0</v>
      </c>
      <c r="BK67" s="79">
        <v>0</v>
      </c>
      <c r="BL67" s="79">
        <v>0</v>
      </c>
      <c r="BM67" s="79">
        <v>0</v>
      </c>
      <c r="BN67" s="79">
        <v>0</v>
      </c>
      <c r="BO67" s="79">
        <v>0</v>
      </c>
    </row>
    <row r="68" spans="1:67" ht="15" customHeight="1">
      <c r="A68" s="79" t="s">
        <v>1782</v>
      </c>
      <c r="B68" s="296" t="s">
        <v>1783</v>
      </c>
      <c r="C68" s="150" t="s">
        <v>1136</v>
      </c>
      <c r="D68" s="332" t="s">
        <v>1135</v>
      </c>
      <c r="E68" s="332" t="s">
        <v>1165</v>
      </c>
      <c r="F68" s="333" t="s">
        <v>1165</v>
      </c>
      <c r="G68" s="514" t="s">
        <v>389</v>
      </c>
      <c r="H68" s="394"/>
      <c r="I68" s="333"/>
      <c r="J68" s="333"/>
      <c r="K68" s="90" t="s">
        <v>411</v>
      </c>
      <c r="L68" s="347"/>
      <c r="M68" s="347"/>
      <c r="N68" s="348"/>
      <c r="O68" s="348"/>
      <c r="P68" s="348"/>
      <c r="Q68" s="402"/>
      <c r="R68" s="358"/>
      <c r="S68" s="379"/>
      <c r="T68" s="425"/>
      <c r="U68" s="71"/>
      <c r="V68" s="435"/>
      <c r="W68" s="436"/>
      <c r="X68" s="436"/>
      <c r="Y68" s="429"/>
      <c r="Z68" s="429"/>
      <c r="AA68" s="429">
        <v>-269.45</v>
      </c>
      <c r="AB68" s="363" t="e">
        <v>#N/A</v>
      </c>
      <c r="AC68" s="364"/>
      <c r="AD68" s="364"/>
      <c r="AE68" s="364"/>
      <c r="AF68" s="364"/>
      <c r="AG68" s="364"/>
      <c r="AH68" s="360" t="e">
        <f t="shared" si="1"/>
        <v>#N/A</v>
      </c>
      <c r="AI68" s="362" t="e">
        <f>ERP[[#This Row],[2026 Working Total]]-ERP[[#This Row],[LE2 Final Submission]]</f>
        <v>#N/A</v>
      </c>
      <c r="AJ68" s="79" t="e">
        <v>#N/A</v>
      </c>
      <c r="AK68" s="79" t="e">
        <f t="shared" si="0"/>
        <v>#N/A</v>
      </c>
      <c r="AL68" s="391">
        <f>SUM(ERP[[#This Row],[AP01]:[AP06]])-SUM(ERP[[#This Row],[AP01 LE2]:[AP06 LE2]])</f>
        <v>-269.45</v>
      </c>
      <c r="AM68" s="80"/>
      <c r="AN68" s="79" t="e">
        <f>ERP[[#This Row],[2026 Working Total to Budget/LE]]-ERP[[#This Row],[Giveback]]</f>
        <v>#N/A</v>
      </c>
      <c r="AO68" s="81"/>
      <c r="AP68" s="375"/>
      <c r="AQ68" s="375"/>
      <c r="AR68" s="375"/>
      <c r="AS68" s="375"/>
      <c r="AT68" s="375"/>
      <c r="AU68" s="375"/>
      <c r="AV68" s="375"/>
      <c r="AW68" s="375"/>
      <c r="AX68" s="375"/>
      <c r="AY68" s="375"/>
      <c r="AZ68" s="375"/>
      <c r="BA68" s="375"/>
      <c r="BB68" s="375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</row>
    <row r="69" spans="1:67" ht="15" customHeight="1">
      <c r="A69" s="66" t="s">
        <v>1686</v>
      </c>
      <c r="B69" s="66" t="s">
        <v>1687</v>
      </c>
      <c r="C69" s="150" t="s">
        <v>1136</v>
      </c>
      <c r="D69" s="150" t="s">
        <v>1135</v>
      </c>
      <c r="E69" s="150" t="s">
        <v>1137</v>
      </c>
      <c r="F69" s="150" t="s">
        <v>1137</v>
      </c>
      <c r="G69" s="511" t="s">
        <v>342</v>
      </c>
      <c r="H69" s="392" t="s">
        <v>352</v>
      </c>
      <c r="I69" s="343"/>
      <c r="J69" s="343"/>
      <c r="K69" s="70" t="s">
        <v>352</v>
      </c>
      <c r="L69" s="346" t="s">
        <v>1139</v>
      </c>
      <c r="M69" s="346" t="s">
        <v>1140</v>
      </c>
      <c r="N69" s="346"/>
      <c r="O69" s="150" t="s">
        <v>25</v>
      </c>
      <c r="P69" s="1" t="s">
        <v>1141</v>
      </c>
      <c r="Q69" s="404"/>
      <c r="R69" s="407">
        <v>0</v>
      </c>
      <c r="S69" s="407">
        <v>0</v>
      </c>
      <c r="T69" s="430"/>
      <c r="U69" s="137"/>
      <c r="V69" s="426"/>
      <c r="W69" s="427"/>
      <c r="X69" s="431">
        <v>0</v>
      </c>
      <c r="Y69" s="428">
        <v>-12412.23</v>
      </c>
      <c r="Z69" s="429">
        <v>0</v>
      </c>
      <c r="AA69" s="429">
        <v>0</v>
      </c>
      <c r="AB69" s="363" t="e">
        <v>#N/A</v>
      </c>
      <c r="AC69" s="360">
        <v>0</v>
      </c>
      <c r="AD69" s="360">
        <v>0</v>
      </c>
      <c r="AE69" s="360">
        <v>0</v>
      </c>
      <c r="AF69" s="360">
        <v>0</v>
      </c>
      <c r="AG69" s="360">
        <v>0</v>
      </c>
      <c r="AH69" s="360" t="e">
        <f t="shared" si="1"/>
        <v>#N/A</v>
      </c>
      <c r="AI69" s="362" t="e">
        <f>ERP[[#This Row],[2026 Working Total]]-ERP[[#This Row],[LE2 Final Submission]]</f>
        <v>#N/A</v>
      </c>
      <c r="AJ69" s="79" t="e">
        <v>#N/A</v>
      </c>
      <c r="AK69" s="79" t="e">
        <f t="shared" si="0"/>
        <v>#N/A</v>
      </c>
      <c r="AL69" s="374">
        <f>SUM(ERP[[#This Row],[AP01]:[AP06]])-SUM(ERP[[#This Row],[AP01 LE2]:[AP06 LE2]])</f>
        <v>-12412.23</v>
      </c>
      <c r="AM69" s="80"/>
      <c r="AN69" s="79" t="e">
        <f>ERP[[#This Row],[2026 Working Total to Budget/LE]]-ERP[[#This Row],[Giveback]]</f>
        <v>#N/A</v>
      </c>
      <c r="AO69" s="81"/>
      <c r="AP69" s="375"/>
      <c r="AQ69" s="375"/>
      <c r="AR69" s="375">
        <v>0</v>
      </c>
      <c r="AS69" s="375">
        <v>0</v>
      </c>
      <c r="AT69" s="375">
        <v>0</v>
      </c>
      <c r="AU69" s="375">
        <v>0</v>
      </c>
      <c r="AV69" s="375">
        <v>0</v>
      </c>
      <c r="AW69" s="375">
        <v>0</v>
      </c>
      <c r="AX69" s="375">
        <v>0</v>
      </c>
      <c r="AY69" s="375">
        <v>0</v>
      </c>
      <c r="AZ69" s="375">
        <v>0</v>
      </c>
      <c r="BA69" s="375">
        <v>0</v>
      </c>
      <c r="BB69" s="375">
        <v>0</v>
      </c>
      <c r="BC69" s="79"/>
      <c r="BD69" s="79"/>
      <c r="BE69" s="79">
        <v>0</v>
      </c>
      <c r="BF69" s="79">
        <v>0</v>
      </c>
      <c r="BG69" s="79">
        <v>0</v>
      </c>
      <c r="BH69" s="79">
        <v>0</v>
      </c>
      <c r="BI69" s="79">
        <v>0</v>
      </c>
      <c r="BJ69" s="79">
        <v>0</v>
      </c>
      <c r="BK69" s="79">
        <v>0</v>
      </c>
      <c r="BL69" s="79">
        <v>0</v>
      </c>
      <c r="BM69" s="79">
        <v>0</v>
      </c>
      <c r="BN69" s="79">
        <v>0</v>
      </c>
      <c r="BO69" s="79">
        <v>0</v>
      </c>
    </row>
    <row r="70" spans="1:67" ht="15" customHeight="1">
      <c r="A70" s="66" t="s">
        <v>1726</v>
      </c>
      <c r="B70" s="66" t="s">
        <v>1727</v>
      </c>
      <c r="C70" s="150" t="s">
        <v>1136</v>
      </c>
      <c r="D70" s="150" t="s">
        <v>1567</v>
      </c>
      <c r="E70" s="150" t="s">
        <v>1567</v>
      </c>
      <c r="F70" s="150" t="s">
        <v>1567</v>
      </c>
      <c r="G70" s="511" t="s">
        <v>342</v>
      </c>
      <c r="H70" s="392" t="s">
        <v>352</v>
      </c>
      <c r="I70" s="343"/>
      <c r="J70" s="343"/>
      <c r="K70" s="70" t="s">
        <v>352</v>
      </c>
      <c r="L70" s="346" t="s">
        <v>1139</v>
      </c>
      <c r="M70" s="346" t="s">
        <v>1140</v>
      </c>
      <c r="N70" s="346"/>
      <c r="O70" s="150" t="s">
        <v>25</v>
      </c>
      <c r="P70" s="150"/>
      <c r="Q70" s="404"/>
      <c r="R70" s="407">
        <v>0</v>
      </c>
      <c r="S70" s="407">
        <v>0</v>
      </c>
      <c r="T70" s="425"/>
      <c r="U70" s="71"/>
      <c r="V70" s="426"/>
      <c r="W70" s="427"/>
      <c r="X70" s="431">
        <v>0</v>
      </c>
      <c r="Y70" s="428">
        <v>-11818.05</v>
      </c>
      <c r="Z70" s="429">
        <v>0</v>
      </c>
      <c r="AA70" s="429">
        <v>0</v>
      </c>
      <c r="AB70" s="363" t="e">
        <v>#N/A</v>
      </c>
      <c r="AC70" s="360">
        <v>0</v>
      </c>
      <c r="AD70" s="360">
        <v>0</v>
      </c>
      <c r="AE70" s="360">
        <v>0</v>
      </c>
      <c r="AF70" s="360">
        <v>0</v>
      </c>
      <c r="AG70" s="360">
        <v>0</v>
      </c>
      <c r="AH70" s="360" t="e">
        <f t="shared" si="1"/>
        <v>#N/A</v>
      </c>
      <c r="AI70" s="362" t="e">
        <f>ERP[[#This Row],[2026 Working Total]]-ERP[[#This Row],[LE2 Final Submission]]</f>
        <v>#N/A</v>
      </c>
      <c r="AJ70" s="79" t="e">
        <v>#N/A</v>
      </c>
      <c r="AK70" s="79" t="e">
        <f t="shared" si="0"/>
        <v>#N/A</v>
      </c>
      <c r="AL70" s="374">
        <f>SUM(ERP[[#This Row],[AP01]:[AP06]])-SUM(ERP[[#This Row],[AP01 LE2]:[AP06 LE2]])</f>
        <v>-11818.05</v>
      </c>
      <c r="AM70" s="80"/>
      <c r="AN70" s="79" t="e">
        <f>ERP[[#This Row],[2026 Working Total to Budget/LE]]-ERP[[#This Row],[Giveback]]</f>
        <v>#N/A</v>
      </c>
      <c r="AO70" s="81"/>
      <c r="AP70" s="375"/>
      <c r="AQ70" s="375"/>
      <c r="AR70" s="375">
        <v>0</v>
      </c>
      <c r="AS70" s="375">
        <v>0</v>
      </c>
      <c r="AT70" s="375">
        <v>0</v>
      </c>
      <c r="AU70" s="375">
        <v>0</v>
      </c>
      <c r="AV70" s="375">
        <v>0</v>
      </c>
      <c r="AW70" s="375">
        <v>0</v>
      </c>
      <c r="AX70" s="375">
        <v>0</v>
      </c>
      <c r="AY70" s="375">
        <v>0</v>
      </c>
      <c r="AZ70" s="375">
        <v>0</v>
      </c>
      <c r="BA70" s="375">
        <v>0</v>
      </c>
      <c r="BB70" s="375">
        <v>0</v>
      </c>
      <c r="BC70" s="79"/>
      <c r="BD70" s="79"/>
      <c r="BE70" s="79">
        <v>0</v>
      </c>
      <c r="BF70" s="79">
        <v>0</v>
      </c>
      <c r="BG70" s="79">
        <v>0</v>
      </c>
      <c r="BH70" s="79">
        <v>0</v>
      </c>
      <c r="BI70" s="79">
        <v>0</v>
      </c>
      <c r="BJ70" s="79">
        <v>0</v>
      </c>
      <c r="BK70" s="79">
        <v>0</v>
      </c>
      <c r="BL70" s="79">
        <v>0</v>
      </c>
      <c r="BM70" s="79">
        <v>0</v>
      </c>
      <c r="BN70" s="79">
        <v>0</v>
      </c>
      <c r="BO70" s="79">
        <v>0</v>
      </c>
    </row>
    <row r="71" spans="1:67" ht="15" customHeight="1">
      <c r="A71" s="66" t="s">
        <v>2079</v>
      </c>
      <c r="B71" s="66" t="s">
        <v>2080</v>
      </c>
      <c r="C71" s="150" t="s">
        <v>1136</v>
      </c>
      <c r="D71" s="150" t="s">
        <v>1567</v>
      </c>
      <c r="E71" s="150" t="s">
        <v>1567</v>
      </c>
      <c r="F71" s="150" t="s">
        <v>1567</v>
      </c>
      <c r="G71" s="511" t="s">
        <v>389</v>
      </c>
      <c r="H71" s="392" t="s">
        <v>352</v>
      </c>
      <c r="I71" s="343"/>
      <c r="J71" s="343"/>
      <c r="K71" s="70" t="s">
        <v>352</v>
      </c>
      <c r="L71" s="346" t="s">
        <v>1139</v>
      </c>
      <c r="M71" s="346" t="s">
        <v>1140</v>
      </c>
      <c r="N71" s="346"/>
      <c r="O71" s="150" t="s">
        <v>25</v>
      </c>
      <c r="P71" s="150"/>
      <c r="Q71" s="404"/>
      <c r="R71" s="407">
        <v>0</v>
      </c>
      <c r="S71" s="407">
        <v>0</v>
      </c>
      <c r="T71" s="425"/>
      <c r="U71" s="71"/>
      <c r="V71" s="426"/>
      <c r="W71" s="427"/>
      <c r="X71" s="431">
        <v>0</v>
      </c>
      <c r="Y71" s="428">
        <v>0</v>
      </c>
      <c r="Z71" s="429">
        <v>0</v>
      </c>
      <c r="AA71" s="429">
        <v>0</v>
      </c>
      <c r="AB71" s="363" t="e">
        <v>#N/A</v>
      </c>
      <c r="AC71" s="360">
        <v>0</v>
      </c>
      <c r="AD71" s="360">
        <v>0</v>
      </c>
      <c r="AE71" s="360">
        <v>0</v>
      </c>
      <c r="AF71" s="360">
        <v>0</v>
      </c>
      <c r="AG71" s="360">
        <v>0</v>
      </c>
      <c r="AH71" s="360" t="e">
        <f t="shared" si="1"/>
        <v>#N/A</v>
      </c>
      <c r="AI71" s="362" t="e">
        <f>ERP[[#This Row],[2026 Working Total]]-ERP[[#This Row],[LE2 Final Submission]]</f>
        <v>#N/A</v>
      </c>
      <c r="AJ71" s="79" t="e">
        <v>#N/A</v>
      </c>
      <c r="AK71" s="79" t="e">
        <f t="shared" si="0"/>
        <v>#N/A</v>
      </c>
      <c r="AL71" s="374">
        <f>SUM(ERP[[#This Row],[AP01]:[AP06]])-SUM(ERP[[#This Row],[AP01 LE2]:[AP06 LE2]])</f>
        <v>0</v>
      </c>
      <c r="AM71" s="80"/>
      <c r="AN71" s="79" t="e">
        <f>ERP[[#This Row],[2026 Working Total to Budget/LE]]-ERP[[#This Row],[Giveback]]</f>
        <v>#N/A</v>
      </c>
      <c r="AO71" s="81"/>
      <c r="AP71" s="375"/>
      <c r="AQ71" s="375"/>
      <c r="AR71" s="375">
        <v>0</v>
      </c>
      <c r="AS71" s="375">
        <v>0</v>
      </c>
      <c r="AT71" s="375">
        <v>0</v>
      </c>
      <c r="AU71" s="375">
        <v>0</v>
      </c>
      <c r="AV71" s="375">
        <v>0</v>
      </c>
      <c r="AW71" s="375">
        <v>0</v>
      </c>
      <c r="AX71" s="375">
        <v>0</v>
      </c>
      <c r="AY71" s="375">
        <v>0</v>
      </c>
      <c r="AZ71" s="375">
        <v>0</v>
      </c>
      <c r="BA71" s="375">
        <v>0</v>
      </c>
      <c r="BB71" s="375">
        <v>0</v>
      </c>
      <c r="BC71" s="79"/>
      <c r="BD71" s="79"/>
      <c r="BE71" s="79">
        <v>0</v>
      </c>
      <c r="BF71" s="79">
        <v>0</v>
      </c>
      <c r="BG71" s="79">
        <v>0</v>
      </c>
      <c r="BH71" s="79">
        <v>0</v>
      </c>
      <c r="BI71" s="79">
        <v>0</v>
      </c>
      <c r="BJ71" s="79">
        <v>0</v>
      </c>
      <c r="BK71" s="79">
        <v>0</v>
      </c>
      <c r="BL71" s="79">
        <v>0</v>
      </c>
      <c r="BM71" s="79">
        <v>0</v>
      </c>
      <c r="BN71" s="79">
        <v>0</v>
      </c>
      <c r="BO71" s="79">
        <v>0</v>
      </c>
    </row>
    <row r="72" spans="1:67" ht="15" customHeight="1">
      <c r="A72" s="66" t="s">
        <v>1784</v>
      </c>
      <c r="B72" s="66" t="s">
        <v>1785</v>
      </c>
      <c r="C72" s="150" t="s">
        <v>1136</v>
      </c>
      <c r="D72" s="150" t="s">
        <v>1135</v>
      </c>
      <c r="E72" s="150" t="s">
        <v>1137</v>
      </c>
      <c r="F72" s="150" t="s">
        <v>1137</v>
      </c>
      <c r="G72" s="511" t="s">
        <v>389</v>
      </c>
      <c r="H72" s="392" t="s">
        <v>352</v>
      </c>
      <c r="I72" s="343"/>
      <c r="J72" s="343"/>
      <c r="K72" s="70" t="s">
        <v>352</v>
      </c>
      <c r="L72" s="346" t="s">
        <v>1139</v>
      </c>
      <c r="M72" s="346" t="s">
        <v>1140</v>
      </c>
      <c r="N72" s="346"/>
      <c r="O72" s="150" t="s">
        <v>25</v>
      </c>
      <c r="P72" s="150"/>
      <c r="Q72" s="404"/>
      <c r="R72" s="407">
        <v>0</v>
      </c>
      <c r="S72" s="407">
        <v>0</v>
      </c>
      <c r="T72" s="430"/>
      <c r="U72" s="137"/>
      <c r="V72" s="426"/>
      <c r="W72" s="427"/>
      <c r="X72" s="431">
        <v>0</v>
      </c>
      <c r="Y72" s="428">
        <v>0</v>
      </c>
      <c r="Z72" s="429">
        <v>0</v>
      </c>
      <c r="AA72" s="429">
        <v>0</v>
      </c>
      <c r="AB72" s="363" t="e">
        <v>#N/A</v>
      </c>
      <c r="AC72" s="360">
        <v>0</v>
      </c>
      <c r="AD72" s="360">
        <v>0</v>
      </c>
      <c r="AE72" s="360">
        <v>0</v>
      </c>
      <c r="AF72" s="360">
        <v>0</v>
      </c>
      <c r="AG72" s="360">
        <v>0</v>
      </c>
      <c r="AH72" s="360" t="e">
        <f t="shared" si="1"/>
        <v>#N/A</v>
      </c>
      <c r="AI72" s="362" t="e">
        <f>ERP[[#This Row],[2026 Working Total]]-ERP[[#This Row],[LE2 Final Submission]]</f>
        <v>#N/A</v>
      </c>
      <c r="AJ72" s="79" t="e">
        <v>#N/A</v>
      </c>
      <c r="AK72" s="79" t="e">
        <f t="shared" ref="AK72:AK135" si="8">$AA72 - $AJ72</f>
        <v>#N/A</v>
      </c>
      <c r="AL72" s="374">
        <f>SUM(ERP[[#This Row],[AP01]:[AP06]])-SUM(ERP[[#This Row],[AP01 LE2]:[AP06 LE2]])</f>
        <v>0</v>
      </c>
      <c r="AM72" s="80"/>
      <c r="AN72" s="79" t="e">
        <f>ERP[[#This Row],[2026 Working Total to Budget/LE]]-ERP[[#This Row],[Giveback]]</f>
        <v>#N/A</v>
      </c>
      <c r="AO72" s="81"/>
      <c r="AP72" s="375"/>
      <c r="AQ72" s="375"/>
      <c r="AR72" s="375">
        <v>0</v>
      </c>
      <c r="AS72" s="375">
        <v>0</v>
      </c>
      <c r="AT72" s="375">
        <v>0</v>
      </c>
      <c r="AU72" s="375">
        <v>0</v>
      </c>
      <c r="AV72" s="375">
        <v>0</v>
      </c>
      <c r="AW72" s="375">
        <v>0</v>
      </c>
      <c r="AX72" s="375">
        <v>0</v>
      </c>
      <c r="AY72" s="375">
        <v>0</v>
      </c>
      <c r="AZ72" s="375">
        <v>0</v>
      </c>
      <c r="BA72" s="375">
        <v>0</v>
      </c>
      <c r="BB72" s="375">
        <v>0</v>
      </c>
      <c r="BC72" s="79"/>
      <c r="BD72" s="79"/>
      <c r="BE72" s="79">
        <v>0</v>
      </c>
      <c r="BF72" s="79">
        <v>0</v>
      </c>
      <c r="BG72" s="79">
        <v>0</v>
      </c>
      <c r="BH72" s="79">
        <v>0</v>
      </c>
      <c r="BI72" s="79">
        <v>0</v>
      </c>
      <c r="BJ72" s="79">
        <v>0</v>
      </c>
      <c r="BK72" s="79">
        <v>0</v>
      </c>
      <c r="BL72" s="79">
        <v>0</v>
      </c>
      <c r="BM72" s="79">
        <v>0</v>
      </c>
      <c r="BN72" s="79">
        <v>0</v>
      </c>
      <c r="BO72" s="79">
        <v>0</v>
      </c>
    </row>
    <row r="73" spans="1:67" ht="15" customHeight="1">
      <c r="A73" s="66" t="s">
        <v>1688</v>
      </c>
      <c r="B73" s="66" t="s">
        <v>1689</v>
      </c>
      <c r="C73" s="150" t="s">
        <v>1136</v>
      </c>
      <c r="D73" s="150" t="s">
        <v>1135</v>
      </c>
      <c r="E73" s="150" t="s">
        <v>1137</v>
      </c>
      <c r="F73" s="150" t="s">
        <v>1137</v>
      </c>
      <c r="G73" s="511" t="s">
        <v>342</v>
      </c>
      <c r="H73" s="392" t="s">
        <v>354</v>
      </c>
      <c r="I73" s="343"/>
      <c r="J73" s="343"/>
      <c r="K73" s="70" t="s">
        <v>354</v>
      </c>
      <c r="L73" s="346"/>
      <c r="M73" s="346" t="s">
        <v>1140</v>
      </c>
      <c r="N73" s="346"/>
      <c r="O73" s="150" t="s">
        <v>25</v>
      </c>
      <c r="P73" s="150"/>
      <c r="Q73" s="404"/>
      <c r="R73" s="407">
        <v>0</v>
      </c>
      <c r="S73" s="407">
        <v>0</v>
      </c>
      <c r="T73" s="430"/>
      <c r="U73" s="137"/>
      <c r="V73" s="426"/>
      <c r="W73" s="431">
        <v>0</v>
      </c>
      <c r="X73" s="431">
        <v>0</v>
      </c>
      <c r="Y73" s="428">
        <v>0</v>
      </c>
      <c r="Z73" s="429">
        <v>0</v>
      </c>
      <c r="AA73" s="429">
        <v>0</v>
      </c>
      <c r="AB73" s="363" t="e">
        <v>#N/A</v>
      </c>
      <c r="AC73" s="360">
        <v>0</v>
      </c>
      <c r="AD73" s="360">
        <v>0</v>
      </c>
      <c r="AE73" s="360">
        <v>0</v>
      </c>
      <c r="AF73" s="360">
        <v>0</v>
      </c>
      <c r="AG73" s="360">
        <v>0</v>
      </c>
      <c r="AH73" s="360" t="e">
        <f t="shared" si="1"/>
        <v>#N/A</v>
      </c>
      <c r="AI73" s="362" t="e">
        <f>ERP[[#This Row],[2026 Working Total]]-ERP[[#This Row],[LE2 Final Submission]]</f>
        <v>#N/A</v>
      </c>
      <c r="AJ73" s="79" t="e">
        <v>#N/A</v>
      </c>
      <c r="AK73" s="79" t="e">
        <f t="shared" si="8"/>
        <v>#N/A</v>
      </c>
      <c r="AL73" s="374">
        <f>SUM(ERP[[#This Row],[AP01]:[AP06]])-SUM(ERP[[#This Row],[AP01 LE2]:[AP06 LE2]])</f>
        <v>0</v>
      </c>
      <c r="AM73" s="80"/>
      <c r="AN73" s="79" t="e">
        <f>ERP[[#This Row],[2026 Working Total to Budget/LE]]-ERP[[#This Row],[Giveback]]</f>
        <v>#N/A</v>
      </c>
      <c r="AO73" s="81"/>
      <c r="AP73" s="375"/>
      <c r="AQ73" s="375">
        <v>0</v>
      </c>
      <c r="AR73" s="375">
        <v>0</v>
      </c>
      <c r="AS73" s="375">
        <v>0</v>
      </c>
      <c r="AT73" s="375">
        <v>0</v>
      </c>
      <c r="AU73" s="375">
        <v>0</v>
      </c>
      <c r="AV73" s="375">
        <v>0</v>
      </c>
      <c r="AW73" s="375">
        <v>0</v>
      </c>
      <c r="AX73" s="375">
        <v>0</v>
      </c>
      <c r="AY73" s="375">
        <v>0</v>
      </c>
      <c r="AZ73" s="375">
        <v>0</v>
      </c>
      <c r="BA73" s="375">
        <v>0</v>
      </c>
      <c r="BB73" s="375">
        <v>0</v>
      </c>
      <c r="BC73" s="79"/>
      <c r="BD73" s="79">
        <v>0</v>
      </c>
      <c r="BE73" s="79">
        <v>0</v>
      </c>
      <c r="BF73" s="79">
        <v>0</v>
      </c>
      <c r="BG73" s="79">
        <v>0</v>
      </c>
      <c r="BH73" s="79">
        <v>0</v>
      </c>
      <c r="BI73" s="79">
        <v>0</v>
      </c>
      <c r="BJ73" s="79">
        <v>0</v>
      </c>
      <c r="BK73" s="79">
        <v>0</v>
      </c>
      <c r="BL73" s="79">
        <v>0</v>
      </c>
      <c r="BM73" s="79">
        <v>0</v>
      </c>
      <c r="BN73" s="79">
        <v>0</v>
      </c>
      <c r="BO73" s="79">
        <v>0</v>
      </c>
    </row>
    <row r="74" spans="1:67" ht="15" customHeight="1">
      <c r="A74" s="66" t="s">
        <v>1728</v>
      </c>
      <c r="B74" s="66" t="s">
        <v>1729</v>
      </c>
      <c r="C74" s="150" t="s">
        <v>1136</v>
      </c>
      <c r="D74" s="150" t="s">
        <v>1567</v>
      </c>
      <c r="E74" s="150" t="s">
        <v>1567</v>
      </c>
      <c r="F74" s="150" t="s">
        <v>1567</v>
      </c>
      <c r="G74" s="511" t="s">
        <v>342</v>
      </c>
      <c r="H74" s="392" t="s">
        <v>356</v>
      </c>
      <c r="I74" s="343"/>
      <c r="J74" s="343"/>
      <c r="K74" s="70" t="s">
        <v>356</v>
      </c>
      <c r="L74" s="346" t="s">
        <v>1139</v>
      </c>
      <c r="M74" s="346" t="s">
        <v>1140</v>
      </c>
      <c r="N74" s="346"/>
      <c r="O74" s="150" t="s">
        <v>25</v>
      </c>
      <c r="P74" s="150"/>
      <c r="Q74" s="404"/>
      <c r="R74" s="407">
        <v>0</v>
      </c>
      <c r="S74" s="407">
        <v>0</v>
      </c>
      <c r="T74" s="425"/>
      <c r="U74" s="71"/>
      <c r="V74" s="426"/>
      <c r="W74" s="427"/>
      <c r="X74" s="431">
        <v>0</v>
      </c>
      <c r="Y74" s="428">
        <v>0</v>
      </c>
      <c r="Z74" s="429">
        <v>0</v>
      </c>
      <c r="AA74" s="429">
        <v>0</v>
      </c>
      <c r="AB74" s="363" t="e">
        <v>#N/A</v>
      </c>
      <c r="AC74" s="360">
        <v>0</v>
      </c>
      <c r="AD74" s="360">
        <v>0</v>
      </c>
      <c r="AE74" s="360">
        <v>0</v>
      </c>
      <c r="AF74" s="360">
        <v>0</v>
      </c>
      <c r="AG74" s="360">
        <v>0</v>
      </c>
      <c r="AH74" s="360" t="e">
        <f t="shared" si="1"/>
        <v>#N/A</v>
      </c>
      <c r="AI74" s="362" t="e">
        <f>ERP[[#This Row],[2026 Working Total]]-ERP[[#This Row],[LE2 Final Submission]]</f>
        <v>#N/A</v>
      </c>
      <c r="AJ74" s="79" t="e">
        <v>#N/A</v>
      </c>
      <c r="AK74" s="79" t="e">
        <f t="shared" si="8"/>
        <v>#N/A</v>
      </c>
      <c r="AL74" s="374">
        <f>SUM(ERP[[#This Row],[AP01]:[AP06]])-SUM(ERP[[#This Row],[AP01 LE2]:[AP06 LE2]])</f>
        <v>0</v>
      </c>
      <c r="AM74" s="80"/>
      <c r="AN74" s="79" t="e">
        <f>ERP[[#This Row],[2026 Working Total to Budget/LE]]-ERP[[#This Row],[Giveback]]</f>
        <v>#N/A</v>
      </c>
      <c r="AO74" s="81"/>
      <c r="AP74" s="375"/>
      <c r="AQ74" s="375"/>
      <c r="AR74" s="375">
        <v>0</v>
      </c>
      <c r="AS74" s="375">
        <v>0</v>
      </c>
      <c r="AT74" s="375">
        <v>0</v>
      </c>
      <c r="AU74" s="375">
        <v>0</v>
      </c>
      <c r="AV74" s="375">
        <v>0</v>
      </c>
      <c r="AW74" s="375">
        <v>0</v>
      </c>
      <c r="AX74" s="375">
        <v>0</v>
      </c>
      <c r="AY74" s="375">
        <v>0</v>
      </c>
      <c r="AZ74" s="375">
        <v>0</v>
      </c>
      <c r="BA74" s="375">
        <v>0</v>
      </c>
      <c r="BB74" s="375">
        <v>0</v>
      </c>
      <c r="BC74" s="79"/>
      <c r="BD74" s="79"/>
      <c r="BE74" s="79">
        <v>0</v>
      </c>
      <c r="BF74" s="79">
        <v>0</v>
      </c>
      <c r="BG74" s="79">
        <v>0</v>
      </c>
      <c r="BH74" s="79">
        <v>0</v>
      </c>
      <c r="BI74" s="79">
        <v>0</v>
      </c>
      <c r="BJ74" s="79">
        <v>0</v>
      </c>
      <c r="BK74" s="79">
        <v>0</v>
      </c>
      <c r="BL74" s="79">
        <v>0</v>
      </c>
      <c r="BM74" s="79">
        <v>0</v>
      </c>
      <c r="BN74" s="79">
        <v>0</v>
      </c>
      <c r="BO74" s="79">
        <v>0</v>
      </c>
    </row>
    <row r="75" spans="1:67" ht="15" customHeight="1">
      <c r="A75" s="66" t="s">
        <v>1690</v>
      </c>
      <c r="B75" s="66" t="s">
        <v>1691</v>
      </c>
      <c r="C75" s="150" t="s">
        <v>1136</v>
      </c>
      <c r="D75" s="150" t="s">
        <v>1135</v>
      </c>
      <c r="E75" s="150" t="s">
        <v>1137</v>
      </c>
      <c r="F75" s="150" t="s">
        <v>1137</v>
      </c>
      <c r="G75" s="511" t="s">
        <v>342</v>
      </c>
      <c r="H75" s="392" t="s">
        <v>356</v>
      </c>
      <c r="I75" s="343"/>
      <c r="J75" s="343"/>
      <c r="K75" s="70" t="s">
        <v>356</v>
      </c>
      <c r="L75" s="346" t="s">
        <v>1139</v>
      </c>
      <c r="M75" s="346" t="s">
        <v>1140</v>
      </c>
      <c r="N75" s="346"/>
      <c r="O75" s="150" t="s">
        <v>25</v>
      </c>
      <c r="P75" s="1" t="s">
        <v>1141</v>
      </c>
      <c r="Q75" s="404"/>
      <c r="R75" s="407">
        <v>0</v>
      </c>
      <c r="S75" s="407">
        <v>0</v>
      </c>
      <c r="T75" s="430"/>
      <c r="U75" s="137"/>
      <c r="V75" s="426"/>
      <c r="W75" s="431">
        <v>0</v>
      </c>
      <c r="X75" s="431">
        <v>0</v>
      </c>
      <c r="Y75" s="428">
        <v>-3033.45</v>
      </c>
      <c r="Z75" s="429">
        <v>0</v>
      </c>
      <c r="AA75" s="429">
        <v>0</v>
      </c>
      <c r="AB75" s="363" t="e">
        <v>#N/A</v>
      </c>
      <c r="AC75" s="360">
        <v>0</v>
      </c>
      <c r="AD75" s="360">
        <v>0</v>
      </c>
      <c r="AE75" s="360">
        <v>0</v>
      </c>
      <c r="AF75" s="360">
        <v>0</v>
      </c>
      <c r="AG75" s="360">
        <v>0</v>
      </c>
      <c r="AH75" s="360" t="e">
        <f t="shared" si="1"/>
        <v>#N/A</v>
      </c>
      <c r="AI75" s="362" t="e">
        <f>ERP[[#This Row],[2026 Working Total]]-ERP[[#This Row],[LE2 Final Submission]]</f>
        <v>#N/A</v>
      </c>
      <c r="AJ75" s="79" t="e">
        <v>#N/A</v>
      </c>
      <c r="AK75" s="79" t="e">
        <f t="shared" si="8"/>
        <v>#N/A</v>
      </c>
      <c r="AL75" s="374">
        <f>SUM(ERP[[#This Row],[AP01]:[AP06]])-SUM(ERP[[#This Row],[AP01 LE2]:[AP06 LE2]])</f>
        <v>-3033.45</v>
      </c>
      <c r="AM75" s="80"/>
      <c r="AN75" s="79" t="e">
        <f>ERP[[#This Row],[2026 Working Total to Budget/LE]]-ERP[[#This Row],[Giveback]]</f>
        <v>#N/A</v>
      </c>
      <c r="AO75" s="81"/>
      <c r="AP75" s="375"/>
      <c r="AQ75" s="375">
        <v>0</v>
      </c>
      <c r="AR75" s="375">
        <v>0</v>
      </c>
      <c r="AS75" s="375">
        <v>0</v>
      </c>
      <c r="AT75" s="375">
        <v>0</v>
      </c>
      <c r="AU75" s="375">
        <v>0</v>
      </c>
      <c r="AV75" s="375">
        <v>0</v>
      </c>
      <c r="AW75" s="375">
        <v>0</v>
      </c>
      <c r="AX75" s="375">
        <v>0</v>
      </c>
      <c r="AY75" s="375">
        <v>0</v>
      </c>
      <c r="AZ75" s="375">
        <v>0</v>
      </c>
      <c r="BA75" s="375">
        <v>0</v>
      </c>
      <c r="BB75" s="375">
        <v>0</v>
      </c>
      <c r="BC75" s="79"/>
      <c r="BD75" s="79">
        <v>0</v>
      </c>
      <c r="BE75" s="79">
        <v>0</v>
      </c>
      <c r="BF75" s="79">
        <v>0</v>
      </c>
      <c r="BG75" s="79">
        <v>0</v>
      </c>
      <c r="BH75" s="79">
        <v>0</v>
      </c>
      <c r="BI75" s="79">
        <v>0</v>
      </c>
      <c r="BJ75" s="79">
        <v>0</v>
      </c>
      <c r="BK75" s="79">
        <v>0</v>
      </c>
      <c r="BL75" s="79">
        <v>0</v>
      </c>
      <c r="BM75" s="79">
        <v>0</v>
      </c>
      <c r="BN75" s="79">
        <v>0</v>
      </c>
      <c r="BO75" s="79">
        <v>0</v>
      </c>
    </row>
    <row r="76" spans="1:67" ht="15" customHeight="1">
      <c r="A76" s="66" t="s">
        <v>1730</v>
      </c>
      <c r="B76" s="66" t="s">
        <v>1731</v>
      </c>
      <c r="C76" s="150" t="s">
        <v>1136</v>
      </c>
      <c r="D76" s="150" t="s">
        <v>1567</v>
      </c>
      <c r="E76" s="150" t="s">
        <v>1567</v>
      </c>
      <c r="F76" s="150" t="s">
        <v>1567</v>
      </c>
      <c r="G76" s="511" t="s">
        <v>342</v>
      </c>
      <c r="H76" s="392" t="s">
        <v>1732</v>
      </c>
      <c r="I76" s="343"/>
      <c r="J76" s="343"/>
      <c r="K76" s="70" t="s">
        <v>1732</v>
      </c>
      <c r="L76" s="346"/>
      <c r="M76" s="346" t="s">
        <v>1140</v>
      </c>
      <c r="N76" s="346"/>
      <c r="O76" s="150" t="s">
        <v>25</v>
      </c>
      <c r="P76" s="150"/>
      <c r="Q76" s="404"/>
      <c r="R76" s="407">
        <v>0</v>
      </c>
      <c r="S76" s="407">
        <v>0</v>
      </c>
      <c r="T76" s="425"/>
      <c r="U76" s="71"/>
      <c r="V76" s="426"/>
      <c r="W76" s="427"/>
      <c r="X76" s="431">
        <v>0</v>
      </c>
      <c r="Y76" s="428">
        <v>-1485.86</v>
      </c>
      <c r="Z76" s="429">
        <v>0</v>
      </c>
      <c r="AA76" s="429">
        <v>0</v>
      </c>
      <c r="AB76" s="363" t="e">
        <v>#N/A</v>
      </c>
      <c r="AC76" s="360">
        <v>0</v>
      </c>
      <c r="AD76" s="360">
        <v>0</v>
      </c>
      <c r="AE76" s="360">
        <v>0</v>
      </c>
      <c r="AF76" s="360">
        <v>0</v>
      </c>
      <c r="AG76" s="360">
        <v>0</v>
      </c>
      <c r="AH76" s="360" t="e">
        <f t="shared" ref="AH76:AH139" si="9">SUM(V76:AG76)</f>
        <v>#N/A</v>
      </c>
      <c r="AI76" s="362" t="e">
        <f>ERP[[#This Row],[2026 Working Total]]-ERP[[#This Row],[LE2 Final Submission]]</f>
        <v>#N/A</v>
      </c>
      <c r="AJ76" s="79" t="e">
        <v>#N/A</v>
      </c>
      <c r="AK76" s="79" t="e">
        <f t="shared" si="8"/>
        <v>#N/A</v>
      </c>
      <c r="AL76" s="374">
        <f>SUM(ERP[[#This Row],[AP01]:[AP06]])-SUM(ERP[[#This Row],[AP01 LE2]:[AP06 LE2]])</f>
        <v>-1485.86</v>
      </c>
      <c r="AM76" s="80"/>
      <c r="AN76" s="79" t="e">
        <f>ERP[[#This Row],[2026 Working Total to Budget/LE]]-ERP[[#This Row],[Giveback]]</f>
        <v>#N/A</v>
      </c>
      <c r="AO76" s="81"/>
      <c r="AP76" s="375"/>
      <c r="AQ76" s="375"/>
      <c r="AR76" s="375">
        <v>0</v>
      </c>
      <c r="AS76" s="375">
        <v>0</v>
      </c>
      <c r="AT76" s="375">
        <v>0</v>
      </c>
      <c r="AU76" s="375">
        <v>0</v>
      </c>
      <c r="AV76" s="375">
        <v>0</v>
      </c>
      <c r="AW76" s="375">
        <v>0</v>
      </c>
      <c r="AX76" s="375">
        <v>0</v>
      </c>
      <c r="AY76" s="375">
        <v>0</v>
      </c>
      <c r="AZ76" s="375">
        <v>0</v>
      </c>
      <c r="BA76" s="375">
        <v>0</v>
      </c>
      <c r="BB76" s="375">
        <v>0</v>
      </c>
      <c r="BC76" s="79"/>
      <c r="BD76" s="79"/>
      <c r="BE76" s="79">
        <v>0</v>
      </c>
      <c r="BF76" s="79">
        <v>0</v>
      </c>
      <c r="BG76" s="79">
        <v>0</v>
      </c>
      <c r="BH76" s="79">
        <v>0</v>
      </c>
      <c r="BI76" s="79">
        <v>0</v>
      </c>
      <c r="BJ76" s="79">
        <v>0</v>
      </c>
      <c r="BK76" s="79">
        <v>0</v>
      </c>
      <c r="BL76" s="79">
        <v>0</v>
      </c>
      <c r="BM76" s="79">
        <v>0</v>
      </c>
      <c r="BN76" s="79">
        <v>0</v>
      </c>
      <c r="BO76" s="79">
        <v>0</v>
      </c>
    </row>
    <row r="77" spans="1:67" ht="15" customHeight="1">
      <c r="A77" s="150" t="s">
        <v>1692</v>
      </c>
      <c r="B77" s="296" t="s">
        <v>1693</v>
      </c>
      <c r="C77" s="150" t="s">
        <v>1136</v>
      </c>
      <c r="D77" s="150" t="s">
        <v>1135</v>
      </c>
      <c r="E77" s="150" t="s">
        <v>1137</v>
      </c>
      <c r="F77" s="150" t="s">
        <v>1137</v>
      </c>
      <c r="G77" s="514" t="s">
        <v>342</v>
      </c>
      <c r="H77" s="394" t="s">
        <v>1694</v>
      </c>
      <c r="I77" s="333"/>
      <c r="J77" s="332" t="s">
        <v>1695</v>
      </c>
      <c r="K77" s="90" t="s">
        <v>358</v>
      </c>
      <c r="L77" s="347"/>
      <c r="M77" s="347"/>
      <c r="N77" s="348"/>
      <c r="O77" s="348"/>
      <c r="P77" s="1" t="s">
        <v>1141</v>
      </c>
      <c r="Q77" s="402"/>
      <c r="R77" s="406"/>
      <c r="S77" s="406"/>
      <c r="T77" s="425"/>
      <c r="U77" s="71"/>
      <c r="V77" s="435"/>
      <c r="W77" s="436"/>
      <c r="X77" s="436"/>
      <c r="Y77" s="429">
        <v>-638.70000000000005</v>
      </c>
      <c r="Z77" s="429">
        <v>0</v>
      </c>
      <c r="AA77" s="429">
        <v>0</v>
      </c>
      <c r="AB77" s="363" t="e">
        <v>#N/A</v>
      </c>
      <c r="AC77" s="364"/>
      <c r="AD77" s="364"/>
      <c r="AE77" s="364"/>
      <c r="AF77" s="364"/>
      <c r="AG77" s="364"/>
      <c r="AH77" s="360" t="e">
        <f t="shared" si="9"/>
        <v>#N/A</v>
      </c>
      <c r="AI77" s="362" t="e">
        <f>ERP[[#This Row],[2026 Working Total]]-ERP[[#This Row],[LE2 Final Submission]]</f>
        <v>#N/A</v>
      </c>
      <c r="AJ77" s="79" t="e">
        <v>#N/A</v>
      </c>
      <c r="AK77" s="79" t="e">
        <f t="shared" si="8"/>
        <v>#N/A</v>
      </c>
      <c r="AL77" s="374">
        <f>SUM(ERP[[#This Row],[AP01]:[AP06]])-SUM(ERP[[#This Row],[AP01 LE2]:[AP06 LE2]])</f>
        <v>-638.70000000000005</v>
      </c>
      <c r="AM77" s="80"/>
      <c r="AN77" s="79" t="e">
        <f>ERP[[#This Row],[2026 Working Total to Budget/LE]]-ERP[[#This Row],[Giveback]]</f>
        <v>#N/A</v>
      </c>
      <c r="AO77" s="81"/>
      <c r="AP77" s="375"/>
      <c r="AQ77" s="375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75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</row>
    <row r="78" spans="1:67" ht="15" customHeight="1">
      <c r="A78" s="150" t="s">
        <v>2767</v>
      </c>
      <c r="B78" s="296" t="s">
        <v>2768</v>
      </c>
      <c r="C78" s="150" t="s">
        <v>1136</v>
      </c>
      <c r="D78" s="150" t="s">
        <v>1567</v>
      </c>
      <c r="E78" s="150" t="s">
        <v>1567</v>
      </c>
      <c r="F78" s="150" t="s">
        <v>1567</v>
      </c>
      <c r="G78" s="511" t="s">
        <v>639</v>
      </c>
      <c r="H78" s="394" t="s">
        <v>2245</v>
      </c>
      <c r="I78" s="333"/>
      <c r="J78" s="332" t="s">
        <v>2755</v>
      </c>
      <c r="K78" s="90" t="s">
        <v>2246</v>
      </c>
      <c r="L78" s="347"/>
      <c r="M78" s="347"/>
      <c r="N78" s="348"/>
      <c r="O78" s="348"/>
      <c r="P78" s="348"/>
      <c r="Q78" s="402"/>
      <c r="R78" s="406"/>
      <c r="S78" s="406"/>
      <c r="T78" s="425"/>
      <c r="U78" s="71"/>
      <c r="V78" s="435"/>
      <c r="W78" s="436"/>
      <c r="X78" s="436"/>
      <c r="Y78" s="429">
        <v>-451.1</v>
      </c>
      <c r="Z78" s="429">
        <v>0</v>
      </c>
      <c r="AA78" s="429">
        <v>0</v>
      </c>
      <c r="AB78" s="363" t="e">
        <v>#N/A</v>
      </c>
      <c r="AC78" s="364"/>
      <c r="AD78" s="364"/>
      <c r="AE78" s="364"/>
      <c r="AF78" s="364"/>
      <c r="AG78" s="364"/>
      <c r="AH78" s="360" t="e">
        <f t="shared" si="9"/>
        <v>#N/A</v>
      </c>
      <c r="AI78" s="362" t="e">
        <f>ERP[[#This Row],[2026 Working Total]]-ERP[[#This Row],[LE2 Final Submission]]</f>
        <v>#N/A</v>
      </c>
      <c r="AJ78" s="79" t="e">
        <v>#N/A</v>
      </c>
      <c r="AK78" s="79" t="e">
        <f t="shared" si="8"/>
        <v>#N/A</v>
      </c>
      <c r="AL78" s="374">
        <f>SUM(ERP[[#This Row],[AP01]:[AP06]])-SUM(ERP[[#This Row],[AP01 LE2]:[AP06 LE2]])</f>
        <v>-451.1</v>
      </c>
      <c r="AM78" s="80"/>
      <c r="AN78" s="79" t="e">
        <f>ERP[[#This Row],[2026 Working Total to Budget/LE]]-ERP[[#This Row],[Giveback]]</f>
        <v>#N/A</v>
      </c>
      <c r="AO78" s="81"/>
      <c r="AP78" s="375"/>
      <c r="AQ78" s="375"/>
      <c r="AR78" s="375"/>
      <c r="AS78" s="375"/>
      <c r="AT78" s="375"/>
      <c r="AU78" s="375"/>
      <c r="AV78" s="375"/>
      <c r="AW78" s="375"/>
      <c r="AX78" s="375"/>
      <c r="AY78" s="375"/>
      <c r="AZ78" s="375"/>
      <c r="BA78" s="375"/>
      <c r="BB78" s="375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</row>
    <row r="79" spans="1:67" ht="15" customHeight="1">
      <c r="A79" s="66" t="s">
        <v>1696</v>
      </c>
      <c r="B79" s="66" t="s">
        <v>1697</v>
      </c>
      <c r="C79" s="150" t="s">
        <v>1136</v>
      </c>
      <c r="D79" s="150" t="s">
        <v>1135</v>
      </c>
      <c r="E79" s="150" t="s">
        <v>1137</v>
      </c>
      <c r="F79" s="150" t="s">
        <v>1137</v>
      </c>
      <c r="G79" s="511" t="s">
        <v>342</v>
      </c>
      <c r="H79" s="392" t="s">
        <v>360</v>
      </c>
      <c r="I79" s="343"/>
      <c r="J79" s="343"/>
      <c r="K79" s="70" t="s">
        <v>360</v>
      </c>
      <c r="L79" s="346"/>
      <c r="M79" s="346" t="s">
        <v>1140</v>
      </c>
      <c r="N79" s="346"/>
      <c r="O79" s="150" t="s">
        <v>25</v>
      </c>
      <c r="P79" s="150"/>
      <c r="Q79" s="404"/>
      <c r="R79" s="407">
        <v>0</v>
      </c>
      <c r="S79" s="407">
        <v>0</v>
      </c>
      <c r="T79" s="430"/>
      <c r="U79" s="137"/>
      <c r="V79" s="426"/>
      <c r="W79" s="427"/>
      <c r="X79" s="431">
        <v>0</v>
      </c>
      <c r="Y79" s="428">
        <v>0</v>
      </c>
      <c r="Z79" s="429">
        <v>0</v>
      </c>
      <c r="AA79" s="429">
        <v>0</v>
      </c>
      <c r="AB79" s="363" t="e">
        <v>#N/A</v>
      </c>
      <c r="AC79" s="360">
        <v>0</v>
      </c>
      <c r="AD79" s="360">
        <v>0</v>
      </c>
      <c r="AE79" s="360">
        <v>0</v>
      </c>
      <c r="AF79" s="360">
        <v>0</v>
      </c>
      <c r="AG79" s="360">
        <v>0</v>
      </c>
      <c r="AH79" s="360" t="e">
        <f t="shared" si="9"/>
        <v>#N/A</v>
      </c>
      <c r="AI79" s="362" t="e">
        <f>ERP[[#This Row],[2026 Working Total]]-ERP[[#This Row],[LE2 Final Submission]]</f>
        <v>#N/A</v>
      </c>
      <c r="AJ79" s="79" t="e">
        <v>#N/A</v>
      </c>
      <c r="AK79" s="79" t="e">
        <f t="shared" si="8"/>
        <v>#N/A</v>
      </c>
      <c r="AL79" s="374">
        <f>SUM(ERP[[#This Row],[AP01]:[AP06]])-SUM(ERP[[#This Row],[AP01 LE2]:[AP06 LE2]])</f>
        <v>0</v>
      </c>
      <c r="AM79" s="80"/>
      <c r="AN79" s="79" t="e">
        <f>ERP[[#This Row],[2026 Working Total to Budget/LE]]-ERP[[#This Row],[Giveback]]</f>
        <v>#N/A</v>
      </c>
      <c r="AO79" s="81"/>
      <c r="AP79" s="375"/>
      <c r="AQ79" s="375"/>
      <c r="AR79" s="375">
        <v>0</v>
      </c>
      <c r="AS79" s="375">
        <v>0</v>
      </c>
      <c r="AT79" s="375">
        <v>0</v>
      </c>
      <c r="AU79" s="375">
        <v>0</v>
      </c>
      <c r="AV79" s="375">
        <v>0</v>
      </c>
      <c r="AW79" s="375">
        <v>0</v>
      </c>
      <c r="AX79" s="375">
        <v>0</v>
      </c>
      <c r="AY79" s="375">
        <v>0</v>
      </c>
      <c r="AZ79" s="375">
        <v>0</v>
      </c>
      <c r="BA79" s="375">
        <v>0</v>
      </c>
      <c r="BB79" s="375">
        <v>0</v>
      </c>
      <c r="BC79" s="79"/>
      <c r="BD79" s="79"/>
      <c r="BE79" s="79">
        <v>0</v>
      </c>
      <c r="BF79" s="79">
        <v>0</v>
      </c>
      <c r="BG79" s="79">
        <v>0</v>
      </c>
      <c r="BH79" s="79">
        <v>0</v>
      </c>
      <c r="BI79" s="79">
        <v>0</v>
      </c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</row>
    <row r="80" spans="1:67" ht="15" customHeight="1">
      <c r="A80" s="150" t="s">
        <v>2243</v>
      </c>
      <c r="B80" s="296" t="s">
        <v>2244</v>
      </c>
      <c r="C80" s="150" t="s">
        <v>1136</v>
      </c>
      <c r="D80" s="150" t="s">
        <v>1135</v>
      </c>
      <c r="E80" s="150" t="s">
        <v>1137</v>
      </c>
      <c r="F80" s="150" t="s">
        <v>1137</v>
      </c>
      <c r="G80" s="514" t="s">
        <v>639</v>
      </c>
      <c r="H80" s="394" t="s">
        <v>2245</v>
      </c>
      <c r="I80" s="333"/>
      <c r="J80" s="332" t="s">
        <v>1695</v>
      </c>
      <c r="K80" s="90" t="s">
        <v>2246</v>
      </c>
      <c r="L80" s="347"/>
      <c r="M80" s="347"/>
      <c r="N80" s="348"/>
      <c r="O80" s="348"/>
      <c r="P80" s="1" t="s">
        <v>1141</v>
      </c>
      <c r="Q80" s="402"/>
      <c r="R80" s="406"/>
      <c r="S80" s="406"/>
      <c r="T80" s="425"/>
      <c r="U80" s="71"/>
      <c r="V80" s="435"/>
      <c r="W80" s="436"/>
      <c r="X80" s="436"/>
      <c r="Y80" s="429">
        <v>-41167.729999999996</v>
      </c>
      <c r="Z80" s="429">
        <v>0</v>
      </c>
      <c r="AA80" s="429">
        <v>0</v>
      </c>
      <c r="AB80" s="363" t="e">
        <v>#N/A</v>
      </c>
      <c r="AC80" s="364"/>
      <c r="AD80" s="364"/>
      <c r="AE80" s="364"/>
      <c r="AF80" s="364"/>
      <c r="AG80" s="364"/>
      <c r="AH80" s="360" t="e">
        <f t="shared" si="9"/>
        <v>#N/A</v>
      </c>
      <c r="AI80" s="362" t="e">
        <f>ERP[[#This Row],[2026 Working Total]]-ERP[[#This Row],[LE2 Final Submission]]</f>
        <v>#N/A</v>
      </c>
      <c r="AJ80" s="79" t="e">
        <v>#N/A</v>
      </c>
      <c r="AK80" s="79" t="e">
        <f t="shared" si="8"/>
        <v>#N/A</v>
      </c>
      <c r="AL80" s="374">
        <f>SUM(ERP[[#This Row],[AP01]:[AP06]])-SUM(ERP[[#This Row],[AP01 LE2]:[AP06 LE2]])</f>
        <v>-41167.729999999996</v>
      </c>
      <c r="AM80" s="80"/>
      <c r="AN80" s="79" t="e">
        <f>ERP[[#This Row],[2026 Working Total to Budget/LE]]-ERP[[#This Row],[Giveback]]</f>
        <v>#N/A</v>
      </c>
      <c r="AO80" s="81"/>
      <c r="AP80" s="375"/>
      <c r="AQ80" s="375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75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</row>
    <row r="81" spans="1:67" ht="15" customHeight="1">
      <c r="A81" s="66" t="s">
        <v>2081</v>
      </c>
      <c r="B81" s="66" t="s">
        <v>2082</v>
      </c>
      <c r="C81" s="150" t="s">
        <v>1136</v>
      </c>
      <c r="D81" s="150" t="s">
        <v>1567</v>
      </c>
      <c r="E81" s="150" t="s">
        <v>1567</v>
      </c>
      <c r="F81" s="150" t="s">
        <v>1567</v>
      </c>
      <c r="G81" s="511" t="s">
        <v>389</v>
      </c>
      <c r="H81" s="392" t="s">
        <v>414</v>
      </c>
      <c r="I81" s="343"/>
      <c r="J81" s="343"/>
      <c r="K81" s="70" t="s">
        <v>414</v>
      </c>
      <c r="L81" s="346" t="s">
        <v>1139</v>
      </c>
      <c r="M81" s="346" t="s">
        <v>1140</v>
      </c>
      <c r="N81" s="346"/>
      <c r="O81" s="150" t="s">
        <v>25</v>
      </c>
      <c r="P81" s="150"/>
      <c r="Q81" s="404"/>
      <c r="R81" s="407">
        <v>0</v>
      </c>
      <c r="S81" s="407">
        <v>0</v>
      </c>
      <c r="T81" s="425"/>
      <c r="U81" s="71"/>
      <c r="V81" s="426"/>
      <c r="W81" s="431">
        <v>0</v>
      </c>
      <c r="X81" s="431">
        <v>0</v>
      </c>
      <c r="Y81" s="428">
        <v>-5040.41</v>
      </c>
      <c r="Z81" s="429">
        <v>0</v>
      </c>
      <c r="AA81" s="429">
        <v>0</v>
      </c>
      <c r="AB81" s="363" t="e">
        <v>#N/A</v>
      </c>
      <c r="AC81" s="360">
        <v>0</v>
      </c>
      <c r="AD81" s="360">
        <v>0</v>
      </c>
      <c r="AE81" s="360">
        <v>0</v>
      </c>
      <c r="AF81" s="360">
        <v>0</v>
      </c>
      <c r="AG81" s="360">
        <v>0</v>
      </c>
      <c r="AH81" s="360" t="e">
        <f t="shared" si="9"/>
        <v>#N/A</v>
      </c>
      <c r="AI81" s="362" t="e">
        <f>ERP[[#This Row],[2026 Working Total]]-ERP[[#This Row],[LE2 Final Submission]]</f>
        <v>#N/A</v>
      </c>
      <c r="AJ81" s="79" t="e">
        <v>#N/A</v>
      </c>
      <c r="AK81" s="79" t="e">
        <f t="shared" si="8"/>
        <v>#N/A</v>
      </c>
      <c r="AL81" s="374">
        <f>SUM(ERP[[#This Row],[AP01]:[AP06]])-SUM(ERP[[#This Row],[AP01 LE2]:[AP06 LE2]])</f>
        <v>-5040.41</v>
      </c>
      <c r="AM81" s="80"/>
      <c r="AN81" s="79" t="e">
        <f>ERP[[#This Row],[2026 Working Total to Budget/LE]]-ERP[[#This Row],[Giveback]]</f>
        <v>#N/A</v>
      </c>
      <c r="AO81" s="81"/>
      <c r="AP81" s="375"/>
      <c r="AQ81" s="375">
        <v>0</v>
      </c>
      <c r="AR81" s="375">
        <v>0</v>
      </c>
      <c r="AS81" s="375">
        <v>0</v>
      </c>
      <c r="AT81" s="375">
        <v>0</v>
      </c>
      <c r="AU81" s="375">
        <v>0</v>
      </c>
      <c r="AV81" s="375">
        <v>0</v>
      </c>
      <c r="AW81" s="375">
        <v>0</v>
      </c>
      <c r="AX81" s="375">
        <v>0</v>
      </c>
      <c r="AY81" s="375">
        <v>0</v>
      </c>
      <c r="AZ81" s="375">
        <v>0</v>
      </c>
      <c r="BA81" s="375">
        <v>0</v>
      </c>
      <c r="BB81" s="375">
        <v>0</v>
      </c>
      <c r="BC81" s="79"/>
      <c r="BD81" s="79">
        <v>0</v>
      </c>
      <c r="BE81" s="79">
        <v>0</v>
      </c>
      <c r="BF81" s="79">
        <v>0</v>
      </c>
      <c r="BG81" s="79">
        <v>0</v>
      </c>
      <c r="BH81" s="79">
        <v>0</v>
      </c>
      <c r="BI81" s="79">
        <v>0</v>
      </c>
      <c r="BJ81" s="79">
        <v>0</v>
      </c>
      <c r="BK81" s="79">
        <v>0</v>
      </c>
      <c r="BL81" s="79">
        <v>0</v>
      </c>
      <c r="BM81" s="79">
        <v>0</v>
      </c>
      <c r="BN81" s="79">
        <v>0</v>
      </c>
      <c r="BO81" s="79">
        <v>0</v>
      </c>
    </row>
    <row r="82" spans="1:67" ht="15" customHeight="1">
      <c r="A82" s="66" t="s">
        <v>1786</v>
      </c>
      <c r="B82" s="66" t="s">
        <v>1787</v>
      </c>
      <c r="C82" s="150" t="s">
        <v>1136</v>
      </c>
      <c r="D82" s="150" t="s">
        <v>1135</v>
      </c>
      <c r="E82" s="150" t="s">
        <v>1137</v>
      </c>
      <c r="F82" s="150" t="s">
        <v>1137</v>
      </c>
      <c r="G82" s="511" t="s">
        <v>389</v>
      </c>
      <c r="H82" s="392" t="s">
        <v>414</v>
      </c>
      <c r="I82" s="343"/>
      <c r="J82" s="343"/>
      <c r="K82" s="70" t="s">
        <v>414</v>
      </c>
      <c r="L82" s="346" t="s">
        <v>1139</v>
      </c>
      <c r="M82" s="346" t="s">
        <v>1140</v>
      </c>
      <c r="N82" s="346"/>
      <c r="O82" s="150" t="s">
        <v>25</v>
      </c>
      <c r="P82" s="1" t="s">
        <v>1141</v>
      </c>
      <c r="Q82" s="404"/>
      <c r="R82" s="407">
        <v>0</v>
      </c>
      <c r="S82" s="407">
        <v>0</v>
      </c>
      <c r="T82" s="430"/>
      <c r="U82" s="137"/>
      <c r="V82" s="426"/>
      <c r="W82" s="431">
        <v>0</v>
      </c>
      <c r="X82" s="431">
        <v>0</v>
      </c>
      <c r="Y82" s="428">
        <v>-10742.01</v>
      </c>
      <c r="Z82" s="429">
        <v>0</v>
      </c>
      <c r="AA82" s="429">
        <v>0</v>
      </c>
      <c r="AB82" s="363" t="e">
        <v>#N/A</v>
      </c>
      <c r="AC82" s="360">
        <v>0</v>
      </c>
      <c r="AD82" s="360">
        <v>0</v>
      </c>
      <c r="AE82" s="360">
        <v>0</v>
      </c>
      <c r="AF82" s="360">
        <v>0</v>
      </c>
      <c r="AG82" s="360">
        <v>0</v>
      </c>
      <c r="AH82" s="360" t="e">
        <f t="shared" si="9"/>
        <v>#N/A</v>
      </c>
      <c r="AI82" s="362" t="e">
        <f>ERP[[#This Row],[2026 Working Total]]-ERP[[#This Row],[LE2 Final Submission]]</f>
        <v>#N/A</v>
      </c>
      <c r="AJ82" s="79" t="e">
        <v>#N/A</v>
      </c>
      <c r="AK82" s="79" t="e">
        <f t="shared" si="8"/>
        <v>#N/A</v>
      </c>
      <c r="AL82" s="374">
        <f>SUM(ERP[[#This Row],[AP01]:[AP06]])-SUM(ERP[[#This Row],[AP01 LE2]:[AP06 LE2]])</f>
        <v>-10742.01</v>
      </c>
      <c r="AM82" s="80"/>
      <c r="AN82" s="79" t="e">
        <f>ERP[[#This Row],[2026 Working Total to Budget/LE]]-ERP[[#This Row],[Giveback]]</f>
        <v>#N/A</v>
      </c>
      <c r="AO82" s="81"/>
      <c r="AP82" s="375"/>
      <c r="AQ82" s="375">
        <v>0</v>
      </c>
      <c r="AR82" s="375">
        <v>0</v>
      </c>
      <c r="AS82" s="375">
        <v>0</v>
      </c>
      <c r="AT82" s="375">
        <v>0</v>
      </c>
      <c r="AU82" s="375">
        <v>0</v>
      </c>
      <c r="AV82" s="375">
        <v>0</v>
      </c>
      <c r="AW82" s="375">
        <v>0</v>
      </c>
      <c r="AX82" s="375">
        <v>0</v>
      </c>
      <c r="AY82" s="375">
        <v>0</v>
      </c>
      <c r="AZ82" s="375">
        <v>0</v>
      </c>
      <c r="BA82" s="375">
        <v>0</v>
      </c>
      <c r="BB82" s="375">
        <v>0</v>
      </c>
      <c r="BC82" s="79"/>
      <c r="BD82" s="79">
        <v>0</v>
      </c>
      <c r="BE82" s="79">
        <v>0</v>
      </c>
      <c r="BF82" s="79">
        <v>0</v>
      </c>
      <c r="BG82" s="79">
        <v>0</v>
      </c>
      <c r="BH82" s="79">
        <v>0</v>
      </c>
      <c r="BI82" s="79">
        <v>0</v>
      </c>
      <c r="BJ82" s="79">
        <v>0</v>
      </c>
      <c r="BK82" s="79">
        <v>0</v>
      </c>
      <c r="BL82" s="79">
        <v>0</v>
      </c>
      <c r="BM82" s="79">
        <v>0</v>
      </c>
      <c r="BN82" s="79">
        <v>0</v>
      </c>
      <c r="BO82" s="79">
        <v>0</v>
      </c>
    </row>
    <row r="83" spans="1:67" ht="15" customHeight="1">
      <c r="A83" s="79" t="s">
        <v>1733</v>
      </c>
      <c r="B83" s="296" t="s">
        <v>1734</v>
      </c>
      <c r="C83" s="150" t="s">
        <v>1136</v>
      </c>
      <c r="D83" t="s">
        <v>1567</v>
      </c>
      <c r="E83" t="s">
        <v>1567</v>
      </c>
      <c r="F83" s="150" t="s">
        <v>1567</v>
      </c>
      <c r="G83" s="514" t="s">
        <v>342</v>
      </c>
      <c r="H83" s="468" t="s">
        <v>1699</v>
      </c>
      <c r="I83" s="343"/>
      <c r="J83" s="333"/>
      <c r="K83" s="70" t="s">
        <v>362</v>
      </c>
      <c r="L83" s="347"/>
      <c r="M83" s="343"/>
      <c r="N83" s="348"/>
      <c r="O83" s="348"/>
      <c r="P83" s="348" t="s">
        <v>1700</v>
      </c>
      <c r="Q83" s="402"/>
      <c r="R83" s="358"/>
      <c r="S83" s="379">
        <v>0</v>
      </c>
      <c r="T83" s="425"/>
      <c r="U83" s="71"/>
      <c r="V83" s="435"/>
      <c r="W83" s="436"/>
      <c r="X83" s="436"/>
      <c r="Y83" s="428" t="s">
        <v>1142</v>
      </c>
      <c r="Z83" s="429">
        <v>0</v>
      </c>
      <c r="AA83" s="429">
        <v>0</v>
      </c>
      <c r="AB83" s="363" t="e">
        <v>#N/A</v>
      </c>
      <c r="AC83" s="364"/>
      <c r="AD83" s="364"/>
      <c r="AE83" s="364"/>
      <c r="AF83" s="364"/>
      <c r="AG83" s="364"/>
      <c r="AH83" s="360" t="e">
        <f t="shared" si="9"/>
        <v>#N/A</v>
      </c>
      <c r="AI83" s="362" t="e">
        <f>ERP[[#This Row],[2026 Working Total]]-ERP[[#This Row],[LE2 Final Submission]]</f>
        <v>#N/A</v>
      </c>
      <c r="AJ83" s="79" t="e">
        <v>#N/A</v>
      </c>
      <c r="AK83" s="79" t="e">
        <f t="shared" si="8"/>
        <v>#N/A</v>
      </c>
      <c r="AL83" s="374">
        <f>SUM(ERP[[#This Row],[AP01]:[AP06]])-SUM(ERP[[#This Row],[AP01 LE2]:[AP06 LE2]])</f>
        <v>0</v>
      </c>
      <c r="AM83" s="80"/>
      <c r="AN83" s="79" t="e">
        <f>ERP[[#This Row],[2026 Working Total to Budget/LE]]-ERP[[#This Row],[Giveback]]</f>
        <v>#N/A</v>
      </c>
      <c r="AO83" s="81"/>
      <c r="AP83" s="375"/>
      <c r="AQ83" s="375"/>
      <c r="AR83" s="375"/>
      <c r="AS83" s="375">
        <v>-13303.91</v>
      </c>
      <c r="AT83" s="375">
        <v>13303.91</v>
      </c>
      <c r="AU83" s="375"/>
      <c r="AV83" s="375"/>
      <c r="AW83" s="375"/>
      <c r="AX83" s="375"/>
      <c r="AY83" s="375"/>
      <c r="AZ83" s="375"/>
      <c r="BA83" s="375"/>
      <c r="BB83" s="375">
        <v>0</v>
      </c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</row>
    <row r="84" spans="1:67" ht="15" customHeight="1">
      <c r="A84" s="79" t="s">
        <v>1698</v>
      </c>
      <c r="B84" s="66" t="s">
        <v>361</v>
      </c>
      <c r="C84" s="150" t="s">
        <v>1136</v>
      </c>
      <c r="D84" t="s">
        <v>1135</v>
      </c>
      <c r="E84" t="s">
        <v>1135</v>
      </c>
      <c r="F84" t="s">
        <v>1135</v>
      </c>
      <c r="G84" s="514" t="s">
        <v>342</v>
      </c>
      <c r="H84" s="395" t="s">
        <v>1699</v>
      </c>
      <c r="I84" s="343"/>
      <c r="J84" s="333"/>
      <c r="K84" s="70" t="s">
        <v>362</v>
      </c>
      <c r="L84" s="347"/>
      <c r="M84" s="343"/>
      <c r="N84" s="348"/>
      <c r="O84" s="348"/>
      <c r="P84" s="348" t="s">
        <v>1700</v>
      </c>
      <c r="Q84" s="402"/>
      <c r="R84" s="358"/>
      <c r="S84" s="379">
        <v>0</v>
      </c>
      <c r="T84" s="430"/>
      <c r="U84" s="137"/>
      <c r="V84" s="435"/>
      <c r="W84" s="436"/>
      <c r="X84" s="436"/>
      <c r="Y84" s="428" t="s">
        <v>1142</v>
      </c>
      <c r="Z84" s="429">
        <v>0</v>
      </c>
      <c r="AA84" s="429">
        <v>0</v>
      </c>
      <c r="AB84" s="363" t="e">
        <v>#N/A</v>
      </c>
      <c r="AC84" s="364"/>
      <c r="AD84" s="364"/>
      <c r="AE84" s="364"/>
      <c r="AF84" s="364"/>
      <c r="AG84" s="364"/>
      <c r="AH84" s="360" t="e">
        <f t="shared" si="9"/>
        <v>#N/A</v>
      </c>
      <c r="AI84" s="362" t="e">
        <f>ERP[[#This Row],[2026 Working Total]]-ERP[[#This Row],[LE2 Final Submission]]</f>
        <v>#N/A</v>
      </c>
      <c r="AJ84" s="79" t="e">
        <v>#N/A</v>
      </c>
      <c r="AK84" s="79" t="e">
        <f t="shared" si="8"/>
        <v>#N/A</v>
      </c>
      <c r="AL84" s="374">
        <f>SUM(ERP[[#This Row],[AP01]:[AP06]])-SUM(ERP[[#This Row],[AP01 LE2]:[AP06 LE2]])</f>
        <v>0</v>
      </c>
      <c r="AM84" s="80"/>
      <c r="AN84" s="79" t="e">
        <f>ERP[[#This Row],[2026 Working Total to Budget/LE]]-ERP[[#This Row],[Giveback]]</f>
        <v>#N/A</v>
      </c>
      <c r="AO84" s="81"/>
      <c r="AP84" s="375"/>
      <c r="AQ84" s="375"/>
      <c r="AR84" s="375"/>
      <c r="AS84" s="375">
        <v>-16084.39</v>
      </c>
      <c r="AT84" s="375">
        <v>16084.39</v>
      </c>
      <c r="AU84" s="375"/>
      <c r="AV84" s="375"/>
      <c r="AW84" s="375"/>
      <c r="AX84" s="375"/>
      <c r="AY84" s="375"/>
      <c r="AZ84" s="375"/>
      <c r="BA84" s="375"/>
      <c r="BB84" s="375">
        <v>0</v>
      </c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</row>
    <row r="85" spans="1:67" ht="15" customHeight="1">
      <c r="A85" s="79" t="s">
        <v>2083</v>
      </c>
      <c r="B85" s="296" t="s">
        <v>2084</v>
      </c>
      <c r="C85" s="150" t="s">
        <v>1136</v>
      </c>
      <c r="D85" t="s">
        <v>1567</v>
      </c>
      <c r="E85" t="s">
        <v>1567</v>
      </c>
      <c r="F85" s="150" t="s">
        <v>1567</v>
      </c>
      <c r="G85" s="514" t="s">
        <v>389</v>
      </c>
      <c r="H85" s="394" t="s">
        <v>1699</v>
      </c>
      <c r="I85" s="343"/>
      <c r="J85" s="333"/>
      <c r="K85" s="70" t="s">
        <v>362</v>
      </c>
      <c r="L85" s="347"/>
      <c r="M85" s="343"/>
      <c r="N85" s="348"/>
      <c r="O85" s="348"/>
      <c r="P85" s="348" t="s">
        <v>1700</v>
      </c>
      <c r="Q85" s="402"/>
      <c r="R85" s="358"/>
      <c r="S85" s="379">
        <v>0</v>
      </c>
      <c r="T85" s="425"/>
      <c r="U85" s="71"/>
      <c r="V85" s="435"/>
      <c r="W85" s="436"/>
      <c r="X85" s="436"/>
      <c r="Y85" s="428" t="s">
        <v>1142</v>
      </c>
      <c r="Z85" s="429">
        <v>0</v>
      </c>
      <c r="AA85" s="429">
        <v>0</v>
      </c>
      <c r="AB85" s="363" t="e">
        <v>#N/A</v>
      </c>
      <c r="AC85" s="364"/>
      <c r="AD85" s="364"/>
      <c r="AE85" s="364"/>
      <c r="AF85" s="364"/>
      <c r="AG85" s="364"/>
      <c r="AH85" s="360" t="e">
        <f t="shared" si="9"/>
        <v>#N/A</v>
      </c>
      <c r="AI85" s="362" t="e">
        <f>ERP[[#This Row],[2026 Working Total]]-ERP[[#This Row],[LE2 Final Submission]]</f>
        <v>#N/A</v>
      </c>
      <c r="AJ85" s="79" t="e">
        <v>#N/A</v>
      </c>
      <c r="AK85" s="79" t="e">
        <f t="shared" si="8"/>
        <v>#N/A</v>
      </c>
      <c r="AL85" s="374">
        <f>SUM(ERP[[#This Row],[AP01]:[AP06]])-SUM(ERP[[#This Row],[AP01 LE2]:[AP06 LE2]])</f>
        <v>0</v>
      </c>
      <c r="AM85" s="80"/>
      <c r="AN85" s="79" t="e">
        <f>ERP[[#This Row],[2026 Working Total to Budget/LE]]-ERP[[#This Row],[Giveback]]</f>
        <v>#N/A</v>
      </c>
      <c r="AO85" s="81"/>
      <c r="AP85" s="375"/>
      <c r="AQ85" s="375"/>
      <c r="AR85" s="375"/>
      <c r="AS85" s="375">
        <v>-5045.4799999999996</v>
      </c>
      <c r="AT85" s="375">
        <v>5045.4799999999996</v>
      </c>
      <c r="AU85" s="375"/>
      <c r="AV85" s="375"/>
      <c r="AW85" s="375"/>
      <c r="AX85" s="375"/>
      <c r="AY85" s="375"/>
      <c r="AZ85" s="375"/>
      <c r="BA85" s="375"/>
      <c r="BB85" s="375">
        <v>0</v>
      </c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</row>
    <row r="86" spans="1:67" ht="15" customHeight="1">
      <c r="A86" s="79" t="s">
        <v>1788</v>
      </c>
      <c r="B86" s="296" t="s">
        <v>415</v>
      </c>
      <c r="C86" s="150" t="s">
        <v>1136</v>
      </c>
      <c r="D86" t="s">
        <v>1135</v>
      </c>
      <c r="E86" t="s">
        <v>1135</v>
      </c>
      <c r="F86" t="s">
        <v>1135</v>
      </c>
      <c r="G86" s="514" t="s">
        <v>389</v>
      </c>
      <c r="H86" s="394" t="s">
        <v>1699</v>
      </c>
      <c r="I86" s="343"/>
      <c r="J86" s="333"/>
      <c r="K86" s="70" t="s">
        <v>362</v>
      </c>
      <c r="L86" s="347"/>
      <c r="M86" s="343"/>
      <c r="N86" s="348"/>
      <c r="O86" s="348"/>
      <c r="P86" s="348" t="s">
        <v>1700</v>
      </c>
      <c r="Q86" s="402"/>
      <c r="R86" s="358"/>
      <c r="S86" s="379">
        <v>0</v>
      </c>
      <c r="T86" s="425"/>
      <c r="U86" s="71"/>
      <c r="V86" s="435"/>
      <c r="W86" s="436"/>
      <c r="X86" s="436"/>
      <c r="Y86" s="428" t="s">
        <v>1142</v>
      </c>
      <c r="Z86" s="429">
        <v>0</v>
      </c>
      <c r="AA86" s="429">
        <v>0</v>
      </c>
      <c r="AB86" s="363" t="e">
        <v>#N/A</v>
      </c>
      <c r="AC86" s="364"/>
      <c r="AD86" s="364"/>
      <c r="AE86" s="364"/>
      <c r="AF86" s="364"/>
      <c r="AG86" s="364"/>
      <c r="AH86" s="360" t="e">
        <f t="shared" si="9"/>
        <v>#N/A</v>
      </c>
      <c r="AI86" s="362" t="e">
        <f>ERP[[#This Row],[2026 Working Total]]-ERP[[#This Row],[LE2 Final Submission]]</f>
        <v>#N/A</v>
      </c>
      <c r="AJ86" s="79" t="e">
        <v>#N/A</v>
      </c>
      <c r="AK86" s="79" t="e">
        <f t="shared" si="8"/>
        <v>#N/A</v>
      </c>
      <c r="AL86" s="374">
        <f>SUM(ERP[[#This Row],[AP01]:[AP06]])-SUM(ERP[[#This Row],[AP01 LE2]:[AP06 LE2]])</f>
        <v>0</v>
      </c>
      <c r="AM86" s="80"/>
      <c r="AN86" s="79" t="e">
        <f>ERP[[#This Row],[2026 Working Total to Budget/LE]]-ERP[[#This Row],[Giveback]]</f>
        <v>#N/A</v>
      </c>
      <c r="AO86" s="81"/>
      <c r="AP86" s="375"/>
      <c r="AQ86" s="375"/>
      <c r="AR86" s="375"/>
      <c r="AS86" s="375">
        <v>-9141.65</v>
      </c>
      <c r="AT86" s="375">
        <v>9141.65</v>
      </c>
      <c r="AU86" s="375"/>
      <c r="AV86" s="375"/>
      <c r="AW86" s="375"/>
      <c r="AX86" s="375"/>
      <c r="AY86" s="375"/>
      <c r="AZ86" s="375"/>
      <c r="BA86" s="375"/>
      <c r="BB86" s="375">
        <v>0</v>
      </c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</row>
    <row r="87" spans="1:67" ht="15" customHeight="1">
      <c r="A87" s="79" t="s">
        <v>2769</v>
      </c>
      <c r="B87" s="296" t="s">
        <v>2770</v>
      </c>
      <c r="C87" s="150" t="s">
        <v>1136</v>
      </c>
      <c r="D87" t="s">
        <v>1567</v>
      </c>
      <c r="E87" t="s">
        <v>1567</v>
      </c>
      <c r="F87" s="150" t="s">
        <v>1567</v>
      </c>
      <c r="G87" s="514" t="s">
        <v>639</v>
      </c>
      <c r="H87" s="394" t="s">
        <v>1699</v>
      </c>
      <c r="I87" s="343"/>
      <c r="J87" s="333"/>
      <c r="K87" s="70" t="s">
        <v>362</v>
      </c>
      <c r="L87" s="347"/>
      <c r="M87" s="343"/>
      <c r="N87" s="348"/>
      <c r="O87" s="348"/>
      <c r="P87" s="348" t="s">
        <v>1700</v>
      </c>
      <c r="Q87" s="402"/>
      <c r="R87" s="358"/>
      <c r="S87" s="379">
        <v>0</v>
      </c>
      <c r="T87" s="425"/>
      <c r="U87" s="71"/>
      <c r="V87" s="435"/>
      <c r="W87" s="436"/>
      <c r="X87" s="436"/>
      <c r="Y87" s="428" t="s">
        <v>1142</v>
      </c>
      <c r="Z87" s="429">
        <v>0</v>
      </c>
      <c r="AA87" s="429">
        <v>0</v>
      </c>
      <c r="AB87" s="363" t="e">
        <v>#N/A</v>
      </c>
      <c r="AC87" s="364"/>
      <c r="AD87" s="364"/>
      <c r="AE87" s="364"/>
      <c r="AF87" s="364"/>
      <c r="AG87" s="364"/>
      <c r="AH87" s="360" t="e">
        <f t="shared" si="9"/>
        <v>#N/A</v>
      </c>
      <c r="AI87" s="362" t="e">
        <f>ERP[[#This Row],[2026 Working Total]]-ERP[[#This Row],[LE2 Final Submission]]</f>
        <v>#N/A</v>
      </c>
      <c r="AJ87" s="79" t="e">
        <v>#N/A</v>
      </c>
      <c r="AK87" s="79" t="e">
        <f t="shared" si="8"/>
        <v>#N/A</v>
      </c>
      <c r="AL87" s="374">
        <f>SUM(ERP[[#This Row],[AP01]:[AP06]])-SUM(ERP[[#This Row],[AP01 LE2]:[AP06 LE2]])</f>
        <v>0</v>
      </c>
      <c r="AM87" s="80"/>
      <c r="AN87" s="79" t="e">
        <f>ERP[[#This Row],[2026 Working Total to Budget/LE]]-ERP[[#This Row],[Giveback]]</f>
        <v>#N/A</v>
      </c>
      <c r="AO87" s="81"/>
      <c r="AP87" s="375"/>
      <c r="AQ87" s="375"/>
      <c r="AR87" s="375"/>
      <c r="AS87" s="375">
        <v>-7671.84</v>
      </c>
      <c r="AT87" s="375">
        <v>7671.84</v>
      </c>
      <c r="AU87" s="375"/>
      <c r="AV87" s="375"/>
      <c r="AW87" s="375"/>
      <c r="AX87" s="375"/>
      <c r="AY87" s="375"/>
      <c r="AZ87" s="375"/>
      <c r="BA87" s="375"/>
      <c r="BB87" s="375">
        <v>0</v>
      </c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</row>
    <row r="88" spans="1:67" ht="15" customHeight="1">
      <c r="A88" s="150" t="s">
        <v>2085</v>
      </c>
      <c r="B88" s="296" t="s">
        <v>2086</v>
      </c>
      <c r="C88" s="150" t="s">
        <v>1136</v>
      </c>
      <c r="D88" s="150" t="s">
        <v>1567</v>
      </c>
      <c r="E88" s="150" t="s">
        <v>1567</v>
      </c>
      <c r="F88" s="150" t="s">
        <v>1567</v>
      </c>
      <c r="G88" s="514" t="s">
        <v>389</v>
      </c>
      <c r="H88" s="394" t="s">
        <v>2087</v>
      </c>
      <c r="I88" s="333"/>
      <c r="J88" s="332" t="s">
        <v>1634</v>
      </c>
      <c r="K88" s="90" t="s">
        <v>271</v>
      </c>
      <c r="L88" s="347"/>
      <c r="M88" s="347"/>
      <c r="N88" s="348"/>
      <c r="O88" s="506"/>
      <c r="P88" s="348"/>
      <c r="Q88" s="402"/>
      <c r="R88" s="406"/>
      <c r="S88" s="406"/>
      <c r="T88" s="425"/>
      <c r="U88" s="71"/>
      <c r="V88" s="435"/>
      <c r="W88" s="436"/>
      <c r="X88" s="436"/>
      <c r="Y88" s="429">
        <v>142.1</v>
      </c>
      <c r="Z88" s="429">
        <v>309.31</v>
      </c>
      <c r="AA88" s="429">
        <v>316.74</v>
      </c>
      <c r="AB88" s="363" t="e">
        <v>#N/A</v>
      </c>
      <c r="AC88" s="364"/>
      <c r="AD88" s="364"/>
      <c r="AE88" s="364"/>
      <c r="AF88" s="364"/>
      <c r="AG88" s="364"/>
      <c r="AH88" s="360" t="e">
        <f t="shared" si="9"/>
        <v>#N/A</v>
      </c>
      <c r="AI88" s="362" t="e">
        <f>ERP[[#This Row],[2026 Working Total]]-ERP[[#This Row],[LE2 Final Submission]]</f>
        <v>#N/A</v>
      </c>
      <c r="AJ88" s="79" t="e">
        <v>#N/A</v>
      </c>
      <c r="AK88" s="79" t="e">
        <f t="shared" si="8"/>
        <v>#N/A</v>
      </c>
      <c r="AL88" s="374">
        <f>SUM(ERP[[#This Row],[AP01]:[AP06]])-SUM(ERP[[#This Row],[AP01 LE2]:[AP06 LE2]])</f>
        <v>768.15</v>
      </c>
      <c r="AM88" s="80"/>
      <c r="AN88" s="79" t="e">
        <f>ERP[[#This Row],[2026 Working Total to Budget/LE]]-ERP[[#This Row],[Giveback]]</f>
        <v>#N/A</v>
      </c>
      <c r="AO88" s="81"/>
      <c r="AP88" s="375"/>
      <c r="AQ88" s="375"/>
      <c r="AR88" s="375"/>
      <c r="AS88" s="375"/>
      <c r="AT88" s="375"/>
      <c r="AU88" s="375"/>
      <c r="AV88" s="375"/>
      <c r="AW88" s="375"/>
      <c r="AX88" s="375"/>
      <c r="AY88" s="375"/>
      <c r="AZ88" s="375"/>
      <c r="BA88" s="375"/>
      <c r="BB88" s="375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</row>
    <row r="89" spans="1:67" ht="15" customHeight="1">
      <c r="A89" s="66" t="s">
        <v>1564</v>
      </c>
      <c r="B89" s="66" t="s">
        <v>1565</v>
      </c>
      <c r="C89" s="150" t="s">
        <v>1136</v>
      </c>
      <c r="D89" s="150" t="s">
        <v>1567</v>
      </c>
      <c r="E89" s="150" t="s">
        <v>1567</v>
      </c>
      <c r="F89" s="150" t="s">
        <v>1568</v>
      </c>
      <c r="G89" s="511" t="s">
        <v>49</v>
      </c>
      <c r="H89" s="392" t="s">
        <v>1569</v>
      </c>
      <c r="I89" s="343"/>
      <c r="J89" s="346" t="s">
        <v>1570</v>
      </c>
      <c r="K89" s="70" t="s">
        <v>271</v>
      </c>
      <c r="L89" s="346"/>
      <c r="M89" s="343"/>
      <c r="N89" s="346"/>
      <c r="O89" s="505" t="s">
        <v>272</v>
      </c>
      <c r="P89" s="150"/>
      <c r="Q89" s="403"/>
      <c r="R89" s="406">
        <v>0</v>
      </c>
      <c r="S89" s="406">
        <v>823483</v>
      </c>
      <c r="T89" s="425"/>
      <c r="U89" s="71"/>
      <c r="V89" s="426"/>
      <c r="W89" s="427"/>
      <c r="X89" s="427">
        <v>110350.46</v>
      </c>
      <c r="Y89" s="428">
        <v>184516.84999999998</v>
      </c>
      <c r="Z89" s="429">
        <v>-60761.06</v>
      </c>
      <c r="AA89" s="429">
        <v>93499.999999999985</v>
      </c>
      <c r="AB89" s="363" t="e">
        <v>#N/A</v>
      </c>
      <c r="AC89" s="363">
        <v>77000</v>
      </c>
      <c r="AD89" s="363">
        <v>111600</v>
      </c>
      <c r="AE89" s="363">
        <v>61600</v>
      </c>
      <c r="AF89" s="363">
        <v>77000</v>
      </c>
      <c r="AG89" s="363">
        <v>71600</v>
      </c>
      <c r="AH89" s="360" t="e">
        <f t="shared" si="9"/>
        <v>#N/A</v>
      </c>
      <c r="AI89" s="362" t="e">
        <f>ERP[[#This Row],[2026 Working Total]]-ERP[[#This Row],[LE2 Final Submission]]</f>
        <v>#N/A</v>
      </c>
      <c r="AJ89" s="79" t="e">
        <v>#N/A</v>
      </c>
      <c r="AK89" s="79" t="e">
        <f t="shared" si="8"/>
        <v>#N/A</v>
      </c>
      <c r="AL89" s="374">
        <f>SUM(ERP[[#This Row],[AP01]:[AP06]])-SUM(ERP[[#This Row],[AP01 LE2]:[AP06 LE2]])</f>
        <v>-30936.75</v>
      </c>
      <c r="AM89" s="80"/>
      <c r="AN89" s="79" t="e">
        <f>ERP[[#This Row],[2026 Working Total to Budget/LE]]-ERP[[#This Row],[Giveback]]</f>
        <v>#N/A</v>
      </c>
      <c r="AO89" s="81"/>
      <c r="AP89" s="375"/>
      <c r="AQ89" s="375"/>
      <c r="AR89" s="375">
        <v>110350.46</v>
      </c>
      <c r="AS89" s="375">
        <v>183665</v>
      </c>
      <c r="AT89" s="375">
        <v>-28062.46</v>
      </c>
      <c r="AU89" s="375">
        <v>92590</v>
      </c>
      <c r="AV89" s="375">
        <v>70690</v>
      </c>
      <c r="AW89" s="375">
        <v>76090</v>
      </c>
      <c r="AX89" s="375">
        <v>110690</v>
      </c>
      <c r="AY89" s="375">
        <v>60690</v>
      </c>
      <c r="AZ89" s="375">
        <v>76090</v>
      </c>
      <c r="BA89" s="375">
        <v>70690</v>
      </c>
      <c r="BB89" s="375">
        <v>823483</v>
      </c>
      <c r="BC89" s="79"/>
      <c r="BD89" s="79"/>
      <c r="BE89" s="79">
        <v>110350.46</v>
      </c>
      <c r="BF89" s="79">
        <v>95789</v>
      </c>
      <c r="BG89" s="79">
        <v>102589</v>
      </c>
      <c r="BH89" s="79">
        <v>121289</v>
      </c>
      <c r="BI89" s="79">
        <v>121389</v>
      </c>
      <c r="BJ89" s="79">
        <v>101000</v>
      </c>
      <c r="BK89" s="79">
        <v>98422</v>
      </c>
      <c r="BL89" s="79">
        <v>129000</v>
      </c>
      <c r="BM89" s="79">
        <v>66600</v>
      </c>
      <c r="BN89" s="79">
        <v>63668</v>
      </c>
      <c r="BO89" s="79">
        <v>1010096.46</v>
      </c>
    </row>
    <row r="90" spans="1:67" ht="15" customHeight="1">
      <c r="A90" s="150" t="s">
        <v>2771</v>
      </c>
      <c r="B90" s="296" t="s">
        <v>2772</v>
      </c>
      <c r="C90" s="150" t="s">
        <v>1136</v>
      </c>
      <c r="D90" s="332" t="s">
        <v>1567</v>
      </c>
      <c r="E90" s="332" t="s">
        <v>1567</v>
      </c>
      <c r="F90" s="333" t="s">
        <v>1567</v>
      </c>
      <c r="G90" s="514" t="s">
        <v>639</v>
      </c>
      <c r="H90" s="394" t="s">
        <v>2773</v>
      </c>
      <c r="I90" s="333"/>
      <c r="J90" s="332" t="s">
        <v>1634</v>
      </c>
      <c r="K90" s="90" t="s">
        <v>274</v>
      </c>
      <c r="L90" s="347"/>
      <c r="M90" s="347"/>
      <c r="N90" s="348"/>
      <c r="O90" s="506" t="s">
        <v>310</v>
      </c>
      <c r="P90" s="348"/>
      <c r="Q90" s="402"/>
      <c r="R90" s="406"/>
      <c r="S90" s="406"/>
      <c r="T90" s="425"/>
      <c r="U90" s="425"/>
      <c r="V90" s="435"/>
      <c r="W90" s="436"/>
      <c r="X90" s="436"/>
      <c r="Y90" s="436"/>
      <c r="Z90" s="429">
        <v>227</v>
      </c>
      <c r="AA90" s="429">
        <v>0</v>
      </c>
      <c r="AB90" s="363" t="e">
        <v>#N/A</v>
      </c>
      <c r="AC90" s="364"/>
      <c r="AD90" s="364"/>
      <c r="AE90" s="364"/>
      <c r="AF90" s="364"/>
      <c r="AG90" s="364"/>
      <c r="AH90" s="360" t="e">
        <f t="shared" si="9"/>
        <v>#N/A</v>
      </c>
      <c r="AI90" s="362" t="e">
        <f>ERP[[#This Row],[2026 Working Total]]-ERP[[#This Row],[LE2 Final Submission]]</f>
        <v>#N/A</v>
      </c>
      <c r="AJ90" s="79" t="e">
        <v>#N/A</v>
      </c>
      <c r="AK90" s="79" t="e">
        <f t="shared" si="8"/>
        <v>#N/A</v>
      </c>
      <c r="AL90" s="374">
        <f>SUM(ERP[[#This Row],[AP01]:[AP06]])-SUM(ERP[[#This Row],[AP01 LE2]:[AP06 LE2]])</f>
        <v>227</v>
      </c>
      <c r="AM90" s="80"/>
      <c r="AN90" s="79" t="e">
        <f>ERP[[#This Row],[2026 Working Total to Budget/LE]]-ERP[[#This Row],[Giveback]]</f>
        <v>#N/A</v>
      </c>
      <c r="AO90" s="81"/>
      <c r="AP90" s="375"/>
      <c r="AQ90" s="375"/>
      <c r="AR90" s="375"/>
      <c r="AS90" s="375"/>
      <c r="AT90" s="375"/>
      <c r="AU90" s="375"/>
      <c r="AV90" s="375"/>
      <c r="AW90" s="375"/>
      <c r="AX90" s="375"/>
      <c r="AY90" s="375"/>
      <c r="AZ90" s="375"/>
      <c r="BA90" s="375"/>
      <c r="BB90" s="375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</row>
    <row r="91" spans="1:67" ht="15" customHeight="1">
      <c r="A91" s="66" t="s">
        <v>2009</v>
      </c>
      <c r="B91" s="66" t="s">
        <v>522</v>
      </c>
      <c r="C91" s="150" t="s">
        <v>1136</v>
      </c>
      <c r="D91" s="150" t="s">
        <v>1345</v>
      </c>
      <c r="E91" s="150" t="s">
        <v>1345</v>
      </c>
      <c r="F91" s="150" t="s">
        <v>1346</v>
      </c>
      <c r="G91" s="511" t="s">
        <v>389</v>
      </c>
      <c r="H91" s="392" t="s">
        <v>1574</v>
      </c>
      <c r="I91" s="343"/>
      <c r="J91" s="343"/>
      <c r="K91" s="70" t="s">
        <v>274</v>
      </c>
      <c r="L91" s="346" t="s">
        <v>1139</v>
      </c>
      <c r="M91" s="343"/>
      <c r="N91" s="346"/>
      <c r="O91" s="505" t="s">
        <v>275</v>
      </c>
      <c r="P91" s="150"/>
      <c r="Q91" s="403"/>
      <c r="R91" s="406">
        <v>0</v>
      </c>
      <c r="S91" s="406">
        <v>2263.3900000000003</v>
      </c>
      <c r="T91" s="425"/>
      <c r="U91" s="71"/>
      <c r="V91" s="426">
        <v>1841.45</v>
      </c>
      <c r="W91" s="427">
        <v>1719.99</v>
      </c>
      <c r="X91" s="427">
        <v>-1298.05</v>
      </c>
      <c r="Y91" s="428">
        <v>1990.16</v>
      </c>
      <c r="Z91" s="429">
        <v>-2552.9100000000003</v>
      </c>
      <c r="AA91" s="429">
        <v>903.75000000000023</v>
      </c>
      <c r="AB91" s="363" t="e">
        <v>#N/A</v>
      </c>
      <c r="AC91" s="360">
        <v>0</v>
      </c>
      <c r="AD91" s="360">
        <v>0</v>
      </c>
      <c r="AE91" s="360">
        <v>0</v>
      </c>
      <c r="AF91" s="360">
        <v>0</v>
      </c>
      <c r="AG91" s="360">
        <v>0</v>
      </c>
      <c r="AH91" s="360" t="e">
        <f t="shared" si="9"/>
        <v>#N/A</v>
      </c>
      <c r="AI91" s="362" t="e">
        <f>ERP[[#This Row],[2026 Working Total]]-ERP[[#This Row],[LE2 Final Submission]]</f>
        <v>#N/A</v>
      </c>
      <c r="AJ91" s="79" t="e">
        <v>#N/A</v>
      </c>
      <c r="AK91" s="79" t="e">
        <f t="shared" si="8"/>
        <v>#N/A</v>
      </c>
      <c r="AL91" s="374">
        <f>SUM(ERP[[#This Row],[AP01]:[AP06]])-SUM(ERP[[#This Row],[AP01 LE2]:[AP06 LE2]])</f>
        <v>341</v>
      </c>
      <c r="AM91" s="80"/>
      <c r="AN91" s="79" t="e">
        <f>ERP[[#This Row],[2026 Working Total to Budget/LE]]-ERP[[#This Row],[Giveback]]</f>
        <v>#N/A</v>
      </c>
      <c r="AO91" s="81"/>
      <c r="AP91" s="375">
        <v>1841.45</v>
      </c>
      <c r="AQ91" s="375">
        <v>1719.99</v>
      </c>
      <c r="AR91" s="375">
        <v>-1298.05</v>
      </c>
      <c r="AS91" s="375">
        <v>0</v>
      </c>
      <c r="AT91" s="375">
        <v>0</v>
      </c>
      <c r="AU91" s="375">
        <v>0</v>
      </c>
      <c r="AV91" s="375">
        <v>0</v>
      </c>
      <c r="AW91" s="375">
        <v>0</v>
      </c>
      <c r="AX91" s="375">
        <v>0</v>
      </c>
      <c r="AY91" s="375">
        <v>0</v>
      </c>
      <c r="AZ91" s="375">
        <v>0</v>
      </c>
      <c r="BA91" s="375">
        <v>0</v>
      </c>
      <c r="BB91" s="375">
        <v>2263.3900000000003</v>
      </c>
      <c r="BC91" s="79">
        <v>1841.45</v>
      </c>
      <c r="BD91" s="79">
        <v>1719.99</v>
      </c>
      <c r="BE91" s="79">
        <v>-1298.05</v>
      </c>
      <c r="BF91" s="79">
        <v>0</v>
      </c>
      <c r="BG91" s="79">
        <v>0</v>
      </c>
      <c r="BH91" s="79">
        <v>0</v>
      </c>
      <c r="BI91" s="79">
        <v>0</v>
      </c>
      <c r="BJ91" s="79">
        <v>0</v>
      </c>
      <c r="BK91" s="79">
        <v>0</v>
      </c>
      <c r="BL91" s="79">
        <v>0</v>
      </c>
      <c r="BM91" s="79">
        <v>0</v>
      </c>
      <c r="BN91" s="79">
        <v>0</v>
      </c>
      <c r="BO91" s="79">
        <v>2263.3900000000003</v>
      </c>
    </row>
    <row r="92" spans="1:67" ht="15" customHeight="1">
      <c r="A92" s="66" t="s">
        <v>2088</v>
      </c>
      <c r="B92" s="66" t="s">
        <v>2089</v>
      </c>
      <c r="C92" s="150" t="s">
        <v>1136</v>
      </c>
      <c r="D92" s="150" t="s">
        <v>1567</v>
      </c>
      <c r="E92" s="150" t="s">
        <v>1567</v>
      </c>
      <c r="F92" s="150" t="s">
        <v>1567</v>
      </c>
      <c r="G92" s="511" t="s">
        <v>389</v>
      </c>
      <c r="H92" s="392" t="s">
        <v>1574</v>
      </c>
      <c r="I92" s="343"/>
      <c r="J92" s="343"/>
      <c r="K92" s="70" t="s">
        <v>274</v>
      </c>
      <c r="L92" s="346" t="s">
        <v>1139</v>
      </c>
      <c r="M92" s="343"/>
      <c r="N92" s="346"/>
      <c r="O92" s="505" t="s">
        <v>275</v>
      </c>
      <c r="P92" s="150"/>
      <c r="Q92" s="403"/>
      <c r="R92" s="406">
        <v>0</v>
      </c>
      <c r="S92" s="406">
        <v>23735.440000000002</v>
      </c>
      <c r="T92" s="425"/>
      <c r="U92" s="71"/>
      <c r="V92" s="426"/>
      <c r="W92" s="427"/>
      <c r="X92" s="427">
        <v>3561.44</v>
      </c>
      <c r="Y92" s="428">
        <v>0</v>
      </c>
      <c r="Z92" s="429">
        <v>6253.55</v>
      </c>
      <c r="AA92" s="429">
        <v>3700.6400000000003</v>
      </c>
      <c r="AB92" s="363" t="e">
        <v>#N/A</v>
      </c>
      <c r="AC92" s="360">
        <v>1990</v>
      </c>
      <c r="AD92" s="360">
        <v>1990</v>
      </c>
      <c r="AE92" s="360">
        <v>1990</v>
      </c>
      <c r="AF92" s="360">
        <v>1990</v>
      </c>
      <c r="AG92" s="360">
        <v>1990</v>
      </c>
      <c r="AH92" s="360" t="e">
        <f t="shared" si="9"/>
        <v>#N/A</v>
      </c>
      <c r="AI92" s="362" t="e">
        <f>ERP[[#This Row],[2026 Working Total]]-ERP[[#This Row],[LE2 Final Submission]]</f>
        <v>#N/A</v>
      </c>
      <c r="AJ92" s="79" t="e">
        <v>#N/A</v>
      </c>
      <c r="AK92" s="79" t="e">
        <f t="shared" si="8"/>
        <v>#N/A</v>
      </c>
      <c r="AL92" s="374">
        <f>SUM(ERP[[#This Row],[AP01]:[AP06]])-SUM(ERP[[#This Row],[AP01 LE2]:[AP06 LE2]])</f>
        <v>1720.1900000000005</v>
      </c>
      <c r="AM92" s="80"/>
      <c r="AN92" s="79" t="e">
        <f>ERP[[#This Row],[2026 Working Total to Budget/LE]]-ERP[[#This Row],[Giveback]]</f>
        <v>#N/A</v>
      </c>
      <c r="AO92" s="81"/>
      <c r="AP92" s="375"/>
      <c r="AQ92" s="375"/>
      <c r="AR92" s="375">
        <v>3561.44</v>
      </c>
      <c r="AS92" s="375">
        <v>0</v>
      </c>
      <c r="AT92" s="375">
        <v>6244</v>
      </c>
      <c r="AU92" s="375">
        <v>1990</v>
      </c>
      <c r="AV92" s="375">
        <v>1990</v>
      </c>
      <c r="AW92" s="375">
        <v>1990</v>
      </c>
      <c r="AX92" s="375">
        <v>1990</v>
      </c>
      <c r="AY92" s="375">
        <v>1990</v>
      </c>
      <c r="AZ92" s="375">
        <v>1990</v>
      </c>
      <c r="BA92" s="375">
        <v>1990</v>
      </c>
      <c r="BB92" s="375">
        <v>23735.440000000002</v>
      </c>
      <c r="BC92" s="79"/>
      <c r="BD92" s="79"/>
      <c r="BE92" s="79">
        <v>3561.44</v>
      </c>
      <c r="BF92" s="79">
        <v>0</v>
      </c>
      <c r="BG92" s="79">
        <v>0</v>
      </c>
      <c r="BH92" s="79">
        <v>0</v>
      </c>
      <c r="BI92" s="79">
        <v>0</v>
      </c>
      <c r="BJ92" s="79">
        <v>0</v>
      </c>
      <c r="BK92" s="79">
        <v>0</v>
      </c>
      <c r="BL92" s="79">
        <v>0</v>
      </c>
      <c r="BM92" s="79">
        <v>0</v>
      </c>
      <c r="BN92" s="79">
        <v>0</v>
      </c>
      <c r="BO92" s="79">
        <v>3561.44</v>
      </c>
    </row>
    <row r="93" spans="1:67" ht="15" customHeight="1">
      <c r="A93" s="66" t="s">
        <v>1572</v>
      </c>
      <c r="B93" s="66" t="s">
        <v>1573</v>
      </c>
      <c r="C93" s="150" t="s">
        <v>1136</v>
      </c>
      <c r="D93" s="150" t="s">
        <v>1567</v>
      </c>
      <c r="E93" s="150" t="s">
        <v>1567</v>
      </c>
      <c r="F93" s="150" t="s">
        <v>1567</v>
      </c>
      <c r="G93" s="511" t="s">
        <v>49</v>
      </c>
      <c r="H93" s="392" t="s">
        <v>1574</v>
      </c>
      <c r="I93" s="343"/>
      <c r="J93" s="343"/>
      <c r="K93" s="70" t="s">
        <v>274</v>
      </c>
      <c r="L93" s="346" t="s">
        <v>1139</v>
      </c>
      <c r="M93" s="343"/>
      <c r="N93" s="346"/>
      <c r="O93" s="505" t="s">
        <v>275</v>
      </c>
      <c r="P93" s="150"/>
      <c r="Q93" s="403"/>
      <c r="R93" s="406">
        <v>1080865</v>
      </c>
      <c r="S93" s="406">
        <v>1057129.56</v>
      </c>
      <c r="T93" s="425"/>
      <c r="U93" s="71"/>
      <c r="V93" s="426"/>
      <c r="W93" s="427"/>
      <c r="X93" s="427">
        <v>250144.68</v>
      </c>
      <c r="Y93" s="428">
        <v>54863.060000000005</v>
      </c>
      <c r="Z93" s="429">
        <v>179345.82</v>
      </c>
      <c r="AA93" s="429">
        <v>111181.9</v>
      </c>
      <c r="AB93" s="363" t="e">
        <v>#N/A</v>
      </c>
      <c r="AC93" s="363">
        <v>93010</v>
      </c>
      <c r="AD93" s="363">
        <v>93010</v>
      </c>
      <c r="AE93" s="363">
        <v>93010</v>
      </c>
      <c r="AF93" s="363">
        <v>93010</v>
      </c>
      <c r="AG93" s="363">
        <v>85636</v>
      </c>
      <c r="AH93" s="360" t="e">
        <f t="shared" si="9"/>
        <v>#N/A</v>
      </c>
      <c r="AI93" s="362" t="e">
        <f>ERP[[#This Row],[2026 Working Total]]-ERP[[#This Row],[LE2 Final Submission]]</f>
        <v>#N/A</v>
      </c>
      <c r="AJ93" s="79" t="e">
        <v>#N/A</v>
      </c>
      <c r="AK93" s="79" t="e">
        <f t="shared" si="8"/>
        <v>#N/A</v>
      </c>
      <c r="AL93" s="374">
        <f>SUM(ERP[[#This Row],[AP01]:[AP06]])-SUM(ERP[[#This Row],[AP01 LE2]:[AP06 LE2]])</f>
        <v>89091.899999999965</v>
      </c>
      <c r="AM93" s="80"/>
      <c r="AN93" s="79" t="e">
        <f>ERP[[#This Row],[2026 Working Total to Budget/LE]]-ERP[[#This Row],[Giveback]]</f>
        <v>#N/A</v>
      </c>
      <c r="AO93" s="81"/>
      <c r="AP93" s="375"/>
      <c r="AQ93" s="375"/>
      <c r="AR93" s="375">
        <v>250144.68</v>
      </c>
      <c r="AS93" s="375">
        <v>54863.060000000005</v>
      </c>
      <c r="AT93" s="375">
        <v>103425.82</v>
      </c>
      <c r="AU93" s="375">
        <v>98010</v>
      </c>
      <c r="AV93" s="375">
        <v>93010</v>
      </c>
      <c r="AW93" s="375">
        <v>93010</v>
      </c>
      <c r="AX93" s="375">
        <v>93010</v>
      </c>
      <c r="AY93" s="375">
        <v>93010</v>
      </c>
      <c r="AZ93" s="375">
        <v>93010</v>
      </c>
      <c r="BA93" s="375">
        <v>85636</v>
      </c>
      <c r="BB93" s="375">
        <v>1057129.56</v>
      </c>
      <c r="BC93" s="79"/>
      <c r="BD93" s="79"/>
      <c r="BE93" s="79">
        <v>250144.68</v>
      </c>
      <c r="BF93" s="79">
        <v>100000</v>
      </c>
      <c r="BG93" s="79">
        <v>100000</v>
      </c>
      <c r="BH93" s="79">
        <v>101635</v>
      </c>
      <c r="BI93" s="79">
        <v>100000</v>
      </c>
      <c r="BJ93" s="79">
        <v>100000</v>
      </c>
      <c r="BK93" s="79">
        <v>100000</v>
      </c>
      <c r="BL93" s="79">
        <v>100000</v>
      </c>
      <c r="BM93" s="79">
        <v>100000</v>
      </c>
      <c r="BN93" s="79">
        <v>80033</v>
      </c>
      <c r="BO93" s="79">
        <v>1131812.68</v>
      </c>
    </row>
    <row r="94" spans="1:67" ht="15" customHeight="1">
      <c r="A94" s="66" t="s">
        <v>1576</v>
      </c>
      <c r="B94" s="66" t="s">
        <v>1577</v>
      </c>
      <c r="C94" s="150" t="s">
        <v>1136</v>
      </c>
      <c r="D94" s="150" t="s">
        <v>1567</v>
      </c>
      <c r="E94" s="150" t="s">
        <v>1567</v>
      </c>
      <c r="F94" s="150" t="s">
        <v>1567</v>
      </c>
      <c r="G94" s="511" t="s">
        <v>49</v>
      </c>
      <c r="H94" s="392" t="s">
        <v>1578</v>
      </c>
      <c r="I94" s="343"/>
      <c r="J94" s="343"/>
      <c r="K94" s="70" t="s">
        <v>277</v>
      </c>
      <c r="L94" s="346"/>
      <c r="M94" s="343"/>
      <c r="N94" s="346"/>
      <c r="O94" s="505" t="s">
        <v>272</v>
      </c>
      <c r="P94" s="150"/>
      <c r="Q94" s="403"/>
      <c r="R94" s="406">
        <v>270062</v>
      </c>
      <c r="S94" s="406">
        <v>100070</v>
      </c>
      <c r="T94" s="425"/>
      <c r="U94" s="71"/>
      <c r="V94" s="426"/>
      <c r="W94" s="427"/>
      <c r="X94" s="427"/>
      <c r="Y94" s="428" t="s">
        <v>1142</v>
      </c>
      <c r="Z94" s="429">
        <v>0</v>
      </c>
      <c r="AA94" s="429">
        <v>0</v>
      </c>
      <c r="AB94" s="363" t="e">
        <v>#N/A</v>
      </c>
      <c r="AC94" s="363">
        <v>5000</v>
      </c>
      <c r="AD94" s="360">
        <v>24000</v>
      </c>
      <c r="AE94" s="360">
        <v>71070</v>
      </c>
      <c r="AF94" s="360">
        <v>0</v>
      </c>
      <c r="AG94" s="360">
        <v>0</v>
      </c>
      <c r="AH94" s="360" t="e">
        <f t="shared" si="9"/>
        <v>#N/A</v>
      </c>
      <c r="AI94" s="362" t="e">
        <f>ERP[[#This Row],[2026 Working Total]]-ERP[[#This Row],[LE2 Final Submission]]</f>
        <v>#N/A</v>
      </c>
      <c r="AJ94" s="79" t="e">
        <v>#N/A</v>
      </c>
      <c r="AK94" s="79" t="e">
        <f t="shared" si="8"/>
        <v>#N/A</v>
      </c>
      <c r="AL94" s="374">
        <f>SUM(ERP[[#This Row],[AP01]:[AP06]])-SUM(ERP[[#This Row],[AP01 LE2]:[AP06 LE2]])</f>
        <v>0</v>
      </c>
      <c r="AM94" s="80"/>
      <c r="AN94" s="79" t="e">
        <f>ERP[[#This Row],[2026 Working Total to Budget/LE]]-ERP[[#This Row],[Giveback]]</f>
        <v>#N/A</v>
      </c>
      <c r="AO94" s="81"/>
      <c r="AP94" s="375"/>
      <c r="AQ94" s="375"/>
      <c r="AR94" s="375"/>
      <c r="AS94" s="375">
        <v>0</v>
      </c>
      <c r="AT94" s="375">
        <v>0</v>
      </c>
      <c r="AU94" s="375">
        <v>0</v>
      </c>
      <c r="AV94" s="375">
        <v>0</v>
      </c>
      <c r="AW94" s="375">
        <v>5000</v>
      </c>
      <c r="AX94" s="375">
        <v>24000</v>
      </c>
      <c r="AY94" s="375">
        <v>71070</v>
      </c>
      <c r="AZ94" s="375">
        <v>0</v>
      </c>
      <c r="BA94" s="375">
        <v>0</v>
      </c>
      <c r="BB94" s="375">
        <v>100070</v>
      </c>
      <c r="BC94" s="79"/>
      <c r="BD94" s="79"/>
      <c r="BE94" s="79"/>
      <c r="BF94" s="79"/>
      <c r="BG94" s="79">
        <v>67296</v>
      </c>
      <c r="BH94" s="79">
        <v>67296</v>
      </c>
      <c r="BI94" s="79">
        <v>0</v>
      </c>
      <c r="BJ94" s="79">
        <v>135470</v>
      </c>
      <c r="BK94" s="79">
        <v>0</v>
      </c>
      <c r="BL94" s="79">
        <v>0</v>
      </c>
      <c r="BM94" s="79">
        <v>0</v>
      </c>
      <c r="BN94" s="79">
        <v>0</v>
      </c>
      <c r="BO94" s="79">
        <v>270062</v>
      </c>
    </row>
    <row r="95" spans="1:67" ht="15" customHeight="1">
      <c r="A95" s="79" t="s">
        <v>1580</v>
      </c>
      <c r="B95" s="296" t="s">
        <v>1581</v>
      </c>
      <c r="C95" s="150" t="s">
        <v>1136</v>
      </c>
      <c r="D95" s="383" t="s">
        <v>1567</v>
      </c>
      <c r="E95" s="382" t="s">
        <v>1567</v>
      </c>
      <c r="F95" s="331" t="s">
        <v>1567</v>
      </c>
      <c r="G95" s="512" t="s">
        <v>49</v>
      </c>
      <c r="H95" s="394" t="s">
        <v>1582</v>
      </c>
      <c r="I95" s="343"/>
      <c r="J95" s="331"/>
      <c r="K95" s="70" t="s">
        <v>279</v>
      </c>
      <c r="L95" s="343"/>
      <c r="M95" s="343"/>
      <c r="N95" s="346"/>
      <c r="O95" s="507" t="s">
        <v>272</v>
      </c>
      <c r="P95" s="346" t="s">
        <v>1348</v>
      </c>
      <c r="Q95" s="432"/>
      <c r="R95" s="358">
        <v>4900</v>
      </c>
      <c r="S95" s="378">
        <v>0</v>
      </c>
      <c r="T95" s="425"/>
      <c r="U95" s="71"/>
      <c r="V95" s="433"/>
      <c r="W95" s="434"/>
      <c r="X95" s="434"/>
      <c r="Y95" s="428" t="s">
        <v>1142</v>
      </c>
      <c r="Z95" s="429">
        <v>0</v>
      </c>
      <c r="AA95" s="429">
        <v>0</v>
      </c>
      <c r="AB95" s="363" t="e">
        <v>#N/A</v>
      </c>
      <c r="AC95" s="388">
        <v>0</v>
      </c>
      <c r="AD95" s="388">
        <v>0</v>
      </c>
      <c r="AE95" s="388">
        <v>0</v>
      </c>
      <c r="AF95" s="388">
        <v>0</v>
      </c>
      <c r="AG95" s="388">
        <v>0</v>
      </c>
      <c r="AH95" s="360" t="e">
        <f t="shared" si="9"/>
        <v>#N/A</v>
      </c>
      <c r="AI95" s="362" t="e">
        <f>ERP[[#This Row],[2026 Working Total]]-ERP[[#This Row],[LE2 Final Submission]]</f>
        <v>#N/A</v>
      </c>
      <c r="AJ95" s="79" t="e">
        <v>#N/A</v>
      </c>
      <c r="AK95" s="79" t="e">
        <f t="shared" si="8"/>
        <v>#N/A</v>
      </c>
      <c r="AL95" s="374">
        <f>SUM(ERP[[#This Row],[AP01]:[AP06]])-SUM(ERP[[#This Row],[AP01 LE2]:[AP06 LE2]])</f>
        <v>0</v>
      </c>
      <c r="AM95" s="80"/>
      <c r="AN95" s="79" t="e">
        <f>ERP[[#This Row],[2026 Working Total to Budget/LE]]-ERP[[#This Row],[Giveback]]</f>
        <v>#N/A</v>
      </c>
      <c r="AO95" s="81"/>
      <c r="AP95" s="375"/>
      <c r="AQ95" s="375"/>
      <c r="AR95" s="375"/>
      <c r="AS95" s="375">
        <v>0</v>
      </c>
      <c r="AT95" s="375">
        <v>0</v>
      </c>
      <c r="AU95" s="375">
        <v>0</v>
      </c>
      <c r="AV95" s="375">
        <v>0</v>
      </c>
      <c r="AW95" s="375">
        <v>0</v>
      </c>
      <c r="AX95" s="375">
        <v>0</v>
      </c>
      <c r="AY95" s="375">
        <v>0</v>
      </c>
      <c r="AZ95" s="375">
        <v>0</v>
      </c>
      <c r="BA95" s="375">
        <v>0</v>
      </c>
      <c r="BB95" s="375">
        <v>0</v>
      </c>
      <c r="BC95" s="103">
        <v>4900</v>
      </c>
      <c r="BD95" s="103">
        <v>0</v>
      </c>
      <c r="BE95" s="103">
        <v>0</v>
      </c>
      <c r="BF95" s="103">
        <v>0</v>
      </c>
      <c r="BG95" s="103">
        <v>0</v>
      </c>
      <c r="BH95" s="103">
        <v>0</v>
      </c>
      <c r="BI95" s="103">
        <v>0</v>
      </c>
      <c r="BJ95" s="103">
        <v>0</v>
      </c>
      <c r="BK95" s="103">
        <v>0</v>
      </c>
      <c r="BL95" s="103">
        <v>0</v>
      </c>
      <c r="BM95" s="103">
        <v>0</v>
      </c>
      <c r="BN95" s="103">
        <v>0</v>
      </c>
      <c r="BO95" s="79">
        <f>SUM(ERP[[#This Row],[2026 AP01]:[2026 AP12]])</f>
        <v>4900</v>
      </c>
    </row>
    <row r="96" spans="1:67" ht="15" customHeight="1">
      <c r="A96" s="150" t="s">
        <v>2090</v>
      </c>
      <c r="B96" s="296" t="s">
        <v>2091</v>
      </c>
      <c r="C96" s="150" t="s">
        <v>1136</v>
      </c>
      <c r="D96" s="332" t="s">
        <v>1567</v>
      </c>
      <c r="E96" s="332" t="s">
        <v>1567</v>
      </c>
      <c r="F96" s="333" t="s">
        <v>1567</v>
      </c>
      <c r="G96" s="514" t="s">
        <v>389</v>
      </c>
      <c r="H96" s="394" t="s">
        <v>2092</v>
      </c>
      <c r="I96" s="333"/>
      <c r="J96" s="332" t="s">
        <v>1634</v>
      </c>
      <c r="K96" s="90" t="s">
        <v>281</v>
      </c>
      <c r="L96" s="347"/>
      <c r="M96" s="348" t="s">
        <v>2093</v>
      </c>
      <c r="N96" s="348"/>
      <c r="O96" s="506"/>
      <c r="P96" s="348"/>
      <c r="Q96" s="402"/>
      <c r="R96" s="406"/>
      <c r="S96" s="406"/>
      <c r="T96" s="425"/>
      <c r="U96" s="71"/>
      <c r="V96" s="435"/>
      <c r="W96" s="436"/>
      <c r="X96" s="436"/>
      <c r="Y96" s="429"/>
      <c r="Z96" s="429">
        <v>-10419.43</v>
      </c>
      <c r="AA96" s="429">
        <v>0</v>
      </c>
      <c r="AB96" s="363" t="e">
        <v>#N/A</v>
      </c>
      <c r="AC96" s="364"/>
      <c r="AD96" s="364"/>
      <c r="AE96" s="364"/>
      <c r="AF96" s="364"/>
      <c r="AG96" s="364"/>
      <c r="AH96" s="360" t="e">
        <f t="shared" si="9"/>
        <v>#N/A</v>
      </c>
      <c r="AI96" s="362" t="e">
        <f>ERP[[#This Row],[2026 Working Total]]-ERP[[#This Row],[LE2 Final Submission]]</f>
        <v>#N/A</v>
      </c>
      <c r="AJ96" s="79" t="e">
        <v>#N/A</v>
      </c>
      <c r="AK96" s="79" t="e">
        <f t="shared" si="8"/>
        <v>#N/A</v>
      </c>
      <c r="AL96" s="374">
        <f>SUM(ERP[[#This Row],[AP01]:[AP06]])-SUM(ERP[[#This Row],[AP01 LE2]:[AP06 LE2]])</f>
        <v>-10419.43</v>
      </c>
      <c r="AM96" s="80"/>
      <c r="AN96" s="79" t="e">
        <f>ERP[[#This Row],[2026 Working Total to Budget/LE]]-ERP[[#This Row],[Giveback]]</f>
        <v>#N/A</v>
      </c>
      <c r="AO96" s="81"/>
      <c r="AP96" s="375"/>
      <c r="AQ96" s="375"/>
      <c r="AR96" s="375"/>
      <c r="AS96" s="375"/>
      <c r="AT96" s="375"/>
      <c r="AU96" s="375"/>
      <c r="AV96" s="375"/>
      <c r="AW96" s="375"/>
      <c r="AX96" s="375"/>
      <c r="AY96" s="375"/>
      <c r="AZ96" s="375"/>
      <c r="BA96" s="375"/>
      <c r="BB96" s="375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</row>
    <row r="97" spans="1:67" ht="15" customHeight="1">
      <c r="A97" s="66" t="s">
        <v>1583</v>
      </c>
      <c r="B97" s="66" t="s">
        <v>1584</v>
      </c>
      <c r="C97" s="150" t="s">
        <v>1136</v>
      </c>
      <c r="D97" s="150" t="s">
        <v>1567</v>
      </c>
      <c r="E97" s="150" t="s">
        <v>1567</v>
      </c>
      <c r="F97" s="150" t="s">
        <v>1567</v>
      </c>
      <c r="G97" s="511" t="s">
        <v>49</v>
      </c>
      <c r="H97" s="392" t="s">
        <v>1585</v>
      </c>
      <c r="I97" s="343"/>
      <c r="J97" s="343"/>
      <c r="K97" s="70" t="s">
        <v>281</v>
      </c>
      <c r="L97" s="346"/>
      <c r="M97" s="343"/>
      <c r="N97" s="346"/>
      <c r="O97" s="505" t="s">
        <v>272</v>
      </c>
      <c r="P97" s="150"/>
      <c r="Q97" s="403"/>
      <c r="R97" s="406">
        <v>96677</v>
      </c>
      <c r="S97" s="406">
        <v>96677</v>
      </c>
      <c r="T97" s="425"/>
      <c r="U97" s="71"/>
      <c r="V97" s="426"/>
      <c r="W97" s="427"/>
      <c r="X97" s="427">
        <v>-1032</v>
      </c>
      <c r="Y97" s="428">
        <v>0</v>
      </c>
      <c r="Z97" s="429">
        <v>0</v>
      </c>
      <c r="AA97" s="429">
        <v>0</v>
      </c>
      <c r="AB97" s="363" t="e">
        <v>#N/A</v>
      </c>
      <c r="AC97" s="363">
        <v>250</v>
      </c>
      <c r="AD97" s="363">
        <v>76422</v>
      </c>
      <c r="AE97" s="360">
        <v>250</v>
      </c>
      <c r="AF97" s="360">
        <v>10290</v>
      </c>
      <c r="AG97" s="360">
        <v>10297</v>
      </c>
      <c r="AH97" s="360" t="e">
        <f t="shared" si="9"/>
        <v>#N/A</v>
      </c>
      <c r="AI97" s="362" t="e">
        <f>ERP[[#This Row],[2026 Working Total]]-ERP[[#This Row],[LE2 Final Submission]]</f>
        <v>#N/A</v>
      </c>
      <c r="AJ97" s="79" t="e">
        <v>#N/A</v>
      </c>
      <c r="AK97" s="79" t="e">
        <f t="shared" si="8"/>
        <v>#N/A</v>
      </c>
      <c r="AL97" s="374">
        <f>SUM(ERP[[#This Row],[AP01]:[AP06]])-SUM(ERP[[#This Row],[AP01 LE2]:[AP06 LE2]])</f>
        <v>-100</v>
      </c>
      <c r="AM97" s="80"/>
      <c r="AN97" s="79" t="e">
        <f>ERP[[#This Row],[2026 Working Total to Budget/LE]]-ERP[[#This Row],[Giveback]]</f>
        <v>#N/A</v>
      </c>
      <c r="AO97" s="81"/>
      <c r="AP97" s="375"/>
      <c r="AQ97" s="375"/>
      <c r="AR97" s="375">
        <v>-1032</v>
      </c>
      <c r="AS97" s="375">
        <v>0</v>
      </c>
      <c r="AT97" s="375">
        <v>0</v>
      </c>
      <c r="AU97" s="375">
        <v>100</v>
      </c>
      <c r="AV97" s="375">
        <v>100</v>
      </c>
      <c r="AW97" s="375">
        <v>250</v>
      </c>
      <c r="AX97" s="375">
        <v>76422</v>
      </c>
      <c r="AY97" s="375">
        <v>250</v>
      </c>
      <c r="AZ97" s="375">
        <v>10290</v>
      </c>
      <c r="BA97" s="375">
        <v>10297</v>
      </c>
      <c r="BB97" s="375">
        <v>96677</v>
      </c>
      <c r="BC97" s="79"/>
      <c r="BD97" s="79"/>
      <c r="BE97" s="79">
        <v>-1032</v>
      </c>
      <c r="BF97" s="79">
        <v>-19688</v>
      </c>
      <c r="BG97" s="79">
        <v>25767</v>
      </c>
      <c r="BH97" s="79">
        <v>31112</v>
      </c>
      <c r="BI97" s="79">
        <v>0</v>
      </c>
      <c r="BJ97" s="79">
        <v>10040</v>
      </c>
      <c r="BK97" s="79">
        <v>5023</v>
      </c>
      <c r="BL97" s="79">
        <v>0</v>
      </c>
      <c r="BM97" s="79">
        <v>0</v>
      </c>
      <c r="BN97" s="79">
        <v>0</v>
      </c>
      <c r="BO97" s="79">
        <v>51222</v>
      </c>
    </row>
    <row r="98" spans="1:67" ht="15" customHeight="1">
      <c r="A98" s="66" t="s">
        <v>1587</v>
      </c>
      <c r="B98" s="66" t="s">
        <v>1588</v>
      </c>
      <c r="C98" s="150" t="s">
        <v>1136</v>
      </c>
      <c r="D98" s="150" t="s">
        <v>1567</v>
      </c>
      <c r="E98" s="150" t="s">
        <v>1567</v>
      </c>
      <c r="F98" s="150" t="s">
        <v>1567</v>
      </c>
      <c r="G98" s="511" t="s">
        <v>49</v>
      </c>
      <c r="H98" s="392" t="s">
        <v>1589</v>
      </c>
      <c r="I98" s="343"/>
      <c r="J98" s="343"/>
      <c r="K98" s="70" t="s">
        <v>283</v>
      </c>
      <c r="L98" s="346"/>
      <c r="M98" s="343"/>
      <c r="N98" s="346"/>
      <c r="O98" s="505" t="s">
        <v>272</v>
      </c>
      <c r="P98" s="150"/>
      <c r="Q98" s="403"/>
      <c r="R98" s="406">
        <v>49920</v>
      </c>
      <c r="S98" s="406">
        <v>37752</v>
      </c>
      <c r="T98" s="425"/>
      <c r="U98" s="71"/>
      <c r="V98" s="426"/>
      <c r="W98" s="427"/>
      <c r="X98" s="427"/>
      <c r="Y98" s="428" t="s">
        <v>1142</v>
      </c>
      <c r="Z98" s="429">
        <v>0</v>
      </c>
      <c r="AA98" s="429">
        <v>0</v>
      </c>
      <c r="AB98" s="363" t="e">
        <v>#N/A</v>
      </c>
      <c r="AC98" s="363">
        <v>9060</v>
      </c>
      <c r="AD98" s="363">
        <v>9060</v>
      </c>
      <c r="AE98" s="363">
        <v>0</v>
      </c>
      <c r="AF98" s="360">
        <v>6040</v>
      </c>
      <c r="AG98" s="363">
        <v>6042</v>
      </c>
      <c r="AH98" s="360" t="e">
        <f t="shared" si="9"/>
        <v>#N/A</v>
      </c>
      <c r="AI98" s="362" t="e">
        <f>ERP[[#This Row],[2026 Working Total]]-ERP[[#This Row],[LE2 Final Submission]]</f>
        <v>#N/A</v>
      </c>
      <c r="AJ98" s="79" t="e">
        <v>#N/A</v>
      </c>
      <c r="AK98" s="79" t="e">
        <f t="shared" si="8"/>
        <v>#N/A</v>
      </c>
      <c r="AL98" s="374">
        <f>SUM(ERP[[#This Row],[AP01]:[AP06]])-SUM(ERP[[#This Row],[AP01 LE2]:[AP06 LE2]])</f>
        <v>0</v>
      </c>
      <c r="AM98" s="80"/>
      <c r="AN98" s="79" t="e">
        <f>ERP[[#This Row],[2026 Working Total to Budget/LE]]-ERP[[#This Row],[Giveback]]</f>
        <v>#N/A</v>
      </c>
      <c r="AO98" s="81"/>
      <c r="AP98" s="375"/>
      <c r="AQ98" s="375"/>
      <c r="AR98" s="375"/>
      <c r="AS98" s="375">
        <v>0</v>
      </c>
      <c r="AT98" s="375">
        <v>0</v>
      </c>
      <c r="AU98" s="375">
        <v>0</v>
      </c>
      <c r="AV98" s="375">
        <v>7550</v>
      </c>
      <c r="AW98" s="375">
        <v>9060</v>
      </c>
      <c r="AX98" s="375">
        <v>9060</v>
      </c>
      <c r="AY98" s="375">
        <v>0</v>
      </c>
      <c r="AZ98" s="375">
        <v>6040</v>
      </c>
      <c r="BA98" s="375">
        <v>6042</v>
      </c>
      <c r="BB98" s="375">
        <v>37752</v>
      </c>
      <c r="BC98" s="79"/>
      <c r="BD98" s="79"/>
      <c r="BE98" s="79"/>
      <c r="BF98" s="79">
        <v>2500</v>
      </c>
      <c r="BG98" s="79">
        <v>2500</v>
      </c>
      <c r="BH98" s="79">
        <v>10050</v>
      </c>
      <c r="BI98" s="79">
        <v>17644</v>
      </c>
      <c r="BJ98" s="79">
        <v>17644</v>
      </c>
      <c r="BK98" s="79">
        <v>8540</v>
      </c>
      <c r="BL98" s="79">
        <v>6042</v>
      </c>
      <c r="BM98" s="79">
        <v>0</v>
      </c>
      <c r="BN98" s="79">
        <v>-40000</v>
      </c>
      <c r="BO98" s="79">
        <v>24920</v>
      </c>
    </row>
    <row r="99" spans="1:67" ht="15" customHeight="1">
      <c r="A99" s="66" t="s">
        <v>2851</v>
      </c>
      <c r="B99" s="66" t="s">
        <v>2852</v>
      </c>
      <c r="C99" s="150" t="s">
        <v>1136</v>
      </c>
      <c r="D99" s="150" t="s">
        <v>1345</v>
      </c>
      <c r="E99" s="150" t="s">
        <v>1346</v>
      </c>
      <c r="F99" s="150" t="s">
        <v>1346</v>
      </c>
      <c r="G99" s="511" t="s">
        <v>1037</v>
      </c>
      <c r="H99" s="392" t="s">
        <v>2853</v>
      </c>
      <c r="I99" s="343"/>
      <c r="J99" s="343"/>
      <c r="K99" s="70" t="s">
        <v>1044</v>
      </c>
      <c r="L99" s="346"/>
      <c r="M99" s="343"/>
      <c r="N99" s="346"/>
      <c r="O99" s="150" t="s">
        <v>272</v>
      </c>
      <c r="P99" s="150"/>
      <c r="Q99" s="403"/>
      <c r="R99" s="406">
        <v>0</v>
      </c>
      <c r="S99" s="406">
        <v>485.43</v>
      </c>
      <c r="T99" s="425"/>
      <c r="U99" s="71"/>
      <c r="V99" s="426"/>
      <c r="W99" s="427"/>
      <c r="X99" s="427">
        <v>485.43</v>
      </c>
      <c r="Y99" s="428" t="s">
        <v>1142</v>
      </c>
      <c r="Z99" s="429">
        <v>0</v>
      </c>
      <c r="AA99" s="429">
        <v>0</v>
      </c>
      <c r="AB99" s="363" t="e">
        <v>#N/A</v>
      </c>
      <c r="AC99" s="360">
        <v>0</v>
      </c>
      <c r="AD99" s="360">
        <v>0</v>
      </c>
      <c r="AE99" s="360">
        <v>0</v>
      </c>
      <c r="AF99" s="360">
        <v>0</v>
      </c>
      <c r="AG99" s="360">
        <v>0</v>
      </c>
      <c r="AH99" s="360" t="e">
        <f t="shared" si="9"/>
        <v>#N/A</v>
      </c>
      <c r="AI99" s="362" t="e">
        <f>ERP[[#This Row],[2026 Working Total]]-ERP[[#This Row],[LE2 Final Submission]]</f>
        <v>#N/A</v>
      </c>
      <c r="AJ99" s="79" t="e">
        <v>#N/A</v>
      </c>
      <c r="AK99" s="79" t="e">
        <f t="shared" si="8"/>
        <v>#N/A</v>
      </c>
      <c r="AL99" s="374">
        <f>SUM(ERP[[#This Row],[AP01]:[AP06]])-SUM(ERP[[#This Row],[AP01 LE2]:[AP06 LE2]])</f>
        <v>0</v>
      </c>
      <c r="AM99" s="80"/>
      <c r="AN99" s="79" t="e">
        <f>ERP[[#This Row],[2026 Working Total to Budget/LE]]-ERP[[#This Row],[Giveback]]</f>
        <v>#N/A</v>
      </c>
      <c r="AO99" s="81"/>
      <c r="AP99" s="375"/>
      <c r="AQ99" s="375"/>
      <c r="AR99" s="375">
        <v>485.43</v>
      </c>
      <c r="AS99" s="375">
        <v>0</v>
      </c>
      <c r="AT99" s="375">
        <v>0</v>
      </c>
      <c r="AU99" s="375">
        <v>0</v>
      </c>
      <c r="AV99" s="375">
        <v>0</v>
      </c>
      <c r="AW99" s="375">
        <v>0</v>
      </c>
      <c r="AX99" s="375">
        <v>0</v>
      </c>
      <c r="AY99" s="375">
        <v>0</v>
      </c>
      <c r="AZ99" s="375">
        <v>0</v>
      </c>
      <c r="BA99" s="375">
        <v>0</v>
      </c>
      <c r="BB99" s="375">
        <v>485.43</v>
      </c>
      <c r="BC99" s="79"/>
      <c r="BD99" s="79"/>
      <c r="BE99" s="79">
        <v>485.43</v>
      </c>
      <c r="BF99" s="79">
        <v>0</v>
      </c>
      <c r="BG99" s="79">
        <v>0</v>
      </c>
      <c r="BH99" s="79">
        <v>0</v>
      </c>
      <c r="BI99" s="79">
        <v>0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485.43</v>
      </c>
    </row>
    <row r="100" spans="1:67" ht="15" customHeight="1">
      <c r="A100" s="66" t="s">
        <v>2774</v>
      </c>
      <c r="B100" s="66" t="s">
        <v>2775</v>
      </c>
      <c r="C100" s="150" t="s">
        <v>1136</v>
      </c>
      <c r="D100" s="150" t="s">
        <v>1345</v>
      </c>
      <c r="E100" s="150" t="s">
        <v>1346</v>
      </c>
      <c r="F100" s="150" t="s">
        <v>1346</v>
      </c>
      <c r="G100" s="511" t="s">
        <v>639</v>
      </c>
      <c r="H100" s="392" t="s">
        <v>1138</v>
      </c>
      <c r="I100" s="343"/>
      <c r="J100" s="343"/>
      <c r="K100" s="70" t="s">
        <v>51</v>
      </c>
      <c r="L100" s="346" t="s">
        <v>1139</v>
      </c>
      <c r="M100" s="346" t="s">
        <v>1140</v>
      </c>
      <c r="N100" s="346"/>
      <c r="O100" s="150" t="s">
        <v>25</v>
      </c>
      <c r="P100" s="150"/>
      <c r="Q100" s="403"/>
      <c r="R100" s="406">
        <v>0</v>
      </c>
      <c r="S100" s="406">
        <v>3227.2200000000003</v>
      </c>
      <c r="T100" s="430"/>
      <c r="U100" s="137"/>
      <c r="V100" s="426"/>
      <c r="W100" s="427">
        <v>1859.42</v>
      </c>
      <c r="X100" s="427">
        <v>1367.8</v>
      </c>
      <c r="Y100" s="428">
        <v>0</v>
      </c>
      <c r="Z100" s="429">
        <v>682.06</v>
      </c>
      <c r="AA100" s="429">
        <v>91.56</v>
      </c>
      <c r="AB100" s="363" t="e">
        <v>#N/A</v>
      </c>
      <c r="AC100" s="360">
        <v>0</v>
      </c>
      <c r="AD100" s="360">
        <v>0</v>
      </c>
      <c r="AE100" s="360">
        <v>0</v>
      </c>
      <c r="AF100" s="360">
        <v>0</v>
      </c>
      <c r="AG100" s="360">
        <v>0</v>
      </c>
      <c r="AH100" s="360" t="e">
        <f t="shared" si="9"/>
        <v>#N/A</v>
      </c>
      <c r="AI100" s="362" t="e">
        <f>ERP[[#This Row],[2026 Working Total]]-ERP[[#This Row],[LE2 Final Submission]]</f>
        <v>#N/A</v>
      </c>
      <c r="AJ100" s="79" t="e">
        <v>#N/A</v>
      </c>
      <c r="AK100" s="79" t="e">
        <f t="shared" si="8"/>
        <v>#N/A</v>
      </c>
      <c r="AL100" s="374">
        <f>SUM(ERP[[#This Row],[AP01]:[AP06]])-SUM(ERP[[#This Row],[AP01 LE2]:[AP06 LE2]])</f>
        <v>773.61999999999989</v>
      </c>
      <c r="AM100" s="80"/>
      <c r="AN100" s="79" t="e">
        <f>ERP[[#This Row],[2026 Working Total to Budget/LE]]-ERP[[#This Row],[Giveback]]</f>
        <v>#N/A</v>
      </c>
      <c r="AO100" s="81"/>
      <c r="AP100" s="375"/>
      <c r="AQ100" s="375">
        <v>1859.42</v>
      </c>
      <c r="AR100" s="375">
        <v>1367.8</v>
      </c>
      <c r="AS100" s="375">
        <v>0</v>
      </c>
      <c r="AT100" s="375">
        <v>0</v>
      </c>
      <c r="AU100" s="375">
        <v>0</v>
      </c>
      <c r="AV100" s="375">
        <v>0</v>
      </c>
      <c r="AW100" s="375">
        <v>0</v>
      </c>
      <c r="AX100" s="375">
        <v>0</v>
      </c>
      <c r="AY100" s="375">
        <v>0</v>
      </c>
      <c r="AZ100" s="375">
        <v>0</v>
      </c>
      <c r="BA100" s="375">
        <v>0</v>
      </c>
      <c r="BB100" s="375">
        <v>3227.2200000000003</v>
      </c>
      <c r="BC100" s="79"/>
      <c r="BD100" s="79">
        <v>1859.42</v>
      </c>
      <c r="BE100" s="79">
        <v>1367.8</v>
      </c>
      <c r="BF100" s="79">
        <v>0</v>
      </c>
      <c r="BG100" s="79">
        <v>0</v>
      </c>
      <c r="BH100" s="79">
        <v>0</v>
      </c>
      <c r="BI100" s="79">
        <v>0</v>
      </c>
      <c r="BJ100" s="79">
        <v>0</v>
      </c>
      <c r="BK100" s="79">
        <v>0</v>
      </c>
      <c r="BL100" s="79">
        <v>0</v>
      </c>
      <c r="BM100" s="79">
        <v>0</v>
      </c>
      <c r="BN100" s="79">
        <v>0</v>
      </c>
      <c r="BO100" s="79">
        <v>3227.2200000000003</v>
      </c>
    </row>
    <row r="101" spans="1:67" ht="15" customHeight="1">
      <c r="A101" s="79" t="s">
        <v>2247</v>
      </c>
      <c r="B101" s="296" t="s">
        <v>666</v>
      </c>
      <c r="C101" s="150" t="s">
        <v>1136</v>
      </c>
      <c r="D101" t="s">
        <v>1135</v>
      </c>
      <c r="E101" t="s">
        <v>1135</v>
      </c>
      <c r="F101" t="s">
        <v>1135</v>
      </c>
      <c r="G101" s="514" t="s">
        <v>639</v>
      </c>
      <c r="H101" s="394" t="s">
        <v>1699</v>
      </c>
      <c r="I101" s="343"/>
      <c r="J101" s="333"/>
      <c r="K101" s="70" t="s">
        <v>362</v>
      </c>
      <c r="L101" s="347"/>
      <c r="M101" s="343"/>
      <c r="N101" s="348"/>
      <c r="O101" s="348"/>
      <c r="P101" s="348" t="s">
        <v>1700</v>
      </c>
      <c r="Q101" s="402"/>
      <c r="R101" s="358"/>
      <c r="S101" s="379">
        <v>0</v>
      </c>
      <c r="T101" s="430"/>
      <c r="U101" s="137"/>
      <c r="V101" s="435"/>
      <c r="W101" s="436"/>
      <c r="X101" s="436"/>
      <c r="Y101" s="428" t="s">
        <v>1142</v>
      </c>
      <c r="Z101" s="429">
        <v>0</v>
      </c>
      <c r="AA101" s="429">
        <v>0</v>
      </c>
      <c r="AB101" s="363" t="e">
        <v>#N/A</v>
      </c>
      <c r="AC101" s="364"/>
      <c r="AD101" s="364"/>
      <c r="AE101" s="364"/>
      <c r="AF101" s="364"/>
      <c r="AG101" s="364"/>
      <c r="AH101" s="360" t="e">
        <f t="shared" si="9"/>
        <v>#N/A</v>
      </c>
      <c r="AI101" s="362" t="e">
        <f>ERP[[#This Row],[2026 Working Total]]-ERP[[#This Row],[LE2 Final Submission]]</f>
        <v>#N/A</v>
      </c>
      <c r="AJ101" s="79" t="e">
        <v>#N/A</v>
      </c>
      <c r="AK101" s="79" t="e">
        <f t="shared" si="8"/>
        <v>#N/A</v>
      </c>
      <c r="AL101" s="374">
        <f>SUM(ERP[[#This Row],[AP01]:[AP06]])-SUM(ERP[[#This Row],[AP01 LE2]:[AP06 LE2]])</f>
        <v>0</v>
      </c>
      <c r="AM101" s="80"/>
      <c r="AN101" s="79" t="e">
        <f>ERP[[#This Row],[2026 Working Total to Budget/LE]]-ERP[[#This Row],[Giveback]]</f>
        <v>#N/A</v>
      </c>
      <c r="AO101" s="81"/>
      <c r="AP101" s="375"/>
      <c r="AQ101" s="375"/>
      <c r="AR101" s="375"/>
      <c r="AS101" s="375">
        <v>-84081.45</v>
      </c>
      <c r="AT101" s="375">
        <v>84081.45</v>
      </c>
      <c r="AU101" s="375"/>
      <c r="AV101" s="375"/>
      <c r="AW101" s="375"/>
      <c r="AX101" s="375"/>
      <c r="AY101" s="375"/>
      <c r="AZ101" s="375"/>
      <c r="BA101" s="375"/>
      <c r="BB101" s="375">
        <v>0</v>
      </c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</row>
    <row r="102" spans="1:67" ht="15" customHeight="1">
      <c r="A102" s="66" t="s">
        <v>2605</v>
      </c>
      <c r="B102" s="66" t="s">
        <v>901</v>
      </c>
      <c r="C102" s="150" t="s">
        <v>1136</v>
      </c>
      <c r="D102" s="150" t="s">
        <v>1345</v>
      </c>
      <c r="E102" s="150" t="s">
        <v>1344</v>
      </c>
      <c r="F102" s="150" t="s">
        <v>1346</v>
      </c>
      <c r="G102" s="511" t="s">
        <v>639</v>
      </c>
      <c r="H102" s="392" t="s">
        <v>1138</v>
      </c>
      <c r="I102" s="343"/>
      <c r="J102" s="343"/>
      <c r="K102" s="70" t="s">
        <v>51</v>
      </c>
      <c r="L102" s="346" t="s">
        <v>1139</v>
      </c>
      <c r="M102" s="346" t="s">
        <v>1140</v>
      </c>
      <c r="N102" s="346"/>
      <c r="O102" s="150" t="s">
        <v>25</v>
      </c>
      <c r="P102" s="150"/>
      <c r="Q102" s="403"/>
      <c r="R102" s="406">
        <v>0</v>
      </c>
      <c r="S102" s="406">
        <v>2288.52</v>
      </c>
      <c r="T102" s="425"/>
      <c r="U102" s="71"/>
      <c r="V102" s="426"/>
      <c r="W102" s="427">
        <v>2188.1999999999998</v>
      </c>
      <c r="X102" s="427">
        <v>100.32</v>
      </c>
      <c r="Y102" s="428">
        <v>0</v>
      </c>
      <c r="Z102" s="429">
        <v>0</v>
      </c>
      <c r="AA102" s="429">
        <v>0</v>
      </c>
      <c r="AB102" s="363" t="e">
        <v>#N/A</v>
      </c>
      <c r="AC102" s="360">
        <v>0</v>
      </c>
      <c r="AD102" s="360">
        <v>0</v>
      </c>
      <c r="AE102" s="360">
        <v>0</v>
      </c>
      <c r="AF102" s="360">
        <v>0</v>
      </c>
      <c r="AG102" s="360">
        <v>0</v>
      </c>
      <c r="AH102" s="360" t="e">
        <f t="shared" si="9"/>
        <v>#N/A</v>
      </c>
      <c r="AI102" s="362" t="e">
        <f>ERP[[#This Row],[2026 Working Total]]-ERP[[#This Row],[LE2 Final Submission]]</f>
        <v>#N/A</v>
      </c>
      <c r="AJ102" s="79" t="e">
        <v>#N/A</v>
      </c>
      <c r="AK102" s="79" t="e">
        <f t="shared" si="8"/>
        <v>#N/A</v>
      </c>
      <c r="AL102" s="374">
        <f>SUM(ERP[[#This Row],[AP01]:[AP06]])-SUM(ERP[[#This Row],[AP01 LE2]:[AP06 LE2]])</f>
        <v>0</v>
      </c>
      <c r="AM102" s="80"/>
      <c r="AN102" s="79" t="e">
        <f>ERP[[#This Row],[2026 Working Total to Budget/LE]]-ERP[[#This Row],[Giveback]]</f>
        <v>#N/A</v>
      </c>
      <c r="AO102" s="81"/>
      <c r="AP102" s="375"/>
      <c r="AQ102" s="375">
        <v>2188.1999999999998</v>
      </c>
      <c r="AR102" s="375">
        <v>100.32</v>
      </c>
      <c r="AS102" s="375">
        <v>0</v>
      </c>
      <c r="AT102" s="375">
        <v>0</v>
      </c>
      <c r="AU102" s="375">
        <v>0</v>
      </c>
      <c r="AV102" s="375">
        <v>0</v>
      </c>
      <c r="AW102" s="375">
        <v>0</v>
      </c>
      <c r="AX102" s="375">
        <v>0</v>
      </c>
      <c r="AY102" s="375">
        <v>0</v>
      </c>
      <c r="AZ102" s="375">
        <v>0</v>
      </c>
      <c r="BA102" s="375">
        <v>0</v>
      </c>
      <c r="BB102" s="375">
        <v>2288.52</v>
      </c>
      <c r="BC102" s="79"/>
      <c r="BD102" s="79">
        <v>2188.1999999999998</v>
      </c>
      <c r="BE102" s="79">
        <v>100.32</v>
      </c>
      <c r="BF102" s="79">
        <v>0</v>
      </c>
      <c r="BG102" s="79">
        <v>0</v>
      </c>
      <c r="BH102" s="79">
        <v>0</v>
      </c>
      <c r="BI102" s="79">
        <v>0</v>
      </c>
      <c r="BJ102" s="79">
        <v>0</v>
      </c>
      <c r="BK102" s="79">
        <v>0</v>
      </c>
      <c r="BL102" s="79">
        <v>0</v>
      </c>
      <c r="BM102" s="79">
        <v>0</v>
      </c>
      <c r="BN102" s="79">
        <v>0</v>
      </c>
      <c r="BO102" s="79">
        <v>2288.52</v>
      </c>
    </row>
    <row r="103" spans="1:67" ht="15" customHeight="1">
      <c r="A103" s="66" t="s">
        <v>2664</v>
      </c>
      <c r="B103" s="66" t="s">
        <v>940</v>
      </c>
      <c r="C103" s="150" t="s">
        <v>1136</v>
      </c>
      <c r="D103" s="150" t="s">
        <v>1345</v>
      </c>
      <c r="E103" s="150" t="s">
        <v>1345</v>
      </c>
      <c r="F103" s="150" t="s">
        <v>1346</v>
      </c>
      <c r="G103" s="511" t="s">
        <v>639</v>
      </c>
      <c r="H103" s="392" t="s">
        <v>1138</v>
      </c>
      <c r="I103" s="343"/>
      <c r="J103" s="343"/>
      <c r="K103" s="70" t="s">
        <v>51</v>
      </c>
      <c r="L103" s="346" t="s">
        <v>1139</v>
      </c>
      <c r="M103" s="346" t="s">
        <v>1140</v>
      </c>
      <c r="N103" s="346"/>
      <c r="O103" s="150" t="s">
        <v>25</v>
      </c>
      <c r="P103" s="150"/>
      <c r="Q103" s="403"/>
      <c r="R103" s="406">
        <v>0</v>
      </c>
      <c r="S103" s="406">
        <v>218.76</v>
      </c>
      <c r="T103" s="430"/>
      <c r="U103" s="137"/>
      <c r="V103" s="426"/>
      <c r="W103" s="427">
        <v>218.76</v>
      </c>
      <c r="X103" s="431">
        <v>0</v>
      </c>
      <c r="Y103" s="428">
        <v>0</v>
      </c>
      <c r="Z103" s="429">
        <v>0</v>
      </c>
      <c r="AA103" s="429">
        <v>0</v>
      </c>
      <c r="AB103" s="363" t="e">
        <v>#N/A</v>
      </c>
      <c r="AC103" s="360">
        <v>0</v>
      </c>
      <c r="AD103" s="360">
        <v>0</v>
      </c>
      <c r="AE103" s="360">
        <v>0</v>
      </c>
      <c r="AF103" s="360">
        <v>0</v>
      </c>
      <c r="AG103" s="360">
        <v>0</v>
      </c>
      <c r="AH103" s="360" t="e">
        <f t="shared" si="9"/>
        <v>#N/A</v>
      </c>
      <c r="AI103" s="362" t="e">
        <f>ERP[[#This Row],[2026 Working Total]]-ERP[[#This Row],[LE2 Final Submission]]</f>
        <v>#N/A</v>
      </c>
      <c r="AJ103" s="79" t="e">
        <v>#N/A</v>
      </c>
      <c r="AK103" s="79" t="e">
        <f t="shared" si="8"/>
        <v>#N/A</v>
      </c>
      <c r="AL103" s="374">
        <f>SUM(ERP[[#This Row],[AP01]:[AP06]])-SUM(ERP[[#This Row],[AP01 LE2]:[AP06 LE2]])</f>
        <v>0</v>
      </c>
      <c r="AM103" s="80"/>
      <c r="AN103" s="79" t="e">
        <f>ERP[[#This Row],[2026 Working Total to Budget/LE]]-ERP[[#This Row],[Giveback]]</f>
        <v>#N/A</v>
      </c>
      <c r="AO103" s="81"/>
      <c r="AP103" s="375"/>
      <c r="AQ103" s="375">
        <v>218.76</v>
      </c>
      <c r="AR103" s="375">
        <v>0</v>
      </c>
      <c r="AS103" s="375">
        <v>0</v>
      </c>
      <c r="AT103" s="375">
        <v>0</v>
      </c>
      <c r="AU103" s="375">
        <v>0</v>
      </c>
      <c r="AV103" s="375">
        <v>0</v>
      </c>
      <c r="AW103" s="375">
        <v>0</v>
      </c>
      <c r="AX103" s="375">
        <v>0</v>
      </c>
      <c r="AY103" s="375">
        <v>0</v>
      </c>
      <c r="AZ103" s="375">
        <v>0</v>
      </c>
      <c r="BA103" s="375">
        <v>0</v>
      </c>
      <c r="BB103" s="375">
        <v>218.76</v>
      </c>
      <c r="BC103" s="79"/>
      <c r="BD103" s="79">
        <v>218.76</v>
      </c>
      <c r="BE103" s="79">
        <v>0</v>
      </c>
      <c r="BF103" s="79">
        <v>0</v>
      </c>
      <c r="BG103" s="79">
        <v>0</v>
      </c>
      <c r="BH103" s="79">
        <v>0</v>
      </c>
      <c r="BI103" s="79">
        <v>0</v>
      </c>
      <c r="BJ103" s="79">
        <v>0</v>
      </c>
      <c r="BK103" s="79">
        <v>0</v>
      </c>
      <c r="BL103" s="79">
        <v>0</v>
      </c>
      <c r="BM103" s="79">
        <v>0</v>
      </c>
      <c r="BN103" s="79">
        <v>0</v>
      </c>
      <c r="BO103" s="79">
        <v>218.76</v>
      </c>
    </row>
    <row r="104" spans="1:67" ht="15" customHeight="1">
      <c r="A104" s="66" t="s">
        <v>2702</v>
      </c>
      <c r="B104" s="66" t="s">
        <v>956</v>
      </c>
      <c r="C104" s="150" t="s">
        <v>1136</v>
      </c>
      <c r="D104" s="150" t="s">
        <v>1345</v>
      </c>
      <c r="E104" s="150" t="s">
        <v>1450</v>
      </c>
      <c r="F104" s="150" t="s">
        <v>1346</v>
      </c>
      <c r="G104" s="511" t="s">
        <v>639</v>
      </c>
      <c r="H104" s="392" t="s">
        <v>1138</v>
      </c>
      <c r="I104" s="343"/>
      <c r="J104" s="343"/>
      <c r="K104" s="70" t="s">
        <v>51</v>
      </c>
      <c r="L104" s="346" t="s">
        <v>1139</v>
      </c>
      <c r="M104" s="346" t="s">
        <v>1140</v>
      </c>
      <c r="N104" s="346"/>
      <c r="O104" s="150" t="s">
        <v>25</v>
      </c>
      <c r="P104" s="150"/>
      <c r="Q104" s="403"/>
      <c r="R104" s="406">
        <v>0</v>
      </c>
      <c r="S104" s="406">
        <v>431.03</v>
      </c>
      <c r="T104" s="430"/>
      <c r="U104" s="137"/>
      <c r="V104" s="426"/>
      <c r="W104" s="427">
        <v>431.03</v>
      </c>
      <c r="X104" s="431">
        <v>0</v>
      </c>
      <c r="Y104" s="428">
        <v>0</v>
      </c>
      <c r="Z104" s="429">
        <v>0</v>
      </c>
      <c r="AA104" s="429">
        <v>0</v>
      </c>
      <c r="AB104" s="363" t="e">
        <v>#N/A</v>
      </c>
      <c r="AC104" s="360">
        <v>0</v>
      </c>
      <c r="AD104" s="360">
        <v>0</v>
      </c>
      <c r="AE104" s="360">
        <v>0</v>
      </c>
      <c r="AF104" s="360">
        <v>0</v>
      </c>
      <c r="AG104" s="360">
        <v>0</v>
      </c>
      <c r="AH104" s="360" t="e">
        <f t="shared" si="9"/>
        <v>#N/A</v>
      </c>
      <c r="AI104" s="362" t="e">
        <f>ERP[[#This Row],[2026 Working Total]]-ERP[[#This Row],[LE2 Final Submission]]</f>
        <v>#N/A</v>
      </c>
      <c r="AJ104" s="79" t="e">
        <v>#N/A</v>
      </c>
      <c r="AK104" s="79" t="e">
        <f t="shared" si="8"/>
        <v>#N/A</v>
      </c>
      <c r="AL104" s="374">
        <f>SUM(ERP[[#This Row],[AP01]:[AP06]])-SUM(ERP[[#This Row],[AP01 LE2]:[AP06 LE2]])</f>
        <v>0</v>
      </c>
      <c r="AM104" s="80"/>
      <c r="AN104" s="79" t="e">
        <f>ERP[[#This Row],[2026 Working Total to Budget/LE]]-ERP[[#This Row],[Giveback]]</f>
        <v>#N/A</v>
      </c>
      <c r="AO104" s="81"/>
      <c r="AP104" s="375"/>
      <c r="AQ104" s="375">
        <v>431.03</v>
      </c>
      <c r="AR104" s="375">
        <v>0</v>
      </c>
      <c r="AS104" s="375">
        <v>0</v>
      </c>
      <c r="AT104" s="375">
        <v>0</v>
      </c>
      <c r="AU104" s="375">
        <v>0</v>
      </c>
      <c r="AV104" s="375">
        <v>0</v>
      </c>
      <c r="AW104" s="375">
        <v>0</v>
      </c>
      <c r="AX104" s="375">
        <v>0</v>
      </c>
      <c r="AY104" s="375">
        <v>0</v>
      </c>
      <c r="AZ104" s="375">
        <v>0</v>
      </c>
      <c r="BA104" s="375">
        <v>0</v>
      </c>
      <c r="BB104" s="375">
        <v>431.03</v>
      </c>
      <c r="BC104" s="79"/>
      <c r="BD104" s="79">
        <v>431.03</v>
      </c>
      <c r="BE104" s="79">
        <v>0</v>
      </c>
      <c r="BF104" s="79">
        <v>0</v>
      </c>
      <c r="BG104" s="79">
        <v>0</v>
      </c>
      <c r="BH104" s="79">
        <v>0</v>
      </c>
      <c r="BI104" s="79">
        <v>0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431.03</v>
      </c>
    </row>
    <row r="105" spans="1:67" ht="15" customHeight="1">
      <c r="A105" s="66" t="s">
        <v>2248</v>
      </c>
      <c r="B105" s="66" t="s">
        <v>667</v>
      </c>
      <c r="C105" s="150" t="s">
        <v>1136</v>
      </c>
      <c r="D105" s="150" t="s">
        <v>1135</v>
      </c>
      <c r="E105" s="150" t="s">
        <v>1135</v>
      </c>
      <c r="F105" s="150" t="s">
        <v>1137</v>
      </c>
      <c r="G105" s="511" t="s">
        <v>639</v>
      </c>
      <c r="H105" s="392" t="s">
        <v>1138</v>
      </c>
      <c r="I105" s="343"/>
      <c r="J105" s="343"/>
      <c r="K105" s="70" t="s">
        <v>51</v>
      </c>
      <c r="L105" s="346" t="s">
        <v>1139</v>
      </c>
      <c r="M105" s="346" t="s">
        <v>1140</v>
      </c>
      <c r="N105" s="346"/>
      <c r="O105" s="150" t="s">
        <v>25</v>
      </c>
      <c r="P105" s="150"/>
      <c r="Q105" s="403"/>
      <c r="R105" s="406">
        <v>0</v>
      </c>
      <c r="S105" s="406">
        <v>3777.33</v>
      </c>
      <c r="T105" s="425"/>
      <c r="U105" s="71"/>
      <c r="V105" s="426"/>
      <c r="W105" s="427">
        <v>3777.33</v>
      </c>
      <c r="X105" s="431">
        <v>0</v>
      </c>
      <c r="Y105" s="428">
        <v>83.61</v>
      </c>
      <c r="Z105" s="429">
        <v>0</v>
      </c>
      <c r="AA105" s="429">
        <v>0</v>
      </c>
      <c r="AB105" s="363" t="e">
        <v>#N/A</v>
      </c>
      <c r="AC105" s="360">
        <v>0</v>
      </c>
      <c r="AD105" s="360">
        <v>0</v>
      </c>
      <c r="AE105" s="360">
        <v>0</v>
      </c>
      <c r="AF105" s="360">
        <v>0</v>
      </c>
      <c r="AG105" s="360">
        <v>0</v>
      </c>
      <c r="AH105" s="360" t="e">
        <f t="shared" si="9"/>
        <v>#N/A</v>
      </c>
      <c r="AI105" s="362" t="e">
        <f>ERP[[#This Row],[2026 Working Total]]-ERP[[#This Row],[LE2 Final Submission]]</f>
        <v>#N/A</v>
      </c>
      <c r="AJ105" s="79" t="e">
        <v>#N/A</v>
      </c>
      <c r="AK105" s="79" t="e">
        <f t="shared" si="8"/>
        <v>#N/A</v>
      </c>
      <c r="AL105" s="374">
        <f>SUM(ERP[[#This Row],[AP01]:[AP06]])-SUM(ERP[[#This Row],[AP01 LE2]:[AP06 LE2]])</f>
        <v>83.610000000000127</v>
      </c>
      <c r="AM105" s="80"/>
      <c r="AN105" s="79" t="e">
        <f>ERP[[#This Row],[2026 Working Total to Budget/LE]]-ERP[[#This Row],[Giveback]]</f>
        <v>#N/A</v>
      </c>
      <c r="AO105" s="81"/>
      <c r="AP105" s="375"/>
      <c r="AQ105" s="375">
        <v>3777.33</v>
      </c>
      <c r="AR105" s="375">
        <v>0</v>
      </c>
      <c r="AS105" s="375">
        <v>0</v>
      </c>
      <c r="AT105" s="375">
        <v>0</v>
      </c>
      <c r="AU105" s="375">
        <v>0</v>
      </c>
      <c r="AV105" s="375">
        <v>0</v>
      </c>
      <c r="AW105" s="375">
        <v>0</v>
      </c>
      <c r="AX105" s="375">
        <v>0</v>
      </c>
      <c r="AY105" s="375">
        <v>0</v>
      </c>
      <c r="AZ105" s="375">
        <v>0</v>
      </c>
      <c r="BA105" s="375">
        <v>0</v>
      </c>
      <c r="BB105" s="375">
        <v>3777.33</v>
      </c>
      <c r="BC105" s="79"/>
      <c r="BD105" s="79">
        <v>3777.33</v>
      </c>
      <c r="BE105" s="79">
        <v>0</v>
      </c>
      <c r="BF105" s="79">
        <v>0</v>
      </c>
      <c r="BG105" s="79">
        <v>0</v>
      </c>
      <c r="BH105" s="79">
        <v>0</v>
      </c>
      <c r="BI105" s="79">
        <v>0</v>
      </c>
      <c r="BJ105" s="79">
        <v>0</v>
      </c>
      <c r="BK105" s="79">
        <v>0</v>
      </c>
      <c r="BL105" s="79">
        <v>0</v>
      </c>
      <c r="BM105" s="79">
        <v>0</v>
      </c>
      <c r="BN105" s="79">
        <v>0</v>
      </c>
      <c r="BO105" s="79">
        <v>3777.33</v>
      </c>
    </row>
    <row r="106" spans="1:67" ht="15" customHeight="1">
      <c r="A106" s="66" t="s">
        <v>1133</v>
      </c>
      <c r="B106" s="66" t="s">
        <v>1134</v>
      </c>
      <c r="C106" s="150" t="s">
        <v>1136</v>
      </c>
      <c r="D106" s="150" t="s">
        <v>1135</v>
      </c>
      <c r="E106" s="150" t="s">
        <v>1137</v>
      </c>
      <c r="F106" s="150" t="s">
        <v>1137</v>
      </c>
      <c r="G106" s="511" t="s">
        <v>49</v>
      </c>
      <c r="H106" s="392" t="s">
        <v>1138</v>
      </c>
      <c r="I106" s="343"/>
      <c r="J106" s="343"/>
      <c r="K106" s="70" t="s">
        <v>51</v>
      </c>
      <c r="L106" s="346" t="s">
        <v>1139</v>
      </c>
      <c r="M106" s="346" t="s">
        <v>1140</v>
      </c>
      <c r="N106" s="346"/>
      <c r="O106" s="150" t="s">
        <v>25</v>
      </c>
      <c r="P106" s="1" t="s">
        <v>1141</v>
      </c>
      <c r="Q106" s="403"/>
      <c r="R106" s="406">
        <v>1214.4000000000003</v>
      </c>
      <c r="S106" s="406">
        <v>910.80000000000018</v>
      </c>
      <c r="T106" s="425"/>
      <c r="U106" s="71"/>
      <c r="V106" s="426"/>
      <c r="W106" s="427"/>
      <c r="X106" s="427"/>
      <c r="Y106" s="428" t="s">
        <v>1142</v>
      </c>
      <c r="Z106" s="429">
        <v>0</v>
      </c>
      <c r="AA106" s="429">
        <v>0</v>
      </c>
      <c r="AB106" s="363" t="e">
        <v>#N/A</v>
      </c>
      <c r="AC106" s="363">
        <v>101.2</v>
      </c>
      <c r="AD106" s="363">
        <v>101.2</v>
      </c>
      <c r="AE106" s="363">
        <v>101.2</v>
      </c>
      <c r="AF106" s="363">
        <v>101.2</v>
      </c>
      <c r="AG106" s="363">
        <v>101.2</v>
      </c>
      <c r="AH106" s="360" t="e">
        <f t="shared" si="9"/>
        <v>#N/A</v>
      </c>
      <c r="AI106" s="362" t="e">
        <f>ERP[[#This Row],[2026 Working Total]]-ERP[[#This Row],[LE2 Final Submission]]</f>
        <v>#N/A</v>
      </c>
      <c r="AJ106" s="79" t="e">
        <v>#N/A</v>
      </c>
      <c r="AK106" s="79" t="e">
        <f t="shared" si="8"/>
        <v>#N/A</v>
      </c>
      <c r="AL106" s="374">
        <f>SUM(ERP[[#This Row],[AP01]:[AP06]])-SUM(ERP[[#This Row],[AP01 LE2]:[AP06 LE2]])</f>
        <v>-303.60000000000002</v>
      </c>
      <c r="AM106" s="80"/>
      <c r="AN106" s="79" t="e">
        <f>ERP[[#This Row],[2026 Working Total to Budget/LE]]-ERP[[#This Row],[Giveback]]</f>
        <v>#N/A</v>
      </c>
      <c r="AO106" s="81"/>
      <c r="AP106" s="375"/>
      <c r="AQ106" s="375"/>
      <c r="AR106" s="375"/>
      <c r="AS106" s="375">
        <v>101.2</v>
      </c>
      <c r="AT106" s="375">
        <v>101.2</v>
      </c>
      <c r="AU106" s="375">
        <v>101.2</v>
      </c>
      <c r="AV106" s="375">
        <v>101.2</v>
      </c>
      <c r="AW106" s="375">
        <v>101.2</v>
      </c>
      <c r="AX106" s="375">
        <v>101.2</v>
      </c>
      <c r="AY106" s="375">
        <v>101.2</v>
      </c>
      <c r="AZ106" s="375">
        <v>101.2</v>
      </c>
      <c r="BA106" s="375">
        <v>101.2</v>
      </c>
      <c r="BB106" s="375">
        <v>910.80000000000018</v>
      </c>
      <c r="BC106" s="79"/>
      <c r="BD106" s="79"/>
      <c r="BE106" s="79"/>
      <c r="BF106" s="79">
        <v>101.2</v>
      </c>
      <c r="BG106" s="79">
        <v>101.2</v>
      </c>
      <c r="BH106" s="79">
        <v>101.2</v>
      </c>
      <c r="BI106" s="79">
        <v>101.2</v>
      </c>
      <c r="BJ106" s="79">
        <v>101.2</v>
      </c>
      <c r="BK106" s="79">
        <v>101.2</v>
      </c>
      <c r="BL106" s="79">
        <v>101.2</v>
      </c>
      <c r="BM106" s="79">
        <v>101.2</v>
      </c>
      <c r="BN106" s="79">
        <v>101.2</v>
      </c>
      <c r="BO106" s="79">
        <v>910.80000000000018</v>
      </c>
    </row>
    <row r="107" spans="1:67" ht="15" customHeight="1">
      <c r="A107" s="66" t="s">
        <v>2249</v>
      </c>
      <c r="B107" s="66" t="s">
        <v>2250</v>
      </c>
      <c r="C107" s="150" t="s">
        <v>1136</v>
      </c>
      <c r="D107" s="150" t="s">
        <v>1135</v>
      </c>
      <c r="E107" s="150" t="s">
        <v>1137</v>
      </c>
      <c r="F107" s="150" t="s">
        <v>1137</v>
      </c>
      <c r="G107" s="511" t="s">
        <v>639</v>
      </c>
      <c r="H107" s="392" t="s">
        <v>1138</v>
      </c>
      <c r="I107" s="343"/>
      <c r="J107" s="343"/>
      <c r="K107" s="70" t="s">
        <v>51</v>
      </c>
      <c r="L107" s="346" t="s">
        <v>1139</v>
      </c>
      <c r="M107" s="346" t="s">
        <v>1140</v>
      </c>
      <c r="N107" s="346"/>
      <c r="O107" s="150" t="s">
        <v>25</v>
      </c>
      <c r="P107" s="1" t="s">
        <v>1141</v>
      </c>
      <c r="Q107" s="403"/>
      <c r="R107" s="406">
        <v>0</v>
      </c>
      <c r="S107" s="406">
        <v>1742.3400000000001</v>
      </c>
      <c r="T107" s="425"/>
      <c r="U107" s="71"/>
      <c r="V107" s="426"/>
      <c r="W107" s="427">
        <v>984.48</v>
      </c>
      <c r="X107" s="427">
        <v>757.86</v>
      </c>
      <c r="Y107" s="428">
        <v>0</v>
      </c>
      <c r="Z107" s="429">
        <v>0</v>
      </c>
      <c r="AA107" s="429">
        <v>0</v>
      </c>
      <c r="AB107" s="363" t="e">
        <v>#N/A</v>
      </c>
      <c r="AC107" s="360">
        <v>0</v>
      </c>
      <c r="AD107" s="360">
        <v>0</v>
      </c>
      <c r="AE107" s="360">
        <v>0</v>
      </c>
      <c r="AF107" s="360">
        <v>0</v>
      </c>
      <c r="AG107" s="360">
        <v>0</v>
      </c>
      <c r="AH107" s="360" t="e">
        <f t="shared" si="9"/>
        <v>#N/A</v>
      </c>
      <c r="AI107" s="362" t="e">
        <f>ERP[[#This Row],[2026 Working Total]]-ERP[[#This Row],[LE2 Final Submission]]</f>
        <v>#N/A</v>
      </c>
      <c r="AJ107" s="79" t="e">
        <v>#N/A</v>
      </c>
      <c r="AK107" s="79" t="e">
        <f t="shared" si="8"/>
        <v>#N/A</v>
      </c>
      <c r="AL107" s="374">
        <f>SUM(ERP[[#This Row],[AP01]:[AP06]])-SUM(ERP[[#This Row],[AP01 LE2]:[AP06 LE2]])</f>
        <v>0</v>
      </c>
      <c r="AM107" s="80"/>
      <c r="AN107" s="79" t="e">
        <f>ERP[[#This Row],[2026 Working Total to Budget/LE]]-ERP[[#This Row],[Giveback]]</f>
        <v>#N/A</v>
      </c>
      <c r="AO107" s="81"/>
      <c r="AP107" s="375"/>
      <c r="AQ107" s="375">
        <v>984.48</v>
      </c>
      <c r="AR107" s="375">
        <v>757.86</v>
      </c>
      <c r="AS107" s="375">
        <v>0</v>
      </c>
      <c r="AT107" s="375">
        <v>0</v>
      </c>
      <c r="AU107" s="375">
        <v>0</v>
      </c>
      <c r="AV107" s="375">
        <v>0</v>
      </c>
      <c r="AW107" s="375">
        <v>0</v>
      </c>
      <c r="AX107" s="375">
        <v>0</v>
      </c>
      <c r="AY107" s="375">
        <v>0</v>
      </c>
      <c r="AZ107" s="375">
        <v>0</v>
      </c>
      <c r="BA107" s="375">
        <v>0</v>
      </c>
      <c r="BB107" s="375">
        <v>1742.3400000000001</v>
      </c>
      <c r="BC107" s="79"/>
      <c r="BD107" s="79">
        <v>984.48</v>
      </c>
      <c r="BE107" s="79">
        <v>757.86</v>
      </c>
      <c r="BF107" s="79">
        <v>0</v>
      </c>
      <c r="BG107" s="79">
        <v>0</v>
      </c>
      <c r="BH107" s="79">
        <v>0</v>
      </c>
      <c r="BI107" s="79">
        <v>0</v>
      </c>
      <c r="BJ107" s="79">
        <v>0</v>
      </c>
      <c r="BK107" s="79">
        <v>0</v>
      </c>
      <c r="BL107" s="79">
        <v>0</v>
      </c>
      <c r="BM107" s="79">
        <v>0</v>
      </c>
      <c r="BN107" s="79">
        <v>0</v>
      </c>
      <c r="BO107" s="79">
        <v>1742.3400000000001</v>
      </c>
    </row>
    <row r="108" spans="1:67" ht="15" customHeight="1">
      <c r="A108" s="66" t="s">
        <v>1143</v>
      </c>
      <c r="B108" s="66" t="s">
        <v>1144</v>
      </c>
      <c r="C108" s="150" t="s">
        <v>1136</v>
      </c>
      <c r="D108" s="150" t="s">
        <v>1135</v>
      </c>
      <c r="E108" s="150" t="s">
        <v>1145</v>
      </c>
      <c r="F108" s="150" t="s">
        <v>1137</v>
      </c>
      <c r="G108" s="511" t="s">
        <v>49</v>
      </c>
      <c r="H108" s="392" t="s">
        <v>1138</v>
      </c>
      <c r="I108" s="343"/>
      <c r="J108" s="343"/>
      <c r="K108" s="70" t="s">
        <v>51</v>
      </c>
      <c r="L108" s="346" t="s">
        <v>1139</v>
      </c>
      <c r="M108" s="346" t="s">
        <v>1140</v>
      </c>
      <c r="N108" s="346"/>
      <c r="O108" s="150" t="s">
        <v>25</v>
      </c>
      <c r="P108" s="150"/>
      <c r="Q108" s="403"/>
      <c r="R108" s="406">
        <v>1800</v>
      </c>
      <c r="S108" s="406">
        <v>3600</v>
      </c>
      <c r="T108" s="425"/>
      <c r="U108" s="71"/>
      <c r="V108" s="426"/>
      <c r="W108" s="427"/>
      <c r="X108" s="427"/>
      <c r="Y108" s="428" t="s">
        <v>1142</v>
      </c>
      <c r="Z108" s="429">
        <v>0</v>
      </c>
      <c r="AA108" s="429">
        <v>0</v>
      </c>
      <c r="AB108" s="363" t="e">
        <v>#N/A</v>
      </c>
      <c r="AC108" s="360">
        <v>0</v>
      </c>
      <c r="AD108" s="360">
        <v>0</v>
      </c>
      <c r="AE108" s="360">
        <v>0</v>
      </c>
      <c r="AF108" s="360">
        <v>0</v>
      </c>
      <c r="AG108" s="360">
        <v>0</v>
      </c>
      <c r="AH108" s="360" t="e">
        <f t="shared" si="9"/>
        <v>#N/A</v>
      </c>
      <c r="AI108" s="362" t="e">
        <f>ERP[[#This Row],[2026 Working Total]]-ERP[[#This Row],[LE2 Final Submission]]</f>
        <v>#N/A</v>
      </c>
      <c r="AJ108" s="79" t="e">
        <v>#N/A</v>
      </c>
      <c r="AK108" s="79" t="e">
        <f t="shared" si="8"/>
        <v>#N/A</v>
      </c>
      <c r="AL108" s="374">
        <f>SUM(ERP[[#This Row],[AP01]:[AP06]])-SUM(ERP[[#This Row],[AP01 LE2]:[AP06 LE2]])</f>
        <v>-3600</v>
      </c>
      <c r="AM108" s="80"/>
      <c r="AN108" s="79" t="e">
        <f>ERP[[#This Row],[2026 Working Total to Budget/LE]]-ERP[[#This Row],[Giveback]]</f>
        <v>#N/A</v>
      </c>
      <c r="AO108" s="81"/>
      <c r="AP108" s="375"/>
      <c r="AQ108" s="375"/>
      <c r="AR108" s="375"/>
      <c r="AS108" s="375">
        <v>1800</v>
      </c>
      <c r="AT108" s="375">
        <v>0</v>
      </c>
      <c r="AU108" s="375">
        <v>1800</v>
      </c>
      <c r="AV108" s="375">
        <v>0</v>
      </c>
      <c r="AW108" s="375">
        <v>0</v>
      </c>
      <c r="AX108" s="375">
        <v>0</v>
      </c>
      <c r="AY108" s="375">
        <v>0</v>
      </c>
      <c r="AZ108" s="375">
        <v>0</v>
      </c>
      <c r="BA108" s="375">
        <v>0</v>
      </c>
      <c r="BB108" s="375">
        <v>3600</v>
      </c>
      <c r="BC108" s="79"/>
      <c r="BD108" s="79"/>
      <c r="BE108" s="79"/>
      <c r="BF108" s="79">
        <v>1800</v>
      </c>
      <c r="BG108" s="79">
        <v>0</v>
      </c>
      <c r="BH108" s="79">
        <v>1800</v>
      </c>
      <c r="BI108" s="79">
        <v>0</v>
      </c>
      <c r="BJ108" s="79">
        <v>0</v>
      </c>
      <c r="BK108" s="79">
        <v>0</v>
      </c>
      <c r="BL108" s="79">
        <v>0</v>
      </c>
      <c r="BM108" s="79">
        <v>0</v>
      </c>
      <c r="BN108" s="79">
        <v>0</v>
      </c>
      <c r="BO108" s="79">
        <v>3600</v>
      </c>
    </row>
    <row r="109" spans="1:67" ht="15" customHeight="1">
      <c r="A109" s="66" t="s">
        <v>2776</v>
      </c>
      <c r="B109" s="66" t="s">
        <v>2777</v>
      </c>
      <c r="C109" s="150" t="s">
        <v>1136</v>
      </c>
      <c r="D109" s="150" t="s">
        <v>1567</v>
      </c>
      <c r="E109" s="150" t="s">
        <v>1567</v>
      </c>
      <c r="F109" s="150" t="s">
        <v>1567</v>
      </c>
      <c r="G109" s="511" t="s">
        <v>639</v>
      </c>
      <c r="H109" s="392" t="s">
        <v>1138</v>
      </c>
      <c r="I109" s="343"/>
      <c r="J109" s="343"/>
      <c r="K109" s="70" t="s">
        <v>51</v>
      </c>
      <c r="L109" s="346" t="s">
        <v>1139</v>
      </c>
      <c r="M109" s="346" t="s">
        <v>1140</v>
      </c>
      <c r="N109" s="346"/>
      <c r="O109" s="150" t="s">
        <v>25</v>
      </c>
      <c r="P109" s="150"/>
      <c r="Q109" s="403"/>
      <c r="R109" s="406">
        <v>0</v>
      </c>
      <c r="S109" s="406">
        <v>257.52</v>
      </c>
      <c r="T109" s="425"/>
      <c r="U109" s="71"/>
      <c r="V109" s="426"/>
      <c r="W109" s="427">
        <v>257.52</v>
      </c>
      <c r="X109" s="431">
        <v>0</v>
      </c>
      <c r="Y109" s="428">
        <v>0</v>
      </c>
      <c r="Z109" s="429">
        <v>0</v>
      </c>
      <c r="AA109" s="429">
        <v>0</v>
      </c>
      <c r="AB109" s="363" t="e">
        <v>#N/A</v>
      </c>
      <c r="AC109" s="360">
        <v>0</v>
      </c>
      <c r="AD109" s="360">
        <v>0</v>
      </c>
      <c r="AE109" s="360">
        <v>0</v>
      </c>
      <c r="AF109" s="360">
        <v>0</v>
      </c>
      <c r="AG109" s="360">
        <v>0</v>
      </c>
      <c r="AH109" s="360" t="e">
        <f t="shared" si="9"/>
        <v>#N/A</v>
      </c>
      <c r="AI109" s="362" t="e">
        <f>ERP[[#This Row],[2026 Working Total]]-ERP[[#This Row],[LE2 Final Submission]]</f>
        <v>#N/A</v>
      </c>
      <c r="AJ109" s="79" t="e">
        <v>#N/A</v>
      </c>
      <c r="AK109" s="79" t="e">
        <f t="shared" si="8"/>
        <v>#N/A</v>
      </c>
      <c r="AL109" s="374">
        <f>SUM(ERP[[#This Row],[AP01]:[AP06]])-SUM(ERP[[#This Row],[AP01 LE2]:[AP06 LE2]])</f>
        <v>0</v>
      </c>
      <c r="AM109" s="80"/>
      <c r="AN109" s="79" t="e">
        <f>ERP[[#This Row],[2026 Working Total to Budget/LE]]-ERP[[#This Row],[Giveback]]</f>
        <v>#N/A</v>
      </c>
      <c r="AO109" s="81"/>
      <c r="AP109" s="375"/>
      <c r="AQ109" s="375">
        <v>257.52</v>
      </c>
      <c r="AR109" s="375">
        <v>0</v>
      </c>
      <c r="AS109" s="375">
        <v>0</v>
      </c>
      <c r="AT109" s="375">
        <v>0</v>
      </c>
      <c r="AU109" s="375">
        <v>0</v>
      </c>
      <c r="AV109" s="375">
        <v>0</v>
      </c>
      <c r="AW109" s="375">
        <v>0</v>
      </c>
      <c r="AX109" s="375">
        <v>0</v>
      </c>
      <c r="AY109" s="375">
        <v>0</v>
      </c>
      <c r="AZ109" s="375">
        <v>0</v>
      </c>
      <c r="BA109" s="375">
        <v>0</v>
      </c>
      <c r="BB109" s="375">
        <v>257.52</v>
      </c>
      <c r="BC109" s="79"/>
      <c r="BD109" s="79">
        <v>257.52</v>
      </c>
      <c r="BE109" s="79">
        <v>0</v>
      </c>
      <c r="BF109" s="79">
        <v>0</v>
      </c>
      <c r="BG109" s="79">
        <v>0</v>
      </c>
      <c r="BH109" s="79">
        <v>0</v>
      </c>
      <c r="BI109" s="79">
        <v>0</v>
      </c>
      <c r="BJ109" s="79">
        <v>0</v>
      </c>
      <c r="BK109" s="79">
        <v>0</v>
      </c>
      <c r="BL109" s="79">
        <v>0</v>
      </c>
      <c r="BM109" s="79">
        <v>0</v>
      </c>
      <c r="BN109" s="79">
        <v>0</v>
      </c>
      <c r="BO109" s="79">
        <v>257.52</v>
      </c>
    </row>
    <row r="110" spans="1:67" ht="15" customHeight="1">
      <c r="A110" s="66" t="s">
        <v>2809</v>
      </c>
      <c r="B110" s="66" t="s">
        <v>1016</v>
      </c>
      <c r="C110" s="150" t="s">
        <v>1136</v>
      </c>
      <c r="D110" s="150" t="s">
        <v>1650</v>
      </c>
      <c r="E110" s="150" t="s">
        <v>1650</v>
      </c>
      <c r="F110" s="150" t="s">
        <v>1650</v>
      </c>
      <c r="G110" s="511" t="s">
        <v>639</v>
      </c>
      <c r="H110" s="392" t="s">
        <v>1138</v>
      </c>
      <c r="I110" s="343"/>
      <c r="J110" s="343"/>
      <c r="K110" s="70" t="s">
        <v>51</v>
      </c>
      <c r="L110" s="346" t="s">
        <v>1139</v>
      </c>
      <c r="M110" s="346" t="s">
        <v>1140</v>
      </c>
      <c r="N110" s="346"/>
      <c r="O110" s="150" t="s">
        <v>25</v>
      </c>
      <c r="P110" s="150"/>
      <c r="Q110" s="403"/>
      <c r="R110" s="406">
        <v>0</v>
      </c>
      <c r="S110" s="406">
        <v>200.42</v>
      </c>
      <c r="T110" s="425"/>
      <c r="U110" s="71"/>
      <c r="V110" s="426"/>
      <c r="W110" s="427"/>
      <c r="X110" s="427">
        <v>200.42</v>
      </c>
      <c r="Y110" s="428">
        <v>0</v>
      </c>
      <c r="Z110" s="429">
        <v>0</v>
      </c>
      <c r="AA110" s="429">
        <v>0</v>
      </c>
      <c r="AB110" s="363" t="e">
        <v>#N/A</v>
      </c>
      <c r="AC110" s="360">
        <v>0</v>
      </c>
      <c r="AD110" s="360">
        <v>0</v>
      </c>
      <c r="AE110" s="360">
        <v>0</v>
      </c>
      <c r="AF110" s="360">
        <v>0</v>
      </c>
      <c r="AG110" s="360">
        <v>0</v>
      </c>
      <c r="AH110" s="360" t="e">
        <f t="shared" si="9"/>
        <v>#N/A</v>
      </c>
      <c r="AI110" s="362" t="e">
        <f>ERP[[#This Row],[2026 Working Total]]-ERP[[#This Row],[LE2 Final Submission]]</f>
        <v>#N/A</v>
      </c>
      <c r="AJ110" s="79" t="e">
        <v>#N/A</v>
      </c>
      <c r="AK110" s="79" t="e">
        <f t="shared" si="8"/>
        <v>#N/A</v>
      </c>
      <c r="AL110" s="374">
        <f>SUM(ERP[[#This Row],[AP01]:[AP06]])-SUM(ERP[[#This Row],[AP01 LE2]:[AP06 LE2]])</f>
        <v>0</v>
      </c>
      <c r="AM110" s="80"/>
      <c r="AN110" s="79" t="e">
        <f>ERP[[#This Row],[2026 Working Total to Budget/LE]]-ERP[[#This Row],[Giveback]]</f>
        <v>#N/A</v>
      </c>
      <c r="AO110" s="81"/>
      <c r="AP110" s="375"/>
      <c r="AQ110" s="375"/>
      <c r="AR110" s="375">
        <v>200.42</v>
      </c>
      <c r="AS110" s="375">
        <v>0</v>
      </c>
      <c r="AT110" s="375">
        <v>0</v>
      </c>
      <c r="AU110" s="375">
        <v>0</v>
      </c>
      <c r="AV110" s="375">
        <v>0</v>
      </c>
      <c r="AW110" s="375">
        <v>0</v>
      </c>
      <c r="AX110" s="375">
        <v>0</v>
      </c>
      <c r="AY110" s="375">
        <v>0</v>
      </c>
      <c r="AZ110" s="375">
        <v>0</v>
      </c>
      <c r="BA110" s="375">
        <v>0</v>
      </c>
      <c r="BB110" s="375">
        <v>200.42</v>
      </c>
      <c r="BC110" s="79"/>
      <c r="BD110" s="79"/>
      <c r="BE110" s="79">
        <v>200.42</v>
      </c>
      <c r="BF110" s="79">
        <v>0</v>
      </c>
      <c r="BG110" s="79">
        <v>0</v>
      </c>
      <c r="BH110" s="79">
        <v>0</v>
      </c>
      <c r="BI110" s="79">
        <v>0</v>
      </c>
      <c r="BJ110" s="79">
        <v>0</v>
      </c>
      <c r="BK110" s="79">
        <v>0</v>
      </c>
      <c r="BL110" s="79">
        <v>0</v>
      </c>
      <c r="BM110" s="79">
        <v>0</v>
      </c>
      <c r="BN110" s="79">
        <v>0</v>
      </c>
      <c r="BO110" s="79">
        <v>200.42</v>
      </c>
    </row>
    <row r="111" spans="1:67" ht="15" customHeight="1">
      <c r="A111" s="66" t="s">
        <v>2251</v>
      </c>
      <c r="B111" s="66" t="s">
        <v>2252</v>
      </c>
      <c r="C111" s="150" t="s">
        <v>1136</v>
      </c>
      <c r="D111" s="150" t="s">
        <v>1135</v>
      </c>
      <c r="E111" s="150" t="s">
        <v>1145</v>
      </c>
      <c r="F111" s="150" t="s">
        <v>1137</v>
      </c>
      <c r="G111" s="511" t="s">
        <v>639</v>
      </c>
      <c r="H111" s="392" t="s">
        <v>1138</v>
      </c>
      <c r="I111" s="343"/>
      <c r="J111" s="343"/>
      <c r="K111" s="70" t="s">
        <v>51</v>
      </c>
      <c r="L111" s="346" t="s">
        <v>1139</v>
      </c>
      <c r="M111" s="346" t="s">
        <v>1140</v>
      </c>
      <c r="N111" s="346"/>
      <c r="O111" s="150" t="s">
        <v>25</v>
      </c>
      <c r="P111" s="150"/>
      <c r="Q111" s="403"/>
      <c r="R111" s="406">
        <v>0</v>
      </c>
      <c r="S111" s="406">
        <v>1312.56</v>
      </c>
      <c r="T111" s="425"/>
      <c r="U111" s="71"/>
      <c r="V111" s="426"/>
      <c r="W111" s="427">
        <v>1312.56</v>
      </c>
      <c r="X111" s="431">
        <v>0</v>
      </c>
      <c r="Y111" s="428">
        <v>0</v>
      </c>
      <c r="Z111" s="429">
        <v>0</v>
      </c>
      <c r="AA111" s="429">
        <v>0</v>
      </c>
      <c r="AB111" s="363" t="e">
        <v>#N/A</v>
      </c>
      <c r="AC111" s="360">
        <v>0</v>
      </c>
      <c r="AD111" s="360">
        <v>0</v>
      </c>
      <c r="AE111" s="360">
        <v>0</v>
      </c>
      <c r="AF111" s="360">
        <v>0</v>
      </c>
      <c r="AG111" s="360">
        <v>0</v>
      </c>
      <c r="AH111" s="360" t="e">
        <f t="shared" si="9"/>
        <v>#N/A</v>
      </c>
      <c r="AI111" s="362" t="e">
        <f>ERP[[#This Row],[2026 Working Total]]-ERP[[#This Row],[LE2 Final Submission]]</f>
        <v>#N/A</v>
      </c>
      <c r="AJ111" s="79" t="e">
        <v>#N/A</v>
      </c>
      <c r="AK111" s="79" t="e">
        <f t="shared" si="8"/>
        <v>#N/A</v>
      </c>
      <c r="AL111" s="374">
        <f>SUM(ERP[[#This Row],[AP01]:[AP06]])-SUM(ERP[[#This Row],[AP01 LE2]:[AP06 LE2]])</f>
        <v>0</v>
      </c>
      <c r="AM111" s="80"/>
      <c r="AN111" s="79" t="e">
        <f>ERP[[#This Row],[2026 Working Total to Budget/LE]]-ERP[[#This Row],[Giveback]]</f>
        <v>#N/A</v>
      </c>
      <c r="AO111" s="81"/>
      <c r="AP111" s="375"/>
      <c r="AQ111" s="375">
        <v>1312.56</v>
      </c>
      <c r="AR111" s="375">
        <v>0</v>
      </c>
      <c r="AS111" s="375">
        <v>0</v>
      </c>
      <c r="AT111" s="375">
        <v>0</v>
      </c>
      <c r="AU111" s="375">
        <v>0</v>
      </c>
      <c r="AV111" s="375">
        <v>0</v>
      </c>
      <c r="AW111" s="375">
        <v>0</v>
      </c>
      <c r="AX111" s="375">
        <v>0</v>
      </c>
      <c r="AY111" s="375">
        <v>0</v>
      </c>
      <c r="AZ111" s="375">
        <v>0</v>
      </c>
      <c r="BA111" s="375">
        <v>0</v>
      </c>
      <c r="BB111" s="375">
        <v>1312.56</v>
      </c>
      <c r="BC111" s="79"/>
      <c r="BD111" s="79">
        <v>1312.56</v>
      </c>
      <c r="BE111" s="79">
        <v>0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1312.56</v>
      </c>
    </row>
    <row r="112" spans="1:67" ht="15" customHeight="1">
      <c r="A112" s="66" t="s">
        <v>2665</v>
      </c>
      <c r="B112" s="66" t="s">
        <v>2666</v>
      </c>
      <c r="C112" s="150" t="s">
        <v>1136</v>
      </c>
      <c r="D112" s="150" t="s">
        <v>1345</v>
      </c>
      <c r="E112" s="150" t="s">
        <v>1437</v>
      </c>
      <c r="F112" s="150" t="s">
        <v>1346</v>
      </c>
      <c r="G112" s="511" t="s">
        <v>639</v>
      </c>
      <c r="H112" s="392" t="s">
        <v>1138</v>
      </c>
      <c r="I112" s="343"/>
      <c r="J112" s="343"/>
      <c r="K112" s="70" t="s">
        <v>51</v>
      </c>
      <c r="L112" s="346" t="s">
        <v>1139</v>
      </c>
      <c r="M112" s="346" t="s">
        <v>1140</v>
      </c>
      <c r="N112" s="346"/>
      <c r="O112" s="150" t="s">
        <v>25</v>
      </c>
      <c r="P112" s="150"/>
      <c r="Q112" s="403"/>
      <c r="R112" s="406">
        <v>0</v>
      </c>
      <c r="S112" s="406">
        <v>431.03</v>
      </c>
      <c r="T112" s="425"/>
      <c r="U112" s="71"/>
      <c r="V112" s="426"/>
      <c r="W112" s="427">
        <v>431.03</v>
      </c>
      <c r="X112" s="431">
        <v>0</v>
      </c>
      <c r="Y112" s="428">
        <v>0</v>
      </c>
      <c r="Z112" s="429">
        <v>0</v>
      </c>
      <c r="AA112" s="429">
        <v>0</v>
      </c>
      <c r="AB112" s="363" t="e">
        <v>#N/A</v>
      </c>
      <c r="AC112" s="360">
        <v>0</v>
      </c>
      <c r="AD112" s="360">
        <v>0</v>
      </c>
      <c r="AE112" s="360">
        <v>0</v>
      </c>
      <c r="AF112" s="360">
        <v>0</v>
      </c>
      <c r="AG112" s="360">
        <v>0</v>
      </c>
      <c r="AH112" s="360" t="e">
        <f t="shared" si="9"/>
        <v>#N/A</v>
      </c>
      <c r="AI112" s="362" t="e">
        <f>ERP[[#This Row],[2026 Working Total]]-ERP[[#This Row],[LE2 Final Submission]]</f>
        <v>#N/A</v>
      </c>
      <c r="AJ112" s="79" t="e">
        <v>#N/A</v>
      </c>
      <c r="AK112" s="79" t="e">
        <f t="shared" si="8"/>
        <v>#N/A</v>
      </c>
      <c r="AL112" s="374">
        <f>SUM(ERP[[#This Row],[AP01]:[AP06]])-SUM(ERP[[#This Row],[AP01 LE2]:[AP06 LE2]])</f>
        <v>0</v>
      </c>
      <c r="AM112" s="80"/>
      <c r="AN112" s="79" t="e">
        <f>ERP[[#This Row],[2026 Working Total to Budget/LE]]-ERP[[#This Row],[Giveback]]</f>
        <v>#N/A</v>
      </c>
      <c r="AO112" s="81"/>
      <c r="AP112" s="375"/>
      <c r="AQ112" s="375">
        <v>431.03</v>
      </c>
      <c r="AR112" s="375">
        <v>0</v>
      </c>
      <c r="AS112" s="375">
        <v>0</v>
      </c>
      <c r="AT112" s="375">
        <v>0</v>
      </c>
      <c r="AU112" s="375">
        <v>0</v>
      </c>
      <c r="AV112" s="375">
        <v>0</v>
      </c>
      <c r="AW112" s="375">
        <v>0</v>
      </c>
      <c r="AX112" s="375">
        <v>0</v>
      </c>
      <c r="AY112" s="375">
        <v>0</v>
      </c>
      <c r="AZ112" s="375">
        <v>0</v>
      </c>
      <c r="BA112" s="375">
        <v>0</v>
      </c>
      <c r="BB112" s="375">
        <v>431.03</v>
      </c>
      <c r="BC112" s="79"/>
      <c r="BD112" s="79">
        <v>431.03</v>
      </c>
      <c r="BE112" s="79">
        <v>0</v>
      </c>
      <c r="BF112" s="79">
        <v>0</v>
      </c>
      <c r="BG112" s="79">
        <v>0</v>
      </c>
      <c r="BH112" s="79">
        <v>0</v>
      </c>
      <c r="BI112" s="79">
        <v>0</v>
      </c>
      <c r="BJ112" s="79">
        <v>0</v>
      </c>
      <c r="BK112" s="79">
        <v>0</v>
      </c>
      <c r="BL112" s="79">
        <v>0</v>
      </c>
      <c r="BM112" s="79">
        <v>0</v>
      </c>
      <c r="BN112" s="79">
        <v>0</v>
      </c>
      <c r="BO112" s="79">
        <v>431.03</v>
      </c>
    </row>
    <row r="113" spans="1:67" ht="15" customHeight="1">
      <c r="A113" s="79" t="s">
        <v>1431</v>
      </c>
      <c r="B113" s="296" t="s">
        <v>197</v>
      </c>
      <c r="C113" s="150" t="s">
        <v>1136</v>
      </c>
      <c r="D113" s="332" t="s">
        <v>1345</v>
      </c>
      <c r="E113" s="383" t="s">
        <v>1345</v>
      </c>
      <c r="F113" s="331" t="s">
        <v>1346</v>
      </c>
      <c r="G113" s="512" t="s">
        <v>49</v>
      </c>
      <c r="H113" s="393" t="s">
        <v>1138</v>
      </c>
      <c r="I113" s="343"/>
      <c r="J113" s="331"/>
      <c r="K113" s="91" t="s">
        <v>51</v>
      </c>
      <c r="L113" s="346" t="s">
        <v>1139</v>
      </c>
      <c r="M113" s="346" t="s">
        <v>1140</v>
      </c>
      <c r="N113" s="348"/>
      <c r="O113" s="386" t="s">
        <v>25</v>
      </c>
      <c r="P113" s="387" t="s">
        <v>1348</v>
      </c>
      <c r="Q113" s="432"/>
      <c r="R113" s="358">
        <v>437.38</v>
      </c>
      <c r="S113" s="378">
        <v>0</v>
      </c>
      <c r="T113" s="430"/>
      <c r="U113" s="137"/>
      <c r="V113" s="433"/>
      <c r="W113" s="434"/>
      <c r="X113" s="434"/>
      <c r="Y113" s="428" t="s">
        <v>1142</v>
      </c>
      <c r="Z113" s="429">
        <v>0</v>
      </c>
      <c r="AA113" s="429">
        <v>0</v>
      </c>
      <c r="AB113" s="363" t="e">
        <v>#N/A</v>
      </c>
      <c r="AC113" s="388">
        <v>0</v>
      </c>
      <c r="AD113" s="388">
        <v>0</v>
      </c>
      <c r="AE113" s="388">
        <v>0</v>
      </c>
      <c r="AF113" s="388">
        <v>0</v>
      </c>
      <c r="AG113" s="388">
        <v>0</v>
      </c>
      <c r="AH113" s="360" t="e">
        <f t="shared" si="9"/>
        <v>#N/A</v>
      </c>
      <c r="AI113" s="362" t="e">
        <f>ERP[[#This Row],[2026 Working Total]]-ERP[[#This Row],[LE2 Final Submission]]</f>
        <v>#N/A</v>
      </c>
      <c r="AJ113" s="79" t="e">
        <v>#N/A</v>
      </c>
      <c r="AK113" s="79" t="e">
        <f t="shared" si="8"/>
        <v>#N/A</v>
      </c>
      <c r="AL113" s="374">
        <f>SUM(ERP[[#This Row],[AP01]:[AP06]])-SUM(ERP[[#This Row],[AP01 LE2]:[AP06 LE2]])</f>
        <v>0</v>
      </c>
      <c r="AM113" s="80"/>
      <c r="AN113" s="79" t="e">
        <f>ERP[[#This Row],[2026 Working Total to Budget/LE]]-ERP[[#This Row],[Giveback]]</f>
        <v>#N/A</v>
      </c>
      <c r="AO113" s="81"/>
      <c r="AP113" s="375"/>
      <c r="AQ113" s="375"/>
      <c r="AR113" s="375"/>
      <c r="AS113" s="375">
        <v>0</v>
      </c>
      <c r="AT113" s="375">
        <v>0</v>
      </c>
      <c r="AU113" s="375">
        <v>0</v>
      </c>
      <c r="AV113" s="375">
        <v>0</v>
      </c>
      <c r="AW113" s="375">
        <v>0</v>
      </c>
      <c r="AX113" s="375">
        <v>0</v>
      </c>
      <c r="AY113" s="375">
        <v>0</v>
      </c>
      <c r="AZ113" s="375">
        <v>0</v>
      </c>
      <c r="BA113" s="375">
        <v>0</v>
      </c>
      <c r="BB113" s="375">
        <v>0</v>
      </c>
      <c r="BC113" s="103">
        <v>0</v>
      </c>
      <c r="BD113" s="103">
        <v>437.38</v>
      </c>
      <c r="BE113" s="103">
        <v>0</v>
      </c>
      <c r="BF113" s="103">
        <v>0</v>
      </c>
      <c r="BG113" s="103">
        <v>0</v>
      </c>
      <c r="BH113" s="103">
        <v>0</v>
      </c>
      <c r="BI113" s="103">
        <v>0</v>
      </c>
      <c r="BJ113" s="103">
        <v>0</v>
      </c>
      <c r="BK113" s="103">
        <v>0</v>
      </c>
      <c r="BL113" s="103">
        <v>0</v>
      </c>
      <c r="BM113" s="103">
        <v>0</v>
      </c>
      <c r="BN113" s="103">
        <v>0</v>
      </c>
      <c r="BO113" s="79">
        <f>SUM(ERP[[#This Row],[2026 AP01]:[2026 AP12]])</f>
        <v>437.38</v>
      </c>
    </row>
    <row r="114" spans="1:67" ht="15" customHeight="1">
      <c r="A114" s="66" t="s">
        <v>2878</v>
      </c>
      <c r="B114" s="66" t="s">
        <v>2879</v>
      </c>
      <c r="C114" s="150" t="s">
        <v>1136</v>
      </c>
      <c r="D114" s="150" t="s">
        <v>1345</v>
      </c>
      <c r="E114" s="150" t="s">
        <v>1346</v>
      </c>
      <c r="F114" s="150" t="s">
        <v>1346</v>
      </c>
      <c r="G114" s="511" t="s">
        <v>22</v>
      </c>
      <c r="H114" s="392" t="s">
        <v>2868</v>
      </c>
      <c r="I114" s="343"/>
      <c r="J114" s="343"/>
      <c r="K114" s="70" t="s">
        <v>24</v>
      </c>
      <c r="L114" s="346" t="s">
        <v>1139</v>
      </c>
      <c r="M114" s="346" t="s">
        <v>1140</v>
      </c>
      <c r="N114" s="346"/>
      <c r="O114" s="150" t="s">
        <v>25</v>
      </c>
      <c r="P114" s="150"/>
      <c r="Q114" s="403"/>
      <c r="R114" s="406">
        <v>6952243.9899999993</v>
      </c>
      <c r="S114" s="406">
        <v>0</v>
      </c>
      <c r="T114" s="425"/>
      <c r="U114" s="71"/>
      <c r="V114" s="426"/>
      <c r="W114" s="427"/>
      <c r="X114" s="427"/>
      <c r="Y114" s="428" t="s">
        <v>1142</v>
      </c>
      <c r="Z114" s="429">
        <v>0</v>
      </c>
      <c r="AA114" s="429">
        <v>0</v>
      </c>
      <c r="AB114" s="363" t="e">
        <v>#N/A</v>
      </c>
      <c r="AC114" s="363"/>
      <c r="AD114" s="363"/>
      <c r="AE114" s="363"/>
      <c r="AF114" s="363"/>
      <c r="AG114" s="363"/>
      <c r="AH114" s="360" t="e">
        <f t="shared" si="9"/>
        <v>#N/A</v>
      </c>
      <c r="AI114" s="362" t="e">
        <f>ERP[[#This Row],[2026 Working Total]]-ERP[[#This Row],[LE2 Final Submission]]</f>
        <v>#N/A</v>
      </c>
      <c r="AJ114" s="79" t="e">
        <v>#N/A</v>
      </c>
      <c r="AK114" s="79" t="e">
        <f t="shared" si="8"/>
        <v>#N/A</v>
      </c>
      <c r="AL114" s="374">
        <f>SUM(ERP[[#This Row],[AP01]:[AP06]])-SUM(ERP[[#This Row],[AP01 LE2]:[AP06 LE2]])</f>
        <v>0</v>
      </c>
      <c r="AM114" s="80"/>
      <c r="AN114" s="79" t="e">
        <f>ERP[[#This Row],[2026 Working Total to Budget/LE]]-ERP[[#This Row],[Giveback]]</f>
        <v>#N/A</v>
      </c>
      <c r="AO114" s="81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>
        <v>0</v>
      </c>
      <c r="BC114" s="79">
        <v>423409.35</v>
      </c>
      <c r="BD114" s="79">
        <v>937161.13</v>
      </c>
      <c r="BE114" s="79">
        <v>426573.21</v>
      </c>
      <c r="BF114" s="79">
        <v>561924.32999999996</v>
      </c>
      <c r="BG114" s="79">
        <v>560912.64000000001</v>
      </c>
      <c r="BH114" s="79">
        <v>576476.29</v>
      </c>
      <c r="BI114" s="79">
        <v>585831.80000000005</v>
      </c>
      <c r="BJ114" s="79">
        <v>590499.77</v>
      </c>
      <c r="BK114" s="79">
        <v>590499.77</v>
      </c>
      <c r="BL114" s="79">
        <v>590499.77</v>
      </c>
      <c r="BM114" s="79">
        <v>592897.86</v>
      </c>
      <c r="BN114" s="79">
        <v>592897.86</v>
      </c>
      <c r="BO114" s="79">
        <v>7029583.7799999993</v>
      </c>
    </row>
    <row r="115" spans="1:67" ht="15" customHeight="1">
      <c r="A115" s="66" t="s">
        <v>2253</v>
      </c>
      <c r="B115" s="66" t="s">
        <v>2254</v>
      </c>
      <c r="C115" s="150" t="s">
        <v>1136</v>
      </c>
      <c r="D115" s="150" t="s">
        <v>1135</v>
      </c>
      <c r="E115" s="150" t="s">
        <v>1165</v>
      </c>
      <c r="F115" s="150" t="s">
        <v>1137</v>
      </c>
      <c r="G115" s="511" t="s">
        <v>639</v>
      </c>
      <c r="H115" s="392" t="s">
        <v>1138</v>
      </c>
      <c r="I115" s="343"/>
      <c r="J115" s="343"/>
      <c r="K115" s="70" t="s">
        <v>51</v>
      </c>
      <c r="L115" s="346" t="s">
        <v>1139</v>
      </c>
      <c r="M115" s="346" t="s">
        <v>1140</v>
      </c>
      <c r="N115" s="346"/>
      <c r="O115" s="150" t="s">
        <v>25</v>
      </c>
      <c r="P115" s="150"/>
      <c r="Q115" s="403"/>
      <c r="R115" s="406">
        <v>0</v>
      </c>
      <c r="S115" s="406">
        <v>3879.27</v>
      </c>
      <c r="T115" s="425"/>
      <c r="U115" s="71"/>
      <c r="V115" s="426"/>
      <c r="W115" s="427">
        <v>3879.27</v>
      </c>
      <c r="X115" s="431">
        <v>0</v>
      </c>
      <c r="Y115" s="428">
        <v>0</v>
      </c>
      <c r="Z115" s="429">
        <v>0</v>
      </c>
      <c r="AA115" s="429">
        <v>0</v>
      </c>
      <c r="AB115" s="363" t="e">
        <v>#N/A</v>
      </c>
      <c r="AC115" s="360">
        <v>0</v>
      </c>
      <c r="AD115" s="360">
        <v>0</v>
      </c>
      <c r="AE115" s="360">
        <v>0</v>
      </c>
      <c r="AF115" s="360">
        <v>0</v>
      </c>
      <c r="AG115" s="360">
        <v>0</v>
      </c>
      <c r="AH115" s="360" t="e">
        <f t="shared" si="9"/>
        <v>#N/A</v>
      </c>
      <c r="AI115" s="362" t="e">
        <f>ERP[[#This Row],[2026 Working Total]]-ERP[[#This Row],[LE2 Final Submission]]</f>
        <v>#N/A</v>
      </c>
      <c r="AJ115" s="79" t="e">
        <v>#N/A</v>
      </c>
      <c r="AK115" s="79" t="e">
        <f t="shared" si="8"/>
        <v>#N/A</v>
      </c>
      <c r="AL115" s="374">
        <f>SUM(ERP[[#This Row],[AP01]:[AP06]])-SUM(ERP[[#This Row],[AP01 LE2]:[AP06 LE2]])</f>
        <v>0</v>
      </c>
      <c r="AM115" s="80"/>
      <c r="AN115" s="79" t="e">
        <f>ERP[[#This Row],[2026 Working Total to Budget/LE]]-ERP[[#This Row],[Giveback]]</f>
        <v>#N/A</v>
      </c>
      <c r="AO115" s="81"/>
      <c r="AP115" s="375"/>
      <c r="AQ115" s="375">
        <v>3879.27</v>
      </c>
      <c r="AR115" s="375">
        <v>0</v>
      </c>
      <c r="AS115" s="375">
        <v>0</v>
      </c>
      <c r="AT115" s="375">
        <v>0</v>
      </c>
      <c r="AU115" s="375">
        <v>0</v>
      </c>
      <c r="AV115" s="375">
        <v>0</v>
      </c>
      <c r="AW115" s="375">
        <v>0</v>
      </c>
      <c r="AX115" s="375">
        <v>0</v>
      </c>
      <c r="AY115" s="375">
        <v>0</v>
      </c>
      <c r="AZ115" s="375">
        <v>0</v>
      </c>
      <c r="BA115" s="375">
        <v>0</v>
      </c>
      <c r="BB115" s="375">
        <v>3879.27</v>
      </c>
      <c r="BC115" s="79"/>
      <c r="BD115" s="79">
        <v>3879.27</v>
      </c>
      <c r="BE115" s="79">
        <v>0</v>
      </c>
      <c r="BF115" s="79">
        <v>0</v>
      </c>
      <c r="BG115" s="79">
        <v>0</v>
      </c>
      <c r="BH115" s="79">
        <v>0</v>
      </c>
      <c r="BI115" s="79">
        <v>0</v>
      </c>
      <c r="BJ115" s="79">
        <v>0</v>
      </c>
      <c r="BK115" s="79">
        <v>0</v>
      </c>
      <c r="BL115" s="79">
        <v>0</v>
      </c>
      <c r="BM115" s="79">
        <v>0</v>
      </c>
      <c r="BN115" s="79">
        <v>0</v>
      </c>
      <c r="BO115" s="79">
        <v>3879.27</v>
      </c>
    </row>
    <row r="116" spans="1:67" ht="15" customHeight="1">
      <c r="A116" s="66" t="s">
        <v>2867</v>
      </c>
      <c r="B116" s="66" t="s">
        <v>30</v>
      </c>
      <c r="C116" s="150" t="s">
        <v>1136</v>
      </c>
      <c r="D116" s="150" t="s">
        <v>1345</v>
      </c>
      <c r="E116" s="150" t="s">
        <v>1344</v>
      </c>
      <c r="F116" s="150" t="s">
        <v>1346</v>
      </c>
      <c r="G116" s="511" t="s">
        <v>22</v>
      </c>
      <c r="H116" s="392" t="s">
        <v>2868</v>
      </c>
      <c r="I116" s="343"/>
      <c r="J116" s="343"/>
      <c r="K116" s="70" t="s">
        <v>24</v>
      </c>
      <c r="L116" s="346" t="s">
        <v>1139</v>
      </c>
      <c r="M116" s="346" t="s">
        <v>1140</v>
      </c>
      <c r="N116" s="346"/>
      <c r="O116" s="150" t="s">
        <v>25</v>
      </c>
      <c r="P116" s="150"/>
      <c r="Q116" s="403"/>
      <c r="R116" s="406">
        <v>0</v>
      </c>
      <c r="S116" s="406">
        <v>0</v>
      </c>
      <c r="T116" s="425"/>
      <c r="U116" s="71"/>
      <c r="V116" s="426"/>
      <c r="W116" s="427"/>
      <c r="X116" s="427"/>
      <c r="Y116" s="428" t="s">
        <v>1142</v>
      </c>
      <c r="Z116" s="429">
        <v>0</v>
      </c>
      <c r="AA116" s="429">
        <v>0</v>
      </c>
      <c r="AB116" s="363" t="e">
        <v>#N/A</v>
      </c>
      <c r="AC116" s="360">
        <v>0</v>
      </c>
      <c r="AD116" s="360">
        <v>0</v>
      </c>
      <c r="AE116" s="360">
        <v>0</v>
      </c>
      <c r="AF116" s="360">
        <v>0</v>
      </c>
      <c r="AG116" s="360">
        <v>0</v>
      </c>
      <c r="AH116" s="360" t="e">
        <f t="shared" si="9"/>
        <v>#N/A</v>
      </c>
      <c r="AI116" s="362" t="e">
        <f>ERP[[#This Row],[2026 Working Total]]-ERP[[#This Row],[LE2 Final Submission]]</f>
        <v>#N/A</v>
      </c>
      <c r="AJ116" s="79" t="e">
        <v>#N/A</v>
      </c>
      <c r="AK116" s="79" t="e">
        <f t="shared" si="8"/>
        <v>#N/A</v>
      </c>
      <c r="AL116" s="374">
        <f>SUM(ERP[[#This Row],[AP01]:[AP06]])-SUM(ERP[[#This Row],[AP01 LE2]:[AP06 LE2]])</f>
        <v>0</v>
      </c>
      <c r="AM116" s="80"/>
      <c r="AN116" s="79" t="e">
        <f>ERP[[#This Row],[2026 Working Total to Budget/LE]]-ERP[[#This Row],[Giveback]]</f>
        <v>#N/A</v>
      </c>
      <c r="AO116" s="81"/>
      <c r="AP116" s="375"/>
      <c r="AQ116" s="375"/>
      <c r="AR116" s="375"/>
      <c r="AS116" s="375">
        <v>0</v>
      </c>
      <c r="AT116" s="375">
        <v>0</v>
      </c>
      <c r="AU116" s="375">
        <v>0</v>
      </c>
      <c r="AV116" s="375">
        <v>0</v>
      </c>
      <c r="AW116" s="375">
        <v>0</v>
      </c>
      <c r="AX116" s="375">
        <v>0</v>
      </c>
      <c r="AY116" s="375">
        <v>0</v>
      </c>
      <c r="AZ116" s="375">
        <v>0</v>
      </c>
      <c r="BA116" s="375">
        <v>0</v>
      </c>
      <c r="BB116" s="375">
        <v>0</v>
      </c>
      <c r="BC116" s="79">
        <v>3835.35</v>
      </c>
      <c r="BD116" s="79">
        <v>2416.25</v>
      </c>
      <c r="BE116" s="79">
        <v>3735.66</v>
      </c>
      <c r="BF116" s="79">
        <v>0</v>
      </c>
      <c r="BG116" s="79">
        <v>0</v>
      </c>
      <c r="BH116" s="79">
        <v>0</v>
      </c>
      <c r="BI116" s="79">
        <v>0</v>
      </c>
      <c r="BJ116" s="79">
        <v>0</v>
      </c>
      <c r="BK116" s="79">
        <v>0</v>
      </c>
      <c r="BL116" s="79">
        <v>0</v>
      </c>
      <c r="BM116" s="79">
        <v>0</v>
      </c>
      <c r="BN116" s="79">
        <v>0</v>
      </c>
      <c r="BO116" s="79">
        <v>9987.26</v>
      </c>
    </row>
    <row r="117" spans="1:67" ht="15" customHeight="1">
      <c r="A117" s="66" t="s">
        <v>2875</v>
      </c>
      <c r="B117" s="66" t="s">
        <v>34</v>
      </c>
      <c r="C117" s="150" t="s">
        <v>1136</v>
      </c>
      <c r="D117" s="150" t="s">
        <v>1345</v>
      </c>
      <c r="E117" s="150" t="s">
        <v>1515</v>
      </c>
      <c r="F117" s="150" t="s">
        <v>1346</v>
      </c>
      <c r="G117" s="511" t="s">
        <v>22</v>
      </c>
      <c r="H117" s="392" t="s">
        <v>2868</v>
      </c>
      <c r="I117" s="343"/>
      <c r="J117" s="343"/>
      <c r="K117" s="70" t="s">
        <v>24</v>
      </c>
      <c r="L117" s="346" t="s">
        <v>1139</v>
      </c>
      <c r="M117" s="346" t="s">
        <v>1140</v>
      </c>
      <c r="N117" s="346"/>
      <c r="O117" s="150" t="s">
        <v>25</v>
      </c>
      <c r="P117" s="150"/>
      <c r="Q117" s="403"/>
      <c r="R117" s="406">
        <v>0</v>
      </c>
      <c r="S117" s="406">
        <v>0</v>
      </c>
      <c r="T117" s="425"/>
      <c r="U117" s="71"/>
      <c r="V117" s="426"/>
      <c r="W117" s="427"/>
      <c r="X117" s="427"/>
      <c r="Y117" s="428" t="s">
        <v>1142</v>
      </c>
      <c r="Z117" s="429">
        <v>0</v>
      </c>
      <c r="AA117" s="429">
        <v>0</v>
      </c>
      <c r="AB117" s="363" t="e">
        <v>#N/A</v>
      </c>
      <c r="AC117" s="360">
        <v>0</v>
      </c>
      <c r="AD117" s="360">
        <v>0</v>
      </c>
      <c r="AE117" s="360">
        <v>0</v>
      </c>
      <c r="AF117" s="360">
        <v>0</v>
      </c>
      <c r="AG117" s="360">
        <v>0</v>
      </c>
      <c r="AH117" s="360" t="e">
        <f t="shared" si="9"/>
        <v>#N/A</v>
      </c>
      <c r="AI117" s="362" t="e">
        <f>ERP[[#This Row],[2026 Working Total]]-ERP[[#This Row],[LE2 Final Submission]]</f>
        <v>#N/A</v>
      </c>
      <c r="AJ117" s="79" t="e">
        <v>#N/A</v>
      </c>
      <c r="AK117" s="79" t="e">
        <f t="shared" si="8"/>
        <v>#N/A</v>
      </c>
      <c r="AL117" s="374">
        <f>SUM(ERP[[#This Row],[AP01]:[AP06]])-SUM(ERP[[#This Row],[AP01 LE2]:[AP06 LE2]])</f>
        <v>0</v>
      </c>
      <c r="AM117" s="80"/>
      <c r="AN117" s="79" t="e">
        <f>ERP[[#This Row],[2026 Working Total to Budget/LE]]-ERP[[#This Row],[Giveback]]</f>
        <v>#N/A</v>
      </c>
      <c r="AO117" s="81"/>
      <c r="AP117" s="375"/>
      <c r="AQ117" s="375"/>
      <c r="AR117" s="375"/>
      <c r="AS117" s="375">
        <v>0</v>
      </c>
      <c r="AT117" s="375">
        <v>0</v>
      </c>
      <c r="AU117" s="375">
        <v>0</v>
      </c>
      <c r="AV117" s="375">
        <v>0</v>
      </c>
      <c r="AW117" s="375">
        <v>0</v>
      </c>
      <c r="AX117" s="375">
        <v>0</v>
      </c>
      <c r="AY117" s="375">
        <v>0</v>
      </c>
      <c r="AZ117" s="375">
        <v>0</v>
      </c>
      <c r="BA117" s="375">
        <v>0</v>
      </c>
      <c r="BB117" s="375">
        <v>0</v>
      </c>
      <c r="BC117" s="79">
        <v>1989.38</v>
      </c>
      <c r="BD117" s="79">
        <v>2792.24</v>
      </c>
      <c r="BE117" s="79">
        <v>4195.3599999999997</v>
      </c>
      <c r="BF117" s="79">
        <v>0</v>
      </c>
      <c r="BG117" s="79">
        <v>0</v>
      </c>
      <c r="BH117" s="79">
        <v>0</v>
      </c>
      <c r="BI117" s="79">
        <v>0</v>
      </c>
      <c r="BJ117" s="79">
        <v>0</v>
      </c>
      <c r="BK117" s="79">
        <v>0</v>
      </c>
      <c r="BL117" s="79">
        <v>0</v>
      </c>
      <c r="BM117" s="79">
        <v>0</v>
      </c>
      <c r="BN117" s="79">
        <v>0</v>
      </c>
      <c r="BO117" s="79">
        <v>8976.98</v>
      </c>
    </row>
    <row r="118" spans="1:67" ht="15" customHeight="1">
      <c r="A118" s="66" t="s">
        <v>2899</v>
      </c>
      <c r="B118" s="66" t="s">
        <v>23</v>
      </c>
      <c r="C118" s="150" t="s">
        <v>1136</v>
      </c>
      <c r="D118" s="150" t="s">
        <v>1135</v>
      </c>
      <c r="E118" s="150" t="s">
        <v>1135</v>
      </c>
      <c r="F118" s="150" t="s">
        <v>1137</v>
      </c>
      <c r="G118" s="511" t="s">
        <v>22</v>
      </c>
      <c r="H118" s="392" t="s">
        <v>2868</v>
      </c>
      <c r="I118" s="343"/>
      <c r="J118" s="343"/>
      <c r="K118" s="70" t="s">
        <v>24</v>
      </c>
      <c r="L118" s="346" t="s">
        <v>1139</v>
      </c>
      <c r="M118" s="346" t="s">
        <v>1140</v>
      </c>
      <c r="N118" s="346"/>
      <c r="O118" s="150" t="s">
        <v>25</v>
      </c>
      <c r="P118" s="150"/>
      <c r="Q118" s="403"/>
      <c r="R118" s="406">
        <v>0</v>
      </c>
      <c r="S118" s="406">
        <v>0</v>
      </c>
      <c r="T118" s="425"/>
      <c r="U118" s="71"/>
      <c r="V118" s="426"/>
      <c r="W118" s="427"/>
      <c r="X118" s="427"/>
      <c r="Y118" s="428" t="s">
        <v>1142</v>
      </c>
      <c r="Z118" s="429">
        <v>0</v>
      </c>
      <c r="AA118" s="429">
        <v>0</v>
      </c>
      <c r="AB118" s="363" t="e">
        <v>#N/A</v>
      </c>
      <c r="AC118" s="360">
        <v>0</v>
      </c>
      <c r="AD118" s="360">
        <v>0</v>
      </c>
      <c r="AE118" s="360">
        <v>0</v>
      </c>
      <c r="AF118" s="360">
        <v>0</v>
      </c>
      <c r="AG118" s="360">
        <v>0</v>
      </c>
      <c r="AH118" s="360" t="e">
        <f t="shared" si="9"/>
        <v>#N/A</v>
      </c>
      <c r="AI118" s="365" t="e">
        <f>ERP[[#This Row],[2026 Working Total]]-ERP[[#This Row],[LE2 Final Submission]]</f>
        <v>#N/A</v>
      </c>
      <c r="AJ118" s="79" t="e">
        <v>#N/A</v>
      </c>
      <c r="AK118" s="79" t="e">
        <f t="shared" si="8"/>
        <v>#N/A</v>
      </c>
      <c r="AL118" s="374">
        <f>SUM(ERP[[#This Row],[AP01]:[AP06]])-SUM(ERP[[#This Row],[AP01 LE2]:[AP06 LE2]])</f>
        <v>0</v>
      </c>
      <c r="AM118" s="80"/>
      <c r="AN118" s="79" t="e">
        <f>ERP[[#This Row],[2026 Working Total to Budget/LE]]-ERP[[#This Row],[Giveback]]</f>
        <v>#N/A</v>
      </c>
      <c r="AO118" s="81"/>
      <c r="AP118" s="375"/>
      <c r="AQ118" s="375"/>
      <c r="AR118" s="375"/>
      <c r="AS118" s="375">
        <v>0</v>
      </c>
      <c r="AT118" s="375">
        <v>0</v>
      </c>
      <c r="AU118" s="375">
        <v>0</v>
      </c>
      <c r="AV118" s="375">
        <v>0</v>
      </c>
      <c r="AW118" s="375">
        <v>0</v>
      </c>
      <c r="AX118" s="375">
        <v>0</v>
      </c>
      <c r="AY118" s="375">
        <v>0</v>
      </c>
      <c r="AZ118" s="375">
        <v>0</v>
      </c>
      <c r="BA118" s="375">
        <v>0</v>
      </c>
      <c r="BB118" s="375">
        <v>0</v>
      </c>
      <c r="BC118" s="79">
        <v>267678</v>
      </c>
      <c r="BD118" s="79">
        <v>267678</v>
      </c>
      <c r="BE118" s="79">
        <v>267678</v>
      </c>
      <c r="BF118" s="79">
        <v>0</v>
      </c>
      <c r="BG118" s="79">
        <v>0</v>
      </c>
      <c r="BH118" s="79">
        <v>0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803034</v>
      </c>
    </row>
    <row r="119" spans="1:67" ht="15" customHeight="1">
      <c r="A119" s="66" t="s">
        <v>2880</v>
      </c>
      <c r="B119" s="66" t="s">
        <v>2881</v>
      </c>
      <c r="C119" s="150" t="s">
        <v>1136</v>
      </c>
      <c r="D119" s="150" t="s">
        <v>1567</v>
      </c>
      <c r="E119" s="150" t="s">
        <v>1567</v>
      </c>
      <c r="F119" s="150" t="s">
        <v>1567</v>
      </c>
      <c r="G119" s="511" t="s">
        <v>22</v>
      </c>
      <c r="H119" s="392" t="s">
        <v>2868</v>
      </c>
      <c r="I119" s="343"/>
      <c r="J119" s="343"/>
      <c r="K119" s="70" t="s">
        <v>24</v>
      </c>
      <c r="L119" s="346" t="s">
        <v>1139</v>
      </c>
      <c r="M119" s="346" t="s">
        <v>1140</v>
      </c>
      <c r="N119" s="346"/>
      <c r="O119" s="150" t="s">
        <v>25</v>
      </c>
      <c r="P119" s="150"/>
      <c r="Q119" s="403"/>
      <c r="R119" s="406">
        <v>330694.30999999988</v>
      </c>
      <c r="S119" s="406">
        <v>0</v>
      </c>
      <c r="T119" s="425"/>
      <c r="U119" s="71"/>
      <c r="V119" s="426"/>
      <c r="W119" s="427"/>
      <c r="X119" s="427"/>
      <c r="Y119" s="428" t="s">
        <v>1142</v>
      </c>
      <c r="Z119" s="429">
        <v>0</v>
      </c>
      <c r="AA119" s="429">
        <v>0</v>
      </c>
      <c r="AB119" s="363" t="e">
        <v>#N/A</v>
      </c>
      <c r="AC119" s="363"/>
      <c r="AD119" s="363"/>
      <c r="AE119" s="363"/>
      <c r="AF119" s="363"/>
      <c r="AG119" s="363"/>
      <c r="AH119" s="360" t="e">
        <f t="shared" si="9"/>
        <v>#N/A</v>
      </c>
      <c r="AI119" s="362" t="e">
        <f>ERP[[#This Row],[2026 Working Total]]-ERP[[#This Row],[LE2 Final Submission]]</f>
        <v>#N/A</v>
      </c>
      <c r="AJ119" s="79" t="e">
        <v>#N/A</v>
      </c>
      <c r="AK119" s="79" t="e">
        <f t="shared" si="8"/>
        <v>#N/A</v>
      </c>
      <c r="AL119" s="374">
        <f>SUM(ERP[[#This Row],[AP01]:[AP06]])-SUM(ERP[[#This Row],[AP01 LE2]:[AP06 LE2]])</f>
        <v>0</v>
      </c>
      <c r="AM119" s="80"/>
      <c r="AN119" s="79" t="e">
        <f>ERP[[#This Row],[2026 Working Total to Budget/LE]]-ERP[[#This Row],[Giveback]]</f>
        <v>#N/A</v>
      </c>
      <c r="AO119" s="81"/>
      <c r="AP119" s="375"/>
      <c r="AQ119" s="375"/>
      <c r="AR119" s="375"/>
      <c r="AS119" s="375"/>
      <c r="AT119" s="375"/>
      <c r="AU119" s="375"/>
      <c r="AV119" s="375"/>
      <c r="AW119" s="375"/>
      <c r="AX119" s="375"/>
      <c r="AY119" s="375"/>
      <c r="AZ119" s="375"/>
      <c r="BA119" s="375"/>
      <c r="BB119" s="375">
        <v>0</v>
      </c>
      <c r="BC119" s="79">
        <v>92230.9</v>
      </c>
      <c r="BD119" s="79">
        <v>-4919.59</v>
      </c>
      <c r="BE119" s="79">
        <v>59978.67</v>
      </c>
      <c r="BF119" s="79">
        <v>20638.45</v>
      </c>
      <c r="BG119" s="79">
        <v>34028.449999999997</v>
      </c>
      <c r="BH119" s="79">
        <v>32963.75</v>
      </c>
      <c r="BI119" s="79">
        <v>22316.67</v>
      </c>
      <c r="BJ119" s="79">
        <v>22316.67</v>
      </c>
      <c r="BK119" s="79">
        <v>22316.67</v>
      </c>
      <c r="BL119" s="79">
        <v>22316.67</v>
      </c>
      <c r="BM119" s="79">
        <v>22316.67</v>
      </c>
      <c r="BN119" s="79">
        <v>22316.67</v>
      </c>
      <c r="BO119" s="79">
        <v>368820.64999999991</v>
      </c>
    </row>
    <row r="120" spans="1:67" ht="15" customHeight="1">
      <c r="A120" s="66" t="s">
        <v>2896</v>
      </c>
      <c r="B120" s="66" t="s">
        <v>45</v>
      </c>
      <c r="C120" s="150" t="s">
        <v>1136</v>
      </c>
      <c r="D120" s="150" t="s">
        <v>1650</v>
      </c>
      <c r="E120" s="150" t="s">
        <v>1650</v>
      </c>
      <c r="F120" s="150" t="s">
        <v>1650</v>
      </c>
      <c r="G120" s="511" t="s">
        <v>22</v>
      </c>
      <c r="H120" s="392" t="s">
        <v>2868</v>
      </c>
      <c r="I120" s="343"/>
      <c r="J120" s="343"/>
      <c r="K120" s="70" t="s">
        <v>24</v>
      </c>
      <c r="L120" s="346" t="s">
        <v>1139</v>
      </c>
      <c r="M120" s="346" t="s">
        <v>1140</v>
      </c>
      <c r="N120" s="346"/>
      <c r="O120" s="150" t="s">
        <v>25</v>
      </c>
      <c r="P120" s="150"/>
      <c r="Q120" s="403"/>
      <c r="R120" s="406">
        <v>763217.94999999984</v>
      </c>
      <c r="S120" s="406">
        <v>0</v>
      </c>
      <c r="T120" s="425"/>
      <c r="U120" s="71"/>
      <c r="V120" s="426"/>
      <c r="W120" s="427"/>
      <c r="X120" s="427"/>
      <c r="Y120" s="428" t="s">
        <v>1142</v>
      </c>
      <c r="Z120" s="429">
        <v>0</v>
      </c>
      <c r="AA120" s="429">
        <v>0</v>
      </c>
      <c r="AB120" s="363" t="e">
        <v>#N/A</v>
      </c>
      <c r="AC120" s="363"/>
      <c r="AD120" s="363"/>
      <c r="AE120" s="363"/>
      <c r="AF120" s="363"/>
      <c r="AG120" s="363"/>
      <c r="AH120" s="360" t="e">
        <f t="shared" si="9"/>
        <v>#N/A</v>
      </c>
      <c r="AI120" s="362" t="e">
        <f>ERP[[#This Row],[2026 Working Total]]-ERP[[#This Row],[LE2 Final Submission]]</f>
        <v>#N/A</v>
      </c>
      <c r="AJ120" s="79" t="e">
        <v>#N/A</v>
      </c>
      <c r="AK120" s="79" t="e">
        <f t="shared" si="8"/>
        <v>#N/A</v>
      </c>
      <c r="AL120" s="374">
        <f>SUM(ERP[[#This Row],[AP01]:[AP06]])-SUM(ERP[[#This Row],[AP01 LE2]:[AP06 LE2]])</f>
        <v>0</v>
      </c>
      <c r="AM120" s="80"/>
      <c r="AN120" s="79" t="e">
        <f>ERP[[#This Row],[2026 Working Total to Budget/LE]]-ERP[[#This Row],[Giveback]]</f>
        <v>#N/A</v>
      </c>
      <c r="AO120" s="81"/>
      <c r="AP120" s="375"/>
      <c r="AQ120" s="375"/>
      <c r="AR120" s="375"/>
      <c r="AS120" s="375"/>
      <c r="AT120" s="375"/>
      <c r="AU120" s="375"/>
      <c r="AV120" s="375"/>
      <c r="AW120" s="375"/>
      <c r="AX120" s="375"/>
      <c r="AY120" s="375"/>
      <c r="AZ120" s="375"/>
      <c r="BA120" s="375"/>
      <c r="BB120" s="375">
        <v>0</v>
      </c>
      <c r="BC120" s="79">
        <v>60869.22</v>
      </c>
      <c r="BD120" s="79">
        <v>66348.7</v>
      </c>
      <c r="BE120" s="79">
        <v>65556.320000000007</v>
      </c>
      <c r="BF120" s="79">
        <v>66648.33</v>
      </c>
      <c r="BG120" s="79">
        <v>58804.22</v>
      </c>
      <c r="BH120" s="79">
        <v>58804.22</v>
      </c>
      <c r="BI120" s="79">
        <v>58804.22</v>
      </c>
      <c r="BJ120" s="79">
        <v>66557.960000000006</v>
      </c>
      <c r="BK120" s="79">
        <v>66703.34</v>
      </c>
      <c r="BL120" s="79">
        <v>66703.34</v>
      </c>
      <c r="BM120" s="79">
        <v>66703.34</v>
      </c>
      <c r="BN120" s="79">
        <v>66703.34</v>
      </c>
      <c r="BO120" s="79">
        <v>769206.54999999993</v>
      </c>
    </row>
    <row r="121" spans="1:67" ht="15" customHeight="1">
      <c r="A121" s="66" t="s">
        <v>2882</v>
      </c>
      <c r="B121" s="66" t="s">
        <v>2883</v>
      </c>
      <c r="C121" s="150" t="s">
        <v>1136</v>
      </c>
      <c r="D121" s="150" t="s">
        <v>1567</v>
      </c>
      <c r="E121" s="150" t="s">
        <v>1567</v>
      </c>
      <c r="F121" s="150" t="s">
        <v>1567</v>
      </c>
      <c r="G121" s="511" t="s">
        <v>22</v>
      </c>
      <c r="H121" s="392" t="s">
        <v>2884</v>
      </c>
      <c r="I121" s="343"/>
      <c r="J121" s="343"/>
      <c r="K121" s="70" t="s">
        <v>39</v>
      </c>
      <c r="L121" s="346"/>
      <c r="M121" s="346" t="s">
        <v>1140</v>
      </c>
      <c r="N121" s="346"/>
      <c r="O121" s="150" t="s">
        <v>25</v>
      </c>
      <c r="P121" s="150"/>
      <c r="Q121" s="403"/>
      <c r="R121" s="406">
        <v>144000</v>
      </c>
      <c r="S121" s="406">
        <v>108000</v>
      </c>
      <c r="T121" s="425"/>
      <c r="U121" s="71"/>
      <c r="V121" s="426"/>
      <c r="W121" s="427"/>
      <c r="X121" s="427"/>
      <c r="Y121" s="428" t="s">
        <v>1142</v>
      </c>
      <c r="Z121" s="429">
        <v>0</v>
      </c>
      <c r="AA121" s="429">
        <v>0</v>
      </c>
      <c r="AB121" s="363" t="e">
        <v>#N/A</v>
      </c>
      <c r="AC121" s="363">
        <v>12000</v>
      </c>
      <c r="AD121" s="363">
        <v>12000</v>
      </c>
      <c r="AE121" s="363">
        <v>12000</v>
      </c>
      <c r="AF121" s="363">
        <v>12000</v>
      </c>
      <c r="AG121" s="363">
        <v>12000</v>
      </c>
      <c r="AH121" s="360" t="e">
        <f t="shared" si="9"/>
        <v>#N/A</v>
      </c>
      <c r="AI121" s="362" t="e">
        <f>ERP[[#This Row],[2026 Working Total]]-ERP[[#This Row],[LE2 Final Submission]]</f>
        <v>#N/A</v>
      </c>
      <c r="AJ121" s="79" t="e">
        <v>#N/A</v>
      </c>
      <c r="AK121" s="79" t="e">
        <f t="shared" si="8"/>
        <v>#N/A</v>
      </c>
      <c r="AL121" s="374">
        <f>SUM(ERP[[#This Row],[AP01]:[AP06]])-SUM(ERP[[#This Row],[AP01 LE2]:[AP06 LE2]])</f>
        <v>-36000</v>
      </c>
      <c r="AM121" s="80"/>
      <c r="AN121" s="79" t="e">
        <f>ERP[[#This Row],[2026 Working Total to Budget/LE]]-ERP[[#This Row],[Giveback]]</f>
        <v>#N/A</v>
      </c>
      <c r="AO121" s="81"/>
      <c r="AP121" s="375"/>
      <c r="AQ121" s="375"/>
      <c r="AR121" s="375"/>
      <c r="AS121" s="375">
        <v>12000</v>
      </c>
      <c r="AT121" s="375">
        <v>12000</v>
      </c>
      <c r="AU121" s="375">
        <v>12000</v>
      </c>
      <c r="AV121" s="375">
        <v>12000</v>
      </c>
      <c r="AW121" s="375">
        <v>12000</v>
      </c>
      <c r="AX121" s="375">
        <v>12000</v>
      </c>
      <c r="AY121" s="375">
        <v>12000</v>
      </c>
      <c r="AZ121" s="375">
        <v>12000</v>
      </c>
      <c r="BA121" s="375">
        <v>12000</v>
      </c>
      <c r="BB121" s="375">
        <v>108000</v>
      </c>
      <c r="BC121" s="79"/>
      <c r="BD121" s="79"/>
      <c r="BE121" s="79"/>
      <c r="BF121" s="79">
        <v>12000</v>
      </c>
      <c r="BG121" s="79">
        <v>12000</v>
      </c>
      <c r="BH121" s="79">
        <v>12000</v>
      </c>
      <c r="BI121" s="79">
        <v>12000</v>
      </c>
      <c r="BJ121" s="79">
        <v>12000</v>
      </c>
      <c r="BK121" s="79">
        <v>12000</v>
      </c>
      <c r="BL121" s="79">
        <v>12000</v>
      </c>
      <c r="BM121" s="79">
        <v>12000</v>
      </c>
      <c r="BN121" s="79">
        <v>12000</v>
      </c>
      <c r="BO121" s="79">
        <v>108000</v>
      </c>
    </row>
    <row r="122" spans="1:67" ht="15" customHeight="1">
      <c r="A122" s="66" t="s">
        <v>2885</v>
      </c>
      <c r="B122" s="66" t="s">
        <v>2886</v>
      </c>
      <c r="C122" s="150" t="s">
        <v>1136</v>
      </c>
      <c r="D122" s="150" t="s">
        <v>1345</v>
      </c>
      <c r="E122" s="150" t="s">
        <v>1346</v>
      </c>
      <c r="F122" s="150" t="s">
        <v>1346</v>
      </c>
      <c r="G122" s="511" t="s">
        <v>22</v>
      </c>
      <c r="H122" s="392" t="s">
        <v>2870</v>
      </c>
      <c r="I122" s="343"/>
      <c r="J122" s="343"/>
      <c r="K122" s="70" t="s">
        <v>27</v>
      </c>
      <c r="L122" s="346" t="s">
        <v>1139</v>
      </c>
      <c r="M122" s="346" t="s">
        <v>1140</v>
      </c>
      <c r="N122" s="346"/>
      <c r="O122" s="150" t="s">
        <v>25</v>
      </c>
      <c r="P122" s="150"/>
      <c r="Q122" s="403"/>
      <c r="R122" s="406">
        <v>2865793.42</v>
      </c>
      <c r="S122" s="406">
        <v>0</v>
      </c>
      <c r="T122" s="425"/>
      <c r="U122" s="71"/>
      <c r="V122" s="426"/>
      <c r="W122" s="427"/>
      <c r="X122" s="427"/>
      <c r="Y122" s="428" t="s">
        <v>1142</v>
      </c>
      <c r="Z122" s="429">
        <v>0</v>
      </c>
      <c r="AA122" s="429">
        <v>0</v>
      </c>
      <c r="AB122" s="363" t="e">
        <v>#N/A</v>
      </c>
      <c r="AC122" s="363"/>
      <c r="AD122" s="363"/>
      <c r="AE122" s="363"/>
      <c r="AF122" s="363"/>
      <c r="AG122" s="363"/>
      <c r="AH122" s="360" t="e">
        <f t="shared" si="9"/>
        <v>#N/A</v>
      </c>
      <c r="AI122" s="362" t="e">
        <f>ERP[[#This Row],[2026 Working Total]]-ERP[[#This Row],[LE2 Final Submission]]</f>
        <v>#N/A</v>
      </c>
      <c r="AJ122" s="79" t="e">
        <v>#N/A</v>
      </c>
      <c r="AK122" s="79" t="e">
        <f t="shared" si="8"/>
        <v>#N/A</v>
      </c>
      <c r="AL122" s="374">
        <f>SUM(ERP[[#This Row],[AP01]:[AP06]])-SUM(ERP[[#This Row],[AP01 LE2]:[AP06 LE2]])</f>
        <v>0</v>
      </c>
      <c r="AM122" s="80"/>
      <c r="AN122" s="79" t="e">
        <f>ERP[[#This Row],[2026 Working Total to Budget/LE]]-ERP[[#This Row],[Giveback]]</f>
        <v>#N/A</v>
      </c>
      <c r="AO122" s="81"/>
      <c r="AP122" s="375"/>
      <c r="AQ122" s="375"/>
      <c r="AR122" s="375"/>
      <c r="AS122" s="375"/>
      <c r="AT122" s="375"/>
      <c r="AU122" s="375"/>
      <c r="AV122" s="375"/>
      <c r="AW122" s="375"/>
      <c r="AX122" s="375"/>
      <c r="AY122" s="375"/>
      <c r="AZ122" s="375"/>
      <c r="BA122" s="375"/>
      <c r="BB122" s="375">
        <v>0</v>
      </c>
      <c r="BC122" s="79">
        <v>195133.21</v>
      </c>
      <c r="BD122" s="79">
        <v>214325.71</v>
      </c>
      <c r="BE122" s="79">
        <v>291685.48</v>
      </c>
      <c r="BF122" s="79">
        <v>233173.12</v>
      </c>
      <c r="BG122" s="79">
        <v>232919.73</v>
      </c>
      <c r="BH122" s="79">
        <v>238777.23</v>
      </c>
      <c r="BI122" s="79">
        <v>240555.68</v>
      </c>
      <c r="BJ122" s="79">
        <v>242084.56</v>
      </c>
      <c r="BK122" s="79">
        <v>242084.56</v>
      </c>
      <c r="BL122" s="79">
        <v>242084.56</v>
      </c>
      <c r="BM122" s="79">
        <v>242516.91</v>
      </c>
      <c r="BN122" s="79">
        <v>242516.91</v>
      </c>
      <c r="BO122" s="79">
        <v>2857857.66</v>
      </c>
    </row>
    <row r="123" spans="1:67" ht="15" customHeight="1">
      <c r="A123" s="66" t="s">
        <v>2900</v>
      </c>
      <c r="B123" s="66" t="s">
        <v>2901</v>
      </c>
      <c r="C123" s="150" t="s">
        <v>1136</v>
      </c>
      <c r="D123" s="150" t="s">
        <v>1135</v>
      </c>
      <c r="E123" s="150" t="s">
        <v>1137</v>
      </c>
      <c r="F123" s="150" t="s">
        <v>1137</v>
      </c>
      <c r="G123" s="511" t="s">
        <v>22</v>
      </c>
      <c r="H123" s="392" t="s">
        <v>2868</v>
      </c>
      <c r="I123" s="343"/>
      <c r="J123" s="343"/>
      <c r="K123" s="70" t="s">
        <v>24</v>
      </c>
      <c r="L123" s="346" t="s">
        <v>1139</v>
      </c>
      <c r="M123" s="346" t="s">
        <v>1140</v>
      </c>
      <c r="N123" s="346"/>
      <c r="O123" s="150" t="s">
        <v>25</v>
      </c>
      <c r="P123" s="150"/>
      <c r="Q123" s="403"/>
      <c r="R123" s="406">
        <v>3920122.6999999993</v>
      </c>
      <c r="S123" s="406">
        <v>0</v>
      </c>
      <c r="T123" s="425"/>
      <c r="U123" s="71"/>
      <c r="V123" s="426"/>
      <c r="W123" s="427"/>
      <c r="X123" s="427"/>
      <c r="Y123" s="428" t="s">
        <v>1142</v>
      </c>
      <c r="Z123" s="429">
        <v>0</v>
      </c>
      <c r="AA123" s="429">
        <v>0</v>
      </c>
      <c r="AB123" s="363" t="e">
        <v>#N/A</v>
      </c>
      <c r="AC123" s="363"/>
      <c r="AD123" s="363"/>
      <c r="AE123" s="363"/>
      <c r="AF123" s="363"/>
      <c r="AG123" s="363"/>
      <c r="AH123" s="360" t="e">
        <f t="shared" si="9"/>
        <v>#N/A</v>
      </c>
      <c r="AI123" s="362" t="e">
        <f>ERP[[#This Row],[2026 Working Total]]-ERP[[#This Row],[LE2 Final Submission]]</f>
        <v>#N/A</v>
      </c>
      <c r="AJ123" s="79" t="e">
        <v>#N/A</v>
      </c>
      <c r="AK123" s="79" t="e">
        <f t="shared" si="8"/>
        <v>#N/A</v>
      </c>
      <c r="AL123" s="374">
        <f>SUM(ERP[[#This Row],[AP01]:[AP06]])-SUM(ERP[[#This Row],[AP01 LE2]:[AP06 LE2]])</f>
        <v>0</v>
      </c>
      <c r="AM123" s="80"/>
      <c r="AN123" s="79" t="e">
        <f>ERP[[#This Row],[2026 Working Total to Budget/LE]]-ERP[[#This Row],[Giveback]]</f>
        <v>#N/A</v>
      </c>
      <c r="AO123" s="81"/>
      <c r="AP123" s="375"/>
      <c r="AQ123" s="375"/>
      <c r="AR123" s="375"/>
      <c r="AS123" s="375"/>
      <c r="AT123" s="375"/>
      <c r="AU123" s="375"/>
      <c r="AV123" s="375"/>
      <c r="AW123" s="375"/>
      <c r="AX123" s="375"/>
      <c r="AY123" s="375"/>
      <c r="AZ123" s="375"/>
      <c r="BA123" s="375"/>
      <c r="BB123" s="375">
        <v>0</v>
      </c>
      <c r="BC123" s="79">
        <v>95760.76</v>
      </c>
      <c r="BD123" s="79">
        <v>93858.59</v>
      </c>
      <c r="BE123" s="79">
        <v>103661.36</v>
      </c>
      <c r="BF123" s="79">
        <v>322835.13</v>
      </c>
      <c r="BG123" s="79">
        <v>322835.13</v>
      </c>
      <c r="BH123" s="79">
        <v>322835.13</v>
      </c>
      <c r="BI123" s="79">
        <v>330985.75</v>
      </c>
      <c r="BJ123" s="79">
        <v>330985.75</v>
      </c>
      <c r="BK123" s="79">
        <v>338079.72</v>
      </c>
      <c r="BL123" s="79">
        <v>338079.72</v>
      </c>
      <c r="BM123" s="79">
        <v>338079.72</v>
      </c>
      <c r="BN123" s="79">
        <v>338079.72</v>
      </c>
      <c r="BO123" s="79">
        <v>3276076.4799999995</v>
      </c>
    </row>
    <row r="124" spans="1:67" ht="15" customHeight="1">
      <c r="A124" s="66" t="s">
        <v>2869</v>
      </c>
      <c r="B124" s="66" t="s">
        <v>31</v>
      </c>
      <c r="C124" s="150" t="s">
        <v>1136</v>
      </c>
      <c r="D124" s="150" t="s">
        <v>1345</v>
      </c>
      <c r="E124" s="150" t="s">
        <v>1344</v>
      </c>
      <c r="F124" s="150" t="s">
        <v>1346</v>
      </c>
      <c r="G124" s="511" t="s">
        <v>22</v>
      </c>
      <c r="H124" s="392" t="s">
        <v>2870</v>
      </c>
      <c r="I124" s="343"/>
      <c r="J124" s="343"/>
      <c r="K124" s="70" t="s">
        <v>27</v>
      </c>
      <c r="L124" s="346" t="s">
        <v>1139</v>
      </c>
      <c r="M124" s="346" t="s">
        <v>1140</v>
      </c>
      <c r="N124" s="346"/>
      <c r="O124" s="150" t="s">
        <v>25</v>
      </c>
      <c r="P124" s="150"/>
      <c r="Q124" s="403"/>
      <c r="R124" s="406">
        <v>0</v>
      </c>
      <c r="S124" s="406">
        <v>0</v>
      </c>
      <c r="T124" s="425"/>
      <c r="U124" s="71"/>
      <c r="V124" s="426"/>
      <c r="W124" s="427"/>
      <c r="X124" s="427"/>
      <c r="Y124" s="428" t="s">
        <v>1142</v>
      </c>
      <c r="Z124" s="429">
        <v>0</v>
      </c>
      <c r="AA124" s="429">
        <v>0</v>
      </c>
      <c r="AB124" s="363" t="e">
        <v>#N/A</v>
      </c>
      <c r="AC124" s="360">
        <v>0</v>
      </c>
      <c r="AD124" s="360">
        <v>0</v>
      </c>
      <c r="AE124" s="360">
        <v>0</v>
      </c>
      <c r="AF124" s="360">
        <v>0</v>
      </c>
      <c r="AG124" s="360">
        <v>0</v>
      </c>
      <c r="AH124" s="360" t="e">
        <f t="shared" si="9"/>
        <v>#N/A</v>
      </c>
      <c r="AI124" s="362" t="e">
        <f>ERP[[#This Row],[2026 Working Total]]-ERP[[#This Row],[LE2 Final Submission]]</f>
        <v>#N/A</v>
      </c>
      <c r="AJ124" s="79" t="e">
        <v>#N/A</v>
      </c>
      <c r="AK124" s="79" t="e">
        <f t="shared" si="8"/>
        <v>#N/A</v>
      </c>
      <c r="AL124" s="374">
        <f>SUM(ERP[[#This Row],[AP01]:[AP06]])-SUM(ERP[[#This Row],[AP01 LE2]:[AP06 LE2]])</f>
        <v>0</v>
      </c>
      <c r="AM124" s="80"/>
      <c r="AN124" s="79" t="e">
        <f>ERP[[#This Row],[2026 Working Total to Budget/LE]]-ERP[[#This Row],[Giveback]]</f>
        <v>#N/A</v>
      </c>
      <c r="AO124" s="81"/>
      <c r="AP124" s="375"/>
      <c r="AQ124" s="375"/>
      <c r="AR124" s="375"/>
      <c r="AS124" s="375">
        <v>0</v>
      </c>
      <c r="AT124" s="375">
        <v>0</v>
      </c>
      <c r="AU124" s="375">
        <v>0</v>
      </c>
      <c r="AV124" s="375">
        <v>0</v>
      </c>
      <c r="AW124" s="375">
        <v>0</v>
      </c>
      <c r="AX124" s="375">
        <v>0</v>
      </c>
      <c r="AY124" s="375">
        <v>0</v>
      </c>
      <c r="AZ124" s="375">
        <v>0</v>
      </c>
      <c r="BA124" s="375">
        <v>0</v>
      </c>
      <c r="BB124" s="375">
        <v>0</v>
      </c>
      <c r="BC124" s="79">
        <v>3779.53</v>
      </c>
      <c r="BD124" s="79">
        <v>7255.22</v>
      </c>
      <c r="BE124" s="79">
        <v>5363.84</v>
      </c>
      <c r="BF124" s="79">
        <v>0</v>
      </c>
      <c r="BG124" s="79">
        <v>0</v>
      </c>
      <c r="BH124" s="79">
        <v>0</v>
      </c>
      <c r="BI124" s="79">
        <v>0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16398.59</v>
      </c>
    </row>
    <row r="125" spans="1:67" ht="15" customHeight="1">
      <c r="A125" s="66" t="s">
        <v>2876</v>
      </c>
      <c r="B125" s="66" t="s">
        <v>35</v>
      </c>
      <c r="C125" s="150" t="s">
        <v>1136</v>
      </c>
      <c r="D125" s="150" t="s">
        <v>1345</v>
      </c>
      <c r="E125" s="150" t="s">
        <v>1515</v>
      </c>
      <c r="F125" s="150" t="s">
        <v>1346</v>
      </c>
      <c r="G125" s="511" t="s">
        <v>22</v>
      </c>
      <c r="H125" s="392" t="s">
        <v>2870</v>
      </c>
      <c r="I125" s="343"/>
      <c r="J125" s="343"/>
      <c r="K125" s="70" t="s">
        <v>27</v>
      </c>
      <c r="L125" s="346" t="s">
        <v>1139</v>
      </c>
      <c r="M125" s="346" t="s">
        <v>1140</v>
      </c>
      <c r="N125" s="346"/>
      <c r="O125" s="150" t="s">
        <v>25</v>
      </c>
      <c r="P125" s="150"/>
      <c r="Q125" s="403"/>
      <c r="R125" s="406">
        <v>0</v>
      </c>
      <c r="S125" s="406">
        <v>0</v>
      </c>
      <c r="T125" s="425"/>
      <c r="U125" s="71"/>
      <c r="V125" s="426"/>
      <c r="W125" s="427"/>
      <c r="X125" s="427"/>
      <c r="Y125" s="428" t="s">
        <v>1142</v>
      </c>
      <c r="Z125" s="429">
        <v>0</v>
      </c>
      <c r="AA125" s="429">
        <v>0</v>
      </c>
      <c r="AB125" s="363" t="e">
        <v>#N/A</v>
      </c>
      <c r="AC125" s="360">
        <v>0</v>
      </c>
      <c r="AD125" s="360">
        <v>0</v>
      </c>
      <c r="AE125" s="360">
        <v>0</v>
      </c>
      <c r="AF125" s="360">
        <v>0</v>
      </c>
      <c r="AG125" s="360">
        <v>0</v>
      </c>
      <c r="AH125" s="360" t="e">
        <f t="shared" si="9"/>
        <v>#N/A</v>
      </c>
      <c r="AI125" s="362" t="e">
        <f>ERP[[#This Row],[2026 Working Total]]-ERP[[#This Row],[LE2 Final Submission]]</f>
        <v>#N/A</v>
      </c>
      <c r="AJ125" s="79" t="e">
        <v>#N/A</v>
      </c>
      <c r="AK125" s="79" t="e">
        <f t="shared" si="8"/>
        <v>#N/A</v>
      </c>
      <c r="AL125" s="374">
        <f>SUM(ERP[[#This Row],[AP01]:[AP06]])-SUM(ERP[[#This Row],[AP01 LE2]:[AP06 LE2]])</f>
        <v>0</v>
      </c>
      <c r="AM125" s="80"/>
      <c r="AN125" s="79" t="e">
        <f>ERP[[#This Row],[2026 Working Total to Budget/LE]]-ERP[[#This Row],[Giveback]]</f>
        <v>#N/A</v>
      </c>
      <c r="AO125" s="81"/>
      <c r="AP125" s="375"/>
      <c r="AQ125" s="375"/>
      <c r="AR125" s="375"/>
      <c r="AS125" s="375">
        <v>0</v>
      </c>
      <c r="AT125" s="375">
        <v>0</v>
      </c>
      <c r="AU125" s="375">
        <v>0</v>
      </c>
      <c r="AV125" s="375">
        <v>0</v>
      </c>
      <c r="AW125" s="375">
        <v>0</v>
      </c>
      <c r="AX125" s="375">
        <v>0</v>
      </c>
      <c r="AY125" s="375">
        <v>0</v>
      </c>
      <c r="AZ125" s="375">
        <v>0</v>
      </c>
      <c r="BA125" s="375">
        <v>0</v>
      </c>
      <c r="BB125" s="375">
        <v>0</v>
      </c>
      <c r="BC125" s="79">
        <v>2651.11</v>
      </c>
      <c r="BD125" s="79">
        <v>1336.03</v>
      </c>
      <c r="BE125" s="79">
        <v>1800.7</v>
      </c>
      <c r="BF125" s="79">
        <v>0</v>
      </c>
      <c r="BG125" s="79">
        <v>0</v>
      </c>
      <c r="BH125" s="79">
        <v>0</v>
      </c>
      <c r="BI125" s="79">
        <v>0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5787.84</v>
      </c>
    </row>
    <row r="126" spans="1:67" ht="15" customHeight="1">
      <c r="A126" s="66" t="s">
        <v>2902</v>
      </c>
      <c r="B126" s="66" t="s">
        <v>26</v>
      </c>
      <c r="C126" s="150" t="s">
        <v>1136</v>
      </c>
      <c r="D126" s="150" t="s">
        <v>1135</v>
      </c>
      <c r="E126" s="150" t="s">
        <v>1135</v>
      </c>
      <c r="F126" s="150" t="s">
        <v>1137</v>
      </c>
      <c r="G126" s="511" t="s">
        <v>22</v>
      </c>
      <c r="H126" s="392" t="s">
        <v>2870</v>
      </c>
      <c r="I126" s="343"/>
      <c r="J126" s="343"/>
      <c r="K126" s="70" t="s">
        <v>27</v>
      </c>
      <c r="L126" s="346" t="s">
        <v>1139</v>
      </c>
      <c r="M126" s="346" t="s">
        <v>1140</v>
      </c>
      <c r="N126" s="346"/>
      <c r="O126" s="150" t="s">
        <v>25</v>
      </c>
      <c r="P126" s="150"/>
      <c r="Q126" s="403"/>
      <c r="R126" s="406">
        <v>0</v>
      </c>
      <c r="S126" s="406">
        <v>0</v>
      </c>
      <c r="T126" s="430"/>
      <c r="U126" s="137"/>
      <c r="V126" s="426"/>
      <c r="W126" s="427"/>
      <c r="X126" s="427"/>
      <c r="Y126" s="428" t="s">
        <v>1142</v>
      </c>
      <c r="Z126" s="429">
        <v>0</v>
      </c>
      <c r="AA126" s="429">
        <v>0</v>
      </c>
      <c r="AB126" s="363" t="e">
        <v>#N/A</v>
      </c>
      <c r="AC126" s="360">
        <v>0</v>
      </c>
      <c r="AD126" s="360">
        <v>0</v>
      </c>
      <c r="AE126" s="360">
        <v>0</v>
      </c>
      <c r="AF126" s="360">
        <v>0</v>
      </c>
      <c r="AG126" s="360">
        <v>0</v>
      </c>
      <c r="AH126" s="360" t="e">
        <f t="shared" si="9"/>
        <v>#N/A</v>
      </c>
      <c r="AI126" s="362" t="e">
        <f>ERP[[#This Row],[2026 Working Total]]-ERP[[#This Row],[LE2 Final Submission]]</f>
        <v>#N/A</v>
      </c>
      <c r="AJ126" s="79" t="e">
        <v>#N/A</v>
      </c>
      <c r="AK126" s="79" t="e">
        <f t="shared" si="8"/>
        <v>#N/A</v>
      </c>
      <c r="AL126" s="374">
        <f>SUM(ERP[[#This Row],[AP01]:[AP06]])-SUM(ERP[[#This Row],[AP01 LE2]:[AP06 LE2]])</f>
        <v>0</v>
      </c>
      <c r="AM126" s="80"/>
      <c r="AN126" s="79" t="e">
        <f>ERP[[#This Row],[2026 Working Total to Budget/LE]]-ERP[[#This Row],[Giveback]]</f>
        <v>#N/A</v>
      </c>
      <c r="AO126" s="81"/>
      <c r="AP126" s="375"/>
      <c r="AQ126" s="375"/>
      <c r="AR126" s="375"/>
      <c r="AS126" s="375">
        <v>0</v>
      </c>
      <c r="AT126" s="375">
        <v>0</v>
      </c>
      <c r="AU126" s="375">
        <v>0</v>
      </c>
      <c r="AV126" s="375">
        <v>0</v>
      </c>
      <c r="AW126" s="375">
        <v>0</v>
      </c>
      <c r="AX126" s="375">
        <v>0</v>
      </c>
      <c r="AY126" s="375">
        <v>0</v>
      </c>
      <c r="AZ126" s="375">
        <v>0</v>
      </c>
      <c r="BA126" s="375">
        <v>0</v>
      </c>
      <c r="BB126" s="375">
        <v>0</v>
      </c>
      <c r="BC126" s="79">
        <v>119429</v>
      </c>
      <c r="BD126" s="79">
        <v>107869</v>
      </c>
      <c r="BE126" s="79">
        <v>119891</v>
      </c>
      <c r="BF126" s="79">
        <v>0</v>
      </c>
      <c r="BG126" s="79">
        <v>0</v>
      </c>
      <c r="BH126" s="79">
        <v>0</v>
      </c>
      <c r="BI126" s="79">
        <v>0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347189</v>
      </c>
    </row>
    <row r="127" spans="1:67" ht="15" customHeight="1">
      <c r="A127" s="66" t="s">
        <v>2887</v>
      </c>
      <c r="B127" s="66" t="s">
        <v>2888</v>
      </c>
      <c r="C127" s="150" t="s">
        <v>1136</v>
      </c>
      <c r="D127" s="150" t="s">
        <v>1567</v>
      </c>
      <c r="E127" s="150" t="s">
        <v>1567</v>
      </c>
      <c r="F127" s="150" t="s">
        <v>1567</v>
      </c>
      <c r="G127" s="511" t="s">
        <v>22</v>
      </c>
      <c r="H127" s="392" t="s">
        <v>2870</v>
      </c>
      <c r="I127" s="343"/>
      <c r="J127" s="343"/>
      <c r="K127" s="70" t="s">
        <v>27</v>
      </c>
      <c r="L127" s="346" t="s">
        <v>1139</v>
      </c>
      <c r="M127" s="346" t="s">
        <v>1140</v>
      </c>
      <c r="N127" s="346"/>
      <c r="O127" s="150" t="s">
        <v>25</v>
      </c>
      <c r="P127" s="150"/>
      <c r="Q127" s="403"/>
      <c r="R127" s="406">
        <v>204823.02000000002</v>
      </c>
      <c r="S127" s="406">
        <v>0</v>
      </c>
      <c r="T127" s="425"/>
      <c r="U127" s="71"/>
      <c r="V127" s="426"/>
      <c r="W127" s="427"/>
      <c r="X127" s="427"/>
      <c r="Y127" s="428" t="s">
        <v>1142</v>
      </c>
      <c r="Z127" s="429">
        <v>0</v>
      </c>
      <c r="AA127" s="429">
        <v>0</v>
      </c>
      <c r="AB127" s="363" t="e">
        <v>#N/A</v>
      </c>
      <c r="AC127" s="363"/>
      <c r="AD127" s="363"/>
      <c r="AE127" s="363"/>
      <c r="AF127" s="363"/>
      <c r="AG127" s="363"/>
      <c r="AH127" s="360" t="e">
        <f t="shared" si="9"/>
        <v>#N/A</v>
      </c>
      <c r="AI127" s="362" t="e">
        <f>ERP[[#This Row],[2026 Working Total]]-ERP[[#This Row],[LE2 Final Submission]]</f>
        <v>#N/A</v>
      </c>
      <c r="AJ127" s="79" t="e">
        <v>#N/A</v>
      </c>
      <c r="AK127" s="79" t="e">
        <f t="shared" si="8"/>
        <v>#N/A</v>
      </c>
      <c r="AL127" s="374">
        <f>SUM(ERP[[#This Row],[AP01]:[AP06]])-SUM(ERP[[#This Row],[AP01 LE2]:[AP06 LE2]])</f>
        <v>0</v>
      </c>
      <c r="AM127" s="80"/>
      <c r="AN127" s="79" t="e">
        <f>ERP[[#This Row],[2026 Working Total to Budget/LE]]-ERP[[#This Row],[Giveback]]</f>
        <v>#N/A</v>
      </c>
      <c r="AO127" s="81"/>
      <c r="AP127" s="375"/>
      <c r="AQ127" s="375"/>
      <c r="AR127" s="375"/>
      <c r="AS127" s="375"/>
      <c r="AT127" s="375"/>
      <c r="AU127" s="375"/>
      <c r="AV127" s="375"/>
      <c r="AW127" s="375"/>
      <c r="AX127" s="375"/>
      <c r="AY127" s="375"/>
      <c r="AZ127" s="375"/>
      <c r="BA127" s="375"/>
      <c r="BB127" s="375">
        <v>0</v>
      </c>
      <c r="BC127" s="79">
        <v>51562.58</v>
      </c>
      <c r="BD127" s="79">
        <v>27159.83</v>
      </c>
      <c r="BE127" s="79">
        <v>40975</v>
      </c>
      <c r="BF127" s="79">
        <v>11866.46</v>
      </c>
      <c r="BG127" s="79">
        <v>21522.71</v>
      </c>
      <c r="BH127" s="79">
        <v>20882.86</v>
      </c>
      <c r="BI127" s="79">
        <v>14484.38</v>
      </c>
      <c r="BJ127" s="79">
        <v>14484.38</v>
      </c>
      <c r="BK127" s="79">
        <v>14484.38</v>
      </c>
      <c r="BL127" s="79">
        <v>14484.38</v>
      </c>
      <c r="BM127" s="79">
        <v>14484.38</v>
      </c>
      <c r="BN127" s="79">
        <v>14484.38</v>
      </c>
      <c r="BO127" s="79">
        <v>260875.72000000003</v>
      </c>
    </row>
    <row r="128" spans="1:67" ht="15" customHeight="1">
      <c r="A128" s="66" t="s">
        <v>2897</v>
      </c>
      <c r="B128" s="66" t="s">
        <v>46</v>
      </c>
      <c r="C128" s="150" t="s">
        <v>1136</v>
      </c>
      <c r="D128" s="150" t="s">
        <v>1650</v>
      </c>
      <c r="E128" s="150" t="s">
        <v>1650</v>
      </c>
      <c r="F128" s="150" t="s">
        <v>1650</v>
      </c>
      <c r="G128" s="511" t="s">
        <v>22</v>
      </c>
      <c r="H128" s="392" t="s">
        <v>2870</v>
      </c>
      <c r="I128" s="343"/>
      <c r="J128" s="343"/>
      <c r="K128" s="70" t="s">
        <v>27</v>
      </c>
      <c r="L128" s="346" t="s">
        <v>1139</v>
      </c>
      <c r="M128" s="346" t="s">
        <v>1140</v>
      </c>
      <c r="N128" s="346"/>
      <c r="O128" s="150" t="s">
        <v>25</v>
      </c>
      <c r="P128" s="150"/>
      <c r="Q128" s="403"/>
      <c r="R128" s="406">
        <v>355072.04000000004</v>
      </c>
      <c r="S128" s="406">
        <v>0</v>
      </c>
      <c r="T128" s="425"/>
      <c r="U128" s="71"/>
      <c r="V128" s="426"/>
      <c r="W128" s="427"/>
      <c r="X128" s="427"/>
      <c r="Y128" s="428" t="s">
        <v>1142</v>
      </c>
      <c r="Z128" s="429">
        <v>0</v>
      </c>
      <c r="AA128" s="429">
        <v>0</v>
      </c>
      <c r="AB128" s="363" t="e">
        <v>#N/A</v>
      </c>
      <c r="AC128" s="363"/>
      <c r="AD128" s="363"/>
      <c r="AE128" s="363"/>
      <c r="AF128" s="363"/>
      <c r="AG128" s="363"/>
      <c r="AH128" s="360" t="e">
        <f t="shared" si="9"/>
        <v>#N/A</v>
      </c>
      <c r="AI128" s="362" t="e">
        <f>ERP[[#This Row],[2026 Working Total]]-ERP[[#This Row],[LE2 Final Submission]]</f>
        <v>#N/A</v>
      </c>
      <c r="AJ128" s="79" t="e">
        <v>#N/A</v>
      </c>
      <c r="AK128" s="79" t="e">
        <f t="shared" si="8"/>
        <v>#N/A</v>
      </c>
      <c r="AL128" s="374">
        <f>SUM(ERP[[#This Row],[AP01]:[AP06]])-SUM(ERP[[#This Row],[AP01 LE2]:[AP06 LE2]])</f>
        <v>0</v>
      </c>
      <c r="AM128" s="80"/>
      <c r="AN128" s="79" t="e">
        <f>ERP[[#This Row],[2026 Working Total to Budget/LE]]-ERP[[#This Row],[Giveback]]</f>
        <v>#N/A</v>
      </c>
      <c r="AO128" s="81"/>
      <c r="AP128" s="375"/>
      <c r="AQ128" s="375"/>
      <c r="AR128" s="375"/>
      <c r="AS128" s="375"/>
      <c r="AT128" s="375"/>
      <c r="AU128" s="375"/>
      <c r="AV128" s="375"/>
      <c r="AW128" s="375"/>
      <c r="AX128" s="375"/>
      <c r="AY128" s="375"/>
      <c r="AZ128" s="375"/>
      <c r="BA128" s="375"/>
      <c r="BB128" s="375">
        <v>0</v>
      </c>
      <c r="BC128" s="79">
        <v>27497.84</v>
      </c>
      <c r="BD128" s="79">
        <v>27805.69</v>
      </c>
      <c r="BE128" s="79">
        <v>37986.93</v>
      </c>
      <c r="BF128" s="79">
        <v>30575.919999999998</v>
      </c>
      <c r="BG128" s="79">
        <v>26871.200000000001</v>
      </c>
      <c r="BH128" s="79">
        <v>26871.200000000001</v>
      </c>
      <c r="BI128" s="79">
        <v>26871.200000000001</v>
      </c>
      <c r="BJ128" s="79">
        <v>31487.49</v>
      </c>
      <c r="BK128" s="79">
        <v>31751.82</v>
      </c>
      <c r="BL128" s="79">
        <v>31751.82</v>
      </c>
      <c r="BM128" s="79">
        <v>31751.82</v>
      </c>
      <c r="BN128" s="79">
        <v>31751.82</v>
      </c>
      <c r="BO128" s="79">
        <v>362974.75</v>
      </c>
    </row>
    <row r="129" spans="1:67" ht="15" customHeight="1">
      <c r="A129" s="66" t="s">
        <v>2873</v>
      </c>
      <c r="B129" s="66" t="s">
        <v>33</v>
      </c>
      <c r="C129" s="150" t="s">
        <v>1136</v>
      </c>
      <c r="D129" s="150" t="s">
        <v>1345</v>
      </c>
      <c r="E129" s="150" t="s">
        <v>1345</v>
      </c>
      <c r="F129" s="150" t="s">
        <v>1346</v>
      </c>
      <c r="G129" s="511" t="s">
        <v>22</v>
      </c>
      <c r="H129" s="392" t="s">
        <v>2872</v>
      </c>
      <c r="I129" s="343"/>
      <c r="J129" s="343"/>
      <c r="K129" s="70" t="s">
        <v>29</v>
      </c>
      <c r="L129" s="346" t="s">
        <v>1139</v>
      </c>
      <c r="M129" s="346" t="s">
        <v>1140</v>
      </c>
      <c r="N129" s="346"/>
      <c r="O129" s="150" t="s">
        <v>25</v>
      </c>
      <c r="P129" s="150" t="s">
        <v>2874</v>
      </c>
      <c r="Q129" s="403"/>
      <c r="R129" s="406">
        <v>16484280.790000003</v>
      </c>
      <c r="S129" s="406">
        <v>21816549.886619337</v>
      </c>
      <c r="T129" s="425"/>
      <c r="U129" s="71"/>
      <c r="V129" s="426">
        <v>1733430.9899999991</v>
      </c>
      <c r="W129" s="427">
        <v>2659121.5100000012</v>
      </c>
      <c r="X129" s="427">
        <v>1591278.1799999983</v>
      </c>
      <c r="Y129" s="428">
        <v>2358182.7000000007</v>
      </c>
      <c r="Z129" s="429">
        <v>54442.760000000351</v>
      </c>
      <c r="AA129" s="429">
        <v>1905380.4099999985</v>
      </c>
      <c r="AB129" s="363" t="e">
        <v>#N/A</v>
      </c>
      <c r="AC129" s="363">
        <v>1781851.6968221199</v>
      </c>
      <c r="AD129" s="363">
        <v>1807055.77390462</v>
      </c>
      <c r="AE129" s="363">
        <v>1862531.492714915</v>
      </c>
      <c r="AF129" s="363">
        <v>1871209.9824649149</v>
      </c>
      <c r="AG129" s="363">
        <v>1871209.9824649149</v>
      </c>
      <c r="AH129" s="360" t="e">
        <f t="shared" si="9"/>
        <v>#N/A</v>
      </c>
      <c r="AI129" s="362" t="e">
        <f>ERP[[#This Row],[2026 Working Total]]-ERP[[#This Row],[LE2 Final Submission]]</f>
        <v>#N/A</v>
      </c>
      <c r="AJ129" s="79" t="e">
        <v>#N/A</v>
      </c>
      <c r="AK129" s="79" t="e">
        <f t="shared" si="8"/>
        <v>#N/A</v>
      </c>
      <c r="AL129" s="374">
        <f>SUM(ERP[[#This Row],[AP01]:[AP06]])-SUM(ERP[[#This Row],[AP01 LE2]:[AP06 LE2]])</f>
        <v>-535547.68445741944</v>
      </c>
      <c r="AM129" s="80"/>
      <c r="AN129" s="79" t="e">
        <f>ERP[[#This Row],[2026 Working Total to Budget/LE]]-ERP[[#This Row],[Giveback]]</f>
        <v>#N/A</v>
      </c>
      <c r="AO129" s="81"/>
      <c r="AP129" s="375">
        <v>1733430.9899999991</v>
      </c>
      <c r="AQ129" s="375">
        <v>2659121.5100000012</v>
      </c>
      <c r="AR129" s="375">
        <v>1591278.1799999983</v>
      </c>
      <c r="AS129" s="375">
        <v>2405320.04</v>
      </c>
      <c r="AT129" s="375">
        <v>657407.65222870966</v>
      </c>
      <c r="AU129" s="375">
        <v>1790825.862228709</v>
      </c>
      <c r="AV129" s="375">
        <v>1785306.7237904386</v>
      </c>
      <c r="AW129" s="375">
        <v>1781851.6968221199</v>
      </c>
      <c r="AX129" s="375">
        <v>1807055.77390462</v>
      </c>
      <c r="AY129" s="375">
        <v>1862531.492714915</v>
      </c>
      <c r="AZ129" s="375">
        <v>1871209.9824649149</v>
      </c>
      <c r="BA129" s="375">
        <v>1871209.9824649149</v>
      </c>
      <c r="BB129" s="375">
        <v>21816549.886619337</v>
      </c>
      <c r="BC129" s="79">
        <v>1086387.3400000001</v>
      </c>
      <c r="BD129" s="79">
        <v>1551142.73</v>
      </c>
      <c r="BE129" s="79">
        <v>857806.14</v>
      </c>
      <c r="BF129" s="79">
        <v>1328752.27</v>
      </c>
      <c r="BG129" s="79">
        <v>1328097.83</v>
      </c>
      <c r="BH129" s="79">
        <v>1371182.86</v>
      </c>
      <c r="BI129" s="79">
        <v>1392643.5</v>
      </c>
      <c r="BJ129" s="79">
        <v>1403661.35</v>
      </c>
      <c r="BK129" s="79">
        <v>1403661.35</v>
      </c>
      <c r="BL129" s="79">
        <v>1403661.35</v>
      </c>
      <c r="BM129" s="79">
        <v>1409426</v>
      </c>
      <c r="BN129" s="79">
        <v>1409426</v>
      </c>
      <c r="BO129" s="79">
        <v>15945848.720000001</v>
      </c>
    </row>
    <row r="130" spans="1:67" ht="15" customHeight="1">
      <c r="A130" s="66" t="s">
        <v>2903</v>
      </c>
      <c r="B130" s="66" t="s">
        <v>2904</v>
      </c>
      <c r="C130" s="150" t="s">
        <v>1136</v>
      </c>
      <c r="D130" s="150" t="s">
        <v>1135</v>
      </c>
      <c r="E130" s="150" t="s">
        <v>1137</v>
      </c>
      <c r="F130" s="150" t="s">
        <v>1137</v>
      </c>
      <c r="G130" s="511" t="s">
        <v>22</v>
      </c>
      <c r="H130" s="392" t="s">
        <v>2870</v>
      </c>
      <c r="I130" s="343"/>
      <c r="J130" s="343"/>
      <c r="K130" s="70" t="s">
        <v>27</v>
      </c>
      <c r="L130" s="346" t="s">
        <v>1139</v>
      </c>
      <c r="M130" s="346" t="s">
        <v>1140</v>
      </c>
      <c r="N130" s="346"/>
      <c r="O130" s="150" t="s">
        <v>25</v>
      </c>
      <c r="P130" s="150"/>
      <c r="Q130" s="403"/>
      <c r="R130" s="406">
        <v>1729258.84</v>
      </c>
      <c r="S130" s="406">
        <v>0</v>
      </c>
      <c r="T130" s="425"/>
      <c r="U130" s="71"/>
      <c r="V130" s="426"/>
      <c r="W130" s="427"/>
      <c r="X130" s="427"/>
      <c r="Y130" s="428" t="s">
        <v>1142</v>
      </c>
      <c r="Z130" s="429">
        <v>0</v>
      </c>
      <c r="AA130" s="429">
        <v>0</v>
      </c>
      <c r="AB130" s="363" t="e">
        <v>#N/A</v>
      </c>
      <c r="AC130" s="363"/>
      <c r="AD130" s="363"/>
      <c r="AE130" s="363"/>
      <c r="AF130" s="363"/>
      <c r="AG130" s="363"/>
      <c r="AH130" s="360" t="e">
        <f t="shared" si="9"/>
        <v>#N/A</v>
      </c>
      <c r="AI130" s="362" t="e">
        <f>ERP[[#This Row],[2026 Working Total]]-ERP[[#This Row],[LE2 Final Submission]]</f>
        <v>#N/A</v>
      </c>
      <c r="AJ130" s="79" t="e">
        <v>#N/A</v>
      </c>
      <c r="AK130" s="79" t="e">
        <f t="shared" si="8"/>
        <v>#N/A</v>
      </c>
      <c r="AL130" s="374">
        <f>SUM(ERP[[#This Row],[AP01]:[AP06]])-SUM(ERP[[#This Row],[AP01 LE2]:[AP06 LE2]])</f>
        <v>0</v>
      </c>
      <c r="AM130" s="80"/>
      <c r="AN130" s="79" t="e">
        <f>ERP[[#This Row],[2026 Working Total to Budget/LE]]-ERP[[#This Row],[Giveback]]</f>
        <v>#N/A</v>
      </c>
      <c r="AO130" s="81"/>
      <c r="AP130" s="375"/>
      <c r="AQ130" s="375"/>
      <c r="AR130" s="375"/>
      <c r="AS130" s="375"/>
      <c r="AT130" s="375"/>
      <c r="AU130" s="375"/>
      <c r="AV130" s="375"/>
      <c r="AW130" s="375"/>
      <c r="AX130" s="375"/>
      <c r="AY130" s="375"/>
      <c r="AZ130" s="375"/>
      <c r="BA130" s="375"/>
      <c r="BB130" s="375">
        <v>0</v>
      </c>
      <c r="BC130" s="79">
        <v>50770.12</v>
      </c>
      <c r="BD130" s="79">
        <v>51960.62</v>
      </c>
      <c r="BE130" s="79">
        <v>52695.87</v>
      </c>
      <c r="BF130" s="79">
        <v>142100.94</v>
      </c>
      <c r="BG130" s="79">
        <v>142100.94</v>
      </c>
      <c r="BH130" s="79">
        <v>142100.94</v>
      </c>
      <c r="BI130" s="79">
        <v>146019.5</v>
      </c>
      <c r="BJ130" s="79">
        <v>146019.5</v>
      </c>
      <c r="BK130" s="79">
        <v>150075.81</v>
      </c>
      <c r="BL130" s="79">
        <v>150075.81</v>
      </c>
      <c r="BM130" s="79">
        <v>150075.81</v>
      </c>
      <c r="BN130" s="79">
        <v>150075.81</v>
      </c>
      <c r="BO130" s="79">
        <v>1474071.6700000002</v>
      </c>
    </row>
    <row r="131" spans="1:67" ht="15" customHeight="1">
      <c r="A131" s="66" t="s">
        <v>2871</v>
      </c>
      <c r="B131" s="66" t="s">
        <v>32</v>
      </c>
      <c r="C131" s="150" t="s">
        <v>1136</v>
      </c>
      <c r="D131" s="150" t="s">
        <v>1345</v>
      </c>
      <c r="E131" s="150" t="s">
        <v>1344</v>
      </c>
      <c r="F131" s="150" t="s">
        <v>1346</v>
      </c>
      <c r="G131" s="511" t="s">
        <v>22</v>
      </c>
      <c r="H131" s="392" t="s">
        <v>2872</v>
      </c>
      <c r="I131" s="343"/>
      <c r="J131" s="343"/>
      <c r="K131" s="70" t="s">
        <v>29</v>
      </c>
      <c r="L131" s="346" t="s">
        <v>1139</v>
      </c>
      <c r="M131" s="346" t="s">
        <v>1140</v>
      </c>
      <c r="N131" s="346"/>
      <c r="O131" s="150" t="s">
        <v>25</v>
      </c>
      <c r="P131" s="150"/>
      <c r="Q131" s="403"/>
      <c r="R131" s="406">
        <v>0</v>
      </c>
      <c r="S131" s="406">
        <v>0</v>
      </c>
      <c r="T131" s="430"/>
      <c r="U131" s="137"/>
      <c r="V131" s="426"/>
      <c r="W131" s="427"/>
      <c r="X131" s="427"/>
      <c r="Y131" s="480"/>
      <c r="Z131" s="481"/>
      <c r="AA131" s="429">
        <v>11264.339999999998</v>
      </c>
      <c r="AB131" s="363" t="e">
        <v>#N/A</v>
      </c>
      <c r="AC131" s="360">
        <v>0</v>
      </c>
      <c r="AD131" s="360">
        <v>0</v>
      </c>
      <c r="AE131" s="360">
        <v>0</v>
      </c>
      <c r="AF131" s="360">
        <v>0</v>
      </c>
      <c r="AG131" s="360">
        <v>0</v>
      </c>
      <c r="AH131" s="360" t="e">
        <f t="shared" si="9"/>
        <v>#N/A</v>
      </c>
      <c r="AI131" s="362" t="e">
        <f>ERP[[#This Row],[2026 Working Total]]-ERP[[#This Row],[LE2 Final Submission]]</f>
        <v>#N/A</v>
      </c>
      <c r="AJ131" s="79" t="e">
        <v>#N/A</v>
      </c>
      <c r="AK131" s="79" t="e">
        <f t="shared" si="8"/>
        <v>#N/A</v>
      </c>
      <c r="AL131" s="374">
        <f>SUM(ERP[[#This Row],[AP01]:[AP06]])-SUM(ERP[[#This Row],[AP01 LE2]:[AP06 LE2]])</f>
        <v>11264.339999999998</v>
      </c>
      <c r="AM131" s="80"/>
      <c r="AN131" s="79" t="e">
        <f>ERP[[#This Row],[2026 Working Total to Budget/LE]]-ERP[[#This Row],[Giveback]]</f>
        <v>#N/A</v>
      </c>
      <c r="AO131" s="81"/>
      <c r="AP131" s="375"/>
      <c r="AQ131" s="375"/>
      <c r="AR131" s="375"/>
      <c r="AS131" s="375">
        <v>0</v>
      </c>
      <c r="AT131" s="375">
        <v>0</v>
      </c>
      <c r="AU131" s="375">
        <v>0</v>
      </c>
      <c r="AV131" s="375">
        <v>0</v>
      </c>
      <c r="AW131" s="375">
        <v>0</v>
      </c>
      <c r="AX131" s="375">
        <v>0</v>
      </c>
      <c r="AY131" s="375">
        <v>0</v>
      </c>
      <c r="AZ131" s="375">
        <v>0</v>
      </c>
      <c r="BA131" s="375">
        <v>0</v>
      </c>
      <c r="BB131" s="375">
        <v>0</v>
      </c>
      <c r="BC131" s="79">
        <v>6685.48</v>
      </c>
      <c r="BD131" s="79">
        <v>-19872.71</v>
      </c>
      <c r="BE131" s="79">
        <v>7440.92</v>
      </c>
      <c r="BF131" s="79">
        <v>0</v>
      </c>
      <c r="BG131" s="79">
        <v>0</v>
      </c>
      <c r="BH131" s="79">
        <v>0</v>
      </c>
      <c r="BI131" s="79">
        <v>0</v>
      </c>
      <c r="BJ131" s="79">
        <v>0</v>
      </c>
      <c r="BK131" s="79">
        <v>0</v>
      </c>
      <c r="BL131" s="79">
        <v>0</v>
      </c>
      <c r="BM131" s="79">
        <v>0</v>
      </c>
      <c r="BN131" s="79">
        <v>0</v>
      </c>
      <c r="BO131" s="79">
        <v>-5746.3099999999995</v>
      </c>
    </row>
    <row r="132" spans="1:67" ht="15" customHeight="1">
      <c r="A132" s="66" t="s">
        <v>2877</v>
      </c>
      <c r="B132" s="66" t="s">
        <v>36</v>
      </c>
      <c r="C132" s="150" t="s">
        <v>1136</v>
      </c>
      <c r="D132" s="150" t="s">
        <v>1345</v>
      </c>
      <c r="E132" s="150" t="s">
        <v>1515</v>
      </c>
      <c r="F132" s="150" t="s">
        <v>1346</v>
      </c>
      <c r="G132" s="511" t="s">
        <v>22</v>
      </c>
      <c r="H132" s="392" t="s">
        <v>2872</v>
      </c>
      <c r="I132" s="343"/>
      <c r="J132" s="343"/>
      <c r="K132" s="70" t="s">
        <v>29</v>
      </c>
      <c r="L132" s="346" t="s">
        <v>1139</v>
      </c>
      <c r="M132" s="346" t="s">
        <v>1140</v>
      </c>
      <c r="N132" s="346"/>
      <c r="O132" s="150" t="s">
        <v>25</v>
      </c>
      <c r="P132" s="150"/>
      <c r="Q132" s="403"/>
      <c r="R132" s="406">
        <v>0</v>
      </c>
      <c r="S132" s="406">
        <v>0</v>
      </c>
      <c r="T132" s="430"/>
      <c r="U132" s="137"/>
      <c r="V132" s="426"/>
      <c r="W132" s="427"/>
      <c r="X132" s="427"/>
      <c r="Y132" s="480"/>
      <c r="Z132" s="481"/>
      <c r="AA132" s="429">
        <v>14481.86</v>
      </c>
      <c r="AB132" s="363" t="e">
        <v>#N/A</v>
      </c>
      <c r="AC132" s="360">
        <v>0</v>
      </c>
      <c r="AD132" s="360">
        <v>0</v>
      </c>
      <c r="AE132" s="360">
        <v>0</v>
      </c>
      <c r="AF132" s="360">
        <v>0</v>
      </c>
      <c r="AG132" s="360">
        <v>0</v>
      </c>
      <c r="AH132" s="360" t="e">
        <f t="shared" si="9"/>
        <v>#N/A</v>
      </c>
      <c r="AI132" s="362" t="e">
        <f>ERP[[#This Row],[2026 Working Total]]-ERP[[#This Row],[LE2 Final Submission]]</f>
        <v>#N/A</v>
      </c>
      <c r="AJ132" s="79" t="e">
        <v>#N/A</v>
      </c>
      <c r="AK132" s="79" t="e">
        <f t="shared" si="8"/>
        <v>#N/A</v>
      </c>
      <c r="AL132" s="374">
        <f>SUM(ERP[[#This Row],[AP01]:[AP06]])-SUM(ERP[[#This Row],[AP01 LE2]:[AP06 LE2]])</f>
        <v>14481.86</v>
      </c>
      <c r="AM132" s="80"/>
      <c r="AN132" s="79" t="e">
        <f>ERP[[#This Row],[2026 Working Total to Budget/LE]]-ERP[[#This Row],[Giveback]]</f>
        <v>#N/A</v>
      </c>
      <c r="AO132" s="81"/>
      <c r="AP132" s="375"/>
      <c r="AQ132" s="375"/>
      <c r="AR132" s="375"/>
      <c r="AS132" s="375">
        <v>0</v>
      </c>
      <c r="AT132" s="375">
        <v>0</v>
      </c>
      <c r="AU132" s="375">
        <v>0</v>
      </c>
      <c r="AV132" s="375">
        <v>0</v>
      </c>
      <c r="AW132" s="375">
        <v>0</v>
      </c>
      <c r="AX132" s="375">
        <v>0</v>
      </c>
      <c r="AY132" s="375">
        <v>0</v>
      </c>
      <c r="AZ132" s="375">
        <v>0</v>
      </c>
      <c r="BA132" s="375">
        <v>0</v>
      </c>
      <c r="BB132" s="375">
        <v>0</v>
      </c>
      <c r="BC132" s="79">
        <v>9779.9</v>
      </c>
      <c r="BD132" s="79">
        <v>9779.8799999999992</v>
      </c>
      <c r="BE132" s="79">
        <v>9779.8799999999992</v>
      </c>
      <c r="BF132" s="79">
        <v>0</v>
      </c>
      <c r="BG132" s="79">
        <v>0</v>
      </c>
      <c r="BH132" s="79">
        <v>0</v>
      </c>
      <c r="BI132" s="79">
        <v>0</v>
      </c>
      <c r="BJ132" s="79">
        <v>0</v>
      </c>
      <c r="BK132" s="79">
        <v>0</v>
      </c>
      <c r="BL132" s="79">
        <v>0</v>
      </c>
      <c r="BM132" s="79">
        <v>0</v>
      </c>
      <c r="BN132" s="79">
        <v>0</v>
      </c>
      <c r="BO132" s="79">
        <v>29339.659999999996</v>
      </c>
    </row>
    <row r="133" spans="1:67" ht="15" customHeight="1">
      <c r="A133" s="66" t="s">
        <v>2905</v>
      </c>
      <c r="B133" s="66" t="s">
        <v>28</v>
      </c>
      <c r="C133" s="150" t="s">
        <v>1136</v>
      </c>
      <c r="D133" s="150" t="s">
        <v>1135</v>
      </c>
      <c r="E133" s="150" t="s">
        <v>1135</v>
      </c>
      <c r="F133" s="150" t="s">
        <v>1137</v>
      </c>
      <c r="G133" s="511" t="s">
        <v>22</v>
      </c>
      <c r="H133" s="392" t="s">
        <v>2872</v>
      </c>
      <c r="I133" s="343"/>
      <c r="J133" s="343"/>
      <c r="K133" s="70" t="s">
        <v>29</v>
      </c>
      <c r="L133" s="346" t="s">
        <v>1139</v>
      </c>
      <c r="M133" s="346" t="s">
        <v>1140</v>
      </c>
      <c r="N133" s="346"/>
      <c r="O133" s="150" t="s">
        <v>25</v>
      </c>
      <c r="P133" s="150"/>
      <c r="Q133" s="403"/>
      <c r="R133" s="406">
        <v>0</v>
      </c>
      <c r="S133" s="406">
        <v>0</v>
      </c>
      <c r="T133" s="425"/>
      <c r="U133" s="71"/>
      <c r="V133" s="426"/>
      <c r="W133" s="427"/>
      <c r="X133" s="427"/>
      <c r="Y133" s="480"/>
      <c r="Z133" s="481"/>
      <c r="AA133" s="481">
        <v>1060974</v>
      </c>
      <c r="AB133" s="363" t="e">
        <v>#N/A</v>
      </c>
      <c r="AC133" s="360">
        <v>0</v>
      </c>
      <c r="AD133" s="360">
        <v>0</v>
      </c>
      <c r="AE133" s="360">
        <v>0</v>
      </c>
      <c r="AF133" s="360">
        <v>0</v>
      </c>
      <c r="AG133" s="360">
        <v>0</v>
      </c>
      <c r="AH133" s="360" t="e">
        <f t="shared" si="9"/>
        <v>#N/A</v>
      </c>
      <c r="AI133" s="362" t="e">
        <f>ERP[[#This Row],[2026 Working Total]]-ERP[[#This Row],[LE2 Final Submission]]</f>
        <v>#N/A</v>
      </c>
      <c r="AJ133" s="79" t="e">
        <v>#N/A</v>
      </c>
      <c r="AK133" s="79" t="e">
        <f t="shared" si="8"/>
        <v>#N/A</v>
      </c>
      <c r="AL133" s="374">
        <f>SUM(ERP[[#This Row],[AP01]:[AP06]])-SUM(ERP[[#This Row],[AP01 LE2]:[AP06 LE2]])</f>
        <v>1060974</v>
      </c>
      <c r="AM133" s="80"/>
      <c r="AN133" s="79" t="e">
        <f>ERP[[#This Row],[2026 Working Total to Budget/LE]]-ERP[[#This Row],[Giveback]]</f>
        <v>#N/A</v>
      </c>
      <c r="AO133" s="81"/>
      <c r="AP133" s="375"/>
      <c r="AQ133" s="375"/>
      <c r="AR133" s="375"/>
      <c r="AS133" s="375">
        <v>0</v>
      </c>
      <c r="AT133" s="375">
        <v>0</v>
      </c>
      <c r="AU133" s="375">
        <v>0</v>
      </c>
      <c r="AV133" s="375">
        <v>0</v>
      </c>
      <c r="AW133" s="375">
        <v>0</v>
      </c>
      <c r="AX133" s="375">
        <v>0</v>
      </c>
      <c r="AY133" s="375">
        <v>0</v>
      </c>
      <c r="AZ133" s="375">
        <v>0</v>
      </c>
      <c r="BA133" s="375">
        <v>0</v>
      </c>
      <c r="BB133" s="375">
        <v>0</v>
      </c>
      <c r="BC133" s="79">
        <v>643457</v>
      </c>
      <c r="BD133" s="79">
        <v>643457</v>
      </c>
      <c r="BE133" s="79">
        <v>643457</v>
      </c>
      <c r="BF133" s="79">
        <v>0</v>
      </c>
      <c r="BG133" s="79">
        <v>0</v>
      </c>
      <c r="BH133" s="79">
        <v>0</v>
      </c>
      <c r="BI133" s="79">
        <v>0</v>
      </c>
      <c r="BJ133" s="79">
        <v>0</v>
      </c>
      <c r="BK133" s="79">
        <v>0</v>
      </c>
      <c r="BL133" s="79">
        <v>0</v>
      </c>
      <c r="BM133" s="79">
        <v>0</v>
      </c>
      <c r="BN133" s="79">
        <v>0</v>
      </c>
      <c r="BO133" s="79">
        <v>1930371</v>
      </c>
    </row>
    <row r="134" spans="1:67" ht="15" customHeight="1">
      <c r="A134" s="66" t="s">
        <v>2890</v>
      </c>
      <c r="B134" s="66" t="s">
        <v>2891</v>
      </c>
      <c r="C134" s="150" t="s">
        <v>1136</v>
      </c>
      <c r="D134" s="150" t="s">
        <v>1567</v>
      </c>
      <c r="E134" s="150" t="s">
        <v>1567</v>
      </c>
      <c r="F134" s="150" t="s">
        <v>1567</v>
      </c>
      <c r="G134" s="511" t="s">
        <v>22</v>
      </c>
      <c r="H134" s="392" t="s">
        <v>2872</v>
      </c>
      <c r="I134" s="343"/>
      <c r="J134" s="343"/>
      <c r="K134" s="70" t="s">
        <v>29</v>
      </c>
      <c r="L134" s="346" t="s">
        <v>1139</v>
      </c>
      <c r="M134" s="346" t="s">
        <v>1140</v>
      </c>
      <c r="N134" s="346"/>
      <c r="O134" s="150" t="s">
        <v>25</v>
      </c>
      <c r="P134" s="150" t="s">
        <v>2892</v>
      </c>
      <c r="Q134" s="403"/>
      <c r="R134" s="406">
        <v>794938.1799999997</v>
      </c>
      <c r="S134" s="406">
        <v>806177.41999999993</v>
      </c>
      <c r="T134" s="425"/>
      <c r="U134" s="71"/>
      <c r="V134" s="426">
        <v>358290.86</v>
      </c>
      <c r="W134" s="427">
        <v>-25689.760000000002</v>
      </c>
      <c r="X134" s="427">
        <v>41090.669999999984</v>
      </c>
      <c r="Y134" s="428">
        <v>85849.400000000009</v>
      </c>
      <c r="Z134" s="429">
        <v>-59378.359999999986</v>
      </c>
      <c r="AA134" s="429">
        <v>-23605.23000000001</v>
      </c>
      <c r="AB134" s="363" t="e">
        <v>#N/A</v>
      </c>
      <c r="AC134" s="363">
        <v>55233.75</v>
      </c>
      <c r="AD134" s="363">
        <v>55233.75</v>
      </c>
      <c r="AE134" s="363">
        <v>55233.75</v>
      </c>
      <c r="AF134" s="363">
        <v>55233.75</v>
      </c>
      <c r="AG134" s="363">
        <v>55233.75</v>
      </c>
      <c r="AH134" s="360" t="e">
        <f t="shared" si="9"/>
        <v>#N/A</v>
      </c>
      <c r="AI134" s="362" t="e">
        <f>ERP[[#This Row],[2026 Working Total]]-ERP[[#This Row],[LE2 Final Submission]]</f>
        <v>#N/A</v>
      </c>
      <c r="AJ134" s="79" t="e">
        <v>#N/A</v>
      </c>
      <c r="AK134" s="79" t="e">
        <f t="shared" si="8"/>
        <v>#N/A</v>
      </c>
      <c r="AL134" s="374">
        <f>SUM(ERP[[#This Row],[AP01]:[AP06]])-SUM(ERP[[#This Row],[AP01 LE2]:[AP06 LE2]])</f>
        <v>-98217.340000000026</v>
      </c>
      <c r="AM134" s="80"/>
      <c r="AN134" s="79" t="e">
        <f>ERP[[#This Row],[2026 Working Total to Budget/LE]]-ERP[[#This Row],[Giveback]]</f>
        <v>#N/A</v>
      </c>
      <c r="AO134" s="81"/>
      <c r="AP134" s="375">
        <v>358290.86</v>
      </c>
      <c r="AQ134" s="375">
        <v>-25689.760000000002</v>
      </c>
      <c r="AR134" s="375">
        <v>41090.669999999984</v>
      </c>
      <c r="AS134" s="375">
        <v>85849.400000000009</v>
      </c>
      <c r="AT134" s="375">
        <v>-40000</v>
      </c>
      <c r="AU134" s="375">
        <v>55233.75</v>
      </c>
      <c r="AV134" s="375">
        <v>55233.75</v>
      </c>
      <c r="AW134" s="375">
        <v>55233.75</v>
      </c>
      <c r="AX134" s="375">
        <v>55233.75</v>
      </c>
      <c r="AY134" s="375">
        <v>55233.75</v>
      </c>
      <c r="AZ134" s="375">
        <v>55233.75</v>
      </c>
      <c r="BA134" s="375">
        <v>55233.75</v>
      </c>
      <c r="BB134" s="375">
        <v>806177.41999999993</v>
      </c>
      <c r="BC134" s="79">
        <v>214497.38</v>
      </c>
      <c r="BD134" s="79">
        <v>-47930</v>
      </c>
      <c r="BE134" s="79">
        <v>-59863</v>
      </c>
      <c r="BF134" s="79">
        <v>49611.67</v>
      </c>
      <c r="BG134" s="79">
        <v>81799.17</v>
      </c>
      <c r="BH134" s="79">
        <v>79239.77</v>
      </c>
      <c r="BI134" s="79">
        <v>53645.83</v>
      </c>
      <c r="BJ134" s="79">
        <v>53645.83</v>
      </c>
      <c r="BK134" s="79">
        <v>53645.83</v>
      </c>
      <c r="BL134" s="79">
        <v>53645.83</v>
      </c>
      <c r="BM134" s="79">
        <v>53645.83</v>
      </c>
      <c r="BN134" s="79">
        <v>53645.83</v>
      </c>
      <c r="BO134" s="79">
        <v>639229.97</v>
      </c>
    </row>
    <row r="135" spans="1:67" ht="15" customHeight="1">
      <c r="A135" s="66" t="s">
        <v>2898</v>
      </c>
      <c r="B135" s="66" t="s">
        <v>47</v>
      </c>
      <c r="C135" s="150" t="s">
        <v>1136</v>
      </c>
      <c r="D135" s="150" t="s">
        <v>1650</v>
      </c>
      <c r="E135" s="150" t="s">
        <v>1650</v>
      </c>
      <c r="F135" s="150" t="s">
        <v>1650</v>
      </c>
      <c r="G135" s="511" t="s">
        <v>22</v>
      </c>
      <c r="H135" s="392" t="s">
        <v>2872</v>
      </c>
      <c r="I135" s="343"/>
      <c r="J135" s="343"/>
      <c r="K135" s="70" t="s">
        <v>29</v>
      </c>
      <c r="L135" s="346" t="s">
        <v>1139</v>
      </c>
      <c r="M135" s="346" t="s">
        <v>1140</v>
      </c>
      <c r="N135" s="346"/>
      <c r="O135" s="150" t="s">
        <v>25</v>
      </c>
      <c r="P135" s="150"/>
      <c r="Q135" s="403"/>
      <c r="R135" s="406">
        <v>2029390.9400000004</v>
      </c>
      <c r="S135" s="406">
        <v>3060870.8486933634</v>
      </c>
      <c r="T135" s="425"/>
      <c r="U135" s="71"/>
      <c r="V135" s="426">
        <v>238474.06999999998</v>
      </c>
      <c r="W135" s="427">
        <v>255306.30000000005</v>
      </c>
      <c r="X135" s="427">
        <v>190399.43</v>
      </c>
      <c r="Y135" s="428">
        <v>293204.89</v>
      </c>
      <c r="Z135" s="429">
        <v>312206.57999999996</v>
      </c>
      <c r="AA135" s="429">
        <v>165290.4</v>
      </c>
      <c r="AB135" s="363" t="e">
        <v>#N/A</v>
      </c>
      <c r="AC135" s="363">
        <v>265188.32548648014</v>
      </c>
      <c r="AD135" s="363">
        <v>265188.32548648014</v>
      </c>
      <c r="AE135" s="363">
        <v>278462.33017032093</v>
      </c>
      <c r="AF135" s="363">
        <v>278462.33017032093</v>
      </c>
      <c r="AG135" s="363">
        <v>278462.33017032093</v>
      </c>
      <c r="AH135" s="360" t="e">
        <f t="shared" si="9"/>
        <v>#N/A</v>
      </c>
      <c r="AI135" s="362" t="e">
        <f>ERP[[#This Row],[2026 Working Total]]-ERP[[#This Row],[LE2 Final Submission]]</f>
        <v>#N/A</v>
      </c>
      <c r="AJ135" s="79" t="e">
        <v>#N/A</v>
      </c>
      <c r="AK135" s="79" t="e">
        <f t="shared" si="8"/>
        <v>#N/A</v>
      </c>
      <c r="AL135" s="374">
        <f>SUM(ERP[[#This Row],[AP01]:[AP06]])-SUM(ERP[[#This Row],[AP01 LE2]:[AP06 LE2]])</f>
        <v>-984.69813962723128</v>
      </c>
      <c r="AM135" s="80"/>
      <c r="AN135" s="79" t="e">
        <f>ERP[[#This Row],[2026 Working Total to Budget/LE]]-ERP[[#This Row],[Giveback]]</f>
        <v>#N/A</v>
      </c>
      <c r="AO135" s="81"/>
      <c r="AP135" s="375">
        <v>238474.06999999998</v>
      </c>
      <c r="AQ135" s="375">
        <v>255306.30000000005</v>
      </c>
      <c r="AR135" s="375">
        <v>190399.43</v>
      </c>
      <c r="AS135" s="375">
        <v>293204.89</v>
      </c>
      <c r="AT135" s="375">
        <v>239240.83906981352</v>
      </c>
      <c r="AU135" s="375">
        <v>239240.83906981352</v>
      </c>
      <c r="AV135" s="375">
        <v>239240.83906981352</v>
      </c>
      <c r="AW135" s="375">
        <v>265188.32548648014</v>
      </c>
      <c r="AX135" s="375">
        <v>265188.32548648014</v>
      </c>
      <c r="AY135" s="375">
        <v>278462.33017032093</v>
      </c>
      <c r="AZ135" s="375">
        <v>278462.33017032093</v>
      </c>
      <c r="BA135" s="375">
        <v>278462.33017032093</v>
      </c>
      <c r="BB135" s="375">
        <v>3060870.8486933634</v>
      </c>
      <c r="BC135" s="79">
        <v>150107.01</v>
      </c>
      <c r="BD135" s="79">
        <v>161151.91</v>
      </c>
      <c r="BE135" s="79">
        <v>86856.18</v>
      </c>
      <c r="BF135" s="79">
        <v>173603.4</v>
      </c>
      <c r="BG135" s="79">
        <v>155785.32</v>
      </c>
      <c r="BH135" s="79">
        <v>155785.32</v>
      </c>
      <c r="BI135" s="79">
        <v>155785.32</v>
      </c>
      <c r="BJ135" s="79">
        <v>180905.4</v>
      </c>
      <c r="BK135" s="79">
        <v>182227.08</v>
      </c>
      <c r="BL135" s="79">
        <v>182227.08</v>
      </c>
      <c r="BM135" s="79">
        <v>182227.08</v>
      </c>
      <c r="BN135" s="79">
        <v>182227.08</v>
      </c>
      <c r="BO135" s="79">
        <v>1948888.1800000004</v>
      </c>
    </row>
    <row r="136" spans="1:67" ht="15" customHeight="1">
      <c r="A136" s="66" t="s">
        <v>2906</v>
      </c>
      <c r="B136" s="66" t="s">
        <v>2907</v>
      </c>
      <c r="C136" s="150" t="s">
        <v>1136</v>
      </c>
      <c r="D136" s="150" t="s">
        <v>1135</v>
      </c>
      <c r="E136" s="150" t="s">
        <v>1137</v>
      </c>
      <c r="F136" s="150" t="s">
        <v>1137</v>
      </c>
      <c r="G136" s="511" t="s">
        <v>22</v>
      </c>
      <c r="H136" s="392" t="s">
        <v>2872</v>
      </c>
      <c r="I136" s="343"/>
      <c r="J136" s="343"/>
      <c r="K136" s="70" t="s">
        <v>29</v>
      </c>
      <c r="L136" s="346" t="s">
        <v>1139</v>
      </c>
      <c r="M136" s="346" t="s">
        <v>1140</v>
      </c>
      <c r="N136" s="346"/>
      <c r="O136" s="150" t="s">
        <v>25</v>
      </c>
      <c r="P136" s="1" t="s">
        <v>1141</v>
      </c>
      <c r="Q136" s="403"/>
      <c r="R136" s="406">
        <v>9831851.3300000001</v>
      </c>
      <c r="S136" s="406">
        <v>15406112.624272117</v>
      </c>
      <c r="T136" s="425"/>
      <c r="U136" s="71"/>
      <c r="V136" s="426">
        <v>1402914.3999999987</v>
      </c>
      <c r="W136" s="427">
        <v>1397677.6399999992</v>
      </c>
      <c r="X136" s="427">
        <v>1375284.8299999998</v>
      </c>
      <c r="Y136" s="428">
        <v>1433399.4699999997</v>
      </c>
      <c r="Z136" s="429">
        <v>1510809.23</v>
      </c>
      <c r="AA136" s="429">
        <v>372672.31999999989</v>
      </c>
      <c r="AB136" s="363" t="e">
        <v>#N/A</v>
      </c>
      <c r="AC136" s="363">
        <v>1221091.4455470033</v>
      </c>
      <c r="AD136" s="363">
        <v>1194419.2817703367</v>
      </c>
      <c r="AE136" s="363">
        <v>1239489.2742341459</v>
      </c>
      <c r="AF136" s="363">
        <v>1239489.2742341459</v>
      </c>
      <c r="AG136" s="363">
        <v>1254635.0692481461</v>
      </c>
      <c r="AH136" s="360" t="e">
        <f t="shared" si="9"/>
        <v>#N/A</v>
      </c>
      <c r="AI136" s="362" t="e">
        <f>ERP[[#This Row],[2026 Working Total]]-ERP[[#This Row],[LE2 Final Submission]]</f>
        <v>#N/A</v>
      </c>
      <c r="AJ136" s="79" t="e">
        <v>#N/A</v>
      </c>
      <c r="AK136" s="79" t="e">
        <f t="shared" ref="AK136:AK199" si="10">$AA136 - $AJ136</f>
        <v>#N/A</v>
      </c>
      <c r="AL136" s="374">
        <f>SUM(ERP[[#This Row],[AP01]:[AP06]])-SUM(ERP[[#This Row],[AP01 LE2]:[AP06 LE2]])</f>
        <v>-555378.66144133732</v>
      </c>
      <c r="AM136" s="80"/>
      <c r="AN136" s="79" t="e">
        <f>ERP[[#This Row],[2026 Working Total to Budget/LE]]-ERP[[#This Row],[Giveback]]</f>
        <v>#N/A</v>
      </c>
      <c r="AO136" s="81"/>
      <c r="AP136" s="375">
        <v>1402914.3999999987</v>
      </c>
      <c r="AQ136" s="375">
        <v>1397677.6399999992</v>
      </c>
      <c r="AR136" s="375">
        <v>1375284.8299999998</v>
      </c>
      <c r="AS136" s="375">
        <v>1386261.7499999984</v>
      </c>
      <c r="AT136" s="375">
        <v>1250571.8632276698</v>
      </c>
      <c r="AU136" s="375">
        <v>1235426.0682136698</v>
      </c>
      <c r="AV136" s="375">
        <v>1208851.7277970032</v>
      </c>
      <c r="AW136" s="375">
        <v>1221091.4455470033</v>
      </c>
      <c r="AX136" s="375">
        <v>1194419.2817703367</v>
      </c>
      <c r="AY136" s="375">
        <v>1239489.2742341459</v>
      </c>
      <c r="AZ136" s="375">
        <v>1239489.2742341459</v>
      </c>
      <c r="BA136" s="375">
        <v>1254635.0692481461</v>
      </c>
      <c r="BB136" s="375">
        <v>15406112.624272117</v>
      </c>
      <c r="BC136" s="79">
        <v>270417.52</v>
      </c>
      <c r="BD136" s="79">
        <v>276999.43</v>
      </c>
      <c r="BE136" s="79">
        <v>232520.6</v>
      </c>
      <c r="BF136" s="79">
        <v>809656.43</v>
      </c>
      <c r="BG136" s="79">
        <v>809656.43</v>
      </c>
      <c r="BH136" s="79">
        <v>809656.43</v>
      </c>
      <c r="BI136" s="79">
        <v>829249.26</v>
      </c>
      <c r="BJ136" s="79">
        <v>829249.26</v>
      </c>
      <c r="BK136" s="79">
        <v>854062.66</v>
      </c>
      <c r="BL136" s="79">
        <v>854062.66</v>
      </c>
      <c r="BM136" s="79">
        <v>854062.66</v>
      </c>
      <c r="BN136" s="79">
        <v>854062.66</v>
      </c>
      <c r="BO136" s="79">
        <v>8283656.0000000009</v>
      </c>
    </row>
    <row r="137" spans="1:67" ht="15" customHeight="1">
      <c r="A137" s="150" t="s">
        <v>2606</v>
      </c>
      <c r="B137" s="296" t="s">
        <v>902</v>
      </c>
      <c r="C137" s="150" t="s">
        <v>1136</v>
      </c>
      <c r="D137" s="150" t="s">
        <v>1345</v>
      </c>
      <c r="E137" s="332" t="s">
        <v>1344</v>
      </c>
      <c r="F137" s="331" t="s">
        <v>1346</v>
      </c>
      <c r="G137" s="514" t="s">
        <v>639</v>
      </c>
      <c r="H137" s="394" t="s">
        <v>2607</v>
      </c>
      <c r="I137" s="333"/>
      <c r="J137" s="332" t="s">
        <v>1358</v>
      </c>
      <c r="K137" s="90" t="s">
        <v>53</v>
      </c>
      <c r="L137" s="347"/>
      <c r="M137" s="347"/>
      <c r="N137" s="348"/>
      <c r="O137" s="348"/>
      <c r="P137" s="348"/>
      <c r="Q137" s="402"/>
      <c r="R137" s="406"/>
      <c r="S137" s="406"/>
      <c r="T137" s="425"/>
      <c r="U137" s="71"/>
      <c r="V137" s="435"/>
      <c r="W137" s="436"/>
      <c r="X137" s="436"/>
      <c r="Y137" s="429">
        <v>90</v>
      </c>
      <c r="Z137" s="429">
        <v>0</v>
      </c>
      <c r="AA137" s="429">
        <v>0</v>
      </c>
      <c r="AB137" s="363" t="e">
        <v>#N/A</v>
      </c>
      <c r="AC137" s="364"/>
      <c r="AD137" s="364"/>
      <c r="AE137" s="364"/>
      <c r="AF137" s="364"/>
      <c r="AG137" s="364"/>
      <c r="AH137" s="360" t="e">
        <f t="shared" si="9"/>
        <v>#N/A</v>
      </c>
      <c r="AI137" s="362" t="e">
        <f>ERP[[#This Row],[2026 Working Total]]-ERP[[#This Row],[LE2 Final Submission]]</f>
        <v>#N/A</v>
      </c>
      <c r="AJ137" s="79" t="e">
        <v>#N/A</v>
      </c>
      <c r="AK137" s="79" t="e">
        <f t="shared" si="10"/>
        <v>#N/A</v>
      </c>
      <c r="AL137" s="374">
        <f>SUM(ERP[[#This Row],[AP01]:[AP06]])-SUM(ERP[[#This Row],[AP01 LE2]:[AP06 LE2]])</f>
        <v>90</v>
      </c>
      <c r="AM137" s="80"/>
      <c r="AN137" s="79" t="e">
        <f>ERP[[#This Row],[2026 Working Total to Budget/LE]]-ERP[[#This Row],[Giveback]]</f>
        <v>#N/A</v>
      </c>
      <c r="AO137" s="81"/>
      <c r="AP137" s="375"/>
      <c r="AQ137" s="375"/>
      <c r="AR137" s="375"/>
      <c r="AS137" s="375"/>
      <c r="AT137" s="375"/>
      <c r="AU137" s="375"/>
      <c r="AV137" s="375"/>
      <c r="AW137" s="375"/>
      <c r="AX137" s="375"/>
      <c r="AY137" s="375"/>
      <c r="AZ137" s="375"/>
      <c r="BA137" s="375"/>
      <c r="BB137" s="375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</row>
    <row r="138" spans="1:67" ht="15" customHeight="1">
      <c r="A138" s="150" t="s">
        <v>2745</v>
      </c>
      <c r="B138" s="296" t="s">
        <v>983</v>
      </c>
      <c r="C138" s="150" t="s">
        <v>1136</v>
      </c>
      <c r="D138" s="150" t="s">
        <v>1345</v>
      </c>
      <c r="E138" s="332" t="s">
        <v>1515</v>
      </c>
      <c r="F138" s="333" t="s">
        <v>1515</v>
      </c>
      <c r="G138" s="514" t="s">
        <v>639</v>
      </c>
      <c r="H138" s="394" t="s">
        <v>2614</v>
      </c>
      <c r="I138" s="333"/>
      <c r="J138" s="332" t="s">
        <v>2746</v>
      </c>
      <c r="K138" s="90" t="s">
        <v>53</v>
      </c>
      <c r="L138" s="347"/>
      <c r="M138" s="347"/>
      <c r="N138" s="348"/>
      <c r="O138" s="348"/>
      <c r="P138" s="348"/>
      <c r="Q138" s="402"/>
      <c r="R138" s="406"/>
      <c r="S138" s="406"/>
      <c r="T138" s="425"/>
      <c r="U138" s="71"/>
      <c r="V138" s="435"/>
      <c r="W138" s="436"/>
      <c r="X138" s="436"/>
      <c r="Y138" s="429"/>
      <c r="Z138" s="429">
        <v>227</v>
      </c>
      <c r="AA138" s="429">
        <v>0</v>
      </c>
      <c r="AB138" s="363" t="e">
        <v>#N/A</v>
      </c>
      <c r="AC138" s="364"/>
      <c r="AD138" s="364"/>
      <c r="AE138" s="364"/>
      <c r="AF138" s="364"/>
      <c r="AG138" s="364"/>
      <c r="AH138" s="360" t="e">
        <f t="shared" si="9"/>
        <v>#N/A</v>
      </c>
      <c r="AI138" s="362" t="e">
        <f>ERP[[#This Row],[2026 Working Total]]-ERP[[#This Row],[LE2 Final Submission]]</f>
        <v>#N/A</v>
      </c>
      <c r="AJ138" s="79" t="e">
        <v>#N/A</v>
      </c>
      <c r="AK138" s="79" t="e">
        <f t="shared" si="10"/>
        <v>#N/A</v>
      </c>
      <c r="AL138" s="374">
        <f>SUM(ERP[[#This Row],[AP01]:[AP06]])-SUM(ERP[[#This Row],[AP01 LE2]:[AP06 LE2]])</f>
        <v>227</v>
      </c>
      <c r="AM138" s="80"/>
      <c r="AN138" s="79" t="e">
        <f>ERP[[#This Row],[2026 Working Total to Budget/LE]]-ERP[[#This Row],[Giveback]]</f>
        <v>#N/A</v>
      </c>
      <c r="AO138" s="81"/>
      <c r="AP138" s="375"/>
      <c r="AQ138" s="375"/>
      <c r="AR138" s="375"/>
      <c r="AS138" s="375"/>
      <c r="AT138" s="375"/>
      <c r="AU138" s="375"/>
      <c r="AV138" s="375"/>
      <c r="AW138" s="375"/>
      <c r="AX138" s="375"/>
      <c r="AY138" s="375"/>
      <c r="AZ138" s="375"/>
      <c r="BA138" s="375"/>
      <c r="BB138" s="375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</row>
    <row r="139" spans="1:67" ht="15" customHeight="1">
      <c r="A139" s="79" t="s">
        <v>2667</v>
      </c>
      <c r="B139" s="296" t="s">
        <v>941</v>
      </c>
      <c r="C139" s="150" t="s">
        <v>1136</v>
      </c>
      <c r="D139" s="332" t="s">
        <v>1345</v>
      </c>
      <c r="E139" s="332" t="s">
        <v>1345</v>
      </c>
      <c r="F139" s="332" t="s">
        <v>1345</v>
      </c>
      <c r="G139" s="514" t="s">
        <v>639</v>
      </c>
      <c r="H139" s="394" t="s">
        <v>2668</v>
      </c>
      <c r="I139" s="343"/>
      <c r="J139" s="333"/>
      <c r="K139" s="70" t="s">
        <v>53</v>
      </c>
      <c r="L139" s="347"/>
      <c r="M139" s="343"/>
      <c r="N139" s="348"/>
      <c r="O139" s="348"/>
      <c r="P139" s="348" t="s">
        <v>1700</v>
      </c>
      <c r="Q139" s="402"/>
      <c r="R139" s="358"/>
      <c r="S139" s="379">
        <v>0</v>
      </c>
      <c r="T139" s="425"/>
      <c r="U139" s="71"/>
      <c r="V139" s="435"/>
      <c r="W139" s="436"/>
      <c r="X139" s="436"/>
      <c r="Y139" s="428" t="s">
        <v>1142</v>
      </c>
      <c r="Z139" s="429">
        <v>0</v>
      </c>
      <c r="AA139" s="429">
        <v>0</v>
      </c>
      <c r="AB139" s="363" t="e">
        <v>#N/A</v>
      </c>
      <c r="AC139" s="364"/>
      <c r="AD139" s="364"/>
      <c r="AE139" s="364"/>
      <c r="AF139" s="364"/>
      <c r="AG139" s="364"/>
      <c r="AH139" s="360" t="e">
        <f t="shared" si="9"/>
        <v>#N/A</v>
      </c>
      <c r="AI139" s="362" t="e">
        <f>ERP[[#This Row],[2026 Working Total]]-ERP[[#This Row],[LE2 Final Submission]]</f>
        <v>#N/A</v>
      </c>
      <c r="AJ139" s="79" t="e">
        <v>#N/A</v>
      </c>
      <c r="AK139" s="79" t="e">
        <f t="shared" si="10"/>
        <v>#N/A</v>
      </c>
      <c r="AL139" s="374">
        <f>SUM(ERP[[#This Row],[AP01]:[AP06]])-SUM(ERP[[#This Row],[AP01 LE2]:[AP06 LE2]])</f>
        <v>0</v>
      </c>
      <c r="AM139" s="80"/>
      <c r="AN139" s="79" t="e">
        <f>ERP[[#This Row],[2026 Working Total to Budget/LE]]-ERP[[#This Row],[Giveback]]</f>
        <v>#N/A</v>
      </c>
      <c r="AO139" s="81"/>
      <c r="AP139" s="375"/>
      <c r="AQ139" s="375"/>
      <c r="AR139" s="375"/>
      <c r="AS139" s="375">
        <v>180</v>
      </c>
      <c r="AT139" s="375">
        <v>-180</v>
      </c>
      <c r="AU139" s="375"/>
      <c r="AV139" s="375"/>
      <c r="AW139" s="375"/>
      <c r="AX139" s="375"/>
      <c r="AY139" s="375"/>
      <c r="AZ139" s="375"/>
      <c r="BA139" s="375"/>
      <c r="BB139" s="375">
        <v>0</v>
      </c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</row>
    <row r="140" spans="1:67" ht="15" customHeight="1">
      <c r="A140" s="150" t="s">
        <v>1163</v>
      </c>
      <c r="B140" s="296" t="s">
        <v>1164</v>
      </c>
      <c r="C140" s="150" t="s">
        <v>1136</v>
      </c>
      <c r="D140" s="150" t="s">
        <v>1135</v>
      </c>
      <c r="E140" s="150" t="s">
        <v>1165</v>
      </c>
      <c r="F140" s="150" t="s">
        <v>1165</v>
      </c>
      <c r="G140" s="514" t="s">
        <v>49</v>
      </c>
      <c r="H140" s="394" t="s">
        <v>1166</v>
      </c>
      <c r="I140" s="333" t="s">
        <v>1167</v>
      </c>
      <c r="J140" s="332" t="s">
        <v>1168</v>
      </c>
      <c r="K140" s="90" t="s">
        <v>53</v>
      </c>
      <c r="L140" s="347"/>
      <c r="M140" s="347"/>
      <c r="N140" s="348"/>
      <c r="O140" s="348"/>
      <c r="P140" s="348"/>
      <c r="Q140" s="402"/>
      <c r="R140" s="406"/>
      <c r="S140" s="406"/>
      <c r="T140" s="425"/>
      <c r="U140" s="71"/>
      <c r="V140" s="435"/>
      <c r="W140" s="436"/>
      <c r="X140" s="436"/>
      <c r="Y140" s="429">
        <v>24147</v>
      </c>
      <c r="Z140" s="429">
        <v>-46130</v>
      </c>
      <c r="AA140" s="429">
        <v>-215360</v>
      </c>
      <c r="AB140" s="363" t="e">
        <v>#N/A</v>
      </c>
      <c r="AC140" s="364"/>
      <c r="AD140" s="364"/>
      <c r="AE140" s="364"/>
      <c r="AF140" s="364"/>
      <c r="AG140" s="364"/>
      <c r="AH140" s="360" t="e">
        <f t="shared" ref="AH140:AH203" si="11">SUM(V140:AG140)</f>
        <v>#N/A</v>
      </c>
      <c r="AI140" s="362" t="e">
        <f>ERP[[#This Row],[2026 Working Total]]-ERP[[#This Row],[LE2 Final Submission]]</f>
        <v>#N/A</v>
      </c>
      <c r="AJ140" s="79" t="e">
        <v>#N/A</v>
      </c>
      <c r="AK140" s="79" t="e">
        <f t="shared" si="10"/>
        <v>#N/A</v>
      </c>
      <c r="AL140" s="374">
        <f>SUM(ERP[[#This Row],[AP01]:[AP06]])-SUM(ERP[[#This Row],[AP01 LE2]:[AP06 LE2]])</f>
        <v>-237343</v>
      </c>
      <c r="AM140" s="80"/>
      <c r="AN140" s="79" t="e">
        <f>ERP[[#This Row],[2026 Working Total to Budget/LE]]-ERP[[#This Row],[Giveback]]</f>
        <v>#N/A</v>
      </c>
      <c r="AO140" s="81"/>
      <c r="AP140" s="375"/>
      <c r="AQ140" s="375"/>
      <c r="AR140" s="375"/>
      <c r="AS140" s="375"/>
      <c r="AT140" s="375"/>
      <c r="AU140" s="375"/>
      <c r="AV140" s="375"/>
      <c r="AW140" s="375"/>
      <c r="AX140" s="375"/>
      <c r="AY140" s="375"/>
      <c r="AZ140" s="375"/>
      <c r="BA140" s="375"/>
      <c r="BB140" s="375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</row>
    <row r="141" spans="1:67" ht="15" customHeight="1">
      <c r="A141" s="66" t="s">
        <v>1146</v>
      </c>
      <c r="B141" s="66" t="s">
        <v>52</v>
      </c>
      <c r="C141" s="150" t="s">
        <v>1136</v>
      </c>
      <c r="D141" s="150" t="s">
        <v>1135</v>
      </c>
      <c r="E141" s="150" t="s">
        <v>1135</v>
      </c>
      <c r="F141" s="150" t="s">
        <v>1137</v>
      </c>
      <c r="G141" s="511" t="s">
        <v>49</v>
      </c>
      <c r="H141" s="392" t="s">
        <v>1147</v>
      </c>
      <c r="I141" s="343"/>
      <c r="J141" s="343"/>
      <c r="K141" s="70" t="s">
        <v>53</v>
      </c>
      <c r="L141" s="346" t="s">
        <v>1149</v>
      </c>
      <c r="M141" s="343"/>
      <c r="N141" s="346"/>
      <c r="O141" s="150" t="s">
        <v>25</v>
      </c>
      <c r="P141" s="150"/>
      <c r="Q141" s="403"/>
      <c r="R141" s="406">
        <v>0</v>
      </c>
      <c r="S141" s="406">
        <v>-51577</v>
      </c>
      <c r="T141" s="425"/>
      <c r="U141" s="71"/>
      <c r="V141" s="426">
        <v>44340</v>
      </c>
      <c r="W141" s="427">
        <v>-23011</v>
      </c>
      <c r="X141" s="427">
        <v>-72906</v>
      </c>
      <c r="Y141" s="428">
        <v>9489</v>
      </c>
      <c r="Z141" s="429">
        <v>-2647</v>
      </c>
      <c r="AA141" s="429">
        <v>5440</v>
      </c>
      <c r="AB141" s="363" t="e">
        <v>#N/A</v>
      </c>
      <c r="AC141" s="360">
        <v>0</v>
      </c>
      <c r="AD141" s="360">
        <v>0</v>
      </c>
      <c r="AE141" s="360">
        <v>0</v>
      </c>
      <c r="AF141" s="360">
        <v>0</v>
      </c>
      <c r="AG141" s="360">
        <v>0</v>
      </c>
      <c r="AH141" s="360" t="e">
        <f t="shared" si="11"/>
        <v>#N/A</v>
      </c>
      <c r="AI141" s="362" t="e">
        <f>ERP[[#This Row],[2026 Working Total]]-ERP[[#This Row],[LE2 Final Submission]]</f>
        <v>#N/A</v>
      </c>
      <c r="AJ141" s="79" t="e">
        <v>#N/A</v>
      </c>
      <c r="AK141" s="79" t="e">
        <f t="shared" si="10"/>
        <v>#N/A</v>
      </c>
      <c r="AL141" s="374">
        <f>SUM(ERP[[#This Row],[AP01]:[AP06]])-SUM(ERP[[#This Row],[AP01 LE2]:[AP06 LE2]])</f>
        <v>12282</v>
      </c>
      <c r="AM141" s="80"/>
      <c r="AN141" s="79" t="e">
        <f>ERP[[#This Row],[2026 Working Total to Budget/LE]]-ERP[[#This Row],[Giveback]]</f>
        <v>#N/A</v>
      </c>
      <c r="AO141" s="81"/>
      <c r="AP141" s="375">
        <v>44340</v>
      </c>
      <c r="AQ141" s="375">
        <v>-23011</v>
      </c>
      <c r="AR141" s="375">
        <v>-72906</v>
      </c>
      <c r="AS141" s="375">
        <v>0</v>
      </c>
      <c r="AT141" s="375">
        <v>0</v>
      </c>
      <c r="AU141" s="375">
        <v>0</v>
      </c>
      <c r="AV141" s="375">
        <v>0</v>
      </c>
      <c r="AW141" s="375">
        <v>0</v>
      </c>
      <c r="AX141" s="375">
        <v>0</v>
      </c>
      <c r="AY141" s="375">
        <v>0</v>
      </c>
      <c r="AZ141" s="375">
        <v>0</v>
      </c>
      <c r="BA141" s="375">
        <v>0</v>
      </c>
      <c r="BB141" s="375">
        <v>-51577</v>
      </c>
      <c r="BC141" s="79">
        <v>44340</v>
      </c>
      <c r="BD141" s="79">
        <v>-23011</v>
      </c>
      <c r="BE141" s="79">
        <v>-72906</v>
      </c>
      <c r="BF141" s="79">
        <v>0</v>
      </c>
      <c r="BG141" s="79">
        <v>0</v>
      </c>
      <c r="BH141" s="79">
        <v>0</v>
      </c>
      <c r="BI141" s="79">
        <v>0</v>
      </c>
      <c r="BJ141" s="79">
        <v>0</v>
      </c>
      <c r="BK141" s="79">
        <v>0</v>
      </c>
      <c r="BL141" s="79">
        <v>0</v>
      </c>
      <c r="BM141" s="79">
        <v>0</v>
      </c>
      <c r="BN141" s="79">
        <v>0</v>
      </c>
      <c r="BO141" s="79">
        <v>-51577</v>
      </c>
    </row>
    <row r="142" spans="1:67" ht="15" customHeight="1">
      <c r="A142" s="66" t="s">
        <v>1357</v>
      </c>
      <c r="B142" s="66" t="s">
        <v>159</v>
      </c>
      <c r="C142" s="150" t="s">
        <v>1136</v>
      </c>
      <c r="D142" s="150" t="s">
        <v>1345</v>
      </c>
      <c r="E142" s="150" t="s">
        <v>1344</v>
      </c>
      <c r="F142" s="150" t="s">
        <v>1346</v>
      </c>
      <c r="G142" s="511" t="s">
        <v>49</v>
      </c>
      <c r="H142" s="392" t="s">
        <v>1147</v>
      </c>
      <c r="I142" s="343"/>
      <c r="J142" s="343"/>
      <c r="K142" s="70" t="s">
        <v>53</v>
      </c>
      <c r="L142" s="346" t="s">
        <v>1153</v>
      </c>
      <c r="M142" s="343"/>
      <c r="N142" s="346"/>
      <c r="O142" s="150" t="s">
        <v>25</v>
      </c>
      <c r="P142" s="150" t="s">
        <v>1359</v>
      </c>
      <c r="Q142" s="403"/>
      <c r="R142" s="406">
        <v>0</v>
      </c>
      <c r="S142" s="406">
        <v>130143</v>
      </c>
      <c r="T142" s="425"/>
      <c r="U142" s="71"/>
      <c r="V142" s="426">
        <v>91657</v>
      </c>
      <c r="W142" s="427">
        <v>-50311</v>
      </c>
      <c r="X142" s="427">
        <v>88797</v>
      </c>
      <c r="Y142" s="428">
        <v>142812</v>
      </c>
      <c r="Z142" s="429">
        <v>-181452</v>
      </c>
      <c r="AA142" s="429">
        <v>124380</v>
      </c>
      <c r="AB142" s="363" t="e">
        <v>#N/A</v>
      </c>
      <c r="AC142" s="360">
        <v>0</v>
      </c>
      <c r="AD142" s="360">
        <v>0</v>
      </c>
      <c r="AE142" s="360">
        <v>0</v>
      </c>
      <c r="AF142" s="360">
        <v>0</v>
      </c>
      <c r="AG142" s="360">
        <v>38640</v>
      </c>
      <c r="AH142" s="360" t="e">
        <f t="shared" si="11"/>
        <v>#N/A</v>
      </c>
      <c r="AI142" s="362" t="e">
        <f>ERP[[#This Row],[2026 Working Total]]-ERP[[#This Row],[LE2 Final Submission]]</f>
        <v>#N/A</v>
      </c>
      <c r="AJ142" s="79" t="e">
        <v>#N/A</v>
      </c>
      <c r="AK142" s="79" t="e">
        <f t="shared" si="10"/>
        <v>#N/A</v>
      </c>
      <c r="AL142" s="374">
        <f>SUM(ERP[[#This Row],[AP01]:[AP06]])-SUM(ERP[[#This Row],[AP01 LE2]:[AP06 LE2]])</f>
        <v>85740</v>
      </c>
      <c r="AM142" s="80"/>
      <c r="AN142" s="79" t="e">
        <f>ERP[[#This Row],[2026 Working Total to Budget/LE]]-ERP[[#This Row],[Giveback]]</f>
        <v>#N/A</v>
      </c>
      <c r="AO142" s="155" t="s">
        <v>1360</v>
      </c>
      <c r="AP142" s="375">
        <v>91657</v>
      </c>
      <c r="AQ142" s="375">
        <v>-50311</v>
      </c>
      <c r="AR142" s="375">
        <v>88797</v>
      </c>
      <c r="AS142" s="375">
        <v>0</v>
      </c>
      <c r="AT142" s="375">
        <v>0</v>
      </c>
      <c r="AU142" s="375">
        <v>0</v>
      </c>
      <c r="AV142" s="375">
        <v>0</v>
      </c>
      <c r="AW142" s="375">
        <v>0</v>
      </c>
      <c r="AX142" s="375">
        <v>0</v>
      </c>
      <c r="AY142" s="375">
        <v>0</v>
      </c>
      <c r="AZ142" s="375">
        <v>0</v>
      </c>
      <c r="BA142" s="375">
        <v>0</v>
      </c>
      <c r="BB142" s="375">
        <v>130143</v>
      </c>
      <c r="BC142" s="79">
        <v>91657</v>
      </c>
      <c r="BD142" s="79">
        <v>-50311</v>
      </c>
      <c r="BE142" s="79">
        <v>88797</v>
      </c>
      <c r="BF142" s="79">
        <v>0</v>
      </c>
      <c r="BG142" s="79">
        <v>0</v>
      </c>
      <c r="BH142" s="79">
        <v>0</v>
      </c>
      <c r="BI142" s="79">
        <v>0</v>
      </c>
      <c r="BJ142" s="79">
        <v>0</v>
      </c>
      <c r="BK142" s="79">
        <v>0</v>
      </c>
      <c r="BL142" s="79">
        <v>0</v>
      </c>
      <c r="BM142" s="79">
        <v>0</v>
      </c>
      <c r="BN142" s="79">
        <v>0</v>
      </c>
      <c r="BO142" s="79">
        <v>130143</v>
      </c>
    </row>
    <row r="143" spans="1:67" ht="15" customHeight="1">
      <c r="A143" s="66" t="s">
        <v>1963</v>
      </c>
      <c r="B143" s="66" t="s">
        <v>492</v>
      </c>
      <c r="C143" s="150" t="s">
        <v>1136</v>
      </c>
      <c r="D143" s="150" t="s">
        <v>1345</v>
      </c>
      <c r="E143" s="150" t="s">
        <v>1344</v>
      </c>
      <c r="F143" s="150" t="s">
        <v>1346</v>
      </c>
      <c r="G143" s="511" t="s">
        <v>389</v>
      </c>
      <c r="H143" s="392" t="s">
        <v>1147</v>
      </c>
      <c r="I143" s="343"/>
      <c r="J143" s="343"/>
      <c r="K143" s="70" t="s">
        <v>53</v>
      </c>
      <c r="L143" s="346" t="s">
        <v>1153</v>
      </c>
      <c r="M143" s="343"/>
      <c r="N143" s="346"/>
      <c r="O143" s="150" t="s">
        <v>25</v>
      </c>
      <c r="P143" s="150"/>
      <c r="Q143" s="403"/>
      <c r="R143" s="406">
        <v>0</v>
      </c>
      <c r="S143" s="406">
        <v>387</v>
      </c>
      <c r="T143" s="425"/>
      <c r="U143" s="71"/>
      <c r="V143" s="426">
        <v>129</v>
      </c>
      <c r="W143" s="427">
        <v>129</v>
      </c>
      <c r="X143" s="427">
        <v>129</v>
      </c>
      <c r="Y143" s="428">
        <v>129</v>
      </c>
      <c r="Z143" s="429">
        <v>129</v>
      </c>
      <c r="AA143" s="429">
        <v>129</v>
      </c>
      <c r="AB143" s="363" t="e">
        <v>#N/A</v>
      </c>
      <c r="AC143" s="360">
        <v>0</v>
      </c>
      <c r="AD143" s="360">
        <v>0</v>
      </c>
      <c r="AE143" s="360">
        <v>0</v>
      </c>
      <c r="AF143" s="360">
        <v>0</v>
      </c>
      <c r="AG143" s="360">
        <v>0</v>
      </c>
      <c r="AH143" s="360" t="e">
        <f t="shared" si="11"/>
        <v>#N/A</v>
      </c>
      <c r="AI143" s="362" t="e">
        <f>ERP[[#This Row],[2026 Working Total]]-ERP[[#This Row],[LE2 Final Submission]]</f>
        <v>#N/A</v>
      </c>
      <c r="AJ143" s="79" t="e">
        <v>#N/A</v>
      </c>
      <c r="AK143" s="79" t="e">
        <f t="shared" si="10"/>
        <v>#N/A</v>
      </c>
      <c r="AL143" s="374">
        <f>SUM(ERP[[#This Row],[AP01]:[AP06]])-SUM(ERP[[#This Row],[AP01 LE2]:[AP06 LE2]])</f>
        <v>387</v>
      </c>
      <c r="AM143" s="80"/>
      <c r="AN143" s="79" t="e">
        <f>ERP[[#This Row],[2026 Working Total to Budget/LE]]-ERP[[#This Row],[Giveback]]</f>
        <v>#N/A</v>
      </c>
      <c r="AO143" s="81"/>
      <c r="AP143" s="375">
        <v>129</v>
      </c>
      <c r="AQ143" s="375">
        <v>129</v>
      </c>
      <c r="AR143" s="375">
        <v>129</v>
      </c>
      <c r="AS143" s="375">
        <v>0</v>
      </c>
      <c r="AT143" s="375">
        <v>0</v>
      </c>
      <c r="AU143" s="375">
        <v>0</v>
      </c>
      <c r="AV143" s="375">
        <v>0</v>
      </c>
      <c r="AW143" s="375">
        <v>0</v>
      </c>
      <c r="AX143" s="375">
        <v>0</v>
      </c>
      <c r="AY143" s="375">
        <v>0</v>
      </c>
      <c r="AZ143" s="375">
        <v>0</v>
      </c>
      <c r="BA143" s="375">
        <v>0</v>
      </c>
      <c r="BB143" s="375">
        <v>387</v>
      </c>
      <c r="BC143" s="79">
        <v>129</v>
      </c>
      <c r="BD143" s="79">
        <v>129</v>
      </c>
      <c r="BE143" s="79">
        <v>129</v>
      </c>
      <c r="BF143" s="79">
        <v>0</v>
      </c>
      <c r="BG143" s="79">
        <v>0</v>
      </c>
      <c r="BH143" s="79">
        <v>0</v>
      </c>
      <c r="BI143" s="79">
        <v>0</v>
      </c>
      <c r="BJ143" s="79">
        <v>0</v>
      </c>
      <c r="BK143" s="79">
        <v>0</v>
      </c>
      <c r="BL143" s="79">
        <v>0</v>
      </c>
      <c r="BM143" s="79">
        <v>0</v>
      </c>
      <c r="BN143" s="79">
        <v>0</v>
      </c>
      <c r="BO143" s="79">
        <v>387</v>
      </c>
    </row>
    <row r="144" spans="1:67" ht="15" customHeight="1">
      <c r="A144" s="66" t="s">
        <v>1432</v>
      </c>
      <c r="B144" s="66" t="s">
        <v>198</v>
      </c>
      <c r="C144" s="150" t="s">
        <v>1136</v>
      </c>
      <c r="D144" s="150" t="s">
        <v>1345</v>
      </c>
      <c r="E144" s="150" t="s">
        <v>1345</v>
      </c>
      <c r="F144" s="150" t="s">
        <v>1346</v>
      </c>
      <c r="G144" s="511" t="s">
        <v>49</v>
      </c>
      <c r="H144" s="392" t="s">
        <v>1147</v>
      </c>
      <c r="I144" s="343"/>
      <c r="J144" s="343"/>
      <c r="K144" s="70" t="s">
        <v>53</v>
      </c>
      <c r="L144" s="346" t="s">
        <v>1153</v>
      </c>
      <c r="M144" s="343"/>
      <c r="N144" s="346"/>
      <c r="O144" s="150" t="s">
        <v>25</v>
      </c>
      <c r="P144" s="150" t="s">
        <v>1434</v>
      </c>
      <c r="Q144" s="403"/>
      <c r="R144" s="406">
        <v>0</v>
      </c>
      <c r="S144" s="406">
        <v>0</v>
      </c>
      <c r="T144" s="425"/>
      <c r="U144" s="71"/>
      <c r="V144" s="426">
        <v>579568</v>
      </c>
      <c r="W144" s="427">
        <v>-598991</v>
      </c>
      <c r="X144" s="427">
        <v>-317436</v>
      </c>
      <c r="Y144" s="428">
        <v>577046</v>
      </c>
      <c r="Z144" s="429">
        <v>-397395</v>
      </c>
      <c r="AA144" s="429">
        <v>179883.00000000012</v>
      </c>
      <c r="AB144" s="363" t="e">
        <v>#N/A</v>
      </c>
      <c r="AC144" s="360"/>
      <c r="AD144" s="360"/>
      <c r="AE144" s="360"/>
      <c r="AF144" s="360"/>
      <c r="AG144" s="360"/>
      <c r="AH144" s="360" t="e">
        <f t="shared" si="11"/>
        <v>#N/A</v>
      </c>
      <c r="AI144" s="362" t="e">
        <f>ERP[[#This Row],[2026 Working Total]]-ERP[[#This Row],[LE2 Final Submission]]</f>
        <v>#N/A</v>
      </c>
      <c r="AJ144" s="79" t="e">
        <v>#N/A</v>
      </c>
      <c r="AK144" s="79" t="e">
        <f t="shared" si="10"/>
        <v>#N/A</v>
      </c>
      <c r="AL144" s="374">
        <f>SUM(ERP[[#This Row],[AP01]:[AP06]])-SUM(ERP[[#This Row],[AP01 LE2]:[AP06 LE2]])</f>
        <v>22675.000000000116</v>
      </c>
      <c r="AM144" s="80"/>
      <c r="AN144" s="79" t="e">
        <f>ERP[[#This Row],[2026 Working Total to Budget/LE]]-ERP[[#This Row],[Giveback]]</f>
        <v>#N/A</v>
      </c>
      <c r="AO144" s="81"/>
      <c r="AP144" s="375">
        <v>579568</v>
      </c>
      <c r="AQ144" s="375">
        <v>-598991</v>
      </c>
      <c r="AR144" s="375">
        <v>-317436</v>
      </c>
      <c r="AS144" s="375">
        <v>110000</v>
      </c>
      <c r="AT144" s="375">
        <v>110000</v>
      </c>
      <c r="AU144" s="375">
        <v>116859</v>
      </c>
      <c r="AV144" s="375"/>
      <c r="AW144" s="375"/>
      <c r="AX144" s="375"/>
      <c r="AY144" s="375"/>
      <c r="AZ144" s="375"/>
      <c r="BA144" s="375"/>
      <c r="BB144" s="375">
        <v>0</v>
      </c>
      <c r="BC144" s="79">
        <v>579568</v>
      </c>
      <c r="BD144" s="79">
        <v>-598991</v>
      </c>
      <c r="BE144" s="79">
        <v>-317436</v>
      </c>
      <c r="BF144" s="79">
        <v>0</v>
      </c>
      <c r="BG144" s="79">
        <v>0</v>
      </c>
      <c r="BH144" s="79">
        <v>0</v>
      </c>
      <c r="BI144" s="79">
        <v>0</v>
      </c>
      <c r="BJ144" s="79">
        <v>0</v>
      </c>
      <c r="BK144" s="79">
        <v>0</v>
      </c>
      <c r="BL144" s="79">
        <v>0</v>
      </c>
      <c r="BM144" s="79">
        <v>0</v>
      </c>
      <c r="BN144" s="79">
        <v>0</v>
      </c>
      <c r="BO144" s="79">
        <v>-336859</v>
      </c>
    </row>
    <row r="145" spans="1:67" ht="15" customHeight="1">
      <c r="A145" s="66" t="s">
        <v>2010</v>
      </c>
      <c r="B145" s="66" t="s">
        <v>523</v>
      </c>
      <c r="C145" s="150" t="s">
        <v>1136</v>
      </c>
      <c r="D145" s="150" t="s">
        <v>1345</v>
      </c>
      <c r="E145" s="150" t="s">
        <v>1345</v>
      </c>
      <c r="F145" s="150" t="s">
        <v>1346</v>
      </c>
      <c r="G145" s="511" t="s">
        <v>389</v>
      </c>
      <c r="H145" s="392" t="s">
        <v>1147</v>
      </c>
      <c r="I145" s="343"/>
      <c r="J145" s="343"/>
      <c r="K145" s="70" t="s">
        <v>53</v>
      </c>
      <c r="L145" s="346" t="s">
        <v>1153</v>
      </c>
      <c r="M145" s="343"/>
      <c r="N145" s="346"/>
      <c r="O145" s="150" t="s">
        <v>25</v>
      </c>
      <c r="P145" s="150" t="s">
        <v>1434</v>
      </c>
      <c r="Q145" s="403"/>
      <c r="R145" s="406">
        <v>0</v>
      </c>
      <c r="S145" s="406">
        <v>0</v>
      </c>
      <c r="T145" s="430"/>
      <c r="U145" s="137"/>
      <c r="V145" s="426"/>
      <c r="W145" s="427"/>
      <c r="X145" s="427">
        <v>7840</v>
      </c>
      <c r="Y145" s="428">
        <v>4772</v>
      </c>
      <c r="Z145" s="429">
        <v>4772</v>
      </c>
      <c r="AA145" s="429">
        <v>5965.9999999999991</v>
      </c>
      <c r="AB145" s="363" t="e">
        <v>#N/A</v>
      </c>
      <c r="AC145" s="360">
        <v>0</v>
      </c>
      <c r="AD145" s="360">
        <v>0</v>
      </c>
      <c r="AE145" s="360">
        <v>0</v>
      </c>
      <c r="AF145" s="360">
        <v>0</v>
      </c>
      <c r="AG145" s="360">
        <v>0</v>
      </c>
      <c r="AH145" s="360" t="e">
        <f t="shared" si="11"/>
        <v>#N/A</v>
      </c>
      <c r="AI145" s="362" t="e">
        <f>ERP[[#This Row],[2026 Working Total]]-ERP[[#This Row],[LE2 Final Submission]]</f>
        <v>#N/A</v>
      </c>
      <c r="AJ145" s="79" t="e">
        <v>#N/A</v>
      </c>
      <c r="AK145" s="79" t="e">
        <f t="shared" si="10"/>
        <v>#N/A</v>
      </c>
      <c r="AL145" s="374">
        <f>SUM(ERP[[#This Row],[AP01]:[AP06]])-SUM(ERP[[#This Row],[AP01 LE2]:[AP06 LE2]])</f>
        <v>23350</v>
      </c>
      <c r="AM145" s="80"/>
      <c r="AN145" s="79" t="e">
        <f>ERP[[#This Row],[2026 Working Total to Budget/LE]]-ERP[[#This Row],[Giveback]]</f>
        <v>#N/A</v>
      </c>
      <c r="AO145" s="81"/>
      <c r="AP145" s="375"/>
      <c r="AQ145" s="375"/>
      <c r="AR145" s="375">
        <v>7840</v>
      </c>
      <c r="AS145" s="375">
        <v>-2500</v>
      </c>
      <c r="AT145" s="375">
        <v>-2500</v>
      </c>
      <c r="AU145" s="375">
        <v>-2840</v>
      </c>
      <c r="AV145" s="375">
        <v>0</v>
      </c>
      <c r="AW145" s="375">
        <v>0</v>
      </c>
      <c r="AX145" s="375">
        <v>0</v>
      </c>
      <c r="AY145" s="375">
        <v>0</v>
      </c>
      <c r="AZ145" s="375">
        <v>0</v>
      </c>
      <c r="BA145" s="375">
        <v>0</v>
      </c>
      <c r="BB145" s="375">
        <v>0</v>
      </c>
      <c r="BC145" s="79"/>
      <c r="BD145" s="79"/>
      <c r="BE145" s="79">
        <v>7840</v>
      </c>
      <c r="BF145" s="79">
        <v>0</v>
      </c>
      <c r="BG145" s="79">
        <v>0</v>
      </c>
      <c r="BH145" s="79">
        <v>0</v>
      </c>
      <c r="BI145" s="79">
        <v>0</v>
      </c>
      <c r="BJ145" s="79">
        <v>0</v>
      </c>
      <c r="BK145" s="79">
        <v>0</v>
      </c>
      <c r="BL145" s="79">
        <v>0</v>
      </c>
      <c r="BM145" s="79">
        <v>0</v>
      </c>
      <c r="BN145" s="79">
        <v>0</v>
      </c>
      <c r="BO145" s="79">
        <v>7840</v>
      </c>
    </row>
    <row r="146" spans="1:67" ht="15" customHeight="1">
      <c r="A146" s="66" t="s">
        <v>1527</v>
      </c>
      <c r="B146" s="66" t="s">
        <v>246</v>
      </c>
      <c r="C146" s="150" t="s">
        <v>1136</v>
      </c>
      <c r="D146" s="150" t="s">
        <v>1345</v>
      </c>
      <c r="E146" s="150" t="s">
        <v>1515</v>
      </c>
      <c r="F146" s="150" t="s">
        <v>1346</v>
      </c>
      <c r="G146" s="511" t="s">
        <v>49</v>
      </c>
      <c r="H146" s="392" t="s">
        <v>1147</v>
      </c>
      <c r="I146" s="343"/>
      <c r="J146" s="343"/>
      <c r="K146" s="70" t="s">
        <v>53</v>
      </c>
      <c r="L146" s="346" t="s">
        <v>1153</v>
      </c>
      <c r="M146" s="343"/>
      <c r="N146" s="346"/>
      <c r="O146" s="150" t="s">
        <v>25</v>
      </c>
      <c r="P146" s="150"/>
      <c r="Q146" s="403"/>
      <c r="R146" s="406">
        <v>0</v>
      </c>
      <c r="S146" s="406">
        <v>-29144</v>
      </c>
      <c r="T146" s="425"/>
      <c r="U146" s="71"/>
      <c r="V146" s="426">
        <v>101571</v>
      </c>
      <c r="W146" s="427">
        <v>-210932</v>
      </c>
      <c r="X146" s="427">
        <v>80217</v>
      </c>
      <c r="Y146" s="428">
        <v>105632.00000000001</v>
      </c>
      <c r="Z146" s="429">
        <v>-36244</v>
      </c>
      <c r="AA146" s="429">
        <v>24284.000000000029</v>
      </c>
      <c r="AB146" s="363" t="e">
        <v>#N/A</v>
      </c>
      <c r="AC146" s="360">
        <v>0</v>
      </c>
      <c r="AD146" s="360">
        <v>0</v>
      </c>
      <c r="AE146" s="360">
        <v>0</v>
      </c>
      <c r="AF146" s="360">
        <v>0</v>
      </c>
      <c r="AG146" s="360">
        <v>0</v>
      </c>
      <c r="AH146" s="360" t="e">
        <f t="shared" si="11"/>
        <v>#N/A</v>
      </c>
      <c r="AI146" s="362" t="e">
        <f>ERP[[#This Row],[2026 Working Total]]-ERP[[#This Row],[LE2 Final Submission]]</f>
        <v>#N/A</v>
      </c>
      <c r="AJ146" s="79" t="e">
        <v>#N/A</v>
      </c>
      <c r="AK146" s="79" t="e">
        <f t="shared" si="10"/>
        <v>#N/A</v>
      </c>
      <c r="AL146" s="374">
        <f>SUM(ERP[[#This Row],[AP01]:[AP06]])-SUM(ERP[[#This Row],[AP01 LE2]:[AP06 LE2]])</f>
        <v>93672.000000000044</v>
      </c>
      <c r="AM146" s="80"/>
      <c r="AN146" s="79" t="e">
        <f>ERP[[#This Row],[2026 Working Total to Budget/LE]]-ERP[[#This Row],[Giveback]]</f>
        <v>#N/A</v>
      </c>
      <c r="AO146" s="81"/>
      <c r="AP146" s="375">
        <v>101571</v>
      </c>
      <c r="AQ146" s="375">
        <v>-210932</v>
      </c>
      <c r="AR146" s="375">
        <v>80217</v>
      </c>
      <c r="AS146" s="375">
        <v>0</v>
      </c>
      <c r="AT146" s="375">
        <v>0</v>
      </c>
      <c r="AU146" s="375">
        <v>0</v>
      </c>
      <c r="AV146" s="375">
        <v>0</v>
      </c>
      <c r="AW146" s="375">
        <v>0</v>
      </c>
      <c r="AX146" s="375">
        <v>0</v>
      </c>
      <c r="AY146" s="375">
        <v>0</v>
      </c>
      <c r="AZ146" s="375">
        <v>0</v>
      </c>
      <c r="BA146" s="375">
        <v>0</v>
      </c>
      <c r="BB146" s="375">
        <v>-29144</v>
      </c>
      <c r="BC146" s="79">
        <v>101571</v>
      </c>
      <c r="BD146" s="79">
        <v>-210932</v>
      </c>
      <c r="BE146" s="79">
        <v>80217</v>
      </c>
      <c r="BF146" s="79">
        <v>0</v>
      </c>
      <c r="BG146" s="79">
        <v>0</v>
      </c>
      <c r="BH146" s="79">
        <v>0</v>
      </c>
      <c r="BI146" s="79">
        <v>0</v>
      </c>
      <c r="BJ146" s="79">
        <v>0</v>
      </c>
      <c r="BK146" s="79">
        <v>0</v>
      </c>
      <c r="BL146" s="79">
        <v>0</v>
      </c>
      <c r="BM146" s="79">
        <v>0</v>
      </c>
      <c r="BN146" s="79">
        <v>0</v>
      </c>
      <c r="BO146" s="79">
        <v>-29144</v>
      </c>
    </row>
    <row r="147" spans="1:67" ht="15" customHeight="1">
      <c r="A147" s="66" t="s">
        <v>2066</v>
      </c>
      <c r="B147" s="66" t="s">
        <v>555</v>
      </c>
      <c r="C147" s="150" t="s">
        <v>1136</v>
      </c>
      <c r="D147" s="150" t="s">
        <v>1345</v>
      </c>
      <c r="E147" s="150" t="s">
        <v>1515</v>
      </c>
      <c r="F147" s="150" t="s">
        <v>1346</v>
      </c>
      <c r="G147" s="511" t="s">
        <v>389</v>
      </c>
      <c r="H147" s="392" t="s">
        <v>1147</v>
      </c>
      <c r="I147" s="343"/>
      <c r="J147" s="343"/>
      <c r="K147" s="70" t="s">
        <v>53</v>
      </c>
      <c r="L147" s="346" t="s">
        <v>1153</v>
      </c>
      <c r="M147" s="343"/>
      <c r="N147" s="346"/>
      <c r="O147" s="150" t="s">
        <v>25</v>
      </c>
      <c r="P147" s="150"/>
      <c r="Q147" s="403"/>
      <c r="R147" s="406">
        <v>0</v>
      </c>
      <c r="S147" s="406">
        <v>1177</v>
      </c>
      <c r="T147" s="425"/>
      <c r="U147" s="71"/>
      <c r="V147" s="426">
        <v>-14023</v>
      </c>
      <c r="W147" s="427">
        <v>60</v>
      </c>
      <c r="X147" s="427">
        <v>15140</v>
      </c>
      <c r="Y147" s="428">
        <v>60</v>
      </c>
      <c r="Z147" s="429">
        <v>60</v>
      </c>
      <c r="AA147" s="429">
        <v>-1401</v>
      </c>
      <c r="AB147" s="363" t="e">
        <v>#N/A</v>
      </c>
      <c r="AC147" s="360">
        <v>0</v>
      </c>
      <c r="AD147" s="360">
        <v>0</v>
      </c>
      <c r="AE147" s="360">
        <v>0</v>
      </c>
      <c r="AF147" s="360">
        <v>0</v>
      </c>
      <c r="AG147" s="360">
        <v>0</v>
      </c>
      <c r="AH147" s="360" t="e">
        <f t="shared" si="11"/>
        <v>#N/A</v>
      </c>
      <c r="AI147" s="362" t="e">
        <f>ERP[[#This Row],[2026 Working Total]]-ERP[[#This Row],[LE2 Final Submission]]</f>
        <v>#N/A</v>
      </c>
      <c r="AJ147" s="79" t="e">
        <v>#N/A</v>
      </c>
      <c r="AK147" s="79" t="e">
        <f t="shared" si="10"/>
        <v>#N/A</v>
      </c>
      <c r="AL147" s="374">
        <f>SUM(ERP[[#This Row],[AP01]:[AP06]])-SUM(ERP[[#This Row],[AP01 LE2]:[AP06 LE2]])</f>
        <v>-1281</v>
      </c>
      <c r="AM147" s="80"/>
      <c r="AN147" s="79" t="e">
        <f>ERP[[#This Row],[2026 Working Total to Budget/LE]]-ERP[[#This Row],[Giveback]]</f>
        <v>#N/A</v>
      </c>
      <c r="AO147" s="81"/>
      <c r="AP147" s="375">
        <v>-14023</v>
      </c>
      <c r="AQ147" s="375">
        <v>60</v>
      </c>
      <c r="AR147" s="375">
        <v>15140</v>
      </c>
      <c r="AS147" s="375">
        <v>0</v>
      </c>
      <c r="AT147" s="375">
        <v>0</v>
      </c>
      <c r="AU147" s="375">
        <v>0</v>
      </c>
      <c r="AV147" s="375">
        <v>0</v>
      </c>
      <c r="AW147" s="375">
        <v>0</v>
      </c>
      <c r="AX147" s="375">
        <v>0</v>
      </c>
      <c r="AY147" s="375">
        <v>0</v>
      </c>
      <c r="AZ147" s="375">
        <v>0</v>
      </c>
      <c r="BA147" s="375">
        <v>0</v>
      </c>
      <c r="BB147" s="375">
        <v>1177</v>
      </c>
      <c r="BC147" s="79">
        <v>-14023</v>
      </c>
      <c r="BD147" s="79">
        <v>60</v>
      </c>
      <c r="BE147" s="79">
        <v>15140</v>
      </c>
      <c r="BF147" s="79">
        <v>0</v>
      </c>
      <c r="BG147" s="79">
        <v>0</v>
      </c>
      <c r="BH147" s="79">
        <v>0</v>
      </c>
      <c r="BI147" s="79">
        <v>0</v>
      </c>
      <c r="BJ147" s="79">
        <v>0</v>
      </c>
      <c r="BK147" s="79">
        <v>0</v>
      </c>
      <c r="BL147" s="79">
        <v>0</v>
      </c>
      <c r="BM147" s="79">
        <v>0</v>
      </c>
      <c r="BN147" s="79">
        <v>0</v>
      </c>
      <c r="BO147" s="79">
        <v>1177</v>
      </c>
    </row>
    <row r="148" spans="1:67" ht="15" customHeight="1">
      <c r="A148" s="66" t="s">
        <v>1789</v>
      </c>
      <c r="B148" s="66" t="s">
        <v>416</v>
      </c>
      <c r="C148" s="150" t="s">
        <v>1136</v>
      </c>
      <c r="D148" s="150" t="s">
        <v>1135</v>
      </c>
      <c r="E148" s="150" t="s">
        <v>1135</v>
      </c>
      <c r="F148" s="150" t="s">
        <v>1137</v>
      </c>
      <c r="G148" s="511" t="s">
        <v>389</v>
      </c>
      <c r="H148" s="392" t="s">
        <v>1147</v>
      </c>
      <c r="I148" s="343"/>
      <c r="J148" s="343"/>
      <c r="K148" s="70" t="s">
        <v>53</v>
      </c>
      <c r="L148" s="346" t="s">
        <v>1153</v>
      </c>
      <c r="M148" s="343"/>
      <c r="N148" s="346"/>
      <c r="O148" s="150" t="s">
        <v>25</v>
      </c>
      <c r="P148" s="150"/>
      <c r="Q148" s="403"/>
      <c r="R148" s="406">
        <v>0</v>
      </c>
      <c r="S148" s="406">
        <v>2101</v>
      </c>
      <c r="T148" s="425"/>
      <c r="U148" s="71"/>
      <c r="V148" s="426">
        <v>1821</v>
      </c>
      <c r="W148" s="427">
        <v>140</v>
      </c>
      <c r="X148" s="427">
        <v>140</v>
      </c>
      <c r="Y148" s="428">
        <v>139</v>
      </c>
      <c r="Z148" s="429">
        <v>2028.9999999999998</v>
      </c>
      <c r="AA148" s="429">
        <v>0</v>
      </c>
      <c r="AB148" s="363" t="e">
        <v>#N/A</v>
      </c>
      <c r="AC148" s="360">
        <v>0</v>
      </c>
      <c r="AD148" s="360">
        <v>0</v>
      </c>
      <c r="AE148" s="360">
        <v>0</v>
      </c>
      <c r="AF148" s="360">
        <v>0</v>
      </c>
      <c r="AG148" s="360">
        <v>0</v>
      </c>
      <c r="AH148" s="360" t="e">
        <f t="shared" si="11"/>
        <v>#N/A</v>
      </c>
      <c r="AI148" s="362" t="e">
        <f>ERP[[#This Row],[2026 Working Total]]-ERP[[#This Row],[LE2 Final Submission]]</f>
        <v>#N/A</v>
      </c>
      <c r="AJ148" s="79" t="e">
        <v>#N/A</v>
      </c>
      <c r="AK148" s="79" t="e">
        <f t="shared" si="10"/>
        <v>#N/A</v>
      </c>
      <c r="AL148" s="374">
        <f>SUM(ERP[[#This Row],[AP01]:[AP06]])-SUM(ERP[[#This Row],[AP01 LE2]:[AP06 LE2]])</f>
        <v>2168</v>
      </c>
      <c r="AM148" s="80"/>
      <c r="AN148" s="79" t="e">
        <f>ERP[[#This Row],[2026 Working Total to Budget/LE]]-ERP[[#This Row],[Giveback]]</f>
        <v>#N/A</v>
      </c>
      <c r="AO148" s="81"/>
      <c r="AP148" s="375">
        <v>1821</v>
      </c>
      <c r="AQ148" s="375">
        <v>140</v>
      </c>
      <c r="AR148" s="375">
        <v>140</v>
      </c>
      <c r="AS148" s="375">
        <v>0</v>
      </c>
      <c r="AT148" s="375">
        <v>0</v>
      </c>
      <c r="AU148" s="375">
        <v>0</v>
      </c>
      <c r="AV148" s="375">
        <v>0</v>
      </c>
      <c r="AW148" s="375">
        <v>0</v>
      </c>
      <c r="AX148" s="375">
        <v>0</v>
      </c>
      <c r="AY148" s="375">
        <v>0</v>
      </c>
      <c r="AZ148" s="375">
        <v>0</v>
      </c>
      <c r="BA148" s="375">
        <v>0</v>
      </c>
      <c r="BB148" s="375">
        <v>2101</v>
      </c>
      <c r="BC148" s="79">
        <v>1821</v>
      </c>
      <c r="BD148" s="79">
        <v>140</v>
      </c>
      <c r="BE148" s="79">
        <v>140</v>
      </c>
      <c r="BF148" s="79">
        <v>0</v>
      </c>
      <c r="BG148" s="79">
        <v>0</v>
      </c>
      <c r="BH148" s="79">
        <v>0</v>
      </c>
      <c r="BI148" s="79">
        <v>0</v>
      </c>
      <c r="BJ148" s="79">
        <v>0</v>
      </c>
      <c r="BK148" s="79">
        <v>0</v>
      </c>
      <c r="BL148" s="79">
        <v>0</v>
      </c>
      <c r="BM148" s="79">
        <v>0</v>
      </c>
      <c r="BN148" s="79">
        <v>0</v>
      </c>
      <c r="BO148" s="79">
        <v>2101</v>
      </c>
    </row>
    <row r="149" spans="1:67" ht="15" customHeight="1">
      <c r="A149" s="66" t="s">
        <v>1150</v>
      </c>
      <c r="B149" s="66" t="s">
        <v>1151</v>
      </c>
      <c r="C149" s="150" t="s">
        <v>1136</v>
      </c>
      <c r="D149" s="150" t="s">
        <v>1135</v>
      </c>
      <c r="E149" s="150" t="s">
        <v>1145</v>
      </c>
      <c r="F149" s="150" t="s">
        <v>1137</v>
      </c>
      <c r="G149" s="511" t="s">
        <v>49</v>
      </c>
      <c r="H149" s="392" t="s">
        <v>1147</v>
      </c>
      <c r="I149" s="343"/>
      <c r="J149" s="343"/>
      <c r="K149" s="70" t="s">
        <v>53</v>
      </c>
      <c r="L149" s="346" t="s">
        <v>1153</v>
      </c>
      <c r="M149" s="343"/>
      <c r="N149" s="346"/>
      <c r="O149" s="150" t="s">
        <v>25</v>
      </c>
      <c r="P149" s="527"/>
      <c r="Q149" s="403"/>
      <c r="R149" s="406">
        <v>-694940</v>
      </c>
      <c r="S149" s="406">
        <v>-587120.73</v>
      </c>
      <c r="T149" s="425"/>
      <c r="U149" s="71"/>
      <c r="V149" s="426"/>
      <c r="W149" s="427">
        <v>-20640.86</v>
      </c>
      <c r="X149" s="427">
        <v>-10639.87</v>
      </c>
      <c r="Y149" s="428">
        <v>148175</v>
      </c>
      <c r="Z149" s="429">
        <v>-155623.00000000006</v>
      </c>
      <c r="AA149" s="429">
        <v>-142264</v>
      </c>
      <c r="AB149" s="363" t="e">
        <v>#N/A</v>
      </c>
      <c r="AC149" s="363">
        <v>-116400</v>
      </c>
      <c r="AD149" s="363">
        <v>-75000</v>
      </c>
      <c r="AE149" s="363">
        <v>-75000</v>
      </c>
      <c r="AF149" s="363">
        <v>-75000</v>
      </c>
      <c r="AG149" s="363">
        <v>-75000</v>
      </c>
      <c r="AH149" s="360" t="e">
        <f t="shared" si="11"/>
        <v>#N/A</v>
      </c>
      <c r="AI149" s="362" t="e">
        <f>ERP[[#This Row],[2026 Working Total]]-ERP[[#This Row],[LE2 Final Submission]]</f>
        <v>#N/A</v>
      </c>
      <c r="AJ149" s="79" t="e">
        <v>#N/A</v>
      </c>
      <c r="AK149" s="79" t="e">
        <f t="shared" si="10"/>
        <v>#N/A</v>
      </c>
      <c r="AL149" s="374">
        <f>SUM(ERP[[#This Row],[AP01]:[AP06]])-SUM(ERP[[#This Row],[AP01 LE2]:[AP06 LE2]])</f>
        <v>-43872.000000000058</v>
      </c>
      <c r="AM149" s="80"/>
      <c r="AN149" s="79" t="e">
        <f>ERP[[#This Row],[2026 Working Total to Budget/LE]]-ERP[[#This Row],[Giveback]]</f>
        <v>#N/A</v>
      </c>
      <c r="AO149" s="81"/>
      <c r="AP149" s="375"/>
      <c r="AQ149" s="375">
        <v>-20640.86</v>
      </c>
      <c r="AR149" s="375">
        <v>-10639.87</v>
      </c>
      <c r="AS149" s="375">
        <v>-55600</v>
      </c>
      <c r="AT149" s="375">
        <v>-6440</v>
      </c>
      <c r="AU149" s="375">
        <v>-43800</v>
      </c>
      <c r="AV149" s="375">
        <v>-75000</v>
      </c>
      <c r="AW149" s="375">
        <v>-75000</v>
      </c>
      <c r="AX149" s="375">
        <v>-75000</v>
      </c>
      <c r="AY149" s="375">
        <v>-75000</v>
      </c>
      <c r="AZ149" s="375">
        <v>-75000</v>
      </c>
      <c r="BA149" s="375">
        <v>-75000</v>
      </c>
      <c r="BB149" s="375">
        <v>-587120.73</v>
      </c>
      <c r="BC149" s="79"/>
      <c r="BD149" s="79">
        <v>-20640.86</v>
      </c>
      <c r="BE149" s="79">
        <v>-10639.87</v>
      </c>
      <c r="BF149" s="79">
        <v>-54600</v>
      </c>
      <c r="BG149" s="79">
        <v>-50000</v>
      </c>
      <c r="BH149" s="79">
        <v>-33840</v>
      </c>
      <c r="BI149" s="79">
        <v>-75000</v>
      </c>
      <c r="BJ149" s="79">
        <v>-75000</v>
      </c>
      <c r="BK149" s="79">
        <v>-75000</v>
      </c>
      <c r="BL149" s="79">
        <v>-75000</v>
      </c>
      <c r="BM149" s="79">
        <v>-75000</v>
      </c>
      <c r="BN149" s="79">
        <v>-75000</v>
      </c>
      <c r="BO149" s="79">
        <v>-619720.73</v>
      </c>
    </row>
    <row r="150" spans="1:67" ht="15" customHeight="1">
      <c r="A150" s="66" t="s">
        <v>1154</v>
      </c>
      <c r="B150" s="66" t="s">
        <v>1155</v>
      </c>
      <c r="C150" s="150" t="s">
        <v>1136</v>
      </c>
      <c r="D150" s="150" t="s">
        <v>1135</v>
      </c>
      <c r="E150" s="150" t="s">
        <v>1156</v>
      </c>
      <c r="F150" s="150" t="s">
        <v>1137</v>
      </c>
      <c r="G150" s="511" t="s">
        <v>49</v>
      </c>
      <c r="H150" s="392" t="s">
        <v>1147</v>
      </c>
      <c r="I150" s="343"/>
      <c r="J150" s="343"/>
      <c r="K150" s="70" t="s">
        <v>53</v>
      </c>
      <c r="L150" s="346" t="s">
        <v>1153</v>
      </c>
      <c r="M150" s="343"/>
      <c r="N150" s="346"/>
      <c r="O150" s="150" t="s">
        <v>25</v>
      </c>
      <c r="P150" s="526" t="s">
        <v>1158</v>
      </c>
      <c r="Q150" s="403"/>
      <c r="R150" s="406">
        <v>0</v>
      </c>
      <c r="S150" s="406">
        <v>-1440</v>
      </c>
      <c r="T150" s="425"/>
      <c r="U150" s="71"/>
      <c r="V150" s="426"/>
      <c r="W150" s="427">
        <v>-1440</v>
      </c>
      <c r="X150" s="431">
        <v>0</v>
      </c>
      <c r="Y150" s="428">
        <v>0</v>
      </c>
      <c r="Z150" s="429">
        <v>0</v>
      </c>
      <c r="AA150" s="429">
        <v>-18000</v>
      </c>
      <c r="AB150" s="363" t="e">
        <v>#N/A</v>
      </c>
      <c r="AC150" s="360">
        <v>0</v>
      </c>
      <c r="AD150" s="360">
        <v>0</v>
      </c>
      <c r="AE150" s="360">
        <v>0</v>
      </c>
      <c r="AF150" s="360">
        <v>0</v>
      </c>
      <c r="AG150" s="360">
        <v>0</v>
      </c>
      <c r="AH150" s="360" t="e">
        <f t="shared" si="11"/>
        <v>#N/A</v>
      </c>
      <c r="AI150" s="362" t="e">
        <f>ERP[[#This Row],[2026 Working Total]]-ERP[[#This Row],[LE2 Final Submission]]</f>
        <v>#N/A</v>
      </c>
      <c r="AJ150" s="79" t="e">
        <v>#N/A</v>
      </c>
      <c r="AK150" s="79" t="e">
        <f t="shared" si="10"/>
        <v>#N/A</v>
      </c>
      <c r="AL150" s="374">
        <f>SUM(ERP[[#This Row],[AP01]:[AP06]])-SUM(ERP[[#This Row],[AP01 LE2]:[AP06 LE2]])</f>
        <v>-18000</v>
      </c>
      <c r="AM150" s="80"/>
      <c r="AN150" s="79" t="e">
        <f>ERP[[#This Row],[2026 Working Total to Budget/LE]]-ERP[[#This Row],[Giveback]]</f>
        <v>#N/A</v>
      </c>
      <c r="AO150" s="81"/>
      <c r="AP150" s="375"/>
      <c r="AQ150" s="375">
        <v>-1440</v>
      </c>
      <c r="AR150" s="375">
        <v>0</v>
      </c>
      <c r="AS150" s="375">
        <v>0</v>
      </c>
      <c r="AT150" s="375">
        <v>0</v>
      </c>
      <c r="AU150" s="375">
        <v>0</v>
      </c>
      <c r="AV150" s="375">
        <v>0</v>
      </c>
      <c r="AW150" s="375">
        <v>0</v>
      </c>
      <c r="AX150" s="375">
        <v>0</v>
      </c>
      <c r="AY150" s="375">
        <v>0</v>
      </c>
      <c r="AZ150" s="375">
        <v>0</v>
      </c>
      <c r="BA150" s="375">
        <v>0</v>
      </c>
      <c r="BB150" s="375">
        <v>-1440</v>
      </c>
      <c r="BC150" s="79"/>
      <c r="BD150" s="79">
        <v>-1440</v>
      </c>
      <c r="BE150" s="79">
        <v>0</v>
      </c>
      <c r="BF150" s="79">
        <v>0</v>
      </c>
      <c r="BG150" s="79">
        <v>0</v>
      </c>
      <c r="BH150" s="79">
        <v>0</v>
      </c>
      <c r="BI150" s="79">
        <v>0</v>
      </c>
      <c r="BJ150" s="79">
        <v>0</v>
      </c>
      <c r="BK150" s="79">
        <v>0</v>
      </c>
      <c r="BL150" s="79">
        <v>0</v>
      </c>
      <c r="BM150" s="79">
        <v>0</v>
      </c>
      <c r="BN150" s="79">
        <v>0</v>
      </c>
      <c r="BO150" s="79">
        <v>-1440</v>
      </c>
    </row>
    <row r="151" spans="1:67" ht="15" customHeight="1">
      <c r="A151" s="66" t="s">
        <v>1159</v>
      </c>
      <c r="B151" s="66" t="s">
        <v>1160</v>
      </c>
      <c r="C151" s="150" t="s">
        <v>1136</v>
      </c>
      <c r="D151" s="150" t="s">
        <v>1135</v>
      </c>
      <c r="E151" s="150" t="s">
        <v>1161</v>
      </c>
      <c r="F151" s="150" t="s">
        <v>1137</v>
      </c>
      <c r="G151" s="511" t="s">
        <v>49</v>
      </c>
      <c r="H151" s="392" t="s">
        <v>1147</v>
      </c>
      <c r="I151" s="343"/>
      <c r="J151" s="343"/>
      <c r="K151" s="70" t="s">
        <v>53</v>
      </c>
      <c r="L151" s="346" t="s">
        <v>1153</v>
      </c>
      <c r="M151" s="343"/>
      <c r="N151" s="346"/>
      <c r="O151" s="150" t="s">
        <v>25</v>
      </c>
      <c r="P151" s="150" t="s">
        <v>1162</v>
      </c>
      <c r="Q151" s="403"/>
      <c r="R151" s="406">
        <v>0</v>
      </c>
      <c r="S151" s="406">
        <v>-68766</v>
      </c>
      <c r="T151" s="425"/>
      <c r="U151" s="71"/>
      <c r="V151" s="426"/>
      <c r="W151" s="427">
        <v>-57216</v>
      </c>
      <c r="X151" s="427">
        <v>-11550</v>
      </c>
      <c r="Y151" s="428" t="s">
        <v>1142</v>
      </c>
      <c r="Z151" s="429">
        <v>0</v>
      </c>
      <c r="AA151" s="429">
        <v>0</v>
      </c>
      <c r="AB151" s="363" t="e">
        <v>#N/A</v>
      </c>
      <c r="AC151" s="360">
        <v>0</v>
      </c>
      <c r="AD151" s="360">
        <v>0</v>
      </c>
      <c r="AE151" s="360">
        <v>0</v>
      </c>
      <c r="AF151" s="360">
        <v>0</v>
      </c>
      <c r="AG151" s="360">
        <v>0</v>
      </c>
      <c r="AH151" s="360" t="e">
        <f t="shared" si="11"/>
        <v>#N/A</v>
      </c>
      <c r="AI151" s="362" t="e">
        <f>ERP[[#This Row],[2026 Working Total]]-ERP[[#This Row],[LE2 Final Submission]]</f>
        <v>#N/A</v>
      </c>
      <c r="AJ151" s="79" t="e">
        <v>#N/A</v>
      </c>
      <c r="AK151" s="79" t="e">
        <f t="shared" si="10"/>
        <v>#N/A</v>
      </c>
      <c r="AL151" s="374">
        <f>SUM(ERP[[#This Row],[AP01]:[AP06]])-SUM(ERP[[#This Row],[AP01 LE2]:[AP06 LE2]])</f>
        <v>0</v>
      </c>
      <c r="AM151" s="80"/>
      <c r="AN151" s="79" t="e">
        <f>ERP[[#This Row],[2026 Working Total to Budget/LE]]-ERP[[#This Row],[Giveback]]</f>
        <v>#N/A</v>
      </c>
      <c r="AO151" s="81"/>
      <c r="AP151" s="375"/>
      <c r="AQ151" s="375">
        <v>-57216</v>
      </c>
      <c r="AR151" s="375">
        <v>-11550</v>
      </c>
      <c r="AS151" s="375">
        <v>0</v>
      </c>
      <c r="AT151" s="375">
        <v>0</v>
      </c>
      <c r="AU151" s="375">
        <v>0</v>
      </c>
      <c r="AV151" s="375">
        <v>0</v>
      </c>
      <c r="AW151" s="375">
        <v>0</v>
      </c>
      <c r="AX151" s="375">
        <v>0</v>
      </c>
      <c r="AY151" s="375">
        <v>0</v>
      </c>
      <c r="AZ151" s="375">
        <v>0</v>
      </c>
      <c r="BA151" s="375">
        <v>0</v>
      </c>
      <c r="BB151" s="375">
        <v>-68766</v>
      </c>
      <c r="BC151" s="79"/>
      <c r="BD151" s="79">
        <v>-57216</v>
      </c>
      <c r="BE151" s="79">
        <v>-11550</v>
      </c>
      <c r="BF151" s="79">
        <v>0</v>
      </c>
      <c r="BG151" s="79">
        <v>0</v>
      </c>
      <c r="BH151" s="79">
        <v>0</v>
      </c>
      <c r="BI151" s="79">
        <v>0</v>
      </c>
      <c r="BJ151" s="79">
        <v>0</v>
      </c>
      <c r="BK151" s="79">
        <v>0</v>
      </c>
      <c r="BL151" s="79">
        <v>0</v>
      </c>
      <c r="BM151" s="79">
        <v>0</v>
      </c>
      <c r="BN151" s="79">
        <v>0</v>
      </c>
      <c r="BO151" s="79">
        <v>-68766</v>
      </c>
    </row>
    <row r="152" spans="1:67" ht="15" customHeight="1">
      <c r="A152" s="66" t="s">
        <v>1649</v>
      </c>
      <c r="B152" s="66" t="s">
        <v>324</v>
      </c>
      <c r="C152" s="150" t="s">
        <v>1136</v>
      </c>
      <c r="D152" s="150" t="s">
        <v>1650</v>
      </c>
      <c r="E152" s="150" t="s">
        <v>1650</v>
      </c>
      <c r="F152" s="150" t="s">
        <v>1650</v>
      </c>
      <c r="G152" s="511" t="s">
        <v>49</v>
      </c>
      <c r="H152" s="392" t="s">
        <v>1147</v>
      </c>
      <c r="I152" s="343"/>
      <c r="J152" s="343"/>
      <c r="K152" s="70" t="s">
        <v>53</v>
      </c>
      <c r="L152" s="346" t="s">
        <v>1153</v>
      </c>
      <c r="M152" s="343"/>
      <c r="N152" s="346"/>
      <c r="O152" s="150" t="s">
        <v>25</v>
      </c>
      <c r="P152" s="150" t="s">
        <v>1652</v>
      </c>
      <c r="Q152" s="403"/>
      <c r="R152" s="406">
        <v>-99996</v>
      </c>
      <c r="S152" s="406">
        <v>-82720</v>
      </c>
      <c r="T152" s="425"/>
      <c r="U152" s="71"/>
      <c r="V152" s="426"/>
      <c r="W152" s="427">
        <v>-54900</v>
      </c>
      <c r="X152" s="427">
        <f>27080-54900</f>
        <v>-27820</v>
      </c>
      <c r="Y152" s="428">
        <v>28331</v>
      </c>
      <c r="Z152" s="429">
        <v>34717</v>
      </c>
      <c r="AA152" s="429">
        <v>17146.999999999996</v>
      </c>
      <c r="AB152" s="363" t="e">
        <v>#N/A</v>
      </c>
      <c r="AC152" s="363">
        <v>0</v>
      </c>
      <c r="AD152" s="363">
        <v>0</v>
      </c>
      <c r="AE152" s="363">
        <v>0</v>
      </c>
      <c r="AF152" s="363">
        <v>0</v>
      </c>
      <c r="AG152" s="363">
        <v>0</v>
      </c>
      <c r="AH152" s="360" t="e">
        <f t="shared" si="11"/>
        <v>#N/A</v>
      </c>
      <c r="AI152" s="362" t="e">
        <f>ERP[[#This Row],[2026 Working Total]]-ERP[[#This Row],[LE2 Final Submission]]</f>
        <v>#N/A</v>
      </c>
      <c r="AJ152" s="79" t="e">
        <v>#N/A</v>
      </c>
      <c r="AK152" s="79" t="e">
        <f t="shared" si="10"/>
        <v>#N/A</v>
      </c>
      <c r="AL152" s="374">
        <f>SUM(ERP[[#This Row],[AP01]:[AP06]])-SUM(ERP[[#This Row],[AP01 LE2]:[AP06 LE2]])</f>
        <v>80195</v>
      </c>
      <c r="AM152" s="80"/>
      <c r="AN152" s="79" t="e">
        <f>ERP[[#This Row],[2026 Working Total to Budget/LE]]-ERP[[#This Row],[Giveback]]</f>
        <v>#N/A</v>
      </c>
      <c r="AO152" s="81"/>
      <c r="AP152" s="375"/>
      <c r="AQ152" s="375">
        <v>-54900</v>
      </c>
      <c r="AR152" s="375">
        <v>-27820</v>
      </c>
      <c r="AS152" s="375">
        <v>0</v>
      </c>
      <c r="AT152" s="375">
        <v>0</v>
      </c>
      <c r="AU152" s="375">
        <v>0</v>
      </c>
      <c r="AV152" s="375">
        <v>0</v>
      </c>
      <c r="AW152" s="375">
        <v>0</v>
      </c>
      <c r="AX152" s="375">
        <v>0</v>
      </c>
      <c r="AY152" s="375">
        <v>0</v>
      </c>
      <c r="AZ152" s="375">
        <v>0</v>
      </c>
      <c r="BA152" s="375">
        <v>0</v>
      </c>
      <c r="BB152" s="375">
        <v>-82720</v>
      </c>
      <c r="BC152" s="79"/>
      <c r="BD152" s="79">
        <v>-54900</v>
      </c>
      <c r="BE152" s="79">
        <v>27080</v>
      </c>
      <c r="BF152" s="79">
        <v>-8333</v>
      </c>
      <c r="BG152" s="79">
        <v>-8333</v>
      </c>
      <c r="BH152" s="79">
        <v>-8333</v>
      </c>
      <c r="BI152" s="79">
        <v>-8333</v>
      </c>
      <c r="BJ152" s="79">
        <v>-8333</v>
      </c>
      <c r="BK152" s="79">
        <v>-8333</v>
      </c>
      <c r="BL152" s="79">
        <v>-8333</v>
      </c>
      <c r="BM152" s="79">
        <v>-8333</v>
      </c>
      <c r="BN152" s="79">
        <v>-8333</v>
      </c>
      <c r="BO152" s="79">
        <v>-102817</v>
      </c>
    </row>
    <row r="153" spans="1:67" ht="15" customHeight="1">
      <c r="A153" s="66" t="s">
        <v>1478</v>
      </c>
      <c r="B153" s="66" t="s">
        <v>1479</v>
      </c>
      <c r="C153" s="150" t="s">
        <v>1136</v>
      </c>
      <c r="D153" s="150" t="s">
        <v>1345</v>
      </c>
      <c r="E153" s="150" t="s">
        <v>1481</v>
      </c>
      <c r="F153" s="150" t="s">
        <v>1346</v>
      </c>
      <c r="G153" s="511" t="s">
        <v>49</v>
      </c>
      <c r="H153" s="392" t="s">
        <v>1147</v>
      </c>
      <c r="I153" s="343"/>
      <c r="J153" s="343"/>
      <c r="K153" s="70" t="s">
        <v>53</v>
      </c>
      <c r="L153" s="346" t="s">
        <v>1153</v>
      </c>
      <c r="M153" s="343"/>
      <c r="N153" s="346"/>
      <c r="O153" s="150" t="s">
        <v>25</v>
      </c>
      <c r="P153" s="150" t="s">
        <v>1483</v>
      </c>
      <c r="Q153" s="403"/>
      <c r="R153" s="406">
        <v>0</v>
      </c>
      <c r="S153" s="406">
        <v>0</v>
      </c>
      <c r="T153" s="425"/>
      <c r="U153" s="71"/>
      <c r="V153" s="426">
        <v>279973</v>
      </c>
      <c r="W153" s="427">
        <v>-451174</v>
      </c>
      <c r="X153" s="427">
        <v>173459</v>
      </c>
      <c r="Y153" s="428">
        <v>771452.00000000012</v>
      </c>
      <c r="Z153" s="429">
        <v>-143797.00000000006</v>
      </c>
      <c r="AA153" s="429">
        <v>-449247</v>
      </c>
      <c r="AB153" s="363" t="e">
        <v>#N/A</v>
      </c>
      <c r="AC153" s="360">
        <v>0</v>
      </c>
      <c r="AD153" s="360">
        <v>0</v>
      </c>
      <c r="AE153" s="360">
        <v>0</v>
      </c>
      <c r="AF153" s="360">
        <v>0</v>
      </c>
      <c r="AG153" s="360">
        <v>0</v>
      </c>
      <c r="AH153" s="360" t="e">
        <f t="shared" si="11"/>
        <v>#N/A</v>
      </c>
      <c r="AI153" s="362" t="e">
        <f>ERP[[#This Row],[2026 Working Total]]-ERP[[#This Row],[LE2 Final Submission]]</f>
        <v>#N/A</v>
      </c>
      <c r="AJ153" s="79" t="e">
        <v>#N/A</v>
      </c>
      <c r="AK153" s="79" t="e">
        <f t="shared" si="10"/>
        <v>#N/A</v>
      </c>
      <c r="AL153" s="374">
        <f>SUM(ERP[[#This Row],[AP01]:[AP06]])-SUM(ERP[[#This Row],[AP01 LE2]:[AP06 LE2]])</f>
        <v>180666</v>
      </c>
      <c r="AM153" s="80"/>
      <c r="AN153" s="79" t="e">
        <f>ERP[[#This Row],[2026 Working Total to Budget/LE]]-ERP[[#This Row],[Giveback]]</f>
        <v>#N/A</v>
      </c>
      <c r="AO153" s="81"/>
      <c r="AP153" s="375">
        <v>279973</v>
      </c>
      <c r="AQ153" s="375">
        <v>-451174</v>
      </c>
      <c r="AR153" s="375">
        <v>173459</v>
      </c>
      <c r="AS153" s="375">
        <v>771452</v>
      </c>
      <c r="AT153" s="375">
        <v>-773710</v>
      </c>
      <c r="AU153" s="375">
        <v>0</v>
      </c>
      <c r="AV153" s="375">
        <v>0</v>
      </c>
      <c r="AW153" s="375">
        <v>0</v>
      </c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79">
        <v>279973</v>
      </c>
      <c r="BD153" s="79">
        <v>-451174</v>
      </c>
      <c r="BE153" s="79">
        <v>173459</v>
      </c>
      <c r="BF153" s="79">
        <v>0</v>
      </c>
      <c r="BG153" s="79">
        <v>51201</v>
      </c>
      <c r="BH153" s="79">
        <v>0</v>
      </c>
      <c r="BI153" s="79">
        <v>0</v>
      </c>
      <c r="BJ153" s="79">
        <v>0</v>
      </c>
      <c r="BK153" s="79">
        <v>0</v>
      </c>
      <c r="BL153" s="79">
        <v>0</v>
      </c>
      <c r="BM153" s="79">
        <v>0</v>
      </c>
      <c r="BN153" s="79">
        <v>0</v>
      </c>
      <c r="BO153" s="79">
        <v>53459</v>
      </c>
    </row>
    <row r="154" spans="1:67" ht="15" customHeight="1">
      <c r="A154" s="66" t="s">
        <v>2047</v>
      </c>
      <c r="B154" s="66" t="s">
        <v>2048</v>
      </c>
      <c r="C154" s="150" t="s">
        <v>1136</v>
      </c>
      <c r="D154" s="150" t="s">
        <v>1345</v>
      </c>
      <c r="E154" s="150" t="s">
        <v>1481</v>
      </c>
      <c r="F154" s="150" t="s">
        <v>1346</v>
      </c>
      <c r="G154" s="511" t="s">
        <v>389</v>
      </c>
      <c r="H154" s="392" t="s">
        <v>1147</v>
      </c>
      <c r="I154" s="343"/>
      <c r="J154" s="343"/>
      <c r="K154" s="70" t="s">
        <v>53</v>
      </c>
      <c r="L154" s="346" t="s">
        <v>1153</v>
      </c>
      <c r="M154" s="343"/>
      <c r="N154" s="346"/>
      <c r="O154" s="150" t="s">
        <v>25</v>
      </c>
      <c r="P154" s="473" t="s">
        <v>1513</v>
      </c>
      <c r="Q154" s="403"/>
      <c r="R154" s="406">
        <v>0</v>
      </c>
      <c r="S154" s="406">
        <v>2360</v>
      </c>
      <c r="T154" s="425"/>
      <c r="U154" s="71"/>
      <c r="V154" s="426"/>
      <c r="W154" s="427">
        <v>2180</v>
      </c>
      <c r="X154" s="427">
        <v>180</v>
      </c>
      <c r="Y154" s="428">
        <v>180</v>
      </c>
      <c r="Z154" s="429">
        <v>180</v>
      </c>
      <c r="AA154" s="429">
        <v>60</v>
      </c>
      <c r="AB154" s="363" t="e">
        <v>#N/A</v>
      </c>
      <c r="AC154" s="360">
        <v>0</v>
      </c>
      <c r="AD154" s="360">
        <v>0</v>
      </c>
      <c r="AE154" s="360">
        <v>0</v>
      </c>
      <c r="AF154" s="360">
        <v>0</v>
      </c>
      <c r="AG154" s="360">
        <v>0</v>
      </c>
      <c r="AH154" s="360" t="e">
        <f t="shared" si="11"/>
        <v>#N/A</v>
      </c>
      <c r="AI154" s="362" t="e">
        <f>ERP[[#This Row],[2026 Working Total]]-ERP[[#This Row],[LE2 Final Submission]]</f>
        <v>#N/A</v>
      </c>
      <c r="AJ154" s="79" t="e">
        <v>#N/A</v>
      </c>
      <c r="AK154" s="79" t="e">
        <f t="shared" si="10"/>
        <v>#N/A</v>
      </c>
      <c r="AL154" s="374">
        <f>SUM(ERP[[#This Row],[AP01]:[AP06]])-SUM(ERP[[#This Row],[AP01 LE2]:[AP06 LE2]])</f>
        <v>420</v>
      </c>
      <c r="AM154" s="80"/>
      <c r="AN154" s="79" t="e">
        <f>ERP[[#This Row],[2026 Working Total to Budget/LE]]-ERP[[#This Row],[Giveback]]</f>
        <v>#N/A</v>
      </c>
      <c r="AO154" s="81"/>
      <c r="AP154" s="375"/>
      <c r="AQ154" s="375">
        <v>2180</v>
      </c>
      <c r="AR154" s="375">
        <v>180</v>
      </c>
      <c r="AS154" s="375">
        <v>0</v>
      </c>
      <c r="AT154" s="375">
        <v>0</v>
      </c>
      <c r="AU154" s="375">
        <v>0</v>
      </c>
      <c r="AV154" s="375">
        <v>0</v>
      </c>
      <c r="AW154" s="375">
        <v>0</v>
      </c>
      <c r="AX154" s="375">
        <v>0</v>
      </c>
      <c r="AY154" s="375">
        <v>0</v>
      </c>
      <c r="AZ154" s="375">
        <v>0</v>
      </c>
      <c r="BA154" s="375">
        <v>0</v>
      </c>
      <c r="BB154" s="375">
        <v>2360</v>
      </c>
      <c r="BC154" s="79"/>
      <c r="BD154" s="79">
        <v>2180</v>
      </c>
      <c r="BE154" s="79">
        <v>180</v>
      </c>
      <c r="BF154" s="79">
        <v>0</v>
      </c>
      <c r="BG154" s="79">
        <v>0</v>
      </c>
      <c r="BH154" s="79">
        <v>0</v>
      </c>
      <c r="BI154" s="79">
        <v>0</v>
      </c>
      <c r="BJ154" s="79">
        <v>0</v>
      </c>
      <c r="BK154" s="79">
        <v>0</v>
      </c>
      <c r="BL154" s="79">
        <v>0</v>
      </c>
      <c r="BM154" s="79">
        <v>0</v>
      </c>
      <c r="BN154" s="79">
        <v>0</v>
      </c>
      <c r="BO154" s="79">
        <v>2360</v>
      </c>
    </row>
    <row r="155" spans="1:67" ht="15" customHeight="1">
      <c r="A155" s="66" t="s">
        <v>2715</v>
      </c>
      <c r="B155" s="66" t="s">
        <v>2716</v>
      </c>
      <c r="C155" s="150" t="s">
        <v>1136</v>
      </c>
      <c r="D155" s="150" t="s">
        <v>1345</v>
      </c>
      <c r="E155" s="150" t="s">
        <v>1481</v>
      </c>
      <c r="F155" s="150" t="s">
        <v>1346</v>
      </c>
      <c r="G155" s="511" t="s">
        <v>639</v>
      </c>
      <c r="H155" s="392" t="s">
        <v>1147</v>
      </c>
      <c r="I155" s="343"/>
      <c r="J155" s="343"/>
      <c r="K155" s="70" t="s">
        <v>53</v>
      </c>
      <c r="L155" s="346" t="s">
        <v>1153</v>
      </c>
      <c r="M155" s="346" t="s">
        <v>1140</v>
      </c>
      <c r="N155" s="346"/>
      <c r="O155" s="150" t="s">
        <v>25</v>
      </c>
      <c r="P155" s="473" t="s">
        <v>1513</v>
      </c>
      <c r="Q155" s="403"/>
      <c r="R155" s="406">
        <v>0</v>
      </c>
      <c r="S155" s="406">
        <v>1520</v>
      </c>
      <c r="T155" s="425"/>
      <c r="U155" s="71"/>
      <c r="V155" s="426"/>
      <c r="W155" s="427">
        <v>1520</v>
      </c>
      <c r="X155" s="431">
        <v>0</v>
      </c>
      <c r="Y155" s="428">
        <v>0</v>
      </c>
      <c r="Z155" s="429">
        <v>0</v>
      </c>
      <c r="AA155" s="429">
        <v>0</v>
      </c>
      <c r="AB155" s="363" t="e">
        <v>#N/A</v>
      </c>
      <c r="AC155" s="360">
        <v>0</v>
      </c>
      <c r="AD155" s="360">
        <v>0</v>
      </c>
      <c r="AE155" s="360">
        <v>0</v>
      </c>
      <c r="AF155" s="360">
        <v>0</v>
      </c>
      <c r="AG155" s="360">
        <v>0</v>
      </c>
      <c r="AH155" s="360" t="e">
        <f t="shared" si="11"/>
        <v>#N/A</v>
      </c>
      <c r="AI155" s="362" t="e">
        <f>ERP[[#This Row],[2026 Working Total]]-ERP[[#This Row],[LE2 Final Submission]]</f>
        <v>#N/A</v>
      </c>
      <c r="AJ155" s="79" t="e">
        <v>#N/A</v>
      </c>
      <c r="AK155" s="79" t="e">
        <f t="shared" si="10"/>
        <v>#N/A</v>
      </c>
      <c r="AL155" s="374">
        <f>SUM(ERP[[#This Row],[AP01]:[AP06]])-SUM(ERP[[#This Row],[AP01 LE2]:[AP06 LE2]])</f>
        <v>0</v>
      </c>
      <c r="AM155" s="80"/>
      <c r="AN155" s="79" t="e">
        <f>ERP[[#This Row],[2026 Working Total to Budget/LE]]-ERP[[#This Row],[Giveback]]</f>
        <v>#N/A</v>
      </c>
      <c r="AO155" s="81"/>
      <c r="AP155" s="375"/>
      <c r="AQ155" s="375">
        <v>1520</v>
      </c>
      <c r="AR155" s="375">
        <v>0</v>
      </c>
      <c r="AS155" s="375">
        <v>0</v>
      </c>
      <c r="AT155" s="375">
        <v>0</v>
      </c>
      <c r="AU155" s="375">
        <v>0</v>
      </c>
      <c r="AV155" s="375">
        <v>0</v>
      </c>
      <c r="AW155" s="375">
        <v>0</v>
      </c>
      <c r="AX155" s="375">
        <v>0</v>
      </c>
      <c r="AY155" s="375">
        <v>0</v>
      </c>
      <c r="AZ155" s="375">
        <v>0</v>
      </c>
      <c r="BA155" s="375">
        <v>0</v>
      </c>
      <c r="BB155" s="375">
        <v>1520</v>
      </c>
      <c r="BC155" s="79"/>
      <c r="BD155" s="79">
        <v>1520</v>
      </c>
      <c r="BE155" s="79">
        <v>0</v>
      </c>
      <c r="BF155" s="79">
        <v>0</v>
      </c>
      <c r="BG155" s="79">
        <v>0</v>
      </c>
      <c r="BH155" s="79">
        <v>0</v>
      </c>
      <c r="BI155" s="79">
        <v>0</v>
      </c>
      <c r="BJ155" s="79">
        <v>0</v>
      </c>
      <c r="BK155" s="79">
        <v>0</v>
      </c>
      <c r="BL155" s="79">
        <v>0</v>
      </c>
      <c r="BM155" s="79">
        <v>0</v>
      </c>
      <c r="BN155" s="79">
        <v>0</v>
      </c>
      <c r="BO155" s="79">
        <v>1520</v>
      </c>
    </row>
    <row r="156" spans="1:67" ht="15" customHeight="1">
      <c r="A156" s="66" t="s">
        <v>2257</v>
      </c>
      <c r="B156" s="66" t="s">
        <v>2258</v>
      </c>
      <c r="C156" s="150" t="s">
        <v>1136</v>
      </c>
      <c r="D156" s="150" t="s">
        <v>1135</v>
      </c>
      <c r="E156" s="150" t="s">
        <v>1161</v>
      </c>
      <c r="F156" s="150" t="s">
        <v>1137</v>
      </c>
      <c r="G156" s="511" t="s">
        <v>639</v>
      </c>
      <c r="H156" s="392" t="s">
        <v>1147</v>
      </c>
      <c r="I156" s="343"/>
      <c r="J156" s="343"/>
      <c r="K156" s="70" t="s">
        <v>53</v>
      </c>
      <c r="L156" s="346" t="s">
        <v>1153</v>
      </c>
      <c r="M156" s="346" t="s">
        <v>1140</v>
      </c>
      <c r="N156" s="346"/>
      <c r="O156" s="150" t="s">
        <v>25</v>
      </c>
      <c r="P156" s="150" t="s">
        <v>2259</v>
      </c>
      <c r="Q156" s="403"/>
      <c r="R156" s="406">
        <v>0</v>
      </c>
      <c r="S156" s="406">
        <v>227</v>
      </c>
      <c r="T156" s="425"/>
      <c r="U156" s="71"/>
      <c r="V156" s="426"/>
      <c r="W156" s="427">
        <v>227</v>
      </c>
      <c r="X156" s="431">
        <v>0</v>
      </c>
      <c r="Y156" s="428" t="s">
        <v>1142</v>
      </c>
      <c r="Z156" s="429">
        <v>0</v>
      </c>
      <c r="AA156" s="429">
        <v>0</v>
      </c>
      <c r="AB156" s="363" t="e">
        <v>#N/A</v>
      </c>
      <c r="AC156" s="360">
        <v>0</v>
      </c>
      <c r="AD156" s="360">
        <v>0</v>
      </c>
      <c r="AE156" s="360">
        <v>0</v>
      </c>
      <c r="AF156" s="360">
        <v>0</v>
      </c>
      <c r="AG156" s="360">
        <v>0</v>
      </c>
      <c r="AH156" s="360" t="e">
        <f t="shared" si="11"/>
        <v>#N/A</v>
      </c>
      <c r="AI156" s="362" t="e">
        <f>ERP[[#This Row],[2026 Working Total]]-ERP[[#This Row],[LE2 Final Submission]]</f>
        <v>#N/A</v>
      </c>
      <c r="AJ156" s="79" t="e">
        <v>#N/A</v>
      </c>
      <c r="AK156" s="79" t="e">
        <f t="shared" si="10"/>
        <v>#N/A</v>
      </c>
      <c r="AL156" s="374">
        <f>SUM(ERP[[#This Row],[AP01]:[AP06]])-SUM(ERP[[#This Row],[AP01 LE2]:[AP06 LE2]])</f>
        <v>0</v>
      </c>
      <c r="AM156" s="80"/>
      <c r="AN156" s="79" t="e">
        <f>ERP[[#This Row],[2026 Working Total to Budget/LE]]-ERP[[#This Row],[Giveback]]</f>
        <v>#N/A</v>
      </c>
      <c r="AO156" s="81"/>
      <c r="AP156" s="375"/>
      <c r="AQ156" s="375">
        <v>227</v>
      </c>
      <c r="AR156" s="375">
        <v>0</v>
      </c>
      <c r="AS156" s="375">
        <v>0</v>
      </c>
      <c r="AT156" s="375">
        <v>0</v>
      </c>
      <c r="AU156" s="375">
        <v>0</v>
      </c>
      <c r="AV156" s="375">
        <v>0</v>
      </c>
      <c r="AW156" s="375">
        <v>0</v>
      </c>
      <c r="AX156" s="375">
        <v>0</v>
      </c>
      <c r="AY156" s="375">
        <v>0</v>
      </c>
      <c r="AZ156" s="375">
        <v>0</v>
      </c>
      <c r="BA156" s="375">
        <v>0</v>
      </c>
      <c r="BB156" s="375">
        <v>227</v>
      </c>
      <c r="BC156" s="79"/>
      <c r="BD156" s="79">
        <v>227</v>
      </c>
      <c r="BE156" s="79">
        <v>0</v>
      </c>
      <c r="BF156" s="79">
        <v>0</v>
      </c>
      <c r="BG156" s="79">
        <v>0</v>
      </c>
      <c r="BH156" s="79">
        <v>0</v>
      </c>
      <c r="BI156" s="79">
        <v>0</v>
      </c>
      <c r="BJ156" s="79">
        <v>0</v>
      </c>
      <c r="BK156" s="79">
        <v>0</v>
      </c>
      <c r="BL156" s="79">
        <v>0</v>
      </c>
      <c r="BM156" s="79">
        <v>0</v>
      </c>
      <c r="BN156" s="79">
        <v>0</v>
      </c>
      <c r="BO156" s="79">
        <v>227</v>
      </c>
    </row>
    <row r="157" spans="1:67" ht="15" customHeight="1">
      <c r="A157" s="66" t="s">
        <v>2094</v>
      </c>
      <c r="B157" s="66" t="s">
        <v>2095</v>
      </c>
      <c r="C157" s="150" t="s">
        <v>1136</v>
      </c>
      <c r="D157" s="150" t="s">
        <v>1345</v>
      </c>
      <c r="E157" s="150" t="s">
        <v>1346</v>
      </c>
      <c r="F157" s="150" t="s">
        <v>1346</v>
      </c>
      <c r="G157" s="511" t="s">
        <v>389</v>
      </c>
      <c r="H157" s="392" t="s">
        <v>1174</v>
      </c>
      <c r="I157" s="343"/>
      <c r="J157" s="343"/>
      <c r="K157" s="70" t="s">
        <v>56</v>
      </c>
      <c r="L157" s="346"/>
      <c r="M157" s="346" t="s">
        <v>1140</v>
      </c>
      <c r="N157" s="346"/>
      <c r="O157" s="150" t="s">
        <v>57</v>
      </c>
      <c r="P157" s="150"/>
      <c r="Q157" s="403"/>
      <c r="R157" s="406">
        <v>19212</v>
      </c>
      <c r="S157" s="406">
        <v>19118.86</v>
      </c>
      <c r="T157" s="425"/>
      <c r="U157" s="71"/>
      <c r="V157" s="426">
        <v>1556.11</v>
      </c>
      <c r="W157" s="427">
        <v>1531.5</v>
      </c>
      <c r="X157" s="427">
        <v>1622.25</v>
      </c>
      <c r="Y157" s="428">
        <v>1712.9899999999998</v>
      </c>
      <c r="Z157" s="429">
        <v>1903.18</v>
      </c>
      <c r="AA157" s="429">
        <v>456.33000000000004</v>
      </c>
      <c r="AB157" s="363" t="e">
        <v>#N/A</v>
      </c>
      <c r="AC157" s="363">
        <v>1601</v>
      </c>
      <c r="AD157" s="363">
        <v>1601</v>
      </c>
      <c r="AE157" s="363">
        <v>1601</v>
      </c>
      <c r="AF157" s="363">
        <v>1601</v>
      </c>
      <c r="AG157" s="363">
        <v>1601</v>
      </c>
      <c r="AH157" s="360" t="e">
        <f t="shared" si="11"/>
        <v>#N/A</v>
      </c>
      <c r="AI157" s="362" t="e">
        <f>ERP[[#This Row],[2026 Working Total]]-ERP[[#This Row],[LE2 Final Submission]]</f>
        <v>#N/A</v>
      </c>
      <c r="AJ157" s="79" t="e">
        <v>#N/A</v>
      </c>
      <c r="AK157" s="79" t="e">
        <f t="shared" si="10"/>
        <v>#N/A</v>
      </c>
      <c r="AL157" s="374">
        <f>SUM(ERP[[#This Row],[AP01]:[AP06]])-SUM(ERP[[#This Row],[AP01 LE2]:[AP06 LE2]])</f>
        <v>-730.50000000000182</v>
      </c>
      <c r="AM157" s="80"/>
      <c r="AN157" s="79" t="e">
        <f>ERP[[#This Row],[2026 Working Total to Budget/LE]]-ERP[[#This Row],[Giveback]]</f>
        <v>#N/A</v>
      </c>
      <c r="AO157" s="81"/>
      <c r="AP157" s="375">
        <v>1556.11</v>
      </c>
      <c r="AQ157" s="375">
        <v>1531.5</v>
      </c>
      <c r="AR157" s="375">
        <v>1622.25</v>
      </c>
      <c r="AS157" s="375">
        <v>1601</v>
      </c>
      <c r="AT157" s="375">
        <v>1601</v>
      </c>
      <c r="AU157" s="375">
        <v>1601</v>
      </c>
      <c r="AV157" s="375">
        <v>1601</v>
      </c>
      <c r="AW157" s="375">
        <v>1601</v>
      </c>
      <c r="AX157" s="375">
        <v>1601</v>
      </c>
      <c r="AY157" s="375">
        <v>1601</v>
      </c>
      <c r="AZ157" s="375">
        <v>1601</v>
      </c>
      <c r="BA157" s="375">
        <v>1601</v>
      </c>
      <c r="BB157" s="375">
        <v>19118.86</v>
      </c>
      <c r="BC157" s="79">
        <v>1556.11</v>
      </c>
      <c r="BD157" s="79">
        <v>1531.5</v>
      </c>
      <c r="BE157" s="79">
        <v>1622.25</v>
      </c>
      <c r="BF157" s="79">
        <v>1601</v>
      </c>
      <c r="BG157" s="79">
        <v>1601</v>
      </c>
      <c r="BH157" s="79">
        <v>1601</v>
      </c>
      <c r="BI157" s="79">
        <v>1601</v>
      </c>
      <c r="BJ157" s="79">
        <v>1601</v>
      </c>
      <c r="BK157" s="79">
        <v>1601</v>
      </c>
      <c r="BL157" s="79">
        <v>1601</v>
      </c>
      <c r="BM157" s="79">
        <v>1601</v>
      </c>
      <c r="BN157" s="79">
        <v>1601</v>
      </c>
      <c r="BO157" s="79">
        <v>19118.86</v>
      </c>
    </row>
    <row r="158" spans="1:67" ht="15" customHeight="1">
      <c r="A158" s="150" t="s">
        <v>1169</v>
      </c>
      <c r="B158" t="s">
        <v>55</v>
      </c>
      <c r="C158" s="150" t="s">
        <v>1136</v>
      </c>
      <c r="D158" s="150" t="s">
        <v>1135</v>
      </c>
      <c r="E158" s="150" t="s">
        <v>1135</v>
      </c>
      <c r="F158" s="150" t="s">
        <v>1135</v>
      </c>
      <c r="G158" s="514" t="s">
        <v>49</v>
      </c>
      <c r="H158" s="394" t="s">
        <v>1170</v>
      </c>
      <c r="I158" s="333"/>
      <c r="J158" s="332" t="s">
        <v>1171</v>
      </c>
      <c r="K158" s="90" t="s">
        <v>56</v>
      </c>
      <c r="L158" s="347"/>
      <c r="M158" s="347"/>
      <c r="N158" s="348"/>
      <c r="O158" s="348"/>
      <c r="P158" s="348"/>
      <c r="Q158" s="402"/>
      <c r="R158" s="406"/>
      <c r="S158" s="406"/>
      <c r="T158" s="425"/>
      <c r="U158" s="71"/>
      <c r="V158" s="435"/>
      <c r="W158" s="436"/>
      <c r="X158" s="436"/>
      <c r="Y158" s="429"/>
      <c r="Z158" s="429">
        <v>550</v>
      </c>
      <c r="AA158" s="429">
        <v>0</v>
      </c>
      <c r="AB158" s="363" t="e">
        <v>#N/A</v>
      </c>
      <c r="AC158" s="364"/>
      <c r="AD158" s="364"/>
      <c r="AE158" s="364"/>
      <c r="AF158" s="364"/>
      <c r="AG158" s="364"/>
      <c r="AH158" s="360" t="e">
        <f t="shared" si="11"/>
        <v>#N/A</v>
      </c>
      <c r="AI158" s="362" t="e">
        <f>ERP[[#This Row],[2026 Working Total]]-ERP[[#This Row],[LE2 Final Submission]]</f>
        <v>#N/A</v>
      </c>
      <c r="AJ158" s="79" t="e">
        <v>#N/A</v>
      </c>
      <c r="AK158" s="79" t="e">
        <f t="shared" si="10"/>
        <v>#N/A</v>
      </c>
      <c r="AL158" s="374">
        <f>SUM(ERP[[#This Row],[AP01]:[AP06]])-SUM(ERP[[#This Row],[AP01 LE2]:[AP06 LE2]])</f>
        <v>550</v>
      </c>
      <c r="AM158" s="80"/>
      <c r="AN158" s="79" t="e">
        <f>ERP[[#This Row],[2026 Working Total to Budget/LE]]-ERP[[#This Row],[Giveback]]</f>
        <v>#N/A</v>
      </c>
      <c r="AO158" s="81"/>
      <c r="AP158" s="375"/>
      <c r="AQ158" s="375"/>
      <c r="AR158" s="375"/>
      <c r="AS158" s="375"/>
      <c r="AT158" s="375"/>
      <c r="AU158" s="375"/>
      <c r="AV158" s="375"/>
      <c r="AW158" s="375"/>
      <c r="AX158" s="375"/>
      <c r="AY158" s="375"/>
      <c r="AZ158" s="375"/>
      <c r="BA158" s="375"/>
      <c r="BB158" s="375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</row>
    <row r="159" spans="1:67" ht="15" customHeight="1">
      <c r="A159" s="66" t="s">
        <v>1701</v>
      </c>
      <c r="B159" s="66" t="s">
        <v>363</v>
      </c>
      <c r="C159" s="150" t="s">
        <v>1136</v>
      </c>
      <c r="D159" s="150" t="s">
        <v>1135</v>
      </c>
      <c r="E159" s="150" t="s">
        <v>1135</v>
      </c>
      <c r="F159" s="150" t="s">
        <v>1137</v>
      </c>
      <c r="G159" s="511" t="s">
        <v>342</v>
      </c>
      <c r="H159" s="392" t="s">
        <v>1174</v>
      </c>
      <c r="I159" s="343"/>
      <c r="J159" s="343"/>
      <c r="K159" s="70" t="s">
        <v>56</v>
      </c>
      <c r="L159" s="346" t="s">
        <v>1139</v>
      </c>
      <c r="M159" s="346" t="s">
        <v>1140</v>
      </c>
      <c r="N159" s="346"/>
      <c r="O159" s="150" t="s">
        <v>57</v>
      </c>
      <c r="P159" s="150"/>
      <c r="Q159" s="403"/>
      <c r="R159" s="406">
        <v>0</v>
      </c>
      <c r="S159" s="406">
        <v>2120</v>
      </c>
      <c r="T159" s="425"/>
      <c r="U159" s="71"/>
      <c r="V159" s="426">
        <v>2120</v>
      </c>
      <c r="W159" s="431">
        <v>0</v>
      </c>
      <c r="X159" s="431">
        <v>0</v>
      </c>
      <c r="Y159" s="428" t="s">
        <v>1142</v>
      </c>
      <c r="Z159" s="429">
        <v>0</v>
      </c>
      <c r="AA159" s="429">
        <v>0</v>
      </c>
      <c r="AB159" s="363" t="e">
        <v>#N/A</v>
      </c>
      <c r="AC159" s="360">
        <v>0</v>
      </c>
      <c r="AD159" s="360">
        <v>0</v>
      </c>
      <c r="AE159" s="360">
        <v>0</v>
      </c>
      <c r="AF159" s="360">
        <v>0</v>
      </c>
      <c r="AG159" s="360">
        <v>0</v>
      </c>
      <c r="AH159" s="360" t="e">
        <f t="shared" si="11"/>
        <v>#N/A</v>
      </c>
      <c r="AI159" s="362" t="e">
        <f>ERP[[#This Row],[2026 Working Total]]-ERP[[#This Row],[LE2 Final Submission]]</f>
        <v>#N/A</v>
      </c>
      <c r="AJ159" s="79" t="e">
        <v>#N/A</v>
      </c>
      <c r="AK159" s="79" t="e">
        <f t="shared" si="10"/>
        <v>#N/A</v>
      </c>
      <c r="AL159" s="374">
        <f>SUM(ERP[[#This Row],[AP01]:[AP06]])-SUM(ERP[[#This Row],[AP01 LE2]:[AP06 LE2]])</f>
        <v>0</v>
      </c>
      <c r="AM159" s="80"/>
      <c r="AN159" s="79" t="e">
        <f>ERP[[#This Row],[2026 Working Total to Budget/LE]]-ERP[[#This Row],[Giveback]]</f>
        <v>#N/A</v>
      </c>
      <c r="AO159" s="81"/>
      <c r="AP159" s="375">
        <v>2120</v>
      </c>
      <c r="AQ159" s="375">
        <v>0</v>
      </c>
      <c r="AR159" s="375">
        <v>0</v>
      </c>
      <c r="AS159" s="375">
        <v>0</v>
      </c>
      <c r="AT159" s="375">
        <v>0</v>
      </c>
      <c r="AU159" s="375">
        <v>0</v>
      </c>
      <c r="AV159" s="375">
        <v>0</v>
      </c>
      <c r="AW159" s="375">
        <v>0</v>
      </c>
      <c r="AX159" s="375">
        <v>0</v>
      </c>
      <c r="AY159" s="375">
        <v>0</v>
      </c>
      <c r="AZ159" s="375">
        <v>0</v>
      </c>
      <c r="BA159" s="375">
        <v>0</v>
      </c>
      <c r="BB159" s="375">
        <v>2120</v>
      </c>
      <c r="BC159" s="79">
        <v>2120</v>
      </c>
      <c r="BD159" s="79">
        <v>0</v>
      </c>
      <c r="BE159" s="79">
        <v>0</v>
      </c>
      <c r="BF159" s="79">
        <v>0</v>
      </c>
      <c r="BG159" s="79">
        <v>0</v>
      </c>
      <c r="BH159" s="79">
        <v>0</v>
      </c>
      <c r="BI159" s="79">
        <v>0</v>
      </c>
      <c r="BJ159" s="79">
        <v>0</v>
      </c>
      <c r="BK159" s="79">
        <v>0</v>
      </c>
      <c r="BL159" s="79">
        <v>0</v>
      </c>
      <c r="BM159" s="79">
        <v>0</v>
      </c>
      <c r="BN159" s="79">
        <v>0</v>
      </c>
      <c r="BO159" s="79">
        <v>2120</v>
      </c>
    </row>
    <row r="160" spans="1:67" ht="15" customHeight="1">
      <c r="A160" s="66" t="s">
        <v>1790</v>
      </c>
      <c r="B160" s="66" t="s">
        <v>417</v>
      </c>
      <c r="C160" s="150" t="s">
        <v>1136</v>
      </c>
      <c r="D160" s="150" t="s">
        <v>1135</v>
      </c>
      <c r="E160" s="150" t="s">
        <v>1135</v>
      </c>
      <c r="F160" s="150" t="s">
        <v>1137</v>
      </c>
      <c r="G160" s="511" t="s">
        <v>389</v>
      </c>
      <c r="H160" s="392" t="s">
        <v>1174</v>
      </c>
      <c r="I160" s="343"/>
      <c r="J160" s="343"/>
      <c r="K160" s="70" t="s">
        <v>56</v>
      </c>
      <c r="L160" s="346" t="s">
        <v>1139</v>
      </c>
      <c r="M160" s="346" t="s">
        <v>1140</v>
      </c>
      <c r="N160" s="346"/>
      <c r="O160" s="150" t="s">
        <v>57</v>
      </c>
      <c r="P160" s="150"/>
      <c r="Q160" s="403"/>
      <c r="R160" s="406">
        <v>48000</v>
      </c>
      <c r="S160" s="406">
        <v>49773.74</v>
      </c>
      <c r="T160" s="430"/>
      <c r="U160" s="137"/>
      <c r="V160" s="426">
        <v>4838.91</v>
      </c>
      <c r="W160" s="427">
        <v>4409.8999999999996</v>
      </c>
      <c r="X160" s="427">
        <v>4524.93</v>
      </c>
      <c r="Y160" s="428">
        <v>3908.87</v>
      </c>
      <c r="Z160" s="429">
        <v>4454.8399999999992</v>
      </c>
      <c r="AA160" s="429">
        <v>4602.9500000000007</v>
      </c>
      <c r="AB160" s="363" t="e">
        <v>#N/A</v>
      </c>
      <c r="AC160" s="363">
        <v>4000</v>
      </c>
      <c r="AD160" s="363">
        <v>4000</v>
      </c>
      <c r="AE160" s="363">
        <v>4000</v>
      </c>
      <c r="AF160" s="363">
        <v>4000</v>
      </c>
      <c r="AG160" s="363">
        <v>4000</v>
      </c>
      <c r="AH160" s="360" t="e">
        <f t="shared" si="11"/>
        <v>#N/A</v>
      </c>
      <c r="AI160" s="362" t="e">
        <f>ERP[[#This Row],[2026 Working Total]]-ERP[[#This Row],[LE2 Final Submission]]</f>
        <v>#N/A</v>
      </c>
      <c r="AJ160" s="79" t="e">
        <v>#N/A</v>
      </c>
      <c r="AK160" s="79" t="e">
        <f t="shared" si="10"/>
        <v>#N/A</v>
      </c>
      <c r="AL160" s="374">
        <f>SUM(ERP[[#This Row],[AP01]:[AP06]])-SUM(ERP[[#This Row],[AP01 LE2]:[AP06 LE2]])</f>
        <v>966.66000000000349</v>
      </c>
      <c r="AM160" s="80"/>
      <c r="AN160" s="79" t="e">
        <f>ERP[[#This Row],[2026 Working Total to Budget/LE]]-ERP[[#This Row],[Giveback]]</f>
        <v>#N/A</v>
      </c>
      <c r="AO160" s="81"/>
      <c r="AP160" s="375">
        <v>4838.91</v>
      </c>
      <c r="AQ160" s="375">
        <v>4409.8999999999996</v>
      </c>
      <c r="AR160" s="375">
        <v>4524.93</v>
      </c>
      <c r="AS160" s="375">
        <v>4000</v>
      </c>
      <c r="AT160" s="375">
        <v>4000</v>
      </c>
      <c r="AU160" s="375">
        <v>4000</v>
      </c>
      <c r="AV160" s="375">
        <v>4000</v>
      </c>
      <c r="AW160" s="375">
        <v>4000</v>
      </c>
      <c r="AX160" s="375">
        <v>4000</v>
      </c>
      <c r="AY160" s="375">
        <v>4000</v>
      </c>
      <c r="AZ160" s="375">
        <v>4000</v>
      </c>
      <c r="BA160" s="375">
        <v>4000</v>
      </c>
      <c r="BB160" s="375">
        <v>49773.74</v>
      </c>
      <c r="BC160" s="79">
        <v>4838.91</v>
      </c>
      <c r="BD160" s="79">
        <v>4409.8999999999996</v>
      </c>
      <c r="BE160" s="79">
        <v>4524.93</v>
      </c>
      <c r="BF160" s="79">
        <v>4000</v>
      </c>
      <c r="BG160" s="79">
        <v>4000</v>
      </c>
      <c r="BH160" s="79">
        <v>4000</v>
      </c>
      <c r="BI160" s="79">
        <v>4000</v>
      </c>
      <c r="BJ160" s="79">
        <v>4000</v>
      </c>
      <c r="BK160" s="79">
        <v>4000</v>
      </c>
      <c r="BL160" s="79">
        <v>4000</v>
      </c>
      <c r="BM160" s="79">
        <v>4000</v>
      </c>
      <c r="BN160" s="79">
        <v>4000</v>
      </c>
      <c r="BO160" s="79">
        <v>49773.74</v>
      </c>
    </row>
    <row r="161" spans="1:67" ht="15" customHeight="1">
      <c r="A161" s="66" t="s">
        <v>1964</v>
      </c>
      <c r="B161" s="66" t="s">
        <v>493</v>
      </c>
      <c r="C161" s="150" t="s">
        <v>1136</v>
      </c>
      <c r="D161" s="150" t="s">
        <v>1345</v>
      </c>
      <c r="E161" s="150" t="s">
        <v>1344</v>
      </c>
      <c r="F161" s="150" t="s">
        <v>1346</v>
      </c>
      <c r="G161" s="511" t="s">
        <v>389</v>
      </c>
      <c r="H161" s="392" t="s">
        <v>1174</v>
      </c>
      <c r="I161" s="343"/>
      <c r="J161" s="343"/>
      <c r="K161" s="70" t="s">
        <v>56</v>
      </c>
      <c r="L161" s="346"/>
      <c r="M161" s="346" t="s">
        <v>1140</v>
      </c>
      <c r="N161" s="346"/>
      <c r="O161" s="150" t="s">
        <v>57</v>
      </c>
      <c r="P161" s="150"/>
      <c r="Q161" s="403"/>
      <c r="R161" s="406">
        <v>18000</v>
      </c>
      <c r="S161" s="406">
        <v>16521.98</v>
      </c>
      <c r="T161" s="430"/>
      <c r="U161" s="137"/>
      <c r="V161" s="426">
        <v>920.95</v>
      </c>
      <c r="W161" s="427">
        <v>1065.45</v>
      </c>
      <c r="X161" s="427">
        <v>1035.58</v>
      </c>
      <c r="Y161" s="428">
        <v>1019.5500000000001</v>
      </c>
      <c r="Z161" s="429">
        <v>110.62</v>
      </c>
      <c r="AA161" s="429">
        <v>219.57999999999998</v>
      </c>
      <c r="AB161" s="363" t="e">
        <v>#N/A</v>
      </c>
      <c r="AC161" s="363">
        <v>1500</v>
      </c>
      <c r="AD161" s="363">
        <v>1500</v>
      </c>
      <c r="AE161" s="363">
        <v>1500</v>
      </c>
      <c r="AF161" s="363">
        <v>1500</v>
      </c>
      <c r="AG161" s="363">
        <v>1500</v>
      </c>
      <c r="AH161" s="360" t="e">
        <f t="shared" si="11"/>
        <v>#N/A</v>
      </c>
      <c r="AI161" s="362" t="e">
        <f>ERP[[#This Row],[2026 Working Total]]-ERP[[#This Row],[LE2 Final Submission]]</f>
        <v>#N/A</v>
      </c>
      <c r="AJ161" s="79" t="e">
        <v>#N/A</v>
      </c>
      <c r="AK161" s="79" t="e">
        <f t="shared" si="10"/>
        <v>#N/A</v>
      </c>
      <c r="AL161" s="374">
        <f>SUM(ERP[[#This Row],[AP01]:[AP06]])-SUM(ERP[[#This Row],[AP01 LE2]:[AP06 LE2]])</f>
        <v>-3150.2499999999991</v>
      </c>
      <c r="AM161" s="80"/>
      <c r="AN161" s="79" t="e">
        <f>ERP[[#This Row],[2026 Working Total to Budget/LE]]-ERP[[#This Row],[Giveback]]</f>
        <v>#N/A</v>
      </c>
      <c r="AO161" s="81"/>
      <c r="AP161" s="375">
        <v>920.95</v>
      </c>
      <c r="AQ161" s="375">
        <v>1065.45</v>
      </c>
      <c r="AR161" s="375">
        <v>1035.58</v>
      </c>
      <c r="AS161" s="375">
        <v>1500</v>
      </c>
      <c r="AT161" s="375">
        <v>1500</v>
      </c>
      <c r="AU161" s="375">
        <v>1500</v>
      </c>
      <c r="AV161" s="375">
        <v>1500</v>
      </c>
      <c r="AW161" s="375">
        <v>1500</v>
      </c>
      <c r="AX161" s="375">
        <v>1500</v>
      </c>
      <c r="AY161" s="375">
        <v>1500</v>
      </c>
      <c r="AZ161" s="375">
        <v>1500</v>
      </c>
      <c r="BA161" s="375">
        <v>1500</v>
      </c>
      <c r="BB161" s="375">
        <v>16521.98</v>
      </c>
      <c r="BC161" s="79">
        <v>920.95</v>
      </c>
      <c r="BD161" s="79">
        <v>1065.45</v>
      </c>
      <c r="BE161" s="79">
        <v>1035.58</v>
      </c>
      <c r="BF161" s="79">
        <v>1500</v>
      </c>
      <c r="BG161" s="79">
        <v>1500</v>
      </c>
      <c r="BH161" s="79">
        <v>1500</v>
      </c>
      <c r="BI161" s="79">
        <v>1500</v>
      </c>
      <c r="BJ161" s="79">
        <v>1500</v>
      </c>
      <c r="BK161" s="79">
        <v>1500</v>
      </c>
      <c r="BL161" s="79">
        <v>1500</v>
      </c>
      <c r="BM161" s="79">
        <v>1500</v>
      </c>
      <c r="BN161" s="79">
        <v>1500</v>
      </c>
      <c r="BO161" s="79">
        <v>16521.98</v>
      </c>
    </row>
    <row r="162" spans="1:67" ht="15" customHeight="1">
      <c r="A162" s="66" t="s">
        <v>2608</v>
      </c>
      <c r="B162" s="66" t="s">
        <v>903</v>
      </c>
      <c r="C162" s="150" t="s">
        <v>1136</v>
      </c>
      <c r="D162" s="150" t="s">
        <v>1345</v>
      </c>
      <c r="E162" s="150" t="s">
        <v>1344</v>
      </c>
      <c r="F162" s="150" t="s">
        <v>1346</v>
      </c>
      <c r="G162" s="511" t="s">
        <v>639</v>
      </c>
      <c r="H162" s="392" t="s">
        <v>1174</v>
      </c>
      <c r="I162" s="343"/>
      <c r="J162" s="343"/>
      <c r="K162" s="70" t="s">
        <v>56</v>
      </c>
      <c r="L162" s="346"/>
      <c r="M162" s="346" t="s">
        <v>1140</v>
      </c>
      <c r="N162" s="346"/>
      <c r="O162" s="150" t="s">
        <v>57</v>
      </c>
      <c r="P162" s="150"/>
      <c r="Q162" s="403"/>
      <c r="R162" s="406">
        <v>4200</v>
      </c>
      <c r="S162" s="406">
        <v>3888.09</v>
      </c>
      <c r="T162" s="425"/>
      <c r="U162" s="71"/>
      <c r="V162" s="426">
        <v>251.53</v>
      </c>
      <c r="W162" s="427">
        <v>246.74</v>
      </c>
      <c r="X162" s="427">
        <v>239.82</v>
      </c>
      <c r="Y162" s="428">
        <v>236.11</v>
      </c>
      <c r="Z162" s="429">
        <v>0</v>
      </c>
      <c r="AA162" s="429">
        <v>0</v>
      </c>
      <c r="AB162" s="363" t="e">
        <v>#N/A</v>
      </c>
      <c r="AC162" s="363">
        <v>350</v>
      </c>
      <c r="AD162" s="363">
        <v>350</v>
      </c>
      <c r="AE162" s="363">
        <v>350</v>
      </c>
      <c r="AF162" s="363">
        <v>350</v>
      </c>
      <c r="AG162" s="363">
        <v>350</v>
      </c>
      <c r="AH162" s="360" t="e">
        <f t="shared" si="11"/>
        <v>#N/A</v>
      </c>
      <c r="AI162" s="362" t="e">
        <f>ERP[[#This Row],[2026 Working Total]]-ERP[[#This Row],[LE2 Final Submission]]</f>
        <v>#N/A</v>
      </c>
      <c r="AJ162" s="79" t="e">
        <v>#N/A</v>
      </c>
      <c r="AK162" s="79" t="e">
        <f t="shared" si="10"/>
        <v>#N/A</v>
      </c>
      <c r="AL162" s="374">
        <f>SUM(ERP[[#This Row],[AP01]:[AP06]])-SUM(ERP[[#This Row],[AP01 LE2]:[AP06 LE2]])</f>
        <v>-813.89</v>
      </c>
      <c r="AM162" s="80"/>
      <c r="AN162" s="79" t="e">
        <f>ERP[[#This Row],[2026 Working Total to Budget/LE]]-ERP[[#This Row],[Giveback]]</f>
        <v>#N/A</v>
      </c>
      <c r="AO162" s="81"/>
      <c r="AP162" s="375">
        <v>251.53</v>
      </c>
      <c r="AQ162" s="375">
        <v>246.74</v>
      </c>
      <c r="AR162" s="375">
        <v>239.82</v>
      </c>
      <c r="AS162" s="375">
        <v>350</v>
      </c>
      <c r="AT162" s="375">
        <v>350</v>
      </c>
      <c r="AU162" s="375">
        <v>350</v>
      </c>
      <c r="AV162" s="375">
        <v>350</v>
      </c>
      <c r="AW162" s="375">
        <v>350</v>
      </c>
      <c r="AX162" s="375">
        <v>350</v>
      </c>
      <c r="AY162" s="375">
        <v>350</v>
      </c>
      <c r="AZ162" s="375">
        <v>350</v>
      </c>
      <c r="BA162" s="375">
        <v>350</v>
      </c>
      <c r="BB162" s="375">
        <v>3888.09</v>
      </c>
      <c r="BC162" s="79">
        <v>251.53</v>
      </c>
      <c r="BD162" s="79">
        <v>246.74</v>
      </c>
      <c r="BE162" s="79">
        <v>239.82</v>
      </c>
      <c r="BF162" s="79">
        <v>350</v>
      </c>
      <c r="BG162" s="79">
        <v>350</v>
      </c>
      <c r="BH162" s="79">
        <v>350</v>
      </c>
      <c r="BI162" s="79">
        <v>350</v>
      </c>
      <c r="BJ162" s="79">
        <v>350</v>
      </c>
      <c r="BK162" s="79">
        <v>350</v>
      </c>
      <c r="BL162" s="79">
        <v>350</v>
      </c>
      <c r="BM162" s="79">
        <v>350</v>
      </c>
      <c r="BN162" s="79">
        <v>350</v>
      </c>
      <c r="BO162" s="79">
        <v>3888.09</v>
      </c>
    </row>
    <row r="163" spans="1:67" ht="15" customHeight="1">
      <c r="A163" s="66" t="s">
        <v>2011</v>
      </c>
      <c r="B163" s="66" t="s">
        <v>524</v>
      </c>
      <c r="C163" s="150" t="s">
        <v>1136</v>
      </c>
      <c r="D163" s="150" t="s">
        <v>1345</v>
      </c>
      <c r="E163" s="150" t="s">
        <v>1345</v>
      </c>
      <c r="F163" s="150" t="s">
        <v>1346</v>
      </c>
      <c r="G163" s="511" t="s">
        <v>389</v>
      </c>
      <c r="H163" s="392" t="s">
        <v>1174</v>
      </c>
      <c r="I163" s="343"/>
      <c r="J163" s="343"/>
      <c r="K163" s="70" t="s">
        <v>56</v>
      </c>
      <c r="L163" s="346"/>
      <c r="M163" s="346" t="s">
        <v>1140</v>
      </c>
      <c r="N163" s="346"/>
      <c r="O163" s="150" t="s">
        <v>57</v>
      </c>
      <c r="P163" s="150"/>
      <c r="Q163" s="403"/>
      <c r="R163" s="406">
        <v>10233</v>
      </c>
      <c r="S163" s="406">
        <v>10178.029999999999</v>
      </c>
      <c r="T163" s="425"/>
      <c r="U163" s="71"/>
      <c r="V163" s="426">
        <v>961.55</v>
      </c>
      <c r="W163" s="427">
        <v>816.59</v>
      </c>
      <c r="X163" s="427">
        <v>725.14</v>
      </c>
      <c r="Y163" s="428">
        <v>139.44999999999999</v>
      </c>
      <c r="Z163" s="429">
        <v>1450.2800000000002</v>
      </c>
      <c r="AA163" s="429">
        <v>0</v>
      </c>
      <c r="AB163" s="363" t="e">
        <v>#N/A</v>
      </c>
      <c r="AC163" s="363">
        <v>852.75</v>
      </c>
      <c r="AD163" s="363">
        <v>852.75</v>
      </c>
      <c r="AE163" s="363">
        <v>852.75</v>
      </c>
      <c r="AF163" s="363">
        <v>852.75</v>
      </c>
      <c r="AG163" s="363">
        <v>852.75</v>
      </c>
      <c r="AH163" s="360" t="e">
        <f t="shared" si="11"/>
        <v>#N/A</v>
      </c>
      <c r="AI163" s="362" t="e">
        <f>ERP[[#This Row],[2026 Working Total]]-ERP[[#This Row],[LE2 Final Submission]]</f>
        <v>#N/A</v>
      </c>
      <c r="AJ163" s="79" t="e">
        <v>#N/A</v>
      </c>
      <c r="AK163" s="79" t="e">
        <f t="shared" si="10"/>
        <v>#N/A</v>
      </c>
      <c r="AL163" s="374">
        <f>SUM(ERP[[#This Row],[AP01]:[AP06]])-SUM(ERP[[#This Row],[AP01 LE2]:[AP06 LE2]])</f>
        <v>-968.52</v>
      </c>
      <c r="AM163" s="80"/>
      <c r="AN163" s="79" t="e">
        <f>ERP[[#This Row],[2026 Working Total to Budget/LE]]-ERP[[#This Row],[Giveback]]</f>
        <v>#N/A</v>
      </c>
      <c r="AO163" s="81"/>
      <c r="AP163" s="375">
        <v>961.55</v>
      </c>
      <c r="AQ163" s="375">
        <v>816.59</v>
      </c>
      <c r="AR163" s="375">
        <v>725.14</v>
      </c>
      <c r="AS163" s="375">
        <v>852.75</v>
      </c>
      <c r="AT163" s="375">
        <v>852.75</v>
      </c>
      <c r="AU163" s="375">
        <v>852.75</v>
      </c>
      <c r="AV163" s="375">
        <v>852.75</v>
      </c>
      <c r="AW163" s="375">
        <v>852.75</v>
      </c>
      <c r="AX163" s="375">
        <v>852.75</v>
      </c>
      <c r="AY163" s="375">
        <v>852.75</v>
      </c>
      <c r="AZ163" s="375">
        <v>852.75</v>
      </c>
      <c r="BA163" s="375">
        <v>852.75</v>
      </c>
      <c r="BB163" s="375">
        <v>10178.029999999999</v>
      </c>
      <c r="BC163" s="79">
        <v>961.55</v>
      </c>
      <c r="BD163" s="79">
        <v>816.59</v>
      </c>
      <c r="BE163" s="79">
        <v>725.14</v>
      </c>
      <c r="BF163" s="79">
        <v>852.75</v>
      </c>
      <c r="BG163" s="79">
        <v>852.75</v>
      </c>
      <c r="BH163" s="79">
        <v>852.75</v>
      </c>
      <c r="BI163" s="79">
        <v>852.75</v>
      </c>
      <c r="BJ163" s="79">
        <v>852.75</v>
      </c>
      <c r="BK163" s="79">
        <v>852.75</v>
      </c>
      <c r="BL163" s="79">
        <v>852.75</v>
      </c>
      <c r="BM163" s="79">
        <v>852.75</v>
      </c>
      <c r="BN163" s="79">
        <v>852.75</v>
      </c>
      <c r="BO163" s="79">
        <v>10178.029999999999</v>
      </c>
    </row>
    <row r="164" spans="1:67" ht="15" customHeight="1">
      <c r="A164" s="66" t="s">
        <v>1449</v>
      </c>
      <c r="B164" s="66" t="s">
        <v>204</v>
      </c>
      <c r="C164" s="150" t="s">
        <v>1136</v>
      </c>
      <c r="D164" s="150" t="s">
        <v>1345</v>
      </c>
      <c r="E164" s="150" t="s">
        <v>1450</v>
      </c>
      <c r="F164" s="150" t="s">
        <v>1346</v>
      </c>
      <c r="G164" s="511" t="s">
        <v>49</v>
      </c>
      <c r="H164" s="392" t="s">
        <v>1174</v>
      </c>
      <c r="I164" s="343"/>
      <c r="J164" s="343"/>
      <c r="K164" s="70" t="s">
        <v>56</v>
      </c>
      <c r="L164" s="346"/>
      <c r="M164" s="346" t="s">
        <v>1140</v>
      </c>
      <c r="N164" s="346"/>
      <c r="O164" s="150" t="s">
        <v>57</v>
      </c>
      <c r="P164" s="150"/>
      <c r="Q164" s="403"/>
      <c r="R164" s="406">
        <v>0</v>
      </c>
      <c r="S164" s="406">
        <v>2893.46</v>
      </c>
      <c r="T164" s="425"/>
      <c r="U164" s="71"/>
      <c r="V164" s="426">
        <v>183.12</v>
      </c>
      <c r="W164" s="427">
        <v>1029.04</v>
      </c>
      <c r="X164" s="427">
        <v>1681.3</v>
      </c>
      <c r="Y164" s="428">
        <v>1593.8</v>
      </c>
      <c r="Z164" s="429">
        <v>85.08</v>
      </c>
      <c r="AA164" s="429">
        <v>0</v>
      </c>
      <c r="AB164" s="363" t="e">
        <v>#N/A</v>
      </c>
      <c r="AC164" s="360">
        <v>0</v>
      </c>
      <c r="AD164" s="360">
        <v>0</v>
      </c>
      <c r="AE164" s="360">
        <v>0</v>
      </c>
      <c r="AF164" s="360">
        <v>0</v>
      </c>
      <c r="AG164" s="360">
        <v>0</v>
      </c>
      <c r="AH164" s="360" t="e">
        <f t="shared" si="11"/>
        <v>#N/A</v>
      </c>
      <c r="AI164" s="362" t="e">
        <f>ERP[[#This Row],[2026 Working Total]]-ERP[[#This Row],[LE2 Final Submission]]</f>
        <v>#N/A</v>
      </c>
      <c r="AJ164" s="79" t="e">
        <v>#N/A</v>
      </c>
      <c r="AK164" s="79" t="e">
        <f t="shared" si="10"/>
        <v>#N/A</v>
      </c>
      <c r="AL164" s="374">
        <f>SUM(ERP[[#This Row],[AP01]:[AP06]])-SUM(ERP[[#This Row],[AP01 LE2]:[AP06 LE2]])</f>
        <v>1678.88</v>
      </c>
      <c r="AM164" s="80"/>
      <c r="AN164" s="79" t="e">
        <f>ERP[[#This Row],[2026 Working Total to Budget/LE]]-ERP[[#This Row],[Giveback]]</f>
        <v>#N/A</v>
      </c>
      <c r="AO164" s="81"/>
      <c r="AP164" s="375">
        <v>183.12</v>
      </c>
      <c r="AQ164" s="375">
        <v>1029.04</v>
      </c>
      <c r="AR164" s="375">
        <v>1681.3</v>
      </c>
      <c r="AS164" s="375">
        <v>0</v>
      </c>
      <c r="AT164" s="375">
        <v>0</v>
      </c>
      <c r="AU164" s="375">
        <v>0</v>
      </c>
      <c r="AV164" s="375">
        <v>0</v>
      </c>
      <c r="AW164" s="375">
        <v>0</v>
      </c>
      <c r="AX164" s="375">
        <v>0</v>
      </c>
      <c r="AY164" s="375">
        <v>0</v>
      </c>
      <c r="AZ164" s="375">
        <v>0</v>
      </c>
      <c r="BA164" s="375">
        <v>0</v>
      </c>
      <c r="BB164" s="375">
        <v>2893.46</v>
      </c>
      <c r="BC164" s="79">
        <v>183.12</v>
      </c>
      <c r="BD164" s="79">
        <v>1029.04</v>
      </c>
      <c r="BE164" s="79">
        <v>1681.3</v>
      </c>
      <c r="BF164" s="79">
        <v>0</v>
      </c>
      <c r="BG164" s="79">
        <v>0</v>
      </c>
      <c r="BH164" s="79">
        <v>0</v>
      </c>
      <c r="BI164" s="79">
        <v>0</v>
      </c>
      <c r="BJ164" s="79">
        <v>0</v>
      </c>
      <c r="BK164" s="79">
        <v>0</v>
      </c>
      <c r="BL164" s="79">
        <v>0</v>
      </c>
      <c r="BM164" s="79">
        <v>0</v>
      </c>
      <c r="BN164" s="79">
        <v>0</v>
      </c>
      <c r="BO164" s="79">
        <v>2893.46</v>
      </c>
    </row>
    <row r="165" spans="1:67" ht="15" customHeight="1">
      <c r="A165" s="66" t="s">
        <v>2035</v>
      </c>
      <c r="B165" s="66" t="s">
        <v>539</v>
      </c>
      <c r="C165" s="150" t="s">
        <v>1136</v>
      </c>
      <c r="D165" s="150" t="s">
        <v>1345</v>
      </c>
      <c r="E165" s="150" t="s">
        <v>1450</v>
      </c>
      <c r="F165" s="150" t="s">
        <v>1346</v>
      </c>
      <c r="G165" s="511" t="s">
        <v>389</v>
      </c>
      <c r="H165" s="392" t="s">
        <v>1174</v>
      </c>
      <c r="I165" s="343"/>
      <c r="J165" s="343"/>
      <c r="K165" s="70" t="s">
        <v>56</v>
      </c>
      <c r="L165" s="346"/>
      <c r="M165" s="346" t="s">
        <v>1140</v>
      </c>
      <c r="N165" s="346"/>
      <c r="O165" s="150" t="s">
        <v>57</v>
      </c>
      <c r="P165" s="150"/>
      <c r="Q165" s="403"/>
      <c r="R165" s="406">
        <v>24000</v>
      </c>
      <c r="S165" s="406">
        <v>21077.66</v>
      </c>
      <c r="T165" s="430"/>
      <c r="U165" s="137"/>
      <c r="V165" s="426">
        <v>1075.3900000000001</v>
      </c>
      <c r="W165" s="427">
        <v>1075.5999999999999</v>
      </c>
      <c r="X165" s="427">
        <v>926.67</v>
      </c>
      <c r="Y165" s="428">
        <v>1030.1999999999998</v>
      </c>
      <c r="Z165" s="429">
        <v>1176.04</v>
      </c>
      <c r="AA165" s="429">
        <v>1160.54</v>
      </c>
      <c r="AB165" s="363" t="e">
        <v>#N/A</v>
      </c>
      <c r="AC165" s="363">
        <v>2000</v>
      </c>
      <c r="AD165" s="363">
        <v>2000</v>
      </c>
      <c r="AE165" s="363">
        <v>2000</v>
      </c>
      <c r="AF165" s="363">
        <v>2000</v>
      </c>
      <c r="AG165" s="363">
        <v>2000</v>
      </c>
      <c r="AH165" s="360" t="e">
        <f t="shared" si="11"/>
        <v>#N/A</v>
      </c>
      <c r="AI165" s="362" t="e">
        <f>ERP[[#This Row],[2026 Working Total]]-ERP[[#This Row],[LE2 Final Submission]]</f>
        <v>#N/A</v>
      </c>
      <c r="AJ165" s="79" t="e">
        <v>#N/A</v>
      </c>
      <c r="AK165" s="79" t="e">
        <f t="shared" si="10"/>
        <v>#N/A</v>
      </c>
      <c r="AL165" s="374">
        <f>SUM(ERP[[#This Row],[AP01]:[AP06]])-SUM(ERP[[#This Row],[AP01 LE2]:[AP06 LE2]])</f>
        <v>-2633.2200000000003</v>
      </c>
      <c r="AM165" s="80"/>
      <c r="AN165" s="79" t="e">
        <f>ERP[[#This Row],[2026 Working Total to Budget/LE]]-ERP[[#This Row],[Giveback]]</f>
        <v>#N/A</v>
      </c>
      <c r="AO165" s="81"/>
      <c r="AP165" s="375">
        <v>1075.3900000000001</v>
      </c>
      <c r="AQ165" s="375">
        <v>1075.5999999999999</v>
      </c>
      <c r="AR165" s="375">
        <v>926.67</v>
      </c>
      <c r="AS165" s="375">
        <v>2000</v>
      </c>
      <c r="AT165" s="375">
        <v>2000</v>
      </c>
      <c r="AU165" s="375">
        <v>2000</v>
      </c>
      <c r="AV165" s="375">
        <v>2000</v>
      </c>
      <c r="AW165" s="375">
        <v>2000</v>
      </c>
      <c r="AX165" s="375">
        <v>2000</v>
      </c>
      <c r="AY165" s="375">
        <v>2000</v>
      </c>
      <c r="AZ165" s="375">
        <v>2000</v>
      </c>
      <c r="BA165" s="375">
        <v>2000</v>
      </c>
      <c r="BB165" s="375">
        <v>21077.66</v>
      </c>
      <c r="BC165" s="79">
        <v>1075.3900000000001</v>
      </c>
      <c r="BD165" s="79">
        <v>1075.5999999999999</v>
      </c>
      <c r="BE165" s="79">
        <v>926.67</v>
      </c>
      <c r="BF165" s="79">
        <v>2000</v>
      </c>
      <c r="BG165" s="79">
        <v>2000</v>
      </c>
      <c r="BH165" s="79">
        <v>2000</v>
      </c>
      <c r="BI165" s="79">
        <v>2000</v>
      </c>
      <c r="BJ165" s="79">
        <v>2000</v>
      </c>
      <c r="BK165" s="79">
        <v>2000</v>
      </c>
      <c r="BL165" s="79">
        <v>2000</v>
      </c>
      <c r="BM165" s="79">
        <v>2000</v>
      </c>
      <c r="BN165" s="79">
        <v>2000</v>
      </c>
      <c r="BO165" s="79">
        <v>21077.66</v>
      </c>
    </row>
    <row r="166" spans="1:67" ht="15" customHeight="1">
      <c r="A166" s="66" t="s">
        <v>2049</v>
      </c>
      <c r="B166" s="66" t="s">
        <v>549</v>
      </c>
      <c r="C166" s="150" t="s">
        <v>1136</v>
      </c>
      <c r="D166" s="150" t="s">
        <v>1345</v>
      </c>
      <c r="E166" s="150" t="s">
        <v>1480</v>
      </c>
      <c r="F166" s="150" t="s">
        <v>1346</v>
      </c>
      <c r="G166" s="511" t="s">
        <v>389</v>
      </c>
      <c r="H166" s="392" t="s">
        <v>1174</v>
      </c>
      <c r="I166" s="343"/>
      <c r="J166" s="343"/>
      <c r="K166" s="70" t="s">
        <v>56</v>
      </c>
      <c r="L166" s="346"/>
      <c r="M166" s="346" t="s">
        <v>1140</v>
      </c>
      <c r="N166" s="346"/>
      <c r="O166" s="150" t="s">
        <v>57</v>
      </c>
      <c r="P166" s="150" t="s">
        <v>2050</v>
      </c>
      <c r="Q166" s="403"/>
      <c r="R166" s="406">
        <v>36000</v>
      </c>
      <c r="S166" s="406">
        <v>38955.51</v>
      </c>
      <c r="T166" s="425"/>
      <c r="U166" s="71"/>
      <c r="V166" s="426">
        <v>4414.1899999999996</v>
      </c>
      <c r="W166" s="427">
        <v>3932.76</v>
      </c>
      <c r="X166" s="427">
        <v>3608.56</v>
      </c>
      <c r="Y166" s="428">
        <v>3606.4999999999995</v>
      </c>
      <c r="Z166" s="429">
        <v>3644.34</v>
      </c>
      <c r="AA166" s="429">
        <v>3811.5099999999998</v>
      </c>
      <c r="AB166" s="363" t="e">
        <v>#N/A</v>
      </c>
      <c r="AC166" s="363">
        <v>3700</v>
      </c>
      <c r="AD166" s="363">
        <v>3700</v>
      </c>
      <c r="AE166" s="363">
        <v>3700</v>
      </c>
      <c r="AF166" s="363">
        <v>3700</v>
      </c>
      <c r="AG166" s="363">
        <v>3700</v>
      </c>
      <c r="AH166" s="360" t="e">
        <f t="shared" si="11"/>
        <v>#N/A</v>
      </c>
      <c r="AI166" s="362" t="e">
        <f>ERP[[#This Row],[2026 Working Total]]-ERP[[#This Row],[LE2 Final Submission]]</f>
        <v>#N/A</v>
      </c>
      <c r="AJ166" s="79" t="e">
        <v>#N/A</v>
      </c>
      <c r="AK166" s="79" t="e">
        <f t="shared" si="10"/>
        <v>#N/A</v>
      </c>
      <c r="AL166" s="374">
        <f>SUM(ERP[[#This Row],[AP01]:[AP06]])-SUM(ERP[[#This Row],[AP01 LE2]:[AP06 LE2]])</f>
        <v>2062.3499999999949</v>
      </c>
      <c r="AM166" s="80"/>
      <c r="AN166" s="79" t="e">
        <f>ERP[[#This Row],[2026 Working Total to Budget/LE]]-ERP[[#This Row],[Giveback]]</f>
        <v>#N/A</v>
      </c>
      <c r="AO166" s="81"/>
      <c r="AP166" s="375">
        <v>4414.1899999999996</v>
      </c>
      <c r="AQ166" s="375">
        <v>3932.76</v>
      </c>
      <c r="AR166" s="375">
        <v>3608.56</v>
      </c>
      <c r="AS166" s="375">
        <v>3000</v>
      </c>
      <c r="AT166" s="375">
        <v>3000</v>
      </c>
      <c r="AU166" s="375">
        <v>3000</v>
      </c>
      <c r="AV166" s="375">
        <v>3000</v>
      </c>
      <c r="AW166" s="375">
        <v>3000</v>
      </c>
      <c r="AX166" s="375">
        <v>3000</v>
      </c>
      <c r="AY166" s="375">
        <v>3000</v>
      </c>
      <c r="AZ166" s="375">
        <v>3000</v>
      </c>
      <c r="BA166" s="375">
        <v>3000</v>
      </c>
      <c r="BB166" s="375">
        <v>38955.51</v>
      </c>
      <c r="BC166" s="79">
        <v>4414.1899999999996</v>
      </c>
      <c r="BD166" s="79">
        <v>3932.76</v>
      </c>
      <c r="BE166" s="79">
        <v>3608.56</v>
      </c>
      <c r="BF166" s="79">
        <v>3000</v>
      </c>
      <c r="BG166" s="79">
        <v>3000</v>
      </c>
      <c r="BH166" s="79">
        <v>3000</v>
      </c>
      <c r="BI166" s="79">
        <v>3000</v>
      </c>
      <c r="BJ166" s="79">
        <v>3000</v>
      </c>
      <c r="BK166" s="79">
        <v>3000</v>
      </c>
      <c r="BL166" s="79">
        <v>3000</v>
      </c>
      <c r="BM166" s="79">
        <v>3000</v>
      </c>
      <c r="BN166" s="79">
        <v>3000</v>
      </c>
      <c r="BO166" s="79">
        <v>38955.51</v>
      </c>
    </row>
    <row r="167" spans="1:67" ht="15" customHeight="1">
      <c r="A167" s="66" t="s">
        <v>2260</v>
      </c>
      <c r="B167" s="66" t="s">
        <v>669</v>
      </c>
      <c r="C167" s="150" t="s">
        <v>1136</v>
      </c>
      <c r="D167" s="150" t="s">
        <v>1135</v>
      </c>
      <c r="E167" s="150" t="s">
        <v>1135</v>
      </c>
      <c r="F167" s="150" t="s">
        <v>1137</v>
      </c>
      <c r="G167" s="511" t="s">
        <v>639</v>
      </c>
      <c r="H167" s="392" t="s">
        <v>1174</v>
      </c>
      <c r="I167" s="343"/>
      <c r="J167" s="343"/>
      <c r="K167" s="70" t="s">
        <v>56</v>
      </c>
      <c r="L167" s="346"/>
      <c r="M167" s="346" t="s">
        <v>1140</v>
      </c>
      <c r="N167" s="346"/>
      <c r="O167" s="150" t="s">
        <v>57</v>
      </c>
      <c r="P167" s="150"/>
      <c r="Q167" s="403"/>
      <c r="R167" s="406">
        <v>0</v>
      </c>
      <c r="S167" s="406">
        <v>4158.38</v>
      </c>
      <c r="T167" s="425"/>
      <c r="U167" s="71"/>
      <c r="V167" s="426">
        <v>279.45999999999998</v>
      </c>
      <c r="W167" s="427">
        <v>279.45999999999998</v>
      </c>
      <c r="X167" s="427">
        <v>899.46</v>
      </c>
      <c r="Y167" s="428">
        <v>139.72999999999999</v>
      </c>
      <c r="Z167" s="429">
        <v>139.72999999999999</v>
      </c>
      <c r="AA167" s="429">
        <v>139.72999999999999</v>
      </c>
      <c r="AB167" s="363" t="e">
        <v>#N/A</v>
      </c>
      <c r="AC167" s="360">
        <v>300</v>
      </c>
      <c r="AD167" s="360">
        <v>300</v>
      </c>
      <c r="AE167" s="360">
        <v>300</v>
      </c>
      <c r="AF167" s="360">
        <v>300</v>
      </c>
      <c r="AG167" s="360">
        <v>300</v>
      </c>
      <c r="AH167" s="360" t="e">
        <f t="shared" si="11"/>
        <v>#N/A</v>
      </c>
      <c r="AI167" s="362" t="e">
        <f>ERP[[#This Row],[2026 Working Total]]-ERP[[#This Row],[LE2 Final Submission]]</f>
        <v>#N/A</v>
      </c>
      <c r="AJ167" s="79" t="e">
        <v>#N/A</v>
      </c>
      <c r="AK167" s="79" t="e">
        <f t="shared" si="10"/>
        <v>#N/A</v>
      </c>
      <c r="AL167" s="374">
        <f>SUM(ERP[[#This Row],[AP01]:[AP06]])-SUM(ERP[[#This Row],[AP01 LE2]:[AP06 LE2]])</f>
        <v>-480.80999999999995</v>
      </c>
      <c r="AM167" s="80"/>
      <c r="AN167" s="79" t="e">
        <f>ERP[[#This Row],[2026 Working Total to Budget/LE]]-ERP[[#This Row],[Giveback]]</f>
        <v>#N/A</v>
      </c>
      <c r="AO167" s="81"/>
      <c r="AP167" s="375">
        <v>279.45999999999998</v>
      </c>
      <c r="AQ167" s="375">
        <v>279.45999999999998</v>
      </c>
      <c r="AR167" s="375">
        <v>899.46</v>
      </c>
      <c r="AS167" s="375">
        <v>300</v>
      </c>
      <c r="AT167" s="375">
        <v>300</v>
      </c>
      <c r="AU167" s="375">
        <v>300</v>
      </c>
      <c r="AV167" s="375">
        <v>300</v>
      </c>
      <c r="AW167" s="375">
        <v>300</v>
      </c>
      <c r="AX167" s="375">
        <v>300</v>
      </c>
      <c r="AY167" s="375">
        <v>300</v>
      </c>
      <c r="AZ167" s="375">
        <v>300</v>
      </c>
      <c r="BA167" s="375">
        <v>300</v>
      </c>
      <c r="BB167" s="375">
        <v>4158.38</v>
      </c>
      <c r="BC167" s="79">
        <v>279.45999999999998</v>
      </c>
      <c r="BD167" s="79">
        <v>279.45999999999998</v>
      </c>
      <c r="BE167" s="79">
        <v>899.46</v>
      </c>
      <c r="BF167" s="79">
        <v>0</v>
      </c>
      <c r="BG167" s="79">
        <v>0</v>
      </c>
      <c r="BH167" s="79">
        <v>0</v>
      </c>
      <c r="BI167" s="79">
        <v>0</v>
      </c>
      <c r="BJ167" s="79">
        <v>0</v>
      </c>
      <c r="BK167" s="79">
        <v>0</v>
      </c>
      <c r="BL167" s="79">
        <v>0</v>
      </c>
      <c r="BM167" s="79">
        <v>0</v>
      </c>
      <c r="BN167" s="79">
        <v>0</v>
      </c>
      <c r="BO167" s="79">
        <v>1458.38</v>
      </c>
    </row>
    <row r="168" spans="1:67" ht="15" customHeight="1">
      <c r="A168" s="66" t="s">
        <v>1791</v>
      </c>
      <c r="B168" s="66" t="s">
        <v>1792</v>
      </c>
      <c r="C168" s="150" t="s">
        <v>1136</v>
      </c>
      <c r="D168" s="150" t="s">
        <v>1135</v>
      </c>
      <c r="E168" s="150" t="s">
        <v>1137</v>
      </c>
      <c r="F168" s="150" t="s">
        <v>1137</v>
      </c>
      <c r="G168" s="511" t="s">
        <v>389</v>
      </c>
      <c r="H168" s="392" t="s">
        <v>1174</v>
      </c>
      <c r="I168" s="343"/>
      <c r="J168" s="343"/>
      <c r="K168" s="70" t="s">
        <v>56</v>
      </c>
      <c r="L168" s="346" t="s">
        <v>1139</v>
      </c>
      <c r="M168" s="346" t="s">
        <v>1140</v>
      </c>
      <c r="N168" s="346"/>
      <c r="O168" s="150" t="s">
        <v>57</v>
      </c>
      <c r="P168" s="1" t="s">
        <v>1141</v>
      </c>
      <c r="Q168" s="403"/>
      <c r="R168" s="406">
        <v>0</v>
      </c>
      <c r="S168" s="406">
        <v>1.26</v>
      </c>
      <c r="T168" s="425"/>
      <c r="U168" s="71"/>
      <c r="V168" s="426">
        <v>0.42</v>
      </c>
      <c r="W168" s="427">
        <v>0.36</v>
      </c>
      <c r="X168" s="427">
        <v>0.48</v>
      </c>
      <c r="Y168" s="428">
        <v>1.31</v>
      </c>
      <c r="Z168" s="429">
        <v>209.68999999999997</v>
      </c>
      <c r="AA168" s="429">
        <v>192.01</v>
      </c>
      <c r="AB168" s="363" t="e">
        <v>#N/A</v>
      </c>
      <c r="AC168" s="360">
        <v>0</v>
      </c>
      <c r="AD168" s="360">
        <v>0</v>
      </c>
      <c r="AE168" s="360">
        <v>0</v>
      </c>
      <c r="AF168" s="360">
        <v>0</v>
      </c>
      <c r="AG168" s="360">
        <v>0</v>
      </c>
      <c r="AH168" s="360" t="e">
        <f t="shared" si="11"/>
        <v>#N/A</v>
      </c>
      <c r="AI168" s="362" t="e">
        <f>ERP[[#This Row],[2026 Working Total]]-ERP[[#This Row],[LE2 Final Submission]]</f>
        <v>#N/A</v>
      </c>
      <c r="AJ168" s="79" t="e">
        <v>#N/A</v>
      </c>
      <c r="AK168" s="79" t="e">
        <f t="shared" si="10"/>
        <v>#N/A</v>
      </c>
      <c r="AL168" s="374">
        <f>SUM(ERP[[#This Row],[AP01]:[AP06]])-SUM(ERP[[#This Row],[AP01 LE2]:[AP06 LE2]])</f>
        <v>403.01</v>
      </c>
      <c r="AM168" s="80"/>
      <c r="AN168" s="79" t="e">
        <f>ERP[[#This Row],[2026 Working Total to Budget/LE]]-ERP[[#This Row],[Giveback]]</f>
        <v>#N/A</v>
      </c>
      <c r="AO168" s="81"/>
      <c r="AP168" s="375">
        <v>0.42</v>
      </c>
      <c r="AQ168" s="375">
        <v>0.36</v>
      </c>
      <c r="AR168" s="375">
        <v>0.48</v>
      </c>
      <c r="AS168" s="375">
        <v>0</v>
      </c>
      <c r="AT168" s="375">
        <v>0</v>
      </c>
      <c r="AU168" s="375">
        <v>0</v>
      </c>
      <c r="AV168" s="375">
        <v>0</v>
      </c>
      <c r="AW168" s="375">
        <v>0</v>
      </c>
      <c r="AX168" s="375">
        <v>0</v>
      </c>
      <c r="AY168" s="375">
        <v>0</v>
      </c>
      <c r="AZ168" s="375">
        <v>0</v>
      </c>
      <c r="BA168" s="375">
        <v>0</v>
      </c>
      <c r="BB168" s="375">
        <v>1.26</v>
      </c>
      <c r="BC168" s="79">
        <v>0.42</v>
      </c>
      <c r="BD168" s="79">
        <v>0.36</v>
      </c>
      <c r="BE168" s="79">
        <v>0.48</v>
      </c>
      <c r="BF168" s="79">
        <v>0</v>
      </c>
      <c r="BG168" s="79">
        <v>0</v>
      </c>
      <c r="BH168" s="79">
        <v>0</v>
      </c>
      <c r="BI168" s="79">
        <v>0</v>
      </c>
      <c r="BJ168" s="79">
        <v>0</v>
      </c>
      <c r="BK168" s="79">
        <v>0</v>
      </c>
      <c r="BL168" s="79">
        <v>0</v>
      </c>
      <c r="BM168" s="79">
        <v>0</v>
      </c>
      <c r="BN168" s="79">
        <v>0</v>
      </c>
      <c r="BO168" s="79">
        <v>1.26</v>
      </c>
    </row>
    <row r="169" spans="1:67" ht="15" customHeight="1">
      <c r="A169" s="66" t="s">
        <v>1794</v>
      </c>
      <c r="B169" s="66" t="s">
        <v>1795</v>
      </c>
      <c r="C169" s="150" t="s">
        <v>1136</v>
      </c>
      <c r="D169" s="150" t="s">
        <v>1135</v>
      </c>
      <c r="E169" s="150" t="s">
        <v>1145</v>
      </c>
      <c r="F169" s="150" t="s">
        <v>1137</v>
      </c>
      <c r="G169" s="511" t="s">
        <v>389</v>
      </c>
      <c r="H169" s="392" t="s">
        <v>1174</v>
      </c>
      <c r="I169" s="343"/>
      <c r="J169" s="343"/>
      <c r="K169" s="70" t="s">
        <v>56</v>
      </c>
      <c r="L169" s="346" t="s">
        <v>1153</v>
      </c>
      <c r="M169" s="346" t="s">
        <v>1140</v>
      </c>
      <c r="N169" s="346"/>
      <c r="O169" s="150" t="s">
        <v>57</v>
      </c>
      <c r="P169" s="150"/>
      <c r="Q169" s="403"/>
      <c r="R169" s="406">
        <v>672000</v>
      </c>
      <c r="S169" s="406">
        <v>633103.17999999993</v>
      </c>
      <c r="T169" s="425"/>
      <c r="U169" s="71"/>
      <c r="V169" s="426">
        <v>45611.11</v>
      </c>
      <c r="W169" s="427">
        <v>43675.76</v>
      </c>
      <c r="X169" s="427">
        <v>39816.31</v>
      </c>
      <c r="Y169" s="428">
        <v>40357.590000000004</v>
      </c>
      <c r="Z169" s="429">
        <v>42129.81</v>
      </c>
      <c r="AA169" s="429">
        <v>42451.69000000001</v>
      </c>
      <c r="AB169" s="363" t="e">
        <v>#N/A</v>
      </c>
      <c r="AC169" s="363">
        <v>42318</v>
      </c>
      <c r="AD169" s="363">
        <v>56000</v>
      </c>
      <c r="AE169" s="363">
        <v>56000</v>
      </c>
      <c r="AF169" s="363">
        <v>56000</v>
      </c>
      <c r="AG169" s="363">
        <v>56000</v>
      </c>
      <c r="AH169" s="360" t="e">
        <f t="shared" si="11"/>
        <v>#N/A</v>
      </c>
      <c r="AI169" s="362" t="e">
        <f>ERP[[#This Row],[2026 Working Total]]-ERP[[#This Row],[LE2 Final Submission]]</f>
        <v>#N/A</v>
      </c>
      <c r="AJ169" s="79" t="e">
        <v>#N/A</v>
      </c>
      <c r="AK169" s="79" t="e">
        <f t="shared" si="10"/>
        <v>#N/A</v>
      </c>
      <c r="AL169" s="374">
        <f>SUM(ERP[[#This Row],[AP01]:[AP06]])-SUM(ERP[[#This Row],[AP01 LE2]:[AP06 LE2]])</f>
        <v>-43060.91</v>
      </c>
      <c r="AM169" s="80"/>
      <c r="AN169" s="79" t="e">
        <f>ERP[[#This Row],[2026 Working Total to Budget/LE]]-ERP[[#This Row],[Giveback]]</f>
        <v>#N/A</v>
      </c>
      <c r="AO169" s="81"/>
      <c r="AP169" s="375">
        <v>45611.11</v>
      </c>
      <c r="AQ169" s="375">
        <v>43675.76</v>
      </c>
      <c r="AR169" s="375">
        <v>39816.31</v>
      </c>
      <c r="AS169" s="375">
        <v>56000</v>
      </c>
      <c r="AT169" s="375">
        <v>56000</v>
      </c>
      <c r="AU169" s="375">
        <v>56000</v>
      </c>
      <c r="AV169" s="375">
        <v>56000</v>
      </c>
      <c r="AW169" s="375">
        <v>56000</v>
      </c>
      <c r="AX169" s="375">
        <v>56000</v>
      </c>
      <c r="AY169" s="375">
        <v>56000</v>
      </c>
      <c r="AZ169" s="375">
        <v>56000</v>
      </c>
      <c r="BA169" s="375">
        <v>56000</v>
      </c>
      <c r="BB169" s="375">
        <v>633103.17999999993</v>
      </c>
      <c r="BC169" s="79">
        <v>45611.11</v>
      </c>
      <c r="BD169" s="79">
        <v>43675.76</v>
      </c>
      <c r="BE169" s="79">
        <v>39816.31</v>
      </c>
      <c r="BF169" s="79">
        <v>56000</v>
      </c>
      <c r="BG169" s="79">
        <v>56000</v>
      </c>
      <c r="BH169" s="79">
        <v>56000</v>
      </c>
      <c r="BI169" s="79">
        <v>56000</v>
      </c>
      <c r="BJ169" s="79">
        <v>56000</v>
      </c>
      <c r="BK169" s="79">
        <v>56000</v>
      </c>
      <c r="BL169" s="79">
        <v>56000</v>
      </c>
      <c r="BM169" s="79">
        <v>56000</v>
      </c>
      <c r="BN169" s="79">
        <v>56000</v>
      </c>
      <c r="BO169" s="79">
        <v>633103.17999999993</v>
      </c>
    </row>
    <row r="170" spans="1:67" ht="15" customHeight="1">
      <c r="A170" s="66" t="s">
        <v>1591</v>
      </c>
      <c r="B170" s="66" t="s">
        <v>1592</v>
      </c>
      <c r="C170" s="150" t="s">
        <v>1136</v>
      </c>
      <c r="D170" s="150" t="s">
        <v>1567</v>
      </c>
      <c r="E170" s="150" t="s">
        <v>1567</v>
      </c>
      <c r="F170" s="150" t="s">
        <v>1567</v>
      </c>
      <c r="G170" s="511" t="s">
        <v>49</v>
      </c>
      <c r="H170" s="392" t="s">
        <v>1174</v>
      </c>
      <c r="I170" s="343"/>
      <c r="J170" s="343"/>
      <c r="K170" s="70" t="s">
        <v>56</v>
      </c>
      <c r="L170" s="346"/>
      <c r="M170" s="346" t="s">
        <v>1140</v>
      </c>
      <c r="N170" s="346"/>
      <c r="O170" s="150" t="s">
        <v>57</v>
      </c>
      <c r="P170" s="150"/>
      <c r="Q170" s="403"/>
      <c r="R170" s="406">
        <v>0</v>
      </c>
      <c r="S170" s="406">
        <v>13071.14</v>
      </c>
      <c r="T170" s="425"/>
      <c r="U170" s="71"/>
      <c r="V170" s="426">
        <v>5323.5</v>
      </c>
      <c r="W170" s="427">
        <v>2811.9</v>
      </c>
      <c r="X170" s="427">
        <v>4935.74</v>
      </c>
      <c r="Y170" s="428">
        <v>5810.54</v>
      </c>
      <c r="Z170" s="429">
        <v>6233.85</v>
      </c>
      <c r="AA170" s="429">
        <v>6212.75</v>
      </c>
      <c r="AB170" s="363" t="e">
        <v>#N/A</v>
      </c>
      <c r="AC170" s="360">
        <v>0</v>
      </c>
      <c r="AD170" s="360">
        <v>0</v>
      </c>
      <c r="AE170" s="360">
        <v>0</v>
      </c>
      <c r="AF170" s="360">
        <v>0</v>
      </c>
      <c r="AG170" s="360">
        <v>0</v>
      </c>
      <c r="AH170" s="360" t="e">
        <f t="shared" si="11"/>
        <v>#N/A</v>
      </c>
      <c r="AI170" s="362" t="e">
        <f>ERP[[#This Row],[2026 Working Total]]-ERP[[#This Row],[LE2 Final Submission]]</f>
        <v>#N/A</v>
      </c>
      <c r="AJ170" s="79" t="e">
        <v>#N/A</v>
      </c>
      <c r="AK170" s="79" t="e">
        <f t="shared" si="10"/>
        <v>#N/A</v>
      </c>
      <c r="AL170" s="374">
        <f>SUM(ERP[[#This Row],[AP01]:[AP06]])-SUM(ERP[[#This Row],[AP01 LE2]:[AP06 LE2]])</f>
        <v>18257.14</v>
      </c>
      <c r="AM170" s="80"/>
      <c r="AN170" s="79" t="e">
        <f>ERP[[#This Row],[2026 Working Total to Budget/LE]]-ERP[[#This Row],[Giveback]]</f>
        <v>#N/A</v>
      </c>
      <c r="AO170" s="81"/>
      <c r="AP170" s="375">
        <v>5323.5</v>
      </c>
      <c r="AQ170" s="375">
        <v>2811.9</v>
      </c>
      <c r="AR170" s="375">
        <v>4935.74</v>
      </c>
      <c r="AS170" s="375">
        <v>0</v>
      </c>
      <c r="AT170" s="375">
        <v>0</v>
      </c>
      <c r="AU170" s="375">
        <v>0</v>
      </c>
      <c r="AV170" s="375">
        <v>0</v>
      </c>
      <c r="AW170" s="375">
        <v>0</v>
      </c>
      <c r="AX170" s="375">
        <v>0</v>
      </c>
      <c r="AY170" s="375">
        <v>0</v>
      </c>
      <c r="AZ170" s="375">
        <v>0</v>
      </c>
      <c r="BA170" s="375">
        <v>0</v>
      </c>
      <c r="BB170" s="375">
        <v>13071.14</v>
      </c>
      <c r="BC170" s="79">
        <v>5323.5</v>
      </c>
      <c r="BD170" s="79">
        <v>2811.9</v>
      </c>
      <c r="BE170" s="79">
        <v>4935.74</v>
      </c>
      <c r="BF170" s="79">
        <v>0</v>
      </c>
      <c r="BG170" s="79">
        <v>0</v>
      </c>
      <c r="BH170" s="79">
        <v>0</v>
      </c>
      <c r="BI170" s="79">
        <v>0</v>
      </c>
      <c r="BJ170" s="79">
        <v>0</v>
      </c>
      <c r="BK170" s="79">
        <v>0</v>
      </c>
      <c r="BL170" s="79">
        <v>0</v>
      </c>
      <c r="BM170" s="79">
        <v>0</v>
      </c>
      <c r="BN170" s="79">
        <v>0</v>
      </c>
      <c r="BO170" s="79">
        <v>13071.14</v>
      </c>
    </row>
    <row r="171" spans="1:67" ht="15" customHeight="1">
      <c r="A171" s="66" t="s">
        <v>2096</v>
      </c>
      <c r="B171" s="66" t="s">
        <v>2097</v>
      </c>
      <c r="C171" s="150" t="s">
        <v>1136</v>
      </c>
      <c r="D171" s="150" t="s">
        <v>1567</v>
      </c>
      <c r="E171" s="150" t="s">
        <v>1567</v>
      </c>
      <c r="F171" s="150" t="s">
        <v>1567</v>
      </c>
      <c r="G171" s="511" t="s">
        <v>389</v>
      </c>
      <c r="H171" s="392" t="s">
        <v>1174</v>
      </c>
      <c r="I171" s="343"/>
      <c r="J171" s="343"/>
      <c r="K171" s="70" t="s">
        <v>56</v>
      </c>
      <c r="L171" s="346"/>
      <c r="M171" s="346" t="s">
        <v>1140</v>
      </c>
      <c r="N171" s="346"/>
      <c r="O171" s="150" t="s">
        <v>57</v>
      </c>
      <c r="P171" s="150"/>
      <c r="Q171" s="403"/>
      <c r="R171" s="406">
        <v>42000</v>
      </c>
      <c r="S171" s="406">
        <v>36969.919999999998</v>
      </c>
      <c r="T171" s="425"/>
      <c r="U171" s="71"/>
      <c r="V171" s="426">
        <v>1654.46</v>
      </c>
      <c r="W171" s="427">
        <v>2175.66</v>
      </c>
      <c r="X171" s="427">
        <v>1639.8</v>
      </c>
      <c r="Y171" s="428">
        <v>3229.0899999999997</v>
      </c>
      <c r="Z171" s="429">
        <v>4136.0599999999995</v>
      </c>
      <c r="AA171" s="429">
        <v>4975.22</v>
      </c>
      <c r="AB171" s="363" t="e">
        <v>#N/A</v>
      </c>
      <c r="AC171" s="363">
        <v>3500</v>
      </c>
      <c r="AD171" s="363">
        <v>3500</v>
      </c>
      <c r="AE171" s="363">
        <v>3500</v>
      </c>
      <c r="AF171" s="363">
        <v>3500</v>
      </c>
      <c r="AG171" s="363">
        <v>3500</v>
      </c>
      <c r="AH171" s="360" t="e">
        <f t="shared" si="11"/>
        <v>#N/A</v>
      </c>
      <c r="AI171" s="362" t="e">
        <f>ERP[[#This Row],[2026 Working Total]]-ERP[[#This Row],[LE2 Final Submission]]</f>
        <v>#N/A</v>
      </c>
      <c r="AJ171" s="79" t="e">
        <v>#N/A</v>
      </c>
      <c r="AK171" s="79" t="e">
        <f t="shared" si="10"/>
        <v>#N/A</v>
      </c>
      <c r="AL171" s="374">
        <f>SUM(ERP[[#This Row],[AP01]:[AP06]])-SUM(ERP[[#This Row],[AP01 LE2]:[AP06 LE2]])</f>
        <v>1840.3700000000008</v>
      </c>
      <c r="AM171" s="80"/>
      <c r="AN171" s="79" t="e">
        <f>ERP[[#This Row],[2026 Working Total to Budget/LE]]-ERP[[#This Row],[Giveback]]</f>
        <v>#N/A</v>
      </c>
      <c r="AO171" s="81"/>
      <c r="AP171" s="375">
        <v>1654.46</v>
      </c>
      <c r="AQ171" s="375">
        <v>2175.66</v>
      </c>
      <c r="AR171" s="375">
        <v>1639.8</v>
      </c>
      <c r="AS171" s="375">
        <v>3500</v>
      </c>
      <c r="AT171" s="375">
        <v>3500</v>
      </c>
      <c r="AU171" s="375">
        <v>3500</v>
      </c>
      <c r="AV171" s="375">
        <v>3500</v>
      </c>
      <c r="AW171" s="375">
        <v>3500</v>
      </c>
      <c r="AX171" s="375">
        <v>3500</v>
      </c>
      <c r="AY171" s="375">
        <v>3500</v>
      </c>
      <c r="AZ171" s="375">
        <v>3500</v>
      </c>
      <c r="BA171" s="375">
        <v>3500</v>
      </c>
      <c r="BB171" s="375">
        <v>36969.919999999998</v>
      </c>
      <c r="BC171" s="79">
        <v>1654.46</v>
      </c>
      <c r="BD171" s="79">
        <v>2175.66</v>
      </c>
      <c r="BE171" s="79">
        <v>1639.8</v>
      </c>
      <c r="BF171" s="79">
        <v>3500</v>
      </c>
      <c r="BG171" s="79">
        <v>3500</v>
      </c>
      <c r="BH171" s="79">
        <v>3500</v>
      </c>
      <c r="BI171" s="79">
        <v>3500</v>
      </c>
      <c r="BJ171" s="79">
        <v>3500</v>
      </c>
      <c r="BK171" s="79">
        <v>3500</v>
      </c>
      <c r="BL171" s="79">
        <v>3500</v>
      </c>
      <c r="BM171" s="79">
        <v>3500</v>
      </c>
      <c r="BN171" s="79">
        <v>3500</v>
      </c>
      <c r="BO171" s="79">
        <v>36969.919999999998</v>
      </c>
    </row>
    <row r="172" spans="1:67" ht="15" customHeight="1">
      <c r="A172" s="66" t="s">
        <v>1653</v>
      </c>
      <c r="B172" s="66" t="s">
        <v>325</v>
      </c>
      <c r="C172" s="150" t="s">
        <v>1136</v>
      </c>
      <c r="D172" s="150" t="s">
        <v>1650</v>
      </c>
      <c r="E172" s="150" t="s">
        <v>1650</v>
      </c>
      <c r="F172" s="150" t="s">
        <v>1650</v>
      </c>
      <c r="G172" s="511" t="s">
        <v>49</v>
      </c>
      <c r="H172" s="392" t="s">
        <v>1174</v>
      </c>
      <c r="I172" s="343"/>
      <c r="J172" s="343"/>
      <c r="K172" s="70" t="s">
        <v>56</v>
      </c>
      <c r="L172" s="346"/>
      <c r="M172" s="346" t="s">
        <v>1140</v>
      </c>
      <c r="N172" s="346"/>
      <c r="O172" s="150" t="s">
        <v>57</v>
      </c>
      <c r="P172" s="150"/>
      <c r="Q172" s="403"/>
      <c r="R172" s="406">
        <v>0</v>
      </c>
      <c r="S172" s="406">
        <v>400</v>
      </c>
      <c r="T172" s="425"/>
      <c r="U172" s="71"/>
      <c r="V172" s="426"/>
      <c r="W172" s="427">
        <v>400</v>
      </c>
      <c r="X172" s="431">
        <v>0</v>
      </c>
      <c r="Y172" s="428">
        <v>0</v>
      </c>
      <c r="Z172" s="429">
        <v>0</v>
      </c>
      <c r="AA172" s="429">
        <v>0</v>
      </c>
      <c r="AB172" s="363" t="e">
        <v>#N/A</v>
      </c>
      <c r="AC172" s="360">
        <v>0</v>
      </c>
      <c r="AD172" s="360">
        <v>0</v>
      </c>
      <c r="AE172" s="360">
        <v>0</v>
      </c>
      <c r="AF172" s="360">
        <v>0</v>
      </c>
      <c r="AG172" s="360">
        <v>0</v>
      </c>
      <c r="AH172" s="360" t="e">
        <f t="shared" si="11"/>
        <v>#N/A</v>
      </c>
      <c r="AI172" s="362" t="e">
        <f>ERP[[#This Row],[2026 Working Total]]-ERP[[#This Row],[LE2 Final Submission]]</f>
        <v>#N/A</v>
      </c>
      <c r="AJ172" s="79" t="e">
        <v>#N/A</v>
      </c>
      <c r="AK172" s="79" t="e">
        <f t="shared" si="10"/>
        <v>#N/A</v>
      </c>
      <c r="AL172" s="374">
        <f>SUM(ERP[[#This Row],[AP01]:[AP06]])-SUM(ERP[[#This Row],[AP01 LE2]:[AP06 LE2]])</f>
        <v>0</v>
      </c>
      <c r="AM172" s="80"/>
      <c r="AN172" s="79" t="e">
        <f>ERP[[#This Row],[2026 Working Total to Budget/LE]]-ERP[[#This Row],[Giveback]]</f>
        <v>#N/A</v>
      </c>
      <c r="AO172" s="81"/>
      <c r="AP172" s="375"/>
      <c r="AQ172" s="375">
        <v>400</v>
      </c>
      <c r="AR172" s="375">
        <v>0</v>
      </c>
      <c r="AS172" s="375">
        <v>0</v>
      </c>
      <c r="AT172" s="375">
        <v>0</v>
      </c>
      <c r="AU172" s="375">
        <v>0</v>
      </c>
      <c r="AV172" s="375">
        <v>0</v>
      </c>
      <c r="AW172" s="375">
        <v>0</v>
      </c>
      <c r="AX172" s="375">
        <v>0</v>
      </c>
      <c r="AY172" s="375">
        <v>0</v>
      </c>
      <c r="AZ172" s="375">
        <v>0</v>
      </c>
      <c r="BA172" s="375">
        <v>0</v>
      </c>
      <c r="BB172" s="375">
        <v>400</v>
      </c>
      <c r="BC172" s="79"/>
      <c r="BD172" s="79">
        <v>400</v>
      </c>
      <c r="BE172" s="79">
        <v>0</v>
      </c>
      <c r="BF172" s="79">
        <v>0</v>
      </c>
      <c r="BG172" s="79">
        <v>0</v>
      </c>
      <c r="BH172" s="79">
        <v>0</v>
      </c>
      <c r="BI172" s="79">
        <v>0</v>
      </c>
      <c r="BJ172" s="79">
        <v>0</v>
      </c>
      <c r="BK172" s="79">
        <v>0</v>
      </c>
      <c r="BL172" s="79">
        <v>0</v>
      </c>
      <c r="BM172" s="79">
        <v>0</v>
      </c>
      <c r="BN172" s="79">
        <v>0</v>
      </c>
      <c r="BO172" s="79">
        <v>400</v>
      </c>
    </row>
    <row r="173" spans="1:67" ht="15" customHeight="1">
      <c r="A173" s="66" t="s">
        <v>1748</v>
      </c>
      <c r="B173" s="66" t="s">
        <v>385</v>
      </c>
      <c r="C173" s="150" t="s">
        <v>1136</v>
      </c>
      <c r="D173" s="150" t="s">
        <v>1650</v>
      </c>
      <c r="E173" s="150" t="s">
        <v>1650</v>
      </c>
      <c r="F173" s="150" t="s">
        <v>1650</v>
      </c>
      <c r="G173" s="511" t="s">
        <v>342</v>
      </c>
      <c r="H173" s="392" t="s">
        <v>1174</v>
      </c>
      <c r="I173" s="343"/>
      <c r="J173" s="343"/>
      <c r="K173" s="70" t="s">
        <v>56</v>
      </c>
      <c r="L173" s="346"/>
      <c r="M173" s="346" t="s">
        <v>1140</v>
      </c>
      <c r="N173" s="346"/>
      <c r="O173" s="150" t="s">
        <v>57</v>
      </c>
      <c r="P173" s="150"/>
      <c r="Q173" s="403"/>
      <c r="R173" s="406">
        <v>0</v>
      </c>
      <c r="S173" s="406">
        <v>1060</v>
      </c>
      <c r="T173" s="425"/>
      <c r="U173" s="71"/>
      <c r="V173" s="426"/>
      <c r="W173" s="427">
        <v>1060</v>
      </c>
      <c r="X173" s="431">
        <v>0</v>
      </c>
      <c r="Y173" s="428" t="s">
        <v>1142</v>
      </c>
      <c r="Z173" s="429">
        <v>0</v>
      </c>
      <c r="AA173" s="429">
        <v>0</v>
      </c>
      <c r="AB173" s="363" t="e">
        <v>#N/A</v>
      </c>
      <c r="AC173" s="360">
        <v>0</v>
      </c>
      <c r="AD173" s="360">
        <v>0</v>
      </c>
      <c r="AE173" s="360">
        <v>0</v>
      </c>
      <c r="AF173" s="360">
        <v>0</v>
      </c>
      <c r="AG173" s="360">
        <v>0</v>
      </c>
      <c r="AH173" s="360" t="e">
        <f t="shared" si="11"/>
        <v>#N/A</v>
      </c>
      <c r="AI173" s="362" t="e">
        <f>ERP[[#This Row],[2026 Working Total]]-ERP[[#This Row],[LE2 Final Submission]]</f>
        <v>#N/A</v>
      </c>
      <c r="AJ173" s="79" t="e">
        <v>#N/A</v>
      </c>
      <c r="AK173" s="79" t="e">
        <f t="shared" si="10"/>
        <v>#N/A</v>
      </c>
      <c r="AL173" s="374">
        <f>SUM(ERP[[#This Row],[AP01]:[AP06]])-SUM(ERP[[#This Row],[AP01 LE2]:[AP06 LE2]])</f>
        <v>0</v>
      </c>
      <c r="AM173" s="80"/>
      <c r="AN173" s="79" t="e">
        <f>ERP[[#This Row],[2026 Working Total to Budget/LE]]-ERP[[#This Row],[Giveback]]</f>
        <v>#N/A</v>
      </c>
      <c r="AO173" s="81"/>
      <c r="AP173" s="375"/>
      <c r="AQ173" s="375">
        <v>1060</v>
      </c>
      <c r="AR173" s="375">
        <v>0</v>
      </c>
      <c r="AS173" s="375">
        <v>0</v>
      </c>
      <c r="AT173" s="375">
        <v>0</v>
      </c>
      <c r="AU173" s="375">
        <v>0</v>
      </c>
      <c r="AV173" s="375">
        <v>0</v>
      </c>
      <c r="AW173" s="375">
        <v>0</v>
      </c>
      <c r="AX173" s="375">
        <v>0</v>
      </c>
      <c r="AY173" s="375">
        <v>0</v>
      </c>
      <c r="AZ173" s="375">
        <v>0</v>
      </c>
      <c r="BA173" s="375">
        <v>0</v>
      </c>
      <c r="BB173" s="375">
        <v>1060</v>
      </c>
      <c r="BC173" s="79"/>
      <c r="BD173" s="79">
        <v>1060</v>
      </c>
      <c r="BE173" s="79">
        <v>0</v>
      </c>
      <c r="BF173" s="79">
        <v>0</v>
      </c>
      <c r="BG173" s="79">
        <v>0</v>
      </c>
      <c r="BH173" s="79">
        <v>0</v>
      </c>
      <c r="BI173" s="79">
        <v>0</v>
      </c>
      <c r="BJ173" s="79">
        <v>0</v>
      </c>
      <c r="BK173" s="79">
        <v>0</v>
      </c>
      <c r="BL173" s="79">
        <v>0</v>
      </c>
      <c r="BM173" s="79">
        <v>0</v>
      </c>
      <c r="BN173" s="79">
        <v>0</v>
      </c>
      <c r="BO173" s="79">
        <v>1060</v>
      </c>
    </row>
    <row r="174" spans="1:67" ht="15" customHeight="1">
      <c r="A174" s="66" t="s">
        <v>2261</v>
      </c>
      <c r="B174" s="66" t="s">
        <v>2262</v>
      </c>
      <c r="C174" s="150" t="s">
        <v>1136</v>
      </c>
      <c r="D174" s="150" t="s">
        <v>1135</v>
      </c>
      <c r="E174" s="150" t="s">
        <v>1145</v>
      </c>
      <c r="F174" s="150" t="s">
        <v>1137</v>
      </c>
      <c r="G174" s="511" t="s">
        <v>639</v>
      </c>
      <c r="H174" s="392" t="s">
        <v>1174</v>
      </c>
      <c r="I174" s="343"/>
      <c r="J174" s="343"/>
      <c r="K174" s="70" t="s">
        <v>56</v>
      </c>
      <c r="L174" s="346"/>
      <c r="M174" s="346" t="s">
        <v>1140</v>
      </c>
      <c r="N174" s="346"/>
      <c r="O174" s="150" t="s">
        <v>57</v>
      </c>
      <c r="P174" s="150"/>
      <c r="Q174" s="403"/>
      <c r="R174" s="406">
        <v>48000</v>
      </c>
      <c r="S174" s="406">
        <v>47938.130000000005</v>
      </c>
      <c r="T174" s="425"/>
      <c r="U174" s="71"/>
      <c r="V174" s="426">
        <v>4052.17</v>
      </c>
      <c r="W174" s="427">
        <v>3772.71</v>
      </c>
      <c r="X174" s="427">
        <v>4113.25</v>
      </c>
      <c r="Y174" s="428">
        <v>3493.25</v>
      </c>
      <c r="Z174" s="429">
        <v>3493.25</v>
      </c>
      <c r="AA174" s="429">
        <v>3493.25</v>
      </c>
      <c r="AB174" s="363" t="e">
        <v>#N/A</v>
      </c>
      <c r="AC174" s="363">
        <v>4000</v>
      </c>
      <c r="AD174" s="363">
        <v>4000</v>
      </c>
      <c r="AE174" s="363">
        <v>4000</v>
      </c>
      <c r="AF174" s="363">
        <v>4000</v>
      </c>
      <c r="AG174" s="363">
        <v>4000</v>
      </c>
      <c r="AH174" s="360" t="e">
        <f t="shared" si="11"/>
        <v>#N/A</v>
      </c>
      <c r="AI174" s="362" t="e">
        <f>ERP[[#This Row],[2026 Working Total]]-ERP[[#This Row],[LE2 Final Submission]]</f>
        <v>#N/A</v>
      </c>
      <c r="AJ174" s="79" t="e">
        <v>#N/A</v>
      </c>
      <c r="AK174" s="79" t="e">
        <f t="shared" si="10"/>
        <v>#N/A</v>
      </c>
      <c r="AL174" s="374">
        <f>SUM(ERP[[#This Row],[AP01]:[AP06]])-SUM(ERP[[#This Row],[AP01 LE2]:[AP06 LE2]])</f>
        <v>-1520.25</v>
      </c>
      <c r="AM174" s="80"/>
      <c r="AN174" s="79" t="e">
        <f>ERP[[#This Row],[2026 Working Total to Budget/LE]]-ERP[[#This Row],[Giveback]]</f>
        <v>#N/A</v>
      </c>
      <c r="AO174" s="81"/>
      <c r="AP174" s="375">
        <v>4052.17</v>
      </c>
      <c r="AQ174" s="375">
        <v>3772.71</v>
      </c>
      <c r="AR174" s="375">
        <v>4113.25</v>
      </c>
      <c r="AS174" s="375">
        <v>4000</v>
      </c>
      <c r="AT174" s="375">
        <v>4000</v>
      </c>
      <c r="AU174" s="375">
        <v>4000</v>
      </c>
      <c r="AV174" s="375">
        <v>4000</v>
      </c>
      <c r="AW174" s="375">
        <v>4000</v>
      </c>
      <c r="AX174" s="375">
        <v>4000</v>
      </c>
      <c r="AY174" s="375">
        <v>4000</v>
      </c>
      <c r="AZ174" s="375">
        <v>4000</v>
      </c>
      <c r="BA174" s="375">
        <v>4000</v>
      </c>
      <c r="BB174" s="375">
        <v>47938.130000000005</v>
      </c>
      <c r="BC174" s="79">
        <v>4052.17</v>
      </c>
      <c r="BD174" s="79">
        <v>3772.71</v>
      </c>
      <c r="BE174" s="79">
        <v>4113.25</v>
      </c>
      <c r="BF174" s="79">
        <v>4000</v>
      </c>
      <c r="BG174" s="79">
        <v>4000</v>
      </c>
      <c r="BH174" s="79">
        <v>4000</v>
      </c>
      <c r="BI174" s="79">
        <v>4000</v>
      </c>
      <c r="BJ174" s="79">
        <v>4000</v>
      </c>
      <c r="BK174" s="79">
        <v>4000</v>
      </c>
      <c r="BL174" s="79">
        <v>4000</v>
      </c>
      <c r="BM174" s="79">
        <v>4000</v>
      </c>
      <c r="BN174" s="79">
        <v>4000</v>
      </c>
      <c r="BO174" s="79">
        <v>47938.130000000005</v>
      </c>
    </row>
    <row r="175" spans="1:67" ht="15" customHeight="1">
      <c r="A175" s="66" t="s">
        <v>1172</v>
      </c>
      <c r="B175" s="66" t="s">
        <v>1173</v>
      </c>
      <c r="C175" s="150" t="s">
        <v>1136</v>
      </c>
      <c r="D175" s="150" t="s">
        <v>1135</v>
      </c>
      <c r="E175" s="150" t="s">
        <v>1165</v>
      </c>
      <c r="F175" s="150" t="s">
        <v>1137</v>
      </c>
      <c r="G175" s="511" t="s">
        <v>49</v>
      </c>
      <c r="H175" s="392" t="s">
        <v>1174</v>
      </c>
      <c r="I175" s="343"/>
      <c r="J175" s="343"/>
      <c r="K175" s="70" t="s">
        <v>56</v>
      </c>
      <c r="L175" s="346" t="s">
        <v>1139</v>
      </c>
      <c r="M175" s="346" t="s">
        <v>1140</v>
      </c>
      <c r="N175" s="346"/>
      <c r="O175" s="150" t="s">
        <v>57</v>
      </c>
      <c r="P175" s="150"/>
      <c r="Q175" s="403"/>
      <c r="R175" s="406">
        <v>0</v>
      </c>
      <c r="S175" s="406">
        <v>1080</v>
      </c>
      <c r="T175" s="425"/>
      <c r="U175" s="71"/>
      <c r="V175" s="426">
        <v>360</v>
      </c>
      <c r="W175" s="427">
        <v>360</v>
      </c>
      <c r="X175" s="427">
        <v>360</v>
      </c>
      <c r="Y175" s="428">
        <v>0</v>
      </c>
      <c r="Z175" s="429">
        <v>0</v>
      </c>
      <c r="AA175" s="429">
        <v>0</v>
      </c>
      <c r="AB175" s="363" t="e">
        <v>#N/A</v>
      </c>
      <c r="AC175" s="360">
        <v>0</v>
      </c>
      <c r="AD175" s="360">
        <v>0</v>
      </c>
      <c r="AE175" s="360">
        <v>0</v>
      </c>
      <c r="AF175" s="360">
        <v>0</v>
      </c>
      <c r="AG175" s="360">
        <v>0</v>
      </c>
      <c r="AH175" s="360" t="e">
        <f t="shared" si="11"/>
        <v>#N/A</v>
      </c>
      <c r="AI175" s="362" t="e">
        <f>ERP[[#This Row],[2026 Working Total]]-ERP[[#This Row],[LE2 Final Submission]]</f>
        <v>#N/A</v>
      </c>
      <c r="AJ175" s="79" t="e">
        <v>#N/A</v>
      </c>
      <c r="AK175" s="79" t="e">
        <f t="shared" si="10"/>
        <v>#N/A</v>
      </c>
      <c r="AL175" s="374">
        <f>SUM(ERP[[#This Row],[AP01]:[AP06]])-SUM(ERP[[#This Row],[AP01 LE2]:[AP06 LE2]])</f>
        <v>0</v>
      </c>
      <c r="AM175" s="80"/>
      <c r="AN175" s="79" t="e">
        <f>ERP[[#This Row],[2026 Working Total to Budget/LE]]-ERP[[#This Row],[Giveback]]</f>
        <v>#N/A</v>
      </c>
      <c r="AO175" s="81"/>
      <c r="AP175" s="375">
        <v>360</v>
      </c>
      <c r="AQ175" s="375">
        <v>360</v>
      </c>
      <c r="AR175" s="375">
        <v>360</v>
      </c>
      <c r="AS175" s="375">
        <v>0</v>
      </c>
      <c r="AT175" s="375">
        <v>0</v>
      </c>
      <c r="AU175" s="375">
        <v>0</v>
      </c>
      <c r="AV175" s="375">
        <v>0</v>
      </c>
      <c r="AW175" s="375">
        <v>0</v>
      </c>
      <c r="AX175" s="375">
        <v>0</v>
      </c>
      <c r="AY175" s="375">
        <v>0</v>
      </c>
      <c r="AZ175" s="375">
        <v>0</v>
      </c>
      <c r="BA175" s="375">
        <v>0</v>
      </c>
      <c r="BB175" s="375">
        <v>1080</v>
      </c>
      <c r="BC175" s="79">
        <v>360</v>
      </c>
      <c r="BD175" s="79">
        <v>360</v>
      </c>
      <c r="BE175" s="79">
        <v>360</v>
      </c>
      <c r="BF175" s="79">
        <v>0</v>
      </c>
      <c r="BG175" s="79">
        <v>0</v>
      </c>
      <c r="BH175" s="79">
        <v>0</v>
      </c>
      <c r="BI175" s="79">
        <v>0</v>
      </c>
      <c r="BJ175" s="79">
        <v>0</v>
      </c>
      <c r="BK175" s="79">
        <v>0</v>
      </c>
      <c r="BL175" s="79">
        <v>0</v>
      </c>
      <c r="BM175" s="79">
        <v>0</v>
      </c>
      <c r="BN175" s="79">
        <v>0</v>
      </c>
      <c r="BO175" s="79">
        <v>1080</v>
      </c>
    </row>
    <row r="176" spans="1:67" ht="15" customHeight="1">
      <c r="A176" s="66" t="s">
        <v>1796</v>
      </c>
      <c r="B176" s="66" t="s">
        <v>1797</v>
      </c>
      <c r="C176" s="150" t="s">
        <v>1136</v>
      </c>
      <c r="D176" s="150" t="s">
        <v>1135</v>
      </c>
      <c r="E176" s="150" t="s">
        <v>1165</v>
      </c>
      <c r="F176" s="150" t="s">
        <v>1137</v>
      </c>
      <c r="G176" s="511" t="s">
        <v>389</v>
      </c>
      <c r="H176" s="392" t="s">
        <v>1174</v>
      </c>
      <c r="I176" s="343"/>
      <c r="J176" s="343"/>
      <c r="K176" s="70" t="s">
        <v>56</v>
      </c>
      <c r="L176" s="346"/>
      <c r="M176" s="346" t="s">
        <v>1140</v>
      </c>
      <c r="N176" s="346"/>
      <c r="O176" s="150" t="s">
        <v>57</v>
      </c>
      <c r="P176" s="150"/>
      <c r="Q176" s="403"/>
      <c r="R176" s="406">
        <v>480000</v>
      </c>
      <c r="S176" s="406">
        <v>717425.61</v>
      </c>
      <c r="T176" s="425"/>
      <c r="U176" s="71"/>
      <c r="V176" s="426">
        <v>61804.2</v>
      </c>
      <c r="W176" s="427">
        <v>58988.63</v>
      </c>
      <c r="X176" s="427">
        <v>56632.78</v>
      </c>
      <c r="Y176" s="428">
        <v>54081.419999999991</v>
      </c>
      <c r="Z176" s="429">
        <v>51184.079999999994</v>
      </c>
      <c r="AA176" s="429">
        <v>49707.65</v>
      </c>
      <c r="AB176" s="363" t="e">
        <v>#N/A</v>
      </c>
      <c r="AC176" s="363">
        <v>62000</v>
      </c>
      <c r="AD176" s="363">
        <v>62000</v>
      </c>
      <c r="AE176" s="363">
        <v>62000</v>
      </c>
      <c r="AF176" s="363">
        <v>62000</v>
      </c>
      <c r="AG176" s="363">
        <v>62734</v>
      </c>
      <c r="AH176" s="360" t="e">
        <f t="shared" si="11"/>
        <v>#N/A</v>
      </c>
      <c r="AI176" s="362" t="e">
        <f>ERP[[#This Row],[2026 Working Total]]-ERP[[#This Row],[LE2 Final Submission]]</f>
        <v>#N/A</v>
      </c>
      <c r="AJ176" s="79" t="e">
        <v>#N/A</v>
      </c>
      <c r="AK176" s="79" t="e">
        <f t="shared" si="10"/>
        <v>#N/A</v>
      </c>
      <c r="AL176" s="374">
        <f>SUM(ERP[[#This Row],[AP01]:[AP06]])-SUM(ERP[[#This Row],[AP01 LE2]:[AP06 LE2]])</f>
        <v>-25026.849999999977</v>
      </c>
      <c r="AM176" s="80"/>
      <c r="AN176" s="79" t="e">
        <f>ERP[[#This Row],[2026 Working Total to Budget/LE]]-ERP[[#This Row],[Giveback]]</f>
        <v>#N/A</v>
      </c>
      <c r="AO176" s="81"/>
      <c r="AP176" s="375">
        <v>61804.2</v>
      </c>
      <c r="AQ176" s="375">
        <v>58988.63</v>
      </c>
      <c r="AR176" s="375">
        <v>56632.78</v>
      </c>
      <c r="AS176" s="375">
        <v>60000</v>
      </c>
      <c r="AT176" s="375">
        <v>60000</v>
      </c>
      <c r="AU176" s="375">
        <v>60000</v>
      </c>
      <c r="AV176" s="375">
        <v>60000</v>
      </c>
      <c r="AW176" s="375">
        <v>60000</v>
      </c>
      <c r="AX176" s="375">
        <v>60000</v>
      </c>
      <c r="AY176" s="375">
        <v>60000</v>
      </c>
      <c r="AZ176" s="375">
        <v>60000</v>
      </c>
      <c r="BA176" s="375">
        <v>60000</v>
      </c>
      <c r="BB176" s="375">
        <v>717425.61</v>
      </c>
      <c r="BC176" s="79">
        <v>61804.2</v>
      </c>
      <c r="BD176" s="79">
        <v>58988.63</v>
      </c>
      <c r="BE176" s="79">
        <v>56632.78</v>
      </c>
      <c r="BF176" s="79">
        <v>40000</v>
      </c>
      <c r="BG176" s="79">
        <v>40000</v>
      </c>
      <c r="BH176" s="79">
        <v>40000</v>
      </c>
      <c r="BI176" s="79">
        <v>40000</v>
      </c>
      <c r="BJ176" s="79">
        <v>40000</v>
      </c>
      <c r="BK176" s="79">
        <v>40000</v>
      </c>
      <c r="BL176" s="79">
        <v>40000</v>
      </c>
      <c r="BM176" s="79">
        <v>40000</v>
      </c>
      <c r="BN176" s="79">
        <v>40000</v>
      </c>
      <c r="BO176" s="79">
        <v>537425.61</v>
      </c>
    </row>
    <row r="177" spans="1:67" ht="15" customHeight="1">
      <c r="A177" s="66" t="s">
        <v>1435</v>
      </c>
      <c r="B177" s="66" t="s">
        <v>1436</v>
      </c>
      <c r="C177" s="150" t="s">
        <v>1136</v>
      </c>
      <c r="D177" s="150" t="s">
        <v>1345</v>
      </c>
      <c r="E177" s="150" t="s">
        <v>1437</v>
      </c>
      <c r="F177" s="150" t="s">
        <v>1346</v>
      </c>
      <c r="G177" s="511" t="s">
        <v>49</v>
      </c>
      <c r="H177" s="392" t="s">
        <v>1174</v>
      </c>
      <c r="I177" s="343"/>
      <c r="J177" s="343"/>
      <c r="K177" s="70" t="s">
        <v>56</v>
      </c>
      <c r="L177" s="346"/>
      <c r="M177" s="346" t="s">
        <v>1140</v>
      </c>
      <c r="N177" s="346"/>
      <c r="O177" s="150" t="s">
        <v>57</v>
      </c>
      <c r="P177" s="150"/>
      <c r="Q177" s="403"/>
      <c r="R177" s="406">
        <v>24000</v>
      </c>
      <c r="S177" s="406">
        <v>18457.8</v>
      </c>
      <c r="T177" s="425"/>
      <c r="U177" s="71"/>
      <c r="V177" s="426">
        <v>366.24</v>
      </c>
      <c r="W177" s="431">
        <v>0</v>
      </c>
      <c r="X177" s="427">
        <v>91.56</v>
      </c>
      <c r="Y177" s="428">
        <v>0</v>
      </c>
      <c r="Z177" s="429">
        <v>0</v>
      </c>
      <c r="AA177" s="429">
        <v>0</v>
      </c>
      <c r="AB177" s="363" t="e">
        <v>#N/A</v>
      </c>
      <c r="AC177" s="363">
        <v>2000</v>
      </c>
      <c r="AD177" s="363">
        <v>2000</v>
      </c>
      <c r="AE177" s="363">
        <v>2000</v>
      </c>
      <c r="AF177" s="363">
        <v>2000</v>
      </c>
      <c r="AG177" s="363">
        <v>2000</v>
      </c>
      <c r="AH177" s="360" t="e">
        <f t="shared" si="11"/>
        <v>#N/A</v>
      </c>
      <c r="AI177" s="362" t="e">
        <f>ERP[[#This Row],[2026 Working Total]]-ERP[[#This Row],[LE2 Final Submission]]</f>
        <v>#N/A</v>
      </c>
      <c r="AJ177" s="79" t="e">
        <v>#N/A</v>
      </c>
      <c r="AK177" s="79" t="e">
        <f t="shared" si="10"/>
        <v>#N/A</v>
      </c>
      <c r="AL177" s="374">
        <f>SUM(ERP[[#This Row],[AP01]:[AP06]])-SUM(ERP[[#This Row],[AP01 LE2]:[AP06 LE2]])</f>
        <v>-6000</v>
      </c>
      <c r="AM177" s="80"/>
      <c r="AN177" s="79" t="e">
        <f>ERP[[#This Row],[2026 Working Total to Budget/LE]]-ERP[[#This Row],[Giveback]]</f>
        <v>#N/A</v>
      </c>
      <c r="AO177" s="81"/>
      <c r="AP177" s="375">
        <v>366.24</v>
      </c>
      <c r="AQ177" s="375">
        <v>0</v>
      </c>
      <c r="AR177" s="375">
        <v>91.56</v>
      </c>
      <c r="AS177" s="375">
        <v>2000</v>
      </c>
      <c r="AT177" s="375">
        <v>2000</v>
      </c>
      <c r="AU177" s="375">
        <v>2000</v>
      </c>
      <c r="AV177" s="375">
        <v>2000</v>
      </c>
      <c r="AW177" s="375">
        <v>2000</v>
      </c>
      <c r="AX177" s="375">
        <v>2000</v>
      </c>
      <c r="AY177" s="375">
        <v>2000</v>
      </c>
      <c r="AZ177" s="375">
        <v>2000</v>
      </c>
      <c r="BA177" s="375">
        <v>2000</v>
      </c>
      <c r="BB177" s="375">
        <v>18457.8</v>
      </c>
      <c r="BC177" s="79">
        <v>366.24</v>
      </c>
      <c r="BD177" s="79">
        <v>0</v>
      </c>
      <c r="BE177" s="79">
        <v>91.56</v>
      </c>
      <c r="BF177" s="79">
        <v>2000</v>
      </c>
      <c r="BG177" s="79">
        <v>2000</v>
      </c>
      <c r="BH177" s="79">
        <v>2000</v>
      </c>
      <c r="BI177" s="79">
        <v>2000</v>
      </c>
      <c r="BJ177" s="79">
        <v>2000</v>
      </c>
      <c r="BK177" s="79">
        <v>2000</v>
      </c>
      <c r="BL177" s="79">
        <v>2000</v>
      </c>
      <c r="BM177" s="79">
        <v>2000</v>
      </c>
      <c r="BN177" s="79">
        <v>2000</v>
      </c>
      <c r="BO177" s="79">
        <v>18457.8</v>
      </c>
    </row>
    <row r="178" spans="1:67" ht="15" customHeight="1">
      <c r="A178" s="66" t="s">
        <v>2012</v>
      </c>
      <c r="B178" s="66" t="s">
        <v>2013</v>
      </c>
      <c r="C178" s="150" t="s">
        <v>1136</v>
      </c>
      <c r="D178" s="150" t="s">
        <v>1345</v>
      </c>
      <c r="E178" s="150" t="s">
        <v>1437</v>
      </c>
      <c r="F178" s="150" t="s">
        <v>1346</v>
      </c>
      <c r="G178" s="511" t="s">
        <v>389</v>
      </c>
      <c r="H178" s="392" t="s">
        <v>1174</v>
      </c>
      <c r="I178" s="343"/>
      <c r="J178" s="343"/>
      <c r="K178" s="70" t="s">
        <v>56</v>
      </c>
      <c r="L178" s="346"/>
      <c r="M178" s="346" t="s">
        <v>1140</v>
      </c>
      <c r="N178" s="346"/>
      <c r="O178" s="150" t="s">
        <v>57</v>
      </c>
      <c r="P178" s="150"/>
      <c r="Q178" s="403"/>
      <c r="R178" s="406">
        <v>68292</v>
      </c>
      <c r="S178" s="406">
        <v>61982.03</v>
      </c>
      <c r="T178" s="425"/>
      <c r="U178" s="71"/>
      <c r="V178" s="426">
        <v>3349.03</v>
      </c>
      <c r="W178" s="427">
        <v>3352.38</v>
      </c>
      <c r="X178" s="427">
        <v>4061.62</v>
      </c>
      <c r="Y178" s="428">
        <v>3971.33</v>
      </c>
      <c r="Z178" s="429">
        <v>5537.35</v>
      </c>
      <c r="AA178" s="429">
        <v>4773.54</v>
      </c>
      <c r="AB178" s="363" t="e">
        <v>#N/A</v>
      </c>
      <c r="AC178" s="363">
        <v>5691</v>
      </c>
      <c r="AD178" s="363">
        <v>5691</v>
      </c>
      <c r="AE178" s="363">
        <v>5691</v>
      </c>
      <c r="AF178" s="363">
        <v>5691</v>
      </c>
      <c r="AG178" s="363">
        <v>5691</v>
      </c>
      <c r="AH178" s="360" t="e">
        <f t="shared" si="11"/>
        <v>#N/A</v>
      </c>
      <c r="AI178" s="362" t="e">
        <f>ERP[[#This Row],[2026 Working Total]]-ERP[[#This Row],[LE2 Final Submission]]</f>
        <v>#N/A</v>
      </c>
      <c r="AJ178" s="79" t="e">
        <v>#N/A</v>
      </c>
      <c r="AK178" s="79" t="e">
        <f t="shared" si="10"/>
        <v>#N/A</v>
      </c>
      <c r="AL178" s="374">
        <f>SUM(ERP[[#This Row],[AP01]:[AP06]])-SUM(ERP[[#This Row],[AP01 LE2]:[AP06 LE2]])</f>
        <v>-2790.7799999999988</v>
      </c>
      <c r="AM178" s="80"/>
      <c r="AN178" s="79" t="e">
        <f>ERP[[#This Row],[2026 Working Total to Budget/LE]]-ERP[[#This Row],[Giveback]]</f>
        <v>#N/A</v>
      </c>
      <c r="AO178" s="81"/>
      <c r="AP178" s="375">
        <v>3349.03</v>
      </c>
      <c r="AQ178" s="375">
        <v>3352.38</v>
      </c>
      <c r="AR178" s="375">
        <v>4061.62</v>
      </c>
      <c r="AS178" s="375">
        <v>5691</v>
      </c>
      <c r="AT178" s="375">
        <v>5691</v>
      </c>
      <c r="AU178" s="375">
        <v>5691</v>
      </c>
      <c r="AV178" s="375">
        <v>5691</v>
      </c>
      <c r="AW178" s="375">
        <v>5691</v>
      </c>
      <c r="AX178" s="375">
        <v>5691</v>
      </c>
      <c r="AY178" s="375">
        <v>5691</v>
      </c>
      <c r="AZ178" s="375">
        <v>5691</v>
      </c>
      <c r="BA178" s="375">
        <v>5691</v>
      </c>
      <c r="BB178" s="375">
        <v>61982.03</v>
      </c>
      <c r="BC178" s="79">
        <v>3349.03</v>
      </c>
      <c r="BD178" s="79">
        <v>3352.38</v>
      </c>
      <c r="BE178" s="79">
        <v>4061.62</v>
      </c>
      <c r="BF178" s="79">
        <v>5691</v>
      </c>
      <c r="BG178" s="79">
        <v>5691</v>
      </c>
      <c r="BH178" s="79">
        <v>5691</v>
      </c>
      <c r="BI178" s="79">
        <v>5691</v>
      </c>
      <c r="BJ178" s="79">
        <v>5691</v>
      </c>
      <c r="BK178" s="79">
        <v>5691</v>
      </c>
      <c r="BL178" s="79">
        <v>5691</v>
      </c>
      <c r="BM178" s="79">
        <v>5691</v>
      </c>
      <c r="BN178" s="79">
        <v>5691</v>
      </c>
      <c r="BO178" s="79">
        <v>61982.03</v>
      </c>
    </row>
    <row r="179" spans="1:67" ht="15" customHeight="1">
      <c r="A179" s="66" t="s">
        <v>2669</v>
      </c>
      <c r="B179" s="66" t="s">
        <v>2670</v>
      </c>
      <c r="C179" s="150" t="s">
        <v>1136</v>
      </c>
      <c r="D179" s="150" t="s">
        <v>1345</v>
      </c>
      <c r="E179" s="150" t="s">
        <v>1437</v>
      </c>
      <c r="F179" s="150" t="s">
        <v>1346</v>
      </c>
      <c r="G179" s="511" t="s">
        <v>639</v>
      </c>
      <c r="H179" s="392" t="s">
        <v>1174</v>
      </c>
      <c r="I179" s="343"/>
      <c r="J179" s="343"/>
      <c r="K179" s="70" t="s">
        <v>56</v>
      </c>
      <c r="L179" s="346"/>
      <c r="M179" s="346" t="s">
        <v>1140</v>
      </c>
      <c r="N179" s="346"/>
      <c r="O179" s="150" t="s">
        <v>57</v>
      </c>
      <c r="P179" s="150"/>
      <c r="Q179" s="403"/>
      <c r="R179" s="406">
        <v>23474.640000000003</v>
      </c>
      <c r="S179" s="406">
        <v>27085.450000000004</v>
      </c>
      <c r="T179" s="425"/>
      <c r="U179" s="71"/>
      <c r="V179" s="426">
        <v>1816.49</v>
      </c>
      <c r="W179" s="427">
        <v>1816.49</v>
      </c>
      <c r="X179" s="427">
        <v>5846.49</v>
      </c>
      <c r="Y179" s="428">
        <v>1816.49</v>
      </c>
      <c r="Z179" s="429">
        <v>1816.49</v>
      </c>
      <c r="AA179" s="429">
        <v>1816.49</v>
      </c>
      <c r="AB179" s="363" t="e">
        <v>#N/A</v>
      </c>
      <c r="AC179" s="363">
        <v>1956.22</v>
      </c>
      <c r="AD179" s="363">
        <v>1956.22</v>
      </c>
      <c r="AE179" s="363">
        <v>1956.22</v>
      </c>
      <c r="AF179" s="363">
        <v>1956.22</v>
      </c>
      <c r="AG179" s="363">
        <v>1956.22</v>
      </c>
      <c r="AH179" s="360" t="e">
        <f t="shared" si="11"/>
        <v>#N/A</v>
      </c>
      <c r="AI179" s="362" t="e">
        <f>ERP[[#This Row],[2026 Working Total]]-ERP[[#This Row],[LE2 Final Submission]]</f>
        <v>#N/A</v>
      </c>
      <c r="AJ179" s="79" t="e">
        <v>#N/A</v>
      </c>
      <c r="AK179" s="79" t="e">
        <f t="shared" si="10"/>
        <v>#N/A</v>
      </c>
      <c r="AL179" s="374">
        <f>SUM(ERP[[#This Row],[AP01]:[AP06]])-SUM(ERP[[#This Row],[AP01 LE2]:[AP06 LE2]])</f>
        <v>-419.18999999999869</v>
      </c>
      <c r="AM179" s="80"/>
      <c r="AN179" s="79" t="e">
        <f>ERP[[#This Row],[2026 Working Total to Budget/LE]]-ERP[[#This Row],[Giveback]]</f>
        <v>#N/A</v>
      </c>
      <c r="AO179" s="81"/>
      <c r="AP179" s="375">
        <v>1816.49</v>
      </c>
      <c r="AQ179" s="375">
        <v>1816.49</v>
      </c>
      <c r="AR179" s="375">
        <v>5846.49</v>
      </c>
      <c r="AS179" s="375">
        <v>1956.22</v>
      </c>
      <c r="AT179" s="375">
        <v>1956.22</v>
      </c>
      <c r="AU179" s="375">
        <v>1956.22</v>
      </c>
      <c r="AV179" s="375">
        <v>1956.22</v>
      </c>
      <c r="AW179" s="375">
        <v>1956.22</v>
      </c>
      <c r="AX179" s="375">
        <v>1956.22</v>
      </c>
      <c r="AY179" s="375">
        <v>1956.22</v>
      </c>
      <c r="AZ179" s="375">
        <v>1956.22</v>
      </c>
      <c r="BA179" s="375">
        <v>1956.22</v>
      </c>
      <c r="BB179" s="375">
        <v>27085.450000000004</v>
      </c>
      <c r="BC179" s="79">
        <v>1816.49</v>
      </c>
      <c r="BD179" s="79">
        <v>1816.49</v>
      </c>
      <c r="BE179" s="79">
        <v>5846.49</v>
      </c>
      <c r="BF179" s="79">
        <v>1956.22</v>
      </c>
      <c r="BG179" s="79">
        <v>1956.22</v>
      </c>
      <c r="BH179" s="79">
        <v>1956.22</v>
      </c>
      <c r="BI179" s="79">
        <v>1956.22</v>
      </c>
      <c r="BJ179" s="79">
        <v>1956.22</v>
      </c>
      <c r="BK179" s="79">
        <v>1956.22</v>
      </c>
      <c r="BL179" s="79">
        <v>1956.22</v>
      </c>
      <c r="BM179" s="79">
        <v>1956.22</v>
      </c>
      <c r="BN179" s="79">
        <v>1956.22</v>
      </c>
      <c r="BO179" s="79">
        <v>27085.450000000004</v>
      </c>
    </row>
    <row r="180" spans="1:67" ht="15" customHeight="1">
      <c r="A180" s="66" t="s">
        <v>2778</v>
      </c>
      <c r="B180" s="66" t="s">
        <v>2779</v>
      </c>
      <c r="C180" s="150" t="s">
        <v>1136</v>
      </c>
      <c r="D180" s="150" t="s">
        <v>1567</v>
      </c>
      <c r="E180" s="150" t="s">
        <v>1567</v>
      </c>
      <c r="F180" s="150" t="s">
        <v>1567</v>
      </c>
      <c r="G180" s="511" t="s">
        <v>639</v>
      </c>
      <c r="H180" s="392" t="s">
        <v>2780</v>
      </c>
      <c r="I180" s="343"/>
      <c r="J180" s="343"/>
      <c r="K180" s="70" t="s">
        <v>999</v>
      </c>
      <c r="L180" s="346"/>
      <c r="M180" s="346" t="s">
        <v>1140</v>
      </c>
      <c r="N180" s="346"/>
      <c r="O180" s="150" t="s">
        <v>1000</v>
      </c>
      <c r="P180" s="150"/>
      <c r="Q180" s="404"/>
      <c r="R180" s="407">
        <v>0</v>
      </c>
      <c r="S180" s="407">
        <v>0</v>
      </c>
      <c r="T180" s="425"/>
      <c r="U180" s="71"/>
      <c r="V180" s="426">
        <v>16675.14</v>
      </c>
      <c r="W180" s="431">
        <v>0</v>
      </c>
      <c r="X180" s="427">
        <v>-16675.14</v>
      </c>
      <c r="Y180" s="428" t="s">
        <v>1142</v>
      </c>
      <c r="Z180" s="429">
        <v>0</v>
      </c>
      <c r="AA180" s="429">
        <v>0</v>
      </c>
      <c r="AB180" s="363" t="e">
        <v>#N/A</v>
      </c>
      <c r="AC180" s="363"/>
      <c r="AD180" s="363"/>
      <c r="AE180" s="363"/>
      <c r="AF180" s="363"/>
      <c r="AG180" s="363"/>
      <c r="AH180" s="360" t="e">
        <f t="shared" si="11"/>
        <v>#N/A</v>
      </c>
      <c r="AI180" s="362" t="e">
        <f>ERP[[#This Row],[2026 Working Total]]-ERP[[#This Row],[LE2 Final Submission]]</f>
        <v>#N/A</v>
      </c>
      <c r="AJ180" s="79" t="e">
        <v>#N/A</v>
      </c>
      <c r="AK180" s="79" t="e">
        <f t="shared" si="10"/>
        <v>#N/A</v>
      </c>
      <c r="AL180" s="374">
        <f>SUM(ERP[[#This Row],[AP01]:[AP06]])-SUM(ERP[[#This Row],[AP01 LE2]:[AP06 LE2]])</f>
        <v>0</v>
      </c>
      <c r="AM180" s="80"/>
      <c r="AN180" s="79" t="e">
        <f>ERP[[#This Row],[2026 Working Total to Budget/LE]]-ERP[[#This Row],[Giveback]]</f>
        <v>#N/A</v>
      </c>
      <c r="AO180" s="81"/>
      <c r="AP180" s="375">
        <v>16675.14</v>
      </c>
      <c r="AQ180" s="375">
        <v>0</v>
      </c>
      <c r="AR180" s="375">
        <v>-16675.14</v>
      </c>
      <c r="AS180" s="375"/>
      <c r="AT180" s="375"/>
      <c r="AU180" s="375"/>
      <c r="AV180" s="375"/>
      <c r="AW180" s="375"/>
      <c r="AX180" s="375"/>
      <c r="AY180" s="375"/>
      <c r="AZ180" s="375"/>
      <c r="BA180" s="375"/>
      <c r="BB180" s="375">
        <v>0</v>
      </c>
      <c r="BC180" s="79">
        <v>16675.14</v>
      </c>
      <c r="BD180" s="79">
        <v>0</v>
      </c>
      <c r="BE180" s="79">
        <v>-16675.14</v>
      </c>
      <c r="BF180" s="79"/>
      <c r="BG180" s="79"/>
      <c r="BH180" s="79"/>
      <c r="BI180" s="79"/>
      <c r="BJ180" s="79"/>
      <c r="BK180" s="79"/>
      <c r="BL180" s="79"/>
      <c r="BM180" s="79"/>
      <c r="BN180" s="79"/>
      <c r="BO180" s="79">
        <v>0</v>
      </c>
    </row>
    <row r="181" spans="1:67" ht="15" customHeight="1">
      <c r="A181" s="66" t="s">
        <v>1667</v>
      </c>
      <c r="B181" s="66" t="s">
        <v>1668</v>
      </c>
      <c r="C181" s="150" t="s">
        <v>1136</v>
      </c>
      <c r="D181" s="150" t="s">
        <v>1345</v>
      </c>
      <c r="E181" s="150" t="s">
        <v>1346</v>
      </c>
      <c r="F181" s="150" t="s">
        <v>1346</v>
      </c>
      <c r="G181" s="511" t="s">
        <v>333</v>
      </c>
      <c r="H181" s="392" t="s">
        <v>1663</v>
      </c>
      <c r="I181" s="343"/>
      <c r="J181" s="343"/>
      <c r="K181" s="70" t="s">
        <v>336</v>
      </c>
      <c r="L181" s="346"/>
      <c r="M181" s="346" t="s">
        <v>1140</v>
      </c>
      <c r="N181" s="346"/>
      <c r="O181" s="150" t="s">
        <v>25</v>
      </c>
      <c r="P181" s="150" t="s">
        <v>1666</v>
      </c>
      <c r="Q181" s="403"/>
      <c r="R181" s="406">
        <v>0</v>
      </c>
      <c r="S181" s="406">
        <v>19503</v>
      </c>
      <c r="T181" s="425"/>
      <c r="U181" s="71"/>
      <c r="V181" s="426">
        <v>336</v>
      </c>
      <c r="W181" s="427">
        <v>337</v>
      </c>
      <c r="X181" s="427">
        <v>1883</v>
      </c>
      <c r="Y181" s="428">
        <v>852.00000000000011</v>
      </c>
      <c r="Z181" s="429">
        <v>1823.6399999999999</v>
      </c>
      <c r="AA181" s="429">
        <v>1823.62</v>
      </c>
      <c r="AB181" s="363" t="e">
        <v>#N/A</v>
      </c>
      <c r="AC181" s="363">
        <v>1883</v>
      </c>
      <c r="AD181" s="363">
        <v>1883</v>
      </c>
      <c r="AE181" s="363">
        <v>1883</v>
      </c>
      <c r="AF181" s="363">
        <v>1883</v>
      </c>
      <c r="AG181" s="363">
        <v>1883</v>
      </c>
      <c r="AH181" s="360" t="e">
        <f t="shared" si="11"/>
        <v>#N/A</v>
      </c>
      <c r="AI181" s="362" t="e">
        <f>ERP[[#This Row],[2026 Working Total]]-ERP[[#This Row],[LE2 Final Submission]]</f>
        <v>#N/A</v>
      </c>
      <c r="AJ181" s="79" t="e">
        <v>#N/A</v>
      </c>
      <c r="AK181" s="79" t="e">
        <f t="shared" si="10"/>
        <v>#N/A</v>
      </c>
      <c r="AL181" s="374">
        <f>SUM(ERP[[#This Row],[AP01]:[AP06]])-SUM(ERP[[#This Row],[AP01 LE2]:[AP06 LE2]])</f>
        <v>-1149.7400000000007</v>
      </c>
      <c r="AM181" s="80"/>
      <c r="AN181" s="79" t="e">
        <f>ERP[[#This Row],[2026 Working Total to Budget/LE]]-ERP[[#This Row],[Giveback]]</f>
        <v>#N/A</v>
      </c>
      <c r="AO181" s="81"/>
      <c r="AP181" s="375">
        <v>336</v>
      </c>
      <c r="AQ181" s="375">
        <v>337</v>
      </c>
      <c r="AR181" s="375">
        <v>1883</v>
      </c>
      <c r="AS181" s="375">
        <v>1883</v>
      </c>
      <c r="AT181" s="375">
        <v>1883</v>
      </c>
      <c r="AU181" s="375">
        <v>1883</v>
      </c>
      <c r="AV181" s="375">
        <v>1883</v>
      </c>
      <c r="AW181" s="375">
        <v>1883</v>
      </c>
      <c r="AX181" s="375">
        <v>1883</v>
      </c>
      <c r="AY181" s="375">
        <v>1883</v>
      </c>
      <c r="AZ181" s="375">
        <v>1883</v>
      </c>
      <c r="BA181" s="375">
        <v>1883</v>
      </c>
      <c r="BB181" s="375">
        <v>19503</v>
      </c>
      <c r="BC181" s="79">
        <v>336</v>
      </c>
      <c r="BD181" s="79">
        <v>337</v>
      </c>
      <c r="BE181" s="79">
        <v>1883</v>
      </c>
      <c r="BF181" s="79">
        <v>0</v>
      </c>
      <c r="BG181" s="79">
        <v>0</v>
      </c>
      <c r="BH181" s="79">
        <v>0</v>
      </c>
      <c r="BI181" s="79">
        <v>0</v>
      </c>
      <c r="BJ181" s="79">
        <v>0</v>
      </c>
      <c r="BK181" s="79">
        <v>0</v>
      </c>
      <c r="BL181" s="79">
        <v>0</v>
      </c>
      <c r="BM181" s="79">
        <v>0</v>
      </c>
      <c r="BN181" s="79">
        <v>0</v>
      </c>
      <c r="BO181" s="79">
        <v>2556</v>
      </c>
    </row>
    <row r="182" spans="1:67" ht="15" customHeight="1">
      <c r="A182" s="66" t="s">
        <v>1665</v>
      </c>
      <c r="B182" s="66" t="s">
        <v>335</v>
      </c>
      <c r="C182" s="150" t="s">
        <v>1136</v>
      </c>
      <c r="D182" s="150" t="s">
        <v>1345</v>
      </c>
      <c r="E182" s="150" t="s">
        <v>1344</v>
      </c>
      <c r="F182" s="150" t="s">
        <v>1346</v>
      </c>
      <c r="G182" s="511" t="s">
        <v>333</v>
      </c>
      <c r="H182" s="392" t="s">
        <v>1663</v>
      </c>
      <c r="I182" s="343"/>
      <c r="J182" s="343"/>
      <c r="K182" s="70" t="s">
        <v>336</v>
      </c>
      <c r="L182" s="346"/>
      <c r="M182" s="346" t="s">
        <v>1140</v>
      </c>
      <c r="N182" s="346"/>
      <c r="O182" s="150" t="s">
        <v>25</v>
      </c>
      <c r="P182" s="150" t="s">
        <v>1666</v>
      </c>
      <c r="Q182" s="403"/>
      <c r="R182" s="406">
        <v>0</v>
      </c>
      <c r="S182" s="406">
        <v>6232.2000000000016</v>
      </c>
      <c r="T182" s="425"/>
      <c r="U182" s="71"/>
      <c r="V182" s="426">
        <v>519.35</v>
      </c>
      <c r="W182" s="427">
        <v>519.35</v>
      </c>
      <c r="X182" s="427">
        <v>519.35</v>
      </c>
      <c r="Y182" s="428">
        <v>519.35</v>
      </c>
      <c r="Z182" s="429">
        <v>519.35</v>
      </c>
      <c r="AA182" s="429">
        <v>519.35</v>
      </c>
      <c r="AB182" s="363" t="e">
        <v>#N/A</v>
      </c>
      <c r="AC182" s="363">
        <v>519.35</v>
      </c>
      <c r="AD182" s="363">
        <v>519.35</v>
      </c>
      <c r="AE182" s="363">
        <v>519.35</v>
      </c>
      <c r="AF182" s="363">
        <v>519.35</v>
      </c>
      <c r="AG182" s="363">
        <v>519.35</v>
      </c>
      <c r="AH182" s="360" t="e">
        <f t="shared" si="11"/>
        <v>#N/A</v>
      </c>
      <c r="AI182" s="362" t="e">
        <f>ERP[[#This Row],[2026 Working Total]]-ERP[[#This Row],[LE2 Final Submission]]</f>
        <v>#N/A</v>
      </c>
      <c r="AJ182" s="79" t="e">
        <v>#N/A</v>
      </c>
      <c r="AK182" s="79" t="e">
        <f t="shared" si="10"/>
        <v>#N/A</v>
      </c>
      <c r="AL182" s="374">
        <f>SUM(ERP[[#This Row],[AP01]:[AP06]])-SUM(ERP[[#This Row],[AP01 LE2]:[AP06 LE2]])</f>
        <v>0</v>
      </c>
      <c r="AM182" s="80"/>
      <c r="AN182" s="79" t="e">
        <f>ERP[[#This Row],[2026 Working Total to Budget/LE]]-ERP[[#This Row],[Giveback]]</f>
        <v>#N/A</v>
      </c>
      <c r="AO182" s="81"/>
      <c r="AP182" s="375">
        <v>519.35</v>
      </c>
      <c r="AQ182" s="375">
        <v>519.35</v>
      </c>
      <c r="AR182" s="375">
        <v>519.35</v>
      </c>
      <c r="AS182" s="375">
        <v>519.35</v>
      </c>
      <c r="AT182" s="375">
        <v>519.35</v>
      </c>
      <c r="AU182" s="375">
        <v>519.35</v>
      </c>
      <c r="AV182" s="375">
        <v>519.35</v>
      </c>
      <c r="AW182" s="375">
        <v>519.35</v>
      </c>
      <c r="AX182" s="375">
        <v>519.35</v>
      </c>
      <c r="AY182" s="375">
        <v>519.35</v>
      </c>
      <c r="AZ182" s="375">
        <v>519.35</v>
      </c>
      <c r="BA182" s="375">
        <v>519.35</v>
      </c>
      <c r="BB182" s="375">
        <v>6232.2000000000016</v>
      </c>
      <c r="BC182" s="79">
        <v>519.35</v>
      </c>
      <c r="BD182" s="79">
        <v>519.35</v>
      </c>
      <c r="BE182" s="79">
        <v>519.35</v>
      </c>
      <c r="BF182" s="79">
        <v>0</v>
      </c>
      <c r="BG182" s="79">
        <v>0</v>
      </c>
      <c r="BH182" s="79">
        <v>0</v>
      </c>
      <c r="BI182" s="79">
        <v>0</v>
      </c>
      <c r="BJ182" s="79">
        <v>0</v>
      </c>
      <c r="BK182" s="79">
        <v>0</v>
      </c>
      <c r="BL182" s="79">
        <v>0</v>
      </c>
      <c r="BM182" s="79">
        <v>0</v>
      </c>
      <c r="BN182" s="79">
        <v>0</v>
      </c>
      <c r="BO182" s="79">
        <v>1558.0500000000002</v>
      </c>
    </row>
    <row r="183" spans="1:67" ht="15" customHeight="1">
      <c r="A183" s="66" t="s">
        <v>2263</v>
      </c>
      <c r="B183" s="66" t="s">
        <v>2264</v>
      </c>
      <c r="C183" s="150" t="s">
        <v>1136</v>
      </c>
      <c r="D183" s="150" t="s">
        <v>1135</v>
      </c>
      <c r="E183" s="150" t="s">
        <v>1165</v>
      </c>
      <c r="F183" s="150" t="s">
        <v>1137</v>
      </c>
      <c r="G183" s="511" t="s">
        <v>639</v>
      </c>
      <c r="H183" s="392" t="s">
        <v>1174</v>
      </c>
      <c r="I183" s="343"/>
      <c r="J183" s="343"/>
      <c r="K183" s="70" t="s">
        <v>56</v>
      </c>
      <c r="L183" s="346"/>
      <c r="M183" s="346" t="s">
        <v>1140</v>
      </c>
      <c r="N183" s="346"/>
      <c r="O183" s="150" t="s">
        <v>57</v>
      </c>
      <c r="P183" s="150"/>
      <c r="Q183" s="403"/>
      <c r="R183" s="406">
        <v>8383.7999999999975</v>
      </c>
      <c r="S183" s="406">
        <v>8383.76</v>
      </c>
      <c r="T183" s="425"/>
      <c r="U183" s="71"/>
      <c r="V183" s="426">
        <v>698.65</v>
      </c>
      <c r="W183" s="427">
        <v>558.91999999999996</v>
      </c>
      <c r="X183" s="427">
        <v>419.19</v>
      </c>
      <c r="Y183" s="428">
        <v>279.45999999999998</v>
      </c>
      <c r="Z183" s="429">
        <v>279.45999999999998</v>
      </c>
      <c r="AA183" s="429">
        <v>279.45999999999998</v>
      </c>
      <c r="AB183" s="363" t="e">
        <v>#N/A</v>
      </c>
      <c r="AC183" s="363">
        <v>750</v>
      </c>
      <c r="AD183" s="363">
        <v>750</v>
      </c>
      <c r="AE183" s="363">
        <v>750</v>
      </c>
      <c r="AF183" s="363">
        <v>750</v>
      </c>
      <c r="AG183" s="363">
        <v>750</v>
      </c>
      <c r="AH183" s="360" t="e">
        <f t="shared" si="11"/>
        <v>#N/A</v>
      </c>
      <c r="AI183" s="362" t="e">
        <f>ERP[[#This Row],[2026 Working Total]]-ERP[[#This Row],[LE2 Final Submission]]</f>
        <v>#N/A</v>
      </c>
      <c r="AJ183" s="79" t="e">
        <v>#N/A</v>
      </c>
      <c r="AK183" s="79" t="e">
        <f t="shared" si="10"/>
        <v>#N/A</v>
      </c>
      <c r="AL183" s="374">
        <f>SUM(ERP[[#This Row],[AP01]:[AP06]])-SUM(ERP[[#This Row],[AP01 LE2]:[AP06 LE2]])</f>
        <v>-1368.6200000000003</v>
      </c>
      <c r="AM183" s="80"/>
      <c r="AN183" s="79" t="e">
        <f>ERP[[#This Row],[2026 Working Total to Budget/LE]]-ERP[[#This Row],[Giveback]]</f>
        <v>#N/A</v>
      </c>
      <c r="AO183" s="81"/>
      <c r="AP183" s="375">
        <v>698.65</v>
      </c>
      <c r="AQ183" s="375">
        <v>558.91999999999996</v>
      </c>
      <c r="AR183" s="375">
        <v>419.19</v>
      </c>
      <c r="AS183" s="375">
        <v>690</v>
      </c>
      <c r="AT183" s="375">
        <v>767</v>
      </c>
      <c r="AU183" s="375">
        <v>750</v>
      </c>
      <c r="AV183" s="375">
        <v>750</v>
      </c>
      <c r="AW183" s="375">
        <v>750</v>
      </c>
      <c r="AX183" s="375">
        <v>750</v>
      </c>
      <c r="AY183" s="375">
        <v>750</v>
      </c>
      <c r="AZ183" s="375">
        <v>750</v>
      </c>
      <c r="BA183" s="375">
        <v>750</v>
      </c>
      <c r="BB183" s="375">
        <v>8383.76</v>
      </c>
      <c r="BC183" s="79">
        <v>698.65</v>
      </c>
      <c r="BD183" s="79">
        <v>558.91999999999996</v>
      </c>
      <c r="BE183" s="79">
        <v>419.19</v>
      </c>
      <c r="BF183" s="79">
        <v>698.65</v>
      </c>
      <c r="BG183" s="79">
        <v>698.65</v>
      </c>
      <c r="BH183" s="79">
        <v>698.65</v>
      </c>
      <c r="BI183" s="79">
        <v>698.65</v>
      </c>
      <c r="BJ183" s="79">
        <v>698.65</v>
      </c>
      <c r="BK183" s="79">
        <v>698.65</v>
      </c>
      <c r="BL183" s="79">
        <v>698.65</v>
      </c>
      <c r="BM183" s="79">
        <v>698.65</v>
      </c>
      <c r="BN183" s="79">
        <v>698.65</v>
      </c>
      <c r="BO183" s="79">
        <v>7964.6099999999979</v>
      </c>
    </row>
    <row r="184" spans="1:67" ht="15" customHeight="1">
      <c r="A184" s="66" t="s">
        <v>1669</v>
      </c>
      <c r="B184" s="66" t="s">
        <v>1670</v>
      </c>
      <c r="C184" s="150" t="s">
        <v>1136</v>
      </c>
      <c r="D184" s="150" t="s">
        <v>1567</v>
      </c>
      <c r="E184" s="150" t="s">
        <v>1567</v>
      </c>
      <c r="F184" s="150" t="s">
        <v>1567</v>
      </c>
      <c r="G184" s="511" t="s">
        <v>333</v>
      </c>
      <c r="H184" s="392" t="s">
        <v>1663</v>
      </c>
      <c r="I184" s="343"/>
      <c r="J184" s="343"/>
      <c r="K184" s="70" t="s">
        <v>336</v>
      </c>
      <c r="L184" s="346"/>
      <c r="M184" s="346" t="s">
        <v>1140</v>
      </c>
      <c r="N184" s="346"/>
      <c r="O184" s="150" t="s">
        <v>25</v>
      </c>
      <c r="P184" s="150" t="s">
        <v>1666</v>
      </c>
      <c r="Q184" s="403"/>
      <c r="R184" s="406">
        <v>32110933.16</v>
      </c>
      <c r="S184" s="406">
        <v>34757461.509999998</v>
      </c>
      <c r="T184" s="425"/>
      <c r="U184" s="71"/>
      <c r="V184" s="426">
        <v>2815065.65</v>
      </c>
      <c r="W184" s="427">
        <v>3048410.85</v>
      </c>
      <c r="X184" s="427">
        <v>3021391.85</v>
      </c>
      <c r="Y184" s="428">
        <v>2973057.3200000008</v>
      </c>
      <c r="Z184" s="429">
        <v>3070156.0000000009</v>
      </c>
      <c r="AA184" s="429">
        <v>2999435.120000001</v>
      </c>
      <c r="AB184" s="363" t="e">
        <v>#N/A</v>
      </c>
      <c r="AC184" s="363">
        <v>2957767.97</v>
      </c>
      <c r="AD184" s="363">
        <v>2824180.51</v>
      </c>
      <c r="AE184" s="363">
        <v>2683373.61</v>
      </c>
      <c r="AF184" s="363">
        <v>2683374.5</v>
      </c>
      <c r="AG184" s="363">
        <v>2683373.5699999998</v>
      </c>
      <c r="AH184" s="360" t="e">
        <f t="shared" si="11"/>
        <v>#N/A</v>
      </c>
      <c r="AI184" s="362" t="e">
        <f>ERP[[#This Row],[2026 Working Total]]-ERP[[#This Row],[LE2 Final Submission]]</f>
        <v>#N/A</v>
      </c>
      <c r="AJ184" s="79" t="e">
        <v>#N/A</v>
      </c>
      <c r="AK184" s="79" t="e">
        <f t="shared" si="10"/>
        <v>#N/A</v>
      </c>
      <c r="AL184" s="374">
        <f>SUM(ERP[[#This Row],[AP01]:[AP06]])-SUM(ERP[[#This Row],[AP01 LE2]:[AP06 LE2]])</f>
        <v>-20413.769999995828</v>
      </c>
      <c r="AM184" s="80"/>
      <c r="AN184" s="79" t="e">
        <f>ERP[[#This Row],[2026 Working Total to Budget/LE]]-ERP[[#This Row],[Giveback]]</f>
        <v>#N/A</v>
      </c>
      <c r="AO184" s="81"/>
      <c r="AP184" s="375">
        <v>2815065.65</v>
      </c>
      <c r="AQ184" s="375">
        <v>3048410.85</v>
      </c>
      <c r="AR184" s="375">
        <v>3021391.85</v>
      </c>
      <c r="AS184" s="375">
        <v>3021020.11</v>
      </c>
      <c r="AT184" s="375">
        <v>3021022.03</v>
      </c>
      <c r="AU184" s="375">
        <v>3021020.07</v>
      </c>
      <c r="AV184" s="375">
        <v>2977460.79</v>
      </c>
      <c r="AW184" s="375">
        <v>2957767.97</v>
      </c>
      <c r="AX184" s="375">
        <v>2824180.51</v>
      </c>
      <c r="AY184" s="375">
        <v>2683373.61</v>
      </c>
      <c r="AZ184" s="375">
        <v>2683374.5</v>
      </c>
      <c r="BA184" s="375">
        <v>2683373.5699999998</v>
      </c>
      <c r="BB184" s="375">
        <v>34757461.509999998</v>
      </c>
      <c r="BC184" s="79">
        <v>2815065.65</v>
      </c>
      <c r="BD184" s="79">
        <v>3048410.85</v>
      </c>
      <c r="BE184" s="79">
        <v>3021391.85</v>
      </c>
      <c r="BF184" s="79">
        <v>3021020.11</v>
      </c>
      <c r="BG184" s="79">
        <v>3021022.03</v>
      </c>
      <c r="BH184" s="79">
        <v>3021020.07</v>
      </c>
      <c r="BI184" s="79">
        <v>2977460.79</v>
      </c>
      <c r="BJ184" s="79">
        <v>2957767.97</v>
      </c>
      <c r="BK184" s="79">
        <v>2824180.51</v>
      </c>
      <c r="BL184" s="79">
        <v>2683373.61</v>
      </c>
      <c r="BM184" s="79">
        <v>2683374.5</v>
      </c>
      <c r="BN184" s="79">
        <v>2683373.5699999998</v>
      </c>
      <c r="BO184" s="79">
        <v>34757461.509999998</v>
      </c>
    </row>
    <row r="185" spans="1:67" ht="15" customHeight="1">
      <c r="A185" s="66" t="s">
        <v>1671</v>
      </c>
      <c r="B185" s="66" t="s">
        <v>1672</v>
      </c>
      <c r="C185" s="150" t="s">
        <v>1136</v>
      </c>
      <c r="D185" s="150" t="s">
        <v>1567</v>
      </c>
      <c r="E185" s="150" t="s">
        <v>1567</v>
      </c>
      <c r="F185" s="150" t="s">
        <v>1567</v>
      </c>
      <c r="G185" s="511" t="s">
        <v>333</v>
      </c>
      <c r="H185" s="392" t="s">
        <v>1673</v>
      </c>
      <c r="I185" s="343"/>
      <c r="J185" s="343"/>
      <c r="K185" s="70" t="s">
        <v>339</v>
      </c>
      <c r="L185" s="346"/>
      <c r="M185" s="346" t="s">
        <v>1140</v>
      </c>
      <c r="N185" s="346"/>
      <c r="O185" s="505" t="s">
        <v>340</v>
      </c>
      <c r="P185" s="150"/>
      <c r="Q185" s="403"/>
      <c r="R185" s="406">
        <v>3047384</v>
      </c>
      <c r="S185" s="406">
        <v>147762.3031111111</v>
      </c>
      <c r="T185" s="425"/>
      <c r="U185" s="71"/>
      <c r="V185" s="426"/>
      <c r="W185" s="427"/>
      <c r="X185" s="427"/>
      <c r="Y185" s="428" t="s">
        <v>1142</v>
      </c>
      <c r="Z185" s="429">
        <v>0</v>
      </c>
      <c r="AA185" s="429">
        <v>0</v>
      </c>
      <c r="AB185" s="363" t="e">
        <v>#N/A</v>
      </c>
      <c r="AC185" s="363">
        <v>14573.083333333334</v>
      </c>
      <c r="AD185" s="363">
        <v>14573.083333333334</v>
      </c>
      <c r="AE185" s="363">
        <v>23051.972222222223</v>
      </c>
      <c r="AF185" s="363">
        <v>23190.861111111109</v>
      </c>
      <c r="AG185" s="363">
        <v>28256.527777777777</v>
      </c>
      <c r="AH185" s="360" t="e">
        <f t="shared" si="11"/>
        <v>#N/A</v>
      </c>
      <c r="AI185" s="362" t="e">
        <f>ERP[[#This Row],[2026 Working Total]]-ERP[[#This Row],[LE2 Final Submission]]</f>
        <v>#N/A</v>
      </c>
      <c r="AJ185" s="79" t="e">
        <v>#N/A</v>
      </c>
      <c r="AK185" s="79" t="e">
        <f t="shared" si="10"/>
        <v>#N/A</v>
      </c>
      <c r="AL185" s="374">
        <f>SUM(ERP[[#This Row],[AP01]:[AP06]])-SUM(ERP[[#This Row],[AP01 LE2]:[AP06 LE2]])</f>
        <v>-27765.742444444448</v>
      </c>
      <c r="AM185" s="80"/>
      <c r="AN185" s="79" t="e">
        <f>ERP[[#This Row],[2026 Working Total to Budget/LE]]-ERP[[#This Row],[Giveback]]</f>
        <v>#N/A</v>
      </c>
      <c r="AO185" s="81"/>
      <c r="AP185" s="375"/>
      <c r="AQ185" s="375"/>
      <c r="AR185" s="375"/>
      <c r="AS185" s="375">
        <v>0</v>
      </c>
      <c r="AT185" s="375">
        <v>12850.03788888889</v>
      </c>
      <c r="AU185" s="375">
        <v>14915.704555555556</v>
      </c>
      <c r="AV185" s="375">
        <v>14915.704555555556</v>
      </c>
      <c r="AW185" s="375">
        <v>14915.704555555556</v>
      </c>
      <c r="AX185" s="375">
        <v>14915.704555555556</v>
      </c>
      <c r="AY185" s="375">
        <v>23394.593444444443</v>
      </c>
      <c r="AZ185" s="375">
        <v>23394.593444444443</v>
      </c>
      <c r="BA185" s="375">
        <v>28460.260111111111</v>
      </c>
      <c r="BB185" s="375">
        <v>147762.3031111111</v>
      </c>
      <c r="BC185" s="79"/>
      <c r="BD185" s="79"/>
      <c r="BE185" s="79"/>
      <c r="BF185" s="79">
        <v>12436.91</v>
      </c>
      <c r="BG185" s="79">
        <v>17183.39</v>
      </c>
      <c r="BH185" s="79">
        <v>19249.060000000001</v>
      </c>
      <c r="BI185" s="79">
        <v>19249.060000000001</v>
      </c>
      <c r="BJ185" s="79">
        <v>20917.810000000001</v>
      </c>
      <c r="BK185" s="79">
        <v>38739.129999999997</v>
      </c>
      <c r="BL185" s="79">
        <v>52766.07</v>
      </c>
      <c r="BM185" s="79">
        <v>52766.07</v>
      </c>
      <c r="BN185" s="79">
        <v>65150.49</v>
      </c>
      <c r="BO185" s="79">
        <v>298457.99</v>
      </c>
    </row>
    <row r="186" spans="1:67" ht="15" customHeight="1">
      <c r="A186" s="66" t="s">
        <v>1594</v>
      </c>
      <c r="B186" s="66" t="s">
        <v>1595</v>
      </c>
      <c r="C186" s="150" t="s">
        <v>1136</v>
      </c>
      <c r="D186" s="150" t="s">
        <v>1567</v>
      </c>
      <c r="E186" s="150" t="s">
        <v>1567</v>
      </c>
      <c r="F186" s="150" t="s">
        <v>1567</v>
      </c>
      <c r="G186" s="511" t="s">
        <v>49</v>
      </c>
      <c r="H186" s="392" t="s">
        <v>1596</v>
      </c>
      <c r="I186" s="343"/>
      <c r="J186" s="343"/>
      <c r="K186" s="70" t="s">
        <v>286</v>
      </c>
      <c r="L186" s="346"/>
      <c r="M186" s="346" t="s">
        <v>1140</v>
      </c>
      <c r="N186" s="346"/>
      <c r="O186" s="505" t="s">
        <v>272</v>
      </c>
      <c r="P186" s="150"/>
      <c r="Q186" s="403"/>
      <c r="R186" s="406">
        <v>100000</v>
      </c>
      <c r="S186" s="406">
        <v>100000</v>
      </c>
      <c r="T186" s="425"/>
      <c r="U186" s="71"/>
      <c r="V186" s="426"/>
      <c r="W186" s="427"/>
      <c r="X186" s="427"/>
      <c r="Y186" s="428" t="s">
        <v>1142</v>
      </c>
      <c r="Z186" s="429">
        <v>0</v>
      </c>
      <c r="AA186" s="429">
        <v>0</v>
      </c>
      <c r="AB186" s="363" t="e">
        <v>#N/A</v>
      </c>
      <c r="AC186" s="360">
        <v>25000</v>
      </c>
      <c r="AD186" s="360">
        <v>25000</v>
      </c>
      <c r="AE186" s="360">
        <v>0</v>
      </c>
      <c r="AF186" s="360">
        <v>0</v>
      </c>
      <c r="AG186" s="360">
        <v>0</v>
      </c>
      <c r="AH186" s="360" t="e">
        <f t="shared" si="11"/>
        <v>#N/A</v>
      </c>
      <c r="AI186" s="362" t="e">
        <f>ERP[[#This Row],[2026 Working Total]]-ERP[[#This Row],[LE2 Final Submission]]</f>
        <v>#N/A</v>
      </c>
      <c r="AJ186" s="79" t="e">
        <v>#N/A</v>
      </c>
      <c r="AK186" s="79" t="e">
        <f t="shared" si="10"/>
        <v>#N/A</v>
      </c>
      <c r="AL186" s="374">
        <f>SUM(ERP[[#This Row],[AP01]:[AP06]])-SUM(ERP[[#This Row],[AP01 LE2]:[AP06 LE2]])</f>
        <v>-75000</v>
      </c>
      <c r="AM186" s="80"/>
      <c r="AN186" s="79" t="e">
        <f>ERP[[#This Row],[2026 Working Total to Budget/LE]]-ERP[[#This Row],[Giveback]]</f>
        <v>#N/A</v>
      </c>
      <c r="AO186" s="81"/>
      <c r="AP186" s="375"/>
      <c r="AQ186" s="375"/>
      <c r="AR186" s="375"/>
      <c r="AS186" s="375">
        <v>25000</v>
      </c>
      <c r="AT186" s="375">
        <v>25000</v>
      </c>
      <c r="AU186" s="375">
        <v>25000</v>
      </c>
      <c r="AV186" s="375">
        <v>25000</v>
      </c>
      <c r="AW186" s="375">
        <v>0</v>
      </c>
      <c r="AX186" s="375">
        <v>0</v>
      </c>
      <c r="AY186" s="375">
        <v>0</v>
      </c>
      <c r="AZ186" s="375">
        <v>0</v>
      </c>
      <c r="BA186" s="375">
        <v>0</v>
      </c>
      <c r="BB186" s="375">
        <v>100000</v>
      </c>
      <c r="BC186" s="79"/>
      <c r="BD186" s="79"/>
      <c r="BE186" s="79"/>
      <c r="BF186" s="79">
        <v>25000</v>
      </c>
      <c r="BG186" s="79">
        <v>25000</v>
      </c>
      <c r="BH186" s="79">
        <v>25000</v>
      </c>
      <c r="BI186" s="79">
        <v>25000</v>
      </c>
      <c r="BJ186" s="79">
        <v>0</v>
      </c>
      <c r="BK186" s="79">
        <v>0</v>
      </c>
      <c r="BL186" s="79">
        <v>0</v>
      </c>
      <c r="BM186" s="79">
        <v>0</v>
      </c>
      <c r="BN186" s="79">
        <v>0</v>
      </c>
      <c r="BO186" s="79">
        <v>100000</v>
      </c>
    </row>
    <row r="187" spans="1:67" ht="15" customHeight="1">
      <c r="A187" s="66" t="s">
        <v>1598</v>
      </c>
      <c r="B187" s="66" t="s">
        <v>1599</v>
      </c>
      <c r="C187" s="150" t="s">
        <v>1136</v>
      </c>
      <c r="D187" s="150" t="s">
        <v>1567</v>
      </c>
      <c r="E187" s="150" t="s">
        <v>1567</v>
      </c>
      <c r="F187" s="150" t="s">
        <v>1567</v>
      </c>
      <c r="G187" s="511" t="s">
        <v>49</v>
      </c>
      <c r="H187" s="392" t="s">
        <v>1600</v>
      </c>
      <c r="I187" s="343"/>
      <c r="J187" s="343"/>
      <c r="K187" s="70" t="s">
        <v>288</v>
      </c>
      <c r="L187" s="346"/>
      <c r="M187" s="346" t="s">
        <v>1140</v>
      </c>
      <c r="N187" s="346"/>
      <c r="O187" s="505" t="s">
        <v>272</v>
      </c>
      <c r="P187" s="150"/>
      <c r="Q187" s="403"/>
      <c r="R187" s="406">
        <v>45000</v>
      </c>
      <c r="S187" s="406">
        <v>30000</v>
      </c>
      <c r="T187" s="425"/>
      <c r="U187" s="71"/>
      <c r="V187" s="426"/>
      <c r="W187" s="427"/>
      <c r="X187" s="427"/>
      <c r="Y187" s="428" t="s">
        <v>1142</v>
      </c>
      <c r="Z187" s="429">
        <v>0</v>
      </c>
      <c r="AA187" s="429">
        <v>0</v>
      </c>
      <c r="AB187" s="363" t="e">
        <v>#N/A</v>
      </c>
      <c r="AC187" s="360">
        <v>5000</v>
      </c>
      <c r="AD187" s="360">
        <v>5000</v>
      </c>
      <c r="AE187" s="360">
        <v>5000</v>
      </c>
      <c r="AF187" s="360">
        <v>5000</v>
      </c>
      <c r="AG187" s="360">
        <v>5000</v>
      </c>
      <c r="AH187" s="360" t="e">
        <f t="shared" si="11"/>
        <v>#N/A</v>
      </c>
      <c r="AI187" s="362" t="e">
        <f>ERP[[#This Row],[2026 Working Total]]-ERP[[#This Row],[LE2 Final Submission]]</f>
        <v>#N/A</v>
      </c>
      <c r="AJ187" s="79" t="e">
        <v>#N/A</v>
      </c>
      <c r="AK187" s="79" t="e">
        <f t="shared" si="10"/>
        <v>#N/A</v>
      </c>
      <c r="AL187" s="374">
        <f>SUM(ERP[[#This Row],[AP01]:[AP06]])-SUM(ERP[[#This Row],[AP01 LE2]:[AP06 LE2]])</f>
        <v>-30000</v>
      </c>
      <c r="AM187" s="80"/>
      <c r="AN187" s="79" t="e">
        <f>ERP[[#This Row],[2026 Working Total to Budget/LE]]-ERP[[#This Row],[Giveback]]</f>
        <v>#N/A</v>
      </c>
      <c r="AO187" s="81"/>
      <c r="AP187" s="375"/>
      <c r="AQ187" s="375"/>
      <c r="AR187" s="375"/>
      <c r="AS187" s="375">
        <v>15000</v>
      </c>
      <c r="AT187" s="375">
        <v>15000</v>
      </c>
      <c r="AU187" s="375">
        <v>0</v>
      </c>
      <c r="AV187" s="375">
        <v>0</v>
      </c>
      <c r="AW187" s="375">
        <v>0</v>
      </c>
      <c r="AX187" s="375">
        <v>0</v>
      </c>
      <c r="AY187" s="375">
        <v>0</v>
      </c>
      <c r="AZ187" s="375">
        <v>0</v>
      </c>
      <c r="BA187" s="375">
        <v>0</v>
      </c>
      <c r="BB187" s="375">
        <v>30000</v>
      </c>
      <c r="BC187" s="79"/>
      <c r="BD187" s="79"/>
      <c r="BE187" s="79"/>
      <c r="BF187" s="79">
        <v>15000</v>
      </c>
      <c r="BG187" s="79">
        <v>15000</v>
      </c>
      <c r="BH187" s="79">
        <v>0</v>
      </c>
      <c r="BI187" s="79">
        <v>0</v>
      </c>
      <c r="BJ187" s="79">
        <v>0</v>
      </c>
      <c r="BK187" s="79">
        <v>0</v>
      </c>
      <c r="BL187" s="79">
        <v>0</v>
      </c>
      <c r="BM187" s="79">
        <v>0</v>
      </c>
      <c r="BN187" s="79">
        <v>0</v>
      </c>
      <c r="BO187" s="79">
        <v>30000</v>
      </c>
    </row>
    <row r="188" spans="1:67" ht="15" customHeight="1">
      <c r="A188" s="66" t="s">
        <v>1602</v>
      </c>
      <c r="B188" s="66" t="s">
        <v>1603</v>
      </c>
      <c r="C188" s="150" t="s">
        <v>1136</v>
      </c>
      <c r="D188" s="150" t="s">
        <v>1567</v>
      </c>
      <c r="E188" s="150" t="s">
        <v>1567</v>
      </c>
      <c r="F188" s="150" t="s">
        <v>1567</v>
      </c>
      <c r="G188" s="511" t="s">
        <v>49</v>
      </c>
      <c r="H188" s="392" t="s">
        <v>1604</v>
      </c>
      <c r="I188" s="343"/>
      <c r="J188" s="343"/>
      <c r="K188" s="70" t="s">
        <v>290</v>
      </c>
      <c r="L188" s="346"/>
      <c r="M188" s="346" t="s">
        <v>1140</v>
      </c>
      <c r="N188" s="346"/>
      <c r="O188" s="150" t="s">
        <v>291</v>
      </c>
      <c r="P188" s="150" t="s">
        <v>1605</v>
      </c>
      <c r="Q188" s="403"/>
      <c r="R188" s="406">
        <v>-351124.00000199996</v>
      </c>
      <c r="S188" s="406">
        <v>0</v>
      </c>
      <c r="T188" s="425"/>
      <c r="U188" s="71"/>
      <c r="V188" s="426"/>
      <c r="W188" s="427"/>
      <c r="X188" s="427"/>
      <c r="Y188" s="428" t="s">
        <v>1142</v>
      </c>
      <c r="Z188" s="429">
        <v>0</v>
      </c>
      <c r="AA188" s="429">
        <v>0</v>
      </c>
      <c r="AB188" s="363" t="e">
        <v>#N/A</v>
      </c>
      <c r="AC188" s="363">
        <f t="shared" ref="AC188:AG188" si="12">-58520.666667+58520.666667</f>
        <v>0</v>
      </c>
      <c r="AD188" s="363">
        <f t="shared" si="12"/>
        <v>0</v>
      </c>
      <c r="AE188" s="363">
        <f t="shared" si="12"/>
        <v>0</v>
      </c>
      <c r="AF188" s="363">
        <f t="shared" si="12"/>
        <v>0</v>
      </c>
      <c r="AG188" s="363">
        <f t="shared" si="12"/>
        <v>0</v>
      </c>
      <c r="AH188" s="360" t="e">
        <f t="shared" si="11"/>
        <v>#N/A</v>
      </c>
      <c r="AI188" s="362" t="e">
        <f>ERP[[#This Row],[2026 Working Total]]-ERP[[#This Row],[LE2 Final Submission]]</f>
        <v>#N/A</v>
      </c>
      <c r="AJ188" s="79" t="e">
        <v>#N/A</v>
      </c>
      <c r="AK188" s="79" t="e">
        <f t="shared" si="10"/>
        <v>#N/A</v>
      </c>
      <c r="AL188" s="374">
        <f>SUM(ERP[[#This Row],[AP01]:[AP06]])-SUM(ERP[[#This Row],[AP01 LE2]:[AP06 LE2]])</f>
        <v>0</v>
      </c>
      <c r="AM188" s="80"/>
      <c r="AN188" s="79" t="e">
        <f>ERP[[#This Row],[2026 Working Total to Budget/LE]]-ERP[[#This Row],[Giveback]]</f>
        <v>#N/A</v>
      </c>
      <c r="AO188" s="81"/>
      <c r="AP188" s="375"/>
      <c r="AQ188" s="375"/>
      <c r="AR188" s="375"/>
      <c r="AS188" s="375"/>
      <c r="AT188" s="375"/>
      <c r="AU188" s="375"/>
      <c r="AV188" s="375">
        <v>0</v>
      </c>
      <c r="AW188" s="375">
        <v>0</v>
      </c>
      <c r="AX188" s="375">
        <v>0</v>
      </c>
      <c r="AY188" s="375">
        <v>0</v>
      </c>
      <c r="AZ188" s="375">
        <v>0</v>
      </c>
      <c r="BA188" s="375">
        <v>0</v>
      </c>
      <c r="BB188" s="375">
        <v>0</v>
      </c>
      <c r="BC188" s="79"/>
      <c r="BD188" s="79"/>
      <c r="BE188" s="79"/>
      <c r="BF188" s="79"/>
      <c r="BG188" s="79"/>
      <c r="BH188" s="79"/>
      <c r="BI188" s="79">
        <v>-58520.666666999998</v>
      </c>
      <c r="BJ188" s="79">
        <v>-58520.666666999998</v>
      </c>
      <c r="BK188" s="79">
        <v>-58520.666666999998</v>
      </c>
      <c r="BL188" s="79">
        <v>-58520.666666999998</v>
      </c>
      <c r="BM188" s="79">
        <v>-58520.666666999998</v>
      </c>
      <c r="BN188" s="79">
        <v>-58520.666666999998</v>
      </c>
      <c r="BO188" s="79">
        <v>-351124.00000199996</v>
      </c>
    </row>
    <row r="189" spans="1:67" ht="15" customHeight="1">
      <c r="A189" s="66" t="s">
        <v>1661</v>
      </c>
      <c r="B189" s="66" t="s">
        <v>1662</v>
      </c>
      <c r="C189" s="150" t="s">
        <v>1136</v>
      </c>
      <c r="D189" s="150" t="s">
        <v>1135</v>
      </c>
      <c r="E189" s="150" t="s">
        <v>1137</v>
      </c>
      <c r="F189" s="150" t="s">
        <v>1137</v>
      </c>
      <c r="G189" s="511" t="s">
        <v>333</v>
      </c>
      <c r="H189" s="392" t="s">
        <v>1663</v>
      </c>
      <c r="I189" s="343"/>
      <c r="J189" s="343"/>
      <c r="K189" s="70" t="s">
        <v>336</v>
      </c>
      <c r="L189" s="346"/>
      <c r="M189" s="346" t="s">
        <v>1140</v>
      </c>
      <c r="N189" s="346"/>
      <c r="O189" s="150" t="s">
        <v>25</v>
      </c>
      <c r="P189" s="150" t="s">
        <v>1664</v>
      </c>
      <c r="Q189" s="403"/>
      <c r="R189" s="406">
        <v>0</v>
      </c>
      <c r="S189" s="406">
        <v>22573.91</v>
      </c>
      <c r="T189" s="425"/>
      <c r="U189" s="71"/>
      <c r="V189" s="426">
        <v>656</v>
      </c>
      <c r="W189" s="427">
        <v>1537.91</v>
      </c>
      <c r="X189" s="427">
        <v>2038</v>
      </c>
      <c r="Y189" s="428">
        <v>1762</v>
      </c>
      <c r="Z189" s="429">
        <v>2888.0000000000005</v>
      </c>
      <c r="AA189" s="429">
        <v>1761.9999999999998</v>
      </c>
      <c r="AB189" s="363" t="e">
        <v>#N/A</v>
      </c>
      <c r="AC189" s="363">
        <v>2038</v>
      </c>
      <c r="AD189" s="363">
        <v>2038</v>
      </c>
      <c r="AE189" s="363">
        <v>2038</v>
      </c>
      <c r="AF189" s="363">
        <v>2038</v>
      </c>
      <c r="AG189" s="363">
        <v>2038</v>
      </c>
      <c r="AH189" s="360" t="e">
        <f t="shared" si="11"/>
        <v>#N/A</v>
      </c>
      <c r="AI189" s="362" t="e">
        <f>ERP[[#This Row],[2026 Working Total]]-ERP[[#This Row],[LE2 Final Submission]]</f>
        <v>#N/A</v>
      </c>
      <c r="AJ189" s="79" t="e">
        <v>#N/A</v>
      </c>
      <c r="AK189" s="79" t="e">
        <f t="shared" si="10"/>
        <v>#N/A</v>
      </c>
      <c r="AL189" s="374">
        <f>SUM(ERP[[#This Row],[AP01]:[AP06]])-SUM(ERP[[#This Row],[AP01 LE2]:[AP06 LE2]])</f>
        <v>298</v>
      </c>
      <c r="AM189" s="80"/>
      <c r="AN189" s="79" t="e">
        <f>ERP[[#This Row],[2026 Working Total to Budget/LE]]-ERP[[#This Row],[Giveback]]</f>
        <v>#N/A</v>
      </c>
      <c r="AO189" s="81"/>
      <c r="AP189" s="375">
        <v>656</v>
      </c>
      <c r="AQ189" s="375">
        <v>1537.91</v>
      </c>
      <c r="AR189" s="375">
        <v>2038</v>
      </c>
      <c r="AS189" s="375">
        <v>2038</v>
      </c>
      <c r="AT189" s="375">
        <v>2038</v>
      </c>
      <c r="AU189" s="375">
        <v>2038</v>
      </c>
      <c r="AV189" s="375">
        <v>2038</v>
      </c>
      <c r="AW189" s="375">
        <v>2038</v>
      </c>
      <c r="AX189" s="375">
        <v>2038</v>
      </c>
      <c r="AY189" s="375">
        <v>2038</v>
      </c>
      <c r="AZ189" s="375">
        <v>2038</v>
      </c>
      <c r="BA189" s="375">
        <v>2038</v>
      </c>
      <c r="BB189" s="375">
        <v>22573.91</v>
      </c>
      <c r="BC189" s="79">
        <v>656</v>
      </c>
      <c r="BD189" s="79">
        <v>1537.91</v>
      </c>
      <c r="BE189" s="79">
        <v>2038</v>
      </c>
      <c r="BF189" s="79">
        <v>0</v>
      </c>
      <c r="BG189" s="79">
        <v>0</v>
      </c>
      <c r="BH189" s="79">
        <v>0</v>
      </c>
      <c r="BI189" s="79">
        <v>0</v>
      </c>
      <c r="BJ189" s="79">
        <v>0</v>
      </c>
      <c r="BK189" s="79">
        <v>0</v>
      </c>
      <c r="BL189" s="79">
        <v>0</v>
      </c>
      <c r="BM189" s="79">
        <v>0</v>
      </c>
      <c r="BN189" s="79">
        <v>0</v>
      </c>
      <c r="BO189" s="79">
        <v>4231.91</v>
      </c>
    </row>
    <row r="190" spans="1:67" ht="15" customHeight="1">
      <c r="A190" s="66" t="s">
        <v>1529</v>
      </c>
      <c r="B190" s="66" t="s">
        <v>247</v>
      </c>
      <c r="C190" s="150" t="s">
        <v>1136</v>
      </c>
      <c r="D190" s="150" t="s">
        <v>1345</v>
      </c>
      <c r="E190" s="150" t="s">
        <v>1515</v>
      </c>
      <c r="F190" s="150" t="s">
        <v>1346</v>
      </c>
      <c r="G190" s="511" t="s">
        <v>49</v>
      </c>
      <c r="H190" s="392" t="s">
        <v>1530</v>
      </c>
      <c r="I190" s="343"/>
      <c r="J190" s="343"/>
      <c r="K190" s="70" t="s">
        <v>248</v>
      </c>
      <c r="L190" s="346"/>
      <c r="M190" s="346" t="s">
        <v>1221</v>
      </c>
      <c r="N190" s="346"/>
      <c r="O190" s="150" t="s">
        <v>25</v>
      </c>
      <c r="P190" s="150"/>
      <c r="Q190" s="404"/>
      <c r="R190" s="407">
        <v>0</v>
      </c>
      <c r="S190" s="407">
        <v>0</v>
      </c>
      <c r="T190" s="430"/>
      <c r="U190" s="137"/>
      <c r="V190" s="426">
        <v>0.36</v>
      </c>
      <c r="W190" s="427">
        <v>-0.36</v>
      </c>
      <c r="X190" s="427"/>
      <c r="Y190" s="428">
        <v>-5357.64</v>
      </c>
      <c r="Z190" s="429">
        <v>0</v>
      </c>
      <c r="AA190" s="429">
        <v>0</v>
      </c>
      <c r="AB190" s="363" t="e">
        <v>#N/A</v>
      </c>
      <c r="AC190" s="363"/>
      <c r="AD190" s="363"/>
      <c r="AE190" s="363"/>
      <c r="AF190" s="363"/>
      <c r="AG190" s="363"/>
      <c r="AH190" s="360" t="e">
        <f t="shared" si="11"/>
        <v>#N/A</v>
      </c>
      <c r="AI190" s="362" t="e">
        <f>ERP[[#This Row],[2026 Working Total]]-ERP[[#This Row],[LE2 Final Submission]]</f>
        <v>#N/A</v>
      </c>
      <c r="AJ190" s="79" t="e">
        <v>#N/A</v>
      </c>
      <c r="AK190" s="79" t="e">
        <f t="shared" si="10"/>
        <v>#N/A</v>
      </c>
      <c r="AL190" s="374">
        <f>SUM(ERP[[#This Row],[AP01]:[AP06]])-SUM(ERP[[#This Row],[AP01 LE2]:[AP06 LE2]])</f>
        <v>-5357.64</v>
      </c>
      <c r="AM190" s="80"/>
      <c r="AN190" s="79" t="e">
        <f>ERP[[#This Row],[2026 Working Total to Budget/LE]]-ERP[[#This Row],[Giveback]]</f>
        <v>#N/A</v>
      </c>
      <c r="AO190" s="81"/>
      <c r="AP190" s="375">
        <v>0.36</v>
      </c>
      <c r="AQ190" s="375">
        <v>-0.36</v>
      </c>
      <c r="AR190" s="375"/>
      <c r="AS190" s="375"/>
      <c r="AT190" s="375"/>
      <c r="AU190" s="375"/>
      <c r="AV190" s="375"/>
      <c r="AW190" s="375"/>
      <c r="AX190" s="375"/>
      <c r="AY190" s="375"/>
      <c r="AZ190" s="375"/>
      <c r="BA190" s="375"/>
      <c r="BB190" s="375">
        <v>0</v>
      </c>
      <c r="BC190" s="79">
        <v>0.36</v>
      </c>
      <c r="BD190" s="79">
        <v>-0.36</v>
      </c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>
        <v>0</v>
      </c>
    </row>
    <row r="191" spans="1:67" ht="15" customHeight="1">
      <c r="A191" s="66" t="s">
        <v>1452</v>
      </c>
      <c r="B191" s="66" t="s">
        <v>205</v>
      </c>
      <c r="C191" s="150" t="s">
        <v>1136</v>
      </c>
      <c r="D191" s="150" t="s">
        <v>1345</v>
      </c>
      <c r="E191" s="150" t="s">
        <v>1450</v>
      </c>
      <c r="F191" s="150" t="s">
        <v>1346</v>
      </c>
      <c r="G191" s="511" t="s">
        <v>49</v>
      </c>
      <c r="H191" s="392" t="s">
        <v>1453</v>
      </c>
      <c r="I191" s="343" t="s">
        <v>1206</v>
      </c>
      <c r="J191" s="346" t="s">
        <v>1451</v>
      </c>
      <c r="K191" s="70" t="s">
        <v>206</v>
      </c>
      <c r="L191" s="346"/>
      <c r="M191" s="346" t="s">
        <v>1454</v>
      </c>
      <c r="N191" s="346"/>
      <c r="O191" s="150" t="s">
        <v>25</v>
      </c>
      <c r="P191" s="150"/>
      <c r="Q191" s="403"/>
      <c r="R191" s="406">
        <v>400000</v>
      </c>
      <c r="S191" s="406">
        <v>300897.52</v>
      </c>
      <c r="T191" s="430"/>
      <c r="U191" s="137"/>
      <c r="V191" s="426">
        <v>123337.5</v>
      </c>
      <c r="W191" s="427">
        <v>19442.91</v>
      </c>
      <c r="X191" s="427">
        <v>113117.11</v>
      </c>
      <c r="Y191" s="428">
        <v>5172.1500000000306</v>
      </c>
      <c r="Z191" s="429">
        <v>-24184.46000000001</v>
      </c>
      <c r="AA191" s="429">
        <v>-229891</v>
      </c>
      <c r="AB191" s="363" t="e">
        <v>#N/A</v>
      </c>
      <c r="AC191" s="363">
        <v>61248</v>
      </c>
      <c r="AD191" s="363">
        <v>61248</v>
      </c>
      <c r="AE191" s="363">
        <v>61248</v>
      </c>
      <c r="AF191" s="363">
        <v>61248</v>
      </c>
      <c r="AG191" s="363">
        <v>61248</v>
      </c>
      <c r="AH191" s="360" t="e">
        <f t="shared" si="11"/>
        <v>#N/A</v>
      </c>
      <c r="AI191" s="362" t="e">
        <f>ERP[[#This Row],[2026 Working Total]]-ERP[[#This Row],[LE2 Final Submission]]</f>
        <v>#N/A</v>
      </c>
      <c r="AJ191" s="79" t="e">
        <v>#N/A</v>
      </c>
      <c r="AK191" s="79" t="e">
        <f t="shared" si="10"/>
        <v>#N/A</v>
      </c>
      <c r="AL191" s="374">
        <f>SUM(ERP[[#This Row],[AP01]:[AP06]])-SUM(ERP[[#This Row],[AP01 LE2]:[AP06 LE2]])</f>
        <v>-83903.31</v>
      </c>
      <c r="AM191" s="80"/>
      <c r="AN191" s="79" t="e">
        <f>ERP[[#This Row],[2026 Working Total to Budget/LE]]-ERP[[#This Row],[Giveback]]</f>
        <v>#N/A</v>
      </c>
      <c r="AO191" s="81" t="s">
        <v>1455</v>
      </c>
      <c r="AP191" s="375">
        <v>123337.5</v>
      </c>
      <c r="AQ191" s="375">
        <v>19442.91</v>
      </c>
      <c r="AR191" s="375">
        <v>113117.11</v>
      </c>
      <c r="AS191" s="375">
        <v>5000</v>
      </c>
      <c r="AT191" s="375">
        <v>-200000</v>
      </c>
      <c r="AU191" s="375">
        <v>30000</v>
      </c>
      <c r="AV191" s="375">
        <v>30000</v>
      </c>
      <c r="AW191" s="375">
        <v>30000</v>
      </c>
      <c r="AX191" s="375">
        <v>30000</v>
      </c>
      <c r="AY191" s="375">
        <v>40000</v>
      </c>
      <c r="AZ191" s="375">
        <v>40000</v>
      </c>
      <c r="BA191" s="375">
        <v>40000</v>
      </c>
      <c r="BB191" s="375">
        <v>300897.52</v>
      </c>
      <c r="BC191" s="79">
        <v>123337.5</v>
      </c>
      <c r="BD191" s="79">
        <v>19442.91</v>
      </c>
      <c r="BE191" s="79">
        <v>113117.11</v>
      </c>
      <c r="BF191" s="79">
        <v>30000</v>
      </c>
      <c r="BG191" s="79">
        <v>30000</v>
      </c>
      <c r="BH191" s="79">
        <v>30000</v>
      </c>
      <c r="BI191" s="79">
        <v>30000</v>
      </c>
      <c r="BJ191" s="79">
        <v>30000</v>
      </c>
      <c r="BK191" s="79">
        <v>20000</v>
      </c>
      <c r="BL191" s="79">
        <v>20000</v>
      </c>
      <c r="BM191" s="79">
        <v>20000</v>
      </c>
      <c r="BN191" s="79">
        <v>20000</v>
      </c>
      <c r="BO191" s="79">
        <v>485897.52</v>
      </c>
    </row>
    <row r="192" spans="1:67" ht="15" customHeight="1">
      <c r="A192" s="66" t="s">
        <v>1532</v>
      </c>
      <c r="B192" s="66" t="s">
        <v>249</v>
      </c>
      <c r="C192" s="150" t="s">
        <v>1136</v>
      </c>
      <c r="D192" s="150" t="s">
        <v>1345</v>
      </c>
      <c r="E192" s="150" t="s">
        <v>1515</v>
      </c>
      <c r="F192" s="150" t="s">
        <v>1346</v>
      </c>
      <c r="G192" s="511" t="s">
        <v>49</v>
      </c>
      <c r="H192" s="392" t="s">
        <v>1533</v>
      </c>
      <c r="I192" s="343" t="s">
        <v>1387</v>
      </c>
      <c r="J192" s="346" t="s">
        <v>1531</v>
      </c>
      <c r="K192" s="70" t="s">
        <v>250</v>
      </c>
      <c r="L192" s="346"/>
      <c r="M192" s="346" t="s">
        <v>1534</v>
      </c>
      <c r="N192" s="346"/>
      <c r="O192" s="150" t="s">
        <v>25</v>
      </c>
      <c r="P192" s="150"/>
      <c r="Q192" s="403"/>
      <c r="R192" s="406">
        <v>553800</v>
      </c>
      <c r="S192" s="406">
        <v>496255</v>
      </c>
      <c r="T192" s="425"/>
      <c r="U192" s="71"/>
      <c r="V192" s="426">
        <v>-0.24</v>
      </c>
      <c r="W192" s="427">
        <v>98366.34</v>
      </c>
      <c r="X192" s="427">
        <v>-98366.1</v>
      </c>
      <c r="Y192" s="428">
        <v>27396.55</v>
      </c>
      <c r="Z192" s="429">
        <v>29503.98</v>
      </c>
      <c r="AA192" s="429">
        <v>36879.97</v>
      </c>
      <c r="AB192" s="363" t="e">
        <v>#N/A</v>
      </c>
      <c r="AC192" s="363">
        <v>48381.166666666672</v>
      </c>
      <c r="AD192" s="363">
        <v>48381.166666666672</v>
      </c>
      <c r="AE192" s="363">
        <v>85490.5</v>
      </c>
      <c r="AF192" s="363">
        <v>85490.5</v>
      </c>
      <c r="AG192" s="363">
        <v>85490.5</v>
      </c>
      <c r="AH192" s="360" t="e">
        <f t="shared" si="11"/>
        <v>#N/A</v>
      </c>
      <c r="AI192" s="362" t="e">
        <f>ERP[[#This Row],[2026 Working Total]]-ERP[[#This Row],[LE2 Final Submission]]</f>
        <v>#N/A</v>
      </c>
      <c r="AJ192" s="79" t="e">
        <v>#N/A</v>
      </c>
      <c r="AK192" s="79" t="e">
        <f t="shared" si="10"/>
        <v>#N/A</v>
      </c>
      <c r="AL192" s="374">
        <f>SUM(ERP[[#This Row],[AP01]:[AP06]])-SUM(ERP[[#This Row],[AP01 LE2]:[AP06 LE2]])</f>
        <v>-859.5</v>
      </c>
      <c r="AM192" s="80"/>
      <c r="AN192" s="79" t="e">
        <f>ERP[[#This Row],[2026 Working Total to Budget/LE]]-ERP[[#This Row],[Giveback]]</f>
        <v>#N/A</v>
      </c>
      <c r="AO192" s="81"/>
      <c r="AP192" s="375">
        <v>-0.24</v>
      </c>
      <c r="AQ192" s="375">
        <v>98366.34</v>
      </c>
      <c r="AR192" s="375">
        <v>-98366.1</v>
      </c>
      <c r="AS192" s="375">
        <v>31546.666666666668</v>
      </c>
      <c r="AT192" s="375">
        <v>31546.666666666668</v>
      </c>
      <c r="AU192" s="375">
        <v>31546.666666666668</v>
      </c>
      <c r="AV192" s="375">
        <v>48381.166666666672</v>
      </c>
      <c r="AW192" s="375">
        <v>48381.166666666672</v>
      </c>
      <c r="AX192" s="375">
        <v>48381.166666666672</v>
      </c>
      <c r="AY192" s="375">
        <v>85490.5</v>
      </c>
      <c r="AZ192" s="375">
        <v>85490.5</v>
      </c>
      <c r="BA192" s="375">
        <v>85490.5</v>
      </c>
      <c r="BB192" s="375">
        <v>496255</v>
      </c>
      <c r="BC192" s="79">
        <v>-0.24</v>
      </c>
      <c r="BD192" s="79">
        <v>98366.34</v>
      </c>
      <c r="BE192" s="79">
        <v>-98366.1</v>
      </c>
      <c r="BF192" s="79">
        <v>57403.99</v>
      </c>
      <c r="BG192" s="79">
        <v>57403.99</v>
      </c>
      <c r="BH192" s="79">
        <v>57403.99</v>
      </c>
      <c r="BI192" s="79">
        <v>57403.99</v>
      </c>
      <c r="BJ192" s="79">
        <v>57403.99</v>
      </c>
      <c r="BK192" s="79">
        <v>57403.99</v>
      </c>
      <c r="BL192" s="79">
        <v>57403.99</v>
      </c>
      <c r="BM192" s="79">
        <v>57403.99</v>
      </c>
      <c r="BN192" s="79">
        <v>57403.99</v>
      </c>
      <c r="BO192" s="79">
        <v>516635.90999999992</v>
      </c>
    </row>
    <row r="193" spans="1:67" ht="15" customHeight="1">
      <c r="A193" s="66" t="s">
        <v>1535</v>
      </c>
      <c r="B193" s="66" t="s">
        <v>251</v>
      </c>
      <c r="C193" s="150" t="s">
        <v>1136</v>
      </c>
      <c r="D193" s="150" t="s">
        <v>1345</v>
      </c>
      <c r="E193" s="150" t="s">
        <v>1515</v>
      </c>
      <c r="F193" s="150" t="s">
        <v>1346</v>
      </c>
      <c r="G193" s="511" t="s">
        <v>49</v>
      </c>
      <c r="H193" s="392" t="s">
        <v>1536</v>
      </c>
      <c r="I193" s="343" t="s">
        <v>1387</v>
      </c>
      <c r="J193" s="346" t="s">
        <v>1531</v>
      </c>
      <c r="K193" s="70" t="s">
        <v>252</v>
      </c>
      <c r="L193" s="346"/>
      <c r="M193" s="346" t="s">
        <v>1537</v>
      </c>
      <c r="N193" s="346"/>
      <c r="O193" s="150" t="s">
        <v>25</v>
      </c>
      <c r="P193" s="150"/>
      <c r="Q193" s="403"/>
      <c r="R193" s="406">
        <v>269997.96000000008</v>
      </c>
      <c r="S193" s="406">
        <v>268017.38</v>
      </c>
      <c r="T193" s="425"/>
      <c r="U193" s="71"/>
      <c r="V193" s="426">
        <v>19158.79</v>
      </c>
      <c r="W193" s="427">
        <v>20603.919999999998</v>
      </c>
      <c r="X193" s="427">
        <v>25754.67</v>
      </c>
      <c r="Y193" s="428">
        <v>20603.73</v>
      </c>
      <c r="Z193" s="429">
        <v>33243.729999999996</v>
      </c>
      <c r="AA193" s="429">
        <v>25754.660000000003</v>
      </c>
      <c r="AB193" s="363" t="e">
        <v>#N/A</v>
      </c>
      <c r="AC193" s="363">
        <v>22500</v>
      </c>
      <c r="AD193" s="363">
        <v>22500</v>
      </c>
      <c r="AE193" s="363">
        <v>22500</v>
      </c>
      <c r="AF193" s="363">
        <v>22500</v>
      </c>
      <c r="AG193" s="363">
        <v>22500</v>
      </c>
      <c r="AH193" s="360" t="e">
        <f t="shared" si="11"/>
        <v>#N/A</v>
      </c>
      <c r="AI193" s="362" t="e">
        <f>ERP[[#This Row],[2026 Working Total]]-ERP[[#This Row],[LE2 Final Submission]]</f>
        <v>#N/A</v>
      </c>
      <c r="AJ193" s="79" t="e">
        <v>#N/A</v>
      </c>
      <c r="AK193" s="79" t="e">
        <f t="shared" si="10"/>
        <v>#N/A</v>
      </c>
      <c r="AL193" s="374">
        <f>SUM(ERP[[#This Row],[AP01]:[AP06]])-SUM(ERP[[#This Row],[AP01 LE2]:[AP06 LE2]])</f>
        <v>12102.119999999995</v>
      </c>
      <c r="AM193" s="80"/>
      <c r="AN193" s="79" t="e">
        <f>ERP[[#This Row],[2026 Working Total to Budget/LE]]-ERP[[#This Row],[Giveback]]</f>
        <v>#N/A</v>
      </c>
      <c r="AO193" s="81"/>
      <c r="AP193" s="375">
        <v>19158.79</v>
      </c>
      <c r="AQ193" s="375">
        <v>20603.919999999998</v>
      </c>
      <c r="AR193" s="375">
        <v>25754.67</v>
      </c>
      <c r="AS193" s="375">
        <v>22500</v>
      </c>
      <c r="AT193" s="375">
        <v>22500</v>
      </c>
      <c r="AU193" s="375">
        <v>22500</v>
      </c>
      <c r="AV193" s="375">
        <v>22500</v>
      </c>
      <c r="AW193" s="375">
        <v>22500</v>
      </c>
      <c r="AX193" s="375">
        <v>22500</v>
      </c>
      <c r="AY193" s="375">
        <v>22500</v>
      </c>
      <c r="AZ193" s="375">
        <v>22500</v>
      </c>
      <c r="BA193" s="375">
        <v>22500</v>
      </c>
      <c r="BB193" s="375">
        <v>268017.38</v>
      </c>
      <c r="BC193" s="79">
        <v>19158.79</v>
      </c>
      <c r="BD193" s="79">
        <v>20603.919999999998</v>
      </c>
      <c r="BE193" s="79">
        <v>25754.67</v>
      </c>
      <c r="BF193" s="79">
        <v>23474.3</v>
      </c>
      <c r="BG193" s="79">
        <v>23474.3</v>
      </c>
      <c r="BH193" s="79">
        <v>23474.3</v>
      </c>
      <c r="BI193" s="79">
        <v>23474.3</v>
      </c>
      <c r="BJ193" s="79">
        <v>23474.3</v>
      </c>
      <c r="BK193" s="79">
        <v>23474.3</v>
      </c>
      <c r="BL193" s="79">
        <v>23474.3</v>
      </c>
      <c r="BM193" s="79">
        <v>23474.3</v>
      </c>
      <c r="BN193" s="79">
        <v>23474.3</v>
      </c>
      <c r="BO193" s="79">
        <v>276786.07999999996</v>
      </c>
    </row>
    <row r="194" spans="1:67" ht="15" customHeight="1">
      <c r="A194" s="79" t="s">
        <v>1538</v>
      </c>
      <c r="B194" s="296" t="s">
        <v>253</v>
      </c>
      <c r="C194" s="150" t="s">
        <v>1136</v>
      </c>
      <c r="D194" s="332" t="s">
        <v>1345</v>
      </c>
      <c r="E194" s="383" t="s">
        <v>1515</v>
      </c>
      <c r="F194" s="331" t="s">
        <v>1346</v>
      </c>
      <c r="G194" s="512" t="s">
        <v>49</v>
      </c>
      <c r="H194" s="393" t="s">
        <v>1539</v>
      </c>
      <c r="I194" s="343"/>
      <c r="J194" s="331"/>
      <c r="K194" s="91" t="s">
        <v>254</v>
      </c>
      <c r="L194" s="343"/>
      <c r="M194" s="346" t="s">
        <v>1221</v>
      </c>
      <c r="N194" s="348"/>
      <c r="O194" s="386" t="s">
        <v>25</v>
      </c>
      <c r="P194" s="389" t="s">
        <v>1540</v>
      </c>
      <c r="Q194" s="432"/>
      <c r="R194" s="358">
        <v>489720</v>
      </c>
      <c r="S194" s="378">
        <v>367290</v>
      </c>
      <c r="T194" s="430"/>
      <c r="U194" s="137"/>
      <c r="V194" s="433"/>
      <c r="W194" s="434"/>
      <c r="X194" s="434"/>
      <c r="Y194" s="428" t="s">
        <v>1142</v>
      </c>
      <c r="Z194" s="429">
        <v>0</v>
      </c>
      <c r="AA194" s="429">
        <v>0</v>
      </c>
      <c r="AB194" s="363" t="e">
        <v>#N/A</v>
      </c>
      <c r="AC194" s="388">
        <v>40810</v>
      </c>
      <c r="AD194" s="388">
        <v>40810</v>
      </c>
      <c r="AE194" s="388">
        <v>40810</v>
      </c>
      <c r="AF194" s="388">
        <v>40810</v>
      </c>
      <c r="AG194" s="388">
        <v>40810</v>
      </c>
      <c r="AH194" s="360" t="e">
        <f t="shared" si="11"/>
        <v>#N/A</v>
      </c>
      <c r="AI194" s="362" t="e">
        <f>ERP[[#This Row],[2026 Working Total]]-ERP[[#This Row],[LE2 Final Submission]]</f>
        <v>#N/A</v>
      </c>
      <c r="AJ194" s="79" t="e">
        <v>#N/A</v>
      </c>
      <c r="AK194" s="79" t="e">
        <f t="shared" si="10"/>
        <v>#N/A</v>
      </c>
      <c r="AL194" s="374">
        <f>SUM(ERP[[#This Row],[AP01]:[AP06]])-SUM(ERP[[#This Row],[AP01 LE2]:[AP06 LE2]])</f>
        <v>-122430</v>
      </c>
      <c r="AM194" s="80"/>
      <c r="AN194" s="79" t="e">
        <f>ERP[[#This Row],[2026 Working Total to Budget/LE]]-ERP[[#This Row],[Giveback]]</f>
        <v>#N/A</v>
      </c>
      <c r="AO194" s="81"/>
      <c r="AP194" s="375"/>
      <c r="AQ194" s="375"/>
      <c r="AR194" s="375"/>
      <c r="AS194" s="375">
        <v>40810</v>
      </c>
      <c r="AT194" s="375">
        <v>40810</v>
      </c>
      <c r="AU194" s="375">
        <v>40810</v>
      </c>
      <c r="AV194" s="375">
        <v>40810</v>
      </c>
      <c r="AW194" s="375">
        <v>40810</v>
      </c>
      <c r="AX194" s="375">
        <v>40810</v>
      </c>
      <c r="AY194" s="375">
        <v>40810</v>
      </c>
      <c r="AZ194" s="375">
        <v>40810</v>
      </c>
      <c r="BA194" s="375">
        <v>40810</v>
      </c>
      <c r="BB194" s="375">
        <v>367290</v>
      </c>
      <c r="BC194" s="103">
        <v>40810</v>
      </c>
      <c r="BD194" s="103">
        <v>40810</v>
      </c>
      <c r="BE194" s="103">
        <v>40810</v>
      </c>
      <c r="BF194" s="103">
        <v>40810</v>
      </c>
      <c r="BG194" s="103">
        <v>40810</v>
      </c>
      <c r="BH194" s="103">
        <v>40810</v>
      </c>
      <c r="BI194" s="103">
        <v>40810</v>
      </c>
      <c r="BJ194" s="103">
        <v>40810</v>
      </c>
      <c r="BK194" s="103">
        <v>40810</v>
      </c>
      <c r="BL194" s="103">
        <v>40810</v>
      </c>
      <c r="BM194" s="103">
        <v>40810</v>
      </c>
      <c r="BN194" s="103">
        <v>40810</v>
      </c>
      <c r="BO194" s="79">
        <f>SUM(ERP[[#This Row],[2026 AP01]:[2026 AP12]])</f>
        <v>489720</v>
      </c>
    </row>
    <row r="195" spans="1:67" s="501" customFormat="1" ht="15" customHeight="1">
      <c r="A195" s="482" t="s">
        <v>1541</v>
      </c>
      <c r="B195" s="83" t="s">
        <v>1542</v>
      </c>
      <c r="C195" s="482" t="s">
        <v>1136</v>
      </c>
      <c r="D195" s="482" t="s">
        <v>1345</v>
      </c>
      <c r="E195" s="482" t="s">
        <v>1346</v>
      </c>
      <c r="F195" s="490" t="s">
        <v>1346</v>
      </c>
      <c r="G195" s="514" t="s">
        <v>49</v>
      </c>
      <c r="H195" s="491" t="s">
        <v>1543</v>
      </c>
      <c r="I195" s="492" t="s">
        <v>1167</v>
      </c>
      <c r="J195" s="332" t="s">
        <v>1499</v>
      </c>
      <c r="K195" s="300" t="s">
        <v>256</v>
      </c>
      <c r="L195" s="347"/>
      <c r="M195" s="348" t="s">
        <v>2908</v>
      </c>
      <c r="N195" s="493"/>
      <c r="O195" s="493"/>
      <c r="P195" s="493"/>
      <c r="Q195" s="402"/>
      <c r="R195" s="406"/>
      <c r="S195" s="494"/>
      <c r="T195" s="425"/>
      <c r="U195" s="71"/>
      <c r="V195" s="495"/>
      <c r="W195" s="496"/>
      <c r="X195" s="496"/>
      <c r="Y195" s="481"/>
      <c r="Z195" s="502"/>
      <c r="AA195" s="429">
        <v>62153.7</v>
      </c>
      <c r="AB195" s="363" t="e">
        <v>#N/A</v>
      </c>
      <c r="AC195" s="497"/>
      <c r="AD195" s="497"/>
      <c r="AE195" s="497"/>
      <c r="AF195" s="497"/>
      <c r="AG195" s="497"/>
      <c r="AH195" s="498" t="e">
        <f t="shared" si="11"/>
        <v>#N/A</v>
      </c>
      <c r="AI195" s="499" t="e">
        <f>ERP[[#This Row],[2026 Working Total]]-ERP[[#This Row],[LE2 Final Submission]]</f>
        <v>#N/A</v>
      </c>
      <c r="AJ195" s="82" t="e">
        <v>#N/A</v>
      </c>
      <c r="AK195" s="82" t="e">
        <f t="shared" si="10"/>
        <v>#N/A</v>
      </c>
      <c r="AL195" s="374">
        <f>SUM(ERP[[#This Row],[AP01]:[AP06]])-SUM(ERP[[#This Row],[AP01 LE2]:[AP06 LE2]])</f>
        <v>62153.7</v>
      </c>
      <c r="AM195" s="80"/>
      <c r="AN195" s="79" t="e">
        <f>ERP[[#This Row],[2026 Working Total to Budget/LE]]-ERP[[#This Row],[Giveback]]</f>
        <v>#N/A</v>
      </c>
      <c r="AO195" s="81"/>
      <c r="AP195" s="375"/>
      <c r="AQ195" s="375"/>
      <c r="AR195" s="375"/>
      <c r="AS195" s="375"/>
      <c r="AT195" s="375"/>
      <c r="AU195" s="375"/>
      <c r="AV195" s="375"/>
      <c r="AW195" s="375"/>
      <c r="AX195" s="375"/>
      <c r="AY195" s="375"/>
      <c r="AZ195" s="375"/>
      <c r="BA195" s="375"/>
      <c r="BB195" s="500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82"/>
    </row>
    <row r="196" spans="1:67" ht="15" customHeight="1">
      <c r="A196" s="66" t="s">
        <v>1546</v>
      </c>
      <c r="B196" s="66" t="s">
        <v>255</v>
      </c>
      <c r="C196" s="150" t="s">
        <v>1136</v>
      </c>
      <c r="D196" s="150" t="s">
        <v>1345</v>
      </c>
      <c r="E196" s="150" t="s">
        <v>1515</v>
      </c>
      <c r="F196" s="150" t="s">
        <v>1346</v>
      </c>
      <c r="G196" s="511" t="s">
        <v>49</v>
      </c>
      <c r="H196" s="392" t="s">
        <v>1547</v>
      </c>
      <c r="I196" s="343" t="s">
        <v>1206</v>
      </c>
      <c r="J196" s="346" t="s">
        <v>1531</v>
      </c>
      <c r="K196" s="70" t="s">
        <v>256</v>
      </c>
      <c r="L196" s="346"/>
      <c r="M196" s="346" t="s">
        <v>2909</v>
      </c>
      <c r="N196" s="346"/>
      <c r="O196" s="150" t="s">
        <v>25</v>
      </c>
      <c r="P196" s="150"/>
      <c r="Q196" s="403"/>
      <c r="R196" s="406">
        <v>529998.96000000008</v>
      </c>
      <c r="S196" s="406">
        <v>367389.04999999993</v>
      </c>
      <c r="T196" s="425"/>
      <c r="U196" s="71"/>
      <c r="V196" s="426">
        <v>31387.97</v>
      </c>
      <c r="W196" s="427">
        <v>29660.06</v>
      </c>
      <c r="X196" s="427">
        <v>28355.06</v>
      </c>
      <c r="Y196" s="428">
        <v>376.37999999999738</v>
      </c>
      <c r="Z196" s="481">
        <v>30599.67</v>
      </c>
      <c r="AA196" s="429">
        <v>50661.62</v>
      </c>
      <c r="AB196" s="363" t="e">
        <v>#N/A</v>
      </c>
      <c r="AC196" s="363">
        <v>26514.909999999996</v>
      </c>
      <c r="AD196" s="363">
        <v>26514.909999999996</v>
      </c>
      <c r="AE196" s="363">
        <v>36080.219999999994</v>
      </c>
      <c r="AF196" s="363">
        <v>36080.219999999994</v>
      </c>
      <c r="AG196" s="363">
        <v>36080.219999999994</v>
      </c>
      <c r="AH196" s="360" t="e">
        <f t="shared" si="11"/>
        <v>#N/A</v>
      </c>
      <c r="AI196" s="362" t="e">
        <f>ERP[[#This Row],[2026 Working Total]]-ERP[[#This Row],[LE2 Final Submission]]</f>
        <v>#N/A</v>
      </c>
      <c r="AJ196" s="79" t="e">
        <v>#N/A</v>
      </c>
      <c r="AK196" s="79" t="e">
        <f t="shared" si="10"/>
        <v>#N/A</v>
      </c>
      <c r="AL196" s="374">
        <f>SUM(ERP[[#This Row],[AP01]:[AP06]])-SUM(ERP[[#This Row],[AP01 LE2]:[AP06 LE2]])</f>
        <v>1002.4100000000035</v>
      </c>
      <c r="AM196" s="80"/>
      <c r="AN196" s="79" t="e">
        <f>ERP[[#This Row],[2026 Working Total to Budget/LE]]-ERP[[#This Row],[Giveback]]</f>
        <v>#N/A</v>
      </c>
      <c r="AO196" s="81"/>
      <c r="AP196" s="375">
        <v>31387.97</v>
      </c>
      <c r="AQ196" s="375">
        <v>29660.06</v>
      </c>
      <c r="AR196" s="375">
        <v>28355.06</v>
      </c>
      <c r="AS196" s="375">
        <v>8474.82</v>
      </c>
      <c r="AT196" s="375">
        <v>36080.219999999994</v>
      </c>
      <c r="AU196" s="375">
        <v>36080.219999999994</v>
      </c>
      <c r="AV196" s="375">
        <v>36080.219999999994</v>
      </c>
      <c r="AW196" s="375">
        <v>26514.909999999996</v>
      </c>
      <c r="AX196" s="375">
        <v>26514.909999999996</v>
      </c>
      <c r="AY196" s="375">
        <v>36080.219999999994</v>
      </c>
      <c r="AZ196" s="375">
        <v>36080.219999999994</v>
      </c>
      <c r="BA196" s="375">
        <v>36080.219999999994</v>
      </c>
      <c r="BB196" s="375">
        <v>367389.04999999993</v>
      </c>
      <c r="BC196" s="79">
        <v>31387.97</v>
      </c>
      <c r="BD196" s="79">
        <v>29660.06</v>
      </c>
      <c r="BE196" s="79">
        <v>28355.06</v>
      </c>
      <c r="BF196" s="79">
        <v>44166.58</v>
      </c>
      <c r="BG196" s="79">
        <v>44166.58</v>
      </c>
      <c r="BH196" s="79">
        <v>44166.58</v>
      </c>
      <c r="BI196" s="79">
        <v>44166.58</v>
      </c>
      <c r="BJ196" s="79">
        <v>44166.58</v>
      </c>
      <c r="BK196" s="79">
        <v>44166.58</v>
      </c>
      <c r="BL196" s="79">
        <v>44166.58</v>
      </c>
      <c r="BM196" s="79">
        <v>44166.58</v>
      </c>
      <c r="BN196" s="79">
        <v>44166.58</v>
      </c>
      <c r="BO196" s="79">
        <v>486902.31000000011</v>
      </c>
    </row>
    <row r="197" spans="1:67" ht="15" customHeight="1">
      <c r="A197" s="66" t="s">
        <v>1456</v>
      </c>
      <c r="B197" s="66" t="s">
        <v>207</v>
      </c>
      <c r="C197" s="150" t="s">
        <v>1136</v>
      </c>
      <c r="D197" s="150" t="s">
        <v>1345</v>
      </c>
      <c r="E197" s="150" t="s">
        <v>1450</v>
      </c>
      <c r="F197" s="150" t="s">
        <v>1346</v>
      </c>
      <c r="G197" s="511" t="s">
        <v>49</v>
      </c>
      <c r="H197" s="392" t="s">
        <v>1457</v>
      </c>
      <c r="I197" s="343" t="s">
        <v>1387</v>
      </c>
      <c r="J197" s="346" t="s">
        <v>1451</v>
      </c>
      <c r="K197" s="70" t="s">
        <v>208</v>
      </c>
      <c r="L197" s="346"/>
      <c r="M197" s="346" t="s">
        <v>1458</v>
      </c>
      <c r="N197" s="346"/>
      <c r="O197" s="150" t="s">
        <v>25</v>
      </c>
      <c r="P197" s="150"/>
      <c r="Q197" s="403"/>
      <c r="R197" s="406">
        <v>270000</v>
      </c>
      <c r="S197" s="406">
        <v>201492</v>
      </c>
      <c r="T197" s="425"/>
      <c r="U197" s="71"/>
      <c r="V197" s="426">
        <v>-5507.82</v>
      </c>
      <c r="W197" s="427">
        <v>-0.18</v>
      </c>
      <c r="X197" s="431">
        <v>0</v>
      </c>
      <c r="Y197" s="428">
        <v>92692.25</v>
      </c>
      <c r="Z197" s="429">
        <v>25462.14</v>
      </c>
      <c r="AA197" s="429">
        <v>31827.680000000008</v>
      </c>
      <c r="AB197" s="363" t="e">
        <v>#N/A</v>
      </c>
      <c r="AC197" s="363">
        <v>5434</v>
      </c>
      <c r="AD197" s="363">
        <v>12523</v>
      </c>
      <c r="AE197" s="363">
        <v>12523</v>
      </c>
      <c r="AF197" s="363">
        <v>12523</v>
      </c>
      <c r="AG197" s="363">
        <v>12523</v>
      </c>
      <c r="AH197" s="360" t="e">
        <f t="shared" si="11"/>
        <v>#N/A</v>
      </c>
      <c r="AI197" s="362" t="e">
        <f>ERP[[#This Row],[2026 Working Total]]-ERP[[#This Row],[LE2 Final Submission]]</f>
        <v>#N/A</v>
      </c>
      <c r="AJ197" s="79" t="e">
        <v>#N/A</v>
      </c>
      <c r="AK197" s="79" t="e">
        <f t="shared" si="10"/>
        <v>#N/A</v>
      </c>
      <c r="AL197" s="374">
        <f>SUM(ERP[[#This Row],[AP01]:[AP06]])-SUM(ERP[[#This Row],[AP01 LE2]:[AP06 LE2]])</f>
        <v>27982.070000000007</v>
      </c>
      <c r="AM197" s="80"/>
      <c r="AN197" s="79" t="e">
        <f>ERP[[#This Row],[2026 Working Total to Budget/LE]]-ERP[[#This Row],[Giveback]]</f>
        <v>#N/A</v>
      </c>
      <c r="AO197" s="81" t="s">
        <v>1455</v>
      </c>
      <c r="AP197" s="375">
        <v>-5507.82</v>
      </c>
      <c r="AQ197" s="375">
        <v>-0.18</v>
      </c>
      <c r="AR197" s="375">
        <v>0</v>
      </c>
      <c r="AS197" s="375">
        <v>102000</v>
      </c>
      <c r="AT197" s="375">
        <v>0</v>
      </c>
      <c r="AU197" s="375">
        <v>20000</v>
      </c>
      <c r="AV197" s="375">
        <v>20000</v>
      </c>
      <c r="AW197" s="375">
        <v>20000</v>
      </c>
      <c r="AX197" s="375">
        <v>15000</v>
      </c>
      <c r="AY197" s="375">
        <v>10000</v>
      </c>
      <c r="AZ197" s="375">
        <v>10000</v>
      </c>
      <c r="BA197" s="375">
        <v>10000</v>
      </c>
      <c r="BB197" s="375">
        <v>201492</v>
      </c>
      <c r="BC197" s="79">
        <v>-5507.82</v>
      </c>
      <c r="BD197" s="79">
        <v>-0.18</v>
      </c>
      <c r="BE197" s="79">
        <v>0</v>
      </c>
      <c r="BF197" s="79">
        <v>20000</v>
      </c>
      <c r="BG197" s="79">
        <v>20000</v>
      </c>
      <c r="BH197" s="79">
        <v>25000</v>
      </c>
      <c r="BI197" s="79">
        <v>30000</v>
      </c>
      <c r="BJ197" s="79">
        <v>30000</v>
      </c>
      <c r="BK197" s="79">
        <v>30000</v>
      </c>
      <c r="BL197" s="79">
        <v>30000</v>
      </c>
      <c r="BM197" s="79">
        <v>30000</v>
      </c>
      <c r="BN197" s="79">
        <v>30000</v>
      </c>
      <c r="BO197" s="79">
        <v>239492</v>
      </c>
    </row>
    <row r="198" spans="1:67" ht="15" customHeight="1">
      <c r="A198" s="66" t="s">
        <v>1459</v>
      </c>
      <c r="B198" s="66" t="s">
        <v>209</v>
      </c>
      <c r="C198" s="150" t="s">
        <v>1136</v>
      </c>
      <c r="D198" s="150" t="s">
        <v>1345</v>
      </c>
      <c r="E198" s="150" t="s">
        <v>1450</v>
      </c>
      <c r="F198" s="150" t="s">
        <v>1346</v>
      </c>
      <c r="G198" s="511" t="s">
        <v>49</v>
      </c>
      <c r="H198" s="392" t="s">
        <v>1460</v>
      </c>
      <c r="I198" s="343"/>
      <c r="J198" s="343"/>
      <c r="K198" s="70" t="s">
        <v>210</v>
      </c>
      <c r="L198" s="346"/>
      <c r="M198" s="346" t="s">
        <v>1221</v>
      </c>
      <c r="N198" s="346"/>
      <c r="O198" s="150" t="s">
        <v>25</v>
      </c>
      <c r="P198" s="150"/>
      <c r="Q198" s="403"/>
      <c r="R198" s="406">
        <v>100000</v>
      </c>
      <c r="S198" s="406">
        <v>66000</v>
      </c>
      <c r="T198" s="425"/>
      <c r="U198" s="71"/>
      <c r="V198" s="426"/>
      <c r="W198" s="427"/>
      <c r="X198" s="427"/>
      <c r="Y198" s="428" t="s">
        <v>1142</v>
      </c>
      <c r="Z198" s="429">
        <v>0</v>
      </c>
      <c r="AA198" s="429">
        <v>0</v>
      </c>
      <c r="AB198" s="363" t="e">
        <v>#N/A</v>
      </c>
      <c r="AC198" s="363">
        <v>12000</v>
      </c>
      <c r="AD198" s="363">
        <v>13500</v>
      </c>
      <c r="AE198" s="363">
        <v>13500</v>
      </c>
      <c r="AF198" s="363">
        <v>13500</v>
      </c>
      <c r="AG198" s="363">
        <v>13500</v>
      </c>
      <c r="AH198" s="360" t="e">
        <f t="shared" si="11"/>
        <v>#N/A</v>
      </c>
      <c r="AI198" s="362" t="e">
        <f>ERP[[#This Row],[2026 Working Total]]-ERP[[#This Row],[LE2 Final Submission]]</f>
        <v>#N/A</v>
      </c>
      <c r="AJ198" s="79" t="e">
        <v>#N/A</v>
      </c>
      <c r="AK198" s="79" t="e">
        <f t="shared" si="10"/>
        <v>#N/A</v>
      </c>
      <c r="AL198" s="374">
        <f>SUM(ERP[[#This Row],[AP01]:[AP06]])-SUM(ERP[[#This Row],[AP01 LE2]:[AP06 LE2]])</f>
        <v>-18000</v>
      </c>
      <c r="AM198" s="80"/>
      <c r="AN198" s="79" t="e">
        <f>ERP[[#This Row],[2026 Working Total to Budget/LE]]-ERP[[#This Row],[Giveback]]</f>
        <v>#N/A</v>
      </c>
      <c r="AO198" s="81" t="s">
        <v>1455</v>
      </c>
      <c r="AP198" s="375"/>
      <c r="AQ198" s="375"/>
      <c r="AR198" s="375"/>
      <c r="AS198" s="375">
        <v>5000</v>
      </c>
      <c r="AT198" s="375">
        <v>5000</v>
      </c>
      <c r="AU198" s="375">
        <v>8000</v>
      </c>
      <c r="AV198" s="375">
        <v>8000</v>
      </c>
      <c r="AW198" s="375">
        <v>8000</v>
      </c>
      <c r="AX198" s="375">
        <v>8000</v>
      </c>
      <c r="AY198" s="375">
        <v>8000</v>
      </c>
      <c r="AZ198" s="375">
        <v>8000</v>
      </c>
      <c r="BA198" s="375">
        <v>8000</v>
      </c>
      <c r="BB198" s="375">
        <v>66000</v>
      </c>
      <c r="BC198" s="79"/>
      <c r="BD198" s="79"/>
      <c r="BE198" s="79"/>
      <c r="BF198" s="79">
        <v>10000</v>
      </c>
      <c r="BG198" s="79">
        <v>10000</v>
      </c>
      <c r="BH198" s="79">
        <v>10000</v>
      </c>
      <c r="BI198" s="79">
        <v>10000</v>
      </c>
      <c r="BJ198" s="79">
        <v>10000</v>
      </c>
      <c r="BK198" s="79">
        <v>10000</v>
      </c>
      <c r="BL198" s="79">
        <v>10000</v>
      </c>
      <c r="BM198" s="79">
        <v>10000</v>
      </c>
      <c r="BN198" s="79">
        <v>10000</v>
      </c>
      <c r="BO198" s="79">
        <v>90000</v>
      </c>
    </row>
    <row r="199" spans="1:67" ht="15" customHeight="1">
      <c r="A199" s="66" t="s">
        <v>1361</v>
      </c>
      <c r="B199" s="66" t="s">
        <v>160</v>
      </c>
      <c r="C199" s="150" t="s">
        <v>1136</v>
      </c>
      <c r="D199" s="150" t="s">
        <v>1345</v>
      </c>
      <c r="E199" s="150" t="s">
        <v>1344</v>
      </c>
      <c r="F199" s="150" t="s">
        <v>1346</v>
      </c>
      <c r="G199" s="511" t="s">
        <v>49</v>
      </c>
      <c r="H199" s="392" t="s">
        <v>1362</v>
      </c>
      <c r="I199" s="343"/>
      <c r="J199" s="346" t="s">
        <v>1363</v>
      </c>
      <c r="K199" s="70" t="s">
        <v>161</v>
      </c>
      <c r="L199" s="346"/>
      <c r="M199" s="346" t="s">
        <v>1364</v>
      </c>
      <c r="N199" s="346"/>
      <c r="O199" s="150" t="s">
        <v>25</v>
      </c>
      <c r="P199" s="150"/>
      <c r="Q199" s="403"/>
      <c r="R199" s="406">
        <v>0</v>
      </c>
      <c r="S199" s="406">
        <v>0.1499999999996362</v>
      </c>
      <c r="T199" s="430"/>
      <c r="U199" s="137"/>
      <c r="V199" s="426"/>
      <c r="W199" s="427">
        <v>-16768</v>
      </c>
      <c r="X199" s="427">
        <v>12756.15</v>
      </c>
      <c r="Y199" s="428">
        <v>6266.17</v>
      </c>
      <c r="Z199" s="429">
        <v>6266.17</v>
      </c>
      <c r="AA199" s="429">
        <v>7832.72</v>
      </c>
      <c r="AB199" s="363" t="e">
        <v>#N/A</v>
      </c>
      <c r="AC199" s="360">
        <v>0</v>
      </c>
      <c r="AD199" s="360">
        <v>0</v>
      </c>
      <c r="AE199" s="360">
        <v>0</v>
      </c>
      <c r="AF199" s="360">
        <v>0</v>
      </c>
      <c r="AG199" s="360">
        <v>0</v>
      </c>
      <c r="AH199" s="360" t="e">
        <f t="shared" si="11"/>
        <v>#N/A</v>
      </c>
      <c r="AI199" s="362" t="e">
        <f>ERP[[#This Row],[2026 Working Total]]-ERP[[#This Row],[LE2 Final Submission]]</f>
        <v>#N/A</v>
      </c>
      <c r="AJ199" s="79" t="e">
        <v>#N/A</v>
      </c>
      <c r="AK199" s="79" t="e">
        <f t="shared" si="10"/>
        <v>#N/A</v>
      </c>
      <c r="AL199" s="374">
        <f>SUM(ERP[[#This Row],[AP01]:[AP06]])-SUM(ERP[[#This Row],[AP01 LE2]:[AP06 LE2]])</f>
        <v>16353.06</v>
      </c>
      <c r="AM199" s="80"/>
      <c r="AN199" s="79" t="e">
        <f>ERP[[#This Row],[2026 Working Total to Budget/LE]]-ERP[[#This Row],[Giveback]]</f>
        <v>#N/A</v>
      </c>
      <c r="AO199" s="81" t="s">
        <v>1365</v>
      </c>
      <c r="AP199" s="375"/>
      <c r="AQ199" s="375">
        <v>-16768</v>
      </c>
      <c r="AR199" s="375">
        <v>12756.15</v>
      </c>
      <c r="AS199" s="375">
        <v>0</v>
      </c>
      <c r="AT199" s="375">
        <v>4012</v>
      </c>
      <c r="AU199" s="375">
        <v>0</v>
      </c>
      <c r="AV199" s="375">
        <v>0</v>
      </c>
      <c r="AW199" s="375">
        <v>0</v>
      </c>
      <c r="AX199" s="375">
        <v>0</v>
      </c>
      <c r="AY199" s="375">
        <v>0</v>
      </c>
      <c r="AZ199" s="375">
        <v>0</v>
      </c>
      <c r="BA199" s="375">
        <v>0</v>
      </c>
      <c r="BB199" s="375">
        <v>0.1499999999996362</v>
      </c>
      <c r="BC199" s="79"/>
      <c r="BD199" s="79">
        <v>-16768</v>
      </c>
      <c r="BE199" s="79">
        <v>12756.15</v>
      </c>
      <c r="BF199" s="79">
        <v>0</v>
      </c>
      <c r="BG199" s="79">
        <v>0</v>
      </c>
      <c r="BH199" s="79">
        <v>0</v>
      </c>
      <c r="BI199" s="79">
        <v>0</v>
      </c>
      <c r="BJ199" s="79">
        <v>0</v>
      </c>
      <c r="BK199" s="79">
        <v>0</v>
      </c>
      <c r="BL199" s="79">
        <v>0</v>
      </c>
      <c r="BM199" s="79">
        <v>0</v>
      </c>
      <c r="BN199" s="79">
        <v>0</v>
      </c>
      <c r="BO199" s="79">
        <v>-4011.8500000000004</v>
      </c>
    </row>
    <row r="200" spans="1:67" ht="15" customHeight="1">
      <c r="A200" s="66" t="s">
        <v>1549</v>
      </c>
      <c r="B200" s="66" t="s">
        <v>257</v>
      </c>
      <c r="C200" s="150" t="s">
        <v>1136</v>
      </c>
      <c r="D200" s="150" t="s">
        <v>1345</v>
      </c>
      <c r="E200" s="150" t="s">
        <v>1515</v>
      </c>
      <c r="F200" s="150" t="s">
        <v>1346</v>
      </c>
      <c r="G200" s="511" t="s">
        <v>49</v>
      </c>
      <c r="H200" s="392" t="s">
        <v>1550</v>
      </c>
      <c r="I200" s="343"/>
      <c r="J200" s="346" t="s">
        <v>1531</v>
      </c>
      <c r="K200" s="70" t="s">
        <v>258</v>
      </c>
      <c r="L200" s="346"/>
      <c r="M200" s="346" t="s">
        <v>1187</v>
      </c>
      <c r="N200" s="346"/>
      <c r="O200" s="150" t="s">
        <v>25</v>
      </c>
      <c r="P200" s="150" t="s">
        <v>1521</v>
      </c>
      <c r="Q200" s="403"/>
      <c r="R200" s="406">
        <v>624000</v>
      </c>
      <c r="S200" s="406">
        <v>592260.42999999993</v>
      </c>
      <c r="T200" s="425"/>
      <c r="U200" s="71"/>
      <c r="V200" s="426">
        <v>67126.64</v>
      </c>
      <c r="W200" s="427">
        <v>74377.41</v>
      </c>
      <c r="X200" s="427">
        <v>83640.33</v>
      </c>
      <c r="Y200" s="428">
        <v>-58284.780000000013</v>
      </c>
      <c r="Z200" s="429">
        <v>17767.169999999998</v>
      </c>
      <c r="AA200" s="429">
        <v>-37705.19</v>
      </c>
      <c r="AB200" s="363" t="e">
        <v>#N/A</v>
      </c>
      <c r="AC200" s="363">
        <v>47270.81</v>
      </c>
      <c r="AD200" s="363">
        <v>47270.81</v>
      </c>
      <c r="AE200" s="363">
        <v>47270.81</v>
      </c>
      <c r="AF200" s="363">
        <v>47270.81</v>
      </c>
      <c r="AG200" s="363">
        <v>47270.81</v>
      </c>
      <c r="AH200" s="360" t="e">
        <f t="shared" si="11"/>
        <v>#N/A</v>
      </c>
      <c r="AI200" s="362" t="e">
        <f>ERP[[#This Row],[2026 Working Total]]-ERP[[#This Row],[LE2 Final Submission]]</f>
        <v>#N/A</v>
      </c>
      <c r="AJ200" s="79" t="e">
        <v>#N/A</v>
      </c>
      <c r="AK200" s="79" t="e">
        <f t="shared" ref="AK200:AK263" si="13">$AA200 - $AJ200</f>
        <v>#N/A</v>
      </c>
      <c r="AL200" s="374">
        <f>SUM(ERP[[#This Row],[AP01]:[AP06]])-SUM(ERP[[#This Row],[AP01 LE2]:[AP06 LE2]])</f>
        <v>-171279.30000000005</v>
      </c>
      <c r="AM200" s="80"/>
      <c r="AN200" s="79" t="e">
        <f>ERP[[#This Row],[2026 Working Total to Budget/LE]]-ERP[[#This Row],[Giveback]]</f>
        <v>#N/A</v>
      </c>
      <c r="AO200" s="81"/>
      <c r="AP200" s="375">
        <v>67126.64</v>
      </c>
      <c r="AQ200" s="375">
        <v>74377.41</v>
      </c>
      <c r="AR200" s="375">
        <v>83640.33</v>
      </c>
      <c r="AS200" s="375">
        <v>17645.5</v>
      </c>
      <c r="AT200" s="375">
        <v>37705.5</v>
      </c>
      <c r="AU200" s="375">
        <v>37705.5</v>
      </c>
      <c r="AV200" s="375">
        <v>37705.5</v>
      </c>
      <c r="AW200" s="375">
        <v>47270.81</v>
      </c>
      <c r="AX200" s="375">
        <v>47270.81</v>
      </c>
      <c r="AY200" s="375">
        <v>47270.81</v>
      </c>
      <c r="AZ200" s="375">
        <v>47270.81</v>
      </c>
      <c r="BA200" s="375">
        <v>47270.81</v>
      </c>
      <c r="BB200" s="375">
        <v>592260.42999999993</v>
      </c>
      <c r="BC200" s="79">
        <v>67126.64</v>
      </c>
      <c r="BD200" s="79">
        <v>74377.41</v>
      </c>
      <c r="BE200" s="79">
        <v>83640.33</v>
      </c>
      <c r="BF200" s="79">
        <v>71858</v>
      </c>
      <c r="BG200" s="79">
        <v>71858</v>
      </c>
      <c r="BH200" s="79">
        <v>71858</v>
      </c>
      <c r="BI200" s="79">
        <v>71858</v>
      </c>
      <c r="BJ200" s="79">
        <v>71858</v>
      </c>
      <c r="BK200" s="79">
        <v>71858</v>
      </c>
      <c r="BL200" s="79">
        <v>71858</v>
      </c>
      <c r="BM200" s="79">
        <v>71858</v>
      </c>
      <c r="BN200" s="79">
        <v>71858</v>
      </c>
      <c r="BO200" s="79">
        <v>871866.38</v>
      </c>
    </row>
    <row r="201" spans="1:67" ht="15" customHeight="1">
      <c r="A201" s="66" t="s">
        <v>1798</v>
      </c>
      <c r="B201" s="66" t="s">
        <v>1799</v>
      </c>
      <c r="C201" s="150" t="s">
        <v>1136</v>
      </c>
      <c r="D201" s="150" t="s">
        <v>1135</v>
      </c>
      <c r="E201" s="150" t="s">
        <v>1165</v>
      </c>
      <c r="F201" s="150" t="s">
        <v>1137</v>
      </c>
      <c r="G201" s="511" t="s">
        <v>389</v>
      </c>
      <c r="H201" s="392" t="s">
        <v>1800</v>
      </c>
      <c r="I201" s="343"/>
      <c r="J201" s="343"/>
      <c r="K201" s="70" t="s">
        <v>419</v>
      </c>
      <c r="L201" s="346"/>
      <c r="M201" s="343"/>
      <c r="N201" s="346"/>
      <c r="O201" s="150" t="s">
        <v>25</v>
      </c>
      <c r="P201" s="150"/>
      <c r="Q201" s="403"/>
      <c r="R201" s="406">
        <v>0</v>
      </c>
      <c r="S201" s="406">
        <v>2006.44</v>
      </c>
      <c r="T201" s="425"/>
      <c r="U201" s="71"/>
      <c r="V201" s="426">
        <v>0.45</v>
      </c>
      <c r="W201" s="427">
        <v>1838.45</v>
      </c>
      <c r="X201" s="427">
        <v>167.54</v>
      </c>
      <c r="Y201" s="428">
        <v>3132.21</v>
      </c>
      <c r="Z201" s="429">
        <v>3012.3</v>
      </c>
      <c r="AA201" s="429">
        <v>0.82999999999992724</v>
      </c>
      <c r="AB201" s="363" t="e">
        <v>#N/A</v>
      </c>
      <c r="AC201" s="360">
        <v>0</v>
      </c>
      <c r="AD201" s="360">
        <v>0</v>
      </c>
      <c r="AE201" s="360">
        <v>0</v>
      </c>
      <c r="AF201" s="360">
        <v>0</v>
      </c>
      <c r="AG201" s="360">
        <v>0</v>
      </c>
      <c r="AH201" s="360" t="e">
        <f t="shared" si="11"/>
        <v>#N/A</v>
      </c>
      <c r="AI201" s="362" t="e">
        <f>ERP[[#This Row],[2026 Working Total]]-ERP[[#This Row],[LE2 Final Submission]]</f>
        <v>#N/A</v>
      </c>
      <c r="AJ201" s="79" t="e">
        <v>#N/A</v>
      </c>
      <c r="AK201" s="79" t="e">
        <f t="shared" si="13"/>
        <v>#N/A</v>
      </c>
      <c r="AL201" s="374">
        <f>SUM(ERP[[#This Row],[AP01]:[AP06]])-SUM(ERP[[#This Row],[AP01 LE2]:[AP06 LE2]])</f>
        <v>6145.34</v>
      </c>
      <c r="AM201" s="80"/>
      <c r="AN201" s="79" t="e">
        <f>ERP[[#This Row],[2026 Working Total to Budget/LE]]-ERP[[#This Row],[Giveback]]</f>
        <v>#N/A</v>
      </c>
      <c r="AO201" s="81"/>
      <c r="AP201" s="375">
        <v>0.45</v>
      </c>
      <c r="AQ201" s="375">
        <v>1838.45</v>
      </c>
      <c r="AR201" s="375">
        <v>167.54</v>
      </c>
      <c r="AS201" s="375">
        <v>0</v>
      </c>
      <c r="AT201" s="375">
        <v>0</v>
      </c>
      <c r="AU201" s="375">
        <v>0</v>
      </c>
      <c r="AV201" s="375">
        <v>0</v>
      </c>
      <c r="AW201" s="375">
        <v>0</v>
      </c>
      <c r="AX201" s="375">
        <v>0</v>
      </c>
      <c r="AY201" s="375">
        <v>0</v>
      </c>
      <c r="AZ201" s="375">
        <v>0</v>
      </c>
      <c r="BA201" s="375">
        <v>0</v>
      </c>
      <c r="BB201" s="375">
        <v>2006.44</v>
      </c>
      <c r="BC201" s="79">
        <v>0.45</v>
      </c>
      <c r="BD201" s="79">
        <v>1838.45</v>
      </c>
      <c r="BE201" s="79">
        <v>167.54</v>
      </c>
      <c r="BF201" s="79">
        <v>0</v>
      </c>
      <c r="BG201" s="79">
        <v>0</v>
      </c>
      <c r="BH201" s="79">
        <v>0</v>
      </c>
      <c r="BI201" s="79">
        <v>0</v>
      </c>
      <c r="BJ201" s="79">
        <v>0</v>
      </c>
      <c r="BK201" s="79">
        <v>0</v>
      </c>
      <c r="BL201" s="79">
        <v>0</v>
      </c>
      <c r="BM201" s="79">
        <v>0</v>
      </c>
      <c r="BN201" s="79">
        <v>0</v>
      </c>
      <c r="BO201" s="79">
        <v>2006.44</v>
      </c>
    </row>
    <row r="202" spans="1:67" ht="15" customHeight="1">
      <c r="A202" s="150" t="s">
        <v>1807</v>
      </c>
      <c r="B202" s="66" t="s">
        <v>1808</v>
      </c>
      <c r="C202" s="150" t="s">
        <v>1136</v>
      </c>
      <c r="D202" s="150" t="s">
        <v>1135</v>
      </c>
      <c r="E202" s="150" t="s">
        <v>1165</v>
      </c>
      <c r="F202" s="150" t="s">
        <v>1165</v>
      </c>
      <c r="G202" s="514" t="s">
        <v>389</v>
      </c>
      <c r="H202" s="394" t="s">
        <v>1809</v>
      </c>
      <c r="I202" s="333" t="s">
        <v>1167</v>
      </c>
      <c r="J202" s="332" t="s">
        <v>1284</v>
      </c>
      <c r="K202" s="90" t="s">
        <v>59</v>
      </c>
      <c r="L202" s="347"/>
      <c r="M202" s="348" t="s">
        <v>1805</v>
      </c>
      <c r="N202" s="348"/>
      <c r="O202" s="348"/>
      <c r="P202" s="348"/>
      <c r="Q202" s="402"/>
      <c r="R202" s="406"/>
      <c r="S202" s="406"/>
      <c r="T202" s="425"/>
      <c r="U202" s="425"/>
      <c r="V202" s="435"/>
      <c r="W202" s="436"/>
      <c r="X202" s="436"/>
      <c r="Y202" s="429">
        <v>35539.5</v>
      </c>
      <c r="Z202" s="429">
        <v>-35539.5</v>
      </c>
      <c r="AA202" s="429">
        <v>0</v>
      </c>
      <c r="AB202" s="363" t="e">
        <v>#N/A</v>
      </c>
      <c r="AC202" s="364"/>
      <c r="AD202" s="364"/>
      <c r="AE202" s="364"/>
      <c r="AF202" s="364"/>
      <c r="AG202" s="364"/>
      <c r="AH202" s="360" t="e">
        <f t="shared" si="11"/>
        <v>#N/A</v>
      </c>
      <c r="AI202" s="362" t="e">
        <f>ERP[[#This Row],[2026 Working Total]]-ERP[[#This Row],[LE2 Final Submission]]</f>
        <v>#N/A</v>
      </c>
      <c r="AJ202" s="79" t="e">
        <v>#N/A</v>
      </c>
      <c r="AK202" s="79" t="e">
        <f t="shared" si="13"/>
        <v>#N/A</v>
      </c>
      <c r="AL202" s="374">
        <f>SUM(ERP[[#This Row],[AP01]:[AP06]])-SUM(ERP[[#This Row],[AP01 LE2]:[AP06 LE2]])</f>
        <v>0</v>
      </c>
      <c r="AM202" s="80"/>
      <c r="AN202" s="79" t="e">
        <f>ERP[[#This Row],[2026 Working Total to Budget/LE]]-ERP[[#This Row],[Giveback]]</f>
        <v>#N/A</v>
      </c>
      <c r="AO202" s="81"/>
      <c r="AP202" s="375"/>
      <c r="AQ202" s="375"/>
      <c r="AR202" s="375"/>
      <c r="AS202" s="375"/>
      <c r="AT202" s="375"/>
      <c r="AU202" s="375"/>
      <c r="AV202" s="375"/>
      <c r="AW202" s="375"/>
      <c r="AX202" s="375"/>
      <c r="AY202" s="375"/>
      <c r="AZ202" s="375"/>
      <c r="BA202" s="375"/>
      <c r="BB202" s="375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</row>
    <row r="203" spans="1:67" ht="15" customHeight="1">
      <c r="A203" s="150" t="s">
        <v>1801</v>
      </c>
      <c r="B203" s="296" t="s">
        <v>1802</v>
      </c>
      <c r="C203" s="150" t="s">
        <v>1136</v>
      </c>
      <c r="D203" s="150" t="s">
        <v>1135</v>
      </c>
      <c r="E203" s="332" t="s">
        <v>1156</v>
      </c>
      <c r="F203" s="333" t="s">
        <v>1156</v>
      </c>
      <c r="G203" s="514" t="s">
        <v>389</v>
      </c>
      <c r="H203" s="394" t="s">
        <v>1803</v>
      </c>
      <c r="I203" s="333"/>
      <c r="J203" s="332" t="s">
        <v>1804</v>
      </c>
      <c r="K203" s="90" t="s">
        <v>59</v>
      </c>
      <c r="L203" s="347"/>
      <c r="M203" s="348" t="s">
        <v>1805</v>
      </c>
      <c r="N203" s="348"/>
      <c r="O203" s="348"/>
      <c r="P203" s="449" t="s">
        <v>1806</v>
      </c>
      <c r="Q203" s="402"/>
      <c r="R203" s="406"/>
      <c r="S203" s="406"/>
      <c r="T203" s="425"/>
      <c r="U203" s="71"/>
      <c r="V203" s="435"/>
      <c r="W203" s="436"/>
      <c r="X203" s="436"/>
      <c r="Y203" s="436"/>
      <c r="Z203" s="429">
        <v>45743</v>
      </c>
      <c r="AA203" s="429">
        <v>9404.5</v>
      </c>
      <c r="AB203" s="363" t="e">
        <v>#N/A</v>
      </c>
      <c r="AC203" s="364"/>
      <c r="AD203" s="364"/>
      <c r="AE203" s="364"/>
      <c r="AF203" s="364"/>
      <c r="AG203" s="364"/>
      <c r="AH203" s="360" t="e">
        <f t="shared" si="11"/>
        <v>#N/A</v>
      </c>
      <c r="AI203" s="362" t="e">
        <f>ERP[[#This Row],[2026 Working Total]]-ERP[[#This Row],[LE2 Final Submission]]</f>
        <v>#N/A</v>
      </c>
      <c r="AJ203" s="79" t="e">
        <v>#N/A</v>
      </c>
      <c r="AK203" s="79" t="e">
        <f t="shared" si="13"/>
        <v>#N/A</v>
      </c>
      <c r="AL203" s="374">
        <f>SUM(ERP[[#This Row],[AP01]:[AP06]])-SUM(ERP[[#This Row],[AP01 LE2]:[AP06 LE2]])</f>
        <v>55147.5</v>
      </c>
      <c r="AM203" s="80"/>
      <c r="AN203" s="79" t="e">
        <f>ERP[[#This Row],[2026 Working Total to Budget/LE]]-ERP[[#This Row],[Giveback]]</f>
        <v>#N/A</v>
      </c>
      <c r="AO203" s="81"/>
      <c r="AP203" s="375"/>
      <c r="AQ203" s="375"/>
      <c r="AR203" s="375"/>
      <c r="AS203" s="375"/>
      <c r="AT203" s="375"/>
      <c r="AU203" s="375"/>
      <c r="AV203" s="375"/>
      <c r="AW203" s="375"/>
      <c r="AX203" s="375"/>
      <c r="AY203" s="375"/>
      <c r="AZ203" s="375"/>
      <c r="BA203" s="375"/>
      <c r="BB203" s="375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</row>
    <row r="204" spans="1:67" ht="15" customHeight="1">
      <c r="A204" s="162" t="s">
        <v>1366</v>
      </c>
      <c r="B204" s="66" t="s">
        <v>162</v>
      </c>
      <c r="C204" s="150" t="s">
        <v>1136</v>
      </c>
      <c r="D204" s="150" t="s">
        <v>1345</v>
      </c>
      <c r="E204" s="150" t="s">
        <v>1344</v>
      </c>
      <c r="F204" s="184" t="s">
        <v>1346</v>
      </c>
      <c r="G204" s="515" t="s">
        <v>49</v>
      </c>
      <c r="H204" s="392" t="s">
        <v>1367</v>
      </c>
      <c r="I204" s="343"/>
      <c r="J204" s="343"/>
      <c r="K204" s="92" t="s">
        <v>163</v>
      </c>
      <c r="L204" s="346" t="s">
        <v>1139</v>
      </c>
      <c r="M204" s="343"/>
      <c r="N204" s="346"/>
      <c r="O204" s="150" t="s">
        <v>25</v>
      </c>
      <c r="P204" s="184"/>
      <c r="Q204" s="415"/>
      <c r="R204" s="416">
        <v>0</v>
      </c>
      <c r="S204" s="416">
        <v>3558.41</v>
      </c>
      <c r="T204" s="425"/>
      <c r="U204" s="71"/>
      <c r="V204" s="438">
        <v>3558.41</v>
      </c>
      <c r="W204" s="439">
        <v>0</v>
      </c>
      <c r="X204" s="439">
        <v>0</v>
      </c>
      <c r="Y204" s="428">
        <v>0</v>
      </c>
      <c r="Z204" s="429">
        <v>0</v>
      </c>
      <c r="AA204" s="429">
        <v>0</v>
      </c>
      <c r="AB204" s="363" t="e">
        <v>#N/A</v>
      </c>
      <c r="AC204" s="366">
        <v>0</v>
      </c>
      <c r="AD204" s="366">
        <v>0</v>
      </c>
      <c r="AE204" s="366">
        <v>0</v>
      </c>
      <c r="AF204" s="366">
        <v>0</v>
      </c>
      <c r="AG204" s="366">
        <v>0</v>
      </c>
      <c r="AH204" s="366" t="e">
        <f t="shared" ref="AH204:AH267" si="14">SUM(V204:AG204)</f>
        <v>#N/A</v>
      </c>
      <c r="AI204" s="362" t="e">
        <f>ERP[[#This Row],[2026 Working Total]]-ERP[[#This Row],[LE2 Final Submission]]</f>
        <v>#N/A</v>
      </c>
      <c r="AJ204" s="172" t="e">
        <v>#N/A</v>
      </c>
      <c r="AK204" s="172" t="e">
        <f t="shared" si="13"/>
        <v>#N/A</v>
      </c>
      <c r="AL204" s="374">
        <f>SUM(ERP[[#This Row],[AP01]:[AP06]])-SUM(ERP[[#This Row],[AP01 LE2]:[AP06 LE2]])</f>
        <v>0</v>
      </c>
      <c r="AM204" s="173"/>
      <c r="AN204" s="172" t="e">
        <f>ERP[[#This Row],[2026 Working Total to Budget/LE]]-ERP[[#This Row],[Giveback]]</f>
        <v>#N/A</v>
      </c>
      <c r="AO204" s="155" t="s">
        <v>1368</v>
      </c>
      <c r="AP204" s="375">
        <v>3558.41</v>
      </c>
      <c r="AQ204" s="375">
        <v>0</v>
      </c>
      <c r="AR204" s="375">
        <v>0</v>
      </c>
      <c r="AS204" s="375">
        <v>0</v>
      </c>
      <c r="AT204" s="375">
        <v>0</v>
      </c>
      <c r="AU204" s="375">
        <v>0</v>
      </c>
      <c r="AV204" s="375">
        <v>0</v>
      </c>
      <c r="AW204" s="375">
        <v>0</v>
      </c>
      <c r="AX204" s="375">
        <v>0</v>
      </c>
      <c r="AY204" s="375">
        <v>0</v>
      </c>
      <c r="AZ204" s="375">
        <v>0</v>
      </c>
      <c r="BA204" s="375">
        <v>0</v>
      </c>
      <c r="BB204" s="375">
        <v>3558.41</v>
      </c>
      <c r="BC204" s="172">
        <v>3558.41</v>
      </c>
      <c r="BD204" s="172">
        <v>0</v>
      </c>
      <c r="BE204" s="172">
        <v>0</v>
      </c>
      <c r="BF204" s="172">
        <v>0</v>
      </c>
      <c r="BG204" s="172">
        <v>0</v>
      </c>
      <c r="BH204" s="172">
        <v>0</v>
      </c>
      <c r="BI204" s="172">
        <v>0</v>
      </c>
      <c r="BJ204" s="172">
        <v>0</v>
      </c>
      <c r="BK204" s="172">
        <v>0</v>
      </c>
      <c r="BL204" s="172">
        <v>0</v>
      </c>
      <c r="BM204" s="172">
        <v>0</v>
      </c>
      <c r="BN204" s="172">
        <v>0</v>
      </c>
      <c r="BO204" s="172">
        <v>3558.41</v>
      </c>
    </row>
    <row r="205" spans="1:67" ht="15" customHeight="1">
      <c r="A205" s="66" t="s">
        <v>1551</v>
      </c>
      <c r="B205" s="66" t="s">
        <v>259</v>
      </c>
      <c r="C205" s="150" t="s">
        <v>1136</v>
      </c>
      <c r="D205" s="150" t="s">
        <v>1345</v>
      </c>
      <c r="E205" s="150" t="s">
        <v>1515</v>
      </c>
      <c r="F205" s="150" t="s">
        <v>1346</v>
      </c>
      <c r="G205" s="511" t="s">
        <v>49</v>
      </c>
      <c r="H205" s="392" t="s">
        <v>1367</v>
      </c>
      <c r="I205" s="343"/>
      <c r="J205" s="343"/>
      <c r="K205" s="70" t="s">
        <v>163</v>
      </c>
      <c r="L205" s="346" t="s">
        <v>1139</v>
      </c>
      <c r="M205" s="343"/>
      <c r="N205" s="346"/>
      <c r="O205" s="150" t="s">
        <v>25</v>
      </c>
      <c r="P205" s="150"/>
      <c r="Q205" s="403"/>
      <c r="R205" s="406">
        <v>270422.03999999992</v>
      </c>
      <c r="S205" s="406">
        <v>166650</v>
      </c>
      <c r="T205" s="425"/>
      <c r="U205" s="71"/>
      <c r="V205" s="426"/>
      <c r="W205" s="427"/>
      <c r="X205" s="427"/>
      <c r="Y205" s="428" t="s">
        <v>1142</v>
      </c>
      <c r="Z205" s="429">
        <v>0</v>
      </c>
      <c r="AA205" s="429">
        <v>0</v>
      </c>
      <c r="AB205" s="363" t="e">
        <v>#N/A</v>
      </c>
      <c r="AC205" s="363">
        <v>7837.5</v>
      </c>
      <c r="AD205" s="363">
        <v>7837.5</v>
      </c>
      <c r="AE205" s="363">
        <v>7837.5</v>
      </c>
      <c r="AF205" s="363">
        <v>7837.5</v>
      </c>
      <c r="AG205" s="363">
        <v>7837.5</v>
      </c>
      <c r="AH205" s="360" t="e">
        <f t="shared" si="14"/>
        <v>#N/A</v>
      </c>
      <c r="AI205" s="362" t="e">
        <f>ERP[[#This Row],[2026 Working Total]]-ERP[[#This Row],[LE2 Final Submission]]</f>
        <v>#N/A</v>
      </c>
      <c r="AJ205" s="79" t="e">
        <v>#N/A</v>
      </c>
      <c r="AK205" s="79" t="e">
        <f t="shared" si="13"/>
        <v>#N/A</v>
      </c>
      <c r="AL205" s="374">
        <f>SUM(ERP[[#This Row],[AP01]:[AP06]])-SUM(ERP[[#This Row],[AP01 LE2]:[AP06 LE2]])</f>
        <v>-119625</v>
      </c>
      <c r="AM205" s="80"/>
      <c r="AN205" s="79" t="e">
        <f>ERP[[#This Row],[2026 Working Total to Budget/LE]]-ERP[[#This Row],[Giveback]]</f>
        <v>#N/A</v>
      </c>
      <c r="AO205" s="81"/>
      <c r="AP205" s="375"/>
      <c r="AQ205" s="375"/>
      <c r="AR205" s="375"/>
      <c r="AS205" s="375">
        <v>0</v>
      </c>
      <c r="AT205" s="375">
        <v>111787.5</v>
      </c>
      <c r="AU205" s="375">
        <v>7837.5</v>
      </c>
      <c r="AV205" s="375">
        <v>7837.5</v>
      </c>
      <c r="AW205" s="375">
        <v>7837.5</v>
      </c>
      <c r="AX205" s="375">
        <v>7837.5</v>
      </c>
      <c r="AY205" s="375">
        <v>7837.5</v>
      </c>
      <c r="AZ205" s="375">
        <v>7837.5</v>
      </c>
      <c r="BA205" s="375">
        <v>7837.5</v>
      </c>
      <c r="BB205" s="375">
        <v>166650</v>
      </c>
      <c r="BC205" s="79"/>
      <c r="BD205" s="79"/>
      <c r="BE205" s="79"/>
      <c r="BF205" s="79">
        <v>26158</v>
      </c>
      <c r="BG205" s="79">
        <v>26158</v>
      </c>
      <c r="BH205" s="79">
        <v>26158</v>
      </c>
      <c r="BI205" s="79">
        <v>26158</v>
      </c>
      <c r="BJ205" s="79">
        <v>26158</v>
      </c>
      <c r="BK205" s="79">
        <v>26158</v>
      </c>
      <c r="BL205" s="79">
        <v>26158</v>
      </c>
      <c r="BM205" s="79">
        <v>26158</v>
      </c>
      <c r="BN205" s="79">
        <v>26158</v>
      </c>
      <c r="BO205" s="79">
        <v>235422</v>
      </c>
    </row>
    <row r="206" spans="1:67" ht="15" customHeight="1">
      <c r="A206" s="66" t="s">
        <v>1461</v>
      </c>
      <c r="B206" s="66" t="s">
        <v>211</v>
      </c>
      <c r="C206" s="150" t="s">
        <v>1136</v>
      </c>
      <c r="D206" s="150" t="s">
        <v>1345</v>
      </c>
      <c r="E206" s="150" t="s">
        <v>1450</v>
      </c>
      <c r="F206" s="150" t="s">
        <v>1346</v>
      </c>
      <c r="G206" s="511" t="s">
        <v>49</v>
      </c>
      <c r="H206" s="392" t="s">
        <v>1462</v>
      </c>
      <c r="I206" s="343"/>
      <c r="J206" s="343"/>
      <c r="K206" s="70" t="s">
        <v>212</v>
      </c>
      <c r="L206" s="346"/>
      <c r="M206" s="346" t="s">
        <v>1221</v>
      </c>
      <c r="N206" s="346"/>
      <c r="O206" s="150" t="s">
        <v>25</v>
      </c>
      <c r="P206" s="150"/>
      <c r="Q206" s="403"/>
      <c r="R206" s="406">
        <v>70000</v>
      </c>
      <c r="S206" s="406">
        <v>40000</v>
      </c>
      <c r="T206" s="430"/>
      <c r="U206" s="137"/>
      <c r="V206" s="426"/>
      <c r="W206" s="427"/>
      <c r="X206" s="427"/>
      <c r="Y206" s="428" t="s">
        <v>1142</v>
      </c>
      <c r="Z206" s="429">
        <v>0</v>
      </c>
      <c r="AA206" s="429">
        <v>0</v>
      </c>
      <c r="AB206" s="363" t="e">
        <v>#N/A</v>
      </c>
      <c r="AC206" s="363">
        <v>9500</v>
      </c>
      <c r="AD206" s="363">
        <v>0</v>
      </c>
      <c r="AE206" s="363">
        <v>20000</v>
      </c>
      <c r="AF206" s="363">
        <v>0</v>
      </c>
      <c r="AG206" s="363">
        <v>20000</v>
      </c>
      <c r="AH206" s="360" t="e">
        <f t="shared" si="14"/>
        <v>#N/A</v>
      </c>
      <c r="AI206" s="362" t="e">
        <f>ERP[[#This Row],[2026 Working Total]]-ERP[[#This Row],[LE2 Final Submission]]</f>
        <v>#N/A</v>
      </c>
      <c r="AJ206" s="79" t="e">
        <v>#N/A</v>
      </c>
      <c r="AK206" s="79" t="e">
        <f t="shared" si="13"/>
        <v>#N/A</v>
      </c>
      <c r="AL206" s="374">
        <f>SUM(ERP[[#This Row],[AP01]:[AP06]])-SUM(ERP[[#This Row],[AP01 LE2]:[AP06 LE2]])</f>
        <v>-5000</v>
      </c>
      <c r="AM206" s="80"/>
      <c r="AN206" s="79" t="e">
        <f>ERP[[#This Row],[2026 Working Total to Budget/LE]]-ERP[[#This Row],[Giveback]]</f>
        <v>#N/A</v>
      </c>
      <c r="AO206" s="81" t="s">
        <v>1455</v>
      </c>
      <c r="AP206" s="375"/>
      <c r="AQ206" s="375"/>
      <c r="AR206" s="375"/>
      <c r="AS206" s="375"/>
      <c r="AT206" s="375"/>
      <c r="AU206" s="375">
        <v>5000</v>
      </c>
      <c r="AV206" s="375">
        <v>5000</v>
      </c>
      <c r="AW206" s="375">
        <v>5000</v>
      </c>
      <c r="AX206" s="375">
        <v>5000</v>
      </c>
      <c r="AY206" s="375">
        <v>5000</v>
      </c>
      <c r="AZ206" s="375">
        <v>5000</v>
      </c>
      <c r="BA206" s="375">
        <v>10000</v>
      </c>
      <c r="BB206" s="375">
        <v>40000</v>
      </c>
      <c r="BC206" s="79"/>
      <c r="BD206" s="79"/>
      <c r="BE206" s="79"/>
      <c r="BF206" s="79">
        <v>7000</v>
      </c>
      <c r="BG206" s="79">
        <v>7000</v>
      </c>
      <c r="BH206" s="79">
        <v>7000</v>
      </c>
      <c r="BI206" s="79">
        <v>7000</v>
      </c>
      <c r="BJ206" s="79">
        <v>7000</v>
      </c>
      <c r="BK206" s="79">
        <v>7000</v>
      </c>
      <c r="BL206" s="79">
        <v>7000</v>
      </c>
      <c r="BM206" s="79">
        <v>7000</v>
      </c>
      <c r="BN206" s="79">
        <v>7000</v>
      </c>
      <c r="BO206" s="79">
        <v>63000</v>
      </c>
    </row>
    <row r="207" spans="1:67" ht="15" customHeight="1">
      <c r="A207" s="66" t="s">
        <v>1369</v>
      </c>
      <c r="B207" s="66" t="s">
        <v>164</v>
      </c>
      <c r="C207" s="150" t="s">
        <v>1136</v>
      </c>
      <c r="D207" s="150" t="s">
        <v>1345</v>
      </c>
      <c r="E207" s="150" t="s">
        <v>1344</v>
      </c>
      <c r="F207" s="150" t="s">
        <v>1346</v>
      </c>
      <c r="G207" s="511" t="s">
        <v>49</v>
      </c>
      <c r="H207" s="392" t="s">
        <v>1370</v>
      </c>
      <c r="I207" s="343"/>
      <c r="J207" s="343"/>
      <c r="K207" s="70" t="s">
        <v>165</v>
      </c>
      <c r="L207" s="346" t="s">
        <v>1371</v>
      </c>
      <c r="M207" s="343"/>
      <c r="N207" s="346"/>
      <c r="O207" s="150" t="s">
        <v>152</v>
      </c>
      <c r="P207" s="150"/>
      <c r="Q207" s="403"/>
      <c r="R207" s="406">
        <v>50000</v>
      </c>
      <c r="S207" s="406">
        <v>50000</v>
      </c>
      <c r="T207" s="425"/>
      <c r="U207" s="71"/>
      <c r="V207" s="426"/>
      <c r="W207" s="427"/>
      <c r="X207" s="427"/>
      <c r="Y207" s="428" t="s">
        <v>1142</v>
      </c>
      <c r="Z207" s="429">
        <v>0</v>
      </c>
      <c r="AA207" s="429">
        <v>0</v>
      </c>
      <c r="AB207" s="363" t="e">
        <v>#N/A</v>
      </c>
      <c r="AC207" s="363">
        <v>10000</v>
      </c>
      <c r="AD207" s="363">
        <v>10000</v>
      </c>
      <c r="AE207" s="363">
        <v>10000</v>
      </c>
      <c r="AF207" s="363">
        <v>11480</v>
      </c>
      <c r="AG207" s="360">
        <v>0</v>
      </c>
      <c r="AH207" s="360" t="e">
        <f t="shared" si="14"/>
        <v>#N/A</v>
      </c>
      <c r="AI207" s="362" t="e">
        <f>ERP[[#This Row],[2026 Working Total]]-ERP[[#This Row],[LE2 Final Submission]]</f>
        <v>#N/A</v>
      </c>
      <c r="AJ207" s="79" t="e">
        <v>#N/A</v>
      </c>
      <c r="AK207" s="79" t="e">
        <f t="shared" si="13"/>
        <v>#N/A</v>
      </c>
      <c r="AL207" s="374">
        <f>SUM(ERP[[#This Row],[AP01]:[AP06]])-SUM(ERP[[#This Row],[AP01 LE2]:[AP06 LE2]])</f>
        <v>-22500</v>
      </c>
      <c r="AM207" s="80"/>
      <c r="AN207" s="79" t="e">
        <f>ERP[[#This Row],[2026 Working Total to Budget/LE]]-ERP[[#This Row],[Giveback]]</f>
        <v>#N/A</v>
      </c>
      <c r="AO207" s="81"/>
      <c r="AP207" s="375"/>
      <c r="AQ207" s="375"/>
      <c r="AR207" s="375"/>
      <c r="AS207" s="375">
        <v>0</v>
      </c>
      <c r="AT207" s="375">
        <v>11100</v>
      </c>
      <c r="AU207" s="375">
        <v>11400</v>
      </c>
      <c r="AV207" s="375">
        <v>0</v>
      </c>
      <c r="AW207" s="375">
        <v>0</v>
      </c>
      <c r="AX207" s="375">
        <v>9000</v>
      </c>
      <c r="AY207" s="375">
        <v>9000</v>
      </c>
      <c r="AZ207" s="375">
        <v>9500</v>
      </c>
      <c r="BA207" s="375">
        <v>0</v>
      </c>
      <c r="BB207" s="375">
        <v>50000</v>
      </c>
      <c r="BC207" s="79"/>
      <c r="BD207" s="79"/>
      <c r="BE207" s="79"/>
      <c r="BF207" s="79"/>
      <c r="BG207" s="79"/>
      <c r="BH207" s="79"/>
      <c r="BI207" s="79">
        <v>10000</v>
      </c>
      <c r="BJ207" s="79">
        <v>10000</v>
      </c>
      <c r="BK207" s="79">
        <v>10000</v>
      </c>
      <c r="BL207" s="79">
        <v>10000</v>
      </c>
      <c r="BM207" s="79">
        <v>10000</v>
      </c>
      <c r="BN207" s="79">
        <v>0</v>
      </c>
      <c r="BO207" s="79">
        <v>50000</v>
      </c>
    </row>
    <row r="208" spans="1:67" ht="15" customHeight="1">
      <c r="A208" s="66" t="s">
        <v>1176</v>
      </c>
      <c r="B208" s="66" t="s">
        <v>1177</v>
      </c>
      <c r="C208" s="150" t="s">
        <v>1136</v>
      </c>
      <c r="D208" s="150" t="s">
        <v>1135</v>
      </c>
      <c r="E208" s="150" t="s">
        <v>1156</v>
      </c>
      <c r="F208" s="150" t="s">
        <v>1137</v>
      </c>
      <c r="G208" s="511" t="s">
        <v>49</v>
      </c>
      <c r="H208" s="392" t="s">
        <v>1178</v>
      </c>
      <c r="I208" s="343"/>
      <c r="J208" s="343"/>
      <c r="K208" s="70" t="s">
        <v>59</v>
      </c>
      <c r="L208" s="346"/>
      <c r="M208" s="343"/>
      <c r="N208" s="346"/>
      <c r="O208" s="150" t="s">
        <v>25</v>
      </c>
      <c r="P208" s="150"/>
      <c r="Q208" s="403"/>
      <c r="R208" s="406">
        <v>551723.03999999992</v>
      </c>
      <c r="S208" s="406">
        <v>460642</v>
      </c>
      <c r="T208" s="425"/>
      <c r="U208" s="71"/>
      <c r="V208" s="426"/>
      <c r="W208" s="427"/>
      <c r="X208" s="427"/>
      <c r="Y208" s="428">
        <v>0</v>
      </c>
      <c r="Z208" s="429">
        <v>29102.65</v>
      </c>
      <c r="AA208" s="429">
        <v>67355.899999999994</v>
      </c>
      <c r="AB208" s="363" t="e">
        <v>#N/A</v>
      </c>
      <c r="AC208" s="363">
        <v>58020</v>
      </c>
      <c r="AD208" s="363">
        <f>42525+20000</f>
        <v>62525</v>
      </c>
      <c r="AE208" s="363">
        <v>48020</v>
      </c>
      <c r="AF208" s="363">
        <v>42525</v>
      </c>
      <c r="AG208" s="363">
        <v>34020</v>
      </c>
      <c r="AH208" s="360" t="e">
        <f t="shared" si="14"/>
        <v>#N/A</v>
      </c>
      <c r="AI208" s="362" t="e">
        <f>ERP[[#This Row],[2026 Working Total]]-ERP[[#This Row],[LE2 Final Submission]]</f>
        <v>#N/A</v>
      </c>
      <c r="AJ208" s="79" t="e">
        <v>#N/A</v>
      </c>
      <c r="AK208" s="79" t="e">
        <f t="shared" si="13"/>
        <v>#N/A</v>
      </c>
      <c r="AL208" s="374">
        <f>SUM(ERP[[#This Row],[AP01]:[AP06]])-SUM(ERP[[#This Row],[AP01 LE2]:[AP06 LE2]])</f>
        <v>-131967.45000000001</v>
      </c>
      <c r="AM208" s="80">
        <v>-91081</v>
      </c>
      <c r="AN208" s="79" t="e">
        <f>ERP[[#This Row],[2026 Working Total to Budget/LE]]-ERP[[#This Row],[Giveback]]</f>
        <v>#N/A</v>
      </c>
      <c r="AO208" s="81" t="s">
        <v>1179</v>
      </c>
      <c r="AP208" s="375"/>
      <c r="AQ208" s="375"/>
      <c r="AR208" s="375"/>
      <c r="AS208" s="375">
        <v>36666</v>
      </c>
      <c r="AT208" s="375">
        <v>141912</v>
      </c>
      <c r="AU208" s="375">
        <v>49848</v>
      </c>
      <c r="AV208" s="375">
        <v>40857</v>
      </c>
      <c r="AW208" s="375">
        <v>40681</v>
      </c>
      <c r="AX208" s="375">
        <v>37645</v>
      </c>
      <c r="AY208" s="375">
        <v>37694</v>
      </c>
      <c r="AZ208" s="375">
        <v>37645</v>
      </c>
      <c r="BA208" s="375">
        <v>37694</v>
      </c>
      <c r="BB208" s="375">
        <v>460642</v>
      </c>
      <c r="BC208" s="79"/>
      <c r="BD208" s="79"/>
      <c r="BE208" s="79"/>
      <c r="BF208" s="79">
        <v>61303</v>
      </c>
      <c r="BG208" s="79">
        <v>61303</v>
      </c>
      <c r="BH208" s="79">
        <v>61303</v>
      </c>
      <c r="BI208" s="79">
        <v>61303</v>
      </c>
      <c r="BJ208" s="79">
        <v>61303</v>
      </c>
      <c r="BK208" s="79">
        <v>61303</v>
      </c>
      <c r="BL208" s="79">
        <v>61303</v>
      </c>
      <c r="BM208" s="79">
        <v>61303</v>
      </c>
      <c r="BN208" s="79">
        <v>61303</v>
      </c>
      <c r="BO208" s="79">
        <v>551727</v>
      </c>
    </row>
    <row r="209" spans="1:67" ht="15" customHeight="1">
      <c r="A209" s="66" t="s">
        <v>1372</v>
      </c>
      <c r="B209" s="66" t="s">
        <v>166</v>
      </c>
      <c r="C209" s="150" t="s">
        <v>1136</v>
      </c>
      <c r="D209" s="150" t="s">
        <v>1345</v>
      </c>
      <c r="E209" s="150" t="s">
        <v>1344</v>
      </c>
      <c r="F209" s="150" t="s">
        <v>1346</v>
      </c>
      <c r="G209" s="511" t="s">
        <v>49</v>
      </c>
      <c r="H209" s="392" t="s">
        <v>1373</v>
      </c>
      <c r="I209" s="343"/>
      <c r="J209" s="343"/>
      <c r="K209" s="70" t="s">
        <v>167</v>
      </c>
      <c r="L209" s="346"/>
      <c r="M209" s="343"/>
      <c r="N209" s="346"/>
      <c r="O209" s="150" t="s">
        <v>25</v>
      </c>
      <c r="P209" s="150"/>
      <c r="Q209" s="403"/>
      <c r="R209" s="406">
        <v>6000</v>
      </c>
      <c r="S209" s="406">
        <v>6000</v>
      </c>
      <c r="T209" s="430"/>
      <c r="U209" s="137"/>
      <c r="V209" s="426"/>
      <c r="W209" s="427"/>
      <c r="X209" s="427"/>
      <c r="Y209" s="428" t="s">
        <v>1142</v>
      </c>
      <c r="Z209" s="429">
        <v>0</v>
      </c>
      <c r="AA209" s="429">
        <v>0</v>
      </c>
      <c r="AB209" s="363" t="e">
        <v>#N/A</v>
      </c>
      <c r="AC209" s="363"/>
      <c r="AD209" s="363">
        <v>6000</v>
      </c>
      <c r="AE209" s="360">
        <v>0</v>
      </c>
      <c r="AF209" s="360">
        <v>0</v>
      </c>
      <c r="AG209" s="360">
        <v>0</v>
      </c>
      <c r="AH209" s="360" t="e">
        <f t="shared" si="14"/>
        <v>#N/A</v>
      </c>
      <c r="AI209" s="362" t="e">
        <f>ERP[[#This Row],[2026 Working Total]]-ERP[[#This Row],[LE2 Final Submission]]</f>
        <v>#N/A</v>
      </c>
      <c r="AJ209" s="79" t="e">
        <v>#N/A</v>
      </c>
      <c r="AK209" s="79" t="e">
        <f t="shared" si="13"/>
        <v>#N/A</v>
      </c>
      <c r="AL209" s="374">
        <f>SUM(ERP[[#This Row],[AP01]:[AP06]])-SUM(ERP[[#This Row],[AP01 LE2]:[AP06 LE2]])</f>
        <v>0</v>
      </c>
      <c r="AM209" s="80"/>
      <c r="AN209" s="79" t="e">
        <f>ERP[[#This Row],[2026 Working Total to Budget/LE]]-ERP[[#This Row],[Giveback]]</f>
        <v>#N/A</v>
      </c>
      <c r="AO209" s="81"/>
      <c r="AP209" s="375"/>
      <c r="AQ209" s="375"/>
      <c r="AR209" s="375"/>
      <c r="AS209" s="375"/>
      <c r="AT209" s="375"/>
      <c r="AU209" s="375"/>
      <c r="AV209" s="375"/>
      <c r="AW209" s="375"/>
      <c r="AX209" s="375">
        <v>6000</v>
      </c>
      <c r="AY209" s="375">
        <v>0</v>
      </c>
      <c r="AZ209" s="375">
        <v>0</v>
      </c>
      <c r="BA209" s="375">
        <v>0</v>
      </c>
      <c r="BB209" s="375">
        <v>6000</v>
      </c>
      <c r="BC209" s="79"/>
      <c r="BD209" s="79"/>
      <c r="BE209" s="79"/>
      <c r="BF209" s="79"/>
      <c r="BG209" s="79"/>
      <c r="BH209" s="79"/>
      <c r="BI209" s="79"/>
      <c r="BJ209" s="79"/>
      <c r="BK209" s="79">
        <v>6000</v>
      </c>
      <c r="BL209" s="79">
        <v>0</v>
      </c>
      <c r="BM209" s="79">
        <v>0</v>
      </c>
      <c r="BN209" s="79">
        <v>0</v>
      </c>
      <c r="BO209" s="79">
        <v>6000</v>
      </c>
    </row>
    <row r="210" spans="1:67" ht="15" customHeight="1">
      <c r="A210" s="66" t="s">
        <v>1374</v>
      </c>
      <c r="B210" s="66" t="s">
        <v>168</v>
      </c>
      <c r="C210" s="150" t="s">
        <v>1136</v>
      </c>
      <c r="D210" s="150" t="s">
        <v>1345</v>
      </c>
      <c r="E210" s="150" t="s">
        <v>1344</v>
      </c>
      <c r="F210" s="150" t="s">
        <v>1346</v>
      </c>
      <c r="G210" s="511" t="s">
        <v>49</v>
      </c>
      <c r="H210" s="392" t="s">
        <v>1375</v>
      </c>
      <c r="I210" s="343"/>
      <c r="J210" s="343"/>
      <c r="K210" s="70" t="s">
        <v>169</v>
      </c>
      <c r="L210" s="346"/>
      <c r="M210" s="343"/>
      <c r="N210" s="346"/>
      <c r="O210" s="150" t="s">
        <v>25</v>
      </c>
      <c r="P210" s="150"/>
      <c r="Q210" s="403"/>
      <c r="R210" s="406">
        <v>6000</v>
      </c>
      <c r="S210" s="406">
        <v>6000</v>
      </c>
      <c r="T210" s="425"/>
      <c r="U210" s="71"/>
      <c r="V210" s="426"/>
      <c r="W210" s="427"/>
      <c r="X210" s="427"/>
      <c r="Y210" s="428" t="s">
        <v>1142</v>
      </c>
      <c r="Z210" s="429">
        <v>0</v>
      </c>
      <c r="AA210" s="429">
        <v>0</v>
      </c>
      <c r="AB210" s="363" t="e">
        <v>#N/A</v>
      </c>
      <c r="AC210" s="363"/>
      <c r="AD210" s="363">
        <v>6000</v>
      </c>
      <c r="AE210" s="360">
        <v>0</v>
      </c>
      <c r="AF210" s="360">
        <v>0</v>
      </c>
      <c r="AG210" s="360">
        <v>0</v>
      </c>
      <c r="AH210" s="360" t="e">
        <f t="shared" si="14"/>
        <v>#N/A</v>
      </c>
      <c r="AI210" s="362" t="e">
        <f>ERP[[#This Row],[2026 Working Total]]-ERP[[#This Row],[LE2 Final Submission]]</f>
        <v>#N/A</v>
      </c>
      <c r="AJ210" s="79" t="e">
        <v>#N/A</v>
      </c>
      <c r="AK210" s="79" t="e">
        <f t="shared" si="13"/>
        <v>#N/A</v>
      </c>
      <c r="AL210" s="374">
        <f>SUM(ERP[[#This Row],[AP01]:[AP06]])-SUM(ERP[[#This Row],[AP01 LE2]:[AP06 LE2]])</f>
        <v>0</v>
      </c>
      <c r="AM210" s="80"/>
      <c r="AN210" s="79" t="e">
        <f>ERP[[#This Row],[2026 Working Total to Budget/LE]]-ERP[[#This Row],[Giveback]]</f>
        <v>#N/A</v>
      </c>
      <c r="AO210" s="81"/>
      <c r="AP210" s="375"/>
      <c r="AQ210" s="375"/>
      <c r="AR210" s="375"/>
      <c r="AS210" s="375"/>
      <c r="AT210" s="375"/>
      <c r="AU210" s="375"/>
      <c r="AV210" s="375"/>
      <c r="AW210" s="375"/>
      <c r="AX210" s="375">
        <v>6000</v>
      </c>
      <c r="AY210" s="375">
        <v>0</v>
      </c>
      <c r="AZ210" s="375">
        <v>0</v>
      </c>
      <c r="BA210" s="375">
        <v>0</v>
      </c>
      <c r="BB210" s="375">
        <v>6000</v>
      </c>
      <c r="BC210" s="79"/>
      <c r="BD210" s="79"/>
      <c r="BE210" s="79"/>
      <c r="BF210" s="79"/>
      <c r="BG210" s="79"/>
      <c r="BH210" s="79"/>
      <c r="BI210" s="79"/>
      <c r="BJ210" s="79"/>
      <c r="BK210" s="79">
        <v>6000</v>
      </c>
      <c r="BL210" s="79">
        <v>0</v>
      </c>
      <c r="BM210" s="79">
        <v>0</v>
      </c>
      <c r="BN210" s="79">
        <v>0</v>
      </c>
      <c r="BO210" s="79">
        <v>6000</v>
      </c>
    </row>
    <row r="211" spans="1:67" ht="15" customHeight="1">
      <c r="A211" s="66" t="s">
        <v>1376</v>
      </c>
      <c r="B211" s="66" t="s">
        <v>170</v>
      </c>
      <c r="C211" s="150" t="s">
        <v>1136</v>
      </c>
      <c r="D211" s="150" t="s">
        <v>1345</v>
      </c>
      <c r="E211" s="150" t="s">
        <v>1344</v>
      </c>
      <c r="F211" s="150" t="s">
        <v>1346</v>
      </c>
      <c r="G211" s="511" t="s">
        <v>49</v>
      </c>
      <c r="H211" s="392" t="s">
        <v>1377</v>
      </c>
      <c r="I211" s="343"/>
      <c r="J211" s="343"/>
      <c r="K211" s="70" t="s">
        <v>171</v>
      </c>
      <c r="L211" s="346"/>
      <c r="M211" s="343"/>
      <c r="N211" s="346"/>
      <c r="O211" s="150" t="s">
        <v>25</v>
      </c>
      <c r="P211" s="150"/>
      <c r="Q211" s="403"/>
      <c r="R211" s="406">
        <v>45000</v>
      </c>
      <c r="S211" s="406">
        <v>45000</v>
      </c>
      <c r="T211" s="425"/>
      <c r="U211" s="71"/>
      <c r="V211" s="426"/>
      <c r="W211" s="427"/>
      <c r="X211" s="427"/>
      <c r="Y211" s="428" t="s">
        <v>1142</v>
      </c>
      <c r="Z211" s="429">
        <v>0</v>
      </c>
      <c r="AA211" s="429">
        <v>0</v>
      </c>
      <c r="AB211" s="363" t="e">
        <v>#N/A</v>
      </c>
      <c r="AC211" s="363"/>
      <c r="AD211" s="363">
        <v>45000</v>
      </c>
      <c r="AE211" s="360">
        <v>0</v>
      </c>
      <c r="AF211" s="360">
        <v>0</v>
      </c>
      <c r="AG211" s="360">
        <v>0</v>
      </c>
      <c r="AH211" s="360" t="e">
        <f t="shared" si="14"/>
        <v>#N/A</v>
      </c>
      <c r="AI211" s="362" t="e">
        <f>ERP[[#This Row],[2026 Working Total]]-ERP[[#This Row],[LE2 Final Submission]]</f>
        <v>#N/A</v>
      </c>
      <c r="AJ211" s="79" t="e">
        <v>#N/A</v>
      </c>
      <c r="AK211" s="79" t="e">
        <f t="shared" si="13"/>
        <v>#N/A</v>
      </c>
      <c r="AL211" s="374">
        <f>SUM(ERP[[#This Row],[AP01]:[AP06]])-SUM(ERP[[#This Row],[AP01 LE2]:[AP06 LE2]])</f>
        <v>0</v>
      </c>
      <c r="AM211" s="80"/>
      <c r="AN211" s="79" t="e">
        <f>ERP[[#This Row],[2026 Working Total to Budget/LE]]-ERP[[#This Row],[Giveback]]</f>
        <v>#N/A</v>
      </c>
      <c r="AO211" s="81"/>
      <c r="AP211" s="375"/>
      <c r="AQ211" s="375"/>
      <c r="AR211" s="375"/>
      <c r="AS211" s="375"/>
      <c r="AT211" s="375"/>
      <c r="AU211" s="375"/>
      <c r="AV211" s="375"/>
      <c r="AW211" s="375"/>
      <c r="AX211" s="375">
        <v>45000</v>
      </c>
      <c r="AY211" s="375">
        <v>0</v>
      </c>
      <c r="AZ211" s="375">
        <v>0</v>
      </c>
      <c r="BA211" s="375">
        <v>0</v>
      </c>
      <c r="BB211" s="375">
        <v>45000</v>
      </c>
      <c r="BC211" s="79"/>
      <c r="BD211" s="79"/>
      <c r="BE211" s="79"/>
      <c r="BF211" s="79"/>
      <c r="BG211" s="79"/>
      <c r="BH211" s="79"/>
      <c r="BI211" s="79"/>
      <c r="BJ211" s="79"/>
      <c r="BK211" s="79">
        <v>45000</v>
      </c>
      <c r="BL211" s="79">
        <v>0</v>
      </c>
      <c r="BM211" s="79">
        <v>0</v>
      </c>
      <c r="BN211" s="79">
        <v>0</v>
      </c>
      <c r="BO211" s="79">
        <v>45000</v>
      </c>
    </row>
    <row r="212" spans="1:67" ht="15" customHeight="1">
      <c r="A212" s="66" t="s">
        <v>1608</v>
      </c>
      <c r="B212" s="66" t="s">
        <v>1609</v>
      </c>
      <c r="C212" s="150" t="s">
        <v>1136</v>
      </c>
      <c r="D212" s="150" t="s">
        <v>1567</v>
      </c>
      <c r="E212" s="150" t="s">
        <v>1567</v>
      </c>
      <c r="F212" s="150" t="s">
        <v>1567</v>
      </c>
      <c r="G212" s="511" t="s">
        <v>49</v>
      </c>
      <c r="H212" s="392" t="s">
        <v>1610</v>
      </c>
      <c r="I212" s="343"/>
      <c r="J212" s="343"/>
      <c r="K212" s="70" t="s">
        <v>295</v>
      </c>
      <c r="L212" s="346"/>
      <c r="M212" s="343"/>
      <c r="N212" s="346"/>
      <c r="O212" s="150" t="s">
        <v>296</v>
      </c>
      <c r="P212" s="150"/>
      <c r="Q212" s="404"/>
      <c r="R212" s="407">
        <v>0</v>
      </c>
      <c r="S212" s="407">
        <v>0</v>
      </c>
      <c r="T212" s="425"/>
      <c r="U212" s="71"/>
      <c r="V212" s="426">
        <v>-1104045.58</v>
      </c>
      <c r="W212" s="427">
        <v>1104045.58</v>
      </c>
      <c r="X212" s="427"/>
      <c r="Y212" s="428">
        <v>0</v>
      </c>
      <c r="Z212" s="429">
        <v>0</v>
      </c>
      <c r="AA212" s="429">
        <v>0</v>
      </c>
      <c r="AB212" s="363" t="e">
        <v>#N/A</v>
      </c>
      <c r="AC212" s="363"/>
      <c r="AD212" s="363"/>
      <c r="AE212" s="363"/>
      <c r="AF212" s="363"/>
      <c r="AG212" s="363"/>
      <c r="AH212" s="360" t="e">
        <f t="shared" si="14"/>
        <v>#N/A</v>
      </c>
      <c r="AI212" s="362" t="e">
        <f>ERP[[#This Row],[2026 Working Total]]-ERP[[#This Row],[LE2 Final Submission]]</f>
        <v>#N/A</v>
      </c>
      <c r="AJ212" s="79" t="e">
        <v>#N/A</v>
      </c>
      <c r="AK212" s="79" t="e">
        <f t="shared" si="13"/>
        <v>#N/A</v>
      </c>
      <c r="AL212" s="374">
        <f>SUM(ERP[[#This Row],[AP01]:[AP06]])-SUM(ERP[[#This Row],[AP01 LE2]:[AP06 LE2]])</f>
        <v>0</v>
      </c>
      <c r="AM212" s="80"/>
      <c r="AN212" s="79" t="e">
        <f>ERP[[#This Row],[2026 Working Total to Budget/LE]]-ERP[[#This Row],[Giveback]]</f>
        <v>#N/A</v>
      </c>
      <c r="AO212" s="81"/>
      <c r="AP212" s="375">
        <v>-1104045.58</v>
      </c>
      <c r="AQ212" s="375">
        <v>1104045.58</v>
      </c>
      <c r="AR212" s="375"/>
      <c r="AS212" s="375"/>
      <c r="AT212" s="375"/>
      <c r="AU212" s="375"/>
      <c r="AV212" s="375"/>
      <c r="AW212" s="375"/>
      <c r="AX212" s="375"/>
      <c r="AY212" s="375"/>
      <c r="AZ212" s="375"/>
      <c r="BA212" s="375"/>
      <c r="BB212" s="375">
        <v>0</v>
      </c>
      <c r="BC212" s="79">
        <v>-1104045.58</v>
      </c>
      <c r="BD212" s="79">
        <v>1104045.58</v>
      </c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>
        <v>0</v>
      </c>
    </row>
    <row r="213" spans="1:67" ht="15" customHeight="1">
      <c r="A213" s="66" t="s">
        <v>1552</v>
      </c>
      <c r="B213" s="66" t="s">
        <v>260</v>
      </c>
      <c r="C213" s="150" t="s">
        <v>1136</v>
      </c>
      <c r="D213" s="150" t="s">
        <v>1345</v>
      </c>
      <c r="E213" s="150" t="s">
        <v>1515</v>
      </c>
      <c r="F213" s="150" t="s">
        <v>1346</v>
      </c>
      <c r="G213" s="511" t="s">
        <v>49</v>
      </c>
      <c r="H213" s="392" t="s">
        <v>1553</v>
      </c>
      <c r="I213" s="343"/>
      <c r="J213" s="343"/>
      <c r="K213" s="70" t="s">
        <v>261</v>
      </c>
      <c r="L213" s="346"/>
      <c r="M213" s="343"/>
      <c r="N213" s="346"/>
      <c r="O213" s="150" t="s">
        <v>25</v>
      </c>
      <c r="P213" s="150"/>
      <c r="Q213" s="403"/>
      <c r="R213" s="406">
        <v>10277</v>
      </c>
      <c r="S213" s="406">
        <v>10277</v>
      </c>
      <c r="T213" s="425"/>
      <c r="U213" s="71"/>
      <c r="V213" s="426"/>
      <c r="W213" s="427"/>
      <c r="X213" s="427"/>
      <c r="Y213" s="428" t="s">
        <v>1142</v>
      </c>
      <c r="Z213" s="429">
        <v>0</v>
      </c>
      <c r="AA213" s="429">
        <v>0</v>
      </c>
      <c r="AB213" s="363" t="e">
        <v>#N/A</v>
      </c>
      <c r="AC213" s="363">
        <v>5723</v>
      </c>
      <c r="AD213" s="360">
        <v>0</v>
      </c>
      <c r="AE213" s="360">
        <v>0</v>
      </c>
      <c r="AF213" s="360">
        <v>0</v>
      </c>
      <c r="AG213" s="360">
        <v>0</v>
      </c>
      <c r="AH213" s="360" t="e">
        <f t="shared" si="14"/>
        <v>#N/A</v>
      </c>
      <c r="AI213" s="362" t="e">
        <f>ERP[[#This Row],[2026 Working Total]]-ERP[[#This Row],[LE2 Final Submission]]</f>
        <v>#N/A</v>
      </c>
      <c r="AJ213" s="79" t="e">
        <v>#N/A</v>
      </c>
      <c r="AK213" s="79" t="e">
        <f t="shared" si="13"/>
        <v>#N/A</v>
      </c>
      <c r="AL213" s="374">
        <f>SUM(ERP[[#This Row],[AP01]:[AP06]])-SUM(ERP[[#This Row],[AP01 LE2]:[AP06 LE2]])</f>
        <v>-4554</v>
      </c>
      <c r="AM213" s="80"/>
      <c r="AN213" s="79" t="e">
        <f>ERP[[#This Row],[2026 Working Total to Budget/LE]]-ERP[[#This Row],[Giveback]]</f>
        <v>#N/A</v>
      </c>
      <c r="AO213" s="81"/>
      <c r="AP213" s="375"/>
      <c r="AQ213" s="375"/>
      <c r="AR213" s="375"/>
      <c r="AS213" s="375"/>
      <c r="AT213" s="375">
        <v>4554</v>
      </c>
      <c r="AU213" s="375">
        <v>0</v>
      </c>
      <c r="AV213" s="375">
        <v>0</v>
      </c>
      <c r="AW213" s="375">
        <v>5723</v>
      </c>
      <c r="AX213" s="375">
        <v>0</v>
      </c>
      <c r="AY213" s="375">
        <v>0</v>
      </c>
      <c r="AZ213" s="375">
        <v>0</v>
      </c>
      <c r="BA213" s="375">
        <v>0</v>
      </c>
      <c r="BB213" s="375">
        <v>10277</v>
      </c>
      <c r="BC213" s="79"/>
      <c r="BD213" s="79"/>
      <c r="BE213" s="79"/>
      <c r="BF213" s="79"/>
      <c r="BG213" s="79">
        <v>4554</v>
      </c>
      <c r="BH213" s="79">
        <v>0</v>
      </c>
      <c r="BI213" s="79">
        <v>0</v>
      </c>
      <c r="BJ213" s="79">
        <v>5723</v>
      </c>
      <c r="BK213" s="79">
        <v>0</v>
      </c>
      <c r="BL213" s="79">
        <v>0</v>
      </c>
      <c r="BM213" s="79">
        <v>0</v>
      </c>
      <c r="BN213" s="79">
        <v>0</v>
      </c>
      <c r="BO213" s="79">
        <v>10277</v>
      </c>
    </row>
    <row r="214" spans="1:67" ht="15" customHeight="1">
      <c r="A214" s="66" t="s">
        <v>1180</v>
      </c>
      <c r="B214" s="66" t="s">
        <v>1181</v>
      </c>
      <c r="C214" s="150" t="s">
        <v>1136</v>
      </c>
      <c r="D214" s="150" t="s">
        <v>1135</v>
      </c>
      <c r="E214" s="150" t="s">
        <v>1137</v>
      </c>
      <c r="F214" s="150" t="s">
        <v>1137</v>
      </c>
      <c r="G214" s="511" t="s">
        <v>49</v>
      </c>
      <c r="H214" s="392" t="s">
        <v>1182</v>
      </c>
      <c r="I214" s="343"/>
      <c r="J214" s="343"/>
      <c r="K214" s="70" t="s">
        <v>61</v>
      </c>
      <c r="L214" s="346"/>
      <c r="M214" s="343"/>
      <c r="N214" s="346"/>
      <c r="O214" s="150" t="s">
        <v>25</v>
      </c>
      <c r="P214" s="150"/>
      <c r="Q214" s="403"/>
      <c r="R214" s="406">
        <v>0</v>
      </c>
      <c r="S214" s="406">
        <v>214.49</v>
      </c>
      <c r="T214" s="425"/>
      <c r="U214" s="71"/>
      <c r="V214" s="426">
        <v>215.71</v>
      </c>
      <c r="W214" s="427">
        <v>-1.22</v>
      </c>
      <c r="X214" s="431">
        <v>0</v>
      </c>
      <c r="Y214" s="428" t="s">
        <v>1142</v>
      </c>
      <c r="Z214" s="429">
        <v>0</v>
      </c>
      <c r="AA214" s="429">
        <v>0</v>
      </c>
      <c r="AB214" s="363" t="e">
        <v>#N/A</v>
      </c>
      <c r="AC214" s="360">
        <v>0</v>
      </c>
      <c r="AD214" s="360">
        <v>0</v>
      </c>
      <c r="AE214" s="360">
        <v>0</v>
      </c>
      <c r="AF214" s="360">
        <v>0</v>
      </c>
      <c r="AG214" s="360">
        <v>0</v>
      </c>
      <c r="AH214" s="360" t="e">
        <f t="shared" si="14"/>
        <v>#N/A</v>
      </c>
      <c r="AI214" s="362" t="e">
        <f>ERP[[#This Row],[2026 Working Total]]-ERP[[#This Row],[LE2 Final Submission]]</f>
        <v>#N/A</v>
      </c>
      <c r="AJ214" s="79" t="e">
        <v>#N/A</v>
      </c>
      <c r="AK214" s="79" t="e">
        <f t="shared" si="13"/>
        <v>#N/A</v>
      </c>
      <c r="AL214" s="374">
        <f>SUM(ERP[[#This Row],[AP01]:[AP06]])-SUM(ERP[[#This Row],[AP01 LE2]:[AP06 LE2]])</f>
        <v>0</v>
      </c>
      <c r="AM214" s="80"/>
      <c r="AN214" s="79" t="e">
        <f>ERP[[#This Row],[2026 Working Total to Budget/LE]]-ERP[[#This Row],[Giveback]]</f>
        <v>#N/A</v>
      </c>
      <c r="AO214" s="81"/>
      <c r="AP214" s="375">
        <v>215.71</v>
      </c>
      <c r="AQ214" s="375">
        <v>-1.22</v>
      </c>
      <c r="AR214" s="375">
        <v>0</v>
      </c>
      <c r="AS214" s="375">
        <v>0</v>
      </c>
      <c r="AT214" s="375">
        <v>0</v>
      </c>
      <c r="AU214" s="375">
        <v>0</v>
      </c>
      <c r="AV214" s="375">
        <v>0</v>
      </c>
      <c r="AW214" s="375">
        <v>0</v>
      </c>
      <c r="AX214" s="375">
        <v>0</v>
      </c>
      <c r="AY214" s="375">
        <v>0</v>
      </c>
      <c r="AZ214" s="375">
        <v>0</v>
      </c>
      <c r="BA214" s="375">
        <v>0</v>
      </c>
      <c r="BB214" s="375">
        <v>214.49</v>
      </c>
      <c r="BC214" s="79">
        <v>215.71</v>
      </c>
      <c r="BD214" s="79">
        <v>-1.22</v>
      </c>
      <c r="BE214" s="79">
        <v>0</v>
      </c>
      <c r="BF214" s="79">
        <v>0</v>
      </c>
      <c r="BG214" s="79">
        <v>0</v>
      </c>
      <c r="BH214" s="79">
        <v>0</v>
      </c>
      <c r="BI214" s="79">
        <v>0</v>
      </c>
      <c r="BJ214" s="79">
        <v>0</v>
      </c>
      <c r="BK214" s="79">
        <v>0</v>
      </c>
      <c r="BL214" s="79">
        <v>0</v>
      </c>
      <c r="BM214" s="79">
        <v>0</v>
      </c>
      <c r="BN214" s="79">
        <v>0</v>
      </c>
      <c r="BO214" s="79">
        <v>214.49</v>
      </c>
    </row>
    <row r="215" spans="1:67" ht="15" customHeight="1">
      <c r="A215" s="66" t="s">
        <v>1183</v>
      </c>
      <c r="B215" s="66" t="s">
        <v>1184</v>
      </c>
      <c r="C215" s="150" t="s">
        <v>1136</v>
      </c>
      <c r="D215" s="150" t="s">
        <v>1135</v>
      </c>
      <c r="E215" s="150" t="s">
        <v>1145</v>
      </c>
      <c r="F215" s="150" t="s">
        <v>1137</v>
      </c>
      <c r="G215" s="511" t="s">
        <v>49</v>
      </c>
      <c r="H215" s="392" t="s">
        <v>1185</v>
      </c>
      <c r="I215" s="343"/>
      <c r="J215" s="346" t="s">
        <v>1186</v>
      </c>
      <c r="K215" s="70" t="s">
        <v>63</v>
      </c>
      <c r="L215" s="346"/>
      <c r="M215" s="346" t="s">
        <v>1187</v>
      </c>
      <c r="N215" s="346"/>
      <c r="O215" s="150" t="s">
        <v>64</v>
      </c>
      <c r="P215" s="150"/>
      <c r="Q215" s="403"/>
      <c r="R215" s="406">
        <v>345518.86</v>
      </c>
      <c r="S215" s="406">
        <v>345670.24</v>
      </c>
      <c r="T215" s="425"/>
      <c r="U215" s="71"/>
      <c r="V215" s="426">
        <v>35812</v>
      </c>
      <c r="W215" s="427">
        <v>40109.440000000002</v>
      </c>
      <c r="X215" s="427">
        <v>50136.800000000003</v>
      </c>
      <c r="Y215" s="428">
        <v>40109.449999999997</v>
      </c>
      <c r="Z215" s="429">
        <v>40109.449999999997</v>
      </c>
      <c r="AA215" s="429">
        <v>29136.779999999995</v>
      </c>
      <c r="AB215" s="363" t="e">
        <v>#N/A</v>
      </c>
      <c r="AC215" s="363">
        <v>19127</v>
      </c>
      <c r="AD215" s="363">
        <v>19127</v>
      </c>
      <c r="AE215" s="363">
        <v>19127</v>
      </c>
      <c r="AF215" s="363">
        <v>19127</v>
      </c>
      <c r="AG215" s="363">
        <v>19127</v>
      </c>
      <c r="AH215" s="360" t="e">
        <f t="shared" si="14"/>
        <v>#N/A</v>
      </c>
      <c r="AI215" s="362" t="e">
        <f>ERP[[#This Row],[2026 Working Total]]-ERP[[#This Row],[LE2 Final Submission]]</f>
        <v>#N/A</v>
      </c>
      <c r="AJ215" s="79" t="e">
        <v>#N/A</v>
      </c>
      <c r="AK215" s="79" t="e">
        <f t="shared" si="13"/>
        <v>#N/A</v>
      </c>
      <c r="AL215" s="374">
        <f>SUM(ERP[[#This Row],[AP01]:[AP06]])-SUM(ERP[[#This Row],[AP01 LE2]:[AP06 LE2]])</f>
        <v>11561.680000000022</v>
      </c>
      <c r="AM215" s="80"/>
      <c r="AN215" s="79" t="e">
        <f>ERP[[#This Row],[2026 Working Total to Budget/LE]]-ERP[[#This Row],[Giveback]]</f>
        <v>#N/A</v>
      </c>
      <c r="AO215" s="81"/>
      <c r="AP215" s="375">
        <v>35812</v>
      </c>
      <c r="AQ215" s="375">
        <v>40109.440000000002</v>
      </c>
      <c r="AR215" s="375">
        <v>50136.800000000003</v>
      </c>
      <c r="AS215" s="375">
        <v>40000</v>
      </c>
      <c r="AT215" s="375">
        <v>28897</v>
      </c>
      <c r="AU215" s="375">
        <v>28897</v>
      </c>
      <c r="AV215" s="375">
        <v>23013</v>
      </c>
      <c r="AW215" s="375">
        <v>22297</v>
      </c>
      <c r="AX215" s="375">
        <v>19127</v>
      </c>
      <c r="AY215" s="375">
        <v>19127</v>
      </c>
      <c r="AZ215" s="375">
        <v>19127</v>
      </c>
      <c r="BA215" s="375">
        <v>19127</v>
      </c>
      <c r="BB215" s="375">
        <v>345670.24</v>
      </c>
      <c r="BC215" s="79">
        <v>35812</v>
      </c>
      <c r="BD215" s="79">
        <v>40109.440000000002</v>
      </c>
      <c r="BE215" s="79">
        <v>50136.800000000003</v>
      </c>
      <c r="BF215" s="79">
        <v>40000</v>
      </c>
      <c r="BG215" s="79">
        <v>28897</v>
      </c>
      <c r="BH215" s="79">
        <v>28897</v>
      </c>
      <c r="BI215" s="79">
        <v>23013</v>
      </c>
      <c r="BJ215" s="79">
        <v>22297</v>
      </c>
      <c r="BK215" s="79">
        <v>22297</v>
      </c>
      <c r="BL215" s="79">
        <v>22297</v>
      </c>
      <c r="BM215" s="79">
        <v>22297</v>
      </c>
      <c r="BN215" s="79">
        <v>22297</v>
      </c>
      <c r="BO215" s="79">
        <v>358350.24</v>
      </c>
    </row>
    <row r="216" spans="1:67" ht="15" customHeight="1">
      <c r="A216" s="66" t="s">
        <v>1188</v>
      </c>
      <c r="B216" s="66" t="s">
        <v>65</v>
      </c>
      <c r="C216" s="150" t="s">
        <v>1136</v>
      </c>
      <c r="D216" s="150" t="s">
        <v>1135</v>
      </c>
      <c r="E216" s="150" t="s">
        <v>1135</v>
      </c>
      <c r="F216" s="150" t="s">
        <v>1137</v>
      </c>
      <c r="G216" s="511" t="s">
        <v>49</v>
      </c>
      <c r="H216" s="392" t="s">
        <v>1189</v>
      </c>
      <c r="I216" s="343" t="s">
        <v>2910</v>
      </c>
      <c r="J216" s="346" t="s">
        <v>1191</v>
      </c>
      <c r="K216" s="70" t="s">
        <v>66</v>
      </c>
      <c r="L216" s="346"/>
      <c r="M216" s="346" t="s">
        <v>1192</v>
      </c>
      <c r="N216" s="346"/>
      <c r="O216" s="150" t="s">
        <v>67</v>
      </c>
      <c r="P216" s="150"/>
      <c r="Q216" s="403"/>
      <c r="R216" s="406">
        <v>216000</v>
      </c>
      <c r="S216" s="406">
        <v>197423.06</v>
      </c>
      <c r="T216" s="430"/>
      <c r="U216" s="137"/>
      <c r="V216" s="426">
        <v>14166</v>
      </c>
      <c r="W216" s="427">
        <v>18835.37</v>
      </c>
      <c r="X216" s="427">
        <v>16863.689999999999</v>
      </c>
      <c r="Y216" s="428">
        <v>15866.15</v>
      </c>
      <c r="Z216" s="429">
        <v>15866.160000000003</v>
      </c>
      <c r="AA216" s="429">
        <v>19832.689999999999</v>
      </c>
      <c r="AB216" s="363" t="e">
        <v>#N/A</v>
      </c>
      <c r="AC216" s="363">
        <v>17000</v>
      </c>
      <c r="AD216" s="363">
        <v>17000</v>
      </c>
      <c r="AE216" s="363">
        <v>17000</v>
      </c>
      <c r="AF216" s="363">
        <v>17000</v>
      </c>
      <c r="AG216" s="363">
        <v>17000</v>
      </c>
      <c r="AH216" s="360" t="e">
        <f t="shared" si="14"/>
        <v>#N/A</v>
      </c>
      <c r="AI216" s="362" t="e">
        <f>ERP[[#This Row],[2026 Working Total]]-ERP[[#This Row],[LE2 Final Submission]]</f>
        <v>#N/A</v>
      </c>
      <c r="AJ216" s="79" t="e">
        <v>#N/A</v>
      </c>
      <c r="AK216" s="79" t="e">
        <f t="shared" si="13"/>
        <v>#N/A</v>
      </c>
      <c r="AL216" s="374">
        <f>SUM(ERP[[#This Row],[AP01]:[AP06]])-SUM(ERP[[#This Row],[AP01 LE2]:[AP06 LE2]])</f>
        <v>6007</v>
      </c>
      <c r="AM216" s="80"/>
      <c r="AN216" s="79" t="e">
        <f>ERP[[#This Row],[2026 Working Total to Budget/LE]]-ERP[[#This Row],[Giveback]]</f>
        <v>#N/A</v>
      </c>
      <c r="AO216" s="81"/>
      <c r="AP216" s="375">
        <v>14166</v>
      </c>
      <c r="AQ216" s="375">
        <v>18835.37</v>
      </c>
      <c r="AR216" s="375">
        <v>16863.689999999999</v>
      </c>
      <c r="AS216" s="375">
        <v>11558</v>
      </c>
      <c r="AT216" s="375">
        <v>17000</v>
      </c>
      <c r="AU216" s="375">
        <v>17000</v>
      </c>
      <c r="AV216" s="375">
        <v>17000</v>
      </c>
      <c r="AW216" s="375">
        <v>17000</v>
      </c>
      <c r="AX216" s="375">
        <v>17000</v>
      </c>
      <c r="AY216" s="375">
        <v>17000</v>
      </c>
      <c r="AZ216" s="375">
        <v>17000</v>
      </c>
      <c r="BA216" s="375">
        <v>17000</v>
      </c>
      <c r="BB216" s="375">
        <v>197423.06</v>
      </c>
      <c r="BC216" s="79">
        <v>14166</v>
      </c>
      <c r="BD216" s="79">
        <v>18835.37</v>
      </c>
      <c r="BE216" s="79">
        <v>16863.689999999999</v>
      </c>
      <c r="BF216" s="79">
        <v>18000</v>
      </c>
      <c r="BG216" s="79">
        <v>18000</v>
      </c>
      <c r="BH216" s="79">
        <v>18000</v>
      </c>
      <c r="BI216" s="79">
        <v>18000</v>
      </c>
      <c r="BJ216" s="79">
        <v>18000</v>
      </c>
      <c r="BK216" s="79">
        <v>18000</v>
      </c>
      <c r="BL216" s="79">
        <v>18000</v>
      </c>
      <c r="BM216" s="79">
        <v>18000</v>
      </c>
      <c r="BN216" s="79">
        <v>18000</v>
      </c>
      <c r="BO216" s="79">
        <v>211865.06</v>
      </c>
    </row>
    <row r="217" spans="1:67" ht="15" customHeight="1">
      <c r="A217" s="66" t="s">
        <v>1193</v>
      </c>
      <c r="B217" s="66" t="s">
        <v>68</v>
      </c>
      <c r="C217" s="150" t="s">
        <v>1136</v>
      </c>
      <c r="D217" s="150" t="s">
        <v>1135</v>
      </c>
      <c r="E217" s="150" t="s">
        <v>1135</v>
      </c>
      <c r="F217" s="150" t="s">
        <v>1137</v>
      </c>
      <c r="G217" s="511" t="s">
        <v>49</v>
      </c>
      <c r="H217" s="392" t="s">
        <v>1194</v>
      </c>
      <c r="I217" s="343" t="s">
        <v>1195</v>
      </c>
      <c r="J217" s="346" t="s">
        <v>1171</v>
      </c>
      <c r="K217" s="70" t="s">
        <v>69</v>
      </c>
      <c r="L217" s="346"/>
      <c r="M217" s="346" t="s">
        <v>1196</v>
      </c>
      <c r="N217" s="346"/>
      <c r="O217" s="150" t="s">
        <v>67</v>
      </c>
      <c r="P217" s="150"/>
      <c r="Q217" s="403"/>
      <c r="R217" s="406">
        <v>237888</v>
      </c>
      <c r="S217" s="406">
        <v>236045.4</v>
      </c>
      <c r="T217" s="425"/>
      <c r="U217" s="71"/>
      <c r="V217" s="426">
        <v>16372</v>
      </c>
      <c r="W217" s="427">
        <v>18336.62</v>
      </c>
      <c r="X217" s="427">
        <v>22920.78</v>
      </c>
      <c r="Y217" s="428">
        <v>18336.629999999997</v>
      </c>
      <c r="Z217" s="429">
        <v>18336.63</v>
      </c>
      <c r="AA217" s="429">
        <v>22920.78</v>
      </c>
      <c r="AB217" s="363" t="e">
        <v>#N/A</v>
      </c>
      <c r="AC217" s="363">
        <v>19824</v>
      </c>
      <c r="AD217" s="363">
        <v>19824</v>
      </c>
      <c r="AE217" s="363">
        <v>19824</v>
      </c>
      <c r="AF217" s="363">
        <v>19824</v>
      </c>
      <c r="AG217" s="363">
        <v>19824</v>
      </c>
      <c r="AH217" s="360" t="e">
        <f t="shared" si="14"/>
        <v>#N/A</v>
      </c>
      <c r="AI217" s="362" t="e">
        <f>ERP[[#This Row],[2026 Working Total]]-ERP[[#This Row],[LE2 Final Submission]]</f>
        <v>#N/A</v>
      </c>
      <c r="AJ217" s="79" t="e">
        <v>#N/A</v>
      </c>
      <c r="AK217" s="79" t="e">
        <f t="shared" si="13"/>
        <v>#N/A</v>
      </c>
      <c r="AL217" s="374">
        <f>SUM(ERP[[#This Row],[AP01]:[AP06]])-SUM(ERP[[#This Row],[AP01 LE2]:[AP06 LE2]])</f>
        <v>122.04000000000815</v>
      </c>
      <c r="AM217" s="80"/>
      <c r="AN217" s="79" t="e">
        <f>ERP[[#This Row],[2026 Working Total to Budget/LE]]-ERP[[#This Row],[Giveback]]</f>
        <v>#N/A</v>
      </c>
      <c r="AO217" s="81"/>
      <c r="AP217" s="375">
        <v>16372</v>
      </c>
      <c r="AQ217" s="375">
        <v>18336.62</v>
      </c>
      <c r="AR217" s="375">
        <v>22920.78</v>
      </c>
      <c r="AS217" s="375">
        <v>19824</v>
      </c>
      <c r="AT217" s="375">
        <v>19824</v>
      </c>
      <c r="AU217" s="375">
        <v>19824</v>
      </c>
      <c r="AV217" s="375">
        <v>19824</v>
      </c>
      <c r="AW217" s="375">
        <v>19824</v>
      </c>
      <c r="AX217" s="375">
        <v>19824</v>
      </c>
      <c r="AY217" s="375">
        <v>19824</v>
      </c>
      <c r="AZ217" s="375">
        <v>19824</v>
      </c>
      <c r="BA217" s="375">
        <v>19824</v>
      </c>
      <c r="BB217" s="375">
        <v>236045.4</v>
      </c>
      <c r="BC217" s="79">
        <v>16372</v>
      </c>
      <c r="BD217" s="79">
        <v>18336.62</v>
      </c>
      <c r="BE217" s="79">
        <v>22920.78</v>
      </c>
      <c r="BF217" s="79">
        <v>19824</v>
      </c>
      <c r="BG217" s="79">
        <v>19824</v>
      </c>
      <c r="BH217" s="79">
        <v>19824</v>
      </c>
      <c r="BI217" s="79">
        <v>19824</v>
      </c>
      <c r="BJ217" s="79">
        <v>19824</v>
      </c>
      <c r="BK217" s="79">
        <v>19824</v>
      </c>
      <c r="BL217" s="79">
        <v>19824</v>
      </c>
      <c r="BM217" s="79">
        <v>19824</v>
      </c>
      <c r="BN217" s="79">
        <v>19824</v>
      </c>
      <c r="BO217" s="79">
        <v>236045.4</v>
      </c>
    </row>
    <row r="218" spans="1:67" ht="15" customHeight="1">
      <c r="A218" s="66" t="s">
        <v>1197</v>
      </c>
      <c r="B218" s="66" t="s">
        <v>70</v>
      </c>
      <c r="C218" s="150" t="s">
        <v>1136</v>
      </c>
      <c r="D218" s="150" t="s">
        <v>1135</v>
      </c>
      <c r="E218" s="150" t="s">
        <v>1135</v>
      </c>
      <c r="F218" s="150" t="s">
        <v>1137</v>
      </c>
      <c r="G218" s="511" t="s">
        <v>49</v>
      </c>
      <c r="H218" s="392" t="s">
        <v>1198</v>
      </c>
      <c r="I218" s="343" t="s">
        <v>1190</v>
      </c>
      <c r="J218" s="346" t="s">
        <v>1171</v>
      </c>
      <c r="K218" s="70" t="s">
        <v>71</v>
      </c>
      <c r="L218" s="346"/>
      <c r="M218" s="346" t="s">
        <v>1199</v>
      </c>
      <c r="N218" s="346"/>
      <c r="O218" s="150" t="s">
        <v>64</v>
      </c>
      <c r="P218" s="150"/>
      <c r="Q218" s="403"/>
      <c r="R218" s="406">
        <v>230004</v>
      </c>
      <c r="S218" s="406">
        <v>211390.3</v>
      </c>
      <c r="T218" s="425"/>
      <c r="U218" s="71"/>
      <c r="V218" s="426">
        <v>14973</v>
      </c>
      <c r="W218" s="427">
        <v>18162.759999999998</v>
      </c>
      <c r="X218" s="427">
        <v>19567.54</v>
      </c>
      <c r="Y218" s="428">
        <v>16769.23</v>
      </c>
      <c r="Z218" s="429">
        <v>16769.23</v>
      </c>
      <c r="AA218" s="429">
        <v>-21713.759999999998</v>
      </c>
      <c r="AB218" s="363" t="e">
        <v>#N/A</v>
      </c>
      <c r="AC218" s="363">
        <v>17440</v>
      </c>
      <c r="AD218" s="363">
        <v>17440</v>
      </c>
      <c r="AE218" s="363">
        <v>17440</v>
      </c>
      <c r="AF218" s="363">
        <v>17440</v>
      </c>
      <c r="AG218" s="363">
        <v>17440</v>
      </c>
      <c r="AH218" s="360" t="e">
        <f t="shared" si="14"/>
        <v>#N/A</v>
      </c>
      <c r="AI218" s="362" t="e">
        <f>ERP[[#This Row],[2026 Working Total]]-ERP[[#This Row],[LE2 Final Submission]]</f>
        <v>#N/A</v>
      </c>
      <c r="AJ218" s="79" t="e">
        <v>#N/A</v>
      </c>
      <c r="AK218" s="79" t="e">
        <f t="shared" si="13"/>
        <v>#N/A</v>
      </c>
      <c r="AL218" s="374">
        <f>SUM(ERP[[#This Row],[AP01]:[AP06]])-SUM(ERP[[#This Row],[AP01 LE2]:[AP06 LE2]])</f>
        <v>-42222.299999999988</v>
      </c>
      <c r="AM218" s="80"/>
      <c r="AN218" s="79" t="e">
        <f>ERP[[#This Row],[2026 Working Total to Budget/LE]]-ERP[[#This Row],[Giveback]]</f>
        <v>#N/A</v>
      </c>
      <c r="AO218" s="81"/>
      <c r="AP218" s="375">
        <v>14973</v>
      </c>
      <c r="AQ218" s="375">
        <v>18162.759999999998</v>
      </c>
      <c r="AR218" s="375">
        <v>19567.54</v>
      </c>
      <c r="AS218" s="375">
        <v>19167</v>
      </c>
      <c r="AT218" s="375">
        <v>17440</v>
      </c>
      <c r="AU218" s="375">
        <v>17440</v>
      </c>
      <c r="AV218" s="375">
        <v>17440</v>
      </c>
      <c r="AW218" s="375">
        <v>17440</v>
      </c>
      <c r="AX218" s="375">
        <v>17440</v>
      </c>
      <c r="AY218" s="375">
        <v>17440</v>
      </c>
      <c r="AZ218" s="375">
        <v>17440</v>
      </c>
      <c r="BA218" s="375">
        <v>17440</v>
      </c>
      <c r="BB218" s="375">
        <v>211390.3</v>
      </c>
      <c r="BC218" s="79">
        <v>14973</v>
      </c>
      <c r="BD218" s="79">
        <v>18162.759999999998</v>
      </c>
      <c r="BE218" s="79">
        <v>19567.54</v>
      </c>
      <c r="BF218" s="79">
        <v>19167</v>
      </c>
      <c r="BG218" s="79">
        <v>19167</v>
      </c>
      <c r="BH218" s="79">
        <v>19167</v>
      </c>
      <c r="BI218" s="79">
        <v>19167</v>
      </c>
      <c r="BJ218" s="79">
        <v>19167</v>
      </c>
      <c r="BK218" s="79">
        <v>19167</v>
      </c>
      <c r="BL218" s="79">
        <v>19167</v>
      </c>
      <c r="BM218" s="79">
        <v>19167</v>
      </c>
      <c r="BN218" s="79">
        <v>19167</v>
      </c>
      <c r="BO218" s="79">
        <v>225206.3</v>
      </c>
    </row>
    <row r="219" spans="1:67" ht="15" customHeight="1">
      <c r="A219" s="66" t="s">
        <v>1200</v>
      </c>
      <c r="B219" s="66" t="s">
        <v>72</v>
      </c>
      <c r="C219" s="150" t="s">
        <v>1136</v>
      </c>
      <c r="D219" s="150" t="s">
        <v>1135</v>
      </c>
      <c r="E219" s="150" t="s">
        <v>1135</v>
      </c>
      <c r="F219" s="150" t="s">
        <v>1137</v>
      </c>
      <c r="G219" s="511" t="s">
        <v>49</v>
      </c>
      <c r="H219" s="392" t="s">
        <v>1201</v>
      </c>
      <c r="I219" s="343" t="s">
        <v>1202</v>
      </c>
      <c r="J219" s="346" t="s">
        <v>1171</v>
      </c>
      <c r="K219" s="70" t="s">
        <v>73</v>
      </c>
      <c r="L219" s="346"/>
      <c r="M219" s="346" t="s">
        <v>1203</v>
      </c>
      <c r="N219" s="346"/>
      <c r="O219" s="150" t="s">
        <v>64</v>
      </c>
      <c r="P219" s="150"/>
      <c r="Q219" s="403"/>
      <c r="R219" s="406">
        <v>187200</v>
      </c>
      <c r="S219" s="406">
        <v>185657.15</v>
      </c>
      <c r="T219" s="430"/>
      <c r="U219" s="137"/>
      <c r="V219" s="426">
        <v>12857</v>
      </c>
      <c r="W219" s="427">
        <v>18823.150000000001</v>
      </c>
      <c r="X219" s="427">
        <v>13577</v>
      </c>
      <c r="Y219" s="428">
        <v>14400</v>
      </c>
      <c r="Z219" s="429">
        <v>17263</v>
      </c>
      <c r="AA219" s="429">
        <v>36956.74</v>
      </c>
      <c r="AB219" s="363" t="e">
        <v>#N/A</v>
      </c>
      <c r="AC219" s="363">
        <v>15600</v>
      </c>
      <c r="AD219" s="363">
        <v>15600</v>
      </c>
      <c r="AE219" s="363">
        <v>15600</v>
      </c>
      <c r="AF219" s="363">
        <v>15600</v>
      </c>
      <c r="AG219" s="363">
        <v>15600</v>
      </c>
      <c r="AH219" s="360" t="e">
        <f t="shared" si="14"/>
        <v>#N/A</v>
      </c>
      <c r="AI219" s="362" t="e">
        <f>ERP[[#This Row],[2026 Working Total]]-ERP[[#This Row],[LE2 Final Submission]]</f>
        <v>#N/A</v>
      </c>
      <c r="AJ219" s="79" t="e">
        <v>#N/A</v>
      </c>
      <c r="AK219" s="79" t="e">
        <f t="shared" si="13"/>
        <v>#N/A</v>
      </c>
      <c r="AL219" s="374">
        <f>SUM(ERP[[#This Row],[AP01]:[AP06]])-SUM(ERP[[#This Row],[AP01 LE2]:[AP06 LE2]])</f>
        <v>21819.739999999991</v>
      </c>
      <c r="AM219" s="80"/>
      <c r="AN219" s="79" t="e">
        <f>ERP[[#This Row],[2026 Working Total to Budget/LE]]-ERP[[#This Row],[Giveback]]</f>
        <v>#N/A</v>
      </c>
      <c r="AO219" s="81"/>
      <c r="AP219" s="375">
        <v>12857</v>
      </c>
      <c r="AQ219" s="375">
        <v>18823.150000000001</v>
      </c>
      <c r="AR219" s="375">
        <v>13577</v>
      </c>
      <c r="AS219" s="375">
        <v>15600</v>
      </c>
      <c r="AT219" s="375">
        <v>15600</v>
      </c>
      <c r="AU219" s="375">
        <v>15600</v>
      </c>
      <c r="AV219" s="375">
        <v>15600</v>
      </c>
      <c r="AW219" s="375">
        <v>15600</v>
      </c>
      <c r="AX219" s="375">
        <v>15600</v>
      </c>
      <c r="AY219" s="375">
        <v>15600</v>
      </c>
      <c r="AZ219" s="375">
        <v>15600</v>
      </c>
      <c r="BA219" s="375">
        <v>15600</v>
      </c>
      <c r="BB219" s="375">
        <v>185657.15</v>
      </c>
      <c r="BC219" s="79">
        <v>12857</v>
      </c>
      <c r="BD219" s="79">
        <v>18823.150000000001</v>
      </c>
      <c r="BE219" s="79">
        <v>13577</v>
      </c>
      <c r="BF219" s="79">
        <v>15600</v>
      </c>
      <c r="BG219" s="79">
        <v>15600</v>
      </c>
      <c r="BH219" s="79">
        <v>15600</v>
      </c>
      <c r="BI219" s="79">
        <v>15600</v>
      </c>
      <c r="BJ219" s="79">
        <v>15600</v>
      </c>
      <c r="BK219" s="79">
        <v>15600</v>
      </c>
      <c r="BL219" s="79">
        <v>15600</v>
      </c>
      <c r="BM219" s="79">
        <v>15600</v>
      </c>
      <c r="BN219" s="79">
        <v>15600</v>
      </c>
      <c r="BO219" s="79">
        <v>185657.15</v>
      </c>
    </row>
    <row r="220" spans="1:67" ht="15" customHeight="1">
      <c r="A220" s="66" t="s">
        <v>1204</v>
      </c>
      <c r="B220" s="66" t="s">
        <v>74</v>
      </c>
      <c r="C220" s="150" t="s">
        <v>1136</v>
      </c>
      <c r="D220" s="150" t="s">
        <v>1135</v>
      </c>
      <c r="E220" s="150" t="s">
        <v>1135</v>
      </c>
      <c r="F220" s="150" t="s">
        <v>1137</v>
      </c>
      <c r="G220" s="511" t="s">
        <v>49</v>
      </c>
      <c r="H220" s="392" t="s">
        <v>1205</v>
      </c>
      <c r="I220" s="343" t="s">
        <v>1206</v>
      </c>
      <c r="J220" s="346" t="s">
        <v>1171</v>
      </c>
      <c r="K220" s="70" t="s">
        <v>75</v>
      </c>
      <c r="L220" s="346"/>
      <c r="M220" s="346" t="s">
        <v>1207</v>
      </c>
      <c r="N220" s="346"/>
      <c r="O220" s="150" t="s">
        <v>64</v>
      </c>
      <c r="P220" s="150"/>
      <c r="Q220" s="403"/>
      <c r="R220" s="406">
        <v>141310.95000000001</v>
      </c>
      <c r="S220" s="406">
        <v>132735.51</v>
      </c>
      <c r="T220" s="425"/>
      <c r="U220" s="71"/>
      <c r="V220" s="426">
        <v>9654</v>
      </c>
      <c r="W220" s="427">
        <v>14825.74</v>
      </c>
      <c r="X220" s="427">
        <v>12851.77</v>
      </c>
      <c r="Y220" s="428">
        <v>7463.62</v>
      </c>
      <c r="Z220" s="429">
        <v>16343.609999999997</v>
      </c>
      <c r="AA220" s="429">
        <v>13997.279999999999</v>
      </c>
      <c r="AB220" s="363" t="e">
        <v>#N/A</v>
      </c>
      <c r="AC220" s="363">
        <v>6534</v>
      </c>
      <c r="AD220" s="363">
        <v>6534</v>
      </c>
      <c r="AE220" s="363">
        <v>6534</v>
      </c>
      <c r="AF220" s="363">
        <v>6534</v>
      </c>
      <c r="AG220" s="363">
        <v>6534</v>
      </c>
      <c r="AH220" s="360" t="e">
        <f t="shared" si="14"/>
        <v>#N/A</v>
      </c>
      <c r="AI220" s="362" t="e">
        <f>ERP[[#This Row],[2026 Working Total]]-ERP[[#This Row],[LE2 Final Submission]]</f>
        <v>#N/A</v>
      </c>
      <c r="AJ220" s="79" t="e">
        <v>#N/A</v>
      </c>
      <c r="AK220" s="79" t="e">
        <f t="shared" si="13"/>
        <v>#N/A</v>
      </c>
      <c r="AL220" s="374">
        <f>SUM(ERP[[#This Row],[AP01]:[AP06]])-SUM(ERP[[#This Row],[AP01 LE2]:[AP06 LE2]])</f>
        <v>5554.5099999999948</v>
      </c>
      <c r="AM220" s="80"/>
      <c r="AN220" s="79" t="e">
        <f>ERP[[#This Row],[2026 Working Total to Budget/LE]]-ERP[[#This Row],[Giveback]]</f>
        <v>#N/A</v>
      </c>
      <c r="AO220" s="81"/>
      <c r="AP220" s="375">
        <v>9654</v>
      </c>
      <c r="AQ220" s="375">
        <v>14825.74</v>
      </c>
      <c r="AR220" s="375">
        <v>12851.77</v>
      </c>
      <c r="AS220" s="375">
        <v>11942</v>
      </c>
      <c r="AT220" s="375">
        <v>10718</v>
      </c>
      <c r="AU220" s="375">
        <v>9590</v>
      </c>
      <c r="AV220" s="375">
        <v>9590</v>
      </c>
      <c r="AW220" s="375">
        <v>10718</v>
      </c>
      <c r="AX220" s="375">
        <v>11090</v>
      </c>
      <c r="AY220" s="375">
        <v>11090</v>
      </c>
      <c r="AZ220" s="375">
        <v>9590</v>
      </c>
      <c r="BA220" s="375">
        <v>11076</v>
      </c>
      <c r="BB220" s="375">
        <v>132735.51</v>
      </c>
      <c r="BC220" s="79">
        <v>9654</v>
      </c>
      <c r="BD220" s="79">
        <v>14825.74</v>
      </c>
      <c r="BE220" s="79">
        <v>12851.77</v>
      </c>
      <c r="BF220" s="79">
        <v>10870.45</v>
      </c>
      <c r="BG220" s="79">
        <v>11986</v>
      </c>
      <c r="BH220" s="79">
        <v>11986</v>
      </c>
      <c r="BI220" s="79">
        <v>11986</v>
      </c>
      <c r="BJ220" s="79">
        <v>11986</v>
      </c>
      <c r="BK220" s="79">
        <v>11986</v>
      </c>
      <c r="BL220" s="79">
        <v>11986</v>
      </c>
      <c r="BM220" s="79">
        <v>11986</v>
      </c>
      <c r="BN220" s="79">
        <v>11986</v>
      </c>
      <c r="BO220" s="79">
        <v>144089.96</v>
      </c>
    </row>
    <row r="221" spans="1:67" ht="15" customHeight="1">
      <c r="A221" s="66" t="s">
        <v>1208</v>
      </c>
      <c r="B221" s="66" t="s">
        <v>76</v>
      </c>
      <c r="C221" s="150" t="s">
        <v>1136</v>
      </c>
      <c r="D221" s="150" t="s">
        <v>1135</v>
      </c>
      <c r="E221" s="150" t="s">
        <v>1135</v>
      </c>
      <c r="F221" s="150" t="s">
        <v>1137</v>
      </c>
      <c r="G221" s="511" t="s">
        <v>49</v>
      </c>
      <c r="H221" s="392" t="s">
        <v>1209</v>
      </c>
      <c r="I221" s="343" t="s">
        <v>1210</v>
      </c>
      <c r="J221" s="346" t="s">
        <v>1171</v>
      </c>
      <c r="K221" s="70" t="s">
        <v>77</v>
      </c>
      <c r="L221" s="346"/>
      <c r="M221" s="346" t="s">
        <v>1211</v>
      </c>
      <c r="N221" s="346"/>
      <c r="O221" s="150" t="s">
        <v>25</v>
      </c>
      <c r="P221" s="150"/>
      <c r="Q221" s="403"/>
      <c r="R221" s="406">
        <v>97500</v>
      </c>
      <c r="S221" s="406">
        <v>90751.67</v>
      </c>
      <c r="T221" s="425"/>
      <c r="U221" s="71"/>
      <c r="V221" s="426">
        <v>10704.42</v>
      </c>
      <c r="W221" s="427">
        <v>11988.8</v>
      </c>
      <c r="X221" s="427">
        <v>9558.4500000000007</v>
      </c>
      <c r="Y221" s="428">
        <v>6923.07</v>
      </c>
      <c r="Z221" s="429">
        <v>8819.08</v>
      </c>
      <c r="AA221" s="429">
        <v>6012.1100000000006</v>
      </c>
      <c r="AB221" s="363" t="e">
        <v>#N/A</v>
      </c>
      <c r="AC221" s="363">
        <v>6000</v>
      </c>
      <c r="AD221" s="363">
        <v>6000</v>
      </c>
      <c r="AE221" s="363">
        <v>7500</v>
      </c>
      <c r="AF221" s="363">
        <v>7500</v>
      </c>
      <c r="AG221" s="363">
        <v>7500</v>
      </c>
      <c r="AH221" s="360" t="e">
        <f t="shared" si="14"/>
        <v>#N/A</v>
      </c>
      <c r="AI221" s="362" t="e">
        <f>ERP[[#This Row],[2026 Working Total]]-ERP[[#This Row],[LE2 Final Submission]]</f>
        <v>#N/A</v>
      </c>
      <c r="AJ221" s="79" t="e">
        <v>#N/A</v>
      </c>
      <c r="AK221" s="79" t="e">
        <f t="shared" si="13"/>
        <v>#N/A</v>
      </c>
      <c r="AL221" s="374">
        <f>SUM(ERP[[#This Row],[AP01]:[AP06]])-SUM(ERP[[#This Row],[AP01 LE2]:[AP06 LE2]])</f>
        <v>3754.2600000000093</v>
      </c>
      <c r="AM221" s="80"/>
      <c r="AN221" s="79" t="e">
        <f>ERP[[#This Row],[2026 Working Total to Budget/LE]]-ERP[[#This Row],[Giveback]]</f>
        <v>#N/A</v>
      </c>
      <c r="AO221" s="81"/>
      <c r="AP221" s="375">
        <v>10704.42</v>
      </c>
      <c r="AQ221" s="375">
        <v>11988.8</v>
      </c>
      <c r="AR221" s="375">
        <v>9558.4500000000007</v>
      </c>
      <c r="AS221" s="375">
        <v>6000</v>
      </c>
      <c r="AT221" s="375">
        <v>6000</v>
      </c>
      <c r="AU221" s="375">
        <v>6000</v>
      </c>
      <c r="AV221" s="375">
        <v>6000</v>
      </c>
      <c r="AW221" s="375">
        <v>6000</v>
      </c>
      <c r="AX221" s="375">
        <v>6000</v>
      </c>
      <c r="AY221" s="375">
        <v>7500</v>
      </c>
      <c r="AZ221" s="375">
        <v>7500</v>
      </c>
      <c r="BA221" s="375">
        <v>7500</v>
      </c>
      <c r="BB221" s="375">
        <v>90751.67</v>
      </c>
      <c r="BC221" s="79">
        <v>10704.42</v>
      </c>
      <c r="BD221" s="79">
        <v>11988.8</v>
      </c>
      <c r="BE221" s="79">
        <v>9558.4500000000007</v>
      </c>
      <c r="BF221" s="79">
        <v>8125</v>
      </c>
      <c r="BG221" s="79">
        <v>8125</v>
      </c>
      <c r="BH221" s="79">
        <v>8125</v>
      </c>
      <c r="BI221" s="79">
        <v>8125</v>
      </c>
      <c r="BJ221" s="79">
        <v>8125</v>
      </c>
      <c r="BK221" s="79">
        <v>8125</v>
      </c>
      <c r="BL221" s="79">
        <v>8125</v>
      </c>
      <c r="BM221" s="79">
        <v>8125</v>
      </c>
      <c r="BN221" s="79">
        <v>8125</v>
      </c>
      <c r="BO221" s="79">
        <v>105376.67</v>
      </c>
    </row>
    <row r="222" spans="1:67" ht="15" customHeight="1">
      <c r="A222" s="66" t="s">
        <v>1212</v>
      </c>
      <c r="B222" s="66" t="s">
        <v>78</v>
      </c>
      <c r="C222" s="150" t="s">
        <v>1136</v>
      </c>
      <c r="D222" s="150" t="s">
        <v>1135</v>
      </c>
      <c r="E222" s="150" t="s">
        <v>1135</v>
      </c>
      <c r="F222" s="150" t="s">
        <v>1137</v>
      </c>
      <c r="G222" s="511" t="s">
        <v>49</v>
      </c>
      <c r="H222" s="392" t="s">
        <v>1213</v>
      </c>
      <c r="I222" s="343" t="s">
        <v>1210</v>
      </c>
      <c r="J222" s="346" t="s">
        <v>1171</v>
      </c>
      <c r="K222" s="70" t="s">
        <v>79</v>
      </c>
      <c r="L222" s="346"/>
      <c r="M222" s="346" t="s">
        <v>1214</v>
      </c>
      <c r="N222" s="346"/>
      <c r="O222" s="150" t="s">
        <v>25</v>
      </c>
      <c r="P222" s="150"/>
      <c r="Q222" s="403"/>
      <c r="R222" s="406">
        <v>107910</v>
      </c>
      <c r="S222" s="406">
        <v>99679.13</v>
      </c>
      <c r="T222" s="430"/>
      <c r="U222" s="137"/>
      <c r="V222" s="426">
        <v>6841</v>
      </c>
      <c r="W222" s="427">
        <v>9759.2000000000007</v>
      </c>
      <c r="X222" s="427">
        <v>7478.93</v>
      </c>
      <c r="Y222" s="428">
        <v>7661.53</v>
      </c>
      <c r="Z222" s="429">
        <v>9759.5400000000009</v>
      </c>
      <c r="AA222" s="429">
        <v>8299.7900000000009</v>
      </c>
      <c r="AB222" s="363" t="e">
        <v>#N/A</v>
      </c>
      <c r="AC222" s="363">
        <v>8300</v>
      </c>
      <c r="AD222" s="363">
        <v>8300</v>
      </c>
      <c r="AE222" s="363">
        <v>8300</v>
      </c>
      <c r="AF222" s="363">
        <v>8300</v>
      </c>
      <c r="AG222" s="363">
        <v>8300</v>
      </c>
      <c r="AH222" s="360" t="e">
        <f t="shared" si="14"/>
        <v>#N/A</v>
      </c>
      <c r="AI222" s="362" t="e">
        <f>ERP[[#This Row],[2026 Working Total]]-ERP[[#This Row],[LE2 Final Submission]]</f>
        <v>#N/A</v>
      </c>
      <c r="AJ222" s="79" t="e">
        <v>#N/A</v>
      </c>
      <c r="AK222" s="79" t="e">
        <f t="shared" si="13"/>
        <v>#N/A</v>
      </c>
      <c r="AL222" s="374">
        <f>SUM(ERP[[#This Row],[AP01]:[AP06]])-SUM(ERP[[#This Row],[AP01 LE2]:[AP06 LE2]])</f>
        <v>520.85999999999331</v>
      </c>
      <c r="AM222" s="80"/>
      <c r="AN222" s="79" t="e">
        <f>ERP[[#This Row],[2026 Working Total to Budget/LE]]-ERP[[#This Row],[Giveback]]</f>
        <v>#N/A</v>
      </c>
      <c r="AO222" s="81"/>
      <c r="AP222" s="375">
        <v>6841</v>
      </c>
      <c r="AQ222" s="375">
        <v>9759.2000000000007</v>
      </c>
      <c r="AR222" s="375">
        <v>7478.93</v>
      </c>
      <c r="AS222" s="375">
        <v>8400</v>
      </c>
      <c r="AT222" s="375">
        <v>8400</v>
      </c>
      <c r="AU222" s="375">
        <v>8400</v>
      </c>
      <c r="AV222" s="375">
        <v>8400</v>
      </c>
      <c r="AW222" s="375">
        <v>8400</v>
      </c>
      <c r="AX222" s="375">
        <v>8400</v>
      </c>
      <c r="AY222" s="375">
        <v>8400</v>
      </c>
      <c r="AZ222" s="375">
        <v>8400</v>
      </c>
      <c r="BA222" s="375">
        <v>8400</v>
      </c>
      <c r="BB222" s="375">
        <v>99679.13</v>
      </c>
      <c r="BC222" s="79">
        <v>6841</v>
      </c>
      <c r="BD222" s="79">
        <v>9759.2000000000007</v>
      </c>
      <c r="BE222" s="79">
        <v>7478.93</v>
      </c>
      <c r="BF222" s="79">
        <v>8992.5</v>
      </c>
      <c r="BG222" s="79">
        <v>8992.5</v>
      </c>
      <c r="BH222" s="79">
        <v>8992.5</v>
      </c>
      <c r="BI222" s="79">
        <v>8992.5</v>
      </c>
      <c r="BJ222" s="79">
        <v>8992.5</v>
      </c>
      <c r="BK222" s="79">
        <v>8992.5</v>
      </c>
      <c r="BL222" s="79">
        <v>8992.5</v>
      </c>
      <c r="BM222" s="79">
        <v>8992.5</v>
      </c>
      <c r="BN222" s="79">
        <v>8992.5</v>
      </c>
      <c r="BO222" s="79">
        <v>105011.63</v>
      </c>
    </row>
    <row r="223" spans="1:67" ht="15" customHeight="1">
      <c r="A223" s="66" t="s">
        <v>1215</v>
      </c>
      <c r="B223" s="66" t="s">
        <v>80</v>
      </c>
      <c r="C223" s="150" t="s">
        <v>1136</v>
      </c>
      <c r="D223" s="150" t="s">
        <v>1135</v>
      </c>
      <c r="E223" s="150" t="s">
        <v>1135</v>
      </c>
      <c r="F223" s="150" t="s">
        <v>1137</v>
      </c>
      <c r="G223" s="511" t="s">
        <v>49</v>
      </c>
      <c r="H223" s="392" t="s">
        <v>1216</v>
      </c>
      <c r="I223" s="343" t="s">
        <v>1190</v>
      </c>
      <c r="J223" s="346" t="s">
        <v>1171</v>
      </c>
      <c r="K223" s="70" t="s">
        <v>81</v>
      </c>
      <c r="L223" s="346"/>
      <c r="M223" s="346" t="s">
        <v>1217</v>
      </c>
      <c r="N223" s="346"/>
      <c r="O223" s="150" t="s">
        <v>25</v>
      </c>
      <c r="P223" s="150"/>
      <c r="Q223" s="403"/>
      <c r="R223" s="406">
        <v>87360</v>
      </c>
      <c r="S223" s="406">
        <v>83873.7</v>
      </c>
      <c r="T223" s="425"/>
      <c r="U223" s="71"/>
      <c r="V223" s="426">
        <v>11538</v>
      </c>
      <c r="W223" s="427">
        <v>8258.77</v>
      </c>
      <c r="X223" s="427">
        <v>1796.93</v>
      </c>
      <c r="Y223" s="428">
        <v>5175.54</v>
      </c>
      <c r="Z223" s="429">
        <v>10565.529999999999</v>
      </c>
      <c r="AA223" s="429">
        <v>3972.9300000000003</v>
      </c>
      <c r="AB223" s="363" t="e">
        <v>#N/A</v>
      </c>
      <c r="AC223" s="363">
        <v>7000</v>
      </c>
      <c r="AD223" s="363">
        <v>7000</v>
      </c>
      <c r="AE223" s="363">
        <v>7000</v>
      </c>
      <c r="AF223" s="363">
        <v>7000</v>
      </c>
      <c r="AG223" s="363">
        <v>7000</v>
      </c>
      <c r="AH223" s="360" t="e">
        <f t="shared" si="14"/>
        <v>#N/A</v>
      </c>
      <c r="AI223" s="362" t="e">
        <f>ERP[[#This Row],[2026 Working Total]]-ERP[[#This Row],[LE2 Final Submission]]</f>
        <v>#N/A</v>
      </c>
      <c r="AJ223" s="79" t="e">
        <v>#N/A</v>
      </c>
      <c r="AK223" s="79" t="e">
        <f t="shared" si="13"/>
        <v>#N/A</v>
      </c>
      <c r="AL223" s="374">
        <f>SUM(ERP[[#This Row],[AP01]:[AP06]])-SUM(ERP[[#This Row],[AP01 LE2]:[AP06 LE2]])</f>
        <v>-285.99999999999272</v>
      </c>
      <c r="AM223" s="80"/>
      <c r="AN223" s="79" t="e">
        <f>ERP[[#This Row],[2026 Working Total to Budget/LE]]-ERP[[#This Row],[Giveback]]</f>
        <v>#N/A</v>
      </c>
      <c r="AO223" s="81"/>
      <c r="AP223" s="375">
        <v>11538</v>
      </c>
      <c r="AQ223" s="375">
        <v>8258.77</v>
      </c>
      <c r="AR223" s="375">
        <v>1796.93</v>
      </c>
      <c r="AS223" s="375">
        <v>6000</v>
      </c>
      <c r="AT223" s="375">
        <v>7000</v>
      </c>
      <c r="AU223" s="375">
        <v>7000</v>
      </c>
      <c r="AV223" s="375">
        <v>7000</v>
      </c>
      <c r="AW223" s="375">
        <v>7000</v>
      </c>
      <c r="AX223" s="375">
        <v>7000</v>
      </c>
      <c r="AY223" s="375">
        <v>7000</v>
      </c>
      <c r="AZ223" s="375">
        <v>7000</v>
      </c>
      <c r="BA223" s="375">
        <v>7280</v>
      </c>
      <c r="BB223" s="375">
        <v>83873.7</v>
      </c>
      <c r="BC223" s="79">
        <v>11538</v>
      </c>
      <c r="BD223" s="79">
        <v>8258.77</v>
      </c>
      <c r="BE223" s="79">
        <v>1796.93</v>
      </c>
      <c r="BF223" s="79">
        <v>7280</v>
      </c>
      <c r="BG223" s="79">
        <v>7280</v>
      </c>
      <c r="BH223" s="79">
        <v>7280</v>
      </c>
      <c r="BI223" s="79">
        <v>7280</v>
      </c>
      <c r="BJ223" s="79">
        <v>7280</v>
      </c>
      <c r="BK223" s="79">
        <v>7280</v>
      </c>
      <c r="BL223" s="79">
        <v>7280</v>
      </c>
      <c r="BM223" s="79">
        <v>7280</v>
      </c>
      <c r="BN223" s="79">
        <v>7280</v>
      </c>
      <c r="BO223" s="79">
        <v>87113.7</v>
      </c>
    </row>
    <row r="224" spans="1:67" ht="15" customHeight="1">
      <c r="A224" s="66" t="s">
        <v>1611</v>
      </c>
      <c r="B224" s="66" t="s">
        <v>1612</v>
      </c>
      <c r="C224" s="150" t="s">
        <v>1136</v>
      </c>
      <c r="D224" s="150" t="s">
        <v>1567</v>
      </c>
      <c r="E224" s="150" t="s">
        <v>1567</v>
      </c>
      <c r="F224" s="150" t="s">
        <v>1567</v>
      </c>
      <c r="G224" s="511" t="s">
        <v>49</v>
      </c>
      <c r="H224" s="392" t="s">
        <v>1613</v>
      </c>
      <c r="I224" s="343"/>
      <c r="J224" s="346" t="s">
        <v>1593</v>
      </c>
      <c r="K224" s="70" t="s">
        <v>298</v>
      </c>
      <c r="L224" s="346"/>
      <c r="M224" s="346" t="s">
        <v>1187</v>
      </c>
      <c r="N224" s="346"/>
      <c r="O224" s="150" t="s">
        <v>25</v>
      </c>
      <c r="P224" s="150"/>
      <c r="Q224" s="403"/>
      <c r="R224" s="406">
        <v>0</v>
      </c>
      <c r="S224" s="406">
        <v>50489.729999999996</v>
      </c>
      <c r="T224" s="425"/>
      <c r="U224" s="71"/>
      <c r="V224" s="426"/>
      <c r="W224" s="427">
        <v>38877.699999999997</v>
      </c>
      <c r="X224" s="427">
        <v>11612.03</v>
      </c>
      <c r="Y224" s="428">
        <v>17061.96</v>
      </c>
      <c r="Z224" s="429">
        <v>5873.3499999999995</v>
      </c>
      <c r="AA224" s="429">
        <v>-6492.8099999999995</v>
      </c>
      <c r="AB224" s="363" t="e">
        <v>#N/A</v>
      </c>
      <c r="AC224" s="360">
        <v>0</v>
      </c>
      <c r="AD224" s="360">
        <v>0</v>
      </c>
      <c r="AE224" s="360">
        <v>0</v>
      </c>
      <c r="AF224" s="360">
        <v>0</v>
      </c>
      <c r="AG224" s="360">
        <v>0</v>
      </c>
      <c r="AH224" s="360" t="e">
        <f t="shared" si="14"/>
        <v>#N/A</v>
      </c>
      <c r="AI224" s="362" t="e">
        <f>ERP[[#This Row],[2026 Working Total]]-ERP[[#This Row],[LE2 Final Submission]]</f>
        <v>#N/A</v>
      </c>
      <c r="AJ224" s="79" t="e">
        <v>#N/A</v>
      </c>
      <c r="AK224" s="79" t="e">
        <f t="shared" si="13"/>
        <v>#N/A</v>
      </c>
      <c r="AL224" s="374">
        <f>SUM(ERP[[#This Row],[AP01]:[AP06]])-SUM(ERP[[#This Row],[AP01 LE2]:[AP06 LE2]])</f>
        <v>16442.500000000015</v>
      </c>
      <c r="AM224" s="80"/>
      <c r="AN224" s="79" t="e">
        <f>ERP[[#This Row],[2026 Working Total to Budget/LE]]-ERP[[#This Row],[Giveback]]</f>
        <v>#N/A</v>
      </c>
      <c r="AO224" s="81"/>
      <c r="AP224" s="375"/>
      <c r="AQ224" s="375">
        <v>38877.699999999997</v>
      </c>
      <c r="AR224" s="375">
        <v>11612.03</v>
      </c>
      <c r="AS224" s="375">
        <v>0</v>
      </c>
      <c r="AT224" s="375">
        <v>0</v>
      </c>
      <c r="AU224" s="375">
        <v>0</v>
      </c>
      <c r="AV224" s="375">
        <v>0</v>
      </c>
      <c r="AW224" s="375">
        <v>0</v>
      </c>
      <c r="AX224" s="375">
        <v>0</v>
      </c>
      <c r="AY224" s="375">
        <v>0</v>
      </c>
      <c r="AZ224" s="375">
        <v>0</v>
      </c>
      <c r="BA224" s="375">
        <v>0</v>
      </c>
      <c r="BB224" s="375">
        <v>50489.729999999996</v>
      </c>
      <c r="BC224" s="79"/>
      <c r="BD224" s="79">
        <v>38877.699999999997</v>
      </c>
      <c r="BE224" s="79">
        <v>11612.03</v>
      </c>
      <c r="BF224" s="79">
        <v>0</v>
      </c>
      <c r="BG224" s="79">
        <v>0</v>
      </c>
      <c r="BH224" s="79">
        <v>0</v>
      </c>
      <c r="BI224" s="79">
        <v>0</v>
      </c>
      <c r="BJ224" s="79">
        <v>0</v>
      </c>
      <c r="BK224" s="79">
        <v>0</v>
      </c>
      <c r="BL224" s="79">
        <v>0</v>
      </c>
      <c r="BM224" s="79">
        <v>0</v>
      </c>
      <c r="BN224" s="79">
        <v>0</v>
      </c>
      <c r="BO224" s="79">
        <v>50489.729999999996</v>
      </c>
    </row>
    <row r="225" spans="1:67" ht="15" customHeight="1">
      <c r="A225" s="66" t="s">
        <v>1218</v>
      </c>
      <c r="B225" s="66" t="s">
        <v>1219</v>
      </c>
      <c r="C225" s="150" t="s">
        <v>1136</v>
      </c>
      <c r="D225" s="150" t="s">
        <v>1135</v>
      </c>
      <c r="E225" s="150" t="s">
        <v>1156</v>
      </c>
      <c r="F225" s="150" t="s">
        <v>1137</v>
      </c>
      <c r="G225" s="511" t="s">
        <v>49</v>
      </c>
      <c r="H225" s="392" t="s">
        <v>1220</v>
      </c>
      <c r="I225" s="343"/>
      <c r="J225" s="343"/>
      <c r="K225" s="70" t="s">
        <v>83</v>
      </c>
      <c r="L225" s="346"/>
      <c r="M225" s="346" t="s">
        <v>1221</v>
      </c>
      <c r="N225" s="346"/>
      <c r="O225" s="150" t="s">
        <v>25</v>
      </c>
      <c r="P225" s="150" t="s">
        <v>1222</v>
      </c>
      <c r="Q225" s="403"/>
      <c r="R225" s="406">
        <v>750</v>
      </c>
      <c r="S225" s="406">
        <v>0</v>
      </c>
      <c r="T225" s="425"/>
      <c r="U225" s="71"/>
      <c r="V225" s="426"/>
      <c r="W225" s="427"/>
      <c r="X225" s="427"/>
      <c r="Y225" s="428" t="s">
        <v>1142</v>
      </c>
      <c r="Z225" s="429">
        <v>0</v>
      </c>
      <c r="AA225" s="429">
        <v>0</v>
      </c>
      <c r="AB225" s="363" t="e">
        <v>#N/A</v>
      </c>
      <c r="AC225" s="363"/>
      <c r="AD225" s="363"/>
      <c r="AE225" s="363"/>
      <c r="AF225" s="363"/>
      <c r="AG225" s="363"/>
      <c r="AH225" s="360" t="e">
        <f t="shared" si="14"/>
        <v>#N/A</v>
      </c>
      <c r="AI225" s="362" t="e">
        <f>ERP[[#This Row],[2026 Working Total]]-ERP[[#This Row],[LE2 Final Submission]]</f>
        <v>#N/A</v>
      </c>
      <c r="AJ225" s="79" t="e">
        <v>#N/A</v>
      </c>
      <c r="AK225" s="79" t="e">
        <f t="shared" si="13"/>
        <v>#N/A</v>
      </c>
      <c r="AL225" s="374">
        <f>SUM(ERP[[#This Row],[AP01]:[AP06]])-SUM(ERP[[#This Row],[AP01 LE2]:[AP06 LE2]])</f>
        <v>0</v>
      </c>
      <c r="AM225" s="80">
        <v>-750</v>
      </c>
      <c r="AN225" s="79" t="e">
        <f>ERP[[#This Row],[2026 Working Total to Budget/LE]]-ERP[[#This Row],[Giveback]]</f>
        <v>#N/A</v>
      </c>
      <c r="AO225" s="81" t="s">
        <v>1223</v>
      </c>
      <c r="AP225" s="375"/>
      <c r="AQ225" s="375"/>
      <c r="AR225" s="375"/>
      <c r="AS225" s="375"/>
      <c r="AT225" s="375"/>
      <c r="AU225" s="375"/>
      <c r="AV225" s="375"/>
      <c r="AW225" s="375"/>
      <c r="AX225" s="375"/>
      <c r="AY225" s="375"/>
      <c r="AZ225" s="375"/>
      <c r="BA225" s="375"/>
      <c r="BB225" s="375">
        <v>0</v>
      </c>
      <c r="BC225" s="79"/>
      <c r="BD225" s="79"/>
      <c r="BE225" s="79"/>
      <c r="BF225" s="79">
        <v>62.5</v>
      </c>
      <c r="BG225" s="79">
        <v>62.5</v>
      </c>
      <c r="BH225" s="79">
        <v>62.5</v>
      </c>
      <c r="BI225" s="79">
        <v>62.5</v>
      </c>
      <c r="BJ225" s="79">
        <v>62.5</v>
      </c>
      <c r="BK225" s="79">
        <v>62.5</v>
      </c>
      <c r="BL225" s="79">
        <v>62.5</v>
      </c>
      <c r="BM225" s="79">
        <v>62.5</v>
      </c>
      <c r="BN225" s="79">
        <v>62.5</v>
      </c>
      <c r="BO225" s="79">
        <v>562.5</v>
      </c>
    </row>
    <row r="226" spans="1:67" ht="15" customHeight="1">
      <c r="A226" s="66" t="s">
        <v>1224</v>
      </c>
      <c r="B226" s="66" t="s">
        <v>1225</v>
      </c>
      <c r="C226" s="150" t="s">
        <v>1136</v>
      </c>
      <c r="D226" s="150" t="s">
        <v>1135</v>
      </c>
      <c r="E226" s="150" t="s">
        <v>1145</v>
      </c>
      <c r="F226" s="150" t="s">
        <v>1137</v>
      </c>
      <c r="G226" s="511" t="s">
        <v>49</v>
      </c>
      <c r="H226" s="392" t="s">
        <v>1226</v>
      </c>
      <c r="I226" s="343"/>
      <c r="J226" s="346" t="s">
        <v>1186</v>
      </c>
      <c r="K226" s="70" t="s">
        <v>85</v>
      </c>
      <c r="L226" s="346"/>
      <c r="M226" s="346" t="s">
        <v>1227</v>
      </c>
      <c r="N226" s="346"/>
      <c r="O226" s="150" t="s">
        <v>25</v>
      </c>
      <c r="P226" s="150" t="s">
        <v>1228</v>
      </c>
      <c r="Q226" s="403"/>
      <c r="R226" s="406">
        <v>357000</v>
      </c>
      <c r="S226" s="406">
        <v>356999.8</v>
      </c>
      <c r="T226" s="425"/>
      <c r="U226" s="71"/>
      <c r="V226" s="426">
        <v>24570</v>
      </c>
      <c r="W226" s="427">
        <v>27517.439999999999</v>
      </c>
      <c r="X226" s="427">
        <v>34397.360000000001</v>
      </c>
      <c r="Y226" s="428">
        <v>27517.89</v>
      </c>
      <c r="Z226" s="429">
        <v>27517.89</v>
      </c>
      <c r="AA226" s="429">
        <v>34397.360000000001</v>
      </c>
      <c r="AB226" s="363" t="e">
        <v>#N/A</v>
      </c>
      <c r="AC226" s="363">
        <v>29750</v>
      </c>
      <c r="AD226" s="363">
        <f>29750+7300</f>
        <v>37050</v>
      </c>
      <c r="AE226" s="363">
        <v>29750</v>
      </c>
      <c r="AF226" s="363">
        <v>29750</v>
      </c>
      <c r="AG226" s="363">
        <v>29750</v>
      </c>
      <c r="AH226" s="360" t="e">
        <f t="shared" si="14"/>
        <v>#N/A</v>
      </c>
      <c r="AI226" s="362" t="e">
        <f>ERP[[#This Row],[2026 Working Total]]-ERP[[#This Row],[LE2 Final Submission]]</f>
        <v>#N/A</v>
      </c>
      <c r="AJ226" s="79" t="e">
        <v>#N/A</v>
      </c>
      <c r="AK226" s="79" t="e">
        <f t="shared" si="13"/>
        <v>#N/A</v>
      </c>
      <c r="AL226" s="374">
        <f>SUM(ERP[[#This Row],[AP01]:[AP06]])-SUM(ERP[[#This Row],[AP01 LE2]:[AP06 LE2]])</f>
        <v>-2581.859999999986</v>
      </c>
      <c r="AM226" s="80"/>
      <c r="AN226" s="79" t="e">
        <f>ERP[[#This Row],[2026 Working Total to Budget/LE]]-ERP[[#This Row],[Giveback]]</f>
        <v>#N/A</v>
      </c>
      <c r="AO226" s="81"/>
      <c r="AP226" s="375">
        <v>24570</v>
      </c>
      <c r="AQ226" s="375">
        <v>27517.439999999999</v>
      </c>
      <c r="AR226" s="375">
        <v>34397.360000000001</v>
      </c>
      <c r="AS226" s="375">
        <v>32515</v>
      </c>
      <c r="AT226" s="375">
        <v>29750</v>
      </c>
      <c r="AU226" s="375">
        <v>29750</v>
      </c>
      <c r="AV226" s="375">
        <v>29750</v>
      </c>
      <c r="AW226" s="375">
        <v>29750</v>
      </c>
      <c r="AX226" s="375">
        <v>29750</v>
      </c>
      <c r="AY226" s="375">
        <v>29750</v>
      </c>
      <c r="AZ226" s="375">
        <v>29750</v>
      </c>
      <c r="BA226" s="375">
        <v>29750</v>
      </c>
      <c r="BB226" s="375">
        <v>356999.8</v>
      </c>
      <c r="BC226" s="79">
        <v>24570</v>
      </c>
      <c r="BD226" s="79">
        <v>27517.439999999999</v>
      </c>
      <c r="BE226" s="79">
        <v>34397.360000000001</v>
      </c>
      <c r="BF226" s="79">
        <v>37163</v>
      </c>
      <c r="BG226" s="79">
        <v>29750</v>
      </c>
      <c r="BH226" s="79">
        <v>29750</v>
      </c>
      <c r="BI226" s="79">
        <v>29750</v>
      </c>
      <c r="BJ226" s="79">
        <v>29750</v>
      </c>
      <c r="BK226" s="79">
        <v>29750</v>
      </c>
      <c r="BL226" s="79">
        <v>29750</v>
      </c>
      <c r="BM226" s="79">
        <v>29750</v>
      </c>
      <c r="BN226" s="79">
        <v>29750</v>
      </c>
      <c r="BO226" s="79">
        <v>361647.8</v>
      </c>
    </row>
    <row r="227" spans="1:67" ht="15" customHeight="1">
      <c r="A227" s="66" t="s">
        <v>1229</v>
      </c>
      <c r="B227" s="66" t="s">
        <v>86</v>
      </c>
      <c r="C227" s="150" t="s">
        <v>1136</v>
      </c>
      <c r="D227" s="150" t="s">
        <v>1135</v>
      </c>
      <c r="E227" s="150" t="s">
        <v>1135</v>
      </c>
      <c r="F227" s="150" t="s">
        <v>1137</v>
      </c>
      <c r="G227" s="511" t="s">
        <v>49</v>
      </c>
      <c r="H227" s="392" t="s">
        <v>1230</v>
      </c>
      <c r="I227" s="343" t="s">
        <v>1231</v>
      </c>
      <c r="J227" s="346" t="s">
        <v>1171</v>
      </c>
      <c r="K227" s="70" t="s">
        <v>87</v>
      </c>
      <c r="L227" s="346"/>
      <c r="M227" s="346" t="s">
        <v>1232</v>
      </c>
      <c r="N227" s="346"/>
      <c r="O227" s="150" t="s">
        <v>25</v>
      </c>
      <c r="P227" s="150" t="s">
        <v>1233</v>
      </c>
      <c r="Q227" s="403"/>
      <c r="R227" s="406">
        <v>1678341.6000000003</v>
      </c>
      <c r="S227" s="406">
        <v>1647348.3599999999</v>
      </c>
      <c r="T227" s="425"/>
      <c r="U227" s="71"/>
      <c r="V227" s="426">
        <v>113142.14</v>
      </c>
      <c r="W227" s="427">
        <v>160853.85999999999</v>
      </c>
      <c r="X227" s="427">
        <v>137841.35999999999</v>
      </c>
      <c r="Y227" s="428">
        <v>0</v>
      </c>
      <c r="Z227" s="429">
        <v>274558.24</v>
      </c>
      <c r="AA227" s="429">
        <v>137279.12</v>
      </c>
      <c r="AB227" s="363" t="e">
        <v>#N/A</v>
      </c>
      <c r="AC227" s="363">
        <f>136998-136998+137279+137279</f>
        <v>274558</v>
      </c>
      <c r="AD227" s="363">
        <f>136998-136998+137279</f>
        <v>137279</v>
      </c>
      <c r="AE227" s="363">
        <f>136998-136998</f>
        <v>0</v>
      </c>
      <c r="AF227" s="363">
        <f>136998-136998+137279+137279</f>
        <v>274558</v>
      </c>
      <c r="AG227" s="363">
        <f>136998-136998+137279</f>
        <v>137279</v>
      </c>
      <c r="AH227" s="360" t="e">
        <f t="shared" si="14"/>
        <v>#N/A</v>
      </c>
      <c r="AI227" s="362" t="e">
        <f>ERP[[#This Row],[2026 Working Total]]-ERP[[#This Row],[LE2 Final Submission]]</f>
        <v>#N/A</v>
      </c>
      <c r="AJ227" s="79" t="e">
        <v>#N/A</v>
      </c>
      <c r="AK227" s="79" t="e">
        <f t="shared" si="13"/>
        <v>#N/A</v>
      </c>
      <c r="AL227" s="374">
        <f>SUM(ERP[[#This Row],[AP01]:[AP06]])-SUM(ERP[[#This Row],[AP01 LE2]:[AP06 LE2]])</f>
        <v>0.35999999998603016</v>
      </c>
      <c r="AM227" s="80"/>
      <c r="AN227" s="79" t="e">
        <f>ERP[[#This Row],[2026 Working Total to Budget/LE]]-ERP[[#This Row],[Giveback]]</f>
        <v>#N/A</v>
      </c>
      <c r="AO227" s="81" t="s">
        <v>1234</v>
      </c>
      <c r="AP227" s="375">
        <v>113142.14</v>
      </c>
      <c r="AQ227" s="375">
        <v>160853.85999999999</v>
      </c>
      <c r="AR227" s="375">
        <v>137841.35999999999</v>
      </c>
      <c r="AS227" s="375">
        <v>0</v>
      </c>
      <c r="AT227" s="375">
        <v>274558</v>
      </c>
      <c r="AU227" s="375">
        <v>137279</v>
      </c>
      <c r="AV227" s="375">
        <v>0</v>
      </c>
      <c r="AW227" s="375">
        <v>274558</v>
      </c>
      <c r="AX227" s="375">
        <v>137279</v>
      </c>
      <c r="AY227" s="375">
        <v>0</v>
      </c>
      <c r="AZ227" s="375">
        <v>274558</v>
      </c>
      <c r="BA227" s="375">
        <v>137279</v>
      </c>
      <c r="BB227" s="375">
        <v>1647348.3599999999</v>
      </c>
      <c r="BC227" s="79">
        <v>113142.14</v>
      </c>
      <c r="BD227" s="79">
        <v>160853.85999999999</v>
      </c>
      <c r="BE227" s="79">
        <v>137841.35999999999</v>
      </c>
      <c r="BF227" s="79">
        <v>136998</v>
      </c>
      <c r="BG227" s="79">
        <v>136998</v>
      </c>
      <c r="BH227" s="79">
        <v>136998</v>
      </c>
      <c r="BI227" s="79">
        <v>136998</v>
      </c>
      <c r="BJ227" s="79">
        <v>136998</v>
      </c>
      <c r="BK227" s="79">
        <v>136998</v>
      </c>
      <c r="BL227" s="79">
        <v>136998</v>
      </c>
      <c r="BM227" s="79">
        <v>136998</v>
      </c>
      <c r="BN227" s="79">
        <v>136998</v>
      </c>
      <c r="BO227" s="79">
        <v>1644819.3599999999</v>
      </c>
    </row>
    <row r="228" spans="1:67" ht="15" customHeight="1">
      <c r="A228" s="79" t="s">
        <v>1235</v>
      </c>
      <c r="B228" s="296" t="s">
        <v>88</v>
      </c>
      <c r="C228" s="150" t="s">
        <v>1136</v>
      </c>
      <c r="D228" s="332" t="s">
        <v>1135</v>
      </c>
      <c r="E228" s="382" t="s">
        <v>1135</v>
      </c>
      <c r="F228" s="331" t="s">
        <v>1137</v>
      </c>
      <c r="G228" s="512" t="s">
        <v>49</v>
      </c>
      <c r="H228" s="394" t="s">
        <v>1236</v>
      </c>
      <c r="I228" s="343"/>
      <c r="J228" s="331"/>
      <c r="K228" s="122" t="s">
        <v>89</v>
      </c>
      <c r="L228" s="343"/>
      <c r="M228" s="346" t="s">
        <v>1232</v>
      </c>
      <c r="N228" s="471"/>
      <c r="O228" s="384" t="s">
        <v>25</v>
      </c>
      <c r="P228" s="150"/>
      <c r="Q228" s="432"/>
      <c r="R228" s="358">
        <f>-213108+213108</f>
        <v>0</v>
      </c>
      <c r="S228" s="378">
        <v>0</v>
      </c>
      <c r="T228" s="430"/>
      <c r="U228" s="137"/>
      <c r="V228" s="433"/>
      <c r="W228" s="434"/>
      <c r="X228" s="434"/>
      <c r="Y228" s="428" t="s">
        <v>1142</v>
      </c>
      <c r="Z228" s="429">
        <v>0</v>
      </c>
      <c r="AA228" s="429">
        <v>0</v>
      </c>
      <c r="AB228" s="363" t="e">
        <v>#N/A</v>
      </c>
      <c r="AC228" s="388">
        <v>0</v>
      </c>
      <c r="AD228" s="388">
        <v>0</v>
      </c>
      <c r="AE228" s="388">
        <v>0</v>
      </c>
      <c r="AF228" s="388">
        <v>0</v>
      </c>
      <c r="AG228" s="388"/>
      <c r="AH228" s="360" t="e">
        <f t="shared" si="14"/>
        <v>#N/A</v>
      </c>
      <c r="AI228" s="362" t="e">
        <f>ERP[[#This Row],[2026 Working Total]]-ERP[[#This Row],[LE2 Final Submission]]</f>
        <v>#N/A</v>
      </c>
      <c r="AJ228" s="79" t="e">
        <v>#N/A</v>
      </c>
      <c r="AK228" s="79" t="e">
        <f t="shared" si="13"/>
        <v>#N/A</v>
      </c>
      <c r="AL228" s="374">
        <f>SUM(ERP[[#This Row],[AP01]:[AP06]])-SUM(ERP[[#This Row],[AP01 LE2]:[AP06 LE2]])</f>
        <v>0</v>
      </c>
      <c r="AM228" s="80"/>
      <c r="AN228" s="79" t="e">
        <f>ERP[[#This Row],[2026 Working Total to Budget/LE]]-ERP[[#This Row],[Giveback]]</f>
        <v>#N/A</v>
      </c>
      <c r="AO228" s="81"/>
      <c r="AP228" s="375"/>
      <c r="AQ228" s="375"/>
      <c r="AR228" s="375"/>
      <c r="AS228" s="375">
        <v>0</v>
      </c>
      <c r="AT228" s="375">
        <v>0</v>
      </c>
      <c r="AU228" s="375">
        <v>0</v>
      </c>
      <c r="AV228" s="375">
        <v>0</v>
      </c>
      <c r="AW228" s="375">
        <v>0</v>
      </c>
      <c r="AX228" s="375">
        <v>0</v>
      </c>
      <c r="AY228" s="375">
        <v>0</v>
      </c>
      <c r="AZ228" s="375">
        <v>0</v>
      </c>
      <c r="BA228" s="375"/>
      <c r="BB228" s="375">
        <v>0</v>
      </c>
      <c r="BC228" s="103">
        <v>0</v>
      </c>
      <c r="BD228" s="103">
        <v>0</v>
      </c>
      <c r="BE228" s="103">
        <v>0</v>
      </c>
      <c r="BF228" s="103">
        <v>0</v>
      </c>
      <c r="BG228" s="103">
        <v>0</v>
      </c>
      <c r="BH228" s="103">
        <v>-213108</v>
      </c>
      <c r="BI228" s="103">
        <v>0</v>
      </c>
      <c r="BJ228" s="103">
        <v>0</v>
      </c>
      <c r="BK228" s="103">
        <v>0</v>
      </c>
      <c r="BL228" s="103">
        <v>0</v>
      </c>
      <c r="BM228" s="103">
        <v>0</v>
      </c>
      <c r="BN228" s="103">
        <v>0</v>
      </c>
      <c r="BO228" s="79">
        <f>SUM(ERP[[#This Row],[2026 AP01]:[2026 AP12]])</f>
        <v>-213108</v>
      </c>
    </row>
    <row r="229" spans="1:67" ht="15" customHeight="1">
      <c r="A229" s="79" t="s">
        <v>1237</v>
      </c>
      <c r="B229" s="296" t="s">
        <v>90</v>
      </c>
      <c r="C229" s="150" t="s">
        <v>1136</v>
      </c>
      <c r="D229" s="332" t="s">
        <v>1135</v>
      </c>
      <c r="E229" s="382" t="s">
        <v>1135</v>
      </c>
      <c r="F229" s="331" t="s">
        <v>1137</v>
      </c>
      <c r="G229" s="512" t="s">
        <v>49</v>
      </c>
      <c r="H229" s="394" t="s">
        <v>1238</v>
      </c>
      <c r="I229" s="343"/>
      <c r="J229" s="331"/>
      <c r="K229" s="122" t="s">
        <v>91</v>
      </c>
      <c r="L229" s="343"/>
      <c r="M229" s="346" t="s">
        <v>1232</v>
      </c>
      <c r="N229" s="471"/>
      <c r="O229" s="384" t="s">
        <v>25</v>
      </c>
      <c r="P229" s="150"/>
      <c r="Q229" s="432"/>
      <c r="R229" s="358">
        <f>76110+-76110</f>
        <v>0</v>
      </c>
      <c r="S229" s="378">
        <v>0</v>
      </c>
      <c r="T229" s="425"/>
      <c r="U229" s="71"/>
      <c r="V229" s="433"/>
      <c r="W229" s="434"/>
      <c r="X229" s="434"/>
      <c r="Y229" s="428" t="s">
        <v>1142</v>
      </c>
      <c r="Z229" s="429">
        <v>0</v>
      </c>
      <c r="AA229" s="429">
        <v>0</v>
      </c>
      <c r="AB229" s="363" t="e">
        <v>#N/A</v>
      </c>
      <c r="AC229" s="388">
        <v>0</v>
      </c>
      <c r="AD229" s="388">
        <v>0</v>
      </c>
      <c r="AE229" s="388">
        <v>0</v>
      </c>
      <c r="AF229" s="388">
        <v>0</v>
      </c>
      <c r="AG229" s="388"/>
      <c r="AH229" s="360" t="e">
        <f t="shared" si="14"/>
        <v>#N/A</v>
      </c>
      <c r="AI229" s="362" t="e">
        <f>ERP[[#This Row],[2026 Working Total]]-ERP[[#This Row],[LE2 Final Submission]]</f>
        <v>#N/A</v>
      </c>
      <c r="AJ229" s="79" t="e">
        <v>#N/A</v>
      </c>
      <c r="AK229" s="79" t="e">
        <f t="shared" si="13"/>
        <v>#N/A</v>
      </c>
      <c r="AL229" s="374">
        <f>SUM(ERP[[#This Row],[AP01]:[AP06]])-SUM(ERP[[#This Row],[AP01 LE2]:[AP06 LE2]])</f>
        <v>0</v>
      </c>
      <c r="AM229" s="80"/>
      <c r="AN229" s="79" t="e">
        <f>ERP[[#This Row],[2026 Working Total to Budget/LE]]-ERP[[#This Row],[Giveback]]</f>
        <v>#N/A</v>
      </c>
      <c r="AO229" s="81"/>
      <c r="AP229" s="375"/>
      <c r="AQ229" s="375"/>
      <c r="AR229" s="375"/>
      <c r="AS229" s="375">
        <v>0</v>
      </c>
      <c r="AT229" s="375">
        <v>0</v>
      </c>
      <c r="AU229" s="375">
        <v>0</v>
      </c>
      <c r="AV229" s="375">
        <v>0</v>
      </c>
      <c r="AW229" s="375">
        <v>0</v>
      </c>
      <c r="AX229" s="375">
        <v>0</v>
      </c>
      <c r="AY229" s="375">
        <v>0</v>
      </c>
      <c r="AZ229" s="375">
        <v>0</v>
      </c>
      <c r="BA229" s="375"/>
      <c r="BB229" s="375">
        <v>0</v>
      </c>
      <c r="BC229" s="103">
        <v>0</v>
      </c>
      <c r="BD229" s="103">
        <v>0</v>
      </c>
      <c r="BE229" s="103">
        <v>0</v>
      </c>
      <c r="BF229" s="103">
        <v>0</v>
      </c>
      <c r="BG229" s="103">
        <v>0</v>
      </c>
      <c r="BH229" s="103">
        <v>-76110</v>
      </c>
      <c r="BI229" s="103">
        <v>0</v>
      </c>
      <c r="BJ229" s="103">
        <v>0</v>
      </c>
      <c r="BK229" s="103">
        <v>0</v>
      </c>
      <c r="BL229" s="103">
        <v>0</v>
      </c>
      <c r="BM229" s="103">
        <v>0</v>
      </c>
      <c r="BN229" s="103">
        <v>0</v>
      </c>
      <c r="BO229" s="79">
        <f>SUM(ERP[[#This Row],[2026 AP01]:[2026 AP12]])</f>
        <v>-76110</v>
      </c>
    </row>
    <row r="230" spans="1:67" ht="15" customHeight="1">
      <c r="A230" s="79" t="s">
        <v>1239</v>
      </c>
      <c r="B230" s="296" t="s">
        <v>92</v>
      </c>
      <c r="C230" s="150" t="s">
        <v>1136</v>
      </c>
      <c r="D230" s="332" t="s">
        <v>1135</v>
      </c>
      <c r="E230" s="382" t="s">
        <v>1135</v>
      </c>
      <c r="F230" s="331" t="s">
        <v>1137</v>
      </c>
      <c r="G230" s="512" t="s">
        <v>49</v>
      </c>
      <c r="H230" s="394" t="s">
        <v>1240</v>
      </c>
      <c r="I230" s="343"/>
      <c r="J230" s="331"/>
      <c r="K230" s="122" t="s">
        <v>93</v>
      </c>
      <c r="L230" s="343"/>
      <c r="M230" s="346" t="s">
        <v>1232</v>
      </c>
      <c r="N230" s="471"/>
      <c r="O230" s="384" t="s">
        <v>25</v>
      </c>
      <c r="P230" s="150"/>
      <c r="Q230" s="432"/>
      <c r="R230" s="358">
        <f>-91332+91332</f>
        <v>0</v>
      </c>
      <c r="S230" s="378">
        <v>0</v>
      </c>
      <c r="T230" s="425"/>
      <c r="U230" s="71"/>
      <c r="V230" s="433"/>
      <c r="W230" s="434"/>
      <c r="X230" s="434"/>
      <c r="Y230" s="428" t="s">
        <v>1142</v>
      </c>
      <c r="Z230" s="429">
        <v>0</v>
      </c>
      <c r="AA230" s="429">
        <v>0</v>
      </c>
      <c r="AB230" s="363" t="e">
        <v>#N/A</v>
      </c>
      <c r="AC230" s="388">
        <v>0</v>
      </c>
      <c r="AD230" s="388">
        <v>0</v>
      </c>
      <c r="AE230" s="388">
        <v>0</v>
      </c>
      <c r="AF230" s="388">
        <v>0</v>
      </c>
      <c r="AG230" s="388"/>
      <c r="AH230" s="360" t="e">
        <f t="shared" si="14"/>
        <v>#N/A</v>
      </c>
      <c r="AI230" s="362" t="e">
        <f>ERP[[#This Row],[2026 Working Total]]-ERP[[#This Row],[LE2 Final Submission]]</f>
        <v>#N/A</v>
      </c>
      <c r="AJ230" s="79" t="e">
        <v>#N/A</v>
      </c>
      <c r="AK230" s="79" t="e">
        <f t="shared" si="13"/>
        <v>#N/A</v>
      </c>
      <c r="AL230" s="374">
        <f>SUM(ERP[[#This Row],[AP01]:[AP06]])-SUM(ERP[[#This Row],[AP01 LE2]:[AP06 LE2]])</f>
        <v>0</v>
      </c>
      <c r="AM230" s="80"/>
      <c r="AN230" s="79" t="e">
        <f>ERP[[#This Row],[2026 Working Total to Budget/LE]]-ERP[[#This Row],[Giveback]]</f>
        <v>#N/A</v>
      </c>
      <c r="AO230" s="81"/>
      <c r="AP230" s="375"/>
      <c r="AQ230" s="375"/>
      <c r="AR230" s="375"/>
      <c r="AS230" s="375">
        <v>0</v>
      </c>
      <c r="AT230" s="375">
        <v>0</v>
      </c>
      <c r="AU230" s="375">
        <v>0</v>
      </c>
      <c r="AV230" s="375">
        <v>0</v>
      </c>
      <c r="AW230" s="375">
        <v>0</v>
      </c>
      <c r="AX230" s="375">
        <v>0</v>
      </c>
      <c r="AY230" s="375">
        <v>0</v>
      </c>
      <c r="AZ230" s="375">
        <v>0</v>
      </c>
      <c r="BA230" s="375"/>
      <c r="BB230" s="375">
        <v>0</v>
      </c>
      <c r="BC230" s="103">
        <v>0</v>
      </c>
      <c r="BD230" s="103">
        <v>0</v>
      </c>
      <c r="BE230" s="103">
        <v>0</v>
      </c>
      <c r="BF230" s="103">
        <v>0</v>
      </c>
      <c r="BG230" s="103">
        <v>0</v>
      </c>
      <c r="BH230" s="103">
        <v>-91332</v>
      </c>
      <c r="BI230" s="103">
        <v>0</v>
      </c>
      <c r="BJ230" s="103">
        <v>0</v>
      </c>
      <c r="BK230" s="103">
        <v>0</v>
      </c>
      <c r="BL230" s="103">
        <v>0</v>
      </c>
      <c r="BM230" s="103">
        <v>0</v>
      </c>
      <c r="BN230" s="103">
        <v>0</v>
      </c>
      <c r="BO230" s="79">
        <f>SUM(ERP[[#This Row],[2026 AP01]:[2026 AP12]])</f>
        <v>-91332</v>
      </c>
    </row>
    <row r="231" spans="1:67" ht="15" customHeight="1">
      <c r="A231" s="79" t="s">
        <v>1241</v>
      </c>
      <c r="B231" s="296" t="s">
        <v>94</v>
      </c>
      <c r="C231" s="150" t="s">
        <v>1136</v>
      </c>
      <c r="D231" s="332" t="s">
        <v>1135</v>
      </c>
      <c r="E231" s="382" t="s">
        <v>1135</v>
      </c>
      <c r="F231" s="331" t="s">
        <v>1137</v>
      </c>
      <c r="G231" s="512" t="s">
        <v>49</v>
      </c>
      <c r="H231" s="394" t="s">
        <v>1242</v>
      </c>
      <c r="I231" s="343"/>
      <c r="J231" s="331"/>
      <c r="K231" s="122" t="s">
        <v>95</v>
      </c>
      <c r="L231" s="343"/>
      <c r="M231" s="346" t="s">
        <v>1232</v>
      </c>
      <c r="N231" s="471"/>
      <c r="O231" s="384" t="s">
        <v>25</v>
      </c>
      <c r="P231" s="150"/>
      <c r="Q231" s="432"/>
      <c r="R231" s="358">
        <f>-76110+76110</f>
        <v>0</v>
      </c>
      <c r="S231" s="378">
        <v>0</v>
      </c>
      <c r="T231" s="430"/>
      <c r="U231" s="137"/>
      <c r="V231" s="433"/>
      <c r="W231" s="434"/>
      <c r="X231" s="434"/>
      <c r="Y231" s="428" t="s">
        <v>1142</v>
      </c>
      <c r="Z231" s="429">
        <v>0</v>
      </c>
      <c r="AA231" s="429">
        <v>0</v>
      </c>
      <c r="AB231" s="363" t="e">
        <v>#N/A</v>
      </c>
      <c r="AC231" s="388">
        <v>0</v>
      </c>
      <c r="AD231" s="388">
        <v>0</v>
      </c>
      <c r="AE231" s="388">
        <v>0</v>
      </c>
      <c r="AF231" s="388">
        <v>0</v>
      </c>
      <c r="AG231" s="388"/>
      <c r="AH231" s="360" t="e">
        <f t="shared" si="14"/>
        <v>#N/A</v>
      </c>
      <c r="AI231" s="362" t="e">
        <f>ERP[[#This Row],[2026 Working Total]]-ERP[[#This Row],[LE2 Final Submission]]</f>
        <v>#N/A</v>
      </c>
      <c r="AJ231" s="79" t="e">
        <v>#N/A</v>
      </c>
      <c r="AK231" s="79" t="e">
        <f t="shared" si="13"/>
        <v>#N/A</v>
      </c>
      <c r="AL231" s="374">
        <f>SUM(ERP[[#This Row],[AP01]:[AP06]])-SUM(ERP[[#This Row],[AP01 LE2]:[AP06 LE2]])</f>
        <v>0</v>
      </c>
      <c r="AM231" s="80"/>
      <c r="AN231" s="79" t="e">
        <f>ERP[[#This Row],[2026 Working Total to Budget/LE]]-ERP[[#This Row],[Giveback]]</f>
        <v>#N/A</v>
      </c>
      <c r="AO231" s="81"/>
      <c r="AP231" s="375"/>
      <c r="AQ231" s="375"/>
      <c r="AR231" s="375"/>
      <c r="AS231" s="375">
        <v>0</v>
      </c>
      <c r="AT231" s="375">
        <v>0</v>
      </c>
      <c r="AU231" s="375">
        <v>0</v>
      </c>
      <c r="AV231" s="375">
        <v>0</v>
      </c>
      <c r="AW231" s="375">
        <v>0</v>
      </c>
      <c r="AX231" s="375">
        <v>0</v>
      </c>
      <c r="AY231" s="375">
        <v>0</v>
      </c>
      <c r="AZ231" s="375">
        <v>0</v>
      </c>
      <c r="BA231" s="375"/>
      <c r="BB231" s="375">
        <v>0</v>
      </c>
      <c r="BC231" s="103">
        <v>0</v>
      </c>
      <c r="BD231" s="103">
        <v>0</v>
      </c>
      <c r="BE231" s="103">
        <v>0</v>
      </c>
      <c r="BF231" s="103">
        <v>0</v>
      </c>
      <c r="BG231" s="103">
        <v>0</v>
      </c>
      <c r="BH231" s="103">
        <v>-76110</v>
      </c>
      <c r="BI231" s="103">
        <v>0</v>
      </c>
      <c r="BJ231" s="103">
        <v>0</v>
      </c>
      <c r="BK231" s="103">
        <v>0</v>
      </c>
      <c r="BL231" s="103">
        <v>0</v>
      </c>
      <c r="BM231" s="103">
        <v>0</v>
      </c>
      <c r="BN231" s="103">
        <v>0</v>
      </c>
      <c r="BO231" s="79">
        <f>SUM(ERP[[#This Row],[2026 AP01]:[2026 AP12]])</f>
        <v>-76110</v>
      </c>
    </row>
    <row r="232" spans="1:67" ht="15" customHeight="1">
      <c r="A232" s="66" t="s">
        <v>1243</v>
      </c>
      <c r="B232" s="66" t="s">
        <v>96</v>
      </c>
      <c r="C232" s="150" t="s">
        <v>1136</v>
      </c>
      <c r="D232" s="150" t="s">
        <v>1135</v>
      </c>
      <c r="E232" s="150" t="s">
        <v>1135</v>
      </c>
      <c r="F232" s="150" t="s">
        <v>1137</v>
      </c>
      <c r="G232" s="511" t="s">
        <v>49</v>
      </c>
      <c r="H232" s="392" t="s">
        <v>1238</v>
      </c>
      <c r="I232" s="343"/>
      <c r="J232" s="343"/>
      <c r="K232" s="70" t="s">
        <v>97</v>
      </c>
      <c r="L232" s="346"/>
      <c r="M232" s="346" t="s">
        <v>1232</v>
      </c>
      <c r="N232" s="346"/>
      <c r="O232" s="150" t="s">
        <v>25</v>
      </c>
      <c r="P232" s="150" t="s">
        <v>1244</v>
      </c>
      <c r="Q232" s="403"/>
      <c r="R232" s="406">
        <v>0</v>
      </c>
      <c r="S232" s="406">
        <v>-76110</v>
      </c>
      <c r="T232" s="425"/>
      <c r="U232" s="71"/>
      <c r="V232" s="426"/>
      <c r="W232" s="427"/>
      <c r="X232" s="427"/>
      <c r="Y232" s="428" t="s">
        <v>1142</v>
      </c>
      <c r="Z232" s="429">
        <v>-76110</v>
      </c>
      <c r="AA232" s="429">
        <v>0</v>
      </c>
      <c r="AB232" s="363" t="e">
        <v>#N/A</v>
      </c>
      <c r="AC232" s="360">
        <v>0</v>
      </c>
      <c r="AD232" s="360">
        <v>0</v>
      </c>
      <c r="AE232" s="360">
        <v>0</v>
      </c>
      <c r="AF232" s="360">
        <v>0</v>
      </c>
      <c r="AG232" s="360">
        <v>0</v>
      </c>
      <c r="AH232" s="360" t="e">
        <f t="shared" si="14"/>
        <v>#N/A</v>
      </c>
      <c r="AI232" s="362" t="e">
        <f>ERP[[#This Row],[2026 Working Total]]-ERP[[#This Row],[LE2 Final Submission]]</f>
        <v>#N/A</v>
      </c>
      <c r="AJ232" s="79" t="e">
        <v>#N/A</v>
      </c>
      <c r="AK232" s="79" t="e">
        <f t="shared" si="13"/>
        <v>#N/A</v>
      </c>
      <c r="AL232" s="374">
        <f>SUM(ERP[[#This Row],[AP01]:[AP06]])-SUM(ERP[[#This Row],[AP01 LE2]:[AP06 LE2]])</f>
        <v>0</v>
      </c>
      <c r="AM232" s="80"/>
      <c r="AN232" s="79" t="e">
        <f>ERP[[#This Row],[2026 Working Total to Budget/LE]]-ERP[[#This Row],[Giveback]]</f>
        <v>#N/A</v>
      </c>
      <c r="AO232" s="81"/>
      <c r="AP232" s="375"/>
      <c r="AQ232" s="375"/>
      <c r="AR232" s="375"/>
      <c r="AS232" s="375"/>
      <c r="AT232" s="375"/>
      <c r="AU232" s="375">
        <v>-76110</v>
      </c>
      <c r="AV232" s="375">
        <v>0</v>
      </c>
      <c r="AW232" s="375">
        <v>0</v>
      </c>
      <c r="AX232" s="375">
        <v>0</v>
      </c>
      <c r="AY232" s="375">
        <v>0</v>
      </c>
      <c r="AZ232" s="375">
        <v>0</v>
      </c>
      <c r="BA232" s="375">
        <v>0</v>
      </c>
      <c r="BB232" s="375">
        <v>-76110</v>
      </c>
      <c r="BC232" s="79"/>
      <c r="BD232" s="79"/>
      <c r="BE232" s="79"/>
      <c r="BF232" s="79"/>
      <c r="BG232" s="79"/>
      <c r="BH232" s="79">
        <v>-76110</v>
      </c>
      <c r="BI232" s="79">
        <v>0</v>
      </c>
      <c r="BJ232" s="79">
        <v>0</v>
      </c>
      <c r="BK232" s="79">
        <v>0</v>
      </c>
      <c r="BL232" s="79">
        <v>0</v>
      </c>
      <c r="BM232" s="79">
        <v>0</v>
      </c>
      <c r="BN232" s="79">
        <v>0</v>
      </c>
      <c r="BO232" s="79">
        <v>-76110</v>
      </c>
    </row>
    <row r="233" spans="1:67" ht="15" customHeight="1">
      <c r="A233" s="66" t="s">
        <v>1245</v>
      </c>
      <c r="B233" s="66" t="s">
        <v>98</v>
      </c>
      <c r="C233" s="150" t="s">
        <v>1136</v>
      </c>
      <c r="D233" s="150" t="s">
        <v>1135</v>
      </c>
      <c r="E233" s="150" t="s">
        <v>1135</v>
      </c>
      <c r="F233" s="150" t="s">
        <v>1137</v>
      </c>
      <c r="G233" s="511" t="s">
        <v>49</v>
      </c>
      <c r="H233" s="392" t="s">
        <v>1242</v>
      </c>
      <c r="I233" s="343"/>
      <c r="J233" s="343"/>
      <c r="K233" s="70" t="s">
        <v>99</v>
      </c>
      <c r="L233" s="346"/>
      <c r="M233" s="346" t="s">
        <v>1232</v>
      </c>
      <c r="N233" s="346"/>
      <c r="O233" s="150" t="s">
        <v>25</v>
      </c>
      <c r="P233" s="150" t="s">
        <v>1244</v>
      </c>
      <c r="Q233" s="403"/>
      <c r="R233" s="406">
        <v>0</v>
      </c>
      <c r="S233" s="406">
        <v>-136110</v>
      </c>
      <c r="T233" s="425"/>
      <c r="U233" s="71"/>
      <c r="V233" s="426"/>
      <c r="W233" s="427"/>
      <c r="X233" s="427">
        <v>-60000</v>
      </c>
      <c r="Y233" s="428">
        <v>0</v>
      </c>
      <c r="Z233" s="429">
        <v>-76110</v>
      </c>
      <c r="AA233" s="429">
        <v>0</v>
      </c>
      <c r="AB233" s="363" t="e">
        <v>#N/A</v>
      </c>
      <c r="AC233" s="360">
        <v>0</v>
      </c>
      <c r="AD233" s="360">
        <v>0</v>
      </c>
      <c r="AE233" s="360">
        <v>0</v>
      </c>
      <c r="AF233" s="360">
        <v>0</v>
      </c>
      <c r="AG233" s="360">
        <v>0</v>
      </c>
      <c r="AH233" s="360" t="e">
        <f t="shared" si="14"/>
        <v>#N/A</v>
      </c>
      <c r="AI233" s="362" t="e">
        <f>ERP[[#This Row],[2026 Working Total]]-ERP[[#This Row],[LE2 Final Submission]]</f>
        <v>#N/A</v>
      </c>
      <c r="AJ233" s="79" t="e">
        <v>#N/A</v>
      </c>
      <c r="AK233" s="79" t="e">
        <f t="shared" si="13"/>
        <v>#N/A</v>
      </c>
      <c r="AL233" s="374">
        <f>SUM(ERP[[#This Row],[AP01]:[AP06]])-SUM(ERP[[#This Row],[AP01 LE2]:[AP06 LE2]])</f>
        <v>0</v>
      </c>
      <c r="AM233" s="80"/>
      <c r="AN233" s="79" t="e">
        <f>ERP[[#This Row],[2026 Working Total to Budget/LE]]-ERP[[#This Row],[Giveback]]</f>
        <v>#N/A</v>
      </c>
      <c r="AO233" s="81"/>
      <c r="AP233" s="375"/>
      <c r="AQ233" s="375"/>
      <c r="AR233" s="375">
        <v>-60000</v>
      </c>
      <c r="AS233" s="375">
        <v>0</v>
      </c>
      <c r="AT233" s="375">
        <v>0</v>
      </c>
      <c r="AU233" s="375">
        <v>-76110</v>
      </c>
      <c r="AV233" s="375">
        <v>0</v>
      </c>
      <c r="AW233" s="375">
        <v>0</v>
      </c>
      <c r="AX233" s="375">
        <v>0</v>
      </c>
      <c r="AY233" s="375">
        <v>0</v>
      </c>
      <c r="AZ233" s="375">
        <v>0</v>
      </c>
      <c r="BA233" s="375">
        <v>0</v>
      </c>
      <c r="BB233" s="375">
        <v>-136110</v>
      </c>
      <c r="BC233" s="79"/>
      <c r="BD233" s="79"/>
      <c r="BE233" s="79">
        <v>-60000</v>
      </c>
      <c r="BF233" s="79">
        <v>0</v>
      </c>
      <c r="BG233" s="79">
        <v>0</v>
      </c>
      <c r="BH233" s="79">
        <v>-76110</v>
      </c>
      <c r="BI233" s="79">
        <v>0</v>
      </c>
      <c r="BJ233" s="79">
        <v>0</v>
      </c>
      <c r="BK233" s="79">
        <v>0</v>
      </c>
      <c r="BL233" s="79">
        <v>0</v>
      </c>
      <c r="BM233" s="79">
        <v>0</v>
      </c>
      <c r="BN233" s="79">
        <v>0</v>
      </c>
      <c r="BO233" s="79">
        <v>-136110</v>
      </c>
    </row>
    <row r="234" spans="1:67" ht="15" customHeight="1">
      <c r="A234" s="66" t="s">
        <v>1246</v>
      </c>
      <c r="B234" s="66" t="s">
        <v>100</v>
      </c>
      <c r="C234" s="150" t="s">
        <v>1136</v>
      </c>
      <c r="D234" s="150" t="s">
        <v>1135</v>
      </c>
      <c r="E234" s="150" t="s">
        <v>1135</v>
      </c>
      <c r="F234" s="150" t="s">
        <v>1137</v>
      </c>
      <c r="G234" s="511" t="s">
        <v>49</v>
      </c>
      <c r="H234" s="392" t="s">
        <v>1240</v>
      </c>
      <c r="I234" s="343"/>
      <c r="J234" s="343"/>
      <c r="K234" s="70" t="s">
        <v>101</v>
      </c>
      <c r="L234" s="346"/>
      <c r="M234" s="346" t="s">
        <v>1232</v>
      </c>
      <c r="N234" s="346"/>
      <c r="O234" s="150" t="s">
        <v>25</v>
      </c>
      <c r="P234" s="150" t="s">
        <v>1244</v>
      </c>
      <c r="Q234" s="403"/>
      <c r="R234" s="406">
        <v>0</v>
      </c>
      <c r="S234" s="406">
        <v>-91332</v>
      </c>
      <c r="T234" s="430"/>
      <c r="U234" s="137"/>
      <c r="V234" s="426"/>
      <c r="W234" s="427"/>
      <c r="X234" s="427"/>
      <c r="Y234" s="428" t="s">
        <v>1142</v>
      </c>
      <c r="Z234" s="429">
        <v>-91332</v>
      </c>
      <c r="AA234" s="429">
        <v>0</v>
      </c>
      <c r="AB234" s="363" t="e">
        <v>#N/A</v>
      </c>
      <c r="AC234" s="360">
        <v>0</v>
      </c>
      <c r="AD234" s="360">
        <v>0</v>
      </c>
      <c r="AE234" s="360">
        <v>0</v>
      </c>
      <c r="AF234" s="360">
        <v>0</v>
      </c>
      <c r="AG234" s="360">
        <v>0</v>
      </c>
      <c r="AH234" s="360" t="e">
        <f t="shared" si="14"/>
        <v>#N/A</v>
      </c>
      <c r="AI234" s="362" t="e">
        <f>ERP[[#This Row],[2026 Working Total]]-ERP[[#This Row],[LE2 Final Submission]]</f>
        <v>#N/A</v>
      </c>
      <c r="AJ234" s="79" t="e">
        <v>#N/A</v>
      </c>
      <c r="AK234" s="79" t="e">
        <f t="shared" si="13"/>
        <v>#N/A</v>
      </c>
      <c r="AL234" s="374">
        <f>SUM(ERP[[#This Row],[AP01]:[AP06]])-SUM(ERP[[#This Row],[AP01 LE2]:[AP06 LE2]])</f>
        <v>0</v>
      </c>
      <c r="AM234" s="80"/>
      <c r="AN234" s="79" t="e">
        <f>ERP[[#This Row],[2026 Working Total to Budget/LE]]-ERP[[#This Row],[Giveback]]</f>
        <v>#N/A</v>
      </c>
      <c r="AO234" s="81"/>
      <c r="AP234" s="375"/>
      <c r="AQ234" s="375"/>
      <c r="AR234" s="375"/>
      <c r="AS234" s="375"/>
      <c r="AT234" s="375"/>
      <c r="AU234" s="375">
        <v>-91332</v>
      </c>
      <c r="AV234" s="375">
        <v>0</v>
      </c>
      <c r="AW234" s="375">
        <v>0</v>
      </c>
      <c r="AX234" s="375">
        <v>0</v>
      </c>
      <c r="AY234" s="375">
        <v>0</v>
      </c>
      <c r="AZ234" s="375">
        <v>0</v>
      </c>
      <c r="BA234" s="375">
        <v>0</v>
      </c>
      <c r="BB234" s="375">
        <v>-91332</v>
      </c>
      <c r="BC234" s="79"/>
      <c r="BD234" s="79"/>
      <c r="BE234" s="79"/>
      <c r="BF234" s="79"/>
      <c r="BG234" s="79"/>
      <c r="BH234" s="79">
        <v>-91332</v>
      </c>
      <c r="BI234" s="79">
        <v>0</v>
      </c>
      <c r="BJ234" s="79">
        <v>0</v>
      </c>
      <c r="BK234" s="79">
        <v>0</v>
      </c>
      <c r="BL234" s="79">
        <v>0</v>
      </c>
      <c r="BM234" s="79">
        <v>0</v>
      </c>
      <c r="BN234" s="79">
        <v>0</v>
      </c>
      <c r="BO234" s="79">
        <v>-91332</v>
      </c>
    </row>
    <row r="235" spans="1:67" ht="15" customHeight="1">
      <c r="A235" s="66" t="s">
        <v>1247</v>
      </c>
      <c r="B235" s="66" t="s">
        <v>102</v>
      </c>
      <c r="C235" s="150" t="s">
        <v>1136</v>
      </c>
      <c r="D235" s="150" t="s">
        <v>1135</v>
      </c>
      <c r="E235" s="150" t="s">
        <v>1135</v>
      </c>
      <c r="F235" s="150" t="s">
        <v>1137</v>
      </c>
      <c r="G235" s="511" t="s">
        <v>49</v>
      </c>
      <c r="H235" s="392" t="s">
        <v>1236</v>
      </c>
      <c r="I235" s="343"/>
      <c r="J235" s="343"/>
      <c r="K235" s="70" t="s">
        <v>103</v>
      </c>
      <c r="L235" s="346"/>
      <c r="M235" s="346" t="s">
        <v>1232</v>
      </c>
      <c r="N235" s="346"/>
      <c r="O235" s="150" t="s">
        <v>25</v>
      </c>
      <c r="P235" s="150" t="s">
        <v>1244</v>
      </c>
      <c r="Q235" s="403"/>
      <c r="R235" s="406">
        <v>0</v>
      </c>
      <c r="S235" s="406">
        <v>-213108</v>
      </c>
      <c r="T235" s="425"/>
      <c r="U235" s="71"/>
      <c r="V235" s="426"/>
      <c r="W235" s="427"/>
      <c r="X235" s="427"/>
      <c r="Y235" s="428" t="s">
        <v>1142</v>
      </c>
      <c r="Z235" s="429">
        <v>-213108</v>
      </c>
      <c r="AA235" s="429">
        <v>0</v>
      </c>
      <c r="AB235" s="363" t="e">
        <v>#N/A</v>
      </c>
      <c r="AC235" s="360">
        <v>0</v>
      </c>
      <c r="AD235" s="360">
        <v>0</v>
      </c>
      <c r="AE235" s="360">
        <v>0</v>
      </c>
      <c r="AF235" s="360">
        <v>0</v>
      </c>
      <c r="AG235" s="360">
        <v>0</v>
      </c>
      <c r="AH235" s="360" t="e">
        <f t="shared" si="14"/>
        <v>#N/A</v>
      </c>
      <c r="AI235" s="362" t="e">
        <f>ERP[[#This Row],[2026 Working Total]]-ERP[[#This Row],[LE2 Final Submission]]</f>
        <v>#N/A</v>
      </c>
      <c r="AJ235" s="79" t="e">
        <v>#N/A</v>
      </c>
      <c r="AK235" s="79" t="e">
        <f t="shared" si="13"/>
        <v>#N/A</v>
      </c>
      <c r="AL235" s="374">
        <f>SUM(ERP[[#This Row],[AP01]:[AP06]])-SUM(ERP[[#This Row],[AP01 LE2]:[AP06 LE2]])</f>
        <v>0</v>
      </c>
      <c r="AM235" s="80"/>
      <c r="AN235" s="79" t="e">
        <f>ERP[[#This Row],[2026 Working Total to Budget/LE]]-ERP[[#This Row],[Giveback]]</f>
        <v>#N/A</v>
      </c>
      <c r="AO235" s="81"/>
      <c r="AP235" s="375"/>
      <c r="AQ235" s="375"/>
      <c r="AR235" s="375"/>
      <c r="AS235" s="375"/>
      <c r="AT235" s="375"/>
      <c r="AU235" s="375">
        <v>-213108</v>
      </c>
      <c r="AV235" s="375">
        <v>0</v>
      </c>
      <c r="AW235" s="375">
        <v>0</v>
      </c>
      <c r="AX235" s="375">
        <v>0</v>
      </c>
      <c r="AY235" s="375">
        <v>0</v>
      </c>
      <c r="AZ235" s="375">
        <v>0</v>
      </c>
      <c r="BA235" s="375">
        <v>0</v>
      </c>
      <c r="BB235" s="375">
        <v>-213108</v>
      </c>
      <c r="BC235" s="79"/>
      <c r="BD235" s="79"/>
      <c r="BE235" s="79"/>
      <c r="BF235" s="79"/>
      <c r="BG235" s="79"/>
      <c r="BH235" s="79">
        <v>-213108</v>
      </c>
      <c r="BI235" s="79">
        <v>0</v>
      </c>
      <c r="BJ235" s="79">
        <v>0</v>
      </c>
      <c r="BK235" s="79">
        <v>0</v>
      </c>
      <c r="BL235" s="79">
        <v>0</v>
      </c>
      <c r="BM235" s="79">
        <v>0</v>
      </c>
      <c r="BN235" s="79">
        <v>0</v>
      </c>
      <c r="BO235" s="79">
        <v>-213108</v>
      </c>
    </row>
    <row r="236" spans="1:67" ht="15" customHeight="1">
      <c r="A236" s="79" t="s">
        <v>1248</v>
      </c>
      <c r="B236" s="296" t="s">
        <v>1249</v>
      </c>
      <c r="C236" s="150" t="s">
        <v>1136</v>
      </c>
      <c r="D236" s="332" t="s">
        <v>1135</v>
      </c>
      <c r="E236" s="383" t="s">
        <v>1156</v>
      </c>
      <c r="F236" s="333" t="s">
        <v>1137</v>
      </c>
      <c r="G236" s="512" t="s">
        <v>49</v>
      </c>
      <c r="H236" s="393" t="s">
        <v>1250</v>
      </c>
      <c r="I236" s="343" t="s">
        <v>1251</v>
      </c>
      <c r="J236" s="332" t="s">
        <v>1252</v>
      </c>
      <c r="K236" s="91" t="s">
        <v>105</v>
      </c>
      <c r="L236" s="347"/>
      <c r="M236" s="346" t="s">
        <v>1253</v>
      </c>
      <c r="N236" s="348"/>
      <c r="O236" s="386" t="s">
        <v>25</v>
      </c>
      <c r="P236" s="387" t="s">
        <v>1254</v>
      </c>
      <c r="Q236" s="432"/>
      <c r="R236" s="358">
        <v>1</v>
      </c>
      <c r="S236" s="378">
        <v>0</v>
      </c>
      <c r="T236" s="425"/>
      <c r="U236" s="71"/>
      <c r="V236" s="433"/>
      <c r="W236" s="434"/>
      <c r="X236" s="434"/>
      <c r="Y236" s="428" t="s">
        <v>1142</v>
      </c>
      <c r="Z236" s="429">
        <v>0</v>
      </c>
      <c r="AA236" s="429">
        <v>0</v>
      </c>
      <c r="AB236" s="363" t="e">
        <v>#N/A</v>
      </c>
      <c r="AC236" s="388">
        <v>0</v>
      </c>
      <c r="AD236" s="388">
        <v>0</v>
      </c>
      <c r="AE236" s="388">
        <v>0</v>
      </c>
      <c r="AF236" s="388">
        <v>0</v>
      </c>
      <c r="AG236" s="388">
        <v>0</v>
      </c>
      <c r="AH236" s="360" t="e">
        <f t="shared" si="14"/>
        <v>#N/A</v>
      </c>
      <c r="AI236" s="362" t="e">
        <f>ERP[[#This Row],[2026 Working Total]]-ERP[[#This Row],[LE2 Final Submission]]</f>
        <v>#N/A</v>
      </c>
      <c r="AJ236" s="79" t="e">
        <v>#N/A</v>
      </c>
      <c r="AK236" s="79" t="e">
        <f t="shared" si="13"/>
        <v>#N/A</v>
      </c>
      <c r="AL236" s="374">
        <f>SUM(ERP[[#This Row],[AP01]:[AP06]])-SUM(ERP[[#This Row],[AP01 LE2]:[AP06 LE2]])</f>
        <v>0</v>
      </c>
      <c r="AM236" s="80"/>
      <c r="AN236" s="79" t="e">
        <f>ERP[[#This Row],[2026 Working Total to Budget/LE]]-ERP[[#This Row],[Giveback]]</f>
        <v>#N/A</v>
      </c>
      <c r="AO236" s="81"/>
      <c r="AP236" s="375"/>
      <c r="AQ236" s="375"/>
      <c r="AR236" s="375"/>
      <c r="AS236" s="375">
        <v>0</v>
      </c>
      <c r="AT236" s="375">
        <v>0</v>
      </c>
      <c r="AU236" s="375">
        <v>0</v>
      </c>
      <c r="AV236" s="375">
        <v>0</v>
      </c>
      <c r="AW236" s="375">
        <v>0</v>
      </c>
      <c r="AX236" s="375">
        <v>0</v>
      </c>
      <c r="AY236" s="375">
        <v>0</v>
      </c>
      <c r="AZ236" s="375">
        <v>0</v>
      </c>
      <c r="BA236" s="375">
        <v>0</v>
      </c>
      <c r="BB236" s="375">
        <v>0</v>
      </c>
      <c r="BC236" s="103">
        <v>0</v>
      </c>
      <c r="BD236" s="103">
        <v>0</v>
      </c>
      <c r="BE236" s="103">
        <v>0</v>
      </c>
      <c r="BF236" s="103">
        <v>0</v>
      </c>
      <c r="BG236" s="103">
        <v>0</v>
      </c>
      <c r="BH236" s="103">
        <v>0</v>
      </c>
      <c r="BI236" s="103">
        <v>0</v>
      </c>
      <c r="BJ236" s="103">
        <v>0</v>
      </c>
      <c r="BK236" s="103">
        <v>0</v>
      </c>
      <c r="BL236" s="103">
        <v>0</v>
      </c>
      <c r="BM236" s="103">
        <v>0</v>
      </c>
      <c r="BN236" s="103">
        <v>1</v>
      </c>
      <c r="BO236" s="79">
        <f>SUM(ERP[[#This Row],[2026 AP01]:[2026 AP12]])</f>
        <v>1</v>
      </c>
    </row>
    <row r="237" spans="1:67" ht="15" customHeight="1">
      <c r="A237" s="66" t="s">
        <v>1255</v>
      </c>
      <c r="B237" s="66" t="s">
        <v>106</v>
      </c>
      <c r="C237" s="150" t="s">
        <v>1136</v>
      </c>
      <c r="D237" s="150" t="s">
        <v>1135</v>
      </c>
      <c r="E237" s="150" t="s">
        <v>1135</v>
      </c>
      <c r="F237" s="150" t="s">
        <v>1137</v>
      </c>
      <c r="G237" s="511" t="s">
        <v>49</v>
      </c>
      <c r="H237" s="392" t="s">
        <v>1256</v>
      </c>
      <c r="I237" s="343" t="s">
        <v>1206</v>
      </c>
      <c r="J237" s="346" t="s">
        <v>1171</v>
      </c>
      <c r="K237" s="70" t="s">
        <v>107</v>
      </c>
      <c r="L237" s="346"/>
      <c r="M237" s="346" t="s">
        <v>1257</v>
      </c>
      <c r="N237" s="346"/>
      <c r="O237" s="150" t="s">
        <v>25</v>
      </c>
      <c r="P237" s="150"/>
      <c r="Q237" s="403"/>
      <c r="R237" s="406">
        <v>178000</v>
      </c>
      <c r="S237" s="406">
        <v>136206.91999999998</v>
      </c>
      <c r="T237" s="425"/>
      <c r="U237" s="71"/>
      <c r="V237" s="426"/>
      <c r="W237" s="427">
        <v>53852.77</v>
      </c>
      <c r="X237" s="427">
        <v>35563.15</v>
      </c>
      <c r="Y237" s="428">
        <v>1016.0800000000017</v>
      </c>
      <c r="Z237" s="429">
        <v>-9701</v>
      </c>
      <c r="AA237" s="429">
        <v>0</v>
      </c>
      <c r="AB237" s="363" t="e">
        <v>#N/A</v>
      </c>
      <c r="AC237" s="360">
        <v>0</v>
      </c>
      <c r="AD237" s="360">
        <v>0</v>
      </c>
      <c r="AE237" s="360">
        <v>0</v>
      </c>
      <c r="AF237" s="360">
        <v>0</v>
      </c>
      <c r="AG237" s="360">
        <v>0</v>
      </c>
      <c r="AH237" s="360" t="e">
        <f t="shared" si="14"/>
        <v>#N/A</v>
      </c>
      <c r="AI237" s="362" t="e">
        <f>ERP[[#This Row],[2026 Working Total]]-ERP[[#This Row],[LE2 Final Submission]]</f>
        <v>#N/A</v>
      </c>
      <c r="AJ237" s="79" t="e">
        <v>#N/A</v>
      </c>
      <c r="AK237" s="79" t="e">
        <f t="shared" si="13"/>
        <v>#N/A</v>
      </c>
      <c r="AL237" s="374">
        <f>SUM(ERP[[#This Row],[AP01]:[AP06]])-SUM(ERP[[#This Row],[AP01 LE2]:[AP06 LE2]])</f>
        <v>-55475.919999999984</v>
      </c>
      <c r="AM237" s="80"/>
      <c r="AN237" s="79" t="e">
        <f>ERP[[#This Row],[2026 Working Total to Budget/LE]]-ERP[[#This Row],[Giveback]]</f>
        <v>#N/A</v>
      </c>
      <c r="AO237" s="81"/>
      <c r="AP237" s="375"/>
      <c r="AQ237" s="375">
        <v>53852.77</v>
      </c>
      <c r="AR237" s="375">
        <v>35563.15</v>
      </c>
      <c r="AS237" s="375">
        <v>19053</v>
      </c>
      <c r="AT237" s="375">
        <v>27738</v>
      </c>
      <c r="AU237" s="375"/>
      <c r="AV237" s="375">
        <v>0</v>
      </c>
      <c r="AW237" s="375">
        <v>0</v>
      </c>
      <c r="AX237" s="375">
        <v>0</v>
      </c>
      <c r="AY237" s="375">
        <v>0</v>
      </c>
      <c r="AZ237" s="375">
        <v>0</v>
      </c>
      <c r="BA237" s="375">
        <v>0</v>
      </c>
      <c r="BB237" s="375">
        <v>136206.91999999998</v>
      </c>
      <c r="BC237" s="79"/>
      <c r="BD237" s="79">
        <v>53852.77</v>
      </c>
      <c r="BE237" s="79">
        <v>35563.15</v>
      </c>
      <c r="BF237" s="79">
        <v>29666.67</v>
      </c>
      <c r="BG237" s="79">
        <v>29666.67</v>
      </c>
      <c r="BH237" s="79">
        <v>29666.67</v>
      </c>
      <c r="BI237" s="79">
        <v>0</v>
      </c>
      <c r="BJ237" s="79">
        <v>0</v>
      </c>
      <c r="BK237" s="79">
        <v>0</v>
      </c>
      <c r="BL237" s="79">
        <v>0</v>
      </c>
      <c r="BM237" s="79">
        <v>0</v>
      </c>
      <c r="BN237" s="79">
        <v>0</v>
      </c>
      <c r="BO237" s="79">
        <v>178415.93</v>
      </c>
    </row>
    <row r="238" spans="1:67" ht="15" customHeight="1">
      <c r="A238" s="66" t="s">
        <v>1378</v>
      </c>
      <c r="B238" s="66" t="s">
        <v>172</v>
      </c>
      <c r="C238" s="150" t="s">
        <v>1136</v>
      </c>
      <c r="D238" s="150" t="s">
        <v>1345</v>
      </c>
      <c r="E238" s="150" t="s">
        <v>1344</v>
      </c>
      <c r="F238" s="150" t="s">
        <v>1346</v>
      </c>
      <c r="G238" s="511" t="s">
        <v>49</v>
      </c>
      <c r="H238" s="392" t="s">
        <v>1379</v>
      </c>
      <c r="I238" s="343"/>
      <c r="J238" s="346" t="s">
        <v>1363</v>
      </c>
      <c r="K238" s="70" t="s">
        <v>173</v>
      </c>
      <c r="L238" s="346"/>
      <c r="M238" s="346" t="s">
        <v>1380</v>
      </c>
      <c r="N238" s="346"/>
      <c r="O238" s="150" t="s">
        <v>25</v>
      </c>
      <c r="P238" s="150"/>
      <c r="Q238" s="403"/>
      <c r="R238" s="406">
        <v>515000</v>
      </c>
      <c r="S238" s="406">
        <v>335362.38</v>
      </c>
      <c r="T238" s="430"/>
      <c r="U238" s="137"/>
      <c r="V238" s="426"/>
      <c r="W238" s="427">
        <v>66916.990000000005</v>
      </c>
      <c r="X238" s="427">
        <v>75010.39</v>
      </c>
      <c r="Y238" s="428">
        <v>45158.709999999992</v>
      </c>
      <c r="Z238" s="429">
        <v>45158.710000000006</v>
      </c>
      <c r="AA238" s="429">
        <v>56448.39</v>
      </c>
      <c r="AB238" s="363" t="e">
        <v>#N/A</v>
      </c>
      <c r="AC238" s="363">
        <v>22236</v>
      </c>
      <c r="AD238" s="363">
        <v>0</v>
      </c>
      <c r="AE238" s="363">
        <v>0</v>
      </c>
      <c r="AF238" s="363">
        <v>0</v>
      </c>
      <c r="AG238" s="363">
        <v>0</v>
      </c>
      <c r="AH238" s="360" t="e">
        <f t="shared" si="14"/>
        <v>#N/A</v>
      </c>
      <c r="AI238" s="362" t="e">
        <f>ERP[[#This Row],[2026 Working Total]]-ERP[[#This Row],[LE2 Final Submission]]</f>
        <v>#N/A</v>
      </c>
      <c r="AJ238" s="79" t="e">
        <v>#N/A</v>
      </c>
      <c r="AK238" s="79" t="e">
        <f t="shared" si="13"/>
        <v>#N/A</v>
      </c>
      <c r="AL238" s="374">
        <f>SUM(ERP[[#This Row],[AP01]:[AP06]])-SUM(ERP[[#This Row],[AP01 LE2]:[AP06 LE2]])</f>
        <v>22330.809999999998</v>
      </c>
      <c r="AM238" s="80">
        <v>180000</v>
      </c>
      <c r="AN238" s="79" t="e">
        <f>ERP[[#This Row],[2026 Working Total to Budget/LE]]-ERP[[#This Row],[Giveback]]</f>
        <v>#N/A</v>
      </c>
      <c r="AO238" s="81" t="s">
        <v>1381</v>
      </c>
      <c r="AP238" s="375"/>
      <c r="AQ238" s="375">
        <v>66916.990000000005</v>
      </c>
      <c r="AR238" s="375">
        <v>75010.39</v>
      </c>
      <c r="AS238" s="375">
        <v>40062</v>
      </c>
      <c r="AT238" s="375">
        <v>40792</v>
      </c>
      <c r="AU238" s="375">
        <v>43581</v>
      </c>
      <c r="AV238" s="375">
        <v>35000</v>
      </c>
      <c r="AW238" s="375">
        <v>34000</v>
      </c>
      <c r="AX238" s="375">
        <v>0</v>
      </c>
      <c r="AY238" s="375">
        <v>0</v>
      </c>
      <c r="AZ238" s="375">
        <v>0</v>
      </c>
      <c r="BA238" s="375">
        <v>0</v>
      </c>
      <c r="BB238" s="375">
        <v>335362.38</v>
      </c>
      <c r="BC238" s="79"/>
      <c r="BD238" s="79">
        <v>66916.990000000005</v>
      </c>
      <c r="BE238" s="79">
        <v>75010.39</v>
      </c>
      <c r="BF238" s="79">
        <v>48286</v>
      </c>
      <c r="BG238" s="79">
        <v>48386</v>
      </c>
      <c r="BH238" s="79">
        <v>48286</v>
      </c>
      <c r="BI238" s="79">
        <v>38449</v>
      </c>
      <c r="BJ238" s="79">
        <v>38449</v>
      </c>
      <c r="BK238" s="79">
        <v>44462</v>
      </c>
      <c r="BL238" s="79">
        <v>44462</v>
      </c>
      <c r="BM238" s="79">
        <v>44462</v>
      </c>
      <c r="BN238" s="79">
        <v>44462</v>
      </c>
      <c r="BO238" s="79">
        <v>541631.38</v>
      </c>
    </row>
    <row r="239" spans="1:67" ht="15" customHeight="1">
      <c r="A239" s="66" t="s">
        <v>1258</v>
      </c>
      <c r="B239" s="66" t="s">
        <v>108</v>
      </c>
      <c r="C239" s="150" t="s">
        <v>1136</v>
      </c>
      <c r="D239" s="150" t="s">
        <v>1135</v>
      </c>
      <c r="E239" s="150" t="s">
        <v>1135</v>
      </c>
      <c r="F239" s="150" t="s">
        <v>1137</v>
      </c>
      <c r="G239" s="511" t="s">
        <v>49</v>
      </c>
      <c r="H239" s="392" t="s">
        <v>1259</v>
      </c>
      <c r="I239" s="343" t="s">
        <v>1206</v>
      </c>
      <c r="J239" s="346" t="s">
        <v>1171</v>
      </c>
      <c r="K239" s="70" t="s">
        <v>109</v>
      </c>
      <c r="L239" s="346"/>
      <c r="M239" s="346" t="s">
        <v>1260</v>
      </c>
      <c r="N239" s="346"/>
      <c r="O239" s="150" t="s">
        <v>25</v>
      </c>
      <c r="P239" s="150"/>
      <c r="Q239" s="403"/>
      <c r="R239" s="406">
        <v>222000</v>
      </c>
      <c r="S239" s="406">
        <v>134302.39999999999</v>
      </c>
      <c r="T239" s="430"/>
      <c r="U239" s="137"/>
      <c r="V239" s="426"/>
      <c r="W239" s="427">
        <v>72114.23</v>
      </c>
      <c r="X239" s="427">
        <v>40652.339999999997</v>
      </c>
      <c r="Y239" s="428">
        <v>64472.479999999989</v>
      </c>
      <c r="Z239" s="429">
        <v>-4813.7299999999959</v>
      </c>
      <c r="AA239" s="429">
        <v>-14788.650000000001</v>
      </c>
      <c r="AB239" s="363" t="e">
        <v>#N/A</v>
      </c>
      <c r="AC239" s="533">
        <v>0</v>
      </c>
      <c r="AD239" s="533">
        <v>0</v>
      </c>
      <c r="AE239" s="533">
        <v>0</v>
      </c>
      <c r="AF239" s="533">
        <v>0</v>
      </c>
      <c r="AG239" s="533">
        <v>0</v>
      </c>
      <c r="AH239" s="360" t="e">
        <f t="shared" si="14"/>
        <v>#N/A</v>
      </c>
      <c r="AI239" s="362" t="e">
        <f>ERP[[#This Row],[2026 Working Total]]-ERP[[#This Row],[LE2 Final Submission]]</f>
        <v>#N/A</v>
      </c>
      <c r="AJ239" s="79" t="e">
        <v>#N/A</v>
      </c>
      <c r="AK239" s="79" t="e">
        <f t="shared" si="13"/>
        <v>#N/A</v>
      </c>
      <c r="AL239" s="374">
        <f>SUM(ERP[[#This Row],[AP01]:[AP06]])-SUM(ERP[[#This Row],[AP01 LE2]:[AP06 LE2]])</f>
        <v>23334.270000000019</v>
      </c>
      <c r="AM239" s="80"/>
      <c r="AN239" s="79" t="e">
        <f>ERP[[#This Row],[2026 Working Total to Budget/LE]]-ERP[[#This Row],[Giveback]]</f>
        <v>#N/A</v>
      </c>
      <c r="AO239" s="81"/>
      <c r="AP239" s="375"/>
      <c r="AQ239" s="375">
        <v>72114.23</v>
      </c>
      <c r="AR239" s="375">
        <v>40652.339999999997</v>
      </c>
      <c r="AS239" s="375">
        <v>-11823.57</v>
      </c>
      <c r="AT239" s="375">
        <v>33359.4</v>
      </c>
      <c r="AU239" s="375"/>
      <c r="AV239" s="375">
        <v>0</v>
      </c>
      <c r="AW239" s="375">
        <v>0</v>
      </c>
      <c r="AX239" s="375">
        <v>0</v>
      </c>
      <c r="AY239" s="375">
        <v>0</v>
      </c>
      <c r="AZ239" s="375">
        <v>0</v>
      </c>
      <c r="BA239" s="375">
        <v>0</v>
      </c>
      <c r="BB239" s="375">
        <v>134302.39999999999</v>
      </c>
      <c r="BC239" s="79"/>
      <c r="BD239" s="79">
        <v>72114.23</v>
      </c>
      <c r="BE239" s="79">
        <v>40652.339999999997</v>
      </c>
      <c r="BF239" s="79">
        <v>37000</v>
      </c>
      <c r="BG239" s="79">
        <v>37000</v>
      </c>
      <c r="BH239" s="79">
        <v>37000</v>
      </c>
      <c r="BI239" s="79">
        <v>0</v>
      </c>
      <c r="BJ239" s="79">
        <v>0</v>
      </c>
      <c r="BK239" s="79">
        <v>0</v>
      </c>
      <c r="BL239" s="79">
        <v>0</v>
      </c>
      <c r="BM239" s="79">
        <v>0</v>
      </c>
      <c r="BN239" s="79">
        <v>0</v>
      </c>
      <c r="BO239" s="79">
        <v>223766.57</v>
      </c>
    </row>
    <row r="240" spans="1:67" s="15" customFormat="1" ht="15" customHeight="1">
      <c r="A240" s="66" t="s">
        <v>1484</v>
      </c>
      <c r="B240" s="66" t="s">
        <v>1485</v>
      </c>
      <c r="C240" s="150" t="s">
        <v>1136</v>
      </c>
      <c r="D240" s="150" t="s">
        <v>1345</v>
      </c>
      <c r="E240" s="150" t="s">
        <v>1481</v>
      </c>
      <c r="F240" s="150" t="s">
        <v>1346</v>
      </c>
      <c r="G240" s="511" t="s">
        <v>49</v>
      </c>
      <c r="H240" s="392" t="s">
        <v>1486</v>
      </c>
      <c r="I240" s="343"/>
      <c r="J240" s="346" t="s">
        <v>1487</v>
      </c>
      <c r="K240" s="70" t="s">
        <v>230</v>
      </c>
      <c r="L240" s="346"/>
      <c r="M240" s="346" t="s">
        <v>1488</v>
      </c>
      <c r="N240" s="346"/>
      <c r="O240" s="150" t="s">
        <v>25</v>
      </c>
      <c r="P240" s="184" t="s">
        <v>1489</v>
      </c>
      <c r="Q240" s="403"/>
      <c r="R240" s="406">
        <v>0</v>
      </c>
      <c r="S240" s="406">
        <v>120000</v>
      </c>
      <c r="T240" s="425"/>
      <c r="U240" s="71"/>
      <c r="V240" s="426">
        <v>0</v>
      </c>
      <c r="W240" s="427">
        <v>0</v>
      </c>
      <c r="X240" s="427">
        <v>0</v>
      </c>
      <c r="Y240" s="428">
        <v>39011.32</v>
      </c>
      <c r="Z240" s="429">
        <v>42012.189999999995</v>
      </c>
      <c r="AA240" s="429">
        <v>52515.23</v>
      </c>
      <c r="AB240" s="363" t="e">
        <v>#N/A</v>
      </c>
      <c r="AC240" s="363"/>
      <c r="AD240" s="363"/>
      <c r="AE240" s="363"/>
      <c r="AF240" s="363"/>
      <c r="AG240" s="363"/>
      <c r="AH240" s="360" t="e">
        <f t="shared" si="14"/>
        <v>#N/A</v>
      </c>
      <c r="AI240" s="362" t="e">
        <f>ERP[[#This Row],[2026 Working Total]]-ERP[[#This Row],[LE2 Final Submission]]</f>
        <v>#N/A</v>
      </c>
      <c r="AJ240" s="79" t="e">
        <v>#N/A</v>
      </c>
      <c r="AK240" s="79" t="e">
        <f t="shared" si="13"/>
        <v>#N/A</v>
      </c>
      <c r="AL240" s="374">
        <f>SUM(ERP[[#This Row],[AP01]:[AP06]])-SUM(ERP[[#This Row],[AP01 LE2]:[AP06 LE2]])</f>
        <v>26618.739999999991</v>
      </c>
      <c r="AM240" s="80"/>
      <c r="AN240" s="79" t="e">
        <f>ERP[[#This Row],[2026 Working Total to Budget/LE]]-ERP[[#This Row],[Giveback]]</f>
        <v>#N/A</v>
      </c>
      <c r="AO240" s="81" t="s">
        <v>1490</v>
      </c>
      <c r="AP240" s="375">
        <v>0</v>
      </c>
      <c r="AQ240" s="375">
        <v>0</v>
      </c>
      <c r="AR240" s="375">
        <v>0</v>
      </c>
      <c r="AS240" s="375">
        <v>35640</v>
      </c>
      <c r="AT240" s="375">
        <v>35640</v>
      </c>
      <c r="AU240" s="375">
        <v>35640</v>
      </c>
      <c r="AV240" s="375">
        <v>13080</v>
      </c>
      <c r="AW240" s="375"/>
      <c r="AX240" s="375"/>
      <c r="AY240" s="375"/>
      <c r="AZ240" s="375"/>
      <c r="BA240" s="375"/>
      <c r="BB240" s="375">
        <v>120000</v>
      </c>
      <c r="BC240" s="79"/>
      <c r="BD240" s="79"/>
      <c r="BE240" s="79"/>
      <c r="BF240" s="79"/>
      <c r="BG240" s="79"/>
      <c r="BH240" s="79"/>
      <c r="BI240" s="79">
        <v>20000</v>
      </c>
      <c r="BJ240" s="79">
        <v>20000</v>
      </c>
      <c r="BK240" s="79">
        <v>20000</v>
      </c>
      <c r="BL240" s="79">
        <v>20000</v>
      </c>
      <c r="BM240" s="79">
        <v>20000</v>
      </c>
      <c r="BN240" s="79">
        <v>20000</v>
      </c>
      <c r="BO240" s="79">
        <v>120000</v>
      </c>
    </row>
    <row r="241" spans="1:67" ht="15" customHeight="1">
      <c r="A241" s="66" t="s">
        <v>1382</v>
      </c>
      <c r="B241" s="66" t="s">
        <v>174</v>
      </c>
      <c r="C241" s="150" t="s">
        <v>1136</v>
      </c>
      <c r="D241" s="150" t="s">
        <v>1345</v>
      </c>
      <c r="E241" s="150" t="s">
        <v>1344</v>
      </c>
      <c r="F241" s="150" t="s">
        <v>1346</v>
      </c>
      <c r="G241" s="511" t="s">
        <v>49</v>
      </c>
      <c r="H241" s="392" t="s">
        <v>1383</v>
      </c>
      <c r="I241" s="343"/>
      <c r="J241" s="343"/>
      <c r="K241" s="70" t="s">
        <v>175</v>
      </c>
      <c r="L241" s="346"/>
      <c r="M241" s="343"/>
      <c r="N241" s="346"/>
      <c r="O241" s="150" t="s">
        <v>25</v>
      </c>
      <c r="P241" s="150"/>
      <c r="Q241" s="403"/>
      <c r="R241" s="406">
        <v>0</v>
      </c>
      <c r="S241" s="406">
        <v>0</v>
      </c>
      <c r="T241" s="425"/>
      <c r="U241" s="71"/>
      <c r="V241" s="426"/>
      <c r="W241" s="427"/>
      <c r="X241" s="427"/>
      <c r="Y241" s="428" t="s">
        <v>1142</v>
      </c>
      <c r="Z241" s="429">
        <v>0</v>
      </c>
      <c r="AA241" s="429">
        <v>0</v>
      </c>
      <c r="AB241" s="363" t="e">
        <v>#N/A</v>
      </c>
      <c r="AC241" s="363">
        <v>0</v>
      </c>
      <c r="AD241" s="363">
        <v>0</v>
      </c>
      <c r="AE241" s="363">
        <v>0</v>
      </c>
      <c r="AF241" s="363">
        <v>0</v>
      </c>
      <c r="AG241" s="363">
        <v>0</v>
      </c>
      <c r="AH241" s="360" t="e">
        <f t="shared" si="14"/>
        <v>#N/A</v>
      </c>
      <c r="AI241" s="362" t="e">
        <f>ERP[[#This Row],[2026 Working Total]]-ERP[[#This Row],[LE2 Final Submission]]</f>
        <v>#N/A</v>
      </c>
      <c r="AJ241" s="79" t="e">
        <v>#N/A</v>
      </c>
      <c r="AK241" s="79" t="e">
        <f t="shared" si="13"/>
        <v>#N/A</v>
      </c>
      <c r="AL241" s="374">
        <f>SUM(ERP[[#This Row],[AP01]:[AP06]])-SUM(ERP[[#This Row],[AP01 LE2]:[AP06 LE2]])</f>
        <v>0</v>
      </c>
      <c r="AM241" s="80">
        <v>280000</v>
      </c>
      <c r="AN241" s="79" t="e">
        <f>ERP[[#This Row],[2026 Working Total to Budget/LE]]-ERP[[#This Row],[Giveback]]</f>
        <v>#N/A</v>
      </c>
      <c r="AO241" s="81" t="s">
        <v>1384</v>
      </c>
      <c r="AP241" s="375"/>
      <c r="AQ241" s="375"/>
      <c r="AR241" s="375"/>
      <c r="AS241" s="375"/>
      <c r="AT241" s="375"/>
      <c r="AU241" s="375"/>
      <c r="AV241" s="375">
        <v>0</v>
      </c>
      <c r="AW241" s="375">
        <v>0</v>
      </c>
      <c r="AX241" s="375">
        <v>0</v>
      </c>
      <c r="AY241" s="375">
        <v>0</v>
      </c>
      <c r="AZ241" s="375">
        <v>0</v>
      </c>
      <c r="BA241" s="375">
        <v>0</v>
      </c>
      <c r="BB241" s="375">
        <v>0</v>
      </c>
      <c r="BC241" s="79"/>
      <c r="BD241" s="79"/>
      <c r="BE241" s="79"/>
      <c r="BF241" s="79"/>
      <c r="BG241" s="79"/>
      <c r="BH241" s="79"/>
      <c r="BI241" s="79">
        <v>46666.666666999998</v>
      </c>
      <c r="BJ241" s="79">
        <v>46666.666666999998</v>
      </c>
      <c r="BK241" s="79">
        <v>46666.666666999998</v>
      </c>
      <c r="BL241" s="79">
        <v>46666.666666999998</v>
      </c>
      <c r="BM241" s="79">
        <v>46666.666666999998</v>
      </c>
      <c r="BN241" s="79">
        <v>46666.666666999998</v>
      </c>
      <c r="BO241" s="79">
        <v>280000.00000199996</v>
      </c>
    </row>
    <row r="242" spans="1:67" ht="15" customHeight="1">
      <c r="A242" s="66" t="s">
        <v>2671</v>
      </c>
      <c r="B242" s="66" t="s">
        <v>2672</v>
      </c>
      <c r="C242" s="150" t="s">
        <v>1136</v>
      </c>
      <c r="D242" s="150" t="s">
        <v>1345</v>
      </c>
      <c r="E242" s="150" t="s">
        <v>1437</v>
      </c>
      <c r="F242" s="150" t="s">
        <v>1346</v>
      </c>
      <c r="G242" s="511" t="s">
        <v>639</v>
      </c>
      <c r="H242" s="392" t="s">
        <v>2673</v>
      </c>
      <c r="I242" s="343" t="s">
        <v>2674</v>
      </c>
      <c r="J242" s="346" t="s">
        <v>2675</v>
      </c>
      <c r="K242" s="70" t="s">
        <v>944</v>
      </c>
      <c r="L242" s="346"/>
      <c r="M242" s="346" t="s">
        <v>2676</v>
      </c>
      <c r="N242" s="346"/>
      <c r="O242" s="150" t="s">
        <v>25</v>
      </c>
      <c r="P242" s="150"/>
      <c r="Q242" s="403"/>
      <c r="R242" s="406">
        <v>0</v>
      </c>
      <c r="S242" s="406">
        <v>729.19</v>
      </c>
      <c r="T242" s="425"/>
      <c r="U242" s="71"/>
      <c r="V242" s="426">
        <v>139.72999999999999</v>
      </c>
      <c r="W242" s="427">
        <v>139.72999999999999</v>
      </c>
      <c r="X242" s="427">
        <v>449.73</v>
      </c>
      <c r="Y242" s="428">
        <v>139.72999999999999</v>
      </c>
      <c r="Z242" s="429">
        <v>139.72999999999999</v>
      </c>
      <c r="AA242" s="429">
        <v>139.72999999999999</v>
      </c>
      <c r="AB242" s="363" t="e">
        <v>#N/A</v>
      </c>
      <c r="AC242" s="360">
        <v>0</v>
      </c>
      <c r="AD242" s="360">
        <v>0</v>
      </c>
      <c r="AE242" s="360">
        <v>0</v>
      </c>
      <c r="AF242" s="360">
        <v>0</v>
      </c>
      <c r="AG242" s="360">
        <v>0</v>
      </c>
      <c r="AH242" s="360" t="e">
        <f t="shared" si="14"/>
        <v>#N/A</v>
      </c>
      <c r="AI242" s="362" t="e">
        <f>ERP[[#This Row],[2026 Working Total]]-ERP[[#This Row],[LE2 Final Submission]]</f>
        <v>#N/A</v>
      </c>
      <c r="AJ242" s="79" t="e">
        <v>#N/A</v>
      </c>
      <c r="AK242" s="79" t="e">
        <f t="shared" si="13"/>
        <v>#N/A</v>
      </c>
      <c r="AL242" s="374">
        <f>SUM(ERP[[#This Row],[AP01]:[AP06]])-SUM(ERP[[#This Row],[AP01 LE2]:[AP06 LE2]])</f>
        <v>419.19000000000005</v>
      </c>
      <c r="AM242" s="80"/>
      <c r="AN242" s="79" t="e">
        <f>ERP[[#This Row],[2026 Working Total to Budget/LE]]-ERP[[#This Row],[Giveback]]</f>
        <v>#N/A</v>
      </c>
      <c r="AO242" s="81"/>
      <c r="AP242" s="375">
        <v>139.72999999999999</v>
      </c>
      <c r="AQ242" s="375">
        <v>139.72999999999999</v>
      </c>
      <c r="AR242" s="375">
        <v>449.73</v>
      </c>
      <c r="AS242" s="375">
        <v>0</v>
      </c>
      <c r="AT242" s="375">
        <v>0</v>
      </c>
      <c r="AU242" s="375">
        <v>0</v>
      </c>
      <c r="AV242" s="375">
        <v>0</v>
      </c>
      <c r="AW242" s="375">
        <v>0</v>
      </c>
      <c r="AX242" s="375">
        <v>0</v>
      </c>
      <c r="AY242" s="375">
        <v>0</v>
      </c>
      <c r="AZ242" s="375">
        <v>0</v>
      </c>
      <c r="BA242" s="375">
        <v>0</v>
      </c>
      <c r="BB242" s="375">
        <v>729.19</v>
      </c>
      <c r="BC242" s="79">
        <v>139.72999999999999</v>
      </c>
      <c r="BD242" s="79">
        <v>139.72999999999999</v>
      </c>
      <c r="BE242" s="79">
        <v>449.73</v>
      </c>
      <c r="BF242" s="79">
        <v>0</v>
      </c>
      <c r="BG242" s="79">
        <v>0</v>
      </c>
      <c r="BH242" s="79">
        <v>0</v>
      </c>
      <c r="BI242" s="79">
        <v>0</v>
      </c>
      <c r="BJ242" s="79">
        <v>0</v>
      </c>
      <c r="BK242" s="79">
        <v>0</v>
      </c>
      <c r="BL242" s="79">
        <v>0</v>
      </c>
      <c r="BM242" s="79">
        <v>0</v>
      </c>
      <c r="BN242" s="79">
        <v>0</v>
      </c>
      <c r="BO242" s="79">
        <v>729.19</v>
      </c>
    </row>
    <row r="243" spans="1:67" ht="15" customHeight="1">
      <c r="A243" s="66" t="s">
        <v>1261</v>
      </c>
      <c r="B243" s="66" t="s">
        <v>110</v>
      </c>
      <c r="C243" s="150" t="s">
        <v>1136</v>
      </c>
      <c r="D243" s="150" t="s">
        <v>1135</v>
      </c>
      <c r="E243" s="150" t="s">
        <v>1135</v>
      </c>
      <c r="F243" s="150" t="s">
        <v>1137</v>
      </c>
      <c r="G243" s="511" t="s">
        <v>49</v>
      </c>
      <c r="H243" s="392" t="s">
        <v>1262</v>
      </c>
      <c r="I243" s="343" t="s">
        <v>1263</v>
      </c>
      <c r="J243" s="346" t="s">
        <v>1264</v>
      </c>
      <c r="K243" s="70" t="s">
        <v>111</v>
      </c>
      <c r="L243" s="346"/>
      <c r="M243" s="346" t="s">
        <v>1265</v>
      </c>
      <c r="N243" s="346"/>
      <c r="O243" s="150" t="s">
        <v>25</v>
      </c>
      <c r="P243" s="150"/>
      <c r="Q243" s="403"/>
      <c r="R243" s="406">
        <v>100000</v>
      </c>
      <c r="S243" s="406">
        <v>100000</v>
      </c>
      <c r="T243" s="425"/>
      <c r="U243" s="71"/>
      <c r="V243" s="426"/>
      <c r="W243" s="427"/>
      <c r="X243" s="427"/>
      <c r="Y243" s="428" t="s">
        <v>1142</v>
      </c>
      <c r="Z243" s="429">
        <v>0</v>
      </c>
      <c r="AA243" s="429">
        <v>0</v>
      </c>
      <c r="AB243" s="363" t="e">
        <v>#N/A</v>
      </c>
      <c r="AC243" s="532">
        <v>14286</v>
      </c>
      <c r="AD243" s="532">
        <v>14286</v>
      </c>
      <c r="AE243" s="532">
        <v>14286</v>
      </c>
      <c r="AF243" s="532">
        <v>14286</v>
      </c>
      <c r="AG243" s="532">
        <v>14286</v>
      </c>
      <c r="AH243" s="360" t="e">
        <f t="shared" si="14"/>
        <v>#N/A</v>
      </c>
      <c r="AI243" s="362" t="e">
        <f>ERP[[#This Row],[2026 Working Total]]-ERP[[#This Row],[LE2 Final Submission]]</f>
        <v>#N/A</v>
      </c>
      <c r="AJ243" s="79" t="e">
        <v>#N/A</v>
      </c>
      <c r="AK243" s="79" t="e">
        <f t="shared" si="13"/>
        <v>#N/A</v>
      </c>
      <c r="AL243" s="374">
        <f>SUM(ERP[[#This Row],[AP01]:[AP06]])-SUM(ERP[[#This Row],[AP01 LE2]:[AP06 LE2]])</f>
        <v>-33333</v>
      </c>
      <c r="AM243" s="80"/>
      <c r="AN243" s="79" t="e">
        <f>ERP[[#This Row],[2026 Working Total to Budget/LE]]-ERP[[#This Row],[Giveback]]</f>
        <v>#N/A</v>
      </c>
      <c r="AO243" s="81"/>
      <c r="AP243" s="375"/>
      <c r="AQ243" s="375"/>
      <c r="AR243" s="375"/>
      <c r="AS243" s="375">
        <v>11111</v>
      </c>
      <c r="AT243" s="375">
        <v>11111</v>
      </c>
      <c r="AU243" s="375">
        <v>11111</v>
      </c>
      <c r="AV243" s="375">
        <v>11111</v>
      </c>
      <c r="AW243" s="375">
        <v>11111</v>
      </c>
      <c r="AX243" s="375">
        <v>11111</v>
      </c>
      <c r="AY243" s="375">
        <v>11111</v>
      </c>
      <c r="AZ243" s="375">
        <v>11111</v>
      </c>
      <c r="BA243" s="375">
        <v>11112</v>
      </c>
      <c r="BB243" s="375">
        <v>100000</v>
      </c>
      <c r="BC243" s="79"/>
      <c r="BD243" s="79"/>
      <c r="BE243" s="79"/>
      <c r="BF243" s="79">
        <v>11111</v>
      </c>
      <c r="BG243" s="79">
        <v>11111</v>
      </c>
      <c r="BH243" s="79">
        <v>11111</v>
      </c>
      <c r="BI243" s="79">
        <v>11111</v>
      </c>
      <c r="BJ243" s="79">
        <v>11111</v>
      </c>
      <c r="BK243" s="79">
        <v>11111</v>
      </c>
      <c r="BL243" s="79">
        <v>11111</v>
      </c>
      <c r="BM243" s="79">
        <v>11111</v>
      </c>
      <c r="BN243" s="79">
        <v>11112</v>
      </c>
      <c r="BO243" s="79">
        <v>100000</v>
      </c>
    </row>
    <row r="244" spans="1:67" ht="15" customHeight="1">
      <c r="A244" s="66" t="s">
        <v>1266</v>
      </c>
      <c r="B244" s="66" t="s">
        <v>1267</v>
      </c>
      <c r="C244" s="150" t="s">
        <v>1136</v>
      </c>
      <c r="D244" s="150" t="s">
        <v>1135</v>
      </c>
      <c r="E244" s="150" t="s">
        <v>1165</v>
      </c>
      <c r="F244" s="150" t="s">
        <v>1137</v>
      </c>
      <c r="G244" s="511" t="s">
        <v>49</v>
      </c>
      <c r="H244" s="392" t="s">
        <v>1268</v>
      </c>
      <c r="I244" s="343"/>
      <c r="J244" s="343"/>
      <c r="K244" s="70" t="s">
        <v>113</v>
      </c>
      <c r="L244" s="346"/>
      <c r="M244" s="343"/>
      <c r="N244" s="346"/>
      <c r="O244" s="150" t="s">
        <v>114</v>
      </c>
      <c r="P244" s="150"/>
      <c r="Q244" s="403"/>
      <c r="R244" s="406">
        <v>39781.000000000015</v>
      </c>
      <c r="S244" s="406">
        <v>37314.43</v>
      </c>
      <c r="T244" s="425"/>
      <c r="U244" s="71"/>
      <c r="V244" s="426">
        <v>3217.02</v>
      </c>
      <c r="W244" s="427">
        <v>2578.4899999999998</v>
      </c>
      <c r="X244" s="427">
        <v>2874.84</v>
      </c>
      <c r="Y244" s="428">
        <v>3540.9</v>
      </c>
      <c r="Z244" s="429">
        <v>2797.94</v>
      </c>
      <c r="AA244" s="429">
        <v>2743.02</v>
      </c>
      <c r="AB244" s="363" t="e">
        <v>#N/A</v>
      </c>
      <c r="AC244" s="363">
        <v>3190</v>
      </c>
      <c r="AD244" s="363">
        <v>3150</v>
      </c>
      <c r="AE244" s="363">
        <v>3150</v>
      </c>
      <c r="AF244" s="363">
        <v>3150</v>
      </c>
      <c r="AG244" s="363">
        <v>3150</v>
      </c>
      <c r="AH244" s="360" t="e">
        <f t="shared" si="14"/>
        <v>#N/A</v>
      </c>
      <c r="AI244" s="362" t="e">
        <f>ERP[[#This Row],[2026 Working Total]]-ERP[[#This Row],[LE2 Final Submission]]</f>
        <v>#N/A</v>
      </c>
      <c r="AJ244" s="79" t="e">
        <v>#N/A</v>
      </c>
      <c r="AK244" s="79" t="e">
        <f t="shared" si="13"/>
        <v>#N/A</v>
      </c>
      <c r="AL244" s="374">
        <f>SUM(ERP[[#This Row],[AP01]:[AP06]])-SUM(ERP[[#This Row],[AP01 LE2]:[AP06 LE2]])</f>
        <v>-613.22000000000116</v>
      </c>
      <c r="AM244" s="80"/>
      <c r="AN244" s="79" t="e">
        <f>ERP[[#This Row],[2026 Working Total to Budget/LE]]-ERP[[#This Row],[Giveback]]</f>
        <v>#N/A</v>
      </c>
      <c r="AO244" s="81"/>
      <c r="AP244" s="375">
        <v>3217.02</v>
      </c>
      <c r="AQ244" s="375">
        <v>2578.4899999999998</v>
      </c>
      <c r="AR244" s="375">
        <v>2874.84</v>
      </c>
      <c r="AS244" s="375">
        <v>3315.08</v>
      </c>
      <c r="AT244" s="375">
        <v>3190</v>
      </c>
      <c r="AU244" s="375">
        <v>3190</v>
      </c>
      <c r="AV244" s="375">
        <v>3159</v>
      </c>
      <c r="AW244" s="375">
        <v>3190</v>
      </c>
      <c r="AX244" s="375">
        <v>3150</v>
      </c>
      <c r="AY244" s="375">
        <v>3150</v>
      </c>
      <c r="AZ244" s="375">
        <v>3150</v>
      </c>
      <c r="BA244" s="375">
        <v>3150</v>
      </c>
      <c r="BB244" s="375">
        <v>37314.43</v>
      </c>
      <c r="BC244" s="79">
        <v>3217.02</v>
      </c>
      <c r="BD244" s="79">
        <v>2578.4899999999998</v>
      </c>
      <c r="BE244" s="79">
        <v>2874.84</v>
      </c>
      <c r="BF244" s="79">
        <v>3315.08</v>
      </c>
      <c r="BG244" s="79">
        <v>3315.08</v>
      </c>
      <c r="BH244" s="79">
        <v>3315.08</v>
      </c>
      <c r="BI244" s="79">
        <v>3315.08</v>
      </c>
      <c r="BJ244" s="79">
        <v>3315.08</v>
      </c>
      <c r="BK244" s="79">
        <v>3315.08</v>
      </c>
      <c r="BL244" s="79">
        <v>3315.08</v>
      </c>
      <c r="BM244" s="79">
        <v>3315.08</v>
      </c>
      <c r="BN244" s="79">
        <v>3315.12</v>
      </c>
      <c r="BO244" s="79">
        <v>38506.110000000008</v>
      </c>
    </row>
    <row r="245" spans="1:67" ht="15" customHeight="1">
      <c r="A245" s="129" t="s">
        <v>2014</v>
      </c>
      <c r="B245" s="66" t="s">
        <v>525</v>
      </c>
      <c r="C245" s="150" t="s">
        <v>1136</v>
      </c>
      <c r="D245" s="150" t="s">
        <v>1345</v>
      </c>
      <c r="E245" s="150" t="s">
        <v>1345</v>
      </c>
      <c r="F245" s="331" t="s">
        <v>1345</v>
      </c>
      <c r="G245" s="511" t="s">
        <v>389</v>
      </c>
      <c r="H245" s="392" t="s">
        <v>1863</v>
      </c>
      <c r="I245" s="343"/>
      <c r="J245" s="331"/>
      <c r="K245" s="70" t="s">
        <v>526</v>
      </c>
      <c r="L245" s="343"/>
      <c r="M245" s="343"/>
      <c r="N245" s="346"/>
      <c r="O245" s="150" t="s">
        <v>57</v>
      </c>
      <c r="P245" s="346" t="s">
        <v>2021</v>
      </c>
      <c r="Q245" s="405"/>
      <c r="R245" s="359"/>
      <c r="S245" s="380">
        <v>63000</v>
      </c>
      <c r="T245" s="425"/>
      <c r="U245" s="71"/>
      <c r="V245" s="426"/>
      <c r="W245" s="427"/>
      <c r="X245" s="427"/>
      <c r="Y245" s="428" t="s">
        <v>1142</v>
      </c>
      <c r="Z245" s="429">
        <v>0</v>
      </c>
      <c r="AA245" s="429">
        <v>0</v>
      </c>
      <c r="AB245" s="363" t="e">
        <v>#N/A</v>
      </c>
      <c r="AC245" s="364">
        <f t="shared" ref="AC245:AG245" si="15">(63000)/9</f>
        <v>7000</v>
      </c>
      <c r="AD245" s="364">
        <f t="shared" si="15"/>
        <v>7000</v>
      </c>
      <c r="AE245" s="364">
        <f t="shared" si="15"/>
        <v>7000</v>
      </c>
      <c r="AF245" s="364">
        <f t="shared" si="15"/>
        <v>7000</v>
      </c>
      <c r="AG245" s="364">
        <f t="shared" si="15"/>
        <v>7000</v>
      </c>
      <c r="AH245" s="360" t="e">
        <f t="shared" si="14"/>
        <v>#N/A</v>
      </c>
      <c r="AI245" s="362" t="e">
        <f>ERP[[#This Row],[2026 Working Total]]-ERP[[#This Row],[LE2 Final Submission]]</f>
        <v>#N/A</v>
      </c>
      <c r="AJ245" s="79" t="e">
        <v>#N/A</v>
      </c>
      <c r="AK245" s="79" t="e">
        <f t="shared" si="13"/>
        <v>#N/A</v>
      </c>
      <c r="AL245" s="374">
        <f>SUM(ERP[[#This Row],[AP01]:[AP06]])-SUM(ERP[[#This Row],[AP01 LE2]:[AP06 LE2]])</f>
        <v>-21000</v>
      </c>
      <c r="AM245" s="80"/>
      <c r="AN245" s="79"/>
      <c r="AO245" s="81"/>
      <c r="AP245" s="375"/>
      <c r="AQ245" s="375"/>
      <c r="AR245" s="375"/>
      <c r="AS245" s="375">
        <v>7000</v>
      </c>
      <c r="AT245" s="375">
        <v>7000</v>
      </c>
      <c r="AU245" s="375">
        <v>7000</v>
      </c>
      <c r="AV245" s="375">
        <v>7000</v>
      </c>
      <c r="AW245" s="375">
        <v>7000</v>
      </c>
      <c r="AX245" s="375">
        <v>7000</v>
      </c>
      <c r="AY245" s="375">
        <v>7000</v>
      </c>
      <c r="AZ245" s="375">
        <v>7000</v>
      </c>
      <c r="BA245" s="375">
        <v>7000</v>
      </c>
      <c r="BB245" s="375">
        <v>63000</v>
      </c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</row>
    <row r="246" spans="1:67" ht="15" customHeight="1">
      <c r="A246" s="66" t="s">
        <v>2051</v>
      </c>
      <c r="B246" s="66" t="s">
        <v>550</v>
      </c>
      <c r="C246" s="150" t="s">
        <v>1136</v>
      </c>
      <c r="D246" s="150" t="s">
        <v>1345</v>
      </c>
      <c r="E246" s="150" t="s">
        <v>1480</v>
      </c>
      <c r="F246" s="150" t="s">
        <v>1346</v>
      </c>
      <c r="G246" s="511" t="s">
        <v>389</v>
      </c>
      <c r="H246" s="392" t="s">
        <v>1863</v>
      </c>
      <c r="I246" s="343"/>
      <c r="J246" s="343"/>
      <c r="K246" s="70" t="s">
        <v>526</v>
      </c>
      <c r="L246" s="346"/>
      <c r="M246" s="343"/>
      <c r="N246" s="346"/>
      <c r="O246" s="150" t="s">
        <v>57</v>
      </c>
      <c r="P246" s="346" t="s">
        <v>2021</v>
      </c>
      <c r="Q246" s="403"/>
      <c r="R246" s="406">
        <v>84000</v>
      </c>
      <c r="S246" s="406">
        <v>-14686.309999999998</v>
      </c>
      <c r="T246" s="425"/>
      <c r="U246" s="71"/>
      <c r="V246" s="426">
        <v>6710.29</v>
      </c>
      <c r="W246" s="427">
        <v>-18265.05</v>
      </c>
      <c r="X246" s="427">
        <v>-3131.55</v>
      </c>
      <c r="Y246" s="428">
        <v>7060.4400000000005</v>
      </c>
      <c r="Z246" s="429">
        <v>6784.5</v>
      </c>
      <c r="AA246" s="429">
        <v>-12968.59</v>
      </c>
      <c r="AB246" s="363" t="e">
        <v>#N/A</v>
      </c>
      <c r="AC246" s="363">
        <f t="shared" ref="AC246:AG246" si="16">7000-7000</f>
        <v>0</v>
      </c>
      <c r="AD246" s="363">
        <f t="shared" si="16"/>
        <v>0</v>
      </c>
      <c r="AE246" s="363">
        <f t="shared" si="16"/>
        <v>0</v>
      </c>
      <c r="AF246" s="363">
        <f t="shared" si="16"/>
        <v>0</v>
      </c>
      <c r="AG246" s="363">
        <f t="shared" si="16"/>
        <v>0</v>
      </c>
      <c r="AH246" s="360" t="e">
        <f t="shared" si="14"/>
        <v>#N/A</v>
      </c>
      <c r="AI246" s="362" t="e">
        <f>ERP[[#This Row],[2026 Working Total]]-ERP[[#This Row],[LE2 Final Submission]]</f>
        <v>#N/A</v>
      </c>
      <c r="AJ246" s="79" t="e">
        <v>#N/A</v>
      </c>
      <c r="AK246" s="79" t="e">
        <f t="shared" si="13"/>
        <v>#N/A</v>
      </c>
      <c r="AL246" s="374">
        <f>SUM(ERP[[#This Row],[AP01]:[AP06]])-SUM(ERP[[#This Row],[AP01 LE2]:[AP06 LE2]])</f>
        <v>876.35000000000036</v>
      </c>
      <c r="AM246" s="80"/>
      <c r="AN246" s="79" t="e">
        <f>ERP[[#This Row],[2026 Working Total to Budget/LE]]-ERP[[#This Row],[Giveback]]</f>
        <v>#N/A</v>
      </c>
      <c r="AO246" s="81"/>
      <c r="AP246" s="375">
        <v>6710.29</v>
      </c>
      <c r="AQ246" s="375">
        <v>-18265.05</v>
      </c>
      <c r="AR246" s="375">
        <v>-3131.55</v>
      </c>
      <c r="AS246" s="375">
        <v>0</v>
      </c>
      <c r="AT246" s="375">
        <v>0</v>
      </c>
      <c r="AU246" s="375">
        <v>0</v>
      </c>
      <c r="AV246" s="375">
        <v>0</v>
      </c>
      <c r="AW246" s="375">
        <v>0</v>
      </c>
      <c r="AX246" s="375">
        <v>0</v>
      </c>
      <c r="AY246" s="375">
        <v>0</v>
      </c>
      <c r="AZ246" s="375">
        <v>0</v>
      </c>
      <c r="BA246" s="375">
        <v>0</v>
      </c>
      <c r="BB246" s="375">
        <v>-14686.309999999998</v>
      </c>
      <c r="BC246" s="79">
        <v>6710.29</v>
      </c>
      <c r="BD246" s="79">
        <v>-18265.05</v>
      </c>
      <c r="BE246" s="79">
        <v>-3131.55</v>
      </c>
      <c r="BF246" s="79">
        <v>7000</v>
      </c>
      <c r="BG246" s="79">
        <v>7000</v>
      </c>
      <c r="BH246" s="79">
        <v>7000</v>
      </c>
      <c r="BI246" s="79">
        <v>7000</v>
      </c>
      <c r="BJ246" s="79">
        <v>7000</v>
      </c>
      <c r="BK246" s="79">
        <v>7000</v>
      </c>
      <c r="BL246" s="79">
        <v>7000</v>
      </c>
      <c r="BM246" s="79">
        <v>7000</v>
      </c>
      <c r="BN246" s="79">
        <v>7000</v>
      </c>
      <c r="BO246" s="79">
        <v>48313.69</v>
      </c>
    </row>
    <row r="247" spans="1:67" ht="15" customHeight="1">
      <c r="A247" s="66" t="s">
        <v>1811</v>
      </c>
      <c r="B247" s="66" t="s">
        <v>1812</v>
      </c>
      <c r="C247" s="150" t="s">
        <v>1136</v>
      </c>
      <c r="D247" s="150" t="s">
        <v>1135</v>
      </c>
      <c r="E247" s="150" t="s">
        <v>1165</v>
      </c>
      <c r="F247" s="150" t="s">
        <v>1137</v>
      </c>
      <c r="G247" s="511" t="s">
        <v>389</v>
      </c>
      <c r="H247" s="392" t="s">
        <v>1813</v>
      </c>
      <c r="I247" s="343"/>
      <c r="J247" s="343"/>
      <c r="K247" s="70" t="s">
        <v>422</v>
      </c>
      <c r="L247" s="346"/>
      <c r="M247" s="343"/>
      <c r="N247" s="346"/>
      <c r="O247" s="150" t="s">
        <v>25</v>
      </c>
      <c r="P247" s="150"/>
      <c r="Q247" s="403"/>
      <c r="R247" s="406">
        <v>116304</v>
      </c>
      <c r="S247" s="406">
        <v>67844</v>
      </c>
      <c r="T247" s="425"/>
      <c r="U247" s="71"/>
      <c r="V247" s="426"/>
      <c r="W247" s="427"/>
      <c r="X247" s="427"/>
      <c r="Y247" s="428" t="s">
        <v>1142</v>
      </c>
      <c r="Z247" s="429">
        <v>0</v>
      </c>
      <c r="AA247" s="429">
        <v>0</v>
      </c>
      <c r="AB247" s="363" t="e">
        <v>#N/A</v>
      </c>
      <c r="AC247" s="363">
        <v>9692</v>
      </c>
      <c r="AD247" s="363">
        <v>9692</v>
      </c>
      <c r="AE247" s="363">
        <v>9692</v>
      </c>
      <c r="AF247" s="363">
        <v>9692</v>
      </c>
      <c r="AG247" s="363">
        <v>9692</v>
      </c>
      <c r="AH247" s="360" t="e">
        <f t="shared" si="14"/>
        <v>#N/A</v>
      </c>
      <c r="AI247" s="362" t="e">
        <f>ERP[[#This Row],[2026 Working Total]]-ERP[[#This Row],[LE2 Final Submission]]</f>
        <v>#N/A</v>
      </c>
      <c r="AJ247" s="79" t="e">
        <v>#N/A</v>
      </c>
      <c r="AK247" s="79" t="e">
        <f t="shared" si="13"/>
        <v>#N/A</v>
      </c>
      <c r="AL247" s="374">
        <f>SUM(ERP[[#This Row],[AP01]:[AP06]])-SUM(ERP[[#This Row],[AP01 LE2]:[AP06 LE2]])</f>
        <v>-9692</v>
      </c>
      <c r="AM247" s="80">
        <v>-48460</v>
      </c>
      <c r="AN247" s="79" t="e">
        <f>ERP[[#This Row],[2026 Working Total to Budget/LE]]-ERP[[#This Row],[Giveback]]</f>
        <v>#N/A</v>
      </c>
      <c r="AO247" s="183" t="s">
        <v>1814</v>
      </c>
      <c r="AP247" s="183"/>
      <c r="AQ247" s="183"/>
      <c r="AR247" s="183"/>
      <c r="AS247" s="183"/>
      <c r="AT247" s="183"/>
      <c r="AU247" s="183">
        <v>9692</v>
      </c>
      <c r="AV247" s="183">
        <v>9692</v>
      </c>
      <c r="AW247" s="183">
        <v>9692</v>
      </c>
      <c r="AX247" s="183">
        <v>9692</v>
      </c>
      <c r="AY247" s="183">
        <v>9692</v>
      </c>
      <c r="AZ247" s="183">
        <v>9692</v>
      </c>
      <c r="BA247" s="183">
        <v>9692</v>
      </c>
      <c r="BB247" s="183">
        <v>67844</v>
      </c>
      <c r="BC247" s="79"/>
      <c r="BD247" s="79"/>
      <c r="BE247" s="79"/>
      <c r="BF247" s="79">
        <v>9692</v>
      </c>
      <c r="BG247" s="79">
        <v>9692</v>
      </c>
      <c r="BH247" s="79">
        <v>9692</v>
      </c>
      <c r="BI247" s="79">
        <v>9692</v>
      </c>
      <c r="BJ247" s="79">
        <v>9692</v>
      </c>
      <c r="BK247" s="79">
        <v>9692</v>
      </c>
      <c r="BL247" s="79">
        <v>9692</v>
      </c>
      <c r="BM247" s="79">
        <v>9692</v>
      </c>
      <c r="BN247" s="79">
        <v>9692</v>
      </c>
      <c r="BO247" s="79">
        <v>87228</v>
      </c>
    </row>
    <row r="248" spans="1:67" ht="15" customHeight="1">
      <c r="A248" s="66" t="s">
        <v>1815</v>
      </c>
      <c r="B248" s="66" t="s">
        <v>1816</v>
      </c>
      <c r="C248" s="150" t="s">
        <v>1136</v>
      </c>
      <c r="D248" s="150" t="s">
        <v>1135</v>
      </c>
      <c r="E248" s="150" t="s">
        <v>1156</v>
      </c>
      <c r="F248" s="150" t="s">
        <v>1137</v>
      </c>
      <c r="G248" s="511" t="s">
        <v>389</v>
      </c>
      <c r="H248" s="392" t="s">
        <v>1817</v>
      </c>
      <c r="I248" s="343"/>
      <c r="J248" s="343"/>
      <c r="K248" s="70" t="s">
        <v>424</v>
      </c>
      <c r="L248" s="346"/>
      <c r="M248" s="343"/>
      <c r="N248" s="346"/>
      <c r="O248" s="150" t="s">
        <v>67</v>
      </c>
      <c r="P248" s="150"/>
      <c r="Q248" s="403"/>
      <c r="R248" s="406">
        <v>588064.00000000012</v>
      </c>
      <c r="S248" s="406">
        <v>588064.16999999993</v>
      </c>
      <c r="T248" s="425"/>
      <c r="U248" s="71"/>
      <c r="V248" s="426">
        <v>40389</v>
      </c>
      <c r="W248" s="427">
        <v>55285.58</v>
      </c>
      <c r="X248" s="427">
        <v>47994.59</v>
      </c>
      <c r="Y248" s="428">
        <v>42517.659999999996</v>
      </c>
      <c r="Z248" s="429">
        <v>63850.67</v>
      </c>
      <c r="AA248" s="429">
        <v>47308.070000000007</v>
      </c>
      <c r="AB248" s="363" t="e">
        <v>#N/A</v>
      </c>
      <c r="AC248" s="363">
        <v>48000</v>
      </c>
      <c r="AD248" s="363">
        <v>48000</v>
      </c>
      <c r="AE248" s="363">
        <v>48000</v>
      </c>
      <c r="AF248" s="363">
        <v>48000</v>
      </c>
      <c r="AG248" s="363">
        <v>48000</v>
      </c>
      <c r="AH248" s="360" t="e">
        <f t="shared" si="14"/>
        <v>#N/A</v>
      </c>
      <c r="AI248" s="362" t="e">
        <f>ERP[[#This Row],[2026 Working Total]]-ERP[[#This Row],[LE2 Final Submission]]</f>
        <v>#N/A</v>
      </c>
      <c r="AJ248" s="79" t="e">
        <v>#N/A</v>
      </c>
      <c r="AK248" s="79" t="e">
        <f t="shared" si="13"/>
        <v>#N/A</v>
      </c>
      <c r="AL248" s="374">
        <f>SUM(ERP[[#This Row],[AP01]:[AP06]])-SUM(ERP[[#This Row],[AP01 LE2]:[AP06 LE2]])</f>
        <v>3681.4000000000233</v>
      </c>
      <c r="AM248" s="80"/>
      <c r="AN248" s="79" t="e">
        <f>ERP[[#This Row],[2026 Working Total to Budget/LE]]-ERP[[#This Row],[Giveback]]</f>
        <v>#N/A</v>
      </c>
      <c r="AO248" s="81"/>
      <c r="AP248" s="375">
        <v>40389</v>
      </c>
      <c r="AQ248" s="375">
        <v>55285.58</v>
      </c>
      <c r="AR248" s="375">
        <v>47994.59</v>
      </c>
      <c r="AS248" s="375">
        <v>51000</v>
      </c>
      <c r="AT248" s="375">
        <v>49500</v>
      </c>
      <c r="AU248" s="375">
        <v>49495</v>
      </c>
      <c r="AV248" s="375">
        <v>49400</v>
      </c>
      <c r="AW248" s="375">
        <v>49000</v>
      </c>
      <c r="AX248" s="375">
        <v>49000</v>
      </c>
      <c r="AY248" s="375">
        <v>49000</v>
      </c>
      <c r="AZ248" s="375">
        <v>49000</v>
      </c>
      <c r="BA248" s="375">
        <v>49000</v>
      </c>
      <c r="BB248" s="375">
        <v>588064.16999999993</v>
      </c>
      <c r="BC248" s="79">
        <v>40389</v>
      </c>
      <c r="BD248" s="79">
        <v>55285.58</v>
      </c>
      <c r="BE248" s="79">
        <v>47994.59</v>
      </c>
      <c r="BF248" s="79">
        <v>49068</v>
      </c>
      <c r="BG248" s="79">
        <v>51240</v>
      </c>
      <c r="BH248" s="79">
        <v>37911</v>
      </c>
      <c r="BI248" s="79">
        <v>48731</v>
      </c>
      <c r="BJ248" s="79">
        <v>52076</v>
      </c>
      <c r="BK248" s="79">
        <v>52390</v>
      </c>
      <c r="BL248" s="79">
        <v>54876</v>
      </c>
      <c r="BM248" s="79">
        <v>42961</v>
      </c>
      <c r="BN248" s="79">
        <v>40649</v>
      </c>
      <c r="BO248" s="79">
        <v>573571.16999999993</v>
      </c>
    </row>
    <row r="249" spans="1:67" ht="15" customHeight="1">
      <c r="A249" s="66" t="s">
        <v>1273</v>
      </c>
      <c r="B249" s="66" t="s">
        <v>1274</v>
      </c>
      <c r="C249" s="150" t="s">
        <v>1136</v>
      </c>
      <c r="D249" s="150" t="s">
        <v>1135</v>
      </c>
      <c r="E249" s="150" t="s">
        <v>1145</v>
      </c>
      <c r="F249" s="150" t="s">
        <v>1137</v>
      </c>
      <c r="G249" s="511" t="s">
        <v>49</v>
      </c>
      <c r="H249" s="392" t="s">
        <v>1275</v>
      </c>
      <c r="I249" s="343"/>
      <c r="J249" s="346" t="s">
        <v>1152</v>
      </c>
      <c r="K249" s="70" t="s">
        <v>116</v>
      </c>
      <c r="L249" s="346"/>
      <c r="M249" s="346" t="s">
        <v>1187</v>
      </c>
      <c r="N249" s="346"/>
      <c r="O249" s="150" t="s">
        <v>67</v>
      </c>
      <c r="P249" s="150" t="s">
        <v>1276</v>
      </c>
      <c r="Q249" s="403"/>
      <c r="R249" s="406">
        <v>948000</v>
      </c>
      <c r="S249" s="406">
        <v>948000.73</v>
      </c>
      <c r="T249" s="425"/>
      <c r="U249" s="71"/>
      <c r="V249" s="426">
        <v>59013</v>
      </c>
      <c r="W249" s="427">
        <v>227334.86</v>
      </c>
      <c r="X249" s="427">
        <v>185217.87</v>
      </c>
      <c r="Y249" s="428" t="s">
        <v>1142</v>
      </c>
      <c r="Z249" s="429">
        <v>0</v>
      </c>
      <c r="AA249" s="429">
        <v>0</v>
      </c>
      <c r="AB249" s="363" t="e">
        <v>#N/A</v>
      </c>
      <c r="AC249" s="363">
        <v>79161</v>
      </c>
      <c r="AD249" s="363">
        <v>79161</v>
      </c>
      <c r="AE249" s="363">
        <v>79161</v>
      </c>
      <c r="AF249" s="363">
        <v>79161</v>
      </c>
      <c r="AG249" s="363">
        <f>79161+1469</f>
        <v>80630</v>
      </c>
      <c r="AH249" s="360" t="e">
        <f t="shared" si="14"/>
        <v>#N/A</v>
      </c>
      <c r="AI249" s="362" t="e">
        <f>ERP[[#This Row],[2026 Working Total]]-ERP[[#This Row],[LE2 Final Submission]]</f>
        <v>#N/A</v>
      </c>
      <c r="AJ249" s="79" t="e">
        <v>#N/A</v>
      </c>
      <c r="AK249" s="79" t="e">
        <f t="shared" si="13"/>
        <v>#N/A</v>
      </c>
      <c r="AL249" s="374">
        <f>SUM(ERP[[#This Row],[AP01]:[AP06]])-SUM(ERP[[#This Row],[AP01 LE2]:[AP06 LE2]])</f>
        <v>-108653</v>
      </c>
      <c r="AM249" s="80"/>
      <c r="AN249" s="79" t="e">
        <f>ERP[[#This Row],[2026 Working Total to Budget/LE]]-ERP[[#This Row],[Giveback]]</f>
        <v>#N/A</v>
      </c>
      <c r="AO249" s="81"/>
      <c r="AP249" s="375">
        <v>59013</v>
      </c>
      <c r="AQ249" s="375">
        <v>227334.86</v>
      </c>
      <c r="AR249" s="375">
        <v>185217.87</v>
      </c>
      <c r="AS249" s="375">
        <v>79000</v>
      </c>
      <c r="AT249" s="375">
        <v>29653</v>
      </c>
      <c r="AU249" s="375">
        <v>0</v>
      </c>
      <c r="AV249" s="375">
        <v>61297</v>
      </c>
      <c r="AW249" s="375">
        <v>61297</v>
      </c>
      <c r="AX249" s="375">
        <v>61297</v>
      </c>
      <c r="AY249" s="375">
        <v>61297</v>
      </c>
      <c r="AZ249" s="375">
        <v>61297</v>
      </c>
      <c r="BA249" s="375">
        <v>61297</v>
      </c>
      <c r="BB249" s="375">
        <v>948000.73</v>
      </c>
      <c r="BC249" s="79">
        <v>59013</v>
      </c>
      <c r="BD249" s="79">
        <v>227334.86</v>
      </c>
      <c r="BE249" s="79">
        <v>185217.87</v>
      </c>
      <c r="BF249" s="79">
        <v>79000</v>
      </c>
      <c r="BG249" s="79">
        <v>29653</v>
      </c>
      <c r="BH249" s="79">
        <v>0</v>
      </c>
      <c r="BI249" s="79">
        <v>79000</v>
      </c>
      <c r="BJ249" s="79">
        <v>79000</v>
      </c>
      <c r="BK249" s="79">
        <v>79000</v>
      </c>
      <c r="BL249" s="79">
        <v>79000</v>
      </c>
      <c r="BM249" s="79">
        <v>79000</v>
      </c>
      <c r="BN249" s="79">
        <v>79000</v>
      </c>
      <c r="BO249" s="79">
        <v>1054218.73</v>
      </c>
    </row>
    <row r="250" spans="1:67" ht="15" customHeight="1">
      <c r="A250" s="66" t="s">
        <v>1277</v>
      </c>
      <c r="B250" s="66" t="s">
        <v>117</v>
      </c>
      <c r="C250" s="150" t="s">
        <v>1136</v>
      </c>
      <c r="D250" s="150" t="s">
        <v>1135</v>
      </c>
      <c r="E250" s="150" t="s">
        <v>1135</v>
      </c>
      <c r="F250" s="150" t="s">
        <v>1137</v>
      </c>
      <c r="G250" s="511" t="s">
        <v>49</v>
      </c>
      <c r="H250" s="392" t="s">
        <v>1278</v>
      </c>
      <c r="I250" s="343"/>
      <c r="J250" s="343"/>
      <c r="K250" s="70" t="s">
        <v>118</v>
      </c>
      <c r="L250" s="346"/>
      <c r="M250" s="346" t="s">
        <v>1221</v>
      </c>
      <c r="N250" s="346"/>
      <c r="O250" s="150" t="s">
        <v>119</v>
      </c>
      <c r="P250" s="150"/>
      <c r="Q250" s="403"/>
      <c r="R250" s="406">
        <v>71440</v>
      </c>
      <c r="S250" s="406">
        <v>71440</v>
      </c>
      <c r="T250" s="425"/>
      <c r="U250" s="71"/>
      <c r="V250" s="426"/>
      <c r="W250" s="427"/>
      <c r="X250" s="427"/>
      <c r="Y250" s="428" t="s">
        <v>1142</v>
      </c>
      <c r="Z250" s="429">
        <v>0</v>
      </c>
      <c r="AA250" s="429">
        <v>0</v>
      </c>
      <c r="AB250" s="363" t="e">
        <v>#N/A</v>
      </c>
      <c r="AC250" s="363">
        <v>71440</v>
      </c>
      <c r="AD250" s="360">
        <v>0</v>
      </c>
      <c r="AE250" s="360">
        <v>0</v>
      </c>
      <c r="AF250" s="360">
        <v>0</v>
      </c>
      <c r="AG250" s="360">
        <v>0</v>
      </c>
      <c r="AH250" s="360" t="e">
        <f t="shared" si="14"/>
        <v>#N/A</v>
      </c>
      <c r="AI250" s="362" t="e">
        <f>ERP[[#This Row],[2026 Working Total]]-ERP[[#This Row],[LE2 Final Submission]]</f>
        <v>#N/A</v>
      </c>
      <c r="AJ250" s="79" t="e">
        <v>#N/A</v>
      </c>
      <c r="AK250" s="79" t="e">
        <f t="shared" si="13"/>
        <v>#N/A</v>
      </c>
      <c r="AL250" s="374">
        <f>SUM(ERP[[#This Row],[AP01]:[AP06]])-SUM(ERP[[#This Row],[AP01 LE2]:[AP06 LE2]])</f>
        <v>0</v>
      </c>
      <c r="AM250" s="80"/>
      <c r="AN250" s="79" t="e">
        <f>ERP[[#This Row],[2026 Working Total to Budget/LE]]-ERP[[#This Row],[Giveback]]</f>
        <v>#N/A</v>
      </c>
      <c r="AO250" s="81"/>
      <c r="AP250" s="375"/>
      <c r="AQ250" s="375"/>
      <c r="AR250" s="375"/>
      <c r="AS250" s="375"/>
      <c r="AT250" s="375"/>
      <c r="AU250" s="375"/>
      <c r="AV250" s="375"/>
      <c r="AW250" s="375">
        <v>71440</v>
      </c>
      <c r="AX250" s="375">
        <v>0</v>
      </c>
      <c r="AY250" s="375">
        <v>0</v>
      </c>
      <c r="AZ250" s="375">
        <v>0</v>
      </c>
      <c r="BA250" s="375">
        <v>0</v>
      </c>
      <c r="BB250" s="375">
        <v>71440</v>
      </c>
      <c r="BC250" s="79"/>
      <c r="BD250" s="79"/>
      <c r="BE250" s="79"/>
      <c r="BF250" s="79"/>
      <c r="BG250" s="79"/>
      <c r="BH250" s="79"/>
      <c r="BI250" s="79"/>
      <c r="BJ250" s="79">
        <v>71440</v>
      </c>
      <c r="BK250" s="79">
        <v>0</v>
      </c>
      <c r="BL250" s="79">
        <v>0</v>
      </c>
      <c r="BM250" s="79">
        <v>0</v>
      </c>
      <c r="BN250" s="79">
        <v>0</v>
      </c>
      <c r="BO250" s="79">
        <v>71440</v>
      </c>
    </row>
    <row r="251" spans="1:67" ht="15" customHeight="1">
      <c r="A251" s="66" t="s">
        <v>1279</v>
      </c>
      <c r="B251" s="66" t="s">
        <v>1280</v>
      </c>
      <c r="C251" s="150" t="s">
        <v>1136</v>
      </c>
      <c r="D251" s="150" t="s">
        <v>1135</v>
      </c>
      <c r="E251" s="150" t="s">
        <v>1137</v>
      </c>
      <c r="F251" s="150" t="s">
        <v>1137</v>
      </c>
      <c r="G251" s="511" t="s">
        <v>49</v>
      </c>
      <c r="H251" s="392" t="s">
        <v>1281</v>
      </c>
      <c r="I251" s="343"/>
      <c r="J251" s="343"/>
      <c r="K251" s="70" t="s">
        <v>121</v>
      </c>
      <c r="L251" s="346"/>
      <c r="M251" s="343"/>
      <c r="N251" s="346"/>
      <c r="O251" s="150" t="s">
        <v>122</v>
      </c>
      <c r="P251" s="150"/>
      <c r="Q251" s="404"/>
      <c r="R251" s="407">
        <v>0</v>
      </c>
      <c r="S251" s="407">
        <v>0</v>
      </c>
      <c r="T251" s="430"/>
      <c r="U251" s="137"/>
      <c r="V251" s="426">
        <v>10113</v>
      </c>
      <c r="W251" s="427">
        <v>11863.11</v>
      </c>
      <c r="X251" s="427">
        <v>-21976.11</v>
      </c>
      <c r="Y251" s="428">
        <v>0</v>
      </c>
      <c r="Z251" s="429">
        <v>0</v>
      </c>
      <c r="AA251" s="429">
        <v>0</v>
      </c>
      <c r="AB251" s="363" t="e">
        <v>#N/A</v>
      </c>
      <c r="AC251" s="363"/>
      <c r="AD251" s="363"/>
      <c r="AE251" s="363"/>
      <c r="AF251" s="363"/>
      <c r="AG251" s="363"/>
      <c r="AH251" s="360" t="e">
        <f t="shared" si="14"/>
        <v>#N/A</v>
      </c>
      <c r="AI251" s="362" t="e">
        <f>ERP[[#This Row],[2026 Working Total]]-ERP[[#This Row],[LE2 Final Submission]]</f>
        <v>#N/A</v>
      </c>
      <c r="AJ251" s="79" t="e">
        <v>#N/A</v>
      </c>
      <c r="AK251" s="79" t="e">
        <f t="shared" si="13"/>
        <v>#N/A</v>
      </c>
      <c r="AL251" s="374">
        <f>SUM(ERP[[#This Row],[AP01]:[AP06]])-SUM(ERP[[#This Row],[AP01 LE2]:[AP06 LE2]])</f>
        <v>0</v>
      </c>
      <c r="AM251" s="80"/>
      <c r="AN251" s="79" t="e">
        <f>ERP[[#This Row],[2026 Working Total to Budget/LE]]-ERP[[#This Row],[Giveback]]</f>
        <v>#N/A</v>
      </c>
      <c r="AO251" s="81"/>
      <c r="AP251" s="375">
        <v>10113</v>
      </c>
      <c r="AQ251" s="375">
        <v>11863.11</v>
      </c>
      <c r="AR251" s="375">
        <v>-21976.11</v>
      </c>
      <c r="AS251" s="375"/>
      <c r="AT251" s="375"/>
      <c r="AU251" s="375"/>
      <c r="AV251" s="375"/>
      <c r="AW251" s="375"/>
      <c r="AX251" s="375"/>
      <c r="AY251" s="375"/>
      <c r="AZ251" s="375"/>
      <c r="BA251" s="375"/>
      <c r="BB251" s="375">
        <v>0</v>
      </c>
      <c r="BC251" s="79">
        <v>10113</v>
      </c>
      <c r="BD251" s="79">
        <v>11863.11</v>
      </c>
      <c r="BE251" s="79">
        <v>-21976.11</v>
      </c>
      <c r="BF251" s="79"/>
      <c r="BG251" s="79"/>
      <c r="BH251" s="79"/>
      <c r="BI251" s="79"/>
      <c r="BJ251" s="79"/>
      <c r="BK251" s="79"/>
      <c r="BL251" s="79"/>
      <c r="BM251" s="79"/>
      <c r="BN251" s="79"/>
      <c r="BO251" s="79">
        <v>0</v>
      </c>
    </row>
    <row r="252" spans="1:67" ht="15" customHeight="1">
      <c r="A252" s="66" t="s">
        <v>1463</v>
      </c>
      <c r="B252" s="66" t="s">
        <v>213</v>
      </c>
      <c r="C252" s="150" t="s">
        <v>1136</v>
      </c>
      <c r="D252" s="150" t="s">
        <v>1345</v>
      </c>
      <c r="E252" s="150" t="s">
        <v>1450</v>
      </c>
      <c r="F252" s="150" t="s">
        <v>1346</v>
      </c>
      <c r="G252" s="511" t="s">
        <v>49</v>
      </c>
      <c r="H252" s="392" t="s">
        <v>1464</v>
      </c>
      <c r="I252" s="343"/>
      <c r="J252" s="343"/>
      <c r="K252" s="70" t="s">
        <v>214</v>
      </c>
      <c r="L252" s="346"/>
      <c r="M252" s="343"/>
      <c r="N252" s="346"/>
      <c r="O252" s="150" t="s">
        <v>188</v>
      </c>
      <c r="P252" s="150"/>
      <c r="Q252" s="403"/>
      <c r="R252" s="406">
        <v>35000</v>
      </c>
      <c r="S252" s="406">
        <v>0</v>
      </c>
      <c r="T252" s="425"/>
      <c r="U252" s="71"/>
      <c r="V252" s="426"/>
      <c r="W252" s="427"/>
      <c r="X252" s="427"/>
      <c r="Y252" s="428" t="s">
        <v>1142</v>
      </c>
      <c r="Z252" s="429">
        <v>0</v>
      </c>
      <c r="AA252" s="429">
        <v>0</v>
      </c>
      <c r="AB252" s="363" t="e">
        <v>#N/A</v>
      </c>
      <c r="AC252" s="363"/>
      <c r="AD252" s="363"/>
      <c r="AE252" s="363"/>
      <c r="AF252" s="363"/>
      <c r="AG252" s="363"/>
      <c r="AH252" s="360" t="e">
        <f t="shared" si="14"/>
        <v>#N/A</v>
      </c>
      <c r="AI252" s="362" t="e">
        <f>ERP[[#This Row],[2026 Working Total]]-ERP[[#This Row],[LE2 Final Submission]]</f>
        <v>#N/A</v>
      </c>
      <c r="AJ252" s="79" t="e">
        <v>#N/A</v>
      </c>
      <c r="AK252" s="79" t="e">
        <f t="shared" si="13"/>
        <v>#N/A</v>
      </c>
      <c r="AL252" s="374">
        <f>SUM(ERP[[#This Row],[AP01]:[AP06]])-SUM(ERP[[#This Row],[AP01 LE2]:[AP06 LE2]])</f>
        <v>0</v>
      </c>
      <c r="AM252" s="80"/>
      <c r="AN252" s="79" t="e">
        <f>ERP[[#This Row],[2026 Working Total to Budget/LE]]-ERP[[#This Row],[Giveback]]</f>
        <v>#N/A</v>
      </c>
      <c r="AO252" s="81" t="s">
        <v>1465</v>
      </c>
      <c r="AP252" s="375"/>
      <c r="AQ252" s="375"/>
      <c r="AR252" s="375"/>
      <c r="AS252" s="375"/>
      <c r="AT252" s="375"/>
      <c r="AU252" s="375"/>
      <c r="AV252" s="375"/>
      <c r="AW252" s="375"/>
      <c r="AX252" s="375"/>
      <c r="AY252" s="375"/>
      <c r="AZ252" s="375"/>
      <c r="BA252" s="375"/>
      <c r="BB252" s="375">
        <v>0</v>
      </c>
      <c r="BC252" s="79"/>
      <c r="BD252" s="79"/>
      <c r="BE252" s="79"/>
      <c r="BF252" s="79">
        <v>2917</v>
      </c>
      <c r="BG252" s="79">
        <v>2917</v>
      </c>
      <c r="BH252" s="79">
        <v>2917</v>
      </c>
      <c r="BI252" s="79">
        <v>2917</v>
      </c>
      <c r="BJ252" s="79">
        <v>2917</v>
      </c>
      <c r="BK252" s="79">
        <v>2916</v>
      </c>
      <c r="BL252" s="79">
        <v>2916</v>
      </c>
      <c r="BM252" s="79">
        <v>2916</v>
      </c>
      <c r="BN252" s="79">
        <v>2916</v>
      </c>
      <c r="BO252" s="79">
        <v>26249</v>
      </c>
    </row>
    <row r="253" spans="1:67" ht="15" customHeight="1">
      <c r="A253" s="66" t="s">
        <v>2036</v>
      </c>
      <c r="B253" s="66" t="s">
        <v>540</v>
      </c>
      <c r="C253" s="150" t="s">
        <v>1136</v>
      </c>
      <c r="D253" s="150" t="s">
        <v>1345</v>
      </c>
      <c r="E253" s="150" t="s">
        <v>1450</v>
      </c>
      <c r="F253" s="150" t="s">
        <v>1346</v>
      </c>
      <c r="G253" s="511" t="s">
        <v>389</v>
      </c>
      <c r="H253" s="392" t="s">
        <v>1464</v>
      </c>
      <c r="I253" s="343"/>
      <c r="J253" s="343"/>
      <c r="K253" s="70" t="s">
        <v>214</v>
      </c>
      <c r="L253" s="346"/>
      <c r="M253" s="343"/>
      <c r="N253" s="346"/>
      <c r="O253" s="150" t="s">
        <v>188</v>
      </c>
      <c r="P253" s="150"/>
      <c r="Q253" s="403"/>
      <c r="R253" s="406">
        <v>0</v>
      </c>
      <c r="S253" s="406">
        <v>35000</v>
      </c>
      <c r="T253" s="425"/>
      <c r="U253" s="71"/>
      <c r="V253" s="426"/>
      <c r="W253" s="427"/>
      <c r="X253" s="427">
        <v>8751</v>
      </c>
      <c r="Y253" s="428">
        <v>0</v>
      </c>
      <c r="Z253" s="429">
        <v>5834</v>
      </c>
      <c r="AA253" s="429">
        <v>0</v>
      </c>
      <c r="AB253" s="363" t="e">
        <v>#N/A</v>
      </c>
      <c r="AC253" s="360">
        <v>2917</v>
      </c>
      <c r="AD253" s="360">
        <v>2916</v>
      </c>
      <c r="AE253" s="360">
        <v>2916</v>
      </c>
      <c r="AF253" s="360">
        <v>2916</v>
      </c>
      <c r="AG253" s="360">
        <v>2916</v>
      </c>
      <c r="AH253" s="360" t="e">
        <f t="shared" si="14"/>
        <v>#N/A</v>
      </c>
      <c r="AI253" s="362" t="e">
        <f>ERP[[#This Row],[2026 Working Total]]-ERP[[#This Row],[LE2 Final Submission]]</f>
        <v>#N/A</v>
      </c>
      <c r="AJ253" s="79" t="e">
        <v>#N/A</v>
      </c>
      <c r="AK253" s="79" t="e">
        <f t="shared" si="13"/>
        <v>#N/A</v>
      </c>
      <c r="AL253" s="374">
        <f>SUM(ERP[[#This Row],[AP01]:[AP06]])-SUM(ERP[[#This Row],[AP01 LE2]:[AP06 LE2]])</f>
        <v>-2917</v>
      </c>
      <c r="AM253" s="80"/>
      <c r="AN253" s="79" t="e">
        <f>ERP[[#This Row],[2026 Working Total to Budget/LE]]-ERP[[#This Row],[Giveback]]</f>
        <v>#N/A</v>
      </c>
      <c r="AO253" s="81" t="s">
        <v>2037</v>
      </c>
      <c r="AP253" s="375"/>
      <c r="AQ253" s="375"/>
      <c r="AR253" s="375">
        <v>8751</v>
      </c>
      <c r="AS253" s="375">
        <v>2917</v>
      </c>
      <c r="AT253" s="375">
        <v>2917</v>
      </c>
      <c r="AU253" s="375">
        <v>2917</v>
      </c>
      <c r="AV253" s="375">
        <v>2917</v>
      </c>
      <c r="AW253" s="375">
        <v>2917</v>
      </c>
      <c r="AX253" s="375">
        <v>2916</v>
      </c>
      <c r="AY253" s="375">
        <v>2916</v>
      </c>
      <c r="AZ253" s="375">
        <v>2916</v>
      </c>
      <c r="BA253" s="375">
        <v>2916</v>
      </c>
      <c r="BB253" s="375">
        <v>35000</v>
      </c>
      <c r="BC253" s="79"/>
      <c r="BD253" s="79"/>
      <c r="BE253" s="79">
        <v>8751</v>
      </c>
      <c r="BF253" s="79">
        <v>0</v>
      </c>
      <c r="BG253" s="79">
        <v>0</v>
      </c>
      <c r="BH253" s="79">
        <v>0</v>
      </c>
      <c r="BI253" s="79">
        <v>0</v>
      </c>
      <c r="BJ253" s="79">
        <v>0</v>
      </c>
      <c r="BK253" s="79">
        <v>0</v>
      </c>
      <c r="BL253" s="79">
        <v>0</v>
      </c>
      <c r="BM253" s="79">
        <v>0</v>
      </c>
      <c r="BN253" s="79">
        <v>0</v>
      </c>
      <c r="BO253" s="79">
        <v>8751</v>
      </c>
    </row>
    <row r="254" spans="1:67" ht="15" customHeight="1">
      <c r="A254" s="66" t="s">
        <v>1282</v>
      </c>
      <c r="B254" s="66" t="s">
        <v>1283</v>
      </c>
      <c r="C254" s="150" t="s">
        <v>1136</v>
      </c>
      <c r="D254" s="150" t="s">
        <v>1135</v>
      </c>
      <c r="E254" s="150" t="s">
        <v>1165</v>
      </c>
      <c r="F254" s="150" t="s">
        <v>1137</v>
      </c>
      <c r="G254" s="511" t="s">
        <v>49</v>
      </c>
      <c r="H254" s="392" t="s">
        <v>1281</v>
      </c>
      <c r="I254" s="343"/>
      <c r="J254" s="343"/>
      <c r="K254" s="70" t="s">
        <v>121</v>
      </c>
      <c r="L254" s="346"/>
      <c r="M254" s="343"/>
      <c r="N254" s="346"/>
      <c r="O254" s="150" t="s">
        <v>122</v>
      </c>
      <c r="P254" s="150"/>
      <c r="Q254" s="403"/>
      <c r="R254" s="406">
        <v>150000</v>
      </c>
      <c r="S254" s="406">
        <v>149999.65</v>
      </c>
      <c r="T254" s="425"/>
      <c r="U254" s="71"/>
      <c r="V254" s="426"/>
      <c r="W254" s="427"/>
      <c r="X254" s="427">
        <v>36597.65</v>
      </c>
      <c r="Y254" s="428">
        <v>17284.68</v>
      </c>
      <c r="Z254" s="429">
        <v>12179.44</v>
      </c>
      <c r="AA254" s="429">
        <v>11999.990000000002</v>
      </c>
      <c r="AB254" s="363" t="e">
        <v>#N/A</v>
      </c>
      <c r="AC254" s="363">
        <v>12000</v>
      </c>
      <c r="AD254" s="363">
        <v>12000</v>
      </c>
      <c r="AE254" s="363">
        <v>12000</v>
      </c>
      <c r="AF254" s="363">
        <v>12000</v>
      </c>
      <c r="AG254" s="363">
        <v>12000</v>
      </c>
      <c r="AH254" s="360" t="e">
        <f t="shared" si="14"/>
        <v>#N/A</v>
      </c>
      <c r="AI254" s="362" t="e">
        <f>ERP[[#This Row],[2026 Working Total]]-ERP[[#This Row],[LE2 Final Submission]]</f>
        <v>#N/A</v>
      </c>
      <c r="AJ254" s="79" t="e">
        <v>#N/A</v>
      </c>
      <c r="AK254" s="79" t="e">
        <f t="shared" si="13"/>
        <v>#N/A</v>
      </c>
      <c r="AL254" s="374">
        <f>SUM(ERP[[#This Row],[AP01]:[AP06]])-SUM(ERP[[#This Row],[AP01 LE2]:[AP06 LE2]])</f>
        <v>3062.1100000000151</v>
      </c>
      <c r="AM254" s="80"/>
      <c r="AN254" s="79" t="e">
        <f>ERP[[#This Row],[2026 Working Total to Budget/LE]]-ERP[[#This Row],[Giveback]]</f>
        <v>#N/A</v>
      </c>
      <c r="AO254" s="81"/>
      <c r="AP254" s="375"/>
      <c r="AQ254" s="375"/>
      <c r="AR254" s="375">
        <v>36597.65</v>
      </c>
      <c r="AS254" s="375">
        <v>12900</v>
      </c>
      <c r="AT254" s="375">
        <v>12900</v>
      </c>
      <c r="AU254" s="375">
        <v>12602</v>
      </c>
      <c r="AV254" s="375">
        <v>12500</v>
      </c>
      <c r="AW254" s="375">
        <v>12500</v>
      </c>
      <c r="AX254" s="375">
        <v>12500</v>
      </c>
      <c r="AY254" s="375">
        <v>12500</v>
      </c>
      <c r="AZ254" s="375">
        <v>12500</v>
      </c>
      <c r="BA254" s="375">
        <v>12500</v>
      </c>
      <c r="BB254" s="375">
        <v>149999.65</v>
      </c>
      <c r="BC254" s="79"/>
      <c r="BD254" s="79"/>
      <c r="BE254" s="79">
        <v>36597.65</v>
      </c>
      <c r="BF254" s="79">
        <v>12500</v>
      </c>
      <c r="BG254" s="79">
        <v>12500</v>
      </c>
      <c r="BH254" s="79">
        <v>12500</v>
      </c>
      <c r="BI254" s="79">
        <v>12500</v>
      </c>
      <c r="BJ254" s="79">
        <v>12500</v>
      </c>
      <c r="BK254" s="79">
        <v>12500</v>
      </c>
      <c r="BL254" s="79">
        <v>12500</v>
      </c>
      <c r="BM254" s="79">
        <v>12500</v>
      </c>
      <c r="BN254" s="79">
        <v>12500</v>
      </c>
      <c r="BO254" s="79">
        <v>149097.65</v>
      </c>
    </row>
    <row r="255" spans="1:67" ht="15" customHeight="1">
      <c r="A255" s="66" t="s">
        <v>1818</v>
      </c>
      <c r="B255" s="66" t="s">
        <v>1819</v>
      </c>
      <c r="C255" s="150" t="s">
        <v>1136</v>
      </c>
      <c r="D255" s="150" t="s">
        <v>1135</v>
      </c>
      <c r="E255" s="150" t="s">
        <v>1165</v>
      </c>
      <c r="F255" s="150" t="s">
        <v>1137</v>
      </c>
      <c r="G255" s="511" t="s">
        <v>389</v>
      </c>
      <c r="H255" s="392" t="s">
        <v>1820</v>
      </c>
      <c r="I255" s="343"/>
      <c r="J255" s="343"/>
      <c r="K255" s="70" t="s">
        <v>426</v>
      </c>
      <c r="L255" s="346"/>
      <c r="M255" s="343"/>
      <c r="N255" s="346"/>
      <c r="O255" s="150" t="s">
        <v>427</v>
      </c>
      <c r="P255" s="184" t="s">
        <v>1821</v>
      </c>
      <c r="Q255" s="403"/>
      <c r="R255" s="406">
        <v>4651599.96</v>
      </c>
      <c r="S255" s="406">
        <v>4701598.17</v>
      </c>
      <c r="T255" s="425"/>
      <c r="U255" s="71"/>
      <c r="V255" s="426">
        <v>387633.4</v>
      </c>
      <c r="W255" s="427">
        <v>404902.73</v>
      </c>
      <c r="X255" s="427">
        <v>356492.04</v>
      </c>
      <c r="Y255" s="428">
        <v>363571.96</v>
      </c>
      <c r="Z255" s="429">
        <v>461544.87000000005</v>
      </c>
      <c r="AA255" s="429">
        <v>394829.05999999994</v>
      </c>
      <c r="AB255" s="363" t="e">
        <v>#N/A</v>
      </c>
      <c r="AC255" s="363">
        <v>391800</v>
      </c>
      <c r="AD255" s="363">
        <v>391800</v>
      </c>
      <c r="AE255" s="363">
        <v>391800</v>
      </c>
      <c r="AF255" s="363">
        <v>391800</v>
      </c>
      <c r="AG255" s="363">
        <v>387633</v>
      </c>
      <c r="AH255" s="360" t="e">
        <f t="shared" si="14"/>
        <v>#N/A</v>
      </c>
      <c r="AI255" s="504" t="e">
        <f>ERP[[#This Row],[2026 Working Total]]-ERP[[#This Row],[LE2 Final Submission]]</f>
        <v>#N/A</v>
      </c>
      <c r="AJ255" s="79" t="e">
        <v>#N/A</v>
      </c>
      <c r="AK255" s="79" t="e">
        <f t="shared" si="13"/>
        <v>#N/A</v>
      </c>
      <c r="AL255" s="374">
        <f>SUM(ERP[[#This Row],[AP01]:[AP06]])-SUM(ERP[[#This Row],[AP01 LE2]:[AP06 LE2]])</f>
        <v>14008.89000000013</v>
      </c>
      <c r="AM255" s="80"/>
      <c r="AN255" s="79" t="e">
        <f>ERP[[#This Row],[2026 Working Total to Budget/LE]]-ERP[[#This Row],[Giveback]]</f>
        <v>#N/A</v>
      </c>
      <c r="AO255" s="81"/>
      <c r="AP255" s="375">
        <v>387633.4</v>
      </c>
      <c r="AQ255" s="375">
        <v>404902.73</v>
      </c>
      <c r="AR255" s="375">
        <v>356492.04</v>
      </c>
      <c r="AS255" s="375">
        <v>422337</v>
      </c>
      <c r="AT255" s="375">
        <v>391800</v>
      </c>
      <c r="AU255" s="375">
        <v>391800</v>
      </c>
      <c r="AV255" s="375">
        <v>391800</v>
      </c>
      <c r="AW255" s="375">
        <v>391800</v>
      </c>
      <c r="AX255" s="375">
        <v>391800</v>
      </c>
      <c r="AY255" s="375">
        <v>391800</v>
      </c>
      <c r="AZ255" s="375">
        <v>391800</v>
      </c>
      <c r="BA255" s="375">
        <v>387633</v>
      </c>
      <c r="BB255" s="375">
        <v>4701598.17</v>
      </c>
      <c r="BC255" s="79">
        <v>387633.4</v>
      </c>
      <c r="BD255" s="79">
        <v>404902.73</v>
      </c>
      <c r="BE255" s="79">
        <v>356492.04</v>
      </c>
      <c r="BF255" s="79">
        <v>387633.33</v>
      </c>
      <c r="BG255" s="79">
        <v>387633.33</v>
      </c>
      <c r="BH255" s="79">
        <v>387633.33</v>
      </c>
      <c r="BI255" s="79">
        <v>387633.33</v>
      </c>
      <c r="BJ255" s="79">
        <v>387633.33</v>
      </c>
      <c r="BK255" s="79">
        <v>387633.33</v>
      </c>
      <c r="BL255" s="79">
        <v>387633.33</v>
      </c>
      <c r="BM255" s="79">
        <v>387633.33</v>
      </c>
      <c r="BN255" s="79">
        <v>387633.33</v>
      </c>
      <c r="BO255" s="79">
        <v>4637728.1400000006</v>
      </c>
    </row>
    <row r="256" spans="1:67" ht="15" customHeight="1">
      <c r="A256" s="79" t="s">
        <v>2099</v>
      </c>
      <c r="B256" s="296" t="s">
        <v>2100</v>
      </c>
      <c r="C256" s="150" t="s">
        <v>1136</v>
      </c>
      <c r="D256" s="332" t="s">
        <v>1345</v>
      </c>
      <c r="E256" s="383" t="s">
        <v>1346</v>
      </c>
      <c r="F256" s="331" t="s">
        <v>1346</v>
      </c>
      <c r="G256" s="512" t="s">
        <v>389</v>
      </c>
      <c r="H256" s="393" t="s">
        <v>2101</v>
      </c>
      <c r="I256" s="343"/>
      <c r="J256" s="331"/>
      <c r="K256" s="91" t="s">
        <v>571</v>
      </c>
      <c r="L256" s="343"/>
      <c r="M256" s="346" t="s">
        <v>1221</v>
      </c>
      <c r="N256" s="348"/>
      <c r="O256" s="386" t="s">
        <v>432</v>
      </c>
      <c r="P256" s="387" t="s">
        <v>2102</v>
      </c>
      <c r="Q256" s="432"/>
      <c r="R256" s="358">
        <v>1236</v>
      </c>
      <c r="S256" s="378">
        <v>0</v>
      </c>
      <c r="T256" s="425"/>
      <c r="U256" s="71"/>
      <c r="V256" s="433"/>
      <c r="W256" s="434"/>
      <c r="X256" s="434"/>
      <c r="Y256" s="428" t="s">
        <v>1142</v>
      </c>
      <c r="Z256" s="429">
        <v>0</v>
      </c>
      <c r="AA256" s="429">
        <v>0</v>
      </c>
      <c r="AB256" s="363" t="e">
        <v>#N/A</v>
      </c>
      <c r="AC256" s="388">
        <v>0</v>
      </c>
      <c r="AD256" s="388">
        <v>0</v>
      </c>
      <c r="AE256" s="388">
        <v>0</v>
      </c>
      <c r="AF256" s="388">
        <v>0</v>
      </c>
      <c r="AG256" s="388">
        <v>0</v>
      </c>
      <c r="AH256" s="360" t="e">
        <f t="shared" si="14"/>
        <v>#N/A</v>
      </c>
      <c r="AI256" s="362" t="e">
        <f>ERP[[#This Row],[2026 Working Total]]-ERP[[#This Row],[LE2 Final Submission]]</f>
        <v>#N/A</v>
      </c>
      <c r="AJ256" s="79" t="e">
        <v>#N/A</v>
      </c>
      <c r="AK256" s="79" t="e">
        <f t="shared" si="13"/>
        <v>#N/A</v>
      </c>
      <c r="AL256" s="374">
        <f>SUM(ERP[[#This Row],[AP01]:[AP06]])-SUM(ERP[[#This Row],[AP01 LE2]:[AP06 LE2]])</f>
        <v>0</v>
      </c>
      <c r="AM256" s="80"/>
      <c r="AN256" s="79" t="e">
        <f>ERP[[#This Row],[2026 Working Total to Budget/LE]]-ERP[[#This Row],[Giveback]]</f>
        <v>#N/A</v>
      </c>
      <c r="AO256" s="81"/>
      <c r="AP256" s="375"/>
      <c r="AQ256" s="375"/>
      <c r="AR256" s="375"/>
      <c r="AS256" s="375">
        <v>0</v>
      </c>
      <c r="AT256" s="375">
        <v>0</v>
      </c>
      <c r="AU256" s="375">
        <v>0</v>
      </c>
      <c r="AV256" s="375">
        <v>0</v>
      </c>
      <c r="AW256" s="375">
        <v>0</v>
      </c>
      <c r="AX256" s="375">
        <v>0</v>
      </c>
      <c r="AY256" s="375">
        <v>0</v>
      </c>
      <c r="AZ256" s="375">
        <v>0</v>
      </c>
      <c r="BA256" s="375">
        <v>0</v>
      </c>
      <c r="BB256" s="375">
        <v>0</v>
      </c>
      <c r="BC256" s="103">
        <v>412</v>
      </c>
      <c r="BD256" s="103">
        <v>412</v>
      </c>
      <c r="BE256" s="103">
        <v>412</v>
      </c>
      <c r="BF256" s="103">
        <v>0</v>
      </c>
      <c r="BG256" s="103">
        <v>0</v>
      </c>
      <c r="BH256" s="103">
        <v>0</v>
      </c>
      <c r="BI256" s="103">
        <v>0</v>
      </c>
      <c r="BJ256" s="103">
        <v>0</v>
      </c>
      <c r="BK256" s="103">
        <v>0</v>
      </c>
      <c r="BL256" s="103">
        <v>0</v>
      </c>
      <c r="BM256" s="103">
        <v>0</v>
      </c>
      <c r="BN256" s="103">
        <v>0</v>
      </c>
      <c r="BO256" s="79">
        <f>SUM(ERP[[#This Row],[2026 AP01]:[2026 AP12]])</f>
        <v>1236</v>
      </c>
    </row>
    <row r="257" spans="1:67" ht="15" customHeight="1">
      <c r="A257" s="66" t="s">
        <v>2052</v>
      </c>
      <c r="B257" s="66" t="s">
        <v>2053</v>
      </c>
      <c r="C257" s="150" t="s">
        <v>1136</v>
      </c>
      <c r="D257" s="150" t="s">
        <v>1345</v>
      </c>
      <c r="E257" s="150" t="s">
        <v>1346</v>
      </c>
      <c r="F257" s="150" t="s">
        <v>1346</v>
      </c>
      <c r="G257" s="511" t="s">
        <v>389</v>
      </c>
      <c r="H257" s="392" t="s">
        <v>2054</v>
      </c>
      <c r="I257" s="343"/>
      <c r="J257" s="343"/>
      <c r="K257" s="70" t="s">
        <v>573</v>
      </c>
      <c r="L257" s="346"/>
      <c r="M257" s="343"/>
      <c r="N257" s="346"/>
      <c r="O257" s="150" t="s">
        <v>432</v>
      </c>
      <c r="P257" s="150"/>
      <c r="Q257" s="403"/>
      <c r="R257" s="406">
        <v>42000</v>
      </c>
      <c r="S257" s="406">
        <v>37871.96</v>
      </c>
      <c r="T257" s="430"/>
      <c r="U257" s="137"/>
      <c r="V257" s="426">
        <v>1370.43</v>
      </c>
      <c r="W257" s="427">
        <v>3605.56</v>
      </c>
      <c r="X257" s="427">
        <v>1395.97</v>
      </c>
      <c r="Y257" s="428">
        <v>1255.79</v>
      </c>
      <c r="Z257" s="429">
        <v>2734.6699999999996</v>
      </c>
      <c r="AA257" s="429">
        <v>2056.0299999999997</v>
      </c>
      <c r="AB257" s="363" t="e">
        <v>#N/A</v>
      </c>
      <c r="AC257" s="363">
        <v>3500</v>
      </c>
      <c r="AD257" s="363">
        <v>3500</v>
      </c>
      <c r="AE257" s="363">
        <v>3500</v>
      </c>
      <c r="AF257" s="363">
        <v>3500</v>
      </c>
      <c r="AG257" s="363">
        <v>3500</v>
      </c>
      <c r="AH257" s="360" t="e">
        <f t="shared" si="14"/>
        <v>#N/A</v>
      </c>
      <c r="AI257" s="362" t="e">
        <f>ERP[[#This Row],[2026 Working Total]]-ERP[[#This Row],[LE2 Final Submission]]</f>
        <v>#N/A</v>
      </c>
      <c r="AJ257" s="79" t="e">
        <v>#N/A</v>
      </c>
      <c r="AK257" s="79" t="e">
        <f t="shared" si="13"/>
        <v>#N/A</v>
      </c>
      <c r="AL257" s="374">
        <f>SUM(ERP[[#This Row],[AP01]:[AP06]])-SUM(ERP[[#This Row],[AP01 LE2]:[AP06 LE2]])</f>
        <v>-4453.5099999999984</v>
      </c>
      <c r="AM257" s="80"/>
      <c r="AN257" s="79" t="e">
        <f>ERP[[#This Row],[2026 Working Total to Budget/LE]]-ERP[[#This Row],[Giveback]]</f>
        <v>#N/A</v>
      </c>
      <c r="AO257" s="81"/>
      <c r="AP257" s="375">
        <v>1370.43</v>
      </c>
      <c r="AQ257" s="375">
        <v>3605.56</v>
      </c>
      <c r="AR257" s="375">
        <v>1395.97</v>
      </c>
      <c r="AS257" s="375">
        <v>3500</v>
      </c>
      <c r="AT257" s="375">
        <v>3500</v>
      </c>
      <c r="AU257" s="375">
        <v>3500</v>
      </c>
      <c r="AV257" s="375">
        <v>3500</v>
      </c>
      <c r="AW257" s="375">
        <v>3500</v>
      </c>
      <c r="AX257" s="375">
        <v>3500</v>
      </c>
      <c r="AY257" s="375">
        <v>3500</v>
      </c>
      <c r="AZ257" s="375">
        <v>3500</v>
      </c>
      <c r="BA257" s="375">
        <v>3500</v>
      </c>
      <c r="BB257" s="375">
        <v>37871.96</v>
      </c>
      <c r="BC257" s="79">
        <v>1370.43</v>
      </c>
      <c r="BD257" s="79">
        <v>3605.56</v>
      </c>
      <c r="BE257" s="79">
        <v>1395.97</v>
      </c>
      <c r="BF257" s="79">
        <v>3500</v>
      </c>
      <c r="BG257" s="79">
        <v>3500</v>
      </c>
      <c r="BH257" s="79">
        <v>3500</v>
      </c>
      <c r="BI257" s="79">
        <v>3500</v>
      </c>
      <c r="BJ257" s="79">
        <v>3500</v>
      </c>
      <c r="BK257" s="79">
        <v>3500</v>
      </c>
      <c r="BL257" s="79">
        <v>3500</v>
      </c>
      <c r="BM257" s="79">
        <v>3500</v>
      </c>
      <c r="BN257" s="79">
        <v>3500</v>
      </c>
      <c r="BO257" s="79">
        <v>37871.96</v>
      </c>
    </row>
    <row r="258" spans="1:67" ht="15" customHeight="1">
      <c r="A258" s="66" t="s">
        <v>1822</v>
      </c>
      <c r="B258" s="66" t="s">
        <v>1823</v>
      </c>
      <c r="C258" s="150" t="s">
        <v>1136</v>
      </c>
      <c r="D258" s="150" t="s">
        <v>1135</v>
      </c>
      <c r="E258" s="150" t="s">
        <v>1165</v>
      </c>
      <c r="F258" s="150" t="s">
        <v>1137</v>
      </c>
      <c r="G258" s="511" t="s">
        <v>389</v>
      </c>
      <c r="H258" s="392" t="s">
        <v>1824</v>
      </c>
      <c r="I258" s="343"/>
      <c r="J258" s="343"/>
      <c r="K258" s="70" t="s">
        <v>429</v>
      </c>
      <c r="L258" s="346"/>
      <c r="M258" s="343"/>
      <c r="N258" s="346"/>
      <c r="O258" s="150" t="s">
        <v>427</v>
      </c>
      <c r="P258" s="482" t="s">
        <v>1825</v>
      </c>
      <c r="Q258" s="403"/>
      <c r="R258" s="406">
        <v>1832799.9600000002</v>
      </c>
      <c r="S258" s="406">
        <v>1832798.4200000002</v>
      </c>
      <c r="T258" s="425"/>
      <c r="U258" s="71"/>
      <c r="V258" s="426"/>
      <c r="W258" s="427">
        <v>293304.34999999998</v>
      </c>
      <c r="X258" s="427">
        <v>164894.1</v>
      </c>
      <c r="Y258" s="428">
        <v>142089.47</v>
      </c>
      <c r="Z258" s="429">
        <v>163378.12</v>
      </c>
      <c r="AA258" s="429">
        <v>152732.93000000002</v>
      </c>
      <c r="AB258" s="363" t="e">
        <v>#N/A</v>
      </c>
      <c r="AC258" s="363">
        <v>172399</v>
      </c>
      <c r="AD258" s="363">
        <v>172399</v>
      </c>
      <c r="AE258" s="363">
        <v>172399</v>
      </c>
      <c r="AF258" s="363">
        <v>172399</v>
      </c>
      <c r="AG258" s="363">
        <v>172399</v>
      </c>
      <c r="AH258" s="360" t="e">
        <f t="shared" si="14"/>
        <v>#N/A</v>
      </c>
      <c r="AI258" s="504" t="e">
        <f>ERP[[#This Row],[2026 Working Total]]-ERP[[#This Row],[LE2 Final Submission]]</f>
        <v>#N/A</v>
      </c>
      <c r="AJ258" s="79" t="e">
        <v>#N/A</v>
      </c>
      <c r="AK258" s="79" t="e">
        <f t="shared" si="13"/>
        <v>#N/A</v>
      </c>
      <c r="AL258" s="374">
        <f>SUM(ERP[[#This Row],[AP01]:[AP06]])-SUM(ERP[[#This Row],[AP01 LE2]:[AP06 LE2]])</f>
        <v>0.530000000144355</v>
      </c>
      <c r="AM258" s="80"/>
      <c r="AN258" s="79" t="e">
        <f>ERP[[#This Row],[2026 Working Total to Budget/LE]]-ERP[[#This Row],[Giveback]]</f>
        <v>#N/A</v>
      </c>
      <c r="AO258" s="81"/>
      <c r="AP258" s="375"/>
      <c r="AQ258" s="375">
        <v>293304.34999999998</v>
      </c>
      <c r="AR258" s="375">
        <v>164894.1</v>
      </c>
      <c r="AS258" s="375">
        <v>152733.32999999999</v>
      </c>
      <c r="AT258" s="375">
        <v>152733.32999999999</v>
      </c>
      <c r="AU258" s="375">
        <v>152733.32999999999</v>
      </c>
      <c r="AV258" s="375">
        <v>152733.32999999999</v>
      </c>
      <c r="AW258" s="375">
        <v>152733.32999999999</v>
      </c>
      <c r="AX258" s="375">
        <v>152733.32999999999</v>
      </c>
      <c r="AY258" s="375">
        <v>152733.32999999999</v>
      </c>
      <c r="AZ258" s="375">
        <v>152733.32999999999</v>
      </c>
      <c r="BA258" s="375">
        <v>152733.32999999999</v>
      </c>
      <c r="BB258" s="375">
        <v>1832798.4200000002</v>
      </c>
      <c r="BC258" s="79"/>
      <c r="BD258" s="79">
        <v>293304.34999999998</v>
      </c>
      <c r="BE258" s="79">
        <v>164894.1</v>
      </c>
      <c r="BF258" s="79">
        <v>152733.32999999999</v>
      </c>
      <c r="BG258" s="79">
        <v>152733.32999999999</v>
      </c>
      <c r="BH258" s="79">
        <v>152733.32999999999</v>
      </c>
      <c r="BI258" s="79">
        <v>152733.32999999999</v>
      </c>
      <c r="BJ258" s="79">
        <v>152733.32999999999</v>
      </c>
      <c r="BK258" s="79">
        <v>152733.32999999999</v>
      </c>
      <c r="BL258" s="79">
        <v>152733.32999999999</v>
      </c>
      <c r="BM258" s="79">
        <v>152733.32999999999</v>
      </c>
      <c r="BN258" s="79">
        <v>152733.32999999999</v>
      </c>
      <c r="BO258" s="79">
        <v>1832798.4200000002</v>
      </c>
    </row>
    <row r="259" spans="1:67" ht="15" customHeight="1">
      <c r="A259" s="66" t="s">
        <v>1826</v>
      </c>
      <c r="B259" s="66" t="s">
        <v>1827</v>
      </c>
      <c r="C259" s="150" t="s">
        <v>1136</v>
      </c>
      <c r="D259" s="150" t="s">
        <v>1135</v>
      </c>
      <c r="E259" s="150" t="s">
        <v>1137</v>
      </c>
      <c r="F259" s="150" t="s">
        <v>1137</v>
      </c>
      <c r="G259" s="511" t="s">
        <v>389</v>
      </c>
      <c r="H259" s="392" t="s">
        <v>1828</v>
      </c>
      <c r="I259" s="343"/>
      <c r="J259" s="343"/>
      <c r="K259" s="70" t="s">
        <v>431</v>
      </c>
      <c r="L259" s="346"/>
      <c r="M259" s="343"/>
      <c r="N259" s="346"/>
      <c r="O259" s="150" t="s">
        <v>432</v>
      </c>
      <c r="P259" s="1" t="s">
        <v>1141</v>
      </c>
      <c r="Q259" s="403"/>
      <c r="R259" s="406">
        <v>18000</v>
      </c>
      <c r="S259" s="406">
        <v>19824.739999999998</v>
      </c>
      <c r="T259" s="425"/>
      <c r="U259" s="71"/>
      <c r="V259" s="426">
        <v>531.82000000000005</v>
      </c>
      <c r="W259" s="427">
        <v>3988.46</v>
      </c>
      <c r="X259" s="427">
        <v>1804.46</v>
      </c>
      <c r="Y259" s="428">
        <v>988.66</v>
      </c>
      <c r="Z259" s="429">
        <v>162.79999999999998</v>
      </c>
      <c r="AA259" s="429">
        <v>0</v>
      </c>
      <c r="AB259" s="363" t="e">
        <v>#N/A</v>
      </c>
      <c r="AC259" s="363">
        <v>1500</v>
      </c>
      <c r="AD259" s="363">
        <v>1500</v>
      </c>
      <c r="AE259" s="363">
        <v>1500</v>
      </c>
      <c r="AF259" s="363">
        <v>1500</v>
      </c>
      <c r="AG259" s="363">
        <v>1500</v>
      </c>
      <c r="AH259" s="360" t="e">
        <f t="shared" si="14"/>
        <v>#N/A</v>
      </c>
      <c r="AI259" s="362" t="e">
        <f>ERP[[#This Row],[2026 Working Total]]-ERP[[#This Row],[LE2 Final Submission]]</f>
        <v>#N/A</v>
      </c>
      <c r="AJ259" s="79" t="e">
        <v>#N/A</v>
      </c>
      <c r="AK259" s="79" t="e">
        <f t="shared" si="13"/>
        <v>#N/A</v>
      </c>
      <c r="AL259" s="374">
        <f>SUM(ERP[[#This Row],[AP01]:[AP06]])-SUM(ERP[[#This Row],[AP01 LE2]:[AP06 LE2]])</f>
        <v>-3348.54</v>
      </c>
      <c r="AM259" s="80"/>
      <c r="AN259" s="79" t="e">
        <f>ERP[[#This Row],[2026 Working Total to Budget/LE]]-ERP[[#This Row],[Giveback]]</f>
        <v>#N/A</v>
      </c>
      <c r="AO259" s="81"/>
      <c r="AP259" s="375">
        <v>531.82000000000005</v>
      </c>
      <c r="AQ259" s="375">
        <v>3988.46</v>
      </c>
      <c r="AR259" s="375">
        <v>1804.46</v>
      </c>
      <c r="AS259" s="375">
        <v>1500</v>
      </c>
      <c r="AT259" s="375">
        <v>1500</v>
      </c>
      <c r="AU259" s="375">
        <v>1500</v>
      </c>
      <c r="AV259" s="375">
        <v>1500</v>
      </c>
      <c r="AW259" s="375">
        <v>1500</v>
      </c>
      <c r="AX259" s="375">
        <v>1500</v>
      </c>
      <c r="AY259" s="375">
        <v>1500</v>
      </c>
      <c r="AZ259" s="375">
        <v>1500</v>
      </c>
      <c r="BA259" s="375">
        <v>1500</v>
      </c>
      <c r="BB259" s="375">
        <v>19824.739999999998</v>
      </c>
      <c r="BC259" s="79">
        <v>531.82000000000005</v>
      </c>
      <c r="BD259" s="79">
        <v>3988.46</v>
      </c>
      <c r="BE259" s="79">
        <v>1804.46</v>
      </c>
      <c r="BF259" s="79">
        <v>1500</v>
      </c>
      <c r="BG259" s="79">
        <v>1500</v>
      </c>
      <c r="BH259" s="79">
        <v>1500</v>
      </c>
      <c r="BI259" s="79">
        <v>1500</v>
      </c>
      <c r="BJ259" s="79">
        <v>1500</v>
      </c>
      <c r="BK259" s="79">
        <v>1500</v>
      </c>
      <c r="BL259" s="79">
        <v>1500</v>
      </c>
      <c r="BM259" s="79">
        <v>1500</v>
      </c>
      <c r="BN259" s="79">
        <v>1500</v>
      </c>
      <c r="BO259" s="79">
        <v>19824.739999999998</v>
      </c>
    </row>
    <row r="260" spans="1:67" ht="15" customHeight="1">
      <c r="A260" s="150" t="s">
        <v>1439</v>
      </c>
      <c r="B260" s="296" t="s">
        <v>200</v>
      </c>
      <c r="C260" s="150" t="s">
        <v>1136</v>
      </c>
      <c r="D260" s="150" t="s">
        <v>1345</v>
      </c>
      <c r="E260" s="150" t="s">
        <v>1345</v>
      </c>
      <c r="F260" s="150" t="s">
        <v>1345</v>
      </c>
      <c r="G260" s="514" t="s">
        <v>49</v>
      </c>
      <c r="H260" s="394" t="s">
        <v>1440</v>
      </c>
      <c r="I260" s="333"/>
      <c r="J260" s="332" t="s">
        <v>1441</v>
      </c>
      <c r="K260" s="90" t="s">
        <v>201</v>
      </c>
      <c r="L260" s="347"/>
      <c r="M260" s="348" t="s">
        <v>1442</v>
      </c>
      <c r="N260" s="348"/>
      <c r="O260" s="348"/>
      <c r="P260" s="503" t="s">
        <v>2911</v>
      </c>
      <c r="Q260" s="402"/>
      <c r="R260" s="406"/>
      <c r="S260" s="406"/>
      <c r="T260" s="425"/>
      <c r="U260" s="71"/>
      <c r="V260" s="435"/>
      <c r="W260" s="436"/>
      <c r="X260" s="436"/>
      <c r="Y260" s="429"/>
      <c r="Z260" s="429">
        <v>50000</v>
      </c>
      <c r="AA260" s="429">
        <v>0</v>
      </c>
      <c r="AB260" s="363" t="e">
        <v>#N/A</v>
      </c>
      <c r="AC260" s="364">
        <v>50000</v>
      </c>
      <c r="AD260" s="364"/>
      <c r="AE260" s="364">
        <v>50000</v>
      </c>
      <c r="AF260" s="364"/>
      <c r="AG260" s="364"/>
      <c r="AH260" s="360" t="e">
        <f t="shared" si="14"/>
        <v>#N/A</v>
      </c>
      <c r="AI260" s="362" t="e">
        <f>ERP[[#This Row],[2026 Working Total]]-ERP[[#This Row],[LE2 Final Submission]]</f>
        <v>#N/A</v>
      </c>
      <c r="AJ260" s="79" t="e">
        <v>#N/A</v>
      </c>
      <c r="AK260" s="79" t="e">
        <f t="shared" si="13"/>
        <v>#N/A</v>
      </c>
      <c r="AL260" s="374">
        <f>SUM(ERP[[#This Row],[AP01]:[AP06]])-SUM(ERP[[#This Row],[AP01 LE2]:[AP06 LE2]])</f>
        <v>50000</v>
      </c>
      <c r="AM260" s="80"/>
      <c r="AN260" s="79" t="e">
        <f>ERP[[#This Row],[2026 Working Total to Budget/LE]]-ERP[[#This Row],[Giveback]]</f>
        <v>#N/A</v>
      </c>
      <c r="AO260" s="81"/>
      <c r="AP260" s="375"/>
      <c r="AQ260" s="375"/>
      <c r="AR260" s="375"/>
      <c r="AS260" s="375"/>
      <c r="AT260" s="375"/>
      <c r="AU260" s="375"/>
      <c r="AV260" s="375"/>
      <c r="AW260" s="375"/>
      <c r="AX260" s="375"/>
      <c r="AY260" s="375"/>
      <c r="AZ260" s="375"/>
      <c r="BA260" s="375"/>
      <c r="BB260" s="375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</row>
    <row r="261" spans="1:67" ht="15" customHeight="1">
      <c r="A261" s="66" t="s">
        <v>2016</v>
      </c>
      <c r="B261" s="66" t="s">
        <v>527</v>
      </c>
      <c r="C261" s="150" t="s">
        <v>1136</v>
      </c>
      <c r="D261" s="150" t="s">
        <v>1345</v>
      </c>
      <c r="E261" s="150" t="s">
        <v>1345</v>
      </c>
      <c r="F261" s="150" t="s">
        <v>1346</v>
      </c>
      <c r="G261" s="511" t="s">
        <v>389</v>
      </c>
      <c r="H261" s="392" t="s">
        <v>1492</v>
      </c>
      <c r="I261" s="343"/>
      <c r="J261" s="343"/>
      <c r="K261" s="70" t="s">
        <v>201</v>
      </c>
      <c r="L261" s="346"/>
      <c r="M261" s="343"/>
      <c r="N261" s="346"/>
      <c r="O261" s="150" t="s">
        <v>232</v>
      </c>
      <c r="P261" s="503" t="s">
        <v>2911</v>
      </c>
      <c r="Q261" s="403"/>
      <c r="R261" s="406">
        <v>0</v>
      </c>
      <c r="S261" s="406">
        <v>200000</v>
      </c>
      <c r="T261" s="430"/>
      <c r="U261" s="137"/>
      <c r="V261" s="426"/>
      <c r="W261" s="427"/>
      <c r="X261" s="427">
        <v>50000</v>
      </c>
      <c r="Y261" s="428">
        <v>0</v>
      </c>
      <c r="Z261" s="429">
        <v>0</v>
      </c>
      <c r="AA261" s="429">
        <v>0</v>
      </c>
      <c r="AB261" s="363" t="e">
        <v>#N/A</v>
      </c>
      <c r="AC261" s="363">
        <v>0</v>
      </c>
      <c r="AD261" s="360">
        <v>0</v>
      </c>
      <c r="AE261" s="363">
        <v>0</v>
      </c>
      <c r="AF261" s="360">
        <v>0</v>
      </c>
      <c r="AG261" s="360">
        <v>0</v>
      </c>
      <c r="AH261" s="360" t="e">
        <f t="shared" si="14"/>
        <v>#N/A</v>
      </c>
      <c r="AI261" s="362" t="e">
        <f>ERP[[#This Row],[2026 Working Total]]-ERP[[#This Row],[LE2 Final Submission]]</f>
        <v>#N/A</v>
      </c>
      <c r="AJ261" s="79" t="e">
        <v>#N/A</v>
      </c>
      <c r="AK261" s="79" t="e">
        <f t="shared" si="13"/>
        <v>#N/A</v>
      </c>
      <c r="AL261" s="374">
        <f>SUM(ERP[[#This Row],[AP01]:[AP06]])-SUM(ERP[[#This Row],[AP01 LE2]:[AP06 LE2]])</f>
        <v>-50000</v>
      </c>
      <c r="AM261" s="80"/>
      <c r="AN261" s="79" t="e">
        <f>ERP[[#This Row],[2026 Working Total to Budget/LE]]-ERP[[#This Row],[Giveback]]</f>
        <v>#N/A</v>
      </c>
      <c r="AO261" s="81"/>
      <c r="AP261" s="375"/>
      <c r="AQ261" s="375"/>
      <c r="AR261" s="375">
        <v>50000</v>
      </c>
      <c r="AS261" s="375">
        <v>0</v>
      </c>
      <c r="AT261" s="375">
        <v>50000</v>
      </c>
      <c r="AU261" s="375">
        <v>0</v>
      </c>
      <c r="AV261" s="375">
        <v>0</v>
      </c>
      <c r="AW261" s="375">
        <v>50000</v>
      </c>
      <c r="AX261" s="375">
        <v>0</v>
      </c>
      <c r="AY261" s="375">
        <v>50000</v>
      </c>
      <c r="AZ261" s="375">
        <v>0</v>
      </c>
      <c r="BA261" s="375">
        <v>0</v>
      </c>
      <c r="BB261" s="375">
        <v>200000</v>
      </c>
      <c r="BC261" s="79"/>
      <c r="BD261" s="79"/>
      <c r="BE261" s="79">
        <v>50000</v>
      </c>
      <c r="BF261" s="79">
        <v>0</v>
      </c>
      <c r="BG261" s="79">
        <v>0</v>
      </c>
      <c r="BH261" s="79">
        <v>0</v>
      </c>
      <c r="BI261" s="79">
        <v>0</v>
      </c>
      <c r="BJ261" s="79">
        <v>0</v>
      </c>
      <c r="BK261" s="79">
        <v>0</v>
      </c>
      <c r="BL261" s="79">
        <v>0</v>
      </c>
      <c r="BM261" s="79">
        <v>0</v>
      </c>
      <c r="BN261" s="79">
        <v>0</v>
      </c>
      <c r="BO261" s="79">
        <v>50000</v>
      </c>
    </row>
    <row r="262" spans="1:67" ht="15" customHeight="1">
      <c r="A262" s="66" t="s">
        <v>1491</v>
      </c>
      <c r="B262" s="66" t="s">
        <v>231</v>
      </c>
      <c r="C262" s="150" t="s">
        <v>1136</v>
      </c>
      <c r="D262" s="150" t="s">
        <v>1345</v>
      </c>
      <c r="E262" s="150" t="s">
        <v>1480</v>
      </c>
      <c r="F262" s="150" t="s">
        <v>1346</v>
      </c>
      <c r="G262" s="511" t="s">
        <v>49</v>
      </c>
      <c r="H262" s="392" t="s">
        <v>1492</v>
      </c>
      <c r="I262" s="343"/>
      <c r="J262" s="343"/>
      <c r="K262" s="70" t="s">
        <v>201</v>
      </c>
      <c r="L262" s="346"/>
      <c r="M262" s="343"/>
      <c r="N262" s="346"/>
      <c r="O262" s="150" t="s">
        <v>232</v>
      </c>
      <c r="P262" s="150" t="s">
        <v>1494</v>
      </c>
      <c r="Q262" s="404"/>
      <c r="R262" s="407">
        <v>0</v>
      </c>
      <c r="S262" s="407">
        <v>0</v>
      </c>
      <c r="T262" s="430"/>
      <c r="U262" s="137"/>
      <c r="V262" s="426">
        <v>50000</v>
      </c>
      <c r="W262" s="431">
        <v>0</v>
      </c>
      <c r="X262" s="427">
        <v>-50000</v>
      </c>
      <c r="Y262" s="428">
        <v>50000</v>
      </c>
      <c r="Z262" s="429">
        <v>-50000</v>
      </c>
      <c r="AA262" s="429">
        <v>0</v>
      </c>
      <c r="AB262" s="363" t="e">
        <v>#N/A</v>
      </c>
      <c r="AC262" s="363"/>
      <c r="AD262" s="363"/>
      <c r="AE262" s="363"/>
      <c r="AF262" s="363"/>
      <c r="AG262" s="363"/>
      <c r="AH262" s="360" t="e">
        <f t="shared" si="14"/>
        <v>#N/A</v>
      </c>
      <c r="AI262" s="362" t="e">
        <f>ERP[[#This Row],[2026 Working Total]]-ERP[[#This Row],[LE2 Final Submission]]</f>
        <v>#N/A</v>
      </c>
      <c r="AJ262" s="79"/>
      <c r="AK262" s="79">
        <f t="shared" si="13"/>
        <v>0</v>
      </c>
      <c r="AL262" s="374">
        <f>SUM(ERP[[#This Row],[AP01]:[AP06]])-SUM(ERP[[#This Row],[AP01 LE2]:[AP06 LE2]])</f>
        <v>0</v>
      </c>
      <c r="AM262" s="80"/>
      <c r="AN262" s="79" t="e">
        <f>ERP[[#This Row],[2026 Working Total to Budget/LE]]-ERP[[#This Row],[Giveback]]</f>
        <v>#N/A</v>
      </c>
      <c r="AO262" s="81"/>
      <c r="AP262" s="375">
        <v>50000</v>
      </c>
      <c r="AQ262" s="375">
        <v>0</v>
      </c>
      <c r="AR262" s="375">
        <v>-50000</v>
      </c>
      <c r="AS262" s="375">
        <v>50000</v>
      </c>
      <c r="AT262" s="375">
        <v>-50000</v>
      </c>
      <c r="AU262" s="375"/>
      <c r="AV262" s="375"/>
      <c r="AW262" s="375"/>
      <c r="AX262" s="375"/>
      <c r="AY262" s="375"/>
      <c r="AZ262" s="375"/>
      <c r="BA262" s="375"/>
      <c r="BB262" s="375">
        <v>0</v>
      </c>
      <c r="BC262" s="79">
        <v>50000</v>
      </c>
      <c r="BD262" s="79">
        <v>0</v>
      </c>
      <c r="BE262" s="79">
        <v>-50000</v>
      </c>
      <c r="BF262" s="79"/>
      <c r="BG262" s="79"/>
      <c r="BH262" s="79"/>
      <c r="BI262" s="79"/>
      <c r="BJ262" s="79"/>
      <c r="BK262" s="79"/>
      <c r="BL262" s="79"/>
      <c r="BM262" s="79"/>
      <c r="BN262" s="79"/>
      <c r="BO262" s="79">
        <v>0</v>
      </c>
    </row>
    <row r="263" spans="1:67" ht="15" customHeight="1">
      <c r="A263" s="66" t="s">
        <v>2056</v>
      </c>
      <c r="B263" s="66" t="s">
        <v>551</v>
      </c>
      <c r="C263" s="150" t="s">
        <v>1136</v>
      </c>
      <c r="D263" s="150" t="s">
        <v>1345</v>
      </c>
      <c r="E263" s="150" t="s">
        <v>1480</v>
      </c>
      <c r="F263" s="150" t="s">
        <v>1346</v>
      </c>
      <c r="G263" s="511" t="s">
        <v>389</v>
      </c>
      <c r="H263" s="392" t="s">
        <v>1492</v>
      </c>
      <c r="I263" s="343"/>
      <c r="J263" s="343"/>
      <c r="K263" s="70" t="s">
        <v>201</v>
      </c>
      <c r="L263" s="346"/>
      <c r="M263" s="343"/>
      <c r="N263" s="346"/>
      <c r="O263" s="150" t="s">
        <v>232</v>
      </c>
      <c r="P263" s="150" t="s">
        <v>2057</v>
      </c>
      <c r="Q263" s="403"/>
      <c r="R263" s="406">
        <v>200000</v>
      </c>
      <c r="S263" s="406">
        <v>0</v>
      </c>
      <c r="T263" s="430"/>
      <c r="U263" s="137"/>
      <c r="V263" s="426"/>
      <c r="W263" s="427"/>
      <c r="X263" s="427"/>
      <c r="Y263" s="428" t="s">
        <v>1142</v>
      </c>
      <c r="Z263" s="429">
        <v>0</v>
      </c>
      <c r="AA263" s="429">
        <v>0</v>
      </c>
      <c r="AB263" s="363" t="e">
        <v>#N/A</v>
      </c>
      <c r="AC263" s="363">
        <v>0</v>
      </c>
      <c r="AD263" s="360">
        <v>0</v>
      </c>
      <c r="AE263" s="363">
        <v>0</v>
      </c>
      <c r="AF263" s="360">
        <v>0</v>
      </c>
      <c r="AG263" s="360">
        <v>0</v>
      </c>
      <c r="AH263" s="360" t="e">
        <f t="shared" si="14"/>
        <v>#N/A</v>
      </c>
      <c r="AI263" s="362" t="e">
        <f>ERP[[#This Row],[2026 Working Total]]-ERP[[#This Row],[LE2 Final Submission]]</f>
        <v>#N/A</v>
      </c>
      <c r="AJ263" s="79">
        <v>0</v>
      </c>
      <c r="AK263" s="79">
        <f t="shared" si="13"/>
        <v>0</v>
      </c>
      <c r="AL263" s="374">
        <f>SUM(ERP[[#This Row],[AP01]:[AP06]])-SUM(ERP[[#This Row],[AP01 LE2]:[AP06 LE2]])</f>
        <v>0</v>
      </c>
      <c r="AM263" s="80"/>
      <c r="AN263" s="79" t="e">
        <f>ERP[[#This Row],[2026 Working Total to Budget/LE]]-ERP[[#This Row],[Giveback]]</f>
        <v>#N/A</v>
      </c>
      <c r="AO263" s="81"/>
      <c r="AP263" s="375"/>
      <c r="AQ263" s="375"/>
      <c r="AR263" s="375"/>
      <c r="AS263" s="375"/>
      <c r="AT263" s="375">
        <v>0</v>
      </c>
      <c r="AU263" s="375">
        <v>0</v>
      </c>
      <c r="AV263" s="375">
        <v>0</v>
      </c>
      <c r="AW263" s="375">
        <v>0</v>
      </c>
      <c r="AX263" s="375">
        <v>0</v>
      </c>
      <c r="AY263" s="375">
        <v>0</v>
      </c>
      <c r="AZ263" s="375">
        <v>0</v>
      </c>
      <c r="BA263" s="375">
        <v>0</v>
      </c>
      <c r="BB263" s="375">
        <v>0</v>
      </c>
      <c r="BC263" s="79"/>
      <c r="BD263" s="79"/>
      <c r="BE263" s="79"/>
      <c r="BF263" s="79"/>
      <c r="BG263" s="79">
        <v>50000</v>
      </c>
      <c r="BH263" s="79">
        <v>0</v>
      </c>
      <c r="BI263" s="79">
        <v>0</v>
      </c>
      <c r="BJ263" s="79">
        <v>50000</v>
      </c>
      <c r="BK263" s="79">
        <v>0</v>
      </c>
      <c r="BL263" s="79">
        <v>50000</v>
      </c>
      <c r="BM263" s="79">
        <v>0</v>
      </c>
      <c r="BN263" s="79">
        <v>0</v>
      </c>
      <c r="BO263" s="79">
        <v>150000</v>
      </c>
    </row>
    <row r="264" spans="1:67" ht="15" customHeight="1">
      <c r="A264" s="66" t="s">
        <v>1829</v>
      </c>
      <c r="B264" s="66" t="s">
        <v>1830</v>
      </c>
      <c r="C264" s="150" t="s">
        <v>1136</v>
      </c>
      <c r="D264" s="150" t="s">
        <v>1135</v>
      </c>
      <c r="E264" s="150" t="s">
        <v>1165</v>
      </c>
      <c r="F264" s="150" t="s">
        <v>1137</v>
      </c>
      <c r="G264" s="511" t="s">
        <v>389</v>
      </c>
      <c r="H264" s="392" t="s">
        <v>1831</v>
      </c>
      <c r="I264" s="343" t="s">
        <v>1832</v>
      </c>
      <c r="J264" s="343">
        <v>2430238</v>
      </c>
      <c r="K264" s="70" t="s">
        <v>124</v>
      </c>
      <c r="L264" s="346"/>
      <c r="M264" s="343">
        <v>9501133449</v>
      </c>
      <c r="N264" s="346"/>
      <c r="O264" s="150" t="s">
        <v>434</v>
      </c>
      <c r="P264" s="150"/>
      <c r="Q264" s="403"/>
      <c r="R264" s="406">
        <v>141887.51999999996</v>
      </c>
      <c r="S264" s="406">
        <v>62335.31</v>
      </c>
      <c r="T264" s="425"/>
      <c r="U264" s="71"/>
      <c r="V264" s="426">
        <v>11347.01</v>
      </c>
      <c r="W264" s="427">
        <v>7087.77</v>
      </c>
      <c r="X264" s="427">
        <v>10590.53</v>
      </c>
      <c r="Y264" s="428">
        <v>13238.160000000002</v>
      </c>
      <c r="Z264" s="429">
        <v>10590.539999999999</v>
      </c>
      <c r="AA264" s="429">
        <v>10590.54</v>
      </c>
      <c r="AB264" s="363" t="e">
        <v>#N/A</v>
      </c>
      <c r="AC264" s="364"/>
      <c r="AD264" s="364"/>
      <c r="AE264" s="364"/>
      <c r="AF264" s="364"/>
      <c r="AG264" s="364"/>
      <c r="AH264" s="360" t="e">
        <f t="shared" si="14"/>
        <v>#N/A</v>
      </c>
      <c r="AI264" s="362" t="e">
        <f>ERP[[#This Row],[2026 Working Total]]-ERP[[#This Row],[LE2 Final Submission]]</f>
        <v>#N/A</v>
      </c>
      <c r="AJ264" s="79"/>
      <c r="AK264" s="79">
        <f t="shared" ref="AK264:AK327" si="17">$AA264 - $AJ264</f>
        <v>10590.54</v>
      </c>
      <c r="AL264" s="374">
        <f>SUM(ERP[[#This Row],[AP01]:[AP06]])-SUM(ERP[[#This Row],[AP01 LE2]:[AP06 LE2]])</f>
        <v>1109.2400000000052</v>
      </c>
      <c r="AM264" s="80"/>
      <c r="AN264" s="79" t="e">
        <f>ERP[[#This Row],[2026 Working Total to Budget/LE]]-ERP[[#This Row],[Giveback]]</f>
        <v>#N/A</v>
      </c>
      <c r="AO264" s="81"/>
      <c r="AP264" s="375">
        <v>11347.01</v>
      </c>
      <c r="AQ264" s="375">
        <v>7087.77</v>
      </c>
      <c r="AR264" s="375">
        <v>10590.53</v>
      </c>
      <c r="AS264" s="375">
        <v>10590</v>
      </c>
      <c r="AT264" s="375">
        <v>12130</v>
      </c>
      <c r="AU264" s="375">
        <v>10590</v>
      </c>
      <c r="AV264" s="375"/>
      <c r="AW264" s="375"/>
      <c r="AX264" s="375"/>
      <c r="AY264" s="375"/>
      <c r="AZ264" s="375"/>
      <c r="BA264" s="375"/>
      <c r="BB264" s="375">
        <v>62335.31</v>
      </c>
      <c r="BC264" s="79">
        <v>11347.01</v>
      </c>
      <c r="BD264" s="79">
        <v>7087.77</v>
      </c>
      <c r="BE264" s="79">
        <v>10590.53</v>
      </c>
      <c r="BF264" s="79">
        <v>11157</v>
      </c>
      <c r="BG264" s="79">
        <v>11157</v>
      </c>
      <c r="BH264" s="79">
        <v>11157</v>
      </c>
      <c r="BI264" s="79">
        <v>11157</v>
      </c>
      <c r="BJ264" s="79">
        <v>11157</v>
      </c>
      <c r="BK264" s="79">
        <v>11157</v>
      </c>
      <c r="BL264" s="79">
        <v>11157</v>
      </c>
      <c r="BM264" s="79">
        <v>11157</v>
      </c>
      <c r="BN264" s="79">
        <v>11157</v>
      </c>
      <c r="BO264" s="79">
        <v>129438.31</v>
      </c>
    </row>
    <row r="265" spans="1:67" ht="15" customHeight="1">
      <c r="A265" s="66" t="s">
        <v>1285</v>
      </c>
      <c r="B265" s="66" t="s">
        <v>1286</v>
      </c>
      <c r="C265" s="150" t="s">
        <v>1136</v>
      </c>
      <c r="D265" s="150" t="s">
        <v>1135</v>
      </c>
      <c r="E265" s="150" t="s">
        <v>1145</v>
      </c>
      <c r="F265" s="150" t="s">
        <v>1137</v>
      </c>
      <c r="G265" s="511" t="s">
        <v>49</v>
      </c>
      <c r="H265" s="392" t="s">
        <v>1287</v>
      </c>
      <c r="I265" s="343"/>
      <c r="J265" s="343"/>
      <c r="K265" s="157" t="s">
        <v>126</v>
      </c>
      <c r="L265" s="346"/>
      <c r="M265" s="343"/>
      <c r="N265" s="346"/>
      <c r="O265" s="150" t="s">
        <v>127</v>
      </c>
      <c r="P265" s="150"/>
      <c r="Q265" s="403"/>
      <c r="R265" s="406">
        <v>115200</v>
      </c>
      <c r="S265" s="406">
        <v>89600</v>
      </c>
      <c r="T265" s="425"/>
      <c r="U265" s="71"/>
      <c r="V265" s="426"/>
      <c r="W265" s="427"/>
      <c r="X265" s="427"/>
      <c r="Y265" s="428">
        <v>0</v>
      </c>
      <c r="Z265" s="429">
        <v>0</v>
      </c>
      <c r="AA265" s="429">
        <v>0</v>
      </c>
      <c r="AB265" s="363" t="e">
        <v>#N/A</v>
      </c>
      <c r="AC265" s="363">
        <f>12800+3600</f>
        <v>16400</v>
      </c>
      <c r="AD265" s="363">
        <v>12800</v>
      </c>
      <c r="AE265" s="363">
        <v>12800</v>
      </c>
      <c r="AF265" s="363">
        <v>12800</v>
      </c>
      <c r="AG265" s="363">
        <v>12800</v>
      </c>
      <c r="AH265" s="360" t="e">
        <f t="shared" si="14"/>
        <v>#N/A</v>
      </c>
      <c r="AI265" s="362" t="e">
        <f>ERP[[#This Row],[2026 Working Total]]-ERP[[#This Row],[LE2 Final Submission]]</f>
        <v>#N/A</v>
      </c>
      <c r="AJ265" s="79">
        <v>16400</v>
      </c>
      <c r="AK265" s="79">
        <f t="shared" si="17"/>
        <v>-16400</v>
      </c>
      <c r="AL265" s="374">
        <f>SUM(ERP[[#This Row],[AP01]:[AP06]])-SUM(ERP[[#This Row],[AP01 LE2]:[AP06 LE2]])</f>
        <v>-12800</v>
      </c>
      <c r="AM265" s="80"/>
      <c r="AN265" s="79" t="e">
        <f>ERP[[#This Row],[2026 Working Total to Budget/LE]]-ERP[[#This Row],[Giveback]]</f>
        <v>#N/A</v>
      </c>
      <c r="AO265" s="81"/>
      <c r="AP265" s="375"/>
      <c r="AQ265" s="375"/>
      <c r="AR265" s="375"/>
      <c r="AS265" s="375">
        <v>0</v>
      </c>
      <c r="AT265" s="375">
        <v>0</v>
      </c>
      <c r="AU265" s="375">
        <v>12800</v>
      </c>
      <c r="AV265" s="375">
        <v>12800</v>
      </c>
      <c r="AW265" s="375">
        <v>12800</v>
      </c>
      <c r="AX265" s="375">
        <v>12800</v>
      </c>
      <c r="AY265" s="375">
        <v>12800</v>
      </c>
      <c r="AZ265" s="375">
        <v>12800</v>
      </c>
      <c r="BA265" s="375">
        <v>12800</v>
      </c>
      <c r="BB265" s="375">
        <v>89600</v>
      </c>
      <c r="BC265" s="79"/>
      <c r="BD265" s="79"/>
      <c r="BE265" s="79"/>
      <c r="BF265" s="79">
        <v>12800</v>
      </c>
      <c r="BG265" s="79">
        <v>12800</v>
      </c>
      <c r="BH265" s="79">
        <v>12800</v>
      </c>
      <c r="BI265" s="79">
        <v>12800</v>
      </c>
      <c r="BJ265" s="79">
        <v>12800</v>
      </c>
      <c r="BK265" s="79">
        <v>12800</v>
      </c>
      <c r="BL265" s="79">
        <v>12800</v>
      </c>
      <c r="BM265" s="79">
        <v>12800</v>
      </c>
      <c r="BN265" s="79">
        <v>12800</v>
      </c>
      <c r="BO265" s="79">
        <v>115200</v>
      </c>
    </row>
    <row r="266" spans="1:67" ht="15" customHeight="1">
      <c r="A266" s="66" t="s">
        <v>1833</v>
      </c>
      <c r="B266" s="66" t="s">
        <v>1834</v>
      </c>
      <c r="C266" s="150" t="s">
        <v>1136</v>
      </c>
      <c r="D266" s="150" t="s">
        <v>1135</v>
      </c>
      <c r="E266" s="150" t="s">
        <v>1156</v>
      </c>
      <c r="F266" s="150" t="s">
        <v>1137</v>
      </c>
      <c r="G266" s="511" t="s">
        <v>389</v>
      </c>
      <c r="H266" s="392" t="s">
        <v>1835</v>
      </c>
      <c r="I266" s="343"/>
      <c r="J266" s="343"/>
      <c r="K266" s="70" t="s">
        <v>436</v>
      </c>
      <c r="L266" s="346"/>
      <c r="M266" s="343"/>
      <c r="N266" s="346"/>
      <c r="O266" s="150" t="s">
        <v>57</v>
      </c>
      <c r="P266" s="150" t="s">
        <v>2912</v>
      </c>
      <c r="Q266" s="403"/>
      <c r="R266" s="406">
        <v>4558</v>
      </c>
      <c r="S266" s="406">
        <v>3418.5099999999998</v>
      </c>
      <c r="T266" s="425"/>
      <c r="U266" s="71"/>
      <c r="V266" s="426"/>
      <c r="W266" s="427"/>
      <c r="X266" s="427"/>
      <c r="Y266" s="428" t="s">
        <v>1142</v>
      </c>
      <c r="Z266" s="429">
        <v>0</v>
      </c>
      <c r="AA266" s="429">
        <v>0</v>
      </c>
      <c r="AB266" s="363" t="e">
        <v>#N/A</v>
      </c>
      <c r="AC266" s="363">
        <v>379.83</v>
      </c>
      <c r="AD266" s="363">
        <v>379.83</v>
      </c>
      <c r="AE266" s="363">
        <v>379.83</v>
      </c>
      <c r="AF266" s="363">
        <v>379.83</v>
      </c>
      <c r="AG266" s="363">
        <v>379.87</v>
      </c>
      <c r="AH266" s="360" t="e">
        <f t="shared" si="14"/>
        <v>#N/A</v>
      </c>
      <c r="AI266" s="362" t="e">
        <f>ERP[[#This Row],[2026 Working Total]]-ERP[[#This Row],[LE2 Final Submission]]</f>
        <v>#N/A</v>
      </c>
      <c r="AJ266" s="79">
        <v>379.83</v>
      </c>
      <c r="AK266" s="79">
        <f t="shared" si="17"/>
        <v>-379.83</v>
      </c>
      <c r="AL266" s="374">
        <f>SUM(ERP[[#This Row],[AP01]:[AP06]])-SUM(ERP[[#This Row],[AP01 LE2]:[AP06 LE2]])</f>
        <v>-1139.49</v>
      </c>
      <c r="AM266" s="80"/>
      <c r="AN266" s="79" t="e">
        <f>ERP[[#This Row],[2026 Working Total to Budget/LE]]-ERP[[#This Row],[Giveback]]</f>
        <v>#N/A</v>
      </c>
      <c r="AO266" s="81"/>
      <c r="AP266" s="375"/>
      <c r="AQ266" s="375"/>
      <c r="AR266" s="375"/>
      <c r="AS266" s="375">
        <v>379.83</v>
      </c>
      <c r="AT266" s="375">
        <v>379.83</v>
      </c>
      <c r="AU266" s="375">
        <v>379.83</v>
      </c>
      <c r="AV266" s="375">
        <v>379.83</v>
      </c>
      <c r="AW266" s="375">
        <v>379.83</v>
      </c>
      <c r="AX266" s="375">
        <v>379.83</v>
      </c>
      <c r="AY266" s="375">
        <v>379.83</v>
      </c>
      <c r="AZ266" s="375">
        <v>379.83</v>
      </c>
      <c r="BA266" s="375">
        <v>379.87</v>
      </c>
      <c r="BB266" s="375">
        <v>3418.5099999999998</v>
      </c>
      <c r="BC266" s="79"/>
      <c r="BD266" s="79"/>
      <c r="BE266" s="79"/>
      <c r="BF266" s="79">
        <v>379.83</v>
      </c>
      <c r="BG266" s="79">
        <v>379.83</v>
      </c>
      <c r="BH266" s="79">
        <v>379.83</v>
      </c>
      <c r="BI266" s="79">
        <v>379.83</v>
      </c>
      <c r="BJ266" s="79">
        <v>379.83</v>
      </c>
      <c r="BK266" s="79">
        <v>379.83</v>
      </c>
      <c r="BL266" s="79">
        <v>379.83</v>
      </c>
      <c r="BM266" s="79">
        <v>379.83</v>
      </c>
      <c r="BN266" s="79">
        <v>379.87</v>
      </c>
      <c r="BO266" s="79">
        <v>3418.5099999999998</v>
      </c>
    </row>
    <row r="267" spans="1:67" ht="15" customHeight="1">
      <c r="A267" s="66" t="s">
        <v>1837</v>
      </c>
      <c r="B267" s="66" t="s">
        <v>1838</v>
      </c>
      <c r="C267" s="150" t="s">
        <v>1136</v>
      </c>
      <c r="D267" s="150" t="s">
        <v>1135</v>
      </c>
      <c r="E267" s="150" t="s">
        <v>1165</v>
      </c>
      <c r="F267" s="150" t="s">
        <v>1137</v>
      </c>
      <c r="G267" s="511" t="s">
        <v>389</v>
      </c>
      <c r="H267" s="392" t="s">
        <v>1835</v>
      </c>
      <c r="I267" s="343"/>
      <c r="J267" s="343"/>
      <c r="K267" s="70" t="s">
        <v>436</v>
      </c>
      <c r="L267" s="346"/>
      <c r="M267" s="343"/>
      <c r="N267" s="346"/>
      <c r="O267" s="150" t="s">
        <v>57</v>
      </c>
      <c r="P267" s="150" t="s">
        <v>2912</v>
      </c>
      <c r="Q267" s="403"/>
      <c r="R267" s="406">
        <v>0</v>
      </c>
      <c r="S267" s="406">
        <v>1351.1499999999999</v>
      </c>
      <c r="T267" s="425"/>
      <c r="U267" s="71"/>
      <c r="V267" s="426">
        <v>696.35</v>
      </c>
      <c r="W267" s="427">
        <v>599.02</v>
      </c>
      <c r="X267" s="427">
        <v>55.78</v>
      </c>
      <c r="Y267" s="428">
        <v>27.89</v>
      </c>
      <c r="Z267" s="429">
        <v>596.58999999999992</v>
      </c>
      <c r="AA267" s="429">
        <v>549.04999999999995</v>
      </c>
      <c r="AB267" s="363" t="e">
        <v>#N/A</v>
      </c>
      <c r="AC267" s="363">
        <v>0</v>
      </c>
      <c r="AD267" s="363">
        <v>0</v>
      </c>
      <c r="AE267" s="363">
        <v>0</v>
      </c>
      <c r="AF267" s="363">
        <v>0</v>
      </c>
      <c r="AG267" s="363">
        <v>0</v>
      </c>
      <c r="AH267" s="360" t="e">
        <f t="shared" si="14"/>
        <v>#N/A</v>
      </c>
      <c r="AI267" s="362" t="e">
        <f>ERP[[#This Row],[2026 Working Total]]-ERP[[#This Row],[LE2 Final Submission]]</f>
        <v>#N/A</v>
      </c>
      <c r="AJ267" s="79">
        <v>0</v>
      </c>
      <c r="AK267" s="79">
        <f t="shared" si="17"/>
        <v>549.04999999999995</v>
      </c>
      <c r="AL267" s="374">
        <f>SUM(ERP[[#This Row],[AP01]:[AP06]])-SUM(ERP[[#This Row],[AP01 LE2]:[AP06 LE2]])</f>
        <v>1173.53</v>
      </c>
      <c r="AM267" s="80"/>
      <c r="AN267" s="79" t="e">
        <f>ERP[[#This Row],[2026 Working Total to Budget/LE]]-ERP[[#This Row],[Giveback]]</f>
        <v>#N/A</v>
      </c>
      <c r="AO267" s="81"/>
      <c r="AP267" s="375">
        <v>696.35</v>
      </c>
      <c r="AQ267" s="375">
        <v>599.02</v>
      </c>
      <c r="AR267" s="375">
        <v>55.78</v>
      </c>
      <c r="AS267" s="375">
        <v>0</v>
      </c>
      <c r="AT267" s="375">
        <v>0</v>
      </c>
      <c r="AU267" s="375">
        <v>0</v>
      </c>
      <c r="AV267" s="375">
        <v>0</v>
      </c>
      <c r="AW267" s="375">
        <v>0</v>
      </c>
      <c r="AX267" s="375">
        <v>0</v>
      </c>
      <c r="AY267" s="375">
        <v>0</v>
      </c>
      <c r="AZ267" s="375">
        <v>0</v>
      </c>
      <c r="BA267" s="375">
        <v>0</v>
      </c>
      <c r="BB267" s="375">
        <v>1351.1499999999999</v>
      </c>
      <c r="BC267" s="79">
        <v>696.35</v>
      </c>
      <c r="BD267" s="79">
        <v>599.02</v>
      </c>
      <c r="BE267" s="79">
        <v>55.78</v>
      </c>
      <c r="BF267" s="79">
        <v>600</v>
      </c>
      <c r="BG267" s="79">
        <v>600</v>
      </c>
      <c r="BH267" s="79">
        <v>600</v>
      </c>
      <c r="BI267" s="79">
        <v>600</v>
      </c>
      <c r="BJ267" s="79">
        <v>600</v>
      </c>
      <c r="BK267" s="79">
        <v>600</v>
      </c>
      <c r="BL267" s="79">
        <v>600</v>
      </c>
      <c r="BM267" s="79">
        <v>600</v>
      </c>
      <c r="BN267" s="79">
        <v>600</v>
      </c>
      <c r="BO267" s="79">
        <v>6751.15</v>
      </c>
    </row>
    <row r="268" spans="1:67" ht="15" customHeight="1">
      <c r="A268" s="66" t="s">
        <v>1466</v>
      </c>
      <c r="B268" s="66" t="s">
        <v>215</v>
      </c>
      <c r="C268" s="150" t="s">
        <v>1136</v>
      </c>
      <c r="D268" s="150" t="s">
        <v>1345</v>
      </c>
      <c r="E268" s="150" t="s">
        <v>1450</v>
      </c>
      <c r="F268" s="150" t="s">
        <v>1346</v>
      </c>
      <c r="G268" s="511" t="s">
        <v>49</v>
      </c>
      <c r="H268" s="392" t="s">
        <v>1467</v>
      </c>
      <c r="I268" s="343"/>
      <c r="J268" s="343"/>
      <c r="K268" s="70" t="s">
        <v>216</v>
      </c>
      <c r="L268" s="346"/>
      <c r="M268" s="343"/>
      <c r="N268" s="346"/>
      <c r="O268" s="150" t="s">
        <v>217</v>
      </c>
      <c r="P268" s="150"/>
      <c r="Q268" s="403"/>
      <c r="R268" s="406">
        <v>6000</v>
      </c>
      <c r="S268" s="406">
        <v>0</v>
      </c>
      <c r="T268" s="425"/>
      <c r="U268" s="71"/>
      <c r="V268" s="426"/>
      <c r="W268" s="427"/>
      <c r="X268" s="427"/>
      <c r="Y268" s="428">
        <v>0</v>
      </c>
      <c r="Z268" s="429">
        <v>79.41</v>
      </c>
      <c r="AA268" s="429">
        <v>0</v>
      </c>
      <c r="AB268" s="363" t="e">
        <v>#N/A</v>
      </c>
      <c r="AC268" s="363"/>
      <c r="AD268" s="363"/>
      <c r="AE268" s="363"/>
      <c r="AF268" s="363"/>
      <c r="AG268" s="363"/>
      <c r="AH268" s="360" t="e">
        <f t="shared" ref="AH268:AH331" si="18">SUM(V268:AG268)</f>
        <v>#N/A</v>
      </c>
      <c r="AI268" s="362" t="e">
        <f>ERP[[#This Row],[2026 Working Total]]-ERP[[#This Row],[LE2 Final Submission]]</f>
        <v>#N/A</v>
      </c>
      <c r="AJ268" s="79"/>
      <c r="AK268" s="79">
        <f t="shared" si="17"/>
        <v>0</v>
      </c>
      <c r="AL268" s="374">
        <f>SUM(ERP[[#This Row],[AP01]:[AP06]])-SUM(ERP[[#This Row],[AP01 LE2]:[AP06 LE2]])</f>
        <v>79.41</v>
      </c>
      <c r="AM268" s="80"/>
      <c r="AN268" s="79" t="e">
        <f>ERP[[#This Row],[2026 Working Total to Budget/LE]]-ERP[[#This Row],[Giveback]]</f>
        <v>#N/A</v>
      </c>
      <c r="AO268" s="81" t="s">
        <v>1465</v>
      </c>
      <c r="AP268" s="375"/>
      <c r="AQ268" s="375"/>
      <c r="AR268" s="375"/>
      <c r="AS268" s="375"/>
      <c r="AT268" s="375"/>
      <c r="AU268" s="375"/>
      <c r="AV268" s="375"/>
      <c r="AW268" s="375"/>
      <c r="AX268" s="375"/>
      <c r="AY268" s="375"/>
      <c r="AZ268" s="375"/>
      <c r="BA268" s="375"/>
      <c r="BB268" s="375">
        <v>0</v>
      </c>
      <c r="BC268" s="79"/>
      <c r="BD268" s="79"/>
      <c r="BE268" s="79"/>
      <c r="BF268" s="79">
        <v>500</v>
      </c>
      <c r="BG268" s="79">
        <v>500</v>
      </c>
      <c r="BH268" s="79">
        <v>500</v>
      </c>
      <c r="BI268" s="79">
        <v>500</v>
      </c>
      <c r="BJ268" s="79">
        <v>500</v>
      </c>
      <c r="BK268" s="79">
        <v>500</v>
      </c>
      <c r="BL268" s="79">
        <v>500</v>
      </c>
      <c r="BM268" s="79">
        <v>500</v>
      </c>
      <c r="BN268" s="79">
        <v>500</v>
      </c>
      <c r="BO268" s="79">
        <v>4500</v>
      </c>
    </row>
    <row r="269" spans="1:67" ht="15" customHeight="1">
      <c r="A269" s="66" t="s">
        <v>2038</v>
      </c>
      <c r="B269" s="66" t="s">
        <v>541</v>
      </c>
      <c r="C269" s="150" t="s">
        <v>1136</v>
      </c>
      <c r="D269" s="150" t="s">
        <v>1345</v>
      </c>
      <c r="E269" s="150" t="s">
        <v>1450</v>
      </c>
      <c r="F269" s="150" t="s">
        <v>1346</v>
      </c>
      <c r="G269" s="511" t="s">
        <v>389</v>
      </c>
      <c r="H269" s="392" t="s">
        <v>1467</v>
      </c>
      <c r="I269" s="343"/>
      <c r="J269" s="343"/>
      <c r="K269" s="70" t="s">
        <v>216</v>
      </c>
      <c r="L269" s="346"/>
      <c r="M269" s="343"/>
      <c r="N269" s="346"/>
      <c r="O269" s="150" t="s">
        <v>217</v>
      </c>
      <c r="P269" s="150"/>
      <c r="Q269" s="403"/>
      <c r="R269" s="406">
        <v>0</v>
      </c>
      <c r="S269" s="406">
        <v>7906.64</v>
      </c>
      <c r="T269" s="425"/>
      <c r="U269" s="71"/>
      <c r="V269" s="426">
        <v>988.33</v>
      </c>
      <c r="W269" s="427">
        <v>988.33</v>
      </c>
      <c r="X269" s="427">
        <v>988.33</v>
      </c>
      <c r="Y269" s="428">
        <v>1792.83</v>
      </c>
      <c r="Z269" s="429">
        <v>988.32999999999993</v>
      </c>
      <c r="AA269" s="429">
        <v>10337.959999999999</v>
      </c>
      <c r="AB269" s="363" t="e">
        <v>#N/A</v>
      </c>
      <c r="AC269" s="360">
        <v>988.33</v>
      </c>
      <c r="AD269" s="360">
        <v>0</v>
      </c>
      <c r="AE269" s="360">
        <v>0</v>
      </c>
      <c r="AF269" s="360">
        <v>0</v>
      </c>
      <c r="AG269" s="360">
        <v>0</v>
      </c>
      <c r="AH269" s="360" t="e">
        <f t="shared" si="18"/>
        <v>#N/A</v>
      </c>
      <c r="AI269" s="362" t="e">
        <f>ERP[[#This Row],[2026 Working Total]]-ERP[[#This Row],[LE2 Final Submission]]</f>
        <v>#N/A</v>
      </c>
      <c r="AJ269" s="79">
        <v>988.33</v>
      </c>
      <c r="AK269" s="79">
        <f t="shared" si="17"/>
        <v>9349.6299999999992</v>
      </c>
      <c r="AL269" s="374">
        <f>SUM(ERP[[#This Row],[AP01]:[AP06]])-SUM(ERP[[#This Row],[AP01 LE2]:[AP06 LE2]])</f>
        <v>10154.129999999997</v>
      </c>
      <c r="AM269" s="80"/>
      <c r="AN269" s="79" t="e">
        <f>ERP[[#This Row],[2026 Working Total to Budget/LE]]-ERP[[#This Row],[Giveback]]</f>
        <v>#N/A</v>
      </c>
      <c r="AO269" s="81" t="s">
        <v>2037</v>
      </c>
      <c r="AP269" s="375">
        <v>988.33</v>
      </c>
      <c r="AQ269" s="375">
        <v>988.33</v>
      </c>
      <c r="AR269" s="375">
        <v>988.33</v>
      </c>
      <c r="AS269" s="375">
        <v>988.33</v>
      </c>
      <c r="AT269" s="375">
        <v>988.33</v>
      </c>
      <c r="AU269" s="375">
        <v>988.33</v>
      </c>
      <c r="AV269" s="375">
        <v>988.33</v>
      </c>
      <c r="AW269" s="375">
        <v>988.33</v>
      </c>
      <c r="AX269" s="375">
        <v>0</v>
      </c>
      <c r="AY269" s="375">
        <v>0</v>
      </c>
      <c r="AZ269" s="375">
        <v>0</v>
      </c>
      <c r="BA269" s="375">
        <v>0</v>
      </c>
      <c r="BB269" s="375">
        <v>7906.64</v>
      </c>
      <c r="BC269" s="79">
        <v>988.33</v>
      </c>
      <c r="BD269" s="79">
        <v>988.33</v>
      </c>
      <c r="BE269" s="79">
        <v>988.33</v>
      </c>
      <c r="BF269" s="79">
        <v>0</v>
      </c>
      <c r="BG269" s="79">
        <v>0</v>
      </c>
      <c r="BH269" s="79">
        <v>0</v>
      </c>
      <c r="BI269" s="79">
        <v>0</v>
      </c>
      <c r="BJ269" s="79">
        <v>0</v>
      </c>
      <c r="BK269" s="79">
        <v>0</v>
      </c>
      <c r="BL269" s="79">
        <v>0</v>
      </c>
      <c r="BM269" s="79">
        <v>0</v>
      </c>
      <c r="BN269" s="79">
        <v>0</v>
      </c>
      <c r="BO269" s="79">
        <v>2964.9900000000002</v>
      </c>
    </row>
    <row r="270" spans="1:67" ht="15" customHeight="1">
      <c r="A270" s="66" t="s">
        <v>1385</v>
      </c>
      <c r="B270" s="66" t="s">
        <v>176</v>
      </c>
      <c r="C270" s="150" t="s">
        <v>1136</v>
      </c>
      <c r="D270" s="150" t="s">
        <v>1345</v>
      </c>
      <c r="E270" s="150" t="s">
        <v>1344</v>
      </c>
      <c r="F270" s="150" t="s">
        <v>1346</v>
      </c>
      <c r="G270" s="511" t="s">
        <v>49</v>
      </c>
      <c r="H270" s="392" t="s">
        <v>1386</v>
      </c>
      <c r="I270" s="343" t="s">
        <v>1387</v>
      </c>
      <c r="J270" s="346" t="s">
        <v>1363</v>
      </c>
      <c r="K270" s="70" t="s">
        <v>177</v>
      </c>
      <c r="L270" s="346"/>
      <c r="M270" s="346" t="s">
        <v>1388</v>
      </c>
      <c r="N270" s="346"/>
      <c r="O270" s="150" t="s">
        <v>25</v>
      </c>
      <c r="P270" s="150"/>
      <c r="Q270" s="403"/>
      <c r="R270" s="406">
        <v>1452300</v>
      </c>
      <c r="S270" s="406">
        <v>963567.79</v>
      </c>
      <c r="T270" s="425"/>
      <c r="U270" s="71"/>
      <c r="V270" s="426">
        <v>48462.57</v>
      </c>
      <c r="W270" s="427">
        <v>207334.66</v>
      </c>
      <c r="X270" s="427">
        <v>98620.56</v>
      </c>
      <c r="Y270" s="428">
        <v>116861</v>
      </c>
      <c r="Z270" s="429">
        <v>28181.629999999976</v>
      </c>
      <c r="AA270" s="429">
        <v>293546.2</v>
      </c>
      <c r="AB270" s="363" t="e">
        <v>#N/A</v>
      </c>
      <c r="AC270" s="363">
        <v>70000</v>
      </c>
      <c r="AD270" s="363">
        <v>70000</v>
      </c>
      <c r="AE270" s="363">
        <v>70000</v>
      </c>
      <c r="AF270" s="363">
        <v>70000</v>
      </c>
      <c r="AG270" s="363">
        <v>54107</v>
      </c>
      <c r="AH270" s="360" t="e">
        <f t="shared" si="18"/>
        <v>#N/A</v>
      </c>
      <c r="AI270" s="362" t="e">
        <f>ERP[[#This Row],[2026 Working Total]]-ERP[[#This Row],[LE2 Final Submission]]</f>
        <v>#N/A</v>
      </c>
      <c r="AJ270" s="79">
        <v>70000</v>
      </c>
      <c r="AK270" s="79">
        <f t="shared" si="17"/>
        <v>223546.2</v>
      </c>
      <c r="AL270" s="374">
        <f>SUM(ERP[[#This Row],[AP01]:[AP06]])-SUM(ERP[[#This Row],[AP01 LE2]:[AP06 LE2]])</f>
        <v>42438.830000000075</v>
      </c>
      <c r="AM270" s="80">
        <v>488000</v>
      </c>
      <c r="AN270" s="79" t="e">
        <f>ERP[[#This Row],[2026 Working Total to Budget/LE]]-ERP[[#This Row],[Giveback]]</f>
        <v>#N/A</v>
      </c>
      <c r="AO270" s="81" t="s">
        <v>1389</v>
      </c>
      <c r="AP270" s="375">
        <v>48462.57</v>
      </c>
      <c r="AQ270" s="375">
        <v>207334.66</v>
      </c>
      <c r="AR270" s="375">
        <v>98620.56</v>
      </c>
      <c r="AS270" s="375">
        <v>132050</v>
      </c>
      <c r="AT270" s="375">
        <v>132050</v>
      </c>
      <c r="AU270" s="375">
        <v>132050</v>
      </c>
      <c r="AV270" s="375">
        <v>68000</v>
      </c>
      <c r="AW270" s="375">
        <v>29000</v>
      </c>
      <c r="AX270" s="375">
        <v>29000</v>
      </c>
      <c r="AY270" s="375">
        <v>29000</v>
      </c>
      <c r="AZ270" s="375">
        <v>29000</v>
      </c>
      <c r="BA270" s="375">
        <v>29000</v>
      </c>
      <c r="BB270" s="375">
        <v>963567.79</v>
      </c>
      <c r="BC270" s="79">
        <v>48462.57</v>
      </c>
      <c r="BD270" s="79">
        <v>207334.66</v>
      </c>
      <c r="BE270" s="79">
        <v>98620.56</v>
      </c>
      <c r="BF270" s="79">
        <v>132050</v>
      </c>
      <c r="BG270" s="79">
        <v>132050</v>
      </c>
      <c r="BH270" s="79">
        <v>132050</v>
      </c>
      <c r="BI270" s="79">
        <v>108302.77</v>
      </c>
      <c r="BJ270" s="79">
        <v>100000</v>
      </c>
      <c r="BK270" s="79">
        <v>100000</v>
      </c>
      <c r="BL270" s="79">
        <v>100000</v>
      </c>
      <c r="BM270" s="79">
        <v>100000</v>
      </c>
      <c r="BN270" s="79">
        <v>100000</v>
      </c>
      <c r="BO270" s="79">
        <v>1358870.56</v>
      </c>
    </row>
    <row r="271" spans="1:67" ht="15" customHeight="1">
      <c r="A271" s="66" t="s">
        <v>1390</v>
      </c>
      <c r="B271" s="66" t="s">
        <v>178</v>
      </c>
      <c r="C271" s="150" t="s">
        <v>1136</v>
      </c>
      <c r="D271" s="150" t="s">
        <v>1345</v>
      </c>
      <c r="E271" s="150" t="s">
        <v>1344</v>
      </c>
      <c r="F271" s="150" t="s">
        <v>1346</v>
      </c>
      <c r="G271" s="511" t="s">
        <v>49</v>
      </c>
      <c r="H271" s="392" t="s">
        <v>1391</v>
      </c>
      <c r="I271" s="343" t="s">
        <v>1387</v>
      </c>
      <c r="J271" s="346" t="s">
        <v>1363</v>
      </c>
      <c r="K271" s="70" t="s">
        <v>179</v>
      </c>
      <c r="L271" s="346"/>
      <c r="M271" s="346" t="s">
        <v>1392</v>
      </c>
      <c r="N271" s="346"/>
      <c r="O271" s="150" t="s">
        <v>25</v>
      </c>
      <c r="P271" s="150"/>
      <c r="Q271" s="403"/>
      <c r="R271" s="406">
        <v>486372.24000000005</v>
      </c>
      <c r="S271" s="406">
        <v>426376.62</v>
      </c>
      <c r="T271" s="430"/>
      <c r="U271" s="137"/>
      <c r="V271" s="426">
        <v>58570.53</v>
      </c>
      <c r="W271" s="427">
        <v>65599.81</v>
      </c>
      <c r="X271" s="427">
        <v>81999.28</v>
      </c>
      <c r="Y271" s="428">
        <v>65599.430000000008</v>
      </c>
      <c r="Z271" s="429">
        <v>65599.420000000013</v>
      </c>
      <c r="AA271" s="429">
        <v>66848.250000000015</v>
      </c>
      <c r="AB271" s="363" t="e">
        <v>#N/A</v>
      </c>
      <c r="AC271" s="363">
        <v>0</v>
      </c>
      <c r="AD271" s="360">
        <v>0</v>
      </c>
      <c r="AE271" s="360">
        <v>0</v>
      </c>
      <c r="AF271" s="360">
        <v>0</v>
      </c>
      <c r="AG271" s="360">
        <v>0</v>
      </c>
      <c r="AH271" s="360" t="e">
        <f t="shared" si="18"/>
        <v>#N/A</v>
      </c>
      <c r="AI271" s="362" t="e">
        <f>ERP[[#This Row],[2026 Working Total]]-ERP[[#This Row],[LE2 Final Submission]]</f>
        <v>#N/A</v>
      </c>
      <c r="AJ271" s="79">
        <v>11682</v>
      </c>
      <c r="AK271" s="79">
        <f t="shared" si="17"/>
        <v>55166.250000000015</v>
      </c>
      <c r="AL271" s="374">
        <f>SUM(ERP[[#This Row],[AP01]:[AP06]])-SUM(ERP[[#This Row],[AP01 LE2]:[AP06 LE2]])</f>
        <v>-12009.900000000023</v>
      </c>
      <c r="AM271" s="80">
        <v>60000</v>
      </c>
      <c r="AN271" s="79" t="e">
        <f>ERP[[#This Row],[2026 Working Total to Budget/LE]]-ERP[[#This Row],[Giveback]]</f>
        <v>#N/A</v>
      </c>
      <c r="AO271" s="81" t="s">
        <v>1393</v>
      </c>
      <c r="AP271" s="375">
        <v>58570.53</v>
      </c>
      <c r="AQ271" s="375">
        <v>65599.81</v>
      </c>
      <c r="AR271" s="375">
        <v>81999.28</v>
      </c>
      <c r="AS271" s="375">
        <v>70019</v>
      </c>
      <c r="AT271" s="375">
        <v>70019</v>
      </c>
      <c r="AU271" s="375">
        <v>70019</v>
      </c>
      <c r="AV271" s="375">
        <v>10150</v>
      </c>
      <c r="AW271" s="375">
        <v>0</v>
      </c>
      <c r="AX271" s="375">
        <v>0</v>
      </c>
      <c r="AY271" s="375">
        <v>0</v>
      </c>
      <c r="AZ271" s="375">
        <v>0</v>
      </c>
      <c r="BA271" s="375">
        <v>0</v>
      </c>
      <c r="BB271" s="375">
        <v>426376.62</v>
      </c>
      <c r="BC271" s="79">
        <v>58570.53</v>
      </c>
      <c r="BD271" s="79">
        <v>65599.81</v>
      </c>
      <c r="BE271" s="79">
        <v>81999.28</v>
      </c>
      <c r="BF271" s="79">
        <v>69224</v>
      </c>
      <c r="BG271" s="79">
        <v>69224</v>
      </c>
      <c r="BH271" s="79">
        <v>69224</v>
      </c>
      <c r="BI271" s="79">
        <v>71025</v>
      </c>
      <c r="BJ271" s="79">
        <v>15160</v>
      </c>
      <c r="BK271" s="79">
        <v>0</v>
      </c>
      <c r="BL271" s="79">
        <v>0</v>
      </c>
      <c r="BM271" s="79">
        <v>0</v>
      </c>
      <c r="BN271" s="79">
        <v>0</v>
      </c>
      <c r="BO271" s="79">
        <v>500026.62</v>
      </c>
    </row>
    <row r="272" spans="1:67" ht="15" customHeight="1">
      <c r="A272" s="66" t="s">
        <v>1394</v>
      </c>
      <c r="B272" s="66" t="s">
        <v>180</v>
      </c>
      <c r="C272" s="150" t="s">
        <v>1136</v>
      </c>
      <c r="D272" s="150" t="s">
        <v>1345</v>
      </c>
      <c r="E272" s="150" t="s">
        <v>1344</v>
      </c>
      <c r="F272" s="150" t="s">
        <v>1346</v>
      </c>
      <c r="G272" s="511" t="s">
        <v>49</v>
      </c>
      <c r="H272" s="392" t="s">
        <v>1395</v>
      </c>
      <c r="I272" s="343"/>
      <c r="J272" s="343"/>
      <c r="K272" s="70" t="s">
        <v>181</v>
      </c>
      <c r="L272" s="346"/>
      <c r="M272" s="343"/>
      <c r="N272" s="346"/>
      <c r="O272" s="150" t="s">
        <v>119</v>
      </c>
      <c r="P272" s="150"/>
      <c r="Q272" s="403"/>
      <c r="R272" s="406">
        <v>50000</v>
      </c>
      <c r="S272" s="406">
        <v>50000</v>
      </c>
      <c r="T272" s="425"/>
      <c r="U272" s="71"/>
      <c r="V272" s="426"/>
      <c r="W272" s="427"/>
      <c r="X272" s="427"/>
      <c r="Y272" s="428" t="s">
        <v>1142</v>
      </c>
      <c r="Z272" s="429">
        <v>0</v>
      </c>
      <c r="AA272" s="429">
        <v>0</v>
      </c>
      <c r="AB272" s="363" t="e">
        <v>#N/A</v>
      </c>
      <c r="AC272" s="363">
        <v>50000</v>
      </c>
      <c r="AD272" s="360">
        <v>0</v>
      </c>
      <c r="AE272" s="360">
        <v>0</v>
      </c>
      <c r="AF272" s="360">
        <v>0</v>
      </c>
      <c r="AG272" s="360">
        <v>0</v>
      </c>
      <c r="AH272" s="360" t="e">
        <f t="shared" si="18"/>
        <v>#N/A</v>
      </c>
      <c r="AI272" s="362" t="e">
        <f>ERP[[#This Row],[2026 Working Total]]-ERP[[#This Row],[LE2 Final Submission]]</f>
        <v>#N/A</v>
      </c>
      <c r="AJ272" s="79"/>
      <c r="AK272" s="79">
        <f t="shared" si="17"/>
        <v>0</v>
      </c>
      <c r="AL272" s="374">
        <f>SUM(ERP[[#This Row],[AP01]:[AP06]])-SUM(ERP[[#This Row],[AP01 LE2]:[AP06 LE2]])</f>
        <v>0</v>
      </c>
      <c r="AM272" s="80"/>
      <c r="AN272" s="79" t="e">
        <f>ERP[[#This Row],[2026 Working Total to Budget/LE]]-ERP[[#This Row],[Giveback]]</f>
        <v>#N/A</v>
      </c>
      <c r="AO272" s="81"/>
      <c r="AP272" s="375"/>
      <c r="AQ272" s="375"/>
      <c r="AR272" s="375"/>
      <c r="AS272" s="375"/>
      <c r="AT272" s="375"/>
      <c r="AU272" s="375"/>
      <c r="AV272" s="375"/>
      <c r="AW272" s="375">
        <v>50000</v>
      </c>
      <c r="AX272" s="375">
        <v>0</v>
      </c>
      <c r="AY272" s="375">
        <v>0</v>
      </c>
      <c r="AZ272" s="375">
        <v>0</v>
      </c>
      <c r="BA272" s="375">
        <v>0</v>
      </c>
      <c r="BB272" s="375">
        <v>50000</v>
      </c>
      <c r="BC272" s="79"/>
      <c r="BD272" s="79"/>
      <c r="BE272" s="79"/>
      <c r="BF272" s="79"/>
      <c r="BG272" s="79"/>
      <c r="BH272" s="79"/>
      <c r="BI272" s="79"/>
      <c r="BJ272" s="79">
        <v>50000</v>
      </c>
      <c r="BK272" s="79">
        <v>0</v>
      </c>
      <c r="BL272" s="79">
        <v>0</v>
      </c>
      <c r="BM272" s="79">
        <v>0</v>
      </c>
      <c r="BN272" s="79">
        <v>0</v>
      </c>
      <c r="BO272" s="79">
        <v>50000</v>
      </c>
    </row>
    <row r="273" spans="1:67" ht="15" customHeight="1">
      <c r="A273" s="66" t="s">
        <v>1654</v>
      </c>
      <c r="B273" s="66" t="s">
        <v>326</v>
      </c>
      <c r="C273" s="150" t="s">
        <v>1136</v>
      </c>
      <c r="D273" s="150" t="s">
        <v>1650</v>
      </c>
      <c r="E273" s="150" t="s">
        <v>1650</v>
      </c>
      <c r="F273" s="150" t="s">
        <v>1650</v>
      </c>
      <c r="G273" s="511" t="s">
        <v>49</v>
      </c>
      <c r="H273" s="392" t="s">
        <v>1655</v>
      </c>
      <c r="I273" s="343"/>
      <c r="J273" s="343"/>
      <c r="K273" s="70" t="s">
        <v>327</v>
      </c>
      <c r="L273" s="346"/>
      <c r="M273" s="343"/>
      <c r="N273" s="346"/>
      <c r="O273" s="150" t="s">
        <v>328</v>
      </c>
      <c r="P273" s="150" t="s">
        <v>1656</v>
      </c>
      <c r="Q273" s="403"/>
      <c r="R273" s="406">
        <v>224004</v>
      </c>
      <c r="S273" s="406">
        <v>53297.440000000002</v>
      </c>
      <c r="T273" s="425"/>
      <c r="U273" s="71"/>
      <c r="V273" s="426">
        <v>15089.11</v>
      </c>
      <c r="W273" s="427">
        <v>16899.45</v>
      </c>
      <c r="X273" s="427">
        <v>21308.880000000001</v>
      </c>
      <c r="Y273" s="428">
        <v>16899.62</v>
      </c>
      <c r="Z273" s="429">
        <v>-34566.71</v>
      </c>
      <c r="AA273" s="429">
        <v>0</v>
      </c>
      <c r="AB273" s="363" t="e">
        <v>#N/A</v>
      </c>
      <c r="AC273" s="363">
        <v>0</v>
      </c>
      <c r="AD273" s="363">
        <v>0</v>
      </c>
      <c r="AE273" s="363">
        <v>0</v>
      </c>
      <c r="AF273" s="363">
        <v>0</v>
      </c>
      <c r="AG273" s="363">
        <v>0</v>
      </c>
      <c r="AH273" s="360" t="e">
        <f t="shared" si="18"/>
        <v>#N/A</v>
      </c>
      <c r="AI273" s="362" t="e">
        <f>ERP[[#This Row],[2026 Working Total]]-ERP[[#This Row],[LE2 Final Submission]]</f>
        <v>#N/A</v>
      </c>
      <c r="AJ273" s="79">
        <v>0</v>
      </c>
      <c r="AK273" s="79">
        <f t="shared" si="17"/>
        <v>0</v>
      </c>
      <c r="AL273" s="374">
        <f>SUM(ERP[[#This Row],[AP01]:[AP06]])-SUM(ERP[[#This Row],[AP01 LE2]:[AP06 LE2]])</f>
        <v>-17667.090000000004</v>
      </c>
      <c r="AM273" s="80"/>
      <c r="AN273" s="79" t="e">
        <f>ERP[[#This Row],[2026 Working Total to Budget/LE]]-ERP[[#This Row],[Giveback]]</f>
        <v>#N/A</v>
      </c>
      <c r="AO273" s="81"/>
      <c r="AP273" s="375">
        <v>15089.11</v>
      </c>
      <c r="AQ273" s="375">
        <v>16899.45</v>
      </c>
      <c r="AR273" s="375">
        <v>21308.880000000001</v>
      </c>
      <c r="AS273" s="375">
        <v>0</v>
      </c>
      <c r="AT273" s="375">
        <v>0</v>
      </c>
      <c r="AU273" s="375">
        <v>0</v>
      </c>
      <c r="AV273" s="375">
        <v>0</v>
      </c>
      <c r="AW273" s="375">
        <v>0</v>
      </c>
      <c r="AX273" s="375">
        <v>0</v>
      </c>
      <c r="AY273" s="375">
        <v>0</v>
      </c>
      <c r="AZ273" s="375">
        <v>0</v>
      </c>
      <c r="BA273" s="375">
        <v>0</v>
      </c>
      <c r="BB273" s="375">
        <v>53297.440000000002</v>
      </c>
      <c r="BC273" s="79">
        <v>15089.11</v>
      </c>
      <c r="BD273" s="79">
        <v>16899.45</v>
      </c>
      <c r="BE273" s="79">
        <v>21308.880000000001</v>
      </c>
      <c r="BF273" s="79">
        <v>18667</v>
      </c>
      <c r="BG273" s="79">
        <v>18667</v>
      </c>
      <c r="BH273" s="79">
        <v>18667</v>
      </c>
      <c r="BI273" s="79">
        <v>18667</v>
      </c>
      <c r="BJ273" s="79">
        <v>18667</v>
      </c>
      <c r="BK273" s="79">
        <v>18667</v>
      </c>
      <c r="BL273" s="79">
        <v>18667</v>
      </c>
      <c r="BM273" s="79">
        <v>18667</v>
      </c>
      <c r="BN273" s="79">
        <v>18667</v>
      </c>
      <c r="BO273" s="79">
        <v>221300.44</v>
      </c>
    </row>
    <row r="274" spans="1:67" ht="15" customHeight="1">
      <c r="A274" s="66" t="s">
        <v>1657</v>
      </c>
      <c r="B274" s="66" t="s">
        <v>329</v>
      </c>
      <c r="C274" s="150" t="s">
        <v>1136</v>
      </c>
      <c r="D274" s="150" t="s">
        <v>1650</v>
      </c>
      <c r="E274" s="150" t="s">
        <v>1650</v>
      </c>
      <c r="F274" s="150" t="s">
        <v>1650</v>
      </c>
      <c r="G274" s="511" t="s">
        <v>49</v>
      </c>
      <c r="H274" s="392" t="s">
        <v>1658</v>
      </c>
      <c r="I274" s="343"/>
      <c r="J274" s="343"/>
      <c r="K274" s="70" t="s">
        <v>330</v>
      </c>
      <c r="L274" s="346"/>
      <c r="M274" s="343"/>
      <c r="N274" s="346"/>
      <c r="O274" s="150" t="s">
        <v>67</v>
      </c>
      <c r="P274" s="150"/>
      <c r="Q274" s="403"/>
      <c r="R274" s="406">
        <v>0</v>
      </c>
      <c r="S274" s="406">
        <v>112717.21</v>
      </c>
      <c r="T274" s="425"/>
      <c r="U274" s="71"/>
      <c r="V274" s="426">
        <v>94047.88</v>
      </c>
      <c r="W274" s="427">
        <v>124852.13</v>
      </c>
      <c r="X274" s="427">
        <v>-106182.8</v>
      </c>
      <c r="Y274" s="428">
        <v>0</v>
      </c>
      <c r="Z274" s="429">
        <v>0</v>
      </c>
      <c r="AA274" s="429">
        <v>0</v>
      </c>
      <c r="AB274" s="363" t="e">
        <v>#N/A</v>
      </c>
      <c r="AC274" s="360">
        <v>0</v>
      </c>
      <c r="AD274" s="360">
        <v>0</v>
      </c>
      <c r="AE274" s="360">
        <v>0</v>
      </c>
      <c r="AF274" s="360">
        <v>0</v>
      </c>
      <c r="AG274" s="360">
        <v>0</v>
      </c>
      <c r="AH274" s="360" t="e">
        <f t="shared" si="18"/>
        <v>#N/A</v>
      </c>
      <c r="AI274" s="362" t="e">
        <f>ERP[[#This Row],[2026 Working Total]]-ERP[[#This Row],[LE2 Final Submission]]</f>
        <v>#N/A</v>
      </c>
      <c r="AJ274" s="79">
        <v>0</v>
      </c>
      <c r="AK274" s="79">
        <f t="shared" si="17"/>
        <v>0</v>
      </c>
      <c r="AL274" s="374">
        <f>SUM(ERP[[#This Row],[AP01]:[AP06]])-SUM(ERP[[#This Row],[AP01 LE2]:[AP06 LE2]])</f>
        <v>0</v>
      </c>
      <c r="AM274" s="80"/>
      <c r="AN274" s="79" t="e">
        <f>ERP[[#This Row],[2026 Working Total to Budget/LE]]-ERP[[#This Row],[Giveback]]</f>
        <v>#N/A</v>
      </c>
      <c r="AO274" s="81"/>
      <c r="AP274" s="375">
        <v>94047.88</v>
      </c>
      <c r="AQ274" s="375">
        <v>124852.13</v>
      </c>
      <c r="AR274" s="375">
        <v>-106182.8</v>
      </c>
      <c r="AS274" s="375">
        <v>0</v>
      </c>
      <c r="AT274" s="375">
        <v>0</v>
      </c>
      <c r="AU274" s="375">
        <v>0</v>
      </c>
      <c r="AV274" s="375">
        <v>0</v>
      </c>
      <c r="AW274" s="375">
        <v>0</v>
      </c>
      <c r="AX274" s="375">
        <v>0</v>
      </c>
      <c r="AY274" s="375">
        <v>0</v>
      </c>
      <c r="AZ274" s="375">
        <v>0</v>
      </c>
      <c r="BA274" s="375">
        <v>0</v>
      </c>
      <c r="BB274" s="375">
        <v>112717.21</v>
      </c>
      <c r="BC274" s="79">
        <v>94047.88</v>
      </c>
      <c r="BD274" s="79">
        <v>124852.13</v>
      </c>
      <c r="BE274" s="79">
        <v>-106182.8</v>
      </c>
      <c r="BF274" s="79">
        <v>0</v>
      </c>
      <c r="BG274" s="79">
        <v>0</v>
      </c>
      <c r="BH274" s="79">
        <v>0</v>
      </c>
      <c r="BI274" s="79">
        <v>0</v>
      </c>
      <c r="BJ274" s="79">
        <v>0</v>
      </c>
      <c r="BK274" s="79">
        <v>0</v>
      </c>
      <c r="BL274" s="79">
        <v>0</v>
      </c>
      <c r="BM274" s="79">
        <v>0</v>
      </c>
      <c r="BN274" s="79">
        <v>0</v>
      </c>
      <c r="BO274" s="79">
        <v>112717.21</v>
      </c>
    </row>
    <row r="275" spans="1:67" ht="15" customHeight="1">
      <c r="A275" s="66" t="s">
        <v>2139</v>
      </c>
      <c r="B275" s="66" t="s">
        <v>594</v>
      </c>
      <c r="C275" s="150" t="s">
        <v>1136</v>
      </c>
      <c r="D275" s="150" t="s">
        <v>1650</v>
      </c>
      <c r="E275" s="150" t="s">
        <v>1650</v>
      </c>
      <c r="F275" s="150" t="s">
        <v>1650</v>
      </c>
      <c r="G275" s="511" t="s">
        <v>389</v>
      </c>
      <c r="H275" s="392" t="s">
        <v>1658</v>
      </c>
      <c r="I275" s="343"/>
      <c r="J275" s="343"/>
      <c r="K275" s="70" t="s">
        <v>330</v>
      </c>
      <c r="L275" s="346"/>
      <c r="M275" s="343"/>
      <c r="N275" s="346"/>
      <c r="O275" s="150" t="s">
        <v>67</v>
      </c>
      <c r="P275" s="150"/>
      <c r="Q275" s="403"/>
      <c r="R275" s="406">
        <v>1274196</v>
      </c>
      <c r="S275" s="406">
        <v>1157512.03</v>
      </c>
      <c r="T275" s="425"/>
      <c r="U275" s="71"/>
      <c r="V275" s="426"/>
      <c r="W275" s="427"/>
      <c r="X275" s="427">
        <v>201865.03</v>
      </c>
      <c r="Y275" s="428">
        <v>98015.38</v>
      </c>
      <c r="Z275" s="429">
        <v>98015.39</v>
      </c>
      <c r="AA275" s="429">
        <v>122519.23000000001</v>
      </c>
      <c r="AB275" s="363" t="e">
        <v>#N/A</v>
      </c>
      <c r="AC275" s="363">
        <v>106183</v>
      </c>
      <c r="AD275" s="363">
        <v>106183</v>
      </c>
      <c r="AE275" s="363">
        <v>106183</v>
      </c>
      <c r="AF275" s="363">
        <v>106183</v>
      </c>
      <c r="AG275" s="363">
        <v>106183</v>
      </c>
      <c r="AH275" s="360" t="e">
        <f t="shared" si="18"/>
        <v>#N/A</v>
      </c>
      <c r="AI275" s="362" t="e">
        <f>ERP[[#This Row],[2026 Working Total]]-ERP[[#This Row],[LE2 Final Submission]]</f>
        <v>#N/A</v>
      </c>
      <c r="AJ275" s="79">
        <v>106183</v>
      </c>
      <c r="AK275" s="79">
        <f t="shared" si="17"/>
        <v>16336.23000000001</v>
      </c>
      <c r="AL275" s="374">
        <f>SUM(ERP[[#This Row],[AP01]:[AP06]])-SUM(ERP[[#This Row],[AP01 LE2]:[AP06 LE2]])</f>
        <v>1</v>
      </c>
      <c r="AM275" s="80"/>
      <c r="AN275" s="79" t="e">
        <f>ERP[[#This Row],[2026 Working Total to Budget/LE]]-ERP[[#This Row],[Giveback]]</f>
        <v>#N/A</v>
      </c>
      <c r="AO275" s="81"/>
      <c r="AP275" s="375"/>
      <c r="AQ275" s="375"/>
      <c r="AR275" s="375">
        <v>201865.03</v>
      </c>
      <c r="AS275" s="375">
        <v>106183</v>
      </c>
      <c r="AT275" s="375">
        <v>106183</v>
      </c>
      <c r="AU275" s="375">
        <v>106183</v>
      </c>
      <c r="AV275" s="375">
        <v>106183</v>
      </c>
      <c r="AW275" s="375">
        <v>106183</v>
      </c>
      <c r="AX275" s="375">
        <v>106183</v>
      </c>
      <c r="AY275" s="375">
        <v>106183</v>
      </c>
      <c r="AZ275" s="375">
        <v>106183</v>
      </c>
      <c r="BA275" s="375">
        <v>106183</v>
      </c>
      <c r="BB275" s="375">
        <v>1157512.03</v>
      </c>
      <c r="BC275" s="79"/>
      <c r="BD275" s="79"/>
      <c r="BE275" s="79">
        <v>201865.03</v>
      </c>
      <c r="BF275" s="79">
        <v>106183</v>
      </c>
      <c r="BG275" s="79">
        <v>106183</v>
      </c>
      <c r="BH275" s="79">
        <v>106183</v>
      </c>
      <c r="BI275" s="79">
        <v>106183</v>
      </c>
      <c r="BJ275" s="79">
        <v>106183</v>
      </c>
      <c r="BK275" s="79">
        <v>106183</v>
      </c>
      <c r="BL275" s="79">
        <v>106183</v>
      </c>
      <c r="BM275" s="79">
        <v>106183</v>
      </c>
      <c r="BN275" s="79">
        <v>106183</v>
      </c>
      <c r="BO275" s="79">
        <v>1157512.03</v>
      </c>
    </row>
    <row r="276" spans="1:67" ht="15" customHeight="1">
      <c r="A276" s="66" t="s">
        <v>2140</v>
      </c>
      <c r="B276" s="66" t="s">
        <v>595</v>
      </c>
      <c r="C276" s="150" t="s">
        <v>1136</v>
      </c>
      <c r="D276" s="150" t="s">
        <v>1650</v>
      </c>
      <c r="E276" s="150" t="s">
        <v>1650</v>
      </c>
      <c r="F276" s="150" t="s">
        <v>1650</v>
      </c>
      <c r="G276" s="511" t="s">
        <v>389</v>
      </c>
      <c r="H276" s="392" t="s">
        <v>1658</v>
      </c>
      <c r="I276" s="343"/>
      <c r="J276" s="343"/>
      <c r="K276" s="70" t="s">
        <v>596</v>
      </c>
      <c r="L276" s="346"/>
      <c r="M276" s="343"/>
      <c r="N276" s="346"/>
      <c r="O276" s="150" t="s">
        <v>67</v>
      </c>
      <c r="P276" s="150" t="s">
        <v>1652</v>
      </c>
      <c r="Q276" s="403"/>
      <c r="R276" s="406">
        <v>-12000</v>
      </c>
      <c r="S276" s="406">
        <v>0</v>
      </c>
      <c r="T276" s="425"/>
      <c r="U276" s="71"/>
      <c r="V276" s="426"/>
      <c r="W276" s="427"/>
      <c r="X276" s="427"/>
      <c r="Y276" s="428" t="s">
        <v>1142</v>
      </c>
      <c r="Z276" s="429">
        <v>0</v>
      </c>
      <c r="AA276" s="429">
        <v>0</v>
      </c>
      <c r="AB276" s="363" t="e">
        <v>#N/A</v>
      </c>
      <c r="AC276" s="360">
        <v>0</v>
      </c>
      <c r="AD276" s="360">
        <v>0</v>
      </c>
      <c r="AE276" s="360">
        <v>0</v>
      </c>
      <c r="AF276" s="360">
        <v>0</v>
      </c>
      <c r="AG276" s="360">
        <v>0</v>
      </c>
      <c r="AH276" s="360" t="e">
        <f t="shared" si="18"/>
        <v>#N/A</v>
      </c>
      <c r="AI276" s="362" t="e">
        <f>ERP[[#This Row],[2026 Working Total]]-ERP[[#This Row],[LE2 Final Submission]]</f>
        <v>#N/A</v>
      </c>
      <c r="AJ276" s="79">
        <v>0</v>
      </c>
      <c r="AK276" s="79">
        <f t="shared" si="17"/>
        <v>0</v>
      </c>
      <c r="AL276" s="374">
        <f>SUM(ERP[[#This Row],[AP01]:[AP06]])-SUM(ERP[[#This Row],[AP01 LE2]:[AP06 LE2]])</f>
        <v>0</v>
      </c>
      <c r="AM276" s="80"/>
      <c r="AN276" s="79" t="e">
        <f>ERP[[#This Row],[2026 Working Total to Budget/LE]]-ERP[[#This Row],[Giveback]]</f>
        <v>#N/A</v>
      </c>
      <c r="AO276" s="81"/>
      <c r="AP276" s="375"/>
      <c r="AQ276" s="375"/>
      <c r="AR276" s="375"/>
      <c r="AS276" s="375"/>
      <c r="AT276" s="375"/>
      <c r="AU276" s="375">
        <v>0</v>
      </c>
      <c r="AV276" s="375">
        <v>0</v>
      </c>
      <c r="AW276" s="375">
        <v>0</v>
      </c>
      <c r="AX276" s="375">
        <v>0</v>
      </c>
      <c r="AY276" s="375">
        <v>0</v>
      </c>
      <c r="AZ276" s="375">
        <v>0</v>
      </c>
      <c r="BA276" s="375">
        <v>0</v>
      </c>
      <c r="BB276" s="375">
        <v>0</v>
      </c>
      <c r="BC276" s="79"/>
      <c r="BD276" s="79"/>
      <c r="BE276" s="79"/>
      <c r="BF276" s="79"/>
      <c r="BG276" s="79"/>
      <c r="BH276" s="79">
        <v>-3000</v>
      </c>
      <c r="BI276" s="79">
        <v>0</v>
      </c>
      <c r="BJ276" s="79">
        <v>0</v>
      </c>
      <c r="BK276" s="79">
        <v>-3000</v>
      </c>
      <c r="BL276" s="79">
        <v>0</v>
      </c>
      <c r="BM276" s="79">
        <v>0</v>
      </c>
      <c r="BN276" s="79">
        <v>-3000</v>
      </c>
      <c r="BO276" s="79">
        <v>-9000</v>
      </c>
    </row>
    <row r="277" spans="1:67" ht="15" customHeight="1">
      <c r="A277" s="66" t="s">
        <v>1840</v>
      </c>
      <c r="B277" s="66" t="s">
        <v>1841</v>
      </c>
      <c r="C277" s="150" t="s">
        <v>1136</v>
      </c>
      <c r="D277" s="150" t="s">
        <v>1135</v>
      </c>
      <c r="E277" s="150" t="s">
        <v>1165</v>
      </c>
      <c r="F277" s="150" t="s">
        <v>1137</v>
      </c>
      <c r="G277" s="511" t="s">
        <v>389</v>
      </c>
      <c r="H277" s="392" t="s">
        <v>1842</v>
      </c>
      <c r="I277" s="343"/>
      <c r="J277" s="343"/>
      <c r="K277" s="70" t="s">
        <v>438</v>
      </c>
      <c r="L277" s="346"/>
      <c r="M277" s="343"/>
      <c r="N277" s="346"/>
      <c r="O277" s="150" t="s">
        <v>439</v>
      </c>
      <c r="P277" s="150"/>
      <c r="Q277" s="403"/>
      <c r="R277" s="406">
        <v>60000</v>
      </c>
      <c r="S277" s="406">
        <v>59587</v>
      </c>
      <c r="T277" s="425"/>
      <c r="U277" s="71"/>
      <c r="V277" s="426"/>
      <c r="W277" s="427"/>
      <c r="X277" s="427">
        <v>7840</v>
      </c>
      <c r="Y277" s="428">
        <v>4772.18</v>
      </c>
      <c r="Z277" s="429">
        <v>4772.17</v>
      </c>
      <c r="AA277" s="429">
        <v>4075.2199999999993</v>
      </c>
      <c r="AB277" s="363" t="e">
        <v>#N/A</v>
      </c>
      <c r="AC277" s="363">
        <v>5000</v>
      </c>
      <c r="AD277" s="363">
        <v>5000</v>
      </c>
      <c r="AE277" s="363">
        <v>5000</v>
      </c>
      <c r="AF277" s="363">
        <v>5000</v>
      </c>
      <c r="AG277" s="363">
        <v>5000</v>
      </c>
      <c r="AH277" s="360" t="e">
        <f t="shared" si="18"/>
        <v>#N/A</v>
      </c>
      <c r="AI277" s="362" t="e">
        <f>ERP[[#This Row],[2026 Working Total]]-ERP[[#This Row],[LE2 Final Submission]]</f>
        <v>#N/A</v>
      </c>
      <c r="AJ277" s="79">
        <v>5000</v>
      </c>
      <c r="AK277" s="79">
        <f t="shared" si="17"/>
        <v>-924.78000000000065</v>
      </c>
      <c r="AL277" s="374">
        <f>SUM(ERP[[#This Row],[AP01]:[AP06]])-SUM(ERP[[#This Row],[AP01 LE2]:[AP06 LE2]])</f>
        <v>-8127.43</v>
      </c>
      <c r="AM277" s="80"/>
      <c r="AN277" s="79" t="e">
        <f>ERP[[#This Row],[2026 Working Total to Budget/LE]]-ERP[[#This Row],[Giveback]]</f>
        <v>#N/A</v>
      </c>
      <c r="AO277" s="81"/>
      <c r="AP277" s="375"/>
      <c r="AQ277" s="375"/>
      <c r="AR277" s="375">
        <v>7840</v>
      </c>
      <c r="AS277" s="375">
        <v>11747</v>
      </c>
      <c r="AT277" s="375">
        <v>5000</v>
      </c>
      <c r="AU277" s="375">
        <v>5000</v>
      </c>
      <c r="AV277" s="375">
        <v>5000</v>
      </c>
      <c r="AW277" s="375">
        <v>5000</v>
      </c>
      <c r="AX277" s="375">
        <v>5000</v>
      </c>
      <c r="AY277" s="375">
        <v>5000</v>
      </c>
      <c r="AZ277" s="375">
        <v>5000</v>
      </c>
      <c r="BA277" s="375">
        <v>5000</v>
      </c>
      <c r="BB277" s="375">
        <v>59587</v>
      </c>
      <c r="BC277" s="79"/>
      <c r="BD277" s="79"/>
      <c r="BE277" s="79">
        <v>7840</v>
      </c>
      <c r="BF277" s="79">
        <v>5000</v>
      </c>
      <c r="BG277" s="79">
        <v>5000</v>
      </c>
      <c r="BH277" s="79">
        <v>5000</v>
      </c>
      <c r="BI277" s="79">
        <v>5000</v>
      </c>
      <c r="BJ277" s="79">
        <v>5000</v>
      </c>
      <c r="BK277" s="79">
        <v>5000</v>
      </c>
      <c r="BL277" s="79">
        <v>5000</v>
      </c>
      <c r="BM277" s="79">
        <v>5000</v>
      </c>
      <c r="BN277" s="79">
        <v>5000</v>
      </c>
      <c r="BO277" s="79">
        <v>52840</v>
      </c>
    </row>
    <row r="278" spans="1:67" ht="15" customHeight="1">
      <c r="A278" s="66" t="s">
        <v>1843</v>
      </c>
      <c r="B278" s="66" t="s">
        <v>440</v>
      </c>
      <c r="C278" s="150" t="s">
        <v>1136</v>
      </c>
      <c r="D278" s="150" t="s">
        <v>1135</v>
      </c>
      <c r="E278" s="150" t="s">
        <v>1135</v>
      </c>
      <c r="F278" s="150" t="s">
        <v>1137</v>
      </c>
      <c r="G278" s="511" t="s">
        <v>389</v>
      </c>
      <c r="H278" s="392" t="s">
        <v>1844</v>
      </c>
      <c r="I278" s="343"/>
      <c r="J278" s="343"/>
      <c r="K278" s="70" t="s">
        <v>441</v>
      </c>
      <c r="L278" s="346"/>
      <c r="M278" s="343"/>
      <c r="N278" s="346"/>
      <c r="O278" s="150" t="s">
        <v>57</v>
      </c>
      <c r="P278" s="150"/>
      <c r="Q278" s="403"/>
      <c r="R278" s="406">
        <v>0</v>
      </c>
      <c r="S278" s="406">
        <v>10582.559999999998</v>
      </c>
      <c r="T278" s="425"/>
      <c r="U278" s="71"/>
      <c r="V278" s="426">
        <v>881.88</v>
      </c>
      <c r="W278" s="427">
        <v>881.88</v>
      </c>
      <c r="X278" s="427">
        <v>881.88</v>
      </c>
      <c r="Y278" s="428">
        <v>881.88</v>
      </c>
      <c r="Z278" s="429">
        <v>881.88</v>
      </c>
      <c r="AA278" s="429">
        <v>881.88</v>
      </c>
      <c r="AB278" s="363" t="e">
        <v>#N/A</v>
      </c>
      <c r="AC278" s="363">
        <v>881.88</v>
      </c>
      <c r="AD278" s="363">
        <v>881.88</v>
      </c>
      <c r="AE278" s="363">
        <v>881.88</v>
      </c>
      <c r="AF278" s="363">
        <v>881.88</v>
      </c>
      <c r="AG278" s="363">
        <v>881.88</v>
      </c>
      <c r="AH278" s="360" t="e">
        <f t="shared" si="18"/>
        <v>#N/A</v>
      </c>
      <c r="AI278" s="362" t="e">
        <f>ERP[[#This Row],[2026 Working Total]]-ERP[[#This Row],[LE2 Final Submission]]</f>
        <v>#N/A</v>
      </c>
      <c r="AJ278" s="79">
        <v>881.88</v>
      </c>
      <c r="AK278" s="79">
        <f t="shared" si="17"/>
        <v>0</v>
      </c>
      <c r="AL278" s="374">
        <f>SUM(ERP[[#This Row],[AP01]:[AP06]])-SUM(ERP[[#This Row],[AP01 LE2]:[AP06 LE2]])</f>
        <v>0</v>
      </c>
      <c r="AM278" s="80"/>
      <c r="AN278" s="79" t="e">
        <f>ERP[[#This Row],[2026 Working Total to Budget/LE]]-ERP[[#This Row],[Giveback]]</f>
        <v>#N/A</v>
      </c>
      <c r="AO278" s="81"/>
      <c r="AP278" s="375">
        <v>881.88</v>
      </c>
      <c r="AQ278" s="375">
        <v>881.88</v>
      </c>
      <c r="AR278" s="375">
        <v>881.88</v>
      </c>
      <c r="AS278" s="375">
        <v>881.88</v>
      </c>
      <c r="AT278" s="375">
        <v>881.88</v>
      </c>
      <c r="AU278" s="375">
        <v>881.88</v>
      </c>
      <c r="AV278" s="375">
        <v>881.88</v>
      </c>
      <c r="AW278" s="375">
        <v>881.88</v>
      </c>
      <c r="AX278" s="375">
        <v>881.88</v>
      </c>
      <c r="AY278" s="375">
        <v>881.88</v>
      </c>
      <c r="AZ278" s="375">
        <v>881.88</v>
      </c>
      <c r="BA278" s="375">
        <v>881.88</v>
      </c>
      <c r="BB278" s="375">
        <v>10582.559999999998</v>
      </c>
      <c r="BC278" s="79">
        <v>881.88</v>
      </c>
      <c r="BD278" s="79">
        <v>881.88</v>
      </c>
      <c r="BE278" s="79">
        <v>881.88</v>
      </c>
      <c r="BF278" s="79">
        <v>0</v>
      </c>
      <c r="BG278" s="79">
        <v>0</v>
      </c>
      <c r="BH278" s="79">
        <v>0</v>
      </c>
      <c r="BI278" s="79">
        <v>0</v>
      </c>
      <c r="BJ278" s="79">
        <v>0</v>
      </c>
      <c r="BK278" s="79">
        <v>0</v>
      </c>
      <c r="BL278" s="79">
        <v>0</v>
      </c>
      <c r="BM278" s="79">
        <v>0</v>
      </c>
      <c r="BN278" s="79">
        <v>0</v>
      </c>
      <c r="BO278" s="79">
        <v>2645.64</v>
      </c>
    </row>
    <row r="279" spans="1:67" ht="15" customHeight="1">
      <c r="A279" s="66" t="s">
        <v>1845</v>
      </c>
      <c r="B279" s="66" t="s">
        <v>1846</v>
      </c>
      <c r="C279" s="150" t="s">
        <v>1136</v>
      </c>
      <c r="D279" s="150" t="s">
        <v>1135</v>
      </c>
      <c r="E279" s="150" t="s">
        <v>1165</v>
      </c>
      <c r="F279" s="150" t="s">
        <v>1137</v>
      </c>
      <c r="G279" s="511" t="s">
        <v>389</v>
      </c>
      <c r="H279" s="392" t="s">
        <v>1844</v>
      </c>
      <c r="I279" s="343"/>
      <c r="J279" s="343"/>
      <c r="K279" s="70" t="s">
        <v>441</v>
      </c>
      <c r="L279" s="346"/>
      <c r="M279" s="343"/>
      <c r="N279" s="346"/>
      <c r="O279" s="150" t="s">
        <v>57</v>
      </c>
      <c r="P279" s="150"/>
      <c r="Q279" s="403"/>
      <c r="R279" s="406">
        <v>10599.999996000004</v>
      </c>
      <c r="S279" s="406">
        <v>0</v>
      </c>
      <c r="T279" s="425"/>
      <c r="U279" s="71"/>
      <c r="V279" s="426"/>
      <c r="W279" s="427"/>
      <c r="X279" s="427"/>
      <c r="Y279" s="428" t="s">
        <v>1142</v>
      </c>
      <c r="Z279" s="429">
        <v>0</v>
      </c>
      <c r="AA279" s="429">
        <v>0</v>
      </c>
      <c r="AB279" s="363" t="e">
        <v>#N/A</v>
      </c>
      <c r="AC279" s="363">
        <v>0</v>
      </c>
      <c r="AD279" s="363">
        <v>0</v>
      </c>
      <c r="AE279" s="363">
        <v>0</v>
      </c>
      <c r="AF279" s="363">
        <v>0</v>
      </c>
      <c r="AG279" s="363">
        <v>0</v>
      </c>
      <c r="AH279" s="360" t="e">
        <f t="shared" si="18"/>
        <v>#N/A</v>
      </c>
      <c r="AI279" s="362" t="e">
        <f>ERP[[#This Row],[2026 Working Total]]-ERP[[#This Row],[LE2 Final Submission]]</f>
        <v>#N/A</v>
      </c>
      <c r="AJ279" s="79">
        <v>0</v>
      </c>
      <c r="AK279" s="79">
        <f t="shared" si="17"/>
        <v>0</v>
      </c>
      <c r="AL279" s="374">
        <f>SUM(ERP[[#This Row],[AP01]:[AP06]])-SUM(ERP[[#This Row],[AP01 LE2]:[AP06 LE2]])</f>
        <v>0</v>
      </c>
      <c r="AM279" s="80">
        <v>-10600</v>
      </c>
      <c r="AN279" s="79" t="e">
        <f>ERP[[#This Row],[2026 Working Total to Budget/LE]]-ERP[[#This Row],[Giveback]]</f>
        <v>#N/A</v>
      </c>
      <c r="AO279" s="81"/>
      <c r="AP279" s="375"/>
      <c r="AQ279" s="375"/>
      <c r="AR279" s="375"/>
      <c r="AS279" s="375">
        <v>0</v>
      </c>
      <c r="AT279" s="375">
        <v>0</v>
      </c>
      <c r="AU279" s="375">
        <v>0</v>
      </c>
      <c r="AV279" s="375">
        <v>0</v>
      </c>
      <c r="AW279" s="375">
        <v>0</v>
      </c>
      <c r="AX279" s="375">
        <v>0</v>
      </c>
      <c r="AY279" s="375">
        <v>0</v>
      </c>
      <c r="AZ279" s="375">
        <v>0</v>
      </c>
      <c r="BA279" s="375">
        <v>0</v>
      </c>
      <c r="BB279" s="375">
        <v>0</v>
      </c>
      <c r="BC279" s="79"/>
      <c r="BD279" s="79"/>
      <c r="BE279" s="79"/>
      <c r="BF279" s="79">
        <v>883.33333300000004</v>
      </c>
      <c r="BG279" s="79">
        <v>883.33333300000004</v>
      </c>
      <c r="BH279" s="79">
        <v>883.33333300000004</v>
      </c>
      <c r="BI279" s="79">
        <v>883.33333300000004</v>
      </c>
      <c r="BJ279" s="79">
        <v>883.33333300000004</v>
      </c>
      <c r="BK279" s="79">
        <v>883.33333300000004</v>
      </c>
      <c r="BL279" s="79">
        <v>883.33333300000004</v>
      </c>
      <c r="BM279" s="79">
        <v>883.33333300000004</v>
      </c>
      <c r="BN279" s="79">
        <v>883.33333300000004</v>
      </c>
      <c r="BO279" s="79">
        <v>7949.9999970000026</v>
      </c>
    </row>
    <row r="280" spans="1:67" ht="15" customHeight="1">
      <c r="A280" s="66" t="s">
        <v>1847</v>
      </c>
      <c r="B280" s="66" t="s">
        <v>1848</v>
      </c>
      <c r="C280" s="150" t="s">
        <v>1136</v>
      </c>
      <c r="D280" s="150" t="s">
        <v>1135</v>
      </c>
      <c r="E280" s="150" t="s">
        <v>1165</v>
      </c>
      <c r="F280" s="150" t="s">
        <v>1137</v>
      </c>
      <c r="G280" s="511" t="s">
        <v>389</v>
      </c>
      <c r="H280" s="392" t="s">
        <v>1849</v>
      </c>
      <c r="I280" s="343"/>
      <c r="J280" s="343"/>
      <c r="K280" s="70" t="s">
        <v>443</v>
      </c>
      <c r="L280" s="346"/>
      <c r="M280" s="343"/>
      <c r="N280" s="346"/>
      <c r="O280" s="150" t="s">
        <v>57</v>
      </c>
      <c r="P280" s="150"/>
      <c r="Q280" s="403"/>
      <c r="R280" s="406">
        <v>10599.999996000004</v>
      </c>
      <c r="S280" s="406">
        <v>10595.639997000004</v>
      </c>
      <c r="T280" s="425"/>
      <c r="U280" s="71"/>
      <c r="V280" s="426">
        <v>881.88</v>
      </c>
      <c r="W280" s="427">
        <v>881.88</v>
      </c>
      <c r="X280" s="427">
        <v>881.88</v>
      </c>
      <c r="Y280" s="428">
        <v>881.88</v>
      </c>
      <c r="Z280" s="429">
        <v>881.88</v>
      </c>
      <c r="AA280" s="429">
        <v>881.88</v>
      </c>
      <c r="AB280" s="363" t="e">
        <v>#N/A</v>
      </c>
      <c r="AC280" s="363">
        <v>883.33333300000004</v>
      </c>
      <c r="AD280" s="363">
        <v>883.33333300000004</v>
      </c>
      <c r="AE280" s="363">
        <v>883.33333300000004</v>
      </c>
      <c r="AF280" s="363">
        <v>883.33333300000004</v>
      </c>
      <c r="AG280" s="363">
        <v>883.33333300000004</v>
      </c>
      <c r="AH280" s="360" t="e">
        <f t="shared" si="18"/>
        <v>#N/A</v>
      </c>
      <c r="AI280" s="362" t="e">
        <f>ERP[[#This Row],[2026 Working Total]]-ERP[[#This Row],[LE2 Final Submission]]</f>
        <v>#N/A</v>
      </c>
      <c r="AJ280" s="79">
        <v>883.33333300000004</v>
      </c>
      <c r="AK280" s="79">
        <f t="shared" si="17"/>
        <v>-1.4533330000000433</v>
      </c>
      <c r="AL280" s="374">
        <f>SUM(ERP[[#This Row],[AP01]:[AP06]])-SUM(ERP[[#This Row],[AP01 LE2]:[AP06 LE2]])</f>
        <v>-4.359999000001153</v>
      </c>
      <c r="AM280" s="80"/>
      <c r="AN280" s="79" t="e">
        <f>ERP[[#This Row],[2026 Working Total to Budget/LE]]-ERP[[#This Row],[Giveback]]</f>
        <v>#N/A</v>
      </c>
      <c r="AO280" s="81"/>
      <c r="AP280" s="375">
        <v>881.88</v>
      </c>
      <c r="AQ280" s="375">
        <v>881.88</v>
      </c>
      <c r="AR280" s="375">
        <v>881.88</v>
      </c>
      <c r="AS280" s="375">
        <v>883.33333300000004</v>
      </c>
      <c r="AT280" s="375">
        <v>883.33333300000004</v>
      </c>
      <c r="AU280" s="375">
        <v>883.33333300000004</v>
      </c>
      <c r="AV280" s="375">
        <v>883.33333300000004</v>
      </c>
      <c r="AW280" s="375">
        <v>883.33333300000004</v>
      </c>
      <c r="AX280" s="375">
        <v>883.33333300000004</v>
      </c>
      <c r="AY280" s="375">
        <v>883.33333300000004</v>
      </c>
      <c r="AZ280" s="375">
        <v>883.33333300000004</v>
      </c>
      <c r="BA280" s="375">
        <v>883.33333300000004</v>
      </c>
      <c r="BB280" s="375">
        <v>10595.639997000004</v>
      </c>
      <c r="BC280" s="79">
        <v>881.88</v>
      </c>
      <c r="BD280" s="79">
        <v>881.88</v>
      </c>
      <c r="BE280" s="79">
        <v>881.88</v>
      </c>
      <c r="BF280" s="79">
        <v>883.33333300000004</v>
      </c>
      <c r="BG280" s="79">
        <v>883.33333300000004</v>
      </c>
      <c r="BH280" s="79">
        <v>883.33333300000004</v>
      </c>
      <c r="BI280" s="79">
        <v>883.33333300000004</v>
      </c>
      <c r="BJ280" s="79">
        <v>883.33333300000004</v>
      </c>
      <c r="BK280" s="79">
        <v>883.33333300000004</v>
      </c>
      <c r="BL280" s="79">
        <v>883.33333300000004</v>
      </c>
      <c r="BM280" s="79">
        <v>883.33333300000004</v>
      </c>
      <c r="BN280" s="79">
        <v>883.33333300000004</v>
      </c>
      <c r="BO280" s="79">
        <v>10595.639997000004</v>
      </c>
    </row>
    <row r="281" spans="1:67" ht="15" customHeight="1">
      <c r="A281" s="66" t="s">
        <v>1288</v>
      </c>
      <c r="B281" s="66" t="s">
        <v>1289</v>
      </c>
      <c r="C281" s="150" t="s">
        <v>1136</v>
      </c>
      <c r="D281" s="150" t="s">
        <v>1135</v>
      </c>
      <c r="E281" s="150" t="s">
        <v>1165</v>
      </c>
      <c r="F281" s="150" t="s">
        <v>1137</v>
      </c>
      <c r="G281" s="511" t="s">
        <v>49</v>
      </c>
      <c r="H281" s="392" t="s">
        <v>1290</v>
      </c>
      <c r="I281" s="343"/>
      <c r="J281" s="343"/>
      <c r="K281" s="70" t="s">
        <v>129</v>
      </c>
      <c r="L281" s="346"/>
      <c r="M281" s="343"/>
      <c r="N281" s="346"/>
      <c r="O281" s="150" t="s">
        <v>114</v>
      </c>
      <c r="P281" s="150"/>
      <c r="Q281" s="403"/>
      <c r="R281" s="406">
        <v>73711</v>
      </c>
      <c r="S281" s="406">
        <v>70191.98000000001</v>
      </c>
      <c r="T281" s="425"/>
      <c r="U281" s="71"/>
      <c r="V281" s="426">
        <v>5439.05</v>
      </c>
      <c r="W281" s="427">
        <v>4406.87</v>
      </c>
      <c r="X281" s="427">
        <v>5062.8</v>
      </c>
      <c r="Y281" s="428">
        <v>6561.0900000000011</v>
      </c>
      <c r="Z281" s="429">
        <v>5184.41</v>
      </c>
      <c r="AA281" s="429">
        <v>5082.6499999999987</v>
      </c>
      <c r="AB281" s="363" t="e">
        <v>#N/A</v>
      </c>
      <c r="AC281" s="363">
        <v>6200</v>
      </c>
      <c r="AD281" s="363">
        <v>6200</v>
      </c>
      <c r="AE281" s="363">
        <v>6200</v>
      </c>
      <c r="AF281" s="363">
        <v>6200</v>
      </c>
      <c r="AG281" s="363">
        <v>6200</v>
      </c>
      <c r="AH281" s="360" t="e">
        <f t="shared" si="18"/>
        <v>#N/A</v>
      </c>
      <c r="AI281" s="362" t="e">
        <f>ERP[[#This Row],[2026 Working Total]]-ERP[[#This Row],[LE2 Final Submission]]</f>
        <v>#N/A</v>
      </c>
      <c r="AJ281" s="79">
        <v>6142.58</v>
      </c>
      <c r="AK281" s="79">
        <f t="shared" si="17"/>
        <v>-1059.9300000000012</v>
      </c>
      <c r="AL281" s="374">
        <f>SUM(ERP[[#This Row],[AP01]:[AP06]])-SUM(ERP[[#This Row],[AP01 LE2]:[AP06 LE2]])</f>
        <v>-1599.5900000000074</v>
      </c>
      <c r="AM281" s="80"/>
      <c r="AN281" s="79" t="e">
        <f>ERP[[#This Row],[2026 Working Total to Budget/LE]]-ERP[[#This Row],[Giveback]]</f>
        <v>#N/A</v>
      </c>
      <c r="AO281" s="81"/>
      <c r="AP281" s="375">
        <v>5439.05</v>
      </c>
      <c r="AQ281" s="375">
        <v>4406.87</v>
      </c>
      <c r="AR281" s="375">
        <v>5062.8</v>
      </c>
      <c r="AS281" s="375">
        <v>6142.58</v>
      </c>
      <c r="AT281" s="375">
        <v>6142.58</v>
      </c>
      <c r="AU281" s="375">
        <v>6142.58</v>
      </c>
      <c r="AV281" s="375">
        <v>6142.58</v>
      </c>
      <c r="AW281" s="375">
        <v>6142.58</v>
      </c>
      <c r="AX281" s="375">
        <v>6142.58</v>
      </c>
      <c r="AY281" s="375">
        <v>6142.58</v>
      </c>
      <c r="AZ281" s="375">
        <v>6142.58</v>
      </c>
      <c r="BA281" s="375">
        <v>6142.62</v>
      </c>
      <c r="BB281" s="375">
        <v>70191.98000000001</v>
      </c>
      <c r="BC281" s="79">
        <v>5439.05</v>
      </c>
      <c r="BD281" s="79">
        <v>4406.87</v>
      </c>
      <c r="BE281" s="79">
        <v>5062.8</v>
      </c>
      <c r="BF281" s="79">
        <v>6142.58</v>
      </c>
      <c r="BG281" s="79">
        <v>6142.58</v>
      </c>
      <c r="BH281" s="79">
        <v>6142.58</v>
      </c>
      <c r="BI281" s="79">
        <v>6142.58</v>
      </c>
      <c r="BJ281" s="79">
        <v>6142.58</v>
      </c>
      <c r="BK281" s="79">
        <v>6142.58</v>
      </c>
      <c r="BL281" s="79">
        <v>6142.58</v>
      </c>
      <c r="BM281" s="79">
        <v>6142.58</v>
      </c>
      <c r="BN281" s="79">
        <v>6142.62</v>
      </c>
      <c r="BO281" s="79">
        <v>70191.98000000001</v>
      </c>
    </row>
    <row r="282" spans="1:67" ht="15" customHeight="1">
      <c r="A282" s="66" t="s">
        <v>1291</v>
      </c>
      <c r="B282" s="66" t="s">
        <v>1292</v>
      </c>
      <c r="C282" s="150" t="s">
        <v>1136</v>
      </c>
      <c r="D282" s="150" t="s">
        <v>1135</v>
      </c>
      <c r="E282" s="150" t="s">
        <v>1165</v>
      </c>
      <c r="F282" s="150" t="s">
        <v>1137</v>
      </c>
      <c r="G282" s="511" t="s">
        <v>49</v>
      </c>
      <c r="H282" s="392" t="s">
        <v>1293</v>
      </c>
      <c r="I282" s="343"/>
      <c r="J282" s="343"/>
      <c r="K282" s="70" t="s">
        <v>131</v>
      </c>
      <c r="L282" s="346"/>
      <c r="M282" s="343"/>
      <c r="N282" s="346"/>
      <c r="O282" s="150" t="s">
        <v>114</v>
      </c>
      <c r="P282" s="150"/>
      <c r="Q282" s="403"/>
      <c r="R282" s="406">
        <v>9592.0000000000018</v>
      </c>
      <c r="S282" s="406">
        <v>9470.880000000001</v>
      </c>
      <c r="T282" s="425"/>
      <c r="U282" s="71"/>
      <c r="V282" s="426">
        <v>844.81</v>
      </c>
      <c r="W282" s="427">
        <v>677.12</v>
      </c>
      <c r="X282" s="427">
        <v>754.94</v>
      </c>
      <c r="Y282" s="428">
        <v>991.85</v>
      </c>
      <c r="Z282" s="429">
        <v>673.53</v>
      </c>
      <c r="AA282" s="429">
        <v>720.34</v>
      </c>
      <c r="AB282" s="363" t="e">
        <v>#N/A</v>
      </c>
      <c r="AC282" s="363">
        <v>799.33</v>
      </c>
      <c r="AD282" s="363">
        <v>799.33</v>
      </c>
      <c r="AE282" s="363">
        <v>799.33</v>
      </c>
      <c r="AF282" s="363">
        <v>799.33</v>
      </c>
      <c r="AG282" s="363">
        <v>799.37</v>
      </c>
      <c r="AH282" s="360" t="e">
        <f t="shared" si="18"/>
        <v>#N/A</v>
      </c>
      <c r="AI282" s="362" t="e">
        <f>ERP[[#This Row],[2026 Working Total]]-ERP[[#This Row],[LE2 Final Submission]]</f>
        <v>#N/A</v>
      </c>
      <c r="AJ282" s="79">
        <v>799.33</v>
      </c>
      <c r="AK282" s="79">
        <f t="shared" si="17"/>
        <v>-78.990000000000009</v>
      </c>
      <c r="AL282" s="374">
        <f>SUM(ERP[[#This Row],[AP01]:[AP06]])-SUM(ERP[[#This Row],[AP01 LE2]:[AP06 LE2]])</f>
        <v>-12.269999999999527</v>
      </c>
      <c r="AM282" s="80"/>
      <c r="AN282" s="79" t="e">
        <f>ERP[[#This Row],[2026 Working Total to Budget/LE]]-ERP[[#This Row],[Giveback]]</f>
        <v>#N/A</v>
      </c>
      <c r="AO282" s="81"/>
      <c r="AP282" s="375">
        <v>844.81</v>
      </c>
      <c r="AQ282" s="375">
        <v>677.12</v>
      </c>
      <c r="AR282" s="375">
        <v>754.94</v>
      </c>
      <c r="AS282" s="375">
        <v>799.33</v>
      </c>
      <c r="AT282" s="375">
        <v>799.33</v>
      </c>
      <c r="AU282" s="375">
        <v>799.33</v>
      </c>
      <c r="AV282" s="375">
        <v>799.33</v>
      </c>
      <c r="AW282" s="375">
        <v>799.33</v>
      </c>
      <c r="AX282" s="375">
        <v>799.33</v>
      </c>
      <c r="AY282" s="375">
        <v>799.33</v>
      </c>
      <c r="AZ282" s="375">
        <v>799.33</v>
      </c>
      <c r="BA282" s="375">
        <v>799.37</v>
      </c>
      <c r="BB282" s="375">
        <v>9470.880000000001</v>
      </c>
      <c r="BC282" s="79">
        <v>844.81</v>
      </c>
      <c r="BD282" s="79">
        <v>677.12</v>
      </c>
      <c r="BE282" s="79">
        <v>754.94</v>
      </c>
      <c r="BF282" s="79">
        <v>799.33</v>
      </c>
      <c r="BG282" s="79">
        <v>799.33</v>
      </c>
      <c r="BH282" s="79">
        <v>799.33</v>
      </c>
      <c r="BI282" s="79">
        <v>799.33</v>
      </c>
      <c r="BJ282" s="79">
        <v>799.33</v>
      </c>
      <c r="BK282" s="79">
        <v>799.33</v>
      </c>
      <c r="BL282" s="79">
        <v>799.33</v>
      </c>
      <c r="BM282" s="79">
        <v>799.33</v>
      </c>
      <c r="BN282" s="79">
        <v>799.37</v>
      </c>
      <c r="BO282" s="79">
        <v>9470.880000000001</v>
      </c>
    </row>
    <row r="283" spans="1:67" ht="15" customHeight="1">
      <c r="A283" s="66" t="s">
        <v>1850</v>
      </c>
      <c r="B283" s="66" t="s">
        <v>1851</v>
      </c>
      <c r="C283" s="150" t="s">
        <v>1136</v>
      </c>
      <c r="D283" s="150" t="s">
        <v>1135</v>
      </c>
      <c r="E283" s="150" t="s">
        <v>1165</v>
      </c>
      <c r="F283" s="150" t="s">
        <v>1137</v>
      </c>
      <c r="G283" s="511" t="s">
        <v>389</v>
      </c>
      <c r="H283" s="392" t="s">
        <v>1852</v>
      </c>
      <c r="I283" s="343"/>
      <c r="J283" s="343"/>
      <c r="K283" s="70" t="s">
        <v>445</v>
      </c>
      <c r="L283" s="346"/>
      <c r="M283" s="343"/>
      <c r="N283" s="346"/>
      <c r="O283" s="150" t="s">
        <v>434</v>
      </c>
      <c r="P283" s="150"/>
      <c r="Q283" s="403"/>
      <c r="R283" s="406">
        <v>132431.04000000001</v>
      </c>
      <c r="S283" s="406">
        <v>123849.26</v>
      </c>
      <c r="T283" s="425"/>
      <c r="U283" s="71"/>
      <c r="V283" s="426">
        <v>10548.89</v>
      </c>
      <c r="W283" s="427">
        <v>8790.74</v>
      </c>
      <c r="X283" s="427">
        <v>9845.6299999999992</v>
      </c>
      <c r="Y283" s="428">
        <v>12307.019999999999</v>
      </c>
      <c r="Z283" s="429">
        <v>9845.619999999999</v>
      </c>
      <c r="AA283" s="429">
        <v>9845.64</v>
      </c>
      <c r="AB283" s="363" t="e">
        <v>#N/A</v>
      </c>
      <c r="AC283" s="363">
        <v>10296</v>
      </c>
      <c r="AD283" s="363">
        <v>10296</v>
      </c>
      <c r="AE283" s="363">
        <v>10296</v>
      </c>
      <c r="AF283" s="363">
        <v>10296</v>
      </c>
      <c r="AG283" s="363">
        <v>10296</v>
      </c>
      <c r="AH283" s="360" t="e">
        <f t="shared" si="18"/>
        <v>#N/A</v>
      </c>
      <c r="AI283" s="362" t="e">
        <f>ERP[[#This Row],[2026 Working Total]]-ERP[[#This Row],[LE2 Final Submission]]</f>
        <v>#N/A</v>
      </c>
      <c r="AJ283" s="79">
        <v>10296</v>
      </c>
      <c r="AK283" s="79">
        <f t="shared" si="17"/>
        <v>-450.36000000000058</v>
      </c>
      <c r="AL283" s="374">
        <f>SUM(ERP[[#This Row],[AP01]:[AP06]])-SUM(ERP[[#This Row],[AP01 LE2]:[AP06 LE2]])</f>
        <v>-889.72000000000116</v>
      </c>
      <c r="AM283" s="80"/>
      <c r="AN283" s="79" t="e">
        <f>ERP[[#This Row],[2026 Working Total to Budget/LE]]-ERP[[#This Row],[Giveback]]</f>
        <v>#N/A</v>
      </c>
      <c r="AO283" s="81"/>
      <c r="AP283" s="375">
        <v>10548.89</v>
      </c>
      <c r="AQ283" s="375">
        <v>8790.74</v>
      </c>
      <c r="AR283" s="375">
        <v>9845.6299999999992</v>
      </c>
      <c r="AS283" s="375">
        <v>12296</v>
      </c>
      <c r="AT283" s="375">
        <v>10296</v>
      </c>
      <c r="AU283" s="375">
        <v>10296</v>
      </c>
      <c r="AV283" s="375">
        <v>10296</v>
      </c>
      <c r="AW283" s="375">
        <v>10296</v>
      </c>
      <c r="AX283" s="375">
        <v>10296</v>
      </c>
      <c r="AY283" s="375">
        <v>10296</v>
      </c>
      <c r="AZ283" s="375">
        <v>10296</v>
      </c>
      <c r="BA283" s="375">
        <v>10296</v>
      </c>
      <c r="BB283" s="375">
        <v>123849.26</v>
      </c>
      <c r="BC283" s="79">
        <v>10548.89</v>
      </c>
      <c r="BD283" s="79">
        <v>8790.74</v>
      </c>
      <c r="BE283" s="79">
        <v>9845.6299999999992</v>
      </c>
      <c r="BF283" s="79">
        <v>11035.92</v>
      </c>
      <c r="BG283" s="79">
        <v>11035.92</v>
      </c>
      <c r="BH283" s="79">
        <v>11035.92</v>
      </c>
      <c r="BI283" s="79">
        <v>11035.92</v>
      </c>
      <c r="BJ283" s="79">
        <v>11035.92</v>
      </c>
      <c r="BK283" s="79">
        <v>11035.92</v>
      </c>
      <c r="BL283" s="79">
        <v>11035.92</v>
      </c>
      <c r="BM283" s="79">
        <v>11035.92</v>
      </c>
      <c r="BN283" s="79">
        <v>11035.92</v>
      </c>
      <c r="BO283" s="79">
        <v>128508.53999999998</v>
      </c>
    </row>
    <row r="284" spans="1:67" ht="15" customHeight="1">
      <c r="A284" s="66" t="s">
        <v>1396</v>
      </c>
      <c r="B284" s="66" t="s">
        <v>182</v>
      </c>
      <c r="C284" s="150" t="s">
        <v>1136</v>
      </c>
      <c r="D284" s="150" t="s">
        <v>1345</v>
      </c>
      <c r="E284" s="150" t="s">
        <v>1344</v>
      </c>
      <c r="F284" s="150" t="s">
        <v>1346</v>
      </c>
      <c r="G284" s="511" t="s">
        <v>49</v>
      </c>
      <c r="H284" s="392" t="s">
        <v>1397</v>
      </c>
      <c r="I284" s="343"/>
      <c r="J284" s="343"/>
      <c r="K284" s="70" t="s">
        <v>183</v>
      </c>
      <c r="L284" s="346"/>
      <c r="M284" s="343"/>
      <c r="N284" s="346"/>
      <c r="O284" s="150" t="s">
        <v>119</v>
      </c>
      <c r="P284" s="150"/>
      <c r="Q284" s="403"/>
      <c r="R284" s="406">
        <v>25000</v>
      </c>
      <c r="S284" s="406">
        <v>25000</v>
      </c>
      <c r="T284" s="425"/>
      <c r="U284" s="71"/>
      <c r="V284" s="426"/>
      <c r="W284" s="427"/>
      <c r="X284" s="427"/>
      <c r="Y284" s="428" t="s">
        <v>1142</v>
      </c>
      <c r="Z284" s="429">
        <v>0</v>
      </c>
      <c r="AA284" s="429">
        <v>0</v>
      </c>
      <c r="AB284" s="363" t="e">
        <v>#N/A</v>
      </c>
      <c r="AC284" s="363">
        <v>25000</v>
      </c>
      <c r="AD284" s="360">
        <v>0</v>
      </c>
      <c r="AE284" s="360">
        <v>0</v>
      </c>
      <c r="AF284" s="360">
        <v>0</v>
      </c>
      <c r="AG284" s="360">
        <v>0</v>
      </c>
      <c r="AH284" s="360" t="e">
        <f t="shared" si="18"/>
        <v>#N/A</v>
      </c>
      <c r="AI284" s="362" t="e">
        <f>ERP[[#This Row],[2026 Working Total]]-ERP[[#This Row],[LE2 Final Submission]]</f>
        <v>#N/A</v>
      </c>
      <c r="AJ284" s="79"/>
      <c r="AK284" s="79">
        <f t="shared" si="17"/>
        <v>0</v>
      </c>
      <c r="AL284" s="374">
        <f>SUM(ERP[[#This Row],[AP01]:[AP06]])-SUM(ERP[[#This Row],[AP01 LE2]:[AP06 LE2]])</f>
        <v>0</v>
      </c>
      <c r="AM284" s="80"/>
      <c r="AN284" s="79" t="e">
        <f>ERP[[#This Row],[2026 Working Total to Budget/LE]]-ERP[[#This Row],[Giveback]]</f>
        <v>#N/A</v>
      </c>
      <c r="AO284" s="81"/>
      <c r="AP284" s="375"/>
      <c r="AQ284" s="375"/>
      <c r="AR284" s="375"/>
      <c r="AS284" s="375"/>
      <c r="AT284" s="375"/>
      <c r="AU284" s="375"/>
      <c r="AV284" s="375"/>
      <c r="AW284" s="375">
        <v>25000</v>
      </c>
      <c r="AX284" s="375">
        <v>0</v>
      </c>
      <c r="AY284" s="375">
        <v>0</v>
      </c>
      <c r="AZ284" s="375">
        <v>0</v>
      </c>
      <c r="BA284" s="375">
        <v>0</v>
      </c>
      <c r="BB284" s="375">
        <v>25000</v>
      </c>
      <c r="BC284" s="79"/>
      <c r="BD284" s="79"/>
      <c r="BE284" s="79"/>
      <c r="BF284" s="79"/>
      <c r="BG284" s="79"/>
      <c r="BH284" s="79"/>
      <c r="BI284" s="79"/>
      <c r="BJ284" s="79">
        <v>25000</v>
      </c>
      <c r="BK284" s="79">
        <v>0</v>
      </c>
      <c r="BL284" s="79">
        <v>0</v>
      </c>
      <c r="BM284" s="79">
        <v>0</v>
      </c>
      <c r="BN284" s="79">
        <v>0</v>
      </c>
      <c r="BO284" s="79">
        <v>25000</v>
      </c>
    </row>
    <row r="285" spans="1:67" ht="15" customHeight="1">
      <c r="A285" s="66" t="s">
        <v>1966</v>
      </c>
      <c r="B285" s="66" t="s">
        <v>494</v>
      </c>
      <c r="C285" s="150" t="s">
        <v>1136</v>
      </c>
      <c r="D285" s="150" t="s">
        <v>1345</v>
      </c>
      <c r="E285" s="150" t="s">
        <v>1344</v>
      </c>
      <c r="F285" s="150" t="s">
        <v>1346</v>
      </c>
      <c r="G285" s="511" t="s">
        <v>389</v>
      </c>
      <c r="H285" s="392" t="s">
        <v>1967</v>
      </c>
      <c r="I285" s="343"/>
      <c r="J285" s="343"/>
      <c r="K285" s="70" t="s">
        <v>495</v>
      </c>
      <c r="L285" s="346"/>
      <c r="M285" s="346" t="s">
        <v>1140</v>
      </c>
      <c r="N285" s="346"/>
      <c r="O285" s="150" t="s">
        <v>57</v>
      </c>
      <c r="P285" s="150"/>
      <c r="Q285" s="403"/>
      <c r="R285" s="406">
        <v>8600</v>
      </c>
      <c r="S285" s="406">
        <v>8392.24</v>
      </c>
      <c r="T285" s="425"/>
      <c r="U285" s="71"/>
      <c r="V285" s="426">
        <v>540.58000000000004</v>
      </c>
      <c r="W285" s="427">
        <v>540.04999999999995</v>
      </c>
      <c r="X285" s="427">
        <v>511.61</v>
      </c>
      <c r="Y285" s="428">
        <v>547.18999999999994</v>
      </c>
      <c r="Z285" s="429">
        <v>534.1099999999999</v>
      </c>
      <c r="AA285" s="429">
        <v>539.85</v>
      </c>
      <c r="AB285" s="363" t="e">
        <v>#N/A</v>
      </c>
      <c r="AC285" s="363">
        <v>600</v>
      </c>
      <c r="AD285" s="363">
        <v>600</v>
      </c>
      <c r="AE285" s="363">
        <v>600</v>
      </c>
      <c r="AF285" s="363">
        <v>600</v>
      </c>
      <c r="AG285" s="363">
        <v>2000</v>
      </c>
      <c r="AH285" s="360" t="e">
        <f t="shared" si="18"/>
        <v>#N/A</v>
      </c>
      <c r="AI285" s="362" t="e">
        <f>ERP[[#This Row],[2026 Working Total]]-ERP[[#This Row],[LE2 Final Submission]]</f>
        <v>#N/A</v>
      </c>
      <c r="AJ285" s="79">
        <v>600</v>
      </c>
      <c r="AK285" s="79">
        <f t="shared" si="17"/>
        <v>-60.149999999999977</v>
      </c>
      <c r="AL285" s="374">
        <f>SUM(ERP[[#This Row],[AP01]:[AP06]])-SUM(ERP[[#This Row],[AP01 LE2]:[AP06 LE2]])</f>
        <v>-178.85000000000036</v>
      </c>
      <c r="AM285" s="80"/>
      <c r="AN285" s="79" t="e">
        <f>ERP[[#This Row],[2026 Working Total to Budget/LE]]-ERP[[#This Row],[Giveback]]</f>
        <v>#N/A</v>
      </c>
      <c r="AO285" s="81"/>
      <c r="AP285" s="375">
        <v>540.58000000000004</v>
      </c>
      <c r="AQ285" s="375">
        <v>540.04999999999995</v>
      </c>
      <c r="AR285" s="375">
        <v>511.61</v>
      </c>
      <c r="AS285" s="375">
        <v>600</v>
      </c>
      <c r="AT285" s="375">
        <v>600</v>
      </c>
      <c r="AU285" s="375">
        <v>600</v>
      </c>
      <c r="AV285" s="375">
        <v>600</v>
      </c>
      <c r="AW285" s="375">
        <v>600</v>
      </c>
      <c r="AX285" s="375">
        <v>600</v>
      </c>
      <c r="AY285" s="375">
        <v>600</v>
      </c>
      <c r="AZ285" s="375">
        <v>600</v>
      </c>
      <c r="BA285" s="375">
        <v>2000</v>
      </c>
      <c r="BB285" s="375">
        <v>8392.24</v>
      </c>
      <c r="BC285" s="79">
        <v>540.58000000000004</v>
      </c>
      <c r="BD285" s="79">
        <v>540.04999999999995</v>
      </c>
      <c r="BE285" s="79">
        <v>511.61</v>
      </c>
      <c r="BF285" s="79">
        <v>600</v>
      </c>
      <c r="BG285" s="79">
        <v>600</v>
      </c>
      <c r="BH285" s="79">
        <v>600</v>
      </c>
      <c r="BI285" s="79">
        <v>600</v>
      </c>
      <c r="BJ285" s="79">
        <v>600</v>
      </c>
      <c r="BK285" s="79">
        <v>600</v>
      </c>
      <c r="BL285" s="79">
        <v>600</v>
      </c>
      <c r="BM285" s="79">
        <v>600</v>
      </c>
      <c r="BN285" s="79">
        <v>2000</v>
      </c>
      <c r="BO285" s="79">
        <v>8392.24</v>
      </c>
    </row>
    <row r="286" spans="1:67" ht="15" customHeight="1">
      <c r="A286" s="66" t="s">
        <v>2609</v>
      </c>
      <c r="B286" s="66" t="s">
        <v>904</v>
      </c>
      <c r="C286" s="150" t="s">
        <v>1136</v>
      </c>
      <c r="D286" s="150" t="s">
        <v>1345</v>
      </c>
      <c r="E286" s="150" t="s">
        <v>1344</v>
      </c>
      <c r="F286" s="150" t="s">
        <v>1346</v>
      </c>
      <c r="G286" s="511" t="s">
        <v>639</v>
      </c>
      <c r="H286" s="392" t="s">
        <v>1967</v>
      </c>
      <c r="I286" s="343"/>
      <c r="J286" s="343"/>
      <c r="K286" s="70" t="s">
        <v>495</v>
      </c>
      <c r="L286" s="346"/>
      <c r="M286" s="346" t="s">
        <v>1140</v>
      </c>
      <c r="N286" s="346"/>
      <c r="O286" s="150" t="s">
        <v>57</v>
      </c>
      <c r="P286" s="150"/>
      <c r="Q286" s="403"/>
      <c r="R286" s="406">
        <v>3348</v>
      </c>
      <c r="S286" s="406">
        <v>3659.38</v>
      </c>
      <c r="T286" s="430"/>
      <c r="U286" s="137"/>
      <c r="V286" s="426">
        <v>279.45999999999998</v>
      </c>
      <c r="W286" s="427">
        <v>279.45999999999998</v>
      </c>
      <c r="X286" s="427">
        <v>589.46</v>
      </c>
      <c r="Y286" s="428">
        <v>279.45999999999998</v>
      </c>
      <c r="Z286" s="429">
        <v>279.45999999999998</v>
      </c>
      <c r="AA286" s="429">
        <v>279.45999999999998</v>
      </c>
      <c r="AB286" s="363" t="e">
        <v>#N/A</v>
      </c>
      <c r="AC286" s="363">
        <v>279</v>
      </c>
      <c r="AD286" s="363">
        <v>279</v>
      </c>
      <c r="AE286" s="363">
        <v>279</v>
      </c>
      <c r="AF286" s="363">
        <v>279</v>
      </c>
      <c r="AG286" s="363">
        <v>279</v>
      </c>
      <c r="AH286" s="360" t="e">
        <f t="shared" si="18"/>
        <v>#N/A</v>
      </c>
      <c r="AI286" s="362" t="e">
        <f>ERP[[#This Row],[2026 Working Total]]-ERP[[#This Row],[LE2 Final Submission]]</f>
        <v>#N/A</v>
      </c>
      <c r="AJ286" s="79">
        <v>279</v>
      </c>
      <c r="AK286" s="79">
        <f t="shared" si="17"/>
        <v>0.45999999999997954</v>
      </c>
      <c r="AL286" s="374">
        <f>SUM(ERP[[#This Row],[AP01]:[AP06]])-SUM(ERP[[#This Row],[AP01 LE2]:[AP06 LE2]])</f>
        <v>1.3800000000001091</v>
      </c>
      <c r="AM286" s="80"/>
      <c r="AN286" s="79" t="e">
        <f>ERP[[#This Row],[2026 Working Total to Budget/LE]]-ERP[[#This Row],[Giveback]]</f>
        <v>#N/A</v>
      </c>
      <c r="AO286" s="81" t="s">
        <v>2610</v>
      </c>
      <c r="AP286" s="375">
        <v>279.45999999999998</v>
      </c>
      <c r="AQ286" s="375">
        <v>279.45999999999998</v>
      </c>
      <c r="AR286" s="375">
        <v>589.46</v>
      </c>
      <c r="AS286" s="375">
        <v>279</v>
      </c>
      <c r="AT286" s="375">
        <v>279</v>
      </c>
      <c r="AU286" s="375">
        <v>279</v>
      </c>
      <c r="AV286" s="375">
        <v>279</v>
      </c>
      <c r="AW286" s="375">
        <v>279</v>
      </c>
      <c r="AX286" s="375">
        <v>279</v>
      </c>
      <c r="AY286" s="375">
        <v>279</v>
      </c>
      <c r="AZ286" s="375">
        <v>279</v>
      </c>
      <c r="BA286" s="375">
        <v>279</v>
      </c>
      <c r="BB286" s="375">
        <v>3659.38</v>
      </c>
      <c r="BC286" s="79">
        <v>279.45999999999998</v>
      </c>
      <c r="BD286" s="79">
        <v>279.45999999999998</v>
      </c>
      <c r="BE286" s="79">
        <v>589.46</v>
      </c>
      <c r="BF286" s="79">
        <v>279</v>
      </c>
      <c r="BG286" s="79">
        <v>279</v>
      </c>
      <c r="BH286" s="79">
        <v>279</v>
      </c>
      <c r="BI286" s="79">
        <v>279</v>
      </c>
      <c r="BJ286" s="79">
        <v>279</v>
      </c>
      <c r="BK286" s="79">
        <v>279</v>
      </c>
      <c r="BL286" s="79">
        <v>279</v>
      </c>
      <c r="BM286" s="79">
        <v>279</v>
      </c>
      <c r="BN286" s="79">
        <v>279</v>
      </c>
      <c r="BO286" s="79">
        <v>3659.38</v>
      </c>
    </row>
    <row r="287" spans="1:67" ht="15" customHeight="1">
      <c r="A287" s="66" t="s">
        <v>1968</v>
      </c>
      <c r="B287" s="66" t="s">
        <v>496</v>
      </c>
      <c r="C287" s="150" t="s">
        <v>1136</v>
      </c>
      <c r="D287" s="150" t="s">
        <v>1345</v>
      </c>
      <c r="E287" s="150" t="s">
        <v>1344</v>
      </c>
      <c r="F287" s="150" t="s">
        <v>1346</v>
      </c>
      <c r="G287" s="511" t="s">
        <v>389</v>
      </c>
      <c r="H287" s="392" t="s">
        <v>1969</v>
      </c>
      <c r="I287" s="343"/>
      <c r="J287" s="343"/>
      <c r="K287" s="70" t="s">
        <v>497</v>
      </c>
      <c r="L287" s="346"/>
      <c r="M287" s="343"/>
      <c r="N287" s="346"/>
      <c r="O287" s="150" t="s">
        <v>25</v>
      </c>
      <c r="P287" s="150"/>
      <c r="Q287" s="403"/>
      <c r="R287" s="406">
        <v>1560</v>
      </c>
      <c r="S287" s="406">
        <v>1536.8899999999999</v>
      </c>
      <c r="T287" s="425"/>
      <c r="U287" s="71"/>
      <c r="V287" s="426">
        <v>124.95</v>
      </c>
      <c r="W287" s="427">
        <v>125.88</v>
      </c>
      <c r="X287" s="427">
        <v>116.06</v>
      </c>
      <c r="Y287" s="428">
        <v>129.38999999999999</v>
      </c>
      <c r="Z287" s="429">
        <v>122.35</v>
      </c>
      <c r="AA287" s="429">
        <v>125.51999999999998</v>
      </c>
      <c r="AB287" s="363" t="e">
        <v>#N/A</v>
      </c>
      <c r="AC287" s="363">
        <v>130</v>
      </c>
      <c r="AD287" s="363">
        <v>130</v>
      </c>
      <c r="AE287" s="363">
        <v>130</v>
      </c>
      <c r="AF287" s="363">
        <v>130</v>
      </c>
      <c r="AG287" s="363">
        <v>130</v>
      </c>
      <c r="AH287" s="360" t="e">
        <f t="shared" si="18"/>
        <v>#N/A</v>
      </c>
      <c r="AI287" s="362" t="e">
        <f>ERP[[#This Row],[2026 Working Total]]-ERP[[#This Row],[LE2 Final Submission]]</f>
        <v>#N/A</v>
      </c>
      <c r="AJ287" s="79">
        <v>130</v>
      </c>
      <c r="AK287" s="79">
        <f t="shared" si="17"/>
        <v>-4.4800000000000182</v>
      </c>
      <c r="AL287" s="374">
        <f>SUM(ERP[[#This Row],[AP01]:[AP06]])-SUM(ERP[[#This Row],[AP01 LE2]:[AP06 LE2]])</f>
        <v>-12.740000000000009</v>
      </c>
      <c r="AM287" s="80"/>
      <c r="AN287" s="79" t="e">
        <f>ERP[[#This Row],[2026 Working Total to Budget/LE]]-ERP[[#This Row],[Giveback]]</f>
        <v>#N/A</v>
      </c>
      <c r="AO287" s="81"/>
      <c r="AP287" s="375">
        <v>124.95</v>
      </c>
      <c r="AQ287" s="375">
        <v>125.88</v>
      </c>
      <c r="AR287" s="375">
        <v>116.06</v>
      </c>
      <c r="AS287" s="375">
        <v>130</v>
      </c>
      <c r="AT287" s="375">
        <v>130</v>
      </c>
      <c r="AU287" s="375">
        <v>130</v>
      </c>
      <c r="AV287" s="375">
        <v>130</v>
      </c>
      <c r="AW287" s="375">
        <v>130</v>
      </c>
      <c r="AX287" s="375">
        <v>130</v>
      </c>
      <c r="AY287" s="375">
        <v>130</v>
      </c>
      <c r="AZ287" s="375">
        <v>130</v>
      </c>
      <c r="BA287" s="375">
        <v>130</v>
      </c>
      <c r="BB287" s="375">
        <v>1536.8899999999999</v>
      </c>
      <c r="BC287" s="79">
        <v>124.95</v>
      </c>
      <c r="BD287" s="79">
        <v>125.88</v>
      </c>
      <c r="BE287" s="79">
        <v>116.06</v>
      </c>
      <c r="BF287" s="79">
        <v>130</v>
      </c>
      <c r="BG287" s="79">
        <v>130</v>
      </c>
      <c r="BH287" s="79">
        <v>130</v>
      </c>
      <c r="BI287" s="79">
        <v>130</v>
      </c>
      <c r="BJ287" s="79">
        <v>130</v>
      </c>
      <c r="BK287" s="79">
        <v>130</v>
      </c>
      <c r="BL287" s="79">
        <v>130</v>
      </c>
      <c r="BM287" s="79">
        <v>130</v>
      </c>
      <c r="BN287" s="79">
        <v>130</v>
      </c>
      <c r="BO287" s="79">
        <v>1536.8899999999999</v>
      </c>
    </row>
    <row r="288" spans="1:67" ht="15" customHeight="1">
      <c r="A288" s="66" t="s">
        <v>2068</v>
      </c>
      <c r="B288" s="66" t="s">
        <v>556</v>
      </c>
      <c r="C288" s="150" t="s">
        <v>1136</v>
      </c>
      <c r="D288" s="150" t="s">
        <v>1345</v>
      </c>
      <c r="E288" s="150" t="s">
        <v>1515</v>
      </c>
      <c r="F288" s="150" t="s">
        <v>1346</v>
      </c>
      <c r="G288" s="511" t="s">
        <v>389</v>
      </c>
      <c r="H288" s="392" t="s">
        <v>1969</v>
      </c>
      <c r="I288" s="343"/>
      <c r="J288" s="343"/>
      <c r="K288" s="70" t="s">
        <v>497</v>
      </c>
      <c r="L288" s="346"/>
      <c r="M288" s="343"/>
      <c r="N288" s="346"/>
      <c r="O288" s="150" t="s">
        <v>25</v>
      </c>
      <c r="P288" s="150"/>
      <c r="Q288" s="403"/>
      <c r="R288" s="406">
        <v>4213</v>
      </c>
      <c r="S288" s="406">
        <v>3403</v>
      </c>
      <c r="T288" s="425"/>
      <c r="U288" s="71"/>
      <c r="V288" s="426"/>
      <c r="W288" s="427"/>
      <c r="X288" s="427"/>
      <c r="Y288" s="428" t="s">
        <v>1142</v>
      </c>
      <c r="Z288" s="429">
        <v>0</v>
      </c>
      <c r="AA288" s="429">
        <v>0</v>
      </c>
      <c r="AB288" s="363" t="e">
        <v>#N/A</v>
      </c>
      <c r="AC288" s="363">
        <v>267</v>
      </c>
      <c r="AD288" s="363">
        <v>267</v>
      </c>
      <c r="AE288" s="363">
        <v>267</v>
      </c>
      <c r="AF288" s="363">
        <v>267</v>
      </c>
      <c r="AG288" s="363">
        <v>1267</v>
      </c>
      <c r="AH288" s="360" t="e">
        <f t="shared" si="18"/>
        <v>#N/A</v>
      </c>
      <c r="AI288" s="362" t="e">
        <f>ERP[[#This Row],[2026 Working Total]]-ERP[[#This Row],[LE2 Final Submission]]</f>
        <v>#N/A</v>
      </c>
      <c r="AJ288" s="79">
        <v>267</v>
      </c>
      <c r="AK288" s="79">
        <f t="shared" si="17"/>
        <v>-267</v>
      </c>
      <c r="AL288" s="374">
        <f>SUM(ERP[[#This Row],[AP01]:[AP06]])-SUM(ERP[[#This Row],[AP01 LE2]:[AP06 LE2]])</f>
        <v>-801</v>
      </c>
      <c r="AM288" s="80"/>
      <c r="AN288" s="79" t="e">
        <f>ERP[[#This Row],[2026 Working Total to Budget/LE]]-ERP[[#This Row],[Giveback]]</f>
        <v>#N/A</v>
      </c>
      <c r="AO288" s="81"/>
      <c r="AP288" s="375"/>
      <c r="AQ288" s="375"/>
      <c r="AR288" s="375"/>
      <c r="AS288" s="375">
        <v>267</v>
      </c>
      <c r="AT288" s="375">
        <v>267</v>
      </c>
      <c r="AU288" s="375">
        <v>267</v>
      </c>
      <c r="AV288" s="375">
        <v>267</v>
      </c>
      <c r="AW288" s="375">
        <v>267</v>
      </c>
      <c r="AX288" s="375">
        <v>267</v>
      </c>
      <c r="AY288" s="375">
        <v>267</v>
      </c>
      <c r="AZ288" s="375">
        <v>267</v>
      </c>
      <c r="BA288" s="375">
        <v>1267</v>
      </c>
      <c r="BB288" s="375">
        <v>3403</v>
      </c>
      <c r="BC288" s="79"/>
      <c r="BD288" s="79"/>
      <c r="BE288" s="79"/>
      <c r="BF288" s="79">
        <v>267</v>
      </c>
      <c r="BG288" s="79">
        <v>267</v>
      </c>
      <c r="BH288" s="79">
        <v>267</v>
      </c>
      <c r="BI288" s="79">
        <v>267</v>
      </c>
      <c r="BJ288" s="79">
        <v>267</v>
      </c>
      <c r="BK288" s="79">
        <v>267</v>
      </c>
      <c r="BL288" s="79">
        <v>267</v>
      </c>
      <c r="BM288" s="79">
        <v>267</v>
      </c>
      <c r="BN288" s="79">
        <v>1267</v>
      </c>
      <c r="BO288" s="79">
        <v>3403</v>
      </c>
    </row>
    <row r="289" spans="1:67" ht="15" customHeight="1">
      <c r="A289" s="66" t="s">
        <v>1970</v>
      </c>
      <c r="B289" s="66" t="s">
        <v>498</v>
      </c>
      <c r="C289" s="150" t="s">
        <v>1136</v>
      </c>
      <c r="D289" s="150" t="s">
        <v>1345</v>
      </c>
      <c r="E289" s="150" t="s">
        <v>1344</v>
      </c>
      <c r="F289" s="150" t="s">
        <v>1346</v>
      </c>
      <c r="G289" s="511" t="s">
        <v>389</v>
      </c>
      <c r="H289" s="392" t="s">
        <v>1971</v>
      </c>
      <c r="I289" s="343"/>
      <c r="J289" s="343"/>
      <c r="K289" s="70" t="s">
        <v>499</v>
      </c>
      <c r="L289" s="346"/>
      <c r="M289" s="343"/>
      <c r="N289" s="346"/>
      <c r="O289" s="150" t="s">
        <v>57</v>
      </c>
      <c r="P289" s="150"/>
      <c r="Q289" s="403"/>
      <c r="R289" s="406">
        <v>0</v>
      </c>
      <c r="S289" s="406">
        <v>354.76</v>
      </c>
      <c r="T289" s="430"/>
      <c r="U289" s="137"/>
      <c r="V289" s="426">
        <v>129.77000000000001</v>
      </c>
      <c r="W289" s="427">
        <v>129.72</v>
      </c>
      <c r="X289" s="427">
        <v>95.27</v>
      </c>
      <c r="Y289" s="428">
        <v>108.61</v>
      </c>
      <c r="Z289" s="429">
        <v>126.27000000000001</v>
      </c>
      <c r="AA289" s="429">
        <v>130.19999999999999</v>
      </c>
      <c r="AB289" s="363" t="e">
        <v>#N/A</v>
      </c>
      <c r="AC289" s="360">
        <v>0</v>
      </c>
      <c r="AD289" s="360">
        <v>0</v>
      </c>
      <c r="AE289" s="360">
        <v>0</v>
      </c>
      <c r="AF289" s="360">
        <v>0</v>
      </c>
      <c r="AG289" s="360">
        <v>0</v>
      </c>
      <c r="AH289" s="360" t="e">
        <f t="shared" si="18"/>
        <v>#N/A</v>
      </c>
      <c r="AI289" s="362" t="e">
        <f>ERP[[#This Row],[2026 Working Total]]-ERP[[#This Row],[LE2 Final Submission]]</f>
        <v>#N/A</v>
      </c>
      <c r="AJ289" s="79">
        <v>0</v>
      </c>
      <c r="AK289" s="79">
        <f t="shared" si="17"/>
        <v>130.19999999999999</v>
      </c>
      <c r="AL289" s="374">
        <f>SUM(ERP[[#This Row],[AP01]:[AP06]])-SUM(ERP[[#This Row],[AP01 LE2]:[AP06 LE2]])</f>
        <v>365.07999999999993</v>
      </c>
      <c r="AM289" s="80"/>
      <c r="AN289" s="79" t="e">
        <f>ERP[[#This Row],[2026 Working Total to Budget/LE]]-ERP[[#This Row],[Giveback]]</f>
        <v>#N/A</v>
      </c>
      <c r="AO289" s="81"/>
      <c r="AP289" s="375">
        <v>129.77000000000001</v>
      </c>
      <c r="AQ289" s="375">
        <v>129.72</v>
      </c>
      <c r="AR289" s="375">
        <v>95.27</v>
      </c>
      <c r="AS289" s="375">
        <v>0</v>
      </c>
      <c r="AT289" s="375">
        <v>0</v>
      </c>
      <c r="AU289" s="375">
        <v>0</v>
      </c>
      <c r="AV289" s="375">
        <v>0</v>
      </c>
      <c r="AW289" s="375">
        <v>0</v>
      </c>
      <c r="AX289" s="375">
        <v>0</v>
      </c>
      <c r="AY289" s="375">
        <v>0</v>
      </c>
      <c r="AZ289" s="375">
        <v>0</v>
      </c>
      <c r="BA289" s="375">
        <v>0</v>
      </c>
      <c r="BB289" s="375">
        <v>354.76</v>
      </c>
      <c r="BC289" s="79">
        <v>129.77000000000001</v>
      </c>
      <c r="BD289" s="79">
        <v>129.72</v>
      </c>
      <c r="BE289" s="79">
        <v>95.27</v>
      </c>
      <c r="BF289" s="79">
        <v>0</v>
      </c>
      <c r="BG289" s="79">
        <v>0</v>
      </c>
      <c r="BH289" s="79">
        <v>0</v>
      </c>
      <c r="BI289" s="79">
        <v>0</v>
      </c>
      <c r="BJ289" s="79">
        <v>0</v>
      </c>
      <c r="BK289" s="79">
        <v>0</v>
      </c>
      <c r="BL289" s="79">
        <v>0</v>
      </c>
      <c r="BM289" s="79">
        <v>0</v>
      </c>
      <c r="BN289" s="79">
        <v>0</v>
      </c>
      <c r="BO289" s="79">
        <v>354.76</v>
      </c>
    </row>
    <row r="290" spans="1:67" ht="15" customHeight="1">
      <c r="A290" s="66" t="s">
        <v>2069</v>
      </c>
      <c r="B290" s="66" t="s">
        <v>557</v>
      </c>
      <c r="C290" s="150" t="s">
        <v>1136</v>
      </c>
      <c r="D290" s="150" t="s">
        <v>1345</v>
      </c>
      <c r="E290" s="150" t="s">
        <v>1515</v>
      </c>
      <c r="F290" s="150" t="s">
        <v>1346</v>
      </c>
      <c r="G290" s="511" t="s">
        <v>389</v>
      </c>
      <c r="H290" s="392" t="s">
        <v>1971</v>
      </c>
      <c r="I290" s="343"/>
      <c r="J290" s="343"/>
      <c r="K290" s="70" t="s">
        <v>499</v>
      </c>
      <c r="L290" s="346"/>
      <c r="M290" s="343"/>
      <c r="N290" s="346"/>
      <c r="O290" s="150" t="s">
        <v>57</v>
      </c>
      <c r="P290" s="150"/>
      <c r="Q290" s="403"/>
      <c r="R290" s="406">
        <v>3260</v>
      </c>
      <c r="S290" s="406">
        <v>2780</v>
      </c>
      <c r="T290" s="425"/>
      <c r="U290" s="71"/>
      <c r="V290" s="426"/>
      <c r="W290" s="427"/>
      <c r="X290" s="427"/>
      <c r="Y290" s="428" t="s">
        <v>1142</v>
      </c>
      <c r="Z290" s="429">
        <v>0</v>
      </c>
      <c r="AA290" s="429">
        <v>0</v>
      </c>
      <c r="AB290" s="363" t="e">
        <v>#N/A</v>
      </c>
      <c r="AC290" s="363">
        <v>160</v>
      </c>
      <c r="AD290" s="363">
        <v>160</v>
      </c>
      <c r="AE290" s="363">
        <v>160</v>
      </c>
      <c r="AF290" s="363">
        <v>160</v>
      </c>
      <c r="AG290" s="363">
        <v>1500</v>
      </c>
      <c r="AH290" s="360" t="e">
        <f t="shared" si="18"/>
        <v>#N/A</v>
      </c>
      <c r="AI290" s="362" t="e">
        <f>ERP[[#This Row],[2026 Working Total]]-ERP[[#This Row],[LE2 Final Submission]]</f>
        <v>#N/A</v>
      </c>
      <c r="AJ290" s="79">
        <v>160</v>
      </c>
      <c r="AK290" s="79">
        <f t="shared" si="17"/>
        <v>-160</v>
      </c>
      <c r="AL290" s="374">
        <f>SUM(ERP[[#This Row],[AP01]:[AP06]])-SUM(ERP[[#This Row],[AP01 LE2]:[AP06 LE2]])</f>
        <v>-480</v>
      </c>
      <c r="AM290" s="80"/>
      <c r="AN290" s="79" t="e">
        <f>ERP[[#This Row],[2026 Working Total to Budget/LE]]-ERP[[#This Row],[Giveback]]</f>
        <v>#N/A</v>
      </c>
      <c r="AO290" s="81"/>
      <c r="AP290" s="375"/>
      <c r="AQ290" s="375"/>
      <c r="AR290" s="375"/>
      <c r="AS290" s="375">
        <v>160</v>
      </c>
      <c r="AT290" s="375">
        <v>160</v>
      </c>
      <c r="AU290" s="375">
        <v>160</v>
      </c>
      <c r="AV290" s="375">
        <v>160</v>
      </c>
      <c r="AW290" s="375">
        <v>160</v>
      </c>
      <c r="AX290" s="375">
        <v>160</v>
      </c>
      <c r="AY290" s="375">
        <v>160</v>
      </c>
      <c r="AZ290" s="375">
        <v>160</v>
      </c>
      <c r="BA290" s="375">
        <v>1500</v>
      </c>
      <c r="BB290" s="375">
        <v>2780</v>
      </c>
      <c r="BC290" s="79"/>
      <c r="BD290" s="79"/>
      <c r="BE290" s="79"/>
      <c r="BF290" s="79">
        <v>160</v>
      </c>
      <c r="BG290" s="79">
        <v>160</v>
      </c>
      <c r="BH290" s="79">
        <v>160</v>
      </c>
      <c r="BI290" s="79">
        <v>160</v>
      </c>
      <c r="BJ290" s="79">
        <v>160</v>
      </c>
      <c r="BK290" s="79">
        <v>160</v>
      </c>
      <c r="BL290" s="79">
        <v>160</v>
      </c>
      <c r="BM290" s="79">
        <v>160</v>
      </c>
      <c r="BN290" s="79">
        <v>1500</v>
      </c>
      <c r="BO290" s="79">
        <v>2780</v>
      </c>
    </row>
    <row r="291" spans="1:67" ht="15" customHeight="1">
      <c r="A291" s="66" t="s">
        <v>1398</v>
      </c>
      <c r="B291" s="66" t="s">
        <v>184</v>
      </c>
      <c r="C291" s="150" t="s">
        <v>1136</v>
      </c>
      <c r="D291" s="150" t="s">
        <v>1345</v>
      </c>
      <c r="E291" s="150" t="s">
        <v>1344</v>
      </c>
      <c r="F291" s="150" t="s">
        <v>1346</v>
      </c>
      <c r="G291" s="511" t="s">
        <v>49</v>
      </c>
      <c r="H291" s="392" t="s">
        <v>1399</v>
      </c>
      <c r="I291" s="343"/>
      <c r="J291" s="343"/>
      <c r="K291" s="70" t="s">
        <v>185</v>
      </c>
      <c r="L291" s="346"/>
      <c r="M291" s="343"/>
      <c r="N291" s="346"/>
      <c r="O291" s="150" t="s">
        <v>25</v>
      </c>
      <c r="P291" s="150" t="s">
        <v>1400</v>
      </c>
      <c r="Q291" s="403"/>
      <c r="R291" s="406">
        <v>47697</v>
      </c>
      <c r="S291" s="406">
        <v>53620</v>
      </c>
      <c r="T291" s="430"/>
      <c r="U291" s="137"/>
      <c r="V291" s="426"/>
      <c r="W291" s="427"/>
      <c r="X291" s="427"/>
      <c r="Y291" s="428">
        <v>0</v>
      </c>
      <c r="Z291" s="429">
        <v>5850</v>
      </c>
      <c r="AA291" s="429">
        <v>0</v>
      </c>
      <c r="AB291" s="363" t="e">
        <v>#N/A</v>
      </c>
      <c r="AC291" s="360">
        <v>11847</v>
      </c>
      <c r="AD291" s="363"/>
      <c r="AE291" s="360">
        <v>0</v>
      </c>
      <c r="AF291" s="360">
        <v>0</v>
      </c>
      <c r="AG291" s="360">
        <v>0</v>
      </c>
      <c r="AH291" s="360" t="e">
        <f t="shared" si="18"/>
        <v>#N/A</v>
      </c>
      <c r="AI291" s="362" t="e">
        <f>ERP[[#This Row],[2026 Working Total]]-ERP[[#This Row],[LE2 Final Submission]]</f>
        <v>#N/A</v>
      </c>
      <c r="AJ291" s="79">
        <v>20000</v>
      </c>
      <c r="AK291" s="79">
        <f t="shared" si="17"/>
        <v>-20000</v>
      </c>
      <c r="AL291" s="374">
        <f>SUM(ERP[[#This Row],[AP01]:[AP06]])-SUM(ERP[[#This Row],[AP01 LE2]:[AP06 LE2]])</f>
        <v>-15000</v>
      </c>
      <c r="AM291" s="80"/>
      <c r="AN291" s="79" t="e">
        <f>ERP[[#This Row],[2026 Working Total to Budget/LE]]-ERP[[#This Row],[Giveback]]</f>
        <v>#N/A</v>
      </c>
      <c r="AO291" s="81"/>
      <c r="AP291" s="375"/>
      <c r="AQ291" s="375"/>
      <c r="AR291" s="375"/>
      <c r="AS291" s="375">
        <v>15000</v>
      </c>
      <c r="AT291" s="375">
        <v>5850</v>
      </c>
      <c r="AU291" s="375">
        <v>0</v>
      </c>
      <c r="AV291" s="375">
        <v>23247</v>
      </c>
      <c r="AW291" s="375">
        <v>0</v>
      </c>
      <c r="AX291" s="375">
        <v>9523</v>
      </c>
      <c r="AY291" s="375">
        <v>0</v>
      </c>
      <c r="AZ291" s="375">
        <v>0</v>
      </c>
      <c r="BA291" s="375">
        <v>0</v>
      </c>
      <c r="BB291" s="375">
        <v>53620</v>
      </c>
      <c r="BC291" s="79"/>
      <c r="BD291" s="79"/>
      <c r="BE291" s="79"/>
      <c r="BF291" s="79">
        <v>15000</v>
      </c>
      <c r="BG291" s="79">
        <v>0</v>
      </c>
      <c r="BH291" s="79">
        <v>0</v>
      </c>
      <c r="BI291" s="79">
        <v>23247</v>
      </c>
      <c r="BJ291" s="79">
        <v>0</v>
      </c>
      <c r="BK291" s="79">
        <v>9523</v>
      </c>
      <c r="BL291" s="79">
        <v>0</v>
      </c>
      <c r="BM291" s="79">
        <v>0</v>
      </c>
      <c r="BN291" s="79">
        <v>0</v>
      </c>
      <c r="BO291" s="79">
        <v>47770</v>
      </c>
    </row>
    <row r="292" spans="1:67" ht="15" customHeight="1">
      <c r="A292" s="66" t="s">
        <v>1972</v>
      </c>
      <c r="B292" s="66" t="s">
        <v>500</v>
      </c>
      <c r="C292" s="150" t="s">
        <v>1136</v>
      </c>
      <c r="D292" s="150" t="s">
        <v>1345</v>
      </c>
      <c r="E292" s="150" t="s">
        <v>1344</v>
      </c>
      <c r="F292" s="150" t="s">
        <v>1346</v>
      </c>
      <c r="G292" s="511" t="s">
        <v>389</v>
      </c>
      <c r="H292" s="392" t="s">
        <v>1399</v>
      </c>
      <c r="I292" s="343"/>
      <c r="J292" s="343"/>
      <c r="K292" s="70" t="s">
        <v>185</v>
      </c>
      <c r="L292" s="346"/>
      <c r="M292" s="343"/>
      <c r="N292" s="346"/>
      <c r="O292" s="150" t="s">
        <v>25</v>
      </c>
      <c r="P292" s="150" t="s">
        <v>1400</v>
      </c>
      <c r="Q292" s="403"/>
      <c r="R292" s="406">
        <v>0</v>
      </c>
      <c r="S292" s="406">
        <v>0</v>
      </c>
      <c r="T292" s="425"/>
      <c r="U292" s="71"/>
      <c r="V292" s="426"/>
      <c r="W292" s="427"/>
      <c r="X292" s="427">
        <v>5850</v>
      </c>
      <c r="Y292" s="428">
        <v>0</v>
      </c>
      <c r="Z292" s="429">
        <v>-5800.26</v>
      </c>
      <c r="AA292" s="429">
        <v>63.66</v>
      </c>
      <c r="AB292" s="363" t="e">
        <v>#N/A</v>
      </c>
      <c r="AC292" s="360">
        <v>0</v>
      </c>
      <c r="AD292" s="360">
        <v>0</v>
      </c>
      <c r="AE292" s="360">
        <v>0</v>
      </c>
      <c r="AF292" s="360">
        <v>0</v>
      </c>
      <c r="AG292" s="360">
        <v>0</v>
      </c>
      <c r="AH292" s="360" t="e">
        <f t="shared" si="18"/>
        <v>#N/A</v>
      </c>
      <c r="AI292" s="362" t="e">
        <f>ERP[[#This Row],[2026 Working Total]]-ERP[[#This Row],[LE2 Final Submission]]</f>
        <v>#N/A</v>
      </c>
      <c r="AJ292" s="79">
        <v>0</v>
      </c>
      <c r="AK292" s="79">
        <f t="shared" si="17"/>
        <v>63.66</v>
      </c>
      <c r="AL292" s="374">
        <f>SUM(ERP[[#This Row],[AP01]:[AP06]])-SUM(ERP[[#This Row],[AP01 LE2]:[AP06 LE2]])</f>
        <v>113.39999999999978</v>
      </c>
      <c r="AM292" s="80"/>
      <c r="AN292" s="79" t="e">
        <f>ERP[[#This Row],[2026 Working Total to Budget/LE]]-ERP[[#This Row],[Giveback]]</f>
        <v>#N/A</v>
      </c>
      <c r="AO292" s="81"/>
      <c r="AP292" s="375"/>
      <c r="AQ292" s="375"/>
      <c r="AR292" s="375">
        <v>5850</v>
      </c>
      <c r="AS292" s="375"/>
      <c r="AT292" s="375">
        <v>-5850</v>
      </c>
      <c r="AU292" s="375">
        <v>0</v>
      </c>
      <c r="AV292" s="375">
        <v>0</v>
      </c>
      <c r="AW292" s="375">
        <v>0</v>
      </c>
      <c r="AX292" s="375">
        <v>0</v>
      </c>
      <c r="AY292" s="375">
        <v>0</v>
      </c>
      <c r="AZ292" s="375">
        <v>0</v>
      </c>
      <c r="BA292" s="375">
        <v>0</v>
      </c>
      <c r="BB292" s="375">
        <v>0</v>
      </c>
      <c r="BC292" s="79"/>
      <c r="BD292" s="79"/>
      <c r="BE292" s="79">
        <v>5850</v>
      </c>
      <c r="BF292" s="79">
        <v>0</v>
      </c>
      <c r="BG292" s="79">
        <v>0</v>
      </c>
      <c r="BH292" s="79">
        <v>0</v>
      </c>
      <c r="BI292" s="79">
        <v>0</v>
      </c>
      <c r="BJ292" s="79">
        <v>0</v>
      </c>
      <c r="BK292" s="79">
        <v>0</v>
      </c>
      <c r="BL292" s="79">
        <v>0</v>
      </c>
      <c r="BM292" s="79">
        <v>0</v>
      </c>
      <c r="BN292" s="79">
        <v>0</v>
      </c>
      <c r="BO292" s="79">
        <v>5850</v>
      </c>
    </row>
    <row r="293" spans="1:67" ht="15" customHeight="1">
      <c r="A293" s="79" t="s">
        <v>1853</v>
      </c>
      <c r="B293" s="296" t="s">
        <v>1854</v>
      </c>
      <c r="C293" s="150" t="s">
        <v>1136</v>
      </c>
      <c r="D293" s="332" t="s">
        <v>1135</v>
      </c>
      <c r="E293" s="383" t="s">
        <v>1137</v>
      </c>
      <c r="F293" s="331" t="s">
        <v>1137</v>
      </c>
      <c r="G293" s="512" t="s">
        <v>389</v>
      </c>
      <c r="H293" s="393" t="s">
        <v>1855</v>
      </c>
      <c r="I293" s="343"/>
      <c r="J293" s="331"/>
      <c r="K293" s="91" t="s">
        <v>447</v>
      </c>
      <c r="L293" s="343"/>
      <c r="M293" s="346" t="s">
        <v>1221</v>
      </c>
      <c r="N293" s="348"/>
      <c r="O293" s="386" t="s">
        <v>57</v>
      </c>
      <c r="P293" s="387" t="s">
        <v>1856</v>
      </c>
      <c r="Q293" s="432"/>
      <c r="R293" s="358">
        <v>6000</v>
      </c>
      <c r="S293" s="378">
        <v>4500</v>
      </c>
      <c r="T293" s="425"/>
      <c r="U293" s="71"/>
      <c r="V293" s="433"/>
      <c r="W293" s="434"/>
      <c r="X293" s="434"/>
      <c r="Y293" s="428" t="s">
        <v>1142</v>
      </c>
      <c r="Z293" s="429">
        <v>0</v>
      </c>
      <c r="AA293" s="429">
        <v>0</v>
      </c>
      <c r="AB293" s="363" t="e">
        <v>#N/A</v>
      </c>
      <c r="AC293" s="388">
        <v>500</v>
      </c>
      <c r="AD293" s="388">
        <v>500</v>
      </c>
      <c r="AE293" s="388">
        <v>500</v>
      </c>
      <c r="AF293" s="388">
        <v>500</v>
      </c>
      <c r="AG293" s="388">
        <v>500</v>
      </c>
      <c r="AH293" s="360" t="e">
        <f t="shared" si="18"/>
        <v>#N/A</v>
      </c>
      <c r="AI293" s="362" t="e">
        <f>ERP[[#This Row],[2026 Working Total]]-ERP[[#This Row],[LE2 Final Submission]]</f>
        <v>#N/A</v>
      </c>
      <c r="AJ293" s="79">
        <v>500</v>
      </c>
      <c r="AK293" s="79">
        <f t="shared" si="17"/>
        <v>-500</v>
      </c>
      <c r="AL293" s="374">
        <f>SUM(ERP[[#This Row],[AP01]:[AP06]])-SUM(ERP[[#This Row],[AP01 LE2]:[AP06 LE2]])</f>
        <v>-1500</v>
      </c>
      <c r="AM293" s="80"/>
      <c r="AN293" s="79" t="e">
        <f>ERP[[#This Row],[2026 Working Total to Budget/LE]]-ERP[[#This Row],[Giveback]]</f>
        <v>#N/A</v>
      </c>
      <c r="AO293" s="81"/>
      <c r="AP293" s="375"/>
      <c r="AQ293" s="375"/>
      <c r="AR293" s="375"/>
      <c r="AS293" s="375">
        <v>500</v>
      </c>
      <c r="AT293" s="375">
        <v>500</v>
      </c>
      <c r="AU293" s="375">
        <v>500</v>
      </c>
      <c r="AV293" s="375">
        <v>500</v>
      </c>
      <c r="AW293" s="375">
        <v>500</v>
      </c>
      <c r="AX293" s="375">
        <v>500</v>
      </c>
      <c r="AY293" s="375">
        <v>500</v>
      </c>
      <c r="AZ293" s="375">
        <v>500</v>
      </c>
      <c r="BA293" s="375">
        <v>500</v>
      </c>
      <c r="BB293" s="375">
        <v>4500</v>
      </c>
      <c r="BC293" s="103">
        <v>500</v>
      </c>
      <c r="BD293" s="103">
        <v>500</v>
      </c>
      <c r="BE293" s="103">
        <v>500</v>
      </c>
      <c r="BF293" s="103">
        <v>500</v>
      </c>
      <c r="BG293" s="103">
        <v>500</v>
      </c>
      <c r="BH293" s="103">
        <v>500</v>
      </c>
      <c r="BI293" s="103">
        <v>500</v>
      </c>
      <c r="BJ293" s="103">
        <v>500</v>
      </c>
      <c r="BK293" s="103">
        <v>500</v>
      </c>
      <c r="BL293" s="103">
        <v>500</v>
      </c>
      <c r="BM293" s="103">
        <v>500</v>
      </c>
      <c r="BN293" s="103">
        <v>500</v>
      </c>
      <c r="BO293" s="79">
        <f>SUM(ERP[[#This Row],[2026 AP01]:[2026 AP12]])</f>
        <v>6000</v>
      </c>
    </row>
    <row r="294" spans="1:67" ht="15" customHeight="1">
      <c r="A294" s="66" t="s">
        <v>1857</v>
      </c>
      <c r="B294" s="66" t="s">
        <v>448</v>
      </c>
      <c r="C294" s="150" t="s">
        <v>1136</v>
      </c>
      <c r="D294" s="150" t="s">
        <v>1135</v>
      </c>
      <c r="E294" s="150" t="s">
        <v>1135</v>
      </c>
      <c r="F294" s="150" t="s">
        <v>1137</v>
      </c>
      <c r="G294" s="511" t="s">
        <v>389</v>
      </c>
      <c r="H294" s="392" t="s">
        <v>1858</v>
      </c>
      <c r="I294" s="343"/>
      <c r="J294" s="343"/>
      <c r="K294" s="70" t="s">
        <v>449</v>
      </c>
      <c r="L294" s="346"/>
      <c r="M294" s="346" t="s">
        <v>1140</v>
      </c>
      <c r="N294" s="346"/>
      <c r="O294" s="150" t="s">
        <v>57</v>
      </c>
      <c r="P294" s="150"/>
      <c r="Q294" s="403"/>
      <c r="R294" s="406">
        <v>0</v>
      </c>
      <c r="S294" s="406">
        <v>9126</v>
      </c>
      <c r="T294" s="425"/>
      <c r="U294" s="71"/>
      <c r="V294" s="426"/>
      <c r="W294" s="427"/>
      <c r="X294" s="427"/>
      <c r="Y294" s="428" t="s">
        <v>1142</v>
      </c>
      <c r="Z294" s="429">
        <v>0</v>
      </c>
      <c r="AA294" s="429">
        <v>0</v>
      </c>
      <c r="AB294" s="363" t="e">
        <v>#N/A</v>
      </c>
      <c r="AC294" s="363">
        <v>1300</v>
      </c>
      <c r="AD294" s="363">
        <v>1300</v>
      </c>
      <c r="AE294" s="363">
        <v>1300</v>
      </c>
      <c r="AF294" s="363">
        <v>1300</v>
      </c>
      <c r="AG294" s="363">
        <v>1326</v>
      </c>
      <c r="AH294" s="360" t="e">
        <f t="shared" si="18"/>
        <v>#N/A</v>
      </c>
      <c r="AI294" s="362" t="e">
        <f>ERP[[#This Row],[2026 Working Total]]-ERP[[#This Row],[LE2 Final Submission]]</f>
        <v>#N/A</v>
      </c>
      <c r="AJ294" s="79">
        <v>1300</v>
      </c>
      <c r="AK294" s="79">
        <f t="shared" si="17"/>
        <v>-1300</v>
      </c>
      <c r="AL294" s="374">
        <f>SUM(ERP[[#This Row],[AP01]:[AP06]])-SUM(ERP[[#This Row],[AP01 LE2]:[AP06 LE2]])</f>
        <v>-3042</v>
      </c>
      <c r="AM294" s="80"/>
      <c r="AN294" s="79" t="e">
        <f>ERP[[#This Row],[2026 Working Total to Budget/LE]]-ERP[[#This Row],[Giveback]]</f>
        <v>#N/A</v>
      </c>
      <c r="AO294" s="81"/>
      <c r="AP294" s="375"/>
      <c r="AQ294" s="375"/>
      <c r="AR294" s="375"/>
      <c r="AS294" s="375">
        <v>1014</v>
      </c>
      <c r="AT294" s="375">
        <v>1014</v>
      </c>
      <c r="AU294" s="375">
        <v>1014</v>
      </c>
      <c r="AV294" s="375">
        <v>1014</v>
      </c>
      <c r="AW294" s="375">
        <v>1014</v>
      </c>
      <c r="AX294" s="375">
        <v>1014</v>
      </c>
      <c r="AY294" s="375">
        <v>1014</v>
      </c>
      <c r="AZ294" s="375">
        <v>1014</v>
      </c>
      <c r="BA294" s="375">
        <v>1014</v>
      </c>
      <c r="BB294" s="375">
        <v>9126</v>
      </c>
      <c r="BC294" s="79"/>
      <c r="BD294" s="79"/>
      <c r="BE294" s="79"/>
      <c r="BF294" s="79">
        <v>1014</v>
      </c>
      <c r="BG294" s="79">
        <v>1014</v>
      </c>
      <c r="BH294" s="79">
        <v>1014</v>
      </c>
      <c r="BI294" s="79">
        <v>1014</v>
      </c>
      <c r="BJ294" s="79">
        <v>1014</v>
      </c>
      <c r="BK294" s="79">
        <v>1014</v>
      </c>
      <c r="BL294" s="79">
        <v>1014</v>
      </c>
      <c r="BM294" s="79">
        <v>1014</v>
      </c>
      <c r="BN294" s="79">
        <v>1014</v>
      </c>
      <c r="BO294" s="79">
        <v>9126</v>
      </c>
    </row>
    <row r="295" spans="1:67" ht="15" customHeight="1">
      <c r="A295" s="66" t="s">
        <v>1859</v>
      </c>
      <c r="B295" s="66" t="s">
        <v>1860</v>
      </c>
      <c r="C295" s="150" t="s">
        <v>1136</v>
      </c>
      <c r="D295" s="150" t="s">
        <v>1135</v>
      </c>
      <c r="E295" s="150" t="s">
        <v>1165</v>
      </c>
      <c r="F295" s="150" t="s">
        <v>1137</v>
      </c>
      <c r="G295" s="511" t="s">
        <v>389</v>
      </c>
      <c r="H295" s="392" t="s">
        <v>1858</v>
      </c>
      <c r="I295" s="343"/>
      <c r="J295" s="343"/>
      <c r="K295" s="70" t="s">
        <v>449</v>
      </c>
      <c r="L295" s="346"/>
      <c r="M295" s="346" t="s">
        <v>1140</v>
      </c>
      <c r="N295" s="346"/>
      <c r="O295" s="150" t="s">
        <v>57</v>
      </c>
      <c r="P295" s="150"/>
      <c r="Q295" s="403"/>
      <c r="R295" s="406">
        <v>12168</v>
      </c>
      <c r="S295" s="406">
        <v>9604.119999999999</v>
      </c>
      <c r="T295" s="425"/>
      <c r="U295" s="71"/>
      <c r="V295" s="426">
        <v>243.06</v>
      </c>
      <c r="W295" s="427">
        <v>235.06</v>
      </c>
      <c r="X295" s="431">
        <v>0</v>
      </c>
      <c r="Y295" s="428">
        <v>527.16999999999996</v>
      </c>
      <c r="Z295" s="429">
        <v>288.64999999999998</v>
      </c>
      <c r="AA295" s="429">
        <v>209.08999999999997</v>
      </c>
      <c r="AB295" s="363" t="e">
        <v>#N/A</v>
      </c>
      <c r="AC295" s="363">
        <v>1014</v>
      </c>
      <c r="AD295" s="363">
        <v>1014</v>
      </c>
      <c r="AE295" s="363">
        <v>1014</v>
      </c>
      <c r="AF295" s="363">
        <v>1014</v>
      </c>
      <c r="AG295" s="363">
        <v>1014</v>
      </c>
      <c r="AH295" s="360" t="e">
        <f t="shared" si="18"/>
        <v>#N/A</v>
      </c>
      <c r="AI295" s="362" t="e">
        <f>ERP[[#This Row],[2026 Working Total]]-ERP[[#This Row],[LE2 Final Submission]]</f>
        <v>#N/A</v>
      </c>
      <c r="AJ295" s="79">
        <v>1014</v>
      </c>
      <c r="AK295" s="79">
        <f t="shared" si="17"/>
        <v>-804.91000000000008</v>
      </c>
      <c r="AL295" s="374">
        <f>SUM(ERP[[#This Row],[AP01]:[AP06]])-SUM(ERP[[#This Row],[AP01 LE2]:[AP06 LE2]])</f>
        <v>-2017.09</v>
      </c>
      <c r="AM295" s="80"/>
      <c r="AN295" s="79" t="e">
        <f>ERP[[#This Row],[2026 Working Total to Budget/LE]]-ERP[[#This Row],[Giveback]]</f>
        <v>#N/A</v>
      </c>
      <c r="AO295" s="81"/>
      <c r="AP295" s="375">
        <v>243.06</v>
      </c>
      <c r="AQ295" s="375">
        <v>235.06</v>
      </c>
      <c r="AR295" s="375">
        <v>0</v>
      </c>
      <c r="AS295" s="375">
        <v>1014</v>
      </c>
      <c r="AT295" s="375">
        <v>1014</v>
      </c>
      <c r="AU295" s="375">
        <v>1014</v>
      </c>
      <c r="AV295" s="375">
        <v>1014</v>
      </c>
      <c r="AW295" s="375">
        <v>1014</v>
      </c>
      <c r="AX295" s="375">
        <v>1014</v>
      </c>
      <c r="AY295" s="375">
        <v>1014</v>
      </c>
      <c r="AZ295" s="375">
        <v>1014</v>
      </c>
      <c r="BA295" s="375">
        <v>1014</v>
      </c>
      <c r="BB295" s="375">
        <v>9604.119999999999</v>
      </c>
      <c r="BC295" s="79">
        <v>243.06</v>
      </c>
      <c r="BD295" s="79">
        <v>235.06</v>
      </c>
      <c r="BE295" s="79">
        <v>0</v>
      </c>
      <c r="BF295" s="79">
        <v>1014</v>
      </c>
      <c r="BG295" s="79">
        <v>1014</v>
      </c>
      <c r="BH295" s="79">
        <v>1014</v>
      </c>
      <c r="BI295" s="79">
        <v>1014</v>
      </c>
      <c r="BJ295" s="79">
        <v>1014</v>
      </c>
      <c r="BK295" s="79">
        <v>1014</v>
      </c>
      <c r="BL295" s="79">
        <v>1014</v>
      </c>
      <c r="BM295" s="79">
        <v>1014</v>
      </c>
      <c r="BN295" s="79">
        <v>1014</v>
      </c>
      <c r="BO295" s="79">
        <v>9604.119999999999</v>
      </c>
    </row>
    <row r="296" spans="1:67" ht="15" customHeight="1">
      <c r="A296" s="66" t="s">
        <v>2265</v>
      </c>
      <c r="B296" s="66" t="s">
        <v>2266</v>
      </c>
      <c r="C296" s="150" t="s">
        <v>1136</v>
      </c>
      <c r="D296" s="150" t="s">
        <v>1135</v>
      </c>
      <c r="E296" s="150" t="s">
        <v>1165</v>
      </c>
      <c r="F296" s="150" t="s">
        <v>1137</v>
      </c>
      <c r="G296" s="511" t="s">
        <v>639</v>
      </c>
      <c r="H296" s="392" t="s">
        <v>1858</v>
      </c>
      <c r="I296" s="343"/>
      <c r="J296" s="343"/>
      <c r="K296" s="70" t="s">
        <v>449</v>
      </c>
      <c r="L296" s="346"/>
      <c r="M296" s="346" t="s">
        <v>1140</v>
      </c>
      <c r="N296" s="346"/>
      <c r="O296" s="150" t="s">
        <v>57</v>
      </c>
      <c r="P296" s="150"/>
      <c r="Q296" s="403"/>
      <c r="R296" s="406">
        <v>0</v>
      </c>
      <c r="S296" s="406">
        <v>838.37999999999988</v>
      </c>
      <c r="T296" s="425"/>
      <c r="U296" s="71"/>
      <c r="V296" s="426">
        <v>279.45999999999998</v>
      </c>
      <c r="W296" s="427">
        <v>279.45999999999998</v>
      </c>
      <c r="X296" s="427">
        <v>279.45999999999998</v>
      </c>
      <c r="Y296" s="428">
        <v>279.45999999999998</v>
      </c>
      <c r="Z296" s="429">
        <v>139.72999999999999</v>
      </c>
      <c r="AA296" s="429">
        <v>139.72999999999999</v>
      </c>
      <c r="AB296" s="363" t="e">
        <v>#N/A</v>
      </c>
      <c r="AC296" s="360">
        <v>0</v>
      </c>
      <c r="AD296" s="360">
        <v>0</v>
      </c>
      <c r="AE296" s="360">
        <v>0</v>
      </c>
      <c r="AF296" s="360">
        <v>0</v>
      </c>
      <c r="AG296" s="360">
        <v>0</v>
      </c>
      <c r="AH296" s="360" t="e">
        <f t="shared" si="18"/>
        <v>#N/A</v>
      </c>
      <c r="AI296" s="362" t="e">
        <f>ERP[[#This Row],[2026 Working Total]]-ERP[[#This Row],[LE2 Final Submission]]</f>
        <v>#N/A</v>
      </c>
      <c r="AJ296" s="79">
        <v>0</v>
      </c>
      <c r="AK296" s="79">
        <f t="shared" si="17"/>
        <v>139.72999999999999</v>
      </c>
      <c r="AL296" s="374">
        <f>SUM(ERP[[#This Row],[AP01]:[AP06]])-SUM(ERP[[#This Row],[AP01 LE2]:[AP06 LE2]])</f>
        <v>558.92000000000007</v>
      </c>
      <c r="AM296" s="80"/>
      <c r="AN296" s="79" t="e">
        <f>ERP[[#This Row],[2026 Working Total to Budget/LE]]-ERP[[#This Row],[Giveback]]</f>
        <v>#N/A</v>
      </c>
      <c r="AO296" s="81"/>
      <c r="AP296" s="375">
        <v>279.45999999999998</v>
      </c>
      <c r="AQ296" s="375">
        <v>279.45999999999998</v>
      </c>
      <c r="AR296" s="375">
        <v>279.45999999999998</v>
      </c>
      <c r="AS296" s="375">
        <v>0</v>
      </c>
      <c r="AT296" s="375">
        <v>0</v>
      </c>
      <c r="AU296" s="375">
        <v>0</v>
      </c>
      <c r="AV296" s="375">
        <v>0</v>
      </c>
      <c r="AW296" s="375">
        <v>0</v>
      </c>
      <c r="AX296" s="375">
        <v>0</v>
      </c>
      <c r="AY296" s="375">
        <v>0</v>
      </c>
      <c r="AZ296" s="375">
        <v>0</v>
      </c>
      <c r="BA296" s="375">
        <v>0</v>
      </c>
      <c r="BB296" s="375">
        <v>838.37999999999988</v>
      </c>
      <c r="BC296" s="79">
        <v>279.45999999999998</v>
      </c>
      <c r="BD296" s="79">
        <v>279.45999999999998</v>
      </c>
      <c r="BE296" s="79">
        <v>279.45999999999998</v>
      </c>
      <c r="BF296" s="79">
        <v>0</v>
      </c>
      <c r="BG296" s="79">
        <v>0</v>
      </c>
      <c r="BH296" s="79">
        <v>0</v>
      </c>
      <c r="BI296" s="79">
        <v>0</v>
      </c>
      <c r="BJ296" s="79">
        <v>0</v>
      </c>
      <c r="BK296" s="79">
        <v>0</v>
      </c>
      <c r="BL296" s="79">
        <v>0</v>
      </c>
      <c r="BM296" s="79">
        <v>0</v>
      </c>
      <c r="BN296" s="79">
        <v>0</v>
      </c>
      <c r="BO296" s="79">
        <v>838.37999999999988</v>
      </c>
    </row>
    <row r="297" spans="1:67" ht="15" customHeight="1">
      <c r="A297" s="66" t="s">
        <v>1861</v>
      </c>
      <c r="B297" s="66" t="s">
        <v>1862</v>
      </c>
      <c r="C297" s="150" t="s">
        <v>1136</v>
      </c>
      <c r="D297" s="150" t="s">
        <v>1135</v>
      </c>
      <c r="E297" s="150" t="s">
        <v>1165</v>
      </c>
      <c r="F297" s="150" t="s">
        <v>1137</v>
      </c>
      <c r="G297" s="511" t="s">
        <v>389</v>
      </c>
      <c r="H297" s="392" t="s">
        <v>1863</v>
      </c>
      <c r="I297" s="343"/>
      <c r="J297" s="343"/>
      <c r="K297" s="70" t="s">
        <v>451</v>
      </c>
      <c r="L297" s="346"/>
      <c r="M297" s="346" t="s">
        <v>1140</v>
      </c>
      <c r="N297" s="346"/>
      <c r="O297" s="150" t="s">
        <v>57</v>
      </c>
      <c r="P297" s="150"/>
      <c r="Q297" s="403"/>
      <c r="R297" s="406">
        <v>26558.000004000005</v>
      </c>
      <c r="S297" s="406">
        <v>24873.730003000001</v>
      </c>
      <c r="T297" s="425"/>
      <c r="U297" s="71"/>
      <c r="V297" s="426">
        <v>1680.68</v>
      </c>
      <c r="W297" s="427">
        <v>1679.61</v>
      </c>
      <c r="X297" s="427">
        <v>1594.94</v>
      </c>
      <c r="Y297" s="428">
        <v>1713.8500000000004</v>
      </c>
      <c r="Z297" s="429">
        <v>1788.77</v>
      </c>
      <c r="AA297" s="429">
        <v>1781.77</v>
      </c>
      <c r="AB297" s="363" t="e">
        <v>#N/A</v>
      </c>
      <c r="AC297" s="363">
        <v>2213.166667</v>
      </c>
      <c r="AD297" s="363">
        <v>2213.166667</v>
      </c>
      <c r="AE297" s="363">
        <v>2213.166667</v>
      </c>
      <c r="AF297" s="363">
        <v>2213.166667</v>
      </c>
      <c r="AG297" s="363">
        <v>2213.166667</v>
      </c>
      <c r="AH297" s="360" t="e">
        <f t="shared" si="18"/>
        <v>#N/A</v>
      </c>
      <c r="AI297" s="362" t="e">
        <f>ERP[[#This Row],[2026 Working Total]]-ERP[[#This Row],[LE2 Final Submission]]</f>
        <v>#N/A</v>
      </c>
      <c r="AJ297" s="79">
        <v>2213.166667</v>
      </c>
      <c r="AK297" s="79">
        <f t="shared" si="17"/>
        <v>-431.39666699999998</v>
      </c>
      <c r="AL297" s="374">
        <f>SUM(ERP[[#This Row],[AP01]:[AP06]])-SUM(ERP[[#This Row],[AP01 LE2]:[AP06 LE2]])</f>
        <v>-1355.1100009999973</v>
      </c>
      <c r="AM297" s="80"/>
      <c r="AN297" s="79" t="e">
        <f>ERP[[#This Row],[2026 Working Total to Budget/LE]]-ERP[[#This Row],[Giveback]]</f>
        <v>#N/A</v>
      </c>
      <c r="AO297" s="81"/>
      <c r="AP297" s="375">
        <v>1680.68</v>
      </c>
      <c r="AQ297" s="375">
        <v>1679.61</v>
      </c>
      <c r="AR297" s="375">
        <v>1594.94</v>
      </c>
      <c r="AS297" s="375">
        <v>2213.166667</v>
      </c>
      <c r="AT297" s="375">
        <v>2213.166667</v>
      </c>
      <c r="AU297" s="375">
        <v>2213.166667</v>
      </c>
      <c r="AV297" s="375">
        <v>2213.166667</v>
      </c>
      <c r="AW297" s="375">
        <v>2213.166667</v>
      </c>
      <c r="AX297" s="375">
        <v>2213.166667</v>
      </c>
      <c r="AY297" s="375">
        <v>2213.166667</v>
      </c>
      <c r="AZ297" s="375">
        <v>2213.166667</v>
      </c>
      <c r="BA297" s="375">
        <v>2213.166667</v>
      </c>
      <c r="BB297" s="375">
        <v>24873.730003000001</v>
      </c>
      <c r="BC297" s="79">
        <v>1680.68</v>
      </c>
      <c r="BD297" s="79">
        <v>1679.61</v>
      </c>
      <c r="BE297" s="79">
        <v>1594.94</v>
      </c>
      <c r="BF297" s="79">
        <v>2213.166667</v>
      </c>
      <c r="BG297" s="79">
        <v>2213.166667</v>
      </c>
      <c r="BH297" s="79">
        <v>2213.166667</v>
      </c>
      <c r="BI297" s="79">
        <v>2213.166667</v>
      </c>
      <c r="BJ297" s="79">
        <v>2213.166667</v>
      </c>
      <c r="BK297" s="79">
        <v>2213.166667</v>
      </c>
      <c r="BL297" s="79">
        <v>2213.166667</v>
      </c>
      <c r="BM297" s="79">
        <v>2213.166667</v>
      </c>
      <c r="BN297" s="79">
        <v>2213.166667</v>
      </c>
      <c r="BO297" s="79">
        <v>24873.730003000001</v>
      </c>
    </row>
    <row r="298" spans="1:67" ht="15" customHeight="1">
      <c r="A298" s="66" t="s">
        <v>2267</v>
      </c>
      <c r="B298" s="66" t="s">
        <v>2268</v>
      </c>
      <c r="C298" s="150" t="s">
        <v>1136</v>
      </c>
      <c r="D298" s="150" t="s">
        <v>1135</v>
      </c>
      <c r="E298" s="150" t="s">
        <v>1165</v>
      </c>
      <c r="F298" s="150" t="s">
        <v>1137</v>
      </c>
      <c r="G298" s="511" t="s">
        <v>639</v>
      </c>
      <c r="H298" s="392" t="s">
        <v>1863</v>
      </c>
      <c r="I298" s="343"/>
      <c r="J298" s="343"/>
      <c r="K298" s="70" t="s">
        <v>451</v>
      </c>
      <c r="L298" s="346"/>
      <c r="M298" s="346" t="s">
        <v>1140</v>
      </c>
      <c r="N298" s="346"/>
      <c r="O298" s="150" t="s">
        <v>57</v>
      </c>
      <c r="P298" s="150"/>
      <c r="Q298" s="403"/>
      <c r="R298" s="406">
        <v>1854.9999960000002</v>
      </c>
      <c r="S298" s="406">
        <v>2120.4399970000004</v>
      </c>
      <c r="T298" s="425"/>
      <c r="U298" s="71"/>
      <c r="V298" s="426">
        <v>139.72999999999999</v>
      </c>
      <c r="W298" s="427">
        <v>139.72999999999999</v>
      </c>
      <c r="X298" s="427">
        <v>449.73</v>
      </c>
      <c r="Y298" s="428">
        <v>139.72999999999999</v>
      </c>
      <c r="Z298" s="429">
        <v>139.72999999999999</v>
      </c>
      <c r="AA298" s="429">
        <v>139.72999999999999</v>
      </c>
      <c r="AB298" s="363" t="e">
        <v>#N/A</v>
      </c>
      <c r="AC298" s="363">
        <v>154.58333300000001</v>
      </c>
      <c r="AD298" s="363">
        <v>154.58333300000001</v>
      </c>
      <c r="AE298" s="363">
        <v>154.58333300000001</v>
      </c>
      <c r="AF298" s="363">
        <v>154.58333300000001</v>
      </c>
      <c r="AG298" s="363">
        <v>154.58333300000001</v>
      </c>
      <c r="AH298" s="360" t="e">
        <f t="shared" si="18"/>
        <v>#N/A</v>
      </c>
      <c r="AI298" s="362" t="e">
        <f>ERP[[#This Row],[2026 Working Total]]-ERP[[#This Row],[LE2 Final Submission]]</f>
        <v>#N/A</v>
      </c>
      <c r="AJ298" s="79">
        <v>154.58333300000001</v>
      </c>
      <c r="AK298" s="79">
        <f t="shared" si="17"/>
        <v>-14.853333000000021</v>
      </c>
      <c r="AL298" s="374">
        <f>SUM(ERP[[#This Row],[AP01]:[AP06]])-SUM(ERP[[#This Row],[AP01 LE2]:[AP06 LE2]])</f>
        <v>-44.559999000000062</v>
      </c>
      <c r="AM298" s="80"/>
      <c r="AN298" s="79" t="e">
        <f>ERP[[#This Row],[2026 Working Total to Budget/LE]]-ERP[[#This Row],[Giveback]]</f>
        <v>#N/A</v>
      </c>
      <c r="AO298" s="81"/>
      <c r="AP298" s="375">
        <v>139.72999999999999</v>
      </c>
      <c r="AQ298" s="375">
        <v>139.72999999999999</v>
      </c>
      <c r="AR298" s="375">
        <v>449.73</v>
      </c>
      <c r="AS298" s="375">
        <v>154.58333300000001</v>
      </c>
      <c r="AT298" s="375">
        <v>154.58333300000001</v>
      </c>
      <c r="AU298" s="375">
        <v>154.58333300000001</v>
      </c>
      <c r="AV298" s="375">
        <v>154.58333300000001</v>
      </c>
      <c r="AW298" s="375">
        <v>154.58333300000001</v>
      </c>
      <c r="AX298" s="375">
        <v>154.58333300000001</v>
      </c>
      <c r="AY298" s="375">
        <v>154.58333300000001</v>
      </c>
      <c r="AZ298" s="375">
        <v>154.58333300000001</v>
      </c>
      <c r="BA298" s="375">
        <v>154.58333300000001</v>
      </c>
      <c r="BB298" s="375">
        <v>2120.4399970000004</v>
      </c>
      <c r="BC298" s="79">
        <v>139.72999999999999</v>
      </c>
      <c r="BD298" s="79">
        <v>139.72999999999999</v>
      </c>
      <c r="BE298" s="79">
        <v>449.73</v>
      </c>
      <c r="BF298" s="79">
        <v>154.58333300000001</v>
      </c>
      <c r="BG298" s="79">
        <v>154.58333300000001</v>
      </c>
      <c r="BH298" s="79">
        <v>154.58333300000001</v>
      </c>
      <c r="BI298" s="79">
        <v>154.58333300000001</v>
      </c>
      <c r="BJ298" s="79">
        <v>154.58333300000001</v>
      </c>
      <c r="BK298" s="79">
        <v>154.58333300000001</v>
      </c>
      <c r="BL298" s="79">
        <v>154.58333300000001</v>
      </c>
      <c r="BM298" s="79">
        <v>154.58333300000001</v>
      </c>
      <c r="BN298" s="79">
        <v>154.58333300000001</v>
      </c>
      <c r="BO298" s="79">
        <v>2120.4399970000004</v>
      </c>
    </row>
    <row r="299" spans="1:67" ht="15" customHeight="1">
      <c r="A299" s="66" t="s">
        <v>1864</v>
      </c>
      <c r="B299" s="66" t="s">
        <v>452</v>
      </c>
      <c r="C299" s="150" t="s">
        <v>1136</v>
      </c>
      <c r="D299" s="150" t="s">
        <v>1135</v>
      </c>
      <c r="E299" s="150" t="s">
        <v>1135</v>
      </c>
      <c r="F299" s="150" t="s">
        <v>1137</v>
      </c>
      <c r="G299" s="511" t="s">
        <v>389</v>
      </c>
      <c r="H299" s="392" t="s">
        <v>1863</v>
      </c>
      <c r="I299" s="343"/>
      <c r="J299" s="343"/>
      <c r="K299" s="70" t="s">
        <v>453</v>
      </c>
      <c r="L299" s="346"/>
      <c r="M299" s="343"/>
      <c r="N299" s="346"/>
      <c r="O299" s="150" t="s">
        <v>57</v>
      </c>
      <c r="P299" s="150"/>
      <c r="Q299" s="403"/>
      <c r="R299" s="406">
        <v>60000</v>
      </c>
      <c r="S299" s="406">
        <v>58916.17</v>
      </c>
      <c r="T299" s="430"/>
      <c r="U299" s="137"/>
      <c r="V299" s="426">
        <v>5046.78</v>
      </c>
      <c r="W299" s="427">
        <v>4733.08</v>
      </c>
      <c r="X299" s="427">
        <v>4136.3100000000004</v>
      </c>
      <c r="Y299" s="428">
        <v>1611.3500000000001</v>
      </c>
      <c r="Z299" s="429">
        <v>1548.42</v>
      </c>
      <c r="AA299" s="429">
        <v>448.77000000000004</v>
      </c>
      <c r="AB299" s="363" t="e">
        <v>#N/A</v>
      </c>
      <c r="AC299" s="363">
        <v>5000</v>
      </c>
      <c r="AD299" s="363">
        <v>5000</v>
      </c>
      <c r="AE299" s="363">
        <v>5000</v>
      </c>
      <c r="AF299" s="363">
        <v>5000</v>
      </c>
      <c r="AG299" s="363">
        <v>5000</v>
      </c>
      <c r="AH299" s="360" t="e">
        <f t="shared" si="18"/>
        <v>#N/A</v>
      </c>
      <c r="AI299" s="362" t="e">
        <f>ERP[[#This Row],[2026 Working Total]]-ERP[[#This Row],[LE2 Final Submission]]</f>
        <v>#N/A</v>
      </c>
      <c r="AJ299" s="79">
        <v>5000</v>
      </c>
      <c r="AK299" s="79">
        <f t="shared" si="17"/>
        <v>-4551.2299999999996</v>
      </c>
      <c r="AL299" s="374">
        <f>SUM(ERP[[#This Row],[AP01]:[AP06]])-SUM(ERP[[#This Row],[AP01 LE2]:[AP06 LE2]])</f>
        <v>-11391.46</v>
      </c>
      <c r="AM299" s="80"/>
      <c r="AN299" s="79" t="e">
        <f>ERP[[#This Row],[2026 Working Total to Budget/LE]]-ERP[[#This Row],[Giveback]]</f>
        <v>#N/A</v>
      </c>
      <c r="AO299" s="81"/>
      <c r="AP299" s="375">
        <v>5046.78</v>
      </c>
      <c r="AQ299" s="375">
        <v>4733.08</v>
      </c>
      <c r="AR299" s="375">
        <v>4136.3100000000004</v>
      </c>
      <c r="AS299" s="375">
        <v>5000</v>
      </c>
      <c r="AT299" s="375">
        <v>5000</v>
      </c>
      <c r="AU299" s="375">
        <v>5000</v>
      </c>
      <c r="AV299" s="375">
        <v>5000</v>
      </c>
      <c r="AW299" s="375">
        <v>5000</v>
      </c>
      <c r="AX299" s="375">
        <v>5000</v>
      </c>
      <c r="AY299" s="375">
        <v>5000</v>
      </c>
      <c r="AZ299" s="375">
        <v>5000</v>
      </c>
      <c r="BA299" s="375">
        <v>5000</v>
      </c>
      <c r="BB299" s="375">
        <v>58916.17</v>
      </c>
      <c r="BC299" s="79">
        <v>5046.78</v>
      </c>
      <c r="BD299" s="79">
        <v>4733.08</v>
      </c>
      <c r="BE299" s="79">
        <v>4136.3100000000004</v>
      </c>
      <c r="BF299" s="79">
        <v>5000</v>
      </c>
      <c r="BG299" s="79">
        <v>5000</v>
      </c>
      <c r="BH299" s="79">
        <v>5000</v>
      </c>
      <c r="BI299" s="79">
        <v>5000</v>
      </c>
      <c r="BJ299" s="79">
        <v>5000</v>
      </c>
      <c r="BK299" s="79">
        <v>5000</v>
      </c>
      <c r="BL299" s="79">
        <v>5000</v>
      </c>
      <c r="BM299" s="79">
        <v>5000</v>
      </c>
      <c r="BN299" s="79">
        <v>5000</v>
      </c>
      <c r="BO299" s="79">
        <v>58916.17</v>
      </c>
    </row>
    <row r="300" spans="1:67" ht="15" customHeight="1">
      <c r="A300" s="66" t="s">
        <v>1865</v>
      </c>
      <c r="B300" s="66" t="s">
        <v>1866</v>
      </c>
      <c r="C300" s="150" t="s">
        <v>1136</v>
      </c>
      <c r="D300" s="150" t="s">
        <v>1135</v>
      </c>
      <c r="E300" s="150" t="s">
        <v>1145</v>
      </c>
      <c r="F300" s="150" t="s">
        <v>1137</v>
      </c>
      <c r="G300" s="511" t="s">
        <v>389</v>
      </c>
      <c r="H300" s="392" t="s">
        <v>1863</v>
      </c>
      <c r="I300" s="343"/>
      <c r="J300" s="343"/>
      <c r="K300" s="157" t="s">
        <v>453</v>
      </c>
      <c r="L300" s="346"/>
      <c r="M300" s="343"/>
      <c r="N300" s="346"/>
      <c r="O300" s="150" t="s">
        <v>57</v>
      </c>
      <c r="P300" s="150"/>
      <c r="Q300" s="403"/>
      <c r="R300" s="406">
        <v>0</v>
      </c>
      <c r="S300" s="406">
        <v>81</v>
      </c>
      <c r="T300" s="425"/>
      <c r="U300" s="71"/>
      <c r="V300" s="426">
        <v>1.65</v>
      </c>
      <c r="W300" s="427">
        <v>76.819999999999993</v>
      </c>
      <c r="X300" s="427">
        <v>2.5299999999999998</v>
      </c>
      <c r="Y300" s="428">
        <v>1008.71</v>
      </c>
      <c r="Z300" s="429">
        <v>1060.44</v>
      </c>
      <c r="AA300" s="429">
        <v>17.300000000000068</v>
      </c>
      <c r="AB300" s="363" t="e">
        <v>#N/A</v>
      </c>
      <c r="AC300" s="360">
        <v>0</v>
      </c>
      <c r="AD300" s="360">
        <v>0</v>
      </c>
      <c r="AE300" s="360">
        <v>0</v>
      </c>
      <c r="AF300" s="360">
        <v>0</v>
      </c>
      <c r="AG300" s="360">
        <v>0</v>
      </c>
      <c r="AH300" s="360" t="e">
        <f t="shared" si="18"/>
        <v>#N/A</v>
      </c>
      <c r="AI300" s="362" t="e">
        <f>ERP[[#This Row],[2026 Working Total]]-ERP[[#This Row],[LE2 Final Submission]]</f>
        <v>#N/A</v>
      </c>
      <c r="AJ300" s="79">
        <v>0</v>
      </c>
      <c r="AK300" s="79">
        <f t="shared" si="17"/>
        <v>17.300000000000068</v>
      </c>
      <c r="AL300" s="374">
        <f>SUM(ERP[[#This Row],[AP01]:[AP06]])-SUM(ERP[[#This Row],[AP01 LE2]:[AP06 LE2]])</f>
        <v>2086.4500000000003</v>
      </c>
      <c r="AM300" s="80"/>
      <c r="AN300" s="79" t="e">
        <f>ERP[[#This Row],[2026 Working Total to Budget/LE]]-ERP[[#This Row],[Giveback]]</f>
        <v>#N/A</v>
      </c>
      <c r="AO300" s="81"/>
      <c r="AP300" s="375">
        <v>1.65</v>
      </c>
      <c r="AQ300" s="375">
        <v>76.819999999999993</v>
      </c>
      <c r="AR300" s="375">
        <v>2.5299999999999998</v>
      </c>
      <c r="AS300" s="375">
        <v>0</v>
      </c>
      <c r="AT300" s="375">
        <v>0</v>
      </c>
      <c r="AU300" s="375">
        <v>0</v>
      </c>
      <c r="AV300" s="375">
        <v>0</v>
      </c>
      <c r="AW300" s="375">
        <v>0</v>
      </c>
      <c r="AX300" s="375">
        <v>0</v>
      </c>
      <c r="AY300" s="375">
        <v>0</v>
      </c>
      <c r="AZ300" s="375">
        <v>0</v>
      </c>
      <c r="BA300" s="375">
        <v>0</v>
      </c>
      <c r="BB300" s="375">
        <v>81</v>
      </c>
      <c r="BC300" s="79">
        <v>1.65</v>
      </c>
      <c r="BD300" s="79">
        <v>76.819999999999993</v>
      </c>
      <c r="BE300" s="79">
        <v>2.5299999999999998</v>
      </c>
      <c r="BF300" s="79">
        <v>0</v>
      </c>
      <c r="BG300" s="79">
        <v>0</v>
      </c>
      <c r="BH300" s="79">
        <v>0</v>
      </c>
      <c r="BI300" s="79">
        <v>0</v>
      </c>
      <c r="BJ300" s="79">
        <v>0</v>
      </c>
      <c r="BK300" s="79">
        <v>0</v>
      </c>
      <c r="BL300" s="79">
        <v>0</v>
      </c>
      <c r="BM300" s="79">
        <v>0</v>
      </c>
      <c r="BN300" s="79">
        <v>0</v>
      </c>
      <c r="BO300" s="79">
        <v>81</v>
      </c>
    </row>
    <row r="301" spans="1:67" ht="15" customHeight="1">
      <c r="A301" s="66" t="s">
        <v>1867</v>
      </c>
      <c r="B301" s="66" t="s">
        <v>1868</v>
      </c>
      <c r="C301" s="150" t="s">
        <v>1136</v>
      </c>
      <c r="D301" s="150" t="s">
        <v>1135</v>
      </c>
      <c r="E301" s="150" t="s">
        <v>1165</v>
      </c>
      <c r="F301" s="150" t="s">
        <v>1137</v>
      </c>
      <c r="G301" s="511" t="s">
        <v>389</v>
      </c>
      <c r="H301" s="392" t="s">
        <v>1863</v>
      </c>
      <c r="I301" s="343"/>
      <c r="J301" s="343"/>
      <c r="K301" s="70" t="s">
        <v>453</v>
      </c>
      <c r="L301" s="346"/>
      <c r="M301" s="343"/>
      <c r="N301" s="346"/>
      <c r="O301" s="150" t="s">
        <v>57</v>
      </c>
      <c r="P301" s="150"/>
      <c r="Q301" s="403"/>
      <c r="R301" s="406">
        <v>14400</v>
      </c>
      <c r="S301" s="406">
        <v>11192.33</v>
      </c>
      <c r="T301" s="425"/>
      <c r="U301" s="71"/>
      <c r="V301" s="426">
        <v>200.57</v>
      </c>
      <c r="W301" s="427">
        <v>191.76</v>
      </c>
      <c r="X301" s="431">
        <v>0</v>
      </c>
      <c r="Y301" s="428">
        <v>14.350000000000001</v>
      </c>
      <c r="Z301" s="429">
        <v>11.24</v>
      </c>
      <c r="AA301" s="429">
        <v>0</v>
      </c>
      <c r="AB301" s="363" t="e">
        <v>#N/A</v>
      </c>
      <c r="AC301" s="363">
        <v>1200</v>
      </c>
      <c r="AD301" s="363">
        <v>1200</v>
      </c>
      <c r="AE301" s="363">
        <v>1200</v>
      </c>
      <c r="AF301" s="363">
        <v>1200</v>
      </c>
      <c r="AG301" s="363">
        <v>1200</v>
      </c>
      <c r="AH301" s="360" t="e">
        <f t="shared" si="18"/>
        <v>#N/A</v>
      </c>
      <c r="AI301" s="362" t="e">
        <f>ERP[[#This Row],[2026 Working Total]]-ERP[[#This Row],[LE2 Final Submission]]</f>
        <v>#N/A</v>
      </c>
      <c r="AJ301" s="79">
        <v>1200</v>
      </c>
      <c r="AK301" s="79">
        <f t="shared" si="17"/>
        <v>-1200</v>
      </c>
      <c r="AL301" s="374">
        <f>SUM(ERP[[#This Row],[AP01]:[AP06]])-SUM(ERP[[#This Row],[AP01 LE2]:[AP06 LE2]])</f>
        <v>-3574.41</v>
      </c>
      <c r="AM301" s="80"/>
      <c r="AN301" s="79" t="e">
        <f>ERP[[#This Row],[2026 Working Total to Budget/LE]]-ERP[[#This Row],[Giveback]]</f>
        <v>#N/A</v>
      </c>
      <c r="AO301" s="81"/>
      <c r="AP301" s="375">
        <v>200.57</v>
      </c>
      <c r="AQ301" s="375">
        <v>191.76</v>
      </c>
      <c r="AR301" s="375">
        <v>0</v>
      </c>
      <c r="AS301" s="375">
        <v>1200</v>
      </c>
      <c r="AT301" s="375">
        <v>1200</v>
      </c>
      <c r="AU301" s="375">
        <v>1200</v>
      </c>
      <c r="AV301" s="375">
        <v>1200</v>
      </c>
      <c r="AW301" s="375">
        <v>1200</v>
      </c>
      <c r="AX301" s="375">
        <v>1200</v>
      </c>
      <c r="AY301" s="375">
        <v>1200</v>
      </c>
      <c r="AZ301" s="375">
        <v>1200</v>
      </c>
      <c r="BA301" s="375">
        <v>1200</v>
      </c>
      <c r="BB301" s="375">
        <v>11192.33</v>
      </c>
      <c r="BC301" s="79">
        <v>200.57</v>
      </c>
      <c r="BD301" s="79">
        <v>191.76</v>
      </c>
      <c r="BE301" s="79">
        <v>0</v>
      </c>
      <c r="BF301" s="79">
        <v>1200</v>
      </c>
      <c r="BG301" s="79">
        <v>1200</v>
      </c>
      <c r="BH301" s="79">
        <v>1200</v>
      </c>
      <c r="BI301" s="79">
        <v>1200</v>
      </c>
      <c r="BJ301" s="79">
        <v>1200</v>
      </c>
      <c r="BK301" s="79">
        <v>1200</v>
      </c>
      <c r="BL301" s="79">
        <v>1200</v>
      </c>
      <c r="BM301" s="79">
        <v>1200</v>
      </c>
      <c r="BN301" s="79">
        <v>1200</v>
      </c>
      <c r="BO301" s="79">
        <v>11192.33</v>
      </c>
    </row>
    <row r="302" spans="1:67" ht="15" customHeight="1">
      <c r="A302" s="66" t="s">
        <v>1468</v>
      </c>
      <c r="B302" s="66" t="s">
        <v>218</v>
      </c>
      <c r="C302" s="150" t="s">
        <v>1136</v>
      </c>
      <c r="D302" s="150" t="s">
        <v>1345</v>
      </c>
      <c r="E302" s="150" t="s">
        <v>1450</v>
      </c>
      <c r="F302" s="150" t="s">
        <v>1346</v>
      </c>
      <c r="G302" s="511" t="s">
        <v>49</v>
      </c>
      <c r="H302" s="392" t="s">
        <v>1469</v>
      </c>
      <c r="I302" s="343"/>
      <c r="J302" s="343"/>
      <c r="K302" s="70" t="s">
        <v>219</v>
      </c>
      <c r="L302" s="346"/>
      <c r="M302" s="343"/>
      <c r="N302" s="346"/>
      <c r="O302" s="150" t="s">
        <v>67</v>
      </c>
      <c r="P302" s="150"/>
      <c r="Q302" s="403"/>
      <c r="R302" s="406">
        <v>50000</v>
      </c>
      <c r="S302" s="406">
        <v>50000</v>
      </c>
      <c r="T302" s="430"/>
      <c r="U302" s="137"/>
      <c r="V302" s="426"/>
      <c r="W302" s="427"/>
      <c r="X302" s="427"/>
      <c r="Y302" s="428">
        <v>0</v>
      </c>
      <c r="Z302" s="429">
        <v>49060</v>
      </c>
      <c r="AA302" s="429">
        <v>0</v>
      </c>
      <c r="AB302" s="363" t="e">
        <v>#N/A</v>
      </c>
      <c r="AC302" s="360">
        <v>0</v>
      </c>
      <c r="AD302" s="360">
        <v>0</v>
      </c>
      <c r="AE302" s="360">
        <v>0</v>
      </c>
      <c r="AF302" s="360">
        <v>0</v>
      </c>
      <c r="AG302" s="360">
        <v>0</v>
      </c>
      <c r="AH302" s="360" t="e">
        <f t="shared" si="18"/>
        <v>#N/A</v>
      </c>
      <c r="AI302" s="362" t="e">
        <f>ERP[[#This Row],[2026 Working Total]]-ERP[[#This Row],[LE2 Final Submission]]</f>
        <v>#N/A</v>
      </c>
      <c r="AJ302" s="79">
        <v>0</v>
      </c>
      <c r="AK302" s="79">
        <f t="shared" si="17"/>
        <v>0</v>
      </c>
      <c r="AL302" s="374">
        <f>SUM(ERP[[#This Row],[AP01]:[AP06]])-SUM(ERP[[#This Row],[AP01 LE2]:[AP06 LE2]])</f>
        <v>-940</v>
      </c>
      <c r="AM302" s="80"/>
      <c r="AN302" s="79" t="e">
        <f>ERP[[#This Row],[2026 Working Total to Budget/LE]]-ERP[[#This Row],[Giveback]]</f>
        <v>#N/A</v>
      </c>
      <c r="AO302" s="81"/>
      <c r="AP302" s="375"/>
      <c r="AQ302" s="375"/>
      <c r="AR302" s="375"/>
      <c r="AS302" s="375">
        <v>0</v>
      </c>
      <c r="AT302" s="375">
        <v>50000</v>
      </c>
      <c r="AU302" s="375">
        <v>0</v>
      </c>
      <c r="AV302" s="375">
        <v>0</v>
      </c>
      <c r="AW302" s="375">
        <v>0</v>
      </c>
      <c r="AX302" s="375">
        <v>0</v>
      </c>
      <c r="AY302" s="375">
        <v>0</v>
      </c>
      <c r="AZ302" s="375">
        <v>0</v>
      </c>
      <c r="BA302" s="375">
        <v>0</v>
      </c>
      <c r="BB302" s="375">
        <v>50000</v>
      </c>
      <c r="BC302" s="79"/>
      <c r="BD302" s="79"/>
      <c r="BE302" s="79"/>
      <c r="BF302" s="79">
        <v>50000</v>
      </c>
      <c r="BG302" s="79">
        <v>0</v>
      </c>
      <c r="BH302" s="79">
        <v>0</v>
      </c>
      <c r="BI302" s="79">
        <v>0</v>
      </c>
      <c r="BJ302" s="79">
        <v>0</v>
      </c>
      <c r="BK302" s="79">
        <v>0</v>
      </c>
      <c r="BL302" s="79">
        <v>0</v>
      </c>
      <c r="BM302" s="79">
        <v>0</v>
      </c>
      <c r="BN302" s="79">
        <v>0</v>
      </c>
      <c r="BO302" s="79">
        <v>50000</v>
      </c>
    </row>
    <row r="303" spans="1:67" ht="15" customHeight="1">
      <c r="A303" s="66" t="s">
        <v>1614</v>
      </c>
      <c r="B303" s="66" t="s">
        <v>1615</v>
      </c>
      <c r="C303" s="150" t="s">
        <v>1136</v>
      </c>
      <c r="D303" s="150" t="s">
        <v>1567</v>
      </c>
      <c r="E303" s="150" t="s">
        <v>1567</v>
      </c>
      <c r="F303" s="150" t="s">
        <v>1567</v>
      </c>
      <c r="G303" s="511" t="s">
        <v>49</v>
      </c>
      <c r="H303" s="392" t="s">
        <v>1616</v>
      </c>
      <c r="I303" s="343"/>
      <c r="J303" s="343"/>
      <c r="K303" s="70" t="s">
        <v>300</v>
      </c>
      <c r="L303" s="346"/>
      <c r="M303" s="343"/>
      <c r="N303" s="346"/>
      <c r="O303" s="505" t="s">
        <v>272</v>
      </c>
      <c r="P303" s="150"/>
      <c r="Q303" s="403"/>
      <c r="R303" s="406">
        <v>-1080865</v>
      </c>
      <c r="S303" s="406">
        <v>-1080865</v>
      </c>
      <c r="T303" s="425"/>
      <c r="U303" s="71"/>
      <c r="V303" s="426"/>
      <c r="W303" s="427"/>
      <c r="X303" s="427">
        <v>-180144.16</v>
      </c>
      <c r="Y303" s="428">
        <v>0</v>
      </c>
      <c r="Z303" s="429">
        <v>-270216.24</v>
      </c>
      <c r="AA303" s="429">
        <v>-90072.08</v>
      </c>
      <c r="AB303" s="363" t="e">
        <v>#N/A</v>
      </c>
      <c r="AC303" s="363">
        <v>-180144</v>
      </c>
      <c r="AD303" s="363">
        <v>-90072</v>
      </c>
      <c r="AE303" s="360">
        <v>0</v>
      </c>
      <c r="AF303" s="363">
        <v>-180144</v>
      </c>
      <c r="AG303" s="363">
        <v>-90072.84</v>
      </c>
      <c r="AH303" s="360" t="e">
        <f t="shared" si="18"/>
        <v>#N/A</v>
      </c>
      <c r="AI303" s="362" t="e">
        <f>ERP[[#This Row],[2026 Working Total]]-ERP[[#This Row],[LE2 Final Submission]]</f>
        <v>#N/A</v>
      </c>
      <c r="AJ303" s="79">
        <v>0</v>
      </c>
      <c r="AK303" s="79">
        <f t="shared" si="17"/>
        <v>-90072.08</v>
      </c>
      <c r="AL303" s="374">
        <f>SUM(ERP[[#This Row],[AP01]:[AP06]])-SUM(ERP[[#This Row],[AP01 LE2]:[AP06 LE2]])</f>
        <v>-0.31999999994877726</v>
      </c>
      <c r="AM303" s="80"/>
      <c r="AN303" s="79" t="e">
        <f>ERP[[#This Row],[2026 Working Total to Budget/LE]]-ERP[[#This Row],[Giveback]]</f>
        <v>#N/A</v>
      </c>
      <c r="AO303" s="81"/>
      <c r="AP303" s="375"/>
      <c r="AQ303" s="375"/>
      <c r="AR303" s="375">
        <v>-180144.16</v>
      </c>
      <c r="AS303" s="375">
        <v>0</v>
      </c>
      <c r="AT303" s="375">
        <v>-270216</v>
      </c>
      <c r="AU303" s="375">
        <v>-90072</v>
      </c>
      <c r="AV303" s="375">
        <v>0</v>
      </c>
      <c r="AW303" s="375">
        <v>-180144</v>
      </c>
      <c r="AX303" s="375">
        <v>-90072</v>
      </c>
      <c r="AY303" s="375">
        <v>0</v>
      </c>
      <c r="AZ303" s="375">
        <v>-180144</v>
      </c>
      <c r="BA303" s="375">
        <v>-90072.84</v>
      </c>
      <c r="BB303" s="375">
        <v>-1080865</v>
      </c>
      <c r="BC303" s="79"/>
      <c r="BD303" s="79"/>
      <c r="BE303" s="79">
        <v>-180144.16</v>
      </c>
      <c r="BF303" s="79">
        <v>0</v>
      </c>
      <c r="BG303" s="79">
        <v>-180144.16</v>
      </c>
      <c r="BH303" s="79">
        <v>-90072.08</v>
      </c>
      <c r="BI303" s="79">
        <v>0</v>
      </c>
      <c r="BJ303" s="79">
        <v>-180144.16</v>
      </c>
      <c r="BK303" s="79">
        <v>-90072.08</v>
      </c>
      <c r="BL303" s="79">
        <v>0</v>
      </c>
      <c r="BM303" s="79">
        <v>-180144.16</v>
      </c>
      <c r="BN303" s="79">
        <v>-90072.12</v>
      </c>
      <c r="BO303" s="79">
        <v>-990792.92</v>
      </c>
    </row>
    <row r="304" spans="1:67" ht="15" customHeight="1">
      <c r="A304" s="66" t="s">
        <v>1869</v>
      </c>
      <c r="B304" s="66" t="s">
        <v>1870</v>
      </c>
      <c r="C304" s="150" t="s">
        <v>1136</v>
      </c>
      <c r="D304" s="150" t="s">
        <v>1135</v>
      </c>
      <c r="E304" s="150" t="s">
        <v>1165</v>
      </c>
      <c r="F304" s="150" t="s">
        <v>1137</v>
      </c>
      <c r="G304" s="511" t="s">
        <v>389</v>
      </c>
      <c r="H304" s="392" t="s">
        <v>1871</v>
      </c>
      <c r="I304" s="343"/>
      <c r="J304" s="343"/>
      <c r="K304" s="70" t="s">
        <v>455</v>
      </c>
      <c r="L304" s="346"/>
      <c r="M304" s="343"/>
      <c r="N304" s="346"/>
      <c r="O304" s="150" t="s">
        <v>427</v>
      </c>
      <c r="P304" s="150"/>
      <c r="Q304" s="403"/>
      <c r="R304" s="406">
        <v>376200</v>
      </c>
      <c r="S304" s="406">
        <v>376200.45999999996</v>
      </c>
      <c r="T304" s="425"/>
      <c r="U304" s="71"/>
      <c r="V304" s="426">
        <v>25838</v>
      </c>
      <c r="W304" s="427">
        <v>36872.379999999997</v>
      </c>
      <c r="X304" s="427">
        <v>31340.080000000002</v>
      </c>
      <c r="Y304" s="428">
        <v>25837.46</v>
      </c>
      <c r="Z304" s="429">
        <v>36862.460000000006</v>
      </c>
      <c r="AA304" s="429">
        <v>31349.62</v>
      </c>
      <c r="AB304" s="363" t="e">
        <v>#N/A</v>
      </c>
      <c r="AC304" s="363">
        <v>31350</v>
      </c>
      <c r="AD304" s="363">
        <v>31350</v>
      </c>
      <c r="AE304" s="363">
        <v>31350</v>
      </c>
      <c r="AF304" s="363">
        <v>31350</v>
      </c>
      <c r="AG304" s="363">
        <v>31350</v>
      </c>
      <c r="AH304" s="360" t="e">
        <f t="shared" si="18"/>
        <v>#N/A</v>
      </c>
      <c r="AI304" s="362" t="e">
        <f>ERP[[#This Row],[2026 Working Total]]-ERP[[#This Row],[LE2 Final Submission]]</f>
        <v>#N/A</v>
      </c>
      <c r="AJ304" s="79">
        <v>31350</v>
      </c>
      <c r="AK304" s="79">
        <f t="shared" si="17"/>
        <v>-0.38000000000101863</v>
      </c>
      <c r="AL304" s="374">
        <f>SUM(ERP[[#This Row],[AP01]:[AP06]])-SUM(ERP[[#This Row],[AP01 LE2]:[AP06 LE2]])</f>
        <v>-0.45999999999185093</v>
      </c>
      <c r="AM304" s="80"/>
      <c r="AN304" s="79" t="e">
        <f>ERP[[#This Row],[2026 Working Total to Budget/LE]]-ERP[[#This Row],[Giveback]]</f>
        <v>#N/A</v>
      </c>
      <c r="AO304" s="81"/>
      <c r="AP304" s="375">
        <v>25838</v>
      </c>
      <c r="AQ304" s="375">
        <v>36872.379999999997</v>
      </c>
      <c r="AR304" s="375">
        <v>31340.080000000002</v>
      </c>
      <c r="AS304" s="375">
        <v>31350</v>
      </c>
      <c r="AT304" s="375">
        <v>31350</v>
      </c>
      <c r="AU304" s="375">
        <v>31350</v>
      </c>
      <c r="AV304" s="375">
        <v>31350</v>
      </c>
      <c r="AW304" s="375">
        <v>31350</v>
      </c>
      <c r="AX304" s="375">
        <v>31350</v>
      </c>
      <c r="AY304" s="375">
        <v>31350</v>
      </c>
      <c r="AZ304" s="375">
        <v>31350</v>
      </c>
      <c r="BA304" s="375">
        <v>31350</v>
      </c>
      <c r="BB304" s="375">
        <v>376200.45999999996</v>
      </c>
      <c r="BC304" s="79">
        <v>25838</v>
      </c>
      <c r="BD304" s="79">
        <v>36872.379999999997</v>
      </c>
      <c r="BE304" s="79">
        <v>31340.080000000002</v>
      </c>
      <c r="BF304" s="79">
        <v>31350</v>
      </c>
      <c r="BG304" s="79">
        <v>31350</v>
      </c>
      <c r="BH304" s="79">
        <v>31350</v>
      </c>
      <c r="BI304" s="79">
        <v>31350</v>
      </c>
      <c r="BJ304" s="79">
        <v>31350</v>
      </c>
      <c r="BK304" s="79">
        <v>31350</v>
      </c>
      <c r="BL304" s="79">
        <v>31350</v>
      </c>
      <c r="BM304" s="79">
        <v>31350</v>
      </c>
      <c r="BN304" s="79">
        <v>31350</v>
      </c>
      <c r="BO304" s="79">
        <v>376200.45999999996</v>
      </c>
    </row>
    <row r="305" spans="1:67" ht="15" customHeight="1">
      <c r="A305" s="66" t="s">
        <v>1554</v>
      </c>
      <c r="B305" s="66" t="s">
        <v>262</v>
      </c>
      <c r="C305" s="150" t="s">
        <v>1136</v>
      </c>
      <c r="D305" s="150" t="s">
        <v>1345</v>
      </c>
      <c r="E305" s="150" t="s">
        <v>1515</v>
      </c>
      <c r="F305" s="150" t="s">
        <v>1346</v>
      </c>
      <c r="G305" s="511" t="s">
        <v>49</v>
      </c>
      <c r="H305" s="392" t="s">
        <v>1555</v>
      </c>
      <c r="I305" s="343"/>
      <c r="J305" s="346" t="s">
        <v>1531</v>
      </c>
      <c r="K305" s="70" t="s">
        <v>263</v>
      </c>
      <c r="L305" s="346"/>
      <c r="M305" s="346" t="s">
        <v>1556</v>
      </c>
      <c r="N305" s="346"/>
      <c r="O305" s="150" t="s">
        <v>25</v>
      </c>
      <c r="P305" s="150"/>
      <c r="Q305" s="403"/>
      <c r="R305" s="406">
        <v>357309.48</v>
      </c>
      <c r="S305" s="406">
        <v>263234.2</v>
      </c>
      <c r="T305" s="425"/>
      <c r="U305" s="71"/>
      <c r="V305" s="426"/>
      <c r="W305" s="427"/>
      <c r="X305" s="427">
        <v>168756.2</v>
      </c>
      <c r="Y305" s="428">
        <v>54312.340000000011</v>
      </c>
      <c r="Z305" s="429">
        <v>54312.34</v>
      </c>
      <c r="AA305" s="429">
        <v>67890.420000000013</v>
      </c>
      <c r="AB305" s="363" t="e">
        <v>#N/A</v>
      </c>
      <c r="AC305" s="363">
        <v>11809.75</v>
      </c>
      <c r="AD305" s="363">
        <v>11809.75</v>
      </c>
      <c r="AE305" s="363">
        <v>11809.75</v>
      </c>
      <c r="AF305" s="363">
        <v>11809.75</v>
      </c>
      <c r="AG305" s="363">
        <v>11809.75</v>
      </c>
      <c r="AH305" s="360" t="e">
        <f t="shared" si="18"/>
        <v>#N/A</v>
      </c>
      <c r="AI305" s="362" t="e">
        <f>ERP[[#This Row],[2026 Working Total]]-ERP[[#This Row],[LE2 Final Submission]]</f>
        <v>#N/A</v>
      </c>
      <c r="AJ305" s="79">
        <v>11809.75</v>
      </c>
      <c r="AK305" s="79">
        <f t="shared" si="17"/>
        <v>56080.670000000013</v>
      </c>
      <c r="AL305" s="374">
        <f>SUM(ERP[[#This Row],[AP01]:[AP06]])-SUM(ERP[[#This Row],[AP01 LE2]:[AP06 LE2]])</f>
        <v>152895.60000000003</v>
      </c>
      <c r="AM305" s="80"/>
      <c r="AN305" s="79" t="e">
        <f>ERP[[#This Row],[2026 Working Total to Budget/LE]]-ERP[[#This Row],[Giveback]]</f>
        <v>#N/A</v>
      </c>
      <c r="AO305" s="81"/>
      <c r="AP305" s="375"/>
      <c r="AQ305" s="375"/>
      <c r="AR305" s="375">
        <v>168756.2</v>
      </c>
      <c r="AS305" s="375">
        <v>0</v>
      </c>
      <c r="AT305" s="375">
        <v>11809.75</v>
      </c>
      <c r="AU305" s="375">
        <v>11809.75</v>
      </c>
      <c r="AV305" s="375">
        <v>11809.75</v>
      </c>
      <c r="AW305" s="375">
        <v>11809.75</v>
      </c>
      <c r="AX305" s="375">
        <v>11809.75</v>
      </c>
      <c r="AY305" s="375">
        <v>11809.75</v>
      </c>
      <c r="AZ305" s="375">
        <v>11809.75</v>
      </c>
      <c r="BA305" s="375">
        <v>11809.75</v>
      </c>
      <c r="BB305" s="375">
        <v>263234.2</v>
      </c>
      <c r="BC305" s="79"/>
      <c r="BD305" s="79"/>
      <c r="BE305" s="79">
        <v>168756.2</v>
      </c>
      <c r="BF305" s="79">
        <v>29775.79</v>
      </c>
      <c r="BG305" s="79">
        <v>29775.79</v>
      </c>
      <c r="BH305" s="79">
        <v>29775.79</v>
      </c>
      <c r="BI305" s="79">
        <v>29775.79</v>
      </c>
      <c r="BJ305" s="79">
        <v>29775.79</v>
      </c>
      <c r="BK305" s="79">
        <v>29775.79</v>
      </c>
      <c r="BL305" s="79">
        <v>29775.79</v>
      </c>
      <c r="BM305" s="79">
        <v>29775.79</v>
      </c>
      <c r="BN305" s="79">
        <v>29775.79</v>
      </c>
      <c r="BO305" s="79">
        <v>436738.30999999994</v>
      </c>
    </row>
    <row r="306" spans="1:67" ht="15" customHeight="1">
      <c r="A306" s="66" t="s">
        <v>1872</v>
      </c>
      <c r="B306" s="66" t="s">
        <v>1873</v>
      </c>
      <c r="C306" s="150" t="s">
        <v>1136</v>
      </c>
      <c r="D306" s="150" t="s">
        <v>1135</v>
      </c>
      <c r="E306" s="150" t="s">
        <v>1165</v>
      </c>
      <c r="F306" s="150" t="s">
        <v>1137</v>
      </c>
      <c r="G306" s="511" t="s">
        <v>389</v>
      </c>
      <c r="H306" s="392" t="s">
        <v>1874</v>
      </c>
      <c r="I306" s="343"/>
      <c r="J306" s="343"/>
      <c r="K306" s="70" t="s">
        <v>457</v>
      </c>
      <c r="L306" s="346"/>
      <c r="M306" s="343"/>
      <c r="N306" s="346"/>
      <c r="O306" s="150" t="s">
        <v>25</v>
      </c>
      <c r="P306" s="150"/>
      <c r="Q306" s="403"/>
      <c r="R306" s="406">
        <v>335904</v>
      </c>
      <c r="S306" s="406">
        <v>335903.61</v>
      </c>
      <c r="T306" s="425"/>
      <c r="U306" s="71"/>
      <c r="V306" s="426">
        <v>0.04</v>
      </c>
      <c r="W306" s="427">
        <v>55984.1</v>
      </c>
      <c r="X306" s="427">
        <v>27991.47</v>
      </c>
      <c r="Y306" s="428">
        <v>23070.760000000002</v>
      </c>
      <c r="Z306" s="429">
        <v>32913.769999999997</v>
      </c>
      <c r="AA306" s="429">
        <v>27991.9</v>
      </c>
      <c r="AB306" s="363" t="e">
        <v>#N/A</v>
      </c>
      <c r="AC306" s="363">
        <v>27992</v>
      </c>
      <c r="AD306" s="363">
        <v>27992</v>
      </c>
      <c r="AE306" s="363">
        <v>27992</v>
      </c>
      <c r="AF306" s="363">
        <v>27992</v>
      </c>
      <c r="AG306" s="363">
        <v>27992</v>
      </c>
      <c r="AH306" s="360" t="e">
        <f t="shared" si="18"/>
        <v>#N/A</v>
      </c>
      <c r="AI306" s="362" t="e">
        <f>ERP[[#This Row],[2026 Working Total]]-ERP[[#This Row],[LE2 Final Submission]]</f>
        <v>#N/A</v>
      </c>
      <c r="AJ306" s="79">
        <v>27992</v>
      </c>
      <c r="AK306" s="79">
        <f t="shared" si="17"/>
        <v>-9.9999999998544808E-2</v>
      </c>
      <c r="AL306" s="374">
        <f>SUM(ERP[[#This Row],[AP01]:[AP06]])-SUM(ERP[[#This Row],[AP01 LE2]:[AP06 LE2]])</f>
        <v>0.42999999999301508</v>
      </c>
      <c r="AM306" s="80"/>
      <c r="AN306" s="79" t="e">
        <f>ERP[[#This Row],[2026 Working Total to Budget/LE]]-ERP[[#This Row],[Giveback]]</f>
        <v>#N/A</v>
      </c>
      <c r="AO306" s="81"/>
      <c r="AP306" s="375">
        <v>0.04</v>
      </c>
      <c r="AQ306" s="375">
        <v>55984.1</v>
      </c>
      <c r="AR306" s="375">
        <v>27991.47</v>
      </c>
      <c r="AS306" s="375">
        <v>27992</v>
      </c>
      <c r="AT306" s="375">
        <v>27992</v>
      </c>
      <c r="AU306" s="375">
        <v>27992</v>
      </c>
      <c r="AV306" s="375">
        <v>27992</v>
      </c>
      <c r="AW306" s="375">
        <v>27992</v>
      </c>
      <c r="AX306" s="375">
        <v>27992</v>
      </c>
      <c r="AY306" s="375">
        <v>27992</v>
      </c>
      <c r="AZ306" s="375">
        <v>27992</v>
      </c>
      <c r="BA306" s="375">
        <v>27992</v>
      </c>
      <c r="BB306" s="375">
        <v>335903.61</v>
      </c>
      <c r="BC306" s="79">
        <v>0.04</v>
      </c>
      <c r="BD306" s="79">
        <v>55984.1</v>
      </c>
      <c r="BE306" s="79">
        <v>27991.47</v>
      </c>
      <c r="BF306" s="79">
        <v>27992</v>
      </c>
      <c r="BG306" s="79">
        <v>27992</v>
      </c>
      <c r="BH306" s="79">
        <v>27992</v>
      </c>
      <c r="BI306" s="79">
        <v>27992</v>
      </c>
      <c r="BJ306" s="79">
        <v>27992</v>
      </c>
      <c r="BK306" s="79">
        <v>27992</v>
      </c>
      <c r="BL306" s="79">
        <v>27992</v>
      </c>
      <c r="BM306" s="79">
        <v>27992</v>
      </c>
      <c r="BN306" s="79">
        <v>27992</v>
      </c>
      <c r="BO306" s="79">
        <v>335903.61</v>
      </c>
    </row>
    <row r="307" spans="1:67" ht="15" customHeight="1">
      <c r="A307" s="66" t="s">
        <v>2017</v>
      </c>
      <c r="B307" s="66" t="s">
        <v>2018</v>
      </c>
      <c r="C307" s="150" t="s">
        <v>1136</v>
      </c>
      <c r="D307" s="150" t="s">
        <v>1345</v>
      </c>
      <c r="E307" s="150" t="s">
        <v>1437</v>
      </c>
      <c r="F307" s="150" t="s">
        <v>1346</v>
      </c>
      <c r="G307" s="511" t="s">
        <v>389</v>
      </c>
      <c r="H307" s="392" t="s">
        <v>1878</v>
      </c>
      <c r="I307" s="343"/>
      <c r="J307" s="343"/>
      <c r="K307" s="70" t="s">
        <v>459</v>
      </c>
      <c r="L307" s="346"/>
      <c r="M307" s="343"/>
      <c r="N307" s="346"/>
      <c r="O307" s="150" t="s">
        <v>57</v>
      </c>
      <c r="P307" s="150"/>
      <c r="Q307" s="403"/>
      <c r="R307" s="406">
        <v>6600</v>
      </c>
      <c r="S307" s="406">
        <v>497.06000000000006</v>
      </c>
      <c r="T307" s="425"/>
      <c r="U307" s="71"/>
      <c r="V307" s="426">
        <v>521.38</v>
      </c>
      <c r="W307" s="427">
        <v>527.30999999999995</v>
      </c>
      <c r="X307" s="427">
        <v>-551.63</v>
      </c>
      <c r="Y307" s="428">
        <v>523.94000000000005</v>
      </c>
      <c r="Z307" s="429">
        <v>21.2</v>
      </c>
      <c r="AA307" s="429">
        <v>0</v>
      </c>
      <c r="AB307" s="363" t="e">
        <v>#N/A</v>
      </c>
      <c r="AC307" s="360">
        <v>0</v>
      </c>
      <c r="AD307" s="360">
        <v>0</v>
      </c>
      <c r="AE307" s="360">
        <v>0</v>
      </c>
      <c r="AF307" s="360">
        <v>0</v>
      </c>
      <c r="AG307" s="360">
        <v>0</v>
      </c>
      <c r="AH307" s="360" t="e">
        <f t="shared" si="18"/>
        <v>#N/A</v>
      </c>
      <c r="AI307" s="362" t="e">
        <f>ERP[[#This Row],[2026 Working Total]]-ERP[[#This Row],[LE2 Final Submission]]</f>
        <v>#N/A</v>
      </c>
      <c r="AJ307" s="79">
        <v>0</v>
      </c>
      <c r="AK307" s="79">
        <f t="shared" si="17"/>
        <v>0</v>
      </c>
      <c r="AL307" s="374">
        <f>SUM(ERP[[#This Row],[AP01]:[AP06]])-SUM(ERP[[#This Row],[AP01 LE2]:[AP06 LE2]])</f>
        <v>545.14</v>
      </c>
      <c r="AM307" s="80"/>
      <c r="AN307" s="79" t="e">
        <f>ERP[[#This Row],[2026 Working Total to Budget/LE]]-ERP[[#This Row],[Giveback]]</f>
        <v>#N/A</v>
      </c>
      <c r="AO307" s="81"/>
      <c r="AP307" s="375">
        <v>521.38</v>
      </c>
      <c r="AQ307" s="375">
        <v>527.30999999999995</v>
      </c>
      <c r="AR307" s="375">
        <v>-551.63</v>
      </c>
      <c r="AS307" s="375">
        <v>0</v>
      </c>
      <c r="AT307" s="375">
        <v>0</v>
      </c>
      <c r="AU307" s="375">
        <v>0</v>
      </c>
      <c r="AV307" s="375">
        <v>0</v>
      </c>
      <c r="AW307" s="375">
        <v>0</v>
      </c>
      <c r="AX307" s="375">
        <v>0</v>
      </c>
      <c r="AY307" s="375">
        <v>0</v>
      </c>
      <c r="AZ307" s="375">
        <v>0</v>
      </c>
      <c r="BA307" s="375">
        <v>0</v>
      </c>
      <c r="BB307" s="375">
        <v>497.06000000000006</v>
      </c>
      <c r="BC307" s="79">
        <v>521.38</v>
      </c>
      <c r="BD307" s="79">
        <v>527.30999999999995</v>
      </c>
      <c r="BE307" s="79">
        <v>-551.63</v>
      </c>
      <c r="BF307" s="79">
        <v>0</v>
      </c>
      <c r="BG307" s="79">
        <v>0</v>
      </c>
      <c r="BH307" s="79">
        <v>0</v>
      </c>
      <c r="BI307" s="79">
        <v>0</v>
      </c>
      <c r="BJ307" s="79">
        <v>0</v>
      </c>
      <c r="BK307" s="79">
        <v>0</v>
      </c>
      <c r="BL307" s="79">
        <v>0</v>
      </c>
      <c r="BM307" s="79">
        <v>0</v>
      </c>
      <c r="BN307" s="79">
        <v>0</v>
      </c>
      <c r="BO307" s="79">
        <v>497.06000000000006</v>
      </c>
    </row>
    <row r="308" spans="1:67" ht="15" customHeight="1">
      <c r="A308" s="66" t="s">
        <v>1876</v>
      </c>
      <c r="B308" s="66" t="s">
        <v>1877</v>
      </c>
      <c r="C308" s="150" t="s">
        <v>1136</v>
      </c>
      <c r="D308" s="150" t="s">
        <v>1135</v>
      </c>
      <c r="E308" s="150" t="s">
        <v>1165</v>
      </c>
      <c r="F308" s="150" t="s">
        <v>1137</v>
      </c>
      <c r="G308" s="511" t="s">
        <v>389</v>
      </c>
      <c r="H308" s="392" t="s">
        <v>1878</v>
      </c>
      <c r="I308" s="343"/>
      <c r="J308" s="343"/>
      <c r="K308" s="70" t="s">
        <v>459</v>
      </c>
      <c r="L308" s="346"/>
      <c r="M308" s="343"/>
      <c r="N308" s="346"/>
      <c r="O308" s="150" t="s">
        <v>57</v>
      </c>
      <c r="P308" s="150"/>
      <c r="Q308" s="404"/>
      <c r="R308" s="407">
        <v>4212</v>
      </c>
      <c r="S308" s="407">
        <v>0</v>
      </c>
      <c r="T308" s="425"/>
      <c r="U308" s="425"/>
      <c r="V308" s="426">
        <v>212.71</v>
      </c>
      <c r="W308" s="427">
        <v>212.88</v>
      </c>
      <c r="X308" s="427">
        <v>-425.59</v>
      </c>
      <c r="Y308" s="428">
        <v>421.78999999999996</v>
      </c>
      <c r="Z308" s="429">
        <v>11.3</v>
      </c>
      <c r="AA308" s="429">
        <v>0</v>
      </c>
      <c r="AB308" s="363" t="e">
        <v>#N/A</v>
      </c>
      <c r="AC308" s="363"/>
      <c r="AD308" s="363"/>
      <c r="AE308" s="363"/>
      <c r="AF308" s="363"/>
      <c r="AG308" s="363"/>
      <c r="AH308" s="360" t="e">
        <f t="shared" si="18"/>
        <v>#N/A</v>
      </c>
      <c r="AI308" s="362" t="e">
        <f>ERP[[#This Row],[2026 Working Total]]-ERP[[#This Row],[LE2 Final Submission]]</f>
        <v>#N/A</v>
      </c>
      <c r="AJ308" s="79"/>
      <c r="AK308" s="79">
        <f t="shared" si="17"/>
        <v>0</v>
      </c>
      <c r="AL308" s="374">
        <f>SUM(ERP[[#This Row],[AP01]:[AP06]])-SUM(ERP[[#This Row],[AP01 LE2]:[AP06 LE2]])</f>
        <v>433.09000000000003</v>
      </c>
      <c r="AM308" s="80"/>
      <c r="AN308" s="79" t="e">
        <f>ERP[[#This Row],[2026 Working Total to Budget/LE]]-ERP[[#This Row],[Giveback]]</f>
        <v>#N/A</v>
      </c>
      <c r="AO308" s="81"/>
      <c r="AP308" s="375">
        <v>212.71</v>
      </c>
      <c r="AQ308" s="375">
        <v>212.88</v>
      </c>
      <c r="AR308" s="375">
        <v>-425.59</v>
      </c>
      <c r="AS308" s="375"/>
      <c r="AT308" s="375"/>
      <c r="AU308" s="375"/>
      <c r="AV308" s="375"/>
      <c r="AW308" s="375"/>
      <c r="AX308" s="375"/>
      <c r="AY308" s="375"/>
      <c r="AZ308" s="375"/>
      <c r="BA308" s="375"/>
      <c r="BB308" s="375">
        <v>0</v>
      </c>
      <c r="BC308" s="79">
        <v>212.71</v>
      </c>
      <c r="BD308" s="79">
        <v>212.88</v>
      </c>
      <c r="BE308" s="79">
        <v>-425.59</v>
      </c>
      <c r="BF308" s="79"/>
      <c r="BG308" s="79"/>
      <c r="BH308" s="79"/>
      <c r="BI308" s="79"/>
      <c r="BJ308" s="79"/>
      <c r="BK308" s="79"/>
      <c r="BL308" s="79"/>
      <c r="BM308" s="79"/>
      <c r="BN308" s="79"/>
      <c r="BO308" s="79">
        <v>0</v>
      </c>
    </row>
    <row r="309" spans="1:67" ht="15" customHeight="1">
      <c r="A309" s="150" t="s">
        <v>1294</v>
      </c>
      <c r="B309" s="296" t="s">
        <v>1295</v>
      </c>
      <c r="C309" s="150" t="s">
        <v>1136</v>
      </c>
      <c r="D309" s="150" t="s">
        <v>1135</v>
      </c>
      <c r="E309" s="332" t="s">
        <v>1165</v>
      </c>
      <c r="F309" s="333" t="s">
        <v>1165</v>
      </c>
      <c r="G309" s="514" t="s">
        <v>49</v>
      </c>
      <c r="H309" s="394" t="s">
        <v>1296</v>
      </c>
      <c r="I309" s="333"/>
      <c r="J309" s="332" t="s">
        <v>1284</v>
      </c>
      <c r="K309" s="90" t="s">
        <v>133</v>
      </c>
      <c r="L309" s="347"/>
      <c r="M309" s="347"/>
      <c r="N309" s="348"/>
      <c r="O309" s="348"/>
      <c r="P309" s="348"/>
      <c r="Q309" s="402"/>
      <c r="R309" s="406"/>
      <c r="S309" s="406"/>
      <c r="T309" s="425"/>
      <c r="U309" s="425"/>
      <c r="V309" s="435"/>
      <c r="W309" s="436"/>
      <c r="X309" s="436"/>
      <c r="Y309" s="436"/>
      <c r="Z309" s="429">
        <v>28.36</v>
      </c>
      <c r="AA309" s="429">
        <v>0</v>
      </c>
      <c r="AB309" s="363" t="e">
        <v>#N/A</v>
      </c>
      <c r="AC309" s="364"/>
      <c r="AD309" s="364"/>
      <c r="AE309" s="364"/>
      <c r="AF309" s="364"/>
      <c r="AG309" s="364"/>
      <c r="AH309" s="360" t="e">
        <f t="shared" si="18"/>
        <v>#N/A</v>
      </c>
      <c r="AI309" s="362" t="e">
        <f>ERP[[#This Row],[2026 Working Total]]-ERP[[#This Row],[LE2 Final Submission]]</f>
        <v>#N/A</v>
      </c>
      <c r="AJ309" s="79"/>
      <c r="AK309" s="79">
        <f t="shared" si="17"/>
        <v>0</v>
      </c>
      <c r="AL309" s="374">
        <f>SUM(ERP[[#This Row],[AP01]:[AP06]])-SUM(ERP[[#This Row],[AP01 LE2]:[AP06 LE2]])</f>
        <v>28.36</v>
      </c>
      <c r="AM309" s="80"/>
      <c r="AN309" s="79" t="e">
        <f>ERP[[#This Row],[2026 Working Total to Budget/LE]]-ERP[[#This Row],[Giveback]]</f>
        <v>#N/A</v>
      </c>
      <c r="AO309" s="81"/>
      <c r="AP309" s="375"/>
      <c r="AQ309" s="375"/>
      <c r="AR309" s="375"/>
      <c r="AS309" s="375"/>
      <c r="AT309" s="375"/>
      <c r="AU309" s="375"/>
      <c r="AV309" s="375"/>
      <c r="AW309" s="375"/>
      <c r="AX309" s="375"/>
      <c r="AY309" s="375"/>
      <c r="AZ309" s="375"/>
      <c r="BA309" s="375"/>
      <c r="BB309" s="375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</row>
    <row r="310" spans="1:67" ht="15" customHeight="1">
      <c r="A310" s="66" t="s">
        <v>1557</v>
      </c>
      <c r="B310" s="66" t="s">
        <v>264</v>
      </c>
      <c r="C310" s="150" t="s">
        <v>1136</v>
      </c>
      <c r="D310" s="150" t="s">
        <v>1345</v>
      </c>
      <c r="E310" s="150" t="s">
        <v>1515</v>
      </c>
      <c r="F310" s="150" t="s">
        <v>1346</v>
      </c>
      <c r="G310" s="511" t="s">
        <v>49</v>
      </c>
      <c r="H310" s="392" t="s">
        <v>1558</v>
      </c>
      <c r="I310" s="343"/>
      <c r="J310" s="343"/>
      <c r="K310" s="70" t="s">
        <v>265</v>
      </c>
      <c r="L310" s="346"/>
      <c r="M310" s="343"/>
      <c r="N310" s="346"/>
      <c r="O310" s="150" t="s">
        <v>119</v>
      </c>
      <c r="P310" s="150"/>
      <c r="Q310" s="403"/>
      <c r="R310" s="406">
        <v>25000</v>
      </c>
      <c r="S310" s="406">
        <v>25000</v>
      </c>
      <c r="T310" s="425"/>
      <c r="U310" s="425"/>
      <c r="V310" s="426"/>
      <c r="W310" s="427"/>
      <c r="X310" s="427"/>
      <c r="Y310" s="428" t="s">
        <v>1142</v>
      </c>
      <c r="Z310" s="429">
        <v>0</v>
      </c>
      <c r="AA310" s="429">
        <v>0</v>
      </c>
      <c r="AB310" s="363" t="e">
        <v>#N/A</v>
      </c>
      <c r="AC310" s="363">
        <v>25000</v>
      </c>
      <c r="AD310" s="360">
        <v>0</v>
      </c>
      <c r="AE310" s="360">
        <v>0</v>
      </c>
      <c r="AF310" s="360">
        <v>0</v>
      </c>
      <c r="AG310" s="360">
        <v>0</v>
      </c>
      <c r="AH310" s="360" t="e">
        <f t="shared" si="18"/>
        <v>#N/A</v>
      </c>
      <c r="AI310" s="362" t="e">
        <f>ERP[[#This Row],[2026 Working Total]]-ERP[[#This Row],[LE2 Final Submission]]</f>
        <v>#N/A</v>
      </c>
      <c r="AJ310" s="79"/>
      <c r="AK310" s="79">
        <f t="shared" si="17"/>
        <v>0</v>
      </c>
      <c r="AL310" s="374">
        <f>SUM(ERP[[#This Row],[AP01]:[AP06]])-SUM(ERP[[#This Row],[AP01 LE2]:[AP06 LE2]])</f>
        <v>0</v>
      </c>
      <c r="AM310" s="80"/>
      <c r="AN310" s="79" t="e">
        <f>ERP[[#This Row],[2026 Working Total to Budget/LE]]-ERP[[#This Row],[Giveback]]</f>
        <v>#N/A</v>
      </c>
      <c r="AO310" s="81"/>
      <c r="AP310" s="375"/>
      <c r="AQ310" s="375"/>
      <c r="AR310" s="375"/>
      <c r="AS310" s="375"/>
      <c r="AT310" s="375"/>
      <c r="AU310" s="375"/>
      <c r="AV310" s="375"/>
      <c r="AW310" s="375">
        <v>25000</v>
      </c>
      <c r="AX310" s="375">
        <v>0</v>
      </c>
      <c r="AY310" s="375">
        <v>0</v>
      </c>
      <c r="AZ310" s="375">
        <v>0</v>
      </c>
      <c r="BA310" s="375">
        <v>0</v>
      </c>
      <c r="BB310" s="375">
        <v>25000</v>
      </c>
      <c r="BC310" s="79"/>
      <c r="BD310" s="79"/>
      <c r="BE310" s="79"/>
      <c r="BF310" s="79"/>
      <c r="BG310" s="79"/>
      <c r="BH310" s="79"/>
      <c r="BI310" s="79"/>
      <c r="BJ310" s="79">
        <v>25000</v>
      </c>
      <c r="BK310" s="79">
        <v>0</v>
      </c>
      <c r="BL310" s="79">
        <v>0</v>
      </c>
      <c r="BM310" s="79">
        <v>0</v>
      </c>
      <c r="BN310" s="79">
        <v>0</v>
      </c>
      <c r="BO310" s="79">
        <v>25000</v>
      </c>
    </row>
    <row r="311" spans="1:67" ht="15" customHeight="1">
      <c r="A311" s="66" t="s">
        <v>2070</v>
      </c>
      <c r="B311" s="66" t="s">
        <v>558</v>
      </c>
      <c r="C311" s="150" t="s">
        <v>1136</v>
      </c>
      <c r="D311" s="150" t="s">
        <v>1345</v>
      </c>
      <c r="E311" s="150" t="s">
        <v>1515</v>
      </c>
      <c r="F311" s="150" t="s">
        <v>1346</v>
      </c>
      <c r="G311" s="511" t="s">
        <v>389</v>
      </c>
      <c r="H311" s="392" t="s">
        <v>2071</v>
      </c>
      <c r="I311" s="343"/>
      <c r="J311" s="343"/>
      <c r="K311" s="70" t="s">
        <v>559</v>
      </c>
      <c r="L311" s="346"/>
      <c r="M311" s="343"/>
      <c r="N311" s="346"/>
      <c r="O311" s="150" t="s">
        <v>57</v>
      </c>
      <c r="P311" s="150"/>
      <c r="Q311" s="403"/>
      <c r="R311" s="406">
        <v>17000</v>
      </c>
      <c r="S311" s="406">
        <v>13700</v>
      </c>
      <c r="T311" s="425"/>
      <c r="U311" s="425"/>
      <c r="V311" s="426"/>
      <c r="W311" s="427"/>
      <c r="X311" s="427"/>
      <c r="Y311" s="428" t="s">
        <v>1142</v>
      </c>
      <c r="Z311" s="429">
        <v>0</v>
      </c>
      <c r="AA311" s="429">
        <v>0</v>
      </c>
      <c r="AB311" s="363" t="e">
        <v>#N/A</v>
      </c>
      <c r="AC311" s="363">
        <v>1100</v>
      </c>
      <c r="AD311" s="363">
        <v>1100</v>
      </c>
      <c r="AE311" s="363">
        <v>1100</v>
      </c>
      <c r="AF311" s="363">
        <v>3000</v>
      </c>
      <c r="AG311" s="363">
        <v>3000</v>
      </c>
      <c r="AH311" s="360" t="e">
        <f t="shared" si="18"/>
        <v>#N/A</v>
      </c>
      <c r="AI311" s="362" t="e">
        <f>ERP[[#This Row],[2026 Working Total]]-ERP[[#This Row],[LE2 Final Submission]]</f>
        <v>#N/A</v>
      </c>
      <c r="AJ311" s="79">
        <v>1100</v>
      </c>
      <c r="AK311" s="79">
        <f t="shared" si="17"/>
        <v>-1100</v>
      </c>
      <c r="AL311" s="374">
        <f>SUM(ERP[[#This Row],[AP01]:[AP06]])-SUM(ERP[[#This Row],[AP01 LE2]:[AP06 LE2]])</f>
        <v>-3300</v>
      </c>
      <c r="AM311" s="80"/>
      <c r="AN311" s="79" t="e">
        <f>ERP[[#This Row],[2026 Working Total to Budget/LE]]-ERP[[#This Row],[Giveback]]</f>
        <v>#N/A</v>
      </c>
      <c r="AO311" s="81"/>
      <c r="AP311" s="375"/>
      <c r="AQ311" s="375"/>
      <c r="AR311" s="375"/>
      <c r="AS311" s="375">
        <v>1100</v>
      </c>
      <c r="AT311" s="375">
        <v>1100</v>
      </c>
      <c r="AU311" s="375">
        <v>1100</v>
      </c>
      <c r="AV311" s="375">
        <v>1100</v>
      </c>
      <c r="AW311" s="375">
        <v>1100</v>
      </c>
      <c r="AX311" s="375">
        <v>1100</v>
      </c>
      <c r="AY311" s="375">
        <v>1100</v>
      </c>
      <c r="AZ311" s="375">
        <v>3000</v>
      </c>
      <c r="BA311" s="375">
        <v>3000</v>
      </c>
      <c r="BB311" s="375">
        <v>13700</v>
      </c>
      <c r="BC311" s="79"/>
      <c r="BD311" s="79"/>
      <c r="BE311" s="79"/>
      <c r="BF311" s="79">
        <v>1100</v>
      </c>
      <c r="BG311" s="79">
        <v>1100</v>
      </c>
      <c r="BH311" s="79">
        <v>1100</v>
      </c>
      <c r="BI311" s="79">
        <v>1100</v>
      </c>
      <c r="BJ311" s="79">
        <v>1100</v>
      </c>
      <c r="BK311" s="79">
        <v>1100</v>
      </c>
      <c r="BL311" s="79">
        <v>1100</v>
      </c>
      <c r="BM311" s="79">
        <v>3000</v>
      </c>
      <c r="BN311" s="79">
        <v>3000</v>
      </c>
      <c r="BO311" s="79">
        <v>13700</v>
      </c>
    </row>
    <row r="312" spans="1:67" ht="15" customHeight="1">
      <c r="A312" s="66" t="s">
        <v>1401</v>
      </c>
      <c r="B312" s="66" t="s">
        <v>186</v>
      </c>
      <c r="C312" s="150" t="s">
        <v>1136</v>
      </c>
      <c r="D312" s="150" t="s">
        <v>1345</v>
      </c>
      <c r="E312" s="150" t="s">
        <v>1344</v>
      </c>
      <c r="F312" s="150" t="s">
        <v>1346</v>
      </c>
      <c r="G312" s="511" t="s">
        <v>49</v>
      </c>
      <c r="H312" s="392" t="s">
        <v>1402</v>
      </c>
      <c r="I312" s="343"/>
      <c r="J312" s="343"/>
      <c r="K312" s="70" t="s">
        <v>187</v>
      </c>
      <c r="L312" s="346"/>
      <c r="M312" s="343"/>
      <c r="N312" s="346"/>
      <c r="O312" s="150" t="s">
        <v>188</v>
      </c>
      <c r="P312" s="150" t="s">
        <v>1403</v>
      </c>
      <c r="Q312" s="403"/>
      <c r="R312" s="406">
        <v>25200</v>
      </c>
      <c r="S312" s="406">
        <v>0</v>
      </c>
      <c r="T312" s="425"/>
      <c r="U312" s="425"/>
      <c r="V312" s="426"/>
      <c r="W312" s="427"/>
      <c r="X312" s="427"/>
      <c r="Y312" s="428" t="s">
        <v>1142</v>
      </c>
      <c r="Z312" s="429">
        <v>0</v>
      </c>
      <c r="AA312" s="429">
        <v>0</v>
      </c>
      <c r="AB312" s="363" t="e">
        <v>#N/A</v>
      </c>
      <c r="AC312" s="363">
        <f t="shared" ref="AC312:AG312" si="19">2100-2100</f>
        <v>0</v>
      </c>
      <c r="AD312" s="363">
        <f t="shared" si="19"/>
        <v>0</v>
      </c>
      <c r="AE312" s="363">
        <f t="shared" si="19"/>
        <v>0</v>
      </c>
      <c r="AF312" s="363">
        <f t="shared" si="19"/>
        <v>0</v>
      </c>
      <c r="AG312" s="363">
        <f t="shared" si="19"/>
        <v>0</v>
      </c>
      <c r="AH312" s="360" t="e">
        <f t="shared" si="18"/>
        <v>#N/A</v>
      </c>
      <c r="AI312" s="362" t="e">
        <f>ERP[[#This Row],[2026 Working Total]]-ERP[[#This Row],[LE2 Final Submission]]</f>
        <v>#N/A</v>
      </c>
      <c r="AJ312" s="79">
        <v>0</v>
      </c>
      <c r="AK312" s="79">
        <f t="shared" si="17"/>
        <v>0</v>
      </c>
      <c r="AL312" s="374">
        <f>SUM(ERP[[#This Row],[AP01]:[AP06]])-SUM(ERP[[#This Row],[AP01 LE2]:[AP06 LE2]])</f>
        <v>0</v>
      </c>
      <c r="AM312" s="80"/>
      <c r="AN312" s="79" t="e">
        <f>ERP[[#This Row],[2026 Working Total to Budget/LE]]-ERP[[#This Row],[Giveback]]</f>
        <v>#N/A</v>
      </c>
      <c r="AO312" s="81"/>
      <c r="AP312" s="375"/>
      <c r="AQ312" s="375"/>
      <c r="AR312" s="375"/>
      <c r="AS312" s="375">
        <v>0</v>
      </c>
      <c r="AT312" s="375">
        <v>0</v>
      </c>
      <c r="AU312" s="375">
        <v>0</v>
      </c>
      <c r="AV312" s="375">
        <v>0</v>
      </c>
      <c r="AW312" s="375">
        <v>0</v>
      </c>
      <c r="AX312" s="375">
        <v>0</v>
      </c>
      <c r="AY312" s="375">
        <v>0</v>
      </c>
      <c r="AZ312" s="375">
        <v>0</v>
      </c>
      <c r="BA312" s="375">
        <v>0</v>
      </c>
      <c r="BB312" s="375">
        <v>0</v>
      </c>
      <c r="BC312" s="79"/>
      <c r="BD312" s="79"/>
      <c r="BE312" s="79"/>
      <c r="BF312" s="79">
        <v>2100</v>
      </c>
      <c r="BG312" s="79">
        <v>2100</v>
      </c>
      <c r="BH312" s="79">
        <v>2100</v>
      </c>
      <c r="BI312" s="79">
        <v>2100</v>
      </c>
      <c r="BJ312" s="79">
        <v>2100</v>
      </c>
      <c r="BK312" s="79">
        <v>2100</v>
      </c>
      <c r="BL312" s="79">
        <v>2100</v>
      </c>
      <c r="BM312" s="79">
        <v>2100</v>
      </c>
      <c r="BN312" s="79">
        <v>2100</v>
      </c>
      <c r="BO312" s="79">
        <v>18900</v>
      </c>
    </row>
    <row r="313" spans="1:67" ht="15" customHeight="1">
      <c r="A313" s="66" t="s">
        <v>1973</v>
      </c>
      <c r="B313" s="66" t="s">
        <v>501</v>
      </c>
      <c r="C313" s="150" t="s">
        <v>1136</v>
      </c>
      <c r="D313" s="150" t="s">
        <v>1345</v>
      </c>
      <c r="E313" s="150" t="s">
        <v>1344</v>
      </c>
      <c r="F313" s="150" t="s">
        <v>1346</v>
      </c>
      <c r="G313" s="511" t="s">
        <v>389</v>
      </c>
      <c r="H313" s="392" t="s">
        <v>1402</v>
      </c>
      <c r="I313" s="343"/>
      <c r="J313" s="343"/>
      <c r="K313" s="70" t="s">
        <v>187</v>
      </c>
      <c r="L313" s="346"/>
      <c r="M313" s="343"/>
      <c r="N313" s="346"/>
      <c r="O313" s="150" t="s">
        <v>188</v>
      </c>
      <c r="P313" s="150" t="s">
        <v>1403</v>
      </c>
      <c r="Q313" s="403"/>
      <c r="R313" s="406">
        <v>0</v>
      </c>
      <c r="S313" s="406">
        <v>25200</v>
      </c>
      <c r="T313" s="425"/>
      <c r="U313" s="425"/>
      <c r="V313" s="426"/>
      <c r="W313" s="427"/>
      <c r="X313" s="427">
        <v>6300</v>
      </c>
      <c r="Y313" s="428">
        <v>0</v>
      </c>
      <c r="Z313" s="429">
        <v>4200</v>
      </c>
      <c r="AA313" s="429">
        <v>0</v>
      </c>
      <c r="AB313" s="363" t="e">
        <v>#N/A</v>
      </c>
      <c r="AC313" s="360">
        <v>2100</v>
      </c>
      <c r="AD313" s="360">
        <v>2100</v>
      </c>
      <c r="AE313" s="360">
        <v>2100</v>
      </c>
      <c r="AF313" s="360">
        <v>2100</v>
      </c>
      <c r="AG313" s="360">
        <v>2100</v>
      </c>
      <c r="AH313" s="360" t="e">
        <f t="shared" si="18"/>
        <v>#N/A</v>
      </c>
      <c r="AI313" s="362" t="e">
        <f>ERP[[#This Row],[2026 Working Total]]-ERP[[#This Row],[LE2 Final Submission]]</f>
        <v>#N/A</v>
      </c>
      <c r="AJ313" s="79">
        <v>2100</v>
      </c>
      <c r="AK313" s="79">
        <f t="shared" si="17"/>
        <v>-2100</v>
      </c>
      <c r="AL313" s="374">
        <f>SUM(ERP[[#This Row],[AP01]:[AP06]])-SUM(ERP[[#This Row],[AP01 LE2]:[AP06 LE2]])</f>
        <v>-2100</v>
      </c>
      <c r="AM313" s="80"/>
      <c r="AN313" s="79" t="e">
        <f>ERP[[#This Row],[2026 Working Total to Budget/LE]]-ERP[[#This Row],[Giveback]]</f>
        <v>#N/A</v>
      </c>
      <c r="AO313" s="81"/>
      <c r="AP313" s="375"/>
      <c r="AQ313" s="375"/>
      <c r="AR313" s="375">
        <v>6300</v>
      </c>
      <c r="AS313" s="375">
        <v>2100</v>
      </c>
      <c r="AT313" s="375">
        <v>2100</v>
      </c>
      <c r="AU313" s="375">
        <v>2100</v>
      </c>
      <c r="AV313" s="375">
        <v>2100</v>
      </c>
      <c r="AW313" s="375">
        <v>2100</v>
      </c>
      <c r="AX313" s="375">
        <v>2100</v>
      </c>
      <c r="AY313" s="375">
        <v>2100</v>
      </c>
      <c r="AZ313" s="375">
        <v>2100</v>
      </c>
      <c r="BA313" s="375">
        <v>2100</v>
      </c>
      <c r="BB313" s="375">
        <v>25200</v>
      </c>
      <c r="BC313" s="79"/>
      <c r="BD313" s="79"/>
      <c r="BE313" s="79">
        <v>6300</v>
      </c>
      <c r="BF313" s="79">
        <v>0</v>
      </c>
      <c r="BG313" s="79">
        <v>0</v>
      </c>
      <c r="BH313" s="79">
        <v>0</v>
      </c>
      <c r="BI313" s="79">
        <v>0</v>
      </c>
      <c r="BJ313" s="79">
        <v>0</v>
      </c>
      <c r="BK313" s="79">
        <v>0</v>
      </c>
      <c r="BL313" s="79">
        <v>0</v>
      </c>
      <c r="BM313" s="79">
        <v>0</v>
      </c>
      <c r="BN313" s="79">
        <v>0</v>
      </c>
      <c r="BO313" s="79">
        <v>6300</v>
      </c>
    </row>
    <row r="314" spans="1:67" ht="15" customHeight="1">
      <c r="A314" s="66" t="s">
        <v>1974</v>
      </c>
      <c r="B314" s="66" t="s">
        <v>502</v>
      </c>
      <c r="C314" s="150" t="s">
        <v>1136</v>
      </c>
      <c r="D314" s="150" t="s">
        <v>1345</v>
      </c>
      <c r="E314" s="150" t="s">
        <v>1344</v>
      </c>
      <c r="F314" s="150" t="s">
        <v>1346</v>
      </c>
      <c r="G314" s="511" t="s">
        <v>389</v>
      </c>
      <c r="H314" s="392" t="s">
        <v>1471</v>
      </c>
      <c r="I314" s="343"/>
      <c r="J314" s="343"/>
      <c r="K314" s="70" t="s">
        <v>221</v>
      </c>
      <c r="L314" s="346"/>
      <c r="M314" s="343"/>
      <c r="N314" s="346"/>
      <c r="O314" s="150" t="s">
        <v>188</v>
      </c>
      <c r="P314" s="150"/>
      <c r="Q314" s="403"/>
      <c r="R314" s="406">
        <v>0</v>
      </c>
      <c r="S314" s="406">
        <v>8751</v>
      </c>
      <c r="T314" s="425"/>
      <c r="U314" s="425"/>
      <c r="V314" s="426"/>
      <c r="W314" s="427"/>
      <c r="X314" s="427">
        <v>8751</v>
      </c>
      <c r="Y314" s="428">
        <v>0</v>
      </c>
      <c r="Z314" s="429">
        <v>5834</v>
      </c>
      <c r="AA314" s="429">
        <v>0</v>
      </c>
      <c r="AB314" s="363" t="e">
        <v>#N/A</v>
      </c>
      <c r="AC314" s="360">
        <v>0</v>
      </c>
      <c r="AD314" s="360">
        <v>0</v>
      </c>
      <c r="AE314" s="360">
        <v>0</v>
      </c>
      <c r="AF314" s="360">
        <v>0</v>
      </c>
      <c r="AG314" s="360">
        <v>0</v>
      </c>
      <c r="AH314" s="360" t="e">
        <f t="shared" si="18"/>
        <v>#N/A</v>
      </c>
      <c r="AI314" s="362" t="e">
        <f>ERP[[#This Row],[2026 Working Total]]-ERP[[#This Row],[LE2 Final Submission]]</f>
        <v>#N/A</v>
      </c>
      <c r="AJ314" s="79">
        <v>0</v>
      </c>
      <c r="AK314" s="79">
        <f t="shared" si="17"/>
        <v>0</v>
      </c>
      <c r="AL314" s="374">
        <f>SUM(ERP[[#This Row],[AP01]:[AP06]])-SUM(ERP[[#This Row],[AP01 LE2]:[AP06 LE2]])</f>
        <v>5834</v>
      </c>
      <c r="AM314" s="80"/>
      <c r="AN314" s="79" t="e">
        <f>ERP[[#This Row],[2026 Working Total to Budget/LE]]-ERP[[#This Row],[Giveback]]</f>
        <v>#N/A</v>
      </c>
      <c r="AO314" s="81"/>
      <c r="AP314" s="375"/>
      <c r="AQ314" s="375"/>
      <c r="AR314" s="375">
        <v>8751</v>
      </c>
      <c r="AS314" s="375">
        <v>0</v>
      </c>
      <c r="AT314" s="375">
        <v>0</v>
      </c>
      <c r="AU314" s="375">
        <v>0</v>
      </c>
      <c r="AV314" s="375">
        <v>0</v>
      </c>
      <c r="AW314" s="375">
        <v>0</v>
      </c>
      <c r="AX314" s="375">
        <v>0</v>
      </c>
      <c r="AY314" s="375">
        <v>0</v>
      </c>
      <c r="AZ314" s="375">
        <v>0</v>
      </c>
      <c r="BA314" s="375">
        <v>0</v>
      </c>
      <c r="BB314" s="375">
        <v>8751</v>
      </c>
      <c r="BC314" s="79"/>
      <c r="BD314" s="79"/>
      <c r="BE314" s="79">
        <v>8751</v>
      </c>
      <c r="BF314" s="79">
        <v>0</v>
      </c>
      <c r="BG314" s="79">
        <v>0</v>
      </c>
      <c r="BH314" s="79">
        <v>0</v>
      </c>
      <c r="BI314" s="79">
        <v>0</v>
      </c>
      <c r="BJ314" s="79">
        <v>0</v>
      </c>
      <c r="BK314" s="79">
        <v>0</v>
      </c>
      <c r="BL314" s="79">
        <v>0</v>
      </c>
      <c r="BM314" s="79">
        <v>0</v>
      </c>
      <c r="BN314" s="79">
        <v>0</v>
      </c>
      <c r="BO314" s="79">
        <v>8751</v>
      </c>
    </row>
    <row r="315" spans="1:67" ht="15" customHeight="1">
      <c r="A315" s="66" t="s">
        <v>1470</v>
      </c>
      <c r="B315" s="66" t="s">
        <v>220</v>
      </c>
      <c r="C315" s="150" t="s">
        <v>1136</v>
      </c>
      <c r="D315" s="150" t="s">
        <v>1345</v>
      </c>
      <c r="E315" s="150" t="s">
        <v>1450</v>
      </c>
      <c r="F315" s="150" t="s">
        <v>1346</v>
      </c>
      <c r="G315" s="511" t="s">
        <v>49</v>
      </c>
      <c r="H315" s="392" t="s">
        <v>1471</v>
      </c>
      <c r="I315" s="343"/>
      <c r="J315" s="343"/>
      <c r="K315" s="70" t="s">
        <v>221</v>
      </c>
      <c r="L315" s="346"/>
      <c r="M315" s="343"/>
      <c r="N315" s="346"/>
      <c r="O315" s="150" t="s">
        <v>188</v>
      </c>
      <c r="P315" s="150"/>
      <c r="Q315" s="403"/>
      <c r="R315" s="406">
        <v>35000</v>
      </c>
      <c r="S315" s="406">
        <v>26249</v>
      </c>
      <c r="T315" s="425"/>
      <c r="U315" s="425"/>
      <c r="V315" s="426"/>
      <c r="W315" s="427"/>
      <c r="X315" s="427"/>
      <c r="Y315" s="428" t="s">
        <v>1142</v>
      </c>
      <c r="Z315" s="429">
        <v>0</v>
      </c>
      <c r="AA315" s="429">
        <v>0</v>
      </c>
      <c r="AB315" s="363" t="e">
        <v>#N/A</v>
      </c>
      <c r="AC315" s="363">
        <v>8751</v>
      </c>
      <c r="AD315" s="363">
        <v>2916</v>
      </c>
      <c r="AE315" s="363">
        <v>2916</v>
      </c>
      <c r="AF315" s="363">
        <v>2916</v>
      </c>
      <c r="AG315" s="363">
        <v>2916</v>
      </c>
      <c r="AH315" s="360" t="e">
        <f t="shared" si="18"/>
        <v>#N/A</v>
      </c>
      <c r="AI315" s="362" t="e">
        <f>ERP[[#This Row],[2026 Working Total]]-ERP[[#This Row],[LE2 Final Submission]]</f>
        <v>#N/A</v>
      </c>
      <c r="AJ315" s="79"/>
      <c r="AK315" s="79">
        <f t="shared" si="17"/>
        <v>0</v>
      </c>
      <c r="AL315" s="374">
        <f>SUM(ERP[[#This Row],[AP01]:[AP06]])-SUM(ERP[[#This Row],[AP01 LE2]:[AP06 LE2]])</f>
        <v>-8751</v>
      </c>
      <c r="AM315" s="80"/>
      <c r="AN315" s="79" t="e">
        <f>ERP[[#This Row],[2026 Working Total to Budget/LE]]-ERP[[#This Row],[Giveback]]</f>
        <v>#N/A</v>
      </c>
      <c r="AO315" s="81"/>
      <c r="AP315" s="375"/>
      <c r="AQ315" s="375"/>
      <c r="AR315" s="375"/>
      <c r="AS315" s="375">
        <v>2917</v>
      </c>
      <c r="AT315" s="375">
        <v>2917</v>
      </c>
      <c r="AU315" s="375">
        <v>2917</v>
      </c>
      <c r="AV315" s="375">
        <v>2917</v>
      </c>
      <c r="AW315" s="375">
        <v>2917</v>
      </c>
      <c r="AX315" s="375">
        <v>2916</v>
      </c>
      <c r="AY315" s="375">
        <v>2916</v>
      </c>
      <c r="AZ315" s="375">
        <v>2916</v>
      </c>
      <c r="BA315" s="375">
        <v>2916</v>
      </c>
      <c r="BB315" s="375">
        <v>26249</v>
      </c>
      <c r="BC315" s="79"/>
      <c r="BD315" s="79"/>
      <c r="BE315" s="79"/>
      <c r="BF315" s="79">
        <v>2917</v>
      </c>
      <c r="BG315" s="79">
        <v>2917</v>
      </c>
      <c r="BH315" s="79">
        <v>2917</v>
      </c>
      <c r="BI315" s="79">
        <v>2917</v>
      </c>
      <c r="BJ315" s="79">
        <v>2917</v>
      </c>
      <c r="BK315" s="79">
        <v>2916</v>
      </c>
      <c r="BL315" s="79">
        <v>2916</v>
      </c>
      <c r="BM315" s="79">
        <v>2916</v>
      </c>
      <c r="BN315" s="79">
        <v>2916</v>
      </c>
      <c r="BO315" s="79">
        <v>26249</v>
      </c>
    </row>
    <row r="316" spans="1:67" ht="15" customHeight="1">
      <c r="A316" s="66" t="s">
        <v>1879</v>
      </c>
      <c r="B316" s="66" t="s">
        <v>1880</v>
      </c>
      <c r="C316" s="150" t="s">
        <v>1136</v>
      </c>
      <c r="D316" s="150" t="s">
        <v>1135</v>
      </c>
      <c r="E316" s="150" t="s">
        <v>1165</v>
      </c>
      <c r="F316" s="150" t="s">
        <v>1137</v>
      </c>
      <c r="G316" s="511" t="s">
        <v>389</v>
      </c>
      <c r="H316" s="392" t="s">
        <v>1881</v>
      </c>
      <c r="I316" s="343"/>
      <c r="J316" s="343"/>
      <c r="K316" s="70" t="s">
        <v>133</v>
      </c>
      <c r="L316" s="346"/>
      <c r="M316" s="343"/>
      <c r="N316" s="346"/>
      <c r="O316" s="150" t="s">
        <v>25</v>
      </c>
      <c r="P316" s="150"/>
      <c r="Q316" s="404"/>
      <c r="R316" s="407">
        <v>0</v>
      </c>
      <c r="S316" s="407">
        <v>0</v>
      </c>
      <c r="T316" s="425"/>
      <c r="U316" s="425"/>
      <c r="V316" s="426">
        <v>95.28</v>
      </c>
      <c r="W316" s="427">
        <v>31.62</v>
      </c>
      <c r="X316" s="427">
        <v>-126.9</v>
      </c>
      <c r="Y316" s="428">
        <v>66.959999999999994</v>
      </c>
      <c r="Z316" s="429">
        <v>61.6</v>
      </c>
      <c r="AA316" s="429">
        <v>63.66</v>
      </c>
      <c r="AB316" s="363" t="e">
        <v>#N/A</v>
      </c>
      <c r="AC316" s="363"/>
      <c r="AD316" s="363"/>
      <c r="AE316" s="363"/>
      <c r="AF316" s="363"/>
      <c r="AG316" s="363"/>
      <c r="AH316" s="360" t="e">
        <f t="shared" si="18"/>
        <v>#N/A</v>
      </c>
      <c r="AI316" s="362" t="e">
        <f>ERP[[#This Row],[2026 Working Total]]-ERP[[#This Row],[LE2 Final Submission]]</f>
        <v>#N/A</v>
      </c>
      <c r="AJ316" s="79"/>
      <c r="AK316" s="79">
        <f t="shared" si="17"/>
        <v>63.66</v>
      </c>
      <c r="AL316" s="374">
        <f>SUM(ERP[[#This Row],[AP01]:[AP06]])-SUM(ERP[[#This Row],[AP01 LE2]:[AP06 LE2]])</f>
        <v>192.22</v>
      </c>
      <c r="AM316" s="80"/>
      <c r="AN316" s="79" t="e">
        <f>ERP[[#This Row],[2026 Working Total to Budget/LE]]-ERP[[#This Row],[Giveback]]</f>
        <v>#N/A</v>
      </c>
      <c r="AO316" s="81"/>
      <c r="AP316" s="375">
        <v>95.28</v>
      </c>
      <c r="AQ316" s="375">
        <v>31.62</v>
      </c>
      <c r="AR316" s="375">
        <v>-126.9</v>
      </c>
      <c r="AS316" s="375"/>
      <c r="AT316" s="375"/>
      <c r="AU316" s="375"/>
      <c r="AV316" s="375"/>
      <c r="AW316" s="375"/>
      <c r="AX316" s="375"/>
      <c r="AY316" s="375"/>
      <c r="AZ316" s="375"/>
      <c r="BA316" s="375"/>
      <c r="BB316" s="375">
        <v>0</v>
      </c>
      <c r="BC316" s="79">
        <v>95.28</v>
      </c>
      <c r="BD316" s="79">
        <v>31.62</v>
      </c>
      <c r="BE316" s="79">
        <v>-126.9</v>
      </c>
      <c r="BF316" s="79"/>
      <c r="BG316" s="79"/>
      <c r="BH316" s="79"/>
      <c r="BI316" s="79"/>
      <c r="BJ316" s="79"/>
      <c r="BK316" s="79"/>
      <c r="BL316" s="79"/>
      <c r="BM316" s="79"/>
      <c r="BN316" s="79"/>
      <c r="BO316" s="79">
        <v>0</v>
      </c>
    </row>
    <row r="317" spans="1:67" ht="15" customHeight="1">
      <c r="A317" s="150" t="s">
        <v>1882</v>
      </c>
      <c r="B317" s="296" t="s">
        <v>1883</v>
      </c>
      <c r="C317" s="150" t="s">
        <v>1136</v>
      </c>
      <c r="D317" s="150" t="s">
        <v>1135</v>
      </c>
      <c r="E317" s="332" t="s">
        <v>1156</v>
      </c>
      <c r="F317" s="333" t="s">
        <v>1156</v>
      </c>
      <c r="G317" s="514" t="s">
        <v>389</v>
      </c>
      <c r="H317" s="394" t="s">
        <v>1884</v>
      </c>
      <c r="I317" s="401" t="s">
        <v>1885</v>
      </c>
      <c r="J317" s="332" t="s">
        <v>1804</v>
      </c>
      <c r="K317" s="90" t="s">
        <v>135</v>
      </c>
      <c r="L317" s="347"/>
      <c r="M317" s="348" t="s">
        <v>1886</v>
      </c>
      <c r="N317" s="348"/>
      <c r="O317" s="348"/>
      <c r="P317" s="348"/>
      <c r="Q317" s="402"/>
      <c r="R317" s="406"/>
      <c r="S317" s="406"/>
      <c r="T317" s="425"/>
      <c r="U317" s="425"/>
      <c r="V317" s="435"/>
      <c r="W317" s="436"/>
      <c r="X317" s="436"/>
      <c r="Y317" s="436"/>
      <c r="Z317" s="429">
        <v>76500</v>
      </c>
      <c r="AA317" s="429">
        <v>12000</v>
      </c>
      <c r="AB317" s="363" t="e">
        <v>#N/A</v>
      </c>
      <c r="AC317" s="364">
        <v>12000</v>
      </c>
      <c r="AD317" s="364">
        <v>12000</v>
      </c>
      <c r="AE317" s="364">
        <v>12000</v>
      </c>
      <c r="AF317" s="364">
        <v>12000</v>
      </c>
      <c r="AG317" s="364">
        <v>12000</v>
      </c>
      <c r="AH317" s="360" t="e">
        <f t="shared" si="18"/>
        <v>#N/A</v>
      </c>
      <c r="AI317" s="362" t="e">
        <f>ERP[[#This Row],[2026 Working Total]]-ERP[[#This Row],[LE2 Final Submission]]</f>
        <v>#N/A</v>
      </c>
      <c r="AJ317" s="79">
        <v>12000</v>
      </c>
      <c r="AK317" s="79">
        <f t="shared" si="17"/>
        <v>0</v>
      </c>
      <c r="AL317" s="374">
        <f>SUM(ERP[[#This Row],[AP01]:[AP06]])-SUM(ERP[[#This Row],[AP01 LE2]:[AP06 LE2]])</f>
        <v>88500</v>
      </c>
      <c r="AM317" s="80"/>
      <c r="AN317" s="79" t="e">
        <f>ERP[[#This Row],[2026 Working Total to Budget/LE]]-ERP[[#This Row],[Giveback]]</f>
        <v>#N/A</v>
      </c>
      <c r="AO317" s="81"/>
      <c r="AP317" s="375"/>
      <c r="AQ317" s="375"/>
      <c r="AR317" s="375"/>
      <c r="AS317" s="375"/>
      <c r="AT317" s="375"/>
      <c r="AU317" s="375"/>
      <c r="AV317" s="375"/>
      <c r="AW317" s="375"/>
      <c r="AX317" s="375"/>
      <c r="AY317" s="375"/>
      <c r="AZ317" s="375"/>
      <c r="BA317" s="375"/>
      <c r="BB317" s="375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</row>
    <row r="318" spans="1:67" ht="15" customHeight="1">
      <c r="A318" s="66" t="s">
        <v>1404</v>
      </c>
      <c r="B318" s="66" t="s">
        <v>189</v>
      </c>
      <c r="C318" s="150" t="s">
        <v>1136</v>
      </c>
      <c r="D318" s="150" t="s">
        <v>1345</v>
      </c>
      <c r="E318" s="150" t="s">
        <v>1344</v>
      </c>
      <c r="F318" s="150" t="s">
        <v>1346</v>
      </c>
      <c r="G318" s="511" t="s">
        <v>49</v>
      </c>
      <c r="H318" s="392" t="s">
        <v>1405</v>
      </c>
      <c r="I318" s="343" t="s">
        <v>1387</v>
      </c>
      <c r="J318" s="346" t="s">
        <v>1363</v>
      </c>
      <c r="K318" s="70" t="s">
        <v>190</v>
      </c>
      <c r="L318" s="346" t="s">
        <v>1153</v>
      </c>
      <c r="M318" s="346" t="s">
        <v>1406</v>
      </c>
      <c r="N318" s="346"/>
      <c r="O318" s="150" t="s">
        <v>25</v>
      </c>
      <c r="P318" s="150" t="s">
        <v>1407</v>
      </c>
      <c r="Q318" s="403"/>
      <c r="R318" s="406">
        <v>1129982.58</v>
      </c>
      <c r="S318" s="406">
        <v>874707.09</v>
      </c>
      <c r="T318" s="425"/>
      <c r="U318" s="71"/>
      <c r="V318" s="426">
        <v>77285</v>
      </c>
      <c r="W318" s="427">
        <v>177053.54</v>
      </c>
      <c r="X318" s="427">
        <v>-2920.45</v>
      </c>
      <c r="Y318" s="428">
        <v>86558.849999999991</v>
      </c>
      <c r="Z318" s="429">
        <v>86558.85</v>
      </c>
      <c r="AA318" s="429">
        <v>98924.389999999985</v>
      </c>
      <c r="AB318" s="363" t="e">
        <v>#N/A</v>
      </c>
      <c r="AC318" s="363">
        <v>62406</v>
      </c>
      <c r="AD318" s="363">
        <v>62406</v>
      </c>
      <c r="AE318" s="363">
        <v>55438</v>
      </c>
      <c r="AF318" s="363">
        <v>55438</v>
      </c>
      <c r="AG318" s="363">
        <v>55438</v>
      </c>
      <c r="AH318" s="360" t="e">
        <f t="shared" si="18"/>
        <v>#N/A</v>
      </c>
      <c r="AI318" s="362" t="e">
        <f>ERP[[#This Row],[2026 Working Total]]-ERP[[#This Row],[LE2 Final Submission]]</f>
        <v>#N/A</v>
      </c>
      <c r="AJ318" s="79">
        <v>62406</v>
      </c>
      <c r="AK318" s="79">
        <f t="shared" si="17"/>
        <v>36518.389999999985</v>
      </c>
      <c r="AL318" s="374">
        <f>SUM(ERP[[#This Row],[AP01]:[AP06]])-SUM(ERP[[#This Row],[AP01 LE2]:[AP06 LE2]])</f>
        <v>-19218.909999999916</v>
      </c>
      <c r="AM318" s="80">
        <v>255000</v>
      </c>
      <c r="AN318" s="79" t="e">
        <f>ERP[[#This Row],[2026 Working Total to Budget/LE]]-ERP[[#This Row],[Giveback]]</f>
        <v>#N/A</v>
      </c>
      <c r="AO318" s="81" t="s">
        <v>1408</v>
      </c>
      <c r="AP318" s="375">
        <v>77285</v>
      </c>
      <c r="AQ318" s="375">
        <v>177053.54</v>
      </c>
      <c r="AR318" s="375">
        <v>-2920.45</v>
      </c>
      <c r="AS318" s="375">
        <v>97087</v>
      </c>
      <c r="AT318" s="375">
        <v>97087</v>
      </c>
      <c r="AU318" s="375">
        <v>97087</v>
      </c>
      <c r="AV318" s="375">
        <v>55338</v>
      </c>
      <c r="AW318" s="375">
        <v>55338</v>
      </c>
      <c r="AX318" s="375">
        <v>55338</v>
      </c>
      <c r="AY318" s="375">
        <v>55338</v>
      </c>
      <c r="AZ318" s="375">
        <v>55338</v>
      </c>
      <c r="BA318" s="375">
        <v>55338</v>
      </c>
      <c r="BB318" s="375">
        <v>874707.09</v>
      </c>
      <c r="BC318" s="79">
        <v>77285</v>
      </c>
      <c r="BD318" s="79">
        <v>177053.54</v>
      </c>
      <c r="BE318" s="79">
        <v>-2920.45</v>
      </c>
      <c r="BF318" s="79">
        <v>90495</v>
      </c>
      <c r="BG318" s="79">
        <v>90495</v>
      </c>
      <c r="BH318" s="79">
        <v>99200</v>
      </c>
      <c r="BI318" s="79">
        <v>54165</v>
      </c>
      <c r="BJ318" s="79">
        <v>54165</v>
      </c>
      <c r="BK318" s="79">
        <v>54165</v>
      </c>
      <c r="BL318" s="79">
        <v>54165</v>
      </c>
      <c r="BM318" s="79">
        <v>54165</v>
      </c>
      <c r="BN318" s="79">
        <v>54165</v>
      </c>
      <c r="BO318" s="79">
        <v>856598.09</v>
      </c>
    </row>
    <row r="319" spans="1:67" ht="15" customHeight="1">
      <c r="A319" s="66" t="s">
        <v>2611</v>
      </c>
      <c r="B319" s="66" t="s">
        <v>905</v>
      </c>
      <c r="C319" s="150" t="s">
        <v>1136</v>
      </c>
      <c r="D319" s="150" t="s">
        <v>1345</v>
      </c>
      <c r="E319" s="150" t="s">
        <v>1344</v>
      </c>
      <c r="F319" s="150" t="s">
        <v>1346</v>
      </c>
      <c r="G319" s="511" t="s">
        <v>639</v>
      </c>
      <c r="H319" s="392" t="s">
        <v>1405</v>
      </c>
      <c r="I319" s="343"/>
      <c r="J319" s="343"/>
      <c r="K319" s="70" t="s">
        <v>190</v>
      </c>
      <c r="L319" s="346" t="s">
        <v>1153</v>
      </c>
      <c r="M319" s="346" t="s">
        <v>1406</v>
      </c>
      <c r="N319" s="346"/>
      <c r="O319" s="150" t="s">
        <v>25</v>
      </c>
      <c r="P319" s="150"/>
      <c r="Q319" s="403"/>
      <c r="R319" s="406">
        <v>0</v>
      </c>
      <c r="S319" s="406">
        <v>292.39999999999998</v>
      </c>
      <c r="T319" s="425"/>
      <c r="U319" s="71"/>
      <c r="V319" s="426"/>
      <c r="W319" s="427"/>
      <c r="X319" s="427">
        <v>292.39999999999998</v>
      </c>
      <c r="Y319" s="428">
        <v>0</v>
      </c>
      <c r="Z319" s="429">
        <v>0</v>
      </c>
      <c r="AA319" s="429">
        <v>0</v>
      </c>
      <c r="AB319" s="363" t="e">
        <v>#N/A</v>
      </c>
      <c r="AC319" s="360">
        <v>0</v>
      </c>
      <c r="AD319" s="360">
        <v>0</v>
      </c>
      <c r="AE319" s="360">
        <v>0</v>
      </c>
      <c r="AF319" s="360">
        <v>0</v>
      </c>
      <c r="AG319" s="360">
        <v>0</v>
      </c>
      <c r="AH319" s="360" t="e">
        <f t="shared" si="18"/>
        <v>#N/A</v>
      </c>
      <c r="AI319" s="362" t="e">
        <f>ERP[[#This Row],[2026 Working Total]]-ERP[[#This Row],[LE2 Final Submission]]</f>
        <v>#N/A</v>
      </c>
      <c r="AJ319" s="79">
        <v>0</v>
      </c>
      <c r="AK319" s="79">
        <f t="shared" si="17"/>
        <v>0</v>
      </c>
      <c r="AL319" s="374">
        <f>SUM(ERP[[#This Row],[AP01]:[AP06]])-SUM(ERP[[#This Row],[AP01 LE2]:[AP06 LE2]])</f>
        <v>0</v>
      </c>
      <c r="AM319" s="80"/>
      <c r="AN319" s="79" t="e">
        <f>ERP[[#This Row],[2026 Working Total to Budget/LE]]-ERP[[#This Row],[Giveback]]</f>
        <v>#N/A</v>
      </c>
      <c r="AO319" s="81" t="s">
        <v>2612</v>
      </c>
      <c r="AP319" s="375"/>
      <c r="AQ319" s="375"/>
      <c r="AR319" s="375">
        <v>292.39999999999998</v>
      </c>
      <c r="AS319" s="375">
        <v>0</v>
      </c>
      <c r="AT319" s="375">
        <v>0</v>
      </c>
      <c r="AU319" s="375">
        <v>0</v>
      </c>
      <c r="AV319" s="375">
        <v>0</v>
      </c>
      <c r="AW319" s="375">
        <v>0</v>
      </c>
      <c r="AX319" s="375">
        <v>0</v>
      </c>
      <c r="AY319" s="375">
        <v>0</v>
      </c>
      <c r="AZ319" s="375">
        <v>0</v>
      </c>
      <c r="BA319" s="375">
        <v>0</v>
      </c>
      <c r="BB319" s="375">
        <v>292.39999999999998</v>
      </c>
      <c r="BC319" s="79"/>
      <c r="BD319" s="79"/>
      <c r="BE319" s="79">
        <v>292.39999999999998</v>
      </c>
      <c r="BF319" s="79">
        <v>0</v>
      </c>
      <c r="BG319" s="79">
        <v>0</v>
      </c>
      <c r="BH319" s="79">
        <v>0</v>
      </c>
      <c r="BI319" s="79">
        <v>0</v>
      </c>
      <c r="BJ319" s="79">
        <v>0</v>
      </c>
      <c r="BK319" s="79">
        <v>0</v>
      </c>
      <c r="BL319" s="79">
        <v>0</v>
      </c>
      <c r="BM319" s="79">
        <v>0</v>
      </c>
      <c r="BN319" s="79">
        <v>0</v>
      </c>
      <c r="BO319" s="79">
        <v>292.39999999999998</v>
      </c>
    </row>
    <row r="320" spans="1:67" ht="15" customHeight="1">
      <c r="A320" s="66" t="s">
        <v>1559</v>
      </c>
      <c r="B320" s="66" t="s">
        <v>266</v>
      </c>
      <c r="C320" s="150" t="s">
        <v>1136</v>
      </c>
      <c r="D320" s="150" t="s">
        <v>1345</v>
      </c>
      <c r="E320" s="150" t="s">
        <v>1515</v>
      </c>
      <c r="F320" s="150" t="s">
        <v>1346</v>
      </c>
      <c r="G320" s="511" t="s">
        <v>49</v>
      </c>
      <c r="H320" s="392" t="s">
        <v>1560</v>
      </c>
      <c r="I320" s="343"/>
      <c r="J320" s="346" t="s">
        <v>1531</v>
      </c>
      <c r="K320" s="70" t="s">
        <v>267</v>
      </c>
      <c r="L320" s="346"/>
      <c r="M320" s="346" t="s">
        <v>1187</v>
      </c>
      <c r="N320" s="346"/>
      <c r="O320" s="150" t="s">
        <v>25</v>
      </c>
      <c r="P320" s="150" t="s">
        <v>1561</v>
      </c>
      <c r="Q320" s="403"/>
      <c r="R320" s="406">
        <v>325000.08000000007</v>
      </c>
      <c r="S320" s="406">
        <v>378801.32</v>
      </c>
      <c r="T320" s="425"/>
      <c r="U320" s="71"/>
      <c r="V320" s="426">
        <v>43362</v>
      </c>
      <c r="W320" s="427">
        <v>48564.89</v>
      </c>
      <c r="X320" s="427">
        <v>60706.43</v>
      </c>
      <c r="Y320" s="428">
        <v>-38405.19000000001</v>
      </c>
      <c r="Z320" s="429">
        <v>41122.75</v>
      </c>
      <c r="AA320" s="429">
        <v>42728.490000000005</v>
      </c>
      <c r="AB320" s="363" t="e">
        <v>#N/A</v>
      </c>
      <c r="AC320" s="363">
        <v>29000</v>
      </c>
      <c r="AD320" s="363">
        <v>28000</v>
      </c>
      <c r="AE320" s="363">
        <v>28500</v>
      </c>
      <c r="AF320" s="363">
        <v>28500</v>
      </c>
      <c r="AG320" s="363">
        <v>28500</v>
      </c>
      <c r="AH320" s="360" t="e">
        <f t="shared" si="18"/>
        <v>#N/A</v>
      </c>
      <c r="AI320" s="362" t="e">
        <f>ERP[[#This Row],[2026 Working Total]]-ERP[[#This Row],[LE2 Final Submission]]</f>
        <v>#N/A</v>
      </c>
      <c r="AJ320" s="79">
        <v>29000</v>
      </c>
      <c r="AK320" s="79">
        <f t="shared" si="17"/>
        <v>13728.490000000005</v>
      </c>
      <c r="AL320" s="374">
        <f>SUM(ERP[[#This Row],[AP01]:[AP06]])-SUM(ERP[[#This Row],[AP01 LE2]:[AP06 LE2]])</f>
        <v>-9221.9500000000116</v>
      </c>
      <c r="AM320" s="80"/>
      <c r="AN320" s="79" t="e">
        <f>ERP[[#This Row],[2026 Working Total to Budget/LE]]-ERP[[#This Row],[Giveback]]</f>
        <v>#N/A</v>
      </c>
      <c r="AO320" s="189" t="s">
        <v>1518</v>
      </c>
      <c r="AP320" s="377">
        <v>43362</v>
      </c>
      <c r="AQ320" s="377">
        <v>48564.89</v>
      </c>
      <c r="AR320" s="377">
        <v>60706.43</v>
      </c>
      <c r="AS320" s="377">
        <v>31668</v>
      </c>
      <c r="AT320" s="377">
        <v>11500</v>
      </c>
      <c r="AU320" s="377">
        <v>11500</v>
      </c>
      <c r="AV320" s="377">
        <v>29000</v>
      </c>
      <c r="AW320" s="377">
        <v>29000</v>
      </c>
      <c r="AX320" s="377">
        <v>28000</v>
      </c>
      <c r="AY320" s="377">
        <v>28500</v>
      </c>
      <c r="AZ320" s="377">
        <v>28500</v>
      </c>
      <c r="BA320" s="377">
        <v>28500</v>
      </c>
      <c r="BB320" s="377">
        <v>378801.32</v>
      </c>
      <c r="BC320" s="79">
        <v>43362</v>
      </c>
      <c r="BD320" s="79">
        <v>48564.89</v>
      </c>
      <c r="BE320" s="79">
        <v>60706.43</v>
      </c>
      <c r="BF320" s="79">
        <v>49897</v>
      </c>
      <c r="BG320" s="79">
        <v>49897</v>
      </c>
      <c r="BH320" s="79">
        <v>49897</v>
      </c>
      <c r="BI320" s="79">
        <v>49897</v>
      </c>
      <c r="BJ320" s="79">
        <v>49897</v>
      </c>
      <c r="BK320" s="79">
        <v>49897</v>
      </c>
      <c r="BL320" s="79">
        <v>49897</v>
      </c>
      <c r="BM320" s="79">
        <v>49897</v>
      </c>
      <c r="BN320" s="79">
        <v>49897</v>
      </c>
      <c r="BO320" s="79">
        <v>601706.32000000007</v>
      </c>
    </row>
    <row r="321" spans="1:67" ht="15" customHeight="1">
      <c r="A321" s="66" t="s">
        <v>1409</v>
      </c>
      <c r="B321" s="66" t="s">
        <v>191</v>
      </c>
      <c r="C321" s="150" t="s">
        <v>1136</v>
      </c>
      <c r="D321" s="150" t="s">
        <v>1345</v>
      </c>
      <c r="E321" s="150" t="s">
        <v>1344</v>
      </c>
      <c r="F321" s="150" t="s">
        <v>1346</v>
      </c>
      <c r="G321" s="511" t="s">
        <v>49</v>
      </c>
      <c r="H321" s="392" t="s">
        <v>1410</v>
      </c>
      <c r="I321" s="343"/>
      <c r="J321" s="343"/>
      <c r="K321" s="70" t="s">
        <v>192</v>
      </c>
      <c r="L321" s="346"/>
      <c r="M321" s="343"/>
      <c r="N321" s="346"/>
      <c r="O321" s="150" t="s">
        <v>25</v>
      </c>
      <c r="P321" s="150"/>
      <c r="Q321" s="403"/>
      <c r="R321" s="406">
        <v>513000</v>
      </c>
      <c r="S321" s="406">
        <v>384928.75</v>
      </c>
      <c r="T321" s="430"/>
      <c r="U321" s="137"/>
      <c r="V321" s="426">
        <v>98474.5</v>
      </c>
      <c r="W321" s="427">
        <v>-21757.25</v>
      </c>
      <c r="X321" s="427">
        <v>-81628.5</v>
      </c>
      <c r="Y321" s="428">
        <v>-18382.5</v>
      </c>
      <c r="Z321" s="429">
        <v>0</v>
      </c>
      <c r="AA321" s="429">
        <v>0</v>
      </c>
      <c r="AB321" s="363" t="e">
        <v>#N/A</v>
      </c>
      <c r="AC321" s="363">
        <v>69140</v>
      </c>
      <c r="AD321" s="363">
        <v>69140</v>
      </c>
      <c r="AE321" s="363">
        <v>69140</v>
      </c>
      <c r="AF321" s="363">
        <v>69140</v>
      </c>
      <c r="AG321" s="363">
        <v>62523</v>
      </c>
      <c r="AH321" s="360" t="e">
        <f t="shared" si="18"/>
        <v>#N/A</v>
      </c>
      <c r="AI321" s="362" t="e">
        <f>ERP[[#This Row],[2026 Working Total]]-ERP[[#This Row],[LE2 Final Submission]]</f>
        <v>#N/A</v>
      </c>
      <c r="AJ321" s="79">
        <v>69140</v>
      </c>
      <c r="AK321" s="79">
        <f t="shared" si="17"/>
        <v>-69140</v>
      </c>
      <c r="AL321" s="374">
        <f>SUM(ERP[[#This Row],[AP01]:[AP06]])-SUM(ERP[[#This Row],[AP01 LE2]:[AP06 LE2]])</f>
        <v>-18382.5</v>
      </c>
      <c r="AM321" s="80">
        <v>128000</v>
      </c>
      <c r="AN321" s="79" t="e">
        <f>ERP[[#This Row],[2026 Working Total to Budget/LE]]-ERP[[#This Row],[Giveback]]</f>
        <v>#N/A</v>
      </c>
      <c r="AO321" s="81" t="s">
        <v>1411</v>
      </c>
      <c r="AP321" s="375">
        <v>98474.5</v>
      </c>
      <c r="AQ321" s="375">
        <v>-21757.25</v>
      </c>
      <c r="AR321" s="375">
        <v>-81628.5</v>
      </c>
      <c r="AS321" s="375">
        <v>0</v>
      </c>
      <c r="AT321" s="375">
        <v>0</v>
      </c>
      <c r="AU321" s="375">
        <v>0</v>
      </c>
      <c r="AV321" s="375">
        <v>64140</v>
      </c>
      <c r="AW321" s="375">
        <v>64140</v>
      </c>
      <c r="AX321" s="375">
        <v>64140</v>
      </c>
      <c r="AY321" s="375">
        <v>64140</v>
      </c>
      <c r="AZ321" s="375">
        <v>64140</v>
      </c>
      <c r="BA321" s="375">
        <v>69140</v>
      </c>
      <c r="BB321" s="375">
        <v>384928.75</v>
      </c>
      <c r="BC321" s="79">
        <v>98474.5</v>
      </c>
      <c r="BD321" s="79">
        <v>-21757.25</v>
      </c>
      <c r="BE321" s="79">
        <v>-81628.5</v>
      </c>
      <c r="BF321" s="79">
        <v>7667</v>
      </c>
      <c r="BG321" s="79">
        <v>9667</v>
      </c>
      <c r="BH321" s="79">
        <v>15667</v>
      </c>
      <c r="BI321" s="79">
        <v>70892</v>
      </c>
      <c r="BJ321" s="79">
        <v>65000</v>
      </c>
      <c r="BK321" s="79">
        <v>65000</v>
      </c>
      <c r="BL321" s="79">
        <v>65000</v>
      </c>
      <c r="BM321" s="79">
        <v>65000</v>
      </c>
      <c r="BN321" s="79">
        <v>65000</v>
      </c>
      <c r="BO321" s="79">
        <v>423981.75</v>
      </c>
    </row>
    <row r="322" spans="1:67" ht="15" customHeight="1">
      <c r="A322" s="79" t="s">
        <v>1975</v>
      </c>
      <c r="B322" s="296" t="s">
        <v>503</v>
      </c>
      <c r="C322" s="150" t="s">
        <v>1136</v>
      </c>
      <c r="D322" s="332" t="s">
        <v>1345</v>
      </c>
      <c r="E322" s="383" t="s">
        <v>1344</v>
      </c>
      <c r="F322" s="331" t="s">
        <v>1346</v>
      </c>
      <c r="G322" s="512" t="s">
        <v>389</v>
      </c>
      <c r="H322" s="393" t="s">
        <v>1976</v>
      </c>
      <c r="I322" s="343"/>
      <c r="J322" s="331"/>
      <c r="K322" s="91" t="s">
        <v>504</v>
      </c>
      <c r="L322" s="343"/>
      <c r="M322" s="346" t="s">
        <v>1221</v>
      </c>
      <c r="N322" s="348"/>
      <c r="O322" s="386" t="s">
        <v>25</v>
      </c>
      <c r="P322" s="387" t="s">
        <v>1348</v>
      </c>
      <c r="Q322" s="432"/>
      <c r="R322" s="358">
        <v>12500</v>
      </c>
      <c r="S322" s="378">
        <v>0</v>
      </c>
      <c r="T322" s="425"/>
      <c r="U322" s="71"/>
      <c r="V322" s="433"/>
      <c r="W322" s="434"/>
      <c r="X322" s="434"/>
      <c r="Y322" s="428" t="s">
        <v>1142</v>
      </c>
      <c r="Z322" s="429">
        <v>0</v>
      </c>
      <c r="AA322" s="429">
        <v>0</v>
      </c>
      <c r="AB322" s="363" t="e">
        <v>#N/A</v>
      </c>
      <c r="AC322" s="388">
        <v>0</v>
      </c>
      <c r="AD322" s="388">
        <v>0</v>
      </c>
      <c r="AE322" s="388">
        <v>0</v>
      </c>
      <c r="AF322" s="388">
        <v>0</v>
      </c>
      <c r="AG322" s="388">
        <v>0</v>
      </c>
      <c r="AH322" s="360" t="e">
        <f t="shared" si="18"/>
        <v>#N/A</v>
      </c>
      <c r="AI322" s="362" t="e">
        <f>ERP[[#This Row],[2026 Working Total]]-ERP[[#This Row],[LE2 Final Submission]]</f>
        <v>#N/A</v>
      </c>
      <c r="AJ322" s="79">
        <v>0</v>
      </c>
      <c r="AK322" s="79">
        <f t="shared" si="17"/>
        <v>0</v>
      </c>
      <c r="AL322" s="374">
        <f>SUM(ERP[[#This Row],[AP01]:[AP06]])-SUM(ERP[[#This Row],[AP01 LE2]:[AP06 LE2]])</f>
        <v>0</v>
      </c>
      <c r="AM322" s="80"/>
      <c r="AN322" s="79" t="e">
        <f>ERP[[#This Row],[2026 Working Total to Budget/LE]]-ERP[[#This Row],[Giveback]]</f>
        <v>#N/A</v>
      </c>
      <c r="AO322" s="81"/>
      <c r="AP322" s="375"/>
      <c r="AQ322" s="375"/>
      <c r="AR322" s="375"/>
      <c r="AS322" s="375">
        <v>0</v>
      </c>
      <c r="AT322" s="375">
        <v>0</v>
      </c>
      <c r="AU322" s="375">
        <v>0</v>
      </c>
      <c r="AV322" s="375">
        <v>0</v>
      </c>
      <c r="AW322" s="375">
        <v>0</v>
      </c>
      <c r="AX322" s="375">
        <v>0</v>
      </c>
      <c r="AY322" s="375">
        <v>0</v>
      </c>
      <c r="AZ322" s="375">
        <v>0</v>
      </c>
      <c r="BA322" s="375">
        <v>0</v>
      </c>
      <c r="BB322" s="375">
        <v>0</v>
      </c>
      <c r="BC322" s="103">
        <v>0</v>
      </c>
      <c r="BD322" s="103">
        <v>0</v>
      </c>
      <c r="BE322" s="103">
        <v>12500</v>
      </c>
      <c r="BF322" s="103">
        <v>0</v>
      </c>
      <c r="BG322" s="103">
        <v>0</v>
      </c>
      <c r="BH322" s="103">
        <v>0</v>
      </c>
      <c r="BI322" s="103">
        <v>0</v>
      </c>
      <c r="BJ322" s="103">
        <v>0</v>
      </c>
      <c r="BK322" s="103">
        <v>0</v>
      </c>
      <c r="BL322" s="103">
        <v>0</v>
      </c>
      <c r="BM322" s="103">
        <v>0</v>
      </c>
      <c r="BN322" s="103">
        <v>0</v>
      </c>
      <c r="BO322" s="79">
        <f>SUM(ERP[[#This Row],[2026 AP01]:[2026 AP12]])</f>
        <v>12500</v>
      </c>
    </row>
    <row r="323" spans="1:67" ht="15" customHeight="1">
      <c r="A323" s="79" t="s">
        <v>1977</v>
      </c>
      <c r="B323" s="296" t="s">
        <v>505</v>
      </c>
      <c r="C323" s="150" t="s">
        <v>1136</v>
      </c>
      <c r="D323" s="332" t="s">
        <v>1345</v>
      </c>
      <c r="E323" s="383" t="s">
        <v>1344</v>
      </c>
      <c r="F323" s="331" t="s">
        <v>1346</v>
      </c>
      <c r="G323" s="512" t="s">
        <v>389</v>
      </c>
      <c r="H323" s="393" t="s">
        <v>1976</v>
      </c>
      <c r="I323" s="343"/>
      <c r="J323" s="331"/>
      <c r="K323" s="91" t="s">
        <v>506</v>
      </c>
      <c r="L323" s="343"/>
      <c r="M323" s="343"/>
      <c r="N323" s="348"/>
      <c r="O323" s="386" t="s">
        <v>25</v>
      </c>
      <c r="P323" s="387" t="s">
        <v>1348</v>
      </c>
      <c r="Q323" s="432"/>
      <c r="R323" s="358">
        <v>-12500</v>
      </c>
      <c r="S323" s="378">
        <v>0</v>
      </c>
      <c r="T323" s="425"/>
      <c r="U323" s="71"/>
      <c r="V323" s="433"/>
      <c r="W323" s="434"/>
      <c r="X323" s="434"/>
      <c r="Y323" s="428" t="s">
        <v>1142</v>
      </c>
      <c r="Z323" s="429">
        <v>0</v>
      </c>
      <c r="AA323" s="429">
        <v>0</v>
      </c>
      <c r="AB323" s="363" t="e">
        <v>#N/A</v>
      </c>
      <c r="AC323" s="388">
        <v>0</v>
      </c>
      <c r="AD323" s="388">
        <v>0</v>
      </c>
      <c r="AE323" s="388">
        <v>0</v>
      </c>
      <c r="AF323" s="388">
        <v>0</v>
      </c>
      <c r="AG323" s="388">
        <v>0</v>
      </c>
      <c r="AH323" s="360" t="e">
        <f t="shared" si="18"/>
        <v>#N/A</v>
      </c>
      <c r="AI323" s="362" t="e">
        <f>ERP[[#This Row],[2026 Working Total]]-ERP[[#This Row],[LE2 Final Submission]]</f>
        <v>#N/A</v>
      </c>
      <c r="AJ323" s="79">
        <v>0</v>
      </c>
      <c r="AK323" s="79">
        <f t="shared" si="17"/>
        <v>0</v>
      </c>
      <c r="AL323" s="374">
        <f>SUM(ERP[[#This Row],[AP01]:[AP06]])-SUM(ERP[[#This Row],[AP01 LE2]:[AP06 LE2]])</f>
        <v>0</v>
      </c>
      <c r="AM323" s="80"/>
      <c r="AN323" s="79" t="e">
        <f>ERP[[#This Row],[2026 Working Total to Budget/LE]]-ERP[[#This Row],[Giveback]]</f>
        <v>#N/A</v>
      </c>
      <c r="AO323" s="81"/>
      <c r="AP323" s="375"/>
      <c r="AQ323" s="375"/>
      <c r="AR323" s="375"/>
      <c r="AS323" s="375">
        <v>0</v>
      </c>
      <c r="AT323" s="375">
        <v>0</v>
      </c>
      <c r="AU323" s="375">
        <v>0</v>
      </c>
      <c r="AV323" s="375">
        <v>0</v>
      </c>
      <c r="AW323" s="375">
        <v>0</v>
      </c>
      <c r="AX323" s="375">
        <v>0</v>
      </c>
      <c r="AY323" s="375">
        <v>0</v>
      </c>
      <c r="AZ323" s="375">
        <v>0</v>
      </c>
      <c r="BA323" s="375">
        <v>0</v>
      </c>
      <c r="BB323" s="375">
        <v>0</v>
      </c>
      <c r="BC323" s="103">
        <v>0</v>
      </c>
      <c r="BD323" s="103">
        <v>0</v>
      </c>
      <c r="BE323" s="103">
        <v>-12500</v>
      </c>
      <c r="BF323" s="103">
        <v>0</v>
      </c>
      <c r="BG323" s="103">
        <v>0</v>
      </c>
      <c r="BH323" s="103">
        <v>0</v>
      </c>
      <c r="BI323" s="103">
        <v>0</v>
      </c>
      <c r="BJ323" s="103">
        <v>0</v>
      </c>
      <c r="BK323" s="103">
        <v>0</v>
      </c>
      <c r="BL323" s="103">
        <v>0</v>
      </c>
      <c r="BM323" s="103">
        <v>0</v>
      </c>
      <c r="BN323" s="103">
        <v>0</v>
      </c>
      <c r="BO323" s="79">
        <f>SUM(ERP[[#This Row],[2026 AP01]:[2026 AP12]])</f>
        <v>-12500</v>
      </c>
    </row>
    <row r="324" spans="1:67" ht="15" customHeight="1">
      <c r="A324" s="66" t="s">
        <v>1980</v>
      </c>
      <c r="B324" s="66" t="s">
        <v>1981</v>
      </c>
      <c r="C324" s="150" t="s">
        <v>1136</v>
      </c>
      <c r="D324" s="150" t="s">
        <v>1345</v>
      </c>
      <c r="E324" s="150" t="s">
        <v>1346</v>
      </c>
      <c r="F324" s="150" t="s">
        <v>1346</v>
      </c>
      <c r="G324" s="511" t="s">
        <v>389</v>
      </c>
      <c r="H324" s="392" t="s">
        <v>1979</v>
      </c>
      <c r="I324" s="343"/>
      <c r="J324" s="343"/>
      <c r="K324" s="70" t="s">
        <v>508</v>
      </c>
      <c r="L324" s="346"/>
      <c r="M324" s="343"/>
      <c r="N324" s="346"/>
      <c r="O324" s="150" t="s">
        <v>432</v>
      </c>
      <c r="P324" s="150"/>
      <c r="Q324" s="403"/>
      <c r="R324" s="406">
        <v>0</v>
      </c>
      <c r="S324" s="406">
        <v>3866.47</v>
      </c>
      <c r="T324" s="425"/>
      <c r="U324" s="71"/>
      <c r="V324" s="426">
        <v>387.61</v>
      </c>
      <c r="W324" s="427">
        <v>1445.99</v>
      </c>
      <c r="X324" s="427">
        <v>2032.87</v>
      </c>
      <c r="Y324" s="428">
        <v>1085.24</v>
      </c>
      <c r="Z324" s="429">
        <v>866.11</v>
      </c>
      <c r="AA324" s="429">
        <v>938.15</v>
      </c>
      <c r="AB324" s="363" t="e">
        <v>#N/A</v>
      </c>
      <c r="AC324" s="360">
        <v>0</v>
      </c>
      <c r="AD324" s="360">
        <v>0</v>
      </c>
      <c r="AE324" s="360">
        <v>0</v>
      </c>
      <c r="AF324" s="360">
        <v>0</v>
      </c>
      <c r="AG324" s="360">
        <v>0</v>
      </c>
      <c r="AH324" s="360" t="e">
        <f t="shared" si="18"/>
        <v>#N/A</v>
      </c>
      <c r="AI324" s="362" t="e">
        <f>ERP[[#This Row],[2026 Working Total]]-ERP[[#This Row],[LE2 Final Submission]]</f>
        <v>#N/A</v>
      </c>
      <c r="AJ324" s="79">
        <v>0</v>
      </c>
      <c r="AK324" s="79">
        <f t="shared" si="17"/>
        <v>938.15</v>
      </c>
      <c r="AL324" s="374">
        <f>SUM(ERP[[#This Row],[AP01]:[AP06]])-SUM(ERP[[#This Row],[AP01 LE2]:[AP06 LE2]])</f>
        <v>2889.4999999999995</v>
      </c>
      <c r="AM324" s="80"/>
      <c r="AN324" s="79" t="e">
        <f>ERP[[#This Row],[2026 Working Total to Budget/LE]]-ERP[[#This Row],[Giveback]]</f>
        <v>#N/A</v>
      </c>
      <c r="AO324" s="81"/>
      <c r="AP324" s="375">
        <v>387.61</v>
      </c>
      <c r="AQ324" s="375">
        <v>1445.99</v>
      </c>
      <c r="AR324" s="375">
        <v>2032.87</v>
      </c>
      <c r="AS324" s="375">
        <v>0</v>
      </c>
      <c r="AT324" s="375">
        <v>0</v>
      </c>
      <c r="AU324" s="375">
        <v>0</v>
      </c>
      <c r="AV324" s="375">
        <v>0</v>
      </c>
      <c r="AW324" s="375">
        <v>0</v>
      </c>
      <c r="AX324" s="375">
        <v>0</v>
      </c>
      <c r="AY324" s="375">
        <v>0</v>
      </c>
      <c r="AZ324" s="375">
        <v>0</v>
      </c>
      <c r="BA324" s="375">
        <v>0</v>
      </c>
      <c r="BB324" s="375">
        <v>3866.47</v>
      </c>
      <c r="BC324" s="79">
        <v>387.61</v>
      </c>
      <c r="BD324" s="79">
        <v>1445.99</v>
      </c>
      <c r="BE324" s="79">
        <v>2032.87</v>
      </c>
      <c r="BF324" s="79">
        <v>0</v>
      </c>
      <c r="BG324" s="79">
        <v>0</v>
      </c>
      <c r="BH324" s="79">
        <v>0</v>
      </c>
      <c r="BI324" s="79">
        <v>0</v>
      </c>
      <c r="BJ324" s="79">
        <v>0</v>
      </c>
      <c r="BK324" s="79">
        <v>0</v>
      </c>
      <c r="BL324" s="79">
        <v>0</v>
      </c>
      <c r="BM324" s="79">
        <v>0</v>
      </c>
      <c r="BN324" s="79">
        <v>0</v>
      </c>
      <c r="BO324" s="79">
        <v>3866.47</v>
      </c>
    </row>
    <row r="325" spans="1:67" ht="15" customHeight="1">
      <c r="A325" s="66" t="s">
        <v>1978</v>
      </c>
      <c r="B325" s="66" t="s">
        <v>507</v>
      </c>
      <c r="C325" s="150" t="s">
        <v>1136</v>
      </c>
      <c r="D325" s="150" t="s">
        <v>1345</v>
      </c>
      <c r="E325" s="150" t="s">
        <v>1344</v>
      </c>
      <c r="F325" s="150" t="s">
        <v>1346</v>
      </c>
      <c r="G325" s="511" t="s">
        <v>389</v>
      </c>
      <c r="H325" s="392" t="s">
        <v>1979</v>
      </c>
      <c r="I325" s="343"/>
      <c r="J325" s="343"/>
      <c r="K325" s="70" t="s">
        <v>508</v>
      </c>
      <c r="L325" s="346"/>
      <c r="M325" s="343"/>
      <c r="N325" s="346"/>
      <c r="O325" s="150" t="s">
        <v>432</v>
      </c>
      <c r="P325" s="150"/>
      <c r="Q325" s="403"/>
      <c r="R325" s="406">
        <v>14400</v>
      </c>
      <c r="S325" s="406">
        <v>10800</v>
      </c>
      <c r="T325" s="430"/>
      <c r="U325" s="137"/>
      <c r="V325" s="426"/>
      <c r="W325" s="427"/>
      <c r="X325" s="427"/>
      <c r="Y325" s="428" t="s">
        <v>1142</v>
      </c>
      <c r="Z325" s="429">
        <v>0</v>
      </c>
      <c r="AA325" s="429">
        <v>0</v>
      </c>
      <c r="AB325" s="363" t="e">
        <v>#N/A</v>
      </c>
      <c r="AC325" s="363">
        <v>1200</v>
      </c>
      <c r="AD325" s="363">
        <v>1200</v>
      </c>
      <c r="AE325" s="363">
        <v>1200</v>
      </c>
      <c r="AF325" s="363">
        <v>1200</v>
      </c>
      <c r="AG325" s="363">
        <v>1200</v>
      </c>
      <c r="AH325" s="360" t="e">
        <f t="shared" si="18"/>
        <v>#N/A</v>
      </c>
      <c r="AI325" s="362" t="e">
        <f>ERP[[#This Row],[2026 Working Total]]-ERP[[#This Row],[LE2 Final Submission]]</f>
        <v>#N/A</v>
      </c>
      <c r="AJ325" s="79">
        <v>1200</v>
      </c>
      <c r="AK325" s="79">
        <f t="shared" si="17"/>
        <v>-1200</v>
      </c>
      <c r="AL325" s="374">
        <f>SUM(ERP[[#This Row],[AP01]:[AP06]])-SUM(ERP[[#This Row],[AP01 LE2]:[AP06 LE2]])</f>
        <v>-3600</v>
      </c>
      <c r="AM325" s="80"/>
      <c r="AN325" s="79" t="e">
        <f>ERP[[#This Row],[2026 Working Total to Budget/LE]]-ERP[[#This Row],[Giveback]]</f>
        <v>#N/A</v>
      </c>
      <c r="AO325" s="81"/>
      <c r="AP325" s="375"/>
      <c r="AQ325" s="375"/>
      <c r="AR325" s="375"/>
      <c r="AS325" s="375">
        <v>1200</v>
      </c>
      <c r="AT325" s="375">
        <v>1200</v>
      </c>
      <c r="AU325" s="375">
        <v>1200</v>
      </c>
      <c r="AV325" s="375">
        <v>1200</v>
      </c>
      <c r="AW325" s="375">
        <v>1200</v>
      </c>
      <c r="AX325" s="375">
        <v>1200</v>
      </c>
      <c r="AY325" s="375">
        <v>1200</v>
      </c>
      <c r="AZ325" s="375">
        <v>1200</v>
      </c>
      <c r="BA325" s="375">
        <v>1200</v>
      </c>
      <c r="BB325" s="375">
        <v>10800</v>
      </c>
      <c r="BC325" s="79"/>
      <c r="BD325" s="79"/>
      <c r="BE325" s="79"/>
      <c r="BF325" s="79">
        <v>1200</v>
      </c>
      <c r="BG325" s="79">
        <v>1200</v>
      </c>
      <c r="BH325" s="79">
        <v>1200</v>
      </c>
      <c r="BI325" s="79">
        <v>1200</v>
      </c>
      <c r="BJ325" s="79">
        <v>1200</v>
      </c>
      <c r="BK325" s="79">
        <v>1200</v>
      </c>
      <c r="BL325" s="79">
        <v>1200</v>
      </c>
      <c r="BM325" s="79">
        <v>1200</v>
      </c>
      <c r="BN325" s="79">
        <v>1200</v>
      </c>
      <c r="BO325" s="79">
        <v>10800</v>
      </c>
    </row>
    <row r="326" spans="1:67" ht="15" customHeight="1">
      <c r="A326" s="66" t="s">
        <v>1984</v>
      </c>
      <c r="B326" s="66" t="s">
        <v>509</v>
      </c>
      <c r="C326" s="150" t="s">
        <v>1136</v>
      </c>
      <c r="D326" s="150" t="s">
        <v>1345</v>
      </c>
      <c r="E326" s="150" t="s">
        <v>1344</v>
      </c>
      <c r="F326" s="150" t="s">
        <v>1346</v>
      </c>
      <c r="G326" s="511" t="s">
        <v>389</v>
      </c>
      <c r="H326" s="392" t="s">
        <v>1985</v>
      </c>
      <c r="I326" s="343"/>
      <c r="J326" s="343"/>
      <c r="K326" s="70" t="s">
        <v>510</v>
      </c>
      <c r="L326" s="346"/>
      <c r="M326" s="343"/>
      <c r="N326" s="346"/>
      <c r="O326" s="150" t="s">
        <v>432</v>
      </c>
      <c r="P326" s="150"/>
      <c r="Q326" s="403"/>
      <c r="R326" s="406">
        <v>3000</v>
      </c>
      <c r="S326" s="406">
        <v>2250</v>
      </c>
      <c r="T326" s="425"/>
      <c r="U326" s="71"/>
      <c r="V326" s="426"/>
      <c r="W326" s="427"/>
      <c r="X326" s="427"/>
      <c r="Y326" s="428" t="s">
        <v>1142</v>
      </c>
      <c r="Z326" s="429">
        <v>0</v>
      </c>
      <c r="AA326" s="429">
        <v>0</v>
      </c>
      <c r="AB326" s="363" t="e">
        <v>#N/A</v>
      </c>
      <c r="AC326" s="363">
        <v>250</v>
      </c>
      <c r="AD326" s="363">
        <v>250</v>
      </c>
      <c r="AE326" s="363">
        <v>250</v>
      </c>
      <c r="AF326" s="363">
        <v>250</v>
      </c>
      <c r="AG326" s="363">
        <v>250</v>
      </c>
      <c r="AH326" s="360" t="e">
        <f t="shared" si="18"/>
        <v>#N/A</v>
      </c>
      <c r="AI326" s="362" t="e">
        <f>ERP[[#This Row],[2026 Working Total]]-ERP[[#This Row],[LE2 Final Submission]]</f>
        <v>#N/A</v>
      </c>
      <c r="AJ326" s="79">
        <v>250</v>
      </c>
      <c r="AK326" s="79">
        <f t="shared" si="17"/>
        <v>-250</v>
      </c>
      <c r="AL326" s="374">
        <f>SUM(ERP[[#This Row],[AP01]:[AP06]])-SUM(ERP[[#This Row],[AP01 LE2]:[AP06 LE2]])</f>
        <v>-750</v>
      </c>
      <c r="AM326" s="80"/>
      <c r="AN326" s="79" t="e">
        <f>ERP[[#This Row],[2026 Working Total to Budget/LE]]-ERP[[#This Row],[Giveback]]</f>
        <v>#N/A</v>
      </c>
      <c r="AO326" s="81"/>
      <c r="AP326" s="375"/>
      <c r="AQ326" s="375"/>
      <c r="AR326" s="375"/>
      <c r="AS326" s="375">
        <v>250</v>
      </c>
      <c r="AT326" s="375">
        <v>250</v>
      </c>
      <c r="AU326" s="375">
        <v>250</v>
      </c>
      <c r="AV326" s="375">
        <v>250</v>
      </c>
      <c r="AW326" s="375">
        <v>250</v>
      </c>
      <c r="AX326" s="375">
        <v>250</v>
      </c>
      <c r="AY326" s="375">
        <v>250</v>
      </c>
      <c r="AZ326" s="375">
        <v>250</v>
      </c>
      <c r="BA326" s="375">
        <v>250</v>
      </c>
      <c r="BB326" s="375">
        <v>2250</v>
      </c>
      <c r="BC326" s="79"/>
      <c r="BD326" s="79"/>
      <c r="BE326" s="79"/>
      <c r="BF326" s="79">
        <v>250</v>
      </c>
      <c r="BG326" s="79">
        <v>250</v>
      </c>
      <c r="BH326" s="79">
        <v>250</v>
      </c>
      <c r="BI326" s="79">
        <v>250</v>
      </c>
      <c r="BJ326" s="79">
        <v>250</v>
      </c>
      <c r="BK326" s="79">
        <v>250</v>
      </c>
      <c r="BL326" s="79">
        <v>250</v>
      </c>
      <c r="BM326" s="79">
        <v>250</v>
      </c>
      <c r="BN326" s="79">
        <v>250</v>
      </c>
      <c r="BO326" s="79">
        <v>2250</v>
      </c>
    </row>
    <row r="327" spans="1:67" ht="15" customHeight="1">
      <c r="A327" s="66" t="s">
        <v>1297</v>
      </c>
      <c r="B327" s="66" t="s">
        <v>1298</v>
      </c>
      <c r="C327" s="150" t="s">
        <v>1136</v>
      </c>
      <c r="D327" s="150" t="s">
        <v>1135</v>
      </c>
      <c r="E327" s="150" t="s">
        <v>1156</v>
      </c>
      <c r="F327" s="150" t="s">
        <v>1137</v>
      </c>
      <c r="G327" s="511" t="s">
        <v>49</v>
      </c>
      <c r="H327" s="392" t="s">
        <v>1299</v>
      </c>
      <c r="I327" s="343"/>
      <c r="J327" s="343">
        <v>2321511</v>
      </c>
      <c r="K327" s="70" t="s">
        <v>135</v>
      </c>
      <c r="L327" s="346"/>
      <c r="M327" s="522" t="s">
        <v>1300</v>
      </c>
      <c r="N327" s="346"/>
      <c r="O327" s="150" t="s">
        <v>25</v>
      </c>
      <c r="P327" s="184" t="s">
        <v>1301</v>
      </c>
      <c r="Q327" s="403"/>
      <c r="R327" s="406">
        <v>499304.03999999986</v>
      </c>
      <c r="S327" s="406">
        <v>502636.17</v>
      </c>
      <c r="T327" s="425"/>
      <c r="U327" s="71"/>
      <c r="V327" s="426">
        <v>30113.96</v>
      </c>
      <c r="W327" s="427">
        <v>19240.66</v>
      </c>
      <c r="X327" s="427">
        <v>44681.55</v>
      </c>
      <c r="Y327" s="428">
        <v>28059.239999999998</v>
      </c>
      <c r="Z327" s="429">
        <v>37177.21</v>
      </c>
      <c r="AA327" s="429">
        <v>-26229.880000000005</v>
      </c>
      <c r="AB327" s="363" t="e">
        <v>#N/A</v>
      </c>
      <c r="AC327" s="363">
        <v>14000</v>
      </c>
      <c r="AD327" s="363">
        <v>11200</v>
      </c>
      <c r="AE327" s="363">
        <v>14000</v>
      </c>
      <c r="AF327" s="363">
        <v>11200</v>
      </c>
      <c r="AG327" s="363">
        <v>12000</v>
      </c>
      <c r="AH327" s="360" t="e">
        <f t="shared" si="18"/>
        <v>#N/A</v>
      </c>
      <c r="AI327" s="362" t="e">
        <f>ERP[[#This Row],[2026 Working Total]]-ERP[[#This Row],[LE2 Final Submission]]</f>
        <v>#N/A</v>
      </c>
      <c r="AJ327" s="79">
        <v>11200</v>
      </c>
      <c r="AK327" s="79">
        <f t="shared" si="17"/>
        <v>-37429.880000000005</v>
      </c>
      <c r="AL327" s="374">
        <f>SUM(ERP[[#This Row],[AP01]:[AP06]])-SUM(ERP[[#This Row],[AP01 LE2]:[AP06 LE2]])</f>
        <v>-134993.43</v>
      </c>
      <c r="AM327" s="80"/>
      <c r="AN327" s="79" t="e">
        <f>ERP[[#This Row],[2026 Working Total to Budget/LE]]-ERP[[#This Row],[Giveback]]</f>
        <v>#N/A</v>
      </c>
      <c r="AO327" s="81"/>
      <c r="AP327" s="375">
        <v>30113.96</v>
      </c>
      <c r="AQ327" s="375">
        <v>19240.66</v>
      </c>
      <c r="AR327" s="375">
        <v>44681.55</v>
      </c>
      <c r="AS327" s="375">
        <v>40000</v>
      </c>
      <c r="AT327" s="375">
        <v>90000</v>
      </c>
      <c r="AU327" s="375">
        <v>44000</v>
      </c>
      <c r="AV327" s="375">
        <v>35600</v>
      </c>
      <c r="AW327" s="375">
        <v>44000</v>
      </c>
      <c r="AX327" s="375">
        <v>36000</v>
      </c>
      <c r="AY327" s="375">
        <v>40000</v>
      </c>
      <c r="AZ327" s="375">
        <v>36000</v>
      </c>
      <c r="BA327" s="375">
        <v>43000</v>
      </c>
      <c r="BB327" s="375">
        <v>502636.17</v>
      </c>
      <c r="BC327" s="79">
        <v>30113.96</v>
      </c>
      <c r="BD327" s="79">
        <v>19240.66</v>
      </c>
      <c r="BE327" s="79">
        <v>44681.55</v>
      </c>
      <c r="BF327" s="79">
        <v>44995</v>
      </c>
      <c r="BG327" s="79">
        <v>44995</v>
      </c>
      <c r="BH327" s="79">
        <v>44995</v>
      </c>
      <c r="BI327" s="79">
        <v>44995</v>
      </c>
      <c r="BJ327" s="79">
        <v>44995</v>
      </c>
      <c r="BK327" s="79">
        <v>44995</v>
      </c>
      <c r="BL327" s="79">
        <v>44995</v>
      </c>
      <c r="BM327" s="79">
        <v>44995</v>
      </c>
      <c r="BN327" s="79">
        <v>44995</v>
      </c>
      <c r="BO327" s="79">
        <v>498991.17</v>
      </c>
    </row>
    <row r="328" spans="1:67" ht="15" customHeight="1">
      <c r="A328" s="66" t="s">
        <v>2058</v>
      </c>
      <c r="B328" s="66" t="s">
        <v>552</v>
      </c>
      <c r="C328" s="150" t="s">
        <v>1136</v>
      </c>
      <c r="D328" s="150" t="s">
        <v>1345</v>
      </c>
      <c r="E328" s="150" t="s">
        <v>1480</v>
      </c>
      <c r="F328" s="150" t="s">
        <v>1346</v>
      </c>
      <c r="G328" s="511" t="s">
        <v>389</v>
      </c>
      <c r="H328" s="392" t="s">
        <v>2020</v>
      </c>
      <c r="I328" s="343"/>
      <c r="J328" s="343"/>
      <c r="K328" s="70" t="s">
        <v>530</v>
      </c>
      <c r="L328" s="346"/>
      <c r="M328" s="343"/>
      <c r="N328" s="346"/>
      <c r="O328" s="150" t="s">
        <v>531</v>
      </c>
      <c r="P328" s="346" t="s">
        <v>2021</v>
      </c>
      <c r="Q328" s="403"/>
      <c r="R328" s="406">
        <v>26000</v>
      </c>
      <c r="S328" s="406">
        <v>0</v>
      </c>
      <c r="T328" s="425"/>
      <c r="U328" s="71"/>
      <c r="V328" s="426"/>
      <c r="W328" s="427"/>
      <c r="X328" s="427"/>
      <c r="Y328" s="428" t="s">
        <v>1142</v>
      </c>
      <c r="Z328" s="429">
        <v>0</v>
      </c>
      <c r="AA328" s="429">
        <v>0</v>
      </c>
      <c r="AB328" s="363" t="e">
        <v>#N/A</v>
      </c>
      <c r="AC328" s="360">
        <v>0</v>
      </c>
      <c r="AD328" s="360">
        <v>0</v>
      </c>
      <c r="AE328" s="363">
        <f>13000-13000</f>
        <v>0</v>
      </c>
      <c r="AF328" s="360">
        <v>0</v>
      </c>
      <c r="AG328" s="360">
        <v>0</v>
      </c>
      <c r="AH328" s="360" t="e">
        <f t="shared" si="18"/>
        <v>#N/A</v>
      </c>
      <c r="AI328" s="362" t="e">
        <f>ERP[[#This Row],[2026 Working Total]]-ERP[[#This Row],[LE2 Final Submission]]</f>
        <v>#N/A</v>
      </c>
      <c r="AJ328" s="79">
        <v>0</v>
      </c>
      <c r="AK328" s="79">
        <f t="shared" ref="AK328:AK391" si="20">$AA328 - $AJ328</f>
        <v>0</v>
      </c>
      <c r="AL328" s="374">
        <f>SUM(ERP[[#This Row],[AP01]:[AP06]])-SUM(ERP[[#This Row],[AP01 LE2]:[AP06 LE2]])</f>
        <v>0</v>
      </c>
      <c r="AM328" s="80"/>
      <c r="AN328" s="79" t="e">
        <f>ERP[[#This Row],[2026 Working Total to Budget/LE]]-ERP[[#This Row],[Giveback]]</f>
        <v>#N/A</v>
      </c>
      <c r="AO328" s="81"/>
      <c r="AP328" s="375"/>
      <c r="AQ328" s="375"/>
      <c r="AR328" s="375"/>
      <c r="AS328" s="375"/>
      <c r="AT328" s="375">
        <v>0</v>
      </c>
      <c r="AU328" s="375">
        <v>0</v>
      </c>
      <c r="AV328" s="375">
        <v>0</v>
      </c>
      <c r="AW328" s="375">
        <v>0</v>
      </c>
      <c r="AX328" s="375">
        <v>0</v>
      </c>
      <c r="AY328" s="375">
        <v>0</v>
      </c>
      <c r="AZ328" s="375">
        <v>0</v>
      </c>
      <c r="BA328" s="375">
        <v>0</v>
      </c>
      <c r="BB328" s="375">
        <v>0</v>
      </c>
      <c r="BC328" s="79"/>
      <c r="BD328" s="79"/>
      <c r="BE328" s="79"/>
      <c r="BF328" s="79"/>
      <c r="BG328" s="79">
        <v>13000</v>
      </c>
      <c r="BH328" s="79">
        <v>0</v>
      </c>
      <c r="BI328" s="79">
        <v>0</v>
      </c>
      <c r="BJ328" s="79">
        <v>0</v>
      </c>
      <c r="BK328" s="79">
        <v>0</v>
      </c>
      <c r="BL328" s="79">
        <v>13000</v>
      </c>
      <c r="BM328" s="79">
        <v>0</v>
      </c>
      <c r="BN328" s="79">
        <v>0</v>
      </c>
      <c r="BO328" s="79">
        <v>26000</v>
      </c>
    </row>
    <row r="329" spans="1:67" ht="15" customHeight="1">
      <c r="A329" s="79" t="s">
        <v>2019</v>
      </c>
      <c r="B329" s="66" t="s">
        <v>529</v>
      </c>
      <c r="C329" s="150" t="s">
        <v>1136</v>
      </c>
      <c r="D329" s="150" t="s">
        <v>1345</v>
      </c>
      <c r="E329" s="150" t="s">
        <v>1345</v>
      </c>
      <c r="F329" s="150" t="s">
        <v>1345</v>
      </c>
      <c r="G329" s="511" t="s">
        <v>389</v>
      </c>
      <c r="H329" s="392" t="s">
        <v>2020</v>
      </c>
      <c r="I329" s="343"/>
      <c r="J329" s="331"/>
      <c r="K329" s="70" t="s">
        <v>530</v>
      </c>
      <c r="L329" s="343"/>
      <c r="M329" s="343"/>
      <c r="N329" s="346"/>
      <c r="O329" s="150" t="s">
        <v>531</v>
      </c>
      <c r="P329" s="346" t="s">
        <v>2021</v>
      </c>
      <c r="Q329" s="405"/>
      <c r="R329" s="359"/>
      <c r="S329" s="380">
        <v>26000</v>
      </c>
      <c r="T329" s="425"/>
      <c r="U329" s="71"/>
      <c r="V329" s="426"/>
      <c r="W329" s="427"/>
      <c r="X329" s="427"/>
      <c r="Y329" s="428" t="s">
        <v>1142</v>
      </c>
      <c r="Z329" s="429">
        <v>0</v>
      </c>
      <c r="AA329" s="429">
        <v>0</v>
      </c>
      <c r="AB329" s="363" t="e">
        <v>#N/A</v>
      </c>
      <c r="AC329" s="364"/>
      <c r="AD329" s="364"/>
      <c r="AE329" s="364">
        <v>13000</v>
      </c>
      <c r="AF329" s="364"/>
      <c r="AG329" s="364"/>
      <c r="AH329" s="360" t="e">
        <f t="shared" si="18"/>
        <v>#N/A</v>
      </c>
      <c r="AI329" s="362" t="e">
        <f>ERP[[#This Row],[2026 Working Total]]-ERP[[#This Row],[LE2 Final Submission]]</f>
        <v>#N/A</v>
      </c>
      <c r="AJ329" s="79"/>
      <c r="AK329" s="79">
        <f t="shared" si="20"/>
        <v>0</v>
      </c>
      <c r="AL329" s="374">
        <f>SUM(ERP[[#This Row],[AP01]:[AP06]])-SUM(ERP[[#This Row],[AP01 LE2]:[AP06 LE2]])</f>
        <v>-13000</v>
      </c>
      <c r="AM329" s="80"/>
      <c r="AN329" s="79"/>
      <c r="AO329" s="81"/>
      <c r="AP329" s="375"/>
      <c r="AQ329" s="375"/>
      <c r="AR329" s="375"/>
      <c r="AS329" s="375"/>
      <c r="AT329" s="375">
        <v>13000</v>
      </c>
      <c r="AU329" s="375"/>
      <c r="AV329" s="375"/>
      <c r="AW329" s="375"/>
      <c r="AX329" s="375"/>
      <c r="AY329" s="375">
        <v>13000</v>
      </c>
      <c r="AZ329" s="375"/>
      <c r="BA329" s="375"/>
      <c r="BB329" s="375">
        <v>26000</v>
      </c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</row>
    <row r="330" spans="1:67" ht="15" customHeight="1">
      <c r="A330" s="66" t="s">
        <v>1302</v>
      </c>
      <c r="B330" s="66" t="s">
        <v>1303</v>
      </c>
      <c r="C330" s="150" t="s">
        <v>1136</v>
      </c>
      <c r="D330" s="150" t="s">
        <v>1135</v>
      </c>
      <c r="E330" s="150" t="s">
        <v>1156</v>
      </c>
      <c r="F330" s="150" t="s">
        <v>1137</v>
      </c>
      <c r="G330" s="511" t="s">
        <v>49</v>
      </c>
      <c r="H330" s="392" t="s">
        <v>1304</v>
      </c>
      <c r="I330" s="343"/>
      <c r="J330" s="343">
        <v>2321511</v>
      </c>
      <c r="K330" s="70" t="s">
        <v>137</v>
      </c>
      <c r="L330" s="346"/>
      <c r="M330" s="343"/>
      <c r="N330" s="346"/>
      <c r="O330" s="150" t="s">
        <v>25</v>
      </c>
      <c r="P330" s="150"/>
      <c r="Q330" s="403"/>
      <c r="R330" s="406">
        <v>216000</v>
      </c>
      <c r="S330" s="406">
        <v>178669.02</v>
      </c>
      <c r="T330" s="425"/>
      <c r="U330" s="71"/>
      <c r="V330" s="426">
        <v>13712.98</v>
      </c>
      <c r="W330" s="427">
        <v>15359.13</v>
      </c>
      <c r="X330" s="427">
        <v>67493.539999999994</v>
      </c>
      <c r="Y330" s="428">
        <v>42271.619999999995</v>
      </c>
      <c r="Z330" s="429">
        <v>42271.62000000001</v>
      </c>
      <c r="AA330" s="429">
        <v>-40929.350000000006</v>
      </c>
      <c r="AB330" s="363" t="e">
        <v>#N/A</v>
      </c>
      <c r="AC330" s="363"/>
      <c r="AD330" s="363"/>
      <c r="AE330" s="363"/>
      <c r="AF330" s="363"/>
      <c r="AG330" s="363"/>
      <c r="AH330" s="360" t="e">
        <f t="shared" si="18"/>
        <v>#N/A</v>
      </c>
      <c r="AI330" s="362" t="e">
        <f>ERP[[#This Row],[2026 Working Total]]-ERP[[#This Row],[LE2 Final Submission]]</f>
        <v>#N/A</v>
      </c>
      <c r="AJ330" s="79"/>
      <c r="AK330" s="79">
        <f t="shared" si="20"/>
        <v>-40929.350000000006</v>
      </c>
      <c r="AL330" s="374">
        <f>SUM(ERP[[#This Row],[AP01]:[AP06]])-SUM(ERP[[#This Row],[AP01 LE2]:[AP06 LE2]])</f>
        <v>-2489.4799999999814</v>
      </c>
      <c r="AM330" s="80">
        <v>-32339</v>
      </c>
      <c r="AN330" s="79" t="e">
        <f>ERP[[#This Row],[2026 Working Total to Budget/LE]]-ERP[[#This Row],[Giveback]]</f>
        <v>#N/A</v>
      </c>
      <c r="AO330" s="81" t="s">
        <v>1179</v>
      </c>
      <c r="AP330" s="375">
        <v>13712.98</v>
      </c>
      <c r="AQ330" s="375">
        <v>15359.13</v>
      </c>
      <c r="AR330" s="375">
        <v>67493.539999999994</v>
      </c>
      <c r="AS330" s="375">
        <v>4300</v>
      </c>
      <c r="AT330" s="375">
        <v>35803.370000000003</v>
      </c>
      <c r="AU330" s="375">
        <v>6000</v>
      </c>
      <c r="AV330" s="375">
        <v>6000</v>
      </c>
      <c r="AW330" s="375">
        <v>6000</v>
      </c>
      <c r="AX330" s="375">
        <v>6000</v>
      </c>
      <c r="AY330" s="375">
        <v>6000</v>
      </c>
      <c r="AZ330" s="375">
        <v>6000</v>
      </c>
      <c r="BA330" s="375">
        <v>6000</v>
      </c>
      <c r="BB330" s="375">
        <v>178669.02</v>
      </c>
      <c r="BC330" s="79">
        <v>13712.98</v>
      </c>
      <c r="BD330" s="79">
        <v>15359.13</v>
      </c>
      <c r="BE330" s="79">
        <v>67493.539999999994</v>
      </c>
      <c r="BF330" s="79">
        <v>18693</v>
      </c>
      <c r="BG330" s="79">
        <v>18693</v>
      </c>
      <c r="BH330" s="79">
        <v>18693</v>
      </c>
      <c r="BI330" s="79">
        <v>18693</v>
      </c>
      <c r="BJ330" s="79">
        <v>18693</v>
      </c>
      <c r="BK330" s="79">
        <v>18693</v>
      </c>
      <c r="BL330" s="79">
        <v>18693</v>
      </c>
      <c r="BM330" s="79">
        <v>18693</v>
      </c>
      <c r="BN330" s="79">
        <v>18693</v>
      </c>
      <c r="BO330" s="79">
        <v>264802.65000000002</v>
      </c>
    </row>
    <row r="331" spans="1:67" ht="15" customHeight="1">
      <c r="A331" s="66" t="s">
        <v>2105</v>
      </c>
      <c r="B331" s="66" t="s">
        <v>2106</v>
      </c>
      <c r="C331" s="150" t="s">
        <v>1136</v>
      </c>
      <c r="D331" s="150" t="s">
        <v>1567</v>
      </c>
      <c r="E331" s="150" t="s">
        <v>1567</v>
      </c>
      <c r="F331" s="150" t="s">
        <v>1567</v>
      </c>
      <c r="G331" s="511" t="s">
        <v>389</v>
      </c>
      <c r="H331" s="392" t="s">
        <v>2107</v>
      </c>
      <c r="I331" s="343"/>
      <c r="J331" s="343"/>
      <c r="K331" s="70" t="s">
        <v>576</v>
      </c>
      <c r="L331" s="346"/>
      <c r="M331" s="343"/>
      <c r="N331" s="346"/>
      <c r="O331" s="505" t="s">
        <v>272</v>
      </c>
      <c r="P331" s="150"/>
      <c r="Q331" s="403"/>
      <c r="R331" s="406">
        <v>-30</v>
      </c>
      <c r="S331" s="406">
        <v>-30</v>
      </c>
      <c r="T331" s="425"/>
      <c r="U331" s="71"/>
      <c r="V331" s="426"/>
      <c r="W331" s="427"/>
      <c r="X331" s="427">
        <v>-30</v>
      </c>
      <c r="Y331" s="428">
        <v>0</v>
      </c>
      <c r="Z331" s="429">
        <v>0</v>
      </c>
      <c r="AA331" s="429">
        <v>650</v>
      </c>
      <c r="AB331" s="363" t="e">
        <v>#N/A</v>
      </c>
      <c r="AC331" s="360">
        <v>0</v>
      </c>
      <c r="AD331" s="363">
        <v>1550</v>
      </c>
      <c r="AE331" s="360">
        <v>0</v>
      </c>
      <c r="AF331" s="360">
        <v>0</v>
      </c>
      <c r="AG331" s="363">
        <v>0</v>
      </c>
      <c r="AH331" s="360" t="e">
        <f t="shared" si="18"/>
        <v>#N/A</v>
      </c>
      <c r="AI331" s="362" t="e">
        <f>ERP[[#This Row],[2026 Working Total]]-ERP[[#This Row],[LE2 Final Submission]]</f>
        <v>#N/A</v>
      </c>
      <c r="AJ331" s="79">
        <v>0</v>
      </c>
      <c r="AK331" s="79">
        <f t="shared" si="20"/>
        <v>650</v>
      </c>
      <c r="AL331" s="374">
        <f>SUM(ERP[[#This Row],[AP01]:[AP06]])-SUM(ERP[[#This Row],[AP01 LE2]:[AP06 LE2]])</f>
        <v>650</v>
      </c>
      <c r="AM331" s="80"/>
      <c r="AN331" s="79" t="e">
        <f>ERP[[#This Row],[2026 Working Total to Budget/LE]]-ERP[[#This Row],[Giveback]]</f>
        <v>#N/A</v>
      </c>
      <c r="AO331" s="81"/>
      <c r="AP331" s="375"/>
      <c r="AQ331" s="375"/>
      <c r="AR331" s="375">
        <v>-30</v>
      </c>
      <c r="AS331" s="375">
        <v>0</v>
      </c>
      <c r="AT331" s="375">
        <v>0</v>
      </c>
      <c r="AU331" s="375">
        <v>0</v>
      </c>
      <c r="AV331" s="375">
        <v>0</v>
      </c>
      <c r="AW331" s="375">
        <v>0</v>
      </c>
      <c r="AX331" s="375">
        <v>0</v>
      </c>
      <c r="AY331" s="375">
        <v>0</v>
      </c>
      <c r="AZ331" s="375">
        <v>0</v>
      </c>
      <c r="BA331" s="375">
        <v>0</v>
      </c>
      <c r="BB331" s="375">
        <v>-30</v>
      </c>
      <c r="BC331" s="79"/>
      <c r="BD331" s="79"/>
      <c r="BE331" s="79">
        <v>-30</v>
      </c>
      <c r="BF331" s="79">
        <v>0</v>
      </c>
      <c r="BG331" s="79">
        <v>0</v>
      </c>
      <c r="BH331" s="79">
        <v>5000</v>
      </c>
      <c r="BI331" s="79">
        <v>0</v>
      </c>
      <c r="BJ331" s="79">
        <v>0</v>
      </c>
      <c r="BK331" s="79">
        <v>5000</v>
      </c>
      <c r="BL331" s="79">
        <v>0</v>
      </c>
      <c r="BM331" s="79">
        <v>0</v>
      </c>
      <c r="BN331" s="79">
        <v>-15000</v>
      </c>
      <c r="BO331" s="79">
        <v>-5030</v>
      </c>
    </row>
    <row r="332" spans="1:67" ht="15" customHeight="1">
      <c r="A332" s="66" t="s">
        <v>1306</v>
      </c>
      <c r="B332" s="66" t="s">
        <v>1307</v>
      </c>
      <c r="C332" s="150" t="s">
        <v>1136</v>
      </c>
      <c r="D332" s="150" t="s">
        <v>1135</v>
      </c>
      <c r="E332" s="150" t="s">
        <v>1156</v>
      </c>
      <c r="F332" s="150" t="s">
        <v>1137</v>
      </c>
      <c r="G332" s="511" t="s">
        <v>49</v>
      </c>
      <c r="H332" s="392" t="s">
        <v>1308</v>
      </c>
      <c r="I332" s="343"/>
      <c r="J332" s="343"/>
      <c r="K332" s="70" t="s">
        <v>139</v>
      </c>
      <c r="L332" s="346"/>
      <c r="M332" s="343" t="s">
        <v>1309</v>
      </c>
      <c r="N332" s="346"/>
      <c r="O332" s="150" t="s">
        <v>25</v>
      </c>
      <c r="P332" s="150"/>
      <c r="Q332" s="403"/>
      <c r="R332" s="406">
        <v>96720</v>
      </c>
      <c r="S332" s="406">
        <v>96720.44</v>
      </c>
      <c r="T332" s="425"/>
      <c r="U332" s="71"/>
      <c r="V332" s="426">
        <v>6643.44</v>
      </c>
      <c r="W332" s="427">
        <v>5644</v>
      </c>
      <c r="X332" s="427">
        <v>8304</v>
      </c>
      <c r="Y332" s="428">
        <v>6762</v>
      </c>
      <c r="Z332" s="429">
        <v>9499</v>
      </c>
      <c r="AA332" s="429">
        <v>8310.9599999999991</v>
      </c>
      <c r="AB332" s="363" t="e">
        <v>#N/A</v>
      </c>
      <c r="AC332" s="363">
        <v>7900</v>
      </c>
      <c r="AD332" s="363">
        <v>8600</v>
      </c>
      <c r="AE332" s="363">
        <v>8600</v>
      </c>
      <c r="AF332" s="363">
        <v>8600</v>
      </c>
      <c r="AG332" s="363">
        <v>8968</v>
      </c>
      <c r="AH332" s="360" t="e">
        <f t="shared" ref="AH332:AH395" si="21">SUM(V332:AG332)</f>
        <v>#N/A</v>
      </c>
      <c r="AI332" s="362" t="e">
        <f>ERP[[#This Row],[2026 Working Total]]-ERP[[#This Row],[LE2 Final Submission]]</f>
        <v>#N/A</v>
      </c>
      <c r="AJ332" s="79">
        <v>8600</v>
      </c>
      <c r="AK332" s="79">
        <f t="shared" si="20"/>
        <v>-289.04000000000087</v>
      </c>
      <c r="AL332" s="374">
        <f>SUM(ERP[[#This Row],[AP01]:[AP06]])-SUM(ERP[[#This Row],[AP01 LE2]:[AP06 LE2]])</f>
        <v>-2453.0400000000009</v>
      </c>
      <c r="AM332" s="80"/>
      <c r="AN332" s="79" t="e">
        <f>ERP[[#This Row],[2026 Working Total to Budget/LE]]-ERP[[#This Row],[Giveback]]</f>
        <v>#N/A</v>
      </c>
      <c r="AO332" s="81"/>
      <c r="AP332" s="375">
        <v>6643.44</v>
      </c>
      <c r="AQ332" s="375">
        <v>5644</v>
      </c>
      <c r="AR332" s="375">
        <v>8304</v>
      </c>
      <c r="AS332" s="375">
        <v>11029</v>
      </c>
      <c r="AT332" s="375">
        <v>7812</v>
      </c>
      <c r="AU332" s="375">
        <v>8184</v>
      </c>
      <c r="AV332" s="375">
        <v>8556</v>
      </c>
      <c r="AW332" s="375">
        <v>7812</v>
      </c>
      <c r="AX332" s="375">
        <v>8184</v>
      </c>
      <c r="AY332" s="375">
        <v>8184</v>
      </c>
      <c r="AZ332" s="375">
        <v>7812</v>
      </c>
      <c r="BA332" s="375">
        <v>8556</v>
      </c>
      <c r="BB332" s="375">
        <v>96720.44</v>
      </c>
      <c r="BC332" s="79">
        <v>6643.44</v>
      </c>
      <c r="BD332" s="79">
        <v>5644</v>
      </c>
      <c r="BE332" s="79">
        <v>8304</v>
      </c>
      <c r="BF332" s="79">
        <v>8184</v>
      </c>
      <c r="BG332" s="79">
        <v>7812</v>
      </c>
      <c r="BH332" s="79">
        <v>8184</v>
      </c>
      <c r="BI332" s="79">
        <v>8556</v>
      </c>
      <c r="BJ332" s="79">
        <v>7812</v>
      </c>
      <c r="BK332" s="79">
        <v>8184</v>
      </c>
      <c r="BL332" s="79">
        <v>8184</v>
      </c>
      <c r="BM332" s="79">
        <v>7812</v>
      </c>
      <c r="BN332" s="79">
        <v>8556</v>
      </c>
      <c r="BO332" s="79">
        <v>93875.44</v>
      </c>
    </row>
    <row r="333" spans="1:67" ht="15" customHeight="1">
      <c r="A333" s="66" t="s">
        <v>1310</v>
      </c>
      <c r="B333" s="66" t="s">
        <v>1311</v>
      </c>
      <c r="C333" s="150" t="s">
        <v>1136</v>
      </c>
      <c r="D333" s="150" t="s">
        <v>1135</v>
      </c>
      <c r="E333" s="150" t="s">
        <v>1145</v>
      </c>
      <c r="F333" s="150" t="s">
        <v>1137</v>
      </c>
      <c r="G333" s="511" t="s">
        <v>49</v>
      </c>
      <c r="H333" s="392" t="s">
        <v>1312</v>
      </c>
      <c r="I333" s="343"/>
      <c r="J333" s="346" t="s">
        <v>1186</v>
      </c>
      <c r="K333" s="70" t="s">
        <v>141</v>
      </c>
      <c r="L333" s="346"/>
      <c r="M333" s="346" t="s">
        <v>1313</v>
      </c>
      <c r="N333" s="346"/>
      <c r="O333" s="150" t="s">
        <v>25</v>
      </c>
      <c r="P333" s="150"/>
      <c r="Q333" s="403"/>
      <c r="R333" s="406">
        <v>49000</v>
      </c>
      <c r="S333" s="406">
        <v>48800.63</v>
      </c>
      <c r="T333" s="425"/>
      <c r="U333" s="71"/>
      <c r="V333" s="426">
        <v>3356.36</v>
      </c>
      <c r="W333" s="427">
        <v>3758.72</v>
      </c>
      <c r="X333" s="427">
        <v>4698.63</v>
      </c>
      <c r="Y333" s="428">
        <v>3758.8999999999978</v>
      </c>
      <c r="Z333" s="429">
        <v>659.46</v>
      </c>
      <c r="AA333" s="429">
        <v>4698.630000000001</v>
      </c>
      <c r="AB333" s="363" t="e">
        <v>#N/A</v>
      </c>
      <c r="AC333" s="360">
        <v>0</v>
      </c>
      <c r="AD333" s="364"/>
      <c r="AE333" s="363">
        <v>12250</v>
      </c>
      <c r="AF333" s="363">
        <v>12250</v>
      </c>
      <c r="AG333" s="363">
        <v>8000</v>
      </c>
      <c r="AH333" s="360" t="e">
        <f t="shared" si="21"/>
        <v>#N/A</v>
      </c>
      <c r="AI333" s="362" t="e">
        <f>ERP[[#This Row],[2026 Working Total]]-ERP[[#This Row],[LE2 Final Submission]]</f>
        <v>#N/A</v>
      </c>
      <c r="AJ333" s="79">
        <v>0</v>
      </c>
      <c r="AK333" s="79">
        <f t="shared" si="20"/>
        <v>4698.630000000001</v>
      </c>
      <c r="AL333" s="374">
        <f>SUM(ERP[[#This Row],[AP01]:[AP06]])-SUM(ERP[[#This Row],[AP01 LE2]:[AP06 LE2]])</f>
        <v>-8267.93</v>
      </c>
      <c r="AM333" s="80"/>
      <c r="AN333" s="79" t="e">
        <f>ERP[[#This Row],[2026 Working Total to Budget/LE]]-ERP[[#This Row],[Giveback]]</f>
        <v>#N/A</v>
      </c>
      <c r="AO333" s="81"/>
      <c r="AP333" s="375">
        <v>3356.36</v>
      </c>
      <c r="AQ333" s="375">
        <v>3758.72</v>
      </c>
      <c r="AR333" s="375">
        <v>4698.63</v>
      </c>
      <c r="AS333" s="375">
        <v>0</v>
      </c>
      <c r="AT333" s="375">
        <v>0</v>
      </c>
      <c r="AU333" s="375">
        <v>17384.919999999998</v>
      </c>
      <c r="AV333" s="375">
        <v>0</v>
      </c>
      <c r="AW333" s="375">
        <v>0</v>
      </c>
      <c r="AX333" s="375">
        <v>12250</v>
      </c>
      <c r="AY333" s="375">
        <v>0</v>
      </c>
      <c r="AZ333" s="375">
        <v>0</v>
      </c>
      <c r="BA333" s="375">
        <v>7352</v>
      </c>
      <c r="BB333" s="375">
        <v>48800.63</v>
      </c>
      <c r="BC333" s="79">
        <v>3356.36</v>
      </c>
      <c r="BD333" s="79">
        <v>3758.72</v>
      </c>
      <c r="BE333" s="79">
        <v>4698.63</v>
      </c>
      <c r="BF333" s="79">
        <v>0</v>
      </c>
      <c r="BG333" s="79">
        <v>0</v>
      </c>
      <c r="BH333" s="79">
        <v>17384.919999999998</v>
      </c>
      <c r="BI333" s="79">
        <v>0</v>
      </c>
      <c r="BJ333" s="79">
        <v>0</v>
      </c>
      <c r="BK333" s="79">
        <v>12250</v>
      </c>
      <c r="BL333" s="79">
        <v>0</v>
      </c>
      <c r="BM333" s="79">
        <v>0</v>
      </c>
      <c r="BN333" s="79">
        <v>12250</v>
      </c>
      <c r="BO333" s="79">
        <v>53698.63</v>
      </c>
    </row>
    <row r="334" spans="1:67" ht="15" customHeight="1">
      <c r="A334" s="66" t="s">
        <v>1617</v>
      </c>
      <c r="B334" s="66" t="s">
        <v>1618</v>
      </c>
      <c r="C334" s="150" t="s">
        <v>1136</v>
      </c>
      <c r="D334" s="150" t="s">
        <v>1567</v>
      </c>
      <c r="E334" s="150" t="s">
        <v>1567</v>
      </c>
      <c r="F334" s="150" t="s">
        <v>1567</v>
      </c>
      <c r="G334" s="511" t="s">
        <v>49</v>
      </c>
      <c r="H334" s="392" t="s">
        <v>1619</v>
      </c>
      <c r="I334" s="343"/>
      <c r="J334" s="343"/>
      <c r="K334" s="70" t="s">
        <v>302</v>
      </c>
      <c r="L334" s="346"/>
      <c r="M334" s="343"/>
      <c r="N334" s="346"/>
      <c r="O334" s="505" t="s">
        <v>303</v>
      </c>
      <c r="P334" s="150"/>
      <c r="Q334" s="403"/>
      <c r="R334" s="406">
        <v>-2578</v>
      </c>
      <c r="S334" s="406">
        <v>-51385.37</v>
      </c>
      <c r="T334" s="425"/>
      <c r="U334" s="71"/>
      <c r="V334" s="426"/>
      <c r="W334" s="427"/>
      <c r="X334" s="427">
        <v>-2578.37</v>
      </c>
      <c r="Y334" s="428">
        <v>0</v>
      </c>
      <c r="Z334" s="429">
        <v>0</v>
      </c>
      <c r="AA334" s="429">
        <v>0</v>
      </c>
      <c r="AB334" s="363" t="e">
        <v>#N/A</v>
      </c>
      <c r="AC334" s="360">
        <v>0</v>
      </c>
      <c r="AD334" s="360">
        <v>0</v>
      </c>
      <c r="AE334" s="360">
        <v>0</v>
      </c>
      <c r="AF334" s="360">
        <v>0</v>
      </c>
      <c r="AG334" s="360">
        <v>0</v>
      </c>
      <c r="AH334" s="360" t="e">
        <f t="shared" si="21"/>
        <v>#N/A</v>
      </c>
      <c r="AI334" s="362" t="e">
        <f>ERP[[#This Row],[2026 Working Total]]-ERP[[#This Row],[LE2 Final Submission]]</f>
        <v>#N/A</v>
      </c>
      <c r="AJ334" s="79">
        <v>0</v>
      </c>
      <c r="AK334" s="79">
        <f t="shared" si="20"/>
        <v>0</v>
      </c>
      <c r="AL334" s="374">
        <f>SUM(ERP[[#This Row],[AP01]:[AP06]])-SUM(ERP[[#This Row],[AP01 LE2]:[AP06 LE2]])</f>
        <v>48807</v>
      </c>
      <c r="AM334" s="80"/>
      <c r="AN334" s="79" t="e">
        <f>ERP[[#This Row],[2026 Working Total to Budget/LE]]-ERP[[#This Row],[Giveback]]</f>
        <v>#N/A</v>
      </c>
      <c r="AO334" s="81"/>
      <c r="AP334" s="375"/>
      <c r="AQ334" s="375"/>
      <c r="AR334" s="375">
        <v>-2578.37</v>
      </c>
      <c r="AS334" s="375">
        <v>0</v>
      </c>
      <c r="AT334" s="375">
        <v>-48807</v>
      </c>
      <c r="AU334" s="375">
        <v>0</v>
      </c>
      <c r="AV334" s="375">
        <v>0</v>
      </c>
      <c r="AW334" s="375">
        <v>0</v>
      </c>
      <c r="AX334" s="375">
        <v>0</v>
      </c>
      <c r="AY334" s="375">
        <v>0</v>
      </c>
      <c r="AZ334" s="375">
        <v>0</v>
      </c>
      <c r="BA334" s="375">
        <v>0</v>
      </c>
      <c r="BB334" s="375">
        <v>-51385.37</v>
      </c>
      <c r="BC334" s="79"/>
      <c r="BD334" s="79"/>
      <c r="BE334" s="79">
        <v>-2578.37</v>
      </c>
      <c r="BF334" s="79">
        <v>0</v>
      </c>
      <c r="BG334" s="79">
        <v>0</v>
      </c>
      <c r="BH334" s="79">
        <v>0</v>
      </c>
      <c r="BI334" s="79">
        <v>0</v>
      </c>
      <c r="BJ334" s="79">
        <v>0</v>
      </c>
      <c r="BK334" s="79">
        <v>0</v>
      </c>
      <c r="BL334" s="79">
        <v>0</v>
      </c>
      <c r="BM334" s="79">
        <v>0</v>
      </c>
      <c r="BN334" s="79">
        <v>0</v>
      </c>
      <c r="BO334" s="79">
        <v>-2578.37</v>
      </c>
    </row>
    <row r="335" spans="1:67" ht="15" customHeight="1">
      <c r="A335" s="66" t="s">
        <v>1887</v>
      </c>
      <c r="B335" s="66" t="s">
        <v>1888</v>
      </c>
      <c r="C335" s="150" t="s">
        <v>1136</v>
      </c>
      <c r="D335" s="150" t="s">
        <v>1345</v>
      </c>
      <c r="E335" s="150" t="s">
        <v>1346</v>
      </c>
      <c r="F335" s="150" t="s">
        <v>1346</v>
      </c>
      <c r="G335" s="511" t="s">
        <v>389</v>
      </c>
      <c r="H335" s="392" t="s">
        <v>1889</v>
      </c>
      <c r="I335" s="343"/>
      <c r="J335" s="343"/>
      <c r="K335" s="70" t="s">
        <v>578</v>
      </c>
      <c r="L335" s="346"/>
      <c r="M335" s="346" t="s">
        <v>1221</v>
      </c>
      <c r="N335" s="346"/>
      <c r="O335" s="150" t="s">
        <v>272</v>
      </c>
      <c r="P335" s="150"/>
      <c r="Q335" s="403"/>
      <c r="R335" s="406">
        <v>0</v>
      </c>
      <c r="S335" s="406">
        <v>275.15000000000055</v>
      </c>
      <c r="T335" s="425"/>
      <c r="U335" s="71"/>
      <c r="V335" s="426">
        <v>2699.63</v>
      </c>
      <c r="W335" s="427">
        <v>2847.71</v>
      </c>
      <c r="X335" s="427">
        <v>-5272.19</v>
      </c>
      <c r="Y335" s="428">
        <v>3353.36</v>
      </c>
      <c r="Z335" s="429">
        <v>2931.3300000000004</v>
      </c>
      <c r="AA335" s="429">
        <v>3022.73</v>
      </c>
      <c r="AB335" s="363" t="e">
        <v>#N/A</v>
      </c>
      <c r="AC335" s="363">
        <v>0</v>
      </c>
      <c r="AD335" s="363">
        <v>0</v>
      </c>
      <c r="AE335" s="363">
        <v>0</v>
      </c>
      <c r="AF335" s="363">
        <v>0</v>
      </c>
      <c r="AG335" s="363">
        <v>0</v>
      </c>
      <c r="AH335" s="360" t="e">
        <f t="shared" si="21"/>
        <v>#N/A</v>
      </c>
      <c r="AI335" s="362" t="e">
        <f>ERP[[#This Row],[2026 Working Total]]-ERP[[#This Row],[LE2 Final Submission]]</f>
        <v>#N/A</v>
      </c>
      <c r="AJ335" s="79">
        <v>0</v>
      </c>
      <c r="AK335" s="79">
        <f t="shared" si="20"/>
        <v>3022.73</v>
      </c>
      <c r="AL335" s="374">
        <f>SUM(ERP[[#This Row],[AP01]:[AP06]])-SUM(ERP[[#This Row],[AP01 LE2]:[AP06 LE2]])</f>
        <v>9307.4200000000019</v>
      </c>
      <c r="AM335" s="80"/>
      <c r="AN335" s="79" t="e">
        <f>ERP[[#This Row],[2026 Working Total to Budget/LE]]-ERP[[#This Row],[Giveback]]</f>
        <v>#N/A</v>
      </c>
      <c r="AO335" s="81"/>
      <c r="AP335" s="375">
        <v>2699.63</v>
      </c>
      <c r="AQ335" s="375">
        <v>2847.71</v>
      </c>
      <c r="AR335" s="375">
        <v>-5272.19</v>
      </c>
      <c r="AS335" s="375">
        <v>0</v>
      </c>
      <c r="AT335" s="375">
        <v>0</v>
      </c>
      <c r="AU335" s="375">
        <v>0</v>
      </c>
      <c r="AV335" s="375">
        <v>0</v>
      </c>
      <c r="AW335" s="375">
        <v>0</v>
      </c>
      <c r="AX335" s="375">
        <v>0</v>
      </c>
      <c r="AY335" s="375">
        <v>0</v>
      </c>
      <c r="AZ335" s="375">
        <v>0</v>
      </c>
      <c r="BA335" s="375">
        <v>0</v>
      </c>
      <c r="BB335" s="375">
        <v>275.15000000000055</v>
      </c>
      <c r="BC335" s="79">
        <v>2699.63</v>
      </c>
      <c r="BD335" s="79">
        <v>2847.71</v>
      </c>
      <c r="BE335" s="79">
        <v>-5272.19</v>
      </c>
      <c r="BF335" s="79">
        <v>2847.71</v>
      </c>
      <c r="BG335" s="79">
        <v>2847.71</v>
      </c>
      <c r="BH335" s="79">
        <v>2847.71</v>
      </c>
      <c r="BI335" s="79">
        <v>2847.71</v>
      </c>
      <c r="BJ335" s="79">
        <v>2847.71</v>
      </c>
      <c r="BK335" s="79">
        <v>2847.71</v>
      </c>
      <c r="BL335" s="79">
        <v>2847.71</v>
      </c>
      <c r="BM335" s="79">
        <v>2847.71</v>
      </c>
      <c r="BN335" s="79">
        <v>2847.71</v>
      </c>
      <c r="BO335" s="79">
        <v>25904.539999999997</v>
      </c>
    </row>
    <row r="336" spans="1:67" ht="15" customHeight="1">
      <c r="A336" s="66" t="s">
        <v>2269</v>
      </c>
      <c r="B336" s="66" t="s">
        <v>2270</v>
      </c>
      <c r="C336" s="150" t="s">
        <v>1136</v>
      </c>
      <c r="D336" s="150" t="s">
        <v>1345</v>
      </c>
      <c r="E336" s="150" t="s">
        <v>1346</v>
      </c>
      <c r="F336" s="150" t="s">
        <v>1346</v>
      </c>
      <c r="G336" s="511" t="s">
        <v>639</v>
      </c>
      <c r="H336" s="392" t="s">
        <v>1889</v>
      </c>
      <c r="I336" s="343"/>
      <c r="J336" s="343"/>
      <c r="K336" s="70" t="s">
        <v>578</v>
      </c>
      <c r="L336" s="346"/>
      <c r="M336" s="346" t="s">
        <v>1221</v>
      </c>
      <c r="N336" s="346"/>
      <c r="O336" s="150" t="s">
        <v>272</v>
      </c>
      <c r="P336" s="150"/>
      <c r="Q336" s="403"/>
      <c r="R336" s="406">
        <v>0</v>
      </c>
      <c r="S336" s="406">
        <v>139.72999999999999</v>
      </c>
      <c r="T336" s="425"/>
      <c r="U336" s="71"/>
      <c r="V336" s="426">
        <v>139.72999999999999</v>
      </c>
      <c r="W336" s="427">
        <v>139.72999999999999</v>
      </c>
      <c r="X336" s="427">
        <v>-139.72999999999999</v>
      </c>
      <c r="Y336" s="428">
        <v>0</v>
      </c>
      <c r="Z336" s="429">
        <v>0</v>
      </c>
      <c r="AA336" s="429">
        <v>0</v>
      </c>
      <c r="AB336" s="363" t="e">
        <v>#N/A</v>
      </c>
      <c r="AC336" s="363">
        <v>0</v>
      </c>
      <c r="AD336" s="363">
        <v>0</v>
      </c>
      <c r="AE336" s="363">
        <v>0</v>
      </c>
      <c r="AF336" s="363">
        <v>0</v>
      </c>
      <c r="AG336" s="363">
        <v>0</v>
      </c>
      <c r="AH336" s="367" t="e">
        <f t="shared" si="21"/>
        <v>#N/A</v>
      </c>
      <c r="AI336" s="362" t="e">
        <f>ERP[[#This Row],[2026 Working Total]]-ERP[[#This Row],[LE2 Final Submission]]</f>
        <v>#N/A</v>
      </c>
      <c r="AJ336" s="79">
        <v>0</v>
      </c>
      <c r="AK336" s="79">
        <f t="shared" si="20"/>
        <v>0</v>
      </c>
      <c r="AL336" s="374">
        <f>SUM(ERP[[#This Row],[AP01]:[AP06]])-SUM(ERP[[#This Row],[AP01 LE2]:[AP06 LE2]])</f>
        <v>0</v>
      </c>
      <c r="AM336" s="80"/>
      <c r="AN336" s="79" t="e">
        <f>ERP[[#This Row],[2026 Working Total to Budget/LE]]-ERP[[#This Row],[Giveback]]</f>
        <v>#N/A</v>
      </c>
      <c r="AO336" s="81"/>
      <c r="AP336" s="375">
        <v>139.72999999999999</v>
      </c>
      <c r="AQ336" s="375">
        <v>139.72999999999999</v>
      </c>
      <c r="AR336" s="375">
        <v>-139.72999999999999</v>
      </c>
      <c r="AS336" s="375">
        <v>0</v>
      </c>
      <c r="AT336" s="375">
        <v>0</v>
      </c>
      <c r="AU336" s="375">
        <v>0</v>
      </c>
      <c r="AV336" s="375">
        <v>0</v>
      </c>
      <c r="AW336" s="375">
        <v>0</v>
      </c>
      <c r="AX336" s="375">
        <v>0</v>
      </c>
      <c r="AY336" s="375">
        <v>0</v>
      </c>
      <c r="AZ336" s="375">
        <v>0</v>
      </c>
      <c r="BA336" s="375">
        <v>0</v>
      </c>
      <c r="BB336" s="375">
        <v>139.72999999999999</v>
      </c>
      <c r="BC336" s="79">
        <v>139.72999999999999</v>
      </c>
      <c r="BD336" s="79">
        <v>139.72999999999999</v>
      </c>
      <c r="BE336" s="79">
        <v>-139.72999999999999</v>
      </c>
      <c r="BF336" s="79">
        <v>139.72999999999999</v>
      </c>
      <c r="BG336" s="79">
        <v>139.72999999999999</v>
      </c>
      <c r="BH336" s="79">
        <v>139.72999999999999</v>
      </c>
      <c r="BI336" s="79">
        <v>139.72999999999999</v>
      </c>
      <c r="BJ336" s="79">
        <v>139.72999999999999</v>
      </c>
      <c r="BK336" s="79">
        <v>139.72999999999999</v>
      </c>
      <c r="BL336" s="79">
        <v>139.72999999999999</v>
      </c>
      <c r="BM336" s="79">
        <v>139.72999999999999</v>
      </c>
      <c r="BN336" s="79">
        <v>139.72999999999999</v>
      </c>
      <c r="BO336" s="79">
        <v>1397.3</v>
      </c>
    </row>
    <row r="337" spans="1:67" ht="15" customHeight="1">
      <c r="A337" s="79" t="s">
        <v>1621</v>
      </c>
      <c r="B337" s="296" t="s">
        <v>1622</v>
      </c>
      <c r="C337" s="150" t="s">
        <v>1136</v>
      </c>
      <c r="D337" s="383" t="s">
        <v>1567</v>
      </c>
      <c r="E337" s="382" t="s">
        <v>1567</v>
      </c>
      <c r="F337" s="333" t="s">
        <v>1567</v>
      </c>
      <c r="G337" s="512" t="s">
        <v>49</v>
      </c>
      <c r="H337" s="394" t="s">
        <v>1623</v>
      </c>
      <c r="I337" s="343"/>
      <c r="J337" s="333"/>
      <c r="K337" s="70" t="s">
        <v>305</v>
      </c>
      <c r="L337" s="347"/>
      <c r="M337" s="343"/>
      <c r="N337" s="346"/>
      <c r="O337" s="384" t="s">
        <v>272</v>
      </c>
      <c r="P337" s="346" t="s">
        <v>1348</v>
      </c>
      <c r="Q337" s="432"/>
      <c r="R337" s="358">
        <v>1078625</v>
      </c>
      <c r="S337" s="378">
        <v>0</v>
      </c>
      <c r="T337" s="425"/>
      <c r="U337" s="71"/>
      <c r="V337" s="433"/>
      <c r="W337" s="434"/>
      <c r="X337" s="434"/>
      <c r="Y337" s="428" t="s">
        <v>1142</v>
      </c>
      <c r="Z337" s="429">
        <v>0</v>
      </c>
      <c r="AA337" s="429">
        <v>0</v>
      </c>
      <c r="AB337" s="363" t="e">
        <v>#N/A</v>
      </c>
      <c r="AC337" s="388"/>
      <c r="AD337" s="388"/>
      <c r="AE337" s="388"/>
      <c r="AF337" s="388"/>
      <c r="AG337" s="388"/>
      <c r="AH337" s="360" t="e">
        <f t="shared" si="21"/>
        <v>#N/A</v>
      </c>
      <c r="AI337" s="362" t="e">
        <f>ERP[[#This Row],[2026 Working Total]]-ERP[[#This Row],[LE2 Final Submission]]</f>
        <v>#N/A</v>
      </c>
      <c r="AJ337" s="79"/>
      <c r="AK337" s="79">
        <f t="shared" si="20"/>
        <v>0</v>
      </c>
      <c r="AL337" s="374">
        <f>SUM(ERP[[#This Row],[AP01]:[AP06]])-SUM(ERP[[#This Row],[AP01 LE2]:[AP06 LE2]])</f>
        <v>0</v>
      </c>
      <c r="AM337" s="80"/>
      <c r="AN337" s="79" t="e">
        <f>ERP[[#This Row],[2026 Working Total to Budget/LE]]-ERP[[#This Row],[Giveback]]</f>
        <v>#N/A</v>
      </c>
      <c r="AO337" s="81"/>
      <c r="AP337" s="375"/>
      <c r="AQ337" s="375"/>
      <c r="AR337" s="375"/>
      <c r="AS337" s="375"/>
      <c r="AT337" s="375"/>
      <c r="AU337" s="375"/>
      <c r="AV337" s="375"/>
      <c r="AW337" s="375"/>
      <c r="AX337" s="375"/>
      <c r="AY337" s="375"/>
      <c r="AZ337" s="375"/>
      <c r="BA337" s="375"/>
      <c r="BB337" s="375">
        <v>0</v>
      </c>
      <c r="BC337" s="103">
        <v>63566</v>
      </c>
      <c r="BD337" s="103">
        <v>71261</v>
      </c>
      <c r="BE337" s="103">
        <v>89885</v>
      </c>
      <c r="BF337" s="103">
        <v>89885</v>
      </c>
      <c r="BG337" s="103">
        <v>134828</v>
      </c>
      <c r="BH337" s="103">
        <v>134828</v>
      </c>
      <c r="BI337" s="103">
        <v>134828</v>
      </c>
      <c r="BJ337" s="103">
        <v>91283</v>
      </c>
      <c r="BK337" s="103">
        <v>89885</v>
      </c>
      <c r="BL337" s="103">
        <v>89885</v>
      </c>
      <c r="BM337" s="103">
        <v>44942</v>
      </c>
      <c r="BN337" s="103">
        <v>43549</v>
      </c>
      <c r="BO337" s="79">
        <f>SUM(ERP[[#This Row],[2026 AP01]:[2026 AP12]])</f>
        <v>1078625</v>
      </c>
    </row>
    <row r="338" spans="1:67" ht="15" customHeight="1">
      <c r="A338" s="66" t="s">
        <v>2109</v>
      </c>
      <c r="B338" s="66" t="s">
        <v>2110</v>
      </c>
      <c r="C338" s="150" t="s">
        <v>1136</v>
      </c>
      <c r="D338" s="150" t="s">
        <v>1567</v>
      </c>
      <c r="E338" s="150" t="s">
        <v>1567</v>
      </c>
      <c r="F338" s="150" t="s">
        <v>1567</v>
      </c>
      <c r="G338" s="511" t="s">
        <v>389</v>
      </c>
      <c r="H338" s="392" t="s">
        <v>1626</v>
      </c>
      <c r="I338" s="343"/>
      <c r="J338" s="343"/>
      <c r="K338" s="70" t="s">
        <v>307</v>
      </c>
      <c r="L338" s="346"/>
      <c r="M338" s="343"/>
      <c r="N338" s="346"/>
      <c r="O338" s="505" t="s">
        <v>272</v>
      </c>
      <c r="P338" s="150"/>
      <c r="Q338" s="403"/>
      <c r="R338" s="406">
        <v>0</v>
      </c>
      <c r="S338" s="406">
        <v>2089.6999999999998</v>
      </c>
      <c r="T338" s="425"/>
      <c r="U338" s="71"/>
      <c r="V338" s="426"/>
      <c r="W338" s="427"/>
      <c r="X338" s="427">
        <v>2089.6999999999998</v>
      </c>
      <c r="Y338" s="428">
        <v>0</v>
      </c>
      <c r="Z338" s="429">
        <v>2520.12</v>
      </c>
      <c r="AA338" s="429">
        <v>0</v>
      </c>
      <c r="AB338" s="363" t="e">
        <v>#N/A</v>
      </c>
      <c r="AC338" s="360">
        <v>3240</v>
      </c>
      <c r="AD338" s="360">
        <v>0</v>
      </c>
      <c r="AE338" s="360">
        <v>0</v>
      </c>
      <c r="AF338" s="360">
        <v>0</v>
      </c>
      <c r="AG338" s="360">
        <v>0</v>
      </c>
      <c r="AH338" s="360" t="e">
        <f t="shared" si="21"/>
        <v>#N/A</v>
      </c>
      <c r="AI338" s="362" t="e">
        <f>ERP[[#This Row],[2026 Working Total]]-ERP[[#This Row],[LE2 Final Submission]]</f>
        <v>#N/A</v>
      </c>
      <c r="AJ338" s="79">
        <v>0</v>
      </c>
      <c r="AK338" s="79">
        <f t="shared" si="20"/>
        <v>0</v>
      </c>
      <c r="AL338" s="374">
        <f>SUM(ERP[[#This Row],[AP01]:[AP06]])-SUM(ERP[[#This Row],[AP01 LE2]:[AP06 LE2]])</f>
        <v>2520.12</v>
      </c>
      <c r="AM338" s="80"/>
      <c r="AN338" s="79" t="e">
        <f>ERP[[#This Row],[2026 Working Total to Budget/LE]]-ERP[[#This Row],[Giveback]]</f>
        <v>#N/A</v>
      </c>
      <c r="AO338" s="81"/>
      <c r="AP338" s="375"/>
      <c r="AQ338" s="375"/>
      <c r="AR338" s="375">
        <v>2089.6999999999998</v>
      </c>
      <c r="AS338" s="375">
        <v>0</v>
      </c>
      <c r="AT338" s="375">
        <v>0</v>
      </c>
      <c r="AU338" s="375">
        <v>0</v>
      </c>
      <c r="AV338" s="375">
        <v>0</v>
      </c>
      <c r="AW338" s="375">
        <v>0</v>
      </c>
      <c r="AX338" s="375">
        <v>0</v>
      </c>
      <c r="AY338" s="375">
        <v>0</v>
      </c>
      <c r="AZ338" s="375">
        <v>0</v>
      </c>
      <c r="BA338" s="375">
        <v>0</v>
      </c>
      <c r="BB338" s="375">
        <v>2089.6999999999998</v>
      </c>
      <c r="BC338" s="79"/>
      <c r="BD338" s="79"/>
      <c r="BE338" s="79">
        <v>2089.6999999999998</v>
      </c>
      <c r="BF338" s="79">
        <v>0</v>
      </c>
      <c r="BG338" s="79">
        <v>0</v>
      </c>
      <c r="BH338" s="79">
        <v>0</v>
      </c>
      <c r="BI338" s="79">
        <v>0</v>
      </c>
      <c r="BJ338" s="79">
        <v>0</v>
      </c>
      <c r="BK338" s="79">
        <v>0</v>
      </c>
      <c r="BL338" s="79">
        <v>0</v>
      </c>
      <c r="BM338" s="79">
        <v>0</v>
      </c>
      <c r="BN338" s="79">
        <v>0</v>
      </c>
      <c r="BO338" s="79">
        <v>2089.6999999999998</v>
      </c>
    </row>
    <row r="339" spans="1:67" ht="15" customHeight="1">
      <c r="A339" s="79" t="s">
        <v>1624</v>
      </c>
      <c r="B339" s="296" t="s">
        <v>1625</v>
      </c>
      <c r="C339" s="150" t="s">
        <v>1136</v>
      </c>
      <c r="D339" s="383" t="s">
        <v>1567</v>
      </c>
      <c r="E339" s="382" t="s">
        <v>1567</v>
      </c>
      <c r="F339" s="333" t="s">
        <v>1567</v>
      </c>
      <c r="G339" s="512" t="s">
        <v>49</v>
      </c>
      <c r="H339" s="394" t="s">
        <v>1626</v>
      </c>
      <c r="I339" s="343"/>
      <c r="J339" s="333"/>
      <c r="K339" s="70" t="s">
        <v>307</v>
      </c>
      <c r="L339" s="347"/>
      <c r="M339" s="343"/>
      <c r="N339" s="346"/>
      <c r="O339" s="507" t="s">
        <v>272</v>
      </c>
      <c r="P339" s="346" t="s">
        <v>1348</v>
      </c>
      <c r="Q339" s="432"/>
      <c r="R339" s="358">
        <v>7850</v>
      </c>
      <c r="S339" s="378">
        <v>0</v>
      </c>
      <c r="T339" s="425"/>
      <c r="U339" s="71"/>
      <c r="V339" s="433"/>
      <c r="W339" s="434"/>
      <c r="X339" s="434"/>
      <c r="Y339" s="428" t="s">
        <v>1142</v>
      </c>
      <c r="Z339" s="429">
        <v>0</v>
      </c>
      <c r="AA339" s="429">
        <v>0</v>
      </c>
      <c r="AB339" s="363" t="e">
        <v>#N/A</v>
      </c>
      <c r="AC339" s="388">
        <v>0</v>
      </c>
      <c r="AD339" s="388">
        <v>0</v>
      </c>
      <c r="AE339" s="388">
        <v>0</v>
      </c>
      <c r="AF339" s="388">
        <v>0</v>
      </c>
      <c r="AG339" s="388"/>
      <c r="AH339" s="360" t="e">
        <f t="shared" si="21"/>
        <v>#N/A</v>
      </c>
      <c r="AI339" s="362" t="e">
        <f>ERP[[#This Row],[2026 Working Total]]-ERP[[#This Row],[LE2 Final Submission]]</f>
        <v>#N/A</v>
      </c>
      <c r="AJ339" s="79">
        <v>0</v>
      </c>
      <c r="AK339" s="79">
        <f t="shared" si="20"/>
        <v>0</v>
      </c>
      <c r="AL339" s="374">
        <f>SUM(ERP[[#This Row],[AP01]:[AP06]])-SUM(ERP[[#This Row],[AP01 LE2]:[AP06 LE2]])</f>
        <v>0</v>
      </c>
      <c r="AM339" s="80"/>
      <c r="AN339" s="79" t="e">
        <f>ERP[[#This Row],[2026 Working Total to Budget/LE]]-ERP[[#This Row],[Giveback]]</f>
        <v>#N/A</v>
      </c>
      <c r="AO339" s="81"/>
      <c r="AP339" s="375"/>
      <c r="AQ339" s="375"/>
      <c r="AR339" s="375"/>
      <c r="AS339" s="375">
        <v>0</v>
      </c>
      <c r="AT339" s="375">
        <v>0</v>
      </c>
      <c r="AU339" s="375">
        <v>0</v>
      </c>
      <c r="AV339" s="375">
        <v>0</v>
      </c>
      <c r="AW339" s="375">
        <v>0</v>
      </c>
      <c r="AX339" s="375">
        <v>0</v>
      </c>
      <c r="AY339" s="375">
        <v>0</v>
      </c>
      <c r="AZ339" s="375">
        <v>0</v>
      </c>
      <c r="BA339" s="375"/>
      <c r="BB339" s="375">
        <v>0</v>
      </c>
      <c r="BC339" s="103">
        <v>2090</v>
      </c>
      <c r="BD339" s="103">
        <v>0</v>
      </c>
      <c r="BE339" s="103">
        <v>0</v>
      </c>
      <c r="BF339" s="103">
        <v>0</v>
      </c>
      <c r="BG339" s="103">
        <v>0</v>
      </c>
      <c r="BH339" s="103">
        <v>0</v>
      </c>
      <c r="BI339" s="103">
        <v>0</v>
      </c>
      <c r="BJ339" s="103">
        <v>0</v>
      </c>
      <c r="BK339" s="103">
        <v>0</v>
      </c>
      <c r="BL339" s="103">
        <v>0</v>
      </c>
      <c r="BM339" s="103">
        <v>0</v>
      </c>
      <c r="BN339" s="103">
        <v>5760</v>
      </c>
      <c r="BO339" s="79">
        <f>SUM(ERP[[#This Row],[2026 AP01]:[2026 AP12]])</f>
        <v>7850</v>
      </c>
    </row>
    <row r="340" spans="1:67" ht="15" customHeight="1">
      <c r="A340" s="150" t="s">
        <v>1631</v>
      </c>
      <c r="B340" s="296" t="s">
        <v>1632</v>
      </c>
      <c r="C340" s="150" t="s">
        <v>1136</v>
      </c>
      <c r="D340" s="332" t="s">
        <v>1567</v>
      </c>
      <c r="E340" s="332" t="s">
        <v>1567</v>
      </c>
      <c r="F340" s="333" t="s">
        <v>1567</v>
      </c>
      <c r="G340" s="514" t="s">
        <v>49</v>
      </c>
      <c r="H340" s="394" t="s">
        <v>1633</v>
      </c>
      <c r="I340" s="333"/>
      <c r="J340" s="332" t="s">
        <v>1634</v>
      </c>
      <c r="K340" s="90" t="s">
        <v>309</v>
      </c>
      <c r="L340" s="347"/>
      <c r="M340" s="348" t="s">
        <v>1635</v>
      </c>
      <c r="N340" s="348"/>
      <c r="O340" s="506" t="s">
        <v>310</v>
      </c>
      <c r="P340" s="348"/>
      <c r="Q340" s="402"/>
      <c r="R340" s="406"/>
      <c r="S340" s="406"/>
      <c r="T340" s="425"/>
      <c r="U340" s="71"/>
      <c r="V340" s="435"/>
      <c r="W340" s="436"/>
      <c r="X340" s="436"/>
      <c r="Y340" s="429"/>
      <c r="Z340" s="429">
        <v>-48806.7</v>
      </c>
      <c r="AA340" s="429">
        <v>0</v>
      </c>
      <c r="AB340" s="363" t="e">
        <v>#N/A</v>
      </c>
      <c r="AC340" s="364"/>
      <c r="AD340" s="364"/>
      <c r="AE340" s="364"/>
      <c r="AF340" s="364"/>
      <c r="AG340" s="364"/>
      <c r="AH340" s="360" t="e">
        <f t="shared" si="21"/>
        <v>#N/A</v>
      </c>
      <c r="AI340" s="362" t="e">
        <f>ERP[[#This Row],[2026 Working Total]]-ERP[[#This Row],[LE2 Final Submission]]</f>
        <v>#N/A</v>
      </c>
      <c r="AJ340" s="79"/>
      <c r="AK340" s="79">
        <f t="shared" si="20"/>
        <v>0</v>
      </c>
      <c r="AL340" s="374">
        <f>SUM(ERP[[#This Row],[AP01]:[AP06]])-SUM(ERP[[#This Row],[AP01 LE2]:[AP06 LE2]])</f>
        <v>-48806.7</v>
      </c>
      <c r="AM340" s="80"/>
      <c r="AN340" s="79" t="e">
        <f>ERP[[#This Row],[2026 Working Total to Budget/LE]]-ERP[[#This Row],[Giveback]]</f>
        <v>#N/A</v>
      </c>
      <c r="AO340" s="81"/>
      <c r="AP340" s="375"/>
      <c r="AQ340" s="375"/>
      <c r="AR340" s="375"/>
      <c r="AS340" s="375"/>
      <c r="AT340" s="375"/>
      <c r="AU340" s="375"/>
      <c r="AV340" s="375"/>
      <c r="AW340" s="375"/>
      <c r="AX340" s="375"/>
      <c r="AY340" s="375"/>
      <c r="AZ340" s="375"/>
      <c r="BA340" s="375"/>
      <c r="BB340" s="375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</row>
    <row r="341" spans="1:67" ht="15" customHeight="1">
      <c r="A341" s="150" t="s">
        <v>1495</v>
      </c>
      <c r="B341" s="296" t="s">
        <v>1496</v>
      </c>
      <c r="C341" s="150" t="s">
        <v>1136</v>
      </c>
      <c r="D341" s="150" t="s">
        <v>1345</v>
      </c>
      <c r="E341" s="150" t="s">
        <v>1346</v>
      </c>
      <c r="F341" s="150" t="s">
        <v>1345</v>
      </c>
      <c r="G341" s="514" t="s">
        <v>49</v>
      </c>
      <c r="H341" s="394" t="s">
        <v>1497</v>
      </c>
      <c r="I341" s="333" t="s">
        <v>1498</v>
      </c>
      <c r="J341" s="332" t="s">
        <v>1499</v>
      </c>
      <c r="K341" s="90" t="s">
        <v>312</v>
      </c>
      <c r="L341" s="347"/>
      <c r="M341" s="348" t="s">
        <v>1500</v>
      </c>
      <c r="N341" s="348"/>
      <c r="O341" s="348"/>
      <c r="P341" s="348"/>
      <c r="Q341" s="402"/>
      <c r="R341" s="406"/>
      <c r="S341" s="406"/>
      <c r="T341" s="425"/>
      <c r="U341" s="71"/>
      <c r="V341" s="435"/>
      <c r="W341" s="436"/>
      <c r="X341" s="436"/>
      <c r="Y341" s="481">
        <v>12507.9</v>
      </c>
      <c r="Z341" s="481">
        <v>13470.05</v>
      </c>
      <c r="AA341" s="429">
        <v>13318.529999999999</v>
      </c>
      <c r="AB341" s="363" t="e">
        <v>#N/A</v>
      </c>
      <c r="AC341" s="364"/>
      <c r="AD341" s="364"/>
      <c r="AE341" s="364"/>
      <c r="AF341" s="364"/>
      <c r="AG341" s="364"/>
      <c r="AH341" s="367" t="e">
        <f t="shared" si="21"/>
        <v>#N/A</v>
      </c>
      <c r="AI341" s="362" t="e">
        <f>ERP[[#This Row],[2026 Working Total]]-ERP[[#This Row],[LE2 Final Submission]]</f>
        <v>#N/A</v>
      </c>
      <c r="AJ341" s="79"/>
      <c r="AK341" s="79">
        <f t="shared" si="20"/>
        <v>13318.529999999999</v>
      </c>
      <c r="AL341" s="374">
        <f>SUM(ERP[[#This Row],[AP01]:[AP06]])-SUM(ERP[[#This Row],[AP01 LE2]:[AP06 LE2]])</f>
        <v>39296.479999999996</v>
      </c>
      <c r="AM341" s="80"/>
      <c r="AN341" s="79" t="e">
        <f>ERP[[#This Row],[2026 Working Total to Budget/LE]]-ERP[[#This Row],[Giveback]]</f>
        <v>#N/A</v>
      </c>
      <c r="AO341" s="81"/>
      <c r="AP341" s="375"/>
      <c r="AQ341" s="375"/>
      <c r="AR341" s="375"/>
      <c r="AS341" s="375"/>
      <c r="AT341" s="375"/>
      <c r="AU341" s="375"/>
      <c r="AV341" s="375"/>
      <c r="AW341" s="375"/>
      <c r="AX341" s="375"/>
      <c r="AY341" s="375"/>
      <c r="AZ341" s="375"/>
      <c r="BA341" s="375"/>
      <c r="BB341" s="375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</row>
    <row r="342" spans="1:67" ht="15" customHeight="1">
      <c r="A342" s="66" t="s">
        <v>1314</v>
      </c>
      <c r="B342" s="66" t="s">
        <v>1315</v>
      </c>
      <c r="C342" s="150" t="s">
        <v>1136</v>
      </c>
      <c r="D342" s="150" t="s">
        <v>1135</v>
      </c>
      <c r="E342" s="150" t="s">
        <v>1145</v>
      </c>
      <c r="F342" s="150" t="s">
        <v>1137</v>
      </c>
      <c r="G342" s="511" t="s">
        <v>49</v>
      </c>
      <c r="H342" s="392" t="s">
        <v>1316</v>
      </c>
      <c r="I342" s="343"/>
      <c r="J342" s="346" t="s">
        <v>1186</v>
      </c>
      <c r="K342" s="70" t="s">
        <v>143</v>
      </c>
      <c r="L342" s="346"/>
      <c r="M342" s="346" t="s">
        <v>1317</v>
      </c>
      <c r="N342" s="346"/>
      <c r="O342" s="150" t="s">
        <v>25</v>
      </c>
      <c r="P342" s="150"/>
      <c r="Q342" s="403"/>
      <c r="R342" s="406">
        <v>23000</v>
      </c>
      <c r="S342" s="406">
        <v>21621.640000000003</v>
      </c>
      <c r="T342" s="425"/>
      <c r="U342" s="71"/>
      <c r="V342" s="426">
        <v>1355</v>
      </c>
      <c r="W342" s="427">
        <v>1517.05</v>
      </c>
      <c r="X342" s="427">
        <v>1896.64</v>
      </c>
      <c r="Y342" s="428">
        <v>4517.2999999999993</v>
      </c>
      <c r="Z342" s="429">
        <v>-462.13999999999965</v>
      </c>
      <c r="AA342" s="429">
        <v>1896.6400000000003</v>
      </c>
      <c r="AB342" s="363" t="e">
        <v>#N/A</v>
      </c>
      <c r="AC342" s="360">
        <v>0</v>
      </c>
      <c r="AD342" s="364"/>
      <c r="AE342" s="363">
        <v>9000</v>
      </c>
      <c r="AF342" s="363">
        <v>3852.95</v>
      </c>
      <c r="AG342" s="360">
        <v>0</v>
      </c>
      <c r="AH342" s="360" t="e">
        <f t="shared" si="21"/>
        <v>#N/A</v>
      </c>
      <c r="AI342" s="362" t="e">
        <f>ERP[[#This Row],[2026 Working Total]]-ERP[[#This Row],[LE2 Final Submission]]</f>
        <v>#N/A</v>
      </c>
      <c r="AJ342" s="79">
        <v>0</v>
      </c>
      <c r="AK342" s="79">
        <f t="shared" si="20"/>
        <v>1896.6400000000003</v>
      </c>
      <c r="AL342" s="374">
        <f>SUM(ERP[[#This Row],[AP01]:[AP06]])-SUM(ERP[[#This Row],[AP01 LE2]:[AP06 LE2]])</f>
        <v>-7048.2000000000007</v>
      </c>
      <c r="AM342" s="80"/>
      <c r="AN342" s="79" t="e">
        <f>ERP[[#This Row],[2026 Working Total to Budget/LE]]-ERP[[#This Row],[Giveback]]</f>
        <v>#N/A</v>
      </c>
      <c r="AO342" s="81"/>
      <c r="AP342" s="375">
        <v>1355</v>
      </c>
      <c r="AQ342" s="375">
        <v>1517.05</v>
      </c>
      <c r="AR342" s="375">
        <v>1896.64</v>
      </c>
      <c r="AS342" s="375">
        <v>0</v>
      </c>
      <c r="AT342" s="375">
        <v>0</v>
      </c>
      <c r="AU342" s="375">
        <v>13000</v>
      </c>
      <c r="AV342" s="375">
        <v>0</v>
      </c>
      <c r="AW342" s="375">
        <v>0</v>
      </c>
      <c r="AX342" s="375">
        <v>3852.95</v>
      </c>
      <c r="AY342" s="375">
        <v>0</v>
      </c>
      <c r="AZ342" s="375">
        <v>0</v>
      </c>
      <c r="BA342" s="375">
        <v>0</v>
      </c>
      <c r="BB342" s="375">
        <v>21621.640000000003</v>
      </c>
      <c r="BC342" s="79">
        <v>1355</v>
      </c>
      <c r="BD342" s="79">
        <v>1517.05</v>
      </c>
      <c r="BE342" s="79">
        <v>1896.64</v>
      </c>
      <c r="BF342" s="79">
        <v>0</v>
      </c>
      <c r="BG342" s="79">
        <v>0</v>
      </c>
      <c r="BH342" s="79">
        <v>13000</v>
      </c>
      <c r="BI342" s="79">
        <v>0</v>
      </c>
      <c r="BJ342" s="79">
        <v>0</v>
      </c>
      <c r="BK342" s="79">
        <v>3852.95</v>
      </c>
      <c r="BL342" s="79">
        <v>0</v>
      </c>
      <c r="BM342" s="79">
        <v>0</v>
      </c>
      <c r="BN342" s="79">
        <v>0</v>
      </c>
      <c r="BO342" s="79">
        <v>21621.640000000003</v>
      </c>
    </row>
    <row r="343" spans="1:67" ht="15" customHeight="1">
      <c r="A343" s="150" t="s">
        <v>1891</v>
      </c>
      <c r="B343" s="296" t="s">
        <v>1892</v>
      </c>
      <c r="C343" s="150" t="s">
        <v>1136</v>
      </c>
      <c r="D343" s="150" t="s">
        <v>1135</v>
      </c>
      <c r="E343" s="150" t="s">
        <v>1165</v>
      </c>
      <c r="F343" s="150" t="s">
        <v>1165</v>
      </c>
      <c r="G343" s="514" t="s">
        <v>389</v>
      </c>
      <c r="H343" s="394" t="s">
        <v>1893</v>
      </c>
      <c r="I343" s="333"/>
      <c r="J343" s="332" t="s">
        <v>1284</v>
      </c>
      <c r="K343" s="90" t="s">
        <v>463</v>
      </c>
      <c r="L343" s="347"/>
      <c r="M343" s="347"/>
      <c r="N343" s="348"/>
      <c r="O343" s="348"/>
      <c r="P343" s="348"/>
      <c r="Q343" s="402"/>
      <c r="R343" s="406"/>
      <c r="S343" s="406"/>
      <c r="T343" s="425"/>
      <c r="U343" s="71"/>
      <c r="V343" s="435"/>
      <c r="W343" s="436"/>
      <c r="X343" s="436"/>
      <c r="Y343" s="429">
        <v>18.2</v>
      </c>
      <c r="Z343" s="429">
        <v>0</v>
      </c>
      <c r="AA343" s="429">
        <v>0</v>
      </c>
      <c r="AB343" s="363" t="e">
        <v>#N/A</v>
      </c>
      <c r="AC343" s="364"/>
      <c r="AD343" s="364"/>
      <c r="AE343" s="364"/>
      <c r="AF343" s="364"/>
      <c r="AG343" s="364"/>
      <c r="AH343" s="360" t="e">
        <f t="shared" si="21"/>
        <v>#N/A</v>
      </c>
      <c r="AI343" s="362" t="e">
        <f>ERP[[#This Row],[2026 Working Total]]-ERP[[#This Row],[LE2 Final Submission]]</f>
        <v>#N/A</v>
      </c>
      <c r="AJ343" s="79"/>
      <c r="AK343" s="79">
        <f t="shared" si="20"/>
        <v>0</v>
      </c>
      <c r="AL343" s="374">
        <f>SUM(ERP[[#This Row],[AP01]:[AP06]])-SUM(ERP[[#This Row],[AP01 LE2]:[AP06 LE2]])</f>
        <v>18.2</v>
      </c>
      <c r="AM343" s="80"/>
      <c r="AN343" s="79" t="e">
        <f>ERP[[#This Row],[2026 Working Total to Budget/LE]]-ERP[[#This Row],[Giveback]]</f>
        <v>#N/A</v>
      </c>
      <c r="AO343" s="81"/>
      <c r="AP343" s="375"/>
      <c r="AQ343" s="375"/>
      <c r="AR343" s="375"/>
      <c r="AS343" s="375"/>
      <c r="AT343" s="375"/>
      <c r="AU343" s="375"/>
      <c r="AV343" s="375"/>
      <c r="AW343" s="375"/>
      <c r="AX343" s="375"/>
      <c r="AY343" s="375"/>
      <c r="AZ343" s="375"/>
      <c r="BA343" s="375"/>
      <c r="BB343" s="375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</row>
    <row r="344" spans="1:67" ht="15" customHeight="1">
      <c r="A344" s="66" t="s">
        <v>2272</v>
      </c>
      <c r="B344" s="66" t="s">
        <v>2273</v>
      </c>
      <c r="C344" s="150" t="s">
        <v>1136</v>
      </c>
      <c r="D344" s="150" t="s">
        <v>1135</v>
      </c>
      <c r="E344" s="150" t="s">
        <v>1145</v>
      </c>
      <c r="F344" s="150" t="s">
        <v>1137</v>
      </c>
      <c r="G344" s="511" t="s">
        <v>639</v>
      </c>
      <c r="H344" s="392" t="s">
        <v>2274</v>
      </c>
      <c r="I344" s="343"/>
      <c r="J344" s="343"/>
      <c r="K344" s="70" t="s">
        <v>673</v>
      </c>
      <c r="L344" s="346"/>
      <c r="M344" s="346" t="s">
        <v>1140</v>
      </c>
      <c r="N344" s="346"/>
      <c r="O344" s="150" t="s">
        <v>57</v>
      </c>
      <c r="P344" s="150"/>
      <c r="Q344" s="403"/>
      <c r="R344" s="406">
        <v>0</v>
      </c>
      <c r="S344" s="406">
        <v>616.66</v>
      </c>
      <c r="T344" s="425"/>
      <c r="U344" s="71"/>
      <c r="V344" s="426">
        <v>308.33</v>
      </c>
      <c r="W344" s="431">
        <v>0</v>
      </c>
      <c r="X344" s="427">
        <v>308.33</v>
      </c>
      <c r="Y344" s="428">
        <v>308.33</v>
      </c>
      <c r="Z344" s="429">
        <v>308.33</v>
      </c>
      <c r="AA344" s="429">
        <v>0</v>
      </c>
      <c r="AB344" s="363" t="e">
        <v>#N/A</v>
      </c>
      <c r="AC344" s="360">
        <v>0</v>
      </c>
      <c r="AD344" s="360">
        <v>0</v>
      </c>
      <c r="AE344" s="360">
        <v>0</v>
      </c>
      <c r="AF344" s="360">
        <v>0</v>
      </c>
      <c r="AG344" s="360">
        <v>0</v>
      </c>
      <c r="AH344" s="360" t="e">
        <f t="shared" si="21"/>
        <v>#N/A</v>
      </c>
      <c r="AI344" s="362" t="e">
        <f>ERP[[#This Row],[2026 Working Total]]-ERP[[#This Row],[LE2 Final Submission]]</f>
        <v>#N/A</v>
      </c>
      <c r="AJ344" s="79">
        <v>0</v>
      </c>
      <c r="AK344" s="79">
        <f t="shared" si="20"/>
        <v>0</v>
      </c>
      <c r="AL344" s="374">
        <f>SUM(ERP[[#This Row],[AP01]:[AP06]])-SUM(ERP[[#This Row],[AP01 LE2]:[AP06 LE2]])</f>
        <v>616.66</v>
      </c>
      <c r="AM344" s="80"/>
      <c r="AN344" s="79" t="e">
        <f>ERP[[#This Row],[2026 Working Total to Budget/LE]]-ERP[[#This Row],[Giveback]]</f>
        <v>#N/A</v>
      </c>
      <c r="AO344" s="81"/>
      <c r="AP344" s="375">
        <v>308.33</v>
      </c>
      <c r="AQ344" s="375">
        <v>0</v>
      </c>
      <c r="AR344" s="375">
        <v>308.33</v>
      </c>
      <c r="AS344" s="375">
        <v>0</v>
      </c>
      <c r="AT344" s="375">
        <v>0</v>
      </c>
      <c r="AU344" s="375">
        <v>0</v>
      </c>
      <c r="AV344" s="375">
        <v>0</v>
      </c>
      <c r="AW344" s="375">
        <v>0</v>
      </c>
      <c r="AX344" s="375">
        <v>0</v>
      </c>
      <c r="AY344" s="375">
        <v>0</v>
      </c>
      <c r="AZ344" s="375">
        <v>0</v>
      </c>
      <c r="BA344" s="375">
        <v>0</v>
      </c>
      <c r="BB344" s="375">
        <v>616.66</v>
      </c>
      <c r="BC344" s="79">
        <v>308.33</v>
      </c>
      <c r="BD344" s="79">
        <v>0</v>
      </c>
      <c r="BE344" s="79">
        <v>308.33</v>
      </c>
      <c r="BF344" s="79">
        <v>0</v>
      </c>
      <c r="BG344" s="79">
        <v>0</v>
      </c>
      <c r="BH344" s="79">
        <v>0</v>
      </c>
      <c r="BI344" s="79">
        <v>0</v>
      </c>
      <c r="BJ344" s="79">
        <v>0</v>
      </c>
      <c r="BK344" s="79">
        <v>0</v>
      </c>
      <c r="BL344" s="79">
        <v>0</v>
      </c>
      <c r="BM344" s="79">
        <v>0</v>
      </c>
      <c r="BN344" s="79">
        <v>0</v>
      </c>
      <c r="BO344" s="79">
        <v>616.66</v>
      </c>
    </row>
    <row r="345" spans="1:67" ht="15" customHeight="1">
      <c r="A345" s="66" t="s">
        <v>2677</v>
      </c>
      <c r="B345" s="66" t="s">
        <v>2678</v>
      </c>
      <c r="C345" s="150" t="s">
        <v>1136</v>
      </c>
      <c r="D345" s="150" t="s">
        <v>1345</v>
      </c>
      <c r="E345" s="150" t="s">
        <v>1437</v>
      </c>
      <c r="F345" s="150" t="s">
        <v>1346</v>
      </c>
      <c r="G345" s="511" t="s">
        <v>639</v>
      </c>
      <c r="H345" s="392" t="s">
        <v>2274</v>
      </c>
      <c r="I345" s="343"/>
      <c r="J345" s="343"/>
      <c r="K345" s="70" t="s">
        <v>673</v>
      </c>
      <c r="L345" s="346"/>
      <c r="M345" s="346" t="s">
        <v>1140</v>
      </c>
      <c r="N345" s="346"/>
      <c r="O345" s="150" t="s">
        <v>57</v>
      </c>
      <c r="P345" s="150"/>
      <c r="Q345" s="403"/>
      <c r="R345" s="406">
        <v>18499.8</v>
      </c>
      <c r="S345" s="406">
        <v>16958.149999999998</v>
      </c>
      <c r="T345" s="425"/>
      <c r="U345" s="71"/>
      <c r="V345" s="426">
        <v>1541.65</v>
      </c>
      <c r="W345" s="431">
        <v>0</v>
      </c>
      <c r="X345" s="427">
        <v>1541.65</v>
      </c>
      <c r="Y345" s="428">
        <v>1541.65</v>
      </c>
      <c r="Z345" s="429">
        <v>1541.65</v>
      </c>
      <c r="AA345" s="429">
        <v>1541.65</v>
      </c>
      <c r="AB345" s="363" t="e">
        <v>#N/A</v>
      </c>
      <c r="AC345" s="363">
        <v>1541.65</v>
      </c>
      <c r="AD345" s="363">
        <v>1541.65</v>
      </c>
      <c r="AE345" s="363">
        <v>1541.65</v>
      </c>
      <c r="AF345" s="363">
        <v>1541.65</v>
      </c>
      <c r="AG345" s="363">
        <v>1541.65</v>
      </c>
      <c r="AH345" s="360" t="e">
        <f t="shared" si="21"/>
        <v>#N/A</v>
      </c>
      <c r="AI345" s="362" t="e">
        <f>ERP[[#This Row],[2026 Working Total]]-ERP[[#This Row],[LE2 Final Submission]]</f>
        <v>#N/A</v>
      </c>
      <c r="AJ345" s="79">
        <v>1541.65</v>
      </c>
      <c r="AK345" s="79">
        <f t="shared" si="20"/>
        <v>0</v>
      </c>
      <c r="AL345" s="374">
        <f>SUM(ERP[[#This Row],[AP01]:[AP06]])-SUM(ERP[[#This Row],[AP01 LE2]:[AP06 LE2]])</f>
        <v>0</v>
      </c>
      <c r="AM345" s="80"/>
      <c r="AN345" s="79" t="e">
        <f>ERP[[#This Row],[2026 Working Total to Budget/LE]]-ERP[[#This Row],[Giveback]]</f>
        <v>#N/A</v>
      </c>
      <c r="AO345" s="81"/>
      <c r="AP345" s="375">
        <v>1541.65</v>
      </c>
      <c r="AQ345" s="375">
        <v>0</v>
      </c>
      <c r="AR345" s="375">
        <v>1541.65</v>
      </c>
      <c r="AS345" s="375">
        <v>1541.65</v>
      </c>
      <c r="AT345" s="375">
        <v>1541.65</v>
      </c>
      <c r="AU345" s="375">
        <v>1541.65</v>
      </c>
      <c r="AV345" s="375">
        <v>1541.65</v>
      </c>
      <c r="AW345" s="375">
        <v>1541.65</v>
      </c>
      <c r="AX345" s="375">
        <v>1541.65</v>
      </c>
      <c r="AY345" s="375">
        <v>1541.65</v>
      </c>
      <c r="AZ345" s="375">
        <v>1541.65</v>
      </c>
      <c r="BA345" s="375">
        <v>1541.65</v>
      </c>
      <c r="BB345" s="375">
        <v>16958.149999999998</v>
      </c>
      <c r="BC345" s="79">
        <v>1541.65</v>
      </c>
      <c r="BD345" s="79">
        <v>0</v>
      </c>
      <c r="BE345" s="79">
        <v>1541.65</v>
      </c>
      <c r="BF345" s="79">
        <v>1541.65</v>
      </c>
      <c r="BG345" s="79">
        <v>1541.65</v>
      </c>
      <c r="BH345" s="79">
        <v>1541.65</v>
      </c>
      <c r="BI345" s="79">
        <v>1541.65</v>
      </c>
      <c r="BJ345" s="79">
        <v>1541.65</v>
      </c>
      <c r="BK345" s="79">
        <v>1541.65</v>
      </c>
      <c r="BL345" s="79">
        <v>1541.65</v>
      </c>
      <c r="BM345" s="79">
        <v>1541.65</v>
      </c>
      <c r="BN345" s="79">
        <v>1541.65</v>
      </c>
      <c r="BO345" s="79">
        <v>16958.149999999998</v>
      </c>
    </row>
    <row r="346" spans="1:67" ht="15" customHeight="1">
      <c r="A346" s="150" t="s">
        <v>2781</v>
      </c>
      <c r="B346" s="296" t="s">
        <v>2782</v>
      </c>
      <c r="C346" s="150" t="s">
        <v>1136</v>
      </c>
      <c r="D346" s="150" t="s">
        <v>1345</v>
      </c>
      <c r="E346" s="150" t="s">
        <v>1346</v>
      </c>
      <c r="F346" s="331" t="s">
        <v>1346</v>
      </c>
      <c r="G346" s="514" t="s">
        <v>639</v>
      </c>
      <c r="H346" s="394" t="s">
        <v>2783</v>
      </c>
      <c r="I346" s="333"/>
      <c r="J346" s="332" t="s">
        <v>1499</v>
      </c>
      <c r="K346" s="90" t="s">
        <v>365</v>
      </c>
      <c r="L346" s="347"/>
      <c r="M346" s="347"/>
      <c r="N346" s="348"/>
      <c r="O346" s="348"/>
      <c r="P346" s="348"/>
      <c r="Q346" s="402"/>
      <c r="R346" s="406"/>
      <c r="S346" s="406"/>
      <c r="T346" s="425"/>
      <c r="U346" s="71"/>
      <c r="V346" s="435"/>
      <c r="W346" s="436"/>
      <c r="X346" s="436"/>
      <c r="Y346" s="429"/>
      <c r="Z346" s="429">
        <v>200</v>
      </c>
      <c r="AA346" s="429">
        <v>223.09</v>
      </c>
      <c r="AB346" s="363" t="e">
        <v>#N/A</v>
      </c>
      <c r="AC346" s="364"/>
      <c r="AD346" s="364"/>
      <c r="AE346" s="364"/>
      <c r="AF346" s="364"/>
      <c r="AG346" s="364"/>
      <c r="AH346" s="360" t="e">
        <f t="shared" si="21"/>
        <v>#N/A</v>
      </c>
      <c r="AI346" s="362" t="e">
        <f>ERP[[#This Row],[2026 Working Total]]-ERP[[#This Row],[LE2 Final Submission]]</f>
        <v>#N/A</v>
      </c>
      <c r="AJ346" s="79"/>
      <c r="AK346" s="79">
        <f t="shared" si="20"/>
        <v>223.09</v>
      </c>
      <c r="AL346" s="374">
        <f>SUM(ERP[[#This Row],[AP01]:[AP06]])-SUM(ERP[[#This Row],[AP01 LE2]:[AP06 LE2]])</f>
        <v>423.09000000000003</v>
      </c>
      <c r="AM346" s="80"/>
      <c r="AN346" s="79" t="e">
        <f>ERP[[#This Row],[2026 Working Total to Budget/LE]]-ERP[[#This Row],[Giveback]]</f>
        <v>#N/A</v>
      </c>
      <c r="AO346" s="81"/>
      <c r="AP346" s="375"/>
      <c r="AQ346" s="375"/>
      <c r="AR346" s="375"/>
      <c r="AS346" s="375"/>
      <c r="AT346" s="375"/>
      <c r="AU346" s="375"/>
      <c r="AV346" s="375"/>
      <c r="AW346" s="375"/>
      <c r="AX346" s="375"/>
      <c r="AY346" s="375"/>
      <c r="AZ346" s="375"/>
      <c r="BA346" s="375"/>
      <c r="BB346" s="375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</row>
    <row r="347" spans="1:67" ht="15" customHeight="1">
      <c r="A347" s="66" t="s">
        <v>1738</v>
      </c>
      <c r="B347" s="66" t="s">
        <v>1739</v>
      </c>
      <c r="C347" s="150" t="s">
        <v>1136</v>
      </c>
      <c r="D347" s="150" t="s">
        <v>1345</v>
      </c>
      <c r="E347" s="150" t="s">
        <v>1346</v>
      </c>
      <c r="F347" s="150" t="s">
        <v>1346</v>
      </c>
      <c r="G347" s="511" t="s">
        <v>342</v>
      </c>
      <c r="H347" s="392" t="s">
        <v>1703</v>
      </c>
      <c r="I347" s="343"/>
      <c r="J347" s="343"/>
      <c r="K347" s="70" t="s">
        <v>365</v>
      </c>
      <c r="L347" s="346"/>
      <c r="M347" s="346" t="s">
        <v>1140</v>
      </c>
      <c r="N347" s="346"/>
      <c r="O347" s="150" t="s">
        <v>57</v>
      </c>
      <c r="P347" s="150"/>
      <c r="Q347" s="403"/>
      <c r="R347" s="406">
        <v>0</v>
      </c>
      <c r="S347" s="406">
        <v>4063.1000000000004</v>
      </c>
      <c r="T347" s="425"/>
      <c r="U347" s="71"/>
      <c r="V347" s="426">
        <v>322.64</v>
      </c>
      <c r="W347" s="427">
        <v>376.04</v>
      </c>
      <c r="X347" s="427">
        <v>3364.42</v>
      </c>
      <c r="Y347" s="428">
        <v>389.04999999999995</v>
      </c>
      <c r="Z347" s="429">
        <v>3602.75</v>
      </c>
      <c r="AA347" s="429">
        <v>278.59000000000003</v>
      </c>
      <c r="AB347" s="363" t="e">
        <v>#N/A</v>
      </c>
      <c r="AC347" s="360">
        <v>0</v>
      </c>
      <c r="AD347" s="360">
        <v>0</v>
      </c>
      <c r="AE347" s="360">
        <v>0</v>
      </c>
      <c r="AF347" s="360">
        <v>0</v>
      </c>
      <c r="AG347" s="360">
        <v>0</v>
      </c>
      <c r="AH347" s="360" t="e">
        <f t="shared" si="21"/>
        <v>#N/A</v>
      </c>
      <c r="AI347" s="362" t="e">
        <f>ERP[[#This Row],[2026 Working Total]]-ERP[[#This Row],[LE2 Final Submission]]</f>
        <v>#N/A</v>
      </c>
      <c r="AJ347" s="79">
        <v>0</v>
      </c>
      <c r="AK347" s="79">
        <f t="shared" si="20"/>
        <v>278.59000000000003</v>
      </c>
      <c r="AL347" s="374">
        <f>SUM(ERP[[#This Row],[AP01]:[AP06]])-SUM(ERP[[#This Row],[AP01 LE2]:[AP06 LE2]])</f>
        <v>4270.3899999999994</v>
      </c>
      <c r="AM347" s="80"/>
      <c r="AN347" s="79" t="e">
        <f>ERP[[#This Row],[2026 Working Total to Budget/LE]]-ERP[[#This Row],[Giveback]]</f>
        <v>#N/A</v>
      </c>
      <c r="AO347" s="81"/>
      <c r="AP347" s="375">
        <v>322.64</v>
      </c>
      <c r="AQ347" s="375">
        <v>376.04</v>
      </c>
      <c r="AR347" s="375">
        <v>3364.42</v>
      </c>
      <c r="AS347" s="375">
        <v>0</v>
      </c>
      <c r="AT347" s="375">
        <v>0</v>
      </c>
      <c r="AU347" s="375">
        <v>0</v>
      </c>
      <c r="AV347" s="375">
        <v>0</v>
      </c>
      <c r="AW347" s="375">
        <v>0</v>
      </c>
      <c r="AX347" s="375">
        <v>0</v>
      </c>
      <c r="AY347" s="375">
        <v>0</v>
      </c>
      <c r="AZ347" s="375">
        <v>0</v>
      </c>
      <c r="BA347" s="375">
        <v>0</v>
      </c>
      <c r="BB347" s="375">
        <v>4063.1000000000004</v>
      </c>
      <c r="BC347" s="79">
        <v>322.64</v>
      </c>
      <c r="BD347" s="79">
        <v>376.04</v>
      </c>
      <c r="BE347" s="79">
        <v>3364.42</v>
      </c>
      <c r="BF347" s="79">
        <v>0</v>
      </c>
      <c r="BG347" s="79">
        <v>0</v>
      </c>
      <c r="BH347" s="79">
        <v>0</v>
      </c>
      <c r="BI347" s="79">
        <v>0</v>
      </c>
      <c r="BJ347" s="79">
        <v>0</v>
      </c>
      <c r="BK347" s="79">
        <v>0</v>
      </c>
      <c r="BL347" s="79">
        <v>0</v>
      </c>
      <c r="BM347" s="79">
        <v>0</v>
      </c>
      <c r="BN347" s="79">
        <v>0</v>
      </c>
      <c r="BO347" s="79">
        <v>4063.1000000000004</v>
      </c>
    </row>
    <row r="348" spans="1:67" ht="15" customHeight="1">
      <c r="A348" s="66" t="s">
        <v>2112</v>
      </c>
      <c r="B348" s="66" t="s">
        <v>2113</v>
      </c>
      <c r="C348" s="150" t="s">
        <v>1136</v>
      </c>
      <c r="D348" s="150" t="s">
        <v>1345</v>
      </c>
      <c r="E348" s="150" t="s">
        <v>1346</v>
      </c>
      <c r="F348" s="150" t="s">
        <v>1346</v>
      </c>
      <c r="G348" s="511" t="s">
        <v>389</v>
      </c>
      <c r="H348" s="392" t="s">
        <v>1703</v>
      </c>
      <c r="I348" s="343"/>
      <c r="J348" s="343"/>
      <c r="K348" s="70" t="s">
        <v>365</v>
      </c>
      <c r="L348" s="346"/>
      <c r="M348" s="346" t="s">
        <v>1140</v>
      </c>
      <c r="N348" s="346"/>
      <c r="O348" s="150" t="s">
        <v>57</v>
      </c>
      <c r="P348" s="150"/>
      <c r="Q348" s="403"/>
      <c r="R348" s="406">
        <v>0</v>
      </c>
      <c r="S348" s="406">
        <v>2000</v>
      </c>
      <c r="T348" s="430"/>
      <c r="U348" s="137"/>
      <c r="V348" s="426">
        <v>2000</v>
      </c>
      <c r="W348" s="431">
        <v>0</v>
      </c>
      <c r="X348" s="431">
        <v>0</v>
      </c>
      <c r="Y348" s="428">
        <v>0</v>
      </c>
      <c r="Z348" s="429">
        <v>90.2</v>
      </c>
      <c r="AA348" s="429">
        <v>90.2</v>
      </c>
      <c r="AB348" s="363" t="e">
        <v>#N/A</v>
      </c>
      <c r="AC348" s="360">
        <v>0</v>
      </c>
      <c r="AD348" s="360">
        <v>0</v>
      </c>
      <c r="AE348" s="360">
        <v>0</v>
      </c>
      <c r="AF348" s="360">
        <v>0</v>
      </c>
      <c r="AG348" s="360">
        <v>0</v>
      </c>
      <c r="AH348" s="360" t="e">
        <f t="shared" si="21"/>
        <v>#N/A</v>
      </c>
      <c r="AI348" s="362" t="e">
        <f>ERP[[#This Row],[2026 Working Total]]-ERP[[#This Row],[LE2 Final Submission]]</f>
        <v>#N/A</v>
      </c>
      <c r="AJ348" s="79">
        <v>0</v>
      </c>
      <c r="AK348" s="79">
        <f t="shared" si="20"/>
        <v>90.2</v>
      </c>
      <c r="AL348" s="374">
        <f>SUM(ERP[[#This Row],[AP01]:[AP06]])-SUM(ERP[[#This Row],[AP01 LE2]:[AP06 LE2]])</f>
        <v>180.39999999999964</v>
      </c>
      <c r="AM348" s="80"/>
      <c r="AN348" s="79" t="e">
        <f>ERP[[#This Row],[2026 Working Total to Budget/LE]]-ERP[[#This Row],[Giveback]]</f>
        <v>#N/A</v>
      </c>
      <c r="AO348" s="81"/>
      <c r="AP348" s="375">
        <v>2000</v>
      </c>
      <c r="AQ348" s="375">
        <v>0</v>
      </c>
      <c r="AR348" s="375">
        <v>0</v>
      </c>
      <c r="AS348" s="375">
        <v>0</v>
      </c>
      <c r="AT348" s="375">
        <v>0</v>
      </c>
      <c r="AU348" s="375">
        <v>0</v>
      </c>
      <c r="AV348" s="375">
        <v>0</v>
      </c>
      <c r="AW348" s="375">
        <v>0</v>
      </c>
      <c r="AX348" s="375">
        <v>0</v>
      </c>
      <c r="AY348" s="375">
        <v>0</v>
      </c>
      <c r="AZ348" s="375">
        <v>0</v>
      </c>
      <c r="BA348" s="375">
        <v>0</v>
      </c>
      <c r="BB348" s="375">
        <v>2000</v>
      </c>
      <c r="BC348" s="79">
        <v>2000</v>
      </c>
      <c r="BD348" s="79">
        <v>0</v>
      </c>
      <c r="BE348" s="79">
        <v>0</v>
      </c>
      <c r="BF348" s="79">
        <v>0</v>
      </c>
      <c r="BG348" s="79">
        <v>0</v>
      </c>
      <c r="BH348" s="79">
        <v>0</v>
      </c>
      <c r="BI348" s="79">
        <v>0</v>
      </c>
      <c r="BJ348" s="79">
        <v>0</v>
      </c>
      <c r="BK348" s="79">
        <v>0</v>
      </c>
      <c r="BL348" s="79">
        <v>0</v>
      </c>
      <c r="BM348" s="79">
        <v>0</v>
      </c>
      <c r="BN348" s="79">
        <v>0</v>
      </c>
      <c r="BO348" s="79">
        <v>2000</v>
      </c>
    </row>
    <row r="349" spans="1:67" ht="15" customHeight="1">
      <c r="A349" s="66" t="s">
        <v>2275</v>
      </c>
      <c r="B349" s="66" t="s">
        <v>2276</v>
      </c>
      <c r="C349" s="150" t="s">
        <v>1136</v>
      </c>
      <c r="D349" s="150" t="s">
        <v>1135</v>
      </c>
      <c r="E349" s="150" t="s">
        <v>1165</v>
      </c>
      <c r="F349" s="150" t="s">
        <v>1137</v>
      </c>
      <c r="G349" s="511" t="s">
        <v>639</v>
      </c>
      <c r="H349" s="392" t="s">
        <v>2274</v>
      </c>
      <c r="I349" s="343"/>
      <c r="J349" s="343"/>
      <c r="K349" s="70" t="s">
        <v>673</v>
      </c>
      <c r="L349" s="346"/>
      <c r="M349" s="346" t="s">
        <v>1140</v>
      </c>
      <c r="N349" s="346"/>
      <c r="O349" s="150" t="s">
        <v>57</v>
      </c>
      <c r="P349" s="150"/>
      <c r="Q349" s="403"/>
      <c r="R349" s="406">
        <v>11109.88</v>
      </c>
      <c r="S349" s="406">
        <v>9249.9</v>
      </c>
      <c r="T349" s="425"/>
      <c r="U349" s="71"/>
      <c r="V349" s="426">
        <v>616.66</v>
      </c>
      <c r="W349" s="431">
        <v>0</v>
      </c>
      <c r="X349" s="427">
        <v>308.33</v>
      </c>
      <c r="Y349" s="428">
        <v>308.33</v>
      </c>
      <c r="Z349" s="429">
        <v>308.33</v>
      </c>
      <c r="AA349" s="429">
        <v>308.33</v>
      </c>
      <c r="AB349" s="363" t="e">
        <v>#N/A</v>
      </c>
      <c r="AC349" s="363">
        <v>924.99</v>
      </c>
      <c r="AD349" s="363">
        <v>924.99</v>
      </c>
      <c r="AE349" s="363">
        <v>924.99</v>
      </c>
      <c r="AF349" s="363">
        <v>924.99</v>
      </c>
      <c r="AG349" s="363">
        <v>924.99</v>
      </c>
      <c r="AH349" s="360" t="e">
        <f t="shared" si="21"/>
        <v>#N/A</v>
      </c>
      <c r="AI349" s="362" t="e">
        <f>ERP[[#This Row],[2026 Working Total]]-ERP[[#This Row],[LE2 Final Submission]]</f>
        <v>#N/A</v>
      </c>
      <c r="AJ349" s="79">
        <v>924.99</v>
      </c>
      <c r="AK349" s="79">
        <f t="shared" si="20"/>
        <v>-616.66000000000008</v>
      </c>
      <c r="AL349" s="374">
        <f>SUM(ERP[[#This Row],[AP01]:[AP06]])-SUM(ERP[[#This Row],[AP01 LE2]:[AP06 LE2]])</f>
        <v>-1849.9800000000002</v>
      </c>
      <c r="AM349" s="80"/>
      <c r="AN349" s="79" t="e">
        <f>ERP[[#This Row],[2026 Working Total to Budget/LE]]-ERP[[#This Row],[Giveback]]</f>
        <v>#N/A</v>
      </c>
      <c r="AO349" s="81"/>
      <c r="AP349" s="375">
        <v>616.66</v>
      </c>
      <c r="AQ349" s="375">
        <v>0</v>
      </c>
      <c r="AR349" s="375">
        <v>308.33</v>
      </c>
      <c r="AS349" s="375">
        <v>924.99</v>
      </c>
      <c r="AT349" s="375">
        <v>924.99</v>
      </c>
      <c r="AU349" s="375">
        <v>924.99</v>
      </c>
      <c r="AV349" s="375">
        <v>924.99</v>
      </c>
      <c r="AW349" s="375">
        <v>924.99</v>
      </c>
      <c r="AX349" s="375">
        <v>924.99</v>
      </c>
      <c r="AY349" s="375">
        <v>924.99</v>
      </c>
      <c r="AZ349" s="375">
        <v>924.99</v>
      </c>
      <c r="BA349" s="375">
        <v>924.99</v>
      </c>
      <c r="BB349" s="375">
        <v>9249.9</v>
      </c>
      <c r="BC349" s="79">
        <v>616.66</v>
      </c>
      <c r="BD349" s="79">
        <v>0</v>
      </c>
      <c r="BE349" s="79">
        <v>308.33</v>
      </c>
      <c r="BF349" s="79">
        <v>924.99</v>
      </c>
      <c r="BG349" s="79">
        <v>924.99</v>
      </c>
      <c r="BH349" s="79">
        <v>924.99</v>
      </c>
      <c r="BI349" s="79">
        <v>924.99</v>
      </c>
      <c r="BJ349" s="79">
        <v>924.99</v>
      </c>
      <c r="BK349" s="79">
        <v>924.99</v>
      </c>
      <c r="BL349" s="79">
        <v>924.99</v>
      </c>
      <c r="BM349" s="79">
        <v>924.99</v>
      </c>
      <c r="BN349" s="79">
        <v>924.99</v>
      </c>
      <c r="BO349" s="79">
        <v>9249.9</v>
      </c>
    </row>
    <row r="350" spans="1:67" ht="15" customHeight="1">
      <c r="A350" s="79" t="s">
        <v>2271</v>
      </c>
      <c r="B350" s="296" t="s">
        <v>672</v>
      </c>
      <c r="C350" s="150" t="s">
        <v>1136</v>
      </c>
      <c r="D350" s="332" t="s">
        <v>1135</v>
      </c>
      <c r="E350" s="332" t="s">
        <v>1135</v>
      </c>
      <c r="F350" s="333" t="s">
        <v>1135</v>
      </c>
      <c r="G350" s="514" t="s">
        <v>639</v>
      </c>
      <c r="H350" s="394"/>
      <c r="I350" s="333"/>
      <c r="J350" s="333"/>
      <c r="K350" s="90" t="s">
        <v>673</v>
      </c>
      <c r="L350" s="347"/>
      <c r="M350" s="347"/>
      <c r="N350" s="348"/>
      <c r="O350" s="348"/>
      <c r="P350" s="348"/>
      <c r="Q350" s="402"/>
      <c r="R350" s="358"/>
      <c r="S350" s="379"/>
      <c r="T350" s="425"/>
      <c r="U350" s="71"/>
      <c r="V350" s="435"/>
      <c r="W350" s="436"/>
      <c r="X350" s="436"/>
      <c r="Y350" s="429"/>
      <c r="Z350" s="429"/>
      <c r="AA350" s="429">
        <v>308.33</v>
      </c>
      <c r="AB350" s="363" t="e">
        <v>#N/A</v>
      </c>
      <c r="AC350" s="364"/>
      <c r="AD350" s="364"/>
      <c r="AE350" s="364"/>
      <c r="AF350" s="364"/>
      <c r="AG350" s="364"/>
      <c r="AH350" s="360" t="e">
        <f t="shared" si="21"/>
        <v>#N/A</v>
      </c>
      <c r="AI350" s="362" t="e">
        <f>ERP[[#This Row],[2026 Working Total]]-ERP[[#This Row],[LE2 Final Submission]]</f>
        <v>#N/A</v>
      </c>
      <c r="AJ350" s="79"/>
      <c r="AK350" s="79">
        <f t="shared" si="20"/>
        <v>308.33</v>
      </c>
      <c r="AL350" s="391">
        <f>SUM(ERP[[#This Row],[AP01]:[AP06]])-SUM(ERP[[#This Row],[AP01 LE2]:[AP06 LE2]])</f>
        <v>308.33</v>
      </c>
      <c r="AM350" s="80"/>
      <c r="AN350" s="79" t="e">
        <f>ERP[[#This Row],[2026 Working Total to Budget/LE]]-ERP[[#This Row],[Giveback]]</f>
        <v>#N/A</v>
      </c>
      <c r="AO350" s="81"/>
      <c r="AP350" s="375"/>
      <c r="AQ350" s="375"/>
      <c r="AR350" s="375"/>
      <c r="AS350" s="375"/>
      <c r="AT350" s="375"/>
      <c r="AU350" s="375"/>
      <c r="AV350" s="375"/>
      <c r="AW350" s="375"/>
      <c r="AX350" s="375"/>
      <c r="AY350" s="375"/>
      <c r="AZ350" s="375"/>
      <c r="BA350" s="375"/>
      <c r="BB350" s="375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</row>
    <row r="351" spans="1:67" ht="15" customHeight="1">
      <c r="A351" s="66" t="s">
        <v>1702</v>
      </c>
      <c r="B351" s="66" t="s">
        <v>364</v>
      </c>
      <c r="C351" s="150" t="s">
        <v>1136</v>
      </c>
      <c r="D351" s="150" t="s">
        <v>1135</v>
      </c>
      <c r="E351" s="150" t="s">
        <v>1135</v>
      </c>
      <c r="F351" s="150" t="s">
        <v>1137</v>
      </c>
      <c r="G351" s="511" t="s">
        <v>342</v>
      </c>
      <c r="H351" s="392" t="s">
        <v>1703</v>
      </c>
      <c r="I351" s="343"/>
      <c r="J351" s="343"/>
      <c r="K351" s="70" t="s">
        <v>365</v>
      </c>
      <c r="L351" s="346"/>
      <c r="M351" s="346" t="s">
        <v>1140</v>
      </c>
      <c r="N351" s="346"/>
      <c r="O351" s="150" t="s">
        <v>57</v>
      </c>
      <c r="P351" s="150"/>
      <c r="Q351" s="403"/>
      <c r="R351" s="406">
        <v>0</v>
      </c>
      <c r="S351" s="406">
        <v>20</v>
      </c>
      <c r="T351" s="425"/>
      <c r="U351" s="71"/>
      <c r="V351" s="426">
        <v>20</v>
      </c>
      <c r="W351" s="431">
        <v>0</v>
      </c>
      <c r="X351" s="431">
        <v>0</v>
      </c>
      <c r="Y351" s="428">
        <v>22</v>
      </c>
      <c r="Z351" s="429">
        <v>0</v>
      </c>
      <c r="AA351" s="429">
        <v>2147</v>
      </c>
      <c r="AB351" s="363" t="e">
        <v>#N/A</v>
      </c>
      <c r="AC351" s="360">
        <v>0</v>
      </c>
      <c r="AD351" s="360">
        <v>0</v>
      </c>
      <c r="AE351" s="360">
        <v>0</v>
      </c>
      <c r="AF351" s="360">
        <v>0</v>
      </c>
      <c r="AG351" s="360">
        <v>0</v>
      </c>
      <c r="AH351" s="360" t="e">
        <f t="shared" si="21"/>
        <v>#N/A</v>
      </c>
      <c r="AI351" s="362" t="e">
        <f>ERP[[#This Row],[2026 Working Total]]-ERP[[#This Row],[LE2 Final Submission]]</f>
        <v>#N/A</v>
      </c>
      <c r="AJ351" s="79">
        <v>0</v>
      </c>
      <c r="AK351" s="79">
        <f t="shared" si="20"/>
        <v>2147</v>
      </c>
      <c r="AL351" s="374">
        <f>SUM(ERP[[#This Row],[AP01]:[AP06]])-SUM(ERP[[#This Row],[AP01 LE2]:[AP06 LE2]])</f>
        <v>2169</v>
      </c>
      <c r="AM351" s="80"/>
      <c r="AN351" s="79" t="e">
        <f>ERP[[#This Row],[2026 Working Total to Budget/LE]]-ERP[[#This Row],[Giveback]]</f>
        <v>#N/A</v>
      </c>
      <c r="AO351" s="81"/>
      <c r="AP351" s="375">
        <v>20</v>
      </c>
      <c r="AQ351" s="375">
        <v>0</v>
      </c>
      <c r="AR351" s="375">
        <v>0</v>
      </c>
      <c r="AS351" s="375">
        <v>0</v>
      </c>
      <c r="AT351" s="375">
        <v>0</v>
      </c>
      <c r="AU351" s="375">
        <v>0</v>
      </c>
      <c r="AV351" s="375">
        <v>0</v>
      </c>
      <c r="AW351" s="375">
        <v>0</v>
      </c>
      <c r="AX351" s="375">
        <v>0</v>
      </c>
      <c r="AY351" s="375">
        <v>0</v>
      </c>
      <c r="AZ351" s="375">
        <v>0</v>
      </c>
      <c r="BA351" s="375">
        <v>0</v>
      </c>
      <c r="BB351" s="375">
        <v>20</v>
      </c>
      <c r="BC351" s="79">
        <v>20</v>
      </c>
      <c r="BD351" s="79">
        <v>0</v>
      </c>
      <c r="BE351" s="79">
        <v>0</v>
      </c>
      <c r="BF351" s="79">
        <v>0</v>
      </c>
      <c r="BG351" s="79">
        <v>0</v>
      </c>
      <c r="BH351" s="79">
        <v>0</v>
      </c>
      <c r="BI351" s="79">
        <v>0</v>
      </c>
      <c r="BJ351" s="79">
        <v>0</v>
      </c>
      <c r="BK351" s="79">
        <v>0</v>
      </c>
      <c r="BL351" s="79">
        <v>0</v>
      </c>
      <c r="BM351" s="79">
        <v>0</v>
      </c>
      <c r="BN351" s="79">
        <v>0</v>
      </c>
      <c r="BO351" s="79">
        <v>20</v>
      </c>
    </row>
    <row r="352" spans="1:67" ht="15" customHeight="1">
      <c r="A352" s="66" t="s">
        <v>2039</v>
      </c>
      <c r="B352" s="66" t="s">
        <v>542</v>
      </c>
      <c r="C352" s="150" t="s">
        <v>1136</v>
      </c>
      <c r="D352" s="150" t="s">
        <v>1345</v>
      </c>
      <c r="E352" s="150" t="s">
        <v>1450</v>
      </c>
      <c r="F352" s="150" t="s">
        <v>1346</v>
      </c>
      <c r="G352" s="511" t="s">
        <v>389</v>
      </c>
      <c r="H352" s="392" t="s">
        <v>1703</v>
      </c>
      <c r="I352" s="343"/>
      <c r="J352" s="343"/>
      <c r="K352" s="70" t="s">
        <v>365</v>
      </c>
      <c r="L352" s="346"/>
      <c r="M352" s="346" t="s">
        <v>1140</v>
      </c>
      <c r="N352" s="346"/>
      <c r="O352" s="150" t="s">
        <v>57</v>
      </c>
      <c r="P352" s="150"/>
      <c r="Q352" s="403"/>
      <c r="R352" s="406">
        <v>8220</v>
      </c>
      <c r="S352" s="406">
        <v>7536.92</v>
      </c>
      <c r="T352" s="430"/>
      <c r="U352" s="137"/>
      <c r="V352" s="426">
        <v>685.96</v>
      </c>
      <c r="W352" s="427">
        <v>685.96</v>
      </c>
      <c r="X352" s="431">
        <v>0</v>
      </c>
      <c r="Y352" s="428">
        <v>510.91</v>
      </c>
      <c r="Z352" s="429">
        <v>685.96</v>
      </c>
      <c r="AA352" s="429">
        <v>685.96</v>
      </c>
      <c r="AB352" s="363" t="e">
        <v>#N/A</v>
      </c>
      <c r="AC352" s="363">
        <v>685</v>
      </c>
      <c r="AD352" s="363">
        <v>685</v>
      </c>
      <c r="AE352" s="363">
        <v>685</v>
      </c>
      <c r="AF352" s="363">
        <v>685</v>
      </c>
      <c r="AG352" s="363">
        <v>685</v>
      </c>
      <c r="AH352" s="360" t="e">
        <f t="shared" si="21"/>
        <v>#N/A</v>
      </c>
      <c r="AI352" s="362" t="e">
        <f>ERP[[#This Row],[2026 Working Total]]-ERP[[#This Row],[LE2 Final Submission]]</f>
        <v>#N/A</v>
      </c>
      <c r="AJ352" s="79">
        <v>685</v>
      </c>
      <c r="AK352" s="79">
        <f t="shared" si="20"/>
        <v>0.96000000000003638</v>
      </c>
      <c r="AL352" s="374">
        <f>SUM(ERP[[#This Row],[AP01]:[AP06]])-SUM(ERP[[#This Row],[AP01 LE2]:[AP06 LE2]])</f>
        <v>-172.17000000000007</v>
      </c>
      <c r="AM352" s="80"/>
      <c r="AN352" s="79" t="e">
        <f>ERP[[#This Row],[2026 Working Total to Budget/LE]]-ERP[[#This Row],[Giveback]]</f>
        <v>#N/A</v>
      </c>
      <c r="AO352" s="81"/>
      <c r="AP352" s="375">
        <v>685.96</v>
      </c>
      <c r="AQ352" s="375">
        <v>685.96</v>
      </c>
      <c r="AR352" s="375">
        <v>0</v>
      </c>
      <c r="AS352" s="375">
        <v>685</v>
      </c>
      <c r="AT352" s="375">
        <v>685</v>
      </c>
      <c r="AU352" s="375">
        <v>685</v>
      </c>
      <c r="AV352" s="375">
        <v>685</v>
      </c>
      <c r="AW352" s="375">
        <v>685</v>
      </c>
      <c r="AX352" s="375">
        <v>685</v>
      </c>
      <c r="AY352" s="375">
        <v>685</v>
      </c>
      <c r="AZ352" s="375">
        <v>685</v>
      </c>
      <c r="BA352" s="375">
        <v>685</v>
      </c>
      <c r="BB352" s="375">
        <v>7536.92</v>
      </c>
      <c r="BC352" s="79">
        <v>685.96</v>
      </c>
      <c r="BD352" s="79">
        <v>685.96</v>
      </c>
      <c r="BE352" s="79">
        <v>0</v>
      </c>
      <c r="BF352" s="79">
        <v>685</v>
      </c>
      <c r="BG352" s="79">
        <v>685</v>
      </c>
      <c r="BH352" s="79">
        <v>685</v>
      </c>
      <c r="BI352" s="79">
        <v>685</v>
      </c>
      <c r="BJ352" s="79">
        <v>685</v>
      </c>
      <c r="BK352" s="79">
        <v>685</v>
      </c>
      <c r="BL352" s="79">
        <v>685</v>
      </c>
      <c r="BM352" s="79">
        <v>685</v>
      </c>
      <c r="BN352" s="79">
        <v>685</v>
      </c>
      <c r="BO352" s="79">
        <v>7536.92</v>
      </c>
    </row>
    <row r="353" spans="1:67" ht="15" customHeight="1">
      <c r="A353" s="66" t="s">
        <v>1894</v>
      </c>
      <c r="B353" s="66" t="s">
        <v>464</v>
      </c>
      <c r="C353" s="150" t="s">
        <v>1136</v>
      </c>
      <c r="D353" s="150" t="s">
        <v>1135</v>
      </c>
      <c r="E353" s="150" t="s">
        <v>1135</v>
      </c>
      <c r="F353" s="150" t="s">
        <v>1137</v>
      </c>
      <c r="G353" s="511" t="s">
        <v>389</v>
      </c>
      <c r="H353" s="392" t="s">
        <v>1703</v>
      </c>
      <c r="I353" s="343"/>
      <c r="J353" s="343"/>
      <c r="K353" s="70" t="s">
        <v>365</v>
      </c>
      <c r="L353" s="346"/>
      <c r="M353" s="346" t="s">
        <v>1140</v>
      </c>
      <c r="N353" s="346"/>
      <c r="O353" s="150" t="s">
        <v>57</v>
      </c>
      <c r="P353" s="150"/>
      <c r="Q353" s="403"/>
      <c r="R353" s="406">
        <v>0</v>
      </c>
      <c r="S353" s="406">
        <v>5151.76</v>
      </c>
      <c r="T353" s="425"/>
      <c r="U353" s="71"/>
      <c r="V353" s="426">
        <v>1210.3599999999999</v>
      </c>
      <c r="W353" s="427">
        <v>1569.34</v>
      </c>
      <c r="X353" s="427">
        <v>2372.06</v>
      </c>
      <c r="Y353" s="428">
        <v>345.21</v>
      </c>
      <c r="Z353" s="429">
        <v>674.56</v>
      </c>
      <c r="AA353" s="429">
        <v>13726.56</v>
      </c>
      <c r="AB353" s="363" t="e">
        <v>#N/A</v>
      </c>
      <c r="AC353" s="360">
        <v>0</v>
      </c>
      <c r="AD353" s="360">
        <v>0</v>
      </c>
      <c r="AE353" s="360">
        <v>0</v>
      </c>
      <c r="AF353" s="360">
        <v>0</v>
      </c>
      <c r="AG353" s="360">
        <v>0</v>
      </c>
      <c r="AH353" s="360" t="e">
        <f t="shared" si="21"/>
        <v>#N/A</v>
      </c>
      <c r="AI353" s="362" t="e">
        <f>ERP[[#This Row],[2026 Working Total]]-ERP[[#This Row],[LE2 Final Submission]]</f>
        <v>#N/A</v>
      </c>
      <c r="AJ353" s="79">
        <v>0</v>
      </c>
      <c r="AK353" s="79">
        <f t="shared" si="20"/>
        <v>13726.56</v>
      </c>
      <c r="AL353" s="374">
        <f>SUM(ERP[[#This Row],[AP01]:[AP06]])-SUM(ERP[[#This Row],[AP01 LE2]:[AP06 LE2]])</f>
        <v>14746.33</v>
      </c>
      <c r="AM353" s="80"/>
      <c r="AN353" s="79" t="e">
        <f>ERP[[#This Row],[2026 Working Total to Budget/LE]]-ERP[[#This Row],[Giveback]]</f>
        <v>#N/A</v>
      </c>
      <c r="AO353" s="81"/>
      <c r="AP353" s="375">
        <v>1210.3599999999999</v>
      </c>
      <c r="AQ353" s="375">
        <v>1569.34</v>
      </c>
      <c r="AR353" s="375">
        <v>2372.06</v>
      </c>
      <c r="AS353" s="375">
        <v>0</v>
      </c>
      <c r="AT353" s="375">
        <v>0</v>
      </c>
      <c r="AU353" s="375">
        <v>0</v>
      </c>
      <c r="AV353" s="375">
        <v>0</v>
      </c>
      <c r="AW353" s="375">
        <v>0</v>
      </c>
      <c r="AX353" s="375">
        <v>0</v>
      </c>
      <c r="AY353" s="375">
        <v>0</v>
      </c>
      <c r="AZ353" s="375">
        <v>0</v>
      </c>
      <c r="BA353" s="375">
        <v>0</v>
      </c>
      <c r="BB353" s="375">
        <v>5151.76</v>
      </c>
      <c r="BC353" s="79">
        <v>1210.3599999999999</v>
      </c>
      <c r="BD353" s="79">
        <v>1569.34</v>
      </c>
      <c r="BE353" s="79">
        <v>2372.06</v>
      </c>
      <c r="BF353" s="79">
        <v>0</v>
      </c>
      <c r="BG353" s="79">
        <v>0</v>
      </c>
      <c r="BH353" s="79">
        <v>0</v>
      </c>
      <c r="BI353" s="79">
        <v>0</v>
      </c>
      <c r="BJ353" s="79">
        <v>0</v>
      </c>
      <c r="BK353" s="79">
        <v>0</v>
      </c>
      <c r="BL353" s="79">
        <v>0</v>
      </c>
      <c r="BM353" s="79">
        <v>0</v>
      </c>
      <c r="BN353" s="79">
        <v>0</v>
      </c>
      <c r="BO353" s="79">
        <v>5151.76</v>
      </c>
    </row>
    <row r="354" spans="1:67" ht="15" customHeight="1">
      <c r="A354" s="66" t="s">
        <v>2277</v>
      </c>
      <c r="B354" s="66" t="s">
        <v>674</v>
      </c>
      <c r="C354" s="150" t="s">
        <v>1136</v>
      </c>
      <c r="D354" s="150" t="s">
        <v>1135</v>
      </c>
      <c r="E354" s="150" t="s">
        <v>1135</v>
      </c>
      <c r="F354" s="150" t="s">
        <v>1137</v>
      </c>
      <c r="G354" s="511" t="s">
        <v>639</v>
      </c>
      <c r="H354" s="392" t="s">
        <v>1703</v>
      </c>
      <c r="I354" s="343"/>
      <c r="J354" s="343"/>
      <c r="K354" s="70" t="s">
        <v>365</v>
      </c>
      <c r="L354" s="346"/>
      <c r="M354" s="346" t="s">
        <v>1140</v>
      </c>
      <c r="N354" s="346"/>
      <c r="O354" s="150" t="s">
        <v>57</v>
      </c>
      <c r="P354" s="150"/>
      <c r="Q354" s="403"/>
      <c r="R354" s="406">
        <v>0</v>
      </c>
      <c r="S354" s="406">
        <v>288</v>
      </c>
      <c r="T354" s="430"/>
      <c r="U354" s="137"/>
      <c r="V354" s="426"/>
      <c r="W354" s="427">
        <v>288</v>
      </c>
      <c r="X354" s="431">
        <v>0</v>
      </c>
      <c r="Y354" s="428">
        <v>0</v>
      </c>
      <c r="Z354" s="429">
        <v>800</v>
      </c>
      <c r="AA354" s="429">
        <v>0</v>
      </c>
      <c r="AB354" s="363" t="e">
        <v>#N/A</v>
      </c>
      <c r="AC354" s="360">
        <v>0</v>
      </c>
      <c r="AD354" s="360">
        <v>0</v>
      </c>
      <c r="AE354" s="360">
        <v>0</v>
      </c>
      <c r="AF354" s="360">
        <v>0</v>
      </c>
      <c r="AG354" s="360">
        <v>0</v>
      </c>
      <c r="AH354" s="360" t="e">
        <f t="shared" si="21"/>
        <v>#N/A</v>
      </c>
      <c r="AI354" s="362" t="e">
        <f>ERP[[#This Row],[2026 Working Total]]-ERP[[#This Row],[LE2 Final Submission]]</f>
        <v>#N/A</v>
      </c>
      <c r="AJ354" s="79">
        <v>0</v>
      </c>
      <c r="AK354" s="79">
        <f t="shared" si="20"/>
        <v>0</v>
      </c>
      <c r="AL354" s="374">
        <f>SUM(ERP[[#This Row],[AP01]:[AP06]])-SUM(ERP[[#This Row],[AP01 LE2]:[AP06 LE2]])</f>
        <v>800</v>
      </c>
      <c r="AM354" s="80"/>
      <c r="AN354" s="79" t="e">
        <f>ERP[[#This Row],[2026 Working Total to Budget/LE]]-ERP[[#This Row],[Giveback]]</f>
        <v>#N/A</v>
      </c>
      <c r="AO354" s="81"/>
      <c r="AP354" s="375"/>
      <c r="AQ354" s="375">
        <v>288</v>
      </c>
      <c r="AR354" s="375">
        <v>0</v>
      </c>
      <c r="AS354" s="375">
        <v>0</v>
      </c>
      <c r="AT354" s="375">
        <v>0</v>
      </c>
      <c r="AU354" s="375">
        <v>0</v>
      </c>
      <c r="AV354" s="375">
        <v>0</v>
      </c>
      <c r="AW354" s="375">
        <v>0</v>
      </c>
      <c r="AX354" s="375">
        <v>0</v>
      </c>
      <c r="AY354" s="375">
        <v>0</v>
      </c>
      <c r="AZ354" s="375">
        <v>0</v>
      </c>
      <c r="BA354" s="375">
        <v>0</v>
      </c>
      <c r="BB354" s="375">
        <v>288</v>
      </c>
      <c r="BC354" s="79"/>
      <c r="BD354" s="79">
        <v>288</v>
      </c>
      <c r="BE354" s="79">
        <v>0</v>
      </c>
      <c r="BF354" s="79">
        <v>0</v>
      </c>
      <c r="BG354" s="79">
        <v>0</v>
      </c>
      <c r="BH354" s="79">
        <v>0</v>
      </c>
      <c r="BI354" s="79">
        <v>0</v>
      </c>
      <c r="BJ354" s="79">
        <v>0</v>
      </c>
      <c r="BK354" s="79">
        <v>0</v>
      </c>
      <c r="BL354" s="79">
        <v>0</v>
      </c>
      <c r="BM354" s="79">
        <v>0</v>
      </c>
      <c r="BN354" s="79">
        <v>0</v>
      </c>
      <c r="BO354" s="79">
        <v>288</v>
      </c>
    </row>
    <row r="355" spans="1:67" ht="15" customHeight="1">
      <c r="A355" s="66" t="s">
        <v>1704</v>
      </c>
      <c r="B355" s="66" t="s">
        <v>1705</v>
      </c>
      <c r="C355" s="150" t="s">
        <v>1136</v>
      </c>
      <c r="D355" s="150" t="s">
        <v>1135</v>
      </c>
      <c r="E355" s="150" t="s">
        <v>1137</v>
      </c>
      <c r="F355" s="150" t="s">
        <v>1137</v>
      </c>
      <c r="G355" s="511" t="s">
        <v>342</v>
      </c>
      <c r="H355" s="392" t="s">
        <v>1703</v>
      </c>
      <c r="I355" s="343"/>
      <c r="J355" s="343"/>
      <c r="K355" s="70" t="s">
        <v>365</v>
      </c>
      <c r="L355" s="346"/>
      <c r="M355" s="346" t="s">
        <v>1140</v>
      </c>
      <c r="N355" s="346"/>
      <c r="O355" s="150" t="s">
        <v>57</v>
      </c>
      <c r="P355" s="1" t="s">
        <v>1141</v>
      </c>
      <c r="Q355" s="403"/>
      <c r="R355" s="406">
        <v>0</v>
      </c>
      <c r="S355" s="406">
        <v>2955.3</v>
      </c>
      <c r="T355" s="425"/>
      <c r="U355" s="71"/>
      <c r="V355" s="426">
        <v>1146.01</v>
      </c>
      <c r="W355" s="431">
        <v>0</v>
      </c>
      <c r="X355" s="427">
        <v>1809.29</v>
      </c>
      <c r="Y355" s="428">
        <v>5504.11</v>
      </c>
      <c r="Z355" s="429">
        <v>299.02999999999997</v>
      </c>
      <c r="AA355" s="429">
        <v>0</v>
      </c>
      <c r="AB355" s="363" t="e">
        <v>#N/A</v>
      </c>
      <c r="AC355" s="360">
        <v>0</v>
      </c>
      <c r="AD355" s="360">
        <v>0</v>
      </c>
      <c r="AE355" s="360">
        <v>0</v>
      </c>
      <c r="AF355" s="360">
        <v>0</v>
      </c>
      <c r="AG355" s="360">
        <v>0</v>
      </c>
      <c r="AH355" s="360" t="e">
        <f t="shared" si="21"/>
        <v>#N/A</v>
      </c>
      <c r="AI355" s="362" t="e">
        <f>ERP[[#This Row],[2026 Working Total]]-ERP[[#This Row],[LE2 Final Submission]]</f>
        <v>#N/A</v>
      </c>
      <c r="AJ355" s="79">
        <v>0</v>
      </c>
      <c r="AK355" s="79">
        <f t="shared" si="20"/>
        <v>0</v>
      </c>
      <c r="AL355" s="374">
        <f>SUM(ERP[[#This Row],[AP01]:[AP06]])-SUM(ERP[[#This Row],[AP01 LE2]:[AP06 LE2]])</f>
        <v>5803.14</v>
      </c>
      <c r="AM355" s="80"/>
      <c r="AN355" s="79" t="e">
        <f>ERP[[#This Row],[2026 Working Total to Budget/LE]]-ERP[[#This Row],[Giveback]]</f>
        <v>#N/A</v>
      </c>
      <c r="AO355" s="81"/>
      <c r="AP355" s="375">
        <v>1146.01</v>
      </c>
      <c r="AQ355" s="375">
        <v>0</v>
      </c>
      <c r="AR355" s="375">
        <v>1809.29</v>
      </c>
      <c r="AS355" s="375">
        <v>0</v>
      </c>
      <c r="AT355" s="375">
        <v>0</v>
      </c>
      <c r="AU355" s="375">
        <v>0</v>
      </c>
      <c r="AV355" s="375">
        <v>0</v>
      </c>
      <c r="AW355" s="375">
        <v>0</v>
      </c>
      <c r="AX355" s="375">
        <v>0</v>
      </c>
      <c r="AY355" s="375">
        <v>0</v>
      </c>
      <c r="AZ355" s="375">
        <v>0</v>
      </c>
      <c r="BA355" s="375">
        <v>0</v>
      </c>
      <c r="BB355" s="375">
        <v>2955.3</v>
      </c>
      <c r="BC355" s="79">
        <v>1146.01</v>
      </c>
      <c r="BD355" s="79">
        <v>0</v>
      </c>
      <c r="BE355" s="79">
        <v>1809.29</v>
      </c>
      <c r="BF355" s="79">
        <v>0</v>
      </c>
      <c r="BG355" s="79">
        <v>0</v>
      </c>
      <c r="BH355" s="79">
        <v>0</v>
      </c>
      <c r="BI355" s="79">
        <v>0</v>
      </c>
      <c r="BJ355" s="79">
        <v>0</v>
      </c>
      <c r="BK355" s="79">
        <v>0</v>
      </c>
      <c r="BL355" s="79">
        <v>0</v>
      </c>
      <c r="BM355" s="79">
        <v>0</v>
      </c>
      <c r="BN355" s="79">
        <v>0</v>
      </c>
      <c r="BO355" s="79">
        <v>2955.3</v>
      </c>
    </row>
    <row r="356" spans="1:67" ht="15" customHeight="1">
      <c r="A356" s="66" t="s">
        <v>2115</v>
      </c>
      <c r="B356" s="66" t="s">
        <v>2116</v>
      </c>
      <c r="C356" s="150" t="s">
        <v>1136</v>
      </c>
      <c r="D356" s="150" t="s">
        <v>1567</v>
      </c>
      <c r="E356" s="150" t="s">
        <v>1567</v>
      </c>
      <c r="F356" s="150" t="s">
        <v>1567</v>
      </c>
      <c r="G356" s="511" t="s">
        <v>389</v>
      </c>
      <c r="H356" s="392" t="s">
        <v>1703</v>
      </c>
      <c r="I356" s="343"/>
      <c r="J356" s="343"/>
      <c r="K356" s="70" t="s">
        <v>365</v>
      </c>
      <c r="L356" s="346"/>
      <c r="M356" s="346" t="s">
        <v>1140</v>
      </c>
      <c r="N356" s="346"/>
      <c r="O356" s="150" t="s">
        <v>57</v>
      </c>
      <c r="P356" s="150"/>
      <c r="Q356" s="403"/>
      <c r="R356" s="406">
        <v>18000</v>
      </c>
      <c r="S356" s="406">
        <v>15727.5</v>
      </c>
      <c r="T356" s="425"/>
      <c r="U356" s="71"/>
      <c r="V356" s="426">
        <v>2227.5</v>
      </c>
      <c r="W356" s="431">
        <v>0</v>
      </c>
      <c r="X356" s="431">
        <v>0</v>
      </c>
      <c r="Y356" s="428">
        <v>0</v>
      </c>
      <c r="Z356" s="429">
        <v>1.86</v>
      </c>
      <c r="AA356" s="429">
        <v>388.92</v>
      </c>
      <c r="AB356" s="363" t="e">
        <v>#N/A</v>
      </c>
      <c r="AC356" s="363">
        <v>1500</v>
      </c>
      <c r="AD356" s="363">
        <v>1500</v>
      </c>
      <c r="AE356" s="363">
        <v>1500</v>
      </c>
      <c r="AF356" s="363">
        <v>1500</v>
      </c>
      <c r="AG356" s="363">
        <v>1500</v>
      </c>
      <c r="AH356" s="360" t="e">
        <f t="shared" si="21"/>
        <v>#N/A</v>
      </c>
      <c r="AI356" s="362" t="e">
        <f>ERP[[#This Row],[2026 Working Total]]-ERP[[#This Row],[LE2 Final Submission]]</f>
        <v>#N/A</v>
      </c>
      <c r="AJ356" s="79">
        <v>1500</v>
      </c>
      <c r="AK356" s="79">
        <f t="shared" si="20"/>
        <v>-1111.08</v>
      </c>
      <c r="AL356" s="374">
        <f>SUM(ERP[[#This Row],[AP01]:[AP06]])-SUM(ERP[[#This Row],[AP01 LE2]:[AP06 LE2]])</f>
        <v>-4109.2199999999993</v>
      </c>
      <c r="AM356" s="80"/>
      <c r="AN356" s="79" t="e">
        <f>ERP[[#This Row],[2026 Working Total to Budget/LE]]-ERP[[#This Row],[Giveback]]</f>
        <v>#N/A</v>
      </c>
      <c r="AO356" s="81"/>
      <c r="AP356" s="375">
        <v>2227.5</v>
      </c>
      <c r="AQ356" s="375">
        <v>0</v>
      </c>
      <c r="AR356" s="375">
        <v>0</v>
      </c>
      <c r="AS356" s="375">
        <v>1500</v>
      </c>
      <c r="AT356" s="375">
        <v>1500</v>
      </c>
      <c r="AU356" s="375">
        <v>1500</v>
      </c>
      <c r="AV356" s="375">
        <v>1500</v>
      </c>
      <c r="AW356" s="375">
        <v>1500</v>
      </c>
      <c r="AX356" s="375">
        <v>1500</v>
      </c>
      <c r="AY356" s="375">
        <v>1500</v>
      </c>
      <c r="AZ356" s="375">
        <v>1500</v>
      </c>
      <c r="BA356" s="375">
        <v>1500</v>
      </c>
      <c r="BB356" s="375">
        <v>15727.5</v>
      </c>
      <c r="BC356" s="79">
        <v>2227.5</v>
      </c>
      <c r="BD356" s="79">
        <v>0</v>
      </c>
      <c r="BE356" s="79">
        <v>0</v>
      </c>
      <c r="BF356" s="79">
        <v>1500</v>
      </c>
      <c r="BG356" s="79">
        <v>1500</v>
      </c>
      <c r="BH356" s="79">
        <v>1500</v>
      </c>
      <c r="BI356" s="79">
        <v>1500</v>
      </c>
      <c r="BJ356" s="79">
        <v>1500</v>
      </c>
      <c r="BK356" s="79">
        <v>1500</v>
      </c>
      <c r="BL356" s="79">
        <v>1500</v>
      </c>
      <c r="BM356" s="79">
        <v>1500</v>
      </c>
      <c r="BN356" s="79">
        <v>1500</v>
      </c>
      <c r="BO356" s="79">
        <v>15727.5</v>
      </c>
    </row>
    <row r="357" spans="1:67" ht="15" customHeight="1">
      <c r="A357" s="66" t="s">
        <v>1749</v>
      </c>
      <c r="B357" s="66" t="s">
        <v>386</v>
      </c>
      <c r="C357" s="150" t="s">
        <v>1136</v>
      </c>
      <c r="D357" s="150" t="s">
        <v>1650</v>
      </c>
      <c r="E357" s="150" t="s">
        <v>1650</v>
      </c>
      <c r="F357" s="150" t="s">
        <v>1650</v>
      </c>
      <c r="G357" s="511" t="s">
        <v>342</v>
      </c>
      <c r="H357" s="392" t="s">
        <v>1703</v>
      </c>
      <c r="I357" s="343"/>
      <c r="J357" s="343"/>
      <c r="K357" s="70" t="s">
        <v>365</v>
      </c>
      <c r="L357" s="346"/>
      <c r="M357" s="346" t="s">
        <v>1140</v>
      </c>
      <c r="N357" s="346"/>
      <c r="O357" s="150" t="s">
        <v>57</v>
      </c>
      <c r="P357" s="150"/>
      <c r="Q357" s="403"/>
      <c r="R357" s="406">
        <v>0</v>
      </c>
      <c r="S357" s="406">
        <v>2902.66</v>
      </c>
      <c r="T357" s="425"/>
      <c r="U357" s="71"/>
      <c r="V357" s="426"/>
      <c r="W357" s="427"/>
      <c r="X357" s="427">
        <v>2902.66</v>
      </c>
      <c r="Y357" s="428">
        <v>229.1</v>
      </c>
      <c r="Z357" s="429">
        <v>87.28</v>
      </c>
      <c r="AA357" s="429">
        <v>0</v>
      </c>
      <c r="AB357" s="363" t="e">
        <v>#N/A</v>
      </c>
      <c r="AC357" s="360">
        <v>0</v>
      </c>
      <c r="AD357" s="360">
        <v>0</v>
      </c>
      <c r="AE357" s="360">
        <v>0</v>
      </c>
      <c r="AF357" s="360">
        <v>0</v>
      </c>
      <c r="AG357" s="360">
        <v>0</v>
      </c>
      <c r="AH357" s="360" t="e">
        <f t="shared" si="21"/>
        <v>#N/A</v>
      </c>
      <c r="AI357" s="362" t="e">
        <f>ERP[[#This Row],[2026 Working Total]]-ERP[[#This Row],[LE2 Final Submission]]</f>
        <v>#N/A</v>
      </c>
      <c r="AJ357" s="79">
        <v>0</v>
      </c>
      <c r="AK357" s="79">
        <f t="shared" si="20"/>
        <v>0</v>
      </c>
      <c r="AL357" s="374">
        <f>SUM(ERP[[#This Row],[AP01]:[AP06]])-SUM(ERP[[#This Row],[AP01 LE2]:[AP06 LE2]])</f>
        <v>316.38000000000011</v>
      </c>
      <c r="AM357" s="80"/>
      <c r="AN357" s="79" t="e">
        <f>ERP[[#This Row],[2026 Working Total to Budget/LE]]-ERP[[#This Row],[Giveback]]</f>
        <v>#N/A</v>
      </c>
      <c r="AO357" s="81"/>
      <c r="AP357" s="375"/>
      <c r="AQ357" s="375"/>
      <c r="AR357" s="375">
        <v>2902.66</v>
      </c>
      <c r="AS357" s="375">
        <v>0</v>
      </c>
      <c r="AT357" s="375">
        <v>0</v>
      </c>
      <c r="AU357" s="375">
        <v>0</v>
      </c>
      <c r="AV357" s="375">
        <v>0</v>
      </c>
      <c r="AW357" s="375">
        <v>0</v>
      </c>
      <c r="AX357" s="375">
        <v>0</v>
      </c>
      <c r="AY357" s="375">
        <v>0</v>
      </c>
      <c r="AZ357" s="375">
        <v>0</v>
      </c>
      <c r="BA357" s="375">
        <v>0</v>
      </c>
      <c r="BB357" s="375">
        <v>2902.66</v>
      </c>
      <c r="BC357" s="79"/>
      <c r="BD357" s="79"/>
      <c r="BE357" s="79">
        <v>2902.66</v>
      </c>
      <c r="BF357" s="79">
        <v>0</v>
      </c>
      <c r="BG357" s="79">
        <v>0</v>
      </c>
      <c r="BH357" s="79">
        <v>0</v>
      </c>
      <c r="BI357" s="79">
        <v>0</v>
      </c>
      <c r="BJ357" s="79">
        <v>0</v>
      </c>
      <c r="BK357" s="79">
        <v>0</v>
      </c>
      <c r="BL357" s="79">
        <v>0</v>
      </c>
      <c r="BM357" s="79">
        <v>0</v>
      </c>
      <c r="BN357" s="79">
        <v>0</v>
      </c>
      <c r="BO357" s="79">
        <v>2902.66</v>
      </c>
    </row>
    <row r="358" spans="1:67" ht="15" customHeight="1">
      <c r="A358" s="66" t="s">
        <v>1895</v>
      </c>
      <c r="B358" s="66" t="s">
        <v>1896</v>
      </c>
      <c r="C358" s="150" t="s">
        <v>1136</v>
      </c>
      <c r="D358" s="150" t="s">
        <v>1135</v>
      </c>
      <c r="E358" s="150" t="s">
        <v>1137</v>
      </c>
      <c r="F358" s="150" t="s">
        <v>1137</v>
      </c>
      <c r="G358" s="511" t="s">
        <v>389</v>
      </c>
      <c r="H358" s="392" t="s">
        <v>1703</v>
      </c>
      <c r="I358" s="343"/>
      <c r="J358" s="343"/>
      <c r="K358" s="70" t="s">
        <v>365</v>
      </c>
      <c r="L358" s="346"/>
      <c r="M358" s="346" t="s">
        <v>1140</v>
      </c>
      <c r="N358" s="346"/>
      <c r="O358" s="150" t="s">
        <v>57</v>
      </c>
      <c r="P358" s="1" t="s">
        <v>1141</v>
      </c>
      <c r="Q358" s="403"/>
      <c r="R358" s="406">
        <v>3300</v>
      </c>
      <c r="S358" s="406">
        <v>1500</v>
      </c>
      <c r="T358" s="425"/>
      <c r="U358" s="71"/>
      <c r="V358" s="426"/>
      <c r="W358" s="427"/>
      <c r="X358" s="427"/>
      <c r="Y358" s="428">
        <v>0</v>
      </c>
      <c r="Z358" s="429">
        <v>0</v>
      </c>
      <c r="AA358" s="429">
        <v>-1.6999999999999886</v>
      </c>
      <c r="AB358" s="363" t="e">
        <v>#N/A</v>
      </c>
      <c r="AC358" s="363">
        <v>300</v>
      </c>
      <c r="AD358" s="360">
        <v>0</v>
      </c>
      <c r="AE358" s="360">
        <v>0</v>
      </c>
      <c r="AF358" s="360">
        <v>0</v>
      </c>
      <c r="AG358" s="360">
        <v>0</v>
      </c>
      <c r="AH358" s="360" t="e">
        <f t="shared" si="21"/>
        <v>#N/A</v>
      </c>
      <c r="AI358" s="362" t="e">
        <f>ERP[[#This Row],[2026 Working Total]]-ERP[[#This Row],[LE2 Final Submission]]</f>
        <v>#N/A</v>
      </c>
      <c r="AJ358" s="79">
        <v>300</v>
      </c>
      <c r="AK358" s="79">
        <f t="shared" si="20"/>
        <v>-301.7</v>
      </c>
      <c r="AL358" s="374">
        <f>SUM(ERP[[#This Row],[AP01]:[AP06]])-SUM(ERP[[#This Row],[AP01 LE2]:[AP06 LE2]])</f>
        <v>-901.7</v>
      </c>
      <c r="AM358" s="80"/>
      <c r="AN358" s="79" t="e">
        <f>ERP[[#This Row],[2026 Working Total to Budget/LE]]-ERP[[#This Row],[Giveback]]</f>
        <v>#N/A</v>
      </c>
      <c r="AO358" s="81"/>
      <c r="AP358" s="375"/>
      <c r="AQ358" s="375"/>
      <c r="AR358" s="375"/>
      <c r="AS358" s="375">
        <v>300</v>
      </c>
      <c r="AT358" s="375">
        <v>300</v>
      </c>
      <c r="AU358" s="375">
        <v>300</v>
      </c>
      <c r="AV358" s="375">
        <v>300</v>
      </c>
      <c r="AW358" s="375">
        <v>300</v>
      </c>
      <c r="AX358" s="375">
        <v>0</v>
      </c>
      <c r="AY358" s="375">
        <v>0</v>
      </c>
      <c r="AZ358" s="375">
        <v>0</v>
      </c>
      <c r="BA358" s="375">
        <v>0</v>
      </c>
      <c r="BB358" s="375">
        <v>1500</v>
      </c>
      <c r="BC358" s="79"/>
      <c r="BD358" s="79"/>
      <c r="BE358" s="79"/>
      <c r="BF358" s="79">
        <v>300</v>
      </c>
      <c r="BG358" s="79">
        <v>300</v>
      </c>
      <c r="BH358" s="79">
        <v>300</v>
      </c>
      <c r="BI358" s="79">
        <v>300</v>
      </c>
      <c r="BJ358" s="79">
        <v>300</v>
      </c>
      <c r="BK358" s="79">
        <v>0</v>
      </c>
      <c r="BL358" s="79">
        <v>0</v>
      </c>
      <c r="BM358" s="79">
        <v>0</v>
      </c>
      <c r="BN358" s="79">
        <v>0</v>
      </c>
      <c r="BO358" s="79">
        <v>1500</v>
      </c>
    </row>
    <row r="359" spans="1:67" ht="15" customHeight="1">
      <c r="A359" s="66" t="s">
        <v>1897</v>
      </c>
      <c r="B359" s="66" t="s">
        <v>1898</v>
      </c>
      <c r="C359" s="150" t="s">
        <v>1136</v>
      </c>
      <c r="D359" s="150" t="s">
        <v>1135</v>
      </c>
      <c r="E359" s="150" t="s">
        <v>1145</v>
      </c>
      <c r="F359" s="150" t="s">
        <v>1137</v>
      </c>
      <c r="G359" s="511" t="s">
        <v>389</v>
      </c>
      <c r="H359" s="392" t="s">
        <v>1703</v>
      </c>
      <c r="I359" s="343"/>
      <c r="J359" s="343"/>
      <c r="K359" s="70" t="s">
        <v>365</v>
      </c>
      <c r="L359" s="346"/>
      <c r="M359" s="346" t="s">
        <v>1140</v>
      </c>
      <c r="N359" s="346"/>
      <c r="O359" s="150" t="s">
        <v>57</v>
      </c>
      <c r="P359" s="150"/>
      <c r="Q359" s="403"/>
      <c r="R359" s="406">
        <v>240000</v>
      </c>
      <c r="S359" s="406">
        <v>230345.91999999998</v>
      </c>
      <c r="T359" s="425"/>
      <c r="U359" s="71"/>
      <c r="V359" s="426">
        <v>18590.2</v>
      </c>
      <c r="W359" s="427">
        <v>19113.38</v>
      </c>
      <c r="X359" s="427">
        <v>12642.34</v>
      </c>
      <c r="Y359" s="428">
        <v>21280.7</v>
      </c>
      <c r="Z359" s="429">
        <v>14563.560000000001</v>
      </c>
      <c r="AA359" s="429">
        <v>26235.370000000003</v>
      </c>
      <c r="AB359" s="363" t="e">
        <v>#N/A</v>
      </c>
      <c r="AC359" s="363">
        <v>19000</v>
      </c>
      <c r="AD359" s="363">
        <v>19000</v>
      </c>
      <c r="AE359" s="363">
        <v>19000</v>
      </c>
      <c r="AF359" s="363">
        <v>19000</v>
      </c>
      <c r="AG359" s="363">
        <v>19000</v>
      </c>
      <c r="AH359" s="360" t="e">
        <f t="shared" si="21"/>
        <v>#N/A</v>
      </c>
      <c r="AI359" s="362" t="e">
        <f>ERP[[#This Row],[2026 Working Total]]-ERP[[#This Row],[LE2 Final Submission]]</f>
        <v>#N/A</v>
      </c>
      <c r="AJ359" s="79">
        <v>19000</v>
      </c>
      <c r="AK359" s="79">
        <f t="shared" si="20"/>
        <v>7235.3700000000026</v>
      </c>
      <c r="AL359" s="374">
        <f>SUM(ERP[[#This Row],[AP01]:[AP06]])-SUM(ERP[[#This Row],[AP01 LE2]:[AP06 LE2]])</f>
        <v>2079.6299999999901</v>
      </c>
      <c r="AM359" s="80"/>
      <c r="AN359" s="79" t="e">
        <f>ERP[[#This Row],[2026 Working Total to Budget/LE]]-ERP[[#This Row],[Giveback]]</f>
        <v>#N/A</v>
      </c>
      <c r="AO359" s="81"/>
      <c r="AP359" s="375">
        <v>18590.2</v>
      </c>
      <c r="AQ359" s="375">
        <v>19113.38</v>
      </c>
      <c r="AR359" s="375">
        <v>12642.34</v>
      </c>
      <c r="AS359" s="375">
        <v>20000</v>
      </c>
      <c r="AT359" s="375">
        <v>20000</v>
      </c>
      <c r="AU359" s="375">
        <v>20000</v>
      </c>
      <c r="AV359" s="375">
        <v>20000</v>
      </c>
      <c r="AW359" s="375">
        <v>20000</v>
      </c>
      <c r="AX359" s="375">
        <v>20000</v>
      </c>
      <c r="AY359" s="375">
        <v>20000</v>
      </c>
      <c r="AZ359" s="375">
        <v>20000</v>
      </c>
      <c r="BA359" s="375">
        <v>20000</v>
      </c>
      <c r="BB359" s="375">
        <v>230345.91999999998</v>
      </c>
      <c r="BC359" s="79">
        <v>18590.2</v>
      </c>
      <c r="BD359" s="79">
        <v>19113.38</v>
      </c>
      <c r="BE359" s="79">
        <v>12642.34</v>
      </c>
      <c r="BF359" s="79">
        <v>20000</v>
      </c>
      <c r="BG359" s="79">
        <v>20000</v>
      </c>
      <c r="BH359" s="79">
        <v>20000</v>
      </c>
      <c r="BI359" s="79">
        <v>20000</v>
      </c>
      <c r="BJ359" s="79">
        <v>20000</v>
      </c>
      <c r="BK359" s="79">
        <v>20000</v>
      </c>
      <c r="BL359" s="79">
        <v>20000</v>
      </c>
      <c r="BM359" s="79">
        <v>20000</v>
      </c>
      <c r="BN359" s="79">
        <v>20000</v>
      </c>
      <c r="BO359" s="79">
        <v>230345.91999999998</v>
      </c>
    </row>
    <row r="360" spans="1:67" ht="15" customHeight="1">
      <c r="A360" s="66" t="s">
        <v>2022</v>
      </c>
      <c r="B360" s="66" t="s">
        <v>2023</v>
      </c>
      <c r="C360" s="150" t="s">
        <v>1136</v>
      </c>
      <c r="D360" s="150" t="s">
        <v>1345</v>
      </c>
      <c r="E360" s="150" t="s">
        <v>1437</v>
      </c>
      <c r="F360" s="150" t="s">
        <v>1346</v>
      </c>
      <c r="G360" s="511" t="s">
        <v>389</v>
      </c>
      <c r="H360" s="392" t="s">
        <v>1703</v>
      </c>
      <c r="I360" s="343"/>
      <c r="J360" s="343"/>
      <c r="K360" s="70" t="s">
        <v>365</v>
      </c>
      <c r="L360" s="346"/>
      <c r="M360" s="346" t="s">
        <v>1140</v>
      </c>
      <c r="N360" s="346"/>
      <c r="O360" s="150" t="s">
        <v>57</v>
      </c>
      <c r="P360" s="150"/>
      <c r="Q360" s="403"/>
      <c r="R360" s="406">
        <v>29055.720000000005</v>
      </c>
      <c r="S360" s="406">
        <v>28350.190000000002</v>
      </c>
      <c r="T360" s="425"/>
      <c r="U360" s="71"/>
      <c r="V360" s="426">
        <v>2204.83</v>
      </c>
      <c r="W360" s="427">
        <v>2275.48</v>
      </c>
      <c r="X360" s="427">
        <v>2078.09</v>
      </c>
      <c r="Y360" s="428">
        <v>6776.0599999999995</v>
      </c>
      <c r="Z360" s="429">
        <v>5361.06</v>
      </c>
      <c r="AA360" s="429">
        <v>754.37999999999988</v>
      </c>
      <c r="AB360" s="363" t="e">
        <v>#N/A</v>
      </c>
      <c r="AC360" s="363">
        <v>2421.31</v>
      </c>
      <c r="AD360" s="363">
        <v>2421.31</v>
      </c>
      <c r="AE360" s="363">
        <v>2421.31</v>
      </c>
      <c r="AF360" s="363">
        <v>2421.31</v>
      </c>
      <c r="AG360" s="363">
        <v>2421.31</v>
      </c>
      <c r="AH360" s="360" t="e">
        <f t="shared" si="21"/>
        <v>#N/A</v>
      </c>
      <c r="AI360" s="362" t="e">
        <f>ERP[[#This Row],[2026 Working Total]]-ERP[[#This Row],[LE2 Final Submission]]</f>
        <v>#N/A</v>
      </c>
      <c r="AJ360" s="79">
        <v>2421.31</v>
      </c>
      <c r="AK360" s="79">
        <f t="shared" si="20"/>
        <v>-1666.93</v>
      </c>
      <c r="AL360" s="374">
        <f>SUM(ERP[[#This Row],[AP01]:[AP06]])-SUM(ERP[[#This Row],[AP01 LE2]:[AP06 LE2]])</f>
        <v>5627.5700000000033</v>
      </c>
      <c r="AM360" s="80"/>
      <c r="AN360" s="79" t="e">
        <f>ERP[[#This Row],[2026 Working Total to Budget/LE]]-ERP[[#This Row],[Giveback]]</f>
        <v>#N/A</v>
      </c>
      <c r="AO360" s="81"/>
      <c r="AP360" s="375">
        <v>2204.83</v>
      </c>
      <c r="AQ360" s="375">
        <v>2275.48</v>
      </c>
      <c r="AR360" s="375">
        <v>2078.09</v>
      </c>
      <c r="AS360" s="375">
        <v>2421.31</v>
      </c>
      <c r="AT360" s="375">
        <v>2421.31</v>
      </c>
      <c r="AU360" s="375">
        <v>2421.31</v>
      </c>
      <c r="AV360" s="375">
        <v>2421.31</v>
      </c>
      <c r="AW360" s="375">
        <v>2421.31</v>
      </c>
      <c r="AX360" s="375">
        <v>2421.31</v>
      </c>
      <c r="AY360" s="375">
        <v>2421.31</v>
      </c>
      <c r="AZ360" s="375">
        <v>2421.31</v>
      </c>
      <c r="BA360" s="375">
        <v>2421.31</v>
      </c>
      <c r="BB360" s="375">
        <v>28350.190000000002</v>
      </c>
      <c r="BC360" s="79">
        <v>2204.83</v>
      </c>
      <c r="BD360" s="79">
        <v>2275.48</v>
      </c>
      <c r="BE360" s="79">
        <v>2078.09</v>
      </c>
      <c r="BF360" s="79">
        <v>2421.31</v>
      </c>
      <c r="BG360" s="79">
        <v>2421.31</v>
      </c>
      <c r="BH360" s="79">
        <v>2421.31</v>
      </c>
      <c r="BI360" s="79">
        <v>2421.31</v>
      </c>
      <c r="BJ360" s="79">
        <v>2421.31</v>
      </c>
      <c r="BK360" s="79">
        <v>2421.31</v>
      </c>
      <c r="BL360" s="79">
        <v>2421.31</v>
      </c>
      <c r="BM360" s="79">
        <v>2421.31</v>
      </c>
      <c r="BN360" s="79">
        <v>2421.31</v>
      </c>
      <c r="BO360" s="79">
        <v>28350.190000000002</v>
      </c>
    </row>
    <row r="361" spans="1:67" ht="15" customHeight="1">
      <c r="A361" s="150" t="s">
        <v>2613</v>
      </c>
      <c r="B361" s="296" t="s">
        <v>906</v>
      </c>
      <c r="C361" s="150" t="s">
        <v>1136</v>
      </c>
      <c r="D361" s="150" t="s">
        <v>1345</v>
      </c>
      <c r="E361" s="332" t="s">
        <v>1344</v>
      </c>
      <c r="F361" s="331" t="s">
        <v>1346</v>
      </c>
      <c r="G361" s="514" t="s">
        <v>639</v>
      </c>
      <c r="H361" s="394" t="s">
        <v>2614</v>
      </c>
      <c r="I361" s="333"/>
      <c r="J361" s="332" t="s">
        <v>1363</v>
      </c>
      <c r="K361" s="90" t="s">
        <v>676</v>
      </c>
      <c r="L361" s="347"/>
      <c r="M361" s="347"/>
      <c r="N361" s="348"/>
      <c r="O361" s="348"/>
      <c r="P361" s="348"/>
      <c r="Q361" s="402"/>
      <c r="R361" s="406"/>
      <c r="S361" s="406"/>
      <c r="T361" s="425"/>
      <c r="U361" s="71"/>
      <c r="V361" s="435"/>
      <c r="W361" s="436"/>
      <c r="X361" s="436"/>
      <c r="Y361" s="429">
        <v>454</v>
      </c>
      <c r="Z361" s="429">
        <v>227</v>
      </c>
      <c r="AA361" s="429">
        <v>227</v>
      </c>
      <c r="AB361" s="363" t="e">
        <v>#N/A</v>
      </c>
      <c r="AC361" s="364"/>
      <c r="AD361" s="364"/>
      <c r="AE361" s="364"/>
      <c r="AF361" s="364"/>
      <c r="AG361" s="364"/>
      <c r="AH361" s="360" t="e">
        <f t="shared" si="21"/>
        <v>#N/A</v>
      </c>
      <c r="AI361" s="362" t="e">
        <f>ERP[[#This Row],[2026 Working Total]]-ERP[[#This Row],[LE2 Final Submission]]</f>
        <v>#N/A</v>
      </c>
      <c r="AJ361" s="79"/>
      <c r="AK361" s="79">
        <f t="shared" si="20"/>
        <v>227</v>
      </c>
      <c r="AL361" s="374">
        <f>SUM(ERP[[#This Row],[AP01]:[AP06]])-SUM(ERP[[#This Row],[AP01 LE2]:[AP06 LE2]])</f>
        <v>908</v>
      </c>
      <c r="AM361" s="80"/>
      <c r="AN361" s="79" t="e">
        <f>ERP[[#This Row],[2026 Working Total to Budget/LE]]-ERP[[#This Row],[Giveback]]</f>
        <v>#N/A</v>
      </c>
      <c r="AO361" s="81"/>
      <c r="AP361" s="375"/>
      <c r="AQ361" s="375"/>
      <c r="AR361" s="375"/>
      <c r="AS361" s="375"/>
      <c r="AT361" s="375"/>
      <c r="AU361" s="375"/>
      <c r="AV361" s="375"/>
      <c r="AW361" s="375"/>
      <c r="AX361" s="375"/>
      <c r="AY361" s="375"/>
      <c r="AZ361" s="375"/>
      <c r="BA361" s="375"/>
      <c r="BB361" s="375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</row>
    <row r="362" spans="1:67" ht="15" customHeight="1">
      <c r="A362" s="66" t="s">
        <v>2784</v>
      </c>
      <c r="B362" s="66" t="s">
        <v>2785</v>
      </c>
      <c r="C362" s="150" t="s">
        <v>1136</v>
      </c>
      <c r="D362" s="150" t="s">
        <v>1345</v>
      </c>
      <c r="E362" s="150" t="s">
        <v>1346</v>
      </c>
      <c r="F362" s="150" t="s">
        <v>1346</v>
      </c>
      <c r="G362" s="511" t="s">
        <v>639</v>
      </c>
      <c r="H362" s="392" t="s">
        <v>2285</v>
      </c>
      <c r="I362" s="343"/>
      <c r="J362" s="343"/>
      <c r="K362" s="70" t="s">
        <v>676</v>
      </c>
      <c r="L362" s="346"/>
      <c r="M362" s="346" t="s">
        <v>1140</v>
      </c>
      <c r="N362" s="346"/>
      <c r="O362" s="150" t="s">
        <v>677</v>
      </c>
      <c r="P362" s="150"/>
      <c r="Q362" s="403"/>
      <c r="R362" s="406">
        <v>6000</v>
      </c>
      <c r="S362" s="406">
        <v>13404.42</v>
      </c>
      <c r="T362" s="425"/>
      <c r="U362" s="71"/>
      <c r="V362" s="426">
        <v>542.75</v>
      </c>
      <c r="W362" s="427">
        <v>6823.51</v>
      </c>
      <c r="X362" s="427">
        <v>1538.16</v>
      </c>
      <c r="Y362" s="428">
        <v>1141.3400000000001</v>
      </c>
      <c r="Z362" s="429">
        <v>2127.96</v>
      </c>
      <c r="AA362" s="429">
        <v>672.49</v>
      </c>
      <c r="AB362" s="363" t="e">
        <v>#N/A</v>
      </c>
      <c r="AC362" s="363">
        <v>500</v>
      </c>
      <c r="AD362" s="363">
        <v>500</v>
      </c>
      <c r="AE362" s="363">
        <v>500</v>
      </c>
      <c r="AF362" s="363">
        <v>500</v>
      </c>
      <c r="AG362" s="363">
        <v>500</v>
      </c>
      <c r="AH362" s="360" t="e">
        <f t="shared" si="21"/>
        <v>#N/A</v>
      </c>
      <c r="AI362" s="362" t="e">
        <f>ERP[[#This Row],[2026 Working Total]]-ERP[[#This Row],[LE2 Final Submission]]</f>
        <v>#N/A</v>
      </c>
      <c r="AJ362" s="79">
        <v>500</v>
      </c>
      <c r="AK362" s="79">
        <f t="shared" si="20"/>
        <v>172.49</v>
      </c>
      <c r="AL362" s="374">
        <f>SUM(ERP[[#This Row],[AP01]:[AP06]])-SUM(ERP[[#This Row],[AP01 LE2]:[AP06 LE2]])</f>
        <v>2441.7900000000009</v>
      </c>
      <c r="AM362" s="80"/>
      <c r="AN362" s="79" t="e">
        <f>ERP[[#This Row],[2026 Working Total to Budget/LE]]-ERP[[#This Row],[Giveback]]</f>
        <v>#N/A</v>
      </c>
      <c r="AO362" s="81"/>
      <c r="AP362" s="375">
        <v>542.75</v>
      </c>
      <c r="AQ362" s="375">
        <v>6823.51</v>
      </c>
      <c r="AR362" s="375">
        <v>1538.16</v>
      </c>
      <c r="AS362" s="375">
        <v>500</v>
      </c>
      <c r="AT362" s="375">
        <v>500</v>
      </c>
      <c r="AU362" s="375">
        <v>500</v>
      </c>
      <c r="AV362" s="375">
        <v>500</v>
      </c>
      <c r="AW362" s="375">
        <v>500</v>
      </c>
      <c r="AX362" s="375">
        <v>500</v>
      </c>
      <c r="AY362" s="375">
        <v>500</v>
      </c>
      <c r="AZ362" s="375">
        <v>500</v>
      </c>
      <c r="BA362" s="375">
        <v>500</v>
      </c>
      <c r="BB362" s="375">
        <v>13404.42</v>
      </c>
      <c r="BC362" s="79">
        <v>542.75</v>
      </c>
      <c r="BD362" s="79">
        <v>6823.51</v>
      </c>
      <c r="BE362" s="79">
        <v>1538.16</v>
      </c>
      <c r="BF362" s="79">
        <v>500</v>
      </c>
      <c r="BG362" s="79">
        <v>500</v>
      </c>
      <c r="BH362" s="79">
        <v>500</v>
      </c>
      <c r="BI362" s="79">
        <v>500</v>
      </c>
      <c r="BJ362" s="79">
        <v>500</v>
      </c>
      <c r="BK362" s="79">
        <v>500</v>
      </c>
      <c r="BL362" s="79">
        <v>500</v>
      </c>
      <c r="BM362" s="79">
        <v>500</v>
      </c>
      <c r="BN362" s="79">
        <v>500</v>
      </c>
      <c r="BO362" s="79">
        <v>13404.42</v>
      </c>
    </row>
    <row r="363" spans="1:67" ht="15" customHeight="1">
      <c r="A363" s="66" t="s">
        <v>1899</v>
      </c>
      <c r="B363" s="66" t="s">
        <v>1900</v>
      </c>
      <c r="C363" s="150" t="s">
        <v>1136</v>
      </c>
      <c r="D363" s="150" t="s">
        <v>1135</v>
      </c>
      <c r="E363" s="150" t="s">
        <v>1165</v>
      </c>
      <c r="F363" s="150" t="s">
        <v>1137</v>
      </c>
      <c r="G363" s="511" t="s">
        <v>389</v>
      </c>
      <c r="H363" s="392" t="s">
        <v>1703</v>
      </c>
      <c r="I363" s="343"/>
      <c r="J363" s="343"/>
      <c r="K363" s="70" t="s">
        <v>365</v>
      </c>
      <c r="L363" s="346"/>
      <c r="M363" s="346" t="s">
        <v>1140</v>
      </c>
      <c r="N363" s="346"/>
      <c r="O363" s="150" t="s">
        <v>57</v>
      </c>
      <c r="P363" s="150"/>
      <c r="Q363" s="403"/>
      <c r="R363" s="406">
        <v>12000</v>
      </c>
      <c r="S363" s="406">
        <v>20372.89</v>
      </c>
      <c r="T363" s="425"/>
      <c r="U363" s="71"/>
      <c r="V363" s="426">
        <v>3485.94</v>
      </c>
      <c r="W363" s="427">
        <v>4743.4799999999996</v>
      </c>
      <c r="X363" s="427">
        <v>3143.47</v>
      </c>
      <c r="Y363" s="428">
        <v>1703.44</v>
      </c>
      <c r="Z363" s="429">
        <v>1676.8800000000003</v>
      </c>
      <c r="AA363" s="429">
        <v>3062.17</v>
      </c>
      <c r="AB363" s="363" t="e">
        <v>#N/A</v>
      </c>
      <c r="AC363" s="363">
        <v>1000</v>
      </c>
      <c r="AD363" s="363">
        <v>1000</v>
      </c>
      <c r="AE363" s="363">
        <v>1000</v>
      </c>
      <c r="AF363" s="363">
        <v>1000</v>
      </c>
      <c r="AG363" s="363">
        <v>1000</v>
      </c>
      <c r="AH363" s="360" t="e">
        <f t="shared" si="21"/>
        <v>#N/A</v>
      </c>
      <c r="AI363" s="362" t="e">
        <f>ERP[[#This Row],[2026 Working Total]]-ERP[[#This Row],[LE2 Final Submission]]</f>
        <v>#N/A</v>
      </c>
      <c r="AJ363" s="79">
        <v>1000</v>
      </c>
      <c r="AK363" s="79">
        <f t="shared" si="20"/>
        <v>2062.17</v>
      </c>
      <c r="AL363" s="374">
        <f>SUM(ERP[[#This Row],[AP01]:[AP06]])-SUM(ERP[[#This Row],[AP01 LE2]:[AP06 LE2]])</f>
        <v>3442.4900000000016</v>
      </c>
      <c r="AM363" s="80"/>
      <c r="AN363" s="79" t="e">
        <f>ERP[[#This Row],[2026 Working Total to Budget/LE]]-ERP[[#This Row],[Giveback]]</f>
        <v>#N/A</v>
      </c>
      <c r="AO363" s="81"/>
      <c r="AP363" s="375">
        <v>3485.94</v>
      </c>
      <c r="AQ363" s="375">
        <v>4743.4799999999996</v>
      </c>
      <c r="AR363" s="375">
        <v>3143.47</v>
      </c>
      <c r="AS363" s="375">
        <v>1000</v>
      </c>
      <c r="AT363" s="375">
        <v>1000</v>
      </c>
      <c r="AU363" s="375">
        <v>1000</v>
      </c>
      <c r="AV363" s="375">
        <v>1000</v>
      </c>
      <c r="AW363" s="375">
        <v>1000</v>
      </c>
      <c r="AX363" s="375">
        <v>1000</v>
      </c>
      <c r="AY363" s="375">
        <v>1000</v>
      </c>
      <c r="AZ363" s="375">
        <v>1000</v>
      </c>
      <c r="BA363" s="375">
        <v>1000</v>
      </c>
      <c r="BB363" s="375">
        <v>20372.89</v>
      </c>
      <c r="BC363" s="79">
        <v>3485.94</v>
      </c>
      <c r="BD363" s="79">
        <v>4743.4799999999996</v>
      </c>
      <c r="BE363" s="79">
        <v>3143.47</v>
      </c>
      <c r="BF363" s="79">
        <v>1000</v>
      </c>
      <c r="BG363" s="79">
        <v>1000</v>
      </c>
      <c r="BH363" s="79">
        <v>1000</v>
      </c>
      <c r="BI363" s="79">
        <v>1000</v>
      </c>
      <c r="BJ363" s="79">
        <v>1000</v>
      </c>
      <c r="BK363" s="79">
        <v>1000</v>
      </c>
      <c r="BL363" s="79">
        <v>1000</v>
      </c>
      <c r="BM363" s="79">
        <v>1000</v>
      </c>
      <c r="BN363" s="79">
        <v>1000</v>
      </c>
      <c r="BO363" s="79">
        <v>20372.89</v>
      </c>
    </row>
    <row r="364" spans="1:67" ht="15" customHeight="1">
      <c r="A364" s="66" t="s">
        <v>2679</v>
      </c>
      <c r="B364" s="66" t="s">
        <v>946</v>
      </c>
      <c r="C364" s="150" t="s">
        <v>1136</v>
      </c>
      <c r="D364" s="150" t="s">
        <v>1345</v>
      </c>
      <c r="E364" s="150" t="s">
        <v>1345</v>
      </c>
      <c r="F364" s="150" t="s">
        <v>1346</v>
      </c>
      <c r="G364" s="511" t="s">
        <v>639</v>
      </c>
      <c r="H364" s="392" t="s">
        <v>2285</v>
      </c>
      <c r="I364" s="343"/>
      <c r="J364" s="343"/>
      <c r="K364" s="70" t="s">
        <v>676</v>
      </c>
      <c r="L364" s="346"/>
      <c r="M364" s="346" t="s">
        <v>1140</v>
      </c>
      <c r="N364" s="346"/>
      <c r="O364" s="150" t="s">
        <v>677</v>
      </c>
      <c r="P364" s="150"/>
      <c r="Q364" s="403"/>
      <c r="R364" s="406">
        <v>275</v>
      </c>
      <c r="S364" s="406">
        <v>227</v>
      </c>
      <c r="T364" s="425"/>
      <c r="U364" s="71"/>
      <c r="V364" s="426"/>
      <c r="W364" s="427">
        <v>227</v>
      </c>
      <c r="X364" s="431">
        <v>0</v>
      </c>
      <c r="Y364" s="428">
        <v>0</v>
      </c>
      <c r="Z364" s="429">
        <v>0</v>
      </c>
      <c r="AA364" s="429">
        <v>0</v>
      </c>
      <c r="AB364" s="363" t="e">
        <v>#N/A</v>
      </c>
      <c r="AC364" s="360">
        <v>0</v>
      </c>
      <c r="AD364" s="360">
        <v>0</v>
      </c>
      <c r="AE364" s="360">
        <v>0</v>
      </c>
      <c r="AF364" s="360">
        <v>0</v>
      </c>
      <c r="AG364" s="360">
        <v>0</v>
      </c>
      <c r="AH364" s="360" t="e">
        <f t="shared" si="21"/>
        <v>#N/A</v>
      </c>
      <c r="AI364" s="362" t="e">
        <f>ERP[[#This Row],[2026 Working Total]]-ERP[[#This Row],[LE2 Final Submission]]</f>
        <v>#N/A</v>
      </c>
      <c r="AJ364" s="79">
        <v>0</v>
      </c>
      <c r="AK364" s="79">
        <f t="shared" si="20"/>
        <v>0</v>
      </c>
      <c r="AL364" s="374">
        <f>SUM(ERP[[#This Row],[AP01]:[AP06]])-SUM(ERP[[#This Row],[AP01 LE2]:[AP06 LE2]])</f>
        <v>0</v>
      </c>
      <c r="AM364" s="80"/>
      <c r="AN364" s="79" t="e">
        <f>ERP[[#This Row],[2026 Working Total to Budget/LE]]-ERP[[#This Row],[Giveback]]</f>
        <v>#N/A</v>
      </c>
      <c r="AO364" s="81"/>
      <c r="AP364" s="375"/>
      <c r="AQ364" s="375">
        <v>227</v>
      </c>
      <c r="AR364" s="375">
        <v>0</v>
      </c>
      <c r="AS364" s="375">
        <v>0</v>
      </c>
      <c r="AT364" s="375">
        <v>0</v>
      </c>
      <c r="AU364" s="375">
        <v>0</v>
      </c>
      <c r="AV364" s="375">
        <v>0</v>
      </c>
      <c r="AW364" s="375">
        <v>0</v>
      </c>
      <c r="AX364" s="375">
        <v>0</v>
      </c>
      <c r="AY364" s="375">
        <v>0</v>
      </c>
      <c r="AZ364" s="375">
        <v>0</v>
      </c>
      <c r="BA364" s="375">
        <v>0</v>
      </c>
      <c r="BB364" s="375">
        <v>227</v>
      </c>
      <c r="BC364" s="79"/>
      <c r="BD364" s="79">
        <v>227</v>
      </c>
      <c r="BE364" s="79">
        <v>0</v>
      </c>
      <c r="BF364" s="79">
        <v>0</v>
      </c>
      <c r="BG364" s="79">
        <v>0</v>
      </c>
      <c r="BH364" s="79">
        <v>0</v>
      </c>
      <c r="BI364" s="79">
        <v>0</v>
      </c>
      <c r="BJ364" s="79">
        <v>0</v>
      </c>
      <c r="BK364" s="79">
        <v>0</v>
      </c>
      <c r="BL364" s="79">
        <v>0</v>
      </c>
      <c r="BM364" s="79">
        <v>0</v>
      </c>
      <c r="BN364" s="79">
        <v>0</v>
      </c>
      <c r="BO364" s="79">
        <v>227</v>
      </c>
    </row>
    <row r="365" spans="1:67" ht="15" customHeight="1">
      <c r="A365" s="66" t="s">
        <v>2717</v>
      </c>
      <c r="B365" s="66" t="s">
        <v>967</v>
      </c>
      <c r="C365" s="150" t="s">
        <v>1136</v>
      </c>
      <c r="D365" s="150" t="s">
        <v>1345</v>
      </c>
      <c r="E365" s="150" t="s">
        <v>1480</v>
      </c>
      <c r="F365" s="150" t="s">
        <v>1346</v>
      </c>
      <c r="G365" s="511" t="s">
        <v>639</v>
      </c>
      <c r="H365" s="392" t="s">
        <v>2285</v>
      </c>
      <c r="I365" s="343"/>
      <c r="J365" s="343"/>
      <c r="K365" s="70" t="s">
        <v>676</v>
      </c>
      <c r="L365" s="346"/>
      <c r="M365" s="346" t="s">
        <v>1140</v>
      </c>
      <c r="N365" s="346"/>
      <c r="O365" s="150" t="s">
        <v>677</v>
      </c>
      <c r="P365" s="150"/>
      <c r="Q365" s="403"/>
      <c r="R365" s="406">
        <v>1100</v>
      </c>
      <c r="S365" s="406">
        <v>825</v>
      </c>
      <c r="T365" s="425"/>
      <c r="U365" s="71"/>
      <c r="V365" s="426"/>
      <c r="W365" s="427"/>
      <c r="X365" s="427"/>
      <c r="Y365" s="428" t="s">
        <v>1142</v>
      </c>
      <c r="Z365" s="429">
        <v>0</v>
      </c>
      <c r="AA365" s="429">
        <v>0</v>
      </c>
      <c r="AB365" s="363" t="e">
        <v>#N/A</v>
      </c>
      <c r="AC365" s="360">
        <v>0</v>
      </c>
      <c r="AD365" s="363">
        <v>275</v>
      </c>
      <c r="AE365" s="360">
        <v>0</v>
      </c>
      <c r="AF365" s="360">
        <v>0</v>
      </c>
      <c r="AG365" s="363">
        <v>275</v>
      </c>
      <c r="AH365" s="360" t="e">
        <f t="shared" si="21"/>
        <v>#N/A</v>
      </c>
      <c r="AI365" s="362" t="e">
        <f>ERP[[#This Row],[2026 Working Total]]-ERP[[#This Row],[LE2 Final Submission]]</f>
        <v>#N/A</v>
      </c>
      <c r="AJ365" s="79">
        <v>0</v>
      </c>
      <c r="AK365" s="79">
        <f t="shared" si="20"/>
        <v>0</v>
      </c>
      <c r="AL365" s="374">
        <f>SUM(ERP[[#This Row],[AP01]:[AP06]])-SUM(ERP[[#This Row],[AP01 LE2]:[AP06 LE2]])</f>
        <v>-275</v>
      </c>
      <c r="AM365" s="80"/>
      <c r="AN365" s="79" t="e">
        <f>ERP[[#This Row],[2026 Working Total to Budget/LE]]-ERP[[#This Row],[Giveback]]</f>
        <v>#N/A</v>
      </c>
      <c r="AO365" s="81"/>
      <c r="AP365" s="375"/>
      <c r="AQ365" s="375"/>
      <c r="AR365" s="375"/>
      <c r="AS365" s="375"/>
      <c r="AT365" s="375"/>
      <c r="AU365" s="375">
        <v>275</v>
      </c>
      <c r="AV365" s="375">
        <v>0</v>
      </c>
      <c r="AW365" s="375">
        <v>0</v>
      </c>
      <c r="AX365" s="375">
        <v>275</v>
      </c>
      <c r="AY365" s="375">
        <v>0</v>
      </c>
      <c r="AZ365" s="375">
        <v>0</v>
      </c>
      <c r="BA365" s="375">
        <v>275</v>
      </c>
      <c r="BB365" s="375">
        <v>825</v>
      </c>
      <c r="BC365" s="79"/>
      <c r="BD365" s="79"/>
      <c r="BE365" s="79"/>
      <c r="BF365" s="79"/>
      <c r="BG365" s="79"/>
      <c r="BH365" s="79">
        <v>275</v>
      </c>
      <c r="BI365" s="79">
        <v>0</v>
      </c>
      <c r="BJ365" s="79">
        <v>0</v>
      </c>
      <c r="BK365" s="79">
        <v>275</v>
      </c>
      <c r="BL365" s="79">
        <v>0</v>
      </c>
      <c r="BM365" s="79">
        <v>0</v>
      </c>
      <c r="BN365" s="79">
        <v>275</v>
      </c>
      <c r="BO365" s="79">
        <v>825</v>
      </c>
    </row>
    <row r="366" spans="1:67" ht="15" customHeight="1">
      <c r="A366" s="66" t="s">
        <v>2747</v>
      </c>
      <c r="B366" s="66" t="s">
        <v>984</v>
      </c>
      <c r="C366" s="150" t="s">
        <v>1136</v>
      </c>
      <c r="D366" s="150" t="s">
        <v>1345</v>
      </c>
      <c r="E366" s="150" t="s">
        <v>1515</v>
      </c>
      <c r="F366" s="150" t="s">
        <v>1346</v>
      </c>
      <c r="G366" s="511" t="s">
        <v>639</v>
      </c>
      <c r="H366" s="392" t="s">
        <v>2285</v>
      </c>
      <c r="I366" s="343"/>
      <c r="J366" s="343"/>
      <c r="K366" s="70" t="s">
        <v>676</v>
      </c>
      <c r="L366" s="346"/>
      <c r="M366" s="346" t="s">
        <v>1140</v>
      </c>
      <c r="N366" s="346"/>
      <c r="O366" s="150" t="s">
        <v>677</v>
      </c>
      <c r="P366" s="150"/>
      <c r="Q366" s="403"/>
      <c r="R366" s="406">
        <v>0</v>
      </c>
      <c r="S366" s="406">
        <v>218.38</v>
      </c>
      <c r="T366" s="425"/>
      <c r="U366" s="71"/>
      <c r="V366" s="426"/>
      <c r="W366" s="427"/>
      <c r="X366" s="427">
        <v>218.38</v>
      </c>
      <c r="Y366" s="428">
        <v>0</v>
      </c>
      <c r="Z366" s="429">
        <v>0</v>
      </c>
      <c r="AA366" s="429">
        <v>0</v>
      </c>
      <c r="AB366" s="363" t="e">
        <v>#N/A</v>
      </c>
      <c r="AC366" s="360">
        <v>0</v>
      </c>
      <c r="AD366" s="360">
        <v>0</v>
      </c>
      <c r="AE366" s="360">
        <v>0</v>
      </c>
      <c r="AF366" s="360">
        <v>0</v>
      </c>
      <c r="AG366" s="360">
        <v>0</v>
      </c>
      <c r="AH366" s="360" t="e">
        <f t="shared" si="21"/>
        <v>#N/A</v>
      </c>
      <c r="AI366" s="362" t="e">
        <f>ERP[[#This Row],[2026 Working Total]]-ERP[[#This Row],[LE2 Final Submission]]</f>
        <v>#N/A</v>
      </c>
      <c r="AJ366" s="79">
        <v>0</v>
      </c>
      <c r="AK366" s="79">
        <f t="shared" si="20"/>
        <v>0</v>
      </c>
      <c r="AL366" s="374">
        <f>SUM(ERP[[#This Row],[AP01]:[AP06]])-SUM(ERP[[#This Row],[AP01 LE2]:[AP06 LE2]])</f>
        <v>0</v>
      </c>
      <c r="AM366" s="80"/>
      <c r="AN366" s="79" t="e">
        <f>ERP[[#This Row],[2026 Working Total to Budget/LE]]-ERP[[#This Row],[Giveback]]</f>
        <v>#N/A</v>
      </c>
      <c r="AO366" s="81"/>
      <c r="AP366" s="375"/>
      <c r="AQ366" s="375"/>
      <c r="AR366" s="375">
        <v>218.38</v>
      </c>
      <c r="AS366" s="375">
        <v>0</v>
      </c>
      <c r="AT366" s="375">
        <v>0</v>
      </c>
      <c r="AU366" s="375">
        <v>0</v>
      </c>
      <c r="AV366" s="375">
        <v>0</v>
      </c>
      <c r="AW366" s="375">
        <v>0</v>
      </c>
      <c r="AX366" s="375">
        <v>0</v>
      </c>
      <c r="AY366" s="375">
        <v>0</v>
      </c>
      <c r="AZ366" s="375">
        <v>0</v>
      </c>
      <c r="BA366" s="375">
        <v>0</v>
      </c>
      <c r="BB366" s="375">
        <v>218.38</v>
      </c>
      <c r="BC366" s="79"/>
      <c r="BD366" s="79"/>
      <c r="BE366" s="79">
        <v>218.38</v>
      </c>
      <c r="BF366" s="79">
        <v>0</v>
      </c>
      <c r="BG366" s="79">
        <v>0</v>
      </c>
      <c r="BH366" s="79">
        <v>0</v>
      </c>
      <c r="BI366" s="79">
        <v>0</v>
      </c>
      <c r="BJ366" s="79">
        <v>0</v>
      </c>
      <c r="BK366" s="79">
        <v>0</v>
      </c>
      <c r="BL366" s="79">
        <v>0</v>
      </c>
      <c r="BM366" s="79">
        <v>0</v>
      </c>
      <c r="BN366" s="79">
        <v>0</v>
      </c>
      <c r="BO366" s="79">
        <v>218.38</v>
      </c>
    </row>
    <row r="367" spans="1:67" ht="15" customHeight="1">
      <c r="A367" s="66" t="s">
        <v>2280</v>
      </c>
      <c r="B367" s="66" t="s">
        <v>2281</v>
      </c>
      <c r="C367" s="150" t="s">
        <v>1136</v>
      </c>
      <c r="D367" s="150" t="s">
        <v>1135</v>
      </c>
      <c r="E367" s="150" t="s">
        <v>1165</v>
      </c>
      <c r="F367" s="150" t="s">
        <v>1137</v>
      </c>
      <c r="G367" s="511" t="s">
        <v>639</v>
      </c>
      <c r="H367" s="392" t="s">
        <v>1703</v>
      </c>
      <c r="I367" s="343"/>
      <c r="J367" s="343"/>
      <c r="K367" s="70" t="s">
        <v>365</v>
      </c>
      <c r="L367" s="346"/>
      <c r="M367" s="346" t="s">
        <v>1140</v>
      </c>
      <c r="N367" s="346"/>
      <c r="O367" s="150" t="s">
        <v>57</v>
      </c>
      <c r="P367" s="150"/>
      <c r="Q367" s="403"/>
      <c r="R367" s="406">
        <v>0</v>
      </c>
      <c r="S367" s="406">
        <v>18.920000000000002</v>
      </c>
      <c r="T367" s="425"/>
      <c r="U367" s="71"/>
      <c r="V367" s="426"/>
      <c r="W367" s="427">
        <v>18.920000000000002</v>
      </c>
      <c r="X367" s="431">
        <v>0</v>
      </c>
      <c r="Y367" s="428">
        <v>0</v>
      </c>
      <c r="Z367" s="429">
        <v>0</v>
      </c>
      <c r="AA367" s="429">
        <v>0</v>
      </c>
      <c r="AB367" s="363" t="e">
        <v>#N/A</v>
      </c>
      <c r="AC367" s="360">
        <v>0</v>
      </c>
      <c r="AD367" s="360">
        <v>0</v>
      </c>
      <c r="AE367" s="360">
        <v>0</v>
      </c>
      <c r="AF367" s="360">
        <v>0</v>
      </c>
      <c r="AG367" s="360">
        <v>0</v>
      </c>
      <c r="AH367" s="360" t="e">
        <f t="shared" si="21"/>
        <v>#N/A</v>
      </c>
      <c r="AI367" s="362" t="e">
        <f>ERP[[#This Row],[2026 Working Total]]-ERP[[#This Row],[LE2 Final Submission]]</f>
        <v>#N/A</v>
      </c>
      <c r="AJ367" s="79">
        <v>0</v>
      </c>
      <c r="AK367" s="79">
        <f t="shared" si="20"/>
        <v>0</v>
      </c>
      <c r="AL367" s="374">
        <f>SUM(ERP[[#This Row],[AP01]:[AP06]])-SUM(ERP[[#This Row],[AP01 LE2]:[AP06 LE2]])</f>
        <v>0</v>
      </c>
      <c r="AM367" s="80"/>
      <c r="AN367" s="79" t="e">
        <f>ERP[[#This Row],[2026 Working Total to Budget/LE]]-ERP[[#This Row],[Giveback]]</f>
        <v>#N/A</v>
      </c>
      <c r="AO367" s="81"/>
      <c r="AP367" s="375"/>
      <c r="AQ367" s="375">
        <v>18.920000000000002</v>
      </c>
      <c r="AR367" s="375">
        <v>0</v>
      </c>
      <c r="AS367" s="375">
        <v>0</v>
      </c>
      <c r="AT367" s="375">
        <v>0</v>
      </c>
      <c r="AU367" s="375">
        <v>0</v>
      </c>
      <c r="AV367" s="375">
        <v>0</v>
      </c>
      <c r="AW367" s="375">
        <v>0</v>
      </c>
      <c r="AX367" s="375">
        <v>0</v>
      </c>
      <c r="AY367" s="375">
        <v>0</v>
      </c>
      <c r="AZ367" s="375">
        <v>0</v>
      </c>
      <c r="BA367" s="375">
        <v>0</v>
      </c>
      <c r="BB367" s="375">
        <v>18.920000000000002</v>
      </c>
      <c r="BC367" s="79"/>
      <c r="BD367" s="79">
        <v>18.920000000000002</v>
      </c>
      <c r="BE367" s="79">
        <v>0</v>
      </c>
      <c r="BF367" s="79">
        <v>0</v>
      </c>
      <c r="BG367" s="79">
        <v>0</v>
      </c>
      <c r="BH367" s="79">
        <v>0</v>
      </c>
      <c r="BI367" s="79">
        <v>0</v>
      </c>
      <c r="BJ367" s="79">
        <v>0</v>
      </c>
      <c r="BK367" s="79">
        <v>0</v>
      </c>
      <c r="BL367" s="79">
        <v>0</v>
      </c>
      <c r="BM367" s="79">
        <v>0</v>
      </c>
      <c r="BN367" s="79">
        <v>0</v>
      </c>
      <c r="BO367" s="79">
        <v>18.920000000000002</v>
      </c>
    </row>
    <row r="368" spans="1:67" ht="15" customHeight="1">
      <c r="A368" s="79" t="s">
        <v>2278</v>
      </c>
      <c r="B368" s="296" t="s">
        <v>2279</v>
      </c>
      <c r="C368" s="150" t="s">
        <v>1136</v>
      </c>
      <c r="D368" s="332" t="s">
        <v>1135</v>
      </c>
      <c r="E368" s="332" t="s">
        <v>1137</v>
      </c>
      <c r="F368" s="333" t="s">
        <v>1135</v>
      </c>
      <c r="G368" s="514" t="s">
        <v>639</v>
      </c>
      <c r="H368" s="394"/>
      <c r="I368" s="333"/>
      <c r="J368" s="333"/>
      <c r="K368" s="90" t="s">
        <v>365</v>
      </c>
      <c r="L368" s="347"/>
      <c r="M368" s="347"/>
      <c r="N368" s="348"/>
      <c r="O368" s="348"/>
      <c r="P368" s="1" t="s">
        <v>1141</v>
      </c>
      <c r="Q368" s="402"/>
      <c r="R368" s="358"/>
      <c r="S368" s="379"/>
      <c r="T368" s="425"/>
      <c r="U368" s="71"/>
      <c r="V368" s="435"/>
      <c r="W368" s="436"/>
      <c r="X368" s="436"/>
      <c r="Y368" s="429"/>
      <c r="Z368" s="429"/>
      <c r="AA368" s="429">
        <v>446.19</v>
      </c>
      <c r="AB368" s="363" t="e">
        <v>#N/A</v>
      </c>
      <c r="AC368" s="364"/>
      <c r="AD368" s="364"/>
      <c r="AE368" s="364"/>
      <c r="AF368" s="364"/>
      <c r="AG368" s="364"/>
      <c r="AH368" s="360" t="e">
        <f t="shared" si="21"/>
        <v>#N/A</v>
      </c>
      <c r="AI368" s="362" t="e">
        <f>ERP[[#This Row],[2026 Working Total]]-ERP[[#This Row],[LE2 Final Submission]]</f>
        <v>#N/A</v>
      </c>
      <c r="AJ368" s="79"/>
      <c r="AK368" s="79">
        <f t="shared" si="20"/>
        <v>446.19</v>
      </c>
      <c r="AL368" s="391">
        <f>SUM(ERP[[#This Row],[AP01]:[AP06]])-SUM(ERP[[#This Row],[AP01 LE2]:[AP06 LE2]])</f>
        <v>446.19</v>
      </c>
      <c r="AM368" s="80"/>
      <c r="AN368" s="79" t="e">
        <f>ERP[[#This Row],[2026 Working Total to Budget/LE]]-ERP[[#This Row],[Giveback]]</f>
        <v>#N/A</v>
      </c>
      <c r="AO368" s="81"/>
      <c r="AP368" s="375"/>
      <c r="AQ368" s="375"/>
      <c r="AR368" s="375"/>
      <c r="AS368" s="375"/>
      <c r="AT368" s="375"/>
      <c r="AU368" s="375"/>
      <c r="AV368" s="375"/>
      <c r="AW368" s="375"/>
      <c r="AX368" s="375"/>
      <c r="AY368" s="375"/>
      <c r="AZ368" s="375"/>
      <c r="BA368" s="375"/>
      <c r="BB368" s="375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</row>
    <row r="369" spans="1:67" ht="15" customHeight="1">
      <c r="A369" s="66" t="s">
        <v>2786</v>
      </c>
      <c r="B369" s="66" t="s">
        <v>2787</v>
      </c>
      <c r="C369" s="150" t="s">
        <v>1136</v>
      </c>
      <c r="D369" s="150" t="s">
        <v>1567</v>
      </c>
      <c r="E369" s="150" t="s">
        <v>1567</v>
      </c>
      <c r="F369" s="150" t="s">
        <v>1567</v>
      </c>
      <c r="G369" s="511" t="s">
        <v>639</v>
      </c>
      <c r="H369" s="392" t="s">
        <v>2285</v>
      </c>
      <c r="I369" s="343"/>
      <c r="J369" s="343"/>
      <c r="K369" s="70" t="s">
        <v>676</v>
      </c>
      <c r="L369" s="346"/>
      <c r="M369" s="346" t="s">
        <v>1140</v>
      </c>
      <c r="N369" s="346"/>
      <c r="O369" s="150" t="s">
        <v>677</v>
      </c>
      <c r="P369" s="150"/>
      <c r="Q369" s="403"/>
      <c r="R369" s="406">
        <v>0</v>
      </c>
      <c r="S369" s="406">
        <v>934.17</v>
      </c>
      <c r="T369" s="425"/>
      <c r="U369" s="71"/>
      <c r="V369" s="426">
        <v>253.17</v>
      </c>
      <c r="W369" s="427">
        <v>681</v>
      </c>
      <c r="X369" s="431">
        <v>0</v>
      </c>
      <c r="Y369" s="428">
        <v>0</v>
      </c>
      <c r="Z369" s="429">
        <v>681</v>
      </c>
      <c r="AA369" s="429">
        <v>0</v>
      </c>
      <c r="AB369" s="363" t="e">
        <v>#N/A</v>
      </c>
      <c r="AC369" s="360">
        <v>0</v>
      </c>
      <c r="AD369" s="360">
        <v>0</v>
      </c>
      <c r="AE369" s="360">
        <v>0</v>
      </c>
      <c r="AF369" s="360">
        <v>0</v>
      </c>
      <c r="AG369" s="360">
        <v>0</v>
      </c>
      <c r="AH369" s="360" t="e">
        <f t="shared" si="21"/>
        <v>#N/A</v>
      </c>
      <c r="AI369" s="362" t="e">
        <f>ERP[[#This Row],[2026 Working Total]]-ERP[[#This Row],[LE2 Final Submission]]</f>
        <v>#N/A</v>
      </c>
      <c r="AJ369" s="79">
        <v>0</v>
      </c>
      <c r="AK369" s="79">
        <f t="shared" si="20"/>
        <v>0</v>
      </c>
      <c r="AL369" s="374">
        <f>SUM(ERP[[#This Row],[AP01]:[AP06]])-SUM(ERP[[#This Row],[AP01 LE2]:[AP06 LE2]])</f>
        <v>681.00000000000011</v>
      </c>
      <c r="AM369" s="80"/>
      <c r="AN369" s="79" t="e">
        <f>ERP[[#This Row],[2026 Working Total to Budget/LE]]-ERP[[#This Row],[Giveback]]</f>
        <v>#N/A</v>
      </c>
      <c r="AO369" s="81"/>
      <c r="AP369" s="375">
        <v>253.17</v>
      </c>
      <c r="AQ369" s="375">
        <v>681</v>
      </c>
      <c r="AR369" s="375">
        <v>0</v>
      </c>
      <c r="AS369" s="375">
        <v>0</v>
      </c>
      <c r="AT369" s="375">
        <v>0</v>
      </c>
      <c r="AU369" s="375">
        <v>0</v>
      </c>
      <c r="AV369" s="375">
        <v>0</v>
      </c>
      <c r="AW369" s="375">
        <v>0</v>
      </c>
      <c r="AX369" s="375">
        <v>0</v>
      </c>
      <c r="AY369" s="375">
        <v>0</v>
      </c>
      <c r="AZ369" s="375">
        <v>0</v>
      </c>
      <c r="BA369" s="375">
        <v>0</v>
      </c>
      <c r="BB369" s="375">
        <v>934.17</v>
      </c>
      <c r="BC369" s="79">
        <v>253.17</v>
      </c>
      <c r="BD369" s="79">
        <v>681</v>
      </c>
      <c r="BE369" s="79">
        <v>0</v>
      </c>
      <c r="BF369" s="79">
        <v>0</v>
      </c>
      <c r="BG369" s="79">
        <v>0</v>
      </c>
      <c r="BH369" s="79">
        <v>0</v>
      </c>
      <c r="BI369" s="79">
        <v>0</v>
      </c>
      <c r="BJ369" s="79">
        <v>0</v>
      </c>
      <c r="BK369" s="79">
        <v>0</v>
      </c>
      <c r="BL369" s="79">
        <v>0</v>
      </c>
      <c r="BM369" s="79">
        <v>0</v>
      </c>
      <c r="BN369" s="79">
        <v>0</v>
      </c>
      <c r="BO369" s="79">
        <v>934.17</v>
      </c>
    </row>
    <row r="370" spans="1:67" ht="15" customHeight="1">
      <c r="A370" s="66" t="s">
        <v>2810</v>
      </c>
      <c r="B370" s="66" t="s">
        <v>1017</v>
      </c>
      <c r="C370" s="150" t="s">
        <v>1136</v>
      </c>
      <c r="D370" s="150" t="s">
        <v>1650</v>
      </c>
      <c r="E370" s="150" t="s">
        <v>1650</v>
      </c>
      <c r="F370" s="150" t="s">
        <v>1650</v>
      </c>
      <c r="G370" s="511" t="s">
        <v>639</v>
      </c>
      <c r="H370" s="392" t="s">
        <v>2285</v>
      </c>
      <c r="I370" s="343"/>
      <c r="J370" s="343"/>
      <c r="K370" s="70" t="s">
        <v>676</v>
      </c>
      <c r="L370" s="346"/>
      <c r="M370" s="346" t="s">
        <v>1140</v>
      </c>
      <c r="N370" s="346"/>
      <c r="O370" s="150" t="s">
        <v>677</v>
      </c>
      <c r="P370" s="150"/>
      <c r="Q370" s="403"/>
      <c r="R370" s="406">
        <v>838.44</v>
      </c>
      <c r="S370" s="406">
        <v>1759.95</v>
      </c>
      <c r="T370" s="425"/>
      <c r="U370" s="71"/>
      <c r="V370" s="426"/>
      <c r="W370" s="427">
        <v>921.51</v>
      </c>
      <c r="X370" s="431">
        <v>0</v>
      </c>
      <c r="Y370" s="428">
        <v>717.38</v>
      </c>
      <c r="Z370" s="429">
        <v>227</v>
      </c>
      <c r="AA370" s="429">
        <v>0</v>
      </c>
      <c r="AB370" s="363" t="e">
        <v>#N/A</v>
      </c>
      <c r="AC370" s="363">
        <v>550</v>
      </c>
      <c r="AD370" s="363">
        <v>288.44</v>
      </c>
      <c r="AE370" s="360">
        <v>0</v>
      </c>
      <c r="AF370" s="360">
        <v>0</v>
      </c>
      <c r="AG370" s="360">
        <v>0</v>
      </c>
      <c r="AH370" s="360" t="e">
        <f t="shared" si="21"/>
        <v>#N/A</v>
      </c>
      <c r="AI370" s="362" t="e">
        <f>ERP[[#This Row],[2026 Working Total]]-ERP[[#This Row],[LE2 Final Submission]]</f>
        <v>#N/A</v>
      </c>
      <c r="AJ370" s="79">
        <v>0</v>
      </c>
      <c r="AK370" s="79">
        <f t="shared" si="20"/>
        <v>0</v>
      </c>
      <c r="AL370" s="374">
        <f>SUM(ERP[[#This Row],[AP01]:[AP06]])-SUM(ERP[[#This Row],[AP01 LE2]:[AP06 LE2]])</f>
        <v>944.37999999999988</v>
      </c>
      <c r="AM370" s="80"/>
      <c r="AN370" s="79" t="e">
        <f>ERP[[#This Row],[2026 Working Total to Budget/LE]]-ERP[[#This Row],[Giveback]]</f>
        <v>#N/A</v>
      </c>
      <c r="AO370" s="81"/>
      <c r="AP370" s="375"/>
      <c r="AQ370" s="375">
        <v>921.51</v>
      </c>
      <c r="AR370" s="375">
        <v>0</v>
      </c>
      <c r="AS370" s="375">
        <v>0</v>
      </c>
      <c r="AT370" s="375">
        <v>0</v>
      </c>
      <c r="AU370" s="375">
        <v>0</v>
      </c>
      <c r="AV370" s="375">
        <v>0</v>
      </c>
      <c r="AW370" s="375">
        <v>550</v>
      </c>
      <c r="AX370" s="375">
        <v>288.44</v>
      </c>
      <c r="AY370" s="375">
        <v>0</v>
      </c>
      <c r="AZ370" s="375">
        <v>0</v>
      </c>
      <c r="BA370" s="375">
        <v>0</v>
      </c>
      <c r="BB370" s="375">
        <v>1759.95</v>
      </c>
      <c r="BC370" s="79"/>
      <c r="BD370" s="79">
        <v>921.51</v>
      </c>
      <c r="BE370" s="79">
        <v>0</v>
      </c>
      <c r="BF370" s="79">
        <v>0</v>
      </c>
      <c r="BG370" s="79">
        <v>0</v>
      </c>
      <c r="BH370" s="79">
        <v>0</v>
      </c>
      <c r="BI370" s="79">
        <v>0</v>
      </c>
      <c r="BJ370" s="79">
        <v>550</v>
      </c>
      <c r="BK370" s="79">
        <v>288.44</v>
      </c>
      <c r="BL370" s="79">
        <v>0</v>
      </c>
      <c r="BM370" s="79">
        <v>0</v>
      </c>
      <c r="BN370" s="79">
        <v>0</v>
      </c>
      <c r="BO370" s="79">
        <v>1759.95</v>
      </c>
    </row>
    <row r="371" spans="1:67" ht="15" customHeight="1">
      <c r="A371" s="66" t="s">
        <v>2117</v>
      </c>
      <c r="B371" s="66" t="s">
        <v>2118</v>
      </c>
      <c r="C371" s="150" t="s">
        <v>1136</v>
      </c>
      <c r="D371" s="150" t="s">
        <v>1345</v>
      </c>
      <c r="E371" s="150" t="s">
        <v>1346</v>
      </c>
      <c r="F371" s="150" t="s">
        <v>1346</v>
      </c>
      <c r="G371" s="511" t="s">
        <v>389</v>
      </c>
      <c r="H371" s="392" t="s">
        <v>1855</v>
      </c>
      <c r="I371" s="343"/>
      <c r="J371" s="343"/>
      <c r="K371" s="70" t="s">
        <v>466</v>
      </c>
      <c r="L371" s="346"/>
      <c r="M371" s="346" t="s">
        <v>1140</v>
      </c>
      <c r="N371" s="346"/>
      <c r="O371" s="150" t="s">
        <v>57</v>
      </c>
      <c r="P371" s="150"/>
      <c r="Q371" s="403"/>
      <c r="R371" s="406">
        <v>60000</v>
      </c>
      <c r="S371" s="406">
        <v>76216.11</v>
      </c>
      <c r="T371" s="425"/>
      <c r="U371" s="71"/>
      <c r="V371" s="426">
        <v>14407.17</v>
      </c>
      <c r="W371" s="427">
        <v>13803.08</v>
      </c>
      <c r="X371" s="427">
        <v>3005.86</v>
      </c>
      <c r="Y371" s="428">
        <v>15296.21</v>
      </c>
      <c r="Z371" s="429">
        <v>17035.269999999997</v>
      </c>
      <c r="AA371" s="429">
        <v>17290.900000000001</v>
      </c>
      <c r="AB371" s="363" t="e">
        <v>#N/A</v>
      </c>
      <c r="AC371" s="363">
        <v>5000</v>
      </c>
      <c r="AD371" s="363">
        <v>5000</v>
      </c>
      <c r="AE371" s="363">
        <v>5000</v>
      </c>
      <c r="AF371" s="363">
        <v>5000</v>
      </c>
      <c r="AG371" s="363">
        <v>5000</v>
      </c>
      <c r="AH371" s="360" t="e">
        <f t="shared" si="21"/>
        <v>#N/A</v>
      </c>
      <c r="AI371" s="362" t="e">
        <f>ERP[[#This Row],[2026 Working Total]]-ERP[[#This Row],[LE2 Final Submission]]</f>
        <v>#N/A</v>
      </c>
      <c r="AJ371" s="79">
        <v>5000</v>
      </c>
      <c r="AK371" s="79">
        <f t="shared" si="20"/>
        <v>12290.900000000001</v>
      </c>
      <c r="AL371" s="374">
        <f>SUM(ERP[[#This Row],[AP01]:[AP06]])-SUM(ERP[[#This Row],[AP01 LE2]:[AP06 LE2]])</f>
        <v>34622.37999999999</v>
      </c>
      <c r="AM371" s="80"/>
      <c r="AN371" s="79" t="e">
        <f>ERP[[#This Row],[2026 Working Total to Budget/LE]]-ERP[[#This Row],[Giveback]]</f>
        <v>#N/A</v>
      </c>
      <c r="AO371" s="81"/>
      <c r="AP371" s="375">
        <v>14407.17</v>
      </c>
      <c r="AQ371" s="375">
        <v>13803.08</v>
      </c>
      <c r="AR371" s="375">
        <v>3005.86</v>
      </c>
      <c r="AS371" s="375">
        <v>5000</v>
      </c>
      <c r="AT371" s="375">
        <v>5000</v>
      </c>
      <c r="AU371" s="375">
        <v>5000</v>
      </c>
      <c r="AV371" s="375">
        <v>5000</v>
      </c>
      <c r="AW371" s="375">
        <v>5000</v>
      </c>
      <c r="AX371" s="375">
        <v>5000</v>
      </c>
      <c r="AY371" s="375">
        <v>5000</v>
      </c>
      <c r="AZ371" s="375">
        <v>5000</v>
      </c>
      <c r="BA371" s="375">
        <v>5000</v>
      </c>
      <c r="BB371" s="375">
        <v>76216.11</v>
      </c>
      <c r="BC371" s="79">
        <v>14407.17</v>
      </c>
      <c r="BD371" s="79">
        <v>13803.08</v>
      </c>
      <c r="BE371" s="79">
        <v>3005.86</v>
      </c>
      <c r="BF371" s="79">
        <v>5000</v>
      </c>
      <c r="BG371" s="79">
        <v>5000</v>
      </c>
      <c r="BH371" s="79">
        <v>5000</v>
      </c>
      <c r="BI371" s="79">
        <v>5000</v>
      </c>
      <c r="BJ371" s="79">
        <v>5000</v>
      </c>
      <c r="BK371" s="79">
        <v>5000</v>
      </c>
      <c r="BL371" s="79">
        <v>5000</v>
      </c>
      <c r="BM371" s="79">
        <v>5000</v>
      </c>
      <c r="BN371" s="79">
        <v>5000</v>
      </c>
      <c r="BO371" s="79">
        <v>76216.11</v>
      </c>
    </row>
    <row r="372" spans="1:67" ht="15" customHeight="1">
      <c r="A372" s="66" t="s">
        <v>2284</v>
      </c>
      <c r="B372" s="66" t="s">
        <v>675</v>
      </c>
      <c r="C372" s="150" t="s">
        <v>1136</v>
      </c>
      <c r="D372" s="150" t="s">
        <v>1135</v>
      </c>
      <c r="E372" s="150" t="s">
        <v>1135</v>
      </c>
      <c r="F372" s="150" t="s">
        <v>1137</v>
      </c>
      <c r="G372" s="511" t="s">
        <v>639</v>
      </c>
      <c r="H372" s="392" t="s">
        <v>2285</v>
      </c>
      <c r="I372" s="343"/>
      <c r="J372" s="343"/>
      <c r="K372" s="70" t="s">
        <v>676</v>
      </c>
      <c r="L372" s="346"/>
      <c r="M372" s="346" t="s">
        <v>1140</v>
      </c>
      <c r="N372" s="346"/>
      <c r="O372" s="150" t="s">
        <v>677</v>
      </c>
      <c r="P372" s="150"/>
      <c r="Q372" s="403"/>
      <c r="R372" s="406">
        <v>6000</v>
      </c>
      <c r="S372" s="406">
        <v>10540</v>
      </c>
      <c r="T372" s="425"/>
      <c r="U372" s="71"/>
      <c r="V372" s="426"/>
      <c r="W372" s="427">
        <v>4313</v>
      </c>
      <c r="X372" s="427">
        <v>227</v>
      </c>
      <c r="Y372" s="428">
        <v>0</v>
      </c>
      <c r="Z372" s="429">
        <v>1362</v>
      </c>
      <c r="AA372" s="429">
        <v>0</v>
      </c>
      <c r="AB372" s="363" t="e">
        <v>#N/A</v>
      </c>
      <c r="AC372" s="363">
        <v>6000</v>
      </c>
      <c r="AD372" s="360">
        <v>0</v>
      </c>
      <c r="AE372" s="360">
        <v>0</v>
      </c>
      <c r="AF372" s="360">
        <v>0</v>
      </c>
      <c r="AG372" s="360">
        <v>0</v>
      </c>
      <c r="AH372" s="360" t="e">
        <f t="shared" si="21"/>
        <v>#N/A</v>
      </c>
      <c r="AI372" s="362" t="e">
        <f>ERP[[#This Row],[2026 Working Total]]-ERP[[#This Row],[LE2 Final Submission]]</f>
        <v>#N/A</v>
      </c>
      <c r="AJ372" s="79">
        <v>0</v>
      </c>
      <c r="AK372" s="79">
        <f t="shared" si="20"/>
        <v>0</v>
      </c>
      <c r="AL372" s="374">
        <f>SUM(ERP[[#This Row],[AP01]:[AP06]])-SUM(ERP[[#This Row],[AP01 LE2]:[AP06 LE2]])</f>
        <v>1362</v>
      </c>
      <c r="AM372" s="80"/>
      <c r="AN372" s="79" t="e">
        <f>ERP[[#This Row],[2026 Working Total to Budget/LE]]-ERP[[#This Row],[Giveback]]</f>
        <v>#N/A</v>
      </c>
      <c r="AO372" s="81"/>
      <c r="AP372" s="375"/>
      <c r="AQ372" s="375">
        <v>4313</v>
      </c>
      <c r="AR372" s="375">
        <v>227</v>
      </c>
      <c r="AS372" s="375">
        <v>0</v>
      </c>
      <c r="AT372" s="375">
        <v>0</v>
      </c>
      <c r="AU372" s="375">
        <v>0</v>
      </c>
      <c r="AV372" s="375">
        <v>0</v>
      </c>
      <c r="AW372" s="375">
        <v>6000</v>
      </c>
      <c r="AX372" s="375">
        <v>0</v>
      </c>
      <c r="AY372" s="375">
        <v>0</v>
      </c>
      <c r="AZ372" s="375">
        <v>0</v>
      </c>
      <c r="BA372" s="375">
        <v>0</v>
      </c>
      <c r="BB372" s="375">
        <v>10540</v>
      </c>
      <c r="BC372" s="79"/>
      <c r="BD372" s="79">
        <v>4313</v>
      </c>
      <c r="BE372" s="79">
        <v>227</v>
      </c>
      <c r="BF372" s="79">
        <v>0</v>
      </c>
      <c r="BG372" s="79">
        <v>0</v>
      </c>
      <c r="BH372" s="79">
        <v>0</v>
      </c>
      <c r="BI372" s="79">
        <v>0</v>
      </c>
      <c r="BJ372" s="79">
        <v>6000</v>
      </c>
      <c r="BK372" s="79">
        <v>0</v>
      </c>
      <c r="BL372" s="79">
        <v>0</v>
      </c>
      <c r="BM372" s="79">
        <v>0</v>
      </c>
      <c r="BN372" s="79">
        <v>0</v>
      </c>
      <c r="BO372" s="79">
        <v>10540</v>
      </c>
    </row>
    <row r="373" spans="1:67" ht="15" customHeight="1">
      <c r="A373" s="66" t="s">
        <v>1986</v>
      </c>
      <c r="B373" s="66" t="s">
        <v>511</v>
      </c>
      <c r="C373" s="150" t="s">
        <v>1136</v>
      </c>
      <c r="D373" s="150" t="s">
        <v>1345</v>
      </c>
      <c r="E373" s="150" t="s">
        <v>1344</v>
      </c>
      <c r="F373" s="150" t="s">
        <v>1346</v>
      </c>
      <c r="G373" s="511" t="s">
        <v>389</v>
      </c>
      <c r="H373" s="392" t="s">
        <v>1855</v>
      </c>
      <c r="I373" s="343"/>
      <c r="J373" s="343"/>
      <c r="K373" s="70" t="s">
        <v>466</v>
      </c>
      <c r="L373" s="346"/>
      <c r="M373" s="346" t="s">
        <v>1140</v>
      </c>
      <c r="N373" s="346"/>
      <c r="O373" s="150" t="s">
        <v>57</v>
      </c>
      <c r="P373" s="150"/>
      <c r="Q373" s="403"/>
      <c r="R373" s="406">
        <v>26400</v>
      </c>
      <c r="S373" s="406">
        <v>26962</v>
      </c>
      <c r="T373" s="425"/>
      <c r="U373" s="71"/>
      <c r="V373" s="426">
        <v>2359</v>
      </c>
      <c r="W373" s="427">
        <v>1615</v>
      </c>
      <c r="X373" s="427">
        <v>3188</v>
      </c>
      <c r="Y373" s="428">
        <v>2158</v>
      </c>
      <c r="Z373" s="429">
        <v>2091</v>
      </c>
      <c r="AA373" s="429">
        <v>1890</v>
      </c>
      <c r="AB373" s="363" t="e">
        <v>#N/A</v>
      </c>
      <c r="AC373" s="363">
        <v>2200</v>
      </c>
      <c r="AD373" s="363">
        <v>2200</v>
      </c>
      <c r="AE373" s="363">
        <v>2200</v>
      </c>
      <c r="AF373" s="363">
        <v>2200</v>
      </c>
      <c r="AG373" s="363">
        <v>2200</v>
      </c>
      <c r="AH373" s="360" t="e">
        <f t="shared" si="21"/>
        <v>#N/A</v>
      </c>
      <c r="AI373" s="362" t="e">
        <f>ERP[[#This Row],[2026 Working Total]]-ERP[[#This Row],[LE2 Final Submission]]</f>
        <v>#N/A</v>
      </c>
      <c r="AJ373" s="79">
        <v>2200</v>
      </c>
      <c r="AK373" s="79">
        <f t="shared" si="20"/>
        <v>-310</v>
      </c>
      <c r="AL373" s="374">
        <f>SUM(ERP[[#This Row],[AP01]:[AP06]])-SUM(ERP[[#This Row],[AP01 LE2]:[AP06 LE2]])</f>
        <v>-461</v>
      </c>
      <c r="AM373" s="80"/>
      <c r="AN373" s="79" t="e">
        <f>ERP[[#This Row],[2026 Working Total to Budget/LE]]-ERP[[#This Row],[Giveback]]</f>
        <v>#N/A</v>
      </c>
      <c r="AO373" s="81"/>
      <c r="AP373" s="375">
        <v>2359</v>
      </c>
      <c r="AQ373" s="375">
        <v>1615</v>
      </c>
      <c r="AR373" s="375">
        <v>3188</v>
      </c>
      <c r="AS373" s="375">
        <v>2200</v>
      </c>
      <c r="AT373" s="375">
        <v>2200</v>
      </c>
      <c r="AU373" s="375">
        <v>2200</v>
      </c>
      <c r="AV373" s="375">
        <v>2200</v>
      </c>
      <c r="AW373" s="375">
        <v>2200</v>
      </c>
      <c r="AX373" s="375">
        <v>2200</v>
      </c>
      <c r="AY373" s="375">
        <v>2200</v>
      </c>
      <c r="AZ373" s="375">
        <v>2200</v>
      </c>
      <c r="BA373" s="375">
        <v>2200</v>
      </c>
      <c r="BB373" s="375">
        <v>26962</v>
      </c>
      <c r="BC373" s="79">
        <v>2359</v>
      </c>
      <c r="BD373" s="79">
        <v>1615</v>
      </c>
      <c r="BE373" s="79">
        <v>3188</v>
      </c>
      <c r="BF373" s="79">
        <v>2200</v>
      </c>
      <c r="BG373" s="79">
        <v>2200</v>
      </c>
      <c r="BH373" s="79">
        <v>2200</v>
      </c>
      <c r="BI373" s="79">
        <v>2200</v>
      </c>
      <c r="BJ373" s="79">
        <v>2200</v>
      </c>
      <c r="BK373" s="79">
        <v>2200</v>
      </c>
      <c r="BL373" s="79">
        <v>2200</v>
      </c>
      <c r="BM373" s="79">
        <v>2200</v>
      </c>
      <c r="BN373" s="79">
        <v>2200</v>
      </c>
      <c r="BO373" s="79">
        <v>26962</v>
      </c>
    </row>
    <row r="374" spans="1:67" ht="15" customHeight="1">
      <c r="A374" s="66" t="s">
        <v>2024</v>
      </c>
      <c r="B374" s="66" t="s">
        <v>533</v>
      </c>
      <c r="C374" s="150" t="s">
        <v>1136</v>
      </c>
      <c r="D374" s="150" t="s">
        <v>1345</v>
      </c>
      <c r="E374" s="150" t="s">
        <v>1345</v>
      </c>
      <c r="F374" s="150" t="s">
        <v>1346</v>
      </c>
      <c r="G374" s="511" t="s">
        <v>389</v>
      </c>
      <c r="H374" s="392" t="s">
        <v>1855</v>
      </c>
      <c r="I374" s="343"/>
      <c r="J374" s="343"/>
      <c r="K374" s="70" t="s">
        <v>466</v>
      </c>
      <c r="L374" s="346"/>
      <c r="M374" s="346" t="s">
        <v>1140</v>
      </c>
      <c r="N374" s="346"/>
      <c r="O374" s="150" t="s">
        <v>57</v>
      </c>
      <c r="P374" s="150"/>
      <c r="Q374" s="403"/>
      <c r="R374" s="406">
        <v>19176</v>
      </c>
      <c r="S374" s="406">
        <v>21479</v>
      </c>
      <c r="T374" s="425"/>
      <c r="U374" s="71"/>
      <c r="V374" s="426">
        <v>1566</v>
      </c>
      <c r="W374" s="427">
        <v>1439</v>
      </c>
      <c r="X374" s="427">
        <v>4092</v>
      </c>
      <c r="Y374" s="428">
        <v>1259</v>
      </c>
      <c r="Z374" s="429">
        <v>1259</v>
      </c>
      <c r="AA374" s="429">
        <v>1192</v>
      </c>
      <c r="AB374" s="363" t="e">
        <v>#N/A</v>
      </c>
      <c r="AC374" s="363">
        <v>1598</v>
      </c>
      <c r="AD374" s="363">
        <v>1598</v>
      </c>
      <c r="AE374" s="363">
        <v>1598</v>
      </c>
      <c r="AF374" s="363">
        <v>1598</v>
      </c>
      <c r="AG374" s="363">
        <v>1598</v>
      </c>
      <c r="AH374" s="360" t="e">
        <f t="shared" si="21"/>
        <v>#N/A</v>
      </c>
      <c r="AI374" s="362" t="e">
        <f>ERP[[#This Row],[2026 Working Total]]-ERP[[#This Row],[LE2 Final Submission]]</f>
        <v>#N/A</v>
      </c>
      <c r="AJ374" s="79">
        <v>1598</v>
      </c>
      <c r="AK374" s="79">
        <f t="shared" si="20"/>
        <v>-406</v>
      </c>
      <c r="AL374" s="374">
        <f>SUM(ERP[[#This Row],[AP01]:[AP06]])-SUM(ERP[[#This Row],[AP01 LE2]:[AP06 LE2]])</f>
        <v>-1084</v>
      </c>
      <c r="AM374" s="80"/>
      <c r="AN374" s="79" t="e">
        <f>ERP[[#This Row],[2026 Working Total to Budget/LE]]-ERP[[#This Row],[Giveback]]</f>
        <v>#N/A</v>
      </c>
      <c r="AO374" s="81"/>
      <c r="AP374" s="375">
        <v>1566</v>
      </c>
      <c r="AQ374" s="375">
        <v>1439</v>
      </c>
      <c r="AR374" s="375">
        <v>4092</v>
      </c>
      <c r="AS374" s="375">
        <v>1598</v>
      </c>
      <c r="AT374" s="375">
        <v>1598</v>
      </c>
      <c r="AU374" s="375">
        <v>1598</v>
      </c>
      <c r="AV374" s="375">
        <v>1598</v>
      </c>
      <c r="AW374" s="375">
        <v>1598</v>
      </c>
      <c r="AX374" s="375">
        <v>1598</v>
      </c>
      <c r="AY374" s="375">
        <v>1598</v>
      </c>
      <c r="AZ374" s="375">
        <v>1598</v>
      </c>
      <c r="BA374" s="375">
        <v>1598</v>
      </c>
      <c r="BB374" s="375">
        <v>21479</v>
      </c>
      <c r="BC374" s="79">
        <v>1566</v>
      </c>
      <c r="BD374" s="79">
        <v>1439</v>
      </c>
      <c r="BE374" s="79">
        <v>4092</v>
      </c>
      <c r="BF374" s="79">
        <v>1598</v>
      </c>
      <c r="BG374" s="79">
        <v>1598</v>
      </c>
      <c r="BH374" s="79">
        <v>1598</v>
      </c>
      <c r="BI374" s="79">
        <v>1598</v>
      </c>
      <c r="BJ374" s="79">
        <v>1598</v>
      </c>
      <c r="BK374" s="79">
        <v>1598</v>
      </c>
      <c r="BL374" s="79">
        <v>1598</v>
      </c>
      <c r="BM374" s="79">
        <v>1598</v>
      </c>
      <c r="BN374" s="79">
        <v>1598</v>
      </c>
      <c r="BO374" s="79">
        <v>21479</v>
      </c>
    </row>
    <row r="375" spans="1:67" ht="15" customHeight="1">
      <c r="A375" s="66" t="s">
        <v>2040</v>
      </c>
      <c r="B375" s="66" t="s">
        <v>543</v>
      </c>
      <c r="C375" s="150" t="s">
        <v>1136</v>
      </c>
      <c r="D375" s="150" t="s">
        <v>1345</v>
      </c>
      <c r="E375" s="150" t="s">
        <v>1450</v>
      </c>
      <c r="F375" s="150" t="s">
        <v>1346</v>
      </c>
      <c r="G375" s="511" t="s">
        <v>389</v>
      </c>
      <c r="H375" s="392" t="s">
        <v>1855</v>
      </c>
      <c r="I375" s="343"/>
      <c r="J375" s="343"/>
      <c r="K375" s="70" t="s">
        <v>466</v>
      </c>
      <c r="L375" s="346"/>
      <c r="M375" s="346" t="s">
        <v>1140</v>
      </c>
      <c r="N375" s="346"/>
      <c r="O375" s="150" t="s">
        <v>57</v>
      </c>
      <c r="P375" s="150"/>
      <c r="Q375" s="403"/>
      <c r="R375" s="406">
        <v>36000</v>
      </c>
      <c r="S375" s="406">
        <v>34822</v>
      </c>
      <c r="T375" s="425"/>
      <c r="U375" s="71"/>
      <c r="V375" s="426">
        <v>2137</v>
      </c>
      <c r="W375" s="427">
        <v>1809</v>
      </c>
      <c r="X375" s="427">
        <v>3876</v>
      </c>
      <c r="Y375" s="428">
        <v>1749</v>
      </c>
      <c r="Z375" s="429">
        <v>1548</v>
      </c>
      <c r="AA375" s="429">
        <v>1273</v>
      </c>
      <c r="AB375" s="363" t="e">
        <v>#N/A</v>
      </c>
      <c r="AC375" s="363">
        <v>3000</v>
      </c>
      <c r="AD375" s="363">
        <v>3000</v>
      </c>
      <c r="AE375" s="363">
        <v>3000</v>
      </c>
      <c r="AF375" s="363">
        <v>3000</v>
      </c>
      <c r="AG375" s="363">
        <v>3000</v>
      </c>
      <c r="AH375" s="360" t="e">
        <f t="shared" si="21"/>
        <v>#N/A</v>
      </c>
      <c r="AI375" s="362" t="e">
        <f>ERP[[#This Row],[2026 Working Total]]-ERP[[#This Row],[LE2 Final Submission]]</f>
        <v>#N/A</v>
      </c>
      <c r="AJ375" s="79">
        <v>3000</v>
      </c>
      <c r="AK375" s="79">
        <f t="shared" si="20"/>
        <v>-1727</v>
      </c>
      <c r="AL375" s="374">
        <f>SUM(ERP[[#This Row],[AP01]:[AP06]])-SUM(ERP[[#This Row],[AP01 LE2]:[AP06 LE2]])</f>
        <v>-4430</v>
      </c>
      <c r="AM375" s="80"/>
      <c r="AN375" s="79" t="e">
        <f>ERP[[#This Row],[2026 Working Total to Budget/LE]]-ERP[[#This Row],[Giveback]]</f>
        <v>#N/A</v>
      </c>
      <c r="AO375" s="81"/>
      <c r="AP375" s="375">
        <v>2137</v>
      </c>
      <c r="AQ375" s="375">
        <v>1809</v>
      </c>
      <c r="AR375" s="375">
        <v>3876</v>
      </c>
      <c r="AS375" s="375">
        <v>3000</v>
      </c>
      <c r="AT375" s="375">
        <v>3000</v>
      </c>
      <c r="AU375" s="375">
        <v>3000</v>
      </c>
      <c r="AV375" s="375">
        <v>3000</v>
      </c>
      <c r="AW375" s="375">
        <v>3000</v>
      </c>
      <c r="AX375" s="375">
        <v>3000</v>
      </c>
      <c r="AY375" s="375">
        <v>3000</v>
      </c>
      <c r="AZ375" s="375">
        <v>3000</v>
      </c>
      <c r="BA375" s="375">
        <v>3000</v>
      </c>
      <c r="BB375" s="375">
        <v>34822</v>
      </c>
      <c r="BC375" s="79">
        <v>2137</v>
      </c>
      <c r="BD375" s="79">
        <v>1809</v>
      </c>
      <c r="BE375" s="79">
        <v>3876</v>
      </c>
      <c r="BF375" s="79">
        <v>3000</v>
      </c>
      <c r="BG375" s="79">
        <v>3000</v>
      </c>
      <c r="BH375" s="79">
        <v>3000</v>
      </c>
      <c r="BI375" s="79">
        <v>3000</v>
      </c>
      <c r="BJ375" s="79">
        <v>3000</v>
      </c>
      <c r="BK375" s="79">
        <v>3000</v>
      </c>
      <c r="BL375" s="79">
        <v>3000</v>
      </c>
      <c r="BM375" s="79">
        <v>3000</v>
      </c>
      <c r="BN375" s="79">
        <v>3000</v>
      </c>
      <c r="BO375" s="79">
        <v>34822</v>
      </c>
    </row>
    <row r="376" spans="1:67" ht="15" customHeight="1">
      <c r="A376" s="66" t="s">
        <v>2059</v>
      </c>
      <c r="B376" s="66" t="s">
        <v>553</v>
      </c>
      <c r="C376" s="150" t="s">
        <v>1136</v>
      </c>
      <c r="D376" s="150" t="s">
        <v>1345</v>
      </c>
      <c r="E376" s="150" t="s">
        <v>1480</v>
      </c>
      <c r="F376" s="150" t="s">
        <v>1346</v>
      </c>
      <c r="G376" s="511" t="s">
        <v>389</v>
      </c>
      <c r="H376" s="392" t="s">
        <v>1855</v>
      </c>
      <c r="I376" s="343"/>
      <c r="J376" s="343"/>
      <c r="K376" s="70" t="s">
        <v>466</v>
      </c>
      <c r="L376" s="346"/>
      <c r="M376" s="346" t="s">
        <v>1140</v>
      </c>
      <c r="N376" s="346"/>
      <c r="O376" s="150" t="s">
        <v>57</v>
      </c>
      <c r="P376" s="150"/>
      <c r="Q376" s="403"/>
      <c r="R376" s="406">
        <v>27000</v>
      </c>
      <c r="S376" s="406">
        <v>26481</v>
      </c>
      <c r="T376" s="425"/>
      <c r="U376" s="71"/>
      <c r="V376" s="426">
        <v>1883</v>
      </c>
      <c r="W376" s="427">
        <v>1481</v>
      </c>
      <c r="X376" s="427">
        <v>2867</v>
      </c>
      <c r="Y376" s="428">
        <v>1442</v>
      </c>
      <c r="Z376" s="429">
        <v>1442</v>
      </c>
      <c r="AA376" s="429">
        <v>1375</v>
      </c>
      <c r="AB376" s="363" t="e">
        <v>#N/A</v>
      </c>
      <c r="AC376" s="363">
        <v>2250</v>
      </c>
      <c r="AD376" s="363">
        <v>2250</v>
      </c>
      <c r="AE376" s="363">
        <v>2250</v>
      </c>
      <c r="AF376" s="363">
        <v>2250</v>
      </c>
      <c r="AG376" s="363">
        <v>2250</v>
      </c>
      <c r="AH376" s="360" t="e">
        <f t="shared" si="21"/>
        <v>#N/A</v>
      </c>
      <c r="AI376" s="362" t="e">
        <f>ERP[[#This Row],[2026 Working Total]]-ERP[[#This Row],[LE2 Final Submission]]</f>
        <v>#N/A</v>
      </c>
      <c r="AJ376" s="79">
        <v>2250</v>
      </c>
      <c r="AK376" s="79">
        <f t="shared" si="20"/>
        <v>-875</v>
      </c>
      <c r="AL376" s="374">
        <f>SUM(ERP[[#This Row],[AP01]:[AP06]])-SUM(ERP[[#This Row],[AP01 LE2]:[AP06 LE2]])</f>
        <v>-2491</v>
      </c>
      <c r="AM376" s="80"/>
      <c r="AN376" s="79" t="e">
        <f>ERP[[#This Row],[2026 Working Total to Budget/LE]]-ERP[[#This Row],[Giveback]]</f>
        <v>#N/A</v>
      </c>
      <c r="AO376" s="81"/>
      <c r="AP376" s="375">
        <v>1883</v>
      </c>
      <c r="AQ376" s="375">
        <v>1481</v>
      </c>
      <c r="AR376" s="375">
        <v>2867</v>
      </c>
      <c r="AS376" s="375">
        <v>2250</v>
      </c>
      <c r="AT376" s="375">
        <v>2250</v>
      </c>
      <c r="AU376" s="375">
        <v>2250</v>
      </c>
      <c r="AV376" s="375">
        <v>2250</v>
      </c>
      <c r="AW376" s="375">
        <v>2250</v>
      </c>
      <c r="AX376" s="375">
        <v>2250</v>
      </c>
      <c r="AY376" s="375">
        <v>2250</v>
      </c>
      <c r="AZ376" s="375">
        <v>2250</v>
      </c>
      <c r="BA376" s="375">
        <v>2250</v>
      </c>
      <c r="BB376" s="375">
        <v>26481</v>
      </c>
      <c r="BC376" s="79">
        <v>1883</v>
      </c>
      <c r="BD376" s="79">
        <v>1481</v>
      </c>
      <c r="BE376" s="79">
        <v>2867</v>
      </c>
      <c r="BF376" s="79">
        <v>2250</v>
      </c>
      <c r="BG376" s="79">
        <v>2250</v>
      </c>
      <c r="BH376" s="79">
        <v>2250</v>
      </c>
      <c r="BI376" s="79">
        <v>2250</v>
      </c>
      <c r="BJ376" s="79">
        <v>2250</v>
      </c>
      <c r="BK376" s="79">
        <v>2250</v>
      </c>
      <c r="BL376" s="79">
        <v>2250</v>
      </c>
      <c r="BM376" s="79">
        <v>2250</v>
      </c>
      <c r="BN376" s="79">
        <v>2250</v>
      </c>
      <c r="BO376" s="79">
        <v>26481</v>
      </c>
    </row>
    <row r="377" spans="1:67" ht="15" customHeight="1">
      <c r="A377" s="66" t="s">
        <v>2072</v>
      </c>
      <c r="B377" s="66" t="s">
        <v>560</v>
      </c>
      <c r="C377" s="150" t="s">
        <v>1136</v>
      </c>
      <c r="D377" s="150" t="s">
        <v>1345</v>
      </c>
      <c r="E377" s="150" t="s">
        <v>1515</v>
      </c>
      <c r="F377" s="150" t="s">
        <v>1346</v>
      </c>
      <c r="G377" s="511" t="s">
        <v>389</v>
      </c>
      <c r="H377" s="392" t="s">
        <v>1855</v>
      </c>
      <c r="I377" s="343"/>
      <c r="J377" s="343"/>
      <c r="K377" s="70" t="s">
        <v>466</v>
      </c>
      <c r="L377" s="346"/>
      <c r="M377" s="346" t="s">
        <v>1140</v>
      </c>
      <c r="N377" s="346"/>
      <c r="O377" s="150" t="s">
        <v>57</v>
      </c>
      <c r="P377" s="150"/>
      <c r="Q377" s="403"/>
      <c r="R377" s="406">
        <v>0</v>
      </c>
      <c r="S377" s="406">
        <v>3562</v>
      </c>
      <c r="T377" s="425"/>
      <c r="U377" s="71"/>
      <c r="V377" s="426">
        <v>60</v>
      </c>
      <c r="W377" s="431">
        <v>0</v>
      </c>
      <c r="X377" s="427">
        <v>3502</v>
      </c>
      <c r="Y377" s="428">
        <v>0</v>
      </c>
      <c r="Z377" s="429">
        <v>0</v>
      </c>
      <c r="AA377" s="429">
        <v>60</v>
      </c>
      <c r="AB377" s="363" t="e">
        <v>#N/A</v>
      </c>
      <c r="AC377" s="360">
        <v>0</v>
      </c>
      <c r="AD377" s="360">
        <v>0</v>
      </c>
      <c r="AE377" s="360">
        <v>0</v>
      </c>
      <c r="AF377" s="360">
        <v>0</v>
      </c>
      <c r="AG377" s="360">
        <v>0</v>
      </c>
      <c r="AH377" s="360" t="e">
        <f t="shared" si="21"/>
        <v>#N/A</v>
      </c>
      <c r="AI377" s="362" t="e">
        <f>ERP[[#This Row],[2026 Working Total]]-ERP[[#This Row],[LE2 Final Submission]]</f>
        <v>#N/A</v>
      </c>
      <c r="AJ377" s="79">
        <v>0</v>
      </c>
      <c r="AK377" s="79">
        <f t="shared" si="20"/>
        <v>60</v>
      </c>
      <c r="AL377" s="374">
        <f>SUM(ERP[[#This Row],[AP01]:[AP06]])-SUM(ERP[[#This Row],[AP01 LE2]:[AP06 LE2]])</f>
        <v>60</v>
      </c>
      <c r="AM377" s="80"/>
      <c r="AN377" s="79" t="e">
        <f>ERP[[#This Row],[2026 Working Total to Budget/LE]]-ERP[[#This Row],[Giveback]]</f>
        <v>#N/A</v>
      </c>
      <c r="AO377" s="81"/>
      <c r="AP377" s="375">
        <v>60</v>
      </c>
      <c r="AQ377" s="375">
        <v>0</v>
      </c>
      <c r="AR377" s="375">
        <v>3502</v>
      </c>
      <c r="AS377" s="375">
        <v>0</v>
      </c>
      <c r="AT377" s="375">
        <v>0</v>
      </c>
      <c r="AU377" s="375">
        <v>0</v>
      </c>
      <c r="AV377" s="375">
        <v>0</v>
      </c>
      <c r="AW377" s="375">
        <v>0</v>
      </c>
      <c r="AX377" s="375">
        <v>0</v>
      </c>
      <c r="AY377" s="375">
        <v>0</v>
      </c>
      <c r="AZ377" s="375">
        <v>0</v>
      </c>
      <c r="BA377" s="375">
        <v>0</v>
      </c>
      <c r="BB377" s="375">
        <v>3562</v>
      </c>
      <c r="BC377" s="79">
        <v>60</v>
      </c>
      <c r="BD377" s="79">
        <v>0</v>
      </c>
      <c r="BE377" s="79">
        <v>3502</v>
      </c>
      <c r="BF377" s="79">
        <v>0</v>
      </c>
      <c r="BG377" s="79">
        <v>0</v>
      </c>
      <c r="BH377" s="79">
        <v>0</v>
      </c>
      <c r="BI377" s="79">
        <v>0</v>
      </c>
      <c r="BJ377" s="79">
        <v>0</v>
      </c>
      <c r="BK377" s="79">
        <v>0</v>
      </c>
      <c r="BL377" s="79">
        <v>0</v>
      </c>
      <c r="BM377" s="79">
        <v>0</v>
      </c>
      <c r="BN377" s="79">
        <v>0</v>
      </c>
      <c r="BO377" s="79">
        <v>3562</v>
      </c>
    </row>
    <row r="378" spans="1:67" ht="15" customHeight="1">
      <c r="A378" s="66" t="s">
        <v>2286</v>
      </c>
      <c r="B378" s="66" t="s">
        <v>2287</v>
      </c>
      <c r="C378" s="150" t="s">
        <v>1136</v>
      </c>
      <c r="D378" s="150" t="s">
        <v>1135</v>
      </c>
      <c r="E378" s="150" t="s">
        <v>1137</v>
      </c>
      <c r="F378" s="150" t="s">
        <v>1137</v>
      </c>
      <c r="G378" s="511" t="s">
        <v>639</v>
      </c>
      <c r="H378" s="392" t="s">
        <v>2285</v>
      </c>
      <c r="I378" s="343"/>
      <c r="J378" s="343"/>
      <c r="K378" s="70" t="s">
        <v>676</v>
      </c>
      <c r="L378" s="346"/>
      <c r="M378" s="346" t="s">
        <v>1140</v>
      </c>
      <c r="N378" s="346"/>
      <c r="O378" s="150" t="s">
        <v>677</v>
      </c>
      <c r="P378" s="1" t="s">
        <v>1141</v>
      </c>
      <c r="Q378" s="403"/>
      <c r="R378" s="406">
        <v>10000</v>
      </c>
      <c r="S378" s="406">
        <v>12811.43</v>
      </c>
      <c r="T378" s="425"/>
      <c r="U378" s="71"/>
      <c r="V378" s="426">
        <v>553.5</v>
      </c>
      <c r="W378" s="427">
        <v>681</v>
      </c>
      <c r="X378" s="427">
        <v>1576.93</v>
      </c>
      <c r="Y378" s="428">
        <v>227</v>
      </c>
      <c r="Z378" s="429">
        <v>496.48</v>
      </c>
      <c r="AA378" s="429">
        <v>0</v>
      </c>
      <c r="AB378" s="363" t="e">
        <v>#N/A</v>
      </c>
      <c r="AC378" s="360">
        <v>0</v>
      </c>
      <c r="AD378" s="360">
        <v>0</v>
      </c>
      <c r="AE378" s="360">
        <v>0</v>
      </c>
      <c r="AF378" s="360">
        <v>0</v>
      </c>
      <c r="AG378" s="363">
        <v>5000</v>
      </c>
      <c r="AH378" s="360" t="e">
        <f t="shared" si="21"/>
        <v>#N/A</v>
      </c>
      <c r="AI378" s="362" t="e">
        <f>ERP[[#This Row],[2026 Working Total]]-ERP[[#This Row],[LE2 Final Submission]]</f>
        <v>#N/A</v>
      </c>
      <c r="AJ378" s="79">
        <v>0</v>
      </c>
      <c r="AK378" s="79">
        <f t="shared" si="20"/>
        <v>0</v>
      </c>
      <c r="AL378" s="374">
        <f>SUM(ERP[[#This Row],[AP01]:[AP06]])-SUM(ERP[[#This Row],[AP01 LE2]:[AP06 LE2]])</f>
        <v>-4276.5200000000004</v>
      </c>
      <c r="AM378" s="80"/>
      <c r="AN378" s="79" t="e">
        <f>ERP[[#This Row],[2026 Working Total to Budget/LE]]-ERP[[#This Row],[Giveback]]</f>
        <v>#N/A</v>
      </c>
      <c r="AO378" s="81"/>
      <c r="AP378" s="375">
        <v>553.5</v>
      </c>
      <c r="AQ378" s="375">
        <v>681</v>
      </c>
      <c r="AR378" s="375">
        <v>1576.93</v>
      </c>
      <c r="AS378" s="375">
        <v>0</v>
      </c>
      <c r="AT378" s="375">
        <v>0</v>
      </c>
      <c r="AU378" s="375">
        <v>5000</v>
      </c>
      <c r="AV378" s="375">
        <v>0</v>
      </c>
      <c r="AW378" s="375">
        <v>0</v>
      </c>
      <c r="AX378" s="375">
        <v>0</v>
      </c>
      <c r="AY378" s="375">
        <v>0</v>
      </c>
      <c r="AZ378" s="375">
        <v>0</v>
      </c>
      <c r="BA378" s="375">
        <v>5000</v>
      </c>
      <c r="BB378" s="375">
        <v>12811.43</v>
      </c>
      <c r="BC378" s="79">
        <v>553.5</v>
      </c>
      <c r="BD378" s="79">
        <v>681</v>
      </c>
      <c r="BE378" s="79">
        <v>1576.93</v>
      </c>
      <c r="BF378" s="79">
        <v>0</v>
      </c>
      <c r="BG378" s="79">
        <v>0</v>
      </c>
      <c r="BH378" s="79">
        <v>5000</v>
      </c>
      <c r="BI378" s="79">
        <v>0</v>
      </c>
      <c r="BJ378" s="79">
        <v>0</v>
      </c>
      <c r="BK378" s="79">
        <v>0</v>
      </c>
      <c r="BL378" s="79">
        <v>0</v>
      </c>
      <c r="BM378" s="79">
        <v>0</v>
      </c>
      <c r="BN378" s="79">
        <v>5000</v>
      </c>
      <c r="BO378" s="79">
        <v>12811.43</v>
      </c>
    </row>
    <row r="379" spans="1:67" ht="15" customHeight="1">
      <c r="A379" s="66" t="s">
        <v>2288</v>
      </c>
      <c r="B379" s="66" t="s">
        <v>2289</v>
      </c>
      <c r="C379" s="150" t="s">
        <v>1136</v>
      </c>
      <c r="D379" s="150" t="s">
        <v>1135</v>
      </c>
      <c r="E379" s="150" t="s">
        <v>1145</v>
      </c>
      <c r="F379" s="150" t="s">
        <v>1137</v>
      </c>
      <c r="G379" s="511" t="s">
        <v>639</v>
      </c>
      <c r="H379" s="392" t="s">
        <v>2285</v>
      </c>
      <c r="I379" s="343"/>
      <c r="J379" s="343"/>
      <c r="K379" s="70" t="s">
        <v>676</v>
      </c>
      <c r="L379" s="346"/>
      <c r="M379" s="346" t="s">
        <v>1140</v>
      </c>
      <c r="N379" s="346"/>
      <c r="O379" s="150" t="s">
        <v>677</v>
      </c>
      <c r="P379" s="150"/>
      <c r="Q379" s="403"/>
      <c r="R379" s="406">
        <v>550</v>
      </c>
      <c r="S379" s="406">
        <v>777</v>
      </c>
      <c r="T379" s="425"/>
      <c r="U379" s="71"/>
      <c r="V379" s="426"/>
      <c r="W379" s="427">
        <v>227</v>
      </c>
      <c r="X379" s="431">
        <v>0</v>
      </c>
      <c r="Y379" s="428">
        <v>0</v>
      </c>
      <c r="Z379" s="429">
        <v>454</v>
      </c>
      <c r="AA379" s="429">
        <v>0</v>
      </c>
      <c r="AB379" s="363" t="e">
        <v>#N/A</v>
      </c>
      <c r="AC379" s="360">
        <v>0</v>
      </c>
      <c r="AD379" s="360">
        <v>0</v>
      </c>
      <c r="AE379" s="360">
        <v>0</v>
      </c>
      <c r="AF379" s="360">
        <v>0</v>
      </c>
      <c r="AG379" s="360">
        <v>0</v>
      </c>
      <c r="AH379" s="360" t="e">
        <f t="shared" si="21"/>
        <v>#N/A</v>
      </c>
      <c r="AI379" s="362" t="e">
        <f>ERP[[#This Row],[2026 Working Total]]-ERP[[#This Row],[LE2 Final Submission]]</f>
        <v>#N/A</v>
      </c>
      <c r="AJ379" s="79">
        <v>0</v>
      </c>
      <c r="AK379" s="79">
        <f t="shared" si="20"/>
        <v>0</v>
      </c>
      <c r="AL379" s="374">
        <f>SUM(ERP[[#This Row],[AP01]:[AP06]])-SUM(ERP[[#This Row],[AP01 LE2]:[AP06 LE2]])</f>
        <v>-96</v>
      </c>
      <c r="AM379" s="80"/>
      <c r="AN379" s="79" t="e">
        <f>ERP[[#This Row],[2026 Working Total to Budget/LE]]-ERP[[#This Row],[Giveback]]</f>
        <v>#N/A</v>
      </c>
      <c r="AO379" s="81"/>
      <c r="AP379" s="375"/>
      <c r="AQ379" s="375">
        <v>227</v>
      </c>
      <c r="AR379" s="375">
        <v>0</v>
      </c>
      <c r="AS379" s="375">
        <v>550</v>
      </c>
      <c r="AT379" s="375">
        <v>0</v>
      </c>
      <c r="AU379" s="375">
        <v>0</v>
      </c>
      <c r="AV379" s="375">
        <v>0</v>
      </c>
      <c r="AW379" s="375">
        <v>0</v>
      </c>
      <c r="AX379" s="375">
        <v>0</v>
      </c>
      <c r="AY379" s="375">
        <v>0</v>
      </c>
      <c r="AZ379" s="375">
        <v>0</v>
      </c>
      <c r="BA379" s="375">
        <v>0</v>
      </c>
      <c r="BB379" s="375">
        <v>777</v>
      </c>
      <c r="BC379" s="79"/>
      <c r="BD379" s="79">
        <v>227</v>
      </c>
      <c r="BE379" s="79">
        <v>0</v>
      </c>
      <c r="BF379" s="79">
        <v>550</v>
      </c>
      <c r="BG379" s="79">
        <v>0</v>
      </c>
      <c r="BH379" s="79">
        <v>0</v>
      </c>
      <c r="BI379" s="79">
        <v>0</v>
      </c>
      <c r="BJ379" s="79">
        <v>0</v>
      </c>
      <c r="BK379" s="79">
        <v>0</v>
      </c>
      <c r="BL379" s="79">
        <v>0</v>
      </c>
      <c r="BM379" s="79">
        <v>0</v>
      </c>
      <c r="BN379" s="79">
        <v>0</v>
      </c>
      <c r="BO379" s="79">
        <v>777</v>
      </c>
    </row>
    <row r="380" spans="1:67" ht="15" customHeight="1">
      <c r="A380" s="66" t="s">
        <v>2120</v>
      </c>
      <c r="B380" s="66" t="s">
        <v>2121</v>
      </c>
      <c r="C380" s="150" t="s">
        <v>1136</v>
      </c>
      <c r="D380" s="150" t="s">
        <v>1567</v>
      </c>
      <c r="E380" s="150" t="s">
        <v>1567</v>
      </c>
      <c r="F380" s="150" t="s">
        <v>1567</v>
      </c>
      <c r="G380" s="511" t="s">
        <v>389</v>
      </c>
      <c r="H380" s="392" t="s">
        <v>1855</v>
      </c>
      <c r="I380" s="343"/>
      <c r="J380" s="343"/>
      <c r="K380" s="70" t="s">
        <v>466</v>
      </c>
      <c r="L380" s="346"/>
      <c r="M380" s="346" t="s">
        <v>1140</v>
      </c>
      <c r="N380" s="346"/>
      <c r="O380" s="150" t="s">
        <v>57</v>
      </c>
      <c r="P380" s="150"/>
      <c r="Q380" s="403"/>
      <c r="R380" s="406">
        <v>0</v>
      </c>
      <c r="S380" s="406">
        <v>882</v>
      </c>
      <c r="T380" s="425"/>
      <c r="U380" s="71"/>
      <c r="V380" s="426">
        <v>194</v>
      </c>
      <c r="W380" s="427">
        <v>194</v>
      </c>
      <c r="X380" s="427">
        <v>494</v>
      </c>
      <c r="Y380" s="428">
        <v>688</v>
      </c>
      <c r="Z380" s="429">
        <v>501</v>
      </c>
      <c r="AA380" s="429">
        <v>441</v>
      </c>
      <c r="AB380" s="363" t="e">
        <v>#N/A</v>
      </c>
      <c r="AC380" s="360">
        <v>0</v>
      </c>
      <c r="AD380" s="360">
        <v>0</v>
      </c>
      <c r="AE380" s="360">
        <v>0</v>
      </c>
      <c r="AF380" s="360">
        <v>0</v>
      </c>
      <c r="AG380" s="360">
        <v>0</v>
      </c>
      <c r="AH380" s="360" t="e">
        <f t="shared" si="21"/>
        <v>#N/A</v>
      </c>
      <c r="AI380" s="362" t="e">
        <f>ERP[[#This Row],[2026 Working Total]]-ERP[[#This Row],[LE2 Final Submission]]</f>
        <v>#N/A</v>
      </c>
      <c r="AJ380" s="79">
        <v>0</v>
      </c>
      <c r="AK380" s="79">
        <f t="shared" si="20"/>
        <v>441</v>
      </c>
      <c r="AL380" s="374">
        <f>SUM(ERP[[#This Row],[AP01]:[AP06]])-SUM(ERP[[#This Row],[AP01 LE2]:[AP06 LE2]])</f>
        <v>1630</v>
      </c>
      <c r="AM380" s="80"/>
      <c r="AN380" s="79" t="e">
        <f>ERP[[#This Row],[2026 Working Total to Budget/LE]]-ERP[[#This Row],[Giveback]]</f>
        <v>#N/A</v>
      </c>
      <c r="AO380" s="81"/>
      <c r="AP380" s="375">
        <v>194</v>
      </c>
      <c r="AQ380" s="375">
        <v>194</v>
      </c>
      <c r="AR380" s="375">
        <v>494</v>
      </c>
      <c r="AS380" s="375">
        <v>0</v>
      </c>
      <c r="AT380" s="375">
        <v>0</v>
      </c>
      <c r="AU380" s="375">
        <v>0</v>
      </c>
      <c r="AV380" s="375">
        <v>0</v>
      </c>
      <c r="AW380" s="375">
        <v>0</v>
      </c>
      <c r="AX380" s="375">
        <v>0</v>
      </c>
      <c r="AY380" s="375">
        <v>0</v>
      </c>
      <c r="AZ380" s="375">
        <v>0</v>
      </c>
      <c r="BA380" s="375">
        <v>0</v>
      </c>
      <c r="BB380" s="375">
        <v>882</v>
      </c>
      <c r="BC380" s="79">
        <v>194</v>
      </c>
      <c r="BD380" s="79">
        <v>194</v>
      </c>
      <c r="BE380" s="79">
        <v>494</v>
      </c>
      <c r="BF380" s="79">
        <v>0</v>
      </c>
      <c r="BG380" s="79">
        <v>0</v>
      </c>
      <c r="BH380" s="79">
        <v>0</v>
      </c>
      <c r="BI380" s="79">
        <v>0</v>
      </c>
      <c r="BJ380" s="79">
        <v>0</v>
      </c>
      <c r="BK380" s="79">
        <v>0</v>
      </c>
      <c r="BL380" s="79">
        <v>0</v>
      </c>
      <c r="BM380" s="79">
        <v>0</v>
      </c>
      <c r="BN380" s="79">
        <v>0</v>
      </c>
      <c r="BO380" s="79">
        <v>882</v>
      </c>
    </row>
    <row r="381" spans="1:67" ht="15" customHeight="1">
      <c r="A381" s="66" t="s">
        <v>1901</v>
      </c>
      <c r="B381" s="66" t="s">
        <v>465</v>
      </c>
      <c r="C381" s="150" t="s">
        <v>1136</v>
      </c>
      <c r="D381" s="150" t="s">
        <v>1135</v>
      </c>
      <c r="E381" s="150" t="s">
        <v>1135</v>
      </c>
      <c r="F381" s="150" t="s">
        <v>1137</v>
      </c>
      <c r="G381" s="511" t="s">
        <v>389</v>
      </c>
      <c r="H381" s="392" t="s">
        <v>1855</v>
      </c>
      <c r="I381" s="343"/>
      <c r="J381" s="343"/>
      <c r="K381" s="70" t="s">
        <v>466</v>
      </c>
      <c r="L381" s="346"/>
      <c r="M381" s="346" t="s">
        <v>1140</v>
      </c>
      <c r="N381" s="346"/>
      <c r="O381" s="150" t="s">
        <v>57</v>
      </c>
      <c r="P381" s="150"/>
      <c r="Q381" s="403"/>
      <c r="R381" s="406">
        <v>120000</v>
      </c>
      <c r="S381" s="406">
        <v>141134</v>
      </c>
      <c r="T381" s="425"/>
      <c r="U381" s="71"/>
      <c r="V381" s="426">
        <v>17770</v>
      </c>
      <c r="W381" s="427">
        <v>18328</v>
      </c>
      <c r="X381" s="427">
        <v>15036</v>
      </c>
      <c r="Y381" s="428">
        <v>16438</v>
      </c>
      <c r="Z381" s="429">
        <v>18792</v>
      </c>
      <c r="AA381" s="429">
        <v>20125</v>
      </c>
      <c r="AB381" s="363" t="e">
        <v>#N/A</v>
      </c>
      <c r="AC381" s="363">
        <v>10000</v>
      </c>
      <c r="AD381" s="363">
        <v>10000</v>
      </c>
      <c r="AE381" s="363">
        <v>10000</v>
      </c>
      <c r="AF381" s="363">
        <v>10000</v>
      </c>
      <c r="AG381" s="363">
        <v>10000</v>
      </c>
      <c r="AH381" s="360" t="e">
        <f t="shared" si="21"/>
        <v>#N/A</v>
      </c>
      <c r="AI381" s="362" t="e">
        <f>ERP[[#This Row],[2026 Working Total]]-ERP[[#This Row],[LE2 Final Submission]]</f>
        <v>#N/A</v>
      </c>
      <c r="AJ381" s="79">
        <v>10000</v>
      </c>
      <c r="AK381" s="79">
        <f t="shared" si="20"/>
        <v>10125</v>
      </c>
      <c r="AL381" s="374">
        <f>SUM(ERP[[#This Row],[AP01]:[AP06]])-SUM(ERP[[#This Row],[AP01 LE2]:[AP06 LE2]])</f>
        <v>25355</v>
      </c>
      <c r="AM381" s="80"/>
      <c r="AN381" s="79" t="e">
        <f>ERP[[#This Row],[2026 Working Total to Budget/LE]]-ERP[[#This Row],[Giveback]]</f>
        <v>#N/A</v>
      </c>
      <c r="AO381" s="81"/>
      <c r="AP381" s="375">
        <v>17770</v>
      </c>
      <c r="AQ381" s="375">
        <v>18328</v>
      </c>
      <c r="AR381" s="375">
        <v>15036</v>
      </c>
      <c r="AS381" s="375">
        <v>10000</v>
      </c>
      <c r="AT381" s="375">
        <v>10000</v>
      </c>
      <c r="AU381" s="375">
        <v>10000</v>
      </c>
      <c r="AV381" s="375">
        <v>10000</v>
      </c>
      <c r="AW381" s="375">
        <v>10000</v>
      </c>
      <c r="AX381" s="375">
        <v>10000</v>
      </c>
      <c r="AY381" s="375">
        <v>10000</v>
      </c>
      <c r="AZ381" s="375">
        <v>10000</v>
      </c>
      <c r="BA381" s="375">
        <v>10000</v>
      </c>
      <c r="BB381" s="375">
        <v>141134</v>
      </c>
      <c r="BC381" s="79">
        <v>17770</v>
      </c>
      <c r="BD381" s="79">
        <v>18328</v>
      </c>
      <c r="BE381" s="79">
        <v>15036</v>
      </c>
      <c r="BF381" s="79">
        <v>10000</v>
      </c>
      <c r="BG381" s="79">
        <v>10000</v>
      </c>
      <c r="BH381" s="79">
        <v>10000</v>
      </c>
      <c r="BI381" s="79">
        <v>10000</v>
      </c>
      <c r="BJ381" s="79">
        <v>10000</v>
      </c>
      <c r="BK381" s="79">
        <v>10000</v>
      </c>
      <c r="BL381" s="79">
        <v>10000</v>
      </c>
      <c r="BM381" s="79">
        <v>10000</v>
      </c>
      <c r="BN381" s="79">
        <v>10000</v>
      </c>
      <c r="BO381" s="79">
        <v>141134</v>
      </c>
    </row>
    <row r="382" spans="1:67" ht="15" customHeight="1">
      <c r="A382" s="66" t="s">
        <v>1903</v>
      </c>
      <c r="B382" s="66" t="s">
        <v>1904</v>
      </c>
      <c r="C382" s="150" t="s">
        <v>1136</v>
      </c>
      <c r="D382" s="150" t="s">
        <v>1135</v>
      </c>
      <c r="E382" s="150" t="s">
        <v>1137</v>
      </c>
      <c r="F382" s="150" t="s">
        <v>1137</v>
      </c>
      <c r="G382" s="511" t="s">
        <v>389</v>
      </c>
      <c r="H382" s="392" t="s">
        <v>1855</v>
      </c>
      <c r="I382" s="343"/>
      <c r="J382" s="343"/>
      <c r="K382" s="70" t="s">
        <v>466</v>
      </c>
      <c r="L382" s="346"/>
      <c r="M382" s="346" t="s">
        <v>1140</v>
      </c>
      <c r="N382" s="346"/>
      <c r="O382" s="150" t="s">
        <v>57</v>
      </c>
      <c r="P382" s="1" t="s">
        <v>1141</v>
      </c>
      <c r="Q382" s="403"/>
      <c r="R382" s="406">
        <v>0</v>
      </c>
      <c r="S382" s="406">
        <v>12459.34</v>
      </c>
      <c r="T382" s="425"/>
      <c r="U382" s="71"/>
      <c r="V382" s="426">
        <v>3067.29</v>
      </c>
      <c r="W382" s="427">
        <v>2981.39</v>
      </c>
      <c r="X382" s="427">
        <v>1910.66</v>
      </c>
      <c r="Y382" s="428">
        <v>1410.86</v>
      </c>
      <c r="Z382" s="429">
        <v>2830.8900000000003</v>
      </c>
      <c r="AA382" s="429">
        <v>2863</v>
      </c>
      <c r="AB382" s="363" t="e">
        <v>#N/A</v>
      </c>
      <c r="AC382" s="363">
        <v>500</v>
      </c>
      <c r="AD382" s="363">
        <v>500</v>
      </c>
      <c r="AE382" s="363">
        <v>500</v>
      </c>
      <c r="AF382" s="363">
        <v>500</v>
      </c>
      <c r="AG382" s="363">
        <v>500</v>
      </c>
      <c r="AH382" s="360" t="e">
        <f t="shared" si="21"/>
        <v>#N/A</v>
      </c>
      <c r="AI382" s="362" t="e">
        <f>ERP[[#This Row],[2026 Working Total]]-ERP[[#This Row],[LE2 Final Submission]]</f>
        <v>#N/A</v>
      </c>
      <c r="AJ382" s="79">
        <v>500</v>
      </c>
      <c r="AK382" s="79">
        <f t="shared" si="20"/>
        <v>2363</v>
      </c>
      <c r="AL382" s="374">
        <f>SUM(ERP[[#This Row],[AP01]:[AP06]])-SUM(ERP[[#This Row],[AP01 LE2]:[AP06 LE2]])</f>
        <v>5604.75</v>
      </c>
      <c r="AM382" s="80"/>
      <c r="AN382" s="79" t="e">
        <f>ERP[[#This Row],[2026 Working Total to Budget/LE]]-ERP[[#This Row],[Giveback]]</f>
        <v>#N/A</v>
      </c>
      <c r="AO382" s="81"/>
      <c r="AP382" s="375">
        <v>3067.29</v>
      </c>
      <c r="AQ382" s="375">
        <v>2981.39</v>
      </c>
      <c r="AR382" s="375">
        <v>1910.66</v>
      </c>
      <c r="AS382" s="375">
        <v>500</v>
      </c>
      <c r="AT382" s="375">
        <v>500</v>
      </c>
      <c r="AU382" s="375">
        <v>500</v>
      </c>
      <c r="AV382" s="375">
        <v>500</v>
      </c>
      <c r="AW382" s="375">
        <v>500</v>
      </c>
      <c r="AX382" s="375">
        <v>500</v>
      </c>
      <c r="AY382" s="375">
        <v>500</v>
      </c>
      <c r="AZ382" s="375">
        <v>500</v>
      </c>
      <c r="BA382" s="375">
        <v>500</v>
      </c>
      <c r="BB382" s="375">
        <v>12459.34</v>
      </c>
      <c r="BC382" s="79">
        <v>3067.29</v>
      </c>
      <c r="BD382" s="79">
        <v>2981.39</v>
      </c>
      <c r="BE382" s="79">
        <v>1910.66</v>
      </c>
      <c r="BF382" s="79">
        <v>500</v>
      </c>
      <c r="BG382" s="79">
        <v>500</v>
      </c>
      <c r="BH382" s="79">
        <v>500</v>
      </c>
      <c r="BI382" s="79">
        <v>500</v>
      </c>
      <c r="BJ382" s="79">
        <v>500</v>
      </c>
      <c r="BK382" s="79">
        <v>500</v>
      </c>
      <c r="BL382" s="79">
        <v>500</v>
      </c>
      <c r="BM382" s="79">
        <v>500</v>
      </c>
      <c r="BN382" s="79">
        <v>500</v>
      </c>
      <c r="BO382" s="79">
        <v>12459.34</v>
      </c>
    </row>
    <row r="383" spans="1:67" ht="15" customHeight="1">
      <c r="A383" s="66" t="s">
        <v>2141</v>
      </c>
      <c r="B383" s="66" t="s">
        <v>597</v>
      </c>
      <c r="C383" s="150" t="s">
        <v>1136</v>
      </c>
      <c r="D383" s="150" t="s">
        <v>1650</v>
      </c>
      <c r="E383" s="150" t="s">
        <v>1650</v>
      </c>
      <c r="F383" s="150" t="s">
        <v>1650</v>
      </c>
      <c r="G383" s="511" t="s">
        <v>389</v>
      </c>
      <c r="H383" s="392" t="s">
        <v>1855</v>
      </c>
      <c r="I383" s="343"/>
      <c r="J383" s="343"/>
      <c r="K383" s="70" t="s">
        <v>466</v>
      </c>
      <c r="L383" s="346"/>
      <c r="M383" s="346" t="s">
        <v>1140</v>
      </c>
      <c r="N383" s="346"/>
      <c r="O383" s="150" t="s">
        <v>57</v>
      </c>
      <c r="P383" s="150"/>
      <c r="Q383" s="403"/>
      <c r="R383" s="406">
        <v>0</v>
      </c>
      <c r="S383" s="406">
        <v>11571</v>
      </c>
      <c r="T383" s="425"/>
      <c r="U383" s="71"/>
      <c r="V383" s="426">
        <v>681</v>
      </c>
      <c r="W383" s="427">
        <v>981</v>
      </c>
      <c r="X383" s="427">
        <v>2709</v>
      </c>
      <c r="Y383" s="428">
        <v>2441</v>
      </c>
      <c r="Z383" s="429">
        <v>2448</v>
      </c>
      <c r="AA383" s="429">
        <v>1771</v>
      </c>
      <c r="AB383" s="363" t="e">
        <v>#N/A</v>
      </c>
      <c r="AC383" s="363">
        <v>800</v>
      </c>
      <c r="AD383" s="363">
        <v>800</v>
      </c>
      <c r="AE383" s="363">
        <v>800</v>
      </c>
      <c r="AF383" s="363">
        <v>800</v>
      </c>
      <c r="AG383" s="363">
        <v>800</v>
      </c>
      <c r="AH383" s="360" t="e">
        <f t="shared" si="21"/>
        <v>#N/A</v>
      </c>
      <c r="AI383" s="362" t="e">
        <f>ERP[[#This Row],[2026 Working Total]]-ERP[[#This Row],[LE2 Final Submission]]</f>
        <v>#N/A</v>
      </c>
      <c r="AJ383" s="79">
        <v>800</v>
      </c>
      <c r="AK383" s="79">
        <f t="shared" si="20"/>
        <v>971</v>
      </c>
      <c r="AL383" s="374">
        <f>SUM(ERP[[#This Row],[AP01]:[AP06]])-SUM(ERP[[#This Row],[AP01 LE2]:[AP06 LE2]])</f>
        <v>4260</v>
      </c>
      <c r="AM383" s="80"/>
      <c r="AN383" s="79" t="e">
        <f>ERP[[#This Row],[2026 Working Total to Budget/LE]]-ERP[[#This Row],[Giveback]]</f>
        <v>#N/A</v>
      </c>
      <c r="AO383" s="81"/>
      <c r="AP383" s="375">
        <v>681</v>
      </c>
      <c r="AQ383" s="375">
        <v>981</v>
      </c>
      <c r="AR383" s="375">
        <v>2709</v>
      </c>
      <c r="AS383" s="375">
        <v>800</v>
      </c>
      <c r="AT383" s="375">
        <v>800</v>
      </c>
      <c r="AU383" s="375">
        <v>800</v>
      </c>
      <c r="AV383" s="375">
        <v>800</v>
      </c>
      <c r="AW383" s="375">
        <v>800</v>
      </c>
      <c r="AX383" s="375">
        <v>800</v>
      </c>
      <c r="AY383" s="375">
        <v>800</v>
      </c>
      <c r="AZ383" s="375">
        <v>800</v>
      </c>
      <c r="BA383" s="375">
        <v>800</v>
      </c>
      <c r="BB383" s="375">
        <v>11571</v>
      </c>
      <c r="BC383" s="79">
        <v>681</v>
      </c>
      <c r="BD383" s="79">
        <v>981</v>
      </c>
      <c r="BE383" s="79">
        <v>2709</v>
      </c>
      <c r="BF383" s="79">
        <v>800</v>
      </c>
      <c r="BG383" s="79">
        <v>800</v>
      </c>
      <c r="BH383" s="79">
        <v>800</v>
      </c>
      <c r="BI383" s="79">
        <v>800</v>
      </c>
      <c r="BJ383" s="79">
        <v>800</v>
      </c>
      <c r="BK383" s="79">
        <v>800</v>
      </c>
      <c r="BL383" s="79">
        <v>800</v>
      </c>
      <c r="BM383" s="79">
        <v>800</v>
      </c>
      <c r="BN383" s="79">
        <v>800</v>
      </c>
      <c r="BO383" s="79">
        <v>11571</v>
      </c>
    </row>
    <row r="384" spans="1:67" ht="15" customHeight="1">
      <c r="A384" s="66" t="s">
        <v>1906</v>
      </c>
      <c r="B384" s="66" t="s">
        <v>1907</v>
      </c>
      <c r="C384" s="150" t="s">
        <v>1136</v>
      </c>
      <c r="D384" s="150" t="s">
        <v>1135</v>
      </c>
      <c r="E384" s="150" t="s">
        <v>1145</v>
      </c>
      <c r="F384" s="150" t="s">
        <v>1137</v>
      </c>
      <c r="G384" s="511" t="s">
        <v>389</v>
      </c>
      <c r="H384" s="392" t="s">
        <v>1855</v>
      </c>
      <c r="I384" s="343"/>
      <c r="J384" s="343"/>
      <c r="K384" s="70" t="s">
        <v>466</v>
      </c>
      <c r="L384" s="346"/>
      <c r="M384" s="346" t="s">
        <v>1140</v>
      </c>
      <c r="N384" s="346"/>
      <c r="O384" s="150" t="s">
        <v>57</v>
      </c>
      <c r="P384" s="150"/>
      <c r="Q384" s="403"/>
      <c r="R384" s="406">
        <v>42000</v>
      </c>
      <c r="S384" s="406">
        <v>31512</v>
      </c>
      <c r="T384" s="425"/>
      <c r="U384" s="71"/>
      <c r="V384" s="426">
        <v>3202</v>
      </c>
      <c r="W384" s="427">
        <v>2807</v>
      </c>
      <c r="X384" s="427">
        <v>240</v>
      </c>
      <c r="Y384" s="428">
        <v>2458</v>
      </c>
      <c r="Z384" s="429">
        <v>2458</v>
      </c>
      <c r="AA384" s="429">
        <v>2786</v>
      </c>
      <c r="AB384" s="363" t="e">
        <v>#N/A</v>
      </c>
      <c r="AC384" s="363">
        <v>2458</v>
      </c>
      <c r="AD384" s="363">
        <v>2458</v>
      </c>
      <c r="AE384" s="363">
        <v>2458</v>
      </c>
      <c r="AF384" s="363">
        <v>2458</v>
      </c>
      <c r="AG384" s="363">
        <v>2458</v>
      </c>
      <c r="AH384" s="360" t="e">
        <f t="shared" si="21"/>
        <v>#N/A</v>
      </c>
      <c r="AI384" s="362" t="e">
        <f>ERP[[#This Row],[2026 Working Total]]-ERP[[#This Row],[LE2 Final Submission]]</f>
        <v>#N/A</v>
      </c>
      <c r="AJ384" s="79">
        <v>2458</v>
      </c>
      <c r="AK384" s="79">
        <f t="shared" si="20"/>
        <v>328</v>
      </c>
      <c r="AL384" s="374">
        <f>SUM(ERP[[#This Row],[AP01]:[AP06]])-SUM(ERP[[#This Row],[AP01 LE2]:[AP06 LE2]])</f>
        <v>-719</v>
      </c>
      <c r="AM384" s="80"/>
      <c r="AN384" s="79" t="e">
        <f>ERP[[#This Row],[2026 Working Total to Budget/LE]]-ERP[[#This Row],[Giveback]]</f>
        <v>#N/A</v>
      </c>
      <c r="AO384" s="81"/>
      <c r="AP384" s="375">
        <v>3202</v>
      </c>
      <c r="AQ384" s="375">
        <v>2807</v>
      </c>
      <c r="AR384" s="375">
        <v>240</v>
      </c>
      <c r="AS384" s="375">
        <v>2807</v>
      </c>
      <c r="AT384" s="375">
        <v>2807</v>
      </c>
      <c r="AU384" s="375">
        <v>2807</v>
      </c>
      <c r="AV384" s="375">
        <v>2807</v>
      </c>
      <c r="AW384" s="375">
        <v>2807</v>
      </c>
      <c r="AX384" s="375">
        <v>2807</v>
      </c>
      <c r="AY384" s="375">
        <v>2807</v>
      </c>
      <c r="AZ384" s="375">
        <v>2807</v>
      </c>
      <c r="BA384" s="375">
        <v>2807</v>
      </c>
      <c r="BB384" s="375">
        <v>31512</v>
      </c>
      <c r="BC384" s="79">
        <v>3202</v>
      </c>
      <c r="BD384" s="79">
        <v>2807</v>
      </c>
      <c r="BE384" s="79">
        <v>240</v>
      </c>
      <c r="BF384" s="79">
        <v>2807</v>
      </c>
      <c r="BG384" s="79">
        <v>2807</v>
      </c>
      <c r="BH384" s="79">
        <v>2807</v>
      </c>
      <c r="BI384" s="79">
        <v>2807</v>
      </c>
      <c r="BJ384" s="79">
        <v>2807</v>
      </c>
      <c r="BK384" s="79">
        <v>2807</v>
      </c>
      <c r="BL384" s="79">
        <v>2807</v>
      </c>
      <c r="BM384" s="79">
        <v>2807</v>
      </c>
      <c r="BN384" s="79">
        <v>2807</v>
      </c>
      <c r="BO384" s="79">
        <v>31512</v>
      </c>
    </row>
    <row r="385" spans="1:67" ht="15" customHeight="1">
      <c r="A385" s="66" t="s">
        <v>2061</v>
      </c>
      <c r="B385" s="66" t="s">
        <v>2062</v>
      </c>
      <c r="C385" s="150" t="s">
        <v>1136</v>
      </c>
      <c r="D385" s="150" t="s">
        <v>1345</v>
      </c>
      <c r="E385" s="150" t="s">
        <v>1481</v>
      </c>
      <c r="F385" s="150" t="s">
        <v>1346</v>
      </c>
      <c r="G385" s="511" t="s">
        <v>389</v>
      </c>
      <c r="H385" s="392" t="s">
        <v>1855</v>
      </c>
      <c r="I385" s="343"/>
      <c r="J385" s="343"/>
      <c r="K385" s="70" t="s">
        <v>466</v>
      </c>
      <c r="L385" s="346"/>
      <c r="M385" s="346" t="s">
        <v>1140</v>
      </c>
      <c r="N385" s="346"/>
      <c r="O385" s="150" t="s">
        <v>57</v>
      </c>
      <c r="P385" s="473" t="s">
        <v>1513</v>
      </c>
      <c r="Q385" s="403"/>
      <c r="R385" s="406">
        <v>18852</v>
      </c>
      <c r="S385" s="406">
        <v>18092</v>
      </c>
      <c r="T385" s="425"/>
      <c r="U385" s="71"/>
      <c r="V385" s="426">
        <v>1206</v>
      </c>
      <c r="W385" s="427">
        <v>1139</v>
      </c>
      <c r="X385" s="427">
        <v>1608</v>
      </c>
      <c r="Y385" s="428">
        <v>1206</v>
      </c>
      <c r="Z385" s="429">
        <v>1206</v>
      </c>
      <c r="AA385" s="429">
        <v>1206</v>
      </c>
      <c r="AB385" s="363" t="e">
        <v>#N/A</v>
      </c>
      <c r="AC385" s="363">
        <v>1571</v>
      </c>
      <c r="AD385" s="363">
        <v>1571</v>
      </c>
      <c r="AE385" s="363">
        <v>1571</v>
      </c>
      <c r="AF385" s="363">
        <v>1571</v>
      </c>
      <c r="AG385" s="363">
        <v>1571</v>
      </c>
      <c r="AH385" s="360" t="e">
        <f t="shared" si="21"/>
        <v>#N/A</v>
      </c>
      <c r="AI385" s="362" t="e">
        <f>ERP[[#This Row],[2026 Working Total]]-ERP[[#This Row],[LE2 Final Submission]]</f>
        <v>#N/A</v>
      </c>
      <c r="AJ385" s="79">
        <v>1571</v>
      </c>
      <c r="AK385" s="79">
        <f t="shared" si="20"/>
        <v>-365</v>
      </c>
      <c r="AL385" s="374">
        <f>SUM(ERP[[#This Row],[AP01]:[AP06]])-SUM(ERP[[#This Row],[AP01 LE2]:[AP06 LE2]])</f>
        <v>-1095</v>
      </c>
      <c r="AM385" s="80"/>
      <c r="AN385" s="79" t="e">
        <f>ERP[[#This Row],[2026 Working Total to Budget/LE]]-ERP[[#This Row],[Giveback]]</f>
        <v>#N/A</v>
      </c>
      <c r="AO385" s="81"/>
      <c r="AP385" s="375">
        <v>1206</v>
      </c>
      <c r="AQ385" s="375">
        <v>1139</v>
      </c>
      <c r="AR385" s="375">
        <v>1608</v>
      </c>
      <c r="AS385" s="375">
        <v>1571</v>
      </c>
      <c r="AT385" s="375">
        <v>1571</v>
      </c>
      <c r="AU385" s="375">
        <v>1571</v>
      </c>
      <c r="AV385" s="375">
        <v>1571</v>
      </c>
      <c r="AW385" s="375">
        <v>1571</v>
      </c>
      <c r="AX385" s="375">
        <v>1571</v>
      </c>
      <c r="AY385" s="375">
        <v>1571</v>
      </c>
      <c r="AZ385" s="375">
        <v>1571</v>
      </c>
      <c r="BA385" s="375">
        <v>1571</v>
      </c>
      <c r="BB385" s="375">
        <v>18092</v>
      </c>
      <c r="BC385" s="79">
        <v>1206</v>
      </c>
      <c r="BD385" s="79">
        <v>1139</v>
      </c>
      <c r="BE385" s="79">
        <v>1608</v>
      </c>
      <c r="BF385" s="79">
        <v>1571</v>
      </c>
      <c r="BG385" s="79">
        <v>1571</v>
      </c>
      <c r="BH385" s="79">
        <v>1571</v>
      </c>
      <c r="BI385" s="79">
        <v>1571</v>
      </c>
      <c r="BJ385" s="79">
        <v>1571</v>
      </c>
      <c r="BK385" s="79">
        <v>1571</v>
      </c>
      <c r="BL385" s="79">
        <v>1571</v>
      </c>
      <c r="BM385" s="79">
        <v>1571</v>
      </c>
      <c r="BN385" s="79">
        <v>1571</v>
      </c>
      <c r="BO385" s="79">
        <v>18092</v>
      </c>
    </row>
    <row r="386" spans="1:67" ht="15" customHeight="1">
      <c r="A386" s="66" t="s">
        <v>2025</v>
      </c>
      <c r="B386" s="66" t="s">
        <v>2026</v>
      </c>
      <c r="C386" s="150" t="s">
        <v>1136</v>
      </c>
      <c r="D386" s="150" t="s">
        <v>1345</v>
      </c>
      <c r="E386" s="150" t="s">
        <v>1437</v>
      </c>
      <c r="F386" s="150" t="s">
        <v>1346</v>
      </c>
      <c r="G386" s="511" t="s">
        <v>389</v>
      </c>
      <c r="H386" s="392" t="s">
        <v>1855</v>
      </c>
      <c r="I386" s="343"/>
      <c r="J386" s="343"/>
      <c r="K386" s="70" t="s">
        <v>466</v>
      </c>
      <c r="L386" s="346"/>
      <c r="M386" s="346" t="s">
        <v>1140</v>
      </c>
      <c r="N386" s="346"/>
      <c r="O386" s="150" t="s">
        <v>57</v>
      </c>
      <c r="P386" s="150"/>
      <c r="Q386" s="403"/>
      <c r="R386" s="406">
        <v>22800</v>
      </c>
      <c r="S386" s="406">
        <v>20679</v>
      </c>
      <c r="T386" s="425"/>
      <c r="U386" s="71"/>
      <c r="V386" s="426">
        <v>1636</v>
      </c>
      <c r="W386" s="427">
        <v>1153</v>
      </c>
      <c r="X386" s="427">
        <v>790</v>
      </c>
      <c r="Y386" s="428">
        <v>1287</v>
      </c>
      <c r="Z386" s="429">
        <v>1227</v>
      </c>
      <c r="AA386" s="429">
        <v>1227</v>
      </c>
      <c r="AB386" s="363" t="e">
        <v>#N/A</v>
      </c>
      <c r="AC386" s="363">
        <v>1900</v>
      </c>
      <c r="AD386" s="363">
        <v>1900</v>
      </c>
      <c r="AE386" s="363">
        <v>1900</v>
      </c>
      <c r="AF386" s="363">
        <v>1900</v>
      </c>
      <c r="AG386" s="363">
        <v>1900</v>
      </c>
      <c r="AH386" s="360" t="e">
        <f t="shared" si="21"/>
        <v>#N/A</v>
      </c>
      <c r="AI386" s="362" t="e">
        <f>ERP[[#This Row],[2026 Working Total]]-ERP[[#This Row],[LE2 Final Submission]]</f>
        <v>#N/A</v>
      </c>
      <c r="AJ386" s="79">
        <v>1900</v>
      </c>
      <c r="AK386" s="79">
        <f t="shared" si="20"/>
        <v>-673</v>
      </c>
      <c r="AL386" s="374">
        <f>SUM(ERP[[#This Row],[AP01]:[AP06]])-SUM(ERP[[#This Row],[AP01 LE2]:[AP06 LE2]])</f>
        <v>-1959</v>
      </c>
      <c r="AM386" s="80"/>
      <c r="AN386" s="79" t="e">
        <f>ERP[[#This Row],[2026 Working Total to Budget/LE]]-ERP[[#This Row],[Giveback]]</f>
        <v>#N/A</v>
      </c>
      <c r="AO386" s="81"/>
      <c r="AP386" s="375">
        <v>1636</v>
      </c>
      <c r="AQ386" s="375">
        <v>1153</v>
      </c>
      <c r="AR386" s="375">
        <v>790</v>
      </c>
      <c r="AS386" s="375">
        <v>1900</v>
      </c>
      <c r="AT386" s="375">
        <v>1900</v>
      </c>
      <c r="AU386" s="375">
        <v>1900</v>
      </c>
      <c r="AV386" s="375">
        <v>1900</v>
      </c>
      <c r="AW386" s="375">
        <v>1900</v>
      </c>
      <c r="AX386" s="375">
        <v>1900</v>
      </c>
      <c r="AY386" s="375">
        <v>1900</v>
      </c>
      <c r="AZ386" s="375">
        <v>1900</v>
      </c>
      <c r="BA386" s="375">
        <v>1900</v>
      </c>
      <c r="BB386" s="375">
        <v>20679</v>
      </c>
      <c r="BC386" s="79">
        <v>1636</v>
      </c>
      <c r="BD386" s="79">
        <v>1153</v>
      </c>
      <c r="BE386" s="79">
        <v>790</v>
      </c>
      <c r="BF386" s="79">
        <v>1900</v>
      </c>
      <c r="BG386" s="79">
        <v>1900</v>
      </c>
      <c r="BH386" s="79">
        <v>1900</v>
      </c>
      <c r="BI386" s="79">
        <v>1900</v>
      </c>
      <c r="BJ386" s="79">
        <v>1900</v>
      </c>
      <c r="BK386" s="79">
        <v>1900</v>
      </c>
      <c r="BL386" s="79">
        <v>1900</v>
      </c>
      <c r="BM386" s="79">
        <v>1900</v>
      </c>
      <c r="BN386" s="79">
        <v>1900</v>
      </c>
      <c r="BO386" s="79">
        <v>20679</v>
      </c>
    </row>
    <row r="387" spans="1:67" ht="15" customHeight="1">
      <c r="A387" s="150" t="s">
        <v>2748</v>
      </c>
      <c r="B387" s="296" t="s">
        <v>985</v>
      </c>
      <c r="C387" s="150" t="s">
        <v>1136</v>
      </c>
      <c r="D387" s="150" t="s">
        <v>1345</v>
      </c>
      <c r="E387" s="332" t="s">
        <v>1515</v>
      </c>
      <c r="F387" s="333" t="s">
        <v>1515</v>
      </c>
      <c r="G387" s="514" t="s">
        <v>639</v>
      </c>
      <c r="H387" s="394" t="s">
        <v>2749</v>
      </c>
      <c r="I387" s="333"/>
      <c r="J387" s="332" t="s">
        <v>2750</v>
      </c>
      <c r="K387" s="90" t="s">
        <v>679</v>
      </c>
      <c r="L387" s="347"/>
      <c r="M387" s="347"/>
      <c r="N387" s="348"/>
      <c r="O387" s="348"/>
      <c r="P387" s="348"/>
      <c r="Q387" s="402"/>
      <c r="R387" s="406"/>
      <c r="S387" s="406"/>
      <c r="T387" s="425"/>
      <c r="U387" s="71"/>
      <c r="V387" s="435"/>
      <c r="W387" s="436"/>
      <c r="X387" s="436"/>
      <c r="Y387" s="429"/>
      <c r="Z387" s="429">
        <v>417.44</v>
      </c>
      <c r="AA387" s="429">
        <v>0</v>
      </c>
      <c r="AB387" s="363" t="e">
        <v>#N/A</v>
      </c>
      <c r="AC387" s="364"/>
      <c r="AD387" s="364"/>
      <c r="AE387" s="364"/>
      <c r="AF387" s="364"/>
      <c r="AG387" s="364"/>
      <c r="AH387" s="360" t="e">
        <f t="shared" si="21"/>
        <v>#N/A</v>
      </c>
      <c r="AI387" s="362" t="e">
        <f>ERP[[#This Row],[2026 Working Total]]-ERP[[#This Row],[LE2 Final Submission]]</f>
        <v>#N/A</v>
      </c>
      <c r="AJ387" s="79"/>
      <c r="AK387" s="79">
        <f t="shared" si="20"/>
        <v>0</v>
      </c>
      <c r="AL387" s="374">
        <f>SUM(ERP[[#This Row],[AP01]:[AP06]])-SUM(ERP[[#This Row],[AP01 LE2]:[AP06 LE2]])</f>
        <v>417.44</v>
      </c>
      <c r="AM387" s="80"/>
      <c r="AN387" s="79" t="e">
        <f>ERP[[#This Row],[2026 Working Total to Budget/LE]]-ERP[[#This Row],[Giveback]]</f>
        <v>#N/A</v>
      </c>
      <c r="AO387" s="81"/>
      <c r="AP387" s="375"/>
      <c r="AQ387" s="375"/>
      <c r="AR387" s="375"/>
      <c r="AS387" s="375"/>
      <c r="AT387" s="375"/>
      <c r="AU387" s="375"/>
      <c r="AV387" s="375"/>
      <c r="AW387" s="375"/>
      <c r="AX387" s="375"/>
      <c r="AY387" s="375"/>
      <c r="AZ387" s="375"/>
      <c r="BA387" s="375"/>
      <c r="BB387" s="375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</row>
    <row r="388" spans="1:67" ht="15" customHeight="1">
      <c r="A388" s="66" t="s">
        <v>2788</v>
      </c>
      <c r="B388" s="66" t="s">
        <v>2789</v>
      </c>
      <c r="C388" s="150" t="s">
        <v>1136</v>
      </c>
      <c r="D388" s="150" t="s">
        <v>1345</v>
      </c>
      <c r="E388" s="150" t="s">
        <v>1346</v>
      </c>
      <c r="F388" s="150" t="s">
        <v>1346</v>
      </c>
      <c r="G388" s="511" t="s">
        <v>639</v>
      </c>
      <c r="H388" s="392" t="s">
        <v>2291</v>
      </c>
      <c r="I388" s="343"/>
      <c r="J388" s="343"/>
      <c r="K388" s="70" t="s">
        <v>679</v>
      </c>
      <c r="L388" s="346"/>
      <c r="M388" s="346" t="s">
        <v>1140</v>
      </c>
      <c r="N388" s="346"/>
      <c r="O388" s="150" t="s">
        <v>680</v>
      </c>
      <c r="P388" s="150"/>
      <c r="Q388" s="403"/>
      <c r="R388" s="406">
        <v>36000</v>
      </c>
      <c r="S388" s="406">
        <v>46414.39</v>
      </c>
      <c r="T388" s="430"/>
      <c r="U388" s="137"/>
      <c r="V388" s="426">
        <v>6465</v>
      </c>
      <c r="W388" s="427">
        <v>5197.6400000000003</v>
      </c>
      <c r="X388" s="427">
        <v>7751.75</v>
      </c>
      <c r="Y388" s="428">
        <v>17671</v>
      </c>
      <c r="Z388" s="429">
        <v>9482</v>
      </c>
      <c r="AA388" s="429">
        <v>14223</v>
      </c>
      <c r="AB388" s="363" t="e">
        <v>#N/A</v>
      </c>
      <c r="AC388" s="363">
        <v>3000</v>
      </c>
      <c r="AD388" s="363">
        <v>3000</v>
      </c>
      <c r="AE388" s="363">
        <v>3000</v>
      </c>
      <c r="AF388" s="363">
        <v>3000</v>
      </c>
      <c r="AG388" s="363">
        <v>3000</v>
      </c>
      <c r="AH388" s="360" t="e">
        <f t="shared" si="21"/>
        <v>#N/A</v>
      </c>
      <c r="AI388" s="362" t="e">
        <f>ERP[[#This Row],[2026 Working Total]]-ERP[[#This Row],[LE2 Final Submission]]</f>
        <v>#N/A</v>
      </c>
      <c r="AJ388" s="79">
        <v>3000</v>
      </c>
      <c r="AK388" s="79">
        <f t="shared" si="20"/>
        <v>11223</v>
      </c>
      <c r="AL388" s="374">
        <f>SUM(ERP[[#This Row],[AP01]:[AP06]])-SUM(ERP[[#This Row],[AP01 LE2]:[AP06 LE2]])</f>
        <v>32376</v>
      </c>
      <c r="AM388" s="80"/>
      <c r="AN388" s="79" t="e">
        <f>ERP[[#This Row],[2026 Working Total to Budget/LE]]-ERP[[#This Row],[Giveback]]</f>
        <v>#N/A</v>
      </c>
      <c r="AO388" s="81"/>
      <c r="AP388" s="375">
        <v>6465</v>
      </c>
      <c r="AQ388" s="375">
        <v>5197.6400000000003</v>
      </c>
      <c r="AR388" s="375">
        <v>7751.75</v>
      </c>
      <c r="AS388" s="375">
        <v>3000</v>
      </c>
      <c r="AT388" s="375">
        <v>3000</v>
      </c>
      <c r="AU388" s="375">
        <v>3000</v>
      </c>
      <c r="AV388" s="375">
        <v>3000</v>
      </c>
      <c r="AW388" s="375">
        <v>3000</v>
      </c>
      <c r="AX388" s="375">
        <v>3000</v>
      </c>
      <c r="AY388" s="375">
        <v>3000</v>
      </c>
      <c r="AZ388" s="375">
        <v>3000</v>
      </c>
      <c r="BA388" s="375">
        <v>3000</v>
      </c>
      <c r="BB388" s="375">
        <v>46414.39</v>
      </c>
      <c r="BC388" s="79">
        <v>6465</v>
      </c>
      <c r="BD388" s="79">
        <v>5197.6400000000003</v>
      </c>
      <c r="BE388" s="79">
        <v>7751.75</v>
      </c>
      <c r="BF388" s="79">
        <v>3000</v>
      </c>
      <c r="BG388" s="79">
        <v>3000</v>
      </c>
      <c r="BH388" s="79">
        <v>3000</v>
      </c>
      <c r="BI388" s="79">
        <v>3000</v>
      </c>
      <c r="BJ388" s="79">
        <v>3000</v>
      </c>
      <c r="BK388" s="79">
        <v>3000</v>
      </c>
      <c r="BL388" s="79">
        <v>3000</v>
      </c>
      <c r="BM388" s="79">
        <v>3000</v>
      </c>
      <c r="BN388" s="79">
        <v>3000</v>
      </c>
      <c r="BO388" s="79">
        <v>46414.39</v>
      </c>
    </row>
    <row r="389" spans="1:67" ht="15" customHeight="1">
      <c r="A389" s="66" t="s">
        <v>1908</v>
      </c>
      <c r="B389" s="66" t="s">
        <v>1909</v>
      </c>
      <c r="C389" s="150" t="s">
        <v>1136</v>
      </c>
      <c r="D389" s="150" t="s">
        <v>1135</v>
      </c>
      <c r="E389" s="150" t="s">
        <v>1156</v>
      </c>
      <c r="F389" s="150" t="s">
        <v>1137</v>
      </c>
      <c r="G389" s="511" t="s">
        <v>389</v>
      </c>
      <c r="H389" s="392" t="s">
        <v>1855</v>
      </c>
      <c r="I389" s="343"/>
      <c r="J389" s="343"/>
      <c r="K389" s="70" t="s">
        <v>466</v>
      </c>
      <c r="L389" s="346"/>
      <c r="M389" s="346" t="s">
        <v>1140</v>
      </c>
      <c r="N389" s="346"/>
      <c r="O389" s="150" t="s">
        <v>57</v>
      </c>
      <c r="P389" s="150"/>
      <c r="Q389" s="403"/>
      <c r="R389" s="406">
        <v>0</v>
      </c>
      <c r="S389" s="406">
        <v>3535</v>
      </c>
      <c r="T389" s="425"/>
      <c r="U389" s="71"/>
      <c r="V389" s="426">
        <v>60</v>
      </c>
      <c r="W389" s="431">
        <v>0</v>
      </c>
      <c r="X389" s="427">
        <v>3475</v>
      </c>
      <c r="Y389" s="428">
        <v>0</v>
      </c>
      <c r="Z389" s="429">
        <v>0</v>
      </c>
      <c r="AA389" s="429">
        <v>0</v>
      </c>
      <c r="AB389" s="363" t="e">
        <v>#N/A</v>
      </c>
      <c r="AC389" s="360">
        <v>0</v>
      </c>
      <c r="AD389" s="360">
        <v>0</v>
      </c>
      <c r="AE389" s="360">
        <v>0</v>
      </c>
      <c r="AF389" s="360">
        <v>0</v>
      </c>
      <c r="AG389" s="360">
        <v>0</v>
      </c>
      <c r="AH389" s="360" t="e">
        <f t="shared" si="21"/>
        <v>#N/A</v>
      </c>
      <c r="AI389" s="362" t="e">
        <f>ERP[[#This Row],[2026 Working Total]]-ERP[[#This Row],[LE2 Final Submission]]</f>
        <v>#N/A</v>
      </c>
      <c r="AJ389" s="79">
        <v>0</v>
      </c>
      <c r="AK389" s="79">
        <f t="shared" si="20"/>
        <v>0</v>
      </c>
      <c r="AL389" s="374">
        <f>SUM(ERP[[#This Row],[AP01]:[AP06]])-SUM(ERP[[#This Row],[AP01 LE2]:[AP06 LE2]])</f>
        <v>0</v>
      </c>
      <c r="AM389" s="80"/>
      <c r="AN389" s="79" t="e">
        <f>ERP[[#This Row],[2026 Working Total to Budget/LE]]-ERP[[#This Row],[Giveback]]</f>
        <v>#N/A</v>
      </c>
      <c r="AO389" s="81"/>
      <c r="AP389" s="375">
        <v>60</v>
      </c>
      <c r="AQ389" s="375">
        <v>0</v>
      </c>
      <c r="AR389" s="375">
        <v>3475</v>
      </c>
      <c r="AS389" s="375">
        <v>0</v>
      </c>
      <c r="AT389" s="375">
        <v>0</v>
      </c>
      <c r="AU389" s="375">
        <v>0</v>
      </c>
      <c r="AV389" s="375">
        <v>0</v>
      </c>
      <c r="AW389" s="375">
        <v>0</v>
      </c>
      <c r="AX389" s="375">
        <v>0</v>
      </c>
      <c r="AY389" s="375">
        <v>0</v>
      </c>
      <c r="AZ389" s="375">
        <v>0</v>
      </c>
      <c r="BA389" s="375">
        <v>0</v>
      </c>
      <c r="BB389" s="375">
        <v>3535</v>
      </c>
      <c r="BC389" s="79">
        <v>60</v>
      </c>
      <c r="BD389" s="79">
        <v>0</v>
      </c>
      <c r="BE389" s="79">
        <v>3475</v>
      </c>
      <c r="BF389" s="79">
        <v>0</v>
      </c>
      <c r="BG389" s="79">
        <v>0</v>
      </c>
      <c r="BH389" s="79">
        <v>0</v>
      </c>
      <c r="BI389" s="79">
        <v>0</v>
      </c>
      <c r="BJ389" s="79">
        <v>0</v>
      </c>
      <c r="BK389" s="79">
        <v>0</v>
      </c>
      <c r="BL389" s="79">
        <v>0</v>
      </c>
      <c r="BM389" s="79">
        <v>0</v>
      </c>
      <c r="BN389" s="79">
        <v>0</v>
      </c>
      <c r="BO389" s="79">
        <v>3535</v>
      </c>
    </row>
    <row r="390" spans="1:67" ht="15" customHeight="1">
      <c r="A390" s="66" t="s">
        <v>2615</v>
      </c>
      <c r="B390" s="66" t="s">
        <v>907</v>
      </c>
      <c r="C390" s="150" t="s">
        <v>1136</v>
      </c>
      <c r="D390" s="150" t="s">
        <v>1345</v>
      </c>
      <c r="E390" s="150" t="s">
        <v>1344</v>
      </c>
      <c r="F390" s="150" t="s">
        <v>1346</v>
      </c>
      <c r="G390" s="511" t="s">
        <v>639</v>
      </c>
      <c r="H390" s="392" t="s">
        <v>2291</v>
      </c>
      <c r="I390" s="343"/>
      <c r="J390" s="343"/>
      <c r="K390" s="70" t="s">
        <v>679</v>
      </c>
      <c r="L390" s="346"/>
      <c r="M390" s="346" t="s">
        <v>1140</v>
      </c>
      <c r="N390" s="346"/>
      <c r="O390" s="150" t="s">
        <v>680</v>
      </c>
      <c r="P390" s="150"/>
      <c r="Q390" s="403"/>
      <c r="R390" s="406">
        <v>6000</v>
      </c>
      <c r="S390" s="406">
        <v>4931</v>
      </c>
      <c r="T390" s="425"/>
      <c r="U390" s="71"/>
      <c r="V390" s="426">
        <v>431</v>
      </c>
      <c r="W390" s="431">
        <v>0</v>
      </c>
      <c r="X390" s="431">
        <v>0</v>
      </c>
      <c r="Y390" s="428">
        <v>0</v>
      </c>
      <c r="Z390" s="429">
        <v>0</v>
      </c>
      <c r="AA390" s="429">
        <v>431</v>
      </c>
      <c r="AB390" s="363" t="e">
        <v>#N/A</v>
      </c>
      <c r="AC390" s="363">
        <v>500</v>
      </c>
      <c r="AD390" s="363">
        <v>500</v>
      </c>
      <c r="AE390" s="363">
        <v>500</v>
      </c>
      <c r="AF390" s="363">
        <v>500</v>
      </c>
      <c r="AG390" s="363">
        <v>500</v>
      </c>
      <c r="AH390" s="360" t="e">
        <f t="shared" si="21"/>
        <v>#N/A</v>
      </c>
      <c r="AI390" s="362" t="e">
        <f>ERP[[#This Row],[2026 Working Total]]-ERP[[#This Row],[LE2 Final Submission]]</f>
        <v>#N/A</v>
      </c>
      <c r="AJ390" s="79">
        <v>500</v>
      </c>
      <c r="AK390" s="79">
        <f t="shared" si="20"/>
        <v>-69</v>
      </c>
      <c r="AL390" s="374">
        <f>SUM(ERP[[#This Row],[AP01]:[AP06]])-SUM(ERP[[#This Row],[AP01 LE2]:[AP06 LE2]])</f>
        <v>-1069</v>
      </c>
      <c r="AM390" s="80"/>
      <c r="AN390" s="79" t="e">
        <f>ERP[[#This Row],[2026 Working Total to Budget/LE]]-ERP[[#This Row],[Giveback]]</f>
        <v>#N/A</v>
      </c>
      <c r="AO390" s="81"/>
      <c r="AP390" s="375">
        <v>431</v>
      </c>
      <c r="AQ390" s="375">
        <v>0</v>
      </c>
      <c r="AR390" s="375">
        <v>0</v>
      </c>
      <c r="AS390" s="375">
        <v>500</v>
      </c>
      <c r="AT390" s="375">
        <v>500</v>
      </c>
      <c r="AU390" s="375">
        <v>500</v>
      </c>
      <c r="AV390" s="375">
        <v>500</v>
      </c>
      <c r="AW390" s="375">
        <v>500</v>
      </c>
      <c r="AX390" s="375">
        <v>500</v>
      </c>
      <c r="AY390" s="375">
        <v>500</v>
      </c>
      <c r="AZ390" s="375">
        <v>500</v>
      </c>
      <c r="BA390" s="375">
        <v>500</v>
      </c>
      <c r="BB390" s="375">
        <v>4931</v>
      </c>
      <c r="BC390" s="79">
        <v>431</v>
      </c>
      <c r="BD390" s="79">
        <v>0</v>
      </c>
      <c r="BE390" s="79">
        <v>0</v>
      </c>
      <c r="BF390" s="79">
        <v>500</v>
      </c>
      <c r="BG390" s="79">
        <v>500</v>
      </c>
      <c r="BH390" s="79">
        <v>500</v>
      </c>
      <c r="BI390" s="79">
        <v>500</v>
      </c>
      <c r="BJ390" s="79">
        <v>500</v>
      </c>
      <c r="BK390" s="79">
        <v>500</v>
      </c>
      <c r="BL390" s="79">
        <v>500</v>
      </c>
      <c r="BM390" s="79">
        <v>500</v>
      </c>
      <c r="BN390" s="79">
        <v>500</v>
      </c>
      <c r="BO390" s="79">
        <v>4931</v>
      </c>
    </row>
    <row r="391" spans="1:67" ht="15" customHeight="1">
      <c r="A391" s="66" t="s">
        <v>2718</v>
      </c>
      <c r="B391" s="66" t="s">
        <v>968</v>
      </c>
      <c r="C391" s="150" t="s">
        <v>1136</v>
      </c>
      <c r="D391" s="150" t="s">
        <v>1345</v>
      </c>
      <c r="E391" s="150" t="s">
        <v>1480</v>
      </c>
      <c r="F391" s="150" t="s">
        <v>1346</v>
      </c>
      <c r="G391" s="511" t="s">
        <v>639</v>
      </c>
      <c r="H391" s="392" t="s">
        <v>2291</v>
      </c>
      <c r="I391" s="343"/>
      <c r="J391" s="343"/>
      <c r="K391" s="70" t="s">
        <v>679</v>
      </c>
      <c r="L391" s="346"/>
      <c r="M391" s="346" t="s">
        <v>1140</v>
      </c>
      <c r="N391" s="346"/>
      <c r="O391" s="150" t="s">
        <v>680</v>
      </c>
      <c r="P391" s="150"/>
      <c r="Q391" s="403"/>
      <c r="R391" s="406">
        <v>370</v>
      </c>
      <c r="S391" s="406">
        <v>370</v>
      </c>
      <c r="T391" s="425"/>
      <c r="U391" s="71"/>
      <c r="V391" s="426"/>
      <c r="W391" s="427"/>
      <c r="X391" s="427"/>
      <c r="Y391" s="428" t="s">
        <v>1142</v>
      </c>
      <c r="Z391" s="429">
        <v>0</v>
      </c>
      <c r="AA391" s="429">
        <v>0</v>
      </c>
      <c r="AB391" s="363" t="e">
        <v>#N/A</v>
      </c>
      <c r="AC391" s="360">
        <v>0</v>
      </c>
      <c r="AD391" s="360">
        <v>0</v>
      </c>
      <c r="AE391" s="360">
        <v>0</v>
      </c>
      <c r="AF391" s="360">
        <v>0</v>
      </c>
      <c r="AG391" s="360">
        <v>0</v>
      </c>
      <c r="AH391" s="360" t="e">
        <f t="shared" si="21"/>
        <v>#N/A</v>
      </c>
      <c r="AI391" s="362" t="e">
        <f>ERP[[#This Row],[2026 Working Total]]-ERP[[#This Row],[LE2 Final Submission]]</f>
        <v>#N/A</v>
      </c>
      <c r="AJ391" s="79">
        <v>0</v>
      </c>
      <c r="AK391" s="79">
        <f t="shared" si="20"/>
        <v>0</v>
      </c>
      <c r="AL391" s="374">
        <f>SUM(ERP[[#This Row],[AP01]:[AP06]])-SUM(ERP[[#This Row],[AP01 LE2]:[AP06 LE2]])</f>
        <v>-370</v>
      </c>
      <c r="AM391" s="80"/>
      <c r="AN391" s="79" t="e">
        <f>ERP[[#This Row],[2026 Working Total to Budget/LE]]-ERP[[#This Row],[Giveback]]</f>
        <v>#N/A</v>
      </c>
      <c r="AO391" s="81"/>
      <c r="AP391" s="375"/>
      <c r="AQ391" s="375"/>
      <c r="AR391" s="375"/>
      <c r="AS391" s="375">
        <v>370</v>
      </c>
      <c r="AT391" s="375">
        <v>0</v>
      </c>
      <c r="AU391" s="375">
        <v>0</v>
      </c>
      <c r="AV391" s="375">
        <v>0</v>
      </c>
      <c r="AW391" s="375">
        <v>0</v>
      </c>
      <c r="AX391" s="375">
        <v>0</v>
      </c>
      <c r="AY391" s="375">
        <v>0</v>
      </c>
      <c r="AZ391" s="375">
        <v>0</v>
      </c>
      <c r="BA391" s="375">
        <v>0</v>
      </c>
      <c r="BB391" s="375">
        <v>370</v>
      </c>
      <c r="BC391" s="79"/>
      <c r="BD391" s="79"/>
      <c r="BE391" s="79"/>
      <c r="BF391" s="79">
        <v>370</v>
      </c>
      <c r="BG391" s="79">
        <v>0</v>
      </c>
      <c r="BH391" s="79">
        <v>0</v>
      </c>
      <c r="BI391" s="79">
        <v>0</v>
      </c>
      <c r="BJ391" s="79">
        <v>0</v>
      </c>
      <c r="BK391" s="79">
        <v>0</v>
      </c>
      <c r="BL391" s="79">
        <v>0</v>
      </c>
      <c r="BM391" s="79">
        <v>0</v>
      </c>
      <c r="BN391" s="79">
        <v>0</v>
      </c>
      <c r="BO391" s="79">
        <v>370</v>
      </c>
    </row>
    <row r="392" spans="1:67" ht="15" customHeight="1">
      <c r="A392" s="66" t="s">
        <v>1910</v>
      </c>
      <c r="B392" s="66" t="s">
        <v>1911</v>
      </c>
      <c r="C392" s="150" t="s">
        <v>1136</v>
      </c>
      <c r="D392" s="150" t="s">
        <v>1135</v>
      </c>
      <c r="E392" s="150" t="s">
        <v>1161</v>
      </c>
      <c r="F392" s="150" t="s">
        <v>1137</v>
      </c>
      <c r="G392" s="511" t="s">
        <v>389</v>
      </c>
      <c r="H392" s="392" t="s">
        <v>1855</v>
      </c>
      <c r="I392" s="343"/>
      <c r="J392" s="343"/>
      <c r="K392" s="70" t="s">
        <v>466</v>
      </c>
      <c r="L392" s="346"/>
      <c r="M392" s="346" t="s">
        <v>1140</v>
      </c>
      <c r="N392" s="346"/>
      <c r="O392" s="150" t="s">
        <v>57</v>
      </c>
      <c r="P392" s="150"/>
      <c r="Q392" s="403"/>
      <c r="R392" s="406">
        <v>0</v>
      </c>
      <c r="S392" s="406">
        <v>1245</v>
      </c>
      <c r="T392" s="425"/>
      <c r="U392" s="71"/>
      <c r="V392" s="426"/>
      <c r="W392" s="427"/>
      <c r="X392" s="427">
        <v>1245</v>
      </c>
      <c r="Y392" s="428">
        <v>0</v>
      </c>
      <c r="Z392" s="429">
        <v>0</v>
      </c>
      <c r="AA392" s="429">
        <v>0</v>
      </c>
      <c r="AB392" s="363" t="e">
        <v>#N/A</v>
      </c>
      <c r="AC392" s="360">
        <v>0</v>
      </c>
      <c r="AD392" s="360">
        <v>0</v>
      </c>
      <c r="AE392" s="360">
        <v>0</v>
      </c>
      <c r="AF392" s="360">
        <v>0</v>
      </c>
      <c r="AG392" s="360">
        <v>0</v>
      </c>
      <c r="AH392" s="360" t="e">
        <f t="shared" si="21"/>
        <v>#N/A</v>
      </c>
      <c r="AI392" s="362" t="e">
        <f>ERP[[#This Row],[2026 Working Total]]-ERP[[#This Row],[LE2 Final Submission]]</f>
        <v>#N/A</v>
      </c>
      <c r="AJ392" s="79">
        <v>0</v>
      </c>
      <c r="AK392" s="79">
        <f t="shared" ref="AK392:AK455" si="22">$AA392 - $AJ392</f>
        <v>0</v>
      </c>
      <c r="AL392" s="374">
        <f>SUM(ERP[[#This Row],[AP01]:[AP06]])-SUM(ERP[[#This Row],[AP01 LE2]:[AP06 LE2]])</f>
        <v>0</v>
      </c>
      <c r="AM392" s="80"/>
      <c r="AN392" s="79" t="e">
        <f>ERP[[#This Row],[2026 Working Total to Budget/LE]]-ERP[[#This Row],[Giveback]]</f>
        <v>#N/A</v>
      </c>
      <c r="AO392" s="81"/>
      <c r="AP392" s="375"/>
      <c r="AQ392" s="375"/>
      <c r="AR392" s="375">
        <v>1245</v>
      </c>
      <c r="AS392" s="375">
        <v>0</v>
      </c>
      <c r="AT392" s="375">
        <v>0</v>
      </c>
      <c r="AU392" s="375">
        <v>0</v>
      </c>
      <c r="AV392" s="375">
        <v>0</v>
      </c>
      <c r="AW392" s="375">
        <v>0</v>
      </c>
      <c r="AX392" s="375">
        <v>0</v>
      </c>
      <c r="AY392" s="375">
        <v>0</v>
      </c>
      <c r="AZ392" s="375">
        <v>0</v>
      </c>
      <c r="BA392" s="375">
        <v>0</v>
      </c>
      <c r="BB392" s="375">
        <v>1245</v>
      </c>
      <c r="BC392" s="79"/>
      <c r="BD392" s="79"/>
      <c r="BE392" s="79">
        <v>1245</v>
      </c>
      <c r="BF392" s="79">
        <v>0</v>
      </c>
      <c r="BG392" s="79">
        <v>0</v>
      </c>
      <c r="BH392" s="79">
        <v>0</v>
      </c>
      <c r="BI392" s="79">
        <v>0</v>
      </c>
      <c r="BJ392" s="79">
        <v>0</v>
      </c>
      <c r="BK392" s="79">
        <v>0</v>
      </c>
      <c r="BL392" s="79">
        <v>0</v>
      </c>
      <c r="BM392" s="79">
        <v>0</v>
      </c>
      <c r="BN392" s="79">
        <v>0</v>
      </c>
      <c r="BO392" s="79">
        <v>1245</v>
      </c>
    </row>
    <row r="393" spans="1:67" ht="15" customHeight="1">
      <c r="A393" s="66" t="s">
        <v>1912</v>
      </c>
      <c r="B393" s="66" t="s">
        <v>1913</v>
      </c>
      <c r="C393" s="150" t="s">
        <v>1136</v>
      </c>
      <c r="D393" s="150" t="s">
        <v>1135</v>
      </c>
      <c r="E393" s="150" t="s">
        <v>1165</v>
      </c>
      <c r="F393" s="150" t="s">
        <v>1137</v>
      </c>
      <c r="G393" s="511" t="s">
        <v>389</v>
      </c>
      <c r="H393" s="392" t="s">
        <v>1855</v>
      </c>
      <c r="I393" s="343"/>
      <c r="J393" s="343"/>
      <c r="K393" s="70" t="s">
        <v>466</v>
      </c>
      <c r="L393" s="346"/>
      <c r="M393" s="346" t="s">
        <v>1140</v>
      </c>
      <c r="N393" s="346"/>
      <c r="O393" s="150" t="s">
        <v>57</v>
      </c>
      <c r="P393" s="150"/>
      <c r="Q393" s="403"/>
      <c r="R393" s="406">
        <v>120000</v>
      </c>
      <c r="S393" s="406">
        <v>114396</v>
      </c>
      <c r="T393" s="425"/>
      <c r="U393" s="71"/>
      <c r="V393" s="426">
        <v>8661</v>
      </c>
      <c r="W393" s="427">
        <v>6471</v>
      </c>
      <c r="X393" s="427">
        <v>9264</v>
      </c>
      <c r="Y393" s="428">
        <v>5219</v>
      </c>
      <c r="Z393" s="429">
        <v>5092</v>
      </c>
      <c r="AA393" s="429">
        <v>6559</v>
      </c>
      <c r="AB393" s="363" t="e">
        <v>#N/A</v>
      </c>
      <c r="AC393" s="363">
        <v>10000</v>
      </c>
      <c r="AD393" s="363">
        <v>10000</v>
      </c>
      <c r="AE393" s="363">
        <v>10000</v>
      </c>
      <c r="AF393" s="363">
        <v>10000</v>
      </c>
      <c r="AG393" s="363">
        <v>10000</v>
      </c>
      <c r="AH393" s="360" t="e">
        <f t="shared" si="21"/>
        <v>#N/A</v>
      </c>
      <c r="AI393" s="362" t="e">
        <f>ERP[[#This Row],[2026 Working Total]]-ERP[[#This Row],[LE2 Final Submission]]</f>
        <v>#N/A</v>
      </c>
      <c r="AJ393" s="79">
        <v>10000</v>
      </c>
      <c r="AK393" s="79">
        <f t="shared" si="22"/>
        <v>-3441</v>
      </c>
      <c r="AL393" s="374">
        <f>SUM(ERP[[#This Row],[AP01]:[AP06]])-SUM(ERP[[#This Row],[AP01 LE2]:[AP06 LE2]])</f>
        <v>-13130</v>
      </c>
      <c r="AM393" s="80"/>
      <c r="AN393" s="79" t="e">
        <f>ERP[[#This Row],[2026 Working Total to Budget/LE]]-ERP[[#This Row],[Giveback]]</f>
        <v>#N/A</v>
      </c>
      <c r="AO393" s="81"/>
      <c r="AP393" s="375">
        <v>8661</v>
      </c>
      <c r="AQ393" s="375">
        <v>6471</v>
      </c>
      <c r="AR393" s="375">
        <v>9264</v>
      </c>
      <c r="AS393" s="375">
        <v>10000</v>
      </c>
      <c r="AT393" s="375">
        <v>10000</v>
      </c>
      <c r="AU393" s="375">
        <v>10000</v>
      </c>
      <c r="AV393" s="375">
        <v>10000</v>
      </c>
      <c r="AW393" s="375">
        <v>10000</v>
      </c>
      <c r="AX393" s="375">
        <v>10000</v>
      </c>
      <c r="AY393" s="375">
        <v>10000</v>
      </c>
      <c r="AZ393" s="375">
        <v>10000</v>
      </c>
      <c r="BA393" s="375">
        <v>10000</v>
      </c>
      <c r="BB393" s="375">
        <v>114396</v>
      </c>
      <c r="BC393" s="79">
        <v>8661</v>
      </c>
      <c r="BD393" s="79">
        <v>6471</v>
      </c>
      <c r="BE393" s="79">
        <v>9264</v>
      </c>
      <c r="BF393" s="79">
        <v>10000</v>
      </c>
      <c r="BG393" s="79">
        <v>10000</v>
      </c>
      <c r="BH393" s="79">
        <v>10000</v>
      </c>
      <c r="BI393" s="79">
        <v>10000</v>
      </c>
      <c r="BJ393" s="79">
        <v>10000</v>
      </c>
      <c r="BK393" s="79">
        <v>10000</v>
      </c>
      <c r="BL393" s="79">
        <v>10000</v>
      </c>
      <c r="BM393" s="79">
        <v>10000</v>
      </c>
      <c r="BN393" s="79">
        <v>10000</v>
      </c>
      <c r="BO393" s="79">
        <v>114396</v>
      </c>
    </row>
    <row r="394" spans="1:67" ht="15" customHeight="1">
      <c r="A394" s="66" t="s">
        <v>2790</v>
      </c>
      <c r="B394" s="66" t="s">
        <v>2791</v>
      </c>
      <c r="C394" s="150" t="s">
        <v>1136</v>
      </c>
      <c r="D394" s="150" t="s">
        <v>1567</v>
      </c>
      <c r="E394" s="150" t="s">
        <v>1567</v>
      </c>
      <c r="F394" s="150" t="s">
        <v>1567</v>
      </c>
      <c r="G394" s="511" t="s">
        <v>639</v>
      </c>
      <c r="H394" s="392" t="s">
        <v>2291</v>
      </c>
      <c r="I394" s="343"/>
      <c r="J394" s="343"/>
      <c r="K394" s="70" t="s">
        <v>679</v>
      </c>
      <c r="L394" s="346"/>
      <c r="M394" s="346" t="s">
        <v>1140</v>
      </c>
      <c r="N394" s="346"/>
      <c r="O394" s="150" t="s">
        <v>680</v>
      </c>
      <c r="P394" s="150"/>
      <c r="Q394" s="403"/>
      <c r="R394" s="406">
        <v>0</v>
      </c>
      <c r="S394" s="406">
        <v>2155</v>
      </c>
      <c r="T394" s="425"/>
      <c r="U394" s="71"/>
      <c r="V394" s="426"/>
      <c r="W394" s="427"/>
      <c r="X394" s="427">
        <v>2155</v>
      </c>
      <c r="Y394" s="428">
        <v>0</v>
      </c>
      <c r="Z394" s="429">
        <v>0</v>
      </c>
      <c r="AA394" s="429">
        <v>0</v>
      </c>
      <c r="AB394" s="363" t="e">
        <v>#N/A</v>
      </c>
      <c r="AC394" s="360">
        <v>0</v>
      </c>
      <c r="AD394" s="360">
        <v>0</v>
      </c>
      <c r="AE394" s="360">
        <v>0</v>
      </c>
      <c r="AF394" s="360">
        <v>0</v>
      </c>
      <c r="AG394" s="360">
        <v>0</v>
      </c>
      <c r="AH394" s="360" t="e">
        <f t="shared" si="21"/>
        <v>#N/A</v>
      </c>
      <c r="AI394" s="362" t="e">
        <f>ERP[[#This Row],[2026 Working Total]]-ERP[[#This Row],[LE2 Final Submission]]</f>
        <v>#N/A</v>
      </c>
      <c r="AJ394" s="79">
        <v>0</v>
      </c>
      <c r="AK394" s="79">
        <f t="shared" si="22"/>
        <v>0</v>
      </c>
      <c r="AL394" s="374">
        <f>SUM(ERP[[#This Row],[AP01]:[AP06]])-SUM(ERP[[#This Row],[AP01 LE2]:[AP06 LE2]])</f>
        <v>0</v>
      </c>
      <c r="AM394" s="80"/>
      <c r="AN394" s="79" t="e">
        <f>ERP[[#This Row],[2026 Working Total to Budget/LE]]-ERP[[#This Row],[Giveback]]</f>
        <v>#N/A</v>
      </c>
      <c r="AO394" s="81"/>
      <c r="AP394" s="375"/>
      <c r="AQ394" s="375"/>
      <c r="AR394" s="375">
        <v>2155</v>
      </c>
      <c r="AS394" s="375">
        <v>0</v>
      </c>
      <c r="AT394" s="375">
        <v>0</v>
      </c>
      <c r="AU394" s="375">
        <v>0</v>
      </c>
      <c r="AV394" s="375">
        <v>0</v>
      </c>
      <c r="AW394" s="375">
        <v>0</v>
      </c>
      <c r="AX394" s="375">
        <v>0</v>
      </c>
      <c r="AY394" s="375">
        <v>0</v>
      </c>
      <c r="AZ394" s="375">
        <v>0</v>
      </c>
      <c r="BA394" s="375">
        <v>0</v>
      </c>
      <c r="BB394" s="375">
        <v>2155</v>
      </c>
      <c r="BC394" s="79"/>
      <c r="BD394" s="79"/>
      <c r="BE394" s="79">
        <v>2155</v>
      </c>
      <c r="BF394" s="79">
        <v>0</v>
      </c>
      <c r="BG394" s="79">
        <v>0</v>
      </c>
      <c r="BH394" s="79">
        <v>0</v>
      </c>
      <c r="BI394" s="79">
        <v>0</v>
      </c>
      <c r="BJ394" s="79">
        <v>0</v>
      </c>
      <c r="BK394" s="79">
        <v>0</v>
      </c>
      <c r="BL394" s="79">
        <v>0</v>
      </c>
      <c r="BM394" s="79">
        <v>0</v>
      </c>
      <c r="BN394" s="79">
        <v>0</v>
      </c>
      <c r="BO394" s="79">
        <v>2155</v>
      </c>
    </row>
    <row r="395" spans="1:67" ht="15" customHeight="1">
      <c r="A395" s="66" t="s">
        <v>2811</v>
      </c>
      <c r="B395" s="66" t="s">
        <v>1018</v>
      </c>
      <c r="C395" s="150" t="s">
        <v>1136</v>
      </c>
      <c r="D395" s="150" t="s">
        <v>1650</v>
      </c>
      <c r="E395" s="150" t="s">
        <v>1650</v>
      </c>
      <c r="F395" s="150" t="s">
        <v>1650</v>
      </c>
      <c r="G395" s="511" t="s">
        <v>639</v>
      </c>
      <c r="H395" s="392" t="s">
        <v>2291</v>
      </c>
      <c r="I395" s="343"/>
      <c r="J395" s="343"/>
      <c r="K395" s="70" t="s">
        <v>679</v>
      </c>
      <c r="L395" s="346"/>
      <c r="M395" s="346" t="s">
        <v>1140</v>
      </c>
      <c r="N395" s="346"/>
      <c r="O395" s="150" t="s">
        <v>680</v>
      </c>
      <c r="P395" s="150"/>
      <c r="Q395" s="403"/>
      <c r="R395" s="406">
        <v>4500</v>
      </c>
      <c r="S395" s="406">
        <v>8574.7199999999993</v>
      </c>
      <c r="T395" s="425"/>
      <c r="U395" s="71"/>
      <c r="V395" s="426">
        <v>431</v>
      </c>
      <c r="W395" s="427">
        <v>2586</v>
      </c>
      <c r="X395" s="427">
        <v>2182.7199999999998</v>
      </c>
      <c r="Y395" s="428">
        <v>431</v>
      </c>
      <c r="Z395" s="429">
        <v>0</v>
      </c>
      <c r="AA395" s="429">
        <v>1724</v>
      </c>
      <c r="AB395" s="363" t="e">
        <v>#N/A</v>
      </c>
      <c r="AC395" s="363">
        <v>375</v>
      </c>
      <c r="AD395" s="363">
        <v>375</v>
      </c>
      <c r="AE395" s="363">
        <v>375</v>
      </c>
      <c r="AF395" s="363">
        <v>375</v>
      </c>
      <c r="AG395" s="363">
        <v>375</v>
      </c>
      <c r="AH395" s="360" t="e">
        <f t="shared" si="21"/>
        <v>#N/A</v>
      </c>
      <c r="AI395" s="362" t="e">
        <f>ERP[[#This Row],[2026 Working Total]]-ERP[[#This Row],[LE2 Final Submission]]</f>
        <v>#N/A</v>
      </c>
      <c r="AJ395" s="79">
        <v>375</v>
      </c>
      <c r="AK395" s="79">
        <f t="shared" si="22"/>
        <v>1349</v>
      </c>
      <c r="AL395" s="374">
        <f>SUM(ERP[[#This Row],[AP01]:[AP06]])-SUM(ERP[[#This Row],[AP01 LE2]:[AP06 LE2]])</f>
        <v>1030</v>
      </c>
      <c r="AM395" s="80"/>
      <c r="AN395" s="79" t="e">
        <f>ERP[[#This Row],[2026 Working Total to Budget/LE]]-ERP[[#This Row],[Giveback]]</f>
        <v>#N/A</v>
      </c>
      <c r="AO395" s="81"/>
      <c r="AP395" s="375">
        <v>431</v>
      </c>
      <c r="AQ395" s="375">
        <v>2586</v>
      </c>
      <c r="AR395" s="375">
        <v>2182.7199999999998</v>
      </c>
      <c r="AS395" s="375">
        <v>375</v>
      </c>
      <c r="AT395" s="375">
        <v>375</v>
      </c>
      <c r="AU395" s="375">
        <v>375</v>
      </c>
      <c r="AV395" s="375">
        <v>375</v>
      </c>
      <c r="AW395" s="375">
        <v>375</v>
      </c>
      <c r="AX395" s="375">
        <v>375</v>
      </c>
      <c r="AY395" s="375">
        <v>375</v>
      </c>
      <c r="AZ395" s="375">
        <v>375</v>
      </c>
      <c r="BA395" s="375">
        <v>375</v>
      </c>
      <c r="BB395" s="375">
        <v>8574.7199999999993</v>
      </c>
      <c r="BC395" s="79">
        <v>431</v>
      </c>
      <c r="BD395" s="79">
        <v>2586</v>
      </c>
      <c r="BE395" s="79">
        <v>2182.7199999999998</v>
      </c>
      <c r="BF395" s="79">
        <v>375</v>
      </c>
      <c r="BG395" s="79">
        <v>375</v>
      </c>
      <c r="BH395" s="79">
        <v>375</v>
      </c>
      <c r="BI395" s="79">
        <v>375</v>
      </c>
      <c r="BJ395" s="79">
        <v>375</v>
      </c>
      <c r="BK395" s="79">
        <v>375</v>
      </c>
      <c r="BL395" s="79">
        <v>375</v>
      </c>
      <c r="BM395" s="79">
        <v>375</v>
      </c>
      <c r="BN395" s="79">
        <v>375</v>
      </c>
      <c r="BO395" s="79">
        <v>8574.7199999999993</v>
      </c>
    </row>
    <row r="396" spans="1:67" ht="15" customHeight="1">
      <c r="A396" s="66" t="s">
        <v>2290</v>
      </c>
      <c r="B396" s="66" t="s">
        <v>678</v>
      </c>
      <c r="C396" s="150" t="s">
        <v>1136</v>
      </c>
      <c r="D396" s="150" t="s">
        <v>1135</v>
      </c>
      <c r="E396" s="150" t="s">
        <v>1135</v>
      </c>
      <c r="F396" s="150" t="s">
        <v>1137</v>
      </c>
      <c r="G396" s="511" t="s">
        <v>639</v>
      </c>
      <c r="H396" s="392" t="s">
        <v>2291</v>
      </c>
      <c r="I396" s="343"/>
      <c r="J396" s="343"/>
      <c r="K396" s="70" t="s">
        <v>679</v>
      </c>
      <c r="L396" s="346" t="s">
        <v>1153</v>
      </c>
      <c r="M396" s="346" t="s">
        <v>1140</v>
      </c>
      <c r="N396" s="346"/>
      <c r="O396" s="150" t="s">
        <v>680</v>
      </c>
      <c r="P396" s="150"/>
      <c r="Q396" s="403"/>
      <c r="R396" s="406">
        <v>180000</v>
      </c>
      <c r="S396" s="406">
        <v>164308</v>
      </c>
      <c r="T396" s="425"/>
      <c r="U396" s="71"/>
      <c r="V396" s="426">
        <v>8189</v>
      </c>
      <c r="W396" s="427">
        <v>13361</v>
      </c>
      <c r="X396" s="427">
        <v>7758</v>
      </c>
      <c r="Y396" s="428">
        <v>16378</v>
      </c>
      <c r="Z396" s="429">
        <v>11637</v>
      </c>
      <c r="AA396" s="429">
        <v>10775</v>
      </c>
      <c r="AB396" s="363" t="e">
        <v>#N/A</v>
      </c>
      <c r="AC396" s="363">
        <v>15500</v>
      </c>
      <c r="AD396" s="363">
        <v>15500</v>
      </c>
      <c r="AE396" s="363">
        <v>15485</v>
      </c>
      <c r="AF396" s="363">
        <v>15000</v>
      </c>
      <c r="AG396" s="363">
        <v>15000</v>
      </c>
      <c r="AH396" s="360" t="e">
        <f t="shared" ref="AH396:AH459" si="23">SUM(V396:AG396)</f>
        <v>#N/A</v>
      </c>
      <c r="AI396" s="362" t="e">
        <f>ERP[[#This Row],[2026 Working Total]]-ERP[[#This Row],[LE2 Final Submission]]</f>
        <v>#N/A</v>
      </c>
      <c r="AJ396" s="79">
        <v>15500</v>
      </c>
      <c r="AK396" s="79">
        <f t="shared" si="22"/>
        <v>-4725</v>
      </c>
      <c r="AL396" s="374">
        <f>SUM(ERP[[#This Row],[AP01]:[AP06]])-SUM(ERP[[#This Row],[AP01 LE2]:[AP06 LE2]])</f>
        <v>-6210</v>
      </c>
      <c r="AM396" s="80"/>
      <c r="AN396" s="79" t="e">
        <f>ERP[[#This Row],[2026 Working Total to Budget/LE]]-ERP[[#This Row],[Giveback]]</f>
        <v>#N/A</v>
      </c>
      <c r="AO396" s="81"/>
      <c r="AP396" s="375">
        <v>8189</v>
      </c>
      <c r="AQ396" s="375">
        <v>13361</v>
      </c>
      <c r="AR396" s="375">
        <v>7758</v>
      </c>
      <c r="AS396" s="375">
        <v>15000</v>
      </c>
      <c r="AT396" s="375">
        <v>15000</v>
      </c>
      <c r="AU396" s="375">
        <v>15000</v>
      </c>
      <c r="AV396" s="375">
        <v>15000</v>
      </c>
      <c r="AW396" s="375">
        <v>15000</v>
      </c>
      <c r="AX396" s="375">
        <v>15000</v>
      </c>
      <c r="AY396" s="375">
        <v>15000</v>
      </c>
      <c r="AZ396" s="375">
        <v>15000</v>
      </c>
      <c r="BA396" s="375">
        <v>15000</v>
      </c>
      <c r="BB396" s="375">
        <v>164308</v>
      </c>
      <c r="BC396" s="79">
        <v>8189</v>
      </c>
      <c r="BD396" s="79">
        <v>13361</v>
      </c>
      <c r="BE396" s="79">
        <v>7758</v>
      </c>
      <c r="BF396" s="79">
        <v>15000</v>
      </c>
      <c r="BG396" s="79">
        <v>15000</v>
      </c>
      <c r="BH396" s="79">
        <v>15000</v>
      </c>
      <c r="BI396" s="79">
        <v>15000</v>
      </c>
      <c r="BJ396" s="79">
        <v>15000</v>
      </c>
      <c r="BK396" s="79">
        <v>15000</v>
      </c>
      <c r="BL396" s="79">
        <v>15000</v>
      </c>
      <c r="BM396" s="79">
        <v>15000</v>
      </c>
      <c r="BN396" s="79">
        <v>15000</v>
      </c>
      <c r="BO396" s="79">
        <v>164308</v>
      </c>
    </row>
    <row r="397" spans="1:67" ht="15" customHeight="1">
      <c r="A397" s="66" t="s">
        <v>2292</v>
      </c>
      <c r="B397" s="66" t="s">
        <v>2293</v>
      </c>
      <c r="C397" s="150" t="s">
        <v>1136</v>
      </c>
      <c r="D397" s="150" t="s">
        <v>1135</v>
      </c>
      <c r="E397" s="150" t="s">
        <v>1137</v>
      </c>
      <c r="F397" s="150" t="s">
        <v>1137</v>
      </c>
      <c r="G397" s="511" t="s">
        <v>639</v>
      </c>
      <c r="H397" s="392" t="s">
        <v>2291</v>
      </c>
      <c r="I397" s="343"/>
      <c r="J397" s="343"/>
      <c r="K397" s="70" t="s">
        <v>679</v>
      </c>
      <c r="L397" s="346" t="s">
        <v>1153</v>
      </c>
      <c r="M397" s="346" t="s">
        <v>1140</v>
      </c>
      <c r="N397" s="346"/>
      <c r="O397" s="150" t="s">
        <v>680</v>
      </c>
      <c r="P397" s="1" t="s">
        <v>1141</v>
      </c>
      <c r="Q397" s="403"/>
      <c r="R397" s="406">
        <v>12000</v>
      </c>
      <c r="S397" s="406">
        <v>13503.74</v>
      </c>
      <c r="T397" s="425"/>
      <c r="U397" s="71"/>
      <c r="V397" s="426">
        <v>3614.02</v>
      </c>
      <c r="W397" s="431">
        <v>0</v>
      </c>
      <c r="X397" s="427">
        <v>889.72</v>
      </c>
      <c r="Y397" s="428">
        <v>917.6</v>
      </c>
      <c r="Z397" s="429">
        <v>3154.91</v>
      </c>
      <c r="AA397" s="429">
        <v>4127.83</v>
      </c>
      <c r="AB397" s="363" t="e">
        <v>#N/A</v>
      </c>
      <c r="AC397" s="363">
        <v>1000</v>
      </c>
      <c r="AD397" s="363">
        <v>1000</v>
      </c>
      <c r="AE397" s="363">
        <v>1000</v>
      </c>
      <c r="AF397" s="363">
        <v>1000</v>
      </c>
      <c r="AG397" s="363">
        <v>1000</v>
      </c>
      <c r="AH397" s="360" t="e">
        <f t="shared" si="23"/>
        <v>#N/A</v>
      </c>
      <c r="AI397" s="362" t="e">
        <f>ERP[[#This Row],[2026 Working Total]]-ERP[[#This Row],[LE2 Final Submission]]</f>
        <v>#N/A</v>
      </c>
      <c r="AJ397" s="79">
        <v>1000</v>
      </c>
      <c r="AK397" s="79">
        <f t="shared" si="22"/>
        <v>3127.83</v>
      </c>
      <c r="AL397" s="374">
        <f>SUM(ERP[[#This Row],[AP01]:[AP06]])-SUM(ERP[[#This Row],[AP01 LE2]:[AP06 LE2]])</f>
        <v>5200.34</v>
      </c>
      <c r="AM397" s="80"/>
      <c r="AN397" s="79" t="e">
        <f>ERP[[#This Row],[2026 Working Total to Budget/LE]]-ERP[[#This Row],[Giveback]]</f>
        <v>#N/A</v>
      </c>
      <c r="AO397" s="81"/>
      <c r="AP397" s="375">
        <v>3614.02</v>
      </c>
      <c r="AQ397" s="375">
        <v>0</v>
      </c>
      <c r="AR397" s="375">
        <v>889.72</v>
      </c>
      <c r="AS397" s="375">
        <v>1000</v>
      </c>
      <c r="AT397" s="375">
        <v>1000</v>
      </c>
      <c r="AU397" s="375">
        <v>1000</v>
      </c>
      <c r="AV397" s="375">
        <v>1000</v>
      </c>
      <c r="AW397" s="375">
        <v>1000</v>
      </c>
      <c r="AX397" s="375">
        <v>1000</v>
      </c>
      <c r="AY397" s="375">
        <v>1000</v>
      </c>
      <c r="AZ397" s="375">
        <v>1000</v>
      </c>
      <c r="BA397" s="375">
        <v>1000</v>
      </c>
      <c r="BB397" s="375">
        <v>13503.74</v>
      </c>
      <c r="BC397" s="79">
        <v>3614.02</v>
      </c>
      <c r="BD397" s="79">
        <v>0</v>
      </c>
      <c r="BE397" s="79">
        <v>889.72</v>
      </c>
      <c r="BF397" s="79">
        <v>1000</v>
      </c>
      <c r="BG397" s="79">
        <v>1000</v>
      </c>
      <c r="BH397" s="79">
        <v>1000</v>
      </c>
      <c r="BI397" s="79">
        <v>1000</v>
      </c>
      <c r="BJ397" s="79">
        <v>1000</v>
      </c>
      <c r="BK397" s="79">
        <v>1000</v>
      </c>
      <c r="BL397" s="79">
        <v>1000</v>
      </c>
      <c r="BM397" s="79">
        <v>1000</v>
      </c>
      <c r="BN397" s="79">
        <v>1000</v>
      </c>
      <c r="BO397" s="79">
        <v>13503.74</v>
      </c>
    </row>
    <row r="398" spans="1:67" ht="15" customHeight="1">
      <c r="A398" s="66" t="s">
        <v>2294</v>
      </c>
      <c r="B398" s="66" t="s">
        <v>2295</v>
      </c>
      <c r="C398" s="150" t="s">
        <v>1136</v>
      </c>
      <c r="D398" s="150" t="s">
        <v>1135</v>
      </c>
      <c r="E398" s="150" t="s">
        <v>1145</v>
      </c>
      <c r="F398" s="150" t="s">
        <v>1137</v>
      </c>
      <c r="G398" s="511" t="s">
        <v>639</v>
      </c>
      <c r="H398" s="392" t="s">
        <v>2291</v>
      </c>
      <c r="I398" s="343"/>
      <c r="J398" s="343"/>
      <c r="K398" s="70" t="s">
        <v>679</v>
      </c>
      <c r="L398" s="346" t="s">
        <v>1153</v>
      </c>
      <c r="M398" s="346" t="s">
        <v>1140</v>
      </c>
      <c r="N398" s="346"/>
      <c r="O398" s="150" t="s">
        <v>680</v>
      </c>
      <c r="P398" s="150"/>
      <c r="Q398" s="403"/>
      <c r="R398" s="406">
        <v>370</v>
      </c>
      <c r="S398" s="406">
        <v>370</v>
      </c>
      <c r="T398" s="425"/>
      <c r="U398" s="71"/>
      <c r="V398" s="426"/>
      <c r="W398" s="427"/>
      <c r="X398" s="427"/>
      <c r="Y398" s="428" t="s">
        <v>1142</v>
      </c>
      <c r="Z398" s="429">
        <v>0</v>
      </c>
      <c r="AA398" s="429">
        <v>0</v>
      </c>
      <c r="AB398" s="363" t="e">
        <v>#N/A</v>
      </c>
      <c r="AC398" s="360">
        <v>0</v>
      </c>
      <c r="AD398" s="360">
        <v>0</v>
      </c>
      <c r="AE398" s="360">
        <v>0</v>
      </c>
      <c r="AF398" s="360">
        <v>0</v>
      </c>
      <c r="AG398" s="360">
        <v>0</v>
      </c>
      <c r="AH398" s="360" t="e">
        <f t="shared" si="23"/>
        <v>#N/A</v>
      </c>
      <c r="AI398" s="362" t="e">
        <f>ERP[[#This Row],[2026 Working Total]]-ERP[[#This Row],[LE2 Final Submission]]</f>
        <v>#N/A</v>
      </c>
      <c r="AJ398" s="79">
        <v>0</v>
      </c>
      <c r="AK398" s="79">
        <f t="shared" si="22"/>
        <v>0</v>
      </c>
      <c r="AL398" s="374">
        <f>SUM(ERP[[#This Row],[AP01]:[AP06]])-SUM(ERP[[#This Row],[AP01 LE2]:[AP06 LE2]])</f>
        <v>-370</v>
      </c>
      <c r="AM398" s="80"/>
      <c r="AN398" s="79" t="e">
        <f>ERP[[#This Row],[2026 Working Total to Budget/LE]]-ERP[[#This Row],[Giveback]]</f>
        <v>#N/A</v>
      </c>
      <c r="AO398" s="81"/>
      <c r="AP398" s="375"/>
      <c r="AQ398" s="375"/>
      <c r="AR398" s="375"/>
      <c r="AS398" s="375">
        <v>370</v>
      </c>
      <c r="AT398" s="375">
        <v>0</v>
      </c>
      <c r="AU398" s="375">
        <v>0</v>
      </c>
      <c r="AV398" s="375">
        <v>0</v>
      </c>
      <c r="AW398" s="375">
        <v>0</v>
      </c>
      <c r="AX398" s="375">
        <v>0</v>
      </c>
      <c r="AY398" s="375">
        <v>0</v>
      </c>
      <c r="AZ398" s="375">
        <v>0</v>
      </c>
      <c r="BA398" s="375">
        <v>0</v>
      </c>
      <c r="BB398" s="375">
        <v>370</v>
      </c>
      <c r="BC398" s="79"/>
      <c r="BD398" s="79"/>
      <c r="BE398" s="79"/>
      <c r="BF398" s="79">
        <v>370</v>
      </c>
      <c r="BG398" s="79">
        <v>0</v>
      </c>
      <c r="BH398" s="79">
        <v>0</v>
      </c>
      <c r="BI398" s="79">
        <v>0</v>
      </c>
      <c r="BJ398" s="79">
        <v>0</v>
      </c>
      <c r="BK398" s="79">
        <v>0</v>
      </c>
      <c r="BL398" s="79">
        <v>0</v>
      </c>
      <c r="BM398" s="79">
        <v>0</v>
      </c>
      <c r="BN398" s="79">
        <v>0</v>
      </c>
      <c r="BO398" s="79">
        <v>370</v>
      </c>
    </row>
    <row r="399" spans="1:67" ht="15" customHeight="1">
      <c r="A399" s="66" t="s">
        <v>2296</v>
      </c>
      <c r="B399" s="66" t="s">
        <v>2297</v>
      </c>
      <c r="C399" s="150" t="s">
        <v>1136</v>
      </c>
      <c r="D399" s="150" t="s">
        <v>1135</v>
      </c>
      <c r="E399" s="150" t="s">
        <v>1165</v>
      </c>
      <c r="F399" s="150" t="s">
        <v>1137</v>
      </c>
      <c r="G399" s="511" t="s">
        <v>639</v>
      </c>
      <c r="H399" s="392" t="s">
        <v>2291</v>
      </c>
      <c r="I399" s="343"/>
      <c r="J399" s="343"/>
      <c r="K399" s="70" t="s">
        <v>679</v>
      </c>
      <c r="L399" s="346" t="s">
        <v>1153</v>
      </c>
      <c r="M399" s="346" t="s">
        <v>1140</v>
      </c>
      <c r="N399" s="346"/>
      <c r="O399" s="150" t="s">
        <v>680</v>
      </c>
      <c r="P399" s="150"/>
      <c r="Q399" s="403"/>
      <c r="R399" s="406">
        <v>0</v>
      </c>
      <c r="S399" s="406">
        <v>1293</v>
      </c>
      <c r="T399" s="425"/>
      <c r="U399" s="71"/>
      <c r="V399" s="426"/>
      <c r="W399" s="427">
        <v>1293</v>
      </c>
      <c r="X399" s="431">
        <v>0</v>
      </c>
      <c r="Y399" s="428">
        <v>0</v>
      </c>
      <c r="Z399" s="429">
        <v>0</v>
      </c>
      <c r="AA399" s="429">
        <v>431</v>
      </c>
      <c r="AB399" s="363" t="e">
        <v>#N/A</v>
      </c>
      <c r="AC399" s="360">
        <v>0</v>
      </c>
      <c r="AD399" s="360">
        <v>0</v>
      </c>
      <c r="AE399" s="360">
        <v>0</v>
      </c>
      <c r="AF399" s="360">
        <v>0</v>
      </c>
      <c r="AG399" s="360">
        <v>0</v>
      </c>
      <c r="AH399" s="360" t="e">
        <f t="shared" si="23"/>
        <v>#N/A</v>
      </c>
      <c r="AI399" s="362" t="e">
        <f>ERP[[#This Row],[2026 Working Total]]-ERP[[#This Row],[LE2 Final Submission]]</f>
        <v>#N/A</v>
      </c>
      <c r="AJ399" s="79">
        <v>0</v>
      </c>
      <c r="AK399" s="79">
        <f t="shared" si="22"/>
        <v>431</v>
      </c>
      <c r="AL399" s="374">
        <f>SUM(ERP[[#This Row],[AP01]:[AP06]])-SUM(ERP[[#This Row],[AP01 LE2]:[AP06 LE2]])</f>
        <v>431</v>
      </c>
      <c r="AM399" s="80"/>
      <c r="AN399" s="79" t="e">
        <f>ERP[[#This Row],[2026 Working Total to Budget/LE]]-ERP[[#This Row],[Giveback]]</f>
        <v>#N/A</v>
      </c>
      <c r="AO399" s="81"/>
      <c r="AP399" s="375"/>
      <c r="AQ399" s="375">
        <v>1293</v>
      </c>
      <c r="AR399" s="375">
        <v>0</v>
      </c>
      <c r="AS399" s="375">
        <v>0</v>
      </c>
      <c r="AT399" s="375">
        <v>0</v>
      </c>
      <c r="AU399" s="375">
        <v>0</v>
      </c>
      <c r="AV399" s="375">
        <v>0</v>
      </c>
      <c r="AW399" s="375">
        <v>0</v>
      </c>
      <c r="AX399" s="375">
        <v>0</v>
      </c>
      <c r="AY399" s="375">
        <v>0</v>
      </c>
      <c r="AZ399" s="375">
        <v>0</v>
      </c>
      <c r="BA399" s="375">
        <v>0</v>
      </c>
      <c r="BB399" s="375">
        <v>1293</v>
      </c>
      <c r="BC399" s="79"/>
      <c r="BD399" s="79">
        <v>1293</v>
      </c>
      <c r="BE399" s="79">
        <v>0</v>
      </c>
      <c r="BF399" s="79">
        <v>0</v>
      </c>
      <c r="BG399" s="79">
        <v>0</v>
      </c>
      <c r="BH399" s="79">
        <v>0</v>
      </c>
      <c r="BI399" s="79">
        <v>0</v>
      </c>
      <c r="BJ399" s="79">
        <v>0</v>
      </c>
      <c r="BK399" s="79">
        <v>0</v>
      </c>
      <c r="BL399" s="79">
        <v>0</v>
      </c>
      <c r="BM399" s="79">
        <v>0</v>
      </c>
      <c r="BN399" s="79">
        <v>0</v>
      </c>
      <c r="BO399" s="79">
        <v>1293</v>
      </c>
    </row>
    <row r="400" spans="1:67" ht="15" customHeight="1">
      <c r="A400" s="79" t="s">
        <v>1706</v>
      </c>
      <c r="B400" s="296" t="s">
        <v>1707</v>
      </c>
      <c r="C400" s="150" t="s">
        <v>1136</v>
      </c>
      <c r="D400" s="332" t="s">
        <v>1135</v>
      </c>
      <c r="E400" s="383" t="s">
        <v>1145</v>
      </c>
      <c r="F400" s="331" t="s">
        <v>1137</v>
      </c>
      <c r="G400" s="512" t="s">
        <v>342</v>
      </c>
      <c r="H400" s="393" t="s">
        <v>1708</v>
      </c>
      <c r="I400" s="343"/>
      <c r="J400" s="331"/>
      <c r="K400" s="91" t="s">
        <v>367</v>
      </c>
      <c r="L400" s="343"/>
      <c r="M400" s="346" t="s">
        <v>1709</v>
      </c>
      <c r="N400" s="346" t="s">
        <v>1710</v>
      </c>
      <c r="O400" s="386" t="s">
        <v>368</v>
      </c>
      <c r="P400" s="346" t="s">
        <v>1348</v>
      </c>
      <c r="Q400" s="437"/>
      <c r="R400" s="358">
        <v>749252.78</v>
      </c>
      <c r="S400" s="378">
        <v>0</v>
      </c>
      <c r="T400" s="425"/>
      <c r="U400" s="71"/>
      <c r="V400" s="433"/>
      <c r="W400" s="434"/>
      <c r="X400" s="434"/>
      <c r="Y400" s="428" t="s">
        <v>1142</v>
      </c>
      <c r="Z400" s="429">
        <v>0</v>
      </c>
      <c r="AA400" s="429">
        <v>0</v>
      </c>
      <c r="AB400" s="363" t="e">
        <v>#N/A</v>
      </c>
      <c r="AC400" s="388">
        <v>0</v>
      </c>
      <c r="AD400" s="388">
        <v>0</v>
      </c>
      <c r="AE400" s="388">
        <v>0</v>
      </c>
      <c r="AF400" s="388">
        <v>0</v>
      </c>
      <c r="AG400" s="388">
        <v>0</v>
      </c>
      <c r="AH400" s="360" t="e">
        <f t="shared" si="23"/>
        <v>#N/A</v>
      </c>
      <c r="AI400" s="362" t="e">
        <f>ERP[[#This Row],[2026 Working Total]]-ERP[[#This Row],[LE2 Final Submission]]</f>
        <v>#N/A</v>
      </c>
      <c r="AJ400" s="79">
        <v>0</v>
      </c>
      <c r="AK400" s="79">
        <f t="shared" si="22"/>
        <v>0</v>
      </c>
      <c r="AL400" s="374">
        <f>SUM(ERP[[#This Row],[AP01]:[AP06]])-SUM(ERP[[#This Row],[AP01 LE2]:[AP06 LE2]])</f>
        <v>0</v>
      </c>
      <c r="AM400" s="80"/>
      <c r="AN400" s="79" t="e">
        <f>ERP[[#This Row],[2026 Working Total to Budget/LE]]-ERP[[#This Row],[Giveback]]</f>
        <v>#N/A</v>
      </c>
      <c r="AO400" s="81"/>
      <c r="AP400" s="375"/>
      <c r="AQ400" s="375"/>
      <c r="AR400" s="375"/>
      <c r="AS400" s="375">
        <v>0</v>
      </c>
      <c r="AT400" s="375">
        <v>0</v>
      </c>
      <c r="AU400" s="375">
        <v>0</v>
      </c>
      <c r="AV400" s="375">
        <v>0</v>
      </c>
      <c r="AW400" s="375">
        <v>0</v>
      </c>
      <c r="AX400" s="375">
        <v>0</v>
      </c>
      <c r="AY400" s="375">
        <v>0</v>
      </c>
      <c r="AZ400" s="375">
        <v>0</v>
      </c>
      <c r="BA400" s="375">
        <v>0</v>
      </c>
      <c r="BB400" s="375">
        <v>0</v>
      </c>
      <c r="BC400" s="103">
        <v>749252.78</v>
      </c>
      <c r="BD400" s="103">
        <v>0</v>
      </c>
      <c r="BE400" s="103">
        <v>0</v>
      </c>
      <c r="BF400" s="103">
        <v>0</v>
      </c>
      <c r="BG400" s="103">
        <v>0</v>
      </c>
      <c r="BH400" s="103">
        <v>0</v>
      </c>
      <c r="BI400" s="103">
        <v>0</v>
      </c>
      <c r="BJ400" s="103">
        <v>0</v>
      </c>
      <c r="BK400" s="103">
        <v>0</v>
      </c>
      <c r="BL400" s="103">
        <v>0</v>
      </c>
      <c r="BM400" s="103">
        <v>0</v>
      </c>
      <c r="BN400" s="103">
        <v>0</v>
      </c>
      <c r="BO400" s="79">
        <f>SUM(ERP[[#This Row],[2026 AP01]:[2026 AP12]])</f>
        <v>749252.78</v>
      </c>
    </row>
    <row r="401" spans="1:67" ht="15" customHeight="1">
      <c r="A401" s="79" t="s">
        <v>1711</v>
      </c>
      <c r="B401" s="296" t="s">
        <v>1712</v>
      </c>
      <c r="C401" s="150" t="s">
        <v>1136</v>
      </c>
      <c r="D401" s="332" t="s">
        <v>1135</v>
      </c>
      <c r="E401" s="383" t="s">
        <v>1145</v>
      </c>
      <c r="F401" s="331" t="s">
        <v>1137</v>
      </c>
      <c r="G401" s="512" t="s">
        <v>342</v>
      </c>
      <c r="H401" s="393" t="s">
        <v>1713</v>
      </c>
      <c r="I401" s="343"/>
      <c r="J401" s="331"/>
      <c r="K401" s="91" t="s">
        <v>370</v>
      </c>
      <c r="L401" s="343"/>
      <c r="M401" s="346" t="s">
        <v>1709</v>
      </c>
      <c r="N401" s="346" t="s">
        <v>1710</v>
      </c>
      <c r="O401" s="386" t="s">
        <v>368</v>
      </c>
      <c r="P401" s="346" t="s">
        <v>1348</v>
      </c>
      <c r="Q401" s="437"/>
      <c r="R401" s="358">
        <v>-749252.78</v>
      </c>
      <c r="S401" s="378">
        <v>0</v>
      </c>
      <c r="T401" s="425"/>
      <c r="U401" s="71"/>
      <c r="V401" s="433"/>
      <c r="W401" s="434"/>
      <c r="X401" s="434"/>
      <c r="Y401" s="428" t="s">
        <v>1142</v>
      </c>
      <c r="Z401" s="429">
        <v>0</v>
      </c>
      <c r="AA401" s="429">
        <v>0</v>
      </c>
      <c r="AB401" s="363" t="e">
        <v>#N/A</v>
      </c>
      <c r="AC401" s="388">
        <v>0</v>
      </c>
      <c r="AD401" s="388">
        <v>0</v>
      </c>
      <c r="AE401" s="388">
        <v>0</v>
      </c>
      <c r="AF401" s="388">
        <v>0</v>
      </c>
      <c r="AG401" s="388">
        <v>0</v>
      </c>
      <c r="AH401" s="360" t="e">
        <f t="shared" si="23"/>
        <v>#N/A</v>
      </c>
      <c r="AI401" s="362" t="e">
        <f>ERP[[#This Row],[2026 Working Total]]-ERP[[#This Row],[LE2 Final Submission]]</f>
        <v>#N/A</v>
      </c>
      <c r="AJ401" s="79">
        <v>0</v>
      </c>
      <c r="AK401" s="79">
        <f t="shared" si="22"/>
        <v>0</v>
      </c>
      <c r="AL401" s="374">
        <f>SUM(ERP[[#This Row],[AP01]:[AP06]])-SUM(ERP[[#This Row],[AP01 LE2]:[AP06 LE2]])</f>
        <v>0</v>
      </c>
      <c r="AM401" s="80"/>
      <c r="AN401" s="79" t="e">
        <f>ERP[[#This Row],[2026 Working Total to Budget/LE]]-ERP[[#This Row],[Giveback]]</f>
        <v>#N/A</v>
      </c>
      <c r="AO401" s="81"/>
      <c r="AP401" s="375"/>
      <c r="AQ401" s="375"/>
      <c r="AR401" s="375"/>
      <c r="AS401" s="375">
        <v>0</v>
      </c>
      <c r="AT401" s="375">
        <v>0</v>
      </c>
      <c r="AU401" s="375">
        <v>0</v>
      </c>
      <c r="AV401" s="375">
        <v>0</v>
      </c>
      <c r="AW401" s="375">
        <v>0</v>
      </c>
      <c r="AX401" s="375">
        <v>0</v>
      </c>
      <c r="AY401" s="375">
        <v>0</v>
      </c>
      <c r="AZ401" s="375">
        <v>0</v>
      </c>
      <c r="BA401" s="375">
        <v>0</v>
      </c>
      <c r="BB401" s="375">
        <v>0</v>
      </c>
      <c r="BC401" s="103">
        <v>-749252.78</v>
      </c>
      <c r="BD401" s="103">
        <v>0</v>
      </c>
      <c r="BE401" s="103">
        <v>0</v>
      </c>
      <c r="BF401" s="103">
        <v>0</v>
      </c>
      <c r="BG401" s="103">
        <v>0</v>
      </c>
      <c r="BH401" s="103">
        <v>0</v>
      </c>
      <c r="BI401" s="103">
        <v>0</v>
      </c>
      <c r="BJ401" s="103">
        <v>0</v>
      </c>
      <c r="BK401" s="103">
        <v>0</v>
      </c>
      <c r="BL401" s="103">
        <v>0</v>
      </c>
      <c r="BM401" s="103">
        <v>0</v>
      </c>
      <c r="BN401" s="103">
        <v>0</v>
      </c>
      <c r="BO401" s="79">
        <f>SUM(ERP[[#This Row],[2026 AP01]:[2026 AP12]])</f>
        <v>-749252.78</v>
      </c>
    </row>
    <row r="402" spans="1:67" ht="15" customHeight="1">
      <c r="A402" s="79" t="s">
        <v>1714</v>
      </c>
      <c r="B402" s="296" t="s">
        <v>1715</v>
      </c>
      <c r="C402" s="150" t="s">
        <v>1136</v>
      </c>
      <c r="D402" s="332" t="s">
        <v>1135</v>
      </c>
      <c r="E402" s="383" t="s">
        <v>1145</v>
      </c>
      <c r="F402" s="331" t="s">
        <v>1137</v>
      </c>
      <c r="G402" s="512" t="s">
        <v>342</v>
      </c>
      <c r="H402" s="393" t="s">
        <v>1716</v>
      </c>
      <c r="I402" s="343"/>
      <c r="J402" s="331"/>
      <c r="K402" s="91" t="s">
        <v>372</v>
      </c>
      <c r="L402" s="343"/>
      <c r="M402" s="346" t="s">
        <v>1717</v>
      </c>
      <c r="N402" s="346" t="s">
        <v>1710</v>
      </c>
      <c r="O402" s="386" t="s">
        <v>368</v>
      </c>
      <c r="P402" s="346" t="s">
        <v>1348</v>
      </c>
      <c r="Q402" s="437"/>
      <c r="R402" s="358">
        <v>783580.73</v>
      </c>
      <c r="S402" s="378">
        <v>0</v>
      </c>
      <c r="T402" s="425"/>
      <c r="U402" s="71"/>
      <c r="V402" s="433"/>
      <c r="W402" s="434"/>
      <c r="X402" s="434"/>
      <c r="Y402" s="428" t="s">
        <v>1142</v>
      </c>
      <c r="Z402" s="429">
        <v>0</v>
      </c>
      <c r="AA402" s="429">
        <v>0</v>
      </c>
      <c r="AB402" s="363" t="e">
        <v>#N/A</v>
      </c>
      <c r="AC402" s="388">
        <v>0</v>
      </c>
      <c r="AD402" s="388">
        <v>0</v>
      </c>
      <c r="AE402" s="388">
        <v>0</v>
      </c>
      <c r="AF402" s="388">
        <v>0</v>
      </c>
      <c r="AG402" s="388">
        <v>0</v>
      </c>
      <c r="AH402" s="360" t="e">
        <f t="shared" si="23"/>
        <v>#N/A</v>
      </c>
      <c r="AI402" s="362" t="e">
        <f>ERP[[#This Row],[2026 Working Total]]-ERP[[#This Row],[LE2 Final Submission]]</f>
        <v>#N/A</v>
      </c>
      <c r="AJ402" s="79">
        <v>0</v>
      </c>
      <c r="AK402" s="79">
        <f t="shared" si="22"/>
        <v>0</v>
      </c>
      <c r="AL402" s="374">
        <f>SUM(ERP[[#This Row],[AP01]:[AP06]])-SUM(ERP[[#This Row],[AP01 LE2]:[AP06 LE2]])</f>
        <v>0</v>
      </c>
      <c r="AM402" s="80"/>
      <c r="AN402" s="79" t="e">
        <f>ERP[[#This Row],[2026 Working Total to Budget/LE]]-ERP[[#This Row],[Giveback]]</f>
        <v>#N/A</v>
      </c>
      <c r="AO402" s="81"/>
      <c r="AP402" s="375"/>
      <c r="AQ402" s="375"/>
      <c r="AR402" s="375"/>
      <c r="AS402" s="375">
        <v>0</v>
      </c>
      <c r="AT402" s="375">
        <v>0</v>
      </c>
      <c r="AU402" s="375">
        <v>0</v>
      </c>
      <c r="AV402" s="375">
        <v>0</v>
      </c>
      <c r="AW402" s="375">
        <v>0</v>
      </c>
      <c r="AX402" s="375">
        <v>0</v>
      </c>
      <c r="AY402" s="375">
        <v>0</v>
      </c>
      <c r="AZ402" s="375">
        <v>0</v>
      </c>
      <c r="BA402" s="375">
        <v>0</v>
      </c>
      <c r="BB402" s="375">
        <v>0</v>
      </c>
      <c r="BC402" s="103">
        <v>783580.73</v>
      </c>
      <c r="BD402" s="103">
        <v>0</v>
      </c>
      <c r="BE402" s="103">
        <v>0</v>
      </c>
      <c r="BF402" s="103">
        <v>0</v>
      </c>
      <c r="BG402" s="103">
        <v>0</v>
      </c>
      <c r="BH402" s="103">
        <v>0</v>
      </c>
      <c r="BI402" s="103">
        <v>0</v>
      </c>
      <c r="BJ402" s="103">
        <v>0</v>
      </c>
      <c r="BK402" s="103">
        <v>0</v>
      </c>
      <c r="BL402" s="103">
        <v>0</v>
      </c>
      <c r="BM402" s="103">
        <v>0</v>
      </c>
      <c r="BN402" s="103">
        <v>0</v>
      </c>
      <c r="BO402" s="79">
        <f>SUM(ERP[[#This Row],[2026 AP01]:[2026 AP12]])</f>
        <v>783580.73</v>
      </c>
    </row>
    <row r="403" spans="1:67" ht="15" customHeight="1">
      <c r="A403" s="66" t="s">
        <v>1740</v>
      </c>
      <c r="B403" s="66" t="s">
        <v>1741</v>
      </c>
      <c r="C403" s="150" t="s">
        <v>1136</v>
      </c>
      <c r="D403" s="150" t="s">
        <v>1345</v>
      </c>
      <c r="E403" s="150" t="s">
        <v>1346</v>
      </c>
      <c r="F403" s="150" t="s">
        <v>1346</v>
      </c>
      <c r="G403" s="511" t="s">
        <v>342</v>
      </c>
      <c r="H403" s="392" t="s">
        <v>1742</v>
      </c>
      <c r="I403" s="343"/>
      <c r="J403" s="343"/>
      <c r="K403" s="70" t="s">
        <v>383</v>
      </c>
      <c r="L403" s="346"/>
      <c r="M403" s="343"/>
      <c r="N403" s="346"/>
      <c r="O403" s="150" t="s">
        <v>25</v>
      </c>
      <c r="P403" s="150"/>
      <c r="Q403" s="403"/>
      <c r="R403" s="406">
        <v>1659</v>
      </c>
      <c r="S403" s="406">
        <v>1209</v>
      </c>
      <c r="T403" s="425"/>
      <c r="U403" s="71"/>
      <c r="V403" s="426"/>
      <c r="W403" s="427"/>
      <c r="X403" s="427"/>
      <c r="Y403" s="428" t="s">
        <v>1142</v>
      </c>
      <c r="Z403" s="429">
        <v>0</v>
      </c>
      <c r="AA403" s="429">
        <v>0</v>
      </c>
      <c r="AB403" s="363" t="e">
        <v>#N/A</v>
      </c>
      <c r="AC403" s="363">
        <v>150</v>
      </c>
      <c r="AD403" s="363">
        <v>150</v>
      </c>
      <c r="AE403" s="363">
        <v>150</v>
      </c>
      <c r="AF403" s="360">
        <v>0</v>
      </c>
      <c r="AG403" s="363">
        <v>150</v>
      </c>
      <c r="AH403" s="360" t="e">
        <f t="shared" si="23"/>
        <v>#N/A</v>
      </c>
      <c r="AI403" s="362" t="e">
        <f>ERP[[#This Row],[2026 Working Total]]-ERP[[#This Row],[LE2 Final Submission]]</f>
        <v>#N/A</v>
      </c>
      <c r="AJ403" s="79">
        <v>150</v>
      </c>
      <c r="AK403" s="79">
        <f t="shared" si="22"/>
        <v>-150</v>
      </c>
      <c r="AL403" s="374">
        <f>SUM(ERP[[#This Row],[AP01]:[AP06]])-SUM(ERP[[#This Row],[AP01 LE2]:[AP06 LE2]])</f>
        <v>-459</v>
      </c>
      <c r="AM403" s="80"/>
      <c r="AN403" s="79" t="e">
        <f>ERP[[#This Row],[2026 Working Total to Budget/LE]]-ERP[[#This Row],[Giveback]]</f>
        <v>#N/A</v>
      </c>
      <c r="AO403" s="81"/>
      <c r="AP403" s="375"/>
      <c r="AQ403" s="375"/>
      <c r="AR403" s="375"/>
      <c r="AS403" s="375">
        <v>150</v>
      </c>
      <c r="AT403" s="375">
        <v>159</v>
      </c>
      <c r="AU403" s="375">
        <v>150</v>
      </c>
      <c r="AV403" s="375">
        <v>150</v>
      </c>
      <c r="AW403" s="375">
        <v>150</v>
      </c>
      <c r="AX403" s="375">
        <v>150</v>
      </c>
      <c r="AY403" s="375">
        <v>150</v>
      </c>
      <c r="AZ403" s="375">
        <v>0</v>
      </c>
      <c r="BA403" s="375">
        <v>150</v>
      </c>
      <c r="BB403" s="375">
        <v>1209</v>
      </c>
      <c r="BC403" s="79"/>
      <c r="BD403" s="79"/>
      <c r="BE403" s="79"/>
      <c r="BF403" s="79">
        <v>150</v>
      </c>
      <c r="BG403" s="79">
        <v>159</v>
      </c>
      <c r="BH403" s="79">
        <v>150</v>
      </c>
      <c r="BI403" s="79">
        <v>150</v>
      </c>
      <c r="BJ403" s="79">
        <v>150</v>
      </c>
      <c r="BK403" s="79">
        <v>150</v>
      </c>
      <c r="BL403" s="79">
        <v>150</v>
      </c>
      <c r="BM403" s="79">
        <v>0</v>
      </c>
      <c r="BN403" s="79">
        <v>150</v>
      </c>
      <c r="BO403" s="79">
        <v>1209</v>
      </c>
    </row>
    <row r="404" spans="1:67" ht="15" customHeight="1">
      <c r="A404" s="66" t="s">
        <v>2122</v>
      </c>
      <c r="B404" s="66" t="s">
        <v>2123</v>
      </c>
      <c r="C404" s="150" t="s">
        <v>1136</v>
      </c>
      <c r="D404" s="150" t="s">
        <v>1345</v>
      </c>
      <c r="E404" s="150" t="s">
        <v>1346</v>
      </c>
      <c r="F404" s="150" t="s">
        <v>1346</v>
      </c>
      <c r="G404" s="511" t="s">
        <v>389</v>
      </c>
      <c r="H404" s="392" t="s">
        <v>2124</v>
      </c>
      <c r="I404" s="343"/>
      <c r="J404" s="343"/>
      <c r="K404" s="70" t="s">
        <v>583</v>
      </c>
      <c r="L404" s="346"/>
      <c r="M404" s="343"/>
      <c r="N404" s="346"/>
      <c r="O404" s="150" t="s">
        <v>25</v>
      </c>
      <c r="P404" s="150"/>
      <c r="Q404" s="403"/>
      <c r="R404" s="406">
        <v>4032</v>
      </c>
      <c r="S404" s="406">
        <v>3024</v>
      </c>
      <c r="T404" s="425"/>
      <c r="U404" s="71"/>
      <c r="V404" s="426"/>
      <c r="W404" s="427"/>
      <c r="X404" s="427"/>
      <c r="Y404" s="428" t="s">
        <v>1142</v>
      </c>
      <c r="Z404" s="429">
        <v>0</v>
      </c>
      <c r="AA404" s="429">
        <v>0</v>
      </c>
      <c r="AB404" s="363" t="e">
        <v>#N/A</v>
      </c>
      <c r="AC404" s="363">
        <v>336</v>
      </c>
      <c r="AD404" s="363">
        <v>336</v>
      </c>
      <c r="AE404" s="363">
        <v>336</v>
      </c>
      <c r="AF404" s="363">
        <v>336</v>
      </c>
      <c r="AG404" s="363">
        <v>336</v>
      </c>
      <c r="AH404" s="360" t="e">
        <f t="shared" si="23"/>
        <v>#N/A</v>
      </c>
      <c r="AI404" s="362" t="e">
        <f>ERP[[#This Row],[2026 Working Total]]-ERP[[#This Row],[LE2 Final Submission]]</f>
        <v>#N/A</v>
      </c>
      <c r="AJ404" s="79">
        <v>336</v>
      </c>
      <c r="AK404" s="79">
        <f t="shared" si="22"/>
        <v>-336</v>
      </c>
      <c r="AL404" s="374">
        <f>SUM(ERP[[#This Row],[AP01]:[AP06]])-SUM(ERP[[#This Row],[AP01 LE2]:[AP06 LE2]])</f>
        <v>-1008</v>
      </c>
      <c r="AM404" s="80"/>
      <c r="AN404" s="79" t="e">
        <f>ERP[[#This Row],[2026 Working Total to Budget/LE]]-ERP[[#This Row],[Giveback]]</f>
        <v>#N/A</v>
      </c>
      <c r="AO404" s="81"/>
      <c r="AP404" s="375"/>
      <c r="AQ404" s="375"/>
      <c r="AR404" s="375"/>
      <c r="AS404" s="375">
        <v>336</v>
      </c>
      <c r="AT404" s="375">
        <v>336</v>
      </c>
      <c r="AU404" s="375">
        <v>336</v>
      </c>
      <c r="AV404" s="375">
        <v>336</v>
      </c>
      <c r="AW404" s="375">
        <v>336</v>
      </c>
      <c r="AX404" s="375">
        <v>336</v>
      </c>
      <c r="AY404" s="375">
        <v>336</v>
      </c>
      <c r="AZ404" s="375">
        <v>336</v>
      </c>
      <c r="BA404" s="375">
        <v>336</v>
      </c>
      <c r="BB404" s="375">
        <v>3024</v>
      </c>
      <c r="BC404" s="79"/>
      <c r="BD404" s="79"/>
      <c r="BE404" s="79"/>
      <c r="BF404" s="79">
        <v>336</v>
      </c>
      <c r="BG404" s="79">
        <v>336</v>
      </c>
      <c r="BH404" s="79">
        <v>336</v>
      </c>
      <c r="BI404" s="79">
        <v>336</v>
      </c>
      <c r="BJ404" s="79">
        <v>336</v>
      </c>
      <c r="BK404" s="79">
        <v>336</v>
      </c>
      <c r="BL404" s="79">
        <v>336</v>
      </c>
      <c r="BM404" s="79">
        <v>336</v>
      </c>
      <c r="BN404" s="79">
        <v>336</v>
      </c>
      <c r="BO404" s="79">
        <v>3024</v>
      </c>
    </row>
    <row r="405" spans="1:67" ht="15" customHeight="1">
      <c r="A405" s="66" t="s">
        <v>2143</v>
      </c>
      <c r="B405" s="66" t="s">
        <v>598</v>
      </c>
      <c r="C405" s="150" t="s">
        <v>1136</v>
      </c>
      <c r="D405" s="150" t="s">
        <v>1650</v>
      </c>
      <c r="E405" s="150" t="s">
        <v>1650</v>
      </c>
      <c r="F405" s="150" t="s">
        <v>1650</v>
      </c>
      <c r="G405" s="511" t="s">
        <v>389</v>
      </c>
      <c r="H405" s="392" t="s">
        <v>2144</v>
      </c>
      <c r="I405" s="343"/>
      <c r="J405" s="343"/>
      <c r="K405" s="70" t="s">
        <v>599</v>
      </c>
      <c r="L405" s="346"/>
      <c r="M405" s="343"/>
      <c r="N405" s="346"/>
      <c r="O405" s="150" t="s">
        <v>25</v>
      </c>
      <c r="P405" s="150"/>
      <c r="Q405" s="403"/>
      <c r="R405" s="406">
        <v>12000</v>
      </c>
      <c r="S405" s="406">
        <v>12000</v>
      </c>
      <c r="T405" s="425"/>
      <c r="U405" s="71"/>
      <c r="V405" s="426"/>
      <c r="W405" s="427"/>
      <c r="X405" s="427"/>
      <c r="Y405" s="428" t="s">
        <v>1142</v>
      </c>
      <c r="Z405" s="429">
        <v>0</v>
      </c>
      <c r="AA405" s="429">
        <v>0</v>
      </c>
      <c r="AB405" s="363" t="e">
        <v>#N/A</v>
      </c>
      <c r="AC405" s="360">
        <v>0</v>
      </c>
      <c r="AD405" s="360">
        <v>0</v>
      </c>
      <c r="AE405" s="360">
        <v>0</v>
      </c>
      <c r="AF405" s="360">
        <v>0</v>
      </c>
      <c r="AG405" s="360">
        <v>0</v>
      </c>
      <c r="AH405" s="360" t="e">
        <f t="shared" si="23"/>
        <v>#N/A</v>
      </c>
      <c r="AI405" s="362" t="e">
        <f>ERP[[#This Row],[2026 Working Total]]-ERP[[#This Row],[LE2 Final Submission]]</f>
        <v>#N/A</v>
      </c>
      <c r="AJ405" s="79">
        <v>0</v>
      </c>
      <c r="AK405" s="79">
        <f t="shared" si="22"/>
        <v>0</v>
      </c>
      <c r="AL405" s="374">
        <f>SUM(ERP[[#This Row],[AP01]:[AP06]])-SUM(ERP[[#This Row],[AP01 LE2]:[AP06 LE2]])</f>
        <v>-12000</v>
      </c>
      <c r="AM405" s="80"/>
      <c r="AN405" s="79" t="e">
        <f>ERP[[#This Row],[2026 Working Total to Budget/LE]]-ERP[[#This Row],[Giveback]]</f>
        <v>#N/A</v>
      </c>
      <c r="AO405" s="81"/>
      <c r="AP405" s="375"/>
      <c r="AQ405" s="375"/>
      <c r="AR405" s="375"/>
      <c r="AS405" s="375"/>
      <c r="AT405" s="375"/>
      <c r="AU405" s="375">
        <v>12000</v>
      </c>
      <c r="AV405" s="375">
        <v>0</v>
      </c>
      <c r="AW405" s="375">
        <v>0</v>
      </c>
      <c r="AX405" s="375">
        <v>0</v>
      </c>
      <c r="AY405" s="375">
        <v>0</v>
      </c>
      <c r="AZ405" s="375">
        <v>0</v>
      </c>
      <c r="BA405" s="375">
        <v>0</v>
      </c>
      <c r="BB405" s="375">
        <v>12000</v>
      </c>
      <c r="BC405" s="79"/>
      <c r="BD405" s="79"/>
      <c r="BE405" s="79"/>
      <c r="BF405" s="79"/>
      <c r="BG405" s="79"/>
      <c r="BH405" s="79">
        <v>12000</v>
      </c>
      <c r="BI405" s="79">
        <v>0</v>
      </c>
      <c r="BJ405" s="79">
        <v>0</v>
      </c>
      <c r="BK405" s="79">
        <v>0</v>
      </c>
      <c r="BL405" s="79">
        <v>0</v>
      </c>
      <c r="BM405" s="79">
        <v>0</v>
      </c>
      <c r="BN405" s="79">
        <v>0</v>
      </c>
      <c r="BO405" s="79">
        <v>12000</v>
      </c>
    </row>
    <row r="406" spans="1:67" ht="15" customHeight="1">
      <c r="A406" s="79" t="s">
        <v>2812</v>
      </c>
      <c r="B406" s="296" t="s">
        <v>1019</v>
      </c>
      <c r="C406" s="150" t="s">
        <v>1136</v>
      </c>
      <c r="D406" s="383" t="s">
        <v>1650</v>
      </c>
      <c r="E406" s="382" t="s">
        <v>1650</v>
      </c>
      <c r="F406" s="333" t="s">
        <v>1650</v>
      </c>
      <c r="G406" s="512" t="s">
        <v>639</v>
      </c>
      <c r="H406" s="394" t="s">
        <v>2813</v>
      </c>
      <c r="I406" s="343"/>
      <c r="J406" s="333"/>
      <c r="K406" s="122" t="s">
        <v>1020</v>
      </c>
      <c r="L406" s="347"/>
      <c r="M406" s="346" t="s">
        <v>1140</v>
      </c>
      <c r="N406" s="348"/>
      <c r="O406" s="384" t="s">
        <v>1021</v>
      </c>
      <c r="P406" s="387" t="s">
        <v>2814</v>
      </c>
      <c r="Q406" s="432"/>
      <c r="R406" s="358">
        <v>340000</v>
      </c>
      <c r="S406" s="378">
        <v>340000</v>
      </c>
      <c r="T406" s="425"/>
      <c r="U406" s="71"/>
      <c r="V406" s="433"/>
      <c r="W406" s="434"/>
      <c r="X406" s="434"/>
      <c r="Y406" s="428" t="s">
        <v>1142</v>
      </c>
      <c r="Z406" s="429">
        <v>0</v>
      </c>
      <c r="AA406" s="429">
        <v>0</v>
      </c>
      <c r="AB406" s="363" t="e">
        <v>#N/A</v>
      </c>
      <c r="AC406" s="508">
        <v>0</v>
      </c>
      <c r="AD406" s="388">
        <v>0</v>
      </c>
      <c r="AE406" s="388">
        <v>0</v>
      </c>
      <c r="AF406" s="388">
        <v>0</v>
      </c>
      <c r="AG406" s="388">
        <v>0</v>
      </c>
      <c r="AH406" s="360" t="e">
        <f t="shared" si="23"/>
        <v>#N/A</v>
      </c>
      <c r="AI406" s="362" t="e">
        <f>ERP[[#This Row],[2026 Working Total]]-ERP[[#This Row],[LE2 Final Submission]]</f>
        <v>#N/A</v>
      </c>
      <c r="AJ406" s="79">
        <v>0</v>
      </c>
      <c r="AK406" s="79">
        <f t="shared" si="22"/>
        <v>0</v>
      </c>
      <c r="AL406" s="374">
        <f>SUM(ERP[[#This Row],[AP01]:[AP06]])-SUM(ERP[[#This Row],[AP01 LE2]:[AP06 LE2]])</f>
        <v>0</v>
      </c>
      <c r="AM406" s="80"/>
      <c r="AN406" s="79" t="e">
        <f>ERP[[#This Row],[2026 Working Total to Budget/LE]]-ERP[[#This Row],[Giveback]]</f>
        <v>#N/A</v>
      </c>
      <c r="AO406" s="81"/>
      <c r="AP406" s="375"/>
      <c r="AQ406" s="375"/>
      <c r="AR406" s="375"/>
      <c r="AS406" s="375">
        <v>0</v>
      </c>
      <c r="AT406" s="375">
        <v>0</v>
      </c>
      <c r="AU406" s="375">
        <v>0</v>
      </c>
      <c r="AV406" s="375">
        <v>0</v>
      </c>
      <c r="AW406" s="375">
        <v>340000</v>
      </c>
      <c r="AX406" s="375">
        <v>0</v>
      </c>
      <c r="AY406" s="375">
        <v>0</v>
      </c>
      <c r="AZ406" s="375">
        <v>0</v>
      </c>
      <c r="BA406" s="375">
        <v>0</v>
      </c>
      <c r="BB406" s="375">
        <v>340000</v>
      </c>
      <c r="BC406" s="103">
        <v>0</v>
      </c>
      <c r="BD406" s="103">
        <v>0</v>
      </c>
      <c r="BE406" s="103">
        <v>340000</v>
      </c>
      <c r="BF406" s="103">
        <v>0</v>
      </c>
      <c r="BG406" s="103">
        <v>0</v>
      </c>
      <c r="BH406" s="103">
        <v>0</v>
      </c>
      <c r="BI406" s="103">
        <v>0</v>
      </c>
      <c r="BJ406" s="103">
        <v>0</v>
      </c>
      <c r="BK406" s="103">
        <v>0</v>
      </c>
      <c r="BL406" s="103">
        <v>0</v>
      </c>
      <c r="BM406" s="103">
        <v>0</v>
      </c>
      <c r="BN406" s="103">
        <v>0</v>
      </c>
      <c r="BO406" s="79">
        <f>SUM(ERP[[#This Row],[2026 AP01]:[2026 AP12]])</f>
        <v>340000</v>
      </c>
    </row>
    <row r="407" spans="1:67" ht="15" customHeight="1">
      <c r="A407" s="79" t="s">
        <v>1718</v>
      </c>
      <c r="B407" s="296" t="s">
        <v>1719</v>
      </c>
      <c r="C407" s="150" t="s">
        <v>1136</v>
      </c>
      <c r="D407" s="332" t="s">
        <v>1135</v>
      </c>
      <c r="E407" s="383" t="s">
        <v>1145</v>
      </c>
      <c r="F407" s="331" t="s">
        <v>1137</v>
      </c>
      <c r="G407" s="512" t="s">
        <v>342</v>
      </c>
      <c r="H407" s="393" t="s">
        <v>1720</v>
      </c>
      <c r="I407" s="343"/>
      <c r="J407" s="331"/>
      <c r="K407" s="91" t="s">
        <v>374</v>
      </c>
      <c r="L407" s="343"/>
      <c r="M407" s="346" t="s">
        <v>1717</v>
      </c>
      <c r="N407" s="346" t="s">
        <v>1710</v>
      </c>
      <c r="O407" s="386" t="s">
        <v>368</v>
      </c>
      <c r="P407" s="346" t="s">
        <v>1348</v>
      </c>
      <c r="Q407" s="437"/>
      <c r="R407" s="358">
        <v>-783580.73</v>
      </c>
      <c r="S407" s="378">
        <v>0</v>
      </c>
      <c r="T407" s="425"/>
      <c r="U407" s="71"/>
      <c r="V407" s="433"/>
      <c r="W407" s="434"/>
      <c r="X407" s="434"/>
      <c r="Y407" s="428" t="s">
        <v>1142</v>
      </c>
      <c r="Z407" s="429">
        <v>0</v>
      </c>
      <c r="AA407" s="429">
        <v>0</v>
      </c>
      <c r="AB407" s="363" t="e">
        <v>#N/A</v>
      </c>
      <c r="AC407" s="388">
        <v>0</v>
      </c>
      <c r="AD407" s="388">
        <v>0</v>
      </c>
      <c r="AE407" s="388">
        <v>0</v>
      </c>
      <c r="AF407" s="388">
        <v>0</v>
      </c>
      <c r="AG407" s="388">
        <v>0</v>
      </c>
      <c r="AH407" s="360" t="e">
        <f t="shared" si="23"/>
        <v>#N/A</v>
      </c>
      <c r="AI407" s="362" t="e">
        <f>ERP[[#This Row],[2026 Working Total]]-ERP[[#This Row],[LE2 Final Submission]]</f>
        <v>#N/A</v>
      </c>
      <c r="AJ407" s="79">
        <v>0</v>
      </c>
      <c r="AK407" s="79">
        <f t="shared" si="22"/>
        <v>0</v>
      </c>
      <c r="AL407" s="374">
        <f>SUM(ERP[[#This Row],[AP01]:[AP06]])-SUM(ERP[[#This Row],[AP01 LE2]:[AP06 LE2]])</f>
        <v>0</v>
      </c>
      <c r="AM407" s="80"/>
      <c r="AN407" s="79" t="e">
        <f>ERP[[#This Row],[2026 Working Total to Budget/LE]]-ERP[[#This Row],[Giveback]]</f>
        <v>#N/A</v>
      </c>
      <c r="AO407" s="81"/>
      <c r="AP407" s="375"/>
      <c r="AQ407" s="375"/>
      <c r="AR407" s="375"/>
      <c r="AS407" s="375">
        <v>0</v>
      </c>
      <c r="AT407" s="375">
        <v>0</v>
      </c>
      <c r="AU407" s="375">
        <v>0</v>
      </c>
      <c r="AV407" s="375">
        <v>0</v>
      </c>
      <c r="AW407" s="375">
        <v>0</v>
      </c>
      <c r="AX407" s="375">
        <v>0</v>
      </c>
      <c r="AY407" s="375">
        <v>0</v>
      </c>
      <c r="AZ407" s="375">
        <v>0</v>
      </c>
      <c r="BA407" s="375">
        <v>0</v>
      </c>
      <c r="BB407" s="375">
        <v>0</v>
      </c>
      <c r="BC407" s="103">
        <v>-783580.73</v>
      </c>
      <c r="BD407" s="103">
        <v>0</v>
      </c>
      <c r="BE407" s="103">
        <v>0</v>
      </c>
      <c r="BF407" s="103">
        <v>0</v>
      </c>
      <c r="BG407" s="103">
        <v>0</v>
      </c>
      <c r="BH407" s="103">
        <v>0</v>
      </c>
      <c r="BI407" s="103">
        <v>0</v>
      </c>
      <c r="BJ407" s="103">
        <v>0</v>
      </c>
      <c r="BK407" s="103">
        <v>0</v>
      </c>
      <c r="BL407" s="103">
        <v>0</v>
      </c>
      <c r="BM407" s="103">
        <v>0</v>
      </c>
      <c r="BN407" s="103">
        <v>0</v>
      </c>
      <c r="BO407" s="79">
        <f>SUM(ERP[[#This Row],[2026 AP01]:[2026 AP12]])</f>
        <v>-783580.73</v>
      </c>
    </row>
    <row r="408" spans="1:67" ht="15" customHeight="1">
      <c r="A408" s="66" t="s">
        <v>1914</v>
      </c>
      <c r="B408" s="66" t="s">
        <v>1915</v>
      </c>
      <c r="C408" s="150" t="s">
        <v>1136</v>
      </c>
      <c r="D408" s="150" t="s">
        <v>1135</v>
      </c>
      <c r="E408" s="150" t="s">
        <v>1145</v>
      </c>
      <c r="F408" s="150" t="s">
        <v>1137</v>
      </c>
      <c r="G408" s="511" t="s">
        <v>389</v>
      </c>
      <c r="H408" s="392" t="s">
        <v>1916</v>
      </c>
      <c r="I408" s="343"/>
      <c r="J408" s="346" t="s">
        <v>1186</v>
      </c>
      <c r="K408" s="70" t="s">
        <v>468</v>
      </c>
      <c r="L408" s="346"/>
      <c r="M408" s="346" t="s">
        <v>1917</v>
      </c>
      <c r="N408" s="346"/>
      <c r="O408" s="150" t="s">
        <v>25</v>
      </c>
      <c r="P408" s="150" t="s">
        <v>1918</v>
      </c>
      <c r="Q408" s="403"/>
      <c r="R408" s="406">
        <v>301000</v>
      </c>
      <c r="S408" s="406">
        <v>305973.58</v>
      </c>
      <c r="T408" s="425"/>
      <c r="U408" s="71"/>
      <c r="V408" s="426">
        <v>80223.58</v>
      </c>
      <c r="W408" s="431">
        <v>0</v>
      </c>
      <c r="X408" s="431">
        <v>0</v>
      </c>
      <c r="Y408" s="428">
        <v>80223.58</v>
      </c>
      <c r="Z408" s="429">
        <v>0</v>
      </c>
      <c r="AA408" s="429">
        <v>0</v>
      </c>
      <c r="AB408" s="363" t="e">
        <v>#N/A</v>
      </c>
      <c r="AC408" s="360">
        <v>70500</v>
      </c>
      <c r="AD408" s="360">
        <v>0</v>
      </c>
      <c r="AE408" s="360">
        <v>70500</v>
      </c>
      <c r="AF408" s="360">
        <v>0</v>
      </c>
      <c r="AG408" s="360">
        <v>0</v>
      </c>
      <c r="AH408" s="360" t="e">
        <f t="shared" si="23"/>
        <v>#N/A</v>
      </c>
      <c r="AI408" s="362" t="e">
        <f>ERP[[#This Row],[2026 Working Total]]-ERP[[#This Row],[LE2 Final Submission]]</f>
        <v>#N/A</v>
      </c>
      <c r="AJ408" s="79">
        <v>0</v>
      </c>
      <c r="AK408" s="79">
        <f t="shared" si="22"/>
        <v>0</v>
      </c>
      <c r="AL408" s="374">
        <f>SUM(ERP[[#This Row],[AP01]:[AP06]])-SUM(ERP[[#This Row],[AP01 LE2]:[AP06 LE2]])</f>
        <v>4973.5799999999872</v>
      </c>
      <c r="AM408" s="80"/>
      <c r="AN408" s="79" t="e">
        <f>ERP[[#This Row],[2026 Working Total to Budget/LE]]-ERP[[#This Row],[Giveback]]</f>
        <v>#N/A</v>
      </c>
      <c r="AO408" s="81"/>
      <c r="AP408" s="375">
        <v>80223.58</v>
      </c>
      <c r="AQ408" s="375">
        <v>0</v>
      </c>
      <c r="AR408" s="375">
        <v>0</v>
      </c>
      <c r="AS408" s="375">
        <v>75250</v>
      </c>
      <c r="AT408" s="375">
        <v>0</v>
      </c>
      <c r="AU408" s="375">
        <v>0</v>
      </c>
      <c r="AV408" s="375">
        <v>75250</v>
      </c>
      <c r="AW408" s="375">
        <v>0</v>
      </c>
      <c r="AX408" s="375">
        <v>0</v>
      </c>
      <c r="AY408" s="375">
        <v>75250</v>
      </c>
      <c r="AZ408" s="375">
        <v>0</v>
      </c>
      <c r="BA408" s="375">
        <v>0</v>
      </c>
      <c r="BB408" s="375">
        <v>305973.58</v>
      </c>
      <c r="BC408" s="79">
        <v>80223.58</v>
      </c>
      <c r="BD408" s="79">
        <v>0</v>
      </c>
      <c r="BE408" s="79">
        <v>0</v>
      </c>
      <c r="BF408" s="79">
        <v>75250</v>
      </c>
      <c r="BG408" s="79">
        <v>0</v>
      </c>
      <c r="BH408" s="79">
        <v>0</v>
      </c>
      <c r="BI408" s="79">
        <v>75250</v>
      </c>
      <c r="BJ408" s="79">
        <v>0</v>
      </c>
      <c r="BK408" s="79">
        <v>0</v>
      </c>
      <c r="BL408" s="79">
        <v>75250</v>
      </c>
      <c r="BM408" s="79">
        <v>0</v>
      </c>
      <c r="BN408" s="79">
        <v>0</v>
      </c>
      <c r="BO408" s="79">
        <v>305973.58</v>
      </c>
    </row>
    <row r="409" spans="1:67" ht="15" customHeight="1">
      <c r="A409" s="66" t="s">
        <v>1919</v>
      </c>
      <c r="B409" s="66" t="s">
        <v>1920</v>
      </c>
      <c r="C409" s="150" t="s">
        <v>1136</v>
      </c>
      <c r="D409" s="150" t="s">
        <v>1135</v>
      </c>
      <c r="E409" s="150" t="s">
        <v>1145</v>
      </c>
      <c r="F409" s="150" t="s">
        <v>1137</v>
      </c>
      <c r="G409" s="511" t="s">
        <v>389</v>
      </c>
      <c r="H409" s="392" t="s">
        <v>1921</v>
      </c>
      <c r="I409" s="343"/>
      <c r="J409" s="346" t="s">
        <v>1186</v>
      </c>
      <c r="K409" s="70" t="s">
        <v>470</v>
      </c>
      <c r="L409" s="346"/>
      <c r="M409" s="346" t="s">
        <v>1922</v>
      </c>
      <c r="N409" s="346"/>
      <c r="O409" s="150" t="s">
        <v>25</v>
      </c>
      <c r="P409" s="150" t="s">
        <v>1923</v>
      </c>
      <c r="Q409" s="403"/>
      <c r="R409" s="406">
        <v>282792</v>
      </c>
      <c r="S409" s="406">
        <v>282791.93</v>
      </c>
      <c r="T409" s="425"/>
      <c r="U409" s="71"/>
      <c r="V409" s="426">
        <v>70697.440000000002</v>
      </c>
      <c r="W409" s="427">
        <v>0.49</v>
      </c>
      <c r="X409" s="431">
        <v>0</v>
      </c>
      <c r="Y409" s="428">
        <v>9484.4399999999951</v>
      </c>
      <c r="Z409" s="429">
        <v>0</v>
      </c>
      <c r="AA409" s="429">
        <v>0</v>
      </c>
      <c r="AB409" s="363" t="e">
        <v>#N/A</v>
      </c>
      <c r="AC409" s="364">
        <v>60500</v>
      </c>
      <c r="AD409" s="360">
        <v>0</v>
      </c>
      <c r="AE409" s="363">
        <v>70698</v>
      </c>
      <c r="AF409" s="363">
        <v>70698</v>
      </c>
      <c r="AG409" s="360">
        <v>0</v>
      </c>
      <c r="AH409" s="360" t="e">
        <f t="shared" si="23"/>
        <v>#N/A</v>
      </c>
      <c r="AI409" s="362" t="e">
        <f>ERP[[#This Row],[2026 Working Total]]-ERP[[#This Row],[LE2 Final Submission]]</f>
        <v>#N/A</v>
      </c>
      <c r="AJ409" s="79"/>
      <c r="AK409" s="79">
        <f t="shared" si="22"/>
        <v>0</v>
      </c>
      <c r="AL409" s="374">
        <f>SUM(ERP[[#This Row],[AP01]:[AP06]])-SUM(ERP[[#This Row],[AP01 LE2]:[AP06 LE2]])</f>
        <v>-61213.56</v>
      </c>
      <c r="AM409" s="80"/>
      <c r="AN409" s="79" t="e">
        <f>ERP[[#This Row],[2026 Working Total to Budget/LE]]-ERP[[#This Row],[Giveback]]</f>
        <v>#N/A</v>
      </c>
      <c r="AO409" s="81"/>
      <c r="AP409" s="375">
        <v>70697.440000000002</v>
      </c>
      <c r="AQ409" s="375">
        <v>0.49</v>
      </c>
      <c r="AR409" s="375">
        <v>0</v>
      </c>
      <c r="AS409" s="375">
        <v>70698</v>
      </c>
      <c r="AT409" s="375">
        <v>0</v>
      </c>
      <c r="AU409" s="375">
        <v>0</v>
      </c>
      <c r="AV409" s="375">
        <v>70698</v>
      </c>
      <c r="AW409" s="375">
        <v>0</v>
      </c>
      <c r="AX409" s="375">
        <v>0</v>
      </c>
      <c r="AY409" s="375">
        <v>70698</v>
      </c>
      <c r="AZ409" s="375">
        <v>0</v>
      </c>
      <c r="BA409" s="375">
        <v>0</v>
      </c>
      <c r="BB409" s="375">
        <v>282791.93</v>
      </c>
      <c r="BC409" s="79">
        <v>70697.440000000002</v>
      </c>
      <c r="BD409" s="79">
        <v>0.49</v>
      </c>
      <c r="BE409" s="79">
        <v>0</v>
      </c>
      <c r="BF409" s="79">
        <v>70698</v>
      </c>
      <c r="BG409" s="79">
        <v>0</v>
      </c>
      <c r="BH409" s="79">
        <v>0</v>
      </c>
      <c r="BI409" s="79">
        <v>70698</v>
      </c>
      <c r="BJ409" s="79">
        <v>0</v>
      </c>
      <c r="BK409" s="79">
        <v>0</v>
      </c>
      <c r="BL409" s="79">
        <v>70698</v>
      </c>
      <c r="BM409" s="79">
        <v>0</v>
      </c>
      <c r="BN409" s="79">
        <v>0</v>
      </c>
      <c r="BO409" s="79">
        <v>282791.93</v>
      </c>
    </row>
    <row r="410" spans="1:67" ht="15" customHeight="1">
      <c r="A410" s="66" t="s">
        <v>1924</v>
      </c>
      <c r="B410" s="66" t="s">
        <v>471</v>
      </c>
      <c r="C410" s="150" t="s">
        <v>1136</v>
      </c>
      <c r="D410" s="150" t="s">
        <v>1135</v>
      </c>
      <c r="E410" s="150" t="s">
        <v>1135</v>
      </c>
      <c r="F410" s="150" t="s">
        <v>1137</v>
      </c>
      <c r="G410" s="511" t="s">
        <v>389</v>
      </c>
      <c r="H410" s="393" t="s">
        <v>1319</v>
      </c>
      <c r="I410" s="343"/>
      <c r="J410" s="343"/>
      <c r="K410" s="70" t="s">
        <v>145</v>
      </c>
      <c r="L410" s="346" t="s">
        <v>1139</v>
      </c>
      <c r="M410" s="343"/>
      <c r="N410" s="346"/>
      <c r="O410" s="150" t="s">
        <v>25</v>
      </c>
      <c r="P410" s="150"/>
      <c r="Q410" s="403"/>
      <c r="R410" s="406">
        <v>0</v>
      </c>
      <c r="S410" s="406">
        <v>1472196.6600000001</v>
      </c>
      <c r="T410" s="430"/>
      <c r="U410" s="137"/>
      <c r="V410" s="426"/>
      <c r="W410" s="427">
        <v>245366</v>
      </c>
      <c r="X410" s="427">
        <v>122683.66</v>
      </c>
      <c r="Y410" s="428">
        <v>101112.98</v>
      </c>
      <c r="Z410" s="429">
        <v>144254.16</v>
      </c>
      <c r="AA410" s="429">
        <v>122682.85</v>
      </c>
      <c r="AB410" s="363" t="e">
        <v>#N/A</v>
      </c>
      <c r="AC410" s="363">
        <v>122683</v>
      </c>
      <c r="AD410" s="363">
        <v>122683</v>
      </c>
      <c r="AE410" s="363">
        <v>122683</v>
      </c>
      <c r="AF410" s="363">
        <v>122683</v>
      </c>
      <c r="AG410" s="363">
        <v>122683</v>
      </c>
      <c r="AH410" s="360" t="e">
        <f t="shared" si="23"/>
        <v>#N/A</v>
      </c>
      <c r="AI410" s="362" t="e">
        <f>ERP[[#This Row],[2026 Working Total]]-ERP[[#This Row],[LE2 Final Submission]]</f>
        <v>#N/A</v>
      </c>
      <c r="AJ410" s="79">
        <v>122683</v>
      </c>
      <c r="AK410" s="79">
        <f t="shared" si="22"/>
        <v>-0.14999999999417923</v>
      </c>
      <c r="AL410" s="374">
        <f>SUM(ERP[[#This Row],[AP01]:[AP06]])-SUM(ERP[[#This Row],[AP01 LE2]:[AP06 LE2]])</f>
        <v>0.98999999999068677</v>
      </c>
      <c r="AM410" s="80"/>
      <c r="AN410" s="79" t="e">
        <f>ERP[[#This Row],[2026 Working Total to Budget/LE]]-ERP[[#This Row],[Giveback]]</f>
        <v>#N/A</v>
      </c>
      <c r="AO410" s="81"/>
      <c r="AP410" s="375"/>
      <c r="AQ410" s="375">
        <v>245366</v>
      </c>
      <c r="AR410" s="375">
        <v>122683.66</v>
      </c>
      <c r="AS410" s="375">
        <v>122683</v>
      </c>
      <c r="AT410" s="375">
        <v>122683</v>
      </c>
      <c r="AU410" s="375">
        <v>122683</v>
      </c>
      <c r="AV410" s="375">
        <v>122683</v>
      </c>
      <c r="AW410" s="375">
        <v>122683</v>
      </c>
      <c r="AX410" s="375">
        <v>122683</v>
      </c>
      <c r="AY410" s="375">
        <v>122683</v>
      </c>
      <c r="AZ410" s="375">
        <v>122683</v>
      </c>
      <c r="BA410" s="375">
        <v>122683</v>
      </c>
      <c r="BB410" s="375">
        <v>1472196.6600000001</v>
      </c>
      <c r="BC410" s="79"/>
      <c r="BD410" s="79">
        <v>245366</v>
      </c>
      <c r="BE410" s="79">
        <v>122683.66</v>
      </c>
      <c r="BF410" s="79">
        <v>122683</v>
      </c>
      <c r="BG410" s="79">
        <v>122683</v>
      </c>
      <c r="BH410" s="79">
        <v>122683</v>
      </c>
      <c r="BI410" s="79">
        <v>122683</v>
      </c>
      <c r="BJ410" s="79">
        <v>122683</v>
      </c>
      <c r="BK410" s="79">
        <v>122683</v>
      </c>
      <c r="BL410" s="79">
        <v>122683</v>
      </c>
      <c r="BM410" s="79">
        <v>122683</v>
      </c>
      <c r="BN410" s="79">
        <v>122683</v>
      </c>
      <c r="BO410" s="79">
        <v>1472196.6600000001</v>
      </c>
    </row>
    <row r="411" spans="1:67" ht="15" customHeight="1">
      <c r="A411" s="79" t="s">
        <v>1318</v>
      </c>
      <c r="B411" s="296" t="s">
        <v>144</v>
      </c>
      <c r="C411" s="150" t="s">
        <v>1136</v>
      </c>
      <c r="D411" s="332" t="s">
        <v>1135</v>
      </c>
      <c r="E411" s="383" t="s">
        <v>1135</v>
      </c>
      <c r="F411" s="331" t="s">
        <v>1137</v>
      </c>
      <c r="G411" s="512" t="s">
        <v>49</v>
      </c>
      <c r="H411" s="393" t="s">
        <v>1319</v>
      </c>
      <c r="I411" s="343"/>
      <c r="J411" s="331"/>
      <c r="K411" s="91" t="s">
        <v>145</v>
      </c>
      <c r="L411" s="346" t="s">
        <v>1139</v>
      </c>
      <c r="M411" s="343"/>
      <c r="N411" s="348"/>
      <c r="O411" s="386" t="s">
        <v>25</v>
      </c>
      <c r="P411" s="387" t="s">
        <v>1320</v>
      </c>
      <c r="Q411" s="432"/>
      <c r="R411" s="358">
        <v>1472196</v>
      </c>
      <c r="S411" s="378">
        <v>0</v>
      </c>
      <c r="T411" s="430"/>
      <c r="U411" s="137"/>
      <c r="V411" s="433"/>
      <c r="W411" s="434"/>
      <c r="X411" s="434"/>
      <c r="Y411" s="428" t="s">
        <v>1142</v>
      </c>
      <c r="Z411" s="429">
        <v>0</v>
      </c>
      <c r="AA411" s="429">
        <v>0</v>
      </c>
      <c r="AB411" s="363" t="e">
        <v>#N/A</v>
      </c>
      <c r="AC411" s="388">
        <f t="shared" ref="AC411:AG411" si="24">122683-122683</f>
        <v>0</v>
      </c>
      <c r="AD411" s="388">
        <f t="shared" si="24"/>
        <v>0</v>
      </c>
      <c r="AE411" s="388">
        <f t="shared" si="24"/>
        <v>0</v>
      </c>
      <c r="AF411" s="388">
        <f t="shared" si="24"/>
        <v>0</v>
      </c>
      <c r="AG411" s="388">
        <f t="shared" si="24"/>
        <v>0</v>
      </c>
      <c r="AH411" s="360" t="e">
        <f t="shared" si="23"/>
        <v>#N/A</v>
      </c>
      <c r="AI411" s="362" t="e">
        <f>ERP[[#This Row],[2026 Working Total]]-ERP[[#This Row],[LE2 Final Submission]]</f>
        <v>#N/A</v>
      </c>
      <c r="AJ411" s="79">
        <v>0</v>
      </c>
      <c r="AK411" s="79">
        <f t="shared" si="22"/>
        <v>0</v>
      </c>
      <c r="AL411" s="374">
        <f>SUM(ERP[[#This Row],[AP01]:[AP06]])-SUM(ERP[[#This Row],[AP01 LE2]:[AP06 LE2]])</f>
        <v>0</v>
      </c>
      <c r="AM411" s="80"/>
      <c r="AN411" s="79" t="e">
        <f>ERP[[#This Row],[2026 Working Total to Budget/LE]]-ERP[[#This Row],[Giveback]]</f>
        <v>#N/A</v>
      </c>
      <c r="AO411" s="81"/>
      <c r="AP411" s="375"/>
      <c r="AQ411" s="375"/>
      <c r="AR411" s="375"/>
      <c r="AS411" s="375">
        <v>0</v>
      </c>
      <c r="AT411" s="375">
        <v>0</v>
      </c>
      <c r="AU411" s="375">
        <v>0</v>
      </c>
      <c r="AV411" s="375">
        <v>0</v>
      </c>
      <c r="AW411" s="375">
        <v>0</v>
      </c>
      <c r="AX411" s="375">
        <v>0</v>
      </c>
      <c r="AY411" s="375">
        <v>0</v>
      </c>
      <c r="AZ411" s="375">
        <v>0</v>
      </c>
      <c r="BA411" s="375">
        <v>0</v>
      </c>
      <c r="BB411" s="375">
        <v>0</v>
      </c>
      <c r="BC411" s="103">
        <v>122683</v>
      </c>
      <c r="BD411" s="103">
        <v>122683</v>
      </c>
      <c r="BE411" s="103">
        <v>122683</v>
      </c>
      <c r="BF411" s="103">
        <v>122683</v>
      </c>
      <c r="BG411" s="103">
        <v>122683</v>
      </c>
      <c r="BH411" s="103">
        <v>122683</v>
      </c>
      <c r="BI411" s="103">
        <v>122683</v>
      </c>
      <c r="BJ411" s="103">
        <v>122683</v>
      </c>
      <c r="BK411" s="103">
        <v>122683</v>
      </c>
      <c r="BL411" s="103">
        <v>122683</v>
      </c>
      <c r="BM411" s="103">
        <v>122683</v>
      </c>
      <c r="BN411" s="103">
        <v>122683</v>
      </c>
      <c r="BO411" s="79">
        <f>SUM(ERP[[#This Row],[2026 AP01]:[2026 AP12]])</f>
        <v>1472196</v>
      </c>
    </row>
    <row r="412" spans="1:67" ht="15" customHeight="1">
      <c r="A412" s="79" t="s">
        <v>2298</v>
      </c>
      <c r="B412" s="296" t="s">
        <v>2299</v>
      </c>
      <c r="C412" s="150" t="s">
        <v>1136</v>
      </c>
      <c r="D412" s="150" t="s">
        <v>1135</v>
      </c>
      <c r="E412" s="150" t="s">
        <v>1165</v>
      </c>
      <c r="F412" s="150" t="s">
        <v>1165</v>
      </c>
      <c r="G412" s="514" t="s">
        <v>639</v>
      </c>
      <c r="H412" s="392" t="s">
        <v>1927</v>
      </c>
      <c r="I412" s="343"/>
      <c r="J412" s="333"/>
      <c r="K412" s="70" t="s">
        <v>473</v>
      </c>
      <c r="L412" s="347"/>
      <c r="M412" s="343"/>
      <c r="N412" s="348"/>
      <c r="O412" s="348"/>
      <c r="P412" s="150" t="s">
        <v>1928</v>
      </c>
      <c r="Q412" s="402"/>
      <c r="R412" s="358"/>
      <c r="S412" s="379">
        <v>123539</v>
      </c>
      <c r="T412" s="425"/>
      <c r="U412" s="71"/>
      <c r="V412" s="435"/>
      <c r="W412" s="436"/>
      <c r="X412" s="436"/>
      <c r="Y412" s="428" t="s">
        <v>1142</v>
      </c>
      <c r="Z412" s="429">
        <v>0</v>
      </c>
      <c r="AA412" s="429">
        <v>0</v>
      </c>
      <c r="AB412" s="363" t="e">
        <v>#N/A</v>
      </c>
      <c r="AC412" s="364">
        <v>123539</v>
      </c>
      <c r="AD412" s="364"/>
      <c r="AE412" s="364"/>
      <c r="AF412" s="364"/>
      <c r="AG412" s="364"/>
      <c r="AH412" s="360" t="e">
        <f t="shared" si="23"/>
        <v>#N/A</v>
      </c>
      <c r="AI412" s="362" t="e">
        <f>ERP[[#This Row],[2026 Working Total]]-ERP[[#This Row],[LE2 Final Submission]]</f>
        <v>#N/A</v>
      </c>
      <c r="AJ412" s="79"/>
      <c r="AK412" s="79">
        <f t="shared" si="22"/>
        <v>0</v>
      </c>
      <c r="AL412" s="374">
        <f>SUM(ERP[[#This Row],[AP01]:[AP06]])-SUM(ERP[[#This Row],[AP01 LE2]:[AP06 LE2]])</f>
        <v>0</v>
      </c>
      <c r="AM412" s="80"/>
      <c r="AN412" s="79" t="e">
        <f>ERP[[#This Row],[2026 Working Total to Budget/LE]]-ERP[[#This Row],[Giveback]]</f>
        <v>#N/A</v>
      </c>
      <c r="AO412" s="81" t="s">
        <v>1929</v>
      </c>
      <c r="AP412" s="375"/>
      <c r="AQ412" s="375"/>
      <c r="AR412" s="375"/>
      <c r="AS412" s="375"/>
      <c r="AT412" s="375"/>
      <c r="AU412" s="375"/>
      <c r="AV412" s="375"/>
      <c r="AW412" s="375">
        <v>123539</v>
      </c>
      <c r="AX412" s="375"/>
      <c r="AY412" s="375"/>
      <c r="AZ412" s="375"/>
      <c r="BA412" s="375"/>
      <c r="BB412" s="375">
        <v>123539</v>
      </c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</row>
    <row r="413" spans="1:67" ht="15" customHeight="1">
      <c r="A413" s="66" t="s">
        <v>1925</v>
      </c>
      <c r="B413" s="66" t="s">
        <v>1926</v>
      </c>
      <c r="C413" s="150" t="s">
        <v>1136</v>
      </c>
      <c r="D413" s="150" t="s">
        <v>1135</v>
      </c>
      <c r="E413" s="150" t="s">
        <v>1165</v>
      </c>
      <c r="F413" s="150" t="s">
        <v>1137</v>
      </c>
      <c r="G413" s="511" t="s">
        <v>389</v>
      </c>
      <c r="H413" s="392" t="s">
        <v>1927</v>
      </c>
      <c r="I413" s="343"/>
      <c r="J413" s="343"/>
      <c r="K413" s="70" t="s">
        <v>473</v>
      </c>
      <c r="L413" s="346"/>
      <c r="M413" s="343"/>
      <c r="N413" s="346"/>
      <c r="O413" s="150" t="s">
        <v>25</v>
      </c>
      <c r="P413" s="150" t="s">
        <v>1928</v>
      </c>
      <c r="Q413" s="403"/>
      <c r="R413" s="406">
        <v>123538.99999999999</v>
      </c>
      <c r="S413" s="406">
        <v>0</v>
      </c>
      <c r="T413" s="425"/>
      <c r="U413" s="71"/>
      <c r="V413" s="426"/>
      <c r="W413" s="427"/>
      <c r="X413" s="427"/>
      <c r="Y413" s="428" t="s">
        <v>1142</v>
      </c>
      <c r="Z413" s="429">
        <v>0</v>
      </c>
      <c r="AA413" s="429">
        <v>0</v>
      </c>
      <c r="AB413" s="363" t="e">
        <v>#N/A</v>
      </c>
      <c r="AC413" s="363">
        <f>88117-88117</f>
        <v>0</v>
      </c>
      <c r="AD413" s="363">
        <v>0</v>
      </c>
      <c r="AE413" s="363">
        <v>0</v>
      </c>
      <c r="AF413" s="363">
        <v>0</v>
      </c>
      <c r="AG413" s="363">
        <v>0</v>
      </c>
      <c r="AH413" s="360" t="e">
        <f t="shared" si="23"/>
        <v>#N/A</v>
      </c>
      <c r="AI413" s="362" t="e">
        <f>ERP[[#This Row],[2026 Working Total]]-ERP[[#This Row],[LE2 Final Submission]]</f>
        <v>#N/A</v>
      </c>
      <c r="AJ413" s="79">
        <v>0</v>
      </c>
      <c r="AK413" s="79">
        <f t="shared" si="22"/>
        <v>0</v>
      </c>
      <c r="AL413" s="374">
        <f>SUM(ERP[[#This Row],[AP01]:[AP06]])-SUM(ERP[[#This Row],[AP01 LE2]:[AP06 LE2]])</f>
        <v>0</v>
      </c>
      <c r="AM413" s="80"/>
      <c r="AN413" s="79" t="e">
        <f>ERP[[#This Row],[2026 Working Total to Budget/LE]]-ERP[[#This Row],[Giveback]]</f>
        <v>#N/A</v>
      </c>
      <c r="AO413" s="81" t="s">
        <v>1929</v>
      </c>
      <c r="AP413" s="375"/>
      <c r="AQ413" s="375"/>
      <c r="AR413" s="375"/>
      <c r="AS413" s="375">
        <v>0</v>
      </c>
      <c r="AT413" s="375">
        <v>0</v>
      </c>
      <c r="AU413" s="375">
        <v>0</v>
      </c>
      <c r="AV413" s="375">
        <v>0</v>
      </c>
      <c r="AW413" s="375">
        <v>0</v>
      </c>
      <c r="AX413" s="375">
        <v>0</v>
      </c>
      <c r="AY413" s="375">
        <v>0</v>
      </c>
      <c r="AZ413" s="375">
        <v>0</v>
      </c>
      <c r="BA413" s="375">
        <v>0</v>
      </c>
      <c r="BB413" s="375">
        <v>0</v>
      </c>
      <c r="BC413" s="79"/>
      <c r="BD413" s="79"/>
      <c r="BE413" s="79"/>
      <c r="BF413" s="79">
        <v>10294.92</v>
      </c>
      <c r="BG413" s="79">
        <v>10294.92</v>
      </c>
      <c r="BH413" s="79">
        <v>10294.92</v>
      </c>
      <c r="BI413" s="79">
        <v>10294.92</v>
      </c>
      <c r="BJ413" s="79">
        <v>10294.92</v>
      </c>
      <c r="BK413" s="79">
        <v>10294.92</v>
      </c>
      <c r="BL413" s="79">
        <v>10294.92</v>
      </c>
      <c r="BM413" s="79">
        <v>10294.92</v>
      </c>
      <c r="BN413" s="79">
        <v>10294.92</v>
      </c>
      <c r="BO413" s="79">
        <v>92654.28</v>
      </c>
    </row>
    <row r="414" spans="1:67" ht="15" customHeight="1">
      <c r="A414" s="66" t="s">
        <v>1930</v>
      </c>
      <c r="B414" s="66" t="s">
        <v>1931</v>
      </c>
      <c r="C414" s="150" t="s">
        <v>1136</v>
      </c>
      <c r="D414" s="150" t="s">
        <v>1135</v>
      </c>
      <c r="E414" s="150" t="s">
        <v>1165</v>
      </c>
      <c r="F414" s="150" t="s">
        <v>1137</v>
      </c>
      <c r="G414" s="511" t="s">
        <v>389</v>
      </c>
      <c r="H414" s="392" t="s">
        <v>1932</v>
      </c>
      <c r="I414" s="343"/>
      <c r="J414" s="343"/>
      <c r="K414" s="70" t="s">
        <v>475</v>
      </c>
      <c r="L414" s="346"/>
      <c r="M414" s="343"/>
      <c r="N414" s="346"/>
      <c r="O414" s="150" t="s">
        <v>25</v>
      </c>
      <c r="P414" s="150"/>
      <c r="Q414" s="403"/>
      <c r="R414" s="406">
        <v>26400</v>
      </c>
      <c r="S414" s="406">
        <v>0</v>
      </c>
      <c r="T414" s="425"/>
      <c r="U414" s="71"/>
      <c r="V414" s="426"/>
      <c r="W414" s="427"/>
      <c r="X414" s="427"/>
      <c r="Y414" s="428" t="s">
        <v>1142</v>
      </c>
      <c r="Z414" s="429">
        <v>0</v>
      </c>
      <c r="AA414" s="429">
        <v>0</v>
      </c>
      <c r="AB414" s="363" t="e">
        <v>#N/A</v>
      </c>
      <c r="AC414" s="363">
        <v>0</v>
      </c>
      <c r="AD414" s="363">
        <v>0</v>
      </c>
      <c r="AE414" s="363">
        <v>0</v>
      </c>
      <c r="AF414" s="363">
        <v>0</v>
      </c>
      <c r="AG414" s="363">
        <v>0</v>
      </c>
      <c r="AH414" s="360" t="e">
        <f t="shared" si="23"/>
        <v>#N/A</v>
      </c>
      <c r="AI414" s="362" t="e">
        <f>ERP[[#This Row],[2026 Working Total]]-ERP[[#This Row],[LE2 Final Submission]]</f>
        <v>#N/A</v>
      </c>
      <c r="AJ414" s="79">
        <v>0</v>
      </c>
      <c r="AK414" s="79">
        <f t="shared" si="22"/>
        <v>0</v>
      </c>
      <c r="AL414" s="374">
        <f>SUM(ERP[[#This Row],[AP01]:[AP06]])-SUM(ERP[[#This Row],[AP01 LE2]:[AP06 LE2]])</f>
        <v>0</v>
      </c>
      <c r="AM414" s="80">
        <v>-26400</v>
      </c>
      <c r="AN414" s="79" t="e">
        <f>ERP[[#This Row],[2026 Working Total to Budget/LE]]-ERP[[#This Row],[Giveback]]</f>
        <v>#N/A</v>
      </c>
      <c r="AO414" s="81"/>
      <c r="AP414" s="375"/>
      <c r="AQ414" s="375"/>
      <c r="AR414" s="375"/>
      <c r="AS414" s="375">
        <v>0</v>
      </c>
      <c r="AT414" s="375">
        <v>0</v>
      </c>
      <c r="AU414" s="375">
        <v>0</v>
      </c>
      <c r="AV414" s="375">
        <v>0</v>
      </c>
      <c r="AW414" s="375">
        <v>0</v>
      </c>
      <c r="AX414" s="375">
        <v>0</v>
      </c>
      <c r="AY414" s="375">
        <v>0</v>
      </c>
      <c r="AZ414" s="375">
        <v>0</v>
      </c>
      <c r="BA414" s="375">
        <v>0</v>
      </c>
      <c r="BB414" s="375">
        <v>0</v>
      </c>
      <c r="BC414" s="79"/>
      <c r="BD414" s="79"/>
      <c r="BE414" s="79"/>
      <c r="BF414" s="79">
        <v>2200</v>
      </c>
      <c r="BG414" s="79">
        <v>2200</v>
      </c>
      <c r="BH414" s="79">
        <v>2200</v>
      </c>
      <c r="BI414" s="79">
        <v>2200</v>
      </c>
      <c r="BJ414" s="79">
        <v>2200</v>
      </c>
      <c r="BK414" s="79">
        <v>2200</v>
      </c>
      <c r="BL414" s="79">
        <v>2200</v>
      </c>
      <c r="BM414" s="79">
        <v>2200</v>
      </c>
      <c r="BN414" s="79">
        <v>2200</v>
      </c>
      <c r="BO414" s="79">
        <v>19800</v>
      </c>
    </row>
    <row r="415" spans="1:67" ht="15" customHeight="1">
      <c r="A415" s="66" t="s">
        <v>1940</v>
      </c>
      <c r="B415" s="66" t="s">
        <v>1941</v>
      </c>
      <c r="C415" s="150" t="s">
        <v>1136</v>
      </c>
      <c r="D415" s="150" t="s">
        <v>1345</v>
      </c>
      <c r="E415" s="150" t="s">
        <v>1346</v>
      </c>
      <c r="F415" s="150" t="s">
        <v>1346</v>
      </c>
      <c r="G415" s="511" t="s">
        <v>389</v>
      </c>
      <c r="H415" s="392" t="s">
        <v>1942</v>
      </c>
      <c r="I415" s="343"/>
      <c r="J415" s="343"/>
      <c r="K415" s="70" t="s">
        <v>585</v>
      </c>
      <c r="L415" s="346"/>
      <c r="M415" s="346" t="s">
        <v>1140</v>
      </c>
      <c r="N415" s="346"/>
      <c r="O415" s="150" t="s">
        <v>57</v>
      </c>
      <c r="P415" s="150"/>
      <c r="Q415" s="403"/>
      <c r="R415" s="406">
        <v>0</v>
      </c>
      <c r="S415" s="406">
        <v>31176.729999999992</v>
      </c>
      <c r="T415" s="430"/>
      <c r="U415" s="137"/>
      <c r="V415" s="426"/>
      <c r="W415" s="427"/>
      <c r="X415" s="427">
        <v>5547.34</v>
      </c>
      <c r="Y415" s="428">
        <v>0</v>
      </c>
      <c r="Z415" s="429">
        <v>112.07</v>
      </c>
      <c r="AA415" s="429">
        <v>112.07</v>
      </c>
      <c r="AB415" s="363" t="e">
        <v>#N/A</v>
      </c>
      <c r="AC415" s="360">
        <v>2847.71</v>
      </c>
      <c r="AD415" s="360">
        <v>2847.71</v>
      </c>
      <c r="AE415" s="360">
        <v>2847.71</v>
      </c>
      <c r="AF415" s="360">
        <v>2847.71</v>
      </c>
      <c r="AG415" s="360">
        <v>2847.71</v>
      </c>
      <c r="AH415" s="360" t="e">
        <f t="shared" si="23"/>
        <v>#N/A</v>
      </c>
      <c r="AI415" s="362" t="e">
        <f>ERP[[#This Row],[2026 Working Total]]-ERP[[#This Row],[LE2 Final Submission]]</f>
        <v>#N/A</v>
      </c>
      <c r="AJ415" s="79">
        <v>2847.71</v>
      </c>
      <c r="AK415" s="79">
        <f t="shared" si="22"/>
        <v>-2735.64</v>
      </c>
      <c r="AL415" s="374">
        <f>SUM(ERP[[#This Row],[AP01]:[AP06]])-SUM(ERP[[#This Row],[AP01 LE2]:[AP06 LE2]])</f>
        <v>-8318.989999999998</v>
      </c>
      <c r="AM415" s="80"/>
      <c r="AN415" s="79" t="e">
        <f>ERP[[#This Row],[2026 Working Total to Budget/LE]]-ERP[[#This Row],[Giveback]]</f>
        <v>#N/A</v>
      </c>
      <c r="AO415" s="81"/>
      <c r="AP415" s="375"/>
      <c r="AQ415" s="375"/>
      <c r="AR415" s="375">
        <v>5547.34</v>
      </c>
      <c r="AS415" s="375">
        <v>2847.71</v>
      </c>
      <c r="AT415" s="375">
        <v>2847.71</v>
      </c>
      <c r="AU415" s="375">
        <v>2847.71</v>
      </c>
      <c r="AV415" s="375">
        <v>2847.71</v>
      </c>
      <c r="AW415" s="375">
        <v>2847.71</v>
      </c>
      <c r="AX415" s="375">
        <v>2847.71</v>
      </c>
      <c r="AY415" s="375">
        <v>2847.71</v>
      </c>
      <c r="AZ415" s="375">
        <v>2847.71</v>
      </c>
      <c r="BA415" s="375">
        <v>2847.71</v>
      </c>
      <c r="BB415" s="375">
        <v>31176.729999999992</v>
      </c>
      <c r="BC415" s="79"/>
      <c r="BD415" s="79"/>
      <c r="BE415" s="79">
        <v>5547.34</v>
      </c>
      <c r="BF415" s="79">
        <v>0</v>
      </c>
      <c r="BG415" s="79">
        <v>0</v>
      </c>
      <c r="BH415" s="79">
        <v>0</v>
      </c>
      <c r="BI415" s="79">
        <v>0</v>
      </c>
      <c r="BJ415" s="79">
        <v>0</v>
      </c>
      <c r="BK415" s="79">
        <v>0</v>
      </c>
      <c r="BL415" s="79">
        <v>0</v>
      </c>
      <c r="BM415" s="79">
        <v>0</v>
      </c>
      <c r="BN415" s="79">
        <v>0</v>
      </c>
      <c r="BO415" s="79">
        <v>5547.34</v>
      </c>
    </row>
    <row r="416" spans="1:67" ht="15" customHeight="1">
      <c r="A416" s="66" t="s">
        <v>2300</v>
      </c>
      <c r="B416" s="66" t="s">
        <v>2301</v>
      </c>
      <c r="C416" s="150" t="s">
        <v>1136</v>
      </c>
      <c r="D416" s="150" t="s">
        <v>1345</v>
      </c>
      <c r="E416" s="150" t="s">
        <v>1346</v>
      </c>
      <c r="F416" s="150" t="s">
        <v>1346</v>
      </c>
      <c r="G416" s="511" t="s">
        <v>639</v>
      </c>
      <c r="H416" s="392" t="s">
        <v>1942</v>
      </c>
      <c r="I416" s="343"/>
      <c r="J416" s="343"/>
      <c r="K416" s="70" t="s">
        <v>585</v>
      </c>
      <c r="L416" s="346"/>
      <c r="M416" s="346" t="s">
        <v>1140</v>
      </c>
      <c r="N416" s="346"/>
      <c r="O416" s="150" t="s">
        <v>57</v>
      </c>
      <c r="P416" s="150"/>
      <c r="Q416" s="403"/>
      <c r="R416" s="406">
        <v>0</v>
      </c>
      <c r="S416" s="406">
        <v>1537.03</v>
      </c>
      <c r="T416" s="425"/>
      <c r="U416" s="71"/>
      <c r="V416" s="426"/>
      <c r="W416" s="427"/>
      <c r="X416" s="427">
        <v>279.45999999999998</v>
      </c>
      <c r="Y416" s="428">
        <v>139.72999999999999</v>
      </c>
      <c r="Z416" s="429">
        <v>139.72999999999999</v>
      </c>
      <c r="AA416" s="429">
        <v>139.72999999999999</v>
      </c>
      <c r="AB416" s="363" t="e">
        <v>#N/A</v>
      </c>
      <c r="AC416" s="360">
        <v>139.72999999999999</v>
      </c>
      <c r="AD416" s="360">
        <v>139.72999999999999</v>
      </c>
      <c r="AE416" s="360">
        <v>139.72999999999999</v>
      </c>
      <c r="AF416" s="360">
        <v>139.72999999999999</v>
      </c>
      <c r="AG416" s="360">
        <v>139.72999999999999</v>
      </c>
      <c r="AH416" s="360" t="e">
        <f t="shared" si="23"/>
        <v>#N/A</v>
      </c>
      <c r="AI416" s="362" t="e">
        <f>ERP[[#This Row],[2026 Working Total]]-ERP[[#This Row],[LE2 Final Submission]]</f>
        <v>#N/A</v>
      </c>
      <c r="AJ416" s="79">
        <v>139.72999999999999</v>
      </c>
      <c r="AK416" s="79">
        <f t="shared" si="22"/>
        <v>0</v>
      </c>
      <c r="AL416" s="374">
        <f>SUM(ERP[[#This Row],[AP01]:[AP06]])-SUM(ERP[[#This Row],[AP01 LE2]:[AP06 LE2]])</f>
        <v>0</v>
      </c>
      <c r="AM416" s="80"/>
      <c r="AN416" s="79" t="e">
        <f>ERP[[#This Row],[2026 Working Total to Budget/LE]]-ERP[[#This Row],[Giveback]]</f>
        <v>#N/A</v>
      </c>
      <c r="AO416" s="81"/>
      <c r="AP416" s="375"/>
      <c r="AQ416" s="375"/>
      <c r="AR416" s="375">
        <v>279.45999999999998</v>
      </c>
      <c r="AS416" s="375">
        <v>139.72999999999999</v>
      </c>
      <c r="AT416" s="375">
        <v>139.72999999999999</v>
      </c>
      <c r="AU416" s="375">
        <v>139.72999999999999</v>
      </c>
      <c r="AV416" s="375">
        <v>139.72999999999999</v>
      </c>
      <c r="AW416" s="375">
        <v>139.72999999999999</v>
      </c>
      <c r="AX416" s="375">
        <v>139.72999999999999</v>
      </c>
      <c r="AY416" s="375">
        <v>139.72999999999999</v>
      </c>
      <c r="AZ416" s="375">
        <v>139.72999999999999</v>
      </c>
      <c r="BA416" s="375">
        <v>139.72999999999999</v>
      </c>
      <c r="BB416" s="375">
        <v>1537.03</v>
      </c>
      <c r="BC416" s="79"/>
      <c r="BD416" s="79"/>
      <c r="BE416" s="79">
        <v>279.45999999999998</v>
      </c>
      <c r="BF416" s="79">
        <v>0</v>
      </c>
      <c r="BG416" s="79">
        <v>0</v>
      </c>
      <c r="BH416" s="79">
        <v>0</v>
      </c>
      <c r="BI416" s="79">
        <v>0</v>
      </c>
      <c r="BJ416" s="79">
        <v>0</v>
      </c>
      <c r="BK416" s="79">
        <v>0</v>
      </c>
      <c r="BL416" s="79">
        <v>0</v>
      </c>
      <c r="BM416" s="79">
        <v>0</v>
      </c>
      <c r="BN416" s="79">
        <v>0</v>
      </c>
      <c r="BO416" s="79">
        <v>279.45999999999998</v>
      </c>
    </row>
    <row r="417" spans="1:67" ht="15" customHeight="1">
      <c r="A417" s="66" t="s">
        <v>1933</v>
      </c>
      <c r="B417" s="66" t="s">
        <v>1934</v>
      </c>
      <c r="C417" s="150" t="s">
        <v>1136</v>
      </c>
      <c r="D417" s="150" t="s">
        <v>1135</v>
      </c>
      <c r="E417" s="150" t="s">
        <v>1165</v>
      </c>
      <c r="F417" s="150" t="s">
        <v>1137</v>
      </c>
      <c r="G417" s="511" t="s">
        <v>389</v>
      </c>
      <c r="H417" s="392" t="s">
        <v>1935</v>
      </c>
      <c r="I417" s="343"/>
      <c r="J417" s="343"/>
      <c r="K417" s="70" t="s">
        <v>477</v>
      </c>
      <c r="L417" s="346"/>
      <c r="M417" s="343"/>
      <c r="N417" s="346"/>
      <c r="O417" s="150" t="s">
        <v>478</v>
      </c>
      <c r="P417" s="150"/>
      <c r="Q417" s="403"/>
      <c r="R417" s="406">
        <v>36000</v>
      </c>
      <c r="S417" s="406">
        <v>36000.300000000003</v>
      </c>
      <c r="T417" s="425"/>
      <c r="U417" s="71"/>
      <c r="V417" s="426"/>
      <c r="W417" s="427">
        <v>5999.76</v>
      </c>
      <c r="X417" s="427">
        <v>2703.54</v>
      </c>
      <c r="Y417" s="428">
        <v>2769.23</v>
      </c>
      <c r="Z417" s="429">
        <v>3527.23</v>
      </c>
      <c r="AA417" s="429">
        <v>2703.54</v>
      </c>
      <c r="AB417" s="363" t="e">
        <v>#N/A</v>
      </c>
      <c r="AC417" s="363">
        <v>3000</v>
      </c>
      <c r="AD417" s="363">
        <v>3000</v>
      </c>
      <c r="AE417" s="363">
        <v>3000</v>
      </c>
      <c r="AF417" s="363">
        <v>3000</v>
      </c>
      <c r="AG417" s="363">
        <v>3000</v>
      </c>
      <c r="AH417" s="360" t="e">
        <f t="shared" si="23"/>
        <v>#N/A</v>
      </c>
      <c r="AI417" s="362" t="e">
        <f>ERP[[#This Row],[2026 Working Total]]-ERP[[#This Row],[LE2 Final Submission]]</f>
        <v>#N/A</v>
      </c>
      <c r="AJ417" s="79">
        <v>3000</v>
      </c>
      <c r="AK417" s="79">
        <f t="shared" si="22"/>
        <v>-296.46000000000004</v>
      </c>
      <c r="AL417" s="374">
        <f>SUM(ERP[[#This Row],[AP01]:[AP06]])-SUM(ERP[[#This Row],[AP01 LE2]:[AP06 LE2]])</f>
        <v>-297</v>
      </c>
      <c r="AM417" s="80"/>
      <c r="AN417" s="79" t="e">
        <f>ERP[[#This Row],[2026 Working Total to Budget/LE]]-ERP[[#This Row],[Giveback]]</f>
        <v>#N/A</v>
      </c>
      <c r="AO417" s="81"/>
      <c r="AP417" s="375"/>
      <c r="AQ417" s="375">
        <v>5999.76</v>
      </c>
      <c r="AR417" s="375">
        <v>2703.54</v>
      </c>
      <c r="AS417" s="375">
        <v>3297</v>
      </c>
      <c r="AT417" s="375">
        <v>3000</v>
      </c>
      <c r="AU417" s="375">
        <v>3000</v>
      </c>
      <c r="AV417" s="375">
        <v>3000</v>
      </c>
      <c r="AW417" s="375">
        <v>3000</v>
      </c>
      <c r="AX417" s="375">
        <v>3000</v>
      </c>
      <c r="AY417" s="375">
        <v>3000</v>
      </c>
      <c r="AZ417" s="375">
        <v>3000</v>
      </c>
      <c r="BA417" s="375">
        <v>3000</v>
      </c>
      <c r="BB417" s="375">
        <v>36000.300000000003</v>
      </c>
      <c r="BC417" s="79"/>
      <c r="BD417" s="79">
        <v>5999.76</v>
      </c>
      <c r="BE417" s="79">
        <v>2703.54</v>
      </c>
      <c r="BF417" s="79">
        <v>3000</v>
      </c>
      <c r="BG417" s="79">
        <v>3000</v>
      </c>
      <c r="BH417" s="79">
        <v>3000</v>
      </c>
      <c r="BI417" s="79">
        <v>3000</v>
      </c>
      <c r="BJ417" s="79">
        <v>3000</v>
      </c>
      <c r="BK417" s="79">
        <v>3000</v>
      </c>
      <c r="BL417" s="79">
        <v>3000</v>
      </c>
      <c r="BM417" s="79">
        <v>3000</v>
      </c>
      <c r="BN417" s="79">
        <v>3000</v>
      </c>
      <c r="BO417" s="79">
        <v>35703.300000000003</v>
      </c>
    </row>
    <row r="418" spans="1:67" ht="15" customHeight="1">
      <c r="A418" s="66" t="s">
        <v>2027</v>
      </c>
      <c r="B418" s="66" t="s">
        <v>2028</v>
      </c>
      <c r="C418" s="150" t="s">
        <v>1136</v>
      </c>
      <c r="D418" s="150" t="s">
        <v>1345</v>
      </c>
      <c r="E418" s="150" t="s">
        <v>1437</v>
      </c>
      <c r="F418" s="150" t="s">
        <v>1346</v>
      </c>
      <c r="G418" s="511" t="s">
        <v>389</v>
      </c>
      <c r="H418" s="392" t="s">
        <v>2029</v>
      </c>
      <c r="I418" s="343"/>
      <c r="J418" s="343"/>
      <c r="K418" s="70" t="s">
        <v>535</v>
      </c>
      <c r="L418" s="346"/>
      <c r="M418" s="343"/>
      <c r="N418" s="346"/>
      <c r="O418" s="150" t="s">
        <v>57</v>
      </c>
      <c r="P418" s="150"/>
      <c r="Q418" s="403"/>
      <c r="R418" s="406">
        <v>0</v>
      </c>
      <c r="S418" s="406">
        <v>5998.6900000000005</v>
      </c>
      <c r="T418" s="425"/>
      <c r="U418" s="71"/>
      <c r="V418" s="426"/>
      <c r="W418" s="427"/>
      <c r="X418" s="427">
        <v>1048.69</v>
      </c>
      <c r="Y418" s="428">
        <v>0</v>
      </c>
      <c r="Z418" s="429">
        <v>0</v>
      </c>
      <c r="AA418" s="429">
        <v>0</v>
      </c>
      <c r="AB418" s="363" t="e">
        <v>#N/A</v>
      </c>
      <c r="AC418" s="363">
        <v>550</v>
      </c>
      <c r="AD418" s="363">
        <v>550</v>
      </c>
      <c r="AE418" s="363">
        <v>550</v>
      </c>
      <c r="AF418" s="363">
        <v>550</v>
      </c>
      <c r="AG418" s="363">
        <v>550</v>
      </c>
      <c r="AH418" s="360" t="e">
        <f t="shared" si="23"/>
        <v>#N/A</v>
      </c>
      <c r="AI418" s="362" t="e">
        <f>ERP[[#This Row],[2026 Working Total]]-ERP[[#This Row],[LE2 Final Submission]]</f>
        <v>#N/A</v>
      </c>
      <c r="AJ418" s="79">
        <v>550</v>
      </c>
      <c r="AK418" s="79">
        <f t="shared" si="22"/>
        <v>-550</v>
      </c>
      <c r="AL418" s="374">
        <f>SUM(ERP[[#This Row],[AP01]:[AP06]])-SUM(ERP[[#This Row],[AP01 LE2]:[AP06 LE2]])</f>
        <v>-1650</v>
      </c>
      <c r="AM418" s="80"/>
      <c r="AN418" s="79" t="e">
        <f>ERP[[#This Row],[2026 Working Total to Budget/LE]]-ERP[[#This Row],[Giveback]]</f>
        <v>#N/A</v>
      </c>
      <c r="AO418" s="81"/>
      <c r="AP418" s="375"/>
      <c r="AQ418" s="375"/>
      <c r="AR418" s="375">
        <v>1048.69</v>
      </c>
      <c r="AS418" s="375">
        <v>550</v>
      </c>
      <c r="AT418" s="375">
        <v>550</v>
      </c>
      <c r="AU418" s="375">
        <v>550</v>
      </c>
      <c r="AV418" s="375">
        <v>550</v>
      </c>
      <c r="AW418" s="375">
        <v>550</v>
      </c>
      <c r="AX418" s="375">
        <v>550</v>
      </c>
      <c r="AY418" s="375">
        <v>550</v>
      </c>
      <c r="AZ418" s="375">
        <v>550</v>
      </c>
      <c r="BA418" s="375">
        <v>550</v>
      </c>
      <c r="BB418" s="375">
        <v>5998.6900000000005</v>
      </c>
      <c r="BC418" s="79"/>
      <c r="BD418" s="79"/>
      <c r="BE418" s="79">
        <v>1048.69</v>
      </c>
      <c r="BF418" s="79">
        <v>550</v>
      </c>
      <c r="BG418" s="79">
        <v>550</v>
      </c>
      <c r="BH418" s="79">
        <v>550</v>
      </c>
      <c r="BI418" s="79">
        <v>550</v>
      </c>
      <c r="BJ418" s="79">
        <v>550</v>
      </c>
      <c r="BK418" s="79">
        <v>550</v>
      </c>
      <c r="BL418" s="79">
        <v>550</v>
      </c>
      <c r="BM418" s="79">
        <v>550</v>
      </c>
      <c r="BN418" s="79">
        <v>550</v>
      </c>
      <c r="BO418" s="79">
        <v>5998.6900000000005</v>
      </c>
    </row>
    <row r="419" spans="1:67" ht="15" customHeight="1">
      <c r="A419" s="66" t="s">
        <v>2163</v>
      </c>
      <c r="B419" s="66" t="s">
        <v>2164</v>
      </c>
      <c r="C419" s="150" t="s">
        <v>1136</v>
      </c>
      <c r="D419" s="150" t="s">
        <v>1345</v>
      </c>
      <c r="E419" s="150" t="s">
        <v>1481</v>
      </c>
      <c r="F419" s="150" t="s">
        <v>1346</v>
      </c>
      <c r="G419" s="511" t="s">
        <v>602</v>
      </c>
      <c r="H419" s="392" t="s">
        <v>2165</v>
      </c>
      <c r="I419" s="343"/>
      <c r="J419" s="343"/>
      <c r="K419" s="70" t="s">
        <v>615</v>
      </c>
      <c r="L419" s="346"/>
      <c r="M419" s="343"/>
      <c r="N419" s="346"/>
      <c r="O419" s="150" t="s">
        <v>25</v>
      </c>
      <c r="P419" s="184" t="s">
        <v>2166</v>
      </c>
      <c r="Q419" s="403"/>
      <c r="R419" s="406">
        <v>80000</v>
      </c>
      <c r="S419" s="406">
        <v>40000</v>
      </c>
      <c r="T419" s="425"/>
      <c r="U419" s="71"/>
      <c r="V419" s="426"/>
      <c r="W419" s="427"/>
      <c r="X419" s="427"/>
      <c r="Y419" s="428" t="s">
        <v>1142</v>
      </c>
      <c r="Z419" s="429">
        <v>0</v>
      </c>
      <c r="AA419" s="429">
        <v>0</v>
      </c>
      <c r="AB419" s="363" t="e">
        <v>#N/A</v>
      </c>
      <c r="AC419" s="363">
        <v>10000</v>
      </c>
      <c r="AD419" s="360">
        <v>10000</v>
      </c>
      <c r="AE419" s="360">
        <v>10000</v>
      </c>
      <c r="AF419" s="360">
        <v>10000</v>
      </c>
      <c r="AG419" s="360">
        <v>0</v>
      </c>
      <c r="AH419" s="360" t="e">
        <f t="shared" si="23"/>
        <v>#N/A</v>
      </c>
      <c r="AI419" s="362" t="e">
        <f>ERP[[#This Row],[2026 Working Total]]-ERP[[#This Row],[LE2 Final Submission]]</f>
        <v>#N/A</v>
      </c>
      <c r="AJ419" s="79">
        <v>0</v>
      </c>
      <c r="AK419" s="79">
        <f t="shared" si="22"/>
        <v>0</v>
      </c>
      <c r="AL419" s="374">
        <f>SUM(ERP[[#This Row],[AP01]:[AP06]])-SUM(ERP[[#This Row],[AP01 LE2]:[AP06 LE2]])</f>
        <v>0</v>
      </c>
      <c r="AM419" s="80"/>
      <c r="AN419" s="79" t="e">
        <f>ERP[[#This Row],[2026 Working Total to Budget/LE]]-ERP[[#This Row],[Giveback]]</f>
        <v>#N/A</v>
      </c>
      <c r="AO419" s="81"/>
      <c r="AP419" s="375"/>
      <c r="AQ419" s="375"/>
      <c r="AR419" s="375"/>
      <c r="AS419" s="375">
        <v>0</v>
      </c>
      <c r="AT419" s="375">
        <v>0</v>
      </c>
      <c r="AU419" s="375">
        <v>0</v>
      </c>
      <c r="AV419" s="375">
        <v>0</v>
      </c>
      <c r="AW419" s="375">
        <v>10000</v>
      </c>
      <c r="AX419" s="375">
        <v>10000</v>
      </c>
      <c r="AY419" s="375">
        <v>10000</v>
      </c>
      <c r="AZ419" s="375">
        <v>10000</v>
      </c>
      <c r="BA419" s="375">
        <v>0</v>
      </c>
      <c r="BB419" s="375">
        <v>40000</v>
      </c>
      <c r="BC419" s="79"/>
      <c r="BD419" s="79"/>
      <c r="BE419" s="79"/>
      <c r="BF419" s="79">
        <v>20000</v>
      </c>
      <c r="BG419" s="79">
        <v>20000</v>
      </c>
      <c r="BH419" s="79">
        <v>20000</v>
      </c>
      <c r="BI419" s="79">
        <v>20000</v>
      </c>
      <c r="BJ419" s="79">
        <v>0</v>
      </c>
      <c r="BK419" s="79">
        <v>0</v>
      </c>
      <c r="BL419" s="79">
        <v>0</v>
      </c>
      <c r="BM419" s="79">
        <v>0</v>
      </c>
      <c r="BN419" s="79">
        <v>0</v>
      </c>
      <c r="BO419" s="79">
        <v>80000</v>
      </c>
    </row>
    <row r="420" spans="1:67" ht="15" customHeight="1">
      <c r="A420" s="66" t="s">
        <v>1472</v>
      </c>
      <c r="B420" s="66" t="s">
        <v>222</v>
      </c>
      <c r="C420" s="150" t="s">
        <v>1136</v>
      </c>
      <c r="D420" s="150" t="s">
        <v>1345</v>
      </c>
      <c r="E420" s="150" t="s">
        <v>1450</v>
      </c>
      <c r="F420" s="150" t="s">
        <v>1346</v>
      </c>
      <c r="G420" s="511" t="s">
        <v>49</v>
      </c>
      <c r="H420" s="392" t="s">
        <v>1473</v>
      </c>
      <c r="I420" s="343"/>
      <c r="J420" s="343"/>
      <c r="K420" s="345" t="s">
        <v>223</v>
      </c>
      <c r="L420" s="346"/>
      <c r="M420" s="343"/>
      <c r="N420" s="346"/>
      <c r="O420" s="150" t="s">
        <v>152</v>
      </c>
      <c r="P420" s="150"/>
      <c r="Q420" s="403"/>
      <c r="R420" s="406">
        <v>90000</v>
      </c>
      <c r="S420" s="406">
        <v>90000</v>
      </c>
      <c r="T420" s="425"/>
      <c r="U420" s="71"/>
      <c r="V420" s="426"/>
      <c r="W420" s="427"/>
      <c r="X420" s="427"/>
      <c r="Y420" s="428" t="s">
        <v>1142</v>
      </c>
      <c r="Z420" s="429">
        <v>0</v>
      </c>
      <c r="AA420" s="429">
        <v>82121</v>
      </c>
      <c r="AB420" s="363" t="e">
        <v>#N/A</v>
      </c>
      <c r="AC420" s="363">
        <v>0</v>
      </c>
      <c r="AD420" s="363">
        <v>0</v>
      </c>
      <c r="AE420" s="363">
        <v>0</v>
      </c>
      <c r="AF420" s="363">
        <v>0</v>
      </c>
      <c r="AG420" s="363">
        <v>7879</v>
      </c>
      <c r="AH420" s="360" t="e">
        <f t="shared" si="23"/>
        <v>#N/A</v>
      </c>
      <c r="AI420" s="362" t="e">
        <f>ERP[[#This Row],[2026 Working Total]]-ERP[[#This Row],[LE2 Final Submission]]</f>
        <v>#N/A</v>
      </c>
      <c r="AJ420" s="79"/>
      <c r="AK420" s="79">
        <f t="shared" si="22"/>
        <v>82121</v>
      </c>
      <c r="AL420" s="374">
        <f>SUM(ERP[[#This Row],[AP01]:[AP06]])-SUM(ERP[[#This Row],[AP01 LE2]:[AP06 LE2]])</f>
        <v>121</v>
      </c>
      <c r="AM420" s="80"/>
      <c r="AN420" s="79" t="e">
        <f>ERP[[#This Row],[2026 Working Total to Budget/LE]]-ERP[[#This Row],[Giveback]]</f>
        <v>#N/A</v>
      </c>
      <c r="AO420" s="81"/>
      <c r="AP420" s="375"/>
      <c r="AQ420" s="375"/>
      <c r="AR420" s="375"/>
      <c r="AS420" s="375">
        <v>0</v>
      </c>
      <c r="AT420" s="375">
        <v>82000</v>
      </c>
      <c r="AU420" s="375">
        <v>0</v>
      </c>
      <c r="AV420" s="375">
        <v>0</v>
      </c>
      <c r="AW420" s="375">
        <v>4000</v>
      </c>
      <c r="AX420" s="375">
        <v>4000</v>
      </c>
      <c r="AY420" s="375">
        <v>0</v>
      </c>
      <c r="AZ420" s="375">
        <v>0</v>
      </c>
      <c r="BA420" s="375">
        <v>0</v>
      </c>
      <c r="BB420" s="375">
        <v>90000</v>
      </c>
      <c r="BC420" s="79"/>
      <c r="BD420" s="79"/>
      <c r="BE420" s="79"/>
      <c r="BF420" s="79">
        <v>8000</v>
      </c>
      <c r="BG420" s="79">
        <v>8000</v>
      </c>
      <c r="BH420" s="79">
        <v>8000</v>
      </c>
      <c r="BI420" s="79">
        <v>8000</v>
      </c>
      <c r="BJ420" s="79">
        <v>10000</v>
      </c>
      <c r="BK420" s="79">
        <v>10000</v>
      </c>
      <c r="BL420" s="79">
        <v>10000</v>
      </c>
      <c r="BM420" s="79">
        <v>10000</v>
      </c>
      <c r="BN420" s="79">
        <v>10000</v>
      </c>
      <c r="BO420" s="79">
        <v>82000</v>
      </c>
    </row>
    <row r="421" spans="1:67" ht="15" customHeight="1">
      <c r="A421" s="66" t="s">
        <v>1474</v>
      </c>
      <c r="B421" s="66" t="s">
        <v>224</v>
      </c>
      <c r="C421" s="150" t="s">
        <v>1136</v>
      </c>
      <c r="D421" s="150" t="s">
        <v>1345</v>
      </c>
      <c r="E421" s="150" t="s">
        <v>1450</v>
      </c>
      <c r="F421" s="150" t="s">
        <v>1346</v>
      </c>
      <c r="G421" s="511" t="s">
        <v>49</v>
      </c>
      <c r="H421" s="392" t="s">
        <v>1475</v>
      </c>
      <c r="I421" s="343"/>
      <c r="J421" s="343"/>
      <c r="K421" s="70" t="s">
        <v>225</v>
      </c>
      <c r="L421" s="346"/>
      <c r="M421" s="343"/>
      <c r="N421" s="346"/>
      <c r="O421" s="150" t="s">
        <v>25</v>
      </c>
      <c r="P421" s="150"/>
      <c r="Q421" s="403"/>
      <c r="R421" s="406">
        <v>0</v>
      </c>
      <c r="S421" s="406">
        <v>70950</v>
      </c>
      <c r="T421" s="430"/>
      <c r="U421" s="137"/>
      <c r="V421" s="426"/>
      <c r="W421" s="427"/>
      <c r="X421" s="427">
        <v>70950</v>
      </c>
      <c r="Y421" s="428">
        <v>0</v>
      </c>
      <c r="Z421" s="429">
        <v>0</v>
      </c>
      <c r="AA421" s="429">
        <v>0</v>
      </c>
      <c r="AB421" s="363" t="e">
        <v>#N/A</v>
      </c>
      <c r="AC421" s="360">
        <v>0</v>
      </c>
      <c r="AD421" s="360">
        <v>0</v>
      </c>
      <c r="AE421" s="360">
        <v>0</v>
      </c>
      <c r="AF421" s="360">
        <v>0</v>
      </c>
      <c r="AG421" s="360">
        <v>0</v>
      </c>
      <c r="AH421" s="360" t="e">
        <f t="shared" si="23"/>
        <v>#N/A</v>
      </c>
      <c r="AI421" s="362" t="e">
        <f>ERP[[#This Row],[2026 Working Total]]-ERP[[#This Row],[LE2 Final Submission]]</f>
        <v>#N/A</v>
      </c>
      <c r="AJ421" s="79">
        <v>0</v>
      </c>
      <c r="AK421" s="79">
        <f t="shared" si="22"/>
        <v>0</v>
      </c>
      <c r="AL421" s="374">
        <f>SUM(ERP[[#This Row],[AP01]:[AP06]])-SUM(ERP[[#This Row],[AP01 LE2]:[AP06 LE2]])</f>
        <v>0</v>
      </c>
      <c r="AM421" s="80"/>
      <c r="AN421" s="79" t="e">
        <f>ERP[[#This Row],[2026 Working Total to Budget/LE]]-ERP[[#This Row],[Giveback]]</f>
        <v>#N/A</v>
      </c>
      <c r="AO421" s="81"/>
      <c r="AP421" s="375"/>
      <c r="AQ421" s="375"/>
      <c r="AR421" s="375">
        <v>70950</v>
      </c>
      <c r="AS421" s="375">
        <v>0</v>
      </c>
      <c r="AT421" s="375">
        <v>0</v>
      </c>
      <c r="AU421" s="375">
        <v>0</v>
      </c>
      <c r="AV421" s="375">
        <v>0</v>
      </c>
      <c r="AW421" s="375">
        <v>0</v>
      </c>
      <c r="AX421" s="375">
        <v>0</v>
      </c>
      <c r="AY421" s="375">
        <v>0</v>
      </c>
      <c r="AZ421" s="375">
        <v>0</v>
      </c>
      <c r="BA421" s="375">
        <v>0</v>
      </c>
      <c r="BB421" s="375">
        <v>70950</v>
      </c>
      <c r="BC421" s="79"/>
      <c r="BD421" s="79"/>
      <c r="BE421" s="79">
        <v>70950</v>
      </c>
      <c r="BF421" s="79">
        <v>0</v>
      </c>
      <c r="BG421" s="79">
        <v>0</v>
      </c>
      <c r="BH421" s="79">
        <v>0</v>
      </c>
      <c r="BI421" s="79">
        <v>0</v>
      </c>
      <c r="BJ421" s="79">
        <v>0</v>
      </c>
      <c r="BK421" s="79">
        <v>0</v>
      </c>
      <c r="BL421" s="79">
        <v>0</v>
      </c>
      <c r="BM421" s="79">
        <v>0</v>
      </c>
      <c r="BN421" s="79">
        <v>0</v>
      </c>
      <c r="BO421" s="79">
        <v>70950</v>
      </c>
    </row>
    <row r="422" spans="1:67" ht="15" customHeight="1">
      <c r="A422" s="66" t="s">
        <v>1412</v>
      </c>
      <c r="B422" s="66" t="s">
        <v>1413</v>
      </c>
      <c r="C422" s="150" t="s">
        <v>1136</v>
      </c>
      <c r="D422" s="150" t="s">
        <v>1345</v>
      </c>
      <c r="E422" s="150" t="s">
        <v>1346</v>
      </c>
      <c r="F422" s="150" t="s">
        <v>1346</v>
      </c>
      <c r="G422" s="511" t="s">
        <v>49</v>
      </c>
      <c r="H422" s="392" t="s">
        <v>1414</v>
      </c>
      <c r="I422" s="343"/>
      <c r="J422" s="346" t="s">
        <v>1415</v>
      </c>
      <c r="K422" s="70" t="s">
        <v>314</v>
      </c>
      <c r="L422" s="346"/>
      <c r="M422" s="346" t="s">
        <v>1416</v>
      </c>
      <c r="N422" s="346"/>
      <c r="O422" s="150" t="s">
        <v>25</v>
      </c>
      <c r="P422" s="150"/>
      <c r="Q422" s="403"/>
      <c r="R422" s="406">
        <v>0</v>
      </c>
      <c r="S422" s="406">
        <v>0.33000000000174623</v>
      </c>
      <c r="T422" s="425"/>
      <c r="U422" s="71"/>
      <c r="V422" s="426"/>
      <c r="W422" s="427">
        <v>63054.92</v>
      </c>
      <c r="X422" s="427">
        <v>-63054.59</v>
      </c>
      <c r="Y422" s="428">
        <v>0</v>
      </c>
      <c r="Z422" s="429">
        <v>0</v>
      </c>
      <c r="AA422" s="429">
        <v>0</v>
      </c>
      <c r="AB422" s="363" t="e">
        <v>#N/A</v>
      </c>
      <c r="AC422" s="360">
        <v>0</v>
      </c>
      <c r="AD422" s="360">
        <v>0</v>
      </c>
      <c r="AE422" s="360">
        <v>0</v>
      </c>
      <c r="AF422" s="360">
        <v>0</v>
      </c>
      <c r="AG422" s="360">
        <v>0</v>
      </c>
      <c r="AH422" s="360" t="e">
        <f t="shared" si="23"/>
        <v>#N/A</v>
      </c>
      <c r="AI422" s="362" t="e">
        <f>ERP[[#This Row],[2026 Working Total]]-ERP[[#This Row],[LE2 Final Submission]]</f>
        <v>#N/A</v>
      </c>
      <c r="AJ422" s="79">
        <v>0</v>
      </c>
      <c r="AK422" s="79">
        <f t="shared" si="22"/>
        <v>0</v>
      </c>
      <c r="AL422" s="374">
        <f>SUM(ERP[[#This Row],[AP01]:[AP06]])-SUM(ERP[[#This Row],[AP01 LE2]:[AP06 LE2]])</f>
        <v>0</v>
      </c>
      <c r="AM422" s="80"/>
      <c r="AN422" s="79" t="e">
        <f>ERP[[#This Row],[2026 Working Total to Budget/LE]]-ERP[[#This Row],[Giveback]]</f>
        <v>#N/A</v>
      </c>
      <c r="AO422" s="81"/>
      <c r="AP422" s="375"/>
      <c r="AQ422" s="375">
        <v>63054.92</v>
      </c>
      <c r="AR422" s="375">
        <v>-63054.59</v>
      </c>
      <c r="AS422" s="375">
        <v>0</v>
      </c>
      <c r="AT422" s="375">
        <v>0</v>
      </c>
      <c r="AU422" s="375">
        <v>0</v>
      </c>
      <c r="AV422" s="375">
        <v>0</v>
      </c>
      <c r="AW422" s="375">
        <v>0</v>
      </c>
      <c r="AX422" s="375">
        <v>0</v>
      </c>
      <c r="AY422" s="375">
        <v>0</v>
      </c>
      <c r="AZ422" s="375">
        <v>0</v>
      </c>
      <c r="BA422" s="375">
        <v>0</v>
      </c>
      <c r="BB422" s="375">
        <v>0.33000000000174623</v>
      </c>
      <c r="BC422" s="79"/>
      <c r="BD422" s="79">
        <v>63054.92</v>
      </c>
      <c r="BE422" s="79">
        <v>-63054.59</v>
      </c>
      <c r="BF422" s="79">
        <v>0</v>
      </c>
      <c r="BG422" s="79">
        <v>0</v>
      </c>
      <c r="BH422" s="79">
        <v>0</v>
      </c>
      <c r="BI422" s="79">
        <v>0</v>
      </c>
      <c r="BJ422" s="79">
        <v>0</v>
      </c>
      <c r="BK422" s="79">
        <v>0</v>
      </c>
      <c r="BL422" s="79">
        <v>0</v>
      </c>
      <c r="BM422" s="79">
        <v>0</v>
      </c>
      <c r="BN422" s="79">
        <v>0</v>
      </c>
      <c r="BO422" s="79">
        <v>0.33000000000174623</v>
      </c>
    </row>
    <row r="423" spans="1:67" ht="15" customHeight="1">
      <c r="A423" s="66" t="s">
        <v>1418</v>
      </c>
      <c r="B423" s="66" t="s">
        <v>1419</v>
      </c>
      <c r="C423" s="150" t="s">
        <v>1136</v>
      </c>
      <c r="D423" s="150" t="s">
        <v>1345</v>
      </c>
      <c r="E423" s="150" t="s">
        <v>1346</v>
      </c>
      <c r="F423" s="150" t="s">
        <v>1346</v>
      </c>
      <c r="G423" s="511" t="s">
        <v>49</v>
      </c>
      <c r="H423" s="392" t="s">
        <v>1420</v>
      </c>
      <c r="I423" s="343"/>
      <c r="J423" s="346" t="s">
        <v>1415</v>
      </c>
      <c r="K423" s="70" t="s">
        <v>316</v>
      </c>
      <c r="L423" s="346"/>
      <c r="M423" s="346" t="s">
        <v>1421</v>
      </c>
      <c r="N423" s="346"/>
      <c r="O423" s="150" t="s">
        <v>25</v>
      </c>
      <c r="P423" s="150"/>
      <c r="Q423" s="404"/>
      <c r="R423" s="407">
        <v>0</v>
      </c>
      <c r="S423" s="407">
        <v>0</v>
      </c>
      <c r="T423" s="430"/>
      <c r="U423" s="137"/>
      <c r="V423" s="426"/>
      <c r="W423" s="427">
        <v>89550.8</v>
      </c>
      <c r="X423" s="427">
        <v>-89550.8</v>
      </c>
      <c r="Y423" s="428">
        <v>0</v>
      </c>
      <c r="Z423" s="429">
        <v>0</v>
      </c>
      <c r="AA423" s="429">
        <v>0</v>
      </c>
      <c r="AB423" s="363" t="e">
        <v>#N/A</v>
      </c>
      <c r="AC423" s="363"/>
      <c r="AD423" s="363"/>
      <c r="AE423" s="363"/>
      <c r="AF423" s="363"/>
      <c r="AG423" s="363"/>
      <c r="AH423" s="360" t="e">
        <f t="shared" si="23"/>
        <v>#N/A</v>
      </c>
      <c r="AI423" s="362" t="e">
        <f>ERP[[#This Row],[2026 Working Total]]-ERP[[#This Row],[LE2 Final Submission]]</f>
        <v>#N/A</v>
      </c>
      <c r="AJ423" s="79"/>
      <c r="AK423" s="79">
        <f t="shared" si="22"/>
        <v>0</v>
      </c>
      <c r="AL423" s="374">
        <f>SUM(ERP[[#This Row],[AP01]:[AP06]])-SUM(ERP[[#This Row],[AP01 LE2]:[AP06 LE2]])</f>
        <v>0</v>
      </c>
      <c r="AM423" s="80"/>
      <c r="AN423" s="79" t="e">
        <f>ERP[[#This Row],[2026 Working Total to Budget/LE]]-ERP[[#This Row],[Giveback]]</f>
        <v>#N/A</v>
      </c>
      <c r="AO423" s="81"/>
      <c r="AP423" s="375"/>
      <c r="AQ423" s="375">
        <v>89550.8</v>
      </c>
      <c r="AR423" s="375">
        <v>-89550.8</v>
      </c>
      <c r="AS423" s="375"/>
      <c r="AT423" s="375"/>
      <c r="AU423" s="375"/>
      <c r="AV423" s="375"/>
      <c r="AW423" s="375"/>
      <c r="AX423" s="375"/>
      <c r="AY423" s="375"/>
      <c r="AZ423" s="375"/>
      <c r="BA423" s="375"/>
      <c r="BB423" s="375">
        <v>0</v>
      </c>
      <c r="BC423" s="79"/>
      <c r="BD423" s="79">
        <v>89550.8</v>
      </c>
      <c r="BE423" s="79">
        <v>-89550.8</v>
      </c>
      <c r="BF423" s="79"/>
      <c r="BG423" s="79"/>
      <c r="BH423" s="79"/>
      <c r="BI423" s="79"/>
      <c r="BJ423" s="79"/>
      <c r="BK423" s="79"/>
      <c r="BL423" s="79"/>
      <c r="BM423" s="79"/>
      <c r="BN423" s="79"/>
      <c r="BO423" s="79">
        <v>0</v>
      </c>
    </row>
    <row r="424" spans="1:67" ht="15" customHeight="1">
      <c r="A424" s="66" t="s">
        <v>2854</v>
      </c>
      <c r="B424" s="66" t="s">
        <v>2855</v>
      </c>
      <c r="C424" s="150" t="s">
        <v>1136</v>
      </c>
      <c r="D424" s="150" t="s">
        <v>1345</v>
      </c>
      <c r="E424" s="150" t="s">
        <v>1346</v>
      </c>
      <c r="F424" s="150" t="s">
        <v>1346</v>
      </c>
      <c r="G424" s="511" t="s">
        <v>1037</v>
      </c>
      <c r="H424" s="392" t="s">
        <v>2856</v>
      </c>
      <c r="I424" s="343"/>
      <c r="J424" s="343"/>
      <c r="K424" s="70" t="s">
        <v>318</v>
      </c>
      <c r="L424" s="346"/>
      <c r="M424" s="343"/>
      <c r="N424" s="346"/>
      <c r="O424" s="150" t="s">
        <v>25</v>
      </c>
      <c r="P424" s="150"/>
      <c r="Q424" s="403"/>
      <c r="R424" s="406">
        <v>0</v>
      </c>
      <c r="S424" s="406">
        <v>1583.99</v>
      </c>
      <c r="T424" s="425"/>
      <c r="U424" s="71"/>
      <c r="V424" s="426"/>
      <c r="W424" s="427"/>
      <c r="X424" s="427">
        <v>1583.99</v>
      </c>
      <c r="Y424" s="428" t="s">
        <v>1142</v>
      </c>
      <c r="Z424" s="429">
        <v>0</v>
      </c>
      <c r="AA424" s="429">
        <v>0</v>
      </c>
      <c r="AB424" s="363" t="e">
        <v>#N/A</v>
      </c>
      <c r="AC424" s="360">
        <v>0</v>
      </c>
      <c r="AD424" s="360">
        <v>0</v>
      </c>
      <c r="AE424" s="360">
        <v>0</v>
      </c>
      <c r="AF424" s="360">
        <v>0</v>
      </c>
      <c r="AG424" s="360">
        <v>0</v>
      </c>
      <c r="AH424" s="360" t="e">
        <f t="shared" si="23"/>
        <v>#N/A</v>
      </c>
      <c r="AI424" s="362" t="e">
        <f>ERP[[#This Row],[2026 Working Total]]-ERP[[#This Row],[LE2 Final Submission]]</f>
        <v>#N/A</v>
      </c>
      <c r="AJ424" s="79">
        <v>0</v>
      </c>
      <c r="AK424" s="79">
        <f t="shared" si="22"/>
        <v>0</v>
      </c>
      <c r="AL424" s="374">
        <f>SUM(ERP[[#This Row],[AP01]:[AP06]])-SUM(ERP[[#This Row],[AP01 LE2]:[AP06 LE2]])</f>
        <v>0</v>
      </c>
      <c r="AM424" s="80"/>
      <c r="AN424" s="79" t="e">
        <f>ERP[[#This Row],[2026 Working Total to Budget/LE]]-ERP[[#This Row],[Giveback]]</f>
        <v>#N/A</v>
      </c>
      <c r="AO424" s="81"/>
      <c r="AP424" s="375"/>
      <c r="AQ424" s="375"/>
      <c r="AR424" s="375">
        <v>1583.99</v>
      </c>
      <c r="AS424" s="375">
        <v>0</v>
      </c>
      <c r="AT424" s="375">
        <v>0</v>
      </c>
      <c r="AU424" s="375">
        <v>0</v>
      </c>
      <c r="AV424" s="375">
        <v>0</v>
      </c>
      <c r="AW424" s="375">
        <v>0</v>
      </c>
      <c r="AX424" s="375">
        <v>0</v>
      </c>
      <c r="AY424" s="375">
        <v>0</v>
      </c>
      <c r="AZ424" s="375">
        <v>0</v>
      </c>
      <c r="BA424" s="375">
        <v>0</v>
      </c>
      <c r="BB424" s="375">
        <v>1583.99</v>
      </c>
      <c r="BC424" s="79"/>
      <c r="BD424" s="79"/>
      <c r="BE424" s="79">
        <v>1583.99</v>
      </c>
      <c r="BF424" s="79">
        <v>0</v>
      </c>
      <c r="BG424" s="79">
        <v>0</v>
      </c>
      <c r="BH424" s="79">
        <v>0</v>
      </c>
      <c r="BI424" s="79">
        <v>0</v>
      </c>
      <c r="BJ424" s="79">
        <v>0</v>
      </c>
      <c r="BK424" s="79">
        <v>0</v>
      </c>
      <c r="BL424" s="79">
        <v>0</v>
      </c>
      <c r="BM424" s="79">
        <v>0</v>
      </c>
      <c r="BN424" s="79">
        <v>0</v>
      </c>
      <c r="BO424" s="79">
        <v>1583.99</v>
      </c>
    </row>
    <row r="425" spans="1:67" ht="15" customHeight="1">
      <c r="A425" s="66" t="s">
        <v>1936</v>
      </c>
      <c r="B425" s="66" t="s">
        <v>1937</v>
      </c>
      <c r="C425" s="150" t="s">
        <v>1136</v>
      </c>
      <c r="D425" s="150" t="s">
        <v>1135</v>
      </c>
      <c r="E425" s="150" t="s">
        <v>1165</v>
      </c>
      <c r="F425" s="150" t="s">
        <v>1137</v>
      </c>
      <c r="G425" s="511" t="s">
        <v>389</v>
      </c>
      <c r="H425" s="392" t="s">
        <v>1938</v>
      </c>
      <c r="I425" s="343"/>
      <c r="J425" s="343"/>
      <c r="K425" s="70" t="s">
        <v>480</v>
      </c>
      <c r="L425" s="346"/>
      <c r="M425" s="343"/>
      <c r="N425" s="346"/>
      <c r="O425" s="150" t="s">
        <v>478</v>
      </c>
      <c r="P425" s="150"/>
      <c r="Q425" s="403"/>
      <c r="R425" s="406">
        <v>345000</v>
      </c>
      <c r="S425" s="406">
        <v>333579.34999999998</v>
      </c>
      <c r="T425" s="425"/>
      <c r="U425" s="71"/>
      <c r="V425" s="426"/>
      <c r="W425" s="427"/>
      <c r="X425" s="427">
        <v>80924.350000000006</v>
      </c>
      <c r="Y425" s="428">
        <v>25748.649999999994</v>
      </c>
      <c r="Z425" s="429">
        <v>35684.65</v>
      </c>
      <c r="AA425" s="429">
        <v>28214.84</v>
      </c>
      <c r="AB425" s="363" t="e">
        <v>#N/A</v>
      </c>
      <c r="AC425" s="363">
        <v>26933</v>
      </c>
      <c r="AD425" s="363">
        <v>28215</v>
      </c>
      <c r="AE425" s="363">
        <v>28215</v>
      </c>
      <c r="AF425" s="363">
        <v>26933</v>
      </c>
      <c r="AG425" s="363">
        <v>29498</v>
      </c>
      <c r="AH425" s="360" t="e">
        <f t="shared" si="23"/>
        <v>#N/A</v>
      </c>
      <c r="AI425" s="362" t="e">
        <f>ERP[[#This Row],[2026 Working Total]]-ERP[[#This Row],[LE2 Final Submission]]</f>
        <v>#N/A</v>
      </c>
      <c r="AJ425" s="79">
        <v>29498</v>
      </c>
      <c r="AK425" s="79">
        <f t="shared" si="22"/>
        <v>-1283.1599999999999</v>
      </c>
      <c r="AL425" s="374">
        <f>SUM(ERP[[#This Row],[AP01]:[AP06]])-SUM(ERP[[#This Row],[AP01 LE2]:[AP06 LE2]])</f>
        <v>6285.1399999999849</v>
      </c>
      <c r="AM425" s="80"/>
      <c r="AN425" s="79" t="e">
        <f>ERP[[#This Row],[2026 Working Total to Budget/LE]]-ERP[[#This Row],[Giveback]]</f>
        <v>#N/A</v>
      </c>
      <c r="AO425" s="81"/>
      <c r="AP425" s="375"/>
      <c r="AQ425" s="375"/>
      <c r="AR425" s="375">
        <v>80924.350000000006</v>
      </c>
      <c r="AS425" s="375">
        <v>28215</v>
      </c>
      <c r="AT425" s="375">
        <v>26933</v>
      </c>
      <c r="AU425" s="375">
        <v>28215</v>
      </c>
      <c r="AV425" s="375">
        <v>29498</v>
      </c>
      <c r="AW425" s="375">
        <v>26933</v>
      </c>
      <c r="AX425" s="375">
        <v>28215</v>
      </c>
      <c r="AY425" s="375">
        <v>28215</v>
      </c>
      <c r="AZ425" s="375">
        <v>26933</v>
      </c>
      <c r="BA425" s="375">
        <v>29498</v>
      </c>
      <c r="BB425" s="375">
        <v>333579.34999999998</v>
      </c>
      <c r="BC425" s="79"/>
      <c r="BD425" s="79"/>
      <c r="BE425" s="79">
        <v>80924.350000000006</v>
      </c>
      <c r="BF425" s="79">
        <v>27894</v>
      </c>
      <c r="BG425" s="79">
        <v>27894</v>
      </c>
      <c r="BH425" s="79">
        <v>27894</v>
      </c>
      <c r="BI425" s="79">
        <v>27894</v>
      </c>
      <c r="BJ425" s="79">
        <v>27894</v>
      </c>
      <c r="BK425" s="79">
        <v>27894</v>
      </c>
      <c r="BL425" s="79">
        <v>27894</v>
      </c>
      <c r="BM425" s="79">
        <v>27894</v>
      </c>
      <c r="BN425" s="79">
        <v>27894</v>
      </c>
      <c r="BO425" s="79">
        <v>331970.34999999998</v>
      </c>
    </row>
    <row r="426" spans="1:67" ht="15" customHeight="1">
      <c r="A426" s="66" t="s">
        <v>1939</v>
      </c>
      <c r="B426" s="66" t="s">
        <v>481</v>
      </c>
      <c r="C426" s="150" t="s">
        <v>1136</v>
      </c>
      <c r="D426" s="150" t="s">
        <v>1135</v>
      </c>
      <c r="E426" s="150" t="s">
        <v>1135</v>
      </c>
      <c r="F426" s="150" t="s">
        <v>1137</v>
      </c>
      <c r="G426" s="511" t="s">
        <v>389</v>
      </c>
      <c r="H426" s="392" t="s">
        <v>1778</v>
      </c>
      <c r="I426" s="343"/>
      <c r="J426" s="343"/>
      <c r="K426" s="70" t="s">
        <v>482</v>
      </c>
      <c r="L426" s="346"/>
      <c r="M426" s="343"/>
      <c r="N426" s="346"/>
      <c r="O426" s="150" t="s">
        <v>408</v>
      </c>
      <c r="P426" s="150"/>
      <c r="Q426" s="403"/>
      <c r="R426" s="406">
        <v>0</v>
      </c>
      <c r="S426" s="406">
        <v>-18450</v>
      </c>
      <c r="T426" s="425"/>
      <c r="U426" s="71"/>
      <c r="V426" s="426"/>
      <c r="W426" s="427"/>
      <c r="X426" s="427">
        <v>-3450</v>
      </c>
      <c r="Y426" s="428">
        <v>0</v>
      </c>
      <c r="Z426" s="429">
        <v>-7116.77</v>
      </c>
      <c r="AA426" s="429">
        <v>-3658.57</v>
      </c>
      <c r="AB426" s="363" t="e">
        <v>#N/A</v>
      </c>
      <c r="AC426" s="363">
        <v>-1666.67</v>
      </c>
      <c r="AD426" s="363">
        <v>-1666.67</v>
      </c>
      <c r="AE426" s="360">
        <v>0</v>
      </c>
      <c r="AF426" s="360">
        <v>0</v>
      </c>
      <c r="AG426" s="360">
        <v>0</v>
      </c>
      <c r="AH426" s="360" t="e">
        <f t="shared" si="23"/>
        <v>#N/A</v>
      </c>
      <c r="AI426" s="362" t="e">
        <f>ERP[[#This Row],[2026 Working Total]]-ERP[[#This Row],[LE2 Final Submission]]</f>
        <v>#N/A</v>
      </c>
      <c r="AJ426" s="79">
        <v>-1666.67</v>
      </c>
      <c r="AK426" s="79">
        <f t="shared" si="22"/>
        <v>-1991.9</v>
      </c>
      <c r="AL426" s="374">
        <f>SUM(ERP[[#This Row],[AP01]:[AP06]])-SUM(ERP[[#This Row],[AP01 LE2]:[AP06 LE2]])</f>
        <v>-775.35000000000036</v>
      </c>
      <c r="AM426" s="80"/>
      <c r="AN426" s="79" t="e">
        <f>ERP[[#This Row],[2026 Working Total to Budget/LE]]-ERP[[#This Row],[Giveback]]</f>
        <v>#N/A</v>
      </c>
      <c r="AO426" s="81"/>
      <c r="AP426" s="375"/>
      <c r="AQ426" s="375"/>
      <c r="AR426" s="375">
        <v>-3450</v>
      </c>
      <c r="AS426" s="375">
        <v>-3333.33</v>
      </c>
      <c r="AT426" s="375">
        <v>-3333.33</v>
      </c>
      <c r="AU426" s="375">
        <v>-3333.33</v>
      </c>
      <c r="AV426" s="375">
        <v>-1666.67</v>
      </c>
      <c r="AW426" s="375">
        <v>-1666.67</v>
      </c>
      <c r="AX426" s="375">
        <v>-1666.67</v>
      </c>
      <c r="AY426" s="375">
        <v>0</v>
      </c>
      <c r="AZ426" s="375">
        <v>0</v>
      </c>
      <c r="BA426" s="375">
        <v>0</v>
      </c>
      <c r="BB426" s="375">
        <v>-18450</v>
      </c>
      <c r="BC426" s="79"/>
      <c r="BD426" s="79"/>
      <c r="BE426" s="79">
        <v>-3450</v>
      </c>
      <c r="BF426" s="79">
        <v>-3333.33</v>
      </c>
      <c r="BG426" s="79">
        <v>-3333.33</v>
      </c>
      <c r="BH426" s="79">
        <v>-3333.33</v>
      </c>
      <c r="BI426" s="79">
        <v>-1666.67</v>
      </c>
      <c r="BJ426" s="79">
        <v>-1666.67</v>
      </c>
      <c r="BK426" s="79">
        <v>-1666.67</v>
      </c>
      <c r="BL426" s="79">
        <v>0</v>
      </c>
      <c r="BM426" s="79">
        <v>0</v>
      </c>
      <c r="BN426" s="79">
        <v>0</v>
      </c>
      <c r="BO426" s="79">
        <v>-18450</v>
      </c>
    </row>
    <row r="427" spans="1:67" ht="15" customHeight="1">
      <c r="A427" s="66" t="s">
        <v>1943</v>
      </c>
      <c r="B427" s="66" t="s">
        <v>1944</v>
      </c>
      <c r="C427" s="150" t="s">
        <v>1136</v>
      </c>
      <c r="D427" s="150" t="s">
        <v>1135</v>
      </c>
      <c r="E427" s="150" t="s">
        <v>1165</v>
      </c>
      <c r="F427" s="150" t="s">
        <v>1137</v>
      </c>
      <c r="G427" s="511" t="s">
        <v>389</v>
      </c>
      <c r="H427" s="392" t="s">
        <v>1945</v>
      </c>
      <c r="I427" s="343"/>
      <c r="J427" s="343"/>
      <c r="K427" s="70" t="s">
        <v>484</v>
      </c>
      <c r="L427" s="346"/>
      <c r="M427" s="343"/>
      <c r="N427" s="346"/>
      <c r="O427" s="150" t="s">
        <v>57</v>
      </c>
      <c r="P427" s="150"/>
      <c r="Q427" s="403"/>
      <c r="R427" s="406">
        <v>0</v>
      </c>
      <c r="S427" s="406">
        <v>3711.49</v>
      </c>
      <c r="T427" s="425"/>
      <c r="U427" s="71"/>
      <c r="V427" s="426"/>
      <c r="W427" s="427"/>
      <c r="X427" s="427">
        <v>552.49</v>
      </c>
      <c r="Y427" s="428">
        <v>0</v>
      </c>
      <c r="Z427" s="429">
        <v>0</v>
      </c>
      <c r="AA427" s="429">
        <v>0</v>
      </c>
      <c r="AB427" s="363" t="e">
        <v>#N/A</v>
      </c>
      <c r="AC427" s="363">
        <v>351</v>
      </c>
      <c r="AD427" s="363">
        <v>351</v>
      </c>
      <c r="AE427" s="363">
        <v>351</v>
      </c>
      <c r="AF427" s="363">
        <v>351</v>
      </c>
      <c r="AG427" s="363">
        <v>351</v>
      </c>
      <c r="AH427" s="360" t="e">
        <f t="shared" si="23"/>
        <v>#N/A</v>
      </c>
      <c r="AI427" s="362" t="e">
        <f>ERP[[#This Row],[2026 Working Total]]-ERP[[#This Row],[LE2 Final Submission]]</f>
        <v>#N/A</v>
      </c>
      <c r="AJ427" s="79">
        <v>351</v>
      </c>
      <c r="AK427" s="79">
        <f t="shared" si="22"/>
        <v>-351</v>
      </c>
      <c r="AL427" s="374">
        <f>SUM(ERP[[#This Row],[AP01]:[AP06]])-SUM(ERP[[#This Row],[AP01 LE2]:[AP06 LE2]])</f>
        <v>-1053</v>
      </c>
      <c r="AM427" s="80"/>
      <c r="AN427" s="79" t="e">
        <f>ERP[[#This Row],[2026 Working Total to Budget/LE]]-ERP[[#This Row],[Giveback]]</f>
        <v>#N/A</v>
      </c>
      <c r="AO427" s="81"/>
      <c r="AP427" s="375"/>
      <c r="AQ427" s="375"/>
      <c r="AR427" s="375">
        <v>552.49</v>
      </c>
      <c r="AS427" s="375">
        <v>351</v>
      </c>
      <c r="AT427" s="375">
        <v>351</v>
      </c>
      <c r="AU427" s="375">
        <v>351</v>
      </c>
      <c r="AV427" s="375">
        <v>351</v>
      </c>
      <c r="AW427" s="375">
        <v>351</v>
      </c>
      <c r="AX427" s="375">
        <v>351</v>
      </c>
      <c r="AY427" s="375">
        <v>351</v>
      </c>
      <c r="AZ427" s="375">
        <v>351</v>
      </c>
      <c r="BA427" s="375">
        <v>351</v>
      </c>
      <c r="BB427" s="375">
        <v>3711.49</v>
      </c>
      <c r="BC427" s="79"/>
      <c r="BD427" s="79"/>
      <c r="BE427" s="79">
        <v>552.49</v>
      </c>
      <c r="BF427" s="79">
        <v>351</v>
      </c>
      <c r="BG427" s="79">
        <v>351</v>
      </c>
      <c r="BH427" s="79">
        <v>351</v>
      </c>
      <c r="BI427" s="79">
        <v>351</v>
      </c>
      <c r="BJ427" s="79">
        <v>351</v>
      </c>
      <c r="BK427" s="79">
        <v>351</v>
      </c>
      <c r="BL427" s="79">
        <v>351</v>
      </c>
      <c r="BM427" s="79">
        <v>351</v>
      </c>
      <c r="BN427" s="79">
        <v>351</v>
      </c>
      <c r="BO427" s="79">
        <v>3711.49</v>
      </c>
    </row>
    <row r="428" spans="1:67" ht="15" customHeight="1">
      <c r="A428" s="66" t="s">
        <v>2302</v>
      </c>
      <c r="B428" s="66" t="s">
        <v>2303</v>
      </c>
      <c r="C428" s="150" t="s">
        <v>1136</v>
      </c>
      <c r="D428" s="150" t="s">
        <v>1135</v>
      </c>
      <c r="E428" s="150" t="s">
        <v>1165</v>
      </c>
      <c r="F428" s="150" t="s">
        <v>1137</v>
      </c>
      <c r="G428" s="511" t="s">
        <v>639</v>
      </c>
      <c r="H428" s="392" t="s">
        <v>2304</v>
      </c>
      <c r="I428" s="343" t="s">
        <v>2305</v>
      </c>
      <c r="J428" s="346" t="s">
        <v>1252</v>
      </c>
      <c r="K428" s="70" t="s">
        <v>683</v>
      </c>
      <c r="L428" s="346"/>
      <c r="M428" s="346" t="s">
        <v>2306</v>
      </c>
      <c r="N428" s="346" t="s">
        <v>1710</v>
      </c>
      <c r="O428" s="150" t="s">
        <v>684</v>
      </c>
      <c r="P428" s="150"/>
      <c r="Q428" s="404"/>
      <c r="R428" s="407">
        <v>146492.82999999999</v>
      </c>
      <c r="S428" s="407">
        <v>-115764.16</v>
      </c>
      <c r="T428" s="425"/>
      <c r="U428" s="71"/>
      <c r="V428" s="426">
        <v>-115764.16</v>
      </c>
      <c r="W428" s="427">
        <f>115764.16-115764.16</f>
        <v>0</v>
      </c>
      <c r="X428" s="427"/>
      <c r="Y428" s="428">
        <v>0</v>
      </c>
      <c r="Z428" s="429">
        <v>0</v>
      </c>
      <c r="AA428" s="429">
        <v>0</v>
      </c>
      <c r="AB428" s="363" t="e">
        <v>#N/A</v>
      </c>
      <c r="AC428" s="363"/>
      <c r="AD428" s="363"/>
      <c r="AE428" s="363"/>
      <c r="AF428" s="363"/>
      <c r="AG428" s="363"/>
      <c r="AH428" s="360" t="e">
        <f t="shared" si="23"/>
        <v>#N/A</v>
      </c>
      <c r="AI428" s="362" t="e">
        <f>ERP[[#This Row],[2026 Working Total]]-ERP[[#This Row],[LE2 Final Submission]]</f>
        <v>#N/A</v>
      </c>
      <c r="AJ428" s="79"/>
      <c r="AK428" s="79">
        <f t="shared" si="22"/>
        <v>0</v>
      </c>
      <c r="AL428" s="374">
        <f>SUM(ERP[[#This Row],[AP01]:[AP06]])-SUM(ERP[[#This Row],[AP01 LE2]:[AP06 LE2]])</f>
        <v>0</v>
      </c>
      <c r="AM428" s="80"/>
      <c r="AN428" s="79" t="e">
        <f>ERP[[#This Row],[2026 Working Total to Budget/LE]]-ERP[[#This Row],[Giveback]]</f>
        <v>#N/A</v>
      </c>
      <c r="AO428" s="81"/>
      <c r="AP428" s="375">
        <v>-115764.16</v>
      </c>
      <c r="AQ428" s="375">
        <v>0</v>
      </c>
      <c r="AR428" s="375"/>
      <c r="AS428" s="375"/>
      <c r="AT428" s="375"/>
      <c r="AU428" s="375"/>
      <c r="AV428" s="375"/>
      <c r="AW428" s="375"/>
      <c r="AX428" s="375"/>
      <c r="AY428" s="375"/>
      <c r="AZ428" s="375"/>
      <c r="BA428" s="375"/>
      <c r="BB428" s="375">
        <v>-115764.16</v>
      </c>
      <c r="BC428" s="79">
        <v>-115764.16</v>
      </c>
      <c r="BD428" s="79">
        <v>115764.16</v>
      </c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>
        <v>0</v>
      </c>
    </row>
    <row r="429" spans="1:67" ht="15" customHeight="1">
      <c r="A429" s="66" t="s">
        <v>2616</v>
      </c>
      <c r="B429" s="66" t="s">
        <v>908</v>
      </c>
      <c r="C429" s="150" t="s">
        <v>1136</v>
      </c>
      <c r="D429" s="150" t="s">
        <v>1345</v>
      </c>
      <c r="E429" s="150" t="s">
        <v>1344</v>
      </c>
      <c r="F429" s="150" t="s">
        <v>1346</v>
      </c>
      <c r="G429" s="511" t="s">
        <v>639</v>
      </c>
      <c r="H429" s="392" t="s">
        <v>2617</v>
      </c>
      <c r="I429" s="343"/>
      <c r="J429" s="343"/>
      <c r="K429" s="70" t="s">
        <v>909</v>
      </c>
      <c r="L429" s="346"/>
      <c r="M429" s="343"/>
      <c r="N429" s="346"/>
      <c r="O429" s="150" t="s">
        <v>910</v>
      </c>
      <c r="P429" s="150"/>
      <c r="Q429" s="403"/>
      <c r="R429" s="406">
        <v>50000</v>
      </c>
      <c r="S429" s="406">
        <v>50000</v>
      </c>
      <c r="T429" s="430"/>
      <c r="U429" s="137"/>
      <c r="V429" s="426"/>
      <c r="W429" s="427"/>
      <c r="X429" s="427"/>
      <c r="Y429" s="428" t="s">
        <v>1142</v>
      </c>
      <c r="Z429" s="429">
        <v>0</v>
      </c>
      <c r="AA429" s="429">
        <v>0</v>
      </c>
      <c r="AB429" s="363" t="e">
        <v>#N/A</v>
      </c>
      <c r="AC429" s="363"/>
      <c r="AD429" s="363"/>
      <c r="AE429" s="363">
        <v>50000</v>
      </c>
      <c r="AF429" s="360">
        <v>0</v>
      </c>
      <c r="AG429" s="360">
        <v>0</v>
      </c>
      <c r="AH429" s="360" t="e">
        <f t="shared" si="23"/>
        <v>#N/A</v>
      </c>
      <c r="AI429" s="362" t="e">
        <f>ERP[[#This Row],[2026 Working Total]]-ERP[[#This Row],[LE2 Final Submission]]</f>
        <v>#N/A</v>
      </c>
      <c r="AJ429" s="79"/>
      <c r="AK429" s="79">
        <f t="shared" si="22"/>
        <v>0</v>
      </c>
      <c r="AL429" s="374">
        <f>SUM(ERP[[#This Row],[AP01]:[AP06]])-SUM(ERP[[#This Row],[AP01 LE2]:[AP06 LE2]])</f>
        <v>0</v>
      </c>
      <c r="AM429" s="80"/>
      <c r="AN429" s="79" t="e">
        <f>ERP[[#This Row],[2026 Working Total to Budget/LE]]-ERP[[#This Row],[Giveback]]</f>
        <v>#N/A</v>
      </c>
      <c r="AO429" s="81"/>
      <c r="AP429" s="375"/>
      <c r="AQ429" s="375"/>
      <c r="AR429" s="375"/>
      <c r="AS429" s="375"/>
      <c r="AT429" s="375"/>
      <c r="AU429" s="375"/>
      <c r="AV429" s="375"/>
      <c r="AW429" s="375"/>
      <c r="AX429" s="375"/>
      <c r="AY429" s="375">
        <v>50000</v>
      </c>
      <c r="AZ429" s="375">
        <v>0</v>
      </c>
      <c r="BA429" s="375">
        <v>0</v>
      </c>
      <c r="BB429" s="375">
        <v>50000</v>
      </c>
      <c r="BC429" s="79"/>
      <c r="BD429" s="79"/>
      <c r="BE429" s="79"/>
      <c r="BF429" s="79"/>
      <c r="BG429" s="79"/>
      <c r="BH429" s="79"/>
      <c r="BI429" s="79"/>
      <c r="BJ429" s="79"/>
      <c r="BK429" s="79"/>
      <c r="BL429" s="79">
        <v>50000</v>
      </c>
      <c r="BM429" s="79">
        <v>0</v>
      </c>
      <c r="BN429" s="79">
        <v>0</v>
      </c>
      <c r="BO429" s="79">
        <v>50000</v>
      </c>
    </row>
    <row r="430" spans="1:67" ht="15" customHeight="1">
      <c r="A430" s="79" t="s">
        <v>2307</v>
      </c>
      <c r="B430" s="296" t="s">
        <v>2308</v>
      </c>
      <c r="C430" s="150" t="s">
        <v>1136</v>
      </c>
      <c r="D430" s="332" t="s">
        <v>1135</v>
      </c>
      <c r="E430" s="383" t="s">
        <v>1165</v>
      </c>
      <c r="F430" s="333" t="s">
        <v>1137</v>
      </c>
      <c r="G430" s="512" t="s">
        <v>639</v>
      </c>
      <c r="H430" s="393" t="s">
        <v>2309</v>
      </c>
      <c r="I430" s="343"/>
      <c r="J430" s="333"/>
      <c r="K430" s="91" t="s">
        <v>686</v>
      </c>
      <c r="L430" s="347"/>
      <c r="M430" s="346" t="s">
        <v>2306</v>
      </c>
      <c r="N430" s="346" t="s">
        <v>2310</v>
      </c>
      <c r="O430" s="386" t="s">
        <v>684</v>
      </c>
      <c r="P430" s="346" t="s">
        <v>1779</v>
      </c>
      <c r="Q430" s="437"/>
      <c r="R430" s="358">
        <v>-146492.82999999999</v>
      </c>
      <c r="S430" s="378">
        <v>115764.16</v>
      </c>
      <c r="T430" s="425"/>
      <c r="U430" s="71"/>
      <c r="V430" s="433"/>
      <c r="W430" s="434">
        <v>115764.16</v>
      </c>
      <c r="X430" s="434"/>
      <c r="Y430" s="428" t="s">
        <v>1142</v>
      </c>
      <c r="Z430" s="429">
        <v>0</v>
      </c>
      <c r="AA430" s="429">
        <v>0</v>
      </c>
      <c r="AB430" s="363" t="e">
        <v>#N/A</v>
      </c>
      <c r="AC430" s="388">
        <v>0</v>
      </c>
      <c r="AD430" s="388">
        <v>0</v>
      </c>
      <c r="AE430" s="388">
        <v>0</v>
      </c>
      <c r="AF430" s="388">
        <v>0</v>
      </c>
      <c r="AG430" s="388">
        <v>0</v>
      </c>
      <c r="AH430" s="360" t="e">
        <f t="shared" si="23"/>
        <v>#N/A</v>
      </c>
      <c r="AI430" s="362" t="e">
        <f>ERP[[#This Row],[2026 Working Total]]-ERP[[#This Row],[LE2 Final Submission]]</f>
        <v>#N/A</v>
      </c>
      <c r="AJ430" s="79">
        <v>0</v>
      </c>
      <c r="AK430" s="79">
        <f t="shared" si="22"/>
        <v>0</v>
      </c>
      <c r="AL430" s="374">
        <f>SUM(ERP[[#This Row],[AP01]:[AP06]])-SUM(ERP[[#This Row],[AP01 LE2]:[AP06 LE2]])</f>
        <v>0</v>
      </c>
      <c r="AM430" s="80"/>
      <c r="AN430" s="79" t="e">
        <f>ERP[[#This Row],[2026 Working Total to Budget/LE]]-ERP[[#This Row],[Giveback]]</f>
        <v>#N/A</v>
      </c>
      <c r="AO430" s="81"/>
      <c r="AP430" s="375"/>
      <c r="AQ430" s="375">
        <v>115764.16</v>
      </c>
      <c r="AR430" s="375"/>
      <c r="AS430" s="375">
        <v>0</v>
      </c>
      <c r="AT430" s="375">
        <v>0</v>
      </c>
      <c r="AU430" s="375">
        <v>0</v>
      </c>
      <c r="AV430" s="375">
        <v>0</v>
      </c>
      <c r="AW430" s="375">
        <v>0</v>
      </c>
      <c r="AX430" s="375">
        <v>0</v>
      </c>
      <c r="AY430" s="375">
        <v>0</v>
      </c>
      <c r="AZ430" s="375">
        <v>0</v>
      </c>
      <c r="BA430" s="375">
        <v>0</v>
      </c>
      <c r="BB430" s="375">
        <v>115764.16</v>
      </c>
      <c r="BC430" s="103">
        <v>-146492.82999999999</v>
      </c>
      <c r="BD430" s="103">
        <v>0</v>
      </c>
      <c r="BE430" s="103">
        <v>0</v>
      </c>
      <c r="BF430" s="103">
        <v>0</v>
      </c>
      <c r="BG430" s="103">
        <v>0</v>
      </c>
      <c r="BH430" s="103">
        <v>0</v>
      </c>
      <c r="BI430" s="103">
        <v>0</v>
      </c>
      <c r="BJ430" s="103">
        <v>0</v>
      </c>
      <c r="BK430" s="103">
        <v>0</v>
      </c>
      <c r="BL430" s="103">
        <v>0</v>
      </c>
      <c r="BM430" s="103">
        <v>0</v>
      </c>
      <c r="BN430" s="103">
        <v>0</v>
      </c>
      <c r="BO430" s="79">
        <f>SUM(ERP[[#This Row],[2026 AP01]:[2026 AP12]])</f>
        <v>-146492.82999999999</v>
      </c>
    </row>
    <row r="431" spans="1:67" ht="15" customHeight="1">
      <c r="A431" s="79" t="s">
        <v>2311</v>
      </c>
      <c r="B431" s="296" t="s">
        <v>2312</v>
      </c>
      <c r="C431" s="150" t="s">
        <v>1136</v>
      </c>
      <c r="D431" s="332" t="s">
        <v>1135</v>
      </c>
      <c r="E431" s="383" t="s">
        <v>1165</v>
      </c>
      <c r="F431" s="333" t="s">
        <v>1137</v>
      </c>
      <c r="G431" s="512" t="s">
        <v>639</v>
      </c>
      <c r="H431" s="393" t="s">
        <v>2313</v>
      </c>
      <c r="I431" s="343" t="s">
        <v>2314</v>
      </c>
      <c r="J431" s="332" t="s">
        <v>1186</v>
      </c>
      <c r="K431" s="91" t="s">
        <v>688</v>
      </c>
      <c r="L431" s="347"/>
      <c r="M431" s="346" t="s">
        <v>2315</v>
      </c>
      <c r="N431" s="346" t="s">
        <v>1710</v>
      </c>
      <c r="O431" s="386" t="s">
        <v>689</v>
      </c>
      <c r="P431" s="346" t="s">
        <v>1348</v>
      </c>
      <c r="Q431" s="437"/>
      <c r="R431" s="358">
        <v>169727.17</v>
      </c>
      <c r="S431" s="378">
        <v>0</v>
      </c>
      <c r="T431" s="425"/>
      <c r="U431" s="71"/>
      <c r="V431" s="433"/>
      <c r="W431" s="434"/>
      <c r="X431" s="434"/>
      <c r="Y431" s="428" t="s">
        <v>1142</v>
      </c>
      <c r="Z431" s="429">
        <v>0</v>
      </c>
      <c r="AA431" s="429">
        <v>0</v>
      </c>
      <c r="AB431" s="363" t="e">
        <v>#N/A</v>
      </c>
      <c r="AC431" s="388">
        <v>0</v>
      </c>
      <c r="AD431" s="388">
        <v>0</v>
      </c>
      <c r="AE431" s="388">
        <v>0</v>
      </c>
      <c r="AF431" s="388">
        <v>0</v>
      </c>
      <c r="AG431" s="388">
        <v>0</v>
      </c>
      <c r="AH431" s="360" t="e">
        <f t="shared" si="23"/>
        <v>#N/A</v>
      </c>
      <c r="AI431" s="362" t="e">
        <f>ERP[[#This Row],[2026 Working Total]]-ERP[[#This Row],[LE2 Final Submission]]</f>
        <v>#N/A</v>
      </c>
      <c r="AJ431" s="79">
        <v>0</v>
      </c>
      <c r="AK431" s="79">
        <f t="shared" si="22"/>
        <v>0</v>
      </c>
      <c r="AL431" s="374">
        <f>SUM(ERP[[#This Row],[AP01]:[AP06]])-SUM(ERP[[#This Row],[AP01 LE2]:[AP06 LE2]])</f>
        <v>0</v>
      </c>
      <c r="AM431" s="80"/>
      <c r="AN431" s="79" t="e">
        <f>ERP[[#This Row],[2026 Working Total to Budget/LE]]-ERP[[#This Row],[Giveback]]</f>
        <v>#N/A</v>
      </c>
      <c r="AO431" s="81"/>
      <c r="AP431" s="375"/>
      <c r="AQ431" s="375"/>
      <c r="AR431" s="375"/>
      <c r="AS431" s="375">
        <v>0</v>
      </c>
      <c r="AT431" s="375">
        <v>0</v>
      </c>
      <c r="AU431" s="375">
        <v>0</v>
      </c>
      <c r="AV431" s="375">
        <v>0</v>
      </c>
      <c r="AW431" s="375">
        <v>0</v>
      </c>
      <c r="AX431" s="375">
        <v>0</v>
      </c>
      <c r="AY431" s="375">
        <v>0</v>
      </c>
      <c r="AZ431" s="375">
        <v>0</v>
      </c>
      <c r="BA431" s="375">
        <v>0</v>
      </c>
      <c r="BB431" s="375">
        <v>0</v>
      </c>
      <c r="BC431" s="103">
        <v>169727.17</v>
      </c>
      <c r="BD431" s="103">
        <v>0</v>
      </c>
      <c r="BE431" s="103">
        <v>0</v>
      </c>
      <c r="BF431" s="103">
        <v>0</v>
      </c>
      <c r="BG431" s="103">
        <v>0</v>
      </c>
      <c r="BH431" s="103">
        <v>0</v>
      </c>
      <c r="BI431" s="103">
        <v>0</v>
      </c>
      <c r="BJ431" s="103">
        <v>0</v>
      </c>
      <c r="BK431" s="103">
        <v>0</v>
      </c>
      <c r="BL431" s="103">
        <v>0</v>
      </c>
      <c r="BM431" s="103">
        <v>0</v>
      </c>
      <c r="BN431" s="103">
        <v>0</v>
      </c>
      <c r="BO431" s="79">
        <f>SUM(ERP[[#This Row],[2026 AP01]:[2026 AP12]])</f>
        <v>169727.17</v>
      </c>
    </row>
    <row r="432" spans="1:67" ht="15" customHeight="1">
      <c r="A432" s="79" t="s">
        <v>2316</v>
      </c>
      <c r="B432" s="296" t="s">
        <v>2317</v>
      </c>
      <c r="C432" s="150" t="s">
        <v>1136</v>
      </c>
      <c r="D432" s="332" t="s">
        <v>1135</v>
      </c>
      <c r="E432" s="383" t="s">
        <v>1165</v>
      </c>
      <c r="F432" s="333" t="s">
        <v>1137</v>
      </c>
      <c r="G432" s="512" t="s">
        <v>639</v>
      </c>
      <c r="H432" s="393" t="s">
        <v>2318</v>
      </c>
      <c r="I432" s="343"/>
      <c r="J432" s="333"/>
      <c r="K432" s="91" t="s">
        <v>691</v>
      </c>
      <c r="L432" s="347"/>
      <c r="M432" s="346" t="s">
        <v>2315</v>
      </c>
      <c r="N432" s="346" t="s">
        <v>1710</v>
      </c>
      <c r="O432" s="386" t="s">
        <v>689</v>
      </c>
      <c r="P432" s="346" t="s">
        <v>1348</v>
      </c>
      <c r="Q432" s="437"/>
      <c r="R432" s="358">
        <v>-169727.17</v>
      </c>
      <c r="S432" s="378">
        <v>0</v>
      </c>
      <c r="T432" s="425"/>
      <c r="U432" s="71"/>
      <c r="V432" s="433"/>
      <c r="W432" s="434"/>
      <c r="X432" s="434"/>
      <c r="Y432" s="428" t="s">
        <v>1142</v>
      </c>
      <c r="Z432" s="429">
        <v>0</v>
      </c>
      <c r="AA432" s="429">
        <v>0</v>
      </c>
      <c r="AB432" s="363" t="e">
        <v>#N/A</v>
      </c>
      <c r="AC432" s="388">
        <v>0</v>
      </c>
      <c r="AD432" s="388">
        <v>0</v>
      </c>
      <c r="AE432" s="388">
        <v>0</v>
      </c>
      <c r="AF432" s="388">
        <v>0</v>
      </c>
      <c r="AG432" s="388">
        <v>0</v>
      </c>
      <c r="AH432" s="360" t="e">
        <f t="shared" si="23"/>
        <v>#N/A</v>
      </c>
      <c r="AI432" s="362" t="e">
        <f>ERP[[#This Row],[2026 Working Total]]-ERP[[#This Row],[LE2 Final Submission]]</f>
        <v>#N/A</v>
      </c>
      <c r="AJ432" s="79">
        <v>0</v>
      </c>
      <c r="AK432" s="79">
        <f t="shared" si="22"/>
        <v>0</v>
      </c>
      <c r="AL432" s="374">
        <f>SUM(ERP[[#This Row],[AP01]:[AP06]])-SUM(ERP[[#This Row],[AP01 LE2]:[AP06 LE2]])</f>
        <v>0</v>
      </c>
      <c r="AM432" s="80"/>
      <c r="AN432" s="79" t="e">
        <f>ERP[[#This Row],[2026 Working Total to Budget/LE]]-ERP[[#This Row],[Giveback]]</f>
        <v>#N/A</v>
      </c>
      <c r="AO432" s="81"/>
      <c r="AP432" s="375"/>
      <c r="AQ432" s="375"/>
      <c r="AR432" s="375"/>
      <c r="AS432" s="375">
        <v>0</v>
      </c>
      <c r="AT432" s="375">
        <v>0</v>
      </c>
      <c r="AU432" s="375">
        <v>0</v>
      </c>
      <c r="AV432" s="375">
        <v>0</v>
      </c>
      <c r="AW432" s="375">
        <v>0</v>
      </c>
      <c r="AX432" s="375">
        <v>0</v>
      </c>
      <c r="AY432" s="375">
        <v>0</v>
      </c>
      <c r="AZ432" s="375">
        <v>0</v>
      </c>
      <c r="BA432" s="375">
        <v>0</v>
      </c>
      <c r="BB432" s="375">
        <v>0</v>
      </c>
      <c r="BC432" s="103">
        <v>-169727.17</v>
      </c>
      <c r="BD432" s="103">
        <v>0</v>
      </c>
      <c r="BE432" s="103">
        <v>0</v>
      </c>
      <c r="BF432" s="103">
        <v>0</v>
      </c>
      <c r="BG432" s="103">
        <v>0</v>
      </c>
      <c r="BH432" s="103">
        <v>0</v>
      </c>
      <c r="BI432" s="103">
        <v>0</v>
      </c>
      <c r="BJ432" s="103">
        <v>0</v>
      </c>
      <c r="BK432" s="103">
        <v>0</v>
      </c>
      <c r="BL432" s="103">
        <v>0</v>
      </c>
      <c r="BM432" s="103">
        <v>0</v>
      </c>
      <c r="BN432" s="103">
        <v>0</v>
      </c>
      <c r="BO432" s="79">
        <f>SUM(ERP[[#This Row],[2026 AP01]:[2026 AP12]])</f>
        <v>-169727.17</v>
      </c>
    </row>
    <row r="433" spans="1:67" ht="15" customHeight="1">
      <c r="A433" s="66" t="s">
        <v>2319</v>
      </c>
      <c r="B433" s="66" t="s">
        <v>2320</v>
      </c>
      <c r="C433" s="150" t="s">
        <v>1136</v>
      </c>
      <c r="D433" s="150" t="s">
        <v>1135</v>
      </c>
      <c r="E433" s="150" t="s">
        <v>1161</v>
      </c>
      <c r="F433" s="150" t="s">
        <v>1137</v>
      </c>
      <c r="G433" s="511" t="s">
        <v>639</v>
      </c>
      <c r="H433" s="392" t="s">
        <v>2321</v>
      </c>
      <c r="I433" s="343" t="s">
        <v>2322</v>
      </c>
      <c r="J433" s="346" t="s">
        <v>1252</v>
      </c>
      <c r="K433" s="70" t="s">
        <v>693</v>
      </c>
      <c r="L433" s="346"/>
      <c r="M433" s="346" t="s">
        <v>2323</v>
      </c>
      <c r="N433" s="346"/>
      <c r="O433" s="150" t="s">
        <v>25</v>
      </c>
      <c r="P433" s="150" t="s">
        <v>2324</v>
      </c>
      <c r="Q433" s="403"/>
      <c r="R433" s="406">
        <v>11026</v>
      </c>
      <c r="S433" s="406">
        <v>11026</v>
      </c>
      <c r="T433" s="425"/>
      <c r="U433" s="71"/>
      <c r="V433" s="426"/>
      <c r="W433" s="427"/>
      <c r="X433" s="427"/>
      <c r="Y433" s="428" t="s">
        <v>1142</v>
      </c>
      <c r="Z433" s="429">
        <v>0</v>
      </c>
      <c r="AA433" s="429">
        <v>0</v>
      </c>
      <c r="AB433" s="363" t="e">
        <v>#N/A</v>
      </c>
      <c r="AC433" s="363"/>
      <c r="AD433" s="363"/>
      <c r="AE433" s="363"/>
      <c r="AF433" s="363">
        <v>11026</v>
      </c>
      <c r="AG433" s="360">
        <v>0</v>
      </c>
      <c r="AH433" s="360" t="e">
        <f t="shared" si="23"/>
        <v>#N/A</v>
      </c>
      <c r="AI433" s="362" t="e">
        <f>ERP[[#This Row],[2026 Working Total]]-ERP[[#This Row],[LE2 Final Submission]]</f>
        <v>#N/A</v>
      </c>
      <c r="AJ433" s="79"/>
      <c r="AK433" s="79">
        <f t="shared" si="22"/>
        <v>0</v>
      </c>
      <c r="AL433" s="374">
        <f>SUM(ERP[[#This Row],[AP01]:[AP06]])-SUM(ERP[[#This Row],[AP01 LE2]:[AP06 LE2]])</f>
        <v>0</v>
      </c>
      <c r="AM433" s="80"/>
      <c r="AN433" s="79" t="e">
        <f>ERP[[#This Row],[2026 Working Total to Budget/LE]]-ERP[[#This Row],[Giveback]]</f>
        <v>#N/A</v>
      </c>
      <c r="AO433" s="81"/>
      <c r="AP433" s="375"/>
      <c r="AQ433" s="375"/>
      <c r="AR433" s="375"/>
      <c r="AS433" s="375"/>
      <c r="AT433" s="375"/>
      <c r="AU433" s="375"/>
      <c r="AV433" s="375"/>
      <c r="AW433" s="375"/>
      <c r="AX433" s="375"/>
      <c r="AY433" s="375"/>
      <c r="AZ433" s="375">
        <v>11026</v>
      </c>
      <c r="BA433" s="375">
        <v>0</v>
      </c>
      <c r="BB433" s="375">
        <v>11026</v>
      </c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>
        <v>11026</v>
      </c>
      <c r="BN433" s="79">
        <v>0</v>
      </c>
      <c r="BO433" s="79">
        <v>11026</v>
      </c>
    </row>
    <row r="434" spans="1:67" ht="15" customHeight="1">
      <c r="A434" s="79" t="s">
        <v>2325</v>
      </c>
      <c r="B434" s="296" t="s">
        <v>2326</v>
      </c>
      <c r="C434" s="150" t="s">
        <v>1136</v>
      </c>
      <c r="D434" s="332" t="s">
        <v>1135</v>
      </c>
      <c r="E434" s="383" t="s">
        <v>1145</v>
      </c>
      <c r="F434" s="331" t="s">
        <v>1137</v>
      </c>
      <c r="G434" s="512" t="s">
        <v>639</v>
      </c>
      <c r="H434" s="393" t="s">
        <v>2327</v>
      </c>
      <c r="I434" s="343" t="s">
        <v>2328</v>
      </c>
      <c r="J434" s="150" t="s">
        <v>1171</v>
      </c>
      <c r="K434" s="91" t="s">
        <v>695</v>
      </c>
      <c r="L434" s="343"/>
      <c r="M434" s="346" t="s">
        <v>2329</v>
      </c>
      <c r="N434" s="346" t="s">
        <v>1710</v>
      </c>
      <c r="O434" s="386" t="s">
        <v>696</v>
      </c>
      <c r="P434" s="346" t="s">
        <v>1348</v>
      </c>
      <c r="Q434" s="437"/>
      <c r="R434" s="358">
        <v>325620</v>
      </c>
      <c r="S434" s="378">
        <v>0</v>
      </c>
      <c r="T434" s="425"/>
      <c r="U434" s="71"/>
      <c r="V434" s="433"/>
      <c r="W434" s="434"/>
      <c r="X434" s="434"/>
      <c r="Y434" s="428" t="s">
        <v>1142</v>
      </c>
      <c r="Z434" s="429">
        <v>0</v>
      </c>
      <c r="AA434" s="429">
        <v>0</v>
      </c>
      <c r="AB434" s="363" t="e">
        <v>#N/A</v>
      </c>
      <c r="AC434" s="388">
        <v>0</v>
      </c>
      <c r="AD434" s="388">
        <v>0</v>
      </c>
      <c r="AE434" s="388">
        <v>0</v>
      </c>
      <c r="AF434" s="388">
        <v>0</v>
      </c>
      <c r="AG434" s="388">
        <v>0</v>
      </c>
      <c r="AH434" s="360" t="e">
        <f t="shared" si="23"/>
        <v>#N/A</v>
      </c>
      <c r="AI434" s="362" t="e">
        <f>ERP[[#This Row],[2026 Working Total]]-ERP[[#This Row],[LE2 Final Submission]]</f>
        <v>#N/A</v>
      </c>
      <c r="AJ434" s="79">
        <v>0</v>
      </c>
      <c r="AK434" s="79">
        <f t="shared" si="22"/>
        <v>0</v>
      </c>
      <c r="AL434" s="374">
        <f>SUM(ERP[[#This Row],[AP01]:[AP06]])-SUM(ERP[[#This Row],[AP01 LE2]:[AP06 LE2]])</f>
        <v>0</v>
      </c>
      <c r="AM434" s="80"/>
      <c r="AN434" s="79" t="e">
        <f>ERP[[#This Row],[2026 Working Total to Budget/LE]]-ERP[[#This Row],[Giveback]]</f>
        <v>#N/A</v>
      </c>
      <c r="AO434" s="81"/>
      <c r="AP434" s="375"/>
      <c r="AQ434" s="375"/>
      <c r="AR434" s="375"/>
      <c r="AS434" s="375">
        <v>0</v>
      </c>
      <c r="AT434" s="375">
        <v>0</v>
      </c>
      <c r="AU434" s="375">
        <v>0</v>
      </c>
      <c r="AV434" s="375">
        <v>0</v>
      </c>
      <c r="AW434" s="375">
        <v>0</v>
      </c>
      <c r="AX434" s="375">
        <v>0</v>
      </c>
      <c r="AY434" s="375">
        <v>0</v>
      </c>
      <c r="AZ434" s="375">
        <v>0</v>
      </c>
      <c r="BA434" s="375">
        <v>0</v>
      </c>
      <c r="BB434" s="375">
        <v>0</v>
      </c>
      <c r="BC434" s="103">
        <v>325620</v>
      </c>
      <c r="BD434" s="103">
        <v>0</v>
      </c>
      <c r="BE434" s="103">
        <v>0</v>
      </c>
      <c r="BF434" s="103">
        <v>0</v>
      </c>
      <c r="BG434" s="103">
        <v>0</v>
      </c>
      <c r="BH434" s="103">
        <v>0</v>
      </c>
      <c r="BI434" s="103">
        <v>0</v>
      </c>
      <c r="BJ434" s="103">
        <v>0</v>
      </c>
      <c r="BK434" s="103">
        <v>0</v>
      </c>
      <c r="BL434" s="103">
        <v>0</v>
      </c>
      <c r="BM434" s="103">
        <v>0</v>
      </c>
      <c r="BN434" s="103">
        <v>0</v>
      </c>
      <c r="BO434" s="79">
        <f>SUM(ERP[[#This Row],[2026 AP01]:[2026 AP12]])</f>
        <v>325620</v>
      </c>
    </row>
    <row r="435" spans="1:67" ht="15" customHeight="1">
      <c r="A435" s="79" t="s">
        <v>2330</v>
      </c>
      <c r="B435" s="296" t="s">
        <v>2331</v>
      </c>
      <c r="C435" s="150" t="s">
        <v>1136</v>
      </c>
      <c r="D435" s="332" t="s">
        <v>1135</v>
      </c>
      <c r="E435" s="383" t="s">
        <v>1145</v>
      </c>
      <c r="F435" s="331" t="s">
        <v>1137</v>
      </c>
      <c r="G435" s="512" t="s">
        <v>639</v>
      </c>
      <c r="H435" s="393" t="s">
        <v>2332</v>
      </c>
      <c r="I435" s="343"/>
      <c r="J435" s="331"/>
      <c r="K435" s="91" t="s">
        <v>698</v>
      </c>
      <c r="L435" s="343"/>
      <c r="M435" s="346" t="s">
        <v>2329</v>
      </c>
      <c r="N435" s="346" t="s">
        <v>1710</v>
      </c>
      <c r="O435" s="386" t="s">
        <v>696</v>
      </c>
      <c r="P435" s="346" t="s">
        <v>1348</v>
      </c>
      <c r="Q435" s="437"/>
      <c r="R435" s="358">
        <v>-325620</v>
      </c>
      <c r="S435" s="378">
        <v>0</v>
      </c>
      <c r="T435" s="425"/>
      <c r="U435" s="71"/>
      <c r="V435" s="433"/>
      <c r="W435" s="434"/>
      <c r="X435" s="434"/>
      <c r="Y435" s="428" t="s">
        <v>1142</v>
      </c>
      <c r="Z435" s="429">
        <v>0</v>
      </c>
      <c r="AA435" s="429">
        <v>0</v>
      </c>
      <c r="AB435" s="363" t="e">
        <v>#N/A</v>
      </c>
      <c r="AC435" s="388">
        <v>0</v>
      </c>
      <c r="AD435" s="388">
        <v>0</v>
      </c>
      <c r="AE435" s="388">
        <v>0</v>
      </c>
      <c r="AF435" s="388">
        <v>0</v>
      </c>
      <c r="AG435" s="388">
        <v>0</v>
      </c>
      <c r="AH435" s="360" t="e">
        <f t="shared" si="23"/>
        <v>#N/A</v>
      </c>
      <c r="AI435" s="362" t="e">
        <f>ERP[[#This Row],[2026 Working Total]]-ERP[[#This Row],[LE2 Final Submission]]</f>
        <v>#N/A</v>
      </c>
      <c r="AJ435" s="79">
        <v>0</v>
      </c>
      <c r="AK435" s="79">
        <f t="shared" si="22"/>
        <v>0</v>
      </c>
      <c r="AL435" s="374">
        <f>SUM(ERP[[#This Row],[AP01]:[AP06]])-SUM(ERP[[#This Row],[AP01 LE2]:[AP06 LE2]])</f>
        <v>0</v>
      </c>
      <c r="AM435" s="80"/>
      <c r="AN435" s="79" t="e">
        <f>ERP[[#This Row],[2026 Working Total to Budget/LE]]-ERP[[#This Row],[Giveback]]</f>
        <v>#N/A</v>
      </c>
      <c r="AO435" s="81"/>
      <c r="AP435" s="375"/>
      <c r="AQ435" s="375"/>
      <c r="AR435" s="375"/>
      <c r="AS435" s="375">
        <v>0</v>
      </c>
      <c r="AT435" s="375">
        <v>0</v>
      </c>
      <c r="AU435" s="375">
        <v>0</v>
      </c>
      <c r="AV435" s="375">
        <v>0</v>
      </c>
      <c r="AW435" s="375">
        <v>0</v>
      </c>
      <c r="AX435" s="375">
        <v>0</v>
      </c>
      <c r="AY435" s="375">
        <v>0</v>
      </c>
      <c r="AZ435" s="375">
        <v>0</v>
      </c>
      <c r="BA435" s="375">
        <v>0</v>
      </c>
      <c r="BB435" s="375">
        <v>0</v>
      </c>
      <c r="BC435" s="103">
        <v>-325620</v>
      </c>
      <c r="BD435" s="103">
        <v>0</v>
      </c>
      <c r="BE435" s="103">
        <v>0</v>
      </c>
      <c r="BF435" s="103">
        <v>0</v>
      </c>
      <c r="BG435" s="103">
        <v>0</v>
      </c>
      <c r="BH435" s="103">
        <v>0</v>
      </c>
      <c r="BI435" s="103">
        <v>0</v>
      </c>
      <c r="BJ435" s="103">
        <v>0</v>
      </c>
      <c r="BK435" s="103">
        <v>0</v>
      </c>
      <c r="BL435" s="103">
        <v>0</v>
      </c>
      <c r="BM435" s="103">
        <v>0</v>
      </c>
      <c r="BN435" s="103">
        <v>0</v>
      </c>
      <c r="BO435" s="79">
        <f>SUM(ERP[[#This Row],[2026 AP01]:[2026 AP12]])</f>
        <v>-325620</v>
      </c>
    </row>
    <row r="436" spans="1:67" ht="15" customHeight="1">
      <c r="A436" s="66" t="s">
        <v>2333</v>
      </c>
      <c r="B436" s="66" t="s">
        <v>2334</v>
      </c>
      <c r="C436" s="150" t="s">
        <v>1136</v>
      </c>
      <c r="D436" s="150" t="s">
        <v>1135</v>
      </c>
      <c r="E436" s="150" t="s">
        <v>1145</v>
      </c>
      <c r="F436" s="150" t="s">
        <v>1137</v>
      </c>
      <c r="G436" s="511" t="s">
        <v>639</v>
      </c>
      <c r="H436" s="392" t="s">
        <v>2335</v>
      </c>
      <c r="I436" s="343" t="s">
        <v>2305</v>
      </c>
      <c r="J436" s="346" t="s">
        <v>1186</v>
      </c>
      <c r="K436" s="70" t="s">
        <v>700</v>
      </c>
      <c r="L436" s="346"/>
      <c r="M436" s="346" t="s">
        <v>2336</v>
      </c>
      <c r="N436" s="346"/>
      <c r="O436" s="150" t="s">
        <v>701</v>
      </c>
      <c r="P436" s="150"/>
      <c r="Q436" s="403"/>
      <c r="R436" s="406">
        <v>54093.63</v>
      </c>
      <c r="S436" s="406">
        <v>55716.44</v>
      </c>
      <c r="T436" s="425"/>
      <c r="U436" s="71"/>
      <c r="V436" s="426"/>
      <c r="W436" s="427">
        <v>55716.44</v>
      </c>
      <c r="X436" s="431">
        <v>0</v>
      </c>
      <c r="Y436" s="428">
        <v>0</v>
      </c>
      <c r="Z436" s="429">
        <v>0</v>
      </c>
      <c r="AA436" s="429">
        <v>0</v>
      </c>
      <c r="AB436" s="363" t="e">
        <v>#N/A</v>
      </c>
      <c r="AC436" s="360">
        <v>0</v>
      </c>
      <c r="AD436" s="360">
        <v>0</v>
      </c>
      <c r="AE436" s="360">
        <v>0</v>
      </c>
      <c r="AF436" s="360">
        <v>0</v>
      </c>
      <c r="AG436" s="360">
        <v>0</v>
      </c>
      <c r="AH436" s="360" t="e">
        <f t="shared" si="23"/>
        <v>#N/A</v>
      </c>
      <c r="AI436" s="362" t="e">
        <f>ERP[[#This Row],[2026 Working Total]]-ERP[[#This Row],[LE2 Final Submission]]</f>
        <v>#N/A</v>
      </c>
      <c r="AJ436" s="79">
        <v>0</v>
      </c>
      <c r="AK436" s="79">
        <f t="shared" si="22"/>
        <v>0</v>
      </c>
      <c r="AL436" s="374">
        <f>SUM(ERP[[#This Row],[AP01]:[AP06]])-SUM(ERP[[#This Row],[AP01 LE2]:[AP06 LE2]])</f>
        <v>0</v>
      </c>
      <c r="AM436" s="80"/>
      <c r="AN436" s="79" t="e">
        <f>ERP[[#This Row],[2026 Working Total to Budget/LE]]-ERP[[#This Row],[Giveback]]</f>
        <v>#N/A</v>
      </c>
      <c r="AO436" s="81"/>
      <c r="AP436" s="375"/>
      <c r="AQ436" s="375">
        <v>55716.44</v>
      </c>
      <c r="AR436" s="375">
        <v>0</v>
      </c>
      <c r="AS436" s="375">
        <v>0</v>
      </c>
      <c r="AT436" s="375">
        <v>0</v>
      </c>
      <c r="AU436" s="375">
        <v>0</v>
      </c>
      <c r="AV436" s="375">
        <v>0</v>
      </c>
      <c r="AW436" s="375">
        <v>0</v>
      </c>
      <c r="AX436" s="375">
        <v>0</v>
      </c>
      <c r="AY436" s="375">
        <v>0</v>
      </c>
      <c r="AZ436" s="375">
        <v>0</v>
      </c>
      <c r="BA436" s="375">
        <v>0</v>
      </c>
      <c r="BB436" s="375">
        <v>55716.44</v>
      </c>
      <c r="BC436" s="79"/>
      <c r="BD436" s="79">
        <v>55716.44</v>
      </c>
      <c r="BE436" s="79">
        <v>0</v>
      </c>
      <c r="BF436" s="79">
        <v>0</v>
      </c>
      <c r="BG436" s="79">
        <v>0</v>
      </c>
      <c r="BH436" s="79">
        <v>0</v>
      </c>
      <c r="BI436" s="79">
        <v>0</v>
      </c>
      <c r="BJ436" s="79">
        <v>0</v>
      </c>
      <c r="BK436" s="79">
        <v>0</v>
      </c>
      <c r="BL436" s="79">
        <v>0</v>
      </c>
      <c r="BM436" s="79">
        <v>0</v>
      </c>
      <c r="BN436" s="79">
        <v>0</v>
      </c>
      <c r="BO436" s="79">
        <v>55716.44</v>
      </c>
    </row>
    <row r="437" spans="1:67" ht="15" customHeight="1">
      <c r="A437" s="66" t="s">
        <v>2337</v>
      </c>
      <c r="B437" s="66" t="s">
        <v>702</v>
      </c>
      <c r="C437" s="150" t="s">
        <v>1136</v>
      </c>
      <c r="D437" s="150" t="s">
        <v>1135</v>
      </c>
      <c r="E437" s="150" t="s">
        <v>1135</v>
      </c>
      <c r="F437" s="150" t="s">
        <v>1137</v>
      </c>
      <c r="G437" s="511" t="s">
        <v>639</v>
      </c>
      <c r="H437" s="392" t="s">
        <v>2338</v>
      </c>
      <c r="I437" s="343" t="s">
        <v>1231</v>
      </c>
      <c r="J437" s="346" t="s">
        <v>1171</v>
      </c>
      <c r="K437" s="70" t="s">
        <v>703</v>
      </c>
      <c r="L437" s="346"/>
      <c r="M437" s="346" t="s">
        <v>2339</v>
      </c>
      <c r="N437" s="346"/>
      <c r="O437" s="150" t="s">
        <v>704</v>
      </c>
      <c r="P437" s="150" t="s">
        <v>2340</v>
      </c>
      <c r="Q437" s="403"/>
      <c r="R437" s="406">
        <v>3581394.5999999992</v>
      </c>
      <c r="S437" s="406">
        <v>3026808.87</v>
      </c>
      <c r="T437" s="430"/>
      <c r="U437" s="137"/>
      <c r="V437" s="426">
        <v>3026811.49</v>
      </c>
      <c r="W437" s="427">
        <v>-3073725.16</v>
      </c>
      <c r="X437" s="427">
        <v>803616.54</v>
      </c>
      <c r="Y437" s="428">
        <v>0</v>
      </c>
      <c r="Z437" s="429">
        <v>1470681.36</v>
      </c>
      <c r="AA437" s="429">
        <v>735340.67999999993</v>
      </c>
      <c r="AB437" s="363" t="e">
        <v>#N/A</v>
      </c>
      <c r="AC437" s="363">
        <f>252234+252234</f>
        <v>504468</v>
      </c>
      <c r="AD437" s="363">
        <v>252234</v>
      </c>
      <c r="AE437" s="363">
        <f>252234-252234</f>
        <v>0</v>
      </c>
      <c r="AF437" s="363">
        <f>252234+252234</f>
        <v>504468</v>
      </c>
      <c r="AG437" s="363">
        <v>252234</v>
      </c>
      <c r="AH437" s="360" t="e">
        <f t="shared" si="23"/>
        <v>#N/A</v>
      </c>
      <c r="AI437" s="362" t="e">
        <f>ERP[[#This Row],[2026 Working Total]]-ERP[[#This Row],[LE2 Final Submission]]</f>
        <v>#N/A</v>
      </c>
      <c r="AJ437" s="79">
        <v>0</v>
      </c>
      <c r="AK437" s="79">
        <f t="shared" si="22"/>
        <v>735340.67999999993</v>
      </c>
      <c r="AL437" s="374">
        <f>SUM(ERP[[#This Row],[AP01]:[AP06]])-SUM(ERP[[#This Row],[AP01 LE2]:[AP06 LE2]])</f>
        <v>1449320.04</v>
      </c>
      <c r="AM437" s="80"/>
      <c r="AN437" s="79" t="e">
        <f>ERP[[#This Row],[2026 Working Total to Budget/LE]]-ERP[[#This Row],[Giveback]]</f>
        <v>#N/A</v>
      </c>
      <c r="AO437" s="81"/>
      <c r="AP437" s="375">
        <v>3026811.49</v>
      </c>
      <c r="AQ437" s="375">
        <v>-3073725.16</v>
      </c>
      <c r="AR437" s="375">
        <v>803616.54</v>
      </c>
      <c r="AS437" s="375">
        <v>0</v>
      </c>
      <c r="AT437" s="375">
        <v>504468</v>
      </c>
      <c r="AU437" s="375">
        <v>252234</v>
      </c>
      <c r="AV437" s="375">
        <v>0</v>
      </c>
      <c r="AW437" s="375">
        <v>504468</v>
      </c>
      <c r="AX437" s="375">
        <v>252234</v>
      </c>
      <c r="AY437" s="375">
        <v>0</v>
      </c>
      <c r="AZ437" s="375">
        <v>504468</v>
      </c>
      <c r="BA437" s="375">
        <v>252234</v>
      </c>
      <c r="BB437" s="375">
        <v>3026808.87</v>
      </c>
      <c r="BC437" s="79">
        <v>3026811.49</v>
      </c>
      <c r="BD437" s="79">
        <v>-3073725.16</v>
      </c>
      <c r="BE437" s="79">
        <v>803616.54</v>
      </c>
      <c r="BF437" s="79">
        <v>252234</v>
      </c>
      <c r="BG437" s="79">
        <v>252234</v>
      </c>
      <c r="BH437" s="79">
        <v>252234</v>
      </c>
      <c r="BI437" s="79">
        <v>252234</v>
      </c>
      <c r="BJ437" s="79">
        <v>252234</v>
      </c>
      <c r="BK437" s="79">
        <v>252234</v>
      </c>
      <c r="BL437" s="79">
        <v>252234</v>
      </c>
      <c r="BM437" s="79">
        <v>252234</v>
      </c>
      <c r="BN437" s="79">
        <v>252234</v>
      </c>
      <c r="BO437" s="79">
        <v>3026808.87</v>
      </c>
    </row>
    <row r="438" spans="1:67" ht="15" customHeight="1">
      <c r="A438" s="79" t="s">
        <v>2341</v>
      </c>
      <c r="B438" s="296" t="s">
        <v>705</v>
      </c>
      <c r="C438" s="150" t="s">
        <v>1136</v>
      </c>
      <c r="D438" s="332" t="s">
        <v>1135</v>
      </c>
      <c r="E438" s="383" t="s">
        <v>1135</v>
      </c>
      <c r="F438" s="331" t="s">
        <v>1137</v>
      </c>
      <c r="G438" s="512" t="s">
        <v>639</v>
      </c>
      <c r="H438" s="393" t="s">
        <v>2342</v>
      </c>
      <c r="I438" s="343" t="s">
        <v>2343</v>
      </c>
      <c r="J438" s="150" t="s">
        <v>1171</v>
      </c>
      <c r="K438" s="91" t="s">
        <v>706</v>
      </c>
      <c r="L438" s="343"/>
      <c r="M438" s="346" t="s">
        <v>2339</v>
      </c>
      <c r="N438" s="346" t="s">
        <v>1710</v>
      </c>
      <c r="O438" s="386" t="s">
        <v>707</v>
      </c>
      <c r="P438" s="387" t="s">
        <v>2344</v>
      </c>
      <c r="Q438" s="437"/>
      <c r="R438" s="358">
        <v>678893.73</v>
      </c>
      <c r="S438" s="378">
        <v>0</v>
      </c>
      <c r="T438" s="425"/>
      <c r="U438" s="71"/>
      <c r="V438" s="433"/>
      <c r="W438" s="434"/>
      <c r="X438" s="434"/>
      <c r="Y438" s="428" t="s">
        <v>1142</v>
      </c>
      <c r="Z438" s="429">
        <v>0</v>
      </c>
      <c r="AA438" s="429">
        <v>0</v>
      </c>
      <c r="AB438" s="363" t="e">
        <v>#N/A</v>
      </c>
      <c r="AC438" s="388">
        <v>0</v>
      </c>
      <c r="AD438" s="388">
        <v>0</v>
      </c>
      <c r="AE438" s="388">
        <v>0</v>
      </c>
      <c r="AF438" s="388">
        <v>0</v>
      </c>
      <c r="AG438" s="388">
        <v>0</v>
      </c>
      <c r="AH438" s="360" t="e">
        <f t="shared" si="23"/>
        <v>#N/A</v>
      </c>
      <c r="AI438" s="362" t="e">
        <f>ERP[[#This Row],[2026 Working Total]]-ERP[[#This Row],[LE2 Final Submission]]</f>
        <v>#N/A</v>
      </c>
      <c r="AJ438" s="79">
        <v>0</v>
      </c>
      <c r="AK438" s="79">
        <f t="shared" si="22"/>
        <v>0</v>
      </c>
      <c r="AL438" s="374">
        <f>SUM(ERP[[#This Row],[AP01]:[AP06]])-SUM(ERP[[#This Row],[AP01 LE2]:[AP06 LE2]])</f>
        <v>0</v>
      </c>
      <c r="AM438" s="80"/>
      <c r="AN438" s="79" t="e">
        <f>ERP[[#This Row],[2026 Working Total to Budget/LE]]-ERP[[#This Row],[Giveback]]</f>
        <v>#N/A</v>
      </c>
      <c r="AO438" s="81"/>
      <c r="AP438" s="375"/>
      <c r="AQ438" s="375"/>
      <c r="AR438" s="375"/>
      <c r="AS438" s="375">
        <v>0</v>
      </c>
      <c r="AT438" s="375">
        <v>0</v>
      </c>
      <c r="AU438" s="375">
        <v>0</v>
      </c>
      <c r="AV438" s="375">
        <v>0</v>
      </c>
      <c r="AW438" s="375">
        <v>0</v>
      </c>
      <c r="AX438" s="375">
        <v>0</v>
      </c>
      <c r="AY438" s="375">
        <v>0</v>
      </c>
      <c r="AZ438" s="375">
        <v>0</v>
      </c>
      <c r="BA438" s="375">
        <v>0</v>
      </c>
      <c r="BB438" s="375">
        <v>0</v>
      </c>
      <c r="BC438" s="103">
        <v>678893.73</v>
      </c>
      <c r="BD438" s="103">
        <v>0</v>
      </c>
      <c r="BE438" s="103">
        <v>0</v>
      </c>
      <c r="BF438" s="103">
        <v>0</v>
      </c>
      <c r="BG438" s="103">
        <v>0</v>
      </c>
      <c r="BH438" s="103">
        <v>0</v>
      </c>
      <c r="BI438" s="103">
        <v>0</v>
      </c>
      <c r="BJ438" s="103">
        <v>0</v>
      </c>
      <c r="BK438" s="103">
        <v>0</v>
      </c>
      <c r="BL438" s="103">
        <v>0</v>
      </c>
      <c r="BM438" s="103">
        <v>0</v>
      </c>
      <c r="BN438" s="103">
        <v>0</v>
      </c>
      <c r="BO438" s="79">
        <f>SUM(ERP[[#This Row],[2026 AP01]:[2026 AP12]])</f>
        <v>678893.73</v>
      </c>
    </row>
    <row r="439" spans="1:67" ht="15" customHeight="1">
      <c r="A439" s="79" t="s">
        <v>2345</v>
      </c>
      <c r="B439" s="296" t="s">
        <v>708</v>
      </c>
      <c r="C439" s="150" t="s">
        <v>1136</v>
      </c>
      <c r="D439" s="332" t="s">
        <v>1135</v>
      </c>
      <c r="E439" s="383" t="s">
        <v>1135</v>
      </c>
      <c r="F439" s="331" t="s">
        <v>1137</v>
      </c>
      <c r="G439" s="512" t="s">
        <v>639</v>
      </c>
      <c r="H439" s="393" t="s">
        <v>2346</v>
      </c>
      <c r="I439" s="343" t="s">
        <v>2343</v>
      </c>
      <c r="J439" s="150" t="s">
        <v>1171</v>
      </c>
      <c r="K439" s="91" t="s">
        <v>709</v>
      </c>
      <c r="L439" s="343"/>
      <c r="M439" s="346" t="s">
        <v>2339</v>
      </c>
      <c r="N439" s="346" t="s">
        <v>1710</v>
      </c>
      <c r="O439" s="386" t="s">
        <v>707</v>
      </c>
      <c r="P439" s="346" t="s">
        <v>1348</v>
      </c>
      <c r="Q439" s="437"/>
      <c r="R439" s="358">
        <v>-678893.73</v>
      </c>
      <c r="S439" s="378">
        <v>0</v>
      </c>
      <c r="T439" s="425"/>
      <c r="U439" s="71"/>
      <c r="V439" s="433"/>
      <c r="W439" s="434"/>
      <c r="X439" s="434"/>
      <c r="Y439" s="428" t="s">
        <v>1142</v>
      </c>
      <c r="Z439" s="429">
        <v>0</v>
      </c>
      <c r="AA439" s="429">
        <v>0</v>
      </c>
      <c r="AB439" s="363" t="e">
        <v>#N/A</v>
      </c>
      <c r="AC439" s="388">
        <v>0</v>
      </c>
      <c r="AD439" s="388">
        <v>0</v>
      </c>
      <c r="AE439" s="388">
        <v>0</v>
      </c>
      <c r="AF439" s="388">
        <v>0</v>
      </c>
      <c r="AG439" s="388">
        <v>0</v>
      </c>
      <c r="AH439" s="360" t="e">
        <f t="shared" si="23"/>
        <v>#N/A</v>
      </c>
      <c r="AI439" s="362" t="e">
        <f>ERP[[#This Row],[2026 Working Total]]-ERP[[#This Row],[LE2 Final Submission]]</f>
        <v>#N/A</v>
      </c>
      <c r="AJ439" s="79">
        <v>0</v>
      </c>
      <c r="AK439" s="79">
        <f t="shared" si="22"/>
        <v>0</v>
      </c>
      <c r="AL439" s="374">
        <f>SUM(ERP[[#This Row],[AP01]:[AP06]])-SUM(ERP[[#This Row],[AP01 LE2]:[AP06 LE2]])</f>
        <v>0</v>
      </c>
      <c r="AM439" s="80"/>
      <c r="AN439" s="79" t="e">
        <f>ERP[[#This Row],[2026 Working Total to Budget/LE]]-ERP[[#This Row],[Giveback]]</f>
        <v>#N/A</v>
      </c>
      <c r="AO439" s="81"/>
      <c r="AP439" s="375"/>
      <c r="AQ439" s="375"/>
      <c r="AR439" s="375"/>
      <c r="AS439" s="375">
        <v>0</v>
      </c>
      <c r="AT439" s="375">
        <v>0</v>
      </c>
      <c r="AU439" s="375">
        <v>0</v>
      </c>
      <c r="AV439" s="375">
        <v>0</v>
      </c>
      <c r="AW439" s="375">
        <v>0</v>
      </c>
      <c r="AX439" s="375">
        <v>0</v>
      </c>
      <c r="AY439" s="375">
        <v>0</v>
      </c>
      <c r="AZ439" s="375">
        <v>0</v>
      </c>
      <c r="BA439" s="375">
        <v>0</v>
      </c>
      <c r="BB439" s="375">
        <v>0</v>
      </c>
      <c r="BC439" s="103">
        <v>-678893.73</v>
      </c>
      <c r="BD439" s="103">
        <v>0</v>
      </c>
      <c r="BE439" s="103">
        <v>0</v>
      </c>
      <c r="BF439" s="103">
        <v>0</v>
      </c>
      <c r="BG439" s="103">
        <v>0</v>
      </c>
      <c r="BH439" s="103">
        <v>0</v>
      </c>
      <c r="BI439" s="103">
        <v>0</v>
      </c>
      <c r="BJ439" s="103">
        <v>0</v>
      </c>
      <c r="BK439" s="103">
        <v>0</v>
      </c>
      <c r="BL439" s="103">
        <v>0</v>
      </c>
      <c r="BM439" s="103">
        <v>0</v>
      </c>
      <c r="BN439" s="103">
        <v>0</v>
      </c>
      <c r="BO439" s="79">
        <f>SUM(ERP[[#This Row],[2026 AP01]:[2026 AP12]])</f>
        <v>-678893.73</v>
      </c>
    </row>
    <row r="440" spans="1:67" ht="15" customHeight="1">
      <c r="A440" s="79" t="s">
        <v>2347</v>
      </c>
      <c r="B440" s="296" t="s">
        <v>710</v>
      </c>
      <c r="C440" s="150" t="s">
        <v>1136</v>
      </c>
      <c r="D440" s="332" t="s">
        <v>1135</v>
      </c>
      <c r="E440" s="383" t="s">
        <v>1135</v>
      </c>
      <c r="F440" s="331" t="s">
        <v>1137</v>
      </c>
      <c r="G440" s="512" t="s">
        <v>639</v>
      </c>
      <c r="H440" s="393" t="s">
        <v>2348</v>
      </c>
      <c r="I440" s="343" t="s">
        <v>2343</v>
      </c>
      <c r="J440" s="150" t="s">
        <v>1171</v>
      </c>
      <c r="K440" s="91" t="s">
        <v>711</v>
      </c>
      <c r="L440" s="343"/>
      <c r="M440" s="346" t="s">
        <v>2339</v>
      </c>
      <c r="N440" s="346" t="s">
        <v>1710</v>
      </c>
      <c r="O440" s="386" t="s">
        <v>707</v>
      </c>
      <c r="P440" s="346" t="s">
        <v>1348</v>
      </c>
      <c r="Q440" s="437"/>
      <c r="R440" s="358">
        <v>4128.4799999999996</v>
      </c>
      <c r="S440" s="378">
        <v>0</v>
      </c>
      <c r="T440" s="430"/>
      <c r="U440" s="137"/>
      <c r="V440" s="433"/>
      <c r="W440" s="434"/>
      <c r="X440" s="434"/>
      <c r="Y440" s="428" t="s">
        <v>1142</v>
      </c>
      <c r="Z440" s="429">
        <v>0</v>
      </c>
      <c r="AA440" s="429">
        <v>0</v>
      </c>
      <c r="AB440" s="363" t="e">
        <v>#N/A</v>
      </c>
      <c r="AC440" s="388">
        <v>0</v>
      </c>
      <c r="AD440" s="388">
        <v>0</v>
      </c>
      <c r="AE440" s="388">
        <v>0</v>
      </c>
      <c r="AF440" s="388">
        <v>0</v>
      </c>
      <c r="AG440" s="388">
        <v>0</v>
      </c>
      <c r="AH440" s="360" t="e">
        <f t="shared" si="23"/>
        <v>#N/A</v>
      </c>
      <c r="AI440" s="362" t="e">
        <f>ERP[[#This Row],[2026 Working Total]]-ERP[[#This Row],[LE2 Final Submission]]</f>
        <v>#N/A</v>
      </c>
      <c r="AJ440" s="79">
        <v>0</v>
      </c>
      <c r="AK440" s="79">
        <f t="shared" si="22"/>
        <v>0</v>
      </c>
      <c r="AL440" s="374">
        <f>SUM(ERP[[#This Row],[AP01]:[AP06]])-SUM(ERP[[#This Row],[AP01 LE2]:[AP06 LE2]])</f>
        <v>0</v>
      </c>
      <c r="AM440" s="80"/>
      <c r="AN440" s="79" t="e">
        <f>ERP[[#This Row],[2026 Working Total to Budget/LE]]-ERP[[#This Row],[Giveback]]</f>
        <v>#N/A</v>
      </c>
      <c r="AO440" s="81"/>
      <c r="AP440" s="375"/>
      <c r="AQ440" s="375"/>
      <c r="AR440" s="375"/>
      <c r="AS440" s="375">
        <v>0</v>
      </c>
      <c r="AT440" s="375">
        <v>0</v>
      </c>
      <c r="AU440" s="375">
        <v>0</v>
      </c>
      <c r="AV440" s="375">
        <v>0</v>
      </c>
      <c r="AW440" s="375">
        <v>0</v>
      </c>
      <c r="AX440" s="375">
        <v>0</v>
      </c>
      <c r="AY440" s="375">
        <v>0</v>
      </c>
      <c r="AZ440" s="375">
        <v>0</v>
      </c>
      <c r="BA440" s="375">
        <v>0</v>
      </c>
      <c r="BB440" s="375">
        <v>0</v>
      </c>
      <c r="BC440" s="103">
        <v>4128.4799999999996</v>
      </c>
      <c r="BD440" s="103">
        <v>0</v>
      </c>
      <c r="BE440" s="103">
        <v>0</v>
      </c>
      <c r="BF440" s="103">
        <v>0</v>
      </c>
      <c r="BG440" s="103">
        <v>0</v>
      </c>
      <c r="BH440" s="103">
        <v>0</v>
      </c>
      <c r="BI440" s="103">
        <v>0</v>
      </c>
      <c r="BJ440" s="103">
        <v>0</v>
      </c>
      <c r="BK440" s="103">
        <v>0</v>
      </c>
      <c r="BL440" s="103">
        <v>0</v>
      </c>
      <c r="BM440" s="103">
        <v>0</v>
      </c>
      <c r="BN440" s="103">
        <v>0</v>
      </c>
      <c r="BO440" s="79">
        <f>SUM(ERP[[#This Row],[2026 AP01]:[2026 AP12]])</f>
        <v>4128.4799999999996</v>
      </c>
    </row>
    <row r="441" spans="1:67" ht="15" customHeight="1">
      <c r="A441" s="79" t="s">
        <v>2349</v>
      </c>
      <c r="B441" s="296" t="s">
        <v>712</v>
      </c>
      <c r="C441" s="150" t="s">
        <v>1136</v>
      </c>
      <c r="D441" s="332" t="s">
        <v>1135</v>
      </c>
      <c r="E441" s="383" t="s">
        <v>1135</v>
      </c>
      <c r="F441" s="331" t="s">
        <v>1137</v>
      </c>
      <c r="G441" s="512" t="s">
        <v>639</v>
      </c>
      <c r="H441" s="393" t="s">
        <v>2350</v>
      </c>
      <c r="I441" s="343" t="s">
        <v>2343</v>
      </c>
      <c r="J441" s="150" t="s">
        <v>1171</v>
      </c>
      <c r="K441" s="91" t="s">
        <v>713</v>
      </c>
      <c r="L441" s="343"/>
      <c r="M441" s="346" t="s">
        <v>2339</v>
      </c>
      <c r="N441" s="346" t="s">
        <v>1710</v>
      </c>
      <c r="O441" s="386" t="s">
        <v>707</v>
      </c>
      <c r="P441" s="346" t="s">
        <v>1348</v>
      </c>
      <c r="Q441" s="437"/>
      <c r="R441" s="358">
        <v>-4128.4799999999996</v>
      </c>
      <c r="S441" s="378">
        <v>0</v>
      </c>
      <c r="T441" s="425"/>
      <c r="U441" s="71"/>
      <c r="V441" s="433"/>
      <c r="W441" s="434"/>
      <c r="X441" s="434"/>
      <c r="Y441" s="428" t="s">
        <v>1142</v>
      </c>
      <c r="Z441" s="429">
        <v>0</v>
      </c>
      <c r="AA441" s="429">
        <v>0</v>
      </c>
      <c r="AB441" s="363" t="e">
        <v>#N/A</v>
      </c>
      <c r="AC441" s="388">
        <v>0</v>
      </c>
      <c r="AD441" s="388">
        <v>0</v>
      </c>
      <c r="AE441" s="388">
        <v>0</v>
      </c>
      <c r="AF441" s="388">
        <v>0</v>
      </c>
      <c r="AG441" s="388">
        <v>0</v>
      </c>
      <c r="AH441" s="360" t="e">
        <f t="shared" si="23"/>
        <v>#N/A</v>
      </c>
      <c r="AI441" s="362" t="e">
        <f>ERP[[#This Row],[2026 Working Total]]-ERP[[#This Row],[LE2 Final Submission]]</f>
        <v>#N/A</v>
      </c>
      <c r="AJ441" s="79">
        <v>0</v>
      </c>
      <c r="AK441" s="79">
        <f t="shared" si="22"/>
        <v>0</v>
      </c>
      <c r="AL441" s="374">
        <f>SUM(ERP[[#This Row],[AP01]:[AP06]])-SUM(ERP[[#This Row],[AP01 LE2]:[AP06 LE2]])</f>
        <v>0</v>
      </c>
      <c r="AM441" s="80"/>
      <c r="AN441" s="79" t="e">
        <f>ERP[[#This Row],[2026 Working Total to Budget/LE]]-ERP[[#This Row],[Giveback]]</f>
        <v>#N/A</v>
      </c>
      <c r="AO441" s="81"/>
      <c r="AP441" s="375"/>
      <c r="AQ441" s="375"/>
      <c r="AR441" s="375"/>
      <c r="AS441" s="375">
        <v>0</v>
      </c>
      <c r="AT441" s="375">
        <v>0</v>
      </c>
      <c r="AU441" s="375">
        <v>0</v>
      </c>
      <c r="AV441" s="375">
        <v>0</v>
      </c>
      <c r="AW441" s="375">
        <v>0</v>
      </c>
      <c r="AX441" s="375">
        <v>0</v>
      </c>
      <c r="AY441" s="375">
        <v>0</v>
      </c>
      <c r="AZ441" s="375">
        <v>0</v>
      </c>
      <c r="BA441" s="375">
        <v>0</v>
      </c>
      <c r="BB441" s="375">
        <v>0</v>
      </c>
      <c r="BC441" s="103">
        <v>-4128.4799999999996</v>
      </c>
      <c r="BD441" s="103">
        <v>0</v>
      </c>
      <c r="BE441" s="103">
        <v>0</v>
      </c>
      <c r="BF441" s="103">
        <v>0</v>
      </c>
      <c r="BG441" s="103">
        <v>0</v>
      </c>
      <c r="BH441" s="103">
        <v>0</v>
      </c>
      <c r="BI441" s="103">
        <v>0</v>
      </c>
      <c r="BJ441" s="103">
        <v>0</v>
      </c>
      <c r="BK441" s="103">
        <v>0</v>
      </c>
      <c r="BL441" s="103">
        <v>0</v>
      </c>
      <c r="BM441" s="103">
        <v>0</v>
      </c>
      <c r="BN441" s="103">
        <v>0</v>
      </c>
      <c r="BO441" s="79">
        <f>SUM(ERP[[#This Row],[2026 AP01]:[2026 AP12]])</f>
        <v>-4128.4799999999996</v>
      </c>
    </row>
    <row r="442" spans="1:67" ht="15" customHeight="1">
      <c r="A442" s="79" t="s">
        <v>2351</v>
      </c>
      <c r="B442" s="296" t="s">
        <v>714</v>
      </c>
      <c r="C442" s="150" t="s">
        <v>1136</v>
      </c>
      <c r="D442" s="332" t="s">
        <v>1135</v>
      </c>
      <c r="E442" s="383" t="s">
        <v>1135</v>
      </c>
      <c r="F442" s="331" t="s">
        <v>1137</v>
      </c>
      <c r="G442" s="512" t="s">
        <v>639</v>
      </c>
      <c r="H442" s="393" t="s">
        <v>2352</v>
      </c>
      <c r="I442" s="343" t="s">
        <v>2343</v>
      </c>
      <c r="J442" s="150" t="s">
        <v>1171</v>
      </c>
      <c r="K442" s="91" t="s">
        <v>715</v>
      </c>
      <c r="L442" s="343"/>
      <c r="M442" s="346" t="s">
        <v>2339</v>
      </c>
      <c r="N442" s="346" t="s">
        <v>1710</v>
      </c>
      <c r="O442" s="386" t="s">
        <v>707</v>
      </c>
      <c r="P442" s="346" t="s">
        <v>1348</v>
      </c>
      <c r="Q442" s="437"/>
      <c r="R442" s="358">
        <v>37248.410000000003</v>
      </c>
      <c r="S442" s="378">
        <v>0</v>
      </c>
      <c r="T442" s="425"/>
      <c r="U442" s="71"/>
      <c r="V442" s="433"/>
      <c r="W442" s="434"/>
      <c r="X442" s="434"/>
      <c r="Y442" s="428" t="s">
        <v>1142</v>
      </c>
      <c r="Z442" s="429">
        <v>0</v>
      </c>
      <c r="AA442" s="429">
        <v>0</v>
      </c>
      <c r="AB442" s="363" t="e">
        <v>#N/A</v>
      </c>
      <c r="AC442" s="388">
        <v>0</v>
      </c>
      <c r="AD442" s="388">
        <v>0</v>
      </c>
      <c r="AE442" s="388">
        <v>0</v>
      </c>
      <c r="AF442" s="388">
        <v>0</v>
      </c>
      <c r="AG442" s="388">
        <v>0</v>
      </c>
      <c r="AH442" s="360" t="e">
        <f t="shared" si="23"/>
        <v>#N/A</v>
      </c>
      <c r="AI442" s="362" t="e">
        <f>ERP[[#This Row],[2026 Working Total]]-ERP[[#This Row],[LE2 Final Submission]]</f>
        <v>#N/A</v>
      </c>
      <c r="AJ442" s="79">
        <v>0</v>
      </c>
      <c r="AK442" s="79">
        <f t="shared" si="22"/>
        <v>0</v>
      </c>
      <c r="AL442" s="374">
        <f>SUM(ERP[[#This Row],[AP01]:[AP06]])-SUM(ERP[[#This Row],[AP01 LE2]:[AP06 LE2]])</f>
        <v>0</v>
      </c>
      <c r="AM442" s="80"/>
      <c r="AN442" s="79" t="e">
        <f>ERP[[#This Row],[2026 Working Total to Budget/LE]]-ERP[[#This Row],[Giveback]]</f>
        <v>#N/A</v>
      </c>
      <c r="AO442" s="81"/>
      <c r="AP442" s="375"/>
      <c r="AQ442" s="375"/>
      <c r="AR442" s="375"/>
      <c r="AS442" s="375">
        <v>0</v>
      </c>
      <c r="AT442" s="375">
        <v>0</v>
      </c>
      <c r="AU442" s="375">
        <v>0</v>
      </c>
      <c r="AV442" s="375">
        <v>0</v>
      </c>
      <c r="AW442" s="375">
        <v>0</v>
      </c>
      <c r="AX442" s="375">
        <v>0</v>
      </c>
      <c r="AY442" s="375">
        <v>0</v>
      </c>
      <c r="AZ442" s="375">
        <v>0</v>
      </c>
      <c r="BA442" s="375">
        <v>0</v>
      </c>
      <c r="BB442" s="375">
        <v>0</v>
      </c>
      <c r="BC442" s="103">
        <v>37248.410000000003</v>
      </c>
      <c r="BD442" s="103">
        <v>0</v>
      </c>
      <c r="BE442" s="103">
        <v>0</v>
      </c>
      <c r="BF442" s="103">
        <v>0</v>
      </c>
      <c r="BG442" s="103">
        <v>0</v>
      </c>
      <c r="BH442" s="103">
        <v>0</v>
      </c>
      <c r="BI442" s="103">
        <v>0</v>
      </c>
      <c r="BJ442" s="103">
        <v>0</v>
      </c>
      <c r="BK442" s="103">
        <v>0</v>
      </c>
      <c r="BL442" s="103">
        <v>0</v>
      </c>
      <c r="BM442" s="103">
        <v>0</v>
      </c>
      <c r="BN442" s="103">
        <v>0</v>
      </c>
      <c r="BO442" s="79">
        <f>SUM(ERP[[#This Row],[2026 AP01]:[2026 AP12]])</f>
        <v>37248.410000000003</v>
      </c>
    </row>
    <row r="443" spans="1:67" ht="15" customHeight="1">
      <c r="A443" s="79" t="s">
        <v>2353</v>
      </c>
      <c r="B443" s="296" t="s">
        <v>716</v>
      </c>
      <c r="C443" s="150" t="s">
        <v>1136</v>
      </c>
      <c r="D443" s="332" t="s">
        <v>1135</v>
      </c>
      <c r="E443" s="383" t="s">
        <v>1135</v>
      </c>
      <c r="F443" s="331" t="s">
        <v>1137</v>
      </c>
      <c r="G443" s="512" t="s">
        <v>639</v>
      </c>
      <c r="H443" s="393" t="s">
        <v>2354</v>
      </c>
      <c r="I443" s="343" t="s">
        <v>2343</v>
      </c>
      <c r="J443" s="150" t="s">
        <v>1171</v>
      </c>
      <c r="K443" s="91" t="s">
        <v>717</v>
      </c>
      <c r="L443" s="343"/>
      <c r="M443" s="346" t="s">
        <v>2339</v>
      </c>
      <c r="N443" s="346" t="s">
        <v>1710</v>
      </c>
      <c r="O443" s="386" t="s">
        <v>707</v>
      </c>
      <c r="P443" s="346" t="s">
        <v>1348</v>
      </c>
      <c r="Q443" s="437"/>
      <c r="R443" s="358">
        <v>-37248.410000000003</v>
      </c>
      <c r="S443" s="378">
        <v>0</v>
      </c>
      <c r="T443" s="430"/>
      <c r="U443" s="137"/>
      <c r="V443" s="433"/>
      <c r="W443" s="434"/>
      <c r="X443" s="434"/>
      <c r="Y443" s="428" t="s">
        <v>1142</v>
      </c>
      <c r="Z443" s="429">
        <v>0</v>
      </c>
      <c r="AA443" s="429">
        <v>0</v>
      </c>
      <c r="AB443" s="363" t="e">
        <v>#N/A</v>
      </c>
      <c r="AC443" s="388">
        <v>0</v>
      </c>
      <c r="AD443" s="388">
        <v>0</v>
      </c>
      <c r="AE443" s="388">
        <v>0</v>
      </c>
      <c r="AF443" s="388">
        <v>0</v>
      </c>
      <c r="AG443" s="388">
        <v>0</v>
      </c>
      <c r="AH443" s="360" t="e">
        <f t="shared" si="23"/>
        <v>#N/A</v>
      </c>
      <c r="AI443" s="362" t="e">
        <f>ERP[[#This Row],[2026 Working Total]]-ERP[[#This Row],[LE2 Final Submission]]</f>
        <v>#N/A</v>
      </c>
      <c r="AJ443" s="79">
        <v>0</v>
      </c>
      <c r="AK443" s="79">
        <f t="shared" si="22"/>
        <v>0</v>
      </c>
      <c r="AL443" s="374">
        <f>SUM(ERP[[#This Row],[AP01]:[AP06]])-SUM(ERP[[#This Row],[AP01 LE2]:[AP06 LE2]])</f>
        <v>0</v>
      </c>
      <c r="AM443" s="80"/>
      <c r="AN443" s="79" t="e">
        <f>ERP[[#This Row],[2026 Working Total to Budget/LE]]-ERP[[#This Row],[Giveback]]</f>
        <v>#N/A</v>
      </c>
      <c r="AO443" s="81"/>
      <c r="AP443" s="375"/>
      <c r="AQ443" s="375"/>
      <c r="AR443" s="375"/>
      <c r="AS443" s="375">
        <v>0</v>
      </c>
      <c r="AT443" s="375">
        <v>0</v>
      </c>
      <c r="AU443" s="375">
        <v>0</v>
      </c>
      <c r="AV443" s="375">
        <v>0</v>
      </c>
      <c r="AW443" s="375">
        <v>0</v>
      </c>
      <c r="AX443" s="375">
        <v>0</v>
      </c>
      <c r="AY443" s="375">
        <v>0</v>
      </c>
      <c r="AZ443" s="375">
        <v>0</v>
      </c>
      <c r="BA443" s="375">
        <v>0</v>
      </c>
      <c r="BB443" s="375">
        <v>0</v>
      </c>
      <c r="BC443" s="103">
        <v>-37248.410000000003</v>
      </c>
      <c r="BD443" s="103">
        <v>0</v>
      </c>
      <c r="BE443" s="103">
        <v>0</v>
      </c>
      <c r="BF443" s="103">
        <v>0</v>
      </c>
      <c r="BG443" s="103">
        <v>0</v>
      </c>
      <c r="BH443" s="103">
        <v>0</v>
      </c>
      <c r="BI443" s="103">
        <v>0</v>
      </c>
      <c r="BJ443" s="103">
        <v>0</v>
      </c>
      <c r="BK443" s="103">
        <v>0</v>
      </c>
      <c r="BL443" s="103">
        <v>0</v>
      </c>
      <c r="BM443" s="103">
        <v>0</v>
      </c>
      <c r="BN443" s="103">
        <v>0</v>
      </c>
      <c r="BO443" s="79">
        <f>SUM(ERP[[#This Row],[2026 AP01]:[2026 AP12]])</f>
        <v>-37248.410000000003</v>
      </c>
    </row>
    <row r="444" spans="1:67" ht="15" customHeight="1">
      <c r="A444" s="79" t="s">
        <v>2355</v>
      </c>
      <c r="B444" s="296" t="s">
        <v>718</v>
      </c>
      <c r="C444" s="150" t="s">
        <v>1136</v>
      </c>
      <c r="D444" s="332" t="s">
        <v>1135</v>
      </c>
      <c r="E444" s="383" t="s">
        <v>1135</v>
      </c>
      <c r="F444" s="331" t="s">
        <v>1137</v>
      </c>
      <c r="G444" s="512" t="s">
        <v>639</v>
      </c>
      <c r="H444" s="393" t="s">
        <v>2356</v>
      </c>
      <c r="I444" s="343" t="s">
        <v>2343</v>
      </c>
      <c r="J444" s="150" t="s">
        <v>1171</v>
      </c>
      <c r="K444" s="91" t="s">
        <v>719</v>
      </c>
      <c r="L444" s="343"/>
      <c r="M444" s="346" t="s">
        <v>2339</v>
      </c>
      <c r="N444" s="346" t="s">
        <v>1710</v>
      </c>
      <c r="O444" s="386" t="s">
        <v>707</v>
      </c>
      <c r="P444" s="346" t="s">
        <v>1348</v>
      </c>
      <c r="Q444" s="437"/>
      <c r="R444" s="358">
        <v>40181.519999999997</v>
      </c>
      <c r="S444" s="378">
        <v>0</v>
      </c>
      <c r="T444" s="425"/>
      <c r="U444" s="71"/>
      <c r="V444" s="433"/>
      <c r="W444" s="434"/>
      <c r="X444" s="434"/>
      <c r="Y444" s="428" t="s">
        <v>1142</v>
      </c>
      <c r="Z444" s="429">
        <v>0</v>
      </c>
      <c r="AA444" s="429">
        <v>0</v>
      </c>
      <c r="AB444" s="363" t="e">
        <v>#N/A</v>
      </c>
      <c r="AC444" s="388">
        <v>0</v>
      </c>
      <c r="AD444" s="388">
        <v>0</v>
      </c>
      <c r="AE444" s="388">
        <v>0</v>
      </c>
      <c r="AF444" s="388">
        <v>0</v>
      </c>
      <c r="AG444" s="388">
        <v>0</v>
      </c>
      <c r="AH444" s="360" t="e">
        <f t="shared" si="23"/>
        <v>#N/A</v>
      </c>
      <c r="AI444" s="362" t="e">
        <f>ERP[[#This Row],[2026 Working Total]]-ERP[[#This Row],[LE2 Final Submission]]</f>
        <v>#N/A</v>
      </c>
      <c r="AJ444" s="79">
        <v>0</v>
      </c>
      <c r="AK444" s="79">
        <f t="shared" si="22"/>
        <v>0</v>
      </c>
      <c r="AL444" s="374">
        <f>SUM(ERP[[#This Row],[AP01]:[AP06]])-SUM(ERP[[#This Row],[AP01 LE2]:[AP06 LE2]])</f>
        <v>0</v>
      </c>
      <c r="AM444" s="80"/>
      <c r="AN444" s="79" t="e">
        <f>ERP[[#This Row],[2026 Working Total to Budget/LE]]-ERP[[#This Row],[Giveback]]</f>
        <v>#N/A</v>
      </c>
      <c r="AO444" s="81"/>
      <c r="AP444" s="375"/>
      <c r="AQ444" s="375"/>
      <c r="AR444" s="375"/>
      <c r="AS444" s="375">
        <v>0</v>
      </c>
      <c r="AT444" s="375">
        <v>0</v>
      </c>
      <c r="AU444" s="375">
        <v>0</v>
      </c>
      <c r="AV444" s="375">
        <v>0</v>
      </c>
      <c r="AW444" s="375">
        <v>0</v>
      </c>
      <c r="AX444" s="375">
        <v>0</v>
      </c>
      <c r="AY444" s="375">
        <v>0</v>
      </c>
      <c r="AZ444" s="375">
        <v>0</v>
      </c>
      <c r="BA444" s="375">
        <v>0</v>
      </c>
      <c r="BB444" s="375">
        <v>0</v>
      </c>
      <c r="BC444" s="103">
        <v>40181.519999999997</v>
      </c>
      <c r="BD444" s="103">
        <v>0</v>
      </c>
      <c r="BE444" s="103">
        <v>0</v>
      </c>
      <c r="BF444" s="103">
        <v>0</v>
      </c>
      <c r="BG444" s="103">
        <v>0</v>
      </c>
      <c r="BH444" s="103">
        <v>0</v>
      </c>
      <c r="BI444" s="103">
        <v>0</v>
      </c>
      <c r="BJ444" s="103">
        <v>0</v>
      </c>
      <c r="BK444" s="103">
        <v>0</v>
      </c>
      <c r="BL444" s="103">
        <v>0</v>
      </c>
      <c r="BM444" s="103">
        <v>0</v>
      </c>
      <c r="BN444" s="103">
        <v>0</v>
      </c>
      <c r="BO444" s="79">
        <f>SUM(ERP[[#This Row],[2026 AP01]:[2026 AP12]])</f>
        <v>40181.519999999997</v>
      </c>
    </row>
    <row r="445" spans="1:67" ht="15" customHeight="1">
      <c r="A445" s="79" t="s">
        <v>2357</v>
      </c>
      <c r="B445" s="296" t="s">
        <v>720</v>
      </c>
      <c r="C445" s="150" t="s">
        <v>1136</v>
      </c>
      <c r="D445" s="332" t="s">
        <v>1135</v>
      </c>
      <c r="E445" s="383" t="s">
        <v>1135</v>
      </c>
      <c r="F445" s="331" t="s">
        <v>1137</v>
      </c>
      <c r="G445" s="512" t="s">
        <v>639</v>
      </c>
      <c r="H445" s="393" t="s">
        <v>2358</v>
      </c>
      <c r="I445" s="343" t="s">
        <v>2343</v>
      </c>
      <c r="J445" s="150" t="s">
        <v>1171</v>
      </c>
      <c r="K445" s="91" t="s">
        <v>721</v>
      </c>
      <c r="L445" s="343"/>
      <c r="M445" s="346" t="s">
        <v>2339</v>
      </c>
      <c r="N445" s="346" t="s">
        <v>1710</v>
      </c>
      <c r="O445" s="386" t="s">
        <v>707</v>
      </c>
      <c r="P445" s="346" t="s">
        <v>1348</v>
      </c>
      <c r="Q445" s="437"/>
      <c r="R445" s="358">
        <v>-40181</v>
      </c>
      <c r="S445" s="378">
        <v>0</v>
      </c>
      <c r="T445" s="425"/>
      <c r="U445" s="71"/>
      <c r="V445" s="433"/>
      <c r="W445" s="434"/>
      <c r="X445" s="434"/>
      <c r="Y445" s="428" t="s">
        <v>1142</v>
      </c>
      <c r="Z445" s="429">
        <v>0</v>
      </c>
      <c r="AA445" s="429">
        <v>0</v>
      </c>
      <c r="AB445" s="363" t="e">
        <v>#N/A</v>
      </c>
      <c r="AC445" s="388">
        <v>0</v>
      </c>
      <c r="AD445" s="388">
        <v>0</v>
      </c>
      <c r="AE445" s="388">
        <v>0</v>
      </c>
      <c r="AF445" s="388">
        <v>0</v>
      </c>
      <c r="AG445" s="388">
        <v>0</v>
      </c>
      <c r="AH445" s="360" t="e">
        <f t="shared" si="23"/>
        <v>#N/A</v>
      </c>
      <c r="AI445" s="362" t="e">
        <f>ERP[[#This Row],[2026 Working Total]]-ERP[[#This Row],[LE2 Final Submission]]</f>
        <v>#N/A</v>
      </c>
      <c r="AJ445" s="79">
        <v>0</v>
      </c>
      <c r="AK445" s="79">
        <f t="shared" si="22"/>
        <v>0</v>
      </c>
      <c r="AL445" s="374">
        <f>SUM(ERP[[#This Row],[AP01]:[AP06]])-SUM(ERP[[#This Row],[AP01 LE2]:[AP06 LE2]])</f>
        <v>0</v>
      </c>
      <c r="AM445" s="80"/>
      <c r="AN445" s="79" t="e">
        <f>ERP[[#This Row],[2026 Working Total to Budget/LE]]-ERP[[#This Row],[Giveback]]</f>
        <v>#N/A</v>
      </c>
      <c r="AO445" s="81"/>
      <c r="AP445" s="375"/>
      <c r="AQ445" s="375"/>
      <c r="AR445" s="375"/>
      <c r="AS445" s="375">
        <v>0</v>
      </c>
      <c r="AT445" s="375">
        <v>0</v>
      </c>
      <c r="AU445" s="375">
        <v>0</v>
      </c>
      <c r="AV445" s="375">
        <v>0</v>
      </c>
      <c r="AW445" s="375">
        <v>0</v>
      </c>
      <c r="AX445" s="375">
        <v>0</v>
      </c>
      <c r="AY445" s="375">
        <v>0</v>
      </c>
      <c r="AZ445" s="375">
        <v>0</v>
      </c>
      <c r="BA445" s="375">
        <v>0</v>
      </c>
      <c r="BB445" s="375">
        <v>0</v>
      </c>
      <c r="BC445" s="103">
        <v>-40181</v>
      </c>
      <c r="BD445" s="103">
        <v>0</v>
      </c>
      <c r="BE445" s="103">
        <v>0</v>
      </c>
      <c r="BF445" s="103">
        <v>0</v>
      </c>
      <c r="BG445" s="103">
        <v>0</v>
      </c>
      <c r="BH445" s="103">
        <v>0</v>
      </c>
      <c r="BI445" s="103">
        <v>0</v>
      </c>
      <c r="BJ445" s="103">
        <v>0</v>
      </c>
      <c r="BK445" s="103">
        <v>0</v>
      </c>
      <c r="BL445" s="103">
        <v>0</v>
      </c>
      <c r="BM445" s="103">
        <v>0</v>
      </c>
      <c r="BN445" s="103">
        <v>0</v>
      </c>
      <c r="BO445" s="79">
        <f>SUM(ERP[[#This Row],[2026 AP01]:[2026 AP12]])</f>
        <v>-40181</v>
      </c>
    </row>
    <row r="446" spans="1:67" ht="15" customHeight="1">
      <c r="A446" s="79" t="s">
        <v>2359</v>
      </c>
      <c r="B446" s="296" t="s">
        <v>722</v>
      </c>
      <c r="C446" s="150" t="s">
        <v>1136</v>
      </c>
      <c r="D446" s="332" t="s">
        <v>1135</v>
      </c>
      <c r="E446" s="383" t="s">
        <v>1135</v>
      </c>
      <c r="F446" s="331" t="s">
        <v>1137</v>
      </c>
      <c r="G446" s="512" t="s">
        <v>639</v>
      </c>
      <c r="H446" s="393" t="s">
        <v>2360</v>
      </c>
      <c r="I446" s="343" t="s">
        <v>2343</v>
      </c>
      <c r="J446" s="150" t="s">
        <v>1171</v>
      </c>
      <c r="K446" s="91" t="s">
        <v>723</v>
      </c>
      <c r="L446" s="343"/>
      <c r="M446" s="346" t="s">
        <v>2339</v>
      </c>
      <c r="N446" s="346" t="s">
        <v>1710</v>
      </c>
      <c r="O446" s="386" t="s">
        <v>707</v>
      </c>
      <c r="P446" s="346" t="s">
        <v>1348</v>
      </c>
      <c r="Q446" s="437"/>
      <c r="R446" s="358">
        <v>253752.12</v>
      </c>
      <c r="S446" s="378">
        <v>0</v>
      </c>
      <c r="T446" s="430"/>
      <c r="U446" s="137"/>
      <c r="V446" s="433"/>
      <c r="W446" s="434"/>
      <c r="X446" s="434"/>
      <c r="Y446" s="428" t="s">
        <v>1142</v>
      </c>
      <c r="Z446" s="429">
        <v>0</v>
      </c>
      <c r="AA446" s="429">
        <v>0</v>
      </c>
      <c r="AB446" s="363" t="e">
        <v>#N/A</v>
      </c>
      <c r="AC446" s="388">
        <v>0</v>
      </c>
      <c r="AD446" s="388">
        <v>0</v>
      </c>
      <c r="AE446" s="388">
        <v>0</v>
      </c>
      <c r="AF446" s="388">
        <v>0</v>
      </c>
      <c r="AG446" s="388">
        <v>0</v>
      </c>
      <c r="AH446" s="360" t="e">
        <f t="shared" si="23"/>
        <v>#N/A</v>
      </c>
      <c r="AI446" s="362" t="e">
        <f>ERP[[#This Row],[2026 Working Total]]-ERP[[#This Row],[LE2 Final Submission]]</f>
        <v>#N/A</v>
      </c>
      <c r="AJ446" s="79">
        <v>0</v>
      </c>
      <c r="AK446" s="79">
        <f t="shared" si="22"/>
        <v>0</v>
      </c>
      <c r="AL446" s="374">
        <f>SUM(ERP[[#This Row],[AP01]:[AP06]])-SUM(ERP[[#This Row],[AP01 LE2]:[AP06 LE2]])</f>
        <v>0</v>
      </c>
      <c r="AM446" s="80"/>
      <c r="AN446" s="79" t="e">
        <f>ERP[[#This Row],[2026 Working Total to Budget/LE]]-ERP[[#This Row],[Giveback]]</f>
        <v>#N/A</v>
      </c>
      <c r="AO446" s="81"/>
      <c r="AP446" s="375"/>
      <c r="AQ446" s="375"/>
      <c r="AR446" s="375"/>
      <c r="AS446" s="375">
        <v>0</v>
      </c>
      <c r="AT446" s="375">
        <v>0</v>
      </c>
      <c r="AU446" s="375">
        <v>0</v>
      </c>
      <c r="AV446" s="375">
        <v>0</v>
      </c>
      <c r="AW446" s="375">
        <v>0</v>
      </c>
      <c r="AX446" s="375">
        <v>0</v>
      </c>
      <c r="AY446" s="375">
        <v>0</v>
      </c>
      <c r="AZ446" s="375">
        <v>0</v>
      </c>
      <c r="BA446" s="375">
        <v>0</v>
      </c>
      <c r="BB446" s="375">
        <v>0</v>
      </c>
      <c r="BC446" s="103">
        <v>253752.12</v>
      </c>
      <c r="BD446" s="103">
        <v>0</v>
      </c>
      <c r="BE446" s="103">
        <v>0</v>
      </c>
      <c r="BF446" s="103">
        <v>0</v>
      </c>
      <c r="BG446" s="103">
        <v>0</v>
      </c>
      <c r="BH446" s="103">
        <v>0</v>
      </c>
      <c r="BI446" s="103">
        <v>0</v>
      </c>
      <c r="BJ446" s="103">
        <v>0</v>
      </c>
      <c r="BK446" s="103">
        <v>0</v>
      </c>
      <c r="BL446" s="103">
        <v>0</v>
      </c>
      <c r="BM446" s="103">
        <v>0</v>
      </c>
      <c r="BN446" s="103">
        <v>0</v>
      </c>
      <c r="BO446" s="79">
        <f>SUM(ERP[[#This Row],[2026 AP01]:[2026 AP12]])</f>
        <v>253752.12</v>
      </c>
    </row>
    <row r="447" spans="1:67" ht="15" customHeight="1">
      <c r="A447" s="79" t="s">
        <v>2361</v>
      </c>
      <c r="B447" s="296" t="s">
        <v>724</v>
      </c>
      <c r="C447" s="150" t="s">
        <v>1136</v>
      </c>
      <c r="D447" s="332" t="s">
        <v>1135</v>
      </c>
      <c r="E447" s="383" t="s">
        <v>1135</v>
      </c>
      <c r="F447" s="331" t="s">
        <v>1137</v>
      </c>
      <c r="G447" s="512" t="s">
        <v>639</v>
      </c>
      <c r="H447" s="393" t="s">
        <v>2362</v>
      </c>
      <c r="I447" s="343" t="s">
        <v>2343</v>
      </c>
      <c r="J447" s="150" t="s">
        <v>1171</v>
      </c>
      <c r="K447" s="91" t="s">
        <v>725</v>
      </c>
      <c r="L447" s="343"/>
      <c r="M447" s="346" t="s">
        <v>2339</v>
      </c>
      <c r="N447" s="346" t="s">
        <v>1710</v>
      </c>
      <c r="O447" s="386" t="s">
        <v>707</v>
      </c>
      <c r="P447" s="346" t="s">
        <v>1348</v>
      </c>
      <c r="Q447" s="437"/>
      <c r="R447" s="358">
        <v>-253752.12</v>
      </c>
      <c r="S447" s="378">
        <v>0</v>
      </c>
      <c r="T447" s="425"/>
      <c r="U447" s="71"/>
      <c r="V447" s="433"/>
      <c r="W447" s="434"/>
      <c r="X447" s="434"/>
      <c r="Y447" s="428" t="s">
        <v>1142</v>
      </c>
      <c r="Z447" s="429">
        <v>0</v>
      </c>
      <c r="AA447" s="429">
        <v>0</v>
      </c>
      <c r="AB447" s="363" t="e">
        <v>#N/A</v>
      </c>
      <c r="AC447" s="388">
        <v>0</v>
      </c>
      <c r="AD447" s="388">
        <v>0</v>
      </c>
      <c r="AE447" s="388">
        <v>0</v>
      </c>
      <c r="AF447" s="388">
        <v>0</v>
      </c>
      <c r="AG447" s="388">
        <v>0</v>
      </c>
      <c r="AH447" s="360" t="e">
        <f t="shared" si="23"/>
        <v>#N/A</v>
      </c>
      <c r="AI447" s="362" t="e">
        <f>ERP[[#This Row],[2026 Working Total]]-ERP[[#This Row],[LE2 Final Submission]]</f>
        <v>#N/A</v>
      </c>
      <c r="AJ447" s="79">
        <v>0</v>
      </c>
      <c r="AK447" s="79">
        <f t="shared" si="22"/>
        <v>0</v>
      </c>
      <c r="AL447" s="374">
        <f>SUM(ERP[[#This Row],[AP01]:[AP06]])-SUM(ERP[[#This Row],[AP01 LE2]:[AP06 LE2]])</f>
        <v>0</v>
      </c>
      <c r="AM447" s="80"/>
      <c r="AN447" s="79" t="e">
        <f>ERP[[#This Row],[2026 Working Total to Budget/LE]]-ERP[[#This Row],[Giveback]]</f>
        <v>#N/A</v>
      </c>
      <c r="AO447" s="81"/>
      <c r="AP447" s="375"/>
      <c r="AQ447" s="375"/>
      <c r="AR447" s="375"/>
      <c r="AS447" s="375">
        <v>0</v>
      </c>
      <c r="AT447" s="375">
        <v>0</v>
      </c>
      <c r="AU447" s="375">
        <v>0</v>
      </c>
      <c r="AV447" s="375">
        <v>0</v>
      </c>
      <c r="AW447" s="375">
        <v>0</v>
      </c>
      <c r="AX447" s="375">
        <v>0</v>
      </c>
      <c r="AY447" s="375">
        <v>0</v>
      </c>
      <c r="AZ447" s="375">
        <v>0</v>
      </c>
      <c r="BA447" s="375">
        <v>0</v>
      </c>
      <c r="BB447" s="375">
        <v>0</v>
      </c>
      <c r="BC447" s="103">
        <v>-253752.12</v>
      </c>
      <c r="BD447" s="103">
        <v>0</v>
      </c>
      <c r="BE447" s="103">
        <v>0</v>
      </c>
      <c r="BF447" s="103">
        <v>0</v>
      </c>
      <c r="BG447" s="103">
        <v>0</v>
      </c>
      <c r="BH447" s="103">
        <v>0</v>
      </c>
      <c r="BI447" s="103">
        <v>0</v>
      </c>
      <c r="BJ447" s="103">
        <v>0</v>
      </c>
      <c r="BK447" s="103">
        <v>0</v>
      </c>
      <c r="BL447" s="103">
        <v>0</v>
      </c>
      <c r="BM447" s="103">
        <v>0</v>
      </c>
      <c r="BN447" s="103">
        <v>0</v>
      </c>
      <c r="BO447" s="79">
        <f>SUM(ERP[[#This Row],[2026 AP01]:[2026 AP12]])</f>
        <v>-253752.12</v>
      </c>
    </row>
    <row r="448" spans="1:67" ht="15" customHeight="1">
      <c r="A448" s="79" t="s">
        <v>2363</v>
      </c>
      <c r="B448" s="296" t="s">
        <v>726</v>
      </c>
      <c r="C448" s="150" t="s">
        <v>1136</v>
      </c>
      <c r="D448" s="332" t="s">
        <v>1135</v>
      </c>
      <c r="E448" s="383" t="s">
        <v>1135</v>
      </c>
      <c r="F448" s="331" t="s">
        <v>1137</v>
      </c>
      <c r="G448" s="512" t="s">
        <v>639</v>
      </c>
      <c r="H448" s="393" t="s">
        <v>2364</v>
      </c>
      <c r="I448" s="343" t="s">
        <v>2343</v>
      </c>
      <c r="J448" s="150" t="s">
        <v>1171</v>
      </c>
      <c r="K448" s="91" t="s">
        <v>727</v>
      </c>
      <c r="L448" s="343"/>
      <c r="M448" s="346" t="s">
        <v>2339</v>
      </c>
      <c r="N448" s="346" t="s">
        <v>1710</v>
      </c>
      <c r="O448" s="386" t="s">
        <v>707</v>
      </c>
      <c r="P448" s="346" t="s">
        <v>1348</v>
      </c>
      <c r="Q448" s="437"/>
      <c r="R448" s="358">
        <v>6285.51</v>
      </c>
      <c r="S448" s="378">
        <v>0</v>
      </c>
      <c r="T448" s="425"/>
      <c r="U448" s="71"/>
      <c r="V448" s="433"/>
      <c r="W448" s="434"/>
      <c r="X448" s="434"/>
      <c r="Y448" s="428" t="s">
        <v>1142</v>
      </c>
      <c r="Z448" s="429">
        <v>0</v>
      </c>
      <c r="AA448" s="429">
        <v>0</v>
      </c>
      <c r="AB448" s="363" t="e">
        <v>#N/A</v>
      </c>
      <c r="AC448" s="388">
        <v>0</v>
      </c>
      <c r="AD448" s="388">
        <v>0</v>
      </c>
      <c r="AE448" s="388">
        <v>0</v>
      </c>
      <c r="AF448" s="388">
        <v>0</v>
      </c>
      <c r="AG448" s="388">
        <v>0</v>
      </c>
      <c r="AH448" s="360" t="e">
        <f t="shared" si="23"/>
        <v>#N/A</v>
      </c>
      <c r="AI448" s="362" t="e">
        <f>ERP[[#This Row],[2026 Working Total]]-ERP[[#This Row],[LE2 Final Submission]]</f>
        <v>#N/A</v>
      </c>
      <c r="AJ448" s="79">
        <v>0</v>
      </c>
      <c r="AK448" s="79">
        <f t="shared" si="22"/>
        <v>0</v>
      </c>
      <c r="AL448" s="374">
        <f>SUM(ERP[[#This Row],[AP01]:[AP06]])-SUM(ERP[[#This Row],[AP01 LE2]:[AP06 LE2]])</f>
        <v>0</v>
      </c>
      <c r="AM448" s="80"/>
      <c r="AN448" s="79" t="e">
        <f>ERP[[#This Row],[2026 Working Total to Budget/LE]]-ERP[[#This Row],[Giveback]]</f>
        <v>#N/A</v>
      </c>
      <c r="AO448" s="81"/>
      <c r="AP448" s="375"/>
      <c r="AQ448" s="375"/>
      <c r="AR448" s="375"/>
      <c r="AS448" s="375">
        <v>0</v>
      </c>
      <c r="AT448" s="375">
        <v>0</v>
      </c>
      <c r="AU448" s="375">
        <v>0</v>
      </c>
      <c r="AV448" s="375">
        <v>0</v>
      </c>
      <c r="AW448" s="375">
        <v>0</v>
      </c>
      <c r="AX448" s="375">
        <v>0</v>
      </c>
      <c r="AY448" s="375">
        <v>0</v>
      </c>
      <c r="AZ448" s="375">
        <v>0</v>
      </c>
      <c r="BA448" s="375">
        <v>0</v>
      </c>
      <c r="BB448" s="375">
        <v>0</v>
      </c>
      <c r="BC448" s="103">
        <v>6285.51</v>
      </c>
      <c r="BD448" s="103">
        <v>0</v>
      </c>
      <c r="BE448" s="103">
        <v>0</v>
      </c>
      <c r="BF448" s="103">
        <v>0</v>
      </c>
      <c r="BG448" s="103">
        <v>0</v>
      </c>
      <c r="BH448" s="103">
        <v>0</v>
      </c>
      <c r="BI448" s="103">
        <v>0</v>
      </c>
      <c r="BJ448" s="103">
        <v>0</v>
      </c>
      <c r="BK448" s="103">
        <v>0</v>
      </c>
      <c r="BL448" s="103">
        <v>0</v>
      </c>
      <c r="BM448" s="103">
        <v>0</v>
      </c>
      <c r="BN448" s="103">
        <v>0</v>
      </c>
      <c r="BO448" s="79">
        <f>SUM(ERP[[#This Row],[2026 AP01]:[2026 AP12]])</f>
        <v>6285.51</v>
      </c>
    </row>
    <row r="449" spans="1:67" ht="15" customHeight="1">
      <c r="A449" s="79" t="s">
        <v>2365</v>
      </c>
      <c r="B449" s="296" t="s">
        <v>728</v>
      </c>
      <c r="C449" s="150" t="s">
        <v>1136</v>
      </c>
      <c r="D449" s="332" t="s">
        <v>1135</v>
      </c>
      <c r="E449" s="383" t="s">
        <v>1135</v>
      </c>
      <c r="F449" s="331" t="s">
        <v>1137</v>
      </c>
      <c r="G449" s="512" t="s">
        <v>639</v>
      </c>
      <c r="H449" s="393" t="s">
        <v>2366</v>
      </c>
      <c r="I449" s="343" t="s">
        <v>2343</v>
      </c>
      <c r="J449" s="150" t="s">
        <v>1171</v>
      </c>
      <c r="K449" s="91" t="s">
        <v>729</v>
      </c>
      <c r="L449" s="343"/>
      <c r="M449" s="346" t="s">
        <v>2339</v>
      </c>
      <c r="N449" s="346" t="s">
        <v>1710</v>
      </c>
      <c r="O449" s="386" t="s">
        <v>707</v>
      </c>
      <c r="P449" s="346" t="s">
        <v>1348</v>
      </c>
      <c r="Q449" s="437"/>
      <c r="R449" s="358">
        <v>-6285.51</v>
      </c>
      <c r="S449" s="378">
        <v>0</v>
      </c>
      <c r="T449" s="430"/>
      <c r="U449" s="137"/>
      <c r="V449" s="433"/>
      <c r="W449" s="434"/>
      <c r="X449" s="434"/>
      <c r="Y449" s="428" t="s">
        <v>1142</v>
      </c>
      <c r="Z449" s="429">
        <v>0</v>
      </c>
      <c r="AA449" s="429">
        <v>0</v>
      </c>
      <c r="AB449" s="363" t="e">
        <v>#N/A</v>
      </c>
      <c r="AC449" s="388">
        <v>0</v>
      </c>
      <c r="AD449" s="388">
        <v>0</v>
      </c>
      <c r="AE449" s="388">
        <v>0</v>
      </c>
      <c r="AF449" s="388">
        <v>0</v>
      </c>
      <c r="AG449" s="388">
        <v>0</v>
      </c>
      <c r="AH449" s="360" t="e">
        <f t="shared" si="23"/>
        <v>#N/A</v>
      </c>
      <c r="AI449" s="362" t="e">
        <f>ERP[[#This Row],[2026 Working Total]]-ERP[[#This Row],[LE2 Final Submission]]</f>
        <v>#N/A</v>
      </c>
      <c r="AJ449" s="79">
        <v>0</v>
      </c>
      <c r="AK449" s="79">
        <f t="shared" si="22"/>
        <v>0</v>
      </c>
      <c r="AL449" s="374">
        <f>SUM(ERP[[#This Row],[AP01]:[AP06]])-SUM(ERP[[#This Row],[AP01 LE2]:[AP06 LE2]])</f>
        <v>0</v>
      </c>
      <c r="AM449" s="80"/>
      <c r="AN449" s="79" t="e">
        <f>ERP[[#This Row],[2026 Working Total to Budget/LE]]-ERP[[#This Row],[Giveback]]</f>
        <v>#N/A</v>
      </c>
      <c r="AO449" s="81"/>
      <c r="AP449" s="375"/>
      <c r="AQ449" s="375"/>
      <c r="AR449" s="375"/>
      <c r="AS449" s="375">
        <v>0</v>
      </c>
      <c r="AT449" s="375">
        <v>0</v>
      </c>
      <c r="AU449" s="375">
        <v>0</v>
      </c>
      <c r="AV449" s="375">
        <v>0</v>
      </c>
      <c r="AW449" s="375">
        <v>0</v>
      </c>
      <c r="AX449" s="375">
        <v>0</v>
      </c>
      <c r="AY449" s="375">
        <v>0</v>
      </c>
      <c r="AZ449" s="375">
        <v>0</v>
      </c>
      <c r="BA449" s="375">
        <v>0</v>
      </c>
      <c r="BB449" s="375">
        <v>0</v>
      </c>
      <c r="BC449" s="103">
        <v>-6285.51</v>
      </c>
      <c r="BD449" s="103">
        <v>0</v>
      </c>
      <c r="BE449" s="103">
        <v>0</v>
      </c>
      <c r="BF449" s="103">
        <v>0</v>
      </c>
      <c r="BG449" s="103">
        <v>0</v>
      </c>
      <c r="BH449" s="103">
        <v>0</v>
      </c>
      <c r="BI449" s="103">
        <v>0</v>
      </c>
      <c r="BJ449" s="103">
        <v>0</v>
      </c>
      <c r="BK449" s="103">
        <v>0</v>
      </c>
      <c r="BL449" s="103">
        <v>0</v>
      </c>
      <c r="BM449" s="103">
        <v>0</v>
      </c>
      <c r="BN449" s="103">
        <v>0</v>
      </c>
      <c r="BO449" s="79">
        <f>SUM(ERP[[#This Row],[2026 AP01]:[2026 AP12]])</f>
        <v>-6285.51</v>
      </c>
    </row>
    <row r="450" spans="1:67" ht="15" customHeight="1">
      <c r="A450" s="79" t="s">
        <v>2367</v>
      </c>
      <c r="B450" s="296" t="s">
        <v>730</v>
      </c>
      <c r="C450" s="150" t="s">
        <v>1136</v>
      </c>
      <c r="D450" s="332" t="s">
        <v>1135</v>
      </c>
      <c r="E450" s="383" t="s">
        <v>1135</v>
      </c>
      <c r="F450" s="331" t="s">
        <v>1137</v>
      </c>
      <c r="G450" s="512" t="s">
        <v>639</v>
      </c>
      <c r="H450" s="393" t="s">
        <v>2368</v>
      </c>
      <c r="I450" s="343" t="s">
        <v>2343</v>
      </c>
      <c r="J450" s="150" t="s">
        <v>1171</v>
      </c>
      <c r="K450" s="91" t="s">
        <v>731</v>
      </c>
      <c r="L450" s="343"/>
      <c r="M450" s="346" t="s">
        <v>2339</v>
      </c>
      <c r="N450" s="346" t="s">
        <v>1710</v>
      </c>
      <c r="O450" s="386" t="s">
        <v>707</v>
      </c>
      <c r="P450" s="346" t="s">
        <v>1348</v>
      </c>
      <c r="Q450" s="437"/>
      <c r="R450" s="358">
        <v>30136.080000000002</v>
      </c>
      <c r="S450" s="378">
        <v>0</v>
      </c>
      <c r="T450" s="425"/>
      <c r="U450" s="71"/>
      <c r="V450" s="433"/>
      <c r="W450" s="434"/>
      <c r="X450" s="434"/>
      <c r="Y450" s="428" t="s">
        <v>1142</v>
      </c>
      <c r="Z450" s="429">
        <v>0</v>
      </c>
      <c r="AA450" s="429">
        <v>0</v>
      </c>
      <c r="AB450" s="363" t="e">
        <v>#N/A</v>
      </c>
      <c r="AC450" s="388">
        <v>0</v>
      </c>
      <c r="AD450" s="388">
        <v>0</v>
      </c>
      <c r="AE450" s="388">
        <v>0</v>
      </c>
      <c r="AF450" s="388">
        <v>0</v>
      </c>
      <c r="AG450" s="388">
        <v>0</v>
      </c>
      <c r="AH450" s="360" t="e">
        <f t="shared" si="23"/>
        <v>#N/A</v>
      </c>
      <c r="AI450" s="362" t="e">
        <f>ERP[[#This Row],[2026 Working Total]]-ERP[[#This Row],[LE2 Final Submission]]</f>
        <v>#N/A</v>
      </c>
      <c r="AJ450" s="79">
        <v>0</v>
      </c>
      <c r="AK450" s="79">
        <f t="shared" si="22"/>
        <v>0</v>
      </c>
      <c r="AL450" s="374">
        <f>SUM(ERP[[#This Row],[AP01]:[AP06]])-SUM(ERP[[#This Row],[AP01 LE2]:[AP06 LE2]])</f>
        <v>0</v>
      </c>
      <c r="AM450" s="80"/>
      <c r="AN450" s="79" t="e">
        <f>ERP[[#This Row],[2026 Working Total to Budget/LE]]-ERP[[#This Row],[Giveback]]</f>
        <v>#N/A</v>
      </c>
      <c r="AO450" s="81"/>
      <c r="AP450" s="375"/>
      <c r="AQ450" s="375"/>
      <c r="AR450" s="375"/>
      <c r="AS450" s="375">
        <v>0</v>
      </c>
      <c r="AT450" s="375">
        <v>0</v>
      </c>
      <c r="AU450" s="375">
        <v>0</v>
      </c>
      <c r="AV450" s="375">
        <v>0</v>
      </c>
      <c r="AW450" s="375">
        <v>0</v>
      </c>
      <c r="AX450" s="375">
        <v>0</v>
      </c>
      <c r="AY450" s="375">
        <v>0</v>
      </c>
      <c r="AZ450" s="375">
        <v>0</v>
      </c>
      <c r="BA450" s="375">
        <v>0</v>
      </c>
      <c r="BB450" s="375">
        <v>0</v>
      </c>
      <c r="BC450" s="103">
        <v>30136.080000000002</v>
      </c>
      <c r="BD450" s="103">
        <v>0</v>
      </c>
      <c r="BE450" s="103">
        <v>0</v>
      </c>
      <c r="BF450" s="103">
        <v>0</v>
      </c>
      <c r="BG450" s="103">
        <v>0</v>
      </c>
      <c r="BH450" s="103">
        <v>0</v>
      </c>
      <c r="BI450" s="103">
        <v>0</v>
      </c>
      <c r="BJ450" s="103">
        <v>0</v>
      </c>
      <c r="BK450" s="103">
        <v>0</v>
      </c>
      <c r="BL450" s="103">
        <v>0</v>
      </c>
      <c r="BM450" s="103">
        <v>0</v>
      </c>
      <c r="BN450" s="103">
        <v>0</v>
      </c>
      <c r="BO450" s="79">
        <f>SUM(ERP[[#This Row],[2026 AP01]:[2026 AP12]])</f>
        <v>30136.080000000002</v>
      </c>
    </row>
    <row r="451" spans="1:67" ht="15" customHeight="1">
      <c r="A451" s="79" t="s">
        <v>2369</v>
      </c>
      <c r="B451" s="296" t="s">
        <v>732</v>
      </c>
      <c r="C451" s="150" t="s">
        <v>1136</v>
      </c>
      <c r="D451" s="332" t="s">
        <v>1135</v>
      </c>
      <c r="E451" s="383" t="s">
        <v>1135</v>
      </c>
      <c r="F451" s="331" t="s">
        <v>1137</v>
      </c>
      <c r="G451" s="512" t="s">
        <v>639</v>
      </c>
      <c r="H451" s="393" t="s">
        <v>2370</v>
      </c>
      <c r="I451" s="343" t="s">
        <v>2343</v>
      </c>
      <c r="J451" s="150" t="s">
        <v>1171</v>
      </c>
      <c r="K451" s="91" t="s">
        <v>733</v>
      </c>
      <c r="L451" s="343"/>
      <c r="M451" s="346" t="s">
        <v>2339</v>
      </c>
      <c r="N451" s="346" t="s">
        <v>1710</v>
      </c>
      <c r="O451" s="386" t="s">
        <v>707</v>
      </c>
      <c r="P451" s="346" t="s">
        <v>1348</v>
      </c>
      <c r="Q451" s="437"/>
      <c r="R451" s="358">
        <v>-30136.080000000002</v>
      </c>
      <c r="S451" s="378">
        <v>0</v>
      </c>
      <c r="T451" s="425"/>
      <c r="U451" s="71"/>
      <c r="V451" s="433"/>
      <c r="W451" s="434"/>
      <c r="X451" s="434"/>
      <c r="Y451" s="428" t="s">
        <v>1142</v>
      </c>
      <c r="Z451" s="429">
        <v>0</v>
      </c>
      <c r="AA451" s="429">
        <v>0</v>
      </c>
      <c r="AB451" s="363" t="e">
        <v>#N/A</v>
      </c>
      <c r="AC451" s="388">
        <v>0</v>
      </c>
      <c r="AD451" s="388">
        <v>0</v>
      </c>
      <c r="AE451" s="388">
        <v>0</v>
      </c>
      <c r="AF451" s="388">
        <v>0</v>
      </c>
      <c r="AG451" s="388">
        <v>0</v>
      </c>
      <c r="AH451" s="360" t="e">
        <f t="shared" si="23"/>
        <v>#N/A</v>
      </c>
      <c r="AI451" s="362" t="e">
        <f>ERP[[#This Row],[2026 Working Total]]-ERP[[#This Row],[LE2 Final Submission]]</f>
        <v>#N/A</v>
      </c>
      <c r="AJ451" s="79">
        <v>0</v>
      </c>
      <c r="AK451" s="79">
        <f t="shared" si="22"/>
        <v>0</v>
      </c>
      <c r="AL451" s="374">
        <f>SUM(ERP[[#This Row],[AP01]:[AP06]])-SUM(ERP[[#This Row],[AP01 LE2]:[AP06 LE2]])</f>
        <v>0</v>
      </c>
      <c r="AM451" s="80"/>
      <c r="AN451" s="79" t="e">
        <f>ERP[[#This Row],[2026 Working Total to Budget/LE]]-ERP[[#This Row],[Giveback]]</f>
        <v>#N/A</v>
      </c>
      <c r="AO451" s="81"/>
      <c r="AP451" s="375"/>
      <c r="AQ451" s="375"/>
      <c r="AR451" s="375"/>
      <c r="AS451" s="375">
        <v>0</v>
      </c>
      <c r="AT451" s="375">
        <v>0</v>
      </c>
      <c r="AU451" s="375">
        <v>0</v>
      </c>
      <c r="AV451" s="375">
        <v>0</v>
      </c>
      <c r="AW451" s="375">
        <v>0</v>
      </c>
      <c r="AX451" s="375">
        <v>0</v>
      </c>
      <c r="AY451" s="375">
        <v>0</v>
      </c>
      <c r="AZ451" s="375">
        <v>0</v>
      </c>
      <c r="BA451" s="375">
        <v>0</v>
      </c>
      <c r="BB451" s="375">
        <v>0</v>
      </c>
      <c r="BC451" s="103">
        <v>-30136.080000000002</v>
      </c>
      <c r="BD451" s="103">
        <v>0</v>
      </c>
      <c r="BE451" s="103">
        <v>0</v>
      </c>
      <c r="BF451" s="103">
        <v>0</v>
      </c>
      <c r="BG451" s="103">
        <v>0</v>
      </c>
      <c r="BH451" s="103">
        <v>0</v>
      </c>
      <c r="BI451" s="103">
        <v>0</v>
      </c>
      <c r="BJ451" s="103">
        <v>0</v>
      </c>
      <c r="BK451" s="103">
        <v>0</v>
      </c>
      <c r="BL451" s="103">
        <v>0</v>
      </c>
      <c r="BM451" s="103">
        <v>0</v>
      </c>
      <c r="BN451" s="103">
        <v>0</v>
      </c>
      <c r="BO451" s="79">
        <f>SUM(ERP[[#This Row],[2026 AP01]:[2026 AP12]])</f>
        <v>-30136.080000000002</v>
      </c>
    </row>
    <row r="452" spans="1:67" ht="15" customHeight="1">
      <c r="A452" s="79" t="s">
        <v>2371</v>
      </c>
      <c r="B452" s="296" t="s">
        <v>734</v>
      </c>
      <c r="C452" s="150" t="s">
        <v>1136</v>
      </c>
      <c r="D452" s="332" t="s">
        <v>1135</v>
      </c>
      <c r="E452" s="383" t="s">
        <v>1135</v>
      </c>
      <c r="F452" s="331" t="s">
        <v>1137</v>
      </c>
      <c r="G452" s="512" t="s">
        <v>639</v>
      </c>
      <c r="H452" s="393" t="s">
        <v>2372</v>
      </c>
      <c r="I452" s="343" t="s">
        <v>2343</v>
      </c>
      <c r="J452" s="150" t="s">
        <v>1171</v>
      </c>
      <c r="K452" s="91" t="s">
        <v>735</v>
      </c>
      <c r="L452" s="343"/>
      <c r="M452" s="346" t="s">
        <v>2339</v>
      </c>
      <c r="N452" s="346" t="s">
        <v>1710</v>
      </c>
      <c r="O452" s="386" t="s">
        <v>707</v>
      </c>
      <c r="P452" s="346" t="s">
        <v>1348</v>
      </c>
      <c r="Q452" s="437"/>
      <c r="R452" s="358">
        <v>17349.84</v>
      </c>
      <c r="S452" s="378">
        <v>0</v>
      </c>
      <c r="T452" s="430"/>
      <c r="U452" s="137"/>
      <c r="V452" s="433"/>
      <c r="W452" s="434"/>
      <c r="X452" s="434"/>
      <c r="Y452" s="428" t="s">
        <v>1142</v>
      </c>
      <c r="Z452" s="429">
        <v>0</v>
      </c>
      <c r="AA452" s="429">
        <v>0</v>
      </c>
      <c r="AB452" s="363" t="e">
        <v>#N/A</v>
      </c>
      <c r="AC452" s="388">
        <v>0</v>
      </c>
      <c r="AD452" s="388">
        <v>0</v>
      </c>
      <c r="AE452" s="388">
        <v>0</v>
      </c>
      <c r="AF452" s="388">
        <v>0</v>
      </c>
      <c r="AG452" s="388">
        <v>0</v>
      </c>
      <c r="AH452" s="360" t="e">
        <f t="shared" si="23"/>
        <v>#N/A</v>
      </c>
      <c r="AI452" s="362" t="e">
        <f>ERP[[#This Row],[2026 Working Total]]-ERP[[#This Row],[LE2 Final Submission]]</f>
        <v>#N/A</v>
      </c>
      <c r="AJ452" s="79">
        <v>0</v>
      </c>
      <c r="AK452" s="79">
        <f t="shared" si="22"/>
        <v>0</v>
      </c>
      <c r="AL452" s="374">
        <f>SUM(ERP[[#This Row],[AP01]:[AP06]])-SUM(ERP[[#This Row],[AP01 LE2]:[AP06 LE2]])</f>
        <v>0</v>
      </c>
      <c r="AM452" s="80"/>
      <c r="AN452" s="79" t="e">
        <f>ERP[[#This Row],[2026 Working Total to Budget/LE]]-ERP[[#This Row],[Giveback]]</f>
        <v>#N/A</v>
      </c>
      <c r="AO452" s="81"/>
      <c r="AP452" s="375"/>
      <c r="AQ452" s="375"/>
      <c r="AR452" s="375"/>
      <c r="AS452" s="375">
        <v>0</v>
      </c>
      <c r="AT452" s="375">
        <v>0</v>
      </c>
      <c r="AU452" s="375">
        <v>0</v>
      </c>
      <c r="AV452" s="375">
        <v>0</v>
      </c>
      <c r="AW452" s="375">
        <v>0</v>
      </c>
      <c r="AX452" s="375">
        <v>0</v>
      </c>
      <c r="AY452" s="375">
        <v>0</v>
      </c>
      <c r="AZ452" s="375">
        <v>0</v>
      </c>
      <c r="BA452" s="375">
        <v>0</v>
      </c>
      <c r="BB452" s="375">
        <v>0</v>
      </c>
      <c r="BC452" s="103">
        <v>17349.84</v>
      </c>
      <c r="BD452" s="103">
        <v>0</v>
      </c>
      <c r="BE452" s="103">
        <v>0</v>
      </c>
      <c r="BF452" s="103">
        <v>0</v>
      </c>
      <c r="BG452" s="103">
        <v>0</v>
      </c>
      <c r="BH452" s="103">
        <v>0</v>
      </c>
      <c r="BI452" s="103">
        <v>0</v>
      </c>
      <c r="BJ452" s="103">
        <v>0</v>
      </c>
      <c r="BK452" s="103">
        <v>0</v>
      </c>
      <c r="BL452" s="103">
        <v>0</v>
      </c>
      <c r="BM452" s="103">
        <v>0</v>
      </c>
      <c r="BN452" s="103">
        <v>0</v>
      </c>
      <c r="BO452" s="79">
        <f>SUM(ERP[[#This Row],[2026 AP01]:[2026 AP12]])</f>
        <v>17349.84</v>
      </c>
    </row>
    <row r="453" spans="1:67" ht="15" customHeight="1">
      <c r="A453" s="79" t="s">
        <v>2373</v>
      </c>
      <c r="B453" s="296" t="s">
        <v>736</v>
      </c>
      <c r="C453" s="150" t="s">
        <v>1136</v>
      </c>
      <c r="D453" s="332" t="s">
        <v>1135</v>
      </c>
      <c r="E453" s="383" t="s">
        <v>1135</v>
      </c>
      <c r="F453" s="331" t="s">
        <v>1137</v>
      </c>
      <c r="G453" s="512" t="s">
        <v>639</v>
      </c>
      <c r="H453" s="393" t="s">
        <v>2374</v>
      </c>
      <c r="I453" s="343" t="s">
        <v>2343</v>
      </c>
      <c r="J453" s="150" t="s">
        <v>1171</v>
      </c>
      <c r="K453" s="91" t="s">
        <v>737</v>
      </c>
      <c r="L453" s="343"/>
      <c r="M453" s="346" t="s">
        <v>2339</v>
      </c>
      <c r="N453" s="346" t="s">
        <v>1710</v>
      </c>
      <c r="O453" s="386" t="s">
        <v>707</v>
      </c>
      <c r="P453" s="346" t="s">
        <v>1348</v>
      </c>
      <c r="Q453" s="437"/>
      <c r="R453" s="358">
        <v>-17349.84</v>
      </c>
      <c r="S453" s="378">
        <v>0</v>
      </c>
      <c r="T453" s="425"/>
      <c r="U453" s="71"/>
      <c r="V453" s="433"/>
      <c r="W453" s="434"/>
      <c r="X453" s="434"/>
      <c r="Y453" s="428" t="s">
        <v>1142</v>
      </c>
      <c r="Z453" s="429">
        <v>0</v>
      </c>
      <c r="AA453" s="429">
        <v>0</v>
      </c>
      <c r="AB453" s="363" t="e">
        <v>#N/A</v>
      </c>
      <c r="AC453" s="388">
        <v>0</v>
      </c>
      <c r="AD453" s="388">
        <v>0</v>
      </c>
      <c r="AE453" s="388">
        <v>0</v>
      </c>
      <c r="AF453" s="388">
        <v>0</v>
      </c>
      <c r="AG453" s="388">
        <v>0</v>
      </c>
      <c r="AH453" s="360" t="e">
        <f t="shared" si="23"/>
        <v>#N/A</v>
      </c>
      <c r="AI453" s="362" t="e">
        <f>ERP[[#This Row],[2026 Working Total]]-ERP[[#This Row],[LE2 Final Submission]]</f>
        <v>#N/A</v>
      </c>
      <c r="AJ453" s="79">
        <v>0</v>
      </c>
      <c r="AK453" s="79">
        <f t="shared" si="22"/>
        <v>0</v>
      </c>
      <c r="AL453" s="374">
        <f>SUM(ERP[[#This Row],[AP01]:[AP06]])-SUM(ERP[[#This Row],[AP01 LE2]:[AP06 LE2]])</f>
        <v>0</v>
      </c>
      <c r="AM453" s="80"/>
      <c r="AN453" s="79" t="e">
        <f>ERP[[#This Row],[2026 Working Total to Budget/LE]]-ERP[[#This Row],[Giveback]]</f>
        <v>#N/A</v>
      </c>
      <c r="AO453" s="81"/>
      <c r="AP453" s="375"/>
      <c r="AQ453" s="375"/>
      <c r="AR453" s="375"/>
      <c r="AS453" s="375">
        <v>0</v>
      </c>
      <c r="AT453" s="375">
        <v>0</v>
      </c>
      <c r="AU453" s="375">
        <v>0</v>
      </c>
      <c r="AV453" s="375">
        <v>0</v>
      </c>
      <c r="AW453" s="375">
        <v>0</v>
      </c>
      <c r="AX453" s="375">
        <v>0</v>
      </c>
      <c r="AY453" s="375">
        <v>0</v>
      </c>
      <c r="AZ453" s="375">
        <v>0</v>
      </c>
      <c r="BA453" s="375">
        <v>0</v>
      </c>
      <c r="BB453" s="375">
        <v>0</v>
      </c>
      <c r="BC453" s="103">
        <v>-17349.84</v>
      </c>
      <c r="BD453" s="103">
        <v>0</v>
      </c>
      <c r="BE453" s="103">
        <v>0</v>
      </c>
      <c r="BF453" s="103">
        <v>0</v>
      </c>
      <c r="BG453" s="103">
        <v>0</v>
      </c>
      <c r="BH453" s="103">
        <v>0</v>
      </c>
      <c r="BI453" s="103">
        <v>0</v>
      </c>
      <c r="BJ453" s="103">
        <v>0</v>
      </c>
      <c r="BK453" s="103">
        <v>0</v>
      </c>
      <c r="BL453" s="103">
        <v>0</v>
      </c>
      <c r="BM453" s="103">
        <v>0</v>
      </c>
      <c r="BN453" s="103">
        <v>0</v>
      </c>
      <c r="BO453" s="79">
        <f>SUM(ERP[[#This Row],[2026 AP01]:[2026 AP12]])</f>
        <v>-17349.84</v>
      </c>
    </row>
    <row r="454" spans="1:67" ht="15" customHeight="1">
      <c r="A454" s="79" t="s">
        <v>2375</v>
      </c>
      <c r="B454" s="296" t="s">
        <v>738</v>
      </c>
      <c r="C454" s="150" t="s">
        <v>1136</v>
      </c>
      <c r="D454" s="332" t="s">
        <v>1135</v>
      </c>
      <c r="E454" s="383" t="s">
        <v>1135</v>
      </c>
      <c r="F454" s="331" t="s">
        <v>1137</v>
      </c>
      <c r="G454" s="512" t="s">
        <v>639</v>
      </c>
      <c r="H454" s="393" t="s">
        <v>2376</v>
      </c>
      <c r="I454" s="343" t="s">
        <v>2343</v>
      </c>
      <c r="J454" s="150" t="s">
        <v>1171</v>
      </c>
      <c r="K454" s="91" t="s">
        <v>739</v>
      </c>
      <c r="L454" s="343"/>
      <c r="M454" s="346" t="s">
        <v>2339</v>
      </c>
      <c r="N454" s="346" t="s">
        <v>1710</v>
      </c>
      <c r="O454" s="386" t="s">
        <v>707</v>
      </c>
      <c r="P454" s="346" t="s">
        <v>1348</v>
      </c>
      <c r="Q454" s="437"/>
      <c r="R454" s="358">
        <v>5357.52</v>
      </c>
      <c r="S454" s="378">
        <v>0</v>
      </c>
      <c r="T454" s="425"/>
      <c r="U454" s="71"/>
      <c r="V454" s="433"/>
      <c r="W454" s="434"/>
      <c r="X454" s="434"/>
      <c r="Y454" s="428" t="s">
        <v>1142</v>
      </c>
      <c r="Z454" s="429">
        <v>0</v>
      </c>
      <c r="AA454" s="429">
        <v>0</v>
      </c>
      <c r="AB454" s="363" t="e">
        <v>#N/A</v>
      </c>
      <c r="AC454" s="388">
        <v>0</v>
      </c>
      <c r="AD454" s="388">
        <v>0</v>
      </c>
      <c r="AE454" s="388">
        <v>0</v>
      </c>
      <c r="AF454" s="388">
        <v>0</v>
      </c>
      <c r="AG454" s="388">
        <v>0</v>
      </c>
      <c r="AH454" s="360" t="e">
        <f t="shared" si="23"/>
        <v>#N/A</v>
      </c>
      <c r="AI454" s="362" t="e">
        <f>ERP[[#This Row],[2026 Working Total]]-ERP[[#This Row],[LE2 Final Submission]]</f>
        <v>#N/A</v>
      </c>
      <c r="AJ454" s="79">
        <v>0</v>
      </c>
      <c r="AK454" s="79">
        <f t="shared" si="22"/>
        <v>0</v>
      </c>
      <c r="AL454" s="374">
        <f>SUM(ERP[[#This Row],[AP01]:[AP06]])-SUM(ERP[[#This Row],[AP01 LE2]:[AP06 LE2]])</f>
        <v>0</v>
      </c>
      <c r="AM454" s="80"/>
      <c r="AN454" s="79" t="e">
        <f>ERP[[#This Row],[2026 Working Total to Budget/LE]]-ERP[[#This Row],[Giveback]]</f>
        <v>#N/A</v>
      </c>
      <c r="AO454" s="81"/>
      <c r="AP454" s="375"/>
      <c r="AQ454" s="375"/>
      <c r="AR454" s="375"/>
      <c r="AS454" s="375">
        <v>0</v>
      </c>
      <c r="AT454" s="375">
        <v>0</v>
      </c>
      <c r="AU454" s="375">
        <v>0</v>
      </c>
      <c r="AV454" s="375">
        <v>0</v>
      </c>
      <c r="AW454" s="375">
        <v>0</v>
      </c>
      <c r="AX454" s="375">
        <v>0</v>
      </c>
      <c r="AY454" s="375">
        <v>0</v>
      </c>
      <c r="AZ454" s="375">
        <v>0</v>
      </c>
      <c r="BA454" s="375">
        <v>0</v>
      </c>
      <c r="BB454" s="375">
        <v>0</v>
      </c>
      <c r="BC454" s="103">
        <v>5357.52</v>
      </c>
      <c r="BD454" s="103">
        <v>0</v>
      </c>
      <c r="BE454" s="103">
        <v>0</v>
      </c>
      <c r="BF454" s="103">
        <v>0</v>
      </c>
      <c r="BG454" s="103">
        <v>0</v>
      </c>
      <c r="BH454" s="103">
        <v>0</v>
      </c>
      <c r="BI454" s="103">
        <v>0</v>
      </c>
      <c r="BJ454" s="103">
        <v>0</v>
      </c>
      <c r="BK454" s="103">
        <v>0</v>
      </c>
      <c r="BL454" s="103">
        <v>0</v>
      </c>
      <c r="BM454" s="103">
        <v>0</v>
      </c>
      <c r="BN454" s="103">
        <v>0</v>
      </c>
      <c r="BO454" s="79">
        <f>SUM(ERP[[#This Row],[2026 AP01]:[2026 AP12]])</f>
        <v>5357.52</v>
      </c>
    </row>
    <row r="455" spans="1:67" ht="15" customHeight="1">
      <c r="A455" s="79" t="s">
        <v>2377</v>
      </c>
      <c r="B455" s="296" t="s">
        <v>740</v>
      </c>
      <c r="C455" s="150" t="s">
        <v>1136</v>
      </c>
      <c r="D455" s="332" t="s">
        <v>1135</v>
      </c>
      <c r="E455" s="383" t="s">
        <v>1135</v>
      </c>
      <c r="F455" s="331" t="s">
        <v>1137</v>
      </c>
      <c r="G455" s="512" t="s">
        <v>639</v>
      </c>
      <c r="H455" s="393" t="s">
        <v>2378</v>
      </c>
      <c r="I455" s="343" t="s">
        <v>2343</v>
      </c>
      <c r="J455" s="150" t="s">
        <v>1171</v>
      </c>
      <c r="K455" s="91" t="s">
        <v>741</v>
      </c>
      <c r="L455" s="343"/>
      <c r="M455" s="346" t="s">
        <v>2339</v>
      </c>
      <c r="N455" s="346" t="s">
        <v>1710</v>
      </c>
      <c r="O455" s="386" t="s">
        <v>707</v>
      </c>
      <c r="P455" s="346" t="s">
        <v>1348</v>
      </c>
      <c r="Q455" s="437"/>
      <c r="R455" s="358">
        <v>-5357.52</v>
      </c>
      <c r="S455" s="378">
        <v>0</v>
      </c>
      <c r="T455" s="430"/>
      <c r="U455" s="137"/>
      <c r="V455" s="433"/>
      <c r="W455" s="434"/>
      <c r="X455" s="434"/>
      <c r="Y455" s="428" t="s">
        <v>1142</v>
      </c>
      <c r="Z455" s="429">
        <v>0</v>
      </c>
      <c r="AA455" s="429">
        <v>0</v>
      </c>
      <c r="AB455" s="363" t="e">
        <v>#N/A</v>
      </c>
      <c r="AC455" s="388">
        <v>0</v>
      </c>
      <c r="AD455" s="388">
        <v>0</v>
      </c>
      <c r="AE455" s="388">
        <v>0</v>
      </c>
      <c r="AF455" s="388">
        <v>0</v>
      </c>
      <c r="AG455" s="388">
        <v>0</v>
      </c>
      <c r="AH455" s="360" t="e">
        <f t="shared" si="23"/>
        <v>#N/A</v>
      </c>
      <c r="AI455" s="362" t="e">
        <f>ERP[[#This Row],[2026 Working Total]]-ERP[[#This Row],[LE2 Final Submission]]</f>
        <v>#N/A</v>
      </c>
      <c r="AJ455" s="79">
        <v>0</v>
      </c>
      <c r="AK455" s="79">
        <f t="shared" si="22"/>
        <v>0</v>
      </c>
      <c r="AL455" s="374">
        <f>SUM(ERP[[#This Row],[AP01]:[AP06]])-SUM(ERP[[#This Row],[AP01 LE2]:[AP06 LE2]])</f>
        <v>0</v>
      </c>
      <c r="AM455" s="80"/>
      <c r="AN455" s="79" t="e">
        <f>ERP[[#This Row],[2026 Working Total to Budget/LE]]-ERP[[#This Row],[Giveback]]</f>
        <v>#N/A</v>
      </c>
      <c r="AO455" s="81"/>
      <c r="AP455" s="375"/>
      <c r="AQ455" s="375"/>
      <c r="AR455" s="375"/>
      <c r="AS455" s="375">
        <v>0</v>
      </c>
      <c r="AT455" s="375">
        <v>0</v>
      </c>
      <c r="AU455" s="375">
        <v>0</v>
      </c>
      <c r="AV455" s="375">
        <v>0</v>
      </c>
      <c r="AW455" s="375">
        <v>0</v>
      </c>
      <c r="AX455" s="375">
        <v>0</v>
      </c>
      <c r="AY455" s="375">
        <v>0</v>
      </c>
      <c r="AZ455" s="375">
        <v>0</v>
      </c>
      <c r="BA455" s="375">
        <v>0</v>
      </c>
      <c r="BB455" s="375">
        <v>0</v>
      </c>
      <c r="BC455" s="103">
        <v>-5357.52</v>
      </c>
      <c r="BD455" s="103">
        <v>0</v>
      </c>
      <c r="BE455" s="103">
        <v>0</v>
      </c>
      <c r="BF455" s="103">
        <v>0</v>
      </c>
      <c r="BG455" s="103">
        <v>0</v>
      </c>
      <c r="BH455" s="103">
        <v>0</v>
      </c>
      <c r="BI455" s="103">
        <v>0</v>
      </c>
      <c r="BJ455" s="103">
        <v>0</v>
      </c>
      <c r="BK455" s="103">
        <v>0</v>
      </c>
      <c r="BL455" s="103">
        <v>0</v>
      </c>
      <c r="BM455" s="103">
        <v>0</v>
      </c>
      <c r="BN455" s="103">
        <v>0</v>
      </c>
      <c r="BO455" s="79">
        <f>SUM(ERP[[#This Row],[2026 AP01]:[2026 AP12]])</f>
        <v>-5357.52</v>
      </c>
    </row>
    <row r="456" spans="1:67" ht="15" customHeight="1">
      <c r="A456" s="79" t="s">
        <v>2379</v>
      </c>
      <c r="B456" s="296" t="s">
        <v>742</v>
      </c>
      <c r="C456" s="150" t="s">
        <v>1136</v>
      </c>
      <c r="D456" s="332" t="s">
        <v>1135</v>
      </c>
      <c r="E456" s="383" t="s">
        <v>1135</v>
      </c>
      <c r="F456" s="331" t="s">
        <v>1137</v>
      </c>
      <c r="G456" s="512" t="s">
        <v>639</v>
      </c>
      <c r="H456" s="393" t="s">
        <v>2380</v>
      </c>
      <c r="I456" s="343" t="s">
        <v>2343</v>
      </c>
      <c r="J456" s="150" t="s">
        <v>1171</v>
      </c>
      <c r="K456" s="91" t="s">
        <v>743</v>
      </c>
      <c r="L456" s="343"/>
      <c r="M456" s="346" t="s">
        <v>2339</v>
      </c>
      <c r="N456" s="346" t="s">
        <v>1710</v>
      </c>
      <c r="O456" s="386" t="s">
        <v>707</v>
      </c>
      <c r="P456" s="346" t="s">
        <v>1348</v>
      </c>
      <c r="Q456" s="437"/>
      <c r="R456" s="358">
        <v>101279.37</v>
      </c>
      <c r="S456" s="378">
        <v>0</v>
      </c>
      <c r="T456" s="425"/>
      <c r="U456" s="71"/>
      <c r="V456" s="433"/>
      <c r="W456" s="434"/>
      <c r="X456" s="434"/>
      <c r="Y456" s="428" t="s">
        <v>1142</v>
      </c>
      <c r="Z456" s="429">
        <v>0</v>
      </c>
      <c r="AA456" s="429">
        <v>0</v>
      </c>
      <c r="AB456" s="363" t="e">
        <v>#N/A</v>
      </c>
      <c r="AC456" s="388">
        <v>0</v>
      </c>
      <c r="AD456" s="388">
        <v>0</v>
      </c>
      <c r="AE456" s="388">
        <v>0</v>
      </c>
      <c r="AF456" s="388">
        <v>0</v>
      </c>
      <c r="AG456" s="388">
        <v>0</v>
      </c>
      <c r="AH456" s="360" t="e">
        <f t="shared" si="23"/>
        <v>#N/A</v>
      </c>
      <c r="AI456" s="362" t="e">
        <f>ERP[[#This Row],[2026 Working Total]]-ERP[[#This Row],[LE2 Final Submission]]</f>
        <v>#N/A</v>
      </c>
      <c r="AJ456" s="79">
        <v>0</v>
      </c>
      <c r="AK456" s="79">
        <f t="shared" ref="AK456:AK519" si="25">$AA456 - $AJ456</f>
        <v>0</v>
      </c>
      <c r="AL456" s="374">
        <f>SUM(ERP[[#This Row],[AP01]:[AP06]])-SUM(ERP[[#This Row],[AP01 LE2]:[AP06 LE2]])</f>
        <v>0</v>
      </c>
      <c r="AM456" s="80"/>
      <c r="AN456" s="79" t="e">
        <f>ERP[[#This Row],[2026 Working Total to Budget/LE]]-ERP[[#This Row],[Giveback]]</f>
        <v>#N/A</v>
      </c>
      <c r="AO456" s="81"/>
      <c r="AP456" s="375"/>
      <c r="AQ456" s="375"/>
      <c r="AR456" s="375"/>
      <c r="AS456" s="375">
        <v>0</v>
      </c>
      <c r="AT456" s="375">
        <v>0</v>
      </c>
      <c r="AU456" s="375">
        <v>0</v>
      </c>
      <c r="AV456" s="375">
        <v>0</v>
      </c>
      <c r="AW456" s="375">
        <v>0</v>
      </c>
      <c r="AX456" s="375">
        <v>0</v>
      </c>
      <c r="AY456" s="375">
        <v>0</v>
      </c>
      <c r="AZ456" s="375">
        <v>0</v>
      </c>
      <c r="BA456" s="375">
        <v>0</v>
      </c>
      <c r="BB456" s="375">
        <v>0</v>
      </c>
      <c r="BC456" s="103">
        <v>101279.37</v>
      </c>
      <c r="BD456" s="103">
        <v>0</v>
      </c>
      <c r="BE456" s="103">
        <v>0</v>
      </c>
      <c r="BF456" s="103">
        <v>0</v>
      </c>
      <c r="BG456" s="103">
        <v>0</v>
      </c>
      <c r="BH456" s="103">
        <v>0</v>
      </c>
      <c r="BI456" s="103">
        <v>0</v>
      </c>
      <c r="BJ456" s="103">
        <v>0</v>
      </c>
      <c r="BK456" s="103">
        <v>0</v>
      </c>
      <c r="BL456" s="103">
        <v>0</v>
      </c>
      <c r="BM456" s="103">
        <v>0</v>
      </c>
      <c r="BN456" s="103">
        <v>0</v>
      </c>
      <c r="BO456" s="79">
        <f>SUM(ERP[[#This Row],[2026 AP01]:[2026 AP12]])</f>
        <v>101279.37</v>
      </c>
    </row>
    <row r="457" spans="1:67" ht="15" customHeight="1">
      <c r="A457" s="79" t="s">
        <v>2381</v>
      </c>
      <c r="B457" s="296" t="s">
        <v>744</v>
      </c>
      <c r="C457" s="150" t="s">
        <v>1136</v>
      </c>
      <c r="D457" s="332" t="s">
        <v>1135</v>
      </c>
      <c r="E457" s="383" t="s">
        <v>1135</v>
      </c>
      <c r="F457" s="331" t="s">
        <v>1137</v>
      </c>
      <c r="G457" s="512" t="s">
        <v>639</v>
      </c>
      <c r="H457" s="393" t="s">
        <v>2382</v>
      </c>
      <c r="I457" s="343" t="s">
        <v>2343</v>
      </c>
      <c r="J457" s="150" t="s">
        <v>1171</v>
      </c>
      <c r="K457" s="91" t="s">
        <v>745</v>
      </c>
      <c r="L457" s="343"/>
      <c r="M457" s="346" t="s">
        <v>2339</v>
      </c>
      <c r="N457" s="346" t="s">
        <v>1710</v>
      </c>
      <c r="O457" s="386" t="s">
        <v>707</v>
      </c>
      <c r="P457" s="346" t="s">
        <v>1348</v>
      </c>
      <c r="Q457" s="437"/>
      <c r="R457" s="358">
        <v>-101279.37</v>
      </c>
      <c r="S457" s="378">
        <v>0</v>
      </c>
      <c r="T457" s="425"/>
      <c r="U457" s="71"/>
      <c r="V457" s="433"/>
      <c r="W457" s="434"/>
      <c r="X457" s="434"/>
      <c r="Y457" s="428" t="s">
        <v>1142</v>
      </c>
      <c r="Z457" s="429">
        <v>0</v>
      </c>
      <c r="AA457" s="429">
        <v>0</v>
      </c>
      <c r="AB457" s="363" t="e">
        <v>#N/A</v>
      </c>
      <c r="AC457" s="388">
        <v>0</v>
      </c>
      <c r="AD457" s="388">
        <v>0</v>
      </c>
      <c r="AE457" s="388">
        <v>0</v>
      </c>
      <c r="AF457" s="388">
        <v>0</v>
      </c>
      <c r="AG457" s="388">
        <v>0</v>
      </c>
      <c r="AH457" s="360" t="e">
        <f t="shared" si="23"/>
        <v>#N/A</v>
      </c>
      <c r="AI457" s="362" t="e">
        <f>ERP[[#This Row],[2026 Working Total]]-ERP[[#This Row],[LE2 Final Submission]]</f>
        <v>#N/A</v>
      </c>
      <c r="AJ457" s="79">
        <v>0</v>
      </c>
      <c r="AK457" s="79">
        <f t="shared" si="25"/>
        <v>0</v>
      </c>
      <c r="AL457" s="374">
        <f>SUM(ERP[[#This Row],[AP01]:[AP06]])-SUM(ERP[[#This Row],[AP01 LE2]:[AP06 LE2]])</f>
        <v>0</v>
      </c>
      <c r="AM457" s="80"/>
      <c r="AN457" s="79" t="e">
        <f>ERP[[#This Row],[2026 Working Total to Budget/LE]]-ERP[[#This Row],[Giveback]]</f>
        <v>#N/A</v>
      </c>
      <c r="AO457" s="81"/>
      <c r="AP457" s="375"/>
      <c r="AQ457" s="375"/>
      <c r="AR457" s="375"/>
      <c r="AS457" s="375">
        <v>0</v>
      </c>
      <c r="AT457" s="375">
        <v>0</v>
      </c>
      <c r="AU457" s="375">
        <v>0</v>
      </c>
      <c r="AV457" s="375">
        <v>0</v>
      </c>
      <c r="AW457" s="375">
        <v>0</v>
      </c>
      <c r="AX457" s="375">
        <v>0</v>
      </c>
      <c r="AY457" s="375">
        <v>0</v>
      </c>
      <c r="AZ457" s="375">
        <v>0</v>
      </c>
      <c r="BA457" s="375">
        <v>0</v>
      </c>
      <c r="BB457" s="375">
        <v>0</v>
      </c>
      <c r="BC457" s="103">
        <v>-101279.37</v>
      </c>
      <c r="BD457" s="103">
        <v>0</v>
      </c>
      <c r="BE457" s="103">
        <v>0</v>
      </c>
      <c r="BF457" s="103">
        <v>0</v>
      </c>
      <c r="BG457" s="103">
        <v>0</v>
      </c>
      <c r="BH457" s="103">
        <v>0</v>
      </c>
      <c r="BI457" s="103">
        <v>0</v>
      </c>
      <c r="BJ457" s="103">
        <v>0</v>
      </c>
      <c r="BK457" s="103">
        <v>0</v>
      </c>
      <c r="BL457" s="103">
        <v>0</v>
      </c>
      <c r="BM457" s="103">
        <v>0</v>
      </c>
      <c r="BN457" s="103">
        <v>0</v>
      </c>
      <c r="BO457" s="79">
        <f>SUM(ERP[[#This Row],[2026 AP01]:[2026 AP12]])</f>
        <v>-101279.37</v>
      </c>
    </row>
    <row r="458" spans="1:67" ht="15" customHeight="1">
      <c r="A458" s="79" t="s">
        <v>2383</v>
      </c>
      <c r="B458" s="296" t="s">
        <v>746</v>
      </c>
      <c r="C458" s="150" t="s">
        <v>1136</v>
      </c>
      <c r="D458" s="332" t="s">
        <v>1135</v>
      </c>
      <c r="E458" s="383" t="s">
        <v>1135</v>
      </c>
      <c r="F458" s="331" t="s">
        <v>1137</v>
      </c>
      <c r="G458" s="512" t="s">
        <v>639</v>
      </c>
      <c r="H458" s="393" t="s">
        <v>2384</v>
      </c>
      <c r="I458" s="343" t="s">
        <v>2343</v>
      </c>
      <c r="J458" s="150" t="s">
        <v>1171</v>
      </c>
      <c r="K458" s="91" t="s">
        <v>747</v>
      </c>
      <c r="L458" s="343"/>
      <c r="M458" s="346" t="s">
        <v>2339</v>
      </c>
      <c r="N458" s="346" t="s">
        <v>1710</v>
      </c>
      <c r="O458" s="386" t="s">
        <v>707</v>
      </c>
      <c r="P458" s="346" t="s">
        <v>1348</v>
      </c>
      <c r="Q458" s="437"/>
      <c r="R458" s="358">
        <v>169017.36</v>
      </c>
      <c r="S458" s="378">
        <v>0</v>
      </c>
      <c r="T458" s="430"/>
      <c r="U458" s="137"/>
      <c r="V458" s="433"/>
      <c r="W458" s="434"/>
      <c r="X458" s="434"/>
      <c r="Y458" s="428" t="s">
        <v>1142</v>
      </c>
      <c r="Z458" s="429">
        <v>0</v>
      </c>
      <c r="AA458" s="429">
        <v>0</v>
      </c>
      <c r="AB458" s="363" t="e">
        <v>#N/A</v>
      </c>
      <c r="AC458" s="388">
        <v>0</v>
      </c>
      <c r="AD458" s="388">
        <v>0</v>
      </c>
      <c r="AE458" s="388">
        <v>0</v>
      </c>
      <c r="AF458" s="388">
        <v>0</v>
      </c>
      <c r="AG458" s="388">
        <v>0</v>
      </c>
      <c r="AH458" s="360" t="e">
        <f t="shared" si="23"/>
        <v>#N/A</v>
      </c>
      <c r="AI458" s="362" t="e">
        <f>ERP[[#This Row],[2026 Working Total]]-ERP[[#This Row],[LE2 Final Submission]]</f>
        <v>#N/A</v>
      </c>
      <c r="AJ458" s="79">
        <v>0</v>
      </c>
      <c r="AK458" s="79">
        <f t="shared" si="25"/>
        <v>0</v>
      </c>
      <c r="AL458" s="374">
        <f>SUM(ERP[[#This Row],[AP01]:[AP06]])-SUM(ERP[[#This Row],[AP01 LE2]:[AP06 LE2]])</f>
        <v>0</v>
      </c>
      <c r="AM458" s="80"/>
      <c r="AN458" s="79" t="e">
        <f>ERP[[#This Row],[2026 Working Total to Budget/LE]]-ERP[[#This Row],[Giveback]]</f>
        <v>#N/A</v>
      </c>
      <c r="AO458" s="81"/>
      <c r="AP458" s="375"/>
      <c r="AQ458" s="375"/>
      <c r="AR458" s="375"/>
      <c r="AS458" s="375">
        <v>0</v>
      </c>
      <c r="AT458" s="375">
        <v>0</v>
      </c>
      <c r="AU458" s="375">
        <v>0</v>
      </c>
      <c r="AV458" s="375">
        <v>0</v>
      </c>
      <c r="AW458" s="375">
        <v>0</v>
      </c>
      <c r="AX458" s="375">
        <v>0</v>
      </c>
      <c r="AY458" s="375">
        <v>0</v>
      </c>
      <c r="AZ458" s="375">
        <v>0</v>
      </c>
      <c r="BA458" s="375">
        <v>0</v>
      </c>
      <c r="BB458" s="375">
        <v>0</v>
      </c>
      <c r="BC458" s="103">
        <v>169017.36</v>
      </c>
      <c r="BD458" s="103">
        <v>0</v>
      </c>
      <c r="BE458" s="103">
        <v>0</v>
      </c>
      <c r="BF458" s="103">
        <v>0</v>
      </c>
      <c r="BG458" s="103">
        <v>0</v>
      </c>
      <c r="BH458" s="103">
        <v>0</v>
      </c>
      <c r="BI458" s="103">
        <v>0</v>
      </c>
      <c r="BJ458" s="103">
        <v>0</v>
      </c>
      <c r="BK458" s="103">
        <v>0</v>
      </c>
      <c r="BL458" s="103">
        <v>0</v>
      </c>
      <c r="BM458" s="103">
        <v>0</v>
      </c>
      <c r="BN458" s="103">
        <v>0</v>
      </c>
      <c r="BO458" s="79">
        <f>SUM(ERP[[#This Row],[2026 AP01]:[2026 AP12]])</f>
        <v>169017.36</v>
      </c>
    </row>
    <row r="459" spans="1:67" ht="15" customHeight="1">
      <c r="A459" s="79" t="s">
        <v>2385</v>
      </c>
      <c r="B459" s="296" t="s">
        <v>748</v>
      </c>
      <c r="C459" s="150" t="s">
        <v>1136</v>
      </c>
      <c r="D459" s="332" t="s">
        <v>1135</v>
      </c>
      <c r="E459" s="383" t="s">
        <v>1135</v>
      </c>
      <c r="F459" s="331" t="s">
        <v>1137</v>
      </c>
      <c r="G459" s="512" t="s">
        <v>639</v>
      </c>
      <c r="H459" s="393" t="s">
        <v>2386</v>
      </c>
      <c r="I459" s="343" t="s">
        <v>2343</v>
      </c>
      <c r="J459" s="150" t="s">
        <v>1171</v>
      </c>
      <c r="K459" s="91" t="s">
        <v>749</v>
      </c>
      <c r="L459" s="343"/>
      <c r="M459" s="346" t="s">
        <v>2339</v>
      </c>
      <c r="N459" s="346" t="s">
        <v>1710</v>
      </c>
      <c r="O459" s="386" t="s">
        <v>707</v>
      </c>
      <c r="P459" s="346" t="s">
        <v>1348</v>
      </c>
      <c r="Q459" s="437"/>
      <c r="R459" s="358">
        <v>-169017.36</v>
      </c>
      <c r="S459" s="378">
        <v>0</v>
      </c>
      <c r="T459" s="425"/>
      <c r="U459" s="71"/>
      <c r="V459" s="433"/>
      <c r="W459" s="434"/>
      <c r="X459" s="434"/>
      <c r="Y459" s="428" t="s">
        <v>1142</v>
      </c>
      <c r="Z459" s="429">
        <v>0</v>
      </c>
      <c r="AA459" s="429">
        <v>0</v>
      </c>
      <c r="AB459" s="363" t="e">
        <v>#N/A</v>
      </c>
      <c r="AC459" s="388">
        <v>0</v>
      </c>
      <c r="AD459" s="388">
        <v>0</v>
      </c>
      <c r="AE459" s="388">
        <v>0</v>
      </c>
      <c r="AF459" s="388">
        <v>0</v>
      </c>
      <c r="AG459" s="388">
        <v>0</v>
      </c>
      <c r="AH459" s="360" t="e">
        <f t="shared" si="23"/>
        <v>#N/A</v>
      </c>
      <c r="AI459" s="362" t="e">
        <f>ERP[[#This Row],[2026 Working Total]]-ERP[[#This Row],[LE2 Final Submission]]</f>
        <v>#N/A</v>
      </c>
      <c r="AJ459" s="79">
        <v>0</v>
      </c>
      <c r="AK459" s="79">
        <f t="shared" si="25"/>
        <v>0</v>
      </c>
      <c r="AL459" s="374">
        <f>SUM(ERP[[#This Row],[AP01]:[AP06]])-SUM(ERP[[#This Row],[AP01 LE2]:[AP06 LE2]])</f>
        <v>0</v>
      </c>
      <c r="AM459" s="80"/>
      <c r="AN459" s="79" t="e">
        <f>ERP[[#This Row],[2026 Working Total to Budget/LE]]-ERP[[#This Row],[Giveback]]</f>
        <v>#N/A</v>
      </c>
      <c r="AO459" s="81"/>
      <c r="AP459" s="375"/>
      <c r="AQ459" s="375"/>
      <c r="AR459" s="375"/>
      <c r="AS459" s="375">
        <v>0</v>
      </c>
      <c r="AT459" s="375">
        <v>0</v>
      </c>
      <c r="AU459" s="375">
        <v>0</v>
      </c>
      <c r="AV459" s="375">
        <v>0</v>
      </c>
      <c r="AW459" s="375">
        <v>0</v>
      </c>
      <c r="AX459" s="375">
        <v>0</v>
      </c>
      <c r="AY459" s="375">
        <v>0</v>
      </c>
      <c r="AZ459" s="375">
        <v>0</v>
      </c>
      <c r="BA459" s="375">
        <v>0</v>
      </c>
      <c r="BB459" s="375">
        <v>0</v>
      </c>
      <c r="BC459" s="103">
        <v>-169017.36</v>
      </c>
      <c r="BD459" s="103">
        <v>0</v>
      </c>
      <c r="BE459" s="103">
        <v>0</v>
      </c>
      <c r="BF459" s="103">
        <v>0</v>
      </c>
      <c r="BG459" s="103">
        <v>0</v>
      </c>
      <c r="BH459" s="103">
        <v>0</v>
      </c>
      <c r="BI459" s="103">
        <v>0</v>
      </c>
      <c r="BJ459" s="103">
        <v>0</v>
      </c>
      <c r="BK459" s="103">
        <v>0</v>
      </c>
      <c r="BL459" s="103">
        <v>0</v>
      </c>
      <c r="BM459" s="103">
        <v>0</v>
      </c>
      <c r="BN459" s="103">
        <v>0</v>
      </c>
      <c r="BO459" s="79">
        <f>SUM(ERP[[#This Row],[2026 AP01]:[2026 AP12]])</f>
        <v>-169017.36</v>
      </c>
    </row>
    <row r="460" spans="1:67" ht="15" customHeight="1">
      <c r="A460" s="79" t="s">
        <v>2387</v>
      </c>
      <c r="B460" s="296" t="s">
        <v>750</v>
      </c>
      <c r="C460" s="150" t="s">
        <v>1136</v>
      </c>
      <c r="D460" s="332" t="s">
        <v>1135</v>
      </c>
      <c r="E460" s="383" t="s">
        <v>1135</v>
      </c>
      <c r="F460" s="331" t="s">
        <v>1137</v>
      </c>
      <c r="G460" s="512" t="s">
        <v>639</v>
      </c>
      <c r="H460" s="393" t="s">
        <v>2388</v>
      </c>
      <c r="I460" s="343" t="s">
        <v>2343</v>
      </c>
      <c r="J460" s="150" t="s">
        <v>1171</v>
      </c>
      <c r="K460" s="91" t="s">
        <v>751</v>
      </c>
      <c r="L460" s="343"/>
      <c r="M460" s="346" t="s">
        <v>2339</v>
      </c>
      <c r="N460" s="346" t="s">
        <v>1710</v>
      </c>
      <c r="O460" s="386" t="s">
        <v>707</v>
      </c>
      <c r="P460" s="346" t="s">
        <v>1348</v>
      </c>
      <c r="Q460" s="437"/>
      <c r="R460" s="358">
        <v>872512.08</v>
      </c>
      <c r="S460" s="378">
        <v>0</v>
      </c>
      <c r="T460" s="425"/>
      <c r="U460" s="71"/>
      <c r="V460" s="433"/>
      <c r="W460" s="434"/>
      <c r="X460" s="434"/>
      <c r="Y460" s="428" t="s">
        <v>1142</v>
      </c>
      <c r="Z460" s="429">
        <v>0</v>
      </c>
      <c r="AA460" s="429">
        <v>0</v>
      </c>
      <c r="AB460" s="363" t="e">
        <v>#N/A</v>
      </c>
      <c r="AC460" s="388">
        <v>0</v>
      </c>
      <c r="AD460" s="388">
        <v>0</v>
      </c>
      <c r="AE460" s="388">
        <v>0</v>
      </c>
      <c r="AF460" s="388">
        <v>0</v>
      </c>
      <c r="AG460" s="388">
        <v>0</v>
      </c>
      <c r="AH460" s="360" t="e">
        <f t="shared" ref="AH460:AH523" si="26">SUM(V460:AG460)</f>
        <v>#N/A</v>
      </c>
      <c r="AI460" s="362" t="e">
        <f>ERP[[#This Row],[2026 Working Total]]-ERP[[#This Row],[LE2 Final Submission]]</f>
        <v>#N/A</v>
      </c>
      <c r="AJ460" s="79">
        <v>0</v>
      </c>
      <c r="AK460" s="79">
        <f t="shared" si="25"/>
        <v>0</v>
      </c>
      <c r="AL460" s="374">
        <f>SUM(ERP[[#This Row],[AP01]:[AP06]])-SUM(ERP[[#This Row],[AP01 LE2]:[AP06 LE2]])</f>
        <v>0</v>
      </c>
      <c r="AM460" s="80"/>
      <c r="AN460" s="79" t="e">
        <f>ERP[[#This Row],[2026 Working Total to Budget/LE]]-ERP[[#This Row],[Giveback]]</f>
        <v>#N/A</v>
      </c>
      <c r="AO460" s="81"/>
      <c r="AP460" s="375"/>
      <c r="AQ460" s="375"/>
      <c r="AR460" s="375"/>
      <c r="AS460" s="375">
        <v>0</v>
      </c>
      <c r="AT460" s="375">
        <v>0</v>
      </c>
      <c r="AU460" s="375">
        <v>0</v>
      </c>
      <c r="AV460" s="375">
        <v>0</v>
      </c>
      <c r="AW460" s="375">
        <v>0</v>
      </c>
      <c r="AX460" s="375">
        <v>0</v>
      </c>
      <c r="AY460" s="375">
        <v>0</v>
      </c>
      <c r="AZ460" s="375">
        <v>0</v>
      </c>
      <c r="BA460" s="375">
        <v>0</v>
      </c>
      <c r="BB460" s="375">
        <v>0</v>
      </c>
      <c r="BC460" s="103">
        <v>872512.08</v>
      </c>
      <c r="BD460" s="103">
        <v>0</v>
      </c>
      <c r="BE460" s="103">
        <v>0</v>
      </c>
      <c r="BF460" s="103">
        <v>0</v>
      </c>
      <c r="BG460" s="103">
        <v>0</v>
      </c>
      <c r="BH460" s="103">
        <v>0</v>
      </c>
      <c r="BI460" s="103">
        <v>0</v>
      </c>
      <c r="BJ460" s="103">
        <v>0</v>
      </c>
      <c r="BK460" s="103">
        <v>0</v>
      </c>
      <c r="BL460" s="103">
        <v>0</v>
      </c>
      <c r="BM460" s="103">
        <v>0</v>
      </c>
      <c r="BN460" s="103">
        <v>0</v>
      </c>
      <c r="BO460" s="79">
        <f>SUM(ERP[[#This Row],[2026 AP01]:[2026 AP12]])</f>
        <v>872512.08</v>
      </c>
    </row>
    <row r="461" spans="1:67" ht="15" customHeight="1">
      <c r="A461" s="79" t="s">
        <v>2389</v>
      </c>
      <c r="B461" s="296" t="s">
        <v>752</v>
      </c>
      <c r="C461" s="150" t="s">
        <v>1136</v>
      </c>
      <c r="D461" s="332" t="s">
        <v>1135</v>
      </c>
      <c r="E461" s="383" t="s">
        <v>1135</v>
      </c>
      <c r="F461" s="331" t="s">
        <v>1137</v>
      </c>
      <c r="G461" s="512" t="s">
        <v>639</v>
      </c>
      <c r="H461" s="393" t="s">
        <v>2390</v>
      </c>
      <c r="I461" s="343" t="s">
        <v>2343</v>
      </c>
      <c r="J461" s="150" t="s">
        <v>1171</v>
      </c>
      <c r="K461" s="91" t="s">
        <v>753</v>
      </c>
      <c r="L461" s="343"/>
      <c r="M461" s="346" t="s">
        <v>2339</v>
      </c>
      <c r="N461" s="346" t="s">
        <v>1710</v>
      </c>
      <c r="O461" s="386" t="s">
        <v>707</v>
      </c>
      <c r="P461" s="346" t="s">
        <v>1348</v>
      </c>
      <c r="Q461" s="437"/>
      <c r="R461" s="358">
        <v>-872512.08</v>
      </c>
      <c r="S461" s="378">
        <v>0</v>
      </c>
      <c r="T461" s="430"/>
      <c r="U461" s="137"/>
      <c r="V461" s="433"/>
      <c r="W461" s="434"/>
      <c r="X461" s="434"/>
      <c r="Y461" s="428" t="s">
        <v>1142</v>
      </c>
      <c r="Z461" s="429">
        <v>0</v>
      </c>
      <c r="AA461" s="429">
        <v>0</v>
      </c>
      <c r="AB461" s="363" t="e">
        <v>#N/A</v>
      </c>
      <c r="AC461" s="388">
        <v>0</v>
      </c>
      <c r="AD461" s="388">
        <v>0</v>
      </c>
      <c r="AE461" s="388">
        <v>0</v>
      </c>
      <c r="AF461" s="388">
        <v>0</v>
      </c>
      <c r="AG461" s="388">
        <v>0</v>
      </c>
      <c r="AH461" s="360" t="e">
        <f t="shared" si="26"/>
        <v>#N/A</v>
      </c>
      <c r="AI461" s="362" t="e">
        <f>ERP[[#This Row],[2026 Working Total]]-ERP[[#This Row],[LE2 Final Submission]]</f>
        <v>#N/A</v>
      </c>
      <c r="AJ461" s="79">
        <v>0</v>
      </c>
      <c r="AK461" s="79">
        <f t="shared" si="25"/>
        <v>0</v>
      </c>
      <c r="AL461" s="374">
        <f>SUM(ERP[[#This Row],[AP01]:[AP06]])-SUM(ERP[[#This Row],[AP01 LE2]:[AP06 LE2]])</f>
        <v>0</v>
      </c>
      <c r="AM461" s="80"/>
      <c r="AN461" s="79" t="e">
        <f>ERP[[#This Row],[2026 Working Total to Budget/LE]]-ERP[[#This Row],[Giveback]]</f>
        <v>#N/A</v>
      </c>
      <c r="AO461" s="81"/>
      <c r="AP461" s="375"/>
      <c r="AQ461" s="375"/>
      <c r="AR461" s="375"/>
      <c r="AS461" s="375">
        <v>0</v>
      </c>
      <c r="AT461" s="375">
        <v>0</v>
      </c>
      <c r="AU461" s="375">
        <v>0</v>
      </c>
      <c r="AV461" s="375">
        <v>0</v>
      </c>
      <c r="AW461" s="375">
        <v>0</v>
      </c>
      <c r="AX461" s="375">
        <v>0</v>
      </c>
      <c r="AY461" s="375">
        <v>0</v>
      </c>
      <c r="AZ461" s="375">
        <v>0</v>
      </c>
      <c r="BA461" s="375">
        <v>0</v>
      </c>
      <c r="BB461" s="375">
        <v>0</v>
      </c>
      <c r="BC461" s="103">
        <v>-872512.08</v>
      </c>
      <c r="BD461" s="103">
        <v>0</v>
      </c>
      <c r="BE461" s="103">
        <v>0</v>
      </c>
      <c r="BF461" s="103">
        <v>0</v>
      </c>
      <c r="BG461" s="103">
        <v>0</v>
      </c>
      <c r="BH461" s="103">
        <v>0</v>
      </c>
      <c r="BI461" s="103">
        <v>0</v>
      </c>
      <c r="BJ461" s="103">
        <v>0</v>
      </c>
      <c r="BK461" s="103">
        <v>0</v>
      </c>
      <c r="BL461" s="103">
        <v>0</v>
      </c>
      <c r="BM461" s="103">
        <v>0</v>
      </c>
      <c r="BN461" s="103">
        <v>0</v>
      </c>
      <c r="BO461" s="79">
        <f>SUM(ERP[[#This Row],[2026 AP01]:[2026 AP12]])</f>
        <v>-872512.08</v>
      </c>
    </row>
    <row r="462" spans="1:67" ht="15" customHeight="1">
      <c r="A462" s="79" t="s">
        <v>2391</v>
      </c>
      <c r="B462" s="296" t="s">
        <v>754</v>
      </c>
      <c r="C462" s="150" t="s">
        <v>1136</v>
      </c>
      <c r="D462" s="332" t="s">
        <v>1135</v>
      </c>
      <c r="E462" s="383" t="s">
        <v>1135</v>
      </c>
      <c r="F462" s="331" t="s">
        <v>1137</v>
      </c>
      <c r="G462" s="512" t="s">
        <v>639</v>
      </c>
      <c r="H462" s="393" t="s">
        <v>2392</v>
      </c>
      <c r="I462" s="343" t="s">
        <v>2343</v>
      </c>
      <c r="J462" s="150" t="s">
        <v>1171</v>
      </c>
      <c r="K462" s="91" t="s">
        <v>755</v>
      </c>
      <c r="L462" s="343"/>
      <c r="M462" s="346" t="s">
        <v>2339</v>
      </c>
      <c r="N462" s="346" t="s">
        <v>1710</v>
      </c>
      <c r="O462" s="386" t="s">
        <v>707</v>
      </c>
      <c r="P462" s="346" t="s">
        <v>1348</v>
      </c>
      <c r="Q462" s="437"/>
      <c r="R462" s="358">
        <v>267876.47999999998</v>
      </c>
      <c r="S462" s="378">
        <v>0</v>
      </c>
      <c r="T462" s="425"/>
      <c r="U462" s="71"/>
      <c r="V462" s="433"/>
      <c r="W462" s="434"/>
      <c r="X462" s="434"/>
      <c r="Y462" s="428" t="s">
        <v>1142</v>
      </c>
      <c r="Z462" s="429">
        <v>0</v>
      </c>
      <c r="AA462" s="429">
        <v>0</v>
      </c>
      <c r="AB462" s="363" t="e">
        <v>#N/A</v>
      </c>
      <c r="AC462" s="388">
        <v>0</v>
      </c>
      <c r="AD462" s="388">
        <v>0</v>
      </c>
      <c r="AE462" s="388">
        <v>0</v>
      </c>
      <c r="AF462" s="388">
        <v>0</v>
      </c>
      <c r="AG462" s="388">
        <v>0</v>
      </c>
      <c r="AH462" s="360" t="e">
        <f t="shared" si="26"/>
        <v>#N/A</v>
      </c>
      <c r="AI462" s="362" t="e">
        <f>ERP[[#This Row],[2026 Working Total]]-ERP[[#This Row],[LE2 Final Submission]]</f>
        <v>#N/A</v>
      </c>
      <c r="AJ462" s="79">
        <v>0</v>
      </c>
      <c r="AK462" s="79">
        <f t="shared" si="25"/>
        <v>0</v>
      </c>
      <c r="AL462" s="374">
        <f>SUM(ERP[[#This Row],[AP01]:[AP06]])-SUM(ERP[[#This Row],[AP01 LE2]:[AP06 LE2]])</f>
        <v>0</v>
      </c>
      <c r="AM462" s="80"/>
      <c r="AN462" s="79" t="e">
        <f>ERP[[#This Row],[2026 Working Total to Budget/LE]]-ERP[[#This Row],[Giveback]]</f>
        <v>#N/A</v>
      </c>
      <c r="AO462" s="81"/>
      <c r="AP462" s="375"/>
      <c r="AQ462" s="375"/>
      <c r="AR462" s="375"/>
      <c r="AS462" s="375">
        <v>0</v>
      </c>
      <c r="AT462" s="375">
        <v>0</v>
      </c>
      <c r="AU462" s="375">
        <v>0</v>
      </c>
      <c r="AV462" s="375">
        <v>0</v>
      </c>
      <c r="AW462" s="375">
        <v>0</v>
      </c>
      <c r="AX462" s="375">
        <v>0</v>
      </c>
      <c r="AY462" s="375">
        <v>0</v>
      </c>
      <c r="AZ462" s="375">
        <v>0</v>
      </c>
      <c r="BA462" s="375">
        <v>0</v>
      </c>
      <c r="BB462" s="375">
        <v>0</v>
      </c>
      <c r="BC462" s="103">
        <v>267876.47999999998</v>
      </c>
      <c r="BD462" s="103">
        <v>0</v>
      </c>
      <c r="BE462" s="103">
        <v>0</v>
      </c>
      <c r="BF462" s="103">
        <v>0</v>
      </c>
      <c r="BG462" s="103">
        <v>0</v>
      </c>
      <c r="BH462" s="103">
        <v>0</v>
      </c>
      <c r="BI462" s="103">
        <v>0</v>
      </c>
      <c r="BJ462" s="103">
        <v>0</v>
      </c>
      <c r="BK462" s="103">
        <v>0</v>
      </c>
      <c r="BL462" s="103">
        <v>0</v>
      </c>
      <c r="BM462" s="103">
        <v>0</v>
      </c>
      <c r="BN462" s="103">
        <v>0</v>
      </c>
      <c r="BO462" s="79">
        <f>SUM(ERP[[#This Row],[2026 AP01]:[2026 AP12]])</f>
        <v>267876.47999999998</v>
      </c>
    </row>
    <row r="463" spans="1:67" ht="15" customHeight="1">
      <c r="A463" s="79" t="s">
        <v>2393</v>
      </c>
      <c r="B463" s="296" t="s">
        <v>756</v>
      </c>
      <c r="C463" s="150" t="s">
        <v>1136</v>
      </c>
      <c r="D463" s="332" t="s">
        <v>1135</v>
      </c>
      <c r="E463" s="383" t="s">
        <v>1135</v>
      </c>
      <c r="F463" s="331" t="s">
        <v>1137</v>
      </c>
      <c r="G463" s="512" t="s">
        <v>639</v>
      </c>
      <c r="H463" s="393" t="s">
        <v>2394</v>
      </c>
      <c r="I463" s="343" t="s">
        <v>2343</v>
      </c>
      <c r="J463" s="150" t="s">
        <v>1171</v>
      </c>
      <c r="K463" s="91" t="s">
        <v>757</v>
      </c>
      <c r="L463" s="343"/>
      <c r="M463" s="346" t="s">
        <v>2339</v>
      </c>
      <c r="N463" s="346" t="s">
        <v>1710</v>
      </c>
      <c r="O463" s="386" t="s">
        <v>707</v>
      </c>
      <c r="P463" s="346" t="s">
        <v>1348</v>
      </c>
      <c r="Q463" s="437"/>
      <c r="R463" s="358">
        <v>-267876.47999999998</v>
      </c>
      <c r="S463" s="378">
        <v>0</v>
      </c>
      <c r="T463" s="425"/>
      <c r="U463" s="71"/>
      <c r="V463" s="433"/>
      <c r="W463" s="434"/>
      <c r="X463" s="434"/>
      <c r="Y463" s="428" t="s">
        <v>1142</v>
      </c>
      <c r="Z463" s="429">
        <v>0</v>
      </c>
      <c r="AA463" s="429">
        <v>0</v>
      </c>
      <c r="AB463" s="363" t="e">
        <v>#N/A</v>
      </c>
      <c r="AC463" s="388">
        <v>0</v>
      </c>
      <c r="AD463" s="388">
        <v>0</v>
      </c>
      <c r="AE463" s="388">
        <v>0</v>
      </c>
      <c r="AF463" s="388">
        <v>0</v>
      </c>
      <c r="AG463" s="388">
        <v>0</v>
      </c>
      <c r="AH463" s="360" t="e">
        <f t="shared" si="26"/>
        <v>#N/A</v>
      </c>
      <c r="AI463" s="362" t="e">
        <f>ERP[[#This Row],[2026 Working Total]]-ERP[[#This Row],[LE2 Final Submission]]</f>
        <v>#N/A</v>
      </c>
      <c r="AJ463" s="79">
        <v>0</v>
      </c>
      <c r="AK463" s="79">
        <f t="shared" si="25"/>
        <v>0</v>
      </c>
      <c r="AL463" s="374">
        <f>SUM(ERP[[#This Row],[AP01]:[AP06]])-SUM(ERP[[#This Row],[AP01 LE2]:[AP06 LE2]])</f>
        <v>0</v>
      </c>
      <c r="AM463" s="80"/>
      <c r="AN463" s="79" t="e">
        <f>ERP[[#This Row],[2026 Working Total to Budget/LE]]-ERP[[#This Row],[Giveback]]</f>
        <v>#N/A</v>
      </c>
      <c r="AO463" s="81"/>
      <c r="AP463" s="375"/>
      <c r="AQ463" s="375"/>
      <c r="AR463" s="375"/>
      <c r="AS463" s="375">
        <v>0</v>
      </c>
      <c r="AT463" s="375">
        <v>0</v>
      </c>
      <c r="AU463" s="375">
        <v>0</v>
      </c>
      <c r="AV463" s="375">
        <v>0</v>
      </c>
      <c r="AW463" s="375">
        <v>0</v>
      </c>
      <c r="AX463" s="375">
        <v>0</v>
      </c>
      <c r="AY463" s="375">
        <v>0</v>
      </c>
      <c r="AZ463" s="375">
        <v>0</v>
      </c>
      <c r="BA463" s="375">
        <v>0</v>
      </c>
      <c r="BB463" s="375">
        <v>0</v>
      </c>
      <c r="BC463" s="103">
        <v>-267876.47999999998</v>
      </c>
      <c r="BD463" s="103">
        <v>0</v>
      </c>
      <c r="BE463" s="103">
        <v>0</v>
      </c>
      <c r="BF463" s="103">
        <v>0</v>
      </c>
      <c r="BG463" s="103">
        <v>0</v>
      </c>
      <c r="BH463" s="103">
        <v>0</v>
      </c>
      <c r="BI463" s="103">
        <v>0</v>
      </c>
      <c r="BJ463" s="103">
        <v>0</v>
      </c>
      <c r="BK463" s="103">
        <v>0</v>
      </c>
      <c r="BL463" s="103">
        <v>0</v>
      </c>
      <c r="BM463" s="103">
        <v>0</v>
      </c>
      <c r="BN463" s="103">
        <v>0</v>
      </c>
      <c r="BO463" s="79">
        <f>SUM(ERP[[#This Row],[2026 AP01]:[2026 AP12]])</f>
        <v>-267876.47999999998</v>
      </c>
    </row>
    <row r="464" spans="1:67" ht="15" customHeight="1">
      <c r="A464" s="66" t="s">
        <v>2395</v>
      </c>
      <c r="B464" s="66" t="s">
        <v>758</v>
      </c>
      <c r="C464" s="150" t="s">
        <v>1136</v>
      </c>
      <c r="D464" s="150" t="s">
        <v>1135</v>
      </c>
      <c r="E464" s="150" t="s">
        <v>1135</v>
      </c>
      <c r="F464" s="150" t="s">
        <v>1137</v>
      </c>
      <c r="G464" s="511" t="s">
        <v>639</v>
      </c>
      <c r="H464" s="392" t="s">
        <v>2396</v>
      </c>
      <c r="I464" s="343" t="s">
        <v>1231</v>
      </c>
      <c r="J464" s="346" t="s">
        <v>1171</v>
      </c>
      <c r="K464" s="70" t="s">
        <v>759</v>
      </c>
      <c r="L464" s="346"/>
      <c r="M464" s="346" t="s">
        <v>2339</v>
      </c>
      <c r="N464" s="346"/>
      <c r="O464" s="150" t="s">
        <v>704</v>
      </c>
      <c r="P464" s="150" t="s">
        <v>2340</v>
      </c>
      <c r="Q464" s="403"/>
      <c r="R464" s="406">
        <v>2542329.3599999994</v>
      </c>
      <c r="S464" s="406">
        <v>2542329.36</v>
      </c>
      <c r="T464" s="430"/>
      <c r="U464" s="137"/>
      <c r="V464" s="426">
        <v>2542329.37</v>
      </c>
      <c r="W464" s="427">
        <v>-2118607.81</v>
      </c>
      <c r="X464" s="427">
        <v>211860.78</v>
      </c>
      <c r="Y464" s="428" t="s">
        <v>1142</v>
      </c>
      <c r="Z464" s="429">
        <v>0</v>
      </c>
      <c r="AA464" s="429">
        <v>0</v>
      </c>
      <c r="AB464" s="363" t="e">
        <v>#N/A</v>
      </c>
      <c r="AC464" s="363">
        <f>211860.78+211860.78</f>
        <v>423721.56</v>
      </c>
      <c r="AD464" s="363">
        <v>211860.78</v>
      </c>
      <c r="AE464" s="363">
        <f>211860.78-211860.78</f>
        <v>0</v>
      </c>
      <c r="AF464" s="363">
        <f>211860.78+211860.78</f>
        <v>423721.56</v>
      </c>
      <c r="AG464" s="363">
        <v>211860.78</v>
      </c>
      <c r="AH464" s="360" t="e">
        <f t="shared" si="26"/>
        <v>#N/A</v>
      </c>
      <c r="AI464" s="362" t="e">
        <f>ERP[[#This Row],[2026 Working Total]]-ERP[[#This Row],[LE2 Final Submission]]</f>
        <v>#N/A</v>
      </c>
      <c r="AJ464" s="79">
        <v>0</v>
      </c>
      <c r="AK464" s="79">
        <f t="shared" si="25"/>
        <v>0</v>
      </c>
      <c r="AL464" s="374">
        <f>SUM(ERP[[#This Row],[AP01]:[AP06]])-SUM(ERP[[#This Row],[AP01 LE2]:[AP06 LE2]])</f>
        <v>-635582.34000000008</v>
      </c>
      <c r="AM464" s="80"/>
      <c r="AN464" s="79" t="e">
        <f>ERP[[#This Row],[2026 Working Total to Budget/LE]]-ERP[[#This Row],[Giveback]]</f>
        <v>#N/A</v>
      </c>
      <c r="AO464" s="81"/>
      <c r="AP464" s="375">
        <v>2542329.37</v>
      </c>
      <c r="AQ464" s="375">
        <v>-2118607.81</v>
      </c>
      <c r="AR464" s="375">
        <v>211860.78</v>
      </c>
      <c r="AS464" s="375">
        <v>0</v>
      </c>
      <c r="AT464" s="375">
        <v>423721.56</v>
      </c>
      <c r="AU464" s="375">
        <v>211860.78</v>
      </c>
      <c r="AV464" s="375">
        <v>0</v>
      </c>
      <c r="AW464" s="375">
        <v>423721.56</v>
      </c>
      <c r="AX464" s="375">
        <v>211860.78</v>
      </c>
      <c r="AY464" s="375">
        <v>0</v>
      </c>
      <c r="AZ464" s="375">
        <v>423721.56</v>
      </c>
      <c r="BA464" s="375">
        <v>211860.78</v>
      </c>
      <c r="BB464" s="375">
        <v>2542329.36</v>
      </c>
      <c r="BC464" s="79">
        <v>2542329.37</v>
      </c>
      <c r="BD464" s="79">
        <v>-2118607.81</v>
      </c>
      <c r="BE464" s="79">
        <v>211860.78</v>
      </c>
      <c r="BF464" s="79">
        <v>211860.78</v>
      </c>
      <c r="BG464" s="79">
        <v>211860.78</v>
      </c>
      <c r="BH464" s="79">
        <v>211860.78</v>
      </c>
      <c r="BI464" s="79">
        <v>211860.78</v>
      </c>
      <c r="BJ464" s="79">
        <v>211860.78</v>
      </c>
      <c r="BK464" s="79">
        <v>211860.78</v>
      </c>
      <c r="BL464" s="79">
        <v>211860.78</v>
      </c>
      <c r="BM464" s="79">
        <v>211860.78</v>
      </c>
      <c r="BN464" s="79">
        <v>211860.78</v>
      </c>
      <c r="BO464" s="79">
        <v>2542329.36</v>
      </c>
    </row>
    <row r="465" spans="1:67" ht="15" customHeight="1">
      <c r="A465" s="79" t="s">
        <v>2397</v>
      </c>
      <c r="B465" s="296" t="s">
        <v>760</v>
      </c>
      <c r="C465" s="150" t="s">
        <v>1136</v>
      </c>
      <c r="D465" s="332" t="s">
        <v>1135</v>
      </c>
      <c r="E465" s="383" t="s">
        <v>1135</v>
      </c>
      <c r="F465" s="331" t="s">
        <v>1137</v>
      </c>
      <c r="G465" s="512" t="s">
        <v>639</v>
      </c>
      <c r="H465" s="393" t="s">
        <v>2398</v>
      </c>
      <c r="I465" s="343" t="s">
        <v>2343</v>
      </c>
      <c r="J465" s="150" t="s">
        <v>1171</v>
      </c>
      <c r="K465" s="91" t="s">
        <v>761</v>
      </c>
      <c r="L465" s="343"/>
      <c r="M465" s="346" t="s">
        <v>2339</v>
      </c>
      <c r="N465" s="346" t="s">
        <v>1710</v>
      </c>
      <c r="O465" s="386" t="s">
        <v>707</v>
      </c>
      <c r="P465" s="346" t="s">
        <v>1348</v>
      </c>
      <c r="Q465" s="437"/>
      <c r="R465" s="358">
        <v>539731.92000000004</v>
      </c>
      <c r="S465" s="378">
        <v>0</v>
      </c>
      <c r="T465" s="425"/>
      <c r="U465" s="71"/>
      <c r="V465" s="433"/>
      <c r="W465" s="434"/>
      <c r="X465" s="434"/>
      <c r="Y465" s="428" t="s">
        <v>1142</v>
      </c>
      <c r="Z465" s="429">
        <v>0</v>
      </c>
      <c r="AA465" s="429">
        <v>0</v>
      </c>
      <c r="AB465" s="363" t="e">
        <v>#N/A</v>
      </c>
      <c r="AC465" s="388">
        <v>0</v>
      </c>
      <c r="AD465" s="388">
        <v>0</v>
      </c>
      <c r="AE465" s="388">
        <v>0</v>
      </c>
      <c r="AF465" s="388">
        <v>0</v>
      </c>
      <c r="AG465" s="388">
        <v>0</v>
      </c>
      <c r="AH465" s="360" t="e">
        <f t="shared" si="26"/>
        <v>#N/A</v>
      </c>
      <c r="AI465" s="362" t="e">
        <f>ERP[[#This Row],[2026 Working Total]]-ERP[[#This Row],[LE2 Final Submission]]</f>
        <v>#N/A</v>
      </c>
      <c r="AJ465" s="79">
        <v>0</v>
      </c>
      <c r="AK465" s="79">
        <f t="shared" si="25"/>
        <v>0</v>
      </c>
      <c r="AL465" s="374">
        <f>SUM(ERP[[#This Row],[AP01]:[AP06]])-SUM(ERP[[#This Row],[AP01 LE2]:[AP06 LE2]])</f>
        <v>0</v>
      </c>
      <c r="AM465" s="80"/>
      <c r="AN465" s="79" t="e">
        <f>ERP[[#This Row],[2026 Working Total to Budget/LE]]-ERP[[#This Row],[Giveback]]</f>
        <v>#N/A</v>
      </c>
      <c r="AO465" s="81"/>
      <c r="AP465" s="375"/>
      <c r="AQ465" s="375"/>
      <c r="AR465" s="375"/>
      <c r="AS465" s="375">
        <v>0</v>
      </c>
      <c r="AT465" s="375">
        <v>0</v>
      </c>
      <c r="AU465" s="375">
        <v>0</v>
      </c>
      <c r="AV465" s="375">
        <v>0</v>
      </c>
      <c r="AW465" s="375">
        <v>0</v>
      </c>
      <c r="AX465" s="375">
        <v>0</v>
      </c>
      <c r="AY465" s="375">
        <v>0</v>
      </c>
      <c r="AZ465" s="375">
        <v>0</v>
      </c>
      <c r="BA465" s="375">
        <v>0</v>
      </c>
      <c r="BB465" s="375">
        <v>0</v>
      </c>
      <c r="BC465" s="103">
        <v>539731.92000000004</v>
      </c>
      <c r="BD465" s="103">
        <v>0</v>
      </c>
      <c r="BE465" s="103">
        <v>0</v>
      </c>
      <c r="BF465" s="103">
        <v>0</v>
      </c>
      <c r="BG465" s="103">
        <v>0</v>
      </c>
      <c r="BH465" s="103">
        <v>0</v>
      </c>
      <c r="BI465" s="103">
        <v>0</v>
      </c>
      <c r="BJ465" s="103">
        <v>0</v>
      </c>
      <c r="BK465" s="103">
        <v>0</v>
      </c>
      <c r="BL465" s="103">
        <v>0</v>
      </c>
      <c r="BM465" s="103">
        <v>0</v>
      </c>
      <c r="BN465" s="103">
        <v>0</v>
      </c>
      <c r="BO465" s="79">
        <f>SUM(ERP[[#This Row],[2026 AP01]:[2026 AP12]])</f>
        <v>539731.92000000004</v>
      </c>
    </row>
    <row r="466" spans="1:67" ht="15" customHeight="1">
      <c r="A466" s="79" t="s">
        <v>2399</v>
      </c>
      <c r="B466" s="296" t="s">
        <v>762</v>
      </c>
      <c r="C466" s="150" t="s">
        <v>1136</v>
      </c>
      <c r="D466" s="332" t="s">
        <v>1135</v>
      </c>
      <c r="E466" s="383" t="s">
        <v>1135</v>
      </c>
      <c r="F466" s="331" t="s">
        <v>1137</v>
      </c>
      <c r="G466" s="512" t="s">
        <v>639</v>
      </c>
      <c r="H466" s="393" t="s">
        <v>2400</v>
      </c>
      <c r="I466" s="343" t="s">
        <v>2343</v>
      </c>
      <c r="J466" s="150" t="s">
        <v>1171</v>
      </c>
      <c r="K466" s="91" t="s">
        <v>763</v>
      </c>
      <c r="L466" s="343"/>
      <c r="M466" s="346" t="s">
        <v>2339</v>
      </c>
      <c r="N466" s="346" t="s">
        <v>1710</v>
      </c>
      <c r="O466" s="386" t="s">
        <v>707</v>
      </c>
      <c r="P466" s="346" t="s">
        <v>1348</v>
      </c>
      <c r="Q466" s="437"/>
      <c r="R466" s="358">
        <v>-539731.92000000004</v>
      </c>
      <c r="S466" s="378">
        <v>0</v>
      </c>
      <c r="T466" s="425"/>
      <c r="U466" s="71"/>
      <c r="V466" s="433"/>
      <c r="W466" s="434"/>
      <c r="X466" s="434"/>
      <c r="Y466" s="428" t="s">
        <v>1142</v>
      </c>
      <c r="Z466" s="429">
        <v>0</v>
      </c>
      <c r="AA466" s="429">
        <v>0</v>
      </c>
      <c r="AB466" s="363" t="e">
        <v>#N/A</v>
      </c>
      <c r="AC466" s="388">
        <v>0</v>
      </c>
      <c r="AD466" s="388">
        <v>0</v>
      </c>
      <c r="AE466" s="388">
        <v>0</v>
      </c>
      <c r="AF466" s="388">
        <v>0</v>
      </c>
      <c r="AG466" s="388">
        <v>0</v>
      </c>
      <c r="AH466" s="360" t="e">
        <f t="shared" si="26"/>
        <v>#N/A</v>
      </c>
      <c r="AI466" s="362" t="e">
        <f>ERP[[#This Row],[2026 Working Total]]-ERP[[#This Row],[LE2 Final Submission]]</f>
        <v>#N/A</v>
      </c>
      <c r="AJ466" s="79">
        <v>0</v>
      </c>
      <c r="AK466" s="79">
        <f t="shared" si="25"/>
        <v>0</v>
      </c>
      <c r="AL466" s="374">
        <f>SUM(ERP[[#This Row],[AP01]:[AP06]])-SUM(ERP[[#This Row],[AP01 LE2]:[AP06 LE2]])</f>
        <v>0</v>
      </c>
      <c r="AM466" s="80"/>
      <c r="AN466" s="79" t="e">
        <f>ERP[[#This Row],[2026 Working Total to Budget/LE]]-ERP[[#This Row],[Giveback]]</f>
        <v>#N/A</v>
      </c>
      <c r="AO466" s="81"/>
      <c r="AP466" s="375"/>
      <c r="AQ466" s="375"/>
      <c r="AR466" s="375"/>
      <c r="AS466" s="375">
        <v>0</v>
      </c>
      <c r="AT466" s="375">
        <v>0</v>
      </c>
      <c r="AU466" s="375">
        <v>0</v>
      </c>
      <c r="AV466" s="375">
        <v>0</v>
      </c>
      <c r="AW466" s="375">
        <v>0</v>
      </c>
      <c r="AX466" s="375">
        <v>0</v>
      </c>
      <c r="AY466" s="375">
        <v>0</v>
      </c>
      <c r="AZ466" s="375">
        <v>0</v>
      </c>
      <c r="BA466" s="375">
        <v>0</v>
      </c>
      <c r="BB466" s="375">
        <v>0</v>
      </c>
      <c r="BC466" s="103">
        <v>-539731.92000000004</v>
      </c>
      <c r="BD466" s="103">
        <v>0</v>
      </c>
      <c r="BE466" s="103">
        <v>0</v>
      </c>
      <c r="BF466" s="103">
        <v>0</v>
      </c>
      <c r="BG466" s="103">
        <v>0</v>
      </c>
      <c r="BH466" s="103">
        <v>0</v>
      </c>
      <c r="BI466" s="103">
        <v>0</v>
      </c>
      <c r="BJ466" s="103">
        <v>0</v>
      </c>
      <c r="BK466" s="103">
        <v>0</v>
      </c>
      <c r="BL466" s="103">
        <v>0</v>
      </c>
      <c r="BM466" s="103">
        <v>0</v>
      </c>
      <c r="BN466" s="103">
        <v>0</v>
      </c>
      <c r="BO466" s="79">
        <f>SUM(ERP[[#This Row],[2026 AP01]:[2026 AP12]])</f>
        <v>-539731.92000000004</v>
      </c>
    </row>
    <row r="467" spans="1:67" ht="15" customHeight="1">
      <c r="A467" s="79" t="s">
        <v>2401</v>
      </c>
      <c r="B467" s="296" t="s">
        <v>764</v>
      </c>
      <c r="C467" s="150" t="s">
        <v>1136</v>
      </c>
      <c r="D467" s="332" t="s">
        <v>1135</v>
      </c>
      <c r="E467" s="383" t="s">
        <v>1135</v>
      </c>
      <c r="F467" s="331" t="s">
        <v>1137</v>
      </c>
      <c r="G467" s="512" t="s">
        <v>639</v>
      </c>
      <c r="H467" s="393" t="s">
        <v>2402</v>
      </c>
      <c r="I467" s="343" t="s">
        <v>2343</v>
      </c>
      <c r="J467" s="150" t="s">
        <v>1171</v>
      </c>
      <c r="K467" s="91" t="s">
        <v>765</v>
      </c>
      <c r="L467" s="343"/>
      <c r="M467" s="346" t="s">
        <v>2339</v>
      </c>
      <c r="N467" s="346" t="s">
        <v>1710</v>
      </c>
      <c r="O467" s="386" t="s">
        <v>707</v>
      </c>
      <c r="P467" s="346" t="s">
        <v>1348</v>
      </c>
      <c r="Q467" s="437"/>
      <c r="R467" s="358">
        <v>60272.160000000003</v>
      </c>
      <c r="S467" s="378">
        <v>0</v>
      </c>
      <c r="T467" s="430"/>
      <c r="U467" s="137"/>
      <c r="V467" s="433"/>
      <c r="W467" s="434"/>
      <c r="X467" s="434"/>
      <c r="Y467" s="428" t="s">
        <v>1142</v>
      </c>
      <c r="Z467" s="429">
        <v>0</v>
      </c>
      <c r="AA467" s="429">
        <v>0</v>
      </c>
      <c r="AB467" s="363" t="e">
        <v>#N/A</v>
      </c>
      <c r="AC467" s="388">
        <v>0</v>
      </c>
      <c r="AD467" s="388">
        <v>0</v>
      </c>
      <c r="AE467" s="388">
        <v>0</v>
      </c>
      <c r="AF467" s="388">
        <v>0</v>
      </c>
      <c r="AG467" s="388">
        <v>0</v>
      </c>
      <c r="AH467" s="360" t="e">
        <f t="shared" si="26"/>
        <v>#N/A</v>
      </c>
      <c r="AI467" s="362" t="e">
        <f>ERP[[#This Row],[2026 Working Total]]-ERP[[#This Row],[LE2 Final Submission]]</f>
        <v>#N/A</v>
      </c>
      <c r="AJ467" s="79">
        <v>0</v>
      </c>
      <c r="AK467" s="79">
        <f t="shared" si="25"/>
        <v>0</v>
      </c>
      <c r="AL467" s="374">
        <f>SUM(ERP[[#This Row],[AP01]:[AP06]])-SUM(ERP[[#This Row],[AP01 LE2]:[AP06 LE2]])</f>
        <v>0</v>
      </c>
      <c r="AM467" s="80"/>
      <c r="AN467" s="79" t="e">
        <f>ERP[[#This Row],[2026 Working Total to Budget/LE]]-ERP[[#This Row],[Giveback]]</f>
        <v>#N/A</v>
      </c>
      <c r="AO467" s="81"/>
      <c r="AP467" s="375"/>
      <c r="AQ467" s="375"/>
      <c r="AR467" s="375"/>
      <c r="AS467" s="375">
        <v>0</v>
      </c>
      <c r="AT467" s="375">
        <v>0</v>
      </c>
      <c r="AU467" s="375">
        <v>0</v>
      </c>
      <c r="AV467" s="375">
        <v>0</v>
      </c>
      <c r="AW467" s="375">
        <v>0</v>
      </c>
      <c r="AX467" s="375">
        <v>0</v>
      </c>
      <c r="AY467" s="375">
        <v>0</v>
      </c>
      <c r="AZ467" s="375">
        <v>0</v>
      </c>
      <c r="BA467" s="375">
        <v>0</v>
      </c>
      <c r="BB467" s="375">
        <v>0</v>
      </c>
      <c r="BC467" s="103">
        <v>60272.160000000003</v>
      </c>
      <c r="BD467" s="103">
        <v>0</v>
      </c>
      <c r="BE467" s="103">
        <v>0</v>
      </c>
      <c r="BF467" s="103">
        <v>0</v>
      </c>
      <c r="BG467" s="103">
        <v>0</v>
      </c>
      <c r="BH467" s="103">
        <v>0</v>
      </c>
      <c r="BI467" s="103">
        <v>0</v>
      </c>
      <c r="BJ467" s="103">
        <v>0</v>
      </c>
      <c r="BK467" s="103">
        <v>0</v>
      </c>
      <c r="BL467" s="103">
        <v>0</v>
      </c>
      <c r="BM467" s="103">
        <v>0</v>
      </c>
      <c r="BN467" s="103">
        <v>0</v>
      </c>
      <c r="BO467" s="79">
        <f>SUM(ERP[[#This Row],[2026 AP01]:[2026 AP12]])</f>
        <v>60272.160000000003</v>
      </c>
    </row>
    <row r="468" spans="1:67" ht="15" customHeight="1">
      <c r="A468" s="79" t="s">
        <v>2403</v>
      </c>
      <c r="B468" s="296" t="s">
        <v>766</v>
      </c>
      <c r="C468" s="150" t="s">
        <v>1136</v>
      </c>
      <c r="D468" s="332" t="s">
        <v>1135</v>
      </c>
      <c r="E468" s="383" t="s">
        <v>1135</v>
      </c>
      <c r="F468" s="331" t="s">
        <v>1137</v>
      </c>
      <c r="G468" s="512" t="s">
        <v>639</v>
      </c>
      <c r="H468" s="393" t="s">
        <v>2404</v>
      </c>
      <c r="I468" s="343" t="s">
        <v>2343</v>
      </c>
      <c r="J468" s="150" t="s">
        <v>1171</v>
      </c>
      <c r="K468" s="91" t="s">
        <v>767</v>
      </c>
      <c r="L468" s="343"/>
      <c r="M468" s="346" t="s">
        <v>2339</v>
      </c>
      <c r="N468" s="346" t="s">
        <v>1710</v>
      </c>
      <c r="O468" s="386" t="s">
        <v>707</v>
      </c>
      <c r="P468" s="346" t="s">
        <v>1348</v>
      </c>
      <c r="Q468" s="437"/>
      <c r="R468" s="358">
        <v>-60272.160000000003</v>
      </c>
      <c r="S468" s="378">
        <v>0</v>
      </c>
      <c r="T468" s="425"/>
      <c r="U468" s="71"/>
      <c r="V468" s="433"/>
      <c r="W468" s="434"/>
      <c r="X468" s="434"/>
      <c r="Y468" s="428" t="s">
        <v>1142</v>
      </c>
      <c r="Z468" s="429">
        <v>0</v>
      </c>
      <c r="AA468" s="429">
        <v>0</v>
      </c>
      <c r="AB468" s="363" t="e">
        <v>#N/A</v>
      </c>
      <c r="AC468" s="388">
        <v>0</v>
      </c>
      <c r="AD468" s="388">
        <v>0</v>
      </c>
      <c r="AE468" s="388">
        <v>0</v>
      </c>
      <c r="AF468" s="388">
        <v>0</v>
      </c>
      <c r="AG468" s="388">
        <v>0</v>
      </c>
      <c r="AH468" s="360" t="e">
        <f t="shared" si="26"/>
        <v>#N/A</v>
      </c>
      <c r="AI468" s="362" t="e">
        <f>ERP[[#This Row],[2026 Working Total]]-ERP[[#This Row],[LE2 Final Submission]]</f>
        <v>#N/A</v>
      </c>
      <c r="AJ468" s="79">
        <v>0</v>
      </c>
      <c r="AK468" s="79">
        <f t="shared" si="25"/>
        <v>0</v>
      </c>
      <c r="AL468" s="374">
        <f>SUM(ERP[[#This Row],[AP01]:[AP06]])-SUM(ERP[[#This Row],[AP01 LE2]:[AP06 LE2]])</f>
        <v>0</v>
      </c>
      <c r="AM468" s="80"/>
      <c r="AN468" s="79" t="e">
        <f>ERP[[#This Row],[2026 Working Total to Budget/LE]]-ERP[[#This Row],[Giveback]]</f>
        <v>#N/A</v>
      </c>
      <c r="AO468" s="81"/>
      <c r="AP468" s="375"/>
      <c r="AQ468" s="375"/>
      <c r="AR468" s="375"/>
      <c r="AS468" s="375">
        <v>0</v>
      </c>
      <c r="AT468" s="375">
        <v>0</v>
      </c>
      <c r="AU468" s="375">
        <v>0</v>
      </c>
      <c r="AV468" s="375">
        <v>0</v>
      </c>
      <c r="AW468" s="375">
        <v>0</v>
      </c>
      <c r="AX468" s="375">
        <v>0</v>
      </c>
      <c r="AY468" s="375">
        <v>0</v>
      </c>
      <c r="AZ468" s="375">
        <v>0</v>
      </c>
      <c r="BA468" s="375">
        <v>0</v>
      </c>
      <c r="BB468" s="375">
        <v>0</v>
      </c>
      <c r="BC468" s="103">
        <v>-60272.160000000003</v>
      </c>
      <c r="BD468" s="103">
        <v>0</v>
      </c>
      <c r="BE468" s="103">
        <v>0</v>
      </c>
      <c r="BF468" s="103">
        <v>0</v>
      </c>
      <c r="BG468" s="103">
        <v>0</v>
      </c>
      <c r="BH468" s="103">
        <v>0</v>
      </c>
      <c r="BI468" s="103">
        <v>0</v>
      </c>
      <c r="BJ468" s="103">
        <v>0</v>
      </c>
      <c r="BK468" s="103">
        <v>0</v>
      </c>
      <c r="BL468" s="103">
        <v>0</v>
      </c>
      <c r="BM468" s="103">
        <v>0</v>
      </c>
      <c r="BN468" s="103">
        <v>0</v>
      </c>
      <c r="BO468" s="79">
        <f>SUM(ERP[[#This Row],[2026 AP01]:[2026 AP12]])</f>
        <v>-60272.160000000003</v>
      </c>
    </row>
    <row r="469" spans="1:67" ht="15" customHeight="1">
      <c r="A469" s="79" t="s">
        <v>2405</v>
      </c>
      <c r="B469" s="296" t="s">
        <v>768</v>
      </c>
      <c r="C469" s="150" t="s">
        <v>1136</v>
      </c>
      <c r="D469" s="332" t="s">
        <v>1135</v>
      </c>
      <c r="E469" s="383" t="s">
        <v>1135</v>
      </c>
      <c r="F469" s="331" t="s">
        <v>1137</v>
      </c>
      <c r="G469" s="512" t="s">
        <v>639</v>
      </c>
      <c r="H469" s="393" t="s">
        <v>2406</v>
      </c>
      <c r="I469" s="343" t="s">
        <v>2343</v>
      </c>
      <c r="J469" s="150" t="s">
        <v>1171</v>
      </c>
      <c r="K469" s="91" t="s">
        <v>769</v>
      </c>
      <c r="L469" s="343"/>
      <c r="M469" s="346" t="s">
        <v>2339</v>
      </c>
      <c r="N469" s="346" t="s">
        <v>1710</v>
      </c>
      <c r="O469" s="386" t="s">
        <v>707</v>
      </c>
      <c r="P469" s="346" t="s">
        <v>1348</v>
      </c>
      <c r="Q469" s="437"/>
      <c r="R469" s="358">
        <v>626867.82999999996</v>
      </c>
      <c r="S469" s="378">
        <v>0</v>
      </c>
      <c r="T469" s="425"/>
      <c r="U469" s="71"/>
      <c r="V469" s="433"/>
      <c r="W469" s="434"/>
      <c r="X469" s="434"/>
      <c r="Y469" s="428" t="s">
        <v>1142</v>
      </c>
      <c r="Z469" s="429">
        <v>0</v>
      </c>
      <c r="AA469" s="429">
        <v>0</v>
      </c>
      <c r="AB469" s="363" t="e">
        <v>#N/A</v>
      </c>
      <c r="AC469" s="388">
        <v>0</v>
      </c>
      <c r="AD469" s="388">
        <v>0</v>
      </c>
      <c r="AE469" s="388">
        <v>0</v>
      </c>
      <c r="AF469" s="388">
        <v>0</v>
      </c>
      <c r="AG469" s="388">
        <v>0</v>
      </c>
      <c r="AH469" s="360" t="e">
        <f t="shared" si="26"/>
        <v>#N/A</v>
      </c>
      <c r="AI469" s="362" t="e">
        <f>ERP[[#This Row],[2026 Working Total]]-ERP[[#This Row],[LE2 Final Submission]]</f>
        <v>#N/A</v>
      </c>
      <c r="AJ469" s="79">
        <v>0</v>
      </c>
      <c r="AK469" s="79">
        <f t="shared" si="25"/>
        <v>0</v>
      </c>
      <c r="AL469" s="374">
        <f>SUM(ERP[[#This Row],[AP01]:[AP06]])-SUM(ERP[[#This Row],[AP01 LE2]:[AP06 LE2]])</f>
        <v>0</v>
      </c>
      <c r="AM469" s="80"/>
      <c r="AN469" s="79" t="e">
        <f>ERP[[#This Row],[2026 Working Total to Budget/LE]]-ERP[[#This Row],[Giveback]]</f>
        <v>#N/A</v>
      </c>
      <c r="AO469" s="81"/>
      <c r="AP469" s="375"/>
      <c r="AQ469" s="375"/>
      <c r="AR469" s="375"/>
      <c r="AS469" s="375">
        <v>0</v>
      </c>
      <c r="AT469" s="375">
        <v>0</v>
      </c>
      <c r="AU469" s="375">
        <v>0</v>
      </c>
      <c r="AV469" s="375">
        <v>0</v>
      </c>
      <c r="AW469" s="375">
        <v>0</v>
      </c>
      <c r="AX469" s="375">
        <v>0</v>
      </c>
      <c r="AY469" s="375">
        <v>0</v>
      </c>
      <c r="AZ469" s="375">
        <v>0</v>
      </c>
      <c r="BA469" s="375">
        <v>0</v>
      </c>
      <c r="BB469" s="375">
        <v>0</v>
      </c>
      <c r="BC469" s="103">
        <v>626867.82999999996</v>
      </c>
      <c r="BD469" s="103">
        <v>0</v>
      </c>
      <c r="BE469" s="103">
        <v>0</v>
      </c>
      <c r="BF469" s="103">
        <v>0</v>
      </c>
      <c r="BG469" s="103">
        <v>0</v>
      </c>
      <c r="BH469" s="103">
        <v>0</v>
      </c>
      <c r="BI469" s="103">
        <v>0</v>
      </c>
      <c r="BJ469" s="103">
        <v>0</v>
      </c>
      <c r="BK469" s="103">
        <v>0</v>
      </c>
      <c r="BL469" s="103">
        <v>0</v>
      </c>
      <c r="BM469" s="103">
        <v>0</v>
      </c>
      <c r="BN469" s="103">
        <v>0</v>
      </c>
      <c r="BO469" s="79">
        <f>SUM(ERP[[#This Row],[2026 AP01]:[2026 AP12]])</f>
        <v>626867.82999999996</v>
      </c>
    </row>
    <row r="470" spans="1:67" ht="15" customHeight="1">
      <c r="A470" s="79" t="s">
        <v>2407</v>
      </c>
      <c r="B470" s="296" t="s">
        <v>770</v>
      </c>
      <c r="C470" s="150" t="s">
        <v>1136</v>
      </c>
      <c r="D470" s="332" t="s">
        <v>1135</v>
      </c>
      <c r="E470" s="383" t="s">
        <v>1135</v>
      </c>
      <c r="F470" s="331" t="s">
        <v>1137</v>
      </c>
      <c r="G470" s="512" t="s">
        <v>639</v>
      </c>
      <c r="H470" s="393" t="s">
        <v>2408</v>
      </c>
      <c r="I470" s="343" t="s">
        <v>2343</v>
      </c>
      <c r="J470" s="150" t="s">
        <v>1171</v>
      </c>
      <c r="K470" s="91" t="s">
        <v>771</v>
      </c>
      <c r="L470" s="343"/>
      <c r="M470" s="346" t="s">
        <v>2339</v>
      </c>
      <c r="N470" s="346" t="s">
        <v>1710</v>
      </c>
      <c r="O470" s="386" t="s">
        <v>707</v>
      </c>
      <c r="P470" s="346" t="s">
        <v>1348</v>
      </c>
      <c r="Q470" s="437"/>
      <c r="R470" s="358">
        <v>-626867.82999999996</v>
      </c>
      <c r="S470" s="378">
        <v>0</v>
      </c>
      <c r="T470" s="430"/>
      <c r="U470" s="137"/>
      <c r="V470" s="433"/>
      <c r="W470" s="434"/>
      <c r="X470" s="434"/>
      <c r="Y470" s="428" t="s">
        <v>1142</v>
      </c>
      <c r="Z470" s="429">
        <v>0</v>
      </c>
      <c r="AA470" s="429">
        <v>0</v>
      </c>
      <c r="AB470" s="363" t="e">
        <v>#N/A</v>
      </c>
      <c r="AC470" s="388">
        <v>0</v>
      </c>
      <c r="AD470" s="388">
        <v>0</v>
      </c>
      <c r="AE470" s="388">
        <v>0</v>
      </c>
      <c r="AF470" s="388">
        <v>0</v>
      </c>
      <c r="AG470" s="388">
        <v>0</v>
      </c>
      <c r="AH470" s="360" t="e">
        <f t="shared" si="26"/>
        <v>#N/A</v>
      </c>
      <c r="AI470" s="362" t="e">
        <f>ERP[[#This Row],[2026 Working Total]]-ERP[[#This Row],[LE2 Final Submission]]</f>
        <v>#N/A</v>
      </c>
      <c r="AJ470" s="79">
        <v>0</v>
      </c>
      <c r="AK470" s="79">
        <f t="shared" si="25"/>
        <v>0</v>
      </c>
      <c r="AL470" s="374">
        <f>SUM(ERP[[#This Row],[AP01]:[AP06]])-SUM(ERP[[#This Row],[AP01 LE2]:[AP06 LE2]])</f>
        <v>0</v>
      </c>
      <c r="AM470" s="80"/>
      <c r="AN470" s="79" t="e">
        <f>ERP[[#This Row],[2026 Working Total to Budget/LE]]-ERP[[#This Row],[Giveback]]</f>
        <v>#N/A</v>
      </c>
      <c r="AO470" s="81"/>
      <c r="AP470" s="375"/>
      <c r="AQ470" s="375"/>
      <c r="AR470" s="375"/>
      <c r="AS470" s="375">
        <v>0</v>
      </c>
      <c r="AT470" s="375">
        <v>0</v>
      </c>
      <c r="AU470" s="375">
        <v>0</v>
      </c>
      <c r="AV470" s="375">
        <v>0</v>
      </c>
      <c r="AW470" s="375">
        <v>0</v>
      </c>
      <c r="AX470" s="375">
        <v>0</v>
      </c>
      <c r="AY470" s="375">
        <v>0</v>
      </c>
      <c r="AZ470" s="375">
        <v>0</v>
      </c>
      <c r="BA470" s="375">
        <v>0</v>
      </c>
      <c r="BB470" s="375">
        <v>0</v>
      </c>
      <c r="BC470" s="103">
        <v>-626867.82999999996</v>
      </c>
      <c r="BD470" s="103">
        <v>0</v>
      </c>
      <c r="BE470" s="103">
        <v>0</v>
      </c>
      <c r="BF470" s="103">
        <v>0</v>
      </c>
      <c r="BG470" s="103">
        <v>0</v>
      </c>
      <c r="BH470" s="103">
        <v>0</v>
      </c>
      <c r="BI470" s="103">
        <v>0</v>
      </c>
      <c r="BJ470" s="103">
        <v>0</v>
      </c>
      <c r="BK470" s="103">
        <v>0</v>
      </c>
      <c r="BL470" s="103">
        <v>0</v>
      </c>
      <c r="BM470" s="103">
        <v>0</v>
      </c>
      <c r="BN470" s="103">
        <v>0</v>
      </c>
      <c r="BO470" s="79">
        <f>SUM(ERP[[#This Row],[2026 AP01]:[2026 AP12]])</f>
        <v>-626867.82999999996</v>
      </c>
    </row>
    <row r="471" spans="1:67" ht="15" customHeight="1">
      <c r="A471" s="79" t="s">
        <v>2409</v>
      </c>
      <c r="B471" s="296" t="s">
        <v>772</v>
      </c>
      <c r="C471" s="150" t="s">
        <v>1136</v>
      </c>
      <c r="D471" s="332" t="s">
        <v>1135</v>
      </c>
      <c r="E471" s="383" t="s">
        <v>1135</v>
      </c>
      <c r="F471" s="331" t="s">
        <v>1137</v>
      </c>
      <c r="G471" s="512" t="s">
        <v>639</v>
      </c>
      <c r="H471" s="393" t="s">
        <v>2410</v>
      </c>
      <c r="I471" s="343" t="s">
        <v>2343</v>
      </c>
      <c r="J471" s="150" t="s">
        <v>1171</v>
      </c>
      <c r="K471" s="91" t="s">
        <v>773</v>
      </c>
      <c r="L471" s="343"/>
      <c r="M471" s="346" t="s">
        <v>2339</v>
      </c>
      <c r="N471" s="346" t="s">
        <v>1710</v>
      </c>
      <c r="O471" s="386" t="s">
        <v>707</v>
      </c>
      <c r="P471" s="346" t="s">
        <v>1348</v>
      </c>
      <c r="Q471" s="437"/>
      <c r="R471" s="358">
        <v>15713.16</v>
      </c>
      <c r="S471" s="378">
        <v>0</v>
      </c>
      <c r="T471" s="425"/>
      <c r="U471" s="71"/>
      <c r="V471" s="433"/>
      <c r="W471" s="434"/>
      <c r="X471" s="434"/>
      <c r="Y471" s="428" t="s">
        <v>1142</v>
      </c>
      <c r="Z471" s="429">
        <v>0</v>
      </c>
      <c r="AA471" s="429">
        <v>0</v>
      </c>
      <c r="AB471" s="363" t="e">
        <v>#N/A</v>
      </c>
      <c r="AC471" s="388">
        <v>0</v>
      </c>
      <c r="AD471" s="388">
        <v>0</v>
      </c>
      <c r="AE471" s="388">
        <v>0</v>
      </c>
      <c r="AF471" s="388">
        <v>0</v>
      </c>
      <c r="AG471" s="388">
        <v>0</v>
      </c>
      <c r="AH471" s="360" t="e">
        <f t="shared" si="26"/>
        <v>#N/A</v>
      </c>
      <c r="AI471" s="362" t="e">
        <f>ERP[[#This Row],[2026 Working Total]]-ERP[[#This Row],[LE2 Final Submission]]</f>
        <v>#N/A</v>
      </c>
      <c r="AJ471" s="79">
        <v>0</v>
      </c>
      <c r="AK471" s="79">
        <f t="shared" si="25"/>
        <v>0</v>
      </c>
      <c r="AL471" s="374">
        <f>SUM(ERP[[#This Row],[AP01]:[AP06]])-SUM(ERP[[#This Row],[AP01 LE2]:[AP06 LE2]])</f>
        <v>0</v>
      </c>
      <c r="AM471" s="80"/>
      <c r="AN471" s="79" t="e">
        <f>ERP[[#This Row],[2026 Working Total to Budget/LE]]-ERP[[#This Row],[Giveback]]</f>
        <v>#N/A</v>
      </c>
      <c r="AO471" s="81"/>
      <c r="AP471" s="375"/>
      <c r="AQ471" s="375"/>
      <c r="AR471" s="375"/>
      <c r="AS471" s="375">
        <v>0</v>
      </c>
      <c r="AT471" s="375">
        <v>0</v>
      </c>
      <c r="AU471" s="375">
        <v>0</v>
      </c>
      <c r="AV471" s="375">
        <v>0</v>
      </c>
      <c r="AW471" s="375">
        <v>0</v>
      </c>
      <c r="AX471" s="375">
        <v>0</v>
      </c>
      <c r="AY471" s="375">
        <v>0</v>
      </c>
      <c r="AZ471" s="375">
        <v>0</v>
      </c>
      <c r="BA471" s="375">
        <v>0</v>
      </c>
      <c r="BB471" s="375">
        <v>0</v>
      </c>
      <c r="BC471" s="103">
        <v>15713.16</v>
      </c>
      <c r="BD471" s="103">
        <v>0</v>
      </c>
      <c r="BE471" s="103">
        <v>0</v>
      </c>
      <c r="BF471" s="103">
        <v>0</v>
      </c>
      <c r="BG471" s="103">
        <v>0</v>
      </c>
      <c r="BH471" s="103">
        <v>0</v>
      </c>
      <c r="BI471" s="103">
        <v>0</v>
      </c>
      <c r="BJ471" s="103">
        <v>0</v>
      </c>
      <c r="BK471" s="103">
        <v>0</v>
      </c>
      <c r="BL471" s="103">
        <v>0</v>
      </c>
      <c r="BM471" s="103">
        <v>0</v>
      </c>
      <c r="BN471" s="103">
        <v>0</v>
      </c>
      <c r="BO471" s="79">
        <f>SUM(ERP[[#This Row],[2026 AP01]:[2026 AP12]])</f>
        <v>15713.16</v>
      </c>
    </row>
    <row r="472" spans="1:67" ht="15" customHeight="1">
      <c r="A472" s="79" t="s">
        <v>2411</v>
      </c>
      <c r="B472" s="296" t="s">
        <v>774</v>
      </c>
      <c r="C472" s="150" t="s">
        <v>1136</v>
      </c>
      <c r="D472" s="332" t="s">
        <v>1135</v>
      </c>
      <c r="E472" s="383" t="s">
        <v>1135</v>
      </c>
      <c r="F472" s="331" t="s">
        <v>1137</v>
      </c>
      <c r="G472" s="512" t="s">
        <v>639</v>
      </c>
      <c r="H472" s="393" t="s">
        <v>2412</v>
      </c>
      <c r="I472" s="343" t="s">
        <v>2343</v>
      </c>
      <c r="J472" s="150" t="s">
        <v>1171</v>
      </c>
      <c r="K472" s="91" t="s">
        <v>775</v>
      </c>
      <c r="L472" s="343"/>
      <c r="M472" s="346" t="s">
        <v>2339</v>
      </c>
      <c r="N472" s="346" t="s">
        <v>1710</v>
      </c>
      <c r="O472" s="386" t="s">
        <v>707</v>
      </c>
      <c r="P472" s="346" t="s">
        <v>1348</v>
      </c>
      <c r="Q472" s="437"/>
      <c r="R472" s="358">
        <v>-15713.16</v>
      </c>
      <c r="S472" s="378">
        <v>0</v>
      </c>
      <c r="T472" s="425"/>
      <c r="U472" s="71"/>
      <c r="V472" s="433"/>
      <c r="W472" s="434"/>
      <c r="X472" s="434"/>
      <c r="Y472" s="428" t="s">
        <v>1142</v>
      </c>
      <c r="Z472" s="429">
        <v>0</v>
      </c>
      <c r="AA472" s="429">
        <v>0</v>
      </c>
      <c r="AB472" s="363" t="e">
        <v>#N/A</v>
      </c>
      <c r="AC472" s="388">
        <v>0</v>
      </c>
      <c r="AD472" s="388">
        <v>0</v>
      </c>
      <c r="AE472" s="388">
        <v>0</v>
      </c>
      <c r="AF472" s="388">
        <v>0</v>
      </c>
      <c r="AG472" s="388">
        <v>0</v>
      </c>
      <c r="AH472" s="360" t="e">
        <f t="shared" si="26"/>
        <v>#N/A</v>
      </c>
      <c r="AI472" s="362" t="e">
        <f>ERP[[#This Row],[2026 Working Total]]-ERP[[#This Row],[LE2 Final Submission]]</f>
        <v>#N/A</v>
      </c>
      <c r="AJ472" s="79">
        <v>0</v>
      </c>
      <c r="AK472" s="79">
        <f t="shared" si="25"/>
        <v>0</v>
      </c>
      <c r="AL472" s="374">
        <f>SUM(ERP[[#This Row],[AP01]:[AP06]])-SUM(ERP[[#This Row],[AP01 LE2]:[AP06 LE2]])</f>
        <v>0</v>
      </c>
      <c r="AM472" s="80"/>
      <c r="AN472" s="79" t="e">
        <f>ERP[[#This Row],[2026 Working Total to Budget/LE]]-ERP[[#This Row],[Giveback]]</f>
        <v>#N/A</v>
      </c>
      <c r="AO472" s="81"/>
      <c r="AP472" s="375"/>
      <c r="AQ472" s="375"/>
      <c r="AR472" s="375"/>
      <c r="AS472" s="375">
        <v>0</v>
      </c>
      <c r="AT472" s="375">
        <v>0</v>
      </c>
      <c r="AU472" s="375">
        <v>0</v>
      </c>
      <c r="AV472" s="375">
        <v>0</v>
      </c>
      <c r="AW472" s="375">
        <v>0</v>
      </c>
      <c r="AX472" s="375">
        <v>0</v>
      </c>
      <c r="AY472" s="375">
        <v>0</v>
      </c>
      <c r="AZ472" s="375">
        <v>0</v>
      </c>
      <c r="BA472" s="375">
        <v>0</v>
      </c>
      <c r="BB472" s="375">
        <v>0</v>
      </c>
      <c r="BC472" s="103">
        <v>-15713.16</v>
      </c>
      <c r="BD472" s="103">
        <v>0</v>
      </c>
      <c r="BE472" s="103">
        <v>0</v>
      </c>
      <c r="BF472" s="103">
        <v>0</v>
      </c>
      <c r="BG472" s="103">
        <v>0</v>
      </c>
      <c r="BH472" s="103">
        <v>0</v>
      </c>
      <c r="BI472" s="103">
        <v>0</v>
      </c>
      <c r="BJ472" s="103">
        <v>0</v>
      </c>
      <c r="BK472" s="103">
        <v>0</v>
      </c>
      <c r="BL472" s="103">
        <v>0</v>
      </c>
      <c r="BM472" s="103">
        <v>0</v>
      </c>
      <c r="BN472" s="103">
        <v>0</v>
      </c>
      <c r="BO472" s="79">
        <f>SUM(ERP[[#This Row],[2026 AP01]:[2026 AP12]])</f>
        <v>-15713.16</v>
      </c>
    </row>
    <row r="473" spans="1:67" ht="15" customHeight="1">
      <c r="A473" s="79" t="s">
        <v>2413</v>
      </c>
      <c r="B473" s="296" t="s">
        <v>776</v>
      </c>
      <c r="C473" s="150" t="s">
        <v>1136</v>
      </c>
      <c r="D473" s="332" t="s">
        <v>1135</v>
      </c>
      <c r="E473" s="383" t="s">
        <v>1135</v>
      </c>
      <c r="F473" s="331" t="s">
        <v>1137</v>
      </c>
      <c r="G473" s="512" t="s">
        <v>639</v>
      </c>
      <c r="H473" s="393" t="s">
        <v>2414</v>
      </c>
      <c r="I473" s="343" t="s">
        <v>2343</v>
      </c>
      <c r="J473" s="150" t="s">
        <v>1171</v>
      </c>
      <c r="K473" s="91" t="s">
        <v>777</v>
      </c>
      <c r="L473" s="343"/>
      <c r="M473" s="346" t="s">
        <v>2339</v>
      </c>
      <c r="N473" s="346" t="s">
        <v>1710</v>
      </c>
      <c r="O473" s="386" t="s">
        <v>707</v>
      </c>
      <c r="P473" s="346" t="s">
        <v>1348</v>
      </c>
      <c r="Q473" s="437"/>
      <c r="R473" s="358">
        <v>930750</v>
      </c>
      <c r="S473" s="378">
        <v>0</v>
      </c>
      <c r="T473" s="430"/>
      <c r="U473" s="137"/>
      <c r="V473" s="433"/>
      <c r="W473" s="434"/>
      <c r="X473" s="434"/>
      <c r="Y473" s="428" t="s">
        <v>1142</v>
      </c>
      <c r="Z473" s="429">
        <v>0</v>
      </c>
      <c r="AA473" s="429">
        <v>0</v>
      </c>
      <c r="AB473" s="363" t="e">
        <v>#N/A</v>
      </c>
      <c r="AC473" s="388">
        <v>0</v>
      </c>
      <c r="AD473" s="388">
        <v>0</v>
      </c>
      <c r="AE473" s="388">
        <v>0</v>
      </c>
      <c r="AF473" s="388">
        <v>0</v>
      </c>
      <c r="AG473" s="388">
        <v>0</v>
      </c>
      <c r="AH473" s="360" t="e">
        <f t="shared" si="26"/>
        <v>#N/A</v>
      </c>
      <c r="AI473" s="362" t="e">
        <f>ERP[[#This Row],[2026 Working Total]]-ERP[[#This Row],[LE2 Final Submission]]</f>
        <v>#N/A</v>
      </c>
      <c r="AJ473" s="79">
        <v>0</v>
      </c>
      <c r="AK473" s="79">
        <f t="shared" si="25"/>
        <v>0</v>
      </c>
      <c r="AL473" s="374">
        <f>SUM(ERP[[#This Row],[AP01]:[AP06]])-SUM(ERP[[#This Row],[AP01 LE2]:[AP06 LE2]])</f>
        <v>0</v>
      </c>
      <c r="AM473" s="80"/>
      <c r="AN473" s="79" t="e">
        <f>ERP[[#This Row],[2026 Working Total to Budget/LE]]-ERP[[#This Row],[Giveback]]</f>
        <v>#N/A</v>
      </c>
      <c r="AO473" s="81"/>
      <c r="AP473" s="375"/>
      <c r="AQ473" s="375"/>
      <c r="AR473" s="375"/>
      <c r="AS473" s="375">
        <v>0</v>
      </c>
      <c r="AT473" s="375">
        <v>0</v>
      </c>
      <c r="AU473" s="375">
        <v>0</v>
      </c>
      <c r="AV473" s="375">
        <v>0</v>
      </c>
      <c r="AW473" s="375">
        <v>0</v>
      </c>
      <c r="AX473" s="375">
        <v>0</v>
      </c>
      <c r="AY473" s="375">
        <v>0</v>
      </c>
      <c r="AZ473" s="375">
        <v>0</v>
      </c>
      <c r="BA473" s="375">
        <v>0</v>
      </c>
      <c r="BB473" s="375">
        <v>0</v>
      </c>
      <c r="BC473" s="103">
        <v>930750</v>
      </c>
      <c r="BD473" s="103">
        <v>0</v>
      </c>
      <c r="BE473" s="103">
        <v>0</v>
      </c>
      <c r="BF473" s="103">
        <v>0</v>
      </c>
      <c r="BG473" s="103">
        <v>0</v>
      </c>
      <c r="BH473" s="103">
        <v>0</v>
      </c>
      <c r="BI473" s="103">
        <v>0</v>
      </c>
      <c r="BJ473" s="103">
        <v>0</v>
      </c>
      <c r="BK473" s="103">
        <v>0</v>
      </c>
      <c r="BL473" s="103">
        <v>0</v>
      </c>
      <c r="BM473" s="103">
        <v>0</v>
      </c>
      <c r="BN473" s="103">
        <v>0</v>
      </c>
      <c r="BO473" s="79">
        <f>SUM(ERP[[#This Row],[2026 AP01]:[2026 AP12]])</f>
        <v>930750</v>
      </c>
    </row>
    <row r="474" spans="1:67" ht="15" customHeight="1">
      <c r="A474" s="79" t="s">
        <v>2415</v>
      </c>
      <c r="B474" s="296" t="s">
        <v>778</v>
      </c>
      <c r="C474" s="150" t="s">
        <v>1136</v>
      </c>
      <c r="D474" s="332" t="s">
        <v>1135</v>
      </c>
      <c r="E474" s="383" t="s">
        <v>1135</v>
      </c>
      <c r="F474" s="331" t="s">
        <v>1137</v>
      </c>
      <c r="G474" s="512" t="s">
        <v>639</v>
      </c>
      <c r="H474" s="393" t="s">
        <v>2416</v>
      </c>
      <c r="I474" s="343" t="s">
        <v>2343</v>
      </c>
      <c r="J474" s="150" t="s">
        <v>1171</v>
      </c>
      <c r="K474" s="91" t="s">
        <v>779</v>
      </c>
      <c r="L474" s="343"/>
      <c r="M474" s="346" t="s">
        <v>2339</v>
      </c>
      <c r="N474" s="346" t="s">
        <v>1710</v>
      </c>
      <c r="O474" s="386" t="s">
        <v>707</v>
      </c>
      <c r="P474" s="346" t="s">
        <v>1348</v>
      </c>
      <c r="Q474" s="437"/>
      <c r="R474" s="358">
        <v>-930750</v>
      </c>
      <c r="S474" s="378">
        <v>0</v>
      </c>
      <c r="T474" s="425"/>
      <c r="U474" s="71"/>
      <c r="V474" s="433"/>
      <c r="W474" s="434"/>
      <c r="X474" s="434"/>
      <c r="Y474" s="428" t="s">
        <v>1142</v>
      </c>
      <c r="Z474" s="429">
        <v>0</v>
      </c>
      <c r="AA474" s="429">
        <v>0</v>
      </c>
      <c r="AB474" s="363" t="e">
        <v>#N/A</v>
      </c>
      <c r="AC474" s="388">
        <v>0</v>
      </c>
      <c r="AD474" s="388">
        <v>0</v>
      </c>
      <c r="AE474" s="388">
        <v>0</v>
      </c>
      <c r="AF474" s="388">
        <v>0</v>
      </c>
      <c r="AG474" s="388">
        <v>0</v>
      </c>
      <c r="AH474" s="360" t="e">
        <f t="shared" si="26"/>
        <v>#N/A</v>
      </c>
      <c r="AI474" s="362" t="e">
        <f>ERP[[#This Row],[2026 Working Total]]-ERP[[#This Row],[LE2 Final Submission]]</f>
        <v>#N/A</v>
      </c>
      <c r="AJ474" s="79">
        <v>0</v>
      </c>
      <c r="AK474" s="79">
        <f t="shared" si="25"/>
        <v>0</v>
      </c>
      <c r="AL474" s="374">
        <f>SUM(ERP[[#This Row],[AP01]:[AP06]])-SUM(ERP[[#This Row],[AP01 LE2]:[AP06 LE2]])</f>
        <v>0</v>
      </c>
      <c r="AM474" s="80"/>
      <c r="AN474" s="79" t="e">
        <f>ERP[[#This Row],[2026 Working Total to Budget/LE]]-ERP[[#This Row],[Giveback]]</f>
        <v>#N/A</v>
      </c>
      <c r="AO474" s="81"/>
      <c r="AP474" s="375"/>
      <c r="AQ474" s="375"/>
      <c r="AR474" s="375"/>
      <c r="AS474" s="375">
        <v>0</v>
      </c>
      <c r="AT474" s="375">
        <v>0</v>
      </c>
      <c r="AU474" s="375">
        <v>0</v>
      </c>
      <c r="AV474" s="375">
        <v>0</v>
      </c>
      <c r="AW474" s="375">
        <v>0</v>
      </c>
      <c r="AX474" s="375">
        <v>0</v>
      </c>
      <c r="AY474" s="375">
        <v>0</v>
      </c>
      <c r="AZ474" s="375">
        <v>0</v>
      </c>
      <c r="BA474" s="375">
        <v>0</v>
      </c>
      <c r="BB474" s="375">
        <v>0</v>
      </c>
      <c r="BC474" s="103">
        <v>-930750</v>
      </c>
      <c r="BD474" s="103">
        <v>0</v>
      </c>
      <c r="BE474" s="103">
        <v>0</v>
      </c>
      <c r="BF474" s="103">
        <v>0</v>
      </c>
      <c r="BG474" s="103">
        <v>0</v>
      </c>
      <c r="BH474" s="103">
        <v>0</v>
      </c>
      <c r="BI474" s="103">
        <v>0</v>
      </c>
      <c r="BJ474" s="103">
        <v>0</v>
      </c>
      <c r="BK474" s="103">
        <v>0</v>
      </c>
      <c r="BL474" s="103">
        <v>0</v>
      </c>
      <c r="BM474" s="103">
        <v>0</v>
      </c>
      <c r="BN474" s="103">
        <v>0</v>
      </c>
      <c r="BO474" s="79">
        <f>SUM(ERP[[#This Row],[2026 AP01]:[2026 AP12]])</f>
        <v>-930750</v>
      </c>
    </row>
    <row r="475" spans="1:67" ht="15" customHeight="1">
      <c r="A475" s="79" t="s">
        <v>2417</v>
      </c>
      <c r="B475" s="296" t="s">
        <v>780</v>
      </c>
      <c r="C475" s="150" t="s">
        <v>1136</v>
      </c>
      <c r="D475" s="332" t="s">
        <v>1135</v>
      </c>
      <c r="E475" s="383" t="s">
        <v>1135</v>
      </c>
      <c r="F475" s="331" t="s">
        <v>1137</v>
      </c>
      <c r="G475" s="512" t="s">
        <v>639</v>
      </c>
      <c r="H475" s="393" t="s">
        <v>2418</v>
      </c>
      <c r="I475" s="343" t="s">
        <v>2343</v>
      </c>
      <c r="J475" s="150" t="s">
        <v>1171</v>
      </c>
      <c r="K475" s="91" t="s">
        <v>781</v>
      </c>
      <c r="L475" s="343"/>
      <c r="M475" s="346" t="s">
        <v>2339</v>
      </c>
      <c r="N475" s="346" t="s">
        <v>1710</v>
      </c>
      <c r="O475" s="386" t="s">
        <v>707</v>
      </c>
      <c r="P475" s="346" t="s">
        <v>1348</v>
      </c>
      <c r="Q475" s="437"/>
      <c r="R475" s="358">
        <v>9567</v>
      </c>
      <c r="S475" s="378">
        <v>0</v>
      </c>
      <c r="T475" s="425"/>
      <c r="U475" s="71"/>
      <c r="V475" s="433"/>
      <c r="W475" s="434"/>
      <c r="X475" s="434"/>
      <c r="Y475" s="428" t="s">
        <v>1142</v>
      </c>
      <c r="Z475" s="429">
        <v>0</v>
      </c>
      <c r="AA475" s="429">
        <v>0</v>
      </c>
      <c r="AB475" s="363" t="e">
        <v>#N/A</v>
      </c>
      <c r="AC475" s="388">
        <v>0</v>
      </c>
      <c r="AD475" s="388">
        <v>0</v>
      </c>
      <c r="AE475" s="388">
        <v>0</v>
      </c>
      <c r="AF475" s="388">
        <v>0</v>
      </c>
      <c r="AG475" s="388">
        <v>0</v>
      </c>
      <c r="AH475" s="360" t="e">
        <f t="shared" si="26"/>
        <v>#N/A</v>
      </c>
      <c r="AI475" s="362" t="e">
        <f>ERP[[#This Row],[2026 Working Total]]-ERP[[#This Row],[LE2 Final Submission]]</f>
        <v>#N/A</v>
      </c>
      <c r="AJ475" s="79">
        <v>0</v>
      </c>
      <c r="AK475" s="79">
        <f t="shared" si="25"/>
        <v>0</v>
      </c>
      <c r="AL475" s="374">
        <f>SUM(ERP[[#This Row],[AP01]:[AP06]])-SUM(ERP[[#This Row],[AP01 LE2]:[AP06 LE2]])</f>
        <v>0</v>
      </c>
      <c r="AM475" s="80"/>
      <c r="AN475" s="79" t="e">
        <f>ERP[[#This Row],[2026 Working Total to Budget/LE]]-ERP[[#This Row],[Giveback]]</f>
        <v>#N/A</v>
      </c>
      <c r="AO475" s="81"/>
      <c r="AP475" s="375"/>
      <c r="AQ475" s="375"/>
      <c r="AR475" s="375"/>
      <c r="AS475" s="375">
        <v>0</v>
      </c>
      <c r="AT475" s="375">
        <v>0</v>
      </c>
      <c r="AU475" s="375">
        <v>0</v>
      </c>
      <c r="AV475" s="375">
        <v>0</v>
      </c>
      <c r="AW475" s="375">
        <v>0</v>
      </c>
      <c r="AX475" s="375">
        <v>0</v>
      </c>
      <c r="AY475" s="375">
        <v>0</v>
      </c>
      <c r="AZ475" s="375">
        <v>0</v>
      </c>
      <c r="BA475" s="375">
        <v>0</v>
      </c>
      <c r="BB475" s="375">
        <v>0</v>
      </c>
      <c r="BC475" s="103">
        <v>9567</v>
      </c>
      <c r="BD475" s="103">
        <v>0</v>
      </c>
      <c r="BE475" s="103">
        <v>0</v>
      </c>
      <c r="BF475" s="103">
        <v>0</v>
      </c>
      <c r="BG475" s="103">
        <v>0</v>
      </c>
      <c r="BH475" s="103">
        <v>0</v>
      </c>
      <c r="BI475" s="103">
        <v>0</v>
      </c>
      <c r="BJ475" s="103">
        <v>0</v>
      </c>
      <c r="BK475" s="103">
        <v>0</v>
      </c>
      <c r="BL475" s="103">
        <v>0</v>
      </c>
      <c r="BM475" s="103">
        <v>0</v>
      </c>
      <c r="BN475" s="103">
        <v>0</v>
      </c>
      <c r="BO475" s="79">
        <f>SUM(ERP[[#This Row],[2026 AP01]:[2026 AP12]])</f>
        <v>9567</v>
      </c>
    </row>
    <row r="476" spans="1:67" ht="15" customHeight="1">
      <c r="A476" s="79" t="s">
        <v>2419</v>
      </c>
      <c r="B476" s="296" t="s">
        <v>782</v>
      </c>
      <c r="C476" s="150" t="s">
        <v>1136</v>
      </c>
      <c r="D476" s="332" t="s">
        <v>1135</v>
      </c>
      <c r="E476" s="383" t="s">
        <v>1135</v>
      </c>
      <c r="F476" s="331" t="s">
        <v>1137</v>
      </c>
      <c r="G476" s="512" t="s">
        <v>639</v>
      </c>
      <c r="H476" s="393" t="s">
        <v>2420</v>
      </c>
      <c r="I476" s="343" t="s">
        <v>2343</v>
      </c>
      <c r="J476" s="150" t="s">
        <v>1171</v>
      </c>
      <c r="K476" s="91" t="s">
        <v>783</v>
      </c>
      <c r="L476" s="343"/>
      <c r="M476" s="346" t="s">
        <v>2339</v>
      </c>
      <c r="N476" s="346" t="s">
        <v>1710</v>
      </c>
      <c r="O476" s="386" t="s">
        <v>707</v>
      </c>
      <c r="P476" s="346" t="s">
        <v>1348</v>
      </c>
      <c r="Q476" s="437"/>
      <c r="R476" s="358">
        <v>-9567</v>
      </c>
      <c r="S476" s="378">
        <v>0</v>
      </c>
      <c r="T476" s="430"/>
      <c r="U476" s="137"/>
      <c r="V476" s="433"/>
      <c r="W476" s="434"/>
      <c r="X476" s="434"/>
      <c r="Y476" s="428" t="s">
        <v>1142</v>
      </c>
      <c r="Z476" s="429">
        <v>0</v>
      </c>
      <c r="AA476" s="429">
        <v>0</v>
      </c>
      <c r="AB476" s="363" t="e">
        <v>#N/A</v>
      </c>
      <c r="AC476" s="388">
        <v>0</v>
      </c>
      <c r="AD476" s="388">
        <v>0</v>
      </c>
      <c r="AE476" s="388">
        <v>0</v>
      </c>
      <c r="AF476" s="388">
        <v>0</v>
      </c>
      <c r="AG476" s="388">
        <v>0</v>
      </c>
      <c r="AH476" s="360" t="e">
        <f t="shared" si="26"/>
        <v>#N/A</v>
      </c>
      <c r="AI476" s="362" t="e">
        <f>ERP[[#This Row],[2026 Working Total]]-ERP[[#This Row],[LE2 Final Submission]]</f>
        <v>#N/A</v>
      </c>
      <c r="AJ476" s="79">
        <v>0</v>
      </c>
      <c r="AK476" s="79">
        <f t="shared" si="25"/>
        <v>0</v>
      </c>
      <c r="AL476" s="374">
        <f>SUM(ERP[[#This Row],[AP01]:[AP06]])-SUM(ERP[[#This Row],[AP01 LE2]:[AP06 LE2]])</f>
        <v>0</v>
      </c>
      <c r="AM476" s="80"/>
      <c r="AN476" s="79" t="e">
        <f>ERP[[#This Row],[2026 Working Total to Budget/LE]]-ERP[[#This Row],[Giveback]]</f>
        <v>#N/A</v>
      </c>
      <c r="AO476" s="81"/>
      <c r="AP476" s="375"/>
      <c r="AQ476" s="375"/>
      <c r="AR476" s="375"/>
      <c r="AS476" s="375">
        <v>0</v>
      </c>
      <c r="AT476" s="375">
        <v>0</v>
      </c>
      <c r="AU476" s="375">
        <v>0</v>
      </c>
      <c r="AV476" s="375">
        <v>0</v>
      </c>
      <c r="AW476" s="375">
        <v>0</v>
      </c>
      <c r="AX476" s="375">
        <v>0</v>
      </c>
      <c r="AY476" s="375">
        <v>0</v>
      </c>
      <c r="AZ476" s="375">
        <v>0</v>
      </c>
      <c r="BA476" s="375">
        <v>0</v>
      </c>
      <c r="BB476" s="375">
        <v>0</v>
      </c>
      <c r="BC476" s="103">
        <v>-9567</v>
      </c>
      <c r="BD476" s="103">
        <v>0</v>
      </c>
      <c r="BE476" s="103">
        <v>0</v>
      </c>
      <c r="BF476" s="103">
        <v>0</v>
      </c>
      <c r="BG476" s="103">
        <v>0</v>
      </c>
      <c r="BH476" s="103">
        <v>0</v>
      </c>
      <c r="BI476" s="103">
        <v>0</v>
      </c>
      <c r="BJ476" s="103">
        <v>0</v>
      </c>
      <c r="BK476" s="103">
        <v>0</v>
      </c>
      <c r="BL476" s="103">
        <v>0</v>
      </c>
      <c r="BM476" s="103">
        <v>0</v>
      </c>
      <c r="BN476" s="103">
        <v>0</v>
      </c>
      <c r="BO476" s="79">
        <f>SUM(ERP[[#This Row],[2026 AP01]:[2026 AP12]])</f>
        <v>-9567</v>
      </c>
    </row>
    <row r="477" spans="1:67" ht="15" customHeight="1">
      <c r="A477" s="66" t="s">
        <v>2421</v>
      </c>
      <c r="B477" s="66" t="s">
        <v>784</v>
      </c>
      <c r="C477" s="150" t="s">
        <v>1136</v>
      </c>
      <c r="D477" s="150" t="s">
        <v>1135</v>
      </c>
      <c r="E477" s="150" t="s">
        <v>1135</v>
      </c>
      <c r="F477" s="150" t="s">
        <v>1137</v>
      </c>
      <c r="G477" s="511" t="s">
        <v>639</v>
      </c>
      <c r="H477" s="392" t="s">
        <v>2422</v>
      </c>
      <c r="I477" s="343"/>
      <c r="J477" s="343"/>
      <c r="K477" s="70" t="s">
        <v>785</v>
      </c>
      <c r="L477" s="346"/>
      <c r="M477" s="343"/>
      <c r="N477" s="346"/>
      <c r="O477" s="150" t="s">
        <v>67</v>
      </c>
      <c r="P477" s="150"/>
      <c r="Q477" s="403"/>
      <c r="R477" s="406">
        <v>-551382.25</v>
      </c>
      <c r="S477" s="406">
        <v>-551382.25</v>
      </c>
      <c r="T477" s="425"/>
      <c r="U477" s="71"/>
      <c r="V477" s="426"/>
      <c r="W477" s="427"/>
      <c r="X477" s="427">
        <v>-551382.25</v>
      </c>
      <c r="Y477" s="428" t="s">
        <v>1142</v>
      </c>
      <c r="Z477" s="429">
        <v>0</v>
      </c>
      <c r="AA477" s="429">
        <v>0</v>
      </c>
      <c r="AB477" s="363" t="e">
        <v>#N/A</v>
      </c>
      <c r="AC477" s="360">
        <v>0</v>
      </c>
      <c r="AD477" s="360">
        <v>0</v>
      </c>
      <c r="AE477" s="360">
        <v>0</v>
      </c>
      <c r="AF477" s="360">
        <v>0</v>
      </c>
      <c r="AG477" s="360">
        <v>0</v>
      </c>
      <c r="AH477" s="360" t="e">
        <f t="shared" si="26"/>
        <v>#N/A</v>
      </c>
      <c r="AI477" s="362" t="e">
        <f>ERP[[#This Row],[2026 Working Total]]-ERP[[#This Row],[LE2 Final Submission]]</f>
        <v>#N/A</v>
      </c>
      <c r="AJ477" s="79">
        <v>0</v>
      </c>
      <c r="AK477" s="79">
        <f t="shared" si="25"/>
        <v>0</v>
      </c>
      <c r="AL477" s="374">
        <f>SUM(ERP[[#This Row],[AP01]:[AP06]])-SUM(ERP[[#This Row],[AP01 LE2]:[AP06 LE2]])</f>
        <v>0</v>
      </c>
      <c r="AM477" s="80"/>
      <c r="AN477" s="79" t="e">
        <f>ERP[[#This Row],[2026 Working Total to Budget/LE]]-ERP[[#This Row],[Giveback]]</f>
        <v>#N/A</v>
      </c>
      <c r="AO477" s="81"/>
      <c r="AP477" s="375"/>
      <c r="AQ477" s="375"/>
      <c r="AR477" s="375">
        <v>-551382.25</v>
      </c>
      <c r="AS477" s="375">
        <v>0</v>
      </c>
      <c r="AT477" s="375">
        <v>0</v>
      </c>
      <c r="AU477" s="375">
        <v>0</v>
      </c>
      <c r="AV477" s="375">
        <v>0</v>
      </c>
      <c r="AW477" s="375">
        <v>0</v>
      </c>
      <c r="AX477" s="375">
        <v>0</v>
      </c>
      <c r="AY477" s="375">
        <v>0</v>
      </c>
      <c r="AZ477" s="375">
        <v>0</v>
      </c>
      <c r="BA477" s="375">
        <v>0</v>
      </c>
      <c r="BB477" s="375">
        <v>-551382.25</v>
      </c>
      <c r="BC477" s="79"/>
      <c r="BD477" s="79"/>
      <c r="BE477" s="79">
        <v>-551382.25</v>
      </c>
      <c r="BF477" s="79">
        <v>0</v>
      </c>
      <c r="BG477" s="79">
        <v>0</v>
      </c>
      <c r="BH477" s="79">
        <v>0</v>
      </c>
      <c r="BI477" s="79">
        <v>0</v>
      </c>
      <c r="BJ477" s="79">
        <v>0</v>
      </c>
      <c r="BK477" s="79">
        <v>0</v>
      </c>
      <c r="BL477" s="79">
        <v>0</v>
      </c>
      <c r="BM477" s="79">
        <v>0</v>
      </c>
      <c r="BN477" s="79">
        <v>0</v>
      </c>
      <c r="BO477" s="79">
        <v>-551382.25</v>
      </c>
    </row>
    <row r="478" spans="1:67" ht="15" customHeight="1">
      <c r="A478" s="66" t="s">
        <v>2148</v>
      </c>
      <c r="B478" s="66" t="s">
        <v>603</v>
      </c>
      <c r="C478" s="150" t="s">
        <v>1136</v>
      </c>
      <c r="D478" s="150" t="s">
        <v>1135</v>
      </c>
      <c r="E478" s="150" t="s">
        <v>1135</v>
      </c>
      <c r="F478" s="150" t="s">
        <v>1137</v>
      </c>
      <c r="G478" s="511" t="s">
        <v>602</v>
      </c>
      <c r="H478" s="392" t="s">
        <v>2149</v>
      </c>
      <c r="I478" s="343"/>
      <c r="J478" s="343"/>
      <c r="K478" s="70" t="s">
        <v>604</v>
      </c>
      <c r="L478" s="346"/>
      <c r="M478" s="343"/>
      <c r="N478" s="346"/>
      <c r="O478" s="150" t="s">
        <v>605</v>
      </c>
      <c r="P478" s="150"/>
      <c r="Q478" s="404"/>
      <c r="R478" s="407">
        <v>0</v>
      </c>
      <c r="S478" s="407">
        <v>0</v>
      </c>
      <c r="T478" s="425"/>
      <c r="U478" s="71"/>
      <c r="V478" s="426">
        <v>4356992.08</v>
      </c>
      <c r="W478" s="427">
        <v>-4356992.08</v>
      </c>
      <c r="X478" s="427"/>
      <c r="Y478" s="428" t="s">
        <v>1142</v>
      </c>
      <c r="Z478" s="429">
        <v>0</v>
      </c>
      <c r="AA478" s="429">
        <v>0</v>
      </c>
      <c r="AB478" s="363" t="e">
        <v>#N/A</v>
      </c>
      <c r="AC478" s="363"/>
      <c r="AD478" s="363"/>
      <c r="AE478" s="363"/>
      <c r="AF478" s="363"/>
      <c r="AG478" s="363"/>
      <c r="AH478" s="360" t="e">
        <f t="shared" si="26"/>
        <v>#N/A</v>
      </c>
      <c r="AI478" s="362" t="e">
        <f>ERP[[#This Row],[2026 Working Total]]-ERP[[#This Row],[LE2 Final Submission]]</f>
        <v>#N/A</v>
      </c>
      <c r="AJ478" s="79"/>
      <c r="AK478" s="79">
        <f t="shared" si="25"/>
        <v>0</v>
      </c>
      <c r="AL478" s="374">
        <f>SUM(ERP[[#This Row],[AP01]:[AP06]])-SUM(ERP[[#This Row],[AP01 LE2]:[AP06 LE2]])</f>
        <v>0</v>
      </c>
      <c r="AM478" s="80"/>
      <c r="AN478" s="79" t="e">
        <f>ERP[[#This Row],[2026 Working Total to Budget/LE]]-ERP[[#This Row],[Giveback]]</f>
        <v>#N/A</v>
      </c>
      <c r="AO478" s="81"/>
      <c r="AP478" s="375">
        <v>4356992.08</v>
      </c>
      <c r="AQ478" s="375">
        <v>-4356992.08</v>
      </c>
      <c r="AR478" s="375"/>
      <c r="AS478" s="375"/>
      <c r="AT478" s="375"/>
      <c r="AU478" s="375"/>
      <c r="AV478" s="375"/>
      <c r="AW478" s="375"/>
      <c r="AX478" s="375"/>
      <c r="AY478" s="375"/>
      <c r="AZ478" s="375"/>
      <c r="BA478" s="375"/>
      <c r="BB478" s="375">
        <v>0</v>
      </c>
      <c r="BC478" s="79">
        <v>4356992.08</v>
      </c>
      <c r="BD478" s="79">
        <v>-4356992.08</v>
      </c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>
        <v>0</v>
      </c>
    </row>
    <row r="479" spans="1:67" ht="15" customHeight="1">
      <c r="A479" s="66" t="s">
        <v>2423</v>
      </c>
      <c r="B479" s="66" t="s">
        <v>786</v>
      </c>
      <c r="C479" s="150" t="s">
        <v>1136</v>
      </c>
      <c r="D479" s="150" t="s">
        <v>1135</v>
      </c>
      <c r="E479" s="150" t="s">
        <v>1135</v>
      </c>
      <c r="F479" s="150" t="s">
        <v>1137</v>
      </c>
      <c r="G479" s="511" t="s">
        <v>639</v>
      </c>
      <c r="H479" s="392" t="s">
        <v>2149</v>
      </c>
      <c r="I479" s="343" t="s">
        <v>1231</v>
      </c>
      <c r="J479" s="346" t="s">
        <v>1171</v>
      </c>
      <c r="K479" s="70" t="s">
        <v>604</v>
      </c>
      <c r="L479" s="346"/>
      <c r="M479" s="346" t="s">
        <v>2424</v>
      </c>
      <c r="N479" s="346"/>
      <c r="O479" s="150" t="s">
        <v>605</v>
      </c>
      <c r="P479" s="150" t="s">
        <v>2425</v>
      </c>
      <c r="Q479" s="403"/>
      <c r="R479" s="406">
        <v>4356984</v>
      </c>
      <c r="S479" s="406">
        <v>4356986.0199999996</v>
      </c>
      <c r="T479" s="425"/>
      <c r="U479" s="71"/>
      <c r="V479" s="426"/>
      <c r="W479" s="427">
        <v>726165.35</v>
      </c>
      <c r="X479" s="427">
        <v>363082.67</v>
      </c>
      <c r="Y479" s="428">
        <v>0</v>
      </c>
      <c r="Z479" s="429">
        <v>726165.34</v>
      </c>
      <c r="AA479" s="429">
        <v>363082.67</v>
      </c>
      <c r="AB479" s="363" t="e">
        <v>#N/A</v>
      </c>
      <c r="AC479" s="363">
        <f>363082+363082</f>
        <v>726164</v>
      </c>
      <c r="AD479" s="363">
        <v>363082</v>
      </c>
      <c r="AE479" s="363">
        <f>363082-363082</f>
        <v>0</v>
      </c>
      <c r="AF479" s="363">
        <f>363082+363082</f>
        <v>726164</v>
      </c>
      <c r="AG479" s="363">
        <v>363082</v>
      </c>
      <c r="AH479" s="360" t="e">
        <f t="shared" si="26"/>
        <v>#N/A</v>
      </c>
      <c r="AI479" s="362" t="e">
        <f>ERP[[#This Row],[2026 Working Total]]-ERP[[#This Row],[LE2 Final Submission]]</f>
        <v>#N/A</v>
      </c>
      <c r="AJ479" s="79">
        <v>0</v>
      </c>
      <c r="AK479" s="79">
        <f t="shared" si="25"/>
        <v>363082.67</v>
      </c>
      <c r="AL479" s="374">
        <f>SUM(ERP[[#This Row],[AP01]:[AP06]])-SUM(ERP[[#This Row],[AP01 LE2]:[AP06 LE2]])</f>
        <v>2.0099999997764826</v>
      </c>
      <c r="AM479" s="80"/>
      <c r="AN479" s="79" t="e">
        <f>ERP[[#This Row],[2026 Working Total to Budget/LE]]-ERP[[#This Row],[Giveback]]</f>
        <v>#N/A</v>
      </c>
      <c r="AO479" s="81"/>
      <c r="AP479" s="375"/>
      <c r="AQ479" s="375">
        <v>726165.35</v>
      </c>
      <c r="AR479" s="375">
        <v>363082.67</v>
      </c>
      <c r="AS479" s="375">
        <v>0</v>
      </c>
      <c r="AT479" s="375">
        <v>726164</v>
      </c>
      <c r="AU479" s="375">
        <v>363082</v>
      </c>
      <c r="AV479" s="375">
        <v>0</v>
      </c>
      <c r="AW479" s="375">
        <v>726164</v>
      </c>
      <c r="AX479" s="375">
        <v>363082</v>
      </c>
      <c r="AY479" s="375">
        <v>0</v>
      </c>
      <c r="AZ479" s="375">
        <v>726164</v>
      </c>
      <c r="BA479" s="375">
        <v>363082</v>
      </c>
      <c r="BB479" s="375">
        <v>4356986.0199999996</v>
      </c>
      <c r="BC479" s="79"/>
      <c r="BD479" s="79">
        <v>726165.35</v>
      </c>
      <c r="BE479" s="79">
        <v>363082.67</v>
      </c>
      <c r="BF479" s="79">
        <v>363082</v>
      </c>
      <c r="BG479" s="79">
        <v>363082</v>
      </c>
      <c r="BH479" s="79">
        <v>363082</v>
      </c>
      <c r="BI479" s="79">
        <v>363082</v>
      </c>
      <c r="BJ479" s="79">
        <v>363082</v>
      </c>
      <c r="BK479" s="79">
        <v>363082</v>
      </c>
      <c r="BL479" s="79">
        <v>363082</v>
      </c>
      <c r="BM479" s="79">
        <v>363082</v>
      </c>
      <c r="BN479" s="79">
        <v>363082</v>
      </c>
      <c r="BO479" s="79">
        <v>4356986.0199999996</v>
      </c>
    </row>
    <row r="480" spans="1:67" ht="15" customHeight="1">
      <c r="A480" s="79" t="s">
        <v>2719</v>
      </c>
      <c r="B480" s="296" t="s">
        <v>969</v>
      </c>
      <c r="C480" s="150" t="s">
        <v>1136</v>
      </c>
      <c r="D480" s="332" t="s">
        <v>1345</v>
      </c>
      <c r="E480" s="383" t="s">
        <v>1480</v>
      </c>
      <c r="F480" s="331" t="s">
        <v>1346</v>
      </c>
      <c r="G480" s="512" t="s">
        <v>639</v>
      </c>
      <c r="H480" s="393" t="s">
        <v>2720</v>
      </c>
      <c r="I480" s="343" t="s">
        <v>2721</v>
      </c>
      <c r="J480" s="150" t="s">
        <v>1493</v>
      </c>
      <c r="K480" s="91" t="s">
        <v>970</v>
      </c>
      <c r="L480" s="343"/>
      <c r="M480" s="346" t="s">
        <v>2722</v>
      </c>
      <c r="N480" s="346" t="s">
        <v>1710</v>
      </c>
      <c r="O480" s="386" t="s">
        <v>863</v>
      </c>
      <c r="P480" s="346" t="s">
        <v>1348</v>
      </c>
      <c r="Q480" s="437"/>
      <c r="R480" s="358">
        <v>26967.21</v>
      </c>
      <c r="S480" s="378">
        <v>0</v>
      </c>
      <c r="T480" s="430"/>
      <c r="U480" s="137"/>
      <c r="V480" s="433"/>
      <c r="W480" s="434"/>
      <c r="X480" s="434"/>
      <c r="Y480" s="428">
        <v>0</v>
      </c>
      <c r="Z480" s="429">
        <v>0</v>
      </c>
      <c r="AA480" s="429">
        <v>0</v>
      </c>
      <c r="AB480" s="363" t="e">
        <v>#N/A</v>
      </c>
      <c r="AC480" s="388">
        <v>0</v>
      </c>
      <c r="AD480" s="388">
        <v>0</v>
      </c>
      <c r="AE480" s="388">
        <v>0</v>
      </c>
      <c r="AF480" s="388">
        <v>0</v>
      </c>
      <c r="AG480" s="388">
        <v>0</v>
      </c>
      <c r="AH480" s="360" t="e">
        <f t="shared" si="26"/>
        <v>#N/A</v>
      </c>
      <c r="AI480" s="362" t="e">
        <f>ERP[[#This Row],[2026 Working Total]]-ERP[[#This Row],[LE2 Final Submission]]</f>
        <v>#N/A</v>
      </c>
      <c r="AJ480" s="79">
        <v>0</v>
      </c>
      <c r="AK480" s="79">
        <f t="shared" si="25"/>
        <v>0</v>
      </c>
      <c r="AL480" s="374">
        <f>SUM(ERP[[#This Row],[AP01]:[AP06]])-SUM(ERP[[#This Row],[AP01 LE2]:[AP06 LE2]])</f>
        <v>0</v>
      </c>
      <c r="AM480" s="80"/>
      <c r="AN480" s="79" t="e">
        <f>ERP[[#This Row],[2026 Working Total to Budget/LE]]-ERP[[#This Row],[Giveback]]</f>
        <v>#N/A</v>
      </c>
      <c r="AO480" s="81"/>
      <c r="AP480" s="375"/>
      <c r="AQ480" s="375"/>
      <c r="AR480" s="375"/>
      <c r="AS480" s="375">
        <v>0</v>
      </c>
      <c r="AT480" s="375">
        <v>0</v>
      </c>
      <c r="AU480" s="375">
        <v>0</v>
      </c>
      <c r="AV480" s="375">
        <v>0</v>
      </c>
      <c r="AW480" s="375">
        <v>0</v>
      </c>
      <c r="AX480" s="375">
        <v>0</v>
      </c>
      <c r="AY480" s="375">
        <v>0</v>
      </c>
      <c r="AZ480" s="375">
        <v>0</v>
      </c>
      <c r="BA480" s="375">
        <v>0</v>
      </c>
      <c r="BB480" s="375">
        <v>0</v>
      </c>
      <c r="BC480" s="103">
        <v>26967.21</v>
      </c>
      <c r="BD480" s="103">
        <v>0</v>
      </c>
      <c r="BE480" s="103">
        <v>0</v>
      </c>
      <c r="BF480" s="103">
        <v>0</v>
      </c>
      <c r="BG480" s="103">
        <v>0</v>
      </c>
      <c r="BH480" s="103">
        <v>0</v>
      </c>
      <c r="BI480" s="103">
        <v>0</v>
      </c>
      <c r="BJ480" s="103">
        <v>0</v>
      </c>
      <c r="BK480" s="103">
        <v>0</v>
      </c>
      <c r="BL480" s="103">
        <v>0</v>
      </c>
      <c r="BM480" s="103">
        <v>0</v>
      </c>
      <c r="BN480" s="103">
        <v>0</v>
      </c>
      <c r="BO480" s="79">
        <f>SUM(ERP[[#This Row],[2026 AP01]:[2026 AP12]])</f>
        <v>26967.21</v>
      </c>
    </row>
    <row r="481" spans="1:67" ht="15" customHeight="1">
      <c r="A481" s="79" t="s">
        <v>2723</v>
      </c>
      <c r="B481" s="296" t="s">
        <v>971</v>
      </c>
      <c r="C481" s="150" t="s">
        <v>1136</v>
      </c>
      <c r="D481" s="332" t="s">
        <v>1345</v>
      </c>
      <c r="E481" s="383" t="s">
        <v>1480</v>
      </c>
      <c r="F481" s="331" t="s">
        <v>1346</v>
      </c>
      <c r="G481" s="512" t="s">
        <v>639</v>
      </c>
      <c r="H481" s="393" t="s">
        <v>2724</v>
      </c>
      <c r="I481" s="343" t="s">
        <v>2721</v>
      </c>
      <c r="J481" s="150" t="s">
        <v>1493</v>
      </c>
      <c r="K481" s="91" t="s">
        <v>972</v>
      </c>
      <c r="L481" s="343"/>
      <c r="M481" s="346" t="s">
        <v>2722</v>
      </c>
      <c r="N481" s="346" t="s">
        <v>1710</v>
      </c>
      <c r="O481" s="386" t="s">
        <v>863</v>
      </c>
      <c r="P481" s="346" t="s">
        <v>1348</v>
      </c>
      <c r="Q481" s="437"/>
      <c r="R481" s="358">
        <v>-26967.21</v>
      </c>
      <c r="S481" s="378">
        <v>0</v>
      </c>
      <c r="T481" s="425"/>
      <c r="U481" s="71"/>
      <c r="V481" s="433"/>
      <c r="W481" s="434"/>
      <c r="X481" s="434"/>
      <c r="Y481" s="428" t="s">
        <v>1142</v>
      </c>
      <c r="Z481" s="429">
        <v>0</v>
      </c>
      <c r="AA481" s="429">
        <v>0</v>
      </c>
      <c r="AB481" s="363" t="e">
        <v>#N/A</v>
      </c>
      <c r="AC481" s="388">
        <v>0</v>
      </c>
      <c r="AD481" s="388">
        <v>0</v>
      </c>
      <c r="AE481" s="388">
        <v>0</v>
      </c>
      <c r="AF481" s="388">
        <v>0</v>
      </c>
      <c r="AG481" s="388">
        <v>0</v>
      </c>
      <c r="AH481" s="360" t="e">
        <f t="shared" si="26"/>
        <v>#N/A</v>
      </c>
      <c r="AI481" s="362" t="e">
        <f>ERP[[#This Row],[2026 Working Total]]-ERP[[#This Row],[LE2 Final Submission]]</f>
        <v>#N/A</v>
      </c>
      <c r="AJ481" s="79">
        <v>0</v>
      </c>
      <c r="AK481" s="79">
        <f t="shared" si="25"/>
        <v>0</v>
      </c>
      <c r="AL481" s="374">
        <f>SUM(ERP[[#This Row],[AP01]:[AP06]])-SUM(ERP[[#This Row],[AP01 LE2]:[AP06 LE2]])</f>
        <v>0</v>
      </c>
      <c r="AM481" s="80"/>
      <c r="AN481" s="79" t="e">
        <f>ERP[[#This Row],[2026 Working Total to Budget/LE]]-ERP[[#This Row],[Giveback]]</f>
        <v>#N/A</v>
      </c>
      <c r="AO481" s="81"/>
      <c r="AP481" s="375"/>
      <c r="AQ481" s="375"/>
      <c r="AR481" s="375"/>
      <c r="AS481" s="375">
        <v>0</v>
      </c>
      <c r="AT481" s="375">
        <v>0</v>
      </c>
      <c r="AU481" s="375">
        <v>0</v>
      </c>
      <c r="AV481" s="375">
        <v>0</v>
      </c>
      <c r="AW481" s="375">
        <v>0</v>
      </c>
      <c r="AX481" s="375">
        <v>0</v>
      </c>
      <c r="AY481" s="375">
        <v>0</v>
      </c>
      <c r="AZ481" s="375">
        <v>0</v>
      </c>
      <c r="BA481" s="375">
        <v>0</v>
      </c>
      <c r="BB481" s="375">
        <v>0</v>
      </c>
      <c r="BC481" s="103">
        <v>-26967.21</v>
      </c>
      <c r="BD481" s="103">
        <v>0</v>
      </c>
      <c r="BE481" s="103">
        <v>0</v>
      </c>
      <c r="BF481" s="103">
        <v>0</v>
      </c>
      <c r="BG481" s="103">
        <v>0</v>
      </c>
      <c r="BH481" s="103">
        <v>0</v>
      </c>
      <c r="BI481" s="103">
        <v>0</v>
      </c>
      <c r="BJ481" s="103">
        <v>0</v>
      </c>
      <c r="BK481" s="103">
        <v>0</v>
      </c>
      <c r="BL481" s="103">
        <v>0</v>
      </c>
      <c r="BM481" s="103">
        <v>0</v>
      </c>
      <c r="BN481" s="103">
        <v>0</v>
      </c>
      <c r="BO481" s="79">
        <f>SUM(ERP[[#This Row],[2026 AP01]:[2026 AP12]])</f>
        <v>-26967.21</v>
      </c>
    </row>
    <row r="482" spans="1:67" ht="15" customHeight="1">
      <c r="A482" s="66" t="s">
        <v>2618</v>
      </c>
      <c r="B482" s="66" t="s">
        <v>911</v>
      </c>
      <c r="C482" s="150" t="s">
        <v>1136</v>
      </c>
      <c r="D482" s="150" t="s">
        <v>1345</v>
      </c>
      <c r="E482" s="150" t="s">
        <v>1344</v>
      </c>
      <c r="F482" s="150" t="s">
        <v>1346</v>
      </c>
      <c r="G482" s="511" t="s">
        <v>639</v>
      </c>
      <c r="H482" s="392" t="s">
        <v>2619</v>
      </c>
      <c r="I482" s="343"/>
      <c r="J482" s="343"/>
      <c r="K482" s="70" t="s">
        <v>912</v>
      </c>
      <c r="L482" s="346"/>
      <c r="M482" s="343"/>
      <c r="N482" s="346"/>
      <c r="O482" s="150" t="s">
        <v>25</v>
      </c>
      <c r="P482" s="150"/>
      <c r="Q482" s="403"/>
      <c r="R482" s="406">
        <v>5000</v>
      </c>
      <c r="S482" s="406">
        <v>5000</v>
      </c>
      <c r="T482" s="425"/>
      <c r="U482" s="71"/>
      <c r="V482" s="426"/>
      <c r="W482" s="427"/>
      <c r="X482" s="427"/>
      <c r="Y482" s="428" t="s">
        <v>1142</v>
      </c>
      <c r="Z482" s="429">
        <v>0</v>
      </c>
      <c r="AA482" s="429">
        <v>0</v>
      </c>
      <c r="AB482" s="363" t="e">
        <v>#N/A</v>
      </c>
      <c r="AC482" s="363"/>
      <c r="AD482" s="363"/>
      <c r="AE482" s="363"/>
      <c r="AF482" s="363"/>
      <c r="AG482" s="363">
        <v>5000</v>
      </c>
      <c r="AH482" s="360" t="e">
        <f t="shared" si="26"/>
        <v>#N/A</v>
      </c>
      <c r="AI482" s="362" t="e">
        <f>ERP[[#This Row],[2026 Working Total]]-ERP[[#This Row],[LE2 Final Submission]]</f>
        <v>#N/A</v>
      </c>
      <c r="AJ482" s="79"/>
      <c r="AK482" s="79">
        <f t="shared" si="25"/>
        <v>0</v>
      </c>
      <c r="AL482" s="374">
        <f>SUM(ERP[[#This Row],[AP01]:[AP06]])-SUM(ERP[[#This Row],[AP01 LE2]:[AP06 LE2]])</f>
        <v>0</v>
      </c>
      <c r="AM482" s="80"/>
      <c r="AN482" s="79" t="e">
        <f>ERP[[#This Row],[2026 Working Total to Budget/LE]]-ERP[[#This Row],[Giveback]]</f>
        <v>#N/A</v>
      </c>
      <c r="AO482" s="81" t="s">
        <v>2620</v>
      </c>
      <c r="AP482" s="375"/>
      <c r="AQ482" s="375"/>
      <c r="AR482" s="375"/>
      <c r="AS482" s="375"/>
      <c r="AT482" s="375"/>
      <c r="AU482" s="375"/>
      <c r="AV482" s="375"/>
      <c r="AW482" s="375"/>
      <c r="AX482" s="375"/>
      <c r="AY482" s="375"/>
      <c r="AZ482" s="375"/>
      <c r="BA482" s="375">
        <v>5000</v>
      </c>
      <c r="BB482" s="375">
        <v>5000</v>
      </c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>
        <v>5000</v>
      </c>
      <c r="BO482" s="79">
        <v>5000</v>
      </c>
    </row>
    <row r="483" spans="1:67" ht="15" customHeight="1">
      <c r="A483" s="66" t="s">
        <v>2426</v>
      </c>
      <c r="B483" s="66" t="s">
        <v>787</v>
      </c>
      <c r="C483" s="150" t="s">
        <v>1136</v>
      </c>
      <c r="D483" s="150" t="s">
        <v>1135</v>
      </c>
      <c r="E483" s="150" t="s">
        <v>1135</v>
      </c>
      <c r="F483" s="150" t="s">
        <v>1137</v>
      </c>
      <c r="G483" s="511" t="s">
        <v>639</v>
      </c>
      <c r="H483" s="392" t="s">
        <v>2427</v>
      </c>
      <c r="I483" s="343" t="s">
        <v>2428</v>
      </c>
      <c r="J483" s="346" t="s">
        <v>1171</v>
      </c>
      <c r="K483" s="70" t="s">
        <v>788</v>
      </c>
      <c r="L483" s="346"/>
      <c r="M483" s="343"/>
      <c r="N483" s="346"/>
      <c r="O483" s="150" t="s">
        <v>789</v>
      </c>
      <c r="P483" s="150"/>
      <c r="Q483" s="403"/>
      <c r="R483" s="406">
        <v>5012</v>
      </c>
      <c r="S483" s="406">
        <v>2512</v>
      </c>
      <c r="T483" s="430"/>
      <c r="U483" s="137"/>
      <c r="V483" s="426"/>
      <c r="W483" s="427"/>
      <c r="X483" s="427"/>
      <c r="Y483" s="428" t="s">
        <v>1142</v>
      </c>
      <c r="Z483" s="429">
        <v>0</v>
      </c>
      <c r="AA483" s="429">
        <v>0</v>
      </c>
      <c r="AB483" s="363" t="e">
        <v>#N/A</v>
      </c>
      <c r="AC483" s="360">
        <v>0</v>
      </c>
      <c r="AD483" s="360">
        <v>0</v>
      </c>
      <c r="AE483" s="360">
        <v>0</v>
      </c>
      <c r="AF483" s="363">
        <v>2512</v>
      </c>
      <c r="AG483" s="360">
        <v>0</v>
      </c>
      <c r="AH483" s="360" t="e">
        <f t="shared" si="26"/>
        <v>#N/A</v>
      </c>
      <c r="AI483" s="362" t="e">
        <f>ERP[[#This Row],[2026 Working Total]]-ERP[[#This Row],[LE2 Final Submission]]</f>
        <v>#N/A</v>
      </c>
      <c r="AJ483" s="79">
        <v>0</v>
      </c>
      <c r="AK483" s="79">
        <f t="shared" si="25"/>
        <v>0</v>
      </c>
      <c r="AL483" s="374">
        <f>SUM(ERP[[#This Row],[AP01]:[AP06]])-SUM(ERP[[#This Row],[AP01 LE2]:[AP06 LE2]])</f>
        <v>0</v>
      </c>
      <c r="AM483" s="80"/>
      <c r="AN483" s="79" t="e">
        <f>ERP[[#This Row],[2026 Working Total to Budget/LE]]-ERP[[#This Row],[Giveback]]</f>
        <v>#N/A</v>
      </c>
      <c r="AO483" s="81"/>
      <c r="AP483" s="375"/>
      <c r="AQ483" s="375"/>
      <c r="AR483" s="375"/>
      <c r="AS483" s="375"/>
      <c r="AT483" s="375"/>
      <c r="AU483" s="375"/>
      <c r="AV483" s="375">
        <v>0</v>
      </c>
      <c r="AW483" s="375">
        <v>0</v>
      </c>
      <c r="AX483" s="375">
        <v>0</v>
      </c>
      <c r="AY483" s="375">
        <v>0</v>
      </c>
      <c r="AZ483" s="375">
        <v>2512</v>
      </c>
      <c r="BA483" s="375">
        <v>0</v>
      </c>
      <c r="BB483" s="375">
        <v>2512</v>
      </c>
      <c r="BC483" s="79"/>
      <c r="BD483" s="79"/>
      <c r="BE483" s="79"/>
      <c r="BF483" s="79"/>
      <c r="BG483" s="79"/>
      <c r="BH483" s="79">
        <v>2500</v>
      </c>
      <c r="BI483" s="79">
        <v>0</v>
      </c>
      <c r="BJ483" s="79">
        <v>0</v>
      </c>
      <c r="BK483" s="79">
        <v>0</v>
      </c>
      <c r="BL483" s="79">
        <v>0</v>
      </c>
      <c r="BM483" s="79">
        <v>2512</v>
      </c>
      <c r="BN483" s="79">
        <v>0</v>
      </c>
      <c r="BO483" s="79">
        <v>5012</v>
      </c>
    </row>
    <row r="484" spans="1:67" ht="15" customHeight="1">
      <c r="A484" s="79" t="s">
        <v>2429</v>
      </c>
      <c r="B484" s="296" t="s">
        <v>2430</v>
      </c>
      <c r="C484" s="150" t="s">
        <v>1136</v>
      </c>
      <c r="D484" s="332" t="s">
        <v>1135</v>
      </c>
      <c r="E484" s="382" t="s">
        <v>1161</v>
      </c>
      <c r="F484" s="333" t="s">
        <v>1137</v>
      </c>
      <c r="G484" s="512" t="s">
        <v>639</v>
      </c>
      <c r="H484" s="394" t="s">
        <v>2431</v>
      </c>
      <c r="I484" s="343" t="s">
        <v>2432</v>
      </c>
      <c r="J484" s="332" t="s">
        <v>1252</v>
      </c>
      <c r="K484" s="122" t="s">
        <v>791</v>
      </c>
      <c r="L484" s="347"/>
      <c r="M484" s="346" t="s">
        <v>2433</v>
      </c>
      <c r="N484" s="346" t="s">
        <v>1710</v>
      </c>
      <c r="O484" s="384" t="s">
        <v>792</v>
      </c>
      <c r="P484" s="387" t="s">
        <v>2434</v>
      </c>
      <c r="Q484" s="437"/>
      <c r="R484" s="358">
        <v>56404</v>
      </c>
      <c r="S484" s="378">
        <v>0</v>
      </c>
      <c r="T484" s="425"/>
      <c r="U484" s="71"/>
      <c r="V484" s="433"/>
      <c r="W484" s="434"/>
      <c r="X484" s="434"/>
      <c r="Y484" s="428" t="s">
        <v>1142</v>
      </c>
      <c r="Z484" s="429">
        <v>0</v>
      </c>
      <c r="AA484" s="429">
        <v>0</v>
      </c>
      <c r="AB484" s="363" t="e">
        <v>#N/A</v>
      </c>
      <c r="AC484" s="388">
        <v>0</v>
      </c>
      <c r="AD484" s="388">
        <v>0</v>
      </c>
      <c r="AE484" s="388">
        <v>0</v>
      </c>
      <c r="AF484" s="388">
        <v>0</v>
      </c>
      <c r="AG484" s="388">
        <v>0</v>
      </c>
      <c r="AH484" s="360" t="e">
        <f t="shared" si="26"/>
        <v>#N/A</v>
      </c>
      <c r="AI484" s="362" t="e">
        <f>ERP[[#This Row],[2026 Working Total]]-ERP[[#This Row],[LE2 Final Submission]]</f>
        <v>#N/A</v>
      </c>
      <c r="AJ484" s="79">
        <v>0</v>
      </c>
      <c r="AK484" s="79">
        <f t="shared" si="25"/>
        <v>0</v>
      </c>
      <c r="AL484" s="374">
        <f>SUM(ERP[[#This Row],[AP01]:[AP06]])-SUM(ERP[[#This Row],[AP01 LE2]:[AP06 LE2]])</f>
        <v>0</v>
      </c>
      <c r="AM484" s="80"/>
      <c r="AN484" s="79" t="e">
        <f>ERP[[#This Row],[2026 Working Total to Budget/LE]]-ERP[[#This Row],[Giveback]]</f>
        <v>#N/A</v>
      </c>
      <c r="AO484" s="81"/>
      <c r="AP484" s="375"/>
      <c r="AQ484" s="375"/>
      <c r="AR484" s="375"/>
      <c r="AS484" s="375">
        <v>0</v>
      </c>
      <c r="AT484" s="375">
        <v>0</v>
      </c>
      <c r="AU484" s="375">
        <v>0</v>
      </c>
      <c r="AV484" s="375">
        <v>0</v>
      </c>
      <c r="AW484" s="375">
        <v>0</v>
      </c>
      <c r="AX484" s="375">
        <v>0</v>
      </c>
      <c r="AY484" s="375">
        <v>0</v>
      </c>
      <c r="AZ484" s="375">
        <v>0</v>
      </c>
      <c r="BA484" s="375">
        <v>0</v>
      </c>
      <c r="BB484" s="375">
        <v>0</v>
      </c>
      <c r="BC484" s="103">
        <v>56404</v>
      </c>
      <c r="BD484" s="103">
        <v>0</v>
      </c>
      <c r="BE484" s="103">
        <v>0</v>
      </c>
      <c r="BF484" s="103">
        <v>0</v>
      </c>
      <c r="BG484" s="103">
        <v>0</v>
      </c>
      <c r="BH484" s="103">
        <v>0</v>
      </c>
      <c r="BI484" s="103">
        <v>0</v>
      </c>
      <c r="BJ484" s="103">
        <v>0</v>
      </c>
      <c r="BK484" s="103">
        <v>0</v>
      </c>
      <c r="BL484" s="103">
        <v>0</v>
      </c>
      <c r="BM484" s="103">
        <v>0</v>
      </c>
      <c r="BN484" s="103">
        <v>0</v>
      </c>
      <c r="BO484" s="79">
        <f>SUM(ERP[[#This Row],[2026 AP01]:[2026 AP12]])</f>
        <v>56404</v>
      </c>
    </row>
    <row r="485" spans="1:67" ht="15" customHeight="1">
      <c r="A485" s="66" t="s">
        <v>2621</v>
      </c>
      <c r="B485" s="66" t="s">
        <v>913</v>
      </c>
      <c r="C485" s="150" t="s">
        <v>1136</v>
      </c>
      <c r="D485" s="150" t="s">
        <v>1345</v>
      </c>
      <c r="E485" s="150" t="s">
        <v>1344</v>
      </c>
      <c r="F485" s="150" t="s">
        <v>1346</v>
      </c>
      <c r="G485" s="511" t="s">
        <v>639</v>
      </c>
      <c r="H485" s="392" t="s">
        <v>2622</v>
      </c>
      <c r="I485" s="343"/>
      <c r="J485" s="343"/>
      <c r="K485" s="70" t="s">
        <v>914</v>
      </c>
      <c r="L485" s="346"/>
      <c r="M485" s="343"/>
      <c r="N485" s="346"/>
      <c r="O485" s="150" t="s">
        <v>119</v>
      </c>
      <c r="P485" s="150"/>
      <c r="Q485" s="403"/>
      <c r="R485" s="406">
        <v>25000</v>
      </c>
      <c r="S485" s="406">
        <v>25000</v>
      </c>
      <c r="T485" s="425"/>
      <c r="U485" s="71"/>
      <c r="V485" s="426"/>
      <c r="W485" s="427"/>
      <c r="X485" s="427"/>
      <c r="Y485" s="428" t="s">
        <v>1142</v>
      </c>
      <c r="Z485" s="429">
        <v>0</v>
      </c>
      <c r="AA485" s="429">
        <v>0</v>
      </c>
      <c r="AB485" s="363" t="e">
        <v>#N/A</v>
      </c>
      <c r="AC485" s="363">
        <v>25000</v>
      </c>
      <c r="AD485" s="360">
        <v>0</v>
      </c>
      <c r="AE485" s="360">
        <v>0</v>
      </c>
      <c r="AF485" s="360">
        <v>0</v>
      </c>
      <c r="AG485" s="360">
        <v>0</v>
      </c>
      <c r="AH485" s="360" t="e">
        <f t="shared" si="26"/>
        <v>#N/A</v>
      </c>
      <c r="AI485" s="362" t="e">
        <f>ERP[[#This Row],[2026 Working Total]]-ERP[[#This Row],[LE2 Final Submission]]</f>
        <v>#N/A</v>
      </c>
      <c r="AJ485" s="79"/>
      <c r="AK485" s="79">
        <f t="shared" si="25"/>
        <v>0</v>
      </c>
      <c r="AL485" s="374">
        <f>SUM(ERP[[#This Row],[AP01]:[AP06]])-SUM(ERP[[#This Row],[AP01 LE2]:[AP06 LE2]])</f>
        <v>0</v>
      </c>
      <c r="AM485" s="80"/>
      <c r="AN485" s="79" t="e">
        <f>ERP[[#This Row],[2026 Working Total to Budget/LE]]-ERP[[#This Row],[Giveback]]</f>
        <v>#N/A</v>
      </c>
      <c r="AO485" s="81"/>
      <c r="AP485" s="375"/>
      <c r="AQ485" s="375"/>
      <c r="AR485" s="375"/>
      <c r="AS485" s="375"/>
      <c r="AT485" s="375"/>
      <c r="AU485" s="375"/>
      <c r="AV485" s="375"/>
      <c r="AW485" s="375">
        <v>25000</v>
      </c>
      <c r="AX485" s="375">
        <v>0</v>
      </c>
      <c r="AY485" s="375">
        <v>0</v>
      </c>
      <c r="AZ485" s="375">
        <v>0</v>
      </c>
      <c r="BA485" s="375">
        <v>0</v>
      </c>
      <c r="BB485" s="375">
        <v>25000</v>
      </c>
      <c r="BC485" s="79"/>
      <c r="BD485" s="79"/>
      <c r="BE485" s="79"/>
      <c r="BF485" s="79"/>
      <c r="BG485" s="79"/>
      <c r="BH485" s="79"/>
      <c r="BI485" s="79"/>
      <c r="BJ485" s="79">
        <v>25000</v>
      </c>
      <c r="BK485" s="79">
        <v>0</v>
      </c>
      <c r="BL485" s="79">
        <v>0</v>
      </c>
      <c r="BM485" s="79">
        <v>0</v>
      </c>
      <c r="BN485" s="79">
        <v>0</v>
      </c>
      <c r="BO485" s="79">
        <v>25000</v>
      </c>
    </row>
    <row r="486" spans="1:67" ht="15" customHeight="1">
      <c r="A486" s="66" t="s">
        <v>2680</v>
      </c>
      <c r="B486" s="66" t="s">
        <v>2681</v>
      </c>
      <c r="C486" s="150" t="s">
        <v>1136</v>
      </c>
      <c r="D486" s="150" t="s">
        <v>1345</v>
      </c>
      <c r="E486" s="150" t="s">
        <v>1437</v>
      </c>
      <c r="F486" s="150" t="s">
        <v>1346</v>
      </c>
      <c r="G486" s="511" t="s">
        <v>639</v>
      </c>
      <c r="H486" s="392" t="s">
        <v>2682</v>
      </c>
      <c r="I486" s="343"/>
      <c r="J486" s="343"/>
      <c r="K486" s="70" t="s">
        <v>948</v>
      </c>
      <c r="L486" s="346"/>
      <c r="M486" s="346" t="s">
        <v>2683</v>
      </c>
      <c r="N486" s="346"/>
      <c r="O486" s="150" t="s">
        <v>949</v>
      </c>
      <c r="P486" s="150" t="s">
        <v>2684</v>
      </c>
      <c r="Q486" s="403"/>
      <c r="R486" s="406">
        <v>7299999.96</v>
      </c>
      <c r="S486" s="406">
        <v>7299999.96</v>
      </c>
      <c r="T486" s="425"/>
      <c r="U486" s="71"/>
      <c r="V486" s="426"/>
      <c r="W486" s="427">
        <v>1216666.6599999999</v>
      </c>
      <c r="X486" s="427">
        <v>608333.32999999996</v>
      </c>
      <c r="Y486" s="428">
        <v>0</v>
      </c>
      <c r="Z486" s="429">
        <v>1216666.6599999999</v>
      </c>
      <c r="AA486" s="429">
        <v>608333.32999999996</v>
      </c>
      <c r="AB486" s="363" t="e">
        <v>#N/A</v>
      </c>
      <c r="AC486" s="363">
        <f>608333.33*2</f>
        <v>1216666.6599999999</v>
      </c>
      <c r="AD486" s="363">
        <v>608333.32999999996</v>
      </c>
      <c r="AE486" s="363">
        <f>608333.33-608333.33</f>
        <v>0</v>
      </c>
      <c r="AF486" s="363">
        <f>608333.33*2</f>
        <v>1216666.6599999999</v>
      </c>
      <c r="AG486" s="363">
        <v>608333.32999999996</v>
      </c>
      <c r="AH486" s="360" t="e">
        <f t="shared" si="26"/>
        <v>#N/A</v>
      </c>
      <c r="AI486" s="362" t="e">
        <f>ERP[[#This Row],[2026 Working Total]]-ERP[[#This Row],[LE2 Final Submission]]</f>
        <v>#N/A</v>
      </c>
      <c r="AJ486" s="79">
        <v>0</v>
      </c>
      <c r="AK486" s="79">
        <f t="shared" si="25"/>
        <v>608333.32999999996</v>
      </c>
      <c r="AL486" s="374">
        <f>SUM(ERP[[#This Row],[AP01]:[AP06]])-SUM(ERP[[#This Row],[AP01 LE2]:[AP06 LE2]])</f>
        <v>0</v>
      </c>
      <c r="AM486" s="80"/>
      <c r="AN486" s="79" t="e">
        <f>ERP[[#This Row],[2026 Working Total to Budget/LE]]-ERP[[#This Row],[Giveback]]</f>
        <v>#N/A</v>
      </c>
      <c r="AO486" s="81"/>
      <c r="AP486" s="375"/>
      <c r="AQ486" s="375">
        <v>1216666.6599999999</v>
      </c>
      <c r="AR486" s="375">
        <v>608333.32999999996</v>
      </c>
      <c r="AS486" s="375">
        <v>0</v>
      </c>
      <c r="AT486" s="375">
        <v>1216666.6599999999</v>
      </c>
      <c r="AU486" s="375">
        <v>608333.32999999996</v>
      </c>
      <c r="AV486" s="375">
        <v>0</v>
      </c>
      <c r="AW486" s="375">
        <v>1216666.6599999999</v>
      </c>
      <c r="AX486" s="375">
        <v>608333.32999999996</v>
      </c>
      <c r="AY486" s="375">
        <v>0</v>
      </c>
      <c r="AZ486" s="375">
        <v>1216666.6599999999</v>
      </c>
      <c r="BA486" s="375">
        <v>608333.32999999996</v>
      </c>
      <c r="BB486" s="375">
        <v>7299999.96</v>
      </c>
      <c r="BC486" s="79"/>
      <c r="BD486" s="79">
        <v>1216666.6599999999</v>
      </c>
      <c r="BE486" s="79">
        <v>608333.32999999996</v>
      </c>
      <c r="BF486" s="79">
        <v>608333.32999999996</v>
      </c>
      <c r="BG486" s="79">
        <v>608333.32999999996</v>
      </c>
      <c r="BH486" s="79">
        <v>608333.32999999996</v>
      </c>
      <c r="BI486" s="79">
        <v>608333.32999999996</v>
      </c>
      <c r="BJ486" s="79">
        <v>608333.32999999996</v>
      </c>
      <c r="BK486" s="79">
        <v>608333.32999999996</v>
      </c>
      <c r="BL486" s="79">
        <v>608333.32999999996</v>
      </c>
      <c r="BM486" s="79">
        <v>608333.32999999996</v>
      </c>
      <c r="BN486" s="79">
        <v>608333.32999999996</v>
      </c>
      <c r="BO486" s="79">
        <v>7299999.96</v>
      </c>
    </row>
    <row r="487" spans="1:67" ht="15" customHeight="1">
      <c r="A487" s="79" t="s">
        <v>2435</v>
      </c>
      <c r="B487" s="296" t="s">
        <v>2436</v>
      </c>
      <c r="C487" s="150" t="s">
        <v>1136</v>
      </c>
      <c r="D487" s="332" t="s">
        <v>1135</v>
      </c>
      <c r="E487" s="382" t="s">
        <v>1161</v>
      </c>
      <c r="F487" s="333" t="s">
        <v>1137</v>
      </c>
      <c r="G487" s="512" t="s">
        <v>639</v>
      </c>
      <c r="H487" s="394" t="s">
        <v>2437</v>
      </c>
      <c r="I487" s="343" t="s">
        <v>2432</v>
      </c>
      <c r="J487" s="332" t="s">
        <v>1252</v>
      </c>
      <c r="K487" s="122" t="s">
        <v>794</v>
      </c>
      <c r="L487" s="347"/>
      <c r="M487" s="346" t="s">
        <v>2433</v>
      </c>
      <c r="N487" s="346" t="s">
        <v>1710</v>
      </c>
      <c r="O487" s="384" t="s">
        <v>792</v>
      </c>
      <c r="P487" s="387" t="s">
        <v>2438</v>
      </c>
      <c r="Q487" s="437"/>
      <c r="R487" s="358">
        <v>-56404</v>
      </c>
      <c r="S487" s="378">
        <v>0</v>
      </c>
      <c r="T487" s="425"/>
      <c r="U487" s="71"/>
      <c r="V487" s="433"/>
      <c r="W487" s="434"/>
      <c r="X487" s="434"/>
      <c r="Y487" s="428" t="s">
        <v>1142</v>
      </c>
      <c r="Z487" s="429">
        <v>0</v>
      </c>
      <c r="AA487" s="429">
        <v>0</v>
      </c>
      <c r="AB487" s="363" t="e">
        <v>#N/A</v>
      </c>
      <c r="AC487" s="388">
        <v>0</v>
      </c>
      <c r="AD487" s="388">
        <v>0</v>
      </c>
      <c r="AE487" s="388">
        <v>0</v>
      </c>
      <c r="AF487" s="388">
        <v>0</v>
      </c>
      <c r="AG487" s="388">
        <v>0</v>
      </c>
      <c r="AH487" s="360" t="e">
        <f t="shared" si="26"/>
        <v>#N/A</v>
      </c>
      <c r="AI487" s="362" t="e">
        <f>ERP[[#This Row],[2026 Working Total]]-ERP[[#This Row],[LE2 Final Submission]]</f>
        <v>#N/A</v>
      </c>
      <c r="AJ487" s="79">
        <v>0</v>
      </c>
      <c r="AK487" s="79">
        <f t="shared" si="25"/>
        <v>0</v>
      </c>
      <c r="AL487" s="374">
        <f>SUM(ERP[[#This Row],[AP01]:[AP06]])-SUM(ERP[[#This Row],[AP01 LE2]:[AP06 LE2]])</f>
        <v>0</v>
      </c>
      <c r="AM487" s="80"/>
      <c r="AN487" s="79" t="e">
        <f>ERP[[#This Row],[2026 Working Total to Budget/LE]]-ERP[[#This Row],[Giveback]]</f>
        <v>#N/A</v>
      </c>
      <c r="AO487" s="81"/>
      <c r="AP487" s="375"/>
      <c r="AQ487" s="375"/>
      <c r="AR487" s="375"/>
      <c r="AS487" s="375">
        <v>0</v>
      </c>
      <c r="AT487" s="375">
        <v>0</v>
      </c>
      <c r="AU487" s="375">
        <v>0</v>
      </c>
      <c r="AV487" s="375">
        <v>0</v>
      </c>
      <c r="AW487" s="375">
        <v>0</v>
      </c>
      <c r="AX487" s="375">
        <v>0</v>
      </c>
      <c r="AY487" s="375">
        <v>0</v>
      </c>
      <c r="AZ487" s="375">
        <v>0</v>
      </c>
      <c r="BA487" s="375">
        <v>0</v>
      </c>
      <c r="BB487" s="375">
        <v>0</v>
      </c>
      <c r="BC487" s="103">
        <v>-56404</v>
      </c>
      <c r="BD487" s="103">
        <v>0</v>
      </c>
      <c r="BE487" s="103">
        <v>0</v>
      </c>
      <c r="BF487" s="103">
        <v>0</v>
      </c>
      <c r="BG487" s="103">
        <v>0</v>
      </c>
      <c r="BH487" s="103">
        <v>0</v>
      </c>
      <c r="BI487" s="103">
        <v>0</v>
      </c>
      <c r="BJ487" s="103">
        <v>0</v>
      </c>
      <c r="BK487" s="103">
        <v>0</v>
      </c>
      <c r="BL487" s="103">
        <v>0</v>
      </c>
      <c r="BM487" s="103">
        <v>0</v>
      </c>
      <c r="BN487" s="103">
        <v>0</v>
      </c>
      <c r="BO487" s="79">
        <f>SUM(ERP[[#This Row],[2026 AP01]:[2026 AP12]])</f>
        <v>-56404</v>
      </c>
    </row>
    <row r="488" spans="1:67" ht="15" customHeight="1">
      <c r="A488" s="66" t="s">
        <v>2439</v>
      </c>
      <c r="B488" s="66" t="s">
        <v>2440</v>
      </c>
      <c r="C488" s="150" t="s">
        <v>1136</v>
      </c>
      <c r="D488" s="150" t="s">
        <v>1135</v>
      </c>
      <c r="E488" s="150" t="s">
        <v>1137</v>
      </c>
      <c r="F488" s="150" t="s">
        <v>1137</v>
      </c>
      <c r="G488" s="511" t="s">
        <v>639</v>
      </c>
      <c r="H488" s="392" t="s">
        <v>2441</v>
      </c>
      <c r="I488" s="343"/>
      <c r="J488" s="343"/>
      <c r="K488" s="70" t="s">
        <v>796</v>
      </c>
      <c r="L488" s="346"/>
      <c r="M488" s="343"/>
      <c r="N488" s="346"/>
      <c r="O488" s="150" t="s">
        <v>680</v>
      </c>
      <c r="P488" s="150"/>
      <c r="Q488" s="403"/>
      <c r="R488" s="406">
        <v>1200</v>
      </c>
      <c r="S488" s="406">
        <v>600</v>
      </c>
      <c r="T488" s="425"/>
      <c r="U488" s="71"/>
      <c r="V488" s="426"/>
      <c r="W488" s="427"/>
      <c r="X488" s="427"/>
      <c r="Y488" s="428" t="s">
        <v>1142</v>
      </c>
      <c r="Z488" s="429">
        <v>0</v>
      </c>
      <c r="AA488" s="429">
        <v>0</v>
      </c>
      <c r="AB488" s="363" t="e">
        <v>#N/A</v>
      </c>
      <c r="AC488" s="360">
        <v>0</v>
      </c>
      <c r="AD488" s="360">
        <v>0</v>
      </c>
      <c r="AE488" s="360">
        <v>0</v>
      </c>
      <c r="AF488" s="360">
        <v>0</v>
      </c>
      <c r="AG488" s="360">
        <v>0</v>
      </c>
      <c r="AH488" s="360" t="e">
        <f t="shared" si="26"/>
        <v>#N/A</v>
      </c>
      <c r="AI488" s="362" t="e">
        <f>ERP[[#This Row],[2026 Working Total]]-ERP[[#This Row],[LE2 Final Submission]]</f>
        <v>#N/A</v>
      </c>
      <c r="AJ488" s="79">
        <v>600</v>
      </c>
      <c r="AK488" s="79">
        <f t="shared" si="25"/>
        <v>-600</v>
      </c>
      <c r="AL488" s="374">
        <f>SUM(ERP[[#This Row],[AP01]:[AP06]])-SUM(ERP[[#This Row],[AP01 LE2]:[AP06 LE2]])</f>
        <v>0</v>
      </c>
      <c r="AM488" s="80"/>
      <c r="AN488" s="79" t="e">
        <f>ERP[[#This Row],[2026 Working Total to Budget/LE]]-ERP[[#This Row],[Giveback]]</f>
        <v>#N/A</v>
      </c>
      <c r="AO488" s="81"/>
      <c r="AP488" s="375"/>
      <c r="AQ488" s="375"/>
      <c r="AR488" s="375"/>
      <c r="AS488" s="375"/>
      <c r="AT488" s="375"/>
      <c r="AU488" s="375"/>
      <c r="AV488" s="375">
        <v>600</v>
      </c>
      <c r="AW488" s="375">
        <v>0</v>
      </c>
      <c r="AX488" s="375">
        <v>0</v>
      </c>
      <c r="AY488" s="375">
        <v>0</v>
      </c>
      <c r="AZ488" s="375">
        <v>0</v>
      </c>
      <c r="BA488" s="375">
        <v>0</v>
      </c>
      <c r="BB488" s="375">
        <v>600</v>
      </c>
      <c r="BC488" s="79"/>
      <c r="BD488" s="79"/>
      <c r="BE488" s="79"/>
      <c r="BF488" s="79"/>
      <c r="BG488" s="79"/>
      <c r="BH488" s="79"/>
      <c r="BI488" s="79">
        <v>600</v>
      </c>
      <c r="BJ488" s="79">
        <v>0</v>
      </c>
      <c r="BK488" s="79">
        <v>0</v>
      </c>
      <c r="BL488" s="79">
        <v>0</v>
      </c>
      <c r="BM488" s="79">
        <v>0</v>
      </c>
      <c r="BN488" s="79">
        <v>0</v>
      </c>
      <c r="BO488" s="79">
        <v>600</v>
      </c>
    </row>
    <row r="489" spans="1:67" ht="15" customHeight="1">
      <c r="A489" s="66" t="s">
        <v>2442</v>
      </c>
      <c r="B489" s="66" t="s">
        <v>2443</v>
      </c>
      <c r="C489" s="150" t="s">
        <v>1136</v>
      </c>
      <c r="D489" s="150" t="s">
        <v>1135</v>
      </c>
      <c r="E489" s="150" t="s">
        <v>1137</v>
      </c>
      <c r="F489" s="150" t="s">
        <v>1137</v>
      </c>
      <c r="G489" s="511" t="s">
        <v>639</v>
      </c>
      <c r="H489" s="392" t="s">
        <v>2444</v>
      </c>
      <c r="I489" s="343"/>
      <c r="J489" s="343"/>
      <c r="K489" s="70" t="s">
        <v>798</v>
      </c>
      <c r="L489" s="346"/>
      <c r="M489" s="343"/>
      <c r="N489" s="346"/>
      <c r="O489" s="150" t="s">
        <v>680</v>
      </c>
      <c r="P489" s="1" t="s">
        <v>1141</v>
      </c>
      <c r="Q489" s="403"/>
      <c r="R489" s="406">
        <v>600</v>
      </c>
      <c r="S489" s="406">
        <v>600</v>
      </c>
      <c r="T489" s="425"/>
      <c r="U489" s="71"/>
      <c r="V489" s="426"/>
      <c r="W489" s="427"/>
      <c r="X489" s="427"/>
      <c r="Y489" s="428" t="s">
        <v>1142</v>
      </c>
      <c r="Z489" s="429">
        <v>0</v>
      </c>
      <c r="AA489" s="429">
        <v>0</v>
      </c>
      <c r="AB489" s="363" t="e">
        <v>#N/A</v>
      </c>
      <c r="AC489" s="363"/>
      <c r="AD489" s="363"/>
      <c r="AE489" s="363"/>
      <c r="AF489" s="363"/>
      <c r="AG489" s="363">
        <v>600</v>
      </c>
      <c r="AH489" s="360" t="e">
        <f t="shared" si="26"/>
        <v>#N/A</v>
      </c>
      <c r="AI489" s="362" t="e">
        <f>ERP[[#This Row],[2026 Working Total]]-ERP[[#This Row],[LE2 Final Submission]]</f>
        <v>#N/A</v>
      </c>
      <c r="AJ489" s="79"/>
      <c r="AK489" s="79">
        <f t="shared" si="25"/>
        <v>0</v>
      </c>
      <c r="AL489" s="374">
        <f>SUM(ERP[[#This Row],[AP01]:[AP06]])-SUM(ERP[[#This Row],[AP01 LE2]:[AP06 LE2]])</f>
        <v>0</v>
      </c>
      <c r="AM489" s="80"/>
      <c r="AN489" s="79" t="e">
        <f>ERP[[#This Row],[2026 Working Total to Budget/LE]]-ERP[[#This Row],[Giveback]]</f>
        <v>#N/A</v>
      </c>
      <c r="AO489" s="81"/>
      <c r="AP489" s="375"/>
      <c r="AQ489" s="375"/>
      <c r="AR489" s="375"/>
      <c r="AS489" s="375"/>
      <c r="AT489" s="375"/>
      <c r="AU489" s="375"/>
      <c r="AV489" s="375"/>
      <c r="AW489" s="375"/>
      <c r="AX489" s="375"/>
      <c r="AY489" s="375"/>
      <c r="AZ489" s="375"/>
      <c r="BA489" s="375">
        <v>600</v>
      </c>
      <c r="BB489" s="375">
        <v>600</v>
      </c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>
        <v>600</v>
      </c>
      <c r="BO489" s="79">
        <v>600</v>
      </c>
    </row>
    <row r="490" spans="1:67" ht="15" customHeight="1">
      <c r="A490" s="79" t="s">
        <v>2445</v>
      </c>
      <c r="B490" s="296" t="s">
        <v>2446</v>
      </c>
      <c r="C490" s="150" t="s">
        <v>1136</v>
      </c>
      <c r="D490" s="332" t="s">
        <v>1135</v>
      </c>
      <c r="E490" s="383" t="s">
        <v>1156</v>
      </c>
      <c r="F490" s="333" t="s">
        <v>1137</v>
      </c>
      <c r="G490" s="512" t="s">
        <v>639</v>
      </c>
      <c r="H490" s="393" t="s">
        <v>2447</v>
      </c>
      <c r="I490" s="343" t="s">
        <v>1251</v>
      </c>
      <c r="J490" s="332" t="s">
        <v>1252</v>
      </c>
      <c r="K490" s="91" t="s">
        <v>800</v>
      </c>
      <c r="L490" s="347"/>
      <c r="M490" s="346" t="s">
        <v>2448</v>
      </c>
      <c r="N490" s="348" t="s">
        <v>1710</v>
      </c>
      <c r="O490" s="386" t="s">
        <v>801</v>
      </c>
      <c r="P490" s="346" t="s">
        <v>2453</v>
      </c>
      <c r="Q490" s="432"/>
      <c r="R490" s="358">
        <v>120000</v>
      </c>
      <c r="S490" s="378">
        <v>0</v>
      </c>
      <c r="T490" s="425"/>
      <c r="U490" s="71"/>
      <c r="V490" s="433"/>
      <c r="W490" s="434"/>
      <c r="X490" s="434"/>
      <c r="Y490" s="428" t="s">
        <v>1142</v>
      </c>
      <c r="Z490" s="429">
        <v>0</v>
      </c>
      <c r="AA490" s="429">
        <v>0</v>
      </c>
      <c r="AB490" s="363" t="e">
        <v>#N/A</v>
      </c>
      <c r="AC490" s="388">
        <v>0</v>
      </c>
      <c r="AD490" s="388">
        <v>0</v>
      </c>
      <c r="AE490" s="388">
        <v>0</v>
      </c>
      <c r="AF490" s="388">
        <v>0</v>
      </c>
      <c r="AG490" s="388">
        <v>0</v>
      </c>
      <c r="AH490" s="360" t="e">
        <f t="shared" si="26"/>
        <v>#N/A</v>
      </c>
      <c r="AI490" s="362" t="e">
        <f>ERP[[#This Row],[2026 Working Total]]-ERP[[#This Row],[LE2 Final Submission]]</f>
        <v>#N/A</v>
      </c>
      <c r="AJ490" s="79">
        <v>0</v>
      </c>
      <c r="AK490" s="79">
        <f t="shared" si="25"/>
        <v>0</v>
      </c>
      <c r="AL490" s="374">
        <f>SUM(ERP[[#This Row],[AP01]:[AP06]])-SUM(ERP[[#This Row],[AP01 LE2]:[AP06 LE2]])</f>
        <v>0</v>
      </c>
      <c r="AM490" s="80"/>
      <c r="AN490" s="79" t="e">
        <f>ERP[[#This Row],[2026 Working Total to Budget/LE]]-ERP[[#This Row],[Giveback]]</f>
        <v>#N/A</v>
      </c>
      <c r="AO490" s="81"/>
      <c r="AP490" s="375"/>
      <c r="AQ490" s="375"/>
      <c r="AR490" s="375"/>
      <c r="AS490" s="375">
        <v>0</v>
      </c>
      <c r="AT490" s="375">
        <v>0</v>
      </c>
      <c r="AU490" s="375">
        <v>0</v>
      </c>
      <c r="AV490" s="375">
        <v>0</v>
      </c>
      <c r="AW490" s="375">
        <v>0</v>
      </c>
      <c r="AX490" s="375">
        <v>0</v>
      </c>
      <c r="AY490" s="375">
        <v>0</v>
      </c>
      <c r="AZ490" s="375">
        <v>0</v>
      </c>
      <c r="BA490" s="375">
        <v>0</v>
      </c>
      <c r="BB490" s="375">
        <v>0</v>
      </c>
      <c r="BC490" s="103">
        <v>120000</v>
      </c>
      <c r="BD490" s="103">
        <v>0</v>
      </c>
      <c r="BE490" s="103">
        <v>0</v>
      </c>
      <c r="BF490" s="103">
        <v>0</v>
      </c>
      <c r="BG490" s="103">
        <v>0</v>
      </c>
      <c r="BH490" s="103">
        <v>0</v>
      </c>
      <c r="BI490" s="103">
        <v>0</v>
      </c>
      <c r="BJ490" s="103">
        <v>0</v>
      </c>
      <c r="BK490" s="103">
        <v>0</v>
      </c>
      <c r="BL490" s="103">
        <v>0</v>
      </c>
      <c r="BM490" s="103">
        <v>0</v>
      </c>
      <c r="BN490" s="103">
        <v>0</v>
      </c>
      <c r="BO490" s="79">
        <f>SUM(ERP[[#This Row],[2026 AP01]:[2026 AP12]])</f>
        <v>120000</v>
      </c>
    </row>
    <row r="491" spans="1:67" ht="15" customHeight="1">
      <c r="A491" s="79" t="s">
        <v>2450</v>
      </c>
      <c r="B491" s="296" t="s">
        <v>2451</v>
      </c>
      <c r="C491" s="150" t="s">
        <v>1136</v>
      </c>
      <c r="D491" s="332" t="s">
        <v>1135</v>
      </c>
      <c r="E491" s="383" t="s">
        <v>1156</v>
      </c>
      <c r="F491" s="333" t="s">
        <v>1137</v>
      </c>
      <c r="G491" s="512" t="s">
        <v>639</v>
      </c>
      <c r="H491" s="393" t="s">
        <v>2452</v>
      </c>
      <c r="I491" s="343" t="s">
        <v>1251</v>
      </c>
      <c r="J491" s="332" t="s">
        <v>1252</v>
      </c>
      <c r="K491" s="91" t="s">
        <v>803</v>
      </c>
      <c r="L491" s="347"/>
      <c r="M491" s="346" t="s">
        <v>2448</v>
      </c>
      <c r="N491" s="348" t="s">
        <v>1710</v>
      </c>
      <c r="O491" s="386" t="s">
        <v>801</v>
      </c>
      <c r="P491" s="346" t="s">
        <v>2453</v>
      </c>
      <c r="Q491" s="432"/>
      <c r="R491" s="358">
        <v>-120000</v>
      </c>
      <c r="S491" s="378">
        <v>0</v>
      </c>
      <c r="T491" s="425"/>
      <c r="U491" s="71"/>
      <c r="V491" s="433"/>
      <c r="W491" s="434"/>
      <c r="X491" s="434"/>
      <c r="Y491" s="428" t="s">
        <v>1142</v>
      </c>
      <c r="Z491" s="429">
        <v>0</v>
      </c>
      <c r="AA491" s="429">
        <v>0</v>
      </c>
      <c r="AB491" s="363" t="e">
        <v>#N/A</v>
      </c>
      <c r="AC491" s="388">
        <v>0</v>
      </c>
      <c r="AD491" s="388">
        <v>0</v>
      </c>
      <c r="AE491" s="388">
        <v>0</v>
      </c>
      <c r="AF491" s="388">
        <v>0</v>
      </c>
      <c r="AG491" s="388">
        <v>0</v>
      </c>
      <c r="AH491" s="360" t="e">
        <f t="shared" si="26"/>
        <v>#N/A</v>
      </c>
      <c r="AI491" s="362" t="e">
        <f>ERP[[#This Row],[2026 Working Total]]-ERP[[#This Row],[LE2 Final Submission]]</f>
        <v>#N/A</v>
      </c>
      <c r="AJ491" s="79">
        <v>0</v>
      </c>
      <c r="AK491" s="79">
        <f t="shared" si="25"/>
        <v>0</v>
      </c>
      <c r="AL491" s="374">
        <f>SUM(ERP[[#This Row],[AP01]:[AP06]])-SUM(ERP[[#This Row],[AP01 LE2]:[AP06 LE2]])</f>
        <v>0</v>
      </c>
      <c r="AM491" s="80"/>
      <c r="AN491" s="79" t="e">
        <f>ERP[[#This Row],[2026 Working Total to Budget/LE]]-ERP[[#This Row],[Giveback]]</f>
        <v>#N/A</v>
      </c>
      <c r="AO491" s="81"/>
      <c r="AP491" s="375"/>
      <c r="AQ491" s="375"/>
      <c r="AR491" s="375"/>
      <c r="AS491" s="375">
        <v>0</v>
      </c>
      <c r="AT491" s="375">
        <v>0</v>
      </c>
      <c r="AU491" s="375">
        <v>0</v>
      </c>
      <c r="AV491" s="375">
        <v>0</v>
      </c>
      <c r="AW491" s="375">
        <v>0</v>
      </c>
      <c r="AX491" s="375">
        <v>0</v>
      </c>
      <c r="AY491" s="375">
        <v>0</v>
      </c>
      <c r="AZ491" s="375">
        <v>0</v>
      </c>
      <c r="BA491" s="375">
        <v>0</v>
      </c>
      <c r="BB491" s="375">
        <v>0</v>
      </c>
      <c r="BC491" s="103">
        <v>-120000</v>
      </c>
      <c r="BD491" s="103">
        <v>0</v>
      </c>
      <c r="BE491" s="103">
        <v>0</v>
      </c>
      <c r="BF491" s="103">
        <v>0</v>
      </c>
      <c r="BG491" s="103">
        <v>0</v>
      </c>
      <c r="BH491" s="103">
        <v>0</v>
      </c>
      <c r="BI491" s="103">
        <v>0</v>
      </c>
      <c r="BJ491" s="103">
        <v>0</v>
      </c>
      <c r="BK491" s="103">
        <v>0</v>
      </c>
      <c r="BL491" s="103">
        <v>0</v>
      </c>
      <c r="BM491" s="103">
        <v>0</v>
      </c>
      <c r="BN491" s="103">
        <v>0</v>
      </c>
      <c r="BO491" s="79">
        <f>SUM(ERP[[#This Row],[2026 AP01]:[2026 AP12]])</f>
        <v>-120000</v>
      </c>
    </row>
    <row r="492" spans="1:67" ht="15" customHeight="1">
      <c r="A492" s="79" t="s">
        <v>2454</v>
      </c>
      <c r="B492" s="296" t="s">
        <v>2455</v>
      </c>
      <c r="C492" s="150" t="s">
        <v>1136</v>
      </c>
      <c r="D492" s="332" t="s">
        <v>1135</v>
      </c>
      <c r="E492" s="383" t="s">
        <v>1145</v>
      </c>
      <c r="F492" s="331" t="s">
        <v>1137</v>
      </c>
      <c r="G492" s="512" t="s">
        <v>639</v>
      </c>
      <c r="H492" s="393" t="s">
        <v>2456</v>
      </c>
      <c r="I492" s="343" t="s">
        <v>2457</v>
      </c>
      <c r="J492" s="150" t="s">
        <v>1186</v>
      </c>
      <c r="K492" s="91" t="s">
        <v>805</v>
      </c>
      <c r="L492" s="343"/>
      <c r="M492" s="346" t="s">
        <v>2458</v>
      </c>
      <c r="N492" s="346" t="s">
        <v>1710</v>
      </c>
      <c r="O492" s="386" t="s">
        <v>806</v>
      </c>
      <c r="P492" s="346" t="s">
        <v>1348</v>
      </c>
      <c r="Q492" s="437"/>
      <c r="R492" s="358">
        <v>99064.42</v>
      </c>
      <c r="S492" s="378">
        <v>0</v>
      </c>
      <c r="T492" s="425"/>
      <c r="U492" s="71"/>
      <c r="V492" s="433"/>
      <c r="W492" s="434"/>
      <c r="X492" s="434"/>
      <c r="Y492" s="428" t="s">
        <v>1142</v>
      </c>
      <c r="Z492" s="429">
        <v>0</v>
      </c>
      <c r="AA492" s="429">
        <v>0</v>
      </c>
      <c r="AB492" s="363" t="e">
        <v>#N/A</v>
      </c>
      <c r="AC492" s="388">
        <v>0</v>
      </c>
      <c r="AD492" s="388">
        <v>0</v>
      </c>
      <c r="AE492" s="388">
        <v>0</v>
      </c>
      <c r="AF492" s="388">
        <v>0</v>
      </c>
      <c r="AG492" s="388">
        <v>0</v>
      </c>
      <c r="AH492" s="360" t="e">
        <f t="shared" si="26"/>
        <v>#N/A</v>
      </c>
      <c r="AI492" s="362" t="e">
        <f>ERP[[#This Row],[2026 Working Total]]-ERP[[#This Row],[LE2 Final Submission]]</f>
        <v>#N/A</v>
      </c>
      <c r="AJ492" s="79">
        <v>0</v>
      </c>
      <c r="AK492" s="79">
        <f t="shared" si="25"/>
        <v>0</v>
      </c>
      <c r="AL492" s="374">
        <f>SUM(ERP[[#This Row],[AP01]:[AP06]])-SUM(ERP[[#This Row],[AP01 LE2]:[AP06 LE2]])</f>
        <v>0</v>
      </c>
      <c r="AM492" s="80"/>
      <c r="AN492" s="79" t="e">
        <f>ERP[[#This Row],[2026 Working Total to Budget/LE]]-ERP[[#This Row],[Giveback]]</f>
        <v>#N/A</v>
      </c>
      <c r="AO492" s="81"/>
      <c r="AP492" s="375"/>
      <c r="AQ492" s="375"/>
      <c r="AR492" s="375"/>
      <c r="AS492" s="375">
        <v>0</v>
      </c>
      <c r="AT492" s="375">
        <v>0</v>
      </c>
      <c r="AU492" s="375">
        <v>0</v>
      </c>
      <c r="AV492" s="375">
        <v>0</v>
      </c>
      <c r="AW492" s="375">
        <v>0</v>
      </c>
      <c r="AX492" s="375">
        <v>0</v>
      </c>
      <c r="AY492" s="375">
        <v>0</v>
      </c>
      <c r="AZ492" s="375">
        <v>0</v>
      </c>
      <c r="BA492" s="375">
        <v>0</v>
      </c>
      <c r="BB492" s="375">
        <v>0</v>
      </c>
      <c r="BC492" s="103">
        <v>99064.42</v>
      </c>
      <c r="BD492" s="103">
        <v>0</v>
      </c>
      <c r="BE492" s="103">
        <v>0</v>
      </c>
      <c r="BF492" s="103">
        <v>0</v>
      </c>
      <c r="BG492" s="103">
        <v>0</v>
      </c>
      <c r="BH492" s="103">
        <v>0</v>
      </c>
      <c r="BI492" s="103">
        <v>0</v>
      </c>
      <c r="BJ492" s="103">
        <v>0</v>
      </c>
      <c r="BK492" s="103">
        <v>0</v>
      </c>
      <c r="BL492" s="103">
        <v>0</v>
      </c>
      <c r="BM492" s="103">
        <v>0</v>
      </c>
      <c r="BN492" s="103">
        <v>0</v>
      </c>
      <c r="BO492" s="79">
        <f>SUM(ERP[[#This Row],[2026 AP01]:[2026 AP12]])</f>
        <v>99064.42</v>
      </c>
    </row>
    <row r="493" spans="1:67" ht="15" customHeight="1">
      <c r="A493" s="79" t="s">
        <v>2459</v>
      </c>
      <c r="B493" s="296" t="s">
        <v>2460</v>
      </c>
      <c r="C493" s="150" t="s">
        <v>1136</v>
      </c>
      <c r="D493" s="332" t="s">
        <v>1135</v>
      </c>
      <c r="E493" s="383" t="s">
        <v>1145</v>
      </c>
      <c r="F493" s="331" t="s">
        <v>1137</v>
      </c>
      <c r="G493" s="512" t="s">
        <v>639</v>
      </c>
      <c r="H493" s="393" t="s">
        <v>2461</v>
      </c>
      <c r="I493" s="343" t="s">
        <v>2457</v>
      </c>
      <c r="J493" s="150" t="s">
        <v>1186</v>
      </c>
      <c r="K493" s="91" t="s">
        <v>808</v>
      </c>
      <c r="L493" s="343"/>
      <c r="M493" s="346" t="s">
        <v>2458</v>
      </c>
      <c r="N493" s="346" t="s">
        <v>1710</v>
      </c>
      <c r="O493" s="386" t="s">
        <v>806</v>
      </c>
      <c r="P493" s="346" t="s">
        <v>1348</v>
      </c>
      <c r="Q493" s="437"/>
      <c r="R493" s="358">
        <v>-99064.42</v>
      </c>
      <c r="S493" s="378">
        <v>0</v>
      </c>
      <c r="T493" s="425"/>
      <c r="U493" s="71"/>
      <c r="V493" s="433"/>
      <c r="W493" s="434"/>
      <c r="X493" s="434"/>
      <c r="Y493" s="428" t="s">
        <v>1142</v>
      </c>
      <c r="Z493" s="429">
        <v>0</v>
      </c>
      <c r="AA493" s="429">
        <v>0</v>
      </c>
      <c r="AB493" s="363" t="e">
        <v>#N/A</v>
      </c>
      <c r="AC493" s="388">
        <v>0</v>
      </c>
      <c r="AD493" s="388">
        <v>0</v>
      </c>
      <c r="AE493" s="388">
        <v>0</v>
      </c>
      <c r="AF493" s="388">
        <v>0</v>
      </c>
      <c r="AG493" s="388">
        <v>0</v>
      </c>
      <c r="AH493" s="360" t="e">
        <f t="shared" si="26"/>
        <v>#N/A</v>
      </c>
      <c r="AI493" s="362" t="e">
        <f>ERP[[#This Row],[2026 Working Total]]-ERP[[#This Row],[LE2 Final Submission]]</f>
        <v>#N/A</v>
      </c>
      <c r="AJ493" s="79">
        <v>0</v>
      </c>
      <c r="AK493" s="79">
        <f t="shared" si="25"/>
        <v>0</v>
      </c>
      <c r="AL493" s="374">
        <f>SUM(ERP[[#This Row],[AP01]:[AP06]])-SUM(ERP[[#This Row],[AP01 LE2]:[AP06 LE2]])</f>
        <v>0</v>
      </c>
      <c r="AM493" s="80"/>
      <c r="AN493" s="79" t="e">
        <f>ERP[[#This Row],[2026 Working Total to Budget/LE]]-ERP[[#This Row],[Giveback]]</f>
        <v>#N/A</v>
      </c>
      <c r="AO493" s="81"/>
      <c r="AP493" s="375"/>
      <c r="AQ493" s="375"/>
      <c r="AR493" s="375"/>
      <c r="AS493" s="375">
        <v>0</v>
      </c>
      <c r="AT493" s="375">
        <v>0</v>
      </c>
      <c r="AU493" s="375">
        <v>0</v>
      </c>
      <c r="AV493" s="375">
        <v>0</v>
      </c>
      <c r="AW493" s="375">
        <v>0</v>
      </c>
      <c r="AX493" s="375">
        <v>0</v>
      </c>
      <c r="AY493" s="375">
        <v>0</v>
      </c>
      <c r="AZ493" s="375">
        <v>0</v>
      </c>
      <c r="BA493" s="375">
        <v>0</v>
      </c>
      <c r="BB493" s="375">
        <v>0</v>
      </c>
      <c r="BC493" s="103">
        <v>-99064.42</v>
      </c>
      <c r="BD493" s="103">
        <v>0</v>
      </c>
      <c r="BE493" s="103">
        <v>0</v>
      </c>
      <c r="BF493" s="103">
        <v>0</v>
      </c>
      <c r="BG493" s="103">
        <v>0</v>
      </c>
      <c r="BH493" s="103">
        <v>0</v>
      </c>
      <c r="BI493" s="103">
        <v>0</v>
      </c>
      <c r="BJ493" s="103">
        <v>0</v>
      </c>
      <c r="BK493" s="103">
        <v>0</v>
      </c>
      <c r="BL493" s="103">
        <v>0</v>
      </c>
      <c r="BM493" s="103">
        <v>0</v>
      </c>
      <c r="BN493" s="103">
        <v>0</v>
      </c>
      <c r="BO493" s="79">
        <f>SUM(ERP[[#This Row],[2026 AP01]:[2026 AP12]])</f>
        <v>-99064.42</v>
      </c>
    </row>
    <row r="494" spans="1:67" ht="15" customHeight="1">
      <c r="A494" s="66" t="s">
        <v>2792</v>
      </c>
      <c r="B494" s="66" t="s">
        <v>2793</v>
      </c>
      <c r="C494" s="150" t="s">
        <v>1136</v>
      </c>
      <c r="D494" s="150" t="s">
        <v>1345</v>
      </c>
      <c r="E494" s="150" t="s">
        <v>1346</v>
      </c>
      <c r="F494" s="150" t="s">
        <v>1346</v>
      </c>
      <c r="G494" s="511" t="s">
        <v>639</v>
      </c>
      <c r="H494" s="392" t="s">
        <v>818</v>
      </c>
      <c r="I494" s="343"/>
      <c r="J494" s="343"/>
      <c r="K494" s="70" t="s">
        <v>817</v>
      </c>
      <c r="L494" s="346"/>
      <c r="M494" s="346" t="s">
        <v>1140</v>
      </c>
      <c r="N494" s="346"/>
      <c r="O494" s="150" t="s">
        <v>818</v>
      </c>
      <c r="P494" s="150"/>
      <c r="Q494" s="403"/>
      <c r="R494" s="406">
        <v>0</v>
      </c>
      <c r="S494" s="406">
        <v>3886.48</v>
      </c>
      <c r="T494" s="425"/>
      <c r="U494" s="71"/>
      <c r="V494" s="426"/>
      <c r="W494" s="427"/>
      <c r="X494" s="427">
        <v>3886.48</v>
      </c>
      <c r="Y494" s="428">
        <v>174.65</v>
      </c>
      <c r="Z494" s="429">
        <v>0</v>
      </c>
      <c r="AA494" s="429">
        <v>3826.04</v>
      </c>
      <c r="AB494" s="363" t="e">
        <v>#N/A</v>
      </c>
      <c r="AC494" s="360">
        <v>0</v>
      </c>
      <c r="AD494" s="360">
        <v>0</v>
      </c>
      <c r="AE494" s="360">
        <v>0</v>
      </c>
      <c r="AF494" s="360">
        <v>0</v>
      </c>
      <c r="AG494" s="360">
        <v>0</v>
      </c>
      <c r="AH494" s="360" t="e">
        <f t="shared" si="26"/>
        <v>#N/A</v>
      </c>
      <c r="AI494" s="362" t="e">
        <f>ERP[[#This Row],[2026 Working Total]]-ERP[[#This Row],[LE2 Final Submission]]</f>
        <v>#N/A</v>
      </c>
      <c r="AJ494" s="79">
        <v>0</v>
      </c>
      <c r="AK494" s="79">
        <f t="shared" si="25"/>
        <v>3826.04</v>
      </c>
      <c r="AL494" s="374">
        <f>SUM(ERP[[#This Row],[AP01]:[AP06]])-SUM(ERP[[#This Row],[AP01 LE2]:[AP06 LE2]])</f>
        <v>4000.69</v>
      </c>
      <c r="AM494" s="80"/>
      <c r="AN494" s="79" t="e">
        <f>ERP[[#This Row],[2026 Working Total to Budget/LE]]-ERP[[#This Row],[Giveback]]</f>
        <v>#N/A</v>
      </c>
      <c r="AO494" s="81"/>
      <c r="AP494" s="375"/>
      <c r="AQ494" s="375"/>
      <c r="AR494" s="375">
        <v>3886.48</v>
      </c>
      <c r="AS494" s="375">
        <v>0</v>
      </c>
      <c r="AT494" s="375">
        <v>0</v>
      </c>
      <c r="AU494" s="375">
        <v>0</v>
      </c>
      <c r="AV494" s="375">
        <v>0</v>
      </c>
      <c r="AW494" s="375">
        <v>0</v>
      </c>
      <c r="AX494" s="375">
        <v>0</v>
      </c>
      <c r="AY494" s="375">
        <v>0</v>
      </c>
      <c r="AZ494" s="375">
        <v>0</v>
      </c>
      <c r="BA494" s="375">
        <v>0</v>
      </c>
      <c r="BB494" s="375">
        <v>3886.48</v>
      </c>
      <c r="BC494" s="79"/>
      <c r="BD494" s="79"/>
      <c r="BE494" s="79">
        <v>3886.48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0</v>
      </c>
      <c r="BL494" s="79">
        <v>0</v>
      </c>
      <c r="BM494" s="79">
        <v>0</v>
      </c>
      <c r="BN494" s="79">
        <v>0</v>
      </c>
      <c r="BO494" s="79">
        <v>3886.48</v>
      </c>
    </row>
    <row r="495" spans="1:67" ht="15" customHeight="1">
      <c r="A495" s="66" t="s">
        <v>2462</v>
      </c>
      <c r="B495" s="66" t="s">
        <v>809</v>
      </c>
      <c r="C495" s="150" t="s">
        <v>1136</v>
      </c>
      <c r="D495" s="150" t="s">
        <v>1135</v>
      </c>
      <c r="E495" s="150" t="s">
        <v>1135</v>
      </c>
      <c r="F495" s="150" t="s">
        <v>1137</v>
      </c>
      <c r="G495" s="511" t="s">
        <v>639</v>
      </c>
      <c r="H495" s="392" t="s">
        <v>2463</v>
      </c>
      <c r="I495" s="343" t="s">
        <v>1231</v>
      </c>
      <c r="J495" s="346" t="s">
        <v>1171</v>
      </c>
      <c r="K495" s="70" t="s">
        <v>810</v>
      </c>
      <c r="L495" s="346"/>
      <c r="M495" s="343"/>
      <c r="N495" s="346"/>
      <c r="O495" s="150" t="s">
        <v>811</v>
      </c>
      <c r="P495" s="150" t="s">
        <v>2464</v>
      </c>
      <c r="Q495" s="403"/>
      <c r="R495" s="406">
        <v>1136537.76</v>
      </c>
      <c r="S495" s="406">
        <v>1100039.77</v>
      </c>
      <c r="T495" s="425"/>
      <c r="U495" s="71"/>
      <c r="V495" s="426">
        <v>818279</v>
      </c>
      <c r="W495" s="427">
        <v>-636439.42000000004</v>
      </c>
      <c r="X495" s="427">
        <v>90919.92</v>
      </c>
      <c r="Y495" s="428">
        <v>0</v>
      </c>
      <c r="Z495" s="429">
        <v>181839.84</v>
      </c>
      <c r="AA495" s="429">
        <v>90919.92</v>
      </c>
      <c r="AB495" s="363" t="e">
        <v>#N/A</v>
      </c>
      <c r="AC495" s="363">
        <f>90919.92+90919.92</f>
        <v>181839.84</v>
      </c>
      <c r="AD495" s="363">
        <v>90919.92</v>
      </c>
      <c r="AE495" s="363">
        <f>90919.92-90919.92</f>
        <v>0</v>
      </c>
      <c r="AF495" s="363">
        <f>(1127043/12)*2</f>
        <v>187840.5</v>
      </c>
      <c r="AG495" s="363">
        <v>93920.25</v>
      </c>
      <c r="AH495" s="360" t="e">
        <f t="shared" si="26"/>
        <v>#N/A</v>
      </c>
      <c r="AI495" s="362" t="e">
        <f>ERP[[#This Row],[2026 Working Total]]-ERP[[#This Row],[LE2 Final Submission]]</f>
        <v>#N/A</v>
      </c>
      <c r="AJ495" s="79">
        <v>0</v>
      </c>
      <c r="AK495" s="79">
        <f t="shared" si="25"/>
        <v>90919.92</v>
      </c>
      <c r="AL495" s="374">
        <f>SUM(ERP[[#This Row],[AP01]:[AP06]])-SUM(ERP[[#This Row],[AP01 LE2]:[AP06 LE2]])</f>
        <v>0</v>
      </c>
      <c r="AM495" s="80"/>
      <c r="AN495" s="79" t="e">
        <f>ERP[[#This Row],[2026 Working Total to Budget/LE]]-ERP[[#This Row],[Giveback]]</f>
        <v>#N/A</v>
      </c>
      <c r="AO495" s="81"/>
      <c r="AP495" s="375">
        <v>818279</v>
      </c>
      <c r="AQ495" s="375">
        <v>-636439.42000000004</v>
      </c>
      <c r="AR495" s="375">
        <v>90919.92</v>
      </c>
      <c r="AS495" s="375">
        <v>0</v>
      </c>
      <c r="AT495" s="375">
        <v>181839.84</v>
      </c>
      <c r="AU495" s="375">
        <v>90919.92</v>
      </c>
      <c r="AV495" s="375">
        <v>0</v>
      </c>
      <c r="AW495" s="375">
        <v>181839.84</v>
      </c>
      <c r="AX495" s="375">
        <v>90919.92</v>
      </c>
      <c r="AY495" s="375">
        <v>0</v>
      </c>
      <c r="AZ495" s="375">
        <v>187840.5</v>
      </c>
      <c r="BA495" s="375">
        <v>93920.25</v>
      </c>
      <c r="BB495" s="375">
        <v>1100039.77</v>
      </c>
      <c r="BC495" s="79">
        <v>818279</v>
      </c>
      <c r="BD495" s="79">
        <v>-636439.42000000004</v>
      </c>
      <c r="BE495" s="79">
        <v>90919.92</v>
      </c>
      <c r="BF495" s="79">
        <v>90919.92</v>
      </c>
      <c r="BG495" s="79">
        <v>90919.92</v>
      </c>
      <c r="BH495" s="79">
        <v>90919.92</v>
      </c>
      <c r="BI495" s="79">
        <v>90919.92</v>
      </c>
      <c r="BJ495" s="79">
        <v>90919.92</v>
      </c>
      <c r="BK495" s="79">
        <v>90919.92</v>
      </c>
      <c r="BL495" s="79">
        <v>106085.92</v>
      </c>
      <c r="BM495" s="79">
        <v>106085.92</v>
      </c>
      <c r="BN495" s="79">
        <v>106085.92</v>
      </c>
      <c r="BO495" s="79">
        <v>1136536.78</v>
      </c>
    </row>
    <row r="496" spans="1:67" ht="15" customHeight="1">
      <c r="A496" s="66" t="s">
        <v>2623</v>
      </c>
      <c r="B496" s="66" t="s">
        <v>915</v>
      </c>
      <c r="C496" s="150" t="s">
        <v>1136</v>
      </c>
      <c r="D496" s="150" t="s">
        <v>1345</v>
      </c>
      <c r="E496" s="150" t="s">
        <v>1344</v>
      </c>
      <c r="F496" s="150" t="s">
        <v>1346</v>
      </c>
      <c r="G496" s="511" t="s">
        <v>639</v>
      </c>
      <c r="H496" s="392" t="s">
        <v>818</v>
      </c>
      <c r="I496" s="343"/>
      <c r="J496" s="343"/>
      <c r="K496" s="70" t="s">
        <v>817</v>
      </c>
      <c r="L496" s="346"/>
      <c r="M496" s="346" t="s">
        <v>1140</v>
      </c>
      <c r="N496" s="346"/>
      <c r="O496" s="150" t="s">
        <v>818</v>
      </c>
      <c r="P496" s="150"/>
      <c r="Q496" s="403"/>
      <c r="R496" s="406">
        <v>8000</v>
      </c>
      <c r="S496" s="406">
        <v>16362.7</v>
      </c>
      <c r="T496" s="430"/>
      <c r="U496" s="137"/>
      <c r="V496" s="426"/>
      <c r="W496" s="427"/>
      <c r="X496" s="427">
        <v>10362.700000000001</v>
      </c>
      <c r="Y496" s="428">
        <v>0</v>
      </c>
      <c r="Z496" s="429">
        <v>0</v>
      </c>
      <c r="AA496" s="429">
        <v>8211.1</v>
      </c>
      <c r="AB496" s="363" t="e">
        <v>#N/A</v>
      </c>
      <c r="AC496" s="360">
        <v>0</v>
      </c>
      <c r="AD496" s="363">
        <v>2000</v>
      </c>
      <c r="AE496" s="360">
        <v>0</v>
      </c>
      <c r="AF496" s="363">
        <v>2000</v>
      </c>
      <c r="AG496" s="360">
        <v>0</v>
      </c>
      <c r="AH496" s="360" t="e">
        <f t="shared" si="26"/>
        <v>#N/A</v>
      </c>
      <c r="AI496" s="362" t="e">
        <f>ERP[[#This Row],[2026 Working Total]]-ERP[[#This Row],[LE2 Final Submission]]</f>
        <v>#N/A</v>
      </c>
      <c r="AJ496" s="79">
        <v>0</v>
      </c>
      <c r="AK496" s="79">
        <f t="shared" si="25"/>
        <v>8211.1</v>
      </c>
      <c r="AL496" s="374">
        <f>SUM(ERP[[#This Row],[AP01]:[AP06]])-SUM(ERP[[#This Row],[AP01 LE2]:[AP06 LE2]])</f>
        <v>6211.1000000000022</v>
      </c>
      <c r="AM496" s="80"/>
      <c r="AN496" s="79" t="e">
        <f>ERP[[#This Row],[2026 Working Total to Budget/LE]]-ERP[[#This Row],[Giveback]]</f>
        <v>#N/A</v>
      </c>
      <c r="AO496" s="81"/>
      <c r="AP496" s="375"/>
      <c r="AQ496" s="375"/>
      <c r="AR496" s="375">
        <v>10362.700000000001</v>
      </c>
      <c r="AS496" s="375">
        <v>0</v>
      </c>
      <c r="AT496" s="375">
        <v>0</v>
      </c>
      <c r="AU496" s="375">
        <v>2000</v>
      </c>
      <c r="AV496" s="375">
        <v>0</v>
      </c>
      <c r="AW496" s="375">
        <v>0</v>
      </c>
      <c r="AX496" s="375">
        <v>2000</v>
      </c>
      <c r="AY496" s="375">
        <v>0</v>
      </c>
      <c r="AZ496" s="375">
        <v>2000</v>
      </c>
      <c r="BA496" s="375">
        <v>0</v>
      </c>
      <c r="BB496" s="375">
        <v>16362.7</v>
      </c>
      <c r="BC496" s="79"/>
      <c r="BD496" s="79"/>
      <c r="BE496" s="79">
        <v>10362.700000000001</v>
      </c>
      <c r="BF496" s="79">
        <v>0</v>
      </c>
      <c r="BG496" s="79">
        <v>0</v>
      </c>
      <c r="BH496" s="79">
        <v>2000</v>
      </c>
      <c r="BI496" s="79">
        <v>0</v>
      </c>
      <c r="BJ496" s="79">
        <v>0</v>
      </c>
      <c r="BK496" s="79">
        <v>2000</v>
      </c>
      <c r="BL496" s="79">
        <v>0</v>
      </c>
      <c r="BM496" s="79">
        <v>2000</v>
      </c>
      <c r="BN496" s="79">
        <v>0</v>
      </c>
      <c r="BO496" s="79">
        <v>16362.7</v>
      </c>
    </row>
    <row r="497" spans="1:67" ht="15" customHeight="1">
      <c r="A497" s="66" t="s">
        <v>2685</v>
      </c>
      <c r="B497" s="66" t="s">
        <v>950</v>
      </c>
      <c r="C497" s="150" t="s">
        <v>1136</v>
      </c>
      <c r="D497" s="150" t="s">
        <v>1345</v>
      </c>
      <c r="E497" s="150" t="s">
        <v>1345</v>
      </c>
      <c r="F497" s="150" t="s">
        <v>1346</v>
      </c>
      <c r="G497" s="511" t="s">
        <v>639</v>
      </c>
      <c r="H497" s="392" t="s">
        <v>818</v>
      </c>
      <c r="I497" s="343"/>
      <c r="J497" s="343"/>
      <c r="K497" s="70" t="s">
        <v>817</v>
      </c>
      <c r="L497" s="346"/>
      <c r="M497" s="346" t="s">
        <v>1140</v>
      </c>
      <c r="N497" s="346"/>
      <c r="O497" s="150" t="s">
        <v>818</v>
      </c>
      <c r="P497" s="150"/>
      <c r="Q497" s="403"/>
      <c r="R497" s="406">
        <v>13200</v>
      </c>
      <c r="S497" s="406">
        <v>19370.91</v>
      </c>
      <c r="T497" s="430"/>
      <c r="U497" s="137"/>
      <c r="V497" s="426"/>
      <c r="W497" s="427"/>
      <c r="X497" s="427">
        <v>9470.91</v>
      </c>
      <c r="Y497" s="428">
        <v>0</v>
      </c>
      <c r="Z497" s="429">
        <v>0</v>
      </c>
      <c r="AA497" s="429">
        <v>6148.3</v>
      </c>
      <c r="AB497" s="363" t="e">
        <v>#N/A</v>
      </c>
      <c r="AC497" s="360">
        <v>0</v>
      </c>
      <c r="AD497" s="363">
        <v>3300</v>
      </c>
      <c r="AE497" s="360">
        <v>0</v>
      </c>
      <c r="AF497" s="360">
        <v>0</v>
      </c>
      <c r="AG497" s="363">
        <v>3300</v>
      </c>
      <c r="AH497" s="360" t="e">
        <f t="shared" si="26"/>
        <v>#N/A</v>
      </c>
      <c r="AI497" s="362" t="e">
        <f>ERP[[#This Row],[2026 Working Total]]-ERP[[#This Row],[LE2 Final Submission]]</f>
        <v>#N/A</v>
      </c>
      <c r="AJ497" s="79">
        <v>0</v>
      </c>
      <c r="AK497" s="79">
        <f t="shared" si="25"/>
        <v>6148.3</v>
      </c>
      <c r="AL497" s="374">
        <f>SUM(ERP[[#This Row],[AP01]:[AP06]])-SUM(ERP[[#This Row],[AP01 LE2]:[AP06 LE2]])</f>
        <v>2848.2999999999993</v>
      </c>
      <c r="AM497" s="80"/>
      <c r="AN497" s="79" t="e">
        <f>ERP[[#This Row],[2026 Working Total to Budget/LE]]-ERP[[#This Row],[Giveback]]</f>
        <v>#N/A</v>
      </c>
      <c r="AO497" s="81"/>
      <c r="AP497" s="375"/>
      <c r="AQ497" s="375"/>
      <c r="AR497" s="375">
        <v>9470.91</v>
      </c>
      <c r="AS497" s="375">
        <v>0</v>
      </c>
      <c r="AT497" s="375">
        <v>0</v>
      </c>
      <c r="AU497" s="375">
        <v>3300</v>
      </c>
      <c r="AV497" s="375">
        <v>0</v>
      </c>
      <c r="AW497" s="375">
        <v>0</v>
      </c>
      <c r="AX497" s="375">
        <v>3300</v>
      </c>
      <c r="AY497" s="375">
        <v>0</v>
      </c>
      <c r="AZ497" s="375">
        <v>0</v>
      </c>
      <c r="BA497" s="375">
        <v>3300</v>
      </c>
      <c r="BB497" s="375">
        <v>19370.91</v>
      </c>
      <c r="BC497" s="79"/>
      <c r="BD497" s="79"/>
      <c r="BE497" s="79">
        <v>9470.91</v>
      </c>
      <c r="BF497" s="79">
        <v>0</v>
      </c>
      <c r="BG497" s="79">
        <v>0</v>
      </c>
      <c r="BH497" s="79">
        <v>3300</v>
      </c>
      <c r="BI497" s="79">
        <v>0</v>
      </c>
      <c r="BJ497" s="79">
        <v>0</v>
      </c>
      <c r="BK497" s="79">
        <v>3300</v>
      </c>
      <c r="BL497" s="79">
        <v>0</v>
      </c>
      <c r="BM497" s="79">
        <v>0</v>
      </c>
      <c r="BN497" s="79">
        <v>3300</v>
      </c>
      <c r="BO497" s="79">
        <v>19370.91</v>
      </c>
    </row>
    <row r="498" spans="1:67" ht="15" customHeight="1">
      <c r="A498" s="66" t="s">
        <v>2703</v>
      </c>
      <c r="B498" s="66" t="s">
        <v>957</v>
      </c>
      <c r="C498" s="150" t="s">
        <v>1136</v>
      </c>
      <c r="D498" s="150" t="s">
        <v>1345</v>
      </c>
      <c r="E498" s="150" t="s">
        <v>1450</v>
      </c>
      <c r="F498" s="150" t="s">
        <v>1346</v>
      </c>
      <c r="G498" s="511" t="s">
        <v>639</v>
      </c>
      <c r="H498" s="392" t="s">
        <v>818</v>
      </c>
      <c r="I498" s="343"/>
      <c r="J498" s="343"/>
      <c r="K498" s="70" t="s">
        <v>817</v>
      </c>
      <c r="L498" s="346"/>
      <c r="M498" s="346" t="s">
        <v>1140</v>
      </c>
      <c r="N498" s="346"/>
      <c r="O498" s="150" t="s">
        <v>818</v>
      </c>
      <c r="P498" s="150"/>
      <c r="Q498" s="403"/>
      <c r="R498" s="406">
        <v>12000</v>
      </c>
      <c r="S498" s="406">
        <v>19022.099999999999</v>
      </c>
      <c r="T498" s="425"/>
      <c r="U498" s="71"/>
      <c r="V498" s="426"/>
      <c r="W498" s="427"/>
      <c r="X498" s="427">
        <v>10022.1</v>
      </c>
      <c r="Y498" s="428">
        <v>0</v>
      </c>
      <c r="Z498" s="429">
        <v>0</v>
      </c>
      <c r="AA498" s="429">
        <v>7983.4299999999994</v>
      </c>
      <c r="AB498" s="363" t="e">
        <v>#N/A</v>
      </c>
      <c r="AC498" s="360">
        <v>0</v>
      </c>
      <c r="AD498" s="363">
        <v>10000</v>
      </c>
      <c r="AE498" s="360">
        <v>0</v>
      </c>
      <c r="AF498" s="360">
        <v>0</v>
      </c>
      <c r="AG498" s="363">
        <v>10000</v>
      </c>
      <c r="AH498" s="360" t="e">
        <f t="shared" si="26"/>
        <v>#N/A</v>
      </c>
      <c r="AI498" s="362" t="e">
        <f>ERP[[#This Row],[2026 Working Total]]-ERP[[#This Row],[LE2 Final Submission]]</f>
        <v>#N/A</v>
      </c>
      <c r="AJ498" s="79">
        <v>0</v>
      </c>
      <c r="AK498" s="79">
        <f t="shared" si="25"/>
        <v>7983.4299999999994</v>
      </c>
      <c r="AL498" s="374">
        <f>SUM(ERP[[#This Row],[AP01]:[AP06]])-SUM(ERP[[#This Row],[AP01 LE2]:[AP06 LE2]])</f>
        <v>4983.4299999999985</v>
      </c>
      <c r="AM498" s="80"/>
      <c r="AN498" s="79" t="e">
        <f>ERP[[#This Row],[2026 Working Total to Budget/LE]]-ERP[[#This Row],[Giveback]]</f>
        <v>#N/A</v>
      </c>
      <c r="AO498" s="81"/>
      <c r="AP498" s="375"/>
      <c r="AQ498" s="375"/>
      <c r="AR498" s="375">
        <v>10022.1</v>
      </c>
      <c r="AS498" s="375">
        <v>0</v>
      </c>
      <c r="AT498" s="375">
        <v>0</v>
      </c>
      <c r="AU498" s="375">
        <v>3000</v>
      </c>
      <c r="AV498" s="375">
        <v>0</v>
      </c>
      <c r="AW498" s="375">
        <v>0</v>
      </c>
      <c r="AX498" s="375">
        <v>3000</v>
      </c>
      <c r="AY498" s="375">
        <v>0</v>
      </c>
      <c r="AZ498" s="375">
        <v>0</v>
      </c>
      <c r="BA498" s="375">
        <v>3000</v>
      </c>
      <c r="BB498" s="375">
        <v>19022.099999999999</v>
      </c>
      <c r="BC498" s="79"/>
      <c r="BD498" s="79"/>
      <c r="BE498" s="79">
        <v>10022.1</v>
      </c>
      <c r="BF498" s="79">
        <v>0</v>
      </c>
      <c r="BG498" s="79">
        <v>0</v>
      </c>
      <c r="BH498" s="79">
        <v>3000</v>
      </c>
      <c r="BI498" s="79">
        <v>0</v>
      </c>
      <c r="BJ498" s="79">
        <v>0</v>
      </c>
      <c r="BK498" s="79">
        <v>3000</v>
      </c>
      <c r="BL498" s="79">
        <v>0</v>
      </c>
      <c r="BM498" s="79">
        <v>0</v>
      </c>
      <c r="BN498" s="79">
        <v>3000</v>
      </c>
      <c r="BO498" s="79">
        <v>19022.099999999999</v>
      </c>
    </row>
    <row r="499" spans="1:67" ht="15" customHeight="1">
      <c r="A499" s="66" t="s">
        <v>2725</v>
      </c>
      <c r="B499" s="66" t="s">
        <v>973</v>
      </c>
      <c r="C499" s="150" t="s">
        <v>1136</v>
      </c>
      <c r="D499" s="150" t="s">
        <v>1345</v>
      </c>
      <c r="E499" s="150" t="s">
        <v>1480</v>
      </c>
      <c r="F499" s="150" t="s">
        <v>1346</v>
      </c>
      <c r="G499" s="511" t="s">
        <v>639</v>
      </c>
      <c r="H499" s="392" t="s">
        <v>818</v>
      </c>
      <c r="I499" s="343"/>
      <c r="J499" s="343"/>
      <c r="K499" s="70" t="s">
        <v>817</v>
      </c>
      <c r="L499" s="346"/>
      <c r="M499" s="346" t="s">
        <v>1140</v>
      </c>
      <c r="N499" s="346"/>
      <c r="O499" s="150" t="s">
        <v>818</v>
      </c>
      <c r="P499" s="150"/>
      <c r="Q499" s="403"/>
      <c r="R499" s="406">
        <v>30000</v>
      </c>
      <c r="S499" s="406">
        <v>33718.54</v>
      </c>
      <c r="T499" s="425"/>
      <c r="U499" s="71"/>
      <c r="V499" s="426"/>
      <c r="W499" s="427"/>
      <c r="X499" s="427">
        <v>11218.54</v>
      </c>
      <c r="Y499" s="428">
        <v>0</v>
      </c>
      <c r="Z499" s="429">
        <v>0</v>
      </c>
      <c r="AA499" s="429">
        <v>15527.55</v>
      </c>
      <c r="AB499" s="363" t="e">
        <v>#N/A</v>
      </c>
      <c r="AC499" s="360">
        <v>0</v>
      </c>
      <c r="AD499" s="363">
        <v>7500</v>
      </c>
      <c r="AE499" s="360">
        <v>0</v>
      </c>
      <c r="AF499" s="363">
        <v>7500</v>
      </c>
      <c r="AG499" s="360">
        <v>0</v>
      </c>
      <c r="AH499" s="360" t="e">
        <f t="shared" si="26"/>
        <v>#N/A</v>
      </c>
      <c r="AI499" s="362" t="e">
        <f>ERP[[#This Row],[2026 Working Total]]-ERP[[#This Row],[LE2 Final Submission]]</f>
        <v>#N/A</v>
      </c>
      <c r="AJ499" s="79">
        <v>0</v>
      </c>
      <c r="AK499" s="79">
        <f t="shared" si="25"/>
        <v>15527.55</v>
      </c>
      <c r="AL499" s="374">
        <f>SUM(ERP[[#This Row],[AP01]:[AP06]])-SUM(ERP[[#This Row],[AP01 LE2]:[AP06 LE2]])</f>
        <v>8027.5499999999993</v>
      </c>
      <c r="AM499" s="80"/>
      <c r="AN499" s="79" t="e">
        <f>ERP[[#This Row],[2026 Working Total to Budget/LE]]-ERP[[#This Row],[Giveback]]</f>
        <v>#N/A</v>
      </c>
      <c r="AO499" s="81"/>
      <c r="AP499" s="375"/>
      <c r="AQ499" s="375"/>
      <c r="AR499" s="375">
        <v>11218.54</v>
      </c>
      <c r="AS499" s="375">
        <v>0</v>
      </c>
      <c r="AT499" s="375">
        <v>0</v>
      </c>
      <c r="AU499" s="375">
        <v>7500</v>
      </c>
      <c r="AV499" s="375">
        <v>0</v>
      </c>
      <c r="AW499" s="375">
        <v>0</v>
      </c>
      <c r="AX499" s="375">
        <v>7500</v>
      </c>
      <c r="AY499" s="375">
        <v>0</v>
      </c>
      <c r="AZ499" s="375">
        <v>7500</v>
      </c>
      <c r="BA499" s="375">
        <v>0</v>
      </c>
      <c r="BB499" s="375">
        <v>33718.54</v>
      </c>
      <c r="BC499" s="79"/>
      <c r="BD499" s="79"/>
      <c r="BE499" s="79">
        <v>11218.54</v>
      </c>
      <c r="BF499" s="79">
        <v>0</v>
      </c>
      <c r="BG499" s="79">
        <v>0</v>
      </c>
      <c r="BH499" s="79">
        <v>7500</v>
      </c>
      <c r="BI499" s="79">
        <v>0</v>
      </c>
      <c r="BJ499" s="79">
        <v>0</v>
      </c>
      <c r="BK499" s="79">
        <v>7500</v>
      </c>
      <c r="BL499" s="79">
        <v>0</v>
      </c>
      <c r="BM499" s="79">
        <v>7500</v>
      </c>
      <c r="BN499" s="79">
        <v>0</v>
      </c>
      <c r="BO499" s="79">
        <v>33718.54</v>
      </c>
    </row>
    <row r="500" spans="1:67" ht="15" customHeight="1">
      <c r="A500" s="66" t="s">
        <v>2751</v>
      </c>
      <c r="B500" s="66" t="s">
        <v>986</v>
      </c>
      <c r="C500" s="150" t="s">
        <v>1136</v>
      </c>
      <c r="D500" s="150" t="s">
        <v>1345</v>
      </c>
      <c r="E500" s="150" t="s">
        <v>1515</v>
      </c>
      <c r="F500" s="150" t="s">
        <v>1346</v>
      </c>
      <c r="G500" s="511" t="s">
        <v>639</v>
      </c>
      <c r="H500" s="392" t="s">
        <v>818</v>
      </c>
      <c r="I500" s="343"/>
      <c r="J500" s="343"/>
      <c r="K500" s="70" t="s">
        <v>817</v>
      </c>
      <c r="L500" s="346"/>
      <c r="M500" s="346" t="s">
        <v>1140</v>
      </c>
      <c r="N500" s="346"/>
      <c r="O500" s="150" t="s">
        <v>818</v>
      </c>
      <c r="P500" s="150"/>
      <c r="Q500" s="403"/>
      <c r="R500" s="406">
        <v>8000</v>
      </c>
      <c r="S500" s="406">
        <v>17389.7</v>
      </c>
      <c r="T500" s="425"/>
      <c r="U500" s="71"/>
      <c r="V500" s="426"/>
      <c r="W500" s="427"/>
      <c r="X500" s="427">
        <v>11389.7</v>
      </c>
      <c r="Y500" s="428">
        <v>0</v>
      </c>
      <c r="Z500" s="429">
        <v>0</v>
      </c>
      <c r="AA500" s="429">
        <v>8531.9</v>
      </c>
      <c r="AB500" s="363" t="e">
        <v>#N/A</v>
      </c>
      <c r="AC500" s="360">
        <v>0</v>
      </c>
      <c r="AD500" s="363">
        <v>2000</v>
      </c>
      <c r="AE500" s="360">
        <v>0</v>
      </c>
      <c r="AF500" s="363">
        <v>2000</v>
      </c>
      <c r="AG500" s="360">
        <v>0</v>
      </c>
      <c r="AH500" s="360" t="e">
        <f t="shared" si="26"/>
        <v>#N/A</v>
      </c>
      <c r="AI500" s="362" t="e">
        <f>ERP[[#This Row],[2026 Working Total]]-ERP[[#This Row],[LE2 Final Submission]]</f>
        <v>#N/A</v>
      </c>
      <c r="AJ500" s="79">
        <v>0</v>
      </c>
      <c r="AK500" s="79">
        <f t="shared" si="25"/>
        <v>8531.9</v>
      </c>
      <c r="AL500" s="374">
        <f>SUM(ERP[[#This Row],[AP01]:[AP06]])-SUM(ERP[[#This Row],[AP01 LE2]:[AP06 LE2]])</f>
        <v>6531.8999999999978</v>
      </c>
      <c r="AM500" s="80"/>
      <c r="AN500" s="79" t="e">
        <f>ERP[[#This Row],[2026 Working Total to Budget/LE]]-ERP[[#This Row],[Giveback]]</f>
        <v>#N/A</v>
      </c>
      <c r="AO500" s="81"/>
      <c r="AP500" s="375"/>
      <c r="AQ500" s="375"/>
      <c r="AR500" s="375">
        <v>11389.7</v>
      </c>
      <c r="AS500" s="375">
        <v>0</v>
      </c>
      <c r="AT500" s="375">
        <v>0</v>
      </c>
      <c r="AU500" s="375">
        <v>2000</v>
      </c>
      <c r="AV500" s="375">
        <v>0</v>
      </c>
      <c r="AW500" s="375">
        <v>0</v>
      </c>
      <c r="AX500" s="375">
        <v>2000</v>
      </c>
      <c r="AY500" s="375">
        <v>0</v>
      </c>
      <c r="AZ500" s="375">
        <v>2000</v>
      </c>
      <c r="BA500" s="375">
        <v>0</v>
      </c>
      <c r="BB500" s="375">
        <v>17389.7</v>
      </c>
      <c r="BC500" s="79"/>
      <c r="BD500" s="79"/>
      <c r="BE500" s="79">
        <v>11389.7</v>
      </c>
      <c r="BF500" s="79">
        <v>0</v>
      </c>
      <c r="BG500" s="79">
        <v>0</v>
      </c>
      <c r="BH500" s="79">
        <v>2000</v>
      </c>
      <c r="BI500" s="79">
        <v>0</v>
      </c>
      <c r="BJ500" s="79">
        <v>0</v>
      </c>
      <c r="BK500" s="79">
        <v>2000</v>
      </c>
      <c r="BL500" s="79">
        <v>0</v>
      </c>
      <c r="BM500" s="79">
        <v>2000</v>
      </c>
      <c r="BN500" s="79">
        <v>0</v>
      </c>
      <c r="BO500" s="79">
        <v>17389.7</v>
      </c>
    </row>
    <row r="501" spans="1:67" ht="15" customHeight="1">
      <c r="A501" s="66" t="s">
        <v>2465</v>
      </c>
      <c r="B501" s="66" t="s">
        <v>812</v>
      </c>
      <c r="C501" s="150" t="s">
        <v>1136</v>
      </c>
      <c r="D501" s="150" t="s">
        <v>1135</v>
      </c>
      <c r="E501" s="150" t="s">
        <v>1135</v>
      </c>
      <c r="F501" s="150" t="s">
        <v>1137</v>
      </c>
      <c r="G501" s="511" t="s">
        <v>639</v>
      </c>
      <c r="H501" s="392" t="s">
        <v>2466</v>
      </c>
      <c r="I501" s="343"/>
      <c r="J501" s="343"/>
      <c r="K501" s="70" t="s">
        <v>813</v>
      </c>
      <c r="L501" s="346"/>
      <c r="M501" s="343"/>
      <c r="N501" s="346"/>
      <c r="O501" s="150" t="s">
        <v>64</v>
      </c>
      <c r="P501" s="150" t="s">
        <v>2467</v>
      </c>
      <c r="Q501" s="403"/>
      <c r="R501" s="406">
        <v>287700</v>
      </c>
      <c r="S501" s="406">
        <v>297194</v>
      </c>
      <c r="T501" s="425"/>
      <c r="U501" s="71"/>
      <c r="V501" s="426"/>
      <c r="W501" s="427"/>
      <c r="X501" s="427"/>
      <c r="Y501" s="428" t="s">
        <v>1142</v>
      </c>
      <c r="Z501" s="429">
        <v>0</v>
      </c>
      <c r="AA501" s="429">
        <v>0</v>
      </c>
      <c r="AB501" s="363" t="e">
        <v>#N/A</v>
      </c>
      <c r="AC501" s="363"/>
      <c r="AD501" s="363"/>
      <c r="AE501" s="363">
        <f>287700-287700+297194</f>
        <v>297194</v>
      </c>
      <c r="AF501" s="360">
        <v>0</v>
      </c>
      <c r="AG501" s="360">
        <v>0</v>
      </c>
      <c r="AH501" s="360" t="e">
        <f t="shared" si="26"/>
        <v>#N/A</v>
      </c>
      <c r="AI501" s="362" t="e">
        <f>ERP[[#This Row],[2026 Working Total]]-ERP[[#This Row],[LE2 Final Submission]]</f>
        <v>#N/A</v>
      </c>
      <c r="AJ501" s="79"/>
      <c r="AK501" s="79">
        <f t="shared" si="25"/>
        <v>0</v>
      </c>
      <c r="AL501" s="374">
        <f>SUM(ERP[[#This Row],[AP01]:[AP06]])-SUM(ERP[[#This Row],[AP01 LE2]:[AP06 LE2]])</f>
        <v>0</v>
      </c>
      <c r="AM501" s="80"/>
      <c r="AN501" s="79" t="e">
        <f>ERP[[#This Row],[2026 Working Total to Budget/LE]]-ERP[[#This Row],[Giveback]]</f>
        <v>#N/A</v>
      </c>
      <c r="AO501" s="81"/>
      <c r="AP501" s="375"/>
      <c r="AQ501" s="375"/>
      <c r="AR501" s="375"/>
      <c r="AS501" s="375"/>
      <c r="AT501" s="375"/>
      <c r="AU501" s="375"/>
      <c r="AV501" s="375"/>
      <c r="AW501" s="375"/>
      <c r="AX501" s="375"/>
      <c r="AY501" s="375">
        <v>297194</v>
      </c>
      <c r="AZ501" s="375">
        <v>0</v>
      </c>
      <c r="BA501" s="375">
        <v>0</v>
      </c>
      <c r="BB501" s="375">
        <v>297194</v>
      </c>
      <c r="BC501" s="79"/>
      <c r="BD501" s="79"/>
      <c r="BE501" s="79"/>
      <c r="BF501" s="79"/>
      <c r="BG501" s="79"/>
      <c r="BH501" s="79"/>
      <c r="BI501" s="79"/>
      <c r="BJ501" s="79"/>
      <c r="BK501" s="79"/>
      <c r="BL501" s="79">
        <v>287700</v>
      </c>
      <c r="BM501" s="79">
        <v>0</v>
      </c>
      <c r="BN501" s="79">
        <v>0</v>
      </c>
      <c r="BO501" s="79">
        <v>287700</v>
      </c>
    </row>
    <row r="502" spans="1:67" ht="15" customHeight="1">
      <c r="A502" s="66" t="s">
        <v>2468</v>
      </c>
      <c r="B502" s="66" t="s">
        <v>814</v>
      </c>
      <c r="C502" s="150" t="s">
        <v>1136</v>
      </c>
      <c r="D502" s="150" t="s">
        <v>1135</v>
      </c>
      <c r="E502" s="150" t="s">
        <v>1135</v>
      </c>
      <c r="F502" s="150" t="s">
        <v>1137</v>
      </c>
      <c r="G502" s="511" t="s">
        <v>639</v>
      </c>
      <c r="H502" s="392" t="s">
        <v>2469</v>
      </c>
      <c r="I502" s="343"/>
      <c r="J502" s="343"/>
      <c r="K502" s="70" t="s">
        <v>815</v>
      </c>
      <c r="L502" s="346"/>
      <c r="M502" s="343"/>
      <c r="N502" s="346"/>
      <c r="O502" s="150" t="s">
        <v>67</v>
      </c>
      <c r="P502" s="150"/>
      <c r="Q502" s="403"/>
      <c r="R502" s="406">
        <v>58000</v>
      </c>
      <c r="S502" s="406">
        <v>58000</v>
      </c>
      <c r="T502" s="430"/>
      <c r="U502" s="137"/>
      <c r="V502" s="426"/>
      <c r="W502" s="427"/>
      <c r="X502" s="427"/>
      <c r="Y502" s="428" t="s">
        <v>1142</v>
      </c>
      <c r="Z502" s="429">
        <v>0</v>
      </c>
      <c r="AA502" s="429">
        <v>0</v>
      </c>
      <c r="AB502" s="363" t="e">
        <v>#N/A</v>
      </c>
      <c r="AC502" s="363"/>
      <c r="AD502" s="363">
        <v>22000</v>
      </c>
      <c r="AE502" s="360">
        <v>0</v>
      </c>
      <c r="AF502" s="363">
        <v>36000</v>
      </c>
      <c r="AG502" s="360">
        <v>0</v>
      </c>
      <c r="AH502" s="360" t="e">
        <f t="shared" si="26"/>
        <v>#N/A</v>
      </c>
      <c r="AI502" s="362" t="e">
        <f>ERP[[#This Row],[2026 Working Total]]-ERP[[#This Row],[LE2 Final Submission]]</f>
        <v>#N/A</v>
      </c>
      <c r="AJ502" s="79"/>
      <c r="AK502" s="79">
        <f t="shared" si="25"/>
        <v>0</v>
      </c>
      <c r="AL502" s="374">
        <f>SUM(ERP[[#This Row],[AP01]:[AP06]])-SUM(ERP[[#This Row],[AP01 LE2]:[AP06 LE2]])</f>
        <v>0</v>
      </c>
      <c r="AM502" s="80"/>
      <c r="AN502" s="79" t="e">
        <f>ERP[[#This Row],[2026 Working Total to Budget/LE]]-ERP[[#This Row],[Giveback]]</f>
        <v>#N/A</v>
      </c>
      <c r="AO502" s="81"/>
      <c r="AP502" s="375"/>
      <c r="AQ502" s="375"/>
      <c r="AR502" s="375"/>
      <c r="AS502" s="375"/>
      <c r="AT502" s="375"/>
      <c r="AU502" s="375"/>
      <c r="AV502" s="375"/>
      <c r="AW502" s="375"/>
      <c r="AX502" s="375">
        <v>22000</v>
      </c>
      <c r="AY502" s="375">
        <v>0</v>
      </c>
      <c r="AZ502" s="375">
        <v>36000</v>
      </c>
      <c r="BA502" s="375">
        <v>0</v>
      </c>
      <c r="BB502" s="375">
        <v>58000</v>
      </c>
      <c r="BC502" s="79"/>
      <c r="BD502" s="79"/>
      <c r="BE502" s="79"/>
      <c r="BF502" s="79"/>
      <c r="BG502" s="79"/>
      <c r="BH502" s="79"/>
      <c r="BI502" s="79"/>
      <c r="BJ502" s="79"/>
      <c r="BK502" s="79">
        <v>22000</v>
      </c>
      <c r="BL502" s="79">
        <v>0</v>
      </c>
      <c r="BM502" s="79">
        <v>36000</v>
      </c>
      <c r="BN502" s="79">
        <v>0</v>
      </c>
      <c r="BO502" s="79">
        <v>58000</v>
      </c>
    </row>
    <row r="503" spans="1:67" ht="15" customHeight="1">
      <c r="A503" s="66" t="s">
        <v>2794</v>
      </c>
      <c r="B503" s="66" t="s">
        <v>2795</v>
      </c>
      <c r="C503" s="150" t="s">
        <v>1136</v>
      </c>
      <c r="D503" s="150" t="s">
        <v>1567</v>
      </c>
      <c r="E503" s="150" t="s">
        <v>1567</v>
      </c>
      <c r="F503" s="150" t="s">
        <v>1567</v>
      </c>
      <c r="G503" s="511" t="s">
        <v>639</v>
      </c>
      <c r="H503" s="392" t="s">
        <v>818</v>
      </c>
      <c r="I503" s="343"/>
      <c r="J503" s="343"/>
      <c r="K503" s="70" t="s">
        <v>817</v>
      </c>
      <c r="L503" s="346"/>
      <c r="M503" s="346" t="s">
        <v>1140</v>
      </c>
      <c r="N503" s="346"/>
      <c r="O503" s="150" t="s">
        <v>818</v>
      </c>
      <c r="P503" s="150"/>
      <c r="Q503" s="403"/>
      <c r="R503" s="406">
        <v>0</v>
      </c>
      <c r="S503" s="406">
        <v>95.05</v>
      </c>
      <c r="T503" s="425"/>
      <c r="U503" s="71"/>
      <c r="V503" s="426"/>
      <c r="W503" s="427"/>
      <c r="X503" s="427">
        <v>95.05</v>
      </c>
      <c r="Y503" s="428">
        <v>0</v>
      </c>
      <c r="Z503" s="429">
        <v>0</v>
      </c>
      <c r="AA503" s="429">
        <v>160.29</v>
      </c>
      <c r="AB503" s="363" t="e">
        <v>#N/A</v>
      </c>
      <c r="AC503" s="360">
        <v>0</v>
      </c>
      <c r="AD503" s="360">
        <v>0</v>
      </c>
      <c r="AE503" s="360">
        <v>0</v>
      </c>
      <c r="AF503" s="360">
        <v>0</v>
      </c>
      <c r="AG503" s="360">
        <v>0</v>
      </c>
      <c r="AH503" s="360" t="e">
        <f t="shared" si="26"/>
        <v>#N/A</v>
      </c>
      <c r="AI503" s="362" t="e">
        <f>ERP[[#This Row],[2026 Working Total]]-ERP[[#This Row],[LE2 Final Submission]]</f>
        <v>#N/A</v>
      </c>
      <c r="AJ503" s="79">
        <v>0</v>
      </c>
      <c r="AK503" s="79">
        <f t="shared" si="25"/>
        <v>160.29</v>
      </c>
      <c r="AL503" s="374">
        <f>SUM(ERP[[#This Row],[AP01]:[AP06]])-SUM(ERP[[#This Row],[AP01 LE2]:[AP06 LE2]])</f>
        <v>160.28999999999996</v>
      </c>
      <c r="AM503" s="80"/>
      <c r="AN503" s="79" t="e">
        <f>ERP[[#This Row],[2026 Working Total to Budget/LE]]-ERP[[#This Row],[Giveback]]</f>
        <v>#N/A</v>
      </c>
      <c r="AO503" s="81"/>
      <c r="AP503" s="375"/>
      <c r="AQ503" s="375"/>
      <c r="AR503" s="375">
        <v>95.05</v>
      </c>
      <c r="AS503" s="375">
        <v>0</v>
      </c>
      <c r="AT503" s="375">
        <v>0</v>
      </c>
      <c r="AU503" s="375">
        <v>0</v>
      </c>
      <c r="AV503" s="375">
        <v>0</v>
      </c>
      <c r="AW503" s="375">
        <v>0</v>
      </c>
      <c r="AX503" s="375">
        <v>0</v>
      </c>
      <c r="AY503" s="375">
        <v>0</v>
      </c>
      <c r="AZ503" s="375">
        <v>0</v>
      </c>
      <c r="BA503" s="375">
        <v>0</v>
      </c>
      <c r="BB503" s="375">
        <v>95.05</v>
      </c>
      <c r="BC503" s="79"/>
      <c r="BD503" s="79"/>
      <c r="BE503" s="79">
        <v>95.05</v>
      </c>
      <c r="BF503" s="79">
        <v>0</v>
      </c>
      <c r="BG503" s="79">
        <v>0</v>
      </c>
      <c r="BH503" s="79">
        <v>0</v>
      </c>
      <c r="BI503" s="79">
        <v>0</v>
      </c>
      <c r="BJ503" s="79">
        <v>0</v>
      </c>
      <c r="BK503" s="79">
        <v>0</v>
      </c>
      <c r="BL503" s="79">
        <v>0</v>
      </c>
      <c r="BM503" s="79">
        <v>0</v>
      </c>
      <c r="BN503" s="79">
        <v>0</v>
      </c>
      <c r="BO503" s="79">
        <v>95.05</v>
      </c>
    </row>
    <row r="504" spans="1:67" ht="15" customHeight="1">
      <c r="A504" s="66" t="s">
        <v>2470</v>
      </c>
      <c r="B504" s="66" t="s">
        <v>816</v>
      </c>
      <c r="C504" s="150" t="s">
        <v>1136</v>
      </c>
      <c r="D504" s="150" t="s">
        <v>1135</v>
      </c>
      <c r="E504" s="150" t="s">
        <v>1135</v>
      </c>
      <c r="F504" s="150" t="s">
        <v>1137</v>
      </c>
      <c r="G504" s="511" t="s">
        <v>639</v>
      </c>
      <c r="H504" s="392" t="s">
        <v>818</v>
      </c>
      <c r="I504" s="343"/>
      <c r="J504" s="343"/>
      <c r="K504" s="70" t="s">
        <v>817</v>
      </c>
      <c r="L504" s="346"/>
      <c r="M504" s="346" t="s">
        <v>1140</v>
      </c>
      <c r="N504" s="346"/>
      <c r="O504" s="150" t="s">
        <v>818</v>
      </c>
      <c r="P504" s="150"/>
      <c r="Q504" s="403"/>
      <c r="R504" s="406">
        <v>124504</v>
      </c>
      <c r="S504" s="406">
        <v>146423.48000000001</v>
      </c>
      <c r="T504" s="425"/>
      <c r="U504" s="71"/>
      <c r="V504" s="426"/>
      <c r="W504" s="427"/>
      <c r="X504" s="427">
        <v>61919.48</v>
      </c>
      <c r="Y504" s="428">
        <v>0</v>
      </c>
      <c r="Z504" s="429">
        <v>0</v>
      </c>
      <c r="AA504" s="429">
        <v>45968.679999999993</v>
      </c>
      <c r="AB504" s="363" t="e">
        <v>#N/A</v>
      </c>
      <c r="AC504" s="360">
        <v>0</v>
      </c>
      <c r="AD504" s="363">
        <v>40000</v>
      </c>
      <c r="AE504" s="360">
        <v>0</v>
      </c>
      <c r="AF504" s="363">
        <v>4504</v>
      </c>
      <c r="AG504" s="360">
        <v>0</v>
      </c>
      <c r="AH504" s="360" t="e">
        <f t="shared" si="26"/>
        <v>#N/A</v>
      </c>
      <c r="AI504" s="362" t="e">
        <f>ERP[[#This Row],[2026 Working Total]]-ERP[[#This Row],[LE2 Final Submission]]</f>
        <v>#N/A</v>
      </c>
      <c r="AJ504" s="79">
        <v>0</v>
      </c>
      <c r="AK504" s="79">
        <f t="shared" si="25"/>
        <v>45968.679999999993</v>
      </c>
      <c r="AL504" s="374">
        <f>SUM(ERP[[#This Row],[AP01]:[AP06]])-SUM(ERP[[#This Row],[AP01 LE2]:[AP06 LE2]])</f>
        <v>5968.679999999993</v>
      </c>
      <c r="AM504" s="80"/>
      <c r="AN504" s="79" t="e">
        <f>ERP[[#This Row],[2026 Working Total to Budget/LE]]-ERP[[#This Row],[Giveback]]</f>
        <v>#N/A</v>
      </c>
      <c r="AO504" s="81"/>
      <c r="AP504" s="375"/>
      <c r="AQ504" s="375"/>
      <c r="AR504" s="375">
        <v>61919.48</v>
      </c>
      <c r="AS504" s="375">
        <v>0</v>
      </c>
      <c r="AT504" s="375">
        <v>0</v>
      </c>
      <c r="AU504" s="375">
        <v>40000</v>
      </c>
      <c r="AV504" s="375">
        <v>0</v>
      </c>
      <c r="AW504" s="375">
        <v>0</v>
      </c>
      <c r="AX504" s="375">
        <v>40000</v>
      </c>
      <c r="AY504" s="375">
        <v>0</v>
      </c>
      <c r="AZ504" s="375">
        <v>4504</v>
      </c>
      <c r="BA504" s="375">
        <v>0</v>
      </c>
      <c r="BB504" s="375">
        <v>146423.48000000001</v>
      </c>
      <c r="BC504" s="79"/>
      <c r="BD504" s="79"/>
      <c r="BE504" s="79">
        <v>61919.48</v>
      </c>
      <c r="BF504" s="79">
        <v>0</v>
      </c>
      <c r="BG504" s="79">
        <v>0</v>
      </c>
      <c r="BH504" s="79">
        <v>40000</v>
      </c>
      <c r="BI504" s="79">
        <v>0</v>
      </c>
      <c r="BJ504" s="79">
        <v>0</v>
      </c>
      <c r="BK504" s="79">
        <v>40000</v>
      </c>
      <c r="BL504" s="79">
        <v>0</v>
      </c>
      <c r="BM504" s="79">
        <v>4504</v>
      </c>
      <c r="BN504" s="79">
        <v>0</v>
      </c>
      <c r="BO504" s="79">
        <v>146423.48000000001</v>
      </c>
    </row>
    <row r="505" spans="1:67" ht="15" customHeight="1">
      <c r="A505" s="66" t="s">
        <v>2471</v>
      </c>
      <c r="B505" s="66" t="s">
        <v>2472</v>
      </c>
      <c r="C505" s="150" t="s">
        <v>1136</v>
      </c>
      <c r="D505" s="150" t="s">
        <v>1135</v>
      </c>
      <c r="E505" s="150" t="s">
        <v>1137</v>
      </c>
      <c r="F505" s="150" t="s">
        <v>1137</v>
      </c>
      <c r="G505" s="511" t="s">
        <v>639</v>
      </c>
      <c r="H505" s="392" t="s">
        <v>818</v>
      </c>
      <c r="I505" s="343"/>
      <c r="J505" s="343"/>
      <c r="K505" s="70" t="s">
        <v>817</v>
      </c>
      <c r="L505" s="346"/>
      <c r="M505" s="346" t="s">
        <v>1140</v>
      </c>
      <c r="N505" s="346"/>
      <c r="O505" s="150" t="s">
        <v>818</v>
      </c>
      <c r="P505" s="1" t="s">
        <v>1141</v>
      </c>
      <c r="Q505" s="403"/>
      <c r="R505" s="406">
        <v>50000</v>
      </c>
      <c r="S505" s="406">
        <v>38665</v>
      </c>
      <c r="T505" s="425"/>
      <c r="U505" s="71"/>
      <c r="V505" s="426"/>
      <c r="W505" s="427"/>
      <c r="X505" s="427">
        <v>1165</v>
      </c>
      <c r="Y505" s="428">
        <v>0</v>
      </c>
      <c r="Z505" s="429">
        <v>0</v>
      </c>
      <c r="AA505" s="429">
        <v>1720.74</v>
      </c>
      <c r="AB505" s="363" t="e">
        <v>#N/A</v>
      </c>
      <c r="AC505" s="360">
        <v>0</v>
      </c>
      <c r="AD505" s="363">
        <v>12500</v>
      </c>
      <c r="AE505" s="360">
        <v>0</v>
      </c>
      <c r="AF505" s="363">
        <v>12500</v>
      </c>
      <c r="AG505" s="360">
        <v>0</v>
      </c>
      <c r="AH505" s="360" t="e">
        <f t="shared" si="26"/>
        <v>#N/A</v>
      </c>
      <c r="AI505" s="362" t="e">
        <f>ERP[[#This Row],[2026 Working Total]]-ERP[[#This Row],[LE2 Final Submission]]</f>
        <v>#N/A</v>
      </c>
      <c r="AJ505" s="79">
        <v>0</v>
      </c>
      <c r="AK505" s="79">
        <f t="shared" si="25"/>
        <v>1720.74</v>
      </c>
      <c r="AL505" s="374">
        <f>SUM(ERP[[#This Row],[AP01]:[AP06]])-SUM(ERP[[#This Row],[AP01 LE2]:[AP06 LE2]])</f>
        <v>-10779.26</v>
      </c>
      <c r="AM505" s="80"/>
      <c r="AN505" s="79" t="e">
        <f>ERP[[#This Row],[2026 Working Total to Budget/LE]]-ERP[[#This Row],[Giveback]]</f>
        <v>#N/A</v>
      </c>
      <c r="AO505" s="81"/>
      <c r="AP505" s="375"/>
      <c r="AQ505" s="375"/>
      <c r="AR505" s="375">
        <v>1165</v>
      </c>
      <c r="AS505" s="375">
        <v>0</v>
      </c>
      <c r="AT505" s="375">
        <v>0</v>
      </c>
      <c r="AU505" s="375">
        <v>12500</v>
      </c>
      <c r="AV505" s="375">
        <v>0</v>
      </c>
      <c r="AW505" s="375">
        <v>0</v>
      </c>
      <c r="AX505" s="375">
        <v>12500</v>
      </c>
      <c r="AY505" s="375">
        <v>0</v>
      </c>
      <c r="AZ505" s="375">
        <v>12500</v>
      </c>
      <c r="BA505" s="375">
        <v>0</v>
      </c>
      <c r="BB505" s="375">
        <v>38665</v>
      </c>
      <c r="BC505" s="79"/>
      <c r="BD505" s="79"/>
      <c r="BE505" s="79">
        <v>1165</v>
      </c>
      <c r="BF505" s="79">
        <v>0</v>
      </c>
      <c r="BG505" s="79">
        <v>0</v>
      </c>
      <c r="BH505" s="79">
        <v>12500</v>
      </c>
      <c r="BI505" s="79">
        <v>0</v>
      </c>
      <c r="BJ505" s="79">
        <v>0</v>
      </c>
      <c r="BK505" s="79">
        <v>12500</v>
      </c>
      <c r="BL505" s="79">
        <v>0</v>
      </c>
      <c r="BM505" s="79">
        <v>12500</v>
      </c>
      <c r="BN505" s="79">
        <v>0</v>
      </c>
      <c r="BO505" s="79">
        <v>38665</v>
      </c>
    </row>
    <row r="506" spans="1:67" ht="15" customHeight="1">
      <c r="A506" s="66" t="s">
        <v>2815</v>
      </c>
      <c r="B506" s="66" t="s">
        <v>1022</v>
      </c>
      <c r="C506" s="150" t="s">
        <v>1136</v>
      </c>
      <c r="D506" s="150" t="s">
        <v>1650</v>
      </c>
      <c r="E506" s="150" t="s">
        <v>1650</v>
      </c>
      <c r="F506" s="150" t="s">
        <v>1650</v>
      </c>
      <c r="G506" s="511" t="s">
        <v>639</v>
      </c>
      <c r="H506" s="392" t="s">
        <v>818</v>
      </c>
      <c r="I506" s="343"/>
      <c r="J506" s="343"/>
      <c r="K506" s="70" t="s">
        <v>817</v>
      </c>
      <c r="L506" s="346"/>
      <c r="M506" s="346" t="s">
        <v>1140</v>
      </c>
      <c r="N506" s="346"/>
      <c r="O506" s="150" t="s">
        <v>818</v>
      </c>
      <c r="P506" s="150" t="s">
        <v>2816</v>
      </c>
      <c r="Q506" s="403"/>
      <c r="R506" s="406">
        <v>17784.52</v>
      </c>
      <c r="S506" s="406">
        <v>32897.279999999999</v>
      </c>
      <c r="T506" s="425"/>
      <c r="U506" s="71"/>
      <c r="V506" s="426"/>
      <c r="W506" s="427"/>
      <c r="X506" s="427">
        <v>8224.32</v>
      </c>
      <c r="Y506" s="428">
        <v>0</v>
      </c>
      <c r="Z506" s="429">
        <v>0</v>
      </c>
      <c r="AA506" s="429">
        <v>10506.24</v>
      </c>
      <c r="AB506" s="363" t="e">
        <v>#N/A</v>
      </c>
      <c r="AC506" s="360">
        <v>0</v>
      </c>
      <c r="AD506" s="363">
        <v>8224.32</v>
      </c>
      <c r="AE506" s="360">
        <v>0</v>
      </c>
      <c r="AF506" s="363">
        <v>8224.32</v>
      </c>
      <c r="AG506" s="360">
        <v>0</v>
      </c>
      <c r="AH506" s="360" t="e">
        <f t="shared" si="26"/>
        <v>#N/A</v>
      </c>
      <c r="AI506" s="362" t="e">
        <f>ERP[[#This Row],[2026 Working Total]]-ERP[[#This Row],[LE2 Final Submission]]</f>
        <v>#N/A</v>
      </c>
      <c r="AJ506" s="79">
        <v>0</v>
      </c>
      <c r="AK506" s="79">
        <f t="shared" si="25"/>
        <v>10506.24</v>
      </c>
      <c r="AL506" s="374">
        <f>SUM(ERP[[#This Row],[AP01]:[AP06]])-SUM(ERP[[#This Row],[AP01 LE2]:[AP06 LE2]])</f>
        <v>2281.9199999999983</v>
      </c>
      <c r="AM506" s="80"/>
      <c r="AN506" s="79" t="e">
        <f>ERP[[#This Row],[2026 Working Total to Budget/LE]]-ERP[[#This Row],[Giveback]]</f>
        <v>#N/A</v>
      </c>
      <c r="AO506" s="81"/>
      <c r="AP506" s="375"/>
      <c r="AQ506" s="375"/>
      <c r="AR506" s="375">
        <v>8224.32</v>
      </c>
      <c r="AS506" s="375">
        <v>0</v>
      </c>
      <c r="AT506" s="375">
        <v>0</v>
      </c>
      <c r="AU506" s="375">
        <v>8224.32</v>
      </c>
      <c r="AV506" s="375">
        <v>0</v>
      </c>
      <c r="AW506" s="375">
        <v>0</v>
      </c>
      <c r="AX506" s="375">
        <v>8224.32</v>
      </c>
      <c r="AY506" s="375">
        <v>0</v>
      </c>
      <c r="AZ506" s="375">
        <v>8224.32</v>
      </c>
      <c r="BA506" s="375">
        <v>0</v>
      </c>
      <c r="BB506" s="375">
        <v>32897.279999999999</v>
      </c>
      <c r="BC506" s="79"/>
      <c r="BD506" s="79"/>
      <c r="BE506" s="79">
        <v>8224.32</v>
      </c>
      <c r="BF506" s="79">
        <v>0</v>
      </c>
      <c r="BG506" s="79">
        <v>0</v>
      </c>
      <c r="BH506" s="79">
        <v>4446.13</v>
      </c>
      <c r="BI506" s="79">
        <v>0</v>
      </c>
      <c r="BJ506" s="79">
        <v>0</v>
      </c>
      <c r="BK506" s="79">
        <v>4446.13</v>
      </c>
      <c r="BL506" s="79">
        <v>0</v>
      </c>
      <c r="BM506" s="79">
        <v>4446.13</v>
      </c>
      <c r="BN506" s="79">
        <v>0</v>
      </c>
      <c r="BO506" s="79">
        <v>21562.710000000003</v>
      </c>
    </row>
    <row r="507" spans="1:67" ht="15" customHeight="1">
      <c r="A507" s="66" t="s">
        <v>2473</v>
      </c>
      <c r="B507" s="66" t="s">
        <v>2474</v>
      </c>
      <c r="C507" s="150" t="s">
        <v>1136</v>
      </c>
      <c r="D507" s="150" t="s">
        <v>1135</v>
      </c>
      <c r="E507" s="150" t="s">
        <v>1145</v>
      </c>
      <c r="F507" s="150" t="s">
        <v>1137</v>
      </c>
      <c r="G507" s="511" t="s">
        <v>639</v>
      </c>
      <c r="H507" s="392" t="s">
        <v>818</v>
      </c>
      <c r="I507" s="343"/>
      <c r="J507" s="343"/>
      <c r="K507" s="70" t="s">
        <v>817</v>
      </c>
      <c r="L507" s="346"/>
      <c r="M507" s="346" t="s">
        <v>1140</v>
      </c>
      <c r="N507" s="346"/>
      <c r="O507" s="150" t="s">
        <v>818</v>
      </c>
      <c r="P507" s="150"/>
      <c r="Q507" s="403"/>
      <c r="R507" s="406">
        <v>3000</v>
      </c>
      <c r="S507" s="406">
        <v>3010.21</v>
      </c>
      <c r="T507" s="425"/>
      <c r="U507" s="71"/>
      <c r="V507" s="426"/>
      <c r="W507" s="427"/>
      <c r="X507" s="427">
        <v>410.21</v>
      </c>
      <c r="Y507" s="428">
        <v>0</v>
      </c>
      <c r="Z507" s="429">
        <v>0</v>
      </c>
      <c r="AA507" s="429">
        <v>398.24</v>
      </c>
      <c r="AB507" s="363" t="e">
        <v>#N/A</v>
      </c>
      <c r="AC507" s="360">
        <v>0</v>
      </c>
      <c r="AD507" s="360">
        <v>0</v>
      </c>
      <c r="AE507" s="360">
        <v>0</v>
      </c>
      <c r="AF507" s="360">
        <v>0</v>
      </c>
      <c r="AG507" s="360">
        <v>0</v>
      </c>
      <c r="AH507" s="360" t="e">
        <f t="shared" si="26"/>
        <v>#N/A</v>
      </c>
      <c r="AI507" s="362" t="e">
        <f>ERP[[#This Row],[2026 Working Total]]-ERP[[#This Row],[LE2 Final Submission]]</f>
        <v>#N/A</v>
      </c>
      <c r="AJ507" s="79">
        <v>0</v>
      </c>
      <c r="AK507" s="79">
        <f t="shared" si="25"/>
        <v>398.24</v>
      </c>
      <c r="AL507" s="374">
        <f>SUM(ERP[[#This Row],[AP01]:[AP06]])-SUM(ERP[[#This Row],[AP01 LE2]:[AP06 LE2]])</f>
        <v>-2201.7600000000002</v>
      </c>
      <c r="AM507" s="80"/>
      <c r="AN507" s="79" t="e">
        <f>ERP[[#This Row],[2026 Working Total to Budget/LE]]-ERP[[#This Row],[Giveback]]</f>
        <v>#N/A</v>
      </c>
      <c r="AO507" s="81"/>
      <c r="AP507" s="375"/>
      <c r="AQ507" s="375"/>
      <c r="AR507" s="375">
        <v>410.21</v>
      </c>
      <c r="AS507" s="375">
        <v>2600</v>
      </c>
      <c r="AT507" s="375">
        <v>0</v>
      </c>
      <c r="AU507" s="375">
        <v>0</v>
      </c>
      <c r="AV507" s="375">
        <v>0</v>
      </c>
      <c r="AW507" s="375">
        <v>0</v>
      </c>
      <c r="AX507" s="375">
        <v>0</v>
      </c>
      <c r="AY507" s="375">
        <v>0</v>
      </c>
      <c r="AZ507" s="375">
        <v>0</v>
      </c>
      <c r="BA507" s="375">
        <v>0</v>
      </c>
      <c r="BB507" s="375">
        <v>3010.21</v>
      </c>
      <c r="BC507" s="79"/>
      <c r="BD507" s="79"/>
      <c r="BE507" s="79">
        <v>410.21</v>
      </c>
      <c r="BF507" s="79">
        <v>3000</v>
      </c>
      <c r="BG507" s="79">
        <v>0</v>
      </c>
      <c r="BH507" s="79">
        <v>0</v>
      </c>
      <c r="BI507" s="79">
        <v>0</v>
      </c>
      <c r="BJ507" s="79">
        <v>0</v>
      </c>
      <c r="BK507" s="79">
        <v>0</v>
      </c>
      <c r="BL507" s="79">
        <v>0</v>
      </c>
      <c r="BM507" s="79">
        <v>0</v>
      </c>
      <c r="BN507" s="79">
        <v>0</v>
      </c>
      <c r="BO507" s="79">
        <v>3410.21</v>
      </c>
    </row>
    <row r="508" spans="1:67" ht="15" customHeight="1">
      <c r="A508" s="66" t="s">
        <v>2726</v>
      </c>
      <c r="B508" s="66" t="s">
        <v>2727</v>
      </c>
      <c r="C508" s="150" t="s">
        <v>1136</v>
      </c>
      <c r="D508" s="150" t="s">
        <v>1345</v>
      </c>
      <c r="E508" s="150" t="s">
        <v>1481</v>
      </c>
      <c r="F508" s="150" t="s">
        <v>1346</v>
      </c>
      <c r="G508" s="511" t="s">
        <v>639</v>
      </c>
      <c r="H508" s="392" t="s">
        <v>818</v>
      </c>
      <c r="I508" s="343"/>
      <c r="J508" s="343"/>
      <c r="K508" s="70" t="s">
        <v>817</v>
      </c>
      <c r="L508" s="346"/>
      <c r="M508" s="346" t="s">
        <v>1140</v>
      </c>
      <c r="N508" s="346"/>
      <c r="O508" s="150" t="s">
        <v>818</v>
      </c>
      <c r="P508" s="473" t="s">
        <v>1513</v>
      </c>
      <c r="Q508" s="403"/>
      <c r="R508" s="406">
        <v>7176</v>
      </c>
      <c r="S508" s="406">
        <v>11702.54</v>
      </c>
      <c r="T508" s="425"/>
      <c r="U508" s="71"/>
      <c r="V508" s="426"/>
      <c r="W508" s="427"/>
      <c r="X508" s="427">
        <v>6320.54</v>
      </c>
      <c r="Y508" s="428">
        <v>0</v>
      </c>
      <c r="Z508" s="429">
        <v>0</v>
      </c>
      <c r="AA508" s="429">
        <v>0</v>
      </c>
      <c r="AB508" s="363" t="e">
        <v>#N/A</v>
      </c>
      <c r="AC508" s="360">
        <v>0</v>
      </c>
      <c r="AD508" s="363">
        <v>1794</v>
      </c>
      <c r="AE508" s="360">
        <v>0</v>
      </c>
      <c r="AF508" s="363">
        <v>1794</v>
      </c>
      <c r="AG508" s="360">
        <v>0</v>
      </c>
      <c r="AH508" s="360" t="e">
        <f t="shared" si="26"/>
        <v>#N/A</v>
      </c>
      <c r="AI508" s="362" t="e">
        <f>ERP[[#This Row],[2026 Working Total]]-ERP[[#This Row],[LE2 Final Submission]]</f>
        <v>#N/A</v>
      </c>
      <c r="AJ508" s="79">
        <v>0</v>
      </c>
      <c r="AK508" s="79">
        <f t="shared" si="25"/>
        <v>0</v>
      </c>
      <c r="AL508" s="374">
        <f>SUM(ERP[[#This Row],[AP01]:[AP06]])-SUM(ERP[[#This Row],[AP01 LE2]:[AP06 LE2]])</f>
        <v>-1794</v>
      </c>
      <c r="AM508" s="80"/>
      <c r="AN508" s="79" t="e">
        <f>ERP[[#This Row],[2026 Working Total to Budget/LE]]-ERP[[#This Row],[Giveback]]</f>
        <v>#N/A</v>
      </c>
      <c r="AO508" s="81"/>
      <c r="AP508" s="375"/>
      <c r="AQ508" s="375"/>
      <c r="AR508" s="375">
        <v>6320.54</v>
      </c>
      <c r="AS508" s="375">
        <v>0</v>
      </c>
      <c r="AT508" s="375">
        <v>0</v>
      </c>
      <c r="AU508" s="375">
        <v>1794</v>
      </c>
      <c r="AV508" s="375">
        <v>0</v>
      </c>
      <c r="AW508" s="375">
        <v>0</v>
      </c>
      <c r="AX508" s="375">
        <v>1794</v>
      </c>
      <c r="AY508" s="375">
        <v>0</v>
      </c>
      <c r="AZ508" s="375">
        <v>1794</v>
      </c>
      <c r="BA508" s="375">
        <v>0</v>
      </c>
      <c r="BB508" s="375">
        <v>11702.54</v>
      </c>
      <c r="BC508" s="79"/>
      <c r="BD508" s="79"/>
      <c r="BE508" s="79">
        <v>6320.54</v>
      </c>
      <c r="BF508" s="79">
        <v>0</v>
      </c>
      <c r="BG508" s="79">
        <v>0</v>
      </c>
      <c r="BH508" s="79">
        <v>1794</v>
      </c>
      <c r="BI508" s="79">
        <v>0</v>
      </c>
      <c r="BJ508" s="79">
        <v>0</v>
      </c>
      <c r="BK508" s="79">
        <v>1794</v>
      </c>
      <c r="BL508" s="79">
        <v>0</v>
      </c>
      <c r="BM508" s="79">
        <v>1794</v>
      </c>
      <c r="BN508" s="79">
        <v>0</v>
      </c>
      <c r="BO508" s="79">
        <v>11702.54</v>
      </c>
    </row>
    <row r="509" spans="1:67" ht="15" customHeight="1">
      <c r="A509" s="66" t="s">
        <v>1422</v>
      </c>
      <c r="B509" s="66" t="s">
        <v>193</v>
      </c>
      <c r="C509" s="150" t="s">
        <v>1136</v>
      </c>
      <c r="D509" s="150" t="s">
        <v>1345</v>
      </c>
      <c r="E509" s="150" t="s">
        <v>1344</v>
      </c>
      <c r="F509" s="150" t="s">
        <v>1346</v>
      </c>
      <c r="G509" s="511" t="s">
        <v>49</v>
      </c>
      <c r="H509" s="392" t="s">
        <v>1423</v>
      </c>
      <c r="I509" s="343"/>
      <c r="J509" s="343"/>
      <c r="K509" s="70" t="s">
        <v>194</v>
      </c>
      <c r="L509" s="346"/>
      <c r="M509" s="343"/>
      <c r="N509" s="346"/>
      <c r="O509" s="150" t="s">
        <v>25</v>
      </c>
      <c r="P509" s="150"/>
      <c r="Q509" s="403"/>
      <c r="R509" s="406">
        <v>0</v>
      </c>
      <c r="S509" s="406">
        <v>3710</v>
      </c>
      <c r="T509" s="425"/>
      <c r="U509" s="71"/>
      <c r="V509" s="426"/>
      <c r="W509" s="427">
        <v>3710</v>
      </c>
      <c r="X509" s="431">
        <v>0</v>
      </c>
      <c r="Y509" s="428">
        <v>0</v>
      </c>
      <c r="Z509" s="429">
        <v>0</v>
      </c>
      <c r="AA509" s="429">
        <v>0</v>
      </c>
      <c r="AB509" s="363" t="e">
        <v>#N/A</v>
      </c>
      <c r="AC509" s="360">
        <v>0</v>
      </c>
      <c r="AD509" s="360">
        <v>0</v>
      </c>
      <c r="AE509" s="360">
        <v>0</v>
      </c>
      <c r="AF509" s="360">
        <v>0</v>
      </c>
      <c r="AG509" s="360">
        <v>0</v>
      </c>
      <c r="AH509" s="360" t="e">
        <f t="shared" si="26"/>
        <v>#N/A</v>
      </c>
      <c r="AI509" s="362" t="e">
        <f>ERP[[#This Row],[2026 Working Total]]-ERP[[#This Row],[LE2 Final Submission]]</f>
        <v>#N/A</v>
      </c>
      <c r="AJ509" s="79">
        <v>0</v>
      </c>
      <c r="AK509" s="79">
        <f t="shared" si="25"/>
        <v>0</v>
      </c>
      <c r="AL509" s="374">
        <f>SUM(ERP[[#This Row],[AP01]:[AP06]])-SUM(ERP[[#This Row],[AP01 LE2]:[AP06 LE2]])</f>
        <v>0</v>
      </c>
      <c r="AM509" s="80"/>
      <c r="AN509" s="79" t="e">
        <f>ERP[[#This Row],[2026 Working Total to Budget/LE]]-ERP[[#This Row],[Giveback]]</f>
        <v>#N/A</v>
      </c>
      <c r="AO509" s="155" t="s">
        <v>1424</v>
      </c>
      <c r="AP509" s="375"/>
      <c r="AQ509" s="375">
        <v>3710</v>
      </c>
      <c r="AR509" s="375">
        <v>0</v>
      </c>
      <c r="AS509" s="375">
        <v>0</v>
      </c>
      <c r="AT509" s="375">
        <v>0</v>
      </c>
      <c r="AU509" s="375">
        <v>0</v>
      </c>
      <c r="AV509" s="375">
        <v>0</v>
      </c>
      <c r="AW509" s="375">
        <v>0</v>
      </c>
      <c r="AX509" s="375">
        <v>0</v>
      </c>
      <c r="AY509" s="375">
        <v>0</v>
      </c>
      <c r="AZ509" s="375">
        <v>0</v>
      </c>
      <c r="BA509" s="375">
        <v>0</v>
      </c>
      <c r="BB509" s="375">
        <v>3710</v>
      </c>
      <c r="BC509" s="79"/>
      <c r="BD509" s="79">
        <v>3710</v>
      </c>
      <c r="BE509" s="79">
        <v>0</v>
      </c>
      <c r="BF509" s="79">
        <v>0</v>
      </c>
      <c r="BG509" s="79">
        <v>0</v>
      </c>
      <c r="BH509" s="79">
        <v>0</v>
      </c>
      <c r="BI509" s="79">
        <v>0</v>
      </c>
      <c r="BJ509" s="79">
        <v>0</v>
      </c>
      <c r="BK509" s="79">
        <v>0</v>
      </c>
      <c r="BL509" s="79">
        <v>0</v>
      </c>
      <c r="BM509" s="79">
        <v>0</v>
      </c>
      <c r="BN509" s="79">
        <v>0</v>
      </c>
      <c r="BO509" s="79">
        <v>3710</v>
      </c>
    </row>
    <row r="510" spans="1:67" ht="15" customHeight="1">
      <c r="A510" s="66" t="s">
        <v>2624</v>
      </c>
      <c r="B510" s="66" t="s">
        <v>916</v>
      </c>
      <c r="C510" s="150" t="s">
        <v>1136</v>
      </c>
      <c r="D510" s="150" t="s">
        <v>1345</v>
      </c>
      <c r="E510" s="150" t="s">
        <v>1344</v>
      </c>
      <c r="F510" s="150" t="s">
        <v>1346</v>
      </c>
      <c r="G510" s="511" t="s">
        <v>639</v>
      </c>
      <c r="H510" s="392" t="s">
        <v>1423</v>
      </c>
      <c r="I510" s="343"/>
      <c r="J510" s="343"/>
      <c r="K510" s="70" t="s">
        <v>194</v>
      </c>
      <c r="L510" s="346"/>
      <c r="M510" s="343"/>
      <c r="N510" s="346"/>
      <c r="O510" s="150" t="s">
        <v>25</v>
      </c>
      <c r="P510" s="150"/>
      <c r="Q510" s="403"/>
      <c r="R510" s="406">
        <v>21665.519999999993</v>
      </c>
      <c r="S510" s="406">
        <v>21665.52</v>
      </c>
      <c r="T510" s="425"/>
      <c r="U510" s="71"/>
      <c r="V510" s="426"/>
      <c r="W510" s="427"/>
      <c r="X510" s="427"/>
      <c r="Y510" s="428" t="s">
        <v>1142</v>
      </c>
      <c r="Z510" s="429">
        <v>0</v>
      </c>
      <c r="AA510" s="429">
        <v>0</v>
      </c>
      <c r="AB510" s="363" t="e">
        <v>#N/A</v>
      </c>
      <c r="AC510" s="363"/>
      <c r="AD510" s="363"/>
      <c r="AE510" s="363">
        <v>21665.52</v>
      </c>
      <c r="AF510" s="363"/>
      <c r="AG510" s="363"/>
      <c r="AH510" s="360" t="e">
        <f t="shared" si="26"/>
        <v>#N/A</v>
      </c>
      <c r="AI510" s="362" t="e">
        <f>ERP[[#This Row],[2026 Working Total]]-ERP[[#This Row],[LE2 Final Submission]]</f>
        <v>#N/A</v>
      </c>
      <c r="AJ510" s="79"/>
      <c r="AK510" s="79">
        <f t="shared" si="25"/>
        <v>0</v>
      </c>
      <c r="AL510" s="374">
        <f>SUM(ERP[[#This Row],[AP01]:[AP06]])-SUM(ERP[[#This Row],[AP01 LE2]:[AP06 LE2]])</f>
        <v>0</v>
      </c>
      <c r="AM510" s="80"/>
      <c r="AN510" s="79" t="e">
        <f>ERP[[#This Row],[2026 Working Total to Budget/LE]]-ERP[[#This Row],[Giveback]]</f>
        <v>#N/A</v>
      </c>
      <c r="AO510" s="81" t="s">
        <v>1423</v>
      </c>
      <c r="AP510" s="375"/>
      <c r="AQ510" s="375"/>
      <c r="AR510" s="375"/>
      <c r="AS510" s="375"/>
      <c r="AT510" s="375"/>
      <c r="AU510" s="375"/>
      <c r="AV510" s="375"/>
      <c r="AW510" s="375"/>
      <c r="AX510" s="375"/>
      <c r="AY510" s="375">
        <v>21665.52</v>
      </c>
      <c r="AZ510" s="375"/>
      <c r="BA510" s="375"/>
      <c r="BB510" s="375">
        <v>21665.52</v>
      </c>
      <c r="BC510" s="79"/>
      <c r="BD510" s="79"/>
      <c r="BE510" s="79"/>
      <c r="BF510" s="79">
        <v>1805.46</v>
      </c>
      <c r="BG510" s="79">
        <v>1805.46</v>
      </c>
      <c r="BH510" s="79">
        <v>1805.46</v>
      </c>
      <c r="BI510" s="79">
        <v>1805.46</v>
      </c>
      <c r="BJ510" s="79">
        <v>1805.46</v>
      </c>
      <c r="BK510" s="79">
        <v>1805.46</v>
      </c>
      <c r="BL510" s="79">
        <v>1805.46</v>
      </c>
      <c r="BM510" s="79">
        <v>1805.46</v>
      </c>
      <c r="BN510" s="79">
        <v>1805.46</v>
      </c>
      <c r="BO510" s="79">
        <v>16249.139999999996</v>
      </c>
    </row>
    <row r="511" spans="1:67" ht="15" customHeight="1">
      <c r="A511" s="66" t="s">
        <v>2475</v>
      </c>
      <c r="B511" s="66" t="s">
        <v>2476</v>
      </c>
      <c r="C511" s="150" t="s">
        <v>1136</v>
      </c>
      <c r="D511" s="150" t="s">
        <v>1135</v>
      </c>
      <c r="E511" s="150" t="s">
        <v>1156</v>
      </c>
      <c r="F511" s="150" t="s">
        <v>1137</v>
      </c>
      <c r="G511" s="511" t="s">
        <v>639</v>
      </c>
      <c r="H511" s="392" t="s">
        <v>818</v>
      </c>
      <c r="I511" s="343"/>
      <c r="J511" s="343"/>
      <c r="K511" s="70" t="s">
        <v>817</v>
      </c>
      <c r="L511" s="346"/>
      <c r="M511" s="346" t="s">
        <v>1140</v>
      </c>
      <c r="N511" s="346"/>
      <c r="O511" s="150" t="s">
        <v>818</v>
      </c>
      <c r="P511" s="150" t="s">
        <v>2477</v>
      </c>
      <c r="Q511" s="403"/>
      <c r="R511" s="406">
        <v>2800</v>
      </c>
      <c r="S511" s="406">
        <v>11294.74</v>
      </c>
      <c r="T511" s="425"/>
      <c r="U511" s="71"/>
      <c r="V511" s="426"/>
      <c r="W511" s="427"/>
      <c r="X511" s="427">
        <v>3116.74</v>
      </c>
      <c r="Y511" s="428">
        <v>0</v>
      </c>
      <c r="Z511" s="429">
        <v>0</v>
      </c>
      <c r="AA511" s="429">
        <v>2380</v>
      </c>
      <c r="AB511" s="363" t="e">
        <v>#N/A</v>
      </c>
      <c r="AC511" s="360">
        <v>0</v>
      </c>
      <c r="AD511" s="363">
        <v>2726</v>
      </c>
      <c r="AE511" s="360">
        <v>0</v>
      </c>
      <c r="AF511" s="363">
        <v>2726</v>
      </c>
      <c r="AG511" s="360">
        <v>0</v>
      </c>
      <c r="AH511" s="360" t="e">
        <f t="shared" si="26"/>
        <v>#N/A</v>
      </c>
      <c r="AI511" s="362" t="e">
        <f>ERP[[#This Row],[2026 Working Total]]-ERP[[#This Row],[LE2 Final Submission]]</f>
        <v>#N/A</v>
      </c>
      <c r="AJ511" s="79">
        <v>0</v>
      </c>
      <c r="AK511" s="79">
        <f t="shared" si="25"/>
        <v>2380</v>
      </c>
      <c r="AL511" s="374">
        <f>SUM(ERP[[#This Row],[AP01]:[AP06]])-SUM(ERP[[#This Row],[AP01 LE2]:[AP06 LE2]])</f>
        <v>-346</v>
      </c>
      <c r="AM511" s="80"/>
      <c r="AN511" s="79" t="e">
        <f>ERP[[#This Row],[2026 Working Total to Budget/LE]]-ERP[[#This Row],[Giveback]]</f>
        <v>#N/A</v>
      </c>
      <c r="AO511" s="81"/>
      <c r="AP511" s="375"/>
      <c r="AQ511" s="375"/>
      <c r="AR511" s="375">
        <v>3116.74</v>
      </c>
      <c r="AS511" s="375">
        <v>0</v>
      </c>
      <c r="AT511" s="375">
        <v>0</v>
      </c>
      <c r="AU511" s="375">
        <v>2726</v>
      </c>
      <c r="AV511" s="375">
        <v>0</v>
      </c>
      <c r="AW511" s="375">
        <v>0</v>
      </c>
      <c r="AX511" s="375">
        <v>2726</v>
      </c>
      <c r="AY511" s="375">
        <v>0</v>
      </c>
      <c r="AZ511" s="375">
        <v>2726</v>
      </c>
      <c r="BA511" s="375">
        <v>0</v>
      </c>
      <c r="BB511" s="375">
        <v>11294.74</v>
      </c>
      <c r="BC511" s="79"/>
      <c r="BD511" s="79"/>
      <c r="BE511" s="79">
        <v>3116.74</v>
      </c>
      <c r="BF511" s="79">
        <v>0</v>
      </c>
      <c r="BG511" s="79">
        <v>0</v>
      </c>
      <c r="BH511" s="79">
        <v>700</v>
      </c>
      <c r="BI511" s="79">
        <v>0</v>
      </c>
      <c r="BJ511" s="79">
        <v>0</v>
      </c>
      <c r="BK511" s="79">
        <v>700</v>
      </c>
      <c r="BL511" s="79">
        <v>0</v>
      </c>
      <c r="BM511" s="79">
        <v>700</v>
      </c>
      <c r="BN511" s="79">
        <v>0</v>
      </c>
      <c r="BO511" s="79">
        <v>5216.74</v>
      </c>
    </row>
    <row r="512" spans="1:67" ht="15" customHeight="1">
      <c r="A512" s="66" t="s">
        <v>2796</v>
      </c>
      <c r="B512" s="66" t="s">
        <v>2797</v>
      </c>
      <c r="C512" s="150" t="s">
        <v>1136</v>
      </c>
      <c r="D512" s="150" t="s">
        <v>1345</v>
      </c>
      <c r="E512" s="150" t="s">
        <v>1346</v>
      </c>
      <c r="F512" s="150" t="s">
        <v>1346</v>
      </c>
      <c r="G512" s="511" t="s">
        <v>639</v>
      </c>
      <c r="H512" s="392" t="s">
        <v>2798</v>
      </c>
      <c r="I512" s="343"/>
      <c r="J512" s="343"/>
      <c r="K512" s="70" t="s">
        <v>1008</v>
      </c>
      <c r="L512" s="346"/>
      <c r="M512" s="343"/>
      <c r="N512" s="346"/>
      <c r="O512" s="150" t="s">
        <v>57</v>
      </c>
      <c r="P512" s="150"/>
      <c r="Q512" s="403"/>
      <c r="R512" s="406">
        <v>3348</v>
      </c>
      <c r="S512" s="406">
        <v>2511</v>
      </c>
      <c r="T512" s="430"/>
      <c r="U512" s="137"/>
      <c r="V512" s="426"/>
      <c r="W512" s="427"/>
      <c r="X512" s="427"/>
      <c r="Y512" s="428" t="s">
        <v>1142</v>
      </c>
      <c r="Z512" s="429">
        <v>0</v>
      </c>
      <c r="AA512" s="429">
        <v>0</v>
      </c>
      <c r="AB512" s="363" t="e">
        <v>#N/A</v>
      </c>
      <c r="AC512" s="363">
        <v>279</v>
      </c>
      <c r="AD512" s="363">
        <v>279</v>
      </c>
      <c r="AE512" s="363">
        <v>279</v>
      </c>
      <c r="AF512" s="363">
        <v>279</v>
      </c>
      <c r="AG512" s="363">
        <v>279</v>
      </c>
      <c r="AH512" s="360" t="e">
        <f t="shared" si="26"/>
        <v>#N/A</v>
      </c>
      <c r="AI512" s="362" t="e">
        <f>ERP[[#This Row],[2026 Working Total]]-ERP[[#This Row],[LE2 Final Submission]]</f>
        <v>#N/A</v>
      </c>
      <c r="AJ512" s="79">
        <v>279</v>
      </c>
      <c r="AK512" s="79">
        <f t="shared" si="25"/>
        <v>-279</v>
      </c>
      <c r="AL512" s="374">
        <f>SUM(ERP[[#This Row],[AP01]:[AP06]])-SUM(ERP[[#This Row],[AP01 LE2]:[AP06 LE2]])</f>
        <v>-837</v>
      </c>
      <c r="AM512" s="80"/>
      <c r="AN512" s="79" t="e">
        <f>ERP[[#This Row],[2026 Working Total to Budget/LE]]-ERP[[#This Row],[Giveback]]</f>
        <v>#N/A</v>
      </c>
      <c r="AO512" s="81"/>
      <c r="AP512" s="375"/>
      <c r="AQ512" s="375"/>
      <c r="AR512" s="375"/>
      <c r="AS512" s="375">
        <v>279</v>
      </c>
      <c r="AT512" s="375">
        <v>279</v>
      </c>
      <c r="AU512" s="375">
        <v>279</v>
      </c>
      <c r="AV512" s="375">
        <v>279</v>
      </c>
      <c r="AW512" s="375">
        <v>279</v>
      </c>
      <c r="AX512" s="375">
        <v>279</v>
      </c>
      <c r="AY512" s="375">
        <v>279</v>
      </c>
      <c r="AZ512" s="375">
        <v>279</v>
      </c>
      <c r="BA512" s="375">
        <v>279</v>
      </c>
      <c r="BB512" s="375">
        <v>2511</v>
      </c>
      <c r="BC512" s="79"/>
      <c r="BD512" s="79"/>
      <c r="BE512" s="79"/>
      <c r="BF512" s="79">
        <v>279</v>
      </c>
      <c r="BG512" s="79">
        <v>279</v>
      </c>
      <c r="BH512" s="79">
        <v>279</v>
      </c>
      <c r="BI512" s="79">
        <v>279</v>
      </c>
      <c r="BJ512" s="79">
        <v>279</v>
      </c>
      <c r="BK512" s="79">
        <v>279</v>
      </c>
      <c r="BL512" s="79">
        <v>279</v>
      </c>
      <c r="BM512" s="79">
        <v>279</v>
      </c>
      <c r="BN512" s="79">
        <v>279</v>
      </c>
      <c r="BO512" s="79">
        <v>2511</v>
      </c>
    </row>
    <row r="513" spans="1:67" ht="15" customHeight="1">
      <c r="A513" s="79" t="s">
        <v>2625</v>
      </c>
      <c r="B513" s="296" t="s">
        <v>917</v>
      </c>
      <c r="C513" s="150" t="s">
        <v>1136</v>
      </c>
      <c r="D513" s="332" t="s">
        <v>1345</v>
      </c>
      <c r="E513" s="383" t="s">
        <v>1344</v>
      </c>
      <c r="F513" s="331" t="s">
        <v>1346</v>
      </c>
      <c r="G513" s="512" t="s">
        <v>639</v>
      </c>
      <c r="H513" s="393" t="s">
        <v>2626</v>
      </c>
      <c r="I513" s="343"/>
      <c r="J513" s="331"/>
      <c r="K513" s="91" t="s">
        <v>918</v>
      </c>
      <c r="L513" s="343"/>
      <c r="M513" s="343"/>
      <c r="N513" s="348"/>
      <c r="O513" s="386" t="s">
        <v>25</v>
      </c>
      <c r="P513" s="387" t="s">
        <v>1348</v>
      </c>
      <c r="Q513" s="432"/>
      <c r="R513" s="358">
        <v>65000</v>
      </c>
      <c r="S513" s="378">
        <v>0</v>
      </c>
      <c r="T513" s="425"/>
      <c r="U513" s="71"/>
      <c r="V513" s="433"/>
      <c r="W513" s="434"/>
      <c r="X513" s="434"/>
      <c r="Y513" s="428" t="s">
        <v>1142</v>
      </c>
      <c r="Z513" s="429">
        <v>0</v>
      </c>
      <c r="AA513" s="429">
        <v>0</v>
      </c>
      <c r="AB513" s="363" t="e">
        <v>#N/A</v>
      </c>
      <c r="AC513" s="388">
        <v>0</v>
      </c>
      <c r="AD513" s="388">
        <v>0</v>
      </c>
      <c r="AE513" s="388">
        <v>65000</v>
      </c>
      <c r="AF513" s="388">
        <v>0</v>
      </c>
      <c r="AG513" s="388">
        <v>0</v>
      </c>
      <c r="AH513" s="360" t="e">
        <f t="shared" si="26"/>
        <v>#N/A</v>
      </c>
      <c r="AI513" s="362" t="e">
        <f>ERP[[#This Row],[2026 Working Total]]-ERP[[#This Row],[LE2 Final Submission]]</f>
        <v>#N/A</v>
      </c>
      <c r="AJ513" s="79">
        <v>0</v>
      </c>
      <c r="AK513" s="79">
        <f t="shared" si="25"/>
        <v>0</v>
      </c>
      <c r="AL513" s="374">
        <f>SUM(ERP[[#This Row],[AP01]:[AP06]])-SUM(ERP[[#This Row],[AP01 LE2]:[AP06 LE2]])</f>
        <v>0</v>
      </c>
      <c r="AM513" s="80"/>
      <c r="AN513" s="79" t="e">
        <f>ERP[[#This Row],[2026 Working Total to Budget/LE]]-ERP[[#This Row],[Giveback]]</f>
        <v>#N/A</v>
      </c>
      <c r="AO513" s="81"/>
      <c r="AP513" s="375"/>
      <c r="AQ513" s="375"/>
      <c r="AR513" s="375"/>
      <c r="AS513" s="375">
        <v>0</v>
      </c>
      <c r="AT513" s="375">
        <v>0</v>
      </c>
      <c r="AU513" s="375">
        <v>0</v>
      </c>
      <c r="AV513" s="375">
        <v>0</v>
      </c>
      <c r="AW513" s="375">
        <v>0</v>
      </c>
      <c r="AX513" s="375">
        <v>0</v>
      </c>
      <c r="AY513" s="375">
        <v>0</v>
      </c>
      <c r="AZ513" s="375">
        <v>0</v>
      </c>
      <c r="BA513" s="375">
        <v>0</v>
      </c>
      <c r="BB513" s="375">
        <v>0</v>
      </c>
      <c r="BC513" s="103">
        <v>0</v>
      </c>
      <c r="BD513" s="103">
        <v>0</v>
      </c>
      <c r="BE513" s="103">
        <v>65000</v>
      </c>
      <c r="BF513" s="103">
        <v>0</v>
      </c>
      <c r="BG513" s="103">
        <v>0</v>
      </c>
      <c r="BH513" s="103">
        <v>0</v>
      </c>
      <c r="BI513" s="103">
        <v>0</v>
      </c>
      <c r="BJ513" s="103">
        <v>0</v>
      </c>
      <c r="BK513" s="103">
        <v>0</v>
      </c>
      <c r="BL513" s="103">
        <v>0</v>
      </c>
      <c r="BM513" s="103">
        <v>0</v>
      </c>
      <c r="BN513" s="103">
        <v>0</v>
      </c>
      <c r="BO513" s="79">
        <f>SUM(ERP[[#This Row],[2026 AP01]:[2026 AP12]])</f>
        <v>65000</v>
      </c>
    </row>
    <row r="514" spans="1:67" ht="15" customHeight="1">
      <c r="A514" s="66" t="s">
        <v>2478</v>
      </c>
      <c r="B514" s="66" t="s">
        <v>2479</v>
      </c>
      <c r="C514" s="150" t="s">
        <v>1136</v>
      </c>
      <c r="D514" s="150" t="s">
        <v>1135</v>
      </c>
      <c r="E514" s="150" t="s">
        <v>1161</v>
      </c>
      <c r="F514" s="150" t="s">
        <v>1137</v>
      </c>
      <c r="G514" s="511" t="s">
        <v>639</v>
      </c>
      <c r="H514" s="392" t="s">
        <v>818</v>
      </c>
      <c r="I514" s="343"/>
      <c r="J514" s="343"/>
      <c r="K514" s="70" t="s">
        <v>817</v>
      </c>
      <c r="L514" s="346"/>
      <c r="M514" s="346" t="s">
        <v>1140</v>
      </c>
      <c r="N514" s="346"/>
      <c r="O514" s="150" t="s">
        <v>818</v>
      </c>
      <c r="P514" s="150"/>
      <c r="Q514" s="403"/>
      <c r="R514" s="406">
        <v>800</v>
      </c>
      <c r="S514" s="406">
        <v>4147.87</v>
      </c>
      <c r="T514" s="425"/>
      <c r="U514" s="71"/>
      <c r="V514" s="426"/>
      <c r="W514" s="427"/>
      <c r="X514" s="427">
        <v>3547.87</v>
      </c>
      <c r="Y514" s="428">
        <v>0</v>
      </c>
      <c r="Z514" s="429">
        <v>0</v>
      </c>
      <c r="AA514" s="429">
        <v>3172.87</v>
      </c>
      <c r="AB514" s="363" t="e">
        <v>#N/A</v>
      </c>
      <c r="AC514" s="360">
        <v>0</v>
      </c>
      <c r="AD514" s="363">
        <v>200</v>
      </c>
      <c r="AE514" s="360">
        <v>0</v>
      </c>
      <c r="AF514" s="363">
        <v>200</v>
      </c>
      <c r="AG514" s="360">
        <v>0</v>
      </c>
      <c r="AH514" s="360" t="e">
        <f t="shared" si="26"/>
        <v>#N/A</v>
      </c>
      <c r="AI514" s="362" t="e">
        <f>ERP[[#This Row],[2026 Working Total]]-ERP[[#This Row],[LE2 Final Submission]]</f>
        <v>#N/A</v>
      </c>
      <c r="AJ514" s="79">
        <v>0</v>
      </c>
      <c r="AK514" s="79">
        <f t="shared" si="25"/>
        <v>3172.87</v>
      </c>
      <c r="AL514" s="374">
        <f>SUM(ERP[[#This Row],[AP01]:[AP06]])-SUM(ERP[[#This Row],[AP01 LE2]:[AP06 LE2]])</f>
        <v>2972.87</v>
      </c>
      <c r="AM514" s="80"/>
      <c r="AN514" s="79" t="e">
        <f>ERP[[#This Row],[2026 Working Total to Budget/LE]]-ERP[[#This Row],[Giveback]]</f>
        <v>#N/A</v>
      </c>
      <c r="AO514" s="81"/>
      <c r="AP514" s="375"/>
      <c r="AQ514" s="375"/>
      <c r="AR514" s="375">
        <v>3547.87</v>
      </c>
      <c r="AS514" s="375">
        <v>0</v>
      </c>
      <c r="AT514" s="375">
        <v>0</v>
      </c>
      <c r="AU514" s="375">
        <v>200</v>
      </c>
      <c r="AV514" s="375">
        <v>0</v>
      </c>
      <c r="AW514" s="375">
        <v>0</v>
      </c>
      <c r="AX514" s="375">
        <v>200</v>
      </c>
      <c r="AY514" s="375">
        <v>0</v>
      </c>
      <c r="AZ514" s="375">
        <v>200</v>
      </c>
      <c r="BA514" s="375">
        <v>0</v>
      </c>
      <c r="BB514" s="375">
        <v>4147.87</v>
      </c>
      <c r="BC514" s="79"/>
      <c r="BD514" s="79"/>
      <c r="BE514" s="79">
        <v>3547.87</v>
      </c>
      <c r="BF514" s="79">
        <v>0</v>
      </c>
      <c r="BG514" s="79">
        <v>0</v>
      </c>
      <c r="BH514" s="79">
        <v>200</v>
      </c>
      <c r="BI514" s="79">
        <v>0</v>
      </c>
      <c r="BJ514" s="79">
        <v>0</v>
      </c>
      <c r="BK514" s="79">
        <v>200</v>
      </c>
      <c r="BL514" s="79">
        <v>0</v>
      </c>
      <c r="BM514" s="79">
        <v>200</v>
      </c>
      <c r="BN514" s="79">
        <v>0</v>
      </c>
      <c r="BO514" s="79">
        <v>4147.87</v>
      </c>
    </row>
    <row r="515" spans="1:67" ht="15" customHeight="1">
      <c r="A515" s="66" t="s">
        <v>2480</v>
      </c>
      <c r="B515" s="66" t="s">
        <v>2481</v>
      </c>
      <c r="C515" s="150" t="s">
        <v>1136</v>
      </c>
      <c r="D515" s="150" t="s">
        <v>1135</v>
      </c>
      <c r="E515" s="150" t="s">
        <v>1165</v>
      </c>
      <c r="F515" s="150" t="s">
        <v>1137</v>
      </c>
      <c r="G515" s="511" t="s">
        <v>639</v>
      </c>
      <c r="H515" s="392" t="s">
        <v>818</v>
      </c>
      <c r="I515" s="343"/>
      <c r="J515" s="343"/>
      <c r="K515" s="70" t="s">
        <v>817</v>
      </c>
      <c r="L515" s="346"/>
      <c r="M515" s="346" t="s">
        <v>1140</v>
      </c>
      <c r="N515" s="346"/>
      <c r="O515" s="150" t="s">
        <v>818</v>
      </c>
      <c r="P515" s="150"/>
      <c r="Q515" s="403"/>
      <c r="R515" s="406">
        <v>12119.24</v>
      </c>
      <c r="S515" s="406">
        <v>21230.870000000003</v>
      </c>
      <c r="T515" s="425"/>
      <c r="U515" s="71"/>
      <c r="V515" s="426"/>
      <c r="W515" s="427"/>
      <c r="X515" s="427">
        <v>12141.44</v>
      </c>
      <c r="Y515" s="428">
        <v>0</v>
      </c>
      <c r="Z515" s="429">
        <v>0</v>
      </c>
      <c r="AA515" s="429">
        <v>10504.75</v>
      </c>
      <c r="AB515" s="363" t="e">
        <v>#N/A</v>
      </c>
      <c r="AC515" s="360">
        <v>0</v>
      </c>
      <c r="AD515" s="363">
        <v>3029.81</v>
      </c>
      <c r="AE515" s="360">
        <v>0</v>
      </c>
      <c r="AF515" s="363">
        <v>3029.81</v>
      </c>
      <c r="AG515" s="360">
        <v>0</v>
      </c>
      <c r="AH515" s="360" t="e">
        <f t="shared" si="26"/>
        <v>#N/A</v>
      </c>
      <c r="AI515" s="362" t="e">
        <f>ERP[[#This Row],[2026 Working Total]]-ERP[[#This Row],[LE2 Final Submission]]</f>
        <v>#N/A</v>
      </c>
      <c r="AJ515" s="79">
        <v>0</v>
      </c>
      <c r="AK515" s="79">
        <f t="shared" si="25"/>
        <v>10504.75</v>
      </c>
      <c r="AL515" s="374">
        <f>SUM(ERP[[#This Row],[AP01]:[AP06]])-SUM(ERP[[#This Row],[AP01 LE2]:[AP06 LE2]])</f>
        <v>7474.9400000000023</v>
      </c>
      <c r="AM515" s="80"/>
      <c r="AN515" s="79" t="e">
        <f>ERP[[#This Row],[2026 Working Total to Budget/LE]]-ERP[[#This Row],[Giveback]]</f>
        <v>#N/A</v>
      </c>
      <c r="AO515" s="81"/>
      <c r="AP515" s="375"/>
      <c r="AQ515" s="375"/>
      <c r="AR515" s="375">
        <v>12141.44</v>
      </c>
      <c r="AS515" s="375">
        <v>0</v>
      </c>
      <c r="AT515" s="375">
        <v>0</v>
      </c>
      <c r="AU515" s="375">
        <v>3029.81</v>
      </c>
      <c r="AV515" s="375">
        <v>0</v>
      </c>
      <c r="AW515" s="375">
        <v>0</v>
      </c>
      <c r="AX515" s="375">
        <v>3029.81</v>
      </c>
      <c r="AY515" s="375">
        <v>0</v>
      </c>
      <c r="AZ515" s="375">
        <v>3029.81</v>
      </c>
      <c r="BA515" s="375">
        <v>0</v>
      </c>
      <c r="BB515" s="375">
        <v>21230.870000000003</v>
      </c>
      <c r="BC515" s="79"/>
      <c r="BD515" s="79"/>
      <c r="BE515" s="79">
        <v>12141.44</v>
      </c>
      <c r="BF515" s="79">
        <v>0</v>
      </c>
      <c r="BG515" s="79">
        <v>0</v>
      </c>
      <c r="BH515" s="79">
        <v>3029.81</v>
      </c>
      <c r="BI515" s="79">
        <v>0</v>
      </c>
      <c r="BJ515" s="79">
        <v>0</v>
      </c>
      <c r="BK515" s="79">
        <v>3029.81</v>
      </c>
      <c r="BL515" s="79">
        <v>0</v>
      </c>
      <c r="BM515" s="79">
        <v>3029.81</v>
      </c>
      <c r="BN515" s="79">
        <v>0</v>
      </c>
      <c r="BO515" s="79">
        <v>21230.870000000003</v>
      </c>
    </row>
    <row r="516" spans="1:67" ht="15" customHeight="1">
      <c r="A516" s="66" t="s">
        <v>2482</v>
      </c>
      <c r="B516" s="66" t="s">
        <v>819</v>
      </c>
      <c r="C516" s="150" t="s">
        <v>1136</v>
      </c>
      <c r="D516" s="150" t="s">
        <v>1135</v>
      </c>
      <c r="E516" s="150" t="s">
        <v>1135</v>
      </c>
      <c r="F516" s="150" t="s">
        <v>1137</v>
      </c>
      <c r="G516" s="511" t="s">
        <v>639</v>
      </c>
      <c r="H516" s="396" t="s">
        <v>2483</v>
      </c>
      <c r="I516" s="343" t="s">
        <v>2484</v>
      </c>
      <c r="J516" s="346" t="s">
        <v>1171</v>
      </c>
      <c r="K516" s="70" t="s">
        <v>820</v>
      </c>
      <c r="L516" s="346"/>
      <c r="M516" s="346" t="s">
        <v>1187</v>
      </c>
      <c r="N516" s="346"/>
      <c r="O516" s="385" t="s">
        <v>821</v>
      </c>
      <c r="P516" s="184" t="s">
        <v>2485</v>
      </c>
      <c r="Q516" s="403"/>
      <c r="R516" s="406">
        <v>280976</v>
      </c>
      <c r="S516" s="406">
        <v>290275.11</v>
      </c>
      <c r="T516" s="425"/>
      <c r="U516" s="71"/>
      <c r="V516" s="426"/>
      <c r="W516" s="427"/>
      <c r="X516" s="427"/>
      <c r="Y516" s="428" t="s">
        <v>1142</v>
      </c>
      <c r="Z516" s="429">
        <v>390539.25000000006</v>
      </c>
      <c r="AA516" s="429">
        <v>-88688.920000000013</v>
      </c>
      <c r="AB516" s="363" t="e">
        <v>#N/A</v>
      </c>
      <c r="AC516" s="360">
        <v>0</v>
      </c>
      <c r="AD516" s="360">
        <v>0</v>
      </c>
      <c r="AE516" s="360">
        <v>0</v>
      </c>
      <c r="AF516" s="360">
        <v>0</v>
      </c>
      <c r="AG516" s="360">
        <v>0</v>
      </c>
      <c r="AH516" s="360" t="e">
        <f t="shared" si="26"/>
        <v>#N/A</v>
      </c>
      <c r="AI516" s="362" t="e">
        <f>ERP[[#This Row],[2026 Working Total]]-ERP[[#This Row],[LE2 Final Submission]]</f>
        <v>#N/A</v>
      </c>
      <c r="AJ516" s="79"/>
      <c r="AK516" s="79">
        <f t="shared" si="25"/>
        <v>-88688.920000000013</v>
      </c>
      <c r="AL516" s="374">
        <f>SUM(ERP[[#This Row],[AP01]:[AP06]])-SUM(ERP[[#This Row],[AP01 LE2]:[AP06 LE2]])</f>
        <v>11575.220000000088</v>
      </c>
      <c r="AM516" s="80"/>
      <c r="AN516" s="79" t="e">
        <f>ERP[[#This Row],[2026 Working Total to Budget/LE]]-ERP[[#This Row],[Giveback]]</f>
        <v>#N/A</v>
      </c>
      <c r="AO516" s="81"/>
      <c r="AP516" s="375"/>
      <c r="AQ516" s="375"/>
      <c r="AR516" s="375"/>
      <c r="AS516" s="375"/>
      <c r="AT516" s="375">
        <v>290275.11</v>
      </c>
      <c r="AU516" s="375">
        <v>0</v>
      </c>
      <c r="AV516" s="375">
        <v>0</v>
      </c>
      <c r="AW516" s="375">
        <v>0</v>
      </c>
      <c r="AX516" s="375">
        <v>0</v>
      </c>
      <c r="AY516" s="375">
        <v>0</v>
      </c>
      <c r="AZ516" s="375">
        <v>0</v>
      </c>
      <c r="BA516" s="375">
        <v>0</v>
      </c>
      <c r="BB516" s="375">
        <v>290275.11</v>
      </c>
      <c r="BC516" s="79"/>
      <c r="BD516" s="79"/>
      <c r="BE516" s="79"/>
      <c r="BF516" s="79"/>
      <c r="BG516" s="79">
        <v>280976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280976</v>
      </c>
    </row>
    <row r="517" spans="1:67" ht="15" customHeight="1">
      <c r="A517" s="66" t="s">
        <v>2486</v>
      </c>
      <c r="B517" s="66" t="s">
        <v>822</v>
      </c>
      <c r="C517" s="150" t="s">
        <v>1136</v>
      </c>
      <c r="D517" s="150" t="s">
        <v>1135</v>
      </c>
      <c r="E517" s="150" t="s">
        <v>1135</v>
      </c>
      <c r="F517" s="150" t="s">
        <v>1137</v>
      </c>
      <c r="G517" s="511" t="s">
        <v>639</v>
      </c>
      <c r="H517" s="392" t="s">
        <v>2487</v>
      </c>
      <c r="I517" s="343"/>
      <c r="J517" s="343"/>
      <c r="K517" s="70" t="s">
        <v>823</v>
      </c>
      <c r="L517" s="346"/>
      <c r="M517" s="343"/>
      <c r="N517" s="346"/>
      <c r="O517" s="150" t="s">
        <v>605</v>
      </c>
      <c r="P517" s="150"/>
      <c r="Q517" s="403"/>
      <c r="R517" s="406">
        <v>849804</v>
      </c>
      <c r="S517" s="406">
        <v>637353</v>
      </c>
      <c r="T517" s="430"/>
      <c r="U517" s="137"/>
      <c r="V517" s="426"/>
      <c r="W517" s="427"/>
      <c r="X517" s="427">
        <v>-212451</v>
      </c>
      <c r="Y517" s="428">
        <v>0</v>
      </c>
      <c r="Z517" s="429">
        <v>0</v>
      </c>
      <c r="AA517" s="429">
        <v>0</v>
      </c>
      <c r="AB517" s="363" t="e">
        <v>#N/A</v>
      </c>
      <c r="AC517" s="360">
        <v>0</v>
      </c>
      <c r="AD517" s="363">
        <v>849804</v>
      </c>
      <c r="AE517" s="360">
        <v>0</v>
      </c>
      <c r="AF517" s="360">
        <v>0</v>
      </c>
      <c r="AG517" s="360">
        <v>0</v>
      </c>
      <c r="AH517" s="360" t="e">
        <f t="shared" si="26"/>
        <v>#N/A</v>
      </c>
      <c r="AI517" s="362" t="e">
        <f>ERP[[#This Row],[2026 Working Total]]-ERP[[#This Row],[LE2 Final Submission]]</f>
        <v>#N/A</v>
      </c>
      <c r="AJ517" s="79">
        <v>0</v>
      </c>
      <c r="AK517" s="79">
        <f t="shared" si="25"/>
        <v>0</v>
      </c>
      <c r="AL517" s="374">
        <f>SUM(ERP[[#This Row],[AP01]:[AP06]])-SUM(ERP[[#This Row],[AP01 LE2]:[AP06 LE2]])</f>
        <v>0</v>
      </c>
      <c r="AM517" s="80"/>
      <c r="AN517" s="79" t="e">
        <f>ERP[[#This Row],[2026 Working Total to Budget/LE]]-ERP[[#This Row],[Giveback]]</f>
        <v>#N/A</v>
      </c>
      <c r="AO517" s="81"/>
      <c r="AP517" s="375"/>
      <c r="AQ517" s="375"/>
      <c r="AR517" s="375">
        <v>-212451</v>
      </c>
      <c r="AS517" s="375">
        <v>0</v>
      </c>
      <c r="AT517" s="375">
        <v>0</v>
      </c>
      <c r="AU517" s="375">
        <v>0</v>
      </c>
      <c r="AV517" s="375">
        <v>0</v>
      </c>
      <c r="AW517" s="375">
        <v>0</v>
      </c>
      <c r="AX517" s="375">
        <v>849804</v>
      </c>
      <c r="AY517" s="375">
        <v>0</v>
      </c>
      <c r="AZ517" s="375">
        <v>0</v>
      </c>
      <c r="BA517" s="375">
        <v>0</v>
      </c>
      <c r="BB517" s="375">
        <v>637353</v>
      </c>
      <c r="BC517" s="79"/>
      <c r="BD517" s="79"/>
      <c r="BE517" s="79">
        <v>-212451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849804</v>
      </c>
      <c r="BL517" s="79">
        <v>0</v>
      </c>
      <c r="BM517" s="79">
        <v>0</v>
      </c>
      <c r="BN517" s="79">
        <v>0</v>
      </c>
      <c r="BO517" s="79">
        <v>637353</v>
      </c>
    </row>
    <row r="518" spans="1:67" ht="15" customHeight="1">
      <c r="A518" s="79" t="s">
        <v>2488</v>
      </c>
      <c r="B518" s="296" t="s">
        <v>824</v>
      </c>
      <c r="C518" s="150" t="s">
        <v>1136</v>
      </c>
      <c r="D518" s="332" t="s">
        <v>1135</v>
      </c>
      <c r="E518" s="383" t="s">
        <v>1135</v>
      </c>
      <c r="F518" s="331" t="s">
        <v>1137</v>
      </c>
      <c r="G518" s="512" t="s">
        <v>639</v>
      </c>
      <c r="H518" s="393" t="s">
        <v>2489</v>
      </c>
      <c r="I518" s="343" t="s">
        <v>2484</v>
      </c>
      <c r="J518" s="150" t="s">
        <v>1171</v>
      </c>
      <c r="K518" s="91" t="s">
        <v>825</v>
      </c>
      <c r="L518" s="343"/>
      <c r="M518" s="346" t="s">
        <v>2490</v>
      </c>
      <c r="N518" s="346" t="s">
        <v>1710</v>
      </c>
      <c r="O518" s="386" t="s">
        <v>826</v>
      </c>
      <c r="P518" s="346" t="s">
        <v>1348</v>
      </c>
      <c r="Q518" s="437"/>
      <c r="R518" s="358">
        <v>44842</v>
      </c>
      <c r="S518" s="378">
        <v>0</v>
      </c>
      <c r="T518" s="425"/>
      <c r="U518" s="71"/>
      <c r="V518" s="433"/>
      <c r="W518" s="434"/>
      <c r="X518" s="434"/>
      <c r="Y518" s="428">
        <v>0</v>
      </c>
      <c r="Z518" s="429">
        <v>0</v>
      </c>
      <c r="AA518" s="429">
        <v>0</v>
      </c>
      <c r="AB518" s="363" t="e">
        <v>#N/A</v>
      </c>
      <c r="AC518" s="388">
        <v>0</v>
      </c>
      <c r="AD518" s="388">
        <v>0</v>
      </c>
      <c r="AE518" s="388">
        <v>0</v>
      </c>
      <c r="AF518" s="388">
        <v>0</v>
      </c>
      <c r="AG518" s="388">
        <v>0</v>
      </c>
      <c r="AH518" s="360" t="e">
        <f t="shared" si="26"/>
        <v>#N/A</v>
      </c>
      <c r="AI518" s="362" t="e">
        <f>ERP[[#This Row],[2026 Working Total]]-ERP[[#This Row],[LE2 Final Submission]]</f>
        <v>#N/A</v>
      </c>
      <c r="AJ518" s="79">
        <v>0</v>
      </c>
      <c r="AK518" s="79">
        <f t="shared" si="25"/>
        <v>0</v>
      </c>
      <c r="AL518" s="374">
        <f>SUM(ERP[[#This Row],[AP01]:[AP06]])-SUM(ERP[[#This Row],[AP01 LE2]:[AP06 LE2]])</f>
        <v>0</v>
      </c>
      <c r="AM518" s="80"/>
      <c r="AN518" s="79" t="e">
        <f>ERP[[#This Row],[2026 Working Total to Budget/LE]]-ERP[[#This Row],[Giveback]]</f>
        <v>#N/A</v>
      </c>
      <c r="AO518" s="81"/>
      <c r="AP518" s="375"/>
      <c r="AQ518" s="375"/>
      <c r="AR518" s="375"/>
      <c r="AS518" s="375">
        <v>0</v>
      </c>
      <c r="AT518" s="375">
        <v>0</v>
      </c>
      <c r="AU518" s="375">
        <v>0</v>
      </c>
      <c r="AV518" s="375">
        <v>0</v>
      </c>
      <c r="AW518" s="375">
        <v>0</v>
      </c>
      <c r="AX518" s="375">
        <v>0</v>
      </c>
      <c r="AY518" s="375">
        <v>0</v>
      </c>
      <c r="AZ518" s="375">
        <v>0</v>
      </c>
      <c r="BA518" s="375">
        <v>0</v>
      </c>
      <c r="BB518" s="375">
        <v>0</v>
      </c>
      <c r="BC518" s="103">
        <v>44842</v>
      </c>
      <c r="BD518" s="103">
        <v>0</v>
      </c>
      <c r="BE518" s="103">
        <v>0</v>
      </c>
      <c r="BF518" s="103">
        <v>0</v>
      </c>
      <c r="BG518" s="103">
        <v>0</v>
      </c>
      <c r="BH518" s="103">
        <v>0</v>
      </c>
      <c r="BI518" s="103">
        <v>0</v>
      </c>
      <c r="BJ518" s="103">
        <v>0</v>
      </c>
      <c r="BK518" s="103">
        <v>0</v>
      </c>
      <c r="BL518" s="103">
        <v>0</v>
      </c>
      <c r="BM518" s="103">
        <v>0</v>
      </c>
      <c r="BN518" s="103">
        <v>0</v>
      </c>
      <c r="BO518" s="79">
        <f>SUM(ERP[[#This Row],[2026 AP01]:[2026 AP12]])</f>
        <v>44842</v>
      </c>
    </row>
    <row r="519" spans="1:67" ht="15" customHeight="1">
      <c r="A519" s="79" t="s">
        <v>2491</v>
      </c>
      <c r="B519" s="296" t="s">
        <v>827</v>
      </c>
      <c r="C519" s="150" t="s">
        <v>1136</v>
      </c>
      <c r="D519" s="332" t="s">
        <v>1135</v>
      </c>
      <c r="E519" s="383" t="s">
        <v>1135</v>
      </c>
      <c r="F519" s="331" t="s">
        <v>1137</v>
      </c>
      <c r="G519" s="512" t="s">
        <v>639</v>
      </c>
      <c r="H519" s="393" t="s">
        <v>2492</v>
      </c>
      <c r="I519" s="343" t="s">
        <v>2484</v>
      </c>
      <c r="J519" s="150" t="s">
        <v>1171</v>
      </c>
      <c r="K519" s="91" t="s">
        <v>828</v>
      </c>
      <c r="L519" s="343"/>
      <c r="M519" s="346" t="s">
        <v>2490</v>
      </c>
      <c r="N519" s="346" t="s">
        <v>1710</v>
      </c>
      <c r="O519" s="386" t="s">
        <v>826</v>
      </c>
      <c r="P519" s="346" t="s">
        <v>1348</v>
      </c>
      <c r="Q519" s="437"/>
      <c r="R519" s="358">
        <v>-44842</v>
      </c>
      <c r="S519" s="378">
        <v>0</v>
      </c>
      <c r="T519" s="425"/>
      <c r="U519" s="71"/>
      <c r="V519" s="433"/>
      <c r="W519" s="434"/>
      <c r="X519" s="434"/>
      <c r="Y519" s="428" t="s">
        <v>1142</v>
      </c>
      <c r="Z519" s="429">
        <v>0</v>
      </c>
      <c r="AA519" s="429">
        <v>0</v>
      </c>
      <c r="AB519" s="363" t="e">
        <v>#N/A</v>
      </c>
      <c r="AC519" s="388">
        <v>0</v>
      </c>
      <c r="AD519" s="388">
        <v>0</v>
      </c>
      <c r="AE519" s="388">
        <v>0</v>
      </c>
      <c r="AF519" s="388">
        <v>0</v>
      </c>
      <c r="AG519" s="388">
        <v>0</v>
      </c>
      <c r="AH519" s="360" t="e">
        <f t="shared" si="26"/>
        <v>#N/A</v>
      </c>
      <c r="AI519" s="362" t="e">
        <f>ERP[[#This Row],[2026 Working Total]]-ERP[[#This Row],[LE2 Final Submission]]</f>
        <v>#N/A</v>
      </c>
      <c r="AJ519" s="79">
        <v>0</v>
      </c>
      <c r="AK519" s="79">
        <f t="shared" si="25"/>
        <v>0</v>
      </c>
      <c r="AL519" s="374">
        <f>SUM(ERP[[#This Row],[AP01]:[AP06]])-SUM(ERP[[#This Row],[AP01 LE2]:[AP06 LE2]])</f>
        <v>0</v>
      </c>
      <c r="AM519" s="80"/>
      <c r="AN519" s="79" t="e">
        <f>ERP[[#This Row],[2026 Working Total to Budget/LE]]-ERP[[#This Row],[Giveback]]</f>
        <v>#N/A</v>
      </c>
      <c r="AO519" s="81"/>
      <c r="AP519" s="375"/>
      <c r="AQ519" s="375"/>
      <c r="AR519" s="375"/>
      <c r="AS519" s="375">
        <v>0</v>
      </c>
      <c r="AT519" s="375">
        <v>0</v>
      </c>
      <c r="AU519" s="375">
        <v>0</v>
      </c>
      <c r="AV519" s="375">
        <v>0</v>
      </c>
      <c r="AW519" s="375">
        <v>0</v>
      </c>
      <c r="AX519" s="375">
        <v>0</v>
      </c>
      <c r="AY519" s="375">
        <v>0</v>
      </c>
      <c r="AZ519" s="375">
        <v>0</v>
      </c>
      <c r="BA519" s="375">
        <v>0</v>
      </c>
      <c r="BB519" s="375">
        <v>0</v>
      </c>
      <c r="BC519" s="103">
        <v>-44842</v>
      </c>
      <c r="BD519" s="103">
        <v>0</v>
      </c>
      <c r="BE519" s="103">
        <v>0</v>
      </c>
      <c r="BF519" s="103">
        <v>0</v>
      </c>
      <c r="BG519" s="103">
        <v>0</v>
      </c>
      <c r="BH519" s="103">
        <v>0</v>
      </c>
      <c r="BI519" s="103">
        <v>0</v>
      </c>
      <c r="BJ519" s="103">
        <v>0</v>
      </c>
      <c r="BK519" s="103">
        <v>0</v>
      </c>
      <c r="BL519" s="103">
        <v>0</v>
      </c>
      <c r="BM519" s="103">
        <v>0</v>
      </c>
      <c r="BN519" s="103">
        <v>0</v>
      </c>
      <c r="BO519" s="79">
        <f>SUM(ERP[[#This Row],[2026 AP01]:[2026 AP12]])</f>
        <v>-44842</v>
      </c>
    </row>
    <row r="520" spans="1:67" ht="15" customHeight="1">
      <c r="A520" s="79" t="s">
        <v>2493</v>
      </c>
      <c r="B520" s="296" t="s">
        <v>829</v>
      </c>
      <c r="C520" s="150" t="s">
        <v>1136</v>
      </c>
      <c r="D520" s="332" t="s">
        <v>1135</v>
      </c>
      <c r="E520" s="383" t="s">
        <v>1135</v>
      </c>
      <c r="F520" s="331" t="s">
        <v>1137</v>
      </c>
      <c r="G520" s="512" t="s">
        <v>639</v>
      </c>
      <c r="H520" s="393" t="s">
        <v>2494</v>
      </c>
      <c r="I520" s="343" t="s">
        <v>2484</v>
      </c>
      <c r="J520" s="150" t="s">
        <v>1171</v>
      </c>
      <c r="K520" s="91" t="s">
        <v>830</v>
      </c>
      <c r="L520" s="343"/>
      <c r="M520" s="346" t="s">
        <v>2495</v>
      </c>
      <c r="N520" s="346" t="s">
        <v>1710</v>
      </c>
      <c r="O520" s="386" t="s">
        <v>826</v>
      </c>
      <c r="P520" s="346" t="s">
        <v>2496</v>
      </c>
      <c r="Q520" s="437"/>
      <c r="R520" s="358">
        <v>664963</v>
      </c>
      <c r="S520" s="378">
        <v>0</v>
      </c>
      <c r="T520" s="430"/>
      <c r="U520" s="137"/>
      <c r="V520" s="433"/>
      <c r="W520" s="434"/>
      <c r="X520" s="434"/>
      <c r="Y520" s="428" t="s">
        <v>1142</v>
      </c>
      <c r="Z520" s="429">
        <v>0</v>
      </c>
      <c r="AA520" s="429">
        <v>0</v>
      </c>
      <c r="AB520" s="363" t="e">
        <v>#N/A</v>
      </c>
      <c r="AC520" s="388">
        <v>0</v>
      </c>
      <c r="AD520" s="388">
        <v>0</v>
      </c>
      <c r="AE520" s="388">
        <v>0</v>
      </c>
      <c r="AF520" s="388">
        <v>0</v>
      </c>
      <c r="AG520" s="388">
        <v>0</v>
      </c>
      <c r="AH520" s="360" t="e">
        <f t="shared" si="26"/>
        <v>#N/A</v>
      </c>
      <c r="AI520" s="362" t="e">
        <f>ERP[[#This Row],[2026 Working Total]]-ERP[[#This Row],[LE2 Final Submission]]</f>
        <v>#N/A</v>
      </c>
      <c r="AJ520" s="79">
        <v>0</v>
      </c>
      <c r="AK520" s="79">
        <f t="shared" ref="AK520:AK583" si="27">$AA520 - $AJ520</f>
        <v>0</v>
      </c>
      <c r="AL520" s="374">
        <f>SUM(ERP[[#This Row],[AP01]:[AP06]])-SUM(ERP[[#This Row],[AP01 LE2]:[AP06 LE2]])</f>
        <v>0</v>
      </c>
      <c r="AM520" s="80"/>
      <c r="AN520" s="79" t="e">
        <f>ERP[[#This Row],[2026 Working Total to Budget/LE]]-ERP[[#This Row],[Giveback]]</f>
        <v>#N/A</v>
      </c>
      <c r="AO520" s="81"/>
      <c r="AP520" s="375"/>
      <c r="AQ520" s="375"/>
      <c r="AR520" s="375"/>
      <c r="AS520" s="375">
        <v>0</v>
      </c>
      <c r="AT520" s="375">
        <v>0</v>
      </c>
      <c r="AU520" s="375">
        <v>0</v>
      </c>
      <c r="AV520" s="375">
        <v>0</v>
      </c>
      <c r="AW520" s="375">
        <v>0</v>
      </c>
      <c r="AX520" s="375">
        <v>0</v>
      </c>
      <c r="AY520" s="375">
        <v>0</v>
      </c>
      <c r="AZ520" s="375">
        <v>0</v>
      </c>
      <c r="BA520" s="375">
        <v>0</v>
      </c>
      <c r="BB520" s="375">
        <v>0</v>
      </c>
      <c r="BC520" s="103">
        <v>664963</v>
      </c>
      <c r="BD520" s="103">
        <v>0</v>
      </c>
      <c r="BE520" s="103">
        <v>0</v>
      </c>
      <c r="BF520" s="103">
        <v>0</v>
      </c>
      <c r="BG520" s="103">
        <v>0</v>
      </c>
      <c r="BH520" s="103">
        <v>0</v>
      </c>
      <c r="BI520" s="103">
        <v>0</v>
      </c>
      <c r="BJ520" s="103">
        <v>0</v>
      </c>
      <c r="BK520" s="103">
        <v>0</v>
      </c>
      <c r="BL520" s="103">
        <v>0</v>
      </c>
      <c r="BM520" s="103">
        <v>0</v>
      </c>
      <c r="BN520" s="103">
        <v>0</v>
      </c>
      <c r="BO520" s="79">
        <f>SUM(ERP[[#This Row],[2026 AP01]:[2026 AP12]])</f>
        <v>664963</v>
      </c>
    </row>
    <row r="521" spans="1:67" ht="15" customHeight="1">
      <c r="A521" s="79" t="s">
        <v>2497</v>
      </c>
      <c r="B521" s="296" t="s">
        <v>831</v>
      </c>
      <c r="C521" s="150" t="s">
        <v>1136</v>
      </c>
      <c r="D521" s="332" t="s">
        <v>1135</v>
      </c>
      <c r="E521" s="382" t="s">
        <v>1135</v>
      </c>
      <c r="F521" s="331" t="s">
        <v>1137</v>
      </c>
      <c r="G521" s="512" t="s">
        <v>639</v>
      </c>
      <c r="H521" s="394" t="s">
        <v>2498</v>
      </c>
      <c r="I521" s="343" t="s">
        <v>2484</v>
      </c>
      <c r="J521" s="150" t="s">
        <v>1171</v>
      </c>
      <c r="K521" s="122" t="s">
        <v>832</v>
      </c>
      <c r="L521" s="343"/>
      <c r="M521" s="346" t="s">
        <v>2495</v>
      </c>
      <c r="N521" s="346" t="s">
        <v>1710</v>
      </c>
      <c r="O521" s="384" t="s">
        <v>826</v>
      </c>
      <c r="P521" s="346" t="s">
        <v>2499</v>
      </c>
      <c r="Q521" s="437"/>
      <c r="R521" s="358">
        <v>-664963</v>
      </c>
      <c r="S521" s="378">
        <v>0</v>
      </c>
      <c r="T521" s="425"/>
      <c r="U521" s="71"/>
      <c r="V521" s="433"/>
      <c r="W521" s="434"/>
      <c r="X521" s="434"/>
      <c r="Y521" s="428" t="s">
        <v>1142</v>
      </c>
      <c r="Z521" s="429">
        <v>0</v>
      </c>
      <c r="AA521" s="429">
        <v>0</v>
      </c>
      <c r="AB521" s="363" t="e">
        <v>#N/A</v>
      </c>
      <c r="AC521" s="388">
        <v>0</v>
      </c>
      <c r="AD521" s="388">
        <v>0</v>
      </c>
      <c r="AE521" s="388">
        <v>0</v>
      </c>
      <c r="AF521" s="388">
        <v>0</v>
      </c>
      <c r="AG521" s="388">
        <v>0</v>
      </c>
      <c r="AH521" s="360" t="e">
        <f t="shared" si="26"/>
        <v>#N/A</v>
      </c>
      <c r="AI521" s="362" t="e">
        <f>ERP[[#This Row],[2026 Working Total]]-ERP[[#This Row],[LE2 Final Submission]]</f>
        <v>#N/A</v>
      </c>
      <c r="AJ521" s="79">
        <v>0</v>
      </c>
      <c r="AK521" s="79">
        <f t="shared" si="27"/>
        <v>0</v>
      </c>
      <c r="AL521" s="374">
        <f>SUM(ERP[[#This Row],[AP01]:[AP06]])-SUM(ERP[[#This Row],[AP01 LE2]:[AP06 LE2]])</f>
        <v>0</v>
      </c>
      <c r="AM521" s="80"/>
      <c r="AN521" s="79" t="e">
        <f>ERP[[#This Row],[2026 Working Total to Budget/LE]]-ERP[[#This Row],[Giveback]]</f>
        <v>#N/A</v>
      </c>
      <c r="AO521" s="81"/>
      <c r="AP521" s="375"/>
      <c r="AQ521" s="375"/>
      <c r="AR521" s="375"/>
      <c r="AS521" s="375">
        <v>0</v>
      </c>
      <c r="AT521" s="375">
        <v>0</v>
      </c>
      <c r="AU521" s="375">
        <v>0</v>
      </c>
      <c r="AV521" s="375">
        <v>0</v>
      </c>
      <c r="AW521" s="375">
        <v>0</v>
      </c>
      <c r="AX521" s="375">
        <v>0</v>
      </c>
      <c r="AY521" s="375">
        <v>0</v>
      </c>
      <c r="AZ521" s="375">
        <v>0</v>
      </c>
      <c r="BA521" s="375">
        <v>0</v>
      </c>
      <c r="BB521" s="375">
        <v>0</v>
      </c>
      <c r="BC521" s="103">
        <v>-664963</v>
      </c>
      <c r="BD521" s="103">
        <v>0</v>
      </c>
      <c r="BE521" s="103">
        <v>0</v>
      </c>
      <c r="BF521" s="103">
        <v>0</v>
      </c>
      <c r="BG521" s="103">
        <v>0</v>
      </c>
      <c r="BH521" s="103">
        <v>0</v>
      </c>
      <c r="BI521" s="103">
        <v>0</v>
      </c>
      <c r="BJ521" s="103">
        <v>0</v>
      </c>
      <c r="BK521" s="103">
        <v>0</v>
      </c>
      <c r="BL521" s="103">
        <v>0</v>
      </c>
      <c r="BM521" s="103">
        <v>0</v>
      </c>
      <c r="BN521" s="103">
        <v>0</v>
      </c>
      <c r="BO521" s="79">
        <f>SUM(ERP[[#This Row],[2026 AP01]:[2026 AP12]])</f>
        <v>-664963</v>
      </c>
    </row>
    <row r="522" spans="1:67" ht="15" customHeight="1">
      <c r="A522" s="227" t="s">
        <v>2500</v>
      </c>
      <c r="B522" s="330" t="s">
        <v>833</v>
      </c>
      <c r="C522" s="150" t="s">
        <v>1136</v>
      </c>
      <c r="D522" s="336" t="s">
        <v>1135</v>
      </c>
      <c r="E522" s="338" t="s">
        <v>1135</v>
      </c>
      <c r="F522" s="335" t="s">
        <v>1137</v>
      </c>
      <c r="G522" s="517" t="s">
        <v>639</v>
      </c>
      <c r="H522" s="399" t="s">
        <v>2501</v>
      </c>
      <c r="I522" s="343" t="s">
        <v>2484</v>
      </c>
      <c r="J522" s="334" t="s">
        <v>1171</v>
      </c>
      <c r="K522" s="235" t="s">
        <v>834</v>
      </c>
      <c r="L522" s="344"/>
      <c r="M522" s="346" t="s">
        <v>2502</v>
      </c>
      <c r="N522" s="349" t="s">
        <v>1710</v>
      </c>
      <c r="O522" s="352" t="s">
        <v>826</v>
      </c>
      <c r="P522" s="355" t="s">
        <v>2496</v>
      </c>
      <c r="Q522" s="437"/>
      <c r="R522" s="358">
        <v>663273</v>
      </c>
      <c r="S522" s="378">
        <v>0</v>
      </c>
      <c r="T522" s="425"/>
      <c r="U522" s="71"/>
      <c r="V522" s="409"/>
      <c r="W522" s="411"/>
      <c r="X522" s="411"/>
      <c r="Y522" s="428">
        <v>0</v>
      </c>
      <c r="Z522" s="429">
        <v>0</v>
      </c>
      <c r="AA522" s="429">
        <v>0</v>
      </c>
      <c r="AB522" s="363" t="e">
        <v>#N/A</v>
      </c>
      <c r="AC522" s="370">
        <v>0</v>
      </c>
      <c r="AD522" s="370">
        <v>0</v>
      </c>
      <c r="AE522" s="370">
        <v>0</v>
      </c>
      <c r="AF522" s="370">
        <v>0</v>
      </c>
      <c r="AG522" s="370">
        <v>0</v>
      </c>
      <c r="AH522" s="367" t="e">
        <f t="shared" si="26"/>
        <v>#N/A</v>
      </c>
      <c r="AI522" s="362" t="e">
        <f>ERP[[#This Row],[2026 Working Total]]-ERP[[#This Row],[LE2 Final Submission]]</f>
        <v>#N/A</v>
      </c>
      <c r="AJ522" s="227">
        <v>0</v>
      </c>
      <c r="AK522" s="227">
        <f t="shared" si="27"/>
        <v>0</v>
      </c>
      <c r="AL522" s="374">
        <f>SUM(ERP[[#This Row],[AP01]:[AP06]])-SUM(ERP[[#This Row],[AP01 LE2]:[AP06 LE2]])</f>
        <v>0</v>
      </c>
      <c r="AM522" s="80"/>
      <c r="AN522" s="79" t="e">
        <f>ERP[[#This Row],[2026 Working Total to Budget/LE]]-ERP[[#This Row],[Giveback]]</f>
        <v>#N/A</v>
      </c>
      <c r="AO522" s="81"/>
      <c r="AP522" s="375"/>
      <c r="AQ522" s="375"/>
      <c r="AR522" s="375"/>
      <c r="AS522" s="375">
        <v>0</v>
      </c>
      <c r="AT522" s="375">
        <v>0</v>
      </c>
      <c r="AU522" s="375">
        <v>0</v>
      </c>
      <c r="AV522" s="375">
        <v>0</v>
      </c>
      <c r="AW522" s="375">
        <v>0</v>
      </c>
      <c r="AX522" s="375">
        <v>0</v>
      </c>
      <c r="AY522" s="375">
        <v>0</v>
      </c>
      <c r="AZ522" s="375">
        <v>0</v>
      </c>
      <c r="BA522" s="375">
        <v>0</v>
      </c>
      <c r="BB522" s="375">
        <v>0</v>
      </c>
      <c r="BC522" s="246">
        <v>663273</v>
      </c>
      <c r="BD522" s="246">
        <v>0</v>
      </c>
      <c r="BE522" s="246">
        <v>0</v>
      </c>
      <c r="BF522" s="246">
        <v>0</v>
      </c>
      <c r="BG522" s="246">
        <v>0</v>
      </c>
      <c r="BH522" s="246">
        <v>0</v>
      </c>
      <c r="BI522" s="246">
        <v>0</v>
      </c>
      <c r="BJ522" s="246">
        <v>0</v>
      </c>
      <c r="BK522" s="246">
        <v>0</v>
      </c>
      <c r="BL522" s="246">
        <v>0</v>
      </c>
      <c r="BM522" s="246">
        <v>0</v>
      </c>
      <c r="BN522" s="246">
        <v>0</v>
      </c>
      <c r="BO522" s="227">
        <f>SUM(ERP[[#This Row],[2026 AP01]:[2026 AP12]])</f>
        <v>663273</v>
      </c>
    </row>
    <row r="523" spans="1:67" ht="15" customHeight="1">
      <c r="A523" s="227" t="s">
        <v>2503</v>
      </c>
      <c r="B523" s="330" t="s">
        <v>835</v>
      </c>
      <c r="C523" s="150" t="s">
        <v>1136</v>
      </c>
      <c r="D523" s="336" t="s">
        <v>1135</v>
      </c>
      <c r="E523" s="337" t="s">
        <v>1135</v>
      </c>
      <c r="F523" s="335" t="s">
        <v>1137</v>
      </c>
      <c r="G523" s="517" t="s">
        <v>639</v>
      </c>
      <c r="H523" s="397" t="s">
        <v>2504</v>
      </c>
      <c r="I523" s="343" t="s">
        <v>2484</v>
      </c>
      <c r="J523" s="334" t="s">
        <v>1171</v>
      </c>
      <c r="K523" s="253" t="s">
        <v>836</v>
      </c>
      <c r="L523" s="344"/>
      <c r="M523" s="346" t="s">
        <v>2502</v>
      </c>
      <c r="N523" s="349" t="s">
        <v>1710</v>
      </c>
      <c r="O523" s="350" t="s">
        <v>826</v>
      </c>
      <c r="P523" s="355" t="s">
        <v>2499</v>
      </c>
      <c r="Q523" s="437"/>
      <c r="R523" s="358">
        <v>-663273</v>
      </c>
      <c r="S523" s="378">
        <v>0</v>
      </c>
      <c r="T523" s="430"/>
      <c r="U523" s="137"/>
      <c r="V523" s="409"/>
      <c r="W523" s="411"/>
      <c r="X523" s="411"/>
      <c r="Y523" s="428" t="s">
        <v>1142</v>
      </c>
      <c r="Z523" s="429">
        <v>0</v>
      </c>
      <c r="AA523" s="429">
        <v>0</v>
      </c>
      <c r="AB523" s="363" t="e">
        <v>#N/A</v>
      </c>
      <c r="AC523" s="370">
        <v>0</v>
      </c>
      <c r="AD523" s="370">
        <v>0</v>
      </c>
      <c r="AE523" s="370">
        <v>0</v>
      </c>
      <c r="AF523" s="370">
        <v>0</v>
      </c>
      <c r="AG523" s="370">
        <v>0</v>
      </c>
      <c r="AH523" s="367" t="e">
        <f t="shared" si="26"/>
        <v>#N/A</v>
      </c>
      <c r="AI523" s="362" t="e">
        <f>ERP[[#This Row],[2026 Working Total]]-ERP[[#This Row],[LE2 Final Submission]]</f>
        <v>#N/A</v>
      </c>
      <c r="AJ523" s="227">
        <v>0</v>
      </c>
      <c r="AK523" s="227">
        <f t="shared" si="27"/>
        <v>0</v>
      </c>
      <c r="AL523" s="374">
        <f>SUM(ERP[[#This Row],[AP01]:[AP06]])-SUM(ERP[[#This Row],[AP01 LE2]:[AP06 LE2]])</f>
        <v>0</v>
      </c>
      <c r="AM523" s="80"/>
      <c r="AN523" s="79" t="e">
        <f>ERP[[#This Row],[2026 Working Total to Budget/LE]]-ERP[[#This Row],[Giveback]]</f>
        <v>#N/A</v>
      </c>
      <c r="AO523" s="81"/>
      <c r="AP523" s="375"/>
      <c r="AQ523" s="375"/>
      <c r="AR523" s="375"/>
      <c r="AS523" s="375">
        <v>0</v>
      </c>
      <c r="AT523" s="375">
        <v>0</v>
      </c>
      <c r="AU523" s="375">
        <v>0</v>
      </c>
      <c r="AV523" s="375">
        <v>0</v>
      </c>
      <c r="AW523" s="375">
        <v>0</v>
      </c>
      <c r="AX523" s="375">
        <v>0</v>
      </c>
      <c r="AY523" s="375">
        <v>0</v>
      </c>
      <c r="AZ523" s="375">
        <v>0</v>
      </c>
      <c r="BA523" s="375">
        <v>0</v>
      </c>
      <c r="BB523" s="375">
        <v>0</v>
      </c>
      <c r="BC523" s="246">
        <v>-663273</v>
      </c>
      <c r="BD523" s="246">
        <v>0</v>
      </c>
      <c r="BE523" s="246">
        <v>0</v>
      </c>
      <c r="BF523" s="246">
        <v>0</v>
      </c>
      <c r="BG523" s="246">
        <v>0</v>
      </c>
      <c r="BH523" s="246">
        <v>0</v>
      </c>
      <c r="BI523" s="246">
        <v>0</v>
      </c>
      <c r="BJ523" s="246">
        <v>0</v>
      </c>
      <c r="BK523" s="246">
        <v>0</v>
      </c>
      <c r="BL523" s="246">
        <v>0</v>
      </c>
      <c r="BM523" s="246">
        <v>0</v>
      </c>
      <c r="BN523" s="246">
        <v>0</v>
      </c>
      <c r="BO523" s="227">
        <f>SUM(ERP[[#This Row],[2026 AP01]:[2026 AP12]])</f>
        <v>-663273</v>
      </c>
    </row>
    <row r="524" spans="1:67" ht="15" customHeight="1">
      <c r="A524" s="215" t="s">
        <v>2505</v>
      </c>
      <c r="B524" s="215" t="s">
        <v>837</v>
      </c>
      <c r="C524" s="150" t="s">
        <v>1136</v>
      </c>
      <c r="D524" s="334" t="s">
        <v>1135</v>
      </c>
      <c r="E524" s="334" t="s">
        <v>1135</v>
      </c>
      <c r="F524" s="334" t="s">
        <v>1137</v>
      </c>
      <c r="G524" s="516" t="s">
        <v>639</v>
      </c>
      <c r="H524" s="398" t="s">
        <v>2506</v>
      </c>
      <c r="I524" s="343"/>
      <c r="J524" s="344"/>
      <c r="K524" s="219" t="s">
        <v>838</v>
      </c>
      <c r="L524" s="346"/>
      <c r="M524" s="343"/>
      <c r="N524" s="349"/>
      <c r="O524" s="334" t="s">
        <v>605</v>
      </c>
      <c r="P524" s="354"/>
      <c r="Q524" s="403"/>
      <c r="R524" s="406">
        <v>107212</v>
      </c>
      <c r="S524" s="406">
        <v>107212</v>
      </c>
      <c r="T524" s="425"/>
      <c r="U524" s="71"/>
      <c r="V524" s="408"/>
      <c r="W524" s="410"/>
      <c r="X524" s="410"/>
      <c r="Y524" s="428" t="s">
        <v>1142</v>
      </c>
      <c r="Z524" s="429">
        <v>0</v>
      </c>
      <c r="AA524" s="429">
        <v>0</v>
      </c>
      <c r="AB524" s="363" t="e">
        <v>#N/A</v>
      </c>
      <c r="AC524" s="368">
        <v>0</v>
      </c>
      <c r="AD524" s="368">
        <v>0</v>
      </c>
      <c r="AE524" s="368">
        <v>0</v>
      </c>
      <c r="AF524" s="368">
        <v>0</v>
      </c>
      <c r="AG524" s="368">
        <v>0</v>
      </c>
      <c r="AH524" s="367" t="e">
        <f t="shared" ref="AH524:AH587" si="28">SUM(V524:AG524)</f>
        <v>#N/A</v>
      </c>
      <c r="AI524" s="362" t="e">
        <f>ERP[[#This Row],[2026 Working Total]]-ERP[[#This Row],[LE2 Final Submission]]</f>
        <v>#N/A</v>
      </c>
      <c r="AJ524" s="227">
        <v>0</v>
      </c>
      <c r="AK524" s="227">
        <f t="shared" si="27"/>
        <v>0</v>
      </c>
      <c r="AL524" s="374">
        <f>SUM(ERP[[#This Row],[AP01]:[AP06]])-SUM(ERP[[#This Row],[AP01 LE2]:[AP06 LE2]])</f>
        <v>-107212</v>
      </c>
      <c r="AM524" s="80"/>
      <c r="AN524" s="79" t="e">
        <f>ERP[[#This Row],[2026 Working Total to Budget/LE]]-ERP[[#This Row],[Giveback]]</f>
        <v>#N/A</v>
      </c>
      <c r="AO524" s="81"/>
      <c r="AP524" s="375"/>
      <c r="AQ524" s="375"/>
      <c r="AR524" s="375"/>
      <c r="AS524" s="375"/>
      <c r="AT524" s="375">
        <v>107212</v>
      </c>
      <c r="AU524" s="375">
        <v>0</v>
      </c>
      <c r="AV524" s="375">
        <v>0</v>
      </c>
      <c r="AW524" s="375">
        <v>0</v>
      </c>
      <c r="AX524" s="375">
        <v>0</v>
      </c>
      <c r="AY524" s="375">
        <v>0</v>
      </c>
      <c r="AZ524" s="375">
        <v>0</v>
      </c>
      <c r="BA524" s="375">
        <v>0</v>
      </c>
      <c r="BB524" s="375">
        <v>107212</v>
      </c>
      <c r="BC524" s="227"/>
      <c r="BD524" s="227"/>
      <c r="BE524" s="227"/>
      <c r="BF524" s="227"/>
      <c r="BG524" s="227">
        <v>107212</v>
      </c>
      <c r="BH524" s="227">
        <v>0</v>
      </c>
      <c r="BI524" s="227">
        <v>0</v>
      </c>
      <c r="BJ524" s="227">
        <v>0</v>
      </c>
      <c r="BK524" s="227">
        <v>0</v>
      </c>
      <c r="BL524" s="227">
        <v>0</v>
      </c>
      <c r="BM524" s="227">
        <v>0</v>
      </c>
      <c r="BN524" s="227">
        <v>0</v>
      </c>
      <c r="BO524" s="227">
        <v>107212</v>
      </c>
    </row>
    <row r="525" spans="1:67" ht="15" customHeight="1">
      <c r="A525" s="215" t="s">
        <v>2507</v>
      </c>
      <c r="B525" s="215" t="s">
        <v>839</v>
      </c>
      <c r="C525" s="150" t="s">
        <v>1136</v>
      </c>
      <c r="D525" s="334" t="s">
        <v>1135</v>
      </c>
      <c r="E525" s="334" t="s">
        <v>1135</v>
      </c>
      <c r="F525" s="334" t="s">
        <v>1137</v>
      </c>
      <c r="G525" s="516" t="s">
        <v>639</v>
      </c>
      <c r="H525" s="398" t="s">
        <v>2508</v>
      </c>
      <c r="I525" s="343" t="s">
        <v>1231</v>
      </c>
      <c r="J525" s="349" t="s">
        <v>1171</v>
      </c>
      <c r="K525" s="219" t="s">
        <v>840</v>
      </c>
      <c r="L525" s="346"/>
      <c r="M525" s="346" t="s">
        <v>2509</v>
      </c>
      <c r="N525" s="349"/>
      <c r="O525" s="334" t="s">
        <v>605</v>
      </c>
      <c r="P525" s="354" t="s">
        <v>2340</v>
      </c>
      <c r="Q525" s="403"/>
      <c r="R525" s="406">
        <v>1155056.04</v>
      </c>
      <c r="S525" s="406">
        <v>1155043.3</v>
      </c>
      <c r="T525" s="425"/>
      <c r="U525" s="71"/>
      <c r="V525" s="408">
        <v>1155005.0900000001</v>
      </c>
      <c r="W525" s="410">
        <v>-962504.24</v>
      </c>
      <c r="X525" s="410">
        <v>96250.42</v>
      </c>
      <c r="Y525" s="428">
        <v>0</v>
      </c>
      <c r="Z525" s="429">
        <v>192500.84</v>
      </c>
      <c r="AA525" s="429">
        <v>96250.42</v>
      </c>
      <c r="AB525" s="363" t="e">
        <v>#N/A</v>
      </c>
      <c r="AC525" s="369">
        <f>96254.67+96254.67</f>
        <v>192509.34</v>
      </c>
      <c r="AD525" s="369">
        <v>96254.67</v>
      </c>
      <c r="AE525" s="369">
        <f>96254.67-96254.67</f>
        <v>0</v>
      </c>
      <c r="AF525" s="369">
        <f>96254.67+96254.67</f>
        <v>192509.34</v>
      </c>
      <c r="AG525" s="369">
        <v>96254.67</v>
      </c>
      <c r="AH525" s="367" t="e">
        <f t="shared" si="28"/>
        <v>#N/A</v>
      </c>
      <c r="AI525" s="362" t="e">
        <f>ERP[[#This Row],[2026 Working Total]]-ERP[[#This Row],[LE2 Final Submission]]</f>
        <v>#N/A</v>
      </c>
      <c r="AJ525" s="227">
        <v>0</v>
      </c>
      <c r="AK525" s="227">
        <f t="shared" si="27"/>
        <v>96250.42</v>
      </c>
      <c r="AL525" s="374">
        <f>SUM(ERP[[#This Row],[AP01]:[AP06]])-SUM(ERP[[#This Row],[AP01 LE2]:[AP06 LE2]])</f>
        <v>-12.75</v>
      </c>
      <c r="AM525" s="80"/>
      <c r="AN525" s="79" t="e">
        <f>ERP[[#This Row],[2026 Working Total to Budget/LE]]-ERP[[#This Row],[Giveback]]</f>
        <v>#N/A</v>
      </c>
      <c r="AO525" s="81"/>
      <c r="AP525" s="375">
        <v>1155005.0900000001</v>
      </c>
      <c r="AQ525" s="375">
        <v>-962504.24</v>
      </c>
      <c r="AR525" s="375">
        <v>96250.42</v>
      </c>
      <c r="AS525" s="375">
        <v>0</v>
      </c>
      <c r="AT525" s="375">
        <v>192509.34</v>
      </c>
      <c r="AU525" s="375">
        <v>96254.67</v>
      </c>
      <c r="AV525" s="375">
        <v>0</v>
      </c>
      <c r="AW525" s="375">
        <v>192509.34</v>
      </c>
      <c r="AX525" s="375">
        <v>96254.67</v>
      </c>
      <c r="AY525" s="375">
        <v>0</v>
      </c>
      <c r="AZ525" s="375">
        <v>192509.34</v>
      </c>
      <c r="BA525" s="375">
        <v>96254.67</v>
      </c>
      <c r="BB525" s="375">
        <v>1155043.3</v>
      </c>
      <c r="BC525" s="227">
        <v>1155005.0900000001</v>
      </c>
      <c r="BD525" s="227">
        <v>-962504.24</v>
      </c>
      <c r="BE525" s="227">
        <v>96250.42</v>
      </c>
      <c r="BF525" s="227">
        <v>96254.67</v>
      </c>
      <c r="BG525" s="227">
        <v>96254.67</v>
      </c>
      <c r="BH525" s="227">
        <v>96254.67</v>
      </c>
      <c r="BI525" s="227">
        <v>96254.67</v>
      </c>
      <c r="BJ525" s="227">
        <v>96254.67</v>
      </c>
      <c r="BK525" s="227">
        <v>96254.67</v>
      </c>
      <c r="BL525" s="227">
        <v>96254.67</v>
      </c>
      <c r="BM525" s="227">
        <v>96254.67</v>
      </c>
      <c r="BN525" s="227">
        <v>96254.67</v>
      </c>
      <c r="BO525" s="227">
        <v>1155043.3</v>
      </c>
    </row>
    <row r="526" spans="1:67" ht="15" customHeight="1">
      <c r="A526" s="215" t="s">
        <v>2510</v>
      </c>
      <c r="B526" s="215" t="s">
        <v>841</v>
      </c>
      <c r="C526" s="150" t="s">
        <v>1136</v>
      </c>
      <c r="D526" s="334" t="s">
        <v>1135</v>
      </c>
      <c r="E526" s="334" t="s">
        <v>1135</v>
      </c>
      <c r="F526" s="334" t="s">
        <v>1137</v>
      </c>
      <c r="G526" s="516" t="s">
        <v>639</v>
      </c>
      <c r="H526" s="398" t="s">
        <v>2511</v>
      </c>
      <c r="I526" s="343" t="s">
        <v>1231</v>
      </c>
      <c r="J526" s="349" t="s">
        <v>1171</v>
      </c>
      <c r="K526" s="219" t="s">
        <v>842</v>
      </c>
      <c r="L526" s="349"/>
      <c r="M526" s="346" t="s">
        <v>2339</v>
      </c>
      <c r="N526" s="349"/>
      <c r="O526" s="334" t="s">
        <v>843</v>
      </c>
      <c r="P526" s="354" t="s">
        <v>2340</v>
      </c>
      <c r="Q526" s="403"/>
      <c r="R526" s="406">
        <v>3290595.8399999994</v>
      </c>
      <c r="S526" s="406">
        <v>3254950.82</v>
      </c>
      <c r="T526" s="430"/>
      <c r="U526" s="137"/>
      <c r="V526" s="408">
        <v>3254947.27</v>
      </c>
      <c r="W526" s="410">
        <v>-2712456.06</v>
      </c>
      <c r="X526" s="410">
        <v>271245.61</v>
      </c>
      <c r="Y526" s="428" t="s">
        <v>1142</v>
      </c>
      <c r="Z526" s="429">
        <v>0</v>
      </c>
      <c r="AA526" s="429">
        <v>0</v>
      </c>
      <c r="AB526" s="363" t="e">
        <v>#N/A</v>
      </c>
      <c r="AC526" s="369">
        <f>271246+271246</f>
        <v>542492</v>
      </c>
      <c r="AD526" s="369">
        <v>271246</v>
      </c>
      <c r="AE526" s="369">
        <f>271246-271246</f>
        <v>0</v>
      </c>
      <c r="AF526" s="369">
        <f>271246+271246</f>
        <v>542492</v>
      </c>
      <c r="AG526" s="369">
        <v>271246</v>
      </c>
      <c r="AH526" s="367" t="e">
        <f t="shared" si="28"/>
        <v>#N/A</v>
      </c>
      <c r="AI526" s="362" t="e">
        <f>ERP[[#This Row],[2026 Working Total]]-ERP[[#This Row],[LE2 Final Submission]]</f>
        <v>#N/A</v>
      </c>
      <c r="AJ526" s="227">
        <v>0</v>
      </c>
      <c r="AK526" s="227">
        <f t="shared" si="27"/>
        <v>0</v>
      </c>
      <c r="AL526" s="374">
        <f>SUM(ERP[[#This Row],[AP01]:[AP06]])-SUM(ERP[[#This Row],[AP01 LE2]:[AP06 LE2]])</f>
        <v>-813737.99999999988</v>
      </c>
      <c r="AM526" s="80"/>
      <c r="AN526" s="79" t="e">
        <f>ERP[[#This Row],[2026 Working Total to Budget/LE]]-ERP[[#This Row],[Giveback]]</f>
        <v>#N/A</v>
      </c>
      <c r="AO526" s="81"/>
      <c r="AP526" s="375">
        <v>3254947.27</v>
      </c>
      <c r="AQ526" s="375">
        <v>-2712456.06</v>
      </c>
      <c r="AR526" s="375">
        <v>271245.61</v>
      </c>
      <c r="AS526" s="375">
        <v>0</v>
      </c>
      <c r="AT526" s="375">
        <v>542492</v>
      </c>
      <c r="AU526" s="375">
        <v>271246</v>
      </c>
      <c r="AV526" s="375">
        <v>0</v>
      </c>
      <c r="AW526" s="375">
        <v>542492</v>
      </c>
      <c r="AX526" s="375">
        <v>271246</v>
      </c>
      <c r="AY526" s="375">
        <v>0</v>
      </c>
      <c r="AZ526" s="375">
        <v>542492</v>
      </c>
      <c r="BA526" s="375">
        <v>271246</v>
      </c>
      <c r="BB526" s="375">
        <v>3254950.82</v>
      </c>
      <c r="BC526" s="227">
        <v>3254947.27</v>
      </c>
      <c r="BD526" s="227">
        <v>-2712456.06</v>
      </c>
      <c r="BE526" s="227">
        <v>271245.61</v>
      </c>
      <c r="BF526" s="227">
        <v>271246</v>
      </c>
      <c r="BG526" s="227">
        <v>271246</v>
      </c>
      <c r="BH526" s="227">
        <v>271246</v>
      </c>
      <c r="BI526" s="227">
        <v>271246</v>
      </c>
      <c r="BJ526" s="227">
        <v>271246</v>
      </c>
      <c r="BK526" s="227">
        <v>271246</v>
      </c>
      <c r="BL526" s="227">
        <v>271246</v>
      </c>
      <c r="BM526" s="227">
        <v>271246</v>
      </c>
      <c r="BN526" s="227">
        <v>271246</v>
      </c>
      <c r="BO526" s="227">
        <v>3254950.82</v>
      </c>
    </row>
    <row r="527" spans="1:67" ht="15" customHeight="1">
      <c r="A527" s="215" t="s">
        <v>2151</v>
      </c>
      <c r="B527" s="215" t="s">
        <v>2152</v>
      </c>
      <c r="C527" s="150" t="s">
        <v>1136</v>
      </c>
      <c r="D527" s="334" t="s">
        <v>1135</v>
      </c>
      <c r="E527" s="334" t="s">
        <v>1145</v>
      </c>
      <c r="F527" s="334" t="s">
        <v>1137</v>
      </c>
      <c r="G527" s="516" t="s">
        <v>602</v>
      </c>
      <c r="H527" s="398" t="s">
        <v>2153</v>
      </c>
      <c r="I527" s="343"/>
      <c r="J527" s="334" t="s">
        <v>1186</v>
      </c>
      <c r="K527" s="219" t="s">
        <v>607</v>
      </c>
      <c r="L527" s="349" t="s">
        <v>1153</v>
      </c>
      <c r="M527" s="346" t="s">
        <v>2154</v>
      </c>
      <c r="N527" s="349" t="s">
        <v>1710</v>
      </c>
      <c r="O527" s="334" t="s">
        <v>608</v>
      </c>
      <c r="P527" s="354"/>
      <c r="Q527" s="404"/>
      <c r="R527" s="407">
        <v>0</v>
      </c>
      <c r="S527" s="407">
        <v>0</v>
      </c>
      <c r="T527" s="425"/>
      <c r="U527" s="71"/>
      <c r="V527" s="408">
        <v>-11125</v>
      </c>
      <c r="W527" s="410">
        <v>11125</v>
      </c>
      <c r="X527" s="410"/>
      <c r="Y527" s="428" t="s">
        <v>1142</v>
      </c>
      <c r="Z527" s="429">
        <v>0</v>
      </c>
      <c r="AA527" s="429">
        <v>0</v>
      </c>
      <c r="AB527" s="363" t="e">
        <v>#N/A</v>
      </c>
      <c r="AC527" s="369"/>
      <c r="AD527" s="363"/>
      <c r="AE527" s="363"/>
      <c r="AF527" s="369"/>
      <c r="AG527" s="363"/>
      <c r="AH527" s="367" t="e">
        <f t="shared" si="28"/>
        <v>#N/A</v>
      </c>
      <c r="AI527" s="362" t="e">
        <f>ERP[[#This Row],[2026 Working Total]]-ERP[[#This Row],[LE2 Final Submission]]</f>
        <v>#N/A</v>
      </c>
      <c r="AJ527" s="227"/>
      <c r="AK527" s="227">
        <f t="shared" si="27"/>
        <v>0</v>
      </c>
      <c r="AL527" s="374">
        <f>SUM(ERP[[#This Row],[AP01]:[AP06]])-SUM(ERP[[#This Row],[AP01 LE2]:[AP06 LE2]])</f>
        <v>0</v>
      </c>
      <c r="AM527" s="80"/>
      <c r="AN527" s="79" t="e">
        <f>ERP[[#This Row],[2026 Working Total to Budget/LE]]-ERP[[#This Row],[Giveback]]</f>
        <v>#N/A</v>
      </c>
      <c r="AO527" s="81"/>
      <c r="AP527" s="375">
        <v>-11125</v>
      </c>
      <c r="AQ527" s="375">
        <v>11125</v>
      </c>
      <c r="AR527" s="375"/>
      <c r="AS527" s="375"/>
      <c r="AT527" s="375"/>
      <c r="AU527" s="375"/>
      <c r="AV527" s="375"/>
      <c r="AW527" s="375"/>
      <c r="AX527" s="375"/>
      <c r="AY527" s="375"/>
      <c r="AZ527" s="375"/>
      <c r="BA527" s="375"/>
      <c r="BB527" s="375">
        <v>0</v>
      </c>
      <c r="BC527" s="227">
        <v>-11125</v>
      </c>
      <c r="BD527" s="227">
        <v>11125</v>
      </c>
      <c r="BE527" s="227"/>
      <c r="BF527" s="227"/>
      <c r="BG527" s="227"/>
      <c r="BH527" s="227"/>
      <c r="BI527" s="227"/>
      <c r="BJ527" s="227"/>
      <c r="BK527" s="227"/>
      <c r="BL527" s="227"/>
      <c r="BM527" s="227"/>
      <c r="BN527" s="227"/>
      <c r="BO527" s="227">
        <v>0</v>
      </c>
    </row>
    <row r="528" spans="1:67" ht="15" customHeight="1">
      <c r="A528" s="227" t="s">
        <v>2627</v>
      </c>
      <c r="B528" s="330" t="s">
        <v>919</v>
      </c>
      <c r="C528" s="150" t="s">
        <v>1136</v>
      </c>
      <c r="D528" s="336" t="s">
        <v>1345</v>
      </c>
      <c r="E528" s="338" t="s">
        <v>1344</v>
      </c>
      <c r="F528" s="335" t="s">
        <v>1346</v>
      </c>
      <c r="G528" s="517" t="s">
        <v>639</v>
      </c>
      <c r="H528" s="399" t="s">
        <v>2628</v>
      </c>
      <c r="I528" s="343"/>
      <c r="J528" s="335"/>
      <c r="K528" s="91" t="s">
        <v>920</v>
      </c>
      <c r="L528" s="344"/>
      <c r="M528" s="343"/>
      <c r="N528" s="353"/>
      <c r="O528" s="352" t="s">
        <v>25</v>
      </c>
      <c r="P528" s="356" t="s">
        <v>2629</v>
      </c>
      <c r="Q528" s="432"/>
      <c r="R528" s="358">
        <v>32000</v>
      </c>
      <c r="S528" s="378">
        <v>32000</v>
      </c>
      <c r="T528" s="430"/>
      <c r="U528" s="137"/>
      <c r="V528" s="409"/>
      <c r="W528" s="411"/>
      <c r="X528" s="411"/>
      <c r="Y528" s="428" t="s">
        <v>1142</v>
      </c>
      <c r="Z528" s="429">
        <v>0</v>
      </c>
      <c r="AA528" s="429">
        <v>0</v>
      </c>
      <c r="AB528" s="363" t="e">
        <v>#N/A</v>
      </c>
      <c r="AC528" s="370">
        <v>0</v>
      </c>
      <c r="AD528" s="370">
        <v>0</v>
      </c>
      <c r="AE528" s="370">
        <v>32000</v>
      </c>
      <c r="AF528" s="370">
        <v>0</v>
      </c>
      <c r="AG528" s="370">
        <v>0</v>
      </c>
      <c r="AH528" s="367" t="e">
        <f t="shared" si="28"/>
        <v>#N/A</v>
      </c>
      <c r="AI528" s="362" t="e">
        <f>ERP[[#This Row],[2026 Working Total]]-ERP[[#This Row],[LE2 Final Submission]]</f>
        <v>#N/A</v>
      </c>
      <c r="AJ528" s="227">
        <v>0</v>
      </c>
      <c r="AK528" s="227">
        <f t="shared" si="27"/>
        <v>0</v>
      </c>
      <c r="AL528" s="374">
        <f>SUM(ERP[[#This Row],[AP01]:[AP06]])-SUM(ERP[[#This Row],[AP01 LE2]:[AP06 LE2]])</f>
        <v>0</v>
      </c>
      <c r="AM528" s="80"/>
      <c r="AN528" s="79" t="e">
        <f>ERP[[#This Row],[2026 Working Total to Budget/LE]]-ERP[[#This Row],[Giveback]]</f>
        <v>#N/A</v>
      </c>
      <c r="AO528" s="155" t="s">
        <v>2630</v>
      </c>
      <c r="AP528" s="375"/>
      <c r="AQ528" s="375"/>
      <c r="AR528" s="375"/>
      <c r="AS528" s="375">
        <v>0</v>
      </c>
      <c r="AT528" s="375">
        <v>0</v>
      </c>
      <c r="AU528" s="375">
        <v>0</v>
      </c>
      <c r="AV528" s="375">
        <v>0</v>
      </c>
      <c r="AW528" s="375">
        <v>0</v>
      </c>
      <c r="AX528" s="375">
        <v>0</v>
      </c>
      <c r="AY528" s="375">
        <v>32000</v>
      </c>
      <c r="AZ528" s="375">
        <v>0</v>
      </c>
      <c r="BA528" s="375">
        <v>0</v>
      </c>
      <c r="BB528" s="375">
        <v>32000</v>
      </c>
      <c r="BC528" s="246">
        <v>0</v>
      </c>
      <c r="BD528" s="246">
        <v>32000</v>
      </c>
      <c r="BE528" s="246">
        <v>0</v>
      </c>
      <c r="BF528" s="246">
        <v>0</v>
      </c>
      <c r="BG528" s="246">
        <v>0</v>
      </c>
      <c r="BH528" s="246">
        <v>0</v>
      </c>
      <c r="BI528" s="246">
        <v>0</v>
      </c>
      <c r="BJ528" s="246">
        <v>0</v>
      </c>
      <c r="BK528" s="246">
        <v>0</v>
      </c>
      <c r="BL528" s="246">
        <v>0</v>
      </c>
      <c r="BM528" s="246">
        <v>0</v>
      </c>
      <c r="BN528" s="246">
        <v>0</v>
      </c>
      <c r="BO528" s="227">
        <f>SUM(ERP[[#This Row],[2026 AP01]:[2026 AP12]])</f>
        <v>32000</v>
      </c>
    </row>
    <row r="529" spans="1:67" ht="15" customHeight="1">
      <c r="A529" s="215" t="s">
        <v>2631</v>
      </c>
      <c r="B529" s="215" t="s">
        <v>921</v>
      </c>
      <c r="C529" s="150" t="s">
        <v>1136</v>
      </c>
      <c r="D529" s="334" t="s">
        <v>1345</v>
      </c>
      <c r="E529" s="334" t="s">
        <v>1344</v>
      </c>
      <c r="F529" s="334" t="s">
        <v>1346</v>
      </c>
      <c r="G529" s="516" t="s">
        <v>639</v>
      </c>
      <c r="H529" s="398" t="s">
        <v>2632</v>
      </c>
      <c r="I529" s="343"/>
      <c r="J529" s="344"/>
      <c r="K529" s="219" t="s">
        <v>922</v>
      </c>
      <c r="L529" s="349"/>
      <c r="M529" s="343"/>
      <c r="N529" s="349"/>
      <c r="O529" s="334" t="s">
        <v>25</v>
      </c>
      <c r="P529" s="354"/>
      <c r="Q529" s="403"/>
      <c r="R529" s="406">
        <v>5000</v>
      </c>
      <c r="S529" s="406">
        <v>5000</v>
      </c>
      <c r="T529" s="425"/>
      <c r="U529" s="71"/>
      <c r="V529" s="408"/>
      <c r="W529" s="410"/>
      <c r="X529" s="410"/>
      <c r="Y529" s="428" t="s">
        <v>1142</v>
      </c>
      <c r="Z529" s="429">
        <v>0</v>
      </c>
      <c r="AA529" s="429">
        <v>0</v>
      </c>
      <c r="AB529" s="363" t="e">
        <v>#N/A</v>
      </c>
      <c r="AC529" s="369"/>
      <c r="AD529" s="369">
        <v>5000</v>
      </c>
      <c r="AE529" s="368">
        <v>0</v>
      </c>
      <c r="AF529" s="368">
        <v>0</v>
      </c>
      <c r="AG529" s="368">
        <v>0</v>
      </c>
      <c r="AH529" s="367" t="e">
        <f t="shared" si="28"/>
        <v>#N/A</v>
      </c>
      <c r="AI529" s="362" t="e">
        <f>ERP[[#This Row],[2026 Working Total]]-ERP[[#This Row],[LE2 Final Submission]]</f>
        <v>#N/A</v>
      </c>
      <c r="AJ529" s="227"/>
      <c r="AK529" s="227">
        <f t="shared" si="27"/>
        <v>0</v>
      </c>
      <c r="AL529" s="374">
        <f>SUM(ERP[[#This Row],[AP01]:[AP06]])-SUM(ERP[[#This Row],[AP01 LE2]:[AP06 LE2]])</f>
        <v>0</v>
      </c>
      <c r="AM529" s="80"/>
      <c r="AN529" s="79" t="e">
        <f>ERP[[#This Row],[2026 Working Total to Budget/LE]]-ERP[[#This Row],[Giveback]]</f>
        <v>#N/A</v>
      </c>
      <c r="AO529" s="81"/>
      <c r="AP529" s="375"/>
      <c r="AQ529" s="375"/>
      <c r="AR529" s="375"/>
      <c r="AS529" s="375"/>
      <c r="AT529" s="375"/>
      <c r="AU529" s="375"/>
      <c r="AV529" s="375"/>
      <c r="AW529" s="375"/>
      <c r="AX529" s="375">
        <v>5000</v>
      </c>
      <c r="AY529" s="375">
        <v>0</v>
      </c>
      <c r="AZ529" s="375">
        <v>0</v>
      </c>
      <c r="BA529" s="375">
        <v>0</v>
      </c>
      <c r="BB529" s="375">
        <v>5000</v>
      </c>
      <c r="BC529" s="227"/>
      <c r="BD529" s="227"/>
      <c r="BE529" s="227"/>
      <c r="BF529" s="227"/>
      <c r="BG529" s="227"/>
      <c r="BH529" s="227"/>
      <c r="BI529" s="227"/>
      <c r="BJ529" s="227"/>
      <c r="BK529" s="227">
        <v>5000</v>
      </c>
      <c r="BL529" s="227">
        <v>0</v>
      </c>
      <c r="BM529" s="227">
        <v>0</v>
      </c>
      <c r="BN529" s="227">
        <v>0</v>
      </c>
      <c r="BO529" s="227">
        <v>5000</v>
      </c>
    </row>
    <row r="530" spans="1:67" ht="15" customHeight="1">
      <c r="A530" s="215" t="s">
        <v>2633</v>
      </c>
      <c r="B530" s="215" t="s">
        <v>923</v>
      </c>
      <c r="C530" s="150" t="s">
        <v>1136</v>
      </c>
      <c r="D530" s="334" t="s">
        <v>1345</v>
      </c>
      <c r="E530" s="334" t="s">
        <v>1344</v>
      </c>
      <c r="F530" s="334" t="s">
        <v>1346</v>
      </c>
      <c r="G530" s="516" t="s">
        <v>639</v>
      </c>
      <c r="H530" s="398" t="s">
        <v>2634</v>
      </c>
      <c r="I530" s="343"/>
      <c r="J530" s="344"/>
      <c r="K530" s="219" t="s">
        <v>924</v>
      </c>
      <c r="L530" s="349"/>
      <c r="M530" s="343"/>
      <c r="N530" s="349"/>
      <c r="O530" s="334" t="s">
        <v>25</v>
      </c>
      <c r="P530" s="354"/>
      <c r="Q530" s="403"/>
      <c r="R530" s="406">
        <v>6000</v>
      </c>
      <c r="S530" s="406">
        <v>4500</v>
      </c>
      <c r="T530" s="425"/>
      <c r="U530" s="71"/>
      <c r="V530" s="408"/>
      <c r="W530" s="410"/>
      <c r="X530" s="410"/>
      <c r="Y530" s="428" t="s">
        <v>1142</v>
      </c>
      <c r="Z530" s="429">
        <v>0</v>
      </c>
      <c r="AA530" s="429">
        <v>2323.36</v>
      </c>
      <c r="AB530" s="363" t="e">
        <v>#N/A</v>
      </c>
      <c r="AC530" s="368">
        <v>0</v>
      </c>
      <c r="AD530" s="369">
        <v>1500</v>
      </c>
      <c r="AE530" s="368">
        <v>0</v>
      </c>
      <c r="AF530" s="368">
        <v>0</v>
      </c>
      <c r="AG530" s="369">
        <v>1500</v>
      </c>
      <c r="AH530" s="367" t="e">
        <f t="shared" si="28"/>
        <v>#N/A</v>
      </c>
      <c r="AI530" s="362" t="e">
        <f>ERP[[#This Row],[2026 Working Total]]-ERP[[#This Row],[LE2 Final Submission]]</f>
        <v>#N/A</v>
      </c>
      <c r="AJ530" s="227">
        <v>0</v>
      </c>
      <c r="AK530" s="227">
        <f t="shared" si="27"/>
        <v>2323.36</v>
      </c>
      <c r="AL530" s="374">
        <f>SUM(ERP[[#This Row],[AP01]:[AP06]])-SUM(ERP[[#This Row],[AP01 LE2]:[AP06 LE2]])</f>
        <v>823.36000000000013</v>
      </c>
      <c r="AM530" s="80"/>
      <c r="AN530" s="79" t="e">
        <f>ERP[[#This Row],[2026 Working Total to Budget/LE]]-ERP[[#This Row],[Giveback]]</f>
        <v>#N/A</v>
      </c>
      <c r="AO530" s="81"/>
      <c r="AP530" s="375"/>
      <c r="AQ530" s="375"/>
      <c r="AR530" s="375"/>
      <c r="AS530" s="375"/>
      <c r="AT530" s="375"/>
      <c r="AU530" s="375">
        <v>1500</v>
      </c>
      <c r="AV530" s="375">
        <v>0</v>
      </c>
      <c r="AW530" s="375">
        <v>0</v>
      </c>
      <c r="AX530" s="375">
        <v>1500</v>
      </c>
      <c r="AY530" s="375">
        <v>0</v>
      </c>
      <c r="AZ530" s="375">
        <v>0</v>
      </c>
      <c r="BA530" s="375">
        <v>1500</v>
      </c>
      <c r="BB530" s="375">
        <v>4500</v>
      </c>
      <c r="BC530" s="227"/>
      <c r="BD530" s="227"/>
      <c r="BE530" s="227"/>
      <c r="BF530" s="227"/>
      <c r="BG530" s="227"/>
      <c r="BH530" s="227">
        <v>1500</v>
      </c>
      <c r="BI530" s="227">
        <v>0</v>
      </c>
      <c r="BJ530" s="227">
        <v>0</v>
      </c>
      <c r="BK530" s="227">
        <v>1500</v>
      </c>
      <c r="BL530" s="227">
        <v>0</v>
      </c>
      <c r="BM530" s="227">
        <v>0</v>
      </c>
      <c r="BN530" s="227">
        <v>1500</v>
      </c>
      <c r="BO530" s="227">
        <v>4500</v>
      </c>
    </row>
    <row r="531" spans="1:67" ht="15" customHeight="1">
      <c r="A531" s="227" t="s">
        <v>2635</v>
      </c>
      <c r="B531" s="330" t="s">
        <v>925</v>
      </c>
      <c r="C531" s="150" t="s">
        <v>1136</v>
      </c>
      <c r="D531" s="336" t="s">
        <v>1345</v>
      </c>
      <c r="E531" s="338" t="s">
        <v>1344</v>
      </c>
      <c r="F531" s="335" t="s">
        <v>1346</v>
      </c>
      <c r="G531" s="517" t="s">
        <v>639</v>
      </c>
      <c r="H531" s="399" t="s">
        <v>2636</v>
      </c>
      <c r="I531" s="343" t="s">
        <v>2637</v>
      </c>
      <c r="J531" s="334" t="s">
        <v>1363</v>
      </c>
      <c r="K531" s="235" t="s">
        <v>926</v>
      </c>
      <c r="L531" s="344"/>
      <c r="M531" s="346" t="s">
        <v>2638</v>
      </c>
      <c r="N531" s="349" t="s">
        <v>1710</v>
      </c>
      <c r="O531" s="352" t="s">
        <v>863</v>
      </c>
      <c r="P531" s="355" t="s">
        <v>2639</v>
      </c>
      <c r="Q531" s="437"/>
      <c r="R531" s="358">
        <v>111372.91</v>
      </c>
      <c r="S531" s="378">
        <v>0</v>
      </c>
      <c r="T531" s="430"/>
      <c r="U531" s="137"/>
      <c r="V531" s="409"/>
      <c r="W531" s="411"/>
      <c r="X531" s="411"/>
      <c r="Y531" s="428" t="s">
        <v>1142</v>
      </c>
      <c r="Z531" s="429">
        <v>0</v>
      </c>
      <c r="AA531" s="429">
        <v>0</v>
      </c>
      <c r="AB531" s="363" t="e">
        <v>#N/A</v>
      </c>
      <c r="AC531" s="370">
        <v>0</v>
      </c>
      <c r="AD531" s="370">
        <v>0</v>
      </c>
      <c r="AE531" s="370">
        <f>115000-115000</f>
        <v>0</v>
      </c>
      <c r="AF531" s="370">
        <v>0</v>
      </c>
      <c r="AG531" s="371"/>
      <c r="AH531" s="367" t="e">
        <f t="shared" si="28"/>
        <v>#N/A</v>
      </c>
      <c r="AI531" s="362" t="e">
        <f>ERP[[#This Row],[2026 Working Total]]-ERP[[#This Row],[LE2 Final Submission]]</f>
        <v>#N/A</v>
      </c>
      <c r="AJ531" s="227">
        <v>0</v>
      </c>
      <c r="AK531" s="227">
        <f t="shared" si="27"/>
        <v>0</v>
      </c>
      <c r="AL531" s="374">
        <f>SUM(ERP[[#This Row],[AP01]:[AP06]])-SUM(ERP[[#This Row],[AP01 LE2]:[AP06 LE2]])</f>
        <v>0</v>
      </c>
      <c r="AM531" s="80"/>
      <c r="AN531" s="79" t="e">
        <f>ERP[[#This Row],[2026 Working Total to Budget/LE]]-ERP[[#This Row],[Giveback]]</f>
        <v>#N/A</v>
      </c>
      <c r="AO531" s="81" t="s">
        <v>2640</v>
      </c>
      <c r="AP531" s="375"/>
      <c r="AQ531" s="375"/>
      <c r="AR531" s="375"/>
      <c r="AS531" s="375">
        <v>0</v>
      </c>
      <c r="AT531" s="375">
        <v>0</v>
      </c>
      <c r="AU531" s="375">
        <v>0</v>
      </c>
      <c r="AV531" s="375">
        <v>0</v>
      </c>
      <c r="AW531" s="375">
        <v>0</v>
      </c>
      <c r="AX531" s="375">
        <v>0</v>
      </c>
      <c r="AY531" s="375">
        <v>0</v>
      </c>
      <c r="AZ531" s="375">
        <v>0</v>
      </c>
      <c r="BA531" s="375"/>
      <c r="BB531" s="375">
        <v>0</v>
      </c>
      <c r="BC531" s="246">
        <v>111372.91</v>
      </c>
      <c r="BD531" s="246">
        <v>0</v>
      </c>
      <c r="BE531" s="246">
        <v>0</v>
      </c>
      <c r="BF531" s="246">
        <v>0</v>
      </c>
      <c r="BG531" s="246">
        <v>0</v>
      </c>
      <c r="BH531" s="246">
        <v>0</v>
      </c>
      <c r="BI531" s="246">
        <v>0</v>
      </c>
      <c r="BJ531" s="246">
        <v>0</v>
      </c>
      <c r="BK531" s="246">
        <v>0</v>
      </c>
      <c r="BL531" s="246">
        <v>0</v>
      </c>
      <c r="BM531" s="246">
        <v>0</v>
      </c>
      <c r="BN531" s="246">
        <v>0</v>
      </c>
      <c r="BO531" s="227">
        <f>SUM(ERP[[#This Row],[2026 AP01]:[2026 AP12]])</f>
        <v>111372.91</v>
      </c>
    </row>
    <row r="532" spans="1:67" ht="15" customHeight="1">
      <c r="A532" s="227" t="s">
        <v>2641</v>
      </c>
      <c r="B532" s="330" t="s">
        <v>927</v>
      </c>
      <c r="C532" s="150" t="s">
        <v>1136</v>
      </c>
      <c r="D532" s="336" t="s">
        <v>1345</v>
      </c>
      <c r="E532" s="338" t="s">
        <v>1344</v>
      </c>
      <c r="F532" s="335" t="s">
        <v>1346</v>
      </c>
      <c r="G532" s="517" t="s">
        <v>639</v>
      </c>
      <c r="H532" s="399" t="s">
        <v>2642</v>
      </c>
      <c r="I532" s="343" t="s">
        <v>2637</v>
      </c>
      <c r="J532" s="334" t="s">
        <v>1363</v>
      </c>
      <c r="K532" s="235" t="s">
        <v>928</v>
      </c>
      <c r="L532" s="344"/>
      <c r="M532" s="346" t="s">
        <v>2638</v>
      </c>
      <c r="N532" s="349" t="s">
        <v>1710</v>
      </c>
      <c r="O532" s="352" t="s">
        <v>863</v>
      </c>
      <c r="P532" s="355" t="s">
        <v>2643</v>
      </c>
      <c r="Q532" s="437"/>
      <c r="R532" s="358">
        <v>-111372.91</v>
      </c>
      <c r="S532" s="378">
        <v>0</v>
      </c>
      <c r="T532" s="425"/>
      <c r="U532" s="71"/>
      <c r="V532" s="409"/>
      <c r="W532" s="411"/>
      <c r="X532" s="411"/>
      <c r="Y532" s="428" t="s">
        <v>1142</v>
      </c>
      <c r="Z532" s="429">
        <v>0</v>
      </c>
      <c r="AA532" s="429">
        <v>0</v>
      </c>
      <c r="AB532" s="363" t="e">
        <v>#N/A</v>
      </c>
      <c r="AC532" s="370">
        <v>0</v>
      </c>
      <c r="AD532" s="370">
        <v>0</v>
      </c>
      <c r="AE532" s="370">
        <f>-115000+115000</f>
        <v>0</v>
      </c>
      <c r="AF532" s="370">
        <v>0</v>
      </c>
      <c r="AG532" s="370">
        <v>0</v>
      </c>
      <c r="AH532" s="367" t="e">
        <f t="shared" si="28"/>
        <v>#N/A</v>
      </c>
      <c r="AI532" s="362" t="e">
        <f>ERP[[#This Row],[2026 Working Total]]-ERP[[#This Row],[LE2 Final Submission]]</f>
        <v>#N/A</v>
      </c>
      <c r="AJ532" s="227">
        <v>0</v>
      </c>
      <c r="AK532" s="227">
        <f t="shared" si="27"/>
        <v>0</v>
      </c>
      <c r="AL532" s="374">
        <f>SUM(ERP[[#This Row],[AP01]:[AP06]])-SUM(ERP[[#This Row],[AP01 LE2]:[AP06 LE2]])</f>
        <v>0</v>
      </c>
      <c r="AM532" s="80"/>
      <c r="AN532" s="79" t="e">
        <f>ERP[[#This Row],[2026 Working Total to Budget/LE]]-ERP[[#This Row],[Giveback]]</f>
        <v>#N/A</v>
      </c>
      <c r="AO532" s="81" t="s">
        <v>2640</v>
      </c>
      <c r="AP532" s="375"/>
      <c r="AQ532" s="375"/>
      <c r="AR532" s="375"/>
      <c r="AS532" s="375">
        <v>0</v>
      </c>
      <c r="AT532" s="375">
        <v>0</v>
      </c>
      <c r="AU532" s="375">
        <v>0</v>
      </c>
      <c r="AV532" s="375">
        <v>0</v>
      </c>
      <c r="AW532" s="375">
        <v>0</v>
      </c>
      <c r="AX532" s="375">
        <v>0</v>
      </c>
      <c r="AY532" s="375">
        <v>0</v>
      </c>
      <c r="AZ532" s="375">
        <v>0</v>
      </c>
      <c r="BA532" s="375">
        <v>0</v>
      </c>
      <c r="BB532" s="375">
        <v>0</v>
      </c>
      <c r="BC532" s="246">
        <v>-111372.91</v>
      </c>
      <c r="BD532" s="246">
        <v>0</v>
      </c>
      <c r="BE532" s="246">
        <v>0</v>
      </c>
      <c r="BF532" s="246">
        <v>0</v>
      </c>
      <c r="BG532" s="246">
        <v>0</v>
      </c>
      <c r="BH532" s="246">
        <v>0</v>
      </c>
      <c r="BI532" s="246">
        <v>0</v>
      </c>
      <c r="BJ532" s="246">
        <v>0</v>
      </c>
      <c r="BK532" s="246">
        <v>0</v>
      </c>
      <c r="BL532" s="246">
        <v>0</v>
      </c>
      <c r="BM532" s="246">
        <v>0</v>
      </c>
      <c r="BN532" s="246">
        <v>0</v>
      </c>
      <c r="BO532" s="227">
        <f>SUM(ERP[[#This Row],[2026 AP01]:[2026 AP12]])</f>
        <v>-111372.91</v>
      </c>
    </row>
    <row r="533" spans="1:67" ht="15" customHeight="1">
      <c r="A533" s="227" t="s">
        <v>2512</v>
      </c>
      <c r="B533" s="330" t="s">
        <v>2513</v>
      </c>
      <c r="C533" s="150" t="s">
        <v>1136</v>
      </c>
      <c r="D533" s="336" t="s">
        <v>1135</v>
      </c>
      <c r="E533" s="338" t="s">
        <v>1145</v>
      </c>
      <c r="F533" s="335" t="s">
        <v>1137</v>
      </c>
      <c r="G533" s="517" t="s">
        <v>639</v>
      </c>
      <c r="H533" s="399" t="s">
        <v>2514</v>
      </c>
      <c r="I533" s="343"/>
      <c r="J533" s="334" t="s">
        <v>1186</v>
      </c>
      <c r="K533" s="235" t="s">
        <v>607</v>
      </c>
      <c r="L533" s="349" t="s">
        <v>1153</v>
      </c>
      <c r="M533" s="346" t="s">
        <v>2154</v>
      </c>
      <c r="N533" s="349" t="s">
        <v>1710</v>
      </c>
      <c r="O533" s="352" t="s">
        <v>608</v>
      </c>
      <c r="P533" s="355" t="s">
        <v>1779</v>
      </c>
      <c r="Q533" s="437"/>
      <c r="R533" s="358">
        <v>11125</v>
      </c>
      <c r="S533" s="378">
        <v>0</v>
      </c>
      <c r="T533" s="425"/>
      <c r="U533" s="71"/>
      <c r="V533" s="409"/>
      <c r="W533" s="411"/>
      <c r="X533" s="411"/>
      <c r="Y533" s="428" t="s">
        <v>1142</v>
      </c>
      <c r="Z533" s="429">
        <v>0</v>
      </c>
      <c r="AA533" s="429">
        <v>0</v>
      </c>
      <c r="AB533" s="363" t="e">
        <v>#N/A</v>
      </c>
      <c r="AC533" s="370">
        <v>0</v>
      </c>
      <c r="AD533" s="370">
        <v>0</v>
      </c>
      <c r="AE533" s="370">
        <v>0</v>
      </c>
      <c r="AF533" s="370">
        <v>0</v>
      </c>
      <c r="AG533" s="370">
        <v>0</v>
      </c>
      <c r="AH533" s="367" t="e">
        <f t="shared" si="28"/>
        <v>#N/A</v>
      </c>
      <c r="AI533" s="362" t="e">
        <f>ERP[[#This Row],[2026 Working Total]]-ERP[[#This Row],[LE2 Final Submission]]</f>
        <v>#N/A</v>
      </c>
      <c r="AJ533" s="227">
        <v>0</v>
      </c>
      <c r="AK533" s="227">
        <f t="shared" si="27"/>
        <v>0</v>
      </c>
      <c r="AL533" s="374">
        <f>SUM(ERP[[#This Row],[AP01]:[AP06]])-SUM(ERP[[#This Row],[AP01 LE2]:[AP06 LE2]])</f>
        <v>0</v>
      </c>
      <c r="AM533" s="80"/>
      <c r="AN533" s="79" t="e">
        <f>ERP[[#This Row],[2026 Working Total to Budget/LE]]-ERP[[#This Row],[Giveback]]</f>
        <v>#N/A</v>
      </c>
      <c r="AO533" s="81"/>
      <c r="AP533" s="375"/>
      <c r="AQ533" s="375"/>
      <c r="AR533" s="375"/>
      <c r="AS533" s="375">
        <v>0</v>
      </c>
      <c r="AT533" s="375">
        <v>0</v>
      </c>
      <c r="AU533" s="375">
        <v>0</v>
      </c>
      <c r="AV533" s="375">
        <v>0</v>
      </c>
      <c r="AW533" s="375">
        <v>0</v>
      </c>
      <c r="AX533" s="375">
        <v>0</v>
      </c>
      <c r="AY533" s="375">
        <v>0</v>
      </c>
      <c r="AZ533" s="375">
        <v>0</v>
      </c>
      <c r="BA533" s="375">
        <v>0</v>
      </c>
      <c r="BB533" s="375">
        <v>0</v>
      </c>
      <c r="BC533" s="246">
        <v>11125</v>
      </c>
      <c r="BD533" s="246">
        <v>0</v>
      </c>
      <c r="BE533" s="246">
        <v>0</v>
      </c>
      <c r="BF533" s="246">
        <v>0</v>
      </c>
      <c r="BG533" s="246">
        <v>0</v>
      </c>
      <c r="BH533" s="246">
        <v>0</v>
      </c>
      <c r="BI533" s="246">
        <v>0</v>
      </c>
      <c r="BJ533" s="246">
        <v>0</v>
      </c>
      <c r="BK533" s="246">
        <v>0</v>
      </c>
      <c r="BL533" s="246">
        <v>0</v>
      </c>
      <c r="BM533" s="246">
        <v>0</v>
      </c>
      <c r="BN533" s="246">
        <v>0</v>
      </c>
      <c r="BO533" s="227">
        <f>SUM(ERP[[#This Row],[2026 AP01]:[2026 AP12]])</f>
        <v>11125</v>
      </c>
    </row>
    <row r="534" spans="1:67" ht="15" customHeight="1">
      <c r="A534" s="227" t="s">
        <v>2515</v>
      </c>
      <c r="B534" s="330" t="s">
        <v>2516</v>
      </c>
      <c r="C534" s="150" t="s">
        <v>1136</v>
      </c>
      <c r="D534" s="336" t="s">
        <v>1135</v>
      </c>
      <c r="E534" s="338" t="s">
        <v>1145</v>
      </c>
      <c r="F534" s="335" t="s">
        <v>1137</v>
      </c>
      <c r="G534" s="517" t="s">
        <v>639</v>
      </c>
      <c r="H534" s="399" t="s">
        <v>2517</v>
      </c>
      <c r="I534" s="343" t="s">
        <v>2484</v>
      </c>
      <c r="J534" s="334" t="s">
        <v>1186</v>
      </c>
      <c r="K534" s="91" t="s">
        <v>846</v>
      </c>
      <c r="L534" s="344"/>
      <c r="M534" s="346" t="s">
        <v>2154</v>
      </c>
      <c r="N534" s="349" t="s">
        <v>1710</v>
      </c>
      <c r="O534" s="352" t="s">
        <v>608</v>
      </c>
      <c r="P534" s="355" t="s">
        <v>1348</v>
      </c>
      <c r="Q534" s="437"/>
      <c r="R534" s="358">
        <v>-11125</v>
      </c>
      <c r="S534" s="378">
        <v>0</v>
      </c>
      <c r="T534" s="425"/>
      <c r="U534" s="71"/>
      <c r="V534" s="409"/>
      <c r="W534" s="411"/>
      <c r="X534" s="411"/>
      <c r="Y534" s="428" t="s">
        <v>1142</v>
      </c>
      <c r="Z534" s="429">
        <v>0</v>
      </c>
      <c r="AA534" s="429">
        <v>0</v>
      </c>
      <c r="AB534" s="363" t="e">
        <v>#N/A</v>
      </c>
      <c r="AC534" s="370">
        <v>0</v>
      </c>
      <c r="AD534" s="370">
        <v>0</v>
      </c>
      <c r="AE534" s="370">
        <v>0</v>
      </c>
      <c r="AF534" s="370">
        <v>0</v>
      </c>
      <c r="AG534" s="370">
        <v>0</v>
      </c>
      <c r="AH534" s="367" t="e">
        <f t="shared" si="28"/>
        <v>#N/A</v>
      </c>
      <c r="AI534" s="362" t="e">
        <f>ERP[[#This Row],[2026 Working Total]]-ERP[[#This Row],[LE2 Final Submission]]</f>
        <v>#N/A</v>
      </c>
      <c r="AJ534" s="227">
        <v>0</v>
      </c>
      <c r="AK534" s="227">
        <f t="shared" si="27"/>
        <v>0</v>
      </c>
      <c r="AL534" s="374">
        <f>SUM(ERP[[#This Row],[AP01]:[AP06]])-SUM(ERP[[#This Row],[AP01 LE2]:[AP06 LE2]])</f>
        <v>0</v>
      </c>
      <c r="AM534" s="80"/>
      <c r="AN534" s="79" t="e">
        <f>ERP[[#This Row],[2026 Working Total to Budget/LE]]-ERP[[#This Row],[Giveback]]</f>
        <v>#N/A</v>
      </c>
      <c r="AO534" s="81"/>
      <c r="AP534" s="375"/>
      <c r="AQ534" s="375"/>
      <c r="AR534" s="375"/>
      <c r="AS534" s="375">
        <v>0</v>
      </c>
      <c r="AT534" s="375">
        <v>0</v>
      </c>
      <c r="AU534" s="375">
        <v>0</v>
      </c>
      <c r="AV534" s="375">
        <v>0</v>
      </c>
      <c r="AW534" s="375">
        <v>0</v>
      </c>
      <c r="AX534" s="375">
        <v>0</v>
      </c>
      <c r="AY534" s="375">
        <v>0</v>
      </c>
      <c r="AZ534" s="375">
        <v>0</v>
      </c>
      <c r="BA534" s="375">
        <v>0</v>
      </c>
      <c r="BB534" s="375">
        <v>0</v>
      </c>
      <c r="BC534" s="246">
        <v>-11125</v>
      </c>
      <c r="BD534" s="246">
        <v>0</v>
      </c>
      <c r="BE534" s="246">
        <v>0</v>
      </c>
      <c r="BF534" s="246">
        <v>0</v>
      </c>
      <c r="BG534" s="246">
        <v>0</v>
      </c>
      <c r="BH534" s="246">
        <v>0</v>
      </c>
      <c r="BI534" s="246">
        <v>0</v>
      </c>
      <c r="BJ534" s="246">
        <v>0</v>
      </c>
      <c r="BK534" s="246">
        <v>0</v>
      </c>
      <c r="BL534" s="246">
        <v>0</v>
      </c>
      <c r="BM534" s="246">
        <v>0</v>
      </c>
      <c r="BN534" s="246">
        <v>0</v>
      </c>
      <c r="BO534" s="227">
        <f>SUM(ERP[[#This Row],[2026 AP01]:[2026 AP12]])</f>
        <v>-11125</v>
      </c>
    </row>
    <row r="535" spans="1:67" ht="15" customHeight="1">
      <c r="A535" s="215" t="s">
        <v>2644</v>
      </c>
      <c r="B535" s="215" t="s">
        <v>929</v>
      </c>
      <c r="C535" s="150" t="s">
        <v>1136</v>
      </c>
      <c r="D535" s="334" t="s">
        <v>1345</v>
      </c>
      <c r="E535" s="334" t="s">
        <v>1344</v>
      </c>
      <c r="F535" s="334" t="s">
        <v>1346</v>
      </c>
      <c r="G535" s="516" t="s">
        <v>639</v>
      </c>
      <c r="H535" s="398" t="s">
        <v>2645</v>
      </c>
      <c r="I535" s="343"/>
      <c r="J535" s="344"/>
      <c r="K535" s="219" t="s">
        <v>930</v>
      </c>
      <c r="L535" s="349"/>
      <c r="M535" s="343"/>
      <c r="N535" s="349"/>
      <c r="O535" s="334" t="s">
        <v>677</v>
      </c>
      <c r="P535" s="354"/>
      <c r="Q535" s="403"/>
      <c r="R535" s="406">
        <v>0</v>
      </c>
      <c r="S535" s="406">
        <v>227</v>
      </c>
      <c r="T535" s="425"/>
      <c r="U535" s="71"/>
      <c r="V535" s="408"/>
      <c r="W535" s="410">
        <v>227</v>
      </c>
      <c r="X535" s="412">
        <v>0</v>
      </c>
      <c r="Y535" s="428">
        <v>0</v>
      </c>
      <c r="Z535" s="429">
        <v>0</v>
      </c>
      <c r="AA535" s="429">
        <v>0</v>
      </c>
      <c r="AB535" s="363" t="e">
        <v>#N/A</v>
      </c>
      <c r="AC535" s="368">
        <v>0</v>
      </c>
      <c r="AD535" s="368">
        <v>0</v>
      </c>
      <c r="AE535" s="368">
        <v>0</v>
      </c>
      <c r="AF535" s="368">
        <v>0</v>
      </c>
      <c r="AG535" s="368">
        <v>0</v>
      </c>
      <c r="AH535" s="367" t="e">
        <f t="shared" si="28"/>
        <v>#N/A</v>
      </c>
      <c r="AI535" s="362" t="e">
        <f>ERP[[#This Row],[2026 Working Total]]-ERP[[#This Row],[LE2 Final Submission]]</f>
        <v>#N/A</v>
      </c>
      <c r="AJ535" s="227">
        <v>0</v>
      </c>
      <c r="AK535" s="227">
        <f t="shared" si="27"/>
        <v>0</v>
      </c>
      <c r="AL535" s="374">
        <f>SUM(ERP[[#This Row],[AP01]:[AP06]])-SUM(ERP[[#This Row],[AP01 LE2]:[AP06 LE2]])</f>
        <v>0</v>
      </c>
      <c r="AM535" s="80"/>
      <c r="AN535" s="79" t="e">
        <f>ERP[[#This Row],[2026 Working Total to Budget/LE]]-ERP[[#This Row],[Giveback]]</f>
        <v>#N/A</v>
      </c>
      <c r="AO535" s="81"/>
      <c r="AP535" s="375"/>
      <c r="AQ535" s="375">
        <v>227</v>
      </c>
      <c r="AR535" s="375">
        <v>0</v>
      </c>
      <c r="AS535" s="375">
        <v>0</v>
      </c>
      <c r="AT535" s="375">
        <v>0</v>
      </c>
      <c r="AU535" s="375">
        <v>0</v>
      </c>
      <c r="AV535" s="375">
        <v>0</v>
      </c>
      <c r="AW535" s="375">
        <v>0</v>
      </c>
      <c r="AX535" s="375">
        <v>0</v>
      </c>
      <c r="AY535" s="375">
        <v>0</v>
      </c>
      <c r="AZ535" s="375">
        <v>0</v>
      </c>
      <c r="BA535" s="375">
        <v>0</v>
      </c>
      <c r="BB535" s="375">
        <v>227</v>
      </c>
      <c r="BC535" s="227"/>
      <c r="BD535" s="227">
        <v>227</v>
      </c>
      <c r="BE535" s="227">
        <v>0</v>
      </c>
      <c r="BF535" s="227">
        <v>0</v>
      </c>
      <c r="BG535" s="227">
        <v>0</v>
      </c>
      <c r="BH535" s="227">
        <v>0</v>
      </c>
      <c r="BI535" s="227">
        <v>0</v>
      </c>
      <c r="BJ535" s="227">
        <v>0</v>
      </c>
      <c r="BK535" s="227">
        <v>0</v>
      </c>
      <c r="BL535" s="227">
        <v>0</v>
      </c>
      <c r="BM535" s="227">
        <v>0</v>
      </c>
      <c r="BN535" s="227">
        <v>0</v>
      </c>
      <c r="BO535" s="227">
        <v>227</v>
      </c>
    </row>
    <row r="536" spans="1:67" ht="15" customHeight="1">
      <c r="A536" s="215" t="s">
        <v>2518</v>
      </c>
      <c r="B536" s="215" t="s">
        <v>2519</v>
      </c>
      <c r="C536" s="150" t="s">
        <v>1136</v>
      </c>
      <c r="D536" s="334" t="s">
        <v>1135</v>
      </c>
      <c r="E536" s="334" t="s">
        <v>1145</v>
      </c>
      <c r="F536" s="334" t="s">
        <v>1137</v>
      </c>
      <c r="G536" s="516" t="s">
        <v>639</v>
      </c>
      <c r="H536" s="398" t="s">
        <v>2520</v>
      </c>
      <c r="I536" s="343"/>
      <c r="J536" s="349" t="s">
        <v>1186</v>
      </c>
      <c r="K536" s="219" t="s">
        <v>848</v>
      </c>
      <c r="L536" s="349"/>
      <c r="M536" s="346" t="s">
        <v>1187</v>
      </c>
      <c r="N536" s="349"/>
      <c r="O536" s="334" t="s">
        <v>849</v>
      </c>
      <c r="P536" s="354" t="s">
        <v>2521</v>
      </c>
      <c r="Q536" s="403"/>
      <c r="R536" s="406">
        <v>307237.74</v>
      </c>
      <c r="S536" s="406">
        <v>331713.26</v>
      </c>
      <c r="T536" s="425"/>
      <c r="U536" s="71"/>
      <c r="V536" s="408">
        <v>67277.88</v>
      </c>
      <c r="W536" s="410">
        <v>13527.14</v>
      </c>
      <c r="X536" s="410">
        <v>16908.240000000002</v>
      </c>
      <c r="Y536" s="428">
        <v>36231.229999999996</v>
      </c>
      <c r="Z536" s="429">
        <v>37708.980000000003</v>
      </c>
      <c r="AA536" s="429">
        <v>0</v>
      </c>
      <c r="AB536" s="363" t="e">
        <v>#N/A</v>
      </c>
      <c r="AC536" s="369"/>
      <c r="AD536" s="371"/>
      <c r="AE536" s="371">
        <v>47249</v>
      </c>
      <c r="AF536" s="368">
        <v>0</v>
      </c>
      <c r="AG536" s="371">
        <v>47249</v>
      </c>
      <c r="AH536" s="367" t="e">
        <f t="shared" si="28"/>
        <v>#N/A</v>
      </c>
      <c r="AI536" s="362" t="e">
        <f>ERP[[#This Row],[2026 Working Total]]-ERP[[#This Row],[LE2 Final Submission]]</f>
        <v>#N/A</v>
      </c>
      <c r="AJ536" s="227">
        <v>47249</v>
      </c>
      <c r="AK536" s="227">
        <f t="shared" si="27"/>
        <v>-47249</v>
      </c>
      <c r="AL536" s="374">
        <f>SUM(ERP[[#This Row],[AP01]:[AP06]])-SUM(ERP[[#This Row],[AP01 LE2]:[AP06 LE2]])</f>
        <v>-4059.7900000000081</v>
      </c>
      <c r="AM536" s="80"/>
      <c r="AN536" s="79" t="e">
        <f>ERP[[#This Row],[2026 Working Total to Budget/LE]]-ERP[[#This Row],[Giveback]]</f>
        <v>#N/A</v>
      </c>
      <c r="AO536" s="81"/>
      <c r="AP536" s="375">
        <v>67277.88</v>
      </c>
      <c r="AQ536" s="375">
        <v>13527.14</v>
      </c>
      <c r="AR536" s="375">
        <v>16908.240000000002</v>
      </c>
      <c r="AS536" s="375">
        <v>0</v>
      </c>
      <c r="AT536" s="375">
        <v>0</v>
      </c>
      <c r="AU536" s="375">
        <v>78000</v>
      </c>
      <c r="AV536" s="375">
        <v>0</v>
      </c>
      <c r="AW536" s="375">
        <v>0</v>
      </c>
      <c r="AX536" s="375">
        <v>78000</v>
      </c>
      <c r="AY536" s="375">
        <v>0</v>
      </c>
      <c r="AZ536" s="375">
        <v>0</v>
      </c>
      <c r="BA536" s="375">
        <v>78000</v>
      </c>
      <c r="BB536" s="375">
        <v>331713.26</v>
      </c>
      <c r="BC536" s="227">
        <v>67277.88</v>
      </c>
      <c r="BD536" s="227">
        <v>13527.14</v>
      </c>
      <c r="BE536" s="227">
        <v>16908.240000000002</v>
      </c>
      <c r="BF536" s="227">
        <v>0</v>
      </c>
      <c r="BG536" s="227">
        <v>0</v>
      </c>
      <c r="BH536" s="227">
        <v>78000</v>
      </c>
      <c r="BI536" s="227">
        <v>0</v>
      </c>
      <c r="BJ536" s="227">
        <v>0</v>
      </c>
      <c r="BK536" s="227">
        <v>78000</v>
      </c>
      <c r="BL536" s="227">
        <v>0</v>
      </c>
      <c r="BM536" s="227">
        <v>0</v>
      </c>
      <c r="BN536" s="227">
        <v>78000</v>
      </c>
      <c r="BO536" s="227">
        <v>331713.26</v>
      </c>
    </row>
    <row r="537" spans="1:67" ht="15" customHeight="1">
      <c r="A537" s="215" t="s">
        <v>2522</v>
      </c>
      <c r="B537" s="215" t="s">
        <v>850</v>
      </c>
      <c r="C537" s="150" t="s">
        <v>1136</v>
      </c>
      <c r="D537" s="334" t="s">
        <v>1135</v>
      </c>
      <c r="E537" s="334" t="s">
        <v>1135</v>
      </c>
      <c r="F537" s="334" t="s">
        <v>1137</v>
      </c>
      <c r="G537" s="516" t="s">
        <v>639</v>
      </c>
      <c r="H537" s="398" t="s">
        <v>2523</v>
      </c>
      <c r="I537" s="343"/>
      <c r="J537" s="344"/>
      <c r="K537" s="219" t="s">
        <v>851</v>
      </c>
      <c r="L537" s="349" t="s">
        <v>1153</v>
      </c>
      <c r="M537" s="343"/>
      <c r="N537" s="349"/>
      <c r="O537" s="334" t="s">
        <v>64</v>
      </c>
      <c r="P537" s="354"/>
      <c r="Q537" s="403"/>
      <c r="R537" s="406">
        <v>1527544</v>
      </c>
      <c r="S537" s="406">
        <v>1513628.4099999997</v>
      </c>
      <c r="T537" s="425"/>
      <c r="U537" s="71"/>
      <c r="V537" s="408"/>
      <c r="W537" s="410"/>
      <c r="X537" s="410">
        <v>367969.99</v>
      </c>
      <c r="Y537" s="428">
        <v>0</v>
      </c>
      <c r="Z537" s="429">
        <v>254590.76</v>
      </c>
      <c r="AA537" s="429">
        <v>127295.38</v>
      </c>
      <c r="AB537" s="363" t="e">
        <v>#N/A</v>
      </c>
      <c r="AC537" s="369">
        <v>127295.38</v>
      </c>
      <c r="AD537" s="369">
        <v>127295.38</v>
      </c>
      <c r="AE537" s="369">
        <v>127295.38</v>
      </c>
      <c r="AF537" s="369">
        <v>127295.38</v>
      </c>
      <c r="AG537" s="369">
        <v>127295.38</v>
      </c>
      <c r="AH537" s="367" t="e">
        <f t="shared" si="28"/>
        <v>#N/A</v>
      </c>
      <c r="AI537" s="362" t="e">
        <f>ERP[[#This Row],[2026 Working Total]]-ERP[[#This Row],[LE2 Final Submission]]</f>
        <v>#N/A</v>
      </c>
      <c r="AJ537" s="227">
        <v>127295.38</v>
      </c>
      <c r="AK537" s="227">
        <f t="shared" si="27"/>
        <v>0</v>
      </c>
      <c r="AL537" s="374">
        <f>SUM(ERP[[#This Row],[AP01]:[AP06]])-SUM(ERP[[#This Row],[AP01 LE2]:[AP06 LE2]])</f>
        <v>0</v>
      </c>
      <c r="AM537" s="80"/>
      <c r="AN537" s="79" t="e">
        <f>ERP[[#This Row],[2026 Working Total to Budget/LE]]-ERP[[#This Row],[Giveback]]</f>
        <v>#N/A</v>
      </c>
      <c r="AO537" s="81"/>
      <c r="AP537" s="375"/>
      <c r="AQ537" s="375"/>
      <c r="AR537" s="375">
        <v>367969.99</v>
      </c>
      <c r="AS537" s="375">
        <v>127295.38</v>
      </c>
      <c r="AT537" s="375">
        <v>127295.38</v>
      </c>
      <c r="AU537" s="375">
        <v>127295.38</v>
      </c>
      <c r="AV537" s="375">
        <v>127295.38</v>
      </c>
      <c r="AW537" s="375">
        <v>127295.38</v>
      </c>
      <c r="AX537" s="375">
        <v>127295.38</v>
      </c>
      <c r="AY537" s="375">
        <v>127295.38</v>
      </c>
      <c r="AZ537" s="375">
        <v>127295.38</v>
      </c>
      <c r="BA537" s="375">
        <v>127295.38</v>
      </c>
      <c r="BB537" s="375">
        <v>1513628.4099999997</v>
      </c>
      <c r="BC537" s="227"/>
      <c r="BD537" s="227"/>
      <c r="BE537" s="227">
        <v>367969.99</v>
      </c>
      <c r="BF537" s="227">
        <v>127295.38</v>
      </c>
      <c r="BG537" s="227">
        <v>127295.38</v>
      </c>
      <c r="BH537" s="227">
        <v>127295.38</v>
      </c>
      <c r="BI537" s="227">
        <v>127295.38</v>
      </c>
      <c r="BJ537" s="227">
        <v>127295.38</v>
      </c>
      <c r="BK537" s="227">
        <v>127295.38</v>
      </c>
      <c r="BL537" s="227">
        <v>127295.38</v>
      </c>
      <c r="BM537" s="227">
        <v>127295.38</v>
      </c>
      <c r="BN537" s="227">
        <v>127295.38</v>
      </c>
      <c r="BO537" s="227">
        <v>1513628.4099999997</v>
      </c>
    </row>
    <row r="538" spans="1:67" ht="15" customHeight="1">
      <c r="A538" s="215" t="s">
        <v>2524</v>
      </c>
      <c r="B538" s="215" t="s">
        <v>2525</v>
      </c>
      <c r="C538" s="150" t="s">
        <v>1136</v>
      </c>
      <c r="D538" s="334" t="s">
        <v>1135</v>
      </c>
      <c r="E538" s="334" t="s">
        <v>1145</v>
      </c>
      <c r="F538" s="334" t="s">
        <v>1137</v>
      </c>
      <c r="G538" s="516" t="s">
        <v>639</v>
      </c>
      <c r="H538" s="398" t="s">
        <v>2523</v>
      </c>
      <c r="I538" s="343"/>
      <c r="J538" s="344"/>
      <c r="K538" s="219" t="s">
        <v>851</v>
      </c>
      <c r="L538" s="349" t="s">
        <v>1153</v>
      </c>
      <c r="M538" s="343"/>
      <c r="N538" s="349"/>
      <c r="O538" s="334" t="s">
        <v>64</v>
      </c>
      <c r="P538" s="354"/>
      <c r="Q538" s="404"/>
      <c r="R538" s="407">
        <v>0</v>
      </c>
      <c r="S538" s="407">
        <v>0</v>
      </c>
      <c r="T538" s="425"/>
      <c r="U538" s="71"/>
      <c r="V538" s="408">
        <v>127295.39</v>
      </c>
      <c r="W538" s="410">
        <v>113379.22</v>
      </c>
      <c r="X538" s="410">
        <v>-240674.61</v>
      </c>
      <c r="Y538" s="428">
        <v>0</v>
      </c>
      <c r="Z538" s="429">
        <v>0</v>
      </c>
      <c r="AA538" s="429">
        <v>0</v>
      </c>
      <c r="AB538" s="363" t="e">
        <v>#N/A</v>
      </c>
      <c r="AC538" s="369"/>
      <c r="AD538" s="369"/>
      <c r="AE538" s="369"/>
      <c r="AF538" s="369"/>
      <c r="AG538" s="369"/>
      <c r="AH538" s="367" t="e">
        <f t="shared" si="28"/>
        <v>#N/A</v>
      </c>
      <c r="AI538" s="362" t="e">
        <f>ERP[[#This Row],[2026 Working Total]]-ERP[[#This Row],[LE2 Final Submission]]</f>
        <v>#N/A</v>
      </c>
      <c r="AJ538" s="227"/>
      <c r="AK538" s="227">
        <f t="shared" si="27"/>
        <v>0</v>
      </c>
      <c r="AL538" s="374">
        <f>SUM(ERP[[#This Row],[AP01]:[AP06]])-SUM(ERP[[#This Row],[AP01 LE2]:[AP06 LE2]])</f>
        <v>0</v>
      </c>
      <c r="AM538" s="80"/>
      <c r="AN538" s="79" t="e">
        <f>ERP[[#This Row],[2026 Working Total to Budget/LE]]-ERP[[#This Row],[Giveback]]</f>
        <v>#N/A</v>
      </c>
      <c r="AO538" s="81"/>
      <c r="AP538" s="375">
        <v>127295.39</v>
      </c>
      <c r="AQ538" s="375">
        <v>113379.22</v>
      </c>
      <c r="AR538" s="375">
        <v>-240674.61</v>
      </c>
      <c r="AS538" s="375"/>
      <c r="AT538" s="375"/>
      <c r="AU538" s="375"/>
      <c r="AV538" s="375"/>
      <c r="AW538" s="375"/>
      <c r="AX538" s="375"/>
      <c r="AY538" s="375"/>
      <c r="AZ538" s="375"/>
      <c r="BA538" s="375"/>
      <c r="BB538" s="375">
        <v>0</v>
      </c>
      <c r="BC538" s="227">
        <v>127295.39</v>
      </c>
      <c r="BD538" s="227">
        <v>113379.22</v>
      </c>
      <c r="BE538" s="227">
        <v>-240674.61</v>
      </c>
      <c r="BF538" s="227"/>
      <c r="BG538" s="227"/>
      <c r="BH538" s="227"/>
      <c r="BI538" s="227"/>
      <c r="BJ538" s="227"/>
      <c r="BK538" s="227"/>
      <c r="BL538" s="227"/>
      <c r="BM538" s="227"/>
      <c r="BN538" s="227"/>
      <c r="BO538" s="227">
        <v>0</v>
      </c>
    </row>
    <row r="539" spans="1:67" ht="15" customHeight="1">
      <c r="A539" s="215" t="s">
        <v>1946</v>
      </c>
      <c r="B539" s="215" t="s">
        <v>485</v>
      </c>
      <c r="C539" s="150" t="s">
        <v>1136</v>
      </c>
      <c r="D539" s="334" t="s">
        <v>1135</v>
      </c>
      <c r="E539" s="334" t="s">
        <v>1135</v>
      </c>
      <c r="F539" s="334" t="s">
        <v>1137</v>
      </c>
      <c r="G539" s="516" t="s">
        <v>389</v>
      </c>
      <c r="H539" s="398" t="s">
        <v>1947</v>
      </c>
      <c r="I539" s="343"/>
      <c r="J539" s="344"/>
      <c r="K539" s="219" t="s">
        <v>486</v>
      </c>
      <c r="L539" s="349" t="s">
        <v>1153</v>
      </c>
      <c r="M539" s="343"/>
      <c r="N539" s="349"/>
      <c r="O539" s="334" t="s">
        <v>487</v>
      </c>
      <c r="P539" s="354"/>
      <c r="Q539" s="403"/>
      <c r="R539" s="406">
        <v>-608600</v>
      </c>
      <c r="S539" s="406">
        <v>-597160</v>
      </c>
      <c r="T539" s="425"/>
      <c r="U539" s="71"/>
      <c r="V539" s="408"/>
      <c r="W539" s="410"/>
      <c r="X539" s="410">
        <v>-123760</v>
      </c>
      <c r="Y539" s="428">
        <v>0</v>
      </c>
      <c r="Z539" s="429">
        <v>-113731.04000000001</v>
      </c>
      <c r="AA539" s="429">
        <v>-60567.46</v>
      </c>
      <c r="AB539" s="363" t="e">
        <v>#N/A</v>
      </c>
      <c r="AC539" s="369">
        <v>-52600</v>
      </c>
      <c r="AD539" s="369">
        <v>-52600</v>
      </c>
      <c r="AE539" s="369">
        <v>-52600</v>
      </c>
      <c r="AF539" s="369">
        <v>-52600</v>
      </c>
      <c r="AG539" s="369">
        <v>-52600</v>
      </c>
      <c r="AH539" s="367" t="e">
        <f t="shared" si="28"/>
        <v>#N/A</v>
      </c>
      <c r="AI539" s="362" t="e">
        <f>ERP[[#This Row],[2026 Working Total]]-ERP[[#This Row],[LE2 Final Submission]]</f>
        <v>#N/A</v>
      </c>
      <c r="AJ539" s="227">
        <v>-52600</v>
      </c>
      <c r="AK539" s="227">
        <f t="shared" si="27"/>
        <v>-7967.4599999999991</v>
      </c>
      <c r="AL539" s="374">
        <f>SUM(ERP[[#This Row],[AP01]:[AP06]])-SUM(ERP[[#This Row],[AP01 LE2]:[AP06 LE2]])</f>
        <v>-16498.5</v>
      </c>
      <c r="AM539" s="80"/>
      <c r="AN539" s="79" t="e">
        <f>ERP[[#This Row],[2026 Working Total to Budget/LE]]-ERP[[#This Row],[Giveback]]</f>
        <v>#N/A</v>
      </c>
      <c r="AO539" s="81"/>
      <c r="AP539" s="375"/>
      <c r="AQ539" s="375"/>
      <c r="AR539" s="375">
        <v>-123760</v>
      </c>
      <c r="AS539" s="375">
        <v>-52600</v>
      </c>
      <c r="AT539" s="375">
        <v>-52600</v>
      </c>
      <c r="AU539" s="375">
        <v>-52600</v>
      </c>
      <c r="AV539" s="375">
        <v>-52600</v>
      </c>
      <c r="AW539" s="375">
        <v>-52600</v>
      </c>
      <c r="AX539" s="375">
        <v>-52600</v>
      </c>
      <c r="AY539" s="375">
        <v>-52600</v>
      </c>
      <c r="AZ539" s="375">
        <v>-52600</v>
      </c>
      <c r="BA539" s="375">
        <v>-52600</v>
      </c>
      <c r="BB539" s="375">
        <v>-597160</v>
      </c>
      <c r="BC539" s="227"/>
      <c r="BD539" s="227"/>
      <c r="BE539" s="227">
        <v>-123760</v>
      </c>
      <c r="BF539" s="227">
        <v>-52600</v>
      </c>
      <c r="BG539" s="227">
        <v>-52600</v>
      </c>
      <c r="BH539" s="227">
        <v>-52600</v>
      </c>
      <c r="BI539" s="227">
        <v>-52600</v>
      </c>
      <c r="BJ539" s="227">
        <v>-52600</v>
      </c>
      <c r="BK539" s="227">
        <v>-52600</v>
      </c>
      <c r="BL539" s="227">
        <v>-52600</v>
      </c>
      <c r="BM539" s="227">
        <v>-52600</v>
      </c>
      <c r="BN539" s="227">
        <v>-52600</v>
      </c>
      <c r="BO539" s="227">
        <v>-597160</v>
      </c>
    </row>
    <row r="540" spans="1:67" ht="15" customHeight="1">
      <c r="A540" s="215" t="s">
        <v>2526</v>
      </c>
      <c r="B540" s="215" t="s">
        <v>852</v>
      </c>
      <c r="C540" s="150" t="s">
        <v>1136</v>
      </c>
      <c r="D540" s="334" t="s">
        <v>1135</v>
      </c>
      <c r="E540" s="334" t="s">
        <v>1135</v>
      </c>
      <c r="F540" s="334" t="s">
        <v>1137</v>
      </c>
      <c r="G540" s="516" t="s">
        <v>639</v>
      </c>
      <c r="H540" s="398" t="s">
        <v>1947</v>
      </c>
      <c r="I540" s="343"/>
      <c r="J540" s="344"/>
      <c r="K540" s="219" t="s">
        <v>486</v>
      </c>
      <c r="L540" s="349" t="s">
        <v>1153</v>
      </c>
      <c r="M540" s="343"/>
      <c r="N540" s="349"/>
      <c r="O540" s="334" t="s">
        <v>487</v>
      </c>
      <c r="P540" s="354"/>
      <c r="Q540" s="403"/>
      <c r="R540" s="406">
        <v>-937488</v>
      </c>
      <c r="S540" s="406">
        <v>-925916</v>
      </c>
      <c r="T540" s="425"/>
      <c r="U540" s="71"/>
      <c r="V540" s="408"/>
      <c r="W540" s="410"/>
      <c r="X540" s="410">
        <v>-222800</v>
      </c>
      <c r="Y540" s="428">
        <v>0</v>
      </c>
      <c r="Z540" s="429">
        <v>-128741.87</v>
      </c>
      <c r="AA540" s="429">
        <v>-52011.25</v>
      </c>
      <c r="AB540" s="363" t="e">
        <v>#N/A</v>
      </c>
      <c r="AC540" s="369">
        <v>-78124</v>
      </c>
      <c r="AD540" s="369">
        <v>-78124</v>
      </c>
      <c r="AE540" s="369">
        <v>-78124</v>
      </c>
      <c r="AF540" s="369">
        <v>-78124</v>
      </c>
      <c r="AG540" s="369">
        <v>-78124</v>
      </c>
      <c r="AH540" s="367" t="e">
        <f t="shared" si="28"/>
        <v>#N/A</v>
      </c>
      <c r="AI540" s="362" t="e">
        <f>ERP[[#This Row],[2026 Working Total]]-ERP[[#This Row],[LE2 Final Submission]]</f>
        <v>#N/A</v>
      </c>
      <c r="AJ540" s="227">
        <v>-78124</v>
      </c>
      <c r="AK540" s="227">
        <f t="shared" si="27"/>
        <v>26112.75</v>
      </c>
      <c r="AL540" s="374">
        <f>SUM(ERP[[#This Row],[AP01]:[AP06]])-SUM(ERP[[#This Row],[AP01 LE2]:[AP06 LE2]])</f>
        <v>53618.880000000005</v>
      </c>
      <c r="AM540" s="80"/>
      <c r="AN540" s="79" t="e">
        <f>ERP[[#This Row],[2026 Working Total to Budget/LE]]-ERP[[#This Row],[Giveback]]</f>
        <v>#N/A</v>
      </c>
      <c r="AO540" s="81"/>
      <c r="AP540" s="375"/>
      <c r="AQ540" s="375"/>
      <c r="AR540" s="375">
        <v>-222800</v>
      </c>
      <c r="AS540" s="375">
        <v>-78124</v>
      </c>
      <c r="AT540" s="375">
        <v>-78124</v>
      </c>
      <c r="AU540" s="375">
        <v>-78124</v>
      </c>
      <c r="AV540" s="375">
        <v>-78124</v>
      </c>
      <c r="AW540" s="375">
        <v>-78124</v>
      </c>
      <c r="AX540" s="375">
        <v>-78124</v>
      </c>
      <c r="AY540" s="375">
        <v>-78124</v>
      </c>
      <c r="AZ540" s="375">
        <v>-78124</v>
      </c>
      <c r="BA540" s="375">
        <v>-78124</v>
      </c>
      <c r="BB540" s="375">
        <v>-925916</v>
      </c>
      <c r="BC540" s="227"/>
      <c r="BD540" s="227"/>
      <c r="BE540" s="227">
        <v>-222800</v>
      </c>
      <c r="BF540" s="227">
        <v>-78124</v>
      </c>
      <c r="BG540" s="227">
        <v>-78124</v>
      </c>
      <c r="BH540" s="227">
        <v>-78124</v>
      </c>
      <c r="BI540" s="227">
        <v>-78124</v>
      </c>
      <c r="BJ540" s="227">
        <v>-78124</v>
      </c>
      <c r="BK540" s="227">
        <v>-78124</v>
      </c>
      <c r="BL540" s="227">
        <v>-78124</v>
      </c>
      <c r="BM540" s="227">
        <v>-78124</v>
      </c>
      <c r="BN540" s="227">
        <v>-78124</v>
      </c>
      <c r="BO540" s="227">
        <v>-925916</v>
      </c>
    </row>
    <row r="541" spans="1:67" ht="15" customHeight="1">
      <c r="A541" s="215" t="s">
        <v>1948</v>
      </c>
      <c r="B541" s="215" t="s">
        <v>1949</v>
      </c>
      <c r="C541" s="150" t="s">
        <v>1136</v>
      </c>
      <c r="D541" s="334" t="s">
        <v>1135</v>
      </c>
      <c r="E541" s="334" t="s">
        <v>1145</v>
      </c>
      <c r="F541" s="334" t="s">
        <v>1137</v>
      </c>
      <c r="G541" s="516" t="s">
        <v>389</v>
      </c>
      <c r="H541" s="398" t="s">
        <v>1947</v>
      </c>
      <c r="I541" s="343"/>
      <c r="J541" s="344"/>
      <c r="K541" s="219" t="s">
        <v>486</v>
      </c>
      <c r="L541" s="349" t="s">
        <v>1153</v>
      </c>
      <c r="M541" s="343"/>
      <c r="N541" s="349"/>
      <c r="O541" s="334" t="s">
        <v>487</v>
      </c>
      <c r="P541" s="354"/>
      <c r="Q541" s="404"/>
      <c r="R541" s="407">
        <v>0</v>
      </c>
      <c r="S541" s="407">
        <v>0</v>
      </c>
      <c r="T541" s="425"/>
      <c r="U541" s="71"/>
      <c r="V541" s="408"/>
      <c r="W541" s="410">
        <v>-68030</v>
      </c>
      <c r="X541" s="410">
        <v>68030</v>
      </c>
      <c r="Y541" s="428">
        <v>0</v>
      </c>
      <c r="Z541" s="429">
        <v>0</v>
      </c>
      <c r="AA541" s="429">
        <v>0</v>
      </c>
      <c r="AB541" s="363" t="e">
        <v>#N/A</v>
      </c>
      <c r="AC541" s="369"/>
      <c r="AD541" s="369"/>
      <c r="AE541" s="369"/>
      <c r="AF541" s="369"/>
      <c r="AG541" s="369"/>
      <c r="AH541" s="367" t="e">
        <f t="shared" si="28"/>
        <v>#N/A</v>
      </c>
      <c r="AI541" s="362" t="e">
        <f>ERP[[#This Row],[2026 Working Total]]-ERP[[#This Row],[LE2 Final Submission]]</f>
        <v>#N/A</v>
      </c>
      <c r="AJ541" s="227"/>
      <c r="AK541" s="227">
        <f t="shared" si="27"/>
        <v>0</v>
      </c>
      <c r="AL541" s="374">
        <f>SUM(ERP[[#This Row],[AP01]:[AP06]])-SUM(ERP[[#This Row],[AP01 LE2]:[AP06 LE2]])</f>
        <v>0</v>
      </c>
      <c r="AM541" s="80"/>
      <c r="AN541" s="79" t="e">
        <f>ERP[[#This Row],[2026 Working Total to Budget/LE]]-ERP[[#This Row],[Giveback]]</f>
        <v>#N/A</v>
      </c>
      <c r="AO541" s="81"/>
      <c r="AP541" s="375"/>
      <c r="AQ541" s="375">
        <v>-68030</v>
      </c>
      <c r="AR541" s="375">
        <v>68030</v>
      </c>
      <c r="AS541" s="375"/>
      <c r="AT541" s="375"/>
      <c r="AU541" s="375"/>
      <c r="AV541" s="375"/>
      <c r="AW541" s="375"/>
      <c r="AX541" s="375"/>
      <c r="AY541" s="375"/>
      <c r="AZ541" s="375"/>
      <c r="BA541" s="375"/>
      <c r="BB541" s="375">
        <v>0</v>
      </c>
      <c r="BC541" s="227"/>
      <c r="BD541" s="227">
        <v>-68030</v>
      </c>
      <c r="BE541" s="227">
        <v>68030</v>
      </c>
      <c r="BF541" s="227"/>
      <c r="BG541" s="227"/>
      <c r="BH541" s="227"/>
      <c r="BI541" s="227"/>
      <c r="BJ541" s="227"/>
      <c r="BK541" s="227"/>
      <c r="BL541" s="227"/>
      <c r="BM541" s="227"/>
      <c r="BN541" s="227"/>
      <c r="BO541" s="227">
        <v>0</v>
      </c>
    </row>
    <row r="542" spans="1:67" ht="15" customHeight="1">
      <c r="A542" s="215" t="s">
        <v>2527</v>
      </c>
      <c r="B542" s="215" t="s">
        <v>2528</v>
      </c>
      <c r="C542" s="150" t="s">
        <v>1136</v>
      </c>
      <c r="D542" s="334" t="s">
        <v>1135</v>
      </c>
      <c r="E542" s="334" t="s">
        <v>1145</v>
      </c>
      <c r="F542" s="334" t="s">
        <v>1137</v>
      </c>
      <c r="G542" s="516" t="s">
        <v>639</v>
      </c>
      <c r="H542" s="398" t="s">
        <v>1947</v>
      </c>
      <c r="I542" s="343"/>
      <c r="J542" s="344"/>
      <c r="K542" s="219" t="s">
        <v>486</v>
      </c>
      <c r="L542" s="349" t="s">
        <v>1153</v>
      </c>
      <c r="M542" s="343"/>
      <c r="N542" s="349"/>
      <c r="O542" s="334" t="s">
        <v>487</v>
      </c>
      <c r="P542" s="354"/>
      <c r="Q542" s="404"/>
      <c r="R542" s="407">
        <v>0</v>
      </c>
      <c r="S542" s="407">
        <v>0</v>
      </c>
      <c r="T542" s="425"/>
      <c r="U542" s="71"/>
      <c r="V542" s="408"/>
      <c r="W542" s="410">
        <v>-158800</v>
      </c>
      <c r="X542" s="410">
        <v>158800</v>
      </c>
      <c r="Y542" s="428">
        <v>0</v>
      </c>
      <c r="Z542" s="429">
        <v>0</v>
      </c>
      <c r="AA542" s="429">
        <v>0</v>
      </c>
      <c r="AB542" s="363" t="e">
        <v>#N/A</v>
      </c>
      <c r="AC542" s="369"/>
      <c r="AD542" s="369"/>
      <c r="AE542" s="369"/>
      <c r="AF542" s="369"/>
      <c r="AG542" s="369"/>
      <c r="AH542" s="367" t="e">
        <f t="shared" si="28"/>
        <v>#N/A</v>
      </c>
      <c r="AI542" s="362" t="e">
        <f>ERP[[#This Row],[2026 Working Total]]-ERP[[#This Row],[LE2 Final Submission]]</f>
        <v>#N/A</v>
      </c>
      <c r="AJ542" s="227"/>
      <c r="AK542" s="227">
        <f t="shared" si="27"/>
        <v>0</v>
      </c>
      <c r="AL542" s="374">
        <f>SUM(ERP[[#This Row],[AP01]:[AP06]])-SUM(ERP[[#This Row],[AP01 LE2]:[AP06 LE2]])</f>
        <v>0</v>
      </c>
      <c r="AM542" s="80"/>
      <c r="AN542" s="79" t="e">
        <f>ERP[[#This Row],[2026 Working Total to Budget/LE]]-ERP[[#This Row],[Giveback]]</f>
        <v>#N/A</v>
      </c>
      <c r="AO542" s="81"/>
      <c r="AP542" s="375"/>
      <c r="AQ542" s="375">
        <v>-158800</v>
      </c>
      <c r="AR542" s="375">
        <v>158800</v>
      </c>
      <c r="AS542" s="375"/>
      <c r="AT542" s="375"/>
      <c r="AU542" s="375"/>
      <c r="AV542" s="375"/>
      <c r="AW542" s="375"/>
      <c r="AX542" s="375"/>
      <c r="AY542" s="375"/>
      <c r="AZ542" s="375"/>
      <c r="BA542" s="375"/>
      <c r="BB542" s="375">
        <v>0</v>
      </c>
      <c r="BC542" s="227"/>
      <c r="BD542" s="227">
        <v>-158800</v>
      </c>
      <c r="BE542" s="227">
        <v>158800</v>
      </c>
      <c r="BF542" s="227"/>
      <c r="BG542" s="227"/>
      <c r="BH542" s="227"/>
      <c r="BI542" s="227"/>
      <c r="BJ542" s="227"/>
      <c r="BK542" s="227"/>
      <c r="BL542" s="227"/>
      <c r="BM542" s="227"/>
      <c r="BN542" s="227"/>
      <c r="BO542" s="227">
        <v>0</v>
      </c>
    </row>
    <row r="543" spans="1:67" ht="15" customHeight="1">
      <c r="A543" s="227" t="s">
        <v>2529</v>
      </c>
      <c r="B543" s="330" t="s">
        <v>2530</v>
      </c>
      <c r="C543" s="150" t="s">
        <v>1136</v>
      </c>
      <c r="D543" s="336" t="s">
        <v>1135</v>
      </c>
      <c r="E543" s="338" t="s">
        <v>1145</v>
      </c>
      <c r="F543" s="335" t="s">
        <v>1137</v>
      </c>
      <c r="G543" s="517" t="s">
        <v>639</v>
      </c>
      <c r="H543" s="399" t="s">
        <v>2531</v>
      </c>
      <c r="I543" s="343" t="s">
        <v>2532</v>
      </c>
      <c r="J543" s="334" t="s">
        <v>1186</v>
      </c>
      <c r="K543" s="235" t="s">
        <v>854</v>
      </c>
      <c r="L543" s="344"/>
      <c r="M543" s="346" t="s">
        <v>1717</v>
      </c>
      <c r="N543" s="349" t="s">
        <v>1710</v>
      </c>
      <c r="O543" s="352" t="s">
        <v>368</v>
      </c>
      <c r="P543" s="355" t="s">
        <v>1348</v>
      </c>
      <c r="Q543" s="437"/>
      <c r="R543" s="358">
        <v>40902.519999999997</v>
      </c>
      <c r="S543" s="378">
        <v>0</v>
      </c>
      <c r="T543" s="425"/>
      <c r="U543" s="71"/>
      <c r="V543" s="409"/>
      <c r="W543" s="411"/>
      <c r="X543" s="411"/>
      <c r="Y543" s="428" t="s">
        <v>1142</v>
      </c>
      <c r="Z543" s="429">
        <v>0</v>
      </c>
      <c r="AA543" s="429">
        <v>0</v>
      </c>
      <c r="AB543" s="363" t="e">
        <v>#N/A</v>
      </c>
      <c r="AC543" s="370">
        <v>0</v>
      </c>
      <c r="AD543" s="370">
        <v>0</v>
      </c>
      <c r="AE543" s="370">
        <v>0</v>
      </c>
      <c r="AF543" s="370">
        <v>0</v>
      </c>
      <c r="AG543" s="370">
        <v>0</v>
      </c>
      <c r="AH543" s="367" t="e">
        <f t="shared" si="28"/>
        <v>#N/A</v>
      </c>
      <c r="AI543" s="362" t="e">
        <f>ERP[[#This Row],[2026 Working Total]]-ERP[[#This Row],[LE2 Final Submission]]</f>
        <v>#N/A</v>
      </c>
      <c r="AJ543" s="227">
        <v>0</v>
      </c>
      <c r="AK543" s="227">
        <f t="shared" si="27"/>
        <v>0</v>
      </c>
      <c r="AL543" s="374">
        <f>SUM(ERP[[#This Row],[AP01]:[AP06]])-SUM(ERP[[#This Row],[AP01 LE2]:[AP06 LE2]])</f>
        <v>0</v>
      </c>
      <c r="AM543" s="80"/>
      <c r="AN543" s="79" t="e">
        <f>ERP[[#This Row],[2026 Working Total to Budget/LE]]-ERP[[#This Row],[Giveback]]</f>
        <v>#N/A</v>
      </c>
      <c r="AO543" s="81"/>
      <c r="AP543" s="375"/>
      <c r="AQ543" s="375"/>
      <c r="AR543" s="375"/>
      <c r="AS543" s="375">
        <v>0</v>
      </c>
      <c r="AT543" s="375">
        <v>0</v>
      </c>
      <c r="AU543" s="375">
        <v>0</v>
      </c>
      <c r="AV543" s="375">
        <v>0</v>
      </c>
      <c r="AW543" s="375">
        <v>0</v>
      </c>
      <c r="AX543" s="375">
        <v>0</v>
      </c>
      <c r="AY543" s="375">
        <v>0</v>
      </c>
      <c r="AZ543" s="375">
        <v>0</v>
      </c>
      <c r="BA543" s="375">
        <v>0</v>
      </c>
      <c r="BB543" s="375">
        <v>0</v>
      </c>
      <c r="BC543" s="246">
        <v>40902.519999999997</v>
      </c>
      <c r="BD543" s="246">
        <v>0</v>
      </c>
      <c r="BE543" s="246">
        <v>0</v>
      </c>
      <c r="BF543" s="246">
        <v>0</v>
      </c>
      <c r="BG543" s="246">
        <v>0</v>
      </c>
      <c r="BH543" s="246">
        <v>0</v>
      </c>
      <c r="BI543" s="246">
        <v>0</v>
      </c>
      <c r="BJ543" s="246">
        <v>0</v>
      </c>
      <c r="BK543" s="246">
        <v>0</v>
      </c>
      <c r="BL543" s="246">
        <v>0</v>
      </c>
      <c r="BM543" s="246">
        <v>0</v>
      </c>
      <c r="BN543" s="246">
        <v>0</v>
      </c>
      <c r="BO543" s="227">
        <f>SUM(ERP[[#This Row],[2026 AP01]:[2026 AP12]])</f>
        <v>40902.519999999997</v>
      </c>
    </row>
    <row r="544" spans="1:67" ht="15" customHeight="1">
      <c r="A544" s="215" t="s">
        <v>2799</v>
      </c>
      <c r="B544" s="215" t="s">
        <v>2800</v>
      </c>
      <c r="C544" s="150" t="s">
        <v>1136</v>
      </c>
      <c r="D544" s="334" t="s">
        <v>1345</v>
      </c>
      <c r="E544" s="334" t="s">
        <v>1346</v>
      </c>
      <c r="F544" s="334" t="s">
        <v>1346</v>
      </c>
      <c r="G544" s="516" t="s">
        <v>639</v>
      </c>
      <c r="H544" s="398" t="s">
        <v>2801</v>
      </c>
      <c r="I544" s="343"/>
      <c r="J544" s="344"/>
      <c r="K544" s="219" t="s">
        <v>1010</v>
      </c>
      <c r="L544" s="349"/>
      <c r="M544" s="343"/>
      <c r="N544" s="349"/>
      <c r="O544" s="334" t="s">
        <v>25</v>
      </c>
      <c r="P544" s="354"/>
      <c r="Q544" s="403"/>
      <c r="R544" s="406">
        <v>500</v>
      </c>
      <c r="S544" s="406">
        <v>500</v>
      </c>
      <c r="T544" s="425"/>
      <c r="U544" s="71"/>
      <c r="V544" s="408"/>
      <c r="W544" s="410"/>
      <c r="X544" s="410"/>
      <c r="Y544" s="428" t="s">
        <v>1142</v>
      </c>
      <c r="Z544" s="429">
        <v>0</v>
      </c>
      <c r="AA544" s="429">
        <v>0</v>
      </c>
      <c r="AB544" s="363" t="e">
        <v>#N/A</v>
      </c>
      <c r="AC544" s="369"/>
      <c r="AD544" s="369"/>
      <c r="AE544" s="369"/>
      <c r="AF544" s="369">
        <v>500</v>
      </c>
      <c r="AG544" s="368">
        <v>0</v>
      </c>
      <c r="AH544" s="367" t="e">
        <f t="shared" si="28"/>
        <v>#N/A</v>
      </c>
      <c r="AI544" s="362" t="e">
        <f>ERP[[#This Row],[2026 Working Total]]-ERP[[#This Row],[LE2 Final Submission]]</f>
        <v>#N/A</v>
      </c>
      <c r="AJ544" s="227"/>
      <c r="AK544" s="227">
        <f t="shared" si="27"/>
        <v>0</v>
      </c>
      <c r="AL544" s="374">
        <f>SUM(ERP[[#This Row],[AP01]:[AP06]])-SUM(ERP[[#This Row],[AP01 LE2]:[AP06 LE2]])</f>
        <v>0</v>
      </c>
      <c r="AM544" s="80"/>
      <c r="AN544" s="79" t="e">
        <f>ERP[[#This Row],[2026 Working Total to Budget/LE]]-ERP[[#This Row],[Giveback]]</f>
        <v>#N/A</v>
      </c>
      <c r="AO544" s="81"/>
      <c r="AP544" s="375"/>
      <c r="AQ544" s="375"/>
      <c r="AR544" s="375"/>
      <c r="AS544" s="375"/>
      <c r="AT544" s="375"/>
      <c r="AU544" s="375"/>
      <c r="AV544" s="375"/>
      <c r="AW544" s="375"/>
      <c r="AX544" s="375"/>
      <c r="AY544" s="375"/>
      <c r="AZ544" s="375">
        <v>500</v>
      </c>
      <c r="BA544" s="375">
        <v>0</v>
      </c>
      <c r="BB544" s="375">
        <v>500</v>
      </c>
      <c r="BC544" s="227"/>
      <c r="BD544" s="227"/>
      <c r="BE544" s="227"/>
      <c r="BF544" s="227"/>
      <c r="BG544" s="227"/>
      <c r="BH544" s="227"/>
      <c r="BI544" s="227"/>
      <c r="BJ544" s="227"/>
      <c r="BK544" s="227"/>
      <c r="BL544" s="227"/>
      <c r="BM544" s="227">
        <v>500</v>
      </c>
      <c r="BN544" s="227">
        <v>0</v>
      </c>
      <c r="BO544" s="227">
        <v>500</v>
      </c>
    </row>
    <row r="545" spans="1:67" ht="15" customHeight="1">
      <c r="A545" s="215" t="s">
        <v>2802</v>
      </c>
      <c r="B545" s="215" t="s">
        <v>2803</v>
      </c>
      <c r="C545" s="150" t="s">
        <v>1136</v>
      </c>
      <c r="D545" s="334" t="s">
        <v>1345</v>
      </c>
      <c r="E545" s="334" t="s">
        <v>1346</v>
      </c>
      <c r="F545" s="334" t="s">
        <v>1346</v>
      </c>
      <c r="G545" s="516" t="s">
        <v>639</v>
      </c>
      <c r="H545" s="398" t="s">
        <v>2804</v>
      </c>
      <c r="I545" s="343"/>
      <c r="J545" s="344"/>
      <c r="K545" s="219" t="s">
        <v>1012</v>
      </c>
      <c r="L545" s="349"/>
      <c r="M545" s="343"/>
      <c r="N545" s="349"/>
      <c r="O545" s="334" t="s">
        <v>25</v>
      </c>
      <c r="P545" s="354"/>
      <c r="Q545" s="403"/>
      <c r="R545" s="406">
        <v>130</v>
      </c>
      <c r="S545" s="406">
        <v>130</v>
      </c>
      <c r="T545" s="425"/>
      <c r="U545" s="71"/>
      <c r="V545" s="408"/>
      <c r="W545" s="410"/>
      <c r="X545" s="410"/>
      <c r="Y545" s="428" t="s">
        <v>1142</v>
      </c>
      <c r="Z545" s="429">
        <v>0</v>
      </c>
      <c r="AA545" s="429">
        <v>0</v>
      </c>
      <c r="AB545" s="363" t="e">
        <v>#N/A</v>
      </c>
      <c r="AC545" s="368">
        <v>0</v>
      </c>
      <c r="AD545" s="368">
        <v>0</v>
      </c>
      <c r="AE545" s="368">
        <v>0</v>
      </c>
      <c r="AF545" s="368">
        <v>0</v>
      </c>
      <c r="AG545" s="368">
        <v>0</v>
      </c>
      <c r="AH545" s="367" t="e">
        <f t="shared" si="28"/>
        <v>#N/A</v>
      </c>
      <c r="AI545" s="362" t="e">
        <f>ERP[[#This Row],[2026 Working Total]]-ERP[[#This Row],[LE2 Final Submission]]</f>
        <v>#N/A</v>
      </c>
      <c r="AJ545" s="227">
        <v>0</v>
      </c>
      <c r="AK545" s="227">
        <f t="shared" si="27"/>
        <v>0</v>
      </c>
      <c r="AL545" s="374">
        <f>SUM(ERP[[#This Row],[AP01]:[AP06]])-SUM(ERP[[#This Row],[AP01 LE2]:[AP06 LE2]])</f>
        <v>-130</v>
      </c>
      <c r="AM545" s="80"/>
      <c r="AN545" s="79" t="e">
        <f>ERP[[#This Row],[2026 Working Total to Budget/LE]]-ERP[[#This Row],[Giveback]]</f>
        <v>#N/A</v>
      </c>
      <c r="AO545" s="81"/>
      <c r="AP545" s="375"/>
      <c r="AQ545" s="375"/>
      <c r="AR545" s="375"/>
      <c r="AS545" s="375"/>
      <c r="AT545" s="375"/>
      <c r="AU545" s="375">
        <v>130</v>
      </c>
      <c r="AV545" s="375">
        <v>0</v>
      </c>
      <c r="AW545" s="375">
        <v>0</v>
      </c>
      <c r="AX545" s="375">
        <v>0</v>
      </c>
      <c r="AY545" s="375">
        <v>0</v>
      </c>
      <c r="AZ545" s="375">
        <v>0</v>
      </c>
      <c r="BA545" s="375">
        <v>0</v>
      </c>
      <c r="BB545" s="375">
        <v>130</v>
      </c>
      <c r="BC545" s="227"/>
      <c r="BD545" s="227"/>
      <c r="BE545" s="227"/>
      <c r="BF545" s="227"/>
      <c r="BG545" s="227"/>
      <c r="BH545" s="227">
        <v>130</v>
      </c>
      <c r="BI545" s="227">
        <v>0</v>
      </c>
      <c r="BJ545" s="227">
        <v>0</v>
      </c>
      <c r="BK545" s="227">
        <v>0</v>
      </c>
      <c r="BL545" s="227">
        <v>0</v>
      </c>
      <c r="BM545" s="227">
        <v>0</v>
      </c>
      <c r="BN545" s="227">
        <v>0</v>
      </c>
      <c r="BO545" s="227">
        <v>130</v>
      </c>
    </row>
    <row r="546" spans="1:67" ht="15" customHeight="1">
      <c r="A546" s="215" t="s">
        <v>2688</v>
      </c>
      <c r="B546" s="215" t="s">
        <v>2689</v>
      </c>
      <c r="C546" s="150" t="s">
        <v>1136</v>
      </c>
      <c r="D546" s="334" t="s">
        <v>1345</v>
      </c>
      <c r="E546" s="334" t="s">
        <v>1346</v>
      </c>
      <c r="F546" s="334" t="s">
        <v>1346</v>
      </c>
      <c r="G546" s="516" t="s">
        <v>639</v>
      </c>
      <c r="H546" s="398" t="s">
        <v>2690</v>
      </c>
      <c r="I546" s="343"/>
      <c r="J546" s="344"/>
      <c r="K546" s="219" t="s">
        <v>1014</v>
      </c>
      <c r="L546" s="349"/>
      <c r="M546" s="343"/>
      <c r="N546" s="349"/>
      <c r="O546" s="334" t="s">
        <v>25</v>
      </c>
      <c r="P546" s="354" t="s">
        <v>2913</v>
      </c>
      <c r="Q546" s="403"/>
      <c r="R546" s="406">
        <v>250000</v>
      </c>
      <c r="S546" s="406">
        <v>250000</v>
      </c>
      <c r="T546" s="430"/>
      <c r="U546" s="137"/>
      <c r="V546" s="408"/>
      <c r="W546" s="410"/>
      <c r="X546" s="410"/>
      <c r="Y546" s="428" t="s">
        <v>1142</v>
      </c>
      <c r="Z546" s="429">
        <v>0</v>
      </c>
      <c r="AA546" s="429">
        <v>0</v>
      </c>
      <c r="AB546" s="363" t="e">
        <v>#N/A</v>
      </c>
      <c r="AC546" s="368">
        <v>0</v>
      </c>
      <c r="AD546" s="368">
        <v>0</v>
      </c>
      <c r="AE546" s="368">
        <v>0</v>
      </c>
      <c r="AF546" s="368">
        <v>0</v>
      </c>
      <c r="AG546" s="368">
        <v>0</v>
      </c>
      <c r="AH546" s="367" t="e">
        <f t="shared" si="28"/>
        <v>#N/A</v>
      </c>
      <c r="AI546" s="362" t="e">
        <f>ERP[[#This Row],[2026 Working Total]]-ERP[[#This Row],[LE2 Final Submission]]</f>
        <v>#N/A</v>
      </c>
      <c r="AJ546" s="227">
        <v>0</v>
      </c>
      <c r="AK546" s="227">
        <f t="shared" si="27"/>
        <v>0</v>
      </c>
      <c r="AL546" s="374">
        <f>SUM(ERP[[#This Row],[AP01]:[AP06]])-SUM(ERP[[#This Row],[AP01 LE2]:[AP06 LE2]])</f>
        <v>-250000</v>
      </c>
      <c r="AM546" s="80"/>
      <c r="AN546" s="79" t="e">
        <f>ERP[[#This Row],[2026 Working Total to Budget/LE]]-ERP[[#This Row],[Giveback]]</f>
        <v>#N/A</v>
      </c>
      <c r="AO546" s="81"/>
      <c r="AP546" s="375"/>
      <c r="AQ546" s="375"/>
      <c r="AR546" s="375"/>
      <c r="AS546" s="375"/>
      <c r="AT546" s="375"/>
      <c r="AU546" s="375">
        <v>250000</v>
      </c>
      <c r="AV546" s="375">
        <v>0</v>
      </c>
      <c r="AW546" s="375">
        <v>0</v>
      </c>
      <c r="AX546" s="375">
        <v>0</v>
      </c>
      <c r="AY546" s="375">
        <v>0</v>
      </c>
      <c r="AZ546" s="375">
        <v>0</v>
      </c>
      <c r="BA546" s="375">
        <v>0</v>
      </c>
      <c r="BB546" s="375">
        <v>250000</v>
      </c>
      <c r="BC546" s="227"/>
      <c r="BD546" s="227"/>
      <c r="BE546" s="227"/>
      <c r="BF546" s="227"/>
      <c r="BG546" s="227"/>
      <c r="BH546" s="227">
        <v>250000</v>
      </c>
      <c r="BI546" s="227">
        <v>0</v>
      </c>
      <c r="BJ546" s="227">
        <v>0</v>
      </c>
      <c r="BK546" s="227">
        <v>0</v>
      </c>
      <c r="BL546" s="227">
        <v>0</v>
      </c>
      <c r="BM546" s="227">
        <v>0</v>
      </c>
      <c r="BN546" s="227">
        <v>0</v>
      </c>
      <c r="BO546" s="227">
        <v>250000</v>
      </c>
    </row>
    <row r="547" spans="1:67" ht="15" customHeight="1">
      <c r="A547" s="227" t="s">
        <v>2533</v>
      </c>
      <c r="B547" s="330" t="s">
        <v>2534</v>
      </c>
      <c r="C547" s="150" t="s">
        <v>1136</v>
      </c>
      <c r="D547" s="336" t="s">
        <v>1135</v>
      </c>
      <c r="E547" s="338" t="s">
        <v>1145</v>
      </c>
      <c r="F547" s="335" t="s">
        <v>1137</v>
      </c>
      <c r="G547" s="517" t="s">
        <v>639</v>
      </c>
      <c r="H547" s="399" t="s">
        <v>2535</v>
      </c>
      <c r="I547" s="343" t="s">
        <v>2532</v>
      </c>
      <c r="J547" s="334" t="s">
        <v>1186</v>
      </c>
      <c r="K547" s="235" t="s">
        <v>856</v>
      </c>
      <c r="L547" s="344"/>
      <c r="M547" s="346" t="s">
        <v>1717</v>
      </c>
      <c r="N547" s="349" t="s">
        <v>1710</v>
      </c>
      <c r="O547" s="352" t="s">
        <v>368</v>
      </c>
      <c r="P547" s="355" t="s">
        <v>1348</v>
      </c>
      <c r="Q547" s="437"/>
      <c r="R547" s="358">
        <v>-40902.519999999997</v>
      </c>
      <c r="S547" s="378">
        <v>0</v>
      </c>
      <c r="T547" s="425"/>
      <c r="U547" s="71"/>
      <c r="V547" s="409"/>
      <c r="W547" s="411"/>
      <c r="X547" s="411"/>
      <c r="Y547" s="428" t="s">
        <v>1142</v>
      </c>
      <c r="Z547" s="429">
        <v>0</v>
      </c>
      <c r="AA547" s="429">
        <v>0</v>
      </c>
      <c r="AB547" s="363" t="e">
        <v>#N/A</v>
      </c>
      <c r="AC547" s="370">
        <v>0</v>
      </c>
      <c r="AD547" s="370">
        <v>0</v>
      </c>
      <c r="AE547" s="370">
        <v>0</v>
      </c>
      <c r="AF547" s="370">
        <v>0</v>
      </c>
      <c r="AG547" s="370">
        <v>0</v>
      </c>
      <c r="AH547" s="367" t="e">
        <f t="shared" si="28"/>
        <v>#N/A</v>
      </c>
      <c r="AI547" s="362" t="e">
        <f>ERP[[#This Row],[2026 Working Total]]-ERP[[#This Row],[LE2 Final Submission]]</f>
        <v>#N/A</v>
      </c>
      <c r="AJ547" s="227">
        <v>0</v>
      </c>
      <c r="AK547" s="227">
        <f t="shared" si="27"/>
        <v>0</v>
      </c>
      <c r="AL547" s="374">
        <f>SUM(ERP[[#This Row],[AP01]:[AP06]])-SUM(ERP[[#This Row],[AP01 LE2]:[AP06 LE2]])</f>
        <v>0</v>
      </c>
      <c r="AM547" s="80"/>
      <c r="AN547" s="79" t="e">
        <f>ERP[[#This Row],[2026 Working Total to Budget/LE]]-ERP[[#This Row],[Giveback]]</f>
        <v>#N/A</v>
      </c>
      <c r="AO547" s="81"/>
      <c r="AP547" s="375"/>
      <c r="AQ547" s="375"/>
      <c r="AR547" s="375"/>
      <c r="AS547" s="375">
        <v>0</v>
      </c>
      <c r="AT547" s="375">
        <v>0</v>
      </c>
      <c r="AU547" s="375">
        <v>0</v>
      </c>
      <c r="AV547" s="375">
        <v>0</v>
      </c>
      <c r="AW547" s="375">
        <v>0</v>
      </c>
      <c r="AX547" s="375">
        <v>0</v>
      </c>
      <c r="AY547" s="375">
        <v>0</v>
      </c>
      <c r="AZ547" s="375">
        <v>0</v>
      </c>
      <c r="BA547" s="375">
        <v>0</v>
      </c>
      <c r="BB547" s="375">
        <v>0</v>
      </c>
      <c r="BC547" s="246">
        <v>-40902.519999999997</v>
      </c>
      <c r="BD547" s="246">
        <v>0</v>
      </c>
      <c r="BE547" s="246">
        <v>0</v>
      </c>
      <c r="BF547" s="246">
        <v>0</v>
      </c>
      <c r="BG547" s="246">
        <v>0</v>
      </c>
      <c r="BH547" s="246">
        <v>0</v>
      </c>
      <c r="BI547" s="246">
        <v>0</v>
      </c>
      <c r="BJ547" s="246">
        <v>0</v>
      </c>
      <c r="BK547" s="246">
        <v>0</v>
      </c>
      <c r="BL547" s="246">
        <v>0</v>
      </c>
      <c r="BM547" s="246">
        <v>0</v>
      </c>
      <c r="BN547" s="246">
        <v>0</v>
      </c>
      <c r="BO547" s="227">
        <f>SUM(ERP[[#This Row],[2026 AP01]:[2026 AP12]])</f>
        <v>-40902.519999999997</v>
      </c>
    </row>
    <row r="548" spans="1:67" ht="15" customHeight="1">
      <c r="A548" s="227" t="s">
        <v>2536</v>
      </c>
      <c r="B548" s="330" t="s">
        <v>2537</v>
      </c>
      <c r="C548" s="150" t="s">
        <v>1136</v>
      </c>
      <c r="D548" s="336" t="s">
        <v>1135</v>
      </c>
      <c r="E548" s="338" t="s">
        <v>1145</v>
      </c>
      <c r="F548" s="335" t="s">
        <v>1137</v>
      </c>
      <c r="G548" s="517" t="s">
        <v>639</v>
      </c>
      <c r="H548" s="399" t="s">
        <v>2538</v>
      </c>
      <c r="I548" s="343" t="s">
        <v>2532</v>
      </c>
      <c r="J548" s="334" t="s">
        <v>1186</v>
      </c>
      <c r="K548" s="235" t="s">
        <v>858</v>
      </c>
      <c r="L548" s="344"/>
      <c r="M548" s="346" t="s">
        <v>1709</v>
      </c>
      <c r="N548" s="349" t="s">
        <v>1710</v>
      </c>
      <c r="O548" s="352" t="s">
        <v>368</v>
      </c>
      <c r="P548" s="355" t="s">
        <v>1348</v>
      </c>
      <c r="Q548" s="437"/>
      <c r="R548" s="358">
        <v>26386.85</v>
      </c>
      <c r="S548" s="378">
        <v>0</v>
      </c>
      <c r="T548" s="425"/>
      <c r="U548" s="71"/>
      <c r="V548" s="409"/>
      <c r="W548" s="411"/>
      <c r="X548" s="411"/>
      <c r="Y548" s="428" t="s">
        <v>1142</v>
      </c>
      <c r="Z548" s="429">
        <v>0</v>
      </c>
      <c r="AA548" s="429">
        <v>0</v>
      </c>
      <c r="AB548" s="363" t="e">
        <v>#N/A</v>
      </c>
      <c r="AC548" s="370">
        <v>0</v>
      </c>
      <c r="AD548" s="370">
        <v>0</v>
      </c>
      <c r="AE548" s="370">
        <v>0</v>
      </c>
      <c r="AF548" s="370">
        <v>0</v>
      </c>
      <c r="AG548" s="370">
        <v>0</v>
      </c>
      <c r="AH548" s="367" t="e">
        <f t="shared" si="28"/>
        <v>#N/A</v>
      </c>
      <c r="AI548" s="362" t="e">
        <f>ERP[[#This Row],[2026 Working Total]]-ERP[[#This Row],[LE2 Final Submission]]</f>
        <v>#N/A</v>
      </c>
      <c r="AJ548" s="227">
        <v>0</v>
      </c>
      <c r="AK548" s="227">
        <f t="shared" si="27"/>
        <v>0</v>
      </c>
      <c r="AL548" s="374">
        <f>SUM(ERP[[#This Row],[AP01]:[AP06]])-SUM(ERP[[#This Row],[AP01 LE2]:[AP06 LE2]])</f>
        <v>0</v>
      </c>
      <c r="AM548" s="80"/>
      <c r="AN548" s="79" t="e">
        <f>ERP[[#This Row],[2026 Working Total to Budget/LE]]-ERP[[#This Row],[Giveback]]</f>
        <v>#N/A</v>
      </c>
      <c r="AO548" s="81"/>
      <c r="AP548" s="375"/>
      <c r="AQ548" s="375"/>
      <c r="AR548" s="375"/>
      <c r="AS548" s="375">
        <v>0</v>
      </c>
      <c r="AT548" s="375">
        <v>0</v>
      </c>
      <c r="AU548" s="375">
        <v>0</v>
      </c>
      <c r="AV548" s="375">
        <v>0</v>
      </c>
      <c r="AW548" s="375">
        <v>0</v>
      </c>
      <c r="AX548" s="375">
        <v>0</v>
      </c>
      <c r="AY548" s="375">
        <v>0</v>
      </c>
      <c r="AZ548" s="375">
        <v>0</v>
      </c>
      <c r="BA548" s="375">
        <v>0</v>
      </c>
      <c r="BB548" s="375">
        <v>0</v>
      </c>
      <c r="BC548" s="246">
        <v>26386.85</v>
      </c>
      <c r="BD548" s="246">
        <v>0</v>
      </c>
      <c r="BE548" s="246">
        <v>0</v>
      </c>
      <c r="BF548" s="246">
        <v>0</v>
      </c>
      <c r="BG548" s="246">
        <v>0</v>
      </c>
      <c r="BH548" s="246">
        <v>0</v>
      </c>
      <c r="BI548" s="246">
        <v>0</v>
      </c>
      <c r="BJ548" s="246">
        <v>0</v>
      </c>
      <c r="BK548" s="246">
        <v>0</v>
      </c>
      <c r="BL548" s="246">
        <v>0</v>
      </c>
      <c r="BM548" s="246">
        <v>0</v>
      </c>
      <c r="BN548" s="246">
        <v>0</v>
      </c>
      <c r="BO548" s="227">
        <f>SUM(ERP[[#This Row],[2026 AP01]:[2026 AP12]])</f>
        <v>26386.85</v>
      </c>
    </row>
    <row r="549" spans="1:67" ht="15" customHeight="1">
      <c r="A549" s="227" t="s">
        <v>2539</v>
      </c>
      <c r="B549" s="330" t="s">
        <v>2540</v>
      </c>
      <c r="C549" s="150" t="s">
        <v>1136</v>
      </c>
      <c r="D549" s="336" t="s">
        <v>1135</v>
      </c>
      <c r="E549" s="338" t="s">
        <v>1145</v>
      </c>
      <c r="F549" s="335" t="s">
        <v>1137</v>
      </c>
      <c r="G549" s="517" t="s">
        <v>639</v>
      </c>
      <c r="H549" s="399" t="s">
        <v>2541</v>
      </c>
      <c r="I549" s="343" t="s">
        <v>2532</v>
      </c>
      <c r="J549" s="334" t="s">
        <v>1186</v>
      </c>
      <c r="K549" s="235" t="s">
        <v>860</v>
      </c>
      <c r="L549" s="344"/>
      <c r="M549" s="346" t="s">
        <v>1709</v>
      </c>
      <c r="N549" s="349" t="s">
        <v>1710</v>
      </c>
      <c r="O549" s="352" t="s">
        <v>368</v>
      </c>
      <c r="P549" s="355" t="s">
        <v>1348</v>
      </c>
      <c r="Q549" s="437"/>
      <c r="R549" s="358">
        <v>-26386.85</v>
      </c>
      <c r="S549" s="378">
        <v>0</v>
      </c>
      <c r="T549" s="425"/>
      <c r="U549" s="71"/>
      <c r="V549" s="409"/>
      <c r="W549" s="411"/>
      <c r="X549" s="411"/>
      <c r="Y549" s="428" t="s">
        <v>1142</v>
      </c>
      <c r="Z549" s="429">
        <v>0</v>
      </c>
      <c r="AA549" s="429">
        <v>0</v>
      </c>
      <c r="AB549" s="363" t="e">
        <v>#N/A</v>
      </c>
      <c r="AC549" s="370">
        <v>0</v>
      </c>
      <c r="AD549" s="370">
        <v>0</v>
      </c>
      <c r="AE549" s="370">
        <v>0</v>
      </c>
      <c r="AF549" s="370">
        <v>0</v>
      </c>
      <c r="AG549" s="370">
        <v>0</v>
      </c>
      <c r="AH549" s="367" t="e">
        <f t="shared" si="28"/>
        <v>#N/A</v>
      </c>
      <c r="AI549" s="362" t="e">
        <f>ERP[[#This Row],[2026 Working Total]]-ERP[[#This Row],[LE2 Final Submission]]</f>
        <v>#N/A</v>
      </c>
      <c r="AJ549" s="227">
        <v>0</v>
      </c>
      <c r="AK549" s="227">
        <f t="shared" si="27"/>
        <v>0</v>
      </c>
      <c r="AL549" s="374">
        <f>SUM(ERP[[#This Row],[AP01]:[AP06]])-SUM(ERP[[#This Row],[AP01 LE2]:[AP06 LE2]])</f>
        <v>0</v>
      </c>
      <c r="AM549" s="80"/>
      <c r="AN549" s="79" t="e">
        <f>ERP[[#This Row],[2026 Working Total to Budget/LE]]-ERP[[#This Row],[Giveback]]</f>
        <v>#N/A</v>
      </c>
      <c r="AO549" s="81"/>
      <c r="AP549" s="375"/>
      <c r="AQ549" s="375"/>
      <c r="AR549" s="375"/>
      <c r="AS549" s="375">
        <v>0</v>
      </c>
      <c r="AT549" s="375">
        <v>0</v>
      </c>
      <c r="AU549" s="375">
        <v>0</v>
      </c>
      <c r="AV549" s="375">
        <v>0</v>
      </c>
      <c r="AW549" s="375">
        <v>0</v>
      </c>
      <c r="AX549" s="375">
        <v>0</v>
      </c>
      <c r="AY549" s="375">
        <v>0</v>
      </c>
      <c r="AZ549" s="375">
        <v>0</v>
      </c>
      <c r="BA549" s="375">
        <v>0</v>
      </c>
      <c r="BB549" s="375">
        <v>0</v>
      </c>
      <c r="BC549" s="246">
        <v>-26386.85</v>
      </c>
      <c r="BD549" s="246">
        <v>0</v>
      </c>
      <c r="BE549" s="246">
        <v>0</v>
      </c>
      <c r="BF549" s="246">
        <v>0</v>
      </c>
      <c r="BG549" s="246">
        <v>0</v>
      </c>
      <c r="BH549" s="246">
        <v>0</v>
      </c>
      <c r="BI549" s="246">
        <v>0</v>
      </c>
      <c r="BJ549" s="246">
        <v>0</v>
      </c>
      <c r="BK549" s="246">
        <v>0</v>
      </c>
      <c r="BL549" s="246">
        <v>0</v>
      </c>
      <c r="BM549" s="246">
        <v>0</v>
      </c>
      <c r="BN549" s="246">
        <v>0</v>
      </c>
      <c r="BO549" s="227">
        <f>SUM(ERP[[#This Row],[2026 AP01]:[2026 AP12]])</f>
        <v>-26386.85</v>
      </c>
    </row>
    <row r="550" spans="1:67" ht="15" customHeight="1">
      <c r="A550" s="227" t="s">
        <v>2542</v>
      </c>
      <c r="B550" s="330" t="s">
        <v>2543</v>
      </c>
      <c r="C550" s="150" t="s">
        <v>1136</v>
      </c>
      <c r="D550" s="336" t="s">
        <v>1135</v>
      </c>
      <c r="E550" s="338" t="s">
        <v>1145</v>
      </c>
      <c r="F550" s="335" t="s">
        <v>1137</v>
      </c>
      <c r="G550" s="517" t="s">
        <v>639</v>
      </c>
      <c r="H550" s="399" t="s">
        <v>2544</v>
      </c>
      <c r="I550" s="343" t="s">
        <v>2545</v>
      </c>
      <c r="J550" s="334" t="s">
        <v>1186</v>
      </c>
      <c r="K550" s="235" t="s">
        <v>862</v>
      </c>
      <c r="L550" s="344"/>
      <c r="M550" s="346" t="s">
        <v>2546</v>
      </c>
      <c r="N550" s="349" t="s">
        <v>1710</v>
      </c>
      <c r="O550" s="352" t="s">
        <v>863</v>
      </c>
      <c r="P550" s="355" t="s">
        <v>1348</v>
      </c>
      <c r="Q550" s="437"/>
      <c r="R550" s="358">
        <v>21386.720000000001</v>
      </c>
      <c r="S550" s="378">
        <v>0</v>
      </c>
      <c r="T550" s="425"/>
      <c r="U550" s="71"/>
      <c r="V550" s="409"/>
      <c r="W550" s="411"/>
      <c r="X550" s="411"/>
      <c r="Y550" s="428" t="s">
        <v>1142</v>
      </c>
      <c r="Z550" s="429">
        <v>0</v>
      </c>
      <c r="AA550" s="429">
        <v>0</v>
      </c>
      <c r="AB550" s="363" t="e">
        <v>#N/A</v>
      </c>
      <c r="AC550" s="370">
        <v>0</v>
      </c>
      <c r="AD550" s="370">
        <v>0</v>
      </c>
      <c r="AE550" s="370">
        <v>0</v>
      </c>
      <c r="AF550" s="370">
        <v>0</v>
      </c>
      <c r="AG550" s="370">
        <v>0</v>
      </c>
      <c r="AH550" s="367" t="e">
        <f t="shared" si="28"/>
        <v>#N/A</v>
      </c>
      <c r="AI550" s="362" t="e">
        <f>ERP[[#This Row],[2026 Working Total]]-ERP[[#This Row],[LE2 Final Submission]]</f>
        <v>#N/A</v>
      </c>
      <c r="AJ550" s="227">
        <v>0</v>
      </c>
      <c r="AK550" s="227">
        <f t="shared" si="27"/>
        <v>0</v>
      </c>
      <c r="AL550" s="374">
        <f>SUM(ERP[[#This Row],[AP01]:[AP06]])-SUM(ERP[[#This Row],[AP01 LE2]:[AP06 LE2]])</f>
        <v>0</v>
      </c>
      <c r="AM550" s="80"/>
      <c r="AN550" s="79" t="e">
        <f>ERP[[#This Row],[2026 Working Total to Budget/LE]]-ERP[[#This Row],[Giveback]]</f>
        <v>#N/A</v>
      </c>
      <c r="AO550" s="81"/>
      <c r="AP550" s="375"/>
      <c r="AQ550" s="375"/>
      <c r="AR550" s="375"/>
      <c r="AS550" s="375">
        <v>0</v>
      </c>
      <c r="AT550" s="375">
        <v>0</v>
      </c>
      <c r="AU550" s="375">
        <v>0</v>
      </c>
      <c r="AV550" s="375">
        <v>0</v>
      </c>
      <c r="AW550" s="375">
        <v>0</v>
      </c>
      <c r="AX550" s="375">
        <v>0</v>
      </c>
      <c r="AY550" s="375">
        <v>0</v>
      </c>
      <c r="AZ550" s="375">
        <v>0</v>
      </c>
      <c r="BA550" s="375">
        <v>0</v>
      </c>
      <c r="BB550" s="375">
        <v>0</v>
      </c>
      <c r="BC550" s="246">
        <v>21386.720000000001</v>
      </c>
      <c r="BD550" s="246">
        <v>0</v>
      </c>
      <c r="BE550" s="246">
        <v>0</v>
      </c>
      <c r="BF550" s="246">
        <v>0</v>
      </c>
      <c r="BG550" s="246">
        <v>0</v>
      </c>
      <c r="BH550" s="246">
        <v>0</v>
      </c>
      <c r="BI550" s="246">
        <v>0</v>
      </c>
      <c r="BJ550" s="246">
        <v>0</v>
      </c>
      <c r="BK550" s="246">
        <v>0</v>
      </c>
      <c r="BL550" s="246">
        <v>0</v>
      </c>
      <c r="BM550" s="246">
        <v>0</v>
      </c>
      <c r="BN550" s="246">
        <v>0</v>
      </c>
      <c r="BO550" s="227">
        <f>SUM(ERP[[#This Row],[2026 AP01]:[2026 AP12]])</f>
        <v>21386.720000000001</v>
      </c>
    </row>
    <row r="551" spans="1:67" ht="15" customHeight="1">
      <c r="A551" s="227" t="s">
        <v>2547</v>
      </c>
      <c r="B551" s="330" t="s">
        <v>2548</v>
      </c>
      <c r="C551" s="150" t="s">
        <v>1136</v>
      </c>
      <c r="D551" s="336" t="s">
        <v>1135</v>
      </c>
      <c r="E551" s="338" t="s">
        <v>1145</v>
      </c>
      <c r="F551" s="335" t="s">
        <v>1137</v>
      </c>
      <c r="G551" s="517" t="s">
        <v>639</v>
      </c>
      <c r="H551" s="399" t="s">
        <v>2549</v>
      </c>
      <c r="I551" s="343" t="s">
        <v>2545</v>
      </c>
      <c r="J551" s="334" t="s">
        <v>1186</v>
      </c>
      <c r="K551" s="235" t="s">
        <v>865</v>
      </c>
      <c r="L551" s="344"/>
      <c r="M551" s="346" t="s">
        <v>2546</v>
      </c>
      <c r="N551" s="349" t="s">
        <v>1710</v>
      </c>
      <c r="O551" s="352" t="s">
        <v>863</v>
      </c>
      <c r="P551" s="355" t="s">
        <v>1348</v>
      </c>
      <c r="Q551" s="437"/>
      <c r="R551" s="358">
        <v>-21386.720000000001</v>
      </c>
      <c r="S551" s="378">
        <v>0</v>
      </c>
      <c r="T551" s="425"/>
      <c r="U551" s="71"/>
      <c r="V551" s="409"/>
      <c r="W551" s="411"/>
      <c r="X551" s="411"/>
      <c r="Y551" s="428" t="s">
        <v>1142</v>
      </c>
      <c r="Z551" s="429">
        <v>0</v>
      </c>
      <c r="AA551" s="429">
        <v>0</v>
      </c>
      <c r="AB551" s="363" t="e">
        <v>#N/A</v>
      </c>
      <c r="AC551" s="370">
        <v>0</v>
      </c>
      <c r="AD551" s="370">
        <v>0</v>
      </c>
      <c r="AE551" s="370">
        <v>0</v>
      </c>
      <c r="AF551" s="370">
        <v>0</v>
      </c>
      <c r="AG551" s="370">
        <v>0</v>
      </c>
      <c r="AH551" s="367" t="e">
        <f t="shared" si="28"/>
        <v>#N/A</v>
      </c>
      <c r="AI551" s="362" t="e">
        <f>ERP[[#This Row],[2026 Working Total]]-ERP[[#This Row],[LE2 Final Submission]]</f>
        <v>#N/A</v>
      </c>
      <c r="AJ551" s="227">
        <v>0</v>
      </c>
      <c r="AK551" s="227">
        <f t="shared" si="27"/>
        <v>0</v>
      </c>
      <c r="AL551" s="374">
        <f>SUM(ERP[[#This Row],[AP01]:[AP06]])-SUM(ERP[[#This Row],[AP01 LE2]:[AP06 LE2]])</f>
        <v>0</v>
      </c>
      <c r="AM551" s="80"/>
      <c r="AN551" s="79" t="e">
        <f>ERP[[#This Row],[2026 Working Total to Budget/LE]]-ERP[[#This Row],[Giveback]]</f>
        <v>#N/A</v>
      </c>
      <c r="AO551" s="81"/>
      <c r="AP551" s="375"/>
      <c r="AQ551" s="375"/>
      <c r="AR551" s="375"/>
      <c r="AS551" s="375">
        <v>0</v>
      </c>
      <c r="AT551" s="375">
        <v>0</v>
      </c>
      <c r="AU551" s="375">
        <v>0</v>
      </c>
      <c r="AV551" s="375">
        <v>0</v>
      </c>
      <c r="AW551" s="375">
        <v>0</v>
      </c>
      <c r="AX551" s="375">
        <v>0</v>
      </c>
      <c r="AY551" s="375">
        <v>0</v>
      </c>
      <c r="AZ551" s="375">
        <v>0</v>
      </c>
      <c r="BA551" s="375">
        <v>0</v>
      </c>
      <c r="BB551" s="375">
        <v>0</v>
      </c>
      <c r="BC551" s="246">
        <v>-21386.720000000001</v>
      </c>
      <c r="BD551" s="246">
        <v>0</v>
      </c>
      <c r="BE551" s="246">
        <v>0</v>
      </c>
      <c r="BF551" s="246">
        <v>0</v>
      </c>
      <c r="BG551" s="246">
        <v>0</v>
      </c>
      <c r="BH551" s="246">
        <v>0</v>
      </c>
      <c r="BI551" s="246">
        <v>0</v>
      </c>
      <c r="BJ551" s="246">
        <v>0</v>
      </c>
      <c r="BK551" s="246">
        <v>0</v>
      </c>
      <c r="BL551" s="246">
        <v>0</v>
      </c>
      <c r="BM551" s="246">
        <v>0</v>
      </c>
      <c r="BN551" s="246">
        <v>0</v>
      </c>
      <c r="BO551" s="227">
        <f>SUM(ERP[[#This Row],[2026 AP01]:[2026 AP12]])</f>
        <v>-21386.720000000001</v>
      </c>
    </row>
    <row r="552" spans="1:67" ht="15" customHeight="1">
      <c r="A552" s="215" t="s">
        <v>2550</v>
      </c>
      <c r="B552" s="215" t="s">
        <v>866</v>
      </c>
      <c r="C552" s="150" t="s">
        <v>1136</v>
      </c>
      <c r="D552" s="334" t="s">
        <v>1135</v>
      </c>
      <c r="E552" s="334" t="s">
        <v>1135</v>
      </c>
      <c r="F552" s="334" t="s">
        <v>1137</v>
      </c>
      <c r="G552" s="516" t="s">
        <v>639</v>
      </c>
      <c r="H552" s="398" t="s">
        <v>2551</v>
      </c>
      <c r="I552" s="343" t="s">
        <v>1167</v>
      </c>
      <c r="J552" s="349" t="s">
        <v>1171</v>
      </c>
      <c r="K552" s="219" t="s">
        <v>867</v>
      </c>
      <c r="L552" s="349"/>
      <c r="M552" s="346" t="s">
        <v>2552</v>
      </c>
      <c r="N552" s="349"/>
      <c r="O552" s="334" t="s">
        <v>64</v>
      </c>
      <c r="P552" s="354"/>
      <c r="Q552" s="403"/>
      <c r="R552" s="406">
        <v>207900</v>
      </c>
      <c r="S552" s="406">
        <v>196875</v>
      </c>
      <c r="T552" s="430"/>
      <c r="U552" s="137"/>
      <c r="V552" s="408">
        <v>15750</v>
      </c>
      <c r="W552" s="410">
        <v>15750</v>
      </c>
      <c r="X552" s="410">
        <v>15750</v>
      </c>
      <c r="Y552" s="428">
        <v>15750</v>
      </c>
      <c r="Z552" s="429">
        <v>15750</v>
      </c>
      <c r="AA552" s="429">
        <v>15750</v>
      </c>
      <c r="AB552" s="363" t="e">
        <v>#N/A</v>
      </c>
      <c r="AC552" s="369">
        <v>17325</v>
      </c>
      <c r="AD552" s="369">
        <v>17325</v>
      </c>
      <c r="AE552" s="369">
        <v>17325</v>
      </c>
      <c r="AF552" s="369">
        <v>17325</v>
      </c>
      <c r="AG552" s="369">
        <v>17325</v>
      </c>
      <c r="AH552" s="367" t="e">
        <f t="shared" si="28"/>
        <v>#N/A</v>
      </c>
      <c r="AI552" s="362" t="e">
        <f>ERP[[#This Row],[2026 Working Total]]-ERP[[#This Row],[LE2 Final Submission]]</f>
        <v>#N/A</v>
      </c>
      <c r="AJ552" s="227">
        <v>15750</v>
      </c>
      <c r="AK552" s="227">
        <f t="shared" si="27"/>
        <v>0</v>
      </c>
      <c r="AL552" s="374">
        <f>SUM(ERP[[#This Row],[AP01]:[AP06]])-SUM(ERP[[#This Row],[AP01 LE2]:[AP06 LE2]])</f>
        <v>0</v>
      </c>
      <c r="AM552" s="80"/>
      <c r="AN552" s="79" t="e">
        <f>ERP[[#This Row],[2026 Working Total to Budget/LE]]-ERP[[#This Row],[Giveback]]</f>
        <v>#N/A</v>
      </c>
      <c r="AO552" s="81"/>
      <c r="AP552" s="375">
        <v>15750</v>
      </c>
      <c r="AQ552" s="375">
        <v>15750</v>
      </c>
      <c r="AR552" s="375">
        <v>15750</v>
      </c>
      <c r="AS552" s="375">
        <v>15750</v>
      </c>
      <c r="AT552" s="375">
        <v>15750</v>
      </c>
      <c r="AU552" s="375">
        <v>15750</v>
      </c>
      <c r="AV552" s="375">
        <v>15750</v>
      </c>
      <c r="AW552" s="375">
        <v>17325</v>
      </c>
      <c r="AX552" s="375">
        <v>17325</v>
      </c>
      <c r="AY552" s="375">
        <v>17325</v>
      </c>
      <c r="AZ552" s="375">
        <v>17325</v>
      </c>
      <c r="BA552" s="375">
        <v>17325</v>
      </c>
      <c r="BB552" s="375">
        <v>196875</v>
      </c>
      <c r="BC552" s="227">
        <v>15750</v>
      </c>
      <c r="BD552" s="227">
        <v>15750</v>
      </c>
      <c r="BE552" s="227">
        <v>15750</v>
      </c>
      <c r="BF552" s="227">
        <v>17325</v>
      </c>
      <c r="BG552" s="227">
        <v>17325</v>
      </c>
      <c r="BH552" s="227">
        <v>17325</v>
      </c>
      <c r="BI552" s="227">
        <v>17325</v>
      </c>
      <c r="BJ552" s="227">
        <v>17325</v>
      </c>
      <c r="BK552" s="227">
        <v>17325</v>
      </c>
      <c r="BL552" s="227">
        <v>17325</v>
      </c>
      <c r="BM552" s="227">
        <v>17325</v>
      </c>
      <c r="BN552" s="227">
        <v>17325</v>
      </c>
      <c r="BO552" s="227">
        <v>203175</v>
      </c>
    </row>
    <row r="553" spans="1:67" ht="15" customHeight="1">
      <c r="A553" s="215" t="s">
        <v>2553</v>
      </c>
      <c r="B553" s="215" t="s">
        <v>868</v>
      </c>
      <c r="C553" s="150" t="s">
        <v>1136</v>
      </c>
      <c r="D553" s="334" t="s">
        <v>1135</v>
      </c>
      <c r="E553" s="334" t="s">
        <v>1135</v>
      </c>
      <c r="F553" s="334" t="s">
        <v>1137</v>
      </c>
      <c r="G553" s="516" t="s">
        <v>639</v>
      </c>
      <c r="H553" s="398" t="s">
        <v>2554</v>
      </c>
      <c r="I553" s="343"/>
      <c r="J553" s="344"/>
      <c r="K553" s="219" t="s">
        <v>869</v>
      </c>
      <c r="L553" s="349"/>
      <c r="M553" s="343"/>
      <c r="N553" s="349"/>
      <c r="O553" s="334" t="s">
        <v>152</v>
      </c>
      <c r="P553" s="354"/>
      <c r="Q553" s="403"/>
      <c r="R553" s="406">
        <v>37661</v>
      </c>
      <c r="S553" s="406">
        <v>37661</v>
      </c>
      <c r="T553" s="425"/>
      <c r="U553" s="71"/>
      <c r="V553" s="408"/>
      <c r="W553" s="410"/>
      <c r="X553" s="410"/>
      <c r="Y553" s="428" t="s">
        <v>1142</v>
      </c>
      <c r="Z553" s="429">
        <v>0</v>
      </c>
      <c r="AA553" s="429">
        <v>0</v>
      </c>
      <c r="AB553" s="363" t="e">
        <v>#N/A</v>
      </c>
      <c r="AC553" s="369"/>
      <c r="AD553" s="369"/>
      <c r="AE553" s="369">
        <v>37661</v>
      </c>
      <c r="AF553" s="368">
        <v>0</v>
      </c>
      <c r="AG553" s="368">
        <v>0</v>
      </c>
      <c r="AH553" s="367" t="e">
        <f t="shared" si="28"/>
        <v>#N/A</v>
      </c>
      <c r="AI553" s="362" t="e">
        <f>ERP[[#This Row],[2026 Working Total]]-ERP[[#This Row],[LE2 Final Submission]]</f>
        <v>#N/A</v>
      </c>
      <c r="AJ553" s="227"/>
      <c r="AK553" s="227">
        <f t="shared" si="27"/>
        <v>0</v>
      </c>
      <c r="AL553" s="374">
        <f>SUM(ERP[[#This Row],[AP01]:[AP06]])-SUM(ERP[[#This Row],[AP01 LE2]:[AP06 LE2]])</f>
        <v>0</v>
      </c>
      <c r="AM553" s="80"/>
      <c r="AN553" s="79" t="e">
        <f>ERP[[#This Row],[2026 Working Total to Budget/LE]]-ERP[[#This Row],[Giveback]]</f>
        <v>#N/A</v>
      </c>
      <c r="AO553" s="81"/>
      <c r="AP553" s="375"/>
      <c r="AQ553" s="375"/>
      <c r="AR553" s="375"/>
      <c r="AS553" s="375"/>
      <c r="AT553" s="375"/>
      <c r="AU553" s="375"/>
      <c r="AV553" s="375"/>
      <c r="AW553" s="375"/>
      <c r="AX553" s="375"/>
      <c r="AY553" s="375">
        <v>37661</v>
      </c>
      <c r="AZ553" s="375">
        <v>0</v>
      </c>
      <c r="BA553" s="375">
        <v>0</v>
      </c>
      <c r="BB553" s="375">
        <v>37661</v>
      </c>
      <c r="BC553" s="227"/>
      <c r="BD553" s="227"/>
      <c r="BE553" s="227"/>
      <c r="BF553" s="227"/>
      <c r="BG553" s="227"/>
      <c r="BH553" s="227"/>
      <c r="BI553" s="227"/>
      <c r="BJ553" s="227"/>
      <c r="BK553" s="227"/>
      <c r="BL553" s="227">
        <v>37661</v>
      </c>
      <c r="BM553" s="227">
        <v>0</v>
      </c>
      <c r="BN553" s="227">
        <v>0</v>
      </c>
      <c r="BO553" s="227">
        <v>37661</v>
      </c>
    </row>
    <row r="554" spans="1:67" ht="15" customHeight="1">
      <c r="A554" s="215" t="s">
        <v>2555</v>
      </c>
      <c r="B554" s="215" t="s">
        <v>870</v>
      </c>
      <c r="C554" s="150" t="s">
        <v>1136</v>
      </c>
      <c r="D554" s="334" t="s">
        <v>1135</v>
      </c>
      <c r="E554" s="334" t="s">
        <v>1135</v>
      </c>
      <c r="F554" s="334" t="s">
        <v>1137</v>
      </c>
      <c r="G554" s="516" t="s">
        <v>639</v>
      </c>
      <c r="H554" s="398" t="s">
        <v>2556</v>
      </c>
      <c r="I554" s="343"/>
      <c r="J554" s="344"/>
      <c r="K554" s="219" t="s">
        <v>871</v>
      </c>
      <c r="L554" s="349"/>
      <c r="M554" s="343"/>
      <c r="N554" s="349"/>
      <c r="O554" s="334" t="s">
        <v>25</v>
      </c>
      <c r="P554" s="354"/>
      <c r="Q554" s="403"/>
      <c r="R554" s="406">
        <v>24500</v>
      </c>
      <c r="S554" s="406">
        <v>24500</v>
      </c>
      <c r="T554" s="425"/>
      <c r="U554" s="71"/>
      <c r="V554" s="408"/>
      <c r="W554" s="410"/>
      <c r="X554" s="410"/>
      <c r="Y554" s="428" t="s">
        <v>1142</v>
      </c>
      <c r="Z554" s="429">
        <v>0</v>
      </c>
      <c r="AA554" s="429">
        <v>0</v>
      </c>
      <c r="AB554" s="363" t="e">
        <v>#N/A</v>
      </c>
      <c r="AC554" s="369"/>
      <c r="AD554" s="369">
        <v>24500</v>
      </c>
      <c r="AE554" s="368">
        <v>0</v>
      </c>
      <c r="AF554" s="368">
        <v>0</v>
      </c>
      <c r="AG554" s="368">
        <v>0</v>
      </c>
      <c r="AH554" s="367" t="e">
        <f t="shared" si="28"/>
        <v>#N/A</v>
      </c>
      <c r="AI554" s="362" t="e">
        <f>ERP[[#This Row],[2026 Working Total]]-ERP[[#This Row],[LE2 Final Submission]]</f>
        <v>#N/A</v>
      </c>
      <c r="AJ554" s="227"/>
      <c r="AK554" s="227">
        <f t="shared" si="27"/>
        <v>0</v>
      </c>
      <c r="AL554" s="374">
        <f>SUM(ERP[[#This Row],[AP01]:[AP06]])-SUM(ERP[[#This Row],[AP01 LE2]:[AP06 LE2]])</f>
        <v>0</v>
      </c>
      <c r="AM554" s="80"/>
      <c r="AN554" s="79" t="e">
        <f>ERP[[#This Row],[2026 Working Total to Budget/LE]]-ERP[[#This Row],[Giveback]]</f>
        <v>#N/A</v>
      </c>
      <c r="AO554" s="81"/>
      <c r="AP554" s="375"/>
      <c r="AQ554" s="375"/>
      <c r="AR554" s="375"/>
      <c r="AS554" s="375"/>
      <c r="AT554" s="375"/>
      <c r="AU554" s="375"/>
      <c r="AV554" s="375"/>
      <c r="AW554" s="375"/>
      <c r="AX554" s="375">
        <v>24500</v>
      </c>
      <c r="AY554" s="375">
        <v>0</v>
      </c>
      <c r="AZ554" s="375">
        <v>0</v>
      </c>
      <c r="BA554" s="375">
        <v>0</v>
      </c>
      <c r="BB554" s="375">
        <v>24500</v>
      </c>
      <c r="BC554" s="227"/>
      <c r="BD554" s="227"/>
      <c r="BE554" s="227"/>
      <c r="BF554" s="227"/>
      <c r="BG554" s="227"/>
      <c r="BH554" s="227"/>
      <c r="BI554" s="227"/>
      <c r="BJ554" s="227"/>
      <c r="BK554" s="227">
        <v>24500</v>
      </c>
      <c r="BL554" s="227">
        <v>0</v>
      </c>
      <c r="BM554" s="227">
        <v>0</v>
      </c>
      <c r="BN554" s="227">
        <v>0</v>
      </c>
      <c r="BO554" s="227">
        <v>24500</v>
      </c>
    </row>
    <row r="555" spans="1:67" ht="15" customHeight="1">
      <c r="A555" s="215" t="s">
        <v>2557</v>
      </c>
      <c r="B555" s="215" t="s">
        <v>2558</v>
      </c>
      <c r="C555" s="150" t="s">
        <v>1136</v>
      </c>
      <c r="D555" s="334" t="s">
        <v>1135</v>
      </c>
      <c r="E555" s="334" t="s">
        <v>1145</v>
      </c>
      <c r="F555" s="334" t="s">
        <v>1137</v>
      </c>
      <c r="G555" s="516" t="s">
        <v>639</v>
      </c>
      <c r="H555" s="398" t="s">
        <v>2559</v>
      </c>
      <c r="I555" s="343" t="s">
        <v>1167</v>
      </c>
      <c r="J555" s="349" t="s">
        <v>1186</v>
      </c>
      <c r="K555" s="219" t="s">
        <v>873</v>
      </c>
      <c r="L555" s="349"/>
      <c r="M555" s="346" t="s">
        <v>2560</v>
      </c>
      <c r="N555" s="349" t="s">
        <v>1710</v>
      </c>
      <c r="O555" s="334" t="s">
        <v>874</v>
      </c>
      <c r="P555" s="354"/>
      <c r="Q555" s="404"/>
      <c r="R555" s="407">
        <v>14353.4</v>
      </c>
      <c r="S555" s="407">
        <v>0</v>
      </c>
      <c r="T555" s="425"/>
      <c r="U555" s="71"/>
      <c r="V555" s="408">
        <v>0.28000000000000003</v>
      </c>
      <c r="W555" s="410">
        <v>-0.28000000000000003</v>
      </c>
      <c r="X555" s="410"/>
      <c r="Y555" s="428">
        <v>-11391.72</v>
      </c>
      <c r="Z555" s="429">
        <v>0</v>
      </c>
      <c r="AA555" s="429">
        <v>0</v>
      </c>
      <c r="AB555" s="363" t="e">
        <v>#N/A</v>
      </c>
      <c r="AC555" s="369"/>
      <c r="AD555" s="369"/>
      <c r="AE555" s="369"/>
      <c r="AF555" s="369"/>
      <c r="AG555" s="369"/>
      <c r="AH555" s="367" t="e">
        <f t="shared" si="28"/>
        <v>#N/A</v>
      </c>
      <c r="AI555" s="362" t="e">
        <f>ERP[[#This Row],[2026 Working Total]]-ERP[[#This Row],[LE2 Final Submission]]</f>
        <v>#N/A</v>
      </c>
      <c r="AJ555" s="227"/>
      <c r="AK555" s="227">
        <f t="shared" si="27"/>
        <v>0</v>
      </c>
      <c r="AL555" s="374">
        <f>SUM(ERP[[#This Row],[AP01]:[AP06]])-SUM(ERP[[#This Row],[AP01 LE2]:[AP06 LE2]])</f>
        <v>-11391.72</v>
      </c>
      <c r="AM555" s="80"/>
      <c r="AN555" s="79" t="e">
        <f>ERP[[#This Row],[2026 Working Total to Budget/LE]]-ERP[[#This Row],[Giveback]]</f>
        <v>#N/A</v>
      </c>
      <c r="AO555" s="81"/>
      <c r="AP555" s="375">
        <v>0.28000000000000003</v>
      </c>
      <c r="AQ555" s="375">
        <v>-0.28000000000000003</v>
      </c>
      <c r="AR555" s="375"/>
      <c r="AS555" s="375"/>
      <c r="AT555" s="375"/>
      <c r="AU555" s="375"/>
      <c r="AV555" s="375"/>
      <c r="AW555" s="375"/>
      <c r="AX555" s="375"/>
      <c r="AY555" s="375"/>
      <c r="AZ555" s="375"/>
      <c r="BA555" s="375"/>
      <c r="BB555" s="375">
        <v>0</v>
      </c>
      <c r="BC555" s="227">
        <v>0.28000000000000003</v>
      </c>
      <c r="BD555" s="227">
        <v>-0.28000000000000003</v>
      </c>
      <c r="BE555" s="227"/>
      <c r="BF555" s="227"/>
      <c r="BG555" s="227"/>
      <c r="BH555" s="227"/>
      <c r="BI555" s="227"/>
      <c r="BJ555" s="227"/>
      <c r="BK555" s="227"/>
      <c r="BL555" s="227"/>
      <c r="BM555" s="227"/>
      <c r="BN555" s="227"/>
      <c r="BO555" s="227">
        <v>0</v>
      </c>
    </row>
    <row r="556" spans="1:67" ht="15" customHeight="1">
      <c r="A556" s="227" t="s">
        <v>2561</v>
      </c>
      <c r="B556" s="330" t="s">
        <v>2562</v>
      </c>
      <c r="C556" s="150" t="s">
        <v>1136</v>
      </c>
      <c r="D556" s="336" t="s">
        <v>1135</v>
      </c>
      <c r="E556" s="338" t="s">
        <v>1145</v>
      </c>
      <c r="F556" s="335" t="s">
        <v>1137</v>
      </c>
      <c r="G556" s="517" t="s">
        <v>639</v>
      </c>
      <c r="H556" s="399" t="s">
        <v>2563</v>
      </c>
      <c r="I556" s="343" t="s">
        <v>1167</v>
      </c>
      <c r="J556" s="334" t="s">
        <v>1186</v>
      </c>
      <c r="K556" s="235" t="s">
        <v>876</v>
      </c>
      <c r="L556" s="344"/>
      <c r="M556" s="346" t="s">
        <v>2560</v>
      </c>
      <c r="N556" s="349" t="s">
        <v>2310</v>
      </c>
      <c r="O556" s="352" t="s">
        <v>874</v>
      </c>
      <c r="P556" s="355" t="s">
        <v>1779</v>
      </c>
      <c r="Q556" s="437"/>
      <c r="R556" s="358">
        <v>-14353.4</v>
      </c>
      <c r="S556" s="378">
        <v>0</v>
      </c>
      <c r="T556" s="425"/>
      <c r="U556" s="71"/>
      <c r="V556" s="409"/>
      <c r="W556" s="411"/>
      <c r="X556" s="411"/>
      <c r="Y556" s="428" t="s">
        <v>1142</v>
      </c>
      <c r="Z556" s="429">
        <v>0</v>
      </c>
      <c r="AA556" s="429">
        <v>0</v>
      </c>
      <c r="AB556" s="363" t="e">
        <v>#N/A</v>
      </c>
      <c r="AC556" s="370">
        <v>0</v>
      </c>
      <c r="AD556" s="370">
        <v>0</v>
      </c>
      <c r="AE556" s="370">
        <v>0</v>
      </c>
      <c r="AF556" s="370">
        <v>0</v>
      </c>
      <c r="AG556" s="370">
        <v>0</v>
      </c>
      <c r="AH556" s="367" t="e">
        <f t="shared" si="28"/>
        <v>#N/A</v>
      </c>
      <c r="AI556" s="362" t="e">
        <f>ERP[[#This Row],[2026 Working Total]]-ERP[[#This Row],[LE2 Final Submission]]</f>
        <v>#N/A</v>
      </c>
      <c r="AJ556" s="227">
        <v>0</v>
      </c>
      <c r="AK556" s="227">
        <f t="shared" si="27"/>
        <v>0</v>
      </c>
      <c r="AL556" s="374">
        <f>SUM(ERP[[#This Row],[AP01]:[AP06]])-SUM(ERP[[#This Row],[AP01 LE2]:[AP06 LE2]])</f>
        <v>0</v>
      </c>
      <c r="AM556" s="80"/>
      <c r="AN556" s="79" t="e">
        <f>ERP[[#This Row],[2026 Working Total to Budget/LE]]-ERP[[#This Row],[Giveback]]</f>
        <v>#N/A</v>
      </c>
      <c r="AO556" s="81"/>
      <c r="AP556" s="375"/>
      <c r="AQ556" s="375"/>
      <c r="AR556" s="375"/>
      <c r="AS556" s="375">
        <v>0</v>
      </c>
      <c r="AT556" s="375">
        <v>0</v>
      </c>
      <c r="AU556" s="375">
        <v>0</v>
      </c>
      <c r="AV556" s="375">
        <v>0</v>
      </c>
      <c r="AW556" s="375">
        <v>0</v>
      </c>
      <c r="AX556" s="375">
        <v>0</v>
      </c>
      <c r="AY556" s="375">
        <v>0</v>
      </c>
      <c r="AZ556" s="375">
        <v>0</v>
      </c>
      <c r="BA556" s="375">
        <v>0</v>
      </c>
      <c r="BB556" s="375">
        <v>0</v>
      </c>
      <c r="BC556" s="246">
        <v>-14353.4</v>
      </c>
      <c r="BD556" s="246">
        <v>0</v>
      </c>
      <c r="BE556" s="246">
        <v>0</v>
      </c>
      <c r="BF556" s="246">
        <v>0</v>
      </c>
      <c r="BG556" s="246">
        <v>0</v>
      </c>
      <c r="BH556" s="246">
        <v>0</v>
      </c>
      <c r="BI556" s="246">
        <v>0</v>
      </c>
      <c r="BJ556" s="246">
        <v>0</v>
      </c>
      <c r="BK556" s="246">
        <v>0</v>
      </c>
      <c r="BL556" s="246">
        <v>0</v>
      </c>
      <c r="BM556" s="246">
        <v>0</v>
      </c>
      <c r="BN556" s="246">
        <v>0</v>
      </c>
      <c r="BO556" s="227">
        <f>SUM(ERP[[#This Row],[2026 AP01]:[2026 AP12]])</f>
        <v>-14353.4</v>
      </c>
    </row>
    <row r="557" spans="1:67" ht="15" customHeight="1">
      <c r="A557" s="215" t="s">
        <v>2564</v>
      </c>
      <c r="B557" s="215" t="s">
        <v>2565</v>
      </c>
      <c r="C557" s="150" t="s">
        <v>1136</v>
      </c>
      <c r="D557" s="334" t="s">
        <v>1135</v>
      </c>
      <c r="E557" s="334" t="s">
        <v>1145</v>
      </c>
      <c r="F557" s="334" t="s">
        <v>1137</v>
      </c>
      <c r="G557" s="516" t="s">
        <v>639</v>
      </c>
      <c r="H557" s="398" t="s">
        <v>2566</v>
      </c>
      <c r="I557" s="343"/>
      <c r="J557" s="344"/>
      <c r="K557" s="219" t="s">
        <v>878</v>
      </c>
      <c r="L557" s="349"/>
      <c r="M557" s="343"/>
      <c r="N557" s="349"/>
      <c r="O557" s="334" t="s">
        <v>849</v>
      </c>
      <c r="P557" s="354"/>
      <c r="Q557" s="403"/>
      <c r="R557" s="406">
        <v>4000</v>
      </c>
      <c r="S557" s="406">
        <v>4000</v>
      </c>
      <c r="T557" s="425"/>
      <c r="U557" s="71"/>
      <c r="V557" s="408">
        <v>0.1</v>
      </c>
      <c r="W557" s="410">
        <v>-0.1</v>
      </c>
      <c r="X557" s="410"/>
      <c r="Y557" s="428">
        <v>0</v>
      </c>
      <c r="Z557" s="429">
        <v>0</v>
      </c>
      <c r="AA557" s="429">
        <v>0</v>
      </c>
      <c r="AB557" s="363" t="e">
        <v>#N/A</v>
      </c>
      <c r="AC557" s="368">
        <v>0</v>
      </c>
      <c r="AD557" s="368">
        <v>0</v>
      </c>
      <c r="AE557" s="368">
        <v>0</v>
      </c>
      <c r="AF557" s="368">
        <v>0</v>
      </c>
      <c r="AG557" s="368">
        <v>0</v>
      </c>
      <c r="AH557" s="367" t="e">
        <f t="shared" si="28"/>
        <v>#N/A</v>
      </c>
      <c r="AI557" s="362" t="e">
        <f>ERP[[#This Row],[2026 Working Total]]-ERP[[#This Row],[LE2 Final Submission]]</f>
        <v>#N/A</v>
      </c>
      <c r="AJ557" s="227">
        <v>4000</v>
      </c>
      <c r="AK557" s="227">
        <f t="shared" si="27"/>
        <v>-4000</v>
      </c>
      <c r="AL557" s="374">
        <f>SUM(ERP[[#This Row],[AP01]:[AP06]])-SUM(ERP[[#This Row],[AP01 LE2]:[AP06 LE2]])</f>
        <v>-2000</v>
      </c>
      <c r="AM557" s="80"/>
      <c r="AN557" s="79" t="e">
        <f>ERP[[#This Row],[2026 Working Total to Budget/LE]]-ERP[[#This Row],[Giveback]]</f>
        <v>#N/A</v>
      </c>
      <c r="AO557" s="81"/>
      <c r="AP557" s="375">
        <v>0.1</v>
      </c>
      <c r="AQ557" s="375">
        <v>-0.1</v>
      </c>
      <c r="AR557" s="375"/>
      <c r="AS557" s="375"/>
      <c r="AT557" s="375"/>
      <c r="AU557" s="375">
        <v>2000</v>
      </c>
      <c r="AV557" s="375">
        <v>2000</v>
      </c>
      <c r="AW557" s="375">
        <v>0</v>
      </c>
      <c r="AX557" s="375">
        <v>0</v>
      </c>
      <c r="AY557" s="375">
        <v>0</v>
      </c>
      <c r="AZ557" s="375">
        <v>0</v>
      </c>
      <c r="BA557" s="375">
        <v>0</v>
      </c>
      <c r="BB557" s="375">
        <v>4000</v>
      </c>
      <c r="BC557" s="227">
        <v>0.1</v>
      </c>
      <c r="BD557" s="227">
        <v>-0.1</v>
      </c>
      <c r="BE557" s="227"/>
      <c r="BF557" s="227"/>
      <c r="BG557" s="227"/>
      <c r="BH557" s="227">
        <v>2000</v>
      </c>
      <c r="BI557" s="227">
        <v>2000</v>
      </c>
      <c r="BJ557" s="227">
        <v>0</v>
      </c>
      <c r="BK557" s="227">
        <v>0</v>
      </c>
      <c r="BL557" s="227">
        <v>0</v>
      </c>
      <c r="BM557" s="227">
        <v>0</v>
      </c>
      <c r="BN557" s="227">
        <v>0</v>
      </c>
      <c r="BO557" s="227">
        <v>4000</v>
      </c>
    </row>
    <row r="558" spans="1:67" ht="15" customHeight="1">
      <c r="A558" s="215" t="s">
        <v>2567</v>
      </c>
      <c r="B558" s="215" t="s">
        <v>879</v>
      </c>
      <c r="C558" s="150" t="s">
        <v>1136</v>
      </c>
      <c r="D558" s="334" t="s">
        <v>1135</v>
      </c>
      <c r="E558" s="334" t="s">
        <v>1135</v>
      </c>
      <c r="F558" s="334" t="s">
        <v>1137</v>
      </c>
      <c r="G558" s="516" t="s">
        <v>639</v>
      </c>
      <c r="H558" s="398" t="s">
        <v>2568</v>
      </c>
      <c r="I558" s="343"/>
      <c r="J558" s="344"/>
      <c r="K558" s="219" t="s">
        <v>880</v>
      </c>
      <c r="L558" s="349"/>
      <c r="M558" s="346" t="s">
        <v>2569</v>
      </c>
      <c r="N558" s="349"/>
      <c r="O558" s="334" t="s">
        <v>64</v>
      </c>
      <c r="P558" s="354"/>
      <c r="Q558" s="403"/>
      <c r="R558" s="406">
        <v>144819</v>
      </c>
      <c r="S558" s="406">
        <v>144819</v>
      </c>
      <c r="T558" s="430"/>
      <c r="U558" s="137"/>
      <c r="V558" s="408"/>
      <c r="W558" s="410"/>
      <c r="X558" s="410"/>
      <c r="Y558" s="428" t="s">
        <v>1142</v>
      </c>
      <c r="Z558" s="429">
        <v>0</v>
      </c>
      <c r="AA558" s="429">
        <v>159302.39999999999</v>
      </c>
      <c r="AB558" s="363" t="e">
        <v>#N/A</v>
      </c>
      <c r="AC558" s="368">
        <v>0</v>
      </c>
      <c r="AD558" s="368">
        <v>0</v>
      </c>
      <c r="AE558" s="368">
        <v>0</v>
      </c>
      <c r="AF558" s="368">
        <v>0</v>
      </c>
      <c r="AG558" s="368">
        <v>0</v>
      </c>
      <c r="AH558" s="367" t="e">
        <f t="shared" si="28"/>
        <v>#N/A</v>
      </c>
      <c r="AI558" s="362" t="e">
        <f>ERP[[#This Row],[2026 Working Total]]-ERP[[#This Row],[LE2 Final Submission]]</f>
        <v>#N/A</v>
      </c>
      <c r="AJ558" s="227">
        <v>0</v>
      </c>
      <c r="AK558" s="227">
        <f t="shared" si="27"/>
        <v>159302.39999999999</v>
      </c>
      <c r="AL558" s="374">
        <f>SUM(ERP[[#This Row],[AP01]:[AP06]])-SUM(ERP[[#This Row],[AP01 LE2]:[AP06 LE2]])</f>
        <v>14483.399999999994</v>
      </c>
      <c r="AM558" s="80"/>
      <c r="AN558" s="79" t="e">
        <f>ERP[[#This Row],[2026 Working Total to Budget/LE]]-ERP[[#This Row],[Giveback]]</f>
        <v>#N/A</v>
      </c>
      <c r="AO558" s="81"/>
      <c r="AP558" s="375"/>
      <c r="AQ558" s="375"/>
      <c r="AR558" s="375"/>
      <c r="AS558" s="375"/>
      <c r="AT558" s="375">
        <v>144819</v>
      </c>
      <c r="AU558" s="375">
        <v>0</v>
      </c>
      <c r="AV558" s="375">
        <v>0</v>
      </c>
      <c r="AW558" s="375">
        <v>0</v>
      </c>
      <c r="AX558" s="375">
        <v>0</v>
      </c>
      <c r="AY558" s="375">
        <v>0</v>
      </c>
      <c r="AZ558" s="375">
        <v>0</v>
      </c>
      <c r="BA558" s="375">
        <v>0</v>
      </c>
      <c r="BB558" s="375">
        <v>144819</v>
      </c>
      <c r="BC558" s="227"/>
      <c r="BD558" s="227"/>
      <c r="BE558" s="227"/>
      <c r="BF558" s="227">
        <v>144819</v>
      </c>
      <c r="BG558" s="227">
        <v>0</v>
      </c>
      <c r="BH558" s="227">
        <v>0</v>
      </c>
      <c r="BI558" s="227">
        <v>0</v>
      </c>
      <c r="BJ558" s="227">
        <v>0</v>
      </c>
      <c r="BK558" s="227">
        <v>0</v>
      </c>
      <c r="BL558" s="227">
        <v>0</v>
      </c>
      <c r="BM558" s="227">
        <v>0</v>
      </c>
      <c r="BN558" s="227">
        <v>0</v>
      </c>
      <c r="BO558" s="227">
        <v>144819</v>
      </c>
    </row>
    <row r="559" spans="1:67" ht="15" customHeight="1">
      <c r="A559" s="227" t="s">
        <v>2570</v>
      </c>
      <c r="B559" s="330" t="s">
        <v>881</v>
      </c>
      <c r="C559" s="150" t="s">
        <v>1136</v>
      </c>
      <c r="D559" s="336" t="s">
        <v>1135</v>
      </c>
      <c r="E559" s="338" t="s">
        <v>1135</v>
      </c>
      <c r="F559" s="335" t="s">
        <v>1137</v>
      </c>
      <c r="G559" s="517" t="s">
        <v>639</v>
      </c>
      <c r="H559" s="399" t="s">
        <v>2571</v>
      </c>
      <c r="I559" s="343" t="s">
        <v>2572</v>
      </c>
      <c r="J559" s="334" t="s">
        <v>1171</v>
      </c>
      <c r="K559" s="235" t="s">
        <v>882</v>
      </c>
      <c r="L559" s="344"/>
      <c r="M559" s="346" t="s">
        <v>2329</v>
      </c>
      <c r="N559" s="349" t="s">
        <v>1710</v>
      </c>
      <c r="O559" s="352" t="s">
        <v>883</v>
      </c>
      <c r="P559" s="355" t="s">
        <v>1779</v>
      </c>
      <c r="Q559" s="437"/>
      <c r="R559" s="358">
        <v>64566</v>
      </c>
      <c r="S559" s="378">
        <v>0</v>
      </c>
      <c r="T559" s="425"/>
      <c r="U559" s="71"/>
      <c r="V559" s="409"/>
      <c r="W559" s="411"/>
      <c r="X559" s="411"/>
      <c r="Y559" s="428">
        <v>0</v>
      </c>
      <c r="Z559" s="429">
        <v>0</v>
      </c>
      <c r="AA559" s="429">
        <v>0</v>
      </c>
      <c r="AB559" s="363" t="e">
        <v>#N/A</v>
      </c>
      <c r="AC559" s="370">
        <v>0</v>
      </c>
      <c r="AD559" s="370">
        <v>0</v>
      </c>
      <c r="AE559" s="370">
        <v>0</v>
      </c>
      <c r="AF559" s="370">
        <v>0</v>
      </c>
      <c r="AG559" s="370">
        <v>0</v>
      </c>
      <c r="AH559" s="367" t="e">
        <f t="shared" si="28"/>
        <v>#N/A</v>
      </c>
      <c r="AI559" s="362" t="e">
        <f>ERP[[#This Row],[2026 Working Total]]-ERP[[#This Row],[LE2 Final Submission]]</f>
        <v>#N/A</v>
      </c>
      <c r="AJ559" s="227">
        <v>0</v>
      </c>
      <c r="AK559" s="227">
        <f t="shared" si="27"/>
        <v>0</v>
      </c>
      <c r="AL559" s="374">
        <f>SUM(ERP[[#This Row],[AP01]:[AP06]])-SUM(ERP[[#This Row],[AP01 LE2]:[AP06 LE2]])</f>
        <v>0</v>
      </c>
      <c r="AM559" s="80"/>
      <c r="AN559" s="79" t="e">
        <f>ERP[[#This Row],[2026 Working Total to Budget/LE]]-ERP[[#This Row],[Giveback]]</f>
        <v>#N/A</v>
      </c>
      <c r="AO559" s="81"/>
      <c r="AP559" s="375"/>
      <c r="AQ559" s="375"/>
      <c r="AR559" s="375"/>
      <c r="AS559" s="375">
        <v>0</v>
      </c>
      <c r="AT559" s="375">
        <v>0</v>
      </c>
      <c r="AU559" s="375">
        <v>0</v>
      </c>
      <c r="AV559" s="375">
        <v>0</v>
      </c>
      <c r="AW559" s="375">
        <v>0</v>
      </c>
      <c r="AX559" s="375">
        <v>0</v>
      </c>
      <c r="AY559" s="375">
        <v>0</v>
      </c>
      <c r="AZ559" s="375">
        <v>0</v>
      </c>
      <c r="BA559" s="375">
        <v>0</v>
      </c>
      <c r="BB559" s="375">
        <v>0</v>
      </c>
      <c r="BC559" s="246">
        <v>64566</v>
      </c>
      <c r="BD559" s="246">
        <v>0</v>
      </c>
      <c r="BE559" s="246">
        <v>0</v>
      </c>
      <c r="BF559" s="246">
        <v>0</v>
      </c>
      <c r="BG559" s="246">
        <v>0</v>
      </c>
      <c r="BH559" s="246">
        <v>0</v>
      </c>
      <c r="BI559" s="246">
        <v>0</v>
      </c>
      <c r="BJ559" s="246">
        <v>0</v>
      </c>
      <c r="BK559" s="246">
        <v>0</v>
      </c>
      <c r="BL559" s="246">
        <v>0</v>
      </c>
      <c r="BM559" s="246">
        <v>0</v>
      </c>
      <c r="BN559" s="246">
        <v>0</v>
      </c>
      <c r="BO559" s="227">
        <f>SUM(ERP[[#This Row],[2026 AP01]:[2026 AP12]])</f>
        <v>64566</v>
      </c>
    </row>
    <row r="560" spans="1:67" ht="15" customHeight="1">
      <c r="A560" s="227" t="s">
        <v>2573</v>
      </c>
      <c r="B560" s="330" t="s">
        <v>884</v>
      </c>
      <c r="C560" s="150" t="s">
        <v>1136</v>
      </c>
      <c r="D560" s="336" t="s">
        <v>1135</v>
      </c>
      <c r="E560" s="337" t="s">
        <v>1135</v>
      </c>
      <c r="F560" s="335" t="s">
        <v>1137</v>
      </c>
      <c r="G560" s="517" t="s">
        <v>639</v>
      </c>
      <c r="H560" s="397" t="s">
        <v>2574</v>
      </c>
      <c r="I560" s="343" t="s">
        <v>2572</v>
      </c>
      <c r="J560" s="334" t="s">
        <v>1171</v>
      </c>
      <c r="K560" s="253" t="s">
        <v>885</v>
      </c>
      <c r="L560" s="344"/>
      <c r="M560" s="346" t="s">
        <v>2329</v>
      </c>
      <c r="N560" s="349" t="s">
        <v>1710</v>
      </c>
      <c r="O560" s="350" t="s">
        <v>883</v>
      </c>
      <c r="P560" s="355" t="s">
        <v>2499</v>
      </c>
      <c r="Q560" s="437"/>
      <c r="R560" s="358">
        <v>-64566</v>
      </c>
      <c r="S560" s="378">
        <v>0</v>
      </c>
      <c r="T560" s="425"/>
      <c r="U560" s="71"/>
      <c r="V560" s="409"/>
      <c r="W560" s="411"/>
      <c r="X560" s="411"/>
      <c r="Y560" s="428" t="s">
        <v>1142</v>
      </c>
      <c r="Z560" s="429">
        <v>0</v>
      </c>
      <c r="AA560" s="429">
        <v>0</v>
      </c>
      <c r="AB560" s="363" t="e">
        <v>#N/A</v>
      </c>
      <c r="AC560" s="370">
        <v>0</v>
      </c>
      <c r="AD560" s="370">
        <v>0</v>
      </c>
      <c r="AE560" s="370">
        <v>0</v>
      </c>
      <c r="AF560" s="370">
        <v>0</v>
      </c>
      <c r="AG560" s="370">
        <v>0</v>
      </c>
      <c r="AH560" s="367" t="e">
        <f t="shared" si="28"/>
        <v>#N/A</v>
      </c>
      <c r="AI560" s="362" t="e">
        <f>ERP[[#This Row],[2026 Working Total]]-ERP[[#This Row],[LE2 Final Submission]]</f>
        <v>#N/A</v>
      </c>
      <c r="AJ560" s="227">
        <v>0</v>
      </c>
      <c r="AK560" s="227">
        <f t="shared" si="27"/>
        <v>0</v>
      </c>
      <c r="AL560" s="374">
        <f>SUM(ERP[[#This Row],[AP01]:[AP06]])-SUM(ERP[[#This Row],[AP01 LE2]:[AP06 LE2]])</f>
        <v>0</v>
      </c>
      <c r="AM560" s="80"/>
      <c r="AN560" s="79" t="e">
        <f>ERP[[#This Row],[2026 Working Total to Budget/LE]]-ERP[[#This Row],[Giveback]]</f>
        <v>#N/A</v>
      </c>
      <c r="AO560" s="81"/>
      <c r="AP560" s="375"/>
      <c r="AQ560" s="375"/>
      <c r="AR560" s="375"/>
      <c r="AS560" s="375">
        <v>0</v>
      </c>
      <c r="AT560" s="375">
        <v>0</v>
      </c>
      <c r="AU560" s="375">
        <v>0</v>
      </c>
      <c r="AV560" s="375">
        <v>0</v>
      </c>
      <c r="AW560" s="375">
        <v>0</v>
      </c>
      <c r="AX560" s="375">
        <v>0</v>
      </c>
      <c r="AY560" s="375">
        <v>0</v>
      </c>
      <c r="AZ560" s="375">
        <v>0</v>
      </c>
      <c r="BA560" s="375">
        <v>0</v>
      </c>
      <c r="BB560" s="375">
        <v>0</v>
      </c>
      <c r="BC560" s="246">
        <v>-64566</v>
      </c>
      <c r="BD560" s="246">
        <v>0</v>
      </c>
      <c r="BE560" s="246">
        <v>0</v>
      </c>
      <c r="BF560" s="246">
        <v>0</v>
      </c>
      <c r="BG560" s="246">
        <v>0</v>
      </c>
      <c r="BH560" s="246">
        <v>0</v>
      </c>
      <c r="BI560" s="246">
        <v>0</v>
      </c>
      <c r="BJ560" s="246">
        <v>0</v>
      </c>
      <c r="BK560" s="246">
        <v>0</v>
      </c>
      <c r="BL560" s="246">
        <v>0</v>
      </c>
      <c r="BM560" s="246">
        <v>0</v>
      </c>
      <c r="BN560" s="246">
        <v>0</v>
      </c>
      <c r="BO560" s="227">
        <f>SUM(ERP[[#This Row],[2026 AP01]:[2026 AP12]])</f>
        <v>-64566</v>
      </c>
    </row>
    <row r="561" spans="1:67" ht="15" customHeight="1">
      <c r="A561" s="215" t="s">
        <v>2575</v>
      </c>
      <c r="B561" s="215" t="s">
        <v>886</v>
      </c>
      <c r="C561" s="150" t="s">
        <v>1136</v>
      </c>
      <c r="D561" s="334" t="s">
        <v>1135</v>
      </c>
      <c r="E561" s="334" t="s">
        <v>1135</v>
      </c>
      <c r="F561" s="334" t="s">
        <v>1137</v>
      </c>
      <c r="G561" s="516" t="s">
        <v>639</v>
      </c>
      <c r="H561" s="398" t="s">
        <v>2576</v>
      </c>
      <c r="I561" s="343" t="s">
        <v>2577</v>
      </c>
      <c r="J561" s="349" t="s">
        <v>1171</v>
      </c>
      <c r="K561" s="219" t="s">
        <v>887</v>
      </c>
      <c r="L561" s="349"/>
      <c r="M561" s="346" t="s">
        <v>2578</v>
      </c>
      <c r="N561" s="349"/>
      <c r="O561" s="334" t="s">
        <v>64</v>
      </c>
      <c r="P561" s="354"/>
      <c r="Q561" s="403"/>
      <c r="R561" s="406">
        <v>0</v>
      </c>
      <c r="S561" s="406">
        <v>5298.95</v>
      </c>
      <c r="T561" s="430"/>
      <c r="U561" s="137"/>
      <c r="V561" s="408"/>
      <c r="W561" s="410"/>
      <c r="X561" s="410">
        <v>5298.95</v>
      </c>
      <c r="Y561" s="428">
        <v>0</v>
      </c>
      <c r="Z561" s="429">
        <v>0</v>
      </c>
      <c r="AA561" s="429">
        <v>0</v>
      </c>
      <c r="AB561" s="363" t="e">
        <v>#N/A</v>
      </c>
      <c r="AC561" s="368">
        <v>0</v>
      </c>
      <c r="AD561" s="368">
        <v>0</v>
      </c>
      <c r="AE561" s="368">
        <v>0</v>
      </c>
      <c r="AF561" s="368">
        <v>0</v>
      </c>
      <c r="AG561" s="368">
        <v>0</v>
      </c>
      <c r="AH561" s="367" t="e">
        <f t="shared" si="28"/>
        <v>#N/A</v>
      </c>
      <c r="AI561" s="362" t="e">
        <f>ERP[[#This Row],[2026 Working Total]]-ERP[[#This Row],[LE2 Final Submission]]</f>
        <v>#N/A</v>
      </c>
      <c r="AJ561" s="227">
        <v>0</v>
      </c>
      <c r="AK561" s="227">
        <f t="shared" si="27"/>
        <v>0</v>
      </c>
      <c r="AL561" s="374">
        <f>SUM(ERP[[#This Row],[AP01]:[AP06]])-SUM(ERP[[#This Row],[AP01 LE2]:[AP06 LE2]])</f>
        <v>0</v>
      </c>
      <c r="AM561" s="80"/>
      <c r="AN561" s="79" t="e">
        <f>ERP[[#This Row],[2026 Working Total to Budget/LE]]-ERP[[#This Row],[Giveback]]</f>
        <v>#N/A</v>
      </c>
      <c r="AO561" s="81"/>
      <c r="AP561" s="375"/>
      <c r="AQ561" s="375"/>
      <c r="AR561" s="375">
        <v>5298.95</v>
      </c>
      <c r="AS561" s="375">
        <v>0</v>
      </c>
      <c r="AT561" s="375">
        <v>0</v>
      </c>
      <c r="AU561" s="375">
        <v>0</v>
      </c>
      <c r="AV561" s="375">
        <v>0</v>
      </c>
      <c r="AW561" s="375">
        <v>0</v>
      </c>
      <c r="AX561" s="375">
        <v>0</v>
      </c>
      <c r="AY561" s="375">
        <v>0</v>
      </c>
      <c r="AZ561" s="375">
        <v>0</v>
      </c>
      <c r="BA561" s="375">
        <v>0</v>
      </c>
      <c r="BB561" s="375">
        <v>5298.95</v>
      </c>
      <c r="BC561" s="227"/>
      <c r="BD561" s="227"/>
      <c r="BE561" s="227">
        <v>5298.95</v>
      </c>
      <c r="BF561" s="227">
        <v>0</v>
      </c>
      <c r="BG561" s="227">
        <v>0</v>
      </c>
      <c r="BH561" s="227">
        <v>0</v>
      </c>
      <c r="BI561" s="227">
        <v>0</v>
      </c>
      <c r="BJ561" s="227">
        <v>0</v>
      </c>
      <c r="BK561" s="227">
        <v>0</v>
      </c>
      <c r="BL561" s="227">
        <v>0</v>
      </c>
      <c r="BM561" s="227">
        <v>0</v>
      </c>
      <c r="BN561" s="227">
        <v>0</v>
      </c>
      <c r="BO561" s="227">
        <v>5298.95</v>
      </c>
    </row>
    <row r="562" spans="1:67" ht="15" customHeight="1">
      <c r="A562" s="215" t="s">
        <v>2030</v>
      </c>
      <c r="B562" s="215" t="s">
        <v>536</v>
      </c>
      <c r="C562" s="150" t="s">
        <v>1136</v>
      </c>
      <c r="D562" s="334" t="s">
        <v>1345</v>
      </c>
      <c r="E562" s="334" t="s">
        <v>1345</v>
      </c>
      <c r="F562" s="334" t="s">
        <v>1346</v>
      </c>
      <c r="G562" s="516" t="s">
        <v>389</v>
      </c>
      <c r="H562" s="398" t="s">
        <v>2031</v>
      </c>
      <c r="I562" s="343"/>
      <c r="J562" s="344"/>
      <c r="K562" s="219" t="s">
        <v>537</v>
      </c>
      <c r="L562" s="349"/>
      <c r="M562" s="343"/>
      <c r="N562" s="349"/>
      <c r="O562" s="334" t="s">
        <v>25</v>
      </c>
      <c r="P562" s="354"/>
      <c r="Q562" s="403"/>
      <c r="R562" s="406">
        <v>9476.7599999999984</v>
      </c>
      <c r="S562" s="406">
        <v>8989.8399999999983</v>
      </c>
      <c r="T562" s="430"/>
      <c r="U562" s="137"/>
      <c r="V562" s="408">
        <v>730.3</v>
      </c>
      <c r="W562" s="410">
        <v>738.84</v>
      </c>
      <c r="X562" s="410">
        <v>752.07</v>
      </c>
      <c r="Y562" s="428">
        <v>738.27</v>
      </c>
      <c r="Z562" s="429">
        <v>704.13</v>
      </c>
      <c r="AA562" s="429">
        <v>719.83999999999992</v>
      </c>
      <c r="AB562" s="363" t="e">
        <v>#N/A</v>
      </c>
      <c r="AC562" s="369">
        <v>752.07</v>
      </c>
      <c r="AD562" s="369">
        <v>752.07</v>
      </c>
      <c r="AE562" s="369">
        <v>752.07</v>
      </c>
      <c r="AF562" s="369">
        <v>752.07</v>
      </c>
      <c r="AG562" s="369">
        <v>752.07</v>
      </c>
      <c r="AH562" s="367" t="e">
        <f t="shared" si="28"/>
        <v>#N/A</v>
      </c>
      <c r="AI562" s="362" t="e">
        <f>ERP[[#This Row],[2026 Working Total]]-ERP[[#This Row],[LE2 Final Submission]]</f>
        <v>#N/A</v>
      </c>
      <c r="AJ562" s="227">
        <v>752.07</v>
      </c>
      <c r="AK562" s="227">
        <f t="shared" si="27"/>
        <v>-32.230000000000132</v>
      </c>
      <c r="AL562" s="374">
        <f>SUM(ERP[[#This Row],[AP01]:[AP06]])-SUM(ERP[[#This Row],[AP01 LE2]:[AP06 LE2]])</f>
        <v>-93.970000000000255</v>
      </c>
      <c r="AM562" s="80"/>
      <c r="AN562" s="79" t="e">
        <f>ERP[[#This Row],[2026 Working Total to Budget/LE]]-ERP[[#This Row],[Giveback]]</f>
        <v>#N/A</v>
      </c>
      <c r="AO562" s="81"/>
      <c r="AP562" s="375">
        <v>730.3</v>
      </c>
      <c r="AQ562" s="375">
        <v>738.84</v>
      </c>
      <c r="AR562" s="375">
        <v>752.07</v>
      </c>
      <c r="AS562" s="375">
        <v>752.07</v>
      </c>
      <c r="AT562" s="375">
        <v>752.07</v>
      </c>
      <c r="AU562" s="375">
        <v>752.07</v>
      </c>
      <c r="AV562" s="375">
        <v>752.07</v>
      </c>
      <c r="AW562" s="375">
        <v>752.07</v>
      </c>
      <c r="AX562" s="375">
        <v>752.07</v>
      </c>
      <c r="AY562" s="375">
        <v>752.07</v>
      </c>
      <c r="AZ562" s="375">
        <v>752.07</v>
      </c>
      <c r="BA562" s="375">
        <v>752.07</v>
      </c>
      <c r="BB562" s="375">
        <v>8989.8399999999983</v>
      </c>
      <c r="BC562" s="227">
        <v>730.3</v>
      </c>
      <c r="BD562" s="227">
        <v>738.84</v>
      </c>
      <c r="BE562" s="227">
        <v>752.07</v>
      </c>
      <c r="BF562" s="227">
        <v>789.73</v>
      </c>
      <c r="BG562" s="227">
        <v>789.73</v>
      </c>
      <c r="BH562" s="227">
        <v>789.73</v>
      </c>
      <c r="BI562" s="227">
        <v>789.73</v>
      </c>
      <c r="BJ562" s="227">
        <v>789.73</v>
      </c>
      <c r="BK562" s="227">
        <v>789.73</v>
      </c>
      <c r="BL562" s="227">
        <v>789.73</v>
      </c>
      <c r="BM562" s="227">
        <v>789.73</v>
      </c>
      <c r="BN562" s="227">
        <v>789.73</v>
      </c>
      <c r="BO562" s="227">
        <v>9328.779999999997</v>
      </c>
    </row>
    <row r="563" spans="1:67" ht="15" customHeight="1">
      <c r="A563" s="215" t="s">
        <v>2579</v>
      </c>
      <c r="B563" s="215" t="s">
        <v>2580</v>
      </c>
      <c r="C563" s="150" t="s">
        <v>1136</v>
      </c>
      <c r="D563" s="334" t="s">
        <v>1135</v>
      </c>
      <c r="E563" s="334" t="s">
        <v>1145</v>
      </c>
      <c r="F563" s="334" t="s">
        <v>1137</v>
      </c>
      <c r="G563" s="516" t="s">
        <v>639</v>
      </c>
      <c r="H563" s="398" t="s">
        <v>2581</v>
      </c>
      <c r="I563" s="343"/>
      <c r="J563" s="344"/>
      <c r="K563" s="219" t="s">
        <v>889</v>
      </c>
      <c r="L563" s="349"/>
      <c r="M563" s="343"/>
      <c r="N563" s="349"/>
      <c r="O563" s="334" t="s">
        <v>25</v>
      </c>
      <c r="P563" s="354"/>
      <c r="Q563" s="403"/>
      <c r="R563" s="406">
        <v>1190.6600000000001</v>
      </c>
      <c r="S563" s="406">
        <v>1190.6600000000001</v>
      </c>
      <c r="T563" s="425"/>
      <c r="U563" s="71"/>
      <c r="V563" s="408"/>
      <c r="W563" s="410"/>
      <c r="X563" s="410"/>
      <c r="Y563" s="428" t="s">
        <v>1142</v>
      </c>
      <c r="Z563" s="429">
        <v>0</v>
      </c>
      <c r="AA563" s="429">
        <v>0</v>
      </c>
      <c r="AB563" s="363" t="e">
        <v>#N/A</v>
      </c>
      <c r="AC563" s="368">
        <v>0</v>
      </c>
      <c r="AD563" s="368">
        <v>0</v>
      </c>
      <c r="AE563" s="368">
        <v>0</v>
      </c>
      <c r="AF563" s="368">
        <v>0</v>
      </c>
      <c r="AG563" s="368">
        <v>0</v>
      </c>
      <c r="AH563" s="367" t="e">
        <f t="shared" si="28"/>
        <v>#N/A</v>
      </c>
      <c r="AI563" s="362" t="e">
        <f>ERP[[#This Row],[2026 Working Total]]-ERP[[#This Row],[LE2 Final Submission]]</f>
        <v>#N/A</v>
      </c>
      <c r="AJ563" s="227">
        <v>0</v>
      </c>
      <c r="AK563" s="227">
        <f t="shared" si="27"/>
        <v>0</v>
      </c>
      <c r="AL563" s="374">
        <f>SUM(ERP[[#This Row],[AP01]:[AP06]])-SUM(ERP[[#This Row],[AP01 LE2]:[AP06 LE2]])</f>
        <v>-1190.6600000000001</v>
      </c>
      <c r="AM563" s="80"/>
      <c r="AN563" s="79" t="e">
        <f>ERP[[#This Row],[2026 Working Total to Budget/LE]]-ERP[[#This Row],[Giveback]]</f>
        <v>#N/A</v>
      </c>
      <c r="AO563" s="81"/>
      <c r="AP563" s="375"/>
      <c r="AQ563" s="375"/>
      <c r="AR563" s="375"/>
      <c r="AS563" s="375"/>
      <c r="AT563" s="375"/>
      <c r="AU563" s="375">
        <v>1190.6600000000001</v>
      </c>
      <c r="AV563" s="375">
        <v>0</v>
      </c>
      <c r="AW563" s="375">
        <v>0</v>
      </c>
      <c r="AX563" s="375">
        <v>0</v>
      </c>
      <c r="AY563" s="375">
        <v>0</v>
      </c>
      <c r="AZ563" s="375">
        <v>0</v>
      </c>
      <c r="BA563" s="375">
        <v>0</v>
      </c>
      <c r="BB563" s="375">
        <v>1190.6600000000001</v>
      </c>
      <c r="BC563" s="227"/>
      <c r="BD563" s="227"/>
      <c r="BE563" s="227"/>
      <c r="BF563" s="227"/>
      <c r="BG563" s="227"/>
      <c r="BH563" s="227">
        <v>1190.6600000000001</v>
      </c>
      <c r="BI563" s="227">
        <v>0</v>
      </c>
      <c r="BJ563" s="227">
        <v>0</v>
      </c>
      <c r="BK563" s="227">
        <v>0</v>
      </c>
      <c r="BL563" s="227">
        <v>0</v>
      </c>
      <c r="BM563" s="227">
        <v>0</v>
      </c>
      <c r="BN563" s="227">
        <v>0</v>
      </c>
      <c r="BO563" s="227">
        <v>1190.6600000000001</v>
      </c>
    </row>
    <row r="564" spans="1:67" ht="15" customHeight="1">
      <c r="A564" s="215" t="s">
        <v>2125</v>
      </c>
      <c r="B564" s="215" t="s">
        <v>2126</v>
      </c>
      <c r="C564" s="150" t="s">
        <v>1136</v>
      </c>
      <c r="D564" s="334" t="s">
        <v>1567</v>
      </c>
      <c r="E564" s="334" t="s">
        <v>1567</v>
      </c>
      <c r="F564" s="334" t="s">
        <v>1567</v>
      </c>
      <c r="G564" s="516" t="s">
        <v>389</v>
      </c>
      <c r="H564" s="398" t="s">
        <v>2127</v>
      </c>
      <c r="I564" s="343"/>
      <c r="J564" s="344"/>
      <c r="K564" s="219" t="s">
        <v>587</v>
      </c>
      <c r="L564" s="349"/>
      <c r="M564" s="343"/>
      <c r="N564" s="349"/>
      <c r="O564" s="334" t="s">
        <v>25</v>
      </c>
      <c r="P564" s="354"/>
      <c r="Q564" s="403"/>
      <c r="R564" s="406">
        <v>0</v>
      </c>
      <c r="S564" s="406">
        <v>21.89</v>
      </c>
      <c r="T564" s="425"/>
      <c r="U564" s="71"/>
      <c r="V564" s="408">
        <v>11.06</v>
      </c>
      <c r="W564" s="410">
        <v>5.54</v>
      </c>
      <c r="X564" s="410">
        <v>5.29</v>
      </c>
      <c r="Y564" s="428">
        <v>5.5299999999999994</v>
      </c>
      <c r="Z564" s="429">
        <v>5.33</v>
      </c>
      <c r="AA564" s="429">
        <v>5.5299999999999994</v>
      </c>
      <c r="AB564" s="363" t="e">
        <v>#N/A</v>
      </c>
      <c r="AC564" s="368">
        <v>0</v>
      </c>
      <c r="AD564" s="368">
        <v>0</v>
      </c>
      <c r="AE564" s="368">
        <v>0</v>
      </c>
      <c r="AF564" s="368">
        <v>0</v>
      </c>
      <c r="AG564" s="368">
        <v>0</v>
      </c>
      <c r="AH564" s="367" t="e">
        <f t="shared" si="28"/>
        <v>#N/A</v>
      </c>
      <c r="AI564" s="362" t="e">
        <f>ERP[[#This Row],[2026 Working Total]]-ERP[[#This Row],[LE2 Final Submission]]</f>
        <v>#N/A</v>
      </c>
      <c r="AJ564" s="227">
        <v>0</v>
      </c>
      <c r="AK564" s="227">
        <f t="shared" si="27"/>
        <v>5.5299999999999994</v>
      </c>
      <c r="AL564" s="374">
        <f>SUM(ERP[[#This Row],[AP01]:[AP06]])-SUM(ERP[[#This Row],[AP01 LE2]:[AP06 LE2]])</f>
        <v>16.39</v>
      </c>
      <c r="AM564" s="80"/>
      <c r="AN564" s="79" t="e">
        <f>ERP[[#This Row],[2026 Working Total to Budget/LE]]-ERP[[#This Row],[Giveback]]</f>
        <v>#N/A</v>
      </c>
      <c r="AO564" s="81"/>
      <c r="AP564" s="375">
        <v>11.06</v>
      </c>
      <c r="AQ564" s="375">
        <v>5.54</v>
      </c>
      <c r="AR564" s="375">
        <v>5.29</v>
      </c>
      <c r="AS564" s="375">
        <v>0</v>
      </c>
      <c r="AT564" s="375">
        <v>0</v>
      </c>
      <c r="AU564" s="375">
        <v>0</v>
      </c>
      <c r="AV564" s="375">
        <v>0</v>
      </c>
      <c r="AW564" s="375">
        <v>0</v>
      </c>
      <c r="AX564" s="375">
        <v>0</v>
      </c>
      <c r="AY564" s="375">
        <v>0</v>
      </c>
      <c r="AZ564" s="375">
        <v>0</v>
      </c>
      <c r="BA564" s="375">
        <v>0</v>
      </c>
      <c r="BB564" s="375">
        <v>21.89</v>
      </c>
      <c r="BC564" s="227">
        <v>11.06</v>
      </c>
      <c r="BD564" s="227">
        <v>5.54</v>
      </c>
      <c r="BE564" s="227">
        <v>5.29</v>
      </c>
      <c r="BF564" s="227">
        <v>0</v>
      </c>
      <c r="BG564" s="227">
        <v>0</v>
      </c>
      <c r="BH564" s="227">
        <v>0</v>
      </c>
      <c r="BI564" s="227">
        <v>0</v>
      </c>
      <c r="BJ564" s="227">
        <v>0</v>
      </c>
      <c r="BK564" s="227">
        <v>0</v>
      </c>
      <c r="BL564" s="227">
        <v>0</v>
      </c>
      <c r="BM564" s="227">
        <v>0</v>
      </c>
      <c r="BN564" s="227">
        <v>0</v>
      </c>
      <c r="BO564" s="227">
        <v>21.89</v>
      </c>
    </row>
    <row r="565" spans="1:67" ht="15" customHeight="1">
      <c r="A565" s="215" t="s">
        <v>1950</v>
      </c>
      <c r="B565" s="215" t="s">
        <v>1951</v>
      </c>
      <c r="C565" s="150" t="s">
        <v>1136</v>
      </c>
      <c r="D565" s="334" t="s">
        <v>1135</v>
      </c>
      <c r="E565" s="334" t="s">
        <v>1165</v>
      </c>
      <c r="F565" s="334" t="s">
        <v>1137</v>
      </c>
      <c r="G565" s="516" t="s">
        <v>389</v>
      </c>
      <c r="H565" s="398" t="s">
        <v>1952</v>
      </c>
      <c r="I565" s="343"/>
      <c r="J565" s="344"/>
      <c r="K565" s="219" t="s">
        <v>489</v>
      </c>
      <c r="L565" s="349" t="s">
        <v>1153</v>
      </c>
      <c r="M565" s="343"/>
      <c r="N565" s="349"/>
      <c r="O565" s="334" t="s">
        <v>490</v>
      </c>
      <c r="P565" s="354"/>
      <c r="Q565" s="403"/>
      <c r="R565" s="406">
        <v>3999.9999999999995</v>
      </c>
      <c r="S565" s="406">
        <v>4632.7199999999993</v>
      </c>
      <c r="T565" s="425"/>
      <c r="U565" s="71"/>
      <c r="V565" s="408">
        <v>571.28</v>
      </c>
      <c r="W565" s="410">
        <v>587.64</v>
      </c>
      <c r="X565" s="410">
        <v>473.79</v>
      </c>
      <c r="Y565" s="428">
        <v>590.85</v>
      </c>
      <c r="Z565" s="429">
        <v>588.03</v>
      </c>
      <c r="AA565" s="429">
        <v>718.07</v>
      </c>
      <c r="AB565" s="363" t="e">
        <v>#N/A</v>
      </c>
      <c r="AC565" s="369">
        <v>333.33</v>
      </c>
      <c r="AD565" s="369">
        <v>333.33</v>
      </c>
      <c r="AE565" s="369">
        <v>333.33</v>
      </c>
      <c r="AF565" s="369">
        <v>333.33</v>
      </c>
      <c r="AG565" s="369">
        <v>333.37</v>
      </c>
      <c r="AH565" s="367" t="e">
        <f t="shared" si="28"/>
        <v>#N/A</v>
      </c>
      <c r="AI565" s="362" t="e">
        <f>ERP[[#This Row],[2026 Working Total]]-ERP[[#This Row],[LE2 Final Submission]]</f>
        <v>#N/A</v>
      </c>
      <c r="AJ565" s="227">
        <v>333.33</v>
      </c>
      <c r="AK565" s="227">
        <f t="shared" si="27"/>
        <v>384.74000000000007</v>
      </c>
      <c r="AL565" s="374">
        <f>SUM(ERP[[#This Row],[AP01]:[AP06]])-SUM(ERP[[#This Row],[AP01 LE2]:[AP06 LE2]])</f>
        <v>896.96000000000049</v>
      </c>
      <c r="AM565" s="80"/>
      <c r="AN565" s="79" t="e">
        <f>ERP[[#This Row],[2026 Working Total to Budget/LE]]-ERP[[#This Row],[Giveback]]</f>
        <v>#N/A</v>
      </c>
      <c r="AO565" s="81"/>
      <c r="AP565" s="375">
        <v>571.28</v>
      </c>
      <c r="AQ565" s="375">
        <v>587.64</v>
      </c>
      <c r="AR565" s="375">
        <v>473.79</v>
      </c>
      <c r="AS565" s="375">
        <v>333.33</v>
      </c>
      <c r="AT565" s="375">
        <v>333.33</v>
      </c>
      <c r="AU565" s="375">
        <v>333.33</v>
      </c>
      <c r="AV565" s="375">
        <v>333.33</v>
      </c>
      <c r="AW565" s="375">
        <v>333.33</v>
      </c>
      <c r="AX565" s="375">
        <v>333.33</v>
      </c>
      <c r="AY565" s="375">
        <v>333.33</v>
      </c>
      <c r="AZ565" s="375">
        <v>333.33</v>
      </c>
      <c r="BA565" s="375">
        <v>333.37</v>
      </c>
      <c r="BB565" s="375">
        <v>4632.7199999999993</v>
      </c>
      <c r="BC565" s="227">
        <v>571.28</v>
      </c>
      <c r="BD565" s="227">
        <v>587.64</v>
      </c>
      <c r="BE565" s="227">
        <v>473.79</v>
      </c>
      <c r="BF565" s="227">
        <v>333.33</v>
      </c>
      <c r="BG565" s="227">
        <v>333.33</v>
      </c>
      <c r="BH565" s="227">
        <v>333.33</v>
      </c>
      <c r="BI565" s="227">
        <v>333.33</v>
      </c>
      <c r="BJ565" s="227">
        <v>333.33</v>
      </c>
      <c r="BK565" s="227">
        <v>333.33</v>
      </c>
      <c r="BL565" s="227">
        <v>333.33</v>
      </c>
      <c r="BM565" s="227">
        <v>333.33</v>
      </c>
      <c r="BN565" s="227">
        <v>333.37</v>
      </c>
      <c r="BO565" s="227">
        <v>4632.7199999999993</v>
      </c>
    </row>
    <row r="566" spans="1:67" ht="15" customHeight="1">
      <c r="A566" s="227" t="s">
        <v>2692</v>
      </c>
      <c r="B566" s="330" t="s">
        <v>2693</v>
      </c>
      <c r="C566" s="150" t="s">
        <v>1136</v>
      </c>
      <c r="D566" s="336" t="s">
        <v>1345</v>
      </c>
      <c r="E566" s="338" t="s">
        <v>1437</v>
      </c>
      <c r="F566" s="339" t="s">
        <v>1346</v>
      </c>
      <c r="G566" s="517" t="s">
        <v>639</v>
      </c>
      <c r="H566" s="399" t="s">
        <v>2694</v>
      </c>
      <c r="I566" s="343" t="s">
        <v>949</v>
      </c>
      <c r="J566" s="336" t="s">
        <v>1438</v>
      </c>
      <c r="K566" s="235" t="s">
        <v>952</v>
      </c>
      <c r="L566" s="351"/>
      <c r="M566" s="346" t="s">
        <v>2695</v>
      </c>
      <c r="N566" s="349" t="s">
        <v>1710</v>
      </c>
      <c r="O566" s="352" t="s">
        <v>863</v>
      </c>
      <c r="P566" s="355" t="s">
        <v>1348</v>
      </c>
      <c r="Q566" s="437"/>
      <c r="R566" s="358">
        <v>231903.75</v>
      </c>
      <c r="S566" s="378">
        <v>0</v>
      </c>
      <c r="T566" s="425"/>
      <c r="U566" s="71"/>
      <c r="V566" s="409"/>
      <c r="W566" s="411"/>
      <c r="X566" s="411"/>
      <c r="Y566" s="428" t="s">
        <v>1142</v>
      </c>
      <c r="Z566" s="429">
        <v>0</v>
      </c>
      <c r="AA566" s="429">
        <v>0</v>
      </c>
      <c r="AB566" s="363" t="e">
        <v>#N/A</v>
      </c>
      <c r="AC566" s="370">
        <v>0</v>
      </c>
      <c r="AD566" s="370">
        <v>0</v>
      </c>
      <c r="AE566" s="370">
        <v>0</v>
      </c>
      <c r="AF566" s="370">
        <v>0</v>
      </c>
      <c r="AG566" s="370">
        <v>0</v>
      </c>
      <c r="AH566" s="367" t="e">
        <f t="shared" si="28"/>
        <v>#N/A</v>
      </c>
      <c r="AI566" s="362" t="e">
        <f>ERP[[#This Row],[2026 Working Total]]-ERP[[#This Row],[LE2 Final Submission]]</f>
        <v>#N/A</v>
      </c>
      <c r="AJ566" s="227">
        <v>0</v>
      </c>
      <c r="AK566" s="227">
        <f t="shared" si="27"/>
        <v>0</v>
      </c>
      <c r="AL566" s="374">
        <f>SUM(ERP[[#This Row],[AP01]:[AP06]])-SUM(ERP[[#This Row],[AP01 LE2]:[AP06 LE2]])</f>
        <v>0</v>
      </c>
      <c r="AM566" s="80"/>
      <c r="AN566" s="79" t="e">
        <f>ERP[[#This Row],[2026 Working Total to Budget/LE]]-ERP[[#This Row],[Giveback]]</f>
        <v>#N/A</v>
      </c>
      <c r="AO566" s="81"/>
      <c r="AP566" s="375"/>
      <c r="AQ566" s="375"/>
      <c r="AR566" s="375"/>
      <c r="AS566" s="375">
        <v>0</v>
      </c>
      <c r="AT566" s="375">
        <v>0</v>
      </c>
      <c r="AU566" s="375">
        <v>0</v>
      </c>
      <c r="AV566" s="375">
        <v>0</v>
      </c>
      <c r="AW566" s="375">
        <v>0</v>
      </c>
      <c r="AX566" s="375">
        <v>0</v>
      </c>
      <c r="AY566" s="375">
        <v>0</v>
      </c>
      <c r="AZ566" s="375">
        <v>0</v>
      </c>
      <c r="BA566" s="375">
        <v>0</v>
      </c>
      <c r="BB566" s="375">
        <v>0</v>
      </c>
      <c r="BC566" s="246">
        <v>231903.75</v>
      </c>
      <c r="BD566" s="246">
        <v>0</v>
      </c>
      <c r="BE566" s="246">
        <v>0</v>
      </c>
      <c r="BF566" s="246">
        <v>0</v>
      </c>
      <c r="BG566" s="246">
        <v>0</v>
      </c>
      <c r="BH566" s="246">
        <v>0</v>
      </c>
      <c r="BI566" s="246">
        <v>0</v>
      </c>
      <c r="BJ566" s="246">
        <v>0</v>
      </c>
      <c r="BK566" s="246">
        <v>0</v>
      </c>
      <c r="BL566" s="246">
        <v>0</v>
      </c>
      <c r="BM566" s="246">
        <v>0</v>
      </c>
      <c r="BN566" s="246">
        <v>0</v>
      </c>
      <c r="BO566" s="227">
        <f>SUM(ERP[[#This Row],[2026 AP01]:[2026 AP12]])</f>
        <v>231903.75</v>
      </c>
    </row>
    <row r="567" spans="1:67" ht="15" customHeight="1">
      <c r="A567" s="227" t="s">
        <v>2696</v>
      </c>
      <c r="B567" s="330" t="s">
        <v>2697</v>
      </c>
      <c r="C567" s="150" t="s">
        <v>1136</v>
      </c>
      <c r="D567" s="336" t="s">
        <v>1345</v>
      </c>
      <c r="E567" s="338" t="s">
        <v>1437</v>
      </c>
      <c r="F567" s="339" t="s">
        <v>1346</v>
      </c>
      <c r="G567" s="517" t="s">
        <v>639</v>
      </c>
      <c r="H567" s="399" t="s">
        <v>2698</v>
      </c>
      <c r="I567" s="343" t="s">
        <v>949</v>
      </c>
      <c r="J567" s="336" t="s">
        <v>1438</v>
      </c>
      <c r="K567" s="235" t="s">
        <v>954</v>
      </c>
      <c r="L567" s="351"/>
      <c r="M567" s="346" t="s">
        <v>2695</v>
      </c>
      <c r="N567" s="349" t="s">
        <v>1710</v>
      </c>
      <c r="O567" s="352" t="s">
        <v>863</v>
      </c>
      <c r="P567" s="355" t="s">
        <v>1348</v>
      </c>
      <c r="Q567" s="437"/>
      <c r="R567" s="358">
        <v>-231903.75</v>
      </c>
      <c r="S567" s="378">
        <v>0</v>
      </c>
      <c r="T567" s="425"/>
      <c r="U567" s="71"/>
      <c r="V567" s="409"/>
      <c r="W567" s="411"/>
      <c r="X567" s="411"/>
      <c r="Y567" s="428" t="s">
        <v>1142</v>
      </c>
      <c r="Z567" s="429">
        <v>0</v>
      </c>
      <c r="AA567" s="429">
        <v>0</v>
      </c>
      <c r="AB567" s="363" t="e">
        <v>#N/A</v>
      </c>
      <c r="AC567" s="370">
        <v>0</v>
      </c>
      <c r="AD567" s="370">
        <v>0</v>
      </c>
      <c r="AE567" s="370">
        <v>0</v>
      </c>
      <c r="AF567" s="370">
        <v>0</v>
      </c>
      <c r="AG567" s="370">
        <v>0</v>
      </c>
      <c r="AH567" s="367" t="e">
        <f t="shared" si="28"/>
        <v>#N/A</v>
      </c>
      <c r="AI567" s="362" t="e">
        <f>ERP[[#This Row],[2026 Working Total]]-ERP[[#This Row],[LE2 Final Submission]]</f>
        <v>#N/A</v>
      </c>
      <c r="AJ567" s="227">
        <v>0</v>
      </c>
      <c r="AK567" s="227">
        <f t="shared" si="27"/>
        <v>0</v>
      </c>
      <c r="AL567" s="374">
        <f>SUM(ERP[[#This Row],[AP01]:[AP06]])-SUM(ERP[[#This Row],[AP01 LE2]:[AP06 LE2]])</f>
        <v>0</v>
      </c>
      <c r="AM567" s="80"/>
      <c r="AN567" s="79" t="e">
        <f>ERP[[#This Row],[2026 Working Total to Budget/LE]]-ERP[[#This Row],[Giveback]]</f>
        <v>#N/A</v>
      </c>
      <c r="AO567" s="81"/>
      <c r="AP567" s="375"/>
      <c r="AQ567" s="375"/>
      <c r="AR567" s="375"/>
      <c r="AS567" s="375">
        <v>0</v>
      </c>
      <c r="AT567" s="375">
        <v>0</v>
      </c>
      <c r="AU567" s="375">
        <v>0</v>
      </c>
      <c r="AV567" s="375">
        <v>0</v>
      </c>
      <c r="AW567" s="375">
        <v>0</v>
      </c>
      <c r="AX567" s="375">
        <v>0</v>
      </c>
      <c r="AY567" s="375">
        <v>0</v>
      </c>
      <c r="AZ567" s="375">
        <v>0</v>
      </c>
      <c r="BA567" s="375">
        <v>0</v>
      </c>
      <c r="BB567" s="375">
        <v>0</v>
      </c>
      <c r="BC567" s="246">
        <v>-231903.75</v>
      </c>
      <c r="BD567" s="246">
        <v>0</v>
      </c>
      <c r="BE567" s="246">
        <v>0</v>
      </c>
      <c r="BF567" s="246">
        <v>0</v>
      </c>
      <c r="BG567" s="246">
        <v>0</v>
      </c>
      <c r="BH567" s="246">
        <v>0</v>
      </c>
      <c r="BI567" s="246">
        <v>0</v>
      </c>
      <c r="BJ567" s="246">
        <v>0</v>
      </c>
      <c r="BK567" s="246">
        <v>0</v>
      </c>
      <c r="BL567" s="246">
        <v>0</v>
      </c>
      <c r="BM567" s="246">
        <v>0</v>
      </c>
      <c r="BN567" s="246">
        <v>0</v>
      </c>
      <c r="BO567" s="227">
        <f>SUM(ERP[[#This Row],[2026 AP01]:[2026 AP12]])</f>
        <v>-231903.75</v>
      </c>
    </row>
    <row r="568" spans="1:67" ht="15" customHeight="1">
      <c r="A568" s="215" t="s">
        <v>2817</v>
      </c>
      <c r="B568" s="215" t="s">
        <v>1023</v>
      </c>
      <c r="C568" s="150" t="s">
        <v>1136</v>
      </c>
      <c r="D568" s="334" t="s">
        <v>1650</v>
      </c>
      <c r="E568" s="334" t="s">
        <v>1650</v>
      </c>
      <c r="F568" s="334" t="s">
        <v>1650</v>
      </c>
      <c r="G568" s="516" t="s">
        <v>639</v>
      </c>
      <c r="H568" s="398" t="s">
        <v>2818</v>
      </c>
      <c r="I568" s="343"/>
      <c r="J568" s="344"/>
      <c r="K568" s="219" t="s">
        <v>1024</v>
      </c>
      <c r="L568" s="349"/>
      <c r="M568" s="343"/>
      <c r="N568" s="349"/>
      <c r="O568" s="334" t="s">
        <v>25</v>
      </c>
      <c r="P568" s="354"/>
      <c r="Q568" s="403"/>
      <c r="R568" s="406">
        <v>156778.01999999999</v>
      </c>
      <c r="S568" s="406">
        <v>156778.01999999999</v>
      </c>
      <c r="T568" s="425"/>
      <c r="U568" s="71"/>
      <c r="V568" s="408">
        <v>10768</v>
      </c>
      <c r="W568" s="410">
        <v>146010.01999999999</v>
      </c>
      <c r="X568" s="412">
        <v>0</v>
      </c>
      <c r="Y568" s="428">
        <v>0</v>
      </c>
      <c r="Z568" s="429">
        <v>0</v>
      </c>
      <c r="AA568" s="429">
        <v>0</v>
      </c>
      <c r="AB568" s="363" t="e">
        <v>#N/A</v>
      </c>
      <c r="AC568" s="368">
        <v>0</v>
      </c>
      <c r="AD568" s="368">
        <v>0</v>
      </c>
      <c r="AE568" s="368">
        <v>0</v>
      </c>
      <c r="AF568" s="368">
        <v>0</v>
      </c>
      <c r="AG568" s="368">
        <v>0</v>
      </c>
      <c r="AH568" s="367" t="e">
        <f t="shared" si="28"/>
        <v>#N/A</v>
      </c>
      <c r="AI568" s="362" t="e">
        <f>ERP[[#This Row],[2026 Working Total]]-ERP[[#This Row],[LE2 Final Submission]]</f>
        <v>#N/A</v>
      </c>
      <c r="AJ568" s="227">
        <v>0</v>
      </c>
      <c r="AK568" s="227">
        <f t="shared" si="27"/>
        <v>0</v>
      </c>
      <c r="AL568" s="374">
        <f>SUM(ERP[[#This Row],[AP01]:[AP06]])-SUM(ERP[[#This Row],[AP01 LE2]:[AP06 LE2]])</f>
        <v>0</v>
      </c>
      <c r="AM568" s="80"/>
      <c r="AN568" s="79" t="e">
        <f>ERP[[#This Row],[2026 Working Total to Budget/LE]]-ERP[[#This Row],[Giveback]]</f>
        <v>#N/A</v>
      </c>
      <c r="AO568" s="81"/>
      <c r="AP568" s="375">
        <v>10768</v>
      </c>
      <c r="AQ568" s="375">
        <v>146010.01999999999</v>
      </c>
      <c r="AR568" s="375">
        <v>0</v>
      </c>
      <c r="AS568" s="375">
        <v>0</v>
      </c>
      <c r="AT568" s="375">
        <v>0</v>
      </c>
      <c r="AU568" s="375">
        <v>0</v>
      </c>
      <c r="AV568" s="375">
        <v>0</v>
      </c>
      <c r="AW568" s="375">
        <v>0</v>
      </c>
      <c r="AX568" s="375">
        <v>0</v>
      </c>
      <c r="AY568" s="375">
        <v>0</v>
      </c>
      <c r="AZ568" s="375">
        <v>0</v>
      </c>
      <c r="BA568" s="375">
        <v>0</v>
      </c>
      <c r="BB568" s="375">
        <v>156778.01999999999</v>
      </c>
      <c r="BC568" s="227">
        <v>10768</v>
      </c>
      <c r="BD568" s="227">
        <v>146010.01999999999</v>
      </c>
      <c r="BE568" s="227">
        <v>0</v>
      </c>
      <c r="BF568" s="227">
        <v>0</v>
      </c>
      <c r="BG568" s="227">
        <v>0</v>
      </c>
      <c r="BH568" s="227">
        <v>0</v>
      </c>
      <c r="BI568" s="227">
        <v>0</v>
      </c>
      <c r="BJ568" s="227">
        <v>0</v>
      </c>
      <c r="BK568" s="227">
        <v>0</v>
      </c>
      <c r="BL568" s="227">
        <v>0</v>
      </c>
      <c r="BM568" s="227">
        <v>0</v>
      </c>
      <c r="BN568" s="227">
        <v>0</v>
      </c>
      <c r="BO568" s="227">
        <v>156778.01999999999</v>
      </c>
    </row>
    <row r="569" spans="1:67" ht="15" customHeight="1">
      <c r="A569" s="215" t="s">
        <v>2582</v>
      </c>
      <c r="B569" s="215" t="s">
        <v>2583</v>
      </c>
      <c r="C569" s="150" t="s">
        <v>1136</v>
      </c>
      <c r="D569" s="334" t="s">
        <v>1135</v>
      </c>
      <c r="E569" s="334" t="s">
        <v>1165</v>
      </c>
      <c r="F569" s="334" t="s">
        <v>1137</v>
      </c>
      <c r="G569" s="516" t="s">
        <v>639</v>
      </c>
      <c r="H569" s="398" t="s">
        <v>1952</v>
      </c>
      <c r="I569" s="343"/>
      <c r="J569" s="344"/>
      <c r="K569" s="219" t="s">
        <v>489</v>
      </c>
      <c r="L569" s="349" t="s">
        <v>1153</v>
      </c>
      <c r="M569" s="343"/>
      <c r="N569" s="349"/>
      <c r="O569" s="334" t="s">
        <v>490</v>
      </c>
      <c r="P569" s="354"/>
      <c r="Q569" s="403"/>
      <c r="R569" s="406">
        <v>23000</v>
      </c>
      <c r="S569" s="406">
        <v>21098.22</v>
      </c>
      <c r="T569" s="425"/>
      <c r="U569" s="71"/>
      <c r="V569" s="408"/>
      <c r="W569" s="410"/>
      <c r="X569" s="410">
        <v>21098.22</v>
      </c>
      <c r="Y569" s="428">
        <v>0</v>
      </c>
      <c r="Z569" s="429">
        <v>0</v>
      </c>
      <c r="AA569" s="429">
        <v>0</v>
      </c>
      <c r="AB569" s="363" t="e">
        <v>#N/A</v>
      </c>
      <c r="AC569" s="368">
        <v>0</v>
      </c>
      <c r="AD569" s="368">
        <v>0</v>
      </c>
      <c r="AE569" s="368">
        <v>0</v>
      </c>
      <c r="AF569" s="368">
        <v>0</v>
      </c>
      <c r="AG569" s="368">
        <v>0</v>
      </c>
      <c r="AH569" s="367" t="e">
        <f t="shared" si="28"/>
        <v>#N/A</v>
      </c>
      <c r="AI569" s="362" t="e">
        <f>ERP[[#This Row],[2026 Working Total]]-ERP[[#This Row],[LE2 Final Submission]]</f>
        <v>#N/A</v>
      </c>
      <c r="AJ569" s="227">
        <v>0</v>
      </c>
      <c r="AK569" s="227">
        <f t="shared" si="27"/>
        <v>0</v>
      </c>
      <c r="AL569" s="374">
        <f>SUM(ERP[[#This Row],[AP01]:[AP06]])-SUM(ERP[[#This Row],[AP01 LE2]:[AP06 LE2]])</f>
        <v>0</v>
      </c>
      <c r="AM569" s="80"/>
      <c r="AN569" s="79" t="e">
        <f>ERP[[#This Row],[2026 Working Total to Budget/LE]]-ERP[[#This Row],[Giveback]]</f>
        <v>#N/A</v>
      </c>
      <c r="AO569" s="81"/>
      <c r="AP569" s="375"/>
      <c r="AQ569" s="375"/>
      <c r="AR569" s="375">
        <v>21098.22</v>
      </c>
      <c r="AS569" s="375">
        <v>0</v>
      </c>
      <c r="AT569" s="375">
        <v>0</v>
      </c>
      <c r="AU569" s="375">
        <v>0</v>
      </c>
      <c r="AV569" s="375">
        <v>0</v>
      </c>
      <c r="AW569" s="375">
        <v>0</v>
      </c>
      <c r="AX569" s="375">
        <v>0</v>
      </c>
      <c r="AY569" s="375">
        <v>0</v>
      </c>
      <c r="AZ569" s="375">
        <v>0</v>
      </c>
      <c r="BA569" s="375">
        <v>0</v>
      </c>
      <c r="BB569" s="375">
        <v>21098.22</v>
      </c>
      <c r="BC569" s="227"/>
      <c r="BD569" s="227"/>
      <c r="BE569" s="227">
        <v>21098.22</v>
      </c>
      <c r="BF569" s="227">
        <v>21098.22</v>
      </c>
      <c r="BG569" s="227">
        <v>0</v>
      </c>
      <c r="BH569" s="227">
        <v>0</v>
      </c>
      <c r="BI569" s="227">
        <v>0</v>
      </c>
      <c r="BJ569" s="227">
        <v>0</v>
      </c>
      <c r="BK569" s="227">
        <v>0</v>
      </c>
      <c r="BL569" s="227">
        <v>0</v>
      </c>
      <c r="BM569" s="227">
        <v>0</v>
      </c>
      <c r="BN569" s="227">
        <v>0</v>
      </c>
      <c r="BO569" s="227">
        <v>42196.44</v>
      </c>
    </row>
    <row r="570" spans="1:67" ht="15" customHeight="1">
      <c r="A570" s="215" t="s">
        <v>2584</v>
      </c>
      <c r="B570" s="215" t="s">
        <v>2585</v>
      </c>
      <c r="C570" s="150" t="s">
        <v>1136</v>
      </c>
      <c r="D570" s="334" t="s">
        <v>1135</v>
      </c>
      <c r="E570" s="334" t="s">
        <v>1165</v>
      </c>
      <c r="F570" s="334" t="s">
        <v>1137</v>
      </c>
      <c r="G570" s="516" t="s">
        <v>639</v>
      </c>
      <c r="H570" s="398" t="s">
        <v>2586</v>
      </c>
      <c r="I570" s="343"/>
      <c r="J570" s="344"/>
      <c r="K570" s="219" t="s">
        <v>892</v>
      </c>
      <c r="L570" s="349"/>
      <c r="M570" s="343"/>
      <c r="N570" s="349"/>
      <c r="O570" s="334" t="s">
        <v>490</v>
      </c>
      <c r="P570" s="354"/>
      <c r="Q570" s="403"/>
      <c r="R570" s="406">
        <v>35569</v>
      </c>
      <c r="S570" s="406">
        <v>35569</v>
      </c>
      <c r="T570" s="425"/>
      <c r="U570" s="71"/>
      <c r="V570" s="408"/>
      <c r="W570" s="410"/>
      <c r="X570" s="410"/>
      <c r="Y570" s="428" t="s">
        <v>1142</v>
      </c>
      <c r="Z570" s="429">
        <v>0</v>
      </c>
      <c r="AA570" s="429">
        <v>0</v>
      </c>
      <c r="AB570" s="363" t="e">
        <v>#N/A</v>
      </c>
      <c r="AC570" s="368">
        <v>35569</v>
      </c>
      <c r="AD570" s="368">
        <v>0</v>
      </c>
      <c r="AE570" s="368">
        <v>0</v>
      </c>
      <c r="AF570" s="368">
        <v>0</v>
      </c>
      <c r="AG570" s="368">
        <v>0</v>
      </c>
      <c r="AH570" s="367" t="e">
        <f t="shared" si="28"/>
        <v>#N/A</v>
      </c>
      <c r="AI570" s="362" t="e">
        <f>ERP[[#This Row],[2026 Working Total]]-ERP[[#This Row],[LE2 Final Submission]]</f>
        <v>#N/A</v>
      </c>
      <c r="AJ570" s="227"/>
      <c r="AK570" s="227">
        <f t="shared" si="27"/>
        <v>0</v>
      </c>
      <c r="AL570" s="374">
        <f>SUM(ERP[[#This Row],[AP01]:[AP06]])-SUM(ERP[[#This Row],[AP01 LE2]:[AP06 LE2]])</f>
        <v>-35569</v>
      </c>
      <c r="AM570" s="80"/>
      <c r="AN570" s="79" t="e">
        <f>ERP[[#This Row],[2026 Working Total to Budget/LE]]-ERP[[#This Row],[Giveback]]</f>
        <v>#N/A</v>
      </c>
      <c r="AO570" s="81"/>
      <c r="AP570" s="375"/>
      <c r="AQ570" s="375"/>
      <c r="AR570" s="375"/>
      <c r="AS570" s="375"/>
      <c r="AT570" s="375"/>
      <c r="AU570" s="375">
        <v>35569</v>
      </c>
      <c r="AV570" s="375">
        <v>0</v>
      </c>
      <c r="AW570" s="375">
        <v>0</v>
      </c>
      <c r="AX570" s="375">
        <v>0</v>
      </c>
      <c r="AY570" s="375">
        <v>0</v>
      </c>
      <c r="AZ570" s="375">
        <v>0</v>
      </c>
      <c r="BA570" s="375">
        <v>0</v>
      </c>
      <c r="BB570" s="375">
        <v>35569</v>
      </c>
      <c r="BC570" s="227"/>
      <c r="BD570" s="227"/>
      <c r="BE570" s="227"/>
      <c r="BF570" s="227"/>
      <c r="BG570" s="227"/>
      <c r="BH570" s="227">
        <v>35569</v>
      </c>
      <c r="BI570" s="227">
        <v>0</v>
      </c>
      <c r="BJ570" s="227">
        <v>0</v>
      </c>
      <c r="BK570" s="227">
        <v>0</v>
      </c>
      <c r="BL570" s="227">
        <v>0</v>
      </c>
      <c r="BM570" s="227">
        <v>0</v>
      </c>
      <c r="BN570" s="227">
        <v>0</v>
      </c>
      <c r="BO570" s="227">
        <v>35569</v>
      </c>
    </row>
    <row r="571" spans="1:67" ht="15" customHeight="1">
      <c r="A571" s="215" t="s">
        <v>1502</v>
      </c>
      <c r="B571" s="215" t="s">
        <v>1503</v>
      </c>
      <c r="C571" s="150" t="s">
        <v>1136</v>
      </c>
      <c r="D571" s="334" t="s">
        <v>1345</v>
      </c>
      <c r="E571" s="334" t="s">
        <v>1481</v>
      </c>
      <c r="F571" s="334" t="s">
        <v>1346</v>
      </c>
      <c r="G571" s="516" t="s">
        <v>49</v>
      </c>
      <c r="H571" s="398" t="s">
        <v>1504</v>
      </c>
      <c r="I571" s="343"/>
      <c r="J571" s="344"/>
      <c r="K571" s="219" t="s">
        <v>234</v>
      </c>
      <c r="L571" s="349"/>
      <c r="M571" s="343"/>
      <c r="N571" s="349"/>
      <c r="O571" s="334" t="s">
        <v>25</v>
      </c>
      <c r="P571" s="357" t="s">
        <v>1505</v>
      </c>
      <c r="Q571" s="404"/>
      <c r="R571" s="407">
        <v>0</v>
      </c>
      <c r="S571" s="407">
        <v>0</v>
      </c>
      <c r="T571" s="425"/>
      <c r="U571" s="71"/>
      <c r="V571" s="408"/>
      <c r="W571" s="410">
        <v>304987.09999999998</v>
      </c>
      <c r="X571" s="410">
        <v>-304987.09999999998</v>
      </c>
      <c r="Y571" s="428">
        <v>0</v>
      </c>
      <c r="Z571" s="429">
        <v>0</v>
      </c>
      <c r="AA571" s="429">
        <v>0</v>
      </c>
      <c r="AB571" s="363" t="e">
        <v>#N/A</v>
      </c>
      <c r="AC571" s="369"/>
      <c r="AD571" s="369"/>
      <c r="AE571" s="369"/>
      <c r="AF571" s="369"/>
      <c r="AG571" s="369"/>
      <c r="AH571" s="367" t="e">
        <f t="shared" si="28"/>
        <v>#N/A</v>
      </c>
      <c r="AI571" s="362" t="e">
        <f>ERP[[#This Row],[2026 Working Total]]-ERP[[#This Row],[LE2 Final Submission]]</f>
        <v>#N/A</v>
      </c>
      <c r="AJ571" s="227"/>
      <c r="AK571" s="227">
        <f t="shared" si="27"/>
        <v>0</v>
      </c>
      <c r="AL571" s="374">
        <f>SUM(ERP[[#This Row],[AP01]:[AP06]])-SUM(ERP[[#This Row],[AP01 LE2]:[AP06 LE2]])</f>
        <v>0</v>
      </c>
      <c r="AM571" s="80"/>
      <c r="AN571" s="79" t="e">
        <f>ERP[[#This Row],[2026 Working Total to Budget/LE]]-ERP[[#This Row],[Giveback]]</f>
        <v>#N/A</v>
      </c>
      <c r="AO571" s="81"/>
      <c r="AP571" s="375"/>
      <c r="AQ571" s="375">
        <v>304987.09999999998</v>
      </c>
      <c r="AR571" s="375">
        <v>-304987.09999999998</v>
      </c>
      <c r="AS571" s="375"/>
      <c r="AT571" s="375"/>
      <c r="AU571" s="375"/>
      <c r="AV571" s="375"/>
      <c r="AW571" s="375"/>
      <c r="AX571" s="375"/>
      <c r="AY571" s="375"/>
      <c r="AZ571" s="375"/>
      <c r="BA571" s="375"/>
      <c r="BB571" s="375">
        <v>0</v>
      </c>
      <c r="BC571" s="227"/>
      <c r="BD571" s="227">
        <v>304987.09999999998</v>
      </c>
      <c r="BE571" s="227">
        <v>-304987.09999999998</v>
      </c>
      <c r="BF571" s="227"/>
      <c r="BG571" s="227"/>
      <c r="BH571" s="227"/>
      <c r="BI571" s="227"/>
      <c r="BJ571" s="227"/>
      <c r="BK571" s="227"/>
      <c r="BL571" s="227"/>
      <c r="BM571" s="227"/>
      <c r="BN571" s="227"/>
      <c r="BO571" s="227">
        <v>0</v>
      </c>
    </row>
    <row r="572" spans="1:67" ht="15" customHeight="1">
      <c r="A572" s="215" t="s">
        <v>2728</v>
      </c>
      <c r="B572" s="215" t="s">
        <v>2729</v>
      </c>
      <c r="C572" s="150" t="s">
        <v>1136</v>
      </c>
      <c r="D572" s="334" t="s">
        <v>1345</v>
      </c>
      <c r="E572" s="334" t="s">
        <v>1481</v>
      </c>
      <c r="F572" s="334" t="s">
        <v>1346</v>
      </c>
      <c r="G572" s="516" t="s">
        <v>639</v>
      </c>
      <c r="H572" s="398" t="s">
        <v>1504</v>
      </c>
      <c r="I572" s="343"/>
      <c r="J572" s="344"/>
      <c r="K572" s="219" t="s">
        <v>234</v>
      </c>
      <c r="L572" s="349"/>
      <c r="M572" s="343"/>
      <c r="N572" s="349"/>
      <c r="O572" s="334" t="s">
        <v>25</v>
      </c>
      <c r="P572" s="354" t="s">
        <v>1483</v>
      </c>
      <c r="Q572" s="403"/>
      <c r="R572" s="406">
        <v>353631</v>
      </c>
      <c r="S572" s="406">
        <v>353631</v>
      </c>
      <c r="T572" s="425"/>
      <c r="U572" s="71"/>
      <c r="V572" s="408"/>
      <c r="W572" s="410"/>
      <c r="X572" s="410">
        <v>304987.09999999998</v>
      </c>
      <c r="Y572" s="428">
        <v>0</v>
      </c>
      <c r="Z572" s="429">
        <v>0</v>
      </c>
      <c r="AA572" s="429">
        <v>0</v>
      </c>
      <c r="AB572" s="363" t="e">
        <v>#N/A</v>
      </c>
      <c r="AC572" s="368">
        <v>0</v>
      </c>
      <c r="AD572" s="369">
        <v>48643.9</v>
      </c>
      <c r="AE572" s="368">
        <v>0</v>
      </c>
      <c r="AF572" s="368">
        <v>0</v>
      </c>
      <c r="AG572" s="368">
        <v>0</v>
      </c>
      <c r="AH572" s="367" t="e">
        <f t="shared" si="28"/>
        <v>#N/A</v>
      </c>
      <c r="AI572" s="362" t="e">
        <f>ERP[[#This Row],[2026 Working Total]]-ERP[[#This Row],[LE2 Final Submission]]</f>
        <v>#N/A</v>
      </c>
      <c r="AJ572" s="227">
        <v>0</v>
      </c>
      <c r="AK572" s="227">
        <f t="shared" si="27"/>
        <v>0</v>
      </c>
      <c r="AL572" s="374">
        <f>SUM(ERP[[#This Row],[AP01]:[AP06]])-SUM(ERP[[#This Row],[AP01 LE2]:[AP06 LE2]])</f>
        <v>0</v>
      </c>
      <c r="AM572" s="80"/>
      <c r="AN572" s="79" t="e">
        <f>ERP[[#This Row],[2026 Working Total to Budget/LE]]-ERP[[#This Row],[Giveback]]</f>
        <v>#N/A</v>
      </c>
      <c r="AO572" s="81"/>
      <c r="AP572" s="375"/>
      <c r="AQ572" s="375"/>
      <c r="AR572" s="375">
        <v>304987.09999999998</v>
      </c>
      <c r="AS572" s="375">
        <v>0</v>
      </c>
      <c r="AT572" s="375">
        <v>0</v>
      </c>
      <c r="AU572" s="375">
        <v>0</v>
      </c>
      <c r="AV572" s="375">
        <v>0</v>
      </c>
      <c r="AW572" s="375">
        <v>0</v>
      </c>
      <c r="AX572" s="375">
        <v>48643.9</v>
      </c>
      <c r="AY572" s="375">
        <v>0</v>
      </c>
      <c r="AZ572" s="375">
        <v>0</v>
      </c>
      <c r="BA572" s="375">
        <v>0</v>
      </c>
      <c r="BB572" s="375">
        <v>353631</v>
      </c>
      <c r="BC572" s="227"/>
      <c r="BD572" s="227"/>
      <c r="BE572" s="227">
        <v>304987.09999999998</v>
      </c>
      <c r="BF572" s="227">
        <v>0</v>
      </c>
      <c r="BG572" s="227">
        <v>0</v>
      </c>
      <c r="BH572" s="227">
        <v>0</v>
      </c>
      <c r="BI572" s="227">
        <v>24321.95</v>
      </c>
      <c r="BJ572" s="227">
        <v>24321.95</v>
      </c>
      <c r="BK572" s="227">
        <v>0</v>
      </c>
      <c r="BL572" s="227">
        <v>0</v>
      </c>
      <c r="BM572" s="227">
        <v>0</v>
      </c>
      <c r="BN572" s="227">
        <v>0</v>
      </c>
      <c r="BO572" s="227">
        <v>353631</v>
      </c>
    </row>
    <row r="573" spans="1:67" ht="15" customHeight="1">
      <c r="A573" s="215" t="s">
        <v>1506</v>
      </c>
      <c r="B573" s="215" t="s">
        <v>1507</v>
      </c>
      <c r="C573" s="150" t="s">
        <v>1136</v>
      </c>
      <c r="D573" s="334" t="s">
        <v>1345</v>
      </c>
      <c r="E573" s="334" t="s">
        <v>1481</v>
      </c>
      <c r="F573" s="334" t="s">
        <v>1346</v>
      </c>
      <c r="G573" s="516" t="s">
        <v>49</v>
      </c>
      <c r="H573" s="398" t="s">
        <v>1508</v>
      </c>
      <c r="I573" s="343"/>
      <c r="J573" s="344"/>
      <c r="K573" s="219" t="s">
        <v>236</v>
      </c>
      <c r="L573" s="349"/>
      <c r="M573" s="343"/>
      <c r="N573" s="349"/>
      <c r="O573" s="334" t="s">
        <v>25</v>
      </c>
      <c r="P573" s="357" t="s">
        <v>1509</v>
      </c>
      <c r="Q573" s="404"/>
      <c r="R573" s="407">
        <v>0</v>
      </c>
      <c r="S573" s="407">
        <v>0</v>
      </c>
      <c r="T573" s="425"/>
      <c r="U573" s="71"/>
      <c r="V573" s="408"/>
      <c r="W573" s="410">
        <v>331000</v>
      </c>
      <c r="X573" s="410">
        <v>-331000</v>
      </c>
      <c r="Y573" s="428">
        <v>0</v>
      </c>
      <c r="Z573" s="429">
        <v>0</v>
      </c>
      <c r="AA573" s="429">
        <v>9981.0499999999993</v>
      </c>
      <c r="AB573" s="363" t="e">
        <v>#N/A</v>
      </c>
      <c r="AC573" s="369"/>
      <c r="AD573" s="369"/>
      <c r="AE573" s="369"/>
      <c r="AF573" s="369"/>
      <c r="AG573" s="369"/>
      <c r="AH573" s="367" t="e">
        <f t="shared" si="28"/>
        <v>#N/A</v>
      </c>
      <c r="AI573" s="362" t="e">
        <f>ERP[[#This Row],[2026 Working Total]]-ERP[[#This Row],[LE2 Final Submission]]</f>
        <v>#N/A</v>
      </c>
      <c r="AJ573" s="227"/>
      <c r="AK573" s="227">
        <f t="shared" si="27"/>
        <v>9981.0499999999993</v>
      </c>
      <c r="AL573" s="374">
        <f>SUM(ERP[[#This Row],[AP01]:[AP06]])-SUM(ERP[[#This Row],[AP01 LE2]:[AP06 LE2]])</f>
        <v>9981.0499999999993</v>
      </c>
      <c r="AM573" s="80"/>
      <c r="AN573" s="79" t="e">
        <f>ERP[[#This Row],[2026 Working Total to Budget/LE]]-ERP[[#This Row],[Giveback]]</f>
        <v>#N/A</v>
      </c>
      <c r="AO573" s="81"/>
      <c r="AP573" s="375"/>
      <c r="AQ573" s="375">
        <v>331000</v>
      </c>
      <c r="AR573" s="375">
        <v>-331000</v>
      </c>
      <c r="AS573" s="375"/>
      <c r="AT573" s="375"/>
      <c r="AU573" s="375"/>
      <c r="AV573" s="375"/>
      <c r="AW573" s="375"/>
      <c r="AX573" s="375"/>
      <c r="AY573" s="375"/>
      <c r="AZ573" s="375"/>
      <c r="BA573" s="375"/>
      <c r="BB573" s="375">
        <v>0</v>
      </c>
      <c r="BC573" s="227"/>
      <c r="BD573" s="227">
        <v>331000</v>
      </c>
      <c r="BE573" s="227">
        <v>-331000</v>
      </c>
      <c r="BF573" s="227"/>
      <c r="BG573" s="227"/>
      <c r="BH573" s="227"/>
      <c r="BI573" s="227"/>
      <c r="BJ573" s="227"/>
      <c r="BK573" s="227"/>
      <c r="BL573" s="227"/>
      <c r="BM573" s="227"/>
      <c r="BN573" s="227"/>
      <c r="BO573" s="227">
        <v>0</v>
      </c>
    </row>
    <row r="574" spans="1:67" ht="15" customHeight="1">
      <c r="A574" s="215" t="s">
        <v>2730</v>
      </c>
      <c r="B574" s="215" t="s">
        <v>2731</v>
      </c>
      <c r="C574" s="150" t="s">
        <v>1136</v>
      </c>
      <c r="D574" s="334" t="s">
        <v>1345</v>
      </c>
      <c r="E574" s="334" t="s">
        <v>1481</v>
      </c>
      <c r="F574" s="334" t="s">
        <v>1346</v>
      </c>
      <c r="G574" s="516" t="s">
        <v>639</v>
      </c>
      <c r="H574" s="398" t="s">
        <v>1508</v>
      </c>
      <c r="I574" s="343"/>
      <c r="J574" s="344"/>
      <c r="K574" s="219" t="s">
        <v>236</v>
      </c>
      <c r="L574" s="349"/>
      <c r="M574" s="343"/>
      <c r="N574" s="349"/>
      <c r="O574" s="334" t="s">
        <v>25</v>
      </c>
      <c r="P574" s="354" t="s">
        <v>1483</v>
      </c>
      <c r="Q574" s="403"/>
      <c r="R574" s="406">
        <v>434000</v>
      </c>
      <c r="S574" s="406">
        <v>434000</v>
      </c>
      <c r="T574" s="425"/>
      <c r="U574" s="71"/>
      <c r="V574" s="408"/>
      <c r="W574" s="410"/>
      <c r="X574" s="410">
        <v>331000</v>
      </c>
      <c r="Y574" s="428">
        <v>0</v>
      </c>
      <c r="Z574" s="429">
        <v>0</v>
      </c>
      <c r="AA574" s="429">
        <v>0</v>
      </c>
      <c r="AB574" s="363" t="e">
        <v>#N/A</v>
      </c>
      <c r="AC574" s="368">
        <v>0</v>
      </c>
      <c r="AD574" s="368">
        <v>0</v>
      </c>
      <c r="AE574" s="368">
        <v>22000</v>
      </c>
      <c r="AF574" s="368">
        <v>0</v>
      </c>
      <c r="AG574" s="368">
        <v>0</v>
      </c>
      <c r="AH574" s="367" t="e">
        <f t="shared" si="28"/>
        <v>#N/A</v>
      </c>
      <c r="AI574" s="362" t="e">
        <f>ERP[[#This Row],[2026 Working Total]]-ERP[[#This Row],[LE2 Final Submission]]</f>
        <v>#N/A</v>
      </c>
      <c r="AJ574" s="227">
        <v>0</v>
      </c>
      <c r="AK574" s="227">
        <f t="shared" si="27"/>
        <v>0</v>
      </c>
      <c r="AL574" s="374">
        <f>SUM(ERP[[#This Row],[AP01]:[AP06]])-SUM(ERP[[#This Row],[AP01 LE2]:[AP06 LE2]])</f>
        <v>-81000</v>
      </c>
      <c r="AM574" s="80"/>
      <c r="AN574" s="79" t="e">
        <f>ERP[[#This Row],[2026 Working Total to Budget/LE]]-ERP[[#This Row],[Giveback]]</f>
        <v>#N/A</v>
      </c>
      <c r="AO574" s="81"/>
      <c r="AP574" s="375"/>
      <c r="AQ574" s="375"/>
      <c r="AR574" s="375">
        <v>331000</v>
      </c>
      <c r="AS574" s="375">
        <v>0</v>
      </c>
      <c r="AT574" s="375">
        <v>0</v>
      </c>
      <c r="AU574" s="375">
        <v>81000</v>
      </c>
      <c r="AV574" s="375">
        <v>0</v>
      </c>
      <c r="AW574" s="375">
        <v>0</v>
      </c>
      <c r="AX574" s="375">
        <v>0</v>
      </c>
      <c r="AY574" s="375">
        <v>22000</v>
      </c>
      <c r="AZ574" s="375">
        <v>0</v>
      </c>
      <c r="BA574" s="375">
        <v>0</v>
      </c>
      <c r="BB574" s="375">
        <v>434000</v>
      </c>
      <c r="BC574" s="227"/>
      <c r="BD574" s="227"/>
      <c r="BE574" s="227">
        <v>331000</v>
      </c>
      <c r="BF574" s="227">
        <v>0</v>
      </c>
      <c r="BG574" s="227">
        <v>0</v>
      </c>
      <c r="BH574" s="227">
        <v>0</v>
      </c>
      <c r="BI574" s="227">
        <v>0</v>
      </c>
      <c r="BJ574" s="227">
        <v>103000</v>
      </c>
      <c r="BK574" s="227">
        <v>0</v>
      </c>
      <c r="BL574" s="227">
        <v>0</v>
      </c>
      <c r="BM574" s="227">
        <v>0</v>
      </c>
      <c r="BN574" s="227">
        <v>0</v>
      </c>
      <c r="BO574" s="227">
        <v>434000</v>
      </c>
    </row>
    <row r="575" spans="1:67" ht="15" customHeight="1">
      <c r="A575" s="215" t="s">
        <v>2732</v>
      </c>
      <c r="B575" s="215" t="s">
        <v>2733</v>
      </c>
      <c r="C575" s="150" t="s">
        <v>1136</v>
      </c>
      <c r="D575" s="334" t="s">
        <v>1345</v>
      </c>
      <c r="E575" s="334" t="s">
        <v>1481</v>
      </c>
      <c r="F575" s="334" t="s">
        <v>1346</v>
      </c>
      <c r="G575" s="516" t="s">
        <v>639</v>
      </c>
      <c r="H575" s="398" t="s">
        <v>2734</v>
      </c>
      <c r="I575" s="343"/>
      <c r="J575" s="344"/>
      <c r="K575" s="219" t="s">
        <v>977</v>
      </c>
      <c r="L575" s="349"/>
      <c r="M575" s="343"/>
      <c r="N575" s="349"/>
      <c r="O575" s="334" t="s">
        <v>25</v>
      </c>
      <c r="P575" s="354" t="s">
        <v>2914</v>
      </c>
      <c r="Q575" s="403"/>
      <c r="R575" s="406">
        <v>15096</v>
      </c>
      <c r="S575" s="406">
        <v>0</v>
      </c>
      <c r="T575" s="425"/>
      <c r="U575" s="71"/>
      <c r="V575" s="408"/>
      <c r="W575" s="410"/>
      <c r="X575" s="410"/>
      <c r="Y575" s="428" t="s">
        <v>1142</v>
      </c>
      <c r="Z575" s="429">
        <v>0</v>
      </c>
      <c r="AA575" s="429">
        <v>0</v>
      </c>
      <c r="AB575" s="363" t="e">
        <v>#N/A</v>
      </c>
      <c r="AC575" s="368">
        <v>0</v>
      </c>
      <c r="AD575" s="368">
        <v>0</v>
      </c>
      <c r="AE575" s="368">
        <v>0</v>
      </c>
      <c r="AF575" s="368">
        <v>0</v>
      </c>
      <c r="AG575" s="368">
        <v>0</v>
      </c>
      <c r="AH575" s="367" t="e">
        <f t="shared" si="28"/>
        <v>#N/A</v>
      </c>
      <c r="AI575" s="362" t="e">
        <f>ERP[[#This Row],[2026 Working Total]]-ERP[[#This Row],[LE2 Final Submission]]</f>
        <v>#N/A</v>
      </c>
      <c r="AJ575" s="227">
        <v>0</v>
      </c>
      <c r="AK575" s="227">
        <f t="shared" si="27"/>
        <v>0</v>
      </c>
      <c r="AL575" s="374">
        <f>SUM(ERP[[#This Row],[AP01]:[AP06]])-SUM(ERP[[#This Row],[AP01 LE2]:[AP06 LE2]])</f>
        <v>0</v>
      </c>
      <c r="AM575" s="80"/>
      <c r="AN575" s="79" t="e">
        <f>ERP[[#This Row],[2026 Working Total to Budget/LE]]-ERP[[#This Row],[Giveback]]</f>
        <v>#N/A</v>
      </c>
      <c r="AO575" s="81"/>
      <c r="AP575" s="375"/>
      <c r="AQ575" s="375"/>
      <c r="AR575" s="375"/>
      <c r="AS575" s="375">
        <v>0</v>
      </c>
      <c r="AT575" s="375">
        <v>0</v>
      </c>
      <c r="AU575" s="375">
        <v>0</v>
      </c>
      <c r="AV575" s="375">
        <v>0</v>
      </c>
      <c r="AW575" s="375">
        <v>0</v>
      </c>
      <c r="AX575" s="375">
        <v>0</v>
      </c>
      <c r="AY575" s="375">
        <v>0</v>
      </c>
      <c r="AZ575" s="375">
        <v>0</v>
      </c>
      <c r="BA575" s="375">
        <v>0</v>
      </c>
      <c r="BB575" s="375">
        <v>0</v>
      </c>
      <c r="BC575" s="227"/>
      <c r="BD575" s="227"/>
      <c r="BE575" s="227"/>
      <c r="BF575" s="227"/>
      <c r="BG575" s="227"/>
      <c r="BH575" s="227">
        <v>15096</v>
      </c>
      <c r="BI575" s="227">
        <v>0</v>
      </c>
      <c r="BJ575" s="227">
        <v>0</v>
      </c>
      <c r="BK575" s="227">
        <v>0</v>
      </c>
      <c r="BL575" s="227">
        <v>0</v>
      </c>
      <c r="BM575" s="227">
        <v>0</v>
      </c>
      <c r="BN575" s="227">
        <v>0</v>
      </c>
      <c r="BO575" s="227">
        <v>15096</v>
      </c>
    </row>
    <row r="576" spans="1:67" ht="15" customHeight="1">
      <c r="A576" s="227" t="s">
        <v>2736</v>
      </c>
      <c r="B576" s="330" t="s">
        <v>2737</v>
      </c>
      <c r="C576" s="150" t="s">
        <v>1136</v>
      </c>
      <c r="D576" s="336" t="s">
        <v>1345</v>
      </c>
      <c r="E576" s="337" t="s">
        <v>1481</v>
      </c>
      <c r="F576" s="339" t="s">
        <v>1346</v>
      </c>
      <c r="G576" s="517" t="s">
        <v>639</v>
      </c>
      <c r="H576" s="397" t="s">
        <v>1486</v>
      </c>
      <c r="I576" s="343"/>
      <c r="J576" s="339"/>
      <c r="K576" s="253" t="s">
        <v>979</v>
      </c>
      <c r="L576" s="351"/>
      <c r="M576" s="343"/>
      <c r="N576" s="353"/>
      <c r="O576" s="350" t="s">
        <v>25</v>
      </c>
      <c r="P576" s="356" t="s">
        <v>2738</v>
      </c>
      <c r="Q576" s="432"/>
      <c r="R576" s="358">
        <v>120000</v>
      </c>
      <c r="S576" s="378">
        <v>0</v>
      </c>
      <c r="T576" s="425"/>
      <c r="U576" s="71"/>
      <c r="V576" s="409">
        <v>0</v>
      </c>
      <c r="W576" s="411">
        <v>0</v>
      </c>
      <c r="X576" s="411">
        <v>0</v>
      </c>
      <c r="Y576" s="428" t="s">
        <v>1142</v>
      </c>
      <c r="Z576" s="429">
        <v>0</v>
      </c>
      <c r="AA576" s="429">
        <v>0</v>
      </c>
      <c r="AB576" s="363" t="e">
        <v>#N/A</v>
      </c>
      <c r="AC576" s="370">
        <f t="shared" ref="AC576:AG576" si="29">20000-20000</f>
        <v>0</v>
      </c>
      <c r="AD576" s="370">
        <f t="shared" si="29"/>
        <v>0</v>
      </c>
      <c r="AE576" s="370">
        <f t="shared" si="29"/>
        <v>0</v>
      </c>
      <c r="AF576" s="370">
        <f t="shared" si="29"/>
        <v>0</v>
      </c>
      <c r="AG576" s="370">
        <f t="shared" si="29"/>
        <v>0</v>
      </c>
      <c r="AH576" s="367" t="e">
        <f t="shared" si="28"/>
        <v>#N/A</v>
      </c>
      <c r="AI576" s="362" t="e">
        <f>ERP[[#This Row],[2026 Working Total]]-ERP[[#This Row],[LE2 Final Submission]]</f>
        <v>#N/A</v>
      </c>
      <c r="AJ576" s="227">
        <v>0</v>
      </c>
      <c r="AK576" s="227">
        <f t="shared" si="27"/>
        <v>0</v>
      </c>
      <c r="AL576" s="374">
        <f>SUM(ERP[[#This Row],[AP01]:[AP06]])-SUM(ERP[[#This Row],[AP01 LE2]:[AP06 LE2]])</f>
        <v>0</v>
      </c>
      <c r="AM576" s="80"/>
      <c r="AN576" s="79" t="e">
        <f>ERP[[#This Row],[2026 Working Total to Budget/LE]]-ERP[[#This Row],[Giveback]]</f>
        <v>#N/A</v>
      </c>
      <c r="AO576" s="81" t="s">
        <v>2739</v>
      </c>
      <c r="AP576" s="375">
        <v>0</v>
      </c>
      <c r="AQ576" s="375">
        <v>0</v>
      </c>
      <c r="AR576" s="375">
        <v>0</v>
      </c>
      <c r="AS576" s="375">
        <v>0</v>
      </c>
      <c r="AT576" s="375">
        <v>0</v>
      </c>
      <c r="AU576" s="375">
        <v>0</v>
      </c>
      <c r="AV576" s="375">
        <v>0</v>
      </c>
      <c r="AW576" s="375">
        <v>0</v>
      </c>
      <c r="AX576" s="375">
        <v>0</v>
      </c>
      <c r="AY576" s="375">
        <v>0</v>
      </c>
      <c r="AZ576" s="375">
        <v>0</v>
      </c>
      <c r="BA576" s="375">
        <v>0</v>
      </c>
      <c r="BB576" s="375">
        <v>0</v>
      </c>
      <c r="BC576" s="246">
        <v>0</v>
      </c>
      <c r="BD576" s="246">
        <v>0</v>
      </c>
      <c r="BE576" s="246">
        <v>0</v>
      </c>
      <c r="BF576" s="246">
        <v>0</v>
      </c>
      <c r="BG576" s="246">
        <v>0</v>
      </c>
      <c r="BH576" s="246">
        <v>0</v>
      </c>
      <c r="BI576" s="246">
        <v>20000</v>
      </c>
      <c r="BJ576" s="246">
        <v>20000</v>
      </c>
      <c r="BK576" s="246">
        <v>20000</v>
      </c>
      <c r="BL576" s="246">
        <v>20000</v>
      </c>
      <c r="BM576" s="246">
        <v>20000</v>
      </c>
      <c r="BN576" s="246">
        <v>20000</v>
      </c>
      <c r="BO576" s="227">
        <f>SUM(ERP[[#This Row],[2026 AP01]:[2026 AP12]])</f>
        <v>120000</v>
      </c>
    </row>
    <row r="577" spans="1:67" ht="15" customHeight="1">
      <c r="A577" s="215" t="s">
        <v>2192</v>
      </c>
      <c r="B577" s="215" t="s">
        <v>630</v>
      </c>
      <c r="C577" s="150" t="s">
        <v>1136</v>
      </c>
      <c r="D577" s="334" t="s">
        <v>1345</v>
      </c>
      <c r="E577" s="334" t="s">
        <v>1515</v>
      </c>
      <c r="F577" s="334" t="s">
        <v>1346</v>
      </c>
      <c r="G577" s="516" t="s">
        <v>629</v>
      </c>
      <c r="H577" s="398" t="s">
        <v>2193</v>
      </c>
      <c r="I577" s="343"/>
      <c r="J577" s="344"/>
      <c r="K577" s="219" t="s">
        <v>631</v>
      </c>
      <c r="L577" s="349"/>
      <c r="M577" s="343"/>
      <c r="N577" s="349"/>
      <c r="O577" s="334" t="s">
        <v>632</v>
      </c>
      <c r="P577" s="354"/>
      <c r="Q577" s="403"/>
      <c r="R577" s="406">
        <v>17000</v>
      </c>
      <c r="S577" s="406">
        <v>15576.84</v>
      </c>
      <c r="T577" s="425"/>
      <c r="U577" s="71"/>
      <c r="V577" s="408"/>
      <c r="W577" s="410">
        <v>1512.59</v>
      </c>
      <c r="X577" s="410">
        <v>814.25</v>
      </c>
      <c r="Y577" s="428" t="s">
        <v>1142</v>
      </c>
      <c r="Z577" s="429">
        <v>0</v>
      </c>
      <c r="AA577" s="429">
        <v>0</v>
      </c>
      <c r="AB577" s="363" t="e">
        <v>#N/A</v>
      </c>
      <c r="AC577" s="369">
        <v>1500</v>
      </c>
      <c r="AD577" s="369">
        <v>1500</v>
      </c>
      <c r="AE577" s="369">
        <v>1500</v>
      </c>
      <c r="AF577" s="369">
        <v>1500</v>
      </c>
      <c r="AG577" s="369">
        <v>1500</v>
      </c>
      <c r="AH577" s="367" t="e">
        <f t="shared" si="28"/>
        <v>#N/A</v>
      </c>
      <c r="AI577" s="362" t="e">
        <f>ERP[[#This Row],[2026 Working Total]]-ERP[[#This Row],[LE2 Final Submission]]</f>
        <v>#N/A</v>
      </c>
      <c r="AJ577" s="227">
        <v>1500</v>
      </c>
      <c r="AK577" s="227">
        <f t="shared" si="27"/>
        <v>-1500</v>
      </c>
      <c r="AL577" s="374">
        <f>SUM(ERP[[#This Row],[AP01]:[AP06]])-SUM(ERP[[#This Row],[AP01 LE2]:[AP06 LE2]])</f>
        <v>-4250</v>
      </c>
      <c r="AM577" s="80"/>
      <c r="AN577" s="79" t="e">
        <f>ERP[[#This Row],[2026 Working Total to Budget/LE]]-ERP[[#This Row],[Giveback]]</f>
        <v>#N/A</v>
      </c>
      <c r="AO577" s="81"/>
      <c r="AP577" s="375"/>
      <c r="AQ577" s="375">
        <v>1512.59</v>
      </c>
      <c r="AR577" s="375">
        <v>814.25</v>
      </c>
      <c r="AS577" s="375">
        <v>1250</v>
      </c>
      <c r="AT577" s="375">
        <v>1500</v>
      </c>
      <c r="AU577" s="375">
        <v>1500</v>
      </c>
      <c r="AV577" s="375">
        <v>1500</v>
      </c>
      <c r="AW577" s="375">
        <v>1500</v>
      </c>
      <c r="AX577" s="375">
        <v>1500</v>
      </c>
      <c r="AY577" s="375">
        <v>1500</v>
      </c>
      <c r="AZ577" s="375">
        <v>1500</v>
      </c>
      <c r="BA577" s="375">
        <v>1500</v>
      </c>
      <c r="BB577" s="375">
        <v>15576.84</v>
      </c>
      <c r="BC577" s="227"/>
      <c r="BD577" s="227">
        <v>1512.59</v>
      </c>
      <c r="BE577" s="227">
        <v>814.25</v>
      </c>
      <c r="BF577" s="227">
        <v>1250</v>
      </c>
      <c r="BG577" s="227">
        <v>1500</v>
      </c>
      <c r="BH577" s="227">
        <v>1500</v>
      </c>
      <c r="BI577" s="227">
        <v>1500</v>
      </c>
      <c r="BJ577" s="227">
        <v>1500</v>
      </c>
      <c r="BK577" s="227">
        <v>1500</v>
      </c>
      <c r="BL577" s="227">
        <v>1500</v>
      </c>
      <c r="BM577" s="227">
        <v>1500</v>
      </c>
      <c r="BN577" s="227">
        <v>1500</v>
      </c>
      <c r="BO577" s="227">
        <v>15576.84</v>
      </c>
    </row>
    <row r="578" spans="1:67" ht="15" customHeight="1">
      <c r="A578" s="334" t="s">
        <v>1444</v>
      </c>
      <c r="B578" s="330" t="s">
        <v>202</v>
      </c>
      <c r="C578" s="150" t="s">
        <v>1136</v>
      </c>
      <c r="D578" s="336" t="s">
        <v>1345</v>
      </c>
      <c r="E578" s="336" t="s">
        <v>1345</v>
      </c>
      <c r="F578" s="339" t="s">
        <v>1345</v>
      </c>
      <c r="G578" s="518" t="s">
        <v>49</v>
      </c>
      <c r="H578" s="397" t="s">
        <v>1327</v>
      </c>
      <c r="I578" s="333"/>
      <c r="J578" s="336" t="s">
        <v>1441</v>
      </c>
      <c r="K578" s="237" t="s">
        <v>147</v>
      </c>
      <c r="L578" s="351"/>
      <c r="M578" s="347"/>
      <c r="N578" s="353"/>
      <c r="O578" s="353"/>
      <c r="P578" s="452"/>
      <c r="Q578" s="402"/>
      <c r="R578" s="406"/>
      <c r="S578" s="406"/>
      <c r="T578" s="425"/>
      <c r="U578" s="71"/>
      <c r="V578" s="413"/>
      <c r="W578" s="414"/>
      <c r="X578" s="414"/>
      <c r="Y578" s="429"/>
      <c r="Z578" s="429">
        <v>0</v>
      </c>
      <c r="AA578" s="429">
        <v>0</v>
      </c>
      <c r="AB578" s="363" t="e">
        <v>#N/A</v>
      </c>
      <c r="AC578" s="371"/>
      <c r="AD578" s="371"/>
      <c r="AE578" s="371"/>
      <c r="AF578" s="371"/>
      <c r="AG578" s="371"/>
      <c r="AH578" s="367" t="e">
        <f t="shared" si="28"/>
        <v>#N/A</v>
      </c>
      <c r="AI578" s="362" t="e">
        <f>ERP[[#This Row],[2026 Working Total]]-ERP[[#This Row],[LE2 Final Submission]]</f>
        <v>#N/A</v>
      </c>
      <c r="AJ578" s="227"/>
      <c r="AK578" s="227">
        <f t="shared" si="27"/>
        <v>0</v>
      </c>
      <c r="AL578" s="374">
        <f>SUM(ERP[[#This Row],[AP01]:[AP06]])-SUM(ERP[[#This Row],[AP01 LE2]:[AP06 LE2]])</f>
        <v>0</v>
      </c>
      <c r="AM578" s="80"/>
      <c r="AN578" s="79" t="e">
        <f>ERP[[#This Row],[2026 Working Total to Budget/LE]]-ERP[[#This Row],[Giveback]]</f>
        <v>#N/A</v>
      </c>
      <c r="AO578" s="81"/>
      <c r="AP578" s="375"/>
      <c r="AQ578" s="375"/>
      <c r="AR578" s="375"/>
      <c r="AS578" s="375"/>
      <c r="AT578" s="375"/>
      <c r="AU578" s="375"/>
      <c r="AV578" s="375"/>
      <c r="AW578" s="375"/>
      <c r="AX578" s="375"/>
      <c r="AY578" s="375"/>
      <c r="AZ578" s="375"/>
      <c r="BA578" s="375"/>
      <c r="BB578" s="375"/>
      <c r="BC578" s="227"/>
      <c r="BD578" s="227"/>
      <c r="BE578" s="227"/>
      <c r="BF578" s="227"/>
      <c r="BG578" s="227"/>
      <c r="BH578" s="227"/>
      <c r="BI578" s="227"/>
      <c r="BJ578" s="227"/>
      <c r="BK578" s="227"/>
      <c r="BL578" s="227"/>
      <c r="BM578" s="227"/>
      <c r="BN578" s="227"/>
      <c r="BO578" s="227"/>
    </row>
    <row r="579" spans="1:67" ht="15" customHeight="1">
      <c r="A579" s="334" t="s">
        <v>1510</v>
      </c>
      <c r="B579" s="330" t="s">
        <v>237</v>
      </c>
      <c r="C579" s="150" t="s">
        <v>1136</v>
      </c>
      <c r="D579" s="336" t="s">
        <v>1345</v>
      </c>
      <c r="E579" s="336" t="s">
        <v>1480</v>
      </c>
      <c r="F579" s="339" t="s">
        <v>1480</v>
      </c>
      <c r="G579" s="518" t="s">
        <v>49</v>
      </c>
      <c r="H579" s="397" t="s">
        <v>1327</v>
      </c>
      <c r="I579" s="333"/>
      <c r="J579" s="336" t="s">
        <v>1493</v>
      </c>
      <c r="K579" s="237" t="s">
        <v>147</v>
      </c>
      <c r="L579" s="351"/>
      <c r="M579" s="347"/>
      <c r="N579" s="353"/>
      <c r="O579" s="353"/>
      <c r="P579" s="452"/>
      <c r="Q579" s="402"/>
      <c r="R579" s="406"/>
      <c r="S579" s="406"/>
      <c r="T579" s="425"/>
      <c r="U579" s="71"/>
      <c r="V579" s="413"/>
      <c r="W579" s="414"/>
      <c r="X579" s="414"/>
      <c r="Y579" s="429"/>
      <c r="Z579" s="429">
        <v>0</v>
      </c>
      <c r="AA579" s="429">
        <v>0</v>
      </c>
      <c r="AB579" s="363" t="e">
        <v>#N/A</v>
      </c>
      <c r="AC579" s="371"/>
      <c r="AD579" s="371"/>
      <c r="AE579" s="371"/>
      <c r="AF579" s="371"/>
      <c r="AG579" s="371"/>
      <c r="AH579" s="367" t="e">
        <f t="shared" si="28"/>
        <v>#N/A</v>
      </c>
      <c r="AI579" s="362" t="e">
        <f>ERP[[#This Row],[2026 Working Total]]-ERP[[#This Row],[LE2 Final Submission]]</f>
        <v>#N/A</v>
      </c>
      <c r="AJ579" s="227"/>
      <c r="AK579" s="227">
        <f t="shared" si="27"/>
        <v>0</v>
      </c>
      <c r="AL579" s="374">
        <f>SUM(ERP[[#This Row],[AP01]:[AP06]])-SUM(ERP[[#This Row],[AP01 LE2]:[AP06 LE2]])</f>
        <v>0</v>
      </c>
      <c r="AM579" s="80"/>
      <c r="AN579" s="79" t="e">
        <f>ERP[[#This Row],[2026 Working Total to Budget/LE]]-ERP[[#This Row],[Giveback]]</f>
        <v>#N/A</v>
      </c>
      <c r="AO579" s="81"/>
      <c r="AP579" s="375"/>
      <c r="AQ579" s="375"/>
      <c r="AR579" s="375"/>
      <c r="AS579" s="375"/>
      <c r="AT579" s="375"/>
      <c r="AU579" s="375"/>
      <c r="AV579" s="375"/>
      <c r="AW579" s="375"/>
      <c r="AX579" s="375"/>
      <c r="AY579" s="375"/>
      <c r="AZ579" s="375"/>
      <c r="BA579" s="375"/>
      <c r="BB579" s="375"/>
      <c r="BC579" s="227"/>
      <c r="BD579" s="227"/>
      <c r="BE579" s="227"/>
      <c r="BF579" s="227"/>
      <c r="BG579" s="227"/>
      <c r="BH579" s="227"/>
      <c r="BI579" s="227"/>
      <c r="BJ579" s="227"/>
      <c r="BK579" s="227"/>
      <c r="BL579" s="227"/>
      <c r="BM579" s="227"/>
      <c r="BN579" s="227"/>
      <c r="BO579" s="227"/>
    </row>
    <row r="580" spans="1:67" ht="15" customHeight="1">
      <c r="A580" s="334" t="s">
        <v>2197</v>
      </c>
      <c r="B580" s="330" t="s">
        <v>2198</v>
      </c>
      <c r="C580" s="150" t="s">
        <v>1136</v>
      </c>
      <c r="D580" s="336" t="s">
        <v>1567</v>
      </c>
      <c r="E580" s="336" t="s">
        <v>1567</v>
      </c>
      <c r="F580" s="339" t="s">
        <v>1567</v>
      </c>
      <c r="G580" s="518" t="s">
        <v>629</v>
      </c>
      <c r="H580" s="397" t="s">
        <v>1327</v>
      </c>
      <c r="I580" s="333"/>
      <c r="J580" s="336" t="s">
        <v>1593</v>
      </c>
      <c r="K580" s="237" t="s">
        <v>147</v>
      </c>
      <c r="L580" s="351"/>
      <c r="M580" s="347"/>
      <c r="N580" s="353"/>
      <c r="O580" s="353"/>
      <c r="P580" s="452"/>
      <c r="Q580" s="402"/>
      <c r="R580" s="406"/>
      <c r="S580" s="406"/>
      <c r="T580" s="425"/>
      <c r="U580" s="425"/>
      <c r="V580" s="413"/>
      <c r="W580" s="414"/>
      <c r="X580" s="414"/>
      <c r="Y580" s="436"/>
      <c r="Z580" s="429">
        <v>0</v>
      </c>
      <c r="AA580" s="429">
        <v>0</v>
      </c>
      <c r="AB580" s="363" t="e">
        <v>#N/A</v>
      </c>
      <c r="AC580" s="371"/>
      <c r="AD580" s="371"/>
      <c r="AE580" s="371"/>
      <c r="AF580" s="371"/>
      <c r="AG580" s="371"/>
      <c r="AH580" s="367" t="e">
        <f t="shared" si="28"/>
        <v>#N/A</v>
      </c>
      <c r="AI580" s="362" t="e">
        <f>ERP[[#This Row],[2026 Working Total]]-ERP[[#This Row],[LE2 Final Submission]]</f>
        <v>#N/A</v>
      </c>
      <c r="AJ580" s="227"/>
      <c r="AK580" s="227">
        <f t="shared" si="27"/>
        <v>0</v>
      </c>
      <c r="AL580" s="374">
        <f>SUM(ERP[[#This Row],[AP01]:[AP06]])-SUM(ERP[[#This Row],[AP01 LE2]:[AP06 LE2]])</f>
        <v>0</v>
      </c>
      <c r="AM580" s="80"/>
      <c r="AN580" s="79" t="e">
        <f>ERP[[#This Row],[2026 Working Total to Budget/LE]]-ERP[[#This Row],[Giveback]]</f>
        <v>#N/A</v>
      </c>
      <c r="AO580" s="81"/>
      <c r="AP580" s="375"/>
      <c r="AQ580" s="375"/>
      <c r="AR580" s="375"/>
      <c r="AS580" s="375"/>
      <c r="AT580" s="375"/>
      <c r="AU580" s="375"/>
      <c r="AV580" s="375"/>
      <c r="AW580" s="375"/>
      <c r="AX580" s="375"/>
      <c r="AY580" s="375"/>
      <c r="AZ580" s="375"/>
      <c r="BA580" s="375"/>
      <c r="BB580" s="375"/>
      <c r="BC580" s="227"/>
      <c r="BD580" s="227"/>
      <c r="BE580" s="227"/>
      <c r="BF580" s="227"/>
      <c r="BG580" s="227"/>
      <c r="BH580" s="227"/>
      <c r="BI580" s="227"/>
      <c r="BJ580" s="227"/>
      <c r="BK580" s="227"/>
      <c r="BL580" s="227"/>
      <c r="BM580" s="227"/>
      <c r="BN580" s="227"/>
      <c r="BO580" s="227"/>
    </row>
    <row r="581" spans="1:67" ht="15" customHeight="1">
      <c r="A581" s="334" t="s">
        <v>2064</v>
      </c>
      <c r="B581" s="330" t="s">
        <v>2065</v>
      </c>
      <c r="C581" s="150" t="s">
        <v>1136</v>
      </c>
      <c r="D581" s="336" t="s">
        <v>1345</v>
      </c>
      <c r="E581" s="336" t="s">
        <v>1481</v>
      </c>
      <c r="F581" s="336" t="s">
        <v>1481</v>
      </c>
      <c r="G581" s="518" t="s">
        <v>389</v>
      </c>
      <c r="H581" s="397" t="s">
        <v>1327</v>
      </c>
      <c r="I581" s="333"/>
      <c r="J581" s="336" t="s">
        <v>1487</v>
      </c>
      <c r="K581" s="237" t="s">
        <v>147</v>
      </c>
      <c r="L581" s="351"/>
      <c r="M581" s="347"/>
      <c r="N581" s="353"/>
      <c r="O581" s="353"/>
      <c r="P581" s="452"/>
      <c r="Q581" s="402"/>
      <c r="R581" s="406"/>
      <c r="S581" s="406"/>
      <c r="T581" s="425"/>
      <c r="U581" s="425"/>
      <c r="V581" s="413"/>
      <c r="W581" s="414"/>
      <c r="X581" s="414"/>
      <c r="Y581" s="436"/>
      <c r="Z581" s="429">
        <v>0</v>
      </c>
      <c r="AA581" s="429">
        <v>0</v>
      </c>
      <c r="AB581" s="363" t="e">
        <v>#N/A</v>
      </c>
      <c r="AC581" s="371"/>
      <c r="AD581" s="371"/>
      <c r="AE581" s="371"/>
      <c r="AF581" s="371"/>
      <c r="AG581" s="371"/>
      <c r="AH581" s="367" t="e">
        <f t="shared" si="28"/>
        <v>#N/A</v>
      </c>
      <c r="AI581" s="362" t="e">
        <f>ERP[[#This Row],[2026 Working Total]]-ERP[[#This Row],[LE2 Final Submission]]</f>
        <v>#N/A</v>
      </c>
      <c r="AJ581" s="227"/>
      <c r="AK581" s="227">
        <f t="shared" si="27"/>
        <v>0</v>
      </c>
      <c r="AL581" s="374">
        <f>SUM(ERP[[#This Row],[AP01]:[AP06]])-SUM(ERP[[#This Row],[AP01 LE2]:[AP06 LE2]])</f>
        <v>0</v>
      </c>
      <c r="AM581" s="80"/>
      <c r="AN581" s="79" t="e">
        <f>ERP[[#This Row],[2026 Working Total to Budget/LE]]-ERP[[#This Row],[Giveback]]</f>
        <v>#N/A</v>
      </c>
      <c r="AO581" s="81"/>
      <c r="AP581" s="375"/>
      <c r="AQ581" s="375"/>
      <c r="AR581" s="375"/>
      <c r="AS581" s="375"/>
      <c r="AT581" s="375"/>
      <c r="AU581" s="375"/>
      <c r="AV581" s="375"/>
      <c r="AW581" s="375"/>
      <c r="AX581" s="375"/>
      <c r="AY581" s="375"/>
      <c r="AZ581" s="375"/>
      <c r="BA581" s="375"/>
      <c r="BB581" s="375"/>
      <c r="BC581" s="227"/>
      <c r="BD581" s="227"/>
      <c r="BE581" s="227"/>
      <c r="BF581" s="227"/>
      <c r="BG581" s="227"/>
      <c r="BH581" s="227"/>
      <c r="BI581" s="227"/>
      <c r="BJ581" s="227"/>
      <c r="BK581" s="227"/>
      <c r="BL581" s="227"/>
      <c r="BM581" s="227"/>
      <c r="BN581" s="227"/>
      <c r="BO581" s="227"/>
    </row>
    <row r="582" spans="1:67" ht="15" customHeight="1">
      <c r="A582" s="215" t="s">
        <v>2587</v>
      </c>
      <c r="B582" s="215" t="s">
        <v>893</v>
      </c>
      <c r="C582" s="150" t="s">
        <v>1136</v>
      </c>
      <c r="D582" s="334" t="s">
        <v>1135</v>
      </c>
      <c r="E582" s="334" t="s">
        <v>1135</v>
      </c>
      <c r="F582" s="334" t="s">
        <v>1137</v>
      </c>
      <c r="G582" s="516" t="s">
        <v>639</v>
      </c>
      <c r="H582" s="398" t="s">
        <v>2588</v>
      </c>
      <c r="I582" s="343"/>
      <c r="J582" s="344"/>
      <c r="K582" s="219" t="s">
        <v>894</v>
      </c>
      <c r="L582" s="349"/>
      <c r="M582" s="343"/>
      <c r="N582" s="349"/>
      <c r="O582" s="334" t="s">
        <v>25</v>
      </c>
      <c r="P582" s="354"/>
      <c r="Q582" s="403"/>
      <c r="R582" s="406">
        <v>30000</v>
      </c>
      <c r="S582" s="406">
        <v>30000</v>
      </c>
      <c r="T582" s="425"/>
      <c r="U582" s="425"/>
      <c r="V582" s="408"/>
      <c r="W582" s="410"/>
      <c r="X582" s="410"/>
      <c r="Y582" s="428" t="s">
        <v>1142</v>
      </c>
      <c r="Z582" s="429">
        <v>0</v>
      </c>
      <c r="AA582" s="429">
        <v>0</v>
      </c>
      <c r="AB582" s="363" t="e">
        <v>#N/A</v>
      </c>
      <c r="AC582" s="369">
        <v>30000</v>
      </c>
      <c r="AD582" s="368">
        <v>0</v>
      </c>
      <c r="AE582" s="368">
        <v>0</v>
      </c>
      <c r="AF582" s="368">
        <v>0</v>
      </c>
      <c r="AG582" s="360">
        <v>0</v>
      </c>
      <c r="AH582" s="367" t="e">
        <f t="shared" si="28"/>
        <v>#N/A</v>
      </c>
      <c r="AI582" s="362" t="e">
        <f>ERP[[#This Row],[2026 Working Total]]-ERP[[#This Row],[LE2 Final Submission]]</f>
        <v>#N/A</v>
      </c>
      <c r="AJ582" s="227"/>
      <c r="AK582" s="227">
        <f t="shared" si="27"/>
        <v>0</v>
      </c>
      <c r="AL582" s="374">
        <f>SUM(ERP[[#This Row],[AP01]:[AP06]])-SUM(ERP[[#This Row],[AP01 LE2]:[AP06 LE2]])</f>
        <v>0</v>
      </c>
      <c r="AM582" s="80"/>
      <c r="AN582" s="79" t="e">
        <f>ERP[[#This Row],[2026 Working Total to Budget/LE]]-ERP[[#This Row],[Giveback]]</f>
        <v>#N/A</v>
      </c>
      <c r="AO582" s="81"/>
      <c r="AP582" s="375"/>
      <c r="AQ582" s="375"/>
      <c r="AR582" s="375"/>
      <c r="AS582" s="375"/>
      <c r="AT582" s="375"/>
      <c r="AU582" s="375"/>
      <c r="AV582" s="375"/>
      <c r="AW582" s="375">
        <v>30000</v>
      </c>
      <c r="AX582" s="375">
        <v>0</v>
      </c>
      <c r="AY582" s="375">
        <v>0</v>
      </c>
      <c r="AZ582" s="375">
        <v>0</v>
      </c>
      <c r="BA582" s="375">
        <v>0</v>
      </c>
      <c r="BB582" s="375">
        <v>30000</v>
      </c>
      <c r="BC582" s="227"/>
      <c r="BD582" s="227"/>
      <c r="BE582" s="227"/>
      <c r="BF582" s="227"/>
      <c r="BG582" s="227"/>
      <c r="BH582" s="227"/>
      <c r="BI582" s="227"/>
      <c r="BJ582" s="227">
        <v>30000</v>
      </c>
      <c r="BK582" s="227">
        <v>0</v>
      </c>
      <c r="BL582" s="227">
        <v>0</v>
      </c>
      <c r="BM582" s="227">
        <v>0</v>
      </c>
      <c r="BN582" s="227">
        <v>0</v>
      </c>
      <c r="BO582" s="227">
        <v>30000</v>
      </c>
    </row>
    <row r="583" spans="1:67" ht="15" customHeight="1">
      <c r="A583" s="215" t="s">
        <v>1639</v>
      </c>
      <c r="B583" s="215" t="s">
        <v>1640</v>
      </c>
      <c r="C583" s="150" t="s">
        <v>1136</v>
      </c>
      <c r="D583" s="334" t="s">
        <v>1345</v>
      </c>
      <c r="E583" s="334" t="s">
        <v>1346</v>
      </c>
      <c r="F583" s="334" t="s">
        <v>1346</v>
      </c>
      <c r="G583" s="516" t="s">
        <v>49</v>
      </c>
      <c r="H583" s="398" t="s">
        <v>1327</v>
      </c>
      <c r="I583" s="343"/>
      <c r="J583" s="344"/>
      <c r="K583" s="219" t="s">
        <v>147</v>
      </c>
      <c r="L583" s="349"/>
      <c r="M583" s="343"/>
      <c r="N583" s="349"/>
      <c r="O583" s="334" t="s">
        <v>25</v>
      </c>
      <c r="P583" s="354"/>
      <c r="Q583" s="403"/>
      <c r="R583" s="406">
        <v>0</v>
      </c>
      <c r="S583" s="406">
        <v>19969.14</v>
      </c>
      <c r="T583" s="425"/>
      <c r="U583" s="71"/>
      <c r="V583" s="408">
        <v>6818.85</v>
      </c>
      <c r="W583" s="410">
        <v>9998.51</v>
      </c>
      <c r="X583" s="410">
        <v>3151.78</v>
      </c>
      <c r="Y583" s="428">
        <v>13245.82</v>
      </c>
      <c r="Z583" s="429">
        <v>11713.649999999994</v>
      </c>
      <c r="AA583" s="429">
        <v>24135.279999999999</v>
      </c>
      <c r="AB583" s="363" t="e">
        <v>#N/A</v>
      </c>
      <c r="AC583" s="368">
        <v>0</v>
      </c>
      <c r="AD583" s="368">
        <v>0</v>
      </c>
      <c r="AE583" s="368">
        <v>0</v>
      </c>
      <c r="AF583" s="368">
        <v>0</v>
      </c>
      <c r="AG583" s="368">
        <v>0</v>
      </c>
      <c r="AH583" s="367" t="e">
        <f t="shared" si="28"/>
        <v>#N/A</v>
      </c>
      <c r="AI583" s="362" t="e">
        <f>ERP[[#This Row],[2026 Working Total]]-ERP[[#This Row],[LE2 Final Submission]]</f>
        <v>#N/A</v>
      </c>
      <c r="AJ583" s="227">
        <v>0</v>
      </c>
      <c r="AK583" s="227">
        <f t="shared" si="27"/>
        <v>24135.279999999999</v>
      </c>
      <c r="AL583" s="374">
        <f>SUM(ERP[[#This Row],[AP01]:[AP06]])-SUM(ERP[[#This Row],[AP01 LE2]:[AP06 LE2]])</f>
        <v>49094.749999999985</v>
      </c>
      <c r="AM583" s="80"/>
      <c r="AN583" s="79" t="e">
        <f>ERP[[#This Row],[2026 Working Total to Budget/LE]]-ERP[[#This Row],[Giveback]]</f>
        <v>#N/A</v>
      </c>
      <c r="AO583" s="81"/>
      <c r="AP583" s="375">
        <v>6818.85</v>
      </c>
      <c r="AQ583" s="375">
        <v>9998.51</v>
      </c>
      <c r="AR583" s="375">
        <v>3151.78</v>
      </c>
      <c r="AS583" s="375">
        <v>0</v>
      </c>
      <c r="AT583" s="375">
        <v>0</v>
      </c>
      <c r="AU583" s="375">
        <v>0</v>
      </c>
      <c r="AV583" s="375">
        <v>0</v>
      </c>
      <c r="AW583" s="375">
        <v>0</v>
      </c>
      <c r="AX583" s="375">
        <v>0</v>
      </c>
      <c r="AY583" s="375">
        <v>0</v>
      </c>
      <c r="AZ583" s="375">
        <v>0</v>
      </c>
      <c r="BA583" s="375">
        <v>0</v>
      </c>
      <c r="BB583" s="375">
        <v>19969.14</v>
      </c>
      <c r="BC583" s="227">
        <v>6818.85</v>
      </c>
      <c r="BD583" s="227">
        <v>9998.51</v>
      </c>
      <c r="BE583" s="227">
        <v>3151.78</v>
      </c>
      <c r="BF583" s="227">
        <v>0</v>
      </c>
      <c r="BG583" s="227">
        <v>0</v>
      </c>
      <c r="BH583" s="227">
        <v>0</v>
      </c>
      <c r="BI583" s="227">
        <v>0</v>
      </c>
      <c r="BJ583" s="227">
        <v>0</v>
      </c>
      <c r="BK583" s="227">
        <v>0</v>
      </c>
      <c r="BL583" s="227">
        <v>0</v>
      </c>
      <c r="BM583" s="227">
        <v>0</v>
      </c>
      <c r="BN583" s="227">
        <v>0</v>
      </c>
      <c r="BO583" s="227">
        <v>19969.14</v>
      </c>
    </row>
    <row r="584" spans="1:67" ht="15" customHeight="1">
      <c r="A584" s="215" t="s">
        <v>1744</v>
      </c>
      <c r="B584" s="215" t="s">
        <v>1745</v>
      </c>
      <c r="C584" s="150" t="s">
        <v>1136</v>
      </c>
      <c r="D584" s="334" t="s">
        <v>1345</v>
      </c>
      <c r="E584" s="334" t="s">
        <v>1346</v>
      </c>
      <c r="F584" s="334" t="s">
        <v>1346</v>
      </c>
      <c r="G584" s="516" t="s">
        <v>342</v>
      </c>
      <c r="H584" s="398" t="s">
        <v>1327</v>
      </c>
      <c r="I584" s="343"/>
      <c r="J584" s="344"/>
      <c r="K584" s="219" t="s">
        <v>147</v>
      </c>
      <c r="L584" s="349"/>
      <c r="M584" s="343"/>
      <c r="N584" s="349"/>
      <c r="O584" s="334" t="s">
        <v>25</v>
      </c>
      <c r="P584" s="354"/>
      <c r="Q584" s="403"/>
      <c r="R584" s="406">
        <v>0</v>
      </c>
      <c r="S584" s="406">
        <v>835.42000000000007</v>
      </c>
      <c r="T584" s="425"/>
      <c r="U584" s="71"/>
      <c r="V584" s="408">
        <v>-0.14000000000000001</v>
      </c>
      <c r="W584" s="410">
        <v>464.29</v>
      </c>
      <c r="X584" s="410">
        <v>371.27</v>
      </c>
      <c r="Y584" s="428">
        <v>-0.06</v>
      </c>
      <c r="Z584" s="429">
        <v>2499.4899999999998</v>
      </c>
      <c r="AA584" s="429">
        <v>-0.11</v>
      </c>
      <c r="AB584" s="363" t="e">
        <v>#N/A</v>
      </c>
      <c r="AC584" s="368">
        <v>0</v>
      </c>
      <c r="AD584" s="368">
        <v>0</v>
      </c>
      <c r="AE584" s="368">
        <v>0</v>
      </c>
      <c r="AF584" s="368">
        <v>0</v>
      </c>
      <c r="AG584" s="368">
        <v>0</v>
      </c>
      <c r="AH584" s="367" t="e">
        <f t="shared" si="28"/>
        <v>#N/A</v>
      </c>
      <c r="AI584" s="362" t="e">
        <f>ERP[[#This Row],[2026 Working Total]]-ERP[[#This Row],[LE2 Final Submission]]</f>
        <v>#N/A</v>
      </c>
      <c r="AJ584" s="227">
        <v>0</v>
      </c>
      <c r="AK584" s="227">
        <f t="shared" ref="AK584:AK647" si="30">$AA584 - $AJ584</f>
        <v>-0.11</v>
      </c>
      <c r="AL584" s="374">
        <f>SUM(ERP[[#This Row],[AP01]:[AP06]])-SUM(ERP[[#This Row],[AP01 LE2]:[AP06 LE2]])</f>
        <v>2499.3199999999997</v>
      </c>
      <c r="AM584" s="80"/>
      <c r="AN584" s="79" t="e">
        <f>ERP[[#This Row],[2026 Working Total to Budget/LE]]-ERP[[#This Row],[Giveback]]</f>
        <v>#N/A</v>
      </c>
      <c r="AO584" s="81"/>
      <c r="AP584" s="375">
        <v>-0.14000000000000001</v>
      </c>
      <c r="AQ584" s="375">
        <v>464.29</v>
      </c>
      <c r="AR584" s="375">
        <v>371.27</v>
      </c>
      <c r="AS584" s="375">
        <v>0</v>
      </c>
      <c r="AT584" s="375">
        <v>0</v>
      </c>
      <c r="AU584" s="375">
        <v>0</v>
      </c>
      <c r="AV584" s="375">
        <v>0</v>
      </c>
      <c r="AW584" s="375">
        <v>0</v>
      </c>
      <c r="AX584" s="375">
        <v>0</v>
      </c>
      <c r="AY584" s="375">
        <v>0</v>
      </c>
      <c r="AZ584" s="375">
        <v>0</v>
      </c>
      <c r="BA584" s="375">
        <v>0</v>
      </c>
      <c r="BB584" s="375">
        <v>835.42000000000007</v>
      </c>
      <c r="BC584" s="227">
        <v>-0.14000000000000001</v>
      </c>
      <c r="BD584" s="227">
        <v>464.29</v>
      </c>
      <c r="BE584" s="227">
        <v>371.27</v>
      </c>
      <c r="BF584" s="227">
        <v>0</v>
      </c>
      <c r="BG584" s="227">
        <v>0</v>
      </c>
      <c r="BH584" s="227">
        <v>0</v>
      </c>
      <c r="BI584" s="227">
        <v>0</v>
      </c>
      <c r="BJ584" s="227">
        <v>0</v>
      </c>
      <c r="BK584" s="227">
        <v>0</v>
      </c>
      <c r="BL584" s="227">
        <v>0</v>
      </c>
      <c r="BM584" s="227">
        <v>0</v>
      </c>
      <c r="BN584" s="227">
        <v>0</v>
      </c>
      <c r="BO584" s="227">
        <v>835.42000000000007</v>
      </c>
    </row>
    <row r="585" spans="1:67" ht="15" customHeight="1">
      <c r="A585" s="215" t="s">
        <v>2129</v>
      </c>
      <c r="B585" s="215" t="s">
        <v>2130</v>
      </c>
      <c r="C585" s="150" t="s">
        <v>1136</v>
      </c>
      <c r="D585" s="334" t="s">
        <v>1345</v>
      </c>
      <c r="E585" s="334" t="s">
        <v>1346</v>
      </c>
      <c r="F585" s="334" t="s">
        <v>1346</v>
      </c>
      <c r="G585" s="516" t="s">
        <v>389</v>
      </c>
      <c r="H585" s="398" t="s">
        <v>1327</v>
      </c>
      <c r="I585" s="343"/>
      <c r="J585" s="344"/>
      <c r="K585" s="219" t="s">
        <v>147</v>
      </c>
      <c r="L585" s="349"/>
      <c r="M585" s="343"/>
      <c r="N585" s="349"/>
      <c r="O585" s="334" t="s">
        <v>25</v>
      </c>
      <c r="P585" s="354"/>
      <c r="Q585" s="403"/>
      <c r="R585" s="406">
        <v>0</v>
      </c>
      <c r="S585" s="406">
        <v>-991.60999999999967</v>
      </c>
      <c r="T585" s="425"/>
      <c r="U585" s="71"/>
      <c r="V585" s="408">
        <v>2949.13</v>
      </c>
      <c r="W585" s="410">
        <v>-734.7</v>
      </c>
      <c r="X585" s="410">
        <v>-3206.04</v>
      </c>
      <c r="Y585" s="428">
        <v>1083.7399999999998</v>
      </c>
      <c r="Z585" s="429">
        <v>2193.66</v>
      </c>
      <c r="AA585" s="429">
        <v>2312.1299999999997</v>
      </c>
      <c r="AB585" s="363" t="e">
        <v>#N/A</v>
      </c>
      <c r="AC585" s="368">
        <v>0</v>
      </c>
      <c r="AD585" s="368">
        <v>0</v>
      </c>
      <c r="AE585" s="368">
        <v>0</v>
      </c>
      <c r="AF585" s="368">
        <v>0</v>
      </c>
      <c r="AG585" s="368">
        <v>0</v>
      </c>
      <c r="AH585" s="367" t="e">
        <f t="shared" si="28"/>
        <v>#N/A</v>
      </c>
      <c r="AI585" s="362" t="e">
        <f>ERP[[#This Row],[2026 Working Total]]-ERP[[#This Row],[LE2 Final Submission]]</f>
        <v>#N/A</v>
      </c>
      <c r="AJ585" s="227">
        <v>0</v>
      </c>
      <c r="AK585" s="227">
        <f t="shared" si="30"/>
        <v>2312.1299999999997</v>
      </c>
      <c r="AL585" s="374">
        <f>SUM(ERP[[#This Row],[AP01]:[AP06]])-SUM(ERP[[#This Row],[AP01 LE2]:[AP06 LE2]])</f>
        <v>5589.53</v>
      </c>
      <c r="AM585" s="80"/>
      <c r="AN585" s="79" t="e">
        <f>ERP[[#This Row],[2026 Working Total to Budget/LE]]-ERP[[#This Row],[Giveback]]</f>
        <v>#N/A</v>
      </c>
      <c r="AO585" s="81"/>
      <c r="AP585" s="375">
        <v>2949.13</v>
      </c>
      <c r="AQ585" s="375">
        <v>-734.7</v>
      </c>
      <c r="AR585" s="375">
        <v>-3206.04</v>
      </c>
      <c r="AS585" s="375">
        <v>0</v>
      </c>
      <c r="AT585" s="375">
        <v>0</v>
      </c>
      <c r="AU585" s="375">
        <v>0</v>
      </c>
      <c r="AV585" s="375">
        <v>0</v>
      </c>
      <c r="AW585" s="375">
        <v>0</v>
      </c>
      <c r="AX585" s="375">
        <v>0</v>
      </c>
      <c r="AY585" s="375">
        <v>0</v>
      </c>
      <c r="AZ585" s="375">
        <v>0</v>
      </c>
      <c r="BA585" s="375">
        <v>0</v>
      </c>
      <c r="BB585" s="375">
        <v>-991.60999999999967</v>
      </c>
      <c r="BC585" s="227">
        <v>2949.13</v>
      </c>
      <c r="BD585" s="227">
        <v>-734.7</v>
      </c>
      <c r="BE585" s="227">
        <v>-3206.04</v>
      </c>
      <c r="BF585" s="227">
        <v>0</v>
      </c>
      <c r="BG585" s="227">
        <v>0</v>
      </c>
      <c r="BH585" s="227">
        <v>0</v>
      </c>
      <c r="BI585" s="227">
        <v>0</v>
      </c>
      <c r="BJ585" s="227">
        <v>0</v>
      </c>
      <c r="BK585" s="227">
        <v>0</v>
      </c>
      <c r="BL585" s="227">
        <v>0</v>
      </c>
      <c r="BM585" s="227">
        <v>0</v>
      </c>
      <c r="BN585" s="227">
        <v>0</v>
      </c>
      <c r="BO585" s="227">
        <v>-991.60999999999967</v>
      </c>
    </row>
    <row r="586" spans="1:67" ht="15" customHeight="1">
      <c r="A586" s="215" t="s">
        <v>2195</v>
      </c>
      <c r="B586" s="215" t="s">
        <v>2196</v>
      </c>
      <c r="C586" s="150" t="s">
        <v>1136</v>
      </c>
      <c r="D586" s="334" t="s">
        <v>1345</v>
      </c>
      <c r="E586" s="334" t="s">
        <v>1346</v>
      </c>
      <c r="F586" s="334" t="s">
        <v>1346</v>
      </c>
      <c r="G586" s="516" t="s">
        <v>629</v>
      </c>
      <c r="H586" s="398" t="s">
        <v>1327</v>
      </c>
      <c r="I586" s="343"/>
      <c r="J586" s="344"/>
      <c r="K586" s="219" t="s">
        <v>147</v>
      </c>
      <c r="L586" s="349"/>
      <c r="M586" s="343"/>
      <c r="N586" s="349"/>
      <c r="O586" s="334" t="s">
        <v>25</v>
      </c>
      <c r="P586" s="354"/>
      <c r="Q586" s="403"/>
      <c r="R586" s="406">
        <v>0</v>
      </c>
      <c r="S586" s="406">
        <v>7191.02</v>
      </c>
      <c r="T586" s="425"/>
      <c r="U586" s="71"/>
      <c r="V586" s="408">
        <v>843.69</v>
      </c>
      <c r="W586" s="410">
        <v>4879.99</v>
      </c>
      <c r="X586" s="410">
        <v>1467.34</v>
      </c>
      <c r="Y586" s="428" t="s">
        <v>1142</v>
      </c>
      <c r="Z586" s="429">
        <v>0</v>
      </c>
      <c r="AA586" s="429">
        <v>237.8</v>
      </c>
      <c r="AB586" s="363" t="e">
        <v>#N/A</v>
      </c>
      <c r="AC586" s="368">
        <v>0</v>
      </c>
      <c r="AD586" s="368">
        <v>0</v>
      </c>
      <c r="AE586" s="368">
        <v>0</v>
      </c>
      <c r="AF586" s="368">
        <v>0</v>
      </c>
      <c r="AG586" s="368">
        <v>0</v>
      </c>
      <c r="AH586" s="367" t="e">
        <f t="shared" si="28"/>
        <v>#N/A</v>
      </c>
      <c r="AI586" s="362" t="e">
        <f>ERP[[#This Row],[2026 Working Total]]-ERP[[#This Row],[LE2 Final Submission]]</f>
        <v>#N/A</v>
      </c>
      <c r="AJ586" s="227">
        <v>0</v>
      </c>
      <c r="AK586" s="227">
        <f t="shared" si="30"/>
        <v>237.8</v>
      </c>
      <c r="AL586" s="374">
        <f>SUM(ERP[[#This Row],[AP01]:[AP06]])-SUM(ERP[[#This Row],[AP01 LE2]:[AP06 LE2]])</f>
        <v>237.80000000000018</v>
      </c>
      <c r="AM586" s="80"/>
      <c r="AN586" s="79" t="e">
        <f>ERP[[#This Row],[2026 Working Total to Budget/LE]]-ERP[[#This Row],[Giveback]]</f>
        <v>#N/A</v>
      </c>
      <c r="AO586" s="81"/>
      <c r="AP586" s="375">
        <v>843.69</v>
      </c>
      <c r="AQ586" s="375">
        <v>4879.99</v>
      </c>
      <c r="AR586" s="375">
        <v>1467.34</v>
      </c>
      <c r="AS586" s="375">
        <v>0</v>
      </c>
      <c r="AT586" s="375">
        <v>0</v>
      </c>
      <c r="AU586" s="375">
        <v>0</v>
      </c>
      <c r="AV586" s="375">
        <v>0</v>
      </c>
      <c r="AW586" s="375">
        <v>0</v>
      </c>
      <c r="AX586" s="375">
        <v>0</v>
      </c>
      <c r="AY586" s="375">
        <v>0</v>
      </c>
      <c r="AZ586" s="375">
        <v>0</v>
      </c>
      <c r="BA586" s="375">
        <v>0</v>
      </c>
      <c r="BB586" s="375">
        <v>7191.02</v>
      </c>
      <c r="BC586" s="227">
        <v>843.69</v>
      </c>
      <c r="BD586" s="227">
        <v>4879.99</v>
      </c>
      <c r="BE586" s="227">
        <v>1467.34</v>
      </c>
      <c r="BF586" s="227">
        <v>0</v>
      </c>
      <c r="BG586" s="227">
        <v>0</v>
      </c>
      <c r="BH586" s="227">
        <v>0</v>
      </c>
      <c r="BI586" s="227">
        <v>0</v>
      </c>
      <c r="BJ586" s="227">
        <v>0</v>
      </c>
      <c r="BK586" s="227">
        <v>0</v>
      </c>
      <c r="BL586" s="227">
        <v>0</v>
      </c>
      <c r="BM586" s="227">
        <v>0</v>
      </c>
      <c r="BN586" s="227">
        <v>0</v>
      </c>
      <c r="BO586" s="227">
        <v>7191.02</v>
      </c>
    </row>
    <row r="587" spans="1:67" ht="15" customHeight="1">
      <c r="A587" s="215" t="s">
        <v>2805</v>
      </c>
      <c r="B587" s="215" t="s">
        <v>2806</v>
      </c>
      <c r="C587" s="150" t="s">
        <v>1136</v>
      </c>
      <c r="D587" s="334" t="s">
        <v>1345</v>
      </c>
      <c r="E587" s="334" t="s">
        <v>1346</v>
      </c>
      <c r="F587" s="334" t="s">
        <v>1346</v>
      </c>
      <c r="G587" s="516" t="s">
        <v>639</v>
      </c>
      <c r="H587" s="398" t="s">
        <v>1327</v>
      </c>
      <c r="I587" s="343"/>
      <c r="J587" s="344"/>
      <c r="K587" s="219" t="s">
        <v>147</v>
      </c>
      <c r="L587" s="349"/>
      <c r="M587" s="343"/>
      <c r="N587" s="349"/>
      <c r="O587" s="334" t="s">
        <v>25</v>
      </c>
      <c r="P587" s="354"/>
      <c r="Q587" s="403"/>
      <c r="R587" s="406">
        <v>0</v>
      </c>
      <c r="S587" s="406">
        <v>2702.75</v>
      </c>
      <c r="T587" s="425"/>
      <c r="U587" s="71"/>
      <c r="V587" s="408">
        <v>45.54</v>
      </c>
      <c r="W587" s="410">
        <v>0.09</v>
      </c>
      <c r="X587" s="410">
        <v>2657.12</v>
      </c>
      <c r="Y587" s="428">
        <v>12.72</v>
      </c>
      <c r="Z587" s="429">
        <v>29.21</v>
      </c>
      <c r="AA587" s="429">
        <v>7.47</v>
      </c>
      <c r="AB587" s="363" t="e">
        <v>#N/A</v>
      </c>
      <c r="AC587" s="368">
        <v>0</v>
      </c>
      <c r="AD587" s="368">
        <v>0</v>
      </c>
      <c r="AE587" s="368">
        <v>0</v>
      </c>
      <c r="AF587" s="368">
        <v>0</v>
      </c>
      <c r="AG587" s="368">
        <v>0</v>
      </c>
      <c r="AH587" s="367" t="e">
        <f t="shared" si="28"/>
        <v>#N/A</v>
      </c>
      <c r="AI587" s="362" t="e">
        <f>ERP[[#This Row],[2026 Working Total]]-ERP[[#This Row],[LE2 Final Submission]]</f>
        <v>#N/A</v>
      </c>
      <c r="AJ587" s="227">
        <v>0</v>
      </c>
      <c r="AK587" s="227">
        <f t="shared" si="30"/>
        <v>7.47</v>
      </c>
      <c r="AL587" s="374">
        <f>SUM(ERP[[#This Row],[AP01]:[AP06]])-SUM(ERP[[#This Row],[AP01 LE2]:[AP06 LE2]])</f>
        <v>49.399999999999636</v>
      </c>
      <c r="AM587" s="80"/>
      <c r="AN587" s="79" t="e">
        <f>ERP[[#This Row],[2026 Working Total to Budget/LE]]-ERP[[#This Row],[Giveback]]</f>
        <v>#N/A</v>
      </c>
      <c r="AO587" s="81"/>
      <c r="AP587" s="375">
        <v>45.54</v>
      </c>
      <c r="AQ587" s="375">
        <v>0.09</v>
      </c>
      <c r="AR587" s="375">
        <v>2657.12</v>
      </c>
      <c r="AS587" s="375">
        <v>0</v>
      </c>
      <c r="AT587" s="375">
        <v>0</v>
      </c>
      <c r="AU587" s="375">
        <v>0</v>
      </c>
      <c r="AV587" s="375">
        <v>0</v>
      </c>
      <c r="AW587" s="375">
        <v>0</v>
      </c>
      <c r="AX587" s="375">
        <v>0</v>
      </c>
      <c r="AY587" s="375">
        <v>0</v>
      </c>
      <c r="AZ587" s="375">
        <v>0</v>
      </c>
      <c r="BA587" s="375">
        <v>0</v>
      </c>
      <c r="BB587" s="375">
        <v>2702.75</v>
      </c>
      <c r="BC587" s="227">
        <v>45.54</v>
      </c>
      <c r="BD587" s="227">
        <v>0.09</v>
      </c>
      <c r="BE587" s="227">
        <v>2657.12</v>
      </c>
      <c r="BF587" s="227">
        <v>0</v>
      </c>
      <c r="BG587" s="227">
        <v>0</v>
      </c>
      <c r="BH587" s="227">
        <v>0</v>
      </c>
      <c r="BI587" s="227">
        <v>0</v>
      </c>
      <c r="BJ587" s="227">
        <v>0</v>
      </c>
      <c r="BK587" s="227">
        <v>0</v>
      </c>
      <c r="BL587" s="227">
        <v>0</v>
      </c>
      <c r="BM587" s="227">
        <v>0</v>
      </c>
      <c r="BN587" s="227">
        <v>0</v>
      </c>
      <c r="BO587" s="227">
        <v>2702.75</v>
      </c>
    </row>
    <row r="588" spans="1:67" ht="15" customHeight="1">
      <c r="A588" s="227" t="s">
        <v>2589</v>
      </c>
      <c r="B588" s="330" t="s">
        <v>895</v>
      </c>
      <c r="C588" s="150" t="s">
        <v>1136</v>
      </c>
      <c r="D588" s="336" t="s">
        <v>1135</v>
      </c>
      <c r="E588" s="338" t="s">
        <v>1135</v>
      </c>
      <c r="F588" s="335" t="s">
        <v>1137</v>
      </c>
      <c r="G588" s="517" t="s">
        <v>639</v>
      </c>
      <c r="H588" s="399" t="s">
        <v>2590</v>
      </c>
      <c r="I588" s="343" t="s">
        <v>2484</v>
      </c>
      <c r="J588" s="334" t="s">
        <v>1171</v>
      </c>
      <c r="K588" s="235" t="s">
        <v>896</v>
      </c>
      <c r="L588" s="344"/>
      <c r="M588" s="346" t="s">
        <v>2591</v>
      </c>
      <c r="N588" s="349" t="s">
        <v>1710</v>
      </c>
      <c r="O588" s="352" t="s">
        <v>863</v>
      </c>
      <c r="P588" s="355" t="s">
        <v>1779</v>
      </c>
      <c r="Q588" s="437"/>
      <c r="R588" s="358">
        <v>169614.9</v>
      </c>
      <c r="S588" s="378">
        <v>0</v>
      </c>
      <c r="T588" s="425"/>
      <c r="U588" s="71"/>
      <c r="V588" s="409"/>
      <c r="W588" s="411"/>
      <c r="X588" s="411"/>
      <c r="Y588" s="428" t="s">
        <v>1142</v>
      </c>
      <c r="Z588" s="429">
        <v>0</v>
      </c>
      <c r="AA588" s="429">
        <v>0</v>
      </c>
      <c r="AB588" s="363" t="e">
        <v>#N/A</v>
      </c>
      <c r="AC588" s="370">
        <v>0</v>
      </c>
      <c r="AD588" s="370">
        <v>0</v>
      </c>
      <c r="AE588" s="370">
        <v>0</v>
      </c>
      <c r="AF588" s="370">
        <v>0</v>
      </c>
      <c r="AG588" s="370">
        <v>0</v>
      </c>
      <c r="AH588" s="367" t="e">
        <f t="shared" ref="AH588:AH651" si="31">SUM(V588:AG588)</f>
        <v>#N/A</v>
      </c>
      <c r="AI588" s="362" t="e">
        <f>ERP[[#This Row],[2026 Working Total]]-ERP[[#This Row],[LE2 Final Submission]]</f>
        <v>#N/A</v>
      </c>
      <c r="AJ588" s="227">
        <v>0</v>
      </c>
      <c r="AK588" s="227">
        <f t="shared" si="30"/>
        <v>0</v>
      </c>
      <c r="AL588" s="374">
        <f>SUM(ERP[[#This Row],[AP01]:[AP06]])-SUM(ERP[[#This Row],[AP01 LE2]:[AP06 LE2]])</f>
        <v>0</v>
      </c>
      <c r="AM588" s="80"/>
      <c r="AN588" s="79" t="e">
        <f>ERP[[#This Row],[2026 Working Total to Budget/LE]]-ERP[[#This Row],[Giveback]]</f>
        <v>#N/A</v>
      </c>
      <c r="AO588" s="81"/>
      <c r="AP588" s="375"/>
      <c r="AQ588" s="375"/>
      <c r="AR588" s="375"/>
      <c r="AS588" s="375">
        <v>0</v>
      </c>
      <c r="AT588" s="375">
        <v>0</v>
      </c>
      <c r="AU588" s="375">
        <v>0</v>
      </c>
      <c r="AV588" s="375">
        <v>0</v>
      </c>
      <c r="AW588" s="375">
        <v>0</v>
      </c>
      <c r="AX588" s="375">
        <v>0</v>
      </c>
      <c r="AY588" s="375">
        <v>0</v>
      </c>
      <c r="AZ588" s="375">
        <v>0</v>
      </c>
      <c r="BA588" s="375">
        <v>0</v>
      </c>
      <c r="BB588" s="375">
        <v>0</v>
      </c>
      <c r="BC588" s="246">
        <v>169614.9</v>
      </c>
      <c r="BD588" s="246">
        <v>0</v>
      </c>
      <c r="BE588" s="246">
        <v>0</v>
      </c>
      <c r="BF588" s="246">
        <v>0</v>
      </c>
      <c r="BG588" s="246">
        <v>0</v>
      </c>
      <c r="BH588" s="246">
        <v>0</v>
      </c>
      <c r="BI588" s="246">
        <v>0</v>
      </c>
      <c r="BJ588" s="246">
        <v>0</v>
      </c>
      <c r="BK588" s="246">
        <v>0</v>
      </c>
      <c r="BL588" s="246">
        <v>0</v>
      </c>
      <c r="BM588" s="246">
        <v>0</v>
      </c>
      <c r="BN588" s="246">
        <v>0</v>
      </c>
      <c r="BO588" s="227">
        <f>SUM(ERP[[#This Row],[2026 AP01]:[2026 AP12]])</f>
        <v>169614.9</v>
      </c>
    </row>
    <row r="589" spans="1:67" ht="15" customHeight="1">
      <c r="A589" s="227" t="s">
        <v>2592</v>
      </c>
      <c r="B589" s="330" t="s">
        <v>897</v>
      </c>
      <c r="C589" s="150" t="s">
        <v>1136</v>
      </c>
      <c r="D589" s="336" t="s">
        <v>1135</v>
      </c>
      <c r="E589" s="337" t="s">
        <v>1135</v>
      </c>
      <c r="F589" s="335" t="s">
        <v>1137</v>
      </c>
      <c r="G589" s="517" t="s">
        <v>639</v>
      </c>
      <c r="H589" s="397" t="s">
        <v>2593</v>
      </c>
      <c r="I589" s="343" t="s">
        <v>2484</v>
      </c>
      <c r="J589" s="334" t="s">
        <v>1171</v>
      </c>
      <c r="K589" s="253" t="s">
        <v>898</v>
      </c>
      <c r="L589" s="344"/>
      <c r="M589" s="346" t="s">
        <v>2591</v>
      </c>
      <c r="N589" s="349" t="s">
        <v>1710</v>
      </c>
      <c r="O589" s="350" t="s">
        <v>863</v>
      </c>
      <c r="P589" s="355" t="s">
        <v>2499</v>
      </c>
      <c r="Q589" s="437"/>
      <c r="R589" s="358">
        <v>-169614.9</v>
      </c>
      <c r="S589" s="378">
        <v>0</v>
      </c>
      <c r="T589" s="430"/>
      <c r="U589" s="137"/>
      <c r="V589" s="409"/>
      <c r="W589" s="411"/>
      <c r="X589" s="411"/>
      <c r="Y589" s="428" t="s">
        <v>1142</v>
      </c>
      <c r="Z589" s="429">
        <v>0</v>
      </c>
      <c r="AA589" s="429">
        <v>0</v>
      </c>
      <c r="AB589" s="363" t="e">
        <v>#N/A</v>
      </c>
      <c r="AC589" s="370">
        <v>0</v>
      </c>
      <c r="AD589" s="370">
        <v>0</v>
      </c>
      <c r="AE589" s="370">
        <v>0</v>
      </c>
      <c r="AF589" s="370">
        <v>0</v>
      </c>
      <c r="AG589" s="370">
        <v>0</v>
      </c>
      <c r="AH589" s="367" t="e">
        <f t="shared" si="31"/>
        <v>#N/A</v>
      </c>
      <c r="AI589" s="362" t="e">
        <f>ERP[[#This Row],[2026 Working Total]]-ERP[[#This Row],[LE2 Final Submission]]</f>
        <v>#N/A</v>
      </c>
      <c r="AJ589" s="227">
        <v>0</v>
      </c>
      <c r="AK589" s="227">
        <f t="shared" si="30"/>
        <v>0</v>
      </c>
      <c r="AL589" s="374">
        <f>SUM(ERP[[#This Row],[AP01]:[AP06]])-SUM(ERP[[#This Row],[AP01 LE2]:[AP06 LE2]])</f>
        <v>0</v>
      </c>
      <c r="AM589" s="80"/>
      <c r="AN589" s="79" t="e">
        <f>ERP[[#This Row],[2026 Working Total to Budget/LE]]-ERP[[#This Row],[Giveback]]</f>
        <v>#N/A</v>
      </c>
      <c r="AO589" s="81"/>
      <c r="AP589" s="375"/>
      <c r="AQ589" s="375"/>
      <c r="AR589" s="375"/>
      <c r="AS589" s="375">
        <v>0</v>
      </c>
      <c r="AT589" s="375">
        <v>0</v>
      </c>
      <c r="AU589" s="375">
        <v>0</v>
      </c>
      <c r="AV589" s="375">
        <v>0</v>
      </c>
      <c r="AW589" s="375">
        <v>0</v>
      </c>
      <c r="AX589" s="375">
        <v>0</v>
      </c>
      <c r="AY589" s="375">
        <v>0</v>
      </c>
      <c r="AZ589" s="375">
        <v>0</v>
      </c>
      <c r="BA589" s="375">
        <v>0</v>
      </c>
      <c r="BB589" s="375">
        <v>0</v>
      </c>
      <c r="BC589" s="246">
        <v>-169614.9</v>
      </c>
      <c r="BD589" s="246">
        <v>0</v>
      </c>
      <c r="BE589" s="246">
        <v>0</v>
      </c>
      <c r="BF589" s="246">
        <v>0</v>
      </c>
      <c r="BG589" s="246">
        <v>0</v>
      </c>
      <c r="BH589" s="246">
        <v>0</v>
      </c>
      <c r="BI589" s="246">
        <v>0</v>
      </c>
      <c r="BJ589" s="246">
        <v>0</v>
      </c>
      <c r="BK589" s="246">
        <v>0</v>
      </c>
      <c r="BL589" s="246">
        <v>0</v>
      </c>
      <c r="BM589" s="246">
        <v>0</v>
      </c>
      <c r="BN589" s="246">
        <v>0</v>
      </c>
      <c r="BO589" s="227">
        <f>SUM(ERP[[#This Row],[2026 AP01]:[2026 AP12]])</f>
        <v>-169614.9</v>
      </c>
    </row>
    <row r="590" spans="1:67" ht="15" customHeight="1">
      <c r="A590" s="334" t="s">
        <v>1721</v>
      </c>
      <c r="B590" s="330" t="s">
        <v>375</v>
      </c>
      <c r="C590" s="150" t="s">
        <v>1136</v>
      </c>
      <c r="D590" s="336" t="s">
        <v>1135</v>
      </c>
      <c r="E590" s="336" t="s">
        <v>1135</v>
      </c>
      <c r="F590" s="339" t="s">
        <v>1135</v>
      </c>
      <c r="G590" s="518" t="s">
        <v>342</v>
      </c>
      <c r="H590" s="397" t="s">
        <v>1327</v>
      </c>
      <c r="I590" s="333"/>
      <c r="J590" s="336" t="s">
        <v>1171</v>
      </c>
      <c r="K590" s="237" t="s">
        <v>147</v>
      </c>
      <c r="L590" s="351"/>
      <c r="M590" s="347"/>
      <c r="N590" s="353"/>
      <c r="O590" s="353"/>
      <c r="P590" s="452"/>
      <c r="Q590" s="402"/>
      <c r="R590" s="402"/>
      <c r="S590" s="402"/>
      <c r="T590" s="425"/>
      <c r="U590" s="71"/>
      <c r="V590" s="413"/>
      <c r="W590" s="414"/>
      <c r="X590" s="414"/>
      <c r="Y590" s="436"/>
      <c r="Z590" s="429">
        <v>0</v>
      </c>
      <c r="AA590" s="429">
        <v>0</v>
      </c>
      <c r="AB590" s="363" t="e">
        <v>#N/A</v>
      </c>
      <c r="AC590" s="371"/>
      <c r="AD590" s="371"/>
      <c r="AE590" s="371"/>
      <c r="AF590" s="371"/>
      <c r="AG590" s="371"/>
      <c r="AH590" s="367" t="e">
        <f t="shared" si="31"/>
        <v>#N/A</v>
      </c>
      <c r="AI590" s="362" t="e">
        <f>ERP[[#This Row],[2026 Working Total]]-ERP[[#This Row],[LE2 Final Submission]]</f>
        <v>#N/A</v>
      </c>
      <c r="AJ590" s="227"/>
      <c r="AK590" s="227">
        <f t="shared" si="30"/>
        <v>0</v>
      </c>
      <c r="AL590" s="374">
        <f>SUM(ERP[[#This Row],[AP01]:[AP06]])-SUM(ERP[[#This Row],[AP01 LE2]:[AP06 LE2]])</f>
        <v>0</v>
      </c>
      <c r="AM590" s="80"/>
      <c r="AN590" s="79" t="e">
        <f>ERP[[#This Row],[2026 Working Total to Budget/LE]]-ERP[[#This Row],[Giveback]]</f>
        <v>#N/A</v>
      </c>
      <c r="AO590" s="81"/>
      <c r="AP590" s="375"/>
      <c r="AQ590" s="375"/>
      <c r="AR590" s="375"/>
      <c r="AS590" s="375"/>
      <c r="AT590" s="375"/>
      <c r="AU590" s="375"/>
      <c r="AV590" s="375"/>
      <c r="AW590" s="375"/>
      <c r="AX590" s="375"/>
      <c r="AY590" s="375"/>
      <c r="AZ590" s="375"/>
      <c r="BA590" s="375"/>
      <c r="BB590" s="375"/>
      <c r="BC590" s="227"/>
      <c r="BD590" s="227"/>
      <c r="BE590" s="227"/>
      <c r="BF590" s="227"/>
      <c r="BG590" s="227"/>
      <c r="BH590" s="227"/>
      <c r="BI590" s="227"/>
      <c r="BJ590" s="227"/>
      <c r="BK590" s="227"/>
      <c r="BL590" s="227"/>
      <c r="BM590" s="227"/>
      <c r="BN590" s="227"/>
      <c r="BO590" s="227"/>
    </row>
    <row r="591" spans="1:67" ht="15" customHeight="1">
      <c r="A591" s="215" t="s">
        <v>1425</v>
      </c>
      <c r="B591" s="215" t="s">
        <v>195</v>
      </c>
      <c r="C591" s="150" t="s">
        <v>1136</v>
      </c>
      <c r="D591" s="334" t="s">
        <v>1345</v>
      </c>
      <c r="E591" s="334" t="s">
        <v>1344</v>
      </c>
      <c r="F591" s="334" t="s">
        <v>1346</v>
      </c>
      <c r="G591" s="516" t="s">
        <v>49</v>
      </c>
      <c r="H591" s="398" t="s">
        <v>1327</v>
      </c>
      <c r="I591" s="343"/>
      <c r="J591" s="344"/>
      <c r="K591" s="219" t="s">
        <v>147</v>
      </c>
      <c r="L591" s="349"/>
      <c r="M591" s="343"/>
      <c r="N591" s="349"/>
      <c r="O591" s="334" t="s">
        <v>25</v>
      </c>
      <c r="P591" s="354"/>
      <c r="Q591" s="403"/>
      <c r="R591" s="406">
        <v>0</v>
      </c>
      <c r="S591" s="406">
        <v>-0.47</v>
      </c>
      <c r="T591" s="425"/>
      <c r="U591" s="71"/>
      <c r="V591" s="408">
        <v>-0.28999999999999998</v>
      </c>
      <c r="W591" s="410">
        <v>0.43</v>
      </c>
      <c r="X591" s="410">
        <v>-0.61</v>
      </c>
      <c r="Y591" s="428">
        <v>0.34</v>
      </c>
      <c r="Z591" s="429">
        <v>0.22</v>
      </c>
      <c r="AA591" s="429">
        <v>0.05</v>
      </c>
      <c r="AB591" s="363" t="e">
        <v>#N/A</v>
      </c>
      <c r="AC591" s="368">
        <v>0</v>
      </c>
      <c r="AD591" s="368">
        <v>0</v>
      </c>
      <c r="AE591" s="368">
        <v>0</v>
      </c>
      <c r="AF591" s="368">
        <v>0</v>
      </c>
      <c r="AG591" s="368">
        <v>0</v>
      </c>
      <c r="AH591" s="367" t="e">
        <f t="shared" si="31"/>
        <v>#N/A</v>
      </c>
      <c r="AI591" s="362" t="e">
        <f>ERP[[#This Row],[2026 Working Total]]-ERP[[#This Row],[LE2 Final Submission]]</f>
        <v>#N/A</v>
      </c>
      <c r="AJ591" s="227">
        <v>0</v>
      </c>
      <c r="AK591" s="227">
        <f t="shared" si="30"/>
        <v>0.05</v>
      </c>
      <c r="AL591" s="374">
        <f>SUM(ERP[[#This Row],[AP01]:[AP06]])-SUM(ERP[[#This Row],[AP01 LE2]:[AP06 LE2]])</f>
        <v>0.6100000000000001</v>
      </c>
      <c r="AM591" s="80"/>
      <c r="AN591" s="79" t="e">
        <f>ERP[[#This Row],[2026 Working Total to Budget/LE]]-ERP[[#This Row],[Giveback]]</f>
        <v>#N/A</v>
      </c>
      <c r="AO591" s="81"/>
      <c r="AP591" s="375">
        <v>-0.28999999999999998</v>
      </c>
      <c r="AQ591" s="375">
        <v>0.43</v>
      </c>
      <c r="AR591" s="375">
        <v>-0.61</v>
      </c>
      <c r="AS591" s="375">
        <v>0</v>
      </c>
      <c r="AT591" s="375">
        <v>0</v>
      </c>
      <c r="AU591" s="375">
        <v>0</v>
      </c>
      <c r="AV591" s="375">
        <v>0</v>
      </c>
      <c r="AW591" s="375">
        <v>0</v>
      </c>
      <c r="AX591" s="375">
        <v>0</v>
      </c>
      <c r="AY591" s="375">
        <v>0</v>
      </c>
      <c r="AZ591" s="375">
        <v>0</v>
      </c>
      <c r="BA591" s="375">
        <v>0</v>
      </c>
      <c r="BB591" s="375">
        <v>-0.47</v>
      </c>
      <c r="BC591" s="227">
        <v>-0.28999999999999998</v>
      </c>
      <c r="BD591" s="227">
        <v>0.43</v>
      </c>
      <c r="BE591" s="227">
        <v>-0.61</v>
      </c>
      <c r="BF591" s="227">
        <v>0</v>
      </c>
      <c r="BG591" s="227">
        <v>0</v>
      </c>
      <c r="BH591" s="227">
        <v>0</v>
      </c>
      <c r="BI591" s="227">
        <v>0</v>
      </c>
      <c r="BJ591" s="227">
        <v>0</v>
      </c>
      <c r="BK591" s="227">
        <v>0</v>
      </c>
      <c r="BL591" s="227">
        <v>0</v>
      </c>
      <c r="BM591" s="227">
        <v>0</v>
      </c>
      <c r="BN591" s="227">
        <v>0</v>
      </c>
      <c r="BO591" s="227">
        <v>-0.47</v>
      </c>
    </row>
    <row r="592" spans="1:67" ht="15" customHeight="1">
      <c r="A592" s="215" t="s">
        <v>1987</v>
      </c>
      <c r="B592" s="215" t="s">
        <v>512</v>
      </c>
      <c r="C592" s="150" t="s">
        <v>1136</v>
      </c>
      <c r="D592" s="334" t="s">
        <v>1345</v>
      </c>
      <c r="E592" s="334" t="s">
        <v>1344</v>
      </c>
      <c r="F592" s="334" t="s">
        <v>1346</v>
      </c>
      <c r="G592" s="516" t="s">
        <v>389</v>
      </c>
      <c r="H592" s="398" t="s">
        <v>1327</v>
      </c>
      <c r="I592" s="343"/>
      <c r="J592" s="344"/>
      <c r="K592" s="219" t="s">
        <v>147</v>
      </c>
      <c r="L592" s="349"/>
      <c r="M592" s="343"/>
      <c r="N592" s="349"/>
      <c r="O592" s="334" t="s">
        <v>25</v>
      </c>
      <c r="P592" s="354"/>
      <c r="Q592" s="403"/>
      <c r="R592" s="406">
        <v>0</v>
      </c>
      <c r="S592" s="406">
        <v>799.29000000000008</v>
      </c>
      <c r="T592" s="430"/>
      <c r="U592" s="137"/>
      <c r="V592" s="408">
        <v>-79.28</v>
      </c>
      <c r="W592" s="410">
        <v>124.37</v>
      </c>
      <c r="X592" s="410">
        <v>754.2</v>
      </c>
      <c r="Y592" s="428">
        <v>171.12</v>
      </c>
      <c r="Z592" s="429">
        <v>538.97</v>
      </c>
      <c r="AA592" s="429">
        <v>255.20999999999992</v>
      </c>
      <c r="AB592" s="363" t="e">
        <v>#N/A</v>
      </c>
      <c r="AC592" s="368">
        <v>0</v>
      </c>
      <c r="AD592" s="368">
        <v>0</v>
      </c>
      <c r="AE592" s="368">
        <v>0</v>
      </c>
      <c r="AF592" s="368">
        <v>0</v>
      </c>
      <c r="AG592" s="368">
        <v>0</v>
      </c>
      <c r="AH592" s="367" t="e">
        <f t="shared" si="31"/>
        <v>#N/A</v>
      </c>
      <c r="AI592" s="362" t="e">
        <f>ERP[[#This Row],[2026 Working Total]]-ERP[[#This Row],[LE2 Final Submission]]</f>
        <v>#N/A</v>
      </c>
      <c r="AJ592" s="227">
        <v>0</v>
      </c>
      <c r="AK592" s="227">
        <f t="shared" si="30"/>
        <v>255.20999999999992</v>
      </c>
      <c r="AL592" s="374">
        <f>SUM(ERP[[#This Row],[AP01]:[AP06]])-SUM(ERP[[#This Row],[AP01 LE2]:[AP06 LE2]])</f>
        <v>965.30000000000007</v>
      </c>
      <c r="AM592" s="80"/>
      <c r="AN592" s="79" t="e">
        <f>ERP[[#This Row],[2026 Working Total to Budget/LE]]-ERP[[#This Row],[Giveback]]</f>
        <v>#N/A</v>
      </c>
      <c r="AO592" s="81"/>
      <c r="AP592" s="375">
        <v>-79.28</v>
      </c>
      <c r="AQ592" s="375">
        <v>124.37</v>
      </c>
      <c r="AR592" s="375">
        <v>754.2</v>
      </c>
      <c r="AS592" s="375">
        <v>0</v>
      </c>
      <c r="AT592" s="375">
        <v>0</v>
      </c>
      <c r="AU592" s="375">
        <v>0</v>
      </c>
      <c r="AV592" s="375">
        <v>0</v>
      </c>
      <c r="AW592" s="375">
        <v>0</v>
      </c>
      <c r="AX592" s="375">
        <v>0</v>
      </c>
      <c r="AY592" s="375">
        <v>0</v>
      </c>
      <c r="AZ592" s="375">
        <v>0</v>
      </c>
      <c r="BA592" s="375">
        <v>0</v>
      </c>
      <c r="BB592" s="375">
        <v>799.29000000000008</v>
      </c>
      <c r="BC592" s="227">
        <v>-79.28</v>
      </c>
      <c r="BD592" s="227">
        <v>124.37</v>
      </c>
      <c r="BE592" s="227">
        <v>754.2</v>
      </c>
      <c r="BF592" s="227">
        <v>0</v>
      </c>
      <c r="BG592" s="227">
        <v>0</v>
      </c>
      <c r="BH592" s="227">
        <v>0</v>
      </c>
      <c r="BI592" s="227">
        <v>0</v>
      </c>
      <c r="BJ592" s="227">
        <v>0</v>
      </c>
      <c r="BK592" s="227">
        <v>0</v>
      </c>
      <c r="BL592" s="227">
        <v>0</v>
      </c>
      <c r="BM592" s="227">
        <v>0</v>
      </c>
      <c r="BN592" s="227">
        <v>0</v>
      </c>
      <c r="BO592" s="227">
        <v>799.29000000000008</v>
      </c>
    </row>
    <row r="593" spans="1:67" ht="15" customHeight="1">
      <c r="A593" s="215" t="s">
        <v>2646</v>
      </c>
      <c r="B593" s="215" t="s">
        <v>931</v>
      </c>
      <c r="C593" s="150" t="s">
        <v>1136</v>
      </c>
      <c r="D593" s="334" t="s">
        <v>1345</v>
      </c>
      <c r="E593" s="334" t="s">
        <v>1344</v>
      </c>
      <c r="F593" s="334" t="s">
        <v>1346</v>
      </c>
      <c r="G593" s="516" t="s">
        <v>639</v>
      </c>
      <c r="H593" s="398" t="s">
        <v>1327</v>
      </c>
      <c r="I593" s="343"/>
      <c r="J593" s="344"/>
      <c r="K593" s="219" t="s">
        <v>147</v>
      </c>
      <c r="L593" s="349"/>
      <c r="M593" s="343"/>
      <c r="N593" s="349"/>
      <c r="O593" s="334" t="s">
        <v>25</v>
      </c>
      <c r="P593" s="354"/>
      <c r="Q593" s="403"/>
      <c r="R593" s="406">
        <v>0</v>
      </c>
      <c r="S593" s="406">
        <v>44.39</v>
      </c>
      <c r="T593" s="430"/>
      <c r="U593" s="137"/>
      <c r="V593" s="408">
        <v>44.95</v>
      </c>
      <c r="W593" s="410">
        <v>-0.67</v>
      </c>
      <c r="X593" s="410">
        <v>0.11</v>
      </c>
      <c r="Y593" s="428">
        <v>0.56000000000000005</v>
      </c>
      <c r="Z593" s="429">
        <v>-0.46</v>
      </c>
      <c r="AA593" s="429">
        <v>0.08</v>
      </c>
      <c r="AB593" s="363" t="e">
        <v>#N/A</v>
      </c>
      <c r="AC593" s="368">
        <v>0</v>
      </c>
      <c r="AD593" s="368">
        <v>0</v>
      </c>
      <c r="AE593" s="368">
        <v>0</v>
      </c>
      <c r="AF593" s="368">
        <v>0</v>
      </c>
      <c r="AG593" s="368">
        <v>0</v>
      </c>
      <c r="AH593" s="367" t="e">
        <f t="shared" si="31"/>
        <v>#N/A</v>
      </c>
      <c r="AI593" s="362" t="e">
        <f>ERP[[#This Row],[2026 Working Total]]-ERP[[#This Row],[LE2 Final Submission]]</f>
        <v>#N/A</v>
      </c>
      <c r="AJ593" s="227">
        <v>0</v>
      </c>
      <c r="AK593" s="227">
        <f t="shared" si="30"/>
        <v>0.08</v>
      </c>
      <c r="AL593" s="374">
        <f>SUM(ERP[[#This Row],[AP01]:[AP06]])-SUM(ERP[[#This Row],[AP01 LE2]:[AP06 LE2]])</f>
        <v>0.17999999999999972</v>
      </c>
      <c r="AM593" s="80"/>
      <c r="AN593" s="79" t="e">
        <f>ERP[[#This Row],[2026 Working Total to Budget/LE]]-ERP[[#This Row],[Giveback]]</f>
        <v>#N/A</v>
      </c>
      <c r="AO593" s="81"/>
      <c r="AP593" s="375">
        <v>44.95</v>
      </c>
      <c r="AQ593" s="375">
        <v>-0.67</v>
      </c>
      <c r="AR593" s="375">
        <v>0.11</v>
      </c>
      <c r="AS593" s="375">
        <v>0</v>
      </c>
      <c r="AT593" s="375">
        <v>0</v>
      </c>
      <c r="AU593" s="375">
        <v>0</v>
      </c>
      <c r="AV593" s="375">
        <v>0</v>
      </c>
      <c r="AW593" s="375">
        <v>0</v>
      </c>
      <c r="AX593" s="375">
        <v>0</v>
      </c>
      <c r="AY593" s="375">
        <v>0</v>
      </c>
      <c r="AZ593" s="375">
        <v>0</v>
      </c>
      <c r="BA593" s="375">
        <v>0</v>
      </c>
      <c r="BB593" s="375">
        <v>44.39</v>
      </c>
      <c r="BC593" s="227">
        <v>44.95</v>
      </c>
      <c r="BD593" s="227">
        <v>-0.67</v>
      </c>
      <c r="BE593" s="227">
        <v>0.11</v>
      </c>
      <c r="BF593" s="227">
        <v>0</v>
      </c>
      <c r="BG593" s="227">
        <v>0</v>
      </c>
      <c r="BH593" s="227">
        <v>0</v>
      </c>
      <c r="BI593" s="227">
        <v>0</v>
      </c>
      <c r="BJ593" s="227">
        <v>0</v>
      </c>
      <c r="BK593" s="227">
        <v>0</v>
      </c>
      <c r="BL593" s="227">
        <v>0</v>
      </c>
      <c r="BM593" s="227">
        <v>0</v>
      </c>
      <c r="BN593" s="227">
        <v>0</v>
      </c>
      <c r="BO593" s="227">
        <v>44.39</v>
      </c>
    </row>
    <row r="594" spans="1:67" ht="15" customHeight="1">
      <c r="A594" s="215" t="s">
        <v>2032</v>
      </c>
      <c r="B594" s="215" t="s">
        <v>538</v>
      </c>
      <c r="C594" s="150" t="s">
        <v>1136</v>
      </c>
      <c r="D594" s="334" t="s">
        <v>1345</v>
      </c>
      <c r="E594" s="334" t="s">
        <v>1345</v>
      </c>
      <c r="F594" s="334" t="s">
        <v>1346</v>
      </c>
      <c r="G594" s="516" t="s">
        <v>389</v>
      </c>
      <c r="H594" s="398" t="s">
        <v>1327</v>
      </c>
      <c r="I594" s="343"/>
      <c r="J594" s="344"/>
      <c r="K594" s="219" t="s">
        <v>147</v>
      </c>
      <c r="L594" s="349"/>
      <c r="M594" s="343"/>
      <c r="N594" s="349"/>
      <c r="O594" s="334" t="s">
        <v>25</v>
      </c>
      <c r="P594" s="354"/>
      <c r="Q594" s="403"/>
      <c r="R594" s="406">
        <v>0</v>
      </c>
      <c r="S594" s="406">
        <v>0.11999999999999997</v>
      </c>
      <c r="T594" s="425"/>
      <c r="U594" s="71"/>
      <c r="V594" s="408">
        <v>-0.3</v>
      </c>
      <c r="W594" s="410">
        <v>0.57999999999999996</v>
      </c>
      <c r="X594" s="410">
        <v>-0.16</v>
      </c>
      <c r="Y594" s="428">
        <v>0.12</v>
      </c>
      <c r="Z594" s="429">
        <v>-0.5</v>
      </c>
      <c r="AA594" s="429">
        <v>0.41</v>
      </c>
      <c r="AB594" s="363" t="e">
        <v>#N/A</v>
      </c>
      <c r="AC594" s="368">
        <v>0</v>
      </c>
      <c r="AD594" s="368">
        <v>0</v>
      </c>
      <c r="AE594" s="368">
        <v>0</v>
      </c>
      <c r="AF594" s="368">
        <v>0</v>
      </c>
      <c r="AG594" s="368">
        <v>0</v>
      </c>
      <c r="AH594" s="367" t="e">
        <f t="shared" si="31"/>
        <v>#N/A</v>
      </c>
      <c r="AI594" s="362" t="e">
        <f>ERP[[#This Row],[2026 Working Total]]-ERP[[#This Row],[LE2 Final Submission]]</f>
        <v>#N/A</v>
      </c>
      <c r="AJ594" s="227">
        <v>0</v>
      </c>
      <c r="AK594" s="227">
        <f t="shared" si="30"/>
        <v>0.41</v>
      </c>
      <c r="AL594" s="374">
        <f>SUM(ERP[[#This Row],[AP01]:[AP06]])-SUM(ERP[[#This Row],[AP01 LE2]:[AP06 LE2]])</f>
        <v>0.03</v>
      </c>
      <c r="AM594" s="80"/>
      <c r="AN594" s="79" t="e">
        <f>ERP[[#This Row],[2026 Working Total to Budget/LE]]-ERP[[#This Row],[Giveback]]</f>
        <v>#N/A</v>
      </c>
      <c r="AO594" s="81"/>
      <c r="AP594" s="375">
        <v>-0.3</v>
      </c>
      <c r="AQ594" s="375">
        <v>0.57999999999999996</v>
      </c>
      <c r="AR594" s="375">
        <v>-0.16</v>
      </c>
      <c r="AS594" s="375">
        <v>0</v>
      </c>
      <c r="AT594" s="375">
        <v>0</v>
      </c>
      <c r="AU594" s="375">
        <v>0</v>
      </c>
      <c r="AV594" s="375">
        <v>0</v>
      </c>
      <c r="AW594" s="375">
        <v>0</v>
      </c>
      <c r="AX594" s="375">
        <v>0</v>
      </c>
      <c r="AY594" s="375">
        <v>0</v>
      </c>
      <c r="AZ594" s="375">
        <v>0</v>
      </c>
      <c r="BA594" s="375">
        <v>0</v>
      </c>
      <c r="BB594" s="375">
        <v>0.11999999999999997</v>
      </c>
      <c r="BC594" s="227">
        <v>-0.3</v>
      </c>
      <c r="BD594" s="227">
        <v>0.57999999999999996</v>
      </c>
      <c r="BE594" s="227">
        <v>-0.16</v>
      </c>
      <c r="BF594" s="227">
        <v>0</v>
      </c>
      <c r="BG594" s="227">
        <v>0</v>
      </c>
      <c r="BH594" s="227">
        <v>0</v>
      </c>
      <c r="BI594" s="227">
        <v>0</v>
      </c>
      <c r="BJ594" s="227">
        <v>0</v>
      </c>
      <c r="BK594" s="227">
        <v>0</v>
      </c>
      <c r="BL594" s="227">
        <v>0</v>
      </c>
      <c r="BM594" s="227">
        <v>0</v>
      </c>
      <c r="BN594" s="227">
        <v>0</v>
      </c>
      <c r="BO594" s="227">
        <v>0.11999999999999997</v>
      </c>
    </row>
    <row r="595" spans="1:67" ht="15" customHeight="1">
      <c r="A595" s="215" t="s">
        <v>2699</v>
      </c>
      <c r="B595" s="215" t="s">
        <v>955</v>
      </c>
      <c r="C595" s="150" t="s">
        <v>1136</v>
      </c>
      <c r="D595" s="334" t="s">
        <v>1345</v>
      </c>
      <c r="E595" s="334" t="s">
        <v>1345</v>
      </c>
      <c r="F595" s="334" t="s">
        <v>1346</v>
      </c>
      <c r="G595" s="516" t="s">
        <v>639</v>
      </c>
      <c r="H595" s="398" t="s">
        <v>1327</v>
      </c>
      <c r="I595" s="343"/>
      <c r="J595" s="344"/>
      <c r="K595" s="219" t="s">
        <v>147</v>
      </c>
      <c r="L595" s="349"/>
      <c r="M595" s="343"/>
      <c r="N595" s="349"/>
      <c r="O595" s="334" t="s">
        <v>25</v>
      </c>
      <c r="P595" s="354"/>
      <c r="Q595" s="403"/>
      <c r="R595" s="406">
        <v>0</v>
      </c>
      <c r="S595" s="406">
        <v>0.32999999999999996</v>
      </c>
      <c r="T595" s="425"/>
      <c r="U595" s="71"/>
      <c r="V595" s="408"/>
      <c r="W595" s="410">
        <v>0.24</v>
      </c>
      <c r="X595" s="410">
        <v>0.09</v>
      </c>
      <c r="Y595" s="428">
        <v>0</v>
      </c>
      <c r="Z595" s="429">
        <v>0</v>
      </c>
      <c r="AA595" s="429">
        <v>-0.3</v>
      </c>
      <c r="AB595" s="363" t="e">
        <v>#N/A</v>
      </c>
      <c r="AC595" s="368">
        <v>0</v>
      </c>
      <c r="AD595" s="368">
        <v>0</v>
      </c>
      <c r="AE595" s="368">
        <v>0</v>
      </c>
      <c r="AF595" s="368">
        <v>0</v>
      </c>
      <c r="AG595" s="368">
        <v>0</v>
      </c>
      <c r="AH595" s="367" t="e">
        <f t="shared" si="31"/>
        <v>#N/A</v>
      </c>
      <c r="AI595" s="362" t="e">
        <f>ERP[[#This Row],[2026 Working Total]]-ERP[[#This Row],[LE2 Final Submission]]</f>
        <v>#N/A</v>
      </c>
      <c r="AJ595" s="227">
        <v>0</v>
      </c>
      <c r="AK595" s="227">
        <f t="shared" si="30"/>
        <v>-0.3</v>
      </c>
      <c r="AL595" s="374">
        <f>SUM(ERP[[#This Row],[AP01]:[AP06]])-SUM(ERP[[#This Row],[AP01 LE2]:[AP06 LE2]])</f>
        <v>-0.3</v>
      </c>
      <c r="AM595" s="80"/>
      <c r="AN595" s="79" t="e">
        <f>ERP[[#This Row],[2026 Working Total to Budget/LE]]-ERP[[#This Row],[Giveback]]</f>
        <v>#N/A</v>
      </c>
      <c r="AO595" s="81"/>
      <c r="AP595" s="375"/>
      <c r="AQ595" s="375">
        <v>0.24</v>
      </c>
      <c r="AR595" s="375">
        <v>0.09</v>
      </c>
      <c r="AS595" s="375">
        <v>0</v>
      </c>
      <c r="AT595" s="375">
        <v>0</v>
      </c>
      <c r="AU595" s="375">
        <v>0</v>
      </c>
      <c r="AV595" s="375">
        <v>0</v>
      </c>
      <c r="AW595" s="375">
        <v>0</v>
      </c>
      <c r="AX595" s="375">
        <v>0</v>
      </c>
      <c r="AY595" s="375">
        <v>0</v>
      </c>
      <c r="AZ595" s="375">
        <v>0</v>
      </c>
      <c r="BA595" s="375">
        <v>0</v>
      </c>
      <c r="BB595" s="375">
        <v>0.32999999999999996</v>
      </c>
      <c r="BC595" s="227"/>
      <c r="BD595" s="227">
        <v>0.24</v>
      </c>
      <c r="BE595" s="227">
        <v>0.09</v>
      </c>
      <c r="BF595" s="227">
        <v>0</v>
      </c>
      <c r="BG595" s="227">
        <v>0</v>
      </c>
      <c r="BH595" s="227">
        <v>0</v>
      </c>
      <c r="BI595" s="227">
        <v>0</v>
      </c>
      <c r="BJ595" s="227">
        <v>0</v>
      </c>
      <c r="BK595" s="227">
        <v>0</v>
      </c>
      <c r="BL595" s="227">
        <v>0</v>
      </c>
      <c r="BM595" s="227">
        <v>0</v>
      </c>
      <c r="BN595" s="227">
        <v>0</v>
      </c>
      <c r="BO595" s="227">
        <v>0.32999999999999996</v>
      </c>
    </row>
    <row r="596" spans="1:67" ht="15" customHeight="1">
      <c r="A596" s="215" t="s">
        <v>1476</v>
      </c>
      <c r="B596" s="215" t="s">
        <v>226</v>
      </c>
      <c r="C596" s="150" t="s">
        <v>1136</v>
      </c>
      <c r="D596" s="334" t="s">
        <v>1345</v>
      </c>
      <c r="E596" s="334" t="s">
        <v>1450</v>
      </c>
      <c r="F596" s="334" t="s">
        <v>1346</v>
      </c>
      <c r="G596" s="516" t="s">
        <v>49</v>
      </c>
      <c r="H596" s="398" t="s">
        <v>1327</v>
      </c>
      <c r="I596" s="343"/>
      <c r="J596" s="344"/>
      <c r="K596" s="219" t="s">
        <v>147</v>
      </c>
      <c r="L596" s="349"/>
      <c r="M596" s="343"/>
      <c r="N596" s="349"/>
      <c r="O596" s="334" t="s">
        <v>25</v>
      </c>
      <c r="P596" s="354"/>
      <c r="Q596" s="403"/>
      <c r="R596" s="406">
        <v>0</v>
      </c>
      <c r="S596" s="406">
        <v>-0.32999999999999996</v>
      </c>
      <c r="T596" s="425"/>
      <c r="U596" s="71"/>
      <c r="V596" s="408">
        <v>-0.15</v>
      </c>
      <c r="W596" s="410">
        <v>0.23</v>
      </c>
      <c r="X596" s="410">
        <v>-0.41</v>
      </c>
      <c r="Y596" s="428">
        <v>0.8</v>
      </c>
      <c r="Z596" s="429">
        <v>-0.17</v>
      </c>
      <c r="AA596" s="429">
        <v>-0.68</v>
      </c>
      <c r="AB596" s="363" t="e">
        <v>#N/A</v>
      </c>
      <c r="AC596" s="368">
        <v>0</v>
      </c>
      <c r="AD596" s="368">
        <v>0</v>
      </c>
      <c r="AE596" s="368">
        <v>0</v>
      </c>
      <c r="AF596" s="368">
        <v>0</v>
      </c>
      <c r="AG596" s="368">
        <v>0</v>
      </c>
      <c r="AH596" s="367" t="e">
        <f t="shared" si="31"/>
        <v>#N/A</v>
      </c>
      <c r="AI596" s="362" t="e">
        <f>ERP[[#This Row],[2026 Working Total]]-ERP[[#This Row],[LE2 Final Submission]]</f>
        <v>#N/A</v>
      </c>
      <c r="AJ596" s="227">
        <v>0</v>
      </c>
      <c r="AK596" s="227">
        <f t="shared" si="30"/>
        <v>-0.68</v>
      </c>
      <c r="AL596" s="374">
        <f>SUM(ERP[[#This Row],[AP01]:[AP06]])-SUM(ERP[[#This Row],[AP01 LE2]:[AP06 LE2]])</f>
        <v>-5.0000000000000044E-2</v>
      </c>
      <c r="AM596" s="80"/>
      <c r="AN596" s="79" t="e">
        <f>ERP[[#This Row],[2026 Working Total to Budget/LE]]-ERP[[#This Row],[Giveback]]</f>
        <v>#N/A</v>
      </c>
      <c r="AO596" s="81"/>
      <c r="AP596" s="375">
        <v>-0.15</v>
      </c>
      <c r="AQ596" s="375">
        <v>0.23</v>
      </c>
      <c r="AR596" s="375">
        <v>-0.41</v>
      </c>
      <c r="AS596" s="375">
        <v>0</v>
      </c>
      <c r="AT596" s="375">
        <v>0</v>
      </c>
      <c r="AU596" s="375">
        <v>0</v>
      </c>
      <c r="AV596" s="375">
        <v>0</v>
      </c>
      <c r="AW596" s="375">
        <v>0</v>
      </c>
      <c r="AX596" s="375">
        <v>0</v>
      </c>
      <c r="AY596" s="375">
        <v>0</v>
      </c>
      <c r="AZ596" s="375">
        <v>0</v>
      </c>
      <c r="BA596" s="375">
        <v>0</v>
      </c>
      <c r="BB596" s="375">
        <v>-0.32999999999999996</v>
      </c>
      <c r="BC596" s="227">
        <v>-0.15</v>
      </c>
      <c r="BD596" s="227">
        <v>0.23</v>
      </c>
      <c r="BE596" s="227">
        <v>-0.41</v>
      </c>
      <c r="BF596" s="227">
        <v>0</v>
      </c>
      <c r="BG596" s="227">
        <v>0</v>
      </c>
      <c r="BH596" s="227">
        <v>0</v>
      </c>
      <c r="BI596" s="227">
        <v>0</v>
      </c>
      <c r="BJ596" s="227">
        <v>0</v>
      </c>
      <c r="BK596" s="227">
        <v>0</v>
      </c>
      <c r="BL596" s="227">
        <v>0</v>
      </c>
      <c r="BM596" s="227">
        <v>0</v>
      </c>
      <c r="BN596" s="227">
        <v>0</v>
      </c>
      <c r="BO596" s="227">
        <v>-0.32999999999999996</v>
      </c>
    </row>
    <row r="597" spans="1:67" ht="15" customHeight="1">
      <c r="A597" s="215" t="s">
        <v>2041</v>
      </c>
      <c r="B597" s="215" t="s">
        <v>544</v>
      </c>
      <c r="C597" s="150" t="s">
        <v>1136</v>
      </c>
      <c r="D597" s="334" t="s">
        <v>1345</v>
      </c>
      <c r="E597" s="334" t="s">
        <v>1450</v>
      </c>
      <c r="F597" s="334" t="s">
        <v>1346</v>
      </c>
      <c r="G597" s="516" t="s">
        <v>389</v>
      </c>
      <c r="H597" s="398" t="s">
        <v>1327</v>
      </c>
      <c r="I597" s="343"/>
      <c r="J597" s="344"/>
      <c r="K597" s="219" t="s">
        <v>147</v>
      </c>
      <c r="L597" s="349"/>
      <c r="M597" s="343"/>
      <c r="N597" s="349"/>
      <c r="O597" s="334" t="s">
        <v>25</v>
      </c>
      <c r="P597" s="354"/>
      <c r="Q597" s="403"/>
      <c r="R597" s="406">
        <v>0</v>
      </c>
      <c r="S597" s="406">
        <v>0.43</v>
      </c>
      <c r="T597" s="425"/>
      <c r="U597" s="71"/>
      <c r="V597" s="408">
        <v>0.32</v>
      </c>
      <c r="W597" s="410">
        <v>0.11</v>
      </c>
      <c r="X597" s="412">
        <v>0</v>
      </c>
      <c r="Y597" s="428">
        <v>0.06</v>
      </c>
      <c r="Z597" s="429">
        <v>-0.33</v>
      </c>
      <c r="AA597" s="429">
        <v>-0.46</v>
      </c>
      <c r="AB597" s="363" t="e">
        <v>#N/A</v>
      </c>
      <c r="AC597" s="368">
        <v>0</v>
      </c>
      <c r="AD597" s="368">
        <v>0</v>
      </c>
      <c r="AE597" s="368">
        <v>0</v>
      </c>
      <c r="AF597" s="368">
        <v>0</v>
      </c>
      <c r="AG597" s="368">
        <v>0</v>
      </c>
      <c r="AH597" s="367" t="e">
        <f t="shared" si="31"/>
        <v>#N/A</v>
      </c>
      <c r="AI597" s="362" t="e">
        <f>ERP[[#This Row],[2026 Working Total]]-ERP[[#This Row],[LE2 Final Submission]]</f>
        <v>#N/A</v>
      </c>
      <c r="AJ597" s="227">
        <v>0</v>
      </c>
      <c r="AK597" s="227">
        <f t="shared" si="30"/>
        <v>-0.46</v>
      </c>
      <c r="AL597" s="374">
        <f>SUM(ERP[[#This Row],[AP01]:[AP06]])-SUM(ERP[[#This Row],[AP01 LE2]:[AP06 LE2]])</f>
        <v>-0.73</v>
      </c>
      <c r="AM597" s="80"/>
      <c r="AN597" s="79" t="e">
        <f>ERP[[#This Row],[2026 Working Total to Budget/LE]]-ERP[[#This Row],[Giveback]]</f>
        <v>#N/A</v>
      </c>
      <c r="AO597" s="81"/>
      <c r="AP597" s="375">
        <v>0.32</v>
      </c>
      <c r="AQ597" s="375">
        <v>0.11</v>
      </c>
      <c r="AR597" s="375">
        <v>0</v>
      </c>
      <c r="AS597" s="375">
        <v>0</v>
      </c>
      <c r="AT597" s="375">
        <v>0</v>
      </c>
      <c r="AU597" s="375">
        <v>0</v>
      </c>
      <c r="AV597" s="375">
        <v>0</v>
      </c>
      <c r="AW597" s="375">
        <v>0</v>
      </c>
      <c r="AX597" s="375">
        <v>0</v>
      </c>
      <c r="AY597" s="375">
        <v>0</v>
      </c>
      <c r="AZ597" s="375">
        <v>0</v>
      </c>
      <c r="BA597" s="375">
        <v>0</v>
      </c>
      <c r="BB597" s="375">
        <v>0.43</v>
      </c>
      <c r="BC597" s="227">
        <v>0.32</v>
      </c>
      <c r="BD597" s="227">
        <v>0.11</v>
      </c>
      <c r="BE597" s="227">
        <v>0</v>
      </c>
      <c r="BF597" s="227">
        <v>0</v>
      </c>
      <c r="BG597" s="227">
        <v>0</v>
      </c>
      <c r="BH597" s="227">
        <v>0</v>
      </c>
      <c r="BI597" s="227">
        <v>0</v>
      </c>
      <c r="BJ597" s="227">
        <v>0</v>
      </c>
      <c r="BK597" s="227">
        <v>0</v>
      </c>
      <c r="BL597" s="227">
        <v>0</v>
      </c>
      <c r="BM597" s="227">
        <v>0</v>
      </c>
      <c r="BN597" s="227">
        <v>0</v>
      </c>
      <c r="BO597" s="227">
        <v>0.43</v>
      </c>
    </row>
    <row r="598" spans="1:67" ht="15" customHeight="1">
      <c r="A598" s="215" t="s">
        <v>2704</v>
      </c>
      <c r="B598" s="215" t="s">
        <v>958</v>
      </c>
      <c r="C598" s="150" t="s">
        <v>1136</v>
      </c>
      <c r="D598" s="334" t="s">
        <v>1345</v>
      </c>
      <c r="E598" s="334" t="s">
        <v>1450</v>
      </c>
      <c r="F598" s="334" t="s">
        <v>1346</v>
      </c>
      <c r="G598" s="516" t="s">
        <v>639</v>
      </c>
      <c r="H598" s="398" t="s">
        <v>1327</v>
      </c>
      <c r="I598" s="343"/>
      <c r="J598" s="344"/>
      <c r="K598" s="219" t="s">
        <v>147</v>
      </c>
      <c r="L598" s="349"/>
      <c r="M598" s="343"/>
      <c r="N598" s="349"/>
      <c r="O598" s="334" t="s">
        <v>25</v>
      </c>
      <c r="P598" s="354"/>
      <c r="Q598" s="403"/>
      <c r="R598" s="406">
        <v>0</v>
      </c>
      <c r="S598" s="406">
        <v>-0.13</v>
      </c>
      <c r="T598" s="425"/>
      <c r="U598" s="71"/>
      <c r="V598" s="408"/>
      <c r="W598" s="410">
        <v>-0.03</v>
      </c>
      <c r="X598" s="410">
        <v>-0.1</v>
      </c>
      <c r="Y598" s="428">
        <v>0</v>
      </c>
      <c r="Z598" s="429">
        <v>0</v>
      </c>
      <c r="AA598" s="429">
        <v>0.56999999999999995</v>
      </c>
      <c r="AB598" s="363" t="e">
        <v>#N/A</v>
      </c>
      <c r="AC598" s="368">
        <v>0</v>
      </c>
      <c r="AD598" s="368">
        <v>0</v>
      </c>
      <c r="AE598" s="368">
        <v>0</v>
      </c>
      <c r="AF598" s="368">
        <v>0</v>
      </c>
      <c r="AG598" s="368">
        <v>0</v>
      </c>
      <c r="AH598" s="367" t="e">
        <f t="shared" si="31"/>
        <v>#N/A</v>
      </c>
      <c r="AI598" s="362" t="e">
        <f>ERP[[#This Row],[2026 Working Total]]-ERP[[#This Row],[LE2 Final Submission]]</f>
        <v>#N/A</v>
      </c>
      <c r="AJ598" s="227">
        <v>0</v>
      </c>
      <c r="AK598" s="227">
        <f t="shared" si="30"/>
        <v>0.56999999999999995</v>
      </c>
      <c r="AL598" s="374">
        <f>SUM(ERP[[#This Row],[AP01]:[AP06]])-SUM(ERP[[#This Row],[AP01 LE2]:[AP06 LE2]])</f>
        <v>0.56999999999999995</v>
      </c>
      <c r="AM598" s="80"/>
      <c r="AN598" s="79" t="e">
        <f>ERP[[#This Row],[2026 Working Total to Budget/LE]]-ERP[[#This Row],[Giveback]]</f>
        <v>#N/A</v>
      </c>
      <c r="AO598" s="81"/>
      <c r="AP598" s="375"/>
      <c r="AQ598" s="375">
        <v>-0.03</v>
      </c>
      <c r="AR598" s="375">
        <v>-0.1</v>
      </c>
      <c r="AS598" s="375">
        <v>0</v>
      </c>
      <c r="AT598" s="375">
        <v>0</v>
      </c>
      <c r="AU598" s="375">
        <v>0</v>
      </c>
      <c r="AV598" s="375">
        <v>0</v>
      </c>
      <c r="AW598" s="375">
        <v>0</v>
      </c>
      <c r="AX598" s="375">
        <v>0</v>
      </c>
      <c r="AY598" s="375">
        <v>0</v>
      </c>
      <c r="AZ598" s="375">
        <v>0</v>
      </c>
      <c r="BA598" s="375">
        <v>0</v>
      </c>
      <c r="BB598" s="375">
        <v>-0.13</v>
      </c>
      <c r="BC598" s="227"/>
      <c r="BD598" s="227">
        <v>-0.03</v>
      </c>
      <c r="BE598" s="227">
        <v>-0.1</v>
      </c>
      <c r="BF598" s="227">
        <v>0</v>
      </c>
      <c r="BG598" s="227">
        <v>0</v>
      </c>
      <c r="BH598" s="227">
        <v>0</v>
      </c>
      <c r="BI598" s="227">
        <v>0</v>
      </c>
      <c r="BJ598" s="227">
        <v>0</v>
      </c>
      <c r="BK598" s="227">
        <v>0</v>
      </c>
      <c r="BL598" s="227">
        <v>0</v>
      </c>
      <c r="BM598" s="227">
        <v>0</v>
      </c>
      <c r="BN598" s="227">
        <v>0</v>
      </c>
      <c r="BO598" s="227">
        <v>-0.13</v>
      </c>
    </row>
    <row r="599" spans="1:67" ht="15" customHeight="1">
      <c r="A599" s="215" t="s">
        <v>2063</v>
      </c>
      <c r="B599" s="215" t="s">
        <v>554</v>
      </c>
      <c r="C599" s="150" t="s">
        <v>1136</v>
      </c>
      <c r="D599" s="334" t="s">
        <v>1345</v>
      </c>
      <c r="E599" s="334" t="s">
        <v>1480</v>
      </c>
      <c r="F599" s="334" t="s">
        <v>1346</v>
      </c>
      <c r="G599" s="516" t="s">
        <v>389</v>
      </c>
      <c r="H599" s="398" t="s">
        <v>1327</v>
      </c>
      <c r="I599" s="343"/>
      <c r="J599" s="344"/>
      <c r="K599" s="219" t="s">
        <v>147</v>
      </c>
      <c r="L599" s="349"/>
      <c r="M599" s="343"/>
      <c r="N599" s="349"/>
      <c r="O599" s="334" t="s">
        <v>25</v>
      </c>
      <c r="P599" s="354"/>
      <c r="Q599" s="403"/>
      <c r="R599" s="406">
        <v>0</v>
      </c>
      <c r="S599" s="406">
        <v>-0.2</v>
      </c>
      <c r="T599" s="430"/>
      <c r="U599" s="137"/>
      <c r="V599" s="408">
        <v>-0.48</v>
      </c>
      <c r="W599" s="410">
        <v>0.28999999999999998</v>
      </c>
      <c r="X599" s="410">
        <v>-0.01</v>
      </c>
      <c r="Y599" s="428">
        <v>0.06</v>
      </c>
      <c r="Z599" s="429">
        <v>0.16</v>
      </c>
      <c r="AA599" s="429">
        <v>0.08</v>
      </c>
      <c r="AB599" s="363" t="e">
        <v>#N/A</v>
      </c>
      <c r="AC599" s="368">
        <v>0</v>
      </c>
      <c r="AD599" s="368">
        <v>0</v>
      </c>
      <c r="AE599" s="368">
        <v>0</v>
      </c>
      <c r="AF599" s="368">
        <v>0</v>
      </c>
      <c r="AG599" s="368">
        <v>0</v>
      </c>
      <c r="AH599" s="367" t="e">
        <f t="shared" si="31"/>
        <v>#N/A</v>
      </c>
      <c r="AI599" s="362" t="e">
        <f>ERP[[#This Row],[2026 Working Total]]-ERP[[#This Row],[LE2 Final Submission]]</f>
        <v>#N/A</v>
      </c>
      <c r="AJ599" s="227">
        <v>0</v>
      </c>
      <c r="AK599" s="227">
        <f t="shared" si="30"/>
        <v>0.08</v>
      </c>
      <c r="AL599" s="374">
        <f>SUM(ERP[[#This Row],[AP01]:[AP06]])-SUM(ERP[[#This Row],[AP01 LE2]:[AP06 LE2]])</f>
        <v>0.3</v>
      </c>
      <c r="AM599" s="80"/>
      <c r="AN599" s="79" t="e">
        <f>ERP[[#This Row],[2026 Working Total to Budget/LE]]-ERP[[#This Row],[Giveback]]</f>
        <v>#N/A</v>
      </c>
      <c r="AO599" s="81"/>
      <c r="AP599" s="375">
        <v>-0.48</v>
      </c>
      <c r="AQ599" s="375">
        <v>0.28999999999999998</v>
      </c>
      <c r="AR599" s="375">
        <v>-0.01</v>
      </c>
      <c r="AS599" s="375">
        <v>0</v>
      </c>
      <c r="AT599" s="375">
        <v>0</v>
      </c>
      <c r="AU599" s="375">
        <v>0</v>
      </c>
      <c r="AV599" s="375">
        <v>0</v>
      </c>
      <c r="AW599" s="375">
        <v>0</v>
      </c>
      <c r="AX599" s="375">
        <v>0</v>
      </c>
      <c r="AY599" s="375">
        <v>0</v>
      </c>
      <c r="AZ599" s="375">
        <v>0</v>
      </c>
      <c r="BA599" s="375">
        <v>0</v>
      </c>
      <c r="BB599" s="375">
        <v>-0.2</v>
      </c>
      <c r="BC599" s="227">
        <v>-0.48</v>
      </c>
      <c r="BD599" s="227">
        <v>0.28999999999999998</v>
      </c>
      <c r="BE599" s="227">
        <v>-0.01</v>
      </c>
      <c r="BF599" s="227">
        <v>0</v>
      </c>
      <c r="BG599" s="227">
        <v>0</v>
      </c>
      <c r="BH599" s="227">
        <v>0</v>
      </c>
      <c r="BI599" s="227">
        <v>0</v>
      </c>
      <c r="BJ599" s="227">
        <v>0</v>
      </c>
      <c r="BK599" s="227">
        <v>0</v>
      </c>
      <c r="BL599" s="227">
        <v>0</v>
      </c>
      <c r="BM599" s="227">
        <v>0</v>
      </c>
      <c r="BN599" s="227">
        <v>0</v>
      </c>
      <c r="BO599" s="227">
        <v>-0.2</v>
      </c>
    </row>
    <row r="600" spans="1:67" ht="15" customHeight="1">
      <c r="A600" s="215" t="s">
        <v>2740</v>
      </c>
      <c r="B600" s="215" t="s">
        <v>980</v>
      </c>
      <c r="C600" s="150" t="s">
        <v>1136</v>
      </c>
      <c r="D600" s="334" t="s">
        <v>1345</v>
      </c>
      <c r="E600" s="334" t="s">
        <v>1480</v>
      </c>
      <c r="F600" s="334" t="s">
        <v>1346</v>
      </c>
      <c r="G600" s="516" t="s">
        <v>639</v>
      </c>
      <c r="H600" s="398" t="s">
        <v>1327</v>
      </c>
      <c r="I600" s="343"/>
      <c r="J600" s="344"/>
      <c r="K600" s="219" t="s">
        <v>147</v>
      </c>
      <c r="L600" s="349"/>
      <c r="M600" s="343"/>
      <c r="N600" s="349"/>
      <c r="O600" s="334" t="s">
        <v>25</v>
      </c>
      <c r="P600" s="354"/>
      <c r="Q600" s="403"/>
      <c r="R600" s="406">
        <v>0</v>
      </c>
      <c r="S600" s="406">
        <v>16.46</v>
      </c>
      <c r="T600" s="430"/>
      <c r="U600" s="137"/>
      <c r="V600" s="408"/>
      <c r="W600" s="410">
        <v>18</v>
      </c>
      <c r="X600" s="410">
        <v>-1.54</v>
      </c>
      <c r="Y600" s="428">
        <v>-7.0000000000000007E-2</v>
      </c>
      <c r="Z600" s="429">
        <v>0.83</v>
      </c>
      <c r="AA600" s="429">
        <v>-0.54</v>
      </c>
      <c r="AB600" s="363" t="e">
        <v>#N/A</v>
      </c>
      <c r="AC600" s="368">
        <v>0</v>
      </c>
      <c r="AD600" s="368">
        <v>0</v>
      </c>
      <c r="AE600" s="368">
        <v>0</v>
      </c>
      <c r="AF600" s="368">
        <v>0</v>
      </c>
      <c r="AG600" s="368">
        <v>0</v>
      </c>
      <c r="AH600" s="367" t="e">
        <f t="shared" si="31"/>
        <v>#N/A</v>
      </c>
      <c r="AI600" s="362" t="e">
        <f>ERP[[#This Row],[2026 Working Total]]-ERP[[#This Row],[LE2 Final Submission]]</f>
        <v>#N/A</v>
      </c>
      <c r="AJ600" s="227">
        <v>0</v>
      </c>
      <c r="AK600" s="227">
        <f t="shared" si="30"/>
        <v>-0.54</v>
      </c>
      <c r="AL600" s="374">
        <f>SUM(ERP[[#This Row],[AP01]:[AP06]])-SUM(ERP[[#This Row],[AP01 LE2]:[AP06 LE2]])</f>
        <v>0.21999999999999886</v>
      </c>
      <c r="AM600" s="80"/>
      <c r="AN600" s="79" t="e">
        <f>ERP[[#This Row],[2026 Working Total to Budget/LE]]-ERP[[#This Row],[Giveback]]</f>
        <v>#N/A</v>
      </c>
      <c r="AO600" s="81"/>
      <c r="AP600" s="375"/>
      <c r="AQ600" s="375">
        <v>18</v>
      </c>
      <c r="AR600" s="375">
        <v>-1.54</v>
      </c>
      <c r="AS600" s="375">
        <v>0</v>
      </c>
      <c r="AT600" s="375">
        <v>0</v>
      </c>
      <c r="AU600" s="375">
        <v>0</v>
      </c>
      <c r="AV600" s="375">
        <v>0</v>
      </c>
      <c r="AW600" s="375">
        <v>0</v>
      </c>
      <c r="AX600" s="375">
        <v>0</v>
      </c>
      <c r="AY600" s="375">
        <v>0</v>
      </c>
      <c r="AZ600" s="375">
        <v>0</v>
      </c>
      <c r="BA600" s="375">
        <v>0</v>
      </c>
      <c r="BB600" s="375">
        <v>16.46</v>
      </c>
      <c r="BC600" s="227"/>
      <c r="BD600" s="227">
        <v>18</v>
      </c>
      <c r="BE600" s="227">
        <v>-1.54</v>
      </c>
      <c r="BF600" s="227">
        <v>0</v>
      </c>
      <c r="BG600" s="227">
        <v>0</v>
      </c>
      <c r="BH600" s="227">
        <v>0</v>
      </c>
      <c r="BI600" s="227">
        <v>0</v>
      </c>
      <c r="BJ600" s="227">
        <v>0</v>
      </c>
      <c r="BK600" s="227">
        <v>0</v>
      </c>
      <c r="BL600" s="227">
        <v>0</v>
      </c>
      <c r="BM600" s="227">
        <v>0</v>
      </c>
      <c r="BN600" s="227">
        <v>0</v>
      </c>
      <c r="BO600" s="227">
        <v>16.46</v>
      </c>
    </row>
    <row r="601" spans="1:67" ht="15" customHeight="1">
      <c r="A601" s="215" t="s">
        <v>1562</v>
      </c>
      <c r="B601" s="215" t="s">
        <v>268</v>
      </c>
      <c r="C601" s="150" t="s">
        <v>1136</v>
      </c>
      <c r="D601" s="334" t="s">
        <v>1345</v>
      </c>
      <c r="E601" s="334" t="s">
        <v>1515</v>
      </c>
      <c r="F601" s="334" t="s">
        <v>1346</v>
      </c>
      <c r="G601" s="516" t="s">
        <v>49</v>
      </c>
      <c r="H601" s="398" t="s">
        <v>1327</v>
      </c>
      <c r="I601" s="343"/>
      <c r="J601" s="344"/>
      <c r="K601" s="219" t="s">
        <v>147</v>
      </c>
      <c r="L601" s="349"/>
      <c r="M601" s="343"/>
      <c r="N601" s="349"/>
      <c r="O601" s="334" t="s">
        <v>25</v>
      </c>
      <c r="P601" s="354"/>
      <c r="Q601" s="403"/>
      <c r="R601" s="406">
        <v>0</v>
      </c>
      <c r="S601" s="406">
        <v>19639.919999999998</v>
      </c>
      <c r="T601" s="425"/>
      <c r="U601" s="71"/>
      <c r="V601" s="408">
        <v>-0.23</v>
      </c>
      <c r="W601" s="410">
        <v>-0.24</v>
      </c>
      <c r="X601" s="410">
        <v>19640.39</v>
      </c>
      <c r="Y601" s="428">
        <v>0.61</v>
      </c>
      <c r="Z601" s="481">
        <v>-19640.97</v>
      </c>
      <c r="AA601" s="429">
        <v>0.03</v>
      </c>
      <c r="AB601" s="363" t="e">
        <v>#N/A</v>
      </c>
      <c r="AC601" s="368">
        <v>0</v>
      </c>
      <c r="AD601" s="368">
        <v>0</v>
      </c>
      <c r="AE601" s="368">
        <v>0</v>
      </c>
      <c r="AF601" s="368">
        <v>0</v>
      </c>
      <c r="AG601" s="368">
        <v>0</v>
      </c>
      <c r="AH601" s="367" t="e">
        <f t="shared" si="31"/>
        <v>#N/A</v>
      </c>
      <c r="AI601" s="362" t="e">
        <f>ERP[[#This Row],[2026 Working Total]]-ERP[[#This Row],[LE2 Final Submission]]</f>
        <v>#N/A</v>
      </c>
      <c r="AJ601" s="227">
        <v>0</v>
      </c>
      <c r="AK601" s="227">
        <f t="shared" si="30"/>
        <v>0.03</v>
      </c>
      <c r="AL601" s="374">
        <f>SUM(ERP[[#This Row],[AP01]:[AP06]])-SUM(ERP[[#This Row],[AP01 LE2]:[AP06 LE2]])</f>
        <v>-19640.330000000002</v>
      </c>
      <c r="AM601" s="80"/>
      <c r="AN601" s="79" t="e">
        <f>ERP[[#This Row],[2026 Working Total to Budget/LE]]-ERP[[#This Row],[Giveback]]</f>
        <v>#N/A</v>
      </c>
      <c r="AO601" s="81"/>
      <c r="AP601" s="375">
        <v>-0.23</v>
      </c>
      <c r="AQ601" s="375">
        <v>-0.24</v>
      </c>
      <c r="AR601" s="375">
        <v>19640.39</v>
      </c>
      <c r="AS601" s="375">
        <v>0</v>
      </c>
      <c r="AT601" s="375">
        <v>0</v>
      </c>
      <c r="AU601" s="375">
        <v>0</v>
      </c>
      <c r="AV601" s="375">
        <v>0</v>
      </c>
      <c r="AW601" s="375">
        <v>0</v>
      </c>
      <c r="AX601" s="375">
        <v>0</v>
      </c>
      <c r="AY601" s="375">
        <v>0</v>
      </c>
      <c r="AZ601" s="375">
        <v>0</v>
      </c>
      <c r="BA601" s="375">
        <v>0</v>
      </c>
      <c r="BB601" s="375">
        <v>19639.919999999998</v>
      </c>
      <c r="BC601" s="227">
        <v>-0.23</v>
      </c>
      <c r="BD601" s="227">
        <v>-0.24</v>
      </c>
      <c r="BE601" s="227">
        <v>19640.39</v>
      </c>
      <c r="BF601" s="227">
        <v>0</v>
      </c>
      <c r="BG601" s="227">
        <v>0</v>
      </c>
      <c r="BH601" s="227">
        <v>0</v>
      </c>
      <c r="BI601" s="227">
        <v>0</v>
      </c>
      <c r="BJ601" s="227">
        <v>0</v>
      </c>
      <c r="BK601" s="227">
        <v>0</v>
      </c>
      <c r="BL601" s="227">
        <v>0</v>
      </c>
      <c r="BM601" s="227">
        <v>0</v>
      </c>
      <c r="BN601" s="227">
        <v>0</v>
      </c>
      <c r="BO601" s="227">
        <v>19639.919999999998</v>
      </c>
    </row>
    <row r="602" spans="1:67" ht="15" customHeight="1">
      <c r="A602" s="215" t="s">
        <v>2194</v>
      </c>
      <c r="B602" s="215" t="s">
        <v>633</v>
      </c>
      <c r="C602" s="150" t="s">
        <v>1136</v>
      </c>
      <c r="D602" s="334" t="s">
        <v>1345</v>
      </c>
      <c r="E602" s="334" t="s">
        <v>1515</v>
      </c>
      <c r="F602" s="334" t="s">
        <v>1346</v>
      </c>
      <c r="G602" s="516" t="s">
        <v>629</v>
      </c>
      <c r="H602" s="398" t="s">
        <v>1327</v>
      </c>
      <c r="I602" s="343"/>
      <c r="J602" s="344"/>
      <c r="K602" s="219" t="s">
        <v>147</v>
      </c>
      <c r="L602" s="346"/>
      <c r="M602" s="343"/>
      <c r="N602" s="349"/>
      <c r="O602" s="334" t="s">
        <v>25</v>
      </c>
      <c r="P602" s="354"/>
      <c r="Q602" s="403"/>
      <c r="R602" s="406">
        <v>0</v>
      </c>
      <c r="S602" s="406">
        <v>1.999999999999999E-2</v>
      </c>
      <c r="T602" s="425"/>
      <c r="U602" s="71"/>
      <c r="V602" s="408"/>
      <c r="W602" s="410">
        <v>0.21</v>
      </c>
      <c r="X602" s="410">
        <v>-0.19</v>
      </c>
      <c r="Y602" s="428">
        <v>0</v>
      </c>
      <c r="Z602" s="429">
        <v>2430.29</v>
      </c>
      <c r="AA602" s="429">
        <v>1250.79</v>
      </c>
      <c r="AB602" s="363" t="e">
        <v>#N/A</v>
      </c>
      <c r="AC602" s="368">
        <v>0</v>
      </c>
      <c r="AD602" s="368">
        <v>0</v>
      </c>
      <c r="AE602" s="368">
        <v>0</v>
      </c>
      <c r="AF602" s="368">
        <v>0</v>
      </c>
      <c r="AG602" s="368">
        <v>0</v>
      </c>
      <c r="AH602" s="367" t="e">
        <f t="shared" si="31"/>
        <v>#N/A</v>
      </c>
      <c r="AI602" s="362" t="e">
        <f>ERP[[#This Row],[2026 Working Total]]-ERP[[#This Row],[LE2 Final Submission]]</f>
        <v>#N/A</v>
      </c>
      <c r="AJ602" s="227">
        <v>0</v>
      </c>
      <c r="AK602" s="227">
        <f t="shared" si="30"/>
        <v>1250.79</v>
      </c>
      <c r="AL602" s="374">
        <f>SUM(ERP[[#This Row],[AP01]:[AP06]])-SUM(ERP[[#This Row],[AP01 LE2]:[AP06 LE2]])</f>
        <v>3681.08</v>
      </c>
      <c r="AM602" s="80"/>
      <c r="AN602" s="79" t="e">
        <f>ERP[[#This Row],[2026 Working Total to Budget/LE]]-ERP[[#This Row],[Giveback]]</f>
        <v>#N/A</v>
      </c>
      <c r="AO602" s="81"/>
      <c r="AP602" s="375"/>
      <c r="AQ602" s="375">
        <v>0.21</v>
      </c>
      <c r="AR602" s="375">
        <v>-0.19</v>
      </c>
      <c r="AS602" s="375">
        <v>0</v>
      </c>
      <c r="AT602" s="375">
        <v>0</v>
      </c>
      <c r="AU602" s="375">
        <v>0</v>
      </c>
      <c r="AV602" s="375">
        <v>0</v>
      </c>
      <c r="AW602" s="375">
        <v>0</v>
      </c>
      <c r="AX602" s="375">
        <v>0</v>
      </c>
      <c r="AY602" s="375">
        <v>0</v>
      </c>
      <c r="AZ602" s="375">
        <v>0</v>
      </c>
      <c r="BA602" s="375">
        <v>0</v>
      </c>
      <c r="BB602" s="375">
        <v>1.999999999999999E-2</v>
      </c>
      <c r="BC602" s="227"/>
      <c r="BD602" s="227">
        <v>0.21</v>
      </c>
      <c r="BE602" s="227">
        <v>-0.19</v>
      </c>
      <c r="BF602" s="227">
        <v>0</v>
      </c>
      <c r="BG602" s="227">
        <v>0</v>
      </c>
      <c r="BH602" s="227">
        <v>0</v>
      </c>
      <c r="BI602" s="227">
        <v>0</v>
      </c>
      <c r="BJ602" s="227">
        <v>0</v>
      </c>
      <c r="BK602" s="227">
        <v>0</v>
      </c>
      <c r="BL602" s="227">
        <v>0</v>
      </c>
      <c r="BM602" s="227">
        <v>0</v>
      </c>
      <c r="BN602" s="227">
        <v>0</v>
      </c>
      <c r="BO602" s="227">
        <v>1.999999999999999E-2</v>
      </c>
    </row>
    <row r="603" spans="1:67" ht="15" customHeight="1">
      <c r="A603" s="215" t="s">
        <v>2752</v>
      </c>
      <c r="B603" s="215" t="s">
        <v>987</v>
      </c>
      <c r="C603" s="150" t="s">
        <v>1136</v>
      </c>
      <c r="D603" s="334" t="s">
        <v>1345</v>
      </c>
      <c r="E603" s="334" t="s">
        <v>1515</v>
      </c>
      <c r="F603" s="334" t="s">
        <v>1346</v>
      </c>
      <c r="G603" s="516" t="s">
        <v>639</v>
      </c>
      <c r="H603" s="398" t="s">
        <v>1327</v>
      </c>
      <c r="I603" s="343"/>
      <c r="J603" s="344"/>
      <c r="K603" s="219" t="s">
        <v>147</v>
      </c>
      <c r="L603" s="346"/>
      <c r="M603" s="343"/>
      <c r="N603" s="349"/>
      <c r="O603" s="334" t="s">
        <v>25</v>
      </c>
      <c r="P603" s="354"/>
      <c r="Q603" s="403"/>
      <c r="R603" s="406">
        <v>0</v>
      </c>
      <c r="S603" s="406">
        <v>0.63</v>
      </c>
      <c r="T603" s="425"/>
      <c r="U603" s="71"/>
      <c r="V603" s="408"/>
      <c r="W603" s="410"/>
      <c r="X603" s="410">
        <v>0.63</v>
      </c>
      <c r="Y603" s="428">
        <v>0</v>
      </c>
      <c r="Z603" s="429">
        <v>-0.28000000000000003</v>
      </c>
      <c r="AA603" s="429">
        <v>0.1</v>
      </c>
      <c r="AB603" s="363" t="e">
        <v>#N/A</v>
      </c>
      <c r="AC603" s="368">
        <v>0</v>
      </c>
      <c r="AD603" s="368">
        <v>0</v>
      </c>
      <c r="AE603" s="368">
        <v>0</v>
      </c>
      <c r="AF603" s="368">
        <v>0</v>
      </c>
      <c r="AG603" s="368">
        <v>0</v>
      </c>
      <c r="AH603" s="367" t="e">
        <f t="shared" si="31"/>
        <v>#N/A</v>
      </c>
      <c r="AI603" s="362" t="e">
        <f>ERP[[#This Row],[2026 Working Total]]-ERP[[#This Row],[LE2 Final Submission]]</f>
        <v>#N/A</v>
      </c>
      <c r="AJ603" s="227">
        <v>0</v>
      </c>
      <c r="AK603" s="227">
        <f t="shared" si="30"/>
        <v>0.1</v>
      </c>
      <c r="AL603" s="374">
        <f>SUM(ERP[[#This Row],[AP01]:[AP06]])-SUM(ERP[[#This Row],[AP01 LE2]:[AP06 LE2]])</f>
        <v>-0.18000000000000005</v>
      </c>
      <c r="AM603" s="80"/>
      <c r="AN603" s="79" t="e">
        <f>ERP[[#This Row],[2026 Working Total to Budget/LE]]-ERP[[#This Row],[Giveback]]</f>
        <v>#N/A</v>
      </c>
      <c r="AO603" s="81"/>
      <c r="AP603" s="375"/>
      <c r="AQ603" s="375"/>
      <c r="AR603" s="375">
        <v>0.63</v>
      </c>
      <c r="AS603" s="375">
        <v>0</v>
      </c>
      <c r="AT603" s="375">
        <v>0</v>
      </c>
      <c r="AU603" s="375">
        <v>0</v>
      </c>
      <c r="AV603" s="375">
        <v>0</v>
      </c>
      <c r="AW603" s="375">
        <v>0</v>
      </c>
      <c r="AX603" s="375">
        <v>0</v>
      </c>
      <c r="AY603" s="375">
        <v>0</v>
      </c>
      <c r="AZ603" s="375">
        <v>0</v>
      </c>
      <c r="BA603" s="375">
        <v>0</v>
      </c>
      <c r="BB603" s="375">
        <v>0.63</v>
      </c>
      <c r="BC603" s="227"/>
      <c r="BD603" s="227"/>
      <c r="BE603" s="227">
        <v>0.63</v>
      </c>
      <c r="BF603" s="227">
        <v>0</v>
      </c>
      <c r="BG603" s="227">
        <v>0</v>
      </c>
      <c r="BH603" s="227">
        <v>0</v>
      </c>
      <c r="BI603" s="227">
        <v>0</v>
      </c>
      <c r="BJ603" s="227">
        <v>0</v>
      </c>
      <c r="BK603" s="227">
        <v>0</v>
      </c>
      <c r="BL603" s="227">
        <v>0</v>
      </c>
      <c r="BM603" s="227">
        <v>0</v>
      </c>
      <c r="BN603" s="227">
        <v>0</v>
      </c>
      <c r="BO603" s="227">
        <v>0.63</v>
      </c>
    </row>
    <row r="604" spans="1:67" ht="15" customHeight="1">
      <c r="A604" s="215" t="s">
        <v>1326</v>
      </c>
      <c r="B604" s="215" t="s">
        <v>146</v>
      </c>
      <c r="C604" s="150" t="s">
        <v>1136</v>
      </c>
      <c r="D604" s="334" t="s">
        <v>1135</v>
      </c>
      <c r="E604" s="334" t="s">
        <v>1135</v>
      </c>
      <c r="F604" s="334" t="s">
        <v>1137</v>
      </c>
      <c r="G604" s="516" t="s">
        <v>49</v>
      </c>
      <c r="H604" s="398" t="s">
        <v>1327</v>
      </c>
      <c r="I604" s="343"/>
      <c r="J604" s="344"/>
      <c r="K604" s="219" t="s">
        <v>147</v>
      </c>
      <c r="L604" s="346"/>
      <c r="M604" s="343"/>
      <c r="N604" s="349"/>
      <c r="O604" s="334" t="s">
        <v>25</v>
      </c>
      <c r="P604" s="150"/>
      <c r="Q604" s="403"/>
      <c r="R604" s="406">
        <v>0</v>
      </c>
      <c r="S604" s="406">
        <v>-0.11000000000058208</v>
      </c>
      <c r="T604" s="425"/>
      <c r="U604" s="71"/>
      <c r="V604" s="408">
        <v>20093.099999999999</v>
      </c>
      <c r="W604" s="410">
        <v>22504.89</v>
      </c>
      <c r="X604" s="410">
        <v>-42598.1</v>
      </c>
      <c r="Y604" s="428">
        <v>-0.33</v>
      </c>
      <c r="Z604" s="429">
        <v>0.71</v>
      </c>
      <c r="AA604" s="429">
        <v>-0.03</v>
      </c>
      <c r="AB604" s="363" t="e">
        <v>#N/A</v>
      </c>
      <c r="AC604" s="368">
        <v>0</v>
      </c>
      <c r="AD604" s="368">
        <v>0</v>
      </c>
      <c r="AE604" s="368">
        <v>0</v>
      </c>
      <c r="AF604" s="368">
        <v>0</v>
      </c>
      <c r="AG604" s="368">
        <v>0</v>
      </c>
      <c r="AH604" s="367" t="e">
        <f t="shared" si="31"/>
        <v>#N/A</v>
      </c>
      <c r="AI604" s="362" t="e">
        <f>ERP[[#This Row],[2026 Working Total]]-ERP[[#This Row],[LE2 Final Submission]]</f>
        <v>#N/A</v>
      </c>
      <c r="AJ604" s="227">
        <v>0</v>
      </c>
      <c r="AK604" s="227">
        <f t="shared" si="30"/>
        <v>-0.03</v>
      </c>
      <c r="AL604" s="374">
        <f>SUM(ERP[[#This Row],[AP01]:[AP06]])-SUM(ERP[[#This Row],[AP01 LE2]:[AP06 LE2]])</f>
        <v>0.35</v>
      </c>
      <c r="AM604" s="80"/>
      <c r="AN604" s="79" t="e">
        <f>ERP[[#This Row],[2026 Working Total to Budget/LE]]-ERP[[#This Row],[Giveback]]</f>
        <v>#N/A</v>
      </c>
      <c r="AO604" s="81"/>
      <c r="AP604" s="375">
        <v>20093.099999999999</v>
      </c>
      <c r="AQ604" s="375">
        <v>22504.89</v>
      </c>
      <c r="AR604" s="375">
        <v>-42598.1</v>
      </c>
      <c r="AS604" s="375">
        <v>0</v>
      </c>
      <c r="AT604" s="375">
        <v>0</v>
      </c>
      <c r="AU604" s="375">
        <v>0</v>
      </c>
      <c r="AV604" s="375">
        <v>0</v>
      </c>
      <c r="AW604" s="375">
        <v>0</v>
      </c>
      <c r="AX604" s="375">
        <v>0</v>
      </c>
      <c r="AY604" s="375">
        <v>0</v>
      </c>
      <c r="AZ604" s="375">
        <v>0</v>
      </c>
      <c r="BA604" s="375">
        <v>0</v>
      </c>
      <c r="BB604" s="375">
        <v>-0.11000000000058208</v>
      </c>
      <c r="BC604" s="227">
        <v>20093.099999999999</v>
      </c>
      <c r="BD604" s="227">
        <v>22504.89</v>
      </c>
      <c r="BE604" s="227">
        <v>-42598.1</v>
      </c>
      <c r="BF604" s="227">
        <v>0</v>
      </c>
      <c r="BG604" s="227">
        <v>0</v>
      </c>
      <c r="BH604" s="227">
        <v>0</v>
      </c>
      <c r="BI604" s="227">
        <v>0</v>
      </c>
      <c r="BJ604" s="227">
        <v>0</v>
      </c>
      <c r="BK604" s="227">
        <v>0</v>
      </c>
      <c r="BL604" s="227">
        <v>0</v>
      </c>
      <c r="BM604" s="227">
        <v>0</v>
      </c>
      <c r="BN604" s="227">
        <v>0</v>
      </c>
      <c r="BO604" s="227">
        <v>-0.11000000000058208</v>
      </c>
    </row>
    <row r="605" spans="1:67" ht="15" customHeight="1">
      <c r="A605" s="215" t="s">
        <v>1953</v>
      </c>
      <c r="B605" s="215" t="s">
        <v>491</v>
      </c>
      <c r="C605" s="150" t="s">
        <v>1136</v>
      </c>
      <c r="D605" s="334" t="s">
        <v>1135</v>
      </c>
      <c r="E605" s="334" t="s">
        <v>1135</v>
      </c>
      <c r="F605" s="334" t="s">
        <v>1137</v>
      </c>
      <c r="G605" s="516" t="s">
        <v>389</v>
      </c>
      <c r="H605" s="398" t="s">
        <v>1327</v>
      </c>
      <c r="I605" s="343"/>
      <c r="J605" s="344"/>
      <c r="K605" s="219" t="s">
        <v>147</v>
      </c>
      <c r="L605" s="346"/>
      <c r="M605" s="343"/>
      <c r="N605" s="349"/>
      <c r="O605" s="334" t="s">
        <v>25</v>
      </c>
      <c r="P605" s="150"/>
      <c r="Q605" s="403"/>
      <c r="R605" s="406">
        <v>0</v>
      </c>
      <c r="S605" s="406">
        <v>0.03</v>
      </c>
      <c r="T605" s="430"/>
      <c r="U605" s="137"/>
      <c r="V605" s="408">
        <v>7.0000000000000007E-2</v>
      </c>
      <c r="W605" s="410">
        <v>-0.2</v>
      </c>
      <c r="X605" s="410">
        <v>0.16</v>
      </c>
      <c r="Y605" s="428">
        <v>-0.28999999999999998</v>
      </c>
      <c r="Z605" s="429">
        <v>71439.95</v>
      </c>
      <c r="AA605" s="429">
        <v>1.9999999999999997E-2</v>
      </c>
      <c r="AB605" s="363" t="e">
        <v>#N/A</v>
      </c>
      <c r="AC605" s="368">
        <v>0</v>
      </c>
      <c r="AD605" s="368">
        <v>0</v>
      </c>
      <c r="AE605" s="368">
        <v>0</v>
      </c>
      <c r="AF605" s="368">
        <v>0</v>
      </c>
      <c r="AG605" s="368">
        <v>0</v>
      </c>
      <c r="AH605" s="367" t="e">
        <f t="shared" si="31"/>
        <v>#N/A</v>
      </c>
      <c r="AI605" s="362" t="e">
        <f>ERP[[#This Row],[2026 Working Total]]-ERP[[#This Row],[LE2 Final Submission]]</f>
        <v>#N/A</v>
      </c>
      <c r="AJ605" s="227">
        <v>0</v>
      </c>
      <c r="AK605" s="227">
        <f t="shared" si="30"/>
        <v>1.9999999999999997E-2</v>
      </c>
      <c r="AL605" s="374">
        <f>SUM(ERP[[#This Row],[AP01]:[AP06]])-SUM(ERP[[#This Row],[AP01 LE2]:[AP06 LE2]])</f>
        <v>71439.680000000008</v>
      </c>
      <c r="AM605" s="80"/>
      <c r="AN605" s="79" t="e">
        <f>ERP[[#This Row],[2026 Working Total to Budget/LE]]-ERP[[#This Row],[Giveback]]</f>
        <v>#N/A</v>
      </c>
      <c r="AO605" s="81"/>
      <c r="AP605" s="375">
        <v>7.0000000000000007E-2</v>
      </c>
      <c r="AQ605" s="375">
        <v>-0.2</v>
      </c>
      <c r="AR605" s="375">
        <v>0.16</v>
      </c>
      <c r="AS605" s="375">
        <v>0</v>
      </c>
      <c r="AT605" s="375">
        <v>0</v>
      </c>
      <c r="AU605" s="375">
        <v>0</v>
      </c>
      <c r="AV605" s="375">
        <v>0</v>
      </c>
      <c r="AW605" s="375">
        <v>0</v>
      </c>
      <c r="AX605" s="375">
        <v>0</v>
      </c>
      <c r="AY605" s="375">
        <v>0</v>
      </c>
      <c r="AZ605" s="375">
        <v>0</v>
      </c>
      <c r="BA605" s="375">
        <v>0</v>
      </c>
      <c r="BB605" s="375">
        <v>0.03</v>
      </c>
      <c r="BC605" s="227">
        <v>7.0000000000000007E-2</v>
      </c>
      <c r="BD605" s="227">
        <v>-0.2</v>
      </c>
      <c r="BE605" s="227">
        <v>0.16</v>
      </c>
      <c r="BF605" s="227">
        <v>0</v>
      </c>
      <c r="BG605" s="227">
        <v>0</v>
      </c>
      <c r="BH605" s="227">
        <v>0</v>
      </c>
      <c r="BI605" s="227">
        <v>0</v>
      </c>
      <c r="BJ605" s="227">
        <v>0</v>
      </c>
      <c r="BK605" s="227">
        <v>0</v>
      </c>
      <c r="BL605" s="227">
        <v>0</v>
      </c>
      <c r="BM605" s="227">
        <v>0</v>
      </c>
      <c r="BN605" s="227">
        <v>0</v>
      </c>
      <c r="BO605" s="227">
        <v>0.03</v>
      </c>
    </row>
    <row r="606" spans="1:67" ht="15" customHeight="1">
      <c r="A606" s="215" t="s">
        <v>2594</v>
      </c>
      <c r="B606" s="215" t="s">
        <v>899</v>
      </c>
      <c r="C606" s="150" t="s">
        <v>1136</v>
      </c>
      <c r="D606" s="334" t="s">
        <v>1135</v>
      </c>
      <c r="E606" s="334" t="s">
        <v>1135</v>
      </c>
      <c r="F606" s="334" t="s">
        <v>1137</v>
      </c>
      <c r="G606" s="516" t="s">
        <v>639</v>
      </c>
      <c r="H606" s="398" t="s">
        <v>1327</v>
      </c>
      <c r="I606" s="343"/>
      <c r="J606" s="344"/>
      <c r="K606" s="219" t="s">
        <v>147</v>
      </c>
      <c r="L606" s="346"/>
      <c r="M606" s="343"/>
      <c r="N606" s="349"/>
      <c r="O606" s="334" t="s">
        <v>25</v>
      </c>
      <c r="P606" s="150"/>
      <c r="Q606" s="403"/>
      <c r="R606" s="406">
        <v>0</v>
      </c>
      <c r="S606" s="406">
        <v>0.3</v>
      </c>
      <c r="T606" s="425"/>
      <c r="U606" s="71"/>
      <c r="V606" s="408">
        <v>0.32</v>
      </c>
      <c r="W606" s="410">
        <v>-0.45</v>
      </c>
      <c r="X606" s="410">
        <v>0.43</v>
      </c>
      <c r="Y606" s="428">
        <v>-0.34</v>
      </c>
      <c r="Z606" s="429">
        <v>30694.750000000004</v>
      </c>
      <c r="AA606" s="429">
        <v>0.96</v>
      </c>
      <c r="AB606" s="363" t="e">
        <v>#N/A</v>
      </c>
      <c r="AC606" s="368">
        <v>0</v>
      </c>
      <c r="AD606" s="368">
        <v>0</v>
      </c>
      <c r="AE606" s="368">
        <v>0</v>
      </c>
      <c r="AF606" s="368">
        <v>0</v>
      </c>
      <c r="AG606" s="368">
        <v>0</v>
      </c>
      <c r="AH606" s="367" t="e">
        <f t="shared" si="31"/>
        <v>#N/A</v>
      </c>
      <c r="AI606" s="362" t="e">
        <f>ERP[[#This Row],[2026 Working Total]]-ERP[[#This Row],[LE2 Final Submission]]</f>
        <v>#N/A</v>
      </c>
      <c r="AJ606" s="227">
        <v>0</v>
      </c>
      <c r="AK606" s="227">
        <f t="shared" si="30"/>
        <v>0.96</v>
      </c>
      <c r="AL606" s="374">
        <f>SUM(ERP[[#This Row],[AP01]:[AP06]])-SUM(ERP[[#This Row],[AP01 LE2]:[AP06 LE2]])</f>
        <v>30695.370000000003</v>
      </c>
      <c r="AM606" s="80"/>
      <c r="AN606" s="79" t="e">
        <f>ERP[[#This Row],[2026 Working Total to Budget/LE]]-ERP[[#This Row],[Giveback]]</f>
        <v>#N/A</v>
      </c>
      <c r="AO606" s="81"/>
      <c r="AP606" s="375">
        <v>0.32</v>
      </c>
      <c r="AQ606" s="375">
        <v>-0.45</v>
      </c>
      <c r="AR606" s="375">
        <v>0.43</v>
      </c>
      <c r="AS606" s="375">
        <v>0</v>
      </c>
      <c r="AT606" s="375">
        <v>0</v>
      </c>
      <c r="AU606" s="375">
        <v>0</v>
      </c>
      <c r="AV606" s="375">
        <v>0</v>
      </c>
      <c r="AW606" s="375">
        <v>0</v>
      </c>
      <c r="AX606" s="375">
        <v>0</v>
      </c>
      <c r="AY606" s="375">
        <v>0</v>
      </c>
      <c r="AZ606" s="375">
        <v>0</v>
      </c>
      <c r="BA606" s="375">
        <v>0</v>
      </c>
      <c r="BB606" s="375">
        <v>0.3</v>
      </c>
      <c r="BC606" s="227">
        <v>0.32</v>
      </c>
      <c r="BD606" s="227">
        <v>-0.45</v>
      </c>
      <c r="BE606" s="227">
        <v>0.43</v>
      </c>
      <c r="BF606" s="227">
        <v>0</v>
      </c>
      <c r="BG606" s="227">
        <v>0</v>
      </c>
      <c r="BH606" s="227">
        <v>0</v>
      </c>
      <c r="BI606" s="227">
        <v>0</v>
      </c>
      <c r="BJ606" s="227">
        <v>0</v>
      </c>
      <c r="BK606" s="227">
        <v>0</v>
      </c>
      <c r="BL606" s="227">
        <v>0</v>
      </c>
      <c r="BM606" s="227">
        <v>0</v>
      </c>
      <c r="BN606" s="227">
        <v>0</v>
      </c>
      <c r="BO606" s="227">
        <v>0.3</v>
      </c>
    </row>
    <row r="607" spans="1:67" ht="15" customHeight="1">
      <c r="A607" s="215" t="s">
        <v>1328</v>
      </c>
      <c r="B607" s="215" t="s">
        <v>1329</v>
      </c>
      <c r="C607" s="150" t="s">
        <v>1136</v>
      </c>
      <c r="D607" s="334" t="s">
        <v>1135</v>
      </c>
      <c r="E607" s="334" t="s">
        <v>1137</v>
      </c>
      <c r="F607" s="334" t="s">
        <v>1137</v>
      </c>
      <c r="G607" s="516" t="s">
        <v>49</v>
      </c>
      <c r="H607" s="398" t="s">
        <v>1327</v>
      </c>
      <c r="I607" s="343"/>
      <c r="J607" s="344"/>
      <c r="K607" s="219" t="s">
        <v>147</v>
      </c>
      <c r="L607" s="346"/>
      <c r="M607" s="343"/>
      <c r="N607" s="349"/>
      <c r="O607" s="334" t="s">
        <v>25</v>
      </c>
      <c r="P607" s="1" t="s">
        <v>1141</v>
      </c>
      <c r="Q607" s="403"/>
      <c r="R607" s="406">
        <v>0</v>
      </c>
      <c r="S607" s="406">
        <v>1220.75</v>
      </c>
      <c r="T607" s="425"/>
      <c r="U607" s="71"/>
      <c r="V607" s="408">
        <v>669.53</v>
      </c>
      <c r="W607" s="410">
        <v>7.26</v>
      </c>
      <c r="X607" s="410">
        <v>543.96</v>
      </c>
      <c r="Y607" s="428">
        <v>129.34999999999997</v>
      </c>
      <c r="Z607" s="429">
        <v>286.95999999999998</v>
      </c>
      <c r="AA607" s="429">
        <v>206.12999999999997</v>
      </c>
      <c r="AB607" s="363" t="e">
        <v>#N/A</v>
      </c>
      <c r="AC607" s="368">
        <v>0</v>
      </c>
      <c r="AD607" s="368">
        <v>0</v>
      </c>
      <c r="AE607" s="368">
        <v>0</v>
      </c>
      <c r="AF607" s="368">
        <v>0</v>
      </c>
      <c r="AG607" s="368">
        <v>0</v>
      </c>
      <c r="AH607" s="367" t="e">
        <f t="shared" si="31"/>
        <v>#N/A</v>
      </c>
      <c r="AI607" s="362" t="e">
        <f>ERP[[#This Row],[2026 Working Total]]-ERP[[#This Row],[LE2 Final Submission]]</f>
        <v>#N/A</v>
      </c>
      <c r="AJ607" s="227">
        <v>0</v>
      </c>
      <c r="AK607" s="227">
        <f t="shared" si="30"/>
        <v>206.12999999999997</v>
      </c>
      <c r="AL607" s="374">
        <f>SUM(ERP[[#This Row],[AP01]:[AP06]])-SUM(ERP[[#This Row],[AP01 LE2]:[AP06 LE2]])</f>
        <v>622.43999999999983</v>
      </c>
      <c r="AM607" s="80"/>
      <c r="AN607" s="79" t="e">
        <f>ERP[[#This Row],[2026 Working Total to Budget/LE]]-ERP[[#This Row],[Giveback]]</f>
        <v>#N/A</v>
      </c>
      <c r="AO607" s="81"/>
      <c r="AP607" s="375">
        <v>669.53</v>
      </c>
      <c r="AQ607" s="375">
        <v>7.26</v>
      </c>
      <c r="AR607" s="375">
        <v>543.96</v>
      </c>
      <c r="AS607" s="375">
        <v>0</v>
      </c>
      <c r="AT607" s="375">
        <v>0</v>
      </c>
      <c r="AU607" s="375">
        <v>0</v>
      </c>
      <c r="AV607" s="375">
        <v>0</v>
      </c>
      <c r="AW607" s="375">
        <v>0</v>
      </c>
      <c r="AX607" s="375">
        <v>0</v>
      </c>
      <c r="AY607" s="375">
        <v>0</v>
      </c>
      <c r="AZ607" s="375">
        <v>0</v>
      </c>
      <c r="BA607" s="375">
        <v>0</v>
      </c>
      <c r="BB607" s="375">
        <v>1220.75</v>
      </c>
      <c r="BC607" s="227">
        <v>669.53</v>
      </c>
      <c r="BD607" s="227">
        <v>7.26</v>
      </c>
      <c r="BE607" s="227">
        <v>543.96</v>
      </c>
      <c r="BF607" s="227">
        <v>0</v>
      </c>
      <c r="BG607" s="227">
        <v>0</v>
      </c>
      <c r="BH607" s="227">
        <v>0</v>
      </c>
      <c r="BI607" s="227">
        <v>0</v>
      </c>
      <c r="BJ607" s="227">
        <v>0</v>
      </c>
      <c r="BK607" s="227">
        <v>0</v>
      </c>
      <c r="BL607" s="227">
        <v>0</v>
      </c>
      <c r="BM607" s="227">
        <v>0</v>
      </c>
      <c r="BN607" s="227">
        <v>0</v>
      </c>
      <c r="BO607" s="227">
        <v>1220.75</v>
      </c>
    </row>
    <row r="608" spans="1:67" ht="15" customHeight="1">
      <c r="A608" s="215" t="s">
        <v>1722</v>
      </c>
      <c r="B608" s="215" t="s">
        <v>1723</v>
      </c>
      <c r="C608" s="150" t="s">
        <v>1136</v>
      </c>
      <c r="D608" s="334" t="s">
        <v>1135</v>
      </c>
      <c r="E608" s="334" t="s">
        <v>1137</v>
      </c>
      <c r="F608" s="334" t="s">
        <v>1137</v>
      </c>
      <c r="G608" s="516" t="s">
        <v>342</v>
      </c>
      <c r="H608" s="398" t="s">
        <v>1327</v>
      </c>
      <c r="I608" s="343"/>
      <c r="J608" s="344"/>
      <c r="K608" s="219" t="s">
        <v>147</v>
      </c>
      <c r="L608" s="349"/>
      <c r="M608" s="343"/>
      <c r="N608" s="349"/>
      <c r="O608" s="334" t="s">
        <v>25</v>
      </c>
      <c r="P608" s="525" t="s">
        <v>1141</v>
      </c>
      <c r="Q608" s="403"/>
      <c r="R608" s="406">
        <v>0</v>
      </c>
      <c r="S608" s="406">
        <v>0.62000000000000011</v>
      </c>
      <c r="T608" s="425"/>
      <c r="U608" s="71"/>
      <c r="V608" s="408">
        <v>-0.1</v>
      </c>
      <c r="W608" s="410">
        <v>-0.09</v>
      </c>
      <c r="X608" s="410">
        <v>0.81</v>
      </c>
      <c r="Y608" s="428">
        <v>-0.53</v>
      </c>
      <c r="Z608" s="429">
        <v>0.61</v>
      </c>
      <c r="AA608" s="429">
        <v>0</v>
      </c>
      <c r="AB608" s="363" t="e">
        <v>#N/A</v>
      </c>
      <c r="AC608" s="368">
        <v>0</v>
      </c>
      <c r="AD608" s="368">
        <v>0</v>
      </c>
      <c r="AE608" s="368">
        <v>0</v>
      </c>
      <c r="AF608" s="368">
        <v>0</v>
      </c>
      <c r="AG608" s="368">
        <v>0</v>
      </c>
      <c r="AH608" s="367" t="e">
        <f t="shared" si="31"/>
        <v>#N/A</v>
      </c>
      <c r="AI608" s="362" t="e">
        <f>ERP[[#This Row],[2026 Working Total]]-ERP[[#This Row],[LE2 Final Submission]]</f>
        <v>#N/A</v>
      </c>
      <c r="AJ608" s="227">
        <v>0</v>
      </c>
      <c r="AK608" s="227">
        <f t="shared" si="30"/>
        <v>0</v>
      </c>
      <c r="AL608" s="374">
        <f>SUM(ERP[[#This Row],[AP01]:[AP06]])-SUM(ERP[[#This Row],[AP01 LE2]:[AP06 LE2]])</f>
        <v>7.999999999999996E-2</v>
      </c>
      <c r="AM608" s="80"/>
      <c r="AN608" s="79" t="e">
        <f>ERP[[#This Row],[2026 Working Total to Budget/LE]]-ERP[[#This Row],[Giveback]]</f>
        <v>#N/A</v>
      </c>
      <c r="AO608" s="81"/>
      <c r="AP608" s="375">
        <v>-0.1</v>
      </c>
      <c r="AQ608" s="375">
        <v>-0.09</v>
      </c>
      <c r="AR608" s="375">
        <v>0.81</v>
      </c>
      <c r="AS608" s="375">
        <v>0</v>
      </c>
      <c r="AT608" s="375">
        <v>0</v>
      </c>
      <c r="AU608" s="375">
        <v>0</v>
      </c>
      <c r="AV608" s="375">
        <v>0</v>
      </c>
      <c r="AW608" s="375">
        <v>0</v>
      </c>
      <c r="AX608" s="375">
        <v>0</v>
      </c>
      <c r="AY608" s="375">
        <v>0</v>
      </c>
      <c r="AZ608" s="375">
        <v>0</v>
      </c>
      <c r="BA608" s="375">
        <v>0</v>
      </c>
      <c r="BB608" s="375">
        <v>0.62000000000000011</v>
      </c>
      <c r="BC608" s="227">
        <v>-0.1</v>
      </c>
      <c r="BD608" s="227">
        <v>-0.09</v>
      </c>
      <c r="BE608" s="227">
        <v>0.81</v>
      </c>
      <c r="BF608" s="227">
        <v>0</v>
      </c>
      <c r="BG608" s="227">
        <v>0</v>
      </c>
      <c r="BH608" s="227">
        <v>0</v>
      </c>
      <c r="BI608" s="227">
        <v>0</v>
      </c>
      <c r="BJ608" s="227">
        <v>0</v>
      </c>
      <c r="BK608" s="227">
        <v>0</v>
      </c>
      <c r="BL608" s="227">
        <v>0</v>
      </c>
      <c r="BM608" s="227">
        <v>0</v>
      </c>
      <c r="BN608" s="227">
        <v>0</v>
      </c>
      <c r="BO608" s="227">
        <v>0.62000000000000011</v>
      </c>
    </row>
    <row r="609" spans="1:67" ht="15" customHeight="1">
      <c r="A609" s="215" t="s">
        <v>1954</v>
      </c>
      <c r="B609" s="215" t="s">
        <v>1955</v>
      </c>
      <c r="C609" s="150" t="s">
        <v>1136</v>
      </c>
      <c r="D609" s="334" t="s">
        <v>1135</v>
      </c>
      <c r="E609" s="334" t="s">
        <v>1137</v>
      </c>
      <c r="F609" s="334" t="s">
        <v>1137</v>
      </c>
      <c r="G609" s="516" t="s">
        <v>389</v>
      </c>
      <c r="H609" s="398" t="s">
        <v>1327</v>
      </c>
      <c r="I609" s="343"/>
      <c r="J609" s="344"/>
      <c r="K609" s="219" t="s">
        <v>147</v>
      </c>
      <c r="L609" s="349"/>
      <c r="M609" s="343"/>
      <c r="N609" s="349"/>
      <c r="O609" s="334" t="s">
        <v>25</v>
      </c>
      <c r="P609" s="525" t="s">
        <v>1141</v>
      </c>
      <c r="Q609" s="403"/>
      <c r="R609" s="406">
        <v>0</v>
      </c>
      <c r="S609" s="406">
        <v>1777.1799999999998</v>
      </c>
      <c r="T609" s="425"/>
      <c r="U609" s="71"/>
      <c r="V609" s="408">
        <v>843.63</v>
      </c>
      <c r="W609" s="410">
        <v>-313.26</v>
      </c>
      <c r="X609" s="410">
        <v>1246.81</v>
      </c>
      <c r="Y609" s="428">
        <v>1159.5900000000001</v>
      </c>
      <c r="Z609" s="429">
        <v>1531.64</v>
      </c>
      <c r="AA609" s="429">
        <v>324.64</v>
      </c>
      <c r="AB609" s="363" t="e">
        <v>#N/A</v>
      </c>
      <c r="AC609" s="368">
        <v>0</v>
      </c>
      <c r="AD609" s="368">
        <v>0</v>
      </c>
      <c r="AE609" s="368">
        <v>0</v>
      </c>
      <c r="AF609" s="368">
        <v>0</v>
      </c>
      <c r="AG609" s="368">
        <v>0</v>
      </c>
      <c r="AH609" s="367" t="e">
        <f t="shared" si="31"/>
        <v>#N/A</v>
      </c>
      <c r="AI609" s="362" t="e">
        <f>ERP[[#This Row],[2026 Working Total]]-ERP[[#This Row],[LE2 Final Submission]]</f>
        <v>#N/A</v>
      </c>
      <c r="AJ609" s="227">
        <v>0</v>
      </c>
      <c r="AK609" s="227">
        <f t="shared" si="30"/>
        <v>324.64</v>
      </c>
      <c r="AL609" s="374">
        <f>SUM(ERP[[#This Row],[AP01]:[AP06]])-SUM(ERP[[#This Row],[AP01 LE2]:[AP06 LE2]])</f>
        <v>3015.8700000000003</v>
      </c>
      <c r="AM609" s="80"/>
      <c r="AN609" s="79" t="e">
        <f>ERP[[#This Row],[2026 Working Total to Budget/LE]]-ERP[[#This Row],[Giveback]]</f>
        <v>#N/A</v>
      </c>
      <c r="AO609" s="81"/>
      <c r="AP609" s="375">
        <v>843.63</v>
      </c>
      <c r="AQ609" s="375">
        <v>-313.26</v>
      </c>
      <c r="AR609" s="375">
        <v>1246.81</v>
      </c>
      <c r="AS609" s="375">
        <v>0</v>
      </c>
      <c r="AT609" s="375">
        <v>0</v>
      </c>
      <c r="AU609" s="375">
        <v>0</v>
      </c>
      <c r="AV609" s="375">
        <v>0</v>
      </c>
      <c r="AW609" s="375">
        <v>0</v>
      </c>
      <c r="AX609" s="375">
        <v>0</v>
      </c>
      <c r="AY609" s="375">
        <v>0</v>
      </c>
      <c r="AZ609" s="375">
        <v>0</v>
      </c>
      <c r="BA609" s="375">
        <v>0</v>
      </c>
      <c r="BB609" s="375">
        <v>1777.1799999999998</v>
      </c>
      <c r="BC609" s="227">
        <v>843.63</v>
      </c>
      <c r="BD609" s="227">
        <v>-313.26</v>
      </c>
      <c r="BE609" s="227">
        <v>1246.81</v>
      </c>
      <c r="BF609" s="227">
        <v>0</v>
      </c>
      <c r="BG609" s="227">
        <v>0</v>
      </c>
      <c r="BH609" s="227">
        <v>0</v>
      </c>
      <c r="BI609" s="227">
        <v>0</v>
      </c>
      <c r="BJ609" s="227">
        <v>0</v>
      </c>
      <c r="BK609" s="227">
        <v>0</v>
      </c>
      <c r="BL609" s="227">
        <v>0</v>
      </c>
      <c r="BM609" s="227">
        <v>0</v>
      </c>
      <c r="BN609" s="227">
        <v>0</v>
      </c>
      <c r="BO609" s="227">
        <v>1777.1799999999998</v>
      </c>
    </row>
    <row r="610" spans="1:67" ht="15" customHeight="1">
      <c r="A610" s="215" t="s">
        <v>2595</v>
      </c>
      <c r="B610" s="215" t="s">
        <v>2596</v>
      </c>
      <c r="C610" s="150" t="s">
        <v>1136</v>
      </c>
      <c r="D610" s="334" t="s">
        <v>1135</v>
      </c>
      <c r="E610" s="334" t="s">
        <v>1137</v>
      </c>
      <c r="F610" s="334" t="s">
        <v>1137</v>
      </c>
      <c r="G610" s="516" t="s">
        <v>639</v>
      </c>
      <c r="H610" s="398" t="s">
        <v>1327</v>
      </c>
      <c r="I610" s="343"/>
      <c r="J610" s="344"/>
      <c r="K610" s="219" t="s">
        <v>147</v>
      </c>
      <c r="L610" s="349"/>
      <c r="M610" s="343"/>
      <c r="N610" s="349"/>
      <c r="O610" s="334" t="s">
        <v>25</v>
      </c>
      <c r="P610" s="525" t="s">
        <v>1141</v>
      </c>
      <c r="Q610" s="403"/>
      <c r="R610" s="406">
        <v>0</v>
      </c>
      <c r="S610" s="406">
        <v>-1868.9199999999998</v>
      </c>
      <c r="T610" s="425"/>
      <c r="U610" s="71"/>
      <c r="V610" s="408">
        <v>0.19</v>
      </c>
      <c r="W610" s="410">
        <v>-0.3</v>
      </c>
      <c r="X610" s="410">
        <v>-1868.81</v>
      </c>
      <c r="Y610" s="428">
        <v>0</v>
      </c>
      <c r="Z610" s="429">
        <v>0</v>
      </c>
      <c r="AA610" s="429">
        <v>11.07</v>
      </c>
      <c r="AB610" s="363" t="e">
        <v>#N/A</v>
      </c>
      <c r="AC610" s="368">
        <v>0</v>
      </c>
      <c r="AD610" s="368">
        <v>0</v>
      </c>
      <c r="AE610" s="368">
        <v>0</v>
      </c>
      <c r="AF610" s="368">
        <v>0</v>
      </c>
      <c r="AG610" s="368">
        <v>0</v>
      </c>
      <c r="AH610" s="367" t="e">
        <f t="shared" si="31"/>
        <v>#N/A</v>
      </c>
      <c r="AI610" s="362" t="e">
        <f>ERP[[#This Row],[2026 Working Total]]-ERP[[#This Row],[LE2 Final Submission]]</f>
        <v>#N/A</v>
      </c>
      <c r="AJ610" s="227">
        <v>0</v>
      </c>
      <c r="AK610" s="227">
        <f t="shared" si="30"/>
        <v>11.07</v>
      </c>
      <c r="AL610" s="374">
        <f>SUM(ERP[[#This Row],[AP01]:[AP06]])-SUM(ERP[[#This Row],[AP01 LE2]:[AP06 LE2]])</f>
        <v>11.069999999999936</v>
      </c>
      <c r="AM610" s="80"/>
      <c r="AN610" s="79" t="e">
        <f>ERP[[#This Row],[2026 Working Total to Budget/LE]]-ERP[[#This Row],[Giveback]]</f>
        <v>#N/A</v>
      </c>
      <c r="AO610" s="81"/>
      <c r="AP610" s="375">
        <v>0.19</v>
      </c>
      <c r="AQ610" s="375">
        <v>-0.3</v>
      </c>
      <c r="AR610" s="375">
        <v>-1868.81</v>
      </c>
      <c r="AS610" s="375">
        <v>0</v>
      </c>
      <c r="AT610" s="375">
        <v>0</v>
      </c>
      <c r="AU610" s="375">
        <v>0</v>
      </c>
      <c r="AV610" s="375">
        <v>0</v>
      </c>
      <c r="AW610" s="375">
        <v>0</v>
      </c>
      <c r="AX610" s="375">
        <v>0</v>
      </c>
      <c r="AY610" s="375">
        <v>0</v>
      </c>
      <c r="AZ610" s="375">
        <v>0</v>
      </c>
      <c r="BA610" s="375">
        <v>0</v>
      </c>
      <c r="BB610" s="375">
        <v>-1868.9199999999998</v>
      </c>
      <c r="BC610" s="227">
        <v>0.19</v>
      </c>
      <c r="BD610" s="227">
        <v>-0.3</v>
      </c>
      <c r="BE610" s="227">
        <v>-1868.81</v>
      </c>
      <c r="BF610" s="227">
        <v>0</v>
      </c>
      <c r="BG610" s="227">
        <v>0</v>
      </c>
      <c r="BH610" s="227">
        <v>0</v>
      </c>
      <c r="BI610" s="227">
        <v>0</v>
      </c>
      <c r="BJ610" s="227">
        <v>0</v>
      </c>
      <c r="BK610" s="227">
        <v>0</v>
      </c>
      <c r="BL610" s="227">
        <v>0</v>
      </c>
      <c r="BM610" s="227">
        <v>0</v>
      </c>
      <c r="BN610" s="227">
        <v>0</v>
      </c>
      <c r="BO610" s="227">
        <v>-1868.9199999999998</v>
      </c>
    </row>
    <row r="611" spans="1:67" ht="15" customHeight="1">
      <c r="A611" s="215" t="s">
        <v>1641</v>
      </c>
      <c r="B611" s="215" t="s">
        <v>1642</v>
      </c>
      <c r="C611" s="150" t="s">
        <v>1136</v>
      </c>
      <c r="D611" s="334" t="s">
        <v>1567</v>
      </c>
      <c r="E611" s="334" t="s">
        <v>1567</v>
      </c>
      <c r="F611" s="334" t="s">
        <v>1567</v>
      </c>
      <c r="G611" s="516" t="s">
        <v>49</v>
      </c>
      <c r="H611" s="398" t="s">
        <v>1327</v>
      </c>
      <c r="I611" s="343"/>
      <c r="J611" s="344"/>
      <c r="K611" s="219" t="s">
        <v>147</v>
      </c>
      <c r="L611" s="349"/>
      <c r="M611" s="343"/>
      <c r="N611" s="349"/>
      <c r="O611" s="334" t="s">
        <v>25</v>
      </c>
      <c r="P611" s="354"/>
      <c r="Q611" s="403"/>
      <c r="R611" s="406">
        <v>0</v>
      </c>
      <c r="S611" s="406">
        <v>-2284.04</v>
      </c>
      <c r="T611" s="425"/>
      <c r="U611" s="71"/>
      <c r="V611" s="408">
        <v>0.08</v>
      </c>
      <c r="W611" s="410">
        <v>-0.17</v>
      </c>
      <c r="X611" s="410">
        <v>-2283.9499999999998</v>
      </c>
      <c r="Y611" s="428">
        <v>5124.1100000000006</v>
      </c>
      <c r="Z611" s="429">
        <v>-6526.2599999999993</v>
      </c>
      <c r="AA611" s="429">
        <v>97626.25</v>
      </c>
      <c r="AB611" s="363" t="e">
        <v>#N/A</v>
      </c>
      <c r="AC611" s="368">
        <v>0</v>
      </c>
      <c r="AD611" s="368">
        <v>0</v>
      </c>
      <c r="AE611" s="368">
        <v>0</v>
      </c>
      <c r="AF611" s="368">
        <v>0</v>
      </c>
      <c r="AG611" s="368">
        <v>0</v>
      </c>
      <c r="AH611" s="367" t="e">
        <f t="shared" si="31"/>
        <v>#N/A</v>
      </c>
      <c r="AI611" s="362" t="e">
        <f>ERP[[#This Row],[2026 Working Total]]-ERP[[#This Row],[LE2 Final Submission]]</f>
        <v>#N/A</v>
      </c>
      <c r="AJ611" s="227">
        <v>0</v>
      </c>
      <c r="AK611" s="227">
        <f t="shared" si="30"/>
        <v>97626.25</v>
      </c>
      <c r="AL611" s="374">
        <f>SUM(ERP[[#This Row],[AP01]:[AP06]])-SUM(ERP[[#This Row],[AP01 LE2]:[AP06 LE2]])</f>
        <v>96224.099999999991</v>
      </c>
      <c r="AM611" s="80"/>
      <c r="AN611" s="79" t="e">
        <f>ERP[[#This Row],[2026 Working Total to Budget/LE]]-ERP[[#This Row],[Giveback]]</f>
        <v>#N/A</v>
      </c>
      <c r="AO611" s="81"/>
      <c r="AP611" s="375">
        <v>0.08</v>
      </c>
      <c r="AQ611" s="375">
        <v>-0.17</v>
      </c>
      <c r="AR611" s="375">
        <v>-2283.9499999999998</v>
      </c>
      <c r="AS611" s="375">
        <v>0</v>
      </c>
      <c r="AT611" s="375">
        <v>0</v>
      </c>
      <c r="AU611" s="375">
        <v>0</v>
      </c>
      <c r="AV611" s="375">
        <v>0</v>
      </c>
      <c r="AW611" s="375">
        <v>0</v>
      </c>
      <c r="AX611" s="375">
        <v>0</v>
      </c>
      <c r="AY611" s="375">
        <v>0</v>
      </c>
      <c r="AZ611" s="375">
        <v>0</v>
      </c>
      <c r="BA611" s="375">
        <v>0</v>
      </c>
      <c r="BB611" s="375">
        <v>-2284.04</v>
      </c>
      <c r="BC611" s="227">
        <v>0.08</v>
      </c>
      <c r="BD611" s="227">
        <v>-0.17</v>
      </c>
      <c r="BE611" s="227">
        <v>-2283.9499999999998</v>
      </c>
      <c r="BF611" s="227">
        <v>0</v>
      </c>
      <c r="BG611" s="227">
        <v>0</v>
      </c>
      <c r="BH611" s="227">
        <v>0</v>
      </c>
      <c r="BI611" s="227">
        <v>0</v>
      </c>
      <c r="BJ611" s="227">
        <v>0</v>
      </c>
      <c r="BK611" s="227">
        <v>0</v>
      </c>
      <c r="BL611" s="227">
        <v>0</v>
      </c>
      <c r="BM611" s="227">
        <v>0</v>
      </c>
      <c r="BN611" s="227">
        <v>0</v>
      </c>
      <c r="BO611" s="227">
        <v>-2284.04</v>
      </c>
    </row>
    <row r="612" spans="1:67" ht="15" customHeight="1">
      <c r="A612" s="215" t="s">
        <v>2807</v>
      </c>
      <c r="B612" s="215" t="s">
        <v>2808</v>
      </c>
      <c r="C612" s="150" t="s">
        <v>1136</v>
      </c>
      <c r="D612" s="334" t="s">
        <v>1567</v>
      </c>
      <c r="E612" s="334" t="s">
        <v>1567</v>
      </c>
      <c r="F612" s="334" t="s">
        <v>1567</v>
      </c>
      <c r="G612" s="516" t="s">
        <v>639</v>
      </c>
      <c r="H612" s="398" t="s">
        <v>1327</v>
      </c>
      <c r="I612" s="343"/>
      <c r="J612" s="344"/>
      <c r="K612" s="219" t="s">
        <v>147</v>
      </c>
      <c r="L612" s="349"/>
      <c r="M612" s="343"/>
      <c r="N612" s="349"/>
      <c r="O612" s="334" t="s">
        <v>25</v>
      </c>
      <c r="P612" s="354"/>
      <c r="Q612" s="403"/>
      <c r="R612" s="406">
        <v>0</v>
      </c>
      <c r="S612" s="406">
        <v>-711.61</v>
      </c>
      <c r="T612" s="425"/>
      <c r="U612" s="71"/>
      <c r="V612" s="408">
        <v>-0.39</v>
      </c>
      <c r="W612" s="410">
        <v>0.11</v>
      </c>
      <c r="X612" s="410">
        <v>-711.33</v>
      </c>
      <c r="Y612" s="428">
        <v>0</v>
      </c>
      <c r="Z612" s="429">
        <v>0</v>
      </c>
      <c r="AA612" s="429">
        <v>-0.28999999999999998</v>
      </c>
      <c r="AB612" s="363" t="e">
        <v>#N/A</v>
      </c>
      <c r="AC612" s="368">
        <v>0</v>
      </c>
      <c r="AD612" s="368">
        <v>0</v>
      </c>
      <c r="AE612" s="368">
        <v>0</v>
      </c>
      <c r="AF612" s="368">
        <v>0</v>
      </c>
      <c r="AG612" s="368">
        <v>0</v>
      </c>
      <c r="AH612" s="367" t="e">
        <f t="shared" si="31"/>
        <v>#N/A</v>
      </c>
      <c r="AI612" s="362" t="e">
        <f>ERP[[#This Row],[2026 Working Total]]-ERP[[#This Row],[LE2 Final Submission]]</f>
        <v>#N/A</v>
      </c>
      <c r="AJ612" s="227">
        <v>0</v>
      </c>
      <c r="AK612" s="227">
        <f t="shared" si="30"/>
        <v>-0.28999999999999998</v>
      </c>
      <c r="AL612" s="374">
        <f>SUM(ERP[[#This Row],[AP01]:[AP06]])-SUM(ERP[[#This Row],[AP01 LE2]:[AP06 LE2]])</f>
        <v>-0.28999999999996362</v>
      </c>
      <c r="AM612" s="80"/>
      <c r="AN612" s="79" t="e">
        <f>ERP[[#This Row],[2026 Working Total to Budget/LE]]-ERP[[#This Row],[Giveback]]</f>
        <v>#N/A</v>
      </c>
      <c r="AO612" s="81"/>
      <c r="AP612" s="375">
        <v>-0.39</v>
      </c>
      <c r="AQ612" s="375">
        <v>0.11</v>
      </c>
      <c r="AR612" s="375">
        <v>-711.33</v>
      </c>
      <c r="AS612" s="375">
        <v>0</v>
      </c>
      <c r="AT612" s="375">
        <v>0</v>
      </c>
      <c r="AU612" s="375">
        <v>0</v>
      </c>
      <c r="AV612" s="375">
        <v>0</v>
      </c>
      <c r="AW612" s="375">
        <v>0</v>
      </c>
      <c r="AX612" s="375">
        <v>0</v>
      </c>
      <c r="AY612" s="375">
        <v>0</v>
      </c>
      <c r="AZ612" s="375">
        <v>0</v>
      </c>
      <c r="BA612" s="375">
        <v>0</v>
      </c>
      <c r="BB612" s="375">
        <v>-711.61</v>
      </c>
      <c r="BC612" s="227">
        <v>-0.39</v>
      </c>
      <c r="BD612" s="227">
        <v>0.11</v>
      </c>
      <c r="BE612" s="227">
        <v>-711.33</v>
      </c>
      <c r="BF612" s="227">
        <v>0</v>
      </c>
      <c r="BG612" s="227">
        <v>0</v>
      </c>
      <c r="BH612" s="227">
        <v>0</v>
      </c>
      <c r="BI612" s="227">
        <v>0</v>
      </c>
      <c r="BJ612" s="227">
        <v>0</v>
      </c>
      <c r="BK612" s="227">
        <v>0</v>
      </c>
      <c r="BL612" s="227">
        <v>0</v>
      </c>
      <c r="BM612" s="227">
        <v>0</v>
      </c>
      <c r="BN612" s="227">
        <v>0</v>
      </c>
      <c r="BO612" s="227">
        <v>-711.61</v>
      </c>
    </row>
    <row r="613" spans="1:67" ht="15" customHeight="1">
      <c r="A613" s="215" t="s">
        <v>1746</v>
      </c>
      <c r="B613" s="215" t="s">
        <v>1747</v>
      </c>
      <c r="C613" s="150" t="s">
        <v>1136</v>
      </c>
      <c r="D613" s="334" t="s">
        <v>1567</v>
      </c>
      <c r="E613" s="334" t="s">
        <v>1567</v>
      </c>
      <c r="F613" s="334" t="s">
        <v>1567</v>
      </c>
      <c r="G613" s="516" t="s">
        <v>342</v>
      </c>
      <c r="H613" s="398" t="s">
        <v>1327</v>
      </c>
      <c r="I613" s="343"/>
      <c r="J613" s="344"/>
      <c r="K613" s="219" t="s">
        <v>147</v>
      </c>
      <c r="L613" s="349"/>
      <c r="M613" s="343"/>
      <c r="N613" s="349"/>
      <c r="O613" s="334" t="s">
        <v>25</v>
      </c>
      <c r="P613" s="354"/>
      <c r="Q613" s="403"/>
      <c r="R613" s="406">
        <v>0</v>
      </c>
      <c r="S613" s="406">
        <v>-0.23</v>
      </c>
      <c r="T613" s="425"/>
      <c r="U613" s="71"/>
      <c r="V613" s="408"/>
      <c r="W613" s="410"/>
      <c r="X613" s="410">
        <v>-0.23</v>
      </c>
      <c r="Y613" s="428">
        <v>-0.01</v>
      </c>
      <c r="Z613" s="429">
        <v>0</v>
      </c>
      <c r="AA613" s="429">
        <v>0</v>
      </c>
      <c r="AB613" s="363" t="e">
        <v>#N/A</v>
      </c>
      <c r="AC613" s="368">
        <v>0</v>
      </c>
      <c r="AD613" s="368">
        <v>0</v>
      </c>
      <c r="AE613" s="368">
        <v>0</v>
      </c>
      <c r="AF613" s="368">
        <v>0</v>
      </c>
      <c r="AG613" s="368">
        <v>0</v>
      </c>
      <c r="AH613" s="367" t="e">
        <f t="shared" si="31"/>
        <v>#N/A</v>
      </c>
      <c r="AI613" s="362" t="e">
        <f>ERP[[#This Row],[2026 Working Total]]-ERP[[#This Row],[LE2 Final Submission]]</f>
        <v>#N/A</v>
      </c>
      <c r="AJ613" s="227">
        <v>0</v>
      </c>
      <c r="AK613" s="227">
        <f t="shared" si="30"/>
        <v>0</v>
      </c>
      <c r="AL613" s="374">
        <f>SUM(ERP[[#This Row],[AP01]:[AP06]])-SUM(ERP[[#This Row],[AP01 LE2]:[AP06 LE2]])</f>
        <v>-1.0000000000000009E-2</v>
      </c>
      <c r="AM613" s="80"/>
      <c r="AN613" s="79" t="e">
        <f>ERP[[#This Row],[2026 Working Total to Budget/LE]]-ERP[[#This Row],[Giveback]]</f>
        <v>#N/A</v>
      </c>
      <c r="AO613" s="81"/>
      <c r="AP613" s="375"/>
      <c r="AQ613" s="375"/>
      <c r="AR613" s="375">
        <v>-0.23</v>
      </c>
      <c r="AS613" s="375">
        <v>0</v>
      </c>
      <c r="AT613" s="375">
        <v>0</v>
      </c>
      <c r="AU613" s="375">
        <v>0</v>
      </c>
      <c r="AV613" s="375">
        <v>0</v>
      </c>
      <c r="AW613" s="375">
        <v>0</v>
      </c>
      <c r="AX613" s="375">
        <v>0</v>
      </c>
      <c r="AY613" s="375">
        <v>0</v>
      </c>
      <c r="AZ613" s="375">
        <v>0</v>
      </c>
      <c r="BA613" s="375">
        <v>0</v>
      </c>
      <c r="BB613" s="375">
        <v>-0.23</v>
      </c>
      <c r="BC613" s="227"/>
      <c r="BD613" s="227"/>
      <c r="BE613" s="227">
        <v>-0.23</v>
      </c>
      <c r="BF613" s="227">
        <v>0</v>
      </c>
      <c r="BG613" s="227">
        <v>0</v>
      </c>
      <c r="BH613" s="227">
        <v>0</v>
      </c>
      <c r="BI613" s="227">
        <v>0</v>
      </c>
      <c r="BJ613" s="227">
        <v>0</v>
      </c>
      <c r="BK613" s="227">
        <v>0</v>
      </c>
      <c r="BL613" s="227">
        <v>0</v>
      </c>
      <c r="BM613" s="227">
        <v>0</v>
      </c>
      <c r="BN613" s="227">
        <v>0</v>
      </c>
      <c r="BO613" s="227">
        <v>-0.23</v>
      </c>
    </row>
    <row r="614" spans="1:67" ht="15" customHeight="1">
      <c r="A614" s="215" t="s">
        <v>2131</v>
      </c>
      <c r="B614" s="215" t="s">
        <v>2132</v>
      </c>
      <c r="C614" s="150" t="s">
        <v>1136</v>
      </c>
      <c r="D614" s="334" t="s">
        <v>1567</v>
      </c>
      <c r="E614" s="334" t="s">
        <v>1567</v>
      </c>
      <c r="F614" s="334" t="s">
        <v>1567</v>
      </c>
      <c r="G614" s="516" t="s">
        <v>389</v>
      </c>
      <c r="H614" s="398" t="s">
        <v>1327</v>
      </c>
      <c r="I614" s="343"/>
      <c r="J614" s="344"/>
      <c r="K614" s="219" t="s">
        <v>147</v>
      </c>
      <c r="L614" s="349"/>
      <c r="M614" s="343"/>
      <c r="N614" s="349"/>
      <c r="O614" s="334" t="s">
        <v>25</v>
      </c>
      <c r="P614" s="354"/>
      <c r="Q614" s="403"/>
      <c r="R614" s="406">
        <v>0</v>
      </c>
      <c r="S614" s="406">
        <v>1501.59</v>
      </c>
      <c r="T614" s="425"/>
      <c r="U614" s="71"/>
      <c r="V614" s="408">
        <v>-0.46</v>
      </c>
      <c r="W614" s="410">
        <v>0.71</v>
      </c>
      <c r="X614" s="410">
        <v>1501.34</v>
      </c>
      <c r="Y614" s="428">
        <v>0.24</v>
      </c>
      <c r="Z614" s="429">
        <v>0.2</v>
      </c>
      <c r="AA614" s="429">
        <v>1249.95</v>
      </c>
      <c r="AB614" s="363" t="e">
        <v>#N/A</v>
      </c>
      <c r="AC614" s="368">
        <v>0</v>
      </c>
      <c r="AD614" s="368">
        <v>0</v>
      </c>
      <c r="AE614" s="368">
        <v>0</v>
      </c>
      <c r="AF614" s="368">
        <v>0</v>
      </c>
      <c r="AG614" s="368">
        <v>0</v>
      </c>
      <c r="AH614" s="367" t="e">
        <f t="shared" si="31"/>
        <v>#N/A</v>
      </c>
      <c r="AI614" s="362" t="e">
        <f>ERP[[#This Row],[2026 Working Total]]-ERP[[#This Row],[LE2 Final Submission]]</f>
        <v>#N/A</v>
      </c>
      <c r="AJ614" s="227">
        <v>0</v>
      </c>
      <c r="AK614" s="227">
        <f t="shared" si="30"/>
        <v>1249.95</v>
      </c>
      <c r="AL614" s="374">
        <f>SUM(ERP[[#This Row],[AP01]:[AP06]])-SUM(ERP[[#This Row],[AP01 LE2]:[AP06 LE2]])</f>
        <v>1250.3900000000001</v>
      </c>
      <c r="AM614" s="80"/>
      <c r="AN614" s="79" t="e">
        <f>ERP[[#This Row],[2026 Working Total to Budget/LE]]-ERP[[#This Row],[Giveback]]</f>
        <v>#N/A</v>
      </c>
      <c r="AO614" s="81"/>
      <c r="AP614" s="375">
        <v>-0.46</v>
      </c>
      <c r="AQ614" s="375">
        <v>0.71</v>
      </c>
      <c r="AR614" s="375">
        <v>1501.34</v>
      </c>
      <c r="AS614" s="375">
        <v>0</v>
      </c>
      <c r="AT614" s="375">
        <v>0</v>
      </c>
      <c r="AU614" s="375">
        <v>0</v>
      </c>
      <c r="AV614" s="375">
        <v>0</v>
      </c>
      <c r="AW614" s="375">
        <v>0</v>
      </c>
      <c r="AX614" s="375">
        <v>0</v>
      </c>
      <c r="AY614" s="375">
        <v>0</v>
      </c>
      <c r="AZ614" s="375">
        <v>0</v>
      </c>
      <c r="BA614" s="375">
        <v>0</v>
      </c>
      <c r="BB614" s="375">
        <v>1501.59</v>
      </c>
      <c r="BC614" s="227">
        <v>-0.46</v>
      </c>
      <c r="BD614" s="227">
        <v>0.71</v>
      </c>
      <c r="BE614" s="227">
        <v>1501.34</v>
      </c>
      <c r="BF614" s="227">
        <v>0</v>
      </c>
      <c r="BG614" s="227">
        <v>0</v>
      </c>
      <c r="BH614" s="227">
        <v>0</v>
      </c>
      <c r="BI614" s="227">
        <v>0</v>
      </c>
      <c r="BJ614" s="227">
        <v>0</v>
      </c>
      <c r="BK614" s="227">
        <v>0</v>
      </c>
      <c r="BL614" s="227">
        <v>0</v>
      </c>
      <c r="BM614" s="227">
        <v>0</v>
      </c>
      <c r="BN614" s="227">
        <v>0</v>
      </c>
      <c r="BO614" s="227">
        <v>1501.59</v>
      </c>
    </row>
    <row r="615" spans="1:67" ht="15" customHeight="1">
      <c r="A615" s="215" t="s">
        <v>1330</v>
      </c>
      <c r="B615" s="215" t="s">
        <v>1331</v>
      </c>
      <c r="C615" s="150" t="s">
        <v>1136</v>
      </c>
      <c r="D615" s="334" t="s">
        <v>1135</v>
      </c>
      <c r="E615" s="334" t="s">
        <v>1145</v>
      </c>
      <c r="F615" s="334" t="s">
        <v>1137</v>
      </c>
      <c r="G615" s="516" t="s">
        <v>49</v>
      </c>
      <c r="H615" s="398" t="s">
        <v>1327</v>
      </c>
      <c r="I615" s="343"/>
      <c r="J615" s="344"/>
      <c r="K615" s="219" t="s">
        <v>147</v>
      </c>
      <c r="L615" s="349"/>
      <c r="M615" s="343"/>
      <c r="N615" s="349"/>
      <c r="O615" s="334" t="s">
        <v>25</v>
      </c>
      <c r="P615" s="354"/>
      <c r="Q615" s="403"/>
      <c r="R615" s="406">
        <v>0</v>
      </c>
      <c r="S615" s="406">
        <v>5030.5599999999995</v>
      </c>
      <c r="T615" s="425"/>
      <c r="U615" s="71"/>
      <c r="V615" s="408">
        <v>-0.36</v>
      </c>
      <c r="W615" s="410">
        <v>0.35</v>
      </c>
      <c r="X615" s="410">
        <v>5030.57</v>
      </c>
      <c r="Y615" s="428">
        <v>0.46</v>
      </c>
      <c r="Z615" s="429">
        <v>0.34</v>
      </c>
      <c r="AA615" s="429">
        <v>-0.41</v>
      </c>
      <c r="AB615" s="363" t="e">
        <v>#N/A</v>
      </c>
      <c r="AC615" s="368">
        <v>0</v>
      </c>
      <c r="AD615" s="368">
        <v>0</v>
      </c>
      <c r="AE615" s="368">
        <v>0</v>
      </c>
      <c r="AF615" s="368">
        <v>0</v>
      </c>
      <c r="AG615" s="368">
        <v>0</v>
      </c>
      <c r="AH615" s="367" t="e">
        <f t="shared" si="31"/>
        <v>#N/A</v>
      </c>
      <c r="AI615" s="362" t="e">
        <f>ERP[[#This Row],[2026 Working Total]]-ERP[[#This Row],[LE2 Final Submission]]</f>
        <v>#N/A</v>
      </c>
      <c r="AJ615" s="227">
        <v>0</v>
      </c>
      <c r="AK615" s="227">
        <f t="shared" si="30"/>
        <v>-0.41</v>
      </c>
      <c r="AL615" s="374">
        <f>SUM(ERP[[#This Row],[AP01]:[AP06]])-SUM(ERP[[#This Row],[AP01 LE2]:[AP06 LE2]])</f>
        <v>0.39000000000032742</v>
      </c>
      <c r="AM615" s="80"/>
      <c r="AN615" s="79" t="e">
        <f>ERP[[#This Row],[2026 Working Total to Budget/LE]]-ERP[[#This Row],[Giveback]]</f>
        <v>#N/A</v>
      </c>
      <c r="AO615" s="81"/>
      <c r="AP615" s="375">
        <v>-0.36</v>
      </c>
      <c r="AQ615" s="375">
        <v>0.35</v>
      </c>
      <c r="AR615" s="375">
        <v>5030.57</v>
      </c>
      <c r="AS615" s="375">
        <v>0</v>
      </c>
      <c r="AT615" s="375">
        <v>0</v>
      </c>
      <c r="AU615" s="375">
        <v>0</v>
      </c>
      <c r="AV615" s="375">
        <v>0</v>
      </c>
      <c r="AW615" s="375">
        <v>0</v>
      </c>
      <c r="AX615" s="375">
        <v>0</v>
      </c>
      <c r="AY615" s="375">
        <v>0</v>
      </c>
      <c r="AZ615" s="375">
        <v>0</v>
      </c>
      <c r="BA615" s="375">
        <v>0</v>
      </c>
      <c r="BB615" s="375">
        <v>5030.5599999999995</v>
      </c>
      <c r="BC615" s="227">
        <v>-0.36</v>
      </c>
      <c r="BD615" s="227">
        <v>0.35</v>
      </c>
      <c r="BE615" s="227">
        <v>5030.57</v>
      </c>
      <c r="BF615" s="227">
        <v>0</v>
      </c>
      <c r="BG615" s="227">
        <v>0</v>
      </c>
      <c r="BH615" s="227">
        <v>0</v>
      </c>
      <c r="BI615" s="227">
        <v>0</v>
      </c>
      <c r="BJ615" s="227">
        <v>0</v>
      </c>
      <c r="BK615" s="227">
        <v>0</v>
      </c>
      <c r="BL615" s="227">
        <v>0</v>
      </c>
      <c r="BM615" s="227">
        <v>0</v>
      </c>
      <c r="BN615" s="227">
        <v>0</v>
      </c>
      <c r="BO615" s="227">
        <v>5030.5599999999995</v>
      </c>
    </row>
    <row r="616" spans="1:67" ht="15" customHeight="1">
      <c r="A616" s="215" t="s">
        <v>1957</v>
      </c>
      <c r="B616" s="215" t="s">
        <v>1958</v>
      </c>
      <c r="C616" s="150" t="s">
        <v>1136</v>
      </c>
      <c r="D616" s="334" t="s">
        <v>1135</v>
      </c>
      <c r="E616" s="334" t="s">
        <v>1145</v>
      </c>
      <c r="F616" s="334" t="s">
        <v>1137</v>
      </c>
      <c r="G616" s="516" t="s">
        <v>389</v>
      </c>
      <c r="H616" s="398" t="s">
        <v>1327</v>
      </c>
      <c r="I616" s="343"/>
      <c r="J616" s="344"/>
      <c r="K616" s="219" t="s">
        <v>147</v>
      </c>
      <c r="L616" s="349"/>
      <c r="M616" s="343"/>
      <c r="N616" s="349"/>
      <c r="O616" s="334" t="s">
        <v>25</v>
      </c>
      <c r="P616" s="354"/>
      <c r="Q616" s="403"/>
      <c r="R616" s="406">
        <v>0</v>
      </c>
      <c r="S616" s="406">
        <v>-0.12</v>
      </c>
      <c r="T616" s="425"/>
      <c r="U616" s="71"/>
      <c r="V616" s="408">
        <v>0.02</v>
      </c>
      <c r="W616" s="410">
        <v>0.04</v>
      </c>
      <c r="X616" s="410">
        <v>-0.18</v>
      </c>
      <c r="Y616" s="428">
        <v>-0.02</v>
      </c>
      <c r="Z616" s="429">
        <v>0.19</v>
      </c>
      <c r="AA616" s="429">
        <v>-0.36</v>
      </c>
      <c r="AB616" s="363" t="e">
        <v>#N/A</v>
      </c>
      <c r="AC616" s="368">
        <v>0</v>
      </c>
      <c r="AD616" s="368">
        <v>0</v>
      </c>
      <c r="AE616" s="368">
        <v>0</v>
      </c>
      <c r="AF616" s="368">
        <v>0</v>
      </c>
      <c r="AG616" s="368">
        <v>0</v>
      </c>
      <c r="AH616" s="367" t="e">
        <f t="shared" si="31"/>
        <v>#N/A</v>
      </c>
      <c r="AI616" s="362" t="e">
        <f>ERP[[#This Row],[2026 Working Total]]-ERP[[#This Row],[LE2 Final Submission]]</f>
        <v>#N/A</v>
      </c>
      <c r="AJ616" s="227">
        <v>0</v>
      </c>
      <c r="AK616" s="227">
        <f t="shared" si="30"/>
        <v>-0.36</v>
      </c>
      <c r="AL616" s="374">
        <f>SUM(ERP[[#This Row],[AP01]:[AP06]])-SUM(ERP[[#This Row],[AP01 LE2]:[AP06 LE2]])</f>
        <v>-0.18999999999999995</v>
      </c>
      <c r="AM616" s="80"/>
      <c r="AN616" s="79" t="e">
        <f>ERP[[#This Row],[2026 Working Total to Budget/LE]]-ERP[[#This Row],[Giveback]]</f>
        <v>#N/A</v>
      </c>
      <c r="AO616" s="81"/>
      <c r="AP616" s="375">
        <v>0.02</v>
      </c>
      <c r="AQ616" s="375">
        <v>0.04</v>
      </c>
      <c r="AR616" s="375">
        <v>-0.18</v>
      </c>
      <c r="AS616" s="375">
        <v>0</v>
      </c>
      <c r="AT616" s="375">
        <v>0</v>
      </c>
      <c r="AU616" s="375">
        <v>0</v>
      </c>
      <c r="AV616" s="375">
        <v>0</v>
      </c>
      <c r="AW616" s="375">
        <v>0</v>
      </c>
      <c r="AX616" s="375">
        <v>0</v>
      </c>
      <c r="AY616" s="375">
        <v>0</v>
      </c>
      <c r="AZ616" s="375">
        <v>0</v>
      </c>
      <c r="BA616" s="375">
        <v>0</v>
      </c>
      <c r="BB616" s="375">
        <v>-0.12</v>
      </c>
      <c r="BC616" s="227">
        <v>0.02</v>
      </c>
      <c r="BD616" s="227">
        <v>0.04</v>
      </c>
      <c r="BE616" s="227">
        <v>-0.18</v>
      </c>
      <c r="BF616" s="227">
        <v>0</v>
      </c>
      <c r="BG616" s="227">
        <v>0</v>
      </c>
      <c r="BH616" s="227">
        <v>0</v>
      </c>
      <c r="BI616" s="227">
        <v>0</v>
      </c>
      <c r="BJ616" s="227">
        <v>0</v>
      </c>
      <c r="BK616" s="227">
        <v>0</v>
      </c>
      <c r="BL616" s="227">
        <v>0</v>
      </c>
      <c r="BM616" s="227">
        <v>0</v>
      </c>
      <c r="BN616" s="227">
        <v>0</v>
      </c>
      <c r="BO616" s="227">
        <v>-0.12</v>
      </c>
    </row>
    <row r="617" spans="1:67" ht="15" customHeight="1">
      <c r="A617" s="215" t="s">
        <v>2597</v>
      </c>
      <c r="B617" s="215" t="s">
        <v>2598</v>
      </c>
      <c r="C617" s="150" t="s">
        <v>1136</v>
      </c>
      <c r="D617" s="334" t="s">
        <v>1135</v>
      </c>
      <c r="E617" s="334" t="s">
        <v>1145</v>
      </c>
      <c r="F617" s="334" t="s">
        <v>1137</v>
      </c>
      <c r="G617" s="516" t="s">
        <v>639</v>
      </c>
      <c r="H617" s="398" t="s">
        <v>1327</v>
      </c>
      <c r="I617" s="343"/>
      <c r="J617" s="344"/>
      <c r="K617" s="219" t="s">
        <v>147</v>
      </c>
      <c r="L617" s="349"/>
      <c r="M617" s="343"/>
      <c r="N617" s="349"/>
      <c r="O617" s="334" t="s">
        <v>25</v>
      </c>
      <c r="P617" s="354"/>
      <c r="Q617" s="403"/>
      <c r="R617" s="406">
        <v>0</v>
      </c>
      <c r="S617" s="406">
        <v>-0.26</v>
      </c>
      <c r="T617" s="425"/>
      <c r="U617" s="71"/>
      <c r="V617" s="408">
        <v>-0.15</v>
      </c>
      <c r="W617" s="410">
        <v>0.31</v>
      </c>
      <c r="X617" s="410">
        <v>-0.42</v>
      </c>
      <c r="Y617" s="428">
        <v>-8.9999999999918145E-2</v>
      </c>
      <c r="Z617" s="429">
        <v>0.44</v>
      </c>
      <c r="AA617" s="429">
        <v>-0.49</v>
      </c>
      <c r="AB617" s="363" t="e">
        <v>#N/A</v>
      </c>
      <c r="AC617" s="368">
        <v>0</v>
      </c>
      <c r="AD617" s="368">
        <v>0</v>
      </c>
      <c r="AE617" s="368">
        <v>0</v>
      </c>
      <c r="AF617" s="368">
        <v>0</v>
      </c>
      <c r="AG617" s="368">
        <v>0</v>
      </c>
      <c r="AH617" s="367" t="e">
        <f t="shared" si="31"/>
        <v>#N/A</v>
      </c>
      <c r="AI617" s="362" t="e">
        <f>ERP[[#This Row],[2026 Working Total]]-ERP[[#This Row],[LE2 Final Submission]]</f>
        <v>#N/A</v>
      </c>
      <c r="AJ617" s="227">
        <v>0</v>
      </c>
      <c r="AK617" s="227">
        <f t="shared" si="30"/>
        <v>-0.49</v>
      </c>
      <c r="AL617" s="374">
        <f>SUM(ERP[[#This Row],[AP01]:[AP06]])-SUM(ERP[[#This Row],[AP01 LE2]:[AP06 LE2]])</f>
        <v>-0.13999999999991813</v>
      </c>
      <c r="AM617" s="80"/>
      <c r="AN617" s="79" t="e">
        <f>ERP[[#This Row],[2026 Working Total to Budget/LE]]-ERP[[#This Row],[Giveback]]</f>
        <v>#N/A</v>
      </c>
      <c r="AO617" s="81"/>
      <c r="AP617" s="375">
        <v>-0.15</v>
      </c>
      <c r="AQ617" s="375">
        <v>0.31</v>
      </c>
      <c r="AR617" s="375">
        <v>-0.42</v>
      </c>
      <c r="AS617" s="375">
        <v>0</v>
      </c>
      <c r="AT617" s="375">
        <v>0</v>
      </c>
      <c r="AU617" s="375">
        <v>0</v>
      </c>
      <c r="AV617" s="375">
        <v>0</v>
      </c>
      <c r="AW617" s="375">
        <v>0</v>
      </c>
      <c r="AX617" s="375">
        <v>0</v>
      </c>
      <c r="AY617" s="375">
        <v>0</v>
      </c>
      <c r="AZ617" s="375">
        <v>0</v>
      </c>
      <c r="BA617" s="375">
        <v>0</v>
      </c>
      <c r="BB617" s="375">
        <v>-0.26</v>
      </c>
      <c r="BC617" s="227">
        <v>-0.15</v>
      </c>
      <c r="BD617" s="227">
        <v>0.31</v>
      </c>
      <c r="BE617" s="227">
        <v>-0.42</v>
      </c>
      <c r="BF617" s="227">
        <v>0</v>
      </c>
      <c r="BG617" s="227">
        <v>0</v>
      </c>
      <c r="BH617" s="227">
        <v>0</v>
      </c>
      <c r="BI617" s="227">
        <v>0</v>
      </c>
      <c r="BJ617" s="227">
        <v>0</v>
      </c>
      <c r="BK617" s="227">
        <v>0</v>
      </c>
      <c r="BL617" s="227">
        <v>0</v>
      </c>
      <c r="BM617" s="227">
        <v>0</v>
      </c>
      <c r="BN617" s="227">
        <v>0</v>
      </c>
      <c r="BO617" s="227">
        <v>-0.26</v>
      </c>
    </row>
    <row r="618" spans="1:67" ht="15" customHeight="1">
      <c r="A618" s="215" t="s">
        <v>1332</v>
      </c>
      <c r="B618" s="215" t="s">
        <v>1333</v>
      </c>
      <c r="C618" s="150" t="s">
        <v>1136</v>
      </c>
      <c r="D618" s="334" t="s">
        <v>1135</v>
      </c>
      <c r="E618" s="334" t="s">
        <v>1156</v>
      </c>
      <c r="F618" s="334" t="s">
        <v>1137</v>
      </c>
      <c r="G618" s="516" t="s">
        <v>49</v>
      </c>
      <c r="H618" s="398" t="s">
        <v>1327</v>
      </c>
      <c r="I618" s="343"/>
      <c r="J618" s="344"/>
      <c r="K618" s="219" t="s">
        <v>147</v>
      </c>
      <c r="L618" s="349"/>
      <c r="M618" s="343"/>
      <c r="N618" s="349"/>
      <c r="O618" s="334" t="s">
        <v>25</v>
      </c>
      <c r="P618" s="354"/>
      <c r="Q618" s="403"/>
      <c r="R618" s="406">
        <v>0</v>
      </c>
      <c r="S618" s="406">
        <v>-0.26</v>
      </c>
      <c r="T618" s="425"/>
      <c r="U618" s="71"/>
      <c r="V618" s="408">
        <v>-0.38</v>
      </c>
      <c r="W618" s="410">
        <v>0.21</v>
      </c>
      <c r="X618" s="410">
        <v>-0.09</v>
      </c>
      <c r="Y618" s="428">
        <v>0.14000000000000001</v>
      </c>
      <c r="Z618" s="429">
        <v>0.52</v>
      </c>
      <c r="AA618" s="429">
        <v>-0.63</v>
      </c>
      <c r="AB618" s="363" t="e">
        <v>#N/A</v>
      </c>
      <c r="AC618" s="368">
        <v>0</v>
      </c>
      <c r="AD618" s="368">
        <v>0</v>
      </c>
      <c r="AE618" s="368">
        <v>0</v>
      </c>
      <c r="AF618" s="368">
        <v>0</v>
      </c>
      <c r="AG618" s="368">
        <v>0</v>
      </c>
      <c r="AH618" s="367" t="e">
        <f t="shared" si="31"/>
        <v>#N/A</v>
      </c>
      <c r="AI618" s="362" t="e">
        <f>ERP[[#This Row],[2026 Working Total]]-ERP[[#This Row],[LE2 Final Submission]]</f>
        <v>#N/A</v>
      </c>
      <c r="AJ618" s="227">
        <v>0</v>
      </c>
      <c r="AK618" s="227">
        <f t="shared" si="30"/>
        <v>-0.63</v>
      </c>
      <c r="AL618" s="374">
        <f>SUM(ERP[[#This Row],[AP01]:[AP06]])-SUM(ERP[[#This Row],[AP01 LE2]:[AP06 LE2]])</f>
        <v>3.0000000000000027E-2</v>
      </c>
      <c r="AM618" s="80"/>
      <c r="AN618" s="79" t="e">
        <f>ERP[[#This Row],[2026 Working Total to Budget/LE]]-ERP[[#This Row],[Giveback]]</f>
        <v>#N/A</v>
      </c>
      <c r="AO618" s="81"/>
      <c r="AP618" s="375">
        <v>-0.38</v>
      </c>
      <c r="AQ618" s="375">
        <v>0.21</v>
      </c>
      <c r="AR618" s="375">
        <v>-0.09</v>
      </c>
      <c r="AS618" s="375">
        <v>0</v>
      </c>
      <c r="AT618" s="375">
        <v>0</v>
      </c>
      <c r="AU618" s="375">
        <v>0</v>
      </c>
      <c r="AV618" s="375">
        <v>0</v>
      </c>
      <c r="AW618" s="375">
        <v>0</v>
      </c>
      <c r="AX618" s="375">
        <v>0</v>
      </c>
      <c r="AY618" s="375">
        <v>0</v>
      </c>
      <c r="AZ618" s="375">
        <v>0</v>
      </c>
      <c r="BA618" s="375">
        <v>0</v>
      </c>
      <c r="BB618" s="375">
        <v>-0.26</v>
      </c>
      <c r="BC618" s="227">
        <v>-0.38</v>
      </c>
      <c r="BD618" s="227">
        <v>0.21</v>
      </c>
      <c r="BE618" s="227">
        <v>-0.09</v>
      </c>
      <c r="BF618" s="227">
        <v>0</v>
      </c>
      <c r="BG618" s="227">
        <v>0</v>
      </c>
      <c r="BH618" s="227">
        <v>0</v>
      </c>
      <c r="BI618" s="227">
        <v>0</v>
      </c>
      <c r="BJ618" s="227">
        <v>0</v>
      </c>
      <c r="BK618" s="227">
        <v>0</v>
      </c>
      <c r="BL618" s="227">
        <v>0</v>
      </c>
      <c r="BM618" s="227">
        <v>0</v>
      </c>
      <c r="BN618" s="227">
        <v>0</v>
      </c>
      <c r="BO618" s="227">
        <v>-0.26</v>
      </c>
    </row>
    <row r="619" spans="1:67" ht="15" customHeight="1">
      <c r="A619" s="215" t="s">
        <v>1659</v>
      </c>
      <c r="B619" s="215" t="s">
        <v>331</v>
      </c>
      <c r="C619" s="150" t="s">
        <v>1136</v>
      </c>
      <c r="D619" s="334" t="s">
        <v>1650</v>
      </c>
      <c r="E619" s="334" t="s">
        <v>1650</v>
      </c>
      <c r="F619" s="334" t="s">
        <v>1650</v>
      </c>
      <c r="G619" s="516" t="s">
        <v>49</v>
      </c>
      <c r="H619" s="398" t="s">
        <v>1327</v>
      </c>
      <c r="I619" s="343"/>
      <c r="J619" s="344"/>
      <c r="K619" s="219" t="s">
        <v>147</v>
      </c>
      <c r="L619" s="349"/>
      <c r="M619" s="343"/>
      <c r="N619" s="349"/>
      <c r="O619" s="334" t="s">
        <v>25</v>
      </c>
      <c r="P619" s="354"/>
      <c r="Q619" s="403"/>
      <c r="R619" s="406">
        <v>0</v>
      </c>
      <c r="S619" s="406">
        <v>79.110000000000298</v>
      </c>
      <c r="T619" s="425"/>
      <c r="U619" s="71"/>
      <c r="V619" s="408">
        <v>0.01</v>
      </c>
      <c r="W619" s="410">
        <v>0.42</v>
      </c>
      <c r="X619" s="412">
        <f>-54821.32+54900</f>
        <v>78.680000000000291</v>
      </c>
      <c r="Y619" s="428">
        <v>-0.62</v>
      </c>
      <c r="Z619" s="481">
        <v>-20720.55</v>
      </c>
      <c r="AA619" s="429">
        <v>0</v>
      </c>
      <c r="AB619" s="363" t="e">
        <v>#N/A</v>
      </c>
      <c r="AC619" s="368">
        <v>0</v>
      </c>
      <c r="AD619" s="368">
        <v>0</v>
      </c>
      <c r="AE619" s="368">
        <v>0</v>
      </c>
      <c r="AF619" s="368">
        <v>0</v>
      </c>
      <c r="AG619" s="368">
        <v>0</v>
      </c>
      <c r="AH619" s="367" t="e">
        <f t="shared" si="31"/>
        <v>#N/A</v>
      </c>
      <c r="AI619" s="362" t="e">
        <f>ERP[[#This Row],[2026 Working Total]]-ERP[[#This Row],[LE2 Final Submission]]</f>
        <v>#N/A</v>
      </c>
      <c r="AJ619" s="227">
        <v>0</v>
      </c>
      <c r="AK619" s="227">
        <f t="shared" si="30"/>
        <v>0</v>
      </c>
      <c r="AL619" s="374">
        <f>SUM(ERP[[#This Row],[AP01]:[AP06]])-SUM(ERP[[#This Row],[AP01 LE2]:[AP06 LE2]])</f>
        <v>-20721.169999999998</v>
      </c>
      <c r="AM619" s="80"/>
      <c r="AN619" s="79" t="e">
        <f>ERP[[#This Row],[2026 Working Total to Budget/LE]]-ERP[[#This Row],[Giveback]]</f>
        <v>#N/A</v>
      </c>
      <c r="AO619" s="81"/>
      <c r="AP619" s="375">
        <v>0.01</v>
      </c>
      <c r="AQ619" s="375">
        <v>0.42</v>
      </c>
      <c r="AR619" s="375">
        <v>78.680000000000291</v>
      </c>
      <c r="AS619" s="375">
        <v>0</v>
      </c>
      <c r="AT619" s="375">
        <v>0</v>
      </c>
      <c r="AU619" s="375">
        <v>0</v>
      </c>
      <c r="AV619" s="375">
        <v>0</v>
      </c>
      <c r="AW619" s="375">
        <v>0</v>
      </c>
      <c r="AX619" s="375">
        <v>0</v>
      </c>
      <c r="AY619" s="375">
        <v>0</v>
      </c>
      <c r="AZ619" s="375">
        <v>0</v>
      </c>
      <c r="BA619" s="375">
        <v>0</v>
      </c>
      <c r="BB619" s="375">
        <v>79.110000000000298</v>
      </c>
      <c r="BC619" s="227">
        <v>0.01</v>
      </c>
      <c r="BD619" s="227">
        <v>0.42</v>
      </c>
      <c r="BE619" s="227">
        <v>-54821.32</v>
      </c>
      <c r="BF619" s="227">
        <v>0</v>
      </c>
      <c r="BG619" s="227">
        <v>0</v>
      </c>
      <c r="BH619" s="227">
        <v>0</v>
      </c>
      <c r="BI619" s="227">
        <v>0</v>
      </c>
      <c r="BJ619" s="227">
        <v>0</v>
      </c>
      <c r="BK619" s="227">
        <v>0</v>
      </c>
      <c r="BL619" s="227">
        <v>0</v>
      </c>
      <c r="BM619" s="227">
        <v>0</v>
      </c>
      <c r="BN619" s="227">
        <v>0</v>
      </c>
      <c r="BO619" s="227">
        <v>-54820.89</v>
      </c>
    </row>
    <row r="620" spans="1:67" ht="15" customHeight="1">
      <c r="A620" s="215" t="s">
        <v>1750</v>
      </c>
      <c r="B620" s="215" t="s">
        <v>387</v>
      </c>
      <c r="C620" s="150" t="s">
        <v>1136</v>
      </c>
      <c r="D620" s="334" t="s">
        <v>1650</v>
      </c>
      <c r="E620" s="334" t="s">
        <v>1650</v>
      </c>
      <c r="F620" s="334" t="s">
        <v>1650</v>
      </c>
      <c r="G620" s="516" t="s">
        <v>342</v>
      </c>
      <c r="H620" s="398" t="s">
        <v>1327</v>
      </c>
      <c r="I620" s="343"/>
      <c r="J620" s="344"/>
      <c r="K620" s="219" t="s">
        <v>147</v>
      </c>
      <c r="L620" s="349"/>
      <c r="M620" s="343"/>
      <c r="N620" s="349"/>
      <c r="O620" s="334" t="s">
        <v>25</v>
      </c>
      <c r="P620" s="354"/>
      <c r="Q620" s="403"/>
      <c r="R620" s="406">
        <v>0</v>
      </c>
      <c r="S620" s="406">
        <v>420.97</v>
      </c>
      <c r="T620" s="425"/>
      <c r="U620" s="71"/>
      <c r="V620" s="408"/>
      <c r="W620" s="410"/>
      <c r="X620" s="410">
        <v>420.97</v>
      </c>
      <c r="Y620" s="428">
        <v>-0.11</v>
      </c>
      <c r="Z620" s="429">
        <v>0.21</v>
      </c>
      <c r="AA620" s="429">
        <v>0</v>
      </c>
      <c r="AB620" s="363" t="e">
        <v>#N/A</v>
      </c>
      <c r="AC620" s="368">
        <v>0</v>
      </c>
      <c r="AD620" s="368">
        <v>0</v>
      </c>
      <c r="AE620" s="368">
        <v>0</v>
      </c>
      <c r="AF620" s="368">
        <v>0</v>
      </c>
      <c r="AG620" s="368">
        <v>0</v>
      </c>
      <c r="AH620" s="367" t="e">
        <f t="shared" si="31"/>
        <v>#N/A</v>
      </c>
      <c r="AI620" s="362" t="e">
        <f>ERP[[#This Row],[2026 Working Total]]-ERP[[#This Row],[LE2 Final Submission]]</f>
        <v>#N/A</v>
      </c>
      <c r="AJ620" s="227">
        <v>0</v>
      </c>
      <c r="AK620" s="227">
        <f t="shared" si="30"/>
        <v>0</v>
      </c>
      <c r="AL620" s="374">
        <f>SUM(ERP[[#This Row],[AP01]:[AP06]])-SUM(ERP[[#This Row],[AP01 LE2]:[AP06 LE2]])</f>
        <v>9.9999999999965894E-2</v>
      </c>
      <c r="AM620" s="80"/>
      <c r="AN620" s="79" t="e">
        <f>ERP[[#This Row],[2026 Working Total to Budget/LE]]-ERP[[#This Row],[Giveback]]</f>
        <v>#N/A</v>
      </c>
      <c r="AO620" s="81"/>
      <c r="AP620" s="375"/>
      <c r="AQ620" s="375"/>
      <c r="AR620" s="375">
        <v>420.97</v>
      </c>
      <c r="AS620" s="375">
        <v>0</v>
      </c>
      <c r="AT620" s="375">
        <v>0</v>
      </c>
      <c r="AU620" s="375">
        <v>0</v>
      </c>
      <c r="AV620" s="375">
        <v>0</v>
      </c>
      <c r="AW620" s="375">
        <v>0</v>
      </c>
      <c r="AX620" s="375">
        <v>0</v>
      </c>
      <c r="AY620" s="375">
        <v>0</v>
      </c>
      <c r="AZ620" s="375">
        <v>0</v>
      </c>
      <c r="BA620" s="375">
        <v>0</v>
      </c>
      <c r="BB620" s="375">
        <v>420.97</v>
      </c>
      <c r="BC620" s="227"/>
      <c r="BD620" s="227"/>
      <c r="BE620" s="227">
        <v>420.97</v>
      </c>
      <c r="BF620" s="227">
        <v>0</v>
      </c>
      <c r="BG620" s="227">
        <v>0</v>
      </c>
      <c r="BH620" s="227">
        <v>0</v>
      </c>
      <c r="BI620" s="227">
        <v>0</v>
      </c>
      <c r="BJ620" s="227">
        <v>0</v>
      </c>
      <c r="BK620" s="227">
        <v>0</v>
      </c>
      <c r="BL620" s="227">
        <v>0</v>
      </c>
      <c r="BM620" s="227">
        <v>0</v>
      </c>
      <c r="BN620" s="227">
        <v>0</v>
      </c>
      <c r="BO620" s="227">
        <v>420.97</v>
      </c>
    </row>
    <row r="621" spans="1:67" ht="15" customHeight="1">
      <c r="A621" s="215" t="s">
        <v>2145</v>
      </c>
      <c r="B621" s="215" t="s">
        <v>600</v>
      </c>
      <c r="C621" s="150" t="s">
        <v>1136</v>
      </c>
      <c r="D621" s="334" t="s">
        <v>1650</v>
      </c>
      <c r="E621" s="334" t="s">
        <v>1650</v>
      </c>
      <c r="F621" s="334" t="s">
        <v>1650</v>
      </c>
      <c r="G621" s="516" t="s">
        <v>389</v>
      </c>
      <c r="H621" s="398" t="s">
        <v>1327</v>
      </c>
      <c r="I621" s="343"/>
      <c r="J621" s="344"/>
      <c r="K621" s="219" t="s">
        <v>147</v>
      </c>
      <c r="L621" s="349"/>
      <c r="M621" s="343"/>
      <c r="N621" s="349"/>
      <c r="O621" s="334" t="s">
        <v>25</v>
      </c>
      <c r="P621" s="354" t="s">
        <v>2147</v>
      </c>
      <c r="Q621" s="403"/>
      <c r="R621" s="406">
        <v>0</v>
      </c>
      <c r="S621" s="406">
        <v>-0.03</v>
      </c>
      <c r="T621" s="425"/>
      <c r="U621" s="71"/>
      <c r="V621" s="408"/>
      <c r="W621" s="410"/>
      <c r="X621" s="410">
        <v>-0.03</v>
      </c>
      <c r="Y621" s="428">
        <v>-0.38</v>
      </c>
      <c r="Z621" s="429">
        <v>0.61</v>
      </c>
      <c r="AA621" s="429">
        <v>341292.15</v>
      </c>
      <c r="AB621" s="363" t="e">
        <v>#N/A</v>
      </c>
      <c r="AC621" s="368">
        <v>0</v>
      </c>
      <c r="AD621" s="368">
        <v>0</v>
      </c>
      <c r="AE621" s="368">
        <v>0</v>
      </c>
      <c r="AF621" s="368">
        <v>0</v>
      </c>
      <c r="AG621" s="368">
        <v>0</v>
      </c>
      <c r="AH621" s="367" t="e">
        <f t="shared" si="31"/>
        <v>#N/A</v>
      </c>
      <c r="AI621" s="362" t="e">
        <f>ERP[[#This Row],[2026 Working Total]]-ERP[[#This Row],[LE2 Final Submission]]</f>
        <v>#N/A</v>
      </c>
      <c r="AJ621" s="227">
        <v>0</v>
      </c>
      <c r="AK621" s="227">
        <f t="shared" si="30"/>
        <v>341292.15</v>
      </c>
      <c r="AL621" s="374">
        <f>SUM(ERP[[#This Row],[AP01]:[AP06]])-SUM(ERP[[#This Row],[AP01 LE2]:[AP06 LE2]])</f>
        <v>341292.38000000006</v>
      </c>
      <c r="AM621" s="80"/>
      <c r="AN621" s="79" t="e">
        <f>ERP[[#This Row],[2026 Working Total to Budget/LE]]-ERP[[#This Row],[Giveback]]</f>
        <v>#N/A</v>
      </c>
      <c r="AO621" s="81"/>
      <c r="AP621" s="375"/>
      <c r="AQ621" s="375"/>
      <c r="AR621" s="375">
        <v>-0.03</v>
      </c>
      <c r="AS621" s="375">
        <v>0</v>
      </c>
      <c r="AT621" s="375">
        <v>0</v>
      </c>
      <c r="AU621" s="375">
        <v>0</v>
      </c>
      <c r="AV621" s="375">
        <v>0</v>
      </c>
      <c r="AW621" s="375">
        <v>0</v>
      </c>
      <c r="AX621" s="375">
        <v>0</v>
      </c>
      <c r="AY621" s="375">
        <v>0</v>
      </c>
      <c r="AZ621" s="375">
        <v>0</v>
      </c>
      <c r="BA621" s="375">
        <v>0</v>
      </c>
      <c r="BB621" s="375">
        <v>-0.03</v>
      </c>
      <c r="BC621" s="227"/>
      <c r="BD621" s="227"/>
      <c r="BE621" s="227">
        <v>-0.03</v>
      </c>
      <c r="BF621" s="227">
        <v>0</v>
      </c>
      <c r="BG621" s="227">
        <v>0</v>
      </c>
      <c r="BH621" s="227">
        <v>0</v>
      </c>
      <c r="BI621" s="227">
        <v>0</v>
      </c>
      <c r="BJ621" s="227">
        <v>0</v>
      </c>
      <c r="BK621" s="227">
        <v>0</v>
      </c>
      <c r="BL621" s="227">
        <v>0</v>
      </c>
      <c r="BM621" s="227">
        <v>0</v>
      </c>
      <c r="BN621" s="227">
        <v>0</v>
      </c>
      <c r="BO621" s="227">
        <v>-0.03</v>
      </c>
    </row>
    <row r="622" spans="1:67" ht="15" customHeight="1">
      <c r="A622" s="215" t="s">
        <v>2819</v>
      </c>
      <c r="B622" s="215" t="s">
        <v>1025</v>
      </c>
      <c r="C622" s="150" t="s">
        <v>1136</v>
      </c>
      <c r="D622" s="334" t="s">
        <v>1650</v>
      </c>
      <c r="E622" s="334" t="s">
        <v>1650</v>
      </c>
      <c r="F622" s="334" t="s">
        <v>1650</v>
      </c>
      <c r="G622" s="516" t="s">
        <v>639</v>
      </c>
      <c r="H622" s="398" t="s">
        <v>1327</v>
      </c>
      <c r="I622" s="343"/>
      <c r="J622" s="344"/>
      <c r="K622" s="219" t="s">
        <v>147</v>
      </c>
      <c r="L622" s="349"/>
      <c r="M622" s="343"/>
      <c r="N622" s="349"/>
      <c r="O622" s="334" t="s">
        <v>25</v>
      </c>
      <c r="P622" s="354"/>
      <c r="Q622" s="403"/>
      <c r="R622" s="406">
        <v>0</v>
      </c>
      <c r="S622" s="406">
        <v>227.23999999999998</v>
      </c>
      <c r="T622" s="425"/>
      <c r="U622" s="71"/>
      <c r="V622" s="408"/>
      <c r="W622" s="410">
        <v>-0.02</v>
      </c>
      <c r="X622" s="410">
        <v>227.26</v>
      </c>
      <c r="Y622" s="428">
        <v>0</v>
      </c>
      <c r="Z622" s="429">
        <v>0</v>
      </c>
      <c r="AA622" s="429">
        <v>-0.24</v>
      </c>
      <c r="AB622" s="363" t="e">
        <v>#N/A</v>
      </c>
      <c r="AC622" s="368">
        <v>0</v>
      </c>
      <c r="AD622" s="368">
        <v>0</v>
      </c>
      <c r="AE622" s="368">
        <v>0</v>
      </c>
      <c r="AF622" s="368">
        <v>0</v>
      </c>
      <c r="AG622" s="368">
        <v>0</v>
      </c>
      <c r="AH622" s="367" t="e">
        <f t="shared" si="31"/>
        <v>#N/A</v>
      </c>
      <c r="AI622" s="362" t="e">
        <f>ERP[[#This Row],[2026 Working Total]]-ERP[[#This Row],[LE2 Final Submission]]</f>
        <v>#N/A</v>
      </c>
      <c r="AJ622" s="227">
        <v>0</v>
      </c>
      <c r="AK622" s="227">
        <f t="shared" si="30"/>
        <v>-0.24</v>
      </c>
      <c r="AL622" s="374">
        <f>SUM(ERP[[#This Row],[AP01]:[AP06]])-SUM(ERP[[#This Row],[AP01 LE2]:[AP06 LE2]])</f>
        <v>-0.24000000000000909</v>
      </c>
      <c r="AM622" s="80"/>
      <c r="AN622" s="79" t="e">
        <f>ERP[[#This Row],[2026 Working Total to Budget/LE]]-ERP[[#This Row],[Giveback]]</f>
        <v>#N/A</v>
      </c>
      <c r="AO622" s="81"/>
      <c r="AP622" s="375"/>
      <c r="AQ622" s="375">
        <v>-0.02</v>
      </c>
      <c r="AR622" s="375">
        <v>227.26</v>
      </c>
      <c r="AS622" s="375">
        <v>0</v>
      </c>
      <c r="AT622" s="375">
        <v>0</v>
      </c>
      <c r="AU622" s="375">
        <v>0</v>
      </c>
      <c r="AV622" s="375">
        <v>0</v>
      </c>
      <c r="AW622" s="375">
        <v>0</v>
      </c>
      <c r="AX622" s="375">
        <v>0</v>
      </c>
      <c r="AY622" s="375">
        <v>0</v>
      </c>
      <c r="AZ622" s="375">
        <v>0</v>
      </c>
      <c r="BA622" s="375">
        <v>0</v>
      </c>
      <c r="BB622" s="375">
        <v>227.23999999999998</v>
      </c>
      <c r="BC622" s="227"/>
      <c r="BD622" s="227">
        <v>-0.02</v>
      </c>
      <c r="BE622" s="227">
        <v>227.26</v>
      </c>
      <c r="BF622" s="227">
        <v>0</v>
      </c>
      <c r="BG622" s="227">
        <v>0</v>
      </c>
      <c r="BH622" s="227">
        <v>0</v>
      </c>
      <c r="BI622" s="227">
        <v>0</v>
      </c>
      <c r="BJ622" s="227">
        <v>0</v>
      </c>
      <c r="BK622" s="227">
        <v>0</v>
      </c>
      <c r="BL622" s="227">
        <v>0</v>
      </c>
      <c r="BM622" s="227">
        <v>0</v>
      </c>
      <c r="BN622" s="227">
        <v>0</v>
      </c>
      <c r="BO622" s="227">
        <v>227.23999999999998</v>
      </c>
    </row>
    <row r="623" spans="1:67" ht="15" customHeight="1">
      <c r="A623" s="215" t="s">
        <v>1959</v>
      </c>
      <c r="B623" s="215" t="s">
        <v>1960</v>
      </c>
      <c r="C623" s="150" t="s">
        <v>1136</v>
      </c>
      <c r="D623" s="334" t="s">
        <v>1135</v>
      </c>
      <c r="E623" s="334" t="s">
        <v>1156</v>
      </c>
      <c r="F623" s="334" t="s">
        <v>1137</v>
      </c>
      <c r="G623" s="516" t="s">
        <v>389</v>
      </c>
      <c r="H623" s="398" t="s">
        <v>1327</v>
      </c>
      <c r="I623" s="343"/>
      <c r="J623" s="344"/>
      <c r="K623" s="219" t="s">
        <v>147</v>
      </c>
      <c r="L623" s="349"/>
      <c r="M623" s="343"/>
      <c r="N623" s="349"/>
      <c r="O623" s="334" t="s">
        <v>25</v>
      </c>
      <c r="P623" s="354"/>
      <c r="Q623" s="403"/>
      <c r="R623" s="406">
        <v>0</v>
      </c>
      <c r="S623" s="406">
        <v>-0.16999999999999998</v>
      </c>
      <c r="T623" s="425"/>
      <c r="U623" s="71"/>
      <c r="V623" s="408"/>
      <c r="W623" s="410">
        <v>0.42</v>
      </c>
      <c r="X623" s="410">
        <v>-0.59</v>
      </c>
      <c r="Y623" s="428">
        <v>0.34</v>
      </c>
      <c r="Z623" s="429">
        <v>0.33</v>
      </c>
      <c r="AA623" s="429">
        <v>-0.56999999999999995</v>
      </c>
      <c r="AB623" s="363" t="e">
        <v>#N/A</v>
      </c>
      <c r="AC623" s="368">
        <v>0</v>
      </c>
      <c r="AD623" s="368">
        <v>0</v>
      </c>
      <c r="AE623" s="368">
        <v>0</v>
      </c>
      <c r="AF623" s="368">
        <v>0</v>
      </c>
      <c r="AG623" s="368">
        <v>0</v>
      </c>
      <c r="AH623" s="367" t="e">
        <f t="shared" si="31"/>
        <v>#N/A</v>
      </c>
      <c r="AI623" s="362" t="e">
        <f>ERP[[#This Row],[2026 Working Total]]-ERP[[#This Row],[LE2 Final Submission]]</f>
        <v>#N/A</v>
      </c>
      <c r="AJ623" s="227">
        <v>0</v>
      </c>
      <c r="AK623" s="227">
        <f t="shared" si="30"/>
        <v>-0.56999999999999995</v>
      </c>
      <c r="AL623" s="374">
        <f>SUM(ERP[[#This Row],[AP01]:[AP06]])-SUM(ERP[[#This Row],[AP01 LE2]:[AP06 LE2]])</f>
        <v>0.10000000000000003</v>
      </c>
      <c r="AM623" s="80"/>
      <c r="AN623" s="79" t="e">
        <f>ERP[[#This Row],[2026 Working Total to Budget/LE]]-ERP[[#This Row],[Giveback]]</f>
        <v>#N/A</v>
      </c>
      <c r="AO623" s="81"/>
      <c r="AP623" s="375"/>
      <c r="AQ623" s="375">
        <v>0.42</v>
      </c>
      <c r="AR623" s="375">
        <v>-0.59</v>
      </c>
      <c r="AS623" s="375">
        <v>0</v>
      </c>
      <c r="AT623" s="375">
        <v>0</v>
      </c>
      <c r="AU623" s="375">
        <v>0</v>
      </c>
      <c r="AV623" s="375">
        <v>0</v>
      </c>
      <c r="AW623" s="375">
        <v>0</v>
      </c>
      <c r="AX623" s="375">
        <v>0</v>
      </c>
      <c r="AY623" s="375">
        <v>0</v>
      </c>
      <c r="AZ623" s="375">
        <v>0</v>
      </c>
      <c r="BA623" s="375">
        <v>0</v>
      </c>
      <c r="BB623" s="375">
        <v>-0.16999999999999998</v>
      </c>
      <c r="BC623" s="227"/>
      <c r="BD623" s="227">
        <v>0.42</v>
      </c>
      <c r="BE623" s="227">
        <v>-0.59</v>
      </c>
      <c r="BF623" s="227">
        <v>0</v>
      </c>
      <c r="BG623" s="227">
        <v>0</v>
      </c>
      <c r="BH623" s="227">
        <v>0</v>
      </c>
      <c r="BI623" s="227">
        <v>0</v>
      </c>
      <c r="BJ623" s="227">
        <v>0</v>
      </c>
      <c r="BK623" s="227">
        <v>0</v>
      </c>
      <c r="BL623" s="227">
        <v>0</v>
      </c>
      <c r="BM623" s="227">
        <v>0</v>
      </c>
      <c r="BN623" s="227">
        <v>0</v>
      </c>
      <c r="BO623" s="227">
        <v>-0.16999999999999998</v>
      </c>
    </row>
    <row r="624" spans="1:67" ht="15" customHeight="1">
      <c r="A624" s="215" t="s">
        <v>2599</v>
      </c>
      <c r="B624" s="215" t="s">
        <v>2600</v>
      </c>
      <c r="C624" s="150" t="s">
        <v>1136</v>
      </c>
      <c r="D624" s="334" t="s">
        <v>1135</v>
      </c>
      <c r="E624" s="334" t="s">
        <v>1156</v>
      </c>
      <c r="F624" s="334" t="s">
        <v>1137</v>
      </c>
      <c r="G624" s="516" t="s">
        <v>639</v>
      </c>
      <c r="H624" s="398" t="s">
        <v>1327</v>
      </c>
      <c r="I624" s="343"/>
      <c r="J624" s="344"/>
      <c r="K624" s="219" t="s">
        <v>147</v>
      </c>
      <c r="L624" s="349"/>
      <c r="M624" s="343"/>
      <c r="N624" s="349"/>
      <c r="O624" s="334" t="s">
        <v>25</v>
      </c>
      <c r="P624" s="354"/>
      <c r="Q624" s="403"/>
      <c r="R624" s="406">
        <v>0</v>
      </c>
      <c r="S624" s="406">
        <v>0.26</v>
      </c>
      <c r="T624" s="425"/>
      <c r="U624" s="71"/>
      <c r="V624" s="408"/>
      <c r="W624" s="410"/>
      <c r="X624" s="410">
        <v>0.26</v>
      </c>
      <c r="Y624" s="428">
        <v>0</v>
      </c>
      <c r="Z624" s="429">
        <v>0</v>
      </c>
      <c r="AA624" s="429">
        <v>0</v>
      </c>
      <c r="AB624" s="363" t="e">
        <v>#N/A</v>
      </c>
      <c r="AC624" s="368">
        <v>0</v>
      </c>
      <c r="AD624" s="368">
        <v>0</v>
      </c>
      <c r="AE624" s="368">
        <v>0</v>
      </c>
      <c r="AF624" s="368">
        <v>0</v>
      </c>
      <c r="AG624" s="368">
        <v>0</v>
      </c>
      <c r="AH624" s="367" t="e">
        <f t="shared" si="31"/>
        <v>#N/A</v>
      </c>
      <c r="AI624" s="362" t="e">
        <f>ERP[[#This Row],[2026 Working Total]]-ERP[[#This Row],[LE2 Final Submission]]</f>
        <v>#N/A</v>
      </c>
      <c r="AJ624" s="227">
        <v>0</v>
      </c>
      <c r="AK624" s="227">
        <f t="shared" si="30"/>
        <v>0</v>
      </c>
      <c r="AL624" s="374">
        <f>SUM(ERP[[#This Row],[AP01]:[AP06]])-SUM(ERP[[#This Row],[AP01 LE2]:[AP06 LE2]])</f>
        <v>0</v>
      </c>
      <c r="AM624" s="80"/>
      <c r="AN624" s="79" t="e">
        <f>ERP[[#This Row],[2026 Working Total to Budget/LE]]-ERP[[#This Row],[Giveback]]</f>
        <v>#N/A</v>
      </c>
      <c r="AO624" s="81"/>
      <c r="AP624" s="375"/>
      <c r="AQ624" s="375"/>
      <c r="AR624" s="375">
        <v>0.26</v>
      </c>
      <c r="AS624" s="375">
        <v>0</v>
      </c>
      <c r="AT624" s="375">
        <v>0</v>
      </c>
      <c r="AU624" s="375">
        <v>0</v>
      </c>
      <c r="AV624" s="375">
        <v>0</v>
      </c>
      <c r="AW624" s="375">
        <v>0</v>
      </c>
      <c r="AX624" s="375">
        <v>0</v>
      </c>
      <c r="AY624" s="375">
        <v>0</v>
      </c>
      <c r="AZ624" s="375">
        <v>0</v>
      </c>
      <c r="BA624" s="375">
        <v>0</v>
      </c>
      <c r="BB624" s="375">
        <v>0.26</v>
      </c>
      <c r="BC624" s="227"/>
      <c r="BD624" s="227"/>
      <c r="BE624" s="227">
        <v>0.26</v>
      </c>
      <c r="BF624" s="227">
        <v>0</v>
      </c>
      <c r="BG624" s="227">
        <v>0</v>
      </c>
      <c r="BH624" s="227">
        <v>0</v>
      </c>
      <c r="BI624" s="227">
        <v>0</v>
      </c>
      <c r="BJ624" s="227">
        <v>0</v>
      </c>
      <c r="BK624" s="227">
        <v>0</v>
      </c>
      <c r="BL624" s="227">
        <v>0</v>
      </c>
      <c r="BM624" s="227">
        <v>0</v>
      </c>
      <c r="BN624" s="227">
        <v>0</v>
      </c>
      <c r="BO624" s="227">
        <v>0.26</v>
      </c>
    </row>
    <row r="625" spans="1:67" ht="15" customHeight="1">
      <c r="A625" s="215" t="s">
        <v>2601</v>
      </c>
      <c r="B625" s="215" t="s">
        <v>2602</v>
      </c>
      <c r="C625" s="150" t="s">
        <v>1136</v>
      </c>
      <c r="D625" s="334" t="s">
        <v>1135</v>
      </c>
      <c r="E625" s="334" t="s">
        <v>1161</v>
      </c>
      <c r="F625" s="334" t="s">
        <v>1137</v>
      </c>
      <c r="G625" s="516" t="s">
        <v>639</v>
      </c>
      <c r="H625" s="398" t="s">
        <v>1327</v>
      </c>
      <c r="I625" s="343"/>
      <c r="J625" s="344"/>
      <c r="K625" s="219" t="s">
        <v>147</v>
      </c>
      <c r="L625" s="349"/>
      <c r="M625" s="343"/>
      <c r="N625" s="349"/>
      <c r="O625" s="334" t="s">
        <v>25</v>
      </c>
      <c r="P625" s="354"/>
      <c r="Q625" s="403"/>
      <c r="R625" s="406">
        <v>0</v>
      </c>
      <c r="S625" s="406">
        <v>0.13</v>
      </c>
      <c r="T625" s="425"/>
      <c r="U625" s="71"/>
      <c r="V625" s="408"/>
      <c r="W625" s="410"/>
      <c r="X625" s="410">
        <v>0.13</v>
      </c>
      <c r="Y625" s="428">
        <v>0</v>
      </c>
      <c r="Z625" s="429">
        <v>0</v>
      </c>
      <c r="AA625" s="429">
        <v>0.13</v>
      </c>
      <c r="AB625" s="363" t="e">
        <v>#N/A</v>
      </c>
      <c r="AC625" s="368">
        <v>0</v>
      </c>
      <c r="AD625" s="368">
        <v>0</v>
      </c>
      <c r="AE625" s="368">
        <v>0</v>
      </c>
      <c r="AF625" s="368">
        <v>0</v>
      </c>
      <c r="AG625" s="368">
        <v>0</v>
      </c>
      <c r="AH625" s="367" t="e">
        <f t="shared" si="31"/>
        <v>#N/A</v>
      </c>
      <c r="AI625" s="362" t="e">
        <f>ERP[[#This Row],[2026 Working Total]]-ERP[[#This Row],[LE2 Final Submission]]</f>
        <v>#N/A</v>
      </c>
      <c r="AJ625" s="227">
        <v>0</v>
      </c>
      <c r="AK625" s="227">
        <f t="shared" si="30"/>
        <v>0.13</v>
      </c>
      <c r="AL625" s="374">
        <f>SUM(ERP[[#This Row],[AP01]:[AP06]])-SUM(ERP[[#This Row],[AP01 LE2]:[AP06 LE2]])</f>
        <v>0.13</v>
      </c>
      <c r="AM625" s="80"/>
      <c r="AN625" s="79" t="e">
        <f>ERP[[#This Row],[2026 Working Total to Budget/LE]]-ERP[[#This Row],[Giveback]]</f>
        <v>#N/A</v>
      </c>
      <c r="AO625" s="81"/>
      <c r="AP625" s="375"/>
      <c r="AQ625" s="375"/>
      <c r="AR625" s="375">
        <v>0.13</v>
      </c>
      <c r="AS625" s="375">
        <v>0</v>
      </c>
      <c r="AT625" s="375">
        <v>0</v>
      </c>
      <c r="AU625" s="375">
        <v>0</v>
      </c>
      <c r="AV625" s="375">
        <v>0</v>
      </c>
      <c r="AW625" s="375">
        <v>0</v>
      </c>
      <c r="AX625" s="375">
        <v>0</v>
      </c>
      <c r="AY625" s="375">
        <v>0</v>
      </c>
      <c r="AZ625" s="375">
        <v>0</v>
      </c>
      <c r="BA625" s="375">
        <v>0</v>
      </c>
      <c r="BB625" s="375">
        <v>0.13</v>
      </c>
      <c r="BC625" s="227"/>
      <c r="BD625" s="227"/>
      <c r="BE625" s="227">
        <v>0.13</v>
      </c>
      <c r="BF625" s="227">
        <v>0</v>
      </c>
      <c r="BG625" s="227">
        <v>0</v>
      </c>
      <c r="BH625" s="227">
        <v>0</v>
      </c>
      <c r="BI625" s="227">
        <v>0</v>
      </c>
      <c r="BJ625" s="227">
        <v>0</v>
      </c>
      <c r="BK625" s="227">
        <v>0</v>
      </c>
      <c r="BL625" s="227">
        <v>0</v>
      </c>
      <c r="BM625" s="227">
        <v>0</v>
      </c>
      <c r="BN625" s="227">
        <v>0</v>
      </c>
      <c r="BO625" s="227">
        <v>0.13</v>
      </c>
    </row>
    <row r="626" spans="1:67" ht="15" customHeight="1">
      <c r="A626" s="215" t="s">
        <v>1511</v>
      </c>
      <c r="B626" s="264" t="s">
        <v>1512</v>
      </c>
      <c r="C626" s="150" t="s">
        <v>1136</v>
      </c>
      <c r="D626" s="340" t="s">
        <v>1345</v>
      </c>
      <c r="E626" s="341" t="s">
        <v>1481</v>
      </c>
      <c r="F626" s="334" t="s">
        <v>1346</v>
      </c>
      <c r="G626" s="519" t="s">
        <v>49</v>
      </c>
      <c r="H626" s="400" t="s">
        <v>1327</v>
      </c>
      <c r="I626" s="343"/>
      <c r="J626" s="344"/>
      <c r="K626" s="269" t="s">
        <v>147</v>
      </c>
      <c r="L626" s="349"/>
      <c r="M626" s="343"/>
      <c r="N626" s="349"/>
      <c r="O626" s="341" t="s">
        <v>25</v>
      </c>
      <c r="P626" s="390" t="s">
        <v>1513</v>
      </c>
      <c r="Q626" s="404"/>
      <c r="R626" s="407">
        <v>0</v>
      </c>
      <c r="S626" s="407">
        <v>0</v>
      </c>
      <c r="T626" s="425"/>
      <c r="U626" s="71"/>
      <c r="V626" s="417"/>
      <c r="W626" s="417">
        <v>-0.1</v>
      </c>
      <c r="X626" s="417">
        <v>0.1</v>
      </c>
      <c r="Y626" s="428">
        <v>-0.32</v>
      </c>
      <c r="Z626" s="429">
        <v>0.81</v>
      </c>
      <c r="AA626" s="429">
        <v>-0.28000000000000003</v>
      </c>
      <c r="AB626" s="363" t="e">
        <v>#N/A</v>
      </c>
      <c r="AC626" s="373"/>
      <c r="AD626" s="373"/>
      <c r="AE626" s="373"/>
      <c r="AF626" s="373"/>
      <c r="AG626" s="373"/>
      <c r="AH626" s="367" t="e">
        <f t="shared" si="31"/>
        <v>#N/A</v>
      </c>
      <c r="AI626" s="362" t="e">
        <f>ERP[[#This Row],[2026 Working Total]]-ERP[[#This Row],[LE2 Final Submission]]</f>
        <v>#N/A</v>
      </c>
      <c r="AJ626" s="227"/>
      <c r="AK626" s="227">
        <f t="shared" si="30"/>
        <v>-0.28000000000000003</v>
      </c>
      <c r="AL626" s="374">
        <f>SUM(ERP[[#This Row],[AP01]:[AP06]])-SUM(ERP[[#This Row],[AP01 LE2]:[AP06 LE2]])</f>
        <v>0.21000000000000002</v>
      </c>
      <c r="AM626" s="80"/>
      <c r="AN626" s="79" t="e">
        <f>ERP[[#This Row],[2026 Working Total to Budget/LE]]-ERP[[#This Row],[Giveback]]</f>
        <v>#N/A</v>
      </c>
      <c r="AO626" s="81"/>
      <c r="AP626" s="375"/>
      <c r="AQ626" s="375">
        <v>-0.1</v>
      </c>
      <c r="AR626" s="375">
        <v>0.1</v>
      </c>
      <c r="AS626" s="375"/>
      <c r="AT626" s="375"/>
      <c r="AU626" s="375"/>
      <c r="AV626" s="375"/>
      <c r="AW626" s="375"/>
      <c r="AX626" s="375"/>
      <c r="AY626" s="375"/>
      <c r="AZ626" s="375"/>
      <c r="BA626" s="375"/>
      <c r="BB626" s="375">
        <v>0</v>
      </c>
      <c r="BC626" s="276"/>
      <c r="BD626" s="276">
        <v>-0.1</v>
      </c>
      <c r="BE626" s="276">
        <v>0.1</v>
      </c>
      <c r="BF626" s="276"/>
      <c r="BG626" s="276"/>
      <c r="BH626" s="276"/>
      <c r="BI626" s="276"/>
      <c r="BJ626" s="276"/>
      <c r="BK626" s="276"/>
      <c r="BL626" s="276"/>
      <c r="BM626" s="276"/>
      <c r="BN626" s="276"/>
      <c r="BO626" s="227">
        <v>0</v>
      </c>
    </row>
    <row r="627" spans="1:67" ht="15" customHeight="1">
      <c r="A627" s="215" t="s">
        <v>2741</v>
      </c>
      <c r="B627" s="264" t="s">
        <v>2742</v>
      </c>
      <c r="C627" s="150" t="s">
        <v>1136</v>
      </c>
      <c r="D627" s="340" t="s">
        <v>1345</v>
      </c>
      <c r="E627" s="341" t="s">
        <v>1481</v>
      </c>
      <c r="F627" s="334" t="s">
        <v>1346</v>
      </c>
      <c r="G627" s="519" t="s">
        <v>639</v>
      </c>
      <c r="H627" s="400" t="s">
        <v>1327</v>
      </c>
      <c r="I627" s="343"/>
      <c r="J627" s="344"/>
      <c r="K627" s="269" t="s">
        <v>147</v>
      </c>
      <c r="L627" s="349"/>
      <c r="M627" s="343"/>
      <c r="N627" s="349"/>
      <c r="O627" s="341" t="s">
        <v>25</v>
      </c>
      <c r="P627" s="390" t="s">
        <v>1513</v>
      </c>
      <c r="Q627" s="403"/>
      <c r="R627" s="406">
        <v>0</v>
      </c>
      <c r="S627" s="406">
        <v>0.36</v>
      </c>
      <c r="T627" s="425"/>
      <c r="U627" s="71"/>
      <c r="V627" s="417"/>
      <c r="W627" s="417"/>
      <c r="X627" s="417">
        <v>0.36</v>
      </c>
      <c r="Y627" s="428">
        <v>0</v>
      </c>
      <c r="Z627" s="429">
        <v>0</v>
      </c>
      <c r="AA627" s="429">
        <v>0</v>
      </c>
      <c r="AB627" s="363" t="e">
        <v>#N/A</v>
      </c>
      <c r="AC627" s="372">
        <v>0</v>
      </c>
      <c r="AD627" s="372">
        <v>0</v>
      </c>
      <c r="AE627" s="372">
        <v>0</v>
      </c>
      <c r="AF627" s="372">
        <v>0</v>
      </c>
      <c r="AG627" s="372">
        <v>0</v>
      </c>
      <c r="AH627" s="367" t="e">
        <f t="shared" si="31"/>
        <v>#N/A</v>
      </c>
      <c r="AI627" s="362" t="e">
        <f>ERP[[#This Row],[2026 Working Total]]-ERP[[#This Row],[LE2 Final Submission]]</f>
        <v>#N/A</v>
      </c>
      <c r="AJ627" s="227">
        <v>0</v>
      </c>
      <c r="AK627" s="227">
        <f t="shared" si="30"/>
        <v>0</v>
      </c>
      <c r="AL627" s="374">
        <f>SUM(ERP[[#This Row],[AP01]:[AP06]])-SUM(ERP[[#This Row],[AP01 LE2]:[AP06 LE2]])</f>
        <v>0</v>
      </c>
      <c r="AM627" s="80"/>
      <c r="AN627" s="79" t="e">
        <f>ERP[[#This Row],[2026 Working Total to Budget/LE]]-ERP[[#This Row],[Giveback]]</f>
        <v>#N/A</v>
      </c>
      <c r="AO627" s="81"/>
      <c r="AP627" s="375"/>
      <c r="AQ627" s="375"/>
      <c r="AR627" s="375">
        <v>0.36</v>
      </c>
      <c r="AS627" s="375">
        <v>0</v>
      </c>
      <c r="AT627" s="375">
        <v>0</v>
      </c>
      <c r="AU627" s="375">
        <v>0</v>
      </c>
      <c r="AV627" s="375">
        <v>0</v>
      </c>
      <c r="AW627" s="375">
        <v>0</v>
      </c>
      <c r="AX627" s="375">
        <v>0</v>
      </c>
      <c r="AY627" s="375">
        <v>0</v>
      </c>
      <c r="AZ627" s="375">
        <v>0</v>
      </c>
      <c r="BA627" s="375">
        <v>0</v>
      </c>
      <c r="BB627" s="375">
        <v>0.36</v>
      </c>
      <c r="BC627" s="276"/>
      <c r="BD627" s="276"/>
      <c r="BE627" s="276">
        <v>0.36</v>
      </c>
      <c r="BF627" s="276">
        <v>0</v>
      </c>
      <c r="BG627" s="276">
        <v>0</v>
      </c>
      <c r="BH627" s="276">
        <v>0</v>
      </c>
      <c r="BI627" s="276">
        <v>0</v>
      </c>
      <c r="BJ627" s="276">
        <v>0</v>
      </c>
      <c r="BK627" s="276">
        <v>0</v>
      </c>
      <c r="BL627" s="276">
        <v>0</v>
      </c>
      <c r="BM627" s="276">
        <v>0</v>
      </c>
      <c r="BN627" s="276">
        <v>0</v>
      </c>
      <c r="BO627" s="227">
        <v>0.36</v>
      </c>
    </row>
    <row r="628" spans="1:67" ht="15" customHeight="1">
      <c r="A628" s="215" t="s">
        <v>1445</v>
      </c>
      <c r="B628" s="264" t="s">
        <v>1446</v>
      </c>
      <c r="C628" s="150" t="s">
        <v>1136</v>
      </c>
      <c r="D628" s="340" t="s">
        <v>1345</v>
      </c>
      <c r="E628" s="341" t="s">
        <v>1437</v>
      </c>
      <c r="F628" s="334" t="s">
        <v>1346</v>
      </c>
      <c r="G628" s="519" t="s">
        <v>49</v>
      </c>
      <c r="H628" s="400" t="s">
        <v>1327</v>
      </c>
      <c r="I628" s="343"/>
      <c r="J628" s="344"/>
      <c r="K628" s="269" t="s">
        <v>147</v>
      </c>
      <c r="L628" s="349"/>
      <c r="M628" s="343"/>
      <c r="N628" s="349"/>
      <c r="O628" s="341" t="s">
        <v>25</v>
      </c>
      <c r="P628" s="354"/>
      <c r="Q628" s="403"/>
      <c r="R628" s="406">
        <v>0</v>
      </c>
      <c r="S628" s="406">
        <v>0.33999999999999997</v>
      </c>
      <c r="T628" s="425"/>
      <c r="U628" s="71"/>
      <c r="V628" s="417">
        <v>-0.1</v>
      </c>
      <c r="W628" s="418">
        <v>0</v>
      </c>
      <c r="X628" s="417">
        <v>0.44</v>
      </c>
      <c r="Y628" s="428">
        <v>0</v>
      </c>
      <c r="Z628" s="429">
        <v>0</v>
      </c>
      <c r="AA628" s="429">
        <v>0</v>
      </c>
      <c r="AB628" s="363" t="e">
        <v>#N/A</v>
      </c>
      <c r="AC628" s="372">
        <v>0</v>
      </c>
      <c r="AD628" s="372">
        <v>0</v>
      </c>
      <c r="AE628" s="372">
        <v>0</v>
      </c>
      <c r="AF628" s="372">
        <v>0</v>
      </c>
      <c r="AG628" s="372">
        <v>0</v>
      </c>
      <c r="AH628" s="367" t="e">
        <f t="shared" si="31"/>
        <v>#N/A</v>
      </c>
      <c r="AI628" s="362" t="e">
        <f>ERP[[#This Row],[2026 Working Total]]-ERP[[#This Row],[LE2 Final Submission]]</f>
        <v>#N/A</v>
      </c>
      <c r="AJ628" s="227">
        <v>0</v>
      </c>
      <c r="AK628" s="227">
        <f t="shared" si="30"/>
        <v>0</v>
      </c>
      <c r="AL628" s="374">
        <f>SUM(ERP[[#This Row],[AP01]:[AP06]])-SUM(ERP[[#This Row],[AP01 LE2]:[AP06 LE2]])</f>
        <v>0</v>
      </c>
      <c r="AM628" s="80"/>
      <c r="AN628" s="79" t="e">
        <f>ERP[[#This Row],[2026 Working Total to Budget/LE]]-ERP[[#This Row],[Giveback]]</f>
        <v>#N/A</v>
      </c>
      <c r="AO628" s="81"/>
      <c r="AP628" s="375">
        <v>-0.1</v>
      </c>
      <c r="AQ628" s="375">
        <v>0</v>
      </c>
      <c r="AR628" s="375">
        <v>0.44</v>
      </c>
      <c r="AS628" s="375">
        <v>0</v>
      </c>
      <c r="AT628" s="375">
        <v>0</v>
      </c>
      <c r="AU628" s="375">
        <v>0</v>
      </c>
      <c r="AV628" s="375">
        <v>0</v>
      </c>
      <c r="AW628" s="375">
        <v>0</v>
      </c>
      <c r="AX628" s="375">
        <v>0</v>
      </c>
      <c r="AY628" s="375">
        <v>0</v>
      </c>
      <c r="AZ628" s="375">
        <v>0</v>
      </c>
      <c r="BA628" s="375">
        <v>0</v>
      </c>
      <c r="BB628" s="375">
        <v>0.33999999999999997</v>
      </c>
      <c r="BC628" s="276">
        <v>-0.1</v>
      </c>
      <c r="BD628" s="276">
        <v>0</v>
      </c>
      <c r="BE628" s="276">
        <v>0.44</v>
      </c>
      <c r="BF628" s="276">
        <v>0</v>
      </c>
      <c r="BG628" s="276">
        <v>0</v>
      </c>
      <c r="BH628" s="276">
        <v>0</v>
      </c>
      <c r="BI628" s="276">
        <v>0</v>
      </c>
      <c r="BJ628" s="276">
        <v>0</v>
      </c>
      <c r="BK628" s="276">
        <v>0</v>
      </c>
      <c r="BL628" s="276">
        <v>0</v>
      </c>
      <c r="BM628" s="276">
        <v>0</v>
      </c>
      <c r="BN628" s="276">
        <v>0</v>
      </c>
      <c r="BO628" s="227">
        <v>0.33999999999999997</v>
      </c>
    </row>
    <row r="629" spans="1:67" ht="15" customHeight="1">
      <c r="A629" s="215" t="s">
        <v>2033</v>
      </c>
      <c r="B629" s="264" t="s">
        <v>2034</v>
      </c>
      <c r="C629" s="150" t="s">
        <v>1136</v>
      </c>
      <c r="D629" s="340" t="s">
        <v>1345</v>
      </c>
      <c r="E629" s="341" t="s">
        <v>1437</v>
      </c>
      <c r="F629" s="334" t="s">
        <v>1346</v>
      </c>
      <c r="G629" s="519" t="s">
        <v>389</v>
      </c>
      <c r="H629" s="400" t="s">
        <v>1327</v>
      </c>
      <c r="I629" s="343"/>
      <c r="J629" s="344"/>
      <c r="K629" s="269" t="s">
        <v>147</v>
      </c>
      <c r="L629" s="349"/>
      <c r="M629" s="343"/>
      <c r="N629" s="349"/>
      <c r="O629" s="341" t="s">
        <v>25</v>
      </c>
      <c r="P629" s="354"/>
      <c r="Q629" s="403"/>
      <c r="R629" s="406">
        <v>0</v>
      </c>
      <c r="S629" s="406">
        <v>-0.18000000000000002</v>
      </c>
      <c r="T629" s="425"/>
      <c r="U629" s="71"/>
      <c r="V629" s="417">
        <v>-0.24</v>
      </c>
      <c r="W629" s="417">
        <v>-0.17</v>
      </c>
      <c r="X629" s="417">
        <v>0.23</v>
      </c>
      <c r="Y629" s="428">
        <v>0.67</v>
      </c>
      <c r="Z629" s="429">
        <v>-0.61</v>
      </c>
      <c r="AA629" s="429">
        <v>-0.32</v>
      </c>
      <c r="AB629" s="363" t="e">
        <v>#N/A</v>
      </c>
      <c r="AC629" s="372">
        <v>0</v>
      </c>
      <c r="AD629" s="372">
        <v>0</v>
      </c>
      <c r="AE629" s="372">
        <v>0</v>
      </c>
      <c r="AF629" s="372">
        <v>0</v>
      </c>
      <c r="AG629" s="372">
        <v>0</v>
      </c>
      <c r="AH629" s="367" t="e">
        <f t="shared" si="31"/>
        <v>#N/A</v>
      </c>
      <c r="AI629" s="362" t="e">
        <f>ERP[[#This Row],[2026 Working Total]]-ERP[[#This Row],[LE2 Final Submission]]</f>
        <v>#N/A</v>
      </c>
      <c r="AJ629" s="227">
        <v>0</v>
      </c>
      <c r="AK629" s="227">
        <f t="shared" si="30"/>
        <v>-0.32</v>
      </c>
      <c r="AL629" s="374">
        <f>SUM(ERP[[#This Row],[AP01]:[AP06]])-SUM(ERP[[#This Row],[AP01 LE2]:[AP06 LE2]])</f>
        <v>-0.26</v>
      </c>
      <c r="AM629" s="80"/>
      <c r="AN629" s="79" t="e">
        <f>ERP[[#This Row],[2026 Working Total to Budget/LE]]-ERP[[#This Row],[Giveback]]</f>
        <v>#N/A</v>
      </c>
      <c r="AO629" s="81"/>
      <c r="AP629" s="375">
        <v>-0.24</v>
      </c>
      <c r="AQ629" s="375">
        <v>-0.17</v>
      </c>
      <c r="AR629" s="375">
        <v>0.23</v>
      </c>
      <c r="AS629" s="375">
        <v>0</v>
      </c>
      <c r="AT629" s="375">
        <v>0</v>
      </c>
      <c r="AU629" s="375">
        <v>0</v>
      </c>
      <c r="AV629" s="375">
        <v>0</v>
      </c>
      <c r="AW629" s="375">
        <v>0</v>
      </c>
      <c r="AX629" s="375">
        <v>0</v>
      </c>
      <c r="AY629" s="375">
        <v>0</v>
      </c>
      <c r="AZ629" s="375">
        <v>0</v>
      </c>
      <c r="BA629" s="375">
        <v>0</v>
      </c>
      <c r="BB629" s="375">
        <v>-0.18000000000000002</v>
      </c>
      <c r="BC629" s="276">
        <v>-0.24</v>
      </c>
      <c r="BD629" s="276">
        <v>-0.17</v>
      </c>
      <c r="BE629" s="276">
        <v>0.23</v>
      </c>
      <c r="BF629" s="276">
        <v>0</v>
      </c>
      <c r="BG629" s="276">
        <v>0</v>
      </c>
      <c r="BH629" s="276">
        <v>0</v>
      </c>
      <c r="BI629" s="276">
        <v>0</v>
      </c>
      <c r="BJ629" s="276">
        <v>0</v>
      </c>
      <c r="BK629" s="276">
        <v>0</v>
      </c>
      <c r="BL629" s="276">
        <v>0</v>
      </c>
      <c r="BM629" s="276">
        <v>0</v>
      </c>
      <c r="BN629" s="276">
        <v>0</v>
      </c>
      <c r="BO629" s="227">
        <v>-0.18000000000000002</v>
      </c>
    </row>
    <row r="630" spans="1:67" ht="15" customHeight="1">
      <c r="A630" s="215" t="s">
        <v>2700</v>
      </c>
      <c r="B630" s="264" t="s">
        <v>2701</v>
      </c>
      <c r="C630" s="150" t="s">
        <v>1136</v>
      </c>
      <c r="D630" s="340" t="s">
        <v>1345</v>
      </c>
      <c r="E630" s="341" t="s">
        <v>1437</v>
      </c>
      <c r="F630" s="334" t="s">
        <v>1346</v>
      </c>
      <c r="G630" s="519" t="s">
        <v>639</v>
      </c>
      <c r="H630" s="400" t="s">
        <v>1327</v>
      </c>
      <c r="I630" s="343"/>
      <c r="J630" s="344"/>
      <c r="K630" s="269" t="s">
        <v>147</v>
      </c>
      <c r="L630" s="349"/>
      <c r="M630" s="343"/>
      <c r="N630" s="349"/>
      <c r="O630" s="341" t="s">
        <v>25</v>
      </c>
      <c r="P630" s="354"/>
      <c r="Q630" s="403"/>
      <c r="R630" s="406">
        <v>0</v>
      </c>
      <c r="S630" s="406">
        <v>1.999999999999999E-2</v>
      </c>
      <c r="T630" s="425"/>
      <c r="U630" s="71"/>
      <c r="V630" s="417">
        <v>0.13</v>
      </c>
      <c r="W630" s="417">
        <v>0.09</v>
      </c>
      <c r="X630" s="417">
        <v>-0.2</v>
      </c>
      <c r="Y630" s="428">
        <v>0.13</v>
      </c>
      <c r="Z630" s="429">
        <v>-0.53</v>
      </c>
      <c r="AA630" s="429">
        <v>0.73</v>
      </c>
      <c r="AB630" s="363" t="e">
        <v>#N/A</v>
      </c>
      <c r="AC630" s="372">
        <v>0</v>
      </c>
      <c r="AD630" s="372">
        <v>0</v>
      </c>
      <c r="AE630" s="372">
        <v>0</v>
      </c>
      <c r="AF630" s="372">
        <v>0</v>
      </c>
      <c r="AG630" s="372">
        <v>0</v>
      </c>
      <c r="AH630" s="367" t="e">
        <f t="shared" si="31"/>
        <v>#N/A</v>
      </c>
      <c r="AI630" s="362" t="e">
        <f>ERP[[#This Row],[2026 Working Total]]-ERP[[#This Row],[LE2 Final Submission]]</f>
        <v>#N/A</v>
      </c>
      <c r="AJ630" s="227">
        <v>0</v>
      </c>
      <c r="AK630" s="227">
        <f t="shared" si="30"/>
        <v>0.73</v>
      </c>
      <c r="AL630" s="374">
        <f>SUM(ERP[[#This Row],[AP01]:[AP06]])-SUM(ERP[[#This Row],[AP01 LE2]:[AP06 LE2]])</f>
        <v>0.32999999999999996</v>
      </c>
      <c r="AM630" s="80"/>
      <c r="AN630" s="79" t="e">
        <f>ERP[[#This Row],[2026 Working Total to Budget/LE]]-ERP[[#This Row],[Giveback]]</f>
        <v>#N/A</v>
      </c>
      <c r="AO630" s="81"/>
      <c r="AP630" s="375">
        <v>0.13</v>
      </c>
      <c r="AQ630" s="375">
        <v>0.09</v>
      </c>
      <c r="AR630" s="375">
        <v>-0.2</v>
      </c>
      <c r="AS630" s="375">
        <v>0</v>
      </c>
      <c r="AT630" s="375">
        <v>0</v>
      </c>
      <c r="AU630" s="375">
        <v>0</v>
      </c>
      <c r="AV630" s="375">
        <v>0</v>
      </c>
      <c r="AW630" s="375">
        <v>0</v>
      </c>
      <c r="AX630" s="375">
        <v>0</v>
      </c>
      <c r="AY630" s="375">
        <v>0</v>
      </c>
      <c r="AZ630" s="375">
        <v>0</v>
      </c>
      <c r="BA630" s="375">
        <v>0</v>
      </c>
      <c r="BB630" s="375">
        <v>1.999999999999999E-2</v>
      </c>
      <c r="BC630" s="276">
        <v>0.13</v>
      </c>
      <c r="BD630" s="276">
        <v>0.09</v>
      </c>
      <c r="BE630" s="276">
        <v>-0.2</v>
      </c>
      <c r="BF630" s="276">
        <v>0</v>
      </c>
      <c r="BG630" s="276">
        <v>0</v>
      </c>
      <c r="BH630" s="276">
        <v>0</v>
      </c>
      <c r="BI630" s="276">
        <v>0</v>
      </c>
      <c r="BJ630" s="276">
        <v>0</v>
      </c>
      <c r="BK630" s="276">
        <v>0</v>
      </c>
      <c r="BL630" s="276">
        <v>0</v>
      </c>
      <c r="BM630" s="276">
        <v>0</v>
      </c>
      <c r="BN630" s="276">
        <v>0</v>
      </c>
      <c r="BO630" s="227">
        <v>1.999999999999999E-2</v>
      </c>
    </row>
    <row r="631" spans="1:67" ht="15" customHeight="1">
      <c r="A631" s="215" t="s">
        <v>2174</v>
      </c>
      <c r="B631" s="264" t="s">
        <v>2175</v>
      </c>
      <c r="C631" s="150" t="s">
        <v>1136</v>
      </c>
      <c r="D631" s="340" t="s">
        <v>1345</v>
      </c>
      <c r="E631" s="341" t="s">
        <v>1346</v>
      </c>
      <c r="F631" s="334" t="s">
        <v>1346</v>
      </c>
      <c r="G631" s="519" t="s">
        <v>602</v>
      </c>
      <c r="H631" s="400" t="s">
        <v>2176</v>
      </c>
      <c r="I631" s="343"/>
      <c r="J631" s="344"/>
      <c r="K631" s="269" t="s">
        <v>620</v>
      </c>
      <c r="L631" s="349"/>
      <c r="M631" s="343"/>
      <c r="N631" s="349"/>
      <c r="O631" s="341" t="s">
        <v>25</v>
      </c>
      <c r="P631" s="354"/>
      <c r="Q631" s="403"/>
      <c r="R631" s="406">
        <v>0</v>
      </c>
      <c r="S631" s="406">
        <v>614.69000000000005</v>
      </c>
      <c r="T631" s="430"/>
      <c r="U631" s="137"/>
      <c r="V631" s="417"/>
      <c r="W631" s="417">
        <v>260.76</v>
      </c>
      <c r="X631" s="417">
        <v>353.93</v>
      </c>
      <c r="Y631" s="428" t="s">
        <v>1142</v>
      </c>
      <c r="Z631" s="429">
        <v>0</v>
      </c>
      <c r="AA631" s="429">
        <v>0</v>
      </c>
      <c r="AB631" s="363" t="e">
        <v>#N/A</v>
      </c>
      <c r="AC631" s="372">
        <v>0</v>
      </c>
      <c r="AD631" s="372">
        <v>0</v>
      </c>
      <c r="AE631" s="372">
        <v>0</v>
      </c>
      <c r="AF631" s="372">
        <v>0</v>
      </c>
      <c r="AG631" s="372">
        <v>0</v>
      </c>
      <c r="AH631" s="367" t="e">
        <f t="shared" si="31"/>
        <v>#N/A</v>
      </c>
      <c r="AI631" s="362" t="e">
        <f>ERP[[#This Row],[2026 Working Total]]-ERP[[#This Row],[LE2 Final Submission]]</f>
        <v>#N/A</v>
      </c>
      <c r="AJ631" s="227">
        <v>0</v>
      </c>
      <c r="AK631" s="227">
        <f t="shared" si="30"/>
        <v>0</v>
      </c>
      <c r="AL631" s="374">
        <f>SUM(ERP[[#This Row],[AP01]:[AP06]])-SUM(ERP[[#This Row],[AP01 LE2]:[AP06 LE2]])</f>
        <v>0</v>
      </c>
      <c r="AM631" s="80"/>
      <c r="AN631" s="79" t="e">
        <f>ERP[[#This Row],[2026 Working Total to Budget/LE]]-ERP[[#This Row],[Giveback]]</f>
        <v>#N/A</v>
      </c>
      <c r="AO631" s="81"/>
      <c r="AP631" s="375"/>
      <c r="AQ631" s="375">
        <v>260.76</v>
      </c>
      <c r="AR631" s="375">
        <v>353.93</v>
      </c>
      <c r="AS631" s="375">
        <v>0</v>
      </c>
      <c r="AT631" s="375">
        <v>0</v>
      </c>
      <c r="AU631" s="375">
        <v>0</v>
      </c>
      <c r="AV631" s="375">
        <v>0</v>
      </c>
      <c r="AW631" s="375">
        <v>0</v>
      </c>
      <c r="AX631" s="375">
        <v>0</v>
      </c>
      <c r="AY631" s="375">
        <v>0</v>
      </c>
      <c r="AZ631" s="375">
        <v>0</v>
      </c>
      <c r="BA631" s="375">
        <v>0</v>
      </c>
      <c r="BB631" s="375">
        <v>614.69000000000005</v>
      </c>
      <c r="BC631" s="276"/>
      <c r="BD631" s="276">
        <v>260.76</v>
      </c>
      <c r="BE631" s="276">
        <v>353.93</v>
      </c>
      <c r="BF631" s="276">
        <v>0</v>
      </c>
      <c r="BG631" s="276">
        <v>0</v>
      </c>
      <c r="BH631" s="276">
        <v>0</v>
      </c>
      <c r="BI631" s="276">
        <v>0</v>
      </c>
      <c r="BJ631" s="276">
        <v>0</v>
      </c>
      <c r="BK631" s="276">
        <v>0</v>
      </c>
      <c r="BL631" s="276">
        <v>0</v>
      </c>
      <c r="BM631" s="276">
        <v>0</v>
      </c>
      <c r="BN631" s="276">
        <v>0</v>
      </c>
      <c r="BO631" s="227">
        <v>614.69000000000005</v>
      </c>
    </row>
    <row r="632" spans="1:67" ht="15" customHeight="1">
      <c r="A632" s="215" t="s">
        <v>2177</v>
      </c>
      <c r="B632" s="264" t="s">
        <v>2178</v>
      </c>
      <c r="C632" s="150" t="s">
        <v>1136</v>
      </c>
      <c r="D632" s="340" t="s">
        <v>1567</v>
      </c>
      <c r="E632" s="341" t="s">
        <v>1567</v>
      </c>
      <c r="F632" s="334" t="s">
        <v>1567</v>
      </c>
      <c r="G632" s="519" t="s">
        <v>602</v>
      </c>
      <c r="H632" s="400" t="s">
        <v>2176</v>
      </c>
      <c r="I632" s="343"/>
      <c r="J632" s="344"/>
      <c r="K632" s="269" t="s">
        <v>620</v>
      </c>
      <c r="L632" s="349"/>
      <c r="M632" s="343"/>
      <c r="N632" s="349"/>
      <c r="O632" s="341" t="s">
        <v>25</v>
      </c>
      <c r="P632" s="354"/>
      <c r="Q632" s="403"/>
      <c r="R632" s="406">
        <v>0</v>
      </c>
      <c r="S632" s="406">
        <v>11815.17</v>
      </c>
      <c r="T632" s="425"/>
      <c r="U632" s="71"/>
      <c r="V632" s="417"/>
      <c r="W632" s="417">
        <v>11815.17</v>
      </c>
      <c r="X632" s="418">
        <v>0</v>
      </c>
      <c r="Y632" s="428" t="s">
        <v>1142</v>
      </c>
      <c r="Z632" s="429">
        <v>0</v>
      </c>
      <c r="AA632" s="429">
        <v>0</v>
      </c>
      <c r="AB632" s="363" t="e">
        <v>#N/A</v>
      </c>
      <c r="AC632" s="372">
        <v>0</v>
      </c>
      <c r="AD632" s="372">
        <v>0</v>
      </c>
      <c r="AE632" s="372">
        <v>0</v>
      </c>
      <c r="AF632" s="372">
        <v>0</v>
      </c>
      <c r="AG632" s="372">
        <v>0</v>
      </c>
      <c r="AH632" s="367" t="e">
        <f t="shared" si="31"/>
        <v>#N/A</v>
      </c>
      <c r="AI632" s="362" t="e">
        <f>ERP[[#This Row],[2026 Working Total]]-ERP[[#This Row],[LE2 Final Submission]]</f>
        <v>#N/A</v>
      </c>
      <c r="AJ632" s="227">
        <v>0</v>
      </c>
      <c r="AK632" s="227">
        <f t="shared" si="30"/>
        <v>0</v>
      </c>
      <c r="AL632" s="374">
        <f>SUM(ERP[[#This Row],[AP01]:[AP06]])-SUM(ERP[[#This Row],[AP01 LE2]:[AP06 LE2]])</f>
        <v>0</v>
      </c>
      <c r="AM632" s="80"/>
      <c r="AN632" s="79" t="e">
        <f>ERP[[#This Row],[2026 Working Total to Budget/LE]]-ERP[[#This Row],[Giveback]]</f>
        <v>#N/A</v>
      </c>
      <c r="AO632" s="81"/>
      <c r="AP632" s="375"/>
      <c r="AQ632" s="375">
        <v>11815.17</v>
      </c>
      <c r="AR632" s="375">
        <v>0</v>
      </c>
      <c r="AS632" s="375">
        <v>0</v>
      </c>
      <c r="AT632" s="375">
        <v>0</v>
      </c>
      <c r="AU632" s="375">
        <v>0</v>
      </c>
      <c r="AV632" s="375">
        <v>0</v>
      </c>
      <c r="AW632" s="375">
        <v>0</v>
      </c>
      <c r="AX632" s="375">
        <v>0</v>
      </c>
      <c r="AY632" s="375">
        <v>0</v>
      </c>
      <c r="AZ632" s="375">
        <v>0</v>
      </c>
      <c r="BA632" s="375">
        <v>0</v>
      </c>
      <c r="BB632" s="375">
        <v>11815.17</v>
      </c>
      <c r="BC632" s="276"/>
      <c r="BD632" s="276">
        <v>11815.17</v>
      </c>
      <c r="BE632" s="276">
        <v>0</v>
      </c>
      <c r="BF632" s="276">
        <v>0</v>
      </c>
      <c r="BG632" s="276">
        <v>0</v>
      </c>
      <c r="BH632" s="276">
        <v>0</v>
      </c>
      <c r="BI632" s="276">
        <v>0</v>
      </c>
      <c r="BJ632" s="276">
        <v>0</v>
      </c>
      <c r="BK632" s="276">
        <v>0</v>
      </c>
      <c r="BL632" s="276">
        <v>0</v>
      </c>
      <c r="BM632" s="276">
        <v>0</v>
      </c>
      <c r="BN632" s="276">
        <v>0</v>
      </c>
      <c r="BO632" s="227">
        <v>11815.17</v>
      </c>
    </row>
    <row r="633" spans="1:67" ht="15" customHeight="1">
      <c r="A633" s="215" t="s">
        <v>2134</v>
      </c>
      <c r="B633" s="264" t="s">
        <v>2135</v>
      </c>
      <c r="C633" s="150" t="s">
        <v>1136</v>
      </c>
      <c r="D633" s="340" t="s">
        <v>1567</v>
      </c>
      <c r="E633" s="341" t="s">
        <v>1567</v>
      </c>
      <c r="F633" s="334" t="s">
        <v>1567</v>
      </c>
      <c r="G633" s="519" t="s">
        <v>389</v>
      </c>
      <c r="H633" s="400" t="s">
        <v>2136</v>
      </c>
      <c r="I633" s="343"/>
      <c r="J633" s="344"/>
      <c r="K633" s="70" t="s">
        <v>590</v>
      </c>
      <c r="L633" s="349"/>
      <c r="M633" s="343"/>
      <c r="N633" s="349"/>
      <c r="O633" s="341" t="s">
        <v>44</v>
      </c>
      <c r="P633" s="354"/>
      <c r="Q633" s="403"/>
      <c r="R633" s="406">
        <v>-338500</v>
      </c>
      <c r="S633" s="406">
        <v>-435500</v>
      </c>
      <c r="T633" s="425"/>
      <c r="U633" s="71"/>
      <c r="V633" s="417"/>
      <c r="W633" s="417"/>
      <c r="X633" s="417"/>
      <c r="Y633" s="428" t="s">
        <v>1142</v>
      </c>
      <c r="Z633" s="429">
        <v>0</v>
      </c>
      <c r="AA633" s="429">
        <v>0</v>
      </c>
      <c r="AB633" s="363" t="e">
        <v>#N/A</v>
      </c>
      <c r="AC633" s="372">
        <v>0</v>
      </c>
      <c r="AD633" s="373">
        <v>-203100</v>
      </c>
      <c r="AE633" s="372">
        <v>0</v>
      </c>
      <c r="AF633" s="372">
        <v>0</v>
      </c>
      <c r="AG633" s="373">
        <v>-97000</v>
      </c>
      <c r="AH633" s="367" t="e">
        <f t="shared" si="31"/>
        <v>#N/A</v>
      </c>
      <c r="AI633" s="362" t="e">
        <f>ERP[[#This Row],[2026 Working Total]]-ERP[[#This Row],[LE2 Final Submission]]</f>
        <v>#N/A</v>
      </c>
      <c r="AJ633" s="227">
        <v>0</v>
      </c>
      <c r="AK633" s="227">
        <f t="shared" si="30"/>
        <v>0</v>
      </c>
      <c r="AL633" s="374">
        <f>SUM(ERP[[#This Row],[AP01]:[AP06]])-SUM(ERP[[#This Row],[AP01 LE2]:[AP06 LE2]])</f>
        <v>135400</v>
      </c>
      <c r="AM633" s="80"/>
      <c r="AN633" s="79" t="e">
        <f>ERP[[#This Row],[2026 Working Total to Budget/LE]]-ERP[[#This Row],[Giveback]]</f>
        <v>#N/A</v>
      </c>
      <c r="AO633" s="81"/>
      <c r="AP633" s="375"/>
      <c r="AQ633" s="375"/>
      <c r="AR633" s="375"/>
      <c r="AS633" s="375"/>
      <c r="AT633" s="375"/>
      <c r="AU633" s="375">
        <v>-135400</v>
      </c>
      <c r="AV633" s="375">
        <v>0</v>
      </c>
      <c r="AW633" s="375">
        <v>0</v>
      </c>
      <c r="AX633" s="375">
        <v>-203100</v>
      </c>
      <c r="AY633" s="375">
        <v>0</v>
      </c>
      <c r="AZ633" s="375">
        <v>0</v>
      </c>
      <c r="BA633" s="375">
        <v>-97000</v>
      </c>
      <c r="BB633" s="375">
        <v>-435500</v>
      </c>
      <c r="BC633" s="276"/>
      <c r="BD633" s="276"/>
      <c r="BE633" s="276"/>
      <c r="BF633" s="276"/>
      <c r="BG633" s="276"/>
      <c r="BH633" s="276">
        <v>-135400</v>
      </c>
      <c r="BI633" s="276">
        <v>0</v>
      </c>
      <c r="BJ633" s="276">
        <v>0</v>
      </c>
      <c r="BK633" s="276">
        <v>-203100</v>
      </c>
      <c r="BL633" s="276">
        <v>0</v>
      </c>
      <c r="BM633" s="276">
        <v>0</v>
      </c>
      <c r="BN633" s="276">
        <v>-97000</v>
      </c>
      <c r="BO633" s="227">
        <v>-435500</v>
      </c>
    </row>
    <row r="634" spans="1:67" ht="15" customHeight="1">
      <c r="A634" s="342" t="s">
        <v>2167</v>
      </c>
      <c r="B634" s="460" t="s">
        <v>616</v>
      </c>
      <c r="C634" s="150" t="s">
        <v>1136</v>
      </c>
      <c r="D634" s="461" t="s">
        <v>1345</v>
      </c>
      <c r="E634" s="465" t="s">
        <v>1480</v>
      </c>
      <c r="F634" s="466" t="s">
        <v>1480</v>
      </c>
      <c r="G634" s="520" t="s">
        <v>602</v>
      </c>
      <c r="H634" s="468" t="s">
        <v>2168</v>
      </c>
      <c r="I634" s="333"/>
      <c r="J634" s="462" t="s">
        <v>1493</v>
      </c>
      <c r="K634" s="469" t="s">
        <v>610</v>
      </c>
      <c r="L634" s="470"/>
      <c r="M634" s="347"/>
      <c r="N634" s="463"/>
      <c r="O634" s="472"/>
      <c r="P634" s="474"/>
      <c r="Q634" s="402"/>
      <c r="R634" s="406"/>
      <c r="S634" s="406"/>
      <c r="T634" s="425"/>
      <c r="U634" s="71"/>
      <c r="V634" s="477"/>
      <c r="W634" s="477"/>
      <c r="X634" s="477"/>
      <c r="Y634" s="429"/>
      <c r="Z634" s="429">
        <v>693</v>
      </c>
      <c r="AA634" s="429">
        <v>0</v>
      </c>
      <c r="AB634" s="363" t="e">
        <v>#N/A</v>
      </c>
      <c r="AC634" s="478"/>
      <c r="AD634" s="478"/>
      <c r="AE634" s="478"/>
      <c r="AF634" s="478"/>
      <c r="AG634" s="478"/>
      <c r="AH634" s="367" t="e">
        <f t="shared" si="31"/>
        <v>#N/A</v>
      </c>
      <c r="AI634" s="362" t="e">
        <f>ERP[[#This Row],[2026 Working Total]]-ERP[[#This Row],[LE2 Final Submission]]</f>
        <v>#N/A</v>
      </c>
      <c r="AJ634" s="294"/>
      <c r="AK634" s="294">
        <f t="shared" si="30"/>
        <v>0</v>
      </c>
      <c r="AL634" s="374">
        <f>SUM(ERP[[#This Row],[AP01]:[AP06]])-SUM(ERP[[#This Row],[AP01 LE2]:[AP06 LE2]])</f>
        <v>693</v>
      </c>
      <c r="AM634" s="80"/>
      <c r="AN634" s="79" t="e">
        <f>ERP[[#This Row],[2026 Working Total to Budget/LE]]-ERP[[#This Row],[Giveback]]</f>
        <v>#N/A</v>
      </c>
      <c r="AO634" s="81"/>
      <c r="AP634" s="375"/>
      <c r="AQ634" s="375"/>
      <c r="AR634" s="375"/>
      <c r="AS634" s="375"/>
      <c r="AT634" s="375"/>
      <c r="AU634" s="375"/>
      <c r="AV634" s="375"/>
      <c r="AW634" s="375"/>
      <c r="AX634" s="375"/>
      <c r="AY634" s="375"/>
      <c r="AZ634" s="375"/>
      <c r="BA634" s="375"/>
      <c r="BB634" s="375"/>
      <c r="BC634" s="295"/>
      <c r="BD634" s="295"/>
      <c r="BE634" s="295"/>
      <c r="BF634" s="295"/>
      <c r="BG634" s="295"/>
      <c r="BH634" s="295"/>
      <c r="BI634" s="295"/>
      <c r="BJ634" s="295"/>
      <c r="BK634" s="295"/>
      <c r="BL634" s="295"/>
      <c r="BM634" s="295"/>
      <c r="BN634" s="295"/>
      <c r="BO634" s="227"/>
    </row>
    <row r="635" spans="1:67" ht="15" customHeight="1">
      <c r="A635" s="66" t="s">
        <v>1335</v>
      </c>
      <c r="B635" s="66" t="s">
        <v>1336</v>
      </c>
      <c r="C635" s="150" t="s">
        <v>1136</v>
      </c>
      <c r="D635" s="334" t="s">
        <v>1135</v>
      </c>
      <c r="E635" s="342" t="s">
        <v>1165</v>
      </c>
      <c r="F635" s="342" t="s">
        <v>1137</v>
      </c>
      <c r="G635" s="521" t="s">
        <v>49</v>
      </c>
      <c r="H635" s="451" t="s">
        <v>1327</v>
      </c>
      <c r="I635" s="343"/>
      <c r="J635" s="343"/>
      <c r="K635" s="70" t="s">
        <v>147</v>
      </c>
      <c r="L635" s="346"/>
      <c r="M635" s="343"/>
      <c r="N635" s="346"/>
      <c r="O635" s="150" t="s">
        <v>25</v>
      </c>
      <c r="P635" s="482" t="s">
        <v>1338</v>
      </c>
      <c r="Q635" s="403"/>
      <c r="R635" s="406">
        <v>0</v>
      </c>
      <c r="S635" s="406">
        <v>0.35000000000000003</v>
      </c>
      <c r="T635" s="425"/>
      <c r="U635" s="71"/>
      <c r="V635" s="530"/>
      <c r="W635" s="530">
        <v>0.01</v>
      </c>
      <c r="X635" s="530">
        <v>0.34</v>
      </c>
      <c r="Y635" s="531">
        <v>-0.67</v>
      </c>
      <c r="Z635" s="531">
        <v>0.2</v>
      </c>
      <c r="AA635" s="429">
        <v>8111.01</v>
      </c>
      <c r="AB635" s="363" t="e">
        <v>#N/A</v>
      </c>
      <c r="AC635" s="360">
        <v>0</v>
      </c>
      <c r="AD635" s="360">
        <v>0</v>
      </c>
      <c r="AE635" s="360">
        <v>0</v>
      </c>
      <c r="AF635" s="360">
        <v>0</v>
      </c>
      <c r="AG635" s="360">
        <v>0</v>
      </c>
      <c r="AH635" s="367" t="e">
        <f t="shared" si="31"/>
        <v>#N/A</v>
      </c>
      <c r="AI635" s="362" t="e">
        <f>ERP[[#This Row],[2026 Working Total]]-ERP[[#This Row],[LE2 Final Submission]]</f>
        <v>#N/A</v>
      </c>
      <c r="AJ635" s="79">
        <v>0</v>
      </c>
      <c r="AK635" s="79">
        <f t="shared" si="30"/>
        <v>8111.01</v>
      </c>
      <c r="AL635" s="374">
        <f>SUM(ERP[[#This Row],[AP01]:[AP06]])-SUM(ERP[[#This Row],[AP01 LE2]:[AP06 LE2]])</f>
        <v>8110.54</v>
      </c>
      <c r="AM635" s="80"/>
      <c r="AN635" s="79" t="e">
        <f>ERP[[#This Row],[2026 Working Total to Budget/LE]]-ERP[[#This Row],[Giveback]]</f>
        <v>#N/A</v>
      </c>
      <c r="AO635" s="81"/>
      <c r="AP635" s="375"/>
      <c r="AQ635" s="375">
        <v>0.01</v>
      </c>
      <c r="AR635" s="375">
        <v>0.34</v>
      </c>
      <c r="AS635" s="375">
        <v>0</v>
      </c>
      <c r="AT635" s="375">
        <v>0</v>
      </c>
      <c r="AU635" s="375">
        <v>0</v>
      </c>
      <c r="AV635" s="375">
        <v>0</v>
      </c>
      <c r="AW635" s="375">
        <v>0</v>
      </c>
      <c r="AX635" s="375">
        <v>0</v>
      </c>
      <c r="AY635" s="375">
        <v>0</v>
      </c>
      <c r="AZ635" s="375">
        <v>0</v>
      </c>
      <c r="BA635" s="375">
        <v>0</v>
      </c>
      <c r="BB635" s="375">
        <v>0.35000000000000003</v>
      </c>
      <c r="BC635" s="79"/>
      <c r="BD635" s="79">
        <v>0.01</v>
      </c>
      <c r="BE635" s="79">
        <v>0.34</v>
      </c>
      <c r="BF635" s="79">
        <v>0</v>
      </c>
      <c r="BG635" s="79">
        <v>0</v>
      </c>
      <c r="BH635" s="79">
        <v>0</v>
      </c>
      <c r="BI635" s="79">
        <v>0</v>
      </c>
      <c r="BJ635" s="79">
        <v>0</v>
      </c>
      <c r="BK635" s="79">
        <v>0</v>
      </c>
      <c r="BL635" s="79">
        <v>0</v>
      </c>
      <c r="BM635" s="79">
        <v>0</v>
      </c>
      <c r="BN635" s="79">
        <v>0</v>
      </c>
      <c r="BO635" s="79">
        <v>0.35000000000000003</v>
      </c>
    </row>
    <row r="636" spans="1:67" ht="15" customHeight="1">
      <c r="A636" s="66" t="s">
        <v>2180</v>
      </c>
      <c r="B636" s="66" t="s">
        <v>2181</v>
      </c>
      <c r="C636" s="150" t="s">
        <v>1136</v>
      </c>
      <c r="D636" s="342" t="s">
        <v>1345</v>
      </c>
      <c r="E636" s="342" t="s">
        <v>1346</v>
      </c>
      <c r="F636" s="342" t="s">
        <v>1346</v>
      </c>
      <c r="G636" s="521" t="s">
        <v>602</v>
      </c>
      <c r="H636" s="451" t="s">
        <v>611</v>
      </c>
      <c r="I636" s="343"/>
      <c r="J636" s="343"/>
      <c r="K636" s="70" t="s">
        <v>610</v>
      </c>
      <c r="L636" s="346"/>
      <c r="M636" s="343"/>
      <c r="N636" s="346"/>
      <c r="O636" s="150" t="s">
        <v>611</v>
      </c>
      <c r="P636" s="150"/>
      <c r="Q636" s="403"/>
      <c r="R636" s="406">
        <v>0</v>
      </c>
      <c r="S636" s="406">
        <v>9893.24</v>
      </c>
      <c r="T636" s="425"/>
      <c r="U636" s="71"/>
      <c r="V636" s="427">
        <v>478.59</v>
      </c>
      <c r="W636" s="427">
        <v>9120.75</v>
      </c>
      <c r="X636" s="427">
        <v>293.89999999999998</v>
      </c>
      <c r="Y636" s="428">
        <v>94.080000000000013</v>
      </c>
      <c r="Z636" s="429">
        <v>275.29999999999984</v>
      </c>
      <c r="AA636" s="429">
        <v>-458.89999999999986</v>
      </c>
      <c r="AB636" s="363" t="e">
        <v>#N/A</v>
      </c>
      <c r="AC636" s="360">
        <v>0</v>
      </c>
      <c r="AD636" s="360">
        <v>0</v>
      </c>
      <c r="AE636" s="360">
        <v>0</v>
      </c>
      <c r="AF636" s="360">
        <v>0</v>
      </c>
      <c r="AG636" s="360">
        <v>0</v>
      </c>
      <c r="AH636" s="367" t="e">
        <f t="shared" si="31"/>
        <v>#N/A</v>
      </c>
      <c r="AI636" s="455" t="e">
        <f>ERP[[#This Row],[2026 Working Total]]-ERP[[#This Row],[LE2 Final Submission]]</f>
        <v>#N/A</v>
      </c>
      <c r="AJ636" s="79">
        <v>0</v>
      </c>
      <c r="AK636" s="79">
        <f t="shared" si="30"/>
        <v>-458.89999999999986</v>
      </c>
      <c r="AL636" s="374">
        <f>SUM(ERP[[#This Row],[AP01]:[AP06]])-SUM(ERP[[#This Row],[AP01 LE2]:[AP06 LE2]])</f>
        <v>-89.520000000000437</v>
      </c>
      <c r="AM636" s="80"/>
      <c r="AN636" s="79" t="e">
        <f>ERP[[#This Row],[2026 Working Total to Budget/LE]]-ERP[[#This Row],[Giveback]]</f>
        <v>#N/A</v>
      </c>
      <c r="AO636" s="81"/>
      <c r="AP636" s="375">
        <v>478.59</v>
      </c>
      <c r="AQ636" s="375">
        <v>9120.75</v>
      </c>
      <c r="AR636" s="375">
        <v>293.89999999999998</v>
      </c>
      <c r="AS636" s="375">
        <v>0</v>
      </c>
      <c r="AT636" s="375">
        <v>0</v>
      </c>
      <c r="AU636" s="375">
        <v>0</v>
      </c>
      <c r="AV636" s="375">
        <v>0</v>
      </c>
      <c r="AW636" s="375">
        <v>0</v>
      </c>
      <c r="AX636" s="375">
        <v>0</v>
      </c>
      <c r="AY636" s="375">
        <v>0</v>
      </c>
      <c r="AZ636" s="375">
        <v>0</v>
      </c>
      <c r="BA636" s="375">
        <v>0</v>
      </c>
      <c r="BB636" s="375">
        <v>9893.24</v>
      </c>
      <c r="BC636" s="79">
        <v>478.59</v>
      </c>
      <c r="BD636" s="79">
        <v>9120.75</v>
      </c>
      <c r="BE636" s="79">
        <v>293.89999999999998</v>
      </c>
      <c r="BF636" s="79">
        <v>0</v>
      </c>
      <c r="BG636" s="79">
        <v>0</v>
      </c>
      <c r="BH636" s="79">
        <v>0</v>
      </c>
      <c r="BI636" s="79">
        <v>0</v>
      </c>
      <c r="BJ636" s="79">
        <v>0</v>
      </c>
      <c r="BK636" s="79">
        <v>0</v>
      </c>
      <c r="BL636" s="79">
        <v>0</v>
      </c>
      <c r="BM636" s="79">
        <v>0</v>
      </c>
      <c r="BN636" s="79">
        <v>0</v>
      </c>
      <c r="BO636" s="79">
        <v>9893.24</v>
      </c>
    </row>
    <row r="637" spans="1:67" ht="15" customHeight="1">
      <c r="A637" s="66" t="s">
        <v>2188</v>
      </c>
      <c r="B637" s="66" t="s">
        <v>2189</v>
      </c>
      <c r="C637" s="150" t="s">
        <v>1136</v>
      </c>
      <c r="D637" s="150" t="s">
        <v>1345</v>
      </c>
      <c r="E637" s="150" t="s">
        <v>1346</v>
      </c>
      <c r="F637" s="150" t="s">
        <v>1346</v>
      </c>
      <c r="G637" s="511" t="s">
        <v>625</v>
      </c>
      <c r="H637" s="392" t="s">
        <v>611</v>
      </c>
      <c r="I637" s="343"/>
      <c r="J637" s="343"/>
      <c r="K637" s="70" t="s">
        <v>610</v>
      </c>
      <c r="L637" s="346"/>
      <c r="M637" s="343"/>
      <c r="N637" s="346"/>
      <c r="O637" s="150" t="s">
        <v>611</v>
      </c>
      <c r="P637" s="150"/>
      <c r="Q637" s="403"/>
      <c r="R637" s="406">
        <v>0</v>
      </c>
      <c r="S637" s="406">
        <v>20.21</v>
      </c>
      <c r="T637" s="430"/>
      <c r="U637" s="137"/>
      <c r="V637" s="427">
        <v>16.29</v>
      </c>
      <c r="W637" s="431">
        <v>0</v>
      </c>
      <c r="X637" s="427">
        <v>3.92</v>
      </c>
      <c r="Y637" s="428" t="s">
        <v>1142</v>
      </c>
      <c r="Z637" s="429">
        <v>0</v>
      </c>
      <c r="AA637" s="429">
        <v>0</v>
      </c>
      <c r="AB637" s="363" t="e">
        <v>#N/A</v>
      </c>
      <c r="AC637" s="360">
        <v>0</v>
      </c>
      <c r="AD637" s="360">
        <v>0</v>
      </c>
      <c r="AE637" s="360">
        <v>0</v>
      </c>
      <c r="AF637" s="360">
        <v>0</v>
      </c>
      <c r="AG637" s="360">
        <v>0</v>
      </c>
      <c r="AH637" s="367" t="e">
        <f t="shared" si="31"/>
        <v>#N/A</v>
      </c>
      <c r="AI637" s="455" t="e">
        <f>ERP[[#This Row],[2026 Working Total]]-ERP[[#This Row],[LE2 Final Submission]]</f>
        <v>#N/A</v>
      </c>
      <c r="AJ637" s="79">
        <v>0</v>
      </c>
      <c r="AK637" s="79">
        <f t="shared" si="30"/>
        <v>0</v>
      </c>
      <c r="AL637" s="374">
        <f>SUM(ERP[[#This Row],[AP01]:[AP06]])-SUM(ERP[[#This Row],[AP01 LE2]:[AP06 LE2]])</f>
        <v>0</v>
      </c>
      <c r="AM637" s="80"/>
      <c r="AN637" s="79" t="e">
        <f>ERP[[#This Row],[2026 Working Total to Budget/LE]]-ERP[[#This Row],[Giveback]]</f>
        <v>#N/A</v>
      </c>
      <c r="AO637" s="81"/>
      <c r="AP637" s="375">
        <v>16.29</v>
      </c>
      <c r="AQ637" s="375">
        <v>0</v>
      </c>
      <c r="AR637" s="375">
        <v>3.92</v>
      </c>
      <c r="AS637" s="375">
        <v>0</v>
      </c>
      <c r="AT637" s="375">
        <v>0</v>
      </c>
      <c r="AU637" s="375">
        <v>0</v>
      </c>
      <c r="AV637" s="375">
        <v>0</v>
      </c>
      <c r="AW637" s="375">
        <v>0</v>
      </c>
      <c r="AX637" s="375">
        <v>0</v>
      </c>
      <c r="AY637" s="375">
        <v>0</v>
      </c>
      <c r="AZ637" s="375">
        <v>0</v>
      </c>
      <c r="BA637" s="375">
        <v>0</v>
      </c>
      <c r="BB637" s="375">
        <v>20.21</v>
      </c>
      <c r="BC637" s="79">
        <v>16.29</v>
      </c>
      <c r="BD637" s="79">
        <v>0</v>
      </c>
      <c r="BE637" s="79">
        <v>3.92</v>
      </c>
      <c r="BF637" s="79">
        <v>0</v>
      </c>
      <c r="BG637" s="79">
        <v>0</v>
      </c>
      <c r="BH637" s="79">
        <v>0</v>
      </c>
      <c r="BI637" s="79">
        <v>0</v>
      </c>
      <c r="BJ637" s="79">
        <v>0</v>
      </c>
      <c r="BK637" s="79">
        <v>0</v>
      </c>
      <c r="BL637" s="79">
        <v>0</v>
      </c>
      <c r="BM637" s="79">
        <v>0</v>
      </c>
      <c r="BN637" s="79">
        <v>0</v>
      </c>
      <c r="BO637" s="79">
        <v>20.21</v>
      </c>
    </row>
    <row r="638" spans="1:67" ht="15" customHeight="1">
      <c r="A638" s="66" t="s">
        <v>1961</v>
      </c>
      <c r="B638" s="66" t="s">
        <v>1962</v>
      </c>
      <c r="C638" s="150" t="s">
        <v>1136</v>
      </c>
      <c r="D638" s="150" t="s">
        <v>1135</v>
      </c>
      <c r="E638" s="150" t="s">
        <v>1165</v>
      </c>
      <c r="F638" s="150" t="s">
        <v>1137</v>
      </c>
      <c r="G638" s="511" t="s">
        <v>389</v>
      </c>
      <c r="H638" s="451" t="s">
        <v>1327</v>
      </c>
      <c r="I638" s="343"/>
      <c r="J638" s="343"/>
      <c r="K638" s="70" t="s">
        <v>147</v>
      </c>
      <c r="L638" s="346"/>
      <c r="M638" s="343"/>
      <c r="N638" s="346"/>
      <c r="O638" s="150" t="s">
        <v>25</v>
      </c>
      <c r="P638" s="482" t="s">
        <v>1338</v>
      </c>
      <c r="Q638" s="403"/>
      <c r="R638" s="406">
        <v>0</v>
      </c>
      <c r="S638" s="406">
        <v>39996</v>
      </c>
      <c r="T638" s="425"/>
      <c r="U638" s="71"/>
      <c r="V638" s="427">
        <v>0.22</v>
      </c>
      <c r="W638" s="427">
        <v>45000.28</v>
      </c>
      <c r="X638" s="427">
        <v>-5004.5</v>
      </c>
      <c r="Y638" s="428">
        <v>-0.6</v>
      </c>
      <c r="Z638" s="429">
        <v>-84995.74</v>
      </c>
      <c r="AA638" s="429">
        <v>44999.83</v>
      </c>
      <c r="AB638" s="363" t="e">
        <v>#N/A</v>
      </c>
      <c r="AC638" s="360">
        <v>0</v>
      </c>
      <c r="AD638" s="360">
        <v>0</v>
      </c>
      <c r="AE638" s="360">
        <v>0</v>
      </c>
      <c r="AF638" s="360">
        <v>0</v>
      </c>
      <c r="AG638" s="360">
        <v>0</v>
      </c>
      <c r="AH638" s="367" t="e">
        <f t="shared" si="31"/>
        <v>#N/A</v>
      </c>
      <c r="AI638" s="455" t="e">
        <f>ERP[[#This Row],[2026 Working Total]]-ERP[[#This Row],[LE2 Final Submission]]</f>
        <v>#N/A</v>
      </c>
      <c r="AJ638" s="79">
        <v>0</v>
      </c>
      <c r="AK638" s="79">
        <f t="shared" si="30"/>
        <v>44999.83</v>
      </c>
      <c r="AL638" s="374">
        <f>SUM(ERP[[#This Row],[AP01]:[AP06]])-SUM(ERP[[#This Row],[AP01 LE2]:[AP06 LE2]])</f>
        <v>-39996.51</v>
      </c>
      <c r="AM638" s="80"/>
      <c r="AN638" s="79" t="e">
        <f>ERP[[#This Row],[2026 Working Total to Budget/LE]]-ERP[[#This Row],[Giveback]]</f>
        <v>#N/A</v>
      </c>
      <c r="AO638" s="81"/>
      <c r="AP638" s="375">
        <v>0.22</v>
      </c>
      <c r="AQ638" s="375">
        <v>45000.28</v>
      </c>
      <c r="AR638" s="375">
        <v>-5004.5</v>
      </c>
      <c r="AS638" s="375">
        <v>0</v>
      </c>
      <c r="AT638" s="375">
        <v>0</v>
      </c>
      <c r="AU638" s="375">
        <v>0</v>
      </c>
      <c r="AV638" s="375">
        <v>0</v>
      </c>
      <c r="AW638" s="375">
        <v>0</v>
      </c>
      <c r="AX638" s="375">
        <v>0</v>
      </c>
      <c r="AY638" s="375">
        <v>0</v>
      </c>
      <c r="AZ638" s="375">
        <v>0</v>
      </c>
      <c r="BA638" s="375">
        <v>0</v>
      </c>
      <c r="BB638" s="375">
        <v>39996</v>
      </c>
      <c r="BC638" s="79">
        <v>0.22</v>
      </c>
      <c r="BD638" s="79">
        <v>45000.28</v>
      </c>
      <c r="BE638" s="79">
        <v>-5004.5</v>
      </c>
      <c r="BF638" s="79">
        <v>0</v>
      </c>
      <c r="BG638" s="79">
        <v>0</v>
      </c>
      <c r="BH638" s="79">
        <v>0</v>
      </c>
      <c r="BI638" s="79">
        <v>0</v>
      </c>
      <c r="BJ638" s="79">
        <v>0</v>
      </c>
      <c r="BK638" s="79">
        <v>0</v>
      </c>
      <c r="BL638" s="79">
        <v>0</v>
      </c>
      <c r="BM638" s="79">
        <v>0</v>
      </c>
      <c r="BN638" s="79">
        <v>0</v>
      </c>
      <c r="BO638" s="79">
        <v>39996</v>
      </c>
    </row>
    <row r="639" spans="1:67" ht="15" customHeight="1">
      <c r="A639" s="66" t="s">
        <v>2161</v>
      </c>
      <c r="B639" s="66" t="s">
        <v>612</v>
      </c>
      <c r="C639" s="150" t="s">
        <v>1136</v>
      </c>
      <c r="D639" s="150" t="s">
        <v>1345</v>
      </c>
      <c r="E639" s="150" t="s">
        <v>1344</v>
      </c>
      <c r="F639" s="150" t="s">
        <v>1346</v>
      </c>
      <c r="G639" s="511" t="s">
        <v>602</v>
      </c>
      <c r="H639" s="451" t="s">
        <v>611</v>
      </c>
      <c r="I639" s="343"/>
      <c r="J639" s="343"/>
      <c r="K639" s="70" t="s">
        <v>610</v>
      </c>
      <c r="L639" s="346"/>
      <c r="M639" s="343"/>
      <c r="N639" s="346"/>
      <c r="O639" s="150" t="s">
        <v>611</v>
      </c>
      <c r="P639" s="150"/>
      <c r="Q639" s="403"/>
      <c r="R639" s="406">
        <v>0</v>
      </c>
      <c r="S639" s="406">
        <v>85.04</v>
      </c>
      <c r="T639" s="425"/>
      <c r="U639" s="71"/>
      <c r="V639" s="427">
        <v>38.450000000000003</v>
      </c>
      <c r="W639" s="431">
        <v>0</v>
      </c>
      <c r="X639" s="427">
        <v>46.59</v>
      </c>
      <c r="Y639" s="428">
        <v>0</v>
      </c>
      <c r="Z639" s="429">
        <v>91.13</v>
      </c>
      <c r="AA639" s="429">
        <v>37.570000000000007</v>
      </c>
      <c r="AB639" s="363" t="e">
        <v>#N/A</v>
      </c>
      <c r="AC639" s="360">
        <v>0</v>
      </c>
      <c r="AD639" s="360">
        <v>0</v>
      </c>
      <c r="AE639" s="360">
        <v>0</v>
      </c>
      <c r="AF639" s="360">
        <v>0</v>
      </c>
      <c r="AG639" s="360">
        <v>0</v>
      </c>
      <c r="AH639" s="367" t="e">
        <f t="shared" si="31"/>
        <v>#N/A</v>
      </c>
      <c r="AI639" s="455" t="e">
        <f>ERP[[#This Row],[2026 Working Total]]-ERP[[#This Row],[LE2 Final Submission]]</f>
        <v>#N/A</v>
      </c>
      <c r="AJ639" s="79">
        <v>0</v>
      </c>
      <c r="AK639" s="79">
        <f t="shared" si="30"/>
        <v>37.570000000000007</v>
      </c>
      <c r="AL639" s="374">
        <f>SUM(ERP[[#This Row],[AP01]:[AP06]])-SUM(ERP[[#This Row],[AP01 LE2]:[AP06 LE2]])</f>
        <v>128.69999999999999</v>
      </c>
      <c r="AM639" s="80"/>
      <c r="AN639" s="79" t="e">
        <f>ERP[[#This Row],[2026 Working Total to Budget/LE]]-ERP[[#This Row],[Giveback]]</f>
        <v>#N/A</v>
      </c>
      <c r="AO639" s="81"/>
      <c r="AP639" s="375">
        <v>38.450000000000003</v>
      </c>
      <c r="AQ639" s="375">
        <v>0</v>
      </c>
      <c r="AR639" s="375">
        <v>46.59</v>
      </c>
      <c r="AS639" s="375">
        <v>0</v>
      </c>
      <c r="AT639" s="375">
        <v>0</v>
      </c>
      <c r="AU639" s="375">
        <v>0</v>
      </c>
      <c r="AV639" s="375">
        <v>0</v>
      </c>
      <c r="AW639" s="375">
        <v>0</v>
      </c>
      <c r="AX639" s="375">
        <v>0</v>
      </c>
      <c r="AY639" s="375">
        <v>0</v>
      </c>
      <c r="AZ639" s="375">
        <v>0</v>
      </c>
      <c r="BA639" s="375">
        <v>0</v>
      </c>
      <c r="BB639" s="375">
        <v>85.04</v>
      </c>
      <c r="BC639" s="79">
        <v>38.450000000000003</v>
      </c>
      <c r="BD639" s="79">
        <v>0</v>
      </c>
      <c r="BE639" s="79">
        <v>46.59</v>
      </c>
      <c r="BF639" s="79">
        <v>0</v>
      </c>
      <c r="BG639" s="79">
        <v>0</v>
      </c>
      <c r="BH639" s="79">
        <v>0</v>
      </c>
      <c r="BI639" s="79">
        <v>0</v>
      </c>
      <c r="BJ639" s="79">
        <v>0</v>
      </c>
      <c r="BK639" s="79">
        <v>0</v>
      </c>
      <c r="BL639" s="79">
        <v>0</v>
      </c>
      <c r="BM639" s="79">
        <v>0</v>
      </c>
      <c r="BN639" s="79">
        <v>0</v>
      </c>
      <c r="BO639" s="79">
        <v>85.04</v>
      </c>
    </row>
    <row r="640" spans="1:67" ht="15" customHeight="1">
      <c r="A640" s="66" t="s">
        <v>2162</v>
      </c>
      <c r="B640" s="66" t="s">
        <v>613</v>
      </c>
      <c r="C640" s="150" t="s">
        <v>1136</v>
      </c>
      <c r="D640" s="150" t="s">
        <v>1345</v>
      </c>
      <c r="E640" s="150" t="s">
        <v>1345</v>
      </c>
      <c r="F640" s="150" t="s">
        <v>1346</v>
      </c>
      <c r="G640" s="511" t="s">
        <v>602</v>
      </c>
      <c r="H640" s="451" t="s">
        <v>611</v>
      </c>
      <c r="I640" s="343"/>
      <c r="J640" s="343"/>
      <c r="K640" s="70" t="s">
        <v>610</v>
      </c>
      <c r="L640" s="346"/>
      <c r="M640" s="343"/>
      <c r="N640" s="346"/>
      <c r="O640" s="150" t="s">
        <v>611</v>
      </c>
      <c r="P640" s="150"/>
      <c r="Q640" s="403"/>
      <c r="R640" s="406">
        <v>0</v>
      </c>
      <c r="S640" s="406">
        <v>57</v>
      </c>
      <c r="T640" s="425"/>
      <c r="U640" s="71"/>
      <c r="V640" s="427">
        <v>57</v>
      </c>
      <c r="W640" s="431">
        <v>0</v>
      </c>
      <c r="X640" s="431">
        <v>0</v>
      </c>
      <c r="Y640" s="428">
        <v>0</v>
      </c>
      <c r="Z640" s="429">
        <v>16</v>
      </c>
      <c r="AA640" s="429">
        <v>0</v>
      </c>
      <c r="AB640" s="363" t="e">
        <v>#N/A</v>
      </c>
      <c r="AC640" s="360">
        <v>0</v>
      </c>
      <c r="AD640" s="360">
        <v>0</v>
      </c>
      <c r="AE640" s="360">
        <v>0</v>
      </c>
      <c r="AF640" s="360">
        <v>0</v>
      </c>
      <c r="AG640" s="360">
        <v>0</v>
      </c>
      <c r="AH640" s="367" t="e">
        <f t="shared" si="31"/>
        <v>#N/A</v>
      </c>
      <c r="AI640" s="455" t="e">
        <f>ERP[[#This Row],[2026 Working Total]]-ERP[[#This Row],[LE2 Final Submission]]</f>
        <v>#N/A</v>
      </c>
      <c r="AJ640" s="79">
        <v>0</v>
      </c>
      <c r="AK640" s="79">
        <f t="shared" si="30"/>
        <v>0</v>
      </c>
      <c r="AL640" s="374">
        <f>SUM(ERP[[#This Row],[AP01]:[AP06]])-SUM(ERP[[#This Row],[AP01 LE2]:[AP06 LE2]])</f>
        <v>16</v>
      </c>
      <c r="AM640" s="80"/>
      <c r="AN640" s="79" t="e">
        <f>ERP[[#This Row],[2026 Working Total to Budget/LE]]-ERP[[#This Row],[Giveback]]</f>
        <v>#N/A</v>
      </c>
      <c r="AO640" s="81"/>
      <c r="AP640" s="375">
        <v>57</v>
      </c>
      <c r="AQ640" s="375">
        <v>0</v>
      </c>
      <c r="AR640" s="375">
        <v>0</v>
      </c>
      <c r="AS640" s="375">
        <v>0</v>
      </c>
      <c r="AT640" s="375">
        <v>0</v>
      </c>
      <c r="AU640" s="375">
        <v>0</v>
      </c>
      <c r="AV640" s="375">
        <v>0</v>
      </c>
      <c r="AW640" s="375">
        <v>0</v>
      </c>
      <c r="AX640" s="375">
        <v>0</v>
      </c>
      <c r="AY640" s="375">
        <v>0</v>
      </c>
      <c r="AZ640" s="375">
        <v>0</v>
      </c>
      <c r="BA640" s="375">
        <v>0</v>
      </c>
      <c r="BB640" s="375">
        <v>57</v>
      </c>
      <c r="BC640" s="79">
        <v>57</v>
      </c>
      <c r="BD640" s="79">
        <v>0</v>
      </c>
      <c r="BE640" s="79">
        <v>0</v>
      </c>
      <c r="BF640" s="79">
        <v>0</v>
      </c>
      <c r="BG640" s="79">
        <v>0</v>
      </c>
      <c r="BH640" s="79">
        <v>0</v>
      </c>
      <c r="BI640" s="79">
        <v>0</v>
      </c>
      <c r="BJ640" s="79">
        <v>0</v>
      </c>
      <c r="BK640" s="79">
        <v>0</v>
      </c>
      <c r="BL640" s="79">
        <v>0</v>
      </c>
      <c r="BM640" s="79">
        <v>0</v>
      </c>
      <c r="BN640" s="79">
        <v>0</v>
      </c>
      <c r="BO640" s="79">
        <v>57</v>
      </c>
    </row>
    <row r="641" spans="1:67" ht="15" customHeight="1">
      <c r="A641" s="66" t="s">
        <v>2169</v>
      </c>
      <c r="B641" s="66" t="s">
        <v>617</v>
      </c>
      <c r="C641" s="150" t="s">
        <v>1136</v>
      </c>
      <c r="D641" s="150" t="s">
        <v>1345</v>
      </c>
      <c r="E641" s="150" t="s">
        <v>1515</v>
      </c>
      <c r="F641" s="150" t="s">
        <v>1346</v>
      </c>
      <c r="G641" s="511" t="s">
        <v>602</v>
      </c>
      <c r="H641" s="451" t="s">
        <v>611</v>
      </c>
      <c r="I641" s="343"/>
      <c r="J641" s="343"/>
      <c r="K641" s="70" t="s">
        <v>610</v>
      </c>
      <c r="L641" s="346"/>
      <c r="M641" s="343"/>
      <c r="N641" s="346"/>
      <c r="O641" s="150" t="s">
        <v>611</v>
      </c>
      <c r="P641" s="150"/>
      <c r="Q641" s="403"/>
      <c r="R641" s="406">
        <v>0</v>
      </c>
      <c r="S641" s="406">
        <v>414.36</v>
      </c>
      <c r="T641" s="425"/>
      <c r="U641" s="71"/>
      <c r="V641" s="427"/>
      <c r="W641" s="427"/>
      <c r="X641" s="427">
        <v>414.36</v>
      </c>
      <c r="Y641" s="428">
        <v>0</v>
      </c>
      <c r="Z641" s="429">
        <v>0</v>
      </c>
      <c r="AA641" s="429">
        <v>0</v>
      </c>
      <c r="AB641" s="363" t="e">
        <v>#N/A</v>
      </c>
      <c r="AC641" s="360">
        <v>0</v>
      </c>
      <c r="AD641" s="360">
        <v>0</v>
      </c>
      <c r="AE641" s="360">
        <v>0</v>
      </c>
      <c r="AF641" s="360">
        <v>0</v>
      </c>
      <c r="AG641" s="360">
        <v>0</v>
      </c>
      <c r="AH641" s="367" t="e">
        <f t="shared" si="31"/>
        <v>#N/A</v>
      </c>
      <c r="AI641" s="455" t="e">
        <f>ERP[[#This Row],[2026 Working Total]]-ERP[[#This Row],[LE2 Final Submission]]</f>
        <v>#N/A</v>
      </c>
      <c r="AJ641" s="79">
        <v>0</v>
      </c>
      <c r="AK641" s="79">
        <f t="shared" si="30"/>
        <v>0</v>
      </c>
      <c r="AL641" s="374">
        <f>SUM(ERP[[#This Row],[AP01]:[AP06]])-SUM(ERP[[#This Row],[AP01 LE2]:[AP06 LE2]])</f>
        <v>0</v>
      </c>
      <c r="AM641" s="80"/>
      <c r="AN641" s="79" t="e">
        <f>ERP[[#This Row],[2026 Working Total to Budget/LE]]-ERP[[#This Row],[Giveback]]</f>
        <v>#N/A</v>
      </c>
      <c r="AO641" s="81"/>
      <c r="AP641" s="375"/>
      <c r="AQ641" s="375"/>
      <c r="AR641" s="375">
        <v>414.36</v>
      </c>
      <c r="AS641" s="375">
        <v>0</v>
      </c>
      <c r="AT641" s="375">
        <v>0</v>
      </c>
      <c r="AU641" s="375">
        <v>0</v>
      </c>
      <c r="AV641" s="375">
        <v>0</v>
      </c>
      <c r="AW641" s="375">
        <v>0</v>
      </c>
      <c r="AX641" s="375">
        <v>0</v>
      </c>
      <c r="AY641" s="375">
        <v>0</v>
      </c>
      <c r="AZ641" s="375">
        <v>0</v>
      </c>
      <c r="BA641" s="375">
        <v>0</v>
      </c>
      <c r="BB641" s="375">
        <v>414.36</v>
      </c>
      <c r="BC641" s="79"/>
      <c r="BD641" s="79"/>
      <c r="BE641" s="79">
        <v>414.36</v>
      </c>
      <c r="BF641" s="79">
        <v>0</v>
      </c>
      <c r="BG641" s="79">
        <v>0</v>
      </c>
      <c r="BH641" s="79">
        <v>0</v>
      </c>
      <c r="BI641" s="79">
        <v>0</v>
      </c>
      <c r="BJ641" s="79">
        <v>0</v>
      </c>
      <c r="BK641" s="79">
        <v>0</v>
      </c>
      <c r="BL641" s="79">
        <v>0</v>
      </c>
      <c r="BM641" s="79">
        <v>0</v>
      </c>
      <c r="BN641" s="79">
        <v>0</v>
      </c>
      <c r="BO641" s="79">
        <v>414.36</v>
      </c>
    </row>
    <row r="642" spans="1:67" ht="15" customHeight="1">
      <c r="A642" s="66" t="s">
        <v>2603</v>
      </c>
      <c r="B642" s="66" t="s">
        <v>2604</v>
      </c>
      <c r="C642" s="150" t="s">
        <v>1136</v>
      </c>
      <c r="D642" s="150" t="s">
        <v>1135</v>
      </c>
      <c r="E642" s="150" t="s">
        <v>1165</v>
      </c>
      <c r="F642" s="150" t="s">
        <v>1137</v>
      </c>
      <c r="G642" s="511" t="s">
        <v>639</v>
      </c>
      <c r="H642" s="451" t="s">
        <v>1327</v>
      </c>
      <c r="I642" s="343"/>
      <c r="J642" s="343"/>
      <c r="K642" s="70" t="s">
        <v>147</v>
      </c>
      <c r="L642" s="346"/>
      <c r="M642" s="343"/>
      <c r="N642" s="346"/>
      <c r="O642" s="150" t="s">
        <v>25</v>
      </c>
      <c r="P642" s="482" t="s">
        <v>1338</v>
      </c>
      <c r="Q642" s="403"/>
      <c r="R642" s="406">
        <v>0</v>
      </c>
      <c r="S642" s="406">
        <v>0.19999999999999996</v>
      </c>
      <c r="T642" s="425"/>
      <c r="U642" s="71"/>
      <c r="V642" s="427">
        <v>-0.34</v>
      </c>
      <c r="W642" s="427">
        <v>-0.09</v>
      </c>
      <c r="X642" s="427">
        <v>0.63</v>
      </c>
      <c r="Y642" s="428">
        <v>-0.98</v>
      </c>
      <c r="Z642" s="429">
        <v>0.75</v>
      </c>
      <c r="AA642" s="429">
        <v>0</v>
      </c>
      <c r="AB642" s="363" t="e">
        <v>#N/A</v>
      </c>
      <c r="AC642" s="360">
        <v>0</v>
      </c>
      <c r="AD642" s="360">
        <v>0</v>
      </c>
      <c r="AE642" s="360">
        <v>0</v>
      </c>
      <c r="AF642" s="360">
        <v>0</v>
      </c>
      <c r="AG642" s="360">
        <v>0</v>
      </c>
      <c r="AH642" s="367" t="e">
        <f t="shared" si="31"/>
        <v>#N/A</v>
      </c>
      <c r="AI642" s="455" t="e">
        <f>ERP[[#This Row],[2026 Working Total]]-ERP[[#This Row],[LE2 Final Submission]]</f>
        <v>#N/A</v>
      </c>
      <c r="AJ642" s="79">
        <v>0</v>
      </c>
      <c r="AK642" s="79">
        <f t="shared" si="30"/>
        <v>0</v>
      </c>
      <c r="AL642" s="374">
        <f>SUM(ERP[[#This Row],[AP01]:[AP06]])-SUM(ERP[[#This Row],[AP01 LE2]:[AP06 LE2]])</f>
        <v>-0.22999999999999998</v>
      </c>
      <c r="AM642" s="80"/>
      <c r="AN642" s="79" t="e">
        <f>ERP[[#This Row],[2026 Working Total to Budget/LE]]-ERP[[#This Row],[Giveback]]</f>
        <v>#N/A</v>
      </c>
      <c r="AO642" s="81"/>
      <c r="AP642" s="375">
        <v>-0.34</v>
      </c>
      <c r="AQ642" s="375">
        <v>-0.09</v>
      </c>
      <c r="AR642" s="375">
        <v>0.63</v>
      </c>
      <c r="AS642" s="375">
        <v>0</v>
      </c>
      <c r="AT642" s="375">
        <v>0</v>
      </c>
      <c r="AU642" s="375">
        <v>0</v>
      </c>
      <c r="AV642" s="375">
        <v>0</v>
      </c>
      <c r="AW642" s="375">
        <v>0</v>
      </c>
      <c r="AX642" s="375">
        <v>0</v>
      </c>
      <c r="AY642" s="375">
        <v>0</v>
      </c>
      <c r="AZ642" s="375">
        <v>0</v>
      </c>
      <c r="BA642" s="375">
        <v>0</v>
      </c>
      <c r="BB642" s="375">
        <v>0.19999999999999996</v>
      </c>
      <c r="BC642" s="79">
        <v>-0.34</v>
      </c>
      <c r="BD642" s="79">
        <v>-0.09</v>
      </c>
      <c r="BE642" s="79">
        <v>0.63</v>
      </c>
      <c r="BF642" s="79">
        <v>0</v>
      </c>
      <c r="BG642" s="79">
        <v>0</v>
      </c>
      <c r="BH642" s="79">
        <v>0</v>
      </c>
      <c r="BI642" s="79">
        <v>0</v>
      </c>
      <c r="BJ642" s="79">
        <v>0</v>
      </c>
      <c r="BK642" s="79">
        <v>0</v>
      </c>
      <c r="BL642" s="79">
        <v>0</v>
      </c>
      <c r="BM642" s="79">
        <v>0</v>
      </c>
      <c r="BN642" s="79">
        <v>0</v>
      </c>
      <c r="BO642" s="79">
        <v>0.19999999999999996</v>
      </c>
    </row>
    <row r="643" spans="1:67" ht="15" customHeight="1">
      <c r="A643" s="66" t="s">
        <v>2182</v>
      </c>
      <c r="B643" s="66" t="s">
        <v>2183</v>
      </c>
      <c r="C643" s="150" t="s">
        <v>1136</v>
      </c>
      <c r="D643" s="150" t="s">
        <v>1567</v>
      </c>
      <c r="E643" s="150" t="s">
        <v>1567</v>
      </c>
      <c r="F643" s="150" t="s">
        <v>1567</v>
      </c>
      <c r="G643" s="511" t="s">
        <v>602</v>
      </c>
      <c r="H643" s="451" t="s">
        <v>611</v>
      </c>
      <c r="I643" s="343"/>
      <c r="J643" s="343"/>
      <c r="K643" s="70" t="s">
        <v>610</v>
      </c>
      <c r="L643" s="346"/>
      <c r="M643" s="343"/>
      <c r="N643" s="346"/>
      <c r="O643" s="150" t="s">
        <v>611</v>
      </c>
      <c r="P643" s="150"/>
      <c r="Q643" s="403"/>
      <c r="R643" s="406">
        <v>0</v>
      </c>
      <c r="S643" s="406">
        <v>18.829999999999998</v>
      </c>
      <c r="T643" s="425"/>
      <c r="U643" s="71"/>
      <c r="V643" s="427">
        <v>19</v>
      </c>
      <c r="W643" s="427">
        <v>-0.17</v>
      </c>
      <c r="X643" s="431">
        <v>0</v>
      </c>
      <c r="Y643" s="428">
        <v>4245.9400000000005</v>
      </c>
      <c r="Z643" s="429">
        <v>16</v>
      </c>
      <c r="AA643" s="429">
        <v>0</v>
      </c>
      <c r="AB643" s="363" t="e">
        <v>#N/A</v>
      </c>
      <c r="AC643" s="360">
        <v>0</v>
      </c>
      <c r="AD643" s="360">
        <v>0</v>
      </c>
      <c r="AE643" s="360">
        <v>0</v>
      </c>
      <c r="AF643" s="360">
        <v>0</v>
      </c>
      <c r="AG643" s="360">
        <v>0</v>
      </c>
      <c r="AH643" s="367" t="e">
        <f t="shared" si="31"/>
        <v>#N/A</v>
      </c>
      <c r="AI643" s="455" t="e">
        <f>ERP[[#This Row],[2026 Working Total]]-ERP[[#This Row],[LE2 Final Submission]]</f>
        <v>#N/A</v>
      </c>
      <c r="AJ643" s="79">
        <v>0</v>
      </c>
      <c r="AK643" s="79">
        <f t="shared" si="30"/>
        <v>0</v>
      </c>
      <c r="AL643" s="374">
        <f>SUM(ERP[[#This Row],[AP01]:[AP06]])-SUM(ERP[[#This Row],[AP01 LE2]:[AP06 LE2]])</f>
        <v>4261.9400000000005</v>
      </c>
      <c r="AM643" s="80"/>
      <c r="AN643" s="79" t="e">
        <f>ERP[[#This Row],[2026 Working Total to Budget/LE]]-ERP[[#This Row],[Giveback]]</f>
        <v>#N/A</v>
      </c>
      <c r="AO643" s="81"/>
      <c r="AP643" s="375">
        <v>19</v>
      </c>
      <c r="AQ643" s="375">
        <v>-0.17</v>
      </c>
      <c r="AR643" s="375">
        <v>0</v>
      </c>
      <c r="AS643" s="375">
        <v>0</v>
      </c>
      <c r="AT643" s="375">
        <v>0</v>
      </c>
      <c r="AU643" s="375">
        <v>0</v>
      </c>
      <c r="AV643" s="375">
        <v>0</v>
      </c>
      <c r="AW643" s="375">
        <v>0</v>
      </c>
      <c r="AX643" s="375">
        <v>0</v>
      </c>
      <c r="AY643" s="375">
        <v>0</v>
      </c>
      <c r="AZ643" s="375">
        <v>0</v>
      </c>
      <c r="BA643" s="375">
        <v>0</v>
      </c>
      <c r="BB643" s="375">
        <v>18.829999999999998</v>
      </c>
      <c r="BC643" s="79">
        <v>19</v>
      </c>
      <c r="BD643" s="79">
        <v>-0.17</v>
      </c>
      <c r="BE643" s="79">
        <v>0</v>
      </c>
      <c r="BF643" s="79">
        <v>0</v>
      </c>
      <c r="BG643" s="79">
        <v>0</v>
      </c>
      <c r="BH643" s="79">
        <v>0</v>
      </c>
      <c r="BI643" s="79">
        <v>0</v>
      </c>
      <c r="BJ643" s="79">
        <v>0</v>
      </c>
      <c r="BK643" s="79">
        <v>0</v>
      </c>
      <c r="BL643" s="79">
        <v>0</v>
      </c>
      <c r="BM643" s="79">
        <v>0</v>
      </c>
      <c r="BN643" s="79">
        <v>0</v>
      </c>
      <c r="BO643" s="79">
        <v>18.829999999999998</v>
      </c>
    </row>
    <row r="644" spans="1:67" ht="15" customHeight="1">
      <c r="A644" s="66" t="s">
        <v>2186</v>
      </c>
      <c r="B644" s="66" t="s">
        <v>623</v>
      </c>
      <c r="C644" s="150" t="s">
        <v>1136</v>
      </c>
      <c r="D644" s="150" t="s">
        <v>1650</v>
      </c>
      <c r="E644" s="150" t="s">
        <v>1650</v>
      </c>
      <c r="F644" s="150" t="s">
        <v>1650</v>
      </c>
      <c r="G644" s="511" t="s">
        <v>602</v>
      </c>
      <c r="H644" s="451" t="s">
        <v>611</v>
      </c>
      <c r="I644" s="343"/>
      <c r="J644" s="343"/>
      <c r="K644" s="70" t="s">
        <v>610</v>
      </c>
      <c r="L644" s="346"/>
      <c r="M644" s="343"/>
      <c r="N644" s="346"/>
      <c r="O644" s="150" t="s">
        <v>611</v>
      </c>
      <c r="P644" s="150"/>
      <c r="Q644" s="403"/>
      <c r="R644" s="406">
        <v>0</v>
      </c>
      <c r="S644" s="406">
        <v>28.1</v>
      </c>
      <c r="T644" s="425"/>
      <c r="U644" s="71"/>
      <c r="V644" s="427"/>
      <c r="W644" s="427">
        <v>27.55</v>
      </c>
      <c r="X644" s="427">
        <v>0.55000000000000004</v>
      </c>
      <c r="Y644" s="428">
        <v>2.16</v>
      </c>
      <c r="Z644" s="429">
        <v>4.129999999999999</v>
      </c>
      <c r="AA644" s="429">
        <v>57.92</v>
      </c>
      <c r="AB644" s="363" t="e">
        <v>#N/A</v>
      </c>
      <c r="AC644" s="360">
        <v>0</v>
      </c>
      <c r="AD644" s="360">
        <v>0</v>
      </c>
      <c r="AE644" s="360">
        <v>0</v>
      </c>
      <c r="AF644" s="360">
        <v>0</v>
      </c>
      <c r="AG644" s="360">
        <v>0</v>
      </c>
      <c r="AH644" s="367" t="e">
        <f t="shared" si="31"/>
        <v>#N/A</v>
      </c>
      <c r="AI644" s="455" t="e">
        <f>ERP[[#This Row],[2026 Working Total]]-ERP[[#This Row],[LE2 Final Submission]]</f>
        <v>#N/A</v>
      </c>
      <c r="AJ644" s="79">
        <v>0</v>
      </c>
      <c r="AK644" s="79">
        <f t="shared" si="30"/>
        <v>57.92</v>
      </c>
      <c r="AL644" s="374">
        <f>SUM(ERP[[#This Row],[AP01]:[AP06]])-SUM(ERP[[#This Row],[AP01 LE2]:[AP06 LE2]])</f>
        <v>64.210000000000008</v>
      </c>
      <c r="AM644" s="80"/>
      <c r="AN644" s="79" t="e">
        <f>ERP[[#This Row],[2026 Working Total to Budget/LE]]-ERP[[#This Row],[Giveback]]</f>
        <v>#N/A</v>
      </c>
      <c r="AO644" s="81"/>
      <c r="AP644" s="375"/>
      <c r="AQ644" s="375">
        <v>27.55</v>
      </c>
      <c r="AR644" s="375">
        <v>0.55000000000000004</v>
      </c>
      <c r="AS644" s="375">
        <v>0</v>
      </c>
      <c r="AT644" s="375">
        <v>0</v>
      </c>
      <c r="AU644" s="375">
        <v>0</v>
      </c>
      <c r="AV644" s="375">
        <v>0</v>
      </c>
      <c r="AW644" s="375">
        <v>0</v>
      </c>
      <c r="AX644" s="375">
        <v>0</v>
      </c>
      <c r="AY644" s="375">
        <v>0</v>
      </c>
      <c r="AZ644" s="375">
        <v>0</v>
      </c>
      <c r="BA644" s="375">
        <v>0</v>
      </c>
      <c r="BB644" s="375">
        <v>28.1</v>
      </c>
      <c r="BC644" s="79"/>
      <c r="BD644" s="79">
        <v>27.55</v>
      </c>
      <c r="BE644" s="79">
        <v>0.55000000000000004</v>
      </c>
      <c r="BF644" s="79">
        <v>0</v>
      </c>
      <c r="BG644" s="79">
        <v>0</v>
      </c>
      <c r="BH644" s="79">
        <v>0</v>
      </c>
      <c r="BI644" s="79">
        <v>0</v>
      </c>
      <c r="BJ644" s="79">
        <v>0</v>
      </c>
      <c r="BK644" s="79">
        <v>0</v>
      </c>
      <c r="BL644" s="79">
        <v>0</v>
      </c>
      <c r="BM644" s="79">
        <v>0</v>
      </c>
      <c r="BN644" s="79">
        <v>0</v>
      </c>
      <c r="BO644" s="79">
        <v>28.1</v>
      </c>
    </row>
    <row r="645" spans="1:67" ht="15" customHeight="1">
      <c r="A645" s="150" t="s">
        <v>2158</v>
      </c>
      <c r="B645" s="445" t="s">
        <v>2159</v>
      </c>
      <c r="C645" s="150" t="s">
        <v>1136</v>
      </c>
      <c r="D645" s="446" t="s">
        <v>1135</v>
      </c>
      <c r="E645" s="446" t="s">
        <v>1145</v>
      </c>
      <c r="F645" s="523" t="s">
        <v>1145</v>
      </c>
      <c r="G645" s="524" t="s">
        <v>602</v>
      </c>
      <c r="H645" s="467" t="s">
        <v>2160</v>
      </c>
      <c r="I645" s="333" t="s">
        <v>2160</v>
      </c>
      <c r="J645" s="446" t="s">
        <v>1186</v>
      </c>
      <c r="K645" s="447" t="s">
        <v>610</v>
      </c>
      <c r="L645" s="448"/>
      <c r="M645" s="449"/>
      <c r="N645" s="449"/>
      <c r="O645" s="449"/>
      <c r="P645" s="449"/>
      <c r="Q645" s="402"/>
      <c r="R645" s="402"/>
      <c r="S645" s="402"/>
      <c r="T645" s="425"/>
      <c r="U645" s="71"/>
      <c r="V645" s="436"/>
      <c r="W645" s="436"/>
      <c r="X645" s="436"/>
      <c r="Y645" s="436"/>
      <c r="Z645" s="436">
        <v>16</v>
      </c>
      <c r="AA645" s="429">
        <v>0</v>
      </c>
      <c r="AB645" s="363" t="e">
        <v>#N/A</v>
      </c>
      <c r="AC645" s="450"/>
      <c r="AD645" s="450"/>
      <c r="AE645" s="450"/>
      <c r="AF645" s="450"/>
      <c r="AG645" s="450"/>
      <c r="AH645" s="479" t="e">
        <f t="shared" si="31"/>
        <v>#N/A</v>
      </c>
      <c r="AI645" s="455" t="e">
        <f>ERP[[#This Row],[2026 Working Total]]-ERP[[#This Row],[LE2 Final Submission]]</f>
        <v>#N/A</v>
      </c>
      <c r="AJ645" s="172"/>
      <c r="AK645" s="172">
        <f t="shared" si="30"/>
        <v>0</v>
      </c>
      <c r="AL645" s="374">
        <f>SUM(ERP[[#This Row],[AP01]:[AP06]])-SUM(ERP[[#This Row],[AP01 LE2]:[AP06 LE2]])</f>
        <v>16</v>
      </c>
      <c r="AM645" s="80"/>
      <c r="AN645" s="79" t="e">
        <f>ERP[[#This Row],[2026 Working Total to Budget/LE]]-ERP[[#This Row],[Giveback]]</f>
        <v>#N/A</v>
      </c>
      <c r="AO645" s="81"/>
      <c r="AP645" s="375"/>
      <c r="AQ645" s="375"/>
      <c r="AR645" s="375"/>
      <c r="AS645" s="375"/>
      <c r="AT645" s="375"/>
      <c r="AU645" s="375"/>
      <c r="AV645" s="375"/>
      <c r="AW645" s="375"/>
      <c r="AX645" s="375"/>
      <c r="AY645" s="375"/>
      <c r="AZ645" s="375"/>
      <c r="BA645" s="375"/>
      <c r="BB645" s="375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172"/>
    </row>
    <row r="646" spans="1:67" ht="15" customHeight="1">
      <c r="A646" s="66" t="s">
        <v>1426</v>
      </c>
      <c r="B646" s="464" t="s">
        <v>196</v>
      </c>
      <c r="C646" s="150" t="s">
        <v>1136</v>
      </c>
      <c r="D646" s="150" t="s">
        <v>1345</v>
      </c>
      <c r="E646" s="150" t="s">
        <v>1344</v>
      </c>
      <c r="F646" s="150" t="s">
        <v>1346</v>
      </c>
      <c r="G646" s="511" t="s">
        <v>49</v>
      </c>
      <c r="H646" s="451" t="s">
        <v>1340</v>
      </c>
      <c r="I646" s="343"/>
      <c r="J646" s="343"/>
      <c r="K646" s="70" t="s">
        <v>149</v>
      </c>
      <c r="L646" s="346" t="s">
        <v>1139</v>
      </c>
      <c r="M646" s="343"/>
      <c r="N646" s="346"/>
      <c r="O646" s="150" t="s">
        <v>25</v>
      </c>
      <c r="P646" s="150"/>
      <c r="Q646" s="453"/>
      <c r="R646" s="406">
        <v>0</v>
      </c>
      <c r="S646" s="406">
        <v>-8178.7199999999993</v>
      </c>
      <c r="T646" s="430"/>
      <c r="U646" s="137"/>
      <c r="V646" s="427">
        <v>-879.72</v>
      </c>
      <c r="W646" s="427">
        <v>-0.18</v>
      </c>
      <c r="X646" s="427">
        <v>-7298.82</v>
      </c>
      <c r="Y646" s="428">
        <v>0</v>
      </c>
      <c r="Z646" s="429">
        <v>0</v>
      </c>
      <c r="AA646" s="429">
        <v>0</v>
      </c>
      <c r="AB646" s="363" t="e">
        <v>#N/A</v>
      </c>
      <c r="AC646" s="360">
        <v>0</v>
      </c>
      <c r="AD646" s="360">
        <v>0</v>
      </c>
      <c r="AE646" s="360">
        <v>0</v>
      </c>
      <c r="AF646" s="360">
        <v>0</v>
      </c>
      <c r="AG646" s="360">
        <v>0</v>
      </c>
      <c r="AH646" s="360" t="e">
        <f t="shared" si="31"/>
        <v>#N/A</v>
      </c>
      <c r="AI646" s="455" t="e">
        <f>ERP[[#This Row],[2026 Working Total]]-ERP[[#This Row],[LE2 Final Submission]]</f>
        <v>#N/A</v>
      </c>
      <c r="AJ646" s="79">
        <v>0</v>
      </c>
      <c r="AK646" s="79">
        <f t="shared" si="30"/>
        <v>0</v>
      </c>
      <c r="AL646" s="374">
        <f>SUM(ERP[[#This Row],[AP01]:[AP06]])-SUM(ERP[[#This Row],[AP01 LE2]:[AP06 LE2]])</f>
        <v>0</v>
      </c>
      <c r="AM646" s="80"/>
      <c r="AN646" s="79" t="e">
        <f>ERP[[#This Row],[2026 Working Total to Budget/LE]]-ERP[[#This Row],[Giveback]]</f>
        <v>#N/A</v>
      </c>
      <c r="AO646" s="81"/>
      <c r="AP646" s="375">
        <v>-879.72</v>
      </c>
      <c r="AQ646" s="375">
        <v>-0.18</v>
      </c>
      <c r="AR646" s="375">
        <v>-7298.82</v>
      </c>
      <c r="AS646" s="375">
        <v>0</v>
      </c>
      <c r="AT646" s="375">
        <v>0</v>
      </c>
      <c r="AU646" s="375">
        <v>0</v>
      </c>
      <c r="AV646" s="375">
        <v>0</v>
      </c>
      <c r="AW646" s="375">
        <v>0</v>
      </c>
      <c r="AX646" s="375">
        <v>0</v>
      </c>
      <c r="AY646" s="375">
        <v>0</v>
      </c>
      <c r="AZ646" s="375">
        <v>0</v>
      </c>
      <c r="BA646" s="375">
        <v>0</v>
      </c>
      <c r="BB646" s="375">
        <v>-8178.7199999999993</v>
      </c>
      <c r="BC646" s="79">
        <v>-879.72</v>
      </c>
      <c r="BD646" s="79">
        <v>-0.18</v>
      </c>
      <c r="BE646" s="79">
        <v>-7298.82</v>
      </c>
      <c r="BF646" s="79">
        <v>0</v>
      </c>
      <c r="BG646" s="79">
        <v>0</v>
      </c>
      <c r="BH646" s="79">
        <v>0</v>
      </c>
      <c r="BI646" s="79">
        <v>0</v>
      </c>
      <c r="BJ646" s="79">
        <v>0</v>
      </c>
      <c r="BK646" s="79">
        <v>0</v>
      </c>
      <c r="BL646" s="79">
        <v>0</v>
      </c>
      <c r="BM646" s="79">
        <v>0</v>
      </c>
      <c r="BN646" s="79">
        <v>0</v>
      </c>
      <c r="BO646" s="79">
        <v>-8178.7199999999993</v>
      </c>
    </row>
    <row r="647" spans="1:67" ht="15" customHeight="1">
      <c r="A647" s="66" t="s">
        <v>1477</v>
      </c>
      <c r="B647" s="66" t="s">
        <v>227</v>
      </c>
      <c r="C647" s="150" t="s">
        <v>1136</v>
      </c>
      <c r="D647" s="150" t="s">
        <v>1345</v>
      </c>
      <c r="E647" s="150" t="s">
        <v>1450</v>
      </c>
      <c r="F647" s="150" t="s">
        <v>1346</v>
      </c>
      <c r="G647" s="511" t="s">
        <v>49</v>
      </c>
      <c r="H647" s="451" t="s">
        <v>1340</v>
      </c>
      <c r="I647" s="343"/>
      <c r="J647" s="343"/>
      <c r="K647" s="70" t="s">
        <v>149</v>
      </c>
      <c r="L647" s="346" t="s">
        <v>1139</v>
      </c>
      <c r="M647" s="343"/>
      <c r="N647" s="346"/>
      <c r="O647" s="150" t="s">
        <v>25</v>
      </c>
      <c r="P647" s="150"/>
      <c r="Q647" s="453"/>
      <c r="R647" s="406">
        <v>0</v>
      </c>
      <c r="S647" s="406">
        <v>-4283.6499999999996</v>
      </c>
      <c r="T647" s="425"/>
      <c r="U647" s="71"/>
      <c r="V647" s="427">
        <v>-487.65</v>
      </c>
      <c r="W647" s="427">
        <v>-3796</v>
      </c>
      <c r="X647" s="431">
        <v>0</v>
      </c>
      <c r="Y647" s="428">
        <v>0</v>
      </c>
      <c r="Z647" s="429">
        <v>0</v>
      </c>
      <c r="AA647" s="429">
        <v>0</v>
      </c>
      <c r="AB647" s="363" t="e">
        <v>#N/A</v>
      </c>
      <c r="AC647" s="360">
        <v>0</v>
      </c>
      <c r="AD647" s="360">
        <v>0</v>
      </c>
      <c r="AE647" s="360">
        <v>0</v>
      </c>
      <c r="AF647" s="360">
        <v>0</v>
      </c>
      <c r="AG647" s="360">
        <v>0</v>
      </c>
      <c r="AH647" s="360" t="e">
        <f t="shared" si="31"/>
        <v>#N/A</v>
      </c>
      <c r="AI647" s="455" t="e">
        <f>ERP[[#This Row],[2026 Working Total]]-ERP[[#This Row],[LE2 Final Submission]]</f>
        <v>#N/A</v>
      </c>
      <c r="AJ647" s="79">
        <v>0</v>
      </c>
      <c r="AK647" s="79">
        <f t="shared" si="30"/>
        <v>0</v>
      </c>
      <c r="AL647" s="374">
        <f>SUM(ERP[[#This Row],[AP01]:[AP06]])-SUM(ERP[[#This Row],[AP01 LE2]:[AP06 LE2]])</f>
        <v>0</v>
      </c>
      <c r="AM647" s="80"/>
      <c r="AN647" s="79" t="e">
        <f>ERP[[#This Row],[2026 Working Total to Budget/LE]]-ERP[[#This Row],[Giveback]]</f>
        <v>#N/A</v>
      </c>
      <c r="AO647" s="81"/>
      <c r="AP647" s="375">
        <v>-487.65</v>
      </c>
      <c r="AQ647" s="375">
        <v>-3796</v>
      </c>
      <c r="AR647" s="375">
        <v>0</v>
      </c>
      <c r="AS647" s="375">
        <v>0</v>
      </c>
      <c r="AT647" s="375">
        <v>0</v>
      </c>
      <c r="AU647" s="375">
        <v>0</v>
      </c>
      <c r="AV647" s="375">
        <v>0</v>
      </c>
      <c r="AW647" s="375">
        <v>0</v>
      </c>
      <c r="AX647" s="375">
        <v>0</v>
      </c>
      <c r="AY647" s="375">
        <v>0</v>
      </c>
      <c r="AZ647" s="375">
        <v>0</v>
      </c>
      <c r="BA647" s="375">
        <v>0</v>
      </c>
      <c r="BB647" s="375">
        <v>-4283.6499999999996</v>
      </c>
      <c r="BC647" s="79">
        <v>-487.65</v>
      </c>
      <c r="BD647" s="79">
        <v>-3796</v>
      </c>
      <c r="BE647" s="79">
        <v>0</v>
      </c>
      <c r="BF647" s="79">
        <v>0</v>
      </c>
      <c r="BG647" s="79">
        <v>0</v>
      </c>
      <c r="BH647" s="79">
        <v>0</v>
      </c>
      <c r="BI647" s="79">
        <v>0</v>
      </c>
      <c r="BJ647" s="79">
        <v>0</v>
      </c>
      <c r="BK647" s="79">
        <v>0</v>
      </c>
      <c r="BL647" s="79">
        <v>0</v>
      </c>
      <c r="BM647" s="79">
        <v>0</v>
      </c>
      <c r="BN647" s="79">
        <v>0</v>
      </c>
      <c r="BO647" s="79">
        <v>-4283.6499999999996</v>
      </c>
    </row>
    <row r="648" spans="1:67" ht="15" customHeight="1">
      <c r="A648" s="66" t="s">
        <v>1563</v>
      </c>
      <c r="B648" s="66" t="s">
        <v>269</v>
      </c>
      <c r="C648" s="150" t="s">
        <v>1136</v>
      </c>
      <c r="D648" s="150" t="s">
        <v>1345</v>
      </c>
      <c r="E648" s="150" t="s">
        <v>1515</v>
      </c>
      <c r="F648" s="150" t="s">
        <v>1346</v>
      </c>
      <c r="G648" s="511" t="s">
        <v>49</v>
      </c>
      <c r="H648" s="451" t="s">
        <v>1340</v>
      </c>
      <c r="I648" s="343"/>
      <c r="J648" s="343"/>
      <c r="K648" s="70" t="s">
        <v>149</v>
      </c>
      <c r="L648" s="346" t="s">
        <v>1139</v>
      </c>
      <c r="M648" s="343"/>
      <c r="N648" s="346"/>
      <c r="O648" s="150" t="s">
        <v>25</v>
      </c>
      <c r="P648" s="150"/>
      <c r="Q648" s="453"/>
      <c r="R648" s="406">
        <v>0</v>
      </c>
      <c r="S648" s="406">
        <v>-54295.289999999994</v>
      </c>
      <c r="T648" s="425"/>
      <c r="U648" s="71"/>
      <c r="V648" s="427">
        <v>-4506.29</v>
      </c>
      <c r="W648" s="427">
        <v>-29540.02</v>
      </c>
      <c r="X648" s="427">
        <v>-20248.98</v>
      </c>
      <c r="Y648" s="428">
        <v>0</v>
      </c>
      <c r="Z648" s="429">
        <v>0</v>
      </c>
      <c r="AA648" s="429">
        <v>0</v>
      </c>
      <c r="AB648" s="363" t="e">
        <v>#N/A</v>
      </c>
      <c r="AC648" s="360">
        <v>0</v>
      </c>
      <c r="AD648" s="360">
        <v>0</v>
      </c>
      <c r="AE648" s="360">
        <v>0</v>
      </c>
      <c r="AF648" s="360">
        <v>0</v>
      </c>
      <c r="AG648" s="360">
        <v>0</v>
      </c>
      <c r="AH648" s="360" t="e">
        <f t="shared" si="31"/>
        <v>#N/A</v>
      </c>
      <c r="AI648" s="455" t="e">
        <f>ERP[[#This Row],[2026 Working Total]]-ERP[[#This Row],[LE2 Final Submission]]</f>
        <v>#N/A</v>
      </c>
      <c r="AJ648" s="79">
        <v>0</v>
      </c>
      <c r="AK648" s="79">
        <f t="shared" ref="AK648:AK686" si="32">$AA648 - $AJ648</f>
        <v>0</v>
      </c>
      <c r="AL648" s="374">
        <f>SUM(ERP[[#This Row],[AP01]:[AP06]])-SUM(ERP[[#This Row],[AP01 LE2]:[AP06 LE2]])</f>
        <v>0</v>
      </c>
      <c r="AM648" s="80"/>
      <c r="AN648" s="79" t="e">
        <f>ERP[[#This Row],[2026 Working Total to Budget/LE]]-ERP[[#This Row],[Giveback]]</f>
        <v>#N/A</v>
      </c>
      <c r="AO648" s="81"/>
      <c r="AP648" s="375">
        <v>-4506.29</v>
      </c>
      <c r="AQ648" s="375">
        <v>-29540.02</v>
      </c>
      <c r="AR648" s="375">
        <v>-20248.98</v>
      </c>
      <c r="AS648" s="375">
        <v>0</v>
      </c>
      <c r="AT648" s="375">
        <v>0</v>
      </c>
      <c r="AU648" s="375">
        <v>0</v>
      </c>
      <c r="AV648" s="375">
        <v>0</v>
      </c>
      <c r="AW648" s="375">
        <v>0</v>
      </c>
      <c r="AX648" s="375">
        <v>0</v>
      </c>
      <c r="AY648" s="375">
        <v>0</v>
      </c>
      <c r="AZ648" s="375">
        <v>0</v>
      </c>
      <c r="BA648" s="375">
        <v>0</v>
      </c>
      <c r="BB648" s="375">
        <v>-54295.289999999994</v>
      </c>
      <c r="BC648" s="79">
        <v>-4506.29</v>
      </c>
      <c r="BD648" s="79">
        <v>-29540.02</v>
      </c>
      <c r="BE648" s="79">
        <v>-20248.98</v>
      </c>
      <c r="BF648" s="79">
        <v>0</v>
      </c>
      <c r="BG648" s="79">
        <v>0</v>
      </c>
      <c r="BH648" s="79">
        <v>0</v>
      </c>
      <c r="BI648" s="79">
        <v>0</v>
      </c>
      <c r="BJ648" s="79">
        <v>0</v>
      </c>
      <c r="BK648" s="79">
        <v>0</v>
      </c>
      <c r="BL648" s="79">
        <v>0</v>
      </c>
      <c r="BM648" s="79">
        <v>0</v>
      </c>
      <c r="BN648" s="79">
        <v>0</v>
      </c>
      <c r="BO648" s="79">
        <v>-54295.289999999994</v>
      </c>
    </row>
    <row r="649" spans="1:67" ht="15" customHeight="1">
      <c r="A649" s="66" t="s">
        <v>2155</v>
      </c>
      <c r="B649" s="66" t="s">
        <v>609</v>
      </c>
      <c r="C649" s="150" t="s">
        <v>1136</v>
      </c>
      <c r="D649" s="150" t="s">
        <v>1135</v>
      </c>
      <c r="E649" s="150" t="s">
        <v>1135</v>
      </c>
      <c r="F649" s="150" t="s">
        <v>1137</v>
      </c>
      <c r="G649" s="511" t="s">
        <v>602</v>
      </c>
      <c r="H649" s="451" t="s">
        <v>611</v>
      </c>
      <c r="I649" s="343"/>
      <c r="J649" s="343"/>
      <c r="K649" s="70" t="s">
        <v>610</v>
      </c>
      <c r="L649" s="346"/>
      <c r="M649" s="343"/>
      <c r="N649" s="346"/>
      <c r="O649" s="150" t="s">
        <v>611</v>
      </c>
      <c r="P649" s="150"/>
      <c r="Q649" s="453"/>
      <c r="R649" s="406">
        <v>0</v>
      </c>
      <c r="S649" s="406">
        <v>69</v>
      </c>
      <c r="T649" s="425"/>
      <c r="U649" s="71"/>
      <c r="V649" s="427">
        <v>-0.08</v>
      </c>
      <c r="W649" s="427">
        <v>69.08</v>
      </c>
      <c r="X649" s="431">
        <v>0</v>
      </c>
      <c r="Y649" s="428">
        <v>61</v>
      </c>
      <c r="Z649" s="429">
        <v>104</v>
      </c>
      <c r="AA649" s="429">
        <v>88</v>
      </c>
      <c r="AB649" s="363" t="e">
        <v>#N/A</v>
      </c>
      <c r="AC649" s="360">
        <v>0</v>
      </c>
      <c r="AD649" s="360">
        <v>0</v>
      </c>
      <c r="AE649" s="360">
        <v>0</v>
      </c>
      <c r="AF649" s="360">
        <v>0</v>
      </c>
      <c r="AG649" s="360">
        <v>0</v>
      </c>
      <c r="AH649" s="360" t="e">
        <f t="shared" si="31"/>
        <v>#N/A</v>
      </c>
      <c r="AI649" s="455" t="e">
        <f>ERP[[#This Row],[2026 Working Total]]-ERP[[#This Row],[LE2 Final Submission]]</f>
        <v>#N/A</v>
      </c>
      <c r="AJ649" s="79">
        <v>0</v>
      </c>
      <c r="AK649" s="79">
        <f t="shared" si="32"/>
        <v>88</v>
      </c>
      <c r="AL649" s="374">
        <f>SUM(ERP[[#This Row],[AP01]:[AP06]])-SUM(ERP[[#This Row],[AP01 LE2]:[AP06 LE2]])</f>
        <v>253</v>
      </c>
      <c r="AM649" s="80"/>
      <c r="AN649" s="79" t="e">
        <f>ERP[[#This Row],[2026 Working Total to Budget/LE]]-ERP[[#This Row],[Giveback]]</f>
        <v>#N/A</v>
      </c>
      <c r="AO649" s="81"/>
      <c r="AP649" s="375">
        <v>-0.08</v>
      </c>
      <c r="AQ649" s="375">
        <v>69.08</v>
      </c>
      <c r="AR649" s="375">
        <v>0</v>
      </c>
      <c r="AS649" s="375">
        <v>0</v>
      </c>
      <c r="AT649" s="375">
        <v>0</v>
      </c>
      <c r="AU649" s="375">
        <v>0</v>
      </c>
      <c r="AV649" s="375">
        <v>0</v>
      </c>
      <c r="AW649" s="375">
        <v>0</v>
      </c>
      <c r="AX649" s="375">
        <v>0</v>
      </c>
      <c r="AY649" s="375">
        <v>0</v>
      </c>
      <c r="AZ649" s="375">
        <v>0</v>
      </c>
      <c r="BA649" s="375">
        <v>0</v>
      </c>
      <c r="BB649" s="375">
        <v>69</v>
      </c>
      <c r="BC649" s="79">
        <v>-0.08</v>
      </c>
      <c r="BD649" s="79">
        <v>69.08</v>
      </c>
      <c r="BE649" s="79">
        <v>0</v>
      </c>
      <c r="BF649" s="79">
        <v>0</v>
      </c>
      <c r="BG649" s="79">
        <v>0</v>
      </c>
      <c r="BH649" s="79">
        <v>0</v>
      </c>
      <c r="BI649" s="79">
        <v>0</v>
      </c>
      <c r="BJ649" s="79">
        <v>0</v>
      </c>
      <c r="BK649" s="79">
        <v>0</v>
      </c>
      <c r="BL649" s="79">
        <v>0</v>
      </c>
      <c r="BM649" s="79">
        <v>0</v>
      </c>
      <c r="BN649" s="79">
        <v>0</v>
      </c>
      <c r="BO649" s="79">
        <v>69</v>
      </c>
    </row>
    <row r="650" spans="1:67" ht="15" customHeight="1">
      <c r="A650" s="66" t="s">
        <v>1447</v>
      </c>
      <c r="B650" s="66" t="s">
        <v>1448</v>
      </c>
      <c r="C650" s="150" t="s">
        <v>1136</v>
      </c>
      <c r="D650" s="150" t="s">
        <v>1345</v>
      </c>
      <c r="E650" s="150" t="s">
        <v>1437</v>
      </c>
      <c r="F650" s="150" t="s">
        <v>1346</v>
      </c>
      <c r="G650" s="511" t="s">
        <v>49</v>
      </c>
      <c r="H650" s="451" t="s">
        <v>1340</v>
      </c>
      <c r="I650" s="343"/>
      <c r="J650" s="343"/>
      <c r="K650" s="70" t="s">
        <v>149</v>
      </c>
      <c r="L650" s="346" t="s">
        <v>1139</v>
      </c>
      <c r="M650" s="343"/>
      <c r="N650" s="346"/>
      <c r="O650" s="150" t="s">
        <v>25</v>
      </c>
      <c r="P650" s="150"/>
      <c r="Q650" s="453"/>
      <c r="R650" s="406">
        <v>0</v>
      </c>
      <c r="S650" s="406">
        <v>-4133.1400000000003</v>
      </c>
      <c r="T650" s="425"/>
      <c r="U650" s="71"/>
      <c r="V650" s="427">
        <v>-4133.1400000000003</v>
      </c>
      <c r="W650" s="431">
        <v>0</v>
      </c>
      <c r="X650" s="431">
        <v>0</v>
      </c>
      <c r="Y650" s="428">
        <v>0</v>
      </c>
      <c r="Z650" s="429">
        <v>0</v>
      </c>
      <c r="AA650" s="429">
        <v>0</v>
      </c>
      <c r="AB650" s="363" t="e">
        <v>#N/A</v>
      </c>
      <c r="AC650" s="360">
        <v>0</v>
      </c>
      <c r="AD650" s="360">
        <v>0</v>
      </c>
      <c r="AE650" s="360">
        <v>0</v>
      </c>
      <c r="AF650" s="360">
        <v>0</v>
      </c>
      <c r="AG650" s="360">
        <v>0</v>
      </c>
      <c r="AH650" s="360" t="e">
        <f t="shared" si="31"/>
        <v>#N/A</v>
      </c>
      <c r="AI650" s="455" t="e">
        <f>ERP[[#This Row],[2026 Working Total]]-ERP[[#This Row],[LE2 Final Submission]]</f>
        <v>#N/A</v>
      </c>
      <c r="AJ650" s="79">
        <v>0</v>
      </c>
      <c r="AK650" s="79">
        <f t="shared" si="32"/>
        <v>0</v>
      </c>
      <c r="AL650" s="374">
        <f>SUM(ERP[[#This Row],[AP01]:[AP06]])-SUM(ERP[[#This Row],[AP01 LE2]:[AP06 LE2]])</f>
        <v>0</v>
      </c>
      <c r="AM650" s="80"/>
      <c r="AN650" s="79" t="e">
        <f>ERP[[#This Row],[2026 Working Total to Budget/LE]]-ERP[[#This Row],[Giveback]]</f>
        <v>#N/A</v>
      </c>
      <c r="AO650" s="81"/>
      <c r="AP650" s="375">
        <v>-4133.1400000000003</v>
      </c>
      <c r="AQ650" s="375">
        <v>0</v>
      </c>
      <c r="AR650" s="375">
        <v>0</v>
      </c>
      <c r="AS650" s="375">
        <v>0</v>
      </c>
      <c r="AT650" s="375">
        <v>0</v>
      </c>
      <c r="AU650" s="375">
        <v>0</v>
      </c>
      <c r="AV650" s="375">
        <v>0</v>
      </c>
      <c r="AW650" s="375">
        <v>0</v>
      </c>
      <c r="AX650" s="375">
        <v>0</v>
      </c>
      <c r="AY650" s="375">
        <v>0</v>
      </c>
      <c r="AZ650" s="375">
        <v>0</v>
      </c>
      <c r="BA650" s="375">
        <v>0</v>
      </c>
      <c r="BB650" s="375">
        <v>-4133.1400000000003</v>
      </c>
      <c r="BC650" s="79">
        <v>-4133.1400000000003</v>
      </c>
      <c r="BD650" s="79">
        <v>0</v>
      </c>
      <c r="BE650" s="79">
        <v>0</v>
      </c>
      <c r="BF650" s="79">
        <v>0</v>
      </c>
      <c r="BG650" s="79">
        <v>0</v>
      </c>
      <c r="BH650" s="79">
        <v>0</v>
      </c>
      <c r="BI650" s="79">
        <v>0</v>
      </c>
      <c r="BJ650" s="79">
        <v>0</v>
      </c>
      <c r="BK650" s="79">
        <v>0</v>
      </c>
      <c r="BL650" s="79">
        <v>0</v>
      </c>
      <c r="BM650" s="79">
        <v>0</v>
      </c>
      <c r="BN650" s="79">
        <v>0</v>
      </c>
      <c r="BO650" s="79">
        <v>-4133.1400000000003</v>
      </c>
    </row>
    <row r="651" spans="1:67" ht="15" customHeight="1">
      <c r="A651" s="66" t="s">
        <v>1988</v>
      </c>
      <c r="B651" s="66" t="s">
        <v>513</v>
      </c>
      <c r="C651" s="150" t="s">
        <v>1136</v>
      </c>
      <c r="D651" s="150" t="s">
        <v>1345</v>
      </c>
      <c r="E651" s="150" t="s">
        <v>1344</v>
      </c>
      <c r="F651" s="150" t="s">
        <v>1346</v>
      </c>
      <c r="G651" s="511" t="s">
        <v>389</v>
      </c>
      <c r="H651" s="451" t="s">
        <v>1645</v>
      </c>
      <c r="I651" s="343"/>
      <c r="J651" s="343"/>
      <c r="K651" s="70" t="s">
        <v>514</v>
      </c>
      <c r="L651" s="346"/>
      <c r="M651" s="343"/>
      <c r="N651" s="346"/>
      <c r="O651" s="150" t="s">
        <v>25</v>
      </c>
      <c r="P651" s="150"/>
      <c r="Q651" s="453"/>
      <c r="R651" s="406">
        <v>0</v>
      </c>
      <c r="S651" s="406">
        <v>298.89999999999998</v>
      </c>
      <c r="T651" s="425"/>
      <c r="U651" s="71"/>
      <c r="V651" s="427"/>
      <c r="W651" s="427">
        <v>256.18</v>
      </c>
      <c r="X651" s="427">
        <v>42.72</v>
      </c>
      <c r="Y651" s="428">
        <v>0</v>
      </c>
      <c r="Z651" s="429">
        <v>0</v>
      </c>
      <c r="AA651" s="429">
        <v>0</v>
      </c>
      <c r="AB651" s="363" t="e">
        <v>#N/A</v>
      </c>
      <c r="AC651" s="360">
        <v>0</v>
      </c>
      <c r="AD651" s="360">
        <v>0</v>
      </c>
      <c r="AE651" s="360">
        <v>0</v>
      </c>
      <c r="AF651" s="360">
        <v>0</v>
      </c>
      <c r="AG651" s="360">
        <v>0</v>
      </c>
      <c r="AH651" s="360" t="e">
        <f t="shared" si="31"/>
        <v>#N/A</v>
      </c>
      <c r="AI651" s="455" t="e">
        <f>ERP[[#This Row],[2026 Working Total]]-ERP[[#This Row],[LE2 Final Submission]]</f>
        <v>#N/A</v>
      </c>
      <c r="AJ651" s="79">
        <v>0</v>
      </c>
      <c r="AK651" s="79">
        <f t="shared" si="32"/>
        <v>0</v>
      </c>
      <c r="AL651" s="374">
        <f>SUM(ERP[[#This Row],[AP01]:[AP06]])-SUM(ERP[[#This Row],[AP01 LE2]:[AP06 LE2]])</f>
        <v>0</v>
      </c>
      <c r="AM651" s="80"/>
      <c r="AN651" s="79" t="e">
        <f>ERP[[#This Row],[2026 Working Total to Budget/LE]]-ERP[[#This Row],[Giveback]]</f>
        <v>#N/A</v>
      </c>
      <c r="AO651" s="81"/>
      <c r="AP651" s="375"/>
      <c r="AQ651" s="375">
        <v>256.18</v>
      </c>
      <c r="AR651" s="375">
        <v>42.72</v>
      </c>
      <c r="AS651" s="375">
        <v>0</v>
      </c>
      <c r="AT651" s="375">
        <v>0</v>
      </c>
      <c r="AU651" s="375">
        <v>0</v>
      </c>
      <c r="AV651" s="375">
        <v>0</v>
      </c>
      <c r="AW651" s="375">
        <v>0</v>
      </c>
      <c r="AX651" s="375">
        <v>0</v>
      </c>
      <c r="AY651" s="375">
        <v>0</v>
      </c>
      <c r="AZ651" s="375">
        <v>0</v>
      </c>
      <c r="BA651" s="375">
        <v>0</v>
      </c>
      <c r="BB651" s="375">
        <v>298.89999999999998</v>
      </c>
      <c r="BC651" s="79"/>
      <c r="BD651" s="79">
        <v>256.18</v>
      </c>
      <c r="BE651" s="79">
        <v>42.72</v>
      </c>
      <c r="BF651" s="79">
        <v>0</v>
      </c>
      <c r="BG651" s="79">
        <v>0</v>
      </c>
      <c r="BH651" s="79">
        <v>0</v>
      </c>
      <c r="BI651" s="79">
        <v>0</v>
      </c>
      <c r="BJ651" s="79">
        <v>0</v>
      </c>
      <c r="BK651" s="79">
        <v>0</v>
      </c>
      <c r="BL651" s="79">
        <v>0</v>
      </c>
      <c r="BM651" s="79">
        <v>0</v>
      </c>
      <c r="BN651" s="79">
        <v>0</v>
      </c>
      <c r="BO651" s="79">
        <v>298.89999999999998</v>
      </c>
    </row>
    <row r="652" spans="1:67" ht="15" customHeight="1">
      <c r="A652" s="66" t="s">
        <v>2835</v>
      </c>
      <c r="B652" s="66" t="s">
        <v>2836</v>
      </c>
      <c r="C652" s="150" t="s">
        <v>1136</v>
      </c>
      <c r="D652" s="150" t="s">
        <v>1567</v>
      </c>
      <c r="E652" s="150" t="s">
        <v>1567</v>
      </c>
      <c r="F652" s="150" t="s">
        <v>1567</v>
      </c>
      <c r="G652" s="511" t="s">
        <v>1027</v>
      </c>
      <c r="H652" s="451" t="s">
        <v>1645</v>
      </c>
      <c r="I652" s="343"/>
      <c r="J652" s="343"/>
      <c r="K652" s="70" t="s">
        <v>321</v>
      </c>
      <c r="L652" s="346"/>
      <c r="M652" s="343"/>
      <c r="N652" s="346"/>
      <c r="O652" s="150" t="s">
        <v>25</v>
      </c>
      <c r="P652" s="150"/>
      <c r="Q652" s="453"/>
      <c r="R652" s="406">
        <v>0</v>
      </c>
      <c r="S652" s="406">
        <v>8.51</v>
      </c>
      <c r="T652" s="425"/>
      <c r="U652" s="71"/>
      <c r="V652" s="427"/>
      <c r="W652" s="427">
        <v>8.51</v>
      </c>
      <c r="X652" s="431">
        <v>0</v>
      </c>
      <c r="Y652" s="428" t="s">
        <v>1142</v>
      </c>
      <c r="Z652" s="429">
        <v>0</v>
      </c>
      <c r="AA652" s="429">
        <v>0</v>
      </c>
      <c r="AB652" s="363" t="e">
        <v>#N/A</v>
      </c>
      <c r="AC652" s="360">
        <v>0</v>
      </c>
      <c r="AD652" s="360">
        <v>0</v>
      </c>
      <c r="AE652" s="360">
        <v>0</v>
      </c>
      <c r="AF652" s="360">
        <v>0</v>
      </c>
      <c r="AG652" s="360">
        <v>0</v>
      </c>
      <c r="AH652" s="360" t="e">
        <f t="shared" ref="AH652:AH686" si="33">SUM(V652:AG652)</f>
        <v>#N/A</v>
      </c>
      <c r="AI652" s="455" t="e">
        <f>ERP[[#This Row],[2026 Working Total]]-ERP[[#This Row],[LE2 Final Submission]]</f>
        <v>#N/A</v>
      </c>
      <c r="AJ652" s="79">
        <v>0</v>
      </c>
      <c r="AK652" s="79">
        <f t="shared" si="32"/>
        <v>0</v>
      </c>
      <c r="AL652" s="374">
        <f>SUM(ERP[[#This Row],[AP01]:[AP06]])-SUM(ERP[[#This Row],[AP01 LE2]:[AP06 LE2]])</f>
        <v>0</v>
      </c>
      <c r="AM652" s="80"/>
      <c r="AN652" s="79" t="e">
        <f>ERP[[#This Row],[2026 Working Total to Budget/LE]]-ERP[[#This Row],[Giveback]]</f>
        <v>#N/A</v>
      </c>
      <c r="AO652" s="81"/>
      <c r="AP652" s="375"/>
      <c r="AQ652" s="375">
        <v>8.51</v>
      </c>
      <c r="AR652" s="375">
        <v>0</v>
      </c>
      <c r="AS652" s="375">
        <v>0</v>
      </c>
      <c r="AT652" s="375">
        <v>0</v>
      </c>
      <c r="AU652" s="375">
        <v>0</v>
      </c>
      <c r="AV652" s="375">
        <v>0</v>
      </c>
      <c r="AW652" s="375">
        <v>0</v>
      </c>
      <c r="AX652" s="375">
        <v>0</v>
      </c>
      <c r="AY652" s="375">
        <v>0</v>
      </c>
      <c r="AZ652" s="375">
        <v>0</v>
      </c>
      <c r="BA652" s="375">
        <v>0</v>
      </c>
      <c r="BB652" s="375">
        <v>8.51</v>
      </c>
      <c r="BC652" s="79"/>
      <c r="BD652" s="79">
        <v>8.51</v>
      </c>
      <c r="BE652" s="79">
        <v>0</v>
      </c>
      <c r="BF652" s="79">
        <v>0</v>
      </c>
      <c r="BG652" s="79">
        <v>0</v>
      </c>
      <c r="BH652" s="79">
        <v>0</v>
      </c>
      <c r="BI652" s="79">
        <v>0</v>
      </c>
      <c r="BJ652" s="79">
        <v>0</v>
      </c>
      <c r="BK652" s="79">
        <v>0</v>
      </c>
      <c r="BL652" s="79">
        <v>0</v>
      </c>
      <c r="BM652" s="79">
        <v>0</v>
      </c>
      <c r="BN652" s="79">
        <v>0</v>
      </c>
      <c r="BO652" s="79">
        <v>8.51</v>
      </c>
    </row>
    <row r="653" spans="1:67" ht="15" customHeight="1">
      <c r="A653" s="66" t="s">
        <v>1643</v>
      </c>
      <c r="B653" s="66" t="s">
        <v>1644</v>
      </c>
      <c r="C653" s="150" t="s">
        <v>1136</v>
      </c>
      <c r="D653" s="334" t="s">
        <v>1567</v>
      </c>
      <c r="E653" s="334" t="s">
        <v>1567</v>
      </c>
      <c r="F653" s="334" t="s">
        <v>1567</v>
      </c>
      <c r="G653" s="511" t="s">
        <v>49</v>
      </c>
      <c r="H653" s="451" t="s">
        <v>1645</v>
      </c>
      <c r="I653" s="343"/>
      <c r="J653" s="343"/>
      <c r="K653" s="70" t="s">
        <v>321</v>
      </c>
      <c r="L653" s="346"/>
      <c r="M653" s="343"/>
      <c r="N653" s="346"/>
      <c r="O653" s="150" t="s">
        <v>25</v>
      </c>
      <c r="P653" s="150"/>
      <c r="Q653" s="475"/>
      <c r="R653" s="406">
        <v>0</v>
      </c>
      <c r="S653" s="406">
        <v>7271.4</v>
      </c>
      <c r="T653" s="425"/>
      <c r="U653" s="71"/>
      <c r="V653" s="427"/>
      <c r="W653" s="427">
        <v>7271.4</v>
      </c>
      <c r="X653" s="431">
        <v>0</v>
      </c>
      <c r="Y653" s="428">
        <v>0</v>
      </c>
      <c r="Z653" s="429">
        <v>0</v>
      </c>
      <c r="AA653" s="429">
        <v>0</v>
      </c>
      <c r="AB653" s="363" t="e">
        <v>#N/A</v>
      </c>
      <c r="AC653" s="360">
        <v>0</v>
      </c>
      <c r="AD653" s="360">
        <v>0</v>
      </c>
      <c r="AE653" s="360">
        <v>0</v>
      </c>
      <c r="AF653" s="360">
        <v>0</v>
      </c>
      <c r="AG653" s="360">
        <v>0</v>
      </c>
      <c r="AH653" s="360" t="e">
        <f t="shared" si="33"/>
        <v>#N/A</v>
      </c>
      <c r="AI653" s="455" t="e">
        <f>ERP[[#This Row],[2026 Working Total]]-ERP[[#This Row],[LE2 Final Submission]]</f>
        <v>#N/A</v>
      </c>
      <c r="AJ653" s="79">
        <v>0</v>
      </c>
      <c r="AK653" s="79">
        <f t="shared" si="32"/>
        <v>0</v>
      </c>
      <c r="AL653" s="374">
        <f>SUM(ERP[[#This Row],[AP01]:[AP06]])-SUM(ERP[[#This Row],[AP01 LE2]:[AP06 LE2]])</f>
        <v>0</v>
      </c>
      <c r="AM653" s="80"/>
      <c r="AN653" s="79" t="e">
        <f>ERP[[#This Row],[2026 Working Total to Budget/LE]]-ERP[[#This Row],[Giveback]]</f>
        <v>#N/A</v>
      </c>
      <c r="AO653" s="81"/>
      <c r="AP653" s="375"/>
      <c r="AQ653" s="375">
        <v>7271.4</v>
      </c>
      <c r="AR653" s="375">
        <v>0</v>
      </c>
      <c r="AS653" s="375">
        <v>0</v>
      </c>
      <c r="AT653" s="375">
        <v>0</v>
      </c>
      <c r="AU653" s="375">
        <v>0</v>
      </c>
      <c r="AV653" s="375">
        <v>0</v>
      </c>
      <c r="AW653" s="375">
        <v>0</v>
      </c>
      <c r="AX653" s="375">
        <v>0</v>
      </c>
      <c r="AY653" s="375">
        <v>0</v>
      </c>
      <c r="AZ653" s="375">
        <v>0</v>
      </c>
      <c r="BA653" s="375">
        <v>0</v>
      </c>
      <c r="BB653" s="375">
        <v>7271.4</v>
      </c>
      <c r="BC653" s="79"/>
      <c r="BD653" s="79">
        <v>7271.4</v>
      </c>
      <c r="BE653" s="79">
        <v>0</v>
      </c>
      <c r="BF653" s="79">
        <v>0</v>
      </c>
      <c r="BG653" s="79">
        <v>0</v>
      </c>
      <c r="BH653" s="79">
        <v>0</v>
      </c>
      <c r="BI653" s="79">
        <v>0</v>
      </c>
      <c r="BJ653" s="79">
        <v>0</v>
      </c>
      <c r="BK653" s="79">
        <v>0</v>
      </c>
      <c r="BL653" s="79">
        <v>0</v>
      </c>
      <c r="BM653" s="79">
        <v>0</v>
      </c>
      <c r="BN653" s="79">
        <v>0</v>
      </c>
      <c r="BO653" s="79">
        <v>7271.4</v>
      </c>
    </row>
    <row r="654" spans="1:67" ht="15" customHeight="1">
      <c r="A654" s="66" t="s">
        <v>2199</v>
      </c>
      <c r="B654" s="215" t="s">
        <v>2200</v>
      </c>
      <c r="C654" s="150" t="s">
        <v>1136</v>
      </c>
      <c r="D654" s="334" t="s">
        <v>1345</v>
      </c>
      <c r="E654" s="334" t="s">
        <v>1346</v>
      </c>
      <c r="F654" s="334" t="s">
        <v>1346</v>
      </c>
      <c r="G654" s="511" t="s">
        <v>629</v>
      </c>
      <c r="H654" s="392" t="s">
        <v>1648</v>
      </c>
      <c r="I654" s="343"/>
      <c r="J654" s="343"/>
      <c r="K654" s="70" t="s">
        <v>636</v>
      </c>
      <c r="L654" s="346"/>
      <c r="M654" s="343"/>
      <c r="N654" s="346"/>
      <c r="O654" s="150" t="s">
        <v>25</v>
      </c>
      <c r="P654" s="150"/>
      <c r="Q654" s="475"/>
      <c r="R654" s="406">
        <v>0</v>
      </c>
      <c r="S654" s="406">
        <v>961.71</v>
      </c>
      <c r="T654" s="430"/>
      <c r="U654" s="137"/>
      <c r="V654" s="427"/>
      <c r="W654" s="427">
        <v>961.71</v>
      </c>
      <c r="X654" s="431">
        <v>0</v>
      </c>
      <c r="Y654" s="428" t="s">
        <v>1142</v>
      </c>
      <c r="Z654" s="429">
        <v>0</v>
      </c>
      <c r="AA654" s="429">
        <v>0</v>
      </c>
      <c r="AB654" s="363" t="e">
        <v>#N/A</v>
      </c>
      <c r="AC654" s="360">
        <v>0</v>
      </c>
      <c r="AD654" s="360">
        <v>0</v>
      </c>
      <c r="AE654" s="360">
        <v>0</v>
      </c>
      <c r="AF654" s="360">
        <v>0</v>
      </c>
      <c r="AG654" s="360">
        <v>0</v>
      </c>
      <c r="AH654" s="360" t="e">
        <f t="shared" si="33"/>
        <v>#N/A</v>
      </c>
      <c r="AI654" s="455" t="e">
        <f>ERP[[#This Row],[2026 Working Total]]-ERP[[#This Row],[LE2 Final Submission]]</f>
        <v>#N/A</v>
      </c>
      <c r="AJ654" s="79">
        <v>0</v>
      </c>
      <c r="AK654" s="79">
        <f t="shared" si="32"/>
        <v>0</v>
      </c>
      <c r="AL654" s="374">
        <f>SUM(ERP[[#This Row],[AP01]:[AP06]])-SUM(ERP[[#This Row],[AP01 LE2]:[AP06 LE2]])</f>
        <v>0</v>
      </c>
      <c r="AM654" s="80"/>
      <c r="AN654" s="79" t="e">
        <f>ERP[[#This Row],[2026 Working Total to Budget/LE]]-ERP[[#This Row],[Giveback]]</f>
        <v>#N/A</v>
      </c>
      <c r="AO654" s="81"/>
      <c r="AP654" s="375"/>
      <c r="AQ654" s="375">
        <v>961.71</v>
      </c>
      <c r="AR654" s="375">
        <v>0</v>
      </c>
      <c r="AS654" s="375">
        <v>0</v>
      </c>
      <c r="AT654" s="375">
        <v>0</v>
      </c>
      <c r="AU654" s="375">
        <v>0</v>
      </c>
      <c r="AV654" s="375">
        <v>0</v>
      </c>
      <c r="AW654" s="375">
        <v>0</v>
      </c>
      <c r="AX654" s="375">
        <v>0</v>
      </c>
      <c r="AY654" s="375">
        <v>0</v>
      </c>
      <c r="AZ654" s="375">
        <v>0</v>
      </c>
      <c r="BA654" s="375">
        <v>0</v>
      </c>
      <c r="BB654" s="375">
        <v>961.71</v>
      </c>
      <c r="BC654" s="79"/>
      <c r="BD654" s="79">
        <v>961.71</v>
      </c>
      <c r="BE654" s="79">
        <v>0</v>
      </c>
      <c r="BF654" s="79">
        <v>0</v>
      </c>
      <c r="BG654" s="79">
        <v>0</v>
      </c>
      <c r="BH654" s="79">
        <v>0</v>
      </c>
      <c r="BI654" s="79">
        <v>0</v>
      </c>
      <c r="BJ654" s="79">
        <v>0</v>
      </c>
      <c r="BK654" s="79">
        <v>0</v>
      </c>
      <c r="BL654" s="79">
        <v>0</v>
      </c>
      <c r="BM654" s="79">
        <v>0</v>
      </c>
      <c r="BN654" s="79">
        <v>0</v>
      </c>
      <c r="BO654" s="79">
        <v>961.71</v>
      </c>
    </row>
    <row r="655" spans="1:67" ht="15" customHeight="1">
      <c r="A655" s="66" t="s">
        <v>2837</v>
      </c>
      <c r="B655" s="66" t="s">
        <v>2838</v>
      </c>
      <c r="C655" s="150" t="s">
        <v>1136</v>
      </c>
      <c r="D655" s="334" t="s">
        <v>1345</v>
      </c>
      <c r="E655" s="334" t="s">
        <v>1346</v>
      </c>
      <c r="F655" s="334" t="s">
        <v>1346</v>
      </c>
      <c r="G655" s="511" t="s">
        <v>1027</v>
      </c>
      <c r="H655" s="451" t="s">
        <v>1648</v>
      </c>
      <c r="I655" s="343"/>
      <c r="J655" s="343"/>
      <c r="K655" s="70" t="s">
        <v>636</v>
      </c>
      <c r="L655" s="346"/>
      <c r="M655" s="343"/>
      <c r="N655" s="346"/>
      <c r="O655" s="150" t="s">
        <v>25</v>
      </c>
      <c r="P655" s="150"/>
      <c r="Q655" s="475"/>
      <c r="R655" s="406">
        <v>0</v>
      </c>
      <c r="S655" s="406">
        <v>11.32</v>
      </c>
      <c r="T655" s="425"/>
      <c r="U655" s="71"/>
      <c r="V655" s="427"/>
      <c r="W655" s="427">
        <v>11.32</v>
      </c>
      <c r="X655" s="431">
        <v>0</v>
      </c>
      <c r="Y655" s="428" t="s">
        <v>1142</v>
      </c>
      <c r="Z655" s="429">
        <v>0</v>
      </c>
      <c r="AA655" s="429">
        <v>0</v>
      </c>
      <c r="AB655" s="363" t="e">
        <v>#N/A</v>
      </c>
      <c r="AC655" s="360">
        <v>0</v>
      </c>
      <c r="AD655" s="360">
        <v>0</v>
      </c>
      <c r="AE655" s="360">
        <v>0</v>
      </c>
      <c r="AF655" s="360">
        <v>0</v>
      </c>
      <c r="AG655" s="360">
        <v>0</v>
      </c>
      <c r="AH655" s="360" t="e">
        <f t="shared" si="33"/>
        <v>#N/A</v>
      </c>
      <c r="AI655" s="455" t="e">
        <f>ERP[[#This Row],[2026 Working Total]]-ERP[[#This Row],[LE2 Final Submission]]</f>
        <v>#N/A</v>
      </c>
      <c r="AJ655" s="79">
        <v>0</v>
      </c>
      <c r="AK655" s="79">
        <f t="shared" si="32"/>
        <v>0</v>
      </c>
      <c r="AL655" s="374">
        <f>SUM(ERP[[#This Row],[AP01]:[AP06]])-SUM(ERP[[#This Row],[AP01 LE2]:[AP06 LE2]])</f>
        <v>0</v>
      </c>
      <c r="AM655" s="80"/>
      <c r="AN655" s="79" t="e">
        <f>ERP[[#This Row],[2026 Working Total to Budget/LE]]-ERP[[#This Row],[Giveback]]</f>
        <v>#N/A</v>
      </c>
      <c r="AO655" s="81"/>
      <c r="AP655" s="375"/>
      <c r="AQ655" s="375">
        <v>11.32</v>
      </c>
      <c r="AR655" s="375">
        <v>0</v>
      </c>
      <c r="AS655" s="375">
        <v>0</v>
      </c>
      <c r="AT655" s="375">
        <v>0</v>
      </c>
      <c r="AU655" s="375">
        <v>0</v>
      </c>
      <c r="AV655" s="375">
        <v>0</v>
      </c>
      <c r="AW655" s="375">
        <v>0</v>
      </c>
      <c r="AX655" s="375">
        <v>0</v>
      </c>
      <c r="AY655" s="375">
        <v>0</v>
      </c>
      <c r="AZ655" s="375">
        <v>0</v>
      </c>
      <c r="BA655" s="375">
        <v>0</v>
      </c>
      <c r="BB655" s="375">
        <v>11.32</v>
      </c>
      <c r="BC655" s="79"/>
      <c r="BD655" s="79">
        <v>11.32</v>
      </c>
      <c r="BE655" s="79">
        <v>0</v>
      </c>
      <c r="BF655" s="79">
        <v>0</v>
      </c>
      <c r="BG655" s="79">
        <v>0</v>
      </c>
      <c r="BH655" s="79">
        <v>0</v>
      </c>
      <c r="BI655" s="79">
        <v>0</v>
      </c>
      <c r="BJ655" s="79">
        <v>0</v>
      </c>
      <c r="BK655" s="79">
        <v>0</v>
      </c>
      <c r="BL655" s="79">
        <v>0</v>
      </c>
      <c r="BM655" s="79">
        <v>0</v>
      </c>
      <c r="BN655" s="79">
        <v>0</v>
      </c>
      <c r="BO655" s="79">
        <v>11.32</v>
      </c>
    </row>
    <row r="656" spans="1:67" ht="15" customHeight="1">
      <c r="A656" s="66" t="s">
        <v>1646</v>
      </c>
      <c r="B656" s="66" t="s">
        <v>1647</v>
      </c>
      <c r="C656" s="150" t="s">
        <v>1136</v>
      </c>
      <c r="D656" s="150" t="s">
        <v>1345</v>
      </c>
      <c r="E656" s="150" t="s">
        <v>1346</v>
      </c>
      <c r="F656" s="150" t="s">
        <v>1346</v>
      </c>
      <c r="G656" s="511" t="s">
        <v>49</v>
      </c>
      <c r="H656" s="451" t="s">
        <v>1648</v>
      </c>
      <c r="I656" s="343"/>
      <c r="J656" s="343"/>
      <c r="K656" s="70" t="s">
        <v>323</v>
      </c>
      <c r="L656" s="346"/>
      <c r="M656" s="343"/>
      <c r="N656" s="346"/>
      <c r="O656" s="150" t="s">
        <v>25</v>
      </c>
      <c r="P656" s="150"/>
      <c r="Q656" s="475"/>
      <c r="R656" s="406">
        <v>0</v>
      </c>
      <c r="S656" s="406">
        <v>130.62</v>
      </c>
      <c r="T656" s="425"/>
      <c r="U656" s="71"/>
      <c r="V656" s="427"/>
      <c r="W656" s="427">
        <v>130.62</v>
      </c>
      <c r="X656" s="431">
        <v>0</v>
      </c>
      <c r="Y656" s="428" t="s">
        <v>1142</v>
      </c>
      <c r="Z656" s="429">
        <v>0</v>
      </c>
      <c r="AA656" s="429">
        <v>0</v>
      </c>
      <c r="AB656" s="363" t="e">
        <v>#N/A</v>
      </c>
      <c r="AC656" s="360">
        <v>0</v>
      </c>
      <c r="AD656" s="360">
        <v>0</v>
      </c>
      <c r="AE656" s="360">
        <v>0</v>
      </c>
      <c r="AF656" s="360">
        <v>0</v>
      </c>
      <c r="AG656" s="360">
        <v>0</v>
      </c>
      <c r="AH656" s="360" t="e">
        <f t="shared" si="33"/>
        <v>#N/A</v>
      </c>
      <c r="AI656" s="455" t="e">
        <f>ERP[[#This Row],[2026 Working Total]]-ERP[[#This Row],[LE2 Final Submission]]</f>
        <v>#N/A</v>
      </c>
      <c r="AJ656" s="79">
        <v>0</v>
      </c>
      <c r="AK656" s="79">
        <f t="shared" si="32"/>
        <v>0</v>
      </c>
      <c r="AL656" s="374">
        <f>SUM(ERP[[#This Row],[AP01]:[AP06]])-SUM(ERP[[#This Row],[AP01 LE2]:[AP06 LE2]])</f>
        <v>0</v>
      </c>
      <c r="AM656" s="80"/>
      <c r="AN656" s="79" t="e">
        <f>ERP[[#This Row],[2026 Working Total to Budget/LE]]-ERP[[#This Row],[Giveback]]</f>
        <v>#N/A</v>
      </c>
      <c r="AO656" s="81"/>
      <c r="AP656" s="375"/>
      <c r="AQ656" s="375">
        <v>130.62</v>
      </c>
      <c r="AR656" s="375">
        <v>0</v>
      </c>
      <c r="AS656" s="375">
        <v>0</v>
      </c>
      <c r="AT656" s="375">
        <v>0</v>
      </c>
      <c r="AU656" s="375">
        <v>0</v>
      </c>
      <c r="AV656" s="375">
        <v>0</v>
      </c>
      <c r="AW656" s="375">
        <v>0</v>
      </c>
      <c r="AX656" s="375">
        <v>0</v>
      </c>
      <c r="AY656" s="375">
        <v>0</v>
      </c>
      <c r="AZ656" s="375">
        <v>0</v>
      </c>
      <c r="BA656" s="375">
        <v>0</v>
      </c>
      <c r="BB656" s="375">
        <v>130.62</v>
      </c>
      <c r="BC656" s="79"/>
      <c r="BD656" s="79">
        <v>130.62</v>
      </c>
      <c r="BE656" s="79">
        <v>0</v>
      </c>
      <c r="BF656" s="79">
        <v>0</v>
      </c>
      <c r="BG656" s="79">
        <v>0</v>
      </c>
      <c r="BH656" s="79">
        <v>0</v>
      </c>
      <c r="BI656" s="79">
        <v>0</v>
      </c>
      <c r="BJ656" s="79">
        <v>0</v>
      </c>
      <c r="BK656" s="79">
        <v>0</v>
      </c>
      <c r="BL656" s="79">
        <v>0</v>
      </c>
      <c r="BM656" s="79">
        <v>0</v>
      </c>
      <c r="BN656" s="79">
        <v>0</v>
      </c>
      <c r="BO656" s="79">
        <v>130.62</v>
      </c>
    </row>
    <row r="657" spans="1:67" ht="15" customHeight="1">
      <c r="A657" s="66" t="s">
        <v>2137</v>
      </c>
      <c r="B657" s="66" t="s">
        <v>2138</v>
      </c>
      <c r="C657" s="150" t="s">
        <v>1136</v>
      </c>
      <c r="D657" s="150" t="s">
        <v>1345</v>
      </c>
      <c r="E657" s="150" t="s">
        <v>1346</v>
      </c>
      <c r="F657" s="150" t="s">
        <v>1346</v>
      </c>
      <c r="G657" s="511" t="s">
        <v>389</v>
      </c>
      <c r="H657" s="451" t="s">
        <v>1648</v>
      </c>
      <c r="I657" s="343"/>
      <c r="J657" s="343"/>
      <c r="K657" s="70" t="s">
        <v>323</v>
      </c>
      <c r="L657" s="346"/>
      <c r="M657" s="343"/>
      <c r="N657" s="346"/>
      <c r="O657" s="150" t="s">
        <v>25</v>
      </c>
      <c r="P657" s="150"/>
      <c r="Q657" s="475"/>
      <c r="R657" s="406">
        <v>0</v>
      </c>
      <c r="S657" s="406">
        <v>356.72</v>
      </c>
      <c r="T657" s="425"/>
      <c r="U657" s="71"/>
      <c r="V657" s="427"/>
      <c r="W657" s="427">
        <v>356.72</v>
      </c>
      <c r="X657" s="431">
        <v>0</v>
      </c>
      <c r="Y657" s="428" t="s">
        <v>1142</v>
      </c>
      <c r="Z657" s="429">
        <v>0</v>
      </c>
      <c r="AA657" s="429">
        <v>0</v>
      </c>
      <c r="AB657" s="363" t="e">
        <v>#N/A</v>
      </c>
      <c r="AC657" s="360">
        <v>0</v>
      </c>
      <c r="AD657" s="360">
        <v>0</v>
      </c>
      <c r="AE657" s="360">
        <v>0</v>
      </c>
      <c r="AF657" s="360">
        <v>0</v>
      </c>
      <c r="AG657" s="360">
        <v>0</v>
      </c>
      <c r="AH657" s="360" t="e">
        <f t="shared" si="33"/>
        <v>#N/A</v>
      </c>
      <c r="AI657" s="455" t="e">
        <f>ERP[[#This Row],[2026 Working Total]]-ERP[[#This Row],[LE2 Final Submission]]</f>
        <v>#N/A</v>
      </c>
      <c r="AJ657" s="79">
        <v>0</v>
      </c>
      <c r="AK657" s="79">
        <f t="shared" si="32"/>
        <v>0</v>
      </c>
      <c r="AL657" s="374">
        <f>SUM(ERP[[#This Row],[AP01]:[AP06]])-SUM(ERP[[#This Row],[AP01 LE2]:[AP06 LE2]])</f>
        <v>0</v>
      </c>
      <c r="AM657" s="80"/>
      <c r="AN657" s="79" t="e">
        <f>ERP[[#This Row],[2026 Working Total to Budget/LE]]-ERP[[#This Row],[Giveback]]</f>
        <v>#N/A</v>
      </c>
      <c r="AO657" s="81"/>
      <c r="AP657" s="375"/>
      <c r="AQ657" s="375">
        <v>356.72</v>
      </c>
      <c r="AR657" s="375">
        <v>0</v>
      </c>
      <c r="AS657" s="375">
        <v>0</v>
      </c>
      <c r="AT657" s="375">
        <v>0</v>
      </c>
      <c r="AU657" s="375">
        <v>0</v>
      </c>
      <c r="AV657" s="375">
        <v>0</v>
      </c>
      <c r="AW657" s="375">
        <v>0</v>
      </c>
      <c r="AX657" s="375">
        <v>0</v>
      </c>
      <c r="AY657" s="375">
        <v>0</v>
      </c>
      <c r="AZ657" s="375">
        <v>0</v>
      </c>
      <c r="BA657" s="375">
        <v>0</v>
      </c>
      <c r="BB657" s="375">
        <v>356.72</v>
      </c>
      <c r="BC657" s="79"/>
      <c r="BD657" s="79">
        <v>356.72</v>
      </c>
      <c r="BE657" s="79">
        <v>0</v>
      </c>
      <c r="BF657" s="79">
        <v>0</v>
      </c>
      <c r="BG657" s="79">
        <v>0</v>
      </c>
      <c r="BH657" s="79">
        <v>0</v>
      </c>
      <c r="BI657" s="79">
        <v>0</v>
      </c>
      <c r="BJ657" s="79">
        <v>0</v>
      </c>
      <c r="BK657" s="79">
        <v>0</v>
      </c>
      <c r="BL657" s="79">
        <v>0</v>
      </c>
      <c r="BM657" s="79">
        <v>0</v>
      </c>
      <c r="BN657" s="79">
        <v>0</v>
      </c>
      <c r="BO657" s="79">
        <v>356.72</v>
      </c>
    </row>
    <row r="658" spans="1:67" ht="15" customHeight="1">
      <c r="A658" s="66" t="s">
        <v>2184</v>
      </c>
      <c r="B658" s="66" t="s">
        <v>2185</v>
      </c>
      <c r="C658" s="150" t="s">
        <v>1136</v>
      </c>
      <c r="D658" s="150" t="s">
        <v>1345</v>
      </c>
      <c r="E658" s="150" t="s">
        <v>1346</v>
      </c>
      <c r="F658" s="150" t="s">
        <v>1346</v>
      </c>
      <c r="G658" s="511" t="s">
        <v>602</v>
      </c>
      <c r="H658" s="451" t="s">
        <v>1648</v>
      </c>
      <c r="I658" s="343"/>
      <c r="J658" s="343"/>
      <c r="K658" s="70" t="s">
        <v>323</v>
      </c>
      <c r="L658" s="346"/>
      <c r="M658" s="343"/>
      <c r="N658" s="346"/>
      <c r="O658" s="150" t="s">
        <v>25</v>
      </c>
      <c r="P658" s="150"/>
      <c r="Q658" s="475"/>
      <c r="R658" s="406">
        <v>0</v>
      </c>
      <c r="S658" s="406">
        <v>220.29</v>
      </c>
      <c r="T658" s="425"/>
      <c r="U658" s="71"/>
      <c r="V658" s="427"/>
      <c r="W658" s="427">
        <v>220.29</v>
      </c>
      <c r="X658" s="431">
        <v>0</v>
      </c>
      <c r="Y658" s="428" t="s">
        <v>1142</v>
      </c>
      <c r="Z658" s="429">
        <v>0</v>
      </c>
      <c r="AA658" s="429">
        <v>0</v>
      </c>
      <c r="AB658" s="363" t="e">
        <v>#N/A</v>
      </c>
      <c r="AC658" s="360">
        <v>0</v>
      </c>
      <c r="AD658" s="360">
        <v>0</v>
      </c>
      <c r="AE658" s="360">
        <v>0</v>
      </c>
      <c r="AF658" s="360">
        <v>0</v>
      </c>
      <c r="AG658" s="360">
        <v>0</v>
      </c>
      <c r="AH658" s="360" t="e">
        <f t="shared" si="33"/>
        <v>#N/A</v>
      </c>
      <c r="AI658" s="455" t="e">
        <f>ERP[[#This Row],[2026 Working Total]]-ERP[[#This Row],[LE2 Final Submission]]</f>
        <v>#N/A</v>
      </c>
      <c r="AJ658" s="79">
        <v>0</v>
      </c>
      <c r="AK658" s="79">
        <f t="shared" si="32"/>
        <v>0</v>
      </c>
      <c r="AL658" s="374">
        <f>SUM(ERP[[#This Row],[AP01]:[AP06]])-SUM(ERP[[#This Row],[AP01 LE2]:[AP06 LE2]])</f>
        <v>0</v>
      </c>
      <c r="AM658" s="80"/>
      <c r="AN658" s="79" t="e">
        <f>ERP[[#This Row],[2026 Working Total to Budget/LE]]-ERP[[#This Row],[Giveback]]</f>
        <v>#N/A</v>
      </c>
      <c r="AO658" s="81"/>
      <c r="AP658" s="375"/>
      <c r="AQ658" s="375">
        <v>220.29</v>
      </c>
      <c r="AR658" s="375">
        <v>0</v>
      </c>
      <c r="AS658" s="375">
        <v>0</v>
      </c>
      <c r="AT658" s="375">
        <v>0</v>
      </c>
      <c r="AU658" s="375">
        <v>0</v>
      </c>
      <c r="AV658" s="375">
        <v>0</v>
      </c>
      <c r="AW658" s="375">
        <v>0</v>
      </c>
      <c r="AX658" s="375">
        <v>0</v>
      </c>
      <c r="AY658" s="375">
        <v>0</v>
      </c>
      <c r="AZ658" s="375">
        <v>0</v>
      </c>
      <c r="BA658" s="375">
        <v>0</v>
      </c>
      <c r="BB658" s="375">
        <v>220.29</v>
      </c>
      <c r="BC658" s="79"/>
      <c r="BD658" s="79">
        <v>220.29</v>
      </c>
      <c r="BE658" s="79">
        <v>0</v>
      </c>
      <c r="BF658" s="79">
        <v>0</v>
      </c>
      <c r="BG658" s="79">
        <v>0</v>
      </c>
      <c r="BH658" s="79">
        <v>0</v>
      </c>
      <c r="BI658" s="79">
        <v>0</v>
      </c>
      <c r="BJ658" s="79">
        <v>0</v>
      </c>
      <c r="BK658" s="79">
        <v>0</v>
      </c>
      <c r="BL658" s="79">
        <v>0</v>
      </c>
      <c r="BM658" s="79">
        <v>0</v>
      </c>
      <c r="BN658" s="79">
        <v>0</v>
      </c>
      <c r="BO658" s="79">
        <v>220.29</v>
      </c>
    </row>
    <row r="659" spans="1:67" ht="15" customHeight="1">
      <c r="A659" s="66" t="s">
        <v>2190</v>
      </c>
      <c r="B659" s="66" t="s">
        <v>2191</v>
      </c>
      <c r="C659" s="150" t="s">
        <v>1136</v>
      </c>
      <c r="D659" s="150" t="s">
        <v>1345</v>
      </c>
      <c r="E659" s="150" t="s">
        <v>1346</v>
      </c>
      <c r="F659" s="150" t="s">
        <v>1346</v>
      </c>
      <c r="G659" s="511" t="s">
        <v>625</v>
      </c>
      <c r="H659" s="451" t="s">
        <v>1648</v>
      </c>
      <c r="I659" s="343"/>
      <c r="J659" s="343"/>
      <c r="K659" s="70" t="s">
        <v>323</v>
      </c>
      <c r="L659" s="346"/>
      <c r="M659" s="343"/>
      <c r="N659" s="346"/>
      <c r="O659" s="150" t="s">
        <v>25</v>
      </c>
      <c r="P659" s="150"/>
      <c r="Q659" s="475"/>
      <c r="R659" s="406">
        <v>0</v>
      </c>
      <c r="S659" s="406">
        <v>3.5</v>
      </c>
      <c r="T659" s="425"/>
      <c r="U659" s="71"/>
      <c r="V659" s="427"/>
      <c r="W659" s="427">
        <v>3.5</v>
      </c>
      <c r="X659" s="431">
        <v>0</v>
      </c>
      <c r="Y659" s="428" t="s">
        <v>1142</v>
      </c>
      <c r="Z659" s="429">
        <v>0</v>
      </c>
      <c r="AA659" s="429">
        <v>0</v>
      </c>
      <c r="AB659" s="363" t="e">
        <v>#N/A</v>
      </c>
      <c r="AC659" s="360">
        <v>0</v>
      </c>
      <c r="AD659" s="360">
        <v>0</v>
      </c>
      <c r="AE659" s="360">
        <v>0</v>
      </c>
      <c r="AF659" s="360">
        <v>0</v>
      </c>
      <c r="AG659" s="360">
        <v>0</v>
      </c>
      <c r="AH659" s="360" t="e">
        <f t="shared" si="33"/>
        <v>#N/A</v>
      </c>
      <c r="AI659" s="455" t="e">
        <f>ERP[[#This Row],[2026 Working Total]]-ERP[[#This Row],[LE2 Final Submission]]</f>
        <v>#N/A</v>
      </c>
      <c r="AJ659" s="79">
        <v>0</v>
      </c>
      <c r="AK659" s="79">
        <f t="shared" si="32"/>
        <v>0</v>
      </c>
      <c r="AL659" s="374">
        <f>SUM(ERP[[#This Row],[AP01]:[AP06]])-SUM(ERP[[#This Row],[AP01 LE2]:[AP06 LE2]])</f>
        <v>0</v>
      </c>
      <c r="AM659" s="80"/>
      <c r="AN659" s="79" t="e">
        <f>ERP[[#This Row],[2026 Working Total to Budget/LE]]-ERP[[#This Row],[Giveback]]</f>
        <v>#N/A</v>
      </c>
      <c r="AO659" s="81"/>
      <c r="AP659" s="375"/>
      <c r="AQ659" s="375">
        <v>3.5</v>
      </c>
      <c r="AR659" s="375">
        <v>0</v>
      </c>
      <c r="AS659" s="375">
        <v>0</v>
      </c>
      <c r="AT659" s="375">
        <v>0</v>
      </c>
      <c r="AU659" s="375">
        <v>0</v>
      </c>
      <c r="AV659" s="375">
        <v>0</v>
      </c>
      <c r="AW659" s="375">
        <v>0</v>
      </c>
      <c r="AX659" s="375">
        <v>0</v>
      </c>
      <c r="AY659" s="375">
        <v>0</v>
      </c>
      <c r="AZ659" s="375">
        <v>0</v>
      </c>
      <c r="BA659" s="375">
        <v>0</v>
      </c>
      <c r="BB659" s="375">
        <v>3.5</v>
      </c>
      <c r="BC659" s="79"/>
      <c r="BD659" s="79">
        <v>3.5</v>
      </c>
      <c r="BE659" s="79">
        <v>0</v>
      </c>
      <c r="BF659" s="79">
        <v>0</v>
      </c>
      <c r="BG659" s="79">
        <v>0</v>
      </c>
      <c r="BH659" s="79">
        <v>0</v>
      </c>
      <c r="BI659" s="79">
        <v>0</v>
      </c>
      <c r="BJ659" s="79">
        <v>0</v>
      </c>
      <c r="BK659" s="79">
        <v>0</v>
      </c>
      <c r="BL659" s="79">
        <v>0</v>
      </c>
      <c r="BM659" s="79">
        <v>0</v>
      </c>
      <c r="BN659" s="79">
        <v>0</v>
      </c>
      <c r="BO659" s="79">
        <v>3.5</v>
      </c>
    </row>
    <row r="660" spans="1:67" ht="15" customHeight="1">
      <c r="A660" s="66" t="s">
        <v>2201</v>
      </c>
      <c r="B660" s="66" t="s">
        <v>2202</v>
      </c>
      <c r="C660" s="150" t="s">
        <v>1136</v>
      </c>
      <c r="D660" s="150" t="s">
        <v>1345</v>
      </c>
      <c r="E660" s="150" t="s">
        <v>1346</v>
      </c>
      <c r="F660" s="150" t="s">
        <v>1346</v>
      </c>
      <c r="G660" s="511" t="s">
        <v>629</v>
      </c>
      <c r="H660" s="451" t="s">
        <v>1648</v>
      </c>
      <c r="I660" s="343"/>
      <c r="J660" s="343"/>
      <c r="K660" s="70" t="s">
        <v>323</v>
      </c>
      <c r="L660" s="346"/>
      <c r="M660" s="343"/>
      <c r="N660" s="346"/>
      <c r="O660" s="150" t="s">
        <v>25</v>
      </c>
      <c r="P660" s="150"/>
      <c r="Q660" s="475"/>
      <c r="R660" s="406">
        <v>0</v>
      </c>
      <c r="S660" s="406">
        <v>1672.26</v>
      </c>
      <c r="T660" s="425"/>
      <c r="U660" s="71"/>
      <c r="V660" s="427"/>
      <c r="W660" s="427">
        <v>1672.26</v>
      </c>
      <c r="X660" s="431">
        <v>0</v>
      </c>
      <c r="Y660" s="428" t="s">
        <v>1142</v>
      </c>
      <c r="Z660" s="429">
        <v>0</v>
      </c>
      <c r="AA660" s="429">
        <v>0</v>
      </c>
      <c r="AB660" s="363" t="e">
        <v>#N/A</v>
      </c>
      <c r="AC660" s="360">
        <v>0</v>
      </c>
      <c r="AD660" s="360">
        <v>0</v>
      </c>
      <c r="AE660" s="360">
        <v>0</v>
      </c>
      <c r="AF660" s="360">
        <v>0</v>
      </c>
      <c r="AG660" s="360">
        <v>0</v>
      </c>
      <c r="AH660" s="360" t="e">
        <f t="shared" si="33"/>
        <v>#N/A</v>
      </c>
      <c r="AI660" s="455" t="e">
        <f>ERP[[#This Row],[2026 Working Total]]-ERP[[#This Row],[LE2 Final Submission]]</f>
        <v>#N/A</v>
      </c>
      <c r="AJ660" s="79">
        <v>0</v>
      </c>
      <c r="AK660" s="79">
        <f t="shared" si="32"/>
        <v>0</v>
      </c>
      <c r="AL660" s="374">
        <f>SUM(ERP[[#This Row],[AP01]:[AP06]])-SUM(ERP[[#This Row],[AP01 LE2]:[AP06 LE2]])</f>
        <v>0</v>
      </c>
      <c r="AM660" s="80"/>
      <c r="AN660" s="79" t="e">
        <f>ERP[[#This Row],[2026 Working Total to Budget/LE]]-ERP[[#This Row],[Giveback]]</f>
        <v>#N/A</v>
      </c>
      <c r="AO660" s="81"/>
      <c r="AP660" s="375"/>
      <c r="AQ660" s="375">
        <v>1672.26</v>
      </c>
      <c r="AR660" s="375">
        <v>0</v>
      </c>
      <c r="AS660" s="375">
        <v>0</v>
      </c>
      <c r="AT660" s="375">
        <v>0</v>
      </c>
      <c r="AU660" s="375">
        <v>0</v>
      </c>
      <c r="AV660" s="375">
        <v>0</v>
      </c>
      <c r="AW660" s="375">
        <v>0</v>
      </c>
      <c r="AX660" s="375">
        <v>0</v>
      </c>
      <c r="AY660" s="375">
        <v>0</v>
      </c>
      <c r="AZ660" s="375">
        <v>0</v>
      </c>
      <c r="BA660" s="375">
        <v>0</v>
      </c>
      <c r="BB660" s="375">
        <v>1672.26</v>
      </c>
      <c r="BC660" s="79"/>
      <c r="BD660" s="79">
        <v>1672.26</v>
      </c>
      <c r="BE660" s="79">
        <v>0</v>
      </c>
      <c r="BF660" s="79">
        <v>0</v>
      </c>
      <c r="BG660" s="79">
        <v>0</v>
      </c>
      <c r="BH660" s="79">
        <v>0</v>
      </c>
      <c r="BI660" s="79">
        <v>0</v>
      </c>
      <c r="BJ660" s="79">
        <v>0</v>
      </c>
      <c r="BK660" s="79">
        <v>0</v>
      </c>
      <c r="BL660" s="79">
        <v>0</v>
      </c>
      <c r="BM660" s="79">
        <v>0</v>
      </c>
      <c r="BN660" s="79">
        <v>0</v>
      </c>
      <c r="BO660" s="79">
        <v>1672.26</v>
      </c>
    </row>
    <row r="661" spans="1:67" ht="15" customHeight="1">
      <c r="A661" s="66" t="s">
        <v>2857</v>
      </c>
      <c r="B661" s="66" t="s">
        <v>2858</v>
      </c>
      <c r="C661" s="150" t="s">
        <v>1136</v>
      </c>
      <c r="D661" s="150" t="s">
        <v>1345</v>
      </c>
      <c r="E661" s="150" t="s">
        <v>1346</v>
      </c>
      <c r="F661" s="150" t="s">
        <v>1346</v>
      </c>
      <c r="G661" s="511" t="s">
        <v>1037</v>
      </c>
      <c r="H661" s="451" t="s">
        <v>1648</v>
      </c>
      <c r="I661" s="343"/>
      <c r="J661" s="343"/>
      <c r="K661" s="70" t="s">
        <v>323</v>
      </c>
      <c r="L661" s="346"/>
      <c r="M661" s="343"/>
      <c r="N661" s="346"/>
      <c r="O661" s="150" t="s">
        <v>25</v>
      </c>
      <c r="P661" s="150"/>
      <c r="Q661" s="453"/>
      <c r="R661" s="406">
        <v>0</v>
      </c>
      <c r="S661" s="406">
        <v>64.67</v>
      </c>
      <c r="T661" s="430"/>
      <c r="U661" s="137"/>
      <c r="V661" s="427"/>
      <c r="W661" s="427">
        <v>64.67</v>
      </c>
      <c r="X661" s="431">
        <v>0</v>
      </c>
      <c r="Y661" s="428" t="s">
        <v>1142</v>
      </c>
      <c r="Z661" s="429">
        <v>0</v>
      </c>
      <c r="AA661" s="429">
        <v>0</v>
      </c>
      <c r="AB661" s="363" t="e">
        <v>#N/A</v>
      </c>
      <c r="AC661" s="360">
        <v>0</v>
      </c>
      <c r="AD661" s="360">
        <v>0</v>
      </c>
      <c r="AE661" s="360">
        <v>0</v>
      </c>
      <c r="AF661" s="360">
        <v>0</v>
      </c>
      <c r="AG661" s="360">
        <v>0</v>
      </c>
      <c r="AH661" s="360" t="e">
        <f t="shared" si="33"/>
        <v>#N/A</v>
      </c>
      <c r="AI661" s="455" t="e">
        <f>ERP[[#This Row],[2026 Working Total]]-ERP[[#This Row],[LE2 Final Submission]]</f>
        <v>#N/A</v>
      </c>
      <c r="AJ661" s="79">
        <v>0</v>
      </c>
      <c r="AK661" s="79">
        <f t="shared" si="32"/>
        <v>0</v>
      </c>
      <c r="AL661" s="374">
        <f>SUM(ERP[[#This Row],[AP01]:[AP06]])-SUM(ERP[[#This Row],[AP01 LE2]:[AP06 LE2]])</f>
        <v>0</v>
      </c>
      <c r="AM661" s="80"/>
      <c r="AN661" s="79" t="e">
        <f>ERP[[#This Row],[2026 Working Total to Budget/LE]]-ERP[[#This Row],[Giveback]]</f>
        <v>#N/A</v>
      </c>
      <c r="AO661" s="81"/>
      <c r="AP661" s="375"/>
      <c r="AQ661" s="375">
        <v>64.67</v>
      </c>
      <c r="AR661" s="375">
        <v>0</v>
      </c>
      <c r="AS661" s="375">
        <v>0</v>
      </c>
      <c r="AT661" s="375">
        <v>0</v>
      </c>
      <c r="AU661" s="375">
        <v>0</v>
      </c>
      <c r="AV661" s="375">
        <v>0</v>
      </c>
      <c r="AW661" s="375">
        <v>0</v>
      </c>
      <c r="AX661" s="375">
        <v>0</v>
      </c>
      <c r="AY661" s="375">
        <v>0</v>
      </c>
      <c r="AZ661" s="375">
        <v>0</v>
      </c>
      <c r="BA661" s="375">
        <v>0</v>
      </c>
      <c r="BB661" s="375">
        <v>64.67</v>
      </c>
      <c r="BC661" s="79"/>
      <c r="BD661" s="79">
        <v>64.67</v>
      </c>
      <c r="BE661" s="79">
        <v>0</v>
      </c>
      <c r="BF661" s="79">
        <v>0</v>
      </c>
      <c r="BG661" s="79">
        <v>0</v>
      </c>
      <c r="BH661" s="79">
        <v>0</v>
      </c>
      <c r="BI661" s="79">
        <v>0</v>
      </c>
      <c r="BJ661" s="79">
        <v>0</v>
      </c>
      <c r="BK661" s="79">
        <v>0</v>
      </c>
      <c r="BL661" s="79">
        <v>0</v>
      </c>
      <c r="BM661" s="79">
        <v>0</v>
      </c>
      <c r="BN661" s="79">
        <v>0</v>
      </c>
      <c r="BO661" s="79">
        <v>64.67</v>
      </c>
    </row>
    <row r="662" spans="1:67" ht="15" customHeight="1">
      <c r="A662" s="66" t="s">
        <v>2840</v>
      </c>
      <c r="B662" s="66" t="s">
        <v>2841</v>
      </c>
      <c r="C662" s="150" t="s">
        <v>1136</v>
      </c>
      <c r="D662" s="150" t="s">
        <v>1345</v>
      </c>
      <c r="E662" s="150" t="s">
        <v>1346</v>
      </c>
      <c r="F662" s="150" t="s">
        <v>1346</v>
      </c>
      <c r="G662" s="511" t="s">
        <v>1027</v>
      </c>
      <c r="H662" s="451" t="s">
        <v>2830</v>
      </c>
      <c r="I662" s="343"/>
      <c r="J662" s="343"/>
      <c r="K662" s="70" t="s">
        <v>1029</v>
      </c>
      <c r="L662" s="346"/>
      <c r="M662" s="343"/>
      <c r="N662" s="346"/>
      <c r="O662" s="150" t="s">
        <v>25</v>
      </c>
      <c r="P662" s="150"/>
      <c r="Q662" s="453"/>
      <c r="R662" s="406">
        <v>157900</v>
      </c>
      <c r="S662" s="406">
        <v>130982.95</v>
      </c>
      <c r="T662" s="430"/>
      <c r="U662" s="137"/>
      <c r="V662" s="427">
        <v>2896.56</v>
      </c>
      <c r="W662" s="427">
        <v>3761.9</v>
      </c>
      <c r="X662" s="427">
        <v>4324.49</v>
      </c>
      <c r="Y662" s="428">
        <v>5457.6899999999987</v>
      </c>
      <c r="Z662" s="429">
        <v>8526.0100000000039</v>
      </c>
      <c r="AA662" s="429">
        <v>5199.119999999999</v>
      </c>
      <c r="AB662" s="363" t="e">
        <v>#N/A</v>
      </c>
      <c r="AC662" s="363">
        <v>13700</v>
      </c>
      <c r="AD662" s="363">
        <v>13700</v>
      </c>
      <c r="AE662" s="363">
        <v>13700</v>
      </c>
      <c r="AF662" s="363">
        <v>13800</v>
      </c>
      <c r="AG662" s="363">
        <v>13800</v>
      </c>
      <c r="AH662" s="360" t="e">
        <f t="shared" si="33"/>
        <v>#N/A</v>
      </c>
      <c r="AI662" s="455" t="e">
        <f>ERP[[#This Row],[2026 Working Total]]-ERP[[#This Row],[LE2 Final Submission]]</f>
        <v>#N/A</v>
      </c>
      <c r="AJ662" s="79">
        <v>13500</v>
      </c>
      <c r="AK662" s="79">
        <f t="shared" si="32"/>
        <v>-8300.880000000001</v>
      </c>
      <c r="AL662" s="374">
        <f>SUM(ERP[[#This Row],[AP01]:[AP06]])-SUM(ERP[[#This Row],[AP01 LE2]:[AP06 LE2]])</f>
        <v>-18617.179999999997</v>
      </c>
      <c r="AM662" s="80"/>
      <c r="AN662" s="79" t="e">
        <f>ERP[[#This Row],[2026 Working Total to Budget/LE]]-ERP[[#This Row],[Giveback]]</f>
        <v>#N/A</v>
      </c>
      <c r="AO662" s="81"/>
      <c r="AP662" s="375">
        <v>2896.56</v>
      </c>
      <c r="AQ662" s="375">
        <v>3761.9</v>
      </c>
      <c r="AR662" s="375">
        <v>4324.49</v>
      </c>
      <c r="AS662" s="375">
        <v>12300</v>
      </c>
      <c r="AT662" s="375">
        <v>12300</v>
      </c>
      <c r="AU662" s="375">
        <v>13200</v>
      </c>
      <c r="AV662" s="375">
        <v>13500</v>
      </c>
      <c r="AW662" s="375">
        <v>13700</v>
      </c>
      <c r="AX662" s="375">
        <v>13700</v>
      </c>
      <c r="AY662" s="375">
        <v>13700</v>
      </c>
      <c r="AZ662" s="375">
        <v>13800</v>
      </c>
      <c r="BA662" s="375">
        <v>13800</v>
      </c>
      <c r="BB662" s="375">
        <v>130982.95</v>
      </c>
      <c r="BC662" s="79">
        <v>2896.56</v>
      </c>
      <c r="BD662" s="79">
        <v>3761.9</v>
      </c>
      <c r="BE662" s="79">
        <v>4324.49</v>
      </c>
      <c r="BF662" s="79">
        <v>12300</v>
      </c>
      <c r="BG662" s="79">
        <v>12300</v>
      </c>
      <c r="BH662" s="79">
        <v>13200</v>
      </c>
      <c r="BI662" s="79">
        <v>13500</v>
      </c>
      <c r="BJ662" s="79">
        <v>13700</v>
      </c>
      <c r="BK662" s="79">
        <v>13700</v>
      </c>
      <c r="BL662" s="79">
        <v>13700</v>
      </c>
      <c r="BM662" s="79">
        <v>13800</v>
      </c>
      <c r="BN662" s="79">
        <v>13800</v>
      </c>
      <c r="BO662" s="79">
        <v>130982.95</v>
      </c>
    </row>
    <row r="663" spans="1:67" ht="15" customHeight="1">
      <c r="A663" s="66" t="s">
        <v>2156</v>
      </c>
      <c r="B663" s="66" t="s">
        <v>2157</v>
      </c>
      <c r="C663" s="150" t="s">
        <v>1136</v>
      </c>
      <c r="D663" s="150" t="s">
        <v>1135</v>
      </c>
      <c r="E663" s="150" t="s">
        <v>1137</v>
      </c>
      <c r="F663" s="150" t="s">
        <v>1137</v>
      </c>
      <c r="G663" s="511" t="s">
        <v>602</v>
      </c>
      <c r="H663" s="451" t="s">
        <v>611</v>
      </c>
      <c r="I663" s="343"/>
      <c r="J663" s="343"/>
      <c r="K663" s="70" t="s">
        <v>610</v>
      </c>
      <c r="L663" s="346"/>
      <c r="M663" s="343"/>
      <c r="N663" s="346"/>
      <c r="O663" s="150" t="s">
        <v>611</v>
      </c>
      <c r="P663" s="1" t="s">
        <v>1141</v>
      </c>
      <c r="Q663" s="453"/>
      <c r="R663" s="406">
        <v>0</v>
      </c>
      <c r="S663" s="406">
        <v>9271.2199999999993</v>
      </c>
      <c r="T663" s="425"/>
      <c r="U663" s="71"/>
      <c r="V663" s="427">
        <v>497.32</v>
      </c>
      <c r="W663" s="427">
        <v>7672.35</v>
      </c>
      <c r="X663" s="427">
        <v>1101.55</v>
      </c>
      <c r="Y663" s="428">
        <v>216.08999999999983</v>
      </c>
      <c r="Z663" s="429">
        <v>402.42000000000007</v>
      </c>
      <c r="AA663" s="429">
        <v>209.19</v>
      </c>
      <c r="AB663" s="363" t="e">
        <v>#N/A</v>
      </c>
      <c r="AC663" s="360">
        <v>0</v>
      </c>
      <c r="AD663" s="360">
        <v>0</v>
      </c>
      <c r="AE663" s="360">
        <v>0</v>
      </c>
      <c r="AF663" s="360">
        <v>0</v>
      </c>
      <c r="AG663" s="360">
        <v>0</v>
      </c>
      <c r="AH663" s="360" t="e">
        <f t="shared" si="33"/>
        <v>#N/A</v>
      </c>
      <c r="AI663" s="455" t="e">
        <f>ERP[[#This Row],[2026 Working Total]]-ERP[[#This Row],[LE2 Final Submission]]</f>
        <v>#N/A</v>
      </c>
      <c r="AJ663" s="79">
        <v>0</v>
      </c>
      <c r="AK663" s="79">
        <f t="shared" si="32"/>
        <v>209.19</v>
      </c>
      <c r="AL663" s="374">
        <f>SUM(ERP[[#This Row],[AP01]:[AP06]])-SUM(ERP[[#This Row],[AP01 LE2]:[AP06 LE2]])</f>
        <v>827.70000000000073</v>
      </c>
      <c r="AM663" s="80"/>
      <c r="AN663" s="79" t="e">
        <f>ERP[[#This Row],[2026 Working Total to Budget/LE]]-ERP[[#This Row],[Giveback]]</f>
        <v>#N/A</v>
      </c>
      <c r="AO663" s="81"/>
      <c r="AP663" s="375">
        <v>497.32</v>
      </c>
      <c r="AQ663" s="375">
        <v>7672.35</v>
      </c>
      <c r="AR663" s="375">
        <v>1101.55</v>
      </c>
      <c r="AS663" s="375">
        <v>0</v>
      </c>
      <c r="AT663" s="375">
        <v>0</v>
      </c>
      <c r="AU663" s="375">
        <v>0</v>
      </c>
      <c r="AV663" s="375">
        <v>0</v>
      </c>
      <c r="AW663" s="375">
        <v>0</v>
      </c>
      <c r="AX663" s="375">
        <v>0</v>
      </c>
      <c r="AY663" s="375">
        <v>0</v>
      </c>
      <c r="AZ663" s="375">
        <v>0</v>
      </c>
      <c r="BA663" s="375">
        <v>0</v>
      </c>
      <c r="BB663" s="375">
        <v>9271.2199999999993</v>
      </c>
      <c r="BC663" s="79">
        <v>497.32</v>
      </c>
      <c r="BD663" s="79">
        <v>7672.35</v>
      </c>
      <c r="BE663" s="79">
        <v>1101.55</v>
      </c>
      <c r="BF663" s="79">
        <v>0</v>
      </c>
      <c r="BG663" s="79">
        <v>0</v>
      </c>
      <c r="BH663" s="79">
        <v>0</v>
      </c>
      <c r="BI663" s="79">
        <v>0</v>
      </c>
      <c r="BJ663" s="79">
        <v>0</v>
      </c>
      <c r="BK663" s="79">
        <v>0</v>
      </c>
      <c r="BL663" s="79">
        <v>0</v>
      </c>
      <c r="BM663" s="79">
        <v>0</v>
      </c>
      <c r="BN663" s="79">
        <v>0</v>
      </c>
      <c r="BO663" s="79">
        <v>9271.2199999999993</v>
      </c>
    </row>
    <row r="664" spans="1:67" ht="15" customHeight="1">
      <c r="A664" s="66" t="s">
        <v>2833</v>
      </c>
      <c r="B664" s="66" t="s">
        <v>1030</v>
      </c>
      <c r="C664" s="150" t="s">
        <v>1136</v>
      </c>
      <c r="D664" s="334" t="s">
        <v>1345</v>
      </c>
      <c r="E664" s="334" t="s">
        <v>1344</v>
      </c>
      <c r="F664" s="334" t="s">
        <v>1346</v>
      </c>
      <c r="G664" s="511" t="s">
        <v>1027</v>
      </c>
      <c r="H664" s="451" t="s">
        <v>2830</v>
      </c>
      <c r="I664" s="343"/>
      <c r="J664" s="343"/>
      <c r="K664" s="70" t="s">
        <v>1029</v>
      </c>
      <c r="L664" s="346"/>
      <c r="M664" s="343"/>
      <c r="N664" s="346"/>
      <c r="O664" s="150" t="s">
        <v>25</v>
      </c>
      <c r="P664" s="150"/>
      <c r="Q664" s="453"/>
      <c r="R664" s="406">
        <v>0</v>
      </c>
      <c r="S664" s="406">
        <v>39.089999999999996</v>
      </c>
      <c r="T664" s="425"/>
      <c r="U664" s="71"/>
      <c r="V664" s="427">
        <v>-39.24</v>
      </c>
      <c r="W664" s="427">
        <v>78.33</v>
      </c>
      <c r="X664" s="431">
        <v>0</v>
      </c>
      <c r="Y664" s="428">
        <v>101.53</v>
      </c>
      <c r="Z664" s="429">
        <v>0</v>
      </c>
      <c r="AA664" s="429">
        <v>0</v>
      </c>
      <c r="AB664" s="363" t="e">
        <v>#N/A</v>
      </c>
      <c r="AC664" s="360">
        <v>0</v>
      </c>
      <c r="AD664" s="360">
        <v>0</v>
      </c>
      <c r="AE664" s="360">
        <v>0</v>
      </c>
      <c r="AF664" s="360">
        <v>0</v>
      </c>
      <c r="AG664" s="360">
        <v>0</v>
      </c>
      <c r="AH664" s="360" t="e">
        <f t="shared" si="33"/>
        <v>#N/A</v>
      </c>
      <c r="AI664" s="455" t="e">
        <f>ERP[[#This Row],[2026 Working Total]]-ERP[[#This Row],[LE2 Final Submission]]</f>
        <v>#N/A</v>
      </c>
      <c r="AJ664" s="79">
        <v>0</v>
      </c>
      <c r="AK664" s="79">
        <f t="shared" si="32"/>
        <v>0</v>
      </c>
      <c r="AL664" s="374">
        <f>SUM(ERP[[#This Row],[AP01]:[AP06]])-SUM(ERP[[#This Row],[AP01 LE2]:[AP06 LE2]])</f>
        <v>101.53</v>
      </c>
      <c r="AM664" s="80"/>
      <c r="AN664" s="79" t="e">
        <f>ERP[[#This Row],[2026 Working Total to Budget/LE]]-ERP[[#This Row],[Giveback]]</f>
        <v>#N/A</v>
      </c>
      <c r="AO664" s="81"/>
      <c r="AP664" s="375">
        <v>-39.24</v>
      </c>
      <c r="AQ664" s="375">
        <v>78.33</v>
      </c>
      <c r="AR664" s="375">
        <v>0</v>
      </c>
      <c r="AS664" s="375">
        <v>0</v>
      </c>
      <c r="AT664" s="375">
        <v>0</v>
      </c>
      <c r="AU664" s="375">
        <v>0</v>
      </c>
      <c r="AV664" s="375">
        <v>0</v>
      </c>
      <c r="AW664" s="375">
        <v>0</v>
      </c>
      <c r="AX664" s="375">
        <v>0</v>
      </c>
      <c r="AY664" s="375">
        <v>0</v>
      </c>
      <c r="AZ664" s="375">
        <v>0</v>
      </c>
      <c r="BA664" s="375">
        <v>0</v>
      </c>
      <c r="BB664" s="375">
        <v>39.089999999999996</v>
      </c>
      <c r="BC664" s="79">
        <v>-39.24</v>
      </c>
      <c r="BD664" s="79">
        <v>78.33</v>
      </c>
      <c r="BE664" s="79">
        <v>0</v>
      </c>
      <c r="BF664" s="79">
        <v>0</v>
      </c>
      <c r="BG664" s="79">
        <v>0</v>
      </c>
      <c r="BH664" s="79">
        <v>0</v>
      </c>
      <c r="BI664" s="79">
        <v>0</v>
      </c>
      <c r="BJ664" s="79">
        <v>0</v>
      </c>
      <c r="BK664" s="79">
        <v>0</v>
      </c>
      <c r="BL664" s="79">
        <v>0</v>
      </c>
      <c r="BM664" s="79">
        <v>0</v>
      </c>
      <c r="BN664" s="79">
        <v>0</v>
      </c>
      <c r="BO664" s="79">
        <v>39.089999999999996</v>
      </c>
    </row>
    <row r="665" spans="1:67" ht="15" customHeight="1">
      <c r="A665" s="66" t="s">
        <v>2834</v>
      </c>
      <c r="B665" s="66" t="s">
        <v>1031</v>
      </c>
      <c r="C665" s="150" t="s">
        <v>1136</v>
      </c>
      <c r="D665" s="150" t="s">
        <v>1345</v>
      </c>
      <c r="E665" s="150" t="s">
        <v>1515</v>
      </c>
      <c r="F665" s="150" t="s">
        <v>1346</v>
      </c>
      <c r="G665" s="511" t="s">
        <v>1027</v>
      </c>
      <c r="H665" s="451" t="s">
        <v>2830</v>
      </c>
      <c r="I665" s="343"/>
      <c r="J665" s="343"/>
      <c r="K665" s="70" t="s">
        <v>1029</v>
      </c>
      <c r="L665" s="346"/>
      <c r="M665" s="343"/>
      <c r="N665" s="346"/>
      <c r="O665" s="150" t="s">
        <v>25</v>
      </c>
      <c r="P665" s="150"/>
      <c r="Q665" s="453"/>
      <c r="R665" s="406">
        <v>0</v>
      </c>
      <c r="S665" s="406">
        <v>208.93</v>
      </c>
      <c r="T665" s="425"/>
      <c r="U665" s="71"/>
      <c r="V665" s="427">
        <v>-76.86</v>
      </c>
      <c r="W665" s="427">
        <v>111.1</v>
      </c>
      <c r="X665" s="427">
        <v>174.69</v>
      </c>
      <c r="Y665" s="428">
        <v>0</v>
      </c>
      <c r="Z665" s="429">
        <v>108.31</v>
      </c>
      <c r="AA665" s="429">
        <v>60.089999999999996</v>
      </c>
      <c r="AB665" s="363" t="e">
        <v>#N/A</v>
      </c>
      <c r="AC665" s="360">
        <v>0</v>
      </c>
      <c r="AD665" s="360">
        <v>0</v>
      </c>
      <c r="AE665" s="360">
        <v>0</v>
      </c>
      <c r="AF665" s="360">
        <v>0</v>
      </c>
      <c r="AG665" s="360">
        <v>0</v>
      </c>
      <c r="AH665" s="360" t="e">
        <f t="shared" si="33"/>
        <v>#N/A</v>
      </c>
      <c r="AI665" s="455" t="e">
        <f>ERP[[#This Row],[2026 Working Total]]-ERP[[#This Row],[LE2 Final Submission]]</f>
        <v>#N/A</v>
      </c>
      <c r="AJ665" s="79">
        <v>0</v>
      </c>
      <c r="AK665" s="79">
        <f t="shared" si="32"/>
        <v>60.089999999999996</v>
      </c>
      <c r="AL665" s="374">
        <f>SUM(ERP[[#This Row],[AP01]:[AP06]])-SUM(ERP[[#This Row],[AP01 LE2]:[AP06 LE2]])</f>
        <v>168.39999999999998</v>
      </c>
      <c r="AM665" s="80"/>
      <c r="AN665" s="79" t="e">
        <f>ERP[[#This Row],[2026 Working Total to Budget/LE]]-ERP[[#This Row],[Giveback]]</f>
        <v>#N/A</v>
      </c>
      <c r="AO665" s="81"/>
      <c r="AP665" s="375">
        <v>-76.86</v>
      </c>
      <c r="AQ665" s="375">
        <v>111.1</v>
      </c>
      <c r="AR665" s="375">
        <v>174.69</v>
      </c>
      <c r="AS665" s="375">
        <v>0</v>
      </c>
      <c r="AT665" s="375">
        <v>0</v>
      </c>
      <c r="AU665" s="375">
        <v>0</v>
      </c>
      <c r="AV665" s="375">
        <v>0</v>
      </c>
      <c r="AW665" s="375">
        <v>0</v>
      </c>
      <c r="AX665" s="375">
        <v>0</v>
      </c>
      <c r="AY665" s="375">
        <v>0</v>
      </c>
      <c r="AZ665" s="375">
        <v>0</v>
      </c>
      <c r="BA665" s="375">
        <v>0</v>
      </c>
      <c r="BB665" s="375">
        <v>208.93</v>
      </c>
      <c r="BC665" s="79">
        <v>-76.86</v>
      </c>
      <c r="BD665" s="79">
        <v>111.1</v>
      </c>
      <c r="BE665" s="79">
        <v>174.69</v>
      </c>
      <c r="BF665" s="79">
        <v>0</v>
      </c>
      <c r="BG665" s="79">
        <v>0</v>
      </c>
      <c r="BH665" s="79">
        <v>0</v>
      </c>
      <c r="BI665" s="79">
        <v>0</v>
      </c>
      <c r="BJ665" s="79">
        <v>0</v>
      </c>
      <c r="BK665" s="79">
        <v>0</v>
      </c>
      <c r="BL665" s="79">
        <v>0</v>
      </c>
      <c r="BM665" s="79">
        <v>0</v>
      </c>
      <c r="BN665" s="79">
        <v>0</v>
      </c>
      <c r="BO665" s="79">
        <v>208.93</v>
      </c>
    </row>
    <row r="666" spans="1:67" ht="15" customHeight="1">
      <c r="A666" s="66" t="s">
        <v>1339</v>
      </c>
      <c r="B666" s="66" t="s">
        <v>148</v>
      </c>
      <c r="C666" s="150" t="s">
        <v>1136</v>
      </c>
      <c r="D666" s="150" t="s">
        <v>1135</v>
      </c>
      <c r="E666" s="150" t="s">
        <v>1135</v>
      </c>
      <c r="F666" s="150" t="s">
        <v>1137</v>
      </c>
      <c r="G666" s="511" t="s">
        <v>49</v>
      </c>
      <c r="H666" s="451" t="s">
        <v>1340</v>
      </c>
      <c r="I666" s="343"/>
      <c r="J666" s="343"/>
      <c r="K666" s="70" t="s">
        <v>149</v>
      </c>
      <c r="L666" s="346" t="s">
        <v>1139</v>
      </c>
      <c r="M666" s="343"/>
      <c r="N666" s="346"/>
      <c r="O666" s="150" t="s">
        <v>25</v>
      </c>
      <c r="P666" s="150"/>
      <c r="Q666" s="453"/>
      <c r="R666" s="406">
        <v>0</v>
      </c>
      <c r="S666" s="406">
        <v>-16166.66</v>
      </c>
      <c r="T666" s="425"/>
      <c r="U666" s="71"/>
      <c r="V666" s="427">
        <v>0.34</v>
      </c>
      <c r="W666" s="427">
        <v>-10499.16</v>
      </c>
      <c r="X666" s="427">
        <v>-5667.84</v>
      </c>
      <c r="Y666" s="428">
        <v>0</v>
      </c>
      <c r="Z666" s="429">
        <v>0</v>
      </c>
      <c r="AA666" s="429">
        <v>0</v>
      </c>
      <c r="AB666" s="363" t="e">
        <v>#N/A</v>
      </c>
      <c r="AC666" s="360">
        <v>0</v>
      </c>
      <c r="AD666" s="360">
        <v>0</v>
      </c>
      <c r="AE666" s="360">
        <v>0</v>
      </c>
      <c r="AF666" s="360">
        <v>0</v>
      </c>
      <c r="AG666" s="360">
        <v>0</v>
      </c>
      <c r="AH666" s="360" t="e">
        <f t="shared" si="33"/>
        <v>#N/A</v>
      </c>
      <c r="AI666" s="455" t="e">
        <f>ERP[[#This Row],[2026 Working Total]]-ERP[[#This Row],[LE2 Final Submission]]</f>
        <v>#N/A</v>
      </c>
      <c r="AJ666" s="79">
        <v>0</v>
      </c>
      <c r="AK666" s="79">
        <f t="shared" si="32"/>
        <v>0</v>
      </c>
      <c r="AL666" s="374">
        <f>SUM(ERP[[#This Row],[AP01]:[AP06]])-SUM(ERP[[#This Row],[AP01 LE2]:[AP06 LE2]])</f>
        <v>0</v>
      </c>
      <c r="AM666" s="80"/>
      <c r="AN666" s="79" t="e">
        <f>ERP[[#This Row],[2026 Working Total to Budget/LE]]-ERP[[#This Row],[Giveback]]</f>
        <v>#N/A</v>
      </c>
      <c r="AO666" s="81"/>
      <c r="AP666" s="375">
        <v>0.34</v>
      </c>
      <c r="AQ666" s="375">
        <v>-10499.16</v>
      </c>
      <c r="AR666" s="375">
        <v>-5667.84</v>
      </c>
      <c r="AS666" s="375">
        <v>0</v>
      </c>
      <c r="AT666" s="375">
        <v>0</v>
      </c>
      <c r="AU666" s="375">
        <v>0</v>
      </c>
      <c r="AV666" s="375">
        <v>0</v>
      </c>
      <c r="AW666" s="375">
        <v>0</v>
      </c>
      <c r="AX666" s="375">
        <v>0</v>
      </c>
      <c r="AY666" s="375">
        <v>0</v>
      </c>
      <c r="AZ666" s="375">
        <v>0</v>
      </c>
      <c r="BA666" s="375">
        <v>0</v>
      </c>
      <c r="BB666" s="375">
        <v>-16166.66</v>
      </c>
      <c r="BC666" s="79">
        <v>0.34</v>
      </c>
      <c r="BD666" s="79">
        <v>-10499.16</v>
      </c>
      <c r="BE666" s="79">
        <v>-5667.84</v>
      </c>
      <c r="BF666" s="79">
        <v>0</v>
      </c>
      <c r="BG666" s="79">
        <v>0</v>
      </c>
      <c r="BH666" s="79">
        <v>0</v>
      </c>
      <c r="BI666" s="79">
        <v>0</v>
      </c>
      <c r="BJ666" s="79">
        <v>0</v>
      </c>
      <c r="BK666" s="79">
        <v>0</v>
      </c>
      <c r="BL666" s="79">
        <v>0</v>
      </c>
      <c r="BM666" s="79">
        <v>0</v>
      </c>
      <c r="BN666" s="79">
        <v>0</v>
      </c>
      <c r="BO666" s="79">
        <v>-16166.66</v>
      </c>
    </row>
    <row r="667" spans="1:67" ht="15" customHeight="1">
      <c r="A667" s="66" t="s">
        <v>2842</v>
      </c>
      <c r="B667" s="66" t="s">
        <v>2843</v>
      </c>
      <c r="C667" s="150" t="s">
        <v>1136</v>
      </c>
      <c r="D667" s="150" t="s">
        <v>1567</v>
      </c>
      <c r="E667" s="150" t="s">
        <v>1567</v>
      </c>
      <c r="F667" s="150" t="s">
        <v>1567</v>
      </c>
      <c r="G667" s="511" t="s">
        <v>1027</v>
      </c>
      <c r="H667" s="451" t="s">
        <v>2830</v>
      </c>
      <c r="I667" s="343"/>
      <c r="J667" s="343"/>
      <c r="K667" s="70" t="s">
        <v>1029</v>
      </c>
      <c r="L667" s="346"/>
      <c r="M667" s="343"/>
      <c r="N667" s="346"/>
      <c r="O667" s="150" t="s">
        <v>25</v>
      </c>
      <c r="P667" s="150"/>
      <c r="Q667" s="453"/>
      <c r="R667" s="406">
        <v>3200</v>
      </c>
      <c r="S667" s="406">
        <v>4217.2800000000007</v>
      </c>
      <c r="T667" s="425"/>
      <c r="U667" s="71"/>
      <c r="V667" s="427">
        <v>470.66</v>
      </c>
      <c r="W667" s="427">
        <v>1081.01</v>
      </c>
      <c r="X667" s="427">
        <v>665.61</v>
      </c>
      <c r="Y667" s="428">
        <v>309.95</v>
      </c>
      <c r="Z667" s="429">
        <v>41.64</v>
      </c>
      <c r="AA667" s="429">
        <v>76.3</v>
      </c>
      <c r="AB667" s="363" t="e">
        <v>#N/A</v>
      </c>
      <c r="AC667" s="363">
        <v>200</v>
      </c>
      <c r="AD667" s="363">
        <v>200</v>
      </c>
      <c r="AE667" s="363">
        <v>200</v>
      </c>
      <c r="AF667" s="363">
        <v>200</v>
      </c>
      <c r="AG667" s="363">
        <v>200</v>
      </c>
      <c r="AH667" s="360" t="e">
        <f t="shared" si="33"/>
        <v>#N/A</v>
      </c>
      <c r="AI667" s="455" t="e">
        <f>ERP[[#This Row],[2026 Working Total]]-ERP[[#This Row],[LE2 Final Submission]]</f>
        <v>#N/A</v>
      </c>
      <c r="AJ667" s="79">
        <v>200</v>
      </c>
      <c r="AK667" s="79">
        <f t="shared" si="32"/>
        <v>-123.7</v>
      </c>
      <c r="AL667" s="374">
        <f>SUM(ERP[[#This Row],[AP01]:[AP06]])-SUM(ERP[[#This Row],[AP01 LE2]:[AP06 LE2]])</f>
        <v>-372.11000000000013</v>
      </c>
      <c r="AM667" s="80"/>
      <c r="AN667" s="79" t="e">
        <f>ERP[[#This Row],[2026 Working Total to Budget/LE]]-ERP[[#This Row],[Giveback]]</f>
        <v>#N/A</v>
      </c>
      <c r="AO667" s="81"/>
      <c r="AP667" s="375">
        <v>470.66</v>
      </c>
      <c r="AQ667" s="375">
        <v>1081.01</v>
      </c>
      <c r="AR667" s="375">
        <v>665.61</v>
      </c>
      <c r="AS667" s="375">
        <v>200</v>
      </c>
      <c r="AT667" s="375">
        <v>300</v>
      </c>
      <c r="AU667" s="375">
        <v>300</v>
      </c>
      <c r="AV667" s="375">
        <v>200</v>
      </c>
      <c r="AW667" s="375">
        <v>200</v>
      </c>
      <c r="AX667" s="375">
        <v>200</v>
      </c>
      <c r="AY667" s="375">
        <v>200</v>
      </c>
      <c r="AZ667" s="375">
        <v>200</v>
      </c>
      <c r="BA667" s="375">
        <v>200</v>
      </c>
      <c r="BB667" s="375">
        <v>4217.2800000000007</v>
      </c>
      <c r="BC667" s="79">
        <v>470.66</v>
      </c>
      <c r="BD667" s="79">
        <v>1081.01</v>
      </c>
      <c r="BE667" s="79">
        <v>665.61</v>
      </c>
      <c r="BF667" s="79">
        <v>200</v>
      </c>
      <c r="BG667" s="79">
        <v>300</v>
      </c>
      <c r="BH667" s="79">
        <v>300</v>
      </c>
      <c r="BI667" s="79">
        <v>200</v>
      </c>
      <c r="BJ667" s="79">
        <v>200</v>
      </c>
      <c r="BK667" s="79">
        <v>200</v>
      </c>
      <c r="BL667" s="79">
        <v>200</v>
      </c>
      <c r="BM667" s="79">
        <v>200</v>
      </c>
      <c r="BN667" s="79">
        <v>200</v>
      </c>
      <c r="BO667" s="79">
        <v>4217.2800000000007</v>
      </c>
    </row>
    <row r="668" spans="1:67" ht="15" customHeight="1">
      <c r="A668" s="66" t="s">
        <v>2844</v>
      </c>
      <c r="B668" s="66" t="s">
        <v>1035</v>
      </c>
      <c r="C668" s="150" t="s">
        <v>1136</v>
      </c>
      <c r="D668" s="150" t="s">
        <v>1650</v>
      </c>
      <c r="E668" s="150" t="s">
        <v>1650</v>
      </c>
      <c r="F668" s="150" t="s">
        <v>1650</v>
      </c>
      <c r="G668" s="511" t="s">
        <v>1027</v>
      </c>
      <c r="H668" s="451" t="s">
        <v>2830</v>
      </c>
      <c r="I668" s="343"/>
      <c r="J668" s="343"/>
      <c r="K668" s="70" t="s">
        <v>1029</v>
      </c>
      <c r="L668" s="346"/>
      <c r="M668" s="343"/>
      <c r="N668" s="346"/>
      <c r="O668" s="150" t="s">
        <v>25</v>
      </c>
      <c r="P668" s="150"/>
      <c r="Q668" s="453"/>
      <c r="R668" s="406">
        <v>18800</v>
      </c>
      <c r="S668" s="406">
        <v>15498</v>
      </c>
      <c r="T668" s="425"/>
      <c r="U668" s="71"/>
      <c r="V668" s="427">
        <v>102</v>
      </c>
      <c r="W668" s="427">
        <v>121</v>
      </c>
      <c r="X668" s="427">
        <v>675</v>
      </c>
      <c r="Y668" s="428">
        <v>1883.5499999999997</v>
      </c>
      <c r="Z668" s="429">
        <v>861.93999999999994</v>
      </c>
      <c r="AA668" s="429">
        <v>234.03</v>
      </c>
      <c r="AB668" s="363" t="e">
        <v>#N/A</v>
      </c>
      <c r="AC668" s="363">
        <v>1700</v>
      </c>
      <c r="AD668" s="363">
        <v>1700</v>
      </c>
      <c r="AE668" s="363">
        <v>1700</v>
      </c>
      <c r="AF668" s="363">
        <v>1700</v>
      </c>
      <c r="AG668" s="363">
        <v>1700</v>
      </c>
      <c r="AH668" s="360" t="e">
        <f t="shared" si="33"/>
        <v>#N/A</v>
      </c>
      <c r="AI668" s="455" t="e">
        <f>ERP[[#This Row],[2026 Working Total]]-ERP[[#This Row],[LE2 Final Submission]]</f>
        <v>#N/A</v>
      </c>
      <c r="AJ668" s="79">
        <v>1500</v>
      </c>
      <c r="AK668" s="79">
        <f t="shared" si="32"/>
        <v>-1265.97</v>
      </c>
      <c r="AL668" s="374">
        <f>SUM(ERP[[#This Row],[AP01]:[AP06]])-SUM(ERP[[#This Row],[AP01 LE2]:[AP06 LE2]])</f>
        <v>-1620.48</v>
      </c>
      <c r="AM668" s="80"/>
      <c r="AN668" s="79" t="e">
        <f>ERP[[#This Row],[2026 Working Total to Budget/LE]]-ERP[[#This Row],[Giveback]]</f>
        <v>#N/A</v>
      </c>
      <c r="AO668" s="81"/>
      <c r="AP668" s="375">
        <v>102</v>
      </c>
      <c r="AQ668" s="375">
        <v>121</v>
      </c>
      <c r="AR668" s="375">
        <v>675</v>
      </c>
      <c r="AS668" s="375">
        <v>1600</v>
      </c>
      <c r="AT668" s="375">
        <v>1500</v>
      </c>
      <c r="AU668" s="375">
        <v>1500</v>
      </c>
      <c r="AV668" s="375">
        <v>1500</v>
      </c>
      <c r="AW668" s="375">
        <v>1700</v>
      </c>
      <c r="AX668" s="375">
        <v>1700</v>
      </c>
      <c r="AY668" s="375">
        <v>1700</v>
      </c>
      <c r="AZ668" s="375">
        <v>1700</v>
      </c>
      <c r="BA668" s="375">
        <v>1700</v>
      </c>
      <c r="BB668" s="375">
        <v>15498</v>
      </c>
      <c r="BC668" s="79">
        <v>102</v>
      </c>
      <c r="BD668" s="79">
        <v>121</v>
      </c>
      <c r="BE668" s="79">
        <v>675</v>
      </c>
      <c r="BF668" s="79">
        <v>1600</v>
      </c>
      <c r="BG668" s="79">
        <v>1500</v>
      </c>
      <c r="BH668" s="79">
        <v>1500</v>
      </c>
      <c r="BI668" s="79">
        <v>1500</v>
      </c>
      <c r="BJ668" s="79">
        <v>1700</v>
      </c>
      <c r="BK668" s="79">
        <v>1700</v>
      </c>
      <c r="BL668" s="79">
        <v>1700</v>
      </c>
      <c r="BM668" s="79">
        <v>1700</v>
      </c>
      <c r="BN668" s="79">
        <v>1700</v>
      </c>
      <c r="BO668" s="79">
        <v>15498</v>
      </c>
    </row>
    <row r="669" spans="1:67" ht="15" customHeight="1">
      <c r="A669" s="66" t="s">
        <v>2860</v>
      </c>
      <c r="B669" s="66" t="s">
        <v>2861</v>
      </c>
      <c r="C669" s="150" t="s">
        <v>1136</v>
      </c>
      <c r="D669" s="150" t="s">
        <v>1345</v>
      </c>
      <c r="E669" s="150" t="s">
        <v>1346</v>
      </c>
      <c r="F669" s="150" t="s">
        <v>1346</v>
      </c>
      <c r="G669" s="511" t="s">
        <v>1037</v>
      </c>
      <c r="H669" s="451" t="s">
        <v>2846</v>
      </c>
      <c r="I669" s="343"/>
      <c r="J669" s="343"/>
      <c r="K669" s="70" t="s">
        <v>1039</v>
      </c>
      <c r="L669" s="346"/>
      <c r="M669" s="346" t="s">
        <v>1140</v>
      </c>
      <c r="N669" s="346"/>
      <c r="O669" s="150" t="s">
        <v>1040</v>
      </c>
      <c r="P669" s="150"/>
      <c r="Q669" s="475"/>
      <c r="R669" s="406">
        <v>0</v>
      </c>
      <c r="S669" s="406">
        <v>23976.370000000003</v>
      </c>
      <c r="T669" s="425"/>
      <c r="U669" s="71"/>
      <c r="V669" s="427">
        <v>10095.790000000001</v>
      </c>
      <c r="W669" s="427">
        <v>9921.4500000000007</v>
      </c>
      <c r="X669" s="427">
        <v>3959.13</v>
      </c>
      <c r="Y669" s="428">
        <v>7339.65</v>
      </c>
      <c r="Z669" s="429">
        <v>-891.2900000000003</v>
      </c>
      <c r="AA669" s="429">
        <v>4400.72</v>
      </c>
      <c r="AB669" s="363" t="e">
        <v>#N/A</v>
      </c>
      <c r="AC669" s="360">
        <v>0</v>
      </c>
      <c r="AD669" s="360">
        <v>0</v>
      </c>
      <c r="AE669" s="360">
        <v>0</v>
      </c>
      <c r="AF669" s="360">
        <v>0</v>
      </c>
      <c r="AG669" s="360">
        <v>0</v>
      </c>
      <c r="AH669" s="360" t="e">
        <f t="shared" si="33"/>
        <v>#N/A</v>
      </c>
      <c r="AI669" s="455" t="e">
        <f>ERP[[#This Row],[2026 Working Total]]-ERP[[#This Row],[LE2 Final Submission]]</f>
        <v>#N/A</v>
      </c>
      <c r="AJ669" s="79">
        <v>0</v>
      </c>
      <c r="AK669" s="79">
        <f t="shared" si="32"/>
        <v>4400.72</v>
      </c>
      <c r="AL669" s="374">
        <f>SUM(ERP[[#This Row],[AP01]:[AP06]])-SUM(ERP[[#This Row],[AP01 LE2]:[AP06 LE2]])</f>
        <v>10849.080000000002</v>
      </c>
      <c r="AM669" s="80"/>
      <c r="AN669" s="79" t="e">
        <f>ERP[[#This Row],[2026 Working Total to Budget/LE]]-ERP[[#This Row],[Giveback]]</f>
        <v>#N/A</v>
      </c>
      <c r="AO669" s="81"/>
      <c r="AP669" s="375">
        <v>10095.790000000001</v>
      </c>
      <c r="AQ669" s="375">
        <v>9921.4500000000007</v>
      </c>
      <c r="AR669" s="375">
        <v>3959.13</v>
      </c>
      <c r="AS669" s="375">
        <v>0</v>
      </c>
      <c r="AT669" s="375">
        <v>0</v>
      </c>
      <c r="AU669" s="375">
        <v>0</v>
      </c>
      <c r="AV669" s="375">
        <v>0</v>
      </c>
      <c r="AW669" s="375">
        <v>0</v>
      </c>
      <c r="AX669" s="375">
        <v>0</v>
      </c>
      <c r="AY669" s="375">
        <v>0</v>
      </c>
      <c r="AZ669" s="375">
        <v>0</v>
      </c>
      <c r="BA669" s="375">
        <v>0</v>
      </c>
      <c r="BB669" s="375">
        <v>23976.370000000003</v>
      </c>
      <c r="BC669" s="79">
        <v>10095.790000000001</v>
      </c>
      <c r="BD669" s="79">
        <v>9921.4500000000007</v>
      </c>
      <c r="BE669" s="79">
        <v>3959.13</v>
      </c>
      <c r="BF669" s="79">
        <v>0</v>
      </c>
      <c r="BG669" s="79">
        <v>0</v>
      </c>
      <c r="BH669" s="79">
        <v>0</v>
      </c>
      <c r="BI669" s="79">
        <v>0</v>
      </c>
      <c r="BJ669" s="79">
        <v>0</v>
      </c>
      <c r="BK669" s="79">
        <v>0</v>
      </c>
      <c r="BL669" s="79">
        <v>0</v>
      </c>
      <c r="BM669" s="79">
        <v>0</v>
      </c>
      <c r="BN669" s="79">
        <v>0</v>
      </c>
      <c r="BO669" s="79">
        <v>23976.370000000003</v>
      </c>
    </row>
    <row r="670" spans="1:67" ht="15" customHeight="1">
      <c r="A670" s="66" t="s">
        <v>1341</v>
      </c>
      <c r="B670" s="66" t="s">
        <v>1342</v>
      </c>
      <c r="C670" s="150" t="s">
        <v>1136</v>
      </c>
      <c r="D670" s="150" t="s">
        <v>1135</v>
      </c>
      <c r="E670" s="150" t="s">
        <v>1156</v>
      </c>
      <c r="F670" s="150" t="s">
        <v>1137</v>
      </c>
      <c r="G670" s="511" t="s">
        <v>49</v>
      </c>
      <c r="H670" s="451" t="s">
        <v>1340</v>
      </c>
      <c r="I670" s="343"/>
      <c r="J670" s="343"/>
      <c r="K670" s="70" t="s">
        <v>149</v>
      </c>
      <c r="L670" s="346" t="s">
        <v>1139</v>
      </c>
      <c r="M670" s="343"/>
      <c r="N670" s="346"/>
      <c r="O670" s="150" t="s">
        <v>25</v>
      </c>
      <c r="P670" s="150"/>
      <c r="Q670" s="453"/>
      <c r="R670" s="406">
        <v>0</v>
      </c>
      <c r="S670" s="406">
        <v>-14694</v>
      </c>
      <c r="T670" s="425"/>
      <c r="U670" s="71"/>
      <c r="V670" s="427"/>
      <c r="W670" s="427"/>
      <c r="X670" s="427">
        <v>-14694</v>
      </c>
      <c r="Y670" s="428">
        <v>0</v>
      </c>
      <c r="Z670" s="429">
        <v>0</v>
      </c>
      <c r="AA670" s="429">
        <v>0</v>
      </c>
      <c r="AB670" s="363" t="e">
        <v>#N/A</v>
      </c>
      <c r="AC670" s="360">
        <v>0</v>
      </c>
      <c r="AD670" s="360">
        <v>0</v>
      </c>
      <c r="AE670" s="360">
        <v>0</v>
      </c>
      <c r="AF670" s="360">
        <v>0</v>
      </c>
      <c r="AG670" s="360">
        <v>0</v>
      </c>
      <c r="AH670" s="360" t="e">
        <f t="shared" si="33"/>
        <v>#N/A</v>
      </c>
      <c r="AI670" s="455" t="e">
        <f>ERP[[#This Row],[2026 Working Total]]-ERP[[#This Row],[LE2 Final Submission]]</f>
        <v>#N/A</v>
      </c>
      <c r="AJ670" s="79">
        <v>0</v>
      </c>
      <c r="AK670" s="79">
        <f t="shared" si="32"/>
        <v>0</v>
      </c>
      <c r="AL670" s="374">
        <f>SUM(ERP[[#This Row],[AP01]:[AP06]])-SUM(ERP[[#This Row],[AP01 LE2]:[AP06 LE2]])</f>
        <v>0</v>
      </c>
      <c r="AM670" s="80"/>
      <c r="AN670" s="79" t="e">
        <f>ERP[[#This Row],[2026 Working Total to Budget/LE]]-ERP[[#This Row],[Giveback]]</f>
        <v>#N/A</v>
      </c>
      <c r="AO670" s="81"/>
      <c r="AP670" s="375"/>
      <c r="AQ670" s="375"/>
      <c r="AR670" s="375">
        <v>-14694</v>
      </c>
      <c r="AS670" s="375">
        <v>0</v>
      </c>
      <c r="AT670" s="375">
        <v>0</v>
      </c>
      <c r="AU670" s="375">
        <v>0</v>
      </c>
      <c r="AV670" s="375">
        <v>0</v>
      </c>
      <c r="AW670" s="375">
        <v>0</v>
      </c>
      <c r="AX670" s="375">
        <v>0</v>
      </c>
      <c r="AY670" s="375">
        <v>0</v>
      </c>
      <c r="AZ670" s="375">
        <v>0</v>
      </c>
      <c r="BA670" s="375">
        <v>0</v>
      </c>
      <c r="BB670" s="375">
        <v>-14694</v>
      </c>
      <c r="BC670" s="79"/>
      <c r="BD670" s="79"/>
      <c r="BE670" s="79">
        <v>-14694</v>
      </c>
      <c r="BF670" s="79">
        <v>0</v>
      </c>
      <c r="BG670" s="79">
        <v>0</v>
      </c>
      <c r="BH670" s="79">
        <v>0</v>
      </c>
      <c r="BI670" s="79">
        <v>0</v>
      </c>
      <c r="BJ670" s="79">
        <v>0</v>
      </c>
      <c r="BK670" s="79">
        <v>0</v>
      </c>
      <c r="BL670" s="79">
        <v>0</v>
      </c>
      <c r="BM670" s="79">
        <v>0</v>
      </c>
      <c r="BN670" s="79">
        <v>0</v>
      </c>
      <c r="BO670" s="79">
        <v>-14694</v>
      </c>
    </row>
    <row r="671" spans="1:67" s="15" customFormat="1" ht="15" customHeight="1">
      <c r="A671" s="66" t="s">
        <v>2849</v>
      </c>
      <c r="B671" s="66" t="s">
        <v>1041</v>
      </c>
      <c r="C671" s="150" t="s">
        <v>1136</v>
      </c>
      <c r="D671" s="150" t="s">
        <v>1345</v>
      </c>
      <c r="E671" s="150" t="s">
        <v>1344</v>
      </c>
      <c r="F671" s="150" t="s">
        <v>1346</v>
      </c>
      <c r="G671" s="511" t="s">
        <v>1037</v>
      </c>
      <c r="H671" s="451" t="s">
        <v>2846</v>
      </c>
      <c r="I671" s="343"/>
      <c r="J671" s="343"/>
      <c r="K671" s="70" t="s">
        <v>1039</v>
      </c>
      <c r="L671" s="346"/>
      <c r="M671" s="346" t="s">
        <v>1140</v>
      </c>
      <c r="N671" s="346"/>
      <c r="O671" s="150" t="s">
        <v>1040</v>
      </c>
      <c r="P671" s="150"/>
      <c r="Q671" s="453"/>
      <c r="R671" s="406">
        <v>0</v>
      </c>
      <c r="S671" s="406">
        <v>995.34</v>
      </c>
      <c r="T671" s="425"/>
      <c r="U671" s="71"/>
      <c r="V671" s="427">
        <v>948.99</v>
      </c>
      <c r="W671" s="431">
        <v>0</v>
      </c>
      <c r="X671" s="427">
        <v>46.35</v>
      </c>
      <c r="Y671" s="428">
        <v>0</v>
      </c>
      <c r="Z671" s="429">
        <v>0</v>
      </c>
      <c r="AA671" s="429">
        <v>0</v>
      </c>
      <c r="AB671" s="363" t="e">
        <v>#N/A</v>
      </c>
      <c r="AC671" s="360">
        <v>0</v>
      </c>
      <c r="AD671" s="360">
        <v>0</v>
      </c>
      <c r="AE671" s="360">
        <v>0</v>
      </c>
      <c r="AF671" s="360">
        <v>0</v>
      </c>
      <c r="AG671" s="360">
        <v>0</v>
      </c>
      <c r="AH671" s="360" t="e">
        <f t="shared" si="33"/>
        <v>#N/A</v>
      </c>
      <c r="AI671" s="455" t="e">
        <f>ERP[[#This Row],[2026 Working Total]]-ERP[[#This Row],[LE2 Final Submission]]</f>
        <v>#N/A</v>
      </c>
      <c r="AJ671" s="79">
        <v>0</v>
      </c>
      <c r="AK671" s="79">
        <f t="shared" si="32"/>
        <v>0</v>
      </c>
      <c r="AL671" s="374">
        <f>SUM(ERP[[#This Row],[AP01]:[AP06]])-SUM(ERP[[#This Row],[AP01 LE2]:[AP06 LE2]])</f>
        <v>0</v>
      </c>
      <c r="AM671" s="80"/>
      <c r="AN671" s="79" t="e">
        <f>ERP[[#This Row],[2026 Working Total to Budget/LE]]-ERP[[#This Row],[Giveback]]</f>
        <v>#N/A</v>
      </c>
      <c r="AO671" s="81"/>
      <c r="AP671" s="375">
        <v>948.99</v>
      </c>
      <c r="AQ671" s="375">
        <v>0</v>
      </c>
      <c r="AR671" s="375">
        <v>46.35</v>
      </c>
      <c r="AS671" s="375">
        <v>0</v>
      </c>
      <c r="AT671" s="375">
        <v>0</v>
      </c>
      <c r="AU671" s="375">
        <v>0</v>
      </c>
      <c r="AV671" s="375">
        <v>0</v>
      </c>
      <c r="AW671" s="375">
        <v>0</v>
      </c>
      <c r="AX671" s="375">
        <v>0</v>
      </c>
      <c r="AY671" s="375">
        <v>0</v>
      </c>
      <c r="AZ671" s="375">
        <v>0</v>
      </c>
      <c r="BA671" s="375">
        <v>0</v>
      </c>
      <c r="BB671" s="375">
        <v>995.34</v>
      </c>
      <c r="BC671" s="79">
        <v>948.99</v>
      </c>
      <c r="BD671" s="79">
        <v>0</v>
      </c>
      <c r="BE671" s="79">
        <v>46.35</v>
      </c>
      <c r="BF671" s="79">
        <v>0</v>
      </c>
      <c r="BG671" s="79">
        <v>0</v>
      </c>
      <c r="BH671" s="79">
        <v>0</v>
      </c>
      <c r="BI671" s="79">
        <v>0</v>
      </c>
      <c r="BJ671" s="79">
        <v>0</v>
      </c>
      <c r="BK671" s="79">
        <v>0</v>
      </c>
      <c r="BL671" s="79">
        <v>0</v>
      </c>
      <c r="BM671" s="79">
        <v>0</v>
      </c>
      <c r="BN671" s="79">
        <v>0</v>
      </c>
      <c r="BO671" s="79">
        <v>995.34</v>
      </c>
    </row>
    <row r="672" spans="1:67" ht="15" customHeight="1">
      <c r="A672" s="66" t="s">
        <v>2850</v>
      </c>
      <c r="B672" s="66" t="s">
        <v>1042</v>
      </c>
      <c r="C672" s="150" t="s">
        <v>1136</v>
      </c>
      <c r="D672" s="150" t="s">
        <v>1345</v>
      </c>
      <c r="E672" s="150" t="s">
        <v>1515</v>
      </c>
      <c r="F672" s="150" t="s">
        <v>1346</v>
      </c>
      <c r="G672" s="511" t="s">
        <v>1037</v>
      </c>
      <c r="H672" s="451" t="s">
        <v>2846</v>
      </c>
      <c r="I672" s="343"/>
      <c r="J672" s="343"/>
      <c r="K672" s="70" t="s">
        <v>1039</v>
      </c>
      <c r="L672" s="346"/>
      <c r="M672" s="346" t="s">
        <v>1140</v>
      </c>
      <c r="N672" s="346"/>
      <c r="O672" s="150" t="s">
        <v>1040</v>
      </c>
      <c r="P672" s="150"/>
      <c r="Q672" s="453"/>
      <c r="R672" s="406">
        <v>0</v>
      </c>
      <c r="S672" s="406">
        <v>1947.4499999999998</v>
      </c>
      <c r="T672" s="425"/>
      <c r="U672" s="71"/>
      <c r="V672" s="427">
        <v>1400.32</v>
      </c>
      <c r="W672" s="427">
        <v>547.13</v>
      </c>
      <c r="X672" s="431">
        <v>0</v>
      </c>
      <c r="Y672" s="428">
        <v>0</v>
      </c>
      <c r="Z672" s="429">
        <v>0</v>
      </c>
      <c r="AA672" s="429">
        <v>0</v>
      </c>
      <c r="AB672" s="363" t="e">
        <v>#N/A</v>
      </c>
      <c r="AC672" s="360">
        <v>0</v>
      </c>
      <c r="AD672" s="360">
        <v>0</v>
      </c>
      <c r="AE672" s="360">
        <v>0</v>
      </c>
      <c r="AF672" s="360">
        <v>0</v>
      </c>
      <c r="AG672" s="360">
        <v>0</v>
      </c>
      <c r="AH672" s="360" t="e">
        <f t="shared" si="33"/>
        <v>#N/A</v>
      </c>
      <c r="AI672" s="455" t="e">
        <f>ERP[[#This Row],[2026 Working Total]]-ERP[[#This Row],[LE2 Final Submission]]</f>
        <v>#N/A</v>
      </c>
      <c r="AJ672" s="79">
        <v>0</v>
      </c>
      <c r="AK672" s="79">
        <f t="shared" si="32"/>
        <v>0</v>
      </c>
      <c r="AL672" s="374">
        <f>SUM(ERP[[#This Row],[AP01]:[AP06]])-SUM(ERP[[#This Row],[AP01 LE2]:[AP06 LE2]])</f>
        <v>0</v>
      </c>
      <c r="AM672" s="80"/>
      <c r="AN672" s="79" t="e">
        <f>ERP[[#This Row],[2026 Working Total to Budget/LE]]-ERP[[#This Row],[Giveback]]</f>
        <v>#N/A</v>
      </c>
      <c r="AO672" s="81"/>
      <c r="AP672" s="375">
        <v>1400.32</v>
      </c>
      <c r="AQ672" s="375">
        <v>547.13</v>
      </c>
      <c r="AR672" s="375">
        <v>0</v>
      </c>
      <c r="AS672" s="375">
        <v>0</v>
      </c>
      <c r="AT672" s="375">
        <v>0</v>
      </c>
      <c r="AU672" s="375">
        <v>0</v>
      </c>
      <c r="AV672" s="375">
        <v>0</v>
      </c>
      <c r="AW672" s="375">
        <v>0</v>
      </c>
      <c r="AX672" s="375">
        <v>0</v>
      </c>
      <c r="AY672" s="375">
        <v>0</v>
      </c>
      <c r="AZ672" s="375">
        <v>0</v>
      </c>
      <c r="BA672" s="375">
        <v>0</v>
      </c>
      <c r="BB672" s="375">
        <v>1947.4499999999998</v>
      </c>
      <c r="BC672" s="79">
        <v>1400.32</v>
      </c>
      <c r="BD672" s="79">
        <v>547.13</v>
      </c>
      <c r="BE672" s="79">
        <v>0</v>
      </c>
      <c r="BF672" s="79">
        <v>0</v>
      </c>
      <c r="BG672" s="79">
        <v>0</v>
      </c>
      <c r="BH672" s="79">
        <v>0</v>
      </c>
      <c r="BI672" s="79">
        <v>0</v>
      </c>
      <c r="BJ672" s="79">
        <v>0</v>
      </c>
      <c r="BK672" s="79">
        <v>0</v>
      </c>
      <c r="BL672" s="79">
        <v>0</v>
      </c>
      <c r="BM672" s="79">
        <v>0</v>
      </c>
      <c r="BN672" s="79">
        <v>0</v>
      </c>
      <c r="BO672" s="79">
        <v>1947.4499999999998</v>
      </c>
    </row>
    <row r="673" spans="1:67" ht="15" customHeight="1">
      <c r="A673" s="66" t="s">
        <v>2829</v>
      </c>
      <c r="B673" s="66" t="s">
        <v>1028</v>
      </c>
      <c r="C673" s="150" t="s">
        <v>1136</v>
      </c>
      <c r="D673" s="150" t="s">
        <v>1135</v>
      </c>
      <c r="E673" s="150" t="s">
        <v>1135</v>
      </c>
      <c r="F673" s="150" t="s">
        <v>1137</v>
      </c>
      <c r="G673" s="511" t="s">
        <v>1027</v>
      </c>
      <c r="H673" s="451" t="s">
        <v>2830</v>
      </c>
      <c r="I673" s="343"/>
      <c r="J673" s="343"/>
      <c r="K673" s="70" t="s">
        <v>1029</v>
      </c>
      <c r="L673" s="346"/>
      <c r="M673" s="343"/>
      <c r="N673" s="346"/>
      <c r="O673" s="150" t="s">
        <v>25</v>
      </c>
      <c r="P673" s="150"/>
      <c r="Q673" s="453"/>
      <c r="R673" s="406">
        <v>0</v>
      </c>
      <c r="S673" s="406">
        <v>4741</v>
      </c>
      <c r="T673" s="425"/>
      <c r="U673" s="71"/>
      <c r="V673" s="427">
        <v>876</v>
      </c>
      <c r="W673" s="427">
        <v>1712</v>
      </c>
      <c r="X673" s="427">
        <v>2153</v>
      </c>
      <c r="Y673" s="428">
        <v>1577</v>
      </c>
      <c r="Z673" s="429">
        <v>1546.0000000000002</v>
      </c>
      <c r="AA673" s="429">
        <v>2107.0000000000005</v>
      </c>
      <c r="AB673" s="363" t="e">
        <v>#N/A</v>
      </c>
      <c r="AC673" s="360">
        <v>0</v>
      </c>
      <c r="AD673" s="360">
        <v>0</v>
      </c>
      <c r="AE673" s="360">
        <v>0</v>
      </c>
      <c r="AF673" s="360">
        <v>0</v>
      </c>
      <c r="AG673" s="360">
        <v>0</v>
      </c>
      <c r="AH673" s="360" t="e">
        <f t="shared" si="33"/>
        <v>#N/A</v>
      </c>
      <c r="AI673" s="455" t="e">
        <f>ERP[[#This Row],[2026 Working Total]]-ERP[[#This Row],[LE2 Final Submission]]</f>
        <v>#N/A</v>
      </c>
      <c r="AJ673" s="79">
        <v>0</v>
      </c>
      <c r="AK673" s="79">
        <f t="shared" si="32"/>
        <v>2107.0000000000005</v>
      </c>
      <c r="AL673" s="374">
        <f>SUM(ERP[[#This Row],[AP01]:[AP06]])-SUM(ERP[[#This Row],[AP01 LE2]:[AP06 LE2]])</f>
        <v>5230</v>
      </c>
      <c r="AM673" s="80"/>
      <c r="AN673" s="79" t="e">
        <f>ERP[[#This Row],[2026 Working Total to Budget/LE]]-ERP[[#This Row],[Giveback]]</f>
        <v>#N/A</v>
      </c>
      <c r="AO673" s="81"/>
      <c r="AP673" s="375">
        <v>876</v>
      </c>
      <c r="AQ673" s="375">
        <v>1712</v>
      </c>
      <c r="AR673" s="375">
        <v>2153</v>
      </c>
      <c r="AS673" s="375">
        <v>0</v>
      </c>
      <c r="AT673" s="375">
        <v>0</v>
      </c>
      <c r="AU673" s="375">
        <v>0</v>
      </c>
      <c r="AV673" s="375">
        <v>0</v>
      </c>
      <c r="AW673" s="375">
        <v>0</v>
      </c>
      <c r="AX673" s="375">
        <v>0</v>
      </c>
      <c r="AY673" s="375">
        <v>0</v>
      </c>
      <c r="AZ673" s="375">
        <v>0</v>
      </c>
      <c r="BA673" s="375">
        <v>0</v>
      </c>
      <c r="BB673" s="375">
        <v>4741</v>
      </c>
      <c r="BC673" s="79">
        <v>876</v>
      </c>
      <c r="BD673" s="79">
        <v>1712</v>
      </c>
      <c r="BE673" s="79">
        <v>2153</v>
      </c>
      <c r="BF673" s="79">
        <v>0</v>
      </c>
      <c r="BG673" s="79">
        <v>0</v>
      </c>
      <c r="BH673" s="79">
        <v>0</v>
      </c>
      <c r="BI673" s="79">
        <v>0</v>
      </c>
      <c r="BJ673" s="79">
        <v>0</v>
      </c>
      <c r="BK673" s="79">
        <v>0</v>
      </c>
      <c r="BL673" s="79">
        <v>0</v>
      </c>
      <c r="BM673" s="79">
        <v>0</v>
      </c>
      <c r="BN673" s="79">
        <v>0</v>
      </c>
      <c r="BO673" s="79">
        <v>4741</v>
      </c>
    </row>
    <row r="674" spans="1:67" ht="15" customHeight="1">
      <c r="A674" s="66" t="s">
        <v>2862</v>
      </c>
      <c r="B674" s="66" t="s">
        <v>2863</v>
      </c>
      <c r="C674" s="150" t="s">
        <v>1136</v>
      </c>
      <c r="D674" s="150" t="s">
        <v>1567</v>
      </c>
      <c r="E674" s="150" t="s">
        <v>1567</v>
      </c>
      <c r="F674" s="150" t="s">
        <v>1567</v>
      </c>
      <c r="G674" s="511" t="s">
        <v>1037</v>
      </c>
      <c r="H674" s="451" t="s">
        <v>2846</v>
      </c>
      <c r="I674" s="343"/>
      <c r="J674" s="343"/>
      <c r="K674" s="70" t="s">
        <v>1039</v>
      </c>
      <c r="L674" s="346"/>
      <c r="M674" s="346" t="s">
        <v>1140</v>
      </c>
      <c r="N674" s="346"/>
      <c r="O674" s="150" t="s">
        <v>1040</v>
      </c>
      <c r="P674" s="150"/>
      <c r="Q674" s="453"/>
      <c r="R674" s="406">
        <v>0</v>
      </c>
      <c r="S674" s="406">
        <v>-468023.23</v>
      </c>
      <c r="T674" s="425"/>
      <c r="U674" s="71"/>
      <c r="V674" s="427">
        <v>-478537.04</v>
      </c>
      <c r="W674" s="427">
        <v>11513.92</v>
      </c>
      <c r="X674" s="427">
        <v>-1000.11</v>
      </c>
      <c r="Y674" s="428">
        <v>5133</v>
      </c>
      <c r="Z674" s="429">
        <v>288</v>
      </c>
      <c r="AA674" s="429">
        <v>864</v>
      </c>
      <c r="AB674" s="363" t="e">
        <v>#N/A</v>
      </c>
      <c r="AC674" s="360">
        <v>0</v>
      </c>
      <c r="AD674" s="360">
        <v>0</v>
      </c>
      <c r="AE674" s="360">
        <v>0</v>
      </c>
      <c r="AF674" s="360">
        <v>0</v>
      </c>
      <c r="AG674" s="360">
        <v>0</v>
      </c>
      <c r="AH674" s="360" t="e">
        <f t="shared" si="33"/>
        <v>#N/A</v>
      </c>
      <c r="AI674" s="455" t="e">
        <f>ERP[[#This Row],[2026 Working Total]]-ERP[[#This Row],[LE2 Final Submission]]</f>
        <v>#N/A</v>
      </c>
      <c r="AJ674" s="79">
        <v>0</v>
      </c>
      <c r="AK674" s="79">
        <f t="shared" si="32"/>
        <v>864</v>
      </c>
      <c r="AL674" s="374">
        <f>SUM(ERP[[#This Row],[AP01]:[AP06]])-SUM(ERP[[#This Row],[AP01 LE2]:[AP06 LE2]])</f>
        <v>6285</v>
      </c>
      <c r="AM674" s="80"/>
      <c r="AN674" s="79" t="e">
        <f>ERP[[#This Row],[2026 Working Total to Budget/LE]]-ERP[[#This Row],[Giveback]]</f>
        <v>#N/A</v>
      </c>
      <c r="AO674" s="81"/>
      <c r="AP674" s="375">
        <v>-478537.04</v>
      </c>
      <c r="AQ674" s="375">
        <v>11513.92</v>
      </c>
      <c r="AR674" s="375">
        <v>-1000.11</v>
      </c>
      <c r="AS674" s="375">
        <v>0</v>
      </c>
      <c r="AT674" s="375">
        <v>0</v>
      </c>
      <c r="AU674" s="375">
        <v>0</v>
      </c>
      <c r="AV674" s="375">
        <v>0</v>
      </c>
      <c r="AW674" s="375">
        <v>0</v>
      </c>
      <c r="AX674" s="375">
        <v>0</v>
      </c>
      <c r="AY674" s="375">
        <v>0</v>
      </c>
      <c r="AZ674" s="375">
        <v>0</v>
      </c>
      <c r="BA674" s="375">
        <v>0</v>
      </c>
      <c r="BB674" s="375">
        <v>-468023.23</v>
      </c>
      <c r="BC674" s="79">
        <v>-478537.04</v>
      </c>
      <c r="BD674" s="79">
        <v>11513.92</v>
      </c>
      <c r="BE674" s="79">
        <v>-1000.11</v>
      </c>
      <c r="BF674" s="79">
        <v>0</v>
      </c>
      <c r="BG674" s="79">
        <v>0</v>
      </c>
      <c r="BH674" s="79">
        <v>0</v>
      </c>
      <c r="BI674" s="79">
        <v>0</v>
      </c>
      <c r="BJ674" s="79">
        <v>0</v>
      </c>
      <c r="BK674" s="79">
        <v>0</v>
      </c>
      <c r="BL674" s="79">
        <v>0</v>
      </c>
      <c r="BM674" s="79">
        <v>0</v>
      </c>
      <c r="BN674" s="79">
        <v>0</v>
      </c>
      <c r="BO674" s="79">
        <v>-468023.23</v>
      </c>
    </row>
    <row r="675" spans="1:67" ht="15" customHeight="1">
      <c r="A675" s="66" t="s">
        <v>2866</v>
      </c>
      <c r="B675" s="66" t="s">
        <v>1050</v>
      </c>
      <c r="C675" s="150" t="s">
        <v>1136</v>
      </c>
      <c r="D675" s="150" t="s">
        <v>1650</v>
      </c>
      <c r="E675" s="150" t="s">
        <v>1650</v>
      </c>
      <c r="F675" s="150" t="s">
        <v>1650</v>
      </c>
      <c r="G675" s="511" t="s">
        <v>1037</v>
      </c>
      <c r="H675" s="451" t="s">
        <v>2846</v>
      </c>
      <c r="I675" s="343"/>
      <c r="J675" s="343"/>
      <c r="K675" s="70" t="s">
        <v>1039</v>
      </c>
      <c r="L675" s="346"/>
      <c r="M675" s="346" t="s">
        <v>1140</v>
      </c>
      <c r="N675" s="346"/>
      <c r="O675" s="150" t="s">
        <v>1040</v>
      </c>
      <c r="P675" s="150"/>
      <c r="Q675" s="453"/>
      <c r="R675" s="406">
        <v>0</v>
      </c>
      <c r="S675" s="406">
        <v>17997.310000000001</v>
      </c>
      <c r="T675" s="425"/>
      <c r="U675" s="71"/>
      <c r="V675" s="427">
        <v>401</v>
      </c>
      <c r="W675" s="427">
        <v>11440.6</v>
      </c>
      <c r="X675" s="427">
        <v>6155.71</v>
      </c>
      <c r="Y675" s="428">
        <v>1364.6499999999996</v>
      </c>
      <c r="Z675" s="429">
        <v>535.48</v>
      </c>
      <c r="AA675" s="429">
        <v>1808.77</v>
      </c>
      <c r="AB675" s="363" t="e">
        <v>#N/A</v>
      </c>
      <c r="AC675" s="360">
        <v>0</v>
      </c>
      <c r="AD675" s="360">
        <v>0</v>
      </c>
      <c r="AE675" s="360">
        <v>0</v>
      </c>
      <c r="AF675" s="360">
        <v>0</v>
      </c>
      <c r="AG675" s="360">
        <v>0</v>
      </c>
      <c r="AH675" s="360" t="e">
        <f t="shared" si="33"/>
        <v>#N/A</v>
      </c>
      <c r="AI675" s="455" t="e">
        <f>ERP[[#This Row],[2026 Working Total]]-ERP[[#This Row],[LE2 Final Submission]]</f>
        <v>#N/A</v>
      </c>
      <c r="AJ675" s="79">
        <v>0</v>
      </c>
      <c r="AK675" s="79">
        <f t="shared" si="32"/>
        <v>1808.77</v>
      </c>
      <c r="AL675" s="374">
        <f>SUM(ERP[[#This Row],[AP01]:[AP06]])-SUM(ERP[[#This Row],[AP01 LE2]:[AP06 LE2]])</f>
        <v>3708.8999999999978</v>
      </c>
      <c r="AM675" s="80"/>
      <c r="AN675" s="79" t="e">
        <f>ERP[[#This Row],[2026 Working Total to Budget/LE]]-ERP[[#This Row],[Giveback]]</f>
        <v>#N/A</v>
      </c>
      <c r="AO675" s="81"/>
      <c r="AP675" s="375">
        <v>401</v>
      </c>
      <c r="AQ675" s="375">
        <v>11440.6</v>
      </c>
      <c r="AR675" s="375">
        <v>6155.71</v>
      </c>
      <c r="AS675" s="375">
        <v>0</v>
      </c>
      <c r="AT675" s="375">
        <v>0</v>
      </c>
      <c r="AU675" s="375">
        <v>0</v>
      </c>
      <c r="AV675" s="375">
        <v>0</v>
      </c>
      <c r="AW675" s="375">
        <v>0</v>
      </c>
      <c r="AX675" s="375">
        <v>0</v>
      </c>
      <c r="AY675" s="375">
        <v>0</v>
      </c>
      <c r="AZ675" s="375">
        <v>0</v>
      </c>
      <c r="BA675" s="375">
        <v>0</v>
      </c>
      <c r="BB675" s="375">
        <v>17997.310000000001</v>
      </c>
      <c r="BC675" s="79">
        <v>401</v>
      </c>
      <c r="BD675" s="79">
        <v>11440.6</v>
      </c>
      <c r="BE675" s="79">
        <v>6155.71</v>
      </c>
      <c r="BF675" s="79">
        <v>0</v>
      </c>
      <c r="BG675" s="79">
        <v>0</v>
      </c>
      <c r="BH675" s="79">
        <v>0</v>
      </c>
      <c r="BI675" s="79">
        <v>0</v>
      </c>
      <c r="BJ675" s="79">
        <v>0</v>
      </c>
      <c r="BK675" s="79">
        <v>0</v>
      </c>
      <c r="BL675" s="79">
        <v>0</v>
      </c>
      <c r="BM675" s="79">
        <v>0</v>
      </c>
      <c r="BN675" s="79">
        <v>0</v>
      </c>
      <c r="BO675" s="79">
        <v>17997.310000000001</v>
      </c>
    </row>
    <row r="676" spans="1:67" ht="15" customHeight="1">
      <c r="A676" s="66" t="s">
        <v>2864</v>
      </c>
      <c r="B676" s="66" t="s">
        <v>2865</v>
      </c>
      <c r="C676" s="150" t="s">
        <v>1136</v>
      </c>
      <c r="D676" s="150" t="s">
        <v>1567</v>
      </c>
      <c r="E676" s="150" t="s">
        <v>1567</v>
      </c>
      <c r="F676" s="150" t="s">
        <v>1567</v>
      </c>
      <c r="G676" s="511" t="s">
        <v>1037</v>
      </c>
      <c r="H676" s="451" t="s">
        <v>1049</v>
      </c>
      <c r="I676" s="343"/>
      <c r="J676" s="343"/>
      <c r="K676" s="70" t="s">
        <v>1049</v>
      </c>
      <c r="L676" s="346"/>
      <c r="M676" s="346" t="s">
        <v>1140</v>
      </c>
      <c r="N676" s="346"/>
      <c r="O676" s="150" t="s">
        <v>44</v>
      </c>
      <c r="P676" s="150"/>
      <c r="Q676" s="453"/>
      <c r="R676" s="406">
        <v>285714.29000400001</v>
      </c>
      <c r="S676" s="406">
        <v>214285.71750299999</v>
      </c>
      <c r="T676" s="425"/>
      <c r="U676" s="71"/>
      <c r="V676" s="427"/>
      <c r="W676" s="427"/>
      <c r="X676" s="427"/>
      <c r="Y676" s="428" t="s">
        <v>1142</v>
      </c>
      <c r="Z676" s="429">
        <v>0</v>
      </c>
      <c r="AA676" s="429">
        <v>0</v>
      </c>
      <c r="AB676" s="363" t="e">
        <v>#N/A</v>
      </c>
      <c r="AC676" s="363">
        <v>23809.524167</v>
      </c>
      <c r="AD676" s="363">
        <v>23809.524167</v>
      </c>
      <c r="AE676" s="363">
        <v>23809.524167</v>
      </c>
      <c r="AF676" s="363">
        <v>23809.524167</v>
      </c>
      <c r="AG676" s="363">
        <v>23809.524167</v>
      </c>
      <c r="AH676" s="360" t="e">
        <f t="shared" si="33"/>
        <v>#N/A</v>
      </c>
      <c r="AI676" s="455" t="e">
        <f>ERP[[#This Row],[2026 Working Total]]-ERP[[#This Row],[LE2 Final Submission]]</f>
        <v>#N/A</v>
      </c>
      <c r="AJ676" s="79">
        <v>23809.524167</v>
      </c>
      <c r="AK676" s="79">
        <f t="shared" si="32"/>
        <v>-23809.524167</v>
      </c>
      <c r="AL676" s="374">
        <f>SUM(ERP[[#This Row],[AP01]:[AP06]])-SUM(ERP[[#This Row],[AP01 LE2]:[AP06 LE2]])</f>
        <v>-71428.572501000002</v>
      </c>
      <c r="AM676" s="80"/>
      <c r="AN676" s="79" t="e">
        <f>ERP[[#This Row],[2026 Working Total to Budget/LE]]-ERP[[#This Row],[Giveback]]</f>
        <v>#N/A</v>
      </c>
      <c r="AO676" s="81"/>
      <c r="AP676" s="375"/>
      <c r="AQ676" s="375"/>
      <c r="AR676" s="375"/>
      <c r="AS676" s="375">
        <v>23809.524167</v>
      </c>
      <c r="AT676" s="375">
        <v>23809.524167</v>
      </c>
      <c r="AU676" s="375">
        <v>23809.524167</v>
      </c>
      <c r="AV676" s="375">
        <v>23809.524167</v>
      </c>
      <c r="AW676" s="375">
        <v>23809.524167</v>
      </c>
      <c r="AX676" s="375">
        <v>23809.524167</v>
      </c>
      <c r="AY676" s="375">
        <v>23809.524167</v>
      </c>
      <c r="AZ676" s="375">
        <v>23809.524167</v>
      </c>
      <c r="BA676" s="375">
        <v>23809.524167</v>
      </c>
      <c r="BB676" s="375">
        <v>214285.71750299999</v>
      </c>
      <c r="BC676" s="79"/>
      <c r="BD676" s="79"/>
      <c r="BE676" s="79"/>
      <c r="BF676" s="79">
        <v>23809.524167</v>
      </c>
      <c r="BG676" s="79">
        <v>23809.524167</v>
      </c>
      <c r="BH676" s="79">
        <v>23809.524167</v>
      </c>
      <c r="BI676" s="79">
        <v>23809.524167</v>
      </c>
      <c r="BJ676" s="79">
        <v>23809.524167</v>
      </c>
      <c r="BK676" s="79">
        <v>23809.524167</v>
      </c>
      <c r="BL676" s="79">
        <v>23809.524167</v>
      </c>
      <c r="BM676" s="79">
        <v>23809.524167</v>
      </c>
      <c r="BN676" s="79">
        <v>23809.524167</v>
      </c>
      <c r="BO676" s="79">
        <v>214285.71750299999</v>
      </c>
    </row>
    <row r="677" spans="1:67" ht="15" customHeight="1">
      <c r="A677" s="66" t="s">
        <v>2893</v>
      </c>
      <c r="B677" s="66" t="s">
        <v>2894</v>
      </c>
      <c r="C677" s="150" t="s">
        <v>1136</v>
      </c>
      <c r="D677" s="150" t="s">
        <v>1567</v>
      </c>
      <c r="E677" s="150" t="s">
        <v>1567</v>
      </c>
      <c r="F677" s="150" t="s">
        <v>1567</v>
      </c>
      <c r="G677" s="511" t="s">
        <v>22</v>
      </c>
      <c r="H677" s="451" t="s">
        <v>2895</v>
      </c>
      <c r="I677" s="343"/>
      <c r="J677" s="343"/>
      <c r="K677" s="70" t="s">
        <v>43</v>
      </c>
      <c r="L677" s="346"/>
      <c r="M677" s="346" t="s">
        <v>1140</v>
      </c>
      <c r="N677" s="346"/>
      <c r="O677" s="150" t="s">
        <v>44</v>
      </c>
      <c r="P677" s="150"/>
      <c r="Q677" s="453"/>
      <c r="R677" s="406">
        <v>-472222.21000000008</v>
      </c>
      <c r="S677" s="406">
        <v>-160000</v>
      </c>
      <c r="T677" s="425"/>
      <c r="U677" s="71"/>
      <c r="V677" s="427"/>
      <c r="W677" s="427"/>
      <c r="X677" s="427"/>
      <c r="Y677" s="428" t="s">
        <v>1142</v>
      </c>
      <c r="Z677" s="429">
        <v>0</v>
      </c>
      <c r="AA677" s="429">
        <v>0</v>
      </c>
      <c r="AB677" s="363" t="e">
        <v>#N/A</v>
      </c>
      <c r="AC677" s="363">
        <v>-20000</v>
      </c>
      <c r="AD677" s="363">
        <v>-20000</v>
      </c>
      <c r="AE677" s="363">
        <v>-20000</v>
      </c>
      <c r="AF677" s="363">
        <v>-20000</v>
      </c>
      <c r="AG677" s="363">
        <v>-20000</v>
      </c>
      <c r="AH677" s="360" t="e">
        <f t="shared" si="33"/>
        <v>#N/A</v>
      </c>
      <c r="AI677" s="455" t="e">
        <f>ERP[[#This Row],[2026 Working Total]]-ERP[[#This Row],[LE2 Final Submission]]</f>
        <v>#N/A</v>
      </c>
      <c r="AJ677" s="79">
        <v>-20000</v>
      </c>
      <c r="AK677" s="79">
        <f t="shared" si="32"/>
        <v>20000</v>
      </c>
      <c r="AL677" s="374">
        <f>SUM(ERP[[#This Row],[AP01]:[AP06]])-SUM(ERP[[#This Row],[AP01 LE2]:[AP06 LE2]])</f>
        <v>40000</v>
      </c>
      <c r="AM677" s="80"/>
      <c r="AN677" s="79" t="e">
        <f>ERP[[#This Row],[2026 Working Total to Budget/LE]]-ERP[[#This Row],[Giveback]]</f>
        <v>#N/A</v>
      </c>
      <c r="AO677" s="81"/>
      <c r="AP677" s="375"/>
      <c r="AQ677" s="375"/>
      <c r="AR677" s="375"/>
      <c r="AS677" s="375"/>
      <c r="AT677" s="375">
        <v>-20000</v>
      </c>
      <c r="AU677" s="375">
        <v>-20000</v>
      </c>
      <c r="AV677" s="375">
        <v>-20000</v>
      </c>
      <c r="AW677" s="375">
        <v>-20000</v>
      </c>
      <c r="AX677" s="375">
        <v>-20000</v>
      </c>
      <c r="AY677" s="375">
        <v>-20000</v>
      </c>
      <c r="AZ677" s="375">
        <v>-20000</v>
      </c>
      <c r="BA677" s="375">
        <v>-20000</v>
      </c>
      <c r="BB677" s="375">
        <v>-160000</v>
      </c>
      <c r="BC677" s="79"/>
      <c r="BD677" s="79"/>
      <c r="BE677" s="79"/>
      <c r="BF677" s="79">
        <v>-47222.220999999998</v>
      </c>
      <c r="BG677" s="79">
        <v>-47222.220999999998</v>
      </c>
      <c r="BH677" s="79">
        <v>-47222.220999999998</v>
      </c>
      <c r="BI677" s="79">
        <v>-47222.220999999998</v>
      </c>
      <c r="BJ677" s="79">
        <v>-47222.220999999998</v>
      </c>
      <c r="BK677" s="79">
        <v>-47222.220999999998</v>
      </c>
      <c r="BL677" s="79">
        <v>-47222.220999999998</v>
      </c>
      <c r="BM677" s="79">
        <v>-47222.220999999998</v>
      </c>
      <c r="BN677" s="79">
        <v>-47222.220999999998</v>
      </c>
      <c r="BO677" s="79">
        <v>-424999.98900000006</v>
      </c>
    </row>
    <row r="678" spans="1:67" ht="15" customHeight="1">
      <c r="A678" s="79" t="s">
        <v>2647</v>
      </c>
      <c r="B678" s="296" t="s">
        <v>2648</v>
      </c>
      <c r="C678" s="150" t="s">
        <v>1136</v>
      </c>
      <c r="D678" s="150" t="s">
        <v>1345</v>
      </c>
      <c r="E678" s="332" t="s">
        <v>1344</v>
      </c>
      <c r="F678" s="331" t="s">
        <v>1346</v>
      </c>
      <c r="G678" s="514" t="s">
        <v>639</v>
      </c>
      <c r="H678" s="401" t="s">
        <v>2649</v>
      </c>
      <c r="I678" s="343" t="s">
        <v>2206</v>
      </c>
      <c r="J678" s="333"/>
      <c r="K678" s="90"/>
      <c r="L678" s="347"/>
      <c r="M678" s="343"/>
      <c r="N678" s="348"/>
      <c r="O678" s="348"/>
      <c r="P678" s="348" t="s">
        <v>2915</v>
      </c>
      <c r="Q678" s="440"/>
      <c r="R678" s="358"/>
      <c r="S678" s="379">
        <v>143000</v>
      </c>
      <c r="T678" s="430"/>
      <c r="U678" s="137"/>
      <c r="V678" s="436"/>
      <c r="W678" s="436"/>
      <c r="X678" s="436"/>
      <c r="Y678" s="428" t="s">
        <v>1142</v>
      </c>
      <c r="Z678" s="429">
        <v>0</v>
      </c>
      <c r="AA678" s="429">
        <v>0</v>
      </c>
      <c r="AB678" s="363" t="e">
        <v>#N/A</v>
      </c>
      <c r="AC678" s="364"/>
      <c r="AD678" s="364"/>
      <c r="AE678" s="364">
        <v>143000</v>
      </c>
      <c r="AF678" s="364"/>
      <c r="AG678" s="364"/>
      <c r="AH678" s="360" t="e">
        <f t="shared" si="33"/>
        <v>#N/A</v>
      </c>
      <c r="AI678" s="455" t="e">
        <f>ERP[[#This Row],[2026 Working Total]]-ERP[[#This Row],[LE2 Final Submission]]</f>
        <v>#N/A</v>
      </c>
      <c r="AJ678" s="79"/>
      <c r="AK678" s="79">
        <f t="shared" si="32"/>
        <v>0</v>
      </c>
      <c r="AL678" s="374">
        <f>SUM(ERP[[#This Row],[AP01]:[AP06]])-SUM(ERP[[#This Row],[AP01 LE2]:[AP06 LE2]])</f>
        <v>0</v>
      </c>
      <c r="AM678" s="80"/>
      <c r="AN678" s="79" t="e">
        <f>ERP[[#This Row],[2026 Working Total to Budget/LE]]-ERP[[#This Row],[Giveback]]</f>
        <v>#N/A</v>
      </c>
      <c r="AO678" s="81"/>
      <c r="AP678" s="375"/>
      <c r="AQ678" s="375"/>
      <c r="AR678" s="375"/>
      <c r="AS678" s="375"/>
      <c r="AT678" s="375"/>
      <c r="AU678" s="375"/>
      <c r="AV678" s="375"/>
      <c r="AW678" s="375"/>
      <c r="AX678" s="375"/>
      <c r="AY678" s="375">
        <v>143000</v>
      </c>
      <c r="AZ678" s="375"/>
      <c r="BA678" s="375"/>
      <c r="BB678" s="375">
        <v>143000</v>
      </c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</row>
    <row r="679" spans="1:67" ht="15" customHeight="1">
      <c r="A679" s="66" t="s">
        <v>2831</v>
      </c>
      <c r="B679" s="66" t="s">
        <v>2832</v>
      </c>
      <c r="C679" s="150" t="s">
        <v>1136</v>
      </c>
      <c r="D679" s="150" t="s">
        <v>1135</v>
      </c>
      <c r="E679" s="150" t="s">
        <v>1137</v>
      </c>
      <c r="F679" s="150" t="s">
        <v>1137</v>
      </c>
      <c r="G679" s="511" t="s">
        <v>1027</v>
      </c>
      <c r="H679" s="451" t="s">
        <v>2830</v>
      </c>
      <c r="I679" s="343"/>
      <c r="J679" s="343"/>
      <c r="K679" s="70" t="s">
        <v>1029</v>
      </c>
      <c r="L679" s="346"/>
      <c r="M679" s="343"/>
      <c r="N679" s="346"/>
      <c r="O679" s="150" t="s">
        <v>25</v>
      </c>
      <c r="P679" s="1" t="s">
        <v>1141</v>
      </c>
      <c r="Q679" s="453"/>
      <c r="R679" s="406">
        <v>78300</v>
      </c>
      <c r="S679" s="406">
        <v>62093.21</v>
      </c>
      <c r="T679" s="425"/>
      <c r="U679" s="71"/>
      <c r="V679" s="427">
        <v>350.82</v>
      </c>
      <c r="W679" s="427">
        <v>683.3</v>
      </c>
      <c r="X679" s="427">
        <v>1259.0899999999999</v>
      </c>
      <c r="Y679" s="428">
        <v>404.51000000000005</v>
      </c>
      <c r="Z679" s="429">
        <v>2183.5099999999993</v>
      </c>
      <c r="AA679" s="429">
        <v>2294.7200000000003</v>
      </c>
      <c r="AB679" s="363" t="e">
        <v>#N/A</v>
      </c>
      <c r="AC679" s="363">
        <v>6500</v>
      </c>
      <c r="AD679" s="363">
        <v>6900</v>
      </c>
      <c r="AE679" s="363">
        <v>6900</v>
      </c>
      <c r="AF679" s="363">
        <v>6900</v>
      </c>
      <c r="AG679" s="363">
        <v>6900</v>
      </c>
      <c r="AH679" s="360" t="e">
        <f t="shared" si="33"/>
        <v>#N/A</v>
      </c>
      <c r="AI679" s="455" t="e">
        <f>ERP[[#This Row],[2026 Working Total]]-ERP[[#This Row],[LE2 Final Submission]]</f>
        <v>#N/A</v>
      </c>
      <c r="AJ679" s="79">
        <v>6500</v>
      </c>
      <c r="AK679" s="79">
        <f t="shared" si="32"/>
        <v>-4205.28</v>
      </c>
      <c r="AL679" s="374">
        <f>SUM(ERP[[#This Row],[AP01]:[AP06]])-SUM(ERP[[#This Row],[AP01 LE2]:[AP06 LE2]])</f>
        <v>-14317.259999999998</v>
      </c>
      <c r="AM679" s="80"/>
      <c r="AN679" s="79" t="e">
        <f>ERP[[#This Row],[2026 Working Total to Budget/LE]]-ERP[[#This Row],[Giveback]]</f>
        <v>#N/A</v>
      </c>
      <c r="AO679" s="81"/>
      <c r="AP679" s="375">
        <v>350.82</v>
      </c>
      <c r="AQ679" s="375">
        <v>683.3</v>
      </c>
      <c r="AR679" s="375">
        <v>1259.0899999999999</v>
      </c>
      <c r="AS679" s="375">
        <v>6400</v>
      </c>
      <c r="AT679" s="375">
        <v>6400</v>
      </c>
      <c r="AU679" s="375">
        <v>6400</v>
      </c>
      <c r="AV679" s="375">
        <v>6500</v>
      </c>
      <c r="AW679" s="375">
        <v>6500</v>
      </c>
      <c r="AX679" s="375">
        <v>6900</v>
      </c>
      <c r="AY679" s="375">
        <v>6900</v>
      </c>
      <c r="AZ679" s="375">
        <v>6900</v>
      </c>
      <c r="BA679" s="375">
        <v>6900</v>
      </c>
      <c r="BB679" s="375">
        <v>62093.21</v>
      </c>
      <c r="BC679" s="79">
        <v>350.82</v>
      </c>
      <c r="BD679" s="79">
        <v>683.3</v>
      </c>
      <c r="BE679" s="79">
        <v>1259.0899999999999</v>
      </c>
      <c r="BF679" s="79">
        <v>6400</v>
      </c>
      <c r="BG679" s="79">
        <v>6400</v>
      </c>
      <c r="BH679" s="79">
        <v>6400</v>
      </c>
      <c r="BI679" s="79">
        <v>6500</v>
      </c>
      <c r="BJ679" s="79">
        <v>6500</v>
      </c>
      <c r="BK679" s="79">
        <v>6900</v>
      </c>
      <c r="BL679" s="79">
        <v>6900</v>
      </c>
      <c r="BM679" s="79">
        <v>6900</v>
      </c>
      <c r="BN679" s="79">
        <v>6900</v>
      </c>
      <c r="BO679" s="79">
        <v>62093.21</v>
      </c>
    </row>
    <row r="680" spans="1:67" ht="15" customHeight="1">
      <c r="A680" s="79" t="s">
        <v>2170</v>
      </c>
      <c r="B680" s="296" t="s">
        <v>2171</v>
      </c>
      <c r="C680" s="150" t="s">
        <v>1136</v>
      </c>
      <c r="D680" s="332" t="s">
        <v>1567</v>
      </c>
      <c r="E680" s="332" t="s">
        <v>1567</v>
      </c>
      <c r="F680" s="150" t="s">
        <v>1567</v>
      </c>
      <c r="G680" s="514" t="s">
        <v>602</v>
      </c>
      <c r="H680" s="401" t="s">
        <v>2172</v>
      </c>
      <c r="I680" s="343"/>
      <c r="J680" s="333"/>
      <c r="K680" s="90"/>
      <c r="L680" s="347"/>
      <c r="M680" s="343"/>
      <c r="N680" s="348"/>
      <c r="O680" s="348"/>
      <c r="P680" s="348" t="s">
        <v>2173</v>
      </c>
      <c r="Q680" s="440"/>
      <c r="R680" s="454"/>
      <c r="S680" s="476">
        <v>-6407318.4800000004</v>
      </c>
      <c r="T680" s="425"/>
      <c r="U680" s="71"/>
      <c r="V680" s="436"/>
      <c r="W680" s="436"/>
      <c r="X680" s="436"/>
      <c r="Y680" s="428" t="s">
        <v>1142</v>
      </c>
      <c r="Z680" s="429">
        <v>0</v>
      </c>
      <c r="AA680" s="429">
        <v>0</v>
      </c>
      <c r="AB680" s="363" t="e">
        <v>#N/A</v>
      </c>
      <c r="AC680" s="364"/>
      <c r="AD680" s="364">
        <v>-1601829.62</v>
      </c>
      <c r="AE680" s="364">
        <v>-1601829.62</v>
      </c>
      <c r="AF680" s="364">
        <v>-1601829.62</v>
      </c>
      <c r="AG680" s="364">
        <v>-1601829.62</v>
      </c>
      <c r="AH680" s="360" t="e">
        <f t="shared" si="33"/>
        <v>#N/A</v>
      </c>
      <c r="AI680" s="455" t="e">
        <f>ERP[[#This Row],[2026 Working Total]]-ERP[[#This Row],[LE2 Final Submission]]</f>
        <v>#N/A</v>
      </c>
      <c r="AJ680" s="79"/>
      <c r="AK680" s="79">
        <f t="shared" si="32"/>
        <v>0</v>
      </c>
      <c r="AL680" s="374">
        <f>SUM(ERP[[#This Row],[AP01]:[AP06]])-SUM(ERP[[#This Row],[AP01 LE2]:[AP06 LE2]])</f>
        <v>0</v>
      </c>
      <c r="AM680" s="80"/>
      <c r="AN680" s="79" t="e">
        <f>ERP[[#This Row],[2026 Working Total to Budget/LE]]-ERP[[#This Row],[Giveback]]</f>
        <v>#N/A</v>
      </c>
      <c r="AO680" s="81"/>
      <c r="AP680" s="375"/>
      <c r="AQ680" s="375"/>
      <c r="AR680" s="375"/>
      <c r="AS680" s="375"/>
      <c r="AT680" s="375"/>
      <c r="AU680" s="375"/>
      <c r="AV680" s="375"/>
      <c r="AW680" s="375"/>
      <c r="AX680" s="375">
        <v>-1601829.62</v>
      </c>
      <c r="AY680" s="375">
        <v>-1601829.62</v>
      </c>
      <c r="AZ680" s="375">
        <v>-1601829.62</v>
      </c>
      <c r="BA680" s="375">
        <v>-1601829.62</v>
      </c>
      <c r="BB680" s="375">
        <v>-6407318.4800000004</v>
      </c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</row>
    <row r="681" spans="1:67" ht="15" customHeight="1">
      <c r="A681" s="79" t="s">
        <v>1606</v>
      </c>
      <c r="B681" s="296" t="s">
        <v>1607</v>
      </c>
      <c r="C681" s="150" t="s">
        <v>1136</v>
      </c>
      <c r="D681" s="150" t="s">
        <v>1345</v>
      </c>
      <c r="E681" s="332" t="s">
        <v>1346</v>
      </c>
      <c r="F681" s="333" t="s">
        <v>1346</v>
      </c>
      <c r="G681" s="514" t="s">
        <v>49</v>
      </c>
      <c r="H681" s="401"/>
      <c r="I681" s="333"/>
      <c r="J681" s="333"/>
      <c r="K681" s="90" t="s">
        <v>258</v>
      </c>
      <c r="L681" s="347"/>
      <c r="M681" s="347"/>
      <c r="N681" s="348"/>
      <c r="O681" s="348"/>
      <c r="P681" s="348"/>
      <c r="Q681" s="440"/>
      <c r="R681" s="454"/>
      <c r="S681" s="509"/>
      <c r="T681" s="425"/>
      <c r="U681" s="425"/>
      <c r="V681" s="436"/>
      <c r="W681" s="436"/>
      <c r="X681" s="436"/>
      <c r="Y681" s="429"/>
      <c r="Z681" s="429"/>
      <c r="AA681" s="429">
        <v>80877.63</v>
      </c>
      <c r="AB681" s="363" t="e">
        <v>#N/A</v>
      </c>
      <c r="AC681" s="364"/>
      <c r="AD681" s="364"/>
      <c r="AE681" s="364"/>
      <c r="AF681" s="364"/>
      <c r="AG681" s="364"/>
      <c r="AH681" s="360" t="e">
        <f t="shared" si="33"/>
        <v>#N/A</v>
      </c>
      <c r="AI681" s="455" t="e">
        <f>ERP[[#This Row],[2026 Working Total]]-ERP[[#This Row],[LE2 Final Submission]]</f>
        <v>#N/A</v>
      </c>
      <c r="AJ681" s="79"/>
      <c r="AK681" s="79">
        <f t="shared" si="32"/>
        <v>80877.63</v>
      </c>
      <c r="AL681" s="391">
        <f>SUM(ERP[[#This Row],[AP01]:[AP06]])-SUM(ERP[[#This Row],[AP01 LE2]:[AP06 LE2]])</f>
        <v>80877.63</v>
      </c>
      <c r="AM681" s="80"/>
      <c r="AN681" s="79" t="e">
        <f>ERP[[#This Row],[2026 Working Total to Budget/LE]]-ERP[[#This Row],[Giveback]]</f>
        <v>#N/A</v>
      </c>
      <c r="AO681" s="81"/>
      <c r="AP681" s="375"/>
      <c r="AQ681" s="375"/>
      <c r="AR681" s="375"/>
      <c r="AS681" s="375"/>
      <c r="AT681" s="375"/>
      <c r="AU681" s="375"/>
      <c r="AV681" s="375"/>
      <c r="AW681" s="375"/>
      <c r="AX681" s="375"/>
      <c r="AY681" s="375"/>
      <c r="AZ681" s="375"/>
      <c r="BA681" s="375"/>
      <c r="BB681" s="375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</row>
    <row r="682" spans="1:67" ht="15" customHeight="1">
      <c r="A682" s="79" t="s">
        <v>1637</v>
      </c>
      <c r="B682" s="296" t="s">
        <v>1638</v>
      </c>
      <c r="C682" s="150" t="s">
        <v>1136</v>
      </c>
      <c r="D682" s="150" t="s">
        <v>1345</v>
      </c>
      <c r="E682" s="332" t="s">
        <v>1346</v>
      </c>
      <c r="F682" s="333" t="s">
        <v>1346</v>
      </c>
      <c r="G682" s="514" t="s">
        <v>49</v>
      </c>
      <c r="H682" s="401"/>
      <c r="I682" s="333"/>
      <c r="J682" s="333"/>
      <c r="K682" s="90" t="s">
        <v>318</v>
      </c>
      <c r="L682" s="347"/>
      <c r="M682" s="347"/>
      <c r="N682" s="348"/>
      <c r="O682" s="348"/>
      <c r="P682" s="348"/>
      <c r="Q682" s="440"/>
      <c r="R682" s="454"/>
      <c r="S682" s="509"/>
      <c r="T682" s="425"/>
      <c r="U682" s="425"/>
      <c r="V682" s="436"/>
      <c r="W682" s="436"/>
      <c r="X682" s="436"/>
      <c r="Y682" s="429"/>
      <c r="Z682" s="429"/>
      <c r="AA682" s="429">
        <v>-1584</v>
      </c>
      <c r="AB682" s="363" t="e">
        <v>#N/A</v>
      </c>
      <c r="AC682" s="364"/>
      <c r="AD682" s="364"/>
      <c r="AE682" s="364"/>
      <c r="AF682" s="364"/>
      <c r="AG682" s="364"/>
      <c r="AH682" s="360" t="e">
        <f t="shared" si="33"/>
        <v>#N/A</v>
      </c>
      <c r="AI682" s="455" t="e">
        <f>ERP[[#This Row],[2026 Working Total]]-ERP[[#This Row],[LE2 Final Submission]]</f>
        <v>#N/A</v>
      </c>
      <c r="AJ682" s="79"/>
      <c r="AK682" s="79">
        <f t="shared" si="32"/>
        <v>-1584</v>
      </c>
      <c r="AL682" s="391">
        <f>SUM(ERP[[#This Row],[AP01]:[AP06]])-SUM(ERP[[#This Row],[AP01 LE2]:[AP06 LE2]])</f>
        <v>-1584</v>
      </c>
      <c r="AM682" s="80"/>
      <c r="AN682" s="79" t="e">
        <f>ERP[[#This Row],[2026 Working Total to Budget/LE]]-ERP[[#This Row],[Giveback]]</f>
        <v>#N/A</v>
      </c>
      <c r="AO682" s="81"/>
      <c r="AP682" s="375"/>
      <c r="AQ682" s="375"/>
      <c r="AR682" s="375"/>
      <c r="AS682" s="375"/>
      <c r="AT682" s="375"/>
      <c r="AU682" s="375"/>
      <c r="AV682" s="375"/>
      <c r="AW682" s="375"/>
      <c r="AX682" s="375"/>
      <c r="AY682" s="375"/>
      <c r="AZ682" s="375"/>
      <c r="BA682" s="375"/>
      <c r="BB682" s="375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</row>
    <row r="683" spans="1:67" ht="15" customHeight="1">
      <c r="A683" s="66" t="s">
        <v>2845</v>
      </c>
      <c r="B683" s="66" t="s">
        <v>1038</v>
      </c>
      <c r="C683" s="150" t="s">
        <v>1136</v>
      </c>
      <c r="D683" s="150" t="s">
        <v>1135</v>
      </c>
      <c r="E683" s="150" t="s">
        <v>1135</v>
      </c>
      <c r="F683" s="150" t="s">
        <v>1137</v>
      </c>
      <c r="G683" s="511" t="s">
        <v>1037</v>
      </c>
      <c r="H683" s="451" t="s">
        <v>2846</v>
      </c>
      <c r="I683" s="343"/>
      <c r="J683" s="343"/>
      <c r="K683" s="70" t="s">
        <v>1039</v>
      </c>
      <c r="L683" s="346"/>
      <c r="M683" s="346" t="s">
        <v>1140</v>
      </c>
      <c r="N683" s="346"/>
      <c r="O683" s="150" t="s">
        <v>1040</v>
      </c>
      <c r="P683" s="150"/>
      <c r="Q683" s="453"/>
      <c r="R683" s="528">
        <v>0</v>
      </c>
      <c r="S683" s="529">
        <v>4</v>
      </c>
      <c r="T683" s="430"/>
      <c r="U683" s="430"/>
      <c r="V683" s="427"/>
      <c r="W683" s="427">
        <v>-101</v>
      </c>
      <c r="X683" s="427">
        <v>105</v>
      </c>
      <c r="Y683" s="428">
        <v>479</v>
      </c>
      <c r="Z683" s="429">
        <v>66</v>
      </c>
      <c r="AA683" s="429">
        <v>2208.0000000000005</v>
      </c>
      <c r="AB683" s="363" t="e">
        <v>#N/A</v>
      </c>
      <c r="AC683" s="360">
        <v>0</v>
      </c>
      <c r="AD683" s="360">
        <v>0</v>
      </c>
      <c r="AE683" s="360">
        <v>0</v>
      </c>
      <c r="AF683" s="360">
        <v>0</v>
      </c>
      <c r="AG683" s="360">
        <v>0</v>
      </c>
      <c r="AH683" s="360" t="e">
        <f t="shared" si="33"/>
        <v>#N/A</v>
      </c>
      <c r="AI683" s="455" t="e">
        <f>ERP[[#This Row],[2026 Working Total]]-ERP[[#This Row],[LE2 Final Submission]]</f>
        <v>#N/A</v>
      </c>
      <c r="AJ683" s="79">
        <v>0</v>
      </c>
      <c r="AK683" s="79">
        <f t="shared" si="32"/>
        <v>2208.0000000000005</v>
      </c>
      <c r="AL683" s="374">
        <f>SUM(ERP[[#This Row],[AP01]:[AP06]])-SUM(ERP[[#This Row],[AP01 LE2]:[AP06 LE2]])</f>
        <v>2753.0000000000005</v>
      </c>
      <c r="AM683" s="80"/>
      <c r="AN683" s="79" t="e">
        <f>ERP[[#This Row],[2026 Working Total to Budget/LE]]-ERP[[#This Row],[Giveback]]</f>
        <v>#N/A</v>
      </c>
      <c r="AO683" s="81"/>
      <c r="AP683" s="375"/>
      <c r="AQ683" s="375">
        <v>-101</v>
      </c>
      <c r="AR683" s="375">
        <v>105</v>
      </c>
      <c r="AS683" s="375">
        <v>0</v>
      </c>
      <c r="AT683" s="375">
        <v>0</v>
      </c>
      <c r="AU683" s="375">
        <v>0</v>
      </c>
      <c r="AV683" s="375">
        <v>0</v>
      </c>
      <c r="AW683" s="375">
        <v>0</v>
      </c>
      <c r="AX683" s="375">
        <v>0</v>
      </c>
      <c r="AY683" s="375">
        <v>0</v>
      </c>
      <c r="AZ683" s="375">
        <v>0</v>
      </c>
      <c r="BA683" s="375">
        <v>0</v>
      </c>
      <c r="BB683" s="375">
        <v>4</v>
      </c>
      <c r="BC683" s="79"/>
      <c r="BD683" s="79">
        <v>-101</v>
      </c>
      <c r="BE683" s="79">
        <v>105</v>
      </c>
      <c r="BF683" s="79">
        <v>0</v>
      </c>
      <c r="BG683" s="79">
        <v>0</v>
      </c>
      <c r="BH683" s="79">
        <v>0</v>
      </c>
      <c r="BI683" s="79">
        <v>0</v>
      </c>
      <c r="BJ683" s="79">
        <v>0</v>
      </c>
      <c r="BK683" s="79">
        <v>0</v>
      </c>
      <c r="BL683" s="79">
        <v>0</v>
      </c>
      <c r="BM683" s="79">
        <v>0</v>
      </c>
      <c r="BN683" s="79">
        <v>0</v>
      </c>
      <c r="BO683" s="79">
        <v>4</v>
      </c>
    </row>
    <row r="684" spans="1:67" ht="15" customHeight="1">
      <c r="A684" s="79" t="s">
        <v>2007</v>
      </c>
      <c r="B684" s="296" t="s">
        <v>2008</v>
      </c>
      <c r="C684" s="150" t="s">
        <v>1136</v>
      </c>
      <c r="D684" s="150" t="s">
        <v>1345</v>
      </c>
      <c r="E684" s="332" t="s">
        <v>1437</v>
      </c>
      <c r="F684" s="333" t="s">
        <v>1437</v>
      </c>
      <c r="G684" s="514" t="s">
        <v>389</v>
      </c>
      <c r="H684" s="401"/>
      <c r="I684" s="333"/>
      <c r="J684" s="333"/>
      <c r="K684" s="90" t="s">
        <v>411</v>
      </c>
      <c r="L684" s="347"/>
      <c r="M684" s="347"/>
      <c r="N684" s="348"/>
      <c r="O684" s="348"/>
      <c r="P684" s="348"/>
      <c r="Q684" s="440"/>
      <c r="R684" s="454"/>
      <c r="S684" s="509"/>
      <c r="T684" s="425"/>
      <c r="U684" s="425"/>
      <c r="V684" s="436"/>
      <c r="W684" s="436"/>
      <c r="X684" s="436"/>
      <c r="Y684" s="429"/>
      <c r="Z684" s="429"/>
      <c r="AA684" s="429">
        <v>-2915.6</v>
      </c>
      <c r="AB684" s="363" t="e">
        <v>#N/A</v>
      </c>
      <c r="AC684" s="364"/>
      <c r="AD684" s="364"/>
      <c r="AE684" s="364"/>
      <c r="AF684" s="364"/>
      <c r="AG684" s="364"/>
      <c r="AH684" s="360" t="e">
        <f t="shared" si="33"/>
        <v>#N/A</v>
      </c>
      <c r="AI684" s="455" t="e">
        <f>ERP[[#This Row],[2026 Working Total]]-ERP[[#This Row],[LE2 Final Submission]]</f>
        <v>#N/A</v>
      </c>
      <c r="AJ684" s="79"/>
      <c r="AK684" s="79">
        <f t="shared" si="32"/>
        <v>-2915.6</v>
      </c>
      <c r="AL684" s="391">
        <f>SUM(ERP[[#This Row],[AP01]:[AP06]])-SUM(ERP[[#This Row],[AP01 LE2]:[AP06 LE2]])</f>
        <v>-2915.6</v>
      </c>
      <c r="AM684" s="80"/>
      <c r="AN684" s="79" t="e">
        <f>ERP[[#This Row],[2026 Working Total to Budget/LE]]-ERP[[#This Row],[Giveback]]</f>
        <v>#N/A</v>
      </c>
      <c r="AO684" s="81"/>
      <c r="AP684" s="375"/>
      <c r="AQ684" s="375"/>
      <c r="AR684" s="375"/>
      <c r="AS684" s="375"/>
      <c r="AT684" s="375"/>
      <c r="AU684" s="375"/>
      <c r="AV684" s="375"/>
      <c r="AW684" s="375"/>
      <c r="AX684" s="375"/>
      <c r="AY684" s="375"/>
      <c r="AZ684" s="375"/>
      <c r="BA684" s="375"/>
      <c r="BB684" s="375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</row>
    <row r="685" spans="1:67" ht="15" customHeight="1">
      <c r="A685" s="66" t="s">
        <v>2847</v>
      </c>
      <c r="B685" s="66" t="s">
        <v>2848</v>
      </c>
      <c r="C685" s="150" t="s">
        <v>1136</v>
      </c>
      <c r="D685" s="150" t="s">
        <v>1135</v>
      </c>
      <c r="E685" s="150" t="s">
        <v>1137</v>
      </c>
      <c r="F685" s="150" t="s">
        <v>1137</v>
      </c>
      <c r="G685" s="511" t="s">
        <v>1037</v>
      </c>
      <c r="H685" s="451" t="s">
        <v>2846</v>
      </c>
      <c r="I685" s="343"/>
      <c r="J685" s="343"/>
      <c r="K685" s="70" t="s">
        <v>1039</v>
      </c>
      <c r="L685" s="346"/>
      <c r="M685" s="346" t="s">
        <v>1140</v>
      </c>
      <c r="N685" s="346"/>
      <c r="O685" s="150" t="s">
        <v>1040</v>
      </c>
      <c r="P685" s="1" t="s">
        <v>1141</v>
      </c>
      <c r="Q685" s="453"/>
      <c r="R685" s="528">
        <v>0</v>
      </c>
      <c r="S685" s="529">
        <v>7225.12</v>
      </c>
      <c r="T685" s="425"/>
      <c r="U685" s="425"/>
      <c r="V685" s="427">
        <v>302.32</v>
      </c>
      <c r="W685" s="427">
        <v>-468.02</v>
      </c>
      <c r="X685" s="427">
        <v>7390.82</v>
      </c>
      <c r="Y685" s="428">
        <v>10390.350000000002</v>
      </c>
      <c r="Z685" s="429">
        <v>-6560.7800000000007</v>
      </c>
      <c r="AA685" s="429">
        <v>1751.47</v>
      </c>
      <c r="AB685" s="363" t="e">
        <v>#N/A</v>
      </c>
      <c r="AC685" s="360">
        <v>0</v>
      </c>
      <c r="AD685" s="360">
        <v>0</v>
      </c>
      <c r="AE685" s="360">
        <v>0</v>
      </c>
      <c r="AF685" s="360">
        <v>0</v>
      </c>
      <c r="AG685" s="360">
        <v>0</v>
      </c>
      <c r="AH685" s="360" t="e">
        <f t="shared" si="33"/>
        <v>#N/A</v>
      </c>
      <c r="AI685" s="455" t="e">
        <f>ERP[[#This Row],[2026 Working Total]]-ERP[[#This Row],[LE2 Final Submission]]</f>
        <v>#N/A</v>
      </c>
      <c r="AJ685" s="79">
        <v>0</v>
      </c>
      <c r="AK685" s="79">
        <f t="shared" si="32"/>
        <v>1751.47</v>
      </c>
      <c r="AL685" s="374">
        <f>SUM(ERP[[#This Row],[AP01]:[AP06]])-SUM(ERP[[#This Row],[AP01 LE2]:[AP06 LE2]])</f>
        <v>5581.04</v>
      </c>
      <c r="AM685" s="80"/>
      <c r="AN685" s="79" t="e">
        <f>ERP[[#This Row],[2026 Working Total to Budget/LE]]-ERP[[#This Row],[Giveback]]</f>
        <v>#N/A</v>
      </c>
      <c r="AO685" s="81"/>
      <c r="AP685" s="375">
        <v>302.32</v>
      </c>
      <c r="AQ685" s="375">
        <v>-468.02</v>
      </c>
      <c r="AR685" s="375">
        <v>7390.82</v>
      </c>
      <c r="AS685" s="375">
        <v>0</v>
      </c>
      <c r="AT685" s="375">
        <v>0</v>
      </c>
      <c r="AU685" s="375">
        <v>0</v>
      </c>
      <c r="AV685" s="375">
        <v>0</v>
      </c>
      <c r="AW685" s="375">
        <v>0</v>
      </c>
      <c r="AX685" s="375">
        <v>0</v>
      </c>
      <c r="AY685" s="375">
        <v>0</v>
      </c>
      <c r="AZ685" s="375">
        <v>0</v>
      </c>
      <c r="BA685" s="375">
        <v>0</v>
      </c>
      <c r="BB685" s="375">
        <v>7225.12</v>
      </c>
      <c r="BC685" s="79">
        <v>302.32</v>
      </c>
      <c r="BD685" s="79">
        <v>-468.02</v>
      </c>
      <c r="BE685" s="79">
        <v>7390.82</v>
      </c>
      <c r="BF685" s="79">
        <v>0</v>
      </c>
      <c r="BG685" s="79">
        <v>0</v>
      </c>
      <c r="BH685" s="79">
        <v>0</v>
      </c>
      <c r="BI685" s="79">
        <v>0</v>
      </c>
      <c r="BJ685" s="79">
        <v>0</v>
      </c>
      <c r="BK685" s="79">
        <v>0</v>
      </c>
      <c r="BL685" s="79">
        <v>0</v>
      </c>
      <c r="BM685" s="79">
        <v>0</v>
      </c>
      <c r="BN685" s="79">
        <v>0</v>
      </c>
      <c r="BO685" s="79">
        <v>7225.12</v>
      </c>
    </row>
    <row r="686" spans="1:67" ht="15" customHeight="1">
      <c r="A686" s="79" t="s">
        <v>2203</v>
      </c>
      <c r="B686" s="296" t="s">
        <v>2204</v>
      </c>
      <c r="C686" s="150" t="s">
        <v>1136</v>
      </c>
      <c r="D686" s="150" t="s">
        <v>1135</v>
      </c>
      <c r="E686" s="332" t="s">
        <v>1135</v>
      </c>
      <c r="F686" s="331" t="s">
        <v>1346</v>
      </c>
      <c r="G686" s="514" t="s">
        <v>639</v>
      </c>
      <c r="H686" s="401" t="s">
        <v>2205</v>
      </c>
      <c r="I686" s="343" t="s">
        <v>2206</v>
      </c>
      <c r="J686" s="333"/>
      <c r="K686" s="90"/>
      <c r="L686" s="347"/>
      <c r="M686" s="343"/>
      <c r="N686" s="348"/>
      <c r="O686" s="348"/>
      <c r="P686" s="348" t="s">
        <v>2207</v>
      </c>
      <c r="Q686" s="440"/>
      <c r="R686" s="454"/>
      <c r="S686" s="509">
        <v>624226</v>
      </c>
      <c r="T686" s="430"/>
      <c r="U686" s="430"/>
      <c r="V686" s="436"/>
      <c r="W686" s="436"/>
      <c r="X686" s="436"/>
      <c r="Y686" s="428" t="s">
        <v>1142</v>
      </c>
      <c r="Z686" s="429">
        <v>0</v>
      </c>
      <c r="AA686" s="429">
        <v>0</v>
      </c>
      <c r="AB686" s="363" t="e">
        <v>#N/A</v>
      </c>
      <c r="AC686" s="364"/>
      <c r="AD686" s="364"/>
      <c r="AE686" s="364"/>
      <c r="AF686" s="364"/>
      <c r="AG686" s="364">
        <v>624226</v>
      </c>
      <c r="AH686" s="360" t="e">
        <f t="shared" si="33"/>
        <v>#N/A</v>
      </c>
      <c r="AI686" s="455" t="e">
        <f>ERP[[#This Row],[2026 Working Total]]-ERP[[#This Row],[LE2 Final Submission]]</f>
        <v>#N/A</v>
      </c>
      <c r="AJ686" s="79"/>
      <c r="AK686" s="79">
        <f t="shared" si="32"/>
        <v>0</v>
      </c>
      <c r="AL686" s="374">
        <f>SUM(ERP[[#This Row],[AP01]:[AP06]])-SUM(ERP[[#This Row],[AP01 LE2]:[AP06 LE2]])</f>
        <v>0</v>
      </c>
      <c r="AM686" s="80"/>
      <c r="AN686" s="79" t="e">
        <f>ERP[[#This Row],[2026 Working Total to Budget/LE]]-ERP[[#This Row],[Giveback]]</f>
        <v>#N/A</v>
      </c>
      <c r="AO686" s="81"/>
      <c r="AP686" s="375"/>
      <c r="AQ686" s="375"/>
      <c r="AR686" s="375"/>
      <c r="AS686" s="375"/>
      <c r="AT686" s="375"/>
      <c r="AU686" s="375"/>
      <c r="AV686" s="375"/>
      <c r="AW686" s="375"/>
      <c r="AX686" s="375"/>
      <c r="AY686" s="375"/>
      <c r="AZ686" s="375"/>
      <c r="BA686" s="375">
        <v>624226</v>
      </c>
      <c r="BB686" s="375">
        <v>624226</v>
      </c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</row>
    <row r="687" spans="1:67" ht="15" customHeight="1">
      <c r="A687" s="79" t="s">
        <v>2686</v>
      </c>
      <c r="B687" s="296" t="s">
        <v>2687</v>
      </c>
      <c r="C687" s="150" t="s">
        <v>1136</v>
      </c>
      <c r="D687" s="150" t="s">
        <v>1345</v>
      </c>
      <c r="E687" s="332" t="s">
        <v>1437</v>
      </c>
      <c r="F687" s="333" t="s">
        <v>1437</v>
      </c>
      <c r="G687" s="514" t="s">
        <v>639</v>
      </c>
      <c r="H687" s="401"/>
      <c r="I687" s="333"/>
      <c r="J687" s="333"/>
      <c r="K687" s="90" t="s">
        <v>817</v>
      </c>
      <c r="L687" s="347"/>
      <c r="M687" s="347"/>
      <c r="N687" s="348"/>
      <c r="O687" s="348"/>
      <c r="P687" s="348"/>
      <c r="Q687" s="440"/>
      <c r="R687" s="454"/>
      <c r="S687" s="509"/>
      <c r="T687" s="425"/>
      <c r="U687" s="425"/>
      <c r="V687" s="436"/>
      <c r="W687" s="436"/>
      <c r="X687" s="436"/>
      <c r="Y687" s="429"/>
      <c r="Z687" s="429"/>
      <c r="AA687" s="429">
        <v>3285.0699999999997</v>
      </c>
      <c r="AB687" s="363" t="e">
        <v>#N/A</v>
      </c>
      <c r="AC687" s="364"/>
      <c r="AD687" s="364"/>
      <c r="AE687" s="364"/>
      <c r="AF687" s="364"/>
      <c r="AG687" s="364"/>
      <c r="AH687" s="360" t="e">
        <f t="shared" ref="AH687" si="34">SUM(V687:AG687)</f>
        <v>#N/A</v>
      </c>
      <c r="AI687" s="455" t="e">
        <f>ERP[[#This Row],[2026 Working Total]]-ERP[[#This Row],[LE2 Final Submission]]</f>
        <v>#N/A</v>
      </c>
      <c r="AJ687" s="79"/>
      <c r="AK687" s="79">
        <f t="shared" ref="AK687" si="35">$AA687 - $AJ687</f>
        <v>3285.0699999999997</v>
      </c>
      <c r="AL687" s="391">
        <f>SUM(ERP[[#This Row],[AP01]:[AP06]])-SUM(ERP[[#This Row],[AP01 LE2]:[AP06 LE2]])</f>
        <v>3285.0699999999997</v>
      </c>
      <c r="AM687" s="80"/>
      <c r="AN687" s="79" t="e">
        <f>ERP[[#This Row],[2026 Working Total to Budget/LE]]-ERP[[#This Row],[Giveback]]</f>
        <v>#N/A</v>
      </c>
      <c r="AO687" s="81"/>
      <c r="AP687" s="375"/>
      <c r="AQ687" s="375"/>
      <c r="AR687" s="375"/>
      <c r="AS687" s="375"/>
      <c r="AT687" s="375"/>
      <c r="AU687" s="375"/>
      <c r="AV687" s="375"/>
      <c r="AW687" s="375"/>
      <c r="AX687" s="375"/>
      <c r="AY687" s="375"/>
      <c r="AZ687" s="375"/>
      <c r="BA687" s="375"/>
      <c r="BB687" s="375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</row>
    <row r="688" spans="1:67" ht="15" customHeight="1">
      <c r="A688" s="79" t="s">
        <v>1321</v>
      </c>
      <c r="B688" s="296" t="s">
        <v>1322</v>
      </c>
      <c r="C688" s="332" t="s">
        <v>1136</v>
      </c>
      <c r="D688" s="332" t="s">
        <v>1135</v>
      </c>
      <c r="E688" s="332" t="s">
        <v>1165</v>
      </c>
      <c r="F688" s="333" t="s">
        <v>1165</v>
      </c>
      <c r="G688" s="514" t="s">
        <v>49</v>
      </c>
      <c r="H688" s="401" t="s">
        <v>1323</v>
      </c>
      <c r="I688" s="333" t="s">
        <v>1324</v>
      </c>
      <c r="J688" s="333">
        <v>2321403</v>
      </c>
      <c r="K688" s="90" t="s">
        <v>124</v>
      </c>
      <c r="L688" s="347"/>
      <c r="M688">
        <v>9501275938</v>
      </c>
      <c r="N688" s="348"/>
      <c r="O688" s="348"/>
      <c r="P688" s="348"/>
      <c r="Q688" s="440"/>
      <c r="R688" s="454"/>
      <c r="S688" s="509"/>
      <c r="T688" s="425"/>
      <c r="U688" s="425"/>
      <c r="V688" s="436"/>
      <c r="W688" s="436"/>
      <c r="X688" s="436"/>
      <c r="Y688" s="429"/>
      <c r="Z688" s="429"/>
      <c r="AA688" s="429"/>
      <c r="AB688" s="363" t="e">
        <v>#N/A</v>
      </c>
      <c r="AC688" s="363">
        <v>10125</v>
      </c>
      <c r="AD688" s="363">
        <v>9500</v>
      </c>
      <c r="AE688" s="363">
        <v>9500</v>
      </c>
      <c r="AF688" s="363">
        <v>10125</v>
      </c>
      <c r="AG688" s="363">
        <v>10125</v>
      </c>
      <c r="AH688" s="360" t="e">
        <f>SUM(V688:AG688)</f>
        <v>#N/A</v>
      </c>
      <c r="AI688" s="455" t="e">
        <f>ERP[[#This Row],[2026 Working Total]]-ERP[[#This Row],[LE2 Final Submission]]</f>
        <v>#N/A</v>
      </c>
      <c r="AJ688" s="79">
        <v>9500</v>
      </c>
      <c r="AK688" s="79">
        <f>$AA688 - $AJ688</f>
        <v>-9500</v>
      </c>
      <c r="AL688" s="391">
        <f>SUM(ERP[[#This Row],[AP01]:[AP06]])-SUM(ERP[[#This Row],[AP01 LE2]:[AP06 LE2]])</f>
        <v>0</v>
      </c>
      <c r="AM688" s="80"/>
      <c r="AN688" s="79" t="e">
        <f>ERP[[#This Row],[2026 Working Total to Budget/LE]]-ERP[[#This Row],[Giveback]]</f>
        <v>#N/A</v>
      </c>
      <c r="AO688" s="81"/>
      <c r="AP688" s="375"/>
      <c r="AQ688" s="375"/>
      <c r="AR688" s="375"/>
      <c r="AS688" s="375"/>
      <c r="AT688" s="375"/>
      <c r="AU688" s="375"/>
      <c r="AV688" s="375"/>
      <c r="AW688" s="375"/>
      <c r="AX688" s="375"/>
      <c r="AY688" s="375"/>
      <c r="AZ688" s="375"/>
      <c r="BA688" s="375"/>
      <c r="BB688" s="375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</row>
    <row r="689" spans="1:67" ht="15" customHeight="1">
      <c r="A689" s="79" t="s">
        <v>2889</v>
      </c>
      <c r="B689" s="66"/>
      <c r="C689" s="150" t="s">
        <v>1136</v>
      </c>
      <c r="D689" s="490" t="s">
        <v>1566</v>
      </c>
      <c r="E689" s="150" t="s">
        <v>1566</v>
      </c>
      <c r="F689" s="590" t="s">
        <v>1135</v>
      </c>
      <c r="G689" s="333" t="s">
        <v>22</v>
      </c>
      <c r="H689" s="591" t="s">
        <v>1736</v>
      </c>
      <c r="I689" s="333"/>
      <c r="J689" s="333"/>
      <c r="K689" s="348" t="s">
        <v>29</v>
      </c>
      <c r="L689" s="347"/>
      <c r="M689" s="347"/>
      <c r="N689" s="348"/>
      <c r="O689" s="592"/>
      <c r="P689" s="589" t="s">
        <v>1737</v>
      </c>
      <c r="Q689" s="594"/>
      <c r="R689" s="588"/>
      <c r="S689" s="589"/>
      <c r="T689" s="596"/>
      <c r="U689" s="598"/>
      <c r="V689" s="429">
        <v>-26238.68</v>
      </c>
      <c r="W689" s="502">
        <v>-44376.73</v>
      </c>
      <c r="X689" s="364">
        <v>-25573.77</v>
      </c>
      <c r="Y689" s="429">
        <v>65766.400000000009</v>
      </c>
      <c r="Z689" s="502">
        <v>-31842.660000000003</v>
      </c>
      <c r="AA689" s="364"/>
      <c r="AB689" s="363" t="e">
        <v>#N/A</v>
      </c>
      <c r="AC689" s="364"/>
      <c r="AD689" s="364"/>
      <c r="AE689" s="364"/>
      <c r="AF689" s="364"/>
      <c r="AG689" s="364"/>
      <c r="AH689" s="360" t="e">
        <f t="shared" ref="AH689:AH696" si="36">SUM(T689:AG689)</f>
        <v>#N/A</v>
      </c>
      <c r="AI689" s="455" t="e">
        <f>ERP[[#This Row],[2026 Working Total]]-ERP[[#This Row],[LE2 Final Submission]]</f>
        <v>#N/A</v>
      </c>
      <c r="AJ689" s="79"/>
      <c r="AK689" s="79">
        <f t="shared" ref="AK689:AK696" si="37">$V689 - $AJ689</f>
        <v>-26238.68</v>
      </c>
      <c r="AL689" s="391">
        <f>SUM(ERP[[#This Row],[AP01]:[AP06]])-SUM(ERP[[#This Row],[AP01 LE2]:[AP06 LE2]])</f>
        <v>-62265.440000000002</v>
      </c>
      <c r="AM689" s="80"/>
      <c r="AN689" s="79" t="e">
        <f>ERP[[#This Row],[2026 Working Total to Budget/LE]]-ERP[[#This Row],[Giveback]]</f>
        <v>#N/A</v>
      </c>
      <c r="AO689" s="81"/>
      <c r="AP689" s="375"/>
      <c r="AQ689" s="375"/>
      <c r="AR689" s="375"/>
      <c r="AS689" s="375"/>
      <c r="AT689" s="375"/>
      <c r="AU689" s="375"/>
      <c r="AV689" s="375"/>
      <c r="AW689" s="375"/>
      <c r="AX689" s="375"/>
      <c r="AY689" s="375"/>
      <c r="AZ689" s="375"/>
      <c r="BA689" s="375"/>
      <c r="BB689" s="375"/>
      <c r="BC689" s="79"/>
      <c r="BD689" s="79"/>
      <c r="BE689" s="79"/>
      <c r="BF689" s="79"/>
      <c r="BG689" s="79"/>
      <c r="BH689" s="79"/>
      <c r="BI689" s="79"/>
      <c r="BJ689" s="79"/>
      <c r="BK689" s="79"/>
      <c r="BL689" s="79"/>
      <c r="BM689" s="79"/>
      <c r="BN689" s="79"/>
      <c r="BO689" s="79"/>
    </row>
    <row r="690" spans="1:67" ht="15" customHeight="1">
      <c r="A690" s="79" t="s">
        <v>1735</v>
      </c>
      <c r="B690" s="66"/>
      <c r="C690" s="150" t="s">
        <v>1136</v>
      </c>
      <c r="D690" s="490" t="s">
        <v>1566</v>
      </c>
      <c r="E690" s="150" t="s">
        <v>1566</v>
      </c>
      <c r="F690" s="590" t="s">
        <v>1135</v>
      </c>
      <c r="G690" s="333" t="s">
        <v>342</v>
      </c>
      <c r="H690" s="591" t="s">
        <v>1736</v>
      </c>
      <c r="I690" s="333"/>
      <c r="J690" s="333"/>
      <c r="K690" s="348" t="s">
        <v>365</v>
      </c>
      <c r="L690" s="347"/>
      <c r="M690" s="347"/>
      <c r="N690" s="348"/>
      <c r="O690" s="592"/>
      <c r="P690" s="589" t="s">
        <v>1737</v>
      </c>
      <c r="Q690" s="594"/>
      <c r="R690" s="588"/>
      <c r="S690" s="589"/>
      <c r="T690" s="596"/>
      <c r="U690" s="598"/>
      <c r="V690" s="429">
        <v>-922.67</v>
      </c>
      <c r="W690" s="502">
        <v>0</v>
      </c>
      <c r="X690" s="364">
        <v>0</v>
      </c>
      <c r="Y690" s="429">
        <v>0</v>
      </c>
      <c r="Z690" s="502">
        <v>0</v>
      </c>
      <c r="AA690" s="364"/>
      <c r="AB690" s="363" t="e">
        <v>#N/A</v>
      </c>
      <c r="AC690" s="364"/>
      <c r="AD690" s="364"/>
      <c r="AE690" s="364"/>
      <c r="AF690" s="364"/>
      <c r="AG690" s="364"/>
      <c r="AH690" s="360" t="e">
        <f t="shared" si="36"/>
        <v>#N/A</v>
      </c>
      <c r="AI690" s="455" t="e">
        <f>ERP[[#This Row],[2026 Working Total]]-ERP[[#This Row],[LE2 Final Submission]]</f>
        <v>#N/A</v>
      </c>
      <c r="AJ690" s="79"/>
      <c r="AK690" s="79">
        <f t="shared" si="37"/>
        <v>-922.67</v>
      </c>
      <c r="AL690" s="391">
        <f>SUM(ERP[[#This Row],[AP01]:[AP06]])-SUM(ERP[[#This Row],[AP01 LE2]:[AP06 LE2]])</f>
        <v>-922.67</v>
      </c>
      <c r="AM690" s="80"/>
      <c r="AN690" s="79" t="e">
        <f>ERP[[#This Row],[2026 Working Total to Budget/LE]]-ERP[[#This Row],[Giveback]]</f>
        <v>#N/A</v>
      </c>
      <c r="AO690" s="81"/>
      <c r="AP690" s="375"/>
      <c r="AQ690" s="375"/>
      <c r="AR690" s="375"/>
      <c r="AS690" s="375"/>
      <c r="AT690" s="375"/>
      <c r="AU690" s="375"/>
      <c r="AV690" s="375"/>
      <c r="AW690" s="375"/>
      <c r="AX690" s="375"/>
      <c r="AY690" s="375"/>
      <c r="AZ690" s="375"/>
      <c r="BA690" s="375"/>
      <c r="BB690" s="375"/>
      <c r="BC690" s="79"/>
      <c r="BD690" s="79"/>
      <c r="BE690" s="79"/>
      <c r="BF690" s="79"/>
      <c r="BG690" s="79"/>
      <c r="BH690" s="79"/>
      <c r="BI690" s="79"/>
      <c r="BJ690" s="79"/>
      <c r="BK690" s="79"/>
      <c r="BL690" s="79"/>
      <c r="BM690" s="79"/>
      <c r="BN690" s="79"/>
      <c r="BO690" s="79"/>
    </row>
    <row r="691" spans="1:67" ht="15" customHeight="1">
      <c r="A691" s="79" t="s">
        <v>1743</v>
      </c>
      <c r="B691" s="66"/>
      <c r="C691" s="150" t="s">
        <v>1136</v>
      </c>
      <c r="D691" s="490" t="s">
        <v>1566</v>
      </c>
      <c r="E691" s="150" t="s">
        <v>1566</v>
      </c>
      <c r="F691" s="590" t="s">
        <v>1135</v>
      </c>
      <c r="G691" s="333" t="s">
        <v>342</v>
      </c>
      <c r="H691" s="591" t="s">
        <v>1736</v>
      </c>
      <c r="I691" s="333"/>
      <c r="J691" s="333"/>
      <c r="K691" s="348" t="s">
        <v>147</v>
      </c>
      <c r="L691" s="347"/>
      <c r="M691" s="347"/>
      <c r="N691" s="348"/>
      <c r="O691" s="592"/>
      <c r="P691" s="589" t="s">
        <v>1737</v>
      </c>
      <c r="Q691" s="594"/>
      <c r="R691" s="588"/>
      <c r="S691" s="589"/>
      <c r="T691" s="596"/>
      <c r="U691" s="598"/>
      <c r="V691" s="429">
        <v>0</v>
      </c>
      <c r="W691" s="502">
        <v>0</v>
      </c>
      <c r="X691" s="364">
        <v>0</v>
      </c>
      <c r="Y691" s="429">
        <v>0</v>
      </c>
      <c r="Z691" s="502">
        <v>0</v>
      </c>
      <c r="AA691" s="364"/>
      <c r="AB691" s="363" t="e">
        <v>#N/A</v>
      </c>
      <c r="AC691" s="364"/>
      <c r="AD691" s="364"/>
      <c r="AE691" s="364"/>
      <c r="AF691" s="364"/>
      <c r="AG691" s="364"/>
      <c r="AH691" s="360" t="e">
        <f t="shared" si="36"/>
        <v>#N/A</v>
      </c>
      <c r="AI691" s="455" t="e">
        <f>ERP[[#This Row],[2026 Working Total]]-ERP[[#This Row],[LE2 Final Submission]]</f>
        <v>#N/A</v>
      </c>
      <c r="AJ691" s="79"/>
      <c r="AK691" s="79">
        <f t="shared" si="37"/>
        <v>0</v>
      </c>
      <c r="AL691" s="391">
        <f>SUM(ERP[[#This Row],[AP01]:[AP06]])-SUM(ERP[[#This Row],[AP01 LE2]:[AP06 LE2]])</f>
        <v>0</v>
      </c>
      <c r="AM691" s="80"/>
      <c r="AN691" s="79" t="e">
        <f>ERP[[#This Row],[2026 Working Total to Budget/LE]]-ERP[[#This Row],[Giveback]]</f>
        <v>#N/A</v>
      </c>
      <c r="AO691" s="81"/>
      <c r="AP691" s="375"/>
      <c r="AQ691" s="375"/>
      <c r="AR691" s="375"/>
      <c r="AS691" s="375"/>
      <c r="AT691" s="375"/>
      <c r="AU691" s="375"/>
      <c r="AV691" s="375"/>
      <c r="AW691" s="375"/>
      <c r="AX691" s="375"/>
      <c r="AY691" s="375"/>
      <c r="AZ691" s="375"/>
      <c r="BA691" s="375"/>
      <c r="BB691" s="375"/>
      <c r="BC691" s="79"/>
      <c r="BD691" s="79"/>
      <c r="BE691" s="79"/>
      <c r="BF691" s="79"/>
      <c r="BG691" s="79"/>
      <c r="BH691" s="79"/>
      <c r="BI691" s="79"/>
      <c r="BJ691" s="79"/>
      <c r="BK691" s="79"/>
      <c r="BL691" s="79"/>
      <c r="BM691" s="79"/>
      <c r="BN691" s="79"/>
      <c r="BO691" s="79"/>
    </row>
    <row r="692" spans="1:67" ht="15" customHeight="1">
      <c r="A692" s="79" t="s">
        <v>2103</v>
      </c>
      <c r="B692" s="66"/>
      <c r="C692" s="150" t="s">
        <v>1136</v>
      </c>
      <c r="D692" s="490" t="s">
        <v>1566</v>
      </c>
      <c r="E692" s="150" t="s">
        <v>1566</v>
      </c>
      <c r="F692" s="590" t="s">
        <v>1135</v>
      </c>
      <c r="G692" s="333" t="s">
        <v>389</v>
      </c>
      <c r="H692" s="591" t="s">
        <v>1736</v>
      </c>
      <c r="I692" s="333"/>
      <c r="J692" s="333"/>
      <c r="K692" s="348" t="s">
        <v>431</v>
      </c>
      <c r="L692" s="347"/>
      <c r="M692" s="347"/>
      <c r="N692" s="348"/>
      <c r="O692" s="592"/>
      <c r="P692" s="589" t="s">
        <v>1737</v>
      </c>
      <c r="Q692" s="594"/>
      <c r="R692" s="588"/>
      <c r="S692" s="589"/>
      <c r="T692" s="596"/>
      <c r="U692" s="598"/>
      <c r="V692" s="429">
        <v>-496.91</v>
      </c>
      <c r="W692" s="502">
        <v>-1814.32</v>
      </c>
      <c r="X692" s="364">
        <v>-1804.46</v>
      </c>
      <c r="Y692" s="429">
        <v>-988.66</v>
      </c>
      <c r="Z692" s="502">
        <v>-162.79999999999998</v>
      </c>
      <c r="AA692" s="364"/>
      <c r="AB692" s="363" t="e">
        <v>#N/A</v>
      </c>
      <c r="AC692" s="364"/>
      <c r="AD692" s="364"/>
      <c r="AE692" s="364"/>
      <c r="AF692" s="364"/>
      <c r="AG692" s="364"/>
      <c r="AH692" s="360" t="e">
        <f t="shared" si="36"/>
        <v>#N/A</v>
      </c>
      <c r="AI692" s="455" t="e">
        <f>ERP[[#This Row],[2026 Working Total]]-ERP[[#This Row],[LE2 Final Submission]]</f>
        <v>#N/A</v>
      </c>
      <c r="AJ692" s="79"/>
      <c r="AK692" s="79">
        <f t="shared" si="37"/>
        <v>-496.91</v>
      </c>
      <c r="AL692" s="391">
        <f>SUM(ERP[[#This Row],[AP01]:[AP06]])-SUM(ERP[[#This Row],[AP01 LE2]:[AP06 LE2]])</f>
        <v>-5267.1500000000005</v>
      </c>
      <c r="AM692" s="80"/>
      <c r="AN692" s="79" t="e">
        <f>ERP[[#This Row],[2026 Working Total to Budget/LE]]-ERP[[#This Row],[Giveback]]</f>
        <v>#N/A</v>
      </c>
      <c r="AO692" s="81"/>
      <c r="AP692" s="375"/>
      <c r="AQ692" s="375"/>
      <c r="AR692" s="375"/>
      <c r="AS692" s="375"/>
      <c r="AT692" s="375"/>
      <c r="AU692" s="375"/>
      <c r="AV692" s="375"/>
      <c r="AW692" s="375"/>
      <c r="AX692" s="375"/>
      <c r="AY692" s="375"/>
      <c r="AZ692" s="375"/>
      <c r="BA692" s="375"/>
      <c r="BB692" s="375"/>
      <c r="BC692" s="79"/>
      <c r="BD692" s="79"/>
      <c r="BE692" s="79"/>
      <c r="BF692" s="79"/>
      <c r="BG692" s="79"/>
      <c r="BH692" s="79"/>
      <c r="BI692" s="79"/>
      <c r="BJ692" s="79"/>
      <c r="BK692" s="79"/>
      <c r="BL692" s="79"/>
      <c r="BM692" s="79"/>
      <c r="BN692" s="79"/>
      <c r="BO692" s="79"/>
    </row>
    <row r="693" spans="1:67" ht="15" customHeight="1">
      <c r="A693" s="79" t="s">
        <v>2128</v>
      </c>
      <c r="B693" s="66"/>
      <c r="C693" s="150" t="s">
        <v>1136</v>
      </c>
      <c r="D693" s="490" t="s">
        <v>1566</v>
      </c>
      <c r="E693" s="150" t="s">
        <v>1566</v>
      </c>
      <c r="F693" s="590" t="s">
        <v>1135</v>
      </c>
      <c r="G693" s="333" t="s">
        <v>389</v>
      </c>
      <c r="H693" s="591" t="s">
        <v>1736</v>
      </c>
      <c r="I693" s="333"/>
      <c r="J693" s="333"/>
      <c r="K693" s="348" t="s">
        <v>147</v>
      </c>
      <c r="L693" s="347"/>
      <c r="M693" s="347"/>
      <c r="N693" s="348"/>
      <c r="O693" s="592"/>
      <c r="P693" s="589" t="s">
        <v>1737</v>
      </c>
      <c r="Q693" s="594"/>
      <c r="R693" s="588"/>
      <c r="S693" s="589"/>
      <c r="T693" s="596"/>
      <c r="U693" s="598"/>
      <c r="V693" s="429">
        <v>-34.579999999999927</v>
      </c>
      <c r="W693" s="502">
        <v>-2174.2599999999998</v>
      </c>
      <c r="X693" s="364">
        <v>-1377.2199999999998</v>
      </c>
      <c r="Y693" s="429">
        <v>-1682.44</v>
      </c>
      <c r="Z693" s="502">
        <v>-2072.7199999999998</v>
      </c>
      <c r="AA693" s="364"/>
      <c r="AB693" s="363" t="e">
        <v>#N/A</v>
      </c>
      <c r="AC693" s="364"/>
      <c r="AD693" s="364"/>
      <c r="AE693" s="364"/>
      <c r="AF693" s="364"/>
      <c r="AG693" s="364"/>
      <c r="AH693" s="360" t="e">
        <f t="shared" si="36"/>
        <v>#N/A</v>
      </c>
      <c r="AI693" s="455" t="e">
        <f>ERP[[#This Row],[2026 Working Total]]-ERP[[#This Row],[LE2 Final Submission]]</f>
        <v>#N/A</v>
      </c>
      <c r="AJ693" s="79"/>
      <c r="AK693" s="79">
        <f t="shared" si="37"/>
        <v>-34.579999999999927</v>
      </c>
      <c r="AL693" s="391">
        <f>SUM(ERP[[#This Row],[AP01]:[AP06]])-SUM(ERP[[#This Row],[AP01 LE2]:[AP06 LE2]])</f>
        <v>-7341.2199999999993</v>
      </c>
      <c r="AM693" s="80"/>
      <c r="AN693" s="79" t="e">
        <f>ERP[[#This Row],[2026 Working Total to Budget/LE]]-ERP[[#This Row],[Giveback]]</f>
        <v>#N/A</v>
      </c>
      <c r="AO693" s="81"/>
      <c r="AP693" s="375"/>
      <c r="AQ693" s="375"/>
      <c r="AR693" s="375"/>
      <c r="AS693" s="375"/>
      <c r="AT693" s="375"/>
      <c r="AU693" s="375"/>
      <c r="AV693" s="375"/>
      <c r="AW693" s="375"/>
      <c r="AX693" s="375"/>
      <c r="AY693" s="375"/>
      <c r="AZ693" s="375"/>
      <c r="BA693" s="375"/>
      <c r="BB693" s="375"/>
      <c r="BC693" s="79"/>
      <c r="BD693" s="79"/>
      <c r="BE693" s="79"/>
      <c r="BF693" s="79"/>
      <c r="BG693" s="79"/>
      <c r="BH693" s="79"/>
      <c r="BI693" s="79"/>
      <c r="BJ693" s="79"/>
      <c r="BK693" s="79"/>
      <c r="BL693" s="79"/>
      <c r="BM693" s="79"/>
      <c r="BN693" s="79"/>
      <c r="BO693" s="79"/>
    </row>
    <row r="694" spans="1:67" ht="15" customHeight="1">
      <c r="A694" s="79" t="s">
        <v>2179</v>
      </c>
      <c r="B694" s="66"/>
      <c r="C694" s="150" t="s">
        <v>1136</v>
      </c>
      <c r="D694" s="490" t="s">
        <v>1566</v>
      </c>
      <c r="E694" s="150" t="s">
        <v>1566</v>
      </c>
      <c r="F694" s="590" t="s">
        <v>1135</v>
      </c>
      <c r="G694" s="333" t="s">
        <v>602</v>
      </c>
      <c r="H694" s="591" t="s">
        <v>1736</v>
      </c>
      <c r="I694" s="333"/>
      <c r="J694" s="333"/>
      <c r="K694" s="348" t="s">
        <v>610</v>
      </c>
      <c r="L694" s="347"/>
      <c r="M694" s="347"/>
      <c r="N694" s="348"/>
      <c r="O694" s="592"/>
      <c r="P694" s="589" t="s">
        <v>1737</v>
      </c>
      <c r="Q694" s="594"/>
      <c r="R694" s="588"/>
      <c r="S694" s="589"/>
      <c r="T694" s="596"/>
      <c r="U694" s="598"/>
      <c r="V694" s="429">
        <v>-9.23</v>
      </c>
      <c r="W694" s="502">
        <v>-9.25</v>
      </c>
      <c r="X694" s="364">
        <v>-9.120000000000001</v>
      </c>
      <c r="Y694" s="429">
        <v>-9.32</v>
      </c>
      <c r="Z694" s="502">
        <v>-8.33</v>
      </c>
      <c r="AA694" s="364"/>
      <c r="AB694" s="363" t="e">
        <v>#N/A</v>
      </c>
      <c r="AC694" s="364"/>
      <c r="AD694" s="364"/>
      <c r="AE694" s="364"/>
      <c r="AF694" s="364"/>
      <c r="AG694" s="364"/>
      <c r="AH694" s="360" t="e">
        <f t="shared" si="36"/>
        <v>#N/A</v>
      </c>
      <c r="AI694" s="455" t="e">
        <f>ERP[[#This Row],[2026 Working Total]]-ERP[[#This Row],[LE2 Final Submission]]</f>
        <v>#N/A</v>
      </c>
      <c r="AJ694" s="79"/>
      <c r="AK694" s="79">
        <f t="shared" si="37"/>
        <v>-9.23</v>
      </c>
      <c r="AL694" s="391">
        <f>SUM(ERP[[#This Row],[AP01]:[AP06]])-SUM(ERP[[#This Row],[AP01 LE2]:[AP06 LE2]])</f>
        <v>-45.25</v>
      </c>
      <c r="AM694" s="80"/>
      <c r="AN694" s="79" t="e">
        <f>ERP[[#This Row],[2026 Working Total to Budget/LE]]-ERP[[#This Row],[Giveback]]</f>
        <v>#N/A</v>
      </c>
      <c r="AO694" s="81"/>
      <c r="AP694" s="375"/>
      <c r="AQ694" s="375"/>
      <c r="AR694" s="375"/>
      <c r="AS694" s="375"/>
      <c r="AT694" s="375"/>
      <c r="AU694" s="375"/>
      <c r="AV694" s="375"/>
      <c r="AW694" s="375"/>
      <c r="AX694" s="375"/>
      <c r="AY694" s="375"/>
      <c r="AZ694" s="375"/>
      <c r="BA694" s="375"/>
      <c r="BB694" s="375"/>
      <c r="BC694" s="79"/>
      <c r="BD694" s="79"/>
      <c r="BE694" s="79"/>
      <c r="BF694" s="79"/>
      <c r="BG694" s="79"/>
      <c r="BH694" s="79"/>
      <c r="BI694" s="79"/>
      <c r="BJ694" s="79"/>
      <c r="BK694" s="79"/>
      <c r="BL694" s="79"/>
      <c r="BM694" s="79"/>
      <c r="BN694" s="79"/>
      <c r="BO694" s="79"/>
    </row>
    <row r="695" spans="1:67" ht="15" customHeight="1">
      <c r="A695" s="79" t="s">
        <v>2839</v>
      </c>
      <c r="B695" s="66"/>
      <c r="C695" s="150" t="s">
        <v>1136</v>
      </c>
      <c r="D695" s="490" t="s">
        <v>1566</v>
      </c>
      <c r="E695" s="150" t="s">
        <v>1566</v>
      </c>
      <c r="F695" s="590" t="s">
        <v>1135</v>
      </c>
      <c r="G695" s="333" t="s">
        <v>1027</v>
      </c>
      <c r="H695" s="591" t="s">
        <v>1736</v>
      </c>
      <c r="I695" s="333"/>
      <c r="J695" s="333"/>
      <c r="K695" s="348" t="s">
        <v>1029</v>
      </c>
      <c r="L695" s="347"/>
      <c r="M695" s="347"/>
      <c r="N695" s="348"/>
      <c r="O695" s="592"/>
      <c r="P695" s="589" t="s">
        <v>1737</v>
      </c>
      <c r="Q695" s="594"/>
      <c r="R695" s="588"/>
      <c r="S695" s="589"/>
      <c r="T695" s="596"/>
      <c r="U695" s="598"/>
      <c r="V695" s="429">
        <v>29.53</v>
      </c>
      <c r="W695" s="502">
        <v>-32.380000000000003</v>
      </c>
      <c r="X695" s="364">
        <v>-28.27</v>
      </c>
      <c r="Y695" s="429">
        <v>-55.89</v>
      </c>
      <c r="Z695" s="502">
        <v>-25</v>
      </c>
      <c r="AA695" s="364"/>
      <c r="AB695" s="363" t="e">
        <v>#N/A</v>
      </c>
      <c r="AC695" s="364"/>
      <c r="AD695" s="364"/>
      <c r="AE695" s="364"/>
      <c r="AF695" s="364"/>
      <c r="AG695" s="364"/>
      <c r="AH695" s="360" t="e">
        <f t="shared" si="36"/>
        <v>#N/A</v>
      </c>
      <c r="AI695" s="455" t="e">
        <f>ERP[[#This Row],[2026 Working Total]]-ERP[[#This Row],[LE2 Final Submission]]</f>
        <v>#N/A</v>
      </c>
      <c r="AJ695" s="79"/>
      <c r="AK695" s="79">
        <f t="shared" si="37"/>
        <v>29.53</v>
      </c>
      <c r="AL695" s="391">
        <f>SUM(ERP[[#This Row],[AP01]:[AP06]])-SUM(ERP[[#This Row],[AP01 LE2]:[AP06 LE2]])</f>
        <v>-112.01</v>
      </c>
      <c r="AM695" s="80"/>
      <c r="AN695" s="79" t="e">
        <f>ERP[[#This Row],[2026 Working Total to Budget/LE]]-ERP[[#This Row],[Giveback]]</f>
        <v>#N/A</v>
      </c>
      <c r="AO695" s="81"/>
      <c r="AP695" s="375"/>
      <c r="AQ695" s="375"/>
      <c r="AR695" s="375"/>
      <c r="AS695" s="375"/>
      <c r="AT695" s="375"/>
      <c r="AU695" s="375"/>
      <c r="AV695" s="375"/>
      <c r="AW695" s="375"/>
      <c r="AX695" s="375"/>
      <c r="AY695" s="375"/>
      <c r="AZ695" s="375"/>
      <c r="BA695" s="375"/>
      <c r="BB695" s="375"/>
      <c r="BC695" s="79"/>
      <c r="BD695" s="79"/>
      <c r="BE695" s="79"/>
      <c r="BF695" s="79"/>
      <c r="BG695" s="79"/>
      <c r="BH695" s="79"/>
      <c r="BI695" s="79"/>
      <c r="BJ695" s="79"/>
      <c r="BK695" s="79"/>
      <c r="BL695" s="79"/>
      <c r="BM695" s="79"/>
      <c r="BN695" s="79"/>
      <c r="BO695" s="79"/>
    </row>
    <row r="696" spans="1:67" ht="15" customHeight="1">
      <c r="A696" s="79" t="s">
        <v>2859</v>
      </c>
      <c r="B696" s="66"/>
      <c r="C696" s="150" t="s">
        <v>1136</v>
      </c>
      <c r="D696" s="490" t="s">
        <v>1566</v>
      </c>
      <c r="E696" s="150" t="s">
        <v>1566</v>
      </c>
      <c r="F696" s="590" t="s">
        <v>1135</v>
      </c>
      <c r="G696" s="333" t="s">
        <v>1037</v>
      </c>
      <c r="H696" s="591" t="s">
        <v>1736</v>
      </c>
      <c r="I696" s="333"/>
      <c r="J696" s="333"/>
      <c r="K696" s="348" t="s">
        <v>1039</v>
      </c>
      <c r="L696" s="347"/>
      <c r="M696" s="347"/>
      <c r="N696" s="348"/>
      <c r="O696" s="593"/>
      <c r="P696" s="509" t="s">
        <v>1737</v>
      </c>
      <c r="Q696" s="595"/>
      <c r="R696" s="454"/>
      <c r="S696" s="509"/>
      <c r="T696" s="597"/>
      <c r="U696" s="599"/>
      <c r="V696" s="429">
        <v>0</v>
      </c>
      <c r="W696" s="502">
        <v>0</v>
      </c>
      <c r="X696" s="364">
        <v>0</v>
      </c>
      <c r="Y696" s="429">
        <v>-470.32</v>
      </c>
      <c r="Z696" s="502">
        <v>0</v>
      </c>
      <c r="AA696" s="364"/>
      <c r="AB696" s="363" t="e">
        <v>#N/A</v>
      </c>
      <c r="AC696" s="364"/>
      <c r="AD696" s="364"/>
      <c r="AE696" s="364"/>
      <c r="AF696" s="364"/>
      <c r="AG696" s="364"/>
      <c r="AH696" s="360" t="e">
        <f t="shared" si="36"/>
        <v>#N/A</v>
      </c>
      <c r="AI696" s="455" t="e">
        <f>ERP[[#This Row],[2026 Working Total]]-ERP[[#This Row],[LE2 Final Submission]]</f>
        <v>#N/A</v>
      </c>
      <c r="AJ696" s="79"/>
      <c r="AK696" s="79">
        <f t="shared" si="37"/>
        <v>0</v>
      </c>
      <c r="AL696" s="391">
        <f>SUM(ERP[[#This Row],[AP01]:[AP06]])-SUM(ERP[[#This Row],[AP01 LE2]:[AP06 LE2]])</f>
        <v>-470.32</v>
      </c>
      <c r="AM696" s="80"/>
      <c r="AN696" s="79" t="e">
        <f>ERP[[#This Row],[2026 Working Total to Budget/LE]]-ERP[[#This Row],[Giveback]]</f>
        <v>#N/A</v>
      </c>
      <c r="AO696" s="81"/>
      <c r="AP696" s="375"/>
      <c r="AQ696" s="375"/>
      <c r="AR696" s="375"/>
      <c r="AS696" s="375"/>
      <c r="AT696" s="375"/>
      <c r="AU696" s="375"/>
      <c r="AV696" s="375"/>
      <c r="AW696" s="375"/>
      <c r="AX696" s="375"/>
      <c r="AY696" s="375"/>
      <c r="AZ696" s="375"/>
      <c r="BA696" s="375"/>
      <c r="BB696" s="375"/>
      <c r="BC696" s="79"/>
      <c r="BD696" s="79"/>
      <c r="BE696" s="79"/>
      <c r="BF696" s="79"/>
      <c r="BG696" s="79"/>
      <c r="BH696" s="79"/>
      <c r="BI696" s="79"/>
      <c r="BJ696" s="79"/>
      <c r="BK696" s="79"/>
      <c r="BL696" s="79"/>
      <c r="BM696" s="79"/>
      <c r="BN696" s="79"/>
      <c r="BO696" s="79"/>
    </row>
  </sheetData>
  <sheetProtection formatCells="0" formatColumns="0" formatRows="0" insertRows="0" sort="0" autoFilter="0" pivotTables="0"/>
  <phoneticPr fontId="27" type="noConversion"/>
  <conditionalFormatting sqref="B1:B688 B697:B1048576">
    <cfRule type="duplicateValues" dxfId="591" priority="8"/>
  </conditionalFormatting>
  <conditionalFormatting sqref="B1:B1048576">
    <cfRule type="duplicateValues" dxfId="590" priority="1"/>
  </conditionalFormatting>
  <conditionalFormatting sqref="B8:B696">
    <cfRule type="duplicateValues" dxfId="589" priority="36"/>
  </conditionalFormatting>
  <conditionalFormatting sqref="K1:K659 K677:K688 K661:K675 K697:K1048576">
    <cfRule type="duplicateValues" dxfId="588" priority="30"/>
  </conditionalFormatting>
  <conditionalFormatting sqref="K522:K527 K529:K533 K535:K632 K634">
    <cfRule type="duplicateValues" dxfId="587" priority="14"/>
  </conditionalFormatting>
  <conditionalFormatting sqref="K626:K632 K634">
    <cfRule type="duplicateValues" dxfId="586" priority="13"/>
  </conditionalFormatting>
  <conditionalFormatting sqref="K689:K696">
    <cfRule type="duplicateValues" dxfId="585" priority="7"/>
  </conditionalFormatting>
  <conditionalFormatting sqref="M1:M6">
    <cfRule type="duplicateValues" dxfId="584" priority="15"/>
  </conditionalFormatting>
  <conditionalFormatting sqref="AO26:BB26">
    <cfRule type="duplicateValues" dxfId="583" priority="11"/>
  </conditionalFormatting>
  <conditionalFormatting sqref="AO291:BB291">
    <cfRule type="duplicateValues" dxfId="582" priority="10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DAE0-2C8B-4DA5-BD40-4F9B29F902B9}">
  <sheetPr>
    <pageSetUpPr fitToPage="1"/>
  </sheetPr>
  <dimension ref="A1:BT592"/>
  <sheetViews>
    <sheetView zoomScaleNormal="100" workbookViewId="0">
      <selection activeCell="G316" sqref="G316"/>
    </sheetView>
  </sheetViews>
  <sheetFormatPr defaultColWidth="9.140625" defaultRowHeight="15" customHeight="1" outlineLevelCol="2"/>
  <cols>
    <col min="1" max="1" width="12.140625" bestFit="1" customWidth="1"/>
    <col min="2" max="2" width="12.140625" customWidth="1"/>
    <col min="3" max="3" width="61" customWidth="1"/>
    <col min="4" max="4" width="19.42578125" customWidth="1" outlineLevel="1"/>
    <col min="5" max="5" width="4.85546875" customWidth="1" outlineLevel="1"/>
    <col min="6" max="8" width="19" customWidth="1" outlineLevel="1"/>
    <col min="9" max="9" width="18.85546875" customWidth="1"/>
    <col min="10" max="10" width="19.140625" customWidth="1" collapsed="1"/>
    <col min="11" max="11" width="20.5703125" customWidth="1"/>
    <col min="12" max="12" width="25.42578125" style="1" customWidth="1"/>
    <col min="13" max="13" width="73.5703125" style="318" customWidth="1"/>
    <col min="14" max="14" width="16.140625" style="10" customWidth="1"/>
    <col min="15" max="15" width="18.85546875" customWidth="1"/>
    <col min="16" max="16" width="21.42578125" customWidth="1"/>
    <col min="17" max="17" width="25.85546875" customWidth="1"/>
    <col min="18" max="18" width="21.85546875" customWidth="1"/>
    <col min="19" max="19" width="5.42578125" customWidth="1"/>
    <col min="20" max="20" width="19.5703125" customWidth="1"/>
    <col min="21" max="21" width="65.140625" customWidth="1"/>
    <col min="22" max="24" width="16.85546875" style="321" customWidth="1"/>
    <col min="25" max="26" width="16.85546875" style="321" hidden="1" customWidth="1"/>
    <col min="27" max="27" width="18.140625" style="321" customWidth="1" outlineLevel="2"/>
    <col min="28" max="28" width="17.42578125" style="321" customWidth="1" outlineLevel="2"/>
    <col min="29" max="29" width="16.5703125" style="321" customWidth="1" outlineLevel="2"/>
    <col min="30" max="30" width="16.5703125" style="419" customWidth="1" outlineLevel="2"/>
    <col min="31" max="32" width="16.42578125" style="321" customWidth="1" outlineLevel="2"/>
    <col min="33" max="34" width="16.5703125" style="321" customWidth="1" outlineLevel="2"/>
    <col min="35" max="36" width="16.42578125" style="321" customWidth="1" outlineLevel="2"/>
    <col min="37" max="38" width="16.5703125" style="321" customWidth="1" outlineLevel="2"/>
    <col min="39" max="39" width="14.42578125" style="321" customWidth="1"/>
    <col min="40" max="40" width="18.140625" style="321" customWidth="1"/>
    <col min="41" max="41" width="18.140625" style="321" customWidth="1" outlineLevel="1"/>
    <col min="42" max="42" width="21.5703125" style="321" customWidth="1" outlineLevel="1"/>
    <col min="43" max="43" width="26.140625" style="321" customWidth="1"/>
    <col min="44" max="44" width="18.140625" style="17" customWidth="1"/>
    <col min="45" max="45" width="18.140625" style="321" customWidth="1"/>
    <col min="46" max="46" width="18.140625" style="607" customWidth="1"/>
    <col min="47" max="58" width="18.140625" style="608" customWidth="1" outlineLevel="2"/>
    <col min="59" max="59" width="18.140625" style="608" customWidth="1"/>
    <col min="60" max="71" width="18.140625" style="321" customWidth="1" outlineLevel="1"/>
    <col min="72" max="72" width="18.140625" style="321" customWidth="1"/>
  </cols>
  <sheetData>
    <row r="1" spans="1:72" ht="15" customHeight="1">
      <c r="D1" s="1"/>
      <c r="E1" s="1"/>
      <c r="F1" s="1"/>
      <c r="G1" s="1"/>
      <c r="H1" s="1"/>
      <c r="I1" s="1"/>
      <c r="J1" s="1"/>
      <c r="K1" s="1"/>
      <c r="M1" s="2"/>
      <c r="N1" s="1"/>
      <c r="O1" s="1"/>
      <c r="P1" s="1"/>
      <c r="Q1" s="1"/>
      <c r="R1" s="1"/>
      <c r="S1" s="3"/>
      <c r="T1" s="3"/>
      <c r="U1" s="4"/>
      <c r="AA1" s="321">
        <f>AA2-AA3</f>
        <v>23085052.969999999</v>
      </c>
      <c r="AB1" s="321">
        <f t="shared" ref="AB1:AF1" si="0">AB2-AB3</f>
        <v>-1011952.7299999871</v>
      </c>
      <c r="AC1" s="321">
        <f t="shared" si="0"/>
        <v>10419841.420000035</v>
      </c>
      <c r="AD1" s="321">
        <f t="shared" si="0"/>
        <v>10556701.670000022</v>
      </c>
      <c r="AE1" s="321">
        <f t="shared" si="0"/>
        <v>10154837.259999998</v>
      </c>
      <c r="AF1" s="321">
        <f t="shared" si="0"/>
        <v>11565735.209999992</v>
      </c>
      <c r="AG1" s="17"/>
      <c r="AH1" s="17"/>
      <c r="AI1" s="17"/>
      <c r="AJ1" s="17"/>
      <c r="AK1" s="17"/>
      <c r="AL1" s="17"/>
      <c r="AM1" s="321">
        <f>AM3-X3</f>
        <v>136685.79000000004</v>
      </c>
    </row>
    <row r="2" spans="1:72" s="5" customFormat="1" ht="15" customHeight="1">
      <c r="D2" s="6"/>
      <c r="E2" s="6"/>
      <c r="F2" s="6"/>
      <c r="G2" s="6"/>
      <c r="H2" s="6"/>
      <c r="I2" s="6"/>
      <c r="J2" s="6"/>
      <c r="K2" s="1"/>
      <c r="L2" s="510"/>
      <c r="M2" s="7"/>
      <c r="N2" s="322"/>
      <c r="O2" s="322"/>
      <c r="P2" s="6"/>
      <c r="Q2" s="6"/>
      <c r="R2" s="322"/>
      <c r="S2" s="8"/>
      <c r="T2" s="8"/>
      <c r="U2" s="6"/>
      <c r="W2" s="5">
        <f>W3-AM3</f>
        <v>-85469.790000000037</v>
      </c>
      <c r="Z2" s="5" t="s">
        <v>2916</v>
      </c>
      <c r="AA2" s="765">
        <v>23365025.969999999</v>
      </c>
      <c r="AB2" s="765">
        <v>-823439.62999998708</v>
      </c>
      <c r="AC2" s="765">
        <v>10593480.420000035</v>
      </c>
      <c r="AD2" s="765">
        <v>11367344.990000023</v>
      </c>
      <c r="AE2" s="765">
        <v>10053232.449999997</v>
      </c>
      <c r="AF2" s="766">
        <v>11179044.489999991</v>
      </c>
      <c r="AG2" s="6"/>
      <c r="AH2" s="6"/>
      <c r="AI2" s="6"/>
      <c r="AJ2" s="6"/>
      <c r="AK2" s="6"/>
      <c r="AL2" s="6"/>
      <c r="AR2" s="6"/>
      <c r="AT2" s="9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</row>
    <row r="3" spans="1:72" ht="15" customHeight="1">
      <c r="A3" s="10"/>
      <c r="B3" s="10"/>
      <c r="C3" s="10"/>
      <c r="D3" s="1"/>
      <c r="E3" s="1"/>
      <c r="F3" s="1"/>
      <c r="G3" s="1"/>
      <c r="H3" s="1"/>
      <c r="I3" s="1"/>
      <c r="J3" s="1"/>
      <c r="K3" s="1"/>
      <c r="M3" s="2"/>
      <c r="N3" s="1"/>
      <c r="O3" s="1"/>
      <c r="P3" s="1"/>
      <c r="Q3" s="1"/>
      <c r="R3" s="1"/>
      <c r="S3" s="3"/>
      <c r="T3" s="3"/>
      <c r="U3" s="4"/>
      <c r="V3" s="11">
        <f>W3-554586-35645</f>
        <v>412496</v>
      </c>
      <c r="W3" s="11">
        <f>SUBTOTAL(9,ERP_27[2026 LE0])</f>
        <v>1002727</v>
      </c>
      <c r="X3" s="12">
        <f>SUBTOTAL(9,ERP_27[LE2 Final Submission])</f>
        <v>951511</v>
      </c>
      <c r="Y3" s="12">
        <f>SUBTOTAL(9,ERP_27[LE3 Final Submission])</f>
        <v>0</v>
      </c>
      <c r="Z3" s="12">
        <f>SUBTOTAL(9,ERP_27[LE4 Final Submission])</f>
        <v>0</v>
      </c>
      <c r="AA3" s="12">
        <f>SUBTOTAL(9,ERP_27[AP01])</f>
        <v>279973</v>
      </c>
      <c r="AB3" s="12">
        <f>SUBTOTAL(9,ERP_27[AP02])</f>
        <v>188513.09999999998</v>
      </c>
      <c r="AC3" s="12">
        <f>SUBTOTAL(9,ERP_27[AP03])</f>
        <v>173639</v>
      </c>
      <c r="AD3" s="12">
        <f>SUBTOTAL(9,ERP_27[AP04])</f>
        <v>810643.32000000007</v>
      </c>
      <c r="AE3" s="12">
        <f>SUBTOTAL(9,ERP_27[AP05])</f>
        <v>-101604.81000000006</v>
      </c>
      <c r="AF3" s="12">
        <f>SUBTOTAL(9,ERP_27[AP06])</f>
        <v>-386690.72</v>
      </c>
      <c r="AG3" s="12">
        <f>SUBTOTAL(9,ERP_27[AP07])</f>
        <v>13080</v>
      </c>
      <c r="AH3" s="12">
        <f>SUBTOTAL(9,ERP_27[AP08])</f>
        <v>0</v>
      </c>
      <c r="AI3" s="12">
        <f>SUBTOTAL(9,ERP_27[AP09])</f>
        <v>58643.9</v>
      </c>
      <c r="AJ3" s="12">
        <f>SUBTOTAL(9,ERP_27[AP10])</f>
        <v>32000</v>
      </c>
      <c r="AK3" s="12">
        <f>SUBTOTAL(9,ERP_27[AP11])</f>
        <v>10000</v>
      </c>
      <c r="AL3" s="12">
        <f>SUBTOTAL(9,ERP_27[AP12])</f>
        <v>10000</v>
      </c>
      <c r="AM3" s="12">
        <f>SUBTOTAL(9,ERP_27[2026 Working Total])</f>
        <v>1088196.79</v>
      </c>
      <c r="AN3" s="13">
        <f>SUBTOTAL(9,ERP_27[2026 Working Total to Budget/LE])</f>
        <v>136685.78999999998</v>
      </c>
      <c r="AO3" s="12">
        <f>SUBTOTAL(9,ERP_27[Latest AP Snapshot])</f>
        <v>-738070</v>
      </c>
      <c r="AP3" s="12">
        <f>SUBTOTAL(9,ERP_27[Latest AP Variance to Snapshot])</f>
        <v>351379.28</v>
      </c>
      <c r="AQ3" s="13">
        <f>SUBTOTAL(9,ERP_27[YTD Act to Bud/LE])</f>
        <v>136685.78999999998</v>
      </c>
      <c r="AR3" s="14">
        <f>SUBTOTAL(9,ERP_27[Giveback])</f>
        <v>0</v>
      </c>
      <c r="AS3" s="12">
        <f>SUBTOTAL(9,ERP_27[Other Allocation])</f>
        <v>136685.78999999998</v>
      </c>
      <c r="AT3" s="14"/>
      <c r="AU3" s="12">
        <f>SUBTOTAL(9,ERP_27[AP01 LE2])</f>
        <v>279973</v>
      </c>
      <c r="AV3" s="12">
        <f>SUBTOTAL(9,ERP_27[AP02 LE2])</f>
        <v>188513.09999999998</v>
      </c>
      <c r="AW3" s="12">
        <f>SUBTOTAL(9,ERP_27[AP03 LE2])</f>
        <v>173639</v>
      </c>
      <c r="AX3" s="12">
        <f>SUBTOTAL(9,ERP_27[AP04 LE2])</f>
        <v>807092</v>
      </c>
      <c r="AY3" s="12">
        <f>SUBTOTAL(9,ERP_27[AP05 LE2])</f>
        <v>-738070</v>
      </c>
      <c r="AZ3" s="12">
        <f>SUBTOTAL(9,ERP_27[AP06 LE2])</f>
        <v>116640</v>
      </c>
      <c r="BA3" s="12">
        <f>SUBTOTAL(9,ERP_27[AP07 LE2])</f>
        <v>13080</v>
      </c>
      <c r="BB3" s="12">
        <f>SUBTOTAL(9,ERP_27[AP08 LE2])</f>
        <v>10000</v>
      </c>
      <c r="BC3" s="12">
        <f>SUBTOTAL(9,ERP_27[AP09 LE2])</f>
        <v>58643.9</v>
      </c>
      <c r="BD3" s="12">
        <f>SUBTOTAL(9,ERP_27[AP10 LE2])</f>
        <v>32000</v>
      </c>
      <c r="BE3" s="12">
        <f>SUBTOTAL(9,ERP_27[AP11 LE2])</f>
        <v>10000</v>
      </c>
      <c r="BF3" s="12">
        <f>SUBTOTAL(9,ERP_27[AP12 LE2])</f>
        <v>0</v>
      </c>
      <c r="BG3" s="12">
        <f>SUBTOTAL(9,ERP_27[2026 LE2 Working Total])</f>
        <v>951511</v>
      </c>
      <c r="BH3" s="12">
        <f>SUBTOTAL(9,ERP_27[2026 AP01])</f>
        <v>279973</v>
      </c>
      <c r="BI3" s="12">
        <f>SUBTOTAL(9,ERP_27[2026 AP02])</f>
        <v>188513.09999999998</v>
      </c>
      <c r="BJ3" s="12">
        <f>SUBTOTAL(9,ERP_27[2026 AP03])</f>
        <v>173639</v>
      </c>
      <c r="BK3" s="12">
        <f>SUBTOTAL(9,ERP_27[2026 AP04])</f>
        <v>20000</v>
      </c>
      <c r="BL3" s="12">
        <f>SUBTOTAL(9,ERP_27[2026 AP05])</f>
        <v>71201</v>
      </c>
      <c r="BM3" s="12">
        <f>SUBTOTAL(9,ERP_27[2026 AP06])</f>
        <v>35096</v>
      </c>
      <c r="BN3" s="12">
        <f>SUBTOTAL(9,ERP_27[2026 AP07])</f>
        <v>84321.95</v>
      </c>
      <c r="BO3" s="12">
        <f>SUBTOTAL(9,ERP_27[2026 AP08])</f>
        <v>167321.95000000001</v>
      </c>
      <c r="BP3" s="12">
        <f>SUBTOTAL(9,ERP_27[2026 AP09])</f>
        <v>40000</v>
      </c>
      <c r="BQ3" s="12">
        <f>SUBTOTAL(9,ERP_27[2026 AP10])</f>
        <v>40000</v>
      </c>
      <c r="BR3" s="12">
        <f>SUBTOTAL(9,ERP_27[2026 AP11])</f>
        <v>40000</v>
      </c>
      <c r="BS3" s="12">
        <f>SUBTOTAL(9,ERP_27[2026 AP12])</f>
        <v>40000</v>
      </c>
      <c r="BT3" s="12">
        <f>SUBTOTAL(9,ERP_27[2026 LE0 Submission])</f>
        <v>1180066</v>
      </c>
    </row>
    <row r="4" spans="1:72" ht="15" customHeight="1">
      <c r="D4" s="1"/>
      <c r="E4" s="1"/>
      <c r="F4" s="1"/>
      <c r="G4" s="1"/>
      <c r="H4" s="1"/>
      <c r="I4" s="1"/>
      <c r="J4" s="1"/>
      <c r="K4" s="1"/>
      <c r="M4" s="16"/>
      <c r="N4" s="4"/>
      <c r="O4" s="1"/>
      <c r="P4" s="1"/>
      <c r="Q4" s="1"/>
      <c r="R4" s="1"/>
      <c r="S4" s="3"/>
      <c r="T4" s="3"/>
      <c r="U4" s="4"/>
      <c r="AF4" s="17"/>
      <c r="AG4" s="17"/>
      <c r="AH4" s="17"/>
      <c r="AI4" s="17"/>
      <c r="AJ4" s="17"/>
      <c r="AK4" s="17"/>
      <c r="AL4" s="17"/>
    </row>
    <row r="5" spans="1:72" s="10" customFormat="1" ht="15" customHeight="1">
      <c r="D5" s="21"/>
      <c r="E5" s="18"/>
      <c r="F5" s="18"/>
      <c r="G5" s="18"/>
      <c r="H5" s="18"/>
      <c r="I5" s="18"/>
      <c r="J5" s="18"/>
      <c r="K5" s="18"/>
      <c r="L5" s="18"/>
      <c r="M5" s="19"/>
      <c r="N5" s="18"/>
      <c r="O5" s="18"/>
      <c r="P5" s="20" t="s">
        <v>310</v>
      </c>
      <c r="Q5" s="18"/>
      <c r="R5" s="18"/>
      <c r="S5" s="21"/>
      <c r="T5" s="18"/>
      <c r="U5" s="22"/>
      <c r="V5" s="609" t="s">
        <v>1053</v>
      </c>
      <c r="W5" s="610" t="s">
        <v>1054</v>
      </c>
      <c r="X5" s="610"/>
      <c r="Y5" s="610"/>
      <c r="Z5" s="610"/>
      <c r="AA5" s="611" t="s">
        <v>1055</v>
      </c>
      <c r="AB5" s="612"/>
      <c r="AC5" s="612"/>
      <c r="AD5" s="420"/>
      <c r="AE5" s="612"/>
      <c r="AF5" s="613"/>
      <c r="AG5" s="613"/>
      <c r="AH5" s="613"/>
      <c r="AI5" s="613"/>
      <c r="AJ5" s="613"/>
      <c r="AK5" s="613"/>
      <c r="AL5" s="613"/>
      <c r="AM5" s="612"/>
      <c r="AN5" s="614"/>
      <c r="AO5" s="615"/>
      <c r="AP5" s="615"/>
      <c r="AQ5" s="327" t="s">
        <v>1056</v>
      </c>
      <c r="AR5" s="616"/>
      <c r="AS5" s="615"/>
      <c r="AT5" s="617"/>
      <c r="AU5" s="618" t="s">
        <v>1057</v>
      </c>
      <c r="AV5" s="618"/>
      <c r="AW5" s="618"/>
      <c r="AX5" s="618"/>
      <c r="AY5" s="618"/>
      <c r="AZ5" s="618"/>
      <c r="BA5" s="618"/>
      <c r="BB5" s="618"/>
      <c r="BC5" s="618"/>
      <c r="BD5" s="618"/>
      <c r="BE5" s="618"/>
      <c r="BF5" s="618"/>
      <c r="BG5" s="618"/>
      <c r="BH5" s="619" t="s">
        <v>1054</v>
      </c>
      <c r="BI5" s="610"/>
      <c r="BJ5" s="610"/>
      <c r="BK5" s="610"/>
      <c r="BL5" s="610"/>
      <c r="BM5" s="610"/>
      <c r="BN5" s="610"/>
      <c r="BO5" s="610"/>
      <c r="BP5" s="610"/>
      <c r="BQ5" s="610"/>
      <c r="BR5" s="610"/>
      <c r="BS5" s="610"/>
      <c r="BT5" s="620"/>
    </row>
    <row r="6" spans="1:72" s="47" customFormat="1" ht="15" customHeight="1">
      <c r="A6" s="36"/>
      <c r="B6" s="36"/>
      <c r="C6" s="36"/>
      <c r="D6" s="37"/>
      <c r="E6" s="37"/>
      <c r="F6" s="37"/>
      <c r="G6" s="37"/>
      <c r="H6" s="37"/>
      <c r="I6" s="37"/>
      <c r="J6" s="37"/>
      <c r="K6" s="1"/>
      <c r="L6" s="37"/>
      <c r="M6" s="38"/>
      <c r="N6" s="37"/>
      <c r="O6" s="37"/>
      <c r="P6" s="37"/>
      <c r="Q6" s="37"/>
      <c r="R6" s="37"/>
      <c r="S6" s="37"/>
      <c r="T6" s="37"/>
      <c r="U6" s="39"/>
      <c r="V6" s="328"/>
      <c r="W6" s="621" t="s">
        <v>1058</v>
      </c>
      <c r="X6" s="622">
        <v>518</v>
      </c>
      <c r="Y6" s="623">
        <v>821</v>
      </c>
      <c r="Z6" s="623">
        <v>1023</v>
      </c>
      <c r="AA6" s="624" t="s">
        <v>1059</v>
      </c>
      <c r="AB6" s="624" t="s">
        <v>1059</v>
      </c>
      <c r="AC6" s="624" t="s">
        <v>1059</v>
      </c>
      <c r="AD6" s="421" t="s">
        <v>1059</v>
      </c>
      <c r="AE6" s="624" t="s">
        <v>1059</v>
      </c>
      <c r="AF6" s="625" t="s">
        <v>1059</v>
      </c>
      <c r="AG6" s="625" t="s">
        <v>1060</v>
      </c>
      <c r="AH6" s="625" t="s">
        <v>1060</v>
      </c>
      <c r="AI6" s="625" t="s">
        <v>1060</v>
      </c>
      <c r="AJ6" s="625" t="s">
        <v>1060</v>
      </c>
      <c r="AK6" s="625" t="s">
        <v>1060</v>
      </c>
      <c r="AL6" s="625" t="s">
        <v>1060</v>
      </c>
      <c r="AM6" s="328"/>
      <c r="AN6" s="328"/>
      <c r="AO6" s="626" t="s">
        <v>1093</v>
      </c>
      <c r="AP6" s="626"/>
      <c r="AQ6" s="328" t="s">
        <v>1062</v>
      </c>
      <c r="AR6" s="627" t="s">
        <v>1063</v>
      </c>
      <c r="AS6" s="628" t="s">
        <v>1064</v>
      </c>
      <c r="AT6" s="629"/>
      <c r="AU6" s="624" t="s">
        <v>1065</v>
      </c>
      <c r="AV6" s="624" t="s">
        <v>1065</v>
      </c>
      <c r="AW6" s="624" t="s">
        <v>1065</v>
      </c>
      <c r="AX6" s="624" t="s">
        <v>1065</v>
      </c>
      <c r="AY6" s="624" t="s">
        <v>1065</v>
      </c>
      <c r="AZ6" s="624" t="s">
        <v>1065</v>
      </c>
      <c r="BA6" s="624" t="s">
        <v>1065</v>
      </c>
      <c r="BB6" s="624" t="s">
        <v>1065</v>
      </c>
      <c r="BC6" s="624" t="s">
        <v>1065</v>
      </c>
      <c r="BD6" s="624" t="s">
        <v>1065</v>
      </c>
      <c r="BE6" s="624" t="s">
        <v>1065</v>
      </c>
      <c r="BF6" s="624" t="s">
        <v>1065</v>
      </c>
      <c r="BG6" s="624" t="s">
        <v>1065</v>
      </c>
      <c r="BH6" s="624" t="s">
        <v>1066</v>
      </c>
      <c r="BI6" s="624" t="s">
        <v>1066</v>
      </c>
      <c r="BJ6" s="624" t="s">
        <v>1066</v>
      </c>
      <c r="BK6" s="624" t="s">
        <v>1066</v>
      </c>
      <c r="BL6" s="624" t="s">
        <v>1066</v>
      </c>
      <c r="BM6" s="624" t="s">
        <v>1066</v>
      </c>
      <c r="BN6" s="624" t="s">
        <v>1066</v>
      </c>
      <c r="BO6" s="624" t="s">
        <v>1066</v>
      </c>
      <c r="BP6" s="624" t="s">
        <v>1066</v>
      </c>
      <c r="BQ6" s="624" t="s">
        <v>1066</v>
      </c>
      <c r="BR6" s="624" t="s">
        <v>1066</v>
      </c>
      <c r="BS6" s="624" t="s">
        <v>1066</v>
      </c>
      <c r="BT6" s="624" t="s">
        <v>1066</v>
      </c>
    </row>
    <row r="7" spans="1:72" ht="30.95" customHeight="1" thickBot="1">
      <c r="A7" s="49" t="s">
        <v>1067</v>
      </c>
      <c r="B7" s="49" t="s">
        <v>2917</v>
      </c>
      <c r="C7" s="49" t="s">
        <v>1</v>
      </c>
      <c r="D7" s="49" t="s">
        <v>2918</v>
      </c>
      <c r="E7" s="50" t="s">
        <v>1072</v>
      </c>
      <c r="F7" s="605" t="s">
        <v>2919</v>
      </c>
      <c r="G7" s="605" t="s">
        <v>2920</v>
      </c>
      <c r="H7" s="539" t="s">
        <v>2921</v>
      </c>
      <c r="I7" s="49" t="s">
        <v>1073</v>
      </c>
      <c r="J7" s="51" t="s">
        <v>1074</v>
      </c>
      <c r="K7" s="49" t="s">
        <v>1075</v>
      </c>
      <c r="L7" s="52" t="s">
        <v>0</v>
      </c>
      <c r="M7" s="53" t="s">
        <v>1076</v>
      </c>
      <c r="N7" s="324" t="s">
        <v>1077</v>
      </c>
      <c r="O7" s="444" t="s">
        <v>1078</v>
      </c>
      <c r="P7" s="49" t="s">
        <v>2</v>
      </c>
      <c r="Q7" s="49" t="s">
        <v>1079</v>
      </c>
      <c r="R7" s="323" t="s">
        <v>1080</v>
      </c>
      <c r="S7" s="54" t="s">
        <v>1081</v>
      </c>
      <c r="T7" s="54" t="s">
        <v>3</v>
      </c>
      <c r="U7" s="54" t="s">
        <v>1082</v>
      </c>
      <c r="V7" s="630" t="s">
        <v>1083</v>
      </c>
      <c r="W7" s="631" t="s">
        <v>1084</v>
      </c>
      <c r="X7" s="631" t="s">
        <v>1085</v>
      </c>
      <c r="Y7" s="632" t="s">
        <v>1086</v>
      </c>
      <c r="Z7" s="632" t="s">
        <v>1087</v>
      </c>
      <c r="AA7" s="633" t="s">
        <v>1088</v>
      </c>
      <c r="AB7" s="634" t="s">
        <v>1089</v>
      </c>
      <c r="AC7" s="634" t="s">
        <v>1090</v>
      </c>
      <c r="AD7" s="424" t="s">
        <v>1091</v>
      </c>
      <c r="AE7" s="635" t="s">
        <v>1092</v>
      </c>
      <c r="AF7" s="635" t="s">
        <v>1093</v>
      </c>
      <c r="AG7" s="636" t="s">
        <v>1061</v>
      </c>
      <c r="AH7" s="635" t="s">
        <v>1094</v>
      </c>
      <c r="AI7" s="635" t="s">
        <v>1095</v>
      </c>
      <c r="AJ7" s="636" t="s">
        <v>1096</v>
      </c>
      <c r="AK7" s="635" t="s">
        <v>1097</v>
      </c>
      <c r="AL7" s="637" t="s">
        <v>1098</v>
      </c>
      <c r="AM7" s="638" t="s">
        <v>1099</v>
      </c>
      <c r="AN7" s="639" t="s">
        <v>1100</v>
      </c>
      <c r="AO7" s="329" t="s">
        <v>1101</v>
      </c>
      <c r="AP7" s="329" t="s">
        <v>1102</v>
      </c>
      <c r="AQ7" s="329" t="s">
        <v>1103</v>
      </c>
      <c r="AR7" s="640" t="s">
        <v>1104</v>
      </c>
      <c r="AS7" s="329" t="s">
        <v>1105</v>
      </c>
      <c r="AT7" s="640" t="s">
        <v>1106</v>
      </c>
      <c r="AU7" s="641" t="s">
        <v>1107</v>
      </c>
      <c r="AV7" s="641" t="s">
        <v>1108</v>
      </c>
      <c r="AW7" s="641" t="s">
        <v>1109</v>
      </c>
      <c r="AX7" s="641" t="s">
        <v>1110</v>
      </c>
      <c r="AY7" s="641" t="s">
        <v>1111</v>
      </c>
      <c r="AZ7" s="641" t="s">
        <v>1112</v>
      </c>
      <c r="BA7" s="641" t="s">
        <v>1113</v>
      </c>
      <c r="BB7" s="641" t="s">
        <v>1114</v>
      </c>
      <c r="BC7" s="641" t="s">
        <v>1115</v>
      </c>
      <c r="BD7" s="641" t="s">
        <v>1116</v>
      </c>
      <c r="BE7" s="641" t="s">
        <v>1117</v>
      </c>
      <c r="BF7" s="641" t="s">
        <v>1118</v>
      </c>
      <c r="BG7" s="641" t="s">
        <v>1119</v>
      </c>
      <c r="BH7" s="642" t="s">
        <v>1120</v>
      </c>
      <c r="BI7" s="642" t="s">
        <v>1121</v>
      </c>
      <c r="BJ7" s="642" t="s">
        <v>1122</v>
      </c>
      <c r="BK7" s="642" t="s">
        <v>1123</v>
      </c>
      <c r="BL7" s="642" t="s">
        <v>1124</v>
      </c>
      <c r="BM7" s="642" t="s">
        <v>1125</v>
      </c>
      <c r="BN7" s="642" t="s">
        <v>1126</v>
      </c>
      <c r="BO7" s="642" t="s">
        <v>1127</v>
      </c>
      <c r="BP7" s="642" t="s">
        <v>1128</v>
      </c>
      <c r="BQ7" s="642" t="s">
        <v>1129</v>
      </c>
      <c r="BR7" s="642" t="s">
        <v>1130</v>
      </c>
      <c r="BS7" s="642" t="s">
        <v>1131</v>
      </c>
      <c r="BT7" s="642" t="s">
        <v>1132</v>
      </c>
    </row>
    <row r="8" spans="1:72" ht="15" hidden="1" customHeight="1">
      <c r="A8" s="79" t="s">
        <v>1743</v>
      </c>
      <c r="B8" s="66" t="s">
        <v>2922</v>
      </c>
      <c r="C8" s="296" t="s">
        <v>375</v>
      </c>
      <c r="D8" s="296"/>
      <c r="E8" s="150" t="s">
        <v>1136</v>
      </c>
      <c r="F8" s="482" t="s">
        <v>1566</v>
      </c>
      <c r="G8" s="482" t="s">
        <v>1566</v>
      </c>
      <c r="H8" s="332" t="s">
        <v>1135</v>
      </c>
      <c r="I8" s="332"/>
      <c r="J8" s="332"/>
      <c r="K8" s="333"/>
      <c r="L8" s="514" t="s">
        <v>342</v>
      </c>
      <c r="M8" s="394" t="s">
        <v>1736</v>
      </c>
      <c r="N8" s="333"/>
      <c r="O8" s="333"/>
      <c r="P8" s="90" t="s">
        <v>147</v>
      </c>
      <c r="Q8" s="347"/>
      <c r="R8" s="347"/>
      <c r="S8" s="348"/>
      <c r="T8" s="348"/>
      <c r="U8" s="348" t="s">
        <v>1737</v>
      </c>
      <c r="V8" s="646"/>
      <c r="W8" s="358"/>
      <c r="X8" s="358"/>
      <c r="Y8" s="647"/>
      <c r="Z8" s="648"/>
      <c r="AA8" s="714">
        <v>0</v>
      </c>
      <c r="AB8" s="428">
        <v>0</v>
      </c>
      <c r="AC8" s="428">
        <v>0</v>
      </c>
      <c r="AD8" s="429">
        <v>0</v>
      </c>
      <c r="AE8" s="715">
        <v>0</v>
      </c>
      <c r="AF8" s="715"/>
      <c r="AG8" s="649"/>
      <c r="AH8" s="649"/>
      <c r="AI8" s="649"/>
      <c r="AJ8" s="649"/>
      <c r="AK8" s="649"/>
      <c r="AL8" s="649"/>
      <c r="AM8" s="650">
        <f t="shared" ref="AM8:AM17" si="1">SUM(AA8:AL8)</f>
        <v>0</v>
      </c>
      <c r="AN8" s="710">
        <f>ERP_27[[#This Row],[2026 Working Total]]-ERP_27[[#This Row],[LE2 Final Submission]]</f>
        <v>0</v>
      </c>
      <c r="AO8" s="652"/>
      <c r="AP8" s="652">
        <f t="shared" ref="AP8:AP71" si="2">$AF8 - $AO8</f>
        <v>0</v>
      </c>
      <c r="AQ8" s="391">
        <f>SUM(ERP_27[[#This Row],[AP01]:[AP06]])-SUM(ERP_27[[#This Row],[AP01 LE2]:[AP06 LE2]])</f>
        <v>0</v>
      </c>
      <c r="AR8" s="653"/>
      <c r="AS8" s="652">
        <f>ERP_27[[#This Row],[2026 Working Total to Budget/LE]]-ERP_27[[#This Row],[Giveback]]</f>
        <v>0</v>
      </c>
      <c r="AT8" s="654"/>
      <c r="AU8" s="655"/>
      <c r="AV8" s="655"/>
      <c r="AW8" s="655"/>
      <c r="AX8" s="655"/>
      <c r="AY8" s="655"/>
      <c r="AZ8" s="655"/>
      <c r="BA8" s="655"/>
      <c r="BB8" s="655"/>
      <c r="BC8" s="655"/>
      <c r="BD8" s="655"/>
      <c r="BE8" s="655"/>
      <c r="BF8" s="655"/>
      <c r="BG8" s="655"/>
      <c r="BH8" s="652"/>
      <c r="BI8" s="652"/>
      <c r="BJ8" s="652"/>
      <c r="BK8" s="652"/>
      <c r="BL8" s="652"/>
      <c r="BM8" s="652"/>
      <c r="BN8" s="652"/>
      <c r="BO8" s="652"/>
      <c r="BP8" s="652"/>
      <c r="BQ8" s="652"/>
      <c r="BR8" s="652"/>
      <c r="BS8" s="652"/>
      <c r="BT8" s="652"/>
    </row>
    <row r="9" spans="1:72" ht="15" hidden="1" customHeight="1">
      <c r="A9" s="79" t="s">
        <v>2889</v>
      </c>
      <c r="B9" s="66" t="s">
        <v>2922</v>
      </c>
      <c r="C9" s="296" t="s">
        <v>28</v>
      </c>
      <c r="D9" s="296"/>
      <c r="E9" s="150" t="s">
        <v>1136</v>
      </c>
      <c r="F9" s="482" t="s">
        <v>1566</v>
      </c>
      <c r="G9" s="482" t="s">
        <v>1566</v>
      </c>
      <c r="H9" s="332" t="s">
        <v>1135</v>
      </c>
      <c r="I9" s="332"/>
      <c r="J9" s="332"/>
      <c r="K9" s="333"/>
      <c r="L9" s="514" t="s">
        <v>22</v>
      </c>
      <c r="M9" s="394" t="s">
        <v>1736</v>
      </c>
      <c r="N9" s="333"/>
      <c r="O9" s="333"/>
      <c r="P9" s="90" t="s">
        <v>29</v>
      </c>
      <c r="Q9" s="347"/>
      <c r="R9" s="347"/>
      <c r="S9" s="348"/>
      <c r="T9" s="348"/>
      <c r="U9" s="348" t="s">
        <v>1737</v>
      </c>
      <c r="V9" s="646"/>
      <c r="W9" s="358"/>
      <c r="X9" s="358"/>
      <c r="Y9" s="647"/>
      <c r="Z9" s="648"/>
      <c r="AA9" s="714">
        <v>-26238.68</v>
      </c>
      <c r="AB9" s="428">
        <v>-44376.73</v>
      </c>
      <c r="AC9" s="428">
        <v>-25573.77</v>
      </c>
      <c r="AD9" s="429">
        <v>65766.400000000009</v>
      </c>
      <c r="AE9" s="715">
        <v>-31842.660000000003</v>
      </c>
      <c r="AF9" s="715"/>
      <c r="AG9" s="649"/>
      <c r="AH9" s="649"/>
      <c r="AI9" s="649"/>
      <c r="AJ9" s="649"/>
      <c r="AK9" s="649"/>
      <c r="AL9" s="649"/>
      <c r="AM9" s="649">
        <f t="shared" si="1"/>
        <v>-62265.440000000002</v>
      </c>
      <c r="AN9" s="651">
        <f>ERP_27[[#This Row],[2026 Working Total]]-ERP_27[[#This Row],[LE2 Final Submission]]</f>
        <v>-62265.440000000002</v>
      </c>
      <c r="AO9" s="652"/>
      <c r="AP9" s="652">
        <f t="shared" si="2"/>
        <v>0</v>
      </c>
      <c r="AQ9" s="391">
        <f>SUM(ERP_27[[#This Row],[AP01]:[AP06]])-SUM(ERP_27[[#This Row],[AP01 LE2]:[AP06 LE2]])</f>
        <v>-62265.440000000002</v>
      </c>
      <c r="AR9" s="653"/>
      <c r="AS9" s="652">
        <f>ERP_27[[#This Row],[2026 Working Total to Budget/LE]]-ERP_27[[#This Row],[Giveback]]</f>
        <v>-62265.440000000002</v>
      </c>
      <c r="AT9" s="654"/>
      <c r="AU9" s="655"/>
      <c r="AV9" s="655"/>
      <c r="AW9" s="655"/>
      <c r="AX9" s="655"/>
      <c r="AY9" s="655"/>
      <c r="AZ9" s="655"/>
      <c r="BA9" s="655"/>
      <c r="BB9" s="655"/>
      <c r="BC9" s="655"/>
      <c r="BD9" s="655"/>
      <c r="BE9" s="655"/>
      <c r="BF9" s="655"/>
      <c r="BG9" s="655"/>
      <c r="BH9" s="652"/>
      <c r="BI9" s="652"/>
      <c r="BJ9" s="652"/>
      <c r="BK9" s="652"/>
      <c r="BL9" s="652"/>
      <c r="BM9" s="652"/>
      <c r="BN9" s="652"/>
      <c r="BO9" s="652"/>
      <c r="BP9" s="652"/>
      <c r="BQ9" s="652"/>
      <c r="BR9" s="652"/>
      <c r="BS9" s="652"/>
      <c r="BT9" s="652"/>
    </row>
    <row r="10" spans="1:72" ht="15" hidden="1" customHeight="1">
      <c r="A10" s="79" t="s">
        <v>2128</v>
      </c>
      <c r="B10" s="66" t="s">
        <v>2922</v>
      </c>
      <c r="C10" s="296" t="s">
        <v>491</v>
      </c>
      <c r="D10" s="296"/>
      <c r="E10" s="150" t="s">
        <v>1136</v>
      </c>
      <c r="F10" s="482" t="s">
        <v>1566</v>
      </c>
      <c r="G10" s="482" t="s">
        <v>1566</v>
      </c>
      <c r="H10" s="332" t="s">
        <v>1135</v>
      </c>
      <c r="I10" s="332"/>
      <c r="J10" s="332"/>
      <c r="K10" s="333"/>
      <c r="L10" s="514" t="s">
        <v>389</v>
      </c>
      <c r="M10" s="394" t="s">
        <v>1736</v>
      </c>
      <c r="N10" s="333"/>
      <c r="O10" s="333"/>
      <c r="P10" s="90" t="s">
        <v>147</v>
      </c>
      <c r="Q10" s="347"/>
      <c r="R10" s="347"/>
      <c r="S10" s="348"/>
      <c r="T10" s="348"/>
      <c r="U10" s="348" t="s">
        <v>1737</v>
      </c>
      <c r="V10" s="646"/>
      <c r="W10" s="358"/>
      <c r="X10" s="358"/>
      <c r="Y10" s="647"/>
      <c r="Z10" s="648"/>
      <c r="AA10" s="714">
        <v>-34.579999999999927</v>
      </c>
      <c r="AB10" s="428">
        <v>-2174.2599999999998</v>
      </c>
      <c r="AC10" s="428">
        <v>-1377.2199999999998</v>
      </c>
      <c r="AD10" s="429">
        <v>-1682.44</v>
      </c>
      <c r="AE10" s="715">
        <v>-2072.7199999999998</v>
      </c>
      <c r="AF10" s="715"/>
      <c r="AG10" s="649"/>
      <c r="AH10" s="649"/>
      <c r="AI10" s="649"/>
      <c r="AJ10" s="649"/>
      <c r="AK10" s="649"/>
      <c r="AL10" s="649"/>
      <c r="AM10" s="649">
        <f t="shared" si="1"/>
        <v>-7341.2199999999993</v>
      </c>
      <c r="AN10" s="651">
        <f>ERP_27[[#This Row],[2026 Working Total]]-ERP_27[[#This Row],[LE2 Final Submission]]</f>
        <v>-7341.2199999999993</v>
      </c>
      <c r="AO10" s="652"/>
      <c r="AP10" s="652">
        <f t="shared" si="2"/>
        <v>0</v>
      </c>
      <c r="AQ10" s="391">
        <f>SUM(ERP_27[[#This Row],[AP01]:[AP06]])-SUM(ERP_27[[#This Row],[AP01 LE2]:[AP06 LE2]])</f>
        <v>-7341.2199999999993</v>
      </c>
      <c r="AR10" s="653"/>
      <c r="AS10" s="652">
        <f>ERP_27[[#This Row],[2026 Working Total to Budget/LE]]-ERP_27[[#This Row],[Giveback]]</f>
        <v>-7341.2199999999993</v>
      </c>
      <c r="AT10" s="654"/>
      <c r="AU10" s="655"/>
      <c r="AV10" s="655"/>
      <c r="AW10" s="655"/>
      <c r="AX10" s="655"/>
      <c r="AY10" s="655"/>
      <c r="AZ10" s="655"/>
      <c r="BA10" s="655"/>
      <c r="BB10" s="655"/>
      <c r="BC10" s="655"/>
      <c r="BD10" s="655"/>
      <c r="BE10" s="655"/>
      <c r="BF10" s="655"/>
      <c r="BG10" s="655"/>
      <c r="BH10" s="652"/>
      <c r="BI10" s="652"/>
      <c r="BJ10" s="652"/>
      <c r="BK10" s="652"/>
      <c r="BL10" s="652"/>
      <c r="BM10" s="652"/>
      <c r="BN10" s="652"/>
      <c r="BO10" s="652"/>
      <c r="BP10" s="652"/>
      <c r="BQ10" s="652"/>
      <c r="BR10" s="652"/>
      <c r="BS10" s="652"/>
      <c r="BT10" s="652"/>
    </row>
    <row r="11" spans="1:72" ht="15" hidden="1" customHeight="1">
      <c r="A11" s="79" t="s">
        <v>2103</v>
      </c>
      <c r="B11" s="66" t="s">
        <v>2922</v>
      </c>
      <c r="C11" s="296" t="s">
        <v>430</v>
      </c>
      <c r="D11" s="296"/>
      <c r="E11" s="150" t="s">
        <v>1136</v>
      </c>
      <c r="F11" s="482" t="s">
        <v>1566</v>
      </c>
      <c r="G11" s="482" t="s">
        <v>1566</v>
      </c>
      <c r="H11" s="332" t="s">
        <v>1135</v>
      </c>
      <c r="I11" s="332"/>
      <c r="J11" s="332"/>
      <c r="K11" s="333"/>
      <c r="L11" s="514" t="s">
        <v>389</v>
      </c>
      <c r="M11" s="394" t="s">
        <v>1736</v>
      </c>
      <c r="N11" s="333"/>
      <c r="O11" s="333"/>
      <c r="P11" s="90" t="s">
        <v>431</v>
      </c>
      <c r="Q11" s="347"/>
      <c r="R11" s="347"/>
      <c r="S11" s="348"/>
      <c r="T11" s="348"/>
      <c r="U11" s="348" t="s">
        <v>1737</v>
      </c>
      <c r="V11" s="646"/>
      <c r="W11" s="358"/>
      <c r="X11" s="358"/>
      <c r="Y11" s="647"/>
      <c r="Z11" s="648"/>
      <c r="AA11" s="714">
        <v>-496.91</v>
      </c>
      <c r="AB11" s="428">
        <v>-1814.32</v>
      </c>
      <c r="AC11" s="428">
        <v>-1804.46</v>
      </c>
      <c r="AD11" s="429">
        <v>-988.66</v>
      </c>
      <c r="AE11" s="715">
        <v>-162.79999999999998</v>
      </c>
      <c r="AF11" s="715"/>
      <c r="AG11" s="649"/>
      <c r="AH11" s="649"/>
      <c r="AI11" s="649"/>
      <c r="AJ11" s="649"/>
      <c r="AK11" s="649"/>
      <c r="AL11" s="649"/>
      <c r="AM11" s="649">
        <f t="shared" si="1"/>
        <v>-5267.1500000000005</v>
      </c>
      <c r="AN11" s="651">
        <f>ERP_27[[#This Row],[2026 Working Total]]-ERP_27[[#This Row],[LE2 Final Submission]]</f>
        <v>-5267.1500000000005</v>
      </c>
      <c r="AO11" s="652"/>
      <c r="AP11" s="652">
        <f t="shared" si="2"/>
        <v>0</v>
      </c>
      <c r="AQ11" s="391">
        <f>SUM(ERP_27[[#This Row],[AP01]:[AP06]])-SUM(ERP_27[[#This Row],[AP01 LE2]:[AP06 LE2]])</f>
        <v>-5267.1500000000005</v>
      </c>
      <c r="AR11" s="653"/>
      <c r="AS11" s="652">
        <f>ERP_27[[#This Row],[2026 Working Total to Budget/LE]]-ERP_27[[#This Row],[Giveback]]</f>
        <v>-5267.1500000000005</v>
      </c>
      <c r="AT11" s="654"/>
      <c r="AU11" s="655"/>
      <c r="AV11" s="655"/>
      <c r="AW11" s="655"/>
      <c r="AX11" s="655"/>
      <c r="AY11" s="655"/>
      <c r="AZ11" s="655"/>
      <c r="BA11" s="655"/>
      <c r="BB11" s="655"/>
      <c r="BC11" s="655"/>
      <c r="BD11" s="655"/>
      <c r="BE11" s="655"/>
      <c r="BF11" s="655"/>
      <c r="BG11" s="655"/>
      <c r="BH11" s="652"/>
      <c r="BI11" s="652"/>
      <c r="BJ11" s="652"/>
      <c r="BK11" s="652"/>
      <c r="BL11" s="652"/>
      <c r="BM11" s="652"/>
      <c r="BN11" s="652"/>
      <c r="BO11" s="652"/>
      <c r="BP11" s="652"/>
      <c r="BQ11" s="652"/>
      <c r="BR11" s="652"/>
      <c r="BS11" s="652"/>
      <c r="BT11" s="652"/>
    </row>
    <row r="12" spans="1:72" ht="15" hidden="1" customHeight="1">
      <c r="A12" s="79" t="s">
        <v>1735</v>
      </c>
      <c r="B12" s="66" t="s">
        <v>2922</v>
      </c>
      <c r="C12" s="296" t="s">
        <v>364</v>
      </c>
      <c r="D12" s="296"/>
      <c r="E12" s="150" t="s">
        <v>1136</v>
      </c>
      <c r="F12" s="482" t="s">
        <v>1566</v>
      </c>
      <c r="G12" s="482" t="s">
        <v>1566</v>
      </c>
      <c r="H12" s="332" t="s">
        <v>1135</v>
      </c>
      <c r="I12" s="332"/>
      <c r="J12" s="332"/>
      <c r="K12" s="333"/>
      <c r="L12" s="514" t="s">
        <v>342</v>
      </c>
      <c r="M12" s="394" t="s">
        <v>1736</v>
      </c>
      <c r="N12" s="333"/>
      <c r="O12" s="333"/>
      <c r="P12" s="90" t="s">
        <v>365</v>
      </c>
      <c r="Q12" s="347"/>
      <c r="R12" s="347"/>
      <c r="S12" s="348"/>
      <c r="T12" s="348"/>
      <c r="U12" s="348" t="s">
        <v>1737</v>
      </c>
      <c r="V12" s="646"/>
      <c r="W12" s="358"/>
      <c r="X12" s="358"/>
      <c r="Y12" s="647"/>
      <c r="Z12" s="648"/>
      <c r="AA12" s="714">
        <v>-922.67</v>
      </c>
      <c r="AB12" s="428">
        <v>0</v>
      </c>
      <c r="AC12" s="428">
        <v>0</v>
      </c>
      <c r="AD12" s="429">
        <v>0</v>
      </c>
      <c r="AE12" s="715">
        <v>0</v>
      </c>
      <c r="AF12" s="715"/>
      <c r="AG12" s="649"/>
      <c r="AH12" s="649"/>
      <c r="AI12" s="649"/>
      <c r="AJ12" s="649"/>
      <c r="AK12" s="649"/>
      <c r="AL12" s="649"/>
      <c r="AM12" s="649">
        <f t="shared" si="1"/>
        <v>-922.67</v>
      </c>
      <c r="AN12" s="651">
        <f>ERP_27[[#This Row],[2026 Working Total]]-ERP_27[[#This Row],[LE2 Final Submission]]</f>
        <v>-922.67</v>
      </c>
      <c r="AO12" s="652"/>
      <c r="AP12" s="652">
        <f t="shared" si="2"/>
        <v>0</v>
      </c>
      <c r="AQ12" s="391">
        <f>SUM(ERP_27[[#This Row],[AP01]:[AP06]])-SUM(ERP_27[[#This Row],[AP01 LE2]:[AP06 LE2]])</f>
        <v>-922.67</v>
      </c>
      <c r="AR12" s="653"/>
      <c r="AS12" s="652">
        <f>ERP_27[[#This Row],[2026 Working Total to Budget/LE]]-ERP_27[[#This Row],[Giveback]]</f>
        <v>-922.67</v>
      </c>
      <c r="AT12" s="654"/>
      <c r="AU12" s="655"/>
      <c r="AV12" s="655"/>
      <c r="AW12" s="655"/>
      <c r="AX12" s="655"/>
      <c r="AY12" s="655"/>
      <c r="AZ12" s="655"/>
      <c r="BA12" s="655"/>
      <c r="BB12" s="655"/>
      <c r="BC12" s="655"/>
      <c r="BD12" s="655"/>
      <c r="BE12" s="655"/>
      <c r="BF12" s="655"/>
      <c r="BG12" s="655"/>
      <c r="BH12" s="652"/>
      <c r="BI12" s="652"/>
      <c r="BJ12" s="652"/>
      <c r="BK12" s="652"/>
      <c r="BL12" s="652"/>
      <c r="BM12" s="652"/>
      <c r="BN12" s="652"/>
      <c r="BO12" s="652"/>
      <c r="BP12" s="652"/>
      <c r="BQ12" s="652"/>
      <c r="BR12" s="652"/>
      <c r="BS12" s="652"/>
      <c r="BT12" s="652"/>
    </row>
    <row r="13" spans="1:72" ht="15" hidden="1" customHeight="1">
      <c r="A13" s="79" t="s">
        <v>2859</v>
      </c>
      <c r="B13" s="66" t="s">
        <v>2922</v>
      </c>
      <c r="C13" s="296" t="s">
        <v>1038</v>
      </c>
      <c r="D13" s="296"/>
      <c r="E13" s="150" t="s">
        <v>1136</v>
      </c>
      <c r="F13" s="482" t="s">
        <v>1566</v>
      </c>
      <c r="G13" s="482" t="s">
        <v>1566</v>
      </c>
      <c r="H13" s="332" t="s">
        <v>1135</v>
      </c>
      <c r="I13" s="332"/>
      <c r="J13" s="332"/>
      <c r="K13" s="333"/>
      <c r="L13" s="514" t="s">
        <v>1037</v>
      </c>
      <c r="M13" s="394" t="s">
        <v>1736</v>
      </c>
      <c r="N13" s="333"/>
      <c r="O13" s="333"/>
      <c r="P13" s="90" t="s">
        <v>1039</v>
      </c>
      <c r="Q13" s="347"/>
      <c r="R13" s="347"/>
      <c r="S13" s="348"/>
      <c r="T13" s="348"/>
      <c r="U13" s="348" t="s">
        <v>1737</v>
      </c>
      <c r="V13" s="646"/>
      <c r="W13" s="358"/>
      <c r="X13" s="358"/>
      <c r="Y13" s="647"/>
      <c r="Z13" s="648"/>
      <c r="AA13" s="714">
        <v>0</v>
      </c>
      <c r="AB13" s="428">
        <v>0</v>
      </c>
      <c r="AC13" s="428">
        <v>0</v>
      </c>
      <c r="AD13" s="429">
        <v>-470.32</v>
      </c>
      <c r="AE13" s="715">
        <v>0</v>
      </c>
      <c r="AF13" s="715"/>
      <c r="AG13" s="649"/>
      <c r="AH13" s="649"/>
      <c r="AI13" s="649"/>
      <c r="AJ13" s="649"/>
      <c r="AK13" s="649"/>
      <c r="AL13" s="649"/>
      <c r="AM13" s="649">
        <f t="shared" si="1"/>
        <v>-470.32</v>
      </c>
      <c r="AN13" s="651">
        <f>ERP_27[[#This Row],[2026 Working Total]]-ERP_27[[#This Row],[LE2 Final Submission]]</f>
        <v>-470.32</v>
      </c>
      <c r="AO13" s="652"/>
      <c r="AP13" s="652">
        <f t="shared" si="2"/>
        <v>0</v>
      </c>
      <c r="AQ13" s="391">
        <f>SUM(ERP_27[[#This Row],[AP01]:[AP06]])-SUM(ERP_27[[#This Row],[AP01 LE2]:[AP06 LE2]])</f>
        <v>-470.32</v>
      </c>
      <c r="AR13" s="653"/>
      <c r="AS13" s="652">
        <f>ERP_27[[#This Row],[2026 Working Total to Budget/LE]]-ERP_27[[#This Row],[Giveback]]</f>
        <v>-470.32</v>
      </c>
      <c r="AT13" s="654"/>
      <c r="AU13" s="655"/>
      <c r="AV13" s="655"/>
      <c r="AW13" s="655"/>
      <c r="AX13" s="655"/>
      <c r="AY13" s="655"/>
      <c r="AZ13" s="655"/>
      <c r="BA13" s="655"/>
      <c r="BB13" s="655"/>
      <c r="BC13" s="655"/>
      <c r="BD13" s="655"/>
      <c r="BE13" s="655"/>
      <c r="BF13" s="655"/>
      <c r="BG13" s="655"/>
      <c r="BH13" s="652"/>
      <c r="BI13" s="652"/>
      <c r="BJ13" s="652"/>
      <c r="BK13" s="652"/>
      <c r="BL13" s="652"/>
      <c r="BM13" s="652"/>
      <c r="BN13" s="652"/>
      <c r="BO13" s="652"/>
      <c r="BP13" s="652"/>
      <c r="BQ13" s="652"/>
      <c r="BR13" s="652"/>
      <c r="BS13" s="652"/>
      <c r="BT13" s="652"/>
    </row>
    <row r="14" spans="1:72" ht="15" hidden="1" customHeight="1">
      <c r="A14" s="79" t="s">
        <v>2839</v>
      </c>
      <c r="B14" s="66" t="s">
        <v>2922</v>
      </c>
      <c r="C14" s="296" t="s">
        <v>1028</v>
      </c>
      <c r="D14" s="296"/>
      <c r="E14" s="150" t="s">
        <v>1136</v>
      </c>
      <c r="F14" s="482" t="s">
        <v>1566</v>
      </c>
      <c r="G14" s="482" t="s">
        <v>1566</v>
      </c>
      <c r="H14" s="332" t="s">
        <v>1135</v>
      </c>
      <c r="I14" s="332"/>
      <c r="J14" s="332"/>
      <c r="K14" s="333"/>
      <c r="L14" s="514" t="s">
        <v>1027</v>
      </c>
      <c r="M14" s="394" t="s">
        <v>1736</v>
      </c>
      <c r="N14" s="333"/>
      <c r="O14" s="333"/>
      <c r="P14" s="90" t="s">
        <v>1029</v>
      </c>
      <c r="Q14" s="347"/>
      <c r="R14" s="347"/>
      <c r="S14" s="348"/>
      <c r="T14" s="348"/>
      <c r="U14" s="348" t="s">
        <v>1737</v>
      </c>
      <c r="V14" s="646"/>
      <c r="W14" s="358"/>
      <c r="X14" s="358"/>
      <c r="Y14" s="647"/>
      <c r="Z14" s="648"/>
      <c r="AA14" s="714">
        <v>29.53</v>
      </c>
      <c r="AB14" s="428">
        <v>-32.380000000000003</v>
      </c>
      <c r="AC14" s="428">
        <v>-28.27</v>
      </c>
      <c r="AD14" s="429">
        <v>-55.89</v>
      </c>
      <c r="AE14" s="715">
        <v>-25</v>
      </c>
      <c r="AF14" s="715"/>
      <c r="AG14" s="649"/>
      <c r="AH14" s="649"/>
      <c r="AI14" s="649"/>
      <c r="AJ14" s="649"/>
      <c r="AK14" s="649"/>
      <c r="AL14" s="649"/>
      <c r="AM14" s="649">
        <f t="shared" si="1"/>
        <v>-112.01</v>
      </c>
      <c r="AN14" s="651">
        <f>ERP_27[[#This Row],[2026 Working Total]]-ERP_27[[#This Row],[LE2 Final Submission]]</f>
        <v>-112.01</v>
      </c>
      <c r="AO14" s="652"/>
      <c r="AP14" s="652">
        <f t="shared" si="2"/>
        <v>0</v>
      </c>
      <c r="AQ14" s="391">
        <f>SUM(ERP_27[[#This Row],[AP01]:[AP06]])-SUM(ERP_27[[#This Row],[AP01 LE2]:[AP06 LE2]])</f>
        <v>-112.01</v>
      </c>
      <c r="AR14" s="653"/>
      <c r="AS14" s="652">
        <f>ERP_27[[#This Row],[2026 Working Total to Budget/LE]]-ERP_27[[#This Row],[Giveback]]</f>
        <v>-112.01</v>
      </c>
      <c r="AT14" s="654"/>
      <c r="AU14" s="655"/>
      <c r="AV14" s="655"/>
      <c r="AW14" s="655"/>
      <c r="AX14" s="655"/>
      <c r="AY14" s="655"/>
      <c r="AZ14" s="655"/>
      <c r="BA14" s="655"/>
      <c r="BB14" s="655"/>
      <c r="BC14" s="655"/>
      <c r="BD14" s="655"/>
      <c r="BE14" s="655"/>
      <c r="BF14" s="655"/>
      <c r="BG14" s="655"/>
      <c r="BH14" s="652"/>
      <c r="BI14" s="652"/>
      <c r="BJ14" s="652"/>
      <c r="BK14" s="652"/>
      <c r="BL14" s="652"/>
      <c r="BM14" s="652"/>
      <c r="BN14" s="652"/>
      <c r="BO14" s="652"/>
      <c r="BP14" s="652"/>
      <c r="BQ14" s="652"/>
      <c r="BR14" s="652"/>
      <c r="BS14" s="652"/>
      <c r="BT14" s="652"/>
    </row>
    <row r="15" spans="1:72" ht="15" hidden="1" customHeight="1">
      <c r="A15" s="79" t="s">
        <v>2179</v>
      </c>
      <c r="B15" s="66" t="s">
        <v>2922</v>
      </c>
      <c r="C15" s="296" t="s">
        <v>609</v>
      </c>
      <c r="D15" s="296"/>
      <c r="E15" s="150" t="s">
        <v>1136</v>
      </c>
      <c r="F15" s="482" t="s">
        <v>1566</v>
      </c>
      <c r="G15" s="482" t="s">
        <v>1566</v>
      </c>
      <c r="H15" s="332" t="s">
        <v>1135</v>
      </c>
      <c r="I15" s="332"/>
      <c r="J15" s="332"/>
      <c r="K15" s="333"/>
      <c r="L15" s="514" t="s">
        <v>602</v>
      </c>
      <c r="M15" s="394" t="s">
        <v>1736</v>
      </c>
      <c r="N15" s="333"/>
      <c r="O15" s="333"/>
      <c r="P15" s="90" t="s">
        <v>610</v>
      </c>
      <c r="Q15" s="347"/>
      <c r="R15" s="347"/>
      <c r="S15" s="348"/>
      <c r="T15" s="348"/>
      <c r="U15" s="348" t="s">
        <v>1737</v>
      </c>
      <c r="V15" s="646"/>
      <c r="W15" s="358"/>
      <c r="X15" s="358"/>
      <c r="Y15" s="647"/>
      <c r="Z15" s="648"/>
      <c r="AA15" s="714">
        <v>-9.23</v>
      </c>
      <c r="AB15" s="428">
        <v>-9.25</v>
      </c>
      <c r="AC15" s="428">
        <v>-9.120000000000001</v>
      </c>
      <c r="AD15" s="429">
        <v>-9.32</v>
      </c>
      <c r="AE15" s="715">
        <v>-8.33</v>
      </c>
      <c r="AF15" s="715"/>
      <c r="AG15" s="649"/>
      <c r="AH15" s="649"/>
      <c r="AI15" s="649"/>
      <c r="AJ15" s="649"/>
      <c r="AK15" s="649"/>
      <c r="AL15" s="649"/>
      <c r="AM15" s="649">
        <f t="shared" si="1"/>
        <v>-45.25</v>
      </c>
      <c r="AN15" s="651">
        <f>ERP_27[[#This Row],[2026 Working Total]]-ERP_27[[#This Row],[LE2 Final Submission]]</f>
        <v>-45.25</v>
      </c>
      <c r="AO15" s="652"/>
      <c r="AP15" s="652">
        <f t="shared" si="2"/>
        <v>0</v>
      </c>
      <c r="AQ15" s="391">
        <f>SUM(ERP_27[[#This Row],[AP01]:[AP06]])-SUM(ERP_27[[#This Row],[AP01 LE2]:[AP06 LE2]])</f>
        <v>-45.25</v>
      </c>
      <c r="AR15" s="653"/>
      <c r="AS15" s="652">
        <f>ERP_27[[#This Row],[2026 Working Total to Budget/LE]]-ERP_27[[#This Row],[Giveback]]</f>
        <v>-45.25</v>
      </c>
      <c r="AT15" s="654"/>
      <c r="AU15" s="655"/>
      <c r="AV15" s="655"/>
      <c r="AW15" s="655"/>
      <c r="AX15" s="655"/>
      <c r="AY15" s="655"/>
      <c r="AZ15" s="655"/>
      <c r="BA15" s="655"/>
      <c r="BB15" s="655"/>
      <c r="BC15" s="655"/>
      <c r="BD15" s="655"/>
      <c r="BE15" s="655"/>
      <c r="BF15" s="655"/>
      <c r="BG15" s="655"/>
      <c r="BH15" s="652"/>
      <c r="BI15" s="652"/>
      <c r="BJ15" s="652"/>
      <c r="BK15" s="652"/>
      <c r="BL15" s="652"/>
      <c r="BM15" s="652"/>
      <c r="BN15" s="652"/>
      <c r="BO15" s="652"/>
      <c r="BP15" s="652"/>
      <c r="BQ15" s="652"/>
      <c r="BR15" s="652"/>
      <c r="BS15" s="652"/>
      <c r="BT15" s="652"/>
    </row>
    <row r="16" spans="1:72" ht="15" hidden="1" customHeight="1">
      <c r="A16" s="79" t="s">
        <v>2769</v>
      </c>
      <c r="B16" s="79"/>
      <c r="C16" s="79" t="s">
        <v>995</v>
      </c>
      <c r="D16" s="296" t="s">
        <v>2770</v>
      </c>
      <c r="E16" s="150" t="s">
        <v>1136</v>
      </c>
      <c r="F16" s="482" t="s">
        <v>1566</v>
      </c>
      <c r="G16" s="150" t="s">
        <v>1566</v>
      </c>
      <c r="H16" s="150" t="s">
        <v>1566</v>
      </c>
      <c r="I16" t="s">
        <v>1567</v>
      </c>
      <c r="J16" t="s">
        <v>1567</v>
      </c>
      <c r="K16" s="150" t="s">
        <v>1567</v>
      </c>
      <c r="L16" s="514" t="s">
        <v>639</v>
      </c>
      <c r="M16" s="394" t="s">
        <v>1699</v>
      </c>
      <c r="N16" s="343"/>
      <c r="O16" s="333"/>
      <c r="P16" s="70" t="s">
        <v>362</v>
      </c>
      <c r="Q16" s="347"/>
      <c r="R16" s="343"/>
      <c r="S16" s="348"/>
      <c r="T16" s="348"/>
      <c r="U16" s="348" t="s">
        <v>1700</v>
      </c>
      <c r="V16" s="646"/>
      <c r="W16" s="358"/>
      <c r="X16" s="358">
        <v>0</v>
      </c>
      <c r="Y16" s="656"/>
      <c r="Z16" s="657"/>
      <c r="AA16" s="714"/>
      <c r="AB16" s="428"/>
      <c r="AC16" s="428"/>
      <c r="AD16" s="428" t="s">
        <v>1142</v>
      </c>
      <c r="AE16" s="429">
        <v>0</v>
      </c>
      <c r="AF16" s="429">
        <v>0</v>
      </c>
      <c r="AG16" s="649"/>
      <c r="AH16" s="649"/>
      <c r="AI16" s="649"/>
      <c r="AJ16" s="649"/>
      <c r="AK16" s="649"/>
      <c r="AL16" s="649"/>
      <c r="AM16" s="650">
        <f t="shared" si="1"/>
        <v>0</v>
      </c>
      <c r="AN16" s="658">
        <f>ERP_27[[#This Row],[2026 Working Total]]-ERP_27[[#This Row],[LE2 Final Submission]]</f>
        <v>0</v>
      </c>
      <c r="AO16" s="652">
        <v>7671.84</v>
      </c>
      <c r="AP16" s="652">
        <f t="shared" si="2"/>
        <v>-7671.84</v>
      </c>
      <c r="AQ16" s="374">
        <f>SUM(ERP_27[[#This Row],[AP01]:[AP06]])-SUM(ERP_27[[#This Row],[AP01 LE2]:[AP06 LE2]])</f>
        <v>0</v>
      </c>
      <c r="AR16" s="653"/>
      <c r="AS16" s="652">
        <f>ERP_27[[#This Row],[2026 Working Total to Budget/LE]]-ERP_27[[#This Row],[Giveback]]</f>
        <v>0</v>
      </c>
      <c r="AT16" s="654"/>
      <c r="AU16" s="655"/>
      <c r="AV16" s="655"/>
      <c r="AW16" s="655"/>
      <c r="AX16" s="655">
        <v>-7671.84</v>
      </c>
      <c r="AY16" s="655">
        <v>7671.84</v>
      </c>
      <c r="AZ16" s="655"/>
      <c r="BA16" s="655"/>
      <c r="BB16" s="655"/>
      <c r="BC16" s="655"/>
      <c r="BD16" s="655"/>
      <c r="BE16" s="655"/>
      <c r="BF16" s="655"/>
      <c r="BG16" s="655">
        <v>0</v>
      </c>
      <c r="BH16" s="652"/>
      <c r="BI16" s="652"/>
      <c r="BJ16" s="652"/>
      <c r="BK16" s="652"/>
      <c r="BL16" s="652"/>
      <c r="BM16" s="652"/>
      <c r="BN16" s="652"/>
      <c r="BO16" s="652"/>
      <c r="BP16" s="652"/>
      <c r="BQ16" s="652"/>
      <c r="BR16" s="652"/>
      <c r="BS16" s="652"/>
      <c r="BT16" s="652"/>
    </row>
    <row r="17" spans="1:72" ht="15" hidden="1" customHeight="1">
      <c r="A17" s="66" t="s">
        <v>2802</v>
      </c>
      <c r="B17" s="66"/>
      <c r="C17" s="66" t="s">
        <v>1011</v>
      </c>
      <c r="D17" s="66" t="s">
        <v>2803</v>
      </c>
      <c r="E17" s="150" t="s">
        <v>1136</v>
      </c>
      <c r="F17" s="482" t="s">
        <v>1566</v>
      </c>
      <c r="G17" s="482" t="s">
        <v>1566</v>
      </c>
      <c r="H17" s="482" t="s">
        <v>1566</v>
      </c>
      <c r="I17" s="150" t="s">
        <v>1345</v>
      </c>
      <c r="J17" s="150" t="s">
        <v>1346</v>
      </c>
      <c r="K17" s="150" t="s">
        <v>1346</v>
      </c>
      <c r="L17" s="511" t="s">
        <v>639</v>
      </c>
      <c r="M17" s="392" t="s">
        <v>2804</v>
      </c>
      <c r="N17" s="343"/>
      <c r="O17" s="343"/>
      <c r="P17" s="70" t="s">
        <v>1012</v>
      </c>
      <c r="Q17" s="346"/>
      <c r="R17" s="343"/>
      <c r="S17" s="346"/>
      <c r="T17" s="150" t="s">
        <v>25</v>
      </c>
      <c r="U17" s="150"/>
      <c r="V17" s="643"/>
      <c r="W17" s="659">
        <v>130</v>
      </c>
      <c r="X17" s="659">
        <v>130</v>
      </c>
      <c r="Y17" s="656"/>
      <c r="Z17" s="657"/>
      <c r="AA17" s="714"/>
      <c r="AB17" s="428"/>
      <c r="AC17" s="428"/>
      <c r="AD17" s="428" t="s">
        <v>1142</v>
      </c>
      <c r="AE17" s="429">
        <v>0</v>
      </c>
      <c r="AF17" s="429">
        <v>0</v>
      </c>
      <c r="AG17" s="649">
        <v>0</v>
      </c>
      <c r="AH17" s="649">
        <v>0</v>
      </c>
      <c r="AI17" s="649">
        <v>0</v>
      </c>
      <c r="AJ17" s="649">
        <v>0</v>
      </c>
      <c r="AK17" s="649">
        <v>0</v>
      </c>
      <c r="AL17" s="649">
        <v>0</v>
      </c>
      <c r="AM17" s="650">
        <f t="shared" si="1"/>
        <v>0</v>
      </c>
      <c r="AN17" s="658">
        <f>ERP_27[[#This Row],[2026 Working Total]]-ERP_27[[#This Row],[LE2 Final Submission]]</f>
        <v>-130</v>
      </c>
      <c r="AO17" s="652"/>
      <c r="AP17" s="652">
        <f t="shared" si="2"/>
        <v>0</v>
      </c>
      <c r="AQ17" s="374">
        <f>SUM(ERP_27[[#This Row],[AP01]:[AP06]])-SUM(ERP_27[[#This Row],[AP01 LE2]:[AP06 LE2]])</f>
        <v>-130</v>
      </c>
      <c r="AR17" s="653"/>
      <c r="AS17" s="652">
        <f>ERP_27[[#This Row],[2026 Working Total to Budget/LE]]-ERP_27[[#This Row],[Giveback]]</f>
        <v>-130</v>
      </c>
      <c r="AT17" s="654"/>
      <c r="AU17" s="655"/>
      <c r="AV17" s="655"/>
      <c r="AW17" s="655"/>
      <c r="AX17" s="655"/>
      <c r="AY17" s="655"/>
      <c r="AZ17" s="655">
        <v>130</v>
      </c>
      <c r="BA17" s="655">
        <v>0</v>
      </c>
      <c r="BB17" s="655">
        <v>0</v>
      </c>
      <c r="BC17" s="655">
        <v>0</v>
      </c>
      <c r="BD17" s="655">
        <v>0</v>
      </c>
      <c r="BE17" s="655">
        <v>0</v>
      </c>
      <c r="BF17" s="655">
        <v>0</v>
      </c>
      <c r="BG17" s="655">
        <v>130</v>
      </c>
      <c r="BH17" s="652"/>
      <c r="BI17" s="652"/>
      <c r="BJ17" s="652"/>
      <c r="BK17" s="652"/>
      <c r="BL17" s="652"/>
      <c r="BM17" s="652">
        <v>130</v>
      </c>
      <c r="BN17" s="652">
        <v>0</v>
      </c>
      <c r="BO17" s="652">
        <v>0</v>
      </c>
      <c r="BP17" s="652">
        <v>0</v>
      </c>
      <c r="BQ17" s="652">
        <v>0</v>
      </c>
      <c r="BR17" s="652">
        <v>0</v>
      </c>
      <c r="BS17" s="652">
        <v>0</v>
      </c>
      <c r="BT17" s="652">
        <v>130</v>
      </c>
    </row>
    <row r="18" spans="1:72" ht="15" hidden="1" customHeight="1">
      <c r="A18" s="66" t="s">
        <v>1989</v>
      </c>
      <c r="B18" s="66"/>
      <c r="C18" s="66" t="s">
        <v>515</v>
      </c>
      <c r="D18" s="66" t="s">
        <v>1990</v>
      </c>
      <c r="E18" s="150" t="s">
        <v>1136</v>
      </c>
      <c r="F18" s="482" t="s">
        <v>1566</v>
      </c>
      <c r="G18" s="150" t="s">
        <v>1345</v>
      </c>
      <c r="H18" s="150" t="s">
        <v>1437</v>
      </c>
      <c r="I18" s="150" t="s">
        <v>1345</v>
      </c>
      <c r="J18" s="150" t="s">
        <v>1437</v>
      </c>
      <c r="K18" s="150" t="s">
        <v>1346</v>
      </c>
      <c r="L18" s="511" t="s">
        <v>389</v>
      </c>
      <c r="M18" s="392" t="s">
        <v>1991</v>
      </c>
      <c r="N18" s="343"/>
      <c r="O18" s="343"/>
      <c r="P18" s="70" t="s">
        <v>516</v>
      </c>
      <c r="Q18" s="346"/>
      <c r="R18" s="343"/>
      <c r="S18" s="346"/>
      <c r="T18" s="150" t="s">
        <v>152</v>
      </c>
      <c r="U18" s="150" t="s">
        <v>1992</v>
      </c>
      <c r="V18" s="643"/>
      <c r="W18" s="659">
        <v>86119.999999999985</v>
      </c>
      <c r="X18" s="659"/>
      <c r="Y18" s="656"/>
      <c r="Z18" s="657"/>
      <c r="AA18" s="714"/>
      <c r="AB18" s="428"/>
      <c r="AC18" s="428"/>
      <c r="AD18" s="428" t="s">
        <v>1142</v>
      </c>
      <c r="AE18" s="429">
        <v>0</v>
      </c>
      <c r="AF18" s="429">
        <v>0</v>
      </c>
      <c r="AG18" s="649"/>
      <c r="AH18" s="649"/>
      <c r="AI18" s="649"/>
      <c r="AJ18" s="649"/>
      <c r="AK18" s="649"/>
      <c r="AL18" s="649"/>
      <c r="AM18" s="650"/>
      <c r="AN18" s="651">
        <f>ERP_27[[#This Row],[2026 Working Total]]-ERP_27[[#This Row],[LE2 Final Submission]]</f>
        <v>0</v>
      </c>
      <c r="AO18" s="652">
        <v>6250</v>
      </c>
      <c r="AP18" s="652">
        <f t="shared" si="2"/>
        <v>-6250</v>
      </c>
      <c r="AQ18" s="374">
        <f>SUM(ERP_27[[#This Row],[AP01]:[AP06]])-SUM(ERP_27[[#This Row],[AP01 LE2]:[AP06 LE2]])</f>
        <v>0</v>
      </c>
      <c r="AR18" s="653"/>
      <c r="AS18" s="652">
        <f>ERP_27[[#This Row],[2026 Working Total to Budget/LE]]-ERP_27[[#This Row],[Giveback]]</f>
        <v>0</v>
      </c>
      <c r="AT18" s="654" t="s">
        <v>1993</v>
      </c>
      <c r="AU18" s="655"/>
      <c r="AV18" s="655"/>
      <c r="AW18" s="655"/>
      <c r="AX18" s="655"/>
      <c r="AY18" s="655"/>
      <c r="AZ18" s="655"/>
      <c r="BA18" s="655"/>
      <c r="BB18" s="655"/>
      <c r="BC18" s="655"/>
      <c r="BD18" s="655"/>
      <c r="BE18" s="655"/>
      <c r="BF18" s="655"/>
      <c r="BG18" s="655"/>
      <c r="BH18" s="652"/>
      <c r="BI18" s="652"/>
      <c r="BJ18" s="652"/>
      <c r="BK18" s="652">
        <v>8612</v>
      </c>
      <c r="BL18" s="652">
        <v>8612</v>
      </c>
      <c r="BM18" s="652">
        <v>8612</v>
      </c>
      <c r="BN18" s="652">
        <v>8612</v>
      </c>
      <c r="BO18" s="652">
        <v>8612</v>
      </c>
      <c r="BP18" s="652">
        <v>8612</v>
      </c>
      <c r="BQ18" s="652">
        <v>8612</v>
      </c>
      <c r="BR18" s="652">
        <v>8612</v>
      </c>
      <c r="BS18" s="652">
        <v>8612</v>
      </c>
      <c r="BT18" s="652">
        <v>77508</v>
      </c>
    </row>
    <row r="19" spans="1:72" ht="15" hidden="1" customHeight="1">
      <c r="A19" s="79" t="s">
        <v>1706</v>
      </c>
      <c r="B19" s="79"/>
      <c r="C19" s="79" t="s">
        <v>366</v>
      </c>
      <c r="D19" s="296" t="s">
        <v>1707</v>
      </c>
      <c r="E19" s="150" t="s">
        <v>1136</v>
      </c>
      <c r="F19" s="482" t="s">
        <v>1566</v>
      </c>
      <c r="G19" s="150" t="s">
        <v>1135</v>
      </c>
      <c r="H19" s="383" t="s">
        <v>1145</v>
      </c>
      <c r="I19" s="332" t="s">
        <v>1135</v>
      </c>
      <c r="J19" s="383" t="s">
        <v>1145</v>
      </c>
      <c r="K19" s="331" t="s">
        <v>1137</v>
      </c>
      <c r="L19" s="512" t="s">
        <v>342</v>
      </c>
      <c r="M19" s="393" t="s">
        <v>1708</v>
      </c>
      <c r="N19" s="343"/>
      <c r="O19" s="331"/>
      <c r="P19" s="91" t="s">
        <v>367</v>
      </c>
      <c r="Q19" s="343"/>
      <c r="R19" s="346" t="s">
        <v>1709</v>
      </c>
      <c r="S19" s="346" t="s">
        <v>1710</v>
      </c>
      <c r="T19" s="386" t="s">
        <v>368</v>
      </c>
      <c r="U19" s="346" t="s">
        <v>1348</v>
      </c>
      <c r="V19" s="660"/>
      <c r="W19" s="358">
        <v>749252.78</v>
      </c>
      <c r="X19" s="660">
        <v>0</v>
      </c>
      <c r="Y19" s="656"/>
      <c r="Z19" s="657"/>
      <c r="AA19" s="716"/>
      <c r="AB19" s="717"/>
      <c r="AC19" s="717"/>
      <c r="AD19" s="428" t="s">
        <v>1142</v>
      </c>
      <c r="AE19" s="429">
        <v>0</v>
      </c>
      <c r="AF19" s="429">
        <v>0</v>
      </c>
      <c r="AG19" s="661">
        <v>0</v>
      </c>
      <c r="AH19" s="661">
        <v>0</v>
      </c>
      <c r="AI19" s="661">
        <v>0</v>
      </c>
      <c r="AJ19" s="661">
        <v>0</v>
      </c>
      <c r="AK19" s="661">
        <v>0</v>
      </c>
      <c r="AL19" s="661">
        <v>0</v>
      </c>
      <c r="AM19" s="650">
        <f t="shared" ref="AM19:AM82" si="3">SUM(AA19:AL19)</f>
        <v>0</v>
      </c>
      <c r="AN19" s="651">
        <f>ERP_27[[#This Row],[2026 Working Total]]-ERP_27[[#This Row],[LE2 Final Submission]]</f>
        <v>0</v>
      </c>
      <c r="AO19" s="652">
        <v>0</v>
      </c>
      <c r="AP19" s="652">
        <f t="shared" si="2"/>
        <v>0</v>
      </c>
      <c r="AQ19" s="374">
        <f>SUM(ERP_27[[#This Row],[AP01]:[AP06]])-SUM(ERP_27[[#This Row],[AP01 LE2]:[AP06 LE2]])</f>
        <v>0</v>
      </c>
      <c r="AR19" s="653"/>
      <c r="AS19" s="652">
        <f>ERP_27[[#This Row],[2026 Working Total to Budget/LE]]-ERP_27[[#This Row],[Giveback]]</f>
        <v>0</v>
      </c>
      <c r="AT19" s="654"/>
      <c r="AU19" s="655"/>
      <c r="AV19" s="655"/>
      <c r="AW19" s="655"/>
      <c r="AX19" s="655">
        <v>0</v>
      </c>
      <c r="AY19" s="655">
        <v>0</v>
      </c>
      <c r="AZ19" s="655">
        <v>0</v>
      </c>
      <c r="BA19" s="655">
        <v>0</v>
      </c>
      <c r="BB19" s="655">
        <v>0</v>
      </c>
      <c r="BC19" s="655">
        <v>0</v>
      </c>
      <c r="BD19" s="655">
        <v>0</v>
      </c>
      <c r="BE19" s="655">
        <v>0</v>
      </c>
      <c r="BF19" s="655">
        <v>0</v>
      </c>
      <c r="BG19" s="655">
        <v>0</v>
      </c>
      <c r="BH19" s="662">
        <v>749252.78</v>
      </c>
      <c r="BI19" s="662">
        <v>0</v>
      </c>
      <c r="BJ19" s="662">
        <v>0</v>
      </c>
      <c r="BK19" s="662">
        <v>0</v>
      </c>
      <c r="BL19" s="662">
        <v>0</v>
      </c>
      <c r="BM19" s="662">
        <v>0</v>
      </c>
      <c r="BN19" s="662">
        <v>0</v>
      </c>
      <c r="BO19" s="662">
        <v>0</v>
      </c>
      <c r="BP19" s="662">
        <v>0</v>
      </c>
      <c r="BQ19" s="662">
        <v>0</v>
      </c>
      <c r="BR19" s="662">
        <v>0</v>
      </c>
      <c r="BS19" s="662">
        <v>0</v>
      </c>
      <c r="BT19" s="652">
        <f>SUM(ERP_27[[#This Row],[2026 AP01]:[2026 AP12]])</f>
        <v>749252.78</v>
      </c>
    </row>
    <row r="20" spans="1:72" ht="15" hidden="1" customHeight="1">
      <c r="A20" s="79" t="s">
        <v>1711</v>
      </c>
      <c r="B20" s="79"/>
      <c r="C20" s="79" t="s">
        <v>369</v>
      </c>
      <c r="D20" s="296" t="s">
        <v>1712</v>
      </c>
      <c r="E20" s="150" t="s">
        <v>1136</v>
      </c>
      <c r="F20" s="482" t="s">
        <v>1566</v>
      </c>
      <c r="G20" s="150" t="s">
        <v>1135</v>
      </c>
      <c r="H20" s="383" t="s">
        <v>1145</v>
      </c>
      <c r="I20" s="332" t="s">
        <v>1135</v>
      </c>
      <c r="J20" s="383" t="s">
        <v>1145</v>
      </c>
      <c r="K20" s="331" t="s">
        <v>1137</v>
      </c>
      <c r="L20" s="512" t="s">
        <v>342</v>
      </c>
      <c r="M20" s="393" t="s">
        <v>1713</v>
      </c>
      <c r="N20" s="343"/>
      <c r="O20" s="331"/>
      <c r="P20" s="91" t="s">
        <v>370</v>
      </c>
      <c r="Q20" s="343"/>
      <c r="R20" s="346" t="s">
        <v>1709</v>
      </c>
      <c r="S20" s="346" t="s">
        <v>1710</v>
      </c>
      <c r="T20" s="386" t="s">
        <v>368</v>
      </c>
      <c r="U20" s="346" t="s">
        <v>1348</v>
      </c>
      <c r="V20" s="660"/>
      <c r="W20" s="358">
        <v>-749252.78</v>
      </c>
      <c r="X20" s="660">
        <v>0</v>
      </c>
      <c r="Y20" s="656"/>
      <c r="Z20" s="657"/>
      <c r="AA20" s="716"/>
      <c r="AB20" s="717"/>
      <c r="AC20" s="717"/>
      <c r="AD20" s="428" t="s">
        <v>1142</v>
      </c>
      <c r="AE20" s="429">
        <v>0</v>
      </c>
      <c r="AF20" s="429">
        <v>0</v>
      </c>
      <c r="AG20" s="661">
        <v>0</v>
      </c>
      <c r="AH20" s="661">
        <v>0</v>
      </c>
      <c r="AI20" s="661">
        <v>0</v>
      </c>
      <c r="AJ20" s="661">
        <v>0</v>
      </c>
      <c r="AK20" s="661">
        <v>0</v>
      </c>
      <c r="AL20" s="661">
        <v>0</v>
      </c>
      <c r="AM20" s="650">
        <f t="shared" si="3"/>
        <v>0</v>
      </c>
      <c r="AN20" s="651">
        <f>ERP_27[[#This Row],[2026 Working Total]]-ERP_27[[#This Row],[LE2 Final Submission]]</f>
        <v>0</v>
      </c>
      <c r="AO20" s="652">
        <v>0</v>
      </c>
      <c r="AP20" s="652">
        <f t="shared" si="2"/>
        <v>0</v>
      </c>
      <c r="AQ20" s="374">
        <f>SUM(ERP_27[[#This Row],[AP01]:[AP06]])-SUM(ERP_27[[#This Row],[AP01 LE2]:[AP06 LE2]])</f>
        <v>0</v>
      </c>
      <c r="AR20" s="653"/>
      <c r="AS20" s="652">
        <f>ERP_27[[#This Row],[2026 Working Total to Budget/LE]]-ERP_27[[#This Row],[Giveback]]</f>
        <v>0</v>
      </c>
      <c r="AT20" s="654"/>
      <c r="AU20" s="655"/>
      <c r="AV20" s="655"/>
      <c r="AW20" s="655"/>
      <c r="AX20" s="655">
        <v>0</v>
      </c>
      <c r="AY20" s="655">
        <v>0</v>
      </c>
      <c r="AZ20" s="655">
        <v>0</v>
      </c>
      <c r="BA20" s="655">
        <v>0</v>
      </c>
      <c r="BB20" s="655">
        <v>0</v>
      </c>
      <c r="BC20" s="655">
        <v>0</v>
      </c>
      <c r="BD20" s="655">
        <v>0</v>
      </c>
      <c r="BE20" s="655">
        <v>0</v>
      </c>
      <c r="BF20" s="655">
        <v>0</v>
      </c>
      <c r="BG20" s="655">
        <v>0</v>
      </c>
      <c r="BH20" s="662">
        <v>-749252.78</v>
      </c>
      <c r="BI20" s="662">
        <v>0</v>
      </c>
      <c r="BJ20" s="662">
        <v>0</v>
      </c>
      <c r="BK20" s="662">
        <v>0</v>
      </c>
      <c r="BL20" s="662">
        <v>0</v>
      </c>
      <c r="BM20" s="662">
        <v>0</v>
      </c>
      <c r="BN20" s="662">
        <v>0</v>
      </c>
      <c r="BO20" s="662">
        <v>0</v>
      </c>
      <c r="BP20" s="662">
        <v>0</v>
      </c>
      <c r="BQ20" s="662">
        <v>0</v>
      </c>
      <c r="BR20" s="662">
        <v>0</v>
      </c>
      <c r="BS20" s="662">
        <v>0</v>
      </c>
      <c r="BT20" s="652">
        <f>SUM(ERP_27[[#This Row],[2026 AP01]:[2026 AP12]])</f>
        <v>-749252.78</v>
      </c>
    </row>
    <row r="21" spans="1:72" ht="15" hidden="1" customHeight="1">
      <c r="A21" s="79" t="s">
        <v>1714</v>
      </c>
      <c r="B21" s="79"/>
      <c r="C21" s="79" t="s">
        <v>371</v>
      </c>
      <c r="D21" s="296" t="s">
        <v>1715</v>
      </c>
      <c r="E21" s="150" t="s">
        <v>1136</v>
      </c>
      <c r="F21" s="482" t="s">
        <v>1566</v>
      </c>
      <c r="G21" s="150" t="s">
        <v>1135</v>
      </c>
      <c r="H21" s="383" t="s">
        <v>1145</v>
      </c>
      <c r="I21" s="332" t="s">
        <v>1135</v>
      </c>
      <c r="J21" s="383" t="s">
        <v>1145</v>
      </c>
      <c r="K21" s="331" t="s">
        <v>1137</v>
      </c>
      <c r="L21" s="512" t="s">
        <v>342</v>
      </c>
      <c r="M21" s="393" t="s">
        <v>1716</v>
      </c>
      <c r="N21" s="343"/>
      <c r="O21" s="331"/>
      <c r="P21" s="91" t="s">
        <v>372</v>
      </c>
      <c r="Q21" s="343"/>
      <c r="R21" s="346" t="s">
        <v>1717</v>
      </c>
      <c r="S21" s="346" t="s">
        <v>1710</v>
      </c>
      <c r="T21" s="386" t="s">
        <v>368</v>
      </c>
      <c r="U21" s="346" t="s">
        <v>1348</v>
      </c>
      <c r="V21" s="660"/>
      <c r="W21" s="358">
        <v>783580.73</v>
      </c>
      <c r="X21" s="660">
        <v>0</v>
      </c>
      <c r="Y21" s="656"/>
      <c r="Z21" s="657"/>
      <c r="AA21" s="716"/>
      <c r="AB21" s="717"/>
      <c r="AC21" s="717"/>
      <c r="AD21" s="428" t="s">
        <v>1142</v>
      </c>
      <c r="AE21" s="429">
        <v>0</v>
      </c>
      <c r="AF21" s="429">
        <v>0</v>
      </c>
      <c r="AG21" s="661">
        <v>0</v>
      </c>
      <c r="AH21" s="661">
        <v>0</v>
      </c>
      <c r="AI21" s="661">
        <v>0</v>
      </c>
      <c r="AJ21" s="661">
        <v>0</v>
      </c>
      <c r="AK21" s="661">
        <v>0</v>
      </c>
      <c r="AL21" s="661">
        <v>0</v>
      </c>
      <c r="AM21" s="650">
        <f t="shared" si="3"/>
        <v>0</v>
      </c>
      <c r="AN21" s="651">
        <f>ERP_27[[#This Row],[2026 Working Total]]-ERP_27[[#This Row],[LE2 Final Submission]]</f>
        <v>0</v>
      </c>
      <c r="AO21" s="652">
        <v>0</v>
      </c>
      <c r="AP21" s="652">
        <f t="shared" si="2"/>
        <v>0</v>
      </c>
      <c r="AQ21" s="374">
        <f>SUM(ERP_27[[#This Row],[AP01]:[AP06]])-SUM(ERP_27[[#This Row],[AP01 LE2]:[AP06 LE2]])</f>
        <v>0</v>
      </c>
      <c r="AR21" s="653"/>
      <c r="AS21" s="652">
        <f>ERP_27[[#This Row],[2026 Working Total to Budget/LE]]-ERP_27[[#This Row],[Giveback]]</f>
        <v>0</v>
      </c>
      <c r="AT21" s="654"/>
      <c r="AU21" s="655"/>
      <c r="AV21" s="655"/>
      <c r="AW21" s="655"/>
      <c r="AX21" s="655">
        <v>0</v>
      </c>
      <c r="AY21" s="655">
        <v>0</v>
      </c>
      <c r="AZ21" s="655">
        <v>0</v>
      </c>
      <c r="BA21" s="655">
        <v>0</v>
      </c>
      <c r="BB21" s="655">
        <v>0</v>
      </c>
      <c r="BC21" s="655">
        <v>0</v>
      </c>
      <c r="BD21" s="655">
        <v>0</v>
      </c>
      <c r="BE21" s="655">
        <v>0</v>
      </c>
      <c r="BF21" s="655">
        <v>0</v>
      </c>
      <c r="BG21" s="655">
        <v>0</v>
      </c>
      <c r="BH21" s="662">
        <v>783580.73</v>
      </c>
      <c r="BI21" s="662">
        <v>0</v>
      </c>
      <c r="BJ21" s="662">
        <v>0</v>
      </c>
      <c r="BK21" s="662">
        <v>0</v>
      </c>
      <c r="BL21" s="662">
        <v>0</v>
      </c>
      <c r="BM21" s="662">
        <v>0</v>
      </c>
      <c r="BN21" s="662">
        <v>0</v>
      </c>
      <c r="BO21" s="662">
        <v>0</v>
      </c>
      <c r="BP21" s="662">
        <v>0</v>
      </c>
      <c r="BQ21" s="662">
        <v>0</v>
      </c>
      <c r="BR21" s="662">
        <v>0</v>
      </c>
      <c r="BS21" s="662">
        <v>0</v>
      </c>
      <c r="BT21" s="652">
        <f>SUM(ERP_27[[#This Row],[2026 AP01]:[2026 AP12]])</f>
        <v>783580.73</v>
      </c>
    </row>
    <row r="22" spans="1:72" ht="15" hidden="1" customHeight="1">
      <c r="A22" s="79" t="s">
        <v>1718</v>
      </c>
      <c r="B22" s="79"/>
      <c r="C22" s="79" t="s">
        <v>373</v>
      </c>
      <c r="D22" s="296" t="s">
        <v>1719</v>
      </c>
      <c r="E22" s="150" t="s">
        <v>1136</v>
      </c>
      <c r="F22" s="482" t="s">
        <v>1566</v>
      </c>
      <c r="G22" s="150" t="s">
        <v>1135</v>
      </c>
      <c r="H22" s="383" t="s">
        <v>1145</v>
      </c>
      <c r="I22" s="332" t="s">
        <v>1135</v>
      </c>
      <c r="J22" s="383" t="s">
        <v>1145</v>
      </c>
      <c r="K22" s="331" t="s">
        <v>1137</v>
      </c>
      <c r="L22" s="512" t="s">
        <v>342</v>
      </c>
      <c r="M22" s="393" t="s">
        <v>1720</v>
      </c>
      <c r="N22" s="343"/>
      <c r="O22" s="331"/>
      <c r="P22" s="91" t="s">
        <v>374</v>
      </c>
      <c r="Q22" s="343"/>
      <c r="R22" s="346" t="s">
        <v>1717</v>
      </c>
      <c r="S22" s="346" t="s">
        <v>1710</v>
      </c>
      <c r="T22" s="386" t="s">
        <v>368</v>
      </c>
      <c r="U22" s="346" t="s">
        <v>1348</v>
      </c>
      <c r="V22" s="660"/>
      <c r="W22" s="358">
        <v>-783580.73</v>
      </c>
      <c r="X22" s="660">
        <v>0</v>
      </c>
      <c r="Y22" s="656"/>
      <c r="Z22" s="657"/>
      <c r="AA22" s="716"/>
      <c r="AB22" s="718"/>
      <c r="AC22" s="718"/>
      <c r="AD22" s="428" t="s">
        <v>1142</v>
      </c>
      <c r="AE22" s="429">
        <v>0</v>
      </c>
      <c r="AF22" s="429">
        <v>0</v>
      </c>
      <c r="AG22" s="663">
        <v>0</v>
      </c>
      <c r="AH22" s="663">
        <v>0</v>
      </c>
      <c r="AI22" s="663">
        <v>0</v>
      </c>
      <c r="AJ22" s="663">
        <v>0</v>
      </c>
      <c r="AK22" s="663">
        <v>0</v>
      </c>
      <c r="AL22" s="663">
        <v>0</v>
      </c>
      <c r="AM22" s="664">
        <f t="shared" si="3"/>
        <v>0</v>
      </c>
      <c r="AN22" s="651">
        <f>ERP_27[[#This Row],[2026 Working Total]]-ERP_27[[#This Row],[LE2 Final Submission]]</f>
        <v>0</v>
      </c>
      <c r="AO22" s="665">
        <v>0</v>
      </c>
      <c r="AP22" s="665">
        <f t="shared" si="2"/>
        <v>0</v>
      </c>
      <c r="AQ22" s="374">
        <f>SUM(ERP_27[[#This Row],[AP01]:[AP06]])-SUM(ERP_27[[#This Row],[AP01 LE2]:[AP06 LE2]])</f>
        <v>0</v>
      </c>
      <c r="AR22" s="653"/>
      <c r="AS22" s="652">
        <f>ERP_27[[#This Row],[2026 Working Total to Budget/LE]]-ERP_27[[#This Row],[Giveback]]</f>
        <v>0</v>
      </c>
      <c r="AT22" s="654"/>
      <c r="AU22" s="655"/>
      <c r="AV22" s="655"/>
      <c r="AW22" s="655"/>
      <c r="AX22" s="655">
        <v>0</v>
      </c>
      <c r="AY22" s="655">
        <v>0</v>
      </c>
      <c r="AZ22" s="655">
        <v>0</v>
      </c>
      <c r="BA22" s="655">
        <v>0</v>
      </c>
      <c r="BB22" s="655">
        <v>0</v>
      </c>
      <c r="BC22" s="655">
        <v>0</v>
      </c>
      <c r="BD22" s="655">
        <v>0</v>
      </c>
      <c r="BE22" s="655">
        <v>0</v>
      </c>
      <c r="BF22" s="655">
        <v>0</v>
      </c>
      <c r="BG22" s="655">
        <v>0</v>
      </c>
      <c r="BH22" s="666">
        <v>-783580.73</v>
      </c>
      <c r="BI22" s="666">
        <v>0</v>
      </c>
      <c r="BJ22" s="666">
        <v>0</v>
      </c>
      <c r="BK22" s="666">
        <v>0</v>
      </c>
      <c r="BL22" s="666">
        <v>0</v>
      </c>
      <c r="BM22" s="666">
        <v>0</v>
      </c>
      <c r="BN22" s="666">
        <v>0</v>
      </c>
      <c r="BO22" s="666">
        <v>0</v>
      </c>
      <c r="BP22" s="666">
        <v>0</v>
      </c>
      <c r="BQ22" s="666">
        <v>0</v>
      </c>
      <c r="BR22" s="666">
        <v>0</v>
      </c>
      <c r="BS22" s="666">
        <v>0</v>
      </c>
      <c r="BT22" s="665">
        <f>SUM(ERP_27[[#This Row],[2026 AP01]:[2026 AP12]])</f>
        <v>-783580.73</v>
      </c>
    </row>
    <row r="23" spans="1:72" ht="15" hidden="1" customHeight="1">
      <c r="A23" s="66" t="s">
        <v>1218</v>
      </c>
      <c r="B23" s="66"/>
      <c r="C23" s="66" t="s">
        <v>82</v>
      </c>
      <c r="D23" s="66" t="s">
        <v>1219</v>
      </c>
      <c r="E23" s="150" t="s">
        <v>1136</v>
      </c>
      <c r="F23" s="482" t="s">
        <v>1566</v>
      </c>
      <c r="G23" s="150" t="s">
        <v>1135</v>
      </c>
      <c r="H23" s="150" t="s">
        <v>1156</v>
      </c>
      <c r="I23" s="150" t="s">
        <v>1135</v>
      </c>
      <c r="J23" s="150" t="s">
        <v>1156</v>
      </c>
      <c r="K23" s="150" t="s">
        <v>1137</v>
      </c>
      <c r="L23" s="511" t="s">
        <v>49</v>
      </c>
      <c r="M23" s="392" t="s">
        <v>1220</v>
      </c>
      <c r="N23" s="343"/>
      <c r="O23" s="343"/>
      <c r="P23" s="70" t="s">
        <v>83</v>
      </c>
      <c r="Q23" s="346"/>
      <c r="R23" s="346" t="s">
        <v>1221</v>
      </c>
      <c r="S23" s="346"/>
      <c r="T23" s="150" t="s">
        <v>25</v>
      </c>
      <c r="U23" s="150" t="s">
        <v>1222</v>
      </c>
      <c r="V23" s="643"/>
      <c r="W23" s="659">
        <v>750</v>
      </c>
      <c r="X23" s="659">
        <v>0</v>
      </c>
      <c r="Y23" s="656"/>
      <c r="Z23" s="657"/>
      <c r="AA23" s="714"/>
      <c r="AB23" s="429"/>
      <c r="AC23" s="429"/>
      <c r="AD23" s="428" t="s">
        <v>1142</v>
      </c>
      <c r="AE23" s="429">
        <v>0</v>
      </c>
      <c r="AF23" s="429">
        <v>0</v>
      </c>
      <c r="AG23" s="667"/>
      <c r="AH23" s="667"/>
      <c r="AI23" s="667"/>
      <c r="AJ23" s="667"/>
      <c r="AK23" s="667"/>
      <c r="AL23" s="667"/>
      <c r="AM23" s="664">
        <f t="shared" si="3"/>
        <v>0</v>
      </c>
      <c r="AN23" s="651">
        <f>ERP_27[[#This Row],[2026 Working Total]]-ERP_27[[#This Row],[LE2 Final Submission]]</f>
        <v>0</v>
      </c>
      <c r="AO23" s="665"/>
      <c r="AP23" s="665">
        <f t="shared" si="2"/>
        <v>0</v>
      </c>
      <c r="AQ23" s="374">
        <f>SUM(ERP_27[[#This Row],[AP01]:[AP06]])-SUM(ERP_27[[#This Row],[AP01 LE2]:[AP06 LE2]])</f>
        <v>0</v>
      </c>
      <c r="AR23" s="653">
        <v>-750</v>
      </c>
      <c r="AS23" s="652">
        <f>ERP_27[[#This Row],[2026 Working Total to Budget/LE]]-ERP_27[[#This Row],[Giveback]]</f>
        <v>750</v>
      </c>
      <c r="AT23" s="654" t="s">
        <v>1223</v>
      </c>
      <c r="AU23" s="655"/>
      <c r="AV23" s="655"/>
      <c r="AW23" s="655"/>
      <c r="AX23" s="655"/>
      <c r="AY23" s="655"/>
      <c r="AZ23" s="655"/>
      <c r="BA23" s="655"/>
      <c r="BB23" s="655"/>
      <c r="BC23" s="655"/>
      <c r="BD23" s="655"/>
      <c r="BE23" s="655"/>
      <c r="BF23" s="655"/>
      <c r="BG23" s="655">
        <v>0</v>
      </c>
      <c r="BH23" s="665"/>
      <c r="BI23" s="665"/>
      <c r="BJ23" s="665"/>
      <c r="BK23" s="665">
        <v>62.5</v>
      </c>
      <c r="BL23" s="665">
        <v>62.5</v>
      </c>
      <c r="BM23" s="665">
        <v>62.5</v>
      </c>
      <c r="BN23" s="665">
        <v>62.5</v>
      </c>
      <c r="BO23" s="665">
        <v>62.5</v>
      </c>
      <c r="BP23" s="665">
        <v>62.5</v>
      </c>
      <c r="BQ23" s="665">
        <v>62.5</v>
      </c>
      <c r="BR23" s="665">
        <v>62.5</v>
      </c>
      <c r="BS23" s="665">
        <v>62.5</v>
      </c>
      <c r="BT23" s="665">
        <v>562.5</v>
      </c>
    </row>
    <row r="24" spans="1:72" ht="15" hidden="1" customHeight="1">
      <c r="A24" s="79" t="s">
        <v>1235</v>
      </c>
      <c r="B24" s="79"/>
      <c r="C24" s="79" t="s">
        <v>88</v>
      </c>
      <c r="D24" s="296" t="s">
        <v>88</v>
      </c>
      <c r="E24" s="150" t="s">
        <v>1136</v>
      </c>
      <c r="F24" s="482" t="s">
        <v>1566</v>
      </c>
      <c r="G24" s="150" t="s">
        <v>1135</v>
      </c>
      <c r="H24" s="150" t="s">
        <v>1135</v>
      </c>
      <c r="I24" s="332" t="s">
        <v>1135</v>
      </c>
      <c r="J24" s="382" t="s">
        <v>1135</v>
      </c>
      <c r="K24" s="331" t="s">
        <v>1137</v>
      </c>
      <c r="L24" s="512" t="s">
        <v>49</v>
      </c>
      <c r="M24" s="394" t="s">
        <v>1236</v>
      </c>
      <c r="N24" s="343"/>
      <c r="O24" s="331"/>
      <c r="P24" s="122" t="s">
        <v>89</v>
      </c>
      <c r="Q24" s="343"/>
      <c r="R24" s="346" t="s">
        <v>1232</v>
      </c>
      <c r="S24" s="471"/>
      <c r="T24" s="384" t="s">
        <v>25</v>
      </c>
      <c r="U24" s="150"/>
      <c r="V24" s="668"/>
      <c r="W24" s="358">
        <f>-213108+213108</f>
        <v>0</v>
      </c>
      <c r="X24" s="660">
        <v>0</v>
      </c>
      <c r="Y24" s="669"/>
      <c r="Z24" s="657"/>
      <c r="AA24" s="716"/>
      <c r="AB24" s="718"/>
      <c r="AC24" s="718"/>
      <c r="AD24" s="429" t="s">
        <v>1142</v>
      </c>
      <c r="AE24" s="429">
        <v>0</v>
      </c>
      <c r="AF24" s="429">
        <v>0</v>
      </c>
      <c r="AG24" s="663">
        <v>0</v>
      </c>
      <c r="AH24" s="663">
        <v>0</v>
      </c>
      <c r="AI24" s="663">
        <v>0</v>
      </c>
      <c r="AJ24" s="663">
        <v>0</v>
      </c>
      <c r="AK24" s="663">
        <v>0</v>
      </c>
      <c r="AL24" s="663"/>
      <c r="AM24" s="664">
        <f t="shared" si="3"/>
        <v>0</v>
      </c>
      <c r="AN24" s="651">
        <f>ERP_27[[#This Row],[2026 Working Total]]-ERP_27[[#This Row],[LE2 Final Submission]]</f>
        <v>0</v>
      </c>
      <c r="AO24" s="665">
        <v>0</v>
      </c>
      <c r="AP24" s="665">
        <f t="shared" si="2"/>
        <v>0</v>
      </c>
      <c r="AQ24" s="391">
        <f>SUM(ERP_27[[#This Row],[AP01]:[AP06]])-SUM(ERP_27[[#This Row],[AP01 LE2]:[AP06 LE2]])</f>
        <v>0</v>
      </c>
      <c r="AR24" s="670"/>
      <c r="AS24" s="665">
        <f>ERP_27[[#This Row],[2026 Working Total to Budget/LE]]-ERP_27[[#This Row],[Giveback]]</f>
        <v>0</v>
      </c>
      <c r="AT24" s="671"/>
      <c r="AU24" s="672"/>
      <c r="AV24" s="672"/>
      <c r="AW24" s="672"/>
      <c r="AX24" s="672">
        <v>0</v>
      </c>
      <c r="AY24" s="672">
        <v>0</v>
      </c>
      <c r="AZ24" s="672">
        <v>0</v>
      </c>
      <c r="BA24" s="672">
        <v>0</v>
      </c>
      <c r="BB24" s="672">
        <v>0</v>
      </c>
      <c r="BC24" s="672">
        <v>0</v>
      </c>
      <c r="BD24" s="672">
        <v>0</v>
      </c>
      <c r="BE24" s="672">
        <v>0</v>
      </c>
      <c r="BF24" s="672"/>
      <c r="BG24" s="672">
        <v>0</v>
      </c>
      <c r="BH24" s="666">
        <v>0</v>
      </c>
      <c r="BI24" s="666">
        <v>0</v>
      </c>
      <c r="BJ24" s="666">
        <v>0</v>
      </c>
      <c r="BK24" s="666">
        <v>0</v>
      </c>
      <c r="BL24" s="666">
        <v>0</v>
      </c>
      <c r="BM24" s="666">
        <v>-213108</v>
      </c>
      <c r="BN24" s="666">
        <v>0</v>
      </c>
      <c r="BO24" s="666">
        <v>0</v>
      </c>
      <c r="BP24" s="666">
        <v>0</v>
      </c>
      <c r="BQ24" s="666">
        <v>0</v>
      </c>
      <c r="BR24" s="666">
        <v>0</v>
      </c>
      <c r="BS24" s="666">
        <v>0</v>
      </c>
      <c r="BT24" s="665">
        <f>SUM(ERP_27[[#This Row],[2026 AP01]:[2026 AP12]])</f>
        <v>-213108</v>
      </c>
    </row>
    <row r="25" spans="1:72" ht="15" hidden="1" customHeight="1">
      <c r="A25" s="79" t="s">
        <v>1237</v>
      </c>
      <c r="B25" s="79"/>
      <c r="C25" s="79" t="s">
        <v>90</v>
      </c>
      <c r="D25" s="296" t="s">
        <v>90</v>
      </c>
      <c r="E25" s="150" t="s">
        <v>1136</v>
      </c>
      <c r="F25" s="482" t="s">
        <v>1566</v>
      </c>
      <c r="G25" s="150" t="s">
        <v>1135</v>
      </c>
      <c r="H25" s="150" t="s">
        <v>1135</v>
      </c>
      <c r="I25" s="332" t="s">
        <v>1135</v>
      </c>
      <c r="J25" s="382" t="s">
        <v>1135</v>
      </c>
      <c r="K25" s="331" t="s">
        <v>1137</v>
      </c>
      <c r="L25" s="512" t="s">
        <v>49</v>
      </c>
      <c r="M25" s="394" t="s">
        <v>1238</v>
      </c>
      <c r="N25" s="343"/>
      <c r="O25" s="331"/>
      <c r="P25" s="122" t="s">
        <v>91</v>
      </c>
      <c r="Q25" s="343"/>
      <c r="R25" s="346" t="s">
        <v>1232</v>
      </c>
      <c r="S25" s="471"/>
      <c r="T25" s="384" t="s">
        <v>25</v>
      </c>
      <c r="U25" s="150"/>
      <c r="V25" s="668"/>
      <c r="W25" s="358">
        <f>76110+-76110</f>
        <v>0</v>
      </c>
      <c r="X25" s="660">
        <v>0</v>
      </c>
      <c r="Y25" s="669"/>
      <c r="Z25" s="657"/>
      <c r="AA25" s="716"/>
      <c r="AB25" s="718"/>
      <c r="AC25" s="718"/>
      <c r="AD25" s="429" t="s">
        <v>1142</v>
      </c>
      <c r="AE25" s="429">
        <v>0</v>
      </c>
      <c r="AF25" s="429">
        <v>0</v>
      </c>
      <c r="AG25" s="663">
        <v>0</v>
      </c>
      <c r="AH25" s="663">
        <v>0</v>
      </c>
      <c r="AI25" s="663">
        <v>0</v>
      </c>
      <c r="AJ25" s="663">
        <v>0</v>
      </c>
      <c r="AK25" s="663">
        <v>0</v>
      </c>
      <c r="AL25" s="663"/>
      <c r="AM25" s="664">
        <f t="shared" si="3"/>
        <v>0</v>
      </c>
      <c r="AN25" s="651">
        <f>ERP_27[[#This Row],[2026 Working Total]]-ERP_27[[#This Row],[LE2 Final Submission]]</f>
        <v>0</v>
      </c>
      <c r="AO25" s="665">
        <v>0</v>
      </c>
      <c r="AP25" s="665">
        <f t="shared" si="2"/>
        <v>0</v>
      </c>
      <c r="AQ25" s="391">
        <f>SUM(ERP_27[[#This Row],[AP01]:[AP06]])-SUM(ERP_27[[#This Row],[AP01 LE2]:[AP06 LE2]])</f>
        <v>0</v>
      </c>
      <c r="AR25" s="670"/>
      <c r="AS25" s="665">
        <f>ERP_27[[#This Row],[2026 Working Total to Budget/LE]]-ERP_27[[#This Row],[Giveback]]</f>
        <v>0</v>
      </c>
      <c r="AT25" s="671"/>
      <c r="AU25" s="672"/>
      <c r="AV25" s="672"/>
      <c r="AW25" s="672"/>
      <c r="AX25" s="672">
        <v>0</v>
      </c>
      <c r="AY25" s="672">
        <v>0</v>
      </c>
      <c r="AZ25" s="672">
        <v>0</v>
      </c>
      <c r="BA25" s="672">
        <v>0</v>
      </c>
      <c r="BB25" s="672">
        <v>0</v>
      </c>
      <c r="BC25" s="672">
        <v>0</v>
      </c>
      <c r="BD25" s="672">
        <v>0</v>
      </c>
      <c r="BE25" s="672">
        <v>0</v>
      </c>
      <c r="BF25" s="672"/>
      <c r="BG25" s="672">
        <v>0</v>
      </c>
      <c r="BH25" s="666">
        <v>0</v>
      </c>
      <c r="BI25" s="666">
        <v>0</v>
      </c>
      <c r="BJ25" s="666">
        <v>0</v>
      </c>
      <c r="BK25" s="666">
        <v>0</v>
      </c>
      <c r="BL25" s="666">
        <v>0</v>
      </c>
      <c r="BM25" s="666">
        <v>-76110</v>
      </c>
      <c r="BN25" s="666">
        <v>0</v>
      </c>
      <c r="BO25" s="666">
        <v>0</v>
      </c>
      <c r="BP25" s="666">
        <v>0</v>
      </c>
      <c r="BQ25" s="666">
        <v>0</v>
      </c>
      <c r="BR25" s="666">
        <v>0</v>
      </c>
      <c r="BS25" s="666">
        <v>0</v>
      </c>
      <c r="BT25" s="665">
        <f>SUM(ERP_27[[#This Row],[2026 AP01]:[2026 AP12]])</f>
        <v>-76110</v>
      </c>
    </row>
    <row r="26" spans="1:72" ht="15" hidden="1" customHeight="1">
      <c r="A26" s="79" t="s">
        <v>1239</v>
      </c>
      <c r="B26" s="79"/>
      <c r="C26" s="79" t="s">
        <v>92</v>
      </c>
      <c r="D26" s="296" t="s">
        <v>92</v>
      </c>
      <c r="E26" s="150" t="s">
        <v>1136</v>
      </c>
      <c r="F26" s="482" t="s">
        <v>1566</v>
      </c>
      <c r="G26" s="150" t="s">
        <v>1135</v>
      </c>
      <c r="H26" s="150" t="s">
        <v>1135</v>
      </c>
      <c r="I26" s="332" t="s">
        <v>1135</v>
      </c>
      <c r="J26" s="382" t="s">
        <v>1135</v>
      </c>
      <c r="K26" s="331" t="s">
        <v>1137</v>
      </c>
      <c r="L26" s="512" t="s">
        <v>49</v>
      </c>
      <c r="M26" s="394" t="s">
        <v>1240</v>
      </c>
      <c r="N26" s="343"/>
      <c r="O26" s="331"/>
      <c r="P26" s="122" t="s">
        <v>93</v>
      </c>
      <c r="Q26" s="343"/>
      <c r="R26" s="346" t="s">
        <v>1232</v>
      </c>
      <c r="S26" s="471"/>
      <c r="T26" s="384" t="s">
        <v>25</v>
      </c>
      <c r="U26" s="150"/>
      <c r="V26" s="668"/>
      <c r="W26" s="358">
        <f>-91332+91332</f>
        <v>0</v>
      </c>
      <c r="X26" s="660">
        <v>0</v>
      </c>
      <c r="Y26" s="669"/>
      <c r="Z26" s="657"/>
      <c r="AA26" s="716"/>
      <c r="AB26" s="718"/>
      <c r="AC26" s="718"/>
      <c r="AD26" s="429" t="s">
        <v>1142</v>
      </c>
      <c r="AE26" s="429">
        <v>0</v>
      </c>
      <c r="AF26" s="429">
        <v>0</v>
      </c>
      <c r="AG26" s="663">
        <v>0</v>
      </c>
      <c r="AH26" s="663">
        <v>0</v>
      </c>
      <c r="AI26" s="663">
        <v>0</v>
      </c>
      <c r="AJ26" s="663">
        <v>0</v>
      </c>
      <c r="AK26" s="663">
        <v>0</v>
      </c>
      <c r="AL26" s="663"/>
      <c r="AM26" s="664">
        <f t="shared" si="3"/>
        <v>0</v>
      </c>
      <c r="AN26" s="651">
        <f>ERP_27[[#This Row],[2026 Working Total]]-ERP_27[[#This Row],[LE2 Final Submission]]</f>
        <v>0</v>
      </c>
      <c r="AO26" s="665">
        <v>0</v>
      </c>
      <c r="AP26" s="665">
        <f t="shared" si="2"/>
        <v>0</v>
      </c>
      <c r="AQ26" s="391">
        <f>SUM(ERP_27[[#This Row],[AP01]:[AP06]])-SUM(ERP_27[[#This Row],[AP01 LE2]:[AP06 LE2]])</f>
        <v>0</v>
      </c>
      <c r="AR26" s="670"/>
      <c r="AS26" s="665">
        <f>ERP_27[[#This Row],[2026 Working Total to Budget/LE]]-ERP_27[[#This Row],[Giveback]]</f>
        <v>0</v>
      </c>
      <c r="AT26" s="671"/>
      <c r="AU26" s="672"/>
      <c r="AV26" s="672"/>
      <c r="AW26" s="672"/>
      <c r="AX26" s="672">
        <v>0</v>
      </c>
      <c r="AY26" s="672">
        <v>0</v>
      </c>
      <c r="AZ26" s="672">
        <v>0</v>
      </c>
      <c r="BA26" s="672">
        <v>0</v>
      </c>
      <c r="BB26" s="672">
        <v>0</v>
      </c>
      <c r="BC26" s="672">
        <v>0</v>
      </c>
      <c r="BD26" s="672">
        <v>0</v>
      </c>
      <c r="BE26" s="672">
        <v>0</v>
      </c>
      <c r="BF26" s="672"/>
      <c r="BG26" s="672">
        <v>0</v>
      </c>
      <c r="BH26" s="666">
        <v>0</v>
      </c>
      <c r="BI26" s="666">
        <v>0</v>
      </c>
      <c r="BJ26" s="666">
        <v>0</v>
      </c>
      <c r="BK26" s="666">
        <v>0</v>
      </c>
      <c r="BL26" s="666">
        <v>0</v>
      </c>
      <c r="BM26" s="666">
        <v>-91332</v>
      </c>
      <c r="BN26" s="666">
        <v>0</v>
      </c>
      <c r="BO26" s="666">
        <v>0</v>
      </c>
      <c r="BP26" s="666">
        <v>0</v>
      </c>
      <c r="BQ26" s="666">
        <v>0</v>
      </c>
      <c r="BR26" s="666">
        <v>0</v>
      </c>
      <c r="BS26" s="666">
        <v>0</v>
      </c>
      <c r="BT26" s="665">
        <f>SUM(ERP_27[[#This Row],[2026 AP01]:[2026 AP12]])</f>
        <v>-91332</v>
      </c>
    </row>
    <row r="27" spans="1:72" ht="15" hidden="1" customHeight="1">
      <c r="A27" s="79" t="s">
        <v>1241</v>
      </c>
      <c r="B27" s="79"/>
      <c r="C27" s="79" t="s">
        <v>94</v>
      </c>
      <c r="D27" s="296" t="s">
        <v>94</v>
      </c>
      <c r="E27" s="150" t="s">
        <v>1136</v>
      </c>
      <c r="F27" s="482" t="s">
        <v>1566</v>
      </c>
      <c r="G27" s="150" t="s">
        <v>1135</v>
      </c>
      <c r="H27" s="150" t="s">
        <v>1135</v>
      </c>
      <c r="I27" s="332" t="s">
        <v>1135</v>
      </c>
      <c r="J27" s="382" t="s">
        <v>1135</v>
      </c>
      <c r="K27" s="331" t="s">
        <v>1137</v>
      </c>
      <c r="L27" s="512" t="s">
        <v>49</v>
      </c>
      <c r="M27" s="394" t="s">
        <v>1242</v>
      </c>
      <c r="N27" s="343"/>
      <c r="O27" s="331"/>
      <c r="P27" s="122" t="s">
        <v>95</v>
      </c>
      <c r="Q27" s="343"/>
      <c r="R27" s="346" t="s">
        <v>1232</v>
      </c>
      <c r="S27" s="471"/>
      <c r="T27" s="384" t="s">
        <v>25</v>
      </c>
      <c r="U27" s="150"/>
      <c r="V27" s="668"/>
      <c r="W27" s="358">
        <f>-76110+76110</f>
        <v>0</v>
      </c>
      <c r="X27" s="660">
        <v>0</v>
      </c>
      <c r="Y27" s="669"/>
      <c r="Z27" s="657"/>
      <c r="AA27" s="716"/>
      <c r="AB27" s="718"/>
      <c r="AC27" s="718"/>
      <c r="AD27" s="429" t="s">
        <v>1142</v>
      </c>
      <c r="AE27" s="429">
        <v>0</v>
      </c>
      <c r="AF27" s="429">
        <v>0</v>
      </c>
      <c r="AG27" s="663">
        <v>0</v>
      </c>
      <c r="AH27" s="663">
        <v>0</v>
      </c>
      <c r="AI27" s="663">
        <v>0</v>
      </c>
      <c r="AJ27" s="663">
        <v>0</v>
      </c>
      <c r="AK27" s="663">
        <v>0</v>
      </c>
      <c r="AL27" s="663"/>
      <c r="AM27" s="664">
        <f t="shared" si="3"/>
        <v>0</v>
      </c>
      <c r="AN27" s="651">
        <f>ERP_27[[#This Row],[2026 Working Total]]-ERP_27[[#This Row],[LE2 Final Submission]]</f>
        <v>0</v>
      </c>
      <c r="AO27" s="665">
        <v>0</v>
      </c>
      <c r="AP27" s="665">
        <f t="shared" si="2"/>
        <v>0</v>
      </c>
      <c r="AQ27" s="391">
        <f>SUM(ERP_27[[#This Row],[AP01]:[AP06]])-SUM(ERP_27[[#This Row],[AP01 LE2]:[AP06 LE2]])</f>
        <v>0</v>
      </c>
      <c r="AR27" s="670"/>
      <c r="AS27" s="665">
        <f>ERP_27[[#This Row],[2026 Working Total to Budget/LE]]-ERP_27[[#This Row],[Giveback]]</f>
        <v>0</v>
      </c>
      <c r="AT27" s="671"/>
      <c r="AU27" s="672"/>
      <c r="AV27" s="672"/>
      <c r="AW27" s="672"/>
      <c r="AX27" s="672">
        <v>0</v>
      </c>
      <c r="AY27" s="672">
        <v>0</v>
      </c>
      <c r="AZ27" s="672">
        <v>0</v>
      </c>
      <c r="BA27" s="672">
        <v>0</v>
      </c>
      <c r="BB27" s="672">
        <v>0</v>
      </c>
      <c r="BC27" s="672">
        <v>0</v>
      </c>
      <c r="BD27" s="672">
        <v>0</v>
      </c>
      <c r="BE27" s="672">
        <v>0</v>
      </c>
      <c r="BF27" s="672"/>
      <c r="BG27" s="672">
        <v>0</v>
      </c>
      <c r="BH27" s="666">
        <v>0</v>
      </c>
      <c r="BI27" s="666">
        <v>0</v>
      </c>
      <c r="BJ27" s="666">
        <v>0</v>
      </c>
      <c r="BK27" s="666">
        <v>0</v>
      </c>
      <c r="BL27" s="666">
        <v>0</v>
      </c>
      <c r="BM27" s="666">
        <v>-76110</v>
      </c>
      <c r="BN27" s="666">
        <v>0</v>
      </c>
      <c r="BO27" s="666">
        <v>0</v>
      </c>
      <c r="BP27" s="666">
        <v>0</v>
      </c>
      <c r="BQ27" s="666">
        <v>0</v>
      </c>
      <c r="BR27" s="666">
        <v>0</v>
      </c>
      <c r="BS27" s="666">
        <v>0</v>
      </c>
      <c r="BT27" s="665">
        <f>SUM(ERP_27[[#This Row],[2026 AP01]:[2026 AP12]])</f>
        <v>-76110</v>
      </c>
    </row>
    <row r="28" spans="1:72" ht="15" hidden="1" customHeight="1">
      <c r="A28" s="79" t="s">
        <v>1248</v>
      </c>
      <c r="B28" s="79"/>
      <c r="C28" s="79" t="s">
        <v>104</v>
      </c>
      <c r="D28" s="296" t="s">
        <v>1249</v>
      </c>
      <c r="E28" s="150" t="s">
        <v>1136</v>
      </c>
      <c r="F28" s="482" t="s">
        <v>1566</v>
      </c>
      <c r="G28" s="150" t="s">
        <v>1135</v>
      </c>
      <c r="H28" s="383" t="s">
        <v>1156</v>
      </c>
      <c r="I28" s="332" t="s">
        <v>1135</v>
      </c>
      <c r="J28" s="383" t="s">
        <v>1156</v>
      </c>
      <c r="K28" s="333" t="s">
        <v>1137</v>
      </c>
      <c r="L28" s="512" t="s">
        <v>49</v>
      </c>
      <c r="M28" s="393" t="s">
        <v>1250</v>
      </c>
      <c r="N28" s="343" t="s">
        <v>1251</v>
      </c>
      <c r="O28" s="332" t="s">
        <v>1252</v>
      </c>
      <c r="P28" s="91" t="s">
        <v>105</v>
      </c>
      <c r="Q28" s="347"/>
      <c r="R28" s="346" t="s">
        <v>1253</v>
      </c>
      <c r="S28" s="348"/>
      <c r="T28" s="386" t="s">
        <v>25</v>
      </c>
      <c r="U28" s="387" t="s">
        <v>1254</v>
      </c>
      <c r="V28" s="668"/>
      <c r="W28" s="358">
        <v>1</v>
      </c>
      <c r="X28" s="660">
        <v>0</v>
      </c>
      <c r="Y28" s="669"/>
      <c r="Z28" s="657"/>
      <c r="AA28" s="716"/>
      <c r="AB28" s="718"/>
      <c r="AC28" s="718"/>
      <c r="AD28" s="429" t="s">
        <v>1142</v>
      </c>
      <c r="AE28" s="429">
        <v>0</v>
      </c>
      <c r="AF28" s="429">
        <v>0</v>
      </c>
      <c r="AG28" s="663">
        <v>0</v>
      </c>
      <c r="AH28" s="663">
        <v>0</v>
      </c>
      <c r="AI28" s="663">
        <v>0</v>
      </c>
      <c r="AJ28" s="663">
        <v>0</v>
      </c>
      <c r="AK28" s="663">
        <v>0</v>
      </c>
      <c r="AL28" s="663">
        <v>0</v>
      </c>
      <c r="AM28" s="664">
        <f t="shared" si="3"/>
        <v>0</v>
      </c>
      <c r="AN28" s="651">
        <f>ERP_27[[#This Row],[2026 Working Total]]-ERP_27[[#This Row],[LE2 Final Submission]]</f>
        <v>0</v>
      </c>
      <c r="AO28" s="665">
        <v>0</v>
      </c>
      <c r="AP28" s="665">
        <f t="shared" si="2"/>
        <v>0</v>
      </c>
      <c r="AQ28" s="391">
        <f>SUM(ERP_27[[#This Row],[AP01]:[AP06]])-SUM(ERP_27[[#This Row],[AP01 LE2]:[AP06 LE2]])</f>
        <v>0</v>
      </c>
      <c r="AR28" s="670"/>
      <c r="AS28" s="665">
        <f>ERP_27[[#This Row],[2026 Working Total to Budget/LE]]-ERP_27[[#This Row],[Giveback]]</f>
        <v>0</v>
      </c>
      <c r="AT28" s="671"/>
      <c r="AU28" s="672"/>
      <c r="AV28" s="672"/>
      <c r="AW28" s="672"/>
      <c r="AX28" s="672">
        <v>0</v>
      </c>
      <c r="AY28" s="672">
        <v>0</v>
      </c>
      <c r="AZ28" s="672">
        <v>0</v>
      </c>
      <c r="BA28" s="672">
        <v>0</v>
      </c>
      <c r="BB28" s="672">
        <v>0</v>
      </c>
      <c r="BC28" s="672">
        <v>0</v>
      </c>
      <c r="BD28" s="672">
        <v>0</v>
      </c>
      <c r="BE28" s="672">
        <v>0</v>
      </c>
      <c r="BF28" s="672">
        <v>0</v>
      </c>
      <c r="BG28" s="672">
        <v>0</v>
      </c>
      <c r="BH28" s="666">
        <v>0</v>
      </c>
      <c r="BI28" s="666">
        <v>0</v>
      </c>
      <c r="BJ28" s="666">
        <v>0</v>
      </c>
      <c r="BK28" s="666">
        <v>0</v>
      </c>
      <c r="BL28" s="666">
        <v>0</v>
      </c>
      <c r="BM28" s="666">
        <v>0</v>
      </c>
      <c r="BN28" s="666">
        <v>0</v>
      </c>
      <c r="BO28" s="666">
        <v>0</v>
      </c>
      <c r="BP28" s="666">
        <v>0</v>
      </c>
      <c r="BQ28" s="666">
        <v>0</v>
      </c>
      <c r="BR28" s="666">
        <v>0</v>
      </c>
      <c r="BS28" s="666">
        <v>1</v>
      </c>
      <c r="BT28" s="665">
        <f>SUM(ERP_27[[#This Row],[2026 AP01]:[2026 AP12]])</f>
        <v>1</v>
      </c>
    </row>
    <row r="29" spans="1:72" ht="15" hidden="1" customHeight="1">
      <c r="A29" s="79" t="s">
        <v>1318</v>
      </c>
      <c r="B29" s="79"/>
      <c r="C29" s="79" t="s">
        <v>144</v>
      </c>
      <c r="D29" s="296" t="s">
        <v>144</v>
      </c>
      <c r="E29" s="150" t="s">
        <v>1136</v>
      </c>
      <c r="F29" s="482" t="s">
        <v>1566</v>
      </c>
      <c r="G29" s="150" t="s">
        <v>1135</v>
      </c>
      <c r="H29" s="150" t="s">
        <v>1135</v>
      </c>
      <c r="I29" s="332" t="s">
        <v>1135</v>
      </c>
      <c r="J29" s="383" t="s">
        <v>1135</v>
      </c>
      <c r="K29" s="331" t="s">
        <v>1137</v>
      </c>
      <c r="L29" s="512" t="s">
        <v>49</v>
      </c>
      <c r="M29" s="393" t="s">
        <v>1319</v>
      </c>
      <c r="N29" s="343"/>
      <c r="O29" s="331"/>
      <c r="P29" s="91" t="s">
        <v>145</v>
      </c>
      <c r="Q29" s="346" t="s">
        <v>1139</v>
      </c>
      <c r="R29" s="343"/>
      <c r="S29" s="348"/>
      <c r="T29" s="386" t="s">
        <v>25</v>
      </c>
      <c r="U29" s="387" t="s">
        <v>1320</v>
      </c>
      <c r="V29" s="668"/>
      <c r="W29" s="358">
        <v>1472196</v>
      </c>
      <c r="X29" s="660">
        <v>0</v>
      </c>
      <c r="Y29" s="669"/>
      <c r="Z29" s="657"/>
      <c r="AA29" s="716"/>
      <c r="AB29" s="718"/>
      <c r="AC29" s="718"/>
      <c r="AD29" s="429" t="s">
        <v>1142</v>
      </c>
      <c r="AE29" s="429">
        <v>0</v>
      </c>
      <c r="AF29" s="429">
        <v>0</v>
      </c>
      <c r="AG29" s="663">
        <f t="shared" ref="AG29:AL29" si="4">122683-122683</f>
        <v>0</v>
      </c>
      <c r="AH29" s="663">
        <f t="shared" si="4"/>
        <v>0</v>
      </c>
      <c r="AI29" s="663">
        <f t="shared" si="4"/>
        <v>0</v>
      </c>
      <c r="AJ29" s="663">
        <f t="shared" si="4"/>
        <v>0</v>
      </c>
      <c r="AK29" s="663">
        <f t="shared" si="4"/>
        <v>0</v>
      </c>
      <c r="AL29" s="663">
        <f t="shared" si="4"/>
        <v>0</v>
      </c>
      <c r="AM29" s="664">
        <f t="shared" si="3"/>
        <v>0</v>
      </c>
      <c r="AN29" s="651">
        <f>ERP_27[[#This Row],[2026 Working Total]]-ERP_27[[#This Row],[LE2 Final Submission]]</f>
        <v>0</v>
      </c>
      <c r="AO29" s="665">
        <v>0</v>
      </c>
      <c r="AP29" s="665">
        <f t="shared" si="2"/>
        <v>0</v>
      </c>
      <c r="AQ29" s="391">
        <f>SUM(ERP_27[[#This Row],[AP01]:[AP06]])-SUM(ERP_27[[#This Row],[AP01 LE2]:[AP06 LE2]])</f>
        <v>0</v>
      </c>
      <c r="AR29" s="670"/>
      <c r="AS29" s="665">
        <f>ERP_27[[#This Row],[2026 Working Total to Budget/LE]]-ERP_27[[#This Row],[Giveback]]</f>
        <v>0</v>
      </c>
      <c r="AT29" s="671"/>
      <c r="AU29" s="672"/>
      <c r="AV29" s="672"/>
      <c r="AW29" s="672"/>
      <c r="AX29" s="672">
        <v>0</v>
      </c>
      <c r="AY29" s="672">
        <v>0</v>
      </c>
      <c r="AZ29" s="672">
        <v>0</v>
      </c>
      <c r="BA29" s="672">
        <v>0</v>
      </c>
      <c r="BB29" s="672">
        <v>0</v>
      </c>
      <c r="BC29" s="672">
        <v>0</v>
      </c>
      <c r="BD29" s="672">
        <v>0</v>
      </c>
      <c r="BE29" s="672">
        <v>0</v>
      </c>
      <c r="BF29" s="672">
        <v>0</v>
      </c>
      <c r="BG29" s="672">
        <v>0</v>
      </c>
      <c r="BH29" s="666">
        <v>122683</v>
      </c>
      <c r="BI29" s="666">
        <v>122683</v>
      </c>
      <c r="BJ29" s="666">
        <v>122683</v>
      </c>
      <c r="BK29" s="666">
        <v>122683</v>
      </c>
      <c r="BL29" s="666">
        <v>122683</v>
      </c>
      <c r="BM29" s="666">
        <v>122683</v>
      </c>
      <c r="BN29" s="666">
        <v>122683</v>
      </c>
      <c r="BO29" s="666">
        <v>122683</v>
      </c>
      <c r="BP29" s="666">
        <v>122683</v>
      </c>
      <c r="BQ29" s="666">
        <v>122683</v>
      </c>
      <c r="BR29" s="666">
        <v>122683</v>
      </c>
      <c r="BS29" s="666">
        <v>122683</v>
      </c>
      <c r="BT29" s="665">
        <f>SUM(ERP_27[[#This Row],[2026 AP01]:[2026 AP12]])</f>
        <v>1472196</v>
      </c>
    </row>
    <row r="30" spans="1:72" ht="15" hidden="1" customHeight="1">
      <c r="A30" s="66" t="s">
        <v>1688</v>
      </c>
      <c r="B30" s="66"/>
      <c r="C30" s="66" t="s">
        <v>2923</v>
      </c>
      <c r="D30" s="66" t="s">
        <v>1689</v>
      </c>
      <c r="E30" s="150" t="s">
        <v>1136</v>
      </c>
      <c r="F30" s="482" t="s">
        <v>1566</v>
      </c>
      <c r="G30" s="150" t="s">
        <v>1135</v>
      </c>
      <c r="H30" s="150" t="s">
        <v>1135</v>
      </c>
      <c r="I30" s="150" t="s">
        <v>1135</v>
      </c>
      <c r="J30" s="150" t="s">
        <v>1137</v>
      </c>
      <c r="K30" s="150" t="s">
        <v>1137</v>
      </c>
      <c r="L30" s="511" t="s">
        <v>342</v>
      </c>
      <c r="M30" s="392" t="s">
        <v>354</v>
      </c>
      <c r="N30" s="343"/>
      <c r="O30" s="343"/>
      <c r="P30" s="70" t="s">
        <v>354</v>
      </c>
      <c r="Q30" s="346"/>
      <c r="R30" s="346" t="s">
        <v>1140</v>
      </c>
      <c r="S30" s="346"/>
      <c r="T30" s="150" t="s">
        <v>25</v>
      </c>
      <c r="U30" s="150"/>
      <c r="V30" s="643"/>
      <c r="W30" s="659">
        <v>0</v>
      </c>
      <c r="X30" s="659">
        <v>0</v>
      </c>
      <c r="Y30" s="669"/>
      <c r="Z30" s="657"/>
      <c r="AA30" s="714"/>
      <c r="AB30" s="429">
        <v>0</v>
      </c>
      <c r="AC30" s="429">
        <v>0</v>
      </c>
      <c r="AD30" s="429">
        <v>0</v>
      </c>
      <c r="AE30" s="429">
        <v>0</v>
      </c>
      <c r="AF30" s="429">
        <v>0</v>
      </c>
      <c r="AG30" s="667">
        <v>0</v>
      </c>
      <c r="AH30" s="667">
        <v>0</v>
      </c>
      <c r="AI30" s="667">
        <v>0</v>
      </c>
      <c r="AJ30" s="667">
        <v>0</v>
      </c>
      <c r="AK30" s="667">
        <v>0</v>
      </c>
      <c r="AL30" s="667">
        <v>0</v>
      </c>
      <c r="AM30" s="664">
        <f t="shared" si="3"/>
        <v>0</v>
      </c>
      <c r="AN30" s="651">
        <f>ERP_27[[#This Row],[2026 Working Total]]-ERP_27[[#This Row],[LE2 Final Submission]]</f>
        <v>0</v>
      </c>
      <c r="AO30" s="665">
        <v>0</v>
      </c>
      <c r="AP30" s="665">
        <f t="shared" si="2"/>
        <v>0</v>
      </c>
      <c r="AQ30" s="391">
        <f>SUM(ERP_27[[#This Row],[AP01]:[AP06]])-SUM(ERP_27[[#This Row],[AP01 LE2]:[AP06 LE2]])</f>
        <v>0</v>
      </c>
      <c r="AR30" s="670"/>
      <c r="AS30" s="665">
        <f>ERP_27[[#This Row],[2026 Working Total to Budget/LE]]-ERP_27[[#This Row],[Giveback]]</f>
        <v>0</v>
      </c>
      <c r="AT30" s="671"/>
      <c r="AU30" s="672"/>
      <c r="AV30" s="672">
        <v>0</v>
      </c>
      <c r="AW30" s="672">
        <v>0</v>
      </c>
      <c r="AX30" s="672">
        <v>0</v>
      </c>
      <c r="AY30" s="672">
        <v>0</v>
      </c>
      <c r="AZ30" s="672">
        <v>0</v>
      </c>
      <c r="BA30" s="672">
        <v>0</v>
      </c>
      <c r="BB30" s="672">
        <v>0</v>
      </c>
      <c r="BC30" s="672">
        <v>0</v>
      </c>
      <c r="BD30" s="672">
        <v>0</v>
      </c>
      <c r="BE30" s="672">
        <v>0</v>
      </c>
      <c r="BF30" s="672">
        <v>0</v>
      </c>
      <c r="BG30" s="672">
        <v>0</v>
      </c>
      <c r="BH30" s="665"/>
      <c r="BI30" s="665">
        <v>0</v>
      </c>
      <c r="BJ30" s="665">
        <v>0</v>
      </c>
      <c r="BK30" s="665">
        <v>0</v>
      </c>
      <c r="BL30" s="665">
        <v>0</v>
      </c>
      <c r="BM30" s="665">
        <v>0</v>
      </c>
      <c r="BN30" s="665">
        <v>0</v>
      </c>
      <c r="BO30" s="665">
        <v>0</v>
      </c>
      <c r="BP30" s="665">
        <v>0</v>
      </c>
      <c r="BQ30" s="665">
        <v>0</v>
      </c>
      <c r="BR30" s="665">
        <v>0</v>
      </c>
      <c r="BS30" s="665">
        <v>0</v>
      </c>
      <c r="BT30" s="665">
        <v>0</v>
      </c>
    </row>
    <row r="31" spans="1:72" ht="15" hidden="1" customHeight="1">
      <c r="A31" s="66" t="s">
        <v>1696</v>
      </c>
      <c r="B31" s="66"/>
      <c r="C31" s="66" t="s">
        <v>2924</v>
      </c>
      <c r="D31" s="66" t="s">
        <v>1697</v>
      </c>
      <c r="E31" s="150" t="s">
        <v>1136</v>
      </c>
      <c r="F31" s="482" t="s">
        <v>1566</v>
      </c>
      <c r="G31" s="150" t="s">
        <v>1135</v>
      </c>
      <c r="H31" s="150" t="s">
        <v>1135</v>
      </c>
      <c r="I31" s="150" t="s">
        <v>1135</v>
      </c>
      <c r="J31" s="150" t="s">
        <v>1137</v>
      </c>
      <c r="K31" s="150" t="s">
        <v>1137</v>
      </c>
      <c r="L31" s="511" t="s">
        <v>342</v>
      </c>
      <c r="M31" s="392" t="s">
        <v>360</v>
      </c>
      <c r="N31" s="343"/>
      <c r="O31" s="343"/>
      <c r="P31" s="70" t="s">
        <v>360</v>
      </c>
      <c r="Q31" s="346"/>
      <c r="R31" s="346" t="s">
        <v>1140</v>
      </c>
      <c r="S31" s="346"/>
      <c r="T31" s="150" t="s">
        <v>25</v>
      </c>
      <c r="U31" s="150"/>
      <c r="V31" s="643"/>
      <c r="W31" s="659">
        <v>0</v>
      </c>
      <c r="X31" s="659">
        <v>0</v>
      </c>
      <c r="Y31" s="669"/>
      <c r="Z31" s="657"/>
      <c r="AA31" s="714"/>
      <c r="AB31" s="429"/>
      <c r="AC31" s="429">
        <v>0</v>
      </c>
      <c r="AD31" s="429">
        <v>0</v>
      </c>
      <c r="AE31" s="429">
        <v>0</v>
      </c>
      <c r="AF31" s="429">
        <v>0</v>
      </c>
      <c r="AG31" s="667">
        <v>0</v>
      </c>
      <c r="AH31" s="667">
        <v>0</v>
      </c>
      <c r="AI31" s="667">
        <v>0</v>
      </c>
      <c r="AJ31" s="667">
        <v>0</v>
      </c>
      <c r="AK31" s="667">
        <v>0</v>
      </c>
      <c r="AL31" s="667">
        <v>0</v>
      </c>
      <c r="AM31" s="664">
        <f t="shared" si="3"/>
        <v>0</v>
      </c>
      <c r="AN31" s="651">
        <f>ERP_27[[#This Row],[2026 Working Total]]-ERP_27[[#This Row],[LE2 Final Submission]]</f>
        <v>0</v>
      </c>
      <c r="AO31" s="665">
        <v>0</v>
      </c>
      <c r="AP31" s="665">
        <f t="shared" si="2"/>
        <v>0</v>
      </c>
      <c r="AQ31" s="391">
        <f>SUM(ERP_27[[#This Row],[AP01]:[AP06]])-SUM(ERP_27[[#This Row],[AP01 LE2]:[AP06 LE2]])</f>
        <v>0</v>
      </c>
      <c r="AR31" s="670"/>
      <c r="AS31" s="665">
        <f>ERP_27[[#This Row],[2026 Working Total to Budget/LE]]-ERP_27[[#This Row],[Giveback]]</f>
        <v>0</v>
      </c>
      <c r="AT31" s="671"/>
      <c r="AU31" s="672"/>
      <c r="AV31" s="672"/>
      <c r="AW31" s="672">
        <v>0</v>
      </c>
      <c r="AX31" s="672">
        <v>0</v>
      </c>
      <c r="AY31" s="672">
        <v>0</v>
      </c>
      <c r="AZ31" s="672">
        <v>0</v>
      </c>
      <c r="BA31" s="672">
        <v>0</v>
      </c>
      <c r="BB31" s="672">
        <v>0</v>
      </c>
      <c r="BC31" s="672">
        <v>0</v>
      </c>
      <c r="BD31" s="672">
        <v>0</v>
      </c>
      <c r="BE31" s="672">
        <v>0</v>
      </c>
      <c r="BF31" s="672">
        <v>0</v>
      </c>
      <c r="BG31" s="672">
        <v>0</v>
      </c>
      <c r="BH31" s="665"/>
      <c r="BI31" s="665"/>
      <c r="BJ31" s="665">
        <v>0</v>
      </c>
      <c r="BK31" s="665">
        <v>0</v>
      </c>
      <c r="BL31" s="665">
        <v>0</v>
      </c>
      <c r="BM31" s="665">
        <v>0</v>
      </c>
      <c r="BN31" s="665">
        <v>0</v>
      </c>
      <c r="BO31" s="665">
        <v>0</v>
      </c>
      <c r="BP31" s="665">
        <v>0</v>
      </c>
      <c r="BQ31" s="665">
        <v>0</v>
      </c>
      <c r="BR31" s="665">
        <v>0</v>
      </c>
      <c r="BS31" s="665">
        <v>0</v>
      </c>
      <c r="BT31" s="665">
        <v>0</v>
      </c>
    </row>
    <row r="32" spans="1:72" ht="15" hidden="1" customHeight="1">
      <c r="A32" s="79" t="s">
        <v>1698</v>
      </c>
      <c r="B32" s="79"/>
      <c r="C32" s="79" t="s">
        <v>361</v>
      </c>
      <c r="D32" s="66" t="s">
        <v>361</v>
      </c>
      <c r="E32" s="150" t="s">
        <v>1136</v>
      </c>
      <c r="F32" s="482" t="s">
        <v>1566</v>
      </c>
      <c r="G32" s="150" t="s">
        <v>1135</v>
      </c>
      <c r="H32" s="150" t="s">
        <v>1135</v>
      </c>
      <c r="I32" t="s">
        <v>1135</v>
      </c>
      <c r="J32" t="s">
        <v>1135</v>
      </c>
      <c r="K32" t="s">
        <v>1135</v>
      </c>
      <c r="L32" s="514" t="s">
        <v>342</v>
      </c>
      <c r="M32" s="395" t="s">
        <v>1699</v>
      </c>
      <c r="N32" s="343"/>
      <c r="O32" s="333"/>
      <c r="P32" s="70" t="s">
        <v>362</v>
      </c>
      <c r="Q32" s="347"/>
      <c r="R32" s="343"/>
      <c r="S32" s="348"/>
      <c r="T32" s="348"/>
      <c r="U32" s="348" t="s">
        <v>1700</v>
      </c>
      <c r="V32" s="646"/>
      <c r="W32" s="358"/>
      <c r="X32" s="358">
        <v>0</v>
      </c>
      <c r="Y32" s="669"/>
      <c r="Z32" s="657"/>
      <c r="AA32" s="714"/>
      <c r="AB32" s="429"/>
      <c r="AC32" s="429"/>
      <c r="AD32" s="429" t="s">
        <v>1142</v>
      </c>
      <c r="AE32" s="429">
        <v>0</v>
      </c>
      <c r="AF32" s="429">
        <v>0</v>
      </c>
      <c r="AG32" s="667"/>
      <c r="AH32" s="667"/>
      <c r="AI32" s="667"/>
      <c r="AJ32" s="667"/>
      <c r="AK32" s="667"/>
      <c r="AL32" s="667"/>
      <c r="AM32" s="664">
        <f t="shared" si="3"/>
        <v>0</v>
      </c>
      <c r="AN32" s="651">
        <f>ERP_27[[#This Row],[2026 Working Total]]-ERP_27[[#This Row],[LE2 Final Submission]]</f>
        <v>0</v>
      </c>
      <c r="AO32" s="665">
        <v>16084.39</v>
      </c>
      <c r="AP32" s="665">
        <f t="shared" si="2"/>
        <v>-16084.39</v>
      </c>
      <c r="AQ32" s="391">
        <f>SUM(ERP_27[[#This Row],[AP01]:[AP06]])-SUM(ERP_27[[#This Row],[AP01 LE2]:[AP06 LE2]])</f>
        <v>0</v>
      </c>
      <c r="AR32" s="670"/>
      <c r="AS32" s="665">
        <f>ERP_27[[#This Row],[2026 Working Total to Budget/LE]]-ERP_27[[#This Row],[Giveback]]</f>
        <v>0</v>
      </c>
      <c r="AT32" s="671"/>
      <c r="AU32" s="672"/>
      <c r="AV32" s="672"/>
      <c r="AW32" s="672"/>
      <c r="AX32" s="672">
        <v>-16084.39</v>
      </c>
      <c r="AY32" s="672">
        <v>16084.39</v>
      </c>
      <c r="AZ32" s="672"/>
      <c r="BA32" s="672"/>
      <c r="BB32" s="672"/>
      <c r="BC32" s="672"/>
      <c r="BD32" s="672"/>
      <c r="BE32" s="672"/>
      <c r="BF32" s="672"/>
      <c r="BG32" s="672">
        <v>0</v>
      </c>
      <c r="BH32" s="665"/>
      <c r="BI32" s="665"/>
      <c r="BJ32" s="665"/>
      <c r="BK32" s="665"/>
      <c r="BL32" s="665"/>
      <c r="BM32" s="665"/>
      <c r="BN32" s="665"/>
      <c r="BO32" s="665"/>
      <c r="BP32" s="665"/>
      <c r="BQ32" s="665"/>
      <c r="BR32" s="665"/>
      <c r="BS32" s="665"/>
      <c r="BT32" s="665"/>
    </row>
    <row r="33" spans="1:72" ht="15" hidden="1" customHeight="1">
      <c r="A33" s="79" t="s">
        <v>1751</v>
      </c>
      <c r="B33" s="79"/>
      <c r="C33" s="79" t="s">
        <v>390</v>
      </c>
      <c r="D33" s="296" t="s">
        <v>1752</v>
      </c>
      <c r="E33" s="150" t="s">
        <v>1136</v>
      </c>
      <c r="F33" s="482" t="s">
        <v>1566</v>
      </c>
      <c r="G33" s="150" t="s">
        <v>1135</v>
      </c>
      <c r="H33" s="383" t="s">
        <v>1165</v>
      </c>
      <c r="I33" s="332" t="s">
        <v>1135</v>
      </c>
      <c r="J33" s="383" t="s">
        <v>1165</v>
      </c>
      <c r="K33" s="150" t="s">
        <v>1137</v>
      </c>
      <c r="L33" s="512" t="s">
        <v>389</v>
      </c>
      <c r="M33" s="393" t="s">
        <v>1753</v>
      </c>
      <c r="N33" s="343"/>
      <c r="O33" s="333"/>
      <c r="P33" s="91" t="s">
        <v>391</v>
      </c>
      <c r="Q33" s="347"/>
      <c r="R33" s="343"/>
      <c r="S33" s="348"/>
      <c r="T33" s="386" t="s">
        <v>152</v>
      </c>
      <c r="U33" s="387" t="s">
        <v>1754</v>
      </c>
      <c r="V33" s="668"/>
      <c r="W33" s="358">
        <v>183105</v>
      </c>
      <c r="X33" s="660">
        <v>0</v>
      </c>
      <c r="Y33" s="669"/>
      <c r="Z33" s="657"/>
      <c r="AA33" s="716"/>
      <c r="AB33" s="718"/>
      <c r="AC33" s="718"/>
      <c r="AD33" s="429" t="s">
        <v>1142</v>
      </c>
      <c r="AE33" s="429">
        <v>0</v>
      </c>
      <c r="AF33" s="429">
        <v>0</v>
      </c>
      <c r="AG33" s="663"/>
      <c r="AH33" s="663"/>
      <c r="AI33" s="663"/>
      <c r="AJ33" s="663"/>
      <c r="AK33" s="663"/>
      <c r="AL33" s="663"/>
      <c r="AM33" s="664">
        <f t="shared" si="3"/>
        <v>0</v>
      </c>
      <c r="AN33" s="651">
        <f>ERP_27[[#This Row],[2026 Working Total]]-ERP_27[[#This Row],[LE2 Final Submission]]</f>
        <v>0</v>
      </c>
      <c r="AO33" s="665">
        <v>16071</v>
      </c>
      <c r="AP33" s="665">
        <f t="shared" si="2"/>
        <v>-16071</v>
      </c>
      <c r="AQ33" s="391">
        <f>SUM(ERP_27[[#This Row],[AP01]:[AP06]])-SUM(ERP_27[[#This Row],[AP01 LE2]:[AP06 LE2]])</f>
        <v>0</v>
      </c>
      <c r="AR33" s="670">
        <v>-183105</v>
      </c>
      <c r="AS33" s="665">
        <f>ERP_27[[#This Row],[2026 Working Total to Budget/LE]]-ERP_27[[#This Row],[Giveback]]</f>
        <v>183105</v>
      </c>
      <c r="AT33" s="671" t="s">
        <v>1755</v>
      </c>
      <c r="AU33" s="672"/>
      <c r="AV33" s="672"/>
      <c r="AW33" s="672"/>
      <c r="AX33" s="672"/>
      <c r="AY33" s="672"/>
      <c r="AZ33" s="672"/>
      <c r="BA33" s="672"/>
      <c r="BB33" s="672"/>
      <c r="BC33" s="672"/>
      <c r="BD33" s="672"/>
      <c r="BE33" s="672"/>
      <c r="BF33" s="672"/>
      <c r="BG33" s="672">
        <v>0</v>
      </c>
      <c r="BH33" s="666">
        <v>15258.75</v>
      </c>
      <c r="BI33" s="666">
        <v>15258.75</v>
      </c>
      <c r="BJ33" s="666">
        <v>15258.75</v>
      </c>
      <c r="BK33" s="666">
        <v>15258.75</v>
      </c>
      <c r="BL33" s="666">
        <v>15258.75</v>
      </c>
      <c r="BM33" s="666">
        <v>15258.75</v>
      </c>
      <c r="BN33" s="666">
        <v>15258.75</v>
      </c>
      <c r="BO33" s="666">
        <v>15258.75</v>
      </c>
      <c r="BP33" s="666">
        <v>15258.75</v>
      </c>
      <c r="BQ33" s="666">
        <v>15258.75</v>
      </c>
      <c r="BR33" s="666">
        <v>15258.75</v>
      </c>
      <c r="BS33" s="666">
        <v>15258.75</v>
      </c>
      <c r="BT33" s="665">
        <f>SUM(ERP_27[[#This Row],[2026 AP01]:[2026 AP12]])</f>
        <v>183105</v>
      </c>
    </row>
    <row r="34" spans="1:72" ht="15" hidden="1" customHeight="1">
      <c r="A34" s="66" t="s">
        <v>1784</v>
      </c>
      <c r="B34" s="66"/>
      <c r="C34" s="66" t="s">
        <v>2925</v>
      </c>
      <c r="D34" s="66" t="s">
        <v>1785</v>
      </c>
      <c r="E34" s="150" t="s">
        <v>1136</v>
      </c>
      <c r="F34" s="482" t="s">
        <v>1566</v>
      </c>
      <c r="G34" s="150" t="s">
        <v>1135</v>
      </c>
      <c r="H34" s="150" t="s">
        <v>1135</v>
      </c>
      <c r="I34" s="150" t="s">
        <v>1135</v>
      </c>
      <c r="J34" s="150" t="s">
        <v>1137</v>
      </c>
      <c r="K34" s="150" t="s">
        <v>1137</v>
      </c>
      <c r="L34" s="511" t="s">
        <v>389</v>
      </c>
      <c r="M34" s="392" t="s">
        <v>352</v>
      </c>
      <c r="N34" s="343"/>
      <c r="O34" s="343"/>
      <c r="P34" s="70" t="s">
        <v>352</v>
      </c>
      <c r="Q34" s="346" t="s">
        <v>1139</v>
      </c>
      <c r="R34" s="346" t="s">
        <v>1140</v>
      </c>
      <c r="S34" s="346"/>
      <c r="T34" s="150" t="s">
        <v>25</v>
      </c>
      <c r="U34" s="150"/>
      <c r="V34" s="643"/>
      <c r="W34" s="659">
        <v>0</v>
      </c>
      <c r="X34" s="659">
        <v>0</v>
      </c>
      <c r="Y34" s="669"/>
      <c r="Z34" s="657"/>
      <c r="AA34" s="714"/>
      <c r="AB34" s="429"/>
      <c r="AC34" s="429">
        <v>0</v>
      </c>
      <c r="AD34" s="429">
        <v>0</v>
      </c>
      <c r="AE34" s="429">
        <v>0</v>
      </c>
      <c r="AF34" s="429">
        <v>0</v>
      </c>
      <c r="AG34" s="667">
        <v>0</v>
      </c>
      <c r="AH34" s="667">
        <v>0</v>
      </c>
      <c r="AI34" s="667">
        <v>0</v>
      </c>
      <c r="AJ34" s="667">
        <v>0</v>
      </c>
      <c r="AK34" s="667">
        <v>0</v>
      </c>
      <c r="AL34" s="667">
        <v>0</v>
      </c>
      <c r="AM34" s="664">
        <f t="shared" si="3"/>
        <v>0</v>
      </c>
      <c r="AN34" s="651">
        <f>ERP_27[[#This Row],[2026 Working Total]]-ERP_27[[#This Row],[LE2 Final Submission]]</f>
        <v>0</v>
      </c>
      <c r="AO34" s="665">
        <v>0</v>
      </c>
      <c r="AP34" s="665">
        <f t="shared" si="2"/>
        <v>0</v>
      </c>
      <c r="AQ34" s="391">
        <f>SUM(ERP_27[[#This Row],[AP01]:[AP06]])-SUM(ERP_27[[#This Row],[AP01 LE2]:[AP06 LE2]])</f>
        <v>0</v>
      </c>
      <c r="AR34" s="670"/>
      <c r="AS34" s="665">
        <f>ERP_27[[#This Row],[2026 Working Total to Budget/LE]]-ERP_27[[#This Row],[Giveback]]</f>
        <v>0</v>
      </c>
      <c r="AT34" s="671"/>
      <c r="AU34" s="672"/>
      <c r="AV34" s="672"/>
      <c r="AW34" s="672">
        <v>0</v>
      </c>
      <c r="AX34" s="672">
        <v>0</v>
      </c>
      <c r="AY34" s="672">
        <v>0</v>
      </c>
      <c r="AZ34" s="672">
        <v>0</v>
      </c>
      <c r="BA34" s="672">
        <v>0</v>
      </c>
      <c r="BB34" s="672">
        <v>0</v>
      </c>
      <c r="BC34" s="672">
        <v>0</v>
      </c>
      <c r="BD34" s="672">
        <v>0</v>
      </c>
      <c r="BE34" s="672">
        <v>0</v>
      </c>
      <c r="BF34" s="672">
        <v>0</v>
      </c>
      <c r="BG34" s="672">
        <v>0</v>
      </c>
      <c r="BH34" s="665"/>
      <c r="BI34" s="665"/>
      <c r="BJ34" s="665">
        <v>0</v>
      </c>
      <c r="BK34" s="665">
        <v>0</v>
      </c>
      <c r="BL34" s="665">
        <v>0</v>
      </c>
      <c r="BM34" s="665">
        <v>0</v>
      </c>
      <c r="BN34" s="665">
        <v>0</v>
      </c>
      <c r="BO34" s="665">
        <v>0</v>
      </c>
      <c r="BP34" s="665">
        <v>0</v>
      </c>
      <c r="BQ34" s="665">
        <v>0</v>
      </c>
      <c r="BR34" s="665">
        <v>0</v>
      </c>
      <c r="BS34" s="665">
        <v>0</v>
      </c>
      <c r="BT34" s="665">
        <v>0</v>
      </c>
    </row>
    <row r="35" spans="1:72" ht="15" hidden="1" customHeight="1">
      <c r="A35" s="79" t="s">
        <v>1788</v>
      </c>
      <c r="B35" s="79"/>
      <c r="C35" s="79" t="s">
        <v>415</v>
      </c>
      <c r="D35" s="296" t="s">
        <v>415</v>
      </c>
      <c r="E35" s="150" t="s">
        <v>1136</v>
      </c>
      <c r="F35" s="482" t="s">
        <v>1566</v>
      </c>
      <c r="G35" s="150" t="s">
        <v>1135</v>
      </c>
      <c r="H35" s="150" t="s">
        <v>1135</v>
      </c>
      <c r="I35" t="s">
        <v>1135</v>
      </c>
      <c r="J35" t="s">
        <v>1135</v>
      </c>
      <c r="K35" t="s">
        <v>1135</v>
      </c>
      <c r="L35" s="514" t="s">
        <v>389</v>
      </c>
      <c r="M35" s="394" t="s">
        <v>1699</v>
      </c>
      <c r="N35" s="343"/>
      <c r="O35" s="333"/>
      <c r="P35" s="70" t="s">
        <v>362</v>
      </c>
      <c r="Q35" s="347"/>
      <c r="R35" s="343"/>
      <c r="S35" s="348"/>
      <c r="T35" s="348"/>
      <c r="U35" s="348" t="s">
        <v>1700</v>
      </c>
      <c r="V35" s="646"/>
      <c r="W35" s="358"/>
      <c r="X35" s="358">
        <v>0</v>
      </c>
      <c r="Y35" s="669"/>
      <c r="Z35" s="657"/>
      <c r="AA35" s="714"/>
      <c r="AB35" s="429"/>
      <c r="AC35" s="429"/>
      <c r="AD35" s="429" t="s">
        <v>1142</v>
      </c>
      <c r="AE35" s="429">
        <v>0</v>
      </c>
      <c r="AF35" s="429">
        <v>0</v>
      </c>
      <c r="AG35" s="667"/>
      <c r="AH35" s="667"/>
      <c r="AI35" s="667"/>
      <c r="AJ35" s="667"/>
      <c r="AK35" s="667"/>
      <c r="AL35" s="667"/>
      <c r="AM35" s="664">
        <f t="shared" si="3"/>
        <v>0</v>
      </c>
      <c r="AN35" s="651">
        <f>ERP_27[[#This Row],[2026 Working Total]]-ERP_27[[#This Row],[LE2 Final Submission]]</f>
        <v>0</v>
      </c>
      <c r="AO35" s="665">
        <v>9141.65</v>
      </c>
      <c r="AP35" s="665">
        <f t="shared" si="2"/>
        <v>-9141.65</v>
      </c>
      <c r="AQ35" s="391">
        <f>SUM(ERP_27[[#This Row],[AP01]:[AP06]])-SUM(ERP_27[[#This Row],[AP01 LE2]:[AP06 LE2]])</f>
        <v>0</v>
      </c>
      <c r="AR35" s="670"/>
      <c r="AS35" s="665">
        <f>ERP_27[[#This Row],[2026 Working Total to Budget/LE]]-ERP_27[[#This Row],[Giveback]]</f>
        <v>0</v>
      </c>
      <c r="AT35" s="671"/>
      <c r="AU35" s="672"/>
      <c r="AV35" s="672"/>
      <c r="AW35" s="672"/>
      <c r="AX35" s="672">
        <v>-9141.65</v>
      </c>
      <c r="AY35" s="672">
        <v>9141.65</v>
      </c>
      <c r="AZ35" s="672"/>
      <c r="BA35" s="672"/>
      <c r="BB35" s="672"/>
      <c r="BC35" s="672"/>
      <c r="BD35" s="672"/>
      <c r="BE35" s="672"/>
      <c r="BF35" s="672"/>
      <c r="BG35" s="672">
        <v>0</v>
      </c>
      <c r="BH35" s="665"/>
      <c r="BI35" s="665"/>
      <c r="BJ35" s="665"/>
      <c r="BK35" s="665"/>
      <c r="BL35" s="665"/>
      <c r="BM35" s="665"/>
      <c r="BN35" s="665"/>
      <c r="BO35" s="665"/>
      <c r="BP35" s="665"/>
      <c r="BQ35" s="665"/>
      <c r="BR35" s="665"/>
      <c r="BS35" s="665"/>
      <c r="BT35" s="665"/>
    </row>
    <row r="36" spans="1:72" ht="15" hidden="1" customHeight="1">
      <c r="A36" s="66" t="s">
        <v>1925</v>
      </c>
      <c r="B36" s="66"/>
      <c r="C36" s="66" t="s">
        <v>472</v>
      </c>
      <c r="D36" s="66" t="s">
        <v>1926</v>
      </c>
      <c r="E36" s="150" t="s">
        <v>1136</v>
      </c>
      <c r="F36" s="482" t="s">
        <v>1566</v>
      </c>
      <c r="G36" s="150" t="s">
        <v>1135</v>
      </c>
      <c r="H36" s="150" t="s">
        <v>1165</v>
      </c>
      <c r="I36" s="150" t="s">
        <v>1135</v>
      </c>
      <c r="J36" s="150" t="s">
        <v>1165</v>
      </c>
      <c r="K36" s="150" t="s">
        <v>1137</v>
      </c>
      <c r="L36" s="511" t="s">
        <v>389</v>
      </c>
      <c r="M36" s="392" t="s">
        <v>1927</v>
      </c>
      <c r="N36" s="343"/>
      <c r="O36" s="343"/>
      <c r="P36" s="70" t="s">
        <v>473</v>
      </c>
      <c r="Q36" s="346"/>
      <c r="R36" s="343"/>
      <c r="S36" s="346"/>
      <c r="T36" s="150" t="s">
        <v>25</v>
      </c>
      <c r="U36" s="150" t="s">
        <v>1928</v>
      </c>
      <c r="V36" s="643"/>
      <c r="W36" s="659">
        <v>123538.99999999999</v>
      </c>
      <c r="X36" s="659">
        <v>0</v>
      </c>
      <c r="Y36" s="669"/>
      <c r="Z36" s="657"/>
      <c r="AA36" s="714"/>
      <c r="AB36" s="429"/>
      <c r="AC36" s="429"/>
      <c r="AD36" s="429" t="s">
        <v>1142</v>
      </c>
      <c r="AE36" s="429">
        <v>0</v>
      </c>
      <c r="AF36" s="429">
        <v>0</v>
      </c>
      <c r="AG36" s="667">
        <v>0</v>
      </c>
      <c r="AH36" s="667">
        <f>88117-88117</f>
        <v>0</v>
      </c>
      <c r="AI36" s="667">
        <v>0</v>
      </c>
      <c r="AJ36" s="667">
        <v>0</v>
      </c>
      <c r="AK36" s="667">
        <v>0</v>
      </c>
      <c r="AL36" s="667">
        <v>0</v>
      </c>
      <c r="AM36" s="664">
        <f t="shared" si="3"/>
        <v>0</v>
      </c>
      <c r="AN36" s="651">
        <f>ERP_27[[#This Row],[2026 Working Total]]-ERP_27[[#This Row],[LE2 Final Submission]]</f>
        <v>0</v>
      </c>
      <c r="AO36" s="665">
        <v>0</v>
      </c>
      <c r="AP36" s="665">
        <f t="shared" si="2"/>
        <v>0</v>
      </c>
      <c r="AQ36" s="391">
        <f>SUM(ERP_27[[#This Row],[AP01]:[AP06]])-SUM(ERP_27[[#This Row],[AP01 LE2]:[AP06 LE2]])</f>
        <v>0</v>
      </c>
      <c r="AR36" s="670"/>
      <c r="AS36" s="665">
        <f>ERP_27[[#This Row],[2026 Working Total to Budget/LE]]-ERP_27[[#This Row],[Giveback]]</f>
        <v>0</v>
      </c>
      <c r="AT36" s="671" t="s">
        <v>1929</v>
      </c>
      <c r="AU36" s="672"/>
      <c r="AV36" s="672"/>
      <c r="AW36" s="672"/>
      <c r="AX36" s="672">
        <v>0</v>
      </c>
      <c r="AY36" s="672">
        <v>0</v>
      </c>
      <c r="AZ36" s="672">
        <v>0</v>
      </c>
      <c r="BA36" s="672">
        <v>0</v>
      </c>
      <c r="BB36" s="672">
        <v>0</v>
      </c>
      <c r="BC36" s="672">
        <v>0</v>
      </c>
      <c r="BD36" s="672">
        <v>0</v>
      </c>
      <c r="BE36" s="672">
        <v>0</v>
      </c>
      <c r="BF36" s="672">
        <v>0</v>
      </c>
      <c r="BG36" s="672">
        <v>0</v>
      </c>
      <c r="BH36" s="665"/>
      <c r="BI36" s="665"/>
      <c r="BJ36" s="665"/>
      <c r="BK36" s="665">
        <v>10294.92</v>
      </c>
      <c r="BL36" s="665">
        <v>10294.92</v>
      </c>
      <c r="BM36" s="665">
        <v>10294.92</v>
      </c>
      <c r="BN36" s="665">
        <v>10294.92</v>
      </c>
      <c r="BO36" s="665">
        <v>10294.92</v>
      </c>
      <c r="BP36" s="665">
        <v>10294.92</v>
      </c>
      <c r="BQ36" s="665">
        <v>10294.92</v>
      </c>
      <c r="BR36" s="665">
        <v>10294.92</v>
      </c>
      <c r="BS36" s="665">
        <v>10294.92</v>
      </c>
      <c r="BT36" s="665">
        <v>92654.28</v>
      </c>
    </row>
    <row r="37" spans="1:72" ht="15" hidden="1" customHeight="1">
      <c r="A37" s="66" t="s">
        <v>1930</v>
      </c>
      <c r="B37" s="66"/>
      <c r="C37" s="66" t="s">
        <v>474</v>
      </c>
      <c r="D37" s="66" t="s">
        <v>1931</v>
      </c>
      <c r="E37" s="150" t="s">
        <v>1136</v>
      </c>
      <c r="F37" s="482" t="s">
        <v>1566</v>
      </c>
      <c r="G37" s="150" t="s">
        <v>1135</v>
      </c>
      <c r="H37" s="150" t="s">
        <v>1165</v>
      </c>
      <c r="I37" s="150" t="s">
        <v>1135</v>
      </c>
      <c r="J37" s="150" t="s">
        <v>1165</v>
      </c>
      <c r="K37" s="150" t="s">
        <v>1137</v>
      </c>
      <c r="L37" s="511" t="s">
        <v>389</v>
      </c>
      <c r="M37" s="392" t="s">
        <v>1932</v>
      </c>
      <c r="N37" s="343"/>
      <c r="O37" s="343"/>
      <c r="P37" s="70" t="s">
        <v>475</v>
      </c>
      <c r="Q37" s="346"/>
      <c r="R37" s="343"/>
      <c r="S37" s="346"/>
      <c r="T37" s="150" t="s">
        <v>25</v>
      </c>
      <c r="U37" s="150"/>
      <c r="V37" s="643"/>
      <c r="W37" s="659">
        <v>26400</v>
      </c>
      <c r="X37" s="659">
        <v>0</v>
      </c>
      <c r="Y37" s="669"/>
      <c r="Z37" s="657"/>
      <c r="AA37" s="714"/>
      <c r="AB37" s="429"/>
      <c r="AC37" s="429"/>
      <c r="AD37" s="429" t="s">
        <v>1142</v>
      </c>
      <c r="AE37" s="429">
        <v>0</v>
      </c>
      <c r="AF37" s="429">
        <v>0</v>
      </c>
      <c r="AG37" s="667">
        <v>0</v>
      </c>
      <c r="AH37" s="667">
        <v>0</v>
      </c>
      <c r="AI37" s="667">
        <v>0</v>
      </c>
      <c r="AJ37" s="667">
        <v>0</v>
      </c>
      <c r="AK37" s="667">
        <v>0</v>
      </c>
      <c r="AL37" s="667">
        <v>0</v>
      </c>
      <c r="AM37" s="664">
        <f t="shared" si="3"/>
        <v>0</v>
      </c>
      <c r="AN37" s="651">
        <f>ERP_27[[#This Row],[2026 Working Total]]-ERP_27[[#This Row],[LE2 Final Submission]]</f>
        <v>0</v>
      </c>
      <c r="AO37" s="665">
        <v>0</v>
      </c>
      <c r="AP37" s="665">
        <f t="shared" si="2"/>
        <v>0</v>
      </c>
      <c r="AQ37" s="391">
        <f>SUM(ERP_27[[#This Row],[AP01]:[AP06]])-SUM(ERP_27[[#This Row],[AP01 LE2]:[AP06 LE2]])</f>
        <v>0</v>
      </c>
      <c r="AR37" s="670">
        <v>-26400</v>
      </c>
      <c r="AS37" s="665">
        <f>ERP_27[[#This Row],[2026 Working Total to Budget/LE]]-ERP_27[[#This Row],[Giveback]]</f>
        <v>26400</v>
      </c>
      <c r="AT37" s="671"/>
      <c r="AU37" s="672"/>
      <c r="AV37" s="672"/>
      <c r="AW37" s="672"/>
      <c r="AX37" s="672">
        <v>0</v>
      </c>
      <c r="AY37" s="672">
        <v>0</v>
      </c>
      <c r="AZ37" s="672">
        <v>0</v>
      </c>
      <c r="BA37" s="672">
        <v>0</v>
      </c>
      <c r="BB37" s="672">
        <v>0</v>
      </c>
      <c r="BC37" s="672">
        <v>0</v>
      </c>
      <c r="BD37" s="672">
        <v>0</v>
      </c>
      <c r="BE37" s="672">
        <v>0</v>
      </c>
      <c r="BF37" s="672">
        <v>0</v>
      </c>
      <c r="BG37" s="672">
        <v>0</v>
      </c>
      <c r="BH37" s="665"/>
      <c r="BI37" s="665"/>
      <c r="BJ37" s="665"/>
      <c r="BK37" s="665">
        <v>2200</v>
      </c>
      <c r="BL37" s="665">
        <v>2200</v>
      </c>
      <c r="BM37" s="665">
        <v>2200</v>
      </c>
      <c r="BN37" s="665">
        <v>2200</v>
      </c>
      <c r="BO37" s="665">
        <v>2200</v>
      </c>
      <c r="BP37" s="665">
        <v>2200</v>
      </c>
      <c r="BQ37" s="665">
        <v>2200</v>
      </c>
      <c r="BR37" s="665">
        <v>2200</v>
      </c>
      <c r="BS37" s="665">
        <v>2200</v>
      </c>
      <c r="BT37" s="665">
        <v>19800</v>
      </c>
    </row>
    <row r="38" spans="1:72" ht="15" hidden="1" customHeight="1">
      <c r="A38" s="79" t="s">
        <v>2225</v>
      </c>
      <c r="B38" s="79"/>
      <c r="C38" s="79" t="s">
        <v>653</v>
      </c>
      <c r="D38" s="296" t="s">
        <v>2226</v>
      </c>
      <c r="E38" s="150" t="s">
        <v>1136</v>
      </c>
      <c r="F38" s="482" t="s">
        <v>1566</v>
      </c>
      <c r="G38" s="150" t="s">
        <v>1135</v>
      </c>
      <c r="H38" s="383" t="s">
        <v>1156</v>
      </c>
      <c r="I38" s="332" t="s">
        <v>1135</v>
      </c>
      <c r="J38" s="383" t="s">
        <v>1156</v>
      </c>
      <c r="K38" s="333" t="s">
        <v>1137</v>
      </c>
      <c r="L38" s="512" t="s">
        <v>639</v>
      </c>
      <c r="M38" s="393" t="s">
        <v>2227</v>
      </c>
      <c r="N38" s="343"/>
      <c r="O38" s="333"/>
      <c r="P38" s="91" t="s">
        <v>654</v>
      </c>
      <c r="Q38" s="347"/>
      <c r="R38" s="343"/>
      <c r="S38" s="348"/>
      <c r="T38" s="386" t="s">
        <v>655</v>
      </c>
      <c r="U38" s="387" t="s">
        <v>2228</v>
      </c>
      <c r="V38" s="668"/>
      <c r="W38" s="358">
        <v>282999.99999599991</v>
      </c>
      <c r="X38" s="660">
        <v>0</v>
      </c>
      <c r="Y38" s="669"/>
      <c r="Z38" s="657"/>
      <c r="AA38" s="716"/>
      <c r="AB38" s="718"/>
      <c r="AC38" s="718"/>
      <c r="AD38" s="429" t="s">
        <v>1142</v>
      </c>
      <c r="AE38" s="429">
        <v>0</v>
      </c>
      <c r="AF38" s="429">
        <v>0</v>
      </c>
      <c r="AG38" s="663">
        <v>0</v>
      </c>
      <c r="AH38" s="663">
        <v>0</v>
      </c>
      <c r="AI38" s="663">
        <v>0</v>
      </c>
      <c r="AJ38" s="663">
        <v>0</v>
      </c>
      <c r="AK38" s="663">
        <v>0</v>
      </c>
      <c r="AL38" s="663">
        <v>0</v>
      </c>
      <c r="AM38" s="664">
        <f t="shared" si="3"/>
        <v>0</v>
      </c>
      <c r="AN38" s="651">
        <f>ERP_27[[#This Row],[2026 Working Total]]-ERP_27[[#This Row],[LE2 Final Submission]]</f>
        <v>0</v>
      </c>
      <c r="AO38" s="665"/>
      <c r="AP38" s="665">
        <f t="shared" si="2"/>
        <v>0</v>
      </c>
      <c r="AQ38" s="391">
        <f>SUM(ERP_27[[#This Row],[AP01]:[AP06]])-SUM(ERP_27[[#This Row],[AP01 LE2]:[AP06 LE2]])</f>
        <v>0</v>
      </c>
      <c r="AR38" s="670">
        <v>-283000</v>
      </c>
      <c r="AS38" s="665">
        <f>ERP_27[[#This Row],[2026 Working Total to Budget/LE]]-ERP_27[[#This Row],[Giveback]]</f>
        <v>283000</v>
      </c>
      <c r="AT38" s="673" t="s">
        <v>2229</v>
      </c>
      <c r="AU38" s="674"/>
      <c r="AV38" s="674"/>
      <c r="AW38" s="674"/>
      <c r="AX38" s="674">
        <v>0</v>
      </c>
      <c r="AY38" s="674">
        <v>0</v>
      </c>
      <c r="AZ38" s="674">
        <v>0</v>
      </c>
      <c r="BA38" s="674">
        <v>0</v>
      </c>
      <c r="BB38" s="674">
        <v>0</v>
      </c>
      <c r="BC38" s="674">
        <v>0</v>
      </c>
      <c r="BD38" s="674">
        <v>0</v>
      </c>
      <c r="BE38" s="674">
        <v>0</v>
      </c>
      <c r="BF38" s="674">
        <v>0</v>
      </c>
      <c r="BG38" s="674">
        <v>0</v>
      </c>
      <c r="BH38" s="666">
        <v>23583.333332999999</v>
      </c>
      <c r="BI38" s="666">
        <v>23583.333332999999</v>
      </c>
      <c r="BJ38" s="666">
        <v>23583.333332999999</v>
      </c>
      <c r="BK38" s="666">
        <v>23583.333332999999</v>
      </c>
      <c r="BL38" s="666">
        <v>23583.333332999999</v>
      </c>
      <c r="BM38" s="666">
        <v>23583.333332999999</v>
      </c>
      <c r="BN38" s="666">
        <v>23583.333332999999</v>
      </c>
      <c r="BO38" s="666">
        <v>23583.333332999999</v>
      </c>
      <c r="BP38" s="666">
        <v>23583.333332999999</v>
      </c>
      <c r="BQ38" s="666">
        <v>23583.333332999999</v>
      </c>
      <c r="BR38" s="666">
        <v>23583.333332999999</v>
      </c>
      <c r="BS38" s="666">
        <v>23583.333332999999</v>
      </c>
      <c r="BT38" s="665">
        <f>SUM(ERP_27[[#This Row],[2026 AP01]:[2026 AP12]])</f>
        <v>282999.99999599991</v>
      </c>
    </row>
    <row r="39" spans="1:72" ht="15" hidden="1" customHeight="1">
      <c r="A39" s="79" t="s">
        <v>2247</v>
      </c>
      <c r="B39" s="79"/>
      <c r="C39" s="79" t="s">
        <v>666</v>
      </c>
      <c r="D39" s="296" t="s">
        <v>666</v>
      </c>
      <c r="E39" s="150" t="s">
        <v>1136</v>
      </c>
      <c r="F39" s="482" t="s">
        <v>1566</v>
      </c>
      <c r="G39" s="150" t="s">
        <v>1135</v>
      </c>
      <c r="H39" s="150" t="s">
        <v>1135</v>
      </c>
      <c r="I39" t="s">
        <v>1135</v>
      </c>
      <c r="J39" t="s">
        <v>1135</v>
      </c>
      <c r="K39" t="s">
        <v>1135</v>
      </c>
      <c r="L39" s="514" t="s">
        <v>639</v>
      </c>
      <c r="M39" s="394" t="s">
        <v>1699</v>
      </c>
      <c r="N39" s="343"/>
      <c r="O39" s="333"/>
      <c r="P39" s="70" t="s">
        <v>362</v>
      </c>
      <c r="Q39" s="347"/>
      <c r="R39" s="343"/>
      <c r="S39" s="348"/>
      <c r="T39" s="348"/>
      <c r="U39" s="348" t="s">
        <v>1700</v>
      </c>
      <c r="V39" s="646"/>
      <c r="W39" s="358"/>
      <c r="X39" s="358">
        <v>0</v>
      </c>
      <c r="Y39" s="669"/>
      <c r="Z39" s="657"/>
      <c r="AA39" s="714"/>
      <c r="AB39" s="429"/>
      <c r="AC39" s="429"/>
      <c r="AD39" s="429" t="s">
        <v>1142</v>
      </c>
      <c r="AE39" s="429">
        <v>0</v>
      </c>
      <c r="AF39" s="429">
        <v>0</v>
      </c>
      <c r="AG39" s="667"/>
      <c r="AH39" s="667"/>
      <c r="AI39" s="667"/>
      <c r="AJ39" s="667"/>
      <c r="AK39" s="667"/>
      <c r="AL39" s="667"/>
      <c r="AM39" s="664">
        <f t="shared" si="3"/>
        <v>0</v>
      </c>
      <c r="AN39" s="651">
        <f>ERP_27[[#This Row],[2026 Working Total]]-ERP_27[[#This Row],[LE2 Final Submission]]</f>
        <v>0</v>
      </c>
      <c r="AO39" s="665">
        <v>84081.45</v>
      </c>
      <c r="AP39" s="665">
        <f t="shared" si="2"/>
        <v>-84081.45</v>
      </c>
      <c r="AQ39" s="391">
        <f>SUM(ERP_27[[#This Row],[AP01]:[AP06]])-SUM(ERP_27[[#This Row],[AP01 LE2]:[AP06 LE2]])</f>
        <v>0</v>
      </c>
      <c r="AR39" s="670"/>
      <c r="AS39" s="665">
        <f>ERP_27[[#This Row],[2026 Working Total to Budget/LE]]-ERP_27[[#This Row],[Giveback]]</f>
        <v>0</v>
      </c>
      <c r="AT39" s="671"/>
      <c r="AU39" s="672"/>
      <c r="AV39" s="672"/>
      <c r="AW39" s="672"/>
      <c r="AX39" s="672">
        <v>-84081.45</v>
      </c>
      <c r="AY39" s="672">
        <v>84081.45</v>
      </c>
      <c r="AZ39" s="672"/>
      <c r="BA39" s="672"/>
      <c r="BB39" s="672"/>
      <c r="BC39" s="672"/>
      <c r="BD39" s="672"/>
      <c r="BE39" s="672"/>
      <c r="BF39" s="672"/>
      <c r="BG39" s="672">
        <v>0</v>
      </c>
      <c r="BH39" s="665"/>
      <c r="BI39" s="665"/>
      <c r="BJ39" s="665"/>
      <c r="BK39" s="665"/>
      <c r="BL39" s="665"/>
      <c r="BM39" s="665"/>
      <c r="BN39" s="665"/>
      <c r="BO39" s="665"/>
      <c r="BP39" s="665"/>
      <c r="BQ39" s="665"/>
      <c r="BR39" s="665"/>
      <c r="BS39" s="665"/>
      <c r="BT39" s="665"/>
    </row>
    <row r="40" spans="1:72" ht="15" hidden="1" customHeight="1">
      <c r="A40" s="66" t="s">
        <v>2867</v>
      </c>
      <c r="B40" s="66"/>
      <c r="C40" s="66" t="s">
        <v>30</v>
      </c>
      <c r="D40" s="66" t="s">
        <v>30</v>
      </c>
      <c r="E40" s="150" t="s">
        <v>1136</v>
      </c>
      <c r="F40" s="482" t="s">
        <v>1566</v>
      </c>
      <c r="G40" s="383" t="s">
        <v>1344</v>
      </c>
      <c r="H40" s="383" t="s">
        <v>1344</v>
      </c>
      <c r="I40" s="150" t="s">
        <v>1345</v>
      </c>
      <c r="J40" s="150" t="s">
        <v>1344</v>
      </c>
      <c r="K40" s="150" t="s">
        <v>1346</v>
      </c>
      <c r="L40" s="511" t="s">
        <v>22</v>
      </c>
      <c r="M40" s="392" t="s">
        <v>2868</v>
      </c>
      <c r="N40" s="343"/>
      <c r="O40" s="343"/>
      <c r="P40" s="70" t="s">
        <v>24</v>
      </c>
      <c r="Q40" s="346" t="s">
        <v>1139</v>
      </c>
      <c r="R40" s="346" t="s">
        <v>1140</v>
      </c>
      <c r="S40" s="346"/>
      <c r="T40" s="150" t="s">
        <v>25</v>
      </c>
      <c r="U40" s="150"/>
      <c r="V40" s="643"/>
      <c r="W40" s="659">
        <v>0</v>
      </c>
      <c r="X40" s="659">
        <v>0</v>
      </c>
      <c r="Y40" s="669"/>
      <c r="Z40" s="657"/>
      <c r="AA40" s="714"/>
      <c r="AB40" s="429"/>
      <c r="AC40" s="429"/>
      <c r="AD40" s="429" t="s">
        <v>1142</v>
      </c>
      <c r="AE40" s="429">
        <v>0</v>
      </c>
      <c r="AF40" s="429">
        <v>0</v>
      </c>
      <c r="AG40" s="667">
        <v>0</v>
      </c>
      <c r="AH40" s="667">
        <v>0</v>
      </c>
      <c r="AI40" s="667">
        <v>0</v>
      </c>
      <c r="AJ40" s="667">
        <v>0</v>
      </c>
      <c r="AK40" s="667">
        <v>0</v>
      </c>
      <c r="AL40" s="667">
        <v>0</v>
      </c>
      <c r="AM40" s="664">
        <f t="shared" si="3"/>
        <v>0</v>
      </c>
      <c r="AN40" s="651">
        <f>ERP_27[[#This Row],[2026 Working Total]]-ERP_27[[#This Row],[LE2 Final Submission]]</f>
        <v>0</v>
      </c>
      <c r="AO40" s="665">
        <v>0</v>
      </c>
      <c r="AP40" s="665">
        <f t="shared" si="2"/>
        <v>0</v>
      </c>
      <c r="AQ40" s="391">
        <f>SUM(ERP_27[[#This Row],[AP01]:[AP06]])-SUM(ERP_27[[#This Row],[AP01 LE2]:[AP06 LE2]])</f>
        <v>0</v>
      </c>
      <c r="AR40" s="670"/>
      <c r="AS40" s="665">
        <f>ERP_27[[#This Row],[2026 Working Total to Budget/LE]]-ERP_27[[#This Row],[Giveback]]</f>
        <v>0</v>
      </c>
      <c r="AT40" s="671"/>
      <c r="AU40" s="672"/>
      <c r="AV40" s="672"/>
      <c r="AW40" s="672"/>
      <c r="AX40" s="672">
        <v>0</v>
      </c>
      <c r="AY40" s="672">
        <v>0</v>
      </c>
      <c r="AZ40" s="672">
        <v>0</v>
      </c>
      <c r="BA40" s="672">
        <v>0</v>
      </c>
      <c r="BB40" s="672">
        <v>0</v>
      </c>
      <c r="BC40" s="672">
        <v>0</v>
      </c>
      <c r="BD40" s="672">
        <v>0</v>
      </c>
      <c r="BE40" s="672">
        <v>0</v>
      </c>
      <c r="BF40" s="672">
        <v>0</v>
      </c>
      <c r="BG40" s="672">
        <v>0</v>
      </c>
      <c r="BH40" s="665">
        <v>3835.35</v>
      </c>
      <c r="BI40" s="665">
        <v>2416.25</v>
      </c>
      <c r="BJ40" s="665">
        <v>3735.66</v>
      </c>
      <c r="BK40" s="665">
        <v>0</v>
      </c>
      <c r="BL40" s="665">
        <v>0</v>
      </c>
      <c r="BM40" s="665">
        <v>0</v>
      </c>
      <c r="BN40" s="665">
        <v>0</v>
      </c>
      <c r="BO40" s="665">
        <v>0</v>
      </c>
      <c r="BP40" s="665">
        <v>0</v>
      </c>
      <c r="BQ40" s="665">
        <v>0</v>
      </c>
      <c r="BR40" s="665">
        <v>0</v>
      </c>
      <c r="BS40" s="665">
        <v>0</v>
      </c>
      <c r="BT40" s="665">
        <v>9987.26</v>
      </c>
    </row>
    <row r="41" spans="1:72" ht="15" hidden="1" customHeight="1">
      <c r="A41" s="66" t="s">
        <v>2869</v>
      </c>
      <c r="B41" s="66"/>
      <c r="C41" s="66" t="s">
        <v>31</v>
      </c>
      <c r="D41" s="66" t="s">
        <v>31</v>
      </c>
      <c r="E41" s="150" t="s">
        <v>1136</v>
      </c>
      <c r="F41" s="482" t="s">
        <v>1566</v>
      </c>
      <c r="G41" s="383" t="s">
        <v>1344</v>
      </c>
      <c r="H41" s="383" t="s">
        <v>1344</v>
      </c>
      <c r="I41" s="150" t="s">
        <v>1345</v>
      </c>
      <c r="J41" s="150" t="s">
        <v>1344</v>
      </c>
      <c r="K41" s="150" t="s">
        <v>1346</v>
      </c>
      <c r="L41" s="511" t="s">
        <v>22</v>
      </c>
      <c r="M41" s="392" t="s">
        <v>2870</v>
      </c>
      <c r="N41" s="343"/>
      <c r="O41" s="343"/>
      <c r="P41" s="70" t="s">
        <v>27</v>
      </c>
      <c r="Q41" s="346" t="s">
        <v>1139</v>
      </c>
      <c r="R41" s="346" t="s">
        <v>1140</v>
      </c>
      <c r="S41" s="346"/>
      <c r="T41" s="150" t="s">
        <v>25</v>
      </c>
      <c r="U41" s="150"/>
      <c r="V41" s="643"/>
      <c r="W41" s="659">
        <v>0</v>
      </c>
      <c r="X41" s="659">
        <v>0</v>
      </c>
      <c r="Y41" s="669"/>
      <c r="Z41" s="657"/>
      <c r="AA41" s="714"/>
      <c r="AB41" s="429"/>
      <c r="AC41" s="429"/>
      <c r="AD41" s="429" t="s">
        <v>1142</v>
      </c>
      <c r="AE41" s="429">
        <v>0</v>
      </c>
      <c r="AF41" s="429">
        <v>0</v>
      </c>
      <c r="AG41" s="667">
        <v>0</v>
      </c>
      <c r="AH41" s="667">
        <v>0</v>
      </c>
      <c r="AI41" s="667">
        <v>0</v>
      </c>
      <c r="AJ41" s="667">
        <v>0</v>
      </c>
      <c r="AK41" s="667">
        <v>0</v>
      </c>
      <c r="AL41" s="667">
        <v>0</v>
      </c>
      <c r="AM41" s="664">
        <f t="shared" si="3"/>
        <v>0</v>
      </c>
      <c r="AN41" s="651">
        <f>ERP_27[[#This Row],[2026 Working Total]]-ERP_27[[#This Row],[LE2 Final Submission]]</f>
        <v>0</v>
      </c>
      <c r="AO41" s="665">
        <v>0</v>
      </c>
      <c r="AP41" s="665">
        <f t="shared" si="2"/>
        <v>0</v>
      </c>
      <c r="AQ41" s="391">
        <f>SUM(ERP_27[[#This Row],[AP01]:[AP06]])-SUM(ERP_27[[#This Row],[AP01 LE2]:[AP06 LE2]])</f>
        <v>0</v>
      </c>
      <c r="AR41" s="670"/>
      <c r="AS41" s="665">
        <f>ERP_27[[#This Row],[2026 Working Total to Budget/LE]]-ERP_27[[#This Row],[Giveback]]</f>
        <v>0</v>
      </c>
      <c r="AT41" s="671"/>
      <c r="AU41" s="672"/>
      <c r="AV41" s="672"/>
      <c r="AW41" s="672"/>
      <c r="AX41" s="672">
        <v>0</v>
      </c>
      <c r="AY41" s="672">
        <v>0</v>
      </c>
      <c r="AZ41" s="672">
        <v>0</v>
      </c>
      <c r="BA41" s="672">
        <v>0</v>
      </c>
      <c r="BB41" s="672">
        <v>0</v>
      </c>
      <c r="BC41" s="672">
        <v>0</v>
      </c>
      <c r="BD41" s="672">
        <v>0</v>
      </c>
      <c r="BE41" s="672">
        <v>0</v>
      </c>
      <c r="BF41" s="672">
        <v>0</v>
      </c>
      <c r="BG41" s="672">
        <v>0</v>
      </c>
      <c r="BH41" s="665">
        <v>3779.53</v>
      </c>
      <c r="BI41" s="665">
        <v>7255.22</v>
      </c>
      <c r="BJ41" s="665">
        <v>5363.84</v>
      </c>
      <c r="BK41" s="665">
        <v>0</v>
      </c>
      <c r="BL41" s="665">
        <v>0</v>
      </c>
      <c r="BM41" s="665">
        <v>0</v>
      </c>
      <c r="BN41" s="665">
        <v>0</v>
      </c>
      <c r="BO41" s="665">
        <v>0</v>
      </c>
      <c r="BP41" s="665">
        <v>0</v>
      </c>
      <c r="BQ41" s="665">
        <v>0</v>
      </c>
      <c r="BR41" s="665">
        <v>0</v>
      </c>
      <c r="BS41" s="665">
        <v>0</v>
      </c>
      <c r="BT41" s="665">
        <v>16398.59</v>
      </c>
    </row>
    <row r="42" spans="1:72" ht="15" hidden="1" customHeight="1">
      <c r="A42" s="66" t="s">
        <v>2505</v>
      </c>
      <c r="B42" s="66"/>
      <c r="C42" s="66" t="s">
        <v>837</v>
      </c>
      <c r="D42" s="66" t="s">
        <v>837</v>
      </c>
      <c r="E42" s="150" t="s">
        <v>1136</v>
      </c>
      <c r="F42" s="482" t="s">
        <v>1566</v>
      </c>
      <c r="G42" s="150" t="s">
        <v>1135</v>
      </c>
      <c r="H42" s="150" t="s">
        <v>1135</v>
      </c>
      <c r="I42" s="150" t="s">
        <v>1135</v>
      </c>
      <c r="J42" s="150" t="s">
        <v>1135</v>
      </c>
      <c r="K42" s="150" t="s">
        <v>1137</v>
      </c>
      <c r="L42" s="511" t="s">
        <v>639</v>
      </c>
      <c r="M42" s="392" t="s">
        <v>2506</v>
      </c>
      <c r="N42" s="343"/>
      <c r="O42" s="343"/>
      <c r="P42" s="70" t="s">
        <v>838</v>
      </c>
      <c r="Q42" s="346"/>
      <c r="R42" s="343"/>
      <c r="S42" s="346"/>
      <c r="T42" s="150" t="s">
        <v>605</v>
      </c>
      <c r="U42" s="150"/>
      <c r="V42" s="643"/>
      <c r="W42" s="659">
        <v>107212</v>
      </c>
      <c r="X42" s="659">
        <v>107212</v>
      </c>
      <c r="Y42" s="669"/>
      <c r="Z42" s="657"/>
      <c r="AA42" s="714"/>
      <c r="AB42" s="429"/>
      <c r="AC42" s="429"/>
      <c r="AD42" s="429" t="s">
        <v>1142</v>
      </c>
      <c r="AE42" s="429">
        <v>0</v>
      </c>
      <c r="AF42" s="429">
        <v>0</v>
      </c>
      <c r="AG42" s="667">
        <v>0</v>
      </c>
      <c r="AH42" s="667">
        <v>0</v>
      </c>
      <c r="AI42" s="667">
        <v>0</v>
      </c>
      <c r="AJ42" s="667">
        <v>0</v>
      </c>
      <c r="AK42" s="667">
        <v>0</v>
      </c>
      <c r="AL42" s="667">
        <v>0</v>
      </c>
      <c r="AM42" s="675">
        <f t="shared" si="3"/>
        <v>0</v>
      </c>
      <c r="AN42" s="676">
        <f>ERP_27[[#This Row],[2026 Working Total]]-ERP_27[[#This Row],[LE2 Final Submission]]</f>
        <v>-107212</v>
      </c>
      <c r="AO42" s="665">
        <v>107212</v>
      </c>
      <c r="AP42" s="665">
        <f t="shared" si="2"/>
        <v>-107212</v>
      </c>
      <c r="AQ42" s="391">
        <f>SUM(ERP_27[[#This Row],[AP01]:[AP06]])-SUM(ERP_27[[#This Row],[AP01 LE2]:[AP06 LE2]])</f>
        <v>-107212</v>
      </c>
      <c r="AR42" s="670"/>
      <c r="AS42" s="665">
        <f>ERP_27[[#This Row],[2026 Working Total to Budget/LE]]-ERP_27[[#This Row],[Giveback]]</f>
        <v>-107212</v>
      </c>
      <c r="AT42" s="671"/>
      <c r="AU42" s="672"/>
      <c r="AV42" s="672"/>
      <c r="AW42" s="672"/>
      <c r="AX42" s="672"/>
      <c r="AY42" s="672">
        <v>107212</v>
      </c>
      <c r="AZ42" s="672">
        <v>0</v>
      </c>
      <c r="BA42" s="672">
        <v>0</v>
      </c>
      <c r="BB42" s="672">
        <v>0</v>
      </c>
      <c r="BC42" s="672">
        <v>0</v>
      </c>
      <c r="BD42" s="672">
        <v>0</v>
      </c>
      <c r="BE42" s="672">
        <v>0</v>
      </c>
      <c r="BF42" s="672">
        <v>0</v>
      </c>
      <c r="BG42" s="672">
        <v>107212</v>
      </c>
      <c r="BH42" s="665"/>
      <c r="BI42" s="665"/>
      <c r="BJ42" s="665"/>
      <c r="BK42" s="665"/>
      <c r="BL42" s="665">
        <v>107212</v>
      </c>
      <c r="BM42" s="665">
        <v>0</v>
      </c>
      <c r="BN42" s="665">
        <v>0</v>
      </c>
      <c r="BO42" s="665">
        <v>0</v>
      </c>
      <c r="BP42" s="665">
        <v>0</v>
      </c>
      <c r="BQ42" s="665">
        <v>0</v>
      </c>
      <c r="BR42" s="665">
        <v>0</v>
      </c>
      <c r="BS42" s="665">
        <v>0</v>
      </c>
      <c r="BT42" s="665">
        <v>107212</v>
      </c>
    </row>
    <row r="43" spans="1:72" ht="15" hidden="1" customHeight="1">
      <c r="A43" s="66" t="s">
        <v>2579</v>
      </c>
      <c r="B43" s="66"/>
      <c r="C43" s="66" t="s">
        <v>888</v>
      </c>
      <c r="D43" s="66" t="s">
        <v>2580</v>
      </c>
      <c r="E43" s="150" t="s">
        <v>1136</v>
      </c>
      <c r="F43" s="482" t="s">
        <v>1566</v>
      </c>
      <c r="G43" s="150" t="s">
        <v>1135</v>
      </c>
      <c r="H43" s="150" t="s">
        <v>1145</v>
      </c>
      <c r="I43" s="150" t="s">
        <v>1135</v>
      </c>
      <c r="J43" s="150" t="s">
        <v>1145</v>
      </c>
      <c r="K43" s="150" t="s">
        <v>1137</v>
      </c>
      <c r="L43" s="511" t="s">
        <v>639</v>
      </c>
      <c r="M43" s="392" t="s">
        <v>2581</v>
      </c>
      <c r="N43" s="343"/>
      <c r="O43" s="343"/>
      <c r="P43" s="70" t="s">
        <v>889</v>
      </c>
      <c r="Q43" s="346"/>
      <c r="R43" s="343"/>
      <c r="S43" s="346"/>
      <c r="T43" s="150" t="s">
        <v>25</v>
      </c>
      <c r="U43" s="150"/>
      <c r="V43" s="643"/>
      <c r="W43" s="659">
        <v>1190.6600000000001</v>
      </c>
      <c r="X43" s="659">
        <v>1190.6600000000001</v>
      </c>
      <c r="Y43" s="669"/>
      <c r="Z43" s="657"/>
      <c r="AA43" s="714"/>
      <c r="AB43" s="429"/>
      <c r="AC43" s="429"/>
      <c r="AD43" s="429" t="s">
        <v>1142</v>
      </c>
      <c r="AE43" s="429">
        <v>0</v>
      </c>
      <c r="AF43" s="429">
        <v>0</v>
      </c>
      <c r="AG43" s="667">
        <v>0</v>
      </c>
      <c r="AH43" s="667">
        <v>0</v>
      </c>
      <c r="AI43" s="667">
        <v>0</v>
      </c>
      <c r="AJ43" s="667">
        <v>0</v>
      </c>
      <c r="AK43" s="667">
        <v>0</v>
      </c>
      <c r="AL43" s="667">
        <v>0</v>
      </c>
      <c r="AM43" s="675">
        <f t="shared" si="3"/>
        <v>0</v>
      </c>
      <c r="AN43" s="676">
        <f>ERP_27[[#This Row],[2026 Working Total]]-ERP_27[[#This Row],[LE2 Final Submission]]</f>
        <v>-1190.6600000000001</v>
      </c>
      <c r="AO43" s="665"/>
      <c r="AP43" s="665">
        <f t="shared" si="2"/>
        <v>0</v>
      </c>
      <c r="AQ43" s="391">
        <f>SUM(ERP_27[[#This Row],[AP01]:[AP06]])-SUM(ERP_27[[#This Row],[AP01 LE2]:[AP06 LE2]])</f>
        <v>-1190.6600000000001</v>
      </c>
      <c r="AR43" s="670"/>
      <c r="AS43" s="665">
        <f>ERP_27[[#This Row],[2026 Working Total to Budget/LE]]-ERP_27[[#This Row],[Giveback]]</f>
        <v>-1190.6600000000001</v>
      </c>
      <c r="AT43" s="671"/>
      <c r="AU43" s="672"/>
      <c r="AV43" s="672"/>
      <c r="AW43" s="672"/>
      <c r="AX43" s="672"/>
      <c r="AY43" s="672"/>
      <c r="AZ43" s="672">
        <v>1190.6600000000001</v>
      </c>
      <c r="BA43" s="672">
        <v>0</v>
      </c>
      <c r="BB43" s="672">
        <v>0</v>
      </c>
      <c r="BC43" s="672">
        <v>0</v>
      </c>
      <c r="BD43" s="672">
        <v>0</v>
      </c>
      <c r="BE43" s="672">
        <v>0</v>
      </c>
      <c r="BF43" s="672">
        <v>0</v>
      </c>
      <c r="BG43" s="672">
        <v>1190.6600000000001</v>
      </c>
      <c r="BH43" s="665"/>
      <c r="BI43" s="665"/>
      <c r="BJ43" s="665"/>
      <c r="BK43" s="665"/>
      <c r="BL43" s="665"/>
      <c r="BM43" s="665">
        <v>1190.6600000000001</v>
      </c>
      <c r="BN43" s="665">
        <v>0</v>
      </c>
      <c r="BO43" s="665">
        <v>0</v>
      </c>
      <c r="BP43" s="665">
        <v>0</v>
      </c>
      <c r="BQ43" s="665">
        <v>0</v>
      </c>
      <c r="BR43" s="665">
        <v>0</v>
      </c>
      <c r="BS43" s="665">
        <v>0</v>
      </c>
      <c r="BT43" s="665">
        <v>1190.6600000000001</v>
      </c>
    </row>
    <row r="44" spans="1:72" ht="15" hidden="1" customHeight="1">
      <c r="A44" s="66" t="s">
        <v>2875</v>
      </c>
      <c r="B44" s="66"/>
      <c r="C44" s="66" t="s">
        <v>34</v>
      </c>
      <c r="D44" s="66" t="s">
        <v>34</v>
      </c>
      <c r="E44" s="150" t="s">
        <v>1136</v>
      </c>
      <c r="F44" s="482" t="s">
        <v>1566</v>
      </c>
      <c r="G44" s="150" t="s">
        <v>1515</v>
      </c>
      <c r="H44" s="383" t="s">
        <v>1515</v>
      </c>
      <c r="I44" s="150" t="s">
        <v>1345</v>
      </c>
      <c r="J44" s="150" t="s">
        <v>1515</v>
      </c>
      <c r="K44" s="150" t="s">
        <v>1346</v>
      </c>
      <c r="L44" s="511" t="s">
        <v>22</v>
      </c>
      <c r="M44" s="392" t="s">
        <v>2868</v>
      </c>
      <c r="N44" s="343"/>
      <c r="O44" s="343"/>
      <c r="P44" s="70" t="s">
        <v>24</v>
      </c>
      <c r="Q44" s="346" t="s">
        <v>1139</v>
      </c>
      <c r="R44" s="346" t="s">
        <v>1140</v>
      </c>
      <c r="S44" s="346"/>
      <c r="T44" s="150" t="s">
        <v>25</v>
      </c>
      <c r="U44" s="150"/>
      <c r="V44" s="643"/>
      <c r="W44" s="659">
        <v>0</v>
      </c>
      <c r="X44" s="659">
        <v>0</v>
      </c>
      <c r="Y44" s="669"/>
      <c r="Z44" s="657"/>
      <c r="AA44" s="714"/>
      <c r="AB44" s="429"/>
      <c r="AC44" s="429"/>
      <c r="AD44" s="429" t="s">
        <v>1142</v>
      </c>
      <c r="AE44" s="429">
        <v>0</v>
      </c>
      <c r="AF44" s="429">
        <v>0</v>
      </c>
      <c r="AG44" s="667">
        <v>0</v>
      </c>
      <c r="AH44" s="667">
        <v>0</v>
      </c>
      <c r="AI44" s="667">
        <v>0</v>
      </c>
      <c r="AJ44" s="667">
        <v>0</v>
      </c>
      <c r="AK44" s="667">
        <v>0</v>
      </c>
      <c r="AL44" s="667">
        <v>0</v>
      </c>
      <c r="AM44" s="664">
        <f t="shared" si="3"/>
        <v>0</v>
      </c>
      <c r="AN44" s="651">
        <f>ERP_27[[#This Row],[2026 Working Total]]-ERP_27[[#This Row],[LE2 Final Submission]]</f>
        <v>0</v>
      </c>
      <c r="AO44" s="665">
        <v>0</v>
      </c>
      <c r="AP44" s="665">
        <f t="shared" si="2"/>
        <v>0</v>
      </c>
      <c r="AQ44" s="391">
        <f>SUM(ERP_27[[#This Row],[AP01]:[AP06]])-SUM(ERP_27[[#This Row],[AP01 LE2]:[AP06 LE2]])</f>
        <v>0</v>
      </c>
      <c r="AR44" s="670"/>
      <c r="AS44" s="665">
        <f>ERP_27[[#This Row],[2026 Working Total to Budget/LE]]-ERP_27[[#This Row],[Giveback]]</f>
        <v>0</v>
      </c>
      <c r="AT44" s="671"/>
      <c r="AU44" s="672"/>
      <c r="AV44" s="672"/>
      <c r="AW44" s="672"/>
      <c r="AX44" s="672">
        <v>0</v>
      </c>
      <c r="AY44" s="672">
        <v>0</v>
      </c>
      <c r="AZ44" s="672">
        <v>0</v>
      </c>
      <c r="BA44" s="672">
        <v>0</v>
      </c>
      <c r="BB44" s="672">
        <v>0</v>
      </c>
      <c r="BC44" s="672">
        <v>0</v>
      </c>
      <c r="BD44" s="672">
        <v>0</v>
      </c>
      <c r="BE44" s="672">
        <v>0</v>
      </c>
      <c r="BF44" s="672">
        <v>0</v>
      </c>
      <c r="BG44" s="672">
        <v>0</v>
      </c>
      <c r="BH44" s="665">
        <v>1989.38</v>
      </c>
      <c r="BI44" s="665">
        <v>2792.24</v>
      </c>
      <c r="BJ44" s="665">
        <v>4195.3599999999997</v>
      </c>
      <c r="BK44" s="665">
        <v>0</v>
      </c>
      <c r="BL44" s="665">
        <v>0</v>
      </c>
      <c r="BM44" s="665">
        <v>0</v>
      </c>
      <c r="BN44" s="665">
        <v>0</v>
      </c>
      <c r="BO44" s="665">
        <v>0</v>
      </c>
      <c r="BP44" s="665">
        <v>0</v>
      </c>
      <c r="BQ44" s="665">
        <v>0</v>
      </c>
      <c r="BR44" s="665">
        <v>0</v>
      </c>
      <c r="BS44" s="665">
        <v>0</v>
      </c>
      <c r="BT44" s="665">
        <v>8976.98</v>
      </c>
    </row>
    <row r="45" spans="1:72" ht="15" hidden="1" customHeight="1">
      <c r="A45" s="66" t="s">
        <v>2876</v>
      </c>
      <c r="B45" s="66"/>
      <c r="C45" s="66" t="s">
        <v>35</v>
      </c>
      <c r="D45" s="66" t="s">
        <v>35</v>
      </c>
      <c r="E45" s="150" t="s">
        <v>1136</v>
      </c>
      <c r="F45" s="482" t="s">
        <v>1566</v>
      </c>
      <c r="G45" s="150" t="s">
        <v>1515</v>
      </c>
      <c r="H45" s="383" t="s">
        <v>1515</v>
      </c>
      <c r="I45" s="150" t="s">
        <v>1345</v>
      </c>
      <c r="J45" s="150" t="s">
        <v>1515</v>
      </c>
      <c r="K45" s="150" t="s">
        <v>1346</v>
      </c>
      <c r="L45" s="511" t="s">
        <v>22</v>
      </c>
      <c r="M45" s="392" t="s">
        <v>2870</v>
      </c>
      <c r="N45" s="343"/>
      <c r="O45" s="343"/>
      <c r="P45" s="70" t="s">
        <v>27</v>
      </c>
      <c r="Q45" s="346" t="s">
        <v>1139</v>
      </c>
      <c r="R45" s="346" t="s">
        <v>1140</v>
      </c>
      <c r="S45" s="346"/>
      <c r="T45" s="150" t="s">
        <v>25</v>
      </c>
      <c r="U45" s="150"/>
      <c r="V45" s="643"/>
      <c r="W45" s="659">
        <v>0</v>
      </c>
      <c r="X45" s="659">
        <v>0</v>
      </c>
      <c r="Y45" s="669"/>
      <c r="Z45" s="657"/>
      <c r="AA45" s="714"/>
      <c r="AB45" s="429"/>
      <c r="AC45" s="429"/>
      <c r="AD45" s="429" t="s">
        <v>1142</v>
      </c>
      <c r="AE45" s="429">
        <v>0</v>
      </c>
      <c r="AF45" s="429">
        <v>0</v>
      </c>
      <c r="AG45" s="667">
        <v>0</v>
      </c>
      <c r="AH45" s="667">
        <v>0</v>
      </c>
      <c r="AI45" s="667">
        <v>0</v>
      </c>
      <c r="AJ45" s="667">
        <v>0</v>
      </c>
      <c r="AK45" s="667">
        <v>0</v>
      </c>
      <c r="AL45" s="667">
        <v>0</v>
      </c>
      <c r="AM45" s="664">
        <f t="shared" si="3"/>
        <v>0</v>
      </c>
      <c r="AN45" s="651">
        <f>ERP_27[[#This Row],[2026 Working Total]]-ERP_27[[#This Row],[LE2 Final Submission]]</f>
        <v>0</v>
      </c>
      <c r="AO45" s="665">
        <v>0</v>
      </c>
      <c r="AP45" s="665">
        <f t="shared" si="2"/>
        <v>0</v>
      </c>
      <c r="AQ45" s="391">
        <f>SUM(ERP_27[[#This Row],[AP01]:[AP06]])-SUM(ERP_27[[#This Row],[AP01 LE2]:[AP06 LE2]])</f>
        <v>0</v>
      </c>
      <c r="AR45" s="670"/>
      <c r="AS45" s="665">
        <f>ERP_27[[#This Row],[2026 Working Total to Budget/LE]]-ERP_27[[#This Row],[Giveback]]</f>
        <v>0</v>
      </c>
      <c r="AT45" s="671"/>
      <c r="AU45" s="672"/>
      <c r="AV45" s="672"/>
      <c r="AW45" s="672"/>
      <c r="AX45" s="672">
        <v>0</v>
      </c>
      <c r="AY45" s="672">
        <v>0</v>
      </c>
      <c r="AZ45" s="672">
        <v>0</v>
      </c>
      <c r="BA45" s="672">
        <v>0</v>
      </c>
      <c r="BB45" s="672">
        <v>0</v>
      </c>
      <c r="BC45" s="672">
        <v>0</v>
      </c>
      <c r="BD45" s="672">
        <v>0</v>
      </c>
      <c r="BE45" s="672">
        <v>0</v>
      </c>
      <c r="BF45" s="672">
        <v>0</v>
      </c>
      <c r="BG45" s="672">
        <v>0</v>
      </c>
      <c r="BH45" s="665">
        <v>2651.11</v>
      </c>
      <c r="BI45" s="665">
        <v>1336.03</v>
      </c>
      <c r="BJ45" s="665">
        <v>1800.7</v>
      </c>
      <c r="BK45" s="665">
        <v>0</v>
      </c>
      <c r="BL45" s="665">
        <v>0</v>
      </c>
      <c r="BM45" s="665">
        <v>0</v>
      </c>
      <c r="BN45" s="665">
        <v>0</v>
      </c>
      <c r="BO45" s="665">
        <v>0</v>
      </c>
      <c r="BP45" s="665">
        <v>0</v>
      </c>
      <c r="BQ45" s="665">
        <v>0</v>
      </c>
      <c r="BR45" s="665">
        <v>0</v>
      </c>
      <c r="BS45" s="665">
        <v>0</v>
      </c>
      <c r="BT45" s="665">
        <v>5787.84</v>
      </c>
    </row>
    <row r="46" spans="1:72" ht="15" hidden="1" customHeight="1">
      <c r="A46" s="79" t="s">
        <v>1343</v>
      </c>
      <c r="B46" s="79"/>
      <c r="C46" s="79" t="s">
        <v>150</v>
      </c>
      <c r="D46" s="296" t="s">
        <v>150</v>
      </c>
      <c r="E46" s="150" t="s">
        <v>1136</v>
      </c>
      <c r="F46" s="482" t="s">
        <v>1566</v>
      </c>
      <c r="G46" s="383" t="s">
        <v>1344</v>
      </c>
      <c r="H46" s="383" t="s">
        <v>1344</v>
      </c>
      <c r="I46" s="332" t="s">
        <v>1345</v>
      </c>
      <c r="J46" s="383" t="s">
        <v>1344</v>
      </c>
      <c r="K46" s="331" t="s">
        <v>1346</v>
      </c>
      <c r="L46" s="512" t="s">
        <v>49</v>
      </c>
      <c r="M46" s="393" t="s">
        <v>1347</v>
      </c>
      <c r="N46" s="343"/>
      <c r="O46" s="331"/>
      <c r="P46" s="91" t="s">
        <v>151</v>
      </c>
      <c r="Q46" s="343"/>
      <c r="R46" s="343"/>
      <c r="S46" s="348"/>
      <c r="T46" s="386" t="s">
        <v>152</v>
      </c>
      <c r="U46" s="387" t="s">
        <v>1348</v>
      </c>
      <c r="V46" s="668"/>
      <c r="W46" s="358">
        <v>70000.000000000015</v>
      </c>
      <c r="X46" s="660">
        <v>0</v>
      </c>
      <c r="Y46" s="669"/>
      <c r="Z46" s="657"/>
      <c r="AA46" s="716"/>
      <c r="AB46" s="718"/>
      <c r="AC46" s="718"/>
      <c r="AD46" s="429" t="s">
        <v>1142</v>
      </c>
      <c r="AE46" s="429">
        <v>0</v>
      </c>
      <c r="AF46" s="429">
        <v>0</v>
      </c>
      <c r="AG46" s="663">
        <v>0</v>
      </c>
      <c r="AH46" s="663">
        <v>0</v>
      </c>
      <c r="AI46" s="663">
        <v>0</v>
      </c>
      <c r="AJ46" s="663">
        <v>0</v>
      </c>
      <c r="AK46" s="663">
        <v>0</v>
      </c>
      <c r="AL46" s="663">
        <v>0</v>
      </c>
      <c r="AM46" s="664">
        <f t="shared" si="3"/>
        <v>0</v>
      </c>
      <c r="AN46" s="651">
        <f>ERP_27[[#This Row],[2026 Working Total]]-ERP_27[[#This Row],[LE2 Final Submission]]</f>
        <v>0</v>
      </c>
      <c r="AO46" s="665">
        <v>270798</v>
      </c>
      <c r="AP46" s="665">
        <f t="shared" si="2"/>
        <v>-270798</v>
      </c>
      <c r="AQ46" s="391">
        <f>SUM(ERP_27[[#This Row],[AP01]:[AP06]])-SUM(ERP_27[[#This Row],[AP01 LE2]:[AP06 LE2]])</f>
        <v>0</v>
      </c>
      <c r="AR46" s="670">
        <v>70000</v>
      </c>
      <c r="AS46" s="665">
        <f>ERP_27[[#This Row],[2026 Working Total to Budget/LE]]-ERP_27[[#This Row],[Giveback]]</f>
        <v>-70000</v>
      </c>
      <c r="AT46" s="671" t="s">
        <v>1349</v>
      </c>
      <c r="AU46" s="672"/>
      <c r="AV46" s="672"/>
      <c r="AW46" s="672"/>
      <c r="AX46" s="672">
        <v>0</v>
      </c>
      <c r="AY46" s="672">
        <v>0</v>
      </c>
      <c r="AZ46" s="672">
        <v>0</v>
      </c>
      <c r="BA46" s="672">
        <v>0</v>
      </c>
      <c r="BB46" s="672">
        <v>0</v>
      </c>
      <c r="BC46" s="672">
        <v>0</v>
      </c>
      <c r="BD46" s="672">
        <v>0</v>
      </c>
      <c r="BE46" s="672">
        <v>0</v>
      </c>
      <c r="BF46" s="672">
        <v>0</v>
      </c>
      <c r="BG46" s="672">
        <v>0</v>
      </c>
      <c r="BH46" s="666">
        <v>5833.37</v>
      </c>
      <c r="BI46" s="666">
        <v>5833.33</v>
      </c>
      <c r="BJ46" s="666">
        <v>5833.33</v>
      </c>
      <c r="BK46" s="666">
        <v>5833.33</v>
      </c>
      <c r="BL46" s="666">
        <v>5833.33</v>
      </c>
      <c r="BM46" s="666">
        <v>5833.33</v>
      </c>
      <c r="BN46" s="666">
        <v>5833.33</v>
      </c>
      <c r="BO46" s="666">
        <v>5833.33</v>
      </c>
      <c r="BP46" s="666">
        <v>5833.33</v>
      </c>
      <c r="BQ46" s="666">
        <v>5833.33</v>
      </c>
      <c r="BR46" s="666">
        <v>5833.33</v>
      </c>
      <c r="BS46" s="666">
        <v>5833.33</v>
      </c>
      <c r="BT46" s="665">
        <f>SUM(ERP_27[[#This Row],[2026 AP01]:[2026 AP12]])</f>
        <v>70000.000000000015</v>
      </c>
    </row>
    <row r="47" spans="1:72" ht="15" hidden="1" customHeight="1">
      <c r="A47" s="79" t="s">
        <v>1350</v>
      </c>
      <c r="B47" s="79"/>
      <c r="C47" s="79" t="s">
        <v>153</v>
      </c>
      <c r="D47" s="296" t="s">
        <v>153</v>
      </c>
      <c r="E47" s="150" t="s">
        <v>1136</v>
      </c>
      <c r="F47" s="482" t="s">
        <v>1566</v>
      </c>
      <c r="G47" s="383" t="s">
        <v>1344</v>
      </c>
      <c r="H47" s="383" t="s">
        <v>1344</v>
      </c>
      <c r="I47" s="332" t="s">
        <v>1345</v>
      </c>
      <c r="J47" s="383" t="s">
        <v>1344</v>
      </c>
      <c r="K47" s="331" t="s">
        <v>1346</v>
      </c>
      <c r="L47" s="512" t="s">
        <v>49</v>
      </c>
      <c r="M47" s="393" t="s">
        <v>1351</v>
      </c>
      <c r="N47" s="343"/>
      <c r="O47" s="331"/>
      <c r="P47" s="91" t="s">
        <v>154</v>
      </c>
      <c r="Q47" s="343"/>
      <c r="R47" s="343"/>
      <c r="S47" s="348"/>
      <c r="T47" s="386" t="s">
        <v>152</v>
      </c>
      <c r="U47" s="387" t="s">
        <v>1352</v>
      </c>
      <c r="V47" s="668"/>
      <c r="W47" s="358">
        <v>120000</v>
      </c>
      <c r="X47" s="660">
        <v>0</v>
      </c>
      <c r="Y47" s="669"/>
      <c r="Z47" s="657"/>
      <c r="AA47" s="716"/>
      <c r="AB47" s="718"/>
      <c r="AC47" s="718"/>
      <c r="AD47" s="429" t="s">
        <v>1142</v>
      </c>
      <c r="AE47" s="429">
        <v>0</v>
      </c>
      <c r="AF47" s="429">
        <v>0</v>
      </c>
      <c r="AG47" s="663">
        <v>0</v>
      </c>
      <c r="AH47" s="663">
        <v>0</v>
      </c>
      <c r="AI47" s="663">
        <v>0</v>
      </c>
      <c r="AJ47" s="663">
        <v>0</v>
      </c>
      <c r="AK47" s="663">
        <v>0</v>
      </c>
      <c r="AL47" s="663">
        <v>0</v>
      </c>
      <c r="AM47" s="664">
        <f t="shared" si="3"/>
        <v>0</v>
      </c>
      <c r="AN47" s="651">
        <f>ERP_27[[#This Row],[2026 Working Total]]-ERP_27[[#This Row],[LE2 Final Submission]]</f>
        <v>0</v>
      </c>
      <c r="AO47" s="665">
        <v>8695</v>
      </c>
      <c r="AP47" s="665">
        <f t="shared" si="2"/>
        <v>-8695</v>
      </c>
      <c r="AQ47" s="391">
        <f>SUM(ERP_27[[#This Row],[AP01]:[AP06]])-SUM(ERP_27[[#This Row],[AP01 LE2]:[AP06 LE2]])</f>
        <v>0</v>
      </c>
      <c r="AR47" s="670">
        <v>120000</v>
      </c>
      <c r="AS47" s="665">
        <f>ERP_27[[#This Row],[2026 Working Total to Budget/LE]]-ERP_27[[#This Row],[Giveback]]</f>
        <v>-120000</v>
      </c>
      <c r="AT47" s="671" t="s">
        <v>1349</v>
      </c>
      <c r="AU47" s="672"/>
      <c r="AV47" s="672"/>
      <c r="AW47" s="672"/>
      <c r="AX47" s="672">
        <v>0</v>
      </c>
      <c r="AY47" s="672">
        <v>0</v>
      </c>
      <c r="AZ47" s="672">
        <v>0</v>
      </c>
      <c r="BA47" s="672">
        <v>0</v>
      </c>
      <c r="BB47" s="672">
        <v>0</v>
      </c>
      <c r="BC47" s="672">
        <v>0</v>
      </c>
      <c r="BD47" s="672">
        <v>0</v>
      </c>
      <c r="BE47" s="672">
        <v>0</v>
      </c>
      <c r="BF47" s="672">
        <v>0</v>
      </c>
      <c r="BG47" s="672">
        <v>0</v>
      </c>
      <c r="BH47" s="666">
        <v>10000</v>
      </c>
      <c r="BI47" s="666">
        <v>10000</v>
      </c>
      <c r="BJ47" s="666">
        <v>10000</v>
      </c>
      <c r="BK47" s="666">
        <v>10000</v>
      </c>
      <c r="BL47" s="666">
        <v>10000</v>
      </c>
      <c r="BM47" s="666">
        <v>10000</v>
      </c>
      <c r="BN47" s="666">
        <v>10000</v>
      </c>
      <c r="BO47" s="666">
        <v>10000</v>
      </c>
      <c r="BP47" s="666">
        <v>10000</v>
      </c>
      <c r="BQ47" s="666">
        <v>10000</v>
      </c>
      <c r="BR47" s="666">
        <v>10000</v>
      </c>
      <c r="BS47" s="666">
        <v>10000</v>
      </c>
      <c r="BT47" s="665">
        <f>SUM(ERP_27[[#This Row],[2026 AP01]:[2026 AP12]])</f>
        <v>120000</v>
      </c>
    </row>
    <row r="48" spans="1:72" ht="15" hidden="1" customHeight="1">
      <c r="A48" s="79" t="s">
        <v>1353</v>
      </c>
      <c r="B48" s="79"/>
      <c r="C48" s="79" t="s">
        <v>155</v>
      </c>
      <c r="D48" s="296" t="s">
        <v>155</v>
      </c>
      <c r="E48" s="150" t="s">
        <v>1136</v>
      </c>
      <c r="F48" s="482" t="s">
        <v>1566</v>
      </c>
      <c r="G48" s="383" t="s">
        <v>1344</v>
      </c>
      <c r="H48" s="383" t="s">
        <v>1344</v>
      </c>
      <c r="I48" s="332" t="s">
        <v>1345</v>
      </c>
      <c r="J48" s="383" t="s">
        <v>1344</v>
      </c>
      <c r="K48" s="331" t="s">
        <v>1346</v>
      </c>
      <c r="L48" s="512" t="s">
        <v>49</v>
      </c>
      <c r="M48" s="393" t="s">
        <v>1354</v>
      </c>
      <c r="N48" s="343"/>
      <c r="O48" s="331"/>
      <c r="P48" s="91" t="s">
        <v>156</v>
      </c>
      <c r="Q48" s="343"/>
      <c r="R48" s="343"/>
      <c r="S48" s="348"/>
      <c r="T48" s="386" t="s">
        <v>152</v>
      </c>
      <c r="U48" s="387" t="s">
        <v>1348</v>
      </c>
      <c r="V48" s="668"/>
      <c r="W48" s="358">
        <v>70000.000000000015</v>
      </c>
      <c r="X48" s="660">
        <v>0</v>
      </c>
      <c r="Y48" s="669"/>
      <c r="Z48" s="657"/>
      <c r="AA48" s="716"/>
      <c r="AB48" s="718"/>
      <c r="AC48" s="718"/>
      <c r="AD48" s="429" t="s">
        <v>1142</v>
      </c>
      <c r="AE48" s="429">
        <v>0</v>
      </c>
      <c r="AF48" s="429">
        <v>0</v>
      </c>
      <c r="AG48" s="663">
        <v>0</v>
      </c>
      <c r="AH48" s="663">
        <v>0</v>
      </c>
      <c r="AI48" s="663">
        <v>0</v>
      </c>
      <c r="AJ48" s="663">
        <v>0</v>
      </c>
      <c r="AK48" s="663">
        <v>0</v>
      </c>
      <c r="AL48" s="663">
        <v>0</v>
      </c>
      <c r="AM48" s="664">
        <f t="shared" si="3"/>
        <v>0</v>
      </c>
      <c r="AN48" s="651">
        <f>ERP_27[[#This Row],[2026 Working Total]]-ERP_27[[#This Row],[LE2 Final Submission]]</f>
        <v>0</v>
      </c>
      <c r="AO48" s="665">
        <v>1014</v>
      </c>
      <c r="AP48" s="665">
        <f t="shared" si="2"/>
        <v>-1014</v>
      </c>
      <c r="AQ48" s="391">
        <f>SUM(ERP_27[[#This Row],[AP01]:[AP06]])-SUM(ERP_27[[#This Row],[AP01 LE2]:[AP06 LE2]])</f>
        <v>0</v>
      </c>
      <c r="AR48" s="670">
        <v>70000</v>
      </c>
      <c r="AS48" s="665">
        <f>ERP_27[[#This Row],[2026 Working Total to Budget/LE]]-ERP_27[[#This Row],[Giveback]]</f>
        <v>-70000</v>
      </c>
      <c r="AT48" s="671" t="s">
        <v>1349</v>
      </c>
      <c r="AU48" s="672"/>
      <c r="AV48" s="672"/>
      <c r="AW48" s="672"/>
      <c r="AX48" s="672">
        <v>0</v>
      </c>
      <c r="AY48" s="672">
        <v>0</v>
      </c>
      <c r="AZ48" s="672">
        <v>0</v>
      </c>
      <c r="BA48" s="672">
        <v>0</v>
      </c>
      <c r="BB48" s="672">
        <v>0</v>
      </c>
      <c r="BC48" s="672">
        <v>0</v>
      </c>
      <c r="BD48" s="672">
        <v>0</v>
      </c>
      <c r="BE48" s="672">
        <v>0</v>
      </c>
      <c r="BF48" s="672">
        <v>0</v>
      </c>
      <c r="BG48" s="672">
        <v>0</v>
      </c>
      <c r="BH48" s="666">
        <v>5833.37</v>
      </c>
      <c r="BI48" s="666">
        <v>5833.33</v>
      </c>
      <c r="BJ48" s="666">
        <v>5833.33</v>
      </c>
      <c r="BK48" s="666">
        <v>5833.33</v>
      </c>
      <c r="BL48" s="666">
        <v>5833.33</v>
      </c>
      <c r="BM48" s="666">
        <v>5833.33</v>
      </c>
      <c r="BN48" s="666">
        <v>5833.33</v>
      </c>
      <c r="BO48" s="666">
        <v>5833.33</v>
      </c>
      <c r="BP48" s="666">
        <v>5833.33</v>
      </c>
      <c r="BQ48" s="666">
        <v>5833.33</v>
      </c>
      <c r="BR48" s="666">
        <v>5833.33</v>
      </c>
      <c r="BS48" s="666">
        <v>5833.33</v>
      </c>
      <c r="BT48" s="665">
        <f>SUM(ERP_27[[#This Row],[2026 AP01]:[2026 AP12]])</f>
        <v>70000.000000000015</v>
      </c>
    </row>
    <row r="49" spans="1:72" ht="15" hidden="1" customHeight="1">
      <c r="A49" s="79" t="s">
        <v>1355</v>
      </c>
      <c r="B49" s="79"/>
      <c r="C49" s="79" t="s">
        <v>157</v>
      </c>
      <c r="D49" s="296" t="s">
        <v>157</v>
      </c>
      <c r="E49" s="150" t="s">
        <v>1136</v>
      </c>
      <c r="F49" s="482" t="s">
        <v>1566</v>
      </c>
      <c r="G49" s="383" t="s">
        <v>1344</v>
      </c>
      <c r="H49" s="383" t="s">
        <v>1344</v>
      </c>
      <c r="I49" s="332" t="s">
        <v>1345</v>
      </c>
      <c r="J49" s="383" t="s">
        <v>1344</v>
      </c>
      <c r="K49" s="331" t="s">
        <v>1346</v>
      </c>
      <c r="L49" s="512" t="s">
        <v>49</v>
      </c>
      <c r="M49" s="393" t="s">
        <v>1356</v>
      </c>
      <c r="N49" s="343"/>
      <c r="O49" s="331"/>
      <c r="P49" s="91" t="s">
        <v>158</v>
      </c>
      <c r="Q49" s="343"/>
      <c r="R49" s="343"/>
      <c r="S49" s="348"/>
      <c r="T49" s="386" t="s">
        <v>152</v>
      </c>
      <c r="U49" s="387" t="s">
        <v>1348</v>
      </c>
      <c r="V49" s="668"/>
      <c r="W49" s="358">
        <v>140000</v>
      </c>
      <c r="X49" s="660">
        <v>0</v>
      </c>
      <c r="Y49" s="669"/>
      <c r="Z49" s="657"/>
      <c r="AA49" s="716"/>
      <c r="AB49" s="718"/>
      <c r="AC49" s="718"/>
      <c r="AD49" s="429" t="s">
        <v>1142</v>
      </c>
      <c r="AE49" s="429">
        <v>0</v>
      </c>
      <c r="AF49" s="429">
        <v>0</v>
      </c>
      <c r="AG49" s="663">
        <v>0</v>
      </c>
      <c r="AH49" s="663">
        <v>0</v>
      </c>
      <c r="AI49" s="663">
        <v>0</v>
      </c>
      <c r="AJ49" s="663">
        <v>0</v>
      </c>
      <c r="AK49" s="663">
        <v>0</v>
      </c>
      <c r="AL49" s="663">
        <v>0</v>
      </c>
      <c r="AM49" s="664">
        <f t="shared" si="3"/>
        <v>0</v>
      </c>
      <c r="AN49" s="651">
        <f>ERP_27[[#This Row],[2026 Working Total]]-ERP_27[[#This Row],[LE2 Final Submission]]</f>
        <v>0</v>
      </c>
      <c r="AO49" s="665">
        <v>2213.166667</v>
      </c>
      <c r="AP49" s="665">
        <f t="shared" si="2"/>
        <v>-2213.166667</v>
      </c>
      <c r="AQ49" s="391">
        <f>SUM(ERP_27[[#This Row],[AP01]:[AP06]])-SUM(ERP_27[[#This Row],[AP01 LE2]:[AP06 LE2]])</f>
        <v>0</v>
      </c>
      <c r="AR49" s="670">
        <v>140000</v>
      </c>
      <c r="AS49" s="665">
        <f>ERP_27[[#This Row],[2026 Working Total to Budget/LE]]-ERP_27[[#This Row],[Giveback]]</f>
        <v>-140000</v>
      </c>
      <c r="AT49" s="671" t="s">
        <v>1349</v>
      </c>
      <c r="AU49" s="672"/>
      <c r="AV49" s="672"/>
      <c r="AW49" s="672"/>
      <c r="AX49" s="672">
        <v>0</v>
      </c>
      <c r="AY49" s="672">
        <v>0</v>
      </c>
      <c r="AZ49" s="672">
        <v>0</v>
      </c>
      <c r="BA49" s="672">
        <v>0</v>
      </c>
      <c r="BB49" s="672">
        <v>0</v>
      </c>
      <c r="BC49" s="672">
        <v>0</v>
      </c>
      <c r="BD49" s="672">
        <v>0</v>
      </c>
      <c r="BE49" s="672">
        <v>0</v>
      </c>
      <c r="BF49" s="672">
        <v>0</v>
      </c>
      <c r="BG49" s="672">
        <v>0</v>
      </c>
      <c r="BH49" s="666">
        <v>11666.63</v>
      </c>
      <c r="BI49" s="666">
        <v>11666.67</v>
      </c>
      <c r="BJ49" s="666">
        <v>11666.67</v>
      </c>
      <c r="BK49" s="666">
        <v>11666.67</v>
      </c>
      <c r="BL49" s="666">
        <v>11666.67</v>
      </c>
      <c r="BM49" s="666">
        <v>11666.67</v>
      </c>
      <c r="BN49" s="666">
        <v>11666.67</v>
      </c>
      <c r="BO49" s="666">
        <v>11666.67</v>
      </c>
      <c r="BP49" s="666">
        <v>11666.67</v>
      </c>
      <c r="BQ49" s="666">
        <v>11666.67</v>
      </c>
      <c r="BR49" s="666">
        <v>11666.67</v>
      </c>
      <c r="BS49" s="666">
        <v>11666.67</v>
      </c>
      <c r="BT49" s="665">
        <f>SUM(ERP_27[[#This Row],[2026 AP01]:[2026 AP12]])</f>
        <v>140000</v>
      </c>
    </row>
    <row r="50" spans="1:72" ht="15" hidden="1" customHeight="1">
      <c r="A50" s="66" t="s">
        <v>1382</v>
      </c>
      <c r="B50" s="66"/>
      <c r="C50" s="66" t="s">
        <v>174</v>
      </c>
      <c r="D50" s="66" t="s">
        <v>174</v>
      </c>
      <c r="E50" s="150" t="s">
        <v>1136</v>
      </c>
      <c r="F50" s="482" t="s">
        <v>1566</v>
      </c>
      <c r="G50" s="383" t="s">
        <v>1344</v>
      </c>
      <c r="H50" s="383" t="s">
        <v>1344</v>
      </c>
      <c r="I50" s="150" t="s">
        <v>1345</v>
      </c>
      <c r="J50" s="150" t="s">
        <v>1344</v>
      </c>
      <c r="K50" s="150" t="s">
        <v>1346</v>
      </c>
      <c r="L50" s="511" t="s">
        <v>49</v>
      </c>
      <c r="M50" s="392" t="s">
        <v>1383</v>
      </c>
      <c r="N50" s="343"/>
      <c r="O50" s="343"/>
      <c r="P50" s="70" t="s">
        <v>175</v>
      </c>
      <c r="Q50" s="346"/>
      <c r="R50" s="343"/>
      <c r="S50" s="346"/>
      <c r="T50" s="150" t="s">
        <v>25</v>
      </c>
      <c r="U50" s="150"/>
      <c r="V50" s="643"/>
      <c r="W50" s="659">
        <v>0</v>
      </c>
      <c r="X50" s="659">
        <v>0</v>
      </c>
      <c r="Y50" s="669"/>
      <c r="Z50" s="657"/>
      <c r="AA50" s="714"/>
      <c r="AB50" s="429"/>
      <c r="AC50" s="429"/>
      <c r="AD50" s="429" t="s">
        <v>1142</v>
      </c>
      <c r="AE50" s="429">
        <v>0</v>
      </c>
      <c r="AF50" s="429">
        <v>0</v>
      </c>
      <c r="AG50" s="667">
        <v>0</v>
      </c>
      <c r="AH50" s="667">
        <v>0</v>
      </c>
      <c r="AI50" s="667">
        <v>0</v>
      </c>
      <c r="AJ50" s="667">
        <v>0</v>
      </c>
      <c r="AK50" s="667">
        <v>0</v>
      </c>
      <c r="AL50" s="667">
        <v>0</v>
      </c>
      <c r="AM50" s="664">
        <f t="shared" si="3"/>
        <v>0</v>
      </c>
      <c r="AN50" s="651">
        <f>ERP_27[[#This Row],[2026 Working Total]]-ERP_27[[#This Row],[LE2 Final Submission]]</f>
        <v>0</v>
      </c>
      <c r="AO50" s="665"/>
      <c r="AP50" s="665">
        <f t="shared" si="2"/>
        <v>0</v>
      </c>
      <c r="AQ50" s="391">
        <f>SUM(ERP_27[[#This Row],[AP01]:[AP06]])-SUM(ERP_27[[#This Row],[AP01 LE2]:[AP06 LE2]])</f>
        <v>0</v>
      </c>
      <c r="AR50" s="670">
        <v>280000</v>
      </c>
      <c r="AS50" s="665">
        <f>ERP_27[[#This Row],[2026 Working Total to Budget/LE]]-ERP_27[[#This Row],[Giveback]]</f>
        <v>-280000</v>
      </c>
      <c r="AT50" s="671" t="s">
        <v>1384</v>
      </c>
      <c r="AU50" s="672"/>
      <c r="AV50" s="672"/>
      <c r="AW50" s="672"/>
      <c r="AX50" s="672"/>
      <c r="AY50" s="672"/>
      <c r="AZ50" s="672"/>
      <c r="BA50" s="672">
        <v>0</v>
      </c>
      <c r="BB50" s="672">
        <v>0</v>
      </c>
      <c r="BC50" s="672">
        <v>0</v>
      </c>
      <c r="BD50" s="672">
        <v>0</v>
      </c>
      <c r="BE50" s="672">
        <v>0</v>
      </c>
      <c r="BF50" s="672">
        <v>0</v>
      </c>
      <c r="BG50" s="672">
        <v>0</v>
      </c>
      <c r="BH50" s="665"/>
      <c r="BI50" s="665"/>
      <c r="BJ50" s="665"/>
      <c r="BK50" s="665"/>
      <c r="BL50" s="665"/>
      <c r="BM50" s="665"/>
      <c r="BN50" s="665">
        <v>46666.666666999998</v>
      </c>
      <c r="BO50" s="665">
        <v>46666.666666999998</v>
      </c>
      <c r="BP50" s="665">
        <v>46666.666666999998</v>
      </c>
      <c r="BQ50" s="665">
        <v>46666.666666999998</v>
      </c>
      <c r="BR50" s="665">
        <v>46666.666666999998</v>
      </c>
      <c r="BS50" s="665">
        <v>46666.666666999998</v>
      </c>
      <c r="BT50" s="665">
        <v>280000.00000199996</v>
      </c>
    </row>
    <row r="51" spans="1:72" ht="15" hidden="1" customHeight="1">
      <c r="A51" s="66" t="s">
        <v>1401</v>
      </c>
      <c r="B51" s="66"/>
      <c r="C51" s="66" t="s">
        <v>186</v>
      </c>
      <c r="D51" s="66" t="s">
        <v>186</v>
      </c>
      <c r="E51" s="150" t="s">
        <v>1136</v>
      </c>
      <c r="F51" s="482" t="s">
        <v>1566</v>
      </c>
      <c r="G51" s="383" t="s">
        <v>1344</v>
      </c>
      <c r="H51" s="383" t="s">
        <v>1344</v>
      </c>
      <c r="I51" s="150" t="s">
        <v>1345</v>
      </c>
      <c r="J51" s="150" t="s">
        <v>1344</v>
      </c>
      <c r="K51" s="150" t="s">
        <v>1346</v>
      </c>
      <c r="L51" s="511" t="s">
        <v>49</v>
      </c>
      <c r="M51" s="392" t="s">
        <v>1402</v>
      </c>
      <c r="N51" s="343"/>
      <c r="O51" s="343"/>
      <c r="P51" s="70" t="s">
        <v>187</v>
      </c>
      <c r="Q51" s="346"/>
      <c r="R51" s="343"/>
      <c r="S51" s="346"/>
      <c r="T51" s="150" t="s">
        <v>188</v>
      </c>
      <c r="U51" s="150" t="s">
        <v>1403</v>
      </c>
      <c r="V51" s="643"/>
      <c r="W51" s="659">
        <v>25200</v>
      </c>
      <c r="X51" s="659">
        <v>0</v>
      </c>
      <c r="Y51" s="669"/>
      <c r="Z51" s="657"/>
      <c r="AA51" s="714"/>
      <c r="AB51" s="429"/>
      <c r="AC51" s="429"/>
      <c r="AD51" s="429" t="s">
        <v>1142</v>
      </c>
      <c r="AE51" s="429">
        <v>0</v>
      </c>
      <c r="AF51" s="429">
        <v>0</v>
      </c>
      <c r="AG51" s="667">
        <f t="shared" ref="AG51:AL51" si="5">2100-2100</f>
        <v>0</v>
      </c>
      <c r="AH51" s="667">
        <f t="shared" si="5"/>
        <v>0</v>
      </c>
      <c r="AI51" s="667">
        <f t="shared" si="5"/>
        <v>0</v>
      </c>
      <c r="AJ51" s="667">
        <f t="shared" si="5"/>
        <v>0</v>
      </c>
      <c r="AK51" s="667">
        <f t="shared" si="5"/>
        <v>0</v>
      </c>
      <c r="AL51" s="667">
        <f t="shared" si="5"/>
        <v>0</v>
      </c>
      <c r="AM51" s="664">
        <f t="shared" si="3"/>
        <v>0</v>
      </c>
      <c r="AN51" s="651">
        <f>ERP_27[[#This Row],[2026 Working Total]]-ERP_27[[#This Row],[LE2 Final Submission]]</f>
        <v>0</v>
      </c>
      <c r="AO51" s="665">
        <v>0</v>
      </c>
      <c r="AP51" s="665">
        <f t="shared" si="2"/>
        <v>0</v>
      </c>
      <c r="AQ51" s="391">
        <f>SUM(ERP_27[[#This Row],[AP01]:[AP06]])-SUM(ERP_27[[#This Row],[AP01 LE2]:[AP06 LE2]])</f>
        <v>0</v>
      </c>
      <c r="AR51" s="670"/>
      <c r="AS51" s="665">
        <f>ERP_27[[#This Row],[2026 Working Total to Budget/LE]]-ERP_27[[#This Row],[Giveback]]</f>
        <v>0</v>
      </c>
      <c r="AT51" s="671"/>
      <c r="AU51" s="672"/>
      <c r="AV51" s="672"/>
      <c r="AW51" s="672"/>
      <c r="AX51" s="672">
        <v>0</v>
      </c>
      <c r="AY51" s="672">
        <v>0</v>
      </c>
      <c r="AZ51" s="672">
        <v>0</v>
      </c>
      <c r="BA51" s="672">
        <v>0</v>
      </c>
      <c r="BB51" s="672">
        <v>0</v>
      </c>
      <c r="BC51" s="672">
        <v>0</v>
      </c>
      <c r="BD51" s="672">
        <v>0</v>
      </c>
      <c r="BE51" s="672">
        <v>0</v>
      </c>
      <c r="BF51" s="672">
        <v>0</v>
      </c>
      <c r="BG51" s="672">
        <v>0</v>
      </c>
      <c r="BH51" s="665"/>
      <c r="BI51" s="665"/>
      <c r="BJ51" s="665"/>
      <c r="BK51" s="665">
        <v>2100</v>
      </c>
      <c r="BL51" s="665">
        <v>2100</v>
      </c>
      <c r="BM51" s="665">
        <v>2100</v>
      </c>
      <c r="BN51" s="665">
        <v>2100</v>
      </c>
      <c r="BO51" s="665">
        <v>2100</v>
      </c>
      <c r="BP51" s="665">
        <v>2100</v>
      </c>
      <c r="BQ51" s="665">
        <v>2100</v>
      </c>
      <c r="BR51" s="665">
        <v>2100</v>
      </c>
      <c r="BS51" s="665">
        <v>2100</v>
      </c>
      <c r="BT51" s="665">
        <v>18900</v>
      </c>
    </row>
    <row r="52" spans="1:72" ht="15" hidden="1" customHeight="1">
      <c r="A52" s="79" t="s">
        <v>1975</v>
      </c>
      <c r="B52" s="79"/>
      <c r="C52" s="79" t="s">
        <v>503</v>
      </c>
      <c r="D52" s="296" t="s">
        <v>503</v>
      </c>
      <c r="E52" s="150" t="s">
        <v>1136</v>
      </c>
      <c r="F52" s="482" t="s">
        <v>1566</v>
      </c>
      <c r="G52" s="383" t="s">
        <v>1344</v>
      </c>
      <c r="H52" s="383" t="s">
        <v>1344</v>
      </c>
      <c r="I52" s="332" t="s">
        <v>1345</v>
      </c>
      <c r="J52" s="383" t="s">
        <v>1344</v>
      </c>
      <c r="K52" s="331" t="s">
        <v>1346</v>
      </c>
      <c r="L52" s="512" t="s">
        <v>389</v>
      </c>
      <c r="M52" s="393" t="s">
        <v>1976</v>
      </c>
      <c r="N52" s="343"/>
      <c r="O52" s="331"/>
      <c r="P52" s="91" t="s">
        <v>504</v>
      </c>
      <c r="Q52" s="343"/>
      <c r="R52" s="346" t="s">
        <v>1221</v>
      </c>
      <c r="S52" s="348"/>
      <c r="T52" s="386" t="s">
        <v>25</v>
      </c>
      <c r="U52" s="387" t="s">
        <v>1348</v>
      </c>
      <c r="V52" s="668"/>
      <c r="W52" s="358">
        <v>12500</v>
      </c>
      <c r="X52" s="660">
        <v>0</v>
      </c>
      <c r="Y52" s="669"/>
      <c r="Z52" s="657"/>
      <c r="AA52" s="716"/>
      <c r="AB52" s="718"/>
      <c r="AC52" s="718"/>
      <c r="AD52" s="429" t="s">
        <v>1142</v>
      </c>
      <c r="AE52" s="429">
        <v>0</v>
      </c>
      <c r="AF52" s="429">
        <v>0</v>
      </c>
      <c r="AG52" s="663">
        <v>0</v>
      </c>
      <c r="AH52" s="663">
        <v>0</v>
      </c>
      <c r="AI52" s="663">
        <v>0</v>
      </c>
      <c r="AJ52" s="663">
        <v>0</v>
      </c>
      <c r="AK52" s="663">
        <v>0</v>
      </c>
      <c r="AL52" s="663">
        <v>0</v>
      </c>
      <c r="AM52" s="664">
        <f t="shared" si="3"/>
        <v>0</v>
      </c>
      <c r="AN52" s="651">
        <f>ERP_27[[#This Row],[2026 Working Total]]-ERP_27[[#This Row],[LE2 Final Submission]]</f>
        <v>0</v>
      </c>
      <c r="AO52" s="665">
        <v>0</v>
      </c>
      <c r="AP52" s="665">
        <f t="shared" si="2"/>
        <v>0</v>
      </c>
      <c r="AQ52" s="391">
        <f>SUM(ERP_27[[#This Row],[AP01]:[AP06]])-SUM(ERP_27[[#This Row],[AP01 LE2]:[AP06 LE2]])</f>
        <v>0</v>
      </c>
      <c r="AR52" s="670"/>
      <c r="AS52" s="665">
        <f>ERP_27[[#This Row],[2026 Working Total to Budget/LE]]-ERP_27[[#This Row],[Giveback]]</f>
        <v>0</v>
      </c>
      <c r="AT52" s="671"/>
      <c r="AU52" s="672"/>
      <c r="AV52" s="672"/>
      <c r="AW52" s="672"/>
      <c r="AX52" s="672">
        <v>0</v>
      </c>
      <c r="AY52" s="672">
        <v>0</v>
      </c>
      <c r="AZ52" s="672">
        <v>0</v>
      </c>
      <c r="BA52" s="672">
        <v>0</v>
      </c>
      <c r="BB52" s="672">
        <v>0</v>
      </c>
      <c r="BC52" s="672">
        <v>0</v>
      </c>
      <c r="BD52" s="672">
        <v>0</v>
      </c>
      <c r="BE52" s="672">
        <v>0</v>
      </c>
      <c r="BF52" s="672">
        <v>0</v>
      </c>
      <c r="BG52" s="672">
        <v>0</v>
      </c>
      <c r="BH52" s="666">
        <v>0</v>
      </c>
      <c r="BI52" s="666">
        <v>0</v>
      </c>
      <c r="BJ52" s="666">
        <v>12500</v>
      </c>
      <c r="BK52" s="666">
        <v>0</v>
      </c>
      <c r="BL52" s="666">
        <v>0</v>
      </c>
      <c r="BM52" s="666">
        <v>0</v>
      </c>
      <c r="BN52" s="666">
        <v>0</v>
      </c>
      <c r="BO52" s="666">
        <v>0</v>
      </c>
      <c r="BP52" s="666">
        <v>0</v>
      </c>
      <c r="BQ52" s="666">
        <v>0</v>
      </c>
      <c r="BR52" s="666">
        <v>0</v>
      </c>
      <c r="BS52" s="666">
        <v>0</v>
      </c>
      <c r="BT52" s="665">
        <f>SUM(ERP_27[[#This Row],[2026 AP01]:[2026 AP12]])</f>
        <v>12500</v>
      </c>
    </row>
    <row r="53" spans="1:72" ht="15" hidden="1" customHeight="1">
      <c r="A53" s="79" t="s">
        <v>1977</v>
      </c>
      <c r="B53" s="79"/>
      <c r="C53" s="79" t="s">
        <v>505</v>
      </c>
      <c r="D53" s="296" t="s">
        <v>505</v>
      </c>
      <c r="E53" s="150" t="s">
        <v>1136</v>
      </c>
      <c r="F53" s="482" t="s">
        <v>1566</v>
      </c>
      <c r="G53" s="383" t="s">
        <v>1344</v>
      </c>
      <c r="H53" s="383" t="s">
        <v>1344</v>
      </c>
      <c r="I53" s="332" t="s">
        <v>1345</v>
      </c>
      <c r="J53" s="383" t="s">
        <v>1344</v>
      </c>
      <c r="K53" s="331" t="s">
        <v>1346</v>
      </c>
      <c r="L53" s="512" t="s">
        <v>389</v>
      </c>
      <c r="M53" s="393" t="s">
        <v>1976</v>
      </c>
      <c r="N53" s="343"/>
      <c r="O53" s="331"/>
      <c r="P53" s="91" t="s">
        <v>506</v>
      </c>
      <c r="Q53" s="343"/>
      <c r="R53" s="343"/>
      <c r="S53" s="348"/>
      <c r="T53" s="386" t="s">
        <v>25</v>
      </c>
      <c r="U53" s="387" t="s">
        <v>1348</v>
      </c>
      <c r="V53" s="668"/>
      <c r="W53" s="358">
        <v>-12500</v>
      </c>
      <c r="X53" s="660">
        <v>0</v>
      </c>
      <c r="Y53" s="669"/>
      <c r="Z53" s="657"/>
      <c r="AA53" s="716"/>
      <c r="AB53" s="718"/>
      <c r="AC53" s="718"/>
      <c r="AD53" s="429" t="s">
        <v>1142</v>
      </c>
      <c r="AE53" s="429">
        <v>0</v>
      </c>
      <c r="AF53" s="429">
        <v>0</v>
      </c>
      <c r="AG53" s="663">
        <v>0</v>
      </c>
      <c r="AH53" s="663">
        <v>0</v>
      </c>
      <c r="AI53" s="663">
        <v>0</v>
      </c>
      <c r="AJ53" s="663">
        <v>0</v>
      </c>
      <c r="AK53" s="663">
        <v>0</v>
      </c>
      <c r="AL53" s="663">
        <v>0</v>
      </c>
      <c r="AM53" s="664">
        <f t="shared" si="3"/>
        <v>0</v>
      </c>
      <c r="AN53" s="651">
        <f>ERP_27[[#This Row],[2026 Working Total]]-ERP_27[[#This Row],[LE2 Final Submission]]</f>
        <v>0</v>
      </c>
      <c r="AO53" s="665">
        <v>0</v>
      </c>
      <c r="AP53" s="665">
        <f t="shared" si="2"/>
        <v>0</v>
      </c>
      <c r="AQ53" s="391">
        <f>SUM(ERP_27[[#This Row],[AP01]:[AP06]])-SUM(ERP_27[[#This Row],[AP01 LE2]:[AP06 LE2]])</f>
        <v>0</v>
      </c>
      <c r="AR53" s="670"/>
      <c r="AS53" s="665">
        <f>ERP_27[[#This Row],[2026 Working Total to Budget/LE]]-ERP_27[[#This Row],[Giveback]]</f>
        <v>0</v>
      </c>
      <c r="AT53" s="671"/>
      <c r="AU53" s="672"/>
      <c r="AV53" s="672"/>
      <c r="AW53" s="672"/>
      <c r="AX53" s="672">
        <v>0</v>
      </c>
      <c r="AY53" s="672">
        <v>0</v>
      </c>
      <c r="AZ53" s="672">
        <v>0</v>
      </c>
      <c r="BA53" s="672">
        <v>0</v>
      </c>
      <c r="BB53" s="672">
        <v>0</v>
      </c>
      <c r="BC53" s="672">
        <v>0</v>
      </c>
      <c r="BD53" s="672">
        <v>0</v>
      </c>
      <c r="BE53" s="672">
        <v>0</v>
      </c>
      <c r="BF53" s="672">
        <v>0</v>
      </c>
      <c r="BG53" s="672">
        <v>0</v>
      </c>
      <c r="BH53" s="666">
        <v>0</v>
      </c>
      <c r="BI53" s="666">
        <v>0</v>
      </c>
      <c r="BJ53" s="666">
        <v>-12500</v>
      </c>
      <c r="BK53" s="666">
        <v>0</v>
      </c>
      <c r="BL53" s="666">
        <v>0</v>
      </c>
      <c r="BM53" s="666">
        <v>0</v>
      </c>
      <c r="BN53" s="666">
        <v>0</v>
      </c>
      <c r="BO53" s="666">
        <v>0</v>
      </c>
      <c r="BP53" s="666">
        <v>0</v>
      </c>
      <c r="BQ53" s="666">
        <v>0</v>
      </c>
      <c r="BR53" s="666">
        <v>0</v>
      </c>
      <c r="BS53" s="666">
        <v>0</v>
      </c>
      <c r="BT53" s="665">
        <f>SUM(ERP_27[[#This Row],[2026 AP01]:[2026 AP12]])</f>
        <v>-12500</v>
      </c>
    </row>
    <row r="54" spans="1:72" ht="15" hidden="1" customHeight="1">
      <c r="A54" s="79" t="s">
        <v>1431</v>
      </c>
      <c r="B54" s="79"/>
      <c r="C54" s="79" t="s">
        <v>197</v>
      </c>
      <c r="D54" s="296" t="s">
        <v>197</v>
      </c>
      <c r="E54" s="150" t="s">
        <v>1136</v>
      </c>
      <c r="F54" s="482" t="s">
        <v>1566</v>
      </c>
      <c r="G54" s="150" t="s">
        <v>1345</v>
      </c>
      <c r="H54" s="150" t="s">
        <v>1345</v>
      </c>
      <c r="I54" s="332" t="s">
        <v>1345</v>
      </c>
      <c r="J54" s="383" t="s">
        <v>1345</v>
      </c>
      <c r="K54" s="331" t="s">
        <v>1346</v>
      </c>
      <c r="L54" s="512" t="s">
        <v>49</v>
      </c>
      <c r="M54" s="393" t="s">
        <v>1138</v>
      </c>
      <c r="N54" s="343"/>
      <c r="O54" s="331"/>
      <c r="P54" s="91" t="s">
        <v>51</v>
      </c>
      <c r="Q54" s="346" t="s">
        <v>1139</v>
      </c>
      <c r="R54" s="346" t="s">
        <v>1140</v>
      </c>
      <c r="S54" s="348"/>
      <c r="T54" s="386" t="s">
        <v>25</v>
      </c>
      <c r="U54" s="387" t="s">
        <v>1348</v>
      </c>
      <c r="V54" s="668"/>
      <c r="W54" s="358">
        <v>437.38</v>
      </c>
      <c r="X54" s="660">
        <v>0</v>
      </c>
      <c r="Y54" s="669"/>
      <c r="Z54" s="657"/>
      <c r="AA54" s="716"/>
      <c r="AB54" s="718"/>
      <c r="AC54" s="718"/>
      <c r="AD54" s="429" t="s">
        <v>1142</v>
      </c>
      <c r="AE54" s="429">
        <v>0</v>
      </c>
      <c r="AF54" s="429">
        <v>0</v>
      </c>
      <c r="AG54" s="663">
        <v>0</v>
      </c>
      <c r="AH54" s="663">
        <v>0</v>
      </c>
      <c r="AI54" s="663">
        <v>0</v>
      </c>
      <c r="AJ54" s="663">
        <v>0</v>
      </c>
      <c r="AK54" s="663">
        <v>0</v>
      </c>
      <c r="AL54" s="663">
        <v>0</v>
      </c>
      <c r="AM54" s="664">
        <f t="shared" si="3"/>
        <v>0</v>
      </c>
      <c r="AN54" s="651">
        <f>ERP_27[[#This Row],[2026 Working Total]]-ERP_27[[#This Row],[LE2 Final Submission]]</f>
        <v>0</v>
      </c>
      <c r="AO54" s="665">
        <v>0</v>
      </c>
      <c r="AP54" s="665">
        <f t="shared" si="2"/>
        <v>0</v>
      </c>
      <c r="AQ54" s="391">
        <f>SUM(ERP_27[[#This Row],[AP01]:[AP06]])-SUM(ERP_27[[#This Row],[AP01 LE2]:[AP06 LE2]])</f>
        <v>0</v>
      </c>
      <c r="AR54" s="670"/>
      <c r="AS54" s="665">
        <f>ERP_27[[#This Row],[2026 Working Total to Budget/LE]]-ERP_27[[#This Row],[Giveback]]</f>
        <v>0</v>
      </c>
      <c r="AT54" s="671"/>
      <c r="AU54" s="672"/>
      <c r="AV54" s="672"/>
      <c r="AW54" s="672"/>
      <c r="AX54" s="672">
        <v>0</v>
      </c>
      <c r="AY54" s="672">
        <v>0</v>
      </c>
      <c r="AZ54" s="672">
        <v>0</v>
      </c>
      <c r="BA54" s="672">
        <v>0</v>
      </c>
      <c r="BB54" s="672">
        <v>0</v>
      </c>
      <c r="BC54" s="672">
        <v>0</v>
      </c>
      <c r="BD54" s="672">
        <v>0</v>
      </c>
      <c r="BE54" s="672">
        <v>0</v>
      </c>
      <c r="BF54" s="672">
        <v>0</v>
      </c>
      <c r="BG54" s="672">
        <v>0</v>
      </c>
      <c r="BH54" s="666">
        <v>0</v>
      </c>
      <c r="BI54" s="666">
        <v>437.38</v>
      </c>
      <c r="BJ54" s="666">
        <v>0</v>
      </c>
      <c r="BK54" s="666">
        <v>0</v>
      </c>
      <c r="BL54" s="666">
        <v>0</v>
      </c>
      <c r="BM54" s="666">
        <v>0</v>
      </c>
      <c r="BN54" s="666">
        <v>0</v>
      </c>
      <c r="BO54" s="666">
        <v>0</v>
      </c>
      <c r="BP54" s="666">
        <v>0</v>
      </c>
      <c r="BQ54" s="666">
        <v>0</v>
      </c>
      <c r="BR54" s="666">
        <v>0</v>
      </c>
      <c r="BS54" s="666">
        <v>0</v>
      </c>
      <c r="BT54" s="665">
        <f>SUM(ERP_27[[#This Row],[2026 AP01]:[2026 AP12]])</f>
        <v>437.38</v>
      </c>
    </row>
    <row r="55" spans="1:72" ht="15" hidden="1" customHeight="1">
      <c r="A55" s="66" t="s">
        <v>2652</v>
      </c>
      <c r="B55" s="66"/>
      <c r="C55" s="66" t="s">
        <v>932</v>
      </c>
      <c r="D55" s="66" t="s">
        <v>2653</v>
      </c>
      <c r="E55" s="150" t="s">
        <v>1136</v>
      </c>
      <c r="F55" s="482" t="s">
        <v>1566</v>
      </c>
      <c r="G55" s="150" t="s">
        <v>1345</v>
      </c>
      <c r="H55" s="150" t="s">
        <v>1437</v>
      </c>
      <c r="I55" s="150" t="s">
        <v>1345</v>
      </c>
      <c r="J55" s="150" t="s">
        <v>1437</v>
      </c>
      <c r="K55" s="150" t="s">
        <v>1346</v>
      </c>
      <c r="L55" s="511" t="s">
        <v>639</v>
      </c>
      <c r="M55" s="392" t="s">
        <v>2654</v>
      </c>
      <c r="N55" s="343"/>
      <c r="O55" s="343"/>
      <c r="P55" s="70" t="s">
        <v>933</v>
      </c>
      <c r="Q55" s="346"/>
      <c r="R55" s="343"/>
      <c r="S55" s="346"/>
      <c r="T55" s="150" t="s">
        <v>152</v>
      </c>
      <c r="U55" s="150" t="s">
        <v>1992</v>
      </c>
      <c r="V55" s="643"/>
      <c r="W55" s="659">
        <v>39999.960000000014</v>
      </c>
      <c r="X55" s="659">
        <v>0</v>
      </c>
      <c r="Y55" s="669"/>
      <c r="Z55" s="657"/>
      <c r="AA55" s="714"/>
      <c r="AB55" s="429"/>
      <c r="AC55" s="429"/>
      <c r="AD55" s="429" t="s">
        <v>1142</v>
      </c>
      <c r="AE55" s="429">
        <v>0</v>
      </c>
      <c r="AF55" s="429">
        <v>0</v>
      </c>
      <c r="AG55" s="667"/>
      <c r="AH55" s="667"/>
      <c r="AI55" s="667"/>
      <c r="AJ55" s="667"/>
      <c r="AK55" s="667"/>
      <c r="AL55" s="667"/>
      <c r="AM55" s="664">
        <f t="shared" si="3"/>
        <v>0</v>
      </c>
      <c r="AN55" s="651">
        <f>ERP_27[[#This Row],[2026 Working Total]]-ERP_27[[#This Row],[LE2 Final Submission]]</f>
        <v>0</v>
      </c>
      <c r="AO55" s="665">
        <v>0</v>
      </c>
      <c r="AP55" s="665">
        <f t="shared" si="2"/>
        <v>0</v>
      </c>
      <c r="AQ55" s="391">
        <f>SUM(ERP_27[[#This Row],[AP01]:[AP06]])-SUM(ERP_27[[#This Row],[AP01 LE2]:[AP06 LE2]])</f>
        <v>0</v>
      </c>
      <c r="AR55" s="670"/>
      <c r="AS55" s="665">
        <f>ERP_27[[#This Row],[2026 Working Total to Budget/LE]]-ERP_27[[#This Row],[Giveback]]</f>
        <v>0</v>
      </c>
      <c r="AT55" s="671" t="s">
        <v>2655</v>
      </c>
      <c r="AU55" s="672"/>
      <c r="AV55" s="672"/>
      <c r="AW55" s="672"/>
      <c r="AX55" s="672"/>
      <c r="AY55" s="672"/>
      <c r="AZ55" s="672"/>
      <c r="BA55" s="672"/>
      <c r="BB55" s="672"/>
      <c r="BC55" s="672"/>
      <c r="BD55" s="672"/>
      <c r="BE55" s="672"/>
      <c r="BF55" s="672"/>
      <c r="BG55" s="672">
        <v>0</v>
      </c>
      <c r="BH55" s="665"/>
      <c r="BI55" s="665"/>
      <c r="BJ55" s="665"/>
      <c r="BK55" s="665">
        <v>4000</v>
      </c>
      <c r="BL55" s="665">
        <v>4000</v>
      </c>
      <c r="BM55" s="665">
        <v>4000</v>
      </c>
      <c r="BN55" s="665">
        <v>4000</v>
      </c>
      <c r="BO55" s="665">
        <v>4000</v>
      </c>
      <c r="BP55" s="665">
        <v>4000</v>
      </c>
      <c r="BQ55" s="665">
        <v>4000</v>
      </c>
      <c r="BR55" s="665">
        <v>4000</v>
      </c>
      <c r="BS55" s="665">
        <v>4000</v>
      </c>
      <c r="BT55" s="665">
        <v>36000</v>
      </c>
    </row>
    <row r="56" spans="1:72" ht="15" hidden="1" customHeight="1">
      <c r="A56" s="66" t="s">
        <v>2659</v>
      </c>
      <c r="B56" s="66"/>
      <c r="C56" s="66" t="s">
        <v>936</v>
      </c>
      <c r="D56" s="66" t="s">
        <v>936</v>
      </c>
      <c r="E56" s="150" t="s">
        <v>1136</v>
      </c>
      <c r="F56" s="482" t="s">
        <v>1566</v>
      </c>
      <c r="G56" s="150" t="s">
        <v>1345</v>
      </c>
      <c r="H56" s="150" t="s">
        <v>1345</v>
      </c>
      <c r="I56" s="150" t="s">
        <v>1345</v>
      </c>
      <c r="J56" s="150" t="s">
        <v>1345</v>
      </c>
      <c r="K56" s="150" t="s">
        <v>1346</v>
      </c>
      <c r="L56" s="511" t="s">
        <v>639</v>
      </c>
      <c r="M56" s="392" t="s">
        <v>2660</v>
      </c>
      <c r="N56" s="343"/>
      <c r="O56" s="343"/>
      <c r="P56" s="70" t="s">
        <v>937</v>
      </c>
      <c r="Q56" s="343" t="s">
        <v>1139</v>
      </c>
      <c r="R56" s="343"/>
      <c r="S56" s="346"/>
      <c r="T56" s="150" t="s">
        <v>152</v>
      </c>
      <c r="U56" s="150" t="s">
        <v>2661</v>
      </c>
      <c r="V56" s="643"/>
      <c r="W56" s="659">
        <v>174240</v>
      </c>
      <c r="X56" s="659">
        <v>0</v>
      </c>
      <c r="Y56" s="669"/>
      <c r="Z56" s="657"/>
      <c r="AA56" s="714"/>
      <c r="AB56" s="429"/>
      <c r="AC56" s="429"/>
      <c r="AD56" s="429" t="s">
        <v>1142</v>
      </c>
      <c r="AE56" s="429">
        <v>0</v>
      </c>
      <c r="AF56" s="429">
        <v>0</v>
      </c>
      <c r="AG56" s="667">
        <f t="shared" ref="AG56:AL56" si="6">14520-14520</f>
        <v>0</v>
      </c>
      <c r="AH56" s="667">
        <f t="shared" si="6"/>
        <v>0</v>
      </c>
      <c r="AI56" s="667">
        <f t="shared" si="6"/>
        <v>0</v>
      </c>
      <c r="AJ56" s="667">
        <f t="shared" si="6"/>
        <v>0</v>
      </c>
      <c r="AK56" s="667">
        <f t="shared" si="6"/>
        <v>0</v>
      </c>
      <c r="AL56" s="667">
        <f t="shared" si="6"/>
        <v>0</v>
      </c>
      <c r="AM56" s="664">
        <f t="shared" si="3"/>
        <v>0</v>
      </c>
      <c r="AN56" s="651">
        <f>ERP_27[[#This Row],[2026 Working Total]]-ERP_27[[#This Row],[LE2 Final Submission]]</f>
        <v>0</v>
      </c>
      <c r="AO56" s="665"/>
      <c r="AP56" s="665">
        <f t="shared" si="2"/>
        <v>0</v>
      </c>
      <c r="AQ56" s="391">
        <f>SUM(ERP_27[[#This Row],[AP01]:[AP06]])-SUM(ERP_27[[#This Row],[AP01 LE2]:[AP06 LE2]])</f>
        <v>0</v>
      </c>
      <c r="AR56" s="670"/>
      <c r="AS56" s="665">
        <f>ERP_27[[#This Row],[2026 Working Total to Budget/LE]]-ERP_27[[#This Row],[Giveback]]</f>
        <v>0</v>
      </c>
      <c r="AT56" s="671"/>
      <c r="AU56" s="672"/>
      <c r="AV56" s="672"/>
      <c r="AW56" s="672"/>
      <c r="AX56" s="672">
        <v>0</v>
      </c>
      <c r="AY56" s="672">
        <v>0</v>
      </c>
      <c r="AZ56" s="672">
        <v>0</v>
      </c>
      <c r="BA56" s="672">
        <v>0</v>
      </c>
      <c r="BB56" s="672">
        <v>0</v>
      </c>
      <c r="BC56" s="672">
        <v>0</v>
      </c>
      <c r="BD56" s="672">
        <v>0</v>
      </c>
      <c r="BE56" s="672">
        <v>0</v>
      </c>
      <c r="BF56" s="672">
        <v>0</v>
      </c>
      <c r="BG56" s="672">
        <v>0</v>
      </c>
      <c r="BH56" s="665"/>
      <c r="BI56" s="665"/>
      <c r="BJ56" s="665"/>
      <c r="BK56" s="665">
        <v>14520</v>
      </c>
      <c r="BL56" s="665">
        <v>14520</v>
      </c>
      <c r="BM56" s="665">
        <v>14520</v>
      </c>
      <c r="BN56" s="665">
        <v>14520</v>
      </c>
      <c r="BO56" s="665">
        <v>14520</v>
      </c>
      <c r="BP56" s="665">
        <v>14520</v>
      </c>
      <c r="BQ56" s="665">
        <v>14520</v>
      </c>
      <c r="BR56" s="665">
        <v>14520</v>
      </c>
      <c r="BS56" s="665">
        <v>14520</v>
      </c>
      <c r="BT56" s="665">
        <v>130680</v>
      </c>
    </row>
    <row r="57" spans="1:72" ht="15" hidden="1" customHeight="1">
      <c r="A57" s="66" t="s">
        <v>2662</v>
      </c>
      <c r="B57" s="66"/>
      <c r="C57" s="66" t="s">
        <v>938</v>
      </c>
      <c r="D57" s="66" t="s">
        <v>938</v>
      </c>
      <c r="E57" s="150" t="s">
        <v>1136</v>
      </c>
      <c r="F57" s="482" t="s">
        <v>1566</v>
      </c>
      <c r="G57" s="150" t="s">
        <v>1345</v>
      </c>
      <c r="H57" s="150" t="s">
        <v>1345</v>
      </c>
      <c r="I57" s="150" t="s">
        <v>1345</v>
      </c>
      <c r="J57" s="150" t="s">
        <v>1345</v>
      </c>
      <c r="K57" s="150" t="s">
        <v>1346</v>
      </c>
      <c r="L57" s="511" t="s">
        <v>639</v>
      </c>
      <c r="M57" s="392" t="s">
        <v>2663</v>
      </c>
      <c r="N57" s="343"/>
      <c r="O57" s="343"/>
      <c r="P57" s="70" t="s">
        <v>939</v>
      </c>
      <c r="Q57" s="343" t="s">
        <v>1139</v>
      </c>
      <c r="R57" s="343"/>
      <c r="S57" s="346"/>
      <c r="T57" s="150" t="s">
        <v>152</v>
      </c>
      <c r="U57" s="150" t="s">
        <v>2661</v>
      </c>
      <c r="V57" s="643"/>
      <c r="W57" s="659">
        <v>266860.99999999988</v>
      </c>
      <c r="X57" s="659">
        <v>0</v>
      </c>
      <c r="Y57" s="669"/>
      <c r="Z57" s="657"/>
      <c r="AA57" s="714"/>
      <c r="AB57" s="429"/>
      <c r="AC57" s="429"/>
      <c r="AD57" s="429" t="s">
        <v>1142</v>
      </c>
      <c r="AE57" s="429">
        <v>0</v>
      </c>
      <c r="AF57" s="429">
        <v>0</v>
      </c>
      <c r="AG57" s="667">
        <f t="shared" ref="AG57:AL57" si="7">22238.42-22238.42</f>
        <v>0</v>
      </c>
      <c r="AH57" s="667">
        <f t="shared" si="7"/>
        <v>0</v>
      </c>
      <c r="AI57" s="667">
        <f t="shared" si="7"/>
        <v>0</v>
      </c>
      <c r="AJ57" s="667">
        <f t="shared" si="7"/>
        <v>0</v>
      </c>
      <c r="AK57" s="667">
        <f t="shared" si="7"/>
        <v>0</v>
      </c>
      <c r="AL57" s="667">
        <f t="shared" si="7"/>
        <v>0</v>
      </c>
      <c r="AM57" s="664">
        <f t="shared" si="3"/>
        <v>0</v>
      </c>
      <c r="AN57" s="651">
        <f>ERP_27[[#This Row],[2026 Working Total]]-ERP_27[[#This Row],[LE2 Final Submission]]</f>
        <v>0</v>
      </c>
      <c r="AO57" s="665">
        <v>924.99</v>
      </c>
      <c r="AP57" s="665">
        <f t="shared" si="2"/>
        <v>-924.99</v>
      </c>
      <c r="AQ57" s="391">
        <f>SUM(ERP_27[[#This Row],[AP01]:[AP06]])-SUM(ERP_27[[#This Row],[AP01 LE2]:[AP06 LE2]])</f>
        <v>0</v>
      </c>
      <c r="AR57" s="670"/>
      <c r="AS57" s="665">
        <f>ERP_27[[#This Row],[2026 Working Total to Budget/LE]]-ERP_27[[#This Row],[Giveback]]</f>
        <v>0</v>
      </c>
      <c r="AT57" s="671"/>
      <c r="AU57" s="672"/>
      <c r="AV57" s="672"/>
      <c r="AW57" s="672"/>
      <c r="AX57" s="672">
        <v>0</v>
      </c>
      <c r="AY57" s="672">
        <v>0</v>
      </c>
      <c r="AZ57" s="672">
        <v>0</v>
      </c>
      <c r="BA57" s="672">
        <v>0</v>
      </c>
      <c r="BB57" s="672">
        <v>0</v>
      </c>
      <c r="BC57" s="672">
        <v>0</v>
      </c>
      <c r="BD57" s="672">
        <v>0</v>
      </c>
      <c r="BE57" s="672">
        <v>0</v>
      </c>
      <c r="BF57" s="672">
        <v>0</v>
      </c>
      <c r="BG57" s="672">
        <v>0</v>
      </c>
      <c r="BH57" s="665"/>
      <c r="BI57" s="665"/>
      <c r="BJ57" s="665"/>
      <c r="BK57" s="665">
        <v>22238.42</v>
      </c>
      <c r="BL57" s="665">
        <v>22238.42</v>
      </c>
      <c r="BM57" s="665">
        <v>22238.42</v>
      </c>
      <c r="BN57" s="665">
        <v>22238.42</v>
      </c>
      <c r="BO57" s="665">
        <v>22238.42</v>
      </c>
      <c r="BP57" s="665">
        <v>22238.42</v>
      </c>
      <c r="BQ57" s="665">
        <v>22238.42</v>
      </c>
      <c r="BR57" s="665">
        <v>22238.42</v>
      </c>
      <c r="BS57" s="665">
        <v>22238.42</v>
      </c>
      <c r="BT57" s="665">
        <v>200145.77999999997</v>
      </c>
    </row>
    <row r="58" spans="1:72" ht="15" hidden="1" customHeight="1">
      <c r="A58" s="79" t="s">
        <v>2667</v>
      </c>
      <c r="B58" s="79"/>
      <c r="C58" s="79" t="s">
        <v>941</v>
      </c>
      <c r="D58" s="296" t="s">
        <v>941</v>
      </c>
      <c r="E58" s="150" t="s">
        <v>1136</v>
      </c>
      <c r="F58" s="482" t="s">
        <v>1566</v>
      </c>
      <c r="G58" s="150" t="s">
        <v>1345</v>
      </c>
      <c r="H58" s="150" t="s">
        <v>1345</v>
      </c>
      <c r="I58" s="332" t="s">
        <v>1345</v>
      </c>
      <c r="J58" s="332" t="s">
        <v>1345</v>
      </c>
      <c r="K58" s="332" t="s">
        <v>1345</v>
      </c>
      <c r="L58" s="514" t="s">
        <v>639</v>
      </c>
      <c r="M58" s="394" t="s">
        <v>2668</v>
      </c>
      <c r="N58" s="343"/>
      <c r="O58" s="333"/>
      <c r="P58" s="70" t="s">
        <v>53</v>
      </c>
      <c r="Q58" s="347"/>
      <c r="R58" s="343"/>
      <c r="S58" s="348"/>
      <c r="T58" s="348"/>
      <c r="U58" s="348" t="s">
        <v>1700</v>
      </c>
      <c r="V58" s="646"/>
      <c r="W58" s="358"/>
      <c r="X58" s="358">
        <v>0</v>
      </c>
      <c r="Y58" s="669"/>
      <c r="Z58" s="657"/>
      <c r="AA58" s="714"/>
      <c r="AB58" s="429"/>
      <c r="AC58" s="429"/>
      <c r="AD58" s="429" t="s">
        <v>1142</v>
      </c>
      <c r="AE58" s="429">
        <v>0</v>
      </c>
      <c r="AF58" s="429">
        <v>0</v>
      </c>
      <c r="AG58" s="667"/>
      <c r="AH58" s="667"/>
      <c r="AI58" s="667"/>
      <c r="AJ58" s="667"/>
      <c r="AK58" s="667"/>
      <c r="AL58" s="667"/>
      <c r="AM58" s="664">
        <f t="shared" si="3"/>
        <v>0</v>
      </c>
      <c r="AN58" s="651">
        <f>ERP_27[[#This Row],[2026 Working Total]]-ERP_27[[#This Row],[LE2 Final Submission]]</f>
        <v>0</v>
      </c>
      <c r="AO58" s="665">
        <v>-180</v>
      </c>
      <c r="AP58" s="665">
        <f t="shared" si="2"/>
        <v>180</v>
      </c>
      <c r="AQ58" s="391">
        <f>SUM(ERP_27[[#This Row],[AP01]:[AP06]])-SUM(ERP_27[[#This Row],[AP01 LE2]:[AP06 LE2]])</f>
        <v>0</v>
      </c>
      <c r="AR58" s="670"/>
      <c r="AS58" s="665">
        <f>ERP_27[[#This Row],[2026 Working Total to Budget/LE]]-ERP_27[[#This Row],[Giveback]]</f>
        <v>0</v>
      </c>
      <c r="AT58" s="671"/>
      <c r="AU58" s="672"/>
      <c r="AV58" s="672"/>
      <c r="AW58" s="672"/>
      <c r="AX58" s="672">
        <v>180</v>
      </c>
      <c r="AY58" s="672">
        <v>-180</v>
      </c>
      <c r="AZ58" s="672"/>
      <c r="BA58" s="672"/>
      <c r="BB58" s="672"/>
      <c r="BC58" s="672"/>
      <c r="BD58" s="672"/>
      <c r="BE58" s="672"/>
      <c r="BF58" s="672"/>
      <c r="BG58" s="672">
        <v>0</v>
      </c>
      <c r="BH58" s="665"/>
      <c r="BI58" s="665"/>
      <c r="BJ58" s="665"/>
      <c r="BK58" s="665"/>
      <c r="BL58" s="665"/>
      <c r="BM58" s="665"/>
      <c r="BN58" s="665"/>
      <c r="BO58" s="665"/>
      <c r="BP58" s="665"/>
      <c r="BQ58" s="665"/>
      <c r="BR58" s="665"/>
      <c r="BS58" s="665"/>
      <c r="BT58" s="665"/>
    </row>
    <row r="59" spans="1:72" ht="15" hidden="1" customHeight="1">
      <c r="A59" s="66" t="s">
        <v>1463</v>
      </c>
      <c r="B59" s="66"/>
      <c r="C59" s="66" t="s">
        <v>213</v>
      </c>
      <c r="D59" s="66" t="s">
        <v>213</v>
      </c>
      <c r="E59" s="150" t="s">
        <v>1136</v>
      </c>
      <c r="F59" s="482" t="s">
        <v>1566</v>
      </c>
      <c r="G59" s="150" t="s">
        <v>1450</v>
      </c>
      <c r="H59" s="150" t="s">
        <v>1450</v>
      </c>
      <c r="I59" s="150" t="s">
        <v>1345</v>
      </c>
      <c r="J59" s="150" t="s">
        <v>1450</v>
      </c>
      <c r="K59" s="150" t="s">
        <v>1346</v>
      </c>
      <c r="L59" s="511" t="s">
        <v>49</v>
      </c>
      <c r="M59" s="392" t="s">
        <v>1464</v>
      </c>
      <c r="N59" s="343"/>
      <c r="O59" s="343"/>
      <c r="P59" s="70" t="s">
        <v>214</v>
      </c>
      <c r="Q59" s="346"/>
      <c r="R59" s="343"/>
      <c r="S59" s="346"/>
      <c r="T59" s="150" t="s">
        <v>188</v>
      </c>
      <c r="U59" s="150"/>
      <c r="V59" s="643"/>
      <c r="W59" s="659">
        <v>35000</v>
      </c>
      <c r="X59" s="659">
        <v>0</v>
      </c>
      <c r="Y59" s="669"/>
      <c r="Z59" s="657"/>
      <c r="AA59" s="714"/>
      <c r="AB59" s="429"/>
      <c r="AC59" s="429"/>
      <c r="AD59" s="429" t="s">
        <v>1142</v>
      </c>
      <c r="AE59" s="429">
        <v>0</v>
      </c>
      <c r="AF59" s="429">
        <v>0</v>
      </c>
      <c r="AG59" s="667"/>
      <c r="AH59" s="667"/>
      <c r="AI59" s="667"/>
      <c r="AJ59" s="667"/>
      <c r="AK59" s="667"/>
      <c r="AL59" s="667"/>
      <c r="AM59" s="664">
        <f t="shared" si="3"/>
        <v>0</v>
      </c>
      <c r="AN59" s="651">
        <f>ERP_27[[#This Row],[2026 Working Total]]-ERP_27[[#This Row],[LE2 Final Submission]]</f>
        <v>0</v>
      </c>
      <c r="AO59" s="665"/>
      <c r="AP59" s="665">
        <f t="shared" si="2"/>
        <v>0</v>
      </c>
      <c r="AQ59" s="391">
        <f>SUM(ERP_27[[#This Row],[AP01]:[AP06]])-SUM(ERP_27[[#This Row],[AP01 LE2]:[AP06 LE2]])</f>
        <v>0</v>
      </c>
      <c r="AR59" s="670"/>
      <c r="AS59" s="665">
        <f>ERP_27[[#This Row],[2026 Working Total to Budget/LE]]-ERP_27[[#This Row],[Giveback]]</f>
        <v>0</v>
      </c>
      <c r="AT59" s="671" t="s">
        <v>1465</v>
      </c>
      <c r="AU59" s="672"/>
      <c r="AV59" s="672"/>
      <c r="AW59" s="672"/>
      <c r="AX59" s="672"/>
      <c r="AY59" s="672"/>
      <c r="AZ59" s="672"/>
      <c r="BA59" s="672"/>
      <c r="BB59" s="672"/>
      <c r="BC59" s="672"/>
      <c r="BD59" s="672"/>
      <c r="BE59" s="672"/>
      <c r="BF59" s="672"/>
      <c r="BG59" s="672">
        <v>0</v>
      </c>
      <c r="BH59" s="665"/>
      <c r="BI59" s="665"/>
      <c r="BJ59" s="665"/>
      <c r="BK59" s="665">
        <v>2917</v>
      </c>
      <c r="BL59" s="665">
        <v>2917</v>
      </c>
      <c r="BM59" s="665">
        <v>2917</v>
      </c>
      <c r="BN59" s="665">
        <v>2917</v>
      </c>
      <c r="BO59" s="665">
        <v>2917</v>
      </c>
      <c r="BP59" s="665">
        <v>2916</v>
      </c>
      <c r="BQ59" s="665">
        <v>2916</v>
      </c>
      <c r="BR59" s="665">
        <v>2916</v>
      </c>
      <c r="BS59" s="665">
        <v>2916</v>
      </c>
      <c r="BT59" s="665">
        <v>26249</v>
      </c>
    </row>
    <row r="60" spans="1:72" ht="15" hidden="1" customHeight="1">
      <c r="A60" s="79" t="s">
        <v>2042</v>
      </c>
      <c r="B60" s="79"/>
      <c r="C60" s="79" t="s">
        <v>545</v>
      </c>
      <c r="D60" s="296" t="s">
        <v>545</v>
      </c>
      <c r="E60" s="150" t="s">
        <v>1136</v>
      </c>
      <c r="F60" s="482" t="s">
        <v>1566</v>
      </c>
      <c r="G60" s="383" t="s">
        <v>1480</v>
      </c>
      <c r="H60" s="383" t="s">
        <v>1480</v>
      </c>
      <c r="I60" s="332" t="s">
        <v>1345</v>
      </c>
      <c r="J60" s="383" t="s">
        <v>1480</v>
      </c>
      <c r="K60" s="331" t="s">
        <v>1346</v>
      </c>
      <c r="L60" s="512" t="s">
        <v>389</v>
      </c>
      <c r="M60" s="393" t="s">
        <v>1758</v>
      </c>
      <c r="N60" s="343"/>
      <c r="O60" s="331"/>
      <c r="P60" s="91" t="s">
        <v>393</v>
      </c>
      <c r="Q60" s="343"/>
      <c r="R60" s="343"/>
      <c r="S60" s="348"/>
      <c r="T60" s="386" t="s">
        <v>152</v>
      </c>
      <c r="U60" s="387" t="s">
        <v>2043</v>
      </c>
      <c r="V60" s="668"/>
      <c r="W60" s="358">
        <v>125000</v>
      </c>
      <c r="X60" s="660">
        <v>0</v>
      </c>
      <c r="Y60" s="669"/>
      <c r="Z60" s="657"/>
      <c r="AA60" s="716"/>
      <c r="AB60" s="718"/>
      <c r="AC60" s="718"/>
      <c r="AD60" s="429" t="s">
        <v>1142</v>
      </c>
      <c r="AE60" s="429">
        <v>0</v>
      </c>
      <c r="AF60" s="429">
        <v>0</v>
      </c>
      <c r="AG60" s="663">
        <f t="shared" ref="AG60:AL60" si="8">12500-12500</f>
        <v>0</v>
      </c>
      <c r="AH60" s="663">
        <f t="shared" si="8"/>
        <v>0</v>
      </c>
      <c r="AI60" s="663">
        <f t="shared" si="8"/>
        <v>0</v>
      </c>
      <c r="AJ60" s="663">
        <f t="shared" si="8"/>
        <v>0</v>
      </c>
      <c r="AK60" s="663">
        <f t="shared" si="8"/>
        <v>0</v>
      </c>
      <c r="AL60" s="663">
        <f t="shared" si="8"/>
        <v>0</v>
      </c>
      <c r="AM60" s="664">
        <f t="shared" si="3"/>
        <v>0</v>
      </c>
      <c r="AN60" s="651">
        <f>ERP_27[[#This Row],[2026 Working Total]]-ERP_27[[#This Row],[LE2 Final Submission]]</f>
        <v>0</v>
      </c>
      <c r="AO60" s="665"/>
      <c r="AP60" s="665">
        <f t="shared" si="2"/>
        <v>0</v>
      </c>
      <c r="AQ60" s="391">
        <f>SUM(ERP_27[[#This Row],[AP01]:[AP06]])-SUM(ERP_27[[#This Row],[AP01 LE2]:[AP06 LE2]])</f>
        <v>0</v>
      </c>
      <c r="AR60" s="670"/>
      <c r="AS60" s="665">
        <f>ERP_27[[#This Row],[2026 Working Total to Budget/LE]]-ERP_27[[#This Row],[Giveback]]</f>
        <v>0</v>
      </c>
      <c r="AT60" s="671"/>
      <c r="AU60" s="672"/>
      <c r="AV60" s="672"/>
      <c r="AW60" s="672"/>
      <c r="AX60" s="672">
        <v>0</v>
      </c>
      <c r="AY60" s="672">
        <v>0</v>
      </c>
      <c r="AZ60" s="672">
        <v>0</v>
      </c>
      <c r="BA60" s="672">
        <v>0</v>
      </c>
      <c r="BB60" s="672">
        <v>0</v>
      </c>
      <c r="BC60" s="672">
        <v>0</v>
      </c>
      <c r="BD60" s="672">
        <v>0</v>
      </c>
      <c r="BE60" s="672">
        <v>0</v>
      </c>
      <c r="BF60" s="672">
        <v>0</v>
      </c>
      <c r="BG60" s="672">
        <v>0</v>
      </c>
      <c r="BH60" s="666">
        <v>0</v>
      </c>
      <c r="BI60" s="666">
        <v>0</v>
      </c>
      <c r="BJ60" s="666">
        <v>12500</v>
      </c>
      <c r="BK60" s="666">
        <v>12500</v>
      </c>
      <c r="BL60" s="666">
        <v>12500</v>
      </c>
      <c r="BM60" s="666">
        <v>12500</v>
      </c>
      <c r="BN60" s="666">
        <v>12500</v>
      </c>
      <c r="BO60" s="666">
        <v>12500</v>
      </c>
      <c r="BP60" s="666">
        <v>12500</v>
      </c>
      <c r="BQ60" s="666">
        <v>12500</v>
      </c>
      <c r="BR60" s="666">
        <v>12500</v>
      </c>
      <c r="BS60" s="666">
        <v>12500</v>
      </c>
      <c r="BT60" s="665">
        <f>SUM(ERP_27[[#This Row],[2026 AP01]:[2026 AP12]])</f>
        <v>125000</v>
      </c>
    </row>
    <row r="61" spans="1:72" ht="15" hidden="1" customHeight="1">
      <c r="A61" s="79" t="s">
        <v>2044</v>
      </c>
      <c r="B61" s="79"/>
      <c r="C61" s="79" t="s">
        <v>546</v>
      </c>
      <c r="D61" s="296" t="s">
        <v>546</v>
      </c>
      <c r="E61" s="150" t="s">
        <v>1136</v>
      </c>
      <c r="F61" s="482" t="s">
        <v>1566</v>
      </c>
      <c r="G61" s="383" t="s">
        <v>1480</v>
      </c>
      <c r="H61" s="383" t="s">
        <v>1480</v>
      </c>
      <c r="I61" s="332" t="s">
        <v>1345</v>
      </c>
      <c r="J61" s="383" t="s">
        <v>1480</v>
      </c>
      <c r="K61" s="331" t="s">
        <v>1346</v>
      </c>
      <c r="L61" s="512" t="s">
        <v>389</v>
      </c>
      <c r="M61" s="393" t="s">
        <v>1761</v>
      </c>
      <c r="N61" s="343"/>
      <c r="O61" s="331"/>
      <c r="P61" s="91" t="s">
        <v>395</v>
      </c>
      <c r="Q61" s="343"/>
      <c r="R61" s="343"/>
      <c r="S61" s="348"/>
      <c r="T61" s="386" t="s">
        <v>152</v>
      </c>
      <c r="U61" s="387" t="s">
        <v>2043</v>
      </c>
      <c r="V61" s="668"/>
      <c r="W61" s="358">
        <v>100000</v>
      </c>
      <c r="X61" s="660">
        <v>0</v>
      </c>
      <c r="Y61" s="669"/>
      <c r="Z61" s="657"/>
      <c r="AA61" s="716"/>
      <c r="AB61" s="718"/>
      <c r="AC61" s="718"/>
      <c r="AD61" s="429" t="s">
        <v>1142</v>
      </c>
      <c r="AE61" s="429">
        <v>0</v>
      </c>
      <c r="AF61" s="429">
        <v>0</v>
      </c>
      <c r="AG61" s="663">
        <f t="shared" ref="AG61:AL61" si="9">10000-10000</f>
        <v>0</v>
      </c>
      <c r="AH61" s="663">
        <f t="shared" si="9"/>
        <v>0</v>
      </c>
      <c r="AI61" s="663">
        <f t="shared" si="9"/>
        <v>0</v>
      </c>
      <c r="AJ61" s="663">
        <f t="shared" si="9"/>
        <v>0</v>
      </c>
      <c r="AK61" s="663">
        <f t="shared" si="9"/>
        <v>0</v>
      </c>
      <c r="AL61" s="663">
        <f t="shared" si="9"/>
        <v>0</v>
      </c>
      <c r="AM61" s="664">
        <f t="shared" si="3"/>
        <v>0</v>
      </c>
      <c r="AN61" s="651">
        <f>ERP_27[[#This Row],[2026 Working Total]]-ERP_27[[#This Row],[LE2 Final Submission]]</f>
        <v>0</v>
      </c>
      <c r="AO61" s="665">
        <v>9692</v>
      </c>
      <c r="AP61" s="665">
        <f t="shared" si="2"/>
        <v>-9692</v>
      </c>
      <c r="AQ61" s="391">
        <f>SUM(ERP_27[[#This Row],[AP01]:[AP06]])-SUM(ERP_27[[#This Row],[AP01 LE2]:[AP06 LE2]])</f>
        <v>0</v>
      </c>
      <c r="AR61" s="670"/>
      <c r="AS61" s="665">
        <f>ERP_27[[#This Row],[2026 Working Total to Budget/LE]]-ERP_27[[#This Row],[Giveback]]</f>
        <v>0</v>
      </c>
      <c r="AT61" s="671"/>
      <c r="AU61" s="672"/>
      <c r="AV61" s="672"/>
      <c r="AW61" s="672"/>
      <c r="AX61" s="672">
        <v>0</v>
      </c>
      <c r="AY61" s="672">
        <v>0</v>
      </c>
      <c r="AZ61" s="672">
        <v>0</v>
      </c>
      <c r="BA61" s="672">
        <v>0</v>
      </c>
      <c r="BB61" s="672">
        <v>0</v>
      </c>
      <c r="BC61" s="672">
        <v>0</v>
      </c>
      <c r="BD61" s="672">
        <v>0</v>
      </c>
      <c r="BE61" s="672">
        <v>0</v>
      </c>
      <c r="BF61" s="672">
        <v>0</v>
      </c>
      <c r="BG61" s="672">
        <v>0</v>
      </c>
      <c r="BH61" s="666">
        <v>0</v>
      </c>
      <c r="BI61" s="666">
        <v>0</v>
      </c>
      <c r="BJ61" s="666">
        <v>10000</v>
      </c>
      <c r="BK61" s="666">
        <v>10000</v>
      </c>
      <c r="BL61" s="666">
        <v>10000</v>
      </c>
      <c r="BM61" s="666">
        <v>10000</v>
      </c>
      <c r="BN61" s="666">
        <v>10000</v>
      </c>
      <c r="BO61" s="666">
        <v>10000</v>
      </c>
      <c r="BP61" s="666">
        <v>10000</v>
      </c>
      <c r="BQ61" s="666">
        <v>10000</v>
      </c>
      <c r="BR61" s="666">
        <v>10000</v>
      </c>
      <c r="BS61" s="666">
        <v>10000</v>
      </c>
      <c r="BT61" s="665">
        <f>SUM(ERP_27[[#This Row],[2026 AP01]:[2026 AP12]])</f>
        <v>100000</v>
      </c>
    </row>
    <row r="62" spans="1:72" ht="15" hidden="1" customHeight="1">
      <c r="A62" s="79" t="s">
        <v>2045</v>
      </c>
      <c r="B62" s="79"/>
      <c r="C62" s="79" t="s">
        <v>547</v>
      </c>
      <c r="D62" s="296" t="s">
        <v>547</v>
      </c>
      <c r="E62" s="150" t="s">
        <v>1136</v>
      </c>
      <c r="F62" s="482" t="s">
        <v>1566</v>
      </c>
      <c r="G62" s="383" t="s">
        <v>1480</v>
      </c>
      <c r="H62" s="383" t="s">
        <v>1480</v>
      </c>
      <c r="I62" s="332" t="s">
        <v>1345</v>
      </c>
      <c r="J62" s="383" t="s">
        <v>1480</v>
      </c>
      <c r="K62" s="331" t="s">
        <v>1346</v>
      </c>
      <c r="L62" s="512" t="s">
        <v>389</v>
      </c>
      <c r="M62" s="393" t="s">
        <v>2046</v>
      </c>
      <c r="N62" s="343"/>
      <c r="O62" s="331"/>
      <c r="P62" s="91" t="s">
        <v>397</v>
      </c>
      <c r="Q62" s="343"/>
      <c r="R62" s="343"/>
      <c r="S62" s="348"/>
      <c r="T62" s="386" t="s">
        <v>152</v>
      </c>
      <c r="U62" s="387" t="s">
        <v>2043</v>
      </c>
      <c r="V62" s="668"/>
      <c r="W62" s="358">
        <v>75000</v>
      </c>
      <c r="X62" s="660">
        <v>0</v>
      </c>
      <c r="Y62" s="669"/>
      <c r="Z62" s="657"/>
      <c r="AA62" s="716"/>
      <c r="AB62" s="718"/>
      <c r="AC62" s="718"/>
      <c r="AD62" s="429" t="s">
        <v>1142</v>
      </c>
      <c r="AE62" s="429">
        <v>0</v>
      </c>
      <c r="AF62" s="429">
        <v>0</v>
      </c>
      <c r="AG62" s="663">
        <f t="shared" ref="AG62:AL62" si="10">6250-6250</f>
        <v>0</v>
      </c>
      <c r="AH62" s="663">
        <f t="shared" si="10"/>
        <v>0</v>
      </c>
      <c r="AI62" s="663">
        <f t="shared" si="10"/>
        <v>0</v>
      </c>
      <c r="AJ62" s="663">
        <f t="shared" si="10"/>
        <v>0</v>
      </c>
      <c r="AK62" s="663">
        <f t="shared" si="10"/>
        <v>0</v>
      </c>
      <c r="AL62" s="663">
        <f t="shared" si="10"/>
        <v>0</v>
      </c>
      <c r="AM62" s="664">
        <f t="shared" si="3"/>
        <v>0</v>
      </c>
      <c r="AN62" s="651">
        <f>ERP_27[[#This Row],[2026 Working Total]]-ERP_27[[#This Row],[LE2 Final Submission]]</f>
        <v>0</v>
      </c>
      <c r="AO62" s="665">
        <v>391800</v>
      </c>
      <c r="AP62" s="665">
        <f t="shared" si="2"/>
        <v>-391800</v>
      </c>
      <c r="AQ62" s="391">
        <f>SUM(ERP_27[[#This Row],[AP01]:[AP06]])-SUM(ERP_27[[#This Row],[AP01 LE2]:[AP06 LE2]])</f>
        <v>0</v>
      </c>
      <c r="AR62" s="670"/>
      <c r="AS62" s="665">
        <f>ERP_27[[#This Row],[2026 Working Total to Budget/LE]]-ERP_27[[#This Row],[Giveback]]</f>
        <v>0</v>
      </c>
      <c r="AT62" s="671"/>
      <c r="AU62" s="672"/>
      <c r="AV62" s="672"/>
      <c r="AW62" s="672"/>
      <c r="AX62" s="672">
        <v>0</v>
      </c>
      <c r="AY62" s="672">
        <v>0</v>
      </c>
      <c r="AZ62" s="672">
        <v>0</v>
      </c>
      <c r="BA62" s="672">
        <v>0</v>
      </c>
      <c r="BB62" s="672">
        <v>0</v>
      </c>
      <c r="BC62" s="672">
        <v>0</v>
      </c>
      <c r="BD62" s="672">
        <v>0</v>
      </c>
      <c r="BE62" s="672">
        <v>0</v>
      </c>
      <c r="BF62" s="672">
        <v>0</v>
      </c>
      <c r="BG62" s="672">
        <v>0</v>
      </c>
      <c r="BH62" s="666">
        <v>6250</v>
      </c>
      <c r="BI62" s="666">
        <v>6250</v>
      </c>
      <c r="BJ62" s="666">
        <v>6250</v>
      </c>
      <c r="BK62" s="666">
        <v>6250</v>
      </c>
      <c r="BL62" s="666">
        <v>6250</v>
      </c>
      <c r="BM62" s="666">
        <v>6250</v>
      </c>
      <c r="BN62" s="666">
        <v>6250</v>
      </c>
      <c r="BO62" s="666">
        <v>6250</v>
      </c>
      <c r="BP62" s="666">
        <v>6250</v>
      </c>
      <c r="BQ62" s="666">
        <v>6250</v>
      </c>
      <c r="BR62" s="666">
        <v>6250</v>
      </c>
      <c r="BS62" s="666">
        <v>6250</v>
      </c>
      <c r="BT62" s="665">
        <f>SUM(ERP_27[[#This Row],[2026 AP01]:[2026 AP12]])</f>
        <v>75000</v>
      </c>
    </row>
    <row r="63" spans="1:72" ht="15" hidden="1" customHeight="1">
      <c r="A63" s="66" t="s">
        <v>2056</v>
      </c>
      <c r="B63" s="66"/>
      <c r="C63" s="66" t="s">
        <v>551</v>
      </c>
      <c r="D63" s="66" t="s">
        <v>551</v>
      </c>
      <c r="E63" s="150" t="s">
        <v>1136</v>
      </c>
      <c r="F63" s="482" t="s">
        <v>1566</v>
      </c>
      <c r="G63" s="383" t="s">
        <v>1480</v>
      </c>
      <c r="H63" s="383" t="s">
        <v>1480</v>
      </c>
      <c r="I63" s="150" t="s">
        <v>1345</v>
      </c>
      <c r="J63" s="150" t="s">
        <v>1480</v>
      </c>
      <c r="K63" s="150" t="s">
        <v>1346</v>
      </c>
      <c r="L63" s="511" t="s">
        <v>389</v>
      </c>
      <c r="M63" s="392" t="s">
        <v>1492</v>
      </c>
      <c r="N63" s="343"/>
      <c r="O63" s="343"/>
      <c r="P63" s="70" t="s">
        <v>201</v>
      </c>
      <c r="Q63" s="346"/>
      <c r="R63" s="343"/>
      <c r="S63" s="346"/>
      <c r="T63" s="150" t="s">
        <v>232</v>
      </c>
      <c r="U63" s="150" t="s">
        <v>2057</v>
      </c>
      <c r="V63" s="643"/>
      <c r="W63" s="659">
        <v>200000</v>
      </c>
      <c r="X63" s="659">
        <v>0</v>
      </c>
      <c r="Y63" s="669"/>
      <c r="Z63" s="657"/>
      <c r="AA63" s="714"/>
      <c r="AB63" s="429"/>
      <c r="AC63" s="429"/>
      <c r="AD63" s="429" t="s">
        <v>1142</v>
      </c>
      <c r="AE63" s="429">
        <v>0</v>
      </c>
      <c r="AF63" s="429">
        <v>0</v>
      </c>
      <c r="AG63" s="667">
        <v>0</v>
      </c>
      <c r="AH63" s="667">
        <v>0</v>
      </c>
      <c r="AI63" s="667">
        <v>0</v>
      </c>
      <c r="AJ63" s="667">
        <v>0</v>
      </c>
      <c r="AK63" s="667">
        <v>0</v>
      </c>
      <c r="AL63" s="667">
        <v>0</v>
      </c>
      <c r="AM63" s="664">
        <f t="shared" si="3"/>
        <v>0</v>
      </c>
      <c r="AN63" s="651">
        <f>ERP_27[[#This Row],[2026 Working Total]]-ERP_27[[#This Row],[LE2 Final Submission]]</f>
        <v>0</v>
      </c>
      <c r="AO63" s="665">
        <v>0</v>
      </c>
      <c r="AP63" s="665">
        <f t="shared" si="2"/>
        <v>0</v>
      </c>
      <c r="AQ63" s="391">
        <f>SUM(ERP_27[[#This Row],[AP01]:[AP06]])-SUM(ERP_27[[#This Row],[AP01 LE2]:[AP06 LE2]])</f>
        <v>0</v>
      </c>
      <c r="AR63" s="670"/>
      <c r="AS63" s="665">
        <f>ERP_27[[#This Row],[2026 Working Total to Budget/LE]]-ERP_27[[#This Row],[Giveback]]</f>
        <v>0</v>
      </c>
      <c r="AT63" s="671"/>
      <c r="AU63" s="672"/>
      <c r="AV63" s="672"/>
      <c r="AW63" s="672"/>
      <c r="AX63" s="672"/>
      <c r="AY63" s="672">
        <v>0</v>
      </c>
      <c r="AZ63" s="672">
        <v>0</v>
      </c>
      <c r="BA63" s="672">
        <v>0</v>
      </c>
      <c r="BB63" s="672">
        <v>0</v>
      </c>
      <c r="BC63" s="672">
        <v>0</v>
      </c>
      <c r="BD63" s="672">
        <v>0</v>
      </c>
      <c r="BE63" s="672">
        <v>0</v>
      </c>
      <c r="BF63" s="672">
        <v>0</v>
      </c>
      <c r="BG63" s="672">
        <v>0</v>
      </c>
      <c r="BH63" s="665"/>
      <c r="BI63" s="665"/>
      <c r="BJ63" s="665"/>
      <c r="BK63" s="665"/>
      <c r="BL63" s="665">
        <v>50000</v>
      </c>
      <c r="BM63" s="665">
        <v>0</v>
      </c>
      <c r="BN63" s="665">
        <v>0</v>
      </c>
      <c r="BO63" s="665">
        <v>50000</v>
      </c>
      <c r="BP63" s="665">
        <v>0</v>
      </c>
      <c r="BQ63" s="665">
        <v>50000</v>
      </c>
      <c r="BR63" s="665">
        <v>0</v>
      </c>
      <c r="BS63" s="665">
        <v>0</v>
      </c>
      <c r="BT63" s="665">
        <v>150000</v>
      </c>
    </row>
    <row r="64" spans="1:72" ht="15" hidden="1" customHeight="1">
      <c r="A64" s="66" t="s">
        <v>2058</v>
      </c>
      <c r="B64" s="66"/>
      <c r="C64" s="66" t="s">
        <v>552</v>
      </c>
      <c r="D64" s="66" t="s">
        <v>552</v>
      </c>
      <c r="E64" s="150" t="s">
        <v>1136</v>
      </c>
      <c r="F64" s="482" t="s">
        <v>1566</v>
      </c>
      <c r="G64" s="383" t="s">
        <v>1480</v>
      </c>
      <c r="H64" s="383" t="s">
        <v>1480</v>
      </c>
      <c r="I64" s="150" t="s">
        <v>1345</v>
      </c>
      <c r="J64" s="150" t="s">
        <v>1480</v>
      </c>
      <c r="K64" s="150" t="s">
        <v>1346</v>
      </c>
      <c r="L64" s="511" t="s">
        <v>389</v>
      </c>
      <c r="M64" s="392" t="s">
        <v>2020</v>
      </c>
      <c r="N64" s="343"/>
      <c r="O64" s="343"/>
      <c r="P64" s="70" t="s">
        <v>530</v>
      </c>
      <c r="Q64" s="346"/>
      <c r="R64" s="343"/>
      <c r="S64" s="346"/>
      <c r="T64" s="150" t="s">
        <v>531</v>
      </c>
      <c r="U64" s="346" t="s">
        <v>2021</v>
      </c>
      <c r="V64" s="643"/>
      <c r="W64" s="659">
        <v>26000</v>
      </c>
      <c r="X64" s="659">
        <v>0</v>
      </c>
      <c r="Y64" s="669"/>
      <c r="Z64" s="657"/>
      <c r="AA64" s="714"/>
      <c r="AB64" s="429"/>
      <c r="AC64" s="429"/>
      <c r="AD64" s="429" t="s">
        <v>1142</v>
      </c>
      <c r="AE64" s="429">
        <v>0</v>
      </c>
      <c r="AF64" s="429">
        <v>0</v>
      </c>
      <c r="AG64" s="667">
        <v>0</v>
      </c>
      <c r="AH64" s="667">
        <v>0</v>
      </c>
      <c r="AI64" s="667">
        <v>0</v>
      </c>
      <c r="AJ64" s="667">
        <f>13000-13000</f>
        <v>0</v>
      </c>
      <c r="AK64" s="667">
        <v>0</v>
      </c>
      <c r="AL64" s="667">
        <v>0</v>
      </c>
      <c r="AM64" s="664">
        <f t="shared" si="3"/>
        <v>0</v>
      </c>
      <c r="AN64" s="651">
        <f>ERP_27[[#This Row],[2026 Working Total]]-ERP_27[[#This Row],[LE2 Final Submission]]</f>
        <v>0</v>
      </c>
      <c r="AO64" s="665">
        <v>0</v>
      </c>
      <c r="AP64" s="665">
        <f t="shared" si="2"/>
        <v>0</v>
      </c>
      <c r="AQ64" s="391">
        <f>SUM(ERP_27[[#This Row],[AP01]:[AP06]])-SUM(ERP_27[[#This Row],[AP01 LE2]:[AP06 LE2]])</f>
        <v>0</v>
      </c>
      <c r="AR64" s="670"/>
      <c r="AS64" s="665">
        <f>ERP_27[[#This Row],[2026 Working Total to Budget/LE]]-ERP_27[[#This Row],[Giveback]]</f>
        <v>0</v>
      </c>
      <c r="AT64" s="671"/>
      <c r="AU64" s="672"/>
      <c r="AV64" s="672"/>
      <c r="AW64" s="672"/>
      <c r="AX64" s="672"/>
      <c r="AY64" s="672">
        <v>0</v>
      </c>
      <c r="AZ64" s="672">
        <v>0</v>
      </c>
      <c r="BA64" s="672">
        <v>0</v>
      </c>
      <c r="BB64" s="672">
        <v>0</v>
      </c>
      <c r="BC64" s="672">
        <v>0</v>
      </c>
      <c r="BD64" s="672">
        <v>0</v>
      </c>
      <c r="BE64" s="672">
        <v>0</v>
      </c>
      <c r="BF64" s="672">
        <v>0</v>
      </c>
      <c r="BG64" s="672">
        <v>0</v>
      </c>
      <c r="BH64" s="665"/>
      <c r="BI64" s="665"/>
      <c r="BJ64" s="665"/>
      <c r="BK64" s="665"/>
      <c r="BL64" s="665">
        <v>13000</v>
      </c>
      <c r="BM64" s="665">
        <v>0</v>
      </c>
      <c r="BN64" s="665">
        <v>0</v>
      </c>
      <c r="BO64" s="665">
        <v>0</v>
      </c>
      <c r="BP64" s="665">
        <v>0</v>
      </c>
      <c r="BQ64" s="665">
        <v>13000</v>
      </c>
      <c r="BR64" s="665">
        <v>0</v>
      </c>
      <c r="BS64" s="665">
        <v>0</v>
      </c>
      <c r="BT64" s="665">
        <v>26000</v>
      </c>
    </row>
    <row r="65" spans="1:72" ht="15" hidden="1" customHeight="1">
      <c r="A65" s="79" t="s">
        <v>2705</v>
      </c>
      <c r="B65" s="79"/>
      <c r="C65" s="79" t="s">
        <v>959</v>
      </c>
      <c r="D65" s="296" t="s">
        <v>959</v>
      </c>
      <c r="E65" s="150" t="s">
        <v>1136</v>
      </c>
      <c r="F65" s="482" t="s">
        <v>1566</v>
      </c>
      <c r="G65" s="383" t="s">
        <v>1480</v>
      </c>
      <c r="H65" s="383" t="s">
        <v>1480</v>
      </c>
      <c r="I65" s="332" t="s">
        <v>1345</v>
      </c>
      <c r="J65" s="383" t="s">
        <v>1480</v>
      </c>
      <c r="K65" s="331" t="s">
        <v>1346</v>
      </c>
      <c r="L65" s="512" t="s">
        <v>639</v>
      </c>
      <c r="M65" s="393" t="s">
        <v>2214</v>
      </c>
      <c r="N65" s="343"/>
      <c r="O65" s="331"/>
      <c r="P65" s="91" t="s">
        <v>646</v>
      </c>
      <c r="Q65" s="343"/>
      <c r="R65" s="343"/>
      <c r="S65" s="348"/>
      <c r="T65" s="386" t="s">
        <v>152</v>
      </c>
      <c r="U65" s="387" t="s">
        <v>2706</v>
      </c>
      <c r="V65" s="668"/>
      <c r="W65" s="358">
        <v>650000</v>
      </c>
      <c r="X65" s="660">
        <v>0</v>
      </c>
      <c r="Y65" s="669"/>
      <c r="Z65" s="657"/>
      <c r="AA65" s="716"/>
      <c r="AB65" s="718"/>
      <c r="AC65" s="718"/>
      <c r="AD65" s="429" t="s">
        <v>1142</v>
      </c>
      <c r="AE65" s="429">
        <v>0</v>
      </c>
      <c r="AF65" s="429">
        <v>0</v>
      </c>
      <c r="AG65" s="663">
        <v>0</v>
      </c>
      <c r="AH65" s="663">
        <v>0</v>
      </c>
      <c r="AI65" s="663">
        <v>0</v>
      </c>
      <c r="AJ65" s="663">
        <v>0</v>
      </c>
      <c r="AK65" s="663">
        <v>0</v>
      </c>
      <c r="AL65" s="663">
        <v>0</v>
      </c>
      <c r="AM65" s="664">
        <f t="shared" si="3"/>
        <v>0</v>
      </c>
      <c r="AN65" s="651">
        <f>ERP_27[[#This Row],[2026 Working Total]]-ERP_27[[#This Row],[LE2 Final Submission]]</f>
        <v>0</v>
      </c>
      <c r="AO65" s="665">
        <v>0</v>
      </c>
      <c r="AP65" s="665">
        <f t="shared" si="2"/>
        <v>0</v>
      </c>
      <c r="AQ65" s="391">
        <f>SUM(ERP_27[[#This Row],[AP01]:[AP06]])-SUM(ERP_27[[#This Row],[AP01 LE2]:[AP06 LE2]])</f>
        <v>0</v>
      </c>
      <c r="AR65" s="670"/>
      <c r="AS65" s="665">
        <f>ERP_27[[#This Row],[2026 Working Total to Budget/LE]]-ERP_27[[#This Row],[Giveback]]</f>
        <v>0</v>
      </c>
      <c r="AT65" s="671" t="s">
        <v>2216</v>
      </c>
      <c r="AU65" s="672"/>
      <c r="AV65" s="672"/>
      <c r="AW65" s="672"/>
      <c r="AX65" s="672">
        <v>0</v>
      </c>
      <c r="AY65" s="672">
        <v>0</v>
      </c>
      <c r="AZ65" s="672">
        <v>0</v>
      </c>
      <c r="BA65" s="672">
        <v>0</v>
      </c>
      <c r="BB65" s="672">
        <v>0</v>
      </c>
      <c r="BC65" s="672">
        <v>0</v>
      </c>
      <c r="BD65" s="672">
        <v>0</v>
      </c>
      <c r="BE65" s="672">
        <v>0</v>
      </c>
      <c r="BF65" s="672">
        <v>0</v>
      </c>
      <c r="BG65" s="672">
        <v>0</v>
      </c>
      <c r="BH65" s="666">
        <v>0</v>
      </c>
      <c r="BI65" s="666">
        <v>0</v>
      </c>
      <c r="BJ65" s="666">
        <v>0</v>
      </c>
      <c r="BK65" s="666">
        <v>0</v>
      </c>
      <c r="BL65" s="666">
        <v>0</v>
      </c>
      <c r="BM65" s="666">
        <v>650000</v>
      </c>
      <c r="BN65" s="666">
        <v>0</v>
      </c>
      <c r="BO65" s="666">
        <v>0</v>
      </c>
      <c r="BP65" s="666">
        <v>0</v>
      </c>
      <c r="BQ65" s="666">
        <v>0</v>
      </c>
      <c r="BR65" s="666">
        <v>0</v>
      </c>
      <c r="BS65" s="666">
        <v>0</v>
      </c>
      <c r="BT65" s="665">
        <f>SUM(ERP_27[[#This Row],[2026 AP01]:[2026 AP12]])</f>
        <v>650000</v>
      </c>
    </row>
    <row r="66" spans="1:72" ht="15" hidden="1" customHeight="1">
      <c r="A66" s="79" t="s">
        <v>2707</v>
      </c>
      <c r="B66" s="79"/>
      <c r="C66" s="79" t="s">
        <v>960</v>
      </c>
      <c r="D66" s="296" t="s">
        <v>960</v>
      </c>
      <c r="E66" s="150" t="s">
        <v>1136</v>
      </c>
      <c r="F66" s="482" t="s">
        <v>1566</v>
      </c>
      <c r="G66" s="383" t="s">
        <v>1480</v>
      </c>
      <c r="H66" s="383" t="s">
        <v>1480</v>
      </c>
      <c r="I66" s="332" t="s">
        <v>1345</v>
      </c>
      <c r="J66" s="383" t="s">
        <v>1480</v>
      </c>
      <c r="K66" s="331" t="s">
        <v>1346</v>
      </c>
      <c r="L66" s="512" t="s">
        <v>639</v>
      </c>
      <c r="M66" s="393" t="s">
        <v>2218</v>
      </c>
      <c r="N66" s="343"/>
      <c r="O66" s="331"/>
      <c r="P66" s="91" t="s">
        <v>648</v>
      </c>
      <c r="Q66" s="343"/>
      <c r="R66" s="343"/>
      <c r="S66" s="348"/>
      <c r="T66" s="386" t="s">
        <v>152</v>
      </c>
      <c r="U66" s="387" t="s">
        <v>2706</v>
      </c>
      <c r="V66" s="668"/>
      <c r="W66" s="358">
        <v>300000</v>
      </c>
      <c r="X66" s="660">
        <v>0</v>
      </c>
      <c r="Y66" s="669"/>
      <c r="Z66" s="657"/>
      <c r="AA66" s="716"/>
      <c r="AB66" s="718"/>
      <c r="AC66" s="718"/>
      <c r="AD66" s="429" t="s">
        <v>1142</v>
      </c>
      <c r="AE66" s="429">
        <v>0</v>
      </c>
      <c r="AF66" s="429">
        <v>0</v>
      </c>
      <c r="AG66" s="663">
        <v>0</v>
      </c>
      <c r="AH66" s="663">
        <v>0</v>
      </c>
      <c r="AI66" s="663">
        <v>0</v>
      </c>
      <c r="AJ66" s="663">
        <v>0</v>
      </c>
      <c r="AK66" s="663">
        <v>0</v>
      </c>
      <c r="AL66" s="663">
        <v>0</v>
      </c>
      <c r="AM66" s="664">
        <f t="shared" si="3"/>
        <v>0</v>
      </c>
      <c r="AN66" s="651">
        <f>ERP_27[[#This Row],[2026 Working Total]]-ERP_27[[#This Row],[LE2 Final Submission]]</f>
        <v>0</v>
      </c>
      <c r="AO66" s="665">
        <v>750</v>
      </c>
      <c r="AP66" s="665">
        <f t="shared" si="2"/>
        <v>-750</v>
      </c>
      <c r="AQ66" s="391">
        <f>SUM(ERP_27[[#This Row],[AP01]:[AP06]])-SUM(ERP_27[[#This Row],[AP01 LE2]:[AP06 LE2]])</f>
        <v>0</v>
      </c>
      <c r="AR66" s="670"/>
      <c r="AS66" s="665">
        <f>ERP_27[[#This Row],[2026 Working Total to Budget/LE]]-ERP_27[[#This Row],[Giveback]]</f>
        <v>0</v>
      </c>
      <c r="AT66" s="671" t="s">
        <v>2216</v>
      </c>
      <c r="AU66" s="672"/>
      <c r="AV66" s="672"/>
      <c r="AW66" s="672"/>
      <c r="AX66" s="672">
        <v>0</v>
      </c>
      <c r="AY66" s="672">
        <v>0</v>
      </c>
      <c r="AZ66" s="672">
        <v>0</v>
      </c>
      <c r="BA66" s="672">
        <v>0</v>
      </c>
      <c r="BB66" s="672">
        <v>0</v>
      </c>
      <c r="BC66" s="672">
        <v>0</v>
      </c>
      <c r="BD66" s="672">
        <v>0</v>
      </c>
      <c r="BE66" s="672">
        <v>0</v>
      </c>
      <c r="BF66" s="672">
        <v>0</v>
      </c>
      <c r="BG66" s="672">
        <v>0</v>
      </c>
      <c r="BH66" s="666">
        <v>0</v>
      </c>
      <c r="BI66" s="666">
        <v>0</v>
      </c>
      <c r="BJ66" s="666">
        <v>0</v>
      </c>
      <c r="BK66" s="666">
        <v>0</v>
      </c>
      <c r="BL66" s="666">
        <v>0</v>
      </c>
      <c r="BM66" s="666">
        <v>300000</v>
      </c>
      <c r="BN66" s="666">
        <v>0</v>
      </c>
      <c r="BO66" s="666">
        <v>0</v>
      </c>
      <c r="BP66" s="666">
        <v>0</v>
      </c>
      <c r="BQ66" s="666">
        <v>0</v>
      </c>
      <c r="BR66" s="666">
        <v>0</v>
      </c>
      <c r="BS66" s="666">
        <v>0</v>
      </c>
      <c r="BT66" s="665">
        <f>SUM(ERP_27[[#This Row],[2026 AP01]:[2026 AP12]])</f>
        <v>300000</v>
      </c>
    </row>
    <row r="67" spans="1:72" ht="15" hidden="1" customHeight="1">
      <c r="A67" s="79" t="s">
        <v>2708</v>
      </c>
      <c r="B67" s="79"/>
      <c r="C67" s="79" t="s">
        <v>961</v>
      </c>
      <c r="D67" s="296" t="s">
        <v>961</v>
      </c>
      <c r="E67" s="150" t="s">
        <v>1136</v>
      </c>
      <c r="F67" s="482" t="s">
        <v>1566</v>
      </c>
      <c r="G67" s="383" t="s">
        <v>1480</v>
      </c>
      <c r="H67" s="383" t="s">
        <v>1480</v>
      </c>
      <c r="I67" s="332" t="s">
        <v>1345</v>
      </c>
      <c r="J67" s="382" t="s">
        <v>1480</v>
      </c>
      <c r="K67" s="331" t="s">
        <v>1346</v>
      </c>
      <c r="L67" s="512" t="s">
        <v>639</v>
      </c>
      <c r="M67" s="394" t="s">
        <v>2221</v>
      </c>
      <c r="N67" s="343"/>
      <c r="O67" s="331"/>
      <c r="P67" s="122" t="s">
        <v>650</v>
      </c>
      <c r="Q67" s="343"/>
      <c r="R67" s="343"/>
      <c r="S67" s="348"/>
      <c r="T67" s="384" t="s">
        <v>152</v>
      </c>
      <c r="U67" s="387" t="s">
        <v>2706</v>
      </c>
      <c r="V67" s="668"/>
      <c r="W67" s="358">
        <v>3300</v>
      </c>
      <c r="X67" s="660">
        <v>0</v>
      </c>
      <c r="Y67" s="669"/>
      <c r="Z67" s="657"/>
      <c r="AA67" s="716"/>
      <c r="AB67" s="718"/>
      <c r="AC67" s="718"/>
      <c r="AD67" s="429" t="s">
        <v>1142</v>
      </c>
      <c r="AE67" s="429">
        <v>0</v>
      </c>
      <c r="AF67" s="429">
        <v>0</v>
      </c>
      <c r="AG67" s="663">
        <f t="shared" ref="AG67:AL67" si="11">275-275</f>
        <v>0</v>
      </c>
      <c r="AH67" s="663">
        <f t="shared" si="11"/>
        <v>0</v>
      </c>
      <c r="AI67" s="663">
        <f t="shared" si="11"/>
        <v>0</v>
      </c>
      <c r="AJ67" s="663">
        <f t="shared" si="11"/>
        <v>0</v>
      </c>
      <c r="AK67" s="663">
        <f t="shared" si="11"/>
        <v>0</v>
      </c>
      <c r="AL67" s="663">
        <f t="shared" si="11"/>
        <v>0</v>
      </c>
      <c r="AM67" s="664">
        <f t="shared" si="3"/>
        <v>0</v>
      </c>
      <c r="AN67" s="651">
        <f>ERP_27[[#This Row],[2026 Working Total]]-ERP_27[[#This Row],[LE2 Final Submission]]</f>
        <v>0</v>
      </c>
      <c r="AO67" s="665">
        <v>6142.58</v>
      </c>
      <c r="AP67" s="665">
        <f t="shared" si="2"/>
        <v>-6142.58</v>
      </c>
      <c r="AQ67" s="391">
        <f>SUM(ERP_27[[#This Row],[AP01]:[AP06]])-SUM(ERP_27[[#This Row],[AP01 LE2]:[AP06 LE2]])</f>
        <v>0</v>
      </c>
      <c r="AR67" s="670"/>
      <c r="AS67" s="665">
        <f>ERP_27[[#This Row],[2026 Working Total to Budget/LE]]-ERP_27[[#This Row],[Giveback]]</f>
        <v>0</v>
      </c>
      <c r="AT67" s="671"/>
      <c r="AU67" s="672"/>
      <c r="AV67" s="672"/>
      <c r="AW67" s="672"/>
      <c r="AX67" s="672">
        <v>0</v>
      </c>
      <c r="AY67" s="672">
        <v>0</v>
      </c>
      <c r="AZ67" s="672">
        <v>0</v>
      </c>
      <c r="BA67" s="672">
        <v>0</v>
      </c>
      <c r="BB67" s="672">
        <v>0</v>
      </c>
      <c r="BC67" s="672">
        <v>0</v>
      </c>
      <c r="BD67" s="672">
        <v>0</v>
      </c>
      <c r="BE67" s="672">
        <v>0</v>
      </c>
      <c r="BF67" s="672">
        <v>0</v>
      </c>
      <c r="BG67" s="672">
        <v>0</v>
      </c>
      <c r="BH67" s="666">
        <v>275</v>
      </c>
      <c r="BI67" s="666">
        <v>275</v>
      </c>
      <c r="BJ67" s="666">
        <v>275</v>
      </c>
      <c r="BK67" s="666">
        <v>275</v>
      </c>
      <c r="BL67" s="666">
        <v>275</v>
      </c>
      <c r="BM67" s="666">
        <v>275</v>
      </c>
      <c r="BN67" s="666">
        <v>275</v>
      </c>
      <c r="BO67" s="666">
        <v>275</v>
      </c>
      <c r="BP67" s="666">
        <v>275</v>
      </c>
      <c r="BQ67" s="666">
        <v>275</v>
      </c>
      <c r="BR67" s="666">
        <v>275</v>
      </c>
      <c r="BS67" s="666">
        <v>275</v>
      </c>
      <c r="BT67" s="665">
        <f>SUM(ERP_27[[#This Row],[2026 AP01]:[2026 AP12]])</f>
        <v>3300</v>
      </c>
    </row>
    <row r="68" spans="1:72" ht="15" hidden="1" customHeight="1">
      <c r="A68" s="129" t="s">
        <v>2711</v>
      </c>
      <c r="B68" s="129"/>
      <c r="C68" s="129" t="s">
        <v>964</v>
      </c>
      <c r="D68" s="66" t="s">
        <v>964</v>
      </c>
      <c r="E68" s="150" t="s">
        <v>1136</v>
      </c>
      <c r="F68" s="482" t="s">
        <v>1566</v>
      </c>
      <c r="G68" s="383" t="s">
        <v>1480</v>
      </c>
      <c r="H68" s="383" t="s">
        <v>1480</v>
      </c>
      <c r="I68" s="150" t="s">
        <v>1345</v>
      </c>
      <c r="J68" s="150" t="s">
        <v>1480</v>
      </c>
      <c r="K68" s="150" t="s">
        <v>1480</v>
      </c>
      <c r="L68" s="513" t="s">
        <v>639</v>
      </c>
      <c r="M68" s="392" t="s">
        <v>2660</v>
      </c>
      <c r="N68" s="343"/>
      <c r="O68" s="331"/>
      <c r="P68" s="70" t="s">
        <v>937</v>
      </c>
      <c r="Q68" s="343" t="s">
        <v>1139</v>
      </c>
      <c r="R68" s="343"/>
      <c r="S68" s="346"/>
      <c r="T68" s="150" t="s">
        <v>152</v>
      </c>
      <c r="U68" s="150" t="s">
        <v>2712</v>
      </c>
      <c r="V68" s="677"/>
      <c r="W68" s="359"/>
      <c r="X68" s="359">
        <v>0</v>
      </c>
      <c r="Y68" s="669"/>
      <c r="Z68" s="657"/>
      <c r="AA68" s="714"/>
      <c r="AB68" s="429"/>
      <c r="AC68" s="429"/>
      <c r="AD68" s="429" t="s">
        <v>1142</v>
      </c>
      <c r="AE68" s="429">
        <v>0</v>
      </c>
      <c r="AF68" s="429">
        <v>0</v>
      </c>
      <c r="AG68" s="667"/>
      <c r="AH68" s="667"/>
      <c r="AI68" s="667"/>
      <c r="AJ68" s="667">
        <f>15000-15000</f>
        <v>0</v>
      </c>
      <c r="AK68" s="667">
        <f>15000-15000</f>
        <v>0</v>
      </c>
      <c r="AL68" s="667">
        <f>15000-15000</f>
        <v>0</v>
      </c>
      <c r="AM68" s="664">
        <f t="shared" si="3"/>
        <v>0</v>
      </c>
      <c r="AN68" s="651">
        <f>ERP_27[[#This Row],[2026 Working Total]]-ERP_27[[#This Row],[LE2 Final Submission]]</f>
        <v>0</v>
      </c>
      <c r="AO68" s="665"/>
      <c r="AP68" s="665">
        <f t="shared" si="2"/>
        <v>0</v>
      </c>
      <c r="AQ68" s="391">
        <f>SUM(ERP_27[[#This Row],[AP01]:[AP06]])-SUM(ERP_27[[#This Row],[AP01 LE2]:[AP06 LE2]])</f>
        <v>0</v>
      </c>
      <c r="AR68" s="670"/>
      <c r="AS68" s="665">
        <f>ERP_27[[#This Row],[2026 Working Total to Budget/LE]]-ERP_27[[#This Row],[Giveback]]</f>
        <v>0</v>
      </c>
      <c r="AT68" s="671"/>
      <c r="AU68" s="672"/>
      <c r="AV68" s="672"/>
      <c r="AW68" s="672"/>
      <c r="AX68" s="672"/>
      <c r="AY68" s="672"/>
      <c r="AZ68" s="672"/>
      <c r="BA68" s="672"/>
      <c r="BB68" s="672"/>
      <c r="BC68" s="672"/>
      <c r="BD68" s="672">
        <v>0</v>
      </c>
      <c r="BE68" s="672">
        <v>0</v>
      </c>
      <c r="BF68" s="672">
        <v>0</v>
      </c>
      <c r="BG68" s="672">
        <v>0</v>
      </c>
      <c r="BH68" s="665"/>
      <c r="BI68" s="665"/>
      <c r="BJ68" s="665"/>
      <c r="BK68" s="665"/>
      <c r="BL68" s="665"/>
      <c r="BM68" s="665"/>
      <c r="BN68" s="665"/>
      <c r="BO68" s="665"/>
      <c r="BP68" s="665"/>
      <c r="BQ68" s="665"/>
      <c r="BR68" s="665"/>
      <c r="BS68" s="665"/>
      <c r="BT68" s="665"/>
    </row>
    <row r="69" spans="1:72" ht="15" hidden="1" customHeight="1">
      <c r="A69" s="129" t="s">
        <v>2713</v>
      </c>
      <c r="B69" s="129"/>
      <c r="C69" s="129" t="s">
        <v>965</v>
      </c>
      <c r="D69" s="66" t="s">
        <v>965</v>
      </c>
      <c r="E69" s="150" t="s">
        <v>1136</v>
      </c>
      <c r="F69" s="482" t="s">
        <v>1566</v>
      </c>
      <c r="G69" s="383" t="s">
        <v>1480</v>
      </c>
      <c r="H69" s="383" t="s">
        <v>1480</v>
      </c>
      <c r="I69" s="150" t="s">
        <v>1345</v>
      </c>
      <c r="J69" s="150" t="s">
        <v>1480</v>
      </c>
      <c r="K69" s="150" t="s">
        <v>1480</v>
      </c>
      <c r="L69" s="513" t="s">
        <v>639</v>
      </c>
      <c r="M69" s="392" t="s">
        <v>2663</v>
      </c>
      <c r="N69" s="343"/>
      <c r="O69" s="331"/>
      <c r="P69" s="70" t="s">
        <v>939</v>
      </c>
      <c r="Q69" s="343" t="s">
        <v>1139</v>
      </c>
      <c r="R69" s="343"/>
      <c r="S69" s="346"/>
      <c r="T69" s="150" t="s">
        <v>152</v>
      </c>
      <c r="U69" s="150" t="s">
        <v>2714</v>
      </c>
      <c r="V69" s="677"/>
      <c r="W69" s="359"/>
      <c r="X69" s="359">
        <v>0</v>
      </c>
      <c r="Y69" s="669"/>
      <c r="Z69" s="657"/>
      <c r="AA69" s="714"/>
      <c r="AB69" s="429"/>
      <c r="AC69" s="429"/>
      <c r="AD69" s="429" t="s">
        <v>1142</v>
      </c>
      <c r="AE69" s="429">
        <v>0</v>
      </c>
      <c r="AF69" s="429">
        <v>0</v>
      </c>
      <c r="AG69" s="667">
        <f t="shared" ref="AG69:AL69" si="12">22238.42-22238.42</f>
        <v>0</v>
      </c>
      <c r="AH69" s="667">
        <f t="shared" si="12"/>
        <v>0</v>
      </c>
      <c r="AI69" s="667">
        <f t="shared" si="12"/>
        <v>0</v>
      </c>
      <c r="AJ69" s="667">
        <f t="shared" si="12"/>
        <v>0</v>
      </c>
      <c r="AK69" s="667">
        <f t="shared" si="12"/>
        <v>0</v>
      </c>
      <c r="AL69" s="667">
        <f t="shared" si="12"/>
        <v>0</v>
      </c>
      <c r="AM69" s="664">
        <f t="shared" si="3"/>
        <v>0</v>
      </c>
      <c r="AN69" s="651">
        <f>ERP_27[[#This Row],[2026 Working Total]]-ERP_27[[#This Row],[LE2 Final Submission]]</f>
        <v>0</v>
      </c>
      <c r="AO69" s="665"/>
      <c r="AP69" s="665">
        <f t="shared" si="2"/>
        <v>0</v>
      </c>
      <c r="AQ69" s="391">
        <f>SUM(ERP_27[[#This Row],[AP01]:[AP06]])-SUM(ERP_27[[#This Row],[AP01 LE2]:[AP06 LE2]])</f>
        <v>0</v>
      </c>
      <c r="AR69" s="670"/>
      <c r="AS69" s="665">
        <f>ERP_27[[#This Row],[2026 Working Total to Budget/LE]]-ERP_27[[#This Row],[Giveback]]</f>
        <v>0</v>
      </c>
      <c r="AT69" s="671"/>
      <c r="AU69" s="672"/>
      <c r="AV69" s="672"/>
      <c r="AW69" s="672"/>
      <c r="AX69" s="672">
        <v>0</v>
      </c>
      <c r="AY69" s="672">
        <v>0</v>
      </c>
      <c r="AZ69" s="672">
        <v>0</v>
      </c>
      <c r="BA69" s="672">
        <v>0</v>
      </c>
      <c r="BB69" s="672">
        <v>0</v>
      </c>
      <c r="BC69" s="672">
        <v>0</v>
      </c>
      <c r="BD69" s="672">
        <v>0</v>
      </c>
      <c r="BE69" s="672">
        <v>0</v>
      </c>
      <c r="BF69" s="672">
        <v>0</v>
      </c>
      <c r="BG69" s="672">
        <v>0</v>
      </c>
      <c r="BH69" s="665"/>
      <c r="BI69" s="665"/>
      <c r="BJ69" s="665"/>
      <c r="BK69" s="665"/>
      <c r="BL69" s="665"/>
      <c r="BM69" s="665"/>
      <c r="BN69" s="665"/>
      <c r="BO69" s="665"/>
      <c r="BP69" s="665"/>
      <c r="BQ69" s="665"/>
      <c r="BR69" s="665"/>
      <c r="BS69" s="665"/>
      <c r="BT69" s="665"/>
    </row>
    <row r="70" spans="1:72" ht="15" hidden="1" customHeight="1">
      <c r="A70" s="66" t="s">
        <v>2718</v>
      </c>
      <c r="B70" s="66"/>
      <c r="C70" s="66" t="s">
        <v>968</v>
      </c>
      <c r="D70" s="66" t="s">
        <v>968</v>
      </c>
      <c r="E70" s="150" t="s">
        <v>1136</v>
      </c>
      <c r="F70" s="482" t="s">
        <v>1566</v>
      </c>
      <c r="G70" s="383" t="s">
        <v>1480</v>
      </c>
      <c r="H70" s="383" t="s">
        <v>1480</v>
      </c>
      <c r="I70" s="150" t="s">
        <v>1345</v>
      </c>
      <c r="J70" s="150" t="s">
        <v>1480</v>
      </c>
      <c r="K70" s="150" t="s">
        <v>1346</v>
      </c>
      <c r="L70" s="511" t="s">
        <v>639</v>
      </c>
      <c r="M70" s="392" t="s">
        <v>2291</v>
      </c>
      <c r="N70" s="343"/>
      <c r="O70" s="343"/>
      <c r="P70" s="70" t="s">
        <v>679</v>
      </c>
      <c r="Q70" s="346"/>
      <c r="R70" s="346" t="s">
        <v>1140</v>
      </c>
      <c r="S70" s="346"/>
      <c r="T70" s="150" t="s">
        <v>680</v>
      </c>
      <c r="U70" s="150"/>
      <c r="V70" s="643"/>
      <c r="W70" s="659">
        <v>370</v>
      </c>
      <c r="X70" s="659">
        <v>370</v>
      </c>
      <c r="Y70" s="669"/>
      <c r="Z70" s="657"/>
      <c r="AA70" s="714"/>
      <c r="AB70" s="429"/>
      <c r="AC70" s="429"/>
      <c r="AD70" s="429" t="s">
        <v>1142</v>
      </c>
      <c r="AE70" s="429">
        <v>0</v>
      </c>
      <c r="AF70" s="429">
        <v>0</v>
      </c>
      <c r="AG70" s="667">
        <v>0</v>
      </c>
      <c r="AH70" s="667">
        <v>0</v>
      </c>
      <c r="AI70" s="667">
        <v>0</v>
      </c>
      <c r="AJ70" s="667">
        <v>0</v>
      </c>
      <c r="AK70" s="667">
        <v>0</v>
      </c>
      <c r="AL70" s="667">
        <v>0</v>
      </c>
      <c r="AM70" s="675">
        <f t="shared" si="3"/>
        <v>0</v>
      </c>
      <c r="AN70" s="651">
        <f>ERP_27[[#This Row],[2026 Working Total]]-ERP_27[[#This Row],[LE2 Final Submission]]</f>
        <v>-370</v>
      </c>
      <c r="AO70" s="665">
        <v>0</v>
      </c>
      <c r="AP70" s="665">
        <f t="shared" si="2"/>
        <v>0</v>
      </c>
      <c r="AQ70" s="391">
        <f>SUM(ERP_27[[#This Row],[AP01]:[AP06]])-SUM(ERP_27[[#This Row],[AP01 LE2]:[AP06 LE2]])</f>
        <v>-370</v>
      </c>
      <c r="AR70" s="670"/>
      <c r="AS70" s="665">
        <f>ERP_27[[#This Row],[2026 Working Total to Budget/LE]]-ERP_27[[#This Row],[Giveback]]</f>
        <v>-370</v>
      </c>
      <c r="AT70" s="671"/>
      <c r="AU70" s="672"/>
      <c r="AV70" s="672"/>
      <c r="AW70" s="672"/>
      <c r="AX70" s="672">
        <v>370</v>
      </c>
      <c r="AY70" s="672">
        <v>0</v>
      </c>
      <c r="AZ70" s="672">
        <v>0</v>
      </c>
      <c r="BA70" s="672">
        <v>0</v>
      </c>
      <c r="BB70" s="672">
        <v>0</v>
      </c>
      <c r="BC70" s="672">
        <v>0</v>
      </c>
      <c r="BD70" s="672">
        <v>0</v>
      </c>
      <c r="BE70" s="672">
        <v>0</v>
      </c>
      <c r="BF70" s="672">
        <v>0</v>
      </c>
      <c r="BG70" s="672">
        <v>370</v>
      </c>
      <c r="BH70" s="665"/>
      <c r="BI70" s="665"/>
      <c r="BJ70" s="665"/>
      <c r="BK70" s="665">
        <v>370</v>
      </c>
      <c r="BL70" s="665">
        <v>0</v>
      </c>
      <c r="BM70" s="665">
        <v>0</v>
      </c>
      <c r="BN70" s="665">
        <v>0</v>
      </c>
      <c r="BO70" s="665">
        <v>0</v>
      </c>
      <c r="BP70" s="665">
        <v>0</v>
      </c>
      <c r="BQ70" s="665">
        <v>0</v>
      </c>
      <c r="BR70" s="665">
        <v>0</v>
      </c>
      <c r="BS70" s="665">
        <v>0</v>
      </c>
      <c r="BT70" s="665">
        <v>370</v>
      </c>
    </row>
    <row r="71" spans="1:72" ht="15" customHeight="1">
      <c r="A71" s="66" t="s">
        <v>2732</v>
      </c>
      <c r="B71" s="66"/>
      <c r="C71" s="66" t="s">
        <v>976</v>
      </c>
      <c r="D71" s="66" t="s">
        <v>2733</v>
      </c>
      <c r="E71" s="150" t="s">
        <v>1136</v>
      </c>
      <c r="F71" s="482" t="s">
        <v>1566</v>
      </c>
      <c r="G71" s="383" t="s">
        <v>1480</v>
      </c>
      <c r="H71" s="150" t="s">
        <v>1481</v>
      </c>
      <c r="I71" s="150" t="s">
        <v>1345</v>
      </c>
      <c r="J71" s="150" t="s">
        <v>1481</v>
      </c>
      <c r="K71" s="150" t="s">
        <v>1346</v>
      </c>
      <c r="L71" s="511" t="s">
        <v>639</v>
      </c>
      <c r="M71" s="392" t="s">
        <v>2734</v>
      </c>
      <c r="N71" s="343"/>
      <c r="O71" s="343"/>
      <c r="P71" s="70" t="s">
        <v>977</v>
      </c>
      <c r="Q71" s="346"/>
      <c r="R71" s="343"/>
      <c r="S71" s="346"/>
      <c r="T71" s="150" t="s">
        <v>25</v>
      </c>
      <c r="U71" s="150" t="s">
        <v>2914</v>
      </c>
      <c r="V71" s="643"/>
      <c r="W71" s="659">
        <v>15096</v>
      </c>
      <c r="X71" s="659">
        <v>0</v>
      </c>
      <c r="Y71" s="669"/>
      <c r="Z71" s="657"/>
      <c r="AA71" s="714"/>
      <c r="AB71" s="429"/>
      <c r="AC71" s="429"/>
      <c r="AD71" s="429" t="s">
        <v>1142</v>
      </c>
      <c r="AE71" s="429">
        <v>0</v>
      </c>
      <c r="AF71" s="429">
        <v>0</v>
      </c>
      <c r="AG71" s="667">
        <v>0</v>
      </c>
      <c r="AH71" s="667">
        <v>0</v>
      </c>
      <c r="AI71" s="667">
        <v>0</v>
      </c>
      <c r="AJ71" s="667">
        <v>0</v>
      </c>
      <c r="AK71" s="667">
        <v>0</v>
      </c>
      <c r="AL71" s="667">
        <v>0</v>
      </c>
      <c r="AM71" s="664">
        <f t="shared" si="3"/>
        <v>0</v>
      </c>
      <c r="AN71" s="651">
        <f>ERP_27[[#This Row],[2026 Working Total]]-ERP_27[[#This Row],[LE2 Final Submission]]</f>
        <v>0</v>
      </c>
      <c r="AO71" s="665">
        <v>0</v>
      </c>
      <c r="AP71" s="665">
        <f t="shared" si="2"/>
        <v>0</v>
      </c>
      <c r="AQ71" s="391">
        <f>SUM(ERP_27[[#This Row],[AP01]:[AP06]])-SUM(ERP_27[[#This Row],[AP01 LE2]:[AP06 LE2]])</f>
        <v>0</v>
      </c>
      <c r="AR71" s="670"/>
      <c r="AS71" s="665">
        <f>ERP_27[[#This Row],[2026 Working Total to Budget/LE]]-ERP_27[[#This Row],[Giveback]]</f>
        <v>0</v>
      </c>
      <c r="AT71" s="671"/>
      <c r="AU71" s="672"/>
      <c r="AV71" s="672"/>
      <c r="AW71" s="672"/>
      <c r="AX71" s="672">
        <v>0</v>
      </c>
      <c r="AY71" s="672">
        <v>0</v>
      </c>
      <c r="AZ71" s="672">
        <v>0</v>
      </c>
      <c r="BA71" s="672">
        <v>0</v>
      </c>
      <c r="BB71" s="672">
        <v>0</v>
      </c>
      <c r="BC71" s="672">
        <v>0</v>
      </c>
      <c r="BD71" s="672">
        <v>0</v>
      </c>
      <c r="BE71" s="672">
        <v>0</v>
      </c>
      <c r="BF71" s="672">
        <v>0</v>
      </c>
      <c r="BG71" s="672">
        <v>0</v>
      </c>
      <c r="BH71" s="665"/>
      <c r="BI71" s="665"/>
      <c r="BJ71" s="665"/>
      <c r="BK71" s="665"/>
      <c r="BL71" s="665"/>
      <c r="BM71" s="665">
        <v>15096</v>
      </c>
      <c r="BN71" s="665">
        <v>0</v>
      </c>
      <c r="BO71" s="665">
        <v>0</v>
      </c>
      <c r="BP71" s="665">
        <v>0</v>
      </c>
      <c r="BQ71" s="665">
        <v>0</v>
      </c>
      <c r="BR71" s="665">
        <v>0</v>
      </c>
      <c r="BS71" s="665">
        <v>0</v>
      </c>
      <c r="BT71" s="665">
        <v>15096</v>
      </c>
    </row>
    <row r="72" spans="1:72" ht="15" customHeight="1">
      <c r="A72" s="79" t="s">
        <v>2736</v>
      </c>
      <c r="B72" s="79"/>
      <c r="C72" s="79" t="s">
        <v>978</v>
      </c>
      <c r="D72" s="296" t="s">
        <v>2737</v>
      </c>
      <c r="E72" s="150" t="s">
        <v>1136</v>
      </c>
      <c r="F72" s="482" t="s">
        <v>1566</v>
      </c>
      <c r="G72" s="383" t="s">
        <v>1480</v>
      </c>
      <c r="H72" s="382" t="s">
        <v>1481</v>
      </c>
      <c r="I72" s="332" t="s">
        <v>1345</v>
      </c>
      <c r="J72" s="382" t="s">
        <v>1481</v>
      </c>
      <c r="K72" s="333" t="s">
        <v>1346</v>
      </c>
      <c r="L72" s="512" t="s">
        <v>639</v>
      </c>
      <c r="M72" s="394" t="s">
        <v>1486</v>
      </c>
      <c r="N72" s="343"/>
      <c r="O72" s="333"/>
      <c r="P72" s="122" t="s">
        <v>979</v>
      </c>
      <c r="Q72" s="347"/>
      <c r="R72" s="343"/>
      <c r="S72" s="348"/>
      <c r="T72" s="384" t="s">
        <v>25</v>
      </c>
      <c r="U72" s="387" t="s">
        <v>2738</v>
      </c>
      <c r="V72" s="668"/>
      <c r="W72" s="358">
        <v>120000</v>
      </c>
      <c r="X72" s="660">
        <v>0</v>
      </c>
      <c r="Y72" s="669"/>
      <c r="Z72" s="657"/>
      <c r="AA72" s="716">
        <v>0</v>
      </c>
      <c r="AB72" s="718">
        <v>0</v>
      </c>
      <c r="AC72" s="718">
        <v>0</v>
      </c>
      <c r="AD72" s="429" t="s">
        <v>1142</v>
      </c>
      <c r="AE72" s="429">
        <v>0</v>
      </c>
      <c r="AF72" s="429">
        <v>0</v>
      </c>
      <c r="AG72" s="663">
        <f t="shared" ref="AG72:AL72" si="13">20000-20000</f>
        <v>0</v>
      </c>
      <c r="AH72" s="663">
        <f t="shared" si="13"/>
        <v>0</v>
      </c>
      <c r="AI72" s="663">
        <f t="shared" si="13"/>
        <v>0</v>
      </c>
      <c r="AJ72" s="663">
        <f t="shared" si="13"/>
        <v>0</v>
      </c>
      <c r="AK72" s="663">
        <f t="shared" si="13"/>
        <v>0</v>
      </c>
      <c r="AL72" s="663">
        <f t="shared" si="13"/>
        <v>0</v>
      </c>
      <c r="AM72" s="664">
        <f t="shared" si="3"/>
        <v>0</v>
      </c>
      <c r="AN72" s="651">
        <f>ERP_27[[#This Row],[2026 Working Total]]-ERP_27[[#This Row],[LE2 Final Submission]]</f>
        <v>0</v>
      </c>
      <c r="AO72" s="665">
        <v>0</v>
      </c>
      <c r="AP72" s="665">
        <f t="shared" ref="AP72:AP135" si="14">$AF72 - $AO72</f>
        <v>0</v>
      </c>
      <c r="AQ72" s="391">
        <f>SUM(ERP_27[[#This Row],[AP01]:[AP06]])-SUM(ERP_27[[#This Row],[AP01 LE2]:[AP06 LE2]])</f>
        <v>0</v>
      </c>
      <c r="AR72" s="670"/>
      <c r="AS72" s="665">
        <f>ERP_27[[#This Row],[2026 Working Total to Budget/LE]]-ERP_27[[#This Row],[Giveback]]</f>
        <v>0</v>
      </c>
      <c r="AT72" s="671" t="s">
        <v>2739</v>
      </c>
      <c r="AU72" s="672">
        <v>0</v>
      </c>
      <c r="AV72" s="672">
        <v>0</v>
      </c>
      <c r="AW72" s="672">
        <v>0</v>
      </c>
      <c r="AX72" s="672">
        <v>0</v>
      </c>
      <c r="AY72" s="672">
        <v>0</v>
      </c>
      <c r="AZ72" s="672">
        <v>0</v>
      </c>
      <c r="BA72" s="672">
        <v>0</v>
      </c>
      <c r="BB72" s="672">
        <v>0</v>
      </c>
      <c r="BC72" s="672">
        <v>0</v>
      </c>
      <c r="BD72" s="672">
        <v>0</v>
      </c>
      <c r="BE72" s="672">
        <v>0</v>
      </c>
      <c r="BF72" s="672">
        <v>0</v>
      </c>
      <c r="BG72" s="672">
        <v>0</v>
      </c>
      <c r="BH72" s="666">
        <v>0</v>
      </c>
      <c r="BI72" s="666">
        <v>0</v>
      </c>
      <c r="BJ72" s="666">
        <v>0</v>
      </c>
      <c r="BK72" s="666">
        <v>0</v>
      </c>
      <c r="BL72" s="666">
        <v>0</v>
      </c>
      <c r="BM72" s="666">
        <v>0</v>
      </c>
      <c r="BN72" s="666">
        <v>20000</v>
      </c>
      <c r="BO72" s="666">
        <v>20000</v>
      </c>
      <c r="BP72" s="666">
        <v>20000</v>
      </c>
      <c r="BQ72" s="666">
        <v>20000</v>
      </c>
      <c r="BR72" s="666">
        <v>20000</v>
      </c>
      <c r="BS72" s="666">
        <v>20000</v>
      </c>
      <c r="BT72" s="665">
        <f>SUM(ERP_27[[#This Row],[2026 AP01]:[2026 AP12]])</f>
        <v>120000</v>
      </c>
    </row>
    <row r="73" spans="1:72" ht="15" hidden="1" customHeight="1">
      <c r="A73" s="79" t="s">
        <v>1514</v>
      </c>
      <c r="B73" s="79"/>
      <c r="C73" s="79" t="s">
        <v>238</v>
      </c>
      <c r="D73" s="296" t="s">
        <v>238</v>
      </c>
      <c r="E73" s="150" t="s">
        <v>1136</v>
      </c>
      <c r="F73" s="482" t="s">
        <v>1566</v>
      </c>
      <c r="G73" s="383" t="s">
        <v>1515</v>
      </c>
      <c r="H73" s="383" t="s">
        <v>1515</v>
      </c>
      <c r="I73" s="332" t="s">
        <v>1345</v>
      </c>
      <c r="J73" s="383" t="s">
        <v>1515</v>
      </c>
      <c r="K73" s="331" t="s">
        <v>1346</v>
      </c>
      <c r="L73" s="512" t="s">
        <v>49</v>
      </c>
      <c r="M73" s="393" t="s">
        <v>1516</v>
      </c>
      <c r="N73" s="343"/>
      <c r="O73" s="331"/>
      <c r="P73" s="91" t="s">
        <v>239</v>
      </c>
      <c r="Q73" s="343"/>
      <c r="R73" s="343"/>
      <c r="S73" s="348"/>
      <c r="T73" s="386" t="s">
        <v>152</v>
      </c>
      <c r="U73" s="389" t="s">
        <v>1517</v>
      </c>
      <c r="V73" s="668"/>
      <c r="W73" s="358">
        <v>200000</v>
      </c>
      <c r="X73" s="660">
        <v>0</v>
      </c>
      <c r="Y73" s="669"/>
      <c r="Z73" s="657"/>
      <c r="AA73" s="716"/>
      <c r="AB73" s="718"/>
      <c r="AC73" s="718"/>
      <c r="AD73" s="429" t="s">
        <v>1142</v>
      </c>
      <c r="AE73" s="429">
        <v>0</v>
      </c>
      <c r="AF73" s="429">
        <v>0</v>
      </c>
      <c r="AG73" s="663">
        <v>0</v>
      </c>
      <c r="AH73" s="663">
        <v>0</v>
      </c>
      <c r="AI73" s="663">
        <v>0</v>
      </c>
      <c r="AJ73" s="663">
        <v>0</v>
      </c>
      <c r="AK73" s="663">
        <v>0</v>
      </c>
      <c r="AL73" s="663">
        <v>0</v>
      </c>
      <c r="AM73" s="664">
        <f t="shared" si="3"/>
        <v>0</v>
      </c>
      <c r="AN73" s="651">
        <f>ERP_27[[#This Row],[2026 Working Total]]-ERP_27[[#This Row],[LE2 Final Submission]]</f>
        <v>0</v>
      </c>
      <c r="AO73" s="665">
        <v>0</v>
      </c>
      <c r="AP73" s="665">
        <f t="shared" si="14"/>
        <v>0</v>
      </c>
      <c r="AQ73" s="391">
        <f>SUM(ERP_27[[#This Row],[AP01]:[AP06]])-SUM(ERP_27[[#This Row],[AP01 LE2]:[AP06 LE2]])</f>
        <v>0</v>
      </c>
      <c r="AR73" s="670"/>
      <c r="AS73" s="665">
        <f>ERP_27[[#This Row],[2026 Working Total to Budget/LE]]-ERP_27[[#This Row],[Giveback]]</f>
        <v>0</v>
      </c>
      <c r="AT73" s="678" t="s">
        <v>1518</v>
      </c>
      <c r="AU73" s="679"/>
      <c r="AV73" s="679"/>
      <c r="AW73" s="679"/>
      <c r="AX73" s="679">
        <v>0</v>
      </c>
      <c r="AY73" s="679">
        <v>0</v>
      </c>
      <c r="AZ73" s="679">
        <v>0</v>
      </c>
      <c r="BA73" s="679">
        <v>0</v>
      </c>
      <c r="BB73" s="679">
        <v>0</v>
      </c>
      <c r="BC73" s="679">
        <v>0</v>
      </c>
      <c r="BD73" s="679">
        <v>0</v>
      </c>
      <c r="BE73" s="679">
        <v>0</v>
      </c>
      <c r="BF73" s="679">
        <v>0</v>
      </c>
      <c r="BG73" s="679">
        <v>0</v>
      </c>
      <c r="BH73" s="666">
        <v>16667</v>
      </c>
      <c r="BI73" s="666">
        <v>16667</v>
      </c>
      <c r="BJ73" s="666">
        <v>16667</v>
      </c>
      <c r="BK73" s="666">
        <v>16667</v>
      </c>
      <c r="BL73" s="666">
        <v>16667</v>
      </c>
      <c r="BM73" s="666">
        <v>16667</v>
      </c>
      <c r="BN73" s="666">
        <v>16667</v>
      </c>
      <c r="BO73" s="666">
        <v>16667</v>
      </c>
      <c r="BP73" s="666">
        <v>16666</v>
      </c>
      <c r="BQ73" s="666">
        <v>16666</v>
      </c>
      <c r="BR73" s="666">
        <v>16666</v>
      </c>
      <c r="BS73" s="666">
        <v>16666</v>
      </c>
      <c r="BT73" s="665">
        <f>SUM(ERP_27[[#This Row],[2026 AP01]:[2026 AP12]])</f>
        <v>200000</v>
      </c>
    </row>
    <row r="74" spans="1:72" ht="15" hidden="1" customHeight="1">
      <c r="A74" s="66" t="s">
        <v>1519</v>
      </c>
      <c r="B74" s="66"/>
      <c r="C74" s="66" t="s">
        <v>240</v>
      </c>
      <c r="D74" s="66" t="s">
        <v>240</v>
      </c>
      <c r="E74" s="150" t="s">
        <v>1136</v>
      </c>
      <c r="F74" s="482" t="s">
        <v>1566</v>
      </c>
      <c r="G74" s="150" t="s">
        <v>1515</v>
      </c>
      <c r="H74" s="383" t="s">
        <v>1515</v>
      </c>
      <c r="I74" s="150" t="s">
        <v>1345</v>
      </c>
      <c r="J74" s="150" t="s">
        <v>1515</v>
      </c>
      <c r="K74" s="150" t="s">
        <v>1346</v>
      </c>
      <c r="L74" s="511" t="s">
        <v>49</v>
      </c>
      <c r="M74" s="392" t="s">
        <v>1520</v>
      </c>
      <c r="N74" s="343"/>
      <c r="O74" s="343"/>
      <c r="P74" s="70" t="s">
        <v>241</v>
      </c>
      <c r="Q74" s="346"/>
      <c r="R74" s="343"/>
      <c r="S74" s="346"/>
      <c r="T74" s="150" t="s">
        <v>152</v>
      </c>
      <c r="U74" s="150" t="s">
        <v>1521</v>
      </c>
      <c r="V74" s="643"/>
      <c r="W74" s="659">
        <v>150000</v>
      </c>
      <c r="X74" s="659">
        <v>0</v>
      </c>
      <c r="Y74" s="669"/>
      <c r="Z74" s="657"/>
      <c r="AA74" s="714"/>
      <c r="AB74" s="429"/>
      <c r="AC74" s="429"/>
      <c r="AD74" s="429" t="s">
        <v>1142</v>
      </c>
      <c r="AE74" s="429">
        <v>0</v>
      </c>
      <c r="AF74" s="429">
        <v>0</v>
      </c>
      <c r="AG74" s="667">
        <v>0</v>
      </c>
      <c r="AH74" s="667">
        <v>0</v>
      </c>
      <c r="AI74" s="667">
        <v>0</v>
      </c>
      <c r="AJ74" s="667">
        <v>0</v>
      </c>
      <c r="AK74" s="667">
        <v>0</v>
      </c>
      <c r="AL74" s="667">
        <v>0</v>
      </c>
      <c r="AM74" s="664">
        <f t="shared" si="3"/>
        <v>0</v>
      </c>
      <c r="AN74" s="651">
        <f>ERP_27[[#This Row],[2026 Working Total]]-ERP_27[[#This Row],[LE2 Final Submission]]</f>
        <v>0</v>
      </c>
      <c r="AO74" s="665">
        <v>0</v>
      </c>
      <c r="AP74" s="665">
        <f t="shared" si="14"/>
        <v>0</v>
      </c>
      <c r="AQ74" s="391">
        <f>SUM(ERP_27[[#This Row],[AP01]:[AP06]])-SUM(ERP_27[[#This Row],[AP01 LE2]:[AP06 LE2]])</f>
        <v>0</v>
      </c>
      <c r="AR74" s="670"/>
      <c r="AS74" s="665">
        <f>ERP_27[[#This Row],[2026 Working Total to Budget/LE]]-ERP_27[[#This Row],[Giveback]]</f>
        <v>0</v>
      </c>
      <c r="AT74" s="671"/>
      <c r="AU74" s="672"/>
      <c r="AV74" s="672"/>
      <c r="AW74" s="672"/>
      <c r="AX74" s="672">
        <v>0</v>
      </c>
      <c r="AY74" s="672">
        <v>0</v>
      </c>
      <c r="AZ74" s="672">
        <v>0</v>
      </c>
      <c r="BA74" s="672">
        <v>0</v>
      </c>
      <c r="BB74" s="672">
        <v>0</v>
      </c>
      <c r="BC74" s="672">
        <v>0</v>
      </c>
      <c r="BD74" s="672">
        <v>0</v>
      </c>
      <c r="BE74" s="672">
        <v>0</v>
      </c>
      <c r="BF74" s="672">
        <v>0</v>
      </c>
      <c r="BG74" s="672">
        <v>0</v>
      </c>
      <c r="BH74" s="665"/>
      <c r="BI74" s="665"/>
      <c r="BJ74" s="665"/>
      <c r="BK74" s="665">
        <v>12500</v>
      </c>
      <c r="BL74" s="665">
        <v>12500</v>
      </c>
      <c r="BM74" s="665">
        <v>12500</v>
      </c>
      <c r="BN74" s="665">
        <v>12500</v>
      </c>
      <c r="BO74" s="665">
        <v>12500</v>
      </c>
      <c r="BP74" s="665">
        <v>12500</v>
      </c>
      <c r="BQ74" s="665">
        <v>12500</v>
      </c>
      <c r="BR74" s="665">
        <v>12500</v>
      </c>
      <c r="BS74" s="665">
        <v>12500</v>
      </c>
      <c r="BT74" s="665">
        <v>112500</v>
      </c>
    </row>
    <row r="75" spans="1:72" ht="15" hidden="1" customHeight="1">
      <c r="A75" s="66" t="s">
        <v>2896</v>
      </c>
      <c r="B75" s="66"/>
      <c r="C75" s="66" t="s">
        <v>45</v>
      </c>
      <c r="D75" s="66" t="s">
        <v>45</v>
      </c>
      <c r="E75" s="150" t="s">
        <v>1136</v>
      </c>
      <c r="F75" s="482" t="s">
        <v>1566</v>
      </c>
      <c r="G75" s="150" t="s">
        <v>1650</v>
      </c>
      <c r="H75" s="150" t="s">
        <v>1650</v>
      </c>
      <c r="I75" s="150" t="s">
        <v>1650</v>
      </c>
      <c r="J75" s="150" t="s">
        <v>1650</v>
      </c>
      <c r="K75" s="150" t="s">
        <v>1650</v>
      </c>
      <c r="L75" s="511" t="s">
        <v>22</v>
      </c>
      <c r="M75" s="392" t="s">
        <v>2868</v>
      </c>
      <c r="N75" s="343"/>
      <c r="O75" s="343"/>
      <c r="P75" s="70" t="s">
        <v>24</v>
      </c>
      <c r="Q75" s="346" t="s">
        <v>1139</v>
      </c>
      <c r="R75" s="346" t="s">
        <v>1140</v>
      </c>
      <c r="S75" s="346"/>
      <c r="T75" s="150" t="s">
        <v>25</v>
      </c>
      <c r="U75" s="150"/>
      <c r="V75" s="643"/>
      <c r="W75" s="659">
        <v>763217.94999999984</v>
      </c>
      <c r="X75" s="659">
        <v>0</v>
      </c>
      <c r="Y75" s="669"/>
      <c r="Z75" s="657"/>
      <c r="AA75" s="714"/>
      <c r="AB75" s="429"/>
      <c r="AC75" s="429"/>
      <c r="AD75" s="429" t="s">
        <v>1142</v>
      </c>
      <c r="AE75" s="429">
        <v>0</v>
      </c>
      <c r="AF75" s="429">
        <v>0</v>
      </c>
      <c r="AG75" s="667"/>
      <c r="AH75" s="667"/>
      <c r="AI75" s="667"/>
      <c r="AJ75" s="667"/>
      <c r="AK75" s="667"/>
      <c r="AL75" s="667"/>
      <c r="AM75" s="664">
        <f t="shared" si="3"/>
        <v>0</v>
      </c>
      <c r="AN75" s="651">
        <f>ERP_27[[#This Row],[2026 Working Total]]-ERP_27[[#This Row],[LE2 Final Submission]]</f>
        <v>0</v>
      </c>
      <c r="AO75" s="665"/>
      <c r="AP75" s="665">
        <f t="shared" si="14"/>
        <v>0</v>
      </c>
      <c r="AQ75" s="391">
        <f>SUM(ERP_27[[#This Row],[AP01]:[AP06]])-SUM(ERP_27[[#This Row],[AP01 LE2]:[AP06 LE2]])</f>
        <v>0</v>
      </c>
      <c r="AR75" s="670"/>
      <c r="AS75" s="665">
        <f>ERP_27[[#This Row],[2026 Working Total to Budget/LE]]-ERP_27[[#This Row],[Giveback]]</f>
        <v>0</v>
      </c>
      <c r="AT75" s="671"/>
      <c r="AU75" s="672"/>
      <c r="AV75" s="672"/>
      <c r="AW75" s="672"/>
      <c r="AX75" s="672"/>
      <c r="AY75" s="672"/>
      <c r="AZ75" s="672"/>
      <c r="BA75" s="672"/>
      <c r="BB75" s="672"/>
      <c r="BC75" s="672"/>
      <c r="BD75" s="672"/>
      <c r="BE75" s="672"/>
      <c r="BF75" s="672"/>
      <c r="BG75" s="672">
        <v>0</v>
      </c>
      <c r="BH75" s="665">
        <v>60869.22</v>
      </c>
      <c r="BI75" s="665">
        <v>66348.7</v>
      </c>
      <c r="BJ75" s="665">
        <v>65556.320000000007</v>
      </c>
      <c r="BK75" s="665">
        <v>66648.33</v>
      </c>
      <c r="BL75" s="665">
        <v>58804.22</v>
      </c>
      <c r="BM75" s="665">
        <v>58804.22</v>
      </c>
      <c r="BN75" s="665">
        <v>58804.22</v>
      </c>
      <c r="BO75" s="665">
        <v>66557.960000000006</v>
      </c>
      <c r="BP75" s="665">
        <v>66703.34</v>
      </c>
      <c r="BQ75" s="665">
        <v>66703.34</v>
      </c>
      <c r="BR75" s="665">
        <v>66703.34</v>
      </c>
      <c r="BS75" s="665">
        <v>66703.34</v>
      </c>
      <c r="BT75" s="665">
        <v>769206.54999999993</v>
      </c>
    </row>
    <row r="76" spans="1:72" ht="15" hidden="1" customHeight="1">
      <c r="A76" s="66" t="s">
        <v>2897</v>
      </c>
      <c r="B76" s="66"/>
      <c r="C76" s="66" t="s">
        <v>46</v>
      </c>
      <c r="D76" s="66" t="s">
        <v>46</v>
      </c>
      <c r="E76" s="150" t="s">
        <v>1136</v>
      </c>
      <c r="F76" s="482" t="s">
        <v>1566</v>
      </c>
      <c r="G76" s="150" t="s">
        <v>1650</v>
      </c>
      <c r="H76" s="150" t="s">
        <v>1650</v>
      </c>
      <c r="I76" s="150" t="s">
        <v>1650</v>
      </c>
      <c r="J76" s="150" t="s">
        <v>1650</v>
      </c>
      <c r="K76" s="150" t="s">
        <v>1650</v>
      </c>
      <c r="L76" s="511" t="s">
        <v>22</v>
      </c>
      <c r="M76" s="392" t="s">
        <v>2870</v>
      </c>
      <c r="N76" s="343"/>
      <c r="O76" s="343"/>
      <c r="P76" s="70" t="s">
        <v>27</v>
      </c>
      <c r="Q76" s="346" t="s">
        <v>1139</v>
      </c>
      <c r="R76" s="346" t="s">
        <v>1140</v>
      </c>
      <c r="S76" s="346"/>
      <c r="T76" s="150" t="s">
        <v>25</v>
      </c>
      <c r="U76" s="150"/>
      <c r="V76" s="643"/>
      <c r="W76" s="659">
        <v>355072.04000000004</v>
      </c>
      <c r="X76" s="659">
        <v>0</v>
      </c>
      <c r="Y76" s="669"/>
      <c r="Z76" s="657"/>
      <c r="AA76" s="714"/>
      <c r="AB76" s="429"/>
      <c r="AC76" s="429"/>
      <c r="AD76" s="429" t="s">
        <v>1142</v>
      </c>
      <c r="AE76" s="429">
        <v>0</v>
      </c>
      <c r="AF76" s="429">
        <v>0</v>
      </c>
      <c r="AG76" s="667"/>
      <c r="AH76" s="667"/>
      <c r="AI76" s="667"/>
      <c r="AJ76" s="667"/>
      <c r="AK76" s="667"/>
      <c r="AL76" s="667"/>
      <c r="AM76" s="664">
        <f t="shared" si="3"/>
        <v>0</v>
      </c>
      <c r="AN76" s="651">
        <f>ERP_27[[#This Row],[2026 Working Total]]-ERP_27[[#This Row],[LE2 Final Submission]]</f>
        <v>0</v>
      </c>
      <c r="AO76" s="665"/>
      <c r="AP76" s="665">
        <f t="shared" si="14"/>
        <v>0</v>
      </c>
      <c r="AQ76" s="391">
        <f>SUM(ERP_27[[#This Row],[AP01]:[AP06]])-SUM(ERP_27[[#This Row],[AP01 LE2]:[AP06 LE2]])</f>
        <v>0</v>
      </c>
      <c r="AR76" s="670"/>
      <c r="AS76" s="665">
        <f>ERP_27[[#This Row],[2026 Working Total to Budget/LE]]-ERP_27[[#This Row],[Giveback]]</f>
        <v>0</v>
      </c>
      <c r="AT76" s="671"/>
      <c r="AU76" s="672"/>
      <c r="AV76" s="672"/>
      <c r="AW76" s="672"/>
      <c r="AX76" s="672"/>
      <c r="AY76" s="672"/>
      <c r="AZ76" s="672"/>
      <c r="BA76" s="672"/>
      <c r="BB76" s="672"/>
      <c r="BC76" s="672"/>
      <c r="BD76" s="672"/>
      <c r="BE76" s="672"/>
      <c r="BF76" s="672"/>
      <c r="BG76" s="672">
        <v>0</v>
      </c>
      <c r="BH76" s="665">
        <v>27497.84</v>
      </c>
      <c r="BI76" s="665">
        <v>27805.69</v>
      </c>
      <c r="BJ76" s="665">
        <v>37986.93</v>
      </c>
      <c r="BK76" s="665">
        <v>30575.919999999998</v>
      </c>
      <c r="BL76" s="665">
        <v>26871.200000000001</v>
      </c>
      <c r="BM76" s="665">
        <v>26871.200000000001</v>
      </c>
      <c r="BN76" s="665">
        <v>26871.200000000001</v>
      </c>
      <c r="BO76" s="665">
        <v>31487.49</v>
      </c>
      <c r="BP76" s="665">
        <v>31751.82</v>
      </c>
      <c r="BQ76" s="665">
        <v>31751.82</v>
      </c>
      <c r="BR76" s="665">
        <v>31751.82</v>
      </c>
      <c r="BS76" s="665">
        <v>31751.82</v>
      </c>
      <c r="BT76" s="665">
        <v>362974.75</v>
      </c>
    </row>
    <row r="77" spans="1:72" ht="15" hidden="1" customHeight="1">
      <c r="A77" s="79" t="s">
        <v>1580</v>
      </c>
      <c r="B77" s="79"/>
      <c r="C77" s="79" t="s">
        <v>278</v>
      </c>
      <c r="D77" s="296" t="s">
        <v>1581</v>
      </c>
      <c r="E77" s="150" t="s">
        <v>1136</v>
      </c>
      <c r="F77" s="482" t="s">
        <v>1566</v>
      </c>
      <c r="G77" s="150" t="s">
        <v>1566</v>
      </c>
      <c r="H77" s="150" t="s">
        <v>1566</v>
      </c>
      <c r="I77" s="383" t="s">
        <v>1567</v>
      </c>
      <c r="J77" s="382" t="s">
        <v>1567</v>
      </c>
      <c r="K77" s="331" t="s">
        <v>1567</v>
      </c>
      <c r="L77" s="512" t="s">
        <v>49</v>
      </c>
      <c r="M77" s="394" t="s">
        <v>1582</v>
      </c>
      <c r="N77" s="343"/>
      <c r="O77" s="331"/>
      <c r="P77" s="70" t="s">
        <v>279</v>
      </c>
      <c r="Q77" s="343"/>
      <c r="R77" s="343"/>
      <c r="S77" s="346"/>
      <c r="T77" s="507" t="s">
        <v>272</v>
      </c>
      <c r="U77" s="346" t="s">
        <v>1348</v>
      </c>
      <c r="V77" s="668"/>
      <c r="W77" s="358">
        <v>4900</v>
      </c>
      <c r="X77" s="660">
        <v>0</v>
      </c>
      <c r="Y77" s="669"/>
      <c r="Z77" s="657"/>
      <c r="AA77" s="716"/>
      <c r="AB77" s="718"/>
      <c r="AC77" s="718"/>
      <c r="AD77" s="429" t="s">
        <v>1142</v>
      </c>
      <c r="AE77" s="429">
        <v>0</v>
      </c>
      <c r="AF77" s="429">
        <v>0</v>
      </c>
      <c r="AG77" s="663">
        <v>0</v>
      </c>
      <c r="AH77" s="663">
        <v>0</v>
      </c>
      <c r="AI77" s="663">
        <v>0</v>
      </c>
      <c r="AJ77" s="663">
        <v>0</v>
      </c>
      <c r="AK77" s="663">
        <v>0</v>
      </c>
      <c r="AL77" s="663">
        <v>0</v>
      </c>
      <c r="AM77" s="664">
        <f t="shared" si="3"/>
        <v>0</v>
      </c>
      <c r="AN77" s="651">
        <f>ERP_27[[#This Row],[2026 Working Total]]-ERP_27[[#This Row],[LE2 Final Submission]]</f>
        <v>0</v>
      </c>
      <c r="AO77" s="665">
        <v>0</v>
      </c>
      <c r="AP77" s="665">
        <f t="shared" si="14"/>
        <v>0</v>
      </c>
      <c r="AQ77" s="391">
        <f>SUM(ERP_27[[#This Row],[AP01]:[AP06]])-SUM(ERP_27[[#This Row],[AP01 LE2]:[AP06 LE2]])</f>
        <v>0</v>
      </c>
      <c r="AR77" s="670"/>
      <c r="AS77" s="665">
        <f>ERP_27[[#This Row],[2026 Working Total to Budget/LE]]-ERP_27[[#This Row],[Giveback]]</f>
        <v>0</v>
      </c>
      <c r="AT77" s="671"/>
      <c r="AU77" s="672"/>
      <c r="AV77" s="672"/>
      <c r="AW77" s="672"/>
      <c r="AX77" s="672">
        <v>0</v>
      </c>
      <c r="AY77" s="672">
        <v>0</v>
      </c>
      <c r="AZ77" s="672">
        <v>0</v>
      </c>
      <c r="BA77" s="672">
        <v>0</v>
      </c>
      <c r="BB77" s="672">
        <v>0</v>
      </c>
      <c r="BC77" s="672">
        <v>0</v>
      </c>
      <c r="BD77" s="672">
        <v>0</v>
      </c>
      <c r="BE77" s="672">
        <v>0</v>
      </c>
      <c r="BF77" s="672">
        <v>0</v>
      </c>
      <c r="BG77" s="672">
        <v>0</v>
      </c>
      <c r="BH77" s="666">
        <v>4900</v>
      </c>
      <c r="BI77" s="666">
        <v>0</v>
      </c>
      <c r="BJ77" s="666">
        <v>0</v>
      </c>
      <c r="BK77" s="666">
        <v>0</v>
      </c>
      <c r="BL77" s="666">
        <v>0</v>
      </c>
      <c r="BM77" s="666">
        <v>0</v>
      </c>
      <c r="BN77" s="666">
        <v>0</v>
      </c>
      <c r="BO77" s="666">
        <v>0</v>
      </c>
      <c r="BP77" s="666">
        <v>0</v>
      </c>
      <c r="BQ77" s="666">
        <v>0</v>
      </c>
      <c r="BR77" s="666">
        <v>0</v>
      </c>
      <c r="BS77" s="666">
        <v>0</v>
      </c>
      <c r="BT77" s="665">
        <f>SUM(ERP_27[[#This Row],[2026 AP01]:[2026 AP12]])</f>
        <v>4900</v>
      </c>
    </row>
    <row r="78" spans="1:72" ht="15" hidden="1" customHeight="1">
      <c r="A78" s="66" t="s">
        <v>1602</v>
      </c>
      <c r="B78" s="66"/>
      <c r="C78" s="66" t="s">
        <v>289</v>
      </c>
      <c r="D78" s="66" t="s">
        <v>1603</v>
      </c>
      <c r="E78" s="150" t="s">
        <v>1136</v>
      </c>
      <c r="F78" s="482" t="s">
        <v>1566</v>
      </c>
      <c r="G78" s="150" t="s">
        <v>1566</v>
      </c>
      <c r="H78" s="150" t="s">
        <v>1566</v>
      </c>
      <c r="I78" s="150" t="s">
        <v>1567</v>
      </c>
      <c r="J78" s="150" t="s">
        <v>1567</v>
      </c>
      <c r="K78" s="150" t="s">
        <v>1567</v>
      </c>
      <c r="L78" s="511" t="s">
        <v>49</v>
      </c>
      <c r="M78" s="392" t="s">
        <v>1604</v>
      </c>
      <c r="N78" s="343"/>
      <c r="O78" s="343"/>
      <c r="P78" s="70" t="s">
        <v>290</v>
      </c>
      <c r="Q78" s="346"/>
      <c r="R78" s="346" t="s">
        <v>1140</v>
      </c>
      <c r="S78" s="346"/>
      <c r="T78" s="150" t="s">
        <v>291</v>
      </c>
      <c r="U78" s="150" t="s">
        <v>1605</v>
      </c>
      <c r="V78" s="643"/>
      <c r="W78" s="659">
        <v>-351124.00000199996</v>
      </c>
      <c r="X78" s="659">
        <v>0</v>
      </c>
      <c r="Y78" s="669"/>
      <c r="Z78" s="657"/>
      <c r="AA78" s="714"/>
      <c r="AB78" s="429"/>
      <c r="AC78" s="429"/>
      <c r="AD78" s="429" t="s">
        <v>1142</v>
      </c>
      <c r="AE78" s="429">
        <v>0</v>
      </c>
      <c r="AF78" s="429">
        <v>0</v>
      </c>
      <c r="AG78" s="667">
        <f t="shared" ref="AG78:AL78" si="15">-58520.666667+58520.666667</f>
        <v>0</v>
      </c>
      <c r="AH78" s="667">
        <f t="shared" si="15"/>
        <v>0</v>
      </c>
      <c r="AI78" s="667">
        <f t="shared" si="15"/>
        <v>0</v>
      </c>
      <c r="AJ78" s="667">
        <f t="shared" si="15"/>
        <v>0</v>
      </c>
      <c r="AK78" s="667">
        <f t="shared" si="15"/>
        <v>0</v>
      </c>
      <c r="AL78" s="667">
        <f t="shared" si="15"/>
        <v>0</v>
      </c>
      <c r="AM78" s="664">
        <f t="shared" si="3"/>
        <v>0</v>
      </c>
      <c r="AN78" s="651">
        <f>ERP_27[[#This Row],[2026 Working Total]]-ERP_27[[#This Row],[LE2 Final Submission]]</f>
        <v>0</v>
      </c>
      <c r="AO78" s="665"/>
      <c r="AP78" s="665">
        <f t="shared" si="14"/>
        <v>0</v>
      </c>
      <c r="AQ78" s="391">
        <f>SUM(ERP_27[[#This Row],[AP01]:[AP06]])-SUM(ERP_27[[#This Row],[AP01 LE2]:[AP06 LE2]])</f>
        <v>0</v>
      </c>
      <c r="AR78" s="670"/>
      <c r="AS78" s="665">
        <f>ERP_27[[#This Row],[2026 Working Total to Budget/LE]]-ERP_27[[#This Row],[Giveback]]</f>
        <v>0</v>
      </c>
      <c r="AT78" s="671"/>
      <c r="AU78" s="672"/>
      <c r="AV78" s="672"/>
      <c r="AW78" s="672"/>
      <c r="AX78" s="672"/>
      <c r="AY78" s="672"/>
      <c r="AZ78" s="672"/>
      <c r="BA78" s="672">
        <v>0</v>
      </c>
      <c r="BB78" s="672">
        <v>0</v>
      </c>
      <c r="BC78" s="672">
        <v>0</v>
      </c>
      <c r="BD78" s="672">
        <v>0</v>
      </c>
      <c r="BE78" s="672">
        <v>0</v>
      </c>
      <c r="BF78" s="672">
        <v>0</v>
      </c>
      <c r="BG78" s="672">
        <v>0</v>
      </c>
      <c r="BH78" s="665"/>
      <c r="BI78" s="665"/>
      <c r="BJ78" s="665"/>
      <c r="BK78" s="665"/>
      <c r="BL78" s="665"/>
      <c r="BM78" s="665"/>
      <c r="BN78" s="665">
        <v>-58520.666666999998</v>
      </c>
      <c r="BO78" s="665">
        <v>-58520.666666999998</v>
      </c>
      <c r="BP78" s="665">
        <v>-58520.666666999998</v>
      </c>
      <c r="BQ78" s="665">
        <v>-58520.666666999998</v>
      </c>
      <c r="BR78" s="665">
        <v>-58520.666666999998</v>
      </c>
      <c r="BS78" s="665">
        <v>-58520.666666999998</v>
      </c>
      <c r="BT78" s="665">
        <v>-351124.00000199996</v>
      </c>
    </row>
    <row r="79" spans="1:72" ht="15" hidden="1" customHeight="1">
      <c r="A79" s="79" t="s">
        <v>1621</v>
      </c>
      <c r="B79" s="79"/>
      <c r="C79" s="79" t="s">
        <v>304</v>
      </c>
      <c r="D79" s="296" t="s">
        <v>1622</v>
      </c>
      <c r="E79" s="150" t="s">
        <v>1136</v>
      </c>
      <c r="F79" s="482" t="s">
        <v>1566</v>
      </c>
      <c r="G79" s="150" t="s">
        <v>1566</v>
      </c>
      <c r="H79" s="150" t="s">
        <v>1566</v>
      </c>
      <c r="I79" s="383" t="s">
        <v>1567</v>
      </c>
      <c r="J79" s="382" t="s">
        <v>1567</v>
      </c>
      <c r="K79" s="333" t="s">
        <v>1567</v>
      </c>
      <c r="L79" s="512" t="s">
        <v>49</v>
      </c>
      <c r="M79" s="394" t="s">
        <v>1623</v>
      </c>
      <c r="N79" s="343"/>
      <c r="O79" s="333"/>
      <c r="P79" s="70" t="s">
        <v>305</v>
      </c>
      <c r="Q79" s="347"/>
      <c r="R79" s="343"/>
      <c r="S79" s="346"/>
      <c r="T79" s="384" t="s">
        <v>272</v>
      </c>
      <c r="U79" s="346" t="s">
        <v>1348</v>
      </c>
      <c r="V79" s="668"/>
      <c r="W79" s="358">
        <v>1078625</v>
      </c>
      <c r="X79" s="660">
        <v>0</v>
      </c>
      <c r="Y79" s="669"/>
      <c r="Z79" s="657"/>
      <c r="AA79" s="716"/>
      <c r="AB79" s="718"/>
      <c r="AC79" s="718"/>
      <c r="AD79" s="429" t="s">
        <v>1142</v>
      </c>
      <c r="AE79" s="429">
        <v>0</v>
      </c>
      <c r="AF79" s="429">
        <v>0</v>
      </c>
      <c r="AG79" s="663"/>
      <c r="AH79" s="663"/>
      <c r="AI79" s="663"/>
      <c r="AJ79" s="663"/>
      <c r="AK79" s="663"/>
      <c r="AL79" s="663"/>
      <c r="AM79" s="664">
        <f t="shared" si="3"/>
        <v>0</v>
      </c>
      <c r="AN79" s="651">
        <f>ERP_27[[#This Row],[2026 Working Total]]-ERP_27[[#This Row],[LE2 Final Submission]]</f>
        <v>0</v>
      </c>
      <c r="AO79" s="665"/>
      <c r="AP79" s="665">
        <f t="shared" si="14"/>
        <v>0</v>
      </c>
      <c r="AQ79" s="391">
        <f>SUM(ERP_27[[#This Row],[AP01]:[AP06]])-SUM(ERP_27[[#This Row],[AP01 LE2]:[AP06 LE2]])</f>
        <v>0</v>
      </c>
      <c r="AR79" s="670"/>
      <c r="AS79" s="665">
        <f>ERP_27[[#This Row],[2026 Working Total to Budget/LE]]-ERP_27[[#This Row],[Giveback]]</f>
        <v>0</v>
      </c>
      <c r="AT79" s="671"/>
      <c r="AU79" s="672"/>
      <c r="AV79" s="672"/>
      <c r="AW79" s="672"/>
      <c r="AX79" s="672"/>
      <c r="AY79" s="672"/>
      <c r="AZ79" s="672"/>
      <c r="BA79" s="672"/>
      <c r="BB79" s="672"/>
      <c r="BC79" s="672"/>
      <c r="BD79" s="672"/>
      <c r="BE79" s="672"/>
      <c r="BF79" s="672"/>
      <c r="BG79" s="672">
        <v>0</v>
      </c>
      <c r="BH79" s="666">
        <v>63566</v>
      </c>
      <c r="BI79" s="666">
        <v>71261</v>
      </c>
      <c r="BJ79" s="666">
        <v>89885</v>
      </c>
      <c r="BK79" s="666">
        <v>89885</v>
      </c>
      <c r="BL79" s="666">
        <v>134828</v>
      </c>
      <c r="BM79" s="666">
        <v>134828</v>
      </c>
      <c r="BN79" s="666">
        <v>134828</v>
      </c>
      <c r="BO79" s="666">
        <v>91283</v>
      </c>
      <c r="BP79" s="666">
        <v>89885</v>
      </c>
      <c r="BQ79" s="666">
        <v>89885</v>
      </c>
      <c r="BR79" s="666">
        <v>44942</v>
      </c>
      <c r="BS79" s="666">
        <v>43549</v>
      </c>
      <c r="BT79" s="665">
        <f>SUM(ERP_27[[#This Row],[2026 AP01]:[2026 AP12]])</f>
        <v>1078625</v>
      </c>
    </row>
    <row r="80" spans="1:72" ht="15" hidden="1" customHeight="1">
      <c r="A80" s="79" t="s">
        <v>1624</v>
      </c>
      <c r="B80" s="79"/>
      <c r="C80" s="79" t="s">
        <v>306</v>
      </c>
      <c r="D80" s="296" t="s">
        <v>1625</v>
      </c>
      <c r="E80" s="150" t="s">
        <v>1136</v>
      </c>
      <c r="F80" s="482" t="s">
        <v>1566</v>
      </c>
      <c r="G80" s="150" t="s">
        <v>1566</v>
      </c>
      <c r="H80" s="150" t="s">
        <v>1566</v>
      </c>
      <c r="I80" s="383" t="s">
        <v>1567</v>
      </c>
      <c r="J80" s="382" t="s">
        <v>1567</v>
      </c>
      <c r="K80" s="333" t="s">
        <v>1567</v>
      </c>
      <c r="L80" s="512" t="s">
        <v>49</v>
      </c>
      <c r="M80" s="394" t="s">
        <v>1626</v>
      </c>
      <c r="N80" s="343"/>
      <c r="O80" s="333"/>
      <c r="P80" s="70" t="s">
        <v>307</v>
      </c>
      <c r="Q80" s="347"/>
      <c r="R80" s="343"/>
      <c r="S80" s="346"/>
      <c r="T80" s="507" t="s">
        <v>272</v>
      </c>
      <c r="U80" s="346" t="s">
        <v>1348</v>
      </c>
      <c r="V80" s="668"/>
      <c r="W80" s="358">
        <v>7850</v>
      </c>
      <c r="X80" s="660">
        <v>0</v>
      </c>
      <c r="Y80" s="669"/>
      <c r="Z80" s="657"/>
      <c r="AA80" s="716"/>
      <c r="AB80" s="718"/>
      <c r="AC80" s="718"/>
      <c r="AD80" s="429" t="s">
        <v>1142</v>
      </c>
      <c r="AE80" s="429">
        <v>0</v>
      </c>
      <c r="AF80" s="429">
        <v>0</v>
      </c>
      <c r="AG80" s="663">
        <v>0</v>
      </c>
      <c r="AH80" s="663">
        <v>0</v>
      </c>
      <c r="AI80" s="663">
        <v>0</v>
      </c>
      <c r="AJ80" s="663">
        <v>0</v>
      </c>
      <c r="AK80" s="663">
        <v>0</v>
      </c>
      <c r="AL80" s="663"/>
      <c r="AM80" s="664">
        <f t="shared" si="3"/>
        <v>0</v>
      </c>
      <c r="AN80" s="651">
        <f>ERP_27[[#This Row],[2026 Working Total]]-ERP_27[[#This Row],[LE2 Final Submission]]</f>
        <v>0</v>
      </c>
      <c r="AO80" s="665">
        <v>0</v>
      </c>
      <c r="AP80" s="665">
        <f t="shared" si="14"/>
        <v>0</v>
      </c>
      <c r="AQ80" s="391">
        <f>SUM(ERP_27[[#This Row],[AP01]:[AP06]])-SUM(ERP_27[[#This Row],[AP01 LE2]:[AP06 LE2]])</f>
        <v>0</v>
      </c>
      <c r="AR80" s="670"/>
      <c r="AS80" s="665">
        <f>ERP_27[[#This Row],[2026 Working Total to Budget/LE]]-ERP_27[[#This Row],[Giveback]]</f>
        <v>0</v>
      </c>
      <c r="AT80" s="671"/>
      <c r="AU80" s="672"/>
      <c r="AV80" s="672"/>
      <c r="AW80" s="672"/>
      <c r="AX80" s="672">
        <v>0</v>
      </c>
      <c r="AY80" s="672">
        <v>0</v>
      </c>
      <c r="AZ80" s="672">
        <v>0</v>
      </c>
      <c r="BA80" s="672">
        <v>0</v>
      </c>
      <c r="BB80" s="672">
        <v>0</v>
      </c>
      <c r="BC80" s="672">
        <v>0</v>
      </c>
      <c r="BD80" s="672">
        <v>0</v>
      </c>
      <c r="BE80" s="672">
        <v>0</v>
      </c>
      <c r="BF80" s="672"/>
      <c r="BG80" s="672">
        <v>0</v>
      </c>
      <c r="BH80" s="666">
        <v>2090</v>
      </c>
      <c r="BI80" s="666">
        <v>0</v>
      </c>
      <c r="BJ80" s="666">
        <v>0</v>
      </c>
      <c r="BK80" s="666">
        <v>0</v>
      </c>
      <c r="BL80" s="666">
        <v>0</v>
      </c>
      <c r="BM80" s="666">
        <v>0</v>
      </c>
      <c r="BN80" s="666">
        <v>0</v>
      </c>
      <c r="BO80" s="666">
        <v>0</v>
      </c>
      <c r="BP80" s="666">
        <v>0</v>
      </c>
      <c r="BQ80" s="666">
        <v>0</v>
      </c>
      <c r="BR80" s="666">
        <v>0</v>
      </c>
      <c r="BS80" s="666">
        <v>5760</v>
      </c>
      <c r="BT80" s="665">
        <f>SUM(ERP_27[[#This Row],[2026 AP01]:[2026 AP12]])</f>
        <v>7850</v>
      </c>
    </row>
    <row r="81" spans="1:72" ht="15" hidden="1" customHeight="1">
      <c r="A81" s="66" t="s">
        <v>1728</v>
      </c>
      <c r="B81" s="66"/>
      <c r="C81" s="66" t="s">
        <v>2926</v>
      </c>
      <c r="D81" s="66" t="s">
        <v>1729</v>
      </c>
      <c r="E81" s="150" t="s">
        <v>1136</v>
      </c>
      <c r="F81" s="482" t="s">
        <v>1566</v>
      </c>
      <c r="G81" s="150" t="s">
        <v>1566</v>
      </c>
      <c r="H81" s="150" t="s">
        <v>1566</v>
      </c>
      <c r="I81" s="150" t="s">
        <v>1567</v>
      </c>
      <c r="J81" s="150" t="s">
        <v>1567</v>
      </c>
      <c r="K81" s="150" t="s">
        <v>1567</v>
      </c>
      <c r="L81" s="511" t="s">
        <v>342</v>
      </c>
      <c r="M81" s="392" t="s">
        <v>356</v>
      </c>
      <c r="N81" s="343"/>
      <c r="O81" s="343"/>
      <c r="P81" s="70" t="s">
        <v>356</v>
      </c>
      <c r="Q81" s="346" t="s">
        <v>1139</v>
      </c>
      <c r="R81" s="346" t="s">
        <v>1140</v>
      </c>
      <c r="S81" s="346"/>
      <c r="T81" s="150" t="s">
        <v>25</v>
      </c>
      <c r="U81" s="150"/>
      <c r="V81" s="643"/>
      <c r="W81" s="659">
        <v>0</v>
      </c>
      <c r="X81" s="659">
        <v>0</v>
      </c>
      <c r="Y81" s="669"/>
      <c r="Z81" s="657"/>
      <c r="AA81" s="714"/>
      <c r="AB81" s="429"/>
      <c r="AC81" s="429">
        <v>0</v>
      </c>
      <c r="AD81" s="429">
        <v>0</v>
      </c>
      <c r="AE81" s="429">
        <v>0</v>
      </c>
      <c r="AF81" s="429">
        <v>0</v>
      </c>
      <c r="AG81" s="667">
        <v>0</v>
      </c>
      <c r="AH81" s="667">
        <v>0</v>
      </c>
      <c r="AI81" s="667">
        <v>0</v>
      </c>
      <c r="AJ81" s="667">
        <v>0</v>
      </c>
      <c r="AK81" s="667">
        <v>0</v>
      </c>
      <c r="AL81" s="667">
        <v>0</v>
      </c>
      <c r="AM81" s="664">
        <f t="shared" si="3"/>
        <v>0</v>
      </c>
      <c r="AN81" s="651">
        <f>ERP_27[[#This Row],[2026 Working Total]]-ERP_27[[#This Row],[LE2 Final Submission]]</f>
        <v>0</v>
      </c>
      <c r="AO81" s="665">
        <v>0</v>
      </c>
      <c r="AP81" s="665">
        <f t="shared" si="14"/>
        <v>0</v>
      </c>
      <c r="AQ81" s="391">
        <f>SUM(ERP_27[[#This Row],[AP01]:[AP06]])-SUM(ERP_27[[#This Row],[AP01 LE2]:[AP06 LE2]])</f>
        <v>0</v>
      </c>
      <c r="AR81" s="670"/>
      <c r="AS81" s="665">
        <f>ERP_27[[#This Row],[2026 Working Total to Budget/LE]]-ERP_27[[#This Row],[Giveback]]</f>
        <v>0</v>
      </c>
      <c r="AT81" s="671"/>
      <c r="AU81" s="672"/>
      <c r="AV81" s="672"/>
      <c r="AW81" s="672">
        <v>0</v>
      </c>
      <c r="AX81" s="672">
        <v>0</v>
      </c>
      <c r="AY81" s="672">
        <v>0</v>
      </c>
      <c r="AZ81" s="672">
        <v>0</v>
      </c>
      <c r="BA81" s="672">
        <v>0</v>
      </c>
      <c r="BB81" s="672">
        <v>0</v>
      </c>
      <c r="BC81" s="672">
        <v>0</v>
      </c>
      <c r="BD81" s="672">
        <v>0</v>
      </c>
      <c r="BE81" s="672">
        <v>0</v>
      </c>
      <c r="BF81" s="672">
        <v>0</v>
      </c>
      <c r="BG81" s="672">
        <v>0</v>
      </c>
      <c r="BH81" s="665"/>
      <c r="BI81" s="665"/>
      <c r="BJ81" s="665">
        <v>0</v>
      </c>
      <c r="BK81" s="665">
        <v>0</v>
      </c>
      <c r="BL81" s="665">
        <v>0</v>
      </c>
      <c r="BM81" s="665">
        <v>0</v>
      </c>
      <c r="BN81" s="665">
        <v>0</v>
      </c>
      <c r="BO81" s="665">
        <v>0</v>
      </c>
      <c r="BP81" s="665">
        <v>0</v>
      </c>
      <c r="BQ81" s="665">
        <v>0</v>
      </c>
      <c r="BR81" s="665">
        <v>0</v>
      </c>
      <c r="BS81" s="665">
        <v>0</v>
      </c>
      <c r="BT81" s="665">
        <v>0</v>
      </c>
    </row>
    <row r="82" spans="1:72" ht="15" hidden="1" customHeight="1">
      <c r="A82" s="79" t="s">
        <v>1733</v>
      </c>
      <c r="B82" s="79"/>
      <c r="C82" s="79" t="s">
        <v>380</v>
      </c>
      <c r="D82" s="296" t="s">
        <v>1734</v>
      </c>
      <c r="E82" s="150" t="s">
        <v>1136</v>
      </c>
      <c r="F82" s="482" t="s">
        <v>1566</v>
      </c>
      <c r="G82" s="150" t="s">
        <v>1566</v>
      </c>
      <c r="H82" s="150" t="s">
        <v>1566</v>
      </c>
      <c r="I82" t="s">
        <v>1567</v>
      </c>
      <c r="J82" t="s">
        <v>1567</v>
      </c>
      <c r="K82" s="150" t="s">
        <v>1567</v>
      </c>
      <c r="L82" s="514" t="s">
        <v>342</v>
      </c>
      <c r="M82" s="394" t="s">
        <v>1699</v>
      </c>
      <c r="N82" s="343"/>
      <c r="O82" s="333"/>
      <c r="P82" s="70" t="s">
        <v>362</v>
      </c>
      <c r="Q82" s="347"/>
      <c r="R82" s="343"/>
      <c r="S82" s="348"/>
      <c r="T82" s="348"/>
      <c r="U82" s="348" t="s">
        <v>1700</v>
      </c>
      <c r="V82" s="646"/>
      <c r="W82" s="358"/>
      <c r="X82" s="358">
        <v>0</v>
      </c>
      <c r="Y82" s="669"/>
      <c r="Z82" s="657"/>
      <c r="AA82" s="714"/>
      <c r="AB82" s="429"/>
      <c r="AC82" s="429"/>
      <c r="AD82" s="429" t="s">
        <v>1142</v>
      </c>
      <c r="AE82" s="429">
        <v>0</v>
      </c>
      <c r="AF82" s="429">
        <v>0</v>
      </c>
      <c r="AG82" s="667"/>
      <c r="AH82" s="667"/>
      <c r="AI82" s="667"/>
      <c r="AJ82" s="667"/>
      <c r="AK82" s="667"/>
      <c r="AL82" s="667"/>
      <c r="AM82" s="664">
        <f t="shared" si="3"/>
        <v>0</v>
      </c>
      <c r="AN82" s="651">
        <f>ERP_27[[#This Row],[2026 Working Total]]-ERP_27[[#This Row],[LE2 Final Submission]]</f>
        <v>0</v>
      </c>
      <c r="AO82" s="665">
        <v>13303.91</v>
      </c>
      <c r="AP82" s="665">
        <f t="shared" si="14"/>
        <v>-13303.91</v>
      </c>
      <c r="AQ82" s="391">
        <f>SUM(ERP_27[[#This Row],[AP01]:[AP06]])-SUM(ERP_27[[#This Row],[AP01 LE2]:[AP06 LE2]])</f>
        <v>0</v>
      </c>
      <c r="AR82" s="670"/>
      <c r="AS82" s="665">
        <f>ERP_27[[#This Row],[2026 Working Total to Budget/LE]]-ERP_27[[#This Row],[Giveback]]</f>
        <v>0</v>
      </c>
      <c r="AT82" s="671"/>
      <c r="AU82" s="672"/>
      <c r="AV82" s="672"/>
      <c r="AW82" s="672"/>
      <c r="AX82" s="672">
        <v>-13303.91</v>
      </c>
      <c r="AY82" s="672">
        <v>13303.91</v>
      </c>
      <c r="AZ82" s="672"/>
      <c r="BA82" s="672"/>
      <c r="BB82" s="672"/>
      <c r="BC82" s="672"/>
      <c r="BD82" s="672"/>
      <c r="BE82" s="672"/>
      <c r="BF82" s="672"/>
      <c r="BG82" s="672">
        <v>0</v>
      </c>
      <c r="BH82" s="665"/>
      <c r="BI82" s="665"/>
      <c r="BJ82" s="665"/>
      <c r="BK82" s="665"/>
      <c r="BL82" s="665"/>
      <c r="BM82" s="665"/>
      <c r="BN82" s="665"/>
      <c r="BO82" s="665"/>
      <c r="BP82" s="665"/>
      <c r="BQ82" s="665"/>
      <c r="BR82" s="665"/>
      <c r="BS82" s="665"/>
      <c r="BT82" s="665"/>
    </row>
    <row r="83" spans="1:72" ht="15" hidden="1" customHeight="1">
      <c r="A83" s="66" t="s">
        <v>2079</v>
      </c>
      <c r="B83" s="66"/>
      <c r="C83" s="66" t="s">
        <v>2927</v>
      </c>
      <c r="D83" s="66" t="s">
        <v>2080</v>
      </c>
      <c r="E83" s="150" t="s">
        <v>1136</v>
      </c>
      <c r="F83" s="482" t="s">
        <v>1566</v>
      </c>
      <c r="G83" s="150" t="s">
        <v>1566</v>
      </c>
      <c r="H83" s="150" t="s">
        <v>1566</v>
      </c>
      <c r="I83" s="150" t="s">
        <v>1567</v>
      </c>
      <c r="J83" s="150" t="s">
        <v>1567</v>
      </c>
      <c r="K83" s="150" t="s">
        <v>1567</v>
      </c>
      <c r="L83" s="511" t="s">
        <v>389</v>
      </c>
      <c r="M83" s="544" t="s">
        <v>352</v>
      </c>
      <c r="N83" s="343"/>
      <c r="O83" s="343"/>
      <c r="P83" s="70" t="s">
        <v>352</v>
      </c>
      <c r="Q83" s="346" t="s">
        <v>1139</v>
      </c>
      <c r="R83" s="346" t="s">
        <v>1140</v>
      </c>
      <c r="S83" s="346"/>
      <c r="T83" s="150" t="s">
        <v>25</v>
      </c>
      <c r="U83" s="150"/>
      <c r="V83" s="643"/>
      <c r="W83" s="659">
        <v>0</v>
      </c>
      <c r="X83" s="659">
        <v>0</v>
      </c>
      <c r="Y83" s="669"/>
      <c r="Z83" s="657"/>
      <c r="AA83" s="714"/>
      <c r="AB83" s="429"/>
      <c r="AC83" s="429">
        <v>0</v>
      </c>
      <c r="AD83" s="429">
        <v>0</v>
      </c>
      <c r="AE83" s="429">
        <v>0</v>
      </c>
      <c r="AF83" s="429">
        <v>0</v>
      </c>
      <c r="AG83" s="667">
        <v>0</v>
      </c>
      <c r="AH83" s="667">
        <v>0</v>
      </c>
      <c r="AI83" s="667">
        <v>0</v>
      </c>
      <c r="AJ83" s="667">
        <v>0</v>
      </c>
      <c r="AK83" s="667">
        <v>0</v>
      </c>
      <c r="AL83" s="667">
        <v>0</v>
      </c>
      <c r="AM83" s="664">
        <f t="shared" ref="AM83:AM146" si="16">SUM(AA83:AL83)</f>
        <v>0</v>
      </c>
      <c r="AN83" s="651">
        <f>ERP_27[[#This Row],[2026 Working Total]]-ERP_27[[#This Row],[LE2 Final Submission]]</f>
        <v>0</v>
      </c>
      <c r="AO83" s="665">
        <v>0</v>
      </c>
      <c r="AP83" s="665">
        <f t="shared" si="14"/>
        <v>0</v>
      </c>
      <c r="AQ83" s="391">
        <f>SUM(ERP_27[[#This Row],[AP01]:[AP06]])-SUM(ERP_27[[#This Row],[AP01 LE2]:[AP06 LE2]])</f>
        <v>0</v>
      </c>
      <c r="AR83" s="670"/>
      <c r="AS83" s="665">
        <f>ERP_27[[#This Row],[2026 Working Total to Budget/LE]]-ERP_27[[#This Row],[Giveback]]</f>
        <v>0</v>
      </c>
      <c r="AT83" s="671"/>
      <c r="AU83" s="672"/>
      <c r="AV83" s="672"/>
      <c r="AW83" s="672">
        <v>0</v>
      </c>
      <c r="AX83" s="672">
        <v>0</v>
      </c>
      <c r="AY83" s="672">
        <v>0</v>
      </c>
      <c r="AZ83" s="672">
        <v>0</v>
      </c>
      <c r="BA83" s="672">
        <v>0</v>
      </c>
      <c r="BB83" s="672">
        <v>0</v>
      </c>
      <c r="BC83" s="672">
        <v>0</v>
      </c>
      <c r="BD83" s="672">
        <v>0</v>
      </c>
      <c r="BE83" s="672">
        <v>0</v>
      </c>
      <c r="BF83" s="672">
        <v>0</v>
      </c>
      <c r="BG83" s="672">
        <v>0</v>
      </c>
      <c r="BH83" s="665"/>
      <c r="BI83" s="665"/>
      <c r="BJ83" s="665">
        <v>0</v>
      </c>
      <c r="BK83" s="665">
        <v>0</v>
      </c>
      <c r="BL83" s="665">
        <v>0</v>
      </c>
      <c r="BM83" s="665">
        <v>0</v>
      </c>
      <c r="BN83" s="665">
        <v>0</v>
      </c>
      <c r="BO83" s="665">
        <v>0</v>
      </c>
      <c r="BP83" s="665">
        <v>0</v>
      </c>
      <c r="BQ83" s="665">
        <v>0</v>
      </c>
      <c r="BR83" s="665">
        <v>0</v>
      </c>
      <c r="BS83" s="665">
        <v>0</v>
      </c>
      <c r="BT83" s="665">
        <v>0</v>
      </c>
    </row>
    <row r="84" spans="1:72" ht="15" hidden="1" customHeight="1">
      <c r="A84" s="79" t="s">
        <v>2083</v>
      </c>
      <c r="B84" s="79"/>
      <c r="C84" s="79" t="s">
        <v>565</v>
      </c>
      <c r="D84" s="296" t="s">
        <v>2084</v>
      </c>
      <c r="E84" s="150" t="s">
        <v>1136</v>
      </c>
      <c r="F84" s="482" t="s">
        <v>1566</v>
      </c>
      <c r="G84" s="150" t="s">
        <v>1566</v>
      </c>
      <c r="H84" s="150" t="s">
        <v>1566</v>
      </c>
      <c r="I84" t="s">
        <v>1567</v>
      </c>
      <c r="J84" t="s">
        <v>1567</v>
      </c>
      <c r="K84" s="150" t="s">
        <v>1567</v>
      </c>
      <c r="L84" s="514" t="s">
        <v>389</v>
      </c>
      <c r="M84" s="394" t="s">
        <v>1699</v>
      </c>
      <c r="N84" s="343"/>
      <c r="O84" s="333"/>
      <c r="P84" s="70" t="s">
        <v>362</v>
      </c>
      <c r="Q84" s="347"/>
      <c r="R84" s="343"/>
      <c r="S84" s="348"/>
      <c r="T84" s="348"/>
      <c r="U84" s="348" t="s">
        <v>1700</v>
      </c>
      <c r="V84" s="646"/>
      <c r="W84" s="358"/>
      <c r="X84" s="358">
        <v>0</v>
      </c>
      <c r="Y84" s="669"/>
      <c r="Z84" s="657"/>
      <c r="AA84" s="714"/>
      <c r="AB84" s="429"/>
      <c r="AC84" s="429"/>
      <c r="AD84" s="429" t="s">
        <v>1142</v>
      </c>
      <c r="AE84" s="429">
        <v>0</v>
      </c>
      <c r="AF84" s="429">
        <v>0</v>
      </c>
      <c r="AG84" s="667"/>
      <c r="AH84" s="667"/>
      <c r="AI84" s="667"/>
      <c r="AJ84" s="667"/>
      <c r="AK84" s="667"/>
      <c r="AL84" s="667"/>
      <c r="AM84" s="664">
        <f t="shared" si="16"/>
        <v>0</v>
      </c>
      <c r="AN84" s="651">
        <f>ERP_27[[#This Row],[2026 Working Total]]-ERP_27[[#This Row],[LE2 Final Submission]]</f>
        <v>0</v>
      </c>
      <c r="AO84" s="665">
        <v>5045.4799999999996</v>
      </c>
      <c r="AP84" s="665">
        <f t="shared" si="14"/>
        <v>-5045.4799999999996</v>
      </c>
      <c r="AQ84" s="391">
        <f>SUM(ERP_27[[#This Row],[AP01]:[AP06]])-SUM(ERP_27[[#This Row],[AP01 LE2]:[AP06 LE2]])</f>
        <v>0</v>
      </c>
      <c r="AR84" s="670"/>
      <c r="AS84" s="665">
        <f>ERP_27[[#This Row],[2026 Working Total to Budget/LE]]-ERP_27[[#This Row],[Giveback]]</f>
        <v>0</v>
      </c>
      <c r="AT84" s="671"/>
      <c r="AU84" s="672"/>
      <c r="AV84" s="672"/>
      <c r="AW84" s="672"/>
      <c r="AX84" s="672">
        <v>-5045.4799999999996</v>
      </c>
      <c r="AY84" s="672">
        <v>5045.4799999999996</v>
      </c>
      <c r="AZ84" s="672"/>
      <c r="BA84" s="672"/>
      <c r="BB84" s="672"/>
      <c r="BC84" s="672"/>
      <c r="BD84" s="672"/>
      <c r="BE84" s="672"/>
      <c r="BF84" s="672"/>
      <c r="BG84" s="672">
        <v>0</v>
      </c>
      <c r="BH84" s="665"/>
      <c r="BI84" s="665"/>
      <c r="BJ84" s="665"/>
      <c r="BK84" s="665"/>
      <c r="BL84" s="665"/>
      <c r="BM84" s="665"/>
      <c r="BN84" s="665"/>
      <c r="BO84" s="665"/>
      <c r="BP84" s="665"/>
      <c r="BQ84" s="665"/>
      <c r="BR84" s="665"/>
      <c r="BS84" s="665"/>
      <c r="BT84" s="665"/>
    </row>
    <row r="85" spans="1:72" ht="15" hidden="1" customHeight="1">
      <c r="A85" s="79" t="s">
        <v>2099</v>
      </c>
      <c r="B85" s="79"/>
      <c r="C85" s="79" t="s">
        <v>570</v>
      </c>
      <c r="D85" s="296" t="s">
        <v>2100</v>
      </c>
      <c r="E85" s="150" t="s">
        <v>1136</v>
      </c>
      <c r="F85" s="482" t="s">
        <v>1566</v>
      </c>
      <c r="G85" s="482" t="s">
        <v>1566</v>
      </c>
      <c r="H85" s="482" t="s">
        <v>1566</v>
      </c>
      <c r="I85" s="332" t="s">
        <v>1345</v>
      </c>
      <c r="J85" s="383" t="s">
        <v>1346</v>
      </c>
      <c r="K85" s="331" t="s">
        <v>1346</v>
      </c>
      <c r="L85" s="512" t="s">
        <v>389</v>
      </c>
      <c r="M85" s="393" t="s">
        <v>2101</v>
      </c>
      <c r="N85" s="343"/>
      <c r="O85" s="331"/>
      <c r="P85" s="91" t="s">
        <v>571</v>
      </c>
      <c r="Q85" s="343"/>
      <c r="R85" s="346" t="s">
        <v>1221</v>
      </c>
      <c r="S85" s="348"/>
      <c r="T85" s="386" t="s">
        <v>432</v>
      </c>
      <c r="U85" s="387" t="s">
        <v>2102</v>
      </c>
      <c r="V85" s="668"/>
      <c r="W85" s="358">
        <v>1236</v>
      </c>
      <c r="X85" s="660">
        <v>0</v>
      </c>
      <c r="Y85" s="656"/>
      <c r="Z85" s="657"/>
      <c r="AA85" s="716"/>
      <c r="AB85" s="717"/>
      <c r="AC85" s="717"/>
      <c r="AD85" s="428" t="s">
        <v>1142</v>
      </c>
      <c r="AE85" s="429">
        <v>0</v>
      </c>
      <c r="AF85" s="429">
        <v>0</v>
      </c>
      <c r="AG85" s="661">
        <v>0</v>
      </c>
      <c r="AH85" s="661">
        <v>0</v>
      </c>
      <c r="AI85" s="661">
        <v>0</v>
      </c>
      <c r="AJ85" s="661">
        <v>0</v>
      </c>
      <c r="AK85" s="661">
        <v>0</v>
      </c>
      <c r="AL85" s="661">
        <v>0</v>
      </c>
      <c r="AM85" s="650">
        <f t="shared" si="16"/>
        <v>0</v>
      </c>
      <c r="AN85" s="651">
        <f>ERP_27[[#This Row],[2026 Working Total]]-ERP_27[[#This Row],[LE2 Final Submission]]</f>
        <v>0</v>
      </c>
      <c r="AO85" s="652">
        <v>0</v>
      </c>
      <c r="AP85" s="652">
        <f t="shared" si="14"/>
        <v>0</v>
      </c>
      <c r="AQ85" s="374">
        <f>SUM(ERP_27[[#This Row],[AP01]:[AP06]])-SUM(ERP_27[[#This Row],[AP01 LE2]:[AP06 LE2]])</f>
        <v>0</v>
      </c>
      <c r="AR85" s="653"/>
      <c r="AS85" s="652">
        <f>ERP_27[[#This Row],[2026 Working Total to Budget/LE]]-ERP_27[[#This Row],[Giveback]]</f>
        <v>0</v>
      </c>
      <c r="AT85" s="654"/>
      <c r="AU85" s="655"/>
      <c r="AV85" s="655"/>
      <c r="AW85" s="655"/>
      <c r="AX85" s="655">
        <v>0</v>
      </c>
      <c r="AY85" s="655">
        <v>0</v>
      </c>
      <c r="AZ85" s="655">
        <v>0</v>
      </c>
      <c r="BA85" s="655">
        <v>0</v>
      </c>
      <c r="BB85" s="655">
        <v>0</v>
      </c>
      <c r="BC85" s="655">
        <v>0</v>
      </c>
      <c r="BD85" s="655">
        <v>0</v>
      </c>
      <c r="BE85" s="655">
        <v>0</v>
      </c>
      <c r="BF85" s="655">
        <v>0</v>
      </c>
      <c r="BG85" s="655">
        <v>0</v>
      </c>
      <c r="BH85" s="662">
        <v>412</v>
      </c>
      <c r="BI85" s="662">
        <v>412</v>
      </c>
      <c r="BJ85" s="662">
        <v>412</v>
      </c>
      <c r="BK85" s="662">
        <v>0</v>
      </c>
      <c r="BL85" s="662">
        <v>0</v>
      </c>
      <c r="BM85" s="662">
        <v>0</v>
      </c>
      <c r="BN85" s="662">
        <v>0</v>
      </c>
      <c r="BO85" s="662">
        <v>0</v>
      </c>
      <c r="BP85" s="662">
        <v>0</v>
      </c>
      <c r="BQ85" s="662">
        <v>0</v>
      </c>
      <c r="BR85" s="662">
        <v>0</v>
      </c>
      <c r="BS85" s="662">
        <v>0</v>
      </c>
      <c r="BT85" s="652">
        <f>SUM(ERP_27[[#This Row],[2026 AP01]:[2026 AP12]])</f>
        <v>1236</v>
      </c>
    </row>
    <row r="86" spans="1:72" ht="15" hidden="1" customHeight="1">
      <c r="A86" s="66" t="s">
        <v>2688</v>
      </c>
      <c r="B86" s="66"/>
      <c r="C86" s="66" t="s">
        <v>1013</v>
      </c>
      <c r="D86" s="66" t="s">
        <v>2689</v>
      </c>
      <c r="E86" s="150" t="s">
        <v>1136</v>
      </c>
      <c r="F86" s="482" t="s">
        <v>1566</v>
      </c>
      <c r="G86" s="482" t="s">
        <v>1566</v>
      </c>
      <c r="H86" s="482" t="s">
        <v>1566</v>
      </c>
      <c r="I86" s="150" t="s">
        <v>1345</v>
      </c>
      <c r="J86" s="150" t="s">
        <v>1346</v>
      </c>
      <c r="K86" s="150" t="s">
        <v>1346</v>
      </c>
      <c r="L86" s="511" t="s">
        <v>639</v>
      </c>
      <c r="M86" s="392" t="s">
        <v>2690</v>
      </c>
      <c r="N86" s="343"/>
      <c r="O86" s="343"/>
      <c r="P86" s="70" t="s">
        <v>1014</v>
      </c>
      <c r="Q86" s="346"/>
      <c r="R86" s="343"/>
      <c r="S86" s="346"/>
      <c r="T86" s="150" t="s">
        <v>25</v>
      </c>
      <c r="U86" s="150" t="s">
        <v>2913</v>
      </c>
      <c r="V86" s="643"/>
      <c r="W86" s="659">
        <v>250000</v>
      </c>
      <c r="X86" s="659">
        <v>250000</v>
      </c>
      <c r="Y86" s="656"/>
      <c r="Z86" s="657"/>
      <c r="AA86" s="714"/>
      <c r="AB86" s="428"/>
      <c r="AC86" s="428"/>
      <c r="AD86" s="428" t="s">
        <v>1142</v>
      </c>
      <c r="AE86" s="429">
        <v>0</v>
      </c>
      <c r="AF86" s="429">
        <v>0</v>
      </c>
      <c r="AG86" s="649">
        <v>0</v>
      </c>
      <c r="AH86" s="649">
        <v>0</v>
      </c>
      <c r="AI86" s="649">
        <v>0</v>
      </c>
      <c r="AJ86" s="649">
        <v>0</v>
      </c>
      <c r="AK86" s="649">
        <v>0</v>
      </c>
      <c r="AL86" s="649">
        <v>0</v>
      </c>
      <c r="AM86" s="680">
        <f t="shared" si="16"/>
        <v>0</v>
      </c>
      <c r="AN86" s="651">
        <f>ERP_27[[#This Row],[2026 Working Total]]-ERP_27[[#This Row],[LE2 Final Submission]]</f>
        <v>-250000</v>
      </c>
      <c r="AO86" s="652"/>
      <c r="AP86" s="652">
        <f t="shared" si="14"/>
        <v>0</v>
      </c>
      <c r="AQ86" s="374">
        <f>SUM(ERP_27[[#This Row],[AP01]:[AP06]])-SUM(ERP_27[[#This Row],[AP01 LE2]:[AP06 LE2]])</f>
        <v>-250000</v>
      </c>
      <c r="AR86" s="653"/>
      <c r="AS86" s="652">
        <f>ERP_27[[#This Row],[2026 Working Total to Budget/LE]]-ERP_27[[#This Row],[Giveback]]</f>
        <v>-250000</v>
      </c>
      <c r="AT86" s="654"/>
      <c r="AU86" s="655"/>
      <c r="AV86" s="655"/>
      <c r="AW86" s="655"/>
      <c r="AX86" s="655"/>
      <c r="AY86" s="655"/>
      <c r="AZ86" s="655">
        <v>250000</v>
      </c>
      <c r="BA86" s="655">
        <v>0</v>
      </c>
      <c r="BB86" s="655">
        <v>0</v>
      </c>
      <c r="BC86" s="655">
        <v>0</v>
      </c>
      <c r="BD86" s="655">
        <v>0</v>
      </c>
      <c r="BE86" s="655">
        <v>0</v>
      </c>
      <c r="BF86" s="655">
        <v>0</v>
      </c>
      <c r="BG86" s="655">
        <v>250000</v>
      </c>
      <c r="BH86" s="652"/>
      <c r="BI86" s="652"/>
      <c r="BJ86" s="652"/>
      <c r="BK86" s="652"/>
      <c r="BL86" s="652"/>
      <c r="BM86" s="652">
        <v>250000</v>
      </c>
      <c r="BN86" s="652">
        <v>0</v>
      </c>
      <c r="BO86" s="652">
        <v>0</v>
      </c>
      <c r="BP86" s="652">
        <v>0</v>
      </c>
      <c r="BQ86" s="652">
        <v>0</v>
      </c>
      <c r="BR86" s="652">
        <v>0</v>
      </c>
      <c r="BS86" s="652">
        <v>0</v>
      </c>
      <c r="BT86" s="652">
        <v>250000</v>
      </c>
    </row>
    <row r="87" spans="1:72" ht="15" hidden="1" customHeight="1">
      <c r="A87" s="66" t="s">
        <v>2140</v>
      </c>
      <c r="B87" s="66"/>
      <c r="C87" s="66" t="s">
        <v>595</v>
      </c>
      <c r="D87" s="66" t="s">
        <v>595</v>
      </c>
      <c r="E87" s="150" t="s">
        <v>1136</v>
      </c>
      <c r="F87" s="482" t="s">
        <v>1566</v>
      </c>
      <c r="G87" s="150" t="s">
        <v>1650</v>
      </c>
      <c r="H87" s="150" t="s">
        <v>1650</v>
      </c>
      <c r="I87" s="150" t="s">
        <v>1650</v>
      </c>
      <c r="J87" s="150" t="s">
        <v>1650</v>
      </c>
      <c r="K87" s="150" t="s">
        <v>1650</v>
      </c>
      <c r="L87" s="511" t="s">
        <v>389</v>
      </c>
      <c r="M87" s="392" t="s">
        <v>1658</v>
      </c>
      <c r="N87" s="343"/>
      <c r="O87" s="343"/>
      <c r="P87" s="70" t="s">
        <v>596</v>
      </c>
      <c r="Q87" s="346"/>
      <c r="R87" s="343"/>
      <c r="S87" s="346"/>
      <c r="T87" s="150" t="s">
        <v>67</v>
      </c>
      <c r="U87" s="150" t="s">
        <v>1652</v>
      </c>
      <c r="V87" s="643"/>
      <c r="W87" s="659">
        <v>-12000</v>
      </c>
      <c r="X87" s="659">
        <v>0</v>
      </c>
      <c r="Y87" s="656"/>
      <c r="Z87" s="657"/>
      <c r="AA87" s="714"/>
      <c r="AB87" s="428"/>
      <c r="AC87" s="428"/>
      <c r="AD87" s="428" t="s">
        <v>1142</v>
      </c>
      <c r="AE87" s="429">
        <v>0</v>
      </c>
      <c r="AF87" s="429">
        <v>0</v>
      </c>
      <c r="AG87" s="649">
        <v>0</v>
      </c>
      <c r="AH87" s="649">
        <v>0</v>
      </c>
      <c r="AI87" s="649">
        <v>0</v>
      </c>
      <c r="AJ87" s="649">
        <v>0</v>
      </c>
      <c r="AK87" s="649">
        <v>0</v>
      </c>
      <c r="AL87" s="649">
        <v>0</v>
      </c>
      <c r="AM87" s="650">
        <f t="shared" si="16"/>
        <v>0</v>
      </c>
      <c r="AN87" s="651">
        <f>ERP_27[[#This Row],[2026 Working Total]]-ERP_27[[#This Row],[LE2 Final Submission]]</f>
        <v>0</v>
      </c>
      <c r="AO87" s="652"/>
      <c r="AP87" s="652">
        <f t="shared" si="14"/>
        <v>0</v>
      </c>
      <c r="AQ87" s="374">
        <f>SUM(ERP_27[[#This Row],[AP01]:[AP06]])-SUM(ERP_27[[#This Row],[AP01 LE2]:[AP06 LE2]])</f>
        <v>0</v>
      </c>
      <c r="AR87" s="653"/>
      <c r="AS87" s="652">
        <f>ERP_27[[#This Row],[2026 Working Total to Budget/LE]]-ERP_27[[#This Row],[Giveback]]</f>
        <v>0</v>
      </c>
      <c r="AT87" s="654"/>
      <c r="AU87" s="655"/>
      <c r="AV87" s="655"/>
      <c r="AW87" s="655"/>
      <c r="AX87" s="655"/>
      <c r="AY87" s="655"/>
      <c r="AZ87" s="655">
        <v>0</v>
      </c>
      <c r="BA87" s="655">
        <v>0</v>
      </c>
      <c r="BB87" s="655">
        <v>0</v>
      </c>
      <c r="BC87" s="655">
        <v>0</v>
      </c>
      <c r="BD87" s="655">
        <v>0</v>
      </c>
      <c r="BE87" s="655">
        <v>0</v>
      </c>
      <c r="BF87" s="655">
        <v>0</v>
      </c>
      <c r="BG87" s="655">
        <v>0</v>
      </c>
      <c r="BH87" s="652"/>
      <c r="BI87" s="652"/>
      <c r="BJ87" s="652"/>
      <c r="BK87" s="652"/>
      <c r="BL87" s="652"/>
      <c r="BM87" s="652">
        <v>-3000</v>
      </c>
      <c r="BN87" s="652">
        <v>0</v>
      </c>
      <c r="BO87" s="652">
        <v>0</v>
      </c>
      <c r="BP87" s="652">
        <v>-3000</v>
      </c>
      <c r="BQ87" s="652">
        <v>0</v>
      </c>
      <c r="BR87" s="652">
        <v>0</v>
      </c>
      <c r="BS87" s="652">
        <v>-3000</v>
      </c>
      <c r="BT87" s="652">
        <v>-9000</v>
      </c>
    </row>
    <row r="88" spans="1:72" ht="15" hidden="1" customHeight="1">
      <c r="A88" s="66" t="s">
        <v>2143</v>
      </c>
      <c r="B88" s="66"/>
      <c r="C88" s="66" t="s">
        <v>598</v>
      </c>
      <c r="D88" s="66" t="s">
        <v>598</v>
      </c>
      <c r="E88" s="150" t="s">
        <v>1136</v>
      </c>
      <c r="F88" s="482" t="s">
        <v>1566</v>
      </c>
      <c r="G88" s="150" t="s">
        <v>1650</v>
      </c>
      <c r="H88" s="150" t="s">
        <v>1650</v>
      </c>
      <c r="I88" s="150" t="s">
        <v>1650</v>
      </c>
      <c r="J88" s="150" t="s">
        <v>1650</v>
      </c>
      <c r="K88" s="150" t="s">
        <v>1650</v>
      </c>
      <c r="L88" s="511" t="s">
        <v>389</v>
      </c>
      <c r="M88" s="392" t="s">
        <v>2144</v>
      </c>
      <c r="N88" s="343"/>
      <c r="O88" s="343"/>
      <c r="P88" s="70" t="s">
        <v>599</v>
      </c>
      <c r="Q88" s="346"/>
      <c r="R88" s="343"/>
      <c r="S88" s="346"/>
      <c r="T88" s="150" t="s">
        <v>25</v>
      </c>
      <c r="U88" s="150"/>
      <c r="V88" s="643"/>
      <c r="W88" s="659">
        <v>12000</v>
      </c>
      <c r="X88" s="659">
        <v>12000</v>
      </c>
      <c r="Y88" s="656"/>
      <c r="Z88" s="657"/>
      <c r="AA88" s="714"/>
      <c r="AB88" s="428"/>
      <c r="AC88" s="428"/>
      <c r="AD88" s="428" t="s">
        <v>1142</v>
      </c>
      <c r="AE88" s="429">
        <v>0</v>
      </c>
      <c r="AF88" s="429">
        <v>0</v>
      </c>
      <c r="AG88" s="649">
        <v>0</v>
      </c>
      <c r="AH88" s="649">
        <v>0</v>
      </c>
      <c r="AI88" s="649">
        <v>0</v>
      </c>
      <c r="AJ88" s="649">
        <v>0</v>
      </c>
      <c r="AK88" s="649">
        <v>0</v>
      </c>
      <c r="AL88" s="649">
        <v>0</v>
      </c>
      <c r="AM88" s="680">
        <f t="shared" si="16"/>
        <v>0</v>
      </c>
      <c r="AN88" s="651">
        <f>ERP_27[[#This Row],[2026 Working Total]]-ERP_27[[#This Row],[LE2 Final Submission]]</f>
        <v>-12000</v>
      </c>
      <c r="AO88" s="652"/>
      <c r="AP88" s="652">
        <f t="shared" si="14"/>
        <v>0</v>
      </c>
      <c r="AQ88" s="374">
        <f>SUM(ERP_27[[#This Row],[AP01]:[AP06]])-SUM(ERP_27[[#This Row],[AP01 LE2]:[AP06 LE2]])</f>
        <v>-12000</v>
      </c>
      <c r="AR88" s="653"/>
      <c r="AS88" s="652">
        <f>ERP_27[[#This Row],[2026 Working Total to Budget/LE]]-ERP_27[[#This Row],[Giveback]]</f>
        <v>-12000</v>
      </c>
      <c r="AT88" s="654"/>
      <c r="AU88" s="655"/>
      <c r="AV88" s="655"/>
      <c r="AW88" s="655"/>
      <c r="AX88" s="655"/>
      <c r="AY88" s="655"/>
      <c r="AZ88" s="655">
        <v>12000</v>
      </c>
      <c r="BA88" s="655">
        <v>0</v>
      </c>
      <c r="BB88" s="655">
        <v>0</v>
      </c>
      <c r="BC88" s="655">
        <v>0</v>
      </c>
      <c r="BD88" s="655">
        <v>0</v>
      </c>
      <c r="BE88" s="655">
        <v>0</v>
      </c>
      <c r="BF88" s="655">
        <v>0</v>
      </c>
      <c r="BG88" s="655">
        <v>12000</v>
      </c>
      <c r="BH88" s="652"/>
      <c r="BI88" s="652"/>
      <c r="BJ88" s="652"/>
      <c r="BK88" s="652"/>
      <c r="BL88" s="652"/>
      <c r="BM88" s="652">
        <v>12000</v>
      </c>
      <c r="BN88" s="652">
        <v>0</v>
      </c>
      <c r="BO88" s="652">
        <v>0</v>
      </c>
      <c r="BP88" s="652">
        <v>0</v>
      </c>
      <c r="BQ88" s="652">
        <v>0</v>
      </c>
      <c r="BR88" s="652">
        <v>0</v>
      </c>
      <c r="BS88" s="652">
        <v>0</v>
      </c>
      <c r="BT88" s="652">
        <v>12000</v>
      </c>
    </row>
    <row r="89" spans="1:72" ht="15" hidden="1" customHeight="1">
      <c r="A89" s="79" t="s">
        <v>2812</v>
      </c>
      <c r="B89" s="79"/>
      <c r="C89" s="79" t="s">
        <v>1019</v>
      </c>
      <c r="D89" s="296" t="s">
        <v>1019</v>
      </c>
      <c r="E89" s="150" t="s">
        <v>1136</v>
      </c>
      <c r="F89" s="482" t="s">
        <v>1566</v>
      </c>
      <c r="G89" s="150" t="s">
        <v>1650</v>
      </c>
      <c r="H89" s="382" t="s">
        <v>1650</v>
      </c>
      <c r="I89" s="383" t="s">
        <v>1650</v>
      </c>
      <c r="J89" s="382" t="s">
        <v>1650</v>
      </c>
      <c r="K89" s="333" t="s">
        <v>1650</v>
      </c>
      <c r="L89" s="512" t="s">
        <v>639</v>
      </c>
      <c r="M89" s="394" t="s">
        <v>2813</v>
      </c>
      <c r="N89" s="343"/>
      <c r="O89" s="333"/>
      <c r="P89" s="122" t="s">
        <v>1020</v>
      </c>
      <c r="Q89" s="347"/>
      <c r="R89" s="346" t="s">
        <v>1140</v>
      </c>
      <c r="S89" s="348"/>
      <c r="T89" s="384" t="s">
        <v>1021</v>
      </c>
      <c r="U89" s="387" t="s">
        <v>2814</v>
      </c>
      <c r="V89" s="668"/>
      <c r="W89" s="358">
        <v>340000</v>
      </c>
      <c r="X89" s="660">
        <v>340000</v>
      </c>
      <c r="Y89" s="656"/>
      <c r="Z89" s="657"/>
      <c r="AA89" s="716"/>
      <c r="AB89" s="717"/>
      <c r="AC89" s="717"/>
      <c r="AD89" s="428" t="s">
        <v>1142</v>
      </c>
      <c r="AE89" s="429">
        <v>0</v>
      </c>
      <c r="AF89" s="429">
        <v>0</v>
      </c>
      <c r="AG89" s="661">
        <v>0</v>
      </c>
      <c r="AH89" s="681">
        <v>0</v>
      </c>
      <c r="AI89" s="661">
        <v>0</v>
      </c>
      <c r="AJ89" s="661">
        <v>0</v>
      </c>
      <c r="AK89" s="661">
        <v>0</v>
      </c>
      <c r="AL89" s="661">
        <v>0</v>
      </c>
      <c r="AM89" s="680">
        <f t="shared" si="16"/>
        <v>0</v>
      </c>
      <c r="AN89" s="651">
        <f>ERP_27[[#This Row],[2026 Working Total]]-ERP_27[[#This Row],[LE2 Final Submission]]</f>
        <v>-340000</v>
      </c>
      <c r="AO89" s="652">
        <v>0</v>
      </c>
      <c r="AP89" s="652">
        <f t="shared" si="14"/>
        <v>0</v>
      </c>
      <c r="AQ89" s="374">
        <f>SUM(ERP_27[[#This Row],[AP01]:[AP06]])-SUM(ERP_27[[#This Row],[AP01 LE2]:[AP06 LE2]])</f>
        <v>0</v>
      </c>
      <c r="AR89" s="653"/>
      <c r="AS89" s="652">
        <f>ERP_27[[#This Row],[2026 Working Total to Budget/LE]]-ERP_27[[#This Row],[Giveback]]</f>
        <v>-340000</v>
      </c>
      <c r="AT89" s="654"/>
      <c r="AU89" s="655"/>
      <c r="AV89" s="655"/>
      <c r="AW89" s="655"/>
      <c r="AX89" s="655">
        <v>0</v>
      </c>
      <c r="AY89" s="655">
        <v>0</v>
      </c>
      <c r="AZ89" s="655">
        <v>0</v>
      </c>
      <c r="BA89" s="655">
        <v>0</v>
      </c>
      <c r="BB89" s="655">
        <v>340000</v>
      </c>
      <c r="BC89" s="655">
        <v>0</v>
      </c>
      <c r="BD89" s="655">
        <v>0</v>
      </c>
      <c r="BE89" s="655">
        <v>0</v>
      </c>
      <c r="BF89" s="655">
        <v>0</v>
      </c>
      <c r="BG89" s="655">
        <v>340000</v>
      </c>
      <c r="BH89" s="662">
        <v>0</v>
      </c>
      <c r="BI89" s="662">
        <v>0</v>
      </c>
      <c r="BJ89" s="662">
        <v>340000</v>
      </c>
      <c r="BK89" s="662">
        <v>0</v>
      </c>
      <c r="BL89" s="662">
        <v>0</v>
      </c>
      <c r="BM89" s="662">
        <v>0</v>
      </c>
      <c r="BN89" s="662">
        <v>0</v>
      </c>
      <c r="BO89" s="662">
        <v>0</v>
      </c>
      <c r="BP89" s="662">
        <v>0</v>
      </c>
      <c r="BQ89" s="662">
        <v>0</v>
      </c>
      <c r="BR89" s="662">
        <v>0</v>
      </c>
      <c r="BS89" s="662">
        <v>0</v>
      </c>
      <c r="BT89" s="652">
        <f>SUM(ERP_27[[#This Row],[2026 AP01]:[2026 AP12]])</f>
        <v>340000</v>
      </c>
    </row>
    <row r="90" spans="1:72" ht="15" hidden="1" customHeight="1">
      <c r="A90" s="66" t="s">
        <v>2302</v>
      </c>
      <c r="B90" s="66"/>
      <c r="C90" s="66" t="s">
        <v>682</v>
      </c>
      <c r="D90" s="66" t="s">
        <v>2303</v>
      </c>
      <c r="E90" s="150" t="s">
        <v>1136</v>
      </c>
      <c r="F90" s="482" t="s">
        <v>1566</v>
      </c>
      <c r="G90" s="150" t="s">
        <v>1135</v>
      </c>
      <c r="H90" s="150" t="s">
        <v>1165</v>
      </c>
      <c r="I90" s="150" t="s">
        <v>1135</v>
      </c>
      <c r="J90" s="150" t="s">
        <v>1165</v>
      </c>
      <c r="K90" s="150" t="s">
        <v>1137</v>
      </c>
      <c r="L90" s="511" t="s">
        <v>639</v>
      </c>
      <c r="M90" s="392" t="s">
        <v>2304</v>
      </c>
      <c r="N90" s="343" t="s">
        <v>2305</v>
      </c>
      <c r="O90" s="346" t="s">
        <v>1252</v>
      </c>
      <c r="P90" s="70" t="s">
        <v>683</v>
      </c>
      <c r="Q90" s="346"/>
      <c r="R90" s="346" t="s">
        <v>2306</v>
      </c>
      <c r="S90" s="346" t="s">
        <v>1710</v>
      </c>
      <c r="T90" s="150" t="s">
        <v>684</v>
      </c>
      <c r="U90" s="150"/>
      <c r="V90" s="643"/>
      <c r="W90" s="659">
        <v>146492.82999999999</v>
      </c>
      <c r="X90" s="659">
        <v>-115764.16</v>
      </c>
      <c r="Y90" s="656"/>
      <c r="Z90" s="669"/>
      <c r="AA90" s="714">
        <v>-115764.16</v>
      </c>
      <c r="AB90" s="428">
        <f>115764.16-115764.16</f>
        <v>0</v>
      </c>
      <c r="AC90" s="428"/>
      <c r="AD90" s="428">
        <v>0</v>
      </c>
      <c r="AE90" s="429">
        <v>0</v>
      </c>
      <c r="AF90" s="429">
        <v>0</v>
      </c>
      <c r="AG90" s="649"/>
      <c r="AH90" s="649"/>
      <c r="AI90" s="649"/>
      <c r="AJ90" s="649"/>
      <c r="AK90" s="649"/>
      <c r="AL90" s="649"/>
      <c r="AM90" s="682">
        <f t="shared" si="16"/>
        <v>-115764.16</v>
      </c>
      <c r="AN90" s="651">
        <f>ERP_27[[#This Row],[2026 Working Total]]-ERP_27[[#This Row],[LE2 Final Submission]]</f>
        <v>0</v>
      </c>
      <c r="AO90" s="652"/>
      <c r="AP90" s="652">
        <f t="shared" si="14"/>
        <v>0</v>
      </c>
      <c r="AQ90" s="374">
        <f>SUM(ERP_27[[#This Row],[AP01]:[AP06]])-SUM(ERP_27[[#This Row],[AP01 LE2]:[AP06 LE2]])</f>
        <v>0</v>
      </c>
      <c r="AR90" s="653"/>
      <c r="AS90" s="652">
        <f>ERP_27[[#This Row],[2026 Working Total to Budget/LE]]-ERP_27[[#This Row],[Giveback]]</f>
        <v>0</v>
      </c>
      <c r="AT90" s="654"/>
      <c r="AU90" s="655">
        <v>-115764.16</v>
      </c>
      <c r="AV90" s="655">
        <v>0</v>
      </c>
      <c r="AW90" s="655"/>
      <c r="AX90" s="655"/>
      <c r="AY90" s="655"/>
      <c r="AZ90" s="655"/>
      <c r="BA90" s="655"/>
      <c r="BB90" s="655"/>
      <c r="BC90" s="655"/>
      <c r="BD90" s="655"/>
      <c r="BE90" s="655"/>
      <c r="BF90" s="655"/>
      <c r="BG90" s="655">
        <v>-115764.16</v>
      </c>
      <c r="BH90" s="652">
        <v>-115764.16</v>
      </c>
      <c r="BI90" s="652">
        <v>115764.16</v>
      </c>
      <c r="BJ90" s="652"/>
      <c r="BK90" s="652"/>
      <c r="BL90" s="652"/>
      <c r="BM90" s="652"/>
      <c r="BN90" s="652"/>
      <c r="BO90" s="652"/>
      <c r="BP90" s="652"/>
      <c r="BQ90" s="652"/>
      <c r="BR90" s="652"/>
      <c r="BS90" s="652"/>
      <c r="BT90" s="652">
        <v>0</v>
      </c>
    </row>
    <row r="91" spans="1:72" ht="15" hidden="1" customHeight="1">
      <c r="A91" s="66" t="s">
        <v>2557</v>
      </c>
      <c r="B91" s="66"/>
      <c r="C91" s="66" t="s">
        <v>872</v>
      </c>
      <c r="D91" s="66" t="s">
        <v>2558</v>
      </c>
      <c r="E91" s="150" t="s">
        <v>1136</v>
      </c>
      <c r="F91" s="482" t="s">
        <v>1566</v>
      </c>
      <c r="G91" s="150" t="s">
        <v>1135</v>
      </c>
      <c r="H91" s="150" t="s">
        <v>1145</v>
      </c>
      <c r="I91" s="150" t="s">
        <v>1135</v>
      </c>
      <c r="J91" s="150" t="s">
        <v>1145</v>
      </c>
      <c r="K91" s="150" t="s">
        <v>1137</v>
      </c>
      <c r="L91" s="511" t="s">
        <v>639</v>
      </c>
      <c r="M91" s="392" t="s">
        <v>2559</v>
      </c>
      <c r="N91" s="343" t="s">
        <v>1167</v>
      </c>
      <c r="O91" s="346" t="s">
        <v>1186</v>
      </c>
      <c r="P91" s="70" t="s">
        <v>873</v>
      </c>
      <c r="Q91" s="346"/>
      <c r="R91" s="346" t="s">
        <v>2560</v>
      </c>
      <c r="S91" s="346" t="s">
        <v>1710</v>
      </c>
      <c r="T91" s="150" t="s">
        <v>874</v>
      </c>
      <c r="U91" s="150"/>
      <c r="V91" s="643"/>
      <c r="W91" s="659">
        <v>14353.4</v>
      </c>
      <c r="X91" s="659">
        <v>0</v>
      </c>
      <c r="Y91" s="656"/>
      <c r="Z91" s="657"/>
      <c r="AA91" s="714">
        <v>0.28000000000000003</v>
      </c>
      <c r="AB91" s="428">
        <v>-0.28000000000000003</v>
      </c>
      <c r="AC91" s="428"/>
      <c r="AD91" s="428">
        <v>-11391.72</v>
      </c>
      <c r="AE91" s="429">
        <v>0</v>
      </c>
      <c r="AF91" s="429">
        <v>0</v>
      </c>
      <c r="AG91" s="649"/>
      <c r="AH91" s="649"/>
      <c r="AI91" s="649"/>
      <c r="AJ91" s="649"/>
      <c r="AK91" s="649"/>
      <c r="AL91" s="649"/>
      <c r="AM91" s="682">
        <f t="shared" si="16"/>
        <v>-11391.72</v>
      </c>
      <c r="AN91" s="651">
        <f>ERP_27[[#This Row],[2026 Working Total]]-ERP_27[[#This Row],[LE2 Final Submission]]</f>
        <v>-11391.72</v>
      </c>
      <c r="AO91" s="652"/>
      <c r="AP91" s="652">
        <f t="shared" si="14"/>
        <v>0</v>
      </c>
      <c r="AQ91" s="374">
        <f>SUM(ERP_27[[#This Row],[AP01]:[AP06]])-SUM(ERP_27[[#This Row],[AP01 LE2]:[AP06 LE2]])</f>
        <v>-11391.72</v>
      </c>
      <c r="AR91" s="653"/>
      <c r="AS91" s="652">
        <f>ERP_27[[#This Row],[2026 Working Total to Budget/LE]]-ERP_27[[#This Row],[Giveback]]</f>
        <v>-11391.72</v>
      </c>
      <c r="AT91" s="654"/>
      <c r="AU91" s="655">
        <v>0.28000000000000003</v>
      </c>
      <c r="AV91" s="655">
        <v>-0.28000000000000003</v>
      </c>
      <c r="AW91" s="655"/>
      <c r="AX91" s="655"/>
      <c r="AY91" s="655"/>
      <c r="AZ91" s="655"/>
      <c r="BA91" s="655"/>
      <c r="BB91" s="655"/>
      <c r="BC91" s="655"/>
      <c r="BD91" s="655"/>
      <c r="BE91" s="655"/>
      <c r="BF91" s="655"/>
      <c r="BG91" s="655">
        <v>0</v>
      </c>
      <c r="BH91" s="652">
        <v>0.28000000000000003</v>
      </c>
      <c r="BI91" s="652">
        <v>-0.28000000000000003</v>
      </c>
      <c r="BJ91" s="652"/>
      <c r="BK91" s="652"/>
      <c r="BL91" s="652"/>
      <c r="BM91" s="652"/>
      <c r="BN91" s="652"/>
      <c r="BO91" s="652"/>
      <c r="BP91" s="652"/>
      <c r="BQ91" s="652"/>
      <c r="BR91" s="652"/>
      <c r="BS91" s="652"/>
      <c r="BT91" s="652">
        <v>0</v>
      </c>
    </row>
    <row r="92" spans="1:72" ht="15" hidden="1" customHeight="1">
      <c r="A92" s="66" t="s">
        <v>2151</v>
      </c>
      <c r="B92" s="66"/>
      <c r="C92" s="66" t="s">
        <v>606</v>
      </c>
      <c r="D92" s="66" t="s">
        <v>2152</v>
      </c>
      <c r="E92" s="150" t="s">
        <v>1136</v>
      </c>
      <c r="F92" s="482" t="s">
        <v>1566</v>
      </c>
      <c r="G92" s="150" t="s">
        <v>1135</v>
      </c>
      <c r="H92" s="150" t="s">
        <v>1145</v>
      </c>
      <c r="I92" s="150" t="s">
        <v>1135</v>
      </c>
      <c r="J92" s="150" t="s">
        <v>1145</v>
      </c>
      <c r="K92" s="150" t="s">
        <v>1137</v>
      </c>
      <c r="L92" s="511" t="s">
        <v>602</v>
      </c>
      <c r="M92" s="392" t="s">
        <v>2153</v>
      </c>
      <c r="N92" s="343"/>
      <c r="O92" s="150" t="s">
        <v>1186</v>
      </c>
      <c r="P92" s="70" t="s">
        <v>607</v>
      </c>
      <c r="Q92" s="346" t="s">
        <v>1153</v>
      </c>
      <c r="R92" s="346" t="s">
        <v>2154</v>
      </c>
      <c r="S92" s="346" t="s">
        <v>1710</v>
      </c>
      <c r="T92" s="150" t="s">
        <v>608</v>
      </c>
      <c r="U92" s="150"/>
      <c r="V92" s="643"/>
      <c r="W92" s="659">
        <v>0</v>
      </c>
      <c r="X92" s="659">
        <v>0</v>
      </c>
      <c r="Y92" s="656"/>
      <c r="Z92" s="657"/>
      <c r="AA92" s="714">
        <v>-11125</v>
      </c>
      <c r="AB92" s="428">
        <v>11125</v>
      </c>
      <c r="AC92" s="428"/>
      <c r="AD92" s="428" t="s">
        <v>1142</v>
      </c>
      <c r="AE92" s="429">
        <v>0</v>
      </c>
      <c r="AF92" s="429">
        <v>0</v>
      </c>
      <c r="AG92" s="649"/>
      <c r="AH92" s="649"/>
      <c r="AI92" s="649"/>
      <c r="AJ92" s="649"/>
      <c r="AK92" s="649"/>
      <c r="AL92" s="649"/>
      <c r="AM92" s="682">
        <f t="shared" si="16"/>
        <v>0</v>
      </c>
      <c r="AN92" s="651">
        <f>ERP_27[[#This Row],[2026 Working Total]]-ERP_27[[#This Row],[LE2 Final Submission]]</f>
        <v>0</v>
      </c>
      <c r="AO92" s="652"/>
      <c r="AP92" s="652">
        <f t="shared" si="14"/>
        <v>0</v>
      </c>
      <c r="AQ92" s="374">
        <f>SUM(ERP_27[[#This Row],[AP01]:[AP06]])-SUM(ERP_27[[#This Row],[AP01 LE2]:[AP06 LE2]])</f>
        <v>0</v>
      </c>
      <c r="AR92" s="653"/>
      <c r="AS92" s="652">
        <f>ERP_27[[#This Row],[2026 Working Total to Budget/LE]]-ERP_27[[#This Row],[Giveback]]</f>
        <v>0</v>
      </c>
      <c r="AT92" s="654"/>
      <c r="AU92" s="655">
        <v>-11125</v>
      </c>
      <c r="AV92" s="655">
        <v>11125</v>
      </c>
      <c r="AW92" s="655"/>
      <c r="AX92" s="655"/>
      <c r="AY92" s="655"/>
      <c r="AZ92" s="655"/>
      <c r="BA92" s="655"/>
      <c r="BB92" s="655"/>
      <c r="BC92" s="655"/>
      <c r="BD92" s="655"/>
      <c r="BE92" s="655"/>
      <c r="BF92" s="655"/>
      <c r="BG92" s="655">
        <v>0</v>
      </c>
      <c r="BH92" s="652">
        <v>-11125</v>
      </c>
      <c r="BI92" s="652">
        <v>11125</v>
      </c>
      <c r="BJ92" s="652"/>
      <c r="BK92" s="652"/>
      <c r="BL92" s="652"/>
      <c r="BM92" s="652"/>
      <c r="BN92" s="652"/>
      <c r="BO92" s="652"/>
      <c r="BP92" s="652"/>
      <c r="BQ92" s="652"/>
      <c r="BR92" s="652"/>
      <c r="BS92" s="652"/>
      <c r="BT92" s="652">
        <v>0</v>
      </c>
    </row>
    <row r="93" spans="1:72" ht="15" hidden="1" customHeight="1">
      <c r="A93" s="79" t="s">
        <v>2311</v>
      </c>
      <c r="B93" s="79"/>
      <c r="C93" s="79" t="s">
        <v>687</v>
      </c>
      <c r="D93" s="296" t="s">
        <v>2312</v>
      </c>
      <c r="E93" s="150" t="s">
        <v>1136</v>
      </c>
      <c r="F93" s="482" t="s">
        <v>1566</v>
      </c>
      <c r="G93" s="150" t="s">
        <v>1135</v>
      </c>
      <c r="H93" s="383" t="s">
        <v>1165</v>
      </c>
      <c r="I93" s="332" t="s">
        <v>1135</v>
      </c>
      <c r="J93" s="383" t="s">
        <v>1165</v>
      </c>
      <c r="K93" s="333" t="s">
        <v>1137</v>
      </c>
      <c r="L93" s="512" t="s">
        <v>639</v>
      </c>
      <c r="M93" s="393" t="s">
        <v>2313</v>
      </c>
      <c r="N93" s="343" t="s">
        <v>2314</v>
      </c>
      <c r="O93" s="332" t="s">
        <v>1186</v>
      </c>
      <c r="P93" s="91" t="s">
        <v>688</v>
      </c>
      <c r="Q93" s="347"/>
      <c r="R93" s="346" t="s">
        <v>2315</v>
      </c>
      <c r="S93" s="346" t="s">
        <v>1710</v>
      </c>
      <c r="T93" s="386" t="s">
        <v>689</v>
      </c>
      <c r="U93" s="346" t="s">
        <v>1348</v>
      </c>
      <c r="V93" s="660"/>
      <c r="W93" s="358">
        <v>169727.17</v>
      </c>
      <c r="X93" s="660">
        <v>0</v>
      </c>
      <c r="Y93" s="656"/>
      <c r="Z93" s="657"/>
      <c r="AA93" s="716"/>
      <c r="AB93" s="717"/>
      <c r="AC93" s="717"/>
      <c r="AD93" s="428" t="s">
        <v>1142</v>
      </c>
      <c r="AE93" s="429">
        <v>0</v>
      </c>
      <c r="AF93" s="429">
        <v>0</v>
      </c>
      <c r="AG93" s="661">
        <v>0</v>
      </c>
      <c r="AH93" s="661">
        <v>0</v>
      </c>
      <c r="AI93" s="661">
        <v>0</v>
      </c>
      <c r="AJ93" s="661">
        <v>0</v>
      </c>
      <c r="AK93" s="661">
        <v>0</v>
      </c>
      <c r="AL93" s="661">
        <v>0</v>
      </c>
      <c r="AM93" s="682">
        <f t="shared" si="16"/>
        <v>0</v>
      </c>
      <c r="AN93" s="651">
        <f>ERP_27[[#This Row],[2026 Working Total]]-ERP_27[[#This Row],[LE2 Final Submission]]</f>
        <v>0</v>
      </c>
      <c r="AO93" s="652">
        <v>0</v>
      </c>
      <c r="AP93" s="652">
        <f t="shared" si="14"/>
        <v>0</v>
      </c>
      <c r="AQ93" s="374">
        <f>SUM(ERP_27[[#This Row],[AP01]:[AP06]])-SUM(ERP_27[[#This Row],[AP01 LE2]:[AP06 LE2]])</f>
        <v>0</v>
      </c>
      <c r="AR93" s="653"/>
      <c r="AS93" s="652">
        <f>ERP_27[[#This Row],[2026 Working Total to Budget/LE]]-ERP_27[[#This Row],[Giveback]]</f>
        <v>0</v>
      </c>
      <c r="AT93" s="654"/>
      <c r="AU93" s="655"/>
      <c r="AV93" s="655"/>
      <c r="AW93" s="655"/>
      <c r="AX93" s="655">
        <v>0</v>
      </c>
      <c r="AY93" s="655">
        <v>0</v>
      </c>
      <c r="AZ93" s="655">
        <v>0</v>
      </c>
      <c r="BA93" s="655">
        <v>0</v>
      </c>
      <c r="BB93" s="655">
        <v>0</v>
      </c>
      <c r="BC93" s="655">
        <v>0</v>
      </c>
      <c r="BD93" s="655">
        <v>0</v>
      </c>
      <c r="BE93" s="655">
        <v>0</v>
      </c>
      <c r="BF93" s="655">
        <v>0</v>
      </c>
      <c r="BG93" s="655">
        <v>0</v>
      </c>
      <c r="BH93" s="662">
        <v>169727.17</v>
      </c>
      <c r="BI93" s="662">
        <v>0</v>
      </c>
      <c r="BJ93" s="662">
        <v>0</v>
      </c>
      <c r="BK93" s="662">
        <v>0</v>
      </c>
      <c r="BL93" s="662">
        <v>0</v>
      </c>
      <c r="BM93" s="662">
        <v>0</v>
      </c>
      <c r="BN93" s="662">
        <v>0</v>
      </c>
      <c r="BO93" s="662">
        <v>0</v>
      </c>
      <c r="BP93" s="662">
        <v>0</v>
      </c>
      <c r="BQ93" s="662">
        <v>0</v>
      </c>
      <c r="BR93" s="662">
        <v>0</v>
      </c>
      <c r="BS93" s="662">
        <v>0</v>
      </c>
      <c r="BT93" s="652">
        <f>SUM(ERP_27[[#This Row],[2026 AP01]:[2026 AP12]])</f>
        <v>169727.17</v>
      </c>
    </row>
    <row r="94" spans="1:72" ht="15" hidden="1" customHeight="1">
      <c r="A94" s="79" t="s">
        <v>2316</v>
      </c>
      <c r="B94" s="79"/>
      <c r="C94" s="79" t="s">
        <v>690</v>
      </c>
      <c r="D94" s="296" t="s">
        <v>2317</v>
      </c>
      <c r="E94" s="150" t="s">
        <v>1136</v>
      </c>
      <c r="F94" s="482" t="s">
        <v>1566</v>
      </c>
      <c r="G94" s="150" t="s">
        <v>1135</v>
      </c>
      <c r="H94" s="383" t="s">
        <v>1165</v>
      </c>
      <c r="I94" s="332" t="s">
        <v>1135</v>
      </c>
      <c r="J94" s="383" t="s">
        <v>1165</v>
      </c>
      <c r="K94" s="333" t="s">
        <v>1137</v>
      </c>
      <c r="L94" s="512" t="s">
        <v>639</v>
      </c>
      <c r="M94" s="393" t="s">
        <v>2318</v>
      </c>
      <c r="N94" s="343"/>
      <c r="O94" s="333"/>
      <c r="P94" s="91" t="s">
        <v>691</v>
      </c>
      <c r="Q94" s="347"/>
      <c r="R94" s="346" t="s">
        <v>2315</v>
      </c>
      <c r="S94" s="346" t="s">
        <v>1710</v>
      </c>
      <c r="T94" s="386" t="s">
        <v>689</v>
      </c>
      <c r="U94" s="346" t="s">
        <v>1348</v>
      </c>
      <c r="V94" s="660"/>
      <c r="W94" s="358">
        <v>-169727.17</v>
      </c>
      <c r="X94" s="660">
        <v>0</v>
      </c>
      <c r="Y94" s="656"/>
      <c r="Z94" s="657"/>
      <c r="AA94" s="716"/>
      <c r="AB94" s="717"/>
      <c r="AC94" s="717"/>
      <c r="AD94" s="428" t="s">
        <v>1142</v>
      </c>
      <c r="AE94" s="429">
        <v>0</v>
      </c>
      <c r="AF94" s="429">
        <v>0</v>
      </c>
      <c r="AG94" s="661">
        <v>0</v>
      </c>
      <c r="AH94" s="661">
        <v>0</v>
      </c>
      <c r="AI94" s="661">
        <v>0</v>
      </c>
      <c r="AJ94" s="661">
        <v>0</v>
      </c>
      <c r="AK94" s="661">
        <v>0</v>
      </c>
      <c r="AL94" s="661">
        <v>0</v>
      </c>
      <c r="AM94" s="682">
        <f t="shared" si="16"/>
        <v>0</v>
      </c>
      <c r="AN94" s="651">
        <f>ERP_27[[#This Row],[2026 Working Total]]-ERP_27[[#This Row],[LE2 Final Submission]]</f>
        <v>0</v>
      </c>
      <c r="AO94" s="652">
        <v>0</v>
      </c>
      <c r="AP94" s="652">
        <f t="shared" si="14"/>
        <v>0</v>
      </c>
      <c r="AQ94" s="374">
        <f>SUM(ERP_27[[#This Row],[AP01]:[AP06]])-SUM(ERP_27[[#This Row],[AP01 LE2]:[AP06 LE2]])</f>
        <v>0</v>
      </c>
      <c r="AR94" s="653"/>
      <c r="AS94" s="652">
        <f>ERP_27[[#This Row],[2026 Working Total to Budget/LE]]-ERP_27[[#This Row],[Giveback]]</f>
        <v>0</v>
      </c>
      <c r="AT94" s="654"/>
      <c r="AU94" s="655"/>
      <c r="AV94" s="655"/>
      <c r="AW94" s="655"/>
      <c r="AX94" s="655">
        <v>0</v>
      </c>
      <c r="AY94" s="655">
        <v>0</v>
      </c>
      <c r="AZ94" s="655">
        <v>0</v>
      </c>
      <c r="BA94" s="655">
        <v>0</v>
      </c>
      <c r="BB94" s="655">
        <v>0</v>
      </c>
      <c r="BC94" s="655">
        <v>0</v>
      </c>
      <c r="BD94" s="655">
        <v>0</v>
      </c>
      <c r="BE94" s="655">
        <v>0</v>
      </c>
      <c r="BF94" s="655">
        <v>0</v>
      </c>
      <c r="BG94" s="655">
        <v>0</v>
      </c>
      <c r="BH94" s="662">
        <v>-169727.17</v>
      </c>
      <c r="BI94" s="662">
        <v>0</v>
      </c>
      <c r="BJ94" s="662">
        <v>0</v>
      </c>
      <c r="BK94" s="662">
        <v>0</v>
      </c>
      <c r="BL94" s="662">
        <v>0</v>
      </c>
      <c r="BM94" s="662">
        <v>0</v>
      </c>
      <c r="BN94" s="662">
        <v>0</v>
      </c>
      <c r="BO94" s="662">
        <v>0</v>
      </c>
      <c r="BP94" s="662">
        <v>0</v>
      </c>
      <c r="BQ94" s="662">
        <v>0</v>
      </c>
      <c r="BR94" s="662">
        <v>0</v>
      </c>
      <c r="BS94" s="662">
        <v>0</v>
      </c>
      <c r="BT94" s="652">
        <f>SUM(ERP_27[[#This Row],[2026 AP01]:[2026 AP12]])</f>
        <v>-169727.17</v>
      </c>
    </row>
    <row r="95" spans="1:72" ht="15" hidden="1" customHeight="1">
      <c r="A95" s="79" t="s">
        <v>2325</v>
      </c>
      <c r="B95" s="79"/>
      <c r="C95" s="79" t="s">
        <v>694</v>
      </c>
      <c r="D95" s="296" t="s">
        <v>2326</v>
      </c>
      <c r="E95" s="150" t="s">
        <v>1136</v>
      </c>
      <c r="F95" s="482" t="s">
        <v>1566</v>
      </c>
      <c r="G95" s="150" t="s">
        <v>1135</v>
      </c>
      <c r="H95" s="383" t="s">
        <v>1145</v>
      </c>
      <c r="I95" s="332" t="s">
        <v>1135</v>
      </c>
      <c r="J95" s="383" t="s">
        <v>1145</v>
      </c>
      <c r="K95" s="331" t="s">
        <v>1137</v>
      </c>
      <c r="L95" s="512" t="s">
        <v>639</v>
      </c>
      <c r="M95" s="393" t="s">
        <v>2327</v>
      </c>
      <c r="N95" s="343" t="s">
        <v>2328</v>
      </c>
      <c r="O95" s="150" t="s">
        <v>1171</v>
      </c>
      <c r="P95" s="91" t="s">
        <v>695</v>
      </c>
      <c r="Q95" s="343"/>
      <c r="R95" s="346" t="s">
        <v>2329</v>
      </c>
      <c r="S95" s="346" t="s">
        <v>1710</v>
      </c>
      <c r="T95" s="386" t="s">
        <v>696</v>
      </c>
      <c r="U95" s="346" t="s">
        <v>1348</v>
      </c>
      <c r="V95" s="660"/>
      <c r="W95" s="358">
        <v>325620</v>
      </c>
      <c r="X95" s="660">
        <v>0</v>
      </c>
      <c r="Y95" s="656"/>
      <c r="Z95" s="657"/>
      <c r="AA95" s="716"/>
      <c r="AB95" s="717"/>
      <c r="AC95" s="717"/>
      <c r="AD95" s="428" t="s">
        <v>1142</v>
      </c>
      <c r="AE95" s="429">
        <v>0</v>
      </c>
      <c r="AF95" s="429">
        <v>0</v>
      </c>
      <c r="AG95" s="661">
        <v>0</v>
      </c>
      <c r="AH95" s="661">
        <v>0</v>
      </c>
      <c r="AI95" s="661">
        <v>0</v>
      </c>
      <c r="AJ95" s="661">
        <v>0</v>
      </c>
      <c r="AK95" s="661">
        <v>0</v>
      </c>
      <c r="AL95" s="661">
        <v>0</v>
      </c>
      <c r="AM95" s="682">
        <f t="shared" si="16"/>
        <v>0</v>
      </c>
      <c r="AN95" s="651">
        <f>ERP_27[[#This Row],[2026 Working Total]]-ERP_27[[#This Row],[LE2 Final Submission]]</f>
        <v>0</v>
      </c>
      <c r="AO95" s="652">
        <v>0</v>
      </c>
      <c r="AP95" s="652">
        <f t="shared" si="14"/>
        <v>0</v>
      </c>
      <c r="AQ95" s="374">
        <f>SUM(ERP_27[[#This Row],[AP01]:[AP06]])-SUM(ERP_27[[#This Row],[AP01 LE2]:[AP06 LE2]])</f>
        <v>0</v>
      </c>
      <c r="AR95" s="653"/>
      <c r="AS95" s="652">
        <f>ERP_27[[#This Row],[2026 Working Total to Budget/LE]]-ERP_27[[#This Row],[Giveback]]</f>
        <v>0</v>
      </c>
      <c r="AT95" s="654"/>
      <c r="AU95" s="655"/>
      <c r="AV95" s="655"/>
      <c r="AW95" s="655"/>
      <c r="AX95" s="655">
        <v>0</v>
      </c>
      <c r="AY95" s="655">
        <v>0</v>
      </c>
      <c r="AZ95" s="655">
        <v>0</v>
      </c>
      <c r="BA95" s="655">
        <v>0</v>
      </c>
      <c r="BB95" s="655">
        <v>0</v>
      </c>
      <c r="BC95" s="655">
        <v>0</v>
      </c>
      <c r="BD95" s="655">
        <v>0</v>
      </c>
      <c r="BE95" s="655">
        <v>0</v>
      </c>
      <c r="BF95" s="655">
        <v>0</v>
      </c>
      <c r="BG95" s="655">
        <v>0</v>
      </c>
      <c r="BH95" s="662">
        <v>325620</v>
      </c>
      <c r="BI95" s="662">
        <v>0</v>
      </c>
      <c r="BJ95" s="662">
        <v>0</v>
      </c>
      <c r="BK95" s="662">
        <v>0</v>
      </c>
      <c r="BL95" s="662">
        <v>0</v>
      </c>
      <c r="BM95" s="662">
        <v>0</v>
      </c>
      <c r="BN95" s="662">
        <v>0</v>
      </c>
      <c r="BO95" s="662">
        <v>0</v>
      </c>
      <c r="BP95" s="662">
        <v>0</v>
      </c>
      <c r="BQ95" s="662">
        <v>0</v>
      </c>
      <c r="BR95" s="662">
        <v>0</v>
      </c>
      <c r="BS95" s="662">
        <v>0</v>
      </c>
      <c r="BT95" s="652">
        <f>SUM(ERP_27[[#This Row],[2026 AP01]:[2026 AP12]])</f>
        <v>325620</v>
      </c>
    </row>
    <row r="96" spans="1:72" ht="15" hidden="1" customHeight="1">
      <c r="A96" s="79" t="s">
        <v>2330</v>
      </c>
      <c r="B96" s="79"/>
      <c r="C96" s="79" t="s">
        <v>697</v>
      </c>
      <c r="D96" s="296" t="s">
        <v>2331</v>
      </c>
      <c r="E96" s="150" t="s">
        <v>1136</v>
      </c>
      <c r="F96" s="482" t="s">
        <v>1566</v>
      </c>
      <c r="G96" s="150" t="s">
        <v>1135</v>
      </c>
      <c r="H96" s="383" t="s">
        <v>1145</v>
      </c>
      <c r="I96" s="332" t="s">
        <v>1135</v>
      </c>
      <c r="J96" s="383" t="s">
        <v>1145</v>
      </c>
      <c r="K96" s="331" t="s">
        <v>1137</v>
      </c>
      <c r="L96" s="512" t="s">
        <v>639</v>
      </c>
      <c r="M96" s="393" t="s">
        <v>2332</v>
      </c>
      <c r="N96" s="343"/>
      <c r="O96" s="331"/>
      <c r="P96" s="91" t="s">
        <v>698</v>
      </c>
      <c r="Q96" s="343"/>
      <c r="R96" s="346" t="s">
        <v>2329</v>
      </c>
      <c r="S96" s="346" t="s">
        <v>1710</v>
      </c>
      <c r="T96" s="386" t="s">
        <v>696</v>
      </c>
      <c r="U96" s="346" t="s">
        <v>1348</v>
      </c>
      <c r="V96" s="660"/>
      <c r="W96" s="358">
        <v>-325620</v>
      </c>
      <c r="X96" s="660">
        <v>0</v>
      </c>
      <c r="Y96" s="656"/>
      <c r="Z96" s="657"/>
      <c r="AA96" s="716"/>
      <c r="AB96" s="717"/>
      <c r="AC96" s="717"/>
      <c r="AD96" s="428" t="s">
        <v>1142</v>
      </c>
      <c r="AE96" s="429">
        <v>0</v>
      </c>
      <c r="AF96" s="429">
        <v>0</v>
      </c>
      <c r="AG96" s="661">
        <v>0</v>
      </c>
      <c r="AH96" s="661">
        <v>0</v>
      </c>
      <c r="AI96" s="661">
        <v>0</v>
      </c>
      <c r="AJ96" s="661">
        <v>0</v>
      </c>
      <c r="AK96" s="661">
        <v>0</v>
      </c>
      <c r="AL96" s="661">
        <v>0</v>
      </c>
      <c r="AM96" s="682">
        <f t="shared" si="16"/>
        <v>0</v>
      </c>
      <c r="AN96" s="651">
        <f>ERP_27[[#This Row],[2026 Working Total]]-ERP_27[[#This Row],[LE2 Final Submission]]</f>
        <v>0</v>
      </c>
      <c r="AO96" s="652">
        <v>0</v>
      </c>
      <c r="AP96" s="652">
        <f t="shared" si="14"/>
        <v>0</v>
      </c>
      <c r="AQ96" s="374">
        <f>SUM(ERP_27[[#This Row],[AP01]:[AP06]])-SUM(ERP_27[[#This Row],[AP01 LE2]:[AP06 LE2]])</f>
        <v>0</v>
      </c>
      <c r="AR96" s="653"/>
      <c r="AS96" s="652">
        <f>ERP_27[[#This Row],[2026 Working Total to Budget/LE]]-ERP_27[[#This Row],[Giveback]]</f>
        <v>0</v>
      </c>
      <c r="AT96" s="654"/>
      <c r="AU96" s="655"/>
      <c r="AV96" s="655"/>
      <c r="AW96" s="655"/>
      <c r="AX96" s="655">
        <v>0</v>
      </c>
      <c r="AY96" s="655">
        <v>0</v>
      </c>
      <c r="AZ96" s="655">
        <v>0</v>
      </c>
      <c r="BA96" s="655">
        <v>0</v>
      </c>
      <c r="BB96" s="655">
        <v>0</v>
      </c>
      <c r="BC96" s="655">
        <v>0</v>
      </c>
      <c r="BD96" s="655">
        <v>0</v>
      </c>
      <c r="BE96" s="655">
        <v>0</v>
      </c>
      <c r="BF96" s="655">
        <v>0</v>
      </c>
      <c r="BG96" s="655">
        <v>0</v>
      </c>
      <c r="BH96" s="662">
        <v>-325620</v>
      </c>
      <c r="BI96" s="662">
        <v>0</v>
      </c>
      <c r="BJ96" s="662">
        <v>0</v>
      </c>
      <c r="BK96" s="662">
        <v>0</v>
      </c>
      <c r="BL96" s="662">
        <v>0</v>
      </c>
      <c r="BM96" s="662">
        <v>0</v>
      </c>
      <c r="BN96" s="662">
        <v>0</v>
      </c>
      <c r="BO96" s="662">
        <v>0</v>
      </c>
      <c r="BP96" s="662">
        <v>0</v>
      </c>
      <c r="BQ96" s="662">
        <v>0</v>
      </c>
      <c r="BR96" s="662">
        <v>0</v>
      </c>
      <c r="BS96" s="662">
        <v>0</v>
      </c>
      <c r="BT96" s="652">
        <f>SUM(ERP_27[[#This Row],[2026 AP01]:[2026 AP12]])</f>
        <v>-325620</v>
      </c>
    </row>
    <row r="97" spans="1:72" ht="15" hidden="1" customHeight="1">
      <c r="A97" s="79" t="s">
        <v>2341</v>
      </c>
      <c r="B97" s="79"/>
      <c r="C97" s="79" t="s">
        <v>705</v>
      </c>
      <c r="D97" s="296" t="s">
        <v>705</v>
      </c>
      <c r="E97" s="150" t="s">
        <v>1136</v>
      </c>
      <c r="F97" s="482" t="s">
        <v>1566</v>
      </c>
      <c r="G97" s="150" t="s">
        <v>1135</v>
      </c>
      <c r="H97" s="150" t="s">
        <v>1135</v>
      </c>
      <c r="I97" s="332" t="s">
        <v>1135</v>
      </c>
      <c r="J97" s="383" t="s">
        <v>1135</v>
      </c>
      <c r="K97" s="331" t="s">
        <v>1137</v>
      </c>
      <c r="L97" s="512" t="s">
        <v>639</v>
      </c>
      <c r="M97" s="393" t="s">
        <v>2342</v>
      </c>
      <c r="N97" s="343" t="s">
        <v>2343</v>
      </c>
      <c r="O97" s="150" t="s">
        <v>1171</v>
      </c>
      <c r="P97" s="91" t="s">
        <v>706</v>
      </c>
      <c r="Q97" s="343"/>
      <c r="R97" s="346" t="s">
        <v>2339</v>
      </c>
      <c r="S97" s="346" t="s">
        <v>1710</v>
      </c>
      <c r="T97" s="386" t="s">
        <v>707</v>
      </c>
      <c r="U97" s="387" t="s">
        <v>2344</v>
      </c>
      <c r="V97" s="660"/>
      <c r="W97" s="358">
        <v>678893.73</v>
      </c>
      <c r="X97" s="660">
        <v>0</v>
      </c>
      <c r="Y97" s="656"/>
      <c r="Z97" s="657"/>
      <c r="AA97" s="716"/>
      <c r="AB97" s="717"/>
      <c r="AC97" s="717"/>
      <c r="AD97" s="428" t="s">
        <v>1142</v>
      </c>
      <c r="AE97" s="429">
        <v>0</v>
      </c>
      <c r="AF97" s="429">
        <v>0</v>
      </c>
      <c r="AG97" s="661">
        <v>0</v>
      </c>
      <c r="AH97" s="661">
        <v>0</v>
      </c>
      <c r="AI97" s="661">
        <v>0</v>
      </c>
      <c r="AJ97" s="661">
        <v>0</v>
      </c>
      <c r="AK97" s="661">
        <v>0</v>
      </c>
      <c r="AL97" s="661">
        <v>0</v>
      </c>
      <c r="AM97" s="682">
        <f t="shared" si="16"/>
        <v>0</v>
      </c>
      <c r="AN97" s="651">
        <f>ERP_27[[#This Row],[2026 Working Total]]-ERP_27[[#This Row],[LE2 Final Submission]]</f>
        <v>0</v>
      </c>
      <c r="AO97" s="652">
        <v>0</v>
      </c>
      <c r="AP97" s="652">
        <f t="shared" si="14"/>
        <v>0</v>
      </c>
      <c r="AQ97" s="374">
        <f>SUM(ERP_27[[#This Row],[AP01]:[AP06]])-SUM(ERP_27[[#This Row],[AP01 LE2]:[AP06 LE2]])</f>
        <v>0</v>
      </c>
      <c r="AR97" s="653"/>
      <c r="AS97" s="652">
        <f>ERP_27[[#This Row],[2026 Working Total to Budget/LE]]-ERP_27[[#This Row],[Giveback]]</f>
        <v>0</v>
      </c>
      <c r="AT97" s="654"/>
      <c r="AU97" s="655"/>
      <c r="AV97" s="655"/>
      <c r="AW97" s="655"/>
      <c r="AX97" s="655">
        <v>0</v>
      </c>
      <c r="AY97" s="655">
        <v>0</v>
      </c>
      <c r="AZ97" s="655">
        <v>0</v>
      </c>
      <c r="BA97" s="655">
        <v>0</v>
      </c>
      <c r="BB97" s="655">
        <v>0</v>
      </c>
      <c r="BC97" s="655">
        <v>0</v>
      </c>
      <c r="BD97" s="655">
        <v>0</v>
      </c>
      <c r="BE97" s="655">
        <v>0</v>
      </c>
      <c r="BF97" s="655">
        <v>0</v>
      </c>
      <c r="BG97" s="655">
        <v>0</v>
      </c>
      <c r="BH97" s="662">
        <v>678893.73</v>
      </c>
      <c r="BI97" s="662">
        <v>0</v>
      </c>
      <c r="BJ97" s="662">
        <v>0</v>
      </c>
      <c r="BK97" s="662">
        <v>0</v>
      </c>
      <c r="BL97" s="662">
        <v>0</v>
      </c>
      <c r="BM97" s="662">
        <v>0</v>
      </c>
      <c r="BN97" s="662">
        <v>0</v>
      </c>
      <c r="BO97" s="662">
        <v>0</v>
      </c>
      <c r="BP97" s="662">
        <v>0</v>
      </c>
      <c r="BQ97" s="662">
        <v>0</v>
      </c>
      <c r="BR97" s="662">
        <v>0</v>
      </c>
      <c r="BS97" s="662">
        <v>0</v>
      </c>
      <c r="BT97" s="652">
        <f>SUM(ERP_27[[#This Row],[2026 AP01]:[2026 AP12]])</f>
        <v>678893.73</v>
      </c>
    </row>
    <row r="98" spans="1:72" ht="15" hidden="1" customHeight="1">
      <c r="A98" s="79" t="s">
        <v>2345</v>
      </c>
      <c r="B98" s="79"/>
      <c r="C98" s="79" t="s">
        <v>708</v>
      </c>
      <c r="D98" s="296" t="s">
        <v>708</v>
      </c>
      <c r="E98" s="150" t="s">
        <v>1136</v>
      </c>
      <c r="F98" s="482" t="s">
        <v>1566</v>
      </c>
      <c r="G98" s="150" t="s">
        <v>1135</v>
      </c>
      <c r="H98" s="150" t="s">
        <v>1135</v>
      </c>
      <c r="I98" s="332" t="s">
        <v>1135</v>
      </c>
      <c r="J98" s="383" t="s">
        <v>1135</v>
      </c>
      <c r="K98" s="331" t="s">
        <v>1137</v>
      </c>
      <c r="L98" s="512" t="s">
        <v>639</v>
      </c>
      <c r="M98" s="393" t="s">
        <v>2346</v>
      </c>
      <c r="N98" s="343" t="s">
        <v>2343</v>
      </c>
      <c r="O98" s="150" t="s">
        <v>1171</v>
      </c>
      <c r="P98" s="91" t="s">
        <v>709</v>
      </c>
      <c r="Q98" s="343"/>
      <c r="R98" s="346" t="s">
        <v>2339</v>
      </c>
      <c r="S98" s="346" t="s">
        <v>1710</v>
      </c>
      <c r="T98" s="386" t="s">
        <v>707</v>
      </c>
      <c r="U98" s="346" t="s">
        <v>1348</v>
      </c>
      <c r="V98" s="660"/>
      <c r="W98" s="358">
        <v>-678893.73</v>
      </c>
      <c r="X98" s="660">
        <v>0</v>
      </c>
      <c r="Y98" s="656"/>
      <c r="Z98" s="657"/>
      <c r="AA98" s="716"/>
      <c r="AB98" s="717"/>
      <c r="AC98" s="717"/>
      <c r="AD98" s="428" t="s">
        <v>1142</v>
      </c>
      <c r="AE98" s="429">
        <v>0</v>
      </c>
      <c r="AF98" s="429">
        <v>0</v>
      </c>
      <c r="AG98" s="661">
        <v>0</v>
      </c>
      <c r="AH98" s="661">
        <v>0</v>
      </c>
      <c r="AI98" s="661">
        <v>0</v>
      </c>
      <c r="AJ98" s="661">
        <v>0</v>
      </c>
      <c r="AK98" s="661">
        <v>0</v>
      </c>
      <c r="AL98" s="661">
        <v>0</v>
      </c>
      <c r="AM98" s="682">
        <f t="shared" si="16"/>
        <v>0</v>
      </c>
      <c r="AN98" s="651">
        <f>ERP_27[[#This Row],[2026 Working Total]]-ERP_27[[#This Row],[LE2 Final Submission]]</f>
        <v>0</v>
      </c>
      <c r="AO98" s="652">
        <v>0</v>
      </c>
      <c r="AP98" s="652">
        <f t="shared" si="14"/>
        <v>0</v>
      </c>
      <c r="AQ98" s="374">
        <f>SUM(ERP_27[[#This Row],[AP01]:[AP06]])-SUM(ERP_27[[#This Row],[AP01 LE2]:[AP06 LE2]])</f>
        <v>0</v>
      </c>
      <c r="AR98" s="653"/>
      <c r="AS98" s="652">
        <f>ERP_27[[#This Row],[2026 Working Total to Budget/LE]]-ERP_27[[#This Row],[Giveback]]</f>
        <v>0</v>
      </c>
      <c r="AT98" s="654"/>
      <c r="AU98" s="655"/>
      <c r="AV98" s="655"/>
      <c r="AW98" s="655"/>
      <c r="AX98" s="655">
        <v>0</v>
      </c>
      <c r="AY98" s="655">
        <v>0</v>
      </c>
      <c r="AZ98" s="655">
        <v>0</v>
      </c>
      <c r="BA98" s="655">
        <v>0</v>
      </c>
      <c r="BB98" s="655">
        <v>0</v>
      </c>
      <c r="BC98" s="655">
        <v>0</v>
      </c>
      <c r="BD98" s="655">
        <v>0</v>
      </c>
      <c r="BE98" s="655">
        <v>0</v>
      </c>
      <c r="BF98" s="655">
        <v>0</v>
      </c>
      <c r="BG98" s="655">
        <v>0</v>
      </c>
      <c r="BH98" s="662">
        <v>-678893.73</v>
      </c>
      <c r="BI98" s="662">
        <v>0</v>
      </c>
      <c r="BJ98" s="662">
        <v>0</v>
      </c>
      <c r="BK98" s="662">
        <v>0</v>
      </c>
      <c r="BL98" s="662">
        <v>0</v>
      </c>
      <c r="BM98" s="662">
        <v>0</v>
      </c>
      <c r="BN98" s="662">
        <v>0</v>
      </c>
      <c r="BO98" s="662">
        <v>0</v>
      </c>
      <c r="BP98" s="662">
        <v>0</v>
      </c>
      <c r="BQ98" s="662">
        <v>0</v>
      </c>
      <c r="BR98" s="662">
        <v>0</v>
      </c>
      <c r="BS98" s="662">
        <v>0</v>
      </c>
      <c r="BT98" s="652">
        <f>SUM(ERP_27[[#This Row],[2026 AP01]:[2026 AP12]])</f>
        <v>-678893.73</v>
      </c>
    </row>
    <row r="99" spans="1:72" ht="15" hidden="1" customHeight="1">
      <c r="A99" s="79" t="s">
        <v>2347</v>
      </c>
      <c r="B99" s="79"/>
      <c r="C99" s="79" t="s">
        <v>710</v>
      </c>
      <c r="D99" s="296" t="s">
        <v>710</v>
      </c>
      <c r="E99" s="150" t="s">
        <v>1136</v>
      </c>
      <c r="F99" s="482" t="s">
        <v>1566</v>
      </c>
      <c r="G99" s="150" t="s">
        <v>1135</v>
      </c>
      <c r="H99" s="150" t="s">
        <v>1135</v>
      </c>
      <c r="I99" s="332" t="s">
        <v>1135</v>
      </c>
      <c r="J99" s="383" t="s">
        <v>1135</v>
      </c>
      <c r="K99" s="331" t="s">
        <v>1137</v>
      </c>
      <c r="L99" s="512" t="s">
        <v>639</v>
      </c>
      <c r="M99" s="393" t="s">
        <v>2348</v>
      </c>
      <c r="N99" s="343" t="s">
        <v>2343</v>
      </c>
      <c r="O99" s="150" t="s">
        <v>1171</v>
      </c>
      <c r="P99" s="91" t="s">
        <v>711</v>
      </c>
      <c r="Q99" s="343"/>
      <c r="R99" s="346" t="s">
        <v>2339</v>
      </c>
      <c r="S99" s="346" t="s">
        <v>1710</v>
      </c>
      <c r="T99" s="386" t="s">
        <v>707</v>
      </c>
      <c r="U99" s="346" t="s">
        <v>1348</v>
      </c>
      <c r="V99" s="660"/>
      <c r="W99" s="358">
        <v>4128.4799999999996</v>
      </c>
      <c r="X99" s="660">
        <v>0</v>
      </c>
      <c r="Y99" s="656"/>
      <c r="Z99" s="657"/>
      <c r="AA99" s="716"/>
      <c r="AB99" s="717"/>
      <c r="AC99" s="717"/>
      <c r="AD99" s="428" t="s">
        <v>1142</v>
      </c>
      <c r="AE99" s="429">
        <v>0</v>
      </c>
      <c r="AF99" s="429">
        <v>0</v>
      </c>
      <c r="AG99" s="661">
        <v>0</v>
      </c>
      <c r="AH99" s="661">
        <v>0</v>
      </c>
      <c r="AI99" s="661">
        <v>0</v>
      </c>
      <c r="AJ99" s="661">
        <v>0</v>
      </c>
      <c r="AK99" s="661">
        <v>0</v>
      </c>
      <c r="AL99" s="661">
        <v>0</v>
      </c>
      <c r="AM99" s="682">
        <f t="shared" si="16"/>
        <v>0</v>
      </c>
      <c r="AN99" s="651">
        <f>ERP_27[[#This Row],[2026 Working Total]]-ERP_27[[#This Row],[LE2 Final Submission]]</f>
        <v>0</v>
      </c>
      <c r="AO99" s="652">
        <v>0</v>
      </c>
      <c r="AP99" s="652">
        <f t="shared" si="14"/>
        <v>0</v>
      </c>
      <c r="AQ99" s="374">
        <f>SUM(ERP_27[[#This Row],[AP01]:[AP06]])-SUM(ERP_27[[#This Row],[AP01 LE2]:[AP06 LE2]])</f>
        <v>0</v>
      </c>
      <c r="AR99" s="653"/>
      <c r="AS99" s="652">
        <f>ERP_27[[#This Row],[2026 Working Total to Budget/LE]]-ERP_27[[#This Row],[Giveback]]</f>
        <v>0</v>
      </c>
      <c r="AT99" s="654"/>
      <c r="AU99" s="655"/>
      <c r="AV99" s="655"/>
      <c r="AW99" s="655"/>
      <c r="AX99" s="655">
        <v>0</v>
      </c>
      <c r="AY99" s="655">
        <v>0</v>
      </c>
      <c r="AZ99" s="655">
        <v>0</v>
      </c>
      <c r="BA99" s="655">
        <v>0</v>
      </c>
      <c r="BB99" s="655">
        <v>0</v>
      </c>
      <c r="BC99" s="655">
        <v>0</v>
      </c>
      <c r="BD99" s="655">
        <v>0</v>
      </c>
      <c r="BE99" s="655">
        <v>0</v>
      </c>
      <c r="BF99" s="655">
        <v>0</v>
      </c>
      <c r="BG99" s="655">
        <v>0</v>
      </c>
      <c r="BH99" s="662">
        <v>4128.4799999999996</v>
      </c>
      <c r="BI99" s="662">
        <v>0</v>
      </c>
      <c r="BJ99" s="662">
        <v>0</v>
      </c>
      <c r="BK99" s="662">
        <v>0</v>
      </c>
      <c r="BL99" s="662">
        <v>0</v>
      </c>
      <c r="BM99" s="662">
        <v>0</v>
      </c>
      <c r="BN99" s="662">
        <v>0</v>
      </c>
      <c r="BO99" s="662">
        <v>0</v>
      </c>
      <c r="BP99" s="662">
        <v>0</v>
      </c>
      <c r="BQ99" s="662">
        <v>0</v>
      </c>
      <c r="BR99" s="662">
        <v>0</v>
      </c>
      <c r="BS99" s="662">
        <v>0</v>
      </c>
      <c r="BT99" s="652">
        <f>SUM(ERP_27[[#This Row],[2026 AP01]:[2026 AP12]])</f>
        <v>4128.4799999999996</v>
      </c>
    </row>
    <row r="100" spans="1:72" ht="15" hidden="1" customHeight="1">
      <c r="A100" s="79" t="s">
        <v>2349</v>
      </c>
      <c r="B100" s="79"/>
      <c r="C100" s="79" t="s">
        <v>712</v>
      </c>
      <c r="D100" s="296" t="s">
        <v>712</v>
      </c>
      <c r="E100" s="150" t="s">
        <v>1136</v>
      </c>
      <c r="F100" s="482" t="s">
        <v>1566</v>
      </c>
      <c r="G100" s="150" t="s">
        <v>1135</v>
      </c>
      <c r="H100" s="150" t="s">
        <v>1135</v>
      </c>
      <c r="I100" s="332" t="s">
        <v>1135</v>
      </c>
      <c r="J100" s="383" t="s">
        <v>1135</v>
      </c>
      <c r="K100" s="331" t="s">
        <v>1137</v>
      </c>
      <c r="L100" s="512" t="s">
        <v>639</v>
      </c>
      <c r="M100" s="393" t="s">
        <v>2350</v>
      </c>
      <c r="N100" s="343" t="s">
        <v>2343</v>
      </c>
      <c r="O100" s="150" t="s">
        <v>1171</v>
      </c>
      <c r="P100" s="91" t="s">
        <v>713</v>
      </c>
      <c r="Q100" s="343"/>
      <c r="R100" s="346" t="s">
        <v>2339</v>
      </c>
      <c r="S100" s="346" t="s">
        <v>1710</v>
      </c>
      <c r="T100" s="386" t="s">
        <v>707</v>
      </c>
      <c r="U100" s="346" t="s">
        <v>1348</v>
      </c>
      <c r="V100" s="660"/>
      <c r="W100" s="358">
        <v>-4128.4799999999996</v>
      </c>
      <c r="X100" s="660">
        <v>0</v>
      </c>
      <c r="Y100" s="656"/>
      <c r="Z100" s="657"/>
      <c r="AA100" s="716"/>
      <c r="AB100" s="717"/>
      <c r="AC100" s="717"/>
      <c r="AD100" s="428" t="s">
        <v>1142</v>
      </c>
      <c r="AE100" s="429">
        <v>0</v>
      </c>
      <c r="AF100" s="429">
        <v>0</v>
      </c>
      <c r="AG100" s="661">
        <v>0</v>
      </c>
      <c r="AH100" s="661">
        <v>0</v>
      </c>
      <c r="AI100" s="661">
        <v>0</v>
      </c>
      <c r="AJ100" s="661">
        <v>0</v>
      </c>
      <c r="AK100" s="661">
        <v>0</v>
      </c>
      <c r="AL100" s="661">
        <v>0</v>
      </c>
      <c r="AM100" s="682">
        <f t="shared" si="16"/>
        <v>0</v>
      </c>
      <c r="AN100" s="651">
        <f>ERP_27[[#This Row],[2026 Working Total]]-ERP_27[[#This Row],[LE2 Final Submission]]</f>
        <v>0</v>
      </c>
      <c r="AO100" s="652">
        <v>0</v>
      </c>
      <c r="AP100" s="652">
        <f t="shared" si="14"/>
        <v>0</v>
      </c>
      <c r="AQ100" s="374">
        <f>SUM(ERP_27[[#This Row],[AP01]:[AP06]])-SUM(ERP_27[[#This Row],[AP01 LE2]:[AP06 LE2]])</f>
        <v>0</v>
      </c>
      <c r="AR100" s="653"/>
      <c r="AS100" s="652">
        <f>ERP_27[[#This Row],[2026 Working Total to Budget/LE]]-ERP_27[[#This Row],[Giveback]]</f>
        <v>0</v>
      </c>
      <c r="AT100" s="654"/>
      <c r="AU100" s="655"/>
      <c r="AV100" s="655"/>
      <c r="AW100" s="655"/>
      <c r="AX100" s="655">
        <v>0</v>
      </c>
      <c r="AY100" s="655">
        <v>0</v>
      </c>
      <c r="AZ100" s="655">
        <v>0</v>
      </c>
      <c r="BA100" s="655">
        <v>0</v>
      </c>
      <c r="BB100" s="655">
        <v>0</v>
      </c>
      <c r="BC100" s="655">
        <v>0</v>
      </c>
      <c r="BD100" s="655">
        <v>0</v>
      </c>
      <c r="BE100" s="655">
        <v>0</v>
      </c>
      <c r="BF100" s="655">
        <v>0</v>
      </c>
      <c r="BG100" s="655">
        <v>0</v>
      </c>
      <c r="BH100" s="662">
        <v>-4128.4799999999996</v>
      </c>
      <c r="BI100" s="662">
        <v>0</v>
      </c>
      <c r="BJ100" s="662">
        <v>0</v>
      </c>
      <c r="BK100" s="662">
        <v>0</v>
      </c>
      <c r="BL100" s="662">
        <v>0</v>
      </c>
      <c r="BM100" s="662">
        <v>0</v>
      </c>
      <c r="BN100" s="662">
        <v>0</v>
      </c>
      <c r="BO100" s="662">
        <v>0</v>
      </c>
      <c r="BP100" s="662">
        <v>0</v>
      </c>
      <c r="BQ100" s="662">
        <v>0</v>
      </c>
      <c r="BR100" s="662">
        <v>0</v>
      </c>
      <c r="BS100" s="662">
        <v>0</v>
      </c>
      <c r="BT100" s="652">
        <f>SUM(ERP_27[[#This Row],[2026 AP01]:[2026 AP12]])</f>
        <v>-4128.4799999999996</v>
      </c>
    </row>
    <row r="101" spans="1:72" ht="15" hidden="1" customHeight="1">
      <c r="A101" s="79" t="s">
        <v>2351</v>
      </c>
      <c r="B101" s="79"/>
      <c r="C101" s="79" t="s">
        <v>714</v>
      </c>
      <c r="D101" s="296" t="s">
        <v>714</v>
      </c>
      <c r="E101" s="150" t="s">
        <v>1136</v>
      </c>
      <c r="F101" s="482" t="s">
        <v>1566</v>
      </c>
      <c r="G101" s="150" t="s">
        <v>1135</v>
      </c>
      <c r="H101" s="150" t="s">
        <v>1135</v>
      </c>
      <c r="I101" s="332" t="s">
        <v>1135</v>
      </c>
      <c r="J101" s="383" t="s">
        <v>1135</v>
      </c>
      <c r="K101" s="331" t="s">
        <v>1137</v>
      </c>
      <c r="L101" s="512" t="s">
        <v>639</v>
      </c>
      <c r="M101" s="393" t="s">
        <v>2352</v>
      </c>
      <c r="N101" s="343" t="s">
        <v>2343</v>
      </c>
      <c r="O101" s="150" t="s">
        <v>1171</v>
      </c>
      <c r="P101" s="91" t="s">
        <v>715</v>
      </c>
      <c r="Q101" s="343"/>
      <c r="R101" s="346" t="s">
        <v>2339</v>
      </c>
      <c r="S101" s="346" t="s">
        <v>1710</v>
      </c>
      <c r="T101" s="386" t="s">
        <v>707</v>
      </c>
      <c r="U101" s="346" t="s">
        <v>1348</v>
      </c>
      <c r="V101" s="660"/>
      <c r="W101" s="358">
        <v>37248.410000000003</v>
      </c>
      <c r="X101" s="660">
        <v>0</v>
      </c>
      <c r="Y101" s="656"/>
      <c r="Z101" s="657"/>
      <c r="AA101" s="716"/>
      <c r="AB101" s="717"/>
      <c r="AC101" s="717"/>
      <c r="AD101" s="428" t="s">
        <v>1142</v>
      </c>
      <c r="AE101" s="429">
        <v>0</v>
      </c>
      <c r="AF101" s="429">
        <v>0</v>
      </c>
      <c r="AG101" s="661">
        <v>0</v>
      </c>
      <c r="AH101" s="661">
        <v>0</v>
      </c>
      <c r="AI101" s="661">
        <v>0</v>
      </c>
      <c r="AJ101" s="661">
        <v>0</v>
      </c>
      <c r="AK101" s="661">
        <v>0</v>
      </c>
      <c r="AL101" s="661">
        <v>0</v>
      </c>
      <c r="AM101" s="682">
        <f t="shared" si="16"/>
        <v>0</v>
      </c>
      <c r="AN101" s="651">
        <f>ERP_27[[#This Row],[2026 Working Total]]-ERP_27[[#This Row],[LE2 Final Submission]]</f>
        <v>0</v>
      </c>
      <c r="AO101" s="652">
        <v>0</v>
      </c>
      <c r="AP101" s="652">
        <f t="shared" si="14"/>
        <v>0</v>
      </c>
      <c r="AQ101" s="374">
        <f>SUM(ERP_27[[#This Row],[AP01]:[AP06]])-SUM(ERP_27[[#This Row],[AP01 LE2]:[AP06 LE2]])</f>
        <v>0</v>
      </c>
      <c r="AR101" s="653"/>
      <c r="AS101" s="652">
        <f>ERP_27[[#This Row],[2026 Working Total to Budget/LE]]-ERP_27[[#This Row],[Giveback]]</f>
        <v>0</v>
      </c>
      <c r="AT101" s="654"/>
      <c r="AU101" s="655"/>
      <c r="AV101" s="655"/>
      <c r="AW101" s="655"/>
      <c r="AX101" s="655">
        <v>0</v>
      </c>
      <c r="AY101" s="655">
        <v>0</v>
      </c>
      <c r="AZ101" s="655">
        <v>0</v>
      </c>
      <c r="BA101" s="655">
        <v>0</v>
      </c>
      <c r="BB101" s="655">
        <v>0</v>
      </c>
      <c r="BC101" s="655">
        <v>0</v>
      </c>
      <c r="BD101" s="655">
        <v>0</v>
      </c>
      <c r="BE101" s="655">
        <v>0</v>
      </c>
      <c r="BF101" s="655">
        <v>0</v>
      </c>
      <c r="BG101" s="655">
        <v>0</v>
      </c>
      <c r="BH101" s="662">
        <v>37248.410000000003</v>
      </c>
      <c r="BI101" s="662">
        <v>0</v>
      </c>
      <c r="BJ101" s="662">
        <v>0</v>
      </c>
      <c r="BK101" s="662">
        <v>0</v>
      </c>
      <c r="BL101" s="662">
        <v>0</v>
      </c>
      <c r="BM101" s="662">
        <v>0</v>
      </c>
      <c r="BN101" s="662">
        <v>0</v>
      </c>
      <c r="BO101" s="662">
        <v>0</v>
      </c>
      <c r="BP101" s="662">
        <v>0</v>
      </c>
      <c r="BQ101" s="662">
        <v>0</v>
      </c>
      <c r="BR101" s="662">
        <v>0</v>
      </c>
      <c r="BS101" s="662">
        <v>0</v>
      </c>
      <c r="BT101" s="652">
        <f>SUM(ERP_27[[#This Row],[2026 AP01]:[2026 AP12]])</f>
        <v>37248.410000000003</v>
      </c>
    </row>
    <row r="102" spans="1:72" ht="15" hidden="1" customHeight="1">
      <c r="A102" s="79" t="s">
        <v>2353</v>
      </c>
      <c r="B102" s="79"/>
      <c r="C102" s="79" t="s">
        <v>716</v>
      </c>
      <c r="D102" s="296" t="s">
        <v>716</v>
      </c>
      <c r="E102" s="150" t="s">
        <v>1136</v>
      </c>
      <c r="F102" s="482" t="s">
        <v>1566</v>
      </c>
      <c r="G102" s="150" t="s">
        <v>1135</v>
      </c>
      <c r="H102" s="150" t="s">
        <v>1135</v>
      </c>
      <c r="I102" s="332" t="s">
        <v>1135</v>
      </c>
      <c r="J102" s="383" t="s">
        <v>1135</v>
      </c>
      <c r="K102" s="331" t="s">
        <v>1137</v>
      </c>
      <c r="L102" s="512" t="s">
        <v>639</v>
      </c>
      <c r="M102" s="393" t="s">
        <v>2354</v>
      </c>
      <c r="N102" s="343" t="s">
        <v>2343</v>
      </c>
      <c r="O102" s="150" t="s">
        <v>1171</v>
      </c>
      <c r="P102" s="91" t="s">
        <v>717</v>
      </c>
      <c r="Q102" s="343"/>
      <c r="R102" s="346" t="s">
        <v>2339</v>
      </c>
      <c r="S102" s="346" t="s">
        <v>1710</v>
      </c>
      <c r="T102" s="386" t="s">
        <v>707</v>
      </c>
      <c r="U102" s="346" t="s">
        <v>1348</v>
      </c>
      <c r="V102" s="660"/>
      <c r="W102" s="358">
        <v>-37248.410000000003</v>
      </c>
      <c r="X102" s="660">
        <v>0</v>
      </c>
      <c r="Y102" s="656"/>
      <c r="Z102" s="657"/>
      <c r="AA102" s="716"/>
      <c r="AB102" s="717"/>
      <c r="AC102" s="717"/>
      <c r="AD102" s="428" t="s">
        <v>1142</v>
      </c>
      <c r="AE102" s="429">
        <v>0</v>
      </c>
      <c r="AF102" s="429">
        <v>0</v>
      </c>
      <c r="AG102" s="661">
        <v>0</v>
      </c>
      <c r="AH102" s="661">
        <v>0</v>
      </c>
      <c r="AI102" s="661">
        <v>0</v>
      </c>
      <c r="AJ102" s="661">
        <v>0</v>
      </c>
      <c r="AK102" s="661">
        <v>0</v>
      </c>
      <c r="AL102" s="661">
        <v>0</v>
      </c>
      <c r="AM102" s="682">
        <f t="shared" si="16"/>
        <v>0</v>
      </c>
      <c r="AN102" s="651">
        <f>ERP_27[[#This Row],[2026 Working Total]]-ERP_27[[#This Row],[LE2 Final Submission]]</f>
        <v>0</v>
      </c>
      <c r="AO102" s="652">
        <v>0</v>
      </c>
      <c r="AP102" s="652">
        <f t="shared" si="14"/>
        <v>0</v>
      </c>
      <c r="AQ102" s="374">
        <f>SUM(ERP_27[[#This Row],[AP01]:[AP06]])-SUM(ERP_27[[#This Row],[AP01 LE2]:[AP06 LE2]])</f>
        <v>0</v>
      </c>
      <c r="AR102" s="653"/>
      <c r="AS102" s="652">
        <f>ERP_27[[#This Row],[2026 Working Total to Budget/LE]]-ERP_27[[#This Row],[Giveback]]</f>
        <v>0</v>
      </c>
      <c r="AT102" s="654"/>
      <c r="AU102" s="655"/>
      <c r="AV102" s="655"/>
      <c r="AW102" s="655"/>
      <c r="AX102" s="655">
        <v>0</v>
      </c>
      <c r="AY102" s="655">
        <v>0</v>
      </c>
      <c r="AZ102" s="655">
        <v>0</v>
      </c>
      <c r="BA102" s="655">
        <v>0</v>
      </c>
      <c r="BB102" s="655">
        <v>0</v>
      </c>
      <c r="BC102" s="655">
        <v>0</v>
      </c>
      <c r="BD102" s="655">
        <v>0</v>
      </c>
      <c r="BE102" s="655">
        <v>0</v>
      </c>
      <c r="BF102" s="655">
        <v>0</v>
      </c>
      <c r="BG102" s="655">
        <v>0</v>
      </c>
      <c r="BH102" s="662">
        <v>-37248.410000000003</v>
      </c>
      <c r="BI102" s="662">
        <v>0</v>
      </c>
      <c r="BJ102" s="662">
        <v>0</v>
      </c>
      <c r="BK102" s="662">
        <v>0</v>
      </c>
      <c r="BL102" s="662">
        <v>0</v>
      </c>
      <c r="BM102" s="662">
        <v>0</v>
      </c>
      <c r="BN102" s="662">
        <v>0</v>
      </c>
      <c r="BO102" s="662">
        <v>0</v>
      </c>
      <c r="BP102" s="662">
        <v>0</v>
      </c>
      <c r="BQ102" s="662">
        <v>0</v>
      </c>
      <c r="BR102" s="662">
        <v>0</v>
      </c>
      <c r="BS102" s="662">
        <v>0</v>
      </c>
      <c r="BT102" s="652">
        <f>SUM(ERP_27[[#This Row],[2026 AP01]:[2026 AP12]])</f>
        <v>-37248.410000000003</v>
      </c>
    </row>
    <row r="103" spans="1:72" ht="15" hidden="1" customHeight="1">
      <c r="A103" s="79" t="s">
        <v>2355</v>
      </c>
      <c r="B103" s="79"/>
      <c r="C103" s="79" t="s">
        <v>718</v>
      </c>
      <c r="D103" s="296" t="s">
        <v>718</v>
      </c>
      <c r="E103" s="150" t="s">
        <v>1136</v>
      </c>
      <c r="F103" s="482" t="s">
        <v>1566</v>
      </c>
      <c r="G103" s="150" t="s">
        <v>1135</v>
      </c>
      <c r="H103" s="150" t="s">
        <v>1135</v>
      </c>
      <c r="I103" s="332" t="s">
        <v>1135</v>
      </c>
      <c r="J103" s="383" t="s">
        <v>1135</v>
      </c>
      <c r="K103" s="331" t="s">
        <v>1137</v>
      </c>
      <c r="L103" s="512" t="s">
        <v>639</v>
      </c>
      <c r="M103" s="393" t="s">
        <v>2356</v>
      </c>
      <c r="N103" s="343" t="s">
        <v>2343</v>
      </c>
      <c r="O103" s="150" t="s">
        <v>1171</v>
      </c>
      <c r="P103" s="91" t="s">
        <v>719</v>
      </c>
      <c r="Q103" s="343"/>
      <c r="R103" s="346" t="s">
        <v>2339</v>
      </c>
      <c r="S103" s="346" t="s">
        <v>1710</v>
      </c>
      <c r="T103" s="386" t="s">
        <v>707</v>
      </c>
      <c r="U103" s="346" t="s">
        <v>1348</v>
      </c>
      <c r="V103" s="660"/>
      <c r="W103" s="358">
        <v>40181.519999999997</v>
      </c>
      <c r="X103" s="660">
        <v>0</v>
      </c>
      <c r="Y103" s="656"/>
      <c r="Z103" s="657"/>
      <c r="AA103" s="716"/>
      <c r="AB103" s="717"/>
      <c r="AC103" s="717"/>
      <c r="AD103" s="428" t="s">
        <v>1142</v>
      </c>
      <c r="AE103" s="429">
        <v>0</v>
      </c>
      <c r="AF103" s="429">
        <v>0</v>
      </c>
      <c r="AG103" s="661">
        <v>0</v>
      </c>
      <c r="AH103" s="661">
        <v>0</v>
      </c>
      <c r="AI103" s="661">
        <v>0</v>
      </c>
      <c r="AJ103" s="661">
        <v>0</v>
      </c>
      <c r="AK103" s="661">
        <v>0</v>
      </c>
      <c r="AL103" s="661">
        <v>0</v>
      </c>
      <c r="AM103" s="682">
        <f t="shared" si="16"/>
        <v>0</v>
      </c>
      <c r="AN103" s="651">
        <f>ERP_27[[#This Row],[2026 Working Total]]-ERP_27[[#This Row],[LE2 Final Submission]]</f>
        <v>0</v>
      </c>
      <c r="AO103" s="652">
        <v>0</v>
      </c>
      <c r="AP103" s="652">
        <f t="shared" si="14"/>
        <v>0</v>
      </c>
      <c r="AQ103" s="374">
        <f>SUM(ERP_27[[#This Row],[AP01]:[AP06]])-SUM(ERP_27[[#This Row],[AP01 LE2]:[AP06 LE2]])</f>
        <v>0</v>
      </c>
      <c r="AR103" s="653"/>
      <c r="AS103" s="652">
        <f>ERP_27[[#This Row],[2026 Working Total to Budget/LE]]-ERP_27[[#This Row],[Giveback]]</f>
        <v>0</v>
      </c>
      <c r="AT103" s="654"/>
      <c r="AU103" s="655"/>
      <c r="AV103" s="655"/>
      <c r="AW103" s="655"/>
      <c r="AX103" s="655">
        <v>0</v>
      </c>
      <c r="AY103" s="655">
        <v>0</v>
      </c>
      <c r="AZ103" s="655">
        <v>0</v>
      </c>
      <c r="BA103" s="655">
        <v>0</v>
      </c>
      <c r="BB103" s="655">
        <v>0</v>
      </c>
      <c r="BC103" s="655">
        <v>0</v>
      </c>
      <c r="BD103" s="655">
        <v>0</v>
      </c>
      <c r="BE103" s="655">
        <v>0</v>
      </c>
      <c r="BF103" s="655">
        <v>0</v>
      </c>
      <c r="BG103" s="655">
        <v>0</v>
      </c>
      <c r="BH103" s="662">
        <v>40181.519999999997</v>
      </c>
      <c r="BI103" s="662">
        <v>0</v>
      </c>
      <c r="BJ103" s="662">
        <v>0</v>
      </c>
      <c r="BK103" s="662">
        <v>0</v>
      </c>
      <c r="BL103" s="662">
        <v>0</v>
      </c>
      <c r="BM103" s="662">
        <v>0</v>
      </c>
      <c r="BN103" s="662">
        <v>0</v>
      </c>
      <c r="BO103" s="662">
        <v>0</v>
      </c>
      <c r="BP103" s="662">
        <v>0</v>
      </c>
      <c r="BQ103" s="662">
        <v>0</v>
      </c>
      <c r="BR103" s="662">
        <v>0</v>
      </c>
      <c r="BS103" s="662">
        <v>0</v>
      </c>
      <c r="BT103" s="652">
        <f>SUM(ERP_27[[#This Row],[2026 AP01]:[2026 AP12]])</f>
        <v>40181.519999999997</v>
      </c>
    </row>
    <row r="104" spans="1:72" ht="15" hidden="1" customHeight="1">
      <c r="A104" s="79" t="s">
        <v>2357</v>
      </c>
      <c r="B104" s="79"/>
      <c r="C104" s="79" t="s">
        <v>720</v>
      </c>
      <c r="D104" s="296" t="s">
        <v>720</v>
      </c>
      <c r="E104" s="150" t="s">
        <v>1136</v>
      </c>
      <c r="F104" s="482" t="s">
        <v>1566</v>
      </c>
      <c r="G104" s="150" t="s">
        <v>1135</v>
      </c>
      <c r="H104" s="150" t="s">
        <v>1135</v>
      </c>
      <c r="I104" s="332" t="s">
        <v>1135</v>
      </c>
      <c r="J104" s="383" t="s">
        <v>1135</v>
      </c>
      <c r="K104" s="331" t="s">
        <v>1137</v>
      </c>
      <c r="L104" s="512" t="s">
        <v>639</v>
      </c>
      <c r="M104" s="393" t="s">
        <v>2358</v>
      </c>
      <c r="N104" s="343" t="s">
        <v>2343</v>
      </c>
      <c r="O104" s="150" t="s">
        <v>1171</v>
      </c>
      <c r="P104" s="91" t="s">
        <v>721</v>
      </c>
      <c r="Q104" s="343"/>
      <c r="R104" s="346" t="s">
        <v>2339</v>
      </c>
      <c r="S104" s="346" t="s">
        <v>1710</v>
      </c>
      <c r="T104" s="386" t="s">
        <v>707</v>
      </c>
      <c r="U104" s="346" t="s">
        <v>1348</v>
      </c>
      <c r="V104" s="660"/>
      <c r="W104" s="358">
        <v>-40181</v>
      </c>
      <c r="X104" s="660">
        <v>0</v>
      </c>
      <c r="Y104" s="656"/>
      <c r="Z104" s="657"/>
      <c r="AA104" s="716"/>
      <c r="AB104" s="717"/>
      <c r="AC104" s="717"/>
      <c r="AD104" s="428" t="s">
        <v>1142</v>
      </c>
      <c r="AE104" s="429">
        <v>0</v>
      </c>
      <c r="AF104" s="429">
        <v>0</v>
      </c>
      <c r="AG104" s="661">
        <v>0</v>
      </c>
      <c r="AH104" s="661">
        <v>0</v>
      </c>
      <c r="AI104" s="661">
        <v>0</v>
      </c>
      <c r="AJ104" s="661">
        <v>0</v>
      </c>
      <c r="AK104" s="661">
        <v>0</v>
      </c>
      <c r="AL104" s="661">
        <v>0</v>
      </c>
      <c r="AM104" s="682">
        <f t="shared" si="16"/>
        <v>0</v>
      </c>
      <c r="AN104" s="651">
        <f>ERP_27[[#This Row],[2026 Working Total]]-ERP_27[[#This Row],[LE2 Final Submission]]</f>
        <v>0</v>
      </c>
      <c r="AO104" s="652">
        <v>0</v>
      </c>
      <c r="AP104" s="652">
        <f t="shared" si="14"/>
        <v>0</v>
      </c>
      <c r="AQ104" s="374">
        <f>SUM(ERP_27[[#This Row],[AP01]:[AP06]])-SUM(ERP_27[[#This Row],[AP01 LE2]:[AP06 LE2]])</f>
        <v>0</v>
      </c>
      <c r="AR104" s="653"/>
      <c r="AS104" s="652">
        <f>ERP_27[[#This Row],[2026 Working Total to Budget/LE]]-ERP_27[[#This Row],[Giveback]]</f>
        <v>0</v>
      </c>
      <c r="AT104" s="654"/>
      <c r="AU104" s="655"/>
      <c r="AV104" s="655"/>
      <c r="AW104" s="655"/>
      <c r="AX104" s="655">
        <v>0</v>
      </c>
      <c r="AY104" s="655">
        <v>0</v>
      </c>
      <c r="AZ104" s="655">
        <v>0</v>
      </c>
      <c r="BA104" s="655">
        <v>0</v>
      </c>
      <c r="BB104" s="655">
        <v>0</v>
      </c>
      <c r="BC104" s="655">
        <v>0</v>
      </c>
      <c r="BD104" s="655">
        <v>0</v>
      </c>
      <c r="BE104" s="655">
        <v>0</v>
      </c>
      <c r="BF104" s="655">
        <v>0</v>
      </c>
      <c r="BG104" s="655">
        <v>0</v>
      </c>
      <c r="BH104" s="662">
        <v>-40181</v>
      </c>
      <c r="BI104" s="662">
        <v>0</v>
      </c>
      <c r="BJ104" s="662">
        <v>0</v>
      </c>
      <c r="BK104" s="662">
        <v>0</v>
      </c>
      <c r="BL104" s="662">
        <v>0</v>
      </c>
      <c r="BM104" s="662">
        <v>0</v>
      </c>
      <c r="BN104" s="662">
        <v>0</v>
      </c>
      <c r="BO104" s="662">
        <v>0</v>
      </c>
      <c r="BP104" s="662">
        <v>0</v>
      </c>
      <c r="BQ104" s="662">
        <v>0</v>
      </c>
      <c r="BR104" s="662">
        <v>0</v>
      </c>
      <c r="BS104" s="662">
        <v>0</v>
      </c>
      <c r="BT104" s="652">
        <f>SUM(ERP_27[[#This Row],[2026 AP01]:[2026 AP12]])</f>
        <v>-40181</v>
      </c>
    </row>
    <row r="105" spans="1:72" ht="15" hidden="1" customHeight="1">
      <c r="A105" s="79" t="s">
        <v>2359</v>
      </c>
      <c r="B105" s="79"/>
      <c r="C105" s="79" t="s">
        <v>722</v>
      </c>
      <c r="D105" s="296" t="s">
        <v>722</v>
      </c>
      <c r="E105" s="150" t="s">
        <v>1136</v>
      </c>
      <c r="F105" s="482" t="s">
        <v>1566</v>
      </c>
      <c r="G105" s="150" t="s">
        <v>1135</v>
      </c>
      <c r="H105" s="150" t="s">
        <v>1135</v>
      </c>
      <c r="I105" s="332" t="s">
        <v>1135</v>
      </c>
      <c r="J105" s="383" t="s">
        <v>1135</v>
      </c>
      <c r="K105" s="331" t="s">
        <v>1137</v>
      </c>
      <c r="L105" s="512" t="s">
        <v>639</v>
      </c>
      <c r="M105" s="393" t="s">
        <v>2360</v>
      </c>
      <c r="N105" s="343" t="s">
        <v>2343</v>
      </c>
      <c r="O105" s="150" t="s">
        <v>1171</v>
      </c>
      <c r="P105" s="91" t="s">
        <v>723</v>
      </c>
      <c r="Q105" s="343"/>
      <c r="R105" s="346" t="s">
        <v>2339</v>
      </c>
      <c r="S105" s="346" t="s">
        <v>1710</v>
      </c>
      <c r="T105" s="386" t="s">
        <v>707</v>
      </c>
      <c r="U105" s="346" t="s">
        <v>1348</v>
      </c>
      <c r="V105" s="660"/>
      <c r="W105" s="358">
        <v>253752.12</v>
      </c>
      <c r="X105" s="660">
        <v>0</v>
      </c>
      <c r="Y105" s="656"/>
      <c r="Z105" s="657"/>
      <c r="AA105" s="716"/>
      <c r="AB105" s="717"/>
      <c r="AC105" s="717"/>
      <c r="AD105" s="428" t="s">
        <v>1142</v>
      </c>
      <c r="AE105" s="429">
        <v>0</v>
      </c>
      <c r="AF105" s="429">
        <v>0</v>
      </c>
      <c r="AG105" s="661">
        <v>0</v>
      </c>
      <c r="AH105" s="661">
        <v>0</v>
      </c>
      <c r="AI105" s="661">
        <v>0</v>
      </c>
      <c r="AJ105" s="661">
        <v>0</v>
      </c>
      <c r="AK105" s="661">
        <v>0</v>
      </c>
      <c r="AL105" s="661">
        <v>0</v>
      </c>
      <c r="AM105" s="682">
        <f t="shared" si="16"/>
        <v>0</v>
      </c>
      <c r="AN105" s="651">
        <f>ERP_27[[#This Row],[2026 Working Total]]-ERP_27[[#This Row],[LE2 Final Submission]]</f>
        <v>0</v>
      </c>
      <c r="AO105" s="652">
        <v>0</v>
      </c>
      <c r="AP105" s="652">
        <f t="shared" si="14"/>
        <v>0</v>
      </c>
      <c r="AQ105" s="374">
        <f>SUM(ERP_27[[#This Row],[AP01]:[AP06]])-SUM(ERP_27[[#This Row],[AP01 LE2]:[AP06 LE2]])</f>
        <v>0</v>
      </c>
      <c r="AR105" s="653"/>
      <c r="AS105" s="652">
        <f>ERP_27[[#This Row],[2026 Working Total to Budget/LE]]-ERP_27[[#This Row],[Giveback]]</f>
        <v>0</v>
      </c>
      <c r="AT105" s="654"/>
      <c r="AU105" s="655"/>
      <c r="AV105" s="655"/>
      <c r="AW105" s="655"/>
      <c r="AX105" s="655">
        <v>0</v>
      </c>
      <c r="AY105" s="655">
        <v>0</v>
      </c>
      <c r="AZ105" s="655">
        <v>0</v>
      </c>
      <c r="BA105" s="655">
        <v>0</v>
      </c>
      <c r="BB105" s="655">
        <v>0</v>
      </c>
      <c r="BC105" s="655">
        <v>0</v>
      </c>
      <c r="BD105" s="655">
        <v>0</v>
      </c>
      <c r="BE105" s="655">
        <v>0</v>
      </c>
      <c r="BF105" s="655">
        <v>0</v>
      </c>
      <c r="BG105" s="655">
        <v>0</v>
      </c>
      <c r="BH105" s="662">
        <v>253752.12</v>
      </c>
      <c r="BI105" s="662">
        <v>0</v>
      </c>
      <c r="BJ105" s="662">
        <v>0</v>
      </c>
      <c r="BK105" s="662">
        <v>0</v>
      </c>
      <c r="BL105" s="662">
        <v>0</v>
      </c>
      <c r="BM105" s="662">
        <v>0</v>
      </c>
      <c r="BN105" s="662">
        <v>0</v>
      </c>
      <c r="BO105" s="662">
        <v>0</v>
      </c>
      <c r="BP105" s="662">
        <v>0</v>
      </c>
      <c r="BQ105" s="662">
        <v>0</v>
      </c>
      <c r="BR105" s="662">
        <v>0</v>
      </c>
      <c r="BS105" s="662">
        <v>0</v>
      </c>
      <c r="BT105" s="652">
        <f>SUM(ERP_27[[#This Row],[2026 AP01]:[2026 AP12]])</f>
        <v>253752.12</v>
      </c>
    </row>
    <row r="106" spans="1:72" ht="15" hidden="1" customHeight="1">
      <c r="A106" s="79" t="s">
        <v>2361</v>
      </c>
      <c r="B106" s="79"/>
      <c r="C106" s="79" t="s">
        <v>724</v>
      </c>
      <c r="D106" s="296" t="s">
        <v>724</v>
      </c>
      <c r="E106" s="150" t="s">
        <v>1136</v>
      </c>
      <c r="F106" s="482" t="s">
        <v>1566</v>
      </c>
      <c r="G106" s="150" t="s">
        <v>1135</v>
      </c>
      <c r="H106" s="150" t="s">
        <v>1135</v>
      </c>
      <c r="I106" s="332" t="s">
        <v>1135</v>
      </c>
      <c r="J106" s="383" t="s">
        <v>1135</v>
      </c>
      <c r="K106" s="331" t="s">
        <v>1137</v>
      </c>
      <c r="L106" s="512" t="s">
        <v>639</v>
      </c>
      <c r="M106" s="393" t="s">
        <v>2362</v>
      </c>
      <c r="N106" s="343" t="s">
        <v>2343</v>
      </c>
      <c r="O106" s="150" t="s">
        <v>1171</v>
      </c>
      <c r="P106" s="91" t="s">
        <v>725</v>
      </c>
      <c r="Q106" s="343"/>
      <c r="R106" s="346" t="s">
        <v>2339</v>
      </c>
      <c r="S106" s="346" t="s">
        <v>1710</v>
      </c>
      <c r="T106" s="386" t="s">
        <v>707</v>
      </c>
      <c r="U106" s="346" t="s">
        <v>1348</v>
      </c>
      <c r="V106" s="660"/>
      <c r="W106" s="358">
        <v>-253752.12</v>
      </c>
      <c r="X106" s="660">
        <v>0</v>
      </c>
      <c r="Y106" s="656"/>
      <c r="Z106" s="657"/>
      <c r="AA106" s="716"/>
      <c r="AB106" s="717"/>
      <c r="AC106" s="717"/>
      <c r="AD106" s="428" t="s">
        <v>1142</v>
      </c>
      <c r="AE106" s="429">
        <v>0</v>
      </c>
      <c r="AF106" s="429">
        <v>0</v>
      </c>
      <c r="AG106" s="661">
        <v>0</v>
      </c>
      <c r="AH106" s="661">
        <v>0</v>
      </c>
      <c r="AI106" s="661">
        <v>0</v>
      </c>
      <c r="AJ106" s="661">
        <v>0</v>
      </c>
      <c r="AK106" s="661">
        <v>0</v>
      </c>
      <c r="AL106" s="661">
        <v>0</v>
      </c>
      <c r="AM106" s="682">
        <f t="shared" si="16"/>
        <v>0</v>
      </c>
      <c r="AN106" s="651">
        <f>ERP_27[[#This Row],[2026 Working Total]]-ERP_27[[#This Row],[LE2 Final Submission]]</f>
        <v>0</v>
      </c>
      <c r="AO106" s="652">
        <v>0</v>
      </c>
      <c r="AP106" s="652">
        <f t="shared" si="14"/>
        <v>0</v>
      </c>
      <c r="AQ106" s="374">
        <f>SUM(ERP_27[[#This Row],[AP01]:[AP06]])-SUM(ERP_27[[#This Row],[AP01 LE2]:[AP06 LE2]])</f>
        <v>0</v>
      </c>
      <c r="AR106" s="653"/>
      <c r="AS106" s="652">
        <f>ERP_27[[#This Row],[2026 Working Total to Budget/LE]]-ERP_27[[#This Row],[Giveback]]</f>
        <v>0</v>
      </c>
      <c r="AT106" s="654"/>
      <c r="AU106" s="655"/>
      <c r="AV106" s="655"/>
      <c r="AW106" s="655"/>
      <c r="AX106" s="655">
        <v>0</v>
      </c>
      <c r="AY106" s="655">
        <v>0</v>
      </c>
      <c r="AZ106" s="655">
        <v>0</v>
      </c>
      <c r="BA106" s="655">
        <v>0</v>
      </c>
      <c r="BB106" s="655">
        <v>0</v>
      </c>
      <c r="BC106" s="655">
        <v>0</v>
      </c>
      <c r="BD106" s="655">
        <v>0</v>
      </c>
      <c r="BE106" s="655">
        <v>0</v>
      </c>
      <c r="BF106" s="655">
        <v>0</v>
      </c>
      <c r="BG106" s="655">
        <v>0</v>
      </c>
      <c r="BH106" s="662">
        <v>-253752.12</v>
      </c>
      <c r="BI106" s="662">
        <v>0</v>
      </c>
      <c r="BJ106" s="662">
        <v>0</v>
      </c>
      <c r="BK106" s="662">
        <v>0</v>
      </c>
      <c r="BL106" s="662">
        <v>0</v>
      </c>
      <c r="BM106" s="662">
        <v>0</v>
      </c>
      <c r="BN106" s="662">
        <v>0</v>
      </c>
      <c r="BO106" s="662">
        <v>0</v>
      </c>
      <c r="BP106" s="662">
        <v>0</v>
      </c>
      <c r="BQ106" s="662">
        <v>0</v>
      </c>
      <c r="BR106" s="662">
        <v>0</v>
      </c>
      <c r="BS106" s="662">
        <v>0</v>
      </c>
      <c r="BT106" s="652">
        <f>SUM(ERP_27[[#This Row],[2026 AP01]:[2026 AP12]])</f>
        <v>-253752.12</v>
      </c>
    </row>
    <row r="107" spans="1:72" ht="15" hidden="1" customHeight="1">
      <c r="A107" s="79" t="s">
        <v>2363</v>
      </c>
      <c r="B107" s="79"/>
      <c r="C107" s="79" t="s">
        <v>726</v>
      </c>
      <c r="D107" s="296" t="s">
        <v>726</v>
      </c>
      <c r="E107" s="150" t="s">
        <v>1136</v>
      </c>
      <c r="F107" s="482" t="s">
        <v>1566</v>
      </c>
      <c r="G107" s="150" t="s">
        <v>1135</v>
      </c>
      <c r="H107" s="150" t="s">
        <v>1135</v>
      </c>
      <c r="I107" s="332" t="s">
        <v>1135</v>
      </c>
      <c r="J107" s="383" t="s">
        <v>1135</v>
      </c>
      <c r="K107" s="331" t="s">
        <v>1137</v>
      </c>
      <c r="L107" s="512" t="s">
        <v>639</v>
      </c>
      <c r="M107" s="393" t="s">
        <v>2364</v>
      </c>
      <c r="N107" s="343" t="s">
        <v>2343</v>
      </c>
      <c r="O107" s="150" t="s">
        <v>1171</v>
      </c>
      <c r="P107" s="91" t="s">
        <v>727</v>
      </c>
      <c r="Q107" s="343"/>
      <c r="R107" s="346" t="s">
        <v>2339</v>
      </c>
      <c r="S107" s="346" t="s">
        <v>1710</v>
      </c>
      <c r="T107" s="386" t="s">
        <v>707</v>
      </c>
      <c r="U107" s="346" t="s">
        <v>1348</v>
      </c>
      <c r="V107" s="660"/>
      <c r="W107" s="358">
        <v>6285.51</v>
      </c>
      <c r="X107" s="660">
        <v>0</v>
      </c>
      <c r="Y107" s="656"/>
      <c r="Z107" s="657"/>
      <c r="AA107" s="716"/>
      <c r="AB107" s="717"/>
      <c r="AC107" s="717"/>
      <c r="AD107" s="428" t="s">
        <v>1142</v>
      </c>
      <c r="AE107" s="429">
        <v>0</v>
      </c>
      <c r="AF107" s="429">
        <v>0</v>
      </c>
      <c r="AG107" s="661">
        <v>0</v>
      </c>
      <c r="AH107" s="661">
        <v>0</v>
      </c>
      <c r="AI107" s="661">
        <v>0</v>
      </c>
      <c r="AJ107" s="661">
        <v>0</v>
      </c>
      <c r="AK107" s="661">
        <v>0</v>
      </c>
      <c r="AL107" s="661">
        <v>0</v>
      </c>
      <c r="AM107" s="682">
        <f t="shared" si="16"/>
        <v>0</v>
      </c>
      <c r="AN107" s="651">
        <f>ERP_27[[#This Row],[2026 Working Total]]-ERP_27[[#This Row],[LE2 Final Submission]]</f>
        <v>0</v>
      </c>
      <c r="AO107" s="652">
        <v>0</v>
      </c>
      <c r="AP107" s="652">
        <f t="shared" si="14"/>
        <v>0</v>
      </c>
      <c r="AQ107" s="374">
        <f>SUM(ERP_27[[#This Row],[AP01]:[AP06]])-SUM(ERP_27[[#This Row],[AP01 LE2]:[AP06 LE2]])</f>
        <v>0</v>
      </c>
      <c r="AR107" s="653"/>
      <c r="AS107" s="652">
        <f>ERP_27[[#This Row],[2026 Working Total to Budget/LE]]-ERP_27[[#This Row],[Giveback]]</f>
        <v>0</v>
      </c>
      <c r="AT107" s="654"/>
      <c r="AU107" s="655"/>
      <c r="AV107" s="655"/>
      <c r="AW107" s="655"/>
      <c r="AX107" s="655">
        <v>0</v>
      </c>
      <c r="AY107" s="655">
        <v>0</v>
      </c>
      <c r="AZ107" s="655">
        <v>0</v>
      </c>
      <c r="BA107" s="655">
        <v>0</v>
      </c>
      <c r="BB107" s="655">
        <v>0</v>
      </c>
      <c r="BC107" s="655">
        <v>0</v>
      </c>
      <c r="BD107" s="655">
        <v>0</v>
      </c>
      <c r="BE107" s="655">
        <v>0</v>
      </c>
      <c r="BF107" s="655">
        <v>0</v>
      </c>
      <c r="BG107" s="655">
        <v>0</v>
      </c>
      <c r="BH107" s="662">
        <v>6285.51</v>
      </c>
      <c r="BI107" s="662">
        <v>0</v>
      </c>
      <c r="BJ107" s="662">
        <v>0</v>
      </c>
      <c r="BK107" s="662">
        <v>0</v>
      </c>
      <c r="BL107" s="662">
        <v>0</v>
      </c>
      <c r="BM107" s="662">
        <v>0</v>
      </c>
      <c r="BN107" s="662">
        <v>0</v>
      </c>
      <c r="BO107" s="662">
        <v>0</v>
      </c>
      <c r="BP107" s="662">
        <v>0</v>
      </c>
      <c r="BQ107" s="662">
        <v>0</v>
      </c>
      <c r="BR107" s="662">
        <v>0</v>
      </c>
      <c r="BS107" s="662">
        <v>0</v>
      </c>
      <c r="BT107" s="652">
        <f>SUM(ERP_27[[#This Row],[2026 AP01]:[2026 AP12]])</f>
        <v>6285.51</v>
      </c>
    </row>
    <row r="108" spans="1:72" ht="15" hidden="1" customHeight="1">
      <c r="A108" s="79" t="s">
        <v>2365</v>
      </c>
      <c r="B108" s="79"/>
      <c r="C108" s="79" t="s">
        <v>728</v>
      </c>
      <c r="D108" s="296" t="s">
        <v>728</v>
      </c>
      <c r="E108" s="150" t="s">
        <v>1136</v>
      </c>
      <c r="F108" s="482" t="s">
        <v>1566</v>
      </c>
      <c r="G108" s="150" t="s">
        <v>1135</v>
      </c>
      <c r="H108" s="150" t="s">
        <v>1135</v>
      </c>
      <c r="I108" s="332" t="s">
        <v>1135</v>
      </c>
      <c r="J108" s="383" t="s">
        <v>1135</v>
      </c>
      <c r="K108" s="331" t="s">
        <v>1137</v>
      </c>
      <c r="L108" s="512" t="s">
        <v>639</v>
      </c>
      <c r="M108" s="393" t="s">
        <v>2366</v>
      </c>
      <c r="N108" s="343" t="s">
        <v>2343</v>
      </c>
      <c r="O108" s="150" t="s">
        <v>1171</v>
      </c>
      <c r="P108" s="91" t="s">
        <v>729</v>
      </c>
      <c r="Q108" s="343"/>
      <c r="R108" s="346" t="s">
        <v>2339</v>
      </c>
      <c r="S108" s="346" t="s">
        <v>1710</v>
      </c>
      <c r="T108" s="386" t="s">
        <v>707</v>
      </c>
      <c r="U108" s="346" t="s">
        <v>1348</v>
      </c>
      <c r="V108" s="660"/>
      <c r="W108" s="358">
        <v>-6285.51</v>
      </c>
      <c r="X108" s="660">
        <v>0</v>
      </c>
      <c r="Y108" s="656"/>
      <c r="Z108" s="657"/>
      <c r="AA108" s="716"/>
      <c r="AB108" s="717"/>
      <c r="AC108" s="717"/>
      <c r="AD108" s="428" t="s">
        <v>1142</v>
      </c>
      <c r="AE108" s="429">
        <v>0</v>
      </c>
      <c r="AF108" s="429">
        <v>0</v>
      </c>
      <c r="AG108" s="661">
        <v>0</v>
      </c>
      <c r="AH108" s="661">
        <v>0</v>
      </c>
      <c r="AI108" s="661">
        <v>0</v>
      </c>
      <c r="AJ108" s="661">
        <v>0</v>
      </c>
      <c r="AK108" s="661">
        <v>0</v>
      </c>
      <c r="AL108" s="661">
        <v>0</v>
      </c>
      <c r="AM108" s="682">
        <f t="shared" si="16"/>
        <v>0</v>
      </c>
      <c r="AN108" s="651">
        <f>ERP_27[[#This Row],[2026 Working Total]]-ERP_27[[#This Row],[LE2 Final Submission]]</f>
        <v>0</v>
      </c>
      <c r="AO108" s="652">
        <v>0</v>
      </c>
      <c r="AP108" s="652">
        <f t="shared" si="14"/>
        <v>0</v>
      </c>
      <c r="AQ108" s="374">
        <f>SUM(ERP_27[[#This Row],[AP01]:[AP06]])-SUM(ERP_27[[#This Row],[AP01 LE2]:[AP06 LE2]])</f>
        <v>0</v>
      </c>
      <c r="AR108" s="653"/>
      <c r="AS108" s="652">
        <f>ERP_27[[#This Row],[2026 Working Total to Budget/LE]]-ERP_27[[#This Row],[Giveback]]</f>
        <v>0</v>
      </c>
      <c r="AT108" s="654"/>
      <c r="AU108" s="655"/>
      <c r="AV108" s="655"/>
      <c r="AW108" s="655"/>
      <c r="AX108" s="655">
        <v>0</v>
      </c>
      <c r="AY108" s="655">
        <v>0</v>
      </c>
      <c r="AZ108" s="655">
        <v>0</v>
      </c>
      <c r="BA108" s="655">
        <v>0</v>
      </c>
      <c r="BB108" s="655">
        <v>0</v>
      </c>
      <c r="BC108" s="655">
        <v>0</v>
      </c>
      <c r="BD108" s="655">
        <v>0</v>
      </c>
      <c r="BE108" s="655">
        <v>0</v>
      </c>
      <c r="BF108" s="655">
        <v>0</v>
      </c>
      <c r="BG108" s="655">
        <v>0</v>
      </c>
      <c r="BH108" s="662">
        <v>-6285.51</v>
      </c>
      <c r="BI108" s="662">
        <v>0</v>
      </c>
      <c r="BJ108" s="662">
        <v>0</v>
      </c>
      <c r="BK108" s="662">
        <v>0</v>
      </c>
      <c r="BL108" s="662">
        <v>0</v>
      </c>
      <c r="BM108" s="662">
        <v>0</v>
      </c>
      <c r="BN108" s="662">
        <v>0</v>
      </c>
      <c r="BO108" s="662">
        <v>0</v>
      </c>
      <c r="BP108" s="662">
        <v>0</v>
      </c>
      <c r="BQ108" s="662">
        <v>0</v>
      </c>
      <c r="BR108" s="662">
        <v>0</v>
      </c>
      <c r="BS108" s="662">
        <v>0</v>
      </c>
      <c r="BT108" s="652">
        <f>SUM(ERP_27[[#This Row],[2026 AP01]:[2026 AP12]])</f>
        <v>-6285.51</v>
      </c>
    </row>
    <row r="109" spans="1:72" ht="15" hidden="1" customHeight="1">
      <c r="A109" s="79" t="s">
        <v>2367</v>
      </c>
      <c r="B109" s="79"/>
      <c r="C109" s="79" t="s">
        <v>730</v>
      </c>
      <c r="D109" s="296" t="s">
        <v>730</v>
      </c>
      <c r="E109" s="150" t="s">
        <v>1136</v>
      </c>
      <c r="F109" s="482" t="s">
        <v>1566</v>
      </c>
      <c r="G109" s="150" t="s">
        <v>1135</v>
      </c>
      <c r="H109" s="150" t="s">
        <v>1135</v>
      </c>
      <c r="I109" s="332" t="s">
        <v>1135</v>
      </c>
      <c r="J109" s="383" t="s">
        <v>1135</v>
      </c>
      <c r="K109" s="331" t="s">
        <v>1137</v>
      </c>
      <c r="L109" s="512" t="s">
        <v>639</v>
      </c>
      <c r="M109" s="393" t="s">
        <v>2368</v>
      </c>
      <c r="N109" s="343" t="s">
        <v>2343</v>
      </c>
      <c r="O109" s="150" t="s">
        <v>1171</v>
      </c>
      <c r="P109" s="91" t="s">
        <v>731</v>
      </c>
      <c r="Q109" s="343"/>
      <c r="R109" s="346" t="s">
        <v>2339</v>
      </c>
      <c r="S109" s="346" t="s">
        <v>1710</v>
      </c>
      <c r="T109" s="386" t="s">
        <v>707</v>
      </c>
      <c r="U109" s="346" t="s">
        <v>1348</v>
      </c>
      <c r="V109" s="660"/>
      <c r="W109" s="358">
        <v>30136.080000000002</v>
      </c>
      <c r="X109" s="660">
        <v>0</v>
      </c>
      <c r="Y109" s="656"/>
      <c r="Z109" s="657"/>
      <c r="AA109" s="716"/>
      <c r="AB109" s="717"/>
      <c r="AC109" s="717"/>
      <c r="AD109" s="428" t="s">
        <v>1142</v>
      </c>
      <c r="AE109" s="429">
        <v>0</v>
      </c>
      <c r="AF109" s="429">
        <v>0</v>
      </c>
      <c r="AG109" s="661">
        <v>0</v>
      </c>
      <c r="AH109" s="661">
        <v>0</v>
      </c>
      <c r="AI109" s="661">
        <v>0</v>
      </c>
      <c r="AJ109" s="661">
        <v>0</v>
      </c>
      <c r="AK109" s="661">
        <v>0</v>
      </c>
      <c r="AL109" s="661">
        <v>0</v>
      </c>
      <c r="AM109" s="682">
        <f t="shared" si="16"/>
        <v>0</v>
      </c>
      <c r="AN109" s="651">
        <f>ERP_27[[#This Row],[2026 Working Total]]-ERP_27[[#This Row],[LE2 Final Submission]]</f>
        <v>0</v>
      </c>
      <c r="AO109" s="652">
        <v>0</v>
      </c>
      <c r="AP109" s="652">
        <f t="shared" si="14"/>
        <v>0</v>
      </c>
      <c r="AQ109" s="374">
        <f>SUM(ERP_27[[#This Row],[AP01]:[AP06]])-SUM(ERP_27[[#This Row],[AP01 LE2]:[AP06 LE2]])</f>
        <v>0</v>
      </c>
      <c r="AR109" s="653"/>
      <c r="AS109" s="652">
        <f>ERP_27[[#This Row],[2026 Working Total to Budget/LE]]-ERP_27[[#This Row],[Giveback]]</f>
        <v>0</v>
      </c>
      <c r="AT109" s="654"/>
      <c r="AU109" s="655"/>
      <c r="AV109" s="655"/>
      <c r="AW109" s="655"/>
      <c r="AX109" s="655">
        <v>0</v>
      </c>
      <c r="AY109" s="655">
        <v>0</v>
      </c>
      <c r="AZ109" s="655">
        <v>0</v>
      </c>
      <c r="BA109" s="655">
        <v>0</v>
      </c>
      <c r="BB109" s="655">
        <v>0</v>
      </c>
      <c r="BC109" s="655">
        <v>0</v>
      </c>
      <c r="BD109" s="655">
        <v>0</v>
      </c>
      <c r="BE109" s="655">
        <v>0</v>
      </c>
      <c r="BF109" s="655">
        <v>0</v>
      </c>
      <c r="BG109" s="655">
        <v>0</v>
      </c>
      <c r="BH109" s="662">
        <v>30136.080000000002</v>
      </c>
      <c r="BI109" s="662">
        <v>0</v>
      </c>
      <c r="BJ109" s="662">
        <v>0</v>
      </c>
      <c r="BK109" s="662">
        <v>0</v>
      </c>
      <c r="BL109" s="662">
        <v>0</v>
      </c>
      <c r="BM109" s="662">
        <v>0</v>
      </c>
      <c r="BN109" s="662">
        <v>0</v>
      </c>
      <c r="BO109" s="662">
        <v>0</v>
      </c>
      <c r="BP109" s="662">
        <v>0</v>
      </c>
      <c r="BQ109" s="662">
        <v>0</v>
      </c>
      <c r="BR109" s="662">
        <v>0</v>
      </c>
      <c r="BS109" s="662">
        <v>0</v>
      </c>
      <c r="BT109" s="652">
        <f>SUM(ERP_27[[#This Row],[2026 AP01]:[2026 AP12]])</f>
        <v>30136.080000000002</v>
      </c>
    </row>
    <row r="110" spans="1:72" ht="15" hidden="1" customHeight="1">
      <c r="A110" s="79" t="s">
        <v>2369</v>
      </c>
      <c r="B110" s="79"/>
      <c r="C110" s="79" t="s">
        <v>732</v>
      </c>
      <c r="D110" s="296" t="s">
        <v>732</v>
      </c>
      <c r="E110" s="150" t="s">
        <v>1136</v>
      </c>
      <c r="F110" s="482" t="s">
        <v>1566</v>
      </c>
      <c r="G110" s="150" t="s">
        <v>1135</v>
      </c>
      <c r="H110" s="150" t="s">
        <v>1135</v>
      </c>
      <c r="I110" s="332" t="s">
        <v>1135</v>
      </c>
      <c r="J110" s="383" t="s">
        <v>1135</v>
      </c>
      <c r="K110" s="331" t="s">
        <v>1137</v>
      </c>
      <c r="L110" s="512" t="s">
        <v>639</v>
      </c>
      <c r="M110" s="393" t="s">
        <v>2370</v>
      </c>
      <c r="N110" s="343" t="s">
        <v>2343</v>
      </c>
      <c r="O110" s="150" t="s">
        <v>1171</v>
      </c>
      <c r="P110" s="91" t="s">
        <v>733</v>
      </c>
      <c r="Q110" s="343"/>
      <c r="R110" s="346" t="s">
        <v>2339</v>
      </c>
      <c r="S110" s="346" t="s">
        <v>1710</v>
      </c>
      <c r="T110" s="386" t="s">
        <v>707</v>
      </c>
      <c r="U110" s="346" t="s">
        <v>1348</v>
      </c>
      <c r="V110" s="660"/>
      <c r="W110" s="358">
        <v>-30136.080000000002</v>
      </c>
      <c r="X110" s="660">
        <v>0</v>
      </c>
      <c r="Y110" s="656"/>
      <c r="Z110" s="657"/>
      <c r="AA110" s="716"/>
      <c r="AB110" s="717"/>
      <c r="AC110" s="717"/>
      <c r="AD110" s="428" t="s">
        <v>1142</v>
      </c>
      <c r="AE110" s="429">
        <v>0</v>
      </c>
      <c r="AF110" s="429">
        <v>0</v>
      </c>
      <c r="AG110" s="661">
        <v>0</v>
      </c>
      <c r="AH110" s="661">
        <v>0</v>
      </c>
      <c r="AI110" s="661">
        <v>0</v>
      </c>
      <c r="AJ110" s="661">
        <v>0</v>
      </c>
      <c r="AK110" s="661">
        <v>0</v>
      </c>
      <c r="AL110" s="661">
        <v>0</v>
      </c>
      <c r="AM110" s="682">
        <f t="shared" si="16"/>
        <v>0</v>
      </c>
      <c r="AN110" s="651">
        <f>ERP_27[[#This Row],[2026 Working Total]]-ERP_27[[#This Row],[LE2 Final Submission]]</f>
        <v>0</v>
      </c>
      <c r="AO110" s="652">
        <v>0</v>
      </c>
      <c r="AP110" s="652">
        <f t="shared" si="14"/>
        <v>0</v>
      </c>
      <c r="AQ110" s="374">
        <f>SUM(ERP_27[[#This Row],[AP01]:[AP06]])-SUM(ERP_27[[#This Row],[AP01 LE2]:[AP06 LE2]])</f>
        <v>0</v>
      </c>
      <c r="AR110" s="653"/>
      <c r="AS110" s="652">
        <f>ERP_27[[#This Row],[2026 Working Total to Budget/LE]]-ERP_27[[#This Row],[Giveback]]</f>
        <v>0</v>
      </c>
      <c r="AT110" s="654"/>
      <c r="AU110" s="655"/>
      <c r="AV110" s="655"/>
      <c r="AW110" s="655"/>
      <c r="AX110" s="655">
        <v>0</v>
      </c>
      <c r="AY110" s="655">
        <v>0</v>
      </c>
      <c r="AZ110" s="655">
        <v>0</v>
      </c>
      <c r="BA110" s="655">
        <v>0</v>
      </c>
      <c r="BB110" s="655">
        <v>0</v>
      </c>
      <c r="BC110" s="655">
        <v>0</v>
      </c>
      <c r="BD110" s="655">
        <v>0</v>
      </c>
      <c r="BE110" s="655">
        <v>0</v>
      </c>
      <c r="BF110" s="655">
        <v>0</v>
      </c>
      <c r="BG110" s="655">
        <v>0</v>
      </c>
      <c r="BH110" s="662">
        <v>-30136.080000000002</v>
      </c>
      <c r="BI110" s="662">
        <v>0</v>
      </c>
      <c r="BJ110" s="662">
        <v>0</v>
      </c>
      <c r="BK110" s="662">
        <v>0</v>
      </c>
      <c r="BL110" s="662">
        <v>0</v>
      </c>
      <c r="BM110" s="662">
        <v>0</v>
      </c>
      <c r="BN110" s="662">
        <v>0</v>
      </c>
      <c r="BO110" s="662">
        <v>0</v>
      </c>
      <c r="BP110" s="662">
        <v>0</v>
      </c>
      <c r="BQ110" s="662">
        <v>0</v>
      </c>
      <c r="BR110" s="662">
        <v>0</v>
      </c>
      <c r="BS110" s="662">
        <v>0</v>
      </c>
      <c r="BT110" s="652">
        <f>SUM(ERP_27[[#This Row],[2026 AP01]:[2026 AP12]])</f>
        <v>-30136.080000000002</v>
      </c>
    </row>
    <row r="111" spans="1:72" ht="15" hidden="1" customHeight="1">
      <c r="A111" s="79" t="s">
        <v>2371</v>
      </c>
      <c r="B111" s="79"/>
      <c r="C111" s="79" t="s">
        <v>734</v>
      </c>
      <c r="D111" s="296" t="s">
        <v>734</v>
      </c>
      <c r="E111" s="150" t="s">
        <v>1136</v>
      </c>
      <c r="F111" s="482" t="s">
        <v>1566</v>
      </c>
      <c r="G111" s="150" t="s">
        <v>1135</v>
      </c>
      <c r="H111" s="150" t="s">
        <v>1135</v>
      </c>
      <c r="I111" s="332" t="s">
        <v>1135</v>
      </c>
      <c r="J111" s="383" t="s">
        <v>1135</v>
      </c>
      <c r="K111" s="331" t="s">
        <v>1137</v>
      </c>
      <c r="L111" s="512" t="s">
        <v>639</v>
      </c>
      <c r="M111" s="393" t="s">
        <v>2372</v>
      </c>
      <c r="N111" s="343" t="s">
        <v>2343</v>
      </c>
      <c r="O111" s="150" t="s">
        <v>1171</v>
      </c>
      <c r="P111" s="91" t="s">
        <v>735</v>
      </c>
      <c r="Q111" s="343"/>
      <c r="R111" s="346" t="s">
        <v>2339</v>
      </c>
      <c r="S111" s="346" t="s">
        <v>1710</v>
      </c>
      <c r="T111" s="386" t="s">
        <v>707</v>
      </c>
      <c r="U111" s="346" t="s">
        <v>1348</v>
      </c>
      <c r="V111" s="660"/>
      <c r="W111" s="358">
        <v>17349.84</v>
      </c>
      <c r="X111" s="660">
        <v>0</v>
      </c>
      <c r="Y111" s="656"/>
      <c r="Z111" s="657"/>
      <c r="AA111" s="716"/>
      <c r="AB111" s="717"/>
      <c r="AC111" s="717"/>
      <c r="AD111" s="428" t="s">
        <v>1142</v>
      </c>
      <c r="AE111" s="429">
        <v>0</v>
      </c>
      <c r="AF111" s="429">
        <v>0</v>
      </c>
      <c r="AG111" s="661">
        <v>0</v>
      </c>
      <c r="AH111" s="661">
        <v>0</v>
      </c>
      <c r="AI111" s="661">
        <v>0</v>
      </c>
      <c r="AJ111" s="661">
        <v>0</v>
      </c>
      <c r="AK111" s="661">
        <v>0</v>
      </c>
      <c r="AL111" s="661">
        <v>0</v>
      </c>
      <c r="AM111" s="682">
        <f t="shared" si="16"/>
        <v>0</v>
      </c>
      <c r="AN111" s="651">
        <f>ERP_27[[#This Row],[2026 Working Total]]-ERP_27[[#This Row],[LE2 Final Submission]]</f>
        <v>0</v>
      </c>
      <c r="AO111" s="652">
        <v>0</v>
      </c>
      <c r="AP111" s="652">
        <f t="shared" si="14"/>
        <v>0</v>
      </c>
      <c r="AQ111" s="374">
        <f>SUM(ERP_27[[#This Row],[AP01]:[AP06]])-SUM(ERP_27[[#This Row],[AP01 LE2]:[AP06 LE2]])</f>
        <v>0</v>
      </c>
      <c r="AR111" s="653"/>
      <c r="AS111" s="652">
        <f>ERP_27[[#This Row],[2026 Working Total to Budget/LE]]-ERP_27[[#This Row],[Giveback]]</f>
        <v>0</v>
      </c>
      <c r="AT111" s="654"/>
      <c r="AU111" s="655"/>
      <c r="AV111" s="655"/>
      <c r="AW111" s="655"/>
      <c r="AX111" s="655">
        <v>0</v>
      </c>
      <c r="AY111" s="655">
        <v>0</v>
      </c>
      <c r="AZ111" s="655">
        <v>0</v>
      </c>
      <c r="BA111" s="655">
        <v>0</v>
      </c>
      <c r="BB111" s="655">
        <v>0</v>
      </c>
      <c r="BC111" s="655">
        <v>0</v>
      </c>
      <c r="BD111" s="655">
        <v>0</v>
      </c>
      <c r="BE111" s="655">
        <v>0</v>
      </c>
      <c r="BF111" s="655">
        <v>0</v>
      </c>
      <c r="BG111" s="655">
        <v>0</v>
      </c>
      <c r="BH111" s="662">
        <v>17349.84</v>
      </c>
      <c r="BI111" s="662">
        <v>0</v>
      </c>
      <c r="BJ111" s="662">
        <v>0</v>
      </c>
      <c r="BK111" s="662">
        <v>0</v>
      </c>
      <c r="BL111" s="662">
        <v>0</v>
      </c>
      <c r="BM111" s="662">
        <v>0</v>
      </c>
      <c r="BN111" s="662">
        <v>0</v>
      </c>
      <c r="BO111" s="662">
        <v>0</v>
      </c>
      <c r="BP111" s="662">
        <v>0</v>
      </c>
      <c r="BQ111" s="662">
        <v>0</v>
      </c>
      <c r="BR111" s="662">
        <v>0</v>
      </c>
      <c r="BS111" s="662">
        <v>0</v>
      </c>
      <c r="BT111" s="652">
        <f>SUM(ERP_27[[#This Row],[2026 AP01]:[2026 AP12]])</f>
        <v>17349.84</v>
      </c>
    </row>
    <row r="112" spans="1:72" ht="15" hidden="1" customHeight="1">
      <c r="A112" s="79" t="s">
        <v>2373</v>
      </c>
      <c r="B112" s="79"/>
      <c r="C112" s="79" t="s">
        <v>736</v>
      </c>
      <c r="D112" s="296" t="s">
        <v>736</v>
      </c>
      <c r="E112" s="150" t="s">
        <v>1136</v>
      </c>
      <c r="F112" s="482" t="s">
        <v>1566</v>
      </c>
      <c r="G112" s="150" t="s">
        <v>1135</v>
      </c>
      <c r="H112" s="150" t="s">
        <v>1135</v>
      </c>
      <c r="I112" s="332" t="s">
        <v>1135</v>
      </c>
      <c r="J112" s="383" t="s">
        <v>1135</v>
      </c>
      <c r="K112" s="331" t="s">
        <v>1137</v>
      </c>
      <c r="L112" s="512" t="s">
        <v>639</v>
      </c>
      <c r="M112" s="393" t="s">
        <v>2374</v>
      </c>
      <c r="N112" s="343" t="s">
        <v>2343</v>
      </c>
      <c r="O112" s="150" t="s">
        <v>1171</v>
      </c>
      <c r="P112" s="91" t="s">
        <v>737</v>
      </c>
      <c r="Q112" s="343"/>
      <c r="R112" s="346" t="s">
        <v>2339</v>
      </c>
      <c r="S112" s="346" t="s">
        <v>1710</v>
      </c>
      <c r="T112" s="386" t="s">
        <v>707</v>
      </c>
      <c r="U112" s="346" t="s">
        <v>1348</v>
      </c>
      <c r="V112" s="660"/>
      <c r="W112" s="358">
        <v>-17349.84</v>
      </c>
      <c r="X112" s="660">
        <v>0</v>
      </c>
      <c r="Y112" s="656"/>
      <c r="Z112" s="657"/>
      <c r="AA112" s="716"/>
      <c r="AB112" s="717"/>
      <c r="AC112" s="717"/>
      <c r="AD112" s="428" t="s">
        <v>1142</v>
      </c>
      <c r="AE112" s="429">
        <v>0</v>
      </c>
      <c r="AF112" s="429">
        <v>0</v>
      </c>
      <c r="AG112" s="661">
        <v>0</v>
      </c>
      <c r="AH112" s="661">
        <v>0</v>
      </c>
      <c r="AI112" s="661">
        <v>0</v>
      </c>
      <c r="AJ112" s="661">
        <v>0</v>
      </c>
      <c r="AK112" s="661">
        <v>0</v>
      </c>
      <c r="AL112" s="661">
        <v>0</v>
      </c>
      <c r="AM112" s="682">
        <f t="shared" si="16"/>
        <v>0</v>
      </c>
      <c r="AN112" s="651">
        <f>ERP_27[[#This Row],[2026 Working Total]]-ERP_27[[#This Row],[LE2 Final Submission]]</f>
        <v>0</v>
      </c>
      <c r="AO112" s="652">
        <v>0</v>
      </c>
      <c r="AP112" s="652">
        <f t="shared" si="14"/>
        <v>0</v>
      </c>
      <c r="AQ112" s="374">
        <f>SUM(ERP_27[[#This Row],[AP01]:[AP06]])-SUM(ERP_27[[#This Row],[AP01 LE2]:[AP06 LE2]])</f>
        <v>0</v>
      </c>
      <c r="AR112" s="653"/>
      <c r="AS112" s="652">
        <f>ERP_27[[#This Row],[2026 Working Total to Budget/LE]]-ERP_27[[#This Row],[Giveback]]</f>
        <v>0</v>
      </c>
      <c r="AT112" s="654"/>
      <c r="AU112" s="655"/>
      <c r="AV112" s="655"/>
      <c r="AW112" s="655"/>
      <c r="AX112" s="655">
        <v>0</v>
      </c>
      <c r="AY112" s="655">
        <v>0</v>
      </c>
      <c r="AZ112" s="655">
        <v>0</v>
      </c>
      <c r="BA112" s="655">
        <v>0</v>
      </c>
      <c r="BB112" s="655">
        <v>0</v>
      </c>
      <c r="BC112" s="655">
        <v>0</v>
      </c>
      <c r="BD112" s="655">
        <v>0</v>
      </c>
      <c r="BE112" s="655">
        <v>0</v>
      </c>
      <c r="BF112" s="655">
        <v>0</v>
      </c>
      <c r="BG112" s="655">
        <v>0</v>
      </c>
      <c r="BH112" s="662">
        <v>-17349.84</v>
      </c>
      <c r="BI112" s="662">
        <v>0</v>
      </c>
      <c r="BJ112" s="662">
        <v>0</v>
      </c>
      <c r="BK112" s="662">
        <v>0</v>
      </c>
      <c r="BL112" s="662">
        <v>0</v>
      </c>
      <c r="BM112" s="662">
        <v>0</v>
      </c>
      <c r="BN112" s="662">
        <v>0</v>
      </c>
      <c r="BO112" s="662">
        <v>0</v>
      </c>
      <c r="BP112" s="662">
        <v>0</v>
      </c>
      <c r="BQ112" s="662">
        <v>0</v>
      </c>
      <c r="BR112" s="662">
        <v>0</v>
      </c>
      <c r="BS112" s="662">
        <v>0</v>
      </c>
      <c r="BT112" s="652">
        <f>SUM(ERP_27[[#This Row],[2026 AP01]:[2026 AP12]])</f>
        <v>-17349.84</v>
      </c>
    </row>
    <row r="113" spans="1:72" ht="15" hidden="1" customHeight="1">
      <c r="A113" s="79" t="s">
        <v>2375</v>
      </c>
      <c r="B113" s="79"/>
      <c r="C113" s="79" t="s">
        <v>738</v>
      </c>
      <c r="D113" s="296" t="s">
        <v>738</v>
      </c>
      <c r="E113" s="150" t="s">
        <v>1136</v>
      </c>
      <c r="F113" s="482" t="s">
        <v>1566</v>
      </c>
      <c r="G113" s="150" t="s">
        <v>1135</v>
      </c>
      <c r="H113" s="150" t="s">
        <v>1135</v>
      </c>
      <c r="I113" s="332" t="s">
        <v>1135</v>
      </c>
      <c r="J113" s="383" t="s">
        <v>1135</v>
      </c>
      <c r="K113" s="331" t="s">
        <v>1137</v>
      </c>
      <c r="L113" s="512" t="s">
        <v>639</v>
      </c>
      <c r="M113" s="393" t="s">
        <v>2376</v>
      </c>
      <c r="N113" s="343" t="s">
        <v>2343</v>
      </c>
      <c r="O113" s="150" t="s">
        <v>1171</v>
      </c>
      <c r="P113" s="91" t="s">
        <v>739</v>
      </c>
      <c r="Q113" s="343"/>
      <c r="R113" s="346" t="s">
        <v>2339</v>
      </c>
      <c r="S113" s="346" t="s">
        <v>1710</v>
      </c>
      <c r="T113" s="386" t="s">
        <v>707</v>
      </c>
      <c r="U113" s="346" t="s">
        <v>1348</v>
      </c>
      <c r="V113" s="660"/>
      <c r="W113" s="358">
        <v>5357.52</v>
      </c>
      <c r="X113" s="660">
        <v>0</v>
      </c>
      <c r="Y113" s="656"/>
      <c r="Z113" s="657"/>
      <c r="AA113" s="716"/>
      <c r="AB113" s="717"/>
      <c r="AC113" s="717"/>
      <c r="AD113" s="428" t="s">
        <v>1142</v>
      </c>
      <c r="AE113" s="429">
        <v>0</v>
      </c>
      <c r="AF113" s="429">
        <v>0</v>
      </c>
      <c r="AG113" s="661">
        <v>0</v>
      </c>
      <c r="AH113" s="661">
        <v>0</v>
      </c>
      <c r="AI113" s="661">
        <v>0</v>
      </c>
      <c r="AJ113" s="661">
        <v>0</v>
      </c>
      <c r="AK113" s="661">
        <v>0</v>
      </c>
      <c r="AL113" s="661">
        <v>0</v>
      </c>
      <c r="AM113" s="682">
        <f t="shared" si="16"/>
        <v>0</v>
      </c>
      <c r="AN113" s="651">
        <f>ERP_27[[#This Row],[2026 Working Total]]-ERP_27[[#This Row],[LE2 Final Submission]]</f>
        <v>0</v>
      </c>
      <c r="AO113" s="652">
        <v>0</v>
      </c>
      <c r="AP113" s="652">
        <f t="shared" si="14"/>
        <v>0</v>
      </c>
      <c r="AQ113" s="374">
        <f>SUM(ERP_27[[#This Row],[AP01]:[AP06]])-SUM(ERP_27[[#This Row],[AP01 LE2]:[AP06 LE2]])</f>
        <v>0</v>
      </c>
      <c r="AR113" s="653"/>
      <c r="AS113" s="652">
        <f>ERP_27[[#This Row],[2026 Working Total to Budget/LE]]-ERP_27[[#This Row],[Giveback]]</f>
        <v>0</v>
      </c>
      <c r="AT113" s="654"/>
      <c r="AU113" s="655"/>
      <c r="AV113" s="655"/>
      <c r="AW113" s="655"/>
      <c r="AX113" s="655">
        <v>0</v>
      </c>
      <c r="AY113" s="655">
        <v>0</v>
      </c>
      <c r="AZ113" s="655">
        <v>0</v>
      </c>
      <c r="BA113" s="655">
        <v>0</v>
      </c>
      <c r="BB113" s="655">
        <v>0</v>
      </c>
      <c r="BC113" s="655">
        <v>0</v>
      </c>
      <c r="BD113" s="655">
        <v>0</v>
      </c>
      <c r="BE113" s="655">
        <v>0</v>
      </c>
      <c r="BF113" s="655">
        <v>0</v>
      </c>
      <c r="BG113" s="655">
        <v>0</v>
      </c>
      <c r="BH113" s="662">
        <v>5357.52</v>
      </c>
      <c r="BI113" s="662">
        <v>0</v>
      </c>
      <c r="BJ113" s="662">
        <v>0</v>
      </c>
      <c r="BK113" s="662">
        <v>0</v>
      </c>
      <c r="BL113" s="662">
        <v>0</v>
      </c>
      <c r="BM113" s="662">
        <v>0</v>
      </c>
      <c r="BN113" s="662">
        <v>0</v>
      </c>
      <c r="BO113" s="662">
        <v>0</v>
      </c>
      <c r="BP113" s="662">
        <v>0</v>
      </c>
      <c r="BQ113" s="662">
        <v>0</v>
      </c>
      <c r="BR113" s="662">
        <v>0</v>
      </c>
      <c r="BS113" s="662">
        <v>0</v>
      </c>
      <c r="BT113" s="652">
        <f>SUM(ERP_27[[#This Row],[2026 AP01]:[2026 AP12]])</f>
        <v>5357.52</v>
      </c>
    </row>
    <row r="114" spans="1:72" ht="15" hidden="1" customHeight="1">
      <c r="A114" s="79" t="s">
        <v>2377</v>
      </c>
      <c r="B114" s="79"/>
      <c r="C114" s="79" t="s">
        <v>740</v>
      </c>
      <c r="D114" s="296" t="s">
        <v>740</v>
      </c>
      <c r="E114" s="150" t="s">
        <v>1136</v>
      </c>
      <c r="F114" s="482" t="s">
        <v>1566</v>
      </c>
      <c r="G114" s="150" t="s">
        <v>1135</v>
      </c>
      <c r="H114" s="150" t="s">
        <v>1135</v>
      </c>
      <c r="I114" s="332" t="s">
        <v>1135</v>
      </c>
      <c r="J114" s="383" t="s">
        <v>1135</v>
      </c>
      <c r="K114" s="331" t="s">
        <v>1137</v>
      </c>
      <c r="L114" s="512" t="s">
        <v>639</v>
      </c>
      <c r="M114" s="393" t="s">
        <v>2378</v>
      </c>
      <c r="N114" s="343" t="s">
        <v>2343</v>
      </c>
      <c r="O114" s="150" t="s">
        <v>1171</v>
      </c>
      <c r="P114" s="91" t="s">
        <v>741</v>
      </c>
      <c r="Q114" s="343"/>
      <c r="R114" s="346" t="s">
        <v>2339</v>
      </c>
      <c r="S114" s="346" t="s">
        <v>1710</v>
      </c>
      <c r="T114" s="386" t="s">
        <v>707</v>
      </c>
      <c r="U114" s="346" t="s">
        <v>1348</v>
      </c>
      <c r="V114" s="660"/>
      <c r="W114" s="358">
        <v>-5357.52</v>
      </c>
      <c r="X114" s="660">
        <v>0</v>
      </c>
      <c r="Y114" s="656"/>
      <c r="Z114" s="657"/>
      <c r="AA114" s="716"/>
      <c r="AB114" s="717"/>
      <c r="AC114" s="717"/>
      <c r="AD114" s="428" t="s">
        <v>1142</v>
      </c>
      <c r="AE114" s="429">
        <v>0</v>
      </c>
      <c r="AF114" s="429">
        <v>0</v>
      </c>
      <c r="AG114" s="661">
        <v>0</v>
      </c>
      <c r="AH114" s="661">
        <v>0</v>
      </c>
      <c r="AI114" s="661">
        <v>0</v>
      </c>
      <c r="AJ114" s="661">
        <v>0</v>
      </c>
      <c r="AK114" s="661">
        <v>0</v>
      </c>
      <c r="AL114" s="661">
        <v>0</v>
      </c>
      <c r="AM114" s="682">
        <f t="shared" si="16"/>
        <v>0</v>
      </c>
      <c r="AN114" s="651">
        <f>ERP_27[[#This Row],[2026 Working Total]]-ERP_27[[#This Row],[LE2 Final Submission]]</f>
        <v>0</v>
      </c>
      <c r="AO114" s="652">
        <v>0</v>
      </c>
      <c r="AP114" s="652">
        <f t="shared" si="14"/>
        <v>0</v>
      </c>
      <c r="AQ114" s="374">
        <f>SUM(ERP_27[[#This Row],[AP01]:[AP06]])-SUM(ERP_27[[#This Row],[AP01 LE2]:[AP06 LE2]])</f>
        <v>0</v>
      </c>
      <c r="AR114" s="653"/>
      <c r="AS114" s="652">
        <f>ERP_27[[#This Row],[2026 Working Total to Budget/LE]]-ERP_27[[#This Row],[Giveback]]</f>
        <v>0</v>
      </c>
      <c r="AT114" s="654"/>
      <c r="AU114" s="655"/>
      <c r="AV114" s="655"/>
      <c r="AW114" s="655"/>
      <c r="AX114" s="655">
        <v>0</v>
      </c>
      <c r="AY114" s="655">
        <v>0</v>
      </c>
      <c r="AZ114" s="655">
        <v>0</v>
      </c>
      <c r="BA114" s="655">
        <v>0</v>
      </c>
      <c r="BB114" s="655">
        <v>0</v>
      </c>
      <c r="BC114" s="655">
        <v>0</v>
      </c>
      <c r="BD114" s="655">
        <v>0</v>
      </c>
      <c r="BE114" s="655">
        <v>0</v>
      </c>
      <c r="BF114" s="655">
        <v>0</v>
      </c>
      <c r="BG114" s="655">
        <v>0</v>
      </c>
      <c r="BH114" s="662">
        <v>-5357.52</v>
      </c>
      <c r="BI114" s="662">
        <v>0</v>
      </c>
      <c r="BJ114" s="662">
        <v>0</v>
      </c>
      <c r="BK114" s="662">
        <v>0</v>
      </c>
      <c r="BL114" s="662">
        <v>0</v>
      </c>
      <c r="BM114" s="662">
        <v>0</v>
      </c>
      <c r="BN114" s="662">
        <v>0</v>
      </c>
      <c r="BO114" s="662">
        <v>0</v>
      </c>
      <c r="BP114" s="662">
        <v>0</v>
      </c>
      <c r="BQ114" s="662">
        <v>0</v>
      </c>
      <c r="BR114" s="662">
        <v>0</v>
      </c>
      <c r="BS114" s="662">
        <v>0</v>
      </c>
      <c r="BT114" s="652">
        <f>SUM(ERP_27[[#This Row],[2026 AP01]:[2026 AP12]])</f>
        <v>-5357.52</v>
      </c>
    </row>
    <row r="115" spans="1:72" ht="15" hidden="1" customHeight="1">
      <c r="A115" s="79" t="s">
        <v>2379</v>
      </c>
      <c r="B115" s="79"/>
      <c r="C115" s="79" t="s">
        <v>742</v>
      </c>
      <c r="D115" s="296" t="s">
        <v>742</v>
      </c>
      <c r="E115" s="150" t="s">
        <v>1136</v>
      </c>
      <c r="F115" s="482" t="s">
        <v>1566</v>
      </c>
      <c r="G115" s="150" t="s">
        <v>1135</v>
      </c>
      <c r="H115" s="150" t="s">
        <v>1135</v>
      </c>
      <c r="I115" s="332" t="s">
        <v>1135</v>
      </c>
      <c r="J115" s="383" t="s">
        <v>1135</v>
      </c>
      <c r="K115" s="331" t="s">
        <v>1137</v>
      </c>
      <c r="L115" s="512" t="s">
        <v>639</v>
      </c>
      <c r="M115" s="393" t="s">
        <v>2380</v>
      </c>
      <c r="N115" s="343" t="s">
        <v>2343</v>
      </c>
      <c r="O115" s="150" t="s">
        <v>1171</v>
      </c>
      <c r="P115" s="91" t="s">
        <v>743</v>
      </c>
      <c r="Q115" s="343"/>
      <c r="R115" s="346" t="s">
        <v>2339</v>
      </c>
      <c r="S115" s="346" t="s">
        <v>1710</v>
      </c>
      <c r="T115" s="386" t="s">
        <v>707</v>
      </c>
      <c r="U115" s="346" t="s">
        <v>1348</v>
      </c>
      <c r="V115" s="660"/>
      <c r="W115" s="358">
        <v>101279.37</v>
      </c>
      <c r="X115" s="660">
        <v>0</v>
      </c>
      <c r="Y115" s="656"/>
      <c r="Z115" s="657"/>
      <c r="AA115" s="716"/>
      <c r="AB115" s="717"/>
      <c r="AC115" s="717"/>
      <c r="AD115" s="428" t="s">
        <v>1142</v>
      </c>
      <c r="AE115" s="429">
        <v>0</v>
      </c>
      <c r="AF115" s="429">
        <v>0</v>
      </c>
      <c r="AG115" s="661">
        <v>0</v>
      </c>
      <c r="AH115" s="661">
        <v>0</v>
      </c>
      <c r="AI115" s="661">
        <v>0</v>
      </c>
      <c r="AJ115" s="661">
        <v>0</v>
      </c>
      <c r="AK115" s="661">
        <v>0</v>
      </c>
      <c r="AL115" s="661">
        <v>0</v>
      </c>
      <c r="AM115" s="682">
        <f t="shared" si="16"/>
        <v>0</v>
      </c>
      <c r="AN115" s="651">
        <f>ERP_27[[#This Row],[2026 Working Total]]-ERP_27[[#This Row],[LE2 Final Submission]]</f>
        <v>0</v>
      </c>
      <c r="AO115" s="652">
        <v>0</v>
      </c>
      <c r="AP115" s="652">
        <f t="shared" si="14"/>
        <v>0</v>
      </c>
      <c r="AQ115" s="374">
        <f>SUM(ERP_27[[#This Row],[AP01]:[AP06]])-SUM(ERP_27[[#This Row],[AP01 LE2]:[AP06 LE2]])</f>
        <v>0</v>
      </c>
      <c r="AR115" s="653"/>
      <c r="AS115" s="652">
        <f>ERP_27[[#This Row],[2026 Working Total to Budget/LE]]-ERP_27[[#This Row],[Giveback]]</f>
        <v>0</v>
      </c>
      <c r="AT115" s="654"/>
      <c r="AU115" s="655"/>
      <c r="AV115" s="655"/>
      <c r="AW115" s="655"/>
      <c r="AX115" s="655">
        <v>0</v>
      </c>
      <c r="AY115" s="655">
        <v>0</v>
      </c>
      <c r="AZ115" s="655">
        <v>0</v>
      </c>
      <c r="BA115" s="655">
        <v>0</v>
      </c>
      <c r="BB115" s="655">
        <v>0</v>
      </c>
      <c r="BC115" s="655">
        <v>0</v>
      </c>
      <c r="BD115" s="655">
        <v>0</v>
      </c>
      <c r="BE115" s="655">
        <v>0</v>
      </c>
      <c r="BF115" s="655">
        <v>0</v>
      </c>
      <c r="BG115" s="655">
        <v>0</v>
      </c>
      <c r="BH115" s="662">
        <v>101279.37</v>
      </c>
      <c r="BI115" s="662">
        <v>0</v>
      </c>
      <c r="BJ115" s="662">
        <v>0</v>
      </c>
      <c r="BK115" s="662">
        <v>0</v>
      </c>
      <c r="BL115" s="662">
        <v>0</v>
      </c>
      <c r="BM115" s="662">
        <v>0</v>
      </c>
      <c r="BN115" s="662">
        <v>0</v>
      </c>
      <c r="BO115" s="662">
        <v>0</v>
      </c>
      <c r="BP115" s="662">
        <v>0</v>
      </c>
      <c r="BQ115" s="662">
        <v>0</v>
      </c>
      <c r="BR115" s="662">
        <v>0</v>
      </c>
      <c r="BS115" s="662">
        <v>0</v>
      </c>
      <c r="BT115" s="652">
        <f>SUM(ERP_27[[#This Row],[2026 AP01]:[2026 AP12]])</f>
        <v>101279.37</v>
      </c>
    </row>
    <row r="116" spans="1:72" ht="15" hidden="1" customHeight="1">
      <c r="A116" s="79" t="s">
        <v>2381</v>
      </c>
      <c r="B116" s="79"/>
      <c r="C116" s="79" t="s">
        <v>744</v>
      </c>
      <c r="D116" s="296" t="s">
        <v>744</v>
      </c>
      <c r="E116" s="150" t="s">
        <v>1136</v>
      </c>
      <c r="F116" s="482" t="s">
        <v>1566</v>
      </c>
      <c r="G116" s="150" t="s">
        <v>1135</v>
      </c>
      <c r="H116" s="150" t="s">
        <v>1135</v>
      </c>
      <c r="I116" s="332" t="s">
        <v>1135</v>
      </c>
      <c r="J116" s="383" t="s">
        <v>1135</v>
      </c>
      <c r="K116" s="331" t="s">
        <v>1137</v>
      </c>
      <c r="L116" s="512" t="s">
        <v>639</v>
      </c>
      <c r="M116" s="393" t="s">
        <v>2382</v>
      </c>
      <c r="N116" s="343" t="s">
        <v>2343</v>
      </c>
      <c r="O116" s="150" t="s">
        <v>1171</v>
      </c>
      <c r="P116" s="91" t="s">
        <v>745</v>
      </c>
      <c r="Q116" s="343"/>
      <c r="R116" s="346" t="s">
        <v>2339</v>
      </c>
      <c r="S116" s="346" t="s">
        <v>1710</v>
      </c>
      <c r="T116" s="386" t="s">
        <v>707</v>
      </c>
      <c r="U116" s="346" t="s">
        <v>1348</v>
      </c>
      <c r="V116" s="660"/>
      <c r="W116" s="358">
        <v>-101279.37</v>
      </c>
      <c r="X116" s="660">
        <v>0</v>
      </c>
      <c r="Y116" s="656"/>
      <c r="Z116" s="657"/>
      <c r="AA116" s="716"/>
      <c r="AB116" s="717"/>
      <c r="AC116" s="717"/>
      <c r="AD116" s="428" t="s">
        <v>1142</v>
      </c>
      <c r="AE116" s="429">
        <v>0</v>
      </c>
      <c r="AF116" s="429">
        <v>0</v>
      </c>
      <c r="AG116" s="661">
        <v>0</v>
      </c>
      <c r="AH116" s="661">
        <v>0</v>
      </c>
      <c r="AI116" s="661">
        <v>0</v>
      </c>
      <c r="AJ116" s="661">
        <v>0</v>
      </c>
      <c r="AK116" s="661">
        <v>0</v>
      </c>
      <c r="AL116" s="661">
        <v>0</v>
      </c>
      <c r="AM116" s="682">
        <f t="shared" si="16"/>
        <v>0</v>
      </c>
      <c r="AN116" s="651">
        <f>ERP_27[[#This Row],[2026 Working Total]]-ERP_27[[#This Row],[LE2 Final Submission]]</f>
        <v>0</v>
      </c>
      <c r="AO116" s="652">
        <v>0</v>
      </c>
      <c r="AP116" s="652">
        <f t="shared" si="14"/>
        <v>0</v>
      </c>
      <c r="AQ116" s="374">
        <f>SUM(ERP_27[[#This Row],[AP01]:[AP06]])-SUM(ERP_27[[#This Row],[AP01 LE2]:[AP06 LE2]])</f>
        <v>0</v>
      </c>
      <c r="AR116" s="653"/>
      <c r="AS116" s="652">
        <f>ERP_27[[#This Row],[2026 Working Total to Budget/LE]]-ERP_27[[#This Row],[Giveback]]</f>
        <v>0</v>
      </c>
      <c r="AT116" s="654"/>
      <c r="AU116" s="655"/>
      <c r="AV116" s="655"/>
      <c r="AW116" s="655"/>
      <c r="AX116" s="655">
        <v>0</v>
      </c>
      <c r="AY116" s="655">
        <v>0</v>
      </c>
      <c r="AZ116" s="655">
        <v>0</v>
      </c>
      <c r="BA116" s="655">
        <v>0</v>
      </c>
      <c r="BB116" s="655">
        <v>0</v>
      </c>
      <c r="BC116" s="655">
        <v>0</v>
      </c>
      <c r="BD116" s="655">
        <v>0</v>
      </c>
      <c r="BE116" s="655">
        <v>0</v>
      </c>
      <c r="BF116" s="655">
        <v>0</v>
      </c>
      <c r="BG116" s="655">
        <v>0</v>
      </c>
      <c r="BH116" s="662">
        <v>-101279.37</v>
      </c>
      <c r="BI116" s="662">
        <v>0</v>
      </c>
      <c r="BJ116" s="662">
        <v>0</v>
      </c>
      <c r="BK116" s="662">
        <v>0</v>
      </c>
      <c r="BL116" s="662">
        <v>0</v>
      </c>
      <c r="BM116" s="662">
        <v>0</v>
      </c>
      <c r="BN116" s="662">
        <v>0</v>
      </c>
      <c r="BO116" s="662">
        <v>0</v>
      </c>
      <c r="BP116" s="662">
        <v>0</v>
      </c>
      <c r="BQ116" s="662">
        <v>0</v>
      </c>
      <c r="BR116" s="662">
        <v>0</v>
      </c>
      <c r="BS116" s="662">
        <v>0</v>
      </c>
      <c r="BT116" s="652">
        <f>SUM(ERP_27[[#This Row],[2026 AP01]:[2026 AP12]])</f>
        <v>-101279.37</v>
      </c>
    </row>
    <row r="117" spans="1:72" ht="15" hidden="1" customHeight="1">
      <c r="A117" s="79" t="s">
        <v>2383</v>
      </c>
      <c r="B117" s="79"/>
      <c r="C117" s="79" t="s">
        <v>746</v>
      </c>
      <c r="D117" s="296" t="s">
        <v>746</v>
      </c>
      <c r="E117" s="150" t="s">
        <v>1136</v>
      </c>
      <c r="F117" s="482" t="s">
        <v>1566</v>
      </c>
      <c r="G117" s="150" t="s">
        <v>1135</v>
      </c>
      <c r="H117" s="150" t="s">
        <v>1135</v>
      </c>
      <c r="I117" s="332" t="s">
        <v>1135</v>
      </c>
      <c r="J117" s="383" t="s">
        <v>1135</v>
      </c>
      <c r="K117" s="331" t="s">
        <v>1137</v>
      </c>
      <c r="L117" s="512" t="s">
        <v>639</v>
      </c>
      <c r="M117" s="393" t="s">
        <v>2384</v>
      </c>
      <c r="N117" s="343" t="s">
        <v>2343</v>
      </c>
      <c r="O117" s="150" t="s">
        <v>1171</v>
      </c>
      <c r="P117" s="91" t="s">
        <v>747</v>
      </c>
      <c r="Q117" s="343"/>
      <c r="R117" s="346" t="s">
        <v>2339</v>
      </c>
      <c r="S117" s="346" t="s">
        <v>1710</v>
      </c>
      <c r="T117" s="386" t="s">
        <v>707</v>
      </c>
      <c r="U117" s="346" t="s">
        <v>1348</v>
      </c>
      <c r="V117" s="660"/>
      <c r="W117" s="358">
        <v>169017.36</v>
      </c>
      <c r="X117" s="660">
        <v>0</v>
      </c>
      <c r="Y117" s="656"/>
      <c r="Z117" s="657"/>
      <c r="AA117" s="716"/>
      <c r="AB117" s="717"/>
      <c r="AC117" s="717"/>
      <c r="AD117" s="428" t="s">
        <v>1142</v>
      </c>
      <c r="AE117" s="429">
        <v>0</v>
      </c>
      <c r="AF117" s="429">
        <v>0</v>
      </c>
      <c r="AG117" s="661">
        <v>0</v>
      </c>
      <c r="AH117" s="661">
        <v>0</v>
      </c>
      <c r="AI117" s="661">
        <v>0</v>
      </c>
      <c r="AJ117" s="661">
        <v>0</v>
      </c>
      <c r="AK117" s="661">
        <v>0</v>
      </c>
      <c r="AL117" s="661">
        <v>0</v>
      </c>
      <c r="AM117" s="682">
        <f t="shared" si="16"/>
        <v>0</v>
      </c>
      <c r="AN117" s="651">
        <f>ERP_27[[#This Row],[2026 Working Total]]-ERP_27[[#This Row],[LE2 Final Submission]]</f>
        <v>0</v>
      </c>
      <c r="AO117" s="652">
        <v>0</v>
      </c>
      <c r="AP117" s="652">
        <f t="shared" si="14"/>
        <v>0</v>
      </c>
      <c r="AQ117" s="374">
        <f>SUM(ERP_27[[#This Row],[AP01]:[AP06]])-SUM(ERP_27[[#This Row],[AP01 LE2]:[AP06 LE2]])</f>
        <v>0</v>
      </c>
      <c r="AR117" s="653"/>
      <c r="AS117" s="652">
        <f>ERP_27[[#This Row],[2026 Working Total to Budget/LE]]-ERP_27[[#This Row],[Giveback]]</f>
        <v>0</v>
      </c>
      <c r="AT117" s="654"/>
      <c r="AU117" s="655"/>
      <c r="AV117" s="655"/>
      <c r="AW117" s="655"/>
      <c r="AX117" s="655">
        <v>0</v>
      </c>
      <c r="AY117" s="655">
        <v>0</v>
      </c>
      <c r="AZ117" s="655">
        <v>0</v>
      </c>
      <c r="BA117" s="655">
        <v>0</v>
      </c>
      <c r="BB117" s="655">
        <v>0</v>
      </c>
      <c r="BC117" s="655">
        <v>0</v>
      </c>
      <c r="BD117" s="655">
        <v>0</v>
      </c>
      <c r="BE117" s="655">
        <v>0</v>
      </c>
      <c r="BF117" s="655">
        <v>0</v>
      </c>
      <c r="BG117" s="655">
        <v>0</v>
      </c>
      <c r="BH117" s="662">
        <v>169017.36</v>
      </c>
      <c r="BI117" s="662">
        <v>0</v>
      </c>
      <c r="BJ117" s="662">
        <v>0</v>
      </c>
      <c r="BK117" s="662">
        <v>0</v>
      </c>
      <c r="BL117" s="662">
        <v>0</v>
      </c>
      <c r="BM117" s="662">
        <v>0</v>
      </c>
      <c r="BN117" s="662">
        <v>0</v>
      </c>
      <c r="BO117" s="662">
        <v>0</v>
      </c>
      <c r="BP117" s="662">
        <v>0</v>
      </c>
      <c r="BQ117" s="662">
        <v>0</v>
      </c>
      <c r="BR117" s="662">
        <v>0</v>
      </c>
      <c r="BS117" s="662">
        <v>0</v>
      </c>
      <c r="BT117" s="652">
        <f>SUM(ERP_27[[#This Row],[2026 AP01]:[2026 AP12]])</f>
        <v>169017.36</v>
      </c>
    </row>
    <row r="118" spans="1:72" ht="15" hidden="1" customHeight="1">
      <c r="A118" s="79" t="s">
        <v>2385</v>
      </c>
      <c r="B118" s="79"/>
      <c r="C118" s="79" t="s">
        <v>748</v>
      </c>
      <c r="D118" s="296" t="s">
        <v>748</v>
      </c>
      <c r="E118" s="150" t="s">
        <v>1136</v>
      </c>
      <c r="F118" s="482" t="s">
        <v>1566</v>
      </c>
      <c r="G118" s="150" t="s">
        <v>1135</v>
      </c>
      <c r="H118" s="150" t="s">
        <v>1135</v>
      </c>
      <c r="I118" s="332" t="s">
        <v>1135</v>
      </c>
      <c r="J118" s="383" t="s">
        <v>1135</v>
      </c>
      <c r="K118" s="331" t="s">
        <v>1137</v>
      </c>
      <c r="L118" s="512" t="s">
        <v>639</v>
      </c>
      <c r="M118" s="393" t="s">
        <v>2386</v>
      </c>
      <c r="N118" s="343" t="s">
        <v>2343</v>
      </c>
      <c r="O118" s="150" t="s">
        <v>1171</v>
      </c>
      <c r="P118" s="91" t="s">
        <v>749</v>
      </c>
      <c r="Q118" s="343"/>
      <c r="R118" s="346" t="s">
        <v>2339</v>
      </c>
      <c r="S118" s="346" t="s">
        <v>1710</v>
      </c>
      <c r="T118" s="386" t="s">
        <v>707</v>
      </c>
      <c r="U118" s="346" t="s">
        <v>1348</v>
      </c>
      <c r="V118" s="660"/>
      <c r="W118" s="358">
        <v>-169017.36</v>
      </c>
      <c r="X118" s="660">
        <v>0</v>
      </c>
      <c r="Y118" s="656"/>
      <c r="Z118" s="657"/>
      <c r="AA118" s="716"/>
      <c r="AB118" s="717"/>
      <c r="AC118" s="717"/>
      <c r="AD118" s="428" t="s">
        <v>1142</v>
      </c>
      <c r="AE118" s="429">
        <v>0</v>
      </c>
      <c r="AF118" s="429">
        <v>0</v>
      </c>
      <c r="AG118" s="661">
        <v>0</v>
      </c>
      <c r="AH118" s="661">
        <v>0</v>
      </c>
      <c r="AI118" s="661">
        <v>0</v>
      </c>
      <c r="AJ118" s="661">
        <v>0</v>
      </c>
      <c r="AK118" s="661">
        <v>0</v>
      </c>
      <c r="AL118" s="661">
        <v>0</v>
      </c>
      <c r="AM118" s="682">
        <f t="shared" si="16"/>
        <v>0</v>
      </c>
      <c r="AN118" s="651">
        <f>ERP_27[[#This Row],[2026 Working Total]]-ERP_27[[#This Row],[LE2 Final Submission]]</f>
        <v>0</v>
      </c>
      <c r="AO118" s="652">
        <v>0</v>
      </c>
      <c r="AP118" s="652">
        <f t="shared" si="14"/>
        <v>0</v>
      </c>
      <c r="AQ118" s="374">
        <f>SUM(ERP_27[[#This Row],[AP01]:[AP06]])-SUM(ERP_27[[#This Row],[AP01 LE2]:[AP06 LE2]])</f>
        <v>0</v>
      </c>
      <c r="AR118" s="653"/>
      <c r="AS118" s="652">
        <f>ERP_27[[#This Row],[2026 Working Total to Budget/LE]]-ERP_27[[#This Row],[Giveback]]</f>
        <v>0</v>
      </c>
      <c r="AT118" s="654"/>
      <c r="AU118" s="655"/>
      <c r="AV118" s="655"/>
      <c r="AW118" s="655"/>
      <c r="AX118" s="655">
        <v>0</v>
      </c>
      <c r="AY118" s="655">
        <v>0</v>
      </c>
      <c r="AZ118" s="655">
        <v>0</v>
      </c>
      <c r="BA118" s="655">
        <v>0</v>
      </c>
      <c r="BB118" s="655">
        <v>0</v>
      </c>
      <c r="BC118" s="655">
        <v>0</v>
      </c>
      <c r="BD118" s="655">
        <v>0</v>
      </c>
      <c r="BE118" s="655">
        <v>0</v>
      </c>
      <c r="BF118" s="655">
        <v>0</v>
      </c>
      <c r="BG118" s="655">
        <v>0</v>
      </c>
      <c r="BH118" s="662">
        <v>-169017.36</v>
      </c>
      <c r="BI118" s="662">
        <v>0</v>
      </c>
      <c r="BJ118" s="662">
        <v>0</v>
      </c>
      <c r="BK118" s="662">
        <v>0</v>
      </c>
      <c r="BL118" s="662">
        <v>0</v>
      </c>
      <c r="BM118" s="662">
        <v>0</v>
      </c>
      <c r="BN118" s="662">
        <v>0</v>
      </c>
      <c r="BO118" s="662">
        <v>0</v>
      </c>
      <c r="BP118" s="662">
        <v>0</v>
      </c>
      <c r="BQ118" s="662">
        <v>0</v>
      </c>
      <c r="BR118" s="662">
        <v>0</v>
      </c>
      <c r="BS118" s="662">
        <v>0</v>
      </c>
      <c r="BT118" s="652">
        <f>SUM(ERP_27[[#This Row],[2026 AP01]:[2026 AP12]])</f>
        <v>-169017.36</v>
      </c>
    </row>
    <row r="119" spans="1:72" ht="15" hidden="1" customHeight="1">
      <c r="A119" s="79" t="s">
        <v>2387</v>
      </c>
      <c r="B119" s="79"/>
      <c r="C119" s="79" t="s">
        <v>750</v>
      </c>
      <c r="D119" s="296" t="s">
        <v>750</v>
      </c>
      <c r="E119" s="150" t="s">
        <v>1136</v>
      </c>
      <c r="F119" s="482" t="s">
        <v>1566</v>
      </c>
      <c r="G119" s="150" t="s">
        <v>1135</v>
      </c>
      <c r="H119" s="150" t="s">
        <v>1135</v>
      </c>
      <c r="I119" s="332" t="s">
        <v>1135</v>
      </c>
      <c r="J119" s="383" t="s">
        <v>1135</v>
      </c>
      <c r="K119" s="331" t="s">
        <v>1137</v>
      </c>
      <c r="L119" s="512" t="s">
        <v>639</v>
      </c>
      <c r="M119" s="393" t="s">
        <v>2388</v>
      </c>
      <c r="N119" s="343" t="s">
        <v>2343</v>
      </c>
      <c r="O119" s="150" t="s">
        <v>1171</v>
      </c>
      <c r="P119" s="91" t="s">
        <v>751</v>
      </c>
      <c r="Q119" s="343"/>
      <c r="R119" s="346" t="s">
        <v>2339</v>
      </c>
      <c r="S119" s="346" t="s">
        <v>1710</v>
      </c>
      <c r="T119" s="386" t="s">
        <v>707</v>
      </c>
      <c r="U119" s="346" t="s">
        <v>1348</v>
      </c>
      <c r="V119" s="660"/>
      <c r="W119" s="358">
        <v>872512.08</v>
      </c>
      <c r="X119" s="660">
        <v>0</v>
      </c>
      <c r="Y119" s="656"/>
      <c r="Z119" s="657"/>
      <c r="AA119" s="716"/>
      <c r="AB119" s="717"/>
      <c r="AC119" s="717"/>
      <c r="AD119" s="428" t="s">
        <v>1142</v>
      </c>
      <c r="AE119" s="429">
        <v>0</v>
      </c>
      <c r="AF119" s="429">
        <v>0</v>
      </c>
      <c r="AG119" s="661">
        <v>0</v>
      </c>
      <c r="AH119" s="661">
        <v>0</v>
      </c>
      <c r="AI119" s="661">
        <v>0</v>
      </c>
      <c r="AJ119" s="661">
        <v>0</v>
      </c>
      <c r="AK119" s="661">
        <v>0</v>
      </c>
      <c r="AL119" s="661">
        <v>0</v>
      </c>
      <c r="AM119" s="682">
        <f t="shared" si="16"/>
        <v>0</v>
      </c>
      <c r="AN119" s="651">
        <f>ERP_27[[#This Row],[2026 Working Total]]-ERP_27[[#This Row],[LE2 Final Submission]]</f>
        <v>0</v>
      </c>
      <c r="AO119" s="652">
        <v>0</v>
      </c>
      <c r="AP119" s="652">
        <f t="shared" si="14"/>
        <v>0</v>
      </c>
      <c r="AQ119" s="374">
        <f>SUM(ERP_27[[#This Row],[AP01]:[AP06]])-SUM(ERP_27[[#This Row],[AP01 LE2]:[AP06 LE2]])</f>
        <v>0</v>
      </c>
      <c r="AR119" s="653"/>
      <c r="AS119" s="652">
        <f>ERP_27[[#This Row],[2026 Working Total to Budget/LE]]-ERP_27[[#This Row],[Giveback]]</f>
        <v>0</v>
      </c>
      <c r="AT119" s="654"/>
      <c r="AU119" s="655"/>
      <c r="AV119" s="655"/>
      <c r="AW119" s="655"/>
      <c r="AX119" s="655">
        <v>0</v>
      </c>
      <c r="AY119" s="655">
        <v>0</v>
      </c>
      <c r="AZ119" s="655">
        <v>0</v>
      </c>
      <c r="BA119" s="655">
        <v>0</v>
      </c>
      <c r="BB119" s="655">
        <v>0</v>
      </c>
      <c r="BC119" s="655">
        <v>0</v>
      </c>
      <c r="BD119" s="655">
        <v>0</v>
      </c>
      <c r="BE119" s="655">
        <v>0</v>
      </c>
      <c r="BF119" s="655">
        <v>0</v>
      </c>
      <c r="BG119" s="655">
        <v>0</v>
      </c>
      <c r="BH119" s="662">
        <v>872512.08</v>
      </c>
      <c r="BI119" s="662">
        <v>0</v>
      </c>
      <c r="BJ119" s="662">
        <v>0</v>
      </c>
      <c r="BK119" s="662">
        <v>0</v>
      </c>
      <c r="BL119" s="662">
        <v>0</v>
      </c>
      <c r="BM119" s="662">
        <v>0</v>
      </c>
      <c r="BN119" s="662">
        <v>0</v>
      </c>
      <c r="BO119" s="662">
        <v>0</v>
      </c>
      <c r="BP119" s="662">
        <v>0</v>
      </c>
      <c r="BQ119" s="662">
        <v>0</v>
      </c>
      <c r="BR119" s="662">
        <v>0</v>
      </c>
      <c r="BS119" s="662">
        <v>0</v>
      </c>
      <c r="BT119" s="652">
        <f>SUM(ERP_27[[#This Row],[2026 AP01]:[2026 AP12]])</f>
        <v>872512.08</v>
      </c>
    </row>
    <row r="120" spans="1:72" ht="15" hidden="1" customHeight="1">
      <c r="A120" s="79" t="s">
        <v>2389</v>
      </c>
      <c r="B120" s="79"/>
      <c r="C120" s="79" t="s">
        <v>752</v>
      </c>
      <c r="D120" s="296" t="s">
        <v>752</v>
      </c>
      <c r="E120" s="150" t="s">
        <v>1136</v>
      </c>
      <c r="F120" s="482" t="s">
        <v>1566</v>
      </c>
      <c r="G120" s="150" t="s">
        <v>1135</v>
      </c>
      <c r="H120" s="150" t="s">
        <v>1135</v>
      </c>
      <c r="I120" s="332" t="s">
        <v>1135</v>
      </c>
      <c r="J120" s="383" t="s">
        <v>1135</v>
      </c>
      <c r="K120" s="331" t="s">
        <v>1137</v>
      </c>
      <c r="L120" s="512" t="s">
        <v>639</v>
      </c>
      <c r="M120" s="393" t="s">
        <v>2390</v>
      </c>
      <c r="N120" s="343" t="s">
        <v>2343</v>
      </c>
      <c r="O120" s="150" t="s">
        <v>1171</v>
      </c>
      <c r="P120" s="91" t="s">
        <v>753</v>
      </c>
      <c r="Q120" s="343"/>
      <c r="R120" s="346" t="s">
        <v>2339</v>
      </c>
      <c r="S120" s="346" t="s">
        <v>1710</v>
      </c>
      <c r="T120" s="386" t="s">
        <v>707</v>
      </c>
      <c r="U120" s="346" t="s">
        <v>1348</v>
      </c>
      <c r="V120" s="660"/>
      <c r="W120" s="358">
        <v>-872512.08</v>
      </c>
      <c r="X120" s="660">
        <v>0</v>
      </c>
      <c r="Y120" s="656"/>
      <c r="Z120" s="657"/>
      <c r="AA120" s="716"/>
      <c r="AB120" s="717"/>
      <c r="AC120" s="717"/>
      <c r="AD120" s="428" t="s">
        <v>1142</v>
      </c>
      <c r="AE120" s="429">
        <v>0</v>
      </c>
      <c r="AF120" s="429">
        <v>0</v>
      </c>
      <c r="AG120" s="661">
        <v>0</v>
      </c>
      <c r="AH120" s="661">
        <v>0</v>
      </c>
      <c r="AI120" s="661">
        <v>0</v>
      </c>
      <c r="AJ120" s="661">
        <v>0</v>
      </c>
      <c r="AK120" s="661">
        <v>0</v>
      </c>
      <c r="AL120" s="661">
        <v>0</v>
      </c>
      <c r="AM120" s="682">
        <f t="shared" si="16"/>
        <v>0</v>
      </c>
      <c r="AN120" s="651">
        <f>ERP_27[[#This Row],[2026 Working Total]]-ERP_27[[#This Row],[LE2 Final Submission]]</f>
        <v>0</v>
      </c>
      <c r="AO120" s="652">
        <v>0</v>
      </c>
      <c r="AP120" s="652">
        <f t="shared" si="14"/>
        <v>0</v>
      </c>
      <c r="AQ120" s="374">
        <f>SUM(ERP_27[[#This Row],[AP01]:[AP06]])-SUM(ERP_27[[#This Row],[AP01 LE2]:[AP06 LE2]])</f>
        <v>0</v>
      </c>
      <c r="AR120" s="653"/>
      <c r="AS120" s="652">
        <f>ERP_27[[#This Row],[2026 Working Total to Budget/LE]]-ERP_27[[#This Row],[Giveback]]</f>
        <v>0</v>
      </c>
      <c r="AT120" s="654"/>
      <c r="AU120" s="655"/>
      <c r="AV120" s="655"/>
      <c r="AW120" s="655"/>
      <c r="AX120" s="655">
        <v>0</v>
      </c>
      <c r="AY120" s="655">
        <v>0</v>
      </c>
      <c r="AZ120" s="655">
        <v>0</v>
      </c>
      <c r="BA120" s="655">
        <v>0</v>
      </c>
      <c r="BB120" s="655">
        <v>0</v>
      </c>
      <c r="BC120" s="655">
        <v>0</v>
      </c>
      <c r="BD120" s="655">
        <v>0</v>
      </c>
      <c r="BE120" s="655">
        <v>0</v>
      </c>
      <c r="BF120" s="655">
        <v>0</v>
      </c>
      <c r="BG120" s="655">
        <v>0</v>
      </c>
      <c r="BH120" s="662">
        <v>-872512.08</v>
      </c>
      <c r="BI120" s="662">
        <v>0</v>
      </c>
      <c r="BJ120" s="662">
        <v>0</v>
      </c>
      <c r="BK120" s="662">
        <v>0</v>
      </c>
      <c r="BL120" s="662">
        <v>0</v>
      </c>
      <c r="BM120" s="662">
        <v>0</v>
      </c>
      <c r="BN120" s="662">
        <v>0</v>
      </c>
      <c r="BO120" s="662">
        <v>0</v>
      </c>
      <c r="BP120" s="662">
        <v>0</v>
      </c>
      <c r="BQ120" s="662">
        <v>0</v>
      </c>
      <c r="BR120" s="662">
        <v>0</v>
      </c>
      <c r="BS120" s="662">
        <v>0</v>
      </c>
      <c r="BT120" s="652">
        <f>SUM(ERP_27[[#This Row],[2026 AP01]:[2026 AP12]])</f>
        <v>-872512.08</v>
      </c>
    </row>
    <row r="121" spans="1:72" ht="15" hidden="1" customHeight="1">
      <c r="A121" s="79" t="s">
        <v>2391</v>
      </c>
      <c r="B121" s="79"/>
      <c r="C121" s="79" t="s">
        <v>754</v>
      </c>
      <c r="D121" s="296" t="s">
        <v>754</v>
      </c>
      <c r="E121" s="150" t="s">
        <v>1136</v>
      </c>
      <c r="F121" s="482" t="s">
        <v>1566</v>
      </c>
      <c r="G121" s="150" t="s">
        <v>1135</v>
      </c>
      <c r="H121" s="150" t="s">
        <v>1135</v>
      </c>
      <c r="I121" s="332" t="s">
        <v>1135</v>
      </c>
      <c r="J121" s="383" t="s">
        <v>1135</v>
      </c>
      <c r="K121" s="331" t="s">
        <v>1137</v>
      </c>
      <c r="L121" s="512" t="s">
        <v>639</v>
      </c>
      <c r="M121" s="393" t="s">
        <v>2392</v>
      </c>
      <c r="N121" s="343" t="s">
        <v>2343</v>
      </c>
      <c r="O121" s="150" t="s">
        <v>1171</v>
      </c>
      <c r="P121" s="91" t="s">
        <v>755</v>
      </c>
      <c r="Q121" s="343"/>
      <c r="R121" s="346" t="s">
        <v>2339</v>
      </c>
      <c r="S121" s="346" t="s">
        <v>1710</v>
      </c>
      <c r="T121" s="386" t="s">
        <v>707</v>
      </c>
      <c r="U121" s="346" t="s">
        <v>1348</v>
      </c>
      <c r="V121" s="660"/>
      <c r="W121" s="358">
        <v>267876.47999999998</v>
      </c>
      <c r="X121" s="660">
        <v>0</v>
      </c>
      <c r="Y121" s="656"/>
      <c r="Z121" s="657"/>
      <c r="AA121" s="716"/>
      <c r="AB121" s="717"/>
      <c r="AC121" s="717"/>
      <c r="AD121" s="428" t="s">
        <v>1142</v>
      </c>
      <c r="AE121" s="429">
        <v>0</v>
      </c>
      <c r="AF121" s="429">
        <v>0</v>
      </c>
      <c r="AG121" s="661">
        <v>0</v>
      </c>
      <c r="AH121" s="661">
        <v>0</v>
      </c>
      <c r="AI121" s="661">
        <v>0</v>
      </c>
      <c r="AJ121" s="661">
        <v>0</v>
      </c>
      <c r="AK121" s="661">
        <v>0</v>
      </c>
      <c r="AL121" s="661">
        <v>0</v>
      </c>
      <c r="AM121" s="682">
        <f t="shared" si="16"/>
        <v>0</v>
      </c>
      <c r="AN121" s="651">
        <f>ERP_27[[#This Row],[2026 Working Total]]-ERP_27[[#This Row],[LE2 Final Submission]]</f>
        <v>0</v>
      </c>
      <c r="AO121" s="652">
        <v>0</v>
      </c>
      <c r="AP121" s="652">
        <f t="shared" si="14"/>
        <v>0</v>
      </c>
      <c r="AQ121" s="374">
        <f>SUM(ERP_27[[#This Row],[AP01]:[AP06]])-SUM(ERP_27[[#This Row],[AP01 LE2]:[AP06 LE2]])</f>
        <v>0</v>
      </c>
      <c r="AR121" s="653"/>
      <c r="AS121" s="652">
        <f>ERP_27[[#This Row],[2026 Working Total to Budget/LE]]-ERP_27[[#This Row],[Giveback]]</f>
        <v>0</v>
      </c>
      <c r="AT121" s="654"/>
      <c r="AU121" s="655"/>
      <c r="AV121" s="655"/>
      <c r="AW121" s="655"/>
      <c r="AX121" s="655">
        <v>0</v>
      </c>
      <c r="AY121" s="655">
        <v>0</v>
      </c>
      <c r="AZ121" s="655">
        <v>0</v>
      </c>
      <c r="BA121" s="655">
        <v>0</v>
      </c>
      <c r="BB121" s="655">
        <v>0</v>
      </c>
      <c r="BC121" s="655">
        <v>0</v>
      </c>
      <c r="BD121" s="655">
        <v>0</v>
      </c>
      <c r="BE121" s="655">
        <v>0</v>
      </c>
      <c r="BF121" s="655">
        <v>0</v>
      </c>
      <c r="BG121" s="655">
        <v>0</v>
      </c>
      <c r="BH121" s="662">
        <v>267876.47999999998</v>
      </c>
      <c r="BI121" s="662">
        <v>0</v>
      </c>
      <c r="BJ121" s="662">
        <v>0</v>
      </c>
      <c r="BK121" s="662">
        <v>0</v>
      </c>
      <c r="BL121" s="662">
        <v>0</v>
      </c>
      <c r="BM121" s="662">
        <v>0</v>
      </c>
      <c r="BN121" s="662">
        <v>0</v>
      </c>
      <c r="BO121" s="662">
        <v>0</v>
      </c>
      <c r="BP121" s="662">
        <v>0</v>
      </c>
      <c r="BQ121" s="662">
        <v>0</v>
      </c>
      <c r="BR121" s="662">
        <v>0</v>
      </c>
      <c r="BS121" s="662">
        <v>0</v>
      </c>
      <c r="BT121" s="652">
        <f>SUM(ERP_27[[#This Row],[2026 AP01]:[2026 AP12]])</f>
        <v>267876.47999999998</v>
      </c>
    </row>
    <row r="122" spans="1:72" ht="15" hidden="1" customHeight="1">
      <c r="A122" s="79" t="s">
        <v>2393</v>
      </c>
      <c r="B122" s="79"/>
      <c r="C122" s="79" t="s">
        <v>756</v>
      </c>
      <c r="D122" s="296" t="s">
        <v>756</v>
      </c>
      <c r="E122" s="150" t="s">
        <v>1136</v>
      </c>
      <c r="F122" s="482" t="s">
        <v>1566</v>
      </c>
      <c r="G122" s="150" t="s">
        <v>1135</v>
      </c>
      <c r="H122" s="150" t="s">
        <v>1135</v>
      </c>
      <c r="I122" s="332" t="s">
        <v>1135</v>
      </c>
      <c r="J122" s="383" t="s">
        <v>1135</v>
      </c>
      <c r="K122" s="331" t="s">
        <v>1137</v>
      </c>
      <c r="L122" s="512" t="s">
        <v>639</v>
      </c>
      <c r="M122" s="393" t="s">
        <v>2394</v>
      </c>
      <c r="N122" s="343" t="s">
        <v>2343</v>
      </c>
      <c r="O122" s="150" t="s">
        <v>1171</v>
      </c>
      <c r="P122" s="91" t="s">
        <v>757</v>
      </c>
      <c r="Q122" s="343"/>
      <c r="R122" s="346" t="s">
        <v>2339</v>
      </c>
      <c r="S122" s="346" t="s">
        <v>1710</v>
      </c>
      <c r="T122" s="386" t="s">
        <v>707</v>
      </c>
      <c r="U122" s="346" t="s">
        <v>1348</v>
      </c>
      <c r="V122" s="660"/>
      <c r="W122" s="358">
        <v>-267876.47999999998</v>
      </c>
      <c r="X122" s="660">
        <v>0</v>
      </c>
      <c r="Y122" s="656"/>
      <c r="Z122" s="657"/>
      <c r="AA122" s="716"/>
      <c r="AB122" s="717"/>
      <c r="AC122" s="717"/>
      <c r="AD122" s="428" t="s">
        <v>1142</v>
      </c>
      <c r="AE122" s="429">
        <v>0</v>
      </c>
      <c r="AF122" s="429">
        <v>0</v>
      </c>
      <c r="AG122" s="661">
        <v>0</v>
      </c>
      <c r="AH122" s="661">
        <v>0</v>
      </c>
      <c r="AI122" s="661">
        <v>0</v>
      </c>
      <c r="AJ122" s="661">
        <v>0</v>
      </c>
      <c r="AK122" s="661">
        <v>0</v>
      </c>
      <c r="AL122" s="661">
        <v>0</v>
      </c>
      <c r="AM122" s="682">
        <f t="shared" si="16"/>
        <v>0</v>
      </c>
      <c r="AN122" s="651">
        <f>ERP_27[[#This Row],[2026 Working Total]]-ERP_27[[#This Row],[LE2 Final Submission]]</f>
        <v>0</v>
      </c>
      <c r="AO122" s="652">
        <v>0</v>
      </c>
      <c r="AP122" s="652">
        <f t="shared" si="14"/>
        <v>0</v>
      </c>
      <c r="AQ122" s="374">
        <f>SUM(ERP_27[[#This Row],[AP01]:[AP06]])-SUM(ERP_27[[#This Row],[AP01 LE2]:[AP06 LE2]])</f>
        <v>0</v>
      </c>
      <c r="AR122" s="653"/>
      <c r="AS122" s="652">
        <f>ERP_27[[#This Row],[2026 Working Total to Budget/LE]]-ERP_27[[#This Row],[Giveback]]</f>
        <v>0</v>
      </c>
      <c r="AT122" s="654"/>
      <c r="AU122" s="655"/>
      <c r="AV122" s="655"/>
      <c r="AW122" s="655"/>
      <c r="AX122" s="655">
        <v>0</v>
      </c>
      <c r="AY122" s="655">
        <v>0</v>
      </c>
      <c r="AZ122" s="655">
        <v>0</v>
      </c>
      <c r="BA122" s="655">
        <v>0</v>
      </c>
      <c r="BB122" s="655">
        <v>0</v>
      </c>
      <c r="BC122" s="655">
        <v>0</v>
      </c>
      <c r="BD122" s="655">
        <v>0</v>
      </c>
      <c r="BE122" s="655">
        <v>0</v>
      </c>
      <c r="BF122" s="655">
        <v>0</v>
      </c>
      <c r="BG122" s="655">
        <v>0</v>
      </c>
      <c r="BH122" s="662">
        <v>-267876.47999999998</v>
      </c>
      <c r="BI122" s="662">
        <v>0</v>
      </c>
      <c r="BJ122" s="662">
        <v>0</v>
      </c>
      <c r="BK122" s="662">
        <v>0</v>
      </c>
      <c r="BL122" s="662">
        <v>0</v>
      </c>
      <c r="BM122" s="662">
        <v>0</v>
      </c>
      <c r="BN122" s="662">
        <v>0</v>
      </c>
      <c r="BO122" s="662">
        <v>0</v>
      </c>
      <c r="BP122" s="662">
        <v>0</v>
      </c>
      <c r="BQ122" s="662">
        <v>0</v>
      </c>
      <c r="BR122" s="662">
        <v>0</v>
      </c>
      <c r="BS122" s="662">
        <v>0</v>
      </c>
      <c r="BT122" s="652">
        <f>SUM(ERP_27[[#This Row],[2026 AP01]:[2026 AP12]])</f>
        <v>-267876.47999999998</v>
      </c>
    </row>
    <row r="123" spans="1:72" ht="15" hidden="1" customHeight="1">
      <c r="A123" s="79" t="s">
        <v>2397</v>
      </c>
      <c r="B123" s="79"/>
      <c r="C123" s="79" t="s">
        <v>760</v>
      </c>
      <c r="D123" s="296" t="s">
        <v>760</v>
      </c>
      <c r="E123" s="150" t="s">
        <v>1136</v>
      </c>
      <c r="F123" s="482" t="s">
        <v>1566</v>
      </c>
      <c r="G123" s="150" t="s">
        <v>1135</v>
      </c>
      <c r="H123" s="150" t="s">
        <v>1135</v>
      </c>
      <c r="I123" s="332" t="s">
        <v>1135</v>
      </c>
      <c r="J123" s="383" t="s">
        <v>1135</v>
      </c>
      <c r="K123" s="331" t="s">
        <v>1137</v>
      </c>
      <c r="L123" s="512" t="s">
        <v>639</v>
      </c>
      <c r="M123" s="393" t="s">
        <v>2398</v>
      </c>
      <c r="N123" s="343" t="s">
        <v>2343</v>
      </c>
      <c r="O123" s="150" t="s">
        <v>1171</v>
      </c>
      <c r="P123" s="91" t="s">
        <v>761</v>
      </c>
      <c r="Q123" s="343"/>
      <c r="R123" s="346" t="s">
        <v>2339</v>
      </c>
      <c r="S123" s="346" t="s">
        <v>1710</v>
      </c>
      <c r="T123" s="386" t="s">
        <v>707</v>
      </c>
      <c r="U123" s="346" t="s">
        <v>1348</v>
      </c>
      <c r="V123" s="660"/>
      <c r="W123" s="358">
        <v>539731.92000000004</v>
      </c>
      <c r="X123" s="660">
        <v>0</v>
      </c>
      <c r="Y123" s="656"/>
      <c r="Z123" s="657"/>
      <c r="AA123" s="716"/>
      <c r="AB123" s="717"/>
      <c r="AC123" s="717"/>
      <c r="AD123" s="428" t="s">
        <v>1142</v>
      </c>
      <c r="AE123" s="429">
        <v>0</v>
      </c>
      <c r="AF123" s="429">
        <v>0</v>
      </c>
      <c r="AG123" s="661">
        <v>0</v>
      </c>
      <c r="AH123" s="661">
        <v>0</v>
      </c>
      <c r="AI123" s="661">
        <v>0</v>
      </c>
      <c r="AJ123" s="661">
        <v>0</v>
      </c>
      <c r="AK123" s="661">
        <v>0</v>
      </c>
      <c r="AL123" s="661">
        <v>0</v>
      </c>
      <c r="AM123" s="682">
        <f t="shared" si="16"/>
        <v>0</v>
      </c>
      <c r="AN123" s="651">
        <f>ERP_27[[#This Row],[2026 Working Total]]-ERP_27[[#This Row],[LE2 Final Submission]]</f>
        <v>0</v>
      </c>
      <c r="AO123" s="652">
        <v>0</v>
      </c>
      <c r="AP123" s="652">
        <f t="shared" si="14"/>
        <v>0</v>
      </c>
      <c r="AQ123" s="374">
        <f>SUM(ERP_27[[#This Row],[AP01]:[AP06]])-SUM(ERP_27[[#This Row],[AP01 LE2]:[AP06 LE2]])</f>
        <v>0</v>
      </c>
      <c r="AR123" s="653"/>
      <c r="AS123" s="652">
        <f>ERP_27[[#This Row],[2026 Working Total to Budget/LE]]-ERP_27[[#This Row],[Giveback]]</f>
        <v>0</v>
      </c>
      <c r="AT123" s="654"/>
      <c r="AU123" s="655"/>
      <c r="AV123" s="655"/>
      <c r="AW123" s="655"/>
      <c r="AX123" s="655">
        <v>0</v>
      </c>
      <c r="AY123" s="655">
        <v>0</v>
      </c>
      <c r="AZ123" s="655">
        <v>0</v>
      </c>
      <c r="BA123" s="655">
        <v>0</v>
      </c>
      <c r="BB123" s="655">
        <v>0</v>
      </c>
      <c r="BC123" s="655">
        <v>0</v>
      </c>
      <c r="BD123" s="655">
        <v>0</v>
      </c>
      <c r="BE123" s="655">
        <v>0</v>
      </c>
      <c r="BF123" s="655">
        <v>0</v>
      </c>
      <c r="BG123" s="655">
        <v>0</v>
      </c>
      <c r="BH123" s="662">
        <v>539731.92000000004</v>
      </c>
      <c r="BI123" s="662">
        <v>0</v>
      </c>
      <c r="BJ123" s="662">
        <v>0</v>
      </c>
      <c r="BK123" s="662">
        <v>0</v>
      </c>
      <c r="BL123" s="662">
        <v>0</v>
      </c>
      <c r="BM123" s="662">
        <v>0</v>
      </c>
      <c r="BN123" s="662">
        <v>0</v>
      </c>
      <c r="BO123" s="662">
        <v>0</v>
      </c>
      <c r="BP123" s="662">
        <v>0</v>
      </c>
      <c r="BQ123" s="662">
        <v>0</v>
      </c>
      <c r="BR123" s="662">
        <v>0</v>
      </c>
      <c r="BS123" s="662">
        <v>0</v>
      </c>
      <c r="BT123" s="652">
        <f>SUM(ERP_27[[#This Row],[2026 AP01]:[2026 AP12]])</f>
        <v>539731.92000000004</v>
      </c>
    </row>
    <row r="124" spans="1:72" ht="15" hidden="1" customHeight="1">
      <c r="A124" s="79" t="s">
        <v>2399</v>
      </c>
      <c r="B124" s="79"/>
      <c r="C124" s="79" t="s">
        <v>762</v>
      </c>
      <c r="D124" s="296" t="s">
        <v>762</v>
      </c>
      <c r="E124" s="150" t="s">
        <v>1136</v>
      </c>
      <c r="F124" s="482" t="s">
        <v>1566</v>
      </c>
      <c r="G124" s="150" t="s">
        <v>1135</v>
      </c>
      <c r="H124" s="150" t="s">
        <v>1135</v>
      </c>
      <c r="I124" s="332" t="s">
        <v>1135</v>
      </c>
      <c r="J124" s="383" t="s">
        <v>1135</v>
      </c>
      <c r="K124" s="331" t="s">
        <v>1137</v>
      </c>
      <c r="L124" s="512" t="s">
        <v>639</v>
      </c>
      <c r="M124" s="393" t="s">
        <v>2400</v>
      </c>
      <c r="N124" s="343" t="s">
        <v>2343</v>
      </c>
      <c r="O124" s="150" t="s">
        <v>1171</v>
      </c>
      <c r="P124" s="91" t="s">
        <v>763</v>
      </c>
      <c r="Q124" s="343"/>
      <c r="R124" s="346" t="s">
        <v>2339</v>
      </c>
      <c r="S124" s="346" t="s">
        <v>1710</v>
      </c>
      <c r="T124" s="386" t="s">
        <v>707</v>
      </c>
      <c r="U124" s="346" t="s">
        <v>1348</v>
      </c>
      <c r="V124" s="660"/>
      <c r="W124" s="358">
        <v>-539731.92000000004</v>
      </c>
      <c r="X124" s="660">
        <v>0</v>
      </c>
      <c r="Y124" s="656"/>
      <c r="Z124" s="657"/>
      <c r="AA124" s="716"/>
      <c r="AB124" s="717"/>
      <c r="AC124" s="717"/>
      <c r="AD124" s="428" t="s">
        <v>1142</v>
      </c>
      <c r="AE124" s="429">
        <v>0</v>
      </c>
      <c r="AF124" s="429">
        <v>0</v>
      </c>
      <c r="AG124" s="661">
        <v>0</v>
      </c>
      <c r="AH124" s="661">
        <v>0</v>
      </c>
      <c r="AI124" s="661">
        <v>0</v>
      </c>
      <c r="AJ124" s="661">
        <v>0</v>
      </c>
      <c r="AK124" s="661">
        <v>0</v>
      </c>
      <c r="AL124" s="661">
        <v>0</v>
      </c>
      <c r="AM124" s="682">
        <f t="shared" si="16"/>
        <v>0</v>
      </c>
      <c r="AN124" s="651">
        <f>ERP_27[[#This Row],[2026 Working Total]]-ERP_27[[#This Row],[LE2 Final Submission]]</f>
        <v>0</v>
      </c>
      <c r="AO124" s="652">
        <v>0</v>
      </c>
      <c r="AP124" s="652">
        <f t="shared" si="14"/>
        <v>0</v>
      </c>
      <c r="AQ124" s="374">
        <f>SUM(ERP_27[[#This Row],[AP01]:[AP06]])-SUM(ERP_27[[#This Row],[AP01 LE2]:[AP06 LE2]])</f>
        <v>0</v>
      </c>
      <c r="AR124" s="653"/>
      <c r="AS124" s="652">
        <f>ERP_27[[#This Row],[2026 Working Total to Budget/LE]]-ERP_27[[#This Row],[Giveback]]</f>
        <v>0</v>
      </c>
      <c r="AT124" s="654"/>
      <c r="AU124" s="655"/>
      <c r="AV124" s="655"/>
      <c r="AW124" s="655"/>
      <c r="AX124" s="655">
        <v>0</v>
      </c>
      <c r="AY124" s="655">
        <v>0</v>
      </c>
      <c r="AZ124" s="655">
        <v>0</v>
      </c>
      <c r="BA124" s="655">
        <v>0</v>
      </c>
      <c r="BB124" s="655">
        <v>0</v>
      </c>
      <c r="BC124" s="655">
        <v>0</v>
      </c>
      <c r="BD124" s="655">
        <v>0</v>
      </c>
      <c r="BE124" s="655">
        <v>0</v>
      </c>
      <c r="BF124" s="655">
        <v>0</v>
      </c>
      <c r="BG124" s="655">
        <v>0</v>
      </c>
      <c r="BH124" s="662">
        <v>-539731.92000000004</v>
      </c>
      <c r="BI124" s="662">
        <v>0</v>
      </c>
      <c r="BJ124" s="662">
        <v>0</v>
      </c>
      <c r="BK124" s="662">
        <v>0</v>
      </c>
      <c r="BL124" s="662">
        <v>0</v>
      </c>
      <c r="BM124" s="662">
        <v>0</v>
      </c>
      <c r="BN124" s="662">
        <v>0</v>
      </c>
      <c r="BO124" s="662">
        <v>0</v>
      </c>
      <c r="BP124" s="662">
        <v>0</v>
      </c>
      <c r="BQ124" s="662">
        <v>0</v>
      </c>
      <c r="BR124" s="662">
        <v>0</v>
      </c>
      <c r="BS124" s="662">
        <v>0</v>
      </c>
      <c r="BT124" s="652">
        <f>SUM(ERP_27[[#This Row],[2026 AP01]:[2026 AP12]])</f>
        <v>-539731.92000000004</v>
      </c>
    </row>
    <row r="125" spans="1:72" ht="15" hidden="1" customHeight="1">
      <c r="A125" s="79" t="s">
        <v>2401</v>
      </c>
      <c r="B125" s="79"/>
      <c r="C125" s="79" t="s">
        <v>764</v>
      </c>
      <c r="D125" s="296" t="s">
        <v>764</v>
      </c>
      <c r="E125" s="150" t="s">
        <v>1136</v>
      </c>
      <c r="F125" s="482" t="s">
        <v>1566</v>
      </c>
      <c r="G125" s="150" t="s">
        <v>1135</v>
      </c>
      <c r="H125" s="150" t="s">
        <v>1135</v>
      </c>
      <c r="I125" s="332" t="s">
        <v>1135</v>
      </c>
      <c r="J125" s="383" t="s">
        <v>1135</v>
      </c>
      <c r="K125" s="331" t="s">
        <v>1137</v>
      </c>
      <c r="L125" s="512" t="s">
        <v>639</v>
      </c>
      <c r="M125" s="393" t="s">
        <v>2402</v>
      </c>
      <c r="N125" s="343" t="s">
        <v>2343</v>
      </c>
      <c r="O125" s="150" t="s">
        <v>1171</v>
      </c>
      <c r="P125" s="91" t="s">
        <v>765</v>
      </c>
      <c r="Q125" s="343"/>
      <c r="R125" s="346" t="s">
        <v>2339</v>
      </c>
      <c r="S125" s="346" t="s">
        <v>1710</v>
      </c>
      <c r="T125" s="386" t="s">
        <v>707</v>
      </c>
      <c r="U125" s="346" t="s">
        <v>1348</v>
      </c>
      <c r="V125" s="660"/>
      <c r="W125" s="358">
        <v>60272.160000000003</v>
      </c>
      <c r="X125" s="660">
        <v>0</v>
      </c>
      <c r="Y125" s="656"/>
      <c r="Z125" s="657"/>
      <c r="AA125" s="716"/>
      <c r="AB125" s="717"/>
      <c r="AC125" s="717"/>
      <c r="AD125" s="428" t="s">
        <v>1142</v>
      </c>
      <c r="AE125" s="429">
        <v>0</v>
      </c>
      <c r="AF125" s="429">
        <v>0</v>
      </c>
      <c r="AG125" s="661">
        <v>0</v>
      </c>
      <c r="AH125" s="661">
        <v>0</v>
      </c>
      <c r="AI125" s="661">
        <v>0</v>
      </c>
      <c r="AJ125" s="661">
        <v>0</v>
      </c>
      <c r="AK125" s="661">
        <v>0</v>
      </c>
      <c r="AL125" s="661">
        <v>0</v>
      </c>
      <c r="AM125" s="682">
        <f t="shared" si="16"/>
        <v>0</v>
      </c>
      <c r="AN125" s="651">
        <f>ERP_27[[#This Row],[2026 Working Total]]-ERP_27[[#This Row],[LE2 Final Submission]]</f>
        <v>0</v>
      </c>
      <c r="AO125" s="652">
        <v>0</v>
      </c>
      <c r="AP125" s="652">
        <f t="shared" si="14"/>
        <v>0</v>
      </c>
      <c r="AQ125" s="374">
        <f>SUM(ERP_27[[#This Row],[AP01]:[AP06]])-SUM(ERP_27[[#This Row],[AP01 LE2]:[AP06 LE2]])</f>
        <v>0</v>
      </c>
      <c r="AR125" s="653"/>
      <c r="AS125" s="652">
        <f>ERP_27[[#This Row],[2026 Working Total to Budget/LE]]-ERP_27[[#This Row],[Giveback]]</f>
        <v>0</v>
      </c>
      <c r="AT125" s="654"/>
      <c r="AU125" s="655"/>
      <c r="AV125" s="655"/>
      <c r="AW125" s="655"/>
      <c r="AX125" s="655">
        <v>0</v>
      </c>
      <c r="AY125" s="655">
        <v>0</v>
      </c>
      <c r="AZ125" s="655">
        <v>0</v>
      </c>
      <c r="BA125" s="655">
        <v>0</v>
      </c>
      <c r="BB125" s="655">
        <v>0</v>
      </c>
      <c r="BC125" s="655">
        <v>0</v>
      </c>
      <c r="BD125" s="655">
        <v>0</v>
      </c>
      <c r="BE125" s="655">
        <v>0</v>
      </c>
      <c r="BF125" s="655">
        <v>0</v>
      </c>
      <c r="BG125" s="655">
        <v>0</v>
      </c>
      <c r="BH125" s="662">
        <v>60272.160000000003</v>
      </c>
      <c r="BI125" s="662">
        <v>0</v>
      </c>
      <c r="BJ125" s="662">
        <v>0</v>
      </c>
      <c r="BK125" s="662">
        <v>0</v>
      </c>
      <c r="BL125" s="662">
        <v>0</v>
      </c>
      <c r="BM125" s="662">
        <v>0</v>
      </c>
      <c r="BN125" s="662">
        <v>0</v>
      </c>
      <c r="BO125" s="662">
        <v>0</v>
      </c>
      <c r="BP125" s="662">
        <v>0</v>
      </c>
      <c r="BQ125" s="662">
        <v>0</v>
      </c>
      <c r="BR125" s="662">
        <v>0</v>
      </c>
      <c r="BS125" s="662">
        <v>0</v>
      </c>
      <c r="BT125" s="652">
        <f>SUM(ERP_27[[#This Row],[2026 AP01]:[2026 AP12]])</f>
        <v>60272.160000000003</v>
      </c>
    </row>
    <row r="126" spans="1:72" ht="15" hidden="1" customHeight="1">
      <c r="A126" s="79" t="s">
        <v>2403</v>
      </c>
      <c r="B126" s="79"/>
      <c r="C126" s="79" t="s">
        <v>766</v>
      </c>
      <c r="D126" s="296" t="s">
        <v>766</v>
      </c>
      <c r="E126" s="150" t="s">
        <v>1136</v>
      </c>
      <c r="F126" s="482" t="s">
        <v>1566</v>
      </c>
      <c r="G126" s="150" t="s">
        <v>1135</v>
      </c>
      <c r="H126" s="150" t="s">
        <v>1135</v>
      </c>
      <c r="I126" s="332" t="s">
        <v>1135</v>
      </c>
      <c r="J126" s="383" t="s">
        <v>1135</v>
      </c>
      <c r="K126" s="331" t="s">
        <v>1137</v>
      </c>
      <c r="L126" s="512" t="s">
        <v>639</v>
      </c>
      <c r="M126" s="393" t="s">
        <v>2404</v>
      </c>
      <c r="N126" s="343" t="s">
        <v>2343</v>
      </c>
      <c r="O126" s="150" t="s">
        <v>1171</v>
      </c>
      <c r="P126" s="91" t="s">
        <v>767</v>
      </c>
      <c r="Q126" s="343"/>
      <c r="R126" s="346" t="s">
        <v>2339</v>
      </c>
      <c r="S126" s="346" t="s">
        <v>1710</v>
      </c>
      <c r="T126" s="386" t="s">
        <v>707</v>
      </c>
      <c r="U126" s="346" t="s">
        <v>1348</v>
      </c>
      <c r="V126" s="660"/>
      <c r="W126" s="358">
        <v>-60272.160000000003</v>
      </c>
      <c r="X126" s="660">
        <v>0</v>
      </c>
      <c r="Y126" s="656"/>
      <c r="Z126" s="657"/>
      <c r="AA126" s="716"/>
      <c r="AB126" s="717"/>
      <c r="AC126" s="717"/>
      <c r="AD126" s="428" t="s">
        <v>1142</v>
      </c>
      <c r="AE126" s="429">
        <v>0</v>
      </c>
      <c r="AF126" s="429">
        <v>0</v>
      </c>
      <c r="AG126" s="661">
        <v>0</v>
      </c>
      <c r="AH126" s="661">
        <v>0</v>
      </c>
      <c r="AI126" s="661">
        <v>0</v>
      </c>
      <c r="AJ126" s="661">
        <v>0</v>
      </c>
      <c r="AK126" s="661">
        <v>0</v>
      </c>
      <c r="AL126" s="661">
        <v>0</v>
      </c>
      <c r="AM126" s="682">
        <f t="shared" si="16"/>
        <v>0</v>
      </c>
      <c r="AN126" s="651">
        <f>ERP_27[[#This Row],[2026 Working Total]]-ERP_27[[#This Row],[LE2 Final Submission]]</f>
        <v>0</v>
      </c>
      <c r="AO126" s="652">
        <v>0</v>
      </c>
      <c r="AP126" s="652">
        <f t="shared" si="14"/>
        <v>0</v>
      </c>
      <c r="AQ126" s="374">
        <f>SUM(ERP_27[[#This Row],[AP01]:[AP06]])-SUM(ERP_27[[#This Row],[AP01 LE2]:[AP06 LE2]])</f>
        <v>0</v>
      </c>
      <c r="AR126" s="653"/>
      <c r="AS126" s="652">
        <f>ERP_27[[#This Row],[2026 Working Total to Budget/LE]]-ERP_27[[#This Row],[Giveback]]</f>
        <v>0</v>
      </c>
      <c r="AT126" s="654"/>
      <c r="AU126" s="655"/>
      <c r="AV126" s="655"/>
      <c r="AW126" s="655"/>
      <c r="AX126" s="655">
        <v>0</v>
      </c>
      <c r="AY126" s="655">
        <v>0</v>
      </c>
      <c r="AZ126" s="655">
        <v>0</v>
      </c>
      <c r="BA126" s="655">
        <v>0</v>
      </c>
      <c r="BB126" s="655">
        <v>0</v>
      </c>
      <c r="BC126" s="655">
        <v>0</v>
      </c>
      <c r="BD126" s="655">
        <v>0</v>
      </c>
      <c r="BE126" s="655">
        <v>0</v>
      </c>
      <c r="BF126" s="655">
        <v>0</v>
      </c>
      <c r="BG126" s="655">
        <v>0</v>
      </c>
      <c r="BH126" s="662">
        <v>-60272.160000000003</v>
      </c>
      <c r="BI126" s="662">
        <v>0</v>
      </c>
      <c r="BJ126" s="662">
        <v>0</v>
      </c>
      <c r="BK126" s="662">
        <v>0</v>
      </c>
      <c r="BL126" s="662">
        <v>0</v>
      </c>
      <c r="BM126" s="662">
        <v>0</v>
      </c>
      <c r="BN126" s="662">
        <v>0</v>
      </c>
      <c r="BO126" s="662">
        <v>0</v>
      </c>
      <c r="BP126" s="662">
        <v>0</v>
      </c>
      <c r="BQ126" s="662">
        <v>0</v>
      </c>
      <c r="BR126" s="662">
        <v>0</v>
      </c>
      <c r="BS126" s="662">
        <v>0</v>
      </c>
      <c r="BT126" s="652">
        <f>SUM(ERP_27[[#This Row],[2026 AP01]:[2026 AP12]])</f>
        <v>-60272.160000000003</v>
      </c>
    </row>
    <row r="127" spans="1:72" ht="15" hidden="1" customHeight="1">
      <c r="A127" s="79" t="s">
        <v>2405</v>
      </c>
      <c r="B127" s="79"/>
      <c r="C127" s="79" t="s">
        <v>768</v>
      </c>
      <c r="D127" s="296" t="s">
        <v>768</v>
      </c>
      <c r="E127" s="150" t="s">
        <v>1136</v>
      </c>
      <c r="F127" s="482" t="s">
        <v>1566</v>
      </c>
      <c r="G127" s="150" t="s">
        <v>1135</v>
      </c>
      <c r="H127" s="150" t="s">
        <v>1135</v>
      </c>
      <c r="I127" s="332" t="s">
        <v>1135</v>
      </c>
      <c r="J127" s="383" t="s">
        <v>1135</v>
      </c>
      <c r="K127" s="331" t="s">
        <v>1137</v>
      </c>
      <c r="L127" s="512" t="s">
        <v>639</v>
      </c>
      <c r="M127" s="393" t="s">
        <v>2406</v>
      </c>
      <c r="N127" s="343" t="s">
        <v>2343</v>
      </c>
      <c r="O127" s="150" t="s">
        <v>1171</v>
      </c>
      <c r="P127" s="91" t="s">
        <v>769</v>
      </c>
      <c r="Q127" s="343"/>
      <c r="R127" s="346" t="s">
        <v>2339</v>
      </c>
      <c r="S127" s="346" t="s">
        <v>1710</v>
      </c>
      <c r="T127" s="386" t="s">
        <v>707</v>
      </c>
      <c r="U127" s="346" t="s">
        <v>1348</v>
      </c>
      <c r="V127" s="660"/>
      <c r="W127" s="358">
        <v>626867.82999999996</v>
      </c>
      <c r="X127" s="660">
        <v>0</v>
      </c>
      <c r="Y127" s="656"/>
      <c r="Z127" s="657"/>
      <c r="AA127" s="716"/>
      <c r="AB127" s="717"/>
      <c r="AC127" s="717"/>
      <c r="AD127" s="428" t="s">
        <v>1142</v>
      </c>
      <c r="AE127" s="429">
        <v>0</v>
      </c>
      <c r="AF127" s="429">
        <v>0</v>
      </c>
      <c r="AG127" s="661">
        <v>0</v>
      </c>
      <c r="AH127" s="661">
        <v>0</v>
      </c>
      <c r="AI127" s="661">
        <v>0</v>
      </c>
      <c r="AJ127" s="661">
        <v>0</v>
      </c>
      <c r="AK127" s="661">
        <v>0</v>
      </c>
      <c r="AL127" s="661">
        <v>0</v>
      </c>
      <c r="AM127" s="682">
        <f t="shared" si="16"/>
        <v>0</v>
      </c>
      <c r="AN127" s="651">
        <f>ERP_27[[#This Row],[2026 Working Total]]-ERP_27[[#This Row],[LE2 Final Submission]]</f>
        <v>0</v>
      </c>
      <c r="AO127" s="652">
        <v>0</v>
      </c>
      <c r="AP127" s="652">
        <f t="shared" si="14"/>
        <v>0</v>
      </c>
      <c r="AQ127" s="374">
        <f>SUM(ERP_27[[#This Row],[AP01]:[AP06]])-SUM(ERP_27[[#This Row],[AP01 LE2]:[AP06 LE2]])</f>
        <v>0</v>
      </c>
      <c r="AR127" s="653"/>
      <c r="AS127" s="652">
        <f>ERP_27[[#This Row],[2026 Working Total to Budget/LE]]-ERP_27[[#This Row],[Giveback]]</f>
        <v>0</v>
      </c>
      <c r="AT127" s="654"/>
      <c r="AU127" s="655"/>
      <c r="AV127" s="655"/>
      <c r="AW127" s="655"/>
      <c r="AX127" s="655">
        <v>0</v>
      </c>
      <c r="AY127" s="655">
        <v>0</v>
      </c>
      <c r="AZ127" s="655">
        <v>0</v>
      </c>
      <c r="BA127" s="655">
        <v>0</v>
      </c>
      <c r="BB127" s="655">
        <v>0</v>
      </c>
      <c r="BC127" s="655">
        <v>0</v>
      </c>
      <c r="BD127" s="655">
        <v>0</v>
      </c>
      <c r="BE127" s="655">
        <v>0</v>
      </c>
      <c r="BF127" s="655">
        <v>0</v>
      </c>
      <c r="BG127" s="655">
        <v>0</v>
      </c>
      <c r="BH127" s="662">
        <v>626867.82999999996</v>
      </c>
      <c r="BI127" s="662">
        <v>0</v>
      </c>
      <c r="BJ127" s="662">
        <v>0</v>
      </c>
      <c r="BK127" s="662">
        <v>0</v>
      </c>
      <c r="BL127" s="662">
        <v>0</v>
      </c>
      <c r="BM127" s="662">
        <v>0</v>
      </c>
      <c r="BN127" s="662">
        <v>0</v>
      </c>
      <c r="BO127" s="662">
        <v>0</v>
      </c>
      <c r="BP127" s="662">
        <v>0</v>
      </c>
      <c r="BQ127" s="662">
        <v>0</v>
      </c>
      <c r="BR127" s="662">
        <v>0</v>
      </c>
      <c r="BS127" s="662">
        <v>0</v>
      </c>
      <c r="BT127" s="652">
        <f>SUM(ERP_27[[#This Row],[2026 AP01]:[2026 AP12]])</f>
        <v>626867.82999999996</v>
      </c>
    </row>
    <row r="128" spans="1:72" ht="15" hidden="1" customHeight="1">
      <c r="A128" s="79" t="s">
        <v>2407</v>
      </c>
      <c r="B128" s="79"/>
      <c r="C128" s="79" t="s">
        <v>770</v>
      </c>
      <c r="D128" s="296" t="s">
        <v>770</v>
      </c>
      <c r="E128" s="150" t="s">
        <v>1136</v>
      </c>
      <c r="F128" s="482" t="s">
        <v>1566</v>
      </c>
      <c r="G128" s="150" t="s">
        <v>1135</v>
      </c>
      <c r="H128" s="150" t="s">
        <v>1135</v>
      </c>
      <c r="I128" s="332" t="s">
        <v>1135</v>
      </c>
      <c r="J128" s="383" t="s">
        <v>1135</v>
      </c>
      <c r="K128" s="331" t="s">
        <v>1137</v>
      </c>
      <c r="L128" s="512" t="s">
        <v>639</v>
      </c>
      <c r="M128" s="393" t="s">
        <v>2408</v>
      </c>
      <c r="N128" s="343" t="s">
        <v>2343</v>
      </c>
      <c r="O128" s="150" t="s">
        <v>1171</v>
      </c>
      <c r="P128" s="91" t="s">
        <v>771</v>
      </c>
      <c r="Q128" s="343"/>
      <c r="R128" s="346" t="s">
        <v>2339</v>
      </c>
      <c r="S128" s="346" t="s">
        <v>1710</v>
      </c>
      <c r="T128" s="386" t="s">
        <v>707</v>
      </c>
      <c r="U128" s="346" t="s">
        <v>1348</v>
      </c>
      <c r="V128" s="660"/>
      <c r="W128" s="358">
        <v>-626867.82999999996</v>
      </c>
      <c r="X128" s="660">
        <v>0</v>
      </c>
      <c r="Y128" s="656"/>
      <c r="Z128" s="657"/>
      <c r="AA128" s="716"/>
      <c r="AB128" s="717"/>
      <c r="AC128" s="717"/>
      <c r="AD128" s="428" t="s">
        <v>1142</v>
      </c>
      <c r="AE128" s="429">
        <v>0</v>
      </c>
      <c r="AF128" s="429">
        <v>0</v>
      </c>
      <c r="AG128" s="661">
        <v>0</v>
      </c>
      <c r="AH128" s="661">
        <v>0</v>
      </c>
      <c r="AI128" s="661">
        <v>0</v>
      </c>
      <c r="AJ128" s="661">
        <v>0</v>
      </c>
      <c r="AK128" s="661">
        <v>0</v>
      </c>
      <c r="AL128" s="661">
        <v>0</v>
      </c>
      <c r="AM128" s="682">
        <f t="shared" si="16"/>
        <v>0</v>
      </c>
      <c r="AN128" s="651">
        <f>ERP_27[[#This Row],[2026 Working Total]]-ERP_27[[#This Row],[LE2 Final Submission]]</f>
        <v>0</v>
      </c>
      <c r="AO128" s="652">
        <v>0</v>
      </c>
      <c r="AP128" s="652">
        <f t="shared" si="14"/>
        <v>0</v>
      </c>
      <c r="AQ128" s="374">
        <f>SUM(ERP_27[[#This Row],[AP01]:[AP06]])-SUM(ERP_27[[#This Row],[AP01 LE2]:[AP06 LE2]])</f>
        <v>0</v>
      </c>
      <c r="AR128" s="653"/>
      <c r="AS128" s="652">
        <f>ERP_27[[#This Row],[2026 Working Total to Budget/LE]]-ERP_27[[#This Row],[Giveback]]</f>
        <v>0</v>
      </c>
      <c r="AT128" s="654"/>
      <c r="AU128" s="655"/>
      <c r="AV128" s="655"/>
      <c r="AW128" s="655"/>
      <c r="AX128" s="655">
        <v>0</v>
      </c>
      <c r="AY128" s="655">
        <v>0</v>
      </c>
      <c r="AZ128" s="655">
        <v>0</v>
      </c>
      <c r="BA128" s="655">
        <v>0</v>
      </c>
      <c r="BB128" s="655">
        <v>0</v>
      </c>
      <c r="BC128" s="655">
        <v>0</v>
      </c>
      <c r="BD128" s="655">
        <v>0</v>
      </c>
      <c r="BE128" s="655">
        <v>0</v>
      </c>
      <c r="BF128" s="655">
        <v>0</v>
      </c>
      <c r="BG128" s="655">
        <v>0</v>
      </c>
      <c r="BH128" s="662">
        <v>-626867.82999999996</v>
      </c>
      <c r="BI128" s="662">
        <v>0</v>
      </c>
      <c r="BJ128" s="662">
        <v>0</v>
      </c>
      <c r="BK128" s="662">
        <v>0</v>
      </c>
      <c r="BL128" s="662">
        <v>0</v>
      </c>
      <c r="BM128" s="662">
        <v>0</v>
      </c>
      <c r="BN128" s="662">
        <v>0</v>
      </c>
      <c r="BO128" s="662">
        <v>0</v>
      </c>
      <c r="BP128" s="662">
        <v>0</v>
      </c>
      <c r="BQ128" s="662">
        <v>0</v>
      </c>
      <c r="BR128" s="662">
        <v>0</v>
      </c>
      <c r="BS128" s="662">
        <v>0</v>
      </c>
      <c r="BT128" s="652">
        <f>SUM(ERP_27[[#This Row],[2026 AP01]:[2026 AP12]])</f>
        <v>-626867.82999999996</v>
      </c>
    </row>
    <row r="129" spans="1:72" ht="15" hidden="1" customHeight="1">
      <c r="A129" s="79" t="s">
        <v>2409</v>
      </c>
      <c r="B129" s="79"/>
      <c r="C129" s="79" t="s">
        <v>772</v>
      </c>
      <c r="D129" s="296" t="s">
        <v>772</v>
      </c>
      <c r="E129" s="150" t="s">
        <v>1136</v>
      </c>
      <c r="F129" s="482" t="s">
        <v>1566</v>
      </c>
      <c r="G129" s="150" t="s">
        <v>1135</v>
      </c>
      <c r="H129" s="150" t="s">
        <v>1135</v>
      </c>
      <c r="I129" s="332" t="s">
        <v>1135</v>
      </c>
      <c r="J129" s="383" t="s">
        <v>1135</v>
      </c>
      <c r="K129" s="331" t="s">
        <v>1137</v>
      </c>
      <c r="L129" s="512" t="s">
        <v>639</v>
      </c>
      <c r="M129" s="393" t="s">
        <v>2410</v>
      </c>
      <c r="N129" s="343" t="s">
        <v>2343</v>
      </c>
      <c r="O129" s="150" t="s">
        <v>1171</v>
      </c>
      <c r="P129" s="91" t="s">
        <v>773</v>
      </c>
      <c r="Q129" s="343"/>
      <c r="R129" s="346" t="s">
        <v>2339</v>
      </c>
      <c r="S129" s="346" t="s">
        <v>1710</v>
      </c>
      <c r="T129" s="386" t="s">
        <v>707</v>
      </c>
      <c r="U129" s="346" t="s">
        <v>1348</v>
      </c>
      <c r="V129" s="660"/>
      <c r="W129" s="358">
        <v>15713.16</v>
      </c>
      <c r="X129" s="660">
        <v>0</v>
      </c>
      <c r="Y129" s="656"/>
      <c r="Z129" s="657"/>
      <c r="AA129" s="716"/>
      <c r="AB129" s="717"/>
      <c r="AC129" s="717"/>
      <c r="AD129" s="428" t="s">
        <v>1142</v>
      </c>
      <c r="AE129" s="429">
        <v>0</v>
      </c>
      <c r="AF129" s="429">
        <v>0</v>
      </c>
      <c r="AG129" s="661">
        <v>0</v>
      </c>
      <c r="AH129" s="661">
        <v>0</v>
      </c>
      <c r="AI129" s="661">
        <v>0</v>
      </c>
      <c r="AJ129" s="661">
        <v>0</v>
      </c>
      <c r="AK129" s="661">
        <v>0</v>
      </c>
      <c r="AL129" s="661">
        <v>0</v>
      </c>
      <c r="AM129" s="682">
        <f t="shared" si="16"/>
        <v>0</v>
      </c>
      <c r="AN129" s="651">
        <f>ERP_27[[#This Row],[2026 Working Total]]-ERP_27[[#This Row],[LE2 Final Submission]]</f>
        <v>0</v>
      </c>
      <c r="AO129" s="652">
        <v>0</v>
      </c>
      <c r="AP129" s="652">
        <f t="shared" si="14"/>
        <v>0</v>
      </c>
      <c r="AQ129" s="374">
        <f>SUM(ERP_27[[#This Row],[AP01]:[AP06]])-SUM(ERP_27[[#This Row],[AP01 LE2]:[AP06 LE2]])</f>
        <v>0</v>
      </c>
      <c r="AR129" s="653"/>
      <c r="AS129" s="652">
        <f>ERP_27[[#This Row],[2026 Working Total to Budget/LE]]-ERP_27[[#This Row],[Giveback]]</f>
        <v>0</v>
      </c>
      <c r="AT129" s="654"/>
      <c r="AU129" s="655"/>
      <c r="AV129" s="655"/>
      <c r="AW129" s="655"/>
      <c r="AX129" s="655">
        <v>0</v>
      </c>
      <c r="AY129" s="655">
        <v>0</v>
      </c>
      <c r="AZ129" s="655">
        <v>0</v>
      </c>
      <c r="BA129" s="655">
        <v>0</v>
      </c>
      <c r="BB129" s="655">
        <v>0</v>
      </c>
      <c r="BC129" s="655">
        <v>0</v>
      </c>
      <c r="BD129" s="655">
        <v>0</v>
      </c>
      <c r="BE129" s="655">
        <v>0</v>
      </c>
      <c r="BF129" s="655">
        <v>0</v>
      </c>
      <c r="BG129" s="655">
        <v>0</v>
      </c>
      <c r="BH129" s="662">
        <v>15713.16</v>
      </c>
      <c r="BI129" s="662">
        <v>0</v>
      </c>
      <c r="BJ129" s="662">
        <v>0</v>
      </c>
      <c r="BK129" s="662">
        <v>0</v>
      </c>
      <c r="BL129" s="662">
        <v>0</v>
      </c>
      <c r="BM129" s="662">
        <v>0</v>
      </c>
      <c r="BN129" s="662">
        <v>0</v>
      </c>
      <c r="BO129" s="662">
        <v>0</v>
      </c>
      <c r="BP129" s="662">
        <v>0</v>
      </c>
      <c r="BQ129" s="662">
        <v>0</v>
      </c>
      <c r="BR129" s="662">
        <v>0</v>
      </c>
      <c r="BS129" s="662">
        <v>0</v>
      </c>
      <c r="BT129" s="652">
        <f>SUM(ERP_27[[#This Row],[2026 AP01]:[2026 AP12]])</f>
        <v>15713.16</v>
      </c>
    </row>
    <row r="130" spans="1:72" ht="15" hidden="1" customHeight="1">
      <c r="A130" s="79" t="s">
        <v>2411</v>
      </c>
      <c r="B130" s="79"/>
      <c r="C130" s="79" t="s">
        <v>774</v>
      </c>
      <c r="D130" s="296" t="s">
        <v>774</v>
      </c>
      <c r="E130" s="150" t="s">
        <v>1136</v>
      </c>
      <c r="F130" s="482" t="s">
        <v>1566</v>
      </c>
      <c r="G130" s="150" t="s">
        <v>1135</v>
      </c>
      <c r="H130" s="150" t="s">
        <v>1135</v>
      </c>
      <c r="I130" s="332" t="s">
        <v>1135</v>
      </c>
      <c r="J130" s="383" t="s">
        <v>1135</v>
      </c>
      <c r="K130" s="331" t="s">
        <v>1137</v>
      </c>
      <c r="L130" s="512" t="s">
        <v>639</v>
      </c>
      <c r="M130" s="393" t="s">
        <v>2412</v>
      </c>
      <c r="N130" s="343" t="s">
        <v>2343</v>
      </c>
      <c r="O130" s="150" t="s">
        <v>1171</v>
      </c>
      <c r="P130" s="91" t="s">
        <v>775</v>
      </c>
      <c r="Q130" s="343"/>
      <c r="R130" s="346" t="s">
        <v>2339</v>
      </c>
      <c r="S130" s="346" t="s">
        <v>1710</v>
      </c>
      <c r="T130" s="386" t="s">
        <v>707</v>
      </c>
      <c r="U130" s="346" t="s">
        <v>1348</v>
      </c>
      <c r="V130" s="660"/>
      <c r="W130" s="358">
        <v>-15713.16</v>
      </c>
      <c r="X130" s="660">
        <v>0</v>
      </c>
      <c r="Y130" s="656"/>
      <c r="Z130" s="657"/>
      <c r="AA130" s="716"/>
      <c r="AB130" s="717"/>
      <c r="AC130" s="717"/>
      <c r="AD130" s="428" t="s">
        <v>1142</v>
      </c>
      <c r="AE130" s="429">
        <v>0</v>
      </c>
      <c r="AF130" s="429">
        <v>0</v>
      </c>
      <c r="AG130" s="661">
        <v>0</v>
      </c>
      <c r="AH130" s="661">
        <v>0</v>
      </c>
      <c r="AI130" s="661">
        <v>0</v>
      </c>
      <c r="AJ130" s="661">
        <v>0</v>
      </c>
      <c r="AK130" s="661">
        <v>0</v>
      </c>
      <c r="AL130" s="661">
        <v>0</v>
      </c>
      <c r="AM130" s="682">
        <f t="shared" si="16"/>
        <v>0</v>
      </c>
      <c r="AN130" s="651">
        <f>ERP_27[[#This Row],[2026 Working Total]]-ERP_27[[#This Row],[LE2 Final Submission]]</f>
        <v>0</v>
      </c>
      <c r="AO130" s="652">
        <v>0</v>
      </c>
      <c r="AP130" s="652">
        <f t="shared" si="14"/>
        <v>0</v>
      </c>
      <c r="AQ130" s="374">
        <f>SUM(ERP_27[[#This Row],[AP01]:[AP06]])-SUM(ERP_27[[#This Row],[AP01 LE2]:[AP06 LE2]])</f>
        <v>0</v>
      </c>
      <c r="AR130" s="653"/>
      <c r="AS130" s="652">
        <f>ERP_27[[#This Row],[2026 Working Total to Budget/LE]]-ERP_27[[#This Row],[Giveback]]</f>
        <v>0</v>
      </c>
      <c r="AT130" s="654"/>
      <c r="AU130" s="655"/>
      <c r="AV130" s="655"/>
      <c r="AW130" s="655"/>
      <c r="AX130" s="655">
        <v>0</v>
      </c>
      <c r="AY130" s="655">
        <v>0</v>
      </c>
      <c r="AZ130" s="655">
        <v>0</v>
      </c>
      <c r="BA130" s="655">
        <v>0</v>
      </c>
      <c r="BB130" s="655">
        <v>0</v>
      </c>
      <c r="BC130" s="655">
        <v>0</v>
      </c>
      <c r="BD130" s="655">
        <v>0</v>
      </c>
      <c r="BE130" s="655">
        <v>0</v>
      </c>
      <c r="BF130" s="655">
        <v>0</v>
      </c>
      <c r="BG130" s="655">
        <v>0</v>
      </c>
      <c r="BH130" s="662">
        <v>-15713.16</v>
      </c>
      <c r="BI130" s="662">
        <v>0</v>
      </c>
      <c r="BJ130" s="662">
        <v>0</v>
      </c>
      <c r="BK130" s="662">
        <v>0</v>
      </c>
      <c r="BL130" s="662">
        <v>0</v>
      </c>
      <c r="BM130" s="662">
        <v>0</v>
      </c>
      <c r="BN130" s="662">
        <v>0</v>
      </c>
      <c r="BO130" s="662">
        <v>0</v>
      </c>
      <c r="BP130" s="662">
        <v>0</v>
      </c>
      <c r="BQ130" s="662">
        <v>0</v>
      </c>
      <c r="BR130" s="662">
        <v>0</v>
      </c>
      <c r="BS130" s="662">
        <v>0</v>
      </c>
      <c r="BT130" s="652">
        <f>SUM(ERP_27[[#This Row],[2026 AP01]:[2026 AP12]])</f>
        <v>-15713.16</v>
      </c>
    </row>
    <row r="131" spans="1:72" ht="15" hidden="1" customHeight="1">
      <c r="A131" s="79" t="s">
        <v>2413</v>
      </c>
      <c r="B131" s="79"/>
      <c r="C131" s="79" t="s">
        <v>776</v>
      </c>
      <c r="D131" s="296" t="s">
        <v>776</v>
      </c>
      <c r="E131" s="150" t="s">
        <v>1136</v>
      </c>
      <c r="F131" s="482" t="s">
        <v>1566</v>
      </c>
      <c r="G131" s="150" t="s">
        <v>1135</v>
      </c>
      <c r="H131" s="150" t="s">
        <v>1135</v>
      </c>
      <c r="I131" s="332" t="s">
        <v>1135</v>
      </c>
      <c r="J131" s="383" t="s">
        <v>1135</v>
      </c>
      <c r="K131" s="331" t="s">
        <v>1137</v>
      </c>
      <c r="L131" s="512" t="s">
        <v>639</v>
      </c>
      <c r="M131" s="393" t="s">
        <v>2414</v>
      </c>
      <c r="N131" s="343" t="s">
        <v>2343</v>
      </c>
      <c r="O131" s="150" t="s">
        <v>1171</v>
      </c>
      <c r="P131" s="91" t="s">
        <v>777</v>
      </c>
      <c r="Q131" s="343"/>
      <c r="R131" s="346" t="s">
        <v>2339</v>
      </c>
      <c r="S131" s="346" t="s">
        <v>1710</v>
      </c>
      <c r="T131" s="386" t="s">
        <v>707</v>
      </c>
      <c r="U131" s="346" t="s">
        <v>1348</v>
      </c>
      <c r="V131" s="660"/>
      <c r="W131" s="358">
        <v>930750</v>
      </c>
      <c r="X131" s="660">
        <v>0</v>
      </c>
      <c r="Y131" s="656"/>
      <c r="Z131" s="657"/>
      <c r="AA131" s="716"/>
      <c r="AB131" s="717"/>
      <c r="AC131" s="717"/>
      <c r="AD131" s="428" t="s">
        <v>1142</v>
      </c>
      <c r="AE131" s="429">
        <v>0</v>
      </c>
      <c r="AF131" s="429">
        <v>0</v>
      </c>
      <c r="AG131" s="661">
        <v>0</v>
      </c>
      <c r="AH131" s="661">
        <v>0</v>
      </c>
      <c r="AI131" s="661">
        <v>0</v>
      </c>
      <c r="AJ131" s="661">
        <v>0</v>
      </c>
      <c r="AK131" s="661">
        <v>0</v>
      </c>
      <c r="AL131" s="661">
        <v>0</v>
      </c>
      <c r="AM131" s="682">
        <f t="shared" si="16"/>
        <v>0</v>
      </c>
      <c r="AN131" s="651">
        <f>ERP_27[[#This Row],[2026 Working Total]]-ERP_27[[#This Row],[LE2 Final Submission]]</f>
        <v>0</v>
      </c>
      <c r="AO131" s="652">
        <v>0</v>
      </c>
      <c r="AP131" s="652">
        <f t="shared" si="14"/>
        <v>0</v>
      </c>
      <c r="AQ131" s="374">
        <f>SUM(ERP_27[[#This Row],[AP01]:[AP06]])-SUM(ERP_27[[#This Row],[AP01 LE2]:[AP06 LE2]])</f>
        <v>0</v>
      </c>
      <c r="AR131" s="653"/>
      <c r="AS131" s="652">
        <f>ERP_27[[#This Row],[2026 Working Total to Budget/LE]]-ERP_27[[#This Row],[Giveback]]</f>
        <v>0</v>
      </c>
      <c r="AT131" s="654"/>
      <c r="AU131" s="655"/>
      <c r="AV131" s="655"/>
      <c r="AW131" s="655"/>
      <c r="AX131" s="655">
        <v>0</v>
      </c>
      <c r="AY131" s="655">
        <v>0</v>
      </c>
      <c r="AZ131" s="655">
        <v>0</v>
      </c>
      <c r="BA131" s="655">
        <v>0</v>
      </c>
      <c r="BB131" s="655">
        <v>0</v>
      </c>
      <c r="BC131" s="655">
        <v>0</v>
      </c>
      <c r="BD131" s="655">
        <v>0</v>
      </c>
      <c r="BE131" s="655">
        <v>0</v>
      </c>
      <c r="BF131" s="655">
        <v>0</v>
      </c>
      <c r="BG131" s="655">
        <v>0</v>
      </c>
      <c r="BH131" s="662">
        <v>930750</v>
      </c>
      <c r="BI131" s="662">
        <v>0</v>
      </c>
      <c r="BJ131" s="662">
        <v>0</v>
      </c>
      <c r="BK131" s="662">
        <v>0</v>
      </c>
      <c r="BL131" s="662">
        <v>0</v>
      </c>
      <c r="BM131" s="662">
        <v>0</v>
      </c>
      <c r="BN131" s="662">
        <v>0</v>
      </c>
      <c r="BO131" s="662">
        <v>0</v>
      </c>
      <c r="BP131" s="662">
        <v>0</v>
      </c>
      <c r="BQ131" s="662">
        <v>0</v>
      </c>
      <c r="BR131" s="662">
        <v>0</v>
      </c>
      <c r="BS131" s="662">
        <v>0</v>
      </c>
      <c r="BT131" s="652">
        <f>SUM(ERP_27[[#This Row],[2026 AP01]:[2026 AP12]])</f>
        <v>930750</v>
      </c>
    </row>
    <row r="132" spans="1:72" ht="15" hidden="1" customHeight="1">
      <c r="A132" s="79" t="s">
        <v>2415</v>
      </c>
      <c r="B132" s="79"/>
      <c r="C132" s="79" t="s">
        <v>778</v>
      </c>
      <c r="D132" s="296" t="s">
        <v>778</v>
      </c>
      <c r="E132" s="150" t="s">
        <v>1136</v>
      </c>
      <c r="F132" s="482" t="s">
        <v>1566</v>
      </c>
      <c r="G132" s="150" t="s">
        <v>1135</v>
      </c>
      <c r="H132" s="150" t="s">
        <v>1135</v>
      </c>
      <c r="I132" s="332" t="s">
        <v>1135</v>
      </c>
      <c r="J132" s="383" t="s">
        <v>1135</v>
      </c>
      <c r="K132" s="331" t="s">
        <v>1137</v>
      </c>
      <c r="L132" s="512" t="s">
        <v>639</v>
      </c>
      <c r="M132" s="393" t="s">
        <v>2416</v>
      </c>
      <c r="N132" s="343" t="s">
        <v>2343</v>
      </c>
      <c r="O132" s="150" t="s">
        <v>1171</v>
      </c>
      <c r="P132" s="91" t="s">
        <v>779</v>
      </c>
      <c r="Q132" s="343"/>
      <c r="R132" s="346" t="s">
        <v>2339</v>
      </c>
      <c r="S132" s="346" t="s">
        <v>1710</v>
      </c>
      <c r="T132" s="386" t="s">
        <v>707</v>
      </c>
      <c r="U132" s="346" t="s">
        <v>1348</v>
      </c>
      <c r="V132" s="660"/>
      <c r="W132" s="358">
        <v>-930750</v>
      </c>
      <c r="X132" s="660">
        <v>0</v>
      </c>
      <c r="Y132" s="656"/>
      <c r="Z132" s="657"/>
      <c r="AA132" s="716"/>
      <c r="AB132" s="717"/>
      <c r="AC132" s="717"/>
      <c r="AD132" s="428" t="s">
        <v>1142</v>
      </c>
      <c r="AE132" s="429">
        <v>0</v>
      </c>
      <c r="AF132" s="429">
        <v>0</v>
      </c>
      <c r="AG132" s="661">
        <v>0</v>
      </c>
      <c r="AH132" s="661">
        <v>0</v>
      </c>
      <c r="AI132" s="661">
        <v>0</v>
      </c>
      <c r="AJ132" s="661">
        <v>0</v>
      </c>
      <c r="AK132" s="661">
        <v>0</v>
      </c>
      <c r="AL132" s="661">
        <v>0</v>
      </c>
      <c r="AM132" s="682">
        <f t="shared" si="16"/>
        <v>0</v>
      </c>
      <c r="AN132" s="651">
        <f>ERP_27[[#This Row],[2026 Working Total]]-ERP_27[[#This Row],[LE2 Final Submission]]</f>
        <v>0</v>
      </c>
      <c r="AO132" s="652">
        <v>0</v>
      </c>
      <c r="AP132" s="652">
        <f t="shared" si="14"/>
        <v>0</v>
      </c>
      <c r="AQ132" s="374">
        <f>SUM(ERP_27[[#This Row],[AP01]:[AP06]])-SUM(ERP_27[[#This Row],[AP01 LE2]:[AP06 LE2]])</f>
        <v>0</v>
      </c>
      <c r="AR132" s="653"/>
      <c r="AS132" s="652">
        <f>ERP_27[[#This Row],[2026 Working Total to Budget/LE]]-ERP_27[[#This Row],[Giveback]]</f>
        <v>0</v>
      </c>
      <c r="AT132" s="654"/>
      <c r="AU132" s="655"/>
      <c r="AV132" s="655"/>
      <c r="AW132" s="655"/>
      <c r="AX132" s="655">
        <v>0</v>
      </c>
      <c r="AY132" s="655">
        <v>0</v>
      </c>
      <c r="AZ132" s="655">
        <v>0</v>
      </c>
      <c r="BA132" s="655">
        <v>0</v>
      </c>
      <c r="BB132" s="655">
        <v>0</v>
      </c>
      <c r="BC132" s="655">
        <v>0</v>
      </c>
      <c r="BD132" s="655">
        <v>0</v>
      </c>
      <c r="BE132" s="655">
        <v>0</v>
      </c>
      <c r="BF132" s="655">
        <v>0</v>
      </c>
      <c r="BG132" s="655">
        <v>0</v>
      </c>
      <c r="BH132" s="662">
        <v>-930750</v>
      </c>
      <c r="BI132" s="662">
        <v>0</v>
      </c>
      <c r="BJ132" s="662">
        <v>0</v>
      </c>
      <c r="BK132" s="662">
        <v>0</v>
      </c>
      <c r="BL132" s="662">
        <v>0</v>
      </c>
      <c r="BM132" s="662">
        <v>0</v>
      </c>
      <c r="BN132" s="662">
        <v>0</v>
      </c>
      <c r="BO132" s="662">
        <v>0</v>
      </c>
      <c r="BP132" s="662">
        <v>0</v>
      </c>
      <c r="BQ132" s="662">
        <v>0</v>
      </c>
      <c r="BR132" s="662">
        <v>0</v>
      </c>
      <c r="BS132" s="662">
        <v>0</v>
      </c>
      <c r="BT132" s="652">
        <f>SUM(ERP_27[[#This Row],[2026 AP01]:[2026 AP12]])</f>
        <v>-930750</v>
      </c>
    </row>
    <row r="133" spans="1:72" ht="15" hidden="1" customHeight="1">
      <c r="A133" s="79" t="s">
        <v>2417</v>
      </c>
      <c r="B133" s="79"/>
      <c r="C133" s="79" t="s">
        <v>780</v>
      </c>
      <c r="D133" s="296" t="s">
        <v>780</v>
      </c>
      <c r="E133" s="150" t="s">
        <v>1136</v>
      </c>
      <c r="F133" s="482" t="s">
        <v>1566</v>
      </c>
      <c r="G133" s="150" t="s">
        <v>1135</v>
      </c>
      <c r="H133" s="150" t="s">
        <v>1135</v>
      </c>
      <c r="I133" s="332" t="s">
        <v>1135</v>
      </c>
      <c r="J133" s="383" t="s">
        <v>1135</v>
      </c>
      <c r="K133" s="331" t="s">
        <v>1137</v>
      </c>
      <c r="L133" s="512" t="s">
        <v>639</v>
      </c>
      <c r="M133" s="393" t="s">
        <v>2418</v>
      </c>
      <c r="N133" s="343" t="s">
        <v>2343</v>
      </c>
      <c r="O133" s="150" t="s">
        <v>1171</v>
      </c>
      <c r="P133" s="91" t="s">
        <v>781</v>
      </c>
      <c r="Q133" s="343"/>
      <c r="R133" s="346" t="s">
        <v>2339</v>
      </c>
      <c r="S133" s="346" t="s">
        <v>1710</v>
      </c>
      <c r="T133" s="386" t="s">
        <v>707</v>
      </c>
      <c r="U133" s="346" t="s">
        <v>1348</v>
      </c>
      <c r="V133" s="660"/>
      <c r="W133" s="358">
        <v>9567</v>
      </c>
      <c r="X133" s="660">
        <v>0</v>
      </c>
      <c r="Y133" s="656"/>
      <c r="Z133" s="657"/>
      <c r="AA133" s="716"/>
      <c r="AB133" s="717"/>
      <c r="AC133" s="717"/>
      <c r="AD133" s="428" t="s">
        <v>1142</v>
      </c>
      <c r="AE133" s="429">
        <v>0</v>
      </c>
      <c r="AF133" s="429">
        <v>0</v>
      </c>
      <c r="AG133" s="661">
        <v>0</v>
      </c>
      <c r="AH133" s="661">
        <v>0</v>
      </c>
      <c r="AI133" s="661">
        <v>0</v>
      </c>
      <c r="AJ133" s="661">
        <v>0</v>
      </c>
      <c r="AK133" s="661">
        <v>0</v>
      </c>
      <c r="AL133" s="661">
        <v>0</v>
      </c>
      <c r="AM133" s="682">
        <f t="shared" si="16"/>
        <v>0</v>
      </c>
      <c r="AN133" s="651">
        <f>ERP_27[[#This Row],[2026 Working Total]]-ERP_27[[#This Row],[LE2 Final Submission]]</f>
        <v>0</v>
      </c>
      <c r="AO133" s="652">
        <v>0</v>
      </c>
      <c r="AP133" s="652">
        <f t="shared" si="14"/>
        <v>0</v>
      </c>
      <c r="AQ133" s="374">
        <f>SUM(ERP_27[[#This Row],[AP01]:[AP06]])-SUM(ERP_27[[#This Row],[AP01 LE2]:[AP06 LE2]])</f>
        <v>0</v>
      </c>
      <c r="AR133" s="653"/>
      <c r="AS133" s="652">
        <f>ERP_27[[#This Row],[2026 Working Total to Budget/LE]]-ERP_27[[#This Row],[Giveback]]</f>
        <v>0</v>
      </c>
      <c r="AT133" s="654"/>
      <c r="AU133" s="655"/>
      <c r="AV133" s="655"/>
      <c r="AW133" s="655"/>
      <c r="AX133" s="655">
        <v>0</v>
      </c>
      <c r="AY133" s="655">
        <v>0</v>
      </c>
      <c r="AZ133" s="655">
        <v>0</v>
      </c>
      <c r="BA133" s="655">
        <v>0</v>
      </c>
      <c r="BB133" s="655">
        <v>0</v>
      </c>
      <c r="BC133" s="655">
        <v>0</v>
      </c>
      <c r="BD133" s="655">
        <v>0</v>
      </c>
      <c r="BE133" s="655">
        <v>0</v>
      </c>
      <c r="BF133" s="655">
        <v>0</v>
      </c>
      <c r="BG133" s="655">
        <v>0</v>
      </c>
      <c r="BH133" s="662">
        <v>9567</v>
      </c>
      <c r="BI133" s="662">
        <v>0</v>
      </c>
      <c r="BJ133" s="662">
        <v>0</v>
      </c>
      <c r="BK133" s="662">
        <v>0</v>
      </c>
      <c r="BL133" s="662">
        <v>0</v>
      </c>
      <c r="BM133" s="662">
        <v>0</v>
      </c>
      <c r="BN133" s="662">
        <v>0</v>
      </c>
      <c r="BO133" s="662">
        <v>0</v>
      </c>
      <c r="BP133" s="662">
        <v>0</v>
      </c>
      <c r="BQ133" s="662">
        <v>0</v>
      </c>
      <c r="BR133" s="662">
        <v>0</v>
      </c>
      <c r="BS133" s="662">
        <v>0</v>
      </c>
      <c r="BT133" s="652">
        <f>SUM(ERP_27[[#This Row],[2026 AP01]:[2026 AP12]])</f>
        <v>9567</v>
      </c>
    </row>
    <row r="134" spans="1:72" ht="15" hidden="1" customHeight="1">
      <c r="A134" s="79" t="s">
        <v>2419</v>
      </c>
      <c r="B134" s="79"/>
      <c r="C134" s="79" t="s">
        <v>782</v>
      </c>
      <c r="D134" s="296" t="s">
        <v>782</v>
      </c>
      <c r="E134" s="150" t="s">
        <v>1136</v>
      </c>
      <c r="F134" s="482" t="s">
        <v>1566</v>
      </c>
      <c r="G134" s="150" t="s">
        <v>1135</v>
      </c>
      <c r="H134" s="150" t="s">
        <v>1135</v>
      </c>
      <c r="I134" s="332" t="s">
        <v>1135</v>
      </c>
      <c r="J134" s="383" t="s">
        <v>1135</v>
      </c>
      <c r="K134" s="331" t="s">
        <v>1137</v>
      </c>
      <c r="L134" s="512" t="s">
        <v>639</v>
      </c>
      <c r="M134" s="393" t="s">
        <v>2420</v>
      </c>
      <c r="N134" s="343" t="s">
        <v>2343</v>
      </c>
      <c r="O134" s="150" t="s">
        <v>1171</v>
      </c>
      <c r="P134" s="91" t="s">
        <v>783</v>
      </c>
      <c r="Q134" s="343"/>
      <c r="R134" s="346" t="s">
        <v>2339</v>
      </c>
      <c r="S134" s="346" t="s">
        <v>1710</v>
      </c>
      <c r="T134" s="386" t="s">
        <v>707</v>
      </c>
      <c r="U134" s="346" t="s">
        <v>1348</v>
      </c>
      <c r="V134" s="660"/>
      <c r="W134" s="358">
        <v>-9567</v>
      </c>
      <c r="X134" s="660">
        <v>0</v>
      </c>
      <c r="Y134" s="656"/>
      <c r="Z134" s="657"/>
      <c r="AA134" s="716"/>
      <c r="AB134" s="717"/>
      <c r="AC134" s="717"/>
      <c r="AD134" s="428" t="s">
        <v>1142</v>
      </c>
      <c r="AE134" s="429">
        <v>0</v>
      </c>
      <c r="AF134" s="429">
        <v>0</v>
      </c>
      <c r="AG134" s="661">
        <v>0</v>
      </c>
      <c r="AH134" s="661">
        <v>0</v>
      </c>
      <c r="AI134" s="661">
        <v>0</v>
      </c>
      <c r="AJ134" s="661">
        <v>0</v>
      </c>
      <c r="AK134" s="661">
        <v>0</v>
      </c>
      <c r="AL134" s="661">
        <v>0</v>
      </c>
      <c r="AM134" s="682">
        <f t="shared" si="16"/>
        <v>0</v>
      </c>
      <c r="AN134" s="651">
        <f>ERP_27[[#This Row],[2026 Working Total]]-ERP_27[[#This Row],[LE2 Final Submission]]</f>
        <v>0</v>
      </c>
      <c r="AO134" s="652">
        <v>0</v>
      </c>
      <c r="AP134" s="652">
        <f t="shared" si="14"/>
        <v>0</v>
      </c>
      <c r="AQ134" s="374">
        <f>SUM(ERP_27[[#This Row],[AP01]:[AP06]])-SUM(ERP_27[[#This Row],[AP01 LE2]:[AP06 LE2]])</f>
        <v>0</v>
      </c>
      <c r="AR134" s="653"/>
      <c r="AS134" s="652">
        <f>ERP_27[[#This Row],[2026 Working Total to Budget/LE]]-ERP_27[[#This Row],[Giveback]]</f>
        <v>0</v>
      </c>
      <c r="AT134" s="654"/>
      <c r="AU134" s="655"/>
      <c r="AV134" s="655"/>
      <c r="AW134" s="655"/>
      <c r="AX134" s="655">
        <v>0</v>
      </c>
      <c r="AY134" s="655">
        <v>0</v>
      </c>
      <c r="AZ134" s="655">
        <v>0</v>
      </c>
      <c r="BA134" s="655">
        <v>0</v>
      </c>
      <c r="BB134" s="655">
        <v>0</v>
      </c>
      <c r="BC134" s="655">
        <v>0</v>
      </c>
      <c r="BD134" s="655">
        <v>0</v>
      </c>
      <c r="BE134" s="655">
        <v>0</v>
      </c>
      <c r="BF134" s="655">
        <v>0</v>
      </c>
      <c r="BG134" s="655">
        <v>0</v>
      </c>
      <c r="BH134" s="662">
        <v>-9567</v>
      </c>
      <c r="BI134" s="662">
        <v>0</v>
      </c>
      <c r="BJ134" s="662">
        <v>0</v>
      </c>
      <c r="BK134" s="662">
        <v>0</v>
      </c>
      <c r="BL134" s="662">
        <v>0</v>
      </c>
      <c r="BM134" s="662">
        <v>0</v>
      </c>
      <c r="BN134" s="662">
        <v>0</v>
      </c>
      <c r="BO134" s="662">
        <v>0</v>
      </c>
      <c r="BP134" s="662">
        <v>0</v>
      </c>
      <c r="BQ134" s="662">
        <v>0</v>
      </c>
      <c r="BR134" s="662">
        <v>0</v>
      </c>
      <c r="BS134" s="662">
        <v>0</v>
      </c>
      <c r="BT134" s="652">
        <f>SUM(ERP_27[[#This Row],[2026 AP01]:[2026 AP12]])</f>
        <v>-9567</v>
      </c>
    </row>
    <row r="135" spans="1:72" ht="15" hidden="1" customHeight="1">
      <c r="A135" s="79" t="s">
        <v>2429</v>
      </c>
      <c r="B135" s="79"/>
      <c r="C135" s="79" t="s">
        <v>790</v>
      </c>
      <c r="D135" s="296" t="s">
        <v>2430</v>
      </c>
      <c r="E135" s="150" t="s">
        <v>1136</v>
      </c>
      <c r="F135" s="482" t="s">
        <v>1566</v>
      </c>
      <c r="G135" s="150" t="s">
        <v>1135</v>
      </c>
      <c r="H135" s="382" t="s">
        <v>1161</v>
      </c>
      <c r="I135" s="332" t="s">
        <v>1135</v>
      </c>
      <c r="J135" s="382" t="s">
        <v>1161</v>
      </c>
      <c r="K135" s="333" t="s">
        <v>1137</v>
      </c>
      <c r="L135" s="512" t="s">
        <v>639</v>
      </c>
      <c r="M135" s="394" t="s">
        <v>2431</v>
      </c>
      <c r="N135" s="343" t="s">
        <v>2432</v>
      </c>
      <c r="O135" s="332" t="s">
        <v>1252</v>
      </c>
      <c r="P135" s="122" t="s">
        <v>791</v>
      </c>
      <c r="Q135" s="347"/>
      <c r="R135" s="346" t="s">
        <v>2433</v>
      </c>
      <c r="S135" s="346" t="s">
        <v>1710</v>
      </c>
      <c r="T135" s="384" t="s">
        <v>792</v>
      </c>
      <c r="U135" s="387" t="s">
        <v>2434</v>
      </c>
      <c r="V135" s="660"/>
      <c r="W135" s="358">
        <v>56404</v>
      </c>
      <c r="X135" s="660">
        <v>0</v>
      </c>
      <c r="Y135" s="656"/>
      <c r="Z135" s="657"/>
      <c r="AA135" s="716"/>
      <c r="AB135" s="717"/>
      <c r="AC135" s="717"/>
      <c r="AD135" s="428" t="s">
        <v>1142</v>
      </c>
      <c r="AE135" s="429">
        <v>0</v>
      </c>
      <c r="AF135" s="429">
        <v>0</v>
      </c>
      <c r="AG135" s="661">
        <v>0</v>
      </c>
      <c r="AH135" s="661">
        <v>0</v>
      </c>
      <c r="AI135" s="661">
        <v>0</v>
      </c>
      <c r="AJ135" s="661">
        <v>0</v>
      </c>
      <c r="AK135" s="661">
        <v>0</v>
      </c>
      <c r="AL135" s="661">
        <v>0</v>
      </c>
      <c r="AM135" s="682">
        <f t="shared" si="16"/>
        <v>0</v>
      </c>
      <c r="AN135" s="651">
        <f>ERP_27[[#This Row],[2026 Working Total]]-ERP_27[[#This Row],[LE2 Final Submission]]</f>
        <v>0</v>
      </c>
      <c r="AO135" s="652">
        <v>0</v>
      </c>
      <c r="AP135" s="652">
        <f t="shared" si="14"/>
        <v>0</v>
      </c>
      <c r="AQ135" s="374">
        <f>SUM(ERP_27[[#This Row],[AP01]:[AP06]])-SUM(ERP_27[[#This Row],[AP01 LE2]:[AP06 LE2]])</f>
        <v>0</v>
      </c>
      <c r="AR135" s="653"/>
      <c r="AS135" s="652">
        <f>ERP_27[[#This Row],[2026 Working Total to Budget/LE]]-ERP_27[[#This Row],[Giveback]]</f>
        <v>0</v>
      </c>
      <c r="AT135" s="654"/>
      <c r="AU135" s="655"/>
      <c r="AV135" s="655"/>
      <c r="AW135" s="655"/>
      <c r="AX135" s="655">
        <v>0</v>
      </c>
      <c r="AY135" s="655">
        <v>0</v>
      </c>
      <c r="AZ135" s="655">
        <v>0</v>
      </c>
      <c r="BA135" s="655">
        <v>0</v>
      </c>
      <c r="BB135" s="655">
        <v>0</v>
      </c>
      <c r="BC135" s="655">
        <v>0</v>
      </c>
      <c r="BD135" s="655">
        <v>0</v>
      </c>
      <c r="BE135" s="655">
        <v>0</v>
      </c>
      <c r="BF135" s="655">
        <v>0</v>
      </c>
      <c r="BG135" s="655">
        <v>0</v>
      </c>
      <c r="BH135" s="662">
        <v>56404</v>
      </c>
      <c r="BI135" s="662">
        <v>0</v>
      </c>
      <c r="BJ135" s="662">
        <v>0</v>
      </c>
      <c r="BK135" s="662">
        <v>0</v>
      </c>
      <c r="BL135" s="662">
        <v>0</v>
      </c>
      <c r="BM135" s="662">
        <v>0</v>
      </c>
      <c r="BN135" s="662">
        <v>0</v>
      </c>
      <c r="BO135" s="662">
        <v>0</v>
      </c>
      <c r="BP135" s="662">
        <v>0</v>
      </c>
      <c r="BQ135" s="662">
        <v>0</v>
      </c>
      <c r="BR135" s="662">
        <v>0</v>
      </c>
      <c r="BS135" s="662">
        <v>0</v>
      </c>
      <c r="BT135" s="652">
        <f>SUM(ERP_27[[#This Row],[2026 AP01]:[2026 AP12]])</f>
        <v>56404</v>
      </c>
    </row>
    <row r="136" spans="1:72" ht="15" hidden="1" customHeight="1">
      <c r="A136" s="79" t="s">
        <v>2435</v>
      </c>
      <c r="B136" s="79"/>
      <c r="C136" s="79" t="s">
        <v>793</v>
      </c>
      <c r="D136" s="296" t="s">
        <v>2436</v>
      </c>
      <c r="E136" s="150" t="s">
        <v>1136</v>
      </c>
      <c r="F136" s="482" t="s">
        <v>1566</v>
      </c>
      <c r="G136" s="150" t="s">
        <v>1135</v>
      </c>
      <c r="H136" s="382" t="s">
        <v>1161</v>
      </c>
      <c r="I136" s="332" t="s">
        <v>1135</v>
      </c>
      <c r="J136" s="382" t="s">
        <v>1161</v>
      </c>
      <c r="K136" s="333" t="s">
        <v>1137</v>
      </c>
      <c r="L136" s="512" t="s">
        <v>639</v>
      </c>
      <c r="M136" s="394" t="s">
        <v>2437</v>
      </c>
      <c r="N136" s="343" t="s">
        <v>2432</v>
      </c>
      <c r="O136" s="332" t="s">
        <v>1252</v>
      </c>
      <c r="P136" s="122" t="s">
        <v>794</v>
      </c>
      <c r="Q136" s="347"/>
      <c r="R136" s="346" t="s">
        <v>2433</v>
      </c>
      <c r="S136" s="346" t="s">
        <v>1710</v>
      </c>
      <c r="T136" s="384" t="s">
        <v>792</v>
      </c>
      <c r="U136" s="387" t="s">
        <v>2438</v>
      </c>
      <c r="V136" s="660"/>
      <c r="W136" s="358">
        <v>-56404</v>
      </c>
      <c r="X136" s="660">
        <v>0</v>
      </c>
      <c r="Y136" s="656"/>
      <c r="Z136" s="657"/>
      <c r="AA136" s="716"/>
      <c r="AB136" s="717"/>
      <c r="AC136" s="717"/>
      <c r="AD136" s="428" t="s">
        <v>1142</v>
      </c>
      <c r="AE136" s="429">
        <v>0</v>
      </c>
      <c r="AF136" s="429">
        <v>0</v>
      </c>
      <c r="AG136" s="661">
        <v>0</v>
      </c>
      <c r="AH136" s="661">
        <v>0</v>
      </c>
      <c r="AI136" s="661">
        <v>0</v>
      </c>
      <c r="AJ136" s="661">
        <v>0</v>
      </c>
      <c r="AK136" s="661">
        <v>0</v>
      </c>
      <c r="AL136" s="661">
        <v>0</v>
      </c>
      <c r="AM136" s="682">
        <f t="shared" si="16"/>
        <v>0</v>
      </c>
      <c r="AN136" s="651">
        <f>ERP_27[[#This Row],[2026 Working Total]]-ERP_27[[#This Row],[LE2 Final Submission]]</f>
        <v>0</v>
      </c>
      <c r="AO136" s="652">
        <v>0</v>
      </c>
      <c r="AP136" s="652">
        <f t="shared" ref="AP136:AP199" si="17">$AF136 - $AO136</f>
        <v>0</v>
      </c>
      <c r="AQ136" s="374">
        <f>SUM(ERP_27[[#This Row],[AP01]:[AP06]])-SUM(ERP_27[[#This Row],[AP01 LE2]:[AP06 LE2]])</f>
        <v>0</v>
      </c>
      <c r="AR136" s="653"/>
      <c r="AS136" s="652">
        <f>ERP_27[[#This Row],[2026 Working Total to Budget/LE]]-ERP_27[[#This Row],[Giveback]]</f>
        <v>0</v>
      </c>
      <c r="AT136" s="654"/>
      <c r="AU136" s="655"/>
      <c r="AV136" s="655"/>
      <c r="AW136" s="655"/>
      <c r="AX136" s="655">
        <v>0</v>
      </c>
      <c r="AY136" s="655">
        <v>0</v>
      </c>
      <c r="AZ136" s="655">
        <v>0</v>
      </c>
      <c r="BA136" s="655">
        <v>0</v>
      </c>
      <c r="BB136" s="655">
        <v>0</v>
      </c>
      <c r="BC136" s="655">
        <v>0</v>
      </c>
      <c r="BD136" s="655">
        <v>0</v>
      </c>
      <c r="BE136" s="655">
        <v>0</v>
      </c>
      <c r="BF136" s="655">
        <v>0</v>
      </c>
      <c r="BG136" s="655">
        <v>0</v>
      </c>
      <c r="BH136" s="662">
        <v>-56404</v>
      </c>
      <c r="BI136" s="662">
        <v>0</v>
      </c>
      <c r="BJ136" s="662">
        <v>0</v>
      </c>
      <c r="BK136" s="662">
        <v>0</v>
      </c>
      <c r="BL136" s="662">
        <v>0</v>
      </c>
      <c r="BM136" s="662">
        <v>0</v>
      </c>
      <c r="BN136" s="662">
        <v>0</v>
      </c>
      <c r="BO136" s="662">
        <v>0</v>
      </c>
      <c r="BP136" s="662">
        <v>0</v>
      </c>
      <c r="BQ136" s="662">
        <v>0</v>
      </c>
      <c r="BR136" s="662">
        <v>0</v>
      </c>
      <c r="BS136" s="662">
        <v>0</v>
      </c>
      <c r="BT136" s="652">
        <f>SUM(ERP_27[[#This Row],[2026 AP01]:[2026 AP12]])</f>
        <v>-56404</v>
      </c>
    </row>
    <row r="137" spans="1:72" ht="15" hidden="1" customHeight="1">
      <c r="A137" s="79" t="s">
        <v>2445</v>
      </c>
      <c r="B137" s="79"/>
      <c r="C137" s="79" t="s">
        <v>799</v>
      </c>
      <c r="D137" s="296" t="s">
        <v>2446</v>
      </c>
      <c r="E137" s="150" t="s">
        <v>1136</v>
      </c>
      <c r="F137" s="482" t="s">
        <v>1566</v>
      </c>
      <c r="G137" s="150" t="s">
        <v>1135</v>
      </c>
      <c r="H137" s="383" t="s">
        <v>1156</v>
      </c>
      <c r="I137" s="332" t="s">
        <v>1135</v>
      </c>
      <c r="J137" s="383" t="s">
        <v>1156</v>
      </c>
      <c r="K137" s="333" t="s">
        <v>1137</v>
      </c>
      <c r="L137" s="512" t="s">
        <v>639</v>
      </c>
      <c r="M137" s="393" t="s">
        <v>2447</v>
      </c>
      <c r="N137" s="343" t="s">
        <v>1251</v>
      </c>
      <c r="O137" s="332" t="s">
        <v>1252</v>
      </c>
      <c r="P137" s="91" t="s">
        <v>800</v>
      </c>
      <c r="Q137" s="347"/>
      <c r="R137" s="346" t="s">
        <v>2448</v>
      </c>
      <c r="S137" s="348" t="s">
        <v>1710</v>
      </c>
      <c r="T137" s="386" t="s">
        <v>801</v>
      </c>
      <c r="U137" s="346" t="s">
        <v>2453</v>
      </c>
      <c r="V137" s="668"/>
      <c r="W137" s="358">
        <v>120000</v>
      </c>
      <c r="X137" s="660">
        <v>0</v>
      </c>
      <c r="Y137" s="656"/>
      <c r="Z137" s="657"/>
      <c r="AA137" s="716"/>
      <c r="AB137" s="717"/>
      <c r="AC137" s="717"/>
      <c r="AD137" s="428" t="s">
        <v>1142</v>
      </c>
      <c r="AE137" s="429">
        <v>0</v>
      </c>
      <c r="AF137" s="429">
        <v>0</v>
      </c>
      <c r="AG137" s="661">
        <v>0</v>
      </c>
      <c r="AH137" s="661">
        <v>0</v>
      </c>
      <c r="AI137" s="661">
        <v>0</v>
      </c>
      <c r="AJ137" s="661">
        <v>0</v>
      </c>
      <c r="AK137" s="661">
        <v>0</v>
      </c>
      <c r="AL137" s="661">
        <v>0</v>
      </c>
      <c r="AM137" s="682">
        <f t="shared" si="16"/>
        <v>0</v>
      </c>
      <c r="AN137" s="651">
        <f>ERP_27[[#This Row],[2026 Working Total]]-ERP_27[[#This Row],[LE2 Final Submission]]</f>
        <v>0</v>
      </c>
      <c r="AO137" s="652">
        <v>0</v>
      </c>
      <c r="AP137" s="652">
        <f t="shared" si="17"/>
        <v>0</v>
      </c>
      <c r="AQ137" s="374">
        <f>SUM(ERP_27[[#This Row],[AP01]:[AP06]])-SUM(ERP_27[[#This Row],[AP01 LE2]:[AP06 LE2]])</f>
        <v>0</v>
      </c>
      <c r="AR137" s="653"/>
      <c r="AS137" s="652">
        <f>ERP_27[[#This Row],[2026 Working Total to Budget/LE]]-ERP_27[[#This Row],[Giveback]]</f>
        <v>0</v>
      </c>
      <c r="AT137" s="654"/>
      <c r="AU137" s="655"/>
      <c r="AV137" s="655"/>
      <c r="AW137" s="655"/>
      <c r="AX137" s="655">
        <v>0</v>
      </c>
      <c r="AY137" s="655">
        <v>0</v>
      </c>
      <c r="AZ137" s="655">
        <v>0</v>
      </c>
      <c r="BA137" s="655">
        <v>0</v>
      </c>
      <c r="BB137" s="655">
        <v>0</v>
      </c>
      <c r="BC137" s="655">
        <v>0</v>
      </c>
      <c r="BD137" s="655">
        <v>0</v>
      </c>
      <c r="BE137" s="655">
        <v>0</v>
      </c>
      <c r="BF137" s="655">
        <v>0</v>
      </c>
      <c r="BG137" s="655">
        <v>0</v>
      </c>
      <c r="BH137" s="662">
        <v>120000</v>
      </c>
      <c r="BI137" s="662">
        <v>0</v>
      </c>
      <c r="BJ137" s="662">
        <v>0</v>
      </c>
      <c r="BK137" s="662">
        <v>0</v>
      </c>
      <c r="BL137" s="662">
        <v>0</v>
      </c>
      <c r="BM137" s="662">
        <v>0</v>
      </c>
      <c r="BN137" s="662">
        <v>0</v>
      </c>
      <c r="BO137" s="662">
        <v>0</v>
      </c>
      <c r="BP137" s="662">
        <v>0</v>
      </c>
      <c r="BQ137" s="662">
        <v>0</v>
      </c>
      <c r="BR137" s="662">
        <v>0</v>
      </c>
      <c r="BS137" s="662">
        <v>0</v>
      </c>
      <c r="BT137" s="652">
        <f>SUM(ERP_27[[#This Row],[2026 AP01]:[2026 AP12]])</f>
        <v>120000</v>
      </c>
    </row>
    <row r="138" spans="1:72" ht="15" hidden="1" customHeight="1">
      <c r="A138" s="79" t="s">
        <v>2450</v>
      </c>
      <c r="B138" s="79"/>
      <c r="C138" s="79" t="s">
        <v>802</v>
      </c>
      <c r="D138" s="296" t="s">
        <v>2451</v>
      </c>
      <c r="E138" s="150" t="s">
        <v>1136</v>
      </c>
      <c r="F138" s="482" t="s">
        <v>1566</v>
      </c>
      <c r="G138" s="150" t="s">
        <v>1135</v>
      </c>
      <c r="H138" s="383" t="s">
        <v>1156</v>
      </c>
      <c r="I138" s="332" t="s">
        <v>1135</v>
      </c>
      <c r="J138" s="383" t="s">
        <v>1156</v>
      </c>
      <c r="K138" s="333" t="s">
        <v>1137</v>
      </c>
      <c r="L138" s="512" t="s">
        <v>639</v>
      </c>
      <c r="M138" s="393" t="s">
        <v>2452</v>
      </c>
      <c r="N138" s="343" t="s">
        <v>1251</v>
      </c>
      <c r="O138" s="332" t="s">
        <v>1252</v>
      </c>
      <c r="P138" s="91" t="s">
        <v>803</v>
      </c>
      <c r="Q138" s="347"/>
      <c r="R138" s="346" t="s">
        <v>2448</v>
      </c>
      <c r="S138" s="348" t="s">
        <v>1710</v>
      </c>
      <c r="T138" s="386" t="s">
        <v>801</v>
      </c>
      <c r="U138" s="346" t="s">
        <v>2453</v>
      </c>
      <c r="V138" s="668"/>
      <c r="W138" s="358">
        <v>-120000</v>
      </c>
      <c r="X138" s="660">
        <v>0</v>
      </c>
      <c r="Y138" s="656"/>
      <c r="Z138" s="657"/>
      <c r="AA138" s="716"/>
      <c r="AB138" s="717"/>
      <c r="AC138" s="717"/>
      <c r="AD138" s="428" t="s">
        <v>1142</v>
      </c>
      <c r="AE138" s="429">
        <v>0</v>
      </c>
      <c r="AF138" s="429">
        <v>0</v>
      </c>
      <c r="AG138" s="661">
        <v>0</v>
      </c>
      <c r="AH138" s="661">
        <v>0</v>
      </c>
      <c r="AI138" s="661">
        <v>0</v>
      </c>
      <c r="AJ138" s="661">
        <v>0</v>
      </c>
      <c r="AK138" s="661">
        <v>0</v>
      </c>
      <c r="AL138" s="661">
        <v>0</v>
      </c>
      <c r="AM138" s="682">
        <f t="shared" si="16"/>
        <v>0</v>
      </c>
      <c r="AN138" s="651">
        <f>ERP_27[[#This Row],[2026 Working Total]]-ERP_27[[#This Row],[LE2 Final Submission]]</f>
        <v>0</v>
      </c>
      <c r="AO138" s="652">
        <v>0</v>
      </c>
      <c r="AP138" s="652">
        <f t="shared" si="17"/>
        <v>0</v>
      </c>
      <c r="AQ138" s="374">
        <f>SUM(ERP_27[[#This Row],[AP01]:[AP06]])-SUM(ERP_27[[#This Row],[AP01 LE2]:[AP06 LE2]])</f>
        <v>0</v>
      </c>
      <c r="AR138" s="653"/>
      <c r="AS138" s="652">
        <f>ERP_27[[#This Row],[2026 Working Total to Budget/LE]]-ERP_27[[#This Row],[Giveback]]</f>
        <v>0</v>
      </c>
      <c r="AT138" s="654"/>
      <c r="AU138" s="655"/>
      <c r="AV138" s="655"/>
      <c r="AW138" s="655"/>
      <c r="AX138" s="655">
        <v>0</v>
      </c>
      <c r="AY138" s="655">
        <v>0</v>
      </c>
      <c r="AZ138" s="655">
        <v>0</v>
      </c>
      <c r="BA138" s="655">
        <v>0</v>
      </c>
      <c r="BB138" s="655">
        <v>0</v>
      </c>
      <c r="BC138" s="655">
        <v>0</v>
      </c>
      <c r="BD138" s="655">
        <v>0</v>
      </c>
      <c r="BE138" s="655">
        <v>0</v>
      </c>
      <c r="BF138" s="655">
        <v>0</v>
      </c>
      <c r="BG138" s="655">
        <v>0</v>
      </c>
      <c r="BH138" s="662">
        <v>-120000</v>
      </c>
      <c r="BI138" s="662">
        <v>0</v>
      </c>
      <c r="BJ138" s="662">
        <v>0</v>
      </c>
      <c r="BK138" s="662">
        <v>0</v>
      </c>
      <c r="BL138" s="662">
        <v>0</v>
      </c>
      <c r="BM138" s="662">
        <v>0</v>
      </c>
      <c r="BN138" s="662">
        <v>0</v>
      </c>
      <c r="BO138" s="662">
        <v>0</v>
      </c>
      <c r="BP138" s="662">
        <v>0</v>
      </c>
      <c r="BQ138" s="662">
        <v>0</v>
      </c>
      <c r="BR138" s="662">
        <v>0</v>
      </c>
      <c r="BS138" s="662">
        <v>0</v>
      </c>
      <c r="BT138" s="652">
        <f>SUM(ERP_27[[#This Row],[2026 AP01]:[2026 AP12]])</f>
        <v>-120000</v>
      </c>
    </row>
    <row r="139" spans="1:72" ht="15" hidden="1" customHeight="1">
      <c r="A139" s="79" t="s">
        <v>2454</v>
      </c>
      <c r="B139" s="79"/>
      <c r="C139" s="79" t="s">
        <v>804</v>
      </c>
      <c r="D139" s="296" t="s">
        <v>2455</v>
      </c>
      <c r="E139" s="150" t="s">
        <v>1136</v>
      </c>
      <c r="F139" s="482" t="s">
        <v>1566</v>
      </c>
      <c r="G139" s="150" t="s">
        <v>1135</v>
      </c>
      <c r="H139" s="383" t="s">
        <v>1145</v>
      </c>
      <c r="I139" s="332" t="s">
        <v>1135</v>
      </c>
      <c r="J139" s="383" t="s">
        <v>1145</v>
      </c>
      <c r="K139" s="331" t="s">
        <v>1137</v>
      </c>
      <c r="L139" s="512" t="s">
        <v>639</v>
      </c>
      <c r="M139" s="393" t="s">
        <v>2456</v>
      </c>
      <c r="N139" s="343" t="s">
        <v>2457</v>
      </c>
      <c r="O139" s="150" t="s">
        <v>1186</v>
      </c>
      <c r="P139" s="91" t="s">
        <v>805</v>
      </c>
      <c r="Q139" s="343"/>
      <c r="R139" s="346" t="s">
        <v>2458</v>
      </c>
      <c r="S139" s="346" t="s">
        <v>1710</v>
      </c>
      <c r="T139" s="386" t="s">
        <v>806</v>
      </c>
      <c r="U139" s="346" t="s">
        <v>1348</v>
      </c>
      <c r="V139" s="660"/>
      <c r="W139" s="358">
        <v>99064.42</v>
      </c>
      <c r="X139" s="660">
        <v>0</v>
      </c>
      <c r="Y139" s="656"/>
      <c r="Z139" s="657"/>
      <c r="AA139" s="716"/>
      <c r="AB139" s="717"/>
      <c r="AC139" s="717"/>
      <c r="AD139" s="428" t="s">
        <v>1142</v>
      </c>
      <c r="AE139" s="429">
        <v>0</v>
      </c>
      <c r="AF139" s="429">
        <v>0</v>
      </c>
      <c r="AG139" s="661">
        <v>0</v>
      </c>
      <c r="AH139" s="661">
        <v>0</v>
      </c>
      <c r="AI139" s="661">
        <v>0</v>
      </c>
      <c r="AJ139" s="661">
        <v>0</v>
      </c>
      <c r="AK139" s="661">
        <v>0</v>
      </c>
      <c r="AL139" s="661">
        <v>0</v>
      </c>
      <c r="AM139" s="682">
        <f t="shared" si="16"/>
        <v>0</v>
      </c>
      <c r="AN139" s="651">
        <f>ERP_27[[#This Row],[2026 Working Total]]-ERP_27[[#This Row],[LE2 Final Submission]]</f>
        <v>0</v>
      </c>
      <c r="AO139" s="652">
        <v>0</v>
      </c>
      <c r="AP139" s="652">
        <f t="shared" si="17"/>
        <v>0</v>
      </c>
      <c r="AQ139" s="374">
        <f>SUM(ERP_27[[#This Row],[AP01]:[AP06]])-SUM(ERP_27[[#This Row],[AP01 LE2]:[AP06 LE2]])</f>
        <v>0</v>
      </c>
      <c r="AR139" s="653"/>
      <c r="AS139" s="652">
        <f>ERP_27[[#This Row],[2026 Working Total to Budget/LE]]-ERP_27[[#This Row],[Giveback]]</f>
        <v>0</v>
      </c>
      <c r="AT139" s="654"/>
      <c r="AU139" s="655"/>
      <c r="AV139" s="655"/>
      <c r="AW139" s="655"/>
      <c r="AX139" s="655">
        <v>0</v>
      </c>
      <c r="AY139" s="655">
        <v>0</v>
      </c>
      <c r="AZ139" s="655">
        <v>0</v>
      </c>
      <c r="BA139" s="655">
        <v>0</v>
      </c>
      <c r="BB139" s="655">
        <v>0</v>
      </c>
      <c r="BC139" s="655">
        <v>0</v>
      </c>
      <c r="BD139" s="655">
        <v>0</v>
      </c>
      <c r="BE139" s="655">
        <v>0</v>
      </c>
      <c r="BF139" s="655">
        <v>0</v>
      </c>
      <c r="BG139" s="655">
        <v>0</v>
      </c>
      <c r="BH139" s="662">
        <v>99064.42</v>
      </c>
      <c r="BI139" s="662">
        <v>0</v>
      </c>
      <c r="BJ139" s="662">
        <v>0</v>
      </c>
      <c r="BK139" s="662">
        <v>0</v>
      </c>
      <c r="BL139" s="662">
        <v>0</v>
      </c>
      <c r="BM139" s="662">
        <v>0</v>
      </c>
      <c r="BN139" s="662">
        <v>0</v>
      </c>
      <c r="BO139" s="662">
        <v>0</v>
      </c>
      <c r="BP139" s="662">
        <v>0</v>
      </c>
      <c r="BQ139" s="662">
        <v>0</v>
      </c>
      <c r="BR139" s="662">
        <v>0</v>
      </c>
      <c r="BS139" s="662">
        <v>0</v>
      </c>
      <c r="BT139" s="652">
        <f>SUM(ERP_27[[#This Row],[2026 AP01]:[2026 AP12]])</f>
        <v>99064.42</v>
      </c>
    </row>
    <row r="140" spans="1:72" ht="15" hidden="1" customHeight="1">
      <c r="A140" s="79" t="s">
        <v>2459</v>
      </c>
      <c r="B140" s="79"/>
      <c r="C140" s="79" t="s">
        <v>807</v>
      </c>
      <c r="D140" s="296" t="s">
        <v>2460</v>
      </c>
      <c r="E140" s="150" t="s">
        <v>1136</v>
      </c>
      <c r="F140" s="482" t="s">
        <v>1566</v>
      </c>
      <c r="G140" s="150" t="s">
        <v>1135</v>
      </c>
      <c r="H140" s="383" t="s">
        <v>1145</v>
      </c>
      <c r="I140" s="332" t="s">
        <v>1135</v>
      </c>
      <c r="J140" s="383" t="s">
        <v>1145</v>
      </c>
      <c r="K140" s="331" t="s">
        <v>1137</v>
      </c>
      <c r="L140" s="512" t="s">
        <v>639</v>
      </c>
      <c r="M140" s="393" t="s">
        <v>2461</v>
      </c>
      <c r="N140" s="343" t="s">
        <v>2457</v>
      </c>
      <c r="O140" s="150" t="s">
        <v>1186</v>
      </c>
      <c r="P140" s="91" t="s">
        <v>808</v>
      </c>
      <c r="Q140" s="343"/>
      <c r="R140" s="346" t="s">
        <v>2458</v>
      </c>
      <c r="S140" s="346" t="s">
        <v>1710</v>
      </c>
      <c r="T140" s="386" t="s">
        <v>806</v>
      </c>
      <c r="U140" s="346" t="s">
        <v>1348</v>
      </c>
      <c r="V140" s="660"/>
      <c r="W140" s="358">
        <v>-99064.42</v>
      </c>
      <c r="X140" s="660">
        <v>0</v>
      </c>
      <c r="Y140" s="656"/>
      <c r="Z140" s="657"/>
      <c r="AA140" s="716"/>
      <c r="AB140" s="717"/>
      <c r="AC140" s="717"/>
      <c r="AD140" s="428" t="s">
        <v>1142</v>
      </c>
      <c r="AE140" s="429">
        <v>0</v>
      </c>
      <c r="AF140" s="429">
        <v>0</v>
      </c>
      <c r="AG140" s="661">
        <v>0</v>
      </c>
      <c r="AH140" s="661">
        <v>0</v>
      </c>
      <c r="AI140" s="661">
        <v>0</v>
      </c>
      <c r="AJ140" s="661">
        <v>0</v>
      </c>
      <c r="AK140" s="661">
        <v>0</v>
      </c>
      <c r="AL140" s="661">
        <v>0</v>
      </c>
      <c r="AM140" s="682">
        <f t="shared" si="16"/>
        <v>0</v>
      </c>
      <c r="AN140" s="651">
        <f>ERP_27[[#This Row],[2026 Working Total]]-ERP_27[[#This Row],[LE2 Final Submission]]</f>
        <v>0</v>
      </c>
      <c r="AO140" s="652">
        <v>0</v>
      </c>
      <c r="AP140" s="652">
        <f t="shared" si="17"/>
        <v>0</v>
      </c>
      <c r="AQ140" s="374">
        <f>SUM(ERP_27[[#This Row],[AP01]:[AP06]])-SUM(ERP_27[[#This Row],[AP01 LE2]:[AP06 LE2]])</f>
        <v>0</v>
      </c>
      <c r="AR140" s="653"/>
      <c r="AS140" s="652">
        <f>ERP_27[[#This Row],[2026 Working Total to Budget/LE]]-ERP_27[[#This Row],[Giveback]]</f>
        <v>0</v>
      </c>
      <c r="AT140" s="654"/>
      <c r="AU140" s="655"/>
      <c r="AV140" s="655"/>
      <c r="AW140" s="655"/>
      <c r="AX140" s="655">
        <v>0</v>
      </c>
      <c r="AY140" s="655">
        <v>0</v>
      </c>
      <c r="AZ140" s="655">
        <v>0</v>
      </c>
      <c r="BA140" s="655">
        <v>0</v>
      </c>
      <c r="BB140" s="655">
        <v>0</v>
      </c>
      <c r="BC140" s="655">
        <v>0</v>
      </c>
      <c r="BD140" s="655">
        <v>0</v>
      </c>
      <c r="BE140" s="655">
        <v>0</v>
      </c>
      <c r="BF140" s="655">
        <v>0</v>
      </c>
      <c r="BG140" s="655">
        <v>0</v>
      </c>
      <c r="BH140" s="662">
        <v>-99064.42</v>
      </c>
      <c r="BI140" s="662">
        <v>0</v>
      </c>
      <c r="BJ140" s="662">
        <v>0</v>
      </c>
      <c r="BK140" s="662">
        <v>0</v>
      </c>
      <c r="BL140" s="662">
        <v>0</v>
      </c>
      <c r="BM140" s="662">
        <v>0</v>
      </c>
      <c r="BN140" s="662">
        <v>0</v>
      </c>
      <c r="BO140" s="662">
        <v>0</v>
      </c>
      <c r="BP140" s="662">
        <v>0</v>
      </c>
      <c r="BQ140" s="662">
        <v>0</v>
      </c>
      <c r="BR140" s="662">
        <v>0</v>
      </c>
      <c r="BS140" s="662">
        <v>0</v>
      </c>
      <c r="BT140" s="652">
        <f>SUM(ERP_27[[#This Row],[2026 AP01]:[2026 AP12]])</f>
        <v>-99064.42</v>
      </c>
    </row>
    <row r="141" spans="1:72" ht="15" hidden="1" customHeight="1">
      <c r="A141" s="79" t="s">
        <v>2488</v>
      </c>
      <c r="B141" s="79"/>
      <c r="C141" s="79" t="s">
        <v>824</v>
      </c>
      <c r="D141" s="296" t="s">
        <v>824</v>
      </c>
      <c r="E141" s="150" t="s">
        <v>1136</v>
      </c>
      <c r="F141" s="482" t="s">
        <v>1566</v>
      </c>
      <c r="G141" s="150" t="s">
        <v>1135</v>
      </c>
      <c r="H141" s="150" t="s">
        <v>1135</v>
      </c>
      <c r="I141" s="332" t="s">
        <v>1135</v>
      </c>
      <c r="J141" s="383" t="s">
        <v>1135</v>
      </c>
      <c r="K141" s="331" t="s">
        <v>1137</v>
      </c>
      <c r="L141" s="512" t="s">
        <v>639</v>
      </c>
      <c r="M141" s="393" t="s">
        <v>2489</v>
      </c>
      <c r="N141" s="343" t="s">
        <v>2484</v>
      </c>
      <c r="O141" s="150" t="s">
        <v>1171</v>
      </c>
      <c r="P141" s="91" t="s">
        <v>825</v>
      </c>
      <c r="Q141" s="343"/>
      <c r="R141" s="346" t="s">
        <v>2490</v>
      </c>
      <c r="S141" s="346" t="s">
        <v>1710</v>
      </c>
      <c r="T141" s="386" t="s">
        <v>826</v>
      </c>
      <c r="U141" s="346" t="s">
        <v>1348</v>
      </c>
      <c r="V141" s="660"/>
      <c r="W141" s="358">
        <v>44842</v>
      </c>
      <c r="X141" s="660">
        <v>0</v>
      </c>
      <c r="Y141" s="656"/>
      <c r="Z141" s="657"/>
      <c r="AA141" s="716"/>
      <c r="AB141" s="717"/>
      <c r="AC141" s="717"/>
      <c r="AD141" s="428">
        <v>0</v>
      </c>
      <c r="AE141" s="429">
        <v>0</v>
      </c>
      <c r="AF141" s="429">
        <v>0</v>
      </c>
      <c r="AG141" s="661">
        <v>0</v>
      </c>
      <c r="AH141" s="661">
        <v>0</v>
      </c>
      <c r="AI141" s="661">
        <v>0</v>
      </c>
      <c r="AJ141" s="661">
        <v>0</v>
      </c>
      <c r="AK141" s="661">
        <v>0</v>
      </c>
      <c r="AL141" s="661">
        <v>0</v>
      </c>
      <c r="AM141" s="682">
        <f t="shared" si="16"/>
        <v>0</v>
      </c>
      <c r="AN141" s="651">
        <f>ERP_27[[#This Row],[2026 Working Total]]-ERP_27[[#This Row],[LE2 Final Submission]]</f>
        <v>0</v>
      </c>
      <c r="AO141" s="652">
        <v>0</v>
      </c>
      <c r="AP141" s="652">
        <f t="shared" si="17"/>
        <v>0</v>
      </c>
      <c r="AQ141" s="374">
        <f>SUM(ERP_27[[#This Row],[AP01]:[AP06]])-SUM(ERP_27[[#This Row],[AP01 LE2]:[AP06 LE2]])</f>
        <v>0</v>
      </c>
      <c r="AR141" s="653"/>
      <c r="AS141" s="652">
        <f>ERP_27[[#This Row],[2026 Working Total to Budget/LE]]-ERP_27[[#This Row],[Giveback]]</f>
        <v>0</v>
      </c>
      <c r="AT141" s="654"/>
      <c r="AU141" s="655"/>
      <c r="AV141" s="655"/>
      <c r="AW141" s="655"/>
      <c r="AX141" s="655">
        <v>0</v>
      </c>
      <c r="AY141" s="655">
        <v>0</v>
      </c>
      <c r="AZ141" s="655">
        <v>0</v>
      </c>
      <c r="BA141" s="655">
        <v>0</v>
      </c>
      <c r="BB141" s="655">
        <v>0</v>
      </c>
      <c r="BC141" s="655">
        <v>0</v>
      </c>
      <c r="BD141" s="655">
        <v>0</v>
      </c>
      <c r="BE141" s="655">
        <v>0</v>
      </c>
      <c r="BF141" s="655">
        <v>0</v>
      </c>
      <c r="BG141" s="655">
        <v>0</v>
      </c>
      <c r="BH141" s="662">
        <v>44842</v>
      </c>
      <c r="BI141" s="662">
        <v>0</v>
      </c>
      <c r="BJ141" s="662">
        <v>0</v>
      </c>
      <c r="BK141" s="662">
        <v>0</v>
      </c>
      <c r="BL141" s="662">
        <v>0</v>
      </c>
      <c r="BM141" s="662">
        <v>0</v>
      </c>
      <c r="BN141" s="662">
        <v>0</v>
      </c>
      <c r="BO141" s="662">
        <v>0</v>
      </c>
      <c r="BP141" s="662">
        <v>0</v>
      </c>
      <c r="BQ141" s="662">
        <v>0</v>
      </c>
      <c r="BR141" s="662">
        <v>0</v>
      </c>
      <c r="BS141" s="662">
        <v>0</v>
      </c>
      <c r="BT141" s="652">
        <f>SUM(ERP_27[[#This Row],[2026 AP01]:[2026 AP12]])</f>
        <v>44842</v>
      </c>
    </row>
    <row r="142" spans="1:72" ht="15" hidden="1" customHeight="1">
      <c r="A142" s="79" t="s">
        <v>2491</v>
      </c>
      <c r="B142" s="79"/>
      <c r="C142" s="79" t="s">
        <v>827</v>
      </c>
      <c r="D142" s="296" t="s">
        <v>827</v>
      </c>
      <c r="E142" s="150" t="s">
        <v>1136</v>
      </c>
      <c r="F142" s="482" t="s">
        <v>1566</v>
      </c>
      <c r="G142" s="150" t="s">
        <v>1135</v>
      </c>
      <c r="H142" s="150" t="s">
        <v>1135</v>
      </c>
      <c r="I142" s="332" t="s">
        <v>1135</v>
      </c>
      <c r="J142" s="383" t="s">
        <v>1135</v>
      </c>
      <c r="K142" s="331" t="s">
        <v>1137</v>
      </c>
      <c r="L142" s="512" t="s">
        <v>639</v>
      </c>
      <c r="M142" s="393" t="s">
        <v>2492</v>
      </c>
      <c r="N142" s="343" t="s">
        <v>2484</v>
      </c>
      <c r="O142" s="150" t="s">
        <v>1171</v>
      </c>
      <c r="P142" s="91" t="s">
        <v>828</v>
      </c>
      <c r="Q142" s="343"/>
      <c r="R142" s="346" t="s">
        <v>2490</v>
      </c>
      <c r="S142" s="346" t="s">
        <v>1710</v>
      </c>
      <c r="T142" s="386" t="s">
        <v>826</v>
      </c>
      <c r="U142" s="346" t="s">
        <v>1348</v>
      </c>
      <c r="V142" s="660"/>
      <c r="W142" s="358">
        <v>-44842</v>
      </c>
      <c r="X142" s="660">
        <v>0</v>
      </c>
      <c r="Y142" s="656"/>
      <c r="Z142" s="657"/>
      <c r="AA142" s="716"/>
      <c r="AB142" s="717"/>
      <c r="AC142" s="717"/>
      <c r="AD142" s="428" t="s">
        <v>1142</v>
      </c>
      <c r="AE142" s="429">
        <v>0</v>
      </c>
      <c r="AF142" s="429">
        <v>0</v>
      </c>
      <c r="AG142" s="661">
        <v>0</v>
      </c>
      <c r="AH142" s="661">
        <v>0</v>
      </c>
      <c r="AI142" s="661">
        <v>0</v>
      </c>
      <c r="AJ142" s="661">
        <v>0</v>
      </c>
      <c r="AK142" s="661">
        <v>0</v>
      </c>
      <c r="AL142" s="661">
        <v>0</v>
      </c>
      <c r="AM142" s="682">
        <f t="shared" si="16"/>
        <v>0</v>
      </c>
      <c r="AN142" s="651">
        <f>ERP_27[[#This Row],[2026 Working Total]]-ERP_27[[#This Row],[LE2 Final Submission]]</f>
        <v>0</v>
      </c>
      <c r="AO142" s="652">
        <v>0</v>
      </c>
      <c r="AP142" s="652">
        <f t="shared" si="17"/>
        <v>0</v>
      </c>
      <c r="AQ142" s="374">
        <f>SUM(ERP_27[[#This Row],[AP01]:[AP06]])-SUM(ERP_27[[#This Row],[AP01 LE2]:[AP06 LE2]])</f>
        <v>0</v>
      </c>
      <c r="AR142" s="653"/>
      <c r="AS142" s="652">
        <f>ERP_27[[#This Row],[2026 Working Total to Budget/LE]]-ERP_27[[#This Row],[Giveback]]</f>
        <v>0</v>
      </c>
      <c r="AT142" s="654"/>
      <c r="AU142" s="655"/>
      <c r="AV142" s="655"/>
      <c r="AW142" s="655"/>
      <c r="AX142" s="655">
        <v>0</v>
      </c>
      <c r="AY142" s="655">
        <v>0</v>
      </c>
      <c r="AZ142" s="655">
        <v>0</v>
      </c>
      <c r="BA142" s="655">
        <v>0</v>
      </c>
      <c r="BB142" s="655">
        <v>0</v>
      </c>
      <c r="BC142" s="655">
        <v>0</v>
      </c>
      <c r="BD142" s="655">
        <v>0</v>
      </c>
      <c r="BE142" s="655">
        <v>0</v>
      </c>
      <c r="BF142" s="655">
        <v>0</v>
      </c>
      <c r="BG142" s="655">
        <v>0</v>
      </c>
      <c r="BH142" s="662">
        <v>-44842</v>
      </c>
      <c r="BI142" s="662">
        <v>0</v>
      </c>
      <c r="BJ142" s="662">
        <v>0</v>
      </c>
      <c r="BK142" s="662">
        <v>0</v>
      </c>
      <c r="BL142" s="662">
        <v>0</v>
      </c>
      <c r="BM142" s="662">
        <v>0</v>
      </c>
      <c r="BN142" s="662">
        <v>0</v>
      </c>
      <c r="BO142" s="662">
        <v>0</v>
      </c>
      <c r="BP142" s="662">
        <v>0</v>
      </c>
      <c r="BQ142" s="662">
        <v>0</v>
      </c>
      <c r="BR142" s="662">
        <v>0</v>
      </c>
      <c r="BS142" s="662">
        <v>0</v>
      </c>
      <c r="BT142" s="652">
        <f>SUM(ERP_27[[#This Row],[2026 AP01]:[2026 AP12]])</f>
        <v>-44842</v>
      </c>
    </row>
    <row r="143" spans="1:72" ht="15" hidden="1" customHeight="1">
      <c r="A143" s="79" t="s">
        <v>2493</v>
      </c>
      <c r="B143" s="79"/>
      <c r="C143" s="79" t="s">
        <v>829</v>
      </c>
      <c r="D143" s="296" t="s">
        <v>829</v>
      </c>
      <c r="E143" s="150" t="s">
        <v>1136</v>
      </c>
      <c r="F143" s="482" t="s">
        <v>1566</v>
      </c>
      <c r="G143" s="150" t="s">
        <v>1135</v>
      </c>
      <c r="H143" s="150" t="s">
        <v>1135</v>
      </c>
      <c r="I143" s="332" t="s">
        <v>1135</v>
      </c>
      <c r="J143" s="383" t="s">
        <v>1135</v>
      </c>
      <c r="K143" s="331" t="s">
        <v>1137</v>
      </c>
      <c r="L143" s="512" t="s">
        <v>639</v>
      </c>
      <c r="M143" s="393" t="s">
        <v>2494</v>
      </c>
      <c r="N143" s="343" t="s">
        <v>2484</v>
      </c>
      <c r="O143" s="150" t="s">
        <v>1171</v>
      </c>
      <c r="P143" s="91" t="s">
        <v>830</v>
      </c>
      <c r="Q143" s="343"/>
      <c r="R143" s="346" t="s">
        <v>2495</v>
      </c>
      <c r="S143" s="346" t="s">
        <v>1710</v>
      </c>
      <c r="T143" s="386" t="s">
        <v>826</v>
      </c>
      <c r="U143" s="346" t="s">
        <v>2496</v>
      </c>
      <c r="V143" s="660"/>
      <c r="W143" s="358">
        <v>664963</v>
      </c>
      <c r="X143" s="660">
        <v>0</v>
      </c>
      <c r="Y143" s="656"/>
      <c r="Z143" s="657"/>
      <c r="AA143" s="716"/>
      <c r="AB143" s="717"/>
      <c r="AC143" s="717"/>
      <c r="AD143" s="428" t="s">
        <v>1142</v>
      </c>
      <c r="AE143" s="429">
        <v>0</v>
      </c>
      <c r="AF143" s="429">
        <v>0</v>
      </c>
      <c r="AG143" s="661">
        <v>0</v>
      </c>
      <c r="AH143" s="661">
        <v>0</v>
      </c>
      <c r="AI143" s="661">
        <v>0</v>
      </c>
      <c r="AJ143" s="661">
        <v>0</v>
      </c>
      <c r="AK143" s="661">
        <v>0</v>
      </c>
      <c r="AL143" s="661">
        <v>0</v>
      </c>
      <c r="AM143" s="682">
        <f t="shared" si="16"/>
        <v>0</v>
      </c>
      <c r="AN143" s="651">
        <f>ERP_27[[#This Row],[2026 Working Total]]-ERP_27[[#This Row],[LE2 Final Submission]]</f>
        <v>0</v>
      </c>
      <c r="AO143" s="652">
        <v>0</v>
      </c>
      <c r="AP143" s="652">
        <f t="shared" si="17"/>
        <v>0</v>
      </c>
      <c r="AQ143" s="374">
        <f>SUM(ERP_27[[#This Row],[AP01]:[AP06]])-SUM(ERP_27[[#This Row],[AP01 LE2]:[AP06 LE2]])</f>
        <v>0</v>
      </c>
      <c r="AR143" s="653"/>
      <c r="AS143" s="652">
        <f>ERP_27[[#This Row],[2026 Working Total to Budget/LE]]-ERP_27[[#This Row],[Giveback]]</f>
        <v>0</v>
      </c>
      <c r="AT143" s="654"/>
      <c r="AU143" s="655"/>
      <c r="AV143" s="655"/>
      <c r="AW143" s="655"/>
      <c r="AX143" s="655">
        <v>0</v>
      </c>
      <c r="AY143" s="655">
        <v>0</v>
      </c>
      <c r="AZ143" s="655">
        <v>0</v>
      </c>
      <c r="BA143" s="655">
        <v>0</v>
      </c>
      <c r="BB143" s="655">
        <v>0</v>
      </c>
      <c r="BC143" s="655">
        <v>0</v>
      </c>
      <c r="BD143" s="655">
        <v>0</v>
      </c>
      <c r="BE143" s="655">
        <v>0</v>
      </c>
      <c r="BF143" s="655">
        <v>0</v>
      </c>
      <c r="BG143" s="655">
        <v>0</v>
      </c>
      <c r="BH143" s="662">
        <v>664963</v>
      </c>
      <c r="BI143" s="662">
        <v>0</v>
      </c>
      <c r="BJ143" s="662">
        <v>0</v>
      </c>
      <c r="BK143" s="662">
        <v>0</v>
      </c>
      <c r="BL143" s="662">
        <v>0</v>
      </c>
      <c r="BM143" s="662">
        <v>0</v>
      </c>
      <c r="BN143" s="662">
        <v>0</v>
      </c>
      <c r="BO143" s="662">
        <v>0</v>
      </c>
      <c r="BP143" s="662">
        <v>0</v>
      </c>
      <c r="BQ143" s="662">
        <v>0</v>
      </c>
      <c r="BR143" s="662">
        <v>0</v>
      </c>
      <c r="BS143" s="662">
        <v>0</v>
      </c>
      <c r="BT143" s="652">
        <f>SUM(ERP_27[[#This Row],[2026 AP01]:[2026 AP12]])</f>
        <v>664963</v>
      </c>
    </row>
    <row r="144" spans="1:72" ht="15" hidden="1" customHeight="1">
      <c r="A144" s="79" t="s">
        <v>2497</v>
      </c>
      <c r="B144" s="79"/>
      <c r="C144" s="79" t="s">
        <v>831</v>
      </c>
      <c r="D144" s="296" t="s">
        <v>831</v>
      </c>
      <c r="E144" s="150" t="s">
        <v>1136</v>
      </c>
      <c r="F144" s="482" t="s">
        <v>1566</v>
      </c>
      <c r="G144" s="150" t="s">
        <v>1135</v>
      </c>
      <c r="H144" s="150" t="s">
        <v>1135</v>
      </c>
      <c r="I144" s="332" t="s">
        <v>1135</v>
      </c>
      <c r="J144" s="382" t="s">
        <v>1135</v>
      </c>
      <c r="K144" s="331" t="s">
        <v>1137</v>
      </c>
      <c r="L144" s="512" t="s">
        <v>639</v>
      </c>
      <c r="M144" s="394" t="s">
        <v>2498</v>
      </c>
      <c r="N144" s="343" t="s">
        <v>2484</v>
      </c>
      <c r="O144" s="150" t="s">
        <v>1171</v>
      </c>
      <c r="P144" s="122" t="s">
        <v>832</v>
      </c>
      <c r="Q144" s="343"/>
      <c r="R144" s="346" t="s">
        <v>2495</v>
      </c>
      <c r="S144" s="346" t="s">
        <v>1710</v>
      </c>
      <c r="T144" s="384" t="s">
        <v>826</v>
      </c>
      <c r="U144" s="346" t="s">
        <v>2499</v>
      </c>
      <c r="V144" s="660"/>
      <c r="W144" s="358">
        <v>-664963</v>
      </c>
      <c r="X144" s="660">
        <v>0</v>
      </c>
      <c r="Y144" s="656"/>
      <c r="Z144" s="657"/>
      <c r="AA144" s="716"/>
      <c r="AB144" s="717"/>
      <c r="AC144" s="717"/>
      <c r="AD144" s="428" t="s">
        <v>1142</v>
      </c>
      <c r="AE144" s="429">
        <v>0</v>
      </c>
      <c r="AF144" s="429">
        <v>0</v>
      </c>
      <c r="AG144" s="661">
        <v>0</v>
      </c>
      <c r="AH144" s="661">
        <v>0</v>
      </c>
      <c r="AI144" s="661">
        <v>0</v>
      </c>
      <c r="AJ144" s="661">
        <v>0</v>
      </c>
      <c r="AK144" s="661">
        <v>0</v>
      </c>
      <c r="AL144" s="661">
        <v>0</v>
      </c>
      <c r="AM144" s="682">
        <f t="shared" si="16"/>
        <v>0</v>
      </c>
      <c r="AN144" s="651">
        <f>ERP_27[[#This Row],[2026 Working Total]]-ERP_27[[#This Row],[LE2 Final Submission]]</f>
        <v>0</v>
      </c>
      <c r="AO144" s="652">
        <v>0</v>
      </c>
      <c r="AP144" s="652">
        <f t="shared" si="17"/>
        <v>0</v>
      </c>
      <c r="AQ144" s="374">
        <f>SUM(ERP_27[[#This Row],[AP01]:[AP06]])-SUM(ERP_27[[#This Row],[AP01 LE2]:[AP06 LE2]])</f>
        <v>0</v>
      </c>
      <c r="AR144" s="653"/>
      <c r="AS144" s="652">
        <f>ERP_27[[#This Row],[2026 Working Total to Budget/LE]]-ERP_27[[#This Row],[Giveback]]</f>
        <v>0</v>
      </c>
      <c r="AT144" s="654"/>
      <c r="AU144" s="655"/>
      <c r="AV144" s="655"/>
      <c r="AW144" s="655"/>
      <c r="AX144" s="655">
        <v>0</v>
      </c>
      <c r="AY144" s="655">
        <v>0</v>
      </c>
      <c r="AZ144" s="655">
        <v>0</v>
      </c>
      <c r="BA144" s="655">
        <v>0</v>
      </c>
      <c r="BB144" s="655">
        <v>0</v>
      </c>
      <c r="BC144" s="655">
        <v>0</v>
      </c>
      <c r="BD144" s="655">
        <v>0</v>
      </c>
      <c r="BE144" s="655">
        <v>0</v>
      </c>
      <c r="BF144" s="655">
        <v>0</v>
      </c>
      <c r="BG144" s="655">
        <v>0</v>
      </c>
      <c r="BH144" s="662">
        <v>-664963</v>
      </c>
      <c r="BI144" s="662">
        <v>0</v>
      </c>
      <c r="BJ144" s="662">
        <v>0</v>
      </c>
      <c r="BK144" s="662">
        <v>0</v>
      </c>
      <c r="BL144" s="662">
        <v>0</v>
      </c>
      <c r="BM144" s="662">
        <v>0</v>
      </c>
      <c r="BN144" s="662">
        <v>0</v>
      </c>
      <c r="BO144" s="662">
        <v>0</v>
      </c>
      <c r="BP144" s="662">
        <v>0</v>
      </c>
      <c r="BQ144" s="662">
        <v>0</v>
      </c>
      <c r="BR144" s="662">
        <v>0</v>
      </c>
      <c r="BS144" s="662">
        <v>0</v>
      </c>
      <c r="BT144" s="652">
        <f>SUM(ERP_27[[#This Row],[2026 AP01]:[2026 AP12]])</f>
        <v>-664963</v>
      </c>
    </row>
    <row r="145" spans="1:72" ht="15" hidden="1" customHeight="1">
      <c r="A145" s="79" t="s">
        <v>2500</v>
      </c>
      <c r="B145" s="79"/>
      <c r="C145" s="79" t="s">
        <v>833</v>
      </c>
      <c r="D145" s="296" t="s">
        <v>833</v>
      </c>
      <c r="E145" s="150" t="s">
        <v>1136</v>
      </c>
      <c r="F145" s="482" t="s">
        <v>1566</v>
      </c>
      <c r="G145" s="150" t="s">
        <v>1135</v>
      </c>
      <c r="H145" s="150" t="s">
        <v>1135</v>
      </c>
      <c r="I145" s="332" t="s">
        <v>1135</v>
      </c>
      <c r="J145" s="383" t="s">
        <v>1135</v>
      </c>
      <c r="K145" s="331" t="s">
        <v>1137</v>
      </c>
      <c r="L145" s="512" t="s">
        <v>639</v>
      </c>
      <c r="M145" s="393" t="s">
        <v>2501</v>
      </c>
      <c r="N145" s="343" t="s">
        <v>2484</v>
      </c>
      <c r="O145" s="150" t="s">
        <v>1171</v>
      </c>
      <c r="P145" s="91" t="s">
        <v>834</v>
      </c>
      <c r="Q145" s="343"/>
      <c r="R145" s="346" t="s">
        <v>2502</v>
      </c>
      <c r="S145" s="346" t="s">
        <v>1710</v>
      </c>
      <c r="T145" s="386" t="s">
        <v>826</v>
      </c>
      <c r="U145" s="346" t="s">
        <v>2496</v>
      </c>
      <c r="V145" s="660"/>
      <c r="W145" s="358">
        <v>663273</v>
      </c>
      <c r="X145" s="660">
        <v>0</v>
      </c>
      <c r="Y145" s="656"/>
      <c r="Z145" s="657"/>
      <c r="AA145" s="716"/>
      <c r="AB145" s="717"/>
      <c r="AC145" s="717"/>
      <c r="AD145" s="428">
        <v>0</v>
      </c>
      <c r="AE145" s="429">
        <v>0</v>
      </c>
      <c r="AF145" s="429">
        <v>0</v>
      </c>
      <c r="AG145" s="661">
        <v>0</v>
      </c>
      <c r="AH145" s="661">
        <v>0</v>
      </c>
      <c r="AI145" s="661">
        <v>0</v>
      </c>
      <c r="AJ145" s="661">
        <v>0</v>
      </c>
      <c r="AK145" s="661">
        <v>0</v>
      </c>
      <c r="AL145" s="661">
        <v>0</v>
      </c>
      <c r="AM145" s="682">
        <f t="shared" si="16"/>
        <v>0</v>
      </c>
      <c r="AN145" s="651">
        <f>ERP_27[[#This Row],[2026 Working Total]]-ERP_27[[#This Row],[LE2 Final Submission]]</f>
        <v>0</v>
      </c>
      <c r="AO145" s="652">
        <v>0</v>
      </c>
      <c r="AP145" s="652">
        <f t="shared" si="17"/>
        <v>0</v>
      </c>
      <c r="AQ145" s="374">
        <f>SUM(ERP_27[[#This Row],[AP01]:[AP06]])-SUM(ERP_27[[#This Row],[AP01 LE2]:[AP06 LE2]])</f>
        <v>0</v>
      </c>
      <c r="AR145" s="653"/>
      <c r="AS145" s="652">
        <f>ERP_27[[#This Row],[2026 Working Total to Budget/LE]]-ERP_27[[#This Row],[Giveback]]</f>
        <v>0</v>
      </c>
      <c r="AT145" s="654"/>
      <c r="AU145" s="655"/>
      <c r="AV145" s="655"/>
      <c r="AW145" s="655"/>
      <c r="AX145" s="655">
        <v>0</v>
      </c>
      <c r="AY145" s="655">
        <v>0</v>
      </c>
      <c r="AZ145" s="655">
        <v>0</v>
      </c>
      <c r="BA145" s="655">
        <v>0</v>
      </c>
      <c r="BB145" s="655">
        <v>0</v>
      </c>
      <c r="BC145" s="655">
        <v>0</v>
      </c>
      <c r="BD145" s="655">
        <v>0</v>
      </c>
      <c r="BE145" s="655">
        <v>0</v>
      </c>
      <c r="BF145" s="655">
        <v>0</v>
      </c>
      <c r="BG145" s="655">
        <v>0</v>
      </c>
      <c r="BH145" s="662">
        <v>663273</v>
      </c>
      <c r="BI145" s="662">
        <v>0</v>
      </c>
      <c r="BJ145" s="662">
        <v>0</v>
      </c>
      <c r="BK145" s="662">
        <v>0</v>
      </c>
      <c r="BL145" s="662">
        <v>0</v>
      </c>
      <c r="BM145" s="662">
        <v>0</v>
      </c>
      <c r="BN145" s="662">
        <v>0</v>
      </c>
      <c r="BO145" s="662">
        <v>0</v>
      </c>
      <c r="BP145" s="662">
        <v>0</v>
      </c>
      <c r="BQ145" s="662">
        <v>0</v>
      </c>
      <c r="BR145" s="662">
        <v>0</v>
      </c>
      <c r="BS145" s="662">
        <v>0</v>
      </c>
      <c r="BT145" s="652">
        <f>SUM(ERP_27[[#This Row],[2026 AP01]:[2026 AP12]])</f>
        <v>663273</v>
      </c>
    </row>
    <row r="146" spans="1:72" ht="15" hidden="1" customHeight="1">
      <c r="A146" s="79" t="s">
        <v>2503</v>
      </c>
      <c r="B146" s="79"/>
      <c r="C146" s="79" t="s">
        <v>835</v>
      </c>
      <c r="D146" s="296" t="s">
        <v>835</v>
      </c>
      <c r="E146" s="150" t="s">
        <v>1136</v>
      </c>
      <c r="F146" s="482" t="s">
        <v>1566</v>
      </c>
      <c r="G146" s="150" t="s">
        <v>1135</v>
      </c>
      <c r="H146" s="150" t="s">
        <v>1135</v>
      </c>
      <c r="I146" s="332" t="s">
        <v>1135</v>
      </c>
      <c r="J146" s="382" t="s">
        <v>1135</v>
      </c>
      <c r="K146" s="331" t="s">
        <v>1137</v>
      </c>
      <c r="L146" s="512" t="s">
        <v>639</v>
      </c>
      <c r="M146" s="394" t="s">
        <v>2504</v>
      </c>
      <c r="N146" s="343" t="s">
        <v>2484</v>
      </c>
      <c r="O146" s="150" t="s">
        <v>1171</v>
      </c>
      <c r="P146" s="122" t="s">
        <v>836</v>
      </c>
      <c r="Q146" s="343"/>
      <c r="R146" s="346" t="s">
        <v>2502</v>
      </c>
      <c r="S146" s="346" t="s">
        <v>1710</v>
      </c>
      <c r="T146" s="384" t="s">
        <v>826</v>
      </c>
      <c r="U146" s="346" t="s">
        <v>2499</v>
      </c>
      <c r="V146" s="660"/>
      <c r="W146" s="358">
        <v>-663273</v>
      </c>
      <c r="X146" s="660">
        <v>0</v>
      </c>
      <c r="Y146" s="656"/>
      <c r="Z146" s="657"/>
      <c r="AA146" s="716"/>
      <c r="AB146" s="717"/>
      <c r="AC146" s="717"/>
      <c r="AD146" s="428" t="s">
        <v>1142</v>
      </c>
      <c r="AE146" s="429">
        <v>0</v>
      </c>
      <c r="AF146" s="429">
        <v>0</v>
      </c>
      <c r="AG146" s="661">
        <v>0</v>
      </c>
      <c r="AH146" s="661">
        <v>0</v>
      </c>
      <c r="AI146" s="661">
        <v>0</v>
      </c>
      <c r="AJ146" s="661">
        <v>0</v>
      </c>
      <c r="AK146" s="661">
        <v>0</v>
      </c>
      <c r="AL146" s="661">
        <v>0</v>
      </c>
      <c r="AM146" s="682">
        <f t="shared" si="16"/>
        <v>0</v>
      </c>
      <c r="AN146" s="651">
        <f>ERP_27[[#This Row],[2026 Working Total]]-ERP_27[[#This Row],[LE2 Final Submission]]</f>
        <v>0</v>
      </c>
      <c r="AO146" s="652">
        <v>0</v>
      </c>
      <c r="AP146" s="652">
        <f t="shared" si="17"/>
        <v>0</v>
      </c>
      <c r="AQ146" s="374">
        <f>SUM(ERP_27[[#This Row],[AP01]:[AP06]])-SUM(ERP_27[[#This Row],[AP01 LE2]:[AP06 LE2]])</f>
        <v>0</v>
      </c>
      <c r="AR146" s="653"/>
      <c r="AS146" s="652">
        <f>ERP_27[[#This Row],[2026 Working Total to Budget/LE]]-ERP_27[[#This Row],[Giveback]]</f>
        <v>0</v>
      </c>
      <c r="AT146" s="654"/>
      <c r="AU146" s="655"/>
      <c r="AV146" s="655"/>
      <c r="AW146" s="655"/>
      <c r="AX146" s="655">
        <v>0</v>
      </c>
      <c r="AY146" s="655">
        <v>0</v>
      </c>
      <c r="AZ146" s="655">
        <v>0</v>
      </c>
      <c r="BA146" s="655">
        <v>0</v>
      </c>
      <c r="BB146" s="655">
        <v>0</v>
      </c>
      <c r="BC146" s="655">
        <v>0</v>
      </c>
      <c r="BD146" s="655">
        <v>0</v>
      </c>
      <c r="BE146" s="655">
        <v>0</v>
      </c>
      <c r="BF146" s="655">
        <v>0</v>
      </c>
      <c r="BG146" s="655">
        <v>0</v>
      </c>
      <c r="BH146" s="662">
        <v>-663273</v>
      </c>
      <c r="BI146" s="662">
        <v>0</v>
      </c>
      <c r="BJ146" s="662">
        <v>0</v>
      </c>
      <c r="BK146" s="662">
        <v>0</v>
      </c>
      <c r="BL146" s="662">
        <v>0</v>
      </c>
      <c r="BM146" s="662">
        <v>0</v>
      </c>
      <c r="BN146" s="662">
        <v>0</v>
      </c>
      <c r="BO146" s="662">
        <v>0</v>
      </c>
      <c r="BP146" s="662">
        <v>0</v>
      </c>
      <c r="BQ146" s="662">
        <v>0</v>
      </c>
      <c r="BR146" s="662">
        <v>0</v>
      </c>
      <c r="BS146" s="662">
        <v>0</v>
      </c>
      <c r="BT146" s="652">
        <f>SUM(ERP_27[[#This Row],[2026 AP01]:[2026 AP12]])</f>
        <v>-663273</v>
      </c>
    </row>
    <row r="147" spans="1:72" ht="15" hidden="1" customHeight="1">
      <c r="A147" s="79" t="s">
        <v>2512</v>
      </c>
      <c r="B147" s="79"/>
      <c r="C147" s="79" t="s">
        <v>844</v>
      </c>
      <c r="D147" s="296" t="s">
        <v>2513</v>
      </c>
      <c r="E147" s="150" t="s">
        <v>1136</v>
      </c>
      <c r="F147" s="482" t="s">
        <v>1566</v>
      </c>
      <c r="G147" s="150" t="s">
        <v>1135</v>
      </c>
      <c r="H147" s="383" t="s">
        <v>1145</v>
      </c>
      <c r="I147" s="332" t="s">
        <v>1135</v>
      </c>
      <c r="J147" s="383" t="s">
        <v>1145</v>
      </c>
      <c r="K147" s="331" t="s">
        <v>1137</v>
      </c>
      <c r="L147" s="512" t="s">
        <v>639</v>
      </c>
      <c r="M147" s="393" t="s">
        <v>2514</v>
      </c>
      <c r="N147" s="343"/>
      <c r="O147" s="150" t="s">
        <v>1186</v>
      </c>
      <c r="P147" s="91" t="s">
        <v>607</v>
      </c>
      <c r="Q147" s="346" t="s">
        <v>1153</v>
      </c>
      <c r="R147" s="346" t="s">
        <v>2154</v>
      </c>
      <c r="S147" s="346" t="s">
        <v>1710</v>
      </c>
      <c r="T147" s="386" t="s">
        <v>608</v>
      </c>
      <c r="U147" s="346" t="s">
        <v>1779</v>
      </c>
      <c r="V147" s="660"/>
      <c r="W147" s="358">
        <v>11125</v>
      </c>
      <c r="X147" s="660">
        <v>0</v>
      </c>
      <c r="Y147" s="656"/>
      <c r="Z147" s="657"/>
      <c r="AA147" s="716"/>
      <c r="AB147" s="717"/>
      <c r="AC147" s="717"/>
      <c r="AD147" s="428" t="s">
        <v>1142</v>
      </c>
      <c r="AE147" s="429">
        <v>0</v>
      </c>
      <c r="AF147" s="429">
        <v>0</v>
      </c>
      <c r="AG147" s="661">
        <v>0</v>
      </c>
      <c r="AH147" s="661">
        <v>0</v>
      </c>
      <c r="AI147" s="661">
        <v>0</v>
      </c>
      <c r="AJ147" s="661">
        <v>0</v>
      </c>
      <c r="AK147" s="661">
        <v>0</v>
      </c>
      <c r="AL147" s="661">
        <v>0</v>
      </c>
      <c r="AM147" s="682">
        <f t="shared" ref="AM147:AM210" si="18">SUM(AA147:AL147)</f>
        <v>0</v>
      </c>
      <c r="AN147" s="651">
        <f>ERP_27[[#This Row],[2026 Working Total]]-ERP_27[[#This Row],[LE2 Final Submission]]</f>
        <v>0</v>
      </c>
      <c r="AO147" s="652">
        <v>0</v>
      </c>
      <c r="AP147" s="652">
        <f t="shared" si="17"/>
        <v>0</v>
      </c>
      <c r="AQ147" s="374">
        <f>SUM(ERP_27[[#This Row],[AP01]:[AP06]])-SUM(ERP_27[[#This Row],[AP01 LE2]:[AP06 LE2]])</f>
        <v>0</v>
      </c>
      <c r="AR147" s="653"/>
      <c r="AS147" s="652">
        <f>ERP_27[[#This Row],[2026 Working Total to Budget/LE]]-ERP_27[[#This Row],[Giveback]]</f>
        <v>0</v>
      </c>
      <c r="AT147" s="654"/>
      <c r="AU147" s="655"/>
      <c r="AV147" s="655"/>
      <c r="AW147" s="655"/>
      <c r="AX147" s="655">
        <v>0</v>
      </c>
      <c r="AY147" s="655">
        <v>0</v>
      </c>
      <c r="AZ147" s="655">
        <v>0</v>
      </c>
      <c r="BA147" s="655">
        <v>0</v>
      </c>
      <c r="BB147" s="655">
        <v>0</v>
      </c>
      <c r="BC147" s="655">
        <v>0</v>
      </c>
      <c r="BD147" s="655">
        <v>0</v>
      </c>
      <c r="BE147" s="655">
        <v>0</v>
      </c>
      <c r="BF147" s="655">
        <v>0</v>
      </c>
      <c r="BG147" s="655">
        <v>0</v>
      </c>
      <c r="BH147" s="662">
        <v>11125</v>
      </c>
      <c r="BI147" s="662">
        <v>0</v>
      </c>
      <c r="BJ147" s="662">
        <v>0</v>
      </c>
      <c r="BK147" s="662">
        <v>0</v>
      </c>
      <c r="BL147" s="662">
        <v>0</v>
      </c>
      <c r="BM147" s="662">
        <v>0</v>
      </c>
      <c r="BN147" s="662">
        <v>0</v>
      </c>
      <c r="BO147" s="662">
        <v>0</v>
      </c>
      <c r="BP147" s="662">
        <v>0</v>
      </c>
      <c r="BQ147" s="662">
        <v>0</v>
      </c>
      <c r="BR147" s="662">
        <v>0</v>
      </c>
      <c r="BS147" s="662">
        <v>0</v>
      </c>
      <c r="BT147" s="652">
        <f>SUM(ERP_27[[#This Row],[2026 AP01]:[2026 AP12]])</f>
        <v>11125</v>
      </c>
    </row>
    <row r="148" spans="1:72" ht="15" hidden="1" customHeight="1">
      <c r="A148" s="79" t="s">
        <v>2515</v>
      </c>
      <c r="B148" s="79"/>
      <c r="C148" s="79" t="s">
        <v>845</v>
      </c>
      <c r="D148" s="296" t="s">
        <v>2516</v>
      </c>
      <c r="E148" s="150" t="s">
        <v>1136</v>
      </c>
      <c r="F148" s="482" t="s">
        <v>1566</v>
      </c>
      <c r="G148" s="150" t="s">
        <v>1135</v>
      </c>
      <c r="H148" s="383" t="s">
        <v>1145</v>
      </c>
      <c r="I148" s="332" t="s">
        <v>1135</v>
      </c>
      <c r="J148" s="383" t="s">
        <v>1145</v>
      </c>
      <c r="K148" s="331" t="s">
        <v>1137</v>
      </c>
      <c r="L148" s="512" t="s">
        <v>639</v>
      </c>
      <c r="M148" s="393" t="s">
        <v>2517</v>
      </c>
      <c r="N148" s="343" t="s">
        <v>2484</v>
      </c>
      <c r="O148" s="150" t="s">
        <v>1186</v>
      </c>
      <c r="P148" s="91" t="s">
        <v>846</v>
      </c>
      <c r="Q148" s="343"/>
      <c r="R148" s="346" t="s">
        <v>2154</v>
      </c>
      <c r="S148" s="346" t="s">
        <v>1710</v>
      </c>
      <c r="T148" s="386" t="s">
        <v>608</v>
      </c>
      <c r="U148" s="346" t="s">
        <v>1348</v>
      </c>
      <c r="V148" s="660"/>
      <c r="W148" s="358">
        <v>-11125</v>
      </c>
      <c r="X148" s="660">
        <v>0</v>
      </c>
      <c r="Y148" s="656"/>
      <c r="Z148" s="657"/>
      <c r="AA148" s="716"/>
      <c r="AB148" s="717"/>
      <c r="AC148" s="717"/>
      <c r="AD148" s="428" t="s">
        <v>1142</v>
      </c>
      <c r="AE148" s="429">
        <v>0</v>
      </c>
      <c r="AF148" s="429">
        <v>0</v>
      </c>
      <c r="AG148" s="661">
        <v>0</v>
      </c>
      <c r="AH148" s="661">
        <v>0</v>
      </c>
      <c r="AI148" s="661">
        <v>0</v>
      </c>
      <c r="AJ148" s="661">
        <v>0</v>
      </c>
      <c r="AK148" s="661">
        <v>0</v>
      </c>
      <c r="AL148" s="661">
        <v>0</v>
      </c>
      <c r="AM148" s="682">
        <f t="shared" si="18"/>
        <v>0</v>
      </c>
      <c r="AN148" s="651">
        <f>ERP_27[[#This Row],[2026 Working Total]]-ERP_27[[#This Row],[LE2 Final Submission]]</f>
        <v>0</v>
      </c>
      <c r="AO148" s="652">
        <v>0</v>
      </c>
      <c r="AP148" s="652">
        <f t="shared" si="17"/>
        <v>0</v>
      </c>
      <c r="AQ148" s="374">
        <f>SUM(ERP_27[[#This Row],[AP01]:[AP06]])-SUM(ERP_27[[#This Row],[AP01 LE2]:[AP06 LE2]])</f>
        <v>0</v>
      </c>
      <c r="AR148" s="653"/>
      <c r="AS148" s="652">
        <f>ERP_27[[#This Row],[2026 Working Total to Budget/LE]]-ERP_27[[#This Row],[Giveback]]</f>
        <v>0</v>
      </c>
      <c r="AT148" s="654"/>
      <c r="AU148" s="655"/>
      <c r="AV148" s="655"/>
      <c r="AW148" s="655"/>
      <c r="AX148" s="655">
        <v>0</v>
      </c>
      <c r="AY148" s="655">
        <v>0</v>
      </c>
      <c r="AZ148" s="655">
        <v>0</v>
      </c>
      <c r="BA148" s="655">
        <v>0</v>
      </c>
      <c r="BB148" s="655">
        <v>0</v>
      </c>
      <c r="BC148" s="655">
        <v>0</v>
      </c>
      <c r="BD148" s="655">
        <v>0</v>
      </c>
      <c r="BE148" s="655">
        <v>0</v>
      </c>
      <c r="BF148" s="655">
        <v>0</v>
      </c>
      <c r="BG148" s="655">
        <v>0</v>
      </c>
      <c r="BH148" s="662">
        <v>-11125</v>
      </c>
      <c r="BI148" s="662">
        <v>0</v>
      </c>
      <c r="BJ148" s="662">
        <v>0</v>
      </c>
      <c r="BK148" s="662">
        <v>0</v>
      </c>
      <c r="BL148" s="662">
        <v>0</v>
      </c>
      <c r="BM148" s="662">
        <v>0</v>
      </c>
      <c r="BN148" s="662">
        <v>0</v>
      </c>
      <c r="BO148" s="662">
        <v>0</v>
      </c>
      <c r="BP148" s="662">
        <v>0</v>
      </c>
      <c r="BQ148" s="662">
        <v>0</v>
      </c>
      <c r="BR148" s="662">
        <v>0</v>
      </c>
      <c r="BS148" s="662">
        <v>0</v>
      </c>
      <c r="BT148" s="652">
        <f>SUM(ERP_27[[#This Row],[2026 AP01]:[2026 AP12]])</f>
        <v>-11125</v>
      </c>
    </row>
    <row r="149" spans="1:72" ht="15" hidden="1" customHeight="1">
      <c r="A149" s="79" t="s">
        <v>2529</v>
      </c>
      <c r="B149" s="79"/>
      <c r="C149" s="79" t="s">
        <v>853</v>
      </c>
      <c r="D149" s="296" t="s">
        <v>2530</v>
      </c>
      <c r="E149" s="150" t="s">
        <v>1136</v>
      </c>
      <c r="F149" s="482" t="s">
        <v>1566</v>
      </c>
      <c r="G149" s="150" t="s">
        <v>1135</v>
      </c>
      <c r="H149" s="383" t="s">
        <v>1145</v>
      </c>
      <c r="I149" s="332" t="s">
        <v>1135</v>
      </c>
      <c r="J149" s="383" t="s">
        <v>1145</v>
      </c>
      <c r="K149" s="331" t="s">
        <v>1137</v>
      </c>
      <c r="L149" s="512" t="s">
        <v>639</v>
      </c>
      <c r="M149" s="393" t="s">
        <v>2531</v>
      </c>
      <c r="N149" s="343" t="s">
        <v>2532</v>
      </c>
      <c r="O149" s="150" t="s">
        <v>1186</v>
      </c>
      <c r="P149" s="91" t="s">
        <v>854</v>
      </c>
      <c r="Q149" s="343"/>
      <c r="R149" s="346" t="s">
        <v>1717</v>
      </c>
      <c r="S149" s="346" t="s">
        <v>1710</v>
      </c>
      <c r="T149" s="386" t="s">
        <v>368</v>
      </c>
      <c r="U149" s="569" t="s">
        <v>1348</v>
      </c>
      <c r="V149" s="660"/>
      <c r="W149" s="358">
        <v>40902.519999999997</v>
      </c>
      <c r="X149" s="660">
        <v>0</v>
      </c>
      <c r="Y149" s="656"/>
      <c r="Z149" s="657"/>
      <c r="AA149" s="716"/>
      <c r="AB149" s="717"/>
      <c r="AC149" s="717"/>
      <c r="AD149" s="428" t="s">
        <v>1142</v>
      </c>
      <c r="AE149" s="429">
        <v>0</v>
      </c>
      <c r="AF149" s="429">
        <v>0</v>
      </c>
      <c r="AG149" s="661">
        <v>0</v>
      </c>
      <c r="AH149" s="661">
        <v>0</v>
      </c>
      <c r="AI149" s="661">
        <v>0</v>
      </c>
      <c r="AJ149" s="661">
        <v>0</v>
      </c>
      <c r="AK149" s="661">
        <v>0</v>
      </c>
      <c r="AL149" s="661">
        <v>0</v>
      </c>
      <c r="AM149" s="682">
        <f t="shared" si="18"/>
        <v>0</v>
      </c>
      <c r="AN149" s="651">
        <f>ERP_27[[#This Row],[2026 Working Total]]-ERP_27[[#This Row],[LE2 Final Submission]]</f>
        <v>0</v>
      </c>
      <c r="AO149" s="652">
        <v>0</v>
      </c>
      <c r="AP149" s="652">
        <f t="shared" si="17"/>
        <v>0</v>
      </c>
      <c r="AQ149" s="374">
        <f>SUM(ERP_27[[#This Row],[AP01]:[AP06]])-SUM(ERP_27[[#This Row],[AP01 LE2]:[AP06 LE2]])</f>
        <v>0</v>
      </c>
      <c r="AR149" s="653"/>
      <c r="AS149" s="652">
        <f>ERP_27[[#This Row],[2026 Working Total to Budget/LE]]-ERP_27[[#This Row],[Giveback]]</f>
        <v>0</v>
      </c>
      <c r="AT149" s="654"/>
      <c r="AU149" s="655"/>
      <c r="AV149" s="655"/>
      <c r="AW149" s="655"/>
      <c r="AX149" s="655">
        <v>0</v>
      </c>
      <c r="AY149" s="655">
        <v>0</v>
      </c>
      <c r="AZ149" s="655">
        <v>0</v>
      </c>
      <c r="BA149" s="655">
        <v>0</v>
      </c>
      <c r="BB149" s="655">
        <v>0</v>
      </c>
      <c r="BC149" s="655">
        <v>0</v>
      </c>
      <c r="BD149" s="655">
        <v>0</v>
      </c>
      <c r="BE149" s="655">
        <v>0</v>
      </c>
      <c r="BF149" s="655">
        <v>0</v>
      </c>
      <c r="BG149" s="655">
        <v>0</v>
      </c>
      <c r="BH149" s="662">
        <v>40902.519999999997</v>
      </c>
      <c r="BI149" s="662">
        <v>0</v>
      </c>
      <c r="BJ149" s="662">
        <v>0</v>
      </c>
      <c r="BK149" s="662">
        <v>0</v>
      </c>
      <c r="BL149" s="662">
        <v>0</v>
      </c>
      <c r="BM149" s="662">
        <v>0</v>
      </c>
      <c r="BN149" s="662">
        <v>0</v>
      </c>
      <c r="BO149" s="662">
        <v>0</v>
      </c>
      <c r="BP149" s="662">
        <v>0</v>
      </c>
      <c r="BQ149" s="662">
        <v>0</v>
      </c>
      <c r="BR149" s="662">
        <v>0</v>
      </c>
      <c r="BS149" s="662">
        <v>0</v>
      </c>
      <c r="BT149" s="652">
        <f>SUM(ERP_27[[#This Row],[2026 AP01]:[2026 AP12]])</f>
        <v>40902.519999999997</v>
      </c>
    </row>
    <row r="150" spans="1:72" ht="15" hidden="1" customHeight="1">
      <c r="A150" s="79" t="s">
        <v>2533</v>
      </c>
      <c r="B150" s="79"/>
      <c r="C150" s="79" t="s">
        <v>855</v>
      </c>
      <c r="D150" s="296" t="s">
        <v>2534</v>
      </c>
      <c r="E150" s="150" t="s">
        <v>1136</v>
      </c>
      <c r="F150" s="482" t="s">
        <v>1566</v>
      </c>
      <c r="G150" s="150" t="s">
        <v>1135</v>
      </c>
      <c r="H150" s="383" t="s">
        <v>1145</v>
      </c>
      <c r="I150" s="332" t="s">
        <v>1135</v>
      </c>
      <c r="J150" s="383" t="s">
        <v>1145</v>
      </c>
      <c r="K150" s="331" t="s">
        <v>1137</v>
      </c>
      <c r="L150" s="512" t="s">
        <v>639</v>
      </c>
      <c r="M150" s="393" t="s">
        <v>2535</v>
      </c>
      <c r="N150" s="343" t="s">
        <v>2532</v>
      </c>
      <c r="O150" s="150" t="s">
        <v>1186</v>
      </c>
      <c r="P150" s="91" t="s">
        <v>856</v>
      </c>
      <c r="Q150" s="343"/>
      <c r="R150" s="346" t="s">
        <v>1717</v>
      </c>
      <c r="S150" s="346" t="s">
        <v>1710</v>
      </c>
      <c r="T150" s="386" t="s">
        <v>368</v>
      </c>
      <c r="U150" s="346" t="s">
        <v>1348</v>
      </c>
      <c r="V150" s="660"/>
      <c r="W150" s="358">
        <v>-40902.519999999997</v>
      </c>
      <c r="X150" s="660">
        <v>0</v>
      </c>
      <c r="Y150" s="656"/>
      <c r="Z150" s="657"/>
      <c r="AA150" s="716"/>
      <c r="AB150" s="717"/>
      <c r="AC150" s="717"/>
      <c r="AD150" s="428" t="s">
        <v>1142</v>
      </c>
      <c r="AE150" s="429">
        <v>0</v>
      </c>
      <c r="AF150" s="429">
        <v>0</v>
      </c>
      <c r="AG150" s="661">
        <v>0</v>
      </c>
      <c r="AH150" s="661">
        <v>0</v>
      </c>
      <c r="AI150" s="661">
        <v>0</v>
      </c>
      <c r="AJ150" s="661">
        <v>0</v>
      </c>
      <c r="AK150" s="661">
        <v>0</v>
      </c>
      <c r="AL150" s="661">
        <v>0</v>
      </c>
      <c r="AM150" s="682">
        <f t="shared" si="18"/>
        <v>0</v>
      </c>
      <c r="AN150" s="651">
        <f>ERP_27[[#This Row],[2026 Working Total]]-ERP_27[[#This Row],[LE2 Final Submission]]</f>
        <v>0</v>
      </c>
      <c r="AO150" s="652">
        <v>0</v>
      </c>
      <c r="AP150" s="652">
        <f t="shared" si="17"/>
        <v>0</v>
      </c>
      <c r="AQ150" s="374">
        <f>SUM(ERP_27[[#This Row],[AP01]:[AP06]])-SUM(ERP_27[[#This Row],[AP01 LE2]:[AP06 LE2]])</f>
        <v>0</v>
      </c>
      <c r="AR150" s="653"/>
      <c r="AS150" s="652">
        <f>ERP_27[[#This Row],[2026 Working Total to Budget/LE]]-ERP_27[[#This Row],[Giveback]]</f>
        <v>0</v>
      </c>
      <c r="AT150" s="654"/>
      <c r="AU150" s="655"/>
      <c r="AV150" s="655"/>
      <c r="AW150" s="655"/>
      <c r="AX150" s="655">
        <v>0</v>
      </c>
      <c r="AY150" s="655">
        <v>0</v>
      </c>
      <c r="AZ150" s="655">
        <v>0</v>
      </c>
      <c r="BA150" s="655">
        <v>0</v>
      </c>
      <c r="BB150" s="655">
        <v>0</v>
      </c>
      <c r="BC150" s="655">
        <v>0</v>
      </c>
      <c r="BD150" s="655">
        <v>0</v>
      </c>
      <c r="BE150" s="655">
        <v>0</v>
      </c>
      <c r="BF150" s="655">
        <v>0</v>
      </c>
      <c r="BG150" s="655">
        <v>0</v>
      </c>
      <c r="BH150" s="662">
        <v>-40902.519999999997</v>
      </c>
      <c r="BI150" s="662">
        <v>0</v>
      </c>
      <c r="BJ150" s="662">
        <v>0</v>
      </c>
      <c r="BK150" s="662">
        <v>0</v>
      </c>
      <c r="BL150" s="662">
        <v>0</v>
      </c>
      <c r="BM150" s="662">
        <v>0</v>
      </c>
      <c r="BN150" s="662">
        <v>0</v>
      </c>
      <c r="BO150" s="662">
        <v>0</v>
      </c>
      <c r="BP150" s="662">
        <v>0</v>
      </c>
      <c r="BQ150" s="662">
        <v>0</v>
      </c>
      <c r="BR150" s="662">
        <v>0</v>
      </c>
      <c r="BS150" s="662">
        <v>0</v>
      </c>
      <c r="BT150" s="652">
        <f>SUM(ERP_27[[#This Row],[2026 AP01]:[2026 AP12]])</f>
        <v>-40902.519999999997</v>
      </c>
    </row>
    <row r="151" spans="1:72" ht="15" hidden="1" customHeight="1">
      <c r="A151" s="79" t="s">
        <v>2536</v>
      </c>
      <c r="B151" s="79"/>
      <c r="C151" s="79" t="s">
        <v>857</v>
      </c>
      <c r="D151" s="296" t="s">
        <v>2537</v>
      </c>
      <c r="E151" s="150" t="s">
        <v>1136</v>
      </c>
      <c r="F151" s="482" t="s">
        <v>1566</v>
      </c>
      <c r="G151" s="150" t="s">
        <v>1135</v>
      </c>
      <c r="H151" s="383" t="s">
        <v>1145</v>
      </c>
      <c r="I151" s="332" t="s">
        <v>1135</v>
      </c>
      <c r="J151" s="383" t="s">
        <v>1145</v>
      </c>
      <c r="K151" s="331" t="s">
        <v>1137</v>
      </c>
      <c r="L151" s="512" t="s">
        <v>639</v>
      </c>
      <c r="M151" s="393" t="s">
        <v>2538</v>
      </c>
      <c r="N151" s="343" t="s">
        <v>2532</v>
      </c>
      <c r="O151" s="150" t="s">
        <v>1186</v>
      </c>
      <c r="P151" s="91" t="s">
        <v>858</v>
      </c>
      <c r="Q151" s="343"/>
      <c r="R151" s="346" t="s">
        <v>1709</v>
      </c>
      <c r="S151" s="346" t="s">
        <v>1710</v>
      </c>
      <c r="T151" s="386" t="s">
        <v>368</v>
      </c>
      <c r="U151" s="346" t="s">
        <v>1348</v>
      </c>
      <c r="V151" s="660"/>
      <c r="W151" s="358">
        <v>26386.85</v>
      </c>
      <c r="X151" s="660">
        <v>0</v>
      </c>
      <c r="Y151" s="656"/>
      <c r="Z151" s="657"/>
      <c r="AA151" s="716"/>
      <c r="AB151" s="717"/>
      <c r="AC151" s="717"/>
      <c r="AD151" s="428" t="s">
        <v>1142</v>
      </c>
      <c r="AE151" s="429">
        <v>0</v>
      </c>
      <c r="AF151" s="429">
        <v>0</v>
      </c>
      <c r="AG151" s="661">
        <v>0</v>
      </c>
      <c r="AH151" s="661">
        <v>0</v>
      </c>
      <c r="AI151" s="661">
        <v>0</v>
      </c>
      <c r="AJ151" s="661">
        <v>0</v>
      </c>
      <c r="AK151" s="661">
        <v>0</v>
      </c>
      <c r="AL151" s="661">
        <v>0</v>
      </c>
      <c r="AM151" s="682">
        <f t="shared" si="18"/>
        <v>0</v>
      </c>
      <c r="AN151" s="651">
        <f>ERP_27[[#This Row],[2026 Working Total]]-ERP_27[[#This Row],[LE2 Final Submission]]</f>
        <v>0</v>
      </c>
      <c r="AO151" s="652">
        <v>0</v>
      </c>
      <c r="AP151" s="652">
        <f t="shared" si="17"/>
        <v>0</v>
      </c>
      <c r="AQ151" s="374">
        <f>SUM(ERP_27[[#This Row],[AP01]:[AP06]])-SUM(ERP_27[[#This Row],[AP01 LE2]:[AP06 LE2]])</f>
        <v>0</v>
      </c>
      <c r="AR151" s="653"/>
      <c r="AS151" s="652">
        <f>ERP_27[[#This Row],[2026 Working Total to Budget/LE]]-ERP_27[[#This Row],[Giveback]]</f>
        <v>0</v>
      </c>
      <c r="AT151" s="654"/>
      <c r="AU151" s="655"/>
      <c r="AV151" s="655"/>
      <c r="AW151" s="655"/>
      <c r="AX151" s="655">
        <v>0</v>
      </c>
      <c r="AY151" s="655">
        <v>0</v>
      </c>
      <c r="AZ151" s="655">
        <v>0</v>
      </c>
      <c r="BA151" s="655">
        <v>0</v>
      </c>
      <c r="BB151" s="655">
        <v>0</v>
      </c>
      <c r="BC151" s="655">
        <v>0</v>
      </c>
      <c r="BD151" s="655">
        <v>0</v>
      </c>
      <c r="BE151" s="655">
        <v>0</v>
      </c>
      <c r="BF151" s="655">
        <v>0</v>
      </c>
      <c r="BG151" s="655">
        <v>0</v>
      </c>
      <c r="BH151" s="662">
        <v>26386.85</v>
      </c>
      <c r="BI151" s="662">
        <v>0</v>
      </c>
      <c r="BJ151" s="662">
        <v>0</v>
      </c>
      <c r="BK151" s="662">
        <v>0</v>
      </c>
      <c r="BL151" s="662">
        <v>0</v>
      </c>
      <c r="BM151" s="662">
        <v>0</v>
      </c>
      <c r="BN151" s="662">
        <v>0</v>
      </c>
      <c r="BO151" s="662">
        <v>0</v>
      </c>
      <c r="BP151" s="662">
        <v>0</v>
      </c>
      <c r="BQ151" s="662">
        <v>0</v>
      </c>
      <c r="BR151" s="662">
        <v>0</v>
      </c>
      <c r="BS151" s="662">
        <v>0</v>
      </c>
      <c r="BT151" s="652">
        <f>SUM(ERP_27[[#This Row],[2026 AP01]:[2026 AP12]])</f>
        <v>26386.85</v>
      </c>
    </row>
    <row r="152" spans="1:72" ht="15" hidden="1" customHeight="1">
      <c r="A152" s="79" t="s">
        <v>2539</v>
      </c>
      <c r="B152" s="79"/>
      <c r="C152" s="79" t="s">
        <v>859</v>
      </c>
      <c r="D152" s="296" t="s">
        <v>2540</v>
      </c>
      <c r="E152" s="150" t="s">
        <v>1136</v>
      </c>
      <c r="F152" s="482" t="s">
        <v>1566</v>
      </c>
      <c r="G152" s="150" t="s">
        <v>1135</v>
      </c>
      <c r="H152" s="383" t="s">
        <v>1145</v>
      </c>
      <c r="I152" s="332" t="s">
        <v>1135</v>
      </c>
      <c r="J152" s="383" t="s">
        <v>1145</v>
      </c>
      <c r="K152" s="331" t="s">
        <v>1137</v>
      </c>
      <c r="L152" s="512" t="s">
        <v>639</v>
      </c>
      <c r="M152" s="393" t="s">
        <v>2541</v>
      </c>
      <c r="N152" s="343" t="s">
        <v>2532</v>
      </c>
      <c r="O152" s="150" t="s">
        <v>1186</v>
      </c>
      <c r="P152" s="91" t="s">
        <v>860</v>
      </c>
      <c r="Q152" s="343"/>
      <c r="R152" s="346" t="s">
        <v>1709</v>
      </c>
      <c r="S152" s="346" t="s">
        <v>1710</v>
      </c>
      <c r="T152" s="386" t="s">
        <v>368</v>
      </c>
      <c r="U152" s="346" t="s">
        <v>1348</v>
      </c>
      <c r="V152" s="660"/>
      <c r="W152" s="358">
        <v>-26386.85</v>
      </c>
      <c r="X152" s="660">
        <v>0</v>
      </c>
      <c r="Y152" s="656"/>
      <c r="Z152" s="657"/>
      <c r="AA152" s="716"/>
      <c r="AB152" s="717"/>
      <c r="AC152" s="717"/>
      <c r="AD152" s="428" t="s">
        <v>1142</v>
      </c>
      <c r="AE152" s="429">
        <v>0</v>
      </c>
      <c r="AF152" s="429">
        <v>0</v>
      </c>
      <c r="AG152" s="661">
        <v>0</v>
      </c>
      <c r="AH152" s="661">
        <v>0</v>
      </c>
      <c r="AI152" s="661">
        <v>0</v>
      </c>
      <c r="AJ152" s="661">
        <v>0</v>
      </c>
      <c r="AK152" s="661">
        <v>0</v>
      </c>
      <c r="AL152" s="661">
        <v>0</v>
      </c>
      <c r="AM152" s="682">
        <f t="shared" si="18"/>
        <v>0</v>
      </c>
      <c r="AN152" s="651">
        <f>ERP_27[[#This Row],[2026 Working Total]]-ERP_27[[#This Row],[LE2 Final Submission]]</f>
        <v>0</v>
      </c>
      <c r="AO152" s="652">
        <v>0</v>
      </c>
      <c r="AP152" s="652">
        <f t="shared" si="17"/>
        <v>0</v>
      </c>
      <c r="AQ152" s="374">
        <f>SUM(ERP_27[[#This Row],[AP01]:[AP06]])-SUM(ERP_27[[#This Row],[AP01 LE2]:[AP06 LE2]])</f>
        <v>0</v>
      </c>
      <c r="AR152" s="653"/>
      <c r="AS152" s="652">
        <f>ERP_27[[#This Row],[2026 Working Total to Budget/LE]]-ERP_27[[#This Row],[Giveback]]</f>
        <v>0</v>
      </c>
      <c r="AT152" s="654"/>
      <c r="AU152" s="655"/>
      <c r="AV152" s="655"/>
      <c r="AW152" s="655"/>
      <c r="AX152" s="655">
        <v>0</v>
      </c>
      <c r="AY152" s="655">
        <v>0</v>
      </c>
      <c r="AZ152" s="655">
        <v>0</v>
      </c>
      <c r="BA152" s="655">
        <v>0</v>
      </c>
      <c r="BB152" s="655">
        <v>0</v>
      </c>
      <c r="BC152" s="655">
        <v>0</v>
      </c>
      <c r="BD152" s="655">
        <v>0</v>
      </c>
      <c r="BE152" s="655">
        <v>0</v>
      </c>
      <c r="BF152" s="655">
        <v>0</v>
      </c>
      <c r="BG152" s="655">
        <v>0</v>
      </c>
      <c r="BH152" s="662">
        <v>-26386.85</v>
      </c>
      <c r="BI152" s="662">
        <v>0</v>
      </c>
      <c r="BJ152" s="662">
        <v>0</v>
      </c>
      <c r="BK152" s="662">
        <v>0</v>
      </c>
      <c r="BL152" s="662">
        <v>0</v>
      </c>
      <c r="BM152" s="662">
        <v>0</v>
      </c>
      <c r="BN152" s="662">
        <v>0</v>
      </c>
      <c r="BO152" s="662">
        <v>0</v>
      </c>
      <c r="BP152" s="662">
        <v>0</v>
      </c>
      <c r="BQ152" s="662">
        <v>0</v>
      </c>
      <c r="BR152" s="662">
        <v>0</v>
      </c>
      <c r="BS152" s="662">
        <v>0</v>
      </c>
      <c r="BT152" s="652">
        <f>SUM(ERP_27[[#This Row],[2026 AP01]:[2026 AP12]])</f>
        <v>-26386.85</v>
      </c>
    </row>
    <row r="153" spans="1:72" ht="15" hidden="1" customHeight="1">
      <c r="A153" s="79" t="s">
        <v>2542</v>
      </c>
      <c r="B153" s="79"/>
      <c r="C153" s="79" t="s">
        <v>861</v>
      </c>
      <c r="D153" s="296" t="s">
        <v>2543</v>
      </c>
      <c r="E153" s="150" t="s">
        <v>1136</v>
      </c>
      <c r="F153" s="482" t="s">
        <v>1566</v>
      </c>
      <c r="G153" s="150" t="s">
        <v>1135</v>
      </c>
      <c r="H153" s="383" t="s">
        <v>1145</v>
      </c>
      <c r="I153" s="332" t="s">
        <v>1135</v>
      </c>
      <c r="J153" s="383" t="s">
        <v>1145</v>
      </c>
      <c r="K153" s="331" t="s">
        <v>1137</v>
      </c>
      <c r="L153" s="512" t="s">
        <v>639</v>
      </c>
      <c r="M153" s="393" t="s">
        <v>2544</v>
      </c>
      <c r="N153" s="343" t="s">
        <v>2545</v>
      </c>
      <c r="O153" s="150" t="s">
        <v>1186</v>
      </c>
      <c r="P153" s="91" t="s">
        <v>862</v>
      </c>
      <c r="Q153" s="343"/>
      <c r="R153" s="346" t="s">
        <v>2546</v>
      </c>
      <c r="S153" s="346" t="s">
        <v>1710</v>
      </c>
      <c r="T153" s="386" t="s">
        <v>863</v>
      </c>
      <c r="U153" s="346" t="s">
        <v>1348</v>
      </c>
      <c r="V153" s="660"/>
      <c r="W153" s="358">
        <v>21386.720000000001</v>
      </c>
      <c r="X153" s="660">
        <v>0</v>
      </c>
      <c r="Y153" s="656"/>
      <c r="Z153" s="657"/>
      <c r="AA153" s="716"/>
      <c r="AB153" s="717"/>
      <c r="AC153" s="717"/>
      <c r="AD153" s="428" t="s">
        <v>1142</v>
      </c>
      <c r="AE153" s="429">
        <v>0</v>
      </c>
      <c r="AF153" s="429">
        <v>0</v>
      </c>
      <c r="AG153" s="661">
        <v>0</v>
      </c>
      <c r="AH153" s="661">
        <v>0</v>
      </c>
      <c r="AI153" s="661">
        <v>0</v>
      </c>
      <c r="AJ153" s="661">
        <v>0</v>
      </c>
      <c r="AK153" s="661">
        <v>0</v>
      </c>
      <c r="AL153" s="661">
        <v>0</v>
      </c>
      <c r="AM153" s="682">
        <f t="shared" si="18"/>
        <v>0</v>
      </c>
      <c r="AN153" s="651">
        <f>ERP_27[[#This Row],[2026 Working Total]]-ERP_27[[#This Row],[LE2 Final Submission]]</f>
        <v>0</v>
      </c>
      <c r="AO153" s="652">
        <v>0</v>
      </c>
      <c r="AP153" s="652">
        <f t="shared" si="17"/>
        <v>0</v>
      </c>
      <c r="AQ153" s="374">
        <f>SUM(ERP_27[[#This Row],[AP01]:[AP06]])-SUM(ERP_27[[#This Row],[AP01 LE2]:[AP06 LE2]])</f>
        <v>0</v>
      </c>
      <c r="AR153" s="653"/>
      <c r="AS153" s="652">
        <f>ERP_27[[#This Row],[2026 Working Total to Budget/LE]]-ERP_27[[#This Row],[Giveback]]</f>
        <v>0</v>
      </c>
      <c r="AT153" s="654"/>
      <c r="AU153" s="655"/>
      <c r="AV153" s="655"/>
      <c r="AW153" s="655"/>
      <c r="AX153" s="655">
        <v>0</v>
      </c>
      <c r="AY153" s="655">
        <v>0</v>
      </c>
      <c r="AZ153" s="655">
        <v>0</v>
      </c>
      <c r="BA153" s="655">
        <v>0</v>
      </c>
      <c r="BB153" s="655">
        <v>0</v>
      </c>
      <c r="BC153" s="655">
        <v>0</v>
      </c>
      <c r="BD153" s="655">
        <v>0</v>
      </c>
      <c r="BE153" s="655">
        <v>0</v>
      </c>
      <c r="BF153" s="655">
        <v>0</v>
      </c>
      <c r="BG153" s="655">
        <v>0</v>
      </c>
      <c r="BH153" s="662">
        <v>21386.720000000001</v>
      </c>
      <c r="BI153" s="662">
        <v>0</v>
      </c>
      <c r="BJ153" s="662">
        <v>0</v>
      </c>
      <c r="BK153" s="662">
        <v>0</v>
      </c>
      <c r="BL153" s="662">
        <v>0</v>
      </c>
      <c r="BM153" s="662">
        <v>0</v>
      </c>
      <c r="BN153" s="662">
        <v>0</v>
      </c>
      <c r="BO153" s="662">
        <v>0</v>
      </c>
      <c r="BP153" s="662">
        <v>0</v>
      </c>
      <c r="BQ153" s="662">
        <v>0</v>
      </c>
      <c r="BR153" s="662">
        <v>0</v>
      </c>
      <c r="BS153" s="662">
        <v>0</v>
      </c>
      <c r="BT153" s="652">
        <f>SUM(ERP_27[[#This Row],[2026 AP01]:[2026 AP12]])</f>
        <v>21386.720000000001</v>
      </c>
    </row>
    <row r="154" spans="1:72" ht="15" hidden="1" customHeight="1">
      <c r="A154" s="79" t="s">
        <v>2547</v>
      </c>
      <c r="B154" s="79"/>
      <c r="C154" s="79" t="s">
        <v>864</v>
      </c>
      <c r="D154" s="296" t="s">
        <v>2548</v>
      </c>
      <c r="E154" s="150" t="s">
        <v>1136</v>
      </c>
      <c r="F154" s="482" t="s">
        <v>1566</v>
      </c>
      <c r="G154" s="150" t="s">
        <v>1135</v>
      </c>
      <c r="H154" s="383" t="s">
        <v>1145</v>
      </c>
      <c r="I154" s="332" t="s">
        <v>1135</v>
      </c>
      <c r="J154" s="383" t="s">
        <v>1145</v>
      </c>
      <c r="K154" s="331" t="s">
        <v>1137</v>
      </c>
      <c r="L154" s="512" t="s">
        <v>639</v>
      </c>
      <c r="M154" s="393" t="s">
        <v>2549</v>
      </c>
      <c r="N154" s="343" t="s">
        <v>2545</v>
      </c>
      <c r="O154" s="150" t="s">
        <v>1186</v>
      </c>
      <c r="P154" s="91" t="s">
        <v>865</v>
      </c>
      <c r="Q154" s="343"/>
      <c r="R154" s="346" t="s">
        <v>2546</v>
      </c>
      <c r="S154" s="346" t="s">
        <v>1710</v>
      </c>
      <c r="T154" s="386" t="s">
        <v>863</v>
      </c>
      <c r="U154" s="346" t="s">
        <v>1348</v>
      </c>
      <c r="V154" s="660"/>
      <c r="W154" s="358">
        <v>-21386.720000000001</v>
      </c>
      <c r="X154" s="660">
        <v>0</v>
      </c>
      <c r="Y154" s="656"/>
      <c r="Z154" s="657"/>
      <c r="AA154" s="716"/>
      <c r="AB154" s="717"/>
      <c r="AC154" s="717"/>
      <c r="AD154" s="428" t="s">
        <v>1142</v>
      </c>
      <c r="AE154" s="429">
        <v>0</v>
      </c>
      <c r="AF154" s="429">
        <v>0</v>
      </c>
      <c r="AG154" s="661">
        <v>0</v>
      </c>
      <c r="AH154" s="661">
        <v>0</v>
      </c>
      <c r="AI154" s="661">
        <v>0</v>
      </c>
      <c r="AJ154" s="661">
        <v>0</v>
      </c>
      <c r="AK154" s="661">
        <v>0</v>
      </c>
      <c r="AL154" s="661">
        <v>0</v>
      </c>
      <c r="AM154" s="682">
        <f t="shared" si="18"/>
        <v>0</v>
      </c>
      <c r="AN154" s="651">
        <f>ERP_27[[#This Row],[2026 Working Total]]-ERP_27[[#This Row],[LE2 Final Submission]]</f>
        <v>0</v>
      </c>
      <c r="AO154" s="652">
        <v>0</v>
      </c>
      <c r="AP154" s="652">
        <f t="shared" si="17"/>
        <v>0</v>
      </c>
      <c r="AQ154" s="374">
        <f>SUM(ERP_27[[#This Row],[AP01]:[AP06]])-SUM(ERP_27[[#This Row],[AP01 LE2]:[AP06 LE2]])</f>
        <v>0</v>
      </c>
      <c r="AR154" s="653"/>
      <c r="AS154" s="652">
        <f>ERP_27[[#This Row],[2026 Working Total to Budget/LE]]-ERP_27[[#This Row],[Giveback]]</f>
        <v>0</v>
      </c>
      <c r="AT154" s="654"/>
      <c r="AU154" s="655"/>
      <c r="AV154" s="655"/>
      <c r="AW154" s="655"/>
      <c r="AX154" s="655">
        <v>0</v>
      </c>
      <c r="AY154" s="655">
        <v>0</v>
      </c>
      <c r="AZ154" s="655">
        <v>0</v>
      </c>
      <c r="BA154" s="655">
        <v>0</v>
      </c>
      <c r="BB154" s="655">
        <v>0</v>
      </c>
      <c r="BC154" s="655">
        <v>0</v>
      </c>
      <c r="BD154" s="655">
        <v>0</v>
      </c>
      <c r="BE154" s="655">
        <v>0</v>
      </c>
      <c r="BF154" s="655">
        <v>0</v>
      </c>
      <c r="BG154" s="655">
        <v>0</v>
      </c>
      <c r="BH154" s="662">
        <v>-21386.720000000001</v>
      </c>
      <c r="BI154" s="662">
        <v>0</v>
      </c>
      <c r="BJ154" s="662">
        <v>0</v>
      </c>
      <c r="BK154" s="662">
        <v>0</v>
      </c>
      <c r="BL154" s="662">
        <v>0</v>
      </c>
      <c r="BM154" s="662">
        <v>0</v>
      </c>
      <c r="BN154" s="662">
        <v>0</v>
      </c>
      <c r="BO154" s="662">
        <v>0</v>
      </c>
      <c r="BP154" s="662">
        <v>0</v>
      </c>
      <c r="BQ154" s="662">
        <v>0</v>
      </c>
      <c r="BR154" s="662">
        <v>0</v>
      </c>
      <c r="BS154" s="662">
        <v>0</v>
      </c>
      <c r="BT154" s="652">
        <f>SUM(ERP_27[[#This Row],[2026 AP01]:[2026 AP12]])</f>
        <v>-21386.720000000001</v>
      </c>
    </row>
    <row r="155" spans="1:72" ht="15" hidden="1" customHeight="1">
      <c r="A155" s="79" t="s">
        <v>2570</v>
      </c>
      <c r="B155" s="79"/>
      <c r="C155" s="79" t="s">
        <v>881</v>
      </c>
      <c r="D155" s="296" t="s">
        <v>881</v>
      </c>
      <c r="E155" s="150" t="s">
        <v>1136</v>
      </c>
      <c r="F155" s="482" t="s">
        <v>1566</v>
      </c>
      <c r="G155" s="150" t="s">
        <v>1135</v>
      </c>
      <c r="H155" s="150" t="s">
        <v>1135</v>
      </c>
      <c r="I155" s="332" t="s">
        <v>1135</v>
      </c>
      <c r="J155" s="383" t="s">
        <v>1135</v>
      </c>
      <c r="K155" s="331" t="s">
        <v>1137</v>
      </c>
      <c r="L155" s="512" t="s">
        <v>639</v>
      </c>
      <c r="M155" s="393" t="s">
        <v>2571</v>
      </c>
      <c r="N155" s="343" t="s">
        <v>2572</v>
      </c>
      <c r="O155" s="150" t="s">
        <v>1171</v>
      </c>
      <c r="P155" s="91" t="s">
        <v>882</v>
      </c>
      <c r="Q155" s="343"/>
      <c r="R155" s="346" t="s">
        <v>2329</v>
      </c>
      <c r="S155" s="346" t="s">
        <v>1710</v>
      </c>
      <c r="T155" s="386" t="s">
        <v>883</v>
      </c>
      <c r="U155" s="346" t="s">
        <v>1779</v>
      </c>
      <c r="V155" s="660"/>
      <c r="W155" s="358">
        <v>64566</v>
      </c>
      <c r="X155" s="660">
        <v>0</v>
      </c>
      <c r="Y155" s="656"/>
      <c r="Z155" s="657"/>
      <c r="AA155" s="716"/>
      <c r="AB155" s="717"/>
      <c r="AC155" s="717"/>
      <c r="AD155" s="428">
        <v>0</v>
      </c>
      <c r="AE155" s="429">
        <v>0</v>
      </c>
      <c r="AF155" s="429">
        <v>0</v>
      </c>
      <c r="AG155" s="661">
        <v>0</v>
      </c>
      <c r="AH155" s="661">
        <v>0</v>
      </c>
      <c r="AI155" s="661">
        <v>0</v>
      </c>
      <c r="AJ155" s="661">
        <v>0</v>
      </c>
      <c r="AK155" s="661">
        <v>0</v>
      </c>
      <c r="AL155" s="661">
        <v>0</v>
      </c>
      <c r="AM155" s="682">
        <f t="shared" si="18"/>
        <v>0</v>
      </c>
      <c r="AN155" s="651">
        <f>ERP_27[[#This Row],[2026 Working Total]]-ERP_27[[#This Row],[LE2 Final Submission]]</f>
        <v>0</v>
      </c>
      <c r="AO155" s="652">
        <v>0</v>
      </c>
      <c r="AP155" s="652">
        <f t="shared" si="17"/>
        <v>0</v>
      </c>
      <c r="AQ155" s="374">
        <f>SUM(ERP_27[[#This Row],[AP01]:[AP06]])-SUM(ERP_27[[#This Row],[AP01 LE2]:[AP06 LE2]])</f>
        <v>0</v>
      </c>
      <c r="AR155" s="653"/>
      <c r="AS155" s="652">
        <f>ERP_27[[#This Row],[2026 Working Total to Budget/LE]]-ERP_27[[#This Row],[Giveback]]</f>
        <v>0</v>
      </c>
      <c r="AT155" s="654"/>
      <c r="AU155" s="655"/>
      <c r="AV155" s="655"/>
      <c r="AW155" s="655"/>
      <c r="AX155" s="655">
        <v>0</v>
      </c>
      <c r="AY155" s="655">
        <v>0</v>
      </c>
      <c r="AZ155" s="655">
        <v>0</v>
      </c>
      <c r="BA155" s="655">
        <v>0</v>
      </c>
      <c r="BB155" s="655">
        <v>0</v>
      </c>
      <c r="BC155" s="655">
        <v>0</v>
      </c>
      <c r="BD155" s="655">
        <v>0</v>
      </c>
      <c r="BE155" s="655">
        <v>0</v>
      </c>
      <c r="BF155" s="655">
        <v>0</v>
      </c>
      <c r="BG155" s="655">
        <v>0</v>
      </c>
      <c r="BH155" s="662">
        <v>64566</v>
      </c>
      <c r="BI155" s="662">
        <v>0</v>
      </c>
      <c r="BJ155" s="662">
        <v>0</v>
      </c>
      <c r="BK155" s="662">
        <v>0</v>
      </c>
      <c r="BL155" s="662">
        <v>0</v>
      </c>
      <c r="BM155" s="662">
        <v>0</v>
      </c>
      <c r="BN155" s="662">
        <v>0</v>
      </c>
      <c r="BO155" s="662">
        <v>0</v>
      </c>
      <c r="BP155" s="662">
        <v>0</v>
      </c>
      <c r="BQ155" s="662">
        <v>0</v>
      </c>
      <c r="BR155" s="662">
        <v>0</v>
      </c>
      <c r="BS155" s="662">
        <v>0</v>
      </c>
      <c r="BT155" s="652">
        <f>SUM(ERP_27[[#This Row],[2026 AP01]:[2026 AP12]])</f>
        <v>64566</v>
      </c>
    </row>
    <row r="156" spans="1:72" ht="15" hidden="1" customHeight="1">
      <c r="A156" s="79" t="s">
        <v>2573</v>
      </c>
      <c r="B156" s="79"/>
      <c r="C156" s="79" t="s">
        <v>884</v>
      </c>
      <c r="D156" s="296" t="s">
        <v>884</v>
      </c>
      <c r="E156" s="150" t="s">
        <v>1136</v>
      </c>
      <c r="F156" s="482" t="s">
        <v>1566</v>
      </c>
      <c r="G156" s="150" t="s">
        <v>1135</v>
      </c>
      <c r="H156" s="150" t="s">
        <v>1135</v>
      </c>
      <c r="I156" s="332" t="s">
        <v>1135</v>
      </c>
      <c r="J156" s="382" t="s">
        <v>1135</v>
      </c>
      <c r="K156" s="331" t="s">
        <v>1137</v>
      </c>
      <c r="L156" s="512" t="s">
        <v>639</v>
      </c>
      <c r="M156" s="394" t="s">
        <v>2574</v>
      </c>
      <c r="N156" s="343" t="s">
        <v>2572</v>
      </c>
      <c r="O156" s="150" t="s">
        <v>1171</v>
      </c>
      <c r="P156" s="122" t="s">
        <v>885</v>
      </c>
      <c r="Q156" s="343"/>
      <c r="R156" s="346" t="s">
        <v>2329</v>
      </c>
      <c r="S156" s="346" t="s">
        <v>1710</v>
      </c>
      <c r="T156" s="384" t="s">
        <v>883</v>
      </c>
      <c r="U156" s="346" t="s">
        <v>2499</v>
      </c>
      <c r="V156" s="660"/>
      <c r="W156" s="358">
        <v>-64566</v>
      </c>
      <c r="X156" s="660">
        <v>0</v>
      </c>
      <c r="Y156" s="656"/>
      <c r="Z156" s="657"/>
      <c r="AA156" s="716"/>
      <c r="AB156" s="717"/>
      <c r="AC156" s="717"/>
      <c r="AD156" s="428" t="s">
        <v>1142</v>
      </c>
      <c r="AE156" s="429">
        <v>0</v>
      </c>
      <c r="AF156" s="429">
        <v>0</v>
      </c>
      <c r="AG156" s="661">
        <v>0</v>
      </c>
      <c r="AH156" s="661">
        <v>0</v>
      </c>
      <c r="AI156" s="661">
        <v>0</v>
      </c>
      <c r="AJ156" s="661">
        <v>0</v>
      </c>
      <c r="AK156" s="661">
        <v>0</v>
      </c>
      <c r="AL156" s="661">
        <v>0</v>
      </c>
      <c r="AM156" s="682">
        <f t="shared" si="18"/>
        <v>0</v>
      </c>
      <c r="AN156" s="651">
        <f>ERP_27[[#This Row],[2026 Working Total]]-ERP_27[[#This Row],[LE2 Final Submission]]</f>
        <v>0</v>
      </c>
      <c r="AO156" s="652">
        <v>0</v>
      </c>
      <c r="AP156" s="652">
        <f t="shared" si="17"/>
        <v>0</v>
      </c>
      <c r="AQ156" s="374">
        <f>SUM(ERP_27[[#This Row],[AP01]:[AP06]])-SUM(ERP_27[[#This Row],[AP01 LE2]:[AP06 LE2]])</f>
        <v>0</v>
      </c>
      <c r="AR156" s="653"/>
      <c r="AS156" s="652">
        <f>ERP_27[[#This Row],[2026 Working Total to Budget/LE]]-ERP_27[[#This Row],[Giveback]]</f>
        <v>0</v>
      </c>
      <c r="AT156" s="654"/>
      <c r="AU156" s="655"/>
      <c r="AV156" s="655"/>
      <c r="AW156" s="655"/>
      <c r="AX156" s="655">
        <v>0</v>
      </c>
      <c r="AY156" s="655">
        <v>0</v>
      </c>
      <c r="AZ156" s="655">
        <v>0</v>
      </c>
      <c r="BA156" s="655">
        <v>0</v>
      </c>
      <c r="BB156" s="655">
        <v>0</v>
      </c>
      <c r="BC156" s="655">
        <v>0</v>
      </c>
      <c r="BD156" s="655">
        <v>0</v>
      </c>
      <c r="BE156" s="655">
        <v>0</v>
      </c>
      <c r="BF156" s="655">
        <v>0</v>
      </c>
      <c r="BG156" s="655">
        <v>0</v>
      </c>
      <c r="BH156" s="662">
        <v>-64566</v>
      </c>
      <c r="BI156" s="662">
        <v>0</v>
      </c>
      <c r="BJ156" s="662">
        <v>0</v>
      </c>
      <c r="BK156" s="662">
        <v>0</v>
      </c>
      <c r="BL156" s="662">
        <v>0</v>
      </c>
      <c r="BM156" s="662">
        <v>0</v>
      </c>
      <c r="BN156" s="662">
        <v>0</v>
      </c>
      <c r="BO156" s="662">
        <v>0</v>
      </c>
      <c r="BP156" s="662">
        <v>0</v>
      </c>
      <c r="BQ156" s="662">
        <v>0</v>
      </c>
      <c r="BR156" s="662">
        <v>0</v>
      </c>
      <c r="BS156" s="662">
        <v>0</v>
      </c>
      <c r="BT156" s="652">
        <f>SUM(ERP_27[[#This Row],[2026 AP01]:[2026 AP12]])</f>
        <v>-64566</v>
      </c>
    </row>
    <row r="157" spans="1:72" ht="15" hidden="1" customHeight="1">
      <c r="A157" s="79" t="s">
        <v>2589</v>
      </c>
      <c r="B157" s="79"/>
      <c r="C157" s="79" t="s">
        <v>895</v>
      </c>
      <c r="D157" s="296" t="s">
        <v>895</v>
      </c>
      <c r="E157" s="150" t="s">
        <v>1136</v>
      </c>
      <c r="F157" s="482" t="s">
        <v>1566</v>
      </c>
      <c r="G157" s="150" t="s">
        <v>1135</v>
      </c>
      <c r="H157" s="150" t="s">
        <v>1135</v>
      </c>
      <c r="I157" s="332" t="s">
        <v>1135</v>
      </c>
      <c r="J157" s="383" t="s">
        <v>1135</v>
      </c>
      <c r="K157" s="331" t="s">
        <v>1137</v>
      </c>
      <c r="L157" s="512" t="s">
        <v>639</v>
      </c>
      <c r="M157" s="393" t="s">
        <v>2590</v>
      </c>
      <c r="N157" s="343" t="s">
        <v>2484</v>
      </c>
      <c r="O157" s="150" t="s">
        <v>1171</v>
      </c>
      <c r="P157" s="91" t="s">
        <v>896</v>
      </c>
      <c r="Q157" s="343"/>
      <c r="R157" s="346" t="s">
        <v>2591</v>
      </c>
      <c r="S157" s="346" t="s">
        <v>1710</v>
      </c>
      <c r="T157" s="386" t="s">
        <v>863</v>
      </c>
      <c r="U157" s="346" t="s">
        <v>1779</v>
      </c>
      <c r="V157" s="660"/>
      <c r="W157" s="358">
        <v>169614.9</v>
      </c>
      <c r="X157" s="660">
        <v>0</v>
      </c>
      <c r="Y157" s="656"/>
      <c r="Z157" s="657"/>
      <c r="AA157" s="716"/>
      <c r="AB157" s="717"/>
      <c r="AC157" s="717"/>
      <c r="AD157" s="428" t="s">
        <v>1142</v>
      </c>
      <c r="AE157" s="429">
        <v>0</v>
      </c>
      <c r="AF157" s="429">
        <v>0</v>
      </c>
      <c r="AG157" s="661">
        <v>0</v>
      </c>
      <c r="AH157" s="661">
        <v>0</v>
      </c>
      <c r="AI157" s="661">
        <v>0</v>
      </c>
      <c r="AJ157" s="661">
        <v>0</v>
      </c>
      <c r="AK157" s="661">
        <v>0</v>
      </c>
      <c r="AL157" s="661">
        <v>0</v>
      </c>
      <c r="AM157" s="682">
        <f t="shared" si="18"/>
        <v>0</v>
      </c>
      <c r="AN157" s="651">
        <f>ERP_27[[#This Row],[2026 Working Total]]-ERP_27[[#This Row],[LE2 Final Submission]]</f>
        <v>0</v>
      </c>
      <c r="AO157" s="652">
        <v>0</v>
      </c>
      <c r="AP157" s="652">
        <f t="shared" si="17"/>
        <v>0</v>
      </c>
      <c r="AQ157" s="374">
        <f>SUM(ERP_27[[#This Row],[AP01]:[AP06]])-SUM(ERP_27[[#This Row],[AP01 LE2]:[AP06 LE2]])</f>
        <v>0</v>
      </c>
      <c r="AR157" s="653"/>
      <c r="AS157" s="652">
        <f>ERP_27[[#This Row],[2026 Working Total to Budget/LE]]-ERP_27[[#This Row],[Giveback]]</f>
        <v>0</v>
      </c>
      <c r="AT157" s="654"/>
      <c r="AU157" s="655"/>
      <c r="AV157" s="655"/>
      <c r="AW157" s="655"/>
      <c r="AX157" s="655">
        <v>0</v>
      </c>
      <c r="AY157" s="655">
        <v>0</v>
      </c>
      <c r="AZ157" s="655">
        <v>0</v>
      </c>
      <c r="BA157" s="655">
        <v>0</v>
      </c>
      <c r="BB157" s="655">
        <v>0</v>
      </c>
      <c r="BC157" s="655">
        <v>0</v>
      </c>
      <c r="BD157" s="655">
        <v>0</v>
      </c>
      <c r="BE157" s="655">
        <v>0</v>
      </c>
      <c r="BF157" s="655">
        <v>0</v>
      </c>
      <c r="BG157" s="655">
        <v>0</v>
      </c>
      <c r="BH157" s="662">
        <v>169614.9</v>
      </c>
      <c r="BI157" s="662">
        <v>0</v>
      </c>
      <c r="BJ157" s="662">
        <v>0</v>
      </c>
      <c r="BK157" s="662">
        <v>0</v>
      </c>
      <c r="BL157" s="662">
        <v>0</v>
      </c>
      <c r="BM157" s="662">
        <v>0</v>
      </c>
      <c r="BN157" s="662">
        <v>0</v>
      </c>
      <c r="BO157" s="662">
        <v>0</v>
      </c>
      <c r="BP157" s="662">
        <v>0</v>
      </c>
      <c r="BQ157" s="662">
        <v>0</v>
      </c>
      <c r="BR157" s="662">
        <v>0</v>
      </c>
      <c r="BS157" s="662">
        <v>0</v>
      </c>
      <c r="BT157" s="652">
        <f>SUM(ERP_27[[#This Row],[2026 AP01]:[2026 AP12]])</f>
        <v>169614.9</v>
      </c>
    </row>
    <row r="158" spans="1:72" ht="15" hidden="1" customHeight="1">
      <c r="A158" s="79" t="s">
        <v>2592</v>
      </c>
      <c r="B158" s="79"/>
      <c r="C158" s="79" t="s">
        <v>897</v>
      </c>
      <c r="D158" s="296" t="s">
        <v>897</v>
      </c>
      <c r="E158" s="150" t="s">
        <v>1136</v>
      </c>
      <c r="F158" s="482" t="s">
        <v>1566</v>
      </c>
      <c r="G158" s="150" t="s">
        <v>1135</v>
      </c>
      <c r="H158" s="150" t="s">
        <v>1135</v>
      </c>
      <c r="I158" s="332" t="s">
        <v>1135</v>
      </c>
      <c r="J158" s="382" t="s">
        <v>1135</v>
      </c>
      <c r="K158" s="331" t="s">
        <v>1137</v>
      </c>
      <c r="L158" s="512" t="s">
        <v>639</v>
      </c>
      <c r="M158" s="394" t="s">
        <v>2593</v>
      </c>
      <c r="N158" s="343" t="s">
        <v>2484</v>
      </c>
      <c r="O158" s="150" t="s">
        <v>1171</v>
      </c>
      <c r="P158" s="122" t="s">
        <v>898</v>
      </c>
      <c r="Q158" s="343"/>
      <c r="R158" s="346" t="s">
        <v>2591</v>
      </c>
      <c r="S158" s="346" t="s">
        <v>1710</v>
      </c>
      <c r="T158" s="384" t="s">
        <v>863</v>
      </c>
      <c r="U158" s="346" t="s">
        <v>2499</v>
      </c>
      <c r="V158" s="660"/>
      <c r="W158" s="358">
        <v>-169614.9</v>
      </c>
      <c r="X158" s="660">
        <v>0</v>
      </c>
      <c r="Y158" s="656"/>
      <c r="Z158" s="657"/>
      <c r="AA158" s="716"/>
      <c r="AB158" s="717"/>
      <c r="AC158" s="717"/>
      <c r="AD158" s="428" t="s">
        <v>1142</v>
      </c>
      <c r="AE158" s="429">
        <v>0</v>
      </c>
      <c r="AF158" s="429">
        <v>0</v>
      </c>
      <c r="AG158" s="661">
        <v>0</v>
      </c>
      <c r="AH158" s="661">
        <v>0</v>
      </c>
      <c r="AI158" s="661">
        <v>0</v>
      </c>
      <c r="AJ158" s="661">
        <v>0</v>
      </c>
      <c r="AK158" s="661">
        <v>0</v>
      </c>
      <c r="AL158" s="661">
        <v>0</v>
      </c>
      <c r="AM158" s="682">
        <f t="shared" si="18"/>
        <v>0</v>
      </c>
      <c r="AN158" s="651">
        <f>ERP_27[[#This Row],[2026 Working Total]]-ERP_27[[#This Row],[LE2 Final Submission]]</f>
        <v>0</v>
      </c>
      <c r="AO158" s="652">
        <v>0</v>
      </c>
      <c r="AP158" s="652">
        <f t="shared" si="17"/>
        <v>0</v>
      </c>
      <c r="AQ158" s="374">
        <f>SUM(ERP_27[[#This Row],[AP01]:[AP06]])-SUM(ERP_27[[#This Row],[AP01 LE2]:[AP06 LE2]])</f>
        <v>0</v>
      </c>
      <c r="AR158" s="653"/>
      <c r="AS158" s="652">
        <f>ERP_27[[#This Row],[2026 Working Total to Budget/LE]]-ERP_27[[#This Row],[Giveback]]</f>
        <v>0</v>
      </c>
      <c r="AT158" s="654"/>
      <c r="AU158" s="655"/>
      <c r="AV158" s="655"/>
      <c r="AW158" s="655"/>
      <c r="AX158" s="655">
        <v>0</v>
      </c>
      <c r="AY158" s="655">
        <v>0</v>
      </c>
      <c r="AZ158" s="655">
        <v>0</v>
      </c>
      <c r="BA158" s="655">
        <v>0</v>
      </c>
      <c r="BB158" s="655">
        <v>0</v>
      </c>
      <c r="BC158" s="655">
        <v>0</v>
      </c>
      <c r="BD158" s="655">
        <v>0</v>
      </c>
      <c r="BE158" s="655">
        <v>0</v>
      </c>
      <c r="BF158" s="655">
        <v>0</v>
      </c>
      <c r="BG158" s="655">
        <v>0</v>
      </c>
      <c r="BH158" s="662">
        <v>-169614.9</v>
      </c>
      <c r="BI158" s="662">
        <v>0</v>
      </c>
      <c r="BJ158" s="662">
        <v>0</v>
      </c>
      <c r="BK158" s="662">
        <v>0</v>
      </c>
      <c r="BL158" s="662">
        <v>0</v>
      </c>
      <c r="BM158" s="662">
        <v>0</v>
      </c>
      <c r="BN158" s="662">
        <v>0</v>
      </c>
      <c r="BO158" s="662">
        <v>0</v>
      </c>
      <c r="BP158" s="662">
        <v>0</v>
      </c>
      <c r="BQ158" s="662">
        <v>0</v>
      </c>
      <c r="BR158" s="662">
        <v>0</v>
      </c>
      <c r="BS158" s="662">
        <v>0</v>
      </c>
      <c r="BT158" s="652">
        <f>SUM(ERP_27[[#This Row],[2026 AP01]:[2026 AP12]])</f>
        <v>-169614.9</v>
      </c>
    </row>
    <row r="159" spans="1:72" ht="15" hidden="1" customHeight="1">
      <c r="A159" s="79" t="s">
        <v>2635</v>
      </c>
      <c r="B159" s="79"/>
      <c r="C159" s="79" t="s">
        <v>925</v>
      </c>
      <c r="D159" s="296" t="s">
        <v>925</v>
      </c>
      <c r="E159" s="150" t="s">
        <v>1136</v>
      </c>
      <c r="F159" s="482" t="s">
        <v>1566</v>
      </c>
      <c r="G159" s="383" t="s">
        <v>1344</v>
      </c>
      <c r="H159" s="383" t="s">
        <v>1344</v>
      </c>
      <c r="I159" s="332" t="s">
        <v>1345</v>
      </c>
      <c r="J159" s="383" t="s">
        <v>1344</v>
      </c>
      <c r="K159" s="331" t="s">
        <v>1346</v>
      </c>
      <c r="L159" s="512" t="s">
        <v>639</v>
      </c>
      <c r="M159" s="393" t="s">
        <v>2636</v>
      </c>
      <c r="N159" s="343" t="s">
        <v>2637</v>
      </c>
      <c r="O159" s="150" t="s">
        <v>1363</v>
      </c>
      <c r="P159" s="91" t="s">
        <v>926</v>
      </c>
      <c r="Q159" s="343"/>
      <c r="R159" s="346" t="s">
        <v>2638</v>
      </c>
      <c r="S159" s="346" t="s">
        <v>1710</v>
      </c>
      <c r="T159" s="386" t="s">
        <v>863</v>
      </c>
      <c r="U159" s="346" t="s">
        <v>2639</v>
      </c>
      <c r="V159" s="660"/>
      <c r="W159" s="358">
        <v>111372.91</v>
      </c>
      <c r="X159" s="660">
        <v>0</v>
      </c>
      <c r="Y159" s="656"/>
      <c r="Z159" s="657"/>
      <c r="AA159" s="716"/>
      <c r="AB159" s="717"/>
      <c r="AC159" s="717"/>
      <c r="AD159" s="428" t="s">
        <v>1142</v>
      </c>
      <c r="AE159" s="429">
        <v>0</v>
      </c>
      <c r="AF159" s="429">
        <v>0</v>
      </c>
      <c r="AG159" s="661">
        <v>0</v>
      </c>
      <c r="AH159" s="661">
        <v>0</v>
      </c>
      <c r="AI159" s="661">
        <v>0</v>
      </c>
      <c r="AJ159" s="661">
        <f>115000-115000</f>
        <v>0</v>
      </c>
      <c r="AK159" s="661">
        <v>0</v>
      </c>
      <c r="AL159" s="649"/>
      <c r="AM159" s="682">
        <f t="shared" si="18"/>
        <v>0</v>
      </c>
      <c r="AN159" s="651">
        <f>ERP_27[[#This Row],[2026 Working Total]]-ERP_27[[#This Row],[LE2 Final Submission]]</f>
        <v>0</v>
      </c>
      <c r="AO159" s="652">
        <v>0</v>
      </c>
      <c r="AP159" s="652">
        <f t="shared" si="17"/>
        <v>0</v>
      </c>
      <c r="AQ159" s="374">
        <f>SUM(ERP_27[[#This Row],[AP01]:[AP06]])-SUM(ERP_27[[#This Row],[AP01 LE2]:[AP06 LE2]])</f>
        <v>0</v>
      </c>
      <c r="AR159" s="653"/>
      <c r="AS159" s="652">
        <f>ERP_27[[#This Row],[2026 Working Total to Budget/LE]]-ERP_27[[#This Row],[Giveback]]</f>
        <v>0</v>
      </c>
      <c r="AT159" s="654" t="s">
        <v>2640</v>
      </c>
      <c r="AU159" s="655"/>
      <c r="AV159" s="655"/>
      <c r="AW159" s="655"/>
      <c r="AX159" s="655">
        <v>0</v>
      </c>
      <c r="AY159" s="655">
        <v>0</v>
      </c>
      <c r="AZ159" s="655">
        <v>0</v>
      </c>
      <c r="BA159" s="655">
        <v>0</v>
      </c>
      <c r="BB159" s="655">
        <v>0</v>
      </c>
      <c r="BC159" s="655">
        <v>0</v>
      </c>
      <c r="BD159" s="655">
        <v>0</v>
      </c>
      <c r="BE159" s="655">
        <v>0</v>
      </c>
      <c r="BF159" s="655"/>
      <c r="BG159" s="655">
        <v>0</v>
      </c>
      <c r="BH159" s="662">
        <v>111372.91</v>
      </c>
      <c r="BI159" s="662">
        <v>0</v>
      </c>
      <c r="BJ159" s="662">
        <v>0</v>
      </c>
      <c r="BK159" s="662">
        <v>0</v>
      </c>
      <c r="BL159" s="662">
        <v>0</v>
      </c>
      <c r="BM159" s="662">
        <v>0</v>
      </c>
      <c r="BN159" s="662">
        <v>0</v>
      </c>
      <c r="BO159" s="662">
        <v>0</v>
      </c>
      <c r="BP159" s="662">
        <v>0</v>
      </c>
      <c r="BQ159" s="662">
        <v>0</v>
      </c>
      <c r="BR159" s="662">
        <v>0</v>
      </c>
      <c r="BS159" s="662">
        <v>0</v>
      </c>
      <c r="BT159" s="652">
        <f>SUM(ERP_27[[#This Row],[2026 AP01]:[2026 AP12]])</f>
        <v>111372.91</v>
      </c>
    </row>
    <row r="160" spans="1:72" ht="15" hidden="1" customHeight="1">
      <c r="A160" s="79" t="s">
        <v>2641</v>
      </c>
      <c r="B160" s="79"/>
      <c r="C160" s="79" t="s">
        <v>927</v>
      </c>
      <c r="D160" s="296" t="s">
        <v>927</v>
      </c>
      <c r="E160" s="150" t="s">
        <v>1136</v>
      </c>
      <c r="F160" s="482" t="s">
        <v>1566</v>
      </c>
      <c r="G160" s="383" t="s">
        <v>1344</v>
      </c>
      <c r="H160" s="383" t="s">
        <v>1344</v>
      </c>
      <c r="I160" s="332" t="s">
        <v>1345</v>
      </c>
      <c r="J160" s="383" t="s">
        <v>1344</v>
      </c>
      <c r="K160" s="331" t="s">
        <v>1346</v>
      </c>
      <c r="L160" s="512" t="s">
        <v>639</v>
      </c>
      <c r="M160" s="393" t="s">
        <v>2642</v>
      </c>
      <c r="N160" s="343" t="s">
        <v>2637</v>
      </c>
      <c r="O160" s="150" t="s">
        <v>1363</v>
      </c>
      <c r="P160" s="91" t="s">
        <v>928</v>
      </c>
      <c r="Q160" s="343"/>
      <c r="R160" s="346" t="s">
        <v>2638</v>
      </c>
      <c r="S160" s="346" t="s">
        <v>1710</v>
      </c>
      <c r="T160" s="386" t="s">
        <v>863</v>
      </c>
      <c r="U160" s="346" t="s">
        <v>2643</v>
      </c>
      <c r="V160" s="660"/>
      <c r="W160" s="358">
        <v>-111372.91</v>
      </c>
      <c r="X160" s="660">
        <v>0</v>
      </c>
      <c r="Y160" s="656"/>
      <c r="Z160" s="657"/>
      <c r="AA160" s="716"/>
      <c r="AB160" s="717"/>
      <c r="AC160" s="717"/>
      <c r="AD160" s="428" t="s">
        <v>1142</v>
      </c>
      <c r="AE160" s="429">
        <v>0</v>
      </c>
      <c r="AF160" s="429">
        <v>0</v>
      </c>
      <c r="AG160" s="661">
        <v>0</v>
      </c>
      <c r="AH160" s="661">
        <v>0</v>
      </c>
      <c r="AI160" s="661">
        <v>0</v>
      </c>
      <c r="AJ160" s="661">
        <f>-115000+115000</f>
        <v>0</v>
      </c>
      <c r="AK160" s="661">
        <v>0</v>
      </c>
      <c r="AL160" s="661">
        <v>0</v>
      </c>
      <c r="AM160" s="682">
        <f t="shared" si="18"/>
        <v>0</v>
      </c>
      <c r="AN160" s="651">
        <f>ERP_27[[#This Row],[2026 Working Total]]-ERP_27[[#This Row],[LE2 Final Submission]]</f>
        <v>0</v>
      </c>
      <c r="AO160" s="652">
        <v>0</v>
      </c>
      <c r="AP160" s="652">
        <f t="shared" si="17"/>
        <v>0</v>
      </c>
      <c r="AQ160" s="374">
        <f>SUM(ERP_27[[#This Row],[AP01]:[AP06]])-SUM(ERP_27[[#This Row],[AP01 LE2]:[AP06 LE2]])</f>
        <v>0</v>
      </c>
      <c r="AR160" s="653"/>
      <c r="AS160" s="652">
        <f>ERP_27[[#This Row],[2026 Working Total to Budget/LE]]-ERP_27[[#This Row],[Giveback]]</f>
        <v>0</v>
      </c>
      <c r="AT160" s="654" t="s">
        <v>2640</v>
      </c>
      <c r="AU160" s="655"/>
      <c r="AV160" s="655"/>
      <c r="AW160" s="655"/>
      <c r="AX160" s="655">
        <v>0</v>
      </c>
      <c r="AY160" s="655">
        <v>0</v>
      </c>
      <c r="AZ160" s="655">
        <v>0</v>
      </c>
      <c r="BA160" s="655">
        <v>0</v>
      </c>
      <c r="BB160" s="655">
        <v>0</v>
      </c>
      <c r="BC160" s="655">
        <v>0</v>
      </c>
      <c r="BD160" s="655">
        <v>0</v>
      </c>
      <c r="BE160" s="655">
        <v>0</v>
      </c>
      <c r="BF160" s="655">
        <v>0</v>
      </c>
      <c r="BG160" s="655">
        <v>0</v>
      </c>
      <c r="BH160" s="662">
        <v>-111372.91</v>
      </c>
      <c r="BI160" s="662">
        <v>0</v>
      </c>
      <c r="BJ160" s="662">
        <v>0</v>
      </c>
      <c r="BK160" s="662">
        <v>0</v>
      </c>
      <c r="BL160" s="662">
        <v>0</v>
      </c>
      <c r="BM160" s="662">
        <v>0</v>
      </c>
      <c r="BN160" s="662">
        <v>0</v>
      </c>
      <c r="BO160" s="662">
        <v>0</v>
      </c>
      <c r="BP160" s="662">
        <v>0</v>
      </c>
      <c r="BQ160" s="662">
        <v>0</v>
      </c>
      <c r="BR160" s="662">
        <v>0</v>
      </c>
      <c r="BS160" s="662">
        <v>0</v>
      </c>
      <c r="BT160" s="652">
        <f>SUM(ERP_27[[#This Row],[2026 AP01]:[2026 AP12]])</f>
        <v>-111372.91</v>
      </c>
    </row>
    <row r="161" spans="1:72" ht="15" hidden="1" customHeight="1">
      <c r="A161" s="79" t="s">
        <v>2692</v>
      </c>
      <c r="B161" s="79"/>
      <c r="C161" s="79" t="s">
        <v>951</v>
      </c>
      <c r="D161" s="296" t="s">
        <v>2693</v>
      </c>
      <c r="E161" s="150" t="s">
        <v>1136</v>
      </c>
      <c r="F161" s="482" t="s">
        <v>1566</v>
      </c>
      <c r="G161" s="332" t="s">
        <v>1345</v>
      </c>
      <c r="H161" s="383" t="s">
        <v>1437</v>
      </c>
      <c r="I161" s="332" t="s">
        <v>1345</v>
      </c>
      <c r="J161" s="383" t="s">
        <v>1437</v>
      </c>
      <c r="K161" s="333" t="s">
        <v>1346</v>
      </c>
      <c r="L161" s="512" t="s">
        <v>639</v>
      </c>
      <c r="M161" s="393" t="s">
        <v>2694</v>
      </c>
      <c r="N161" s="343" t="s">
        <v>949</v>
      </c>
      <c r="O161" s="332" t="s">
        <v>1438</v>
      </c>
      <c r="P161" s="91" t="s">
        <v>952</v>
      </c>
      <c r="Q161" s="347"/>
      <c r="R161" s="346" t="s">
        <v>2695</v>
      </c>
      <c r="S161" s="346" t="s">
        <v>1710</v>
      </c>
      <c r="T161" s="386" t="s">
        <v>863</v>
      </c>
      <c r="U161" s="346" t="s">
        <v>1348</v>
      </c>
      <c r="V161" s="660"/>
      <c r="W161" s="358">
        <v>231903.75</v>
      </c>
      <c r="X161" s="660">
        <v>0</v>
      </c>
      <c r="Y161" s="656"/>
      <c r="Z161" s="657"/>
      <c r="AA161" s="716"/>
      <c r="AB161" s="717"/>
      <c r="AC161" s="717"/>
      <c r="AD161" s="428" t="s">
        <v>1142</v>
      </c>
      <c r="AE161" s="429">
        <v>0</v>
      </c>
      <c r="AF161" s="429">
        <v>0</v>
      </c>
      <c r="AG161" s="661">
        <v>0</v>
      </c>
      <c r="AH161" s="661">
        <v>0</v>
      </c>
      <c r="AI161" s="661">
        <v>0</v>
      </c>
      <c r="AJ161" s="661">
        <v>0</v>
      </c>
      <c r="AK161" s="661">
        <v>0</v>
      </c>
      <c r="AL161" s="661">
        <v>0</v>
      </c>
      <c r="AM161" s="682">
        <f t="shared" si="18"/>
        <v>0</v>
      </c>
      <c r="AN161" s="651">
        <f>ERP_27[[#This Row],[2026 Working Total]]-ERP_27[[#This Row],[LE2 Final Submission]]</f>
        <v>0</v>
      </c>
      <c r="AO161" s="652">
        <v>0</v>
      </c>
      <c r="AP161" s="652">
        <f t="shared" si="17"/>
        <v>0</v>
      </c>
      <c r="AQ161" s="374">
        <f>SUM(ERP_27[[#This Row],[AP01]:[AP06]])-SUM(ERP_27[[#This Row],[AP01 LE2]:[AP06 LE2]])</f>
        <v>0</v>
      </c>
      <c r="AR161" s="653"/>
      <c r="AS161" s="652">
        <f>ERP_27[[#This Row],[2026 Working Total to Budget/LE]]-ERP_27[[#This Row],[Giveback]]</f>
        <v>0</v>
      </c>
      <c r="AT161" s="654"/>
      <c r="AU161" s="655"/>
      <c r="AV161" s="655"/>
      <c r="AW161" s="655"/>
      <c r="AX161" s="655">
        <v>0</v>
      </c>
      <c r="AY161" s="655">
        <v>0</v>
      </c>
      <c r="AZ161" s="655">
        <v>0</v>
      </c>
      <c r="BA161" s="655">
        <v>0</v>
      </c>
      <c r="BB161" s="655">
        <v>0</v>
      </c>
      <c r="BC161" s="655">
        <v>0</v>
      </c>
      <c r="BD161" s="655">
        <v>0</v>
      </c>
      <c r="BE161" s="655">
        <v>0</v>
      </c>
      <c r="BF161" s="655">
        <v>0</v>
      </c>
      <c r="BG161" s="655">
        <v>0</v>
      </c>
      <c r="BH161" s="662">
        <v>231903.75</v>
      </c>
      <c r="BI161" s="662">
        <v>0</v>
      </c>
      <c r="BJ161" s="662">
        <v>0</v>
      </c>
      <c r="BK161" s="662">
        <v>0</v>
      </c>
      <c r="BL161" s="662">
        <v>0</v>
      </c>
      <c r="BM161" s="662">
        <v>0</v>
      </c>
      <c r="BN161" s="662">
        <v>0</v>
      </c>
      <c r="BO161" s="662">
        <v>0</v>
      </c>
      <c r="BP161" s="662">
        <v>0</v>
      </c>
      <c r="BQ161" s="662">
        <v>0</v>
      </c>
      <c r="BR161" s="662">
        <v>0</v>
      </c>
      <c r="BS161" s="662">
        <v>0</v>
      </c>
      <c r="BT161" s="652">
        <f>SUM(ERP_27[[#This Row],[2026 AP01]:[2026 AP12]])</f>
        <v>231903.75</v>
      </c>
    </row>
    <row r="162" spans="1:72" ht="15" hidden="1" customHeight="1">
      <c r="A162" s="79" t="s">
        <v>2696</v>
      </c>
      <c r="B162" s="79"/>
      <c r="C162" s="79" t="s">
        <v>953</v>
      </c>
      <c r="D162" s="296" t="s">
        <v>2697</v>
      </c>
      <c r="E162" s="150" t="s">
        <v>1136</v>
      </c>
      <c r="F162" s="482" t="s">
        <v>1566</v>
      </c>
      <c r="G162" s="332" t="s">
        <v>1345</v>
      </c>
      <c r="H162" s="383" t="s">
        <v>1437</v>
      </c>
      <c r="I162" s="332" t="s">
        <v>1345</v>
      </c>
      <c r="J162" s="383" t="s">
        <v>1437</v>
      </c>
      <c r="K162" s="333" t="s">
        <v>1346</v>
      </c>
      <c r="L162" s="512" t="s">
        <v>639</v>
      </c>
      <c r="M162" s="393" t="s">
        <v>2698</v>
      </c>
      <c r="N162" s="343" t="s">
        <v>949</v>
      </c>
      <c r="O162" s="332" t="s">
        <v>1438</v>
      </c>
      <c r="P162" s="91" t="s">
        <v>954</v>
      </c>
      <c r="Q162" s="347"/>
      <c r="R162" s="346" t="s">
        <v>2695</v>
      </c>
      <c r="S162" s="346" t="s">
        <v>1710</v>
      </c>
      <c r="T162" s="386" t="s">
        <v>863</v>
      </c>
      <c r="U162" s="346" t="s">
        <v>1348</v>
      </c>
      <c r="V162" s="660"/>
      <c r="W162" s="358">
        <v>-231903.75</v>
      </c>
      <c r="X162" s="660">
        <v>0</v>
      </c>
      <c r="Y162" s="656"/>
      <c r="Z162" s="657"/>
      <c r="AA162" s="716"/>
      <c r="AB162" s="717"/>
      <c r="AC162" s="717"/>
      <c r="AD162" s="428" t="s">
        <v>1142</v>
      </c>
      <c r="AE162" s="429">
        <v>0</v>
      </c>
      <c r="AF162" s="429">
        <v>0</v>
      </c>
      <c r="AG162" s="661">
        <v>0</v>
      </c>
      <c r="AH162" s="661">
        <v>0</v>
      </c>
      <c r="AI162" s="661">
        <v>0</v>
      </c>
      <c r="AJ162" s="661">
        <v>0</v>
      </c>
      <c r="AK162" s="661">
        <v>0</v>
      </c>
      <c r="AL162" s="661">
        <v>0</v>
      </c>
      <c r="AM162" s="682">
        <f t="shared" si="18"/>
        <v>0</v>
      </c>
      <c r="AN162" s="651">
        <f>ERP_27[[#This Row],[2026 Working Total]]-ERP_27[[#This Row],[LE2 Final Submission]]</f>
        <v>0</v>
      </c>
      <c r="AO162" s="652">
        <v>0</v>
      </c>
      <c r="AP162" s="652">
        <f t="shared" si="17"/>
        <v>0</v>
      </c>
      <c r="AQ162" s="374">
        <f>SUM(ERP_27[[#This Row],[AP01]:[AP06]])-SUM(ERP_27[[#This Row],[AP01 LE2]:[AP06 LE2]])</f>
        <v>0</v>
      </c>
      <c r="AR162" s="653"/>
      <c r="AS162" s="652">
        <f>ERP_27[[#This Row],[2026 Working Total to Budget/LE]]-ERP_27[[#This Row],[Giveback]]</f>
        <v>0</v>
      </c>
      <c r="AT162" s="654"/>
      <c r="AU162" s="655"/>
      <c r="AV162" s="655"/>
      <c r="AW162" s="655"/>
      <c r="AX162" s="655">
        <v>0</v>
      </c>
      <c r="AY162" s="655">
        <v>0</v>
      </c>
      <c r="AZ162" s="655">
        <v>0</v>
      </c>
      <c r="BA162" s="655">
        <v>0</v>
      </c>
      <c r="BB162" s="655">
        <v>0</v>
      </c>
      <c r="BC162" s="655">
        <v>0</v>
      </c>
      <c r="BD162" s="655">
        <v>0</v>
      </c>
      <c r="BE162" s="655">
        <v>0</v>
      </c>
      <c r="BF162" s="655">
        <v>0</v>
      </c>
      <c r="BG162" s="655">
        <v>0</v>
      </c>
      <c r="BH162" s="662">
        <v>-231903.75</v>
      </c>
      <c r="BI162" s="662">
        <v>0</v>
      </c>
      <c r="BJ162" s="662">
        <v>0</v>
      </c>
      <c r="BK162" s="662">
        <v>0</v>
      </c>
      <c r="BL162" s="662">
        <v>0</v>
      </c>
      <c r="BM162" s="662">
        <v>0</v>
      </c>
      <c r="BN162" s="662">
        <v>0</v>
      </c>
      <c r="BO162" s="662">
        <v>0</v>
      </c>
      <c r="BP162" s="662">
        <v>0</v>
      </c>
      <c r="BQ162" s="662">
        <v>0</v>
      </c>
      <c r="BR162" s="662">
        <v>0</v>
      </c>
      <c r="BS162" s="662">
        <v>0</v>
      </c>
      <c r="BT162" s="652">
        <f>SUM(ERP_27[[#This Row],[2026 AP01]:[2026 AP12]])</f>
        <v>-231903.75</v>
      </c>
    </row>
    <row r="163" spans="1:72" ht="15" hidden="1" customHeight="1">
      <c r="A163" s="79" t="s">
        <v>2719</v>
      </c>
      <c r="B163" s="79"/>
      <c r="C163" s="79" t="s">
        <v>969</v>
      </c>
      <c r="D163" s="296" t="s">
        <v>969</v>
      </c>
      <c r="E163" s="150" t="s">
        <v>1136</v>
      </c>
      <c r="F163" s="482" t="s">
        <v>1566</v>
      </c>
      <c r="G163" s="383" t="s">
        <v>1480</v>
      </c>
      <c r="H163" s="383" t="s">
        <v>1480</v>
      </c>
      <c r="I163" s="332" t="s">
        <v>1345</v>
      </c>
      <c r="J163" s="383" t="s">
        <v>1480</v>
      </c>
      <c r="K163" s="331" t="s">
        <v>1346</v>
      </c>
      <c r="L163" s="512" t="s">
        <v>639</v>
      </c>
      <c r="M163" s="393" t="s">
        <v>2720</v>
      </c>
      <c r="N163" s="343" t="s">
        <v>2721</v>
      </c>
      <c r="O163" s="150" t="s">
        <v>1493</v>
      </c>
      <c r="P163" s="91" t="s">
        <v>970</v>
      </c>
      <c r="Q163" s="343"/>
      <c r="R163" s="346" t="s">
        <v>2722</v>
      </c>
      <c r="S163" s="346" t="s">
        <v>1710</v>
      </c>
      <c r="T163" s="386" t="s">
        <v>863</v>
      </c>
      <c r="U163" s="346" t="s">
        <v>1348</v>
      </c>
      <c r="V163" s="660"/>
      <c r="W163" s="358">
        <v>26967.21</v>
      </c>
      <c r="X163" s="660">
        <v>0</v>
      </c>
      <c r="Y163" s="656"/>
      <c r="Z163" s="657"/>
      <c r="AA163" s="716"/>
      <c r="AB163" s="717"/>
      <c r="AC163" s="717"/>
      <c r="AD163" s="428">
        <v>0</v>
      </c>
      <c r="AE163" s="429">
        <v>0</v>
      </c>
      <c r="AF163" s="429">
        <v>0</v>
      </c>
      <c r="AG163" s="661">
        <v>0</v>
      </c>
      <c r="AH163" s="661">
        <v>0</v>
      </c>
      <c r="AI163" s="661">
        <v>0</v>
      </c>
      <c r="AJ163" s="661">
        <v>0</v>
      </c>
      <c r="AK163" s="661">
        <v>0</v>
      </c>
      <c r="AL163" s="661">
        <v>0</v>
      </c>
      <c r="AM163" s="682">
        <f t="shared" si="18"/>
        <v>0</v>
      </c>
      <c r="AN163" s="651">
        <f>ERP_27[[#This Row],[2026 Working Total]]-ERP_27[[#This Row],[LE2 Final Submission]]</f>
        <v>0</v>
      </c>
      <c r="AO163" s="652">
        <v>0</v>
      </c>
      <c r="AP163" s="652">
        <f t="shared" si="17"/>
        <v>0</v>
      </c>
      <c r="AQ163" s="374">
        <f>SUM(ERP_27[[#This Row],[AP01]:[AP06]])-SUM(ERP_27[[#This Row],[AP01 LE2]:[AP06 LE2]])</f>
        <v>0</v>
      </c>
      <c r="AR163" s="653"/>
      <c r="AS163" s="652">
        <f>ERP_27[[#This Row],[2026 Working Total to Budget/LE]]-ERP_27[[#This Row],[Giveback]]</f>
        <v>0</v>
      </c>
      <c r="AT163" s="654"/>
      <c r="AU163" s="655"/>
      <c r="AV163" s="655"/>
      <c r="AW163" s="655"/>
      <c r="AX163" s="655">
        <v>0</v>
      </c>
      <c r="AY163" s="655">
        <v>0</v>
      </c>
      <c r="AZ163" s="655">
        <v>0</v>
      </c>
      <c r="BA163" s="655">
        <v>0</v>
      </c>
      <c r="BB163" s="655">
        <v>0</v>
      </c>
      <c r="BC163" s="655">
        <v>0</v>
      </c>
      <c r="BD163" s="655">
        <v>0</v>
      </c>
      <c r="BE163" s="655">
        <v>0</v>
      </c>
      <c r="BF163" s="655">
        <v>0</v>
      </c>
      <c r="BG163" s="655">
        <v>0</v>
      </c>
      <c r="BH163" s="662">
        <v>26967.21</v>
      </c>
      <c r="BI163" s="662">
        <v>0</v>
      </c>
      <c r="BJ163" s="662">
        <v>0</v>
      </c>
      <c r="BK163" s="662">
        <v>0</v>
      </c>
      <c r="BL163" s="662">
        <v>0</v>
      </c>
      <c r="BM163" s="662">
        <v>0</v>
      </c>
      <c r="BN163" s="662">
        <v>0</v>
      </c>
      <c r="BO163" s="662">
        <v>0</v>
      </c>
      <c r="BP163" s="662">
        <v>0</v>
      </c>
      <c r="BQ163" s="662">
        <v>0</v>
      </c>
      <c r="BR163" s="662">
        <v>0</v>
      </c>
      <c r="BS163" s="662">
        <v>0</v>
      </c>
      <c r="BT163" s="652">
        <f>SUM(ERP_27[[#This Row],[2026 AP01]:[2026 AP12]])</f>
        <v>26967.21</v>
      </c>
    </row>
    <row r="164" spans="1:72" ht="15" hidden="1" customHeight="1">
      <c r="A164" s="79" t="s">
        <v>2723</v>
      </c>
      <c r="B164" s="79"/>
      <c r="C164" s="79" t="s">
        <v>971</v>
      </c>
      <c r="D164" s="296" t="s">
        <v>971</v>
      </c>
      <c r="E164" s="150" t="s">
        <v>1136</v>
      </c>
      <c r="F164" s="482" t="s">
        <v>1566</v>
      </c>
      <c r="G164" s="383" t="s">
        <v>1480</v>
      </c>
      <c r="H164" s="383" t="s">
        <v>1480</v>
      </c>
      <c r="I164" s="332" t="s">
        <v>1345</v>
      </c>
      <c r="J164" s="383" t="s">
        <v>1480</v>
      </c>
      <c r="K164" s="331" t="s">
        <v>1346</v>
      </c>
      <c r="L164" s="512" t="s">
        <v>639</v>
      </c>
      <c r="M164" s="393" t="s">
        <v>2724</v>
      </c>
      <c r="N164" s="343" t="s">
        <v>2721</v>
      </c>
      <c r="O164" s="150" t="s">
        <v>1493</v>
      </c>
      <c r="P164" s="91" t="s">
        <v>972</v>
      </c>
      <c r="Q164" s="343"/>
      <c r="R164" s="346" t="s">
        <v>2722</v>
      </c>
      <c r="S164" s="346" t="s">
        <v>1710</v>
      </c>
      <c r="T164" s="386" t="s">
        <v>863</v>
      </c>
      <c r="U164" s="346" t="s">
        <v>1348</v>
      </c>
      <c r="V164" s="660"/>
      <c r="W164" s="358">
        <v>-26967.21</v>
      </c>
      <c r="X164" s="660">
        <v>0</v>
      </c>
      <c r="Y164" s="656"/>
      <c r="Z164" s="657"/>
      <c r="AA164" s="716"/>
      <c r="AB164" s="717"/>
      <c r="AC164" s="717"/>
      <c r="AD164" s="428" t="s">
        <v>1142</v>
      </c>
      <c r="AE164" s="429">
        <v>0</v>
      </c>
      <c r="AF164" s="429">
        <v>0</v>
      </c>
      <c r="AG164" s="661">
        <v>0</v>
      </c>
      <c r="AH164" s="661">
        <v>0</v>
      </c>
      <c r="AI164" s="661">
        <v>0</v>
      </c>
      <c r="AJ164" s="661">
        <v>0</v>
      </c>
      <c r="AK164" s="661">
        <v>0</v>
      </c>
      <c r="AL164" s="661">
        <v>0</v>
      </c>
      <c r="AM164" s="682">
        <f t="shared" si="18"/>
        <v>0</v>
      </c>
      <c r="AN164" s="651">
        <f>ERP_27[[#This Row],[2026 Working Total]]-ERP_27[[#This Row],[LE2 Final Submission]]</f>
        <v>0</v>
      </c>
      <c r="AO164" s="652">
        <v>0</v>
      </c>
      <c r="AP164" s="652">
        <f t="shared" si="17"/>
        <v>0</v>
      </c>
      <c r="AQ164" s="374">
        <f>SUM(ERP_27[[#This Row],[AP01]:[AP06]])-SUM(ERP_27[[#This Row],[AP01 LE2]:[AP06 LE2]])</f>
        <v>0</v>
      </c>
      <c r="AR164" s="653"/>
      <c r="AS164" s="652">
        <f>ERP_27[[#This Row],[2026 Working Total to Budget/LE]]-ERP_27[[#This Row],[Giveback]]</f>
        <v>0</v>
      </c>
      <c r="AT164" s="654"/>
      <c r="AU164" s="655"/>
      <c r="AV164" s="655"/>
      <c r="AW164" s="655"/>
      <c r="AX164" s="655">
        <v>0</v>
      </c>
      <c r="AY164" s="655">
        <v>0</v>
      </c>
      <c r="AZ164" s="655">
        <v>0</v>
      </c>
      <c r="BA164" s="655">
        <v>0</v>
      </c>
      <c r="BB164" s="655">
        <v>0</v>
      </c>
      <c r="BC164" s="655">
        <v>0</v>
      </c>
      <c r="BD164" s="655">
        <v>0</v>
      </c>
      <c r="BE164" s="655">
        <v>0</v>
      </c>
      <c r="BF164" s="655">
        <v>0</v>
      </c>
      <c r="BG164" s="655">
        <v>0</v>
      </c>
      <c r="BH164" s="662">
        <v>-26967.21</v>
      </c>
      <c r="BI164" s="662">
        <v>0</v>
      </c>
      <c r="BJ164" s="662">
        <v>0</v>
      </c>
      <c r="BK164" s="662">
        <v>0</v>
      </c>
      <c r="BL164" s="662">
        <v>0</v>
      </c>
      <c r="BM164" s="662">
        <v>0</v>
      </c>
      <c r="BN164" s="662">
        <v>0</v>
      </c>
      <c r="BO164" s="662">
        <v>0</v>
      </c>
      <c r="BP164" s="662">
        <v>0</v>
      </c>
      <c r="BQ164" s="662">
        <v>0</v>
      </c>
      <c r="BR164" s="662">
        <v>0</v>
      </c>
      <c r="BS164" s="662">
        <v>0</v>
      </c>
      <c r="BT164" s="652">
        <f>SUM(ERP_27[[#This Row],[2026 AP01]:[2026 AP12]])</f>
        <v>-26967.21</v>
      </c>
    </row>
    <row r="165" spans="1:72" ht="15" hidden="1" customHeight="1">
      <c r="A165" s="79" t="s">
        <v>2561</v>
      </c>
      <c r="B165" s="79"/>
      <c r="C165" s="79" t="s">
        <v>875</v>
      </c>
      <c r="D165" s="296" t="s">
        <v>2562</v>
      </c>
      <c r="E165" s="150" t="s">
        <v>1136</v>
      </c>
      <c r="F165" s="482" t="s">
        <v>1566</v>
      </c>
      <c r="G165" s="150" t="s">
        <v>1135</v>
      </c>
      <c r="H165" s="383" t="s">
        <v>1145</v>
      </c>
      <c r="I165" s="332" t="s">
        <v>1135</v>
      </c>
      <c r="J165" s="383" t="s">
        <v>1145</v>
      </c>
      <c r="K165" s="331" t="s">
        <v>1137</v>
      </c>
      <c r="L165" s="512" t="s">
        <v>639</v>
      </c>
      <c r="M165" s="393" t="s">
        <v>2563</v>
      </c>
      <c r="N165" s="343" t="s">
        <v>1167</v>
      </c>
      <c r="O165" s="150" t="s">
        <v>1186</v>
      </c>
      <c r="P165" s="91" t="s">
        <v>876</v>
      </c>
      <c r="Q165" s="343"/>
      <c r="R165" s="346" t="s">
        <v>2560</v>
      </c>
      <c r="S165" s="346" t="s">
        <v>2310</v>
      </c>
      <c r="T165" s="386" t="s">
        <v>874</v>
      </c>
      <c r="U165" s="346" t="s">
        <v>1779</v>
      </c>
      <c r="V165" s="660"/>
      <c r="W165" s="358">
        <v>-14353.4</v>
      </c>
      <c r="X165" s="660">
        <v>0</v>
      </c>
      <c r="Y165" s="656"/>
      <c r="Z165" s="657"/>
      <c r="AA165" s="716"/>
      <c r="AB165" s="717"/>
      <c r="AC165" s="717"/>
      <c r="AD165" s="428" t="s">
        <v>1142</v>
      </c>
      <c r="AE165" s="429">
        <v>0</v>
      </c>
      <c r="AF165" s="429">
        <v>0</v>
      </c>
      <c r="AG165" s="661">
        <v>0</v>
      </c>
      <c r="AH165" s="661">
        <v>0</v>
      </c>
      <c r="AI165" s="661">
        <v>0</v>
      </c>
      <c r="AJ165" s="661">
        <v>0</v>
      </c>
      <c r="AK165" s="661">
        <v>0</v>
      </c>
      <c r="AL165" s="661">
        <v>0</v>
      </c>
      <c r="AM165" s="682">
        <f t="shared" si="18"/>
        <v>0</v>
      </c>
      <c r="AN165" s="651">
        <f>ERP_27[[#This Row],[2026 Working Total]]-ERP_27[[#This Row],[LE2 Final Submission]]</f>
        <v>0</v>
      </c>
      <c r="AO165" s="652">
        <v>0</v>
      </c>
      <c r="AP165" s="652">
        <f t="shared" si="17"/>
        <v>0</v>
      </c>
      <c r="AQ165" s="374">
        <f>SUM(ERP_27[[#This Row],[AP01]:[AP06]])-SUM(ERP_27[[#This Row],[AP01 LE2]:[AP06 LE2]])</f>
        <v>0</v>
      </c>
      <c r="AR165" s="653"/>
      <c r="AS165" s="652">
        <f>ERP_27[[#This Row],[2026 Working Total to Budget/LE]]-ERP_27[[#This Row],[Giveback]]</f>
        <v>0</v>
      </c>
      <c r="AT165" s="654"/>
      <c r="AU165" s="655"/>
      <c r="AV165" s="655"/>
      <c r="AW165" s="655"/>
      <c r="AX165" s="655">
        <v>0</v>
      </c>
      <c r="AY165" s="655">
        <v>0</v>
      </c>
      <c r="AZ165" s="655">
        <v>0</v>
      </c>
      <c r="BA165" s="655">
        <v>0</v>
      </c>
      <c r="BB165" s="655">
        <v>0</v>
      </c>
      <c r="BC165" s="655">
        <v>0</v>
      </c>
      <c r="BD165" s="655">
        <v>0</v>
      </c>
      <c r="BE165" s="655">
        <v>0</v>
      </c>
      <c r="BF165" s="655">
        <v>0</v>
      </c>
      <c r="BG165" s="655">
        <v>0</v>
      </c>
      <c r="BH165" s="662">
        <v>-14353.4</v>
      </c>
      <c r="BI165" s="662">
        <v>0</v>
      </c>
      <c r="BJ165" s="662">
        <v>0</v>
      </c>
      <c r="BK165" s="662">
        <v>0</v>
      </c>
      <c r="BL165" s="662">
        <v>0</v>
      </c>
      <c r="BM165" s="662">
        <v>0</v>
      </c>
      <c r="BN165" s="662">
        <v>0</v>
      </c>
      <c r="BO165" s="662">
        <v>0</v>
      </c>
      <c r="BP165" s="662">
        <v>0</v>
      </c>
      <c r="BQ165" s="662">
        <v>0</v>
      </c>
      <c r="BR165" s="662">
        <v>0</v>
      </c>
      <c r="BS165" s="662">
        <v>0</v>
      </c>
      <c r="BT165" s="652">
        <f>SUM(ERP_27[[#This Row],[2026 AP01]:[2026 AP12]])</f>
        <v>-14353.4</v>
      </c>
    </row>
    <row r="166" spans="1:72" ht="15" hidden="1" customHeight="1">
      <c r="A166" s="79" t="s">
        <v>2307</v>
      </c>
      <c r="B166" s="79"/>
      <c r="C166" s="79" t="s">
        <v>685</v>
      </c>
      <c r="D166" s="296" t="s">
        <v>2308</v>
      </c>
      <c r="E166" s="150" t="s">
        <v>1136</v>
      </c>
      <c r="F166" s="482" t="s">
        <v>1566</v>
      </c>
      <c r="G166" s="150" t="s">
        <v>1135</v>
      </c>
      <c r="H166" s="383" t="s">
        <v>1165</v>
      </c>
      <c r="I166" s="332" t="s">
        <v>1135</v>
      </c>
      <c r="J166" s="383" t="s">
        <v>1165</v>
      </c>
      <c r="K166" s="333" t="s">
        <v>1137</v>
      </c>
      <c r="L166" s="512" t="s">
        <v>639</v>
      </c>
      <c r="M166" s="393" t="s">
        <v>2309</v>
      </c>
      <c r="N166" s="343"/>
      <c r="O166" s="333"/>
      <c r="P166" s="91" t="s">
        <v>686</v>
      </c>
      <c r="Q166" s="347"/>
      <c r="R166" s="346" t="s">
        <v>2306</v>
      </c>
      <c r="S166" s="346" t="s">
        <v>2310</v>
      </c>
      <c r="T166" s="386" t="s">
        <v>684</v>
      </c>
      <c r="U166" s="346" t="s">
        <v>1779</v>
      </c>
      <c r="V166" s="660"/>
      <c r="W166" s="358">
        <v>-146492.82999999999</v>
      </c>
      <c r="X166" s="660">
        <v>115764.16</v>
      </c>
      <c r="Y166" s="656"/>
      <c r="Z166" s="657"/>
      <c r="AA166" s="716"/>
      <c r="AB166" s="717">
        <v>115764.16</v>
      </c>
      <c r="AC166" s="717"/>
      <c r="AD166" s="428" t="s">
        <v>1142</v>
      </c>
      <c r="AE166" s="429">
        <v>0</v>
      </c>
      <c r="AF166" s="429">
        <v>0</v>
      </c>
      <c r="AG166" s="661">
        <v>0</v>
      </c>
      <c r="AH166" s="661">
        <v>0</v>
      </c>
      <c r="AI166" s="661">
        <v>0</v>
      </c>
      <c r="AJ166" s="661">
        <v>0</v>
      </c>
      <c r="AK166" s="661">
        <v>0</v>
      </c>
      <c r="AL166" s="661">
        <v>0</v>
      </c>
      <c r="AM166" s="682">
        <f t="shared" si="18"/>
        <v>115764.16</v>
      </c>
      <c r="AN166" s="651">
        <f>ERP_27[[#This Row],[2026 Working Total]]-ERP_27[[#This Row],[LE2 Final Submission]]</f>
        <v>0</v>
      </c>
      <c r="AO166" s="652">
        <v>0</v>
      </c>
      <c r="AP166" s="652">
        <f t="shared" si="17"/>
        <v>0</v>
      </c>
      <c r="AQ166" s="374">
        <f>SUM(ERP_27[[#This Row],[AP01]:[AP06]])-SUM(ERP_27[[#This Row],[AP01 LE2]:[AP06 LE2]])</f>
        <v>0</v>
      </c>
      <c r="AR166" s="653"/>
      <c r="AS166" s="652">
        <f>ERP_27[[#This Row],[2026 Working Total to Budget/LE]]-ERP_27[[#This Row],[Giveback]]</f>
        <v>0</v>
      </c>
      <c r="AT166" s="654"/>
      <c r="AU166" s="655"/>
      <c r="AV166" s="655">
        <v>115764.16</v>
      </c>
      <c r="AW166" s="655"/>
      <c r="AX166" s="655">
        <v>0</v>
      </c>
      <c r="AY166" s="655">
        <v>0</v>
      </c>
      <c r="AZ166" s="655">
        <v>0</v>
      </c>
      <c r="BA166" s="655">
        <v>0</v>
      </c>
      <c r="BB166" s="655">
        <v>0</v>
      </c>
      <c r="BC166" s="655">
        <v>0</v>
      </c>
      <c r="BD166" s="655">
        <v>0</v>
      </c>
      <c r="BE166" s="655">
        <v>0</v>
      </c>
      <c r="BF166" s="655">
        <v>0</v>
      </c>
      <c r="BG166" s="655">
        <v>115764.16</v>
      </c>
      <c r="BH166" s="662">
        <v>-146492.82999999999</v>
      </c>
      <c r="BI166" s="662">
        <v>0</v>
      </c>
      <c r="BJ166" s="662">
        <v>0</v>
      </c>
      <c r="BK166" s="662">
        <v>0</v>
      </c>
      <c r="BL166" s="662">
        <v>0</v>
      </c>
      <c r="BM166" s="662">
        <v>0</v>
      </c>
      <c r="BN166" s="662">
        <v>0</v>
      </c>
      <c r="BO166" s="662">
        <v>0</v>
      </c>
      <c r="BP166" s="662">
        <v>0</v>
      </c>
      <c r="BQ166" s="662">
        <v>0</v>
      </c>
      <c r="BR166" s="662">
        <v>0</v>
      </c>
      <c r="BS166" s="662">
        <v>0</v>
      </c>
      <c r="BT166" s="652">
        <f>SUM(ERP_27[[#This Row],[2026 AP01]:[2026 AP12]])</f>
        <v>-146492.82999999999</v>
      </c>
    </row>
    <row r="167" spans="1:72" ht="15" hidden="1" customHeight="1">
      <c r="A167" s="79" t="s">
        <v>2170</v>
      </c>
      <c r="B167" s="79"/>
      <c r="C167" s="79" t="s">
        <v>2928</v>
      </c>
      <c r="D167" s="296" t="s">
        <v>2171</v>
      </c>
      <c r="E167" s="150" t="s">
        <v>1136</v>
      </c>
      <c r="F167" s="482" t="s">
        <v>1566</v>
      </c>
      <c r="G167" s="150" t="s">
        <v>1566</v>
      </c>
      <c r="H167" s="150" t="s">
        <v>1566</v>
      </c>
      <c r="I167" s="332" t="s">
        <v>1567</v>
      </c>
      <c r="J167" s="332" t="s">
        <v>1567</v>
      </c>
      <c r="K167" s="150" t="s">
        <v>1567</v>
      </c>
      <c r="L167" s="514" t="s">
        <v>602</v>
      </c>
      <c r="M167" s="394" t="s">
        <v>2172</v>
      </c>
      <c r="N167" s="343"/>
      <c r="O167" s="333"/>
      <c r="P167" s="90" t="s">
        <v>291</v>
      </c>
      <c r="Q167" s="347"/>
      <c r="R167" s="343"/>
      <c r="S167" s="348"/>
      <c r="T167" s="348"/>
      <c r="U167" s="348" t="s">
        <v>2173</v>
      </c>
      <c r="V167" s="646"/>
      <c r="W167" s="358"/>
      <c r="X167" s="358">
        <v>-6407318.4800000004</v>
      </c>
      <c r="Y167" s="656"/>
      <c r="Z167" s="657"/>
      <c r="AA167" s="714"/>
      <c r="AB167" s="428"/>
      <c r="AC167" s="428"/>
      <c r="AD167" s="428" t="s">
        <v>1142</v>
      </c>
      <c r="AE167" s="429">
        <v>0</v>
      </c>
      <c r="AF167" s="429">
        <v>0</v>
      </c>
      <c r="AG167" s="649"/>
      <c r="AH167" s="649"/>
      <c r="AI167" s="649">
        <v>-1601829.62</v>
      </c>
      <c r="AJ167" s="649">
        <v>-1601829.62</v>
      </c>
      <c r="AK167" s="649">
        <v>-1601829.62</v>
      </c>
      <c r="AL167" s="649">
        <v>-1601829.62</v>
      </c>
      <c r="AM167" s="649">
        <f t="shared" si="18"/>
        <v>-6407318.4800000004</v>
      </c>
      <c r="AN167" s="651">
        <f>ERP_27[[#This Row],[2026 Working Total]]-ERP_27[[#This Row],[LE2 Final Submission]]</f>
        <v>0</v>
      </c>
      <c r="AO167" s="652"/>
      <c r="AP167" s="652">
        <f t="shared" si="17"/>
        <v>0</v>
      </c>
      <c r="AQ167" s="374">
        <f>SUM(ERP_27[[#This Row],[AP01]:[AP06]])-SUM(ERP_27[[#This Row],[AP01 LE2]:[AP06 LE2]])</f>
        <v>0</v>
      </c>
      <c r="AR167" s="653"/>
      <c r="AS167" s="652">
        <f>ERP_27[[#This Row],[2026 Working Total to Budget/LE]]-ERP_27[[#This Row],[Giveback]]</f>
        <v>0</v>
      </c>
      <c r="AT167" s="654"/>
      <c r="AU167" s="655"/>
      <c r="AV167" s="655"/>
      <c r="AW167" s="655"/>
      <c r="AX167" s="655"/>
      <c r="AY167" s="655"/>
      <c r="AZ167" s="655"/>
      <c r="BA167" s="655"/>
      <c r="BB167" s="655"/>
      <c r="BC167" s="655">
        <v>-1601829.62</v>
      </c>
      <c r="BD167" s="655">
        <v>-1601829.62</v>
      </c>
      <c r="BE167" s="655">
        <v>-1601829.62</v>
      </c>
      <c r="BF167" s="655">
        <v>-1601829.62</v>
      </c>
      <c r="BG167" s="655">
        <v>-6407318.4800000004</v>
      </c>
      <c r="BH167" s="652"/>
      <c r="BI167" s="652"/>
      <c r="BJ167" s="652"/>
      <c r="BK167" s="652"/>
      <c r="BL167" s="652"/>
      <c r="BM167" s="652"/>
      <c r="BN167" s="652"/>
      <c r="BO167" s="652"/>
      <c r="BP167" s="652"/>
      <c r="BQ167" s="652"/>
      <c r="BR167" s="652"/>
      <c r="BS167" s="652"/>
      <c r="BT167" s="652"/>
    </row>
    <row r="168" spans="1:72" ht="15" hidden="1" customHeight="1">
      <c r="A168" s="66" t="s">
        <v>1614</v>
      </c>
      <c r="B168" s="66"/>
      <c r="C168" s="66" t="s">
        <v>299</v>
      </c>
      <c r="D168" s="66" t="s">
        <v>1615</v>
      </c>
      <c r="E168" s="150" t="s">
        <v>1136</v>
      </c>
      <c r="F168" s="482" t="s">
        <v>1566</v>
      </c>
      <c r="G168" s="150" t="s">
        <v>1566</v>
      </c>
      <c r="H168" s="150" t="s">
        <v>1566</v>
      </c>
      <c r="I168" s="150" t="s">
        <v>1567</v>
      </c>
      <c r="J168" s="150" t="s">
        <v>1567</v>
      </c>
      <c r="K168" s="150" t="s">
        <v>1567</v>
      </c>
      <c r="L168" s="511" t="s">
        <v>49</v>
      </c>
      <c r="M168" s="392" t="s">
        <v>1616</v>
      </c>
      <c r="N168" s="343"/>
      <c r="O168" s="343"/>
      <c r="P168" s="70" t="s">
        <v>300</v>
      </c>
      <c r="Q168" s="346"/>
      <c r="R168" s="343"/>
      <c r="S168" s="346"/>
      <c r="T168" s="505" t="s">
        <v>272</v>
      </c>
      <c r="U168" s="150"/>
      <c r="V168" s="643"/>
      <c r="W168" s="659">
        <v>-1080865</v>
      </c>
      <c r="X168" s="659">
        <v>-1080865</v>
      </c>
      <c r="Y168" s="656"/>
      <c r="Z168" s="657"/>
      <c r="AA168" s="714"/>
      <c r="AB168" s="428"/>
      <c r="AC168" s="428">
        <v>-180144.16</v>
      </c>
      <c r="AD168" s="429">
        <v>0</v>
      </c>
      <c r="AE168" s="429">
        <v>-270216.24</v>
      </c>
      <c r="AF168" s="429">
        <v>-90072.08</v>
      </c>
      <c r="AG168" s="649">
        <v>0</v>
      </c>
      <c r="AH168" s="649">
        <v>-180144</v>
      </c>
      <c r="AI168" s="649">
        <v>-90072</v>
      </c>
      <c r="AJ168" s="649">
        <v>0</v>
      </c>
      <c r="AK168" s="649">
        <v>-180144</v>
      </c>
      <c r="AL168" s="649">
        <v>-90072.84</v>
      </c>
      <c r="AM168" s="649">
        <f t="shared" si="18"/>
        <v>-1080865.32</v>
      </c>
      <c r="AN168" s="651">
        <f>ERP_27[[#This Row],[2026 Working Total]]-ERP_27[[#This Row],[LE2 Final Submission]]</f>
        <v>-0.32000000006519258</v>
      </c>
      <c r="AO168" s="652">
        <v>-270216</v>
      </c>
      <c r="AP168" s="652">
        <f t="shared" si="17"/>
        <v>180143.91999999998</v>
      </c>
      <c r="AQ168" s="374">
        <f>SUM(ERP_27[[#This Row],[AP01]:[AP06]])-SUM(ERP_27[[#This Row],[AP01 LE2]:[AP06 LE2]])</f>
        <v>-0.31999999994877726</v>
      </c>
      <c r="AR168" s="653"/>
      <c r="AS168" s="652">
        <f>ERP_27[[#This Row],[2026 Working Total to Budget/LE]]-ERP_27[[#This Row],[Giveback]]</f>
        <v>-0.32000000006519258</v>
      </c>
      <c r="AT168" s="654"/>
      <c r="AU168" s="655"/>
      <c r="AV168" s="655"/>
      <c r="AW168" s="655">
        <v>-180144.16</v>
      </c>
      <c r="AX168" s="655">
        <v>0</v>
      </c>
      <c r="AY168" s="655">
        <v>-270216</v>
      </c>
      <c r="AZ168" s="655">
        <v>-90072</v>
      </c>
      <c r="BA168" s="655">
        <v>0</v>
      </c>
      <c r="BB168" s="655">
        <v>-180144</v>
      </c>
      <c r="BC168" s="655">
        <v>-90072</v>
      </c>
      <c r="BD168" s="655">
        <v>0</v>
      </c>
      <c r="BE168" s="655">
        <v>-180144</v>
      </c>
      <c r="BF168" s="655">
        <v>-90072.84</v>
      </c>
      <c r="BG168" s="655">
        <v>-1080865</v>
      </c>
      <c r="BH168" s="652"/>
      <c r="BI168" s="652"/>
      <c r="BJ168" s="652">
        <v>-180144.16</v>
      </c>
      <c r="BK168" s="652">
        <v>0</v>
      </c>
      <c r="BL168" s="652">
        <v>-180144.16</v>
      </c>
      <c r="BM168" s="652">
        <v>-90072.08</v>
      </c>
      <c r="BN168" s="652">
        <v>0</v>
      </c>
      <c r="BO168" s="652">
        <v>-180144.16</v>
      </c>
      <c r="BP168" s="652">
        <v>-90072.08</v>
      </c>
      <c r="BQ168" s="652">
        <v>0</v>
      </c>
      <c r="BR168" s="652">
        <v>-180144.16</v>
      </c>
      <c r="BS168" s="652">
        <v>-90072.12</v>
      </c>
      <c r="BT168" s="652">
        <v>-990792.92</v>
      </c>
    </row>
    <row r="169" spans="1:72" ht="15" hidden="1" customHeight="1">
      <c r="A169" s="66" t="s">
        <v>2421</v>
      </c>
      <c r="B169" s="66"/>
      <c r="C169" s="66" t="s">
        <v>784</v>
      </c>
      <c r="D169" s="66" t="s">
        <v>784</v>
      </c>
      <c r="E169" s="150" t="s">
        <v>1136</v>
      </c>
      <c r="F169" s="482" t="s">
        <v>1566</v>
      </c>
      <c r="G169" s="150" t="s">
        <v>1135</v>
      </c>
      <c r="H169" s="150" t="s">
        <v>1135</v>
      </c>
      <c r="I169" s="150" t="s">
        <v>1135</v>
      </c>
      <c r="J169" s="150" t="s">
        <v>1135</v>
      </c>
      <c r="K169" s="150" t="s">
        <v>1137</v>
      </c>
      <c r="L169" s="511" t="s">
        <v>639</v>
      </c>
      <c r="M169" s="392" t="s">
        <v>2422</v>
      </c>
      <c r="N169" s="343"/>
      <c r="O169" s="343"/>
      <c r="P169" s="70" t="s">
        <v>785</v>
      </c>
      <c r="Q169" s="346"/>
      <c r="R169" s="343"/>
      <c r="S169" s="346"/>
      <c r="T169" s="150" t="s">
        <v>67</v>
      </c>
      <c r="U169" s="150"/>
      <c r="V169" s="643"/>
      <c r="W169" s="659">
        <v>-551382.25</v>
      </c>
      <c r="X169" s="659">
        <v>-551382.25</v>
      </c>
      <c r="Y169" s="656"/>
      <c r="Z169" s="657"/>
      <c r="AA169" s="714"/>
      <c r="AB169" s="428"/>
      <c r="AC169" s="428">
        <v>-551382.25</v>
      </c>
      <c r="AD169" s="428" t="s">
        <v>1142</v>
      </c>
      <c r="AE169" s="429">
        <v>0</v>
      </c>
      <c r="AF169" s="429">
        <v>0</v>
      </c>
      <c r="AG169" s="649">
        <v>0</v>
      </c>
      <c r="AH169" s="649">
        <v>0</v>
      </c>
      <c r="AI169" s="649">
        <v>0</v>
      </c>
      <c r="AJ169" s="649">
        <v>0</v>
      </c>
      <c r="AK169" s="649">
        <v>0</v>
      </c>
      <c r="AL169" s="649">
        <v>0</v>
      </c>
      <c r="AM169" s="649">
        <f t="shared" si="18"/>
        <v>-551382.25</v>
      </c>
      <c r="AN169" s="651">
        <f>ERP_27[[#This Row],[2026 Working Total]]-ERP_27[[#This Row],[LE2 Final Submission]]</f>
        <v>0</v>
      </c>
      <c r="AO169" s="652">
        <v>0</v>
      </c>
      <c r="AP169" s="652">
        <f t="shared" si="17"/>
        <v>0</v>
      </c>
      <c r="AQ169" s="374">
        <f>SUM(ERP_27[[#This Row],[AP01]:[AP06]])-SUM(ERP_27[[#This Row],[AP01 LE2]:[AP06 LE2]])</f>
        <v>0</v>
      </c>
      <c r="AR169" s="653"/>
      <c r="AS169" s="652">
        <f>ERP_27[[#This Row],[2026 Working Total to Budget/LE]]-ERP_27[[#This Row],[Giveback]]</f>
        <v>0</v>
      </c>
      <c r="AT169" s="654"/>
      <c r="AU169" s="655"/>
      <c r="AV169" s="655"/>
      <c r="AW169" s="655">
        <v>-551382.25</v>
      </c>
      <c r="AX169" s="655">
        <v>0</v>
      </c>
      <c r="AY169" s="655">
        <v>0</v>
      </c>
      <c r="AZ169" s="655">
        <v>0</v>
      </c>
      <c r="BA169" s="655">
        <v>0</v>
      </c>
      <c r="BB169" s="655">
        <v>0</v>
      </c>
      <c r="BC169" s="655">
        <v>0</v>
      </c>
      <c r="BD169" s="655">
        <v>0</v>
      </c>
      <c r="BE169" s="655">
        <v>0</v>
      </c>
      <c r="BF169" s="655">
        <v>0</v>
      </c>
      <c r="BG169" s="655">
        <v>-551382.25</v>
      </c>
      <c r="BH169" s="652"/>
      <c r="BI169" s="652"/>
      <c r="BJ169" s="652">
        <v>-551382.25</v>
      </c>
      <c r="BK169" s="652">
        <v>0</v>
      </c>
      <c r="BL169" s="652">
        <v>0</v>
      </c>
      <c r="BM169" s="652">
        <v>0</v>
      </c>
      <c r="BN169" s="652">
        <v>0</v>
      </c>
      <c r="BO169" s="652">
        <v>0</v>
      </c>
      <c r="BP169" s="652">
        <v>0</v>
      </c>
      <c r="BQ169" s="652">
        <v>0</v>
      </c>
      <c r="BR169" s="652">
        <v>0</v>
      </c>
      <c r="BS169" s="652">
        <v>0</v>
      </c>
      <c r="BT169" s="652">
        <v>-551382.25</v>
      </c>
    </row>
    <row r="170" spans="1:72" ht="15" hidden="1" customHeight="1">
      <c r="A170" s="66" t="s">
        <v>2134</v>
      </c>
      <c r="B170" s="66"/>
      <c r="C170" s="66" t="s">
        <v>589</v>
      </c>
      <c r="D170" s="66" t="s">
        <v>2135</v>
      </c>
      <c r="E170" s="150" t="s">
        <v>1136</v>
      </c>
      <c r="F170" s="482" t="s">
        <v>1566</v>
      </c>
      <c r="G170" s="150" t="s">
        <v>1566</v>
      </c>
      <c r="H170" s="150" t="s">
        <v>1566</v>
      </c>
      <c r="I170" s="150" t="s">
        <v>1567</v>
      </c>
      <c r="J170" s="150" t="s">
        <v>1567</v>
      </c>
      <c r="K170" s="150" t="s">
        <v>1567</v>
      </c>
      <c r="L170" s="511" t="s">
        <v>389</v>
      </c>
      <c r="M170" s="392" t="s">
        <v>2136</v>
      </c>
      <c r="N170" s="343"/>
      <c r="O170" s="343"/>
      <c r="P170" s="70" t="s">
        <v>590</v>
      </c>
      <c r="Q170" s="346"/>
      <c r="R170" s="343"/>
      <c r="S170" s="346"/>
      <c r="T170" s="150" t="s">
        <v>44</v>
      </c>
      <c r="U170" s="150"/>
      <c r="V170" s="643"/>
      <c r="W170" s="659">
        <v>-338500</v>
      </c>
      <c r="X170" s="659">
        <v>-435500</v>
      </c>
      <c r="Y170" s="656"/>
      <c r="Z170" s="657"/>
      <c r="AA170" s="714"/>
      <c r="AB170" s="428"/>
      <c r="AC170" s="428"/>
      <c r="AD170" s="428" t="s">
        <v>1142</v>
      </c>
      <c r="AE170" s="429">
        <v>0</v>
      </c>
      <c r="AF170" s="429">
        <v>0</v>
      </c>
      <c r="AG170" s="649">
        <v>0</v>
      </c>
      <c r="AH170" s="649">
        <v>0</v>
      </c>
      <c r="AI170" s="649">
        <v>-203100</v>
      </c>
      <c r="AJ170" s="649">
        <v>0</v>
      </c>
      <c r="AK170" s="649">
        <v>0</v>
      </c>
      <c r="AL170" s="649">
        <v>-97000</v>
      </c>
      <c r="AM170" s="649">
        <f t="shared" si="18"/>
        <v>-300100</v>
      </c>
      <c r="AN170" s="651">
        <f>ERP_27[[#This Row],[2026 Working Total]]-ERP_27[[#This Row],[LE2 Final Submission]]</f>
        <v>135400</v>
      </c>
      <c r="AO170" s="652"/>
      <c r="AP170" s="652">
        <f t="shared" si="17"/>
        <v>0</v>
      </c>
      <c r="AQ170" s="374">
        <f>SUM(ERP_27[[#This Row],[AP01]:[AP06]])-SUM(ERP_27[[#This Row],[AP01 LE2]:[AP06 LE2]])</f>
        <v>135400</v>
      </c>
      <c r="AR170" s="653"/>
      <c r="AS170" s="652">
        <f>ERP_27[[#This Row],[2026 Working Total to Budget/LE]]-ERP_27[[#This Row],[Giveback]]</f>
        <v>135400</v>
      </c>
      <c r="AT170" s="654"/>
      <c r="AU170" s="655"/>
      <c r="AV170" s="655"/>
      <c r="AW170" s="655"/>
      <c r="AX170" s="655"/>
      <c r="AY170" s="655"/>
      <c r="AZ170" s="655">
        <v>-135400</v>
      </c>
      <c r="BA170" s="655">
        <v>0</v>
      </c>
      <c r="BB170" s="655">
        <v>0</v>
      </c>
      <c r="BC170" s="655">
        <v>-203100</v>
      </c>
      <c r="BD170" s="655">
        <v>0</v>
      </c>
      <c r="BE170" s="655">
        <v>0</v>
      </c>
      <c r="BF170" s="655">
        <v>-97000</v>
      </c>
      <c r="BG170" s="655">
        <v>-435500</v>
      </c>
      <c r="BH170" s="652"/>
      <c r="BI170" s="652"/>
      <c r="BJ170" s="652"/>
      <c r="BK170" s="652"/>
      <c r="BL170" s="652"/>
      <c r="BM170" s="652">
        <v>-135400</v>
      </c>
      <c r="BN170" s="652">
        <v>0</v>
      </c>
      <c r="BO170" s="652">
        <v>0</v>
      </c>
      <c r="BP170" s="652">
        <v>-203100</v>
      </c>
      <c r="BQ170" s="652">
        <v>0</v>
      </c>
      <c r="BR170" s="652">
        <v>0</v>
      </c>
      <c r="BS170" s="652">
        <v>-97000</v>
      </c>
      <c r="BT170" s="652">
        <v>-435500</v>
      </c>
    </row>
    <row r="171" spans="1:72" ht="15" hidden="1" customHeight="1">
      <c r="A171" s="66" t="s">
        <v>1247</v>
      </c>
      <c r="B171" s="66"/>
      <c r="C171" s="66" t="s">
        <v>102</v>
      </c>
      <c r="D171" s="66" t="s">
        <v>102</v>
      </c>
      <c r="E171" s="150" t="s">
        <v>1136</v>
      </c>
      <c r="F171" s="482" t="s">
        <v>1566</v>
      </c>
      <c r="G171" s="150" t="s">
        <v>1135</v>
      </c>
      <c r="H171" s="150" t="s">
        <v>1135</v>
      </c>
      <c r="I171" s="150" t="s">
        <v>1135</v>
      </c>
      <c r="J171" s="150" t="s">
        <v>1135</v>
      </c>
      <c r="K171" s="150" t="s">
        <v>1137</v>
      </c>
      <c r="L171" s="511" t="s">
        <v>49</v>
      </c>
      <c r="M171" s="392" t="s">
        <v>1236</v>
      </c>
      <c r="N171" s="343"/>
      <c r="O171" s="343"/>
      <c r="P171" s="70" t="s">
        <v>103</v>
      </c>
      <c r="Q171" s="346"/>
      <c r="R171" s="346" t="s">
        <v>1232</v>
      </c>
      <c r="S171" s="346"/>
      <c r="T171" s="150" t="s">
        <v>25</v>
      </c>
      <c r="U171" s="150" t="s">
        <v>1244</v>
      </c>
      <c r="V171" s="643"/>
      <c r="W171" s="659">
        <v>0</v>
      </c>
      <c r="X171" s="659">
        <v>-213108</v>
      </c>
      <c r="Y171" s="656"/>
      <c r="Z171" s="657"/>
      <c r="AA171" s="714"/>
      <c r="AB171" s="428"/>
      <c r="AC171" s="428"/>
      <c r="AD171" s="428" t="s">
        <v>1142</v>
      </c>
      <c r="AE171" s="429">
        <v>-213108</v>
      </c>
      <c r="AF171" s="429">
        <v>0</v>
      </c>
      <c r="AG171" s="649">
        <v>0</v>
      </c>
      <c r="AH171" s="649">
        <v>0</v>
      </c>
      <c r="AI171" s="649">
        <v>0</v>
      </c>
      <c r="AJ171" s="649">
        <v>0</v>
      </c>
      <c r="AK171" s="649">
        <v>0</v>
      </c>
      <c r="AL171" s="649">
        <v>0</v>
      </c>
      <c r="AM171" s="649">
        <f t="shared" si="18"/>
        <v>-213108</v>
      </c>
      <c r="AN171" s="651">
        <f>ERP_27[[#This Row],[2026 Working Total]]-ERP_27[[#This Row],[LE2 Final Submission]]</f>
        <v>0</v>
      </c>
      <c r="AO171" s="652"/>
      <c r="AP171" s="652">
        <f t="shared" si="17"/>
        <v>0</v>
      </c>
      <c r="AQ171" s="374">
        <f>SUM(ERP_27[[#This Row],[AP01]:[AP06]])-SUM(ERP_27[[#This Row],[AP01 LE2]:[AP06 LE2]])</f>
        <v>0</v>
      </c>
      <c r="AR171" s="653"/>
      <c r="AS171" s="652">
        <f>ERP_27[[#This Row],[2026 Working Total to Budget/LE]]-ERP_27[[#This Row],[Giveback]]</f>
        <v>0</v>
      </c>
      <c r="AT171" s="654"/>
      <c r="AU171" s="655"/>
      <c r="AV171" s="655"/>
      <c r="AW171" s="655"/>
      <c r="AX171" s="655"/>
      <c r="AY171" s="655"/>
      <c r="AZ171" s="655">
        <v>-213108</v>
      </c>
      <c r="BA171" s="655">
        <v>0</v>
      </c>
      <c r="BB171" s="655">
        <v>0</v>
      </c>
      <c r="BC171" s="655">
        <v>0</v>
      </c>
      <c r="BD171" s="655">
        <v>0</v>
      </c>
      <c r="BE171" s="655">
        <v>0</v>
      </c>
      <c r="BF171" s="655">
        <v>0</v>
      </c>
      <c r="BG171" s="655">
        <v>-213108</v>
      </c>
      <c r="BH171" s="652"/>
      <c r="BI171" s="652"/>
      <c r="BJ171" s="652"/>
      <c r="BK171" s="652"/>
      <c r="BL171" s="652"/>
      <c r="BM171" s="652">
        <v>-213108</v>
      </c>
      <c r="BN171" s="652">
        <v>0</v>
      </c>
      <c r="BO171" s="652">
        <v>0</v>
      </c>
      <c r="BP171" s="652">
        <v>0</v>
      </c>
      <c r="BQ171" s="652">
        <v>0</v>
      </c>
      <c r="BR171" s="652">
        <v>0</v>
      </c>
      <c r="BS171" s="652">
        <v>0</v>
      </c>
      <c r="BT171" s="652">
        <v>-213108</v>
      </c>
    </row>
    <row r="172" spans="1:72" ht="15" hidden="1" customHeight="1">
      <c r="A172" s="79" t="s">
        <v>1525</v>
      </c>
      <c r="B172" s="79"/>
      <c r="C172" s="79" t="s">
        <v>244</v>
      </c>
      <c r="D172" s="296" t="s">
        <v>244</v>
      </c>
      <c r="E172" s="150" t="s">
        <v>1136</v>
      </c>
      <c r="F172" s="482" t="s">
        <v>1566</v>
      </c>
      <c r="G172" s="383" t="s">
        <v>1515</v>
      </c>
      <c r="H172" s="383" t="s">
        <v>1515</v>
      </c>
      <c r="I172" s="332" t="s">
        <v>1345</v>
      </c>
      <c r="J172" s="383" t="s">
        <v>1515</v>
      </c>
      <c r="K172" s="331" t="s">
        <v>1346</v>
      </c>
      <c r="L172" s="512" t="s">
        <v>49</v>
      </c>
      <c r="M172" s="393" t="s">
        <v>1526</v>
      </c>
      <c r="N172" s="343"/>
      <c r="O172" s="331"/>
      <c r="P172" s="91" t="s">
        <v>245</v>
      </c>
      <c r="Q172" s="343"/>
      <c r="R172" s="343"/>
      <c r="S172" s="348"/>
      <c r="T172" s="386" t="s">
        <v>152</v>
      </c>
      <c r="U172" s="389" t="s">
        <v>1348</v>
      </c>
      <c r="V172" s="668"/>
      <c r="W172" s="358">
        <v>-289999.99999999988</v>
      </c>
      <c r="X172" s="660">
        <v>-217500.02999999997</v>
      </c>
      <c r="Y172" s="656"/>
      <c r="Z172" s="657"/>
      <c r="AA172" s="716"/>
      <c r="AB172" s="717"/>
      <c r="AC172" s="717"/>
      <c r="AD172" s="428" t="s">
        <v>1142</v>
      </c>
      <c r="AE172" s="429">
        <v>0</v>
      </c>
      <c r="AF172" s="429">
        <v>0</v>
      </c>
      <c r="AG172" s="661">
        <v>-24166.67</v>
      </c>
      <c r="AH172" s="661">
        <v>-24166.67</v>
      </c>
      <c r="AI172" s="661">
        <v>-24166.67</v>
      </c>
      <c r="AJ172" s="661">
        <v>-24166.67</v>
      </c>
      <c r="AK172" s="661">
        <v>-24166.67</v>
      </c>
      <c r="AL172" s="661">
        <v>-24166.67</v>
      </c>
      <c r="AM172" s="649">
        <f t="shared" si="18"/>
        <v>-145000.01999999999</v>
      </c>
      <c r="AN172" s="651">
        <f>ERP_27[[#This Row],[2026 Working Total]]-ERP_27[[#This Row],[LE2 Final Submission]]</f>
        <v>72500.00999999998</v>
      </c>
      <c r="AO172" s="652">
        <v>1200</v>
      </c>
      <c r="AP172" s="652">
        <f t="shared" si="17"/>
        <v>-1200</v>
      </c>
      <c r="AQ172" s="374">
        <f>SUM(ERP_27[[#This Row],[AP01]:[AP06]])-SUM(ERP_27[[#This Row],[AP01 LE2]:[AP06 LE2]])</f>
        <v>72500.009999999995</v>
      </c>
      <c r="AR172" s="653"/>
      <c r="AS172" s="652">
        <f>ERP_27[[#This Row],[2026 Working Total to Budget/LE]]-ERP_27[[#This Row],[Giveback]]</f>
        <v>72500.00999999998</v>
      </c>
      <c r="AT172" s="654"/>
      <c r="AU172" s="655"/>
      <c r="AV172" s="655"/>
      <c r="AW172" s="655"/>
      <c r="AX172" s="655">
        <v>-24166.67</v>
      </c>
      <c r="AY172" s="655">
        <v>-24166.67</v>
      </c>
      <c r="AZ172" s="655">
        <v>-24166.67</v>
      </c>
      <c r="BA172" s="655">
        <v>-24166.67</v>
      </c>
      <c r="BB172" s="655">
        <v>-24166.67</v>
      </c>
      <c r="BC172" s="655">
        <v>-24166.67</v>
      </c>
      <c r="BD172" s="655">
        <v>-24166.67</v>
      </c>
      <c r="BE172" s="655">
        <v>-24166.67</v>
      </c>
      <c r="BF172" s="655">
        <v>-24166.67</v>
      </c>
      <c r="BG172" s="655">
        <v>-217500.02999999997</v>
      </c>
      <c r="BH172" s="662">
        <v>-24166.63</v>
      </c>
      <c r="BI172" s="662">
        <v>-24166.67</v>
      </c>
      <c r="BJ172" s="662">
        <v>-24166.67</v>
      </c>
      <c r="BK172" s="662">
        <v>-24166.67</v>
      </c>
      <c r="BL172" s="662">
        <v>-24166.67</v>
      </c>
      <c r="BM172" s="662">
        <v>-24166.67</v>
      </c>
      <c r="BN172" s="662">
        <v>-24166.67</v>
      </c>
      <c r="BO172" s="662">
        <v>-24166.67</v>
      </c>
      <c r="BP172" s="662">
        <v>-24166.67</v>
      </c>
      <c r="BQ172" s="662">
        <v>-24166.67</v>
      </c>
      <c r="BR172" s="662">
        <v>-24166.67</v>
      </c>
      <c r="BS172" s="662">
        <v>-24166.67</v>
      </c>
      <c r="BT172" s="652">
        <f>SUM(ERP_27[[#This Row],[2026 AP01]:[2026 AP12]])</f>
        <v>-289999.99999999988</v>
      </c>
    </row>
    <row r="173" spans="1:72" ht="15" hidden="1" customHeight="1">
      <c r="A173" s="66" t="s">
        <v>1245</v>
      </c>
      <c r="B173" s="66"/>
      <c r="C173" s="66" t="s">
        <v>98</v>
      </c>
      <c r="D173" s="66" t="s">
        <v>98</v>
      </c>
      <c r="E173" s="150" t="s">
        <v>1136</v>
      </c>
      <c r="F173" s="482" t="s">
        <v>1566</v>
      </c>
      <c r="G173" s="150" t="s">
        <v>1135</v>
      </c>
      <c r="H173" s="150" t="s">
        <v>1135</v>
      </c>
      <c r="I173" s="150" t="s">
        <v>1135</v>
      </c>
      <c r="J173" s="150" t="s">
        <v>1135</v>
      </c>
      <c r="K173" s="150" t="s">
        <v>1137</v>
      </c>
      <c r="L173" s="511" t="s">
        <v>49</v>
      </c>
      <c r="M173" s="392" t="s">
        <v>1242</v>
      </c>
      <c r="N173" s="343"/>
      <c r="O173" s="343"/>
      <c r="P173" s="70" t="s">
        <v>99</v>
      </c>
      <c r="Q173" s="346"/>
      <c r="R173" s="346" t="s">
        <v>1232</v>
      </c>
      <c r="S173" s="346"/>
      <c r="T173" s="150" t="s">
        <v>25</v>
      </c>
      <c r="U173" s="150" t="s">
        <v>1244</v>
      </c>
      <c r="V173" s="643"/>
      <c r="W173" s="659">
        <v>0</v>
      </c>
      <c r="X173" s="659">
        <v>-136110</v>
      </c>
      <c r="Y173" s="656"/>
      <c r="Z173" s="657"/>
      <c r="AA173" s="714"/>
      <c r="AB173" s="428"/>
      <c r="AC173" s="428">
        <v>-60000</v>
      </c>
      <c r="AD173" s="428">
        <v>0</v>
      </c>
      <c r="AE173" s="429">
        <v>-76110</v>
      </c>
      <c r="AF173" s="429">
        <v>0</v>
      </c>
      <c r="AG173" s="649">
        <v>0</v>
      </c>
      <c r="AH173" s="649">
        <v>0</v>
      </c>
      <c r="AI173" s="649">
        <v>0</v>
      </c>
      <c r="AJ173" s="649">
        <v>0</v>
      </c>
      <c r="AK173" s="649">
        <v>0</v>
      </c>
      <c r="AL173" s="649">
        <v>0</v>
      </c>
      <c r="AM173" s="649">
        <f t="shared" si="18"/>
        <v>-136110</v>
      </c>
      <c r="AN173" s="651">
        <f>ERP_27[[#This Row],[2026 Working Total]]-ERP_27[[#This Row],[LE2 Final Submission]]</f>
        <v>0</v>
      </c>
      <c r="AO173" s="652">
        <v>0</v>
      </c>
      <c r="AP173" s="652">
        <f t="shared" si="17"/>
        <v>0</v>
      </c>
      <c r="AQ173" s="374">
        <f>SUM(ERP_27[[#This Row],[AP01]:[AP06]])-SUM(ERP_27[[#This Row],[AP01 LE2]:[AP06 LE2]])</f>
        <v>0</v>
      </c>
      <c r="AR173" s="653"/>
      <c r="AS173" s="652">
        <f>ERP_27[[#This Row],[2026 Working Total to Budget/LE]]-ERP_27[[#This Row],[Giveback]]</f>
        <v>0</v>
      </c>
      <c r="AT173" s="654"/>
      <c r="AU173" s="655"/>
      <c r="AV173" s="655"/>
      <c r="AW173" s="655">
        <v>-60000</v>
      </c>
      <c r="AX173" s="655">
        <v>0</v>
      </c>
      <c r="AY173" s="655">
        <v>0</v>
      </c>
      <c r="AZ173" s="655">
        <v>-76110</v>
      </c>
      <c r="BA173" s="655">
        <v>0</v>
      </c>
      <c r="BB173" s="655">
        <v>0</v>
      </c>
      <c r="BC173" s="655">
        <v>0</v>
      </c>
      <c r="BD173" s="655">
        <v>0</v>
      </c>
      <c r="BE173" s="655">
        <v>0</v>
      </c>
      <c r="BF173" s="655">
        <v>0</v>
      </c>
      <c r="BG173" s="655">
        <v>-136110</v>
      </c>
      <c r="BH173" s="652"/>
      <c r="BI173" s="652"/>
      <c r="BJ173" s="652">
        <v>-60000</v>
      </c>
      <c r="BK173" s="652">
        <v>0</v>
      </c>
      <c r="BL173" s="652">
        <v>0</v>
      </c>
      <c r="BM173" s="652">
        <v>-76110</v>
      </c>
      <c r="BN173" s="652">
        <v>0</v>
      </c>
      <c r="BO173" s="652">
        <v>0</v>
      </c>
      <c r="BP173" s="652">
        <v>0</v>
      </c>
      <c r="BQ173" s="652">
        <v>0</v>
      </c>
      <c r="BR173" s="652">
        <v>0</v>
      </c>
      <c r="BS173" s="652">
        <v>0</v>
      </c>
      <c r="BT173" s="652">
        <v>-136110</v>
      </c>
    </row>
    <row r="174" spans="1:72" ht="15" hidden="1" customHeight="1">
      <c r="A174" s="66" t="s">
        <v>2893</v>
      </c>
      <c r="B174" s="66"/>
      <c r="C174" s="66" t="s">
        <v>42</v>
      </c>
      <c r="D174" s="66" t="s">
        <v>2894</v>
      </c>
      <c r="E174" s="150" t="s">
        <v>1136</v>
      </c>
      <c r="F174" s="482" t="s">
        <v>1566</v>
      </c>
      <c r="G174" s="150" t="s">
        <v>1566</v>
      </c>
      <c r="H174" s="150" t="s">
        <v>1566</v>
      </c>
      <c r="I174" s="150" t="s">
        <v>1567</v>
      </c>
      <c r="J174" s="150" t="s">
        <v>1567</v>
      </c>
      <c r="K174" s="150" t="s">
        <v>1567</v>
      </c>
      <c r="L174" s="511" t="s">
        <v>22</v>
      </c>
      <c r="M174" s="392" t="s">
        <v>2895</v>
      </c>
      <c r="N174" s="343"/>
      <c r="O174" s="343"/>
      <c r="P174" s="70" t="s">
        <v>43</v>
      </c>
      <c r="Q174" s="346"/>
      <c r="R174" s="346" t="s">
        <v>1140</v>
      </c>
      <c r="S174" s="346"/>
      <c r="T174" s="150" t="s">
        <v>44</v>
      </c>
      <c r="U174" s="150"/>
      <c r="V174" s="643"/>
      <c r="W174" s="659">
        <v>-472222.21000000008</v>
      </c>
      <c r="X174" s="659">
        <v>-160000</v>
      </c>
      <c r="Y174" s="656"/>
      <c r="Z174" s="657"/>
      <c r="AA174" s="714"/>
      <c r="AB174" s="428"/>
      <c r="AC174" s="428"/>
      <c r="AD174" s="428" t="s">
        <v>1142</v>
      </c>
      <c r="AE174" s="429">
        <v>0</v>
      </c>
      <c r="AF174" s="429">
        <v>0</v>
      </c>
      <c r="AG174" s="649">
        <v>-20000</v>
      </c>
      <c r="AH174" s="649">
        <v>-20000</v>
      </c>
      <c r="AI174" s="649">
        <v>-20000</v>
      </c>
      <c r="AJ174" s="649">
        <v>-20000</v>
      </c>
      <c r="AK174" s="649">
        <v>-20000</v>
      </c>
      <c r="AL174" s="649">
        <v>-20000</v>
      </c>
      <c r="AM174" s="649">
        <f t="shared" si="18"/>
        <v>-120000</v>
      </c>
      <c r="AN174" s="651">
        <f>ERP_27[[#This Row],[2026 Working Total]]-ERP_27[[#This Row],[LE2 Final Submission]]</f>
        <v>40000</v>
      </c>
      <c r="AO174" s="652">
        <v>-20000</v>
      </c>
      <c r="AP174" s="652">
        <f t="shared" si="17"/>
        <v>20000</v>
      </c>
      <c r="AQ174" s="374">
        <f>SUM(ERP_27[[#This Row],[AP01]:[AP06]])-SUM(ERP_27[[#This Row],[AP01 LE2]:[AP06 LE2]])</f>
        <v>40000</v>
      </c>
      <c r="AR174" s="653"/>
      <c r="AS174" s="652">
        <f>ERP_27[[#This Row],[2026 Working Total to Budget/LE]]-ERP_27[[#This Row],[Giveback]]</f>
        <v>40000</v>
      </c>
      <c r="AT174" s="654"/>
      <c r="AU174" s="655"/>
      <c r="AV174" s="655"/>
      <c r="AW174" s="655"/>
      <c r="AX174" s="655"/>
      <c r="AY174" s="655">
        <v>-20000</v>
      </c>
      <c r="AZ174" s="655">
        <v>-20000</v>
      </c>
      <c r="BA174" s="655">
        <v>-20000</v>
      </c>
      <c r="BB174" s="655">
        <v>-20000</v>
      </c>
      <c r="BC174" s="655">
        <v>-20000</v>
      </c>
      <c r="BD174" s="655">
        <v>-20000</v>
      </c>
      <c r="BE174" s="655">
        <v>-20000</v>
      </c>
      <c r="BF174" s="655">
        <v>-20000</v>
      </c>
      <c r="BG174" s="655">
        <v>-160000</v>
      </c>
      <c r="BH174" s="652"/>
      <c r="BI174" s="652"/>
      <c r="BJ174" s="652"/>
      <c r="BK174" s="652">
        <v>-47222.220999999998</v>
      </c>
      <c r="BL174" s="652">
        <v>-47222.220999999998</v>
      </c>
      <c r="BM174" s="652">
        <v>-47222.220999999998</v>
      </c>
      <c r="BN174" s="652">
        <v>-47222.220999999998</v>
      </c>
      <c r="BO174" s="652">
        <v>-47222.220999999998</v>
      </c>
      <c r="BP174" s="652">
        <v>-47222.220999999998</v>
      </c>
      <c r="BQ174" s="652">
        <v>-47222.220999999998</v>
      </c>
      <c r="BR174" s="652">
        <v>-47222.220999999998</v>
      </c>
      <c r="BS174" s="652">
        <v>-47222.220999999998</v>
      </c>
      <c r="BT174" s="652">
        <v>-424999.98900000006</v>
      </c>
    </row>
    <row r="175" spans="1:72" ht="15" hidden="1" customHeight="1">
      <c r="A175" s="66" t="s">
        <v>2222</v>
      </c>
      <c r="B175" s="66"/>
      <c r="C175" s="66" t="s">
        <v>651</v>
      </c>
      <c r="D175" s="66" t="s">
        <v>2223</v>
      </c>
      <c r="E175" s="150" t="s">
        <v>1136</v>
      </c>
      <c r="F175" s="482" t="s">
        <v>1566</v>
      </c>
      <c r="G175" s="150" t="s">
        <v>1135</v>
      </c>
      <c r="H175" s="150" t="s">
        <v>1165</v>
      </c>
      <c r="I175" s="150" t="s">
        <v>1135</v>
      </c>
      <c r="J175" s="150" t="s">
        <v>1165</v>
      </c>
      <c r="K175" s="150" t="s">
        <v>1137</v>
      </c>
      <c r="L175" s="511" t="s">
        <v>639</v>
      </c>
      <c r="M175" s="392" t="s">
        <v>2224</v>
      </c>
      <c r="N175" s="343"/>
      <c r="O175" s="343"/>
      <c r="P175" s="70" t="s">
        <v>652</v>
      </c>
      <c r="Q175" s="346"/>
      <c r="R175" s="343"/>
      <c r="S175" s="346"/>
      <c r="T175" s="150" t="s">
        <v>152</v>
      </c>
      <c r="U175" s="150"/>
      <c r="V175" s="643"/>
      <c r="W175" s="659">
        <v>0</v>
      </c>
      <c r="X175" s="659">
        <v>-118715.37</v>
      </c>
      <c r="Y175" s="656"/>
      <c r="Z175" s="657"/>
      <c r="AA175" s="714"/>
      <c r="AB175" s="428">
        <v>-118715.37</v>
      </c>
      <c r="AC175" s="428">
        <v>0</v>
      </c>
      <c r="AD175" s="428">
        <v>0</v>
      </c>
      <c r="AE175" s="429">
        <v>0</v>
      </c>
      <c r="AF175" s="429">
        <v>0</v>
      </c>
      <c r="AG175" s="649">
        <v>0</v>
      </c>
      <c r="AH175" s="649"/>
      <c r="AI175" s="649">
        <v>0</v>
      </c>
      <c r="AJ175" s="649">
        <v>0</v>
      </c>
      <c r="AK175" s="649">
        <v>0</v>
      </c>
      <c r="AL175" s="649">
        <v>0</v>
      </c>
      <c r="AM175" s="649">
        <f t="shared" si="18"/>
        <v>-118715.37</v>
      </c>
      <c r="AN175" s="651">
        <f>ERP_27[[#This Row],[2026 Working Total]]-ERP_27[[#This Row],[LE2 Final Submission]]</f>
        <v>0</v>
      </c>
      <c r="AO175" s="652">
        <v>10296</v>
      </c>
      <c r="AP175" s="652">
        <f t="shared" si="17"/>
        <v>-10296</v>
      </c>
      <c r="AQ175" s="374">
        <f>SUM(ERP_27[[#This Row],[AP01]:[AP06]])-SUM(ERP_27[[#This Row],[AP01 LE2]:[AP06 LE2]])</f>
        <v>0</v>
      </c>
      <c r="AR175" s="653"/>
      <c r="AS175" s="652">
        <f>ERP_27[[#This Row],[2026 Working Total to Budget/LE]]-ERP_27[[#This Row],[Giveback]]</f>
        <v>0</v>
      </c>
      <c r="AT175" s="654"/>
      <c r="AU175" s="655"/>
      <c r="AV175" s="655">
        <v>-118715.37</v>
      </c>
      <c r="AW175" s="655">
        <v>0</v>
      </c>
      <c r="AX175" s="655">
        <v>0</v>
      </c>
      <c r="AY175" s="655">
        <v>0</v>
      </c>
      <c r="AZ175" s="655">
        <v>0</v>
      </c>
      <c r="BA175" s="655">
        <v>0</v>
      </c>
      <c r="BB175" s="655"/>
      <c r="BC175" s="655">
        <v>0</v>
      </c>
      <c r="BD175" s="655">
        <v>0</v>
      </c>
      <c r="BE175" s="655">
        <v>0</v>
      </c>
      <c r="BF175" s="655">
        <v>0</v>
      </c>
      <c r="BG175" s="655">
        <v>-118715.37</v>
      </c>
      <c r="BH175" s="652"/>
      <c r="BI175" s="652">
        <v>-118715.37</v>
      </c>
      <c r="BJ175" s="652">
        <v>0</v>
      </c>
      <c r="BK175" s="652">
        <v>0</v>
      </c>
      <c r="BL175" s="652">
        <v>0</v>
      </c>
      <c r="BM175" s="652">
        <v>0</v>
      </c>
      <c r="BN175" s="652">
        <v>0</v>
      </c>
      <c r="BO175" s="652">
        <v>0</v>
      </c>
      <c r="BP175" s="652">
        <v>0</v>
      </c>
      <c r="BQ175" s="652">
        <v>0</v>
      </c>
      <c r="BR175" s="652">
        <v>0</v>
      </c>
      <c r="BS175" s="652">
        <v>0</v>
      </c>
      <c r="BT175" s="652">
        <v>-118715.37</v>
      </c>
    </row>
    <row r="176" spans="1:72" ht="15" hidden="1" customHeight="1">
      <c r="A176" s="79" t="s">
        <v>1522</v>
      </c>
      <c r="B176" s="79"/>
      <c r="C176" s="79" t="s">
        <v>242</v>
      </c>
      <c r="D176" s="296" t="s">
        <v>242</v>
      </c>
      <c r="E176" s="150" t="s">
        <v>1136</v>
      </c>
      <c r="F176" s="482" t="s">
        <v>1566</v>
      </c>
      <c r="G176" s="383" t="s">
        <v>1515</v>
      </c>
      <c r="H176" s="383" t="s">
        <v>1515</v>
      </c>
      <c r="I176" s="332" t="s">
        <v>1345</v>
      </c>
      <c r="J176" s="383" t="s">
        <v>1515</v>
      </c>
      <c r="K176" s="331" t="s">
        <v>1346</v>
      </c>
      <c r="L176" s="512" t="s">
        <v>49</v>
      </c>
      <c r="M176" s="393" t="s">
        <v>1523</v>
      </c>
      <c r="N176" s="343"/>
      <c r="O176" s="331"/>
      <c r="P176" s="91" t="s">
        <v>243</v>
      </c>
      <c r="Q176" s="343"/>
      <c r="R176" s="343"/>
      <c r="S176" s="348"/>
      <c r="T176" s="386" t="s">
        <v>152</v>
      </c>
      <c r="U176" s="389" t="s">
        <v>1348</v>
      </c>
      <c r="V176" s="668"/>
      <c r="W176" s="358">
        <v>-199716</v>
      </c>
      <c r="X176" s="660">
        <v>-149787</v>
      </c>
      <c r="Y176" s="656"/>
      <c r="Z176" s="657"/>
      <c r="AA176" s="716"/>
      <c r="AB176" s="717"/>
      <c r="AC176" s="717"/>
      <c r="AD176" s="428" t="s">
        <v>1142</v>
      </c>
      <c r="AE176" s="429">
        <v>0</v>
      </c>
      <c r="AF176" s="429">
        <v>0</v>
      </c>
      <c r="AG176" s="661">
        <v>-16643</v>
      </c>
      <c r="AH176" s="661">
        <v>-16643</v>
      </c>
      <c r="AI176" s="661">
        <v>-16643</v>
      </c>
      <c r="AJ176" s="661">
        <v>-16643</v>
      </c>
      <c r="AK176" s="661">
        <v>-16643</v>
      </c>
      <c r="AL176" s="661">
        <v>-16643</v>
      </c>
      <c r="AM176" s="649">
        <f t="shared" si="18"/>
        <v>-99858</v>
      </c>
      <c r="AN176" s="651">
        <f>ERP_27[[#This Row],[2026 Working Total]]-ERP_27[[#This Row],[LE2 Final Submission]]</f>
        <v>49929</v>
      </c>
      <c r="AO176" s="652">
        <v>154.58333300000001</v>
      </c>
      <c r="AP176" s="652">
        <f t="shared" si="17"/>
        <v>-154.58333300000001</v>
      </c>
      <c r="AQ176" s="374">
        <f>SUM(ERP_27[[#This Row],[AP01]:[AP06]])-SUM(ERP_27[[#This Row],[AP01 LE2]:[AP06 LE2]])</f>
        <v>49929</v>
      </c>
      <c r="AR176" s="653"/>
      <c r="AS176" s="652">
        <f>ERP_27[[#This Row],[2026 Working Total to Budget/LE]]-ERP_27[[#This Row],[Giveback]]</f>
        <v>49929</v>
      </c>
      <c r="AT176" s="654"/>
      <c r="AU176" s="655"/>
      <c r="AV176" s="655"/>
      <c r="AW176" s="655"/>
      <c r="AX176" s="655">
        <v>-16643</v>
      </c>
      <c r="AY176" s="655">
        <v>-16643</v>
      </c>
      <c r="AZ176" s="655">
        <v>-16643</v>
      </c>
      <c r="BA176" s="655">
        <v>-16643</v>
      </c>
      <c r="BB176" s="655">
        <v>-16643</v>
      </c>
      <c r="BC176" s="655">
        <v>-16643</v>
      </c>
      <c r="BD176" s="655">
        <v>-16643</v>
      </c>
      <c r="BE176" s="655">
        <v>-16643</v>
      </c>
      <c r="BF176" s="655">
        <v>-16643</v>
      </c>
      <c r="BG176" s="655">
        <v>-149787</v>
      </c>
      <c r="BH176" s="662">
        <v>-16643</v>
      </c>
      <c r="BI176" s="662">
        <v>-16643</v>
      </c>
      <c r="BJ176" s="662">
        <v>-16643</v>
      </c>
      <c r="BK176" s="662">
        <v>-16643</v>
      </c>
      <c r="BL176" s="662">
        <v>-16643</v>
      </c>
      <c r="BM176" s="662">
        <v>-16643</v>
      </c>
      <c r="BN176" s="662">
        <v>-16643</v>
      </c>
      <c r="BO176" s="662">
        <v>-16643</v>
      </c>
      <c r="BP176" s="662">
        <v>-16643</v>
      </c>
      <c r="BQ176" s="662">
        <v>-16643</v>
      </c>
      <c r="BR176" s="662">
        <v>-16643</v>
      </c>
      <c r="BS176" s="662">
        <v>-16643</v>
      </c>
      <c r="BT176" s="652">
        <f>SUM(ERP_27[[#This Row],[2026 AP01]:[2026 AP12]])</f>
        <v>-199716</v>
      </c>
    </row>
    <row r="177" spans="1:72" ht="15" hidden="1" customHeight="1">
      <c r="A177" s="66" t="s">
        <v>1246</v>
      </c>
      <c r="B177" s="66"/>
      <c r="C177" s="66" t="s">
        <v>100</v>
      </c>
      <c r="D177" s="66" t="s">
        <v>100</v>
      </c>
      <c r="E177" s="150" t="s">
        <v>1136</v>
      </c>
      <c r="F177" s="482" t="s">
        <v>1566</v>
      </c>
      <c r="G177" s="150" t="s">
        <v>1135</v>
      </c>
      <c r="H177" s="150" t="s">
        <v>1135</v>
      </c>
      <c r="I177" s="150" t="s">
        <v>1135</v>
      </c>
      <c r="J177" s="150" t="s">
        <v>1135</v>
      </c>
      <c r="K177" s="150" t="s">
        <v>1137</v>
      </c>
      <c r="L177" s="511" t="s">
        <v>49</v>
      </c>
      <c r="M177" s="392" t="s">
        <v>1240</v>
      </c>
      <c r="N177" s="343"/>
      <c r="O177" s="343"/>
      <c r="P177" s="70" t="s">
        <v>101</v>
      </c>
      <c r="Q177" s="346"/>
      <c r="R177" s="346" t="s">
        <v>1232</v>
      </c>
      <c r="S177" s="346"/>
      <c r="T177" s="150" t="s">
        <v>25</v>
      </c>
      <c r="U177" s="150" t="s">
        <v>1244</v>
      </c>
      <c r="V177" s="643"/>
      <c r="W177" s="659">
        <v>0</v>
      </c>
      <c r="X177" s="659">
        <v>-91332</v>
      </c>
      <c r="Y177" s="656"/>
      <c r="Z177" s="657"/>
      <c r="AA177" s="714"/>
      <c r="AB177" s="428"/>
      <c r="AC177" s="428"/>
      <c r="AD177" s="428" t="s">
        <v>1142</v>
      </c>
      <c r="AE177" s="429">
        <v>-91332</v>
      </c>
      <c r="AF177" s="429">
        <v>0</v>
      </c>
      <c r="AG177" s="649">
        <v>0</v>
      </c>
      <c r="AH177" s="649">
        <v>0</v>
      </c>
      <c r="AI177" s="649">
        <v>0</v>
      </c>
      <c r="AJ177" s="649">
        <v>0</v>
      </c>
      <c r="AK177" s="649">
        <v>0</v>
      </c>
      <c r="AL177" s="649">
        <v>0</v>
      </c>
      <c r="AM177" s="649">
        <f t="shared" si="18"/>
        <v>-91332</v>
      </c>
      <c r="AN177" s="651">
        <f>ERP_27[[#This Row],[2026 Working Total]]-ERP_27[[#This Row],[LE2 Final Submission]]</f>
        <v>0</v>
      </c>
      <c r="AO177" s="652"/>
      <c r="AP177" s="652">
        <f t="shared" si="17"/>
        <v>0</v>
      </c>
      <c r="AQ177" s="374">
        <f>SUM(ERP_27[[#This Row],[AP01]:[AP06]])-SUM(ERP_27[[#This Row],[AP01 LE2]:[AP06 LE2]])</f>
        <v>0</v>
      </c>
      <c r="AR177" s="653"/>
      <c r="AS177" s="652">
        <f>ERP_27[[#This Row],[2026 Working Total to Budget/LE]]-ERP_27[[#This Row],[Giveback]]</f>
        <v>0</v>
      </c>
      <c r="AT177" s="654"/>
      <c r="AU177" s="655"/>
      <c r="AV177" s="655"/>
      <c r="AW177" s="655"/>
      <c r="AX177" s="655"/>
      <c r="AY177" s="655"/>
      <c r="AZ177" s="655">
        <v>-91332</v>
      </c>
      <c r="BA177" s="655">
        <v>0</v>
      </c>
      <c r="BB177" s="655">
        <v>0</v>
      </c>
      <c r="BC177" s="655">
        <v>0</v>
      </c>
      <c r="BD177" s="655">
        <v>0</v>
      </c>
      <c r="BE177" s="655">
        <v>0</v>
      </c>
      <c r="BF177" s="655">
        <v>0</v>
      </c>
      <c r="BG177" s="655">
        <v>-91332</v>
      </c>
      <c r="BH177" s="652"/>
      <c r="BI177" s="652"/>
      <c r="BJ177" s="652"/>
      <c r="BK177" s="652"/>
      <c r="BL177" s="652"/>
      <c r="BM177" s="652">
        <v>-91332</v>
      </c>
      <c r="BN177" s="652">
        <v>0</v>
      </c>
      <c r="BO177" s="652">
        <v>0</v>
      </c>
      <c r="BP177" s="652">
        <v>0</v>
      </c>
      <c r="BQ177" s="652">
        <v>0</v>
      </c>
      <c r="BR177" s="652">
        <v>0</v>
      </c>
      <c r="BS177" s="652">
        <v>0</v>
      </c>
      <c r="BT177" s="652">
        <v>-91332</v>
      </c>
    </row>
    <row r="178" spans="1:72" ht="15" hidden="1" customHeight="1">
      <c r="A178" s="66" t="s">
        <v>1243</v>
      </c>
      <c r="B178" s="66"/>
      <c r="C178" s="66" t="s">
        <v>96</v>
      </c>
      <c r="D178" s="66" t="s">
        <v>96</v>
      </c>
      <c r="E178" s="150" t="s">
        <v>1136</v>
      </c>
      <c r="F178" s="482" t="s">
        <v>1566</v>
      </c>
      <c r="G178" s="150" t="s">
        <v>1135</v>
      </c>
      <c r="H178" s="150" t="s">
        <v>1135</v>
      </c>
      <c r="I178" s="150" t="s">
        <v>1135</v>
      </c>
      <c r="J178" s="150" t="s">
        <v>1135</v>
      </c>
      <c r="K178" s="150" t="s">
        <v>1137</v>
      </c>
      <c r="L178" s="511" t="s">
        <v>49</v>
      </c>
      <c r="M178" s="392" t="s">
        <v>1238</v>
      </c>
      <c r="N178" s="343"/>
      <c r="O178" s="343"/>
      <c r="P178" s="70" t="s">
        <v>97</v>
      </c>
      <c r="Q178" s="346"/>
      <c r="R178" s="346" t="s">
        <v>1232</v>
      </c>
      <c r="S178" s="346"/>
      <c r="T178" s="150" t="s">
        <v>25</v>
      </c>
      <c r="U178" s="150" t="s">
        <v>1244</v>
      </c>
      <c r="V178" s="643"/>
      <c r="W178" s="659">
        <v>0</v>
      </c>
      <c r="X178" s="659">
        <v>-76110</v>
      </c>
      <c r="Y178" s="656"/>
      <c r="Z178" s="657"/>
      <c r="AA178" s="714"/>
      <c r="AB178" s="428"/>
      <c r="AC178" s="428"/>
      <c r="AD178" s="428" t="s">
        <v>1142</v>
      </c>
      <c r="AE178" s="429">
        <v>-76110</v>
      </c>
      <c r="AF178" s="429">
        <v>0</v>
      </c>
      <c r="AG178" s="667">
        <v>0</v>
      </c>
      <c r="AH178" s="667">
        <v>0</v>
      </c>
      <c r="AI178" s="667">
        <v>0</v>
      </c>
      <c r="AJ178" s="667">
        <v>0</v>
      </c>
      <c r="AK178" s="667">
        <v>0</v>
      </c>
      <c r="AL178" s="667">
        <v>0</v>
      </c>
      <c r="AM178" s="649">
        <f t="shared" si="18"/>
        <v>-76110</v>
      </c>
      <c r="AN178" s="651">
        <f>ERP_27[[#This Row],[2026 Working Total]]-ERP_27[[#This Row],[LE2 Final Submission]]</f>
        <v>0</v>
      </c>
      <c r="AO178" s="652"/>
      <c r="AP178" s="652">
        <f t="shared" si="17"/>
        <v>0</v>
      </c>
      <c r="AQ178" s="374">
        <f>SUM(ERP_27[[#This Row],[AP01]:[AP06]])-SUM(ERP_27[[#This Row],[AP01 LE2]:[AP06 LE2]])</f>
        <v>0</v>
      </c>
      <c r="AR178" s="653"/>
      <c r="AS178" s="652">
        <f>ERP_27[[#This Row],[2026 Working Total to Budget/LE]]-ERP_27[[#This Row],[Giveback]]</f>
        <v>0</v>
      </c>
      <c r="AT178" s="654"/>
      <c r="AU178" s="655"/>
      <c r="AV178" s="655"/>
      <c r="AW178" s="655"/>
      <c r="AX178" s="655"/>
      <c r="AY178" s="655"/>
      <c r="AZ178" s="655">
        <v>-76110</v>
      </c>
      <c r="BA178" s="655">
        <v>0</v>
      </c>
      <c r="BB178" s="655">
        <v>0</v>
      </c>
      <c r="BC178" s="655">
        <v>0</v>
      </c>
      <c r="BD178" s="655">
        <v>0</v>
      </c>
      <c r="BE178" s="655">
        <v>0</v>
      </c>
      <c r="BF178" s="655">
        <v>0</v>
      </c>
      <c r="BG178" s="655">
        <v>-76110</v>
      </c>
      <c r="BH178" s="652"/>
      <c r="BI178" s="652"/>
      <c r="BJ178" s="652"/>
      <c r="BK178" s="652"/>
      <c r="BL178" s="652"/>
      <c r="BM178" s="652">
        <v>-76110</v>
      </c>
      <c r="BN178" s="652">
        <v>0</v>
      </c>
      <c r="BO178" s="652">
        <v>0</v>
      </c>
      <c r="BP178" s="652">
        <v>0</v>
      </c>
      <c r="BQ178" s="652">
        <v>0</v>
      </c>
      <c r="BR178" s="652">
        <v>0</v>
      </c>
      <c r="BS178" s="652">
        <v>0</v>
      </c>
      <c r="BT178" s="652">
        <v>-76110</v>
      </c>
    </row>
    <row r="179" spans="1:72" ht="15" hidden="1" customHeight="1">
      <c r="A179" s="66" t="s">
        <v>1563</v>
      </c>
      <c r="B179" s="66"/>
      <c r="C179" s="66" t="s">
        <v>269</v>
      </c>
      <c r="D179" s="66" t="s">
        <v>269</v>
      </c>
      <c r="E179" s="150" t="s">
        <v>1136</v>
      </c>
      <c r="F179" s="482" t="s">
        <v>1566</v>
      </c>
      <c r="G179" s="150" t="s">
        <v>1515</v>
      </c>
      <c r="H179" s="383" t="s">
        <v>1515</v>
      </c>
      <c r="I179" s="150" t="s">
        <v>1345</v>
      </c>
      <c r="J179" s="150" t="s">
        <v>1515</v>
      </c>
      <c r="K179" s="150" t="s">
        <v>1346</v>
      </c>
      <c r="L179" s="511" t="s">
        <v>49</v>
      </c>
      <c r="M179" s="392" t="s">
        <v>1340</v>
      </c>
      <c r="N179" s="343"/>
      <c r="O179" s="343"/>
      <c r="P179" s="70" t="s">
        <v>149</v>
      </c>
      <c r="Q179" s="346" t="s">
        <v>1139</v>
      </c>
      <c r="R179" s="343"/>
      <c r="S179" s="346"/>
      <c r="T179" s="150" t="s">
        <v>25</v>
      </c>
      <c r="U179" s="150"/>
      <c r="V179" s="643"/>
      <c r="W179" s="659">
        <v>0</v>
      </c>
      <c r="X179" s="659">
        <v>-54295.289999999994</v>
      </c>
      <c r="Y179" s="656"/>
      <c r="Z179" s="657"/>
      <c r="AA179" s="714">
        <v>-4506.29</v>
      </c>
      <c r="AB179" s="428">
        <v>-29540.02</v>
      </c>
      <c r="AC179" s="428">
        <v>-20248.98</v>
      </c>
      <c r="AD179" s="428">
        <v>0</v>
      </c>
      <c r="AE179" s="429">
        <v>0</v>
      </c>
      <c r="AF179" s="429">
        <v>0</v>
      </c>
      <c r="AG179" s="649">
        <v>0</v>
      </c>
      <c r="AH179" s="649">
        <v>0</v>
      </c>
      <c r="AI179" s="649">
        <v>0</v>
      </c>
      <c r="AJ179" s="649">
        <v>0</v>
      </c>
      <c r="AK179" s="649">
        <v>0</v>
      </c>
      <c r="AL179" s="649">
        <v>0</v>
      </c>
      <c r="AM179" s="649">
        <f t="shared" si="18"/>
        <v>-54295.289999999994</v>
      </c>
      <c r="AN179" s="651">
        <f>ERP_27[[#This Row],[2026 Working Total]]-ERP_27[[#This Row],[LE2 Final Submission]]</f>
        <v>0</v>
      </c>
      <c r="AO179" s="652">
        <v>0</v>
      </c>
      <c r="AP179" s="652">
        <f t="shared" si="17"/>
        <v>0</v>
      </c>
      <c r="AQ179" s="374">
        <f>SUM(ERP_27[[#This Row],[AP01]:[AP06]])-SUM(ERP_27[[#This Row],[AP01 LE2]:[AP06 LE2]])</f>
        <v>0</v>
      </c>
      <c r="AR179" s="653"/>
      <c r="AS179" s="652">
        <f>ERP_27[[#This Row],[2026 Working Total to Budget/LE]]-ERP_27[[#This Row],[Giveback]]</f>
        <v>0</v>
      </c>
      <c r="AT179" s="654"/>
      <c r="AU179" s="655">
        <v>-4506.29</v>
      </c>
      <c r="AV179" s="655">
        <v>-29540.02</v>
      </c>
      <c r="AW179" s="655">
        <v>-20248.98</v>
      </c>
      <c r="AX179" s="655">
        <v>0</v>
      </c>
      <c r="AY179" s="655">
        <v>0</v>
      </c>
      <c r="AZ179" s="655">
        <v>0</v>
      </c>
      <c r="BA179" s="655">
        <v>0</v>
      </c>
      <c r="BB179" s="655">
        <v>0</v>
      </c>
      <c r="BC179" s="655">
        <v>0</v>
      </c>
      <c r="BD179" s="655">
        <v>0</v>
      </c>
      <c r="BE179" s="655">
        <v>0</v>
      </c>
      <c r="BF179" s="655">
        <v>0</v>
      </c>
      <c r="BG179" s="655">
        <v>-54295.289999999994</v>
      </c>
      <c r="BH179" s="652">
        <v>-4506.29</v>
      </c>
      <c r="BI179" s="652">
        <v>-29540.02</v>
      </c>
      <c r="BJ179" s="652">
        <v>-20248.98</v>
      </c>
      <c r="BK179" s="652">
        <v>0</v>
      </c>
      <c r="BL179" s="652">
        <v>0</v>
      </c>
      <c r="BM179" s="652">
        <v>0</v>
      </c>
      <c r="BN179" s="652">
        <v>0</v>
      </c>
      <c r="BO179" s="652">
        <v>0</v>
      </c>
      <c r="BP179" s="652">
        <v>0</v>
      </c>
      <c r="BQ179" s="652">
        <v>0</v>
      </c>
      <c r="BR179" s="652">
        <v>0</v>
      </c>
      <c r="BS179" s="652">
        <v>0</v>
      </c>
      <c r="BT179" s="652">
        <v>-54295.289999999994</v>
      </c>
    </row>
    <row r="180" spans="1:72" ht="15" hidden="1" customHeight="1">
      <c r="A180" s="150" t="s">
        <v>1631</v>
      </c>
      <c r="B180" s="150"/>
      <c r="C180" s="536" t="s">
        <v>308</v>
      </c>
      <c r="D180" s="296" t="s">
        <v>1632</v>
      </c>
      <c r="E180" s="150" t="s">
        <v>1136</v>
      </c>
      <c r="F180" s="482" t="s">
        <v>1566</v>
      </c>
      <c r="G180" s="150" t="s">
        <v>1566</v>
      </c>
      <c r="H180" s="150" t="s">
        <v>1566</v>
      </c>
      <c r="I180" s="332" t="s">
        <v>1567</v>
      </c>
      <c r="J180" s="332" t="s">
        <v>1567</v>
      </c>
      <c r="K180" s="333" t="s">
        <v>1567</v>
      </c>
      <c r="L180" s="514" t="s">
        <v>49</v>
      </c>
      <c r="M180" s="394" t="s">
        <v>1633</v>
      </c>
      <c r="N180" s="333"/>
      <c r="O180" s="332" t="s">
        <v>1634</v>
      </c>
      <c r="P180" s="90" t="s">
        <v>309</v>
      </c>
      <c r="Q180" s="347"/>
      <c r="R180" s="348" t="s">
        <v>1635</v>
      </c>
      <c r="S180" s="348"/>
      <c r="T180" s="506" t="s">
        <v>310</v>
      </c>
      <c r="U180" s="348"/>
      <c r="V180" s="646"/>
      <c r="W180" s="659"/>
      <c r="X180" s="659"/>
      <c r="Y180" s="656"/>
      <c r="Z180" s="657"/>
      <c r="AA180" s="714"/>
      <c r="AB180" s="428"/>
      <c r="AC180" s="428"/>
      <c r="AD180" s="429"/>
      <c r="AE180" s="429">
        <v>-48806.7</v>
      </c>
      <c r="AF180" s="429">
        <v>0</v>
      </c>
      <c r="AG180" s="649"/>
      <c r="AH180" s="649"/>
      <c r="AI180" s="649"/>
      <c r="AJ180" s="649"/>
      <c r="AK180" s="649"/>
      <c r="AL180" s="649"/>
      <c r="AM180" s="649">
        <f t="shared" si="18"/>
        <v>-48806.7</v>
      </c>
      <c r="AN180" s="651">
        <f>ERP_27[[#This Row],[2026 Working Total]]-ERP_27[[#This Row],[LE2 Final Submission]]</f>
        <v>-48806.7</v>
      </c>
      <c r="AO180" s="652"/>
      <c r="AP180" s="652">
        <f t="shared" si="17"/>
        <v>0</v>
      </c>
      <c r="AQ180" s="374">
        <f>SUM(ERP_27[[#This Row],[AP01]:[AP06]])-SUM(ERP_27[[#This Row],[AP01 LE2]:[AP06 LE2]])</f>
        <v>-48806.7</v>
      </c>
      <c r="AR180" s="653"/>
      <c r="AS180" s="652">
        <f>ERP_27[[#This Row],[2026 Working Total to Budget/LE]]-ERP_27[[#This Row],[Giveback]]</f>
        <v>-48806.7</v>
      </c>
      <c r="AT180" s="654"/>
      <c r="AU180" s="655"/>
      <c r="AV180" s="655"/>
      <c r="AW180" s="655"/>
      <c r="AX180" s="655"/>
      <c r="AY180" s="655"/>
      <c r="AZ180" s="655"/>
      <c r="BA180" s="655"/>
      <c r="BB180" s="655"/>
      <c r="BC180" s="655"/>
      <c r="BD180" s="655"/>
      <c r="BE180" s="655"/>
      <c r="BF180" s="655"/>
      <c r="BG180" s="655"/>
      <c r="BH180" s="652"/>
      <c r="BI180" s="652"/>
      <c r="BJ180" s="652"/>
      <c r="BK180" s="652"/>
      <c r="BL180" s="652"/>
      <c r="BM180" s="652"/>
      <c r="BN180" s="652"/>
      <c r="BO180" s="652"/>
      <c r="BP180" s="652"/>
      <c r="BQ180" s="652"/>
      <c r="BR180" s="652"/>
      <c r="BS180" s="652"/>
      <c r="BT180" s="652"/>
    </row>
    <row r="181" spans="1:72" ht="15" hidden="1" customHeight="1">
      <c r="A181" s="150" t="s">
        <v>2243</v>
      </c>
      <c r="B181" s="150"/>
      <c r="C181" s="536" t="s">
        <v>665</v>
      </c>
      <c r="D181" s="296" t="s">
        <v>2244</v>
      </c>
      <c r="E181" s="150" t="s">
        <v>1136</v>
      </c>
      <c r="F181" s="482" t="s">
        <v>1566</v>
      </c>
      <c r="G181" s="150" t="s">
        <v>1135</v>
      </c>
      <c r="H181" s="150" t="s">
        <v>1135</v>
      </c>
      <c r="I181" s="150" t="s">
        <v>1135</v>
      </c>
      <c r="J181" s="150" t="s">
        <v>1137</v>
      </c>
      <c r="K181" s="150" t="s">
        <v>1137</v>
      </c>
      <c r="L181" s="514" t="s">
        <v>639</v>
      </c>
      <c r="M181" s="394" t="s">
        <v>2245</v>
      </c>
      <c r="N181" s="333"/>
      <c r="O181" s="332" t="s">
        <v>1695</v>
      </c>
      <c r="P181" s="90" t="s">
        <v>2246</v>
      </c>
      <c r="Q181" s="347"/>
      <c r="R181" s="347"/>
      <c r="S181" s="348"/>
      <c r="T181" s="348"/>
      <c r="U181" s="1" t="s">
        <v>1141</v>
      </c>
      <c r="V181" s="646"/>
      <c r="W181" s="659"/>
      <c r="X181" s="659"/>
      <c r="Y181" s="656"/>
      <c r="Z181" s="657"/>
      <c r="AA181" s="714"/>
      <c r="AB181" s="428"/>
      <c r="AC181" s="428"/>
      <c r="AD181" s="429">
        <v>-41167.729999999996</v>
      </c>
      <c r="AE181" s="429">
        <v>0</v>
      </c>
      <c r="AF181" s="429">
        <v>0</v>
      </c>
      <c r="AG181" s="649"/>
      <c r="AH181" s="649"/>
      <c r="AI181" s="649"/>
      <c r="AJ181" s="649"/>
      <c r="AK181" s="649"/>
      <c r="AL181" s="649"/>
      <c r="AM181" s="649">
        <f t="shared" si="18"/>
        <v>-41167.729999999996</v>
      </c>
      <c r="AN181" s="651">
        <f>ERP_27[[#This Row],[2026 Working Total]]-ERP_27[[#This Row],[LE2 Final Submission]]</f>
        <v>-41167.729999999996</v>
      </c>
      <c r="AO181" s="652"/>
      <c r="AP181" s="652">
        <f t="shared" si="17"/>
        <v>0</v>
      </c>
      <c r="AQ181" s="374">
        <f>SUM(ERP_27[[#This Row],[AP01]:[AP06]])-SUM(ERP_27[[#This Row],[AP01 LE2]:[AP06 LE2]])</f>
        <v>-41167.729999999996</v>
      </c>
      <c r="AR181" s="653"/>
      <c r="AS181" s="652">
        <f>ERP_27[[#This Row],[2026 Working Total to Budget/LE]]-ERP_27[[#This Row],[Giveback]]</f>
        <v>-41167.729999999996</v>
      </c>
      <c r="AT181" s="654"/>
      <c r="AU181" s="655"/>
      <c r="AV181" s="655"/>
      <c r="AW181" s="655"/>
      <c r="AX181" s="655"/>
      <c r="AY181" s="655"/>
      <c r="AZ181" s="655"/>
      <c r="BA181" s="655"/>
      <c r="BB181" s="655"/>
      <c r="BC181" s="655"/>
      <c r="BD181" s="655"/>
      <c r="BE181" s="655"/>
      <c r="BF181" s="655"/>
      <c r="BG181" s="655"/>
      <c r="BH181" s="652"/>
      <c r="BI181" s="652"/>
      <c r="BJ181" s="652"/>
      <c r="BK181" s="652"/>
      <c r="BL181" s="652"/>
      <c r="BM181" s="652"/>
      <c r="BN181" s="652"/>
      <c r="BO181" s="652"/>
      <c r="BP181" s="652"/>
      <c r="BQ181" s="652"/>
      <c r="BR181" s="652"/>
      <c r="BS181" s="652"/>
      <c r="BT181" s="652"/>
    </row>
    <row r="182" spans="1:72" ht="15" hidden="1" customHeight="1">
      <c r="A182" s="150" t="s">
        <v>2233</v>
      </c>
      <c r="B182" s="150"/>
      <c r="C182" s="536" t="s">
        <v>658</v>
      </c>
      <c r="D182" s="296" t="s">
        <v>2234</v>
      </c>
      <c r="E182" s="150" t="s">
        <v>1136</v>
      </c>
      <c r="F182" s="482" t="s">
        <v>1566</v>
      </c>
      <c r="G182" s="150" t="s">
        <v>1135</v>
      </c>
      <c r="H182" s="150" t="s">
        <v>1135</v>
      </c>
      <c r="I182" s="150" t="s">
        <v>1135</v>
      </c>
      <c r="J182" s="150" t="s">
        <v>1137</v>
      </c>
      <c r="K182" s="150" t="s">
        <v>1137</v>
      </c>
      <c r="L182" s="514" t="s">
        <v>639</v>
      </c>
      <c r="M182" s="394" t="s">
        <v>2235</v>
      </c>
      <c r="N182" s="333"/>
      <c r="O182" s="332" t="s">
        <v>1695</v>
      </c>
      <c r="P182" s="90" t="s">
        <v>659</v>
      </c>
      <c r="Q182" s="347"/>
      <c r="R182" s="347"/>
      <c r="S182" s="348"/>
      <c r="T182" s="348"/>
      <c r="U182" s="1" t="s">
        <v>1141</v>
      </c>
      <c r="V182" s="646"/>
      <c r="W182" s="659"/>
      <c r="X182" s="659"/>
      <c r="Y182" s="656"/>
      <c r="Z182" s="657"/>
      <c r="AA182" s="714"/>
      <c r="AB182" s="428"/>
      <c r="AC182" s="428"/>
      <c r="AD182" s="429">
        <v>-38080.83</v>
      </c>
      <c r="AE182" s="429">
        <v>0</v>
      </c>
      <c r="AF182" s="429">
        <v>0</v>
      </c>
      <c r="AG182" s="649"/>
      <c r="AH182" s="649"/>
      <c r="AI182" s="649"/>
      <c r="AJ182" s="649"/>
      <c r="AK182" s="649"/>
      <c r="AL182" s="649"/>
      <c r="AM182" s="649">
        <f t="shared" si="18"/>
        <v>-38080.83</v>
      </c>
      <c r="AN182" s="651">
        <f>ERP_27[[#This Row],[2026 Working Total]]-ERP_27[[#This Row],[LE2 Final Submission]]</f>
        <v>-38080.83</v>
      </c>
      <c r="AO182" s="652"/>
      <c r="AP182" s="652">
        <f t="shared" si="17"/>
        <v>0</v>
      </c>
      <c r="AQ182" s="374">
        <f>SUM(ERP_27[[#This Row],[AP01]:[AP06]])-SUM(ERP_27[[#This Row],[AP01 LE2]:[AP06 LE2]])</f>
        <v>-38080.83</v>
      </c>
      <c r="AR182" s="653"/>
      <c r="AS182" s="652">
        <f>ERP_27[[#This Row],[2026 Working Total to Budget/LE]]-ERP_27[[#This Row],[Giveback]]</f>
        <v>-38080.83</v>
      </c>
      <c r="AT182" s="654"/>
      <c r="AU182" s="655"/>
      <c r="AV182" s="655"/>
      <c r="AW182" s="655"/>
      <c r="AX182" s="655"/>
      <c r="AY182" s="655"/>
      <c r="AZ182" s="655"/>
      <c r="BA182" s="655"/>
      <c r="BB182" s="655"/>
      <c r="BC182" s="655"/>
      <c r="BD182" s="655"/>
      <c r="BE182" s="655"/>
      <c r="BF182" s="655"/>
      <c r="BG182" s="655"/>
      <c r="BH182" s="652"/>
      <c r="BI182" s="652"/>
      <c r="BJ182" s="652"/>
      <c r="BK182" s="652"/>
      <c r="BL182" s="652"/>
      <c r="BM182" s="652"/>
      <c r="BN182" s="652"/>
      <c r="BO182" s="652"/>
      <c r="BP182" s="652"/>
      <c r="BQ182" s="652"/>
      <c r="BR182" s="652"/>
      <c r="BS182" s="652"/>
      <c r="BT182" s="652"/>
    </row>
    <row r="183" spans="1:72" ht="15" hidden="1" customHeight="1">
      <c r="A183" s="66" t="s">
        <v>1659</v>
      </c>
      <c r="B183" s="66"/>
      <c r="C183" s="66" t="s">
        <v>331</v>
      </c>
      <c r="D183" s="66" t="s">
        <v>331</v>
      </c>
      <c r="E183" s="150" t="s">
        <v>1136</v>
      </c>
      <c r="F183" s="482" t="s">
        <v>1566</v>
      </c>
      <c r="G183" s="150" t="s">
        <v>1650</v>
      </c>
      <c r="H183" s="150" t="s">
        <v>1650</v>
      </c>
      <c r="I183" s="150" t="s">
        <v>1650</v>
      </c>
      <c r="J183" s="150" t="s">
        <v>1650</v>
      </c>
      <c r="K183" s="150" t="s">
        <v>1650</v>
      </c>
      <c r="L183" s="511" t="s">
        <v>49</v>
      </c>
      <c r="M183" s="392" t="s">
        <v>1327</v>
      </c>
      <c r="N183" s="343"/>
      <c r="O183" s="343"/>
      <c r="P183" s="70" t="s">
        <v>147</v>
      </c>
      <c r="Q183" s="346"/>
      <c r="R183" s="343"/>
      <c r="S183" s="346"/>
      <c r="T183" s="150" t="s">
        <v>25</v>
      </c>
      <c r="U183" s="150"/>
      <c r="V183" s="643"/>
      <c r="W183" s="659">
        <v>0</v>
      </c>
      <c r="X183" s="659">
        <v>79.110000000000298</v>
      </c>
      <c r="Y183" s="656"/>
      <c r="Z183" s="657"/>
      <c r="AA183" s="714">
        <v>0.01</v>
      </c>
      <c r="AB183" s="428">
        <v>0.42</v>
      </c>
      <c r="AC183" s="428">
        <f>-54821.32+54900</f>
        <v>78.680000000000291</v>
      </c>
      <c r="AD183" s="428">
        <v>-0.62</v>
      </c>
      <c r="AE183" s="481">
        <v>-20720.55</v>
      </c>
      <c r="AF183" s="429">
        <v>0</v>
      </c>
      <c r="AG183" s="649">
        <v>0</v>
      </c>
      <c r="AH183" s="649">
        <v>0</v>
      </c>
      <c r="AI183" s="649">
        <v>0</v>
      </c>
      <c r="AJ183" s="649">
        <v>0</v>
      </c>
      <c r="AK183" s="649">
        <v>0</v>
      </c>
      <c r="AL183" s="649">
        <v>0</v>
      </c>
      <c r="AM183" s="649">
        <f t="shared" si="18"/>
        <v>-20642.059999999998</v>
      </c>
      <c r="AN183" s="651">
        <f>ERP_27[[#This Row],[2026 Working Total]]-ERP_27[[#This Row],[LE2 Final Submission]]</f>
        <v>-20721.169999999998</v>
      </c>
      <c r="AO183" s="652">
        <v>0</v>
      </c>
      <c r="AP183" s="652">
        <f t="shared" si="17"/>
        <v>0</v>
      </c>
      <c r="AQ183" s="374">
        <f>SUM(ERP_27[[#This Row],[AP01]:[AP06]])-SUM(ERP_27[[#This Row],[AP01 LE2]:[AP06 LE2]])</f>
        <v>-20721.169999999998</v>
      </c>
      <c r="AR183" s="653"/>
      <c r="AS183" s="652">
        <f>ERP_27[[#This Row],[2026 Working Total to Budget/LE]]-ERP_27[[#This Row],[Giveback]]</f>
        <v>-20721.169999999998</v>
      </c>
      <c r="AT183" s="654"/>
      <c r="AU183" s="655">
        <v>0.01</v>
      </c>
      <c r="AV183" s="655">
        <v>0.42</v>
      </c>
      <c r="AW183" s="655">
        <v>78.680000000000291</v>
      </c>
      <c r="AX183" s="655">
        <v>0</v>
      </c>
      <c r="AY183" s="655">
        <v>0</v>
      </c>
      <c r="AZ183" s="655">
        <v>0</v>
      </c>
      <c r="BA183" s="655">
        <v>0</v>
      </c>
      <c r="BB183" s="655">
        <v>0</v>
      </c>
      <c r="BC183" s="655">
        <v>0</v>
      </c>
      <c r="BD183" s="655">
        <v>0</v>
      </c>
      <c r="BE183" s="655">
        <v>0</v>
      </c>
      <c r="BF183" s="655">
        <v>0</v>
      </c>
      <c r="BG183" s="655">
        <v>79.110000000000298</v>
      </c>
      <c r="BH183" s="652">
        <v>0.01</v>
      </c>
      <c r="BI183" s="652">
        <v>0.42</v>
      </c>
      <c r="BJ183" s="652">
        <v>-54821.32</v>
      </c>
      <c r="BK183" s="652">
        <v>0</v>
      </c>
      <c r="BL183" s="652">
        <v>0</v>
      </c>
      <c r="BM183" s="652">
        <v>0</v>
      </c>
      <c r="BN183" s="652">
        <v>0</v>
      </c>
      <c r="BO183" s="652">
        <v>0</v>
      </c>
      <c r="BP183" s="652">
        <v>0</v>
      </c>
      <c r="BQ183" s="652">
        <v>0</v>
      </c>
      <c r="BR183" s="652">
        <v>0</v>
      </c>
      <c r="BS183" s="652">
        <v>0</v>
      </c>
      <c r="BT183" s="652">
        <v>-54820.89</v>
      </c>
    </row>
    <row r="184" spans="1:72" ht="15" hidden="1" customHeight="1">
      <c r="A184" s="66" t="s">
        <v>1939</v>
      </c>
      <c r="B184" s="66"/>
      <c r="C184" s="66" t="s">
        <v>481</v>
      </c>
      <c r="D184" s="66" t="s">
        <v>481</v>
      </c>
      <c r="E184" s="150" t="s">
        <v>1136</v>
      </c>
      <c r="F184" s="482" t="s">
        <v>1566</v>
      </c>
      <c r="G184" s="150" t="s">
        <v>1135</v>
      </c>
      <c r="H184" s="150" t="s">
        <v>1135</v>
      </c>
      <c r="I184" s="150" t="s">
        <v>1135</v>
      </c>
      <c r="J184" s="150" t="s">
        <v>1135</v>
      </c>
      <c r="K184" s="150" t="s">
        <v>1137</v>
      </c>
      <c r="L184" s="511" t="s">
        <v>389</v>
      </c>
      <c r="M184" s="392" t="s">
        <v>1778</v>
      </c>
      <c r="N184" s="343"/>
      <c r="O184" s="343"/>
      <c r="P184" s="70" t="s">
        <v>482</v>
      </c>
      <c r="Q184" s="346"/>
      <c r="R184" s="343"/>
      <c r="S184" s="346"/>
      <c r="T184" s="150" t="s">
        <v>408</v>
      </c>
      <c r="U184" s="150"/>
      <c r="V184" s="643"/>
      <c r="W184" s="659">
        <v>0</v>
      </c>
      <c r="X184" s="659">
        <v>-18450</v>
      </c>
      <c r="Y184" s="656"/>
      <c r="Z184" s="657"/>
      <c r="AA184" s="714"/>
      <c r="AB184" s="428"/>
      <c r="AC184" s="428">
        <v>-3450</v>
      </c>
      <c r="AD184" s="428">
        <v>0</v>
      </c>
      <c r="AE184" s="429">
        <v>-7116.77</v>
      </c>
      <c r="AF184" s="429">
        <v>-3658.57</v>
      </c>
      <c r="AG184" s="649">
        <v>-1666.67</v>
      </c>
      <c r="AH184" s="649">
        <v>-1666.67</v>
      </c>
      <c r="AI184" s="649">
        <v>-1666.67</v>
      </c>
      <c r="AJ184" s="649">
        <v>0</v>
      </c>
      <c r="AK184" s="649">
        <v>0</v>
      </c>
      <c r="AL184" s="649">
        <v>0</v>
      </c>
      <c r="AM184" s="649">
        <f t="shared" si="18"/>
        <v>-19225.349999999999</v>
      </c>
      <c r="AN184" s="651">
        <f>ERP_27[[#This Row],[2026 Working Total]]-ERP_27[[#This Row],[LE2 Final Submission]]</f>
        <v>-775.34999999999854</v>
      </c>
      <c r="AO184" s="652">
        <v>-3333.33</v>
      </c>
      <c r="AP184" s="652">
        <f t="shared" si="17"/>
        <v>-325.24000000000024</v>
      </c>
      <c r="AQ184" s="374">
        <f>SUM(ERP_27[[#This Row],[AP01]:[AP06]])-SUM(ERP_27[[#This Row],[AP01 LE2]:[AP06 LE2]])</f>
        <v>-775.35000000000036</v>
      </c>
      <c r="AR184" s="653"/>
      <c r="AS184" s="652">
        <f>ERP_27[[#This Row],[2026 Working Total to Budget/LE]]-ERP_27[[#This Row],[Giveback]]</f>
        <v>-775.34999999999854</v>
      </c>
      <c r="AT184" s="654"/>
      <c r="AU184" s="655"/>
      <c r="AV184" s="655"/>
      <c r="AW184" s="655">
        <v>-3450</v>
      </c>
      <c r="AX184" s="655">
        <v>-3333.33</v>
      </c>
      <c r="AY184" s="655">
        <v>-3333.33</v>
      </c>
      <c r="AZ184" s="655">
        <v>-3333.33</v>
      </c>
      <c r="BA184" s="655">
        <v>-1666.67</v>
      </c>
      <c r="BB184" s="655">
        <v>-1666.67</v>
      </c>
      <c r="BC184" s="655">
        <v>-1666.67</v>
      </c>
      <c r="BD184" s="655">
        <v>0</v>
      </c>
      <c r="BE184" s="655">
        <v>0</v>
      </c>
      <c r="BF184" s="655">
        <v>0</v>
      </c>
      <c r="BG184" s="655">
        <v>-18450</v>
      </c>
      <c r="BH184" s="652"/>
      <c r="BI184" s="652"/>
      <c r="BJ184" s="652">
        <v>-3450</v>
      </c>
      <c r="BK184" s="652">
        <v>-3333.33</v>
      </c>
      <c r="BL184" s="652">
        <v>-3333.33</v>
      </c>
      <c r="BM184" s="652">
        <v>-3333.33</v>
      </c>
      <c r="BN184" s="652">
        <v>-1666.67</v>
      </c>
      <c r="BO184" s="652">
        <v>-1666.67</v>
      </c>
      <c r="BP184" s="652">
        <v>-1666.67</v>
      </c>
      <c r="BQ184" s="652">
        <v>0</v>
      </c>
      <c r="BR184" s="652">
        <v>0</v>
      </c>
      <c r="BS184" s="652">
        <v>0</v>
      </c>
      <c r="BT184" s="652">
        <v>-18450</v>
      </c>
    </row>
    <row r="185" spans="1:72" ht="15" hidden="1" customHeight="1">
      <c r="A185" s="66" t="s">
        <v>2051</v>
      </c>
      <c r="B185" s="66"/>
      <c r="C185" s="66" t="s">
        <v>550</v>
      </c>
      <c r="D185" s="66" t="s">
        <v>550</v>
      </c>
      <c r="E185" s="150" t="s">
        <v>1136</v>
      </c>
      <c r="F185" s="482" t="s">
        <v>1566</v>
      </c>
      <c r="G185" s="383" t="s">
        <v>1480</v>
      </c>
      <c r="H185" s="383" t="s">
        <v>1480</v>
      </c>
      <c r="I185" s="150" t="s">
        <v>1345</v>
      </c>
      <c r="J185" s="150" t="s">
        <v>1480</v>
      </c>
      <c r="K185" s="150" t="s">
        <v>1346</v>
      </c>
      <c r="L185" s="511" t="s">
        <v>389</v>
      </c>
      <c r="M185" s="392" t="s">
        <v>1863</v>
      </c>
      <c r="N185" s="343"/>
      <c r="O185" s="343"/>
      <c r="P185" s="70" t="s">
        <v>526</v>
      </c>
      <c r="Q185" s="346"/>
      <c r="R185" s="343"/>
      <c r="S185" s="346"/>
      <c r="T185" s="150" t="s">
        <v>57</v>
      </c>
      <c r="U185" s="346" t="s">
        <v>2021</v>
      </c>
      <c r="V185" s="643"/>
      <c r="W185" s="659">
        <v>84000</v>
      </c>
      <c r="X185" s="659">
        <v>-14686.309999999998</v>
      </c>
      <c r="Y185" s="656"/>
      <c r="Z185" s="657"/>
      <c r="AA185" s="714">
        <v>6710.29</v>
      </c>
      <c r="AB185" s="428">
        <v>-18265.05</v>
      </c>
      <c r="AC185" s="428">
        <v>-3131.55</v>
      </c>
      <c r="AD185" s="428">
        <v>7060.4400000000005</v>
      </c>
      <c r="AE185" s="429">
        <v>6784.5</v>
      </c>
      <c r="AF185" s="429">
        <v>-12968.59</v>
      </c>
      <c r="AG185" s="649">
        <f t="shared" ref="AG185:AL185" si="19">7000-7000</f>
        <v>0</v>
      </c>
      <c r="AH185" s="649">
        <f t="shared" si="19"/>
        <v>0</v>
      </c>
      <c r="AI185" s="649">
        <f t="shared" si="19"/>
        <v>0</v>
      </c>
      <c r="AJ185" s="649">
        <f t="shared" si="19"/>
        <v>0</v>
      </c>
      <c r="AK185" s="649">
        <f t="shared" si="19"/>
        <v>0</v>
      </c>
      <c r="AL185" s="649">
        <f t="shared" si="19"/>
        <v>0</v>
      </c>
      <c r="AM185" s="649">
        <f t="shared" si="18"/>
        <v>-13809.959999999997</v>
      </c>
      <c r="AN185" s="651">
        <f>ERP_27[[#This Row],[2026 Working Total]]-ERP_27[[#This Row],[LE2 Final Submission]]</f>
        <v>876.35000000000036</v>
      </c>
      <c r="AO185" s="652">
        <v>0</v>
      </c>
      <c r="AP185" s="652">
        <f t="shared" si="17"/>
        <v>-12968.59</v>
      </c>
      <c r="AQ185" s="374">
        <f>SUM(ERP_27[[#This Row],[AP01]:[AP06]])-SUM(ERP_27[[#This Row],[AP01 LE2]:[AP06 LE2]])</f>
        <v>876.35000000000036</v>
      </c>
      <c r="AR185" s="653"/>
      <c r="AS185" s="652">
        <f>ERP_27[[#This Row],[2026 Working Total to Budget/LE]]-ERP_27[[#This Row],[Giveback]]</f>
        <v>876.35000000000036</v>
      </c>
      <c r="AT185" s="654"/>
      <c r="AU185" s="655">
        <v>6710.29</v>
      </c>
      <c r="AV185" s="655">
        <v>-18265.05</v>
      </c>
      <c r="AW185" s="655">
        <v>-3131.55</v>
      </c>
      <c r="AX185" s="655">
        <v>0</v>
      </c>
      <c r="AY185" s="655">
        <v>0</v>
      </c>
      <c r="AZ185" s="655">
        <v>0</v>
      </c>
      <c r="BA185" s="655">
        <v>0</v>
      </c>
      <c r="BB185" s="655">
        <v>0</v>
      </c>
      <c r="BC185" s="655">
        <v>0</v>
      </c>
      <c r="BD185" s="655">
        <v>0</v>
      </c>
      <c r="BE185" s="655">
        <v>0</v>
      </c>
      <c r="BF185" s="655">
        <v>0</v>
      </c>
      <c r="BG185" s="655">
        <v>-14686.309999999998</v>
      </c>
      <c r="BH185" s="652">
        <v>6710.29</v>
      </c>
      <c r="BI185" s="652">
        <v>-18265.05</v>
      </c>
      <c r="BJ185" s="652">
        <v>-3131.55</v>
      </c>
      <c r="BK185" s="652">
        <v>7000</v>
      </c>
      <c r="BL185" s="652">
        <v>7000</v>
      </c>
      <c r="BM185" s="652">
        <v>7000</v>
      </c>
      <c r="BN185" s="652">
        <v>7000</v>
      </c>
      <c r="BO185" s="652">
        <v>7000</v>
      </c>
      <c r="BP185" s="652">
        <v>7000</v>
      </c>
      <c r="BQ185" s="652">
        <v>7000</v>
      </c>
      <c r="BR185" s="652">
        <v>7000</v>
      </c>
      <c r="BS185" s="652">
        <v>7000</v>
      </c>
      <c r="BT185" s="652">
        <v>48313.69</v>
      </c>
    </row>
    <row r="186" spans="1:72" ht="15" hidden="1" customHeight="1">
      <c r="A186" s="66" t="s">
        <v>1686</v>
      </c>
      <c r="B186" s="66"/>
      <c r="C186" s="66" t="s">
        <v>2929</v>
      </c>
      <c r="D186" s="66" t="s">
        <v>1687</v>
      </c>
      <c r="E186" s="150" t="s">
        <v>1136</v>
      </c>
      <c r="F186" s="482" t="s">
        <v>1566</v>
      </c>
      <c r="G186" s="150" t="s">
        <v>1135</v>
      </c>
      <c r="H186" s="150" t="s">
        <v>1135</v>
      </c>
      <c r="I186" s="150" t="s">
        <v>1135</v>
      </c>
      <c r="J186" s="150" t="s">
        <v>1137</v>
      </c>
      <c r="K186" s="150" t="s">
        <v>1137</v>
      </c>
      <c r="L186" s="511" t="s">
        <v>342</v>
      </c>
      <c r="M186" s="392" t="s">
        <v>352</v>
      </c>
      <c r="N186" s="343"/>
      <c r="O186" s="343"/>
      <c r="P186" s="70" t="s">
        <v>352</v>
      </c>
      <c r="Q186" s="346" t="s">
        <v>1139</v>
      </c>
      <c r="R186" s="346" t="s">
        <v>1140</v>
      </c>
      <c r="S186" s="346"/>
      <c r="T186" s="150" t="s">
        <v>25</v>
      </c>
      <c r="U186" s="1" t="s">
        <v>1141</v>
      </c>
      <c r="V186" s="643"/>
      <c r="W186" s="659">
        <v>0</v>
      </c>
      <c r="X186" s="659">
        <v>0</v>
      </c>
      <c r="Y186" s="656"/>
      <c r="Z186" s="657"/>
      <c r="AA186" s="714"/>
      <c r="AB186" s="428"/>
      <c r="AC186" s="428">
        <v>0</v>
      </c>
      <c r="AD186" s="428">
        <v>-12412.23</v>
      </c>
      <c r="AE186" s="429">
        <v>0</v>
      </c>
      <c r="AF186" s="429">
        <v>0</v>
      </c>
      <c r="AG186" s="649">
        <v>0</v>
      </c>
      <c r="AH186" s="649">
        <v>0</v>
      </c>
      <c r="AI186" s="649">
        <v>0</v>
      </c>
      <c r="AJ186" s="649">
        <v>0</v>
      </c>
      <c r="AK186" s="649">
        <v>0</v>
      </c>
      <c r="AL186" s="649">
        <v>0</v>
      </c>
      <c r="AM186" s="649">
        <f t="shared" si="18"/>
        <v>-12412.23</v>
      </c>
      <c r="AN186" s="651">
        <f>ERP_27[[#This Row],[2026 Working Total]]-ERP_27[[#This Row],[LE2 Final Submission]]</f>
        <v>-12412.23</v>
      </c>
      <c r="AO186" s="652">
        <v>0</v>
      </c>
      <c r="AP186" s="652">
        <f t="shared" si="17"/>
        <v>0</v>
      </c>
      <c r="AQ186" s="374">
        <f>SUM(ERP_27[[#This Row],[AP01]:[AP06]])-SUM(ERP_27[[#This Row],[AP01 LE2]:[AP06 LE2]])</f>
        <v>-12412.23</v>
      </c>
      <c r="AR186" s="653"/>
      <c r="AS186" s="652">
        <f>ERP_27[[#This Row],[2026 Working Total to Budget/LE]]-ERP_27[[#This Row],[Giveback]]</f>
        <v>-12412.23</v>
      </c>
      <c r="AT186" s="654"/>
      <c r="AU186" s="655"/>
      <c r="AV186" s="655"/>
      <c r="AW186" s="655">
        <v>0</v>
      </c>
      <c r="AX186" s="655">
        <v>0</v>
      </c>
      <c r="AY186" s="655">
        <v>0</v>
      </c>
      <c r="AZ186" s="655">
        <v>0</v>
      </c>
      <c r="BA186" s="655">
        <v>0</v>
      </c>
      <c r="BB186" s="655">
        <v>0</v>
      </c>
      <c r="BC186" s="655">
        <v>0</v>
      </c>
      <c r="BD186" s="655">
        <v>0</v>
      </c>
      <c r="BE186" s="655">
        <v>0</v>
      </c>
      <c r="BF186" s="655">
        <v>0</v>
      </c>
      <c r="BG186" s="655">
        <v>0</v>
      </c>
      <c r="BH186" s="652"/>
      <c r="BI186" s="652"/>
      <c r="BJ186" s="652">
        <v>0</v>
      </c>
      <c r="BK186" s="652">
        <v>0</v>
      </c>
      <c r="BL186" s="652">
        <v>0</v>
      </c>
      <c r="BM186" s="652">
        <v>0</v>
      </c>
      <c r="BN186" s="652">
        <v>0</v>
      </c>
      <c r="BO186" s="652">
        <v>0</v>
      </c>
      <c r="BP186" s="652">
        <v>0</v>
      </c>
      <c r="BQ186" s="652">
        <v>0</v>
      </c>
      <c r="BR186" s="652">
        <v>0</v>
      </c>
      <c r="BS186" s="652">
        <v>0</v>
      </c>
      <c r="BT186" s="652">
        <v>0</v>
      </c>
    </row>
    <row r="187" spans="1:72" ht="15" hidden="1" customHeight="1">
      <c r="A187" s="66" t="s">
        <v>1726</v>
      </c>
      <c r="B187" s="66"/>
      <c r="C187" s="66" t="s">
        <v>2930</v>
      </c>
      <c r="D187" s="66" t="s">
        <v>1727</v>
      </c>
      <c r="E187" s="150" t="s">
        <v>1136</v>
      </c>
      <c r="F187" s="482" t="s">
        <v>1566</v>
      </c>
      <c r="G187" s="150" t="s">
        <v>1566</v>
      </c>
      <c r="H187" s="150" t="s">
        <v>1566</v>
      </c>
      <c r="I187" s="150" t="s">
        <v>1567</v>
      </c>
      <c r="J187" s="150" t="s">
        <v>1567</v>
      </c>
      <c r="K187" s="150" t="s">
        <v>1567</v>
      </c>
      <c r="L187" s="511" t="s">
        <v>342</v>
      </c>
      <c r="M187" s="392" t="s">
        <v>352</v>
      </c>
      <c r="N187" s="343"/>
      <c r="O187" s="343"/>
      <c r="P187" s="70" t="s">
        <v>352</v>
      </c>
      <c r="Q187" s="346" t="s">
        <v>1139</v>
      </c>
      <c r="R187" s="346" t="s">
        <v>1140</v>
      </c>
      <c r="S187" s="346"/>
      <c r="T187" s="150" t="s">
        <v>25</v>
      </c>
      <c r="U187" s="150"/>
      <c r="V187" s="643"/>
      <c r="W187" s="659">
        <v>0</v>
      </c>
      <c r="X187" s="659">
        <v>0</v>
      </c>
      <c r="Y187" s="656"/>
      <c r="Z187" s="657"/>
      <c r="AA187" s="714"/>
      <c r="AB187" s="428"/>
      <c r="AC187" s="428">
        <v>0</v>
      </c>
      <c r="AD187" s="428">
        <v>-11818.05</v>
      </c>
      <c r="AE187" s="429">
        <v>0</v>
      </c>
      <c r="AF187" s="429">
        <v>0</v>
      </c>
      <c r="AG187" s="649">
        <v>0</v>
      </c>
      <c r="AH187" s="649">
        <v>0</v>
      </c>
      <c r="AI187" s="649">
        <v>0</v>
      </c>
      <c r="AJ187" s="649">
        <v>0</v>
      </c>
      <c r="AK187" s="649">
        <v>0</v>
      </c>
      <c r="AL187" s="649">
        <v>0</v>
      </c>
      <c r="AM187" s="649">
        <f t="shared" si="18"/>
        <v>-11818.05</v>
      </c>
      <c r="AN187" s="651">
        <f>ERP_27[[#This Row],[2026 Working Total]]-ERP_27[[#This Row],[LE2 Final Submission]]</f>
        <v>-11818.05</v>
      </c>
      <c r="AO187" s="652">
        <v>0</v>
      </c>
      <c r="AP187" s="652">
        <f t="shared" si="17"/>
        <v>0</v>
      </c>
      <c r="AQ187" s="374">
        <f>SUM(ERP_27[[#This Row],[AP01]:[AP06]])-SUM(ERP_27[[#This Row],[AP01 LE2]:[AP06 LE2]])</f>
        <v>-11818.05</v>
      </c>
      <c r="AR187" s="653"/>
      <c r="AS187" s="652">
        <f>ERP_27[[#This Row],[2026 Working Total to Budget/LE]]-ERP_27[[#This Row],[Giveback]]</f>
        <v>-11818.05</v>
      </c>
      <c r="AT187" s="654"/>
      <c r="AU187" s="655"/>
      <c r="AV187" s="655"/>
      <c r="AW187" s="655">
        <v>0</v>
      </c>
      <c r="AX187" s="655">
        <v>0</v>
      </c>
      <c r="AY187" s="655">
        <v>0</v>
      </c>
      <c r="AZ187" s="655">
        <v>0</v>
      </c>
      <c r="BA187" s="655">
        <v>0</v>
      </c>
      <c r="BB187" s="655">
        <v>0</v>
      </c>
      <c r="BC187" s="655">
        <v>0</v>
      </c>
      <c r="BD187" s="655">
        <v>0</v>
      </c>
      <c r="BE187" s="655">
        <v>0</v>
      </c>
      <c r="BF187" s="655">
        <v>0</v>
      </c>
      <c r="BG187" s="655">
        <v>0</v>
      </c>
      <c r="BH187" s="652"/>
      <c r="BI187" s="652"/>
      <c r="BJ187" s="652">
        <v>0</v>
      </c>
      <c r="BK187" s="652">
        <v>0</v>
      </c>
      <c r="BL187" s="652">
        <v>0</v>
      </c>
      <c r="BM187" s="652">
        <v>0</v>
      </c>
      <c r="BN187" s="652">
        <v>0</v>
      </c>
      <c r="BO187" s="652">
        <v>0</v>
      </c>
      <c r="BP187" s="652">
        <v>0</v>
      </c>
      <c r="BQ187" s="652">
        <v>0</v>
      </c>
      <c r="BR187" s="652">
        <v>0</v>
      </c>
      <c r="BS187" s="652">
        <v>0</v>
      </c>
      <c r="BT187" s="652">
        <v>0</v>
      </c>
    </row>
    <row r="188" spans="1:72" ht="15" hidden="1" customHeight="1">
      <c r="A188" s="66" t="s">
        <v>1786</v>
      </c>
      <c r="B188" s="66"/>
      <c r="C188" s="66" t="s">
        <v>2931</v>
      </c>
      <c r="D188" s="66" t="s">
        <v>1787</v>
      </c>
      <c r="E188" s="150" t="s">
        <v>1136</v>
      </c>
      <c r="F188" s="482" t="s">
        <v>1566</v>
      </c>
      <c r="G188" s="150" t="s">
        <v>1135</v>
      </c>
      <c r="H188" s="150" t="s">
        <v>1135</v>
      </c>
      <c r="I188" s="150" t="s">
        <v>1135</v>
      </c>
      <c r="J188" s="150" t="s">
        <v>1137</v>
      </c>
      <c r="K188" s="150" t="s">
        <v>1137</v>
      </c>
      <c r="L188" s="511" t="s">
        <v>389</v>
      </c>
      <c r="M188" s="392" t="s">
        <v>414</v>
      </c>
      <c r="N188" s="343"/>
      <c r="O188" s="343"/>
      <c r="P188" s="70" t="s">
        <v>414</v>
      </c>
      <c r="Q188" s="346" t="s">
        <v>1139</v>
      </c>
      <c r="R188" s="346" t="s">
        <v>1140</v>
      </c>
      <c r="S188" s="346"/>
      <c r="T188" s="150" t="s">
        <v>25</v>
      </c>
      <c r="U188" s="1" t="s">
        <v>1141</v>
      </c>
      <c r="V188" s="643"/>
      <c r="W188" s="659">
        <v>0</v>
      </c>
      <c r="X188" s="659">
        <v>0</v>
      </c>
      <c r="Y188" s="656"/>
      <c r="Z188" s="657"/>
      <c r="AA188" s="714"/>
      <c r="AB188" s="428">
        <v>0</v>
      </c>
      <c r="AC188" s="428">
        <v>0</v>
      </c>
      <c r="AD188" s="428">
        <v>-10742.01</v>
      </c>
      <c r="AE188" s="429">
        <v>0</v>
      </c>
      <c r="AF188" s="429">
        <v>0</v>
      </c>
      <c r="AG188" s="649">
        <v>0</v>
      </c>
      <c r="AH188" s="649">
        <v>0</v>
      </c>
      <c r="AI188" s="649">
        <v>0</v>
      </c>
      <c r="AJ188" s="649">
        <v>0</v>
      </c>
      <c r="AK188" s="649">
        <v>0</v>
      </c>
      <c r="AL188" s="649">
        <v>0</v>
      </c>
      <c r="AM188" s="649">
        <f t="shared" si="18"/>
        <v>-10742.01</v>
      </c>
      <c r="AN188" s="651">
        <f>ERP_27[[#This Row],[2026 Working Total]]-ERP_27[[#This Row],[LE2 Final Submission]]</f>
        <v>-10742.01</v>
      </c>
      <c r="AO188" s="652">
        <v>0</v>
      </c>
      <c r="AP188" s="652">
        <f t="shared" si="17"/>
        <v>0</v>
      </c>
      <c r="AQ188" s="374">
        <f>SUM(ERP_27[[#This Row],[AP01]:[AP06]])-SUM(ERP_27[[#This Row],[AP01 LE2]:[AP06 LE2]])</f>
        <v>-10742.01</v>
      </c>
      <c r="AR188" s="653"/>
      <c r="AS188" s="652">
        <f>ERP_27[[#This Row],[2026 Working Total to Budget/LE]]-ERP_27[[#This Row],[Giveback]]</f>
        <v>-10742.01</v>
      </c>
      <c r="AT188" s="654"/>
      <c r="AU188" s="655"/>
      <c r="AV188" s="655">
        <v>0</v>
      </c>
      <c r="AW188" s="655">
        <v>0</v>
      </c>
      <c r="AX188" s="655">
        <v>0</v>
      </c>
      <c r="AY188" s="655">
        <v>0</v>
      </c>
      <c r="AZ188" s="655">
        <v>0</v>
      </c>
      <c r="BA188" s="655">
        <v>0</v>
      </c>
      <c r="BB188" s="655">
        <v>0</v>
      </c>
      <c r="BC188" s="655">
        <v>0</v>
      </c>
      <c r="BD188" s="655">
        <v>0</v>
      </c>
      <c r="BE188" s="655">
        <v>0</v>
      </c>
      <c r="BF188" s="655">
        <v>0</v>
      </c>
      <c r="BG188" s="655">
        <v>0</v>
      </c>
      <c r="BH188" s="652"/>
      <c r="BI188" s="652">
        <v>0</v>
      </c>
      <c r="BJ188" s="652">
        <v>0</v>
      </c>
      <c r="BK188" s="652">
        <v>0</v>
      </c>
      <c r="BL188" s="652">
        <v>0</v>
      </c>
      <c r="BM188" s="652">
        <v>0</v>
      </c>
      <c r="BN188" s="652">
        <v>0</v>
      </c>
      <c r="BO188" s="652">
        <v>0</v>
      </c>
      <c r="BP188" s="652">
        <v>0</v>
      </c>
      <c r="BQ188" s="652">
        <v>0</v>
      </c>
      <c r="BR188" s="652">
        <v>0</v>
      </c>
      <c r="BS188" s="652">
        <v>0</v>
      </c>
      <c r="BT188" s="652">
        <v>0</v>
      </c>
    </row>
    <row r="189" spans="1:72" ht="15" hidden="1" customHeight="1">
      <c r="A189" s="150" t="s">
        <v>2090</v>
      </c>
      <c r="B189" s="150"/>
      <c r="C189" s="536" t="s">
        <v>568</v>
      </c>
      <c r="D189" s="296" t="s">
        <v>2091</v>
      </c>
      <c r="E189" s="150" t="s">
        <v>1136</v>
      </c>
      <c r="F189" s="482" t="s">
        <v>1566</v>
      </c>
      <c r="G189" s="150" t="s">
        <v>1566</v>
      </c>
      <c r="H189" s="150" t="s">
        <v>1566</v>
      </c>
      <c r="I189" s="332" t="s">
        <v>1567</v>
      </c>
      <c r="J189" s="332" t="s">
        <v>1567</v>
      </c>
      <c r="K189" s="333" t="s">
        <v>1567</v>
      </c>
      <c r="L189" s="514" t="s">
        <v>389</v>
      </c>
      <c r="M189" s="394" t="s">
        <v>2092</v>
      </c>
      <c r="N189" s="333"/>
      <c r="O189" s="332" t="s">
        <v>1634</v>
      </c>
      <c r="P189" s="90" t="s">
        <v>281</v>
      </c>
      <c r="Q189" s="347"/>
      <c r="R189" s="348" t="s">
        <v>2093</v>
      </c>
      <c r="S189" s="348"/>
      <c r="T189" s="506"/>
      <c r="U189" s="348"/>
      <c r="V189" s="646"/>
      <c r="W189" s="659"/>
      <c r="X189" s="659"/>
      <c r="Y189" s="656"/>
      <c r="Z189" s="657"/>
      <c r="AA189" s="714"/>
      <c r="AB189" s="428"/>
      <c r="AC189" s="428"/>
      <c r="AD189" s="429"/>
      <c r="AE189" s="429">
        <v>-10419.43</v>
      </c>
      <c r="AF189" s="429">
        <v>0</v>
      </c>
      <c r="AG189" s="649"/>
      <c r="AH189" s="649"/>
      <c r="AI189" s="649"/>
      <c r="AJ189" s="649"/>
      <c r="AK189" s="649"/>
      <c r="AL189" s="649"/>
      <c r="AM189" s="649">
        <f t="shared" si="18"/>
        <v>-10419.43</v>
      </c>
      <c r="AN189" s="651">
        <f>ERP_27[[#This Row],[2026 Working Total]]-ERP_27[[#This Row],[LE2 Final Submission]]</f>
        <v>-10419.43</v>
      </c>
      <c r="AO189" s="652"/>
      <c r="AP189" s="652">
        <f t="shared" si="17"/>
        <v>0</v>
      </c>
      <c r="AQ189" s="374">
        <f>SUM(ERP_27[[#This Row],[AP01]:[AP06]])-SUM(ERP_27[[#This Row],[AP01 LE2]:[AP06 LE2]])</f>
        <v>-10419.43</v>
      </c>
      <c r="AR189" s="653"/>
      <c r="AS189" s="652">
        <f>ERP_27[[#This Row],[2026 Working Total to Budget/LE]]-ERP_27[[#This Row],[Giveback]]</f>
        <v>-10419.43</v>
      </c>
      <c r="AT189" s="654"/>
      <c r="AU189" s="655"/>
      <c r="AV189" s="655"/>
      <c r="AW189" s="655"/>
      <c r="AX189" s="655"/>
      <c r="AY189" s="655"/>
      <c r="AZ189" s="655"/>
      <c r="BA189" s="655"/>
      <c r="BB189" s="655"/>
      <c r="BC189" s="655"/>
      <c r="BD189" s="655"/>
      <c r="BE189" s="655"/>
      <c r="BF189" s="655"/>
      <c r="BG189" s="655"/>
      <c r="BH189" s="652"/>
      <c r="BI189" s="652"/>
      <c r="BJ189" s="652"/>
      <c r="BK189" s="652"/>
      <c r="BL189" s="652"/>
      <c r="BM189" s="652"/>
      <c r="BN189" s="652"/>
      <c r="BO189" s="652"/>
      <c r="BP189" s="652"/>
      <c r="BQ189" s="652"/>
      <c r="BR189" s="652"/>
      <c r="BS189" s="652"/>
      <c r="BT189" s="652"/>
    </row>
    <row r="190" spans="1:72" ht="15" hidden="1" customHeight="1">
      <c r="A190" s="66" t="s">
        <v>1426</v>
      </c>
      <c r="B190" s="66"/>
      <c r="C190" s="66" t="s">
        <v>196</v>
      </c>
      <c r="D190" s="66" t="s">
        <v>196</v>
      </c>
      <c r="E190" s="150" t="s">
        <v>1136</v>
      </c>
      <c r="F190" s="482" t="s">
        <v>1566</v>
      </c>
      <c r="G190" s="383" t="s">
        <v>1344</v>
      </c>
      <c r="H190" s="383" t="s">
        <v>1344</v>
      </c>
      <c r="I190" s="150" t="s">
        <v>1345</v>
      </c>
      <c r="J190" s="150" t="s">
        <v>1344</v>
      </c>
      <c r="K190" s="150" t="s">
        <v>1346</v>
      </c>
      <c r="L190" s="511" t="s">
        <v>49</v>
      </c>
      <c r="M190" s="392" t="s">
        <v>1340</v>
      </c>
      <c r="N190" s="343"/>
      <c r="O190" s="343"/>
      <c r="P190" s="70" t="s">
        <v>149</v>
      </c>
      <c r="Q190" s="346" t="s">
        <v>1139</v>
      </c>
      <c r="R190" s="343"/>
      <c r="S190" s="346"/>
      <c r="T190" s="150" t="s">
        <v>25</v>
      </c>
      <c r="U190" s="150"/>
      <c r="V190" s="643"/>
      <c r="W190" s="659">
        <v>0</v>
      </c>
      <c r="X190" s="659">
        <v>-8178.7199999999993</v>
      </c>
      <c r="Y190" s="656"/>
      <c r="Z190" s="657"/>
      <c r="AA190" s="714">
        <v>-879.72</v>
      </c>
      <c r="AB190" s="428">
        <v>-0.18</v>
      </c>
      <c r="AC190" s="428">
        <v>-7298.82</v>
      </c>
      <c r="AD190" s="428">
        <v>0</v>
      </c>
      <c r="AE190" s="429">
        <v>0</v>
      </c>
      <c r="AF190" s="429">
        <v>0</v>
      </c>
      <c r="AG190" s="649">
        <v>0</v>
      </c>
      <c r="AH190" s="649">
        <v>0</v>
      </c>
      <c r="AI190" s="649">
        <v>0</v>
      </c>
      <c r="AJ190" s="649">
        <v>0</v>
      </c>
      <c r="AK190" s="649">
        <v>0</v>
      </c>
      <c r="AL190" s="649">
        <v>0</v>
      </c>
      <c r="AM190" s="649">
        <f t="shared" si="18"/>
        <v>-8178.7199999999993</v>
      </c>
      <c r="AN190" s="651">
        <f>ERP_27[[#This Row],[2026 Working Total]]-ERP_27[[#This Row],[LE2 Final Submission]]</f>
        <v>0</v>
      </c>
      <c r="AO190" s="652">
        <v>0</v>
      </c>
      <c r="AP190" s="652">
        <f t="shared" si="17"/>
        <v>0</v>
      </c>
      <c r="AQ190" s="374">
        <f>SUM(ERP_27[[#This Row],[AP01]:[AP06]])-SUM(ERP_27[[#This Row],[AP01 LE2]:[AP06 LE2]])</f>
        <v>0</v>
      </c>
      <c r="AR190" s="653"/>
      <c r="AS190" s="652">
        <f>ERP_27[[#This Row],[2026 Working Total to Budget/LE]]-ERP_27[[#This Row],[Giveback]]</f>
        <v>0</v>
      </c>
      <c r="AT190" s="654"/>
      <c r="AU190" s="655">
        <v>-879.72</v>
      </c>
      <c r="AV190" s="655">
        <v>-0.18</v>
      </c>
      <c r="AW190" s="655">
        <v>-7298.82</v>
      </c>
      <c r="AX190" s="655">
        <v>0</v>
      </c>
      <c r="AY190" s="655">
        <v>0</v>
      </c>
      <c r="AZ190" s="655">
        <v>0</v>
      </c>
      <c r="BA190" s="655">
        <v>0</v>
      </c>
      <c r="BB190" s="655">
        <v>0</v>
      </c>
      <c r="BC190" s="655">
        <v>0</v>
      </c>
      <c r="BD190" s="655">
        <v>0</v>
      </c>
      <c r="BE190" s="655">
        <v>0</v>
      </c>
      <c r="BF190" s="655">
        <v>0</v>
      </c>
      <c r="BG190" s="655">
        <v>-8178.7199999999993</v>
      </c>
      <c r="BH190" s="652">
        <v>-879.72</v>
      </c>
      <c r="BI190" s="652">
        <v>-0.18</v>
      </c>
      <c r="BJ190" s="652">
        <v>-7298.82</v>
      </c>
      <c r="BK190" s="652">
        <v>0</v>
      </c>
      <c r="BL190" s="652">
        <v>0</v>
      </c>
      <c r="BM190" s="652">
        <v>0</v>
      </c>
      <c r="BN190" s="652">
        <v>0</v>
      </c>
      <c r="BO190" s="652">
        <v>0</v>
      </c>
      <c r="BP190" s="652">
        <v>0</v>
      </c>
      <c r="BQ190" s="652">
        <v>0</v>
      </c>
      <c r="BR190" s="652">
        <v>0</v>
      </c>
      <c r="BS190" s="652">
        <v>0</v>
      </c>
      <c r="BT190" s="652">
        <v>-8178.7199999999993</v>
      </c>
    </row>
    <row r="191" spans="1:72" ht="15" hidden="1" customHeight="1">
      <c r="A191" s="150" t="s">
        <v>2756</v>
      </c>
      <c r="B191" s="150"/>
      <c r="C191" s="536" t="s">
        <v>989</v>
      </c>
      <c r="D191" s="296" t="s">
        <v>2757</v>
      </c>
      <c r="E191" s="150" t="s">
        <v>1136</v>
      </c>
      <c r="F191" s="482" t="s">
        <v>1566</v>
      </c>
      <c r="G191" s="150" t="s">
        <v>1566</v>
      </c>
      <c r="H191" s="150" t="s">
        <v>1566</v>
      </c>
      <c r="I191" s="150" t="s">
        <v>1567</v>
      </c>
      <c r="J191" s="150" t="s">
        <v>1567</v>
      </c>
      <c r="K191" s="150" t="s">
        <v>1567</v>
      </c>
      <c r="L191" s="511" t="s">
        <v>639</v>
      </c>
      <c r="M191" s="394" t="s">
        <v>2758</v>
      </c>
      <c r="N191" s="333"/>
      <c r="O191" s="332" t="s">
        <v>2755</v>
      </c>
      <c r="P191" s="90" t="s">
        <v>659</v>
      </c>
      <c r="Q191" s="347"/>
      <c r="R191" s="347"/>
      <c r="S191" s="348"/>
      <c r="T191" s="348"/>
      <c r="U191" s="348"/>
      <c r="V191" s="646"/>
      <c r="W191" s="659"/>
      <c r="X191" s="659"/>
      <c r="Y191" s="656"/>
      <c r="Z191" s="657"/>
      <c r="AA191" s="714"/>
      <c r="AB191" s="428"/>
      <c r="AC191" s="428"/>
      <c r="AD191" s="429">
        <v>-6115.8</v>
      </c>
      <c r="AE191" s="429">
        <v>0</v>
      </c>
      <c r="AF191" s="429">
        <v>0</v>
      </c>
      <c r="AG191" s="649"/>
      <c r="AH191" s="649"/>
      <c r="AI191" s="649"/>
      <c r="AJ191" s="649"/>
      <c r="AK191" s="649"/>
      <c r="AL191" s="649"/>
      <c r="AM191" s="649">
        <f t="shared" si="18"/>
        <v>-6115.8</v>
      </c>
      <c r="AN191" s="651">
        <f>ERP_27[[#This Row],[2026 Working Total]]-ERP_27[[#This Row],[LE2 Final Submission]]</f>
        <v>-6115.8</v>
      </c>
      <c r="AO191" s="652">
        <v>351</v>
      </c>
      <c r="AP191" s="652">
        <f t="shared" si="17"/>
        <v>-351</v>
      </c>
      <c r="AQ191" s="374">
        <f>SUM(ERP_27[[#This Row],[AP01]:[AP06]])-SUM(ERP_27[[#This Row],[AP01 LE2]:[AP06 LE2]])</f>
        <v>-6115.8</v>
      </c>
      <c r="AR191" s="653"/>
      <c r="AS191" s="652">
        <f>ERP_27[[#This Row],[2026 Working Total to Budget/LE]]-ERP_27[[#This Row],[Giveback]]</f>
        <v>-6115.8</v>
      </c>
      <c r="AT191" s="654"/>
      <c r="AU191" s="655"/>
      <c r="AV191" s="655"/>
      <c r="AW191" s="655"/>
      <c r="AX191" s="655"/>
      <c r="AY191" s="655"/>
      <c r="AZ191" s="655"/>
      <c r="BA191" s="655"/>
      <c r="BB191" s="655"/>
      <c r="BC191" s="655"/>
      <c r="BD191" s="655"/>
      <c r="BE191" s="655"/>
      <c r="BF191" s="655"/>
      <c r="BG191" s="655"/>
      <c r="BH191" s="652"/>
      <c r="BI191" s="652"/>
      <c r="BJ191" s="652"/>
      <c r="BK191" s="652"/>
      <c r="BL191" s="652"/>
      <c r="BM191" s="652"/>
      <c r="BN191" s="652"/>
      <c r="BO191" s="652"/>
      <c r="BP191" s="652"/>
      <c r="BQ191" s="652"/>
      <c r="BR191" s="652"/>
      <c r="BS191" s="652"/>
      <c r="BT191" s="652"/>
    </row>
    <row r="192" spans="1:72" ht="15" hidden="1" customHeight="1">
      <c r="A192" s="66" t="s">
        <v>1677</v>
      </c>
      <c r="B192" s="66"/>
      <c r="C192" s="66" t="s">
        <v>345</v>
      </c>
      <c r="D192" s="66" t="s">
        <v>1678</v>
      </c>
      <c r="E192" s="150" t="s">
        <v>1136</v>
      </c>
      <c r="F192" s="482" t="s">
        <v>1566</v>
      </c>
      <c r="G192" s="150" t="s">
        <v>1135</v>
      </c>
      <c r="H192" s="150" t="s">
        <v>1145</v>
      </c>
      <c r="I192" s="150" t="s">
        <v>1135</v>
      </c>
      <c r="J192" s="150" t="s">
        <v>1145</v>
      </c>
      <c r="K192" s="150" t="s">
        <v>1137</v>
      </c>
      <c r="L192" s="511" t="s">
        <v>342</v>
      </c>
      <c r="M192" s="392" t="s">
        <v>1679</v>
      </c>
      <c r="N192" s="343"/>
      <c r="O192" s="343"/>
      <c r="P192" s="70" t="s">
        <v>346</v>
      </c>
      <c r="Q192" s="346"/>
      <c r="R192" s="343"/>
      <c r="S192" s="346"/>
      <c r="T192" s="150" t="s">
        <v>152</v>
      </c>
      <c r="U192" s="150"/>
      <c r="V192" s="643"/>
      <c r="W192" s="659">
        <v>-12195</v>
      </c>
      <c r="X192" s="659">
        <v>-9146.25</v>
      </c>
      <c r="Y192" s="656"/>
      <c r="Z192" s="657"/>
      <c r="AA192" s="714"/>
      <c r="AB192" s="428"/>
      <c r="AC192" s="428"/>
      <c r="AD192" s="428" t="s">
        <v>1142</v>
      </c>
      <c r="AE192" s="429">
        <v>0</v>
      </c>
      <c r="AF192" s="429">
        <v>0</v>
      </c>
      <c r="AG192" s="649">
        <v>-1016.25</v>
      </c>
      <c r="AH192" s="649">
        <v>-1016.25</v>
      </c>
      <c r="AI192" s="649">
        <v>-1016.25</v>
      </c>
      <c r="AJ192" s="649">
        <v>-1016.25</v>
      </c>
      <c r="AK192" s="649">
        <v>-1016.25</v>
      </c>
      <c r="AL192" s="649">
        <v>-1016.25</v>
      </c>
      <c r="AM192" s="649">
        <f t="shared" si="18"/>
        <v>-6097.5</v>
      </c>
      <c r="AN192" s="651">
        <f>ERP_27[[#This Row],[2026 Working Total]]-ERP_27[[#This Row],[LE2 Final Submission]]</f>
        <v>3048.75</v>
      </c>
      <c r="AO192" s="652">
        <v>0</v>
      </c>
      <c r="AP192" s="652">
        <f t="shared" si="17"/>
        <v>0</v>
      </c>
      <c r="AQ192" s="374">
        <f>SUM(ERP_27[[#This Row],[AP01]:[AP06]])-SUM(ERP_27[[#This Row],[AP01 LE2]:[AP06 LE2]])</f>
        <v>3048.75</v>
      </c>
      <c r="AR192" s="653"/>
      <c r="AS192" s="652">
        <f>ERP_27[[#This Row],[2026 Working Total to Budget/LE]]-ERP_27[[#This Row],[Giveback]]</f>
        <v>3048.75</v>
      </c>
      <c r="AT192" s="654"/>
      <c r="AU192" s="655"/>
      <c r="AV192" s="655"/>
      <c r="AW192" s="655"/>
      <c r="AX192" s="655">
        <v>-1016.25</v>
      </c>
      <c r="AY192" s="655">
        <v>-1016.25</v>
      </c>
      <c r="AZ192" s="655">
        <v>-1016.25</v>
      </c>
      <c r="BA192" s="655">
        <v>-1016.25</v>
      </c>
      <c r="BB192" s="655">
        <v>-1016.25</v>
      </c>
      <c r="BC192" s="655">
        <v>-1016.25</v>
      </c>
      <c r="BD192" s="655">
        <v>-1016.25</v>
      </c>
      <c r="BE192" s="655">
        <v>-1016.25</v>
      </c>
      <c r="BF192" s="655">
        <v>-1016.25</v>
      </c>
      <c r="BG192" s="655">
        <v>-9146.25</v>
      </c>
      <c r="BH192" s="652"/>
      <c r="BI192" s="652"/>
      <c r="BJ192" s="652"/>
      <c r="BK192" s="652">
        <v>-1016.25</v>
      </c>
      <c r="BL192" s="652">
        <v>-1016.25</v>
      </c>
      <c r="BM192" s="652">
        <v>-1016.25</v>
      </c>
      <c r="BN192" s="652">
        <v>-1016.25</v>
      </c>
      <c r="BO192" s="652">
        <v>-1016.25</v>
      </c>
      <c r="BP192" s="652">
        <v>-1016.25</v>
      </c>
      <c r="BQ192" s="652">
        <v>-1016.25</v>
      </c>
      <c r="BR192" s="652">
        <v>-1016.25</v>
      </c>
      <c r="BS192" s="652">
        <v>-1016.25</v>
      </c>
      <c r="BT192" s="652">
        <v>-9146.25</v>
      </c>
    </row>
    <row r="193" spans="1:72" ht="15" hidden="1" customHeight="1">
      <c r="A193" s="66" t="s">
        <v>1680</v>
      </c>
      <c r="B193" s="66"/>
      <c r="C193" s="66" t="s">
        <v>347</v>
      </c>
      <c r="D193" s="66" t="s">
        <v>1681</v>
      </c>
      <c r="E193" s="150" t="s">
        <v>1136</v>
      </c>
      <c r="F193" s="482" t="s">
        <v>1566</v>
      </c>
      <c r="G193" s="150" t="s">
        <v>1135</v>
      </c>
      <c r="H193" s="150" t="s">
        <v>1145</v>
      </c>
      <c r="I193" s="150" t="s">
        <v>1135</v>
      </c>
      <c r="J193" s="150" t="s">
        <v>1145</v>
      </c>
      <c r="K193" s="150" t="s">
        <v>1137</v>
      </c>
      <c r="L193" s="511" t="s">
        <v>342</v>
      </c>
      <c r="M193" s="392" t="s">
        <v>1682</v>
      </c>
      <c r="N193" s="343"/>
      <c r="O193" s="343"/>
      <c r="P193" s="70" t="s">
        <v>348</v>
      </c>
      <c r="Q193" s="346"/>
      <c r="R193" s="343"/>
      <c r="S193" s="346"/>
      <c r="T193" s="150" t="s">
        <v>152</v>
      </c>
      <c r="U193" s="150"/>
      <c r="V193" s="643"/>
      <c r="W193" s="659">
        <v>-12195</v>
      </c>
      <c r="X193" s="659">
        <v>-9146.25</v>
      </c>
      <c r="Y193" s="656"/>
      <c r="Z193" s="657"/>
      <c r="AA193" s="714"/>
      <c r="AB193" s="428"/>
      <c r="AC193" s="428"/>
      <c r="AD193" s="428" t="s">
        <v>1142</v>
      </c>
      <c r="AE193" s="429">
        <v>0</v>
      </c>
      <c r="AF193" s="429">
        <v>0</v>
      </c>
      <c r="AG193" s="649">
        <v>-1016.25</v>
      </c>
      <c r="AH193" s="649">
        <v>-1016.25</v>
      </c>
      <c r="AI193" s="649">
        <v>-1016.25</v>
      </c>
      <c r="AJ193" s="649">
        <v>-1016.25</v>
      </c>
      <c r="AK193" s="649">
        <v>-1016.25</v>
      </c>
      <c r="AL193" s="649">
        <v>-1016.25</v>
      </c>
      <c r="AM193" s="649">
        <f t="shared" si="18"/>
        <v>-6097.5</v>
      </c>
      <c r="AN193" s="651">
        <f>ERP_27[[#This Row],[2026 Working Total]]-ERP_27[[#This Row],[LE2 Final Submission]]</f>
        <v>3048.75</v>
      </c>
      <c r="AO193" s="652">
        <v>10000</v>
      </c>
      <c r="AP193" s="652">
        <f t="shared" si="17"/>
        <v>-10000</v>
      </c>
      <c r="AQ193" s="374">
        <f>SUM(ERP_27[[#This Row],[AP01]:[AP06]])-SUM(ERP_27[[#This Row],[AP01 LE2]:[AP06 LE2]])</f>
        <v>3048.75</v>
      </c>
      <c r="AR193" s="653"/>
      <c r="AS193" s="652">
        <f>ERP_27[[#This Row],[2026 Working Total to Budget/LE]]-ERP_27[[#This Row],[Giveback]]</f>
        <v>3048.75</v>
      </c>
      <c r="AT193" s="654"/>
      <c r="AU193" s="655"/>
      <c r="AV193" s="655"/>
      <c r="AW193" s="655"/>
      <c r="AX193" s="655">
        <v>-1016.25</v>
      </c>
      <c r="AY193" s="655">
        <v>-1016.25</v>
      </c>
      <c r="AZ193" s="655">
        <v>-1016.25</v>
      </c>
      <c r="BA193" s="655">
        <v>-1016.25</v>
      </c>
      <c r="BB193" s="655">
        <v>-1016.25</v>
      </c>
      <c r="BC193" s="655">
        <v>-1016.25</v>
      </c>
      <c r="BD193" s="655">
        <v>-1016.25</v>
      </c>
      <c r="BE193" s="655">
        <v>-1016.25</v>
      </c>
      <c r="BF193" s="655">
        <v>-1016.25</v>
      </c>
      <c r="BG193" s="655">
        <v>-9146.25</v>
      </c>
      <c r="BH193" s="652"/>
      <c r="BI193" s="652"/>
      <c r="BJ193" s="652"/>
      <c r="BK193" s="652">
        <v>-1016.25</v>
      </c>
      <c r="BL193" s="652">
        <v>-1016.25</v>
      </c>
      <c r="BM193" s="652">
        <v>-1016.25</v>
      </c>
      <c r="BN193" s="652">
        <v>-1016.25</v>
      </c>
      <c r="BO193" s="652">
        <v>-1016.25</v>
      </c>
      <c r="BP193" s="652">
        <v>-1016.25</v>
      </c>
      <c r="BQ193" s="652">
        <v>-1016.25</v>
      </c>
      <c r="BR193" s="652">
        <v>-1016.25</v>
      </c>
      <c r="BS193" s="652">
        <v>-1016.25</v>
      </c>
      <c r="BT193" s="652">
        <v>-9146.25</v>
      </c>
    </row>
    <row r="194" spans="1:72" ht="15" hidden="1" customHeight="1">
      <c r="A194" s="66" t="s">
        <v>1529</v>
      </c>
      <c r="B194" s="66"/>
      <c r="C194" s="66" t="s">
        <v>247</v>
      </c>
      <c r="D194" s="66" t="s">
        <v>247</v>
      </c>
      <c r="E194" s="150" t="s">
        <v>1136</v>
      </c>
      <c r="F194" s="482" t="s">
        <v>1566</v>
      </c>
      <c r="G194" s="150" t="s">
        <v>1515</v>
      </c>
      <c r="H194" s="383" t="s">
        <v>1515</v>
      </c>
      <c r="I194" s="150" t="s">
        <v>1345</v>
      </c>
      <c r="J194" s="150" t="s">
        <v>1515</v>
      </c>
      <c r="K194" s="150" t="s">
        <v>1346</v>
      </c>
      <c r="L194" s="511" t="s">
        <v>49</v>
      </c>
      <c r="M194" s="392" t="s">
        <v>1530</v>
      </c>
      <c r="N194" s="343"/>
      <c r="O194" s="343"/>
      <c r="P194" s="70" t="s">
        <v>248</v>
      </c>
      <c r="Q194" s="346"/>
      <c r="R194" s="346" t="s">
        <v>1221</v>
      </c>
      <c r="S194" s="346"/>
      <c r="T194" s="150" t="s">
        <v>25</v>
      </c>
      <c r="U194" s="150"/>
      <c r="V194" s="643"/>
      <c r="W194" s="659">
        <v>0</v>
      </c>
      <c r="X194" s="659">
        <v>0</v>
      </c>
      <c r="Y194" s="656"/>
      <c r="Z194" s="657"/>
      <c r="AA194" s="714">
        <v>0.36</v>
      </c>
      <c r="AB194" s="428">
        <v>-0.36</v>
      </c>
      <c r="AC194" s="428"/>
      <c r="AD194" s="428">
        <v>-5357.64</v>
      </c>
      <c r="AE194" s="429">
        <v>0</v>
      </c>
      <c r="AF194" s="429">
        <v>0</v>
      </c>
      <c r="AG194" s="649"/>
      <c r="AH194" s="649"/>
      <c r="AI194" s="649"/>
      <c r="AJ194" s="649"/>
      <c r="AK194" s="649"/>
      <c r="AL194" s="649"/>
      <c r="AM194" s="649">
        <f t="shared" si="18"/>
        <v>-5357.64</v>
      </c>
      <c r="AN194" s="651">
        <f>ERP_27[[#This Row],[2026 Working Total]]-ERP_27[[#This Row],[LE2 Final Submission]]</f>
        <v>-5357.64</v>
      </c>
      <c r="AO194" s="652"/>
      <c r="AP194" s="652">
        <f t="shared" si="17"/>
        <v>0</v>
      </c>
      <c r="AQ194" s="374">
        <f>SUM(ERP_27[[#This Row],[AP01]:[AP06]])-SUM(ERP_27[[#This Row],[AP01 LE2]:[AP06 LE2]])</f>
        <v>-5357.64</v>
      </c>
      <c r="AR194" s="653"/>
      <c r="AS194" s="652">
        <f>ERP_27[[#This Row],[2026 Working Total to Budget/LE]]-ERP_27[[#This Row],[Giveback]]</f>
        <v>-5357.64</v>
      </c>
      <c r="AT194" s="654"/>
      <c r="AU194" s="655">
        <v>0.36</v>
      </c>
      <c r="AV194" s="655">
        <v>-0.36</v>
      </c>
      <c r="AW194" s="655"/>
      <c r="AX194" s="655"/>
      <c r="AY194" s="655"/>
      <c r="AZ194" s="655"/>
      <c r="BA194" s="655"/>
      <c r="BB194" s="655"/>
      <c r="BC194" s="655"/>
      <c r="BD194" s="655"/>
      <c r="BE194" s="655"/>
      <c r="BF194" s="655"/>
      <c r="BG194" s="655">
        <v>0</v>
      </c>
      <c r="BH194" s="652">
        <v>0.36</v>
      </c>
      <c r="BI194" s="652">
        <v>-0.36</v>
      </c>
      <c r="BJ194" s="652"/>
      <c r="BK194" s="652"/>
      <c r="BL194" s="652"/>
      <c r="BM194" s="652"/>
      <c r="BN194" s="652"/>
      <c r="BO194" s="652"/>
      <c r="BP194" s="652"/>
      <c r="BQ194" s="652"/>
      <c r="BR194" s="652"/>
      <c r="BS194" s="652"/>
      <c r="BT194" s="652">
        <v>0</v>
      </c>
    </row>
    <row r="195" spans="1:72" s="501" customFormat="1" ht="15" hidden="1" customHeight="1">
      <c r="A195" s="66" t="s">
        <v>2081</v>
      </c>
      <c r="B195" s="66"/>
      <c r="C195" s="66" t="s">
        <v>2932</v>
      </c>
      <c r="D195" s="66" t="s">
        <v>2082</v>
      </c>
      <c r="E195" s="150" t="s">
        <v>1136</v>
      </c>
      <c r="F195" s="482" t="s">
        <v>1566</v>
      </c>
      <c r="G195" s="150" t="s">
        <v>1566</v>
      </c>
      <c r="H195" s="150" t="s">
        <v>1566</v>
      </c>
      <c r="I195" s="150" t="s">
        <v>1567</v>
      </c>
      <c r="J195" s="150" t="s">
        <v>1567</v>
      </c>
      <c r="K195" s="150" t="s">
        <v>1567</v>
      </c>
      <c r="L195" s="511" t="s">
        <v>389</v>
      </c>
      <c r="M195" s="392" t="s">
        <v>414</v>
      </c>
      <c r="N195" s="343"/>
      <c r="O195" s="343"/>
      <c r="P195" s="70" t="s">
        <v>414</v>
      </c>
      <c r="Q195" s="346" t="s">
        <v>1139</v>
      </c>
      <c r="R195" s="346" t="s">
        <v>1140</v>
      </c>
      <c r="S195" s="346"/>
      <c r="T195" s="150" t="s">
        <v>25</v>
      </c>
      <c r="U195" s="150"/>
      <c r="V195" s="643"/>
      <c r="W195" s="659">
        <v>0</v>
      </c>
      <c r="X195" s="659">
        <v>0</v>
      </c>
      <c r="Y195" s="656"/>
      <c r="Z195" s="657"/>
      <c r="AA195" s="714"/>
      <c r="AB195" s="428">
        <v>0</v>
      </c>
      <c r="AC195" s="428">
        <v>0</v>
      </c>
      <c r="AD195" s="428">
        <v>-5040.41</v>
      </c>
      <c r="AE195" s="429">
        <v>0</v>
      </c>
      <c r="AF195" s="429">
        <v>0</v>
      </c>
      <c r="AG195" s="649">
        <v>0</v>
      </c>
      <c r="AH195" s="649">
        <v>0</v>
      </c>
      <c r="AI195" s="649">
        <v>0</v>
      </c>
      <c r="AJ195" s="649">
        <v>0</v>
      </c>
      <c r="AK195" s="649">
        <v>0</v>
      </c>
      <c r="AL195" s="649">
        <v>0</v>
      </c>
      <c r="AM195" s="649">
        <f t="shared" si="18"/>
        <v>-5040.41</v>
      </c>
      <c r="AN195" s="651">
        <f>ERP_27[[#This Row],[2026 Working Total]]-ERP_27[[#This Row],[LE2 Final Submission]]</f>
        <v>-5040.41</v>
      </c>
      <c r="AO195" s="652">
        <v>0</v>
      </c>
      <c r="AP195" s="652">
        <f t="shared" si="17"/>
        <v>0</v>
      </c>
      <c r="AQ195" s="374">
        <f>SUM(ERP_27[[#This Row],[AP01]:[AP06]])-SUM(ERP_27[[#This Row],[AP01 LE2]:[AP06 LE2]])</f>
        <v>-5040.41</v>
      </c>
      <c r="AR195" s="653"/>
      <c r="AS195" s="652">
        <f>ERP_27[[#This Row],[2026 Working Total to Budget/LE]]-ERP_27[[#This Row],[Giveback]]</f>
        <v>-5040.41</v>
      </c>
      <c r="AT195" s="654"/>
      <c r="AU195" s="655"/>
      <c r="AV195" s="655">
        <v>0</v>
      </c>
      <c r="AW195" s="655">
        <v>0</v>
      </c>
      <c r="AX195" s="655">
        <v>0</v>
      </c>
      <c r="AY195" s="655">
        <v>0</v>
      </c>
      <c r="AZ195" s="655">
        <v>0</v>
      </c>
      <c r="BA195" s="655">
        <v>0</v>
      </c>
      <c r="BB195" s="655">
        <v>0</v>
      </c>
      <c r="BC195" s="655">
        <v>0</v>
      </c>
      <c r="BD195" s="655">
        <v>0</v>
      </c>
      <c r="BE195" s="655">
        <v>0</v>
      </c>
      <c r="BF195" s="655">
        <v>0</v>
      </c>
      <c r="BG195" s="655">
        <v>0</v>
      </c>
      <c r="BH195" s="652"/>
      <c r="BI195" s="652">
        <v>0</v>
      </c>
      <c r="BJ195" s="652">
        <v>0</v>
      </c>
      <c r="BK195" s="652">
        <v>0</v>
      </c>
      <c r="BL195" s="652">
        <v>0</v>
      </c>
      <c r="BM195" s="652">
        <v>0</v>
      </c>
      <c r="BN195" s="652">
        <v>0</v>
      </c>
      <c r="BO195" s="652">
        <v>0</v>
      </c>
      <c r="BP195" s="652">
        <v>0</v>
      </c>
      <c r="BQ195" s="652">
        <v>0</v>
      </c>
      <c r="BR195" s="652">
        <v>0</v>
      </c>
      <c r="BS195" s="652">
        <v>0</v>
      </c>
      <c r="BT195" s="652">
        <v>0</v>
      </c>
    </row>
    <row r="196" spans="1:72" ht="15" hidden="1" customHeight="1">
      <c r="A196" s="79" t="s">
        <v>1777</v>
      </c>
      <c r="B196" s="79"/>
      <c r="C196" s="79" t="s">
        <v>406</v>
      </c>
      <c r="D196" s="296" t="s">
        <v>406</v>
      </c>
      <c r="E196" s="150" t="s">
        <v>1136</v>
      </c>
      <c r="F196" s="482" t="s">
        <v>1566</v>
      </c>
      <c r="G196" s="150" t="s">
        <v>1135</v>
      </c>
      <c r="H196" s="150" t="s">
        <v>1135</v>
      </c>
      <c r="I196" s="332" t="s">
        <v>1135</v>
      </c>
      <c r="J196" s="382" t="s">
        <v>1135</v>
      </c>
      <c r="K196" s="331" t="s">
        <v>1137</v>
      </c>
      <c r="L196" s="512" t="s">
        <v>389</v>
      </c>
      <c r="M196" s="394" t="s">
        <v>1778</v>
      </c>
      <c r="N196" s="343"/>
      <c r="O196" s="331"/>
      <c r="P196" s="122" t="s">
        <v>407</v>
      </c>
      <c r="Q196" s="343"/>
      <c r="R196" s="346" t="s">
        <v>1140</v>
      </c>
      <c r="S196" s="348"/>
      <c r="T196" s="384" t="s">
        <v>408</v>
      </c>
      <c r="U196" s="387" t="s">
        <v>1779</v>
      </c>
      <c r="V196" s="668"/>
      <c r="W196" s="358">
        <v>-21666.659999999996</v>
      </c>
      <c r="X196" s="660">
        <v>-15000</v>
      </c>
      <c r="Y196" s="656"/>
      <c r="Z196" s="657"/>
      <c r="AA196" s="716"/>
      <c r="AB196" s="717"/>
      <c r="AC196" s="717"/>
      <c r="AD196" s="428" t="s">
        <v>1142</v>
      </c>
      <c r="AE196" s="429">
        <v>0</v>
      </c>
      <c r="AF196" s="429">
        <v>0</v>
      </c>
      <c r="AG196" s="661">
        <v>-1666.67</v>
      </c>
      <c r="AH196" s="661">
        <v>-1666.67</v>
      </c>
      <c r="AI196" s="661">
        <v>-1666.67</v>
      </c>
      <c r="AJ196" s="661">
        <v>0</v>
      </c>
      <c r="AK196" s="661">
        <v>0</v>
      </c>
      <c r="AL196" s="661">
        <v>0</v>
      </c>
      <c r="AM196" s="649">
        <f t="shared" si="18"/>
        <v>-5000.01</v>
      </c>
      <c r="AN196" s="651">
        <f>ERP_27[[#This Row],[2026 Working Total]]-ERP_27[[#This Row],[LE2 Final Submission]]</f>
        <v>9999.99</v>
      </c>
      <c r="AO196" s="652">
        <v>0</v>
      </c>
      <c r="AP196" s="652">
        <f t="shared" si="17"/>
        <v>0</v>
      </c>
      <c r="AQ196" s="374">
        <f>SUM(ERP_27[[#This Row],[AP01]:[AP06]])-SUM(ERP_27[[#This Row],[AP01 LE2]:[AP06 LE2]])</f>
        <v>9999.99</v>
      </c>
      <c r="AR196" s="653"/>
      <c r="AS196" s="652">
        <f>ERP_27[[#This Row],[2026 Working Total to Budget/LE]]-ERP_27[[#This Row],[Giveback]]</f>
        <v>9999.99</v>
      </c>
      <c r="AT196" s="654"/>
      <c r="AU196" s="655"/>
      <c r="AV196" s="655"/>
      <c r="AW196" s="655"/>
      <c r="AX196" s="655">
        <v>-3333.33</v>
      </c>
      <c r="AY196" s="655">
        <v>-3333.33</v>
      </c>
      <c r="AZ196" s="655">
        <v>-3333.33</v>
      </c>
      <c r="BA196" s="655">
        <v>-1666.67</v>
      </c>
      <c r="BB196" s="655">
        <v>-1666.67</v>
      </c>
      <c r="BC196" s="655">
        <v>-1666.67</v>
      </c>
      <c r="BD196" s="655">
        <v>0</v>
      </c>
      <c r="BE196" s="655">
        <v>0</v>
      </c>
      <c r="BF196" s="655">
        <v>0</v>
      </c>
      <c r="BG196" s="655">
        <v>-15000</v>
      </c>
      <c r="BH196" s="662">
        <v>0</v>
      </c>
      <c r="BI196" s="662">
        <v>-3333.33</v>
      </c>
      <c r="BJ196" s="662">
        <v>-3333.33</v>
      </c>
      <c r="BK196" s="662">
        <v>-3333.33</v>
      </c>
      <c r="BL196" s="662">
        <v>-3333.33</v>
      </c>
      <c r="BM196" s="662">
        <v>-3333.33</v>
      </c>
      <c r="BN196" s="662">
        <v>-1666.67</v>
      </c>
      <c r="BO196" s="662">
        <v>-1666.67</v>
      </c>
      <c r="BP196" s="662">
        <v>-1666.67</v>
      </c>
      <c r="BQ196" s="662">
        <v>0</v>
      </c>
      <c r="BR196" s="662">
        <v>0</v>
      </c>
      <c r="BS196" s="662">
        <v>0</v>
      </c>
      <c r="BT196" s="652">
        <f>SUM(ERP_27[[#This Row],[2026 AP01]:[2026 AP12]])</f>
        <v>-21666.659999999996</v>
      </c>
    </row>
    <row r="197" spans="1:72" ht="15" hidden="1" customHeight="1">
      <c r="A197" s="150" t="s">
        <v>2230</v>
      </c>
      <c r="B197" s="150"/>
      <c r="C197" s="536" t="s">
        <v>656</v>
      </c>
      <c r="D197" s="296" t="s">
        <v>2231</v>
      </c>
      <c r="E197" s="150" t="s">
        <v>1136</v>
      </c>
      <c r="F197" s="482" t="s">
        <v>1566</v>
      </c>
      <c r="G197" s="150" t="s">
        <v>1135</v>
      </c>
      <c r="H197" s="150" t="s">
        <v>1135</v>
      </c>
      <c r="I197" s="150" t="s">
        <v>1135</v>
      </c>
      <c r="J197" s="150" t="s">
        <v>1137</v>
      </c>
      <c r="K197" s="150" t="s">
        <v>1137</v>
      </c>
      <c r="L197" s="514" t="s">
        <v>639</v>
      </c>
      <c r="M197" s="394" t="s">
        <v>2232</v>
      </c>
      <c r="N197" s="333"/>
      <c r="O197" s="332" t="s">
        <v>1695</v>
      </c>
      <c r="P197" s="90" t="s">
        <v>657</v>
      </c>
      <c r="Q197" s="347"/>
      <c r="R197" s="347"/>
      <c r="S197" s="348"/>
      <c r="T197" s="348"/>
      <c r="U197" s="1" t="s">
        <v>1141</v>
      </c>
      <c r="V197" s="646"/>
      <c r="W197" s="659"/>
      <c r="X197" s="659"/>
      <c r="Y197" s="656"/>
      <c r="Z197" s="657"/>
      <c r="AA197" s="714"/>
      <c r="AB197" s="428"/>
      <c r="AC197" s="428"/>
      <c r="AD197" s="429">
        <v>-4832.8900000000003</v>
      </c>
      <c r="AE197" s="429">
        <v>0</v>
      </c>
      <c r="AF197" s="429">
        <v>0</v>
      </c>
      <c r="AG197" s="649"/>
      <c r="AH197" s="649"/>
      <c r="AI197" s="649"/>
      <c r="AJ197" s="649"/>
      <c r="AK197" s="649"/>
      <c r="AL197" s="649"/>
      <c r="AM197" s="649">
        <f t="shared" si="18"/>
        <v>-4832.8900000000003</v>
      </c>
      <c r="AN197" s="651">
        <f>ERP_27[[#This Row],[2026 Working Total]]-ERP_27[[#This Row],[LE2 Final Submission]]</f>
        <v>-4832.8900000000003</v>
      </c>
      <c r="AO197" s="652">
        <v>28215</v>
      </c>
      <c r="AP197" s="652">
        <f t="shared" si="17"/>
        <v>-28215</v>
      </c>
      <c r="AQ197" s="374">
        <f>SUM(ERP_27[[#This Row],[AP01]:[AP06]])-SUM(ERP_27[[#This Row],[AP01 LE2]:[AP06 LE2]])</f>
        <v>-4832.8900000000003</v>
      </c>
      <c r="AR197" s="653"/>
      <c r="AS197" s="652">
        <f>ERP_27[[#This Row],[2026 Working Total to Budget/LE]]-ERP_27[[#This Row],[Giveback]]</f>
        <v>-4832.8900000000003</v>
      </c>
      <c r="AT197" s="654"/>
      <c r="AU197" s="655"/>
      <c r="AV197" s="655"/>
      <c r="AW197" s="655"/>
      <c r="AX197" s="655"/>
      <c r="AY197" s="655"/>
      <c r="AZ197" s="655"/>
      <c r="BA197" s="655"/>
      <c r="BB197" s="655"/>
      <c r="BC197" s="655"/>
      <c r="BD197" s="655"/>
      <c r="BE197" s="655"/>
      <c r="BF197" s="655"/>
      <c r="BG197" s="655"/>
      <c r="BH197" s="652"/>
      <c r="BI197" s="652"/>
      <c r="BJ197" s="652"/>
      <c r="BK197" s="652"/>
      <c r="BL197" s="652"/>
      <c r="BM197" s="652"/>
      <c r="BN197" s="652"/>
      <c r="BO197" s="652"/>
      <c r="BP197" s="652"/>
      <c r="BQ197" s="652"/>
      <c r="BR197" s="652"/>
      <c r="BS197" s="652"/>
      <c r="BT197" s="652"/>
    </row>
    <row r="198" spans="1:72" ht="15" hidden="1" customHeight="1">
      <c r="A198" s="66" t="s">
        <v>1477</v>
      </c>
      <c r="B198" s="66"/>
      <c r="C198" s="66" t="s">
        <v>227</v>
      </c>
      <c r="D198" s="66" t="s">
        <v>227</v>
      </c>
      <c r="E198" s="150" t="s">
        <v>1136</v>
      </c>
      <c r="F198" s="482" t="s">
        <v>1566</v>
      </c>
      <c r="G198" s="150" t="s">
        <v>1450</v>
      </c>
      <c r="H198" s="150" t="s">
        <v>1450</v>
      </c>
      <c r="I198" s="150" t="s">
        <v>1345</v>
      </c>
      <c r="J198" s="150" t="s">
        <v>1450</v>
      </c>
      <c r="K198" s="150" t="s">
        <v>1346</v>
      </c>
      <c r="L198" s="511" t="s">
        <v>49</v>
      </c>
      <c r="M198" s="392" t="s">
        <v>1340</v>
      </c>
      <c r="N198" s="343"/>
      <c r="O198" s="343"/>
      <c r="P198" s="70" t="s">
        <v>149</v>
      </c>
      <c r="Q198" s="346" t="s">
        <v>1139</v>
      </c>
      <c r="R198" s="343"/>
      <c r="S198" s="346"/>
      <c r="T198" s="150" t="s">
        <v>25</v>
      </c>
      <c r="U198" s="150"/>
      <c r="V198" s="643"/>
      <c r="W198" s="659">
        <v>0</v>
      </c>
      <c r="X198" s="659">
        <v>-4283.6499999999996</v>
      </c>
      <c r="Y198" s="656"/>
      <c r="Z198" s="657"/>
      <c r="AA198" s="714">
        <v>-487.65</v>
      </c>
      <c r="AB198" s="428">
        <v>-3796</v>
      </c>
      <c r="AC198" s="428">
        <v>0</v>
      </c>
      <c r="AD198" s="428">
        <v>0</v>
      </c>
      <c r="AE198" s="429">
        <v>0</v>
      </c>
      <c r="AF198" s="429">
        <v>0</v>
      </c>
      <c r="AG198" s="649">
        <v>0</v>
      </c>
      <c r="AH198" s="649">
        <v>0</v>
      </c>
      <c r="AI198" s="649">
        <v>0</v>
      </c>
      <c r="AJ198" s="649">
        <v>0</v>
      </c>
      <c r="AK198" s="649">
        <v>0</v>
      </c>
      <c r="AL198" s="649">
        <v>0</v>
      </c>
      <c r="AM198" s="649">
        <f t="shared" si="18"/>
        <v>-4283.6499999999996</v>
      </c>
      <c r="AN198" s="651">
        <f>ERP_27[[#This Row],[2026 Working Total]]-ERP_27[[#This Row],[LE2 Final Submission]]</f>
        <v>0</v>
      </c>
      <c r="AO198" s="652">
        <v>0</v>
      </c>
      <c r="AP198" s="652">
        <f t="shared" si="17"/>
        <v>0</v>
      </c>
      <c r="AQ198" s="374">
        <f>SUM(ERP_27[[#This Row],[AP01]:[AP06]])-SUM(ERP_27[[#This Row],[AP01 LE2]:[AP06 LE2]])</f>
        <v>0</v>
      </c>
      <c r="AR198" s="653"/>
      <c r="AS198" s="652">
        <f>ERP_27[[#This Row],[2026 Working Total to Budget/LE]]-ERP_27[[#This Row],[Giveback]]</f>
        <v>0</v>
      </c>
      <c r="AT198" s="654"/>
      <c r="AU198" s="655">
        <v>-487.65</v>
      </c>
      <c r="AV198" s="655">
        <v>-3796</v>
      </c>
      <c r="AW198" s="655">
        <v>0</v>
      </c>
      <c r="AX198" s="655">
        <v>0</v>
      </c>
      <c r="AY198" s="655">
        <v>0</v>
      </c>
      <c r="AZ198" s="655">
        <v>0</v>
      </c>
      <c r="BA198" s="655">
        <v>0</v>
      </c>
      <c r="BB198" s="655">
        <v>0</v>
      </c>
      <c r="BC198" s="655">
        <v>0</v>
      </c>
      <c r="BD198" s="655">
        <v>0</v>
      </c>
      <c r="BE198" s="655">
        <v>0</v>
      </c>
      <c r="BF198" s="655">
        <v>0</v>
      </c>
      <c r="BG198" s="655">
        <v>-4283.6499999999996</v>
      </c>
      <c r="BH198" s="652">
        <v>-487.65</v>
      </c>
      <c r="BI198" s="652">
        <v>-3796</v>
      </c>
      <c r="BJ198" s="652">
        <v>0</v>
      </c>
      <c r="BK198" s="652">
        <v>0</v>
      </c>
      <c r="BL198" s="652">
        <v>0</v>
      </c>
      <c r="BM198" s="652">
        <v>0</v>
      </c>
      <c r="BN198" s="652">
        <v>0</v>
      </c>
      <c r="BO198" s="652">
        <v>0</v>
      </c>
      <c r="BP198" s="652">
        <v>0</v>
      </c>
      <c r="BQ198" s="652">
        <v>0</v>
      </c>
      <c r="BR198" s="652">
        <v>0</v>
      </c>
      <c r="BS198" s="652">
        <v>0</v>
      </c>
      <c r="BT198" s="652">
        <v>-4283.6499999999996</v>
      </c>
    </row>
    <row r="199" spans="1:72" ht="15" hidden="1" customHeight="1">
      <c r="A199" s="66" t="s">
        <v>1447</v>
      </c>
      <c r="B199" s="66"/>
      <c r="C199" s="66" t="s">
        <v>203</v>
      </c>
      <c r="D199" s="66" t="s">
        <v>1448</v>
      </c>
      <c r="E199" s="150" t="s">
        <v>1136</v>
      </c>
      <c r="F199" s="482" t="s">
        <v>1566</v>
      </c>
      <c r="G199" s="150" t="s">
        <v>1345</v>
      </c>
      <c r="H199" s="150" t="s">
        <v>1437</v>
      </c>
      <c r="I199" s="150" t="s">
        <v>1345</v>
      </c>
      <c r="J199" s="150" t="s">
        <v>1437</v>
      </c>
      <c r="K199" s="150" t="s">
        <v>1346</v>
      </c>
      <c r="L199" s="511" t="s">
        <v>49</v>
      </c>
      <c r="M199" s="392" t="s">
        <v>1340</v>
      </c>
      <c r="N199" s="343"/>
      <c r="O199" s="343"/>
      <c r="P199" s="70" t="s">
        <v>149</v>
      </c>
      <c r="Q199" s="346" t="s">
        <v>1139</v>
      </c>
      <c r="R199" s="343"/>
      <c r="S199" s="346"/>
      <c r="T199" s="150" t="s">
        <v>25</v>
      </c>
      <c r="U199" s="150"/>
      <c r="V199" s="643"/>
      <c r="W199" s="659">
        <v>0</v>
      </c>
      <c r="X199" s="659">
        <v>-4133.1400000000003</v>
      </c>
      <c r="Y199" s="656"/>
      <c r="Z199" s="657"/>
      <c r="AA199" s="714">
        <v>-4133.1400000000003</v>
      </c>
      <c r="AB199" s="428">
        <v>0</v>
      </c>
      <c r="AC199" s="428">
        <v>0</v>
      </c>
      <c r="AD199" s="428">
        <v>0</v>
      </c>
      <c r="AE199" s="429">
        <v>0</v>
      </c>
      <c r="AF199" s="429">
        <v>0</v>
      </c>
      <c r="AG199" s="649">
        <v>0</v>
      </c>
      <c r="AH199" s="649">
        <v>0</v>
      </c>
      <c r="AI199" s="649">
        <v>0</v>
      </c>
      <c r="AJ199" s="649">
        <v>0</v>
      </c>
      <c r="AK199" s="649">
        <v>0</v>
      </c>
      <c r="AL199" s="649">
        <v>0</v>
      </c>
      <c r="AM199" s="649">
        <f t="shared" si="18"/>
        <v>-4133.1400000000003</v>
      </c>
      <c r="AN199" s="651">
        <f>ERP_27[[#This Row],[2026 Working Total]]-ERP_27[[#This Row],[LE2 Final Submission]]</f>
        <v>0</v>
      </c>
      <c r="AO199" s="652">
        <v>0</v>
      </c>
      <c r="AP199" s="652">
        <f t="shared" si="17"/>
        <v>0</v>
      </c>
      <c r="AQ199" s="374">
        <f>SUM(ERP_27[[#This Row],[AP01]:[AP06]])-SUM(ERP_27[[#This Row],[AP01 LE2]:[AP06 LE2]])</f>
        <v>0</v>
      </c>
      <c r="AR199" s="653"/>
      <c r="AS199" s="652">
        <f>ERP_27[[#This Row],[2026 Working Total to Budget/LE]]-ERP_27[[#This Row],[Giveback]]</f>
        <v>0</v>
      </c>
      <c r="AT199" s="654"/>
      <c r="AU199" s="655">
        <v>-4133.1400000000003</v>
      </c>
      <c r="AV199" s="655">
        <v>0</v>
      </c>
      <c r="AW199" s="655">
        <v>0</v>
      </c>
      <c r="AX199" s="655">
        <v>0</v>
      </c>
      <c r="AY199" s="655">
        <v>0</v>
      </c>
      <c r="AZ199" s="655">
        <v>0</v>
      </c>
      <c r="BA199" s="655">
        <v>0</v>
      </c>
      <c r="BB199" s="655">
        <v>0</v>
      </c>
      <c r="BC199" s="655">
        <v>0</v>
      </c>
      <c r="BD199" s="655">
        <v>0</v>
      </c>
      <c r="BE199" s="655">
        <v>0</v>
      </c>
      <c r="BF199" s="655">
        <v>0</v>
      </c>
      <c r="BG199" s="655">
        <v>-4133.1400000000003</v>
      </c>
      <c r="BH199" s="652">
        <v>-4133.1400000000003</v>
      </c>
      <c r="BI199" s="652">
        <v>0</v>
      </c>
      <c r="BJ199" s="652">
        <v>0</v>
      </c>
      <c r="BK199" s="652">
        <v>0</v>
      </c>
      <c r="BL199" s="652">
        <v>0</v>
      </c>
      <c r="BM199" s="652">
        <v>0</v>
      </c>
      <c r="BN199" s="652">
        <v>0</v>
      </c>
      <c r="BO199" s="652">
        <v>0</v>
      </c>
      <c r="BP199" s="652">
        <v>0</v>
      </c>
      <c r="BQ199" s="652">
        <v>0</v>
      </c>
      <c r="BR199" s="652">
        <v>0</v>
      </c>
      <c r="BS199" s="652">
        <v>0</v>
      </c>
      <c r="BT199" s="652">
        <v>-4133.1400000000003</v>
      </c>
    </row>
    <row r="200" spans="1:72" ht="15" hidden="1" customHeight="1">
      <c r="A200" s="66" t="s">
        <v>1690</v>
      </c>
      <c r="B200" s="66"/>
      <c r="C200" s="66" t="s">
        <v>2933</v>
      </c>
      <c r="D200" s="66" t="s">
        <v>1691</v>
      </c>
      <c r="E200" s="150" t="s">
        <v>1136</v>
      </c>
      <c r="F200" s="482" t="s">
        <v>1566</v>
      </c>
      <c r="G200" s="150" t="s">
        <v>1135</v>
      </c>
      <c r="H200" s="150" t="s">
        <v>1135</v>
      </c>
      <c r="I200" s="150" t="s">
        <v>1135</v>
      </c>
      <c r="J200" s="150" t="s">
        <v>1137</v>
      </c>
      <c r="K200" s="150" t="s">
        <v>1137</v>
      </c>
      <c r="L200" s="511" t="s">
        <v>342</v>
      </c>
      <c r="M200" s="392" t="s">
        <v>356</v>
      </c>
      <c r="N200" s="343"/>
      <c r="O200" s="343"/>
      <c r="P200" s="70" t="s">
        <v>356</v>
      </c>
      <c r="Q200" s="346" t="s">
        <v>1139</v>
      </c>
      <c r="R200" s="346" t="s">
        <v>1140</v>
      </c>
      <c r="S200" s="346"/>
      <c r="T200" s="150" t="s">
        <v>25</v>
      </c>
      <c r="U200" s="1" t="s">
        <v>1141</v>
      </c>
      <c r="V200" s="643"/>
      <c r="W200" s="659">
        <v>0</v>
      </c>
      <c r="X200" s="659">
        <v>0</v>
      </c>
      <c r="Y200" s="656"/>
      <c r="Z200" s="657"/>
      <c r="AA200" s="714"/>
      <c r="AB200" s="428">
        <v>0</v>
      </c>
      <c r="AC200" s="428">
        <v>0</v>
      </c>
      <c r="AD200" s="428">
        <v>-3033.45</v>
      </c>
      <c r="AE200" s="429">
        <v>0</v>
      </c>
      <c r="AF200" s="429">
        <v>0</v>
      </c>
      <c r="AG200" s="649">
        <v>0</v>
      </c>
      <c r="AH200" s="649">
        <v>0</v>
      </c>
      <c r="AI200" s="649">
        <v>0</v>
      </c>
      <c r="AJ200" s="649">
        <v>0</v>
      </c>
      <c r="AK200" s="649">
        <v>0</v>
      </c>
      <c r="AL200" s="649">
        <v>0</v>
      </c>
      <c r="AM200" s="649">
        <f t="shared" si="18"/>
        <v>-3033.45</v>
      </c>
      <c r="AN200" s="651">
        <f>ERP_27[[#This Row],[2026 Working Total]]-ERP_27[[#This Row],[LE2 Final Submission]]</f>
        <v>-3033.45</v>
      </c>
      <c r="AO200" s="652">
        <v>0</v>
      </c>
      <c r="AP200" s="652">
        <f t="shared" ref="AP200:AP263" si="20">$AF200 - $AO200</f>
        <v>0</v>
      </c>
      <c r="AQ200" s="374">
        <f>SUM(ERP_27[[#This Row],[AP01]:[AP06]])-SUM(ERP_27[[#This Row],[AP01 LE2]:[AP06 LE2]])</f>
        <v>-3033.45</v>
      </c>
      <c r="AR200" s="653"/>
      <c r="AS200" s="652">
        <f>ERP_27[[#This Row],[2026 Working Total to Budget/LE]]-ERP_27[[#This Row],[Giveback]]</f>
        <v>-3033.45</v>
      </c>
      <c r="AT200" s="654"/>
      <c r="AU200" s="655"/>
      <c r="AV200" s="655">
        <v>0</v>
      </c>
      <c r="AW200" s="655">
        <v>0</v>
      </c>
      <c r="AX200" s="655">
        <v>0</v>
      </c>
      <c r="AY200" s="655">
        <v>0</v>
      </c>
      <c r="AZ200" s="655">
        <v>0</v>
      </c>
      <c r="BA200" s="655">
        <v>0</v>
      </c>
      <c r="BB200" s="655">
        <v>0</v>
      </c>
      <c r="BC200" s="655">
        <v>0</v>
      </c>
      <c r="BD200" s="655">
        <v>0</v>
      </c>
      <c r="BE200" s="655">
        <v>0</v>
      </c>
      <c r="BF200" s="655">
        <v>0</v>
      </c>
      <c r="BG200" s="655">
        <v>0</v>
      </c>
      <c r="BH200" s="652"/>
      <c r="BI200" s="652">
        <v>0</v>
      </c>
      <c r="BJ200" s="652">
        <v>0</v>
      </c>
      <c r="BK200" s="652">
        <v>0</v>
      </c>
      <c r="BL200" s="652">
        <v>0</v>
      </c>
      <c r="BM200" s="652">
        <v>0</v>
      </c>
      <c r="BN200" s="652">
        <v>0</v>
      </c>
      <c r="BO200" s="652">
        <v>0</v>
      </c>
      <c r="BP200" s="652">
        <v>0</v>
      </c>
      <c r="BQ200" s="652">
        <v>0</v>
      </c>
      <c r="BR200" s="652">
        <v>0</v>
      </c>
      <c r="BS200" s="652">
        <v>0</v>
      </c>
      <c r="BT200" s="652">
        <v>0</v>
      </c>
    </row>
    <row r="201" spans="1:72" ht="15" hidden="1" customHeight="1">
      <c r="A201" s="79" t="s">
        <v>2007</v>
      </c>
      <c r="B201" s="79"/>
      <c r="C201" s="79" t="s">
        <v>521</v>
      </c>
      <c r="D201" s="296" t="s">
        <v>2008</v>
      </c>
      <c r="E201" s="150" t="s">
        <v>1136</v>
      </c>
      <c r="F201" s="482" t="s">
        <v>1566</v>
      </c>
      <c r="G201" s="150" t="s">
        <v>1345</v>
      </c>
      <c r="H201" s="332" t="s">
        <v>1437</v>
      </c>
      <c r="I201" s="150" t="s">
        <v>1345</v>
      </c>
      <c r="J201" s="332" t="s">
        <v>1437</v>
      </c>
      <c r="K201" s="333" t="s">
        <v>1437</v>
      </c>
      <c r="L201" s="514" t="s">
        <v>389</v>
      </c>
      <c r="M201" s="394"/>
      <c r="N201" s="333"/>
      <c r="O201" s="333"/>
      <c r="P201" s="90" t="s">
        <v>411</v>
      </c>
      <c r="Q201" s="347"/>
      <c r="R201" s="347"/>
      <c r="S201" s="348"/>
      <c r="T201" s="348"/>
      <c r="U201" s="348"/>
      <c r="V201" s="646"/>
      <c r="W201" s="358"/>
      <c r="X201" s="358"/>
      <c r="Y201" s="656"/>
      <c r="Z201" s="657"/>
      <c r="AA201" s="714"/>
      <c r="AB201" s="428"/>
      <c r="AC201" s="428"/>
      <c r="AD201" s="429"/>
      <c r="AE201" s="429"/>
      <c r="AF201" s="429">
        <v>-2915.6</v>
      </c>
      <c r="AG201" s="649"/>
      <c r="AH201" s="649"/>
      <c r="AI201" s="649"/>
      <c r="AJ201" s="649"/>
      <c r="AK201" s="649"/>
      <c r="AL201" s="649"/>
      <c r="AM201" s="649">
        <f t="shared" si="18"/>
        <v>-2915.6</v>
      </c>
      <c r="AN201" s="651">
        <f>ERP_27[[#This Row],[2026 Working Total]]-ERP_27[[#This Row],[LE2 Final Submission]]</f>
        <v>-2915.6</v>
      </c>
      <c r="AO201" s="652"/>
      <c r="AP201" s="652">
        <f t="shared" si="20"/>
        <v>-2915.6</v>
      </c>
      <c r="AQ201" s="391">
        <f>SUM(ERP_27[[#This Row],[AP01]:[AP06]])-SUM(ERP_27[[#This Row],[AP01 LE2]:[AP06 LE2]])</f>
        <v>-2915.6</v>
      </c>
      <c r="AR201" s="653"/>
      <c r="AS201" s="652">
        <f>ERP_27[[#This Row],[2026 Working Total to Budget/LE]]-ERP_27[[#This Row],[Giveback]]</f>
        <v>-2915.6</v>
      </c>
      <c r="AT201" s="654"/>
      <c r="AU201" s="655"/>
      <c r="AV201" s="655"/>
      <c r="AW201" s="655"/>
      <c r="AX201" s="655"/>
      <c r="AY201" s="655"/>
      <c r="AZ201" s="655"/>
      <c r="BA201" s="655"/>
      <c r="BB201" s="655"/>
      <c r="BC201" s="655"/>
      <c r="BD201" s="655"/>
      <c r="BE201" s="655"/>
      <c r="BF201" s="655"/>
      <c r="BG201" s="655"/>
      <c r="BH201" s="652"/>
      <c r="BI201" s="652"/>
      <c r="BJ201" s="652"/>
      <c r="BK201" s="652"/>
      <c r="BL201" s="652"/>
      <c r="BM201" s="652"/>
      <c r="BN201" s="652"/>
      <c r="BO201" s="652"/>
      <c r="BP201" s="652"/>
      <c r="BQ201" s="652"/>
      <c r="BR201" s="652"/>
      <c r="BS201" s="652"/>
      <c r="BT201" s="652"/>
    </row>
    <row r="202" spans="1:72" ht="15" hidden="1" customHeight="1">
      <c r="A202" s="66" t="s">
        <v>1617</v>
      </c>
      <c r="B202" s="66"/>
      <c r="C202" s="66" t="s">
        <v>301</v>
      </c>
      <c r="D202" s="66" t="s">
        <v>1618</v>
      </c>
      <c r="E202" s="150" t="s">
        <v>1136</v>
      </c>
      <c r="F202" s="482" t="s">
        <v>1566</v>
      </c>
      <c r="G202" s="150" t="s">
        <v>1566</v>
      </c>
      <c r="H202" s="150" t="s">
        <v>1566</v>
      </c>
      <c r="I202" s="150" t="s">
        <v>1567</v>
      </c>
      <c r="J202" s="150" t="s">
        <v>1567</v>
      </c>
      <c r="K202" s="150" t="s">
        <v>1567</v>
      </c>
      <c r="L202" s="511" t="s">
        <v>49</v>
      </c>
      <c r="M202" s="392" t="s">
        <v>1619</v>
      </c>
      <c r="N202" s="343"/>
      <c r="O202" s="343"/>
      <c r="P202" s="70" t="s">
        <v>302</v>
      </c>
      <c r="Q202" s="346"/>
      <c r="R202" s="343"/>
      <c r="S202" s="346"/>
      <c r="T202" s="505" t="s">
        <v>303</v>
      </c>
      <c r="U202" s="150"/>
      <c r="V202" s="643"/>
      <c r="W202" s="659">
        <v>-2578</v>
      </c>
      <c r="X202" s="659">
        <v>-51385.37</v>
      </c>
      <c r="Y202" s="656"/>
      <c r="Z202" s="669"/>
      <c r="AA202" s="714"/>
      <c r="AB202" s="428"/>
      <c r="AC202" s="428">
        <v>-2578.37</v>
      </c>
      <c r="AD202" s="428">
        <v>0</v>
      </c>
      <c r="AE202" s="429">
        <v>0</v>
      </c>
      <c r="AF202" s="429">
        <v>0</v>
      </c>
      <c r="AG202" s="649">
        <v>0</v>
      </c>
      <c r="AH202" s="649">
        <v>0</v>
      </c>
      <c r="AI202" s="649">
        <v>0</v>
      </c>
      <c r="AJ202" s="649">
        <v>0</v>
      </c>
      <c r="AK202" s="649">
        <v>0</v>
      </c>
      <c r="AL202" s="649">
        <v>0</v>
      </c>
      <c r="AM202" s="649">
        <f t="shared" si="18"/>
        <v>-2578.37</v>
      </c>
      <c r="AN202" s="651">
        <f>ERP_27[[#This Row],[2026 Working Total]]-ERP_27[[#This Row],[LE2 Final Submission]]</f>
        <v>48807</v>
      </c>
      <c r="AO202" s="652">
        <v>-48807</v>
      </c>
      <c r="AP202" s="652">
        <f t="shared" si="20"/>
        <v>48807</v>
      </c>
      <c r="AQ202" s="374">
        <f>SUM(ERP_27[[#This Row],[AP01]:[AP06]])-SUM(ERP_27[[#This Row],[AP01 LE2]:[AP06 LE2]])</f>
        <v>48807</v>
      </c>
      <c r="AR202" s="653"/>
      <c r="AS202" s="652">
        <f>ERP_27[[#This Row],[2026 Working Total to Budget/LE]]-ERP_27[[#This Row],[Giveback]]</f>
        <v>48807</v>
      </c>
      <c r="AT202" s="654"/>
      <c r="AU202" s="655"/>
      <c r="AV202" s="655"/>
      <c r="AW202" s="655">
        <v>-2578.37</v>
      </c>
      <c r="AX202" s="655">
        <v>0</v>
      </c>
      <c r="AY202" s="655">
        <v>-48807</v>
      </c>
      <c r="AZ202" s="655">
        <v>0</v>
      </c>
      <c r="BA202" s="655">
        <v>0</v>
      </c>
      <c r="BB202" s="655">
        <v>0</v>
      </c>
      <c r="BC202" s="655">
        <v>0</v>
      </c>
      <c r="BD202" s="655">
        <v>0</v>
      </c>
      <c r="BE202" s="655">
        <v>0</v>
      </c>
      <c r="BF202" s="655">
        <v>0</v>
      </c>
      <c r="BG202" s="655">
        <v>-51385.37</v>
      </c>
      <c r="BH202" s="652"/>
      <c r="BI202" s="652"/>
      <c r="BJ202" s="652">
        <v>-2578.37</v>
      </c>
      <c r="BK202" s="652">
        <v>0</v>
      </c>
      <c r="BL202" s="652">
        <v>0</v>
      </c>
      <c r="BM202" s="652">
        <v>0</v>
      </c>
      <c r="BN202" s="652">
        <v>0</v>
      </c>
      <c r="BO202" s="652">
        <v>0</v>
      </c>
      <c r="BP202" s="652">
        <v>0</v>
      </c>
      <c r="BQ202" s="652">
        <v>0</v>
      </c>
      <c r="BR202" s="652">
        <v>0</v>
      </c>
      <c r="BS202" s="652">
        <v>0</v>
      </c>
      <c r="BT202" s="652">
        <v>-2578.37</v>
      </c>
    </row>
    <row r="203" spans="1:72" ht="15" hidden="1" customHeight="1">
      <c r="A203" s="66" t="s">
        <v>1649</v>
      </c>
      <c r="B203" s="66"/>
      <c r="C203" s="66" t="s">
        <v>324</v>
      </c>
      <c r="D203" s="66" t="s">
        <v>324</v>
      </c>
      <c r="E203" s="150" t="s">
        <v>1136</v>
      </c>
      <c r="F203" s="482" t="s">
        <v>1566</v>
      </c>
      <c r="G203" s="150" t="s">
        <v>1650</v>
      </c>
      <c r="H203" s="150" t="s">
        <v>1650</v>
      </c>
      <c r="I203" s="150" t="s">
        <v>1650</v>
      </c>
      <c r="J203" s="150" t="s">
        <v>1650</v>
      </c>
      <c r="K203" s="150" t="s">
        <v>1650</v>
      </c>
      <c r="L203" s="511" t="s">
        <v>49</v>
      </c>
      <c r="M203" s="392" t="s">
        <v>1147</v>
      </c>
      <c r="N203" s="343"/>
      <c r="O203" s="343"/>
      <c r="P203" s="70" t="s">
        <v>53</v>
      </c>
      <c r="Q203" s="346" t="s">
        <v>1153</v>
      </c>
      <c r="R203" s="343"/>
      <c r="S203" s="346"/>
      <c r="T203" s="150" t="s">
        <v>25</v>
      </c>
      <c r="U203" s="150" t="s">
        <v>1652</v>
      </c>
      <c r="V203" s="643"/>
      <c r="W203" s="659">
        <v>-99996</v>
      </c>
      <c r="X203" s="659">
        <v>-82720</v>
      </c>
      <c r="Y203" s="656"/>
      <c r="Z203" s="657"/>
      <c r="AA203" s="714"/>
      <c r="AB203" s="428">
        <v>-54900</v>
      </c>
      <c r="AC203" s="428">
        <f>27080-54900</f>
        <v>-27820</v>
      </c>
      <c r="AD203" s="428">
        <v>28331</v>
      </c>
      <c r="AE203" s="429">
        <v>34717</v>
      </c>
      <c r="AF203" s="429">
        <v>17146.999999999996</v>
      </c>
      <c r="AG203" s="649">
        <v>0</v>
      </c>
      <c r="AH203" s="649">
        <v>0</v>
      </c>
      <c r="AI203" s="649">
        <v>0</v>
      </c>
      <c r="AJ203" s="649">
        <v>0</v>
      </c>
      <c r="AK203" s="649">
        <v>0</v>
      </c>
      <c r="AL203" s="649">
        <v>0</v>
      </c>
      <c r="AM203" s="649">
        <f t="shared" si="18"/>
        <v>-2525.0000000000036</v>
      </c>
      <c r="AN203" s="651">
        <f>ERP_27[[#This Row],[2026 Working Total]]-ERP_27[[#This Row],[LE2 Final Submission]]</f>
        <v>80195</v>
      </c>
      <c r="AO203" s="652">
        <v>0</v>
      </c>
      <c r="AP203" s="652">
        <f t="shared" si="20"/>
        <v>17146.999999999996</v>
      </c>
      <c r="AQ203" s="374">
        <f>SUM(ERP_27[[#This Row],[AP01]:[AP06]])-SUM(ERP_27[[#This Row],[AP01 LE2]:[AP06 LE2]])</f>
        <v>80195</v>
      </c>
      <c r="AR203" s="653"/>
      <c r="AS203" s="652">
        <f>ERP_27[[#This Row],[2026 Working Total to Budget/LE]]-ERP_27[[#This Row],[Giveback]]</f>
        <v>80195</v>
      </c>
      <c r="AT203" s="654"/>
      <c r="AU203" s="655"/>
      <c r="AV203" s="655">
        <v>-54900</v>
      </c>
      <c r="AW203" s="655">
        <v>-27820</v>
      </c>
      <c r="AX203" s="655">
        <v>0</v>
      </c>
      <c r="AY203" s="655">
        <v>0</v>
      </c>
      <c r="AZ203" s="655">
        <v>0</v>
      </c>
      <c r="BA203" s="655">
        <v>0</v>
      </c>
      <c r="BB203" s="655">
        <v>0</v>
      </c>
      <c r="BC203" s="655">
        <v>0</v>
      </c>
      <c r="BD203" s="655">
        <v>0</v>
      </c>
      <c r="BE203" s="655">
        <v>0</v>
      </c>
      <c r="BF203" s="655">
        <v>0</v>
      </c>
      <c r="BG203" s="655">
        <v>-82720</v>
      </c>
      <c r="BH203" s="652"/>
      <c r="BI203" s="652">
        <v>-54900</v>
      </c>
      <c r="BJ203" s="652">
        <v>27080</v>
      </c>
      <c r="BK203" s="652">
        <v>-8333</v>
      </c>
      <c r="BL203" s="652">
        <v>-8333</v>
      </c>
      <c r="BM203" s="652">
        <v>-8333</v>
      </c>
      <c r="BN203" s="652">
        <v>-8333</v>
      </c>
      <c r="BO203" s="652">
        <v>-8333</v>
      </c>
      <c r="BP203" s="652">
        <v>-8333</v>
      </c>
      <c r="BQ203" s="652">
        <v>-8333</v>
      </c>
      <c r="BR203" s="652">
        <v>-8333</v>
      </c>
      <c r="BS203" s="652">
        <v>-8333</v>
      </c>
      <c r="BT203" s="652">
        <v>-102817</v>
      </c>
    </row>
    <row r="204" spans="1:72" ht="15" hidden="1" customHeight="1">
      <c r="A204" s="66" t="s">
        <v>1773</v>
      </c>
      <c r="B204" s="66"/>
      <c r="C204" s="66" t="s">
        <v>2934</v>
      </c>
      <c r="D204" s="66" t="s">
        <v>1774</v>
      </c>
      <c r="E204" s="150" t="s">
        <v>1136</v>
      </c>
      <c r="F204" s="482" t="s">
        <v>1566</v>
      </c>
      <c r="G204" s="150" t="s">
        <v>1135</v>
      </c>
      <c r="H204" s="150" t="s">
        <v>1135</v>
      </c>
      <c r="I204" s="150" t="s">
        <v>1135</v>
      </c>
      <c r="J204" s="150" t="s">
        <v>1137</v>
      </c>
      <c r="K204" s="150" t="s">
        <v>1137</v>
      </c>
      <c r="L204" s="511" t="s">
        <v>389</v>
      </c>
      <c r="M204" s="392" t="s">
        <v>1775</v>
      </c>
      <c r="N204" s="343"/>
      <c r="O204" s="343"/>
      <c r="P204" s="70" t="s">
        <v>404</v>
      </c>
      <c r="Q204" s="346"/>
      <c r="R204" s="346" t="s">
        <v>1140</v>
      </c>
      <c r="S204" s="346"/>
      <c r="T204" s="150" t="s">
        <v>405</v>
      </c>
      <c r="U204" s="1" t="s">
        <v>1141</v>
      </c>
      <c r="V204" s="643"/>
      <c r="W204" s="659">
        <v>0</v>
      </c>
      <c r="X204" s="659">
        <v>0</v>
      </c>
      <c r="Y204" s="656"/>
      <c r="Z204" s="657"/>
      <c r="AA204" s="714"/>
      <c r="AB204" s="428">
        <v>0</v>
      </c>
      <c r="AC204" s="428">
        <v>0</v>
      </c>
      <c r="AD204" s="428">
        <v>-1732.97</v>
      </c>
      <c r="AE204" s="429">
        <v>0</v>
      </c>
      <c r="AF204" s="429">
        <v>0</v>
      </c>
      <c r="AG204" s="649">
        <v>0</v>
      </c>
      <c r="AH204" s="649">
        <v>0</v>
      </c>
      <c r="AI204" s="649">
        <v>0</v>
      </c>
      <c r="AJ204" s="649">
        <v>0</v>
      </c>
      <c r="AK204" s="649">
        <v>0</v>
      </c>
      <c r="AL204" s="649">
        <v>0</v>
      </c>
      <c r="AM204" s="649">
        <f t="shared" si="18"/>
        <v>-1732.97</v>
      </c>
      <c r="AN204" s="651">
        <f>ERP_27[[#This Row],[2026 Working Total]]-ERP_27[[#This Row],[LE2 Final Submission]]</f>
        <v>-1732.97</v>
      </c>
      <c r="AO204" s="652">
        <v>0</v>
      </c>
      <c r="AP204" s="652">
        <f t="shared" si="20"/>
        <v>0</v>
      </c>
      <c r="AQ204" s="374">
        <f>SUM(ERP_27[[#This Row],[AP01]:[AP06]])-SUM(ERP_27[[#This Row],[AP01 LE2]:[AP06 LE2]])</f>
        <v>-1732.97</v>
      </c>
      <c r="AR204" s="653"/>
      <c r="AS204" s="652">
        <f>ERP_27[[#This Row],[2026 Working Total to Budget/LE]]-ERP_27[[#This Row],[Giveback]]</f>
        <v>-1732.97</v>
      </c>
      <c r="AT204" s="654"/>
      <c r="AU204" s="655"/>
      <c r="AV204" s="655">
        <v>0</v>
      </c>
      <c r="AW204" s="655">
        <v>0</v>
      </c>
      <c r="AX204" s="655">
        <v>0</v>
      </c>
      <c r="AY204" s="655">
        <v>0</v>
      </c>
      <c r="AZ204" s="655">
        <v>0</v>
      </c>
      <c r="BA204" s="655">
        <v>0</v>
      </c>
      <c r="BB204" s="655">
        <v>0</v>
      </c>
      <c r="BC204" s="655">
        <v>0</v>
      </c>
      <c r="BD204" s="655">
        <v>0</v>
      </c>
      <c r="BE204" s="655">
        <v>0</v>
      </c>
      <c r="BF204" s="655">
        <v>0</v>
      </c>
      <c r="BG204" s="655">
        <v>0</v>
      </c>
      <c r="BH204" s="652"/>
      <c r="BI204" s="652">
        <v>0</v>
      </c>
      <c r="BJ204" s="652">
        <v>0</v>
      </c>
      <c r="BK204" s="652">
        <v>0</v>
      </c>
      <c r="BL204" s="652">
        <v>0</v>
      </c>
      <c r="BM204" s="652">
        <v>0</v>
      </c>
      <c r="BN204" s="652">
        <v>0</v>
      </c>
      <c r="BO204" s="652">
        <v>0</v>
      </c>
      <c r="BP204" s="652">
        <v>0</v>
      </c>
      <c r="BQ204" s="652">
        <v>0</v>
      </c>
      <c r="BR204" s="652">
        <v>0</v>
      </c>
      <c r="BS204" s="652">
        <v>0</v>
      </c>
      <c r="BT204" s="652">
        <v>0</v>
      </c>
    </row>
    <row r="205" spans="1:72" ht="15" hidden="1" customHeight="1">
      <c r="A205" s="79" t="s">
        <v>1637</v>
      </c>
      <c r="B205" s="79"/>
      <c r="C205" s="79" t="s">
        <v>317</v>
      </c>
      <c r="D205" s="296" t="s">
        <v>1638</v>
      </c>
      <c r="E205" s="150" t="s">
        <v>1136</v>
      </c>
      <c r="F205" s="482" t="s">
        <v>1566</v>
      </c>
      <c r="G205" s="482" t="s">
        <v>1566</v>
      </c>
      <c r="H205" s="482" t="s">
        <v>1566</v>
      </c>
      <c r="I205" s="150" t="s">
        <v>1345</v>
      </c>
      <c r="J205" s="332" t="s">
        <v>1346</v>
      </c>
      <c r="K205" s="333" t="s">
        <v>1346</v>
      </c>
      <c r="L205" s="514" t="s">
        <v>49</v>
      </c>
      <c r="M205" s="394"/>
      <c r="N205" s="333"/>
      <c r="O205" s="333"/>
      <c r="P205" s="90" t="s">
        <v>318</v>
      </c>
      <c r="Q205" s="347"/>
      <c r="R205" s="347"/>
      <c r="S205" s="348"/>
      <c r="T205" s="348"/>
      <c r="U205" s="348"/>
      <c r="V205" s="646"/>
      <c r="W205" s="358"/>
      <c r="X205" s="358"/>
      <c r="Y205" s="656"/>
      <c r="Z205" s="657"/>
      <c r="AA205" s="714"/>
      <c r="AB205" s="428"/>
      <c r="AC205" s="428"/>
      <c r="AD205" s="429"/>
      <c r="AE205" s="429"/>
      <c r="AF205" s="429">
        <v>-1584</v>
      </c>
      <c r="AG205" s="649"/>
      <c r="AH205" s="649"/>
      <c r="AI205" s="649"/>
      <c r="AJ205" s="649"/>
      <c r="AK205" s="649"/>
      <c r="AL205" s="649"/>
      <c r="AM205" s="649">
        <f t="shared" si="18"/>
        <v>-1584</v>
      </c>
      <c r="AN205" s="651">
        <f>ERP_27[[#This Row],[2026 Working Total]]-ERP_27[[#This Row],[LE2 Final Submission]]</f>
        <v>-1584</v>
      </c>
      <c r="AO205" s="652"/>
      <c r="AP205" s="652">
        <f t="shared" si="20"/>
        <v>-1584</v>
      </c>
      <c r="AQ205" s="391">
        <f>SUM(ERP_27[[#This Row],[AP01]:[AP06]])-SUM(ERP_27[[#This Row],[AP01 LE2]:[AP06 LE2]])</f>
        <v>-1584</v>
      </c>
      <c r="AR205" s="653"/>
      <c r="AS205" s="652">
        <f>ERP_27[[#This Row],[2026 Working Total to Budget/LE]]-ERP_27[[#This Row],[Giveback]]</f>
        <v>-1584</v>
      </c>
      <c r="AT205" s="654"/>
      <c r="AU205" s="655"/>
      <c r="AV205" s="655"/>
      <c r="AW205" s="655"/>
      <c r="AX205" s="655"/>
      <c r="AY205" s="655"/>
      <c r="AZ205" s="655"/>
      <c r="BA205" s="655"/>
      <c r="BB205" s="655"/>
      <c r="BC205" s="655"/>
      <c r="BD205" s="655"/>
      <c r="BE205" s="655"/>
      <c r="BF205" s="655"/>
      <c r="BG205" s="655"/>
      <c r="BH205" s="652"/>
      <c r="BI205" s="652"/>
      <c r="BJ205" s="652"/>
      <c r="BK205" s="652"/>
      <c r="BL205" s="652"/>
      <c r="BM205" s="652"/>
      <c r="BN205" s="652"/>
      <c r="BO205" s="652"/>
      <c r="BP205" s="652"/>
      <c r="BQ205" s="652"/>
      <c r="BR205" s="652"/>
      <c r="BS205" s="652"/>
      <c r="BT205" s="652"/>
    </row>
    <row r="206" spans="1:72" ht="15" hidden="1" customHeight="1">
      <c r="A206" s="66" t="s">
        <v>1730</v>
      </c>
      <c r="B206" s="66"/>
      <c r="C206" s="66" t="s">
        <v>2935</v>
      </c>
      <c r="D206" s="66" t="s">
        <v>1731</v>
      </c>
      <c r="E206" s="150" t="s">
        <v>1136</v>
      </c>
      <c r="F206" s="482" t="s">
        <v>1566</v>
      </c>
      <c r="G206" s="150" t="s">
        <v>1566</v>
      </c>
      <c r="H206" s="150" t="s">
        <v>1566</v>
      </c>
      <c r="I206" s="150" t="s">
        <v>1567</v>
      </c>
      <c r="J206" s="150" t="s">
        <v>1567</v>
      </c>
      <c r="K206" s="150" t="s">
        <v>1567</v>
      </c>
      <c r="L206" s="511" t="s">
        <v>342</v>
      </c>
      <c r="M206" s="392" t="s">
        <v>1732</v>
      </c>
      <c r="N206" s="343"/>
      <c r="O206" s="343"/>
      <c r="P206" s="70" t="s">
        <v>1732</v>
      </c>
      <c r="Q206" s="346"/>
      <c r="R206" s="346" t="s">
        <v>1140</v>
      </c>
      <c r="S206" s="346"/>
      <c r="T206" s="150" t="s">
        <v>25</v>
      </c>
      <c r="U206" s="150"/>
      <c r="V206" s="643"/>
      <c r="W206" s="659">
        <v>0</v>
      </c>
      <c r="X206" s="659">
        <v>0</v>
      </c>
      <c r="Y206" s="656"/>
      <c r="Z206" s="657"/>
      <c r="AA206" s="714"/>
      <c r="AB206" s="428"/>
      <c r="AC206" s="428">
        <v>0</v>
      </c>
      <c r="AD206" s="428">
        <v>-1485.86</v>
      </c>
      <c r="AE206" s="429">
        <v>0</v>
      </c>
      <c r="AF206" s="429">
        <v>0</v>
      </c>
      <c r="AG206" s="649">
        <v>0</v>
      </c>
      <c r="AH206" s="649">
        <v>0</v>
      </c>
      <c r="AI206" s="649">
        <v>0</v>
      </c>
      <c r="AJ206" s="649">
        <v>0</v>
      </c>
      <c r="AK206" s="649">
        <v>0</v>
      </c>
      <c r="AL206" s="649">
        <v>0</v>
      </c>
      <c r="AM206" s="649">
        <f t="shared" si="18"/>
        <v>-1485.86</v>
      </c>
      <c r="AN206" s="651">
        <f>ERP_27[[#This Row],[2026 Working Total]]-ERP_27[[#This Row],[LE2 Final Submission]]</f>
        <v>-1485.86</v>
      </c>
      <c r="AO206" s="652">
        <v>0</v>
      </c>
      <c r="AP206" s="652">
        <f t="shared" si="20"/>
        <v>0</v>
      </c>
      <c r="AQ206" s="374">
        <f>SUM(ERP_27[[#This Row],[AP01]:[AP06]])-SUM(ERP_27[[#This Row],[AP01 LE2]:[AP06 LE2]])</f>
        <v>-1485.86</v>
      </c>
      <c r="AR206" s="653"/>
      <c r="AS206" s="652">
        <f>ERP_27[[#This Row],[2026 Working Total to Budget/LE]]-ERP_27[[#This Row],[Giveback]]</f>
        <v>-1485.86</v>
      </c>
      <c r="AT206" s="654"/>
      <c r="AU206" s="655"/>
      <c r="AV206" s="655"/>
      <c r="AW206" s="655">
        <v>0</v>
      </c>
      <c r="AX206" s="655">
        <v>0</v>
      </c>
      <c r="AY206" s="655">
        <v>0</v>
      </c>
      <c r="AZ206" s="655">
        <v>0</v>
      </c>
      <c r="BA206" s="655">
        <v>0</v>
      </c>
      <c r="BB206" s="655">
        <v>0</v>
      </c>
      <c r="BC206" s="655">
        <v>0</v>
      </c>
      <c r="BD206" s="655">
        <v>0</v>
      </c>
      <c r="BE206" s="655">
        <v>0</v>
      </c>
      <c r="BF206" s="655">
        <v>0</v>
      </c>
      <c r="BG206" s="655">
        <v>0</v>
      </c>
      <c r="BH206" s="652"/>
      <c r="BI206" s="652"/>
      <c r="BJ206" s="652">
        <v>0</v>
      </c>
      <c r="BK206" s="652">
        <v>0</v>
      </c>
      <c r="BL206" s="652">
        <v>0</v>
      </c>
      <c r="BM206" s="652">
        <v>0</v>
      </c>
      <c r="BN206" s="652">
        <v>0</v>
      </c>
      <c r="BO206" s="652">
        <v>0</v>
      </c>
      <c r="BP206" s="652">
        <v>0</v>
      </c>
      <c r="BQ206" s="652">
        <v>0</v>
      </c>
      <c r="BR206" s="652">
        <v>0</v>
      </c>
      <c r="BS206" s="652">
        <v>0</v>
      </c>
      <c r="BT206" s="652">
        <v>0</v>
      </c>
    </row>
    <row r="207" spans="1:72" ht="15" hidden="1" customHeight="1">
      <c r="A207" s="150" t="s">
        <v>2753</v>
      </c>
      <c r="B207" s="150"/>
      <c r="C207" s="536" t="s">
        <v>988</v>
      </c>
      <c r="D207" s="296" t="s">
        <v>2754</v>
      </c>
      <c r="E207" s="150" t="s">
        <v>1136</v>
      </c>
      <c r="F207" s="482" t="s">
        <v>1566</v>
      </c>
      <c r="G207" s="150" t="s">
        <v>1566</v>
      </c>
      <c r="H207" s="150" t="s">
        <v>1566</v>
      </c>
      <c r="I207" s="150" t="s">
        <v>1567</v>
      </c>
      <c r="J207" s="150" t="s">
        <v>1567</v>
      </c>
      <c r="K207" s="150" t="s">
        <v>1567</v>
      </c>
      <c r="L207" s="511" t="s">
        <v>639</v>
      </c>
      <c r="M207" s="394" t="s">
        <v>2232</v>
      </c>
      <c r="N207" s="333"/>
      <c r="O207" s="332" t="s">
        <v>2755</v>
      </c>
      <c r="P207" s="90" t="s">
        <v>657</v>
      </c>
      <c r="Q207" s="347"/>
      <c r="R207" s="347"/>
      <c r="S207" s="348"/>
      <c r="T207" s="348"/>
      <c r="U207" s="348"/>
      <c r="V207" s="646"/>
      <c r="W207" s="659"/>
      <c r="X207" s="659"/>
      <c r="Y207" s="656"/>
      <c r="Z207" s="657"/>
      <c r="AA207" s="714"/>
      <c r="AB207" s="428"/>
      <c r="AC207" s="428"/>
      <c r="AD207" s="429">
        <v>-920.3</v>
      </c>
      <c r="AE207" s="429">
        <v>0</v>
      </c>
      <c r="AF207" s="429">
        <v>0</v>
      </c>
      <c r="AG207" s="649"/>
      <c r="AH207" s="649"/>
      <c r="AI207" s="649"/>
      <c r="AJ207" s="649"/>
      <c r="AK207" s="649"/>
      <c r="AL207" s="649"/>
      <c r="AM207" s="649">
        <f t="shared" si="18"/>
        <v>-920.3</v>
      </c>
      <c r="AN207" s="651">
        <f>ERP_27[[#This Row],[2026 Working Total]]-ERP_27[[#This Row],[LE2 Final Submission]]</f>
        <v>-920.3</v>
      </c>
      <c r="AO207" s="652">
        <v>3000</v>
      </c>
      <c r="AP207" s="652">
        <f t="shared" si="20"/>
        <v>-3000</v>
      </c>
      <c r="AQ207" s="374">
        <f>SUM(ERP_27[[#This Row],[AP01]:[AP06]])-SUM(ERP_27[[#This Row],[AP01 LE2]:[AP06 LE2]])</f>
        <v>-920.3</v>
      </c>
      <c r="AR207" s="653"/>
      <c r="AS207" s="652">
        <f>ERP_27[[#This Row],[2026 Working Total to Budget/LE]]-ERP_27[[#This Row],[Giveback]]</f>
        <v>-920.3</v>
      </c>
      <c r="AT207" s="654"/>
      <c r="AU207" s="655"/>
      <c r="AV207" s="655"/>
      <c r="AW207" s="655"/>
      <c r="AX207" s="655"/>
      <c r="AY207" s="655"/>
      <c r="AZ207" s="655"/>
      <c r="BA207" s="655"/>
      <c r="BB207" s="655"/>
      <c r="BC207" s="655"/>
      <c r="BD207" s="655"/>
      <c r="BE207" s="655"/>
      <c r="BF207" s="655"/>
      <c r="BG207" s="655"/>
      <c r="BH207" s="652"/>
      <c r="BI207" s="652"/>
      <c r="BJ207" s="652"/>
      <c r="BK207" s="652"/>
      <c r="BL207" s="652"/>
      <c r="BM207" s="652"/>
      <c r="BN207" s="652"/>
      <c r="BO207" s="652"/>
      <c r="BP207" s="652"/>
      <c r="BQ207" s="652"/>
      <c r="BR207" s="652"/>
      <c r="BS207" s="652"/>
      <c r="BT207" s="652"/>
    </row>
    <row r="208" spans="1:72" ht="15" hidden="1" customHeight="1">
      <c r="A208" s="66" t="s">
        <v>1683</v>
      </c>
      <c r="B208" s="66"/>
      <c r="C208" s="66" t="s">
        <v>2936</v>
      </c>
      <c r="D208" s="66" t="s">
        <v>1684</v>
      </c>
      <c r="E208" s="150" t="s">
        <v>1136</v>
      </c>
      <c r="F208" s="482" t="s">
        <v>1566</v>
      </c>
      <c r="G208" s="150" t="s">
        <v>1135</v>
      </c>
      <c r="H208" s="150" t="s">
        <v>1135</v>
      </c>
      <c r="I208" s="150" t="s">
        <v>1135</v>
      </c>
      <c r="J208" s="150" t="s">
        <v>1137</v>
      </c>
      <c r="K208" s="150" t="s">
        <v>1137</v>
      </c>
      <c r="L208" s="511" t="s">
        <v>342</v>
      </c>
      <c r="M208" s="392" t="s">
        <v>1685</v>
      </c>
      <c r="N208" s="343"/>
      <c r="O208" s="343"/>
      <c r="P208" s="70" t="s">
        <v>350</v>
      </c>
      <c r="Q208" s="346" t="s">
        <v>1139</v>
      </c>
      <c r="R208" s="346" t="s">
        <v>1140</v>
      </c>
      <c r="S208" s="346"/>
      <c r="T208" s="150" t="s">
        <v>25</v>
      </c>
      <c r="U208" s="1" t="s">
        <v>1141</v>
      </c>
      <c r="V208" s="643"/>
      <c r="W208" s="659">
        <v>0</v>
      </c>
      <c r="X208" s="659">
        <v>-904.37</v>
      </c>
      <c r="Y208" s="656"/>
      <c r="Z208" s="657"/>
      <c r="AA208" s="714"/>
      <c r="AB208" s="428">
        <v>-904.37</v>
      </c>
      <c r="AC208" s="428">
        <v>0</v>
      </c>
      <c r="AD208" s="428">
        <v>0</v>
      </c>
      <c r="AE208" s="429">
        <v>0</v>
      </c>
      <c r="AF208" s="429">
        <v>0</v>
      </c>
      <c r="AG208" s="649">
        <v>0</v>
      </c>
      <c r="AH208" s="649">
        <v>0</v>
      </c>
      <c r="AI208" s="649">
        <v>0</v>
      </c>
      <c r="AJ208" s="649">
        <v>0</v>
      </c>
      <c r="AK208" s="649">
        <v>0</v>
      </c>
      <c r="AL208" s="649">
        <v>0</v>
      </c>
      <c r="AM208" s="649">
        <f t="shared" si="18"/>
        <v>-904.37</v>
      </c>
      <c r="AN208" s="651">
        <f>ERP_27[[#This Row],[2026 Working Total]]-ERP_27[[#This Row],[LE2 Final Submission]]</f>
        <v>0</v>
      </c>
      <c r="AO208" s="652">
        <v>0</v>
      </c>
      <c r="AP208" s="652">
        <f t="shared" si="20"/>
        <v>0</v>
      </c>
      <c r="AQ208" s="374">
        <f>SUM(ERP_27[[#This Row],[AP01]:[AP06]])-SUM(ERP_27[[#This Row],[AP01 LE2]:[AP06 LE2]])</f>
        <v>0</v>
      </c>
      <c r="AR208" s="653"/>
      <c r="AS208" s="652">
        <f>ERP_27[[#This Row],[2026 Working Total to Budget/LE]]-ERP_27[[#This Row],[Giveback]]</f>
        <v>0</v>
      </c>
      <c r="AT208" s="654"/>
      <c r="AU208" s="655"/>
      <c r="AV208" s="655">
        <v>-904.37</v>
      </c>
      <c r="AW208" s="655">
        <v>0</v>
      </c>
      <c r="AX208" s="655">
        <v>0</v>
      </c>
      <c r="AY208" s="655">
        <v>0</v>
      </c>
      <c r="AZ208" s="655">
        <v>0</v>
      </c>
      <c r="BA208" s="655">
        <v>0</v>
      </c>
      <c r="BB208" s="655">
        <v>0</v>
      </c>
      <c r="BC208" s="655">
        <v>0</v>
      </c>
      <c r="BD208" s="655">
        <v>0</v>
      </c>
      <c r="BE208" s="655">
        <v>0</v>
      </c>
      <c r="BF208" s="655">
        <v>0</v>
      </c>
      <c r="BG208" s="655">
        <v>-904.37</v>
      </c>
      <c r="BH208" s="652"/>
      <c r="BI208" s="652">
        <v>-904.37</v>
      </c>
      <c r="BJ208" s="652">
        <v>0</v>
      </c>
      <c r="BK208" s="652">
        <v>0</v>
      </c>
      <c r="BL208" s="652">
        <v>0</v>
      </c>
      <c r="BM208" s="652">
        <v>0</v>
      </c>
      <c r="BN208" s="652">
        <v>0</v>
      </c>
      <c r="BO208" s="652">
        <v>0</v>
      </c>
      <c r="BP208" s="652">
        <v>0</v>
      </c>
      <c r="BQ208" s="652">
        <v>0</v>
      </c>
      <c r="BR208" s="652">
        <v>0</v>
      </c>
      <c r="BS208" s="652">
        <v>0</v>
      </c>
      <c r="BT208" s="652">
        <v>-904.37</v>
      </c>
    </row>
    <row r="209" spans="1:72" ht="15" hidden="1" customHeight="1">
      <c r="A209" s="150" t="s">
        <v>1692</v>
      </c>
      <c r="B209" s="150"/>
      <c r="C209" s="536" t="s">
        <v>357</v>
      </c>
      <c r="D209" s="296" t="s">
        <v>1693</v>
      </c>
      <c r="E209" s="150" t="s">
        <v>1136</v>
      </c>
      <c r="F209" s="482" t="s">
        <v>1566</v>
      </c>
      <c r="G209" s="150" t="s">
        <v>1135</v>
      </c>
      <c r="H209" s="150" t="s">
        <v>1135</v>
      </c>
      <c r="I209" s="150" t="s">
        <v>1135</v>
      </c>
      <c r="J209" s="150" t="s">
        <v>1137</v>
      </c>
      <c r="K209" s="150" t="s">
        <v>1137</v>
      </c>
      <c r="L209" s="514" t="s">
        <v>342</v>
      </c>
      <c r="M209" s="394" t="s">
        <v>1694</v>
      </c>
      <c r="N209" s="333"/>
      <c r="O209" s="332" t="s">
        <v>1695</v>
      </c>
      <c r="P209" s="90" t="s">
        <v>358</v>
      </c>
      <c r="Q209" s="347"/>
      <c r="R209" s="347"/>
      <c r="S209" s="348"/>
      <c r="T209" s="348"/>
      <c r="U209" s="1" t="s">
        <v>1141</v>
      </c>
      <c r="V209" s="646"/>
      <c r="W209" s="659"/>
      <c r="X209" s="659"/>
      <c r="Y209" s="656"/>
      <c r="Z209" s="657"/>
      <c r="AA209" s="714"/>
      <c r="AB209" s="428"/>
      <c r="AC209" s="428"/>
      <c r="AD209" s="429">
        <v>-638.70000000000005</v>
      </c>
      <c r="AE209" s="429">
        <v>0</v>
      </c>
      <c r="AF209" s="429">
        <v>0</v>
      </c>
      <c r="AG209" s="649"/>
      <c r="AH209" s="649"/>
      <c r="AI209" s="649"/>
      <c r="AJ209" s="649"/>
      <c r="AK209" s="649"/>
      <c r="AL209" s="649"/>
      <c r="AM209" s="649">
        <f t="shared" si="18"/>
        <v>-638.70000000000005</v>
      </c>
      <c r="AN209" s="651">
        <f>ERP_27[[#This Row],[2026 Working Total]]-ERP_27[[#This Row],[LE2 Final Submission]]</f>
        <v>-638.70000000000005</v>
      </c>
      <c r="AO209" s="652"/>
      <c r="AP209" s="652">
        <f t="shared" si="20"/>
        <v>0</v>
      </c>
      <c r="AQ209" s="374">
        <f>SUM(ERP_27[[#This Row],[AP01]:[AP06]])-SUM(ERP_27[[#This Row],[AP01 LE2]:[AP06 LE2]])</f>
        <v>-638.70000000000005</v>
      </c>
      <c r="AR209" s="653"/>
      <c r="AS209" s="652">
        <f>ERP_27[[#This Row],[2026 Working Total to Budget/LE]]-ERP_27[[#This Row],[Giveback]]</f>
        <v>-638.70000000000005</v>
      </c>
      <c r="AT209" s="654"/>
      <c r="AU209" s="655"/>
      <c r="AV209" s="655"/>
      <c r="AW209" s="655"/>
      <c r="AX209" s="655"/>
      <c r="AY209" s="655"/>
      <c r="AZ209" s="655"/>
      <c r="BA209" s="655"/>
      <c r="BB209" s="655"/>
      <c r="BC209" s="655"/>
      <c r="BD209" s="655"/>
      <c r="BE209" s="655"/>
      <c r="BF209" s="655"/>
      <c r="BG209" s="655"/>
      <c r="BH209" s="652"/>
      <c r="BI209" s="652"/>
      <c r="BJ209" s="652"/>
      <c r="BK209" s="652"/>
      <c r="BL209" s="652"/>
      <c r="BM209" s="652"/>
      <c r="BN209" s="652"/>
      <c r="BO209" s="652"/>
      <c r="BP209" s="652"/>
      <c r="BQ209" s="652"/>
      <c r="BR209" s="652"/>
      <c r="BS209" s="652"/>
      <c r="BT209" s="652"/>
    </row>
    <row r="210" spans="1:72" ht="15" hidden="1" customHeight="1">
      <c r="A210" s="150" t="s">
        <v>2767</v>
      </c>
      <c r="B210" s="150"/>
      <c r="C210" s="536" t="s">
        <v>994</v>
      </c>
      <c r="D210" s="296" t="s">
        <v>2768</v>
      </c>
      <c r="E210" s="150" t="s">
        <v>1136</v>
      </c>
      <c r="F210" s="482" t="s">
        <v>1566</v>
      </c>
      <c r="G210" s="150" t="s">
        <v>1566</v>
      </c>
      <c r="H210" s="150" t="s">
        <v>1566</v>
      </c>
      <c r="I210" s="150" t="s">
        <v>1567</v>
      </c>
      <c r="J210" s="150" t="s">
        <v>1567</v>
      </c>
      <c r="K210" s="150" t="s">
        <v>1567</v>
      </c>
      <c r="L210" s="511" t="s">
        <v>639</v>
      </c>
      <c r="M210" s="394" t="s">
        <v>2245</v>
      </c>
      <c r="N210" s="333"/>
      <c r="O210" s="332" t="s">
        <v>2755</v>
      </c>
      <c r="P210" s="90" t="s">
        <v>2246</v>
      </c>
      <c r="Q210" s="347"/>
      <c r="R210" s="347"/>
      <c r="S210" s="348"/>
      <c r="T210" s="348"/>
      <c r="U210" s="348"/>
      <c r="V210" s="646"/>
      <c r="W210" s="659"/>
      <c r="X210" s="659"/>
      <c r="Y210" s="656"/>
      <c r="Z210" s="657"/>
      <c r="AA210" s="714"/>
      <c r="AB210" s="428"/>
      <c r="AC210" s="428"/>
      <c r="AD210" s="429">
        <v>-451.1</v>
      </c>
      <c r="AE210" s="429">
        <v>0</v>
      </c>
      <c r="AF210" s="429">
        <v>0</v>
      </c>
      <c r="AG210" s="649"/>
      <c r="AH210" s="649"/>
      <c r="AI210" s="649"/>
      <c r="AJ210" s="649"/>
      <c r="AK210" s="649"/>
      <c r="AL210" s="649"/>
      <c r="AM210" s="649">
        <f t="shared" si="18"/>
        <v>-451.1</v>
      </c>
      <c r="AN210" s="651">
        <f>ERP_27[[#This Row],[2026 Working Total]]-ERP_27[[#This Row],[LE2 Final Submission]]</f>
        <v>-451.1</v>
      </c>
      <c r="AO210" s="652"/>
      <c r="AP210" s="652">
        <f t="shared" si="20"/>
        <v>0</v>
      </c>
      <c r="AQ210" s="374">
        <f>SUM(ERP_27[[#This Row],[AP01]:[AP06]])-SUM(ERP_27[[#This Row],[AP01 LE2]:[AP06 LE2]])</f>
        <v>-451.1</v>
      </c>
      <c r="AR210" s="653"/>
      <c r="AS210" s="652">
        <f>ERP_27[[#This Row],[2026 Working Total to Budget/LE]]-ERP_27[[#This Row],[Giveback]]</f>
        <v>-451.1</v>
      </c>
      <c r="AT210" s="654"/>
      <c r="AU210" s="655"/>
      <c r="AV210" s="655"/>
      <c r="AW210" s="655"/>
      <c r="AX210" s="655"/>
      <c r="AY210" s="655"/>
      <c r="AZ210" s="655"/>
      <c r="BA210" s="655"/>
      <c r="BB210" s="655"/>
      <c r="BC210" s="655"/>
      <c r="BD210" s="655"/>
      <c r="BE210" s="655"/>
      <c r="BF210" s="655"/>
      <c r="BG210" s="655"/>
      <c r="BH210" s="652"/>
      <c r="BI210" s="652"/>
      <c r="BJ210" s="652"/>
      <c r="BK210" s="652"/>
      <c r="BL210" s="652"/>
      <c r="BM210" s="652"/>
      <c r="BN210" s="652"/>
      <c r="BO210" s="652"/>
      <c r="BP210" s="652"/>
      <c r="BQ210" s="652"/>
      <c r="BR210" s="652"/>
      <c r="BS210" s="652"/>
      <c r="BT210" s="652"/>
    </row>
    <row r="211" spans="1:72" ht="15" hidden="1" customHeight="1">
      <c r="A211" s="79" t="s">
        <v>1782</v>
      </c>
      <c r="B211" s="79"/>
      <c r="C211" s="79" t="s">
        <v>410</v>
      </c>
      <c r="D211" s="296" t="s">
        <v>1783</v>
      </c>
      <c r="E211" s="150" t="s">
        <v>1136</v>
      </c>
      <c r="F211" s="482" t="s">
        <v>1566</v>
      </c>
      <c r="G211" s="150" t="s">
        <v>1135</v>
      </c>
      <c r="H211" s="332" t="s">
        <v>1165</v>
      </c>
      <c r="I211" s="332" t="s">
        <v>1135</v>
      </c>
      <c r="J211" s="332" t="s">
        <v>1165</v>
      </c>
      <c r="K211" s="333" t="s">
        <v>1165</v>
      </c>
      <c r="L211" s="514" t="s">
        <v>389</v>
      </c>
      <c r="M211" s="394"/>
      <c r="N211" s="333"/>
      <c r="O211" s="333"/>
      <c r="P211" s="90" t="s">
        <v>411</v>
      </c>
      <c r="Q211" s="347"/>
      <c r="R211" s="347"/>
      <c r="S211" s="348"/>
      <c r="T211" s="348"/>
      <c r="U211" s="348"/>
      <c r="V211" s="646"/>
      <c r="W211" s="358"/>
      <c r="X211" s="358"/>
      <c r="Y211" s="656"/>
      <c r="Z211" s="657"/>
      <c r="AA211" s="714"/>
      <c r="AB211" s="428"/>
      <c r="AC211" s="428"/>
      <c r="AD211" s="429"/>
      <c r="AE211" s="429"/>
      <c r="AF211" s="429">
        <v>-269.45</v>
      </c>
      <c r="AG211" s="649"/>
      <c r="AH211" s="649"/>
      <c r="AI211" s="649"/>
      <c r="AJ211" s="649"/>
      <c r="AK211" s="649"/>
      <c r="AL211" s="649"/>
      <c r="AM211" s="649">
        <f t="shared" ref="AM211:AM274" si="21">SUM(AA211:AL211)</f>
        <v>-269.45</v>
      </c>
      <c r="AN211" s="651">
        <f>ERP_27[[#This Row],[2026 Working Total]]-ERP_27[[#This Row],[LE2 Final Submission]]</f>
        <v>-269.45</v>
      </c>
      <c r="AO211" s="652"/>
      <c r="AP211" s="652">
        <f t="shared" si="20"/>
        <v>-269.45</v>
      </c>
      <c r="AQ211" s="391">
        <f>SUM(ERP_27[[#This Row],[AP01]:[AP06]])-SUM(ERP_27[[#This Row],[AP01 LE2]:[AP06 LE2]])</f>
        <v>-269.45</v>
      </c>
      <c r="AR211" s="653"/>
      <c r="AS211" s="652">
        <f>ERP_27[[#This Row],[2026 Working Total to Budget/LE]]-ERP_27[[#This Row],[Giveback]]</f>
        <v>-269.45</v>
      </c>
      <c r="AT211" s="654"/>
      <c r="AU211" s="655"/>
      <c r="AV211" s="655"/>
      <c r="AW211" s="655"/>
      <c r="AX211" s="655"/>
      <c r="AY211" s="655"/>
      <c r="AZ211" s="655"/>
      <c r="BA211" s="655"/>
      <c r="BB211" s="655"/>
      <c r="BC211" s="655"/>
      <c r="BD211" s="655"/>
      <c r="BE211" s="655"/>
      <c r="BF211" s="655"/>
      <c r="BG211" s="655"/>
      <c r="BH211" s="652"/>
      <c r="BI211" s="652"/>
      <c r="BJ211" s="652"/>
      <c r="BK211" s="652"/>
      <c r="BL211" s="652"/>
      <c r="BM211" s="652"/>
      <c r="BN211" s="652"/>
      <c r="BO211" s="652"/>
      <c r="BP211" s="652"/>
      <c r="BQ211" s="652"/>
      <c r="BR211" s="652"/>
      <c r="BS211" s="652"/>
      <c r="BT211" s="652"/>
    </row>
    <row r="212" spans="1:72" ht="15" hidden="1" customHeight="1">
      <c r="A212" s="66" t="s">
        <v>2765</v>
      </c>
      <c r="B212" s="66"/>
      <c r="C212" s="66" t="s">
        <v>2937</v>
      </c>
      <c r="D212" s="66" t="s">
        <v>2766</v>
      </c>
      <c r="E212" s="150" t="s">
        <v>1136</v>
      </c>
      <c r="F212" s="482" t="s">
        <v>1566</v>
      </c>
      <c r="G212" s="150" t="s">
        <v>1566</v>
      </c>
      <c r="H212" s="150" t="s">
        <v>1566</v>
      </c>
      <c r="I212" s="150" t="s">
        <v>1567</v>
      </c>
      <c r="J212" s="150" t="s">
        <v>1567</v>
      </c>
      <c r="K212" s="150" t="s">
        <v>1567</v>
      </c>
      <c r="L212" s="511" t="s">
        <v>639</v>
      </c>
      <c r="M212" s="392" t="s">
        <v>1685</v>
      </c>
      <c r="N212" s="343"/>
      <c r="O212" s="343"/>
      <c r="P212" s="70" t="s">
        <v>2242</v>
      </c>
      <c r="Q212" s="346" t="s">
        <v>1139</v>
      </c>
      <c r="R212" s="346" t="s">
        <v>1140</v>
      </c>
      <c r="S212" s="346"/>
      <c r="T212" s="150" t="s">
        <v>25</v>
      </c>
      <c r="U212" s="150"/>
      <c r="V212" s="643"/>
      <c r="W212" s="659">
        <v>0</v>
      </c>
      <c r="X212" s="659">
        <v>0</v>
      </c>
      <c r="Y212" s="656"/>
      <c r="Z212" s="657"/>
      <c r="AA212" s="714"/>
      <c r="AB212" s="428"/>
      <c r="AC212" s="428">
        <v>0</v>
      </c>
      <c r="AD212" s="428">
        <v>-184.67</v>
      </c>
      <c r="AE212" s="429">
        <v>0</v>
      </c>
      <c r="AF212" s="429">
        <v>0</v>
      </c>
      <c r="AG212" s="649">
        <v>0</v>
      </c>
      <c r="AH212" s="649">
        <v>0</v>
      </c>
      <c r="AI212" s="649">
        <v>0</v>
      </c>
      <c r="AJ212" s="649">
        <v>0</v>
      </c>
      <c r="AK212" s="649">
        <v>0</v>
      </c>
      <c r="AL212" s="649">
        <v>0</v>
      </c>
      <c r="AM212" s="649">
        <f t="shared" si="21"/>
        <v>-184.67</v>
      </c>
      <c r="AN212" s="651">
        <f>ERP_27[[#This Row],[2026 Working Total]]-ERP_27[[#This Row],[LE2 Final Submission]]</f>
        <v>-184.67</v>
      </c>
      <c r="AO212" s="652">
        <v>0</v>
      </c>
      <c r="AP212" s="652">
        <f t="shared" si="20"/>
        <v>0</v>
      </c>
      <c r="AQ212" s="374">
        <f>SUM(ERP_27[[#This Row],[AP01]:[AP06]])-SUM(ERP_27[[#This Row],[AP01 LE2]:[AP06 LE2]])</f>
        <v>-184.67</v>
      </c>
      <c r="AR212" s="653"/>
      <c r="AS212" s="652">
        <f>ERP_27[[#This Row],[2026 Working Total to Budget/LE]]-ERP_27[[#This Row],[Giveback]]</f>
        <v>-184.67</v>
      </c>
      <c r="AT212" s="654"/>
      <c r="AU212" s="655"/>
      <c r="AV212" s="655"/>
      <c r="AW212" s="655">
        <v>0</v>
      </c>
      <c r="AX212" s="655">
        <v>0</v>
      </c>
      <c r="AY212" s="655">
        <v>0</v>
      </c>
      <c r="AZ212" s="655">
        <v>0</v>
      </c>
      <c r="BA212" s="655">
        <v>0</v>
      </c>
      <c r="BB212" s="655">
        <v>0</v>
      </c>
      <c r="BC212" s="655">
        <v>0</v>
      </c>
      <c r="BD212" s="655">
        <v>0</v>
      </c>
      <c r="BE212" s="655">
        <v>0</v>
      </c>
      <c r="BF212" s="655">
        <v>0</v>
      </c>
      <c r="BG212" s="655">
        <v>0</v>
      </c>
      <c r="BH212" s="652"/>
      <c r="BI212" s="652"/>
      <c r="BJ212" s="652">
        <v>0</v>
      </c>
      <c r="BK212" s="652">
        <v>0</v>
      </c>
      <c r="BL212" s="652">
        <v>0</v>
      </c>
      <c r="BM212" s="652">
        <v>0</v>
      </c>
      <c r="BN212" s="652">
        <v>0</v>
      </c>
      <c r="BO212" s="652">
        <v>0</v>
      </c>
      <c r="BP212" s="652">
        <v>0</v>
      </c>
      <c r="BQ212" s="652">
        <v>0</v>
      </c>
      <c r="BR212" s="652">
        <v>0</v>
      </c>
      <c r="BS212" s="652">
        <v>0</v>
      </c>
      <c r="BT212" s="652">
        <v>0</v>
      </c>
    </row>
    <row r="213" spans="1:72" ht="15" hidden="1" customHeight="1">
      <c r="A213" s="66" t="s">
        <v>1780</v>
      </c>
      <c r="B213" s="66"/>
      <c r="C213" s="66" t="s">
        <v>2938</v>
      </c>
      <c r="D213" s="66" t="s">
        <v>1781</v>
      </c>
      <c r="E213" s="150" t="s">
        <v>1136</v>
      </c>
      <c r="F213" s="482" t="s">
        <v>1566</v>
      </c>
      <c r="G213" s="150" t="s">
        <v>1135</v>
      </c>
      <c r="H213" s="150" t="s">
        <v>1135</v>
      </c>
      <c r="I213" s="150" t="s">
        <v>1135</v>
      </c>
      <c r="J213" s="150" t="s">
        <v>1137</v>
      </c>
      <c r="K213" s="150" t="s">
        <v>1137</v>
      </c>
      <c r="L213" s="511" t="s">
        <v>389</v>
      </c>
      <c r="M213" s="392" t="s">
        <v>1685</v>
      </c>
      <c r="N213" s="343"/>
      <c r="O213" s="343"/>
      <c r="P213" s="70" t="s">
        <v>350</v>
      </c>
      <c r="Q213" s="346" t="s">
        <v>1139</v>
      </c>
      <c r="R213" s="346" t="s">
        <v>1140</v>
      </c>
      <c r="S213" s="346"/>
      <c r="T213" s="150" t="s">
        <v>25</v>
      </c>
      <c r="U213" s="1" t="s">
        <v>1141</v>
      </c>
      <c r="V213" s="643"/>
      <c r="W213" s="659">
        <v>0</v>
      </c>
      <c r="X213" s="659">
        <v>-108.52</v>
      </c>
      <c r="Y213" s="656"/>
      <c r="Z213" s="657"/>
      <c r="AA213" s="714"/>
      <c r="AB213" s="428">
        <v>-108.52</v>
      </c>
      <c r="AC213" s="428">
        <v>0</v>
      </c>
      <c r="AD213" s="428">
        <v>0</v>
      </c>
      <c r="AE213" s="429">
        <v>0</v>
      </c>
      <c r="AF213" s="429">
        <v>0</v>
      </c>
      <c r="AG213" s="649">
        <v>0</v>
      </c>
      <c r="AH213" s="649">
        <v>0</v>
      </c>
      <c r="AI213" s="649">
        <v>0</v>
      </c>
      <c r="AJ213" s="649">
        <v>0</v>
      </c>
      <c r="AK213" s="649">
        <v>0</v>
      </c>
      <c r="AL213" s="649">
        <v>0</v>
      </c>
      <c r="AM213" s="649">
        <f t="shared" si="21"/>
        <v>-108.52</v>
      </c>
      <c r="AN213" s="651">
        <f>ERP_27[[#This Row],[2026 Working Total]]-ERP_27[[#This Row],[LE2 Final Submission]]</f>
        <v>0</v>
      </c>
      <c r="AO213" s="652">
        <v>0</v>
      </c>
      <c r="AP213" s="652">
        <f t="shared" si="20"/>
        <v>0</v>
      </c>
      <c r="AQ213" s="374">
        <f>SUM(ERP_27[[#This Row],[AP01]:[AP06]])-SUM(ERP_27[[#This Row],[AP01 LE2]:[AP06 LE2]])</f>
        <v>0</v>
      </c>
      <c r="AR213" s="653"/>
      <c r="AS213" s="652">
        <f>ERP_27[[#This Row],[2026 Working Total to Budget/LE]]-ERP_27[[#This Row],[Giveback]]</f>
        <v>0</v>
      </c>
      <c r="AT213" s="654"/>
      <c r="AU213" s="655"/>
      <c r="AV213" s="655">
        <v>-108.52</v>
      </c>
      <c r="AW213" s="655">
        <v>0</v>
      </c>
      <c r="AX213" s="655">
        <v>0</v>
      </c>
      <c r="AY213" s="655">
        <v>0</v>
      </c>
      <c r="AZ213" s="655">
        <v>0</v>
      </c>
      <c r="BA213" s="655">
        <v>0</v>
      </c>
      <c r="BB213" s="655">
        <v>0</v>
      </c>
      <c r="BC213" s="655">
        <v>0</v>
      </c>
      <c r="BD213" s="655">
        <v>0</v>
      </c>
      <c r="BE213" s="655">
        <v>0</v>
      </c>
      <c r="BF213" s="655">
        <v>0</v>
      </c>
      <c r="BG213" s="655">
        <v>-108.52</v>
      </c>
      <c r="BH213" s="652"/>
      <c r="BI213" s="652">
        <v>-108.52</v>
      </c>
      <c r="BJ213" s="652">
        <v>0</v>
      </c>
      <c r="BK213" s="652">
        <v>0</v>
      </c>
      <c r="BL213" s="652">
        <v>0</v>
      </c>
      <c r="BM213" s="652">
        <v>0</v>
      </c>
      <c r="BN213" s="652">
        <v>0</v>
      </c>
      <c r="BO213" s="652">
        <v>0</v>
      </c>
      <c r="BP213" s="652">
        <v>0</v>
      </c>
      <c r="BQ213" s="652">
        <v>0</v>
      </c>
      <c r="BR213" s="652">
        <v>0</v>
      </c>
      <c r="BS213" s="652">
        <v>0</v>
      </c>
      <c r="BT213" s="652">
        <v>-108.52</v>
      </c>
    </row>
    <row r="214" spans="1:72" ht="15" hidden="1" customHeight="1">
      <c r="A214" s="66" t="s">
        <v>2066</v>
      </c>
      <c r="B214" s="66"/>
      <c r="C214" s="66" t="s">
        <v>555</v>
      </c>
      <c r="D214" s="66" t="s">
        <v>555</v>
      </c>
      <c r="E214" s="150" t="s">
        <v>1136</v>
      </c>
      <c r="F214" s="482" t="s">
        <v>1566</v>
      </c>
      <c r="G214" s="150" t="s">
        <v>1515</v>
      </c>
      <c r="H214" s="383" t="s">
        <v>1515</v>
      </c>
      <c r="I214" s="150" t="s">
        <v>1345</v>
      </c>
      <c r="J214" s="150" t="s">
        <v>1515</v>
      </c>
      <c r="K214" s="150" t="s">
        <v>1346</v>
      </c>
      <c r="L214" s="511" t="s">
        <v>389</v>
      </c>
      <c r="M214" s="392" t="s">
        <v>1147</v>
      </c>
      <c r="N214" s="343"/>
      <c r="O214" s="343"/>
      <c r="P214" s="70" t="s">
        <v>53</v>
      </c>
      <c r="Q214" s="346" t="s">
        <v>1153</v>
      </c>
      <c r="R214" s="343"/>
      <c r="S214" s="346"/>
      <c r="T214" s="150" t="s">
        <v>25</v>
      </c>
      <c r="U214" s="150"/>
      <c r="V214" s="643"/>
      <c r="W214" s="659">
        <v>0</v>
      </c>
      <c r="X214" s="659">
        <v>1177</v>
      </c>
      <c r="Y214" s="656"/>
      <c r="Z214" s="657"/>
      <c r="AA214" s="714">
        <v>-14023</v>
      </c>
      <c r="AB214" s="428">
        <v>60</v>
      </c>
      <c r="AC214" s="428">
        <v>15140</v>
      </c>
      <c r="AD214" s="428">
        <v>60</v>
      </c>
      <c r="AE214" s="429">
        <v>60</v>
      </c>
      <c r="AF214" s="429">
        <v>-1401</v>
      </c>
      <c r="AG214" s="649">
        <v>0</v>
      </c>
      <c r="AH214" s="649">
        <v>0</v>
      </c>
      <c r="AI214" s="649">
        <v>0</v>
      </c>
      <c r="AJ214" s="649">
        <v>0</v>
      </c>
      <c r="AK214" s="649">
        <v>0</v>
      </c>
      <c r="AL214" s="649">
        <v>0</v>
      </c>
      <c r="AM214" s="649">
        <f t="shared" si="21"/>
        <v>-104</v>
      </c>
      <c r="AN214" s="651">
        <f>ERP_27[[#This Row],[2026 Working Total]]-ERP_27[[#This Row],[LE2 Final Submission]]</f>
        <v>-1281</v>
      </c>
      <c r="AO214" s="652">
        <v>0</v>
      </c>
      <c r="AP214" s="652">
        <f t="shared" si="20"/>
        <v>-1401</v>
      </c>
      <c r="AQ214" s="374">
        <f>SUM(ERP_27[[#This Row],[AP01]:[AP06]])-SUM(ERP_27[[#This Row],[AP01 LE2]:[AP06 LE2]])</f>
        <v>-1281</v>
      </c>
      <c r="AR214" s="653"/>
      <c r="AS214" s="652">
        <f>ERP_27[[#This Row],[2026 Working Total to Budget/LE]]-ERP_27[[#This Row],[Giveback]]</f>
        <v>-1281</v>
      </c>
      <c r="AT214" s="654"/>
      <c r="AU214" s="655">
        <v>-14023</v>
      </c>
      <c r="AV214" s="655">
        <v>60</v>
      </c>
      <c r="AW214" s="655">
        <v>15140</v>
      </c>
      <c r="AX214" s="655">
        <v>0</v>
      </c>
      <c r="AY214" s="655">
        <v>0</v>
      </c>
      <c r="AZ214" s="655">
        <v>0</v>
      </c>
      <c r="BA214" s="655">
        <v>0</v>
      </c>
      <c r="BB214" s="655">
        <v>0</v>
      </c>
      <c r="BC214" s="655">
        <v>0</v>
      </c>
      <c r="BD214" s="655">
        <v>0</v>
      </c>
      <c r="BE214" s="655">
        <v>0</v>
      </c>
      <c r="BF214" s="655">
        <v>0</v>
      </c>
      <c r="BG214" s="655">
        <v>1177</v>
      </c>
      <c r="BH214" s="652">
        <v>-14023</v>
      </c>
      <c r="BI214" s="652">
        <v>60</v>
      </c>
      <c r="BJ214" s="652">
        <v>15140</v>
      </c>
      <c r="BK214" s="652">
        <v>0</v>
      </c>
      <c r="BL214" s="652">
        <v>0</v>
      </c>
      <c r="BM214" s="652">
        <v>0</v>
      </c>
      <c r="BN214" s="652">
        <v>0</v>
      </c>
      <c r="BO214" s="652">
        <v>0</v>
      </c>
      <c r="BP214" s="652">
        <v>0</v>
      </c>
      <c r="BQ214" s="652">
        <v>0</v>
      </c>
      <c r="BR214" s="652">
        <v>0</v>
      </c>
      <c r="BS214" s="652">
        <v>0</v>
      </c>
      <c r="BT214" s="652">
        <v>1177</v>
      </c>
    </row>
    <row r="215" spans="1:72" ht="15" hidden="1" customHeight="1">
      <c r="A215" s="66" t="s">
        <v>2074</v>
      </c>
      <c r="B215" s="66"/>
      <c r="C215" s="66" t="s">
        <v>2939</v>
      </c>
      <c r="D215" s="66" t="s">
        <v>2075</v>
      </c>
      <c r="E215" s="150" t="s">
        <v>1136</v>
      </c>
      <c r="F215" s="482" t="s">
        <v>1566</v>
      </c>
      <c r="G215" s="150" t="s">
        <v>1566</v>
      </c>
      <c r="H215" s="150" t="s">
        <v>1566</v>
      </c>
      <c r="I215" s="150" t="s">
        <v>1567</v>
      </c>
      <c r="J215" s="150" t="s">
        <v>1567</v>
      </c>
      <c r="K215" s="150" t="s">
        <v>1567</v>
      </c>
      <c r="L215" s="511" t="s">
        <v>389</v>
      </c>
      <c r="M215" s="392" t="s">
        <v>1775</v>
      </c>
      <c r="N215" s="343"/>
      <c r="O215" s="343"/>
      <c r="P215" s="70" t="s">
        <v>404</v>
      </c>
      <c r="Q215" s="346"/>
      <c r="R215" s="346" t="s">
        <v>1140</v>
      </c>
      <c r="S215" s="346"/>
      <c r="T215" s="150" t="s">
        <v>405</v>
      </c>
      <c r="U215" s="150"/>
      <c r="V215" s="643"/>
      <c r="W215" s="659">
        <v>0</v>
      </c>
      <c r="X215" s="659">
        <v>0</v>
      </c>
      <c r="Y215" s="656"/>
      <c r="Z215" s="657"/>
      <c r="AA215" s="714"/>
      <c r="AB215" s="428">
        <v>0</v>
      </c>
      <c r="AC215" s="428">
        <v>0</v>
      </c>
      <c r="AD215" s="428">
        <v>-5.07</v>
      </c>
      <c r="AE215" s="429">
        <v>0</v>
      </c>
      <c r="AF215" s="429">
        <v>0</v>
      </c>
      <c r="AG215" s="649">
        <v>0</v>
      </c>
      <c r="AH215" s="649">
        <v>0</v>
      </c>
      <c r="AI215" s="649">
        <v>0</v>
      </c>
      <c r="AJ215" s="649">
        <v>0</v>
      </c>
      <c r="AK215" s="649">
        <v>0</v>
      </c>
      <c r="AL215" s="649">
        <v>0</v>
      </c>
      <c r="AM215" s="649">
        <f t="shared" si="21"/>
        <v>-5.07</v>
      </c>
      <c r="AN215" s="651">
        <f>ERP_27[[#This Row],[2026 Working Total]]-ERP_27[[#This Row],[LE2 Final Submission]]</f>
        <v>-5.07</v>
      </c>
      <c r="AO215" s="652">
        <v>0</v>
      </c>
      <c r="AP215" s="652">
        <f t="shared" si="20"/>
        <v>0</v>
      </c>
      <c r="AQ215" s="374">
        <f>SUM(ERP_27[[#This Row],[AP01]:[AP06]])-SUM(ERP_27[[#This Row],[AP01 LE2]:[AP06 LE2]])</f>
        <v>-5.07</v>
      </c>
      <c r="AR215" s="653"/>
      <c r="AS215" s="652">
        <f>ERP_27[[#This Row],[2026 Working Total to Budget/LE]]-ERP_27[[#This Row],[Giveback]]</f>
        <v>-5.07</v>
      </c>
      <c r="AT215" s="654"/>
      <c r="AU215" s="655"/>
      <c r="AV215" s="655">
        <v>0</v>
      </c>
      <c r="AW215" s="655">
        <v>0</v>
      </c>
      <c r="AX215" s="655">
        <v>0</v>
      </c>
      <c r="AY215" s="655">
        <v>0</v>
      </c>
      <c r="AZ215" s="655">
        <v>0</v>
      </c>
      <c r="BA215" s="655">
        <v>0</v>
      </c>
      <c r="BB215" s="655">
        <v>0</v>
      </c>
      <c r="BC215" s="655">
        <v>0</v>
      </c>
      <c r="BD215" s="655">
        <v>0</v>
      </c>
      <c r="BE215" s="655">
        <v>0</v>
      </c>
      <c r="BF215" s="655">
        <v>0</v>
      </c>
      <c r="BG215" s="655">
        <v>0</v>
      </c>
      <c r="BH215" s="652"/>
      <c r="BI215" s="652">
        <v>0</v>
      </c>
      <c r="BJ215" s="652">
        <v>0</v>
      </c>
      <c r="BK215" s="652">
        <v>0</v>
      </c>
      <c r="BL215" s="652">
        <v>0</v>
      </c>
      <c r="BM215" s="652">
        <v>0</v>
      </c>
      <c r="BN215" s="652">
        <v>0</v>
      </c>
      <c r="BO215" s="652">
        <v>0</v>
      </c>
      <c r="BP215" s="652">
        <v>0</v>
      </c>
      <c r="BQ215" s="652">
        <v>0</v>
      </c>
      <c r="BR215" s="652">
        <v>0</v>
      </c>
      <c r="BS215" s="652">
        <v>0</v>
      </c>
      <c r="BT215" s="652">
        <v>0</v>
      </c>
    </row>
    <row r="216" spans="1:72" ht="15" hidden="1" customHeight="1">
      <c r="A216" s="66" t="s">
        <v>1562</v>
      </c>
      <c r="B216" s="66"/>
      <c r="C216" s="66" t="s">
        <v>268</v>
      </c>
      <c r="D216" s="66" t="s">
        <v>268</v>
      </c>
      <c r="E216" s="150" t="s">
        <v>1136</v>
      </c>
      <c r="F216" s="482" t="s">
        <v>1566</v>
      </c>
      <c r="G216" s="150" t="s">
        <v>1515</v>
      </c>
      <c r="H216" s="383" t="s">
        <v>1515</v>
      </c>
      <c r="I216" s="150" t="s">
        <v>1345</v>
      </c>
      <c r="J216" s="150" t="s">
        <v>1515</v>
      </c>
      <c r="K216" s="150" t="s">
        <v>1346</v>
      </c>
      <c r="L216" s="511" t="s">
        <v>49</v>
      </c>
      <c r="M216" s="392" t="s">
        <v>1327</v>
      </c>
      <c r="N216" s="343"/>
      <c r="O216" s="343"/>
      <c r="P216" s="70" t="s">
        <v>147</v>
      </c>
      <c r="Q216" s="346"/>
      <c r="R216" s="343"/>
      <c r="S216" s="346"/>
      <c r="T216" s="150" t="s">
        <v>25</v>
      </c>
      <c r="U216" s="150"/>
      <c r="V216" s="643"/>
      <c r="W216" s="659">
        <v>0</v>
      </c>
      <c r="X216" s="659">
        <v>19639.919999999998</v>
      </c>
      <c r="Y216" s="656"/>
      <c r="Z216" s="657"/>
      <c r="AA216" s="714">
        <v>-0.23</v>
      </c>
      <c r="AB216" s="428">
        <v>-0.24</v>
      </c>
      <c r="AC216" s="428">
        <v>19640.39</v>
      </c>
      <c r="AD216" s="428">
        <v>0.61</v>
      </c>
      <c r="AE216" s="481">
        <v>-19640.97</v>
      </c>
      <c r="AF216" s="429">
        <v>0.03</v>
      </c>
      <c r="AG216" s="649">
        <v>0</v>
      </c>
      <c r="AH216" s="649">
        <v>0</v>
      </c>
      <c r="AI216" s="649">
        <v>0</v>
      </c>
      <c r="AJ216" s="649">
        <v>0</v>
      </c>
      <c r="AK216" s="649">
        <v>0</v>
      </c>
      <c r="AL216" s="649">
        <v>0</v>
      </c>
      <c r="AM216" s="649">
        <f t="shared" si="21"/>
        <v>-0.41000000000232828</v>
      </c>
      <c r="AN216" s="651">
        <f>ERP_27[[#This Row],[2026 Working Total]]-ERP_27[[#This Row],[LE2 Final Submission]]</f>
        <v>-19640.330000000002</v>
      </c>
      <c r="AO216" s="652">
        <v>0</v>
      </c>
      <c r="AP216" s="652">
        <f t="shared" si="20"/>
        <v>0.03</v>
      </c>
      <c r="AQ216" s="374">
        <f>SUM(ERP_27[[#This Row],[AP01]:[AP06]])-SUM(ERP_27[[#This Row],[AP01 LE2]:[AP06 LE2]])</f>
        <v>-19640.330000000002</v>
      </c>
      <c r="AR216" s="653"/>
      <c r="AS216" s="652">
        <f>ERP_27[[#This Row],[2026 Working Total to Budget/LE]]-ERP_27[[#This Row],[Giveback]]</f>
        <v>-19640.330000000002</v>
      </c>
      <c r="AT216" s="654"/>
      <c r="AU216" s="655">
        <v>-0.23</v>
      </c>
      <c r="AV216" s="655">
        <v>-0.24</v>
      </c>
      <c r="AW216" s="655">
        <v>19640.39</v>
      </c>
      <c r="AX216" s="655">
        <v>0</v>
      </c>
      <c r="AY216" s="655">
        <v>0</v>
      </c>
      <c r="AZ216" s="655">
        <v>0</v>
      </c>
      <c r="BA216" s="655">
        <v>0</v>
      </c>
      <c r="BB216" s="655">
        <v>0</v>
      </c>
      <c r="BC216" s="655">
        <v>0</v>
      </c>
      <c r="BD216" s="655">
        <v>0</v>
      </c>
      <c r="BE216" s="655">
        <v>0</v>
      </c>
      <c r="BF216" s="655">
        <v>0</v>
      </c>
      <c r="BG216" s="655">
        <v>19639.919999999998</v>
      </c>
      <c r="BH216" s="652">
        <v>-0.23</v>
      </c>
      <c r="BI216" s="652">
        <v>-0.24</v>
      </c>
      <c r="BJ216" s="652">
        <v>19640.39</v>
      </c>
      <c r="BK216" s="652">
        <v>0</v>
      </c>
      <c r="BL216" s="652">
        <v>0</v>
      </c>
      <c r="BM216" s="652">
        <v>0</v>
      </c>
      <c r="BN216" s="652">
        <v>0</v>
      </c>
      <c r="BO216" s="652">
        <v>0</v>
      </c>
      <c r="BP216" s="652">
        <v>0</v>
      </c>
      <c r="BQ216" s="652">
        <v>0</v>
      </c>
      <c r="BR216" s="652">
        <v>0</v>
      </c>
      <c r="BS216" s="652">
        <v>0</v>
      </c>
      <c r="BT216" s="652">
        <v>19639.919999999998</v>
      </c>
    </row>
    <row r="217" spans="1:72" ht="15" hidden="1" customHeight="1">
      <c r="A217" s="66" t="s">
        <v>1476</v>
      </c>
      <c r="B217" s="66"/>
      <c r="C217" s="66" t="s">
        <v>226</v>
      </c>
      <c r="D217" s="66" t="s">
        <v>226</v>
      </c>
      <c r="E217" s="150" t="s">
        <v>1136</v>
      </c>
      <c r="F217" s="482" t="s">
        <v>1566</v>
      </c>
      <c r="G217" s="150" t="s">
        <v>1450</v>
      </c>
      <c r="H217" s="150" t="s">
        <v>1450</v>
      </c>
      <c r="I217" s="150" t="s">
        <v>1345</v>
      </c>
      <c r="J217" s="150" t="s">
        <v>1450</v>
      </c>
      <c r="K217" s="150" t="s">
        <v>1346</v>
      </c>
      <c r="L217" s="511" t="s">
        <v>49</v>
      </c>
      <c r="M217" s="392" t="s">
        <v>1327</v>
      </c>
      <c r="N217" s="343"/>
      <c r="O217" s="343"/>
      <c r="P217" s="70" t="s">
        <v>147</v>
      </c>
      <c r="Q217" s="346"/>
      <c r="R217" s="343"/>
      <c r="S217" s="346"/>
      <c r="T217" s="150" t="s">
        <v>25</v>
      </c>
      <c r="U217" s="150"/>
      <c r="V217" s="643"/>
      <c r="W217" s="659">
        <v>0</v>
      </c>
      <c r="X217" s="659">
        <v>-0.32999999999999996</v>
      </c>
      <c r="Y217" s="656"/>
      <c r="Z217" s="657"/>
      <c r="AA217" s="714">
        <v>-0.15</v>
      </c>
      <c r="AB217" s="428">
        <v>0.23</v>
      </c>
      <c r="AC217" s="428">
        <v>-0.41</v>
      </c>
      <c r="AD217" s="428">
        <v>0.8</v>
      </c>
      <c r="AE217" s="429">
        <v>-0.17</v>
      </c>
      <c r="AF217" s="429">
        <v>-0.68</v>
      </c>
      <c r="AG217" s="649">
        <v>0</v>
      </c>
      <c r="AH217" s="649">
        <v>0</v>
      </c>
      <c r="AI217" s="649">
        <v>0</v>
      </c>
      <c r="AJ217" s="649">
        <v>0</v>
      </c>
      <c r="AK217" s="649">
        <v>0</v>
      </c>
      <c r="AL217" s="649">
        <v>0</v>
      </c>
      <c r="AM217" s="649">
        <f t="shared" si="21"/>
        <v>-0.38</v>
      </c>
      <c r="AN217" s="651">
        <f>ERP_27[[#This Row],[2026 Working Total]]-ERP_27[[#This Row],[LE2 Final Submission]]</f>
        <v>-5.0000000000000044E-2</v>
      </c>
      <c r="AO217" s="652">
        <v>0</v>
      </c>
      <c r="AP217" s="652">
        <f t="shared" si="20"/>
        <v>-0.68</v>
      </c>
      <c r="AQ217" s="374">
        <f>SUM(ERP_27[[#This Row],[AP01]:[AP06]])-SUM(ERP_27[[#This Row],[AP01 LE2]:[AP06 LE2]])</f>
        <v>-5.0000000000000044E-2</v>
      </c>
      <c r="AR217" s="653"/>
      <c r="AS217" s="652">
        <f>ERP_27[[#This Row],[2026 Working Total to Budget/LE]]-ERP_27[[#This Row],[Giveback]]</f>
        <v>-5.0000000000000044E-2</v>
      </c>
      <c r="AT217" s="654"/>
      <c r="AU217" s="655">
        <v>-0.15</v>
      </c>
      <c r="AV217" s="655">
        <v>0.23</v>
      </c>
      <c r="AW217" s="655">
        <v>-0.41</v>
      </c>
      <c r="AX217" s="655">
        <v>0</v>
      </c>
      <c r="AY217" s="655">
        <v>0</v>
      </c>
      <c r="AZ217" s="655">
        <v>0</v>
      </c>
      <c r="BA217" s="655">
        <v>0</v>
      </c>
      <c r="BB217" s="655">
        <v>0</v>
      </c>
      <c r="BC217" s="655">
        <v>0</v>
      </c>
      <c r="BD217" s="655">
        <v>0</v>
      </c>
      <c r="BE217" s="655">
        <v>0</v>
      </c>
      <c r="BF217" s="655">
        <v>0</v>
      </c>
      <c r="BG217" s="655">
        <v>-0.32999999999999996</v>
      </c>
      <c r="BH217" s="652">
        <v>-0.15</v>
      </c>
      <c r="BI217" s="652">
        <v>0.23</v>
      </c>
      <c r="BJ217" s="652">
        <v>-0.41</v>
      </c>
      <c r="BK217" s="652">
        <v>0</v>
      </c>
      <c r="BL217" s="652">
        <v>0</v>
      </c>
      <c r="BM217" s="652">
        <v>0</v>
      </c>
      <c r="BN217" s="652">
        <v>0</v>
      </c>
      <c r="BO217" s="652">
        <v>0</v>
      </c>
      <c r="BP217" s="652">
        <v>0</v>
      </c>
      <c r="BQ217" s="652">
        <v>0</v>
      </c>
      <c r="BR217" s="652">
        <v>0</v>
      </c>
      <c r="BS217" s="652">
        <v>0</v>
      </c>
      <c r="BT217" s="652">
        <v>-0.32999999999999996</v>
      </c>
    </row>
    <row r="218" spans="1:72" ht="15" hidden="1" customHeight="1">
      <c r="A218" s="66" t="s">
        <v>2041</v>
      </c>
      <c r="B218" s="66"/>
      <c r="C218" s="66" t="s">
        <v>544</v>
      </c>
      <c r="D218" s="66" t="s">
        <v>544</v>
      </c>
      <c r="E218" s="150" t="s">
        <v>1136</v>
      </c>
      <c r="F218" s="482" t="s">
        <v>1566</v>
      </c>
      <c r="G218" s="150" t="s">
        <v>1450</v>
      </c>
      <c r="H218" s="150" t="s">
        <v>1450</v>
      </c>
      <c r="I218" s="150" t="s">
        <v>1345</v>
      </c>
      <c r="J218" s="150" t="s">
        <v>1450</v>
      </c>
      <c r="K218" s="150" t="s">
        <v>1346</v>
      </c>
      <c r="L218" s="511" t="s">
        <v>389</v>
      </c>
      <c r="M218" s="392" t="s">
        <v>1327</v>
      </c>
      <c r="N218" s="343"/>
      <c r="O218" s="343"/>
      <c r="P218" s="70" t="s">
        <v>147</v>
      </c>
      <c r="Q218" s="346"/>
      <c r="R218" s="343"/>
      <c r="S218" s="346"/>
      <c r="T218" s="150" t="s">
        <v>25</v>
      </c>
      <c r="U218" s="150"/>
      <c r="V218" s="643"/>
      <c r="W218" s="659">
        <v>0</v>
      </c>
      <c r="X218" s="659">
        <v>0.43</v>
      </c>
      <c r="Y218" s="656"/>
      <c r="Z218" s="657"/>
      <c r="AA218" s="714">
        <v>0.32</v>
      </c>
      <c r="AB218" s="428">
        <v>0.11</v>
      </c>
      <c r="AC218" s="428">
        <v>0</v>
      </c>
      <c r="AD218" s="428">
        <v>0.06</v>
      </c>
      <c r="AE218" s="429">
        <v>-0.33</v>
      </c>
      <c r="AF218" s="429">
        <v>-0.46</v>
      </c>
      <c r="AG218" s="649">
        <v>0</v>
      </c>
      <c r="AH218" s="649">
        <v>0</v>
      </c>
      <c r="AI218" s="649">
        <v>0</v>
      </c>
      <c r="AJ218" s="649">
        <v>0</v>
      </c>
      <c r="AK218" s="649">
        <v>0</v>
      </c>
      <c r="AL218" s="649">
        <v>0</v>
      </c>
      <c r="AM218" s="649">
        <f t="shared" si="21"/>
        <v>-0.30000000000000004</v>
      </c>
      <c r="AN218" s="651">
        <f>ERP_27[[#This Row],[2026 Working Total]]-ERP_27[[#This Row],[LE2 Final Submission]]</f>
        <v>-0.73</v>
      </c>
      <c r="AO218" s="652">
        <v>0</v>
      </c>
      <c r="AP218" s="652">
        <f t="shared" si="20"/>
        <v>-0.46</v>
      </c>
      <c r="AQ218" s="374">
        <f>SUM(ERP_27[[#This Row],[AP01]:[AP06]])-SUM(ERP_27[[#This Row],[AP01 LE2]:[AP06 LE2]])</f>
        <v>-0.73</v>
      </c>
      <c r="AR218" s="653"/>
      <c r="AS218" s="652">
        <f>ERP_27[[#This Row],[2026 Working Total to Budget/LE]]-ERP_27[[#This Row],[Giveback]]</f>
        <v>-0.73</v>
      </c>
      <c r="AT218" s="654"/>
      <c r="AU218" s="655">
        <v>0.32</v>
      </c>
      <c r="AV218" s="655">
        <v>0.11</v>
      </c>
      <c r="AW218" s="655">
        <v>0</v>
      </c>
      <c r="AX218" s="655">
        <v>0</v>
      </c>
      <c r="AY218" s="655">
        <v>0</v>
      </c>
      <c r="AZ218" s="655">
        <v>0</v>
      </c>
      <c r="BA218" s="655">
        <v>0</v>
      </c>
      <c r="BB218" s="655">
        <v>0</v>
      </c>
      <c r="BC218" s="655">
        <v>0</v>
      </c>
      <c r="BD218" s="655">
        <v>0</v>
      </c>
      <c r="BE218" s="655">
        <v>0</v>
      </c>
      <c r="BF218" s="655">
        <v>0</v>
      </c>
      <c r="BG218" s="655">
        <v>0.43</v>
      </c>
      <c r="BH218" s="652">
        <v>0.32</v>
      </c>
      <c r="BI218" s="652">
        <v>0.11</v>
      </c>
      <c r="BJ218" s="652">
        <v>0</v>
      </c>
      <c r="BK218" s="652">
        <v>0</v>
      </c>
      <c r="BL218" s="652">
        <v>0</v>
      </c>
      <c r="BM218" s="652">
        <v>0</v>
      </c>
      <c r="BN218" s="652">
        <v>0</v>
      </c>
      <c r="BO218" s="652">
        <v>0</v>
      </c>
      <c r="BP218" s="652">
        <v>0</v>
      </c>
      <c r="BQ218" s="652">
        <v>0</v>
      </c>
      <c r="BR218" s="652">
        <v>0</v>
      </c>
      <c r="BS218" s="652">
        <v>0</v>
      </c>
      <c r="BT218" s="652">
        <v>0.43</v>
      </c>
    </row>
    <row r="219" spans="1:72" ht="15" hidden="1" customHeight="1">
      <c r="A219" s="66" t="s">
        <v>2148</v>
      </c>
      <c r="B219" s="66"/>
      <c r="C219" s="66" t="s">
        <v>603</v>
      </c>
      <c r="D219" s="66" t="s">
        <v>603</v>
      </c>
      <c r="E219" s="150" t="s">
        <v>1136</v>
      </c>
      <c r="F219" s="482" t="s">
        <v>1566</v>
      </c>
      <c r="G219" s="150" t="s">
        <v>1135</v>
      </c>
      <c r="H219" s="150" t="s">
        <v>1135</v>
      </c>
      <c r="I219" s="150" t="s">
        <v>1135</v>
      </c>
      <c r="J219" s="150" t="s">
        <v>1135</v>
      </c>
      <c r="K219" s="150" t="s">
        <v>1137</v>
      </c>
      <c r="L219" s="511" t="s">
        <v>602</v>
      </c>
      <c r="M219" s="392" t="s">
        <v>2149</v>
      </c>
      <c r="N219" s="343"/>
      <c r="O219" s="343"/>
      <c r="P219" s="70" t="s">
        <v>604</v>
      </c>
      <c r="Q219" s="346"/>
      <c r="R219" s="343"/>
      <c r="S219" s="346"/>
      <c r="T219" s="150" t="s">
        <v>605</v>
      </c>
      <c r="U219" s="150"/>
      <c r="V219" s="643"/>
      <c r="W219" s="659">
        <v>0</v>
      </c>
      <c r="X219" s="659">
        <v>0</v>
      </c>
      <c r="Y219" s="656"/>
      <c r="Z219" s="657"/>
      <c r="AA219" s="714">
        <v>4356992.08</v>
      </c>
      <c r="AB219" s="428">
        <v>-4356992.08</v>
      </c>
      <c r="AC219" s="428"/>
      <c r="AD219" s="428" t="s">
        <v>1142</v>
      </c>
      <c r="AE219" s="429">
        <v>0</v>
      </c>
      <c r="AF219" s="429">
        <v>0</v>
      </c>
      <c r="AG219" s="649"/>
      <c r="AH219" s="649"/>
      <c r="AI219" s="649"/>
      <c r="AJ219" s="649"/>
      <c r="AK219" s="649"/>
      <c r="AL219" s="649"/>
      <c r="AM219" s="649">
        <f t="shared" si="21"/>
        <v>0</v>
      </c>
      <c r="AN219" s="651">
        <f>ERP_27[[#This Row],[2026 Working Total]]-ERP_27[[#This Row],[LE2 Final Submission]]</f>
        <v>0</v>
      </c>
      <c r="AO219" s="652"/>
      <c r="AP219" s="652">
        <f t="shared" si="20"/>
        <v>0</v>
      </c>
      <c r="AQ219" s="374">
        <f>SUM(ERP_27[[#This Row],[AP01]:[AP06]])-SUM(ERP_27[[#This Row],[AP01 LE2]:[AP06 LE2]])</f>
        <v>0</v>
      </c>
      <c r="AR219" s="653"/>
      <c r="AS219" s="652">
        <f>ERP_27[[#This Row],[2026 Working Total to Budget/LE]]-ERP_27[[#This Row],[Giveback]]</f>
        <v>0</v>
      </c>
      <c r="AT219" s="654"/>
      <c r="AU219" s="655">
        <v>4356992.08</v>
      </c>
      <c r="AV219" s="655">
        <v>-4356992.08</v>
      </c>
      <c r="AW219" s="655"/>
      <c r="AX219" s="655"/>
      <c r="AY219" s="655"/>
      <c r="AZ219" s="655"/>
      <c r="BA219" s="655"/>
      <c r="BB219" s="655"/>
      <c r="BC219" s="655"/>
      <c r="BD219" s="655"/>
      <c r="BE219" s="655"/>
      <c r="BF219" s="655"/>
      <c r="BG219" s="655">
        <v>0</v>
      </c>
      <c r="BH219" s="652">
        <v>4356992.08</v>
      </c>
      <c r="BI219" s="652">
        <v>-4356992.08</v>
      </c>
      <c r="BJ219" s="652"/>
      <c r="BK219" s="652"/>
      <c r="BL219" s="652"/>
      <c r="BM219" s="652"/>
      <c r="BN219" s="652"/>
      <c r="BO219" s="652"/>
      <c r="BP219" s="652"/>
      <c r="BQ219" s="652"/>
      <c r="BR219" s="652"/>
      <c r="BS219" s="652"/>
      <c r="BT219" s="652">
        <v>0</v>
      </c>
    </row>
    <row r="220" spans="1:72" ht="15" hidden="1" customHeight="1">
      <c r="A220" s="66" t="s">
        <v>2236</v>
      </c>
      <c r="B220" s="66"/>
      <c r="C220" s="66" t="s">
        <v>660</v>
      </c>
      <c r="D220" s="66" t="s">
        <v>2237</v>
      </c>
      <c r="E220" s="150" t="s">
        <v>1136</v>
      </c>
      <c r="F220" s="482" t="s">
        <v>1566</v>
      </c>
      <c r="G220" s="150" t="s">
        <v>1135</v>
      </c>
      <c r="H220" s="150" t="s">
        <v>1135</v>
      </c>
      <c r="I220" s="150" t="s">
        <v>1135</v>
      </c>
      <c r="J220" s="150" t="s">
        <v>1137</v>
      </c>
      <c r="K220" s="150" t="s">
        <v>1137</v>
      </c>
      <c r="L220" s="511" t="s">
        <v>639</v>
      </c>
      <c r="M220" s="392" t="s">
        <v>1685</v>
      </c>
      <c r="N220" s="343"/>
      <c r="O220" s="343"/>
      <c r="P220" s="70" t="s">
        <v>661</v>
      </c>
      <c r="Q220" s="346" t="s">
        <v>1139</v>
      </c>
      <c r="R220" s="346" t="s">
        <v>1140</v>
      </c>
      <c r="S220" s="346"/>
      <c r="T220" s="150" t="s">
        <v>25</v>
      </c>
      <c r="U220" s="150"/>
      <c r="V220" s="643"/>
      <c r="W220" s="659">
        <v>0</v>
      </c>
      <c r="X220" s="659">
        <v>0</v>
      </c>
      <c r="Y220" s="656"/>
      <c r="Z220" s="657"/>
      <c r="AA220" s="714">
        <v>-18074.080000000002</v>
      </c>
      <c r="AB220" s="428">
        <v>18074.080000000002</v>
      </c>
      <c r="AC220" s="428">
        <v>0</v>
      </c>
      <c r="AD220" s="428" t="s">
        <v>1142</v>
      </c>
      <c r="AE220" s="429">
        <v>0</v>
      </c>
      <c r="AF220" s="429">
        <v>0</v>
      </c>
      <c r="AG220" s="649">
        <v>0</v>
      </c>
      <c r="AH220" s="649">
        <v>0</v>
      </c>
      <c r="AI220" s="649">
        <v>0</v>
      </c>
      <c r="AJ220" s="649">
        <v>0</v>
      </c>
      <c r="AK220" s="649">
        <v>0</v>
      </c>
      <c r="AL220" s="649">
        <v>0</v>
      </c>
      <c r="AM220" s="649">
        <f t="shared" si="21"/>
        <v>0</v>
      </c>
      <c r="AN220" s="651">
        <f>ERP_27[[#This Row],[2026 Working Total]]-ERP_27[[#This Row],[LE2 Final Submission]]</f>
        <v>0</v>
      </c>
      <c r="AO220" s="652">
        <v>0</v>
      </c>
      <c r="AP220" s="652">
        <f t="shared" si="20"/>
        <v>0</v>
      </c>
      <c r="AQ220" s="374">
        <f>SUM(ERP_27[[#This Row],[AP01]:[AP06]])-SUM(ERP_27[[#This Row],[AP01 LE2]:[AP06 LE2]])</f>
        <v>0</v>
      </c>
      <c r="AR220" s="653"/>
      <c r="AS220" s="652">
        <f>ERP_27[[#This Row],[2026 Working Total to Budget/LE]]-ERP_27[[#This Row],[Giveback]]</f>
        <v>0</v>
      </c>
      <c r="AT220" s="654"/>
      <c r="AU220" s="655">
        <v>-18074.080000000002</v>
      </c>
      <c r="AV220" s="655">
        <v>18074.080000000002</v>
      </c>
      <c r="AW220" s="655">
        <v>0</v>
      </c>
      <c r="AX220" s="655">
        <v>0</v>
      </c>
      <c r="AY220" s="655">
        <v>0</v>
      </c>
      <c r="AZ220" s="655">
        <v>0</v>
      </c>
      <c r="BA220" s="655">
        <v>0</v>
      </c>
      <c r="BB220" s="655">
        <v>0</v>
      </c>
      <c r="BC220" s="655">
        <v>0</v>
      </c>
      <c r="BD220" s="655">
        <v>0</v>
      </c>
      <c r="BE220" s="655">
        <v>0</v>
      </c>
      <c r="BF220" s="655">
        <v>0</v>
      </c>
      <c r="BG220" s="655">
        <v>0</v>
      </c>
      <c r="BH220" s="652">
        <v>-18074.080000000002</v>
      </c>
      <c r="BI220" s="652">
        <v>18074.080000000002</v>
      </c>
      <c r="BJ220" s="652">
        <v>0</v>
      </c>
      <c r="BK220" s="652">
        <v>0</v>
      </c>
      <c r="BL220" s="652">
        <v>0</v>
      </c>
      <c r="BM220" s="652">
        <v>0</v>
      </c>
      <c r="BN220" s="652">
        <v>0</v>
      </c>
      <c r="BO220" s="652">
        <v>0</v>
      </c>
      <c r="BP220" s="652">
        <v>0</v>
      </c>
      <c r="BQ220" s="652">
        <v>0</v>
      </c>
      <c r="BR220" s="652">
        <v>0</v>
      </c>
      <c r="BS220" s="652">
        <v>0</v>
      </c>
      <c r="BT220" s="652">
        <v>0</v>
      </c>
    </row>
    <row r="221" spans="1:72" ht="15" hidden="1" customHeight="1">
      <c r="A221" s="66" t="s">
        <v>2238</v>
      </c>
      <c r="B221" s="66"/>
      <c r="C221" s="66" t="s">
        <v>662</v>
      </c>
      <c r="D221" s="66" t="s">
        <v>2239</v>
      </c>
      <c r="E221" s="150" t="s">
        <v>1136</v>
      </c>
      <c r="F221" s="482" t="s">
        <v>1566</v>
      </c>
      <c r="G221" s="150" t="s">
        <v>1135</v>
      </c>
      <c r="H221" s="150" t="s">
        <v>1135</v>
      </c>
      <c r="I221" s="150" t="s">
        <v>1135</v>
      </c>
      <c r="J221" s="150" t="s">
        <v>1137</v>
      </c>
      <c r="K221" s="150" t="s">
        <v>1137</v>
      </c>
      <c r="L221" s="511" t="s">
        <v>639</v>
      </c>
      <c r="M221" s="392" t="s">
        <v>1685</v>
      </c>
      <c r="N221" s="343"/>
      <c r="O221" s="343"/>
      <c r="P221" s="70" t="s">
        <v>663</v>
      </c>
      <c r="Q221" s="346" t="s">
        <v>1139</v>
      </c>
      <c r="R221" s="346" t="s">
        <v>1140</v>
      </c>
      <c r="S221" s="346"/>
      <c r="T221" s="150" t="s">
        <v>25</v>
      </c>
      <c r="U221" s="150"/>
      <c r="V221" s="643"/>
      <c r="W221" s="659">
        <v>0</v>
      </c>
      <c r="X221" s="659">
        <v>0</v>
      </c>
      <c r="Y221" s="656"/>
      <c r="Z221" s="657"/>
      <c r="AA221" s="714">
        <v>-1922.23</v>
      </c>
      <c r="AB221" s="428">
        <v>1922.23</v>
      </c>
      <c r="AC221" s="428">
        <v>0</v>
      </c>
      <c r="AD221" s="428" t="s">
        <v>1142</v>
      </c>
      <c r="AE221" s="429">
        <v>0</v>
      </c>
      <c r="AF221" s="429">
        <v>0</v>
      </c>
      <c r="AG221" s="649">
        <v>0</v>
      </c>
      <c r="AH221" s="649">
        <v>0</v>
      </c>
      <c r="AI221" s="649">
        <v>0</v>
      </c>
      <c r="AJ221" s="649">
        <v>0</v>
      </c>
      <c r="AK221" s="649">
        <v>0</v>
      </c>
      <c r="AL221" s="649">
        <v>0</v>
      </c>
      <c r="AM221" s="649">
        <f t="shared" si="21"/>
        <v>0</v>
      </c>
      <c r="AN221" s="651">
        <f>ERP_27[[#This Row],[2026 Working Total]]-ERP_27[[#This Row],[LE2 Final Submission]]</f>
        <v>0</v>
      </c>
      <c r="AO221" s="652">
        <v>3029.81</v>
      </c>
      <c r="AP221" s="652">
        <f t="shared" si="20"/>
        <v>-3029.81</v>
      </c>
      <c r="AQ221" s="374">
        <f>SUM(ERP_27[[#This Row],[AP01]:[AP06]])-SUM(ERP_27[[#This Row],[AP01 LE2]:[AP06 LE2]])</f>
        <v>0</v>
      </c>
      <c r="AR221" s="653"/>
      <c r="AS221" s="652">
        <f>ERP_27[[#This Row],[2026 Working Total to Budget/LE]]-ERP_27[[#This Row],[Giveback]]</f>
        <v>0</v>
      </c>
      <c r="AT221" s="654"/>
      <c r="AU221" s="655">
        <v>-1922.23</v>
      </c>
      <c r="AV221" s="655">
        <v>1922.23</v>
      </c>
      <c r="AW221" s="655">
        <v>0</v>
      </c>
      <c r="AX221" s="655">
        <v>0</v>
      </c>
      <c r="AY221" s="655">
        <v>0</v>
      </c>
      <c r="AZ221" s="655">
        <v>0</v>
      </c>
      <c r="BA221" s="655">
        <v>0</v>
      </c>
      <c r="BB221" s="655">
        <v>0</v>
      </c>
      <c r="BC221" s="655">
        <v>0</v>
      </c>
      <c r="BD221" s="655">
        <v>0</v>
      </c>
      <c r="BE221" s="655">
        <v>0</v>
      </c>
      <c r="BF221" s="655">
        <v>0</v>
      </c>
      <c r="BG221" s="655">
        <v>0</v>
      </c>
      <c r="BH221" s="652">
        <v>-1922.23</v>
      </c>
      <c r="BI221" s="652">
        <v>1922.23</v>
      </c>
      <c r="BJ221" s="652">
        <v>0</v>
      </c>
      <c r="BK221" s="652">
        <v>0</v>
      </c>
      <c r="BL221" s="652">
        <v>0</v>
      </c>
      <c r="BM221" s="652">
        <v>0</v>
      </c>
      <c r="BN221" s="652">
        <v>0</v>
      </c>
      <c r="BO221" s="652">
        <v>0</v>
      </c>
      <c r="BP221" s="652">
        <v>0</v>
      </c>
      <c r="BQ221" s="652">
        <v>0</v>
      </c>
      <c r="BR221" s="652">
        <v>0</v>
      </c>
      <c r="BS221" s="652">
        <v>0</v>
      </c>
      <c r="BT221" s="652">
        <v>0</v>
      </c>
    </row>
    <row r="222" spans="1:72" ht="15" hidden="1" customHeight="1">
      <c r="A222" s="66" t="s">
        <v>2240</v>
      </c>
      <c r="B222" s="66"/>
      <c r="C222" s="66" t="s">
        <v>2940</v>
      </c>
      <c r="D222" s="66" t="s">
        <v>2241</v>
      </c>
      <c r="E222" s="150" t="s">
        <v>1136</v>
      </c>
      <c r="F222" s="482" t="s">
        <v>1566</v>
      </c>
      <c r="G222" s="150" t="s">
        <v>1135</v>
      </c>
      <c r="H222" s="150" t="s">
        <v>1135</v>
      </c>
      <c r="I222" s="150" t="s">
        <v>1135</v>
      </c>
      <c r="J222" s="150" t="s">
        <v>1137</v>
      </c>
      <c r="K222" s="150" t="s">
        <v>1137</v>
      </c>
      <c r="L222" s="511" t="s">
        <v>639</v>
      </c>
      <c r="M222" s="392" t="s">
        <v>1685</v>
      </c>
      <c r="N222" s="343"/>
      <c r="O222" s="343"/>
      <c r="P222" s="70" t="s">
        <v>2242</v>
      </c>
      <c r="Q222" s="346" t="s">
        <v>1139</v>
      </c>
      <c r="R222" s="346" t="s">
        <v>1140</v>
      </c>
      <c r="S222" s="346"/>
      <c r="T222" s="150" t="s">
        <v>25</v>
      </c>
      <c r="U222" s="150"/>
      <c r="V222" s="643"/>
      <c r="W222" s="659">
        <v>0</v>
      </c>
      <c r="X222" s="659">
        <v>0</v>
      </c>
      <c r="Y222" s="656"/>
      <c r="Z222" s="657"/>
      <c r="AA222" s="714">
        <v>-11.41</v>
      </c>
      <c r="AB222" s="428">
        <v>11.41</v>
      </c>
      <c r="AC222" s="428">
        <v>0</v>
      </c>
      <c r="AD222" s="428">
        <v>0</v>
      </c>
      <c r="AE222" s="429">
        <v>0</v>
      </c>
      <c r="AF222" s="429">
        <v>0</v>
      </c>
      <c r="AG222" s="649">
        <v>0</v>
      </c>
      <c r="AH222" s="649">
        <v>0</v>
      </c>
      <c r="AI222" s="649">
        <v>0</v>
      </c>
      <c r="AJ222" s="649">
        <v>0</v>
      </c>
      <c r="AK222" s="649">
        <v>0</v>
      </c>
      <c r="AL222" s="649">
        <v>0</v>
      </c>
      <c r="AM222" s="649">
        <f t="shared" si="21"/>
        <v>0</v>
      </c>
      <c r="AN222" s="651">
        <f>ERP_27[[#This Row],[2026 Working Total]]-ERP_27[[#This Row],[LE2 Final Submission]]</f>
        <v>0</v>
      </c>
      <c r="AO222" s="652">
        <v>0</v>
      </c>
      <c r="AP222" s="652">
        <f t="shared" si="20"/>
        <v>0</v>
      </c>
      <c r="AQ222" s="374">
        <f>SUM(ERP_27[[#This Row],[AP01]:[AP06]])-SUM(ERP_27[[#This Row],[AP01 LE2]:[AP06 LE2]])</f>
        <v>0</v>
      </c>
      <c r="AR222" s="653"/>
      <c r="AS222" s="652">
        <f>ERP_27[[#This Row],[2026 Working Total to Budget/LE]]-ERP_27[[#This Row],[Giveback]]</f>
        <v>0</v>
      </c>
      <c r="AT222" s="654"/>
      <c r="AU222" s="655">
        <v>-11.41</v>
      </c>
      <c r="AV222" s="655">
        <v>11.41</v>
      </c>
      <c r="AW222" s="655">
        <v>0</v>
      </c>
      <c r="AX222" s="655">
        <v>0</v>
      </c>
      <c r="AY222" s="655">
        <v>0</v>
      </c>
      <c r="AZ222" s="655">
        <v>0</v>
      </c>
      <c r="BA222" s="655">
        <v>0</v>
      </c>
      <c r="BB222" s="655">
        <v>0</v>
      </c>
      <c r="BC222" s="655">
        <v>0</v>
      </c>
      <c r="BD222" s="655">
        <v>0</v>
      </c>
      <c r="BE222" s="655">
        <v>0</v>
      </c>
      <c r="BF222" s="655">
        <v>0</v>
      </c>
      <c r="BG222" s="655">
        <v>0</v>
      </c>
      <c r="BH222" s="652">
        <v>-11.41</v>
      </c>
      <c r="BI222" s="652">
        <v>11.41</v>
      </c>
      <c r="BJ222" s="652">
        <v>0</v>
      </c>
      <c r="BK222" s="652">
        <v>0</v>
      </c>
      <c r="BL222" s="652">
        <v>0</v>
      </c>
      <c r="BM222" s="652">
        <v>0</v>
      </c>
      <c r="BN222" s="652">
        <v>0</v>
      </c>
      <c r="BO222" s="652">
        <v>0</v>
      </c>
      <c r="BP222" s="652">
        <v>0</v>
      </c>
      <c r="BQ222" s="652">
        <v>0</v>
      </c>
      <c r="BR222" s="652">
        <v>0</v>
      </c>
      <c r="BS222" s="652">
        <v>0</v>
      </c>
      <c r="BT222" s="652">
        <v>0</v>
      </c>
    </row>
    <row r="223" spans="1:72" ht="15" hidden="1" customHeight="1">
      <c r="A223" s="66" t="s">
        <v>2656</v>
      </c>
      <c r="B223" s="66"/>
      <c r="C223" s="66" t="s">
        <v>934</v>
      </c>
      <c r="D223" s="66" t="s">
        <v>934</v>
      </c>
      <c r="E223" s="150" t="s">
        <v>1136</v>
      </c>
      <c r="F223" s="482" t="s">
        <v>1566</v>
      </c>
      <c r="G223" s="150" t="s">
        <v>1345</v>
      </c>
      <c r="H223" s="150" t="s">
        <v>1345</v>
      </c>
      <c r="I223" s="150" t="s">
        <v>1345</v>
      </c>
      <c r="J223" s="150" t="s">
        <v>1345</v>
      </c>
      <c r="K223" s="150" t="s">
        <v>1346</v>
      </c>
      <c r="L223" s="511" t="s">
        <v>639</v>
      </c>
      <c r="M223" s="392" t="s">
        <v>2657</v>
      </c>
      <c r="N223" s="343"/>
      <c r="O223" s="343"/>
      <c r="P223" s="70" t="s">
        <v>935</v>
      </c>
      <c r="Q223" s="346"/>
      <c r="R223" s="343"/>
      <c r="S223" s="346"/>
      <c r="T223" s="150" t="s">
        <v>152</v>
      </c>
      <c r="U223" s="150" t="s">
        <v>2658</v>
      </c>
      <c r="V223" s="643"/>
      <c r="W223" s="659">
        <v>0</v>
      </c>
      <c r="X223" s="659">
        <v>0</v>
      </c>
      <c r="Y223" s="656"/>
      <c r="Z223" s="657"/>
      <c r="AA223" s="714"/>
      <c r="AB223" s="428"/>
      <c r="AC223" s="428"/>
      <c r="AD223" s="428" t="s">
        <v>1142</v>
      </c>
      <c r="AE223" s="429">
        <v>0</v>
      </c>
      <c r="AF223" s="429">
        <v>0</v>
      </c>
      <c r="AG223" s="649">
        <v>0</v>
      </c>
      <c r="AH223" s="649">
        <v>81120</v>
      </c>
      <c r="AI223" s="649">
        <v>-81120</v>
      </c>
      <c r="AJ223" s="649">
        <v>0</v>
      </c>
      <c r="AK223" s="649">
        <v>0</v>
      </c>
      <c r="AL223" s="649">
        <v>0</v>
      </c>
      <c r="AM223" s="649">
        <f t="shared" si="21"/>
        <v>0</v>
      </c>
      <c r="AN223" s="651">
        <f>ERP_27[[#This Row],[2026 Working Total]]-ERP_27[[#This Row],[LE2 Final Submission]]</f>
        <v>0</v>
      </c>
      <c r="AO223" s="652">
        <v>0</v>
      </c>
      <c r="AP223" s="652">
        <f t="shared" si="20"/>
        <v>0</v>
      </c>
      <c r="AQ223" s="374">
        <f>SUM(ERP_27[[#This Row],[AP01]:[AP06]])-SUM(ERP_27[[#This Row],[AP01 LE2]:[AP06 LE2]])</f>
        <v>0</v>
      </c>
      <c r="AR223" s="653"/>
      <c r="AS223" s="652">
        <f>ERP_27[[#This Row],[2026 Working Total to Budget/LE]]-ERP_27[[#This Row],[Giveback]]</f>
        <v>0</v>
      </c>
      <c r="AT223" s="654"/>
      <c r="AU223" s="655"/>
      <c r="AV223" s="655"/>
      <c r="AW223" s="655"/>
      <c r="AX223" s="655">
        <v>0</v>
      </c>
      <c r="AY223" s="655">
        <v>0</v>
      </c>
      <c r="AZ223" s="655">
        <v>0</v>
      </c>
      <c r="BA223" s="655">
        <v>0</v>
      </c>
      <c r="BB223" s="655">
        <v>81120</v>
      </c>
      <c r="BC223" s="655">
        <v>-81120</v>
      </c>
      <c r="BD223" s="655">
        <v>0</v>
      </c>
      <c r="BE223" s="655">
        <v>0</v>
      </c>
      <c r="BF223" s="655">
        <v>0</v>
      </c>
      <c r="BG223" s="655">
        <v>0</v>
      </c>
      <c r="BH223" s="652"/>
      <c r="BI223" s="652"/>
      <c r="BJ223" s="652"/>
      <c r="BK223" s="652">
        <v>3235.5</v>
      </c>
      <c r="BL223" s="652">
        <v>3235.5</v>
      </c>
      <c r="BM223" s="652">
        <v>3235.5</v>
      </c>
      <c r="BN223" s="652">
        <v>3235.5</v>
      </c>
      <c r="BO223" s="652">
        <v>3235.5</v>
      </c>
      <c r="BP223" s="652">
        <v>3235.5</v>
      </c>
      <c r="BQ223" s="652">
        <v>3235.5</v>
      </c>
      <c r="BR223" s="652">
        <v>3235.5</v>
      </c>
      <c r="BS223" s="652">
        <v>-35590.5</v>
      </c>
      <c r="BT223" s="652">
        <v>-9706.5</v>
      </c>
    </row>
    <row r="224" spans="1:72" ht="15" hidden="1" customHeight="1">
      <c r="A224" s="66" t="s">
        <v>1491</v>
      </c>
      <c r="B224" s="66"/>
      <c r="C224" s="66" t="s">
        <v>231</v>
      </c>
      <c r="D224" s="66" t="s">
        <v>231</v>
      </c>
      <c r="E224" s="150" t="s">
        <v>1136</v>
      </c>
      <c r="F224" s="482" t="s">
        <v>1566</v>
      </c>
      <c r="G224" s="383" t="s">
        <v>1480</v>
      </c>
      <c r="H224" s="383" t="s">
        <v>1480</v>
      </c>
      <c r="I224" s="150" t="s">
        <v>1345</v>
      </c>
      <c r="J224" s="150" t="s">
        <v>1480</v>
      </c>
      <c r="K224" s="150" t="s">
        <v>1346</v>
      </c>
      <c r="L224" s="511" t="s">
        <v>49</v>
      </c>
      <c r="M224" s="392" t="s">
        <v>1492</v>
      </c>
      <c r="N224" s="343"/>
      <c r="O224" s="343"/>
      <c r="P224" s="70" t="s">
        <v>201</v>
      </c>
      <c r="Q224" s="346"/>
      <c r="R224" s="343"/>
      <c r="S224" s="346"/>
      <c r="T224" s="150" t="s">
        <v>232</v>
      </c>
      <c r="U224" s="150" t="s">
        <v>1494</v>
      </c>
      <c r="V224" s="643"/>
      <c r="W224" s="659">
        <v>0</v>
      </c>
      <c r="X224" s="659">
        <v>0</v>
      </c>
      <c r="Y224" s="656"/>
      <c r="Z224" s="657"/>
      <c r="AA224" s="714">
        <v>50000</v>
      </c>
      <c r="AB224" s="428">
        <v>0</v>
      </c>
      <c r="AC224" s="428">
        <v>-50000</v>
      </c>
      <c r="AD224" s="428">
        <v>50000</v>
      </c>
      <c r="AE224" s="429">
        <v>-50000</v>
      </c>
      <c r="AF224" s="429">
        <v>0</v>
      </c>
      <c r="AG224" s="649"/>
      <c r="AH224" s="649"/>
      <c r="AI224" s="649"/>
      <c r="AJ224" s="649"/>
      <c r="AK224" s="649"/>
      <c r="AL224" s="649"/>
      <c r="AM224" s="649">
        <f t="shared" si="21"/>
        <v>0</v>
      </c>
      <c r="AN224" s="651">
        <f>ERP_27[[#This Row],[2026 Working Total]]-ERP_27[[#This Row],[LE2 Final Submission]]</f>
        <v>0</v>
      </c>
      <c r="AO224" s="652">
        <v>-50000</v>
      </c>
      <c r="AP224" s="652">
        <f t="shared" si="20"/>
        <v>50000</v>
      </c>
      <c r="AQ224" s="374">
        <f>SUM(ERP_27[[#This Row],[AP01]:[AP06]])-SUM(ERP_27[[#This Row],[AP01 LE2]:[AP06 LE2]])</f>
        <v>0</v>
      </c>
      <c r="AR224" s="653"/>
      <c r="AS224" s="652">
        <f>ERP_27[[#This Row],[2026 Working Total to Budget/LE]]-ERP_27[[#This Row],[Giveback]]</f>
        <v>0</v>
      </c>
      <c r="AT224" s="654"/>
      <c r="AU224" s="655">
        <v>50000</v>
      </c>
      <c r="AV224" s="655">
        <v>0</v>
      </c>
      <c r="AW224" s="655">
        <v>-50000</v>
      </c>
      <c r="AX224" s="655">
        <v>50000</v>
      </c>
      <c r="AY224" s="655">
        <v>-50000</v>
      </c>
      <c r="AZ224" s="655"/>
      <c r="BA224" s="655"/>
      <c r="BB224" s="655"/>
      <c r="BC224" s="655"/>
      <c r="BD224" s="655"/>
      <c r="BE224" s="655"/>
      <c r="BF224" s="655"/>
      <c r="BG224" s="655">
        <v>0</v>
      </c>
      <c r="BH224" s="652">
        <v>50000</v>
      </c>
      <c r="BI224" s="652">
        <v>0</v>
      </c>
      <c r="BJ224" s="652">
        <v>-50000</v>
      </c>
      <c r="BK224" s="652"/>
      <c r="BL224" s="652"/>
      <c r="BM224" s="652"/>
      <c r="BN224" s="652"/>
      <c r="BO224" s="652"/>
      <c r="BP224" s="652"/>
      <c r="BQ224" s="652"/>
      <c r="BR224" s="652"/>
      <c r="BS224" s="652"/>
      <c r="BT224" s="652">
        <v>0</v>
      </c>
    </row>
    <row r="225" spans="1:72" ht="15" customHeight="1">
      <c r="A225" s="66" t="s">
        <v>1502</v>
      </c>
      <c r="B225" s="66"/>
      <c r="C225" s="66" t="s">
        <v>233</v>
      </c>
      <c r="D225" s="66" t="s">
        <v>1503</v>
      </c>
      <c r="E225" s="150" t="s">
        <v>1136</v>
      </c>
      <c r="F225" s="482" t="s">
        <v>1566</v>
      </c>
      <c r="G225" s="383" t="s">
        <v>1480</v>
      </c>
      <c r="H225" s="150" t="s">
        <v>1481</v>
      </c>
      <c r="I225" s="150" t="s">
        <v>1345</v>
      </c>
      <c r="J225" s="150" t="s">
        <v>1481</v>
      </c>
      <c r="K225" s="150" t="s">
        <v>1346</v>
      </c>
      <c r="L225" s="511" t="s">
        <v>49</v>
      </c>
      <c r="M225" s="392" t="s">
        <v>1504</v>
      </c>
      <c r="N225" s="343"/>
      <c r="O225" s="343"/>
      <c r="P225" s="70" t="s">
        <v>234</v>
      </c>
      <c r="Q225" s="346"/>
      <c r="R225" s="343"/>
      <c r="S225" s="346"/>
      <c r="T225" s="150" t="s">
        <v>25</v>
      </c>
      <c r="U225" s="184" t="s">
        <v>1505</v>
      </c>
      <c r="V225" s="643"/>
      <c r="W225" s="659">
        <v>0</v>
      </c>
      <c r="X225" s="659">
        <v>0</v>
      </c>
      <c r="Y225" s="656"/>
      <c r="Z225" s="657"/>
      <c r="AA225" s="714"/>
      <c r="AB225" s="428">
        <v>304987.09999999998</v>
      </c>
      <c r="AC225" s="428">
        <v>-304987.09999999998</v>
      </c>
      <c r="AD225" s="428">
        <v>0</v>
      </c>
      <c r="AE225" s="429">
        <v>0</v>
      </c>
      <c r="AF225" s="429">
        <v>0</v>
      </c>
      <c r="AG225" s="649"/>
      <c r="AH225" s="649"/>
      <c r="AI225" s="649"/>
      <c r="AJ225" s="649"/>
      <c r="AK225" s="649"/>
      <c r="AL225" s="649"/>
      <c r="AM225" s="649">
        <f t="shared" si="21"/>
        <v>0</v>
      </c>
      <c r="AN225" s="651">
        <f>ERP_27[[#This Row],[2026 Working Total]]-ERP_27[[#This Row],[LE2 Final Submission]]</f>
        <v>0</v>
      </c>
      <c r="AO225" s="652"/>
      <c r="AP225" s="652">
        <f t="shared" si="20"/>
        <v>0</v>
      </c>
      <c r="AQ225" s="374">
        <f>SUM(ERP_27[[#This Row],[AP01]:[AP06]])-SUM(ERP_27[[#This Row],[AP01 LE2]:[AP06 LE2]])</f>
        <v>0</v>
      </c>
      <c r="AR225" s="653"/>
      <c r="AS225" s="652">
        <f>ERP_27[[#This Row],[2026 Working Total to Budget/LE]]-ERP_27[[#This Row],[Giveback]]</f>
        <v>0</v>
      </c>
      <c r="AT225" s="654"/>
      <c r="AU225" s="655"/>
      <c r="AV225" s="655">
        <v>304987.09999999998</v>
      </c>
      <c r="AW225" s="655">
        <v>-304987.09999999998</v>
      </c>
      <c r="AX225" s="655"/>
      <c r="AY225" s="655"/>
      <c r="AZ225" s="655"/>
      <c r="BA225" s="655"/>
      <c r="BB225" s="655"/>
      <c r="BC225" s="655"/>
      <c r="BD225" s="655"/>
      <c r="BE225" s="655"/>
      <c r="BF225" s="655"/>
      <c r="BG225" s="655">
        <v>0</v>
      </c>
      <c r="BH225" s="652"/>
      <c r="BI225" s="652">
        <v>304987.09999999998</v>
      </c>
      <c r="BJ225" s="652">
        <v>-304987.09999999998</v>
      </c>
      <c r="BK225" s="652"/>
      <c r="BL225" s="652"/>
      <c r="BM225" s="652"/>
      <c r="BN225" s="652"/>
      <c r="BO225" s="652"/>
      <c r="BP225" s="652"/>
      <c r="BQ225" s="652"/>
      <c r="BR225" s="652"/>
      <c r="BS225" s="652"/>
      <c r="BT225" s="652">
        <v>0</v>
      </c>
    </row>
    <row r="226" spans="1:72" ht="15" hidden="1" customHeight="1">
      <c r="A226" s="66" t="s">
        <v>1608</v>
      </c>
      <c r="B226" s="66"/>
      <c r="C226" s="66" t="s">
        <v>294</v>
      </c>
      <c r="D226" s="66" t="s">
        <v>1609</v>
      </c>
      <c r="E226" s="150" t="s">
        <v>1136</v>
      </c>
      <c r="F226" s="482" t="s">
        <v>1566</v>
      </c>
      <c r="G226" s="150" t="s">
        <v>1566</v>
      </c>
      <c r="H226" s="150" t="s">
        <v>1566</v>
      </c>
      <c r="I226" s="150" t="s">
        <v>1567</v>
      </c>
      <c r="J226" s="150" t="s">
        <v>1567</v>
      </c>
      <c r="K226" s="150" t="s">
        <v>1567</v>
      </c>
      <c r="L226" s="511" t="s">
        <v>49</v>
      </c>
      <c r="M226" s="392" t="s">
        <v>1610</v>
      </c>
      <c r="N226" s="343"/>
      <c r="O226" s="343"/>
      <c r="P226" s="70" t="s">
        <v>295</v>
      </c>
      <c r="Q226" s="346"/>
      <c r="R226" s="343"/>
      <c r="S226" s="346"/>
      <c r="T226" s="150" t="s">
        <v>296</v>
      </c>
      <c r="U226" s="150"/>
      <c r="V226" s="643"/>
      <c r="W226" s="659">
        <v>0</v>
      </c>
      <c r="X226" s="659">
        <v>0</v>
      </c>
      <c r="Y226" s="656"/>
      <c r="Z226" s="657"/>
      <c r="AA226" s="714">
        <v>-1104045.58</v>
      </c>
      <c r="AB226" s="428">
        <v>1104045.58</v>
      </c>
      <c r="AC226" s="428"/>
      <c r="AD226" s="428">
        <v>0</v>
      </c>
      <c r="AE226" s="429">
        <v>0</v>
      </c>
      <c r="AF226" s="429">
        <v>0</v>
      </c>
      <c r="AG226" s="649"/>
      <c r="AH226" s="649"/>
      <c r="AI226" s="649"/>
      <c r="AJ226" s="649"/>
      <c r="AK226" s="649"/>
      <c r="AL226" s="649"/>
      <c r="AM226" s="649">
        <f t="shared" si="21"/>
        <v>0</v>
      </c>
      <c r="AN226" s="651">
        <f>ERP_27[[#This Row],[2026 Working Total]]-ERP_27[[#This Row],[LE2 Final Submission]]</f>
        <v>0</v>
      </c>
      <c r="AO226" s="652"/>
      <c r="AP226" s="652">
        <f t="shared" si="20"/>
        <v>0</v>
      </c>
      <c r="AQ226" s="374">
        <f>SUM(ERP_27[[#This Row],[AP01]:[AP06]])-SUM(ERP_27[[#This Row],[AP01 LE2]:[AP06 LE2]])</f>
        <v>0</v>
      </c>
      <c r="AR226" s="653"/>
      <c r="AS226" s="652">
        <f>ERP_27[[#This Row],[2026 Working Total to Budget/LE]]-ERP_27[[#This Row],[Giveback]]</f>
        <v>0</v>
      </c>
      <c r="AT226" s="654"/>
      <c r="AU226" s="655">
        <v>-1104045.58</v>
      </c>
      <c r="AV226" s="655">
        <v>1104045.58</v>
      </c>
      <c r="AW226" s="655"/>
      <c r="AX226" s="655"/>
      <c r="AY226" s="655"/>
      <c r="AZ226" s="655"/>
      <c r="BA226" s="655"/>
      <c r="BB226" s="655"/>
      <c r="BC226" s="655"/>
      <c r="BD226" s="655"/>
      <c r="BE226" s="655"/>
      <c r="BF226" s="655"/>
      <c r="BG226" s="655">
        <v>0</v>
      </c>
      <c r="BH226" s="652">
        <v>-1104045.58</v>
      </c>
      <c r="BI226" s="652">
        <v>1104045.58</v>
      </c>
      <c r="BJ226" s="652"/>
      <c r="BK226" s="652"/>
      <c r="BL226" s="652"/>
      <c r="BM226" s="652"/>
      <c r="BN226" s="652"/>
      <c r="BO226" s="652"/>
      <c r="BP226" s="652"/>
      <c r="BQ226" s="652"/>
      <c r="BR226" s="652"/>
      <c r="BS226" s="652"/>
      <c r="BT226" s="652">
        <v>0</v>
      </c>
    </row>
    <row r="227" spans="1:72" ht="15" hidden="1" customHeight="1">
      <c r="A227" s="66" t="s">
        <v>1418</v>
      </c>
      <c r="B227" s="66"/>
      <c r="C227" s="66" t="s">
        <v>315</v>
      </c>
      <c r="D227" s="66" t="s">
        <v>1419</v>
      </c>
      <c r="E227" s="150" t="s">
        <v>1136</v>
      </c>
      <c r="F227" s="482" t="s">
        <v>1566</v>
      </c>
      <c r="G227" s="482" t="s">
        <v>1566</v>
      </c>
      <c r="H227" s="482" t="s">
        <v>1566</v>
      </c>
      <c r="I227" s="150" t="s">
        <v>1345</v>
      </c>
      <c r="J227" s="150" t="s">
        <v>1346</v>
      </c>
      <c r="K227" s="150" t="s">
        <v>1346</v>
      </c>
      <c r="L227" s="511" t="s">
        <v>49</v>
      </c>
      <c r="M227" s="392" t="s">
        <v>1420</v>
      </c>
      <c r="N227" s="343"/>
      <c r="O227" s="346" t="s">
        <v>1415</v>
      </c>
      <c r="P227" s="70" t="s">
        <v>316</v>
      </c>
      <c r="Q227" s="346"/>
      <c r="R227" s="346" t="s">
        <v>1421</v>
      </c>
      <c r="S227" s="346"/>
      <c r="T227" s="150" t="s">
        <v>25</v>
      </c>
      <c r="U227" s="150"/>
      <c r="V227" s="643"/>
      <c r="W227" s="659">
        <v>0</v>
      </c>
      <c r="X227" s="659">
        <v>0</v>
      </c>
      <c r="Y227" s="656"/>
      <c r="Z227" s="657"/>
      <c r="AA227" s="714"/>
      <c r="AB227" s="428">
        <v>89550.8</v>
      </c>
      <c r="AC227" s="428">
        <v>-89550.8</v>
      </c>
      <c r="AD227" s="428">
        <v>0</v>
      </c>
      <c r="AE227" s="429">
        <v>0</v>
      </c>
      <c r="AF227" s="429">
        <v>0</v>
      </c>
      <c r="AG227" s="649"/>
      <c r="AH227" s="649"/>
      <c r="AI227" s="649"/>
      <c r="AJ227" s="649"/>
      <c r="AK227" s="649"/>
      <c r="AL227" s="649"/>
      <c r="AM227" s="649">
        <f t="shared" si="21"/>
        <v>0</v>
      </c>
      <c r="AN227" s="651">
        <f>ERP_27[[#This Row],[2026 Working Total]]-ERP_27[[#This Row],[LE2 Final Submission]]</f>
        <v>0</v>
      </c>
      <c r="AO227" s="652"/>
      <c r="AP227" s="652">
        <f t="shared" si="20"/>
        <v>0</v>
      </c>
      <c r="AQ227" s="374">
        <f>SUM(ERP_27[[#This Row],[AP01]:[AP06]])-SUM(ERP_27[[#This Row],[AP01 LE2]:[AP06 LE2]])</f>
        <v>0</v>
      </c>
      <c r="AR227" s="653"/>
      <c r="AS227" s="652">
        <f>ERP_27[[#This Row],[2026 Working Total to Budget/LE]]-ERP_27[[#This Row],[Giveback]]</f>
        <v>0</v>
      </c>
      <c r="AT227" s="654"/>
      <c r="AU227" s="655"/>
      <c r="AV227" s="655">
        <v>89550.8</v>
      </c>
      <c r="AW227" s="655">
        <v>-89550.8</v>
      </c>
      <c r="AX227" s="655"/>
      <c r="AY227" s="655"/>
      <c r="AZ227" s="655"/>
      <c r="BA227" s="655"/>
      <c r="BB227" s="655"/>
      <c r="BC227" s="655"/>
      <c r="BD227" s="655"/>
      <c r="BE227" s="655"/>
      <c r="BF227" s="655"/>
      <c r="BG227" s="655">
        <v>0</v>
      </c>
      <c r="BH227" s="652"/>
      <c r="BI227" s="652">
        <v>89550.8</v>
      </c>
      <c r="BJ227" s="652">
        <v>-89550.8</v>
      </c>
      <c r="BK227" s="652"/>
      <c r="BL227" s="652"/>
      <c r="BM227" s="652"/>
      <c r="BN227" s="652"/>
      <c r="BO227" s="652"/>
      <c r="BP227" s="652"/>
      <c r="BQ227" s="652"/>
      <c r="BR227" s="652"/>
      <c r="BS227" s="652"/>
      <c r="BT227" s="652">
        <v>0</v>
      </c>
    </row>
    <row r="228" spans="1:72" ht="15" hidden="1" customHeight="1">
      <c r="A228" s="66" t="s">
        <v>2761</v>
      </c>
      <c r="B228" s="66"/>
      <c r="C228" s="66" t="s">
        <v>991</v>
      </c>
      <c r="D228" s="66" t="s">
        <v>2762</v>
      </c>
      <c r="E228" s="150" t="s">
        <v>1136</v>
      </c>
      <c r="F228" s="482" t="s">
        <v>1566</v>
      </c>
      <c r="G228" s="150" t="s">
        <v>1566</v>
      </c>
      <c r="H228" s="150" t="s">
        <v>1566</v>
      </c>
      <c r="I228" s="150" t="s">
        <v>1567</v>
      </c>
      <c r="J228" s="150" t="s">
        <v>1567</v>
      </c>
      <c r="K228" s="150" t="s">
        <v>1567</v>
      </c>
      <c r="L228" s="511" t="s">
        <v>639</v>
      </c>
      <c r="M228" s="392" t="s">
        <v>1685</v>
      </c>
      <c r="N228" s="343"/>
      <c r="O228" s="343"/>
      <c r="P228" s="70" t="s">
        <v>663</v>
      </c>
      <c r="Q228" s="346" t="s">
        <v>1139</v>
      </c>
      <c r="R228" s="346" t="s">
        <v>1140</v>
      </c>
      <c r="S228" s="346"/>
      <c r="T228" s="150" t="s">
        <v>25</v>
      </c>
      <c r="U228" s="150"/>
      <c r="V228" s="643"/>
      <c r="W228" s="659">
        <v>0</v>
      </c>
      <c r="X228" s="659">
        <v>0</v>
      </c>
      <c r="Y228" s="656"/>
      <c r="Z228" s="657"/>
      <c r="AA228" s="714">
        <v>-1978.48</v>
      </c>
      <c r="AB228" s="428">
        <v>1978.48</v>
      </c>
      <c r="AC228" s="428">
        <v>0</v>
      </c>
      <c r="AD228" s="428" t="s">
        <v>1142</v>
      </c>
      <c r="AE228" s="429">
        <v>0</v>
      </c>
      <c r="AF228" s="429">
        <v>0</v>
      </c>
      <c r="AG228" s="649">
        <v>0</v>
      </c>
      <c r="AH228" s="649">
        <v>0</v>
      </c>
      <c r="AI228" s="649">
        <v>0</v>
      </c>
      <c r="AJ228" s="649">
        <v>0</v>
      </c>
      <c r="AK228" s="649">
        <v>0</v>
      </c>
      <c r="AL228" s="649">
        <v>0</v>
      </c>
      <c r="AM228" s="649">
        <f t="shared" si="21"/>
        <v>0</v>
      </c>
      <c r="AN228" s="651">
        <f>ERP_27[[#This Row],[2026 Working Total]]-ERP_27[[#This Row],[LE2 Final Submission]]</f>
        <v>0</v>
      </c>
      <c r="AO228" s="652">
        <v>333.33</v>
      </c>
      <c r="AP228" s="652">
        <f t="shared" si="20"/>
        <v>-333.33</v>
      </c>
      <c r="AQ228" s="374">
        <f>SUM(ERP_27[[#This Row],[AP01]:[AP06]])-SUM(ERP_27[[#This Row],[AP01 LE2]:[AP06 LE2]])</f>
        <v>0</v>
      </c>
      <c r="AR228" s="653"/>
      <c r="AS228" s="652">
        <f>ERP_27[[#This Row],[2026 Working Total to Budget/LE]]-ERP_27[[#This Row],[Giveback]]</f>
        <v>0</v>
      </c>
      <c r="AT228" s="654"/>
      <c r="AU228" s="655">
        <v>-1978.48</v>
      </c>
      <c r="AV228" s="655">
        <v>1978.48</v>
      </c>
      <c r="AW228" s="655">
        <v>0</v>
      </c>
      <c r="AX228" s="655">
        <v>0</v>
      </c>
      <c r="AY228" s="655">
        <v>0</v>
      </c>
      <c r="AZ228" s="655">
        <v>0</v>
      </c>
      <c r="BA228" s="655">
        <v>0</v>
      </c>
      <c r="BB228" s="655">
        <v>0</v>
      </c>
      <c r="BC228" s="655">
        <v>0</v>
      </c>
      <c r="BD228" s="655">
        <v>0</v>
      </c>
      <c r="BE228" s="655">
        <v>0</v>
      </c>
      <c r="BF228" s="655">
        <v>0</v>
      </c>
      <c r="BG228" s="655">
        <v>0</v>
      </c>
      <c r="BH228" s="652">
        <v>-1978.48</v>
      </c>
      <c r="BI228" s="652">
        <v>1978.48</v>
      </c>
      <c r="BJ228" s="652">
        <v>0</v>
      </c>
      <c r="BK228" s="652">
        <v>0</v>
      </c>
      <c r="BL228" s="652">
        <v>0</v>
      </c>
      <c r="BM228" s="652">
        <v>0</v>
      </c>
      <c r="BN228" s="652">
        <v>0</v>
      </c>
      <c r="BO228" s="652">
        <v>0</v>
      </c>
      <c r="BP228" s="652">
        <v>0</v>
      </c>
      <c r="BQ228" s="652">
        <v>0</v>
      </c>
      <c r="BR228" s="652">
        <v>0</v>
      </c>
      <c r="BS228" s="652">
        <v>0</v>
      </c>
      <c r="BT228" s="652">
        <v>0</v>
      </c>
    </row>
    <row r="229" spans="1:72" ht="15" hidden="1" customHeight="1">
      <c r="A229" s="66" t="s">
        <v>2763</v>
      </c>
      <c r="B229" s="66"/>
      <c r="C229" s="66" t="s">
        <v>2941</v>
      </c>
      <c r="D229" s="66" t="s">
        <v>2764</v>
      </c>
      <c r="E229" s="150" t="s">
        <v>1136</v>
      </c>
      <c r="F229" s="482" t="s">
        <v>1566</v>
      </c>
      <c r="G229" s="482" t="s">
        <v>1566</v>
      </c>
      <c r="H229" s="482" t="s">
        <v>1566</v>
      </c>
      <c r="I229" s="150" t="s">
        <v>1345</v>
      </c>
      <c r="J229" s="150" t="s">
        <v>1346</v>
      </c>
      <c r="K229" s="150" t="s">
        <v>1346</v>
      </c>
      <c r="L229" s="511" t="s">
        <v>639</v>
      </c>
      <c r="M229" s="392" t="s">
        <v>1685</v>
      </c>
      <c r="N229" s="343"/>
      <c r="O229" s="343"/>
      <c r="P229" s="70" t="s">
        <v>350</v>
      </c>
      <c r="Q229" s="346" t="s">
        <v>1139</v>
      </c>
      <c r="R229" s="346" t="s">
        <v>1140</v>
      </c>
      <c r="S229" s="346"/>
      <c r="T229" s="150" t="s">
        <v>25</v>
      </c>
      <c r="U229" s="150"/>
      <c r="V229" s="643"/>
      <c r="W229" s="659">
        <v>0</v>
      </c>
      <c r="X229" s="659">
        <v>0</v>
      </c>
      <c r="Y229" s="656"/>
      <c r="Z229" s="657"/>
      <c r="AA229" s="714">
        <v>-256.76</v>
      </c>
      <c r="AB229" s="428">
        <v>256.76</v>
      </c>
      <c r="AC229" s="428">
        <v>0</v>
      </c>
      <c r="AD229" s="428">
        <v>0</v>
      </c>
      <c r="AE229" s="429">
        <v>0</v>
      </c>
      <c r="AF229" s="429">
        <v>0</v>
      </c>
      <c r="AG229" s="649">
        <v>0</v>
      </c>
      <c r="AH229" s="649">
        <v>0</v>
      </c>
      <c r="AI229" s="649">
        <v>0</v>
      </c>
      <c r="AJ229" s="649">
        <v>0</v>
      </c>
      <c r="AK229" s="649">
        <v>0</v>
      </c>
      <c r="AL229" s="649">
        <v>0</v>
      </c>
      <c r="AM229" s="649">
        <f t="shared" si="21"/>
        <v>0</v>
      </c>
      <c r="AN229" s="651">
        <f>ERP_27[[#This Row],[2026 Working Total]]-ERP_27[[#This Row],[LE2 Final Submission]]</f>
        <v>0</v>
      </c>
      <c r="AO229" s="652">
        <v>0</v>
      </c>
      <c r="AP229" s="652">
        <f t="shared" si="20"/>
        <v>0</v>
      </c>
      <c r="AQ229" s="374">
        <f>SUM(ERP_27[[#This Row],[AP01]:[AP06]])-SUM(ERP_27[[#This Row],[AP01 LE2]:[AP06 LE2]])</f>
        <v>0</v>
      </c>
      <c r="AR229" s="653"/>
      <c r="AS229" s="652">
        <f>ERP_27[[#This Row],[2026 Working Total to Budget/LE]]-ERP_27[[#This Row],[Giveback]]</f>
        <v>0</v>
      </c>
      <c r="AT229" s="654"/>
      <c r="AU229" s="655">
        <v>-256.76</v>
      </c>
      <c r="AV229" s="655">
        <v>256.76</v>
      </c>
      <c r="AW229" s="655">
        <v>0</v>
      </c>
      <c r="AX229" s="655">
        <v>0</v>
      </c>
      <c r="AY229" s="655">
        <v>0</v>
      </c>
      <c r="AZ229" s="655">
        <v>0</v>
      </c>
      <c r="BA229" s="655">
        <v>0</v>
      </c>
      <c r="BB229" s="655">
        <v>0</v>
      </c>
      <c r="BC229" s="655">
        <v>0</v>
      </c>
      <c r="BD229" s="655">
        <v>0</v>
      </c>
      <c r="BE229" s="655">
        <v>0</v>
      </c>
      <c r="BF229" s="655">
        <v>0</v>
      </c>
      <c r="BG229" s="655">
        <v>0</v>
      </c>
      <c r="BH229" s="652">
        <v>-256.76</v>
      </c>
      <c r="BI229" s="652">
        <v>256.76</v>
      </c>
      <c r="BJ229" s="652">
        <v>0</v>
      </c>
      <c r="BK229" s="652">
        <v>0</v>
      </c>
      <c r="BL229" s="652">
        <v>0</v>
      </c>
      <c r="BM229" s="652">
        <v>0</v>
      </c>
      <c r="BN229" s="652">
        <v>0</v>
      </c>
      <c r="BO229" s="652">
        <v>0</v>
      </c>
      <c r="BP229" s="652">
        <v>0</v>
      </c>
      <c r="BQ229" s="652">
        <v>0</v>
      </c>
      <c r="BR229" s="652">
        <v>0</v>
      </c>
      <c r="BS229" s="652">
        <v>0</v>
      </c>
      <c r="BT229" s="652">
        <v>0</v>
      </c>
    </row>
    <row r="230" spans="1:72" ht="15" hidden="1" customHeight="1">
      <c r="A230" s="66" t="s">
        <v>1425</v>
      </c>
      <c r="B230" s="66"/>
      <c r="C230" s="66" t="s">
        <v>195</v>
      </c>
      <c r="D230" s="66" t="s">
        <v>195</v>
      </c>
      <c r="E230" s="150" t="s">
        <v>1136</v>
      </c>
      <c r="F230" s="482" t="s">
        <v>1566</v>
      </c>
      <c r="G230" s="383" t="s">
        <v>1344</v>
      </c>
      <c r="H230" s="383" t="s">
        <v>1344</v>
      </c>
      <c r="I230" s="150" t="s">
        <v>1345</v>
      </c>
      <c r="J230" s="150" t="s">
        <v>1344</v>
      </c>
      <c r="K230" s="150" t="s">
        <v>1346</v>
      </c>
      <c r="L230" s="511" t="s">
        <v>49</v>
      </c>
      <c r="M230" s="392" t="s">
        <v>1327</v>
      </c>
      <c r="N230" s="343"/>
      <c r="O230" s="343"/>
      <c r="P230" s="70" t="s">
        <v>147</v>
      </c>
      <c r="Q230" s="346"/>
      <c r="R230" s="343"/>
      <c r="S230" s="346"/>
      <c r="T230" s="150" t="s">
        <v>25</v>
      </c>
      <c r="U230" s="150"/>
      <c r="V230" s="643"/>
      <c r="W230" s="659">
        <v>0</v>
      </c>
      <c r="X230" s="659">
        <v>-0.47</v>
      </c>
      <c r="Y230" s="656"/>
      <c r="Z230" s="657"/>
      <c r="AA230" s="714">
        <v>-0.28999999999999998</v>
      </c>
      <c r="AB230" s="428">
        <v>0.43</v>
      </c>
      <c r="AC230" s="428">
        <v>-0.61</v>
      </c>
      <c r="AD230" s="428">
        <v>0.34</v>
      </c>
      <c r="AE230" s="429">
        <v>0.22</v>
      </c>
      <c r="AF230" s="429">
        <v>0.05</v>
      </c>
      <c r="AG230" s="649">
        <v>0</v>
      </c>
      <c r="AH230" s="649">
        <v>0</v>
      </c>
      <c r="AI230" s="649">
        <v>0</v>
      </c>
      <c r="AJ230" s="649">
        <v>0</v>
      </c>
      <c r="AK230" s="649">
        <v>0</v>
      </c>
      <c r="AL230" s="649">
        <v>0</v>
      </c>
      <c r="AM230" s="649">
        <f t="shared" si="21"/>
        <v>0.14000000000000007</v>
      </c>
      <c r="AN230" s="651">
        <f>ERP_27[[#This Row],[2026 Working Total]]-ERP_27[[#This Row],[LE2 Final Submission]]</f>
        <v>0.6100000000000001</v>
      </c>
      <c r="AO230" s="652">
        <v>0</v>
      </c>
      <c r="AP230" s="652">
        <f t="shared" si="20"/>
        <v>0.05</v>
      </c>
      <c r="AQ230" s="374">
        <f>SUM(ERP_27[[#This Row],[AP01]:[AP06]])-SUM(ERP_27[[#This Row],[AP01 LE2]:[AP06 LE2]])</f>
        <v>0.6100000000000001</v>
      </c>
      <c r="AR230" s="653"/>
      <c r="AS230" s="652">
        <f>ERP_27[[#This Row],[2026 Working Total to Budget/LE]]-ERP_27[[#This Row],[Giveback]]</f>
        <v>0.6100000000000001</v>
      </c>
      <c r="AT230" s="654"/>
      <c r="AU230" s="655">
        <v>-0.28999999999999998</v>
      </c>
      <c r="AV230" s="655">
        <v>0.43</v>
      </c>
      <c r="AW230" s="655">
        <v>-0.61</v>
      </c>
      <c r="AX230" s="655">
        <v>0</v>
      </c>
      <c r="AY230" s="655">
        <v>0</v>
      </c>
      <c r="AZ230" s="655">
        <v>0</v>
      </c>
      <c r="BA230" s="655">
        <v>0</v>
      </c>
      <c r="BB230" s="655">
        <v>0</v>
      </c>
      <c r="BC230" s="655">
        <v>0</v>
      </c>
      <c r="BD230" s="655">
        <v>0</v>
      </c>
      <c r="BE230" s="655">
        <v>0</v>
      </c>
      <c r="BF230" s="655">
        <v>0</v>
      </c>
      <c r="BG230" s="655">
        <v>-0.47</v>
      </c>
      <c r="BH230" s="652">
        <v>-0.28999999999999998</v>
      </c>
      <c r="BI230" s="652">
        <v>0.43</v>
      </c>
      <c r="BJ230" s="652">
        <v>-0.61</v>
      </c>
      <c r="BK230" s="652">
        <v>0</v>
      </c>
      <c r="BL230" s="652">
        <v>0</v>
      </c>
      <c r="BM230" s="652">
        <v>0</v>
      </c>
      <c r="BN230" s="652">
        <v>0</v>
      </c>
      <c r="BO230" s="652">
        <v>0</v>
      </c>
      <c r="BP230" s="652">
        <v>0</v>
      </c>
      <c r="BQ230" s="652">
        <v>0</v>
      </c>
      <c r="BR230" s="652">
        <v>0</v>
      </c>
      <c r="BS230" s="652">
        <v>0</v>
      </c>
      <c r="BT230" s="652">
        <v>-0.47</v>
      </c>
    </row>
    <row r="231" spans="1:72" ht="15" hidden="1" customHeight="1">
      <c r="A231" s="66" t="s">
        <v>1412</v>
      </c>
      <c r="B231" s="66"/>
      <c r="C231" s="66" t="s">
        <v>313</v>
      </c>
      <c r="D231" s="66" t="s">
        <v>1413</v>
      </c>
      <c r="E231" s="150" t="s">
        <v>1136</v>
      </c>
      <c r="F231" s="482" t="s">
        <v>1566</v>
      </c>
      <c r="G231" s="482" t="s">
        <v>1566</v>
      </c>
      <c r="H231" s="482" t="s">
        <v>1566</v>
      </c>
      <c r="I231" s="150" t="s">
        <v>1345</v>
      </c>
      <c r="J231" s="150" t="s">
        <v>1346</v>
      </c>
      <c r="K231" s="150" t="s">
        <v>1346</v>
      </c>
      <c r="L231" s="511" t="s">
        <v>49</v>
      </c>
      <c r="M231" s="392" t="s">
        <v>1414</v>
      </c>
      <c r="N231" s="343"/>
      <c r="O231" s="346" t="s">
        <v>1415</v>
      </c>
      <c r="P231" s="70" t="s">
        <v>314</v>
      </c>
      <c r="Q231" s="346"/>
      <c r="R231" s="346" t="s">
        <v>1416</v>
      </c>
      <c r="S231" s="346"/>
      <c r="T231" s="150" t="s">
        <v>25</v>
      </c>
      <c r="U231" s="150"/>
      <c r="V231" s="643"/>
      <c r="W231" s="659">
        <v>0</v>
      </c>
      <c r="X231" s="659">
        <v>0.33000000000174623</v>
      </c>
      <c r="Y231" s="656"/>
      <c r="Z231" s="657"/>
      <c r="AA231" s="714"/>
      <c r="AB231" s="428">
        <v>63054.92</v>
      </c>
      <c r="AC231" s="428">
        <v>-63054.59</v>
      </c>
      <c r="AD231" s="428">
        <v>0</v>
      </c>
      <c r="AE231" s="429">
        <v>0</v>
      </c>
      <c r="AF231" s="429">
        <v>0</v>
      </c>
      <c r="AG231" s="667">
        <v>0</v>
      </c>
      <c r="AH231" s="667">
        <v>0</v>
      </c>
      <c r="AI231" s="667">
        <v>0</v>
      </c>
      <c r="AJ231" s="667">
        <v>0</v>
      </c>
      <c r="AK231" s="667">
        <v>0</v>
      </c>
      <c r="AL231" s="667">
        <v>0</v>
      </c>
      <c r="AM231" s="649">
        <f t="shared" si="21"/>
        <v>0.33000000000174623</v>
      </c>
      <c r="AN231" s="651">
        <f>ERP_27[[#This Row],[2026 Working Total]]-ERP_27[[#This Row],[LE2 Final Submission]]</f>
        <v>0</v>
      </c>
      <c r="AO231" s="652">
        <v>0</v>
      </c>
      <c r="AP231" s="652">
        <f t="shared" si="20"/>
        <v>0</v>
      </c>
      <c r="AQ231" s="374">
        <f>SUM(ERP_27[[#This Row],[AP01]:[AP06]])-SUM(ERP_27[[#This Row],[AP01 LE2]:[AP06 LE2]])</f>
        <v>0</v>
      </c>
      <c r="AR231" s="653"/>
      <c r="AS231" s="652">
        <f>ERP_27[[#This Row],[2026 Working Total to Budget/LE]]-ERP_27[[#This Row],[Giveback]]</f>
        <v>0</v>
      </c>
      <c r="AT231" s="654"/>
      <c r="AU231" s="655"/>
      <c r="AV231" s="655">
        <v>63054.92</v>
      </c>
      <c r="AW231" s="655">
        <v>-63054.59</v>
      </c>
      <c r="AX231" s="655">
        <v>0</v>
      </c>
      <c r="AY231" s="655">
        <v>0</v>
      </c>
      <c r="AZ231" s="655">
        <v>0</v>
      </c>
      <c r="BA231" s="655">
        <v>0</v>
      </c>
      <c r="BB231" s="655">
        <v>0</v>
      </c>
      <c r="BC231" s="655">
        <v>0</v>
      </c>
      <c r="BD231" s="655">
        <v>0</v>
      </c>
      <c r="BE231" s="655">
        <v>0</v>
      </c>
      <c r="BF231" s="655">
        <v>0</v>
      </c>
      <c r="BG231" s="655">
        <v>0.33000000000174623</v>
      </c>
      <c r="BH231" s="652"/>
      <c r="BI231" s="652">
        <v>63054.92</v>
      </c>
      <c r="BJ231" s="652">
        <v>-63054.59</v>
      </c>
      <c r="BK231" s="652">
        <v>0</v>
      </c>
      <c r="BL231" s="652">
        <v>0</v>
      </c>
      <c r="BM231" s="652">
        <v>0</v>
      </c>
      <c r="BN231" s="652">
        <v>0</v>
      </c>
      <c r="BO231" s="652">
        <v>0</v>
      </c>
      <c r="BP231" s="652">
        <v>0</v>
      </c>
      <c r="BQ231" s="652">
        <v>0</v>
      </c>
      <c r="BR231" s="652">
        <v>0</v>
      </c>
      <c r="BS231" s="652">
        <v>0</v>
      </c>
      <c r="BT231" s="652">
        <v>0.33000000000174623</v>
      </c>
    </row>
    <row r="232" spans="1:72" ht="15" hidden="1" customHeight="1">
      <c r="A232" s="66" t="s">
        <v>2704</v>
      </c>
      <c r="B232" s="66"/>
      <c r="C232" s="66" t="s">
        <v>958</v>
      </c>
      <c r="D232" s="66" t="s">
        <v>958</v>
      </c>
      <c r="E232" s="150" t="s">
        <v>1136</v>
      </c>
      <c r="F232" s="482" t="s">
        <v>1566</v>
      </c>
      <c r="G232" s="150" t="s">
        <v>1450</v>
      </c>
      <c r="H232" s="150" t="s">
        <v>1450</v>
      </c>
      <c r="I232" s="150" t="s">
        <v>1345</v>
      </c>
      <c r="J232" s="150" t="s">
        <v>1450</v>
      </c>
      <c r="K232" s="150" t="s">
        <v>1346</v>
      </c>
      <c r="L232" s="511" t="s">
        <v>639</v>
      </c>
      <c r="M232" s="392" t="s">
        <v>1327</v>
      </c>
      <c r="N232" s="343"/>
      <c r="O232" s="343"/>
      <c r="P232" s="70" t="s">
        <v>147</v>
      </c>
      <c r="Q232" s="346"/>
      <c r="R232" s="343"/>
      <c r="S232" s="346"/>
      <c r="T232" s="150" t="s">
        <v>25</v>
      </c>
      <c r="U232" s="150"/>
      <c r="V232" s="643"/>
      <c r="W232" s="659">
        <v>0</v>
      </c>
      <c r="X232" s="659">
        <v>-0.13</v>
      </c>
      <c r="Y232" s="656"/>
      <c r="Z232" s="657"/>
      <c r="AA232" s="714"/>
      <c r="AB232" s="428">
        <v>-0.03</v>
      </c>
      <c r="AC232" s="428">
        <v>-0.1</v>
      </c>
      <c r="AD232" s="428">
        <v>0</v>
      </c>
      <c r="AE232" s="429">
        <v>0</v>
      </c>
      <c r="AF232" s="429">
        <v>0.56999999999999995</v>
      </c>
      <c r="AG232" s="649">
        <v>0</v>
      </c>
      <c r="AH232" s="649">
        <v>0</v>
      </c>
      <c r="AI232" s="649">
        <v>0</v>
      </c>
      <c r="AJ232" s="649">
        <v>0</v>
      </c>
      <c r="AK232" s="649">
        <v>0</v>
      </c>
      <c r="AL232" s="649">
        <v>0</v>
      </c>
      <c r="AM232" s="649">
        <f t="shared" si="21"/>
        <v>0.43999999999999995</v>
      </c>
      <c r="AN232" s="651">
        <f>ERP_27[[#This Row],[2026 Working Total]]-ERP_27[[#This Row],[LE2 Final Submission]]</f>
        <v>0.56999999999999995</v>
      </c>
      <c r="AO232" s="652">
        <v>0</v>
      </c>
      <c r="AP232" s="652">
        <f t="shared" si="20"/>
        <v>0.56999999999999995</v>
      </c>
      <c r="AQ232" s="374">
        <f>SUM(ERP_27[[#This Row],[AP01]:[AP06]])-SUM(ERP_27[[#This Row],[AP01 LE2]:[AP06 LE2]])</f>
        <v>0.56999999999999995</v>
      </c>
      <c r="AR232" s="653"/>
      <c r="AS232" s="652">
        <f>ERP_27[[#This Row],[2026 Working Total to Budget/LE]]-ERP_27[[#This Row],[Giveback]]</f>
        <v>0.56999999999999995</v>
      </c>
      <c r="AT232" s="654"/>
      <c r="AU232" s="655"/>
      <c r="AV232" s="655">
        <v>-0.03</v>
      </c>
      <c r="AW232" s="655">
        <v>-0.1</v>
      </c>
      <c r="AX232" s="655">
        <v>0</v>
      </c>
      <c r="AY232" s="655">
        <v>0</v>
      </c>
      <c r="AZ232" s="655">
        <v>0</v>
      </c>
      <c r="BA232" s="655">
        <v>0</v>
      </c>
      <c r="BB232" s="655">
        <v>0</v>
      </c>
      <c r="BC232" s="655">
        <v>0</v>
      </c>
      <c r="BD232" s="655">
        <v>0</v>
      </c>
      <c r="BE232" s="655">
        <v>0</v>
      </c>
      <c r="BF232" s="655">
        <v>0</v>
      </c>
      <c r="BG232" s="655">
        <v>-0.13</v>
      </c>
      <c r="BH232" s="652"/>
      <c r="BI232" s="652">
        <v>-0.03</v>
      </c>
      <c r="BJ232" s="652">
        <v>-0.1</v>
      </c>
      <c r="BK232" s="652">
        <v>0</v>
      </c>
      <c r="BL232" s="652">
        <v>0</v>
      </c>
      <c r="BM232" s="652">
        <v>0</v>
      </c>
      <c r="BN232" s="652">
        <v>0</v>
      </c>
      <c r="BO232" s="652">
        <v>0</v>
      </c>
      <c r="BP232" s="652">
        <v>0</v>
      </c>
      <c r="BQ232" s="652">
        <v>0</v>
      </c>
      <c r="BR232" s="652">
        <v>0</v>
      </c>
      <c r="BS232" s="652">
        <v>0</v>
      </c>
      <c r="BT232" s="652">
        <v>-0.13</v>
      </c>
    </row>
    <row r="233" spans="1:72" ht="15" hidden="1" customHeight="1">
      <c r="A233" s="66" t="s">
        <v>2752</v>
      </c>
      <c r="B233" s="66"/>
      <c r="C233" s="66" t="s">
        <v>987</v>
      </c>
      <c r="D233" s="66" t="s">
        <v>987</v>
      </c>
      <c r="E233" s="150" t="s">
        <v>1136</v>
      </c>
      <c r="F233" s="482" t="s">
        <v>1566</v>
      </c>
      <c r="G233" s="150" t="s">
        <v>1515</v>
      </c>
      <c r="H233" s="383" t="s">
        <v>1515</v>
      </c>
      <c r="I233" s="150" t="s">
        <v>1345</v>
      </c>
      <c r="J233" s="150" t="s">
        <v>1515</v>
      </c>
      <c r="K233" s="150" t="s">
        <v>1346</v>
      </c>
      <c r="L233" s="511" t="s">
        <v>639</v>
      </c>
      <c r="M233" s="392" t="s">
        <v>1327</v>
      </c>
      <c r="N233" s="343"/>
      <c r="O233" s="343"/>
      <c r="P233" s="70" t="s">
        <v>147</v>
      </c>
      <c r="Q233" s="346"/>
      <c r="R233" s="343"/>
      <c r="S233" s="346"/>
      <c r="T233" s="150" t="s">
        <v>25</v>
      </c>
      <c r="U233" s="150"/>
      <c r="V233" s="643"/>
      <c r="W233" s="659">
        <v>0</v>
      </c>
      <c r="X233" s="659">
        <v>0.63</v>
      </c>
      <c r="Y233" s="656"/>
      <c r="Z233" s="657"/>
      <c r="AA233" s="714"/>
      <c r="AB233" s="428"/>
      <c r="AC233" s="428">
        <v>0.63</v>
      </c>
      <c r="AD233" s="428">
        <v>0</v>
      </c>
      <c r="AE233" s="429">
        <v>-0.28000000000000003</v>
      </c>
      <c r="AF233" s="429">
        <v>0.1</v>
      </c>
      <c r="AG233" s="649">
        <v>0</v>
      </c>
      <c r="AH233" s="649">
        <v>0</v>
      </c>
      <c r="AI233" s="649">
        <v>0</v>
      </c>
      <c r="AJ233" s="649">
        <v>0</v>
      </c>
      <c r="AK233" s="649">
        <v>0</v>
      </c>
      <c r="AL233" s="649">
        <v>0</v>
      </c>
      <c r="AM233" s="649">
        <f t="shared" si="21"/>
        <v>0.44999999999999996</v>
      </c>
      <c r="AN233" s="651">
        <f>ERP_27[[#This Row],[2026 Working Total]]-ERP_27[[#This Row],[LE2 Final Submission]]</f>
        <v>-0.18000000000000005</v>
      </c>
      <c r="AO233" s="652">
        <v>0</v>
      </c>
      <c r="AP233" s="652">
        <f t="shared" si="20"/>
        <v>0.1</v>
      </c>
      <c r="AQ233" s="374">
        <f>SUM(ERP_27[[#This Row],[AP01]:[AP06]])-SUM(ERP_27[[#This Row],[AP01 LE2]:[AP06 LE2]])</f>
        <v>-0.18000000000000005</v>
      </c>
      <c r="AR233" s="653"/>
      <c r="AS233" s="652">
        <f>ERP_27[[#This Row],[2026 Working Total to Budget/LE]]-ERP_27[[#This Row],[Giveback]]</f>
        <v>-0.18000000000000005</v>
      </c>
      <c r="AT233" s="654"/>
      <c r="AU233" s="655"/>
      <c r="AV233" s="655"/>
      <c r="AW233" s="655">
        <v>0.63</v>
      </c>
      <c r="AX233" s="655">
        <v>0</v>
      </c>
      <c r="AY233" s="655">
        <v>0</v>
      </c>
      <c r="AZ233" s="655">
        <v>0</v>
      </c>
      <c r="BA233" s="655">
        <v>0</v>
      </c>
      <c r="BB233" s="655">
        <v>0</v>
      </c>
      <c r="BC233" s="655">
        <v>0</v>
      </c>
      <c r="BD233" s="655">
        <v>0</v>
      </c>
      <c r="BE233" s="655">
        <v>0</v>
      </c>
      <c r="BF233" s="655">
        <v>0</v>
      </c>
      <c r="BG233" s="655">
        <v>0.63</v>
      </c>
      <c r="BH233" s="652"/>
      <c r="BI233" s="652"/>
      <c r="BJ233" s="652">
        <v>0.63</v>
      </c>
      <c r="BK233" s="652">
        <v>0</v>
      </c>
      <c r="BL233" s="652">
        <v>0</v>
      </c>
      <c r="BM233" s="652">
        <v>0</v>
      </c>
      <c r="BN233" s="652">
        <v>0</v>
      </c>
      <c r="BO233" s="652">
        <v>0</v>
      </c>
      <c r="BP233" s="652">
        <v>0</v>
      </c>
      <c r="BQ233" s="652">
        <v>0</v>
      </c>
      <c r="BR233" s="652">
        <v>0</v>
      </c>
      <c r="BS233" s="652">
        <v>0</v>
      </c>
      <c r="BT233" s="652">
        <v>0.63</v>
      </c>
    </row>
    <row r="234" spans="1:72" ht="15" hidden="1" customHeight="1">
      <c r="A234" s="66" t="s">
        <v>2190</v>
      </c>
      <c r="B234" s="66"/>
      <c r="C234" s="66" t="s">
        <v>627</v>
      </c>
      <c r="D234" s="66" t="s">
        <v>2191</v>
      </c>
      <c r="E234" s="150" t="s">
        <v>1136</v>
      </c>
      <c r="F234" s="482" t="s">
        <v>1566</v>
      </c>
      <c r="G234" s="482" t="s">
        <v>1566</v>
      </c>
      <c r="H234" s="482" t="s">
        <v>1566</v>
      </c>
      <c r="I234" s="150" t="s">
        <v>1345</v>
      </c>
      <c r="J234" s="150" t="s">
        <v>1346</v>
      </c>
      <c r="K234" s="150" t="s">
        <v>1346</v>
      </c>
      <c r="L234" s="511" t="s">
        <v>625</v>
      </c>
      <c r="M234" s="392" t="s">
        <v>1648</v>
      </c>
      <c r="N234" s="343"/>
      <c r="O234" s="343"/>
      <c r="P234" s="70" t="s">
        <v>323</v>
      </c>
      <c r="Q234" s="346"/>
      <c r="R234" s="343"/>
      <c r="S234" s="346"/>
      <c r="T234" s="150" t="s">
        <v>25</v>
      </c>
      <c r="U234" s="150"/>
      <c r="V234" s="643"/>
      <c r="W234" s="659">
        <v>0</v>
      </c>
      <c r="X234" s="659">
        <v>3.5</v>
      </c>
      <c r="Y234" s="656"/>
      <c r="Z234" s="657"/>
      <c r="AA234" s="714"/>
      <c r="AB234" s="428">
        <v>3.5</v>
      </c>
      <c r="AC234" s="428">
        <v>0</v>
      </c>
      <c r="AD234" s="428" t="s">
        <v>1142</v>
      </c>
      <c r="AE234" s="429">
        <v>0</v>
      </c>
      <c r="AF234" s="429">
        <v>0</v>
      </c>
      <c r="AG234" s="649">
        <v>0</v>
      </c>
      <c r="AH234" s="649">
        <v>0</v>
      </c>
      <c r="AI234" s="649">
        <v>0</v>
      </c>
      <c r="AJ234" s="649">
        <v>0</v>
      </c>
      <c r="AK234" s="649">
        <v>0</v>
      </c>
      <c r="AL234" s="649">
        <v>0</v>
      </c>
      <c r="AM234" s="649">
        <f t="shared" si="21"/>
        <v>3.5</v>
      </c>
      <c r="AN234" s="651">
        <f>ERP_27[[#This Row],[2026 Working Total]]-ERP_27[[#This Row],[LE2 Final Submission]]</f>
        <v>0</v>
      </c>
      <c r="AO234" s="652">
        <v>0</v>
      </c>
      <c r="AP234" s="652">
        <f t="shared" si="20"/>
        <v>0</v>
      </c>
      <c r="AQ234" s="374">
        <f>SUM(ERP_27[[#This Row],[AP01]:[AP06]])-SUM(ERP_27[[#This Row],[AP01 LE2]:[AP06 LE2]])</f>
        <v>0</v>
      </c>
      <c r="AR234" s="653"/>
      <c r="AS234" s="652">
        <f>ERP_27[[#This Row],[2026 Working Total to Budget/LE]]-ERP_27[[#This Row],[Giveback]]</f>
        <v>0</v>
      </c>
      <c r="AT234" s="654"/>
      <c r="AU234" s="655"/>
      <c r="AV234" s="655">
        <v>3.5</v>
      </c>
      <c r="AW234" s="655">
        <v>0</v>
      </c>
      <c r="AX234" s="655">
        <v>0</v>
      </c>
      <c r="AY234" s="655">
        <v>0</v>
      </c>
      <c r="AZ234" s="655">
        <v>0</v>
      </c>
      <c r="BA234" s="655">
        <v>0</v>
      </c>
      <c r="BB234" s="655">
        <v>0</v>
      </c>
      <c r="BC234" s="655">
        <v>0</v>
      </c>
      <c r="BD234" s="655">
        <v>0</v>
      </c>
      <c r="BE234" s="655">
        <v>0</v>
      </c>
      <c r="BF234" s="655">
        <v>0</v>
      </c>
      <c r="BG234" s="655">
        <v>3.5</v>
      </c>
      <c r="BH234" s="652"/>
      <c r="BI234" s="652">
        <v>3.5</v>
      </c>
      <c r="BJ234" s="652">
        <v>0</v>
      </c>
      <c r="BK234" s="652">
        <v>0</v>
      </c>
      <c r="BL234" s="652">
        <v>0</v>
      </c>
      <c r="BM234" s="652">
        <v>0</v>
      </c>
      <c r="BN234" s="652">
        <v>0</v>
      </c>
      <c r="BO234" s="652">
        <v>0</v>
      </c>
      <c r="BP234" s="652">
        <v>0</v>
      </c>
      <c r="BQ234" s="652">
        <v>0</v>
      </c>
      <c r="BR234" s="652">
        <v>0</v>
      </c>
      <c r="BS234" s="652">
        <v>0</v>
      </c>
      <c r="BT234" s="652">
        <v>3.5</v>
      </c>
    </row>
    <row r="235" spans="1:72" ht="15" hidden="1" customHeight="1">
      <c r="A235" s="66" t="s">
        <v>2835</v>
      </c>
      <c r="B235" s="66"/>
      <c r="C235" s="66" t="s">
        <v>1032</v>
      </c>
      <c r="D235" s="66" t="s">
        <v>2836</v>
      </c>
      <c r="E235" s="150" t="s">
        <v>1136</v>
      </c>
      <c r="F235" s="482" t="s">
        <v>1566</v>
      </c>
      <c r="G235" s="150" t="s">
        <v>1566</v>
      </c>
      <c r="H235" s="150" t="s">
        <v>1566</v>
      </c>
      <c r="I235" s="150" t="s">
        <v>1567</v>
      </c>
      <c r="J235" s="150" t="s">
        <v>1567</v>
      </c>
      <c r="K235" s="150" t="s">
        <v>1567</v>
      </c>
      <c r="L235" s="511" t="s">
        <v>1027</v>
      </c>
      <c r="M235" s="392" t="s">
        <v>1645</v>
      </c>
      <c r="N235" s="343"/>
      <c r="O235" s="343"/>
      <c r="P235" s="70" t="s">
        <v>321</v>
      </c>
      <c r="Q235" s="346"/>
      <c r="R235" s="343"/>
      <c r="S235" s="346"/>
      <c r="T235" s="150" t="s">
        <v>25</v>
      </c>
      <c r="U235" s="150"/>
      <c r="V235" s="643"/>
      <c r="W235" s="659">
        <v>0</v>
      </c>
      <c r="X235" s="659">
        <v>8.51</v>
      </c>
      <c r="Y235" s="656"/>
      <c r="Z235" s="657"/>
      <c r="AA235" s="714"/>
      <c r="AB235" s="428">
        <v>8.51</v>
      </c>
      <c r="AC235" s="428">
        <v>0</v>
      </c>
      <c r="AD235" s="428" t="s">
        <v>1142</v>
      </c>
      <c r="AE235" s="429">
        <v>0</v>
      </c>
      <c r="AF235" s="429">
        <v>0</v>
      </c>
      <c r="AG235" s="649">
        <v>0</v>
      </c>
      <c r="AH235" s="649">
        <v>0</v>
      </c>
      <c r="AI235" s="649">
        <v>0</v>
      </c>
      <c r="AJ235" s="649">
        <v>0</v>
      </c>
      <c r="AK235" s="649">
        <v>0</v>
      </c>
      <c r="AL235" s="649">
        <v>0</v>
      </c>
      <c r="AM235" s="649">
        <f t="shared" si="21"/>
        <v>8.51</v>
      </c>
      <c r="AN235" s="651">
        <f>ERP_27[[#This Row],[2026 Working Total]]-ERP_27[[#This Row],[LE2 Final Submission]]</f>
        <v>0</v>
      </c>
      <c r="AO235" s="652">
        <v>0</v>
      </c>
      <c r="AP235" s="652">
        <f t="shared" si="20"/>
        <v>0</v>
      </c>
      <c r="AQ235" s="374">
        <f>SUM(ERP_27[[#This Row],[AP01]:[AP06]])-SUM(ERP_27[[#This Row],[AP01 LE2]:[AP06 LE2]])</f>
        <v>0</v>
      </c>
      <c r="AR235" s="653"/>
      <c r="AS235" s="652">
        <f>ERP_27[[#This Row],[2026 Working Total to Budget/LE]]-ERP_27[[#This Row],[Giveback]]</f>
        <v>0</v>
      </c>
      <c r="AT235" s="654"/>
      <c r="AU235" s="655"/>
      <c r="AV235" s="655">
        <v>8.51</v>
      </c>
      <c r="AW235" s="655">
        <v>0</v>
      </c>
      <c r="AX235" s="655">
        <v>0</v>
      </c>
      <c r="AY235" s="655">
        <v>0</v>
      </c>
      <c r="AZ235" s="655">
        <v>0</v>
      </c>
      <c r="BA235" s="655">
        <v>0</v>
      </c>
      <c r="BB235" s="655">
        <v>0</v>
      </c>
      <c r="BC235" s="655">
        <v>0</v>
      </c>
      <c r="BD235" s="655">
        <v>0</v>
      </c>
      <c r="BE235" s="655">
        <v>0</v>
      </c>
      <c r="BF235" s="655">
        <v>0</v>
      </c>
      <c r="BG235" s="655">
        <v>8.51</v>
      </c>
      <c r="BH235" s="652"/>
      <c r="BI235" s="652">
        <v>8.51</v>
      </c>
      <c r="BJ235" s="652">
        <v>0</v>
      </c>
      <c r="BK235" s="652">
        <v>0</v>
      </c>
      <c r="BL235" s="652">
        <v>0</v>
      </c>
      <c r="BM235" s="652">
        <v>0</v>
      </c>
      <c r="BN235" s="652">
        <v>0</v>
      </c>
      <c r="BO235" s="652">
        <v>0</v>
      </c>
      <c r="BP235" s="652">
        <v>0</v>
      </c>
      <c r="BQ235" s="652">
        <v>0</v>
      </c>
      <c r="BR235" s="652">
        <v>0</v>
      </c>
      <c r="BS235" s="652">
        <v>0</v>
      </c>
      <c r="BT235" s="652">
        <v>8.51</v>
      </c>
    </row>
    <row r="236" spans="1:72" ht="15" hidden="1" customHeight="1">
      <c r="A236" s="66" t="s">
        <v>2837</v>
      </c>
      <c r="B236" s="66"/>
      <c r="C236" s="66" t="s">
        <v>1033</v>
      </c>
      <c r="D236" s="66" t="s">
        <v>2838</v>
      </c>
      <c r="E236" s="150" t="s">
        <v>1136</v>
      </c>
      <c r="F236" s="482" t="s">
        <v>1566</v>
      </c>
      <c r="G236" s="482" t="s">
        <v>1566</v>
      </c>
      <c r="H236" s="482" t="s">
        <v>1566</v>
      </c>
      <c r="I236" s="150" t="s">
        <v>1345</v>
      </c>
      <c r="J236" s="150" t="s">
        <v>1346</v>
      </c>
      <c r="K236" s="150" t="s">
        <v>1346</v>
      </c>
      <c r="L236" s="511" t="s">
        <v>1027</v>
      </c>
      <c r="M236" s="392" t="s">
        <v>1648</v>
      </c>
      <c r="N236" s="343"/>
      <c r="O236" s="343"/>
      <c r="P236" s="70" t="s">
        <v>636</v>
      </c>
      <c r="Q236" s="346"/>
      <c r="R236" s="343"/>
      <c r="S236" s="346"/>
      <c r="T236" s="150" t="s">
        <v>25</v>
      </c>
      <c r="U236" s="150"/>
      <c r="V236" s="643"/>
      <c r="W236" s="659">
        <v>0</v>
      </c>
      <c r="X236" s="659">
        <v>11.32</v>
      </c>
      <c r="Y236" s="656"/>
      <c r="Z236" s="657"/>
      <c r="AA236" s="714"/>
      <c r="AB236" s="428">
        <v>11.32</v>
      </c>
      <c r="AC236" s="428">
        <v>0</v>
      </c>
      <c r="AD236" s="428" t="s">
        <v>1142</v>
      </c>
      <c r="AE236" s="429">
        <v>0</v>
      </c>
      <c r="AF236" s="429">
        <v>0</v>
      </c>
      <c r="AG236" s="649">
        <v>0</v>
      </c>
      <c r="AH236" s="649">
        <v>0</v>
      </c>
      <c r="AI236" s="649">
        <v>0</v>
      </c>
      <c r="AJ236" s="649">
        <v>0</v>
      </c>
      <c r="AK236" s="649">
        <v>0</v>
      </c>
      <c r="AL236" s="649">
        <v>0</v>
      </c>
      <c r="AM236" s="649">
        <f t="shared" si="21"/>
        <v>11.32</v>
      </c>
      <c r="AN236" s="651">
        <f>ERP_27[[#This Row],[2026 Working Total]]-ERP_27[[#This Row],[LE2 Final Submission]]</f>
        <v>0</v>
      </c>
      <c r="AO236" s="652">
        <v>0</v>
      </c>
      <c r="AP236" s="652">
        <f t="shared" si="20"/>
        <v>0</v>
      </c>
      <c r="AQ236" s="374">
        <f>SUM(ERP_27[[#This Row],[AP01]:[AP06]])-SUM(ERP_27[[#This Row],[AP01 LE2]:[AP06 LE2]])</f>
        <v>0</v>
      </c>
      <c r="AR236" s="653"/>
      <c r="AS236" s="652">
        <f>ERP_27[[#This Row],[2026 Working Total to Budget/LE]]-ERP_27[[#This Row],[Giveback]]</f>
        <v>0</v>
      </c>
      <c r="AT236" s="654"/>
      <c r="AU236" s="655"/>
      <c r="AV236" s="655">
        <v>11.32</v>
      </c>
      <c r="AW236" s="655">
        <v>0</v>
      </c>
      <c r="AX236" s="655">
        <v>0</v>
      </c>
      <c r="AY236" s="655">
        <v>0</v>
      </c>
      <c r="AZ236" s="655">
        <v>0</v>
      </c>
      <c r="BA236" s="655">
        <v>0</v>
      </c>
      <c r="BB236" s="655">
        <v>0</v>
      </c>
      <c r="BC236" s="655">
        <v>0</v>
      </c>
      <c r="BD236" s="655">
        <v>0</v>
      </c>
      <c r="BE236" s="655">
        <v>0</v>
      </c>
      <c r="BF236" s="655">
        <v>0</v>
      </c>
      <c r="BG236" s="655">
        <v>11.32</v>
      </c>
      <c r="BH236" s="652"/>
      <c r="BI236" s="652">
        <v>11.32</v>
      </c>
      <c r="BJ236" s="652">
        <v>0</v>
      </c>
      <c r="BK236" s="652">
        <v>0</v>
      </c>
      <c r="BL236" s="652">
        <v>0</v>
      </c>
      <c r="BM236" s="652">
        <v>0</v>
      </c>
      <c r="BN236" s="652">
        <v>0</v>
      </c>
      <c r="BO236" s="652">
        <v>0</v>
      </c>
      <c r="BP236" s="652">
        <v>0</v>
      </c>
      <c r="BQ236" s="652">
        <v>0</v>
      </c>
      <c r="BR236" s="652">
        <v>0</v>
      </c>
      <c r="BS236" s="652">
        <v>0</v>
      </c>
      <c r="BT236" s="652">
        <v>11.32</v>
      </c>
    </row>
    <row r="237" spans="1:72" ht="15" hidden="1" customHeight="1">
      <c r="A237" s="150" t="s">
        <v>1891</v>
      </c>
      <c r="B237" s="150"/>
      <c r="C237" s="536" t="s">
        <v>462</v>
      </c>
      <c r="D237" s="296" t="s">
        <v>1892</v>
      </c>
      <c r="E237" s="150" t="s">
        <v>1136</v>
      </c>
      <c r="F237" s="482" t="s">
        <v>1566</v>
      </c>
      <c r="G237" s="150" t="s">
        <v>1135</v>
      </c>
      <c r="H237" s="150" t="s">
        <v>1165</v>
      </c>
      <c r="I237" s="150" t="s">
        <v>1135</v>
      </c>
      <c r="J237" s="150" t="s">
        <v>1165</v>
      </c>
      <c r="K237" s="150" t="s">
        <v>1165</v>
      </c>
      <c r="L237" s="514" t="s">
        <v>389</v>
      </c>
      <c r="M237" s="394" t="s">
        <v>1893</v>
      </c>
      <c r="N237" s="333"/>
      <c r="O237" s="332" t="s">
        <v>1284</v>
      </c>
      <c r="P237" s="90" t="s">
        <v>463</v>
      </c>
      <c r="Q237" s="347"/>
      <c r="R237" s="347"/>
      <c r="S237" s="348"/>
      <c r="T237" s="348"/>
      <c r="U237" s="348"/>
      <c r="V237" s="646"/>
      <c r="W237" s="659"/>
      <c r="X237" s="659"/>
      <c r="Y237" s="656"/>
      <c r="Z237" s="657"/>
      <c r="AA237" s="714"/>
      <c r="AB237" s="428"/>
      <c r="AC237" s="428"/>
      <c r="AD237" s="429">
        <v>18.2</v>
      </c>
      <c r="AE237" s="429">
        <v>0</v>
      </c>
      <c r="AF237" s="429">
        <v>0</v>
      </c>
      <c r="AG237" s="649"/>
      <c r="AH237" s="649"/>
      <c r="AI237" s="649"/>
      <c r="AJ237" s="649"/>
      <c r="AK237" s="649"/>
      <c r="AL237" s="649"/>
      <c r="AM237" s="649">
        <f t="shared" si="21"/>
        <v>18.2</v>
      </c>
      <c r="AN237" s="651">
        <f>ERP_27[[#This Row],[2026 Working Total]]-ERP_27[[#This Row],[LE2 Final Submission]]</f>
        <v>18.2</v>
      </c>
      <c r="AO237" s="652"/>
      <c r="AP237" s="652">
        <f t="shared" si="20"/>
        <v>0</v>
      </c>
      <c r="AQ237" s="374">
        <f>SUM(ERP_27[[#This Row],[AP01]:[AP06]])-SUM(ERP_27[[#This Row],[AP01 LE2]:[AP06 LE2]])</f>
        <v>18.2</v>
      </c>
      <c r="AR237" s="653"/>
      <c r="AS237" s="652">
        <f>ERP_27[[#This Row],[2026 Working Total to Budget/LE]]-ERP_27[[#This Row],[Giveback]]</f>
        <v>18.2</v>
      </c>
      <c r="AT237" s="654"/>
      <c r="AU237" s="655"/>
      <c r="AV237" s="655"/>
      <c r="AW237" s="655"/>
      <c r="AX237" s="655"/>
      <c r="AY237" s="655"/>
      <c r="AZ237" s="655"/>
      <c r="BA237" s="655"/>
      <c r="BB237" s="655"/>
      <c r="BC237" s="655"/>
      <c r="BD237" s="655"/>
      <c r="BE237" s="655"/>
      <c r="BF237" s="655"/>
      <c r="BG237" s="655"/>
      <c r="BH237" s="652"/>
      <c r="BI237" s="652"/>
      <c r="BJ237" s="652"/>
      <c r="BK237" s="652"/>
      <c r="BL237" s="652"/>
      <c r="BM237" s="652"/>
      <c r="BN237" s="652"/>
      <c r="BO237" s="652"/>
      <c r="BP237" s="652"/>
      <c r="BQ237" s="652"/>
      <c r="BR237" s="652"/>
      <c r="BS237" s="652"/>
      <c r="BT237" s="652"/>
    </row>
    <row r="238" spans="1:72" ht="15" hidden="1" customHeight="1">
      <c r="A238" s="150" t="s">
        <v>1767</v>
      </c>
      <c r="B238" s="150"/>
      <c r="C238" s="536" t="s">
        <v>399</v>
      </c>
      <c r="D238" s="296" t="s">
        <v>1768</v>
      </c>
      <c r="E238" s="150" t="s">
        <v>1136</v>
      </c>
      <c r="F238" s="482" t="s">
        <v>1566</v>
      </c>
      <c r="G238" s="150" t="s">
        <v>1135</v>
      </c>
      <c r="H238" s="383" t="s">
        <v>1145</v>
      </c>
      <c r="I238" s="332" t="s">
        <v>1135</v>
      </c>
      <c r="J238" s="383" t="s">
        <v>1145</v>
      </c>
      <c r="K238" s="383" t="s">
        <v>1145</v>
      </c>
      <c r="L238" s="514" t="s">
        <v>389</v>
      </c>
      <c r="M238" s="394" t="s">
        <v>1769</v>
      </c>
      <c r="N238" s="333"/>
      <c r="O238" s="332" t="s">
        <v>1186</v>
      </c>
      <c r="P238" s="90" t="s">
        <v>400</v>
      </c>
      <c r="Q238" s="347"/>
      <c r="R238" s="347"/>
      <c r="S238" s="348"/>
      <c r="T238" s="348"/>
      <c r="U238" s="348"/>
      <c r="V238" s="646"/>
      <c r="W238" s="659"/>
      <c r="X238" s="659"/>
      <c r="Y238" s="656"/>
      <c r="Z238" s="657"/>
      <c r="AA238" s="714"/>
      <c r="AB238" s="428"/>
      <c r="AC238" s="428"/>
      <c r="AD238" s="429">
        <v>19</v>
      </c>
      <c r="AE238" s="429">
        <v>0</v>
      </c>
      <c r="AF238" s="429">
        <v>0</v>
      </c>
      <c r="AG238" s="649"/>
      <c r="AH238" s="649"/>
      <c r="AI238" s="649"/>
      <c r="AJ238" s="649"/>
      <c r="AK238" s="649"/>
      <c r="AL238" s="649"/>
      <c r="AM238" s="649">
        <f t="shared" si="21"/>
        <v>19</v>
      </c>
      <c r="AN238" s="651">
        <f>ERP_27[[#This Row],[2026 Working Total]]-ERP_27[[#This Row],[LE2 Final Submission]]</f>
        <v>19</v>
      </c>
      <c r="AO238" s="652">
        <v>0</v>
      </c>
      <c r="AP238" s="652">
        <f t="shared" si="20"/>
        <v>0</v>
      </c>
      <c r="AQ238" s="374">
        <f>SUM(ERP_27[[#This Row],[AP01]:[AP06]])-SUM(ERP_27[[#This Row],[AP01 LE2]:[AP06 LE2]])</f>
        <v>19</v>
      </c>
      <c r="AR238" s="653"/>
      <c r="AS238" s="652">
        <f>ERP_27[[#This Row],[2026 Working Total to Budget/LE]]-ERP_27[[#This Row],[Giveback]]</f>
        <v>19</v>
      </c>
      <c r="AT238" s="654"/>
      <c r="AU238" s="655"/>
      <c r="AV238" s="655"/>
      <c r="AW238" s="655"/>
      <c r="AX238" s="655"/>
      <c r="AY238" s="655"/>
      <c r="AZ238" s="655"/>
      <c r="BA238" s="655"/>
      <c r="BB238" s="655"/>
      <c r="BC238" s="655"/>
      <c r="BD238" s="655"/>
      <c r="BE238" s="655"/>
      <c r="BF238" s="655"/>
      <c r="BG238" s="655"/>
      <c r="BH238" s="652"/>
      <c r="BI238" s="652"/>
      <c r="BJ238" s="652"/>
      <c r="BK238" s="652"/>
      <c r="BL238" s="652"/>
      <c r="BM238" s="652"/>
      <c r="BN238" s="652"/>
      <c r="BO238" s="652"/>
      <c r="BP238" s="652"/>
      <c r="BQ238" s="652"/>
      <c r="BR238" s="652"/>
      <c r="BS238" s="652"/>
      <c r="BT238" s="652"/>
    </row>
    <row r="239" spans="1:72" ht="15" hidden="1" customHeight="1">
      <c r="A239" s="66" t="s">
        <v>2188</v>
      </c>
      <c r="B239" s="66"/>
      <c r="C239" s="66" t="s">
        <v>626</v>
      </c>
      <c r="D239" s="66" t="s">
        <v>2189</v>
      </c>
      <c r="E239" s="150" t="s">
        <v>1136</v>
      </c>
      <c r="F239" s="482" t="s">
        <v>1566</v>
      </c>
      <c r="G239" s="482" t="s">
        <v>1566</v>
      </c>
      <c r="H239" s="482" t="s">
        <v>1566</v>
      </c>
      <c r="I239" s="150" t="s">
        <v>1345</v>
      </c>
      <c r="J239" s="150" t="s">
        <v>1346</v>
      </c>
      <c r="K239" s="150" t="s">
        <v>1346</v>
      </c>
      <c r="L239" s="511" t="s">
        <v>625</v>
      </c>
      <c r="M239" s="392" t="s">
        <v>611</v>
      </c>
      <c r="N239" s="343"/>
      <c r="O239" s="343"/>
      <c r="P239" s="70" t="s">
        <v>610</v>
      </c>
      <c r="Q239" s="346"/>
      <c r="R239" s="343"/>
      <c r="S239" s="346"/>
      <c r="T239" s="150" t="s">
        <v>611</v>
      </c>
      <c r="U239" s="150"/>
      <c r="V239" s="643"/>
      <c r="W239" s="659">
        <v>0</v>
      </c>
      <c r="X239" s="659">
        <v>20.21</v>
      </c>
      <c r="Y239" s="656"/>
      <c r="Z239" s="657"/>
      <c r="AA239" s="714">
        <v>16.29</v>
      </c>
      <c r="AB239" s="428">
        <v>0</v>
      </c>
      <c r="AC239" s="428">
        <v>3.92</v>
      </c>
      <c r="AD239" s="428" t="s">
        <v>1142</v>
      </c>
      <c r="AE239" s="429">
        <v>0</v>
      </c>
      <c r="AF239" s="429">
        <v>0</v>
      </c>
      <c r="AG239" s="683">
        <v>0</v>
      </c>
      <c r="AH239" s="683">
        <v>0</v>
      </c>
      <c r="AI239" s="683">
        <v>0</v>
      </c>
      <c r="AJ239" s="683">
        <v>0</v>
      </c>
      <c r="AK239" s="683">
        <v>0</v>
      </c>
      <c r="AL239" s="683">
        <v>0</v>
      </c>
      <c r="AM239" s="649">
        <f t="shared" si="21"/>
        <v>20.21</v>
      </c>
      <c r="AN239" s="651">
        <f>ERP_27[[#This Row],[2026 Working Total]]-ERP_27[[#This Row],[LE2 Final Submission]]</f>
        <v>0</v>
      </c>
      <c r="AO239" s="652">
        <v>0</v>
      </c>
      <c r="AP239" s="652">
        <f t="shared" si="20"/>
        <v>0</v>
      </c>
      <c r="AQ239" s="374">
        <f>SUM(ERP_27[[#This Row],[AP01]:[AP06]])-SUM(ERP_27[[#This Row],[AP01 LE2]:[AP06 LE2]])</f>
        <v>0</v>
      </c>
      <c r="AR239" s="653"/>
      <c r="AS239" s="652">
        <f>ERP_27[[#This Row],[2026 Working Total to Budget/LE]]-ERP_27[[#This Row],[Giveback]]</f>
        <v>0</v>
      </c>
      <c r="AT239" s="654"/>
      <c r="AU239" s="655">
        <v>16.29</v>
      </c>
      <c r="AV239" s="655">
        <v>0</v>
      </c>
      <c r="AW239" s="655">
        <v>3.92</v>
      </c>
      <c r="AX239" s="655">
        <v>0</v>
      </c>
      <c r="AY239" s="655">
        <v>0</v>
      </c>
      <c r="AZ239" s="655">
        <v>0</v>
      </c>
      <c r="BA239" s="655">
        <v>0</v>
      </c>
      <c r="BB239" s="655">
        <v>0</v>
      </c>
      <c r="BC239" s="655">
        <v>0</v>
      </c>
      <c r="BD239" s="655">
        <v>0</v>
      </c>
      <c r="BE239" s="655">
        <v>0</v>
      </c>
      <c r="BF239" s="655">
        <v>0</v>
      </c>
      <c r="BG239" s="655">
        <v>20.21</v>
      </c>
      <c r="BH239" s="652">
        <v>16.29</v>
      </c>
      <c r="BI239" s="652">
        <v>0</v>
      </c>
      <c r="BJ239" s="652">
        <v>3.92</v>
      </c>
      <c r="BK239" s="652">
        <v>0</v>
      </c>
      <c r="BL239" s="652">
        <v>0</v>
      </c>
      <c r="BM239" s="652">
        <v>0</v>
      </c>
      <c r="BN239" s="652">
        <v>0</v>
      </c>
      <c r="BO239" s="652">
        <v>0</v>
      </c>
      <c r="BP239" s="652">
        <v>0</v>
      </c>
      <c r="BQ239" s="652">
        <v>0</v>
      </c>
      <c r="BR239" s="652">
        <v>0</v>
      </c>
      <c r="BS239" s="652">
        <v>0</v>
      </c>
      <c r="BT239" s="652">
        <v>20.21</v>
      </c>
    </row>
    <row r="240" spans="1:72" s="15" customFormat="1" ht="15" hidden="1" customHeight="1">
      <c r="A240" s="150" t="s">
        <v>1294</v>
      </c>
      <c r="B240" s="150"/>
      <c r="C240" s="536" t="s">
        <v>132</v>
      </c>
      <c r="D240" s="296" t="s">
        <v>1295</v>
      </c>
      <c r="E240" s="150" t="s">
        <v>1136</v>
      </c>
      <c r="F240" s="482" t="s">
        <v>1566</v>
      </c>
      <c r="G240" s="150" t="s">
        <v>1135</v>
      </c>
      <c r="H240" s="332" t="s">
        <v>1165</v>
      </c>
      <c r="I240" s="150" t="s">
        <v>1135</v>
      </c>
      <c r="J240" s="332" t="s">
        <v>1165</v>
      </c>
      <c r="K240" s="333" t="s">
        <v>1165</v>
      </c>
      <c r="L240" s="514" t="s">
        <v>49</v>
      </c>
      <c r="M240" s="394" t="s">
        <v>1296</v>
      </c>
      <c r="N240" s="333"/>
      <c r="O240" s="332" t="s">
        <v>1284</v>
      </c>
      <c r="P240" s="90" t="s">
        <v>133</v>
      </c>
      <c r="Q240" s="347"/>
      <c r="R240" s="347"/>
      <c r="S240" s="348"/>
      <c r="T240" s="348"/>
      <c r="U240" s="348"/>
      <c r="V240" s="646"/>
      <c r="W240" s="659"/>
      <c r="X240" s="659"/>
      <c r="Y240" s="656"/>
      <c r="Z240" s="657"/>
      <c r="AA240" s="714"/>
      <c r="AB240" s="428"/>
      <c r="AC240" s="428"/>
      <c r="AD240" s="428"/>
      <c r="AE240" s="429">
        <v>28.36</v>
      </c>
      <c r="AF240" s="429">
        <v>0</v>
      </c>
      <c r="AG240" s="649"/>
      <c r="AH240" s="649"/>
      <c r="AI240" s="649"/>
      <c r="AJ240" s="649"/>
      <c r="AK240" s="649"/>
      <c r="AL240" s="649"/>
      <c r="AM240" s="649">
        <f t="shared" si="21"/>
        <v>28.36</v>
      </c>
      <c r="AN240" s="651">
        <f>ERP_27[[#This Row],[2026 Working Total]]-ERP_27[[#This Row],[LE2 Final Submission]]</f>
        <v>28.36</v>
      </c>
      <c r="AO240" s="652"/>
      <c r="AP240" s="652">
        <f t="shared" si="20"/>
        <v>0</v>
      </c>
      <c r="AQ240" s="374">
        <f>SUM(ERP_27[[#This Row],[AP01]:[AP06]])-SUM(ERP_27[[#This Row],[AP01 LE2]:[AP06 LE2]])</f>
        <v>28.36</v>
      </c>
      <c r="AR240" s="653"/>
      <c r="AS240" s="652">
        <f>ERP_27[[#This Row],[2026 Working Total to Budget/LE]]-ERP_27[[#This Row],[Giveback]]</f>
        <v>28.36</v>
      </c>
      <c r="AT240" s="654"/>
      <c r="AU240" s="655"/>
      <c r="AV240" s="655"/>
      <c r="AW240" s="655"/>
      <c r="AX240" s="655"/>
      <c r="AY240" s="655"/>
      <c r="AZ240" s="655"/>
      <c r="BA240" s="655"/>
      <c r="BB240" s="655"/>
      <c r="BC240" s="655"/>
      <c r="BD240" s="655"/>
      <c r="BE240" s="655"/>
      <c r="BF240" s="655"/>
      <c r="BG240" s="655"/>
      <c r="BH240" s="652"/>
      <c r="BI240" s="652"/>
      <c r="BJ240" s="652"/>
      <c r="BK240" s="652"/>
      <c r="BL240" s="652"/>
      <c r="BM240" s="652"/>
      <c r="BN240" s="652"/>
      <c r="BO240" s="652"/>
      <c r="BP240" s="652"/>
      <c r="BQ240" s="652"/>
      <c r="BR240" s="652"/>
      <c r="BS240" s="652"/>
      <c r="BT240" s="652"/>
    </row>
    <row r="241" spans="1:72" ht="15" hidden="1" customHeight="1">
      <c r="A241" s="66" t="s">
        <v>2125</v>
      </c>
      <c r="B241" s="66"/>
      <c r="C241" s="66" t="s">
        <v>586</v>
      </c>
      <c r="D241" s="66" t="s">
        <v>2126</v>
      </c>
      <c r="E241" s="150" t="s">
        <v>1136</v>
      </c>
      <c r="F241" s="482" t="s">
        <v>1566</v>
      </c>
      <c r="G241" s="150" t="s">
        <v>1566</v>
      </c>
      <c r="H241" s="150" t="s">
        <v>1566</v>
      </c>
      <c r="I241" s="150" t="s">
        <v>1567</v>
      </c>
      <c r="J241" s="150" t="s">
        <v>1567</v>
      </c>
      <c r="K241" s="150" t="s">
        <v>1567</v>
      </c>
      <c r="L241" s="511" t="s">
        <v>389</v>
      </c>
      <c r="M241" s="392" t="s">
        <v>2127</v>
      </c>
      <c r="N241" s="343"/>
      <c r="O241" s="343"/>
      <c r="P241" s="70" t="s">
        <v>587</v>
      </c>
      <c r="Q241" s="346"/>
      <c r="R241" s="343"/>
      <c r="S241" s="346"/>
      <c r="T241" s="150" t="s">
        <v>25</v>
      </c>
      <c r="U241" s="150"/>
      <c r="V241" s="643"/>
      <c r="W241" s="659">
        <v>0</v>
      </c>
      <c r="X241" s="659">
        <v>21.89</v>
      </c>
      <c r="Y241" s="656"/>
      <c r="Z241" s="657"/>
      <c r="AA241" s="714">
        <v>11.06</v>
      </c>
      <c r="AB241" s="428">
        <v>5.54</v>
      </c>
      <c r="AC241" s="428">
        <v>5.29</v>
      </c>
      <c r="AD241" s="428">
        <v>5.5299999999999994</v>
      </c>
      <c r="AE241" s="429">
        <v>5.33</v>
      </c>
      <c r="AF241" s="429">
        <v>5.5299999999999994</v>
      </c>
      <c r="AG241" s="649">
        <v>0</v>
      </c>
      <c r="AH241" s="649">
        <v>0</v>
      </c>
      <c r="AI241" s="649">
        <v>0</v>
      </c>
      <c r="AJ241" s="649">
        <v>0</v>
      </c>
      <c r="AK241" s="649">
        <v>0</v>
      </c>
      <c r="AL241" s="649">
        <v>0</v>
      </c>
      <c r="AM241" s="649">
        <f t="shared" si="21"/>
        <v>38.28</v>
      </c>
      <c r="AN241" s="651">
        <f>ERP_27[[#This Row],[2026 Working Total]]-ERP_27[[#This Row],[LE2 Final Submission]]</f>
        <v>16.39</v>
      </c>
      <c r="AO241" s="652">
        <v>0</v>
      </c>
      <c r="AP241" s="652">
        <f t="shared" si="20"/>
        <v>5.5299999999999994</v>
      </c>
      <c r="AQ241" s="374">
        <f>SUM(ERP_27[[#This Row],[AP01]:[AP06]])-SUM(ERP_27[[#This Row],[AP01 LE2]:[AP06 LE2]])</f>
        <v>16.39</v>
      </c>
      <c r="AR241" s="653"/>
      <c r="AS241" s="652">
        <f>ERP_27[[#This Row],[2026 Working Total to Budget/LE]]-ERP_27[[#This Row],[Giveback]]</f>
        <v>16.39</v>
      </c>
      <c r="AT241" s="654"/>
      <c r="AU241" s="655">
        <v>11.06</v>
      </c>
      <c r="AV241" s="655">
        <v>5.54</v>
      </c>
      <c r="AW241" s="655">
        <v>5.29</v>
      </c>
      <c r="AX241" s="655">
        <v>0</v>
      </c>
      <c r="AY241" s="655">
        <v>0</v>
      </c>
      <c r="AZ241" s="655">
        <v>0</v>
      </c>
      <c r="BA241" s="655">
        <v>0</v>
      </c>
      <c r="BB241" s="655">
        <v>0</v>
      </c>
      <c r="BC241" s="655">
        <v>0</v>
      </c>
      <c r="BD241" s="655">
        <v>0</v>
      </c>
      <c r="BE241" s="655">
        <v>0</v>
      </c>
      <c r="BF241" s="655">
        <v>0</v>
      </c>
      <c r="BG241" s="655">
        <v>21.89</v>
      </c>
      <c r="BH241" s="652">
        <v>11.06</v>
      </c>
      <c r="BI241" s="652">
        <v>5.54</v>
      </c>
      <c r="BJ241" s="652">
        <v>5.29</v>
      </c>
      <c r="BK241" s="652">
        <v>0</v>
      </c>
      <c r="BL241" s="652">
        <v>0</v>
      </c>
      <c r="BM241" s="652">
        <v>0</v>
      </c>
      <c r="BN241" s="652">
        <v>0</v>
      </c>
      <c r="BO241" s="652">
        <v>0</v>
      </c>
      <c r="BP241" s="652">
        <v>0</v>
      </c>
      <c r="BQ241" s="652">
        <v>0</v>
      </c>
      <c r="BR241" s="652">
        <v>0</v>
      </c>
      <c r="BS241" s="652">
        <v>0</v>
      </c>
      <c r="BT241" s="652">
        <v>21.89</v>
      </c>
    </row>
    <row r="242" spans="1:72" ht="15" hidden="1" customHeight="1">
      <c r="A242" s="66" t="s">
        <v>2646</v>
      </c>
      <c r="B242" s="66"/>
      <c r="C242" s="66" t="s">
        <v>931</v>
      </c>
      <c r="D242" s="66" t="s">
        <v>931</v>
      </c>
      <c r="E242" s="150" t="s">
        <v>1136</v>
      </c>
      <c r="F242" s="482" t="s">
        <v>1566</v>
      </c>
      <c r="G242" s="383" t="s">
        <v>1344</v>
      </c>
      <c r="H242" s="383" t="s">
        <v>1344</v>
      </c>
      <c r="I242" s="150" t="s">
        <v>1345</v>
      </c>
      <c r="J242" s="150" t="s">
        <v>1344</v>
      </c>
      <c r="K242" s="150" t="s">
        <v>1346</v>
      </c>
      <c r="L242" s="511" t="s">
        <v>639</v>
      </c>
      <c r="M242" s="392" t="s">
        <v>1327</v>
      </c>
      <c r="N242" s="343"/>
      <c r="O242" s="343"/>
      <c r="P242" s="70" t="s">
        <v>147</v>
      </c>
      <c r="Q242" s="346"/>
      <c r="R242" s="343"/>
      <c r="S242" s="346"/>
      <c r="T242" s="150" t="s">
        <v>25</v>
      </c>
      <c r="U242" s="150"/>
      <c r="V242" s="643"/>
      <c r="W242" s="659">
        <v>0</v>
      </c>
      <c r="X242" s="659">
        <v>44.39</v>
      </c>
      <c r="Y242" s="656"/>
      <c r="Z242" s="657"/>
      <c r="AA242" s="714">
        <v>44.95</v>
      </c>
      <c r="AB242" s="428">
        <v>-0.67</v>
      </c>
      <c r="AC242" s="428">
        <v>0.11</v>
      </c>
      <c r="AD242" s="428">
        <v>0.56000000000000005</v>
      </c>
      <c r="AE242" s="429">
        <v>-0.46</v>
      </c>
      <c r="AF242" s="429">
        <v>0.08</v>
      </c>
      <c r="AG242" s="649">
        <v>0</v>
      </c>
      <c r="AH242" s="649">
        <v>0</v>
      </c>
      <c r="AI242" s="649">
        <v>0</v>
      </c>
      <c r="AJ242" s="649">
        <v>0</v>
      </c>
      <c r="AK242" s="649">
        <v>0</v>
      </c>
      <c r="AL242" s="649">
        <v>0</v>
      </c>
      <c r="AM242" s="649">
        <f t="shared" si="21"/>
        <v>44.57</v>
      </c>
      <c r="AN242" s="651">
        <f>ERP_27[[#This Row],[2026 Working Total]]-ERP_27[[#This Row],[LE2 Final Submission]]</f>
        <v>0.17999999999999972</v>
      </c>
      <c r="AO242" s="652">
        <v>0</v>
      </c>
      <c r="AP242" s="652">
        <f t="shared" si="20"/>
        <v>0.08</v>
      </c>
      <c r="AQ242" s="374">
        <f>SUM(ERP_27[[#This Row],[AP01]:[AP06]])-SUM(ERP_27[[#This Row],[AP01 LE2]:[AP06 LE2]])</f>
        <v>0.17999999999999972</v>
      </c>
      <c r="AR242" s="653"/>
      <c r="AS242" s="652">
        <f>ERP_27[[#This Row],[2026 Working Total to Budget/LE]]-ERP_27[[#This Row],[Giveback]]</f>
        <v>0.17999999999999972</v>
      </c>
      <c r="AT242" s="654"/>
      <c r="AU242" s="655">
        <v>44.95</v>
      </c>
      <c r="AV242" s="655">
        <v>-0.67</v>
      </c>
      <c r="AW242" s="655">
        <v>0.11</v>
      </c>
      <c r="AX242" s="655">
        <v>0</v>
      </c>
      <c r="AY242" s="655">
        <v>0</v>
      </c>
      <c r="AZ242" s="655">
        <v>0</v>
      </c>
      <c r="BA242" s="655">
        <v>0</v>
      </c>
      <c r="BB242" s="655">
        <v>0</v>
      </c>
      <c r="BC242" s="655">
        <v>0</v>
      </c>
      <c r="BD242" s="655">
        <v>0</v>
      </c>
      <c r="BE242" s="655">
        <v>0</v>
      </c>
      <c r="BF242" s="655">
        <v>0</v>
      </c>
      <c r="BG242" s="655">
        <v>44.39</v>
      </c>
      <c r="BH242" s="652">
        <v>44.95</v>
      </c>
      <c r="BI242" s="652">
        <v>-0.67</v>
      </c>
      <c r="BJ242" s="652">
        <v>0.11</v>
      </c>
      <c r="BK242" s="652">
        <v>0</v>
      </c>
      <c r="BL242" s="652">
        <v>0</v>
      </c>
      <c r="BM242" s="652">
        <v>0</v>
      </c>
      <c r="BN242" s="652">
        <v>0</v>
      </c>
      <c r="BO242" s="652">
        <v>0</v>
      </c>
      <c r="BP242" s="652">
        <v>0</v>
      </c>
      <c r="BQ242" s="652">
        <v>0</v>
      </c>
      <c r="BR242" s="652">
        <v>0</v>
      </c>
      <c r="BS242" s="652">
        <v>0</v>
      </c>
      <c r="BT242" s="652">
        <v>44.39</v>
      </c>
    </row>
    <row r="243" spans="1:72" ht="15" hidden="1" customHeight="1">
      <c r="A243" s="66" t="s">
        <v>2857</v>
      </c>
      <c r="B243" s="66"/>
      <c r="C243" s="66" t="s">
        <v>1046</v>
      </c>
      <c r="D243" s="66" t="s">
        <v>2858</v>
      </c>
      <c r="E243" s="150" t="s">
        <v>1136</v>
      </c>
      <c r="F243" s="482" t="s">
        <v>1566</v>
      </c>
      <c r="G243" s="482" t="s">
        <v>1566</v>
      </c>
      <c r="H243" s="482" t="s">
        <v>1566</v>
      </c>
      <c r="I243" s="150" t="s">
        <v>1345</v>
      </c>
      <c r="J243" s="150" t="s">
        <v>1346</v>
      </c>
      <c r="K243" s="150" t="s">
        <v>1346</v>
      </c>
      <c r="L243" s="511" t="s">
        <v>1037</v>
      </c>
      <c r="M243" s="392" t="s">
        <v>1648</v>
      </c>
      <c r="N243" s="343"/>
      <c r="O243" s="343"/>
      <c r="P243" s="70" t="s">
        <v>323</v>
      </c>
      <c r="Q243" s="346"/>
      <c r="R243" s="343"/>
      <c r="S243" s="346"/>
      <c r="T243" s="150" t="s">
        <v>25</v>
      </c>
      <c r="U243" s="150"/>
      <c r="V243" s="643"/>
      <c r="W243" s="659">
        <v>0</v>
      </c>
      <c r="X243" s="659">
        <v>64.67</v>
      </c>
      <c r="Y243" s="656"/>
      <c r="Z243" s="657"/>
      <c r="AA243" s="714"/>
      <c r="AB243" s="719">
        <v>64.67</v>
      </c>
      <c r="AC243" s="428">
        <v>0</v>
      </c>
      <c r="AD243" s="428" t="s">
        <v>1142</v>
      </c>
      <c r="AE243" s="429">
        <v>0</v>
      </c>
      <c r="AF243" s="429">
        <v>0</v>
      </c>
      <c r="AG243" s="649">
        <v>0</v>
      </c>
      <c r="AH243" s="649">
        <v>0</v>
      </c>
      <c r="AI243" s="649">
        <v>0</v>
      </c>
      <c r="AJ243" s="649">
        <v>0</v>
      </c>
      <c r="AK243" s="649">
        <v>0</v>
      </c>
      <c r="AL243" s="649">
        <v>0</v>
      </c>
      <c r="AM243" s="649">
        <f t="shared" si="21"/>
        <v>64.67</v>
      </c>
      <c r="AN243" s="651">
        <f>ERP_27[[#This Row],[2026 Working Total]]-ERP_27[[#This Row],[LE2 Final Submission]]</f>
        <v>0</v>
      </c>
      <c r="AO243" s="652">
        <v>0</v>
      </c>
      <c r="AP243" s="652">
        <f t="shared" si="20"/>
        <v>0</v>
      </c>
      <c r="AQ243" s="374">
        <f>SUM(ERP_27[[#This Row],[AP01]:[AP06]])-SUM(ERP_27[[#This Row],[AP01 LE2]:[AP06 LE2]])</f>
        <v>0</v>
      </c>
      <c r="AR243" s="653"/>
      <c r="AS243" s="652">
        <f>ERP_27[[#This Row],[2026 Working Total to Budget/LE]]-ERP_27[[#This Row],[Giveback]]</f>
        <v>0</v>
      </c>
      <c r="AT243" s="654"/>
      <c r="AU243" s="655"/>
      <c r="AV243" s="655">
        <v>64.67</v>
      </c>
      <c r="AW243" s="655">
        <v>0</v>
      </c>
      <c r="AX243" s="655">
        <v>0</v>
      </c>
      <c r="AY243" s="655">
        <v>0</v>
      </c>
      <c r="AZ243" s="655">
        <v>0</v>
      </c>
      <c r="BA243" s="655">
        <v>0</v>
      </c>
      <c r="BB243" s="655">
        <v>0</v>
      </c>
      <c r="BC243" s="655">
        <v>0</v>
      </c>
      <c r="BD243" s="655">
        <v>0</v>
      </c>
      <c r="BE243" s="655">
        <v>0</v>
      </c>
      <c r="BF243" s="655">
        <v>0</v>
      </c>
      <c r="BG243" s="655">
        <v>64.67</v>
      </c>
      <c r="BH243" s="652"/>
      <c r="BI243" s="652">
        <v>64.67</v>
      </c>
      <c r="BJ243" s="652">
        <v>0</v>
      </c>
      <c r="BK243" s="652">
        <v>0</v>
      </c>
      <c r="BL243" s="652">
        <v>0</v>
      </c>
      <c r="BM243" s="652">
        <v>0</v>
      </c>
      <c r="BN243" s="652">
        <v>0</v>
      </c>
      <c r="BO243" s="652">
        <v>0</v>
      </c>
      <c r="BP243" s="652">
        <v>0</v>
      </c>
      <c r="BQ243" s="652">
        <v>0</v>
      </c>
      <c r="BR243" s="652">
        <v>0</v>
      </c>
      <c r="BS243" s="652">
        <v>0</v>
      </c>
      <c r="BT243" s="652">
        <v>64.67</v>
      </c>
    </row>
    <row r="244" spans="1:72" ht="15" hidden="1" customHeight="1">
      <c r="A244" s="66" t="s">
        <v>2162</v>
      </c>
      <c r="B244" s="66"/>
      <c r="C244" s="66" t="s">
        <v>613</v>
      </c>
      <c r="D244" s="66" t="s">
        <v>613</v>
      </c>
      <c r="E244" s="150" t="s">
        <v>1136</v>
      </c>
      <c r="F244" s="482" t="s">
        <v>1566</v>
      </c>
      <c r="G244" s="150" t="s">
        <v>1345</v>
      </c>
      <c r="H244" s="150" t="s">
        <v>1345</v>
      </c>
      <c r="I244" s="150" t="s">
        <v>1345</v>
      </c>
      <c r="J244" s="150" t="s">
        <v>1345</v>
      </c>
      <c r="K244" s="150" t="s">
        <v>1346</v>
      </c>
      <c r="L244" s="511" t="s">
        <v>602</v>
      </c>
      <c r="M244" s="392" t="s">
        <v>611</v>
      </c>
      <c r="N244" s="343"/>
      <c r="O244" s="343"/>
      <c r="P244" s="70" t="s">
        <v>610</v>
      </c>
      <c r="Q244" s="346"/>
      <c r="R244" s="343"/>
      <c r="S244" s="346"/>
      <c r="T244" s="150" t="s">
        <v>611</v>
      </c>
      <c r="U244" s="150"/>
      <c r="V244" s="643"/>
      <c r="W244" s="659">
        <v>0</v>
      </c>
      <c r="X244" s="659">
        <v>57</v>
      </c>
      <c r="Y244" s="656"/>
      <c r="Z244" s="657"/>
      <c r="AA244" s="714">
        <v>57</v>
      </c>
      <c r="AB244" s="428">
        <v>0</v>
      </c>
      <c r="AC244" s="428">
        <v>0</v>
      </c>
      <c r="AD244" s="428">
        <v>0</v>
      </c>
      <c r="AE244" s="429">
        <v>16</v>
      </c>
      <c r="AF244" s="429">
        <v>0</v>
      </c>
      <c r="AG244" s="649">
        <v>0</v>
      </c>
      <c r="AH244" s="649">
        <v>0</v>
      </c>
      <c r="AI244" s="649">
        <v>0</v>
      </c>
      <c r="AJ244" s="649">
        <v>0</v>
      </c>
      <c r="AK244" s="649">
        <v>0</v>
      </c>
      <c r="AL244" s="649">
        <v>0</v>
      </c>
      <c r="AM244" s="649">
        <f t="shared" si="21"/>
        <v>73</v>
      </c>
      <c r="AN244" s="651">
        <f>ERP_27[[#This Row],[2026 Working Total]]-ERP_27[[#This Row],[LE2 Final Submission]]</f>
        <v>16</v>
      </c>
      <c r="AO244" s="652">
        <v>0</v>
      </c>
      <c r="AP244" s="652">
        <f t="shared" si="20"/>
        <v>0</v>
      </c>
      <c r="AQ244" s="374">
        <f>SUM(ERP_27[[#This Row],[AP01]:[AP06]])-SUM(ERP_27[[#This Row],[AP01 LE2]:[AP06 LE2]])</f>
        <v>16</v>
      </c>
      <c r="AR244" s="653"/>
      <c r="AS244" s="652">
        <f>ERP_27[[#This Row],[2026 Working Total to Budget/LE]]-ERP_27[[#This Row],[Giveback]]</f>
        <v>16</v>
      </c>
      <c r="AT244" s="654"/>
      <c r="AU244" s="655">
        <v>57</v>
      </c>
      <c r="AV244" s="655">
        <v>0</v>
      </c>
      <c r="AW244" s="655">
        <v>0</v>
      </c>
      <c r="AX244" s="655">
        <v>0</v>
      </c>
      <c r="AY244" s="655">
        <v>0</v>
      </c>
      <c r="AZ244" s="655">
        <v>0</v>
      </c>
      <c r="BA244" s="655">
        <v>0</v>
      </c>
      <c r="BB244" s="655">
        <v>0</v>
      </c>
      <c r="BC244" s="655">
        <v>0</v>
      </c>
      <c r="BD244" s="655">
        <v>0</v>
      </c>
      <c r="BE244" s="655">
        <v>0</v>
      </c>
      <c r="BF244" s="655">
        <v>0</v>
      </c>
      <c r="BG244" s="655">
        <v>57</v>
      </c>
      <c r="BH244" s="652">
        <v>57</v>
      </c>
      <c r="BI244" s="652">
        <v>0</v>
      </c>
      <c r="BJ244" s="652">
        <v>0</v>
      </c>
      <c r="BK244" s="652">
        <v>0</v>
      </c>
      <c r="BL244" s="652">
        <v>0</v>
      </c>
      <c r="BM244" s="652">
        <v>0</v>
      </c>
      <c r="BN244" s="652">
        <v>0</v>
      </c>
      <c r="BO244" s="652">
        <v>0</v>
      </c>
      <c r="BP244" s="652">
        <v>0</v>
      </c>
      <c r="BQ244" s="652">
        <v>0</v>
      </c>
      <c r="BR244" s="652">
        <v>0</v>
      </c>
      <c r="BS244" s="652">
        <v>0</v>
      </c>
      <c r="BT244" s="652">
        <v>57</v>
      </c>
    </row>
    <row r="245" spans="1:72" ht="15" hidden="1" customHeight="1">
      <c r="A245" s="66" t="s">
        <v>1466</v>
      </c>
      <c r="B245" s="66"/>
      <c r="C245" s="66" t="s">
        <v>215</v>
      </c>
      <c r="D245" s="66" t="s">
        <v>215</v>
      </c>
      <c r="E245" s="150" t="s">
        <v>1136</v>
      </c>
      <c r="F245" s="482" t="s">
        <v>1566</v>
      </c>
      <c r="G245" s="150" t="s">
        <v>1450</v>
      </c>
      <c r="H245" s="150" t="s">
        <v>1450</v>
      </c>
      <c r="I245" s="150" t="s">
        <v>1345</v>
      </c>
      <c r="J245" s="150" t="s">
        <v>1450</v>
      </c>
      <c r="K245" s="150" t="s">
        <v>1346</v>
      </c>
      <c r="L245" s="511" t="s">
        <v>49</v>
      </c>
      <c r="M245" s="392" t="s">
        <v>1467</v>
      </c>
      <c r="N245" s="343"/>
      <c r="O245" s="343"/>
      <c r="P245" s="70" t="s">
        <v>216</v>
      </c>
      <c r="Q245" s="346"/>
      <c r="R245" s="343"/>
      <c r="S245" s="346"/>
      <c r="T245" s="150" t="s">
        <v>217</v>
      </c>
      <c r="U245" s="150"/>
      <c r="V245" s="643"/>
      <c r="W245" s="659">
        <v>6000</v>
      </c>
      <c r="X245" s="659">
        <v>0</v>
      </c>
      <c r="Y245" s="656"/>
      <c r="Z245" s="657"/>
      <c r="AA245" s="714"/>
      <c r="AB245" s="428"/>
      <c r="AC245" s="428"/>
      <c r="AD245" s="428">
        <v>0</v>
      </c>
      <c r="AE245" s="429">
        <v>79.41</v>
      </c>
      <c r="AF245" s="429">
        <v>0</v>
      </c>
      <c r="AG245" s="649"/>
      <c r="AH245" s="649"/>
      <c r="AI245" s="649"/>
      <c r="AJ245" s="649"/>
      <c r="AK245" s="649"/>
      <c r="AL245" s="649"/>
      <c r="AM245" s="649">
        <f t="shared" si="21"/>
        <v>79.41</v>
      </c>
      <c r="AN245" s="651">
        <f>ERP_27[[#This Row],[2026 Working Total]]-ERP_27[[#This Row],[LE2 Final Submission]]</f>
        <v>79.41</v>
      </c>
      <c r="AO245" s="652"/>
      <c r="AP245" s="652">
        <f t="shared" si="20"/>
        <v>0</v>
      </c>
      <c r="AQ245" s="374">
        <f>SUM(ERP_27[[#This Row],[AP01]:[AP06]])-SUM(ERP_27[[#This Row],[AP01 LE2]:[AP06 LE2]])</f>
        <v>79.41</v>
      </c>
      <c r="AR245" s="653"/>
      <c r="AS245" s="652">
        <f>ERP_27[[#This Row],[2026 Working Total to Budget/LE]]-ERP_27[[#This Row],[Giveback]]</f>
        <v>79.41</v>
      </c>
      <c r="AT245" s="654" t="s">
        <v>1465</v>
      </c>
      <c r="AU245" s="655"/>
      <c r="AV245" s="655"/>
      <c r="AW245" s="655"/>
      <c r="AX245" s="655"/>
      <c r="AY245" s="655"/>
      <c r="AZ245" s="655"/>
      <c r="BA245" s="655"/>
      <c r="BB245" s="655"/>
      <c r="BC245" s="655"/>
      <c r="BD245" s="655"/>
      <c r="BE245" s="655"/>
      <c r="BF245" s="655"/>
      <c r="BG245" s="655">
        <v>0</v>
      </c>
      <c r="BH245" s="652"/>
      <c r="BI245" s="652"/>
      <c r="BJ245" s="652"/>
      <c r="BK245" s="652">
        <v>500</v>
      </c>
      <c r="BL245" s="652">
        <v>500</v>
      </c>
      <c r="BM245" s="652">
        <v>500</v>
      </c>
      <c r="BN245" s="652">
        <v>500</v>
      </c>
      <c r="BO245" s="652">
        <v>500</v>
      </c>
      <c r="BP245" s="652">
        <v>500</v>
      </c>
      <c r="BQ245" s="652">
        <v>500</v>
      </c>
      <c r="BR245" s="652">
        <v>500</v>
      </c>
      <c r="BS245" s="652">
        <v>500</v>
      </c>
      <c r="BT245" s="652">
        <v>4500</v>
      </c>
    </row>
    <row r="246" spans="1:72" ht="15" hidden="1" customHeight="1">
      <c r="A246" s="150" t="s">
        <v>2606</v>
      </c>
      <c r="B246" s="150"/>
      <c r="C246" s="536" t="s">
        <v>902</v>
      </c>
      <c r="D246" s="296" t="s">
        <v>902</v>
      </c>
      <c r="E246" s="150" t="s">
        <v>1136</v>
      </c>
      <c r="F246" s="482" t="s">
        <v>1566</v>
      </c>
      <c r="G246" s="383" t="s">
        <v>1344</v>
      </c>
      <c r="H246" s="383" t="s">
        <v>1344</v>
      </c>
      <c r="I246" s="150" t="s">
        <v>1345</v>
      </c>
      <c r="J246" s="332" t="s">
        <v>1344</v>
      </c>
      <c r="K246" s="331" t="s">
        <v>1346</v>
      </c>
      <c r="L246" s="514" t="s">
        <v>639</v>
      </c>
      <c r="M246" s="394" t="s">
        <v>2607</v>
      </c>
      <c r="N246" s="333"/>
      <c r="O246" s="332" t="s">
        <v>1358</v>
      </c>
      <c r="P246" s="90" t="s">
        <v>53</v>
      </c>
      <c r="Q246" s="347"/>
      <c r="R246" s="347"/>
      <c r="S246" s="348"/>
      <c r="T246" s="348"/>
      <c r="U246" s="348"/>
      <c r="V246" s="646"/>
      <c r="W246" s="659"/>
      <c r="X246" s="659"/>
      <c r="Y246" s="656"/>
      <c r="Z246" s="657"/>
      <c r="AA246" s="714"/>
      <c r="AB246" s="428"/>
      <c r="AC246" s="428"/>
      <c r="AD246" s="429">
        <v>90</v>
      </c>
      <c r="AE246" s="429">
        <v>0</v>
      </c>
      <c r="AF246" s="429">
        <v>0</v>
      </c>
      <c r="AG246" s="649"/>
      <c r="AH246" s="649"/>
      <c r="AI246" s="649"/>
      <c r="AJ246" s="649"/>
      <c r="AK246" s="649"/>
      <c r="AL246" s="649"/>
      <c r="AM246" s="649">
        <f t="shared" si="21"/>
        <v>90</v>
      </c>
      <c r="AN246" s="651">
        <f>ERP_27[[#This Row],[2026 Working Total]]-ERP_27[[#This Row],[LE2 Final Submission]]</f>
        <v>90</v>
      </c>
      <c r="AO246" s="652"/>
      <c r="AP246" s="652">
        <f t="shared" si="20"/>
        <v>0</v>
      </c>
      <c r="AQ246" s="374">
        <f>SUM(ERP_27[[#This Row],[AP01]:[AP06]])-SUM(ERP_27[[#This Row],[AP01 LE2]:[AP06 LE2]])</f>
        <v>90</v>
      </c>
      <c r="AR246" s="653"/>
      <c r="AS246" s="652">
        <f>ERP_27[[#This Row],[2026 Working Total to Budget/LE]]-ERP_27[[#This Row],[Giveback]]</f>
        <v>90</v>
      </c>
      <c r="AT246" s="654"/>
      <c r="AU246" s="655"/>
      <c r="AV246" s="655"/>
      <c r="AW246" s="655"/>
      <c r="AX246" s="655"/>
      <c r="AY246" s="655"/>
      <c r="AZ246" s="655"/>
      <c r="BA246" s="655"/>
      <c r="BB246" s="655"/>
      <c r="BC246" s="655"/>
      <c r="BD246" s="655"/>
      <c r="BE246" s="655"/>
      <c r="BF246" s="655"/>
      <c r="BG246" s="655"/>
      <c r="BH246" s="652"/>
      <c r="BI246" s="652"/>
      <c r="BJ246" s="652"/>
      <c r="BK246" s="652"/>
      <c r="BL246" s="652"/>
      <c r="BM246" s="652"/>
      <c r="BN246" s="652"/>
      <c r="BO246" s="652"/>
      <c r="BP246" s="652"/>
      <c r="BQ246" s="652"/>
      <c r="BR246" s="652"/>
      <c r="BS246" s="652"/>
      <c r="BT246" s="652"/>
    </row>
    <row r="247" spans="1:72" ht="15" hidden="1" customHeight="1">
      <c r="A247" s="66" t="s">
        <v>2186</v>
      </c>
      <c r="B247" s="66"/>
      <c r="C247" s="66" t="s">
        <v>623</v>
      </c>
      <c r="D247" s="66" t="s">
        <v>623</v>
      </c>
      <c r="E247" s="150" t="s">
        <v>1136</v>
      </c>
      <c r="F247" s="482" t="s">
        <v>1566</v>
      </c>
      <c r="G247" s="150" t="s">
        <v>1650</v>
      </c>
      <c r="H247" s="150" t="s">
        <v>1650</v>
      </c>
      <c r="I247" s="150" t="s">
        <v>1650</v>
      </c>
      <c r="J247" s="150" t="s">
        <v>1650</v>
      </c>
      <c r="K247" s="150" t="s">
        <v>1650</v>
      </c>
      <c r="L247" s="511" t="s">
        <v>602</v>
      </c>
      <c r="M247" s="392" t="s">
        <v>611</v>
      </c>
      <c r="N247" s="343"/>
      <c r="O247" s="343"/>
      <c r="P247" s="70" t="s">
        <v>610</v>
      </c>
      <c r="Q247" s="346"/>
      <c r="R247" s="343"/>
      <c r="S247" s="346"/>
      <c r="T247" s="150" t="s">
        <v>611</v>
      </c>
      <c r="U247" s="150"/>
      <c r="V247" s="643"/>
      <c r="W247" s="659">
        <v>0</v>
      </c>
      <c r="X247" s="659">
        <v>28.1</v>
      </c>
      <c r="Y247" s="656"/>
      <c r="Z247" s="657"/>
      <c r="AA247" s="714"/>
      <c r="AB247" s="428">
        <v>27.55</v>
      </c>
      <c r="AC247" s="428">
        <v>0.55000000000000004</v>
      </c>
      <c r="AD247" s="428">
        <v>2.16</v>
      </c>
      <c r="AE247" s="429">
        <v>4.129999999999999</v>
      </c>
      <c r="AF247" s="429">
        <v>57.92</v>
      </c>
      <c r="AG247" s="649">
        <v>0</v>
      </c>
      <c r="AH247" s="649">
        <v>0</v>
      </c>
      <c r="AI247" s="649">
        <v>0</v>
      </c>
      <c r="AJ247" s="649">
        <v>0</v>
      </c>
      <c r="AK247" s="649">
        <v>0</v>
      </c>
      <c r="AL247" s="649">
        <v>0</v>
      </c>
      <c r="AM247" s="649">
        <f t="shared" si="21"/>
        <v>92.31</v>
      </c>
      <c r="AN247" s="651">
        <f>ERP_27[[#This Row],[2026 Working Total]]-ERP_27[[#This Row],[LE2 Final Submission]]</f>
        <v>64.210000000000008</v>
      </c>
      <c r="AO247" s="652">
        <v>0</v>
      </c>
      <c r="AP247" s="652">
        <f t="shared" si="20"/>
        <v>57.92</v>
      </c>
      <c r="AQ247" s="374">
        <f>SUM(ERP_27[[#This Row],[AP01]:[AP06]])-SUM(ERP_27[[#This Row],[AP01 LE2]:[AP06 LE2]])</f>
        <v>64.210000000000008</v>
      </c>
      <c r="AR247" s="653"/>
      <c r="AS247" s="652">
        <f>ERP_27[[#This Row],[2026 Working Total to Budget/LE]]-ERP_27[[#This Row],[Giveback]]</f>
        <v>64.210000000000008</v>
      </c>
      <c r="AT247" s="654"/>
      <c r="AU247" s="655"/>
      <c r="AV247" s="655">
        <v>27.55</v>
      </c>
      <c r="AW247" s="655">
        <v>0.55000000000000004</v>
      </c>
      <c r="AX247" s="655">
        <v>0</v>
      </c>
      <c r="AY247" s="655">
        <v>0</v>
      </c>
      <c r="AZ247" s="655">
        <v>0</v>
      </c>
      <c r="BA247" s="655">
        <v>0</v>
      </c>
      <c r="BB247" s="655">
        <v>0</v>
      </c>
      <c r="BC247" s="655">
        <v>0</v>
      </c>
      <c r="BD247" s="655">
        <v>0</v>
      </c>
      <c r="BE247" s="655">
        <v>0</v>
      </c>
      <c r="BF247" s="655">
        <v>0</v>
      </c>
      <c r="BG247" s="655">
        <v>28.1</v>
      </c>
      <c r="BH247" s="652"/>
      <c r="BI247" s="652">
        <v>27.55</v>
      </c>
      <c r="BJ247" s="652">
        <v>0.55000000000000004</v>
      </c>
      <c r="BK247" s="652">
        <v>0</v>
      </c>
      <c r="BL247" s="652">
        <v>0</v>
      </c>
      <c r="BM247" s="652">
        <v>0</v>
      </c>
      <c r="BN247" s="652">
        <v>0</v>
      </c>
      <c r="BO247" s="652">
        <v>0</v>
      </c>
      <c r="BP247" s="652">
        <v>0</v>
      </c>
      <c r="BQ247" s="652">
        <v>0</v>
      </c>
      <c r="BR247" s="652">
        <v>0</v>
      </c>
      <c r="BS247" s="652">
        <v>0</v>
      </c>
      <c r="BT247" s="652">
        <v>28.1</v>
      </c>
    </row>
    <row r="248" spans="1:72" ht="15" hidden="1" customHeight="1">
      <c r="A248" s="66" t="s">
        <v>2077</v>
      </c>
      <c r="B248" s="66"/>
      <c r="C248" s="66" t="s">
        <v>562</v>
      </c>
      <c r="D248" s="66" t="s">
        <v>2078</v>
      </c>
      <c r="E248" s="150" t="s">
        <v>1136</v>
      </c>
      <c r="F248" s="482" t="s">
        <v>1566</v>
      </c>
      <c r="G248" s="482" t="s">
        <v>1566</v>
      </c>
      <c r="H248" s="482" t="s">
        <v>1566</v>
      </c>
      <c r="I248" s="150" t="s">
        <v>1345</v>
      </c>
      <c r="J248" s="150" t="s">
        <v>1346</v>
      </c>
      <c r="K248" s="150" t="s">
        <v>1346</v>
      </c>
      <c r="L248" s="511" t="s">
        <v>389</v>
      </c>
      <c r="M248" s="392" t="s">
        <v>1685</v>
      </c>
      <c r="N248" s="343"/>
      <c r="O248" s="343"/>
      <c r="P248" s="70" t="s">
        <v>350</v>
      </c>
      <c r="Q248" s="346" t="s">
        <v>1139</v>
      </c>
      <c r="R248" s="346" t="s">
        <v>1140</v>
      </c>
      <c r="S248" s="346"/>
      <c r="T248" s="150" t="s">
        <v>25</v>
      </c>
      <c r="U248" s="150"/>
      <c r="V248" s="643"/>
      <c r="W248" s="659">
        <v>0</v>
      </c>
      <c r="X248" s="659">
        <v>108.52</v>
      </c>
      <c r="Y248" s="656"/>
      <c r="Z248" s="657"/>
      <c r="AA248" s="714">
        <v>108.52</v>
      </c>
      <c r="AB248" s="428">
        <v>0</v>
      </c>
      <c r="AC248" s="428">
        <v>0</v>
      </c>
      <c r="AD248" s="428" t="s">
        <v>1142</v>
      </c>
      <c r="AE248" s="429">
        <v>0</v>
      </c>
      <c r="AF248" s="429">
        <v>0</v>
      </c>
      <c r="AG248" s="649">
        <v>0</v>
      </c>
      <c r="AH248" s="649">
        <v>0</v>
      </c>
      <c r="AI248" s="649">
        <v>0</v>
      </c>
      <c r="AJ248" s="649">
        <v>0</v>
      </c>
      <c r="AK248" s="649">
        <v>0</v>
      </c>
      <c r="AL248" s="649">
        <v>0</v>
      </c>
      <c r="AM248" s="649">
        <f t="shared" si="21"/>
        <v>108.52</v>
      </c>
      <c r="AN248" s="651">
        <f>ERP_27[[#This Row],[2026 Working Total]]-ERP_27[[#This Row],[LE2 Final Submission]]</f>
        <v>0</v>
      </c>
      <c r="AO248" s="652"/>
      <c r="AP248" s="652">
        <f t="shared" si="20"/>
        <v>0</v>
      </c>
      <c r="AQ248" s="374">
        <f>SUM(ERP_27[[#This Row],[AP01]:[AP06]])-SUM(ERP_27[[#This Row],[AP01 LE2]:[AP06 LE2]])</f>
        <v>0</v>
      </c>
      <c r="AR248" s="653"/>
      <c r="AS248" s="652">
        <f>ERP_27[[#This Row],[2026 Working Total to Budget/LE]]-ERP_27[[#This Row],[Giveback]]</f>
        <v>0</v>
      </c>
      <c r="AT248" s="654"/>
      <c r="AU248" s="655">
        <v>108.52</v>
      </c>
      <c r="AV248" s="655">
        <v>0</v>
      </c>
      <c r="AW248" s="655">
        <v>0</v>
      </c>
      <c r="AX248" s="655">
        <v>0</v>
      </c>
      <c r="AY248" s="655">
        <v>0</v>
      </c>
      <c r="AZ248" s="655">
        <v>0</v>
      </c>
      <c r="BA248" s="655">
        <v>0</v>
      </c>
      <c r="BB248" s="655">
        <v>0</v>
      </c>
      <c r="BC248" s="655">
        <v>0</v>
      </c>
      <c r="BD248" s="655">
        <v>0</v>
      </c>
      <c r="BE248" s="655">
        <v>0</v>
      </c>
      <c r="BF248" s="655">
        <v>0</v>
      </c>
      <c r="BG248" s="655">
        <v>108.52</v>
      </c>
      <c r="BH248" s="652">
        <v>108.52</v>
      </c>
      <c r="BI248" s="652">
        <v>0</v>
      </c>
      <c r="BJ248" s="652">
        <v>0</v>
      </c>
      <c r="BK248" s="652">
        <v>0</v>
      </c>
      <c r="BL248" s="652">
        <v>0</v>
      </c>
      <c r="BM248" s="652">
        <v>0</v>
      </c>
      <c r="BN248" s="652">
        <v>0</v>
      </c>
      <c r="BO248" s="652">
        <v>0</v>
      </c>
      <c r="BP248" s="652">
        <v>0</v>
      </c>
      <c r="BQ248" s="652">
        <v>0</v>
      </c>
      <c r="BR248" s="652">
        <v>0</v>
      </c>
      <c r="BS248" s="652">
        <v>0</v>
      </c>
      <c r="BT248" s="652">
        <v>108.52</v>
      </c>
    </row>
    <row r="249" spans="1:72" ht="15" hidden="1" customHeight="1">
      <c r="A249" s="66" t="s">
        <v>1972</v>
      </c>
      <c r="B249" s="66"/>
      <c r="C249" s="66" t="s">
        <v>500</v>
      </c>
      <c r="D249" s="66" t="s">
        <v>500</v>
      </c>
      <c r="E249" s="150" t="s">
        <v>1136</v>
      </c>
      <c r="F249" s="482" t="s">
        <v>1566</v>
      </c>
      <c r="G249" s="383" t="s">
        <v>1344</v>
      </c>
      <c r="H249" s="383" t="s">
        <v>1344</v>
      </c>
      <c r="I249" s="150" t="s">
        <v>1345</v>
      </c>
      <c r="J249" s="150" t="s">
        <v>1344</v>
      </c>
      <c r="K249" s="150" t="s">
        <v>1346</v>
      </c>
      <c r="L249" s="511" t="s">
        <v>389</v>
      </c>
      <c r="M249" s="392" t="s">
        <v>1399</v>
      </c>
      <c r="N249" s="343"/>
      <c r="O249" s="343"/>
      <c r="P249" s="70" t="s">
        <v>185</v>
      </c>
      <c r="Q249" s="346"/>
      <c r="R249" s="343"/>
      <c r="S249" s="346"/>
      <c r="T249" s="150" t="s">
        <v>25</v>
      </c>
      <c r="U249" s="150" t="s">
        <v>1400</v>
      </c>
      <c r="V249" s="643"/>
      <c r="W249" s="659">
        <v>0</v>
      </c>
      <c r="X249" s="659">
        <v>0</v>
      </c>
      <c r="Y249" s="656"/>
      <c r="Z249" s="657"/>
      <c r="AA249" s="714"/>
      <c r="AB249" s="428"/>
      <c r="AC249" s="428">
        <v>5850</v>
      </c>
      <c r="AD249" s="428">
        <v>0</v>
      </c>
      <c r="AE249" s="429">
        <v>-5800.26</v>
      </c>
      <c r="AF249" s="429">
        <v>63.66</v>
      </c>
      <c r="AG249" s="649">
        <v>0</v>
      </c>
      <c r="AH249" s="649">
        <v>0</v>
      </c>
      <c r="AI249" s="649">
        <v>0</v>
      </c>
      <c r="AJ249" s="649">
        <v>0</v>
      </c>
      <c r="AK249" s="649">
        <v>0</v>
      </c>
      <c r="AL249" s="649">
        <v>0</v>
      </c>
      <c r="AM249" s="649">
        <f t="shared" si="21"/>
        <v>113.39999999999978</v>
      </c>
      <c r="AN249" s="651">
        <f>ERP_27[[#This Row],[2026 Working Total]]-ERP_27[[#This Row],[LE2 Final Submission]]</f>
        <v>113.39999999999978</v>
      </c>
      <c r="AO249" s="652">
        <v>-5850</v>
      </c>
      <c r="AP249" s="652">
        <f t="shared" si="20"/>
        <v>5913.66</v>
      </c>
      <c r="AQ249" s="374">
        <f>SUM(ERP_27[[#This Row],[AP01]:[AP06]])-SUM(ERP_27[[#This Row],[AP01 LE2]:[AP06 LE2]])</f>
        <v>113.39999999999978</v>
      </c>
      <c r="AR249" s="653"/>
      <c r="AS249" s="652">
        <f>ERP_27[[#This Row],[2026 Working Total to Budget/LE]]-ERP_27[[#This Row],[Giveback]]</f>
        <v>113.39999999999978</v>
      </c>
      <c r="AT249" s="654"/>
      <c r="AU249" s="655"/>
      <c r="AV249" s="655"/>
      <c r="AW249" s="655">
        <v>5850</v>
      </c>
      <c r="AX249" s="655"/>
      <c r="AY249" s="655">
        <v>-5850</v>
      </c>
      <c r="AZ249" s="655">
        <v>0</v>
      </c>
      <c r="BA249" s="655">
        <v>0</v>
      </c>
      <c r="BB249" s="655">
        <v>0</v>
      </c>
      <c r="BC249" s="655">
        <v>0</v>
      </c>
      <c r="BD249" s="655">
        <v>0</v>
      </c>
      <c r="BE249" s="655">
        <v>0</v>
      </c>
      <c r="BF249" s="655">
        <v>0</v>
      </c>
      <c r="BG249" s="655">
        <v>0</v>
      </c>
      <c r="BH249" s="652"/>
      <c r="BI249" s="652"/>
      <c r="BJ249" s="652">
        <v>5850</v>
      </c>
      <c r="BK249" s="652">
        <v>0</v>
      </c>
      <c r="BL249" s="652">
        <v>0</v>
      </c>
      <c r="BM249" s="652">
        <v>0</v>
      </c>
      <c r="BN249" s="652">
        <v>0</v>
      </c>
      <c r="BO249" s="652">
        <v>0</v>
      </c>
      <c r="BP249" s="652">
        <v>0</v>
      </c>
      <c r="BQ249" s="652">
        <v>0</v>
      </c>
      <c r="BR249" s="652">
        <v>0</v>
      </c>
      <c r="BS249" s="652">
        <v>0</v>
      </c>
      <c r="BT249" s="652">
        <v>5850</v>
      </c>
    </row>
    <row r="250" spans="1:72" ht="15" hidden="1" customHeight="1">
      <c r="A250" s="66" t="s">
        <v>1646</v>
      </c>
      <c r="B250" s="66"/>
      <c r="C250" s="66" t="s">
        <v>322</v>
      </c>
      <c r="D250" s="66" t="s">
        <v>1647</v>
      </c>
      <c r="E250" s="150" t="s">
        <v>1136</v>
      </c>
      <c r="F250" s="482" t="s">
        <v>1566</v>
      </c>
      <c r="G250" s="482" t="s">
        <v>1566</v>
      </c>
      <c r="H250" s="482" t="s">
        <v>1566</v>
      </c>
      <c r="I250" s="150" t="s">
        <v>1345</v>
      </c>
      <c r="J250" s="150" t="s">
        <v>1346</v>
      </c>
      <c r="K250" s="150" t="s">
        <v>1346</v>
      </c>
      <c r="L250" s="511" t="s">
        <v>49</v>
      </c>
      <c r="M250" s="392" t="s">
        <v>1648</v>
      </c>
      <c r="N250" s="343"/>
      <c r="O250" s="343"/>
      <c r="P250" s="70" t="s">
        <v>323</v>
      </c>
      <c r="Q250" s="346"/>
      <c r="R250" s="343"/>
      <c r="S250" s="346"/>
      <c r="T250" s="150" t="s">
        <v>25</v>
      </c>
      <c r="U250" s="150"/>
      <c r="V250" s="643"/>
      <c r="W250" s="659">
        <v>0</v>
      </c>
      <c r="X250" s="659">
        <v>130.62</v>
      </c>
      <c r="Y250" s="656"/>
      <c r="Z250" s="657"/>
      <c r="AA250" s="714"/>
      <c r="AB250" s="428">
        <v>130.62</v>
      </c>
      <c r="AC250" s="428">
        <v>0</v>
      </c>
      <c r="AD250" s="428" t="s">
        <v>1142</v>
      </c>
      <c r="AE250" s="429">
        <v>0</v>
      </c>
      <c r="AF250" s="429">
        <v>0</v>
      </c>
      <c r="AG250" s="649">
        <v>0</v>
      </c>
      <c r="AH250" s="649">
        <v>0</v>
      </c>
      <c r="AI250" s="649">
        <v>0</v>
      </c>
      <c r="AJ250" s="649">
        <v>0</v>
      </c>
      <c r="AK250" s="649">
        <v>0</v>
      </c>
      <c r="AL250" s="649">
        <v>0</v>
      </c>
      <c r="AM250" s="649">
        <f t="shared" si="21"/>
        <v>130.62</v>
      </c>
      <c r="AN250" s="651">
        <f>ERP_27[[#This Row],[2026 Working Total]]-ERP_27[[#This Row],[LE2 Final Submission]]</f>
        <v>0</v>
      </c>
      <c r="AO250" s="652">
        <v>0</v>
      </c>
      <c r="AP250" s="652">
        <f t="shared" si="20"/>
        <v>0</v>
      </c>
      <c r="AQ250" s="374">
        <f>SUM(ERP_27[[#This Row],[AP01]:[AP06]])-SUM(ERP_27[[#This Row],[AP01 LE2]:[AP06 LE2]])</f>
        <v>0</v>
      </c>
      <c r="AR250" s="653"/>
      <c r="AS250" s="652">
        <f>ERP_27[[#This Row],[2026 Working Total to Budget/LE]]-ERP_27[[#This Row],[Giveback]]</f>
        <v>0</v>
      </c>
      <c r="AT250" s="654"/>
      <c r="AU250" s="655"/>
      <c r="AV250" s="655">
        <v>130.62</v>
      </c>
      <c r="AW250" s="655">
        <v>0</v>
      </c>
      <c r="AX250" s="655">
        <v>0</v>
      </c>
      <c r="AY250" s="655">
        <v>0</v>
      </c>
      <c r="AZ250" s="655">
        <v>0</v>
      </c>
      <c r="BA250" s="655">
        <v>0</v>
      </c>
      <c r="BB250" s="655">
        <v>0</v>
      </c>
      <c r="BC250" s="655">
        <v>0</v>
      </c>
      <c r="BD250" s="655">
        <v>0</v>
      </c>
      <c r="BE250" s="655">
        <v>0</v>
      </c>
      <c r="BF250" s="655">
        <v>0</v>
      </c>
      <c r="BG250" s="655">
        <v>130.62</v>
      </c>
      <c r="BH250" s="652"/>
      <c r="BI250" s="652">
        <v>130.62</v>
      </c>
      <c r="BJ250" s="652">
        <v>0</v>
      </c>
      <c r="BK250" s="652">
        <v>0</v>
      </c>
      <c r="BL250" s="652">
        <v>0</v>
      </c>
      <c r="BM250" s="652">
        <v>0</v>
      </c>
      <c r="BN250" s="652">
        <v>0</v>
      </c>
      <c r="BO250" s="652">
        <v>0</v>
      </c>
      <c r="BP250" s="652">
        <v>0</v>
      </c>
      <c r="BQ250" s="652">
        <v>0</v>
      </c>
      <c r="BR250" s="652">
        <v>0</v>
      </c>
      <c r="BS250" s="652">
        <v>0</v>
      </c>
      <c r="BT250" s="652">
        <v>130.62</v>
      </c>
    </row>
    <row r="251" spans="1:72" ht="15" hidden="1" customHeight="1">
      <c r="A251" s="66" t="s">
        <v>2269</v>
      </c>
      <c r="B251" s="66"/>
      <c r="C251" s="66" t="s">
        <v>1001</v>
      </c>
      <c r="D251" s="66" t="s">
        <v>2270</v>
      </c>
      <c r="E251" s="150" t="s">
        <v>1136</v>
      </c>
      <c r="F251" s="482" t="s">
        <v>1566</v>
      </c>
      <c r="G251" s="482" t="s">
        <v>1566</v>
      </c>
      <c r="H251" s="482" t="s">
        <v>1566</v>
      </c>
      <c r="I251" s="150" t="s">
        <v>1345</v>
      </c>
      <c r="J251" s="150" t="s">
        <v>1346</v>
      </c>
      <c r="K251" s="150" t="s">
        <v>1346</v>
      </c>
      <c r="L251" s="511" t="s">
        <v>639</v>
      </c>
      <c r="M251" s="392" t="s">
        <v>1889</v>
      </c>
      <c r="N251" s="343"/>
      <c r="O251" s="343"/>
      <c r="P251" s="70" t="s">
        <v>578</v>
      </c>
      <c r="Q251" s="346"/>
      <c r="R251" s="346" t="s">
        <v>1221</v>
      </c>
      <c r="S251" s="346"/>
      <c r="T251" s="150" t="s">
        <v>272</v>
      </c>
      <c r="U251" s="150"/>
      <c r="V251" s="643"/>
      <c r="W251" s="659">
        <v>0</v>
      </c>
      <c r="X251" s="659">
        <v>139.72999999999999</v>
      </c>
      <c r="Y251" s="656"/>
      <c r="Z251" s="657"/>
      <c r="AA251" s="714">
        <v>139.72999999999999</v>
      </c>
      <c r="AB251" s="428">
        <v>139.72999999999999</v>
      </c>
      <c r="AC251" s="428">
        <v>-139.72999999999999</v>
      </c>
      <c r="AD251" s="428">
        <v>0</v>
      </c>
      <c r="AE251" s="429">
        <v>0</v>
      </c>
      <c r="AF251" s="429">
        <v>0</v>
      </c>
      <c r="AG251" s="649">
        <v>0</v>
      </c>
      <c r="AH251" s="649">
        <v>0</v>
      </c>
      <c r="AI251" s="649">
        <v>0</v>
      </c>
      <c r="AJ251" s="649">
        <v>0</v>
      </c>
      <c r="AK251" s="649">
        <v>0</v>
      </c>
      <c r="AL251" s="649">
        <v>0</v>
      </c>
      <c r="AM251" s="649">
        <f t="shared" si="21"/>
        <v>139.72999999999999</v>
      </c>
      <c r="AN251" s="651">
        <f>ERP_27[[#This Row],[2026 Working Total]]-ERP_27[[#This Row],[LE2 Final Submission]]</f>
        <v>0</v>
      </c>
      <c r="AO251" s="652">
        <v>0</v>
      </c>
      <c r="AP251" s="652">
        <f t="shared" si="20"/>
        <v>0</v>
      </c>
      <c r="AQ251" s="374">
        <f>SUM(ERP_27[[#This Row],[AP01]:[AP06]])-SUM(ERP_27[[#This Row],[AP01 LE2]:[AP06 LE2]])</f>
        <v>0</v>
      </c>
      <c r="AR251" s="653"/>
      <c r="AS251" s="652">
        <f>ERP_27[[#This Row],[2026 Working Total to Budget/LE]]-ERP_27[[#This Row],[Giveback]]</f>
        <v>0</v>
      </c>
      <c r="AT251" s="654"/>
      <c r="AU251" s="655">
        <v>139.72999999999999</v>
      </c>
      <c r="AV251" s="655">
        <v>139.72999999999999</v>
      </c>
      <c r="AW251" s="655">
        <v>-139.72999999999999</v>
      </c>
      <c r="AX251" s="655">
        <v>0</v>
      </c>
      <c r="AY251" s="655">
        <v>0</v>
      </c>
      <c r="AZ251" s="655">
        <v>0</v>
      </c>
      <c r="BA251" s="655">
        <v>0</v>
      </c>
      <c r="BB251" s="655">
        <v>0</v>
      </c>
      <c r="BC251" s="655">
        <v>0</v>
      </c>
      <c r="BD251" s="655">
        <v>0</v>
      </c>
      <c r="BE251" s="655">
        <v>0</v>
      </c>
      <c r="BF251" s="655">
        <v>0</v>
      </c>
      <c r="BG251" s="655">
        <v>139.72999999999999</v>
      </c>
      <c r="BH251" s="652">
        <v>139.72999999999999</v>
      </c>
      <c r="BI251" s="652">
        <v>139.72999999999999</v>
      </c>
      <c r="BJ251" s="652">
        <v>-139.72999999999999</v>
      </c>
      <c r="BK251" s="652">
        <v>139.72999999999999</v>
      </c>
      <c r="BL251" s="652">
        <v>139.72999999999999</v>
      </c>
      <c r="BM251" s="652">
        <v>139.72999999999999</v>
      </c>
      <c r="BN251" s="652">
        <v>139.72999999999999</v>
      </c>
      <c r="BO251" s="652">
        <v>139.72999999999999</v>
      </c>
      <c r="BP251" s="652">
        <v>139.72999999999999</v>
      </c>
      <c r="BQ251" s="652">
        <v>139.72999999999999</v>
      </c>
      <c r="BR251" s="652">
        <v>139.72999999999999</v>
      </c>
      <c r="BS251" s="652">
        <v>139.72999999999999</v>
      </c>
      <c r="BT251" s="652">
        <v>1397.3</v>
      </c>
    </row>
    <row r="252" spans="1:72" ht="15" hidden="1" customHeight="1">
      <c r="A252" s="66" t="s">
        <v>2833</v>
      </c>
      <c r="B252" s="66"/>
      <c r="C252" s="66" t="s">
        <v>1030</v>
      </c>
      <c r="D252" s="66" t="s">
        <v>1030</v>
      </c>
      <c r="E252" s="150" t="s">
        <v>1136</v>
      </c>
      <c r="F252" s="482" t="s">
        <v>1566</v>
      </c>
      <c r="G252" s="383" t="s">
        <v>1344</v>
      </c>
      <c r="H252" s="383" t="s">
        <v>1344</v>
      </c>
      <c r="I252" s="150" t="s">
        <v>1345</v>
      </c>
      <c r="J252" s="150" t="s">
        <v>1344</v>
      </c>
      <c r="K252" s="150" t="s">
        <v>1346</v>
      </c>
      <c r="L252" s="511" t="s">
        <v>1027</v>
      </c>
      <c r="M252" s="392" t="s">
        <v>2830</v>
      </c>
      <c r="N252" s="343"/>
      <c r="O252" s="343"/>
      <c r="P252" s="70" t="s">
        <v>1029</v>
      </c>
      <c r="Q252" s="346"/>
      <c r="R252" s="343"/>
      <c r="S252" s="346"/>
      <c r="T252" s="150" t="s">
        <v>25</v>
      </c>
      <c r="U252" s="150"/>
      <c r="V252" s="643"/>
      <c r="W252" s="659">
        <v>0</v>
      </c>
      <c r="X252" s="659">
        <v>39.089999999999996</v>
      </c>
      <c r="Y252" s="656"/>
      <c r="Z252" s="657"/>
      <c r="AA252" s="714">
        <v>-39.24</v>
      </c>
      <c r="AB252" s="428">
        <v>78.33</v>
      </c>
      <c r="AC252" s="428">
        <v>0</v>
      </c>
      <c r="AD252" s="428">
        <v>101.53</v>
      </c>
      <c r="AE252" s="429">
        <v>0</v>
      </c>
      <c r="AF252" s="429">
        <v>0</v>
      </c>
      <c r="AG252" s="649">
        <v>0</v>
      </c>
      <c r="AH252" s="649">
        <v>0</v>
      </c>
      <c r="AI252" s="649">
        <v>0</v>
      </c>
      <c r="AJ252" s="649">
        <v>0</v>
      </c>
      <c r="AK252" s="649">
        <v>0</v>
      </c>
      <c r="AL252" s="649">
        <v>0</v>
      </c>
      <c r="AM252" s="649">
        <f t="shared" si="21"/>
        <v>140.62</v>
      </c>
      <c r="AN252" s="651">
        <f>ERP_27[[#This Row],[2026 Working Total]]-ERP_27[[#This Row],[LE2 Final Submission]]</f>
        <v>101.53</v>
      </c>
      <c r="AO252" s="652">
        <v>0</v>
      </c>
      <c r="AP252" s="652">
        <f t="shared" si="20"/>
        <v>0</v>
      </c>
      <c r="AQ252" s="374">
        <f>SUM(ERP_27[[#This Row],[AP01]:[AP06]])-SUM(ERP_27[[#This Row],[AP01 LE2]:[AP06 LE2]])</f>
        <v>101.53</v>
      </c>
      <c r="AR252" s="653"/>
      <c r="AS252" s="652">
        <f>ERP_27[[#This Row],[2026 Working Total to Budget/LE]]-ERP_27[[#This Row],[Giveback]]</f>
        <v>101.53</v>
      </c>
      <c r="AT252" s="654"/>
      <c r="AU252" s="655">
        <v>-39.24</v>
      </c>
      <c r="AV252" s="655">
        <v>78.33</v>
      </c>
      <c r="AW252" s="655">
        <v>0</v>
      </c>
      <c r="AX252" s="655">
        <v>0</v>
      </c>
      <c r="AY252" s="655">
        <v>0</v>
      </c>
      <c r="AZ252" s="655">
        <v>0</v>
      </c>
      <c r="BA252" s="655">
        <v>0</v>
      </c>
      <c r="BB252" s="655">
        <v>0</v>
      </c>
      <c r="BC252" s="655">
        <v>0</v>
      </c>
      <c r="BD252" s="655">
        <v>0</v>
      </c>
      <c r="BE252" s="655">
        <v>0</v>
      </c>
      <c r="BF252" s="655">
        <v>0</v>
      </c>
      <c r="BG252" s="655">
        <v>39.089999999999996</v>
      </c>
      <c r="BH252" s="652">
        <v>-39.24</v>
      </c>
      <c r="BI252" s="652">
        <v>78.33</v>
      </c>
      <c r="BJ252" s="652">
        <v>0</v>
      </c>
      <c r="BK252" s="652">
        <v>0</v>
      </c>
      <c r="BL252" s="652">
        <v>0</v>
      </c>
      <c r="BM252" s="652">
        <v>0</v>
      </c>
      <c r="BN252" s="652">
        <v>0</v>
      </c>
      <c r="BO252" s="652">
        <v>0</v>
      </c>
      <c r="BP252" s="652">
        <v>0</v>
      </c>
      <c r="BQ252" s="652">
        <v>0</v>
      </c>
      <c r="BR252" s="652">
        <v>0</v>
      </c>
      <c r="BS252" s="652">
        <v>0</v>
      </c>
      <c r="BT252" s="652">
        <v>39.089999999999996</v>
      </c>
    </row>
    <row r="253" spans="1:72" ht="15" hidden="1" customHeight="1">
      <c r="A253" s="150" t="s">
        <v>1770</v>
      </c>
      <c r="B253" s="150"/>
      <c r="C253" s="536" t="s">
        <v>401</v>
      </c>
      <c r="D253" s="296" t="s">
        <v>1771</v>
      </c>
      <c r="E253" s="150" t="s">
        <v>1136</v>
      </c>
      <c r="F253" s="482" t="s">
        <v>1566</v>
      </c>
      <c r="G253" s="150" t="s">
        <v>1135</v>
      </c>
      <c r="H253" s="383" t="s">
        <v>1145</v>
      </c>
      <c r="I253" s="332" t="s">
        <v>1135</v>
      </c>
      <c r="J253" s="383" t="s">
        <v>1145</v>
      </c>
      <c r="K253" s="383" t="s">
        <v>1145</v>
      </c>
      <c r="L253" s="514" t="s">
        <v>389</v>
      </c>
      <c r="M253" s="394" t="s">
        <v>1772</v>
      </c>
      <c r="N253" s="333"/>
      <c r="O253" s="332" t="s">
        <v>1186</v>
      </c>
      <c r="P253" s="90" t="s">
        <v>402</v>
      </c>
      <c r="Q253" s="347"/>
      <c r="R253" s="347"/>
      <c r="S253" s="348"/>
      <c r="T253" s="348"/>
      <c r="U253" s="348"/>
      <c r="V253" s="646"/>
      <c r="W253" s="659"/>
      <c r="X253" s="659"/>
      <c r="Y253" s="656"/>
      <c r="Z253" s="657"/>
      <c r="AA253" s="714"/>
      <c r="AB253" s="428"/>
      <c r="AC253" s="428"/>
      <c r="AD253" s="429">
        <v>190</v>
      </c>
      <c r="AE253" s="429">
        <v>0</v>
      </c>
      <c r="AF253" s="429">
        <v>0</v>
      </c>
      <c r="AG253" s="649"/>
      <c r="AH253" s="649"/>
      <c r="AI253" s="649"/>
      <c r="AJ253" s="649"/>
      <c r="AK253" s="649"/>
      <c r="AL253" s="649"/>
      <c r="AM253" s="649">
        <f t="shared" si="21"/>
        <v>190</v>
      </c>
      <c r="AN253" s="651">
        <f>ERP_27[[#This Row],[2026 Working Total]]-ERP_27[[#This Row],[LE2 Final Submission]]</f>
        <v>190</v>
      </c>
      <c r="AO253" s="652"/>
      <c r="AP253" s="652">
        <f t="shared" si="20"/>
        <v>0</v>
      </c>
      <c r="AQ253" s="374">
        <f>SUM(ERP_27[[#This Row],[AP01]:[AP06]])-SUM(ERP_27[[#This Row],[AP01 LE2]:[AP06 LE2]])</f>
        <v>190</v>
      </c>
      <c r="AR253" s="653"/>
      <c r="AS253" s="652">
        <f>ERP_27[[#This Row],[2026 Working Total to Budget/LE]]-ERP_27[[#This Row],[Giveback]]</f>
        <v>190</v>
      </c>
      <c r="AT253" s="654"/>
      <c r="AU253" s="655"/>
      <c r="AV253" s="655"/>
      <c r="AW253" s="655"/>
      <c r="AX253" s="655"/>
      <c r="AY253" s="655"/>
      <c r="AZ253" s="655"/>
      <c r="BA253" s="655"/>
      <c r="BB253" s="655"/>
      <c r="BC253" s="655"/>
      <c r="BD253" s="655"/>
      <c r="BE253" s="655"/>
      <c r="BF253" s="655"/>
      <c r="BG253" s="655"/>
      <c r="BH253" s="652"/>
      <c r="BI253" s="652"/>
      <c r="BJ253" s="652"/>
      <c r="BK253" s="652"/>
      <c r="BL253" s="652"/>
      <c r="BM253" s="652"/>
      <c r="BN253" s="652"/>
      <c r="BO253" s="652"/>
      <c r="BP253" s="652"/>
      <c r="BQ253" s="652"/>
      <c r="BR253" s="652"/>
      <c r="BS253" s="652"/>
      <c r="BT253" s="652"/>
    </row>
    <row r="254" spans="1:72" ht="15" hidden="1" customHeight="1">
      <c r="A254" s="66" t="s">
        <v>1879</v>
      </c>
      <c r="B254" s="66"/>
      <c r="C254" s="66" t="s">
        <v>460</v>
      </c>
      <c r="D254" s="66" t="s">
        <v>1880</v>
      </c>
      <c r="E254" s="150" t="s">
        <v>1136</v>
      </c>
      <c r="F254" s="482" t="s">
        <v>1566</v>
      </c>
      <c r="G254" s="150" t="s">
        <v>1135</v>
      </c>
      <c r="H254" s="150" t="s">
        <v>1165</v>
      </c>
      <c r="I254" s="150" t="s">
        <v>1135</v>
      </c>
      <c r="J254" s="150" t="s">
        <v>1165</v>
      </c>
      <c r="K254" s="150" t="s">
        <v>1137</v>
      </c>
      <c r="L254" s="511" t="s">
        <v>389</v>
      </c>
      <c r="M254" s="392" t="s">
        <v>1881</v>
      </c>
      <c r="N254" s="343"/>
      <c r="O254" s="343"/>
      <c r="P254" s="70" t="s">
        <v>133</v>
      </c>
      <c r="Q254" s="346"/>
      <c r="R254" s="343"/>
      <c r="S254" s="346"/>
      <c r="T254" s="150" t="s">
        <v>25</v>
      </c>
      <c r="U254" s="150"/>
      <c r="V254" s="643"/>
      <c r="W254" s="659">
        <v>0</v>
      </c>
      <c r="X254" s="659">
        <v>0</v>
      </c>
      <c r="Y254" s="656"/>
      <c r="Z254" s="657"/>
      <c r="AA254" s="714">
        <v>95.28</v>
      </c>
      <c r="AB254" s="428">
        <v>31.62</v>
      </c>
      <c r="AC254" s="428">
        <v>-126.9</v>
      </c>
      <c r="AD254" s="428">
        <v>66.959999999999994</v>
      </c>
      <c r="AE254" s="429">
        <v>61.6</v>
      </c>
      <c r="AF254" s="429">
        <v>63.66</v>
      </c>
      <c r="AG254" s="649"/>
      <c r="AH254" s="649"/>
      <c r="AI254" s="649"/>
      <c r="AJ254" s="649"/>
      <c r="AK254" s="649"/>
      <c r="AL254" s="649"/>
      <c r="AM254" s="649">
        <f t="shared" si="21"/>
        <v>192.22</v>
      </c>
      <c r="AN254" s="651">
        <f>ERP_27[[#This Row],[2026 Working Total]]-ERP_27[[#This Row],[LE2 Final Submission]]</f>
        <v>192.22</v>
      </c>
      <c r="AO254" s="652"/>
      <c r="AP254" s="652">
        <f t="shared" si="20"/>
        <v>63.66</v>
      </c>
      <c r="AQ254" s="374">
        <f>SUM(ERP_27[[#This Row],[AP01]:[AP06]])-SUM(ERP_27[[#This Row],[AP01 LE2]:[AP06 LE2]])</f>
        <v>192.22</v>
      </c>
      <c r="AR254" s="653"/>
      <c r="AS254" s="652">
        <f>ERP_27[[#This Row],[2026 Working Total to Budget/LE]]-ERP_27[[#This Row],[Giveback]]</f>
        <v>192.22</v>
      </c>
      <c r="AT254" s="654"/>
      <c r="AU254" s="655">
        <v>95.28</v>
      </c>
      <c r="AV254" s="655">
        <v>31.62</v>
      </c>
      <c r="AW254" s="655">
        <v>-126.9</v>
      </c>
      <c r="AX254" s="655"/>
      <c r="AY254" s="655"/>
      <c r="AZ254" s="655"/>
      <c r="BA254" s="655"/>
      <c r="BB254" s="655"/>
      <c r="BC254" s="655"/>
      <c r="BD254" s="655"/>
      <c r="BE254" s="655"/>
      <c r="BF254" s="655"/>
      <c r="BG254" s="655">
        <v>0</v>
      </c>
      <c r="BH254" s="652">
        <v>95.28</v>
      </c>
      <c r="BI254" s="652">
        <v>31.62</v>
      </c>
      <c r="BJ254" s="652">
        <v>-126.9</v>
      </c>
      <c r="BK254" s="652"/>
      <c r="BL254" s="652"/>
      <c r="BM254" s="652"/>
      <c r="BN254" s="652"/>
      <c r="BO254" s="652"/>
      <c r="BP254" s="652"/>
      <c r="BQ254" s="652"/>
      <c r="BR254" s="652"/>
      <c r="BS254" s="652"/>
      <c r="BT254" s="652">
        <v>0</v>
      </c>
    </row>
    <row r="255" spans="1:72" ht="15" hidden="1" customHeight="1">
      <c r="A255" s="66" t="s">
        <v>2809</v>
      </c>
      <c r="B255" s="66"/>
      <c r="C255" s="66" t="s">
        <v>1016</v>
      </c>
      <c r="D255" s="66" t="s">
        <v>1016</v>
      </c>
      <c r="E255" s="150" t="s">
        <v>1136</v>
      </c>
      <c r="F255" s="482" t="s">
        <v>1566</v>
      </c>
      <c r="G255" s="150" t="s">
        <v>1650</v>
      </c>
      <c r="H255" s="150" t="s">
        <v>1650</v>
      </c>
      <c r="I255" s="150" t="s">
        <v>1650</v>
      </c>
      <c r="J255" s="150" t="s">
        <v>1650</v>
      </c>
      <c r="K255" s="150" t="s">
        <v>1650</v>
      </c>
      <c r="L255" s="511" t="s">
        <v>639</v>
      </c>
      <c r="M255" s="392" t="s">
        <v>1138</v>
      </c>
      <c r="N255" s="343"/>
      <c r="O255" s="343"/>
      <c r="P255" s="70" t="s">
        <v>51</v>
      </c>
      <c r="Q255" s="346" t="s">
        <v>1139</v>
      </c>
      <c r="R255" s="346" t="s">
        <v>1140</v>
      </c>
      <c r="S255" s="346"/>
      <c r="T255" s="150" t="s">
        <v>25</v>
      </c>
      <c r="U255" s="150"/>
      <c r="V255" s="643"/>
      <c r="W255" s="659">
        <v>0</v>
      </c>
      <c r="X255" s="659">
        <v>200.42</v>
      </c>
      <c r="Y255" s="656"/>
      <c r="Z255" s="657"/>
      <c r="AA255" s="714"/>
      <c r="AB255" s="428"/>
      <c r="AC255" s="428">
        <v>200.42</v>
      </c>
      <c r="AD255" s="428">
        <v>0</v>
      </c>
      <c r="AE255" s="429">
        <v>0</v>
      </c>
      <c r="AF255" s="429">
        <v>0</v>
      </c>
      <c r="AG255" s="649">
        <v>0</v>
      </c>
      <c r="AH255" s="649">
        <v>0</v>
      </c>
      <c r="AI255" s="649">
        <v>0</v>
      </c>
      <c r="AJ255" s="649">
        <v>0</v>
      </c>
      <c r="AK255" s="649">
        <v>0</v>
      </c>
      <c r="AL255" s="649">
        <v>0</v>
      </c>
      <c r="AM255" s="649">
        <f t="shared" si="21"/>
        <v>200.42</v>
      </c>
      <c r="AN255" s="651">
        <f>ERP_27[[#This Row],[2026 Working Total]]-ERP_27[[#This Row],[LE2 Final Submission]]</f>
        <v>0</v>
      </c>
      <c r="AO255" s="652">
        <v>0</v>
      </c>
      <c r="AP255" s="652">
        <f t="shared" si="20"/>
        <v>0</v>
      </c>
      <c r="AQ255" s="374">
        <f>SUM(ERP_27[[#This Row],[AP01]:[AP06]])-SUM(ERP_27[[#This Row],[AP01 LE2]:[AP06 LE2]])</f>
        <v>0</v>
      </c>
      <c r="AR255" s="653"/>
      <c r="AS255" s="652">
        <f>ERP_27[[#This Row],[2026 Working Total to Budget/LE]]-ERP_27[[#This Row],[Giveback]]</f>
        <v>0</v>
      </c>
      <c r="AT255" s="654"/>
      <c r="AU255" s="655"/>
      <c r="AV255" s="655"/>
      <c r="AW255" s="655">
        <v>200.42</v>
      </c>
      <c r="AX255" s="655">
        <v>0</v>
      </c>
      <c r="AY255" s="655">
        <v>0</v>
      </c>
      <c r="AZ255" s="655">
        <v>0</v>
      </c>
      <c r="BA255" s="655">
        <v>0</v>
      </c>
      <c r="BB255" s="655">
        <v>0</v>
      </c>
      <c r="BC255" s="655">
        <v>0</v>
      </c>
      <c r="BD255" s="655">
        <v>0</v>
      </c>
      <c r="BE255" s="655">
        <v>0</v>
      </c>
      <c r="BF255" s="655">
        <v>0</v>
      </c>
      <c r="BG255" s="655">
        <v>200.42</v>
      </c>
      <c r="BH255" s="652"/>
      <c r="BI255" s="652"/>
      <c r="BJ255" s="652">
        <v>200.42</v>
      </c>
      <c r="BK255" s="652">
        <v>0</v>
      </c>
      <c r="BL255" s="652">
        <v>0</v>
      </c>
      <c r="BM255" s="652">
        <v>0</v>
      </c>
      <c r="BN255" s="652">
        <v>0</v>
      </c>
      <c r="BO255" s="652">
        <v>0</v>
      </c>
      <c r="BP255" s="652">
        <v>0</v>
      </c>
      <c r="BQ255" s="652">
        <v>0</v>
      </c>
      <c r="BR255" s="652">
        <v>0</v>
      </c>
      <c r="BS255" s="652">
        <v>0</v>
      </c>
      <c r="BT255" s="652">
        <v>200.42</v>
      </c>
    </row>
    <row r="256" spans="1:72" ht="15" hidden="1" customHeight="1">
      <c r="A256" s="66" t="s">
        <v>2161</v>
      </c>
      <c r="B256" s="66"/>
      <c r="C256" s="66" t="s">
        <v>612</v>
      </c>
      <c r="D256" s="66" t="s">
        <v>612</v>
      </c>
      <c r="E256" s="150" t="s">
        <v>1136</v>
      </c>
      <c r="F256" s="482" t="s">
        <v>1566</v>
      </c>
      <c r="G256" s="383" t="s">
        <v>1344</v>
      </c>
      <c r="H256" s="383" t="s">
        <v>1344</v>
      </c>
      <c r="I256" s="150" t="s">
        <v>1345</v>
      </c>
      <c r="J256" s="150" t="s">
        <v>1344</v>
      </c>
      <c r="K256" s="150" t="s">
        <v>1346</v>
      </c>
      <c r="L256" s="511" t="s">
        <v>602</v>
      </c>
      <c r="M256" s="392" t="s">
        <v>611</v>
      </c>
      <c r="N256" s="343"/>
      <c r="O256" s="343"/>
      <c r="P256" s="70" t="s">
        <v>610</v>
      </c>
      <c r="Q256" s="346"/>
      <c r="R256" s="343"/>
      <c r="S256" s="346"/>
      <c r="T256" s="150" t="s">
        <v>611</v>
      </c>
      <c r="U256" s="150"/>
      <c r="V256" s="643"/>
      <c r="W256" s="659">
        <v>0</v>
      </c>
      <c r="X256" s="659">
        <v>85.04</v>
      </c>
      <c r="Y256" s="656"/>
      <c r="Z256" s="657"/>
      <c r="AA256" s="714">
        <v>38.450000000000003</v>
      </c>
      <c r="AB256" s="428">
        <v>0</v>
      </c>
      <c r="AC256" s="428">
        <v>46.59</v>
      </c>
      <c r="AD256" s="428">
        <v>0</v>
      </c>
      <c r="AE256" s="429">
        <v>91.13</v>
      </c>
      <c r="AF256" s="429">
        <v>37.570000000000007</v>
      </c>
      <c r="AG256" s="649">
        <v>0</v>
      </c>
      <c r="AH256" s="649">
        <v>0</v>
      </c>
      <c r="AI256" s="649">
        <v>0</v>
      </c>
      <c r="AJ256" s="649">
        <v>0</v>
      </c>
      <c r="AK256" s="649">
        <v>0</v>
      </c>
      <c r="AL256" s="649">
        <v>0</v>
      </c>
      <c r="AM256" s="649">
        <f t="shared" si="21"/>
        <v>213.74</v>
      </c>
      <c r="AN256" s="651">
        <f>ERP_27[[#This Row],[2026 Working Total]]-ERP_27[[#This Row],[LE2 Final Submission]]</f>
        <v>128.69999999999999</v>
      </c>
      <c r="AO256" s="652">
        <v>0</v>
      </c>
      <c r="AP256" s="652">
        <f t="shared" si="20"/>
        <v>37.570000000000007</v>
      </c>
      <c r="AQ256" s="374">
        <f>SUM(ERP_27[[#This Row],[AP01]:[AP06]])-SUM(ERP_27[[#This Row],[AP01 LE2]:[AP06 LE2]])</f>
        <v>128.69999999999999</v>
      </c>
      <c r="AR256" s="653"/>
      <c r="AS256" s="652">
        <f>ERP_27[[#This Row],[2026 Working Total to Budget/LE]]-ERP_27[[#This Row],[Giveback]]</f>
        <v>128.69999999999999</v>
      </c>
      <c r="AT256" s="654"/>
      <c r="AU256" s="655">
        <v>38.450000000000003</v>
      </c>
      <c r="AV256" s="655">
        <v>0</v>
      </c>
      <c r="AW256" s="655">
        <v>46.59</v>
      </c>
      <c r="AX256" s="655">
        <v>0</v>
      </c>
      <c r="AY256" s="655">
        <v>0</v>
      </c>
      <c r="AZ256" s="655">
        <v>0</v>
      </c>
      <c r="BA256" s="655">
        <v>0</v>
      </c>
      <c r="BB256" s="655">
        <v>0</v>
      </c>
      <c r="BC256" s="655">
        <v>0</v>
      </c>
      <c r="BD256" s="655">
        <v>0</v>
      </c>
      <c r="BE256" s="655">
        <v>0</v>
      </c>
      <c r="BF256" s="655">
        <v>0</v>
      </c>
      <c r="BG256" s="655">
        <v>85.04</v>
      </c>
      <c r="BH256" s="652">
        <v>38.450000000000003</v>
      </c>
      <c r="BI256" s="652">
        <v>0</v>
      </c>
      <c r="BJ256" s="652">
        <v>46.59</v>
      </c>
      <c r="BK256" s="652">
        <v>0</v>
      </c>
      <c r="BL256" s="652">
        <v>0</v>
      </c>
      <c r="BM256" s="652">
        <v>0</v>
      </c>
      <c r="BN256" s="652">
        <v>0</v>
      </c>
      <c r="BO256" s="652">
        <v>0</v>
      </c>
      <c r="BP256" s="652">
        <v>0</v>
      </c>
      <c r="BQ256" s="652">
        <v>0</v>
      </c>
      <c r="BR256" s="652">
        <v>0</v>
      </c>
      <c r="BS256" s="652">
        <v>0</v>
      </c>
      <c r="BT256" s="652">
        <v>85.04</v>
      </c>
    </row>
    <row r="257" spans="1:72" ht="15" hidden="1" customHeight="1">
      <c r="A257" s="66" t="s">
        <v>1180</v>
      </c>
      <c r="B257" s="66"/>
      <c r="C257" s="66" t="s">
        <v>60</v>
      </c>
      <c r="D257" s="66" t="s">
        <v>1181</v>
      </c>
      <c r="E257" s="150" t="s">
        <v>1136</v>
      </c>
      <c r="F257" s="482" t="s">
        <v>1566</v>
      </c>
      <c r="G257" s="150" t="s">
        <v>1135</v>
      </c>
      <c r="H257" s="150" t="s">
        <v>1135</v>
      </c>
      <c r="I257" s="150" t="s">
        <v>1135</v>
      </c>
      <c r="J257" s="150" t="s">
        <v>1137</v>
      </c>
      <c r="K257" s="150" t="s">
        <v>1137</v>
      </c>
      <c r="L257" s="511" t="s">
        <v>49</v>
      </c>
      <c r="M257" s="392" t="s">
        <v>1182</v>
      </c>
      <c r="N257" s="343"/>
      <c r="O257" s="343"/>
      <c r="P257" s="70" t="s">
        <v>61</v>
      </c>
      <c r="Q257" s="346"/>
      <c r="R257" s="343"/>
      <c r="S257" s="346"/>
      <c r="T257" s="150" t="s">
        <v>25</v>
      </c>
      <c r="U257" s="150"/>
      <c r="V257" s="643"/>
      <c r="W257" s="659">
        <v>0</v>
      </c>
      <c r="X257" s="659">
        <v>214.49</v>
      </c>
      <c r="Y257" s="656"/>
      <c r="Z257" s="657"/>
      <c r="AA257" s="714">
        <v>215.71</v>
      </c>
      <c r="AB257" s="428">
        <v>-1.22</v>
      </c>
      <c r="AC257" s="428">
        <v>0</v>
      </c>
      <c r="AD257" s="428" t="s">
        <v>1142</v>
      </c>
      <c r="AE257" s="429">
        <v>0</v>
      </c>
      <c r="AF257" s="429">
        <v>0</v>
      </c>
      <c r="AG257" s="649">
        <v>0</v>
      </c>
      <c r="AH257" s="649">
        <v>0</v>
      </c>
      <c r="AI257" s="649">
        <v>0</v>
      </c>
      <c r="AJ257" s="649">
        <v>0</v>
      </c>
      <c r="AK257" s="649">
        <v>0</v>
      </c>
      <c r="AL257" s="649">
        <v>0</v>
      </c>
      <c r="AM257" s="649">
        <f t="shared" si="21"/>
        <v>214.49</v>
      </c>
      <c r="AN257" s="651">
        <f>ERP_27[[#This Row],[2026 Working Total]]-ERP_27[[#This Row],[LE2 Final Submission]]</f>
        <v>0</v>
      </c>
      <c r="AO257" s="652">
        <v>0</v>
      </c>
      <c r="AP257" s="652">
        <f t="shared" si="20"/>
        <v>0</v>
      </c>
      <c r="AQ257" s="374">
        <f>SUM(ERP_27[[#This Row],[AP01]:[AP06]])-SUM(ERP_27[[#This Row],[AP01 LE2]:[AP06 LE2]])</f>
        <v>0</v>
      </c>
      <c r="AR257" s="653"/>
      <c r="AS257" s="652">
        <f>ERP_27[[#This Row],[2026 Working Total to Budget/LE]]-ERP_27[[#This Row],[Giveback]]</f>
        <v>0</v>
      </c>
      <c r="AT257" s="654"/>
      <c r="AU257" s="655">
        <v>215.71</v>
      </c>
      <c r="AV257" s="655">
        <v>-1.22</v>
      </c>
      <c r="AW257" s="655">
        <v>0</v>
      </c>
      <c r="AX257" s="655">
        <v>0</v>
      </c>
      <c r="AY257" s="655">
        <v>0</v>
      </c>
      <c r="AZ257" s="655">
        <v>0</v>
      </c>
      <c r="BA257" s="655">
        <v>0</v>
      </c>
      <c r="BB257" s="655">
        <v>0</v>
      </c>
      <c r="BC257" s="655">
        <v>0</v>
      </c>
      <c r="BD257" s="655">
        <v>0</v>
      </c>
      <c r="BE257" s="655">
        <v>0</v>
      </c>
      <c r="BF257" s="655">
        <v>0</v>
      </c>
      <c r="BG257" s="655">
        <v>214.49</v>
      </c>
      <c r="BH257" s="652">
        <v>215.71</v>
      </c>
      <c r="BI257" s="652">
        <v>-1.22</v>
      </c>
      <c r="BJ257" s="652">
        <v>0</v>
      </c>
      <c r="BK257" s="652">
        <v>0</v>
      </c>
      <c r="BL257" s="652">
        <v>0</v>
      </c>
      <c r="BM257" s="652">
        <v>0</v>
      </c>
      <c r="BN257" s="652">
        <v>0</v>
      </c>
      <c r="BO257" s="652">
        <v>0</v>
      </c>
      <c r="BP257" s="652">
        <v>0</v>
      </c>
      <c r="BQ257" s="652">
        <v>0</v>
      </c>
      <c r="BR257" s="652">
        <v>0</v>
      </c>
      <c r="BS257" s="652">
        <v>0</v>
      </c>
      <c r="BT257" s="652">
        <v>214.49</v>
      </c>
    </row>
    <row r="258" spans="1:72" ht="15" hidden="1" customHeight="1">
      <c r="A258" s="66" t="s">
        <v>2747</v>
      </c>
      <c r="B258" s="66"/>
      <c r="C258" s="66" t="s">
        <v>984</v>
      </c>
      <c r="D258" s="66" t="s">
        <v>984</v>
      </c>
      <c r="E258" s="150" t="s">
        <v>1136</v>
      </c>
      <c r="F258" s="482" t="s">
        <v>1566</v>
      </c>
      <c r="G258" s="150" t="s">
        <v>1515</v>
      </c>
      <c r="H258" s="383" t="s">
        <v>1515</v>
      </c>
      <c r="I258" s="150" t="s">
        <v>1345</v>
      </c>
      <c r="J258" s="150" t="s">
        <v>1515</v>
      </c>
      <c r="K258" s="150" t="s">
        <v>1346</v>
      </c>
      <c r="L258" s="511" t="s">
        <v>639</v>
      </c>
      <c r="M258" s="392" t="s">
        <v>2285</v>
      </c>
      <c r="N258" s="343"/>
      <c r="O258" s="343"/>
      <c r="P258" s="70" t="s">
        <v>676</v>
      </c>
      <c r="Q258" s="346"/>
      <c r="R258" s="346" t="s">
        <v>1140</v>
      </c>
      <c r="S258" s="346"/>
      <c r="T258" s="150" t="s">
        <v>677</v>
      </c>
      <c r="U258" s="150"/>
      <c r="V258" s="643"/>
      <c r="W258" s="659">
        <v>0</v>
      </c>
      <c r="X258" s="659">
        <v>218.38</v>
      </c>
      <c r="Y258" s="656"/>
      <c r="Z258" s="657"/>
      <c r="AA258" s="714"/>
      <c r="AB258" s="428"/>
      <c r="AC258" s="428">
        <v>218.38</v>
      </c>
      <c r="AD258" s="428">
        <v>0</v>
      </c>
      <c r="AE258" s="429">
        <v>0</v>
      </c>
      <c r="AF258" s="429">
        <v>0</v>
      </c>
      <c r="AG258" s="649">
        <v>0</v>
      </c>
      <c r="AH258" s="649">
        <v>0</v>
      </c>
      <c r="AI258" s="649">
        <v>0</v>
      </c>
      <c r="AJ258" s="649">
        <v>0</v>
      </c>
      <c r="AK258" s="649">
        <v>0</v>
      </c>
      <c r="AL258" s="649">
        <v>0</v>
      </c>
      <c r="AM258" s="649">
        <f t="shared" si="21"/>
        <v>218.38</v>
      </c>
      <c r="AN258" s="651">
        <f>ERP_27[[#This Row],[2026 Working Total]]-ERP_27[[#This Row],[LE2 Final Submission]]</f>
        <v>0</v>
      </c>
      <c r="AO258" s="652">
        <v>0</v>
      </c>
      <c r="AP258" s="652">
        <f t="shared" si="20"/>
        <v>0</v>
      </c>
      <c r="AQ258" s="374">
        <f>SUM(ERP_27[[#This Row],[AP01]:[AP06]])-SUM(ERP_27[[#This Row],[AP01 LE2]:[AP06 LE2]])</f>
        <v>0</v>
      </c>
      <c r="AR258" s="653"/>
      <c r="AS258" s="652">
        <f>ERP_27[[#This Row],[2026 Working Total to Budget/LE]]-ERP_27[[#This Row],[Giveback]]</f>
        <v>0</v>
      </c>
      <c r="AT258" s="654"/>
      <c r="AU258" s="655"/>
      <c r="AV258" s="655"/>
      <c r="AW258" s="655">
        <v>218.38</v>
      </c>
      <c r="AX258" s="655">
        <v>0</v>
      </c>
      <c r="AY258" s="655">
        <v>0</v>
      </c>
      <c r="AZ258" s="655">
        <v>0</v>
      </c>
      <c r="BA258" s="655">
        <v>0</v>
      </c>
      <c r="BB258" s="655">
        <v>0</v>
      </c>
      <c r="BC258" s="655">
        <v>0</v>
      </c>
      <c r="BD258" s="655">
        <v>0</v>
      </c>
      <c r="BE258" s="655">
        <v>0</v>
      </c>
      <c r="BF258" s="655">
        <v>0</v>
      </c>
      <c r="BG258" s="655">
        <v>218.38</v>
      </c>
      <c r="BH258" s="652"/>
      <c r="BI258" s="652"/>
      <c r="BJ258" s="652">
        <v>218.38</v>
      </c>
      <c r="BK258" s="652">
        <v>0</v>
      </c>
      <c r="BL258" s="652">
        <v>0</v>
      </c>
      <c r="BM258" s="652">
        <v>0</v>
      </c>
      <c r="BN258" s="652">
        <v>0</v>
      </c>
      <c r="BO258" s="652">
        <v>0</v>
      </c>
      <c r="BP258" s="652">
        <v>0</v>
      </c>
      <c r="BQ258" s="652">
        <v>0</v>
      </c>
      <c r="BR258" s="652">
        <v>0</v>
      </c>
      <c r="BS258" s="652">
        <v>0</v>
      </c>
      <c r="BT258" s="652">
        <v>218.38</v>
      </c>
    </row>
    <row r="259" spans="1:72" ht="15" hidden="1" customHeight="1">
      <c r="A259" s="66" t="s">
        <v>2184</v>
      </c>
      <c r="B259" s="66"/>
      <c r="C259" s="66" t="s">
        <v>622</v>
      </c>
      <c r="D259" s="66" t="s">
        <v>2185</v>
      </c>
      <c r="E259" s="150" t="s">
        <v>1136</v>
      </c>
      <c r="F259" s="482" t="s">
        <v>1566</v>
      </c>
      <c r="G259" s="482" t="s">
        <v>1566</v>
      </c>
      <c r="H259" s="482" t="s">
        <v>1566</v>
      </c>
      <c r="I259" s="150" t="s">
        <v>1345</v>
      </c>
      <c r="J259" s="150" t="s">
        <v>1346</v>
      </c>
      <c r="K259" s="150" t="s">
        <v>1346</v>
      </c>
      <c r="L259" s="511" t="s">
        <v>602</v>
      </c>
      <c r="M259" s="392" t="s">
        <v>1648</v>
      </c>
      <c r="N259" s="343"/>
      <c r="O259" s="343"/>
      <c r="P259" s="70" t="s">
        <v>323</v>
      </c>
      <c r="Q259" s="346"/>
      <c r="R259" s="343"/>
      <c r="S259" s="346"/>
      <c r="T259" s="150" t="s">
        <v>25</v>
      </c>
      <c r="U259" s="150"/>
      <c r="V259" s="643"/>
      <c r="W259" s="659">
        <v>0</v>
      </c>
      <c r="X259" s="659">
        <v>220.29</v>
      </c>
      <c r="Y259" s="656"/>
      <c r="Z259" s="657"/>
      <c r="AA259" s="714"/>
      <c r="AB259" s="428">
        <v>220.29</v>
      </c>
      <c r="AC259" s="428">
        <v>0</v>
      </c>
      <c r="AD259" s="429" t="s">
        <v>1142</v>
      </c>
      <c r="AE259" s="429">
        <v>0</v>
      </c>
      <c r="AF259" s="429">
        <v>0</v>
      </c>
      <c r="AG259" s="649">
        <v>0</v>
      </c>
      <c r="AH259" s="649">
        <v>0</v>
      </c>
      <c r="AI259" s="649">
        <v>0</v>
      </c>
      <c r="AJ259" s="649">
        <v>0</v>
      </c>
      <c r="AK259" s="649">
        <v>0</v>
      </c>
      <c r="AL259" s="649">
        <v>0</v>
      </c>
      <c r="AM259" s="649">
        <f t="shared" si="21"/>
        <v>220.29</v>
      </c>
      <c r="AN259" s="651">
        <f>ERP_27[[#This Row],[2026 Working Total]]-ERP_27[[#This Row],[LE2 Final Submission]]</f>
        <v>0</v>
      </c>
      <c r="AO259" s="652">
        <v>0</v>
      </c>
      <c r="AP259" s="652">
        <f t="shared" si="20"/>
        <v>0</v>
      </c>
      <c r="AQ259" s="374">
        <f>SUM(ERP_27[[#This Row],[AP01]:[AP06]])-SUM(ERP_27[[#This Row],[AP01 LE2]:[AP06 LE2]])</f>
        <v>0</v>
      </c>
      <c r="AR259" s="653"/>
      <c r="AS259" s="652">
        <f>ERP_27[[#This Row],[2026 Working Total to Budget/LE]]-ERP_27[[#This Row],[Giveback]]</f>
        <v>0</v>
      </c>
      <c r="AT259" s="654"/>
      <c r="AU259" s="655"/>
      <c r="AV259" s="655">
        <v>220.29</v>
      </c>
      <c r="AW259" s="655">
        <v>0</v>
      </c>
      <c r="AX259" s="655">
        <v>0</v>
      </c>
      <c r="AY259" s="655">
        <v>0</v>
      </c>
      <c r="AZ259" s="655">
        <v>0</v>
      </c>
      <c r="BA259" s="655">
        <v>0</v>
      </c>
      <c r="BB259" s="655">
        <v>0</v>
      </c>
      <c r="BC259" s="655">
        <v>0</v>
      </c>
      <c r="BD259" s="655">
        <v>0</v>
      </c>
      <c r="BE259" s="655">
        <v>0</v>
      </c>
      <c r="BF259" s="655">
        <v>0</v>
      </c>
      <c r="BG259" s="655">
        <v>220.29</v>
      </c>
      <c r="BH259" s="652"/>
      <c r="BI259" s="652">
        <v>220.29</v>
      </c>
      <c r="BJ259" s="652">
        <v>0</v>
      </c>
      <c r="BK259" s="652">
        <v>0</v>
      </c>
      <c r="BL259" s="652">
        <v>0</v>
      </c>
      <c r="BM259" s="652">
        <v>0</v>
      </c>
      <c r="BN259" s="652">
        <v>0</v>
      </c>
      <c r="BO259" s="652">
        <v>0</v>
      </c>
      <c r="BP259" s="652">
        <v>0</v>
      </c>
      <c r="BQ259" s="652">
        <v>0</v>
      </c>
      <c r="BR259" s="652">
        <v>0</v>
      </c>
      <c r="BS259" s="652">
        <v>0</v>
      </c>
      <c r="BT259" s="652">
        <v>220.29</v>
      </c>
    </row>
    <row r="260" spans="1:72" ht="15" hidden="1" customHeight="1">
      <c r="A260" s="66" t="s">
        <v>2819</v>
      </c>
      <c r="B260" s="66"/>
      <c r="C260" s="66" t="s">
        <v>1025</v>
      </c>
      <c r="D260" s="66" t="s">
        <v>1025</v>
      </c>
      <c r="E260" s="150" t="s">
        <v>1136</v>
      </c>
      <c r="F260" s="482" t="s">
        <v>1566</v>
      </c>
      <c r="G260" s="150" t="s">
        <v>1650</v>
      </c>
      <c r="H260" s="150" t="s">
        <v>1650</v>
      </c>
      <c r="I260" s="150" t="s">
        <v>1650</v>
      </c>
      <c r="J260" s="150" t="s">
        <v>1650</v>
      </c>
      <c r="K260" s="150" t="s">
        <v>1650</v>
      </c>
      <c r="L260" s="511" t="s">
        <v>639</v>
      </c>
      <c r="M260" s="392" t="s">
        <v>1327</v>
      </c>
      <c r="N260" s="343"/>
      <c r="O260" s="343"/>
      <c r="P260" s="70" t="s">
        <v>147</v>
      </c>
      <c r="Q260" s="346"/>
      <c r="R260" s="343"/>
      <c r="S260" s="346"/>
      <c r="T260" s="150" t="s">
        <v>25</v>
      </c>
      <c r="U260" s="150"/>
      <c r="V260" s="643"/>
      <c r="W260" s="659">
        <v>0</v>
      </c>
      <c r="X260" s="659">
        <v>227.23999999999998</v>
      </c>
      <c r="Y260" s="656"/>
      <c r="Z260" s="657"/>
      <c r="AA260" s="714"/>
      <c r="AB260" s="428">
        <v>-0.02</v>
      </c>
      <c r="AC260" s="428">
        <v>227.26</v>
      </c>
      <c r="AD260" s="428">
        <v>0</v>
      </c>
      <c r="AE260" s="429">
        <v>0</v>
      </c>
      <c r="AF260" s="429">
        <v>-0.24</v>
      </c>
      <c r="AG260" s="649">
        <v>0</v>
      </c>
      <c r="AH260" s="649">
        <v>0</v>
      </c>
      <c r="AI260" s="649">
        <v>0</v>
      </c>
      <c r="AJ260" s="649">
        <v>0</v>
      </c>
      <c r="AK260" s="649">
        <v>0</v>
      </c>
      <c r="AL260" s="649">
        <v>0</v>
      </c>
      <c r="AM260" s="649">
        <f t="shared" si="21"/>
        <v>226.99999999999997</v>
      </c>
      <c r="AN260" s="651">
        <f>ERP_27[[#This Row],[2026 Working Total]]-ERP_27[[#This Row],[LE2 Final Submission]]</f>
        <v>-0.24000000000000909</v>
      </c>
      <c r="AO260" s="652">
        <v>0</v>
      </c>
      <c r="AP260" s="652">
        <f t="shared" si="20"/>
        <v>-0.24</v>
      </c>
      <c r="AQ260" s="374">
        <f>SUM(ERP_27[[#This Row],[AP01]:[AP06]])-SUM(ERP_27[[#This Row],[AP01 LE2]:[AP06 LE2]])</f>
        <v>-0.24000000000000909</v>
      </c>
      <c r="AR260" s="653"/>
      <c r="AS260" s="652">
        <f>ERP_27[[#This Row],[2026 Working Total to Budget/LE]]-ERP_27[[#This Row],[Giveback]]</f>
        <v>-0.24000000000000909</v>
      </c>
      <c r="AT260" s="654"/>
      <c r="AU260" s="655"/>
      <c r="AV260" s="655">
        <v>-0.02</v>
      </c>
      <c r="AW260" s="655">
        <v>227.26</v>
      </c>
      <c r="AX260" s="655">
        <v>0</v>
      </c>
      <c r="AY260" s="655">
        <v>0</v>
      </c>
      <c r="AZ260" s="655">
        <v>0</v>
      </c>
      <c r="BA260" s="655">
        <v>0</v>
      </c>
      <c r="BB260" s="655">
        <v>0</v>
      </c>
      <c r="BC260" s="655">
        <v>0</v>
      </c>
      <c r="BD260" s="655">
        <v>0</v>
      </c>
      <c r="BE260" s="655">
        <v>0</v>
      </c>
      <c r="BF260" s="655">
        <v>0</v>
      </c>
      <c r="BG260" s="655">
        <v>227.23999999999998</v>
      </c>
      <c r="BH260" s="652"/>
      <c r="BI260" s="652">
        <v>-0.02</v>
      </c>
      <c r="BJ260" s="652">
        <v>227.26</v>
      </c>
      <c r="BK260" s="652">
        <v>0</v>
      </c>
      <c r="BL260" s="652">
        <v>0</v>
      </c>
      <c r="BM260" s="652">
        <v>0</v>
      </c>
      <c r="BN260" s="652">
        <v>0</v>
      </c>
      <c r="BO260" s="652">
        <v>0</v>
      </c>
      <c r="BP260" s="652">
        <v>0</v>
      </c>
      <c r="BQ260" s="652">
        <v>0</v>
      </c>
      <c r="BR260" s="652">
        <v>0</v>
      </c>
      <c r="BS260" s="652">
        <v>0</v>
      </c>
      <c r="BT260" s="652">
        <v>227.23999999999998</v>
      </c>
    </row>
    <row r="261" spans="1:72" ht="15" hidden="1" customHeight="1">
      <c r="A261" s="66" t="s">
        <v>2257</v>
      </c>
      <c r="B261" s="66"/>
      <c r="C261" s="66" t="s">
        <v>668</v>
      </c>
      <c r="D261" s="66" t="s">
        <v>2258</v>
      </c>
      <c r="E261" s="150" t="s">
        <v>1136</v>
      </c>
      <c r="F261" s="482" t="s">
        <v>1566</v>
      </c>
      <c r="G261" s="150" t="s">
        <v>1135</v>
      </c>
      <c r="H261" s="150" t="s">
        <v>1161</v>
      </c>
      <c r="I261" s="150" t="s">
        <v>1135</v>
      </c>
      <c r="J261" s="150" t="s">
        <v>1161</v>
      </c>
      <c r="K261" s="150" t="s">
        <v>1137</v>
      </c>
      <c r="L261" s="511" t="s">
        <v>639</v>
      </c>
      <c r="M261" s="392" t="s">
        <v>1147</v>
      </c>
      <c r="N261" s="343"/>
      <c r="O261" s="343"/>
      <c r="P261" s="70" t="s">
        <v>53</v>
      </c>
      <c r="Q261" s="346" t="s">
        <v>1153</v>
      </c>
      <c r="R261" s="346" t="s">
        <v>1140</v>
      </c>
      <c r="S261" s="346"/>
      <c r="T261" s="150" t="s">
        <v>25</v>
      </c>
      <c r="U261" s="150" t="s">
        <v>2259</v>
      </c>
      <c r="V261" s="643"/>
      <c r="W261" s="659">
        <v>0</v>
      </c>
      <c r="X261" s="659">
        <v>227</v>
      </c>
      <c r="Y261" s="656"/>
      <c r="Z261" s="657"/>
      <c r="AA261" s="714"/>
      <c r="AB261" s="428">
        <v>227</v>
      </c>
      <c r="AC261" s="428">
        <v>0</v>
      </c>
      <c r="AD261" s="428" t="s">
        <v>1142</v>
      </c>
      <c r="AE261" s="429">
        <v>0</v>
      </c>
      <c r="AF261" s="429">
        <v>0</v>
      </c>
      <c r="AG261" s="649">
        <v>0</v>
      </c>
      <c r="AH261" s="649">
        <v>0</v>
      </c>
      <c r="AI261" s="649">
        <v>0</v>
      </c>
      <c r="AJ261" s="649">
        <v>0</v>
      </c>
      <c r="AK261" s="649">
        <v>0</v>
      </c>
      <c r="AL261" s="649">
        <v>0</v>
      </c>
      <c r="AM261" s="649">
        <f t="shared" si="21"/>
        <v>227</v>
      </c>
      <c r="AN261" s="651">
        <f>ERP_27[[#This Row],[2026 Working Total]]-ERP_27[[#This Row],[LE2 Final Submission]]</f>
        <v>0</v>
      </c>
      <c r="AO261" s="652">
        <v>0</v>
      </c>
      <c r="AP261" s="652">
        <f t="shared" si="20"/>
        <v>0</v>
      </c>
      <c r="AQ261" s="374">
        <f>SUM(ERP_27[[#This Row],[AP01]:[AP06]])-SUM(ERP_27[[#This Row],[AP01 LE2]:[AP06 LE2]])</f>
        <v>0</v>
      </c>
      <c r="AR261" s="653"/>
      <c r="AS261" s="652">
        <f>ERP_27[[#This Row],[2026 Working Total to Budget/LE]]-ERP_27[[#This Row],[Giveback]]</f>
        <v>0</v>
      </c>
      <c r="AT261" s="654"/>
      <c r="AU261" s="655"/>
      <c r="AV261" s="655">
        <v>227</v>
      </c>
      <c r="AW261" s="655">
        <v>0</v>
      </c>
      <c r="AX261" s="655">
        <v>0</v>
      </c>
      <c r="AY261" s="655">
        <v>0</v>
      </c>
      <c r="AZ261" s="655">
        <v>0</v>
      </c>
      <c r="BA261" s="655">
        <v>0</v>
      </c>
      <c r="BB261" s="655">
        <v>0</v>
      </c>
      <c r="BC261" s="655">
        <v>0</v>
      </c>
      <c r="BD261" s="655">
        <v>0</v>
      </c>
      <c r="BE261" s="655">
        <v>0</v>
      </c>
      <c r="BF261" s="655">
        <v>0</v>
      </c>
      <c r="BG261" s="655">
        <v>227</v>
      </c>
      <c r="BH261" s="652"/>
      <c r="BI261" s="652">
        <v>227</v>
      </c>
      <c r="BJ261" s="652">
        <v>0</v>
      </c>
      <c r="BK261" s="652">
        <v>0</v>
      </c>
      <c r="BL261" s="652">
        <v>0</v>
      </c>
      <c r="BM261" s="652">
        <v>0</v>
      </c>
      <c r="BN261" s="652">
        <v>0</v>
      </c>
      <c r="BO261" s="652">
        <v>0</v>
      </c>
      <c r="BP261" s="652">
        <v>0</v>
      </c>
      <c r="BQ261" s="652">
        <v>0</v>
      </c>
      <c r="BR261" s="652">
        <v>0</v>
      </c>
      <c r="BS261" s="652">
        <v>0</v>
      </c>
      <c r="BT261" s="652">
        <v>227</v>
      </c>
    </row>
    <row r="262" spans="1:72" ht="15" hidden="1" customHeight="1">
      <c r="A262" s="66" t="s">
        <v>2644</v>
      </c>
      <c r="B262" s="66"/>
      <c r="C262" s="66" t="s">
        <v>929</v>
      </c>
      <c r="D262" s="66" t="s">
        <v>929</v>
      </c>
      <c r="E262" s="150" t="s">
        <v>1136</v>
      </c>
      <c r="F262" s="482" t="s">
        <v>1566</v>
      </c>
      <c r="G262" s="383" t="s">
        <v>1344</v>
      </c>
      <c r="H262" s="383" t="s">
        <v>1344</v>
      </c>
      <c r="I262" s="150" t="s">
        <v>1345</v>
      </c>
      <c r="J262" s="150" t="s">
        <v>1344</v>
      </c>
      <c r="K262" s="150" t="s">
        <v>1346</v>
      </c>
      <c r="L262" s="511" t="s">
        <v>639</v>
      </c>
      <c r="M262" s="392" t="s">
        <v>2645</v>
      </c>
      <c r="N262" s="343"/>
      <c r="O262" s="343"/>
      <c r="P262" s="70" t="s">
        <v>930</v>
      </c>
      <c r="Q262" s="346"/>
      <c r="R262" s="343"/>
      <c r="S262" s="346"/>
      <c r="T262" s="150" t="s">
        <v>677</v>
      </c>
      <c r="U262" s="150"/>
      <c r="V262" s="643"/>
      <c r="W262" s="659">
        <v>0</v>
      </c>
      <c r="X262" s="659">
        <v>227</v>
      </c>
      <c r="Y262" s="656"/>
      <c r="Z262" s="657"/>
      <c r="AA262" s="714"/>
      <c r="AB262" s="428">
        <v>227</v>
      </c>
      <c r="AC262" s="428">
        <v>0</v>
      </c>
      <c r="AD262" s="428">
        <v>0</v>
      </c>
      <c r="AE262" s="429">
        <v>0</v>
      </c>
      <c r="AF262" s="429">
        <v>0</v>
      </c>
      <c r="AG262" s="649">
        <v>0</v>
      </c>
      <c r="AH262" s="649">
        <v>0</v>
      </c>
      <c r="AI262" s="649">
        <v>0</v>
      </c>
      <c r="AJ262" s="649">
        <v>0</v>
      </c>
      <c r="AK262" s="649">
        <v>0</v>
      </c>
      <c r="AL262" s="649">
        <v>0</v>
      </c>
      <c r="AM262" s="649">
        <f t="shared" si="21"/>
        <v>227</v>
      </c>
      <c r="AN262" s="651">
        <f>ERP_27[[#This Row],[2026 Working Total]]-ERP_27[[#This Row],[LE2 Final Submission]]</f>
        <v>0</v>
      </c>
      <c r="AO262" s="652">
        <v>0</v>
      </c>
      <c r="AP262" s="652">
        <f t="shared" si="20"/>
        <v>0</v>
      </c>
      <c r="AQ262" s="374">
        <f>SUM(ERP_27[[#This Row],[AP01]:[AP06]])-SUM(ERP_27[[#This Row],[AP01 LE2]:[AP06 LE2]])</f>
        <v>0</v>
      </c>
      <c r="AR262" s="653"/>
      <c r="AS262" s="652">
        <f>ERP_27[[#This Row],[2026 Working Total to Budget/LE]]-ERP_27[[#This Row],[Giveback]]</f>
        <v>0</v>
      </c>
      <c r="AT262" s="654"/>
      <c r="AU262" s="655"/>
      <c r="AV262" s="655">
        <v>227</v>
      </c>
      <c r="AW262" s="655">
        <v>0</v>
      </c>
      <c r="AX262" s="655">
        <v>0</v>
      </c>
      <c r="AY262" s="655">
        <v>0</v>
      </c>
      <c r="AZ262" s="655">
        <v>0</v>
      </c>
      <c r="BA262" s="655">
        <v>0</v>
      </c>
      <c r="BB262" s="655">
        <v>0</v>
      </c>
      <c r="BC262" s="655">
        <v>0</v>
      </c>
      <c r="BD262" s="655">
        <v>0</v>
      </c>
      <c r="BE262" s="655">
        <v>0</v>
      </c>
      <c r="BF262" s="655">
        <v>0</v>
      </c>
      <c r="BG262" s="655">
        <v>227</v>
      </c>
      <c r="BH262" s="652"/>
      <c r="BI262" s="652">
        <v>227</v>
      </c>
      <c r="BJ262" s="652">
        <v>0</v>
      </c>
      <c r="BK262" s="652">
        <v>0</v>
      </c>
      <c r="BL262" s="652">
        <v>0</v>
      </c>
      <c r="BM262" s="652">
        <v>0</v>
      </c>
      <c r="BN262" s="652">
        <v>0</v>
      </c>
      <c r="BO262" s="652">
        <v>0</v>
      </c>
      <c r="BP262" s="652">
        <v>0</v>
      </c>
      <c r="BQ262" s="652">
        <v>0</v>
      </c>
      <c r="BR262" s="652">
        <v>0</v>
      </c>
      <c r="BS262" s="652">
        <v>0</v>
      </c>
      <c r="BT262" s="652">
        <v>227</v>
      </c>
    </row>
    <row r="263" spans="1:72" ht="15" hidden="1" customHeight="1">
      <c r="A263" s="66" t="s">
        <v>2679</v>
      </c>
      <c r="B263" s="66"/>
      <c r="C263" s="66" t="s">
        <v>946</v>
      </c>
      <c r="D263" s="66" t="s">
        <v>946</v>
      </c>
      <c r="E263" s="150" t="s">
        <v>1136</v>
      </c>
      <c r="F263" s="482" t="s">
        <v>1566</v>
      </c>
      <c r="G263" s="150" t="s">
        <v>1345</v>
      </c>
      <c r="H263" s="150" t="s">
        <v>1345</v>
      </c>
      <c r="I263" s="150" t="s">
        <v>1345</v>
      </c>
      <c r="J263" s="150" t="s">
        <v>1345</v>
      </c>
      <c r="K263" s="150" t="s">
        <v>1346</v>
      </c>
      <c r="L263" s="511" t="s">
        <v>639</v>
      </c>
      <c r="M263" s="392" t="s">
        <v>2285</v>
      </c>
      <c r="N263" s="343"/>
      <c r="O263" s="343"/>
      <c r="P263" s="70" t="s">
        <v>676</v>
      </c>
      <c r="Q263" s="346"/>
      <c r="R263" s="346" t="s">
        <v>1140</v>
      </c>
      <c r="S263" s="346"/>
      <c r="T263" s="150" t="s">
        <v>677</v>
      </c>
      <c r="U263" s="150"/>
      <c r="V263" s="643"/>
      <c r="W263" s="659">
        <v>275</v>
      </c>
      <c r="X263" s="659">
        <v>227</v>
      </c>
      <c r="Y263" s="656"/>
      <c r="Z263" s="657"/>
      <c r="AA263" s="714"/>
      <c r="AB263" s="428">
        <v>227</v>
      </c>
      <c r="AC263" s="428">
        <v>0</v>
      </c>
      <c r="AD263" s="428">
        <v>0</v>
      </c>
      <c r="AE263" s="429">
        <v>0</v>
      </c>
      <c r="AF263" s="429">
        <v>0</v>
      </c>
      <c r="AG263" s="649">
        <v>0</v>
      </c>
      <c r="AH263" s="649">
        <v>0</v>
      </c>
      <c r="AI263" s="649">
        <v>0</v>
      </c>
      <c r="AJ263" s="649">
        <v>0</v>
      </c>
      <c r="AK263" s="649">
        <v>0</v>
      </c>
      <c r="AL263" s="649">
        <v>0</v>
      </c>
      <c r="AM263" s="649">
        <f t="shared" si="21"/>
        <v>227</v>
      </c>
      <c r="AN263" s="651">
        <f>ERP_27[[#This Row],[2026 Working Total]]-ERP_27[[#This Row],[LE2 Final Submission]]</f>
        <v>0</v>
      </c>
      <c r="AO263" s="652">
        <v>0</v>
      </c>
      <c r="AP263" s="652">
        <f t="shared" si="20"/>
        <v>0</v>
      </c>
      <c r="AQ263" s="374">
        <f>SUM(ERP_27[[#This Row],[AP01]:[AP06]])-SUM(ERP_27[[#This Row],[AP01 LE2]:[AP06 LE2]])</f>
        <v>0</v>
      </c>
      <c r="AR263" s="653"/>
      <c r="AS263" s="652">
        <f>ERP_27[[#This Row],[2026 Working Total to Budget/LE]]-ERP_27[[#This Row],[Giveback]]</f>
        <v>0</v>
      </c>
      <c r="AT263" s="654"/>
      <c r="AU263" s="655"/>
      <c r="AV263" s="655">
        <v>227</v>
      </c>
      <c r="AW263" s="655">
        <v>0</v>
      </c>
      <c r="AX263" s="655">
        <v>0</v>
      </c>
      <c r="AY263" s="655">
        <v>0</v>
      </c>
      <c r="AZ263" s="655">
        <v>0</v>
      </c>
      <c r="BA263" s="655">
        <v>0</v>
      </c>
      <c r="BB263" s="655">
        <v>0</v>
      </c>
      <c r="BC263" s="655">
        <v>0</v>
      </c>
      <c r="BD263" s="655">
        <v>0</v>
      </c>
      <c r="BE263" s="655">
        <v>0</v>
      </c>
      <c r="BF263" s="655">
        <v>0</v>
      </c>
      <c r="BG263" s="655">
        <v>227</v>
      </c>
      <c r="BH263" s="652"/>
      <c r="BI263" s="652">
        <v>227</v>
      </c>
      <c r="BJ263" s="652">
        <v>0</v>
      </c>
      <c r="BK263" s="652">
        <v>0</v>
      </c>
      <c r="BL263" s="652">
        <v>0</v>
      </c>
      <c r="BM263" s="652">
        <v>0</v>
      </c>
      <c r="BN263" s="652">
        <v>0</v>
      </c>
      <c r="BO263" s="652">
        <v>0</v>
      </c>
      <c r="BP263" s="652">
        <v>0</v>
      </c>
      <c r="BQ263" s="652">
        <v>0</v>
      </c>
      <c r="BR263" s="652">
        <v>0</v>
      </c>
      <c r="BS263" s="652">
        <v>0</v>
      </c>
      <c r="BT263" s="652">
        <v>227</v>
      </c>
    </row>
    <row r="264" spans="1:72" ht="15" hidden="1" customHeight="1">
      <c r="A264" s="150" t="s">
        <v>2745</v>
      </c>
      <c r="B264" s="150"/>
      <c r="C264" s="536" t="s">
        <v>983</v>
      </c>
      <c r="D264" s="296" t="s">
        <v>983</v>
      </c>
      <c r="E264" s="150" t="s">
        <v>1136</v>
      </c>
      <c r="F264" s="482" t="s">
        <v>1566</v>
      </c>
      <c r="G264" s="332" t="s">
        <v>1515</v>
      </c>
      <c r="H264" s="383" t="s">
        <v>1515</v>
      </c>
      <c r="I264" s="150" t="s">
        <v>1345</v>
      </c>
      <c r="J264" s="332" t="s">
        <v>1515</v>
      </c>
      <c r="K264" s="333" t="s">
        <v>1515</v>
      </c>
      <c r="L264" s="514" t="s">
        <v>639</v>
      </c>
      <c r="M264" s="394" t="s">
        <v>2614</v>
      </c>
      <c r="N264" s="333"/>
      <c r="O264" s="332" t="s">
        <v>2746</v>
      </c>
      <c r="P264" s="90" t="s">
        <v>53</v>
      </c>
      <c r="Q264" s="347"/>
      <c r="R264" s="347"/>
      <c r="S264" s="348"/>
      <c r="T264" s="348"/>
      <c r="U264" s="348"/>
      <c r="V264" s="646"/>
      <c r="W264" s="659"/>
      <c r="X264" s="659"/>
      <c r="Y264" s="656"/>
      <c r="Z264" s="657"/>
      <c r="AA264" s="714"/>
      <c r="AB264" s="428"/>
      <c r="AC264" s="428"/>
      <c r="AD264" s="429"/>
      <c r="AE264" s="429">
        <v>227</v>
      </c>
      <c r="AF264" s="429">
        <v>0</v>
      </c>
      <c r="AG264" s="649"/>
      <c r="AH264" s="649"/>
      <c r="AI264" s="649"/>
      <c r="AJ264" s="649"/>
      <c r="AK264" s="649"/>
      <c r="AL264" s="649"/>
      <c r="AM264" s="649">
        <f t="shared" si="21"/>
        <v>227</v>
      </c>
      <c r="AN264" s="651">
        <f>ERP_27[[#This Row],[2026 Working Total]]-ERP_27[[#This Row],[LE2 Final Submission]]</f>
        <v>227</v>
      </c>
      <c r="AO264" s="652"/>
      <c r="AP264" s="652">
        <f t="shared" ref="AP264:AP327" si="22">$AF264 - $AO264</f>
        <v>0</v>
      </c>
      <c r="AQ264" s="374">
        <f>SUM(ERP_27[[#This Row],[AP01]:[AP06]])-SUM(ERP_27[[#This Row],[AP01 LE2]:[AP06 LE2]])</f>
        <v>227</v>
      </c>
      <c r="AR264" s="653"/>
      <c r="AS264" s="652">
        <f>ERP_27[[#This Row],[2026 Working Total to Budget/LE]]-ERP_27[[#This Row],[Giveback]]</f>
        <v>227</v>
      </c>
      <c r="AT264" s="654"/>
      <c r="AU264" s="655"/>
      <c r="AV264" s="655"/>
      <c r="AW264" s="655"/>
      <c r="AX264" s="655"/>
      <c r="AY264" s="655"/>
      <c r="AZ264" s="655"/>
      <c r="BA264" s="655"/>
      <c r="BB264" s="655"/>
      <c r="BC264" s="655"/>
      <c r="BD264" s="655"/>
      <c r="BE264" s="655"/>
      <c r="BF264" s="655"/>
      <c r="BG264" s="655"/>
      <c r="BH264" s="652"/>
      <c r="BI264" s="652"/>
      <c r="BJ264" s="652"/>
      <c r="BK264" s="652"/>
      <c r="BL264" s="652"/>
      <c r="BM264" s="652"/>
      <c r="BN264" s="652"/>
      <c r="BO264" s="652"/>
      <c r="BP264" s="652"/>
      <c r="BQ264" s="652"/>
      <c r="BR264" s="652"/>
      <c r="BS264" s="652"/>
      <c r="BT264" s="652"/>
    </row>
    <row r="265" spans="1:72" ht="15" hidden="1" customHeight="1">
      <c r="A265" s="150" t="s">
        <v>2771</v>
      </c>
      <c r="B265" s="150"/>
      <c r="C265" s="536" t="s">
        <v>996</v>
      </c>
      <c r="D265" s="296" t="s">
        <v>2772</v>
      </c>
      <c r="E265" s="150" t="s">
        <v>1136</v>
      </c>
      <c r="F265" s="482" t="s">
        <v>1566</v>
      </c>
      <c r="G265" s="150" t="s">
        <v>1566</v>
      </c>
      <c r="H265" s="150" t="s">
        <v>1566</v>
      </c>
      <c r="I265" s="332" t="s">
        <v>1567</v>
      </c>
      <c r="J265" s="332" t="s">
        <v>1567</v>
      </c>
      <c r="K265" s="333" t="s">
        <v>1567</v>
      </c>
      <c r="L265" s="514" t="s">
        <v>639</v>
      </c>
      <c r="M265" s="394" t="s">
        <v>2773</v>
      </c>
      <c r="N265" s="333"/>
      <c r="O265" s="332" t="s">
        <v>1634</v>
      </c>
      <c r="P265" s="90" t="s">
        <v>274</v>
      </c>
      <c r="Q265" s="347"/>
      <c r="R265" s="347"/>
      <c r="S265" s="348"/>
      <c r="T265" s="506" t="s">
        <v>310</v>
      </c>
      <c r="U265" s="348"/>
      <c r="V265" s="646"/>
      <c r="W265" s="659"/>
      <c r="X265" s="659"/>
      <c r="Y265" s="656"/>
      <c r="Z265" s="657"/>
      <c r="AA265" s="714"/>
      <c r="AB265" s="428"/>
      <c r="AC265" s="428"/>
      <c r="AD265" s="428"/>
      <c r="AE265" s="429">
        <v>227</v>
      </c>
      <c r="AF265" s="429">
        <v>0</v>
      </c>
      <c r="AG265" s="649"/>
      <c r="AH265" s="649"/>
      <c r="AI265" s="649"/>
      <c r="AJ265" s="649"/>
      <c r="AK265" s="649"/>
      <c r="AL265" s="649"/>
      <c r="AM265" s="649">
        <f t="shared" si="21"/>
        <v>227</v>
      </c>
      <c r="AN265" s="651">
        <f>ERP_27[[#This Row],[2026 Working Total]]-ERP_27[[#This Row],[LE2 Final Submission]]</f>
        <v>227</v>
      </c>
      <c r="AO265" s="652"/>
      <c r="AP265" s="652">
        <f t="shared" si="22"/>
        <v>0</v>
      </c>
      <c r="AQ265" s="374">
        <f>SUM(ERP_27[[#This Row],[AP01]:[AP06]])-SUM(ERP_27[[#This Row],[AP01 LE2]:[AP06 LE2]])</f>
        <v>227</v>
      </c>
      <c r="AR265" s="653"/>
      <c r="AS265" s="652">
        <f>ERP_27[[#This Row],[2026 Working Total to Budget/LE]]-ERP_27[[#This Row],[Giveback]]</f>
        <v>227</v>
      </c>
      <c r="AT265" s="654"/>
      <c r="AU265" s="655"/>
      <c r="AV265" s="655"/>
      <c r="AW265" s="655"/>
      <c r="AX265" s="655"/>
      <c r="AY265" s="655"/>
      <c r="AZ265" s="655"/>
      <c r="BA265" s="655"/>
      <c r="BB265" s="655"/>
      <c r="BC265" s="655"/>
      <c r="BD265" s="655"/>
      <c r="BE265" s="655"/>
      <c r="BF265" s="655"/>
      <c r="BG265" s="655"/>
      <c r="BH265" s="652"/>
      <c r="BI265" s="652"/>
      <c r="BJ265" s="652"/>
      <c r="BK265" s="652"/>
      <c r="BL265" s="652"/>
      <c r="BM265" s="652"/>
      <c r="BN265" s="652"/>
      <c r="BO265" s="652"/>
      <c r="BP265" s="652"/>
      <c r="BQ265" s="652"/>
      <c r="BR265" s="652"/>
      <c r="BS265" s="652"/>
      <c r="BT265" s="652"/>
    </row>
    <row r="266" spans="1:72" ht="15" hidden="1" customHeight="1">
      <c r="A266" s="66" t="s">
        <v>2611</v>
      </c>
      <c r="B266" s="66"/>
      <c r="C266" s="66" t="s">
        <v>905</v>
      </c>
      <c r="D266" s="66" t="s">
        <v>905</v>
      </c>
      <c r="E266" s="150" t="s">
        <v>1136</v>
      </c>
      <c r="F266" s="482" t="s">
        <v>1566</v>
      </c>
      <c r="G266" s="383" t="s">
        <v>1344</v>
      </c>
      <c r="H266" s="383" t="s">
        <v>1344</v>
      </c>
      <c r="I266" s="150" t="s">
        <v>1345</v>
      </c>
      <c r="J266" s="150" t="s">
        <v>1344</v>
      </c>
      <c r="K266" s="150" t="s">
        <v>1346</v>
      </c>
      <c r="L266" s="511" t="s">
        <v>639</v>
      </c>
      <c r="M266" s="392" t="s">
        <v>1405</v>
      </c>
      <c r="N266" s="343"/>
      <c r="O266" s="343"/>
      <c r="P266" s="70" t="s">
        <v>190</v>
      </c>
      <c r="Q266" s="346" t="s">
        <v>1153</v>
      </c>
      <c r="R266" s="346" t="s">
        <v>1406</v>
      </c>
      <c r="S266" s="346"/>
      <c r="T266" s="150" t="s">
        <v>25</v>
      </c>
      <c r="U266" s="150"/>
      <c r="V266" s="643"/>
      <c r="W266" s="659">
        <v>0</v>
      </c>
      <c r="X266" s="659">
        <v>292.39999999999998</v>
      </c>
      <c r="Y266" s="656"/>
      <c r="Z266" s="657"/>
      <c r="AA266" s="714"/>
      <c r="AB266" s="428"/>
      <c r="AC266" s="428">
        <v>292.39999999999998</v>
      </c>
      <c r="AD266" s="428">
        <v>0</v>
      </c>
      <c r="AE266" s="429">
        <v>0</v>
      </c>
      <c r="AF266" s="429">
        <v>0</v>
      </c>
      <c r="AG266" s="649">
        <v>0</v>
      </c>
      <c r="AH266" s="649">
        <v>0</v>
      </c>
      <c r="AI266" s="649">
        <v>0</v>
      </c>
      <c r="AJ266" s="649">
        <v>0</v>
      </c>
      <c r="AK266" s="649">
        <v>0</v>
      </c>
      <c r="AL266" s="649">
        <v>0</v>
      </c>
      <c r="AM266" s="649">
        <f t="shared" si="21"/>
        <v>292.39999999999998</v>
      </c>
      <c r="AN266" s="651">
        <f>ERP_27[[#This Row],[2026 Working Total]]-ERP_27[[#This Row],[LE2 Final Submission]]</f>
        <v>0</v>
      </c>
      <c r="AO266" s="652">
        <v>0</v>
      </c>
      <c r="AP266" s="652">
        <f t="shared" si="22"/>
        <v>0</v>
      </c>
      <c r="AQ266" s="374">
        <f>SUM(ERP_27[[#This Row],[AP01]:[AP06]])-SUM(ERP_27[[#This Row],[AP01 LE2]:[AP06 LE2]])</f>
        <v>0</v>
      </c>
      <c r="AR266" s="653"/>
      <c r="AS266" s="652">
        <f>ERP_27[[#This Row],[2026 Working Total to Budget/LE]]-ERP_27[[#This Row],[Giveback]]</f>
        <v>0</v>
      </c>
      <c r="AT266" s="654" t="s">
        <v>2612</v>
      </c>
      <c r="AU266" s="655"/>
      <c r="AV266" s="655"/>
      <c r="AW266" s="655">
        <v>292.39999999999998</v>
      </c>
      <c r="AX266" s="655">
        <v>0</v>
      </c>
      <c r="AY266" s="655">
        <v>0</v>
      </c>
      <c r="AZ266" s="655">
        <v>0</v>
      </c>
      <c r="BA266" s="655">
        <v>0</v>
      </c>
      <c r="BB266" s="655">
        <v>0</v>
      </c>
      <c r="BC266" s="655">
        <v>0</v>
      </c>
      <c r="BD266" s="655">
        <v>0</v>
      </c>
      <c r="BE266" s="655">
        <v>0</v>
      </c>
      <c r="BF266" s="655">
        <v>0</v>
      </c>
      <c r="BG266" s="655">
        <v>292.39999999999998</v>
      </c>
      <c r="BH266" s="652"/>
      <c r="BI266" s="652"/>
      <c r="BJ266" s="652">
        <v>292.39999999999998</v>
      </c>
      <c r="BK266" s="652">
        <v>0</v>
      </c>
      <c r="BL266" s="652">
        <v>0</v>
      </c>
      <c r="BM266" s="652">
        <v>0</v>
      </c>
      <c r="BN266" s="652">
        <v>0</v>
      </c>
      <c r="BO266" s="652">
        <v>0</v>
      </c>
      <c r="BP266" s="652">
        <v>0</v>
      </c>
      <c r="BQ266" s="652">
        <v>0</v>
      </c>
      <c r="BR266" s="652">
        <v>0</v>
      </c>
      <c r="BS266" s="652">
        <v>0</v>
      </c>
      <c r="BT266" s="652">
        <v>292.39999999999998</v>
      </c>
    </row>
    <row r="267" spans="1:72" ht="15" hidden="1" customHeight="1">
      <c r="A267" s="66" t="s">
        <v>1988</v>
      </c>
      <c r="B267" s="66"/>
      <c r="C267" s="66" t="s">
        <v>513</v>
      </c>
      <c r="D267" s="66" t="s">
        <v>513</v>
      </c>
      <c r="E267" s="150" t="s">
        <v>1136</v>
      </c>
      <c r="F267" s="482" t="s">
        <v>1566</v>
      </c>
      <c r="G267" s="383" t="s">
        <v>1344</v>
      </c>
      <c r="H267" s="383" t="s">
        <v>1344</v>
      </c>
      <c r="I267" s="150" t="s">
        <v>1345</v>
      </c>
      <c r="J267" s="150" t="s">
        <v>1344</v>
      </c>
      <c r="K267" s="150" t="s">
        <v>1346</v>
      </c>
      <c r="L267" s="511" t="s">
        <v>389</v>
      </c>
      <c r="M267" s="392" t="s">
        <v>1645</v>
      </c>
      <c r="N267" s="343"/>
      <c r="O267" s="343"/>
      <c r="P267" s="70" t="s">
        <v>514</v>
      </c>
      <c r="Q267" s="346"/>
      <c r="R267" s="343"/>
      <c r="S267" s="346"/>
      <c r="T267" s="150" t="s">
        <v>25</v>
      </c>
      <c r="U267" s="150"/>
      <c r="V267" s="643"/>
      <c r="W267" s="659">
        <v>0</v>
      </c>
      <c r="X267" s="659">
        <v>298.89999999999998</v>
      </c>
      <c r="Y267" s="656"/>
      <c r="Z267" s="657"/>
      <c r="AA267" s="714"/>
      <c r="AB267" s="428">
        <v>256.18</v>
      </c>
      <c r="AC267" s="428">
        <v>42.72</v>
      </c>
      <c r="AD267" s="428">
        <v>0</v>
      </c>
      <c r="AE267" s="429">
        <v>0</v>
      </c>
      <c r="AF267" s="429">
        <v>0</v>
      </c>
      <c r="AG267" s="649">
        <v>0</v>
      </c>
      <c r="AH267" s="649">
        <v>0</v>
      </c>
      <c r="AI267" s="649">
        <v>0</v>
      </c>
      <c r="AJ267" s="649">
        <v>0</v>
      </c>
      <c r="AK267" s="649">
        <v>0</v>
      </c>
      <c r="AL267" s="649">
        <v>0</v>
      </c>
      <c r="AM267" s="649">
        <f t="shared" si="21"/>
        <v>298.89999999999998</v>
      </c>
      <c r="AN267" s="651">
        <f>ERP_27[[#This Row],[2026 Working Total]]-ERP_27[[#This Row],[LE2 Final Submission]]</f>
        <v>0</v>
      </c>
      <c r="AO267" s="652">
        <v>0</v>
      </c>
      <c r="AP267" s="652">
        <f t="shared" si="22"/>
        <v>0</v>
      </c>
      <c r="AQ267" s="374">
        <f>SUM(ERP_27[[#This Row],[AP01]:[AP06]])-SUM(ERP_27[[#This Row],[AP01 LE2]:[AP06 LE2]])</f>
        <v>0</v>
      </c>
      <c r="AR267" s="653"/>
      <c r="AS267" s="652">
        <f>ERP_27[[#This Row],[2026 Working Total to Budget/LE]]-ERP_27[[#This Row],[Giveback]]</f>
        <v>0</v>
      </c>
      <c r="AT267" s="654"/>
      <c r="AU267" s="655"/>
      <c r="AV267" s="655">
        <v>256.18</v>
      </c>
      <c r="AW267" s="655">
        <v>42.72</v>
      </c>
      <c r="AX267" s="655">
        <v>0</v>
      </c>
      <c r="AY267" s="655">
        <v>0</v>
      </c>
      <c r="AZ267" s="655">
        <v>0</v>
      </c>
      <c r="BA267" s="655">
        <v>0</v>
      </c>
      <c r="BB267" s="655">
        <v>0</v>
      </c>
      <c r="BC267" s="655">
        <v>0</v>
      </c>
      <c r="BD267" s="655">
        <v>0</v>
      </c>
      <c r="BE267" s="655">
        <v>0</v>
      </c>
      <c r="BF267" s="655">
        <v>0</v>
      </c>
      <c r="BG267" s="655">
        <v>298.89999999999998</v>
      </c>
      <c r="BH267" s="652"/>
      <c r="BI267" s="652">
        <v>256.18</v>
      </c>
      <c r="BJ267" s="652">
        <v>42.72</v>
      </c>
      <c r="BK267" s="652">
        <v>0</v>
      </c>
      <c r="BL267" s="652">
        <v>0</v>
      </c>
      <c r="BM267" s="652">
        <v>0</v>
      </c>
      <c r="BN267" s="652">
        <v>0</v>
      </c>
      <c r="BO267" s="652">
        <v>0</v>
      </c>
      <c r="BP267" s="652">
        <v>0</v>
      </c>
      <c r="BQ267" s="652">
        <v>0</v>
      </c>
      <c r="BR267" s="652">
        <v>0</v>
      </c>
      <c r="BS267" s="652">
        <v>0</v>
      </c>
      <c r="BT267" s="652">
        <v>298.89999999999998</v>
      </c>
    </row>
    <row r="268" spans="1:72" ht="15" hidden="1" customHeight="1">
      <c r="A268" s="66" t="s">
        <v>2137</v>
      </c>
      <c r="B268" s="66"/>
      <c r="C268" s="66" t="s">
        <v>591</v>
      </c>
      <c r="D268" s="66" t="s">
        <v>2138</v>
      </c>
      <c r="E268" s="150" t="s">
        <v>1136</v>
      </c>
      <c r="F268" s="482" t="s">
        <v>1566</v>
      </c>
      <c r="G268" s="482" t="s">
        <v>1566</v>
      </c>
      <c r="H268" s="482" t="s">
        <v>1566</v>
      </c>
      <c r="I268" s="150" t="s">
        <v>1345</v>
      </c>
      <c r="J268" s="150" t="s">
        <v>1346</v>
      </c>
      <c r="K268" s="150" t="s">
        <v>1346</v>
      </c>
      <c r="L268" s="511" t="s">
        <v>389</v>
      </c>
      <c r="M268" s="392" t="s">
        <v>1648</v>
      </c>
      <c r="N268" s="343"/>
      <c r="O268" s="343"/>
      <c r="P268" s="70" t="s">
        <v>323</v>
      </c>
      <c r="Q268" s="346"/>
      <c r="R268" s="343"/>
      <c r="S268" s="346"/>
      <c r="T268" s="150" t="s">
        <v>25</v>
      </c>
      <c r="U268" s="150"/>
      <c r="V268" s="643"/>
      <c r="W268" s="659">
        <v>0</v>
      </c>
      <c r="X268" s="659">
        <v>356.72</v>
      </c>
      <c r="Y268" s="656"/>
      <c r="Z268" s="657"/>
      <c r="AA268" s="714"/>
      <c r="AB268" s="428">
        <v>356.72</v>
      </c>
      <c r="AC268" s="428">
        <v>0</v>
      </c>
      <c r="AD268" s="428" t="s">
        <v>1142</v>
      </c>
      <c r="AE268" s="429">
        <v>0</v>
      </c>
      <c r="AF268" s="429">
        <v>0</v>
      </c>
      <c r="AG268" s="649">
        <v>0</v>
      </c>
      <c r="AH268" s="649">
        <v>0</v>
      </c>
      <c r="AI268" s="649">
        <v>0</v>
      </c>
      <c r="AJ268" s="649">
        <v>0</v>
      </c>
      <c r="AK268" s="649">
        <v>0</v>
      </c>
      <c r="AL268" s="649">
        <v>0</v>
      </c>
      <c r="AM268" s="649">
        <f t="shared" si="21"/>
        <v>356.72</v>
      </c>
      <c r="AN268" s="651">
        <f>ERP_27[[#This Row],[2026 Working Total]]-ERP_27[[#This Row],[LE2 Final Submission]]</f>
        <v>0</v>
      </c>
      <c r="AO268" s="652">
        <v>0</v>
      </c>
      <c r="AP268" s="652">
        <f t="shared" si="22"/>
        <v>0</v>
      </c>
      <c r="AQ268" s="374">
        <f>SUM(ERP_27[[#This Row],[AP01]:[AP06]])-SUM(ERP_27[[#This Row],[AP01 LE2]:[AP06 LE2]])</f>
        <v>0</v>
      </c>
      <c r="AR268" s="653"/>
      <c r="AS268" s="652">
        <f>ERP_27[[#This Row],[2026 Working Total to Budget/LE]]-ERP_27[[#This Row],[Giveback]]</f>
        <v>0</v>
      </c>
      <c r="AT268" s="654"/>
      <c r="AU268" s="655"/>
      <c r="AV268" s="655">
        <v>356.72</v>
      </c>
      <c r="AW268" s="655">
        <v>0</v>
      </c>
      <c r="AX268" s="655">
        <v>0</v>
      </c>
      <c r="AY268" s="655">
        <v>0</v>
      </c>
      <c r="AZ268" s="655">
        <v>0</v>
      </c>
      <c r="BA268" s="655">
        <v>0</v>
      </c>
      <c r="BB268" s="655">
        <v>0</v>
      </c>
      <c r="BC268" s="655">
        <v>0</v>
      </c>
      <c r="BD268" s="655">
        <v>0</v>
      </c>
      <c r="BE268" s="655">
        <v>0</v>
      </c>
      <c r="BF268" s="655">
        <v>0</v>
      </c>
      <c r="BG268" s="655">
        <v>356.72</v>
      </c>
      <c r="BH268" s="652"/>
      <c r="BI268" s="652">
        <v>356.72</v>
      </c>
      <c r="BJ268" s="652">
        <v>0</v>
      </c>
      <c r="BK268" s="652">
        <v>0</v>
      </c>
      <c r="BL268" s="652">
        <v>0</v>
      </c>
      <c r="BM268" s="652">
        <v>0</v>
      </c>
      <c r="BN268" s="652">
        <v>0</v>
      </c>
      <c r="BO268" s="652">
        <v>0</v>
      </c>
      <c r="BP268" s="652">
        <v>0</v>
      </c>
      <c r="BQ268" s="652">
        <v>0</v>
      </c>
      <c r="BR268" s="652">
        <v>0</v>
      </c>
      <c r="BS268" s="652">
        <v>0</v>
      </c>
      <c r="BT268" s="652">
        <v>356.72</v>
      </c>
    </row>
    <row r="269" spans="1:72" ht="15" hidden="1" customHeight="1">
      <c r="A269" s="66" t="s">
        <v>2834</v>
      </c>
      <c r="B269" s="66"/>
      <c r="C269" s="66" t="s">
        <v>1031</v>
      </c>
      <c r="D269" s="66" t="s">
        <v>1031</v>
      </c>
      <c r="E269" s="150" t="s">
        <v>1136</v>
      </c>
      <c r="F269" s="482" t="s">
        <v>1566</v>
      </c>
      <c r="G269" s="150" t="s">
        <v>1515</v>
      </c>
      <c r="H269" s="383" t="s">
        <v>1515</v>
      </c>
      <c r="I269" s="150" t="s">
        <v>1345</v>
      </c>
      <c r="J269" s="150" t="s">
        <v>1515</v>
      </c>
      <c r="K269" s="150" t="s">
        <v>1346</v>
      </c>
      <c r="L269" s="511" t="s">
        <v>1027</v>
      </c>
      <c r="M269" s="392" t="s">
        <v>2830</v>
      </c>
      <c r="N269" s="343"/>
      <c r="O269" s="343"/>
      <c r="P269" s="70" t="s">
        <v>1029</v>
      </c>
      <c r="Q269" s="346"/>
      <c r="R269" s="343"/>
      <c r="S269" s="346"/>
      <c r="T269" s="150" t="s">
        <v>25</v>
      </c>
      <c r="U269" s="150"/>
      <c r="V269" s="643"/>
      <c r="W269" s="659">
        <v>0</v>
      </c>
      <c r="X269" s="659">
        <v>208.93</v>
      </c>
      <c r="Y269" s="656"/>
      <c r="Z269" s="657"/>
      <c r="AA269" s="714">
        <v>-76.86</v>
      </c>
      <c r="AB269" s="428">
        <v>111.1</v>
      </c>
      <c r="AC269" s="428">
        <v>174.69</v>
      </c>
      <c r="AD269" s="428">
        <v>0</v>
      </c>
      <c r="AE269" s="429">
        <v>108.31</v>
      </c>
      <c r="AF269" s="429">
        <v>60.089999999999996</v>
      </c>
      <c r="AG269" s="649">
        <v>0</v>
      </c>
      <c r="AH269" s="649">
        <v>0</v>
      </c>
      <c r="AI269" s="649">
        <v>0</v>
      </c>
      <c r="AJ269" s="649">
        <v>0</v>
      </c>
      <c r="AK269" s="649">
        <v>0</v>
      </c>
      <c r="AL269" s="649">
        <v>0</v>
      </c>
      <c r="AM269" s="649">
        <f t="shared" si="21"/>
        <v>377.33</v>
      </c>
      <c r="AN269" s="651">
        <f>ERP_27[[#This Row],[2026 Working Total]]-ERP_27[[#This Row],[LE2 Final Submission]]</f>
        <v>168.39999999999998</v>
      </c>
      <c r="AO269" s="652">
        <v>0</v>
      </c>
      <c r="AP269" s="652">
        <f t="shared" si="22"/>
        <v>60.089999999999996</v>
      </c>
      <c r="AQ269" s="374">
        <f>SUM(ERP_27[[#This Row],[AP01]:[AP06]])-SUM(ERP_27[[#This Row],[AP01 LE2]:[AP06 LE2]])</f>
        <v>168.39999999999998</v>
      </c>
      <c r="AR269" s="653"/>
      <c r="AS269" s="652">
        <f>ERP_27[[#This Row],[2026 Working Total to Budget/LE]]-ERP_27[[#This Row],[Giveback]]</f>
        <v>168.39999999999998</v>
      </c>
      <c r="AT269" s="654"/>
      <c r="AU269" s="655">
        <v>-76.86</v>
      </c>
      <c r="AV269" s="655">
        <v>111.1</v>
      </c>
      <c r="AW269" s="655">
        <v>174.69</v>
      </c>
      <c r="AX269" s="655">
        <v>0</v>
      </c>
      <c r="AY269" s="655">
        <v>0</v>
      </c>
      <c r="AZ269" s="655">
        <v>0</v>
      </c>
      <c r="BA269" s="655">
        <v>0</v>
      </c>
      <c r="BB269" s="655">
        <v>0</v>
      </c>
      <c r="BC269" s="655">
        <v>0</v>
      </c>
      <c r="BD269" s="655">
        <v>0</v>
      </c>
      <c r="BE269" s="655">
        <v>0</v>
      </c>
      <c r="BF269" s="655">
        <v>0</v>
      </c>
      <c r="BG269" s="655">
        <v>208.93</v>
      </c>
      <c r="BH269" s="652">
        <v>-76.86</v>
      </c>
      <c r="BI269" s="652">
        <v>111.1</v>
      </c>
      <c r="BJ269" s="652">
        <v>174.69</v>
      </c>
      <c r="BK269" s="652">
        <v>0</v>
      </c>
      <c r="BL269" s="652">
        <v>0</v>
      </c>
      <c r="BM269" s="652">
        <v>0</v>
      </c>
      <c r="BN269" s="652">
        <v>0</v>
      </c>
      <c r="BO269" s="652">
        <v>0</v>
      </c>
      <c r="BP269" s="652">
        <v>0</v>
      </c>
      <c r="BQ269" s="652">
        <v>0</v>
      </c>
      <c r="BR269" s="652">
        <v>0</v>
      </c>
      <c r="BS269" s="652">
        <v>0</v>
      </c>
      <c r="BT269" s="652">
        <v>208.93</v>
      </c>
    </row>
    <row r="270" spans="1:72" ht="15" hidden="1" customHeight="1">
      <c r="A270" s="66" t="s">
        <v>1653</v>
      </c>
      <c r="B270" s="66"/>
      <c r="C270" s="66" t="s">
        <v>325</v>
      </c>
      <c r="D270" s="66" t="s">
        <v>325</v>
      </c>
      <c r="E270" s="150" t="s">
        <v>1136</v>
      </c>
      <c r="F270" s="482" t="s">
        <v>1566</v>
      </c>
      <c r="G270" s="150" t="s">
        <v>1650</v>
      </c>
      <c r="H270" s="150" t="s">
        <v>1650</v>
      </c>
      <c r="I270" s="150" t="s">
        <v>1650</v>
      </c>
      <c r="J270" s="150" t="s">
        <v>1650</v>
      </c>
      <c r="K270" s="150" t="s">
        <v>1650</v>
      </c>
      <c r="L270" s="511" t="s">
        <v>49</v>
      </c>
      <c r="M270" s="392" t="s">
        <v>1174</v>
      </c>
      <c r="N270" s="343"/>
      <c r="O270" s="343"/>
      <c r="P270" s="70" t="s">
        <v>56</v>
      </c>
      <c r="Q270" s="346"/>
      <c r="R270" s="346" t="s">
        <v>1140</v>
      </c>
      <c r="S270" s="346"/>
      <c r="T270" s="150" t="s">
        <v>57</v>
      </c>
      <c r="U270" s="150"/>
      <c r="V270" s="643"/>
      <c r="W270" s="659">
        <v>0</v>
      </c>
      <c r="X270" s="659">
        <v>400</v>
      </c>
      <c r="Y270" s="656"/>
      <c r="Z270" s="657"/>
      <c r="AA270" s="714"/>
      <c r="AB270" s="428">
        <v>400</v>
      </c>
      <c r="AC270" s="428">
        <v>0</v>
      </c>
      <c r="AD270" s="428">
        <v>0</v>
      </c>
      <c r="AE270" s="429">
        <v>0</v>
      </c>
      <c r="AF270" s="429">
        <v>0</v>
      </c>
      <c r="AG270" s="649">
        <v>0</v>
      </c>
      <c r="AH270" s="649">
        <v>0</v>
      </c>
      <c r="AI270" s="649">
        <v>0</v>
      </c>
      <c r="AJ270" s="649">
        <v>0</v>
      </c>
      <c r="AK270" s="649">
        <v>0</v>
      </c>
      <c r="AL270" s="649">
        <v>0</v>
      </c>
      <c r="AM270" s="649">
        <f t="shared" si="21"/>
        <v>400</v>
      </c>
      <c r="AN270" s="651">
        <f>ERP_27[[#This Row],[2026 Working Total]]-ERP_27[[#This Row],[LE2 Final Submission]]</f>
        <v>0</v>
      </c>
      <c r="AO270" s="652">
        <v>0</v>
      </c>
      <c r="AP270" s="652">
        <f t="shared" si="22"/>
        <v>0</v>
      </c>
      <c r="AQ270" s="374">
        <f>SUM(ERP_27[[#This Row],[AP01]:[AP06]])-SUM(ERP_27[[#This Row],[AP01 LE2]:[AP06 LE2]])</f>
        <v>0</v>
      </c>
      <c r="AR270" s="653"/>
      <c r="AS270" s="652">
        <f>ERP_27[[#This Row],[2026 Working Total to Budget/LE]]-ERP_27[[#This Row],[Giveback]]</f>
        <v>0</v>
      </c>
      <c r="AT270" s="654"/>
      <c r="AU270" s="655"/>
      <c r="AV270" s="655">
        <v>400</v>
      </c>
      <c r="AW270" s="655">
        <v>0</v>
      </c>
      <c r="AX270" s="655">
        <v>0</v>
      </c>
      <c r="AY270" s="655">
        <v>0</v>
      </c>
      <c r="AZ270" s="655">
        <v>0</v>
      </c>
      <c r="BA270" s="655">
        <v>0</v>
      </c>
      <c r="BB270" s="655">
        <v>0</v>
      </c>
      <c r="BC270" s="655">
        <v>0</v>
      </c>
      <c r="BD270" s="655">
        <v>0</v>
      </c>
      <c r="BE270" s="655">
        <v>0</v>
      </c>
      <c r="BF270" s="655">
        <v>0</v>
      </c>
      <c r="BG270" s="655">
        <v>400</v>
      </c>
      <c r="BH270" s="652"/>
      <c r="BI270" s="652">
        <v>400</v>
      </c>
      <c r="BJ270" s="652">
        <v>0</v>
      </c>
      <c r="BK270" s="652">
        <v>0</v>
      </c>
      <c r="BL270" s="652">
        <v>0</v>
      </c>
      <c r="BM270" s="652">
        <v>0</v>
      </c>
      <c r="BN270" s="652">
        <v>0</v>
      </c>
      <c r="BO270" s="652">
        <v>0</v>
      </c>
      <c r="BP270" s="652">
        <v>0</v>
      </c>
      <c r="BQ270" s="652">
        <v>0</v>
      </c>
      <c r="BR270" s="652">
        <v>0</v>
      </c>
      <c r="BS270" s="652">
        <v>0</v>
      </c>
      <c r="BT270" s="652">
        <v>400</v>
      </c>
    </row>
    <row r="271" spans="1:72" ht="15" hidden="1" customHeight="1">
      <c r="A271" s="66" t="s">
        <v>2169</v>
      </c>
      <c r="B271" s="66"/>
      <c r="C271" s="66" t="s">
        <v>617</v>
      </c>
      <c r="D271" s="66" t="s">
        <v>617</v>
      </c>
      <c r="E271" s="150" t="s">
        <v>1136</v>
      </c>
      <c r="F271" s="482" t="s">
        <v>1566</v>
      </c>
      <c r="G271" s="150" t="s">
        <v>1515</v>
      </c>
      <c r="H271" s="383" t="s">
        <v>1515</v>
      </c>
      <c r="I271" s="150" t="s">
        <v>1345</v>
      </c>
      <c r="J271" s="150" t="s">
        <v>1515</v>
      </c>
      <c r="K271" s="150" t="s">
        <v>1346</v>
      </c>
      <c r="L271" s="511" t="s">
        <v>602</v>
      </c>
      <c r="M271" s="392" t="s">
        <v>611</v>
      </c>
      <c r="N271" s="343"/>
      <c r="O271" s="343"/>
      <c r="P271" s="70" t="s">
        <v>610</v>
      </c>
      <c r="Q271" s="346"/>
      <c r="R271" s="343"/>
      <c r="S271" s="346"/>
      <c r="T271" s="150" t="s">
        <v>611</v>
      </c>
      <c r="U271" s="150"/>
      <c r="V271" s="643"/>
      <c r="W271" s="659">
        <v>0</v>
      </c>
      <c r="X271" s="659">
        <v>414.36</v>
      </c>
      <c r="Y271" s="656"/>
      <c r="Z271" s="657"/>
      <c r="AA271" s="714"/>
      <c r="AB271" s="428"/>
      <c r="AC271" s="428">
        <v>414.36</v>
      </c>
      <c r="AD271" s="428">
        <v>0</v>
      </c>
      <c r="AE271" s="429">
        <v>0</v>
      </c>
      <c r="AF271" s="429">
        <v>0</v>
      </c>
      <c r="AG271" s="649">
        <v>0</v>
      </c>
      <c r="AH271" s="649">
        <v>0</v>
      </c>
      <c r="AI271" s="649">
        <v>0</v>
      </c>
      <c r="AJ271" s="649">
        <v>0</v>
      </c>
      <c r="AK271" s="649">
        <v>0</v>
      </c>
      <c r="AL271" s="649">
        <v>0</v>
      </c>
      <c r="AM271" s="649">
        <f t="shared" si="21"/>
        <v>414.36</v>
      </c>
      <c r="AN271" s="651">
        <f>ERP_27[[#This Row],[2026 Working Total]]-ERP_27[[#This Row],[LE2 Final Submission]]</f>
        <v>0</v>
      </c>
      <c r="AO271" s="652">
        <v>0</v>
      </c>
      <c r="AP271" s="652">
        <f t="shared" si="22"/>
        <v>0</v>
      </c>
      <c r="AQ271" s="374">
        <f>SUM(ERP_27[[#This Row],[AP01]:[AP06]])-SUM(ERP_27[[#This Row],[AP01 LE2]:[AP06 LE2]])</f>
        <v>0</v>
      </c>
      <c r="AR271" s="653"/>
      <c r="AS271" s="652">
        <f>ERP_27[[#This Row],[2026 Working Total to Budget/LE]]-ERP_27[[#This Row],[Giveback]]</f>
        <v>0</v>
      </c>
      <c r="AT271" s="654"/>
      <c r="AU271" s="655"/>
      <c r="AV271" s="655"/>
      <c r="AW271" s="655">
        <v>414.36</v>
      </c>
      <c r="AX271" s="655">
        <v>0</v>
      </c>
      <c r="AY271" s="655">
        <v>0</v>
      </c>
      <c r="AZ271" s="655">
        <v>0</v>
      </c>
      <c r="BA271" s="655">
        <v>0</v>
      </c>
      <c r="BB271" s="655">
        <v>0</v>
      </c>
      <c r="BC271" s="655">
        <v>0</v>
      </c>
      <c r="BD271" s="655">
        <v>0</v>
      </c>
      <c r="BE271" s="655">
        <v>0</v>
      </c>
      <c r="BF271" s="655">
        <v>0</v>
      </c>
      <c r="BG271" s="655">
        <v>414.36</v>
      </c>
      <c r="BH271" s="652"/>
      <c r="BI271" s="652"/>
      <c r="BJ271" s="652">
        <v>414.36</v>
      </c>
      <c r="BK271" s="652">
        <v>0</v>
      </c>
      <c r="BL271" s="652">
        <v>0</v>
      </c>
      <c r="BM271" s="652">
        <v>0</v>
      </c>
      <c r="BN271" s="652">
        <v>0</v>
      </c>
      <c r="BO271" s="652">
        <v>0</v>
      </c>
      <c r="BP271" s="652">
        <v>0</v>
      </c>
      <c r="BQ271" s="652">
        <v>0</v>
      </c>
      <c r="BR271" s="652">
        <v>0</v>
      </c>
      <c r="BS271" s="652">
        <v>0</v>
      </c>
      <c r="BT271" s="652">
        <v>414.36</v>
      </c>
    </row>
    <row r="272" spans="1:72" ht="15" hidden="1" customHeight="1">
      <c r="A272" s="150" t="s">
        <v>2748</v>
      </c>
      <c r="B272" s="150"/>
      <c r="C272" s="536" t="s">
        <v>985</v>
      </c>
      <c r="D272" s="296" t="s">
        <v>985</v>
      </c>
      <c r="E272" s="150" t="s">
        <v>1136</v>
      </c>
      <c r="F272" s="482" t="s">
        <v>1566</v>
      </c>
      <c r="G272" s="332" t="s">
        <v>1515</v>
      </c>
      <c r="H272" s="383" t="s">
        <v>1515</v>
      </c>
      <c r="I272" s="150" t="s">
        <v>1345</v>
      </c>
      <c r="J272" s="332" t="s">
        <v>1515</v>
      </c>
      <c r="K272" s="333" t="s">
        <v>1515</v>
      </c>
      <c r="L272" s="514" t="s">
        <v>639</v>
      </c>
      <c r="M272" s="394" t="s">
        <v>2749</v>
      </c>
      <c r="N272" s="333"/>
      <c r="O272" s="332" t="s">
        <v>2750</v>
      </c>
      <c r="P272" s="90" t="s">
        <v>679</v>
      </c>
      <c r="Q272" s="347"/>
      <c r="R272" s="347"/>
      <c r="S272" s="348"/>
      <c r="T272" s="348"/>
      <c r="U272" s="348"/>
      <c r="V272" s="646"/>
      <c r="W272" s="659"/>
      <c r="X272" s="659"/>
      <c r="Y272" s="656"/>
      <c r="Z272" s="657"/>
      <c r="AA272" s="714"/>
      <c r="AB272" s="428"/>
      <c r="AC272" s="428"/>
      <c r="AD272" s="429"/>
      <c r="AE272" s="429">
        <v>417.44</v>
      </c>
      <c r="AF272" s="429">
        <v>0</v>
      </c>
      <c r="AG272" s="649"/>
      <c r="AH272" s="649"/>
      <c r="AI272" s="649"/>
      <c r="AJ272" s="649"/>
      <c r="AK272" s="649"/>
      <c r="AL272" s="649"/>
      <c r="AM272" s="649">
        <f t="shared" si="21"/>
        <v>417.44</v>
      </c>
      <c r="AN272" s="651">
        <f>ERP_27[[#This Row],[2026 Working Total]]-ERP_27[[#This Row],[LE2 Final Submission]]</f>
        <v>417.44</v>
      </c>
      <c r="AO272" s="652"/>
      <c r="AP272" s="652">
        <f t="shared" si="22"/>
        <v>0</v>
      </c>
      <c r="AQ272" s="374">
        <f>SUM(ERP_27[[#This Row],[AP01]:[AP06]])-SUM(ERP_27[[#This Row],[AP01 LE2]:[AP06 LE2]])</f>
        <v>417.44</v>
      </c>
      <c r="AR272" s="653"/>
      <c r="AS272" s="652">
        <f>ERP_27[[#This Row],[2026 Working Total to Budget/LE]]-ERP_27[[#This Row],[Giveback]]</f>
        <v>417.44</v>
      </c>
      <c r="AT272" s="654"/>
      <c r="AU272" s="655"/>
      <c r="AV272" s="655"/>
      <c r="AW272" s="655"/>
      <c r="AX272" s="655"/>
      <c r="AY272" s="655"/>
      <c r="AZ272" s="655"/>
      <c r="BA272" s="655"/>
      <c r="BB272" s="655"/>
      <c r="BC272" s="655"/>
      <c r="BD272" s="655"/>
      <c r="BE272" s="655"/>
      <c r="BF272" s="655"/>
      <c r="BG272" s="655"/>
      <c r="BH272" s="652"/>
      <c r="BI272" s="652"/>
      <c r="BJ272" s="652"/>
      <c r="BK272" s="652"/>
      <c r="BL272" s="652"/>
      <c r="BM272" s="652"/>
      <c r="BN272" s="652"/>
      <c r="BO272" s="652"/>
      <c r="BP272" s="652"/>
      <c r="BQ272" s="652"/>
      <c r="BR272" s="652"/>
      <c r="BS272" s="652"/>
      <c r="BT272" s="652"/>
    </row>
    <row r="273" spans="1:72" ht="15" hidden="1" customHeight="1">
      <c r="A273" s="66" t="s">
        <v>1750</v>
      </c>
      <c r="B273" s="66"/>
      <c r="C273" s="66" t="s">
        <v>387</v>
      </c>
      <c r="D273" s="66" t="s">
        <v>387</v>
      </c>
      <c r="E273" s="150" t="s">
        <v>1136</v>
      </c>
      <c r="F273" s="482" t="s">
        <v>1566</v>
      </c>
      <c r="G273" s="150" t="s">
        <v>1650</v>
      </c>
      <c r="H273" s="150" t="s">
        <v>1650</v>
      </c>
      <c r="I273" s="150" t="s">
        <v>1650</v>
      </c>
      <c r="J273" s="150" t="s">
        <v>1650</v>
      </c>
      <c r="K273" s="150" t="s">
        <v>1650</v>
      </c>
      <c r="L273" s="511" t="s">
        <v>342</v>
      </c>
      <c r="M273" s="392" t="s">
        <v>1327</v>
      </c>
      <c r="N273" s="343"/>
      <c r="O273" s="343"/>
      <c r="P273" s="70" t="s">
        <v>147</v>
      </c>
      <c r="Q273" s="346"/>
      <c r="R273" s="343"/>
      <c r="S273" s="346"/>
      <c r="T273" s="150" t="s">
        <v>25</v>
      </c>
      <c r="U273" s="150"/>
      <c r="V273" s="643"/>
      <c r="W273" s="659">
        <v>0</v>
      </c>
      <c r="X273" s="659">
        <v>420.97</v>
      </c>
      <c r="Y273" s="656"/>
      <c r="Z273" s="657"/>
      <c r="AA273" s="714"/>
      <c r="AB273" s="428"/>
      <c r="AC273" s="428">
        <v>420.97</v>
      </c>
      <c r="AD273" s="428">
        <v>-0.11</v>
      </c>
      <c r="AE273" s="429">
        <v>0.21</v>
      </c>
      <c r="AF273" s="429">
        <v>0</v>
      </c>
      <c r="AG273" s="649">
        <v>0</v>
      </c>
      <c r="AH273" s="649">
        <v>0</v>
      </c>
      <c r="AI273" s="649">
        <v>0</v>
      </c>
      <c r="AJ273" s="649">
        <v>0</v>
      </c>
      <c r="AK273" s="649">
        <v>0</v>
      </c>
      <c r="AL273" s="649">
        <v>0</v>
      </c>
      <c r="AM273" s="649">
        <f t="shared" si="21"/>
        <v>421.07</v>
      </c>
      <c r="AN273" s="651">
        <f>ERP_27[[#This Row],[2026 Working Total]]-ERP_27[[#This Row],[LE2 Final Submission]]</f>
        <v>9.9999999999965894E-2</v>
      </c>
      <c r="AO273" s="652">
        <v>0</v>
      </c>
      <c r="AP273" s="652">
        <f t="shared" si="22"/>
        <v>0</v>
      </c>
      <c r="AQ273" s="374">
        <f>SUM(ERP_27[[#This Row],[AP01]:[AP06]])-SUM(ERP_27[[#This Row],[AP01 LE2]:[AP06 LE2]])</f>
        <v>9.9999999999965894E-2</v>
      </c>
      <c r="AR273" s="653"/>
      <c r="AS273" s="652">
        <f>ERP_27[[#This Row],[2026 Working Total to Budget/LE]]-ERP_27[[#This Row],[Giveback]]</f>
        <v>9.9999999999965894E-2</v>
      </c>
      <c r="AT273" s="654"/>
      <c r="AU273" s="655"/>
      <c r="AV273" s="655"/>
      <c r="AW273" s="655">
        <v>420.97</v>
      </c>
      <c r="AX273" s="655">
        <v>0</v>
      </c>
      <c r="AY273" s="655">
        <v>0</v>
      </c>
      <c r="AZ273" s="655">
        <v>0</v>
      </c>
      <c r="BA273" s="655">
        <v>0</v>
      </c>
      <c r="BB273" s="655">
        <v>0</v>
      </c>
      <c r="BC273" s="655">
        <v>0</v>
      </c>
      <c r="BD273" s="655">
        <v>0</v>
      </c>
      <c r="BE273" s="655">
        <v>0</v>
      </c>
      <c r="BF273" s="655">
        <v>0</v>
      </c>
      <c r="BG273" s="655">
        <v>420.97</v>
      </c>
      <c r="BH273" s="652"/>
      <c r="BI273" s="652"/>
      <c r="BJ273" s="652">
        <v>420.97</v>
      </c>
      <c r="BK273" s="652">
        <v>0</v>
      </c>
      <c r="BL273" s="652">
        <v>0</v>
      </c>
      <c r="BM273" s="652">
        <v>0</v>
      </c>
      <c r="BN273" s="652">
        <v>0</v>
      </c>
      <c r="BO273" s="652">
        <v>0</v>
      </c>
      <c r="BP273" s="652">
        <v>0</v>
      </c>
      <c r="BQ273" s="652">
        <v>0</v>
      </c>
      <c r="BR273" s="652">
        <v>0</v>
      </c>
      <c r="BS273" s="652">
        <v>0</v>
      </c>
      <c r="BT273" s="652">
        <v>420.97</v>
      </c>
    </row>
    <row r="274" spans="1:72" ht="15" hidden="1" customHeight="1">
      <c r="A274" s="150" t="s">
        <v>2781</v>
      </c>
      <c r="B274" s="150"/>
      <c r="C274" s="536" t="s">
        <v>1002</v>
      </c>
      <c r="D274" s="296" t="s">
        <v>2782</v>
      </c>
      <c r="E274" s="150" t="s">
        <v>1136</v>
      </c>
      <c r="F274" s="482" t="s">
        <v>1566</v>
      </c>
      <c r="G274" s="482" t="s">
        <v>1566</v>
      </c>
      <c r="H274" s="482" t="s">
        <v>1566</v>
      </c>
      <c r="I274" s="150" t="s">
        <v>1345</v>
      </c>
      <c r="J274" s="150" t="s">
        <v>1346</v>
      </c>
      <c r="K274" s="331" t="s">
        <v>1346</v>
      </c>
      <c r="L274" s="514" t="s">
        <v>639</v>
      </c>
      <c r="M274" s="394" t="s">
        <v>2783</v>
      </c>
      <c r="N274" s="333"/>
      <c r="O274" s="332" t="s">
        <v>1499</v>
      </c>
      <c r="P274" s="90" t="s">
        <v>365</v>
      </c>
      <c r="Q274" s="347"/>
      <c r="R274" s="347"/>
      <c r="S274" s="348"/>
      <c r="T274" s="348"/>
      <c r="U274" s="348"/>
      <c r="V274" s="646"/>
      <c r="W274" s="659"/>
      <c r="X274" s="659"/>
      <c r="Y274" s="656"/>
      <c r="Z274" s="657"/>
      <c r="AA274" s="714"/>
      <c r="AB274" s="428"/>
      <c r="AC274" s="428"/>
      <c r="AD274" s="429"/>
      <c r="AE274" s="429">
        <v>200</v>
      </c>
      <c r="AF274" s="429">
        <v>223.09</v>
      </c>
      <c r="AG274" s="649"/>
      <c r="AH274" s="649"/>
      <c r="AI274" s="649"/>
      <c r="AJ274" s="649"/>
      <c r="AK274" s="649"/>
      <c r="AL274" s="649"/>
      <c r="AM274" s="649">
        <f t="shared" si="21"/>
        <v>423.09000000000003</v>
      </c>
      <c r="AN274" s="651">
        <f>ERP_27[[#This Row],[2026 Working Total]]-ERP_27[[#This Row],[LE2 Final Submission]]</f>
        <v>423.09000000000003</v>
      </c>
      <c r="AO274" s="652"/>
      <c r="AP274" s="652">
        <f t="shared" si="22"/>
        <v>223.09</v>
      </c>
      <c r="AQ274" s="374">
        <f>SUM(ERP_27[[#This Row],[AP01]:[AP06]])-SUM(ERP_27[[#This Row],[AP01 LE2]:[AP06 LE2]])</f>
        <v>423.09000000000003</v>
      </c>
      <c r="AR274" s="653"/>
      <c r="AS274" s="652">
        <f>ERP_27[[#This Row],[2026 Working Total to Budget/LE]]-ERP_27[[#This Row],[Giveback]]</f>
        <v>423.09000000000003</v>
      </c>
      <c r="AT274" s="654"/>
      <c r="AU274" s="655"/>
      <c r="AV274" s="655"/>
      <c r="AW274" s="655"/>
      <c r="AX274" s="655"/>
      <c r="AY274" s="655"/>
      <c r="AZ274" s="655"/>
      <c r="BA274" s="655"/>
      <c r="BB274" s="655"/>
      <c r="BC274" s="655"/>
      <c r="BD274" s="655"/>
      <c r="BE274" s="655"/>
      <c r="BF274" s="655"/>
      <c r="BG274" s="655"/>
      <c r="BH274" s="652"/>
      <c r="BI274" s="652"/>
      <c r="BJ274" s="652"/>
      <c r="BK274" s="652"/>
      <c r="BL274" s="652"/>
      <c r="BM274" s="652"/>
      <c r="BN274" s="652"/>
      <c r="BO274" s="652"/>
      <c r="BP274" s="652"/>
      <c r="BQ274" s="652"/>
      <c r="BR274" s="652"/>
      <c r="BS274" s="652"/>
      <c r="BT274" s="652"/>
    </row>
    <row r="275" spans="1:72" ht="15" hidden="1" customHeight="1">
      <c r="A275" s="66" t="s">
        <v>2702</v>
      </c>
      <c r="B275" s="66"/>
      <c r="C275" s="66" t="s">
        <v>956</v>
      </c>
      <c r="D275" s="66" t="s">
        <v>956</v>
      </c>
      <c r="E275" s="150" t="s">
        <v>1136</v>
      </c>
      <c r="F275" s="482" t="s">
        <v>1566</v>
      </c>
      <c r="G275" s="150" t="s">
        <v>1450</v>
      </c>
      <c r="H275" s="150" t="s">
        <v>1450</v>
      </c>
      <c r="I275" s="150" t="s">
        <v>1345</v>
      </c>
      <c r="J275" s="150" t="s">
        <v>1450</v>
      </c>
      <c r="K275" s="150" t="s">
        <v>1346</v>
      </c>
      <c r="L275" s="511" t="s">
        <v>639</v>
      </c>
      <c r="M275" s="392" t="s">
        <v>1138</v>
      </c>
      <c r="N275" s="343"/>
      <c r="O275" s="343"/>
      <c r="P275" s="70" t="s">
        <v>51</v>
      </c>
      <c r="Q275" s="346" t="s">
        <v>1139</v>
      </c>
      <c r="R275" s="346" t="s">
        <v>1140</v>
      </c>
      <c r="S275" s="346"/>
      <c r="T275" s="150" t="s">
        <v>25</v>
      </c>
      <c r="U275" s="150"/>
      <c r="V275" s="643"/>
      <c r="W275" s="659">
        <v>0</v>
      </c>
      <c r="X275" s="659">
        <v>431.03</v>
      </c>
      <c r="Y275" s="656"/>
      <c r="Z275" s="657"/>
      <c r="AA275" s="714"/>
      <c r="AB275" s="428">
        <v>431.03</v>
      </c>
      <c r="AC275" s="428">
        <v>0</v>
      </c>
      <c r="AD275" s="428">
        <v>0</v>
      </c>
      <c r="AE275" s="429">
        <v>0</v>
      </c>
      <c r="AF275" s="429">
        <v>0</v>
      </c>
      <c r="AG275" s="649">
        <v>0</v>
      </c>
      <c r="AH275" s="649">
        <v>0</v>
      </c>
      <c r="AI275" s="649">
        <v>0</v>
      </c>
      <c r="AJ275" s="649">
        <v>0</v>
      </c>
      <c r="AK275" s="649">
        <v>0</v>
      </c>
      <c r="AL275" s="649">
        <v>0</v>
      </c>
      <c r="AM275" s="667">
        <f t="shared" ref="AM275:AM338" si="23">SUM(AA275:AL275)</f>
        <v>431.03</v>
      </c>
      <c r="AN275" s="651">
        <f>ERP_27[[#This Row],[2026 Working Total]]-ERP_27[[#This Row],[LE2 Final Submission]]</f>
        <v>0</v>
      </c>
      <c r="AO275" s="652">
        <v>0</v>
      </c>
      <c r="AP275" s="652">
        <f t="shared" si="22"/>
        <v>0</v>
      </c>
      <c r="AQ275" s="374">
        <f>SUM(ERP_27[[#This Row],[AP01]:[AP06]])-SUM(ERP_27[[#This Row],[AP01 LE2]:[AP06 LE2]])</f>
        <v>0</v>
      </c>
      <c r="AR275" s="653"/>
      <c r="AS275" s="652">
        <f>ERP_27[[#This Row],[2026 Working Total to Budget/LE]]-ERP_27[[#This Row],[Giveback]]</f>
        <v>0</v>
      </c>
      <c r="AT275" s="654"/>
      <c r="AU275" s="655"/>
      <c r="AV275" s="655">
        <v>431.03</v>
      </c>
      <c r="AW275" s="655">
        <v>0</v>
      </c>
      <c r="AX275" s="655">
        <v>0</v>
      </c>
      <c r="AY275" s="655">
        <v>0</v>
      </c>
      <c r="AZ275" s="655">
        <v>0</v>
      </c>
      <c r="BA275" s="655">
        <v>0</v>
      </c>
      <c r="BB275" s="655">
        <v>0</v>
      </c>
      <c r="BC275" s="655">
        <v>0</v>
      </c>
      <c r="BD275" s="655">
        <v>0</v>
      </c>
      <c r="BE275" s="655">
        <v>0</v>
      </c>
      <c r="BF275" s="655">
        <v>0</v>
      </c>
      <c r="BG275" s="655">
        <v>431.03</v>
      </c>
      <c r="BH275" s="652"/>
      <c r="BI275" s="652">
        <v>431.03</v>
      </c>
      <c r="BJ275" s="652">
        <v>0</v>
      </c>
      <c r="BK275" s="652">
        <v>0</v>
      </c>
      <c r="BL275" s="652">
        <v>0</v>
      </c>
      <c r="BM275" s="652">
        <v>0</v>
      </c>
      <c r="BN275" s="652">
        <v>0</v>
      </c>
      <c r="BO275" s="652">
        <v>0</v>
      </c>
      <c r="BP275" s="652">
        <v>0</v>
      </c>
      <c r="BQ275" s="652">
        <v>0</v>
      </c>
      <c r="BR275" s="652">
        <v>0</v>
      </c>
      <c r="BS275" s="652">
        <v>0</v>
      </c>
      <c r="BT275" s="652">
        <v>431.03</v>
      </c>
    </row>
    <row r="276" spans="1:72" ht="15" hidden="1" customHeight="1">
      <c r="A276" s="66" t="s">
        <v>1876</v>
      </c>
      <c r="B276" s="66"/>
      <c r="C276" s="66" t="s">
        <v>458</v>
      </c>
      <c r="D276" s="66" t="s">
        <v>1877</v>
      </c>
      <c r="E276" s="150" t="s">
        <v>1136</v>
      </c>
      <c r="F276" s="482" t="s">
        <v>1566</v>
      </c>
      <c r="G276" s="150" t="s">
        <v>1135</v>
      </c>
      <c r="H276" s="150" t="s">
        <v>1165</v>
      </c>
      <c r="I276" s="150" t="s">
        <v>1135</v>
      </c>
      <c r="J276" s="150" t="s">
        <v>1165</v>
      </c>
      <c r="K276" s="150" t="s">
        <v>1137</v>
      </c>
      <c r="L276" s="511" t="s">
        <v>389</v>
      </c>
      <c r="M276" s="392" t="s">
        <v>1878</v>
      </c>
      <c r="N276" s="343"/>
      <c r="O276" s="343"/>
      <c r="P276" s="70" t="s">
        <v>459</v>
      </c>
      <c r="Q276" s="346"/>
      <c r="R276" s="343"/>
      <c r="S276" s="346"/>
      <c r="T276" s="150" t="s">
        <v>57</v>
      </c>
      <c r="U276" s="150"/>
      <c r="V276" s="643"/>
      <c r="W276" s="659">
        <v>4212</v>
      </c>
      <c r="X276" s="659">
        <v>0</v>
      </c>
      <c r="Y276" s="656"/>
      <c r="Z276" s="657"/>
      <c r="AA276" s="714">
        <v>212.71</v>
      </c>
      <c r="AB276" s="428">
        <v>212.88</v>
      </c>
      <c r="AC276" s="428">
        <v>-425.59</v>
      </c>
      <c r="AD276" s="428">
        <v>421.78999999999996</v>
      </c>
      <c r="AE276" s="429">
        <v>11.3</v>
      </c>
      <c r="AF276" s="429">
        <v>0</v>
      </c>
      <c r="AG276" s="649"/>
      <c r="AH276" s="649"/>
      <c r="AI276" s="649"/>
      <c r="AJ276" s="649"/>
      <c r="AK276" s="649"/>
      <c r="AL276" s="649"/>
      <c r="AM276" s="649">
        <f t="shared" si="23"/>
        <v>433.09000000000003</v>
      </c>
      <c r="AN276" s="651">
        <f>ERP_27[[#This Row],[2026 Working Total]]-ERP_27[[#This Row],[LE2 Final Submission]]</f>
        <v>433.09000000000003</v>
      </c>
      <c r="AO276" s="652"/>
      <c r="AP276" s="652">
        <f t="shared" si="22"/>
        <v>0</v>
      </c>
      <c r="AQ276" s="374">
        <f>SUM(ERP_27[[#This Row],[AP01]:[AP06]])-SUM(ERP_27[[#This Row],[AP01 LE2]:[AP06 LE2]])</f>
        <v>433.09000000000003</v>
      </c>
      <c r="AR276" s="653"/>
      <c r="AS276" s="652">
        <f>ERP_27[[#This Row],[2026 Working Total to Budget/LE]]-ERP_27[[#This Row],[Giveback]]</f>
        <v>433.09000000000003</v>
      </c>
      <c r="AT276" s="654"/>
      <c r="AU276" s="655">
        <v>212.71</v>
      </c>
      <c r="AV276" s="655">
        <v>212.88</v>
      </c>
      <c r="AW276" s="655">
        <v>-425.59</v>
      </c>
      <c r="AX276" s="655"/>
      <c r="AY276" s="655"/>
      <c r="AZ276" s="655"/>
      <c r="BA276" s="655"/>
      <c r="BB276" s="655"/>
      <c r="BC276" s="655"/>
      <c r="BD276" s="655"/>
      <c r="BE276" s="655"/>
      <c r="BF276" s="655"/>
      <c r="BG276" s="655">
        <v>0</v>
      </c>
      <c r="BH276" s="652">
        <v>212.71</v>
      </c>
      <c r="BI276" s="652">
        <v>212.88</v>
      </c>
      <c r="BJ276" s="652">
        <v>-425.59</v>
      </c>
      <c r="BK276" s="652"/>
      <c r="BL276" s="652"/>
      <c r="BM276" s="652"/>
      <c r="BN276" s="652"/>
      <c r="BO276" s="652"/>
      <c r="BP276" s="652"/>
      <c r="BQ276" s="652"/>
      <c r="BR276" s="652"/>
      <c r="BS276" s="652"/>
      <c r="BT276" s="652">
        <v>0</v>
      </c>
    </row>
    <row r="277" spans="1:72" ht="15" hidden="1" customHeight="1">
      <c r="A277" s="66" t="s">
        <v>2851</v>
      </c>
      <c r="B277" s="66"/>
      <c r="C277" s="66" t="s">
        <v>1043</v>
      </c>
      <c r="D277" s="66" t="s">
        <v>2852</v>
      </c>
      <c r="E277" s="150" t="s">
        <v>1136</v>
      </c>
      <c r="F277" s="482" t="s">
        <v>1566</v>
      </c>
      <c r="G277" s="482" t="s">
        <v>1566</v>
      </c>
      <c r="H277" s="482" t="s">
        <v>1566</v>
      </c>
      <c r="I277" s="150" t="s">
        <v>1345</v>
      </c>
      <c r="J277" s="150" t="s">
        <v>1346</v>
      </c>
      <c r="K277" s="150" t="s">
        <v>1346</v>
      </c>
      <c r="L277" s="511" t="s">
        <v>1037</v>
      </c>
      <c r="M277" s="392" t="s">
        <v>2853</v>
      </c>
      <c r="N277" s="343"/>
      <c r="O277" s="343"/>
      <c r="P277" s="70" t="s">
        <v>1044</v>
      </c>
      <c r="Q277" s="346"/>
      <c r="R277" s="343"/>
      <c r="S277" s="346"/>
      <c r="T277" s="150" t="s">
        <v>272</v>
      </c>
      <c r="U277" s="150"/>
      <c r="V277" s="643"/>
      <c r="W277" s="659">
        <v>0</v>
      </c>
      <c r="X277" s="659">
        <v>485.43</v>
      </c>
      <c r="Y277" s="656"/>
      <c r="Z277" s="657"/>
      <c r="AA277" s="714"/>
      <c r="AB277" s="428"/>
      <c r="AC277" s="428">
        <v>485.43</v>
      </c>
      <c r="AD277" s="428" t="s">
        <v>1142</v>
      </c>
      <c r="AE277" s="429">
        <v>0</v>
      </c>
      <c r="AF277" s="429">
        <v>0</v>
      </c>
      <c r="AG277" s="649">
        <v>0</v>
      </c>
      <c r="AH277" s="649">
        <v>0</v>
      </c>
      <c r="AI277" s="649">
        <v>0</v>
      </c>
      <c r="AJ277" s="649">
        <v>0</v>
      </c>
      <c r="AK277" s="649">
        <v>0</v>
      </c>
      <c r="AL277" s="649">
        <v>0</v>
      </c>
      <c r="AM277" s="649">
        <f t="shared" si="23"/>
        <v>485.43</v>
      </c>
      <c r="AN277" s="651">
        <f>ERP_27[[#This Row],[2026 Working Total]]-ERP_27[[#This Row],[LE2 Final Submission]]</f>
        <v>0</v>
      </c>
      <c r="AO277" s="652">
        <v>0</v>
      </c>
      <c r="AP277" s="652">
        <f t="shared" si="22"/>
        <v>0</v>
      </c>
      <c r="AQ277" s="374">
        <f>SUM(ERP_27[[#This Row],[AP01]:[AP06]])-SUM(ERP_27[[#This Row],[AP01 LE2]:[AP06 LE2]])</f>
        <v>0</v>
      </c>
      <c r="AR277" s="653"/>
      <c r="AS277" s="652">
        <f>ERP_27[[#This Row],[2026 Working Total to Budget/LE]]-ERP_27[[#This Row],[Giveback]]</f>
        <v>0</v>
      </c>
      <c r="AT277" s="654"/>
      <c r="AU277" s="655"/>
      <c r="AV277" s="655"/>
      <c r="AW277" s="655">
        <v>485.43</v>
      </c>
      <c r="AX277" s="655">
        <v>0</v>
      </c>
      <c r="AY277" s="655">
        <v>0</v>
      </c>
      <c r="AZ277" s="655">
        <v>0</v>
      </c>
      <c r="BA277" s="655">
        <v>0</v>
      </c>
      <c r="BB277" s="655">
        <v>0</v>
      </c>
      <c r="BC277" s="655">
        <v>0</v>
      </c>
      <c r="BD277" s="655">
        <v>0</v>
      </c>
      <c r="BE277" s="655">
        <v>0</v>
      </c>
      <c r="BF277" s="655">
        <v>0</v>
      </c>
      <c r="BG277" s="655">
        <v>485.43</v>
      </c>
      <c r="BH277" s="652"/>
      <c r="BI277" s="652"/>
      <c r="BJ277" s="652">
        <v>485.43</v>
      </c>
      <c r="BK277" s="652">
        <v>0</v>
      </c>
      <c r="BL277" s="652">
        <v>0</v>
      </c>
      <c r="BM277" s="652">
        <v>0</v>
      </c>
      <c r="BN277" s="652">
        <v>0</v>
      </c>
      <c r="BO277" s="652">
        <v>0</v>
      </c>
      <c r="BP277" s="652">
        <v>0</v>
      </c>
      <c r="BQ277" s="652">
        <v>0</v>
      </c>
      <c r="BR277" s="652">
        <v>0</v>
      </c>
      <c r="BS277" s="652">
        <v>0</v>
      </c>
      <c r="BT277" s="652">
        <v>485.43</v>
      </c>
    </row>
    <row r="278" spans="1:72" ht="15" hidden="1" customHeight="1">
      <c r="A278" s="66" t="s">
        <v>2799</v>
      </c>
      <c r="B278" s="66"/>
      <c r="C278" s="66" t="s">
        <v>1009</v>
      </c>
      <c r="D278" s="66" t="s">
        <v>2800</v>
      </c>
      <c r="E278" s="150" t="s">
        <v>1136</v>
      </c>
      <c r="F278" s="482" t="s">
        <v>1566</v>
      </c>
      <c r="G278" s="482" t="s">
        <v>1566</v>
      </c>
      <c r="H278" s="482" t="s">
        <v>1566</v>
      </c>
      <c r="I278" s="150" t="s">
        <v>1345</v>
      </c>
      <c r="J278" s="150" t="s">
        <v>1346</v>
      </c>
      <c r="K278" s="150" t="s">
        <v>1346</v>
      </c>
      <c r="L278" s="511" t="s">
        <v>639</v>
      </c>
      <c r="M278" s="392" t="s">
        <v>2801</v>
      </c>
      <c r="N278" s="343"/>
      <c r="O278" s="343"/>
      <c r="P278" s="70" t="s">
        <v>1010</v>
      </c>
      <c r="Q278" s="346"/>
      <c r="R278" s="343"/>
      <c r="S278" s="346"/>
      <c r="T278" s="150" t="s">
        <v>25</v>
      </c>
      <c r="U278" s="150"/>
      <c r="V278" s="643"/>
      <c r="W278" s="659">
        <v>500</v>
      </c>
      <c r="X278" s="659">
        <v>500</v>
      </c>
      <c r="Y278" s="656"/>
      <c r="Z278" s="657"/>
      <c r="AA278" s="714"/>
      <c r="AB278" s="428"/>
      <c r="AC278" s="428"/>
      <c r="AD278" s="428" t="s">
        <v>1142</v>
      </c>
      <c r="AE278" s="429">
        <v>0</v>
      </c>
      <c r="AF278" s="429">
        <v>0</v>
      </c>
      <c r="AG278" s="649"/>
      <c r="AH278" s="649"/>
      <c r="AI278" s="649"/>
      <c r="AJ278" s="649"/>
      <c r="AK278" s="649">
        <v>500</v>
      </c>
      <c r="AL278" s="649">
        <v>0</v>
      </c>
      <c r="AM278" s="649">
        <f t="shared" si="23"/>
        <v>500</v>
      </c>
      <c r="AN278" s="651">
        <f>ERP_27[[#This Row],[2026 Working Total]]-ERP_27[[#This Row],[LE2 Final Submission]]</f>
        <v>0</v>
      </c>
      <c r="AO278" s="652"/>
      <c r="AP278" s="652">
        <f t="shared" si="22"/>
        <v>0</v>
      </c>
      <c r="AQ278" s="374">
        <f>SUM(ERP_27[[#This Row],[AP01]:[AP06]])-SUM(ERP_27[[#This Row],[AP01 LE2]:[AP06 LE2]])</f>
        <v>0</v>
      </c>
      <c r="AR278" s="653"/>
      <c r="AS278" s="652">
        <f>ERP_27[[#This Row],[2026 Working Total to Budget/LE]]-ERP_27[[#This Row],[Giveback]]</f>
        <v>0</v>
      </c>
      <c r="AT278" s="654"/>
      <c r="AU278" s="655"/>
      <c r="AV278" s="655"/>
      <c r="AW278" s="655"/>
      <c r="AX278" s="655"/>
      <c r="AY278" s="655"/>
      <c r="AZ278" s="655"/>
      <c r="BA278" s="655"/>
      <c r="BB278" s="655"/>
      <c r="BC278" s="655"/>
      <c r="BD278" s="655"/>
      <c r="BE278" s="655">
        <v>500</v>
      </c>
      <c r="BF278" s="655">
        <v>0</v>
      </c>
      <c r="BG278" s="655">
        <v>500</v>
      </c>
      <c r="BH278" s="652"/>
      <c r="BI278" s="652"/>
      <c r="BJ278" s="652"/>
      <c r="BK278" s="652"/>
      <c r="BL278" s="652"/>
      <c r="BM278" s="652"/>
      <c r="BN278" s="652"/>
      <c r="BO278" s="652"/>
      <c r="BP278" s="652"/>
      <c r="BQ278" s="652"/>
      <c r="BR278" s="652">
        <v>500</v>
      </c>
      <c r="BS278" s="652">
        <v>0</v>
      </c>
      <c r="BT278" s="652">
        <v>500</v>
      </c>
    </row>
    <row r="279" spans="1:72" ht="15" hidden="1" customHeight="1">
      <c r="A279" s="66" t="s">
        <v>2717</v>
      </c>
      <c r="B279" s="66"/>
      <c r="C279" s="66" t="s">
        <v>967</v>
      </c>
      <c r="D279" s="66" t="s">
        <v>967</v>
      </c>
      <c r="E279" s="150" t="s">
        <v>1136</v>
      </c>
      <c r="F279" s="482" t="s">
        <v>1566</v>
      </c>
      <c r="G279" s="383" t="s">
        <v>1480</v>
      </c>
      <c r="H279" s="383" t="s">
        <v>1480</v>
      </c>
      <c r="I279" s="150" t="s">
        <v>1345</v>
      </c>
      <c r="J279" s="150" t="s">
        <v>1480</v>
      </c>
      <c r="K279" s="150" t="s">
        <v>1346</v>
      </c>
      <c r="L279" s="511" t="s">
        <v>639</v>
      </c>
      <c r="M279" s="392" t="s">
        <v>2285</v>
      </c>
      <c r="N279" s="343"/>
      <c r="O279" s="343"/>
      <c r="P279" s="70" t="s">
        <v>676</v>
      </c>
      <c r="Q279" s="346"/>
      <c r="R279" s="346" t="s">
        <v>1140</v>
      </c>
      <c r="S279" s="346"/>
      <c r="T279" s="150" t="s">
        <v>677</v>
      </c>
      <c r="U279" s="150"/>
      <c r="V279" s="643"/>
      <c r="W279" s="659">
        <v>1100</v>
      </c>
      <c r="X279" s="659">
        <v>825</v>
      </c>
      <c r="Y279" s="656"/>
      <c r="Z279" s="657"/>
      <c r="AA279" s="714"/>
      <c r="AB279" s="428"/>
      <c r="AC279" s="428"/>
      <c r="AD279" s="428" t="s">
        <v>1142</v>
      </c>
      <c r="AE279" s="429">
        <v>0</v>
      </c>
      <c r="AF279" s="429">
        <v>0</v>
      </c>
      <c r="AG279" s="649">
        <v>0</v>
      </c>
      <c r="AH279" s="649">
        <v>0</v>
      </c>
      <c r="AI279" s="649">
        <v>275</v>
      </c>
      <c r="AJ279" s="649">
        <v>0</v>
      </c>
      <c r="AK279" s="649">
        <v>0</v>
      </c>
      <c r="AL279" s="649">
        <v>275</v>
      </c>
      <c r="AM279" s="649">
        <f t="shared" si="23"/>
        <v>550</v>
      </c>
      <c r="AN279" s="651">
        <f>ERP_27[[#This Row],[2026 Working Total]]-ERP_27[[#This Row],[LE2 Final Submission]]</f>
        <v>-275</v>
      </c>
      <c r="AO279" s="652"/>
      <c r="AP279" s="652">
        <f t="shared" si="22"/>
        <v>0</v>
      </c>
      <c r="AQ279" s="374">
        <f>SUM(ERP_27[[#This Row],[AP01]:[AP06]])-SUM(ERP_27[[#This Row],[AP01 LE2]:[AP06 LE2]])</f>
        <v>-275</v>
      </c>
      <c r="AR279" s="653"/>
      <c r="AS279" s="652">
        <f>ERP_27[[#This Row],[2026 Working Total to Budget/LE]]-ERP_27[[#This Row],[Giveback]]</f>
        <v>-275</v>
      </c>
      <c r="AT279" s="654"/>
      <c r="AU279" s="655"/>
      <c r="AV279" s="655"/>
      <c r="AW279" s="655"/>
      <c r="AX279" s="655"/>
      <c r="AY279" s="655"/>
      <c r="AZ279" s="655">
        <v>275</v>
      </c>
      <c r="BA279" s="655">
        <v>0</v>
      </c>
      <c r="BB279" s="655">
        <v>0</v>
      </c>
      <c r="BC279" s="655">
        <v>275</v>
      </c>
      <c r="BD279" s="655">
        <v>0</v>
      </c>
      <c r="BE279" s="655">
        <v>0</v>
      </c>
      <c r="BF279" s="655">
        <v>275</v>
      </c>
      <c r="BG279" s="655">
        <v>825</v>
      </c>
      <c r="BH279" s="652"/>
      <c r="BI279" s="652"/>
      <c r="BJ279" s="652"/>
      <c r="BK279" s="652"/>
      <c r="BL279" s="652"/>
      <c r="BM279" s="652">
        <v>275</v>
      </c>
      <c r="BN279" s="652">
        <v>0</v>
      </c>
      <c r="BO279" s="652">
        <v>0</v>
      </c>
      <c r="BP279" s="652">
        <v>275</v>
      </c>
      <c r="BQ279" s="652">
        <v>0</v>
      </c>
      <c r="BR279" s="652">
        <v>0</v>
      </c>
      <c r="BS279" s="652">
        <v>275</v>
      </c>
      <c r="BT279" s="652">
        <v>825</v>
      </c>
    </row>
    <row r="280" spans="1:72" ht="15" hidden="1" customHeight="1">
      <c r="A280" s="66" t="s">
        <v>2439</v>
      </c>
      <c r="B280" s="66"/>
      <c r="C280" s="66" t="s">
        <v>795</v>
      </c>
      <c r="D280" s="66" t="s">
        <v>2440</v>
      </c>
      <c r="E280" s="150" t="s">
        <v>1136</v>
      </c>
      <c r="F280" s="482" t="s">
        <v>1566</v>
      </c>
      <c r="G280" s="150" t="s">
        <v>1135</v>
      </c>
      <c r="H280" s="150" t="s">
        <v>1135</v>
      </c>
      <c r="I280" s="150" t="s">
        <v>1135</v>
      </c>
      <c r="J280" s="150" t="s">
        <v>1137</v>
      </c>
      <c r="K280" s="150" t="s">
        <v>1137</v>
      </c>
      <c r="L280" s="511" t="s">
        <v>639</v>
      </c>
      <c r="M280" s="392" t="s">
        <v>2441</v>
      </c>
      <c r="N280" s="343"/>
      <c r="O280" s="343"/>
      <c r="P280" s="70" t="s">
        <v>796</v>
      </c>
      <c r="Q280" s="346"/>
      <c r="R280" s="343"/>
      <c r="S280" s="346"/>
      <c r="T280" s="150" t="s">
        <v>680</v>
      </c>
      <c r="U280" s="150"/>
      <c r="V280" s="643"/>
      <c r="W280" s="659">
        <v>1200</v>
      </c>
      <c r="X280" s="659">
        <v>600</v>
      </c>
      <c r="Y280" s="656"/>
      <c r="Z280" s="657"/>
      <c r="AA280" s="714"/>
      <c r="AB280" s="428"/>
      <c r="AC280" s="428"/>
      <c r="AD280" s="428" t="s">
        <v>1142</v>
      </c>
      <c r="AE280" s="429">
        <v>0</v>
      </c>
      <c r="AF280" s="429">
        <v>0</v>
      </c>
      <c r="AG280" s="649">
        <v>600</v>
      </c>
      <c r="AH280" s="649">
        <v>0</v>
      </c>
      <c r="AI280" s="649">
        <v>0</v>
      </c>
      <c r="AJ280" s="649">
        <v>0</v>
      </c>
      <c r="AK280" s="649">
        <v>0</v>
      </c>
      <c r="AL280" s="649">
        <v>0</v>
      </c>
      <c r="AM280" s="667">
        <f t="shared" si="23"/>
        <v>600</v>
      </c>
      <c r="AN280" s="651">
        <f>ERP_27[[#This Row],[2026 Working Total]]-ERP_27[[#This Row],[LE2 Final Submission]]</f>
        <v>0</v>
      </c>
      <c r="AO280" s="652"/>
      <c r="AP280" s="652">
        <f t="shared" si="22"/>
        <v>0</v>
      </c>
      <c r="AQ280" s="374">
        <f>SUM(ERP_27[[#This Row],[AP01]:[AP06]])-SUM(ERP_27[[#This Row],[AP01 LE2]:[AP06 LE2]])</f>
        <v>0</v>
      </c>
      <c r="AR280" s="653"/>
      <c r="AS280" s="652">
        <f>ERP_27[[#This Row],[2026 Working Total to Budget/LE]]-ERP_27[[#This Row],[Giveback]]</f>
        <v>0</v>
      </c>
      <c r="AT280" s="654"/>
      <c r="AU280" s="655"/>
      <c r="AV280" s="655"/>
      <c r="AW280" s="655"/>
      <c r="AX280" s="655"/>
      <c r="AY280" s="655"/>
      <c r="AZ280" s="655"/>
      <c r="BA280" s="655">
        <v>600</v>
      </c>
      <c r="BB280" s="655">
        <v>0</v>
      </c>
      <c r="BC280" s="655">
        <v>0</v>
      </c>
      <c r="BD280" s="655">
        <v>0</v>
      </c>
      <c r="BE280" s="655">
        <v>0</v>
      </c>
      <c r="BF280" s="655">
        <v>0</v>
      </c>
      <c r="BG280" s="655">
        <v>600</v>
      </c>
      <c r="BH280" s="652"/>
      <c r="BI280" s="652"/>
      <c r="BJ280" s="652"/>
      <c r="BK280" s="652"/>
      <c r="BL280" s="652"/>
      <c r="BM280" s="652"/>
      <c r="BN280" s="652">
        <v>600</v>
      </c>
      <c r="BO280" s="652">
        <v>0</v>
      </c>
      <c r="BP280" s="652">
        <v>0</v>
      </c>
      <c r="BQ280" s="652">
        <v>0</v>
      </c>
      <c r="BR280" s="652">
        <v>0</v>
      </c>
      <c r="BS280" s="652">
        <v>0</v>
      </c>
      <c r="BT280" s="652">
        <v>600</v>
      </c>
    </row>
    <row r="281" spans="1:72" ht="15" hidden="1" customHeight="1">
      <c r="A281" s="66" t="s">
        <v>2442</v>
      </c>
      <c r="B281" s="66"/>
      <c r="C281" s="66" t="s">
        <v>797</v>
      </c>
      <c r="D281" s="66" t="s">
        <v>2443</v>
      </c>
      <c r="E281" s="150" t="s">
        <v>1136</v>
      </c>
      <c r="F281" s="482" t="s">
        <v>1566</v>
      </c>
      <c r="G281" s="150" t="s">
        <v>1135</v>
      </c>
      <c r="H281" s="150" t="s">
        <v>1135</v>
      </c>
      <c r="I281" s="150" t="s">
        <v>1135</v>
      </c>
      <c r="J281" s="150" t="s">
        <v>1137</v>
      </c>
      <c r="K281" s="150" t="s">
        <v>1137</v>
      </c>
      <c r="L281" s="511" t="s">
        <v>639</v>
      </c>
      <c r="M281" s="392" t="s">
        <v>2444</v>
      </c>
      <c r="N281" s="343"/>
      <c r="O281" s="343"/>
      <c r="P281" s="70" t="s">
        <v>798</v>
      </c>
      <c r="Q281" s="346"/>
      <c r="R281" s="343"/>
      <c r="S281" s="346"/>
      <c r="T281" s="150" t="s">
        <v>680</v>
      </c>
      <c r="U281" s="1" t="s">
        <v>1141</v>
      </c>
      <c r="V281" s="643"/>
      <c r="W281" s="659">
        <v>600</v>
      </c>
      <c r="X281" s="659">
        <v>600</v>
      </c>
      <c r="Y281" s="656"/>
      <c r="Z281" s="657"/>
      <c r="AA281" s="714"/>
      <c r="AB281" s="428"/>
      <c r="AC281" s="428"/>
      <c r="AD281" s="428" t="s">
        <v>1142</v>
      </c>
      <c r="AE281" s="429">
        <v>0</v>
      </c>
      <c r="AF281" s="429">
        <v>0</v>
      </c>
      <c r="AG281" s="649"/>
      <c r="AH281" s="649"/>
      <c r="AI281" s="649"/>
      <c r="AJ281" s="649"/>
      <c r="AK281" s="649"/>
      <c r="AL281" s="649">
        <v>600</v>
      </c>
      <c r="AM281" s="649">
        <f t="shared" si="23"/>
        <v>600</v>
      </c>
      <c r="AN281" s="651">
        <f>ERP_27[[#This Row],[2026 Working Total]]-ERP_27[[#This Row],[LE2 Final Submission]]</f>
        <v>0</v>
      </c>
      <c r="AO281" s="652"/>
      <c r="AP281" s="652">
        <f t="shared" si="22"/>
        <v>0</v>
      </c>
      <c r="AQ281" s="374">
        <f>SUM(ERP_27[[#This Row],[AP01]:[AP06]])-SUM(ERP_27[[#This Row],[AP01 LE2]:[AP06 LE2]])</f>
        <v>0</v>
      </c>
      <c r="AR281" s="653"/>
      <c r="AS281" s="652">
        <f>ERP_27[[#This Row],[2026 Working Total to Budget/LE]]-ERP_27[[#This Row],[Giveback]]</f>
        <v>0</v>
      </c>
      <c r="AT281" s="654"/>
      <c r="AU281" s="655"/>
      <c r="AV281" s="655"/>
      <c r="AW281" s="655"/>
      <c r="AX281" s="655"/>
      <c r="AY281" s="655"/>
      <c r="AZ281" s="655"/>
      <c r="BA281" s="655"/>
      <c r="BB281" s="655"/>
      <c r="BC281" s="655"/>
      <c r="BD281" s="655"/>
      <c r="BE281" s="655"/>
      <c r="BF281" s="655">
        <v>600</v>
      </c>
      <c r="BG281" s="655">
        <v>600</v>
      </c>
      <c r="BH281" s="652"/>
      <c r="BI281" s="652"/>
      <c r="BJ281" s="652"/>
      <c r="BK281" s="652"/>
      <c r="BL281" s="652"/>
      <c r="BM281" s="652"/>
      <c r="BN281" s="652"/>
      <c r="BO281" s="652"/>
      <c r="BP281" s="652"/>
      <c r="BQ281" s="652"/>
      <c r="BR281" s="652"/>
      <c r="BS281" s="652">
        <v>600</v>
      </c>
      <c r="BT281" s="652">
        <v>600</v>
      </c>
    </row>
    <row r="282" spans="1:72" ht="15" hidden="1" customHeight="1">
      <c r="A282" s="150" t="s">
        <v>2167</v>
      </c>
      <c r="B282" s="150"/>
      <c r="C282" s="536" t="s">
        <v>616</v>
      </c>
      <c r="D282" s="296" t="s">
        <v>616</v>
      </c>
      <c r="E282" s="150" t="s">
        <v>1136</v>
      </c>
      <c r="F282" s="482" t="s">
        <v>1566</v>
      </c>
      <c r="G282" s="383" t="s">
        <v>1480</v>
      </c>
      <c r="H282" s="383" t="s">
        <v>1480</v>
      </c>
      <c r="I282" s="332" t="s">
        <v>1345</v>
      </c>
      <c r="J282" s="332" t="s">
        <v>1480</v>
      </c>
      <c r="K282" s="333" t="s">
        <v>1480</v>
      </c>
      <c r="L282" s="514" t="s">
        <v>602</v>
      </c>
      <c r="M282" s="394" t="s">
        <v>2168</v>
      </c>
      <c r="N282" s="333"/>
      <c r="O282" s="332" t="s">
        <v>1493</v>
      </c>
      <c r="P282" s="90" t="s">
        <v>610</v>
      </c>
      <c r="Q282" s="347"/>
      <c r="R282" s="347"/>
      <c r="S282" s="348"/>
      <c r="T282" s="348"/>
      <c r="U282" s="348"/>
      <c r="V282" s="646"/>
      <c r="W282" s="659"/>
      <c r="X282" s="659"/>
      <c r="Y282" s="656"/>
      <c r="Z282" s="657"/>
      <c r="AA282" s="714"/>
      <c r="AB282" s="428"/>
      <c r="AC282" s="428"/>
      <c r="AD282" s="429"/>
      <c r="AE282" s="429">
        <v>693</v>
      </c>
      <c r="AF282" s="429">
        <v>0</v>
      </c>
      <c r="AG282" s="649"/>
      <c r="AH282" s="649"/>
      <c r="AI282" s="649"/>
      <c r="AJ282" s="649"/>
      <c r="AK282" s="649"/>
      <c r="AL282" s="649"/>
      <c r="AM282" s="649">
        <f t="shared" si="23"/>
        <v>693</v>
      </c>
      <c r="AN282" s="651">
        <f>ERP_27[[#This Row],[2026 Working Total]]-ERP_27[[#This Row],[LE2 Final Submission]]</f>
        <v>693</v>
      </c>
      <c r="AO282" s="652"/>
      <c r="AP282" s="652">
        <f t="shared" si="22"/>
        <v>0</v>
      </c>
      <c r="AQ282" s="374">
        <f>SUM(ERP_27[[#This Row],[AP01]:[AP06]])-SUM(ERP_27[[#This Row],[AP01 LE2]:[AP06 LE2]])</f>
        <v>693</v>
      </c>
      <c r="AR282" s="653"/>
      <c r="AS282" s="652">
        <f>ERP_27[[#This Row],[2026 Working Total to Budget/LE]]-ERP_27[[#This Row],[Giveback]]</f>
        <v>693</v>
      </c>
      <c r="AT282" s="654"/>
      <c r="AU282" s="655"/>
      <c r="AV282" s="655"/>
      <c r="AW282" s="655"/>
      <c r="AX282" s="655"/>
      <c r="AY282" s="655"/>
      <c r="AZ282" s="655"/>
      <c r="BA282" s="655"/>
      <c r="BB282" s="655"/>
      <c r="BC282" s="655"/>
      <c r="BD282" s="655"/>
      <c r="BE282" s="655"/>
      <c r="BF282" s="655"/>
      <c r="BG282" s="655"/>
      <c r="BH282" s="652"/>
      <c r="BI282" s="652"/>
      <c r="BJ282" s="652"/>
      <c r="BK282" s="652"/>
      <c r="BL282" s="652"/>
      <c r="BM282" s="652"/>
      <c r="BN282" s="652"/>
      <c r="BO282" s="652"/>
      <c r="BP282" s="652"/>
      <c r="BQ282" s="652"/>
      <c r="BR282" s="652"/>
      <c r="BS282" s="652"/>
      <c r="BT282" s="652"/>
    </row>
    <row r="283" spans="1:72" ht="15" hidden="1" customHeight="1">
      <c r="A283" s="66" t="s">
        <v>1970</v>
      </c>
      <c r="B283" s="66"/>
      <c r="C283" s="66" t="s">
        <v>498</v>
      </c>
      <c r="D283" s="66" t="s">
        <v>498</v>
      </c>
      <c r="E283" s="150" t="s">
        <v>1136</v>
      </c>
      <c r="F283" s="482" t="s">
        <v>1566</v>
      </c>
      <c r="G283" s="383" t="s">
        <v>1344</v>
      </c>
      <c r="H283" s="383" t="s">
        <v>1344</v>
      </c>
      <c r="I283" s="150" t="s">
        <v>1345</v>
      </c>
      <c r="J283" s="150" t="s">
        <v>1344</v>
      </c>
      <c r="K283" s="150" t="s">
        <v>1346</v>
      </c>
      <c r="L283" s="511" t="s">
        <v>389</v>
      </c>
      <c r="M283" s="392" t="s">
        <v>1971</v>
      </c>
      <c r="N283" s="343"/>
      <c r="O283" s="343"/>
      <c r="P283" s="70" t="s">
        <v>499</v>
      </c>
      <c r="Q283" s="346"/>
      <c r="R283" s="343"/>
      <c r="S283" s="346"/>
      <c r="T283" s="150" t="s">
        <v>57</v>
      </c>
      <c r="U283" s="150"/>
      <c r="V283" s="643"/>
      <c r="W283" s="659">
        <v>0</v>
      </c>
      <c r="X283" s="659">
        <v>354.76</v>
      </c>
      <c r="Y283" s="656"/>
      <c r="Z283" s="657"/>
      <c r="AA283" s="714">
        <v>129.77000000000001</v>
      </c>
      <c r="AB283" s="428">
        <v>129.72</v>
      </c>
      <c r="AC283" s="428">
        <v>95.27</v>
      </c>
      <c r="AD283" s="428">
        <v>108.61</v>
      </c>
      <c r="AE283" s="429">
        <v>126.27000000000001</v>
      </c>
      <c r="AF283" s="429">
        <v>130.19999999999999</v>
      </c>
      <c r="AG283" s="649">
        <v>0</v>
      </c>
      <c r="AH283" s="649">
        <v>0</v>
      </c>
      <c r="AI283" s="649">
        <v>0</v>
      </c>
      <c r="AJ283" s="649">
        <v>0</v>
      </c>
      <c r="AK283" s="649">
        <v>0</v>
      </c>
      <c r="AL283" s="649">
        <v>0</v>
      </c>
      <c r="AM283" s="649">
        <f t="shared" si="23"/>
        <v>719.83999999999992</v>
      </c>
      <c r="AN283" s="651">
        <f>ERP_27[[#This Row],[2026 Working Total]]-ERP_27[[#This Row],[LE2 Final Submission]]</f>
        <v>365.07999999999993</v>
      </c>
      <c r="AO283" s="652">
        <v>0</v>
      </c>
      <c r="AP283" s="652">
        <f t="shared" si="22"/>
        <v>130.19999999999999</v>
      </c>
      <c r="AQ283" s="374">
        <f>SUM(ERP_27[[#This Row],[AP01]:[AP06]])-SUM(ERP_27[[#This Row],[AP01 LE2]:[AP06 LE2]])</f>
        <v>365.07999999999993</v>
      </c>
      <c r="AR283" s="653"/>
      <c r="AS283" s="652">
        <f>ERP_27[[#This Row],[2026 Working Total to Budget/LE]]-ERP_27[[#This Row],[Giveback]]</f>
        <v>365.07999999999993</v>
      </c>
      <c r="AT283" s="654"/>
      <c r="AU283" s="655">
        <v>129.77000000000001</v>
      </c>
      <c r="AV283" s="655">
        <v>129.72</v>
      </c>
      <c r="AW283" s="655">
        <v>95.27</v>
      </c>
      <c r="AX283" s="655">
        <v>0</v>
      </c>
      <c r="AY283" s="655">
        <v>0</v>
      </c>
      <c r="AZ283" s="655">
        <v>0</v>
      </c>
      <c r="BA283" s="655">
        <v>0</v>
      </c>
      <c r="BB283" s="655">
        <v>0</v>
      </c>
      <c r="BC283" s="655">
        <v>0</v>
      </c>
      <c r="BD283" s="655">
        <v>0</v>
      </c>
      <c r="BE283" s="655">
        <v>0</v>
      </c>
      <c r="BF283" s="655">
        <v>0</v>
      </c>
      <c r="BG283" s="655">
        <v>354.76</v>
      </c>
      <c r="BH283" s="652">
        <v>129.77000000000001</v>
      </c>
      <c r="BI283" s="652">
        <v>129.72</v>
      </c>
      <c r="BJ283" s="652">
        <v>95.27</v>
      </c>
      <c r="BK283" s="652">
        <v>0</v>
      </c>
      <c r="BL283" s="652">
        <v>0</v>
      </c>
      <c r="BM283" s="652">
        <v>0</v>
      </c>
      <c r="BN283" s="652">
        <v>0</v>
      </c>
      <c r="BO283" s="652">
        <v>0</v>
      </c>
      <c r="BP283" s="652">
        <v>0</v>
      </c>
      <c r="BQ283" s="652">
        <v>0</v>
      </c>
      <c r="BR283" s="652">
        <v>0</v>
      </c>
      <c r="BS283" s="652">
        <v>0</v>
      </c>
      <c r="BT283" s="652">
        <v>354.76</v>
      </c>
    </row>
    <row r="284" spans="1:72" ht="15" hidden="1" customHeight="1">
      <c r="A284" s="66" t="s">
        <v>1740</v>
      </c>
      <c r="B284" s="66"/>
      <c r="C284" s="66" t="s">
        <v>382</v>
      </c>
      <c r="D284" s="66" t="s">
        <v>1741</v>
      </c>
      <c r="E284" s="150" t="s">
        <v>1136</v>
      </c>
      <c r="F284" s="482" t="s">
        <v>1566</v>
      </c>
      <c r="G284" s="482" t="s">
        <v>1566</v>
      </c>
      <c r="H284" s="482" t="s">
        <v>1566</v>
      </c>
      <c r="I284" s="150" t="s">
        <v>1345</v>
      </c>
      <c r="J284" s="150" t="s">
        <v>1346</v>
      </c>
      <c r="K284" s="150" t="s">
        <v>1346</v>
      </c>
      <c r="L284" s="511" t="s">
        <v>342</v>
      </c>
      <c r="M284" s="392" t="s">
        <v>1742</v>
      </c>
      <c r="N284" s="343"/>
      <c r="O284" s="343"/>
      <c r="P284" s="70" t="s">
        <v>383</v>
      </c>
      <c r="Q284" s="346"/>
      <c r="R284" s="343"/>
      <c r="S284" s="346"/>
      <c r="T284" s="150" t="s">
        <v>25</v>
      </c>
      <c r="U284" s="150"/>
      <c r="V284" s="643"/>
      <c r="W284" s="659">
        <v>1659</v>
      </c>
      <c r="X284" s="659">
        <v>1209</v>
      </c>
      <c r="Y284" s="656"/>
      <c r="Z284" s="657"/>
      <c r="AA284" s="714"/>
      <c r="AB284" s="428"/>
      <c r="AC284" s="428"/>
      <c r="AD284" s="428" t="s">
        <v>1142</v>
      </c>
      <c r="AE284" s="429">
        <v>0</v>
      </c>
      <c r="AF284" s="429">
        <v>0</v>
      </c>
      <c r="AG284" s="649">
        <v>150</v>
      </c>
      <c r="AH284" s="649">
        <v>150</v>
      </c>
      <c r="AI284" s="649">
        <v>150</v>
      </c>
      <c r="AJ284" s="649">
        <v>150</v>
      </c>
      <c r="AK284" s="649">
        <v>0</v>
      </c>
      <c r="AL284" s="649">
        <v>150</v>
      </c>
      <c r="AM284" s="649">
        <f t="shared" si="23"/>
        <v>750</v>
      </c>
      <c r="AN284" s="651">
        <f>ERP_27[[#This Row],[2026 Working Total]]-ERP_27[[#This Row],[LE2 Final Submission]]</f>
        <v>-459</v>
      </c>
      <c r="AO284" s="652">
        <v>159</v>
      </c>
      <c r="AP284" s="652">
        <f t="shared" si="22"/>
        <v>-159</v>
      </c>
      <c r="AQ284" s="374">
        <f>SUM(ERP_27[[#This Row],[AP01]:[AP06]])-SUM(ERP_27[[#This Row],[AP01 LE2]:[AP06 LE2]])</f>
        <v>-459</v>
      </c>
      <c r="AR284" s="653"/>
      <c r="AS284" s="652">
        <f>ERP_27[[#This Row],[2026 Working Total to Budget/LE]]-ERP_27[[#This Row],[Giveback]]</f>
        <v>-459</v>
      </c>
      <c r="AT284" s="654"/>
      <c r="AU284" s="655"/>
      <c r="AV284" s="655"/>
      <c r="AW284" s="655"/>
      <c r="AX284" s="655">
        <v>150</v>
      </c>
      <c r="AY284" s="655">
        <v>159</v>
      </c>
      <c r="AZ284" s="655">
        <v>150</v>
      </c>
      <c r="BA284" s="655">
        <v>150</v>
      </c>
      <c r="BB284" s="655">
        <v>150</v>
      </c>
      <c r="BC284" s="655">
        <v>150</v>
      </c>
      <c r="BD284" s="655">
        <v>150</v>
      </c>
      <c r="BE284" s="655">
        <v>0</v>
      </c>
      <c r="BF284" s="655">
        <v>150</v>
      </c>
      <c r="BG284" s="655">
        <v>1209</v>
      </c>
      <c r="BH284" s="652"/>
      <c r="BI284" s="652"/>
      <c r="BJ284" s="652"/>
      <c r="BK284" s="652">
        <v>150</v>
      </c>
      <c r="BL284" s="652">
        <v>159</v>
      </c>
      <c r="BM284" s="652">
        <v>150</v>
      </c>
      <c r="BN284" s="652">
        <v>150</v>
      </c>
      <c r="BO284" s="652">
        <v>150</v>
      </c>
      <c r="BP284" s="652">
        <v>150</v>
      </c>
      <c r="BQ284" s="652">
        <v>150</v>
      </c>
      <c r="BR284" s="652">
        <v>0</v>
      </c>
      <c r="BS284" s="652">
        <v>150</v>
      </c>
      <c r="BT284" s="652">
        <v>1209</v>
      </c>
    </row>
    <row r="285" spans="1:72" ht="15" hidden="1" customHeight="1">
      <c r="A285" s="150" t="s">
        <v>2085</v>
      </c>
      <c r="B285" s="150"/>
      <c r="C285" s="536" t="s">
        <v>566</v>
      </c>
      <c r="D285" s="296" t="s">
        <v>2086</v>
      </c>
      <c r="E285" s="150" t="s">
        <v>1136</v>
      </c>
      <c r="F285" s="482" t="s">
        <v>1566</v>
      </c>
      <c r="G285" s="150" t="s">
        <v>1566</v>
      </c>
      <c r="H285" s="150" t="s">
        <v>1566</v>
      </c>
      <c r="I285" s="150" t="s">
        <v>1567</v>
      </c>
      <c r="J285" s="150" t="s">
        <v>1567</v>
      </c>
      <c r="K285" s="150" t="s">
        <v>1567</v>
      </c>
      <c r="L285" s="514" t="s">
        <v>389</v>
      </c>
      <c r="M285" s="394" t="s">
        <v>2087</v>
      </c>
      <c r="N285" s="333"/>
      <c r="O285" s="332" t="s">
        <v>1634</v>
      </c>
      <c r="P285" s="90" t="s">
        <v>271</v>
      </c>
      <c r="Q285" s="347"/>
      <c r="R285" s="347"/>
      <c r="S285" s="348"/>
      <c r="T285" s="506"/>
      <c r="U285" s="348"/>
      <c r="V285" s="646"/>
      <c r="W285" s="659"/>
      <c r="X285" s="659"/>
      <c r="Y285" s="656"/>
      <c r="Z285" s="657"/>
      <c r="AA285" s="714"/>
      <c r="AB285" s="428"/>
      <c r="AC285" s="428"/>
      <c r="AD285" s="429">
        <v>142.1</v>
      </c>
      <c r="AE285" s="429">
        <v>309.31</v>
      </c>
      <c r="AF285" s="429">
        <v>316.74</v>
      </c>
      <c r="AG285" s="649"/>
      <c r="AH285" s="649"/>
      <c r="AI285" s="649"/>
      <c r="AJ285" s="649"/>
      <c r="AK285" s="649"/>
      <c r="AL285" s="649"/>
      <c r="AM285" s="649">
        <f t="shared" si="23"/>
        <v>768.15</v>
      </c>
      <c r="AN285" s="651">
        <f>ERP_27[[#This Row],[2026 Working Total]]-ERP_27[[#This Row],[LE2 Final Submission]]</f>
        <v>768.15</v>
      </c>
      <c r="AO285" s="652"/>
      <c r="AP285" s="652">
        <f t="shared" si="22"/>
        <v>316.74</v>
      </c>
      <c r="AQ285" s="374">
        <f>SUM(ERP_27[[#This Row],[AP01]:[AP06]])-SUM(ERP_27[[#This Row],[AP01 LE2]:[AP06 LE2]])</f>
        <v>768.15</v>
      </c>
      <c r="AR285" s="653"/>
      <c r="AS285" s="652">
        <f>ERP_27[[#This Row],[2026 Working Total to Budget/LE]]-ERP_27[[#This Row],[Giveback]]</f>
        <v>768.15</v>
      </c>
      <c r="AT285" s="654"/>
      <c r="AU285" s="655"/>
      <c r="AV285" s="655"/>
      <c r="AW285" s="655"/>
      <c r="AX285" s="655"/>
      <c r="AY285" s="655"/>
      <c r="AZ285" s="655"/>
      <c r="BA285" s="655"/>
      <c r="BB285" s="655"/>
      <c r="BC285" s="655"/>
      <c r="BD285" s="655"/>
      <c r="BE285" s="655"/>
      <c r="BF285" s="655"/>
      <c r="BG285" s="655"/>
      <c r="BH285" s="652"/>
      <c r="BI285" s="652"/>
      <c r="BJ285" s="652"/>
      <c r="BK285" s="652"/>
      <c r="BL285" s="652"/>
      <c r="BM285" s="652"/>
      <c r="BN285" s="652"/>
      <c r="BO285" s="652"/>
      <c r="BP285" s="652"/>
      <c r="BQ285" s="652"/>
      <c r="BR285" s="652"/>
      <c r="BS285" s="652"/>
      <c r="BT285" s="652"/>
    </row>
    <row r="286" spans="1:72" ht="15" hidden="1" customHeight="1">
      <c r="A286" s="66" t="s">
        <v>1963</v>
      </c>
      <c r="B286" s="66"/>
      <c r="C286" s="66" t="s">
        <v>492</v>
      </c>
      <c r="D286" s="66" t="s">
        <v>492</v>
      </c>
      <c r="E286" s="150" t="s">
        <v>1136</v>
      </c>
      <c r="F286" s="482" t="s">
        <v>1566</v>
      </c>
      <c r="G286" s="383" t="s">
        <v>1344</v>
      </c>
      <c r="H286" s="383" t="s">
        <v>1344</v>
      </c>
      <c r="I286" s="150" t="s">
        <v>1345</v>
      </c>
      <c r="J286" s="150" t="s">
        <v>1344</v>
      </c>
      <c r="K286" s="150" t="s">
        <v>1346</v>
      </c>
      <c r="L286" s="511" t="s">
        <v>389</v>
      </c>
      <c r="M286" s="392" t="s">
        <v>1147</v>
      </c>
      <c r="N286" s="343"/>
      <c r="O286" s="343"/>
      <c r="P286" s="70" t="s">
        <v>53</v>
      </c>
      <c r="Q286" s="346" t="s">
        <v>1153</v>
      </c>
      <c r="R286" s="343"/>
      <c r="S286" s="346"/>
      <c r="T286" s="150" t="s">
        <v>25</v>
      </c>
      <c r="U286" s="150"/>
      <c r="V286" s="643"/>
      <c r="W286" s="659">
        <v>0</v>
      </c>
      <c r="X286" s="659">
        <v>387</v>
      </c>
      <c r="Y286" s="656"/>
      <c r="Z286" s="657"/>
      <c r="AA286" s="714">
        <v>129</v>
      </c>
      <c r="AB286" s="428">
        <v>129</v>
      </c>
      <c r="AC286" s="428">
        <v>129</v>
      </c>
      <c r="AD286" s="428">
        <v>129</v>
      </c>
      <c r="AE286" s="429">
        <v>129</v>
      </c>
      <c r="AF286" s="429">
        <v>129</v>
      </c>
      <c r="AG286" s="649">
        <v>0</v>
      </c>
      <c r="AH286" s="649">
        <v>0</v>
      </c>
      <c r="AI286" s="649">
        <v>0</v>
      </c>
      <c r="AJ286" s="649">
        <v>0</v>
      </c>
      <c r="AK286" s="649">
        <v>0</v>
      </c>
      <c r="AL286" s="649">
        <v>0</v>
      </c>
      <c r="AM286" s="649">
        <f t="shared" si="23"/>
        <v>774</v>
      </c>
      <c r="AN286" s="651">
        <f>ERP_27[[#This Row],[2026 Working Total]]-ERP_27[[#This Row],[LE2 Final Submission]]</f>
        <v>387</v>
      </c>
      <c r="AO286" s="652">
        <v>0</v>
      </c>
      <c r="AP286" s="652">
        <f t="shared" si="22"/>
        <v>129</v>
      </c>
      <c r="AQ286" s="374">
        <f>SUM(ERP_27[[#This Row],[AP01]:[AP06]])-SUM(ERP_27[[#This Row],[AP01 LE2]:[AP06 LE2]])</f>
        <v>387</v>
      </c>
      <c r="AR286" s="653"/>
      <c r="AS286" s="652">
        <f>ERP_27[[#This Row],[2026 Working Total to Budget/LE]]-ERP_27[[#This Row],[Giveback]]</f>
        <v>387</v>
      </c>
      <c r="AT286" s="654"/>
      <c r="AU286" s="655">
        <v>129</v>
      </c>
      <c r="AV286" s="655">
        <v>129</v>
      </c>
      <c r="AW286" s="655">
        <v>129</v>
      </c>
      <c r="AX286" s="655">
        <v>0</v>
      </c>
      <c r="AY286" s="655">
        <v>0</v>
      </c>
      <c r="AZ286" s="655">
        <v>0</v>
      </c>
      <c r="BA286" s="655">
        <v>0</v>
      </c>
      <c r="BB286" s="655">
        <v>0</v>
      </c>
      <c r="BC286" s="655">
        <v>0</v>
      </c>
      <c r="BD286" s="655">
        <v>0</v>
      </c>
      <c r="BE286" s="655">
        <v>0</v>
      </c>
      <c r="BF286" s="655">
        <v>0</v>
      </c>
      <c r="BG286" s="655">
        <v>387</v>
      </c>
      <c r="BH286" s="652">
        <v>129</v>
      </c>
      <c r="BI286" s="652">
        <v>129</v>
      </c>
      <c r="BJ286" s="652">
        <v>129</v>
      </c>
      <c r="BK286" s="652">
        <v>0</v>
      </c>
      <c r="BL286" s="652">
        <v>0</v>
      </c>
      <c r="BM286" s="652">
        <v>0</v>
      </c>
      <c r="BN286" s="652">
        <v>0</v>
      </c>
      <c r="BO286" s="652">
        <v>0</v>
      </c>
      <c r="BP286" s="652">
        <v>0</v>
      </c>
      <c r="BQ286" s="652">
        <v>0</v>
      </c>
      <c r="BR286" s="652">
        <v>0</v>
      </c>
      <c r="BS286" s="652">
        <v>0</v>
      </c>
      <c r="BT286" s="652">
        <v>387</v>
      </c>
    </row>
    <row r="287" spans="1:72" ht="15" hidden="1" customHeight="1">
      <c r="A287" s="66" t="s">
        <v>1724</v>
      </c>
      <c r="B287" s="66"/>
      <c r="C287" s="66" t="s">
        <v>376</v>
      </c>
      <c r="D287" s="66" t="s">
        <v>1725</v>
      </c>
      <c r="E287" s="150" t="s">
        <v>1136</v>
      </c>
      <c r="F287" s="482" t="s">
        <v>1566</v>
      </c>
      <c r="G287" s="482" t="s">
        <v>1566</v>
      </c>
      <c r="H287" s="482" t="s">
        <v>1566</v>
      </c>
      <c r="I287" s="150" t="s">
        <v>1345</v>
      </c>
      <c r="J287" s="150" t="s">
        <v>1346</v>
      </c>
      <c r="K287" s="150" t="s">
        <v>1346</v>
      </c>
      <c r="L287" s="511" t="s">
        <v>342</v>
      </c>
      <c r="M287" s="392" t="s">
        <v>1685</v>
      </c>
      <c r="N287" s="343"/>
      <c r="O287" s="343"/>
      <c r="P287" s="70" t="s">
        <v>350</v>
      </c>
      <c r="Q287" s="346" t="s">
        <v>1139</v>
      </c>
      <c r="R287" s="346" t="s">
        <v>1140</v>
      </c>
      <c r="S287" s="346"/>
      <c r="T287" s="150" t="s">
        <v>25</v>
      </c>
      <c r="U287" s="150"/>
      <c r="V287" s="643"/>
      <c r="W287" s="659">
        <v>0</v>
      </c>
      <c r="X287" s="659">
        <v>904.37</v>
      </c>
      <c r="Y287" s="656"/>
      <c r="Z287" s="657"/>
      <c r="AA287" s="714">
        <v>904.37</v>
      </c>
      <c r="AB287" s="428">
        <v>0</v>
      </c>
      <c r="AC287" s="428">
        <v>0</v>
      </c>
      <c r="AD287" s="428" t="s">
        <v>1142</v>
      </c>
      <c r="AE287" s="429">
        <v>0</v>
      </c>
      <c r="AF287" s="429">
        <v>0</v>
      </c>
      <c r="AG287" s="649">
        <v>0</v>
      </c>
      <c r="AH287" s="649">
        <v>0</v>
      </c>
      <c r="AI287" s="649">
        <v>0</v>
      </c>
      <c r="AJ287" s="649">
        <v>0</v>
      </c>
      <c r="AK287" s="649">
        <v>0</v>
      </c>
      <c r="AL287" s="649">
        <v>0</v>
      </c>
      <c r="AM287" s="649">
        <f t="shared" si="23"/>
        <v>904.37</v>
      </c>
      <c r="AN287" s="651">
        <f>ERP_27[[#This Row],[2026 Working Total]]-ERP_27[[#This Row],[LE2 Final Submission]]</f>
        <v>0</v>
      </c>
      <c r="AO287" s="652">
        <v>0</v>
      </c>
      <c r="AP287" s="652">
        <f t="shared" si="22"/>
        <v>0</v>
      </c>
      <c r="AQ287" s="374">
        <f>SUM(ERP_27[[#This Row],[AP01]:[AP06]])-SUM(ERP_27[[#This Row],[AP01 LE2]:[AP06 LE2]])</f>
        <v>0</v>
      </c>
      <c r="AR287" s="653"/>
      <c r="AS287" s="652">
        <f>ERP_27[[#This Row],[2026 Working Total to Budget/LE]]-ERP_27[[#This Row],[Giveback]]</f>
        <v>0</v>
      </c>
      <c r="AT287" s="654"/>
      <c r="AU287" s="655">
        <v>904.37</v>
      </c>
      <c r="AV287" s="655">
        <v>0</v>
      </c>
      <c r="AW287" s="655">
        <v>0</v>
      </c>
      <c r="AX287" s="655">
        <v>0</v>
      </c>
      <c r="AY287" s="655">
        <v>0</v>
      </c>
      <c r="AZ287" s="655">
        <v>0</v>
      </c>
      <c r="BA287" s="655">
        <v>0</v>
      </c>
      <c r="BB287" s="655">
        <v>0</v>
      </c>
      <c r="BC287" s="655">
        <v>0</v>
      </c>
      <c r="BD287" s="655">
        <v>0</v>
      </c>
      <c r="BE287" s="655">
        <v>0</v>
      </c>
      <c r="BF287" s="655">
        <v>0</v>
      </c>
      <c r="BG287" s="655">
        <v>904.37</v>
      </c>
      <c r="BH287" s="652">
        <v>904.37</v>
      </c>
      <c r="BI287" s="652">
        <v>0</v>
      </c>
      <c r="BJ287" s="652">
        <v>0</v>
      </c>
      <c r="BK287" s="652">
        <v>0</v>
      </c>
      <c r="BL287" s="652">
        <v>0</v>
      </c>
      <c r="BM287" s="652">
        <v>0</v>
      </c>
      <c r="BN287" s="652">
        <v>0</v>
      </c>
      <c r="BO287" s="652">
        <v>0</v>
      </c>
      <c r="BP287" s="652">
        <v>0</v>
      </c>
      <c r="BQ287" s="652">
        <v>0</v>
      </c>
      <c r="BR287" s="652">
        <v>0</v>
      </c>
      <c r="BS287" s="652">
        <v>0</v>
      </c>
      <c r="BT287" s="652">
        <v>904.37</v>
      </c>
    </row>
    <row r="288" spans="1:72" ht="15" hidden="1" customHeight="1">
      <c r="A288" s="150" t="s">
        <v>2613</v>
      </c>
      <c r="B288" s="150"/>
      <c r="C288" s="536" t="s">
        <v>906</v>
      </c>
      <c r="D288" s="296" t="s">
        <v>906</v>
      </c>
      <c r="E288" s="150" t="s">
        <v>1136</v>
      </c>
      <c r="F288" s="482" t="s">
        <v>1566</v>
      </c>
      <c r="G288" s="383" t="s">
        <v>1344</v>
      </c>
      <c r="H288" s="383" t="s">
        <v>1344</v>
      </c>
      <c r="I288" s="150" t="s">
        <v>1345</v>
      </c>
      <c r="J288" s="332" t="s">
        <v>1344</v>
      </c>
      <c r="K288" s="331" t="s">
        <v>1346</v>
      </c>
      <c r="L288" s="514" t="s">
        <v>639</v>
      </c>
      <c r="M288" s="394" t="s">
        <v>2614</v>
      </c>
      <c r="N288" s="333"/>
      <c r="O288" s="332" t="s">
        <v>1363</v>
      </c>
      <c r="P288" s="90" t="s">
        <v>676</v>
      </c>
      <c r="Q288" s="347"/>
      <c r="R288" s="347"/>
      <c r="S288" s="348"/>
      <c r="T288" s="348"/>
      <c r="U288" s="348"/>
      <c r="V288" s="646"/>
      <c r="W288" s="659"/>
      <c r="X288" s="659"/>
      <c r="Y288" s="656"/>
      <c r="Z288" s="657"/>
      <c r="AA288" s="714"/>
      <c r="AB288" s="428"/>
      <c r="AC288" s="428"/>
      <c r="AD288" s="429">
        <v>454</v>
      </c>
      <c r="AE288" s="429">
        <v>227</v>
      </c>
      <c r="AF288" s="429">
        <v>227</v>
      </c>
      <c r="AG288" s="649"/>
      <c r="AH288" s="649"/>
      <c r="AI288" s="649"/>
      <c r="AJ288" s="649"/>
      <c r="AK288" s="649"/>
      <c r="AL288" s="649"/>
      <c r="AM288" s="649">
        <f t="shared" si="23"/>
        <v>908</v>
      </c>
      <c r="AN288" s="651">
        <f>ERP_27[[#This Row],[2026 Working Total]]-ERP_27[[#This Row],[LE2 Final Submission]]</f>
        <v>908</v>
      </c>
      <c r="AO288" s="652"/>
      <c r="AP288" s="652">
        <f t="shared" si="22"/>
        <v>227</v>
      </c>
      <c r="AQ288" s="374">
        <f>SUM(ERP_27[[#This Row],[AP01]:[AP06]])-SUM(ERP_27[[#This Row],[AP01 LE2]:[AP06 LE2]])</f>
        <v>908</v>
      </c>
      <c r="AR288" s="653"/>
      <c r="AS288" s="652">
        <f>ERP_27[[#This Row],[2026 Working Total to Budget/LE]]-ERP_27[[#This Row],[Giveback]]</f>
        <v>908</v>
      </c>
      <c r="AT288" s="654"/>
      <c r="AU288" s="655"/>
      <c r="AV288" s="655"/>
      <c r="AW288" s="655"/>
      <c r="AX288" s="655"/>
      <c r="AY288" s="655"/>
      <c r="AZ288" s="655"/>
      <c r="BA288" s="655"/>
      <c r="BB288" s="655"/>
      <c r="BC288" s="655"/>
      <c r="BD288" s="655"/>
      <c r="BE288" s="655"/>
      <c r="BF288" s="655"/>
      <c r="BG288" s="655"/>
      <c r="BH288" s="652"/>
      <c r="BI288" s="652"/>
      <c r="BJ288" s="652"/>
      <c r="BK288" s="652"/>
      <c r="BL288" s="652"/>
      <c r="BM288" s="652"/>
      <c r="BN288" s="652"/>
      <c r="BO288" s="652"/>
      <c r="BP288" s="652"/>
      <c r="BQ288" s="652"/>
      <c r="BR288" s="652"/>
      <c r="BS288" s="652"/>
      <c r="BT288" s="652"/>
    </row>
    <row r="289" spans="1:72" ht="15" hidden="1" customHeight="1">
      <c r="A289" s="66" t="s">
        <v>2199</v>
      </c>
      <c r="B289" s="66"/>
      <c r="C289" s="66" t="s">
        <v>635</v>
      </c>
      <c r="D289" s="66" t="s">
        <v>2200</v>
      </c>
      <c r="E289" s="150" t="s">
        <v>1136</v>
      </c>
      <c r="F289" s="482" t="s">
        <v>1566</v>
      </c>
      <c r="G289" s="482" t="s">
        <v>1566</v>
      </c>
      <c r="H289" s="482" t="s">
        <v>1566</v>
      </c>
      <c r="I289" s="150" t="s">
        <v>1345</v>
      </c>
      <c r="J289" s="150" t="s">
        <v>1346</v>
      </c>
      <c r="K289" s="150" t="s">
        <v>1346</v>
      </c>
      <c r="L289" s="511" t="s">
        <v>629</v>
      </c>
      <c r="M289" s="392" t="s">
        <v>1648</v>
      </c>
      <c r="N289" s="343"/>
      <c r="O289" s="343"/>
      <c r="P289" s="70" t="s">
        <v>636</v>
      </c>
      <c r="Q289" s="346"/>
      <c r="R289" s="343"/>
      <c r="S289" s="346"/>
      <c r="T289" s="150" t="s">
        <v>25</v>
      </c>
      <c r="U289" s="150"/>
      <c r="V289" s="643"/>
      <c r="W289" s="659">
        <v>0</v>
      </c>
      <c r="X289" s="659">
        <v>961.71</v>
      </c>
      <c r="Y289" s="656"/>
      <c r="Z289" s="657"/>
      <c r="AA289" s="714"/>
      <c r="AB289" s="428">
        <v>961.71</v>
      </c>
      <c r="AC289" s="428">
        <v>0</v>
      </c>
      <c r="AD289" s="428" t="s">
        <v>1142</v>
      </c>
      <c r="AE289" s="429">
        <v>0</v>
      </c>
      <c r="AF289" s="429">
        <v>0</v>
      </c>
      <c r="AG289" s="649">
        <v>0</v>
      </c>
      <c r="AH289" s="649">
        <v>0</v>
      </c>
      <c r="AI289" s="649">
        <v>0</v>
      </c>
      <c r="AJ289" s="649">
        <v>0</v>
      </c>
      <c r="AK289" s="649">
        <v>0</v>
      </c>
      <c r="AL289" s="649">
        <v>0</v>
      </c>
      <c r="AM289" s="649">
        <f t="shared" si="23"/>
        <v>961.71</v>
      </c>
      <c r="AN289" s="651">
        <f>ERP_27[[#This Row],[2026 Working Total]]-ERP_27[[#This Row],[LE2 Final Submission]]</f>
        <v>0</v>
      </c>
      <c r="AO289" s="652">
        <v>0</v>
      </c>
      <c r="AP289" s="652">
        <f t="shared" si="22"/>
        <v>0</v>
      </c>
      <c r="AQ289" s="374">
        <f>SUM(ERP_27[[#This Row],[AP01]:[AP06]])-SUM(ERP_27[[#This Row],[AP01 LE2]:[AP06 LE2]])</f>
        <v>0</v>
      </c>
      <c r="AR289" s="653"/>
      <c r="AS289" s="652">
        <f>ERP_27[[#This Row],[2026 Working Total to Budget/LE]]-ERP_27[[#This Row],[Giveback]]</f>
        <v>0</v>
      </c>
      <c r="AT289" s="654"/>
      <c r="AU289" s="655"/>
      <c r="AV289" s="655">
        <v>961.71</v>
      </c>
      <c r="AW289" s="655">
        <v>0</v>
      </c>
      <c r="AX289" s="655">
        <v>0</v>
      </c>
      <c r="AY289" s="655">
        <v>0</v>
      </c>
      <c r="AZ289" s="655">
        <v>0</v>
      </c>
      <c r="BA289" s="655">
        <v>0</v>
      </c>
      <c r="BB289" s="655">
        <v>0</v>
      </c>
      <c r="BC289" s="655">
        <v>0</v>
      </c>
      <c r="BD289" s="655">
        <v>0</v>
      </c>
      <c r="BE289" s="655">
        <v>0</v>
      </c>
      <c r="BF289" s="655">
        <v>0</v>
      </c>
      <c r="BG289" s="655">
        <v>961.71</v>
      </c>
      <c r="BH289" s="652"/>
      <c r="BI289" s="652">
        <v>961.71</v>
      </c>
      <c r="BJ289" s="652">
        <v>0</v>
      </c>
      <c r="BK289" s="652">
        <v>0</v>
      </c>
      <c r="BL289" s="652">
        <v>0</v>
      </c>
      <c r="BM289" s="652">
        <v>0</v>
      </c>
      <c r="BN289" s="652">
        <v>0</v>
      </c>
      <c r="BO289" s="652">
        <v>0</v>
      </c>
      <c r="BP289" s="652">
        <v>0</v>
      </c>
      <c r="BQ289" s="652">
        <v>0</v>
      </c>
      <c r="BR289" s="652">
        <v>0</v>
      </c>
      <c r="BS289" s="652">
        <v>0</v>
      </c>
      <c r="BT289" s="652">
        <v>961.71</v>
      </c>
    </row>
    <row r="290" spans="1:72" ht="15" hidden="1" customHeight="1">
      <c r="A290" s="66" t="s">
        <v>2849</v>
      </c>
      <c r="B290" s="66"/>
      <c r="C290" s="66" t="s">
        <v>1041</v>
      </c>
      <c r="D290" s="66" t="s">
        <v>1041</v>
      </c>
      <c r="E290" s="150" t="s">
        <v>1136</v>
      </c>
      <c r="F290" s="482" t="s">
        <v>1566</v>
      </c>
      <c r="G290" s="383" t="s">
        <v>1344</v>
      </c>
      <c r="H290" s="383" t="s">
        <v>1344</v>
      </c>
      <c r="I290" s="150" t="s">
        <v>1345</v>
      </c>
      <c r="J290" s="150" t="s">
        <v>1344</v>
      </c>
      <c r="K290" s="150" t="s">
        <v>1346</v>
      </c>
      <c r="L290" s="511" t="s">
        <v>1037</v>
      </c>
      <c r="M290" s="392" t="s">
        <v>2846</v>
      </c>
      <c r="N290" s="343"/>
      <c r="O290" s="343"/>
      <c r="P290" s="70" t="s">
        <v>1039</v>
      </c>
      <c r="Q290" s="346"/>
      <c r="R290" s="346" t="s">
        <v>1140</v>
      </c>
      <c r="S290" s="346"/>
      <c r="T290" s="150" t="s">
        <v>1040</v>
      </c>
      <c r="U290" s="150"/>
      <c r="V290" s="643"/>
      <c r="W290" s="659">
        <v>0</v>
      </c>
      <c r="X290" s="659">
        <v>995.34</v>
      </c>
      <c r="Y290" s="656"/>
      <c r="Z290" s="657"/>
      <c r="AA290" s="714">
        <v>948.99</v>
      </c>
      <c r="AB290" s="428">
        <v>0</v>
      </c>
      <c r="AC290" s="428">
        <v>46.35</v>
      </c>
      <c r="AD290" s="428">
        <v>0</v>
      </c>
      <c r="AE290" s="429">
        <v>0</v>
      </c>
      <c r="AF290" s="429">
        <v>0</v>
      </c>
      <c r="AG290" s="649">
        <v>0</v>
      </c>
      <c r="AH290" s="649">
        <v>0</v>
      </c>
      <c r="AI290" s="649">
        <v>0</v>
      </c>
      <c r="AJ290" s="649">
        <v>0</v>
      </c>
      <c r="AK290" s="649">
        <v>0</v>
      </c>
      <c r="AL290" s="649">
        <v>0</v>
      </c>
      <c r="AM290" s="649">
        <f t="shared" si="23"/>
        <v>995.34</v>
      </c>
      <c r="AN290" s="651">
        <f>ERP_27[[#This Row],[2026 Working Total]]-ERP_27[[#This Row],[LE2 Final Submission]]</f>
        <v>0</v>
      </c>
      <c r="AO290" s="652">
        <v>0</v>
      </c>
      <c r="AP290" s="652">
        <f t="shared" si="22"/>
        <v>0</v>
      </c>
      <c r="AQ290" s="374">
        <f>SUM(ERP_27[[#This Row],[AP01]:[AP06]])-SUM(ERP_27[[#This Row],[AP01 LE2]:[AP06 LE2]])</f>
        <v>0</v>
      </c>
      <c r="AR290" s="653"/>
      <c r="AS290" s="652">
        <f>ERP_27[[#This Row],[2026 Working Total to Budget/LE]]-ERP_27[[#This Row],[Giveback]]</f>
        <v>0</v>
      </c>
      <c r="AT290" s="654"/>
      <c r="AU290" s="655">
        <v>948.99</v>
      </c>
      <c r="AV290" s="655">
        <v>0</v>
      </c>
      <c r="AW290" s="655">
        <v>46.35</v>
      </c>
      <c r="AX290" s="655">
        <v>0</v>
      </c>
      <c r="AY290" s="655">
        <v>0</v>
      </c>
      <c r="AZ290" s="655">
        <v>0</v>
      </c>
      <c r="BA290" s="655">
        <v>0</v>
      </c>
      <c r="BB290" s="655">
        <v>0</v>
      </c>
      <c r="BC290" s="655">
        <v>0</v>
      </c>
      <c r="BD290" s="655">
        <v>0</v>
      </c>
      <c r="BE290" s="655">
        <v>0</v>
      </c>
      <c r="BF290" s="655">
        <v>0</v>
      </c>
      <c r="BG290" s="655">
        <v>995.34</v>
      </c>
      <c r="BH290" s="652">
        <v>948.99</v>
      </c>
      <c r="BI290" s="652">
        <v>0</v>
      </c>
      <c r="BJ290" s="652">
        <v>46.35</v>
      </c>
      <c r="BK290" s="652">
        <v>0</v>
      </c>
      <c r="BL290" s="652">
        <v>0</v>
      </c>
      <c r="BM290" s="652">
        <v>0</v>
      </c>
      <c r="BN290" s="652">
        <v>0</v>
      </c>
      <c r="BO290" s="652">
        <v>0</v>
      </c>
      <c r="BP290" s="652">
        <v>0</v>
      </c>
      <c r="BQ290" s="652">
        <v>0</v>
      </c>
      <c r="BR290" s="652">
        <v>0</v>
      </c>
      <c r="BS290" s="652">
        <v>0</v>
      </c>
      <c r="BT290" s="652">
        <v>995.34</v>
      </c>
    </row>
    <row r="291" spans="1:72" ht="15" hidden="1" customHeight="1">
      <c r="A291" s="66" t="s">
        <v>2017</v>
      </c>
      <c r="B291" s="66"/>
      <c r="C291" s="66" t="s">
        <v>528</v>
      </c>
      <c r="D291" s="66" t="s">
        <v>2018</v>
      </c>
      <c r="E291" s="150" t="s">
        <v>1136</v>
      </c>
      <c r="F291" s="482" t="s">
        <v>1566</v>
      </c>
      <c r="G291" s="150" t="s">
        <v>1345</v>
      </c>
      <c r="H291" s="150" t="s">
        <v>1437</v>
      </c>
      <c r="I291" s="150" t="s">
        <v>1345</v>
      </c>
      <c r="J291" s="150" t="s">
        <v>1437</v>
      </c>
      <c r="K291" s="150" t="s">
        <v>1346</v>
      </c>
      <c r="L291" s="511" t="s">
        <v>389</v>
      </c>
      <c r="M291" s="392" t="s">
        <v>1878</v>
      </c>
      <c r="N291" s="343"/>
      <c r="O291" s="343"/>
      <c r="P291" s="70" t="s">
        <v>459</v>
      </c>
      <c r="Q291" s="346"/>
      <c r="R291" s="343"/>
      <c r="S291" s="346"/>
      <c r="T291" s="150" t="s">
        <v>57</v>
      </c>
      <c r="U291" s="150"/>
      <c r="V291" s="643"/>
      <c r="W291" s="659">
        <v>6600</v>
      </c>
      <c r="X291" s="659">
        <v>497.06000000000006</v>
      </c>
      <c r="Y291" s="656"/>
      <c r="Z291" s="657"/>
      <c r="AA291" s="714">
        <v>521.38</v>
      </c>
      <c r="AB291" s="428">
        <v>527.30999999999995</v>
      </c>
      <c r="AC291" s="428">
        <v>-551.63</v>
      </c>
      <c r="AD291" s="428">
        <v>523.94000000000005</v>
      </c>
      <c r="AE291" s="429">
        <v>21.2</v>
      </c>
      <c r="AF291" s="429">
        <v>0</v>
      </c>
      <c r="AG291" s="649">
        <v>0</v>
      </c>
      <c r="AH291" s="649">
        <v>0</v>
      </c>
      <c r="AI291" s="649">
        <v>0</v>
      </c>
      <c r="AJ291" s="649">
        <v>0</v>
      </c>
      <c r="AK291" s="649">
        <v>0</v>
      </c>
      <c r="AL291" s="649">
        <v>0</v>
      </c>
      <c r="AM291" s="649">
        <f t="shared" si="23"/>
        <v>1042.2</v>
      </c>
      <c r="AN291" s="651">
        <f>ERP_27[[#This Row],[2026 Working Total]]-ERP_27[[#This Row],[LE2 Final Submission]]</f>
        <v>545.14</v>
      </c>
      <c r="AO291" s="652">
        <v>0</v>
      </c>
      <c r="AP291" s="652">
        <f t="shared" si="22"/>
        <v>0</v>
      </c>
      <c r="AQ291" s="374">
        <f>SUM(ERP_27[[#This Row],[AP01]:[AP06]])-SUM(ERP_27[[#This Row],[AP01 LE2]:[AP06 LE2]])</f>
        <v>545.14</v>
      </c>
      <c r="AR291" s="653"/>
      <c r="AS291" s="652">
        <f>ERP_27[[#This Row],[2026 Working Total to Budget/LE]]-ERP_27[[#This Row],[Giveback]]</f>
        <v>545.14</v>
      </c>
      <c r="AT291" s="654"/>
      <c r="AU291" s="655">
        <v>521.38</v>
      </c>
      <c r="AV291" s="655">
        <v>527.30999999999995</v>
      </c>
      <c r="AW291" s="655">
        <v>-551.63</v>
      </c>
      <c r="AX291" s="655">
        <v>0</v>
      </c>
      <c r="AY291" s="655">
        <v>0</v>
      </c>
      <c r="AZ291" s="655">
        <v>0</v>
      </c>
      <c r="BA291" s="655">
        <v>0</v>
      </c>
      <c r="BB291" s="655">
        <v>0</v>
      </c>
      <c r="BC291" s="655">
        <v>0</v>
      </c>
      <c r="BD291" s="655">
        <v>0</v>
      </c>
      <c r="BE291" s="655">
        <v>0</v>
      </c>
      <c r="BF291" s="655">
        <v>0</v>
      </c>
      <c r="BG291" s="655">
        <v>497.06000000000006</v>
      </c>
      <c r="BH291" s="652">
        <v>521.38</v>
      </c>
      <c r="BI291" s="652">
        <v>527.30999999999995</v>
      </c>
      <c r="BJ291" s="652">
        <v>-551.63</v>
      </c>
      <c r="BK291" s="652">
        <v>0</v>
      </c>
      <c r="BL291" s="652">
        <v>0</v>
      </c>
      <c r="BM291" s="652">
        <v>0</v>
      </c>
      <c r="BN291" s="652">
        <v>0</v>
      </c>
      <c r="BO291" s="652">
        <v>0</v>
      </c>
      <c r="BP291" s="652">
        <v>0</v>
      </c>
      <c r="BQ291" s="652">
        <v>0</v>
      </c>
      <c r="BR291" s="652">
        <v>0</v>
      </c>
      <c r="BS291" s="652">
        <v>0</v>
      </c>
      <c r="BT291" s="652">
        <v>497.06000000000006</v>
      </c>
    </row>
    <row r="292" spans="1:72" ht="15" hidden="1" customHeight="1">
      <c r="A292" s="66" t="s">
        <v>1748</v>
      </c>
      <c r="B292" s="66"/>
      <c r="C292" s="66" t="s">
        <v>385</v>
      </c>
      <c r="D292" s="66" t="s">
        <v>385</v>
      </c>
      <c r="E292" s="150" t="s">
        <v>1136</v>
      </c>
      <c r="F292" s="482" t="s">
        <v>1566</v>
      </c>
      <c r="G292" s="150" t="s">
        <v>1650</v>
      </c>
      <c r="H292" s="150" t="s">
        <v>1650</v>
      </c>
      <c r="I292" s="150" t="s">
        <v>1650</v>
      </c>
      <c r="J292" s="150" t="s">
        <v>1650</v>
      </c>
      <c r="K292" s="150" t="s">
        <v>1650</v>
      </c>
      <c r="L292" s="511" t="s">
        <v>342</v>
      </c>
      <c r="M292" s="392" t="s">
        <v>1174</v>
      </c>
      <c r="N292" s="343"/>
      <c r="O292" s="343"/>
      <c r="P292" s="70" t="s">
        <v>56</v>
      </c>
      <c r="Q292" s="346"/>
      <c r="R292" s="346" t="s">
        <v>1140</v>
      </c>
      <c r="S292" s="346"/>
      <c r="T292" s="150" t="s">
        <v>57</v>
      </c>
      <c r="U292" s="150"/>
      <c r="V292" s="643"/>
      <c r="W292" s="659">
        <v>0</v>
      </c>
      <c r="X292" s="659">
        <v>1060</v>
      </c>
      <c r="Y292" s="656"/>
      <c r="Z292" s="657"/>
      <c r="AA292" s="714"/>
      <c r="AB292" s="428">
        <v>1060</v>
      </c>
      <c r="AC292" s="428">
        <v>0</v>
      </c>
      <c r="AD292" s="428" t="s">
        <v>1142</v>
      </c>
      <c r="AE292" s="429">
        <v>0</v>
      </c>
      <c r="AF292" s="429">
        <v>0</v>
      </c>
      <c r="AG292" s="649">
        <v>0</v>
      </c>
      <c r="AH292" s="649">
        <v>0</v>
      </c>
      <c r="AI292" s="649">
        <v>0</v>
      </c>
      <c r="AJ292" s="649">
        <v>0</v>
      </c>
      <c r="AK292" s="649">
        <v>0</v>
      </c>
      <c r="AL292" s="649">
        <v>0</v>
      </c>
      <c r="AM292" s="649">
        <f t="shared" si="23"/>
        <v>1060</v>
      </c>
      <c r="AN292" s="651">
        <f>ERP_27[[#This Row],[2026 Working Total]]-ERP_27[[#This Row],[LE2 Final Submission]]</f>
        <v>0</v>
      </c>
      <c r="AO292" s="652">
        <v>0</v>
      </c>
      <c r="AP292" s="652">
        <f t="shared" si="22"/>
        <v>0</v>
      </c>
      <c r="AQ292" s="374">
        <f>SUM(ERP_27[[#This Row],[AP01]:[AP06]])-SUM(ERP_27[[#This Row],[AP01 LE2]:[AP06 LE2]])</f>
        <v>0</v>
      </c>
      <c r="AR292" s="653"/>
      <c r="AS292" s="652">
        <f>ERP_27[[#This Row],[2026 Working Total to Budget/LE]]-ERP_27[[#This Row],[Giveback]]</f>
        <v>0</v>
      </c>
      <c r="AT292" s="654"/>
      <c r="AU292" s="655"/>
      <c r="AV292" s="655">
        <v>1060</v>
      </c>
      <c r="AW292" s="655">
        <v>0</v>
      </c>
      <c r="AX292" s="655">
        <v>0</v>
      </c>
      <c r="AY292" s="655">
        <v>0</v>
      </c>
      <c r="AZ292" s="655">
        <v>0</v>
      </c>
      <c r="BA292" s="655">
        <v>0</v>
      </c>
      <c r="BB292" s="655">
        <v>0</v>
      </c>
      <c r="BC292" s="655">
        <v>0</v>
      </c>
      <c r="BD292" s="655">
        <v>0</v>
      </c>
      <c r="BE292" s="655">
        <v>0</v>
      </c>
      <c r="BF292" s="655">
        <v>0</v>
      </c>
      <c r="BG292" s="655">
        <v>1060</v>
      </c>
      <c r="BH292" s="652"/>
      <c r="BI292" s="652">
        <v>1060</v>
      </c>
      <c r="BJ292" s="652">
        <v>0</v>
      </c>
      <c r="BK292" s="652">
        <v>0</v>
      </c>
      <c r="BL292" s="652">
        <v>0</v>
      </c>
      <c r="BM292" s="652">
        <v>0</v>
      </c>
      <c r="BN292" s="652">
        <v>0</v>
      </c>
      <c r="BO292" s="652">
        <v>0</v>
      </c>
      <c r="BP292" s="652">
        <v>0</v>
      </c>
      <c r="BQ292" s="652">
        <v>0</v>
      </c>
      <c r="BR292" s="652">
        <v>0</v>
      </c>
      <c r="BS292" s="652">
        <v>0</v>
      </c>
      <c r="BT292" s="652">
        <v>1060</v>
      </c>
    </row>
    <row r="293" spans="1:72" ht="15" hidden="1" customHeight="1">
      <c r="A293" s="66" t="s">
        <v>2671</v>
      </c>
      <c r="B293" s="66"/>
      <c r="C293" s="66" t="s">
        <v>943</v>
      </c>
      <c r="D293" s="66" t="s">
        <v>2672</v>
      </c>
      <c r="E293" s="150" t="s">
        <v>1136</v>
      </c>
      <c r="F293" s="482" t="s">
        <v>1566</v>
      </c>
      <c r="G293" s="150" t="s">
        <v>1345</v>
      </c>
      <c r="H293" s="150" t="s">
        <v>1437</v>
      </c>
      <c r="I293" s="150" t="s">
        <v>1345</v>
      </c>
      <c r="J293" s="150" t="s">
        <v>1437</v>
      </c>
      <c r="K293" s="150" t="s">
        <v>1346</v>
      </c>
      <c r="L293" s="511" t="s">
        <v>639</v>
      </c>
      <c r="M293" s="392" t="s">
        <v>2673</v>
      </c>
      <c r="N293" s="343" t="s">
        <v>2674</v>
      </c>
      <c r="O293" s="346" t="s">
        <v>2675</v>
      </c>
      <c r="P293" s="70" t="s">
        <v>944</v>
      </c>
      <c r="Q293" s="346"/>
      <c r="R293" s="346" t="s">
        <v>2676</v>
      </c>
      <c r="S293" s="346"/>
      <c r="T293" s="150" t="s">
        <v>25</v>
      </c>
      <c r="U293" s="150"/>
      <c r="V293" s="643"/>
      <c r="W293" s="659">
        <v>0</v>
      </c>
      <c r="X293" s="659">
        <v>729.19</v>
      </c>
      <c r="Y293" s="656"/>
      <c r="Z293" s="657"/>
      <c r="AA293" s="714">
        <v>139.72999999999999</v>
      </c>
      <c r="AB293" s="428">
        <v>139.72999999999999</v>
      </c>
      <c r="AC293" s="428">
        <v>449.73</v>
      </c>
      <c r="AD293" s="428">
        <v>139.72999999999999</v>
      </c>
      <c r="AE293" s="429">
        <v>139.72999999999999</v>
      </c>
      <c r="AF293" s="429">
        <v>139.72999999999999</v>
      </c>
      <c r="AG293" s="649">
        <v>0</v>
      </c>
      <c r="AH293" s="649">
        <v>0</v>
      </c>
      <c r="AI293" s="649">
        <v>0</v>
      </c>
      <c r="AJ293" s="649">
        <v>0</v>
      </c>
      <c r="AK293" s="649">
        <v>0</v>
      </c>
      <c r="AL293" s="649">
        <v>0</v>
      </c>
      <c r="AM293" s="649">
        <f t="shared" si="23"/>
        <v>1148.3800000000001</v>
      </c>
      <c r="AN293" s="651">
        <f>ERP_27[[#This Row],[2026 Working Total]]-ERP_27[[#This Row],[LE2 Final Submission]]</f>
        <v>419.19000000000005</v>
      </c>
      <c r="AO293" s="652">
        <v>0</v>
      </c>
      <c r="AP293" s="652">
        <f t="shared" si="22"/>
        <v>139.72999999999999</v>
      </c>
      <c r="AQ293" s="374">
        <f>SUM(ERP_27[[#This Row],[AP01]:[AP06]])-SUM(ERP_27[[#This Row],[AP01 LE2]:[AP06 LE2]])</f>
        <v>419.19000000000005</v>
      </c>
      <c r="AR293" s="653"/>
      <c r="AS293" s="652">
        <f>ERP_27[[#This Row],[2026 Working Total to Budget/LE]]-ERP_27[[#This Row],[Giveback]]</f>
        <v>419.19000000000005</v>
      </c>
      <c r="AT293" s="654"/>
      <c r="AU293" s="655">
        <v>139.72999999999999</v>
      </c>
      <c r="AV293" s="655">
        <v>139.72999999999999</v>
      </c>
      <c r="AW293" s="655">
        <v>449.73</v>
      </c>
      <c r="AX293" s="655">
        <v>0</v>
      </c>
      <c r="AY293" s="655">
        <v>0</v>
      </c>
      <c r="AZ293" s="655">
        <v>0</v>
      </c>
      <c r="BA293" s="655">
        <v>0</v>
      </c>
      <c r="BB293" s="655">
        <v>0</v>
      </c>
      <c r="BC293" s="655">
        <v>0</v>
      </c>
      <c r="BD293" s="655">
        <v>0</v>
      </c>
      <c r="BE293" s="655">
        <v>0</v>
      </c>
      <c r="BF293" s="655">
        <v>0</v>
      </c>
      <c r="BG293" s="655">
        <v>729.19</v>
      </c>
      <c r="BH293" s="652">
        <v>139.72999999999999</v>
      </c>
      <c r="BI293" s="652">
        <v>139.72999999999999</v>
      </c>
      <c r="BJ293" s="652">
        <v>449.73</v>
      </c>
      <c r="BK293" s="652">
        <v>0</v>
      </c>
      <c r="BL293" s="652">
        <v>0</v>
      </c>
      <c r="BM293" s="652">
        <v>0</v>
      </c>
      <c r="BN293" s="652">
        <v>0</v>
      </c>
      <c r="BO293" s="652">
        <v>0</v>
      </c>
      <c r="BP293" s="652">
        <v>0</v>
      </c>
      <c r="BQ293" s="652">
        <v>0</v>
      </c>
      <c r="BR293" s="652">
        <v>0</v>
      </c>
      <c r="BS293" s="652">
        <v>0</v>
      </c>
      <c r="BT293" s="652">
        <v>729.19</v>
      </c>
    </row>
    <row r="294" spans="1:72" ht="15" hidden="1" customHeight="1">
      <c r="A294" s="66" t="s">
        <v>2265</v>
      </c>
      <c r="B294" s="66"/>
      <c r="C294" s="66" t="s">
        <v>670</v>
      </c>
      <c r="D294" s="66" t="s">
        <v>2266</v>
      </c>
      <c r="E294" s="150" t="s">
        <v>1136</v>
      </c>
      <c r="F294" s="482" t="s">
        <v>1566</v>
      </c>
      <c r="G294" s="150" t="s">
        <v>1135</v>
      </c>
      <c r="H294" s="150" t="s">
        <v>1165</v>
      </c>
      <c r="I294" s="150" t="s">
        <v>1135</v>
      </c>
      <c r="J294" s="150" t="s">
        <v>1165</v>
      </c>
      <c r="K294" s="150" t="s">
        <v>1137</v>
      </c>
      <c r="L294" s="511" t="s">
        <v>639</v>
      </c>
      <c r="M294" s="392" t="s">
        <v>1858</v>
      </c>
      <c r="N294" s="343"/>
      <c r="O294" s="343"/>
      <c r="P294" s="70" t="s">
        <v>449</v>
      </c>
      <c r="Q294" s="346"/>
      <c r="R294" s="346" t="s">
        <v>1140</v>
      </c>
      <c r="S294" s="346"/>
      <c r="T294" s="150" t="s">
        <v>57</v>
      </c>
      <c r="U294" s="150"/>
      <c r="V294" s="643"/>
      <c r="W294" s="659">
        <v>0</v>
      </c>
      <c r="X294" s="659">
        <v>838.37999999999988</v>
      </c>
      <c r="Y294" s="656"/>
      <c r="Z294" s="657"/>
      <c r="AA294" s="714">
        <v>279.45999999999998</v>
      </c>
      <c r="AB294" s="428">
        <v>279.45999999999998</v>
      </c>
      <c r="AC294" s="428">
        <v>279.45999999999998</v>
      </c>
      <c r="AD294" s="428">
        <v>279.45999999999998</v>
      </c>
      <c r="AE294" s="429">
        <v>139.72999999999999</v>
      </c>
      <c r="AF294" s="429">
        <v>139.72999999999999</v>
      </c>
      <c r="AG294" s="649">
        <v>0</v>
      </c>
      <c r="AH294" s="649">
        <v>0</v>
      </c>
      <c r="AI294" s="649">
        <v>0</v>
      </c>
      <c r="AJ294" s="649">
        <v>0</v>
      </c>
      <c r="AK294" s="649">
        <v>0</v>
      </c>
      <c r="AL294" s="649">
        <v>0</v>
      </c>
      <c r="AM294" s="649">
        <f t="shared" si="23"/>
        <v>1397.3</v>
      </c>
      <c r="AN294" s="651">
        <f>ERP_27[[#This Row],[2026 Working Total]]-ERP_27[[#This Row],[LE2 Final Submission]]</f>
        <v>558.92000000000007</v>
      </c>
      <c r="AO294" s="652">
        <v>0</v>
      </c>
      <c r="AP294" s="652">
        <f t="shared" si="22"/>
        <v>139.72999999999999</v>
      </c>
      <c r="AQ294" s="374">
        <f>SUM(ERP_27[[#This Row],[AP01]:[AP06]])-SUM(ERP_27[[#This Row],[AP01 LE2]:[AP06 LE2]])</f>
        <v>558.92000000000007</v>
      </c>
      <c r="AR294" s="653"/>
      <c r="AS294" s="652">
        <f>ERP_27[[#This Row],[2026 Working Total to Budget/LE]]-ERP_27[[#This Row],[Giveback]]</f>
        <v>558.92000000000007</v>
      </c>
      <c r="AT294" s="654"/>
      <c r="AU294" s="655">
        <v>279.45999999999998</v>
      </c>
      <c r="AV294" s="655">
        <v>279.45999999999998</v>
      </c>
      <c r="AW294" s="655">
        <v>279.45999999999998</v>
      </c>
      <c r="AX294" s="655">
        <v>0</v>
      </c>
      <c r="AY294" s="655">
        <v>0</v>
      </c>
      <c r="AZ294" s="655">
        <v>0</v>
      </c>
      <c r="BA294" s="655">
        <v>0</v>
      </c>
      <c r="BB294" s="655">
        <v>0</v>
      </c>
      <c r="BC294" s="655">
        <v>0</v>
      </c>
      <c r="BD294" s="655">
        <v>0</v>
      </c>
      <c r="BE294" s="655">
        <v>0</v>
      </c>
      <c r="BF294" s="655">
        <v>0</v>
      </c>
      <c r="BG294" s="655">
        <v>838.37999999999988</v>
      </c>
      <c r="BH294" s="652">
        <v>279.45999999999998</v>
      </c>
      <c r="BI294" s="652">
        <v>279.45999999999998</v>
      </c>
      <c r="BJ294" s="652">
        <v>279.45999999999998</v>
      </c>
      <c r="BK294" s="652">
        <v>0</v>
      </c>
      <c r="BL294" s="652">
        <v>0</v>
      </c>
      <c r="BM294" s="652">
        <v>0</v>
      </c>
      <c r="BN294" s="652">
        <v>0</v>
      </c>
      <c r="BO294" s="652">
        <v>0</v>
      </c>
      <c r="BP294" s="652">
        <v>0</v>
      </c>
      <c r="BQ294" s="652">
        <v>0</v>
      </c>
      <c r="BR294" s="652">
        <v>0</v>
      </c>
      <c r="BS294" s="652">
        <v>0</v>
      </c>
      <c r="BT294" s="652">
        <v>838.37999999999988</v>
      </c>
    </row>
    <row r="295" spans="1:72" ht="15" hidden="1" customHeight="1">
      <c r="A295" s="66" t="s">
        <v>1984</v>
      </c>
      <c r="B295" s="66"/>
      <c r="C295" s="66" t="s">
        <v>509</v>
      </c>
      <c r="D295" s="66" t="s">
        <v>509</v>
      </c>
      <c r="E295" s="150" t="s">
        <v>1136</v>
      </c>
      <c r="F295" s="482" t="s">
        <v>1566</v>
      </c>
      <c r="G295" s="383" t="s">
        <v>1344</v>
      </c>
      <c r="H295" s="383" t="s">
        <v>1344</v>
      </c>
      <c r="I295" s="150" t="s">
        <v>1345</v>
      </c>
      <c r="J295" s="150" t="s">
        <v>1344</v>
      </c>
      <c r="K295" s="150" t="s">
        <v>1346</v>
      </c>
      <c r="L295" s="511" t="s">
        <v>389</v>
      </c>
      <c r="M295" s="392" t="s">
        <v>1985</v>
      </c>
      <c r="N295" s="343"/>
      <c r="O295" s="343"/>
      <c r="P295" s="70" t="s">
        <v>510</v>
      </c>
      <c r="Q295" s="346"/>
      <c r="R295" s="343"/>
      <c r="S295" s="346"/>
      <c r="T295" s="150" t="s">
        <v>432</v>
      </c>
      <c r="U295" s="150"/>
      <c r="V295" s="643"/>
      <c r="W295" s="659">
        <v>3000</v>
      </c>
      <c r="X295" s="659">
        <v>2250</v>
      </c>
      <c r="Y295" s="656"/>
      <c r="Z295" s="657"/>
      <c r="AA295" s="714"/>
      <c r="AB295" s="428"/>
      <c r="AC295" s="428"/>
      <c r="AD295" s="428" t="s">
        <v>1142</v>
      </c>
      <c r="AE295" s="429">
        <v>0</v>
      </c>
      <c r="AF295" s="429">
        <v>0</v>
      </c>
      <c r="AG295" s="649">
        <v>250</v>
      </c>
      <c r="AH295" s="649">
        <v>250</v>
      </c>
      <c r="AI295" s="649">
        <v>250</v>
      </c>
      <c r="AJ295" s="649">
        <v>250</v>
      </c>
      <c r="AK295" s="649">
        <v>250</v>
      </c>
      <c r="AL295" s="649">
        <v>250</v>
      </c>
      <c r="AM295" s="649">
        <f t="shared" si="23"/>
        <v>1500</v>
      </c>
      <c r="AN295" s="651">
        <f>ERP_27[[#This Row],[2026 Working Total]]-ERP_27[[#This Row],[LE2 Final Submission]]</f>
        <v>-750</v>
      </c>
      <c r="AO295" s="652">
        <v>250</v>
      </c>
      <c r="AP295" s="652">
        <f t="shared" si="22"/>
        <v>-250</v>
      </c>
      <c r="AQ295" s="374">
        <f>SUM(ERP_27[[#This Row],[AP01]:[AP06]])-SUM(ERP_27[[#This Row],[AP01 LE2]:[AP06 LE2]])</f>
        <v>-750</v>
      </c>
      <c r="AR295" s="653"/>
      <c r="AS295" s="652">
        <f>ERP_27[[#This Row],[2026 Working Total to Budget/LE]]-ERP_27[[#This Row],[Giveback]]</f>
        <v>-750</v>
      </c>
      <c r="AT295" s="654"/>
      <c r="AU295" s="655"/>
      <c r="AV295" s="655"/>
      <c r="AW295" s="655"/>
      <c r="AX295" s="655">
        <v>250</v>
      </c>
      <c r="AY295" s="655">
        <v>250</v>
      </c>
      <c r="AZ295" s="655">
        <v>250</v>
      </c>
      <c r="BA295" s="655">
        <v>250</v>
      </c>
      <c r="BB295" s="655">
        <v>250</v>
      </c>
      <c r="BC295" s="655">
        <v>250</v>
      </c>
      <c r="BD295" s="655">
        <v>250</v>
      </c>
      <c r="BE295" s="655">
        <v>250</v>
      </c>
      <c r="BF295" s="655">
        <v>250</v>
      </c>
      <c r="BG295" s="655">
        <v>2250</v>
      </c>
      <c r="BH295" s="652"/>
      <c r="BI295" s="652"/>
      <c r="BJ295" s="652"/>
      <c r="BK295" s="652">
        <v>250</v>
      </c>
      <c r="BL295" s="652">
        <v>250</v>
      </c>
      <c r="BM295" s="652">
        <v>250</v>
      </c>
      <c r="BN295" s="652">
        <v>250</v>
      </c>
      <c r="BO295" s="652">
        <v>250</v>
      </c>
      <c r="BP295" s="652">
        <v>250</v>
      </c>
      <c r="BQ295" s="652">
        <v>250</v>
      </c>
      <c r="BR295" s="652">
        <v>250</v>
      </c>
      <c r="BS295" s="652">
        <v>250</v>
      </c>
      <c r="BT295" s="652">
        <v>2250</v>
      </c>
    </row>
    <row r="296" spans="1:72" ht="15" customHeight="1">
      <c r="A296" s="66" t="s">
        <v>2715</v>
      </c>
      <c r="B296" s="66"/>
      <c r="C296" s="66" t="s">
        <v>966</v>
      </c>
      <c r="D296" s="66" t="s">
        <v>2716</v>
      </c>
      <c r="E296" s="150" t="s">
        <v>1136</v>
      </c>
      <c r="F296" s="482" t="s">
        <v>1566</v>
      </c>
      <c r="G296" s="383" t="s">
        <v>1480</v>
      </c>
      <c r="H296" s="150" t="s">
        <v>1481</v>
      </c>
      <c r="I296" s="150" t="s">
        <v>1345</v>
      </c>
      <c r="J296" s="150" t="s">
        <v>1481</v>
      </c>
      <c r="K296" s="150" t="s">
        <v>1346</v>
      </c>
      <c r="L296" s="511" t="s">
        <v>639</v>
      </c>
      <c r="M296" s="392" t="s">
        <v>1147</v>
      </c>
      <c r="N296" s="343"/>
      <c r="O296" s="343"/>
      <c r="P296" s="70" t="s">
        <v>53</v>
      </c>
      <c r="Q296" s="346" t="s">
        <v>1153</v>
      </c>
      <c r="R296" s="346" t="s">
        <v>1140</v>
      </c>
      <c r="S296" s="346"/>
      <c r="T296" s="150" t="s">
        <v>25</v>
      </c>
      <c r="U296" s="473" t="s">
        <v>1513</v>
      </c>
      <c r="V296" s="643"/>
      <c r="W296" s="659">
        <v>0</v>
      </c>
      <c r="X296" s="659">
        <v>1520</v>
      </c>
      <c r="Y296" s="656"/>
      <c r="Z296" s="657"/>
      <c r="AA296" s="714"/>
      <c r="AB296" s="428">
        <v>1520</v>
      </c>
      <c r="AC296" s="428">
        <v>0</v>
      </c>
      <c r="AD296" s="428">
        <v>0</v>
      </c>
      <c r="AE296" s="429">
        <v>0</v>
      </c>
      <c r="AF296" s="429">
        <v>0</v>
      </c>
      <c r="AG296" s="649">
        <v>0</v>
      </c>
      <c r="AH296" s="649">
        <v>0</v>
      </c>
      <c r="AI296" s="649">
        <v>0</v>
      </c>
      <c r="AJ296" s="649">
        <v>0</v>
      </c>
      <c r="AK296" s="649">
        <v>0</v>
      </c>
      <c r="AL296" s="649">
        <v>0</v>
      </c>
      <c r="AM296" s="649">
        <f t="shared" si="23"/>
        <v>1520</v>
      </c>
      <c r="AN296" s="651">
        <f>ERP_27[[#This Row],[2026 Working Total]]-ERP_27[[#This Row],[LE2 Final Submission]]</f>
        <v>0</v>
      </c>
      <c r="AO296" s="652">
        <v>0</v>
      </c>
      <c r="AP296" s="652">
        <f t="shared" si="22"/>
        <v>0</v>
      </c>
      <c r="AQ296" s="374">
        <f>SUM(ERP_27[[#This Row],[AP01]:[AP06]])-SUM(ERP_27[[#This Row],[AP01 LE2]:[AP06 LE2]])</f>
        <v>0</v>
      </c>
      <c r="AR296" s="653"/>
      <c r="AS296" s="652">
        <f>ERP_27[[#This Row],[2026 Working Total to Budget/LE]]-ERP_27[[#This Row],[Giveback]]</f>
        <v>0</v>
      </c>
      <c r="AT296" s="654"/>
      <c r="AU296" s="655"/>
      <c r="AV296" s="655">
        <v>1520</v>
      </c>
      <c r="AW296" s="655">
        <v>0</v>
      </c>
      <c r="AX296" s="655">
        <v>0</v>
      </c>
      <c r="AY296" s="655">
        <v>0</v>
      </c>
      <c r="AZ296" s="655">
        <v>0</v>
      </c>
      <c r="BA296" s="655">
        <v>0</v>
      </c>
      <c r="BB296" s="655">
        <v>0</v>
      </c>
      <c r="BC296" s="655">
        <v>0</v>
      </c>
      <c r="BD296" s="655">
        <v>0</v>
      </c>
      <c r="BE296" s="655">
        <v>0</v>
      </c>
      <c r="BF296" s="655">
        <v>0</v>
      </c>
      <c r="BG296" s="655">
        <v>1520</v>
      </c>
      <c r="BH296" s="652"/>
      <c r="BI296" s="652">
        <v>1520</v>
      </c>
      <c r="BJ296" s="652">
        <v>0</v>
      </c>
      <c r="BK296" s="652">
        <v>0</v>
      </c>
      <c r="BL296" s="652">
        <v>0</v>
      </c>
      <c r="BM296" s="652">
        <v>0</v>
      </c>
      <c r="BN296" s="652">
        <v>0</v>
      </c>
      <c r="BO296" s="652">
        <v>0</v>
      </c>
      <c r="BP296" s="652">
        <v>0</v>
      </c>
      <c r="BQ296" s="652">
        <v>0</v>
      </c>
      <c r="BR296" s="652">
        <v>0</v>
      </c>
      <c r="BS296" s="652">
        <v>0</v>
      </c>
      <c r="BT296" s="652">
        <v>1520</v>
      </c>
    </row>
    <row r="297" spans="1:72" ht="15" hidden="1" customHeight="1">
      <c r="A297" s="66" t="s">
        <v>1968</v>
      </c>
      <c r="B297" s="66"/>
      <c r="C297" s="66" t="s">
        <v>496</v>
      </c>
      <c r="D297" s="66" t="s">
        <v>496</v>
      </c>
      <c r="E297" s="150" t="s">
        <v>1136</v>
      </c>
      <c r="F297" s="482" t="s">
        <v>1566</v>
      </c>
      <c r="G297" s="383" t="s">
        <v>1344</v>
      </c>
      <c r="H297" s="383" t="s">
        <v>1344</v>
      </c>
      <c r="I297" s="150" t="s">
        <v>1345</v>
      </c>
      <c r="J297" s="150" t="s">
        <v>1344</v>
      </c>
      <c r="K297" s="150" t="s">
        <v>1346</v>
      </c>
      <c r="L297" s="511" t="s">
        <v>389</v>
      </c>
      <c r="M297" s="392" t="s">
        <v>1969</v>
      </c>
      <c r="N297" s="343"/>
      <c r="O297" s="343"/>
      <c r="P297" s="70" t="s">
        <v>497</v>
      </c>
      <c r="Q297" s="346"/>
      <c r="R297" s="343"/>
      <c r="S297" s="346"/>
      <c r="T297" s="150" t="s">
        <v>25</v>
      </c>
      <c r="U297" s="150"/>
      <c r="V297" s="643"/>
      <c r="W297" s="659">
        <v>1560</v>
      </c>
      <c r="X297" s="659">
        <v>1536.8899999999999</v>
      </c>
      <c r="Y297" s="656"/>
      <c r="Z297" s="657"/>
      <c r="AA297" s="714">
        <v>124.95</v>
      </c>
      <c r="AB297" s="428">
        <v>125.88</v>
      </c>
      <c r="AC297" s="428">
        <v>116.06</v>
      </c>
      <c r="AD297" s="428">
        <v>129.38999999999999</v>
      </c>
      <c r="AE297" s="429">
        <v>122.35</v>
      </c>
      <c r="AF297" s="429">
        <v>125.51999999999998</v>
      </c>
      <c r="AG297" s="649">
        <v>130</v>
      </c>
      <c r="AH297" s="649">
        <v>130</v>
      </c>
      <c r="AI297" s="649">
        <v>130</v>
      </c>
      <c r="AJ297" s="649">
        <v>130</v>
      </c>
      <c r="AK297" s="649">
        <v>130</v>
      </c>
      <c r="AL297" s="649">
        <v>130</v>
      </c>
      <c r="AM297" s="649">
        <f t="shared" si="23"/>
        <v>1524.15</v>
      </c>
      <c r="AN297" s="651">
        <f>ERP_27[[#This Row],[2026 Working Total]]-ERP_27[[#This Row],[LE2 Final Submission]]</f>
        <v>-12.739999999999782</v>
      </c>
      <c r="AO297" s="652">
        <v>130</v>
      </c>
      <c r="AP297" s="652">
        <f t="shared" si="22"/>
        <v>-4.4800000000000182</v>
      </c>
      <c r="AQ297" s="374">
        <f>SUM(ERP_27[[#This Row],[AP01]:[AP06]])-SUM(ERP_27[[#This Row],[AP01 LE2]:[AP06 LE2]])</f>
        <v>-12.740000000000009</v>
      </c>
      <c r="AR297" s="653"/>
      <c r="AS297" s="652">
        <f>ERP_27[[#This Row],[2026 Working Total to Budget/LE]]-ERP_27[[#This Row],[Giveback]]</f>
        <v>-12.739999999999782</v>
      </c>
      <c r="AT297" s="654"/>
      <c r="AU297" s="655">
        <v>124.95</v>
      </c>
      <c r="AV297" s="655">
        <v>125.88</v>
      </c>
      <c r="AW297" s="655">
        <v>116.06</v>
      </c>
      <c r="AX297" s="655">
        <v>130</v>
      </c>
      <c r="AY297" s="655">
        <v>130</v>
      </c>
      <c r="AZ297" s="655">
        <v>130</v>
      </c>
      <c r="BA297" s="655">
        <v>130</v>
      </c>
      <c r="BB297" s="655">
        <v>130</v>
      </c>
      <c r="BC297" s="655">
        <v>130</v>
      </c>
      <c r="BD297" s="655">
        <v>130</v>
      </c>
      <c r="BE297" s="655">
        <v>130</v>
      </c>
      <c r="BF297" s="655">
        <v>130</v>
      </c>
      <c r="BG297" s="655">
        <v>1536.8899999999999</v>
      </c>
      <c r="BH297" s="652">
        <v>124.95</v>
      </c>
      <c r="BI297" s="652">
        <v>125.88</v>
      </c>
      <c r="BJ297" s="652">
        <v>116.06</v>
      </c>
      <c r="BK297" s="652">
        <v>130</v>
      </c>
      <c r="BL297" s="652">
        <v>130</v>
      </c>
      <c r="BM297" s="652">
        <v>130</v>
      </c>
      <c r="BN297" s="652">
        <v>130</v>
      </c>
      <c r="BO297" s="652">
        <v>130</v>
      </c>
      <c r="BP297" s="652">
        <v>130</v>
      </c>
      <c r="BQ297" s="652">
        <v>130</v>
      </c>
      <c r="BR297" s="652">
        <v>130</v>
      </c>
      <c r="BS297" s="652">
        <v>130</v>
      </c>
      <c r="BT297" s="652">
        <v>1536.8899999999999</v>
      </c>
    </row>
    <row r="298" spans="1:72" ht="15" hidden="1" customHeight="1">
      <c r="A298" s="66" t="s">
        <v>2300</v>
      </c>
      <c r="B298" s="66"/>
      <c r="C298" s="66" t="s">
        <v>1005</v>
      </c>
      <c r="D298" s="66" t="s">
        <v>2301</v>
      </c>
      <c r="E298" s="150" t="s">
        <v>1136</v>
      </c>
      <c r="F298" s="482" t="s">
        <v>1566</v>
      </c>
      <c r="G298" s="482" t="s">
        <v>1566</v>
      </c>
      <c r="H298" s="482" t="s">
        <v>1566</v>
      </c>
      <c r="I298" s="150" t="s">
        <v>1345</v>
      </c>
      <c r="J298" s="150" t="s">
        <v>1346</v>
      </c>
      <c r="K298" s="150" t="s">
        <v>1346</v>
      </c>
      <c r="L298" s="511" t="s">
        <v>639</v>
      </c>
      <c r="M298" s="392" t="s">
        <v>1942</v>
      </c>
      <c r="N298" s="343"/>
      <c r="O298" s="343"/>
      <c r="P298" s="70" t="s">
        <v>585</v>
      </c>
      <c r="Q298" s="346"/>
      <c r="R298" s="346" t="s">
        <v>1140</v>
      </c>
      <c r="S298" s="346"/>
      <c r="T298" s="150" t="s">
        <v>57</v>
      </c>
      <c r="U298" s="150"/>
      <c r="V298" s="643"/>
      <c r="W298" s="659">
        <v>0</v>
      </c>
      <c r="X298" s="659">
        <v>1537.03</v>
      </c>
      <c r="Y298" s="656"/>
      <c r="Z298" s="657"/>
      <c r="AA298" s="714"/>
      <c r="AB298" s="428"/>
      <c r="AC298" s="428">
        <v>279.45999999999998</v>
      </c>
      <c r="AD298" s="428">
        <v>139.72999999999999</v>
      </c>
      <c r="AE298" s="429">
        <v>139.72999999999999</v>
      </c>
      <c r="AF298" s="429">
        <v>139.72999999999999</v>
      </c>
      <c r="AG298" s="667">
        <v>139.72999999999999</v>
      </c>
      <c r="AH298" s="667">
        <v>139.72999999999999</v>
      </c>
      <c r="AI298" s="667">
        <v>139.72999999999999</v>
      </c>
      <c r="AJ298" s="667">
        <v>139.72999999999999</v>
      </c>
      <c r="AK298" s="667">
        <v>139.72999999999999</v>
      </c>
      <c r="AL298" s="667">
        <v>139.72999999999999</v>
      </c>
      <c r="AM298" s="649">
        <f t="shared" si="23"/>
        <v>1537.03</v>
      </c>
      <c r="AN298" s="651">
        <f>ERP_27[[#This Row],[2026 Working Total]]-ERP_27[[#This Row],[LE2 Final Submission]]</f>
        <v>0</v>
      </c>
      <c r="AO298" s="652">
        <v>139.72999999999999</v>
      </c>
      <c r="AP298" s="652">
        <f t="shared" si="22"/>
        <v>0</v>
      </c>
      <c r="AQ298" s="374">
        <f>SUM(ERP_27[[#This Row],[AP01]:[AP06]])-SUM(ERP_27[[#This Row],[AP01 LE2]:[AP06 LE2]])</f>
        <v>0</v>
      </c>
      <c r="AR298" s="653"/>
      <c r="AS298" s="652">
        <f>ERP_27[[#This Row],[2026 Working Total to Budget/LE]]-ERP_27[[#This Row],[Giveback]]</f>
        <v>0</v>
      </c>
      <c r="AT298" s="654"/>
      <c r="AU298" s="655"/>
      <c r="AV298" s="655"/>
      <c r="AW298" s="655">
        <v>279.45999999999998</v>
      </c>
      <c r="AX298" s="655">
        <v>139.72999999999999</v>
      </c>
      <c r="AY298" s="655">
        <v>139.72999999999999</v>
      </c>
      <c r="AZ298" s="655">
        <v>139.72999999999999</v>
      </c>
      <c r="BA298" s="655">
        <v>139.72999999999999</v>
      </c>
      <c r="BB298" s="655">
        <v>139.72999999999999</v>
      </c>
      <c r="BC298" s="655">
        <v>139.72999999999999</v>
      </c>
      <c r="BD298" s="655">
        <v>139.72999999999999</v>
      </c>
      <c r="BE298" s="655">
        <v>139.72999999999999</v>
      </c>
      <c r="BF298" s="655">
        <v>139.72999999999999</v>
      </c>
      <c r="BG298" s="655">
        <v>1537.03</v>
      </c>
      <c r="BH298" s="652"/>
      <c r="BI298" s="652"/>
      <c r="BJ298" s="652">
        <v>279.45999999999998</v>
      </c>
      <c r="BK298" s="652">
        <v>0</v>
      </c>
      <c r="BL298" s="652">
        <v>0</v>
      </c>
      <c r="BM298" s="652">
        <v>0</v>
      </c>
      <c r="BN298" s="652">
        <v>0</v>
      </c>
      <c r="BO298" s="652">
        <v>0</v>
      </c>
      <c r="BP298" s="652">
        <v>0</v>
      </c>
      <c r="BQ298" s="652">
        <v>0</v>
      </c>
      <c r="BR298" s="652">
        <v>0</v>
      </c>
      <c r="BS298" s="652">
        <v>0</v>
      </c>
      <c r="BT298" s="652">
        <v>279.45999999999998</v>
      </c>
    </row>
    <row r="299" spans="1:72" ht="15" hidden="1" customHeight="1">
      <c r="A299" s="66" t="s">
        <v>2854</v>
      </c>
      <c r="B299" s="66"/>
      <c r="C299" s="66" t="s">
        <v>1045</v>
      </c>
      <c r="D299" s="66" t="s">
        <v>2855</v>
      </c>
      <c r="E299" s="150" t="s">
        <v>1136</v>
      </c>
      <c r="F299" s="482" t="s">
        <v>1566</v>
      </c>
      <c r="G299" s="482" t="s">
        <v>1566</v>
      </c>
      <c r="H299" s="482" t="s">
        <v>1566</v>
      </c>
      <c r="I299" s="150" t="s">
        <v>1345</v>
      </c>
      <c r="J299" s="150" t="s">
        <v>1346</v>
      </c>
      <c r="K299" s="150" t="s">
        <v>1346</v>
      </c>
      <c r="L299" s="511" t="s">
        <v>1037</v>
      </c>
      <c r="M299" s="392" t="s">
        <v>2856</v>
      </c>
      <c r="N299" s="343"/>
      <c r="O299" s="343"/>
      <c r="P299" s="70" t="s">
        <v>318</v>
      </c>
      <c r="Q299" s="346"/>
      <c r="R299" s="343"/>
      <c r="S299" s="346"/>
      <c r="T299" s="150" t="s">
        <v>25</v>
      </c>
      <c r="U299" s="150"/>
      <c r="V299" s="643"/>
      <c r="W299" s="659">
        <v>0</v>
      </c>
      <c r="X299" s="659">
        <v>1583.99</v>
      </c>
      <c r="Y299" s="656"/>
      <c r="Z299" s="657"/>
      <c r="AA299" s="714"/>
      <c r="AB299" s="428"/>
      <c r="AC299" s="428">
        <v>1583.99</v>
      </c>
      <c r="AD299" s="428" t="s">
        <v>1142</v>
      </c>
      <c r="AE299" s="429">
        <v>0</v>
      </c>
      <c r="AF299" s="429">
        <v>0</v>
      </c>
      <c r="AG299" s="649">
        <v>0</v>
      </c>
      <c r="AH299" s="649">
        <v>0</v>
      </c>
      <c r="AI299" s="649">
        <v>0</v>
      </c>
      <c r="AJ299" s="649">
        <v>0</v>
      </c>
      <c r="AK299" s="649">
        <v>0</v>
      </c>
      <c r="AL299" s="649">
        <v>0</v>
      </c>
      <c r="AM299" s="649">
        <f t="shared" si="23"/>
        <v>1583.99</v>
      </c>
      <c r="AN299" s="651">
        <f>ERP_27[[#This Row],[2026 Working Total]]-ERP_27[[#This Row],[LE2 Final Submission]]</f>
        <v>0</v>
      </c>
      <c r="AO299" s="652">
        <v>0</v>
      </c>
      <c r="AP299" s="652">
        <f t="shared" si="22"/>
        <v>0</v>
      </c>
      <c r="AQ299" s="374">
        <f>SUM(ERP_27[[#This Row],[AP01]:[AP06]])-SUM(ERP_27[[#This Row],[AP01 LE2]:[AP06 LE2]])</f>
        <v>0</v>
      </c>
      <c r="AR299" s="653"/>
      <c r="AS299" s="652">
        <f>ERP_27[[#This Row],[2026 Working Total to Budget/LE]]-ERP_27[[#This Row],[Giveback]]</f>
        <v>0</v>
      </c>
      <c r="AT299" s="654"/>
      <c r="AU299" s="655"/>
      <c r="AV299" s="655"/>
      <c r="AW299" s="655">
        <v>1583.99</v>
      </c>
      <c r="AX299" s="655">
        <v>0</v>
      </c>
      <c r="AY299" s="655">
        <v>0</v>
      </c>
      <c r="AZ299" s="655">
        <v>0</v>
      </c>
      <c r="BA299" s="655">
        <v>0</v>
      </c>
      <c r="BB299" s="655">
        <v>0</v>
      </c>
      <c r="BC299" s="655">
        <v>0</v>
      </c>
      <c r="BD299" s="655">
        <v>0</v>
      </c>
      <c r="BE299" s="655">
        <v>0</v>
      </c>
      <c r="BF299" s="655">
        <v>0</v>
      </c>
      <c r="BG299" s="655">
        <v>1583.99</v>
      </c>
      <c r="BH299" s="652"/>
      <c r="BI299" s="652"/>
      <c r="BJ299" s="652">
        <v>1583.99</v>
      </c>
      <c r="BK299" s="652">
        <v>0</v>
      </c>
      <c r="BL299" s="652">
        <v>0</v>
      </c>
      <c r="BM299" s="652">
        <v>0</v>
      </c>
      <c r="BN299" s="652">
        <v>0</v>
      </c>
      <c r="BO299" s="652">
        <v>0</v>
      </c>
      <c r="BP299" s="652">
        <v>0</v>
      </c>
      <c r="BQ299" s="652">
        <v>0</v>
      </c>
      <c r="BR299" s="652">
        <v>0</v>
      </c>
      <c r="BS299" s="652">
        <v>0</v>
      </c>
      <c r="BT299" s="652">
        <v>1583.99</v>
      </c>
    </row>
    <row r="300" spans="1:72" ht="15" hidden="1" customHeight="1">
      <c r="A300" s="66" t="s">
        <v>2201</v>
      </c>
      <c r="B300" s="66"/>
      <c r="C300" s="66" t="s">
        <v>637</v>
      </c>
      <c r="D300" s="66" t="s">
        <v>2202</v>
      </c>
      <c r="E300" s="150" t="s">
        <v>1136</v>
      </c>
      <c r="F300" s="482" t="s">
        <v>1566</v>
      </c>
      <c r="G300" s="482" t="s">
        <v>1566</v>
      </c>
      <c r="H300" s="482" t="s">
        <v>1566</v>
      </c>
      <c r="I300" s="150" t="s">
        <v>1345</v>
      </c>
      <c r="J300" s="150" t="s">
        <v>1346</v>
      </c>
      <c r="K300" s="150" t="s">
        <v>1346</v>
      </c>
      <c r="L300" s="511" t="s">
        <v>629</v>
      </c>
      <c r="M300" s="392" t="s">
        <v>1648</v>
      </c>
      <c r="N300" s="343"/>
      <c r="O300" s="343"/>
      <c r="P300" s="70" t="s">
        <v>323</v>
      </c>
      <c r="Q300" s="346"/>
      <c r="R300" s="343"/>
      <c r="S300" s="346"/>
      <c r="T300" s="150" t="s">
        <v>25</v>
      </c>
      <c r="U300" s="150"/>
      <c r="V300" s="643"/>
      <c r="W300" s="659">
        <v>0</v>
      </c>
      <c r="X300" s="659">
        <v>1672.26</v>
      </c>
      <c r="Y300" s="656"/>
      <c r="Z300" s="657"/>
      <c r="AA300" s="714"/>
      <c r="AB300" s="428">
        <v>1672.26</v>
      </c>
      <c r="AC300" s="428">
        <v>0</v>
      </c>
      <c r="AD300" s="428" t="s">
        <v>1142</v>
      </c>
      <c r="AE300" s="429">
        <v>0</v>
      </c>
      <c r="AF300" s="429">
        <v>0</v>
      </c>
      <c r="AG300" s="649">
        <v>0</v>
      </c>
      <c r="AH300" s="649">
        <v>0</v>
      </c>
      <c r="AI300" s="649">
        <v>0</v>
      </c>
      <c r="AJ300" s="649">
        <v>0</v>
      </c>
      <c r="AK300" s="649">
        <v>0</v>
      </c>
      <c r="AL300" s="649">
        <v>0</v>
      </c>
      <c r="AM300" s="649">
        <f t="shared" si="23"/>
        <v>1672.26</v>
      </c>
      <c r="AN300" s="651">
        <f>ERP_27[[#This Row],[2026 Working Total]]-ERP_27[[#This Row],[LE2 Final Submission]]</f>
        <v>0</v>
      </c>
      <c r="AO300" s="652">
        <v>0</v>
      </c>
      <c r="AP300" s="652">
        <f t="shared" si="22"/>
        <v>0</v>
      </c>
      <c r="AQ300" s="374">
        <f>SUM(ERP_27[[#This Row],[AP01]:[AP06]])-SUM(ERP_27[[#This Row],[AP01 LE2]:[AP06 LE2]])</f>
        <v>0</v>
      </c>
      <c r="AR300" s="653"/>
      <c r="AS300" s="652">
        <f>ERP_27[[#This Row],[2026 Working Total to Budget/LE]]-ERP_27[[#This Row],[Giveback]]</f>
        <v>0</v>
      </c>
      <c r="AT300" s="654"/>
      <c r="AU300" s="655"/>
      <c r="AV300" s="655">
        <v>1672.26</v>
      </c>
      <c r="AW300" s="655">
        <v>0</v>
      </c>
      <c r="AX300" s="655">
        <v>0</v>
      </c>
      <c r="AY300" s="655">
        <v>0</v>
      </c>
      <c r="AZ300" s="655">
        <v>0</v>
      </c>
      <c r="BA300" s="655">
        <v>0</v>
      </c>
      <c r="BB300" s="655">
        <v>0</v>
      </c>
      <c r="BC300" s="655">
        <v>0</v>
      </c>
      <c r="BD300" s="655">
        <v>0</v>
      </c>
      <c r="BE300" s="655">
        <v>0</v>
      </c>
      <c r="BF300" s="655">
        <v>0</v>
      </c>
      <c r="BG300" s="655">
        <v>1672.26</v>
      </c>
      <c r="BH300" s="652"/>
      <c r="BI300" s="652">
        <v>1672.26</v>
      </c>
      <c r="BJ300" s="652">
        <v>0</v>
      </c>
      <c r="BK300" s="652">
        <v>0</v>
      </c>
      <c r="BL300" s="652">
        <v>0</v>
      </c>
      <c r="BM300" s="652">
        <v>0</v>
      </c>
      <c r="BN300" s="652">
        <v>0</v>
      </c>
      <c r="BO300" s="652">
        <v>0</v>
      </c>
      <c r="BP300" s="652">
        <v>0</v>
      </c>
      <c r="BQ300" s="652">
        <v>0</v>
      </c>
      <c r="BR300" s="652">
        <v>0</v>
      </c>
      <c r="BS300" s="652">
        <v>0</v>
      </c>
      <c r="BT300" s="652">
        <v>1672.26</v>
      </c>
    </row>
    <row r="301" spans="1:72" ht="15" hidden="1" customHeight="1">
      <c r="A301" s="66" t="s">
        <v>2796</v>
      </c>
      <c r="B301" s="66"/>
      <c r="C301" s="66" t="s">
        <v>1007</v>
      </c>
      <c r="D301" s="66" t="s">
        <v>2797</v>
      </c>
      <c r="E301" s="150" t="s">
        <v>1136</v>
      </c>
      <c r="F301" s="482" t="s">
        <v>1566</v>
      </c>
      <c r="G301" s="482" t="s">
        <v>1566</v>
      </c>
      <c r="H301" s="482" t="s">
        <v>1566</v>
      </c>
      <c r="I301" s="150" t="s">
        <v>1345</v>
      </c>
      <c r="J301" s="150" t="s">
        <v>1346</v>
      </c>
      <c r="K301" s="150" t="s">
        <v>1346</v>
      </c>
      <c r="L301" s="511" t="s">
        <v>639</v>
      </c>
      <c r="M301" s="392" t="s">
        <v>2798</v>
      </c>
      <c r="N301" s="343"/>
      <c r="O301" s="343"/>
      <c r="P301" s="70" t="s">
        <v>1008</v>
      </c>
      <c r="Q301" s="346"/>
      <c r="R301" s="343"/>
      <c r="S301" s="346"/>
      <c r="T301" s="150" t="s">
        <v>57</v>
      </c>
      <c r="U301" s="150"/>
      <c r="V301" s="643"/>
      <c r="W301" s="659">
        <v>3348</v>
      </c>
      <c r="X301" s="659">
        <v>2511</v>
      </c>
      <c r="Y301" s="656"/>
      <c r="Z301" s="657"/>
      <c r="AA301" s="714"/>
      <c r="AB301" s="428"/>
      <c r="AC301" s="428"/>
      <c r="AD301" s="428" t="s">
        <v>1142</v>
      </c>
      <c r="AE301" s="429">
        <v>0</v>
      </c>
      <c r="AF301" s="429">
        <v>0</v>
      </c>
      <c r="AG301" s="649">
        <v>279</v>
      </c>
      <c r="AH301" s="649">
        <v>279</v>
      </c>
      <c r="AI301" s="649">
        <v>279</v>
      </c>
      <c r="AJ301" s="649">
        <v>279</v>
      </c>
      <c r="AK301" s="649">
        <v>279</v>
      </c>
      <c r="AL301" s="649">
        <v>279</v>
      </c>
      <c r="AM301" s="649">
        <f t="shared" si="23"/>
        <v>1674</v>
      </c>
      <c r="AN301" s="651">
        <f>ERP_27[[#This Row],[2026 Working Total]]-ERP_27[[#This Row],[LE2 Final Submission]]</f>
        <v>-837</v>
      </c>
      <c r="AO301" s="652">
        <v>279</v>
      </c>
      <c r="AP301" s="652">
        <f t="shared" si="22"/>
        <v>-279</v>
      </c>
      <c r="AQ301" s="374">
        <f>SUM(ERP_27[[#This Row],[AP01]:[AP06]])-SUM(ERP_27[[#This Row],[AP01 LE2]:[AP06 LE2]])</f>
        <v>-837</v>
      </c>
      <c r="AR301" s="653"/>
      <c r="AS301" s="652">
        <f>ERP_27[[#This Row],[2026 Working Total to Budget/LE]]-ERP_27[[#This Row],[Giveback]]</f>
        <v>-837</v>
      </c>
      <c r="AT301" s="654"/>
      <c r="AU301" s="655"/>
      <c r="AV301" s="655"/>
      <c r="AW301" s="655"/>
      <c r="AX301" s="655">
        <v>279</v>
      </c>
      <c r="AY301" s="655">
        <v>279</v>
      </c>
      <c r="AZ301" s="655">
        <v>279</v>
      </c>
      <c r="BA301" s="655">
        <v>279</v>
      </c>
      <c r="BB301" s="655">
        <v>279</v>
      </c>
      <c r="BC301" s="655">
        <v>279</v>
      </c>
      <c r="BD301" s="655">
        <v>279</v>
      </c>
      <c r="BE301" s="655">
        <v>279</v>
      </c>
      <c r="BF301" s="655">
        <v>279</v>
      </c>
      <c r="BG301" s="655">
        <v>2511</v>
      </c>
      <c r="BH301" s="652"/>
      <c r="BI301" s="652"/>
      <c r="BJ301" s="652"/>
      <c r="BK301" s="652">
        <v>279</v>
      </c>
      <c r="BL301" s="652">
        <v>279</v>
      </c>
      <c r="BM301" s="652">
        <v>279</v>
      </c>
      <c r="BN301" s="652">
        <v>279</v>
      </c>
      <c r="BO301" s="652">
        <v>279</v>
      </c>
      <c r="BP301" s="652">
        <v>279</v>
      </c>
      <c r="BQ301" s="652">
        <v>279</v>
      </c>
      <c r="BR301" s="652">
        <v>279</v>
      </c>
      <c r="BS301" s="652">
        <v>279</v>
      </c>
      <c r="BT301" s="652">
        <v>2511</v>
      </c>
    </row>
    <row r="302" spans="1:72" ht="15" hidden="1" customHeight="1">
      <c r="A302" s="66" t="s">
        <v>1987</v>
      </c>
      <c r="B302" s="66"/>
      <c r="C302" s="66" t="s">
        <v>512</v>
      </c>
      <c r="D302" s="66" t="s">
        <v>512</v>
      </c>
      <c r="E302" s="150" t="s">
        <v>1136</v>
      </c>
      <c r="F302" s="482" t="s">
        <v>1566</v>
      </c>
      <c r="G302" s="383" t="s">
        <v>1344</v>
      </c>
      <c r="H302" s="383" t="s">
        <v>1344</v>
      </c>
      <c r="I302" s="150" t="s">
        <v>1345</v>
      </c>
      <c r="J302" s="150" t="s">
        <v>1344</v>
      </c>
      <c r="K302" s="150" t="s">
        <v>1346</v>
      </c>
      <c r="L302" s="511" t="s">
        <v>389</v>
      </c>
      <c r="M302" s="392" t="s">
        <v>1327</v>
      </c>
      <c r="N302" s="343"/>
      <c r="O302" s="343"/>
      <c r="P302" s="70" t="s">
        <v>147</v>
      </c>
      <c r="Q302" s="346"/>
      <c r="R302" s="343"/>
      <c r="S302" s="346"/>
      <c r="T302" s="150" t="s">
        <v>25</v>
      </c>
      <c r="U302" s="150"/>
      <c r="V302" s="643"/>
      <c r="W302" s="659">
        <v>0</v>
      </c>
      <c r="X302" s="659">
        <v>799.29000000000008</v>
      </c>
      <c r="Y302" s="656"/>
      <c r="Z302" s="657"/>
      <c r="AA302" s="714">
        <v>-79.28</v>
      </c>
      <c r="AB302" s="428">
        <v>124.37</v>
      </c>
      <c r="AC302" s="428">
        <v>754.2</v>
      </c>
      <c r="AD302" s="428">
        <v>171.12</v>
      </c>
      <c r="AE302" s="429">
        <v>538.97</v>
      </c>
      <c r="AF302" s="429">
        <v>255.20999999999992</v>
      </c>
      <c r="AG302" s="649">
        <v>0</v>
      </c>
      <c r="AH302" s="649">
        <v>0</v>
      </c>
      <c r="AI302" s="649">
        <v>0</v>
      </c>
      <c r="AJ302" s="649">
        <v>0</v>
      </c>
      <c r="AK302" s="649">
        <v>0</v>
      </c>
      <c r="AL302" s="649">
        <v>0</v>
      </c>
      <c r="AM302" s="649">
        <f t="shared" si="23"/>
        <v>1764.5900000000001</v>
      </c>
      <c r="AN302" s="651">
        <f>ERP_27[[#This Row],[2026 Working Total]]-ERP_27[[#This Row],[LE2 Final Submission]]</f>
        <v>965.30000000000007</v>
      </c>
      <c r="AO302" s="652">
        <v>0</v>
      </c>
      <c r="AP302" s="652">
        <f t="shared" si="22"/>
        <v>255.20999999999992</v>
      </c>
      <c r="AQ302" s="374">
        <f>SUM(ERP_27[[#This Row],[AP01]:[AP06]])-SUM(ERP_27[[#This Row],[AP01 LE2]:[AP06 LE2]])</f>
        <v>965.30000000000007</v>
      </c>
      <c r="AR302" s="653"/>
      <c r="AS302" s="652">
        <f>ERP_27[[#This Row],[2026 Working Total to Budget/LE]]-ERP_27[[#This Row],[Giveback]]</f>
        <v>965.30000000000007</v>
      </c>
      <c r="AT302" s="654"/>
      <c r="AU302" s="655">
        <v>-79.28</v>
      </c>
      <c r="AV302" s="655">
        <v>124.37</v>
      </c>
      <c r="AW302" s="655">
        <v>754.2</v>
      </c>
      <c r="AX302" s="655">
        <v>0</v>
      </c>
      <c r="AY302" s="655">
        <v>0</v>
      </c>
      <c r="AZ302" s="655">
        <v>0</v>
      </c>
      <c r="BA302" s="655">
        <v>0</v>
      </c>
      <c r="BB302" s="655">
        <v>0</v>
      </c>
      <c r="BC302" s="655">
        <v>0</v>
      </c>
      <c r="BD302" s="655">
        <v>0</v>
      </c>
      <c r="BE302" s="655">
        <v>0</v>
      </c>
      <c r="BF302" s="655">
        <v>0</v>
      </c>
      <c r="BG302" s="655">
        <v>799.29000000000008</v>
      </c>
      <c r="BH302" s="652">
        <v>-79.28</v>
      </c>
      <c r="BI302" s="652">
        <v>124.37</v>
      </c>
      <c r="BJ302" s="652">
        <v>754.2</v>
      </c>
      <c r="BK302" s="652">
        <v>0</v>
      </c>
      <c r="BL302" s="652">
        <v>0</v>
      </c>
      <c r="BM302" s="652">
        <v>0</v>
      </c>
      <c r="BN302" s="652">
        <v>0</v>
      </c>
      <c r="BO302" s="652">
        <v>0</v>
      </c>
      <c r="BP302" s="652">
        <v>0</v>
      </c>
      <c r="BQ302" s="652">
        <v>0</v>
      </c>
      <c r="BR302" s="652">
        <v>0</v>
      </c>
      <c r="BS302" s="652">
        <v>0</v>
      </c>
      <c r="BT302" s="652">
        <v>799.29000000000008</v>
      </c>
    </row>
    <row r="303" spans="1:72" ht="15" hidden="1" customHeight="1">
      <c r="A303" s="66" t="s">
        <v>2850</v>
      </c>
      <c r="B303" s="66"/>
      <c r="C303" s="66" t="s">
        <v>1042</v>
      </c>
      <c r="D303" s="66" t="s">
        <v>1042</v>
      </c>
      <c r="E303" s="150" t="s">
        <v>1136</v>
      </c>
      <c r="F303" s="482" t="s">
        <v>1566</v>
      </c>
      <c r="G303" s="150" t="s">
        <v>1515</v>
      </c>
      <c r="H303" s="383" t="s">
        <v>1515</v>
      </c>
      <c r="I303" s="150" t="s">
        <v>1345</v>
      </c>
      <c r="J303" s="150" t="s">
        <v>1515</v>
      </c>
      <c r="K303" s="150" t="s">
        <v>1346</v>
      </c>
      <c r="L303" s="511" t="s">
        <v>1037</v>
      </c>
      <c r="M303" s="392" t="s">
        <v>2846</v>
      </c>
      <c r="N303" s="343"/>
      <c r="O303" s="343"/>
      <c r="P303" s="70" t="s">
        <v>1039</v>
      </c>
      <c r="Q303" s="346"/>
      <c r="R303" s="346" t="s">
        <v>1140</v>
      </c>
      <c r="S303" s="346"/>
      <c r="T303" s="150" t="s">
        <v>1040</v>
      </c>
      <c r="U303" s="150"/>
      <c r="V303" s="643"/>
      <c r="W303" s="659">
        <v>0</v>
      </c>
      <c r="X303" s="659">
        <v>1947.4499999999998</v>
      </c>
      <c r="Y303" s="656"/>
      <c r="Z303" s="657"/>
      <c r="AA303" s="714">
        <v>1400.32</v>
      </c>
      <c r="AB303" s="428">
        <v>547.13</v>
      </c>
      <c r="AC303" s="428">
        <v>0</v>
      </c>
      <c r="AD303" s="428">
        <v>0</v>
      </c>
      <c r="AE303" s="429">
        <v>0</v>
      </c>
      <c r="AF303" s="429">
        <v>0</v>
      </c>
      <c r="AG303" s="649">
        <v>0</v>
      </c>
      <c r="AH303" s="649">
        <v>0</v>
      </c>
      <c r="AI303" s="649">
        <v>0</v>
      </c>
      <c r="AJ303" s="649">
        <v>0</v>
      </c>
      <c r="AK303" s="649">
        <v>0</v>
      </c>
      <c r="AL303" s="649">
        <v>0</v>
      </c>
      <c r="AM303" s="649">
        <f t="shared" si="23"/>
        <v>1947.4499999999998</v>
      </c>
      <c r="AN303" s="651">
        <f>ERP_27[[#This Row],[2026 Working Total]]-ERP_27[[#This Row],[LE2 Final Submission]]</f>
        <v>0</v>
      </c>
      <c r="AO303" s="652">
        <v>0</v>
      </c>
      <c r="AP303" s="652">
        <f t="shared" si="22"/>
        <v>0</v>
      </c>
      <c r="AQ303" s="374">
        <f>SUM(ERP_27[[#This Row],[AP01]:[AP06]])-SUM(ERP_27[[#This Row],[AP01 LE2]:[AP06 LE2]])</f>
        <v>0</v>
      </c>
      <c r="AR303" s="653"/>
      <c r="AS303" s="652">
        <f>ERP_27[[#This Row],[2026 Working Total to Budget/LE]]-ERP_27[[#This Row],[Giveback]]</f>
        <v>0</v>
      </c>
      <c r="AT303" s="654"/>
      <c r="AU303" s="655">
        <v>1400.32</v>
      </c>
      <c r="AV303" s="655">
        <v>547.13</v>
      </c>
      <c r="AW303" s="655">
        <v>0</v>
      </c>
      <c r="AX303" s="655">
        <v>0</v>
      </c>
      <c r="AY303" s="655">
        <v>0</v>
      </c>
      <c r="AZ303" s="655">
        <v>0</v>
      </c>
      <c r="BA303" s="655">
        <v>0</v>
      </c>
      <c r="BB303" s="655">
        <v>0</v>
      </c>
      <c r="BC303" s="655">
        <v>0</v>
      </c>
      <c r="BD303" s="655">
        <v>0</v>
      </c>
      <c r="BE303" s="655">
        <v>0</v>
      </c>
      <c r="BF303" s="655">
        <v>0</v>
      </c>
      <c r="BG303" s="655">
        <v>1947.4499999999998</v>
      </c>
      <c r="BH303" s="652">
        <v>1400.32</v>
      </c>
      <c r="BI303" s="652">
        <v>547.13</v>
      </c>
      <c r="BJ303" s="652">
        <v>0</v>
      </c>
      <c r="BK303" s="652">
        <v>0</v>
      </c>
      <c r="BL303" s="652">
        <v>0</v>
      </c>
      <c r="BM303" s="652">
        <v>0</v>
      </c>
      <c r="BN303" s="652">
        <v>0</v>
      </c>
      <c r="BO303" s="652">
        <v>0</v>
      </c>
      <c r="BP303" s="652">
        <v>0</v>
      </c>
      <c r="BQ303" s="652">
        <v>0</v>
      </c>
      <c r="BR303" s="652">
        <v>0</v>
      </c>
      <c r="BS303" s="652">
        <v>0</v>
      </c>
      <c r="BT303" s="652">
        <v>1947.4499999999998</v>
      </c>
    </row>
    <row r="304" spans="1:72" ht="15" hidden="1" customHeight="1">
      <c r="A304" s="66" t="s">
        <v>2122</v>
      </c>
      <c r="B304" s="66"/>
      <c r="C304" s="66" t="s">
        <v>582</v>
      </c>
      <c r="D304" s="66" t="s">
        <v>2123</v>
      </c>
      <c r="E304" s="150" t="s">
        <v>1136</v>
      </c>
      <c r="F304" s="482" t="s">
        <v>1566</v>
      </c>
      <c r="G304" s="482" t="s">
        <v>1566</v>
      </c>
      <c r="H304" s="482" t="s">
        <v>1566</v>
      </c>
      <c r="I304" s="150" t="s">
        <v>1345</v>
      </c>
      <c r="J304" s="150" t="s">
        <v>1346</v>
      </c>
      <c r="K304" s="150" t="s">
        <v>1346</v>
      </c>
      <c r="L304" s="511" t="s">
        <v>389</v>
      </c>
      <c r="M304" s="392" t="s">
        <v>2124</v>
      </c>
      <c r="N304" s="343"/>
      <c r="O304" s="343"/>
      <c r="P304" s="70" t="s">
        <v>583</v>
      </c>
      <c r="Q304" s="346"/>
      <c r="R304" s="343"/>
      <c r="S304" s="346"/>
      <c r="T304" s="150" t="s">
        <v>25</v>
      </c>
      <c r="U304" s="150"/>
      <c r="V304" s="643"/>
      <c r="W304" s="659">
        <v>4032</v>
      </c>
      <c r="X304" s="659">
        <v>3024</v>
      </c>
      <c r="Y304" s="656"/>
      <c r="Z304" s="657"/>
      <c r="AA304" s="714"/>
      <c r="AB304" s="428"/>
      <c r="AC304" s="428"/>
      <c r="AD304" s="428" t="s">
        <v>1142</v>
      </c>
      <c r="AE304" s="429">
        <v>0</v>
      </c>
      <c r="AF304" s="429">
        <v>0</v>
      </c>
      <c r="AG304" s="649">
        <v>336</v>
      </c>
      <c r="AH304" s="649">
        <v>336</v>
      </c>
      <c r="AI304" s="649">
        <v>336</v>
      </c>
      <c r="AJ304" s="649">
        <v>336</v>
      </c>
      <c r="AK304" s="649">
        <v>336</v>
      </c>
      <c r="AL304" s="649">
        <v>336</v>
      </c>
      <c r="AM304" s="649">
        <f t="shared" si="23"/>
        <v>2016</v>
      </c>
      <c r="AN304" s="651">
        <f>ERP_27[[#This Row],[2026 Working Total]]-ERP_27[[#This Row],[LE2 Final Submission]]</f>
        <v>-1008</v>
      </c>
      <c r="AO304" s="652">
        <v>336</v>
      </c>
      <c r="AP304" s="652">
        <f t="shared" si="22"/>
        <v>-336</v>
      </c>
      <c r="AQ304" s="374">
        <f>SUM(ERP_27[[#This Row],[AP01]:[AP06]])-SUM(ERP_27[[#This Row],[AP01 LE2]:[AP06 LE2]])</f>
        <v>-1008</v>
      </c>
      <c r="AR304" s="653"/>
      <c r="AS304" s="652">
        <f>ERP_27[[#This Row],[2026 Working Total to Budget/LE]]-ERP_27[[#This Row],[Giveback]]</f>
        <v>-1008</v>
      </c>
      <c r="AT304" s="654"/>
      <c r="AU304" s="655"/>
      <c r="AV304" s="655"/>
      <c r="AW304" s="655"/>
      <c r="AX304" s="655">
        <v>336</v>
      </c>
      <c r="AY304" s="655">
        <v>336</v>
      </c>
      <c r="AZ304" s="655">
        <v>336</v>
      </c>
      <c r="BA304" s="655">
        <v>336</v>
      </c>
      <c r="BB304" s="655">
        <v>336</v>
      </c>
      <c r="BC304" s="655">
        <v>336</v>
      </c>
      <c r="BD304" s="655">
        <v>336</v>
      </c>
      <c r="BE304" s="655">
        <v>336</v>
      </c>
      <c r="BF304" s="655">
        <v>336</v>
      </c>
      <c r="BG304" s="655">
        <v>3024</v>
      </c>
      <c r="BH304" s="652"/>
      <c r="BI304" s="652"/>
      <c r="BJ304" s="652"/>
      <c r="BK304" s="652">
        <v>336</v>
      </c>
      <c r="BL304" s="652">
        <v>336</v>
      </c>
      <c r="BM304" s="652">
        <v>336</v>
      </c>
      <c r="BN304" s="652">
        <v>336</v>
      </c>
      <c r="BO304" s="652">
        <v>336</v>
      </c>
      <c r="BP304" s="652">
        <v>336</v>
      </c>
      <c r="BQ304" s="652">
        <v>336</v>
      </c>
      <c r="BR304" s="652">
        <v>336</v>
      </c>
      <c r="BS304" s="652">
        <v>336</v>
      </c>
      <c r="BT304" s="652">
        <v>3024</v>
      </c>
    </row>
    <row r="305" spans="1:72" ht="15" hidden="1" customHeight="1">
      <c r="A305" s="66" t="s">
        <v>2267</v>
      </c>
      <c r="B305" s="66"/>
      <c r="C305" s="66" t="s">
        <v>671</v>
      </c>
      <c r="D305" s="66" t="s">
        <v>2268</v>
      </c>
      <c r="E305" s="150" t="s">
        <v>1136</v>
      </c>
      <c r="F305" s="482" t="s">
        <v>1566</v>
      </c>
      <c r="G305" s="150" t="s">
        <v>1135</v>
      </c>
      <c r="H305" s="150" t="s">
        <v>1165</v>
      </c>
      <c r="I305" s="150" t="s">
        <v>1135</v>
      </c>
      <c r="J305" s="150" t="s">
        <v>1165</v>
      </c>
      <c r="K305" s="150" t="s">
        <v>1137</v>
      </c>
      <c r="L305" s="511" t="s">
        <v>639</v>
      </c>
      <c r="M305" s="392" t="s">
        <v>1863</v>
      </c>
      <c r="N305" s="343"/>
      <c r="O305" s="343"/>
      <c r="P305" s="70" t="s">
        <v>451</v>
      </c>
      <c r="Q305" s="346"/>
      <c r="R305" s="346" t="s">
        <v>1140</v>
      </c>
      <c r="S305" s="346"/>
      <c r="T305" s="150" t="s">
        <v>57</v>
      </c>
      <c r="U305" s="150"/>
      <c r="V305" s="643"/>
      <c r="W305" s="659">
        <v>1854.9999960000002</v>
      </c>
      <c r="X305" s="659">
        <v>2120.4399970000004</v>
      </c>
      <c r="Y305" s="656"/>
      <c r="Z305" s="657"/>
      <c r="AA305" s="714">
        <v>139.72999999999999</v>
      </c>
      <c r="AB305" s="428">
        <v>139.72999999999999</v>
      </c>
      <c r="AC305" s="428">
        <v>449.73</v>
      </c>
      <c r="AD305" s="428">
        <v>139.72999999999999</v>
      </c>
      <c r="AE305" s="429">
        <v>139.72999999999999</v>
      </c>
      <c r="AF305" s="429">
        <v>139.72999999999999</v>
      </c>
      <c r="AG305" s="649">
        <v>154.58333300000001</v>
      </c>
      <c r="AH305" s="649">
        <v>154.58333300000001</v>
      </c>
      <c r="AI305" s="649">
        <v>154.58333300000001</v>
      </c>
      <c r="AJ305" s="649">
        <v>154.58333300000001</v>
      </c>
      <c r="AK305" s="649">
        <v>154.58333300000001</v>
      </c>
      <c r="AL305" s="649">
        <v>154.58333300000001</v>
      </c>
      <c r="AM305" s="649">
        <f t="shared" si="23"/>
        <v>2075.8799980000003</v>
      </c>
      <c r="AN305" s="651">
        <f>ERP_27[[#This Row],[2026 Working Total]]-ERP_27[[#This Row],[LE2 Final Submission]]</f>
        <v>-44.559999000000062</v>
      </c>
      <c r="AO305" s="652">
        <v>154.58333300000001</v>
      </c>
      <c r="AP305" s="652">
        <f t="shared" si="22"/>
        <v>-14.853333000000021</v>
      </c>
      <c r="AQ305" s="374">
        <f>SUM(ERP_27[[#This Row],[AP01]:[AP06]])-SUM(ERP_27[[#This Row],[AP01 LE2]:[AP06 LE2]])</f>
        <v>-44.559999000000062</v>
      </c>
      <c r="AR305" s="653"/>
      <c r="AS305" s="652">
        <f>ERP_27[[#This Row],[2026 Working Total to Budget/LE]]-ERP_27[[#This Row],[Giveback]]</f>
        <v>-44.559999000000062</v>
      </c>
      <c r="AT305" s="654"/>
      <c r="AU305" s="655">
        <v>139.72999999999999</v>
      </c>
      <c r="AV305" s="655">
        <v>139.72999999999999</v>
      </c>
      <c r="AW305" s="655">
        <v>449.73</v>
      </c>
      <c r="AX305" s="655">
        <v>154.58333300000001</v>
      </c>
      <c r="AY305" s="655">
        <v>154.58333300000001</v>
      </c>
      <c r="AZ305" s="655">
        <v>154.58333300000001</v>
      </c>
      <c r="BA305" s="655">
        <v>154.58333300000001</v>
      </c>
      <c r="BB305" s="655">
        <v>154.58333300000001</v>
      </c>
      <c r="BC305" s="655">
        <v>154.58333300000001</v>
      </c>
      <c r="BD305" s="655">
        <v>154.58333300000001</v>
      </c>
      <c r="BE305" s="655">
        <v>154.58333300000001</v>
      </c>
      <c r="BF305" s="655">
        <v>154.58333300000001</v>
      </c>
      <c r="BG305" s="655">
        <v>2120.4399970000004</v>
      </c>
      <c r="BH305" s="652">
        <v>139.72999999999999</v>
      </c>
      <c r="BI305" s="652">
        <v>139.72999999999999</v>
      </c>
      <c r="BJ305" s="652">
        <v>449.73</v>
      </c>
      <c r="BK305" s="652">
        <v>154.58333300000001</v>
      </c>
      <c r="BL305" s="652">
        <v>154.58333300000001</v>
      </c>
      <c r="BM305" s="652">
        <v>154.58333300000001</v>
      </c>
      <c r="BN305" s="652">
        <v>154.58333300000001</v>
      </c>
      <c r="BO305" s="652">
        <v>154.58333300000001</v>
      </c>
      <c r="BP305" s="652">
        <v>154.58333300000001</v>
      </c>
      <c r="BQ305" s="652">
        <v>154.58333300000001</v>
      </c>
      <c r="BR305" s="652">
        <v>154.58333300000001</v>
      </c>
      <c r="BS305" s="652">
        <v>154.58333300000001</v>
      </c>
      <c r="BT305" s="652">
        <v>2120.4399970000004</v>
      </c>
    </row>
    <row r="306" spans="1:72" ht="15" hidden="1" customHeight="1">
      <c r="A306" s="66" t="s">
        <v>1701</v>
      </c>
      <c r="B306" s="66"/>
      <c r="C306" s="66" t="s">
        <v>363</v>
      </c>
      <c r="D306" s="66" t="s">
        <v>363</v>
      </c>
      <c r="E306" s="150" t="s">
        <v>1136</v>
      </c>
      <c r="F306" s="482" t="s">
        <v>1566</v>
      </c>
      <c r="G306" s="150" t="s">
        <v>1135</v>
      </c>
      <c r="H306" s="150" t="s">
        <v>1135</v>
      </c>
      <c r="I306" s="150" t="s">
        <v>1135</v>
      </c>
      <c r="J306" s="150" t="s">
        <v>1135</v>
      </c>
      <c r="K306" s="150" t="s">
        <v>1137</v>
      </c>
      <c r="L306" s="511" t="s">
        <v>342</v>
      </c>
      <c r="M306" s="392" t="s">
        <v>1174</v>
      </c>
      <c r="N306" s="343"/>
      <c r="O306" s="343"/>
      <c r="P306" s="70" t="s">
        <v>56</v>
      </c>
      <c r="Q306" s="346" t="s">
        <v>1139</v>
      </c>
      <c r="R306" s="346" t="s">
        <v>1140</v>
      </c>
      <c r="S306" s="346"/>
      <c r="T306" s="150" t="s">
        <v>57</v>
      </c>
      <c r="U306" s="150"/>
      <c r="V306" s="643"/>
      <c r="W306" s="659">
        <v>0</v>
      </c>
      <c r="X306" s="659">
        <v>2120</v>
      </c>
      <c r="Y306" s="656"/>
      <c r="Z306" s="657"/>
      <c r="AA306" s="714">
        <v>2120</v>
      </c>
      <c r="AB306" s="428">
        <v>0</v>
      </c>
      <c r="AC306" s="428">
        <v>0</v>
      </c>
      <c r="AD306" s="428" t="s">
        <v>1142</v>
      </c>
      <c r="AE306" s="429">
        <v>0</v>
      </c>
      <c r="AF306" s="429">
        <v>0</v>
      </c>
      <c r="AG306" s="649">
        <v>0</v>
      </c>
      <c r="AH306" s="649">
        <v>0</v>
      </c>
      <c r="AI306" s="649">
        <v>0</v>
      </c>
      <c r="AJ306" s="649">
        <v>0</v>
      </c>
      <c r="AK306" s="649">
        <v>0</v>
      </c>
      <c r="AL306" s="649">
        <v>0</v>
      </c>
      <c r="AM306" s="649">
        <f t="shared" si="23"/>
        <v>2120</v>
      </c>
      <c r="AN306" s="651">
        <f>ERP_27[[#This Row],[2026 Working Total]]-ERP_27[[#This Row],[LE2 Final Submission]]</f>
        <v>0</v>
      </c>
      <c r="AO306" s="652">
        <v>0</v>
      </c>
      <c r="AP306" s="652">
        <f t="shared" si="22"/>
        <v>0</v>
      </c>
      <c r="AQ306" s="374">
        <f>SUM(ERP_27[[#This Row],[AP01]:[AP06]])-SUM(ERP_27[[#This Row],[AP01 LE2]:[AP06 LE2]])</f>
        <v>0</v>
      </c>
      <c r="AR306" s="653"/>
      <c r="AS306" s="652">
        <f>ERP_27[[#This Row],[2026 Working Total to Budget/LE]]-ERP_27[[#This Row],[Giveback]]</f>
        <v>0</v>
      </c>
      <c r="AT306" s="654"/>
      <c r="AU306" s="655">
        <v>2120</v>
      </c>
      <c r="AV306" s="655">
        <v>0</v>
      </c>
      <c r="AW306" s="655">
        <v>0</v>
      </c>
      <c r="AX306" s="655">
        <v>0</v>
      </c>
      <c r="AY306" s="655">
        <v>0</v>
      </c>
      <c r="AZ306" s="655">
        <v>0</v>
      </c>
      <c r="BA306" s="655">
        <v>0</v>
      </c>
      <c r="BB306" s="655">
        <v>0</v>
      </c>
      <c r="BC306" s="655">
        <v>0</v>
      </c>
      <c r="BD306" s="655">
        <v>0</v>
      </c>
      <c r="BE306" s="655">
        <v>0</v>
      </c>
      <c r="BF306" s="655">
        <v>0</v>
      </c>
      <c r="BG306" s="655">
        <v>2120</v>
      </c>
      <c r="BH306" s="652">
        <v>2120</v>
      </c>
      <c r="BI306" s="652">
        <v>0</v>
      </c>
      <c r="BJ306" s="652">
        <v>0</v>
      </c>
      <c r="BK306" s="652">
        <v>0</v>
      </c>
      <c r="BL306" s="652">
        <v>0</v>
      </c>
      <c r="BM306" s="652">
        <v>0</v>
      </c>
      <c r="BN306" s="652">
        <v>0</v>
      </c>
      <c r="BO306" s="652">
        <v>0</v>
      </c>
      <c r="BP306" s="652">
        <v>0</v>
      </c>
      <c r="BQ306" s="652">
        <v>0</v>
      </c>
      <c r="BR306" s="652">
        <v>0</v>
      </c>
      <c r="BS306" s="652">
        <v>0</v>
      </c>
      <c r="BT306" s="652">
        <v>2120</v>
      </c>
    </row>
    <row r="307" spans="1:72" ht="15" hidden="1" customHeight="1">
      <c r="A307" s="66" t="s">
        <v>2105</v>
      </c>
      <c r="B307" s="66"/>
      <c r="C307" s="66" t="s">
        <v>575</v>
      </c>
      <c r="D307" s="66" t="s">
        <v>2106</v>
      </c>
      <c r="E307" s="150" t="s">
        <v>1136</v>
      </c>
      <c r="F307" s="482" t="s">
        <v>1566</v>
      </c>
      <c r="G307" s="150" t="s">
        <v>1566</v>
      </c>
      <c r="H307" s="150" t="s">
        <v>1566</v>
      </c>
      <c r="I307" s="150" t="s">
        <v>1567</v>
      </c>
      <c r="J307" s="150" t="s">
        <v>1567</v>
      </c>
      <c r="K307" s="150" t="s">
        <v>1567</v>
      </c>
      <c r="L307" s="511" t="s">
        <v>389</v>
      </c>
      <c r="M307" s="392" t="s">
        <v>2107</v>
      </c>
      <c r="N307" s="343"/>
      <c r="O307" s="343"/>
      <c r="P307" s="70" t="s">
        <v>576</v>
      </c>
      <c r="Q307" s="346"/>
      <c r="R307" s="343"/>
      <c r="S307" s="346"/>
      <c r="T307" s="505" t="s">
        <v>272</v>
      </c>
      <c r="U307" s="150"/>
      <c r="V307" s="643"/>
      <c r="W307" s="659">
        <v>-30</v>
      </c>
      <c r="X307" s="659">
        <v>-30</v>
      </c>
      <c r="Y307" s="656"/>
      <c r="Z307" s="657"/>
      <c r="AA307" s="714"/>
      <c r="AB307" s="428"/>
      <c r="AC307" s="428">
        <v>-30</v>
      </c>
      <c r="AD307" s="428">
        <v>0</v>
      </c>
      <c r="AE307" s="429">
        <v>0</v>
      </c>
      <c r="AF307" s="429">
        <v>650</v>
      </c>
      <c r="AG307" s="649">
        <v>0</v>
      </c>
      <c r="AH307" s="649">
        <v>0</v>
      </c>
      <c r="AI307" s="649">
        <v>1550</v>
      </c>
      <c r="AJ307" s="649">
        <v>0</v>
      </c>
      <c r="AK307" s="649">
        <v>0</v>
      </c>
      <c r="AL307" s="649">
        <v>0</v>
      </c>
      <c r="AM307" s="649">
        <f t="shared" si="23"/>
        <v>2170</v>
      </c>
      <c r="AN307" s="651">
        <f>ERP_27[[#This Row],[2026 Working Total]]-ERP_27[[#This Row],[LE2 Final Submission]]</f>
        <v>2200</v>
      </c>
      <c r="AO307" s="652">
        <v>0</v>
      </c>
      <c r="AP307" s="652">
        <f t="shared" si="22"/>
        <v>650</v>
      </c>
      <c r="AQ307" s="374">
        <f>SUM(ERP_27[[#This Row],[AP01]:[AP06]])-SUM(ERP_27[[#This Row],[AP01 LE2]:[AP06 LE2]])</f>
        <v>650</v>
      </c>
      <c r="AR307" s="653"/>
      <c r="AS307" s="652">
        <f>ERP_27[[#This Row],[2026 Working Total to Budget/LE]]-ERP_27[[#This Row],[Giveback]]</f>
        <v>2200</v>
      </c>
      <c r="AT307" s="654"/>
      <c r="AU307" s="655"/>
      <c r="AV307" s="655"/>
      <c r="AW307" s="655">
        <v>-30</v>
      </c>
      <c r="AX307" s="655">
        <v>0</v>
      </c>
      <c r="AY307" s="655">
        <v>0</v>
      </c>
      <c r="AZ307" s="655">
        <v>0</v>
      </c>
      <c r="BA307" s="655">
        <v>0</v>
      </c>
      <c r="BB307" s="655">
        <v>0</v>
      </c>
      <c r="BC307" s="655">
        <v>0</v>
      </c>
      <c r="BD307" s="655">
        <v>0</v>
      </c>
      <c r="BE307" s="655">
        <v>0</v>
      </c>
      <c r="BF307" s="655">
        <v>0</v>
      </c>
      <c r="BG307" s="655">
        <v>-30</v>
      </c>
      <c r="BH307" s="652"/>
      <c r="BI307" s="652"/>
      <c r="BJ307" s="652">
        <v>-30</v>
      </c>
      <c r="BK307" s="652">
        <v>0</v>
      </c>
      <c r="BL307" s="652">
        <v>0</v>
      </c>
      <c r="BM307" s="652">
        <v>5000</v>
      </c>
      <c r="BN307" s="652">
        <v>0</v>
      </c>
      <c r="BO307" s="652">
        <v>0</v>
      </c>
      <c r="BP307" s="652">
        <v>5000</v>
      </c>
      <c r="BQ307" s="652">
        <v>0</v>
      </c>
      <c r="BR307" s="652">
        <v>0</v>
      </c>
      <c r="BS307" s="652">
        <v>-15000</v>
      </c>
      <c r="BT307" s="652">
        <v>-5030</v>
      </c>
    </row>
    <row r="308" spans="1:72" ht="15" hidden="1" customHeight="1">
      <c r="A308" s="66" t="s">
        <v>2605</v>
      </c>
      <c r="B308" s="66"/>
      <c r="C308" s="66" t="s">
        <v>901</v>
      </c>
      <c r="D308" s="66" t="s">
        <v>901</v>
      </c>
      <c r="E308" s="150" t="s">
        <v>1136</v>
      </c>
      <c r="F308" s="482" t="s">
        <v>1566</v>
      </c>
      <c r="G308" s="383" t="s">
        <v>1344</v>
      </c>
      <c r="H308" s="383" t="s">
        <v>1344</v>
      </c>
      <c r="I308" s="150" t="s">
        <v>1345</v>
      </c>
      <c r="J308" s="150" t="s">
        <v>1344</v>
      </c>
      <c r="K308" s="150" t="s">
        <v>1346</v>
      </c>
      <c r="L308" s="511" t="s">
        <v>639</v>
      </c>
      <c r="M308" s="392" t="s">
        <v>1138</v>
      </c>
      <c r="N308" s="343"/>
      <c r="O308" s="343"/>
      <c r="P308" s="70" t="s">
        <v>51</v>
      </c>
      <c r="Q308" s="346" t="s">
        <v>1139</v>
      </c>
      <c r="R308" s="346" t="s">
        <v>1140</v>
      </c>
      <c r="S308" s="346"/>
      <c r="T308" s="150" t="s">
        <v>25</v>
      </c>
      <c r="U308" s="150"/>
      <c r="V308" s="643"/>
      <c r="W308" s="659">
        <v>0</v>
      </c>
      <c r="X308" s="659">
        <v>2288.52</v>
      </c>
      <c r="Y308" s="656"/>
      <c r="Z308" s="669"/>
      <c r="AA308" s="714"/>
      <c r="AB308" s="428">
        <v>2188.1999999999998</v>
      </c>
      <c r="AC308" s="428">
        <v>100.32</v>
      </c>
      <c r="AD308" s="428">
        <v>0</v>
      </c>
      <c r="AE308" s="429">
        <v>0</v>
      </c>
      <c r="AF308" s="429">
        <v>0</v>
      </c>
      <c r="AG308" s="649">
        <v>0</v>
      </c>
      <c r="AH308" s="649">
        <v>0</v>
      </c>
      <c r="AI308" s="649">
        <v>0</v>
      </c>
      <c r="AJ308" s="649">
        <v>0</v>
      </c>
      <c r="AK308" s="649">
        <v>0</v>
      </c>
      <c r="AL308" s="649">
        <v>0</v>
      </c>
      <c r="AM308" s="649">
        <f t="shared" si="23"/>
        <v>2288.52</v>
      </c>
      <c r="AN308" s="651">
        <f>ERP_27[[#This Row],[2026 Working Total]]-ERP_27[[#This Row],[LE2 Final Submission]]</f>
        <v>0</v>
      </c>
      <c r="AO308" s="652">
        <v>0</v>
      </c>
      <c r="AP308" s="652">
        <f t="shared" si="22"/>
        <v>0</v>
      </c>
      <c r="AQ308" s="374">
        <f>SUM(ERP_27[[#This Row],[AP01]:[AP06]])-SUM(ERP_27[[#This Row],[AP01 LE2]:[AP06 LE2]])</f>
        <v>0</v>
      </c>
      <c r="AR308" s="653"/>
      <c r="AS308" s="652">
        <f>ERP_27[[#This Row],[2026 Working Total to Budget/LE]]-ERP_27[[#This Row],[Giveback]]</f>
        <v>0</v>
      </c>
      <c r="AT308" s="654"/>
      <c r="AU308" s="655"/>
      <c r="AV308" s="655">
        <v>2188.1999999999998</v>
      </c>
      <c r="AW308" s="655">
        <v>100.32</v>
      </c>
      <c r="AX308" s="655">
        <v>0</v>
      </c>
      <c r="AY308" s="655">
        <v>0</v>
      </c>
      <c r="AZ308" s="655">
        <v>0</v>
      </c>
      <c r="BA308" s="655">
        <v>0</v>
      </c>
      <c r="BB308" s="655">
        <v>0</v>
      </c>
      <c r="BC308" s="655">
        <v>0</v>
      </c>
      <c r="BD308" s="655">
        <v>0</v>
      </c>
      <c r="BE308" s="655">
        <v>0</v>
      </c>
      <c r="BF308" s="655">
        <v>0</v>
      </c>
      <c r="BG308" s="655">
        <v>2288.52</v>
      </c>
      <c r="BH308" s="652"/>
      <c r="BI308" s="652">
        <v>2188.1999999999998</v>
      </c>
      <c r="BJ308" s="652">
        <v>100.32</v>
      </c>
      <c r="BK308" s="652">
        <v>0</v>
      </c>
      <c r="BL308" s="652">
        <v>0</v>
      </c>
      <c r="BM308" s="652">
        <v>0</v>
      </c>
      <c r="BN308" s="652">
        <v>0</v>
      </c>
      <c r="BO308" s="652">
        <v>0</v>
      </c>
      <c r="BP308" s="652">
        <v>0</v>
      </c>
      <c r="BQ308" s="652">
        <v>0</v>
      </c>
      <c r="BR308" s="652">
        <v>0</v>
      </c>
      <c r="BS308" s="652">
        <v>0</v>
      </c>
      <c r="BT308" s="652">
        <v>2288.52</v>
      </c>
    </row>
    <row r="309" spans="1:72" ht="15" hidden="1" customHeight="1">
      <c r="A309" s="66" t="s">
        <v>2069</v>
      </c>
      <c r="B309" s="66"/>
      <c r="C309" s="66" t="s">
        <v>557</v>
      </c>
      <c r="D309" s="66" t="s">
        <v>557</v>
      </c>
      <c r="E309" s="150" t="s">
        <v>1136</v>
      </c>
      <c r="F309" s="482" t="s">
        <v>1566</v>
      </c>
      <c r="G309" s="150" t="s">
        <v>1515</v>
      </c>
      <c r="H309" s="383" t="s">
        <v>1515</v>
      </c>
      <c r="I309" s="150" t="s">
        <v>1345</v>
      </c>
      <c r="J309" s="150" t="s">
        <v>1515</v>
      </c>
      <c r="K309" s="150" t="s">
        <v>1346</v>
      </c>
      <c r="L309" s="511" t="s">
        <v>389</v>
      </c>
      <c r="M309" s="392" t="s">
        <v>1971</v>
      </c>
      <c r="N309" s="343"/>
      <c r="O309" s="343"/>
      <c r="P309" s="70" t="s">
        <v>499</v>
      </c>
      <c r="Q309" s="346"/>
      <c r="R309" s="343"/>
      <c r="S309" s="346"/>
      <c r="T309" s="150" t="s">
        <v>57</v>
      </c>
      <c r="U309" s="150"/>
      <c r="V309" s="643"/>
      <c r="W309" s="659">
        <v>3260</v>
      </c>
      <c r="X309" s="659">
        <v>2780</v>
      </c>
      <c r="Y309" s="656"/>
      <c r="Z309" s="669"/>
      <c r="AA309" s="714"/>
      <c r="AB309" s="428"/>
      <c r="AC309" s="428"/>
      <c r="AD309" s="428" t="s">
        <v>1142</v>
      </c>
      <c r="AE309" s="429">
        <v>0</v>
      </c>
      <c r="AF309" s="429">
        <v>0</v>
      </c>
      <c r="AG309" s="649">
        <v>160</v>
      </c>
      <c r="AH309" s="649">
        <v>160</v>
      </c>
      <c r="AI309" s="649">
        <v>160</v>
      </c>
      <c r="AJ309" s="649">
        <v>160</v>
      </c>
      <c r="AK309" s="649">
        <v>160</v>
      </c>
      <c r="AL309" s="649">
        <v>1500</v>
      </c>
      <c r="AM309" s="649">
        <f t="shared" si="23"/>
        <v>2300</v>
      </c>
      <c r="AN309" s="651">
        <f>ERP_27[[#This Row],[2026 Working Total]]-ERP_27[[#This Row],[LE2 Final Submission]]</f>
        <v>-480</v>
      </c>
      <c r="AO309" s="652">
        <v>160</v>
      </c>
      <c r="AP309" s="652">
        <f t="shared" si="22"/>
        <v>-160</v>
      </c>
      <c r="AQ309" s="374">
        <f>SUM(ERP_27[[#This Row],[AP01]:[AP06]])-SUM(ERP_27[[#This Row],[AP01 LE2]:[AP06 LE2]])</f>
        <v>-480</v>
      </c>
      <c r="AR309" s="653"/>
      <c r="AS309" s="652">
        <f>ERP_27[[#This Row],[2026 Working Total to Budget/LE]]-ERP_27[[#This Row],[Giveback]]</f>
        <v>-480</v>
      </c>
      <c r="AT309" s="654"/>
      <c r="AU309" s="655"/>
      <c r="AV309" s="655"/>
      <c r="AW309" s="655"/>
      <c r="AX309" s="655">
        <v>160</v>
      </c>
      <c r="AY309" s="655">
        <v>160</v>
      </c>
      <c r="AZ309" s="655">
        <v>160</v>
      </c>
      <c r="BA309" s="655">
        <v>160</v>
      </c>
      <c r="BB309" s="655">
        <v>160</v>
      </c>
      <c r="BC309" s="655">
        <v>160</v>
      </c>
      <c r="BD309" s="655">
        <v>160</v>
      </c>
      <c r="BE309" s="655">
        <v>160</v>
      </c>
      <c r="BF309" s="655">
        <v>1500</v>
      </c>
      <c r="BG309" s="655">
        <v>2780</v>
      </c>
      <c r="BH309" s="652"/>
      <c r="BI309" s="652"/>
      <c r="BJ309" s="652"/>
      <c r="BK309" s="652">
        <v>160</v>
      </c>
      <c r="BL309" s="652">
        <v>160</v>
      </c>
      <c r="BM309" s="652">
        <v>160</v>
      </c>
      <c r="BN309" s="652">
        <v>160</v>
      </c>
      <c r="BO309" s="652">
        <v>160</v>
      </c>
      <c r="BP309" s="652">
        <v>160</v>
      </c>
      <c r="BQ309" s="652">
        <v>160</v>
      </c>
      <c r="BR309" s="652">
        <v>160</v>
      </c>
      <c r="BS309" s="652">
        <v>1500</v>
      </c>
      <c r="BT309" s="652">
        <v>2780</v>
      </c>
    </row>
    <row r="310" spans="1:72" ht="15" hidden="1" customHeight="1">
      <c r="A310" s="66" t="s">
        <v>2220</v>
      </c>
      <c r="B310" s="66"/>
      <c r="C310" s="66" t="s">
        <v>649</v>
      </c>
      <c r="D310" s="66" t="s">
        <v>649</v>
      </c>
      <c r="E310" s="150" t="s">
        <v>1136</v>
      </c>
      <c r="F310" s="482" t="s">
        <v>1566</v>
      </c>
      <c r="G310" s="150" t="s">
        <v>1135</v>
      </c>
      <c r="H310" s="150" t="s">
        <v>1135</v>
      </c>
      <c r="I310" s="150" t="s">
        <v>1135</v>
      </c>
      <c r="J310" s="150" t="s">
        <v>1135</v>
      </c>
      <c r="K310" s="150" t="s">
        <v>1137</v>
      </c>
      <c r="L310" s="511" t="s">
        <v>639</v>
      </c>
      <c r="M310" s="392" t="s">
        <v>2221</v>
      </c>
      <c r="N310" s="343"/>
      <c r="O310" s="343"/>
      <c r="P310" s="70" t="s">
        <v>650</v>
      </c>
      <c r="Q310" s="346"/>
      <c r="R310" s="343"/>
      <c r="S310" s="346"/>
      <c r="T310" s="150" t="s">
        <v>152</v>
      </c>
      <c r="U310" s="150"/>
      <c r="V310" s="643"/>
      <c r="W310" s="659">
        <v>0</v>
      </c>
      <c r="X310" s="659">
        <v>2475</v>
      </c>
      <c r="Y310" s="656"/>
      <c r="Z310" s="669"/>
      <c r="AA310" s="714"/>
      <c r="AB310" s="428"/>
      <c r="AC310" s="428"/>
      <c r="AD310" s="428" t="s">
        <v>1142</v>
      </c>
      <c r="AE310" s="429">
        <v>0</v>
      </c>
      <c r="AF310" s="429">
        <v>0</v>
      </c>
      <c r="AG310" s="649">
        <v>413</v>
      </c>
      <c r="AH310" s="649">
        <v>413</v>
      </c>
      <c r="AI310" s="649">
        <v>413</v>
      </c>
      <c r="AJ310" s="649">
        <v>412</v>
      </c>
      <c r="AK310" s="649">
        <v>412</v>
      </c>
      <c r="AL310" s="649">
        <v>412</v>
      </c>
      <c r="AM310" s="649">
        <f t="shared" si="23"/>
        <v>2475</v>
      </c>
      <c r="AN310" s="651">
        <f>ERP_27[[#This Row],[2026 Working Total]]-ERP_27[[#This Row],[LE2 Final Submission]]</f>
        <v>0</v>
      </c>
      <c r="AO310" s="652">
        <v>883.33333300000004</v>
      </c>
      <c r="AP310" s="652">
        <f t="shared" si="22"/>
        <v>-883.33333300000004</v>
      </c>
      <c r="AQ310" s="374">
        <f>SUM(ERP_27[[#This Row],[AP01]:[AP06]])-SUM(ERP_27[[#This Row],[AP01 LE2]:[AP06 LE2]])</f>
        <v>-825</v>
      </c>
      <c r="AR310" s="653"/>
      <c r="AS310" s="652">
        <f>ERP_27[[#This Row],[2026 Working Total to Budget/LE]]-ERP_27[[#This Row],[Giveback]]</f>
        <v>0</v>
      </c>
      <c r="AT310" s="654"/>
      <c r="AU310" s="655"/>
      <c r="AV310" s="655"/>
      <c r="AW310" s="655"/>
      <c r="AX310" s="655">
        <v>275</v>
      </c>
      <c r="AY310" s="655">
        <v>275</v>
      </c>
      <c r="AZ310" s="655">
        <v>275</v>
      </c>
      <c r="BA310" s="655">
        <v>275</v>
      </c>
      <c r="BB310" s="655">
        <v>275</v>
      </c>
      <c r="BC310" s="655">
        <v>275</v>
      </c>
      <c r="BD310" s="655">
        <v>275</v>
      </c>
      <c r="BE310" s="655">
        <v>275</v>
      </c>
      <c r="BF310" s="655">
        <v>275</v>
      </c>
      <c r="BG310" s="655">
        <v>2475</v>
      </c>
      <c r="BH310" s="652"/>
      <c r="BI310" s="652"/>
      <c r="BJ310" s="652"/>
      <c r="BK310" s="652">
        <v>275</v>
      </c>
      <c r="BL310" s="652">
        <v>275</v>
      </c>
      <c r="BM310" s="652">
        <v>275</v>
      </c>
      <c r="BN310" s="652">
        <v>275</v>
      </c>
      <c r="BO310" s="652">
        <v>275</v>
      </c>
      <c r="BP310" s="652">
        <v>275</v>
      </c>
      <c r="BQ310" s="652">
        <v>275</v>
      </c>
      <c r="BR310" s="652">
        <v>275</v>
      </c>
      <c r="BS310" s="652">
        <v>275</v>
      </c>
      <c r="BT310" s="652">
        <v>2475</v>
      </c>
    </row>
    <row r="311" spans="1:72" ht="15" hidden="1" customHeight="1">
      <c r="A311" s="66" t="s">
        <v>2426</v>
      </c>
      <c r="B311" s="66"/>
      <c r="C311" s="66" t="s">
        <v>787</v>
      </c>
      <c r="D311" s="66" t="s">
        <v>787</v>
      </c>
      <c r="E311" s="150" t="s">
        <v>1136</v>
      </c>
      <c r="F311" s="482" t="s">
        <v>1566</v>
      </c>
      <c r="G311" s="150" t="s">
        <v>1135</v>
      </c>
      <c r="H311" s="150" t="s">
        <v>1135</v>
      </c>
      <c r="I311" s="150" t="s">
        <v>1135</v>
      </c>
      <c r="J311" s="150" t="s">
        <v>1135</v>
      </c>
      <c r="K311" s="150" t="s">
        <v>1137</v>
      </c>
      <c r="L311" s="511" t="s">
        <v>639</v>
      </c>
      <c r="M311" s="392" t="s">
        <v>2427</v>
      </c>
      <c r="N311" s="343" t="s">
        <v>2428</v>
      </c>
      <c r="O311" s="346" t="s">
        <v>1171</v>
      </c>
      <c r="P311" s="70" t="s">
        <v>788</v>
      </c>
      <c r="Q311" s="346"/>
      <c r="R311" s="343"/>
      <c r="S311" s="346"/>
      <c r="T311" s="150" t="s">
        <v>789</v>
      </c>
      <c r="U311" s="150"/>
      <c r="V311" s="643"/>
      <c r="W311" s="659">
        <v>5012</v>
      </c>
      <c r="X311" s="659">
        <v>2512</v>
      </c>
      <c r="Y311" s="656"/>
      <c r="Z311" s="669"/>
      <c r="AA311" s="714"/>
      <c r="AB311" s="428"/>
      <c r="AC311" s="428"/>
      <c r="AD311" s="428" t="s">
        <v>1142</v>
      </c>
      <c r="AE311" s="429">
        <v>0</v>
      </c>
      <c r="AF311" s="429">
        <v>0</v>
      </c>
      <c r="AG311" s="649">
        <v>0</v>
      </c>
      <c r="AH311" s="649">
        <v>0</v>
      </c>
      <c r="AI311" s="649">
        <v>0</v>
      </c>
      <c r="AJ311" s="649">
        <v>0</v>
      </c>
      <c r="AK311" s="649">
        <v>2512</v>
      </c>
      <c r="AL311" s="649">
        <v>0</v>
      </c>
      <c r="AM311" s="649">
        <f t="shared" si="23"/>
        <v>2512</v>
      </c>
      <c r="AN311" s="651">
        <f>ERP_27[[#This Row],[2026 Working Total]]-ERP_27[[#This Row],[LE2 Final Submission]]</f>
        <v>0</v>
      </c>
      <c r="AO311" s="652"/>
      <c r="AP311" s="652">
        <f t="shared" si="22"/>
        <v>0</v>
      </c>
      <c r="AQ311" s="374">
        <f>SUM(ERP_27[[#This Row],[AP01]:[AP06]])-SUM(ERP_27[[#This Row],[AP01 LE2]:[AP06 LE2]])</f>
        <v>0</v>
      </c>
      <c r="AR311" s="653"/>
      <c r="AS311" s="652">
        <f>ERP_27[[#This Row],[2026 Working Total to Budget/LE]]-ERP_27[[#This Row],[Giveback]]</f>
        <v>0</v>
      </c>
      <c r="AT311" s="654"/>
      <c r="AU311" s="655"/>
      <c r="AV311" s="655"/>
      <c r="AW311" s="655"/>
      <c r="AX311" s="655"/>
      <c r="AY311" s="655"/>
      <c r="AZ311" s="655"/>
      <c r="BA311" s="655">
        <v>0</v>
      </c>
      <c r="BB311" s="655">
        <v>0</v>
      </c>
      <c r="BC311" s="655">
        <v>0</v>
      </c>
      <c r="BD311" s="655">
        <v>0</v>
      </c>
      <c r="BE311" s="655">
        <v>2512</v>
      </c>
      <c r="BF311" s="655">
        <v>0</v>
      </c>
      <c r="BG311" s="655">
        <v>2512</v>
      </c>
      <c r="BH311" s="652"/>
      <c r="BI311" s="652"/>
      <c r="BJ311" s="652"/>
      <c r="BK311" s="652"/>
      <c r="BL311" s="652"/>
      <c r="BM311" s="652">
        <v>2500</v>
      </c>
      <c r="BN311" s="652">
        <v>0</v>
      </c>
      <c r="BO311" s="652">
        <v>0</v>
      </c>
      <c r="BP311" s="652">
        <v>0</v>
      </c>
      <c r="BQ311" s="652">
        <v>0</v>
      </c>
      <c r="BR311" s="652">
        <v>2512</v>
      </c>
      <c r="BS311" s="652">
        <v>0</v>
      </c>
      <c r="BT311" s="652">
        <v>5012</v>
      </c>
    </row>
    <row r="312" spans="1:72" ht="15" hidden="1" customHeight="1">
      <c r="A312" s="66" t="s">
        <v>2068</v>
      </c>
      <c r="B312" s="66"/>
      <c r="C312" s="66" t="s">
        <v>556</v>
      </c>
      <c r="D312" s="66" t="s">
        <v>556</v>
      </c>
      <c r="E312" s="150" t="s">
        <v>1136</v>
      </c>
      <c r="F312" s="482" t="s">
        <v>1566</v>
      </c>
      <c r="G312" s="150" t="s">
        <v>1515</v>
      </c>
      <c r="H312" s="383" t="s">
        <v>1515</v>
      </c>
      <c r="I312" s="150" t="s">
        <v>1345</v>
      </c>
      <c r="J312" s="150" t="s">
        <v>1515</v>
      </c>
      <c r="K312" s="150" t="s">
        <v>1346</v>
      </c>
      <c r="L312" s="511" t="s">
        <v>389</v>
      </c>
      <c r="M312" s="392" t="s">
        <v>1969</v>
      </c>
      <c r="N312" s="343"/>
      <c r="O312" s="343"/>
      <c r="P312" s="70" t="s">
        <v>497</v>
      </c>
      <c r="Q312" s="346"/>
      <c r="R312" s="343"/>
      <c r="S312" s="346"/>
      <c r="T312" s="150" t="s">
        <v>25</v>
      </c>
      <c r="U312" s="150"/>
      <c r="V312" s="643"/>
      <c r="W312" s="659">
        <v>4213</v>
      </c>
      <c r="X312" s="659">
        <v>3403</v>
      </c>
      <c r="Y312" s="656"/>
      <c r="Z312" s="669"/>
      <c r="AA312" s="714"/>
      <c r="AB312" s="428"/>
      <c r="AC312" s="428"/>
      <c r="AD312" s="428" t="s">
        <v>1142</v>
      </c>
      <c r="AE312" s="429">
        <v>0</v>
      </c>
      <c r="AF312" s="429">
        <v>0</v>
      </c>
      <c r="AG312" s="649">
        <v>267</v>
      </c>
      <c r="AH312" s="649">
        <v>267</v>
      </c>
      <c r="AI312" s="649">
        <v>267</v>
      </c>
      <c r="AJ312" s="649">
        <v>267</v>
      </c>
      <c r="AK312" s="649">
        <v>267</v>
      </c>
      <c r="AL312" s="649">
        <v>1267</v>
      </c>
      <c r="AM312" s="649">
        <f t="shared" si="23"/>
        <v>2602</v>
      </c>
      <c r="AN312" s="651">
        <f>ERP_27[[#This Row],[2026 Working Total]]-ERP_27[[#This Row],[LE2 Final Submission]]</f>
        <v>-801</v>
      </c>
      <c r="AO312" s="652">
        <v>267</v>
      </c>
      <c r="AP312" s="652">
        <f t="shared" si="22"/>
        <v>-267</v>
      </c>
      <c r="AQ312" s="374">
        <f>SUM(ERP_27[[#This Row],[AP01]:[AP06]])-SUM(ERP_27[[#This Row],[AP01 LE2]:[AP06 LE2]])</f>
        <v>-801</v>
      </c>
      <c r="AR312" s="653"/>
      <c r="AS312" s="652">
        <f>ERP_27[[#This Row],[2026 Working Total to Budget/LE]]-ERP_27[[#This Row],[Giveback]]</f>
        <v>-801</v>
      </c>
      <c r="AT312" s="654"/>
      <c r="AU312" s="655"/>
      <c r="AV312" s="655"/>
      <c r="AW312" s="655"/>
      <c r="AX312" s="655">
        <v>267</v>
      </c>
      <c r="AY312" s="655">
        <v>267</v>
      </c>
      <c r="AZ312" s="655">
        <v>267</v>
      </c>
      <c r="BA312" s="655">
        <v>267</v>
      </c>
      <c r="BB312" s="655">
        <v>267</v>
      </c>
      <c r="BC312" s="655">
        <v>267</v>
      </c>
      <c r="BD312" s="655">
        <v>267</v>
      </c>
      <c r="BE312" s="655">
        <v>267</v>
      </c>
      <c r="BF312" s="655">
        <v>1267</v>
      </c>
      <c r="BG312" s="655">
        <v>3403</v>
      </c>
      <c r="BH312" s="652"/>
      <c r="BI312" s="652"/>
      <c r="BJ312" s="652"/>
      <c r="BK312" s="652">
        <v>267</v>
      </c>
      <c r="BL312" s="652">
        <v>267</v>
      </c>
      <c r="BM312" s="652">
        <v>267</v>
      </c>
      <c r="BN312" s="652">
        <v>267</v>
      </c>
      <c r="BO312" s="652">
        <v>267</v>
      </c>
      <c r="BP312" s="652">
        <v>267</v>
      </c>
      <c r="BQ312" s="652">
        <v>267</v>
      </c>
      <c r="BR312" s="652">
        <v>267</v>
      </c>
      <c r="BS312" s="652">
        <v>1267</v>
      </c>
      <c r="BT312" s="652">
        <v>3403</v>
      </c>
    </row>
    <row r="313" spans="1:72" ht="15" hidden="1" customHeight="1">
      <c r="A313" s="66" t="s">
        <v>2009</v>
      </c>
      <c r="B313" s="66"/>
      <c r="C313" s="66" t="s">
        <v>522</v>
      </c>
      <c r="D313" s="66" t="s">
        <v>522</v>
      </c>
      <c r="E313" s="150" t="s">
        <v>1136</v>
      </c>
      <c r="F313" s="482" t="s">
        <v>1566</v>
      </c>
      <c r="G313" s="150" t="s">
        <v>1345</v>
      </c>
      <c r="H313" s="150" t="s">
        <v>1345</v>
      </c>
      <c r="I313" s="150" t="s">
        <v>1345</v>
      </c>
      <c r="J313" s="150" t="s">
        <v>1345</v>
      </c>
      <c r="K313" s="150" t="s">
        <v>1346</v>
      </c>
      <c r="L313" s="511" t="s">
        <v>389</v>
      </c>
      <c r="M313" s="392" t="s">
        <v>1574</v>
      </c>
      <c r="N313" s="343"/>
      <c r="O313" s="343"/>
      <c r="P313" s="70" t="s">
        <v>274</v>
      </c>
      <c r="Q313" s="346" t="s">
        <v>1139</v>
      </c>
      <c r="R313" s="343"/>
      <c r="S313" s="346"/>
      <c r="T313" s="505" t="s">
        <v>275</v>
      </c>
      <c r="U313" s="150"/>
      <c r="V313" s="643"/>
      <c r="W313" s="659">
        <v>0</v>
      </c>
      <c r="X313" s="659">
        <v>2263.3900000000003</v>
      </c>
      <c r="Y313" s="656"/>
      <c r="Z313" s="669"/>
      <c r="AA313" s="714">
        <v>1841.45</v>
      </c>
      <c r="AB313" s="428">
        <v>1719.99</v>
      </c>
      <c r="AC313" s="428">
        <v>-1298.05</v>
      </c>
      <c r="AD313" s="428">
        <v>1990.16</v>
      </c>
      <c r="AE313" s="429">
        <v>-2552.9100000000003</v>
      </c>
      <c r="AF313" s="429">
        <v>903.75000000000023</v>
      </c>
      <c r="AG313" s="649">
        <v>0</v>
      </c>
      <c r="AH313" s="649">
        <v>0</v>
      </c>
      <c r="AI313" s="649">
        <v>0</v>
      </c>
      <c r="AJ313" s="649">
        <v>0</v>
      </c>
      <c r="AK313" s="649">
        <v>0</v>
      </c>
      <c r="AL313" s="649">
        <v>0</v>
      </c>
      <c r="AM313" s="649">
        <f t="shared" si="23"/>
        <v>2604.3900000000003</v>
      </c>
      <c r="AN313" s="651">
        <f>ERP_27[[#This Row],[2026 Working Total]]-ERP_27[[#This Row],[LE2 Final Submission]]</f>
        <v>341</v>
      </c>
      <c r="AO313" s="652">
        <v>0</v>
      </c>
      <c r="AP313" s="652">
        <f t="shared" si="22"/>
        <v>903.75000000000023</v>
      </c>
      <c r="AQ313" s="374">
        <f>SUM(ERP_27[[#This Row],[AP01]:[AP06]])-SUM(ERP_27[[#This Row],[AP01 LE2]:[AP06 LE2]])</f>
        <v>341</v>
      </c>
      <c r="AR313" s="653"/>
      <c r="AS313" s="652">
        <f>ERP_27[[#This Row],[2026 Working Total to Budget/LE]]-ERP_27[[#This Row],[Giveback]]</f>
        <v>341</v>
      </c>
      <c r="AT313" s="654"/>
      <c r="AU313" s="655">
        <v>1841.45</v>
      </c>
      <c r="AV313" s="655">
        <v>1719.99</v>
      </c>
      <c r="AW313" s="655">
        <v>-1298.05</v>
      </c>
      <c r="AX313" s="655">
        <v>0</v>
      </c>
      <c r="AY313" s="655">
        <v>0</v>
      </c>
      <c r="AZ313" s="655">
        <v>0</v>
      </c>
      <c r="BA313" s="655">
        <v>0</v>
      </c>
      <c r="BB313" s="655">
        <v>0</v>
      </c>
      <c r="BC313" s="655">
        <v>0</v>
      </c>
      <c r="BD313" s="655">
        <v>0</v>
      </c>
      <c r="BE313" s="655">
        <v>0</v>
      </c>
      <c r="BF313" s="655">
        <v>0</v>
      </c>
      <c r="BG313" s="655">
        <v>2263.3900000000003</v>
      </c>
      <c r="BH313" s="652">
        <v>1841.45</v>
      </c>
      <c r="BI313" s="652">
        <v>1719.99</v>
      </c>
      <c r="BJ313" s="652">
        <v>-1298.05</v>
      </c>
      <c r="BK313" s="652">
        <v>0</v>
      </c>
      <c r="BL313" s="652">
        <v>0</v>
      </c>
      <c r="BM313" s="652">
        <v>0</v>
      </c>
      <c r="BN313" s="652">
        <v>0</v>
      </c>
      <c r="BO313" s="652">
        <v>0</v>
      </c>
      <c r="BP313" s="652">
        <v>0</v>
      </c>
      <c r="BQ313" s="652">
        <v>0</v>
      </c>
      <c r="BR313" s="652">
        <v>0</v>
      </c>
      <c r="BS313" s="652">
        <v>0</v>
      </c>
      <c r="BT313" s="652">
        <v>2263.3900000000003</v>
      </c>
    </row>
    <row r="314" spans="1:72" ht="15" hidden="1" customHeight="1">
      <c r="A314" s="66" t="s">
        <v>1943</v>
      </c>
      <c r="B314" s="66"/>
      <c r="C314" s="66" t="s">
        <v>483</v>
      </c>
      <c r="D314" s="66" t="s">
        <v>1944</v>
      </c>
      <c r="E314" s="150" t="s">
        <v>1136</v>
      </c>
      <c r="F314" s="482" t="s">
        <v>1566</v>
      </c>
      <c r="G314" s="150" t="s">
        <v>1135</v>
      </c>
      <c r="H314" s="150" t="s">
        <v>1165</v>
      </c>
      <c r="I314" s="150" t="s">
        <v>1135</v>
      </c>
      <c r="J314" s="150" t="s">
        <v>1165</v>
      </c>
      <c r="K314" s="150" t="s">
        <v>1137</v>
      </c>
      <c r="L314" s="511" t="s">
        <v>389</v>
      </c>
      <c r="M314" s="392" t="s">
        <v>1945</v>
      </c>
      <c r="N314" s="343"/>
      <c r="O314" s="343"/>
      <c r="P314" s="70" t="s">
        <v>484</v>
      </c>
      <c r="Q314" s="346"/>
      <c r="R314" s="343"/>
      <c r="S314" s="346"/>
      <c r="T314" s="150" t="s">
        <v>57</v>
      </c>
      <c r="U314" s="150"/>
      <c r="V314" s="643"/>
      <c r="W314" s="659">
        <v>0</v>
      </c>
      <c r="X314" s="659">
        <v>3711.49</v>
      </c>
      <c r="Y314" s="656"/>
      <c r="Z314" s="669"/>
      <c r="AA314" s="714"/>
      <c r="AB314" s="428"/>
      <c r="AC314" s="428">
        <v>552.49</v>
      </c>
      <c r="AD314" s="428">
        <v>0</v>
      </c>
      <c r="AE314" s="429">
        <v>0</v>
      </c>
      <c r="AF314" s="429">
        <v>0</v>
      </c>
      <c r="AG314" s="649">
        <v>351</v>
      </c>
      <c r="AH314" s="649">
        <v>351</v>
      </c>
      <c r="AI314" s="649">
        <v>351</v>
      </c>
      <c r="AJ314" s="649">
        <v>351</v>
      </c>
      <c r="AK314" s="649">
        <v>351</v>
      </c>
      <c r="AL314" s="649">
        <v>351</v>
      </c>
      <c r="AM314" s="649">
        <f t="shared" si="23"/>
        <v>2658.49</v>
      </c>
      <c r="AN314" s="651">
        <f>ERP_27[[#This Row],[2026 Working Total]]-ERP_27[[#This Row],[LE2 Final Submission]]</f>
        <v>-1053</v>
      </c>
      <c r="AO314" s="652">
        <v>351</v>
      </c>
      <c r="AP314" s="652">
        <f t="shared" si="22"/>
        <v>-351</v>
      </c>
      <c r="AQ314" s="374">
        <f>SUM(ERP_27[[#This Row],[AP01]:[AP06]])-SUM(ERP_27[[#This Row],[AP01 LE2]:[AP06 LE2]])</f>
        <v>-1053</v>
      </c>
      <c r="AR314" s="653"/>
      <c r="AS314" s="652">
        <f>ERP_27[[#This Row],[2026 Working Total to Budget/LE]]-ERP_27[[#This Row],[Giveback]]</f>
        <v>-1053</v>
      </c>
      <c r="AT314" s="654"/>
      <c r="AU314" s="655"/>
      <c r="AV314" s="655"/>
      <c r="AW314" s="655">
        <v>552.49</v>
      </c>
      <c r="AX314" s="655">
        <v>351</v>
      </c>
      <c r="AY314" s="655">
        <v>351</v>
      </c>
      <c r="AZ314" s="655">
        <v>351</v>
      </c>
      <c r="BA314" s="655">
        <v>351</v>
      </c>
      <c r="BB314" s="655">
        <v>351</v>
      </c>
      <c r="BC314" s="655">
        <v>351</v>
      </c>
      <c r="BD314" s="655">
        <v>351</v>
      </c>
      <c r="BE314" s="655">
        <v>351</v>
      </c>
      <c r="BF314" s="655">
        <v>351</v>
      </c>
      <c r="BG314" s="655">
        <v>3711.49</v>
      </c>
      <c r="BH314" s="652"/>
      <c r="BI314" s="652"/>
      <c r="BJ314" s="652">
        <v>552.49</v>
      </c>
      <c r="BK314" s="652">
        <v>351</v>
      </c>
      <c r="BL314" s="652">
        <v>351</v>
      </c>
      <c r="BM314" s="652">
        <v>351</v>
      </c>
      <c r="BN314" s="652">
        <v>351</v>
      </c>
      <c r="BO314" s="652">
        <v>351</v>
      </c>
      <c r="BP314" s="652">
        <v>351</v>
      </c>
      <c r="BQ314" s="652">
        <v>351</v>
      </c>
      <c r="BR314" s="652">
        <v>351</v>
      </c>
      <c r="BS314" s="652">
        <v>351</v>
      </c>
      <c r="BT314" s="652">
        <v>3711.49</v>
      </c>
    </row>
    <row r="315" spans="1:72" ht="15" hidden="1" customHeight="1">
      <c r="A315" s="66" t="s">
        <v>2810</v>
      </c>
      <c r="B315" s="66"/>
      <c r="C315" s="66" t="s">
        <v>1017</v>
      </c>
      <c r="D315" s="66" t="s">
        <v>1017</v>
      </c>
      <c r="E315" s="150" t="s">
        <v>1136</v>
      </c>
      <c r="F315" s="482" t="s">
        <v>1566</v>
      </c>
      <c r="G315" s="150" t="s">
        <v>1650</v>
      </c>
      <c r="H315" s="150" t="s">
        <v>1650</v>
      </c>
      <c r="I315" s="150" t="s">
        <v>1650</v>
      </c>
      <c r="J315" s="150" t="s">
        <v>1650</v>
      </c>
      <c r="K315" s="150" t="s">
        <v>1650</v>
      </c>
      <c r="L315" s="511" t="s">
        <v>639</v>
      </c>
      <c r="M315" s="392" t="s">
        <v>2285</v>
      </c>
      <c r="N315" s="343"/>
      <c r="O315" s="343"/>
      <c r="P315" s="70" t="s">
        <v>676</v>
      </c>
      <c r="Q315" s="346"/>
      <c r="R315" s="346" t="s">
        <v>1140</v>
      </c>
      <c r="S315" s="346"/>
      <c r="T315" s="150" t="s">
        <v>677</v>
      </c>
      <c r="U315" s="150"/>
      <c r="V315" s="643"/>
      <c r="W315" s="659">
        <v>838.44</v>
      </c>
      <c r="X315" s="659">
        <v>1759.95</v>
      </c>
      <c r="Y315" s="656"/>
      <c r="Z315" s="669"/>
      <c r="AA315" s="714"/>
      <c r="AB315" s="428">
        <v>921.51</v>
      </c>
      <c r="AC315" s="428">
        <v>0</v>
      </c>
      <c r="AD315" s="428">
        <v>717.38</v>
      </c>
      <c r="AE315" s="429">
        <v>227</v>
      </c>
      <c r="AF315" s="429">
        <v>0</v>
      </c>
      <c r="AG315" s="649">
        <v>0</v>
      </c>
      <c r="AH315" s="649">
        <v>550</v>
      </c>
      <c r="AI315" s="649">
        <v>288.44</v>
      </c>
      <c r="AJ315" s="649">
        <v>0</v>
      </c>
      <c r="AK315" s="649">
        <v>0</v>
      </c>
      <c r="AL315" s="649">
        <v>0</v>
      </c>
      <c r="AM315" s="649">
        <f t="shared" si="23"/>
        <v>2704.33</v>
      </c>
      <c r="AN315" s="651">
        <f>ERP_27[[#This Row],[2026 Working Total]]-ERP_27[[#This Row],[LE2 Final Submission]]</f>
        <v>944.37999999999988</v>
      </c>
      <c r="AO315" s="652">
        <v>0</v>
      </c>
      <c r="AP315" s="652">
        <f t="shared" si="22"/>
        <v>0</v>
      </c>
      <c r="AQ315" s="374">
        <f>SUM(ERP_27[[#This Row],[AP01]:[AP06]])-SUM(ERP_27[[#This Row],[AP01 LE2]:[AP06 LE2]])</f>
        <v>944.37999999999988</v>
      </c>
      <c r="AR315" s="653"/>
      <c r="AS315" s="652">
        <f>ERP_27[[#This Row],[2026 Working Total to Budget/LE]]-ERP_27[[#This Row],[Giveback]]</f>
        <v>944.37999999999988</v>
      </c>
      <c r="AT315" s="654"/>
      <c r="AU315" s="655"/>
      <c r="AV315" s="655">
        <v>921.51</v>
      </c>
      <c r="AW315" s="655">
        <v>0</v>
      </c>
      <c r="AX315" s="655">
        <v>0</v>
      </c>
      <c r="AY315" s="655">
        <v>0</v>
      </c>
      <c r="AZ315" s="655">
        <v>0</v>
      </c>
      <c r="BA315" s="655">
        <v>0</v>
      </c>
      <c r="BB315" s="655">
        <v>550</v>
      </c>
      <c r="BC315" s="655">
        <v>288.44</v>
      </c>
      <c r="BD315" s="655">
        <v>0</v>
      </c>
      <c r="BE315" s="655">
        <v>0</v>
      </c>
      <c r="BF315" s="655">
        <v>0</v>
      </c>
      <c r="BG315" s="655">
        <v>1759.95</v>
      </c>
      <c r="BH315" s="652"/>
      <c r="BI315" s="652">
        <v>921.51</v>
      </c>
      <c r="BJ315" s="652">
        <v>0</v>
      </c>
      <c r="BK315" s="652">
        <v>0</v>
      </c>
      <c r="BL315" s="652">
        <v>0</v>
      </c>
      <c r="BM315" s="652">
        <v>0</v>
      </c>
      <c r="BN315" s="652">
        <v>0</v>
      </c>
      <c r="BO315" s="652">
        <v>550</v>
      </c>
      <c r="BP315" s="652">
        <v>288.44</v>
      </c>
      <c r="BQ315" s="652">
        <v>0</v>
      </c>
      <c r="BR315" s="652">
        <v>0</v>
      </c>
      <c r="BS315" s="652">
        <v>0</v>
      </c>
      <c r="BT315" s="652">
        <v>1759.95</v>
      </c>
    </row>
    <row r="316" spans="1:72" ht="15" customHeight="1">
      <c r="A316" s="66" t="s">
        <v>2047</v>
      </c>
      <c r="B316" s="66"/>
      <c r="C316" s="66" t="s">
        <v>548</v>
      </c>
      <c r="D316" s="66" t="s">
        <v>2048</v>
      </c>
      <c r="E316" s="150" t="s">
        <v>1136</v>
      </c>
      <c r="F316" s="482" t="s">
        <v>1566</v>
      </c>
      <c r="G316" s="383" t="s">
        <v>1480</v>
      </c>
      <c r="H316" s="150" t="s">
        <v>1481</v>
      </c>
      <c r="I316" s="150" t="s">
        <v>1345</v>
      </c>
      <c r="J316" s="150" t="s">
        <v>1481</v>
      </c>
      <c r="K316" s="150" t="s">
        <v>1346</v>
      </c>
      <c r="L316" s="511" t="s">
        <v>389</v>
      </c>
      <c r="M316" s="392" t="s">
        <v>1147</v>
      </c>
      <c r="N316" s="343"/>
      <c r="O316" s="343"/>
      <c r="P316" s="70" t="s">
        <v>53</v>
      </c>
      <c r="Q316" s="346" t="s">
        <v>1153</v>
      </c>
      <c r="R316" s="343"/>
      <c r="S316" s="346"/>
      <c r="T316" s="150" t="s">
        <v>25</v>
      </c>
      <c r="U316" s="473" t="s">
        <v>1513</v>
      </c>
      <c r="V316" s="643"/>
      <c r="W316" s="659">
        <v>0</v>
      </c>
      <c r="X316" s="659">
        <v>2360</v>
      </c>
      <c r="Y316" s="656"/>
      <c r="Z316" s="669"/>
      <c r="AA316" s="714"/>
      <c r="AB316" s="428">
        <v>2180</v>
      </c>
      <c r="AC316" s="428">
        <v>180</v>
      </c>
      <c r="AD316" s="428">
        <v>180</v>
      </c>
      <c r="AE316" s="429">
        <v>180</v>
      </c>
      <c r="AF316" s="429">
        <v>60</v>
      </c>
      <c r="AG316" s="649">
        <v>0</v>
      </c>
      <c r="AH316" s="649">
        <v>0</v>
      </c>
      <c r="AI316" s="649">
        <v>0</v>
      </c>
      <c r="AJ316" s="649">
        <v>0</v>
      </c>
      <c r="AK316" s="649">
        <v>0</v>
      </c>
      <c r="AL316" s="649">
        <v>0</v>
      </c>
      <c r="AM316" s="649">
        <f t="shared" si="23"/>
        <v>2780</v>
      </c>
      <c r="AN316" s="651">
        <f>ERP_27[[#This Row],[2026 Working Total]]-ERP_27[[#This Row],[LE2 Final Submission]]</f>
        <v>420</v>
      </c>
      <c r="AO316" s="652">
        <v>0</v>
      </c>
      <c r="AP316" s="652">
        <f t="shared" si="22"/>
        <v>60</v>
      </c>
      <c r="AQ316" s="374">
        <f>SUM(ERP_27[[#This Row],[AP01]:[AP06]])-SUM(ERP_27[[#This Row],[AP01 LE2]:[AP06 LE2]])</f>
        <v>420</v>
      </c>
      <c r="AR316" s="653"/>
      <c r="AS316" s="652">
        <f>ERP_27[[#This Row],[2026 Working Total to Budget/LE]]-ERP_27[[#This Row],[Giveback]]</f>
        <v>420</v>
      </c>
      <c r="AT316" s="654"/>
      <c r="AU316" s="655"/>
      <c r="AV316" s="655">
        <v>2180</v>
      </c>
      <c r="AW316" s="655">
        <v>180</v>
      </c>
      <c r="AX316" s="655">
        <v>0</v>
      </c>
      <c r="AY316" s="655">
        <v>0</v>
      </c>
      <c r="AZ316" s="655">
        <v>0</v>
      </c>
      <c r="BA316" s="655">
        <v>0</v>
      </c>
      <c r="BB316" s="655">
        <v>0</v>
      </c>
      <c r="BC316" s="655">
        <v>0</v>
      </c>
      <c r="BD316" s="655">
        <v>0</v>
      </c>
      <c r="BE316" s="655">
        <v>0</v>
      </c>
      <c r="BF316" s="655">
        <v>0</v>
      </c>
      <c r="BG316" s="655">
        <v>2360</v>
      </c>
      <c r="BH316" s="652"/>
      <c r="BI316" s="652">
        <v>2180</v>
      </c>
      <c r="BJ316" s="652">
        <v>180</v>
      </c>
      <c r="BK316" s="652">
        <v>0</v>
      </c>
      <c r="BL316" s="652">
        <v>0</v>
      </c>
      <c r="BM316" s="652">
        <v>0</v>
      </c>
      <c r="BN316" s="652">
        <v>0</v>
      </c>
      <c r="BO316" s="652">
        <v>0</v>
      </c>
      <c r="BP316" s="652">
        <v>0</v>
      </c>
      <c r="BQ316" s="652">
        <v>0</v>
      </c>
      <c r="BR316" s="652">
        <v>0</v>
      </c>
      <c r="BS316" s="652">
        <v>0</v>
      </c>
      <c r="BT316" s="652">
        <v>2360</v>
      </c>
    </row>
    <row r="317" spans="1:72" ht="15" hidden="1" customHeight="1">
      <c r="A317" s="79" t="s">
        <v>1853</v>
      </c>
      <c r="B317" s="79"/>
      <c r="C317" s="79" t="s">
        <v>446</v>
      </c>
      <c r="D317" s="296" t="s">
        <v>1854</v>
      </c>
      <c r="E317" s="150" t="s">
        <v>1136</v>
      </c>
      <c r="F317" s="482" t="s">
        <v>1566</v>
      </c>
      <c r="G317" s="150" t="s">
        <v>1135</v>
      </c>
      <c r="H317" s="150" t="s">
        <v>1135</v>
      </c>
      <c r="I317" s="332" t="s">
        <v>1135</v>
      </c>
      <c r="J317" s="383" t="s">
        <v>1137</v>
      </c>
      <c r="K317" s="331" t="s">
        <v>1137</v>
      </c>
      <c r="L317" s="512" t="s">
        <v>389</v>
      </c>
      <c r="M317" s="393" t="s">
        <v>1855</v>
      </c>
      <c r="N317" s="343"/>
      <c r="O317" s="331"/>
      <c r="P317" s="91" t="s">
        <v>447</v>
      </c>
      <c r="Q317" s="343"/>
      <c r="R317" s="346" t="s">
        <v>1221</v>
      </c>
      <c r="S317" s="348"/>
      <c r="T317" s="386" t="s">
        <v>57</v>
      </c>
      <c r="U317" s="387" t="s">
        <v>1856</v>
      </c>
      <c r="V317" s="668"/>
      <c r="W317" s="358">
        <v>6000</v>
      </c>
      <c r="X317" s="660">
        <v>4500</v>
      </c>
      <c r="Y317" s="656"/>
      <c r="Z317" s="669"/>
      <c r="AA317" s="716"/>
      <c r="AB317" s="717"/>
      <c r="AC317" s="717"/>
      <c r="AD317" s="428" t="s">
        <v>1142</v>
      </c>
      <c r="AE317" s="429">
        <v>0</v>
      </c>
      <c r="AF317" s="429">
        <v>0</v>
      </c>
      <c r="AG317" s="661">
        <v>500</v>
      </c>
      <c r="AH317" s="661">
        <v>500</v>
      </c>
      <c r="AI317" s="661">
        <v>500</v>
      </c>
      <c r="AJ317" s="661">
        <v>500</v>
      </c>
      <c r="AK317" s="661">
        <v>500</v>
      </c>
      <c r="AL317" s="661">
        <v>500</v>
      </c>
      <c r="AM317" s="649">
        <f t="shared" si="23"/>
        <v>3000</v>
      </c>
      <c r="AN317" s="651">
        <f>ERP_27[[#This Row],[2026 Working Total]]-ERP_27[[#This Row],[LE2 Final Submission]]</f>
        <v>-1500</v>
      </c>
      <c r="AO317" s="652">
        <v>500</v>
      </c>
      <c r="AP317" s="652">
        <f t="shared" si="22"/>
        <v>-500</v>
      </c>
      <c r="AQ317" s="374">
        <f>SUM(ERP_27[[#This Row],[AP01]:[AP06]])-SUM(ERP_27[[#This Row],[AP01 LE2]:[AP06 LE2]])</f>
        <v>-1500</v>
      </c>
      <c r="AR317" s="653"/>
      <c r="AS317" s="652">
        <f>ERP_27[[#This Row],[2026 Working Total to Budget/LE]]-ERP_27[[#This Row],[Giveback]]</f>
        <v>-1500</v>
      </c>
      <c r="AT317" s="654"/>
      <c r="AU317" s="655"/>
      <c r="AV317" s="655"/>
      <c r="AW317" s="655"/>
      <c r="AX317" s="655">
        <v>500</v>
      </c>
      <c r="AY317" s="655">
        <v>500</v>
      </c>
      <c r="AZ317" s="655">
        <v>500</v>
      </c>
      <c r="BA317" s="655">
        <v>500</v>
      </c>
      <c r="BB317" s="655">
        <v>500</v>
      </c>
      <c r="BC317" s="655">
        <v>500</v>
      </c>
      <c r="BD317" s="655">
        <v>500</v>
      </c>
      <c r="BE317" s="655">
        <v>500</v>
      </c>
      <c r="BF317" s="655">
        <v>500</v>
      </c>
      <c r="BG317" s="655">
        <v>4500</v>
      </c>
      <c r="BH317" s="662">
        <v>500</v>
      </c>
      <c r="BI317" s="662">
        <v>500</v>
      </c>
      <c r="BJ317" s="662">
        <v>500</v>
      </c>
      <c r="BK317" s="662">
        <v>500</v>
      </c>
      <c r="BL317" s="662">
        <v>500</v>
      </c>
      <c r="BM317" s="662">
        <v>500</v>
      </c>
      <c r="BN317" s="662">
        <v>500</v>
      </c>
      <c r="BO317" s="662">
        <v>500</v>
      </c>
      <c r="BP317" s="662">
        <v>500</v>
      </c>
      <c r="BQ317" s="662">
        <v>500</v>
      </c>
      <c r="BR317" s="662">
        <v>500</v>
      </c>
      <c r="BS317" s="662">
        <v>500</v>
      </c>
      <c r="BT317" s="652">
        <f>SUM(ERP_27[[#This Row],[2026 AP01]:[2026 AP12]])</f>
        <v>6000</v>
      </c>
    </row>
    <row r="318" spans="1:72" ht="15" hidden="1" customHeight="1">
      <c r="A318" s="66" t="s">
        <v>2608</v>
      </c>
      <c r="B318" s="66"/>
      <c r="C318" s="66" t="s">
        <v>903</v>
      </c>
      <c r="D318" s="66" t="s">
        <v>903</v>
      </c>
      <c r="E318" s="150" t="s">
        <v>1136</v>
      </c>
      <c r="F318" s="482" t="s">
        <v>1566</v>
      </c>
      <c r="G318" s="383" t="s">
        <v>1344</v>
      </c>
      <c r="H318" s="383" t="s">
        <v>1344</v>
      </c>
      <c r="I318" s="150" t="s">
        <v>1345</v>
      </c>
      <c r="J318" s="150" t="s">
        <v>1344</v>
      </c>
      <c r="K318" s="150" t="s">
        <v>1346</v>
      </c>
      <c r="L318" s="511" t="s">
        <v>639</v>
      </c>
      <c r="M318" s="392" t="s">
        <v>1174</v>
      </c>
      <c r="N318" s="343"/>
      <c r="O318" s="343"/>
      <c r="P318" s="70" t="s">
        <v>56</v>
      </c>
      <c r="Q318" s="346"/>
      <c r="R318" s="346" t="s">
        <v>1140</v>
      </c>
      <c r="S318" s="346"/>
      <c r="T318" s="150" t="s">
        <v>57</v>
      </c>
      <c r="U318" s="150"/>
      <c r="V318" s="643"/>
      <c r="W318" s="659">
        <v>4200</v>
      </c>
      <c r="X318" s="659">
        <v>3888.09</v>
      </c>
      <c r="Y318" s="656"/>
      <c r="Z318" s="657"/>
      <c r="AA318" s="714">
        <v>251.53</v>
      </c>
      <c r="AB318" s="428">
        <v>246.74</v>
      </c>
      <c r="AC318" s="428">
        <v>239.82</v>
      </c>
      <c r="AD318" s="428">
        <v>236.11</v>
      </c>
      <c r="AE318" s="429">
        <v>0</v>
      </c>
      <c r="AF318" s="429">
        <v>0</v>
      </c>
      <c r="AG318" s="649">
        <v>350</v>
      </c>
      <c r="AH318" s="649">
        <v>350</v>
      </c>
      <c r="AI318" s="649">
        <v>350</v>
      </c>
      <c r="AJ318" s="649">
        <v>350</v>
      </c>
      <c r="AK318" s="649">
        <v>350</v>
      </c>
      <c r="AL318" s="649">
        <v>350</v>
      </c>
      <c r="AM318" s="667">
        <f t="shared" si="23"/>
        <v>3074.2</v>
      </c>
      <c r="AN318" s="651">
        <f>ERP_27[[#This Row],[2026 Working Total]]-ERP_27[[#This Row],[LE2 Final Submission]]</f>
        <v>-813.89000000000033</v>
      </c>
      <c r="AO318" s="652">
        <v>350</v>
      </c>
      <c r="AP318" s="652">
        <f t="shared" si="22"/>
        <v>-350</v>
      </c>
      <c r="AQ318" s="374">
        <f>SUM(ERP_27[[#This Row],[AP01]:[AP06]])-SUM(ERP_27[[#This Row],[AP01 LE2]:[AP06 LE2]])</f>
        <v>-813.89</v>
      </c>
      <c r="AR318" s="653"/>
      <c r="AS318" s="652">
        <f>ERP_27[[#This Row],[2026 Working Total to Budget/LE]]-ERP_27[[#This Row],[Giveback]]</f>
        <v>-813.89000000000033</v>
      </c>
      <c r="AT318" s="654"/>
      <c r="AU318" s="655">
        <v>251.53</v>
      </c>
      <c r="AV318" s="655">
        <v>246.74</v>
      </c>
      <c r="AW318" s="655">
        <v>239.82</v>
      </c>
      <c r="AX318" s="655">
        <v>350</v>
      </c>
      <c r="AY318" s="655">
        <v>350</v>
      </c>
      <c r="AZ318" s="655">
        <v>350</v>
      </c>
      <c r="BA318" s="655">
        <v>350</v>
      </c>
      <c r="BB318" s="655">
        <v>350</v>
      </c>
      <c r="BC318" s="655">
        <v>350</v>
      </c>
      <c r="BD318" s="655">
        <v>350</v>
      </c>
      <c r="BE318" s="655">
        <v>350</v>
      </c>
      <c r="BF318" s="655">
        <v>350</v>
      </c>
      <c r="BG318" s="655">
        <v>3888.09</v>
      </c>
      <c r="BH318" s="652">
        <v>251.53</v>
      </c>
      <c r="BI318" s="652">
        <v>246.74</v>
      </c>
      <c r="BJ318" s="652">
        <v>239.82</v>
      </c>
      <c r="BK318" s="652">
        <v>350</v>
      </c>
      <c r="BL318" s="652">
        <v>350</v>
      </c>
      <c r="BM318" s="652">
        <v>350</v>
      </c>
      <c r="BN318" s="652">
        <v>350</v>
      </c>
      <c r="BO318" s="652">
        <v>350</v>
      </c>
      <c r="BP318" s="652">
        <v>350</v>
      </c>
      <c r="BQ318" s="652">
        <v>350</v>
      </c>
      <c r="BR318" s="652">
        <v>350</v>
      </c>
      <c r="BS318" s="652">
        <v>350</v>
      </c>
      <c r="BT318" s="652">
        <v>3888.09</v>
      </c>
    </row>
    <row r="319" spans="1:72" ht="15" hidden="1" customHeight="1">
      <c r="A319" s="66" t="s">
        <v>1749</v>
      </c>
      <c r="B319" s="66"/>
      <c r="C319" s="66" t="s">
        <v>386</v>
      </c>
      <c r="D319" s="66" t="s">
        <v>386</v>
      </c>
      <c r="E319" s="150" t="s">
        <v>1136</v>
      </c>
      <c r="F319" s="482" t="s">
        <v>1566</v>
      </c>
      <c r="G319" s="150" t="s">
        <v>1650</v>
      </c>
      <c r="H319" s="150" t="s">
        <v>1650</v>
      </c>
      <c r="I319" s="150" t="s">
        <v>1650</v>
      </c>
      <c r="J319" s="150" t="s">
        <v>1650</v>
      </c>
      <c r="K319" s="150" t="s">
        <v>1650</v>
      </c>
      <c r="L319" s="511" t="s">
        <v>342</v>
      </c>
      <c r="M319" s="392" t="s">
        <v>1703</v>
      </c>
      <c r="N319" s="343"/>
      <c r="O319" s="343"/>
      <c r="P319" s="70" t="s">
        <v>365</v>
      </c>
      <c r="Q319" s="346"/>
      <c r="R319" s="346" t="s">
        <v>1140</v>
      </c>
      <c r="S319" s="346"/>
      <c r="T319" s="150" t="s">
        <v>57</v>
      </c>
      <c r="U319" s="150"/>
      <c r="V319" s="643"/>
      <c r="W319" s="659">
        <v>0</v>
      </c>
      <c r="X319" s="659">
        <v>2902.66</v>
      </c>
      <c r="Y319" s="656"/>
      <c r="Z319" s="657"/>
      <c r="AA319" s="714"/>
      <c r="AB319" s="428"/>
      <c r="AC319" s="428">
        <v>2902.66</v>
      </c>
      <c r="AD319" s="428">
        <v>229.1</v>
      </c>
      <c r="AE319" s="429">
        <v>87.28</v>
      </c>
      <c r="AF319" s="429">
        <v>0</v>
      </c>
      <c r="AG319" s="649">
        <v>0</v>
      </c>
      <c r="AH319" s="649">
        <v>0</v>
      </c>
      <c r="AI319" s="649">
        <v>0</v>
      </c>
      <c r="AJ319" s="649">
        <v>0</v>
      </c>
      <c r="AK319" s="649">
        <v>0</v>
      </c>
      <c r="AL319" s="649">
        <v>0</v>
      </c>
      <c r="AM319" s="667">
        <f t="shared" si="23"/>
        <v>3219.04</v>
      </c>
      <c r="AN319" s="651">
        <f>ERP_27[[#This Row],[2026 Working Total]]-ERP_27[[#This Row],[LE2 Final Submission]]</f>
        <v>316.38000000000011</v>
      </c>
      <c r="AO319" s="652">
        <v>0</v>
      </c>
      <c r="AP319" s="652">
        <f t="shared" si="22"/>
        <v>0</v>
      </c>
      <c r="AQ319" s="374">
        <f>SUM(ERP_27[[#This Row],[AP01]:[AP06]])-SUM(ERP_27[[#This Row],[AP01 LE2]:[AP06 LE2]])</f>
        <v>316.38000000000011</v>
      </c>
      <c r="AR319" s="653"/>
      <c r="AS319" s="652">
        <f>ERP_27[[#This Row],[2026 Working Total to Budget/LE]]-ERP_27[[#This Row],[Giveback]]</f>
        <v>316.38000000000011</v>
      </c>
      <c r="AT319" s="654"/>
      <c r="AU319" s="655"/>
      <c r="AV319" s="655"/>
      <c r="AW319" s="655">
        <v>2902.66</v>
      </c>
      <c r="AX319" s="655">
        <v>0</v>
      </c>
      <c r="AY319" s="655">
        <v>0</v>
      </c>
      <c r="AZ319" s="655">
        <v>0</v>
      </c>
      <c r="BA319" s="655">
        <v>0</v>
      </c>
      <c r="BB319" s="655">
        <v>0</v>
      </c>
      <c r="BC319" s="655">
        <v>0</v>
      </c>
      <c r="BD319" s="655">
        <v>0</v>
      </c>
      <c r="BE319" s="655">
        <v>0</v>
      </c>
      <c r="BF319" s="655">
        <v>0</v>
      </c>
      <c r="BG319" s="655">
        <v>2902.66</v>
      </c>
      <c r="BH319" s="652"/>
      <c r="BI319" s="652"/>
      <c r="BJ319" s="652">
        <v>2902.66</v>
      </c>
      <c r="BK319" s="652">
        <v>0</v>
      </c>
      <c r="BL319" s="652">
        <v>0</v>
      </c>
      <c r="BM319" s="652">
        <v>0</v>
      </c>
      <c r="BN319" s="652">
        <v>0</v>
      </c>
      <c r="BO319" s="652">
        <v>0</v>
      </c>
      <c r="BP319" s="652">
        <v>0</v>
      </c>
      <c r="BQ319" s="652">
        <v>0</v>
      </c>
      <c r="BR319" s="652">
        <v>0</v>
      </c>
      <c r="BS319" s="652">
        <v>0</v>
      </c>
      <c r="BT319" s="652">
        <v>2902.66</v>
      </c>
    </row>
    <row r="320" spans="1:72" ht="15" hidden="1" customHeight="1">
      <c r="A320" s="162" t="s">
        <v>1366</v>
      </c>
      <c r="B320" s="162"/>
      <c r="C320" s="162" t="s">
        <v>162</v>
      </c>
      <c r="D320" s="66" t="s">
        <v>162</v>
      </c>
      <c r="E320" s="150" t="s">
        <v>1136</v>
      </c>
      <c r="F320" s="482" t="s">
        <v>1566</v>
      </c>
      <c r="G320" s="383" t="s">
        <v>1344</v>
      </c>
      <c r="H320" s="383" t="s">
        <v>1344</v>
      </c>
      <c r="I320" s="150" t="s">
        <v>1345</v>
      </c>
      <c r="J320" s="150" t="s">
        <v>1344</v>
      </c>
      <c r="K320" s="184" t="s">
        <v>1346</v>
      </c>
      <c r="L320" s="515" t="s">
        <v>49</v>
      </c>
      <c r="M320" s="392" t="s">
        <v>1367</v>
      </c>
      <c r="N320" s="343"/>
      <c r="O320" s="343"/>
      <c r="P320" s="92" t="s">
        <v>163</v>
      </c>
      <c r="Q320" s="346" t="s">
        <v>1139</v>
      </c>
      <c r="R320" s="343"/>
      <c r="S320" s="346"/>
      <c r="T320" s="150" t="s">
        <v>25</v>
      </c>
      <c r="U320" s="184"/>
      <c r="V320" s="685"/>
      <c r="W320" s="686">
        <v>0</v>
      </c>
      <c r="X320" s="686">
        <v>3558.41</v>
      </c>
      <c r="Y320" s="656"/>
      <c r="Z320" s="657"/>
      <c r="AA320" s="720">
        <v>3558.41</v>
      </c>
      <c r="AB320" s="721">
        <v>0</v>
      </c>
      <c r="AC320" s="721">
        <v>0</v>
      </c>
      <c r="AD320" s="428">
        <v>0</v>
      </c>
      <c r="AE320" s="429">
        <v>0</v>
      </c>
      <c r="AF320" s="429">
        <v>0</v>
      </c>
      <c r="AG320" s="687">
        <v>0</v>
      </c>
      <c r="AH320" s="687">
        <v>0</v>
      </c>
      <c r="AI320" s="687">
        <v>0</v>
      </c>
      <c r="AJ320" s="687">
        <v>0</v>
      </c>
      <c r="AK320" s="687">
        <v>0</v>
      </c>
      <c r="AL320" s="687">
        <v>0</v>
      </c>
      <c r="AM320" s="687">
        <f t="shared" si="23"/>
        <v>3558.41</v>
      </c>
      <c r="AN320" s="651">
        <f>ERP_27[[#This Row],[2026 Working Total]]-ERP_27[[#This Row],[LE2 Final Submission]]</f>
        <v>0</v>
      </c>
      <c r="AO320" s="688">
        <v>0</v>
      </c>
      <c r="AP320" s="688">
        <f t="shared" si="22"/>
        <v>0</v>
      </c>
      <c r="AQ320" s="374">
        <f>SUM(ERP_27[[#This Row],[AP01]:[AP06]])-SUM(ERP_27[[#This Row],[AP01 LE2]:[AP06 LE2]])</f>
        <v>0</v>
      </c>
      <c r="AR320" s="689"/>
      <c r="AS320" s="688">
        <f>ERP_27[[#This Row],[2026 Working Total to Budget/LE]]-ERP_27[[#This Row],[Giveback]]</f>
        <v>0</v>
      </c>
      <c r="AT320" s="690" t="s">
        <v>1368</v>
      </c>
      <c r="AU320" s="655">
        <v>3558.41</v>
      </c>
      <c r="AV320" s="655">
        <v>0</v>
      </c>
      <c r="AW320" s="655">
        <v>0</v>
      </c>
      <c r="AX320" s="655">
        <v>0</v>
      </c>
      <c r="AY320" s="655">
        <v>0</v>
      </c>
      <c r="AZ320" s="655">
        <v>0</v>
      </c>
      <c r="BA320" s="655">
        <v>0</v>
      </c>
      <c r="BB320" s="655">
        <v>0</v>
      </c>
      <c r="BC320" s="655">
        <v>0</v>
      </c>
      <c r="BD320" s="655">
        <v>0</v>
      </c>
      <c r="BE320" s="655">
        <v>0</v>
      </c>
      <c r="BF320" s="655">
        <v>0</v>
      </c>
      <c r="BG320" s="655">
        <v>3558.41</v>
      </c>
      <c r="BH320" s="688">
        <v>3558.41</v>
      </c>
      <c r="BI320" s="688">
        <v>0</v>
      </c>
      <c r="BJ320" s="688">
        <v>0</v>
      </c>
      <c r="BK320" s="688">
        <v>0</v>
      </c>
      <c r="BL320" s="688">
        <v>0</v>
      </c>
      <c r="BM320" s="688">
        <v>0</v>
      </c>
      <c r="BN320" s="688">
        <v>0</v>
      </c>
      <c r="BO320" s="688">
        <v>0</v>
      </c>
      <c r="BP320" s="688">
        <v>0</v>
      </c>
      <c r="BQ320" s="688">
        <v>0</v>
      </c>
      <c r="BR320" s="688">
        <v>0</v>
      </c>
      <c r="BS320" s="688">
        <v>0</v>
      </c>
      <c r="BT320" s="688">
        <v>3558.41</v>
      </c>
    </row>
    <row r="321" spans="1:72" ht="15" hidden="1" customHeight="1">
      <c r="A321" s="66" t="s">
        <v>2072</v>
      </c>
      <c r="B321" s="66"/>
      <c r="C321" s="66" t="s">
        <v>560</v>
      </c>
      <c r="D321" s="66" t="s">
        <v>560</v>
      </c>
      <c r="E321" s="150" t="s">
        <v>1136</v>
      </c>
      <c r="F321" s="482" t="s">
        <v>1566</v>
      </c>
      <c r="G321" s="150" t="s">
        <v>1515</v>
      </c>
      <c r="H321" s="383" t="s">
        <v>1515</v>
      </c>
      <c r="I321" s="150" t="s">
        <v>1345</v>
      </c>
      <c r="J321" s="150" t="s">
        <v>1515</v>
      </c>
      <c r="K321" s="150" t="s">
        <v>1346</v>
      </c>
      <c r="L321" s="511" t="s">
        <v>389</v>
      </c>
      <c r="M321" s="392" t="s">
        <v>1855</v>
      </c>
      <c r="N321" s="343"/>
      <c r="O321" s="343"/>
      <c r="P321" s="70" t="s">
        <v>466</v>
      </c>
      <c r="Q321" s="346"/>
      <c r="R321" s="346" t="s">
        <v>1140</v>
      </c>
      <c r="S321" s="346"/>
      <c r="T321" s="150" t="s">
        <v>57</v>
      </c>
      <c r="U321" s="150"/>
      <c r="V321" s="643"/>
      <c r="W321" s="659">
        <v>0</v>
      </c>
      <c r="X321" s="659">
        <v>3562</v>
      </c>
      <c r="Y321" s="656"/>
      <c r="Z321" s="657"/>
      <c r="AA321" s="714">
        <v>60</v>
      </c>
      <c r="AB321" s="428">
        <v>0</v>
      </c>
      <c r="AC321" s="428">
        <v>3502</v>
      </c>
      <c r="AD321" s="428">
        <v>0</v>
      </c>
      <c r="AE321" s="429">
        <v>0</v>
      </c>
      <c r="AF321" s="429">
        <v>60</v>
      </c>
      <c r="AG321" s="649">
        <v>0</v>
      </c>
      <c r="AH321" s="649">
        <v>0</v>
      </c>
      <c r="AI321" s="649">
        <v>0</v>
      </c>
      <c r="AJ321" s="649">
        <v>0</v>
      </c>
      <c r="AK321" s="649">
        <v>0</v>
      </c>
      <c r="AL321" s="649">
        <v>0</v>
      </c>
      <c r="AM321" s="649">
        <f t="shared" si="23"/>
        <v>3622</v>
      </c>
      <c r="AN321" s="651">
        <f>ERP_27[[#This Row],[2026 Working Total]]-ERP_27[[#This Row],[LE2 Final Submission]]</f>
        <v>60</v>
      </c>
      <c r="AO321" s="652">
        <v>0</v>
      </c>
      <c r="AP321" s="652">
        <f t="shared" si="22"/>
        <v>60</v>
      </c>
      <c r="AQ321" s="374">
        <f>SUM(ERP_27[[#This Row],[AP01]:[AP06]])-SUM(ERP_27[[#This Row],[AP01 LE2]:[AP06 LE2]])</f>
        <v>60</v>
      </c>
      <c r="AR321" s="653"/>
      <c r="AS321" s="652">
        <f>ERP_27[[#This Row],[2026 Working Total to Budget/LE]]-ERP_27[[#This Row],[Giveback]]</f>
        <v>60</v>
      </c>
      <c r="AT321" s="654"/>
      <c r="AU321" s="655">
        <v>60</v>
      </c>
      <c r="AV321" s="655">
        <v>0</v>
      </c>
      <c r="AW321" s="655">
        <v>3502</v>
      </c>
      <c r="AX321" s="655">
        <v>0</v>
      </c>
      <c r="AY321" s="655">
        <v>0</v>
      </c>
      <c r="AZ321" s="655">
        <v>0</v>
      </c>
      <c r="BA321" s="655">
        <v>0</v>
      </c>
      <c r="BB321" s="655">
        <v>0</v>
      </c>
      <c r="BC321" s="655">
        <v>0</v>
      </c>
      <c r="BD321" s="655">
        <v>0</v>
      </c>
      <c r="BE321" s="655">
        <v>0</v>
      </c>
      <c r="BF321" s="655">
        <v>0</v>
      </c>
      <c r="BG321" s="655">
        <v>3562</v>
      </c>
      <c r="BH321" s="652">
        <v>60</v>
      </c>
      <c r="BI321" s="652">
        <v>0</v>
      </c>
      <c r="BJ321" s="652">
        <v>3502</v>
      </c>
      <c r="BK321" s="652">
        <v>0</v>
      </c>
      <c r="BL321" s="652">
        <v>0</v>
      </c>
      <c r="BM321" s="652">
        <v>0</v>
      </c>
      <c r="BN321" s="652">
        <v>0</v>
      </c>
      <c r="BO321" s="652">
        <v>0</v>
      </c>
      <c r="BP321" s="652">
        <v>0</v>
      </c>
      <c r="BQ321" s="652">
        <v>0</v>
      </c>
      <c r="BR321" s="652">
        <v>0</v>
      </c>
      <c r="BS321" s="652">
        <v>0</v>
      </c>
      <c r="BT321" s="652">
        <v>3562</v>
      </c>
    </row>
    <row r="322" spans="1:72" ht="15" hidden="1" customHeight="1">
      <c r="A322" s="66" t="s">
        <v>2609</v>
      </c>
      <c r="B322" s="66"/>
      <c r="C322" s="66" t="s">
        <v>904</v>
      </c>
      <c r="D322" s="66" t="s">
        <v>904</v>
      </c>
      <c r="E322" s="150" t="s">
        <v>1136</v>
      </c>
      <c r="F322" s="482" t="s">
        <v>1566</v>
      </c>
      <c r="G322" s="383" t="s">
        <v>1344</v>
      </c>
      <c r="H322" s="383" t="s">
        <v>1344</v>
      </c>
      <c r="I322" s="150" t="s">
        <v>1345</v>
      </c>
      <c r="J322" s="150" t="s">
        <v>1344</v>
      </c>
      <c r="K322" s="150" t="s">
        <v>1346</v>
      </c>
      <c r="L322" s="511" t="s">
        <v>639</v>
      </c>
      <c r="M322" s="392" t="s">
        <v>1967</v>
      </c>
      <c r="N322" s="343"/>
      <c r="O322" s="343"/>
      <c r="P322" s="70" t="s">
        <v>495</v>
      </c>
      <c r="Q322" s="346"/>
      <c r="R322" s="346" t="s">
        <v>1140</v>
      </c>
      <c r="S322" s="346"/>
      <c r="T322" s="150" t="s">
        <v>57</v>
      </c>
      <c r="U322" s="150"/>
      <c r="V322" s="643"/>
      <c r="W322" s="659">
        <v>3348</v>
      </c>
      <c r="X322" s="659">
        <v>3659.38</v>
      </c>
      <c r="Y322" s="656"/>
      <c r="Z322" s="657"/>
      <c r="AA322" s="714">
        <v>279.45999999999998</v>
      </c>
      <c r="AB322" s="428">
        <v>279.45999999999998</v>
      </c>
      <c r="AC322" s="428">
        <v>589.46</v>
      </c>
      <c r="AD322" s="428">
        <v>279.45999999999998</v>
      </c>
      <c r="AE322" s="429">
        <v>279.45999999999998</v>
      </c>
      <c r="AF322" s="429">
        <v>279.45999999999998</v>
      </c>
      <c r="AG322" s="649">
        <v>279</v>
      </c>
      <c r="AH322" s="649">
        <v>279</v>
      </c>
      <c r="AI322" s="649">
        <v>279</v>
      </c>
      <c r="AJ322" s="649">
        <v>279</v>
      </c>
      <c r="AK322" s="649">
        <v>279</v>
      </c>
      <c r="AL322" s="649">
        <v>279</v>
      </c>
      <c r="AM322" s="667">
        <f t="shared" si="23"/>
        <v>3660.76</v>
      </c>
      <c r="AN322" s="651">
        <f>ERP_27[[#This Row],[2026 Working Total]]-ERP_27[[#This Row],[LE2 Final Submission]]</f>
        <v>1.3800000000001091</v>
      </c>
      <c r="AO322" s="652">
        <v>279</v>
      </c>
      <c r="AP322" s="652">
        <f t="shared" si="22"/>
        <v>0.45999999999997954</v>
      </c>
      <c r="AQ322" s="374">
        <f>SUM(ERP_27[[#This Row],[AP01]:[AP06]])-SUM(ERP_27[[#This Row],[AP01 LE2]:[AP06 LE2]])</f>
        <v>1.3800000000001091</v>
      </c>
      <c r="AR322" s="653"/>
      <c r="AS322" s="652">
        <f>ERP_27[[#This Row],[2026 Working Total to Budget/LE]]-ERP_27[[#This Row],[Giveback]]</f>
        <v>1.3800000000001091</v>
      </c>
      <c r="AT322" s="654" t="s">
        <v>2610</v>
      </c>
      <c r="AU322" s="655">
        <v>279.45999999999998</v>
      </c>
      <c r="AV322" s="655">
        <v>279.45999999999998</v>
      </c>
      <c r="AW322" s="655">
        <v>589.46</v>
      </c>
      <c r="AX322" s="655">
        <v>279</v>
      </c>
      <c r="AY322" s="655">
        <v>279</v>
      </c>
      <c r="AZ322" s="655">
        <v>279</v>
      </c>
      <c r="BA322" s="655">
        <v>279</v>
      </c>
      <c r="BB322" s="655">
        <v>279</v>
      </c>
      <c r="BC322" s="655">
        <v>279</v>
      </c>
      <c r="BD322" s="655">
        <v>279</v>
      </c>
      <c r="BE322" s="655">
        <v>279</v>
      </c>
      <c r="BF322" s="655">
        <v>279</v>
      </c>
      <c r="BG322" s="655">
        <v>3659.38</v>
      </c>
      <c r="BH322" s="652">
        <v>279.45999999999998</v>
      </c>
      <c r="BI322" s="652">
        <v>279.45999999999998</v>
      </c>
      <c r="BJ322" s="652">
        <v>589.46</v>
      </c>
      <c r="BK322" s="652">
        <v>279</v>
      </c>
      <c r="BL322" s="652">
        <v>279</v>
      </c>
      <c r="BM322" s="652">
        <v>279</v>
      </c>
      <c r="BN322" s="652">
        <v>279</v>
      </c>
      <c r="BO322" s="652">
        <v>279</v>
      </c>
      <c r="BP322" s="652">
        <v>279</v>
      </c>
      <c r="BQ322" s="652">
        <v>279</v>
      </c>
      <c r="BR322" s="652">
        <v>279</v>
      </c>
      <c r="BS322" s="652">
        <v>279</v>
      </c>
      <c r="BT322" s="652">
        <v>3659.38</v>
      </c>
    </row>
    <row r="323" spans="1:72" ht="15" hidden="1" customHeight="1">
      <c r="A323" s="66" t="s">
        <v>2194</v>
      </c>
      <c r="B323" s="66"/>
      <c r="C323" s="66" t="s">
        <v>633</v>
      </c>
      <c r="D323" s="66" t="s">
        <v>633</v>
      </c>
      <c r="E323" s="150" t="s">
        <v>1136</v>
      </c>
      <c r="F323" s="482" t="s">
        <v>1566</v>
      </c>
      <c r="G323" s="150" t="s">
        <v>1515</v>
      </c>
      <c r="H323" s="383" t="s">
        <v>1515</v>
      </c>
      <c r="I323" s="150" t="s">
        <v>1345</v>
      </c>
      <c r="J323" s="150" t="s">
        <v>1515</v>
      </c>
      <c r="K323" s="150" t="s">
        <v>1346</v>
      </c>
      <c r="L323" s="511" t="s">
        <v>629</v>
      </c>
      <c r="M323" s="392" t="s">
        <v>1327</v>
      </c>
      <c r="N323" s="343"/>
      <c r="O323" s="343"/>
      <c r="P323" s="70" t="s">
        <v>147</v>
      </c>
      <c r="Q323" s="346"/>
      <c r="R323" s="343"/>
      <c r="S323" s="346"/>
      <c r="T323" s="150" t="s">
        <v>25</v>
      </c>
      <c r="U323" s="150"/>
      <c r="V323" s="643"/>
      <c r="W323" s="659">
        <v>0</v>
      </c>
      <c r="X323" s="659">
        <v>1.999999999999999E-2</v>
      </c>
      <c r="Y323" s="656"/>
      <c r="Z323" s="657"/>
      <c r="AA323" s="714"/>
      <c r="AB323" s="428">
        <v>0.21</v>
      </c>
      <c r="AC323" s="428">
        <v>-0.19</v>
      </c>
      <c r="AD323" s="428">
        <v>0</v>
      </c>
      <c r="AE323" s="429">
        <v>2430.29</v>
      </c>
      <c r="AF323" s="429">
        <v>1250.79</v>
      </c>
      <c r="AG323" s="649">
        <v>0</v>
      </c>
      <c r="AH323" s="649">
        <v>0</v>
      </c>
      <c r="AI323" s="649">
        <v>0</v>
      </c>
      <c r="AJ323" s="649">
        <v>0</v>
      </c>
      <c r="AK323" s="649">
        <v>0</v>
      </c>
      <c r="AL323" s="649">
        <v>0</v>
      </c>
      <c r="AM323" s="667">
        <f t="shared" si="23"/>
        <v>3681.1</v>
      </c>
      <c r="AN323" s="651">
        <f>ERP_27[[#This Row],[2026 Working Total]]-ERP_27[[#This Row],[LE2 Final Submission]]</f>
        <v>3681.08</v>
      </c>
      <c r="AO323" s="652">
        <v>0</v>
      </c>
      <c r="AP323" s="652">
        <f t="shared" si="22"/>
        <v>1250.79</v>
      </c>
      <c r="AQ323" s="374">
        <f>SUM(ERP_27[[#This Row],[AP01]:[AP06]])-SUM(ERP_27[[#This Row],[AP01 LE2]:[AP06 LE2]])</f>
        <v>3681.08</v>
      </c>
      <c r="AR323" s="653"/>
      <c r="AS323" s="652">
        <f>ERP_27[[#This Row],[2026 Working Total to Budget/LE]]-ERP_27[[#This Row],[Giveback]]</f>
        <v>3681.08</v>
      </c>
      <c r="AT323" s="654"/>
      <c r="AU323" s="655"/>
      <c r="AV323" s="655">
        <v>0.21</v>
      </c>
      <c r="AW323" s="655">
        <v>-0.19</v>
      </c>
      <c r="AX323" s="655">
        <v>0</v>
      </c>
      <c r="AY323" s="655">
        <v>0</v>
      </c>
      <c r="AZ323" s="655">
        <v>0</v>
      </c>
      <c r="BA323" s="655">
        <v>0</v>
      </c>
      <c r="BB323" s="655">
        <v>0</v>
      </c>
      <c r="BC323" s="655">
        <v>0</v>
      </c>
      <c r="BD323" s="655">
        <v>0</v>
      </c>
      <c r="BE323" s="655">
        <v>0</v>
      </c>
      <c r="BF323" s="655">
        <v>0</v>
      </c>
      <c r="BG323" s="655">
        <v>1.999999999999999E-2</v>
      </c>
      <c r="BH323" s="652"/>
      <c r="BI323" s="652">
        <v>0.21</v>
      </c>
      <c r="BJ323" s="652">
        <v>-0.19</v>
      </c>
      <c r="BK323" s="652">
        <v>0</v>
      </c>
      <c r="BL323" s="652">
        <v>0</v>
      </c>
      <c r="BM323" s="652">
        <v>0</v>
      </c>
      <c r="BN323" s="652">
        <v>0</v>
      </c>
      <c r="BO323" s="652">
        <v>0</v>
      </c>
      <c r="BP323" s="652">
        <v>0</v>
      </c>
      <c r="BQ323" s="652">
        <v>0</v>
      </c>
      <c r="BR323" s="652">
        <v>0</v>
      </c>
      <c r="BS323" s="652">
        <v>0</v>
      </c>
      <c r="BT323" s="652">
        <v>1.999999999999999E-2</v>
      </c>
    </row>
    <row r="324" spans="1:72" ht="15" hidden="1" customHeight="1">
      <c r="A324" s="66" t="s">
        <v>1422</v>
      </c>
      <c r="B324" s="66"/>
      <c r="C324" s="66" t="s">
        <v>193</v>
      </c>
      <c r="D324" s="66" t="s">
        <v>193</v>
      </c>
      <c r="E324" s="150" t="s">
        <v>1136</v>
      </c>
      <c r="F324" s="482" t="s">
        <v>1566</v>
      </c>
      <c r="G324" s="383" t="s">
        <v>1344</v>
      </c>
      <c r="H324" s="383" t="s">
        <v>1344</v>
      </c>
      <c r="I324" s="150" t="s">
        <v>1345</v>
      </c>
      <c r="J324" s="150" t="s">
        <v>1344</v>
      </c>
      <c r="K324" s="150" t="s">
        <v>1346</v>
      </c>
      <c r="L324" s="511" t="s">
        <v>49</v>
      </c>
      <c r="M324" s="392" t="s">
        <v>1423</v>
      </c>
      <c r="N324" s="343"/>
      <c r="O324" s="343"/>
      <c r="P324" s="70" t="s">
        <v>194</v>
      </c>
      <c r="Q324" s="346"/>
      <c r="R324" s="343"/>
      <c r="S324" s="346"/>
      <c r="T324" s="150" t="s">
        <v>25</v>
      </c>
      <c r="U324" s="150"/>
      <c r="V324" s="643"/>
      <c r="W324" s="659">
        <v>0</v>
      </c>
      <c r="X324" s="659">
        <v>3710</v>
      </c>
      <c r="Y324" s="656"/>
      <c r="Z324" s="657"/>
      <c r="AA324" s="714"/>
      <c r="AB324" s="428">
        <v>3710</v>
      </c>
      <c r="AC324" s="428">
        <v>0</v>
      </c>
      <c r="AD324" s="428">
        <v>0</v>
      </c>
      <c r="AE324" s="429">
        <v>0</v>
      </c>
      <c r="AF324" s="429">
        <v>0</v>
      </c>
      <c r="AG324" s="649">
        <v>0</v>
      </c>
      <c r="AH324" s="649">
        <v>0</v>
      </c>
      <c r="AI324" s="649">
        <v>0</v>
      </c>
      <c r="AJ324" s="649">
        <v>0</v>
      </c>
      <c r="AK324" s="649">
        <v>0</v>
      </c>
      <c r="AL324" s="649">
        <v>0</v>
      </c>
      <c r="AM324" s="649">
        <f t="shared" si="23"/>
        <v>3710</v>
      </c>
      <c r="AN324" s="651">
        <f>ERP_27[[#This Row],[2026 Working Total]]-ERP_27[[#This Row],[LE2 Final Submission]]</f>
        <v>0</v>
      </c>
      <c r="AO324" s="652">
        <v>0</v>
      </c>
      <c r="AP324" s="652">
        <f t="shared" si="22"/>
        <v>0</v>
      </c>
      <c r="AQ324" s="374">
        <f>SUM(ERP_27[[#This Row],[AP01]:[AP06]])-SUM(ERP_27[[#This Row],[AP01 LE2]:[AP06 LE2]])</f>
        <v>0</v>
      </c>
      <c r="AR324" s="653"/>
      <c r="AS324" s="652">
        <f>ERP_27[[#This Row],[2026 Working Total to Budget/LE]]-ERP_27[[#This Row],[Giveback]]</f>
        <v>0</v>
      </c>
      <c r="AT324" s="690" t="s">
        <v>1424</v>
      </c>
      <c r="AU324" s="655"/>
      <c r="AV324" s="655">
        <v>3710</v>
      </c>
      <c r="AW324" s="655">
        <v>0</v>
      </c>
      <c r="AX324" s="655">
        <v>0</v>
      </c>
      <c r="AY324" s="655">
        <v>0</v>
      </c>
      <c r="AZ324" s="655">
        <v>0</v>
      </c>
      <c r="BA324" s="655">
        <v>0</v>
      </c>
      <c r="BB324" s="655">
        <v>0</v>
      </c>
      <c r="BC324" s="655">
        <v>0</v>
      </c>
      <c r="BD324" s="655">
        <v>0</v>
      </c>
      <c r="BE324" s="655">
        <v>0</v>
      </c>
      <c r="BF324" s="655">
        <v>0</v>
      </c>
      <c r="BG324" s="655">
        <v>3710</v>
      </c>
      <c r="BH324" s="652"/>
      <c r="BI324" s="652">
        <v>3710</v>
      </c>
      <c r="BJ324" s="652">
        <v>0</v>
      </c>
      <c r="BK324" s="652">
        <v>0</v>
      </c>
      <c r="BL324" s="652">
        <v>0</v>
      </c>
      <c r="BM324" s="652">
        <v>0</v>
      </c>
      <c r="BN324" s="652">
        <v>0</v>
      </c>
      <c r="BO324" s="652">
        <v>0</v>
      </c>
      <c r="BP324" s="652">
        <v>0</v>
      </c>
      <c r="BQ324" s="652">
        <v>0</v>
      </c>
      <c r="BR324" s="652">
        <v>0</v>
      </c>
      <c r="BS324" s="652">
        <v>0</v>
      </c>
      <c r="BT324" s="652">
        <v>3710</v>
      </c>
    </row>
    <row r="325" spans="1:72" ht="15" hidden="1" customHeight="1">
      <c r="A325" s="66" t="s">
        <v>2615</v>
      </c>
      <c r="B325" s="66"/>
      <c r="C325" s="66" t="s">
        <v>907</v>
      </c>
      <c r="D325" s="66" t="s">
        <v>907</v>
      </c>
      <c r="E325" s="150" t="s">
        <v>1136</v>
      </c>
      <c r="F325" s="482" t="s">
        <v>1566</v>
      </c>
      <c r="G325" s="383" t="s">
        <v>1344</v>
      </c>
      <c r="H325" s="383" t="s">
        <v>1344</v>
      </c>
      <c r="I325" s="150" t="s">
        <v>1345</v>
      </c>
      <c r="J325" s="150" t="s">
        <v>1344</v>
      </c>
      <c r="K325" s="150" t="s">
        <v>1346</v>
      </c>
      <c r="L325" s="511" t="s">
        <v>639</v>
      </c>
      <c r="M325" s="392" t="s">
        <v>2291</v>
      </c>
      <c r="N325" s="343"/>
      <c r="O325" s="343"/>
      <c r="P325" s="70" t="s">
        <v>679</v>
      </c>
      <c r="Q325" s="346"/>
      <c r="R325" s="346" t="s">
        <v>1140</v>
      </c>
      <c r="S325" s="346"/>
      <c r="T325" s="150" t="s">
        <v>680</v>
      </c>
      <c r="U325" s="150"/>
      <c r="V325" s="643"/>
      <c r="W325" s="659">
        <v>6000</v>
      </c>
      <c r="X325" s="659">
        <v>4931</v>
      </c>
      <c r="Y325" s="656"/>
      <c r="Z325" s="657"/>
      <c r="AA325" s="714">
        <v>431</v>
      </c>
      <c r="AB325" s="428">
        <v>0</v>
      </c>
      <c r="AC325" s="428">
        <v>0</v>
      </c>
      <c r="AD325" s="428">
        <v>0</v>
      </c>
      <c r="AE325" s="429">
        <v>0</v>
      </c>
      <c r="AF325" s="429">
        <v>431</v>
      </c>
      <c r="AG325" s="649">
        <v>500</v>
      </c>
      <c r="AH325" s="649">
        <v>500</v>
      </c>
      <c r="AI325" s="649">
        <v>500</v>
      </c>
      <c r="AJ325" s="649">
        <v>500</v>
      </c>
      <c r="AK325" s="649">
        <v>500</v>
      </c>
      <c r="AL325" s="649">
        <v>500</v>
      </c>
      <c r="AM325" s="649">
        <f t="shared" si="23"/>
        <v>3862</v>
      </c>
      <c r="AN325" s="651">
        <f>ERP_27[[#This Row],[2026 Working Total]]-ERP_27[[#This Row],[LE2 Final Submission]]</f>
        <v>-1069</v>
      </c>
      <c r="AO325" s="652">
        <v>500</v>
      </c>
      <c r="AP325" s="652">
        <f t="shared" si="22"/>
        <v>-69</v>
      </c>
      <c r="AQ325" s="374">
        <f>SUM(ERP_27[[#This Row],[AP01]:[AP06]])-SUM(ERP_27[[#This Row],[AP01 LE2]:[AP06 LE2]])</f>
        <v>-1069</v>
      </c>
      <c r="AR325" s="653"/>
      <c r="AS325" s="652">
        <f>ERP_27[[#This Row],[2026 Working Total to Budget/LE]]-ERP_27[[#This Row],[Giveback]]</f>
        <v>-1069</v>
      </c>
      <c r="AT325" s="654"/>
      <c r="AU325" s="655">
        <v>431</v>
      </c>
      <c r="AV325" s="655">
        <v>0</v>
      </c>
      <c r="AW325" s="655">
        <v>0</v>
      </c>
      <c r="AX325" s="655">
        <v>500</v>
      </c>
      <c r="AY325" s="655">
        <v>500</v>
      </c>
      <c r="AZ325" s="655">
        <v>500</v>
      </c>
      <c r="BA325" s="655">
        <v>500</v>
      </c>
      <c r="BB325" s="655">
        <v>500</v>
      </c>
      <c r="BC325" s="655">
        <v>500</v>
      </c>
      <c r="BD325" s="655">
        <v>500</v>
      </c>
      <c r="BE325" s="655">
        <v>500</v>
      </c>
      <c r="BF325" s="655">
        <v>500</v>
      </c>
      <c r="BG325" s="655">
        <v>4931</v>
      </c>
      <c r="BH325" s="652">
        <v>431</v>
      </c>
      <c r="BI325" s="652">
        <v>0</v>
      </c>
      <c r="BJ325" s="652">
        <v>0</v>
      </c>
      <c r="BK325" s="652">
        <v>500</v>
      </c>
      <c r="BL325" s="652">
        <v>500</v>
      </c>
      <c r="BM325" s="652">
        <v>500</v>
      </c>
      <c r="BN325" s="652">
        <v>500</v>
      </c>
      <c r="BO325" s="652">
        <v>500</v>
      </c>
      <c r="BP325" s="652">
        <v>500</v>
      </c>
      <c r="BQ325" s="652">
        <v>500</v>
      </c>
      <c r="BR325" s="652">
        <v>500</v>
      </c>
      <c r="BS325" s="652">
        <v>500</v>
      </c>
      <c r="BT325" s="652">
        <v>4931</v>
      </c>
    </row>
    <row r="326" spans="1:72" ht="15" hidden="1" customHeight="1">
      <c r="A326" s="66" t="s">
        <v>2564</v>
      </c>
      <c r="B326" s="66"/>
      <c r="C326" s="66" t="s">
        <v>877</v>
      </c>
      <c r="D326" s="66" t="s">
        <v>2565</v>
      </c>
      <c r="E326" s="150" t="s">
        <v>1136</v>
      </c>
      <c r="F326" s="482" t="s">
        <v>1566</v>
      </c>
      <c r="G326" s="150" t="s">
        <v>1135</v>
      </c>
      <c r="H326" s="150" t="s">
        <v>1145</v>
      </c>
      <c r="I326" s="150" t="s">
        <v>1135</v>
      </c>
      <c r="J326" s="150" t="s">
        <v>1145</v>
      </c>
      <c r="K326" s="150" t="s">
        <v>1137</v>
      </c>
      <c r="L326" s="511" t="s">
        <v>639</v>
      </c>
      <c r="M326" s="392" t="s">
        <v>2566</v>
      </c>
      <c r="N326" s="343"/>
      <c r="O326" s="343"/>
      <c r="P326" s="70" t="s">
        <v>878</v>
      </c>
      <c r="Q326" s="346"/>
      <c r="R326" s="343"/>
      <c r="S326" s="346"/>
      <c r="T326" s="150" t="s">
        <v>849</v>
      </c>
      <c r="U326" s="150"/>
      <c r="V326" s="643"/>
      <c r="W326" s="659">
        <v>4000</v>
      </c>
      <c r="X326" s="659">
        <v>4000</v>
      </c>
      <c r="Y326" s="656"/>
      <c r="Z326" s="657"/>
      <c r="AA326" s="714">
        <v>0.1</v>
      </c>
      <c r="AB326" s="428">
        <v>-0.1</v>
      </c>
      <c r="AC326" s="428"/>
      <c r="AD326" s="428">
        <v>0</v>
      </c>
      <c r="AE326" s="429">
        <v>0</v>
      </c>
      <c r="AF326" s="429">
        <v>0</v>
      </c>
      <c r="AG326" s="649">
        <v>4000</v>
      </c>
      <c r="AH326" s="649">
        <v>0</v>
      </c>
      <c r="AI326" s="649">
        <v>0</v>
      </c>
      <c r="AJ326" s="649">
        <v>0</v>
      </c>
      <c r="AK326" s="649">
        <v>0</v>
      </c>
      <c r="AL326" s="649">
        <v>0</v>
      </c>
      <c r="AM326" s="649">
        <f t="shared" si="23"/>
        <v>4000</v>
      </c>
      <c r="AN326" s="651">
        <f>ERP_27[[#This Row],[2026 Working Total]]-ERP_27[[#This Row],[LE2 Final Submission]]</f>
        <v>0</v>
      </c>
      <c r="AO326" s="652"/>
      <c r="AP326" s="652">
        <f t="shared" si="22"/>
        <v>0</v>
      </c>
      <c r="AQ326" s="374">
        <f>SUM(ERP_27[[#This Row],[AP01]:[AP06]])-SUM(ERP_27[[#This Row],[AP01 LE2]:[AP06 LE2]])</f>
        <v>-2000</v>
      </c>
      <c r="AR326" s="653"/>
      <c r="AS326" s="652">
        <f>ERP_27[[#This Row],[2026 Working Total to Budget/LE]]-ERP_27[[#This Row],[Giveback]]</f>
        <v>0</v>
      </c>
      <c r="AT326" s="654"/>
      <c r="AU326" s="655">
        <v>0.1</v>
      </c>
      <c r="AV326" s="655">
        <v>-0.1</v>
      </c>
      <c r="AW326" s="655"/>
      <c r="AX326" s="655"/>
      <c r="AY326" s="655"/>
      <c r="AZ326" s="655">
        <v>2000</v>
      </c>
      <c r="BA326" s="655">
        <v>2000</v>
      </c>
      <c r="BB326" s="655">
        <v>0</v>
      </c>
      <c r="BC326" s="655">
        <v>0</v>
      </c>
      <c r="BD326" s="655">
        <v>0</v>
      </c>
      <c r="BE326" s="655">
        <v>0</v>
      </c>
      <c r="BF326" s="655">
        <v>0</v>
      </c>
      <c r="BG326" s="655">
        <v>4000</v>
      </c>
      <c r="BH326" s="652">
        <v>0.1</v>
      </c>
      <c r="BI326" s="652">
        <v>-0.1</v>
      </c>
      <c r="BJ326" s="652"/>
      <c r="BK326" s="652"/>
      <c r="BL326" s="652"/>
      <c r="BM326" s="652">
        <v>2000</v>
      </c>
      <c r="BN326" s="652">
        <v>2000</v>
      </c>
      <c r="BO326" s="652">
        <v>0</v>
      </c>
      <c r="BP326" s="652">
        <v>0</v>
      </c>
      <c r="BQ326" s="652">
        <v>0</v>
      </c>
      <c r="BR326" s="652">
        <v>0</v>
      </c>
      <c r="BS326" s="652">
        <v>0</v>
      </c>
      <c r="BT326" s="652">
        <v>4000</v>
      </c>
    </row>
    <row r="327" spans="1:72" ht="15" hidden="1" customHeight="1">
      <c r="A327" s="66" t="s">
        <v>1789</v>
      </c>
      <c r="B327" s="66"/>
      <c r="C327" s="66" t="s">
        <v>416</v>
      </c>
      <c r="D327" s="66" t="s">
        <v>416</v>
      </c>
      <c r="E327" s="150" t="s">
        <v>1136</v>
      </c>
      <c r="F327" s="482" t="s">
        <v>1566</v>
      </c>
      <c r="G327" s="150" t="s">
        <v>1135</v>
      </c>
      <c r="H327" s="150" t="s">
        <v>1135</v>
      </c>
      <c r="I327" s="150" t="s">
        <v>1135</v>
      </c>
      <c r="J327" s="150" t="s">
        <v>1135</v>
      </c>
      <c r="K327" s="150" t="s">
        <v>1137</v>
      </c>
      <c r="L327" s="511" t="s">
        <v>389</v>
      </c>
      <c r="M327" s="392" t="s">
        <v>1147</v>
      </c>
      <c r="N327" s="343"/>
      <c r="O327" s="343"/>
      <c r="P327" s="70" t="s">
        <v>53</v>
      </c>
      <c r="Q327" s="346" t="s">
        <v>1153</v>
      </c>
      <c r="R327" s="343"/>
      <c r="S327" s="346"/>
      <c r="T327" s="150" t="s">
        <v>25</v>
      </c>
      <c r="U327" s="150"/>
      <c r="V327" s="643"/>
      <c r="W327" s="659">
        <v>0</v>
      </c>
      <c r="X327" s="659">
        <v>2101</v>
      </c>
      <c r="Y327" s="656"/>
      <c r="Z327" s="657"/>
      <c r="AA327" s="714">
        <v>1821</v>
      </c>
      <c r="AB327" s="428">
        <v>140</v>
      </c>
      <c r="AC327" s="428">
        <v>140</v>
      </c>
      <c r="AD327" s="428">
        <v>139</v>
      </c>
      <c r="AE327" s="429">
        <v>2028.9999999999998</v>
      </c>
      <c r="AF327" s="429">
        <v>0</v>
      </c>
      <c r="AG327" s="649">
        <v>0</v>
      </c>
      <c r="AH327" s="649">
        <v>0</v>
      </c>
      <c r="AI327" s="649">
        <v>0</v>
      </c>
      <c r="AJ327" s="649">
        <v>0</v>
      </c>
      <c r="AK327" s="649">
        <v>0</v>
      </c>
      <c r="AL327" s="649">
        <v>0</v>
      </c>
      <c r="AM327" s="649">
        <f t="shared" si="23"/>
        <v>4269</v>
      </c>
      <c r="AN327" s="651">
        <f>ERP_27[[#This Row],[2026 Working Total]]-ERP_27[[#This Row],[LE2 Final Submission]]</f>
        <v>2168</v>
      </c>
      <c r="AO327" s="652">
        <v>0</v>
      </c>
      <c r="AP327" s="652">
        <f t="shared" si="22"/>
        <v>0</v>
      </c>
      <c r="AQ327" s="374">
        <f>SUM(ERP_27[[#This Row],[AP01]:[AP06]])-SUM(ERP_27[[#This Row],[AP01 LE2]:[AP06 LE2]])</f>
        <v>2168</v>
      </c>
      <c r="AR327" s="653"/>
      <c r="AS327" s="652">
        <f>ERP_27[[#This Row],[2026 Working Total to Budget/LE]]-ERP_27[[#This Row],[Giveback]]</f>
        <v>2168</v>
      </c>
      <c r="AT327" s="654"/>
      <c r="AU327" s="655">
        <v>1821</v>
      </c>
      <c r="AV327" s="655">
        <v>140</v>
      </c>
      <c r="AW327" s="655">
        <v>140</v>
      </c>
      <c r="AX327" s="655">
        <v>0</v>
      </c>
      <c r="AY327" s="655">
        <v>0</v>
      </c>
      <c r="AZ327" s="655">
        <v>0</v>
      </c>
      <c r="BA327" s="655">
        <v>0</v>
      </c>
      <c r="BB327" s="655">
        <v>0</v>
      </c>
      <c r="BC327" s="655">
        <v>0</v>
      </c>
      <c r="BD327" s="655">
        <v>0</v>
      </c>
      <c r="BE327" s="655">
        <v>0</v>
      </c>
      <c r="BF327" s="655">
        <v>0</v>
      </c>
      <c r="BG327" s="655">
        <v>2101</v>
      </c>
      <c r="BH327" s="652">
        <v>1821</v>
      </c>
      <c r="BI327" s="652">
        <v>140</v>
      </c>
      <c r="BJ327" s="652">
        <v>140</v>
      </c>
      <c r="BK327" s="652">
        <v>0</v>
      </c>
      <c r="BL327" s="652">
        <v>0</v>
      </c>
      <c r="BM327" s="652">
        <v>0</v>
      </c>
      <c r="BN327" s="652">
        <v>0</v>
      </c>
      <c r="BO327" s="652">
        <v>0</v>
      </c>
      <c r="BP327" s="652">
        <v>0</v>
      </c>
      <c r="BQ327" s="652">
        <v>0</v>
      </c>
      <c r="BR327" s="652">
        <v>0</v>
      </c>
      <c r="BS327" s="652">
        <v>0</v>
      </c>
      <c r="BT327" s="652">
        <v>2101</v>
      </c>
    </row>
    <row r="328" spans="1:72" ht="15" hidden="1" customHeight="1">
      <c r="A328" s="66" t="s">
        <v>2027</v>
      </c>
      <c r="B328" s="66"/>
      <c r="C328" s="66" t="s">
        <v>534</v>
      </c>
      <c r="D328" s="66" t="s">
        <v>2028</v>
      </c>
      <c r="E328" s="150" t="s">
        <v>1136</v>
      </c>
      <c r="F328" s="482" t="s">
        <v>1566</v>
      </c>
      <c r="G328" s="150" t="s">
        <v>1345</v>
      </c>
      <c r="H328" s="150" t="s">
        <v>1437</v>
      </c>
      <c r="I328" s="150" t="s">
        <v>1345</v>
      </c>
      <c r="J328" s="150" t="s">
        <v>1437</v>
      </c>
      <c r="K328" s="150" t="s">
        <v>1346</v>
      </c>
      <c r="L328" s="511" t="s">
        <v>389</v>
      </c>
      <c r="M328" s="392" t="s">
        <v>2029</v>
      </c>
      <c r="N328" s="343"/>
      <c r="O328" s="343"/>
      <c r="P328" s="70" t="s">
        <v>535</v>
      </c>
      <c r="Q328" s="346"/>
      <c r="R328" s="343"/>
      <c r="S328" s="346"/>
      <c r="T328" s="150" t="s">
        <v>57</v>
      </c>
      <c r="U328" s="150"/>
      <c r="V328" s="643"/>
      <c r="W328" s="659">
        <v>0</v>
      </c>
      <c r="X328" s="659">
        <v>5998.6900000000005</v>
      </c>
      <c r="Y328" s="656"/>
      <c r="Z328" s="657"/>
      <c r="AA328" s="714"/>
      <c r="AB328" s="428"/>
      <c r="AC328" s="428">
        <v>1048.69</v>
      </c>
      <c r="AD328" s="428">
        <v>0</v>
      </c>
      <c r="AE328" s="429">
        <v>0</v>
      </c>
      <c r="AF328" s="429">
        <v>0</v>
      </c>
      <c r="AG328" s="649">
        <v>550</v>
      </c>
      <c r="AH328" s="649">
        <v>550</v>
      </c>
      <c r="AI328" s="649">
        <v>550</v>
      </c>
      <c r="AJ328" s="649">
        <v>550</v>
      </c>
      <c r="AK328" s="649">
        <v>550</v>
      </c>
      <c r="AL328" s="649">
        <v>550</v>
      </c>
      <c r="AM328" s="649">
        <f t="shared" si="23"/>
        <v>4348.6900000000005</v>
      </c>
      <c r="AN328" s="651">
        <f>ERP_27[[#This Row],[2026 Working Total]]-ERP_27[[#This Row],[LE2 Final Submission]]</f>
        <v>-1650</v>
      </c>
      <c r="AO328" s="652">
        <v>550</v>
      </c>
      <c r="AP328" s="652">
        <f t="shared" ref="AP328:AP391" si="24">$AF328 - $AO328</f>
        <v>-550</v>
      </c>
      <c r="AQ328" s="374">
        <f>SUM(ERP_27[[#This Row],[AP01]:[AP06]])-SUM(ERP_27[[#This Row],[AP01 LE2]:[AP06 LE2]])</f>
        <v>-1650</v>
      </c>
      <c r="AR328" s="653"/>
      <c r="AS328" s="652">
        <f>ERP_27[[#This Row],[2026 Working Total to Budget/LE]]-ERP_27[[#This Row],[Giveback]]</f>
        <v>-1650</v>
      </c>
      <c r="AT328" s="654"/>
      <c r="AU328" s="655"/>
      <c r="AV328" s="655"/>
      <c r="AW328" s="655">
        <v>1048.69</v>
      </c>
      <c r="AX328" s="655">
        <v>550</v>
      </c>
      <c r="AY328" s="655">
        <v>550</v>
      </c>
      <c r="AZ328" s="655">
        <v>550</v>
      </c>
      <c r="BA328" s="655">
        <v>550</v>
      </c>
      <c r="BB328" s="655">
        <v>550</v>
      </c>
      <c r="BC328" s="655">
        <v>550</v>
      </c>
      <c r="BD328" s="655">
        <v>550</v>
      </c>
      <c r="BE328" s="655">
        <v>550</v>
      </c>
      <c r="BF328" s="655">
        <v>550</v>
      </c>
      <c r="BG328" s="655">
        <v>5998.6900000000005</v>
      </c>
      <c r="BH328" s="652"/>
      <c r="BI328" s="652"/>
      <c r="BJ328" s="652">
        <v>1048.69</v>
      </c>
      <c r="BK328" s="652">
        <v>550</v>
      </c>
      <c r="BL328" s="652">
        <v>550</v>
      </c>
      <c r="BM328" s="652">
        <v>550</v>
      </c>
      <c r="BN328" s="652">
        <v>550</v>
      </c>
      <c r="BO328" s="652">
        <v>550</v>
      </c>
      <c r="BP328" s="652">
        <v>550</v>
      </c>
      <c r="BQ328" s="652">
        <v>550</v>
      </c>
      <c r="BR328" s="652">
        <v>550</v>
      </c>
      <c r="BS328" s="652">
        <v>550</v>
      </c>
      <c r="BT328" s="652">
        <v>5998.6900000000005</v>
      </c>
    </row>
    <row r="329" spans="1:72" ht="15" hidden="1" customHeight="1">
      <c r="A329" s="66" t="s">
        <v>1449</v>
      </c>
      <c r="B329" s="66"/>
      <c r="C329" s="66" t="s">
        <v>204</v>
      </c>
      <c r="D329" s="66" t="s">
        <v>204</v>
      </c>
      <c r="E329" s="150" t="s">
        <v>1136</v>
      </c>
      <c r="F329" s="482" t="s">
        <v>1566</v>
      </c>
      <c r="G329" s="150" t="s">
        <v>1450</v>
      </c>
      <c r="H329" s="150" t="s">
        <v>1450</v>
      </c>
      <c r="I329" s="150" t="s">
        <v>1345</v>
      </c>
      <c r="J329" s="150" t="s">
        <v>1450</v>
      </c>
      <c r="K329" s="150" t="s">
        <v>1346</v>
      </c>
      <c r="L329" s="511" t="s">
        <v>49</v>
      </c>
      <c r="M329" s="392" t="s">
        <v>1174</v>
      </c>
      <c r="N329" s="343"/>
      <c r="O329" s="343"/>
      <c r="P329" s="70" t="s">
        <v>56</v>
      </c>
      <c r="Q329" s="346"/>
      <c r="R329" s="346" t="s">
        <v>1140</v>
      </c>
      <c r="S329" s="346"/>
      <c r="T329" s="150" t="s">
        <v>57</v>
      </c>
      <c r="U329" s="150"/>
      <c r="V329" s="643"/>
      <c r="W329" s="659">
        <v>0</v>
      </c>
      <c r="X329" s="659">
        <v>2893.46</v>
      </c>
      <c r="Y329" s="656"/>
      <c r="Z329" s="657"/>
      <c r="AA329" s="714">
        <v>183.12</v>
      </c>
      <c r="AB329" s="428">
        <v>1029.04</v>
      </c>
      <c r="AC329" s="428">
        <v>1681.3</v>
      </c>
      <c r="AD329" s="428">
        <v>1593.8</v>
      </c>
      <c r="AE329" s="429">
        <v>85.08</v>
      </c>
      <c r="AF329" s="429">
        <v>0</v>
      </c>
      <c r="AG329" s="649">
        <v>0</v>
      </c>
      <c r="AH329" s="649">
        <v>0</v>
      </c>
      <c r="AI329" s="649">
        <v>0</v>
      </c>
      <c r="AJ329" s="649">
        <v>0</v>
      </c>
      <c r="AK329" s="649">
        <v>0</v>
      </c>
      <c r="AL329" s="649">
        <v>0</v>
      </c>
      <c r="AM329" s="649">
        <f t="shared" si="23"/>
        <v>4572.34</v>
      </c>
      <c r="AN329" s="651">
        <f>ERP_27[[#This Row],[2026 Working Total]]-ERP_27[[#This Row],[LE2 Final Submission]]</f>
        <v>1678.88</v>
      </c>
      <c r="AO329" s="652">
        <v>0</v>
      </c>
      <c r="AP329" s="652">
        <f t="shared" si="24"/>
        <v>0</v>
      </c>
      <c r="AQ329" s="374">
        <f>SUM(ERP_27[[#This Row],[AP01]:[AP06]])-SUM(ERP_27[[#This Row],[AP01 LE2]:[AP06 LE2]])</f>
        <v>1678.88</v>
      </c>
      <c r="AR329" s="653"/>
      <c r="AS329" s="652">
        <f>ERP_27[[#This Row],[2026 Working Total to Budget/LE]]-ERP_27[[#This Row],[Giveback]]</f>
        <v>1678.88</v>
      </c>
      <c r="AT329" s="654"/>
      <c r="AU329" s="655">
        <v>183.12</v>
      </c>
      <c r="AV329" s="655">
        <v>1029.04</v>
      </c>
      <c r="AW329" s="655">
        <v>1681.3</v>
      </c>
      <c r="AX329" s="655">
        <v>0</v>
      </c>
      <c r="AY329" s="655">
        <v>0</v>
      </c>
      <c r="AZ329" s="655">
        <v>0</v>
      </c>
      <c r="BA329" s="655">
        <v>0</v>
      </c>
      <c r="BB329" s="655">
        <v>0</v>
      </c>
      <c r="BC329" s="655">
        <v>0</v>
      </c>
      <c r="BD329" s="655">
        <v>0</v>
      </c>
      <c r="BE329" s="655">
        <v>0</v>
      </c>
      <c r="BF329" s="655">
        <v>0</v>
      </c>
      <c r="BG329" s="655">
        <v>2893.46</v>
      </c>
      <c r="BH329" s="652">
        <v>183.12</v>
      </c>
      <c r="BI329" s="652">
        <v>1029.04</v>
      </c>
      <c r="BJ329" s="652">
        <v>1681.3</v>
      </c>
      <c r="BK329" s="652">
        <v>0</v>
      </c>
      <c r="BL329" s="652">
        <v>0</v>
      </c>
      <c r="BM329" s="652">
        <v>0</v>
      </c>
      <c r="BN329" s="652">
        <v>0</v>
      </c>
      <c r="BO329" s="652">
        <v>0</v>
      </c>
      <c r="BP329" s="652">
        <v>0</v>
      </c>
      <c r="BQ329" s="652">
        <v>0</v>
      </c>
      <c r="BR329" s="652">
        <v>0</v>
      </c>
      <c r="BS329" s="652">
        <v>0</v>
      </c>
      <c r="BT329" s="652">
        <v>2893.46</v>
      </c>
    </row>
    <row r="330" spans="1:72" ht="15" hidden="1" customHeight="1">
      <c r="A330" s="66" t="s">
        <v>2618</v>
      </c>
      <c r="B330" s="66"/>
      <c r="C330" s="66" t="s">
        <v>911</v>
      </c>
      <c r="D330" s="66" t="s">
        <v>911</v>
      </c>
      <c r="E330" s="150" t="s">
        <v>1136</v>
      </c>
      <c r="F330" s="482" t="s">
        <v>1566</v>
      </c>
      <c r="G330" s="383" t="s">
        <v>1344</v>
      </c>
      <c r="H330" s="383" t="s">
        <v>1344</v>
      </c>
      <c r="I330" s="150" t="s">
        <v>1345</v>
      </c>
      <c r="J330" s="150" t="s">
        <v>1344</v>
      </c>
      <c r="K330" s="150" t="s">
        <v>1346</v>
      </c>
      <c r="L330" s="511" t="s">
        <v>639</v>
      </c>
      <c r="M330" s="392" t="s">
        <v>2619</v>
      </c>
      <c r="N330" s="343"/>
      <c r="O330" s="343"/>
      <c r="P330" s="70" t="s">
        <v>912</v>
      </c>
      <c r="Q330" s="346"/>
      <c r="R330" s="343"/>
      <c r="S330" s="346"/>
      <c r="T330" s="150" t="s">
        <v>25</v>
      </c>
      <c r="U330" s="150"/>
      <c r="V330" s="643"/>
      <c r="W330" s="659">
        <v>5000</v>
      </c>
      <c r="X330" s="659">
        <v>5000</v>
      </c>
      <c r="Y330" s="656"/>
      <c r="Z330" s="657"/>
      <c r="AA330" s="714"/>
      <c r="AB330" s="428"/>
      <c r="AC330" s="428"/>
      <c r="AD330" s="428" t="s">
        <v>1142</v>
      </c>
      <c r="AE330" s="429">
        <v>0</v>
      </c>
      <c r="AF330" s="429">
        <v>0</v>
      </c>
      <c r="AG330" s="649"/>
      <c r="AH330" s="649"/>
      <c r="AI330" s="649"/>
      <c r="AJ330" s="649"/>
      <c r="AK330" s="649"/>
      <c r="AL330" s="649">
        <v>5000</v>
      </c>
      <c r="AM330" s="649">
        <f t="shared" si="23"/>
        <v>5000</v>
      </c>
      <c r="AN330" s="651">
        <f>ERP_27[[#This Row],[2026 Working Total]]-ERP_27[[#This Row],[LE2 Final Submission]]</f>
        <v>0</v>
      </c>
      <c r="AO330" s="652"/>
      <c r="AP330" s="652">
        <f t="shared" si="24"/>
        <v>0</v>
      </c>
      <c r="AQ330" s="374">
        <f>SUM(ERP_27[[#This Row],[AP01]:[AP06]])-SUM(ERP_27[[#This Row],[AP01 LE2]:[AP06 LE2]])</f>
        <v>0</v>
      </c>
      <c r="AR330" s="653"/>
      <c r="AS330" s="652">
        <f>ERP_27[[#This Row],[2026 Working Total to Budget/LE]]-ERP_27[[#This Row],[Giveback]]</f>
        <v>0</v>
      </c>
      <c r="AT330" s="654" t="s">
        <v>2620</v>
      </c>
      <c r="AU330" s="655"/>
      <c r="AV330" s="655"/>
      <c r="AW330" s="655"/>
      <c r="AX330" s="655"/>
      <c r="AY330" s="655"/>
      <c r="AZ330" s="655"/>
      <c r="BA330" s="655"/>
      <c r="BB330" s="655"/>
      <c r="BC330" s="655"/>
      <c r="BD330" s="655"/>
      <c r="BE330" s="655"/>
      <c r="BF330" s="655">
        <v>5000</v>
      </c>
      <c r="BG330" s="655">
        <v>5000</v>
      </c>
      <c r="BH330" s="652"/>
      <c r="BI330" s="652"/>
      <c r="BJ330" s="652"/>
      <c r="BK330" s="652"/>
      <c r="BL330" s="652"/>
      <c r="BM330" s="652"/>
      <c r="BN330" s="652"/>
      <c r="BO330" s="652"/>
      <c r="BP330" s="652"/>
      <c r="BQ330" s="652"/>
      <c r="BR330" s="652"/>
      <c r="BS330" s="652">
        <v>5000</v>
      </c>
      <c r="BT330" s="652">
        <v>5000</v>
      </c>
    </row>
    <row r="331" spans="1:72" ht="15" hidden="1" customHeight="1">
      <c r="A331" s="66" t="s">
        <v>2631</v>
      </c>
      <c r="B331" s="66"/>
      <c r="C331" s="66" t="s">
        <v>921</v>
      </c>
      <c r="D331" s="66" t="s">
        <v>921</v>
      </c>
      <c r="E331" s="150" t="s">
        <v>1136</v>
      </c>
      <c r="F331" s="482" t="s">
        <v>1566</v>
      </c>
      <c r="G331" s="383" t="s">
        <v>1344</v>
      </c>
      <c r="H331" s="383" t="s">
        <v>1344</v>
      </c>
      <c r="I331" s="150" t="s">
        <v>1345</v>
      </c>
      <c r="J331" s="150" t="s">
        <v>1344</v>
      </c>
      <c r="K331" s="150" t="s">
        <v>1346</v>
      </c>
      <c r="L331" s="511" t="s">
        <v>639</v>
      </c>
      <c r="M331" s="392" t="s">
        <v>2632</v>
      </c>
      <c r="N331" s="343"/>
      <c r="O331" s="343"/>
      <c r="P331" s="70" t="s">
        <v>922</v>
      </c>
      <c r="Q331" s="346"/>
      <c r="R331" s="343"/>
      <c r="S331" s="346"/>
      <c r="T331" s="150" t="s">
        <v>25</v>
      </c>
      <c r="U331" s="150"/>
      <c r="V331" s="643"/>
      <c r="W331" s="659">
        <v>5000</v>
      </c>
      <c r="X331" s="659">
        <v>5000</v>
      </c>
      <c r="Y331" s="656"/>
      <c r="Z331" s="657"/>
      <c r="AA331" s="714"/>
      <c r="AB331" s="428"/>
      <c r="AC331" s="428"/>
      <c r="AD331" s="428" t="s">
        <v>1142</v>
      </c>
      <c r="AE331" s="429">
        <v>0</v>
      </c>
      <c r="AF331" s="429">
        <v>0</v>
      </c>
      <c r="AG331" s="649"/>
      <c r="AH331" s="649"/>
      <c r="AI331" s="649">
        <v>5000</v>
      </c>
      <c r="AJ331" s="649">
        <v>0</v>
      </c>
      <c r="AK331" s="649">
        <v>0</v>
      </c>
      <c r="AL331" s="649">
        <v>0</v>
      </c>
      <c r="AM331" s="649">
        <f t="shared" si="23"/>
        <v>5000</v>
      </c>
      <c r="AN331" s="651">
        <f>ERP_27[[#This Row],[2026 Working Total]]-ERP_27[[#This Row],[LE2 Final Submission]]</f>
        <v>0</v>
      </c>
      <c r="AO331" s="652"/>
      <c r="AP331" s="652">
        <f t="shared" si="24"/>
        <v>0</v>
      </c>
      <c r="AQ331" s="374">
        <f>SUM(ERP_27[[#This Row],[AP01]:[AP06]])-SUM(ERP_27[[#This Row],[AP01 LE2]:[AP06 LE2]])</f>
        <v>0</v>
      </c>
      <c r="AR331" s="653"/>
      <c r="AS331" s="652">
        <f>ERP_27[[#This Row],[2026 Working Total to Budget/LE]]-ERP_27[[#This Row],[Giveback]]</f>
        <v>0</v>
      </c>
      <c r="AT331" s="654"/>
      <c r="AU331" s="655"/>
      <c r="AV331" s="655"/>
      <c r="AW331" s="655"/>
      <c r="AX331" s="655"/>
      <c r="AY331" s="655"/>
      <c r="AZ331" s="655"/>
      <c r="BA331" s="655"/>
      <c r="BB331" s="655"/>
      <c r="BC331" s="655">
        <v>5000</v>
      </c>
      <c r="BD331" s="655">
        <v>0</v>
      </c>
      <c r="BE331" s="655">
        <v>0</v>
      </c>
      <c r="BF331" s="655">
        <v>0</v>
      </c>
      <c r="BG331" s="655">
        <v>5000</v>
      </c>
      <c r="BH331" s="652"/>
      <c r="BI331" s="652"/>
      <c r="BJ331" s="652"/>
      <c r="BK331" s="652"/>
      <c r="BL331" s="652"/>
      <c r="BM331" s="652"/>
      <c r="BN331" s="652"/>
      <c r="BO331" s="652"/>
      <c r="BP331" s="652">
        <v>5000</v>
      </c>
      <c r="BQ331" s="652">
        <v>0</v>
      </c>
      <c r="BR331" s="652">
        <v>0</v>
      </c>
      <c r="BS331" s="652">
        <v>0</v>
      </c>
      <c r="BT331" s="652">
        <v>5000</v>
      </c>
    </row>
    <row r="332" spans="1:72" ht="15" hidden="1" customHeight="1">
      <c r="A332" s="66" t="s">
        <v>2575</v>
      </c>
      <c r="B332" s="66"/>
      <c r="C332" s="66" t="s">
        <v>886</v>
      </c>
      <c r="D332" s="66" t="s">
        <v>886</v>
      </c>
      <c r="E332" s="150" t="s">
        <v>1136</v>
      </c>
      <c r="F332" s="482" t="s">
        <v>1566</v>
      </c>
      <c r="G332" s="150" t="s">
        <v>1135</v>
      </c>
      <c r="H332" s="150" t="s">
        <v>1135</v>
      </c>
      <c r="I332" s="150" t="s">
        <v>1135</v>
      </c>
      <c r="J332" s="150" t="s">
        <v>1135</v>
      </c>
      <c r="K332" s="150" t="s">
        <v>1137</v>
      </c>
      <c r="L332" s="511" t="s">
        <v>639</v>
      </c>
      <c r="M332" s="392" t="s">
        <v>2576</v>
      </c>
      <c r="N332" s="343" t="s">
        <v>2577</v>
      </c>
      <c r="O332" s="346" t="s">
        <v>1171</v>
      </c>
      <c r="P332" s="70" t="s">
        <v>887</v>
      </c>
      <c r="Q332" s="346"/>
      <c r="R332" s="346" t="s">
        <v>2578</v>
      </c>
      <c r="S332" s="346"/>
      <c r="T332" s="150" t="s">
        <v>64</v>
      </c>
      <c r="U332" s="150"/>
      <c r="V332" s="643"/>
      <c r="W332" s="659">
        <v>0</v>
      </c>
      <c r="X332" s="659">
        <v>5298.95</v>
      </c>
      <c r="Y332" s="656"/>
      <c r="Z332" s="657"/>
      <c r="AA332" s="714"/>
      <c r="AB332" s="428"/>
      <c r="AC332" s="428">
        <v>5298.95</v>
      </c>
      <c r="AD332" s="428">
        <v>0</v>
      </c>
      <c r="AE332" s="429">
        <v>0</v>
      </c>
      <c r="AF332" s="429">
        <v>0</v>
      </c>
      <c r="AG332" s="649">
        <v>0</v>
      </c>
      <c r="AH332" s="649">
        <v>0</v>
      </c>
      <c r="AI332" s="649">
        <v>0</v>
      </c>
      <c r="AJ332" s="649">
        <v>0</v>
      </c>
      <c r="AK332" s="649">
        <v>0</v>
      </c>
      <c r="AL332" s="649">
        <v>0</v>
      </c>
      <c r="AM332" s="649">
        <f t="shared" si="23"/>
        <v>5298.95</v>
      </c>
      <c r="AN332" s="651">
        <f>ERP_27[[#This Row],[2026 Working Total]]-ERP_27[[#This Row],[LE2 Final Submission]]</f>
        <v>0</v>
      </c>
      <c r="AO332" s="652">
        <v>0</v>
      </c>
      <c r="AP332" s="652">
        <f t="shared" si="24"/>
        <v>0</v>
      </c>
      <c r="AQ332" s="374">
        <f>SUM(ERP_27[[#This Row],[AP01]:[AP06]])-SUM(ERP_27[[#This Row],[AP01 LE2]:[AP06 LE2]])</f>
        <v>0</v>
      </c>
      <c r="AR332" s="653"/>
      <c r="AS332" s="652">
        <f>ERP_27[[#This Row],[2026 Working Total to Budget/LE]]-ERP_27[[#This Row],[Giveback]]</f>
        <v>0</v>
      </c>
      <c r="AT332" s="654"/>
      <c r="AU332" s="655"/>
      <c r="AV332" s="655"/>
      <c r="AW332" s="655">
        <v>5298.95</v>
      </c>
      <c r="AX332" s="655">
        <v>0</v>
      </c>
      <c r="AY332" s="655">
        <v>0</v>
      </c>
      <c r="AZ332" s="655">
        <v>0</v>
      </c>
      <c r="BA332" s="655">
        <v>0</v>
      </c>
      <c r="BB332" s="655">
        <v>0</v>
      </c>
      <c r="BC332" s="655">
        <v>0</v>
      </c>
      <c r="BD332" s="655">
        <v>0</v>
      </c>
      <c r="BE332" s="655">
        <v>0</v>
      </c>
      <c r="BF332" s="655">
        <v>0</v>
      </c>
      <c r="BG332" s="655">
        <v>5298.95</v>
      </c>
      <c r="BH332" s="652"/>
      <c r="BI332" s="652"/>
      <c r="BJ332" s="652">
        <v>5298.95</v>
      </c>
      <c r="BK332" s="652">
        <v>0</v>
      </c>
      <c r="BL332" s="652">
        <v>0</v>
      </c>
      <c r="BM332" s="652">
        <v>0</v>
      </c>
      <c r="BN332" s="652">
        <v>0</v>
      </c>
      <c r="BO332" s="652">
        <v>0</v>
      </c>
      <c r="BP332" s="652">
        <v>0</v>
      </c>
      <c r="BQ332" s="652">
        <v>0</v>
      </c>
      <c r="BR332" s="652">
        <v>0</v>
      </c>
      <c r="BS332" s="652">
        <v>0</v>
      </c>
      <c r="BT332" s="652">
        <v>5298.95</v>
      </c>
    </row>
    <row r="333" spans="1:72" ht="15" hidden="1" customHeight="1">
      <c r="A333" s="66" t="s">
        <v>2633</v>
      </c>
      <c r="B333" s="66"/>
      <c r="C333" s="66" t="s">
        <v>923</v>
      </c>
      <c r="D333" s="66" t="s">
        <v>923</v>
      </c>
      <c r="E333" s="150" t="s">
        <v>1136</v>
      </c>
      <c r="F333" s="482" t="s">
        <v>1566</v>
      </c>
      <c r="G333" s="383" t="s">
        <v>1344</v>
      </c>
      <c r="H333" s="383" t="s">
        <v>1344</v>
      </c>
      <c r="I333" s="150" t="s">
        <v>1345</v>
      </c>
      <c r="J333" s="150" t="s">
        <v>1344</v>
      </c>
      <c r="K333" s="150" t="s">
        <v>1346</v>
      </c>
      <c r="L333" s="511" t="s">
        <v>639</v>
      </c>
      <c r="M333" s="392" t="s">
        <v>2634</v>
      </c>
      <c r="N333" s="343"/>
      <c r="O333" s="343"/>
      <c r="P333" s="70" t="s">
        <v>924</v>
      </c>
      <c r="Q333" s="346"/>
      <c r="R333" s="343"/>
      <c r="S333" s="346"/>
      <c r="T333" s="150" t="s">
        <v>25</v>
      </c>
      <c r="U333" s="150"/>
      <c r="V333" s="643"/>
      <c r="W333" s="659">
        <v>6000</v>
      </c>
      <c r="X333" s="659">
        <v>4500</v>
      </c>
      <c r="Y333" s="656"/>
      <c r="Z333" s="657"/>
      <c r="AA333" s="714"/>
      <c r="AB333" s="428"/>
      <c r="AC333" s="428"/>
      <c r="AD333" s="428" t="s">
        <v>1142</v>
      </c>
      <c r="AE333" s="429">
        <v>0</v>
      </c>
      <c r="AF333" s="429">
        <v>2323.36</v>
      </c>
      <c r="AG333" s="649">
        <v>0</v>
      </c>
      <c r="AH333" s="649">
        <v>0</v>
      </c>
      <c r="AI333" s="649">
        <v>1500</v>
      </c>
      <c r="AJ333" s="649">
        <v>0</v>
      </c>
      <c r="AK333" s="649">
        <v>0</v>
      </c>
      <c r="AL333" s="649">
        <v>1500</v>
      </c>
      <c r="AM333" s="649">
        <f t="shared" si="23"/>
        <v>5323.3600000000006</v>
      </c>
      <c r="AN333" s="651">
        <f>ERP_27[[#This Row],[2026 Working Total]]-ERP_27[[#This Row],[LE2 Final Submission]]</f>
        <v>823.36000000000058</v>
      </c>
      <c r="AO333" s="652"/>
      <c r="AP333" s="652">
        <f t="shared" si="24"/>
        <v>2323.36</v>
      </c>
      <c r="AQ333" s="374">
        <f>SUM(ERP_27[[#This Row],[AP01]:[AP06]])-SUM(ERP_27[[#This Row],[AP01 LE2]:[AP06 LE2]])</f>
        <v>823.36000000000013</v>
      </c>
      <c r="AR333" s="653"/>
      <c r="AS333" s="652">
        <f>ERP_27[[#This Row],[2026 Working Total to Budget/LE]]-ERP_27[[#This Row],[Giveback]]</f>
        <v>823.36000000000058</v>
      </c>
      <c r="AT333" s="654"/>
      <c r="AU333" s="655"/>
      <c r="AV333" s="655"/>
      <c r="AW333" s="655"/>
      <c r="AX333" s="655"/>
      <c r="AY333" s="655"/>
      <c r="AZ333" s="655">
        <v>1500</v>
      </c>
      <c r="BA333" s="655">
        <v>0</v>
      </c>
      <c r="BB333" s="655">
        <v>0</v>
      </c>
      <c r="BC333" s="655">
        <v>1500</v>
      </c>
      <c r="BD333" s="655">
        <v>0</v>
      </c>
      <c r="BE333" s="655">
        <v>0</v>
      </c>
      <c r="BF333" s="655">
        <v>1500</v>
      </c>
      <c r="BG333" s="655">
        <v>4500</v>
      </c>
      <c r="BH333" s="652"/>
      <c r="BI333" s="652"/>
      <c r="BJ333" s="652"/>
      <c r="BK333" s="652"/>
      <c r="BL333" s="652"/>
      <c r="BM333" s="652">
        <v>1500</v>
      </c>
      <c r="BN333" s="652">
        <v>0</v>
      </c>
      <c r="BO333" s="652">
        <v>0</v>
      </c>
      <c r="BP333" s="652">
        <v>1500</v>
      </c>
      <c r="BQ333" s="652">
        <v>0</v>
      </c>
      <c r="BR333" s="652">
        <v>0</v>
      </c>
      <c r="BS333" s="652">
        <v>1500</v>
      </c>
      <c r="BT333" s="652">
        <v>4500</v>
      </c>
    </row>
    <row r="334" spans="1:72" ht="15" hidden="1" customHeight="1">
      <c r="A334" s="66" t="s">
        <v>1950</v>
      </c>
      <c r="B334" s="66"/>
      <c r="C334" s="66" t="s">
        <v>488</v>
      </c>
      <c r="D334" s="66" t="s">
        <v>1951</v>
      </c>
      <c r="E334" s="150" t="s">
        <v>1136</v>
      </c>
      <c r="F334" s="482" t="s">
        <v>1566</v>
      </c>
      <c r="G334" s="150" t="s">
        <v>1135</v>
      </c>
      <c r="H334" s="150" t="s">
        <v>1165</v>
      </c>
      <c r="I334" s="150" t="s">
        <v>1135</v>
      </c>
      <c r="J334" s="150" t="s">
        <v>1165</v>
      </c>
      <c r="K334" s="150" t="s">
        <v>1137</v>
      </c>
      <c r="L334" s="511" t="s">
        <v>389</v>
      </c>
      <c r="M334" s="392" t="s">
        <v>1952</v>
      </c>
      <c r="N334" s="343"/>
      <c r="O334" s="343"/>
      <c r="P334" s="70" t="s">
        <v>489</v>
      </c>
      <c r="Q334" s="346" t="s">
        <v>1153</v>
      </c>
      <c r="R334" s="343"/>
      <c r="S334" s="346"/>
      <c r="T334" s="150" t="s">
        <v>490</v>
      </c>
      <c r="U334" s="150"/>
      <c r="V334" s="643"/>
      <c r="W334" s="659">
        <v>3999.9999999999995</v>
      </c>
      <c r="X334" s="659">
        <v>4632.7199999999993</v>
      </c>
      <c r="Y334" s="656"/>
      <c r="Z334" s="657"/>
      <c r="AA334" s="714">
        <v>571.28</v>
      </c>
      <c r="AB334" s="428">
        <v>587.64</v>
      </c>
      <c r="AC334" s="428">
        <v>473.79</v>
      </c>
      <c r="AD334" s="428">
        <v>590.85</v>
      </c>
      <c r="AE334" s="429">
        <v>588.03</v>
      </c>
      <c r="AF334" s="429">
        <v>718.07</v>
      </c>
      <c r="AG334" s="649">
        <v>333.33</v>
      </c>
      <c r="AH334" s="649">
        <v>333.33</v>
      </c>
      <c r="AI334" s="649">
        <v>333.33</v>
      </c>
      <c r="AJ334" s="649">
        <v>333.33</v>
      </c>
      <c r="AK334" s="649">
        <v>333.33</v>
      </c>
      <c r="AL334" s="649">
        <v>333.37</v>
      </c>
      <c r="AM334" s="649">
        <f t="shared" si="23"/>
        <v>5529.68</v>
      </c>
      <c r="AN334" s="651">
        <f>ERP_27[[#This Row],[2026 Working Total]]-ERP_27[[#This Row],[LE2 Final Submission]]</f>
        <v>896.96000000000095</v>
      </c>
      <c r="AO334" s="652">
        <v>333.33</v>
      </c>
      <c r="AP334" s="652">
        <f t="shared" si="24"/>
        <v>384.74000000000007</v>
      </c>
      <c r="AQ334" s="374">
        <f>SUM(ERP_27[[#This Row],[AP01]:[AP06]])-SUM(ERP_27[[#This Row],[AP01 LE2]:[AP06 LE2]])</f>
        <v>896.96000000000049</v>
      </c>
      <c r="AR334" s="653"/>
      <c r="AS334" s="652">
        <f>ERP_27[[#This Row],[2026 Working Total to Budget/LE]]-ERP_27[[#This Row],[Giveback]]</f>
        <v>896.96000000000095</v>
      </c>
      <c r="AT334" s="654"/>
      <c r="AU334" s="655">
        <v>571.28</v>
      </c>
      <c r="AV334" s="655">
        <v>587.64</v>
      </c>
      <c r="AW334" s="655">
        <v>473.79</v>
      </c>
      <c r="AX334" s="655">
        <v>333.33</v>
      </c>
      <c r="AY334" s="655">
        <v>333.33</v>
      </c>
      <c r="AZ334" s="655">
        <v>333.33</v>
      </c>
      <c r="BA334" s="655">
        <v>333.33</v>
      </c>
      <c r="BB334" s="655">
        <v>333.33</v>
      </c>
      <c r="BC334" s="655">
        <v>333.33</v>
      </c>
      <c r="BD334" s="655">
        <v>333.33</v>
      </c>
      <c r="BE334" s="655">
        <v>333.33</v>
      </c>
      <c r="BF334" s="655">
        <v>333.37</v>
      </c>
      <c r="BG334" s="655">
        <v>4632.7199999999993</v>
      </c>
      <c r="BH334" s="652">
        <v>571.28</v>
      </c>
      <c r="BI334" s="652">
        <v>587.64</v>
      </c>
      <c r="BJ334" s="652">
        <v>473.79</v>
      </c>
      <c r="BK334" s="652">
        <v>333.33</v>
      </c>
      <c r="BL334" s="652">
        <v>333.33</v>
      </c>
      <c r="BM334" s="652">
        <v>333.33</v>
      </c>
      <c r="BN334" s="652">
        <v>333.33</v>
      </c>
      <c r="BO334" s="652">
        <v>333.33</v>
      </c>
      <c r="BP334" s="652">
        <v>333.33</v>
      </c>
      <c r="BQ334" s="652">
        <v>333.33</v>
      </c>
      <c r="BR334" s="652">
        <v>333.33</v>
      </c>
      <c r="BS334" s="652">
        <v>333.37</v>
      </c>
      <c r="BT334" s="652">
        <v>4632.7199999999993</v>
      </c>
    </row>
    <row r="335" spans="1:72" ht="15" hidden="1" customHeight="1">
      <c r="A335" s="66" t="s">
        <v>1552</v>
      </c>
      <c r="B335" s="66"/>
      <c r="C335" s="66" t="s">
        <v>260</v>
      </c>
      <c r="D335" s="66" t="s">
        <v>260</v>
      </c>
      <c r="E335" s="150" t="s">
        <v>1136</v>
      </c>
      <c r="F335" s="482" t="s">
        <v>1566</v>
      </c>
      <c r="G335" s="150" t="s">
        <v>1515</v>
      </c>
      <c r="H335" s="383" t="s">
        <v>1515</v>
      </c>
      <c r="I335" s="150" t="s">
        <v>1345</v>
      </c>
      <c r="J335" s="150" t="s">
        <v>1515</v>
      </c>
      <c r="K335" s="150" t="s">
        <v>1346</v>
      </c>
      <c r="L335" s="511" t="s">
        <v>49</v>
      </c>
      <c r="M335" s="392" t="s">
        <v>1553</v>
      </c>
      <c r="N335" s="343"/>
      <c r="O335" s="343"/>
      <c r="P335" s="70" t="s">
        <v>261</v>
      </c>
      <c r="Q335" s="346"/>
      <c r="R335" s="343"/>
      <c r="S335" s="346"/>
      <c r="T335" s="150" t="s">
        <v>25</v>
      </c>
      <c r="U335" s="150"/>
      <c r="V335" s="643"/>
      <c r="W335" s="659">
        <v>10277</v>
      </c>
      <c r="X335" s="659">
        <v>10277</v>
      </c>
      <c r="Y335" s="656"/>
      <c r="Z335" s="657"/>
      <c r="AA335" s="714"/>
      <c r="AB335" s="428"/>
      <c r="AC335" s="428"/>
      <c r="AD335" s="428" t="s">
        <v>1142</v>
      </c>
      <c r="AE335" s="429">
        <v>0</v>
      </c>
      <c r="AF335" s="429">
        <v>0</v>
      </c>
      <c r="AG335" s="649">
        <v>0</v>
      </c>
      <c r="AH335" s="649">
        <v>5723</v>
      </c>
      <c r="AI335" s="649">
        <v>0</v>
      </c>
      <c r="AJ335" s="649">
        <v>0</v>
      </c>
      <c r="AK335" s="649">
        <v>0</v>
      </c>
      <c r="AL335" s="649">
        <v>0</v>
      </c>
      <c r="AM335" s="649">
        <f t="shared" si="23"/>
        <v>5723</v>
      </c>
      <c r="AN335" s="651">
        <f>ERP_27[[#This Row],[2026 Working Total]]-ERP_27[[#This Row],[LE2 Final Submission]]</f>
        <v>-4554</v>
      </c>
      <c r="AO335" s="652">
        <v>4554</v>
      </c>
      <c r="AP335" s="652">
        <f t="shared" si="24"/>
        <v>-4554</v>
      </c>
      <c r="AQ335" s="374">
        <f>SUM(ERP_27[[#This Row],[AP01]:[AP06]])-SUM(ERP_27[[#This Row],[AP01 LE2]:[AP06 LE2]])</f>
        <v>-4554</v>
      </c>
      <c r="AR335" s="653"/>
      <c r="AS335" s="652">
        <f>ERP_27[[#This Row],[2026 Working Total to Budget/LE]]-ERP_27[[#This Row],[Giveback]]</f>
        <v>-4554</v>
      </c>
      <c r="AT335" s="654"/>
      <c r="AU335" s="655"/>
      <c r="AV335" s="655"/>
      <c r="AW335" s="655"/>
      <c r="AX335" s="655"/>
      <c r="AY335" s="655">
        <v>4554</v>
      </c>
      <c r="AZ335" s="655">
        <v>0</v>
      </c>
      <c r="BA335" s="655">
        <v>0</v>
      </c>
      <c r="BB335" s="655">
        <v>5723</v>
      </c>
      <c r="BC335" s="655">
        <v>0</v>
      </c>
      <c r="BD335" s="655">
        <v>0</v>
      </c>
      <c r="BE335" s="655">
        <v>0</v>
      </c>
      <c r="BF335" s="655">
        <v>0</v>
      </c>
      <c r="BG335" s="655">
        <v>10277</v>
      </c>
      <c r="BH335" s="652"/>
      <c r="BI335" s="652"/>
      <c r="BJ335" s="652"/>
      <c r="BK335" s="652"/>
      <c r="BL335" s="652">
        <v>4554</v>
      </c>
      <c r="BM335" s="652">
        <v>0</v>
      </c>
      <c r="BN335" s="652">
        <v>0</v>
      </c>
      <c r="BO335" s="652">
        <v>5723</v>
      </c>
      <c r="BP335" s="652">
        <v>0</v>
      </c>
      <c r="BQ335" s="652">
        <v>0</v>
      </c>
      <c r="BR335" s="652">
        <v>0</v>
      </c>
      <c r="BS335" s="652">
        <v>0</v>
      </c>
      <c r="BT335" s="652">
        <v>10277</v>
      </c>
    </row>
    <row r="336" spans="1:72" ht="15" hidden="1" customHeight="1">
      <c r="A336" s="66" t="s">
        <v>1372</v>
      </c>
      <c r="B336" s="66"/>
      <c r="C336" s="66" t="s">
        <v>166</v>
      </c>
      <c r="D336" s="66" t="s">
        <v>166</v>
      </c>
      <c r="E336" s="150" t="s">
        <v>1136</v>
      </c>
      <c r="F336" s="482" t="s">
        <v>1566</v>
      </c>
      <c r="G336" s="383" t="s">
        <v>1344</v>
      </c>
      <c r="H336" s="383" t="s">
        <v>1344</v>
      </c>
      <c r="I336" s="150" t="s">
        <v>1345</v>
      </c>
      <c r="J336" s="150" t="s">
        <v>1344</v>
      </c>
      <c r="K336" s="150" t="s">
        <v>1346</v>
      </c>
      <c r="L336" s="511" t="s">
        <v>49</v>
      </c>
      <c r="M336" s="392" t="s">
        <v>1373</v>
      </c>
      <c r="N336" s="343"/>
      <c r="O336" s="343"/>
      <c r="P336" s="70" t="s">
        <v>167</v>
      </c>
      <c r="Q336" s="346"/>
      <c r="R336" s="343"/>
      <c r="S336" s="346"/>
      <c r="T336" s="150" t="s">
        <v>25</v>
      </c>
      <c r="U336" s="150"/>
      <c r="V336" s="643"/>
      <c r="W336" s="659">
        <v>6000</v>
      </c>
      <c r="X336" s="659">
        <v>6000</v>
      </c>
      <c r="Y336" s="656"/>
      <c r="Z336" s="657"/>
      <c r="AA336" s="714"/>
      <c r="AB336" s="428"/>
      <c r="AC336" s="428"/>
      <c r="AD336" s="428" t="s">
        <v>1142</v>
      </c>
      <c r="AE336" s="429">
        <v>0</v>
      </c>
      <c r="AF336" s="429">
        <v>0</v>
      </c>
      <c r="AG336" s="649"/>
      <c r="AH336" s="649"/>
      <c r="AI336" s="649">
        <v>6000</v>
      </c>
      <c r="AJ336" s="649">
        <v>0</v>
      </c>
      <c r="AK336" s="649">
        <v>0</v>
      </c>
      <c r="AL336" s="649">
        <v>0</v>
      </c>
      <c r="AM336" s="684">
        <f t="shared" si="23"/>
        <v>6000</v>
      </c>
      <c r="AN336" s="651">
        <f>ERP_27[[#This Row],[2026 Working Total]]-ERP_27[[#This Row],[LE2 Final Submission]]</f>
        <v>0</v>
      </c>
      <c r="AO336" s="652"/>
      <c r="AP336" s="652">
        <f t="shared" si="24"/>
        <v>0</v>
      </c>
      <c r="AQ336" s="374">
        <f>SUM(ERP_27[[#This Row],[AP01]:[AP06]])-SUM(ERP_27[[#This Row],[AP01 LE2]:[AP06 LE2]])</f>
        <v>0</v>
      </c>
      <c r="AR336" s="653"/>
      <c r="AS336" s="652">
        <f>ERP_27[[#This Row],[2026 Working Total to Budget/LE]]-ERP_27[[#This Row],[Giveback]]</f>
        <v>0</v>
      </c>
      <c r="AT336" s="654"/>
      <c r="AU336" s="655"/>
      <c r="AV336" s="655"/>
      <c r="AW336" s="655"/>
      <c r="AX336" s="655"/>
      <c r="AY336" s="655"/>
      <c r="AZ336" s="655"/>
      <c r="BA336" s="655"/>
      <c r="BB336" s="655"/>
      <c r="BC336" s="655">
        <v>6000</v>
      </c>
      <c r="BD336" s="655">
        <v>0</v>
      </c>
      <c r="BE336" s="655">
        <v>0</v>
      </c>
      <c r="BF336" s="655">
        <v>0</v>
      </c>
      <c r="BG336" s="655">
        <v>6000</v>
      </c>
      <c r="BH336" s="652"/>
      <c r="BI336" s="652"/>
      <c r="BJ336" s="652"/>
      <c r="BK336" s="652"/>
      <c r="BL336" s="652"/>
      <c r="BM336" s="652"/>
      <c r="BN336" s="652"/>
      <c r="BO336" s="652"/>
      <c r="BP336" s="652">
        <v>6000</v>
      </c>
      <c r="BQ336" s="652">
        <v>0</v>
      </c>
      <c r="BR336" s="652">
        <v>0</v>
      </c>
      <c r="BS336" s="652">
        <v>0</v>
      </c>
      <c r="BT336" s="652">
        <v>6000</v>
      </c>
    </row>
    <row r="337" spans="1:72" ht="15" hidden="1" customHeight="1">
      <c r="A337" s="66" t="s">
        <v>1374</v>
      </c>
      <c r="B337" s="66"/>
      <c r="C337" s="66" t="s">
        <v>168</v>
      </c>
      <c r="D337" s="66" t="s">
        <v>168</v>
      </c>
      <c r="E337" s="150" t="s">
        <v>1136</v>
      </c>
      <c r="F337" s="482" t="s">
        <v>1566</v>
      </c>
      <c r="G337" s="383" t="s">
        <v>1344</v>
      </c>
      <c r="H337" s="383" t="s">
        <v>1344</v>
      </c>
      <c r="I337" s="150" t="s">
        <v>1345</v>
      </c>
      <c r="J337" s="150" t="s">
        <v>1344</v>
      </c>
      <c r="K337" s="150" t="s">
        <v>1346</v>
      </c>
      <c r="L337" s="511" t="s">
        <v>49</v>
      </c>
      <c r="M337" s="392" t="s">
        <v>1375</v>
      </c>
      <c r="N337" s="343"/>
      <c r="O337" s="343"/>
      <c r="P337" s="70" t="s">
        <v>169</v>
      </c>
      <c r="Q337" s="346"/>
      <c r="R337" s="343"/>
      <c r="S337" s="346"/>
      <c r="T337" s="150" t="s">
        <v>25</v>
      </c>
      <c r="U337" s="150"/>
      <c r="V337" s="643"/>
      <c r="W337" s="659">
        <v>6000</v>
      </c>
      <c r="X337" s="659">
        <v>6000</v>
      </c>
      <c r="Y337" s="656"/>
      <c r="Z337" s="657"/>
      <c r="AA337" s="714"/>
      <c r="AB337" s="428"/>
      <c r="AC337" s="428"/>
      <c r="AD337" s="428" t="s">
        <v>1142</v>
      </c>
      <c r="AE337" s="429">
        <v>0</v>
      </c>
      <c r="AF337" s="429">
        <v>0</v>
      </c>
      <c r="AG337" s="649"/>
      <c r="AH337" s="649"/>
      <c r="AI337" s="649">
        <v>1000</v>
      </c>
      <c r="AJ337" s="649">
        <v>0</v>
      </c>
      <c r="AK337" s="649">
        <v>0</v>
      </c>
      <c r="AL337" s="649">
        <v>0</v>
      </c>
      <c r="AM337" s="649">
        <f t="shared" si="23"/>
        <v>1000</v>
      </c>
      <c r="AN337" s="651">
        <f>ERP_27[[#This Row],[2026 Working Total]]-ERP_27[[#This Row],[LE2 Final Submission]]</f>
        <v>-5000</v>
      </c>
      <c r="AO337" s="652"/>
      <c r="AP337" s="652">
        <f t="shared" si="24"/>
        <v>0</v>
      </c>
      <c r="AQ337" s="374">
        <f>SUM(ERP_27[[#This Row],[AP01]:[AP06]])-SUM(ERP_27[[#This Row],[AP01 LE2]:[AP06 LE2]])</f>
        <v>0</v>
      </c>
      <c r="AR337" s="653"/>
      <c r="AS337" s="652">
        <f>ERP_27[[#This Row],[2026 Working Total to Budget/LE]]-ERP_27[[#This Row],[Giveback]]</f>
        <v>-5000</v>
      </c>
      <c r="AT337" s="654"/>
      <c r="AU337" s="655"/>
      <c r="AV337" s="655"/>
      <c r="AW337" s="655"/>
      <c r="AX337" s="655"/>
      <c r="AY337" s="655"/>
      <c r="AZ337" s="655"/>
      <c r="BA337" s="655"/>
      <c r="BB337" s="655"/>
      <c r="BC337" s="655">
        <v>6000</v>
      </c>
      <c r="BD337" s="655">
        <v>0</v>
      </c>
      <c r="BE337" s="655">
        <v>0</v>
      </c>
      <c r="BF337" s="655">
        <v>0</v>
      </c>
      <c r="BG337" s="655">
        <v>6000</v>
      </c>
      <c r="BH337" s="652"/>
      <c r="BI337" s="652"/>
      <c r="BJ337" s="652"/>
      <c r="BK337" s="652"/>
      <c r="BL337" s="652"/>
      <c r="BM337" s="652"/>
      <c r="BN337" s="652"/>
      <c r="BO337" s="652"/>
      <c r="BP337" s="652">
        <v>6000</v>
      </c>
      <c r="BQ337" s="652">
        <v>0</v>
      </c>
      <c r="BR337" s="652">
        <v>0</v>
      </c>
      <c r="BS337" s="652">
        <v>0</v>
      </c>
      <c r="BT337" s="652">
        <v>6000</v>
      </c>
    </row>
    <row r="338" spans="1:72" ht="15" hidden="1" customHeight="1">
      <c r="A338" s="66" t="s">
        <v>1665</v>
      </c>
      <c r="B338" s="66"/>
      <c r="C338" s="66" t="s">
        <v>335</v>
      </c>
      <c r="D338" s="66" t="s">
        <v>335</v>
      </c>
      <c r="E338" s="150" t="s">
        <v>1136</v>
      </c>
      <c r="F338" s="482" t="s">
        <v>1566</v>
      </c>
      <c r="G338" s="383" t="s">
        <v>1344</v>
      </c>
      <c r="H338" s="383" t="s">
        <v>1344</v>
      </c>
      <c r="I338" s="150" t="s">
        <v>1345</v>
      </c>
      <c r="J338" s="150" t="s">
        <v>1344</v>
      </c>
      <c r="K338" s="150" t="s">
        <v>1346</v>
      </c>
      <c r="L338" s="511" t="s">
        <v>333</v>
      </c>
      <c r="M338" s="392" t="s">
        <v>1663</v>
      </c>
      <c r="N338" s="343"/>
      <c r="O338" s="343"/>
      <c r="P338" s="70" t="s">
        <v>336</v>
      </c>
      <c r="Q338" s="346"/>
      <c r="R338" s="346" t="s">
        <v>1140</v>
      </c>
      <c r="S338" s="346"/>
      <c r="T338" s="150" t="s">
        <v>25</v>
      </c>
      <c r="U338" s="150" t="s">
        <v>1666</v>
      </c>
      <c r="V338" s="643"/>
      <c r="W338" s="659">
        <v>0</v>
      </c>
      <c r="X338" s="659">
        <v>6232.2000000000016</v>
      </c>
      <c r="Y338" s="656"/>
      <c r="Z338" s="657"/>
      <c r="AA338" s="714">
        <v>519.35</v>
      </c>
      <c r="AB338" s="428">
        <v>519.35</v>
      </c>
      <c r="AC338" s="428">
        <v>519.35</v>
      </c>
      <c r="AD338" s="428">
        <v>519.35</v>
      </c>
      <c r="AE338" s="429">
        <v>519.35</v>
      </c>
      <c r="AF338" s="429">
        <v>519.35</v>
      </c>
      <c r="AG338" s="649">
        <v>519.35</v>
      </c>
      <c r="AH338" s="649">
        <v>519.35</v>
      </c>
      <c r="AI338" s="649">
        <v>519.35</v>
      </c>
      <c r="AJ338" s="649">
        <v>519.35</v>
      </c>
      <c r="AK338" s="649">
        <v>519.35</v>
      </c>
      <c r="AL338" s="649">
        <v>519.35</v>
      </c>
      <c r="AM338" s="649">
        <f t="shared" si="23"/>
        <v>6232.2000000000016</v>
      </c>
      <c r="AN338" s="651">
        <f>ERP_27[[#This Row],[2026 Working Total]]-ERP_27[[#This Row],[LE2 Final Submission]]</f>
        <v>0</v>
      </c>
      <c r="AO338" s="652">
        <v>519.35</v>
      </c>
      <c r="AP338" s="652">
        <f t="shared" si="24"/>
        <v>0</v>
      </c>
      <c r="AQ338" s="374">
        <f>SUM(ERP_27[[#This Row],[AP01]:[AP06]])-SUM(ERP_27[[#This Row],[AP01 LE2]:[AP06 LE2]])</f>
        <v>0</v>
      </c>
      <c r="AR338" s="653"/>
      <c r="AS338" s="652">
        <f>ERP_27[[#This Row],[2026 Working Total to Budget/LE]]-ERP_27[[#This Row],[Giveback]]</f>
        <v>0</v>
      </c>
      <c r="AT338" s="654"/>
      <c r="AU338" s="655">
        <v>519.35</v>
      </c>
      <c r="AV338" s="655">
        <v>519.35</v>
      </c>
      <c r="AW338" s="655">
        <v>519.35</v>
      </c>
      <c r="AX338" s="655">
        <v>519.35</v>
      </c>
      <c r="AY338" s="655">
        <v>519.35</v>
      </c>
      <c r="AZ338" s="655">
        <v>519.35</v>
      </c>
      <c r="BA338" s="655">
        <v>519.35</v>
      </c>
      <c r="BB338" s="655">
        <v>519.35</v>
      </c>
      <c r="BC338" s="655">
        <v>519.35</v>
      </c>
      <c r="BD338" s="655">
        <v>519.35</v>
      </c>
      <c r="BE338" s="655">
        <v>519.35</v>
      </c>
      <c r="BF338" s="655">
        <v>519.35</v>
      </c>
      <c r="BG338" s="655">
        <v>6232.2000000000016</v>
      </c>
      <c r="BH338" s="652">
        <v>519.35</v>
      </c>
      <c r="BI338" s="652">
        <v>519.35</v>
      </c>
      <c r="BJ338" s="652">
        <v>519.35</v>
      </c>
      <c r="BK338" s="652">
        <v>0</v>
      </c>
      <c r="BL338" s="652">
        <v>0</v>
      </c>
      <c r="BM338" s="652">
        <v>0</v>
      </c>
      <c r="BN338" s="652">
        <v>0</v>
      </c>
      <c r="BO338" s="652">
        <v>0</v>
      </c>
      <c r="BP338" s="652">
        <v>0</v>
      </c>
      <c r="BQ338" s="652">
        <v>0</v>
      </c>
      <c r="BR338" s="652">
        <v>0</v>
      </c>
      <c r="BS338" s="652">
        <v>0</v>
      </c>
      <c r="BT338" s="652">
        <v>1558.0500000000002</v>
      </c>
    </row>
    <row r="339" spans="1:72" ht="15" hidden="1" customHeight="1">
      <c r="A339" s="66" t="s">
        <v>1980</v>
      </c>
      <c r="B339" s="66"/>
      <c r="C339" s="66" t="s">
        <v>574</v>
      </c>
      <c r="D339" s="66" t="s">
        <v>1981</v>
      </c>
      <c r="E339" s="150" t="s">
        <v>1136</v>
      </c>
      <c r="F339" s="482" t="s">
        <v>1566</v>
      </c>
      <c r="G339" s="482" t="s">
        <v>1566</v>
      </c>
      <c r="H339" s="482" t="s">
        <v>1566</v>
      </c>
      <c r="I339" s="150" t="s">
        <v>1345</v>
      </c>
      <c r="J339" s="150" t="s">
        <v>1346</v>
      </c>
      <c r="K339" s="150" t="s">
        <v>1346</v>
      </c>
      <c r="L339" s="511" t="s">
        <v>389</v>
      </c>
      <c r="M339" s="392" t="s">
        <v>1979</v>
      </c>
      <c r="N339" s="343"/>
      <c r="O339" s="343"/>
      <c r="P339" s="70" t="s">
        <v>508</v>
      </c>
      <c r="Q339" s="346"/>
      <c r="R339" s="343"/>
      <c r="S339" s="346"/>
      <c r="T339" s="150" t="s">
        <v>432</v>
      </c>
      <c r="U339" s="150"/>
      <c r="V339" s="643"/>
      <c r="W339" s="659">
        <v>0</v>
      </c>
      <c r="X339" s="659">
        <v>3866.47</v>
      </c>
      <c r="Y339" s="656"/>
      <c r="Z339" s="657"/>
      <c r="AA339" s="714">
        <v>387.61</v>
      </c>
      <c r="AB339" s="428">
        <v>1445.99</v>
      </c>
      <c r="AC339" s="428">
        <v>2032.87</v>
      </c>
      <c r="AD339" s="428">
        <v>1085.24</v>
      </c>
      <c r="AE339" s="429">
        <v>866.11</v>
      </c>
      <c r="AF339" s="429">
        <v>938.15</v>
      </c>
      <c r="AG339" s="649">
        <v>0</v>
      </c>
      <c r="AH339" s="649">
        <v>0</v>
      </c>
      <c r="AI339" s="649">
        <v>0</v>
      </c>
      <c r="AJ339" s="649">
        <v>0</v>
      </c>
      <c r="AK339" s="649">
        <v>0</v>
      </c>
      <c r="AL339" s="649">
        <v>0</v>
      </c>
      <c r="AM339" s="649">
        <f t="shared" ref="AM339:AM402" si="25">SUM(AA339:AL339)</f>
        <v>6755.9699999999993</v>
      </c>
      <c r="AN339" s="651">
        <f>ERP_27[[#This Row],[2026 Working Total]]-ERP_27[[#This Row],[LE2 Final Submission]]</f>
        <v>2889.4999999999995</v>
      </c>
      <c r="AO339" s="652">
        <v>0</v>
      </c>
      <c r="AP339" s="652">
        <f t="shared" si="24"/>
        <v>938.15</v>
      </c>
      <c r="AQ339" s="374">
        <f>SUM(ERP_27[[#This Row],[AP01]:[AP06]])-SUM(ERP_27[[#This Row],[AP01 LE2]:[AP06 LE2]])</f>
        <v>2889.4999999999995</v>
      </c>
      <c r="AR339" s="653"/>
      <c r="AS339" s="652">
        <f>ERP_27[[#This Row],[2026 Working Total to Budget/LE]]-ERP_27[[#This Row],[Giveback]]</f>
        <v>2889.4999999999995</v>
      </c>
      <c r="AT339" s="654"/>
      <c r="AU339" s="655">
        <v>387.61</v>
      </c>
      <c r="AV339" s="655">
        <v>1445.99</v>
      </c>
      <c r="AW339" s="655">
        <v>2032.87</v>
      </c>
      <c r="AX339" s="655">
        <v>0</v>
      </c>
      <c r="AY339" s="655">
        <v>0</v>
      </c>
      <c r="AZ339" s="655">
        <v>0</v>
      </c>
      <c r="BA339" s="655">
        <v>0</v>
      </c>
      <c r="BB339" s="655">
        <v>0</v>
      </c>
      <c r="BC339" s="655">
        <v>0</v>
      </c>
      <c r="BD339" s="655">
        <v>0</v>
      </c>
      <c r="BE339" s="655">
        <v>0</v>
      </c>
      <c r="BF339" s="655">
        <v>0</v>
      </c>
      <c r="BG339" s="655">
        <v>3866.47</v>
      </c>
      <c r="BH339" s="652">
        <v>387.61</v>
      </c>
      <c r="BI339" s="652">
        <v>1445.99</v>
      </c>
      <c r="BJ339" s="652">
        <v>2032.87</v>
      </c>
      <c r="BK339" s="652">
        <v>0</v>
      </c>
      <c r="BL339" s="652">
        <v>0</v>
      </c>
      <c r="BM339" s="652">
        <v>0</v>
      </c>
      <c r="BN339" s="652">
        <v>0</v>
      </c>
      <c r="BO339" s="652">
        <v>0</v>
      </c>
      <c r="BP339" s="652">
        <v>0</v>
      </c>
      <c r="BQ339" s="652">
        <v>0</v>
      </c>
      <c r="BR339" s="652">
        <v>0</v>
      </c>
      <c r="BS339" s="652">
        <v>0</v>
      </c>
      <c r="BT339" s="652">
        <v>3866.47</v>
      </c>
    </row>
    <row r="340" spans="1:72" ht="15" hidden="1" customHeight="1">
      <c r="A340" s="66" t="s">
        <v>1978</v>
      </c>
      <c r="B340" s="66"/>
      <c r="C340" s="66" t="s">
        <v>507</v>
      </c>
      <c r="D340" s="66" t="s">
        <v>507</v>
      </c>
      <c r="E340" s="150" t="s">
        <v>1136</v>
      </c>
      <c r="F340" s="482" t="s">
        <v>1566</v>
      </c>
      <c r="G340" s="383" t="s">
        <v>1344</v>
      </c>
      <c r="H340" s="383" t="s">
        <v>1344</v>
      </c>
      <c r="I340" s="150" t="s">
        <v>1345</v>
      </c>
      <c r="J340" s="150" t="s">
        <v>1344</v>
      </c>
      <c r="K340" s="150" t="s">
        <v>1346</v>
      </c>
      <c r="L340" s="511" t="s">
        <v>389</v>
      </c>
      <c r="M340" s="392" t="s">
        <v>1979</v>
      </c>
      <c r="N340" s="343"/>
      <c r="O340" s="343"/>
      <c r="P340" s="70" t="s">
        <v>508</v>
      </c>
      <c r="Q340" s="346"/>
      <c r="R340" s="343"/>
      <c r="S340" s="346"/>
      <c r="T340" s="150" t="s">
        <v>432</v>
      </c>
      <c r="U340" s="150"/>
      <c r="V340" s="643"/>
      <c r="W340" s="659">
        <v>14400</v>
      </c>
      <c r="X340" s="659">
        <v>10800</v>
      </c>
      <c r="Y340" s="656"/>
      <c r="Z340" s="657"/>
      <c r="AA340" s="714"/>
      <c r="AB340" s="428"/>
      <c r="AC340" s="428"/>
      <c r="AD340" s="428" t="s">
        <v>1142</v>
      </c>
      <c r="AE340" s="429">
        <v>0</v>
      </c>
      <c r="AF340" s="429">
        <v>0</v>
      </c>
      <c r="AG340" s="649">
        <v>1200</v>
      </c>
      <c r="AH340" s="649">
        <v>1200</v>
      </c>
      <c r="AI340" s="649">
        <v>1200</v>
      </c>
      <c r="AJ340" s="649">
        <v>1200</v>
      </c>
      <c r="AK340" s="649">
        <v>1200</v>
      </c>
      <c r="AL340" s="649">
        <v>1200</v>
      </c>
      <c r="AM340" s="649">
        <f t="shared" si="25"/>
        <v>7200</v>
      </c>
      <c r="AN340" s="651">
        <f>ERP_27[[#This Row],[2026 Working Total]]-ERP_27[[#This Row],[LE2 Final Submission]]</f>
        <v>-3600</v>
      </c>
      <c r="AO340" s="652">
        <v>1200</v>
      </c>
      <c r="AP340" s="652">
        <f t="shared" si="24"/>
        <v>-1200</v>
      </c>
      <c r="AQ340" s="374">
        <f>SUM(ERP_27[[#This Row],[AP01]:[AP06]])-SUM(ERP_27[[#This Row],[AP01 LE2]:[AP06 LE2]])</f>
        <v>-3600</v>
      </c>
      <c r="AR340" s="653"/>
      <c r="AS340" s="652">
        <f>ERP_27[[#This Row],[2026 Working Total to Budget/LE]]-ERP_27[[#This Row],[Giveback]]</f>
        <v>-3600</v>
      </c>
      <c r="AT340" s="654"/>
      <c r="AU340" s="655"/>
      <c r="AV340" s="655"/>
      <c r="AW340" s="655"/>
      <c r="AX340" s="655">
        <v>1200</v>
      </c>
      <c r="AY340" s="655">
        <v>1200</v>
      </c>
      <c r="AZ340" s="655">
        <v>1200</v>
      </c>
      <c r="BA340" s="655">
        <v>1200</v>
      </c>
      <c r="BB340" s="655">
        <v>1200</v>
      </c>
      <c r="BC340" s="655">
        <v>1200</v>
      </c>
      <c r="BD340" s="655">
        <v>1200</v>
      </c>
      <c r="BE340" s="655">
        <v>1200</v>
      </c>
      <c r="BF340" s="655">
        <v>1200</v>
      </c>
      <c r="BG340" s="655">
        <v>10800</v>
      </c>
      <c r="BH340" s="652"/>
      <c r="BI340" s="652"/>
      <c r="BJ340" s="652"/>
      <c r="BK340" s="652">
        <v>1200</v>
      </c>
      <c r="BL340" s="652">
        <v>1200</v>
      </c>
      <c r="BM340" s="652">
        <v>1200</v>
      </c>
      <c r="BN340" s="652">
        <v>1200</v>
      </c>
      <c r="BO340" s="652">
        <v>1200</v>
      </c>
      <c r="BP340" s="652">
        <v>1200</v>
      </c>
      <c r="BQ340" s="652">
        <v>1200</v>
      </c>
      <c r="BR340" s="652">
        <v>1200</v>
      </c>
      <c r="BS340" s="652">
        <v>1200</v>
      </c>
      <c r="BT340" s="652">
        <v>10800</v>
      </c>
    </row>
    <row r="341" spans="1:72" ht="15" hidden="1" customHeight="1">
      <c r="A341" s="66" t="s">
        <v>1643</v>
      </c>
      <c r="B341" s="66"/>
      <c r="C341" s="66" t="s">
        <v>320</v>
      </c>
      <c r="D341" s="66" t="s">
        <v>1644</v>
      </c>
      <c r="E341" s="150" t="s">
        <v>1136</v>
      </c>
      <c r="F341" s="482" t="s">
        <v>1566</v>
      </c>
      <c r="G341" s="150" t="s">
        <v>1566</v>
      </c>
      <c r="H341" s="150" t="s">
        <v>1566</v>
      </c>
      <c r="I341" s="150" t="s">
        <v>1567</v>
      </c>
      <c r="J341" s="150" t="s">
        <v>1567</v>
      </c>
      <c r="K341" s="150" t="s">
        <v>1567</v>
      </c>
      <c r="L341" s="511" t="s">
        <v>49</v>
      </c>
      <c r="M341" s="392" t="s">
        <v>1645</v>
      </c>
      <c r="N341" s="343"/>
      <c r="O341" s="343"/>
      <c r="P341" s="70" t="s">
        <v>321</v>
      </c>
      <c r="Q341" s="346"/>
      <c r="R341" s="343"/>
      <c r="S341" s="346"/>
      <c r="T341" s="150" t="s">
        <v>25</v>
      </c>
      <c r="U341" s="150"/>
      <c r="V341" s="643"/>
      <c r="W341" s="659">
        <v>0</v>
      </c>
      <c r="X341" s="659">
        <v>7271.4</v>
      </c>
      <c r="Y341" s="656"/>
      <c r="Z341" s="657"/>
      <c r="AA341" s="714"/>
      <c r="AB341" s="428">
        <v>7271.4</v>
      </c>
      <c r="AC341" s="428">
        <v>0</v>
      </c>
      <c r="AD341" s="428">
        <v>0</v>
      </c>
      <c r="AE341" s="429">
        <v>0</v>
      </c>
      <c r="AF341" s="429">
        <v>0</v>
      </c>
      <c r="AG341" s="649">
        <v>0</v>
      </c>
      <c r="AH341" s="649">
        <v>0</v>
      </c>
      <c r="AI341" s="649">
        <v>0</v>
      </c>
      <c r="AJ341" s="649">
        <v>0</v>
      </c>
      <c r="AK341" s="649">
        <v>0</v>
      </c>
      <c r="AL341" s="649">
        <v>0</v>
      </c>
      <c r="AM341" s="684">
        <f t="shared" si="25"/>
        <v>7271.4</v>
      </c>
      <c r="AN341" s="651">
        <f>ERP_27[[#This Row],[2026 Working Total]]-ERP_27[[#This Row],[LE2 Final Submission]]</f>
        <v>0</v>
      </c>
      <c r="AO341" s="652">
        <v>0</v>
      </c>
      <c r="AP341" s="652">
        <f t="shared" si="24"/>
        <v>0</v>
      </c>
      <c r="AQ341" s="374">
        <f>SUM(ERP_27[[#This Row],[AP01]:[AP06]])-SUM(ERP_27[[#This Row],[AP01 LE2]:[AP06 LE2]])</f>
        <v>0</v>
      </c>
      <c r="AR341" s="653"/>
      <c r="AS341" s="652">
        <f>ERP_27[[#This Row],[2026 Working Total to Budget/LE]]-ERP_27[[#This Row],[Giveback]]</f>
        <v>0</v>
      </c>
      <c r="AT341" s="654"/>
      <c r="AU341" s="655"/>
      <c r="AV341" s="655">
        <v>7271.4</v>
      </c>
      <c r="AW341" s="655">
        <v>0</v>
      </c>
      <c r="AX341" s="655">
        <v>0</v>
      </c>
      <c r="AY341" s="655">
        <v>0</v>
      </c>
      <c r="AZ341" s="655">
        <v>0</v>
      </c>
      <c r="BA341" s="655">
        <v>0</v>
      </c>
      <c r="BB341" s="655">
        <v>0</v>
      </c>
      <c r="BC341" s="655">
        <v>0</v>
      </c>
      <c r="BD341" s="655">
        <v>0</v>
      </c>
      <c r="BE341" s="655">
        <v>0</v>
      </c>
      <c r="BF341" s="655">
        <v>0</v>
      </c>
      <c r="BG341" s="655">
        <v>7271.4</v>
      </c>
      <c r="BH341" s="652"/>
      <c r="BI341" s="652">
        <v>7271.4</v>
      </c>
      <c r="BJ341" s="652">
        <v>0</v>
      </c>
      <c r="BK341" s="652">
        <v>0</v>
      </c>
      <c r="BL341" s="652">
        <v>0</v>
      </c>
      <c r="BM341" s="652">
        <v>0</v>
      </c>
      <c r="BN341" s="652">
        <v>0</v>
      </c>
      <c r="BO341" s="652">
        <v>0</v>
      </c>
      <c r="BP341" s="652">
        <v>0</v>
      </c>
      <c r="BQ341" s="652">
        <v>0</v>
      </c>
      <c r="BR341" s="652">
        <v>0</v>
      </c>
      <c r="BS341" s="652">
        <v>0</v>
      </c>
      <c r="BT341" s="652">
        <v>7271.4</v>
      </c>
    </row>
    <row r="342" spans="1:72" ht="15" hidden="1" customHeight="1">
      <c r="A342" s="66" t="s">
        <v>2039</v>
      </c>
      <c r="B342" s="66"/>
      <c r="C342" s="66" t="s">
        <v>542</v>
      </c>
      <c r="D342" s="66" t="s">
        <v>542</v>
      </c>
      <c r="E342" s="150" t="s">
        <v>1136</v>
      </c>
      <c r="F342" s="482" t="s">
        <v>1566</v>
      </c>
      <c r="G342" s="150" t="s">
        <v>1450</v>
      </c>
      <c r="H342" s="150" t="s">
        <v>1450</v>
      </c>
      <c r="I342" s="150" t="s">
        <v>1345</v>
      </c>
      <c r="J342" s="150" t="s">
        <v>1450</v>
      </c>
      <c r="K342" s="150" t="s">
        <v>1346</v>
      </c>
      <c r="L342" s="511" t="s">
        <v>389</v>
      </c>
      <c r="M342" s="392" t="s">
        <v>1703</v>
      </c>
      <c r="N342" s="343"/>
      <c r="O342" s="343"/>
      <c r="P342" s="70" t="s">
        <v>365</v>
      </c>
      <c r="Q342" s="346"/>
      <c r="R342" s="346" t="s">
        <v>1140</v>
      </c>
      <c r="S342" s="346"/>
      <c r="T342" s="150" t="s">
        <v>57</v>
      </c>
      <c r="U342" s="150"/>
      <c r="V342" s="643"/>
      <c r="W342" s="659">
        <v>8220</v>
      </c>
      <c r="X342" s="659">
        <v>7536.92</v>
      </c>
      <c r="Y342" s="656"/>
      <c r="Z342" s="657"/>
      <c r="AA342" s="714">
        <v>685.96</v>
      </c>
      <c r="AB342" s="428">
        <v>685.96</v>
      </c>
      <c r="AC342" s="428">
        <v>0</v>
      </c>
      <c r="AD342" s="428">
        <v>510.91</v>
      </c>
      <c r="AE342" s="429">
        <v>685.96</v>
      </c>
      <c r="AF342" s="429">
        <v>685.96</v>
      </c>
      <c r="AG342" s="649">
        <v>685</v>
      </c>
      <c r="AH342" s="649">
        <v>685</v>
      </c>
      <c r="AI342" s="649">
        <v>685</v>
      </c>
      <c r="AJ342" s="649">
        <v>685</v>
      </c>
      <c r="AK342" s="649">
        <v>685</v>
      </c>
      <c r="AL342" s="649">
        <v>685</v>
      </c>
      <c r="AM342" s="649">
        <f t="shared" si="25"/>
        <v>7364.75</v>
      </c>
      <c r="AN342" s="651">
        <f>ERP_27[[#This Row],[2026 Working Total]]-ERP_27[[#This Row],[LE2 Final Submission]]</f>
        <v>-172.17000000000007</v>
      </c>
      <c r="AO342" s="652">
        <v>685</v>
      </c>
      <c r="AP342" s="652">
        <f t="shared" si="24"/>
        <v>0.96000000000003638</v>
      </c>
      <c r="AQ342" s="374">
        <f>SUM(ERP_27[[#This Row],[AP01]:[AP06]])-SUM(ERP_27[[#This Row],[AP01 LE2]:[AP06 LE2]])</f>
        <v>-172.17000000000007</v>
      </c>
      <c r="AR342" s="653"/>
      <c r="AS342" s="652">
        <f>ERP_27[[#This Row],[2026 Working Total to Budget/LE]]-ERP_27[[#This Row],[Giveback]]</f>
        <v>-172.17000000000007</v>
      </c>
      <c r="AT342" s="654"/>
      <c r="AU342" s="655">
        <v>685.96</v>
      </c>
      <c r="AV342" s="655">
        <v>685.96</v>
      </c>
      <c r="AW342" s="655">
        <v>0</v>
      </c>
      <c r="AX342" s="655">
        <v>685</v>
      </c>
      <c r="AY342" s="655">
        <v>685</v>
      </c>
      <c r="AZ342" s="655">
        <v>685</v>
      </c>
      <c r="BA342" s="655">
        <v>685</v>
      </c>
      <c r="BB342" s="655">
        <v>685</v>
      </c>
      <c r="BC342" s="655">
        <v>685</v>
      </c>
      <c r="BD342" s="655">
        <v>685</v>
      </c>
      <c r="BE342" s="655">
        <v>685</v>
      </c>
      <c r="BF342" s="655">
        <v>685</v>
      </c>
      <c r="BG342" s="655">
        <v>7536.92</v>
      </c>
      <c r="BH342" s="652">
        <v>685.96</v>
      </c>
      <c r="BI342" s="652">
        <v>685.96</v>
      </c>
      <c r="BJ342" s="652">
        <v>0</v>
      </c>
      <c r="BK342" s="652">
        <v>685</v>
      </c>
      <c r="BL342" s="652">
        <v>685</v>
      </c>
      <c r="BM342" s="652">
        <v>685</v>
      </c>
      <c r="BN342" s="652">
        <v>685</v>
      </c>
      <c r="BO342" s="652">
        <v>685</v>
      </c>
      <c r="BP342" s="652">
        <v>685</v>
      </c>
      <c r="BQ342" s="652">
        <v>685</v>
      </c>
      <c r="BR342" s="652">
        <v>685</v>
      </c>
      <c r="BS342" s="652">
        <v>685</v>
      </c>
      <c r="BT342" s="652">
        <v>7536.92</v>
      </c>
    </row>
    <row r="343" spans="1:72" ht="15" hidden="1" customHeight="1">
      <c r="A343" s="66" t="s">
        <v>1361</v>
      </c>
      <c r="B343" s="66"/>
      <c r="C343" s="66" t="s">
        <v>160</v>
      </c>
      <c r="D343" s="66" t="s">
        <v>160</v>
      </c>
      <c r="E343" s="150" t="s">
        <v>1136</v>
      </c>
      <c r="F343" s="482" t="s">
        <v>1566</v>
      </c>
      <c r="G343" s="383" t="s">
        <v>1344</v>
      </c>
      <c r="H343" s="383" t="s">
        <v>1344</v>
      </c>
      <c r="I343" s="150" t="s">
        <v>1345</v>
      </c>
      <c r="J343" s="150" t="s">
        <v>1344</v>
      </c>
      <c r="K343" s="150" t="s">
        <v>1346</v>
      </c>
      <c r="L343" s="511" t="s">
        <v>49</v>
      </c>
      <c r="M343" s="392" t="s">
        <v>1362</v>
      </c>
      <c r="N343" s="343"/>
      <c r="O343" s="346" t="s">
        <v>1363</v>
      </c>
      <c r="P343" s="70" t="s">
        <v>161</v>
      </c>
      <c r="Q343" s="346"/>
      <c r="R343" s="346" t="s">
        <v>1364</v>
      </c>
      <c r="S343" s="346"/>
      <c r="T343" s="150" t="s">
        <v>25</v>
      </c>
      <c r="U343" s="150"/>
      <c r="V343" s="643"/>
      <c r="W343" s="659">
        <v>0</v>
      </c>
      <c r="X343" s="659">
        <v>0.1499999999996362</v>
      </c>
      <c r="Y343" s="656"/>
      <c r="Z343" s="657"/>
      <c r="AA343" s="714"/>
      <c r="AB343" s="428">
        <v>-16768</v>
      </c>
      <c r="AC343" s="428">
        <v>12756.15</v>
      </c>
      <c r="AD343" s="428">
        <v>6266.17</v>
      </c>
      <c r="AE343" s="429">
        <v>6266.17</v>
      </c>
      <c r="AF343" s="429">
        <v>7832.72</v>
      </c>
      <c r="AG343" s="649">
        <v>-8520</v>
      </c>
      <c r="AH343" s="649">
        <v>0</v>
      </c>
      <c r="AI343" s="649">
        <v>0</v>
      </c>
      <c r="AJ343" s="649">
        <v>0</v>
      </c>
      <c r="AK343" s="649">
        <v>0</v>
      </c>
      <c r="AL343" s="649">
        <v>0</v>
      </c>
      <c r="AM343" s="649">
        <f t="shared" si="25"/>
        <v>7833.2099999999991</v>
      </c>
      <c r="AN343" s="651">
        <f>ERP_27[[#This Row],[2026 Working Total]]-ERP_27[[#This Row],[LE2 Final Submission]]</f>
        <v>7833.0599999999995</v>
      </c>
      <c r="AO343" s="652">
        <v>4012</v>
      </c>
      <c r="AP343" s="652">
        <f t="shared" si="24"/>
        <v>3820.7200000000003</v>
      </c>
      <c r="AQ343" s="374">
        <f>SUM(ERP_27[[#This Row],[AP01]:[AP06]])-SUM(ERP_27[[#This Row],[AP01 LE2]:[AP06 LE2]])</f>
        <v>16353.06</v>
      </c>
      <c r="AR343" s="653"/>
      <c r="AS343" s="652">
        <f>ERP_27[[#This Row],[2026 Working Total to Budget/LE]]-ERP_27[[#This Row],[Giveback]]</f>
        <v>7833.0599999999995</v>
      </c>
      <c r="AT343" s="654" t="s">
        <v>1365</v>
      </c>
      <c r="AU343" s="655"/>
      <c r="AV343" s="655">
        <v>-16768</v>
      </c>
      <c r="AW343" s="655">
        <v>12756.15</v>
      </c>
      <c r="AX343" s="655">
        <v>0</v>
      </c>
      <c r="AY343" s="655">
        <v>4012</v>
      </c>
      <c r="AZ343" s="655">
        <v>0</v>
      </c>
      <c r="BA343" s="655">
        <v>0</v>
      </c>
      <c r="BB343" s="655">
        <v>0</v>
      </c>
      <c r="BC343" s="655">
        <v>0</v>
      </c>
      <c r="BD343" s="655">
        <v>0</v>
      </c>
      <c r="BE343" s="655">
        <v>0</v>
      </c>
      <c r="BF343" s="655">
        <v>0</v>
      </c>
      <c r="BG343" s="655">
        <v>0.1499999999996362</v>
      </c>
      <c r="BH343" s="652"/>
      <c r="BI343" s="652">
        <v>-16768</v>
      </c>
      <c r="BJ343" s="652">
        <v>12756.15</v>
      </c>
      <c r="BK343" s="652">
        <v>0</v>
      </c>
      <c r="BL343" s="652">
        <v>0</v>
      </c>
      <c r="BM343" s="652">
        <v>0</v>
      </c>
      <c r="BN343" s="652">
        <v>0</v>
      </c>
      <c r="BO343" s="652">
        <v>0</v>
      </c>
      <c r="BP343" s="652">
        <v>0</v>
      </c>
      <c r="BQ343" s="652">
        <v>0</v>
      </c>
      <c r="BR343" s="652">
        <v>0</v>
      </c>
      <c r="BS343" s="652">
        <v>0</v>
      </c>
      <c r="BT343" s="652">
        <v>-4011.8500000000004</v>
      </c>
    </row>
    <row r="344" spans="1:72" ht="15" hidden="1" customHeight="1">
      <c r="A344" s="66" t="s">
        <v>2109</v>
      </c>
      <c r="B344" s="66"/>
      <c r="C344" s="66" t="s">
        <v>579</v>
      </c>
      <c r="D344" s="66" t="s">
        <v>2110</v>
      </c>
      <c r="E344" s="150" t="s">
        <v>1136</v>
      </c>
      <c r="F344" s="482" t="s">
        <v>1566</v>
      </c>
      <c r="G344" s="150" t="s">
        <v>1566</v>
      </c>
      <c r="H344" s="150" t="s">
        <v>1566</v>
      </c>
      <c r="I344" s="150" t="s">
        <v>1567</v>
      </c>
      <c r="J344" s="150" t="s">
        <v>1567</v>
      </c>
      <c r="K344" s="150" t="s">
        <v>1567</v>
      </c>
      <c r="L344" s="511" t="s">
        <v>389</v>
      </c>
      <c r="M344" s="392" t="s">
        <v>1626</v>
      </c>
      <c r="N344" s="343"/>
      <c r="O344" s="343"/>
      <c r="P344" s="70" t="s">
        <v>307</v>
      </c>
      <c r="Q344" s="346"/>
      <c r="R344" s="343"/>
      <c r="S344" s="346"/>
      <c r="T344" s="505" t="s">
        <v>272</v>
      </c>
      <c r="U344" s="150"/>
      <c r="V344" s="643"/>
      <c r="W344" s="659">
        <v>0</v>
      </c>
      <c r="X344" s="659">
        <v>2089.6999999999998</v>
      </c>
      <c r="Y344" s="656"/>
      <c r="Z344" s="657"/>
      <c r="AA344" s="714"/>
      <c r="AB344" s="428"/>
      <c r="AC344" s="428">
        <v>2089.6999999999998</v>
      </c>
      <c r="AD344" s="428">
        <v>0</v>
      </c>
      <c r="AE344" s="429">
        <v>2520.12</v>
      </c>
      <c r="AF344" s="429">
        <v>0</v>
      </c>
      <c r="AG344" s="649">
        <v>0</v>
      </c>
      <c r="AH344" s="649">
        <v>3240</v>
      </c>
      <c r="AI344" s="649">
        <v>0</v>
      </c>
      <c r="AJ344" s="649">
        <v>0</v>
      </c>
      <c r="AK344" s="649">
        <v>0</v>
      </c>
      <c r="AL344" s="649">
        <v>0</v>
      </c>
      <c r="AM344" s="649">
        <f t="shared" si="25"/>
        <v>7849.82</v>
      </c>
      <c r="AN344" s="651">
        <f>ERP_27[[#This Row],[2026 Working Total]]-ERP_27[[#This Row],[LE2 Final Submission]]</f>
        <v>5760.12</v>
      </c>
      <c r="AO344" s="652">
        <v>0</v>
      </c>
      <c r="AP344" s="652">
        <f t="shared" si="24"/>
        <v>0</v>
      </c>
      <c r="AQ344" s="374">
        <f>SUM(ERP_27[[#This Row],[AP01]:[AP06]])-SUM(ERP_27[[#This Row],[AP01 LE2]:[AP06 LE2]])</f>
        <v>2520.12</v>
      </c>
      <c r="AR344" s="653"/>
      <c r="AS344" s="652">
        <f>ERP_27[[#This Row],[2026 Working Total to Budget/LE]]-ERP_27[[#This Row],[Giveback]]</f>
        <v>5760.12</v>
      </c>
      <c r="AT344" s="654"/>
      <c r="AU344" s="655"/>
      <c r="AV344" s="655"/>
      <c r="AW344" s="655">
        <v>2089.6999999999998</v>
      </c>
      <c r="AX344" s="655">
        <v>0</v>
      </c>
      <c r="AY344" s="655">
        <v>0</v>
      </c>
      <c r="AZ344" s="655">
        <v>0</v>
      </c>
      <c r="BA344" s="655">
        <v>0</v>
      </c>
      <c r="BB344" s="655">
        <v>0</v>
      </c>
      <c r="BC344" s="655">
        <v>0</v>
      </c>
      <c r="BD344" s="655">
        <v>0</v>
      </c>
      <c r="BE344" s="655">
        <v>0</v>
      </c>
      <c r="BF344" s="655">
        <v>0</v>
      </c>
      <c r="BG344" s="655">
        <v>2089.6999999999998</v>
      </c>
      <c r="BH344" s="652"/>
      <c r="BI344" s="652"/>
      <c r="BJ344" s="652">
        <v>2089.6999999999998</v>
      </c>
      <c r="BK344" s="652">
        <v>0</v>
      </c>
      <c r="BL344" s="652">
        <v>0</v>
      </c>
      <c r="BM344" s="652">
        <v>0</v>
      </c>
      <c r="BN344" s="652">
        <v>0</v>
      </c>
      <c r="BO344" s="652">
        <v>0</v>
      </c>
      <c r="BP344" s="652">
        <v>0</v>
      </c>
      <c r="BQ344" s="652">
        <v>0</v>
      </c>
      <c r="BR344" s="652">
        <v>0</v>
      </c>
      <c r="BS344" s="652">
        <v>0</v>
      </c>
      <c r="BT344" s="652">
        <v>2089.6999999999998</v>
      </c>
    </row>
    <row r="345" spans="1:72" ht="15" hidden="1" customHeight="1">
      <c r="A345" s="66" t="s">
        <v>1798</v>
      </c>
      <c r="B345" s="66"/>
      <c r="C345" s="66" t="s">
        <v>418</v>
      </c>
      <c r="D345" s="66" t="s">
        <v>1799</v>
      </c>
      <c r="E345" s="150" t="s">
        <v>1136</v>
      </c>
      <c r="F345" s="482" t="s">
        <v>1566</v>
      </c>
      <c r="G345" s="150" t="s">
        <v>1135</v>
      </c>
      <c r="H345" s="150" t="s">
        <v>1165</v>
      </c>
      <c r="I345" s="150" t="s">
        <v>1135</v>
      </c>
      <c r="J345" s="150" t="s">
        <v>1165</v>
      </c>
      <c r="K345" s="150" t="s">
        <v>1137</v>
      </c>
      <c r="L345" s="511" t="s">
        <v>389</v>
      </c>
      <c r="M345" s="392" t="s">
        <v>1800</v>
      </c>
      <c r="N345" s="343"/>
      <c r="O345" s="343"/>
      <c r="P345" s="70" t="s">
        <v>419</v>
      </c>
      <c r="Q345" s="346"/>
      <c r="R345" s="343"/>
      <c r="S345" s="346"/>
      <c r="T345" s="150" t="s">
        <v>25</v>
      </c>
      <c r="U345" s="150"/>
      <c r="V345" s="643"/>
      <c r="W345" s="659">
        <v>0</v>
      </c>
      <c r="X345" s="659">
        <v>2006.44</v>
      </c>
      <c r="Y345" s="656"/>
      <c r="Z345" s="657"/>
      <c r="AA345" s="714">
        <v>0.45</v>
      </c>
      <c r="AB345" s="428">
        <v>1838.45</v>
      </c>
      <c r="AC345" s="428">
        <v>167.54</v>
      </c>
      <c r="AD345" s="428">
        <v>3132.21</v>
      </c>
      <c r="AE345" s="429">
        <v>3012.3</v>
      </c>
      <c r="AF345" s="429">
        <v>0.82999999999992724</v>
      </c>
      <c r="AG345" s="649">
        <v>0</v>
      </c>
      <c r="AH345" s="649">
        <v>0</v>
      </c>
      <c r="AI345" s="649">
        <v>0</v>
      </c>
      <c r="AJ345" s="649">
        <v>0</v>
      </c>
      <c r="AK345" s="649">
        <v>0</v>
      </c>
      <c r="AL345" s="649">
        <v>0</v>
      </c>
      <c r="AM345" s="649">
        <f t="shared" si="25"/>
        <v>8151.78</v>
      </c>
      <c r="AN345" s="651">
        <f>ERP_27[[#This Row],[2026 Working Total]]-ERP_27[[#This Row],[LE2 Final Submission]]</f>
        <v>6145.34</v>
      </c>
      <c r="AO345" s="652">
        <v>0</v>
      </c>
      <c r="AP345" s="652">
        <f t="shared" si="24"/>
        <v>0.82999999999992724</v>
      </c>
      <c r="AQ345" s="374">
        <f>SUM(ERP_27[[#This Row],[AP01]:[AP06]])-SUM(ERP_27[[#This Row],[AP01 LE2]:[AP06 LE2]])</f>
        <v>6145.34</v>
      </c>
      <c r="AR345" s="653"/>
      <c r="AS345" s="652">
        <f>ERP_27[[#This Row],[2026 Working Total to Budget/LE]]-ERP_27[[#This Row],[Giveback]]</f>
        <v>6145.34</v>
      </c>
      <c r="AT345" s="654"/>
      <c r="AU345" s="655">
        <v>0.45</v>
      </c>
      <c r="AV345" s="655">
        <v>1838.45</v>
      </c>
      <c r="AW345" s="655">
        <v>167.54</v>
      </c>
      <c r="AX345" s="655">
        <v>0</v>
      </c>
      <c r="AY345" s="655">
        <v>0</v>
      </c>
      <c r="AZ345" s="655">
        <v>0</v>
      </c>
      <c r="BA345" s="655">
        <v>0</v>
      </c>
      <c r="BB345" s="655">
        <v>0</v>
      </c>
      <c r="BC345" s="655">
        <v>0</v>
      </c>
      <c r="BD345" s="655">
        <v>0</v>
      </c>
      <c r="BE345" s="655">
        <v>0</v>
      </c>
      <c r="BF345" s="655">
        <v>0</v>
      </c>
      <c r="BG345" s="655">
        <v>2006.44</v>
      </c>
      <c r="BH345" s="652">
        <v>0.45</v>
      </c>
      <c r="BI345" s="652">
        <v>1838.45</v>
      </c>
      <c r="BJ345" s="652">
        <v>167.54</v>
      </c>
      <c r="BK345" s="652">
        <v>0</v>
      </c>
      <c r="BL345" s="652">
        <v>0</v>
      </c>
      <c r="BM345" s="652">
        <v>0</v>
      </c>
      <c r="BN345" s="652">
        <v>0</v>
      </c>
      <c r="BO345" s="652">
        <v>0</v>
      </c>
      <c r="BP345" s="652">
        <v>0</v>
      </c>
      <c r="BQ345" s="652">
        <v>0</v>
      </c>
      <c r="BR345" s="652">
        <v>0</v>
      </c>
      <c r="BS345" s="652">
        <v>0</v>
      </c>
      <c r="BT345" s="652">
        <v>2006.44</v>
      </c>
    </row>
    <row r="346" spans="1:72" ht="15" hidden="1" customHeight="1">
      <c r="A346" s="66" t="s">
        <v>1966</v>
      </c>
      <c r="B346" s="66"/>
      <c r="C346" s="66" t="s">
        <v>494</v>
      </c>
      <c r="D346" s="66" t="s">
        <v>494</v>
      </c>
      <c r="E346" s="150" t="s">
        <v>1136</v>
      </c>
      <c r="F346" s="482" t="s">
        <v>1566</v>
      </c>
      <c r="G346" s="383" t="s">
        <v>1344</v>
      </c>
      <c r="H346" s="383" t="s">
        <v>1344</v>
      </c>
      <c r="I346" s="150" t="s">
        <v>1345</v>
      </c>
      <c r="J346" s="150" t="s">
        <v>1344</v>
      </c>
      <c r="K346" s="150" t="s">
        <v>1346</v>
      </c>
      <c r="L346" s="511" t="s">
        <v>389</v>
      </c>
      <c r="M346" s="392" t="s">
        <v>1967</v>
      </c>
      <c r="N346" s="343"/>
      <c r="O346" s="343"/>
      <c r="P346" s="70" t="s">
        <v>495</v>
      </c>
      <c r="Q346" s="346"/>
      <c r="R346" s="346" t="s">
        <v>1140</v>
      </c>
      <c r="S346" s="346"/>
      <c r="T346" s="150" t="s">
        <v>57</v>
      </c>
      <c r="U346" s="150"/>
      <c r="V346" s="643"/>
      <c r="W346" s="659">
        <v>8600</v>
      </c>
      <c r="X346" s="659">
        <v>8392.24</v>
      </c>
      <c r="Y346" s="656"/>
      <c r="Z346" s="657"/>
      <c r="AA346" s="714">
        <v>540.58000000000004</v>
      </c>
      <c r="AB346" s="428">
        <v>540.04999999999995</v>
      </c>
      <c r="AC346" s="428">
        <v>511.61</v>
      </c>
      <c r="AD346" s="428">
        <v>547.18999999999994</v>
      </c>
      <c r="AE346" s="429">
        <v>534.1099999999999</v>
      </c>
      <c r="AF346" s="429">
        <v>539.85</v>
      </c>
      <c r="AG346" s="649">
        <v>600</v>
      </c>
      <c r="AH346" s="649">
        <v>600</v>
      </c>
      <c r="AI346" s="649">
        <v>600</v>
      </c>
      <c r="AJ346" s="649">
        <v>600</v>
      </c>
      <c r="AK346" s="649">
        <v>600</v>
      </c>
      <c r="AL346" s="649">
        <v>2000</v>
      </c>
      <c r="AM346" s="649">
        <f t="shared" si="25"/>
        <v>8213.39</v>
      </c>
      <c r="AN346" s="651">
        <f>ERP_27[[#This Row],[2026 Working Total]]-ERP_27[[#This Row],[LE2 Final Submission]]</f>
        <v>-178.85000000000036</v>
      </c>
      <c r="AO346" s="652">
        <v>600</v>
      </c>
      <c r="AP346" s="652">
        <f t="shared" si="24"/>
        <v>-60.149999999999977</v>
      </c>
      <c r="AQ346" s="374">
        <f>SUM(ERP_27[[#This Row],[AP01]:[AP06]])-SUM(ERP_27[[#This Row],[AP01 LE2]:[AP06 LE2]])</f>
        <v>-178.85000000000036</v>
      </c>
      <c r="AR346" s="653"/>
      <c r="AS346" s="652">
        <f>ERP_27[[#This Row],[2026 Working Total to Budget/LE]]-ERP_27[[#This Row],[Giveback]]</f>
        <v>-178.85000000000036</v>
      </c>
      <c r="AT346" s="654"/>
      <c r="AU346" s="655">
        <v>540.58000000000004</v>
      </c>
      <c r="AV346" s="655">
        <v>540.04999999999995</v>
      </c>
      <c r="AW346" s="655">
        <v>511.61</v>
      </c>
      <c r="AX346" s="655">
        <v>600</v>
      </c>
      <c r="AY346" s="655">
        <v>600</v>
      </c>
      <c r="AZ346" s="655">
        <v>600</v>
      </c>
      <c r="BA346" s="655">
        <v>600</v>
      </c>
      <c r="BB346" s="655">
        <v>600</v>
      </c>
      <c r="BC346" s="655">
        <v>600</v>
      </c>
      <c r="BD346" s="655">
        <v>600</v>
      </c>
      <c r="BE346" s="655">
        <v>600</v>
      </c>
      <c r="BF346" s="655">
        <v>2000</v>
      </c>
      <c r="BG346" s="655">
        <v>8392.24</v>
      </c>
      <c r="BH346" s="652">
        <v>540.58000000000004</v>
      </c>
      <c r="BI346" s="652">
        <v>540.04999999999995</v>
      </c>
      <c r="BJ346" s="652">
        <v>511.61</v>
      </c>
      <c r="BK346" s="652">
        <v>600</v>
      </c>
      <c r="BL346" s="652">
        <v>600</v>
      </c>
      <c r="BM346" s="652">
        <v>600</v>
      </c>
      <c r="BN346" s="652">
        <v>600</v>
      </c>
      <c r="BO346" s="652">
        <v>600</v>
      </c>
      <c r="BP346" s="652">
        <v>600</v>
      </c>
      <c r="BQ346" s="652">
        <v>600</v>
      </c>
      <c r="BR346" s="652">
        <v>600</v>
      </c>
      <c r="BS346" s="652">
        <v>2000</v>
      </c>
      <c r="BT346" s="652">
        <v>8392.24</v>
      </c>
    </row>
    <row r="347" spans="1:72" ht="15" hidden="1" customHeight="1">
      <c r="A347" s="66" t="s">
        <v>1738</v>
      </c>
      <c r="B347" s="66"/>
      <c r="C347" s="66" t="s">
        <v>381</v>
      </c>
      <c r="D347" s="66" t="s">
        <v>1739</v>
      </c>
      <c r="E347" s="150" t="s">
        <v>1136</v>
      </c>
      <c r="F347" s="482" t="s">
        <v>1566</v>
      </c>
      <c r="G347" s="482" t="s">
        <v>1566</v>
      </c>
      <c r="H347" s="482" t="s">
        <v>1566</v>
      </c>
      <c r="I347" s="150" t="s">
        <v>1345</v>
      </c>
      <c r="J347" s="150" t="s">
        <v>1346</v>
      </c>
      <c r="K347" s="150" t="s">
        <v>1346</v>
      </c>
      <c r="L347" s="511" t="s">
        <v>342</v>
      </c>
      <c r="M347" s="392" t="s">
        <v>1703</v>
      </c>
      <c r="N347" s="343"/>
      <c r="O347" s="343"/>
      <c r="P347" s="70" t="s">
        <v>365</v>
      </c>
      <c r="Q347" s="346"/>
      <c r="R347" s="346" t="s">
        <v>1140</v>
      </c>
      <c r="S347" s="346"/>
      <c r="T347" s="150" t="s">
        <v>57</v>
      </c>
      <c r="U347" s="150"/>
      <c r="V347" s="643"/>
      <c r="W347" s="659">
        <v>0</v>
      </c>
      <c r="X347" s="659">
        <v>4063.1000000000004</v>
      </c>
      <c r="Y347" s="656"/>
      <c r="Z347" s="657"/>
      <c r="AA347" s="714">
        <v>322.64</v>
      </c>
      <c r="AB347" s="428">
        <v>376.04</v>
      </c>
      <c r="AC347" s="428">
        <v>3364.42</v>
      </c>
      <c r="AD347" s="428">
        <v>389.04999999999995</v>
      </c>
      <c r="AE347" s="429">
        <v>3602.75</v>
      </c>
      <c r="AF347" s="429">
        <v>278.59000000000003</v>
      </c>
      <c r="AG347" s="649">
        <v>0</v>
      </c>
      <c r="AH347" s="649">
        <v>0</v>
      </c>
      <c r="AI347" s="649">
        <v>0</v>
      </c>
      <c r="AJ347" s="649">
        <v>0</v>
      </c>
      <c r="AK347" s="649">
        <v>0</v>
      </c>
      <c r="AL347" s="649">
        <v>0</v>
      </c>
      <c r="AM347" s="649">
        <f t="shared" si="25"/>
        <v>8333.49</v>
      </c>
      <c r="AN347" s="651">
        <f>ERP_27[[#This Row],[2026 Working Total]]-ERP_27[[#This Row],[LE2 Final Submission]]</f>
        <v>4270.3899999999994</v>
      </c>
      <c r="AO347" s="652">
        <v>0</v>
      </c>
      <c r="AP347" s="652">
        <f t="shared" si="24"/>
        <v>278.59000000000003</v>
      </c>
      <c r="AQ347" s="374">
        <f>SUM(ERP_27[[#This Row],[AP01]:[AP06]])-SUM(ERP_27[[#This Row],[AP01 LE2]:[AP06 LE2]])</f>
        <v>4270.3899999999994</v>
      </c>
      <c r="AR347" s="653"/>
      <c r="AS347" s="652">
        <f>ERP_27[[#This Row],[2026 Working Total to Budget/LE]]-ERP_27[[#This Row],[Giveback]]</f>
        <v>4270.3899999999994</v>
      </c>
      <c r="AT347" s="654"/>
      <c r="AU347" s="655">
        <v>322.64</v>
      </c>
      <c r="AV347" s="655">
        <v>376.04</v>
      </c>
      <c r="AW347" s="655">
        <v>3364.42</v>
      </c>
      <c r="AX347" s="655">
        <v>0</v>
      </c>
      <c r="AY347" s="655">
        <v>0</v>
      </c>
      <c r="AZ347" s="655">
        <v>0</v>
      </c>
      <c r="BA347" s="655">
        <v>0</v>
      </c>
      <c r="BB347" s="655">
        <v>0</v>
      </c>
      <c r="BC347" s="655">
        <v>0</v>
      </c>
      <c r="BD347" s="655">
        <v>0</v>
      </c>
      <c r="BE347" s="655">
        <v>0</v>
      </c>
      <c r="BF347" s="655">
        <v>0</v>
      </c>
      <c r="BG347" s="655">
        <v>4063.1000000000004</v>
      </c>
      <c r="BH347" s="652">
        <v>322.64</v>
      </c>
      <c r="BI347" s="652">
        <v>376.04</v>
      </c>
      <c r="BJ347" s="652">
        <v>3364.42</v>
      </c>
      <c r="BK347" s="652">
        <v>0</v>
      </c>
      <c r="BL347" s="652">
        <v>0</v>
      </c>
      <c r="BM347" s="652">
        <v>0</v>
      </c>
      <c r="BN347" s="652">
        <v>0</v>
      </c>
      <c r="BO347" s="652">
        <v>0</v>
      </c>
      <c r="BP347" s="652">
        <v>0</v>
      </c>
      <c r="BQ347" s="652">
        <v>0</v>
      </c>
      <c r="BR347" s="652">
        <v>0</v>
      </c>
      <c r="BS347" s="652">
        <v>0</v>
      </c>
      <c r="BT347" s="652">
        <v>4063.1000000000004</v>
      </c>
    </row>
    <row r="348" spans="1:72" ht="15" hidden="1" customHeight="1">
      <c r="A348" s="66" t="s">
        <v>2709</v>
      </c>
      <c r="B348" s="66"/>
      <c r="C348" s="66" t="s">
        <v>962</v>
      </c>
      <c r="D348" s="66" t="s">
        <v>962</v>
      </c>
      <c r="E348" s="150" t="s">
        <v>1136</v>
      </c>
      <c r="F348" s="482" t="s">
        <v>1566</v>
      </c>
      <c r="G348" s="383" t="s">
        <v>1480</v>
      </c>
      <c r="H348" s="383" t="s">
        <v>1480</v>
      </c>
      <c r="I348" s="150" t="s">
        <v>1345</v>
      </c>
      <c r="J348" s="150" t="s">
        <v>1480</v>
      </c>
      <c r="K348" s="150" t="s">
        <v>1346</v>
      </c>
      <c r="L348" s="511" t="s">
        <v>639</v>
      </c>
      <c r="M348" s="392" t="s">
        <v>2710</v>
      </c>
      <c r="N348" s="343"/>
      <c r="O348" s="343"/>
      <c r="P348" s="70" t="s">
        <v>963</v>
      </c>
      <c r="Q348" s="346"/>
      <c r="R348" s="343"/>
      <c r="S348" s="346"/>
      <c r="T348" s="150" t="s">
        <v>152</v>
      </c>
      <c r="U348" s="150"/>
      <c r="V348" s="643"/>
      <c r="W348" s="659">
        <v>0</v>
      </c>
      <c r="X348" s="659">
        <v>24000</v>
      </c>
      <c r="Y348" s="656"/>
      <c r="Z348" s="657"/>
      <c r="AA348" s="714">
        <v>24000</v>
      </c>
      <c r="AB348" s="428">
        <v>0</v>
      </c>
      <c r="AC348" s="428">
        <v>0</v>
      </c>
      <c r="AD348" s="428">
        <v>5.0699999999999363</v>
      </c>
      <c r="AE348" s="429">
        <v>-7.8299999999999272</v>
      </c>
      <c r="AF348" s="429">
        <v>-15479.01</v>
      </c>
      <c r="AG348" s="649">
        <v>0</v>
      </c>
      <c r="AH348" s="649">
        <v>0</v>
      </c>
      <c r="AI348" s="649">
        <v>0</v>
      </c>
      <c r="AJ348" s="649">
        <v>0</v>
      </c>
      <c r="AK348" s="649">
        <v>0</v>
      </c>
      <c r="AL348" s="649">
        <v>0</v>
      </c>
      <c r="AM348" s="649">
        <f t="shared" si="25"/>
        <v>8518.2299999999977</v>
      </c>
      <c r="AN348" s="651">
        <f>ERP_27[[#This Row],[2026 Working Total]]-ERP_27[[#This Row],[LE2 Final Submission]]</f>
        <v>-15481.770000000002</v>
      </c>
      <c r="AO348" s="652">
        <v>31350</v>
      </c>
      <c r="AP348" s="652">
        <f t="shared" si="24"/>
        <v>-46829.01</v>
      </c>
      <c r="AQ348" s="374">
        <f>SUM(ERP_27[[#This Row],[AP01]:[AP06]])-SUM(ERP_27[[#This Row],[AP01 LE2]:[AP06 LE2]])</f>
        <v>-15481.770000000002</v>
      </c>
      <c r="AR348" s="653"/>
      <c r="AS348" s="652">
        <f>ERP_27[[#This Row],[2026 Working Total to Budget/LE]]-ERP_27[[#This Row],[Giveback]]</f>
        <v>-15481.770000000002</v>
      </c>
      <c r="AT348" s="654"/>
      <c r="AU348" s="655">
        <v>24000</v>
      </c>
      <c r="AV348" s="655">
        <v>0</v>
      </c>
      <c r="AW348" s="655">
        <v>0</v>
      </c>
      <c r="AX348" s="655">
        <v>0</v>
      </c>
      <c r="AY348" s="655">
        <v>0</v>
      </c>
      <c r="AZ348" s="655">
        <v>0</v>
      </c>
      <c r="BA348" s="655">
        <v>0</v>
      </c>
      <c r="BB348" s="655">
        <v>0</v>
      </c>
      <c r="BC348" s="655">
        <v>0</v>
      </c>
      <c r="BD348" s="655">
        <v>0</v>
      </c>
      <c r="BE348" s="655">
        <v>0</v>
      </c>
      <c r="BF348" s="655">
        <v>0</v>
      </c>
      <c r="BG348" s="655">
        <v>24000</v>
      </c>
      <c r="BH348" s="652">
        <v>24000</v>
      </c>
      <c r="BI348" s="652">
        <v>0</v>
      </c>
      <c r="BJ348" s="652">
        <v>0</v>
      </c>
      <c r="BK348" s="652">
        <v>0</v>
      </c>
      <c r="BL348" s="652">
        <v>0</v>
      </c>
      <c r="BM348" s="652">
        <v>0</v>
      </c>
      <c r="BN348" s="652">
        <v>0</v>
      </c>
      <c r="BO348" s="652">
        <v>0</v>
      </c>
      <c r="BP348" s="652">
        <v>0</v>
      </c>
      <c r="BQ348" s="652">
        <v>0</v>
      </c>
      <c r="BR348" s="652">
        <v>0</v>
      </c>
      <c r="BS348" s="652">
        <v>0</v>
      </c>
      <c r="BT348" s="652">
        <v>24000</v>
      </c>
    </row>
    <row r="349" spans="1:72" ht="15" hidden="1" customHeight="1">
      <c r="A349" s="66" t="s">
        <v>2030</v>
      </c>
      <c r="B349" s="66"/>
      <c r="C349" s="66" t="s">
        <v>536</v>
      </c>
      <c r="D349" s="66" t="s">
        <v>536</v>
      </c>
      <c r="E349" s="150" t="s">
        <v>1136</v>
      </c>
      <c r="F349" s="482" t="s">
        <v>1566</v>
      </c>
      <c r="G349" s="150" t="s">
        <v>1345</v>
      </c>
      <c r="H349" s="150" t="s">
        <v>1345</v>
      </c>
      <c r="I349" s="150" t="s">
        <v>1345</v>
      </c>
      <c r="J349" s="150" t="s">
        <v>1345</v>
      </c>
      <c r="K349" s="150" t="s">
        <v>1346</v>
      </c>
      <c r="L349" s="511" t="s">
        <v>389</v>
      </c>
      <c r="M349" s="392" t="s">
        <v>2031</v>
      </c>
      <c r="N349" s="343"/>
      <c r="O349" s="343"/>
      <c r="P349" s="70" t="s">
        <v>537</v>
      </c>
      <c r="Q349" s="346"/>
      <c r="R349" s="343"/>
      <c r="S349" s="346"/>
      <c r="T349" s="150" t="s">
        <v>25</v>
      </c>
      <c r="U349" s="150"/>
      <c r="V349" s="643"/>
      <c r="W349" s="659">
        <v>9476.7599999999984</v>
      </c>
      <c r="X349" s="659">
        <v>8989.8399999999983</v>
      </c>
      <c r="Y349" s="656"/>
      <c r="Z349" s="657"/>
      <c r="AA349" s="714">
        <v>730.3</v>
      </c>
      <c r="AB349" s="428">
        <v>738.84</v>
      </c>
      <c r="AC349" s="428">
        <v>752.07</v>
      </c>
      <c r="AD349" s="428">
        <v>738.27</v>
      </c>
      <c r="AE349" s="429">
        <v>704.13</v>
      </c>
      <c r="AF349" s="429">
        <v>719.83999999999992</v>
      </c>
      <c r="AG349" s="649">
        <v>752.07</v>
      </c>
      <c r="AH349" s="649">
        <v>752.07</v>
      </c>
      <c r="AI349" s="649">
        <v>752.07</v>
      </c>
      <c r="AJ349" s="649">
        <v>752.07</v>
      </c>
      <c r="AK349" s="649">
        <v>752.07</v>
      </c>
      <c r="AL349" s="649">
        <v>752.07</v>
      </c>
      <c r="AM349" s="649">
        <f t="shared" si="25"/>
        <v>8895.869999999999</v>
      </c>
      <c r="AN349" s="651">
        <f>ERP_27[[#This Row],[2026 Working Total]]-ERP_27[[#This Row],[LE2 Final Submission]]</f>
        <v>-93.969999999999345</v>
      </c>
      <c r="AO349" s="652">
        <v>752.07</v>
      </c>
      <c r="AP349" s="652">
        <f t="shared" si="24"/>
        <v>-32.230000000000132</v>
      </c>
      <c r="AQ349" s="374">
        <f>SUM(ERP_27[[#This Row],[AP01]:[AP06]])-SUM(ERP_27[[#This Row],[AP01 LE2]:[AP06 LE2]])</f>
        <v>-93.970000000000255</v>
      </c>
      <c r="AR349" s="653"/>
      <c r="AS349" s="652">
        <f>ERP_27[[#This Row],[2026 Working Total to Budget/LE]]-ERP_27[[#This Row],[Giveback]]</f>
        <v>-93.969999999999345</v>
      </c>
      <c r="AT349" s="654"/>
      <c r="AU349" s="655">
        <v>730.3</v>
      </c>
      <c r="AV349" s="655">
        <v>738.84</v>
      </c>
      <c r="AW349" s="655">
        <v>752.07</v>
      </c>
      <c r="AX349" s="655">
        <v>752.07</v>
      </c>
      <c r="AY349" s="655">
        <v>752.07</v>
      </c>
      <c r="AZ349" s="655">
        <v>752.07</v>
      </c>
      <c r="BA349" s="655">
        <v>752.07</v>
      </c>
      <c r="BB349" s="655">
        <v>752.07</v>
      </c>
      <c r="BC349" s="655">
        <v>752.07</v>
      </c>
      <c r="BD349" s="655">
        <v>752.07</v>
      </c>
      <c r="BE349" s="655">
        <v>752.07</v>
      </c>
      <c r="BF349" s="655">
        <v>752.07</v>
      </c>
      <c r="BG349" s="655">
        <v>8989.8399999999983</v>
      </c>
      <c r="BH349" s="652">
        <v>730.3</v>
      </c>
      <c r="BI349" s="652">
        <v>738.84</v>
      </c>
      <c r="BJ349" s="652">
        <v>752.07</v>
      </c>
      <c r="BK349" s="652">
        <v>789.73</v>
      </c>
      <c r="BL349" s="652">
        <v>789.73</v>
      </c>
      <c r="BM349" s="652">
        <v>789.73</v>
      </c>
      <c r="BN349" s="652">
        <v>789.73</v>
      </c>
      <c r="BO349" s="652">
        <v>789.73</v>
      </c>
      <c r="BP349" s="652">
        <v>789.73</v>
      </c>
      <c r="BQ349" s="652">
        <v>789.73</v>
      </c>
      <c r="BR349" s="652">
        <v>789.73</v>
      </c>
      <c r="BS349" s="652">
        <v>789.73</v>
      </c>
      <c r="BT349" s="652">
        <v>9328.779999999997</v>
      </c>
    </row>
    <row r="350" spans="1:72" ht="15" hidden="1" customHeight="1">
      <c r="A350" s="66" t="s">
        <v>2743</v>
      </c>
      <c r="B350" s="66"/>
      <c r="C350" s="66" t="s">
        <v>981</v>
      </c>
      <c r="D350" s="66" t="s">
        <v>981</v>
      </c>
      <c r="E350" s="150" t="s">
        <v>1136</v>
      </c>
      <c r="F350" s="482" t="s">
        <v>1566</v>
      </c>
      <c r="G350" s="150" t="s">
        <v>1515</v>
      </c>
      <c r="H350" s="383" t="s">
        <v>1515</v>
      </c>
      <c r="I350" s="150" t="s">
        <v>1345</v>
      </c>
      <c r="J350" s="150" t="s">
        <v>1515</v>
      </c>
      <c r="K350" s="150" t="s">
        <v>1346</v>
      </c>
      <c r="L350" s="511" t="s">
        <v>639</v>
      </c>
      <c r="M350" s="392" t="s">
        <v>2744</v>
      </c>
      <c r="N350" s="343"/>
      <c r="O350" s="343"/>
      <c r="P350" s="70" t="s">
        <v>982</v>
      </c>
      <c r="Q350" s="346"/>
      <c r="R350" s="343"/>
      <c r="S350" s="346"/>
      <c r="T350" s="150" t="s">
        <v>152</v>
      </c>
      <c r="U350" s="150"/>
      <c r="V350" s="643"/>
      <c r="W350" s="659">
        <v>18000</v>
      </c>
      <c r="X350" s="659">
        <v>13500</v>
      </c>
      <c r="Y350" s="656"/>
      <c r="Z350" s="657"/>
      <c r="AA350" s="714"/>
      <c r="AB350" s="428"/>
      <c r="AC350" s="428"/>
      <c r="AD350" s="428" t="s">
        <v>1142</v>
      </c>
      <c r="AE350" s="429">
        <v>0</v>
      </c>
      <c r="AF350" s="429">
        <v>0</v>
      </c>
      <c r="AG350" s="649">
        <v>1500</v>
      </c>
      <c r="AH350" s="649">
        <v>1500</v>
      </c>
      <c r="AI350" s="649">
        <v>1500</v>
      </c>
      <c r="AJ350" s="649">
        <v>1500</v>
      </c>
      <c r="AK350" s="649">
        <v>1500</v>
      </c>
      <c r="AL350" s="649">
        <v>1500</v>
      </c>
      <c r="AM350" s="649">
        <f t="shared" si="25"/>
        <v>9000</v>
      </c>
      <c r="AN350" s="651">
        <f>ERP_27[[#This Row],[2026 Working Total]]-ERP_27[[#This Row],[LE2 Final Submission]]</f>
        <v>-4500</v>
      </c>
      <c r="AO350" s="652">
        <v>5000</v>
      </c>
      <c r="AP350" s="652">
        <f t="shared" si="24"/>
        <v>-5000</v>
      </c>
      <c r="AQ350" s="374">
        <f>SUM(ERP_27[[#This Row],[AP01]:[AP06]])-SUM(ERP_27[[#This Row],[AP01 LE2]:[AP06 LE2]])</f>
        <v>-4500</v>
      </c>
      <c r="AR350" s="653"/>
      <c r="AS350" s="652">
        <f>ERP_27[[#This Row],[2026 Working Total to Budget/LE]]-ERP_27[[#This Row],[Giveback]]</f>
        <v>-4500</v>
      </c>
      <c r="AT350" s="654"/>
      <c r="AU350" s="655"/>
      <c r="AV350" s="655"/>
      <c r="AW350" s="655"/>
      <c r="AX350" s="655">
        <v>1500</v>
      </c>
      <c r="AY350" s="655">
        <v>1500</v>
      </c>
      <c r="AZ350" s="655">
        <v>1500</v>
      </c>
      <c r="BA350" s="655">
        <v>1500</v>
      </c>
      <c r="BB350" s="655">
        <v>1500</v>
      </c>
      <c r="BC350" s="655">
        <v>1500</v>
      </c>
      <c r="BD350" s="655">
        <v>1500</v>
      </c>
      <c r="BE350" s="655">
        <v>1500</v>
      </c>
      <c r="BF350" s="655">
        <v>1500</v>
      </c>
      <c r="BG350" s="655">
        <v>13500</v>
      </c>
      <c r="BH350" s="652"/>
      <c r="BI350" s="652"/>
      <c r="BJ350" s="652"/>
      <c r="BK350" s="652">
        <v>1500</v>
      </c>
      <c r="BL350" s="652">
        <v>1500</v>
      </c>
      <c r="BM350" s="652">
        <v>1500</v>
      </c>
      <c r="BN350" s="652">
        <v>1500</v>
      </c>
      <c r="BO350" s="652">
        <v>1500</v>
      </c>
      <c r="BP350" s="652">
        <v>1500</v>
      </c>
      <c r="BQ350" s="652">
        <v>1500</v>
      </c>
      <c r="BR350" s="652">
        <v>1500</v>
      </c>
      <c r="BS350" s="652">
        <v>1500</v>
      </c>
      <c r="BT350" s="652">
        <v>13500</v>
      </c>
    </row>
    <row r="351" spans="1:72" ht="15" hidden="1" customHeight="1">
      <c r="A351" s="66" t="s">
        <v>1291</v>
      </c>
      <c r="B351" s="66"/>
      <c r="C351" s="66" t="s">
        <v>130</v>
      </c>
      <c r="D351" s="66" t="s">
        <v>1292</v>
      </c>
      <c r="E351" s="150" t="s">
        <v>1136</v>
      </c>
      <c r="F351" s="482" t="s">
        <v>1566</v>
      </c>
      <c r="G351" s="150" t="s">
        <v>1135</v>
      </c>
      <c r="H351" s="150" t="s">
        <v>1165</v>
      </c>
      <c r="I351" s="150" t="s">
        <v>1135</v>
      </c>
      <c r="J351" s="150" t="s">
        <v>1165</v>
      </c>
      <c r="K351" s="150" t="s">
        <v>1137</v>
      </c>
      <c r="L351" s="511" t="s">
        <v>49</v>
      </c>
      <c r="M351" s="392" t="s">
        <v>1293</v>
      </c>
      <c r="N351" s="343"/>
      <c r="O351" s="343"/>
      <c r="P351" s="70" t="s">
        <v>131</v>
      </c>
      <c r="Q351" s="346"/>
      <c r="R351" s="343"/>
      <c r="S351" s="346"/>
      <c r="T351" s="150" t="s">
        <v>114</v>
      </c>
      <c r="U351" s="150"/>
      <c r="V351" s="643"/>
      <c r="W351" s="659">
        <v>9592.0000000000018</v>
      </c>
      <c r="X351" s="659">
        <v>9470.880000000001</v>
      </c>
      <c r="Y351" s="656"/>
      <c r="Z351" s="657"/>
      <c r="AA351" s="714">
        <v>844.81</v>
      </c>
      <c r="AB351" s="428">
        <v>677.12</v>
      </c>
      <c r="AC351" s="428">
        <v>754.94</v>
      </c>
      <c r="AD351" s="428">
        <v>991.85</v>
      </c>
      <c r="AE351" s="429">
        <v>673.53</v>
      </c>
      <c r="AF351" s="429">
        <v>720.34</v>
      </c>
      <c r="AG351" s="649">
        <v>799.33</v>
      </c>
      <c r="AH351" s="649">
        <v>799.33</v>
      </c>
      <c r="AI351" s="649">
        <v>799.33</v>
      </c>
      <c r="AJ351" s="649">
        <v>799.33</v>
      </c>
      <c r="AK351" s="649">
        <v>799.33</v>
      </c>
      <c r="AL351" s="649">
        <v>799.37</v>
      </c>
      <c r="AM351" s="649">
        <f t="shared" si="25"/>
        <v>9458.61</v>
      </c>
      <c r="AN351" s="651">
        <f>ERP_27[[#This Row],[2026 Working Total]]-ERP_27[[#This Row],[LE2 Final Submission]]</f>
        <v>-12.270000000000437</v>
      </c>
      <c r="AO351" s="652">
        <v>799.33</v>
      </c>
      <c r="AP351" s="652">
        <f t="shared" si="24"/>
        <v>-78.990000000000009</v>
      </c>
      <c r="AQ351" s="374">
        <f>SUM(ERP_27[[#This Row],[AP01]:[AP06]])-SUM(ERP_27[[#This Row],[AP01 LE2]:[AP06 LE2]])</f>
        <v>-12.269999999999527</v>
      </c>
      <c r="AR351" s="653"/>
      <c r="AS351" s="652">
        <f>ERP_27[[#This Row],[2026 Working Total to Budget/LE]]-ERP_27[[#This Row],[Giveback]]</f>
        <v>-12.270000000000437</v>
      </c>
      <c r="AT351" s="654"/>
      <c r="AU351" s="655">
        <v>844.81</v>
      </c>
      <c r="AV351" s="655">
        <v>677.12</v>
      </c>
      <c r="AW351" s="655">
        <v>754.94</v>
      </c>
      <c r="AX351" s="655">
        <v>799.33</v>
      </c>
      <c r="AY351" s="655">
        <v>799.33</v>
      </c>
      <c r="AZ351" s="655">
        <v>799.33</v>
      </c>
      <c r="BA351" s="655">
        <v>799.33</v>
      </c>
      <c r="BB351" s="655">
        <v>799.33</v>
      </c>
      <c r="BC351" s="655">
        <v>799.33</v>
      </c>
      <c r="BD351" s="655">
        <v>799.33</v>
      </c>
      <c r="BE351" s="655">
        <v>799.33</v>
      </c>
      <c r="BF351" s="655">
        <v>799.37</v>
      </c>
      <c r="BG351" s="655">
        <v>9470.880000000001</v>
      </c>
      <c r="BH351" s="652">
        <v>844.81</v>
      </c>
      <c r="BI351" s="652">
        <v>677.12</v>
      </c>
      <c r="BJ351" s="652">
        <v>754.94</v>
      </c>
      <c r="BK351" s="652">
        <v>799.33</v>
      </c>
      <c r="BL351" s="652">
        <v>799.33</v>
      </c>
      <c r="BM351" s="652">
        <v>799.33</v>
      </c>
      <c r="BN351" s="652">
        <v>799.33</v>
      </c>
      <c r="BO351" s="652">
        <v>799.33</v>
      </c>
      <c r="BP351" s="652">
        <v>799.33</v>
      </c>
      <c r="BQ351" s="652">
        <v>799.33</v>
      </c>
      <c r="BR351" s="652">
        <v>799.33</v>
      </c>
      <c r="BS351" s="652">
        <v>799.37</v>
      </c>
      <c r="BT351" s="652">
        <v>9470.880000000001</v>
      </c>
    </row>
    <row r="352" spans="1:72" ht="15" hidden="1" customHeight="1">
      <c r="A352" s="66" t="s">
        <v>1887</v>
      </c>
      <c r="B352" s="66"/>
      <c r="C352" s="66" t="s">
        <v>577</v>
      </c>
      <c r="D352" s="66" t="s">
        <v>1888</v>
      </c>
      <c r="E352" s="150" t="s">
        <v>1136</v>
      </c>
      <c r="F352" s="482" t="s">
        <v>1566</v>
      </c>
      <c r="G352" s="482" t="s">
        <v>1566</v>
      </c>
      <c r="H352" s="482" t="s">
        <v>1566</v>
      </c>
      <c r="I352" s="150" t="s">
        <v>1345</v>
      </c>
      <c r="J352" s="150" t="s">
        <v>1346</v>
      </c>
      <c r="K352" s="150" t="s">
        <v>1346</v>
      </c>
      <c r="L352" s="511" t="s">
        <v>389</v>
      </c>
      <c r="M352" s="392" t="s">
        <v>1889</v>
      </c>
      <c r="N352" s="343"/>
      <c r="O352" s="343"/>
      <c r="P352" s="70" t="s">
        <v>578</v>
      </c>
      <c r="Q352" s="346"/>
      <c r="R352" s="346" t="s">
        <v>1221</v>
      </c>
      <c r="S352" s="346"/>
      <c r="T352" s="150" t="s">
        <v>272</v>
      </c>
      <c r="U352" s="150"/>
      <c r="V352" s="643"/>
      <c r="W352" s="659">
        <v>0</v>
      </c>
      <c r="X352" s="659">
        <v>275.15000000000055</v>
      </c>
      <c r="Y352" s="656"/>
      <c r="Z352" s="657"/>
      <c r="AA352" s="714">
        <v>2699.63</v>
      </c>
      <c r="AB352" s="428">
        <v>2847.71</v>
      </c>
      <c r="AC352" s="428">
        <v>-5272.19</v>
      </c>
      <c r="AD352" s="428">
        <v>3353.36</v>
      </c>
      <c r="AE352" s="429">
        <v>2931.3300000000004</v>
      </c>
      <c r="AF352" s="429">
        <v>3022.73</v>
      </c>
      <c r="AG352" s="649">
        <v>0</v>
      </c>
      <c r="AH352" s="649">
        <v>0</v>
      </c>
      <c r="AI352" s="649">
        <v>0</v>
      </c>
      <c r="AJ352" s="649">
        <v>0</v>
      </c>
      <c r="AK352" s="649">
        <v>0</v>
      </c>
      <c r="AL352" s="649">
        <v>0</v>
      </c>
      <c r="AM352" s="649">
        <f t="shared" si="25"/>
        <v>9582.5700000000015</v>
      </c>
      <c r="AN352" s="651">
        <f>ERP_27[[#This Row],[2026 Working Total]]-ERP_27[[#This Row],[LE2 Final Submission]]</f>
        <v>9307.4200000000019</v>
      </c>
      <c r="AO352" s="652">
        <v>0</v>
      </c>
      <c r="AP352" s="652">
        <f t="shared" si="24"/>
        <v>3022.73</v>
      </c>
      <c r="AQ352" s="374">
        <f>SUM(ERP_27[[#This Row],[AP01]:[AP06]])-SUM(ERP_27[[#This Row],[AP01 LE2]:[AP06 LE2]])</f>
        <v>9307.4200000000019</v>
      </c>
      <c r="AR352" s="653"/>
      <c r="AS352" s="652">
        <f>ERP_27[[#This Row],[2026 Working Total to Budget/LE]]-ERP_27[[#This Row],[Giveback]]</f>
        <v>9307.4200000000019</v>
      </c>
      <c r="AT352" s="654"/>
      <c r="AU352" s="655">
        <v>2699.63</v>
      </c>
      <c r="AV352" s="655">
        <v>2847.71</v>
      </c>
      <c r="AW352" s="655">
        <v>-5272.19</v>
      </c>
      <c r="AX352" s="655">
        <v>0</v>
      </c>
      <c r="AY352" s="655">
        <v>0</v>
      </c>
      <c r="AZ352" s="655">
        <v>0</v>
      </c>
      <c r="BA352" s="655">
        <v>0</v>
      </c>
      <c r="BB352" s="655">
        <v>0</v>
      </c>
      <c r="BC352" s="655">
        <v>0</v>
      </c>
      <c r="BD352" s="655">
        <v>0</v>
      </c>
      <c r="BE352" s="655">
        <v>0</v>
      </c>
      <c r="BF352" s="655">
        <v>0</v>
      </c>
      <c r="BG352" s="655">
        <v>275.15000000000055</v>
      </c>
      <c r="BH352" s="652">
        <v>2699.63</v>
      </c>
      <c r="BI352" s="652">
        <v>2847.71</v>
      </c>
      <c r="BJ352" s="652">
        <v>-5272.19</v>
      </c>
      <c r="BK352" s="652">
        <v>2847.71</v>
      </c>
      <c r="BL352" s="652">
        <v>2847.71</v>
      </c>
      <c r="BM352" s="652">
        <v>2847.71</v>
      </c>
      <c r="BN352" s="652">
        <v>2847.71</v>
      </c>
      <c r="BO352" s="652">
        <v>2847.71</v>
      </c>
      <c r="BP352" s="652">
        <v>2847.71</v>
      </c>
      <c r="BQ352" s="652">
        <v>2847.71</v>
      </c>
      <c r="BR352" s="652">
        <v>2847.71</v>
      </c>
      <c r="BS352" s="652">
        <v>2847.71</v>
      </c>
      <c r="BT352" s="652">
        <v>25904.539999999997</v>
      </c>
    </row>
    <row r="353" spans="1:72" ht="15" hidden="1" customHeight="1">
      <c r="A353" s="66" t="s">
        <v>2811</v>
      </c>
      <c r="B353" s="66"/>
      <c r="C353" s="66" t="s">
        <v>1018</v>
      </c>
      <c r="D353" s="66" t="s">
        <v>1018</v>
      </c>
      <c r="E353" s="150" t="s">
        <v>1136</v>
      </c>
      <c r="F353" s="482" t="s">
        <v>1566</v>
      </c>
      <c r="G353" s="150" t="s">
        <v>1650</v>
      </c>
      <c r="H353" s="150" t="s">
        <v>1650</v>
      </c>
      <c r="I353" s="150" t="s">
        <v>1650</v>
      </c>
      <c r="J353" s="150" t="s">
        <v>1650</v>
      </c>
      <c r="K353" s="150" t="s">
        <v>1650</v>
      </c>
      <c r="L353" s="511" t="s">
        <v>639</v>
      </c>
      <c r="M353" s="392" t="s">
        <v>2291</v>
      </c>
      <c r="N353" s="343"/>
      <c r="O353" s="343"/>
      <c r="P353" s="70" t="s">
        <v>679</v>
      </c>
      <c r="Q353" s="346"/>
      <c r="R353" s="346" t="s">
        <v>1140</v>
      </c>
      <c r="S353" s="346"/>
      <c r="T353" s="150" t="s">
        <v>680</v>
      </c>
      <c r="U353" s="150"/>
      <c r="V353" s="643"/>
      <c r="W353" s="659">
        <v>4500</v>
      </c>
      <c r="X353" s="659">
        <v>8574.7199999999993</v>
      </c>
      <c r="Y353" s="656"/>
      <c r="Z353" s="657"/>
      <c r="AA353" s="714">
        <v>431</v>
      </c>
      <c r="AB353" s="428">
        <v>2586</v>
      </c>
      <c r="AC353" s="428">
        <v>2182.7199999999998</v>
      </c>
      <c r="AD353" s="428">
        <v>431</v>
      </c>
      <c r="AE353" s="429">
        <v>0</v>
      </c>
      <c r="AF353" s="429">
        <v>1724</v>
      </c>
      <c r="AG353" s="649">
        <v>375</v>
      </c>
      <c r="AH353" s="649">
        <v>375</v>
      </c>
      <c r="AI353" s="649">
        <v>375</v>
      </c>
      <c r="AJ353" s="649">
        <v>375</v>
      </c>
      <c r="AK353" s="649">
        <v>375</v>
      </c>
      <c r="AL353" s="649">
        <v>375</v>
      </c>
      <c r="AM353" s="649">
        <f t="shared" si="25"/>
        <v>9604.7199999999993</v>
      </c>
      <c r="AN353" s="651">
        <f>ERP_27[[#This Row],[2026 Working Total]]-ERP_27[[#This Row],[LE2 Final Submission]]</f>
        <v>1030</v>
      </c>
      <c r="AO353" s="652">
        <v>375</v>
      </c>
      <c r="AP353" s="652">
        <f t="shared" si="24"/>
        <v>1349</v>
      </c>
      <c r="AQ353" s="374">
        <f>SUM(ERP_27[[#This Row],[AP01]:[AP06]])-SUM(ERP_27[[#This Row],[AP01 LE2]:[AP06 LE2]])</f>
        <v>1030</v>
      </c>
      <c r="AR353" s="653"/>
      <c r="AS353" s="652">
        <f>ERP_27[[#This Row],[2026 Working Total to Budget/LE]]-ERP_27[[#This Row],[Giveback]]</f>
        <v>1030</v>
      </c>
      <c r="AT353" s="654"/>
      <c r="AU353" s="655">
        <v>431</v>
      </c>
      <c r="AV353" s="655">
        <v>2586</v>
      </c>
      <c r="AW353" s="655">
        <v>2182.7199999999998</v>
      </c>
      <c r="AX353" s="655">
        <v>375</v>
      </c>
      <c r="AY353" s="655">
        <v>375</v>
      </c>
      <c r="AZ353" s="655">
        <v>375</v>
      </c>
      <c r="BA353" s="655">
        <v>375</v>
      </c>
      <c r="BB353" s="655">
        <v>375</v>
      </c>
      <c r="BC353" s="655">
        <v>375</v>
      </c>
      <c r="BD353" s="655">
        <v>375</v>
      </c>
      <c r="BE353" s="655">
        <v>375</v>
      </c>
      <c r="BF353" s="655">
        <v>375</v>
      </c>
      <c r="BG353" s="655">
        <v>8574.7199999999993</v>
      </c>
      <c r="BH353" s="652">
        <v>431</v>
      </c>
      <c r="BI353" s="652">
        <v>2586</v>
      </c>
      <c r="BJ353" s="652">
        <v>2182.7199999999998</v>
      </c>
      <c r="BK353" s="652">
        <v>375</v>
      </c>
      <c r="BL353" s="652">
        <v>375</v>
      </c>
      <c r="BM353" s="652">
        <v>375</v>
      </c>
      <c r="BN353" s="652">
        <v>375</v>
      </c>
      <c r="BO353" s="652">
        <v>375</v>
      </c>
      <c r="BP353" s="652">
        <v>375</v>
      </c>
      <c r="BQ353" s="652">
        <v>375</v>
      </c>
      <c r="BR353" s="652">
        <v>375</v>
      </c>
      <c r="BS353" s="652">
        <v>375</v>
      </c>
      <c r="BT353" s="652">
        <v>8574.7199999999993</v>
      </c>
    </row>
    <row r="354" spans="1:72" ht="15" customHeight="1">
      <c r="A354" s="66" t="s">
        <v>1506</v>
      </c>
      <c r="B354" s="66"/>
      <c r="C354" s="66" t="s">
        <v>235</v>
      </c>
      <c r="D354" s="66" t="s">
        <v>1507</v>
      </c>
      <c r="E354" s="150" t="s">
        <v>1136</v>
      </c>
      <c r="F354" s="482" t="s">
        <v>1566</v>
      </c>
      <c r="G354" s="383" t="s">
        <v>1480</v>
      </c>
      <c r="H354" s="150" t="s">
        <v>1481</v>
      </c>
      <c r="I354" s="150" t="s">
        <v>1345</v>
      </c>
      <c r="J354" s="150" t="s">
        <v>1481</v>
      </c>
      <c r="K354" s="150" t="s">
        <v>1346</v>
      </c>
      <c r="L354" s="511" t="s">
        <v>49</v>
      </c>
      <c r="M354" s="392" t="s">
        <v>1508</v>
      </c>
      <c r="N354" s="343"/>
      <c r="O354" s="343"/>
      <c r="P354" s="70" t="s">
        <v>236</v>
      </c>
      <c r="Q354" s="346"/>
      <c r="R354" s="343"/>
      <c r="S354" s="346"/>
      <c r="T354" s="150" t="s">
        <v>25</v>
      </c>
      <c r="U354" s="184" t="s">
        <v>1509</v>
      </c>
      <c r="V354" s="643"/>
      <c r="W354" s="659">
        <v>0</v>
      </c>
      <c r="X354" s="659">
        <v>0</v>
      </c>
      <c r="Y354" s="656"/>
      <c r="Z354" s="657"/>
      <c r="AA354" s="714"/>
      <c r="AB354" s="428">
        <v>331000</v>
      </c>
      <c r="AC354" s="428">
        <v>-331000</v>
      </c>
      <c r="AD354" s="428">
        <v>0</v>
      </c>
      <c r="AE354" s="429">
        <v>0</v>
      </c>
      <c r="AF354" s="429">
        <v>9981.0499999999993</v>
      </c>
      <c r="AG354" s="649"/>
      <c r="AH354" s="649"/>
      <c r="AI354" s="649"/>
      <c r="AJ354" s="649"/>
      <c r="AK354" s="649"/>
      <c r="AL354" s="649"/>
      <c r="AM354" s="649">
        <f t="shared" si="25"/>
        <v>9981.0499999999993</v>
      </c>
      <c r="AN354" s="651">
        <f>ERP_27[[#This Row],[2026 Working Total]]-ERP_27[[#This Row],[LE2 Final Submission]]</f>
        <v>9981.0499999999993</v>
      </c>
      <c r="AO354" s="652"/>
      <c r="AP354" s="652">
        <f t="shared" si="24"/>
        <v>9981.0499999999993</v>
      </c>
      <c r="AQ354" s="374">
        <f>SUM(ERP_27[[#This Row],[AP01]:[AP06]])-SUM(ERP_27[[#This Row],[AP01 LE2]:[AP06 LE2]])</f>
        <v>9981.0499999999993</v>
      </c>
      <c r="AR354" s="653"/>
      <c r="AS354" s="652">
        <f>ERP_27[[#This Row],[2026 Working Total to Budget/LE]]-ERP_27[[#This Row],[Giveback]]</f>
        <v>9981.0499999999993</v>
      </c>
      <c r="AT354" s="654"/>
      <c r="AU354" s="655"/>
      <c r="AV354" s="655">
        <v>331000</v>
      </c>
      <c r="AW354" s="655">
        <v>-331000</v>
      </c>
      <c r="AX354" s="655"/>
      <c r="AY354" s="655"/>
      <c r="AZ354" s="655"/>
      <c r="BA354" s="655"/>
      <c r="BB354" s="655"/>
      <c r="BC354" s="655"/>
      <c r="BD354" s="655"/>
      <c r="BE354" s="655"/>
      <c r="BF354" s="655"/>
      <c r="BG354" s="655">
        <v>0</v>
      </c>
      <c r="BH354" s="652"/>
      <c r="BI354" s="652">
        <v>331000</v>
      </c>
      <c r="BJ354" s="652">
        <v>-331000</v>
      </c>
      <c r="BK354" s="652"/>
      <c r="BL354" s="652"/>
      <c r="BM354" s="652"/>
      <c r="BN354" s="652"/>
      <c r="BO354" s="652"/>
      <c r="BP354" s="652"/>
      <c r="BQ354" s="652"/>
      <c r="BR354" s="652"/>
      <c r="BS354" s="652"/>
      <c r="BT354" s="652">
        <v>0</v>
      </c>
    </row>
    <row r="355" spans="1:72" ht="15" hidden="1" customHeight="1">
      <c r="A355" s="66" t="s">
        <v>2070</v>
      </c>
      <c r="B355" s="66"/>
      <c r="C355" s="66" t="s">
        <v>558</v>
      </c>
      <c r="D355" s="66" t="s">
        <v>558</v>
      </c>
      <c r="E355" s="150" t="s">
        <v>1136</v>
      </c>
      <c r="F355" s="482" t="s">
        <v>1566</v>
      </c>
      <c r="G355" s="150" t="s">
        <v>1515</v>
      </c>
      <c r="H355" s="383" t="s">
        <v>1515</v>
      </c>
      <c r="I355" s="150" t="s">
        <v>1345</v>
      </c>
      <c r="J355" s="150" t="s">
        <v>1515</v>
      </c>
      <c r="K355" s="150" t="s">
        <v>1346</v>
      </c>
      <c r="L355" s="511" t="s">
        <v>389</v>
      </c>
      <c r="M355" s="392" t="s">
        <v>2071</v>
      </c>
      <c r="N355" s="343"/>
      <c r="O355" s="343"/>
      <c r="P355" s="70" t="s">
        <v>559</v>
      </c>
      <c r="Q355" s="346"/>
      <c r="R355" s="343"/>
      <c r="S355" s="346"/>
      <c r="T355" s="150" t="s">
        <v>57</v>
      </c>
      <c r="U355" s="150"/>
      <c r="V355" s="643"/>
      <c r="W355" s="659">
        <v>17000</v>
      </c>
      <c r="X355" s="659">
        <v>13700</v>
      </c>
      <c r="Y355" s="656"/>
      <c r="Z355" s="657"/>
      <c r="AA355" s="714"/>
      <c r="AB355" s="428"/>
      <c r="AC355" s="428"/>
      <c r="AD355" s="428" t="s">
        <v>1142</v>
      </c>
      <c r="AE355" s="429">
        <v>0</v>
      </c>
      <c r="AF355" s="429">
        <v>0</v>
      </c>
      <c r="AG355" s="649">
        <v>1100</v>
      </c>
      <c r="AH355" s="649">
        <v>1100</v>
      </c>
      <c r="AI355" s="649">
        <v>1100</v>
      </c>
      <c r="AJ355" s="649">
        <v>1100</v>
      </c>
      <c r="AK355" s="649">
        <v>3000</v>
      </c>
      <c r="AL355" s="649">
        <v>3000</v>
      </c>
      <c r="AM355" s="649">
        <f t="shared" si="25"/>
        <v>10400</v>
      </c>
      <c r="AN355" s="651">
        <f>ERP_27[[#This Row],[2026 Working Total]]-ERP_27[[#This Row],[LE2 Final Submission]]</f>
        <v>-3300</v>
      </c>
      <c r="AO355" s="652">
        <v>1100</v>
      </c>
      <c r="AP355" s="652">
        <f t="shared" si="24"/>
        <v>-1100</v>
      </c>
      <c r="AQ355" s="374">
        <f>SUM(ERP_27[[#This Row],[AP01]:[AP06]])-SUM(ERP_27[[#This Row],[AP01 LE2]:[AP06 LE2]])</f>
        <v>-3300</v>
      </c>
      <c r="AR355" s="653"/>
      <c r="AS355" s="652">
        <f>ERP_27[[#This Row],[2026 Working Total to Budget/LE]]-ERP_27[[#This Row],[Giveback]]</f>
        <v>-3300</v>
      </c>
      <c r="AT355" s="654"/>
      <c r="AU355" s="655"/>
      <c r="AV355" s="655"/>
      <c r="AW355" s="655"/>
      <c r="AX355" s="655">
        <v>1100</v>
      </c>
      <c r="AY355" s="655">
        <v>1100</v>
      </c>
      <c r="AZ355" s="655">
        <v>1100</v>
      </c>
      <c r="BA355" s="655">
        <v>1100</v>
      </c>
      <c r="BB355" s="655">
        <v>1100</v>
      </c>
      <c r="BC355" s="655">
        <v>1100</v>
      </c>
      <c r="BD355" s="655">
        <v>1100</v>
      </c>
      <c r="BE355" s="655">
        <v>3000</v>
      </c>
      <c r="BF355" s="655">
        <v>3000</v>
      </c>
      <c r="BG355" s="655">
        <v>13700</v>
      </c>
      <c r="BH355" s="652"/>
      <c r="BI355" s="652"/>
      <c r="BJ355" s="652"/>
      <c r="BK355" s="652">
        <v>1100</v>
      </c>
      <c r="BL355" s="652">
        <v>1100</v>
      </c>
      <c r="BM355" s="652">
        <v>1100</v>
      </c>
      <c r="BN355" s="652">
        <v>1100</v>
      </c>
      <c r="BO355" s="652">
        <v>1100</v>
      </c>
      <c r="BP355" s="652">
        <v>1100</v>
      </c>
      <c r="BQ355" s="652">
        <v>1100</v>
      </c>
      <c r="BR355" s="652">
        <v>3000</v>
      </c>
      <c r="BS355" s="652">
        <v>3000</v>
      </c>
      <c r="BT355" s="652">
        <v>13700</v>
      </c>
    </row>
    <row r="356" spans="1:72" ht="15" hidden="1" customHeight="1">
      <c r="A356" s="66" t="s">
        <v>1847</v>
      </c>
      <c r="B356" s="66"/>
      <c r="C356" s="66" t="s">
        <v>442</v>
      </c>
      <c r="D356" s="66" t="s">
        <v>1848</v>
      </c>
      <c r="E356" s="150" t="s">
        <v>1136</v>
      </c>
      <c r="F356" s="482" t="s">
        <v>1566</v>
      </c>
      <c r="G356" s="150" t="s">
        <v>1135</v>
      </c>
      <c r="H356" s="150" t="s">
        <v>1165</v>
      </c>
      <c r="I356" s="150" t="s">
        <v>1135</v>
      </c>
      <c r="J356" s="150" t="s">
        <v>1165</v>
      </c>
      <c r="K356" s="150" t="s">
        <v>1137</v>
      </c>
      <c r="L356" s="511" t="s">
        <v>389</v>
      </c>
      <c r="M356" s="392" t="s">
        <v>1849</v>
      </c>
      <c r="N356" s="343"/>
      <c r="O356" s="343"/>
      <c r="P356" s="70" t="s">
        <v>443</v>
      </c>
      <c r="Q356" s="346"/>
      <c r="R356" s="343"/>
      <c r="S356" s="346"/>
      <c r="T356" s="150" t="s">
        <v>57</v>
      </c>
      <c r="U356" s="150"/>
      <c r="V356" s="643"/>
      <c r="W356" s="659">
        <v>10599.999996000004</v>
      </c>
      <c r="X356" s="659">
        <v>10595.639997000004</v>
      </c>
      <c r="Y356" s="656"/>
      <c r="Z356" s="657"/>
      <c r="AA356" s="714">
        <v>881.88</v>
      </c>
      <c r="AB356" s="428">
        <v>881.88</v>
      </c>
      <c r="AC356" s="428">
        <v>881.88</v>
      </c>
      <c r="AD356" s="428">
        <v>881.88</v>
      </c>
      <c r="AE356" s="429">
        <v>881.88</v>
      </c>
      <c r="AF356" s="429">
        <v>881.88</v>
      </c>
      <c r="AG356" s="649">
        <v>883.33333300000004</v>
      </c>
      <c r="AH356" s="649">
        <v>883.33333300000004</v>
      </c>
      <c r="AI356" s="649">
        <v>883.33333300000004</v>
      </c>
      <c r="AJ356" s="649">
        <v>883.33333300000004</v>
      </c>
      <c r="AK356" s="649">
        <v>883.33333300000004</v>
      </c>
      <c r="AL356" s="649">
        <v>883.33333300000004</v>
      </c>
      <c r="AM356" s="649">
        <f t="shared" si="25"/>
        <v>10591.279998000002</v>
      </c>
      <c r="AN356" s="651">
        <f>ERP_27[[#This Row],[2026 Working Total]]-ERP_27[[#This Row],[LE2 Final Submission]]</f>
        <v>-4.3599990000020625</v>
      </c>
      <c r="AO356" s="652">
        <v>883.33333300000004</v>
      </c>
      <c r="AP356" s="652">
        <f t="shared" si="24"/>
        <v>-1.4533330000000433</v>
      </c>
      <c r="AQ356" s="374">
        <f>SUM(ERP_27[[#This Row],[AP01]:[AP06]])-SUM(ERP_27[[#This Row],[AP01 LE2]:[AP06 LE2]])</f>
        <v>-4.359999000001153</v>
      </c>
      <c r="AR356" s="653"/>
      <c r="AS356" s="652">
        <f>ERP_27[[#This Row],[2026 Working Total to Budget/LE]]-ERP_27[[#This Row],[Giveback]]</f>
        <v>-4.3599990000020625</v>
      </c>
      <c r="AT356" s="654"/>
      <c r="AU356" s="655">
        <v>881.88</v>
      </c>
      <c r="AV356" s="655">
        <v>881.88</v>
      </c>
      <c r="AW356" s="655">
        <v>881.88</v>
      </c>
      <c r="AX356" s="655">
        <v>883.33333300000004</v>
      </c>
      <c r="AY356" s="655">
        <v>883.33333300000004</v>
      </c>
      <c r="AZ356" s="655">
        <v>883.33333300000004</v>
      </c>
      <c r="BA356" s="655">
        <v>883.33333300000004</v>
      </c>
      <c r="BB356" s="655">
        <v>883.33333300000004</v>
      </c>
      <c r="BC356" s="655">
        <v>883.33333300000004</v>
      </c>
      <c r="BD356" s="655">
        <v>883.33333300000004</v>
      </c>
      <c r="BE356" s="655">
        <v>883.33333300000004</v>
      </c>
      <c r="BF356" s="655">
        <v>883.33333300000004</v>
      </c>
      <c r="BG356" s="655">
        <v>10595.639997000004</v>
      </c>
      <c r="BH356" s="652">
        <v>881.88</v>
      </c>
      <c r="BI356" s="652">
        <v>881.88</v>
      </c>
      <c r="BJ356" s="652">
        <v>881.88</v>
      </c>
      <c r="BK356" s="652">
        <v>883.33333300000004</v>
      </c>
      <c r="BL356" s="652">
        <v>883.33333300000004</v>
      </c>
      <c r="BM356" s="652">
        <v>883.33333300000004</v>
      </c>
      <c r="BN356" s="652">
        <v>883.33333300000004</v>
      </c>
      <c r="BO356" s="652">
        <v>883.33333300000004</v>
      </c>
      <c r="BP356" s="652">
        <v>883.33333300000004</v>
      </c>
      <c r="BQ356" s="652">
        <v>883.33333300000004</v>
      </c>
      <c r="BR356" s="652">
        <v>883.33333300000004</v>
      </c>
      <c r="BS356" s="652">
        <v>883.33333300000004</v>
      </c>
      <c r="BT356" s="652">
        <v>10595.639997000004</v>
      </c>
    </row>
    <row r="357" spans="1:72" ht="15" hidden="1" customHeight="1">
      <c r="A357" s="66" t="s">
        <v>2319</v>
      </c>
      <c r="B357" s="66"/>
      <c r="C357" s="66" t="s">
        <v>692</v>
      </c>
      <c r="D357" s="66" t="s">
        <v>2320</v>
      </c>
      <c r="E357" s="150" t="s">
        <v>1136</v>
      </c>
      <c r="F357" s="482" t="s">
        <v>1566</v>
      </c>
      <c r="G357" s="150" t="s">
        <v>1135</v>
      </c>
      <c r="H357" s="150" t="s">
        <v>1161</v>
      </c>
      <c r="I357" s="150" t="s">
        <v>1135</v>
      </c>
      <c r="J357" s="150" t="s">
        <v>1161</v>
      </c>
      <c r="K357" s="150" t="s">
        <v>1137</v>
      </c>
      <c r="L357" s="511" t="s">
        <v>639</v>
      </c>
      <c r="M357" s="392" t="s">
        <v>2321</v>
      </c>
      <c r="N357" s="343" t="s">
        <v>2322</v>
      </c>
      <c r="O357" s="346" t="s">
        <v>1252</v>
      </c>
      <c r="P357" s="70" t="s">
        <v>693</v>
      </c>
      <c r="Q357" s="346"/>
      <c r="R357" s="346" t="s">
        <v>2323</v>
      </c>
      <c r="S357" s="346"/>
      <c r="T357" s="150" t="s">
        <v>25</v>
      </c>
      <c r="U357" s="150" t="s">
        <v>2324</v>
      </c>
      <c r="V357" s="643"/>
      <c r="W357" s="659">
        <v>11026</v>
      </c>
      <c r="X357" s="659">
        <v>11026</v>
      </c>
      <c r="Y357" s="656"/>
      <c r="Z357" s="657"/>
      <c r="AA357" s="714"/>
      <c r="AB357" s="428"/>
      <c r="AC357" s="428"/>
      <c r="AD357" s="428" t="s">
        <v>1142</v>
      </c>
      <c r="AE357" s="429">
        <v>0</v>
      </c>
      <c r="AF357" s="429">
        <v>0</v>
      </c>
      <c r="AG357" s="649"/>
      <c r="AH357" s="649"/>
      <c r="AI357" s="649"/>
      <c r="AJ357" s="649"/>
      <c r="AK357" s="649">
        <v>11026</v>
      </c>
      <c r="AL357" s="649">
        <v>0</v>
      </c>
      <c r="AM357" s="649">
        <f t="shared" si="25"/>
        <v>11026</v>
      </c>
      <c r="AN357" s="651">
        <f>ERP_27[[#This Row],[2026 Working Total]]-ERP_27[[#This Row],[LE2 Final Submission]]</f>
        <v>0</v>
      </c>
      <c r="AO357" s="652"/>
      <c r="AP357" s="652">
        <f t="shared" si="24"/>
        <v>0</v>
      </c>
      <c r="AQ357" s="374">
        <f>SUM(ERP_27[[#This Row],[AP01]:[AP06]])-SUM(ERP_27[[#This Row],[AP01 LE2]:[AP06 LE2]])</f>
        <v>0</v>
      </c>
      <c r="AR357" s="653"/>
      <c r="AS357" s="652">
        <f>ERP_27[[#This Row],[2026 Working Total to Budget/LE]]-ERP_27[[#This Row],[Giveback]]</f>
        <v>0</v>
      </c>
      <c r="AT357" s="654"/>
      <c r="AU357" s="655"/>
      <c r="AV357" s="655"/>
      <c r="AW357" s="655"/>
      <c r="AX357" s="655"/>
      <c r="AY357" s="655"/>
      <c r="AZ357" s="655"/>
      <c r="BA357" s="655"/>
      <c r="BB357" s="655"/>
      <c r="BC357" s="655"/>
      <c r="BD357" s="655"/>
      <c r="BE357" s="655">
        <v>11026</v>
      </c>
      <c r="BF357" s="655">
        <v>0</v>
      </c>
      <c r="BG357" s="655">
        <v>11026</v>
      </c>
      <c r="BH357" s="652"/>
      <c r="BI357" s="652"/>
      <c r="BJ357" s="652"/>
      <c r="BK357" s="652"/>
      <c r="BL357" s="652"/>
      <c r="BM357" s="652"/>
      <c r="BN357" s="652"/>
      <c r="BO357" s="652"/>
      <c r="BP357" s="652"/>
      <c r="BQ357" s="652"/>
      <c r="BR357" s="652">
        <v>11026</v>
      </c>
      <c r="BS357" s="652">
        <v>0</v>
      </c>
      <c r="BT357" s="652">
        <v>11026</v>
      </c>
    </row>
    <row r="358" spans="1:72" ht="15" hidden="1" customHeight="1">
      <c r="A358" s="66" t="s">
        <v>2871</v>
      </c>
      <c r="B358" s="66"/>
      <c r="C358" s="66" t="s">
        <v>32</v>
      </c>
      <c r="D358" s="66" t="s">
        <v>32</v>
      </c>
      <c r="E358" s="150" t="s">
        <v>1136</v>
      </c>
      <c r="F358" s="482" t="s">
        <v>1566</v>
      </c>
      <c r="G358" s="383" t="s">
        <v>1344</v>
      </c>
      <c r="H358" s="383" t="s">
        <v>1344</v>
      </c>
      <c r="I358" s="150" t="s">
        <v>1345</v>
      </c>
      <c r="J358" s="150" t="s">
        <v>1344</v>
      </c>
      <c r="K358" s="150" t="s">
        <v>1346</v>
      </c>
      <c r="L358" s="511" t="s">
        <v>22</v>
      </c>
      <c r="M358" s="392" t="s">
        <v>2872</v>
      </c>
      <c r="N358" s="343"/>
      <c r="O358" s="343"/>
      <c r="P358" s="70" t="s">
        <v>29</v>
      </c>
      <c r="Q358" s="346" t="s">
        <v>1139</v>
      </c>
      <c r="R358" s="346" t="s">
        <v>1140</v>
      </c>
      <c r="S358" s="346"/>
      <c r="T358" s="150" t="s">
        <v>25</v>
      </c>
      <c r="U358" s="150"/>
      <c r="V358" s="643"/>
      <c r="W358" s="659">
        <v>0</v>
      </c>
      <c r="X358" s="659">
        <v>0</v>
      </c>
      <c r="Y358" s="656"/>
      <c r="Z358" s="657"/>
      <c r="AA358" s="714"/>
      <c r="AB358" s="428"/>
      <c r="AC358" s="428"/>
      <c r="AD358" s="480"/>
      <c r="AE358" s="481"/>
      <c r="AF358" s="429">
        <v>11264.339999999998</v>
      </c>
      <c r="AG358" s="649">
        <v>0</v>
      </c>
      <c r="AH358" s="649">
        <v>0</v>
      </c>
      <c r="AI358" s="649">
        <v>0</v>
      </c>
      <c r="AJ358" s="649">
        <v>0</v>
      </c>
      <c r="AK358" s="649">
        <v>0</v>
      </c>
      <c r="AL358" s="649">
        <v>0</v>
      </c>
      <c r="AM358" s="649">
        <f t="shared" si="25"/>
        <v>11264.339999999998</v>
      </c>
      <c r="AN358" s="651">
        <f>ERP_27[[#This Row],[2026 Working Total]]-ERP_27[[#This Row],[LE2 Final Submission]]</f>
        <v>11264.339999999998</v>
      </c>
      <c r="AO358" s="652">
        <v>0</v>
      </c>
      <c r="AP358" s="652">
        <f t="shared" si="24"/>
        <v>11264.339999999998</v>
      </c>
      <c r="AQ358" s="374">
        <f>SUM(ERP_27[[#This Row],[AP01]:[AP06]])-SUM(ERP_27[[#This Row],[AP01 LE2]:[AP06 LE2]])</f>
        <v>11264.339999999998</v>
      </c>
      <c r="AR358" s="653"/>
      <c r="AS358" s="652">
        <f>ERP_27[[#This Row],[2026 Working Total to Budget/LE]]-ERP_27[[#This Row],[Giveback]]</f>
        <v>11264.339999999998</v>
      </c>
      <c r="AT358" s="654"/>
      <c r="AU358" s="655"/>
      <c r="AV358" s="655"/>
      <c r="AW358" s="655"/>
      <c r="AX358" s="655">
        <v>0</v>
      </c>
      <c r="AY358" s="655">
        <v>0</v>
      </c>
      <c r="AZ358" s="655">
        <v>0</v>
      </c>
      <c r="BA358" s="655">
        <v>0</v>
      </c>
      <c r="BB358" s="655">
        <v>0</v>
      </c>
      <c r="BC358" s="655">
        <v>0</v>
      </c>
      <c r="BD358" s="655">
        <v>0</v>
      </c>
      <c r="BE358" s="655">
        <v>0</v>
      </c>
      <c r="BF358" s="655">
        <v>0</v>
      </c>
      <c r="BG358" s="655">
        <v>0</v>
      </c>
      <c r="BH358" s="652">
        <v>6685.48</v>
      </c>
      <c r="BI358" s="652">
        <v>-19872.71</v>
      </c>
      <c r="BJ358" s="652">
        <v>7440.92</v>
      </c>
      <c r="BK358" s="652">
        <v>0</v>
      </c>
      <c r="BL358" s="652">
        <v>0</v>
      </c>
      <c r="BM358" s="652">
        <v>0</v>
      </c>
      <c r="BN358" s="652">
        <v>0</v>
      </c>
      <c r="BO358" s="652">
        <v>0</v>
      </c>
      <c r="BP358" s="652">
        <v>0</v>
      </c>
      <c r="BQ358" s="652">
        <v>0</v>
      </c>
      <c r="BR358" s="652">
        <v>0</v>
      </c>
      <c r="BS358" s="652">
        <v>0</v>
      </c>
      <c r="BT358" s="652">
        <v>-5746.3099999999995</v>
      </c>
    </row>
    <row r="359" spans="1:72" ht="15" hidden="1" customHeight="1">
      <c r="A359" s="66" t="s">
        <v>2192</v>
      </c>
      <c r="B359" s="66"/>
      <c r="C359" s="66" t="s">
        <v>630</v>
      </c>
      <c r="D359" s="66" t="s">
        <v>630</v>
      </c>
      <c r="E359" s="150" t="s">
        <v>1136</v>
      </c>
      <c r="F359" s="482" t="s">
        <v>1566</v>
      </c>
      <c r="G359" s="150" t="s">
        <v>1515</v>
      </c>
      <c r="H359" s="383" t="s">
        <v>1515</v>
      </c>
      <c r="I359" s="150" t="s">
        <v>1345</v>
      </c>
      <c r="J359" s="150" t="s">
        <v>1515</v>
      </c>
      <c r="K359" s="150" t="s">
        <v>1346</v>
      </c>
      <c r="L359" s="511" t="s">
        <v>629</v>
      </c>
      <c r="M359" s="392" t="s">
        <v>2193</v>
      </c>
      <c r="N359" s="343"/>
      <c r="O359" s="343"/>
      <c r="P359" s="70" t="s">
        <v>631</v>
      </c>
      <c r="Q359" s="346"/>
      <c r="R359" s="343"/>
      <c r="S359" s="346"/>
      <c r="T359" s="150" t="s">
        <v>632</v>
      </c>
      <c r="U359" s="150"/>
      <c r="V359" s="643"/>
      <c r="W359" s="659">
        <v>17000</v>
      </c>
      <c r="X359" s="659">
        <v>15576.84</v>
      </c>
      <c r="Y359" s="656"/>
      <c r="Z359" s="657"/>
      <c r="AA359" s="714"/>
      <c r="AB359" s="428">
        <v>1512.59</v>
      </c>
      <c r="AC359" s="428">
        <v>814.25</v>
      </c>
      <c r="AD359" s="428" t="s">
        <v>1142</v>
      </c>
      <c r="AE359" s="429">
        <v>0</v>
      </c>
      <c r="AF359" s="429">
        <v>0</v>
      </c>
      <c r="AG359" s="649">
        <v>1500</v>
      </c>
      <c r="AH359" s="649">
        <v>1500</v>
      </c>
      <c r="AI359" s="649">
        <v>1500</v>
      </c>
      <c r="AJ359" s="649">
        <v>1500</v>
      </c>
      <c r="AK359" s="649">
        <v>1500</v>
      </c>
      <c r="AL359" s="649">
        <v>1500</v>
      </c>
      <c r="AM359" s="649">
        <f t="shared" si="25"/>
        <v>11326.84</v>
      </c>
      <c r="AN359" s="651">
        <f>ERP_27[[#This Row],[2026 Working Total]]-ERP_27[[#This Row],[LE2 Final Submission]]</f>
        <v>-4250</v>
      </c>
      <c r="AO359" s="652">
        <v>1500</v>
      </c>
      <c r="AP359" s="652">
        <f t="shared" si="24"/>
        <v>-1500</v>
      </c>
      <c r="AQ359" s="374">
        <f>SUM(ERP_27[[#This Row],[AP01]:[AP06]])-SUM(ERP_27[[#This Row],[AP01 LE2]:[AP06 LE2]])</f>
        <v>-4250</v>
      </c>
      <c r="AR359" s="653"/>
      <c r="AS359" s="652">
        <f>ERP_27[[#This Row],[2026 Working Total to Budget/LE]]-ERP_27[[#This Row],[Giveback]]</f>
        <v>-4250</v>
      </c>
      <c r="AT359" s="654"/>
      <c r="AU359" s="655"/>
      <c r="AV359" s="655">
        <v>1512.59</v>
      </c>
      <c r="AW359" s="655">
        <v>814.25</v>
      </c>
      <c r="AX359" s="655">
        <v>1250</v>
      </c>
      <c r="AY359" s="655">
        <v>1500</v>
      </c>
      <c r="AZ359" s="655">
        <v>1500</v>
      </c>
      <c r="BA359" s="655">
        <v>1500</v>
      </c>
      <c r="BB359" s="655">
        <v>1500</v>
      </c>
      <c r="BC359" s="655">
        <v>1500</v>
      </c>
      <c r="BD359" s="655">
        <v>1500</v>
      </c>
      <c r="BE359" s="655">
        <v>1500</v>
      </c>
      <c r="BF359" s="655">
        <v>1500</v>
      </c>
      <c r="BG359" s="655">
        <v>15576.84</v>
      </c>
      <c r="BH359" s="652"/>
      <c r="BI359" s="652">
        <v>1512.59</v>
      </c>
      <c r="BJ359" s="652">
        <v>814.25</v>
      </c>
      <c r="BK359" s="652">
        <v>1250</v>
      </c>
      <c r="BL359" s="652">
        <v>1500</v>
      </c>
      <c r="BM359" s="652">
        <v>1500</v>
      </c>
      <c r="BN359" s="652">
        <v>1500</v>
      </c>
      <c r="BO359" s="652">
        <v>1500</v>
      </c>
      <c r="BP359" s="652">
        <v>1500</v>
      </c>
      <c r="BQ359" s="652">
        <v>1500</v>
      </c>
      <c r="BR359" s="652">
        <v>1500</v>
      </c>
      <c r="BS359" s="652">
        <v>1500</v>
      </c>
      <c r="BT359" s="652">
        <v>15576.84</v>
      </c>
    </row>
    <row r="360" spans="1:72" ht="15" hidden="1" customHeight="1">
      <c r="A360" s="66" t="s">
        <v>1435</v>
      </c>
      <c r="B360" s="66"/>
      <c r="C360" s="66" t="s">
        <v>199</v>
      </c>
      <c r="D360" s="66" t="s">
        <v>1436</v>
      </c>
      <c r="E360" s="150" t="s">
        <v>1136</v>
      </c>
      <c r="F360" s="482" t="s">
        <v>1566</v>
      </c>
      <c r="G360" s="150" t="s">
        <v>1345</v>
      </c>
      <c r="H360" s="150" t="s">
        <v>1437</v>
      </c>
      <c r="I360" s="150" t="s">
        <v>1345</v>
      </c>
      <c r="J360" s="150" t="s">
        <v>1437</v>
      </c>
      <c r="K360" s="150" t="s">
        <v>1346</v>
      </c>
      <c r="L360" s="511" t="s">
        <v>49</v>
      </c>
      <c r="M360" s="392" t="s">
        <v>1174</v>
      </c>
      <c r="N360" s="343"/>
      <c r="O360" s="343"/>
      <c r="P360" s="70" t="s">
        <v>56</v>
      </c>
      <c r="Q360" s="346"/>
      <c r="R360" s="346" t="s">
        <v>1140</v>
      </c>
      <c r="S360" s="346"/>
      <c r="T360" s="150" t="s">
        <v>57</v>
      </c>
      <c r="U360" s="150"/>
      <c r="V360" s="643"/>
      <c r="W360" s="659">
        <v>24000</v>
      </c>
      <c r="X360" s="659">
        <v>18457.8</v>
      </c>
      <c r="Y360" s="656"/>
      <c r="Z360" s="657"/>
      <c r="AA360" s="714">
        <v>366.24</v>
      </c>
      <c r="AB360" s="428">
        <v>0</v>
      </c>
      <c r="AC360" s="428">
        <v>91.56</v>
      </c>
      <c r="AD360" s="428">
        <v>0</v>
      </c>
      <c r="AE360" s="429">
        <v>0</v>
      </c>
      <c r="AF360" s="429">
        <v>0</v>
      </c>
      <c r="AG360" s="649">
        <v>2000</v>
      </c>
      <c r="AH360" s="649">
        <v>2000</v>
      </c>
      <c r="AI360" s="649">
        <v>2000</v>
      </c>
      <c r="AJ360" s="649">
        <v>2000</v>
      </c>
      <c r="AK360" s="649">
        <v>2000</v>
      </c>
      <c r="AL360" s="649">
        <v>2000</v>
      </c>
      <c r="AM360" s="649">
        <f t="shared" si="25"/>
        <v>12457.8</v>
      </c>
      <c r="AN360" s="651">
        <f>ERP_27[[#This Row],[2026 Working Total]]-ERP_27[[#This Row],[LE2 Final Submission]]</f>
        <v>-6000</v>
      </c>
      <c r="AO360" s="652">
        <v>2000</v>
      </c>
      <c r="AP360" s="652">
        <f t="shared" si="24"/>
        <v>-2000</v>
      </c>
      <c r="AQ360" s="374">
        <f>SUM(ERP_27[[#This Row],[AP01]:[AP06]])-SUM(ERP_27[[#This Row],[AP01 LE2]:[AP06 LE2]])</f>
        <v>-6000</v>
      </c>
      <c r="AR360" s="653"/>
      <c r="AS360" s="652">
        <f>ERP_27[[#This Row],[2026 Working Total to Budget/LE]]-ERP_27[[#This Row],[Giveback]]</f>
        <v>-6000</v>
      </c>
      <c r="AT360" s="654"/>
      <c r="AU360" s="655">
        <v>366.24</v>
      </c>
      <c r="AV360" s="655">
        <v>0</v>
      </c>
      <c r="AW360" s="655">
        <v>91.56</v>
      </c>
      <c r="AX360" s="655">
        <v>2000</v>
      </c>
      <c r="AY360" s="655">
        <v>2000</v>
      </c>
      <c r="AZ360" s="655">
        <v>2000</v>
      </c>
      <c r="BA360" s="655">
        <v>2000</v>
      </c>
      <c r="BB360" s="655">
        <v>2000</v>
      </c>
      <c r="BC360" s="655">
        <v>2000</v>
      </c>
      <c r="BD360" s="655">
        <v>2000</v>
      </c>
      <c r="BE360" s="655">
        <v>2000</v>
      </c>
      <c r="BF360" s="655">
        <v>2000</v>
      </c>
      <c r="BG360" s="655">
        <v>18457.8</v>
      </c>
      <c r="BH360" s="652">
        <v>366.24</v>
      </c>
      <c r="BI360" s="652">
        <v>0</v>
      </c>
      <c r="BJ360" s="652">
        <v>91.56</v>
      </c>
      <c r="BK360" s="652">
        <v>2000</v>
      </c>
      <c r="BL360" s="652">
        <v>2000</v>
      </c>
      <c r="BM360" s="652">
        <v>2000</v>
      </c>
      <c r="BN360" s="652">
        <v>2000</v>
      </c>
      <c r="BO360" s="652">
        <v>2000</v>
      </c>
      <c r="BP360" s="652">
        <v>2000</v>
      </c>
      <c r="BQ360" s="652">
        <v>2000</v>
      </c>
      <c r="BR360" s="652">
        <v>2000</v>
      </c>
      <c r="BS360" s="652">
        <v>2000</v>
      </c>
      <c r="BT360" s="652">
        <v>18457.8</v>
      </c>
    </row>
    <row r="361" spans="1:72" ht="15" hidden="1" customHeight="1">
      <c r="A361" s="79" t="s">
        <v>2019</v>
      </c>
      <c r="B361" s="79"/>
      <c r="C361" s="79" t="s">
        <v>529</v>
      </c>
      <c r="D361" s="66" t="s">
        <v>529</v>
      </c>
      <c r="E361" s="150" t="s">
        <v>1136</v>
      </c>
      <c r="F361" s="482" t="s">
        <v>1566</v>
      </c>
      <c r="G361" s="150" t="s">
        <v>1345</v>
      </c>
      <c r="H361" s="150" t="s">
        <v>1345</v>
      </c>
      <c r="I361" s="150" t="s">
        <v>1345</v>
      </c>
      <c r="J361" s="150" t="s">
        <v>1345</v>
      </c>
      <c r="K361" s="150" t="s">
        <v>1345</v>
      </c>
      <c r="L361" s="511" t="s">
        <v>389</v>
      </c>
      <c r="M361" s="392" t="s">
        <v>2020</v>
      </c>
      <c r="N361" s="343"/>
      <c r="O361" s="331"/>
      <c r="P361" s="70" t="s">
        <v>530</v>
      </c>
      <c r="Q361" s="343"/>
      <c r="R361" s="343"/>
      <c r="S361" s="346"/>
      <c r="T361" s="150" t="s">
        <v>531</v>
      </c>
      <c r="U361" s="346" t="s">
        <v>2021</v>
      </c>
      <c r="V361" s="677"/>
      <c r="W361" s="359"/>
      <c r="X361" s="359">
        <v>26000</v>
      </c>
      <c r="Y361" s="656"/>
      <c r="Z361" s="657"/>
      <c r="AA361" s="714"/>
      <c r="AB361" s="428"/>
      <c r="AC361" s="428"/>
      <c r="AD361" s="428" t="s">
        <v>1142</v>
      </c>
      <c r="AE361" s="429">
        <v>0</v>
      </c>
      <c r="AF361" s="429">
        <v>0</v>
      </c>
      <c r="AG361" s="649"/>
      <c r="AH361" s="649"/>
      <c r="AI361" s="649"/>
      <c r="AJ361" s="649">
        <v>13000</v>
      </c>
      <c r="AK361" s="649"/>
      <c r="AL361" s="649"/>
      <c r="AM361" s="649">
        <f t="shared" si="25"/>
        <v>13000</v>
      </c>
      <c r="AN361" s="651">
        <f>ERP_27[[#This Row],[2026 Working Total]]-ERP_27[[#This Row],[LE2 Final Submission]]</f>
        <v>-13000</v>
      </c>
      <c r="AO361" s="652">
        <v>13000</v>
      </c>
      <c r="AP361" s="652">
        <f t="shared" si="24"/>
        <v>-13000</v>
      </c>
      <c r="AQ361" s="374">
        <f>SUM(ERP_27[[#This Row],[AP01]:[AP06]])-SUM(ERP_27[[#This Row],[AP01 LE2]:[AP06 LE2]])</f>
        <v>-13000</v>
      </c>
      <c r="AR361" s="653"/>
      <c r="AS361" s="652"/>
      <c r="AT361" s="654"/>
      <c r="AU361" s="655"/>
      <c r="AV361" s="655"/>
      <c r="AW361" s="655"/>
      <c r="AX361" s="655"/>
      <c r="AY361" s="655">
        <v>13000</v>
      </c>
      <c r="AZ361" s="655"/>
      <c r="BA361" s="655"/>
      <c r="BB361" s="655"/>
      <c r="BC361" s="655"/>
      <c r="BD361" s="655">
        <v>13000</v>
      </c>
      <c r="BE361" s="655"/>
      <c r="BF361" s="655"/>
      <c r="BG361" s="655">
        <v>26000</v>
      </c>
      <c r="BH361" s="652"/>
      <c r="BI361" s="652"/>
      <c r="BJ361" s="652"/>
      <c r="BK361" s="652"/>
      <c r="BL361" s="652"/>
      <c r="BM361" s="652"/>
      <c r="BN361" s="652"/>
      <c r="BO361" s="652"/>
      <c r="BP361" s="652"/>
      <c r="BQ361" s="652"/>
      <c r="BR361" s="652"/>
      <c r="BS361" s="652"/>
      <c r="BT361" s="652"/>
    </row>
    <row r="362" spans="1:72" ht="15" hidden="1" customHeight="1">
      <c r="A362" s="66" t="s">
        <v>1964</v>
      </c>
      <c r="B362" s="66"/>
      <c r="C362" s="66" t="s">
        <v>493</v>
      </c>
      <c r="D362" s="66" t="s">
        <v>493</v>
      </c>
      <c r="E362" s="150" t="s">
        <v>1136</v>
      </c>
      <c r="F362" s="482" t="s">
        <v>1566</v>
      </c>
      <c r="G362" s="383" t="s">
        <v>1344</v>
      </c>
      <c r="H362" s="383" t="s">
        <v>1344</v>
      </c>
      <c r="I362" s="150" t="s">
        <v>1345</v>
      </c>
      <c r="J362" s="150" t="s">
        <v>1344</v>
      </c>
      <c r="K362" s="150" t="s">
        <v>1346</v>
      </c>
      <c r="L362" s="511" t="s">
        <v>389</v>
      </c>
      <c r="M362" s="392" t="s">
        <v>1174</v>
      </c>
      <c r="N362" s="343"/>
      <c r="O362" s="343"/>
      <c r="P362" s="70" t="s">
        <v>56</v>
      </c>
      <c r="Q362" s="346"/>
      <c r="R362" s="346" t="s">
        <v>1140</v>
      </c>
      <c r="S362" s="346"/>
      <c r="T362" s="150" t="s">
        <v>57</v>
      </c>
      <c r="U362" s="150"/>
      <c r="V362" s="643"/>
      <c r="W362" s="659">
        <v>18000</v>
      </c>
      <c r="X362" s="659">
        <v>16521.98</v>
      </c>
      <c r="Y362" s="656"/>
      <c r="Z362" s="657"/>
      <c r="AA362" s="714">
        <v>920.95</v>
      </c>
      <c r="AB362" s="428">
        <v>1065.45</v>
      </c>
      <c r="AC362" s="428">
        <v>1035.58</v>
      </c>
      <c r="AD362" s="428">
        <v>1019.5500000000001</v>
      </c>
      <c r="AE362" s="429">
        <v>110.62</v>
      </c>
      <c r="AF362" s="429">
        <v>219.57999999999998</v>
      </c>
      <c r="AG362" s="649">
        <v>1500</v>
      </c>
      <c r="AH362" s="649">
        <v>1500</v>
      </c>
      <c r="AI362" s="649">
        <v>1500</v>
      </c>
      <c r="AJ362" s="649">
        <v>1500</v>
      </c>
      <c r="AK362" s="649">
        <v>1500</v>
      </c>
      <c r="AL362" s="649">
        <v>1500</v>
      </c>
      <c r="AM362" s="649">
        <f t="shared" si="25"/>
        <v>13371.73</v>
      </c>
      <c r="AN362" s="651">
        <f>ERP_27[[#This Row],[2026 Working Total]]-ERP_27[[#This Row],[LE2 Final Submission]]</f>
        <v>-3150.25</v>
      </c>
      <c r="AO362" s="652">
        <v>1500</v>
      </c>
      <c r="AP362" s="652">
        <f t="shared" si="24"/>
        <v>-1280.42</v>
      </c>
      <c r="AQ362" s="374">
        <f>SUM(ERP_27[[#This Row],[AP01]:[AP06]])-SUM(ERP_27[[#This Row],[AP01 LE2]:[AP06 LE2]])</f>
        <v>-3150.2499999999991</v>
      </c>
      <c r="AR362" s="653"/>
      <c r="AS362" s="652">
        <f>ERP_27[[#This Row],[2026 Working Total to Budget/LE]]-ERP_27[[#This Row],[Giveback]]</f>
        <v>-3150.25</v>
      </c>
      <c r="AT362" s="654"/>
      <c r="AU362" s="655">
        <v>920.95</v>
      </c>
      <c r="AV362" s="655">
        <v>1065.45</v>
      </c>
      <c r="AW362" s="655">
        <v>1035.58</v>
      </c>
      <c r="AX362" s="655">
        <v>1500</v>
      </c>
      <c r="AY362" s="655">
        <v>1500</v>
      </c>
      <c r="AZ362" s="655">
        <v>1500</v>
      </c>
      <c r="BA362" s="655">
        <v>1500</v>
      </c>
      <c r="BB362" s="655">
        <v>1500</v>
      </c>
      <c r="BC362" s="655">
        <v>1500</v>
      </c>
      <c r="BD362" s="655">
        <v>1500</v>
      </c>
      <c r="BE362" s="655">
        <v>1500</v>
      </c>
      <c r="BF362" s="655">
        <v>1500</v>
      </c>
      <c r="BG362" s="655">
        <v>16521.98</v>
      </c>
      <c r="BH362" s="652">
        <v>920.95</v>
      </c>
      <c r="BI362" s="652">
        <v>1065.45</v>
      </c>
      <c r="BJ362" s="652">
        <v>1035.58</v>
      </c>
      <c r="BK362" s="652">
        <v>1500</v>
      </c>
      <c r="BL362" s="652">
        <v>1500</v>
      </c>
      <c r="BM362" s="652">
        <v>1500</v>
      </c>
      <c r="BN362" s="652">
        <v>1500</v>
      </c>
      <c r="BO362" s="652">
        <v>1500</v>
      </c>
      <c r="BP362" s="652">
        <v>1500</v>
      </c>
      <c r="BQ362" s="652">
        <v>1500</v>
      </c>
      <c r="BR362" s="652">
        <v>1500</v>
      </c>
      <c r="BS362" s="652">
        <v>1500</v>
      </c>
      <c r="BT362" s="652">
        <v>16521.98</v>
      </c>
    </row>
    <row r="363" spans="1:72" ht="15" hidden="1" customHeight="1">
      <c r="A363" s="66" t="s">
        <v>2844</v>
      </c>
      <c r="B363" s="66"/>
      <c r="C363" s="66" t="s">
        <v>1035</v>
      </c>
      <c r="D363" s="66" t="s">
        <v>1035</v>
      </c>
      <c r="E363" s="150" t="s">
        <v>1136</v>
      </c>
      <c r="F363" s="482" t="s">
        <v>1566</v>
      </c>
      <c r="G363" s="150" t="s">
        <v>1650</v>
      </c>
      <c r="H363" s="150" t="s">
        <v>1650</v>
      </c>
      <c r="I363" s="150" t="s">
        <v>1650</v>
      </c>
      <c r="J363" s="150" t="s">
        <v>1650</v>
      </c>
      <c r="K363" s="150" t="s">
        <v>1650</v>
      </c>
      <c r="L363" s="511" t="s">
        <v>1027</v>
      </c>
      <c r="M363" s="392" t="s">
        <v>2830</v>
      </c>
      <c r="N363" s="343"/>
      <c r="O363" s="343"/>
      <c r="P363" s="70" t="s">
        <v>1029</v>
      </c>
      <c r="Q363" s="346"/>
      <c r="R363" s="343"/>
      <c r="S363" s="346"/>
      <c r="T363" s="150" t="s">
        <v>25</v>
      </c>
      <c r="U363" s="150"/>
      <c r="V363" s="643"/>
      <c r="W363" s="659">
        <v>18800</v>
      </c>
      <c r="X363" s="659">
        <v>15498</v>
      </c>
      <c r="Y363" s="656"/>
      <c r="Z363" s="657"/>
      <c r="AA363" s="714">
        <v>102</v>
      </c>
      <c r="AB363" s="428">
        <v>121</v>
      </c>
      <c r="AC363" s="428">
        <v>675</v>
      </c>
      <c r="AD363" s="428">
        <v>1883.5499999999997</v>
      </c>
      <c r="AE363" s="429">
        <v>861.93999999999994</v>
      </c>
      <c r="AF363" s="429">
        <v>234.03</v>
      </c>
      <c r="AG363" s="649">
        <v>1500</v>
      </c>
      <c r="AH363" s="649">
        <v>1700</v>
      </c>
      <c r="AI363" s="649">
        <v>1700</v>
      </c>
      <c r="AJ363" s="649">
        <v>1700</v>
      </c>
      <c r="AK363" s="649">
        <v>1700</v>
      </c>
      <c r="AL363" s="649">
        <v>1700</v>
      </c>
      <c r="AM363" s="649">
        <f t="shared" si="25"/>
        <v>13877.52</v>
      </c>
      <c r="AN363" s="651">
        <f>ERP_27[[#This Row],[2026 Working Total]]-ERP_27[[#This Row],[LE2 Final Submission]]</f>
        <v>-1620.4799999999996</v>
      </c>
      <c r="AO363" s="652">
        <v>1500</v>
      </c>
      <c r="AP363" s="652">
        <f t="shared" si="24"/>
        <v>-1265.97</v>
      </c>
      <c r="AQ363" s="374">
        <f>SUM(ERP_27[[#This Row],[AP01]:[AP06]])-SUM(ERP_27[[#This Row],[AP01 LE2]:[AP06 LE2]])</f>
        <v>-1620.48</v>
      </c>
      <c r="AR363" s="653"/>
      <c r="AS363" s="652">
        <f>ERP_27[[#This Row],[2026 Working Total to Budget/LE]]-ERP_27[[#This Row],[Giveback]]</f>
        <v>-1620.4799999999996</v>
      </c>
      <c r="AT363" s="654"/>
      <c r="AU363" s="655">
        <v>102</v>
      </c>
      <c r="AV363" s="655">
        <v>121</v>
      </c>
      <c r="AW363" s="655">
        <v>675</v>
      </c>
      <c r="AX363" s="655">
        <v>1600</v>
      </c>
      <c r="AY363" s="655">
        <v>1500</v>
      </c>
      <c r="AZ363" s="655">
        <v>1500</v>
      </c>
      <c r="BA363" s="655">
        <v>1500</v>
      </c>
      <c r="BB363" s="655">
        <v>1700</v>
      </c>
      <c r="BC363" s="655">
        <v>1700</v>
      </c>
      <c r="BD363" s="655">
        <v>1700</v>
      </c>
      <c r="BE363" s="655">
        <v>1700</v>
      </c>
      <c r="BF363" s="655">
        <v>1700</v>
      </c>
      <c r="BG363" s="655">
        <v>15498</v>
      </c>
      <c r="BH363" s="652">
        <v>102</v>
      </c>
      <c r="BI363" s="652">
        <v>121</v>
      </c>
      <c r="BJ363" s="652">
        <v>675</v>
      </c>
      <c r="BK363" s="652">
        <v>1600</v>
      </c>
      <c r="BL363" s="652">
        <v>1500</v>
      </c>
      <c r="BM363" s="652">
        <v>1500</v>
      </c>
      <c r="BN363" s="652">
        <v>1500</v>
      </c>
      <c r="BO363" s="652">
        <v>1700</v>
      </c>
      <c r="BP363" s="652">
        <v>1700</v>
      </c>
      <c r="BQ363" s="652">
        <v>1700</v>
      </c>
      <c r="BR363" s="652">
        <v>1700</v>
      </c>
      <c r="BS363" s="652">
        <v>1700</v>
      </c>
      <c r="BT363" s="652">
        <v>15498</v>
      </c>
    </row>
    <row r="364" spans="1:72" ht="15" hidden="1" customHeight="1">
      <c r="A364" s="66" t="s">
        <v>2877</v>
      </c>
      <c r="B364" s="66"/>
      <c r="C364" s="66" t="s">
        <v>36</v>
      </c>
      <c r="D364" s="66" t="s">
        <v>36</v>
      </c>
      <c r="E364" s="150" t="s">
        <v>1136</v>
      </c>
      <c r="F364" s="482" t="s">
        <v>1566</v>
      </c>
      <c r="G364" s="150" t="s">
        <v>1515</v>
      </c>
      <c r="H364" s="383" t="s">
        <v>1515</v>
      </c>
      <c r="I364" s="150" t="s">
        <v>1345</v>
      </c>
      <c r="J364" s="150" t="s">
        <v>1515</v>
      </c>
      <c r="K364" s="150" t="s">
        <v>1346</v>
      </c>
      <c r="L364" s="511" t="s">
        <v>22</v>
      </c>
      <c r="M364" s="392" t="s">
        <v>2872</v>
      </c>
      <c r="N364" s="343"/>
      <c r="O364" s="343"/>
      <c r="P364" s="70" t="s">
        <v>29</v>
      </c>
      <c r="Q364" s="346" t="s">
        <v>1139</v>
      </c>
      <c r="R364" s="346" t="s">
        <v>1140</v>
      </c>
      <c r="S364" s="346"/>
      <c r="T364" s="150" t="s">
        <v>25</v>
      </c>
      <c r="U364" s="150"/>
      <c r="V364" s="643"/>
      <c r="W364" s="659">
        <v>0</v>
      </c>
      <c r="X364" s="659">
        <v>0</v>
      </c>
      <c r="Y364" s="656"/>
      <c r="Z364" s="657"/>
      <c r="AA364" s="714"/>
      <c r="AB364" s="428"/>
      <c r="AC364" s="428"/>
      <c r="AD364" s="480"/>
      <c r="AE364" s="481"/>
      <c r="AF364" s="429">
        <v>14481.86</v>
      </c>
      <c r="AG364" s="649">
        <v>0</v>
      </c>
      <c r="AH364" s="649">
        <v>0</v>
      </c>
      <c r="AI364" s="649">
        <v>0</v>
      </c>
      <c r="AJ364" s="649">
        <v>0</v>
      </c>
      <c r="AK364" s="649">
        <v>0</v>
      </c>
      <c r="AL364" s="649">
        <v>0</v>
      </c>
      <c r="AM364" s="649">
        <f t="shared" si="25"/>
        <v>14481.86</v>
      </c>
      <c r="AN364" s="651">
        <f>ERP_27[[#This Row],[2026 Working Total]]-ERP_27[[#This Row],[LE2 Final Submission]]</f>
        <v>14481.86</v>
      </c>
      <c r="AO364" s="652">
        <v>0</v>
      </c>
      <c r="AP364" s="652">
        <f t="shared" si="24"/>
        <v>14481.86</v>
      </c>
      <c r="AQ364" s="374">
        <f>SUM(ERP_27[[#This Row],[AP01]:[AP06]])-SUM(ERP_27[[#This Row],[AP01 LE2]:[AP06 LE2]])</f>
        <v>14481.86</v>
      </c>
      <c r="AR364" s="653"/>
      <c r="AS364" s="652">
        <f>ERP_27[[#This Row],[2026 Working Total to Budget/LE]]-ERP_27[[#This Row],[Giveback]]</f>
        <v>14481.86</v>
      </c>
      <c r="AT364" s="654"/>
      <c r="AU364" s="655"/>
      <c r="AV364" s="655"/>
      <c r="AW364" s="655"/>
      <c r="AX364" s="655">
        <v>0</v>
      </c>
      <c r="AY364" s="655">
        <v>0</v>
      </c>
      <c r="AZ364" s="655">
        <v>0</v>
      </c>
      <c r="BA364" s="655">
        <v>0</v>
      </c>
      <c r="BB364" s="655">
        <v>0</v>
      </c>
      <c r="BC364" s="655">
        <v>0</v>
      </c>
      <c r="BD364" s="655">
        <v>0</v>
      </c>
      <c r="BE364" s="655">
        <v>0</v>
      </c>
      <c r="BF364" s="655">
        <v>0</v>
      </c>
      <c r="BG364" s="655">
        <v>0</v>
      </c>
      <c r="BH364" s="652">
        <v>9779.9</v>
      </c>
      <c r="BI364" s="652">
        <v>9779.8799999999992</v>
      </c>
      <c r="BJ364" s="652">
        <v>9779.8799999999992</v>
      </c>
      <c r="BK364" s="652">
        <v>0</v>
      </c>
      <c r="BL364" s="652">
        <v>0</v>
      </c>
      <c r="BM364" s="652">
        <v>0</v>
      </c>
      <c r="BN364" s="652">
        <v>0</v>
      </c>
      <c r="BO364" s="652">
        <v>0</v>
      </c>
      <c r="BP364" s="652">
        <v>0</v>
      </c>
      <c r="BQ364" s="652">
        <v>0</v>
      </c>
      <c r="BR364" s="652">
        <v>0</v>
      </c>
      <c r="BS364" s="652">
        <v>0</v>
      </c>
      <c r="BT364" s="652">
        <v>29339.659999999996</v>
      </c>
    </row>
    <row r="365" spans="1:72" ht="15" hidden="1" customHeight="1">
      <c r="A365" s="66" t="s">
        <v>1974</v>
      </c>
      <c r="B365" s="66"/>
      <c r="C365" s="66" t="s">
        <v>502</v>
      </c>
      <c r="D365" s="66" t="s">
        <v>502</v>
      </c>
      <c r="E365" s="150" t="s">
        <v>1136</v>
      </c>
      <c r="F365" s="482" t="s">
        <v>1566</v>
      </c>
      <c r="G365" s="383" t="s">
        <v>1344</v>
      </c>
      <c r="H365" s="383" t="s">
        <v>1344</v>
      </c>
      <c r="I365" s="150" t="s">
        <v>1345</v>
      </c>
      <c r="J365" s="150" t="s">
        <v>1344</v>
      </c>
      <c r="K365" s="150" t="s">
        <v>1346</v>
      </c>
      <c r="L365" s="511" t="s">
        <v>389</v>
      </c>
      <c r="M365" s="392" t="s">
        <v>1471</v>
      </c>
      <c r="N365" s="343"/>
      <c r="O365" s="343"/>
      <c r="P365" s="70" t="s">
        <v>221</v>
      </c>
      <c r="Q365" s="346"/>
      <c r="R365" s="343"/>
      <c r="S365" s="346"/>
      <c r="T365" s="150" t="s">
        <v>188</v>
      </c>
      <c r="U365" s="150"/>
      <c r="V365" s="643"/>
      <c r="W365" s="659">
        <v>0</v>
      </c>
      <c r="X365" s="659">
        <v>8751</v>
      </c>
      <c r="Y365" s="656"/>
      <c r="Z365" s="657"/>
      <c r="AA365" s="714"/>
      <c r="AB365" s="428"/>
      <c r="AC365" s="428">
        <v>8751</v>
      </c>
      <c r="AD365" s="428">
        <v>0</v>
      </c>
      <c r="AE365" s="429">
        <v>5834</v>
      </c>
      <c r="AF365" s="429">
        <v>0</v>
      </c>
      <c r="AG365" s="649">
        <v>0</v>
      </c>
      <c r="AH365" s="649">
        <v>0</v>
      </c>
      <c r="AI365" s="649">
        <v>0</v>
      </c>
      <c r="AJ365" s="649">
        <v>0</v>
      </c>
      <c r="AK365" s="649">
        <v>0</v>
      </c>
      <c r="AL365" s="649">
        <v>0</v>
      </c>
      <c r="AM365" s="649">
        <f t="shared" si="25"/>
        <v>14585</v>
      </c>
      <c r="AN365" s="651">
        <f>ERP_27[[#This Row],[2026 Working Total]]-ERP_27[[#This Row],[LE2 Final Submission]]</f>
        <v>5834</v>
      </c>
      <c r="AO365" s="652">
        <v>0</v>
      </c>
      <c r="AP365" s="652">
        <f t="shared" si="24"/>
        <v>0</v>
      </c>
      <c r="AQ365" s="374">
        <f>SUM(ERP_27[[#This Row],[AP01]:[AP06]])-SUM(ERP_27[[#This Row],[AP01 LE2]:[AP06 LE2]])</f>
        <v>5834</v>
      </c>
      <c r="AR365" s="653"/>
      <c r="AS365" s="652">
        <f>ERP_27[[#This Row],[2026 Working Total to Budget/LE]]-ERP_27[[#This Row],[Giveback]]</f>
        <v>5834</v>
      </c>
      <c r="AT365" s="654"/>
      <c r="AU365" s="655"/>
      <c r="AV365" s="655"/>
      <c r="AW365" s="655">
        <v>8751</v>
      </c>
      <c r="AX365" s="655">
        <v>0</v>
      </c>
      <c r="AY365" s="655">
        <v>0</v>
      </c>
      <c r="AZ365" s="655">
        <v>0</v>
      </c>
      <c r="BA365" s="655">
        <v>0</v>
      </c>
      <c r="BB365" s="655">
        <v>0</v>
      </c>
      <c r="BC365" s="655">
        <v>0</v>
      </c>
      <c r="BD365" s="655">
        <v>0</v>
      </c>
      <c r="BE365" s="655">
        <v>0</v>
      </c>
      <c r="BF365" s="655">
        <v>0</v>
      </c>
      <c r="BG365" s="655">
        <v>8751</v>
      </c>
      <c r="BH365" s="652"/>
      <c r="BI365" s="652"/>
      <c r="BJ365" s="652">
        <v>8751</v>
      </c>
      <c r="BK365" s="652">
        <v>0</v>
      </c>
      <c r="BL365" s="652">
        <v>0</v>
      </c>
      <c r="BM365" s="652">
        <v>0</v>
      </c>
      <c r="BN365" s="652">
        <v>0</v>
      </c>
      <c r="BO365" s="652">
        <v>0</v>
      </c>
      <c r="BP365" s="652">
        <v>0</v>
      </c>
      <c r="BQ365" s="652">
        <v>0</v>
      </c>
      <c r="BR365" s="652">
        <v>0</v>
      </c>
      <c r="BS365" s="652">
        <v>0</v>
      </c>
      <c r="BT365" s="652">
        <v>8751</v>
      </c>
    </row>
    <row r="366" spans="1:72" ht="15" hidden="1" customHeight="1">
      <c r="A366" s="66" t="s">
        <v>2002</v>
      </c>
      <c r="B366" s="66"/>
      <c r="C366" s="66" t="s">
        <v>592</v>
      </c>
      <c r="D366" s="66" t="s">
        <v>2003</v>
      </c>
      <c r="E366" s="150" t="s">
        <v>1136</v>
      </c>
      <c r="F366" s="482" t="s">
        <v>1566</v>
      </c>
      <c r="G366" s="150" t="s">
        <v>2942</v>
      </c>
      <c r="H366" s="150" t="s">
        <v>2942</v>
      </c>
      <c r="I366" s="150" t="s">
        <v>1345</v>
      </c>
      <c r="J366" s="150" t="s">
        <v>2004</v>
      </c>
      <c r="K366" s="150" t="s">
        <v>1346</v>
      </c>
      <c r="L366" s="511" t="s">
        <v>389</v>
      </c>
      <c r="M366" s="392" t="s">
        <v>2005</v>
      </c>
      <c r="N366" s="343"/>
      <c r="O366" s="343"/>
      <c r="P366" s="70" t="s">
        <v>593</v>
      </c>
      <c r="Q366" s="346"/>
      <c r="R366" s="343"/>
      <c r="S366" s="346"/>
      <c r="T366" s="150" t="s">
        <v>152</v>
      </c>
      <c r="U366" s="150"/>
      <c r="V366" s="643"/>
      <c r="W366" s="659">
        <v>31560</v>
      </c>
      <c r="X366" s="659">
        <v>23670</v>
      </c>
      <c r="Y366" s="656"/>
      <c r="Z366" s="657"/>
      <c r="AA366" s="714"/>
      <c r="AB366" s="428"/>
      <c r="AC366" s="428"/>
      <c r="AD366" s="428" t="s">
        <v>1142</v>
      </c>
      <c r="AE366" s="429">
        <v>0</v>
      </c>
      <c r="AF366" s="429">
        <v>0</v>
      </c>
      <c r="AG366" s="649">
        <v>2630</v>
      </c>
      <c r="AH366" s="649">
        <v>2630</v>
      </c>
      <c r="AI366" s="649">
        <v>2630</v>
      </c>
      <c r="AJ366" s="649">
        <v>2630</v>
      </c>
      <c r="AK366" s="649">
        <v>2630</v>
      </c>
      <c r="AL366" s="649">
        <v>2630</v>
      </c>
      <c r="AM366" s="649">
        <f t="shared" si="25"/>
        <v>15780</v>
      </c>
      <c r="AN366" s="651">
        <f>ERP_27[[#This Row],[2026 Working Total]]-ERP_27[[#This Row],[LE2 Final Submission]]</f>
        <v>-7890</v>
      </c>
      <c r="AO366" s="652">
        <v>27992</v>
      </c>
      <c r="AP366" s="652">
        <f t="shared" si="24"/>
        <v>-27992</v>
      </c>
      <c r="AQ366" s="374">
        <f>SUM(ERP_27[[#This Row],[AP01]:[AP06]])-SUM(ERP_27[[#This Row],[AP01 LE2]:[AP06 LE2]])</f>
        <v>-7890</v>
      </c>
      <c r="AR366" s="653"/>
      <c r="AS366" s="652">
        <f>ERP_27[[#This Row],[2026 Working Total to Budget/LE]]-ERP_27[[#This Row],[Giveback]]</f>
        <v>-7890</v>
      </c>
      <c r="AT366" s="654"/>
      <c r="AU366" s="655"/>
      <c r="AV366" s="655"/>
      <c r="AW366" s="655"/>
      <c r="AX366" s="655">
        <v>2630</v>
      </c>
      <c r="AY366" s="655">
        <v>2630</v>
      </c>
      <c r="AZ366" s="655">
        <v>2630</v>
      </c>
      <c r="BA366" s="655">
        <v>2630</v>
      </c>
      <c r="BB366" s="655">
        <v>2630</v>
      </c>
      <c r="BC366" s="655">
        <v>2630</v>
      </c>
      <c r="BD366" s="655">
        <v>2630</v>
      </c>
      <c r="BE366" s="655">
        <v>2630</v>
      </c>
      <c r="BF366" s="655">
        <v>2630</v>
      </c>
      <c r="BG366" s="655">
        <v>23670</v>
      </c>
      <c r="BH366" s="652"/>
      <c r="BI366" s="652"/>
      <c r="BJ366" s="652"/>
      <c r="BK366" s="652">
        <v>2630</v>
      </c>
      <c r="BL366" s="652">
        <v>2630</v>
      </c>
      <c r="BM366" s="652">
        <v>2630</v>
      </c>
      <c r="BN366" s="652">
        <v>2630</v>
      </c>
      <c r="BO366" s="652">
        <v>2630</v>
      </c>
      <c r="BP366" s="652">
        <v>2630</v>
      </c>
      <c r="BQ366" s="652">
        <v>2630</v>
      </c>
      <c r="BR366" s="652">
        <v>2630</v>
      </c>
      <c r="BS366" s="652">
        <v>2630</v>
      </c>
      <c r="BT366" s="652">
        <v>23670</v>
      </c>
    </row>
    <row r="367" spans="1:72" ht="15" hidden="1" customHeight="1">
      <c r="A367" s="66" t="s">
        <v>2141</v>
      </c>
      <c r="B367" s="66"/>
      <c r="C367" s="66" t="s">
        <v>597</v>
      </c>
      <c r="D367" s="66" t="s">
        <v>597</v>
      </c>
      <c r="E367" s="150" t="s">
        <v>1136</v>
      </c>
      <c r="F367" s="482" t="s">
        <v>1566</v>
      </c>
      <c r="G367" s="150" t="s">
        <v>1650</v>
      </c>
      <c r="H367" s="150" t="s">
        <v>1650</v>
      </c>
      <c r="I367" s="150" t="s">
        <v>1650</v>
      </c>
      <c r="J367" s="150" t="s">
        <v>1650</v>
      </c>
      <c r="K367" s="150" t="s">
        <v>1650</v>
      </c>
      <c r="L367" s="511" t="s">
        <v>389</v>
      </c>
      <c r="M367" s="392" t="s">
        <v>1855</v>
      </c>
      <c r="N367" s="343"/>
      <c r="O367" s="343"/>
      <c r="P367" s="70" t="s">
        <v>466</v>
      </c>
      <c r="Q367" s="346"/>
      <c r="R367" s="346" t="s">
        <v>1140</v>
      </c>
      <c r="S367" s="346"/>
      <c r="T367" s="150" t="s">
        <v>57</v>
      </c>
      <c r="U367" s="150"/>
      <c r="V367" s="643"/>
      <c r="W367" s="659">
        <v>0</v>
      </c>
      <c r="X367" s="659">
        <v>11571</v>
      </c>
      <c r="Y367" s="656"/>
      <c r="Z367" s="657"/>
      <c r="AA367" s="714">
        <v>681</v>
      </c>
      <c r="AB367" s="428">
        <v>981</v>
      </c>
      <c r="AC367" s="428">
        <v>2709</v>
      </c>
      <c r="AD367" s="428">
        <v>2441</v>
      </c>
      <c r="AE367" s="429">
        <v>2448</v>
      </c>
      <c r="AF367" s="429">
        <v>1771</v>
      </c>
      <c r="AG367" s="649">
        <v>800</v>
      </c>
      <c r="AH367" s="649">
        <v>800</v>
      </c>
      <c r="AI367" s="649">
        <v>800</v>
      </c>
      <c r="AJ367" s="649">
        <v>800</v>
      </c>
      <c r="AK367" s="649">
        <v>800</v>
      </c>
      <c r="AL367" s="649">
        <v>800</v>
      </c>
      <c r="AM367" s="649">
        <f t="shared" si="25"/>
        <v>15831</v>
      </c>
      <c r="AN367" s="651">
        <f>ERP_27[[#This Row],[2026 Working Total]]-ERP_27[[#This Row],[LE2 Final Submission]]</f>
        <v>4260</v>
      </c>
      <c r="AO367" s="652">
        <v>800</v>
      </c>
      <c r="AP367" s="652">
        <f t="shared" si="24"/>
        <v>971</v>
      </c>
      <c r="AQ367" s="374">
        <f>SUM(ERP_27[[#This Row],[AP01]:[AP06]])-SUM(ERP_27[[#This Row],[AP01 LE2]:[AP06 LE2]])</f>
        <v>4260</v>
      </c>
      <c r="AR367" s="653"/>
      <c r="AS367" s="652">
        <f>ERP_27[[#This Row],[2026 Working Total to Budget/LE]]-ERP_27[[#This Row],[Giveback]]</f>
        <v>4260</v>
      </c>
      <c r="AT367" s="654"/>
      <c r="AU367" s="655">
        <v>681</v>
      </c>
      <c r="AV367" s="655">
        <v>981</v>
      </c>
      <c r="AW367" s="655">
        <v>2709</v>
      </c>
      <c r="AX367" s="655">
        <v>800</v>
      </c>
      <c r="AY367" s="655">
        <v>800</v>
      </c>
      <c r="AZ367" s="655">
        <v>800</v>
      </c>
      <c r="BA367" s="655">
        <v>800</v>
      </c>
      <c r="BB367" s="655">
        <v>800</v>
      </c>
      <c r="BC367" s="655">
        <v>800</v>
      </c>
      <c r="BD367" s="655">
        <v>800</v>
      </c>
      <c r="BE367" s="655">
        <v>800</v>
      </c>
      <c r="BF367" s="655">
        <v>800</v>
      </c>
      <c r="BG367" s="655">
        <v>11571</v>
      </c>
      <c r="BH367" s="652">
        <v>681</v>
      </c>
      <c r="BI367" s="652">
        <v>981</v>
      </c>
      <c r="BJ367" s="652">
        <v>2709</v>
      </c>
      <c r="BK367" s="652">
        <v>800</v>
      </c>
      <c r="BL367" s="652">
        <v>800</v>
      </c>
      <c r="BM367" s="652">
        <v>800</v>
      </c>
      <c r="BN367" s="652">
        <v>800</v>
      </c>
      <c r="BO367" s="652">
        <v>800</v>
      </c>
      <c r="BP367" s="652">
        <v>800</v>
      </c>
      <c r="BQ367" s="652">
        <v>800</v>
      </c>
      <c r="BR367" s="652">
        <v>800</v>
      </c>
      <c r="BS367" s="652">
        <v>800</v>
      </c>
      <c r="BT367" s="652">
        <v>11571</v>
      </c>
    </row>
    <row r="368" spans="1:72" ht="15" hidden="1" customHeight="1">
      <c r="A368" s="66" t="s">
        <v>1826</v>
      </c>
      <c r="B368" s="66"/>
      <c r="C368" s="66" t="s">
        <v>430</v>
      </c>
      <c r="D368" s="66" t="s">
        <v>1827</v>
      </c>
      <c r="E368" s="150" t="s">
        <v>1136</v>
      </c>
      <c r="F368" s="482" t="s">
        <v>1566</v>
      </c>
      <c r="G368" s="150" t="s">
        <v>1135</v>
      </c>
      <c r="H368" s="150" t="s">
        <v>1135</v>
      </c>
      <c r="I368" s="150" t="s">
        <v>1135</v>
      </c>
      <c r="J368" s="150" t="s">
        <v>1137</v>
      </c>
      <c r="K368" s="150" t="s">
        <v>1137</v>
      </c>
      <c r="L368" s="511" t="s">
        <v>389</v>
      </c>
      <c r="M368" s="392" t="s">
        <v>1828</v>
      </c>
      <c r="N368" s="343"/>
      <c r="O368" s="343"/>
      <c r="P368" s="70" t="s">
        <v>431</v>
      </c>
      <c r="Q368" s="346"/>
      <c r="R368" s="343"/>
      <c r="S368" s="346"/>
      <c r="T368" s="150" t="s">
        <v>432</v>
      </c>
      <c r="U368" s="1" t="s">
        <v>1141</v>
      </c>
      <c r="V368" s="643"/>
      <c r="W368" s="659">
        <v>18000</v>
      </c>
      <c r="X368" s="659">
        <v>19824.739999999998</v>
      </c>
      <c r="Y368" s="656"/>
      <c r="Z368" s="657"/>
      <c r="AA368" s="714">
        <v>531.82000000000005</v>
      </c>
      <c r="AB368" s="428">
        <v>3988.46</v>
      </c>
      <c r="AC368" s="428">
        <v>1804.46</v>
      </c>
      <c r="AD368" s="428">
        <v>988.66</v>
      </c>
      <c r="AE368" s="429">
        <v>162.79999999999998</v>
      </c>
      <c r="AF368" s="429">
        <v>0</v>
      </c>
      <c r="AG368" s="649">
        <v>1500</v>
      </c>
      <c r="AH368" s="649">
        <v>1500</v>
      </c>
      <c r="AI368" s="649">
        <v>1500</v>
      </c>
      <c r="AJ368" s="649">
        <v>1500</v>
      </c>
      <c r="AK368" s="649">
        <v>1500</v>
      </c>
      <c r="AL368" s="649">
        <v>1500</v>
      </c>
      <c r="AM368" s="649">
        <f t="shared" si="25"/>
        <v>16476.2</v>
      </c>
      <c r="AN368" s="651">
        <f>ERP_27[[#This Row],[2026 Working Total]]-ERP_27[[#This Row],[LE2 Final Submission]]</f>
        <v>-3348.5399999999972</v>
      </c>
      <c r="AO368" s="652">
        <v>1500</v>
      </c>
      <c r="AP368" s="652">
        <f t="shared" si="24"/>
        <v>-1500</v>
      </c>
      <c r="AQ368" s="374">
        <f>SUM(ERP_27[[#This Row],[AP01]:[AP06]])-SUM(ERP_27[[#This Row],[AP01 LE2]:[AP06 LE2]])</f>
        <v>-3348.54</v>
      </c>
      <c r="AR368" s="653"/>
      <c r="AS368" s="652">
        <f>ERP_27[[#This Row],[2026 Working Total to Budget/LE]]-ERP_27[[#This Row],[Giveback]]</f>
        <v>-3348.5399999999972</v>
      </c>
      <c r="AT368" s="654"/>
      <c r="AU368" s="655">
        <v>531.82000000000005</v>
      </c>
      <c r="AV368" s="655">
        <v>3988.46</v>
      </c>
      <c r="AW368" s="655">
        <v>1804.46</v>
      </c>
      <c r="AX368" s="655">
        <v>1500</v>
      </c>
      <c r="AY368" s="655">
        <v>1500</v>
      </c>
      <c r="AZ368" s="655">
        <v>1500</v>
      </c>
      <c r="BA368" s="655">
        <v>1500</v>
      </c>
      <c r="BB368" s="655">
        <v>1500</v>
      </c>
      <c r="BC368" s="655">
        <v>1500</v>
      </c>
      <c r="BD368" s="655">
        <v>1500</v>
      </c>
      <c r="BE368" s="655">
        <v>1500</v>
      </c>
      <c r="BF368" s="655">
        <v>1500</v>
      </c>
      <c r="BG368" s="655">
        <v>19824.739999999998</v>
      </c>
      <c r="BH368" s="652">
        <v>531.82000000000005</v>
      </c>
      <c r="BI368" s="652">
        <v>3988.46</v>
      </c>
      <c r="BJ368" s="652">
        <v>1804.46</v>
      </c>
      <c r="BK368" s="652">
        <v>1500</v>
      </c>
      <c r="BL368" s="652">
        <v>1500</v>
      </c>
      <c r="BM368" s="652">
        <v>1500</v>
      </c>
      <c r="BN368" s="652">
        <v>1500</v>
      </c>
      <c r="BO368" s="652">
        <v>1500</v>
      </c>
      <c r="BP368" s="652">
        <v>1500</v>
      </c>
      <c r="BQ368" s="652">
        <v>1500</v>
      </c>
      <c r="BR368" s="652">
        <v>1500</v>
      </c>
      <c r="BS368" s="652">
        <v>1500</v>
      </c>
      <c r="BT368" s="652">
        <v>19824.739999999998</v>
      </c>
    </row>
    <row r="369" spans="1:72" ht="15" hidden="1" customHeight="1">
      <c r="A369" s="66" t="s">
        <v>2677</v>
      </c>
      <c r="B369" s="66"/>
      <c r="C369" s="66" t="s">
        <v>945</v>
      </c>
      <c r="D369" s="66" t="s">
        <v>2678</v>
      </c>
      <c r="E369" s="150" t="s">
        <v>1136</v>
      </c>
      <c r="F369" s="482" t="s">
        <v>1566</v>
      </c>
      <c r="G369" s="150" t="s">
        <v>1345</v>
      </c>
      <c r="H369" s="150" t="s">
        <v>1437</v>
      </c>
      <c r="I369" s="150" t="s">
        <v>1345</v>
      </c>
      <c r="J369" s="150" t="s">
        <v>1437</v>
      </c>
      <c r="K369" s="150" t="s">
        <v>1346</v>
      </c>
      <c r="L369" s="511" t="s">
        <v>639</v>
      </c>
      <c r="M369" s="392" t="s">
        <v>2274</v>
      </c>
      <c r="N369" s="343"/>
      <c r="O369" s="343"/>
      <c r="P369" s="70" t="s">
        <v>673</v>
      </c>
      <c r="Q369" s="346"/>
      <c r="R369" s="346" t="s">
        <v>1140</v>
      </c>
      <c r="S369" s="346"/>
      <c r="T369" s="150" t="s">
        <v>57</v>
      </c>
      <c r="U369" s="150"/>
      <c r="V369" s="643"/>
      <c r="W369" s="659">
        <v>18499.8</v>
      </c>
      <c r="X369" s="659">
        <v>16958.149999999998</v>
      </c>
      <c r="Y369" s="656"/>
      <c r="Z369" s="657"/>
      <c r="AA369" s="714">
        <v>1541.65</v>
      </c>
      <c r="AB369" s="428">
        <v>0</v>
      </c>
      <c r="AC369" s="428">
        <v>1541.65</v>
      </c>
      <c r="AD369" s="428">
        <v>1541.65</v>
      </c>
      <c r="AE369" s="429">
        <v>1541.65</v>
      </c>
      <c r="AF369" s="429">
        <v>1541.65</v>
      </c>
      <c r="AG369" s="649">
        <v>1541.65</v>
      </c>
      <c r="AH369" s="649">
        <v>1541.65</v>
      </c>
      <c r="AI369" s="649">
        <v>1541.65</v>
      </c>
      <c r="AJ369" s="649">
        <v>1541.65</v>
      </c>
      <c r="AK369" s="649">
        <v>1541.65</v>
      </c>
      <c r="AL369" s="649">
        <v>1541.65</v>
      </c>
      <c r="AM369" s="649">
        <f t="shared" si="25"/>
        <v>16958.149999999998</v>
      </c>
      <c r="AN369" s="651">
        <f>ERP_27[[#This Row],[2026 Working Total]]-ERP_27[[#This Row],[LE2 Final Submission]]</f>
        <v>0</v>
      </c>
      <c r="AO369" s="652">
        <v>1541.65</v>
      </c>
      <c r="AP369" s="652">
        <f t="shared" si="24"/>
        <v>0</v>
      </c>
      <c r="AQ369" s="374">
        <f>SUM(ERP_27[[#This Row],[AP01]:[AP06]])-SUM(ERP_27[[#This Row],[AP01 LE2]:[AP06 LE2]])</f>
        <v>0</v>
      </c>
      <c r="AR369" s="653"/>
      <c r="AS369" s="652">
        <f>ERP_27[[#This Row],[2026 Working Total to Budget/LE]]-ERP_27[[#This Row],[Giveback]]</f>
        <v>0</v>
      </c>
      <c r="AT369" s="654"/>
      <c r="AU369" s="655">
        <v>1541.65</v>
      </c>
      <c r="AV369" s="655">
        <v>0</v>
      </c>
      <c r="AW369" s="655">
        <v>1541.65</v>
      </c>
      <c r="AX369" s="655">
        <v>1541.65</v>
      </c>
      <c r="AY369" s="655">
        <v>1541.65</v>
      </c>
      <c r="AZ369" s="655">
        <v>1541.65</v>
      </c>
      <c r="BA369" s="655">
        <v>1541.65</v>
      </c>
      <c r="BB369" s="655">
        <v>1541.65</v>
      </c>
      <c r="BC369" s="655">
        <v>1541.65</v>
      </c>
      <c r="BD369" s="655">
        <v>1541.65</v>
      </c>
      <c r="BE369" s="655">
        <v>1541.65</v>
      </c>
      <c r="BF369" s="655">
        <v>1541.65</v>
      </c>
      <c r="BG369" s="655">
        <v>16958.149999999998</v>
      </c>
      <c r="BH369" s="652">
        <v>1541.65</v>
      </c>
      <c r="BI369" s="652">
        <v>0</v>
      </c>
      <c r="BJ369" s="652">
        <v>1541.65</v>
      </c>
      <c r="BK369" s="652">
        <v>1541.65</v>
      </c>
      <c r="BL369" s="652">
        <v>1541.65</v>
      </c>
      <c r="BM369" s="652">
        <v>1541.65</v>
      </c>
      <c r="BN369" s="652">
        <v>1541.65</v>
      </c>
      <c r="BO369" s="652">
        <v>1541.65</v>
      </c>
      <c r="BP369" s="652">
        <v>1541.65</v>
      </c>
      <c r="BQ369" s="652">
        <v>1541.65</v>
      </c>
      <c r="BR369" s="652">
        <v>1541.65</v>
      </c>
      <c r="BS369" s="652">
        <v>1541.65</v>
      </c>
      <c r="BT369" s="652">
        <v>16958.149999999998</v>
      </c>
    </row>
    <row r="370" spans="1:72" ht="15" hidden="1" customHeight="1">
      <c r="A370" s="66" t="s">
        <v>2038</v>
      </c>
      <c r="B370" s="66"/>
      <c r="C370" s="66" t="s">
        <v>541</v>
      </c>
      <c r="D370" s="66" t="s">
        <v>541</v>
      </c>
      <c r="E370" s="150" t="s">
        <v>1136</v>
      </c>
      <c r="F370" s="482" t="s">
        <v>1566</v>
      </c>
      <c r="G370" s="150" t="s">
        <v>1450</v>
      </c>
      <c r="H370" s="150" t="s">
        <v>1450</v>
      </c>
      <c r="I370" s="150" t="s">
        <v>1345</v>
      </c>
      <c r="J370" s="150" t="s">
        <v>1450</v>
      </c>
      <c r="K370" s="150" t="s">
        <v>1346</v>
      </c>
      <c r="L370" s="511" t="s">
        <v>389</v>
      </c>
      <c r="M370" s="392" t="s">
        <v>1467</v>
      </c>
      <c r="N370" s="343"/>
      <c r="O370" s="343"/>
      <c r="P370" s="70" t="s">
        <v>216</v>
      </c>
      <c r="Q370" s="346"/>
      <c r="R370" s="343"/>
      <c r="S370" s="346"/>
      <c r="T370" s="150" t="s">
        <v>217</v>
      </c>
      <c r="U370" s="150"/>
      <c r="V370" s="643"/>
      <c r="W370" s="659">
        <v>0</v>
      </c>
      <c r="X370" s="659">
        <v>7906.64</v>
      </c>
      <c r="Y370" s="656"/>
      <c r="Z370" s="657"/>
      <c r="AA370" s="714">
        <v>988.33</v>
      </c>
      <c r="AB370" s="428">
        <v>988.33</v>
      </c>
      <c r="AC370" s="428">
        <v>988.33</v>
      </c>
      <c r="AD370" s="428">
        <v>1792.83</v>
      </c>
      <c r="AE370" s="429">
        <v>988.32999999999993</v>
      </c>
      <c r="AF370" s="429">
        <v>10337.959999999999</v>
      </c>
      <c r="AG370" s="649">
        <v>988.33</v>
      </c>
      <c r="AH370" s="649">
        <v>988.33</v>
      </c>
      <c r="AI370" s="649">
        <v>0</v>
      </c>
      <c r="AJ370" s="649">
        <v>0</v>
      </c>
      <c r="AK370" s="649">
        <v>0</v>
      </c>
      <c r="AL370" s="649">
        <v>0</v>
      </c>
      <c r="AM370" s="649">
        <f t="shared" si="25"/>
        <v>18060.77</v>
      </c>
      <c r="AN370" s="651">
        <f>ERP_27[[#This Row],[2026 Working Total]]-ERP_27[[#This Row],[LE2 Final Submission]]</f>
        <v>10154.130000000001</v>
      </c>
      <c r="AO370" s="652">
        <v>988.33</v>
      </c>
      <c r="AP370" s="652">
        <f t="shared" si="24"/>
        <v>9349.6299999999992</v>
      </c>
      <c r="AQ370" s="374">
        <f>SUM(ERP_27[[#This Row],[AP01]:[AP06]])-SUM(ERP_27[[#This Row],[AP01 LE2]:[AP06 LE2]])</f>
        <v>10154.129999999997</v>
      </c>
      <c r="AR370" s="653"/>
      <c r="AS370" s="652">
        <f>ERP_27[[#This Row],[2026 Working Total to Budget/LE]]-ERP_27[[#This Row],[Giveback]]</f>
        <v>10154.130000000001</v>
      </c>
      <c r="AT370" s="654" t="s">
        <v>2037</v>
      </c>
      <c r="AU370" s="655">
        <v>988.33</v>
      </c>
      <c r="AV370" s="655">
        <v>988.33</v>
      </c>
      <c r="AW370" s="655">
        <v>988.33</v>
      </c>
      <c r="AX370" s="655">
        <v>988.33</v>
      </c>
      <c r="AY370" s="655">
        <v>988.33</v>
      </c>
      <c r="AZ370" s="655">
        <v>988.33</v>
      </c>
      <c r="BA370" s="655">
        <v>988.33</v>
      </c>
      <c r="BB370" s="655">
        <v>988.33</v>
      </c>
      <c r="BC370" s="655">
        <v>0</v>
      </c>
      <c r="BD370" s="655">
        <v>0</v>
      </c>
      <c r="BE370" s="655">
        <v>0</v>
      </c>
      <c r="BF370" s="655">
        <v>0</v>
      </c>
      <c r="BG370" s="655">
        <v>7906.64</v>
      </c>
      <c r="BH370" s="652">
        <v>988.33</v>
      </c>
      <c r="BI370" s="652">
        <v>988.33</v>
      </c>
      <c r="BJ370" s="652">
        <v>988.33</v>
      </c>
      <c r="BK370" s="652">
        <v>0</v>
      </c>
      <c r="BL370" s="652">
        <v>0</v>
      </c>
      <c r="BM370" s="652">
        <v>0</v>
      </c>
      <c r="BN370" s="652">
        <v>0</v>
      </c>
      <c r="BO370" s="652">
        <v>0</v>
      </c>
      <c r="BP370" s="652">
        <v>0</v>
      </c>
      <c r="BQ370" s="652">
        <v>0</v>
      </c>
      <c r="BR370" s="652">
        <v>0</v>
      </c>
      <c r="BS370" s="652">
        <v>0</v>
      </c>
      <c r="BT370" s="652">
        <v>2964.9900000000002</v>
      </c>
    </row>
    <row r="371" spans="1:72" ht="15" hidden="1" customHeight="1">
      <c r="A371" s="66" t="s">
        <v>2035</v>
      </c>
      <c r="B371" s="66"/>
      <c r="C371" s="66" t="s">
        <v>539</v>
      </c>
      <c r="D371" s="66" t="s">
        <v>539</v>
      </c>
      <c r="E371" s="150" t="s">
        <v>1136</v>
      </c>
      <c r="F371" s="482" t="s">
        <v>1566</v>
      </c>
      <c r="G371" s="150" t="s">
        <v>1450</v>
      </c>
      <c r="H371" s="150" t="s">
        <v>1450</v>
      </c>
      <c r="I371" s="150" t="s">
        <v>1345</v>
      </c>
      <c r="J371" s="150" t="s">
        <v>1450</v>
      </c>
      <c r="K371" s="150" t="s">
        <v>1346</v>
      </c>
      <c r="L371" s="511" t="s">
        <v>389</v>
      </c>
      <c r="M371" s="392" t="s">
        <v>1174</v>
      </c>
      <c r="N371" s="343"/>
      <c r="O371" s="343"/>
      <c r="P371" s="70" t="s">
        <v>56</v>
      </c>
      <c r="Q371" s="346"/>
      <c r="R371" s="346" t="s">
        <v>1140</v>
      </c>
      <c r="S371" s="346"/>
      <c r="T371" s="150" t="s">
        <v>57</v>
      </c>
      <c r="U371" s="150"/>
      <c r="V371" s="643"/>
      <c r="W371" s="659">
        <v>24000</v>
      </c>
      <c r="X371" s="659">
        <v>21077.66</v>
      </c>
      <c r="Y371" s="656"/>
      <c r="Z371" s="657"/>
      <c r="AA371" s="714">
        <v>1075.3900000000001</v>
      </c>
      <c r="AB371" s="428">
        <v>1075.5999999999999</v>
      </c>
      <c r="AC371" s="428">
        <v>926.67</v>
      </c>
      <c r="AD371" s="428">
        <v>1030.1999999999998</v>
      </c>
      <c r="AE371" s="429">
        <v>1176.04</v>
      </c>
      <c r="AF371" s="429">
        <v>1160.54</v>
      </c>
      <c r="AG371" s="649">
        <v>2000</v>
      </c>
      <c r="AH371" s="649">
        <v>2000</v>
      </c>
      <c r="AI371" s="649">
        <v>2000</v>
      </c>
      <c r="AJ371" s="649">
        <v>2000</v>
      </c>
      <c r="AK371" s="649">
        <v>2000</v>
      </c>
      <c r="AL371" s="649">
        <v>2000</v>
      </c>
      <c r="AM371" s="649">
        <f t="shared" si="25"/>
        <v>18444.439999999999</v>
      </c>
      <c r="AN371" s="651">
        <f>ERP_27[[#This Row],[2026 Working Total]]-ERP_27[[#This Row],[LE2 Final Submission]]</f>
        <v>-2633.2200000000012</v>
      </c>
      <c r="AO371" s="652">
        <v>2000</v>
      </c>
      <c r="AP371" s="652">
        <f t="shared" si="24"/>
        <v>-839.46</v>
      </c>
      <c r="AQ371" s="374">
        <f>SUM(ERP_27[[#This Row],[AP01]:[AP06]])-SUM(ERP_27[[#This Row],[AP01 LE2]:[AP06 LE2]])</f>
        <v>-2633.2200000000003</v>
      </c>
      <c r="AR371" s="653"/>
      <c r="AS371" s="652">
        <f>ERP_27[[#This Row],[2026 Working Total to Budget/LE]]-ERP_27[[#This Row],[Giveback]]</f>
        <v>-2633.2200000000012</v>
      </c>
      <c r="AT371" s="654"/>
      <c r="AU371" s="655">
        <v>1075.3900000000001</v>
      </c>
      <c r="AV371" s="655">
        <v>1075.5999999999999</v>
      </c>
      <c r="AW371" s="655">
        <v>926.67</v>
      </c>
      <c r="AX371" s="655">
        <v>2000</v>
      </c>
      <c r="AY371" s="655">
        <v>2000</v>
      </c>
      <c r="AZ371" s="655">
        <v>2000</v>
      </c>
      <c r="BA371" s="655">
        <v>2000</v>
      </c>
      <c r="BB371" s="655">
        <v>2000</v>
      </c>
      <c r="BC371" s="655">
        <v>2000</v>
      </c>
      <c r="BD371" s="655">
        <v>2000</v>
      </c>
      <c r="BE371" s="655">
        <v>2000</v>
      </c>
      <c r="BF371" s="655">
        <v>2000</v>
      </c>
      <c r="BG371" s="655">
        <v>21077.66</v>
      </c>
      <c r="BH371" s="652">
        <v>1075.3900000000001</v>
      </c>
      <c r="BI371" s="652">
        <v>1075.5999999999999</v>
      </c>
      <c r="BJ371" s="652">
        <v>926.67</v>
      </c>
      <c r="BK371" s="652">
        <v>2000</v>
      </c>
      <c r="BL371" s="652">
        <v>2000</v>
      </c>
      <c r="BM371" s="652">
        <v>2000</v>
      </c>
      <c r="BN371" s="652">
        <v>2000</v>
      </c>
      <c r="BO371" s="652">
        <v>2000</v>
      </c>
      <c r="BP371" s="652">
        <v>2000</v>
      </c>
      <c r="BQ371" s="652">
        <v>2000</v>
      </c>
      <c r="BR371" s="652">
        <v>2000</v>
      </c>
      <c r="BS371" s="652">
        <v>2000</v>
      </c>
      <c r="BT371" s="652">
        <v>21077.66</v>
      </c>
    </row>
    <row r="372" spans="1:72" ht="15" hidden="1" customHeight="1">
      <c r="A372" s="66" t="s">
        <v>1470</v>
      </c>
      <c r="B372" s="66"/>
      <c r="C372" s="66" t="s">
        <v>220</v>
      </c>
      <c r="D372" s="66" t="s">
        <v>220</v>
      </c>
      <c r="E372" s="150" t="s">
        <v>1136</v>
      </c>
      <c r="F372" s="482" t="s">
        <v>1566</v>
      </c>
      <c r="G372" s="150" t="s">
        <v>1450</v>
      </c>
      <c r="H372" s="150" t="s">
        <v>1450</v>
      </c>
      <c r="I372" s="150" t="s">
        <v>1345</v>
      </c>
      <c r="J372" s="150" t="s">
        <v>1450</v>
      </c>
      <c r="K372" s="150" t="s">
        <v>1346</v>
      </c>
      <c r="L372" s="511" t="s">
        <v>49</v>
      </c>
      <c r="M372" s="392" t="s">
        <v>1471</v>
      </c>
      <c r="N372" s="343"/>
      <c r="O372" s="343"/>
      <c r="P372" s="70" t="s">
        <v>221</v>
      </c>
      <c r="Q372" s="346"/>
      <c r="R372" s="343"/>
      <c r="S372" s="346"/>
      <c r="T372" s="150" t="s">
        <v>188</v>
      </c>
      <c r="U372" s="150"/>
      <c r="V372" s="643"/>
      <c r="W372" s="659">
        <v>35000</v>
      </c>
      <c r="X372" s="659">
        <v>26249</v>
      </c>
      <c r="Y372" s="656"/>
      <c r="Z372" s="657"/>
      <c r="AA372" s="714"/>
      <c r="AB372" s="428"/>
      <c r="AC372" s="428"/>
      <c r="AD372" s="428" t="s">
        <v>1142</v>
      </c>
      <c r="AE372" s="429">
        <v>0</v>
      </c>
      <c r="AF372" s="429">
        <v>0</v>
      </c>
      <c r="AG372" s="649"/>
      <c r="AH372" s="649">
        <v>8751</v>
      </c>
      <c r="AI372" s="649">
        <v>2916</v>
      </c>
      <c r="AJ372" s="649">
        <v>2916</v>
      </c>
      <c r="AK372" s="649">
        <v>2916</v>
      </c>
      <c r="AL372" s="649">
        <v>2916</v>
      </c>
      <c r="AM372" s="649">
        <f t="shared" si="25"/>
        <v>20415</v>
      </c>
      <c r="AN372" s="651">
        <f>ERP_27[[#This Row],[2026 Working Total]]-ERP_27[[#This Row],[LE2 Final Submission]]</f>
        <v>-5834</v>
      </c>
      <c r="AO372" s="652">
        <v>2917</v>
      </c>
      <c r="AP372" s="652">
        <f t="shared" si="24"/>
        <v>-2917</v>
      </c>
      <c r="AQ372" s="374">
        <f>SUM(ERP_27[[#This Row],[AP01]:[AP06]])-SUM(ERP_27[[#This Row],[AP01 LE2]:[AP06 LE2]])</f>
        <v>-8751</v>
      </c>
      <c r="AR372" s="653"/>
      <c r="AS372" s="652">
        <f>ERP_27[[#This Row],[2026 Working Total to Budget/LE]]-ERP_27[[#This Row],[Giveback]]</f>
        <v>-5834</v>
      </c>
      <c r="AT372" s="654"/>
      <c r="AU372" s="655"/>
      <c r="AV372" s="655"/>
      <c r="AW372" s="655"/>
      <c r="AX372" s="655">
        <v>2917</v>
      </c>
      <c r="AY372" s="655">
        <v>2917</v>
      </c>
      <c r="AZ372" s="655">
        <v>2917</v>
      </c>
      <c r="BA372" s="655">
        <v>2917</v>
      </c>
      <c r="BB372" s="655">
        <v>2917</v>
      </c>
      <c r="BC372" s="655">
        <v>2916</v>
      </c>
      <c r="BD372" s="655">
        <v>2916</v>
      </c>
      <c r="BE372" s="655">
        <v>2916</v>
      </c>
      <c r="BF372" s="655">
        <v>2916</v>
      </c>
      <c r="BG372" s="655">
        <v>26249</v>
      </c>
      <c r="BH372" s="652"/>
      <c r="BI372" s="652"/>
      <c r="BJ372" s="652"/>
      <c r="BK372" s="652">
        <v>2917</v>
      </c>
      <c r="BL372" s="652">
        <v>2917</v>
      </c>
      <c r="BM372" s="652">
        <v>2917</v>
      </c>
      <c r="BN372" s="652">
        <v>2917</v>
      </c>
      <c r="BO372" s="652">
        <v>2917</v>
      </c>
      <c r="BP372" s="652">
        <v>2916</v>
      </c>
      <c r="BQ372" s="652">
        <v>2916</v>
      </c>
      <c r="BR372" s="652">
        <v>2916</v>
      </c>
      <c r="BS372" s="652">
        <v>2916</v>
      </c>
      <c r="BT372" s="652">
        <v>26249</v>
      </c>
    </row>
    <row r="373" spans="1:72" ht="15" hidden="1" customHeight="1">
      <c r="A373" s="66" t="s">
        <v>2582</v>
      </c>
      <c r="B373" s="66"/>
      <c r="C373" s="66" t="s">
        <v>890</v>
      </c>
      <c r="D373" s="66" t="s">
        <v>2583</v>
      </c>
      <c r="E373" s="150" t="s">
        <v>1136</v>
      </c>
      <c r="F373" s="482" t="s">
        <v>1566</v>
      </c>
      <c r="G373" s="150" t="s">
        <v>1135</v>
      </c>
      <c r="H373" s="150" t="s">
        <v>1165</v>
      </c>
      <c r="I373" s="150" t="s">
        <v>1135</v>
      </c>
      <c r="J373" s="150" t="s">
        <v>1165</v>
      </c>
      <c r="K373" s="150" t="s">
        <v>1137</v>
      </c>
      <c r="L373" s="511" t="s">
        <v>639</v>
      </c>
      <c r="M373" s="392" t="s">
        <v>1952</v>
      </c>
      <c r="N373" s="343"/>
      <c r="O373" s="343"/>
      <c r="P373" s="70" t="s">
        <v>489</v>
      </c>
      <c r="Q373" s="346" t="s">
        <v>1153</v>
      </c>
      <c r="R373" s="343"/>
      <c r="S373" s="346"/>
      <c r="T373" s="150" t="s">
        <v>490</v>
      </c>
      <c r="U373" s="150"/>
      <c r="V373" s="643"/>
      <c r="W373" s="659">
        <v>23000</v>
      </c>
      <c r="X373" s="659">
        <v>21098.22</v>
      </c>
      <c r="Y373" s="656"/>
      <c r="Z373" s="657"/>
      <c r="AA373" s="714"/>
      <c r="AB373" s="428"/>
      <c r="AC373" s="428">
        <v>21098.22</v>
      </c>
      <c r="AD373" s="428">
        <v>0</v>
      </c>
      <c r="AE373" s="429">
        <v>0</v>
      </c>
      <c r="AF373" s="429">
        <v>0</v>
      </c>
      <c r="AG373" s="649">
        <v>0</v>
      </c>
      <c r="AH373" s="649">
        <v>0</v>
      </c>
      <c r="AI373" s="649">
        <v>0</v>
      </c>
      <c r="AJ373" s="649">
        <v>0</v>
      </c>
      <c r="AK373" s="649">
        <v>0</v>
      </c>
      <c r="AL373" s="649">
        <v>0</v>
      </c>
      <c r="AM373" s="649">
        <f t="shared" si="25"/>
        <v>21098.22</v>
      </c>
      <c r="AN373" s="651">
        <f>ERP_27[[#This Row],[2026 Working Total]]-ERP_27[[#This Row],[LE2 Final Submission]]</f>
        <v>0</v>
      </c>
      <c r="AO373" s="652">
        <v>0</v>
      </c>
      <c r="AP373" s="652">
        <f t="shared" si="24"/>
        <v>0</v>
      </c>
      <c r="AQ373" s="374">
        <f>SUM(ERP_27[[#This Row],[AP01]:[AP06]])-SUM(ERP_27[[#This Row],[AP01 LE2]:[AP06 LE2]])</f>
        <v>0</v>
      </c>
      <c r="AR373" s="653"/>
      <c r="AS373" s="652">
        <f>ERP_27[[#This Row],[2026 Working Total to Budget/LE]]-ERP_27[[#This Row],[Giveback]]</f>
        <v>0</v>
      </c>
      <c r="AT373" s="654"/>
      <c r="AU373" s="655"/>
      <c r="AV373" s="655"/>
      <c r="AW373" s="655">
        <v>21098.22</v>
      </c>
      <c r="AX373" s="655">
        <v>0</v>
      </c>
      <c r="AY373" s="655">
        <v>0</v>
      </c>
      <c r="AZ373" s="655">
        <v>0</v>
      </c>
      <c r="BA373" s="655">
        <v>0</v>
      </c>
      <c r="BB373" s="655">
        <v>0</v>
      </c>
      <c r="BC373" s="655">
        <v>0</v>
      </c>
      <c r="BD373" s="655">
        <v>0</v>
      </c>
      <c r="BE373" s="655">
        <v>0</v>
      </c>
      <c r="BF373" s="655">
        <v>0</v>
      </c>
      <c r="BG373" s="655">
        <v>21098.22</v>
      </c>
      <c r="BH373" s="652"/>
      <c r="BI373" s="652"/>
      <c r="BJ373" s="652">
        <v>21098.22</v>
      </c>
      <c r="BK373" s="652">
        <v>21098.22</v>
      </c>
      <c r="BL373" s="652">
        <v>0</v>
      </c>
      <c r="BM373" s="652">
        <v>0</v>
      </c>
      <c r="BN373" s="652">
        <v>0</v>
      </c>
      <c r="BO373" s="652">
        <v>0</v>
      </c>
      <c r="BP373" s="652">
        <v>0</v>
      </c>
      <c r="BQ373" s="652">
        <v>0</v>
      </c>
      <c r="BR373" s="652">
        <v>0</v>
      </c>
      <c r="BS373" s="652">
        <v>0</v>
      </c>
      <c r="BT373" s="652">
        <v>42196.44</v>
      </c>
    </row>
    <row r="374" spans="1:72" ht="15" hidden="1" customHeight="1">
      <c r="A374" s="66" t="s">
        <v>2624</v>
      </c>
      <c r="B374" s="66"/>
      <c r="C374" s="66" t="s">
        <v>916</v>
      </c>
      <c r="D374" s="66" t="s">
        <v>916</v>
      </c>
      <c r="E374" s="150" t="s">
        <v>1136</v>
      </c>
      <c r="F374" s="482" t="s">
        <v>1566</v>
      </c>
      <c r="G374" s="383" t="s">
        <v>1344</v>
      </c>
      <c r="H374" s="383" t="s">
        <v>1344</v>
      </c>
      <c r="I374" s="150" t="s">
        <v>1345</v>
      </c>
      <c r="J374" s="150" t="s">
        <v>1344</v>
      </c>
      <c r="K374" s="150" t="s">
        <v>1346</v>
      </c>
      <c r="L374" s="511" t="s">
        <v>639</v>
      </c>
      <c r="M374" s="392" t="s">
        <v>1423</v>
      </c>
      <c r="N374" s="343"/>
      <c r="O374" s="343"/>
      <c r="P374" s="70" t="s">
        <v>194</v>
      </c>
      <c r="Q374" s="346"/>
      <c r="R374" s="343"/>
      <c r="S374" s="346"/>
      <c r="T374" s="150" t="s">
        <v>25</v>
      </c>
      <c r="U374" s="150"/>
      <c r="V374" s="643"/>
      <c r="W374" s="659">
        <v>21665.519999999993</v>
      </c>
      <c r="X374" s="659">
        <v>21665.52</v>
      </c>
      <c r="Y374" s="656"/>
      <c r="Z374" s="657"/>
      <c r="AA374" s="714"/>
      <c r="AB374" s="428"/>
      <c r="AC374" s="428"/>
      <c r="AD374" s="428" t="s">
        <v>1142</v>
      </c>
      <c r="AE374" s="429">
        <v>0</v>
      </c>
      <c r="AF374" s="429">
        <v>0</v>
      </c>
      <c r="AG374" s="649"/>
      <c r="AH374" s="649"/>
      <c r="AI374" s="649"/>
      <c r="AJ374" s="649">
        <v>21665.52</v>
      </c>
      <c r="AK374" s="649"/>
      <c r="AL374" s="649"/>
      <c r="AM374" s="649">
        <f t="shared" si="25"/>
        <v>21665.52</v>
      </c>
      <c r="AN374" s="651">
        <f>ERP_27[[#This Row],[2026 Working Total]]-ERP_27[[#This Row],[LE2 Final Submission]]</f>
        <v>0</v>
      </c>
      <c r="AO374" s="652"/>
      <c r="AP374" s="652">
        <f t="shared" si="24"/>
        <v>0</v>
      </c>
      <c r="AQ374" s="374">
        <f>SUM(ERP_27[[#This Row],[AP01]:[AP06]])-SUM(ERP_27[[#This Row],[AP01 LE2]:[AP06 LE2]])</f>
        <v>0</v>
      </c>
      <c r="AR374" s="653"/>
      <c r="AS374" s="652">
        <f>ERP_27[[#This Row],[2026 Working Total to Budget/LE]]-ERP_27[[#This Row],[Giveback]]</f>
        <v>0</v>
      </c>
      <c r="AT374" s="654" t="s">
        <v>1423</v>
      </c>
      <c r="AU374" s="655"/>
      <c r="AV374" s="655"/>
      <c r="AW374" s="655"/>
      <c r="AX374" s="655"/>
      <c r="AY374" s="655"/>
      <c r="AZ374" s="655"/>
      <c r="BA374" s="655"/>
      <c r="BB374" s="655"/>
      <c r="BC374" s="655"/>
      <c r="BD374" s="655">
        <v>21665.52</v>
      </c>
      <c r="BE374" s="655"/>
      <c r="BF374" s="655"/>
      <c r="BG374" s="655">
        <v>21665.52</v>
      </c>
      <c r="BH374" s="652"/>
      <c r="BI374" s="652"/>
      <c r="BJ374" s="652"/>
      <c r="BK374" s="652">
        <v>1805.46</v>
      </c>
      <c r="BL374" s="652">
        <v>1805.46</v>
      </c>
      <c r="BM374" s="652">
        <v>1805.46</v>
      </c>
      <c r="BN374" s="652">
        <v>1805.46</v>
      </c>
      <c r="BO374" s="652">
        <v>1805.46</v>
      </c>
      <c r="BP374" s="652">
        <v>1805.46</v>
      </c>
      <c r="BQ374" s="652">
        <v>1805.46</v>
      </c>
      <c r="BR374" s="652">
        <v>1805.46</v>
      </c>
      <c r="BS374" s="652">
        <v>1805.46</v>
      </c>
      <c r="BT374" s="652">
        <v>16249.139999999996</v>
      </c>
    </row>
    <row r="375" spans="1:72" ht="15" hidden="1" customHeight="1">
      <c r="A375" s="66" t="s">
        <v>2866</v>
      </c>
      <c r="B375" s="66"/>
      <c r="C375" s="66" t="s">
        <v>1050</v>
      </c>
      <c r="D375" s="66" t="s">
        <v>1050</v>
      </c>
      <c r="E375" s="150" t="s">
        <v>1136</v>
      </c>
      <c r="F375" s="482" t="s">
        <v>1566</v>
      </c>
      <c r="G375" s="150" t="s">
        <v>1650</v>
      </c>
      <c r="H375" s="150" t="s">
        <v>1650</v>
      </c>
      <c r="I375" s="150" t="s">
        <v>1650</v>
      </c>
      <c r="J375" s="150" t="s">
        <v>1650</v>
      </c>
      <c r="K375" s="150" t="s">
        <v>1650</v>
      </c>
      <c r="L375" s="511" t="s">
        <v>1037</v>
      </c>
      <c r="M375" s="392" t="s">
        <v>2846</v>
      </c>
      <c r="N375" s="343"/>
      <c r="O375" s="343"/>
      <c r="P375" s="70" t="s">
        <v>1039</v>
      </c>
      <c r="Q375" s="346"/>
      <c r="R375" s="346" t="s">
        <v>1140</v>
      </c>
      <c r="S375" s="346"/>
      <c r="T375" s="150" t="s">
        <v>1040</v>
      </c>
      <c r="U375" s="150"/>
      <c r="V375" s="643"/>
      <c r="W375" s="659">
        <v>0</v>
      </c>
      <c r="X375" s="659">
        <v>17997.310000000001</v>
      </c>
      <c r="Y375" s="656"/>
      <c r="Z375" s="657"/>
      <c r="AA375" s="714">
        <v>401</v>
      </c>
      <c r="AB375" s="428">
        <v>11440.6</v>
      </c>
      <c r="AC375" s="428">
        <v>6155.71</v>
      </c>
      <c r="AD375" s="428">
        <v>1364.6499999999996</v>
      </c>
      <c r="AE375" s="429">
        <v>535.48</v>
      </c>
      <c r="AF375" s="429">
        <v>1808.77</v>
      </c>
      <c r="AG375" s="649">
        <v>0</v>
      </c>
      <c r="AH375" s="649">
        <v>0</v>
      </c>
      <c r="AI375" s="649">
        <v>0</v>
      </c>
      <c r="AJ375" s="649">
        <v>0</v>
      </c>
      <c r="AK375" s="649">
        <v>0</v>
      </c>
      <c r="AL375" s="649">
        <v>0</v>
      </c>
      <c r="AM375" s="649">
        <f t="shared" si="25"/>
        <v>21706.21</v>
      </c>
      <c r="AN375" s="651">
        <f>ERP_27[[#This Row],[2026 Working Total]]-ERP_27[[#This Row],[LE2 Final Submission]]</f>
        <v>3708.8999999999978</v>
      </c>
      <c r="AO375" s="652">
        <v>0</v>
      </c>
      <c r="AP375" s="652">
        <f t="shared" si="24"/>
        <v>1808.77</v>
      </c>
      <c r="AQ375" s="374">
        <f>SUM(ERP_27[[#This Row],[AP01]:[AP06]])-SUM(ERP_27[[#This Row],[AP01 LE2]:[AP06 LE2]])</f>
        <v>3708.8999999999978</v>
      </c>
      <c r="AR375" s="653"/>
      <c r="AS375" s="652">
        <f>ERP_27[[#This Row],[2026 Working Total to Budget/LE]]-ERP_27[[#This Row],[Giveback]]</f>
        <v>3708.8999999999978</v>
      </c>
      <c r="AT375" s="654"/>
      <c r="AU375" s="655">
        <v>401</v>
      </c>
      <c r="AV375" s="655">
        <v>11440.6</v>
      </c>
      <c r="AW375" s="655">
        <v>6155.71</v>
      </c>
      <c r="AX375" s="655">
        <v>0</v>
      </c>
      <c r="AY375" s="655">
        <v>0</v>
      </c>
      <c r="AZ375" s="655">
        <v>0</v>
      </c>
      <c r="BA375" s="655">
        <v>0</v>
      </c>
      <c r="BB375" s="655">
        <v>0</v>
      </c>
      <c r="BC375" s="655">
        <v>0</v>
      </c>
      <c r="BD375" s="655">
        <v>0</v>
      </c>
      <c r="BE375" s="655">
        <v>0</v>
      </c>
      <c r="BF375" s="655">
        <v>0</v>
      </c>
      <c r="BG375" s="655">
        <v>17997.310000000001</v>
      </c>
      <c r="BH375" s="652">
        <v>401</v>
      </c>
      <c r="BI375" s="652">
        <v>11440.6</v>
      </c>
      <c r="BJ375" s="652">
        <v>6155.71</v>
      </c>
      <c r="BK375" s="652">
        <v>0</v>
      </c>
      <c r="BL375" s="652">
        <v>0</v>
      </c>
      <c r="BM375" s="652">
        <v>0</v>
      </c>
      <c r="BN375" s="652">
        <v>0</v>
      </c>
      <c r="BO375" s="652">
        <v>0</v>
      </c>
      <c r="BP375" s="652">
        <v>0</v>
      </c>
      <c r="BQ375" s="652">
        <v>0</v>
      </c>
      <c r="BR375" s="652">
        <v>0</v>
      </c>
      <c r="BS375" s="652">
        <v>0</v>
      </c>
      <c r="BT375" s="652">
        <v>17997.310000000001</v>
      </c>
    </row>
    <row r="376" spans="1:72" ht="15" hidden="1" customHeight="1">
      <c r="A376" s="66" t="s">
        <v>2623</v>
      </c>
      <c r="B376" s="66"/>
      <c r="C376" s="66" t="s">
        <v>915</v>
      </c>
      <c r="D376" s="66" t="s">
        <v>915</v>
      </c>
      <c r="E376" s="150" t="s">
        <v>1136</v>
      </c>
      <c r="F376" s="482" t="s">
        <v>1566</v>
      </c>
      <c r="G376" s="383" t="s">
        <v>1344</v>
      </c>
      <c r="H376" s="383" t="s">
        <v>1344</v>
      </c>
      <c r="I376" s="150" t="s">
        <v>1345</v>
      </c>
      <c r="J376" s="150" t="s">
        <v>1344</v>
      </c>
      <c r="K376" s="150" t="s">
        <v>1346</v>
      </c>
      <c r="L376" s="511" t="s">
        <v>639</v>
      </c>
      <c r="M376" s="392" t="s">
        <v>818</v>
      </c>
      <c r="N376" s="343"/>
      <c r="O376" s="343"/>
      <c r="P376" s="70" t="s">
        <v>817</v>
      </c>
      <c r="Q376" s="346"/>
      <c r="R376" s="346" t="s">
        <v>1140</v>
      </c>
      <c r="S376" s="346"/>
      <c r="T376" s="150" t="s">
        <v>818</v>
      </c>
      <c r="U376" s="150"/>
      <c r="V376" s="643"/>
      <c r="W376" s="659">
        <v>8000</v>
      </c>
      <c r="X376" s="659">
        <v>16362.7</v>
      </c>
      <c r="Y376" s="656"/>
      <c r="Z376" s="657"/>
      <c r="AA376" s="714"/>
      <c r="AB376" s="428"/>
      <c r="AC376" s="428">
        <v>10362.700000000001</v>
      </c>
      <c r="AD376" s="428">
        <v>0</v>
      </c>
      <c r="AE376" s="429">
        <v>0</v>
      </c>
      <c r="AF376" s="429">
        <v>8211.1</v>
      </c>
      <c r="AG376" s="649">
        <v>0</v>
      </c>
      <c r="AH376" s="649">
        <v>0</v>
      </c>
      <c r="AI376" s="649">
        <v>2000</v>
      </c>
      <c r="AJ376" s="649">
        <v>0</v>
      </c>
      <c r="AK376" s="649">
        <v>2000</v>
      </c>
      <c r="AL376" s="649">
        <v>0</v>
      </c>
      <c r="AM376" s="649">
        <f t="shared" si="25"/>
        <v>22573.800000000003</v>
      </c>
      <c r="AN376" s="651">
        <f>ERP_27[[#This Row],[2026 Working Total]]-ERP_27[[#This Row],[LE2 Final Submission]]</f>
        <v>6211.1000000000022</v>
      </c>
      <c r="AO376" s="652">
        <v>0</v>
      </c>
      <c r="AP376" s="652">
        <f t="shared" si="24"/>
        <v>8211.1</v>
      </c>
      <c r="AQ376" s="374">
        <f>SUM(ERP_27[[#This Row],[AP01]:[AP06]])-SUM(ERP_27[[#This Row],[AP01 LE2]:[AP06 LE2]])</f>
        <v>6211.1000000000022</v>
      </c>
      <c r="AR376" s="653"/>
      <c r="AS376" s="652">
        <f>ERP_27[[#This Row],[2026 Working Total to Budget/LE]]-ERP_27[[#This Row],[Giveback]]</f>
        <v>6211.1000000000022</v>
      </c>
      <c r="AT376" s="654"/>
      <c r="AU376" s="655"/>
      <c r="AV376" s="655"/>
      <c r="AW376" s="655">
        <v>10362.700000000001</v>
      </c>
      <c r="AX376" s="655">
        <v>0</v>
      </c>
      <c r="AY376" s="655">
        <v>0</v>
      </c>
      <c r="AZ376" s="655">
        <v>2000</v>
      </c>
      <c r="BA376" s="655">
        <v>0</v>
      </c>
      <c r="BB376" s="655">
        <v>0</v>
      </c>
      <c r="BC376" s="655">
        <v>2000</v>
      </c>
      <c r="BD376" s="655">
        <v>0</v>
      </c>
      <c r="BE376" s="655">
        <v>2000</v>
      </c>
      <c r="BF376" s="655">
        <v>0</v>
      </c>
      <c r="BG376" s="655">
        <v>16362.7</v>
      </c>
      <c r="BH376" s="652"/>
      <c r="BI376" s="652"/>
      <c r="BJ376" s="652">
        <v>10362.700000000001</v>
      </c>
      <c r="BK376" s="652">
        <v>0</v>
      </c>
      <c r="BL376" s="652">
        <v>0</v>
      </c>
      <c r="BM376" s="652">
        <v>2000</v>
      </c>
      <c r="BN376" s="652">
        <v>0</v>
      </c>
      <c r="BO376" s="652">
        <v>0</v>
      </c>
      <c r="BP376" s="652">
        <v>2000</v>
      </c>
      <c r="BQ376" s="652">
        <v>0</v>
      </c>
      <c r="BR376" s="652">
        <v>2000</v>
      </c>
      <c r="BS376" s="652">
        <v>0</v>
      </c>
      <c r="BT376" s="652">
        <v>16362.7</v>
      </c>
    </row>
    <row r="377" spans="1:72" ht="15" hidden="1" customHeight="1">
      <c r="A377" s="66" t="s">
        <v>1432</v>
      </c>
      <c r="B377" s="66"/>
      <c r="C377" s="66" t="s">
        <v>198</v>
      </c>
      <c r="D377" s="66" t="s">
        <v>198</v>
      </c>
      <c r="E377" s="150" t="s">
        <v>1136</v>
      </c>
      <c r="F377" s="482" t="s">
        <v>1566</v>
      </c>
      <c r="G377" s="150" t="s">
        <v>1345</v>
      </c>
      <c r="H377" s="150" t="s">
        <v>1345</v>
      </c>
      <c r="I377" s="150" t="s">
        <v>1345</v>
      </c>
      <c r="J377" s="150" t="s">
        <v>1345</v>
      </c>
      <c r="K377" s="150" t="s">
        <v>1346</v>
      </c>
      <c r="L377" s="511" t="s">
        <v>49</v>
      </c>
      <c r="M377" s="392" t="s">
        <v>1147</v>
      </c>
      <c r="N377" s="343"/>
      <c r="O377" s="343"/>
      <c r="P377" s="70" t="s">
        <v>53</v>
      </c>
      <c r="Q377" s="346" t="s">
        <v>1153</v>
      </c>
      <c r="R377" s="343"/>
      <c r="S377" s="346"/>
      <c r="T377" s="150" t="s">
        <v>25</v>
      </c>
      <c r="U377" s="150" t="s">
        <v>1434</v>
      </c>
      <c r="V377" s="643"/>
      <c r="W377" s="659">
        <v>0</v>
      </c>
      <c r="X377" s="659">
        <v>0</v>
      </c>
      <c r="Y377" s="656"/>
      <c r="Z377" s="657"/>
      <c r="AA377" s="714">
        <v>579568</v>
      </c>
      <c r="AB377" s="428">
        <v>-598991</v>
      </c>
      <c r="AC377" s="428">
        <v>-317436</v>
      </c>
      <c r="AD377" s="428">
        <v>577046</v>
      </c>
      <c r="AE377" s="429">
        <v>-397395</v>
      </c>
      <c r="AF377" s="429">
        <v>179883.00000000012</v>
      </c>
      <c r="AG377" s="649"/>
      <c r="AH377" s="649"/>
      <c r="AI377" s="649"/>
      <c r="AJ377" s="649"/>
      <c r="AK377" s="649"/>
      <c r="AL377" s="649"/>
      <c r="AM377" s="649">
        <f t="shared" si="25"/>
        <v>22675.000000000116</v>
      </c>
      <c r="AN377" s="651">
        <f>ERP_27[[#This Row],[2026 Working Total]]-ERP_27[[#This Row],[LE2 Final Submission]]</f>
        <v>22675.000000000116</v>
      </c>
      <c r="AO377" s="652">
        <v>110000</v>
      </c>
      <c r="AP377" s="652">
        <f t="shared" si="24"/>
        <v>69883.000000000116</v>
      </c>
      <c r="AQ377" s="374">
        <f>SUM(ERP_27[[#This Row],[AP01]:[AP06]])-SUM(ERP_27[[#This Row],[AP01 LE2]:[AP06 LE2]])</f>
        <v>22675.000000000116</v>
      </c>
      <c r="AR377" s="653"/>
      <c r="AS377" s="652">
        <f>ERP_27[[#This Row],[2026 Working Total to Budget/LE]]-ERP_27[[#This Row],[Giveback]]</f>
        <v>22675.000000000116</v>
      </c>
      <c r="AT377" s="654"/>
      <c r="AU377" s="655">
        <v>579568</v>
      </c>
      <c r="AV377" s="655">
        <v>-598991</v>
      </c>
      <c r="AW377" s="655">
        <v>-317436</v>
      </c>
      <c r="AX377" s="655">
        <v>110000</v>
      </c>
      <c r="AY377" s="655">
        <v>110000</v>
      </c>
      <c r="AZ377" s="655">
        <v>116859</v>
      </c>
      <c r="BA377" s="655"/>
      <c r="BB377" s="655"/>
      <c r="BC377" s="655"/>
      <c r="BD377" s="655"/>
      <c r="BE377" s="655"/>
      <c r="BF377" s="655"/>
      <c r="BG377" s="655">
        <v>0</v>
      </c>
      <c r="BH377" s="652">
        <v>579568</v>
      </c>
      <c r="BI377" s="652">
        <v>-598991</v>
      </c>
      <c r="BJ377" s="652">
        <v>-317436</v>
      </c>
      <c r="BK377" s="652">
        <v>0</v>
      </c>
      <c r="BL377" s="652">
        <v>0</v>
      </c>
      <c r="BM377" s="652">
        <v>0</v>
      </c>
      <c r="BN377" s="652">
        <v>0</v>
      </c>
      <c r="BO377" s="652">
        <v>0</v>
      </c>
      <c r="BP377" s="652">
        <v>0</v>
      </c>
      <c r="BQ377" s="652">
        <v>0</v>
      </c>
      <c r="BR377" s="652">
        <v>0</v>
      </c>
      <c r="BS377" s="652">
        <v>0</v>
      </c>
      <c r="BT377" s="652">
        <v>-336859</v>
      </c>
    </row>
    <row r="378" spans="1:72" ht="15" hidden="1" customHeight="1">
      <c r="A378" s="66" t="s">
        <v>1940</v>
      </c>
      <c r="B378" s="66"/>
      <c r="C378" s="66" t="s">
        <v>584</v>
      </c>
      <c r="D378" s="66" t="s">
        <v>1941</v>
      </c>
      <c r="E378" s="150" t="s">
        <v>1136</v>
      </c>
      <c r="F378" s="482" t="s">
        <v>1566</v>
      </c>
      <c r="G378" s="482" t="s">
        <v>1566</v>
      </c>
      <c r="H378" s="482" t="s">
        <v>1566</v>
      </c>
      <c r="I378" s="150" t="s">
        <v>1345</v>
      </c>
      <c r="J378" s="150" t="s">
        <v>1346</v>
      </c>
      <c r="K378" s="150" t="s">
        <v>1346</v>
      </c>
      <c r="L378" s="511" t="s">
        <v>389</v>
      </c>
      <c r="M378" s="392" t="s">
        <v>1942</v>
      </c>
      <c r="N378" s="343"/>
      <c r="O378" s="343"/>
      <c r="P378" s="70" t="s">
        <v>585</v>
      </c>
      <c r="Q378" s="346"/>
      <c r="R378" s="346" t="s">
        <v>1140</v>
      </c>
      <c r="S378" s="346"/>
      <c r="T378" s="150" t="s">
        <v>57</v>
      </c>
      <c r="U378" s="150"/>
      <c r="V378" s="643"/>
      <c r="W378" s="659">
        <v>0</v>
      </c>
      <c r="X378" s="659">
        <v>31176.729999999992</v>
      </c>
      <c r="Y378" s="656"/>
      <c r="Z378" s="657"/>
      <c r="AA378" s="714"/>
      <c r="AB378" s="428"/>
      <c r="AC378" s="428">
        <v>5547.34</v>
      </c>
      <c r="AD378" s="428">
        <v>0</v>
      </c>
      <c r="AE378" s="429">
        <v>112.07</v>
      </c>
      <c r="AF378" s="429">
        <v>112.07</v>
      </c>
      <c r="AG378" s="649">
        <v>2847.71</v>
      </c>
      <c r="AH378" s="649">
        <v>2847.71</v>
      </c>
      <c r="AI378" s="649">
        <v>2847.71</v>
      </c>
      <c r="AJ378" s="649">
        <v>2847.71</v>
      </c>
      <c r="AK378" s="649">
        <v>2847.71</v>
      </c>
      <c r="AL378" s="649">
        <v>2847.71</v>
      </c>
      <c r="AM378" s="667">
        <f t="shared" si="25"/>
        <v>22857.739999999994</v>
      </c>
      <c r="AN378" s="651">
        <f>ERP_27[[#This Row],[2026 Working Total]]-ERP_27[[#This Row],[LE2 Final Submission]]</f>
        <v>-8318.989999999998</v>
      </c>
      <c r="AO378" s="652">
        <v>2847.71</v>
      </c>
      <c r="AP378" s="652">
        <f t="shared" si="24"/>
        <v>-2735.64</v>
      </c>
      <c r="AQ378" s="374">
        <f>SUM(ERP_27[[#This Row],[AP01]:[AP06]])-SUM(ERP_27[[#This Row],[AP01 LE2]:[AP06 LE2]])</f>
        <v>-8318.989999999998</v>
      </c>
      <c r="AR378" s="653"/>
      <c r="AS378" s="652">
        <f>ERP_27[[#This Row],[2026 Working Total to Budget/LE]]-ERP_27[[#This Row],[Giveback]]</f>
        <v>-8318.989999999998</v>
      </c>
      <c r="AT378" s="654"/>
      <c r="AU378" s="655"/>
      <c r="AV378" s="655"/>
      <c r="AW378" s="655">
        <v>5547.34</v>
      </c>
      <c r="AX378" s="655">
        <v>2847.71</v>
      </c>
      <c r="AY378" s="655">
        <v>2847.71</v>
      </c>
      <c r="AZ378" s="655">
        <v>2847.71</v>
      </c>
      <c r="BA378" s="655">
        <v>2847.71</v>
      </c>
      <c r="BB378" s="655">
        <v>2847.71</v>
      </c>
      <c r="BC378" s="655">
        <v>2847.71</v>
      </c>
      <c r="BD378" s="655">
        <v>2847.71</v>
      </c>
      <c r="BE378" s="655">
        <v>2847.71</v>
      </c>
      <c r="BF378" s="655">
        <v>2847.71</v>
      </c>
      <c r="BG378" s="655">
        <v>31176.729999999992</v>
      </c>
      <c r="BH378" s="652"/>
      <c r="BI378" s="652"/>
      <c r="BJ378" s="652">
        <v>5547.34</v>
      </c>
      <c r="BK378" s="652">
        <v>0</v>
      </c>
      <c r="BL378" s="652">
        <v>0</v>
      </c>
      <c r="BM378" s="652">
        <v>0</v>
      </c>
      <c r="BN378" s="652">
        <v>0</v>
      </c>
      <c r="BO378" s="652">
        <v>0</v>
      </c>
      <c r="BP378" s="652">
        <v>0</v>
      </c>
      <c r="BQ378" s="652">
        <v>0</v>
      </c>
      <c r="BR378" s="652">
        <v>0</v>
      </c>
      <c r="BS378" s="652">
        <v>0</v>
      </c>
      <c r="BT378" s="652">
        <v>5547.34</v>
      </c>
    </row>
    <row r="379" spans="1:72" ht="15" hidden="1" customHeight="1">
      <c r="A379" s="66" t="s">
        <v>1661</v>
      </c>
      <c r="B379" s="66"/>
      <c r="C379" s="66" t="s">
        <v>334</v>
      </c>
      <c r="D379" s="66" t="s">
        <v>1662</v>
      </c>
      <c r="E379" s="150" t="s">
        <v>1136</v>
      </c>
      <c r="F379" s="482" t="s">
        <v>1566</v>
      </c>
      <c r="G379" s="150" t="s">
        <v>1135</v>
      </c>
      <c r="H379" s="150" t="s">
        <v>1135</v>
      </c>
      <c r="I379" s="150" t="s">
        <v>1135</v>
      </c>
      <c r="J379" s="150" t="s">
        <v>1137</v>
      </c>
      <c r="K379" s="150" t="s">
        <v>1137</v>
      </c>
      <c r="L379" s="511" t="s">
        <v>333</v>
      </c>
      <c r="M379" s="392" t="s">
        <v>1663</v>
      </c>
      <c r="N379" s="343"/>
      <c r="O379" s="343"/>
      <c r="P379" s="70" t="s">
        <v>336</v>
      </c>
      <c r="Q379" s="346"/>
      <c r="R379" s="346" t="s">
        <v>1140</v>
      </c>
      <c r="S379" s="346"/>
      <c r="T379" s="150" t="s">
        <v>25</v>
      </c>
      <c r="U379" s="150" t="s">
        <v>1664</v>
      </c>
      <c r="V379" s="643"/>
      <c r="W379" s="659">
        <v>0</v>
      </c>
      <c r="X379" s="659">
        <v>22573.91</v>
      </c>
      <c r="Y379" s="656"/>
      <c r="Z379" s="657"/>
      <c r="AA379" s="714">
        <v>656</v>
      </c>
      <c r="AB379" s="428">
        <v>1537.91</v>
      </c>
      <c r="AC379" s="428">
        <v>2038</v>
      </c>
      <c r="AD379" s="428">
        <v>1762</v>
      </c>
      <c r="AE379" s="429">
        <v>2888.0000000000005</v>
      </c>
      <c r="AF379" s="429">
        <v>1761.9999999999998</v>
      </c>
      <c r="AG379" s="649">
        <v>2038</v>
      </c>
      <c r="AH379" s="649">
        <v>2038</v>
      </c>
      <c r="AI379" s="649">
        <v>2038</v>
      </c>
      <c r="AJ379" s="649">
        <v>2038</v>
      </c>
      <c r="AK379" s="649">
        <v>2038</v>
      </c>
      <c r="AL379" s="649">
        <v>2038</v>
      </c>
      <c r="AM379" s="649">
        <f t="shared" si="25"/>
        <v>22871.91</v>
      </c>
      <c r="AN379" s="651">
        <f>ERP_27[[#This Row],[2026 Working Total]]-ERP_27[[#This Row],[LE2 Final Submission]]</f>
        <v>298</v>
      </c>
      <c r="AO379" s="652">
        <v>2038</v>
      </c>
      <c r="AP379" s="652">
        <f t="shared" si="24"/>
        <v>-276.00000000000023</v>
      </c>
      <c r="AQ379" s="374">
        <f>SUM(ERP_27[[#This Row],[AP01]:[AP06]])-SUM(ERP_27[[#This Row],[AP01 LE2]:[AP06 LE2]])</f>
        <v>298</v>
      </c>
      <c r="AR379" s="653"/>
      <c r="AS379" s="652">
        <f>ERP_27[[#This Row],[2026 Working Total to Budget/LE]]-ERP_27[[#This Row],[Giveback]]</f>
        <v>298</v>
      </c>
      <c r="AT379" s="654"/>
      <c r="AU379" s="655">
        <v>656</v>
      </c>
      <c r="AV379" s="655">
        <v>1537.91</v>
      </c>
      <c r="AW379" s="655">
        <v>2038</v>
      </c>
      <c r="AX379" s="655">
        <v>2038</v>
      </c>
      <c r="AY379" s="655">
        <v>2038</v>
      </c>
      <c r="AZ379" s="655">
        <v>2038</v>
      </c>
      <c r="BA379" s="655">
        <v>2038</v>
      </c>
      <c r="BB379" s="655">
        <v>2038</v>
      </c>
      <c r="BC379" s="655">
        <v>2038</v>
      </c>
      <c r="BD379" s="655">
        <v>2038</v>
      </c>
      <c r="BE379" s="655">
        <v>2038</v>
      </c>
      <c r="BF379" s="655">
        <v>2038</v>
      </c>
      <c r="BG379" s="655">
        <v>22573.91</v>
      </c>
      <c r="BH379" s="652">
        <v>656</v>
      </c>
      <c r="BI379" s="652">
        <v>1537.91</v>
      </c>
      <c r="BJ379" s="652">
        <v>2038</v>
      </c>
      <c r="BK379" s="652">
        <v>0</v>
      </c>
      <c r="BL379" s="652">
        <v>0</v>
      </c>
      <c r="BM379" s="652">
        <v>0</v>
      </c>
      <c r="BN379" s="652">
        <v>0</v>
      </c>
      <c r="BO379" s="652">
        <v>0</v>
      </c>
      <c r="BP379" s="652">
        <v>0</v>
      </c>
      <c r="BQ379" s="652">
        <v>0</v>
      </c>
      <c r="BR379" s="652">
        <v>0</v>
      </c>
      <c r="BS379" s="652">
        <v>0</v>
      </c>
      <c r="BT379" s="652">
        <v>4231.91</v>
      </c>
    </row>
    <row r="380" spans="1:72" ht="15" hidden="1" customHeight="1">
      <c r="A380" s="66" t="s">
        <v>1973</v>
      </c>
      <c r="B380" s="66"/>
      <c r="C380" s="66" t="s">
        <v>501</v>
      </c>
      <c r="D380" s="66" t="s">
        <v>501</v>
      </c>
      <c r="E380" s="150" t="s">
        <v>1136</v>
      </c>
      <c r="F380" s="482" t="s">
        <v>1566</v>
      </c>
      <c r="G380" s="383" t="s">
        <v>1344</v>
      </c>
      <c r="H380" s="383" t="s">
        <v>1344</v>
      </c>
      <c r="I380" s="150" t="s">
        <v>1345</v>
      </c>
      <c r="J380" s="150" t="s">
        <v>1344</v>
      </c>
      <c r="K380" s="150" t="s">
        <v>1346</v>
      </c>
      <c r="L380" s="511" t="s">
        <v>389</v>
      </c>
      <c r="M380" s="392" t="s">
        <v>1402</v>
      </c>
      <c r="N380" s="343"/>
      <c r="O380" s="343"/>
      <c r="P380" s="70" t="s">
        <v>187</v>
      </c>
      <c r="Q380" s="346"/>
      <c r="R380" s="343"/>
      <c r="S380" s="346"/>
      <c r="T380" s="150" t="s">
        <v>188</v>
      </c>
      <c r="U380" s="150" t="s">
        <v>1403</v>
      </c>
      <c r="V380" s="643"/>
      <c r="W380" s="659">
        <v>0</v>
      </c>
      <c r="X380" s="659">
        <v>25200</v>
      </c>
      <c r="Y380" s="656"/>
      <c r="Z380" s="657"/>
      <c r="AA380" s="714"/>
      <c r="AB380" s="428"/>
      <c r="AC380" s="428">
        <v>6300</v>
      </c>
      <c r="AD380" s="428">
        <v>0</v>
      </c>
      <c r="AE380" s="429">
        <v>4200</v>
      </c>
      <c r="AF380" s="429">
        <v>0</v>
      </c>
      <c r="AG380" s="649">
        <v>2100</v>
      </c>
      <c r="AH380" s="649">
        <v>2100</v>
      </c>
      <c r="AI380" s="649">
        <v>2100</v>
      </c>
      <c r="AJ380" s="649">
        <v>2100</v>
      </c>
      <c r="AK380" s="649">
        <v>2100</v>
      </c>
      <c r="AL380" s="649">
        <v>2100</v>
      </c>
      <c r="AM380" s="649">
        <f t="shared" si="25"/>
        <v>23100</v>
      </c>
      <c r="AN380" s="651">
        <f>ERP_27[[#This Row],[2026 Working Total]]-ERP_27[[#This Row],[LE2 Final Submission]]</f>
        <v>-2100</v>
      </c>
      <c r="AO380" s="652">
        <v>2100</v>
      </c>
      <c r="AP380" s="652">
        <f t="shared" si="24"/>
        <v>-2100</v>
      </c>
      <c r="AQ380" s="374">
        <f>SUM(ERP_27[[#This Row],[AP01]:[AP06]])-SUM(ERP_27[[#This Row],[AP01 LE2]:[AP06 LE2]])</f>
        <v>-2100</v>
      </c>
      <c r="AR380" s="653"/>
      <c r="AS380" s="652">
        <f>ERP_27[[#This Row],[2026 Working Total to Budget/LE]]-ERP_27[[#This Row],[Giveback]]</f>
        <v>-2100</v>
      </c>
      <c r="AT380" s="654"/>
      <c r="AU380" s="655"/>
      <c r="AV380" s="655"/>
      <c r="AW380" s="655">
        <v>6300</v>
      </c>
      <c r="AX380" s="655">
        <v>2100</v>
      </c>
      <c r="AY380" s="655">
        <v>2100</v>
      </c>
      <c r="AZ380" s="655">
        <v>2100</v>
      </c>
      <c r="BA380" s="655">
        <v>2100</v>
      </c>
      <c r="BB380" s="655">
        <v>2100</v>
      </c>
      <c r="BC380" s="655">
        <v>2100</v>
      </c>
      <c r="BD380" s="655">
        <v>2100</v>
      </c>
      <c r="BE380" s="655">
        <v>2100</v>
      </c>
      <c r="BF380" s="655">
        <v>2100</v>
      </c>
      <c r="BG380" s="655">
        <v>25200</v>
      </c>
      <c r="BH380" s="652"/>
      <c r="BI380" s="652"/>
      <c r="BJ380" s="652">
        <v>6300</v>
      </c>
      <c r="BK380" s="652">
        <v>0</v>
      </c>
      <c r="BL380" s="652">
        <v>0</v>
      </c>
      <c r="BM380" s="652">
        <v>0</v>
      </c>
      <c r="BN380" s="652">
        <v>0</v>
      </c>
      <c r="BO380" s="652">
        <v>0</v>
      </c>
      <c r="BP380" s="652">
        <v>0</v>
      </c>
      <c r="BQ380" s="652">
        <v>0</v>
      </c>
      <c r="BR380" s="652">
        <v>0</v>
      </c>
      <c r="BS380" s="652">
        <v>0</v>
      </c>
      <c r="BT380" s="652">
        <v>6300</v>
      </c>
    </row>
    <row r="381" spans="1:72" ht="15" hidden="1" customHeight="1">
      <c r="A381" s="66" t="s">
        <v>2010</v>
      </c>
      <c r="B381" s="66"/>
      <c r="C381" s="66" t="s">
        <v>523</v>
      </c>
      <c r="D381" s="66" t="s">
        <v>523</v>
      </c>
      <c r="E381" s="150" t="s">
        <v>1136</v>
      </c>
      <c r="F381" s="482" t="s">
        <v>1566</v>
      </c>
      <c r="G381" s="150" t="s">
        <v>1345</v>
      </c>
      <c r="H381" s="150" t="s">
        <v>1345</v>
      </c>
      <c r="I381" s="150" t="s">
        <v>1345</v>
      </c>
      <c r="J381" s="150" t="s">
        <v>1345</v>
      </c>
      <c r="K381" s="150" t="s">
        <v>1346</v>
      </c>
      <c r="L381" s="511" t="s">
        <v>389</v>
      </c>
      <c r="M381" s="392" t="s">
        <v>1147</v>
      </c>
      <c r="N381" s="343"/>
      <c r="O381" s="343"/>
      <c r="P381" s="70" t="s">
        <v>53</v>
      </c>
      <c r="Q381" s="346" t="s">
        <v>1153</v>
      </c>
      <c r="R381" s="343"/>
      <c r="S381" s="346"/>
      <c r="T381" s="150" t="s">
        <v>25</v>
      </c>
      <c r="U381" s="150" t="s">
        <v>1434</v>
      </c>
      <c r="V381" s="643"/>
      <c r="W381" s="659">
        <v>0</v>
      </c>
      <c r="X381" s="659">
        <v>0</v>
      </c>
      <c r="Y381" s="656"/>
      <c r="Z381" s="657"/>
      <c r="AA381" s="714"/>
      <c r="AB381" s="428"/>
      <c r="AC381" s="428">
        <v>7840</v>
      </c>
      <c r="AD381" s="428">
        <v>4772</v>
      </c>
      <c r="AE381" s="429">
        <v>4772</v>
      </c>
      <c r="AF381" s="429">
        <v>5965.9999999999991</v>
      </c>
      <c r="AG381" s="649">
        <v>0</v>
      </c>
      <c r="AH381" s="649">
        <v>0</v>
      </c>
      <c r="AI381" s="649">
        <v>0</v>
      </c>
      <c r="AJ381" s="649">
        <v>0</v>
      </c>
      <c r="AK381" s="649">
        <v>0</v>
      </c>
      <c r="AL381" s="649">
        <v>0</v>
      </c>
      <c r="AM381" s="649">
        <f t="shared" si="25"/>
        <v>23350</v>
      </c>
      <c r="AN381" s="651">
        <f>ERP_27[[#This Row],[2026 Working Total]]-ERP_27[[#This Row],[LE2 Final Submission]]</f>
        <v>23350</v>
      </c>
      <c r="AO381" s="652">
        <v>-2500</v>
      </c>
      <c r="AP381" s="652">
        <f t="shared" si="24"/>
        <v>8466</v>
      </c>
      <c r="AQ381" s="374">
        <f>SUM(ERP_27[[#This Row],[AP01]:[AP06]])-SUM(ERP_27[[#This Row],[AP01 LE2]:[AP06 LE2]])</f>
        <v>23350</v>
      </c>
      <c r="AR381" s="653"/>
      <c r="AS381" s="652">
        <f>ERP_27[[#This Row],[2026 Working Total to Budget/LE]]-ERP_27[[#This Row],[Giveback]]</f>
        <v>23350</v>
      </c>
      <c r="AT381" s="654"/>
      <c r="AU381" s="655"/>
      <c r="AV381" s="655"/>
      <c r="AW381" s="655">
        <v>7840</v>
      </c>
      <c r="AX381" s="655">
        <v>-2500</v>
      </c>
      <c r="AY381" s="655">
        <v>-2500</v>
      </c>
      <c r="AZ381" s="655">
        <v>-2840</v>
      </c>
      <c r="BA381" s="655">
        <v>0</v>
      </c>
      <c r="BB381" s="655">
        <v>0</v>
      </c>
      <c r="BC381" s="655">
        <v>0</v>
      </c>
      <c r="BD381" s="655">
        <v>0</v>
      </c>
      <c r="BE381" s="655">
        <v>0</v>
      </c>
      <c r="BF381" s="655">
        <v>0</v>
      </c>
      <c r="BG381" s="655">
        <v>0</v>
      </c>
      <c r="BH381" s="652"/>
      <c r="BI381" s="652"/>
      <c r="BJ381" s="652">
        <v>7840</v>
      </c>
      <c r="BK381" s="652">
        <v>0</v>
      </c>
      <c r="BL381" s="652">
        <v>0</v>
      </c>
      <c r="BM381" s="652">
        <v>0</v>
      </c>
      <c r="BN381" s="652">
        <v>0</v>
      </c>
      <c r="BO381" s="652">
        <v>0</v>
      </c>
      <c r="BP381" s="652">
        <v>0</v>
      </c>
      <c r="BQ381" s="652">
        <v>0</v>
      </c>
      <c r="BR381" s="652">
        <v>0</v>
      </c>
      <c r="BS381" s="652">
        <v>0</v>
      </c>
      <c r="BT381" s="652">
        <v>7840</v>
      </c>
    </row>
    <row r="382" spans="1:72" ht="15" hidden="1" customHeight="1">
      <c r="A382" s="66" t="s">
        <v>1861</v>
      </c>
      <c r="B382" s="66"/>
      <c r="C382" s="66" t="s">
        <v>450</v>
      </c>
      <c r="D382" s="66" t="s">
        <v>1862</v>
      </c>
      <c r="E382" s="150" t="s">
        <v>1136</v>
      </c>
      <c r="F382" s="482" t="s">
        <v>1566</v>
      </c>
      <c r="G382" s="150" t="s">
        <v>1135</v>
      </c>
      <c r="H382" s="150" t="s">
        <v>1165</v>
      </c>
      <c r="I382" s="150" t="s">
        <v>1135</v>
      </c>
      <c r="J382" s="150" t="s">
        <v>1165</v>
      </c>
      <c r="K382" s="150" t="s">
        <v>1137</v>
      </c>
      <c r="L382" s="511" t="s">
        <v>389</v>
      </c>
      <c r="M382" s="392" t="s">
        <v>1863</v>
      </c>
      <c r="N382" s="343"/>
      <c r="O382" s="343"/>
      <c r="P382" s="70" t="s">
        <v>451</v>
      </c>
      <c r="Q382" s="346"/>
      <c r="R382" s="346" t="s">
        <v>1140</v>
      </c>
      <c r="S382" s="346"/>
      <c r="T382" s="150" t="s">
        <v>57</v>
      </c>
      <c r="U382" s="150"/>
      <c r="V382" s="643"/>
      <c r="W382" s="659">
        <v>26558.000004000005</v>
      </c>
      <c r="X382" s="659">
        <v>24873.730003000001</v>
      </c>
      <c r="Y382" s="656"/>
      <c r="Z382" s="657"/>
      <c r="AA382" s="714">
        <v>1680.68</v>
      </c>
      <c r="AB382" s="428">
        <v>1679.61</v>
      </c>
      <c r="AC382" s="428">
        <v>1594.94</v>
      </c>
      <c r="AD382" s="428">
        <v>1713.8500000000004</v>
      </c>
      <c r="AE382" s="429">
        <v>1788.77</v>
      </c>
      <c r="AF382" s="429">
        <v>1781.77</v>
      </c>
      <c r="AG382" s="649">
        <v>2213.166667</v>
      </c>
      <c r="AH382" s="649">
        <v>2213.166667</v>
      </c>
      <c r="AI382" s="649">
        <v>2213.166667</v>
      </c>
      <c r="AJ382" s="649">
        <v>2213.166667</v>
      </c>
      <c r="AK382" s="649">
        <v>2213.166667</v>
      </c>
      <c r="AL382" s="649">
        <v>2213.166667</v>
      </c>
      <c r="AM382" s="649">
        <f t="shared" si="25"/>
        <v>23518.620002000003</v>
      </c>
      <c r="AN382" s="651">
        <f>ERP_27[[#This Row],[2026 Working Total]]-ERP_27[[#This Row],[LE2 Final Submission]]</f>
        <v>-1355.1100009999973</v>
      </c>
      <c r="AO382" s="652">
        <v>2213.166667</v>
      </c>
      <c r="AP382" s="652">
        <f t="shared" si="24"/>
        <v>-431.39666699999998</v>
      </c>
      <c r="AQ382" s="374">
        <f>SUM(ERP_27[[#This Row],[AP01]:[AP06]])-SUM(ERP_27[[#This Row],[AP01 LE2]:[AP06 LE2]])</f>
        <v>-1355.1100009999973</v>
      </c>
      <c r="AR382" s="653"/>
      <c r="AS382" s="652">
        <f>ERP_27[[#This Row],[2026 Working Total to Budget/LE]]-ERP_27[[#This Row],[Giveback]]</f>
        <v>-1355.1100009999973</v>
      </c>
      <c r="AT382" s="654"/>
      <c r="AU382" s="655">
        <v>1680.68</v>
      </c>
      <c r="AV382" s="655">
        <v>1679.61</v>
      </c>
      <c r="AW382" s="655">
        <v>1594.94</v>
      </c>
      <c r="AX382" s="655">
        <v>2213.166667</v>
      </c>
      <c r="AY382" s="655">
        <v>2213.166667</v>
      </c>
      <c r="AZ382" s="655">
        <v>2213.166667</v>
      </c>
      <c r="BA382" s="655">
        <v>2213.166667</v>
      </c>
      <c r="BB382" s="655">
        <v>2213.166667</v>
      </c>
      <c r="BC382" s="655">
        <v>2213.166667</v>
      </c>
      <c r="BD382" s="655">
        <v>2213.166667</v>
      </c>
      <c r="BE382" s="655">
        <v>2213.166667</v>
      </c>
      <c r="BF382" s="655">
        <v>2213.166667</v>
      </c>
      <c r="BG382" s="655">
        <v>24873.730003000001</v>
      </c>
      <c r="BH382" s="652">
        <v>1680.68</v>
      </c>
      <c r="BI382" s="652">
        <v>1679.61</v>
      </c>
      <c r="BJ382" s="652">
        <v>1594.94</v>
      </c>
      <c r="BK382" s="652">
        <v>2213.166667</v>
      </c>
      <c r="BL382" s="652">
        <v>2213.166667</v>
      </c>
      <c r="BM382" s="652">
        <v>2213.166667</v>
      </c>
      <c r="BN382" s="652">
        <v>2213.166667</v>
      </c>
      <c r="BO382" s="652">
        <v>2213.166667</v>
      </c>
      <c r="BP382" s="652">
        <v>2213.166667</v>
      </c>
      <c r="BQ382" s="652">
        <v>2213.166667</v>
      </c>
      <c r="BR382" s="652">
        <v>2213.166667</v>
      </c>
      <c r="BS382" s="652">
        <v>2213.166667</v>
      </c>
      <c r="BT382" s="652">
        <v>24873.730003000001</v>
      </c>
    </row>
    <row r="383" spans="1:72" ht="15" hidden="1" customHeight="1">
      <c r="A383" s="66" t="s">
        <v>1314</v>
      </c>
      <c r="B383" s="66"/>
      <c r="C383" s="66" t="s">
        <v>142</v>
      </c>
      <c r="D383" s="66" t="s">
        <v>1315</v>
      </c>
      <c r="E383" s="150" t="s">
        <v>1136</v>
      </c>
      <c r="F383" s="482" t="s">
        <v>1566</v>
      </c>
      <c r="G383" s="150" t="s">
        <v>1135</v>
      </c>
      <c r="H383" s="150" t="s">
        <v>1145</v>
      </c>
      <c r="I383" s="150" t="s">
        <v>1135</v>
      </c>
      <c r="J383" s="150" t="s">
        <v>1145</v>
      </c>
      <c r="K383" s="150" t="s">
        <v>1137</v>
      </c>
      <c r="L383" s="511" t="s">
        <v>49</v>
      </c>
      <c r="M383" s="392" t="s">
        <v>1316</v>
      </c>
      <c r="N383" s="343"/>
      <c r="O383" s="346" t="s">
        <v>1186</v>
      </c>
      <c r="P383" s="70" t="s">
        <v>143</v>
      </c>
      <c r="Q383" s="346"/>
      <c r="R383" s="346" t="s">
        <v>1317</v>
      </c>
      <c r="S383" s="346"/>
      <c r="T383" s="150" t="s">
        <v>25</v>
      </c>
      <c r="U383" s="150"/>
      <c r="V383" s="643"/>
      <c r="W383" s="659">
        <v>23000</v>
      </c>
      <c r="X383" s="659">
        <v>21621.640000000003</v>
      </c>
      <c r="Y383" s="656"/>
      <c r="Z383" s="657"/>
      <c r="AA383" s="714">
        <v>1355</v>
      </c>
      <c r="AB383" s="428">
        <v>1517.05</v>
      </c>
      <c r="AC383" s="428">
        <v>1896.64</v>
      </c>
      <c r="AD383" s="428">
        <v>4517.2999999999993</v>
      </c>
      <c r="AE383" s="429">
        <v>-462.13999999999965</v>
      </c>
      <c r="AF383" s="429">
        <v>1896.6400000000003</v>
      </c>
      <c r="AG383" s="649">
        <v>0</v>
      </c>
      <c r="AH383" s="649">
        <v>0</v>
      </c>
      <c r="AI383" s="649"/>
      <c r="AJ383" s="649">
        <v>9000</v>
      </c>
      <c r="AK383" s="649">
        <v>3852.95</v>
      </c>
      <c r="AL383" s="649">
        <v>0</v>
      </c>
      <c r="AM383" s="649">
        <f t="shared" si="25"/>
        <v>23573.440000000002</v>
      </c>
      <c r="AN383" s="651">
        <f>ERP_27[[#This Row],[2026 Working Total]]-ERP_27[[#This Row],[LE2 Final Submission]]</f>
        <v>1951.7999999999993</v>
      </c>
      <c r="AO383" s="652">
        <v>0</v>
      </c>
      <c r="AP383" s="652">
        <f t="shared" si="24"/>
        <v>1896.6400000000003</v>
      </c>
      <c r="AQ383" s="374">
        <f>SUM(ERP_27[[#This Row],[AP01]:[AP06]])-SUM(ERP_27[[#This Row],[AP01 LE2]:[AP06 LE2]])</f>
        <v>-7048.2000000000007</v>
      </c>
      <c r="AR383" s="653"/>
      <c r="AS383" s="652">
        <f>ERP_27[[#This Row],[2026 Working Total to Budget/LE]]-ERP_27[[#This Row],[Giveback]]</f>
        <v>1951.7999999999993</v>
      </c>
      <c r="AT383" s="654"/>
      <c r="AU383" s="655">
        <v>1355</v>
      </c>
      <c r="AV383" s="655">
        <v>1517.05</v>
      </c>
      <c r="AW383" s="655">
        <v>1896.64</v>
      </c>
      <c r="AX383" s="655">
        <v>0</v>
      </c>
      <c r="AY383" s="655">
        <v>0</v>
      </c>
      <c r="AZ383" s="655">
        <v>13000</v>
      </c>
      <c r="BA383" s="655">
        <v>0</v>
      </c>
      <c r="BB383" s="655">
        <v>0</v>
      </c>
      <c r="BC383" s="655">
        <v>3852.95</v>
      </c>
      <c r="BD383" s="655">
        <v>0</v>
      </c>
      <c r="BE383" s="655">
        <v>0</v>
      </c>
      <c r="BF383" s="655">
        <v>0</v>
      </c>
      <c r="BG383" s="655">
        <v>21621.640000000003</v>
      </c>
      <c r="BH383" s="652">
        <v>1355</v>
      </c>
      <c r="BI383" s="652">
        <v>1517.05</v>
      </c>
      <c r="BJ383" s="652">
        <v>1896.64</v>
      </c>
      <c r="BK383" s="652">
        <v>0</v>
      </c>
      <c r="BL383" s="652">
        <v>0</v>
      </c>
      <c r="BM383" s="652">
        <v>13000</v>
      </c>
      <c r="BN383" s="652">
        <v>0</v>
      </c>
      <c r="BO383" s="652">
        <v>0</v>
      </c>
      <c r="BP383" s="652">
        <v>3852.95</v>
      </c>
      <c r="BQ383" s="652">
        <v>0</v>
      </c>
      <c r="BR383" s="652">
        <v>0</v>
      </c>
      <c r="BS383" s="652">
        <v>0</v>
      </c>
      <c r="BT383" s="652">
        <v>21621.640000000003</v>
      </c>
    </row>
    <row r="384" spans="1:72" ht="15" hidden="1" customHeight="1">
      <c r="A384" s="66" t="s">
        <v>2751</v>
      </c>
      <c r="B384" s="66"/>
      <c r="C384" s="66" t="s">
        <v>986</v>
      </c>
      <c r="D384" s="66" t="s">
        <v>986</v>
      </c>
      <c r="E384" s="150" t="s">
        <v>1136</v>
      </c>
      <c r="F384" s="482" t="s">
        <v>1566</v>
      </c>
      <c r="G384" s="150" t="s">
        <v>1515</v>
      </c>
      <c r="H384" s="383" t="s">
        <v>1515</v>
      </c>
      <c r="I384" s="150" t="s">
        <v>1345</v>
      </c>
      <c r="J384" s="150" t="s">
        <v>1515</v>
      </c>
      <c r="K384" s="150" t="s">
        <v>1346</v>
      </c>
      <c r="L384" s="511" t="s">
        <v>639</v>
      </c>
      <c r="M384" s="392" t="s">
        <v>818</v>
      </c>
      <c r="N384" s="343"/>
      <c r="O384" s="343"/>
      <c r="P384" s="70" t="s">
        <v>817</v>
      </c>
      <c r="Q384" s="346"/>
      <c r="R384" s="346" t="s">
        <v>1140</v>
      </c>
      <c r="S384" s="346"/>
      <c r="T384" s="150" t="s">
        <v>818</v>
      </c>
      <c r="U384" s="150"/>
      <c r="V384" s="643"/>
      <c r="W384" s="659">
        <v>8000</v>
      </c>
      <c r="X384" s="659">
        <v>17389.7</v>
      </c>
      <c r="Y384" s="656"/>
      <c r="Z384" s="657"/>
      <c r="AA384" s="714"/>
      <c r="AB384" s="428"/>
      <c r="AC384" s="428">
        <v>11389.7</v>
      </c>
      <c r="AD384" s="428">
        <v>0</v>
      </c>
      <c r="AE384" s="429">
        <v>0</v>
      </c>
      <c r="AF384" s="429">
        <v>8531.9</v>
      </c>
      <c r="AG384" s="649">
        <v>0</v>
      </c>
      <c r="AH384" s="649">
        <v>0</v>
      </c>
      <c r="AI384" s="649">
        <v>2000</v>
      </c>
      <c r="AJ384" s="649">
        <v>0</v>
      </c>
      <c r="AK384" s="649">
        <v>2000</v>
      </c>
      <c r="AL384" s="649">
        <v>0</v>
      </c>
      <c r="AM384" s="649">
        <f t="shared" si="25"/>
        <v>23921.599999999999</v>
      </c>
      <c r="AN384" s="651">
        <f>ERP_27[[#This Row],[2026 Working Total]]-ERP_27[[#This Row],[LE2 Final Submission]]</f>
        <v>6531.8999999999978</v>
      </c>
      <c r="AO384" s="652">
        <v>0</v>
      </c>
      <c r="AP384" s="652">
        <f t="shared" si="24"/>
        <v>8531.9</v>
      </c>
      <c r="AQ384" s="374">
        <f>SUM(ERP_27[[#This Row],[AP01]:[AP06]])-SUM(ERP_27[[#This Row],[AP01 LE2]:[AP06 LE2]])</f>
        <v>6531.8999999999978</v>
      </c>
      <c r="AR384" s="653"/>
      <c r="AS384" s="652">
        <f>ERP_27[[#This Row],[2026 Working Total to Budget/LE]]-ERP_27[[#This Row],[Giveback]]</f>
        <v>6531.8999999999978</v>
      </c>
      <c r="AT384" s="654"/>
      <c r="AU384" s="655"/>
      <c r="AV384" s="655"/>
      <c r="AW384" s="655">
        <v>11389.7</v>
      </c>
      <c r="AX384" s="655">
        <v>0</v>
      </c>
      <c r="AY384" s="655">
        <v>0</v>
      </c>
      <c r="AZ384" s="655">
        <v>2000</v>
      </c>
      <c r="BA384" s="655">
        <v>0</v>
      </c>
      <c r="BB384" s="655">
        <v>0</v>
      </c>
      <c r="BC384" s="655">
        <v>2000</v>
      </c>
      <c r="BD384" s="655">
        <v>0</v>
      </c>
      <c r="BE384" s="655">
        <v>2000</v>
      </c>
      <c r="BF384" s="655">
        <v>0</v>
      </c>
      <c r="BG384" s="655">
        <v>17389.7</v>
      </c>
      <c r="BH384" s="652"/>
      <c r="BI384" s="652"/>
      <c r="BJ384" s="652">
        <v>11389.7</v>
      </c>
      <c r="BK384" s="652">
        <v>0</v>
      </c>
      <c r="BL384" s="652">
        <v>0</v>
      </c>
      <c r="BM384" s="652">
        <v>2000</v>
      </c>
      <c r="BN384" s="652">
        <v>0</v>
      </c>
      <c r="BO384" s="652">
        <v>0</v>
      </c>
      <c r="BP384" s="652">
        <v>2000</v>
      </c>
      <c r="BQ384" s="652">
        <v>0</v>
      </c>
      <c r="BR384" s="652">
        <v>2000</v>
      </c>
      <c r="BS384" s="652">
        <v>0</v>
      </c>
      <c r="BT384" s="652">
        <v>17389.7</v>
      </c>
    </row>
    <row r="385" spans="1:72" ht="15" hidden="1" customHeight="1">
      <c r="A385" s="66" t="s">
        <v>2555</v>
      </c>
      <c r="B385" s="66"/>
      <c r="C385" s="66" t="s">
        <v>870</v>
      </c>
      <c r="D385" s="66" t="s">
        <v>870</v>
      </c>
      <c r="E385" s="150" t="s">
        <v>1136</v>
      </c>
      <c r="F385" s="482" t="s">
        <v>1566</v>
      </c>
      <c r="G385" s="150" t="s">
        <v>1135</v>
      </c>
      <c r="H385" s="150" t="s">
        <v>1135</v>
      </c>
      <c r="I385" s="150" t="s">
        <v>1135</v>
      </c>
      <c r="J385" s="150" t="s">
        <v>1135</v>
      </c>
      <c r="K385" s="150" t="s">
        <v>1137</v>
      </c>
      <c r="L385" s="511" t="s">
        <v>639</v>
      </c>
      <c r="M385" s="392" t="s">
        <v>2556</v>
      </c>
      <c r="N385" s="343"/>
      <c r="O385" s="343"/>
      <c r="P385" s="70" t="s">
        <v>871</v>
      </c>
      <c r="Q385" s="346"/>
      <c r="R385" s="343"/>
      <c r="S385" s="346"/>
      <c r="T385" s="150" t="s">
        <v>25</v>
      </c>
      <c r="U385" s="150"/>
      <c r="V385" s="643"/>
      <c r="W385" s="659">
        <v>24500</v>
      </c>
      <c r="X385" s="659">
        <v>24500</v>
      </c>
      <c r="Y385" s="656"/>
      <c r="Z385" s="657"/>
      <c r="AA385" s="714"/>
      <c r="AB385" s="428"/>
      <c r="AC385" s="428"/>
      <c r="AD385" s="428" t="s">
        <v>1142</v>
      </c>
      <c r="AE385" s="429">
        <v>0</v>
      </c>
      <c r="AF385" s="429">
        <v>0</v>
      </c>
      <c r="AG385" s="649"/>
      <c r="AH385" s="649"/>
      <c r="AI385" s="649">
        <v>24500</v>
      </c>
      <c r="AJ385" s="649">
        <v>0</v>
      </c>
      <c r="AK385" s="649">
        <v>0</v>
      </c>
      <c r="AL385" s="649">
        <v>0</v>
      </c>
      <c r="AM385" s="649">
        <f t="shared" si="25"/>
        <v>24500</v>
      </c>
      <c r="AN385" s="651">
        <f>ERP_27[[#This Row],[2026 Working Total]]-ERP_27[[#This Row],[LE2 Final Submission]]</f>
        <v>0</v>
      </c>
      <c r="AO385" s="652"/>
      <c r="AP385" s="652">
        <f t="shared" si="24"/>
        <v>0</v>
      </c>
      <c r="AQ385" s="374">
        <f>SUM(ERP_27[[#This Row],[AP01]:[AP06]])-SUM(ERP_27[[#This Row],[AP01 LE2]:[AP06 LE2]])</f>
        <v>0</v>
      </c>
      <c r="AR385" s="653"/>
      <c r="AS385" s="652">
        <f>ERP_27[[#This Row],[2026 Working Total to Budget/LE]]-ERP_27[[#This Row],[Giveback]]</f>
        <v>0</v>
      </c>
      <c r="AT385" s="654"/>
      <c r="AU385" s="655"/>
      <c r="AV385" s="655"/>
      <c r="AW385" s="655"/>
      <c r="AX385" s="655"/>
      <c r="AY385" s="655"/>
      <c r="AZ385" s="655"/>
      <c r="BA385" s="655"/>
      <c r="BB385" s="655"/>
      <c r="BC385" s="655">
        <v>24500</v>
      </c>
      <c r="BD385" s="655">
        <v>0</v>
      </c>
      <c r="BE385" s="655">
        <v>0</v>
      </c>
      <c r="BF385" s="655">
        <v>0</v>
      </c>
      <c r="BG385" s="655">
        <v>24500</v>
      </c>
      <c r="BH385" s="652"/>
      <c r="BI385" s="652"/>
      <c r="BJ385" s="652"/>
      <c r="BK385" s="652"/>
      <c r="BL385" s="652"/>
      <c r="BM385" s="652"/>
      <c r="BN385" s="652"/>
      <c r="BO385" s="652"/>
      <c r="BP385" s="652">
        <v>24500</v>
      </c>
      <c r="BQ385" s="652">
        <v>0</v>
      </c>
      <c r="BR385" s="652">
        <v>0</v>
      </c>
      <c r="BS385" s="652">
        <v>0</v>
      </c>
      <c r="BT385" s="652">
        <v>24500</v>
      </c>
    </row>
    <row r="386" spans="1:72" ht="15" hidden="1" customHeight="1">
      <c r="A386" s="66" t="s">
        <v>1396</v>
      </c>
      <c r="B386" s="66"/>
      <c r="C386" s="66" t="s">
        <v>182</v>
      </c>
      <c r="D386" s="66" t="s">
        <v>182</v>
      </c>
      <c r="E386" s="150" t="s">
        <v>1136</v>
      </c>
      <c r="F386" s="482" t="s">
        <v>1566</v>
      </c>
      <c r="G386" s="383" t="s">
        <v>1344</v>
      </c>
      <c r="H386" s="383" t="s">
        <v>1344</v>
      </c>
      <c r="I386" s="150" t="s">
        <v>1345</v>
      </c>
      <c r="J386" s="150" t="s">
        <v>1344</v>
      </c>
      <c r="K386" s="150" t="s">
        <v>1346</v>
      </c>
      <c r="L386" s="511" t="s">
        <v>49</v>
      </c>
      <c r="M386" s="392" t="s">
        <v>1397</v>
      </c>
      <c r="N386" s="343"/>
      <c r="O386" s="343"/>
      <c r="P386" s="70" t="s">
        <v>183</v>
      </c>
      <c r="Q386" s="346"/>
      <c r="R386" s="343"/>
      <c r="S386" s="346"/>
      <c r="T386" s="150" t="s">
        <v>119</v>
      </c>
      <c r="U386" s="150"/>
      <c r="V386" s="643"/>
      <c r="W386" s="659">
        <v>25000</v>
      </c>
      <c r="X386" s="659">
        <v>25000</v>
      </c>
      <c r="Y386" s="656"/>
      <c r="Z386" s="657"/>
      <c r="AA386" s="714"/>
      <c r="AB386" s="428"/>
      <c r="AC386" s="428"/>
      <c r="AD386" s="428" t="s">
        <v>1142</v>
      </c>
      <c r="AE386" s="429">
        <v>0</v>
      </c>
      <c r="AF386" s="429">
        <v>0</v>
      </c>
      <c r="AG386" s="649"/>
      <c r="AH386" s="649">
        <v>25000</v>
      </c>
      <c r="AI386" s="649">
        <v>0</v>
      </c>
      <c r="AJ386" s="649">
        <v>0</v>
      </c>
      <c r="AK386" s="649">
        <v>0</v>
      </c>
      <c r="AL386" s="649">
        <v>0</v>
      </c>
      <c r="AM386" s="649">
        <f t="shared" si="25"/>
        <v>25000</v>
      </c>
      <c r="AN386" s="651">
        <f>ERP_27[[#This Row],[2026 Working Total]]-ERP_27[[#This Row],[LE2 Final Submission]]</f>
        <v>0</v>
      </c>
      <c r="AO386" s="652"/>
      <c r="AP386" s="652">
        <f t="shared" si="24"/>
        <v>0</v>
      </c>
      <c r="AQ386" s="374">
        <f>SUM(ERP_27[[#This Row],[AP01]:[AP06]])-SUM(ERP_27[[#This Row],[AP01 LE2]:[AP06 LE2]])</f>
        <v>0</v>
      </c>
      <c r="AR386" s="653"/>
      <c r="AS386" s="652">
        <f>ERP_27[[#This Row],[2026 Working Total to Budget/LE]]-ERP_27[[#This Row],[Giveback]]</f>
        <v>0</v>
      </c>
      <c r="AT386" s="654"/>
      <c r="AU386" s="655"/>
      <c r="AV386" s="655"/>
      <c r="AW386" s="655"/>
      <c r="AX386" s="655"/>
      <c r="AY386" s="655"/>
      <c r="AZ386" s="655"/>
      <c r="BA386" s="655"/>
      <c r="BB386" s="655">
        <v>25000</v>
      </c>
      <c r="BC386" s="655">
        <v>0</v>
      </c>
      <c r="BD386" s="655">
        <v>0</v>
      </c>
      <c r="BE386" s="655">
        <v>0</v>
      </c>
      <c r="BF386" s="655">
        <v>0</v>
      </c>
      <c r="BG386" s="655">
        <v>25000</v>
      </c>
      <c r="BH386" s="652"/>
      <c r="BI386" s="652"/>
      <c r="BJ386" s="652"/>
      <c r="BK386" s="652"/>
      <c r="BL386" s="652"/>
      <c r="BM386" s="652"/>
      <c r="BN386" s="652"/>
      <c r="BO386" s="652">
        <v>25000</v>
      </c>
      <c r="BP386" s="652">
        <v>0</v>
      </c>
      <c r="BQ386" s="652">
        <v>0</v>
      </c>
      <c r="BR386" s="652">
        <v>0</v>
      </c>
      <c r="BS386" s="652">
        <v>0</v>
      </c>
      <c r="BT386" s="652">
        <v>25000</v>
      </c>
    </row>
    <row r="387" spans="1:72" ht="15" hidden="1" customHeight="1">
      <c r="A387" s="66" t="s">
        <v>2621</v>
      </c>
      <c r="B387" s="66"/>
      <c r="C387" s="66" t="s">
        <v>913</v>
      </c>
      <c r="D387" s="66" t="s">
        <v>913</v>
      </c>
      <c r="E387" s="150" t="s">
        <v>1136</v>
      </c>
      <c r="F387" s="482" t="s">
        <v>1566</v>
      </c>
      <c r="G387" s="383" t="s">
        <v>1344</v>
      </c>
      <c r="H387" s="383" t="s">
        <v>1344</v>
      </c>
      <c r="I387" s="150" t="s">
        <v>1345</v>
      </c>
      <c r="J387" s="150" t="s">
        <v>1344</v>
      </c>
      <c r="K387" s="150" t="s">
        <v>1346</v>
      </c>
      <c r="L387" s="511" t="s">
        <v>639</v>
      </c>
      <c r="M387" s="392" t="s">
        <v>2622</v>
      </c>
      <c r="N387" s="343"/>
      <c r="O387" s="343"/>
      <c r="P387" s="70" t="s">
        <v>914</v>
      </c>
      <c r="Q387" s="346"/>
      <c r="R387" s="343"/>
      <c r="S387" s="346"/>
      <c r="T387" s="150" t="s">
        <v>119</v>
      </c>
      <c r="U387" s="150"/>
      <c r="V387" s="643"/>
      <c r="W387" s="659">
        <v>25000</v>
      </c>
      <c r="X387" s="659">
        <v>25000</v>
      </c>
      <c r="Y387" s="656"/>
      <c r="Z387" s="657"/>
      <c r="AA387" s="714"/>
      <c r="AB387" s="428"/>
      <c r="AC387" s="428"/>
      <c r="AD387" s="428" t="s">
        <v>1142</v>
      </c>
      <c r="AE387" s="429">
        <v>0</v>
      </c>
      <c r="AF387" s="429">
        <v>0</v>
      </c>
      <c r="AG387" s="649"/>
      <c r="AH387" s="649">
        <v>25000</v>
      </c>
      <c r="AI387" s="649">
        <v>0</v>
      </c>
      <c r="AJ387" s="649">
        <v>0</v>
      </c>
      <c r="AK387" s="649">
        <v>0</v>
      </c>
      <c r="AL387" s="649">
        <v>0</v>
      </c>
      <c r="AM387" s="649">
        <f t="shared" si="25"/>
        <v>25000</v>
      </c>
      <c r="AN387" s="651">
        <f>ERP_27[[#This Row],[2026 Working Total]]-ERP_27[[#This Row],[LE2 Final Submission]]</f>
        <v>0</v>
      </c>
      <c r="AO387" s="652"/>
      <c r="AP387" s="652">
        <f t="shared" si="24"/>
        <v>0</v>
      </c>
      <c r="AQ387" s="374">
        <f>SUM(ERP_27[[#This Row],[AP01]:[AP06]])-SUM(ERP_27[[#This Row],[AP01 LE2]:[AP06 LE2]])</f>
        <v>0</v>
      </c>
      <c r="AR387" s="653"/>
      <c r="AS387" s="652">
        <f>ERP_27[[#This Row],[2026 Working Total to Budget/LE]]-ERP_27[[#This Row],[Giveback]]</f>
        <v>0</v>
      </c>
      <c r="AT387" s="654"/>
      <c r="AU387" s="655"/>
      <c r="AV387" s="655"/>
      <c r="AW387" s="655"/>
      <c r="AX387" s="655"/>
      <c r="AY387" s="655"/>
      <c r="AZ387" s="655"/>
      <c r="BA387" s="655"/>
      <c r="BB387" s="655">
        <v>25000</v>
      </c>
      <c r="BC387" s="655">
        <v>0</v>
      </c>
      <c r="BD387" s="655">
        <v>0</v>
      </c>
      <c r="BE387" s="655">
        <v>0</v>
      </c>
      <c r="BF387" s="655">
        <v>0</v>
      </c>
      <c r="BG387" s="655">
        <v>25000</v>
      </c>
      <c r="BH387" s="652"/>
      <c r="BI387" s="652"/>
      <c r="BJ387" s="652"/>
      <c r="BK387" s="652"/>
      <c r="BL387" s="652"/>
      <c r="BM387" s="652"/>
      <c r="BN387" s="652"/>
      <c r="BO387" s="652">
        <v>25000</v>
      </c>
      <c r="BP387" s="652">
        <v>0</v>
      </c>
      <c r="BQ387" s="652">
        <v>0</v>
      </c>
      <c r="BR387" s="652">
        <v>0</v>
      </c>
      <c r="BS387" s="652">
        <v>0</v>
      </c>
      <c r="BT387" s="652">
        <v>25000</v>
      </c>
    </row>
    <row r="388" spans="1:72" ht="15" hidden="1" customHeight="1">
      <c r="A388" s="66" t="s">
        <v>1557</v>
      </c>
      <c r="B388" s="66"/>
      <c r="C388" s="66" t="s">
        <v>264</v>
      </c>
      <c r="D388" s="66" t="s">
        <v>264</v>
      </c>
      <c r="E388" s="150" t="s">
        <v>1136</v>
      </c>
      <c r="F388" s="482" t="s">
        <v>1566</v>
      </c>
      <c r="G388" s="150" t="s">
        <v>1515</v>
      </c>
      <c r="H388" s="383" t="s">
        <v>1515</v>
      </c>
      <c r="I388" s="150" t="s">
        <v>1345</v>
      </c>
      <c r="J388" s="150" t="s">
        <v>1515</v>
      </c>
      <c r="K388" s="150" t="s">
        <v>1346</v>
      </c>
      <c r="L388" s="511" t="s">
        <v>49</v>
      </c>
      <c r="M388" s="392" t="s">
        <v>1558</v>
      </c>
      <c r="N388" s="343"/>
      <c r="O388" s="343"/>
      <c r="P388" s="70" t="s">
        <v>265</v>
      </c>
      <c r="Q388" s="346"/>
      <c r="R388" s="343"/>
      <c r="S388" s="346"/>
      <c r="T388" s="150" t="s">
        <v>119</v>
      </c>
      <c r="U388" s="150"/>
      <c r="V388" s="643"/>
      <c r="W388" s="659">
        <v>25000</v>
      </c>
      <c r="X388" s="659">
        <v>25000</v>
      </c>
      <c r="Y388" s="656"/>
      <c r="Z388" s="657"/>
      <c r="AA388" s="714"/>
      <c r="AB388" s="428"/>
      <c r="AC388" s="428"/>
      <c r="AD388" s="428" t="s">
        <v>1142</v>
      </c>
      <c r="AE388" s="429">
        <v>0</v>
      </c>
      <c r="AF388" s="429">
        <v>0</v>
      </c>
      <c r="AG388" s="649"/>
      <c r="AH388" s="649">
        <v>25000</v>
      </c>
      <c r="AI388" s="649">
        <v>0</v>
      </c>
      <c r="AJ388" s="649">
        <v>0</v>
      </c>
      <c r="AK388" s="649">
        <v>0</v>
      </c>
      <c r="AL388" s="649">
        <v>0</v>
      </c>
      <c r="AM388" s="649">
        <f t="shared" si="25"/>
        <v>25000</v>
      </c>
      <c r="AN388" s="651">
        <f>ERP_27[[#This Row],[2026 Working Total]]-ERP_27[[#This Row],[LE2 Final Submission]]</f>
        <v>0</v>
      </c>
      <c r="AO388" s="652"/>
      <c r="AP388" s="652">
        <f t="shared" si="24"/>
        <v>0</v>
      </c>
      <c r="AQ388" s="374">
        <f>SUM(ERP_27[[#This Row],[AP01]:[AP06]])-SUM(ERP_27[[#This Row],[AP01 LE2]:[AP06 LE2]])</f>
        <v>0</v>
      </c>
      <c r="AR388" s="653"/>
      <c r="AS388" s="652">
        <f>ERP_27[[#This Row],[2026 Working Total to Budget/LE]]-ERP_27[[#This Row],[Giveback]]</f>
        <v>0</v>
      </c>
      <c r="AT388" s="654"/>
      <c r="AU388" s="655"/>
      <c r="AV388" s="655"/>
      <c r="AW388" s="655"/>
      <c r="AX388" s="655"/>
      <c r="AY388" s="655"/>
      <c r="AZ388" s="655"/>
      <c r="BA388" s="655"/>
      <c r="BB388" s="655">
        <v>25000</v>
      </c>
      <c r="BC388" s="655">
        <v>0</v>
      </c>
      <c r="BD388" s="655">
        <v>0</v>
      </c>
      <c r="BE388" s="655">
        <v>0</v>
      </c>
      <c r="BF388" s="655">
        <v>0</v>
      </c>
      <c r="BG388" s="655">
        <v>25000</v>
      </c>
      <c r="BH388" s="652"/>
      <c r="BI388" s="652"/>
      <c r="BJ388" s="652"/>
      <c r="BK388" s="652"/>
      <c r="BL388" s="652"/>
      <c r="BM388" s="652"/>
      <c r="BN388" s="652"/>
      <c r="BO388" s="652">
        <v>25000</v>
      </c>
      <c r="BP388" s="652">
        <v>0</v>
      </c>
      <c r="BQ388" s="652">
        <v>0</v>
      </c>
      <c r="BR388" s="652">
        <v>0</v>
      </c>
      <c r="BS388" s="652">
        <v>0</v>
      </c>
      <c r="BT388" s="652">
        <v>25000</v>
      </c>
    </row>
    <row r="389" spans="1:72" ht="15" hidden="1" customHeight="1">
      <c r="A389" s="66" t="s">
        <v>2088</v>
      </c>
      <c r="B389" s="66"/>
      <c r="C389" s="66" t="s">
        <v>567</v>
      </c>
      <c r="D389" s="66" t="s">
        <v>2089</v>
      </c>
      <c r="E389" s="150" t="s">
        <v>1136</v>
      </c>
      <c r="F389" s="482" t="s">
        <v>1566</v>
      </c>
      <c r="G389" s="150" t="s">
        <v>1566</v>
      </c>
      <c r="H389" s="150" t="s">
        <v>1566</v>
      </c>
      <c r="I389" s="150" t="s">
        <v>1567</v>
      </c>
      <c r="J389" s="150" t="s">
        <v>1567</v>
      </c>
      <c r="K389" s="150" t="s">
        <v>1567</v>
      </c>
      <c r="L389" s="511" t="s">
        <v>389</v>
      </c>
      <c r="M389" s="392" t="s">
        <v>1574</v>
      </c>
      <c r="N389" s="343"/>
      <c r="O389" s="343"/>
      <c r="P389" s="70" t="s">
        <v>274</v>
      </c>
      <c r="Q389" s="346" t="s">
        <v>1139</v>
      </c>
      <c r="R389" s="343"/>
      <c r="S389" s="346"/>
      <c r="T389" s="505" t="s">
        <v>275</v>
      </c>
      <c r="U389" s="150"/>
      <c r="V389" s="643"/>
      <c r="W389" s="659">
        <v>0</v>
      </c>
      <c r="X389" s="659">
        <v>23735.440000000002</v>
      </c>
      <c r="Y389" s="656"/>
      <c r="Z389" s="657"/>
      <c r="AA389" s="714"/>
      <c r="AB389" s="428"/>
      <c r="AC389" s="428">
        <v>3561.44</v>
      </c>
      <c r="AD389" s="428">
        <v>0</v>
      </c>
      <c r="AE389" s="429">
        <v>6253.55</v>
      </c>
      <c r="AF389" s="429">
        <v>3700.6400000000003</v>
      </c>
      <c r="AG389" s="649">
        <v>1990</v>
      </c>
      <c r="AH389" s="649">
        <v>1990</v>
      </c>
      <c r="AI389" s="649">
        <v>1990</v>
      </c>
      <c r="AJ389" s="649">
        <v>1990</v>
      </c>
      <c r="AK389" s="649">
        <v>1990</v>
      </c>
      <c r="AL389" s="649">
        <v>1990</v>
      </c>
      <c r="AM389" s="649">
        <f t="shared" si="25"/>
        <v>25455.63</v>
      </c>
      <c r="AN389" s="651">
        <f>ERP_27[[#This Row],[2026 Working Total]]-ERP_27[[#This Row],[LE2 Final Submission]]</f>
        <v>1720.1899999999987</v>
      </c>
      <c r="AO389" s="652">
        <v>6244</v>
      </c>
      <c r="AP389" s="652">
        <f t="shared" si="24"/>
        <v>-2543.3599999999997</v>
      </c>
      <c r="AQ389" s="374">
        <f>SUM(ERP_27[[#This Row],[AP01]:[AP06]])-SUM(ERP_27[[#This Row],[AP01 LE2]:[AP06 LE2]])</f>
        <v>1720.1900000000005</v>
      </c>
      <c r="AR389" s="653"/>
      <c r="AS389" s="652">
        <f>ERP_27[[#This Row],[2026 Working Total to Budget/LE]]-ERP_27[[#This Row],[Giveback]]</f>
        <v>1720.1899999999987</v>
      </c>
      <c r="AT389" s="654"/>
      <c r="AU389" s="655"/>
      <c r="AV389" s="655"/>
      <c r="AW389" s="655">
        <v>3561.44</v>
      </c>
      <c r="AX389" s="655">
        <v>0</v>
      </c>
      <c r="AY389" s="655">
        <v>6244</v>
      </c>
      <c r="AZ389" s="655">
        <v>1990</v>
      </c>
      <c r="BA389" s="655">
        <v>1990</v>
      </c>
      <c r="BB389" s="655">
        <v>1990</v>
      </c>
      <c r="BC389" s="655">
        <v>1990</v>
      </c>
      <c r="BD389" s="655">
        <v>1990</v>
      </c>
      <c r="BE389" s="655">
        <v>1990</v>
      </c>
      <c r="BF389" s="655">
        <v>1990</v>
      </c>
      <c r="BG389" s="655">
        <v>23735.440000000002</v>
      </c>
      <c r="BH389" s="652"/>
      <c r="BI389" s="652"/>
      <c r="BJ389" s="652">
        <v>3561.44</v>
      </c>
      <c r="BK389" s="652">
        <v>0</v>
      </c>
      <c r="BL389" s="652">
        <v>0</v>
      </c>
      <c r="BM389" s="652">
        <v>0</v>
      </c>
      <c r="BN389" s="652">
        <v>0</v>
      </c>
      <c r="BO389" s="652">
        <v>0</v>
      </c>
      <c r="BP389" s="652">
        <v>0</v>
      </c>
      <c r="BQ389" s="652">
        <v>0</v>
      </c>
      <c r="BR389" s="652">
        <v>0</v>
      </c>
      <c r="BS389" s="652">
        <v>0</v>
      </c>
      <c r="BT389" s="652">
        <v>3561.44</v>
      </c>
    </row>
    <row r="390" spans="1:72" ht="15" hidden="1" customHeight="1">
      <c r="A390" s="66" t="s">
        <v>1674</v>
      </c>
      <c r="B390" s="66"/>
      <c r="C390" s="66" t="s">
        <v>343</v>
      </c>
      <c r="D390" s="66" t="s">
        <v>1675</v>
      </c>
      <c r="E390" s="150" t="s">
        <v>1136</v>
      </c>
      <c r="F390" s="482" t="s">
        <v>1566</v>
      </c>
      <c r="G390" s="150" t="s">
        <v>1135</v>
      </c>
      <c r="H390" s="150" t="s">
        <v>1145</v>
      </c>
      <c r="I390" s="150" t="s">
        <v>1135</v>
      </c>
      <c r="J390" s="150" t="s">
        <v>1145</v>
      </c>
      <c r="K390" s="150" t="s">
        <v>1137</v>
      </c>
      <c r="L390" s="511" t="s">
        <v>342</v>
      </c>
      <c r="M390" s="392" t="s">
        <v>1676</v>
      </c>
      <c r="N390" s="343"/>
      <c r="O390" s="343"/>
      <c r="P390" s="70" t="s">
        <v>344</v>
      </c>
      <c r="Q390" s="346"/>
      <c r="R390" s="343"/>
      <c r="S390" s="346"/>
      <c r="T390" s="150" t="s">
        <v>152</v>
      </c>
      <c r="U390" s="150"/>
      <c r="V390" s="643"/>
      <c r="W390" s="659">
        <v>51615</v>
      </c>
      <c r="X390" s="659">
        <v>38711.25</v>
      </c>
      <c r="Y390" s="656"/>
      <c r="Z390" s="657"/>
      <c r="AA390" s="714"/>
      <c r="AB390" s="428"/>
      <c r="AC390" s="428"/>
      <c r="AD390" s="428" t="s">
        <v>1142</v>
      </c>
      <c r="AE390" s="429">
        <v>0</v>
      </c>
      <c r="AF390" s="429">
        <v>0</v>
      </c>
      <c r="AG390" s="649">
        <v>4301.25</v>
      </c>
      <c r="AH390" s="649">
        <v>4301.25</v>
      </c>
      <c r="AI390" s="649">
        <v>4301.25</v>
      </c>
      <c r="AJ390" s="649">
        <v>4301.25</v>
      </c>
      <c r="AK390" s="649">
        <v>4301.25</v>
      </c>
      <c r="AL390" s="649">
        <v>4301.25</v>
      </c>
      <c r="AM390" s="649">
        <f t="shared" si="25"/>
        <v>25807.5</v>
      </c>
      <c r="AN390" s="651">
        <f>ERP_27[[#This Row],[2026 Working Total]]-ERP_27[[#This Row],[LE2 Final Submission]]</f>
        <v>-12903.75</v>
      </c>
      <c r="AO390" s="652">
        <v>1000</v>
      </c>
      <c r="AP390" s="652">
        <f t="shared" si="24"/>
        <v>-1000</v>
      </c>
      <c r="AQ390" s="374">
        <f>SUM(ERP_27[[#This Row],[AP01]:[AP06]])-SUM(ERP_27[[#This Row],[AP01 LE2]:[AP06 LE2]])</f>
        <v>-12903.75</v>
      </c>
      <c r="AR390" s="653"/>
      <c r="AS390" s="652">
        <f>ERP_27[[#This Row],[2026 Working Total to Budget/LE]]-ERP_27[[#This Row],[Giveback]]</f>
        <v>-12903.75</v>
      </c>
      <c r="AT390" s="654"/>
      <c r="AU390" s="655"/>
      <c r="AV390" s="655"/>
      <c r="AW390" s="655"/>
      <c r="AX390" s="655">
        <v>4301.25</v>
      </c>
      <c r="AY390" s="655">
        <v>4301.25</v>
      </c>
      <c r="AZ390" s="655">
        <v>4301.25</v>
      </c>
      <c r="BA390" s="655">
        <v>4301.25</v>
      </c>
      <c r="BB390" s="655">
        <v>4301.25</v>
      </c>
      <c r="BC390" s="655">
        <v>4301.25</v>
      </c>
      <c r="BD390" s="655">
        <v>4301.25</v>
      </c>
      <c r="BE390" s="655">
        <v>4301.25</v>
      </c>
      <c r="BF390" s="655">
        <v>4301.25</v>
      </c>
      <c r="BG390" s="655">
        <v>38711.25</v>
      </c>
      <c r="BH390" s="652"/>
      <c r="BI390" s="652"/>
      <c r="BJ390" s="652"/>
      <c r="BK390" s="652">
        <v>4301.25</v>
      </c>
      <c r="BL390" s="652">
        <v>4301.25</v>
      </c>
      <c r="BM390" s="652">
        <v>4301.25</v>
      </c>
      <c r="BN390" s="652">
        <v>4301.25</v>
      </c>
      <c r="BO390" s="652">
        <v>4301.25</v>
      </c>
      <c r="BP390" s="652">
        <v>4301.25</v>
      </c>
      <c r="BQ390" s="652">
        <v>4301.25</v>
      </c>
      <c r="BR390" s="652">
        <v>4301.25</v>
      </c>
      <c r="BS390" s="652">
        <v>4301.25</v>
      </c>
      <c r="BT390" s="652">
        <v>38711.25</v>
      </c>
    </row>
    <row r="391" spans="1:72" ht="15" hidden="1" customHeight="1">
      <c r="A391" s="66" t="s">
        <v>1986</v>
      </c>
      <c r="B391" s="66"/>
      <c r="C391" s="66" t="s">
        <v>511</v>
      </c>
      <c r="D391" s="66" t="s">
        <v>511</v>
      </c>
      <c r="E391" s="150" t="s">
        <v>1136</v>
      </c>
      <c r="F391" s="482" t="s">
        <v>1566</v>
      </c>
      <c r="G391" s="383" t="s">
        <v>1344</v>
      </c>
      <c r="H391" s="383" t="s">
        <v>1344</v>
      </c>
      <c r="I391" s="150" t="s">
        <v>1345</v>
      </c>
      <c r="J391" s="150" t="s">
        <v>1344</v>
      </c>
      <c r="K391" s="150" t="s">
        <v>1346</v>
      </c>
      <c r="L391" s="511" t="s">
        <v>389</v>
      </c>
      <c r="M391" s="392" t="s">
        <v>1855</v>
      </c>
      <c r="N391" s="343"/>
      <c r="O391" s="343"/>
      <c r="P391" s="70" t="s">
        <v>466</v>
      </c>
      <c r="Q391" s="346"/>
      <c r="R391" s="346" t="s">
        <v>1140</v>
      </c>
      <c r="S391" s="346"/>
      <c r="T391" s="150" t="s">
        <v>57</v>
      </c>
      <c r="U391" s="150"/>
      <c r="V391" s="643"/>
      <c r="W391" s="659">
        <v>26400</v>
      </c>
      <c r="X391" s="659">
        <v>26962</v>
      </c>
      <c r="Y391" s="656"/>
      <c r="Z391" s="657"/>
      <c r="AA391" s="714">
        <v>2359</v>
      </c>
      <c r="AB391" s="428">
        <v>1615</v>
      </c>
      <c r="AC391" s="428">
        <v>3188</v>
      </c>
      <c r="AD391" s="428">
        <v>2158</v>
      </c>
      <c r="AE391" s="429">
        <v>2091</v>
      </c>
      <c r="AF391" s="429">
        <v>1890</v>
      </c>
      <c r="AG391" s="649">
        <v>2200</v>
      </c>
      <c r="AH391" s="649">
        <v>2200</v>
      </c>
      <c r="AI391" s="649">
        <v>2200</v>
      </c>
      <c r="AJ391" s="649">
        <v>2200</v>
      </c>
      <c r="AK391" s="649">
        <v>2200</v>
      </c>
      <c r="AL391" s="649">
        <v>2200</v>
      </c>
      <c r="AM391" s="649">
        <f t="shared" si="25"/>
        <v>26501</v>
      </c>
      <c r="AN391" s="651">
        <f>ERP_27[[#This Row],[2026 Working Total]]-ERP_27[[#This Row],[LE2 Final Submission]]</f>
        <v>-461</v>
      </c>
      <c r="AO391" s="652">
        <v>2200</v>
      </c>
      <c r="AP391" s="652">
        <f t="shared" si="24"/>
        <v>-310</v>
      </c>
      <c r="AQ391" s="374">
        <f>SUM(ERP_27[[#This Row],[AP01]:[AP06]])-SUM(ERP_27[[#This Row],[AP01 LE2]:[AP06 LE2]])</f>
        <v>-461</v>
      </c>
      <c r="AR391" s="653"/>
      <c r="AS391" s="652">
        <f>ERP_27[[#This Row],[2026 Working Total to Budget/LE]]-ERP_27[[#This Row],[Giveback]]</f>
        <v>-461</v>
      </c>
      <c r="AT391" s="654"/>
      <c r="AU391" s="655">
        <v>2359</v>
      </c>
      <c r="AV391" s="655">
        <v>1615</v>
      </c>
      <c r="AW391" s="655">
        <v>3188</v>
      </c>
      <c r="AX391" s="655">
        <v>2200</v>
      </c>
      <c r="AY391" s="655">
        <v>2200</v>
      </c>
      <c r="AZ391" s="655">
        <v>2200</v>
      </c>
      <c r="BA391" s="655">
        <v>2200</v>
      </c>
      <c r="BB391" s="655">
        <v>2200</v>
      </c>
      <c r="BC391" s="655">
        <v>2200</v>
      </c>
      <c r="BD391" s="655">
        <v>2200</v>
      </c>
      <c r="BE391" s="655">
        <v>2200</v>
      </c>
      <c r="BF391" s="655">
        <v>2200</v>
      </c>
      <c r="BG391" s="655">
        <v>26962</v>
      </c>
      <c r="BH391" s="652">
        <v>2359</v>
      </c>
      <c r="BI391" s="652">
        <v>1615</v>
      </c>
      <c r="BJ391" s="652">
        <v>3188</v>
      </c>
      <c r="BK391" s="652">
        <v>2200</v>
      </c>
      <c r="BL391" s="652">
        <v>2200</v>
      </c>
      <c r="BM391" s="652">
        <v>2200</v>
      </c>
      <c r="BN391" s="652">
        <v>2200</v>
      </c>
      <c r="BO391" s="652">
        <v>2200</v>
      </c>
      <c r="BP391" s="652">
        <v>2200</v>
      </c>
      <c r="BQ391" s="652">
        <v>2200</v>
      </c>
      <c r="BR391" s="652">
        <v>2200</v>
      </c>
      <c r="BS391" s="652">
        <v>2200</v>
      </c>
      <c r="BT391" s="652">
        <v>26962</v>
      </c>
    </row>
    <row r="392" spans="1:72" ht="15" hidden="1" customHeight="1">
      <c r="A392" s="66" t="s">
        <v>2669</v>
      </c>
      <c r="B392" s="66"/>
      <c r="C392" s="66" t="s">
        <v>942</v>
      </c>
      <c r="D392" s="66" t="s">
        <v>2670</v>
      </c>
      <c r="E392" s="150" t="s">
        <v>1136</v>
      </c>
      <c r="F392" s="482" t="s">
        <v>1566</v>
      </c>
      <c r="G392" s="150" t="s">
        <v>1345</v>
      </c>
      <c r="H392" s="150" t="s">
        <v>1437</v>
      </c>
      <c r="I392" s="150" t="s">
        <v>1345</v>
      </c>
      <c r="J392" s="150" t="s">
        <v>1437</v>
      </c>
      <c r="K392" s="150" t="s">
        <v>1346</v>
      </c>
      <c r="L392" s="511" t="s">
        <v>639</v>
      </c>
      <c r="M392" s="392" t="s">
        <v>1174</v>
      </c>
      <c r="N392" s="343"/>
      <c r="O392" s="343"/>
      <c r="P392" s="70" t="s">
        <v>56</v>
      </c>
      <c r="Q392" s="346"/>
      <c r="R392" s="346" t="s">
        <v>1140</v>
      </c>
      <c r="S392" s="346"/>
      <c r="T392" s="150" t="s">
        <v>57</v>
      </c>
      <c r="U392" s="150"/>
      <c r="V392" s="643"/>
      <c r="W392" s="659">
        <v>23474.640000000003</v>
      </c>
      <c r="X392" s="659">
        <v>27085.450000000004</v>
      </c>
      <c r="Y392" s="656"/>
      <c r="Z392" s="657"/>
      <c r="AA392" s="714">
        <v>1816.49</v>
      </c>
      <c r="AB392" s="428">
        <v>1816.49</v>
      </c>
      <c r="AC392" s="428">
        <v>5846.49</v>
      </c>
      <c r="AD392" s="428">
        <v>1816.49</v>
      </c>
      <c r="AE392" s="429">
        <v>1816.49</v>
      </c>
      <c r="AF392" s="429">
        <v>1816.49</v>
      </c>
      <c r="AG392" s="649">
        <v>1956.22</v>
      </c>
      <c r="AH392" s="649">
        <v>1956.22</v>
      </c>
      <c r="AI392" s="649">
        <v>1956.22</v>
      </c>
      <c r="AJ392" s="649">
        <v>1956.22</v>
      </c>
      <c r="AK392" s="649">
        <v>1956.22</v>
      </c>
      <c r="AL392" s="649">
        <v>1956.22</v>
      </c>
      <c r="AM392" s="649">
        <f t="shared" si="25"/>
        <v>26666.260000000006</v>
      </c>
      <c r="AN392" s="651">
        <f>ERP_27[[#This Row],[2026 Working Total]]-ERP_27[[#This Row],[LE2 Final Submission]]</f>
        <v>-419.18999999999869</v>
      </c>
      <c r="AO392" s="652">
        <v>1956.22</v>
      </c>
      <c r="AP392" s="652">
        <f t="shared" ref="AP392:AP455" si="26">$AF392 - $AO392</f>
        <v>-139.73000000000002</v>
      </c>
      <c r="AQ392" s="374">
        <f>SUM(ERP_27[[#This Row],[AP01]:[AP06]])-SUM(ERP_27[[#This Row],[AP01 LE2]:[AP06 LE2]])</f>
        <v>-419.18999999999869</v>
      </c>
      <c r="AR392" s="653"/>
      <c r="AS392" s="652">
        <f>ERP_27[[#This Row],[2026 Working Total to Budget/LE]]-ERP_27[[#This Row],[Giveback]]</f>
        <v>-419.18999999999869</v>
      </c>
      <c r="AT392" s="654"/>
      <c r="AU392" s="655">
        <v>1816.49</v>
      </c>
      <c r="AV392" s="655">
        <v>1816.49</v>
      </c>
      <c r="AW392" s="655">
        <v>5846.49</v>
      </c>
      <c r="AX392" s="655">
        <v>1956.22</v>
      </c>
      <c r="AY392" s="655">
        <v>1956.22</v>
      </c>
      <c r="AZ392" s="655">
        <v>1956.22</v>
      </c>
      <c r="BA392" s="655">
        <v>1956.22</v>
      </c>
      <c r="BB392" s="655">
        <v>1956.22</v>
      </c>
      <c r="BC392" s="655">
        <v>1956.22</v>
      </c>
      <c r="BD392" s="655">
        <v>1956.22</v>
      </c>
      <c r="BE392" s="655">
        <v>1956.22</v>
      </c>
      <c r="BF392" s="655">
        <v>1956.22</v>
      </c>
      <c r="BG392" s="655">
        <v>27085.450000000004</v>
      </c>
      <c r="BH392" s="652">
        <v>1816.49</v>
      </c>
      <c r="BI392" s="652">
        <v>1816.49</v>
      </c>
      <c r="BJ392" s="652">
        <v>5846.49</v>
      </c>
      <c r="BK392" s="652">
        <v>1956.22</v>
      </c>
      <c r="BL392" s="652">
        <v>1956.22</v>
      </c>
      <c r="BM392" s="652">
        <v>1956.22</v>
      </c>
      <c r="BN392" s="652">
        <v>1956.22</v>
      </c>
      <c r="BO392" s="652">
        <v>1956.22</v>
      </c>
      <c r="BP392" s="652">
        <v>1956.22</v>
      </c>
      <c r="BQ392" s="652">
        <v>1956.22</v>
      </c>
      <c r="BR392" s="652">
        <v>1956.22</v>
      </c>
      <c r="BS392" s="652">
        <v>1956.22</v>
      </c>
      <c r="BT392" s="652">
        <v>27085.450000000004</v>
      </c>
    </row>
    <row r="393" spans="1:72" ht="15" hidden="1" customHeight="1">
      <c r="A393" s="66" t="s">
        <v>2587</v>
      </c>
      <c r="B393" s="66"/>
      <c r="C393" s="66" t="s">
        <v>893</v>
      </c>
      <c r="D393" s="66" t="s">
        <v>893</v>
      </c>
      <c r="E393" s="150" t="s">
        <v>1136</v>
      </c>
      <c r="F393" s="482" t="s">
        <v>1566</v>
      </c>
      <c r="G393" s="150" t="s">
        <v>1135</v>
      </c>
      <c r="H393" s="150" t="s">
        <v>1135</v>
      </c>
      <c r="I393" s="150" t="s">
        <v>1135</v>
      </c>
      <c r="J393" s="150" t="s">
        <v>1135</v>
      </c>
      <c r="K393" s="150" t="s">
        <v>1137</v>
      </c>
      <c r="L393" s="511" t="s">
        <v>639</v>
      </c>
      <c r="M393" s="392" t="s">
        <v>2588</v>
      </c>
      <c r="N393" s="343"/>
      <c r="O393" s="343"/>
      <c r="P393" s="70" t="s">
        <v>894</v>
      </c>
      <c r="Q393" s="346"/>
      <c r="R393" s="343"/>
      <c r="S393" s="346"/>
      <c r="T393" s="150" t="s">
        <v>25</v>
      </c>
      <c r="U393" s="150"/>
      <c r="V393" s="643"/>
      <c r="W393" s="659">
        <v>30000</v>
      </c>
      <c r="X393" s="659">
        <v>30000</v>
      </c>
      <c r="Y393" s="656"/>
      <c r="Z393" s="657"/>
      <c r="AA393" s="714"/>
      <c r="AB393" s="428"/>
      <c r="AC393" s="428"/>
      <c r="AD393" s="428" t="s">
        <v>1142</v>
      </c>
      <c r="AE393" s="429">
        <v>0</v>
      </c>
      <c r="AF393" s="429">
        <v>0</v>
      </c>
      <c r="AG393" s="649"/>
      <c r="AH393" s="649">
        <v>30000</v>
      </c>
      <c r="AI393" s="649">
        <v>0</v>
      </c>
      <c r="AJ393" s="649">
        <v>0</v>
      </c>
      <c r="AK393" s="649">
        <v>0</v>
      </c>
      <c r="AL393" s="649">
        <v>0</v>
      </c>
      <c r="AM393" s="649">
        <f t="shared" si="25"/>
        <v>30000</v>
      </c>
      <c r="AN393" s="651">
        <f>ERP_27[[#This Row],[2026 Working Total]]-ERP_27[[#This Row],[LE2 Final Submission]]</f>
        <v>0</v>
      </c>
      <c r="AO393" s="652"/>
      <c r="AP393" s="652">
        <f t="shared" si="26"/>
        <v>0</v>
      </c>
      <c r="AQ393" s="374">
        <f>SUM(ERP_27[[#This Row],[AP01]:[AP06]])-SUM(ERP_27[[#This Row],[AP01 LE2]:[AP06 LE2]])</f>
        <v>0</v>
      </c>
      <c r="AR393" s="653"/>
      <c r="AS393" s="652">
        <f>ERP_27[[#This Row],[2026 Working Total to Budget/LE]]-ERP_27[[#This Row],[Giveback]]</f>
        <v>0</v>
      </c>
      <c r="AT393" s="654"/>
      <c r="AU393" s="655"/>
      <c r="AV393" s="655"/>
      <c r="AW393" s="655"/>
      <c r="AX393" s="655"/>
      <c r="AY393" s="655"/>
      <c r="AZ393" s="655"/>
      <c r="BA393" s="655"/>
      <c r="BB393" s="655">
        <v>30000</v>
      </c>
      <c r="BC393" s="655">
        <v>0</v>
      </c>
      <c r="BD393" s="655">
        <v>0</v>
      </c>
      <c r="BE393" s="655">
        <v>0</v>
      </c>
      <c r="BF393" s="655">
        <v>0</v>
      </c>
      <c r="BG393" s="655">
        <v>30000</v>
      </c>
      <c r="BH393" s="652"/>
      <c r="BI393" s="652"/>
      <c r="BJ393" s="652"/>
      <c r="BK393" s="652"/>
      <c r="BL393" s="652"/>
      <c r="BM393" s="652"/>
      <c r="BN393" s="652"/>
      <c r="BO393" s="652">
        <v>30000</v>
      </c>
      <c r="BP393" s="652">
        <v>0</v>
      </c>
      <c r="BQ393" s="652">
        <v>0</v>
      </c>
      <c r="BR393" s="652">
        <v>0</v>
      </c>
      <c r="BS393" s="652">
        <v>0</v>
      </c>
      <c r="BT393" s="652">
        <v>30000</v>
      </c>
    </row>
    <row r="394" spans="1:72" ht="15" hidden="1" customHeight="1">
      <c r="A394" s="66" t="s">
        <v>1598</v>
      </c>
      <c r="B394" s="66"/>
      <c r="C394" s="66" t="s">
        <v>287</v>
      </c>
      <c r="D394" s="66" t="s">
        <v>1599</v>
      </c>
      <c r="E394" s="150" t="s">
        <v>1136</v>
      </c>
      <c r="F394" s="482" t="s">
        <v>1566</v>
      </c>
      <c r="G394" s="150" t="s">
        <v>1566</v>
      </c>
      <c r="H394" s="150" t="s">
        <v>1566</v>
      </c>
      <c r="I394" s="150" t="s">
        <v>1567</v>
      </c>
      <c r="J394" s="150" t="s">
        <v>1567</v>
      </c>
      <c r="K394" s="150" t="s">
        <v>1567</v>
      </c>
      <c r="L394" s="511" t="s">
        <v>49</v>
      </c>
      <c r="M394" s="392" t="s">
        <v>1600</v>
      </c>
      <c r="N394" s="343"/>
      <c r="O394" s="343"/>
      <c r="P394" s="70" t="s">
        <v>288</v>
      </c>
      <c r="Q394" s="346"/>
      <c r="R394" s="346" t="s">
        <v>1140</v>
      </c>
      <c r="S394" s="346"/>
      <c r="T394" s="505" t="s">
        <v>272</v>
      </c>
      <c r="U394" s="150"/>
      <c r="V394" s="643"/>
      <c r="W394" s="659">
        <v>45000</v>
      </c>
      <c r="X394" s="659">
        <v>30000</v>
      </c>
      <c r="Y394" s="656"/>
      <c r="Z394" s="657"/>
      <c r="AA394" s="714"/>
      <c r="AB394" s="428"/>
      <c r="AC394" s="428"/>
      <c r="AD394" s="428" t="s">
        <v>1142</v>
      </c>
      <c r="AE394" s="429">
        <v>0</v>
      </c>
      <c r="AF394" s="429">
        <v>0</v>
      </c>
      <c r="AG394" s="649">
        <v>5000</v>
      </c>
      <c r="AH394" s="649">
        <v>5000</v>
      </c>
      <c r="AI394" s="649">
        <v>5000</v>
      </c>
      <c r="AJ394" s="649">
        <v>5000</v>
      </c>
      <c r="AK394" s="649">
        <v>5000</v>
      </c>
      <c r="AL394" s="649">
        <v>5000</v>
      </c>
      <c r="AM394" s="649">
        <f t="shared" si="25"/>
        <v>30000</v>
      </c>
      <c r="AN394" s="651">
        <f>ERP_27[[#This Row],[2026 Working Total]]-ERP_27[[#This Row],[LE2 Final Submission]]</f>
        <v>0</v>
      </c>
      <c r="AO394" s="652">
        <v>15000</v>
      </c>
      <c r="AP394" s="652">
        <f t="shared" si="26"/>
        <v>-15000</v>
      </c>
      <c r="AQ394" s="374">
        <f>SUM(ERP_27[[#This Row],[AP01]:[AP06]])-SUM(ERP_27[[#This Row],[AP01 LE2]:[AP06 LE2]])</f>
        <v>-30000</v>
      </c>
      <c r="AR394" s="653"/>
      <c r="AS394" s="652">
        <f>ERP_27[[#This Row],[2026 Working Total to Budget/LE]]-ERP_27[[#This Row],[Giveback]]</f>
        <v>0</v>
      </c>
      <c r="AT394" s="654"/>
      <c r="AU394" s="655"/>
      <c r="AV394" s="655"/>
      <c r="AW394" s="655"/>
      <c r="AX394" s="655">
        <v>15000</v>
      </c>
      <c r="AY394" s="655">
        <v>15000</v>
      </c>
      <c r="AZ394" s="655">
        <v>0</v>
      </c>
      <c r="BA394" s="655">
        <v>0</v>
      </c>
      <c r="BB394" s="655">
        <v>0</v>
      </c>
      <c r="BC394" s="655">
        <v>0</v>
      </c>
      <c r="BD394" s="655">
        <v>0</v>
      </c>
      <c r="BE394" s="655">
        <v>0</v>
      </c>
      <c r="BF394" s="655">
        <v>0</v>
      </c>
      <c r="BG394" s="655">
        <v>30000</v>
      </c>
      <c r="BH394" s="652"/>
      <c r="BI394" s="652"/>
      <c r="BJ394" s="652"/>
      <c r="BK394" s="652">
        <v>15000</v>
      </c>
      <c r="BL394" s="652">
        <v>15000</v>
      </c>
      <c r="BM394" s="652">
        <v>0</v>
      </c>
      <c r="BN394" s="652">
        <v>0</v>
      </c>
      <c r="BO394" s="652">
        <v>0</v>
      </c>
      <c r="BP394" s="652">
        <v>0</v>
      </c>
      <c r="BQ394" s="652">
        <v>0</v>
      </c>
      <c r="BR394" s="652">
        <v>0</v>
      </c>
      <c r="BS394" s="652">
        <v>0</v>
      </c>
      <c r="BT394" s="652">
        <v>30000</v>
      </c>
    </row>
    <row r="395" spans="1:72" ht="15" hidden="1" customHeight="1">
      <c r="A395" s="66" t="s">
        <v>2040</v>
      </c>
      <c r="B395" s="66"/>
      <c r="C395" s="66" t="s">
        <v>543</v>
      </c>
      <c r="D395" s="66" t="s">
        <v>543</v>
      </c>
      <c r="E395" s="150" t="s">
        <v>1136</v>
      </c>
      <c r="F395" s="482" t="s">
        <v>1566</v>
      </c>
      <c r="G395" s="150" t="s">
        <v>1450</v>
      </c>
      <c r="H395" s="150" t="s">
        <v>1450</v>
      </c>
      <c r="I395" s="150" t="s">
        <v>1345</v>
      </c>
      <c r="J395" s="150" t="s">
        <v>1450</v>
      </c>
      <c r="K395" s="150" t="s">
        <v>1346</v>
      </c>
      <c r="L395" s="511" t="s">
        <v>389</v>
      </c>
      <c r="M395" s="392" t="s">
        <v>1855</v>
      </c>
      <c r="N395" s="343"/>
      <c r="O395" s="343"/>
      <c r="P395" s="70" t="s">
        <v>466</v>
      </c>
      <c r="Q395" s="346"/>
      <c r="R395" s="346" t="s">
        <v>1140</v>
      </c>
      <c r="S395" s="346"/>
      <c r="T395" s="150" t="s">
        <v>57</v>
      </c>
      <c r="U395" s="150"/>
      <c r="V395" s="643"/>
      <c r="W395" s="659">
        <v>36000</v>
      </c>
      <c r="X395" s="659">
        <v>34822</v>
      </c>
      <c r="Y395" s="656"/>
      <c r="Z395" s="657"/>
      <c r="AA395" s="714">
        <v>2137</v>
      </c>
      <c r="AB395" s="428">
        <v>1809</v>
      </c>
      <c r="AC395" s="428">
        <v>3876</v>
      </c>
      <c r="AD395" s="428">
        <v>1749</v>
      </c>
      <c r="AE395" s="429">
        <v>1548</v>
      </c>
      <c r="AF395" s="429">
        <v>1273</v>
      </c>
      <c r="AG395" s="649">
        <v>3000</v>
      </c>
      <c r="AH395" s="649">
        <v>3000</v>
      </c>
      <c r="AI395" s="649">
        <v>3000</v>
      </c>
      <c r="AJ395" s="649">
        <v>3000</v>
      </c>
      <c r="AK395" s="649">
        <v>3000</v>
      </c>
      <c r="AL395" s="649">
        <v>3000</v>
      </c>
      <c r="AM395" s="649">
        <f t="shared" si="25"/>
        <v>30392</v>
      </c>
      <c r="AN395" s="651">
        <f>ERP_27[[#This Row],[2026 Working Total]]-ERP_27[[#This Row],[LE2 Final Submission]]</f>
        <v>-4430</v>
      </c>
      <c r="AO395" s="652">
        <v>3000</v>
      </c>
      <c r="AP395" s="652">
        <f t="shared" si="26"/>
        <v>-1727</v>
      </c>
      <c r="AQ395" s="374">
        <f>SUM(ERP_27[[#This Row],[AP01]:[AP06]])-SUM(ERP_27[[#This Row],[AP01 LE2]:[AP06 LE2]])</f>
        <v>-4430</v>
      </c>
      <c r="AR395" s="653"/>
      <c r="AS395" s="652">
        <f>ERP_27[[#This Row],[2026 Working Total to Budget/LE]]-ERP_27[[#This Row],[Giveback]]</f>
        <v>-4430</v>
      </c>
      <c r="AT395" s="654"/>
      <c r="AU395" s="655">
        <v>2137</v>
      </c>
      <c r="AV395" s="655">
        <v>1809</v>
      </c>
      <c r="AW395" s="655">
        <v>3876</v>
      </c>
      <c r="AX395" s="655">
        <v>3000</v>
      </c>
      <c r="AY395" s="655">
        <v>3000</v>
      </c>
      <c r="AZ395" s="655">
        <v>3000</v>
      </c>
      <c r="BA395" s="655">
        <v>3000</v>
      </c>
      <c r="BB395" s="655">
        <v>3000</v>
      </c>
      <c r="BC395" s="655">
        <v>3000</v>
      </c>
      <c r="BD395" s="655">
        <v>3000</v>
      </c>
      <c r="BE395" s="655">
        <v>3000</v>
      </c>
      <c r="BF395" s="655">
        <v>3000</v>
      </c>
      <c r="BG395" s="655">
        <v>34822</v>
      </c>
      <c r="BH395" s="652">
        <v>2137</v>
      </c>
      <c r="BI395" s="652">
        <v>1809</v>
      </c>
      <c r="BJ395" s="652">
        <v>3876</v>
      </c>
      <c r="BK395" s="652">
        <v>3000</v>
      </c>
      <c r="BL395" s="652">
        <v>3000</v>
      </c>
      <c r="BM395" s="652">
        <v>3000</v>
      </c>
      <c r="BN395" s="652">
        <v>3000</v>
      </c>
      <c r="BO395" s="652">
        <v>3000</v>
      </c>
      <c r="BP395" s="652">
        <v>3000</v>
      </c>
      <c r="BQ395" s="652">
        <v>3000</v>
      </c>
      <c r="BR395" s="652">
        <v>3000</v>
      </c>
      <c r="BS395" s="652">
        <v>3000</v>
      </c>
      <c r="BT395" s="652">
        <v>34822</v>
      </c>
    </row>
    <row r="396" spans="1:72" ht="15" hidden="1" customHeight="1">
      <c r="A396" s="66" t="s">
        <v>1591</v>
      </c>
      <c r="B396" s="66"/>
      <c r="C396" s="66" t="s">
        <v>284</v>
      </c>
      <c r="D396" s="66" t="s">
        <v>1592</v>
      </c>
      <c r="E396" s="150" t="s">
        <v>1136</v>
      </c>
      <c r="F396" s="482" t="s">
        <v>1566</v>
      </c>
      <c r="G396" s="150" t="s">
        <v>1566</v>
      </c>
      <c r="H396" s="150" t="s">
        <v>1566</v>
      </c>
      <c r="I396" s="150" t="s">
        <v>1567</v>
      </c>
      <c r="J396" s="150" t="s">
        <v>1567</v>
      </c>
      <c r="K396" s="150" t="s">
        <v>1567</v>
      </c>
      <c r="L396" s="511" t="s">
        <v>49</v>
      </c>
      <c r="M396" s="392" t="s">
        <v>1174</v>
      </c>
      <c r="N396" s="343"/>
      <c r="O396" s="343"/>
      <c r="P396" s="70" t="s">
        <v>56</v>
      </c>
      <c r="Q396" s="346"/>
      <c r="R396" s="346" t="s">
        <v>1140</v>
      </c>
      <c r="S396" s="346"/>
      <c r="T396" s="150" t="s">
        <v>57</v>
      </c>
      <c r="U396" s="150"/>
      <c r="V396" s="643"/>
      <c r="W396" s="659">
        <v>0</v>
      </c>
      <c r="X396" s="659">
        <v>13071.14</v>
      </c>
      <c r="Y396" s="656"/>
      <c r="Z396" s="657"/>
      <c r="AA396" s="714">
        <v>5323.5</v>
      </c>
      <c r="AB396" s="428">
        <v>2811.9</v>
      </c>
      <c r="AC396" s="428">
        <v>4935.74</v>
      </c>
      <c r="AD396" s="428">
        <v>5810.54</v>
      </c>
      <c r="AE396" s="429">
        <v>6233.85</v>
      </c>
      <c r="AF396" s="429">
        <v>6212.75</v>
      </c>
      <c r="AG396" s="649">
        <v>0</v>
      </c>
      <c r="AH396" s="649">
        <v>0</v>
      </c>
      <c r="AI396" s="649">
        <v>0</v>
      </c>
      <c r="AJ396" s="649">
        <v>0</v>
      </c>
      <c r="AK396" s="649">
        <v>0</v>
      </c>
      <c r="AL396" s="649">
        <v>0</v>
      </c>
      <c r="AM396" s="649">
        <f t="shared" si="25"/>
        <v>31328.28</v>
      </c>
      <c r="AN396" s="651">
        <f>ERP_27[[#This Row],[2026 Working Total]]-ERP_27[[#This Row],[LE2 Final Submission]]</f>
        <v>18257.14</v>
      </c>
      <c r="AO396" s="652">
        <v>0</v>
      </c>
      <c r="AP396" s="652">
        <f t="shared" si="26"/>
        <v>6212.75</v>
      </c>
      <c r="AQ396" s="374">
        <f>SUM(ERP_27[[#This Row],[AP01]:[AP06]])-SUM(ERP_27[[#This Row],[AP01 LE2]:[AP06 LE2]])</f>
        <v>18257.14</v>
      </c>
      <c r="AR396" s="653"/>
      <c r="AS396" s="652">
        <f>ERP_27[[#This Row],[2026 Working Total to Budget/LE]]-ERP_27[[#This Row],[Giveback]]</f>
        <v>18257.14</v>
      </c>
      <c r="AT396" s="654"/>
      <c r="AU396" s="655">
        <v>5323.5</v>
      </c>
      <c r="AV396" s="655">
        <v>2811.9</v>
      </c>
      <c r="AW396" s="655">
        <v>4935.74</v>
      </c>
      <c r="AX396" s="655">
        <v>0</v>
      </c>
      <c r="AY396" s="655">
        <v>0</v>
      </c>
      <c r="AZ396" s="655">
        <v>0</v>
      </c>
      <c r="BA396" s="655">
        <v>0</v>
      </c>
      <c r="BB396" s="655">
        <v>0</v>
      </c>
      <c r="BC396" s="655">
        <v>0</v>
      </c>
      <c r="BD396" s="655">
        <v>0</v>
      </c>
      <c r="BE396" s="655">
        <v>0</v>
      </c>
      <c r="BF396" s="655">
        <v>0</v>
      </c>
      <c r="BG396" s="655">
        <v>13071.14</v>
      </c>
      <c r="BH396" s="652">
        <v>5323.5</v>
      </c>
      <c r="BI396" s="652">
        <v>2811.9</v>
      </c>
      <c r="BJ396" s="652">
        <v>4935.74</v>
      </c>
      <c r="BK396" s="652">
        <v>0</v>
      </c>
      <c r="BL396" s="652">
        <v>0</v>
      </c>
      <c r="BM396" s="652">
        <v>0</v>
      </c>
      <c r="BN396" s="652">
        <v>0</v>
      </c>
      <c r="BO396" s="652">
        <v>0</v>
      </c>
      <c r="BP396" s="652">
        <v>0</v>
      </c>
      <c r="BQ396" s="652">
        <v>0</v>
      </c>
      <c r="BR396" s="652">
        <v>0</v>
      </c>
      <c r="BS396" s="652">
        <v>0</v>
      </c>
      <c r="BT396" s="652">
        <v>13071.14</v>
      </c>
    </row>
    <row r="397" spans="1:72" ht="15" hidden="1" customHeight="1">
      <c r="A397" s="79" t="s">
        <v>2627</v>
      </c>
      <c r="B397" s="79"/>
      <c r="C397" s="79" t="s">
        <v>919</v>
      </c>
      <c r="D397" s="296" t="s">
        <v>919</v>
      </c>
      <c r="E397" s="150" t="s">
        <v>1136</v>
      </c>
      <c r="F397" s="482" t="s">
        <v>1566</v>
      </c>
      <c r="G397" s="383" t="s">
        <v>1344</v>
      </c>
      <c r="H397" s="383" t="s">
        <v>1344</v>
      </c>
      <c r="I397" s="332" t="s">
        <v>1345</v>
      </c>
      <c r="J397" s="383" t="s">
        <v>1344</v>
      </c>
      <c r="K397" s="331" t="s">
        <v>1346</v>
      </c>
      <c r="L397" s="512" t="s">
        <v>639</v>
      </c>
      <c r="M397" s="393" t="s">
        <v>2628</v>
      </c>
      <c r="N397" s="343"/>
      <c r="O397" s="331"/>
      <c r="P397" s="91" t="s">
        <v>920</v>
      </c>
      <c r="Q397" s="343"/>
      <c r="R397" s="343"/>
      <c r="S397" s="348"/>
      <c r="T397" s="386" t="s">
        <v>25</v>
      </c>
      <c r="U397" s="387" t="s">
        <v>2629</v>
      </c>
      <c r="V397" s="668"/>
      <c r="W397" s="358">
        <v>32000</v>
      </c>
      <c r="X397" s="660">
        <v>32000</v>
      </c>
      <c r="Y397" s="656"/>
      <c r="Z397" s="657"/>
      <c r="AA397" s="716"/>
      <c r="AB397" s="717"/>
      <c r="AC397" s="717"/>
      <c r="AD397" s="428" t="s">
        <v>1142</v>
      </c>
      <c r="AE397" s="429">
        <v>0</v>
      </c>
      <c r="AF397" s="429">
        <v>0</v>
      </c>
      <c r="AG397" s="661">
        <v>0</v>
      </c>
      <c r="AH397" s="661">
        <v>0</v>
      </c>
      <c r="AI397" s="661">
        <v>0</v>
      </c>
      <c r="AJ397" s="661">
        <v>32000</v>
      </c>
      <c r="AK397" s="661">
        <v>0</v>
      </c>
      <c r="AL397" s="661">
        <v>0</v>
      </c>
      <c r="AM397" s="649">
        <f t="shared" si="25"/>
        <v>32000</v>
      </c>
      <c r="AN397" s="651">
        <f>ERP_27[[#This Row],[2026 Working Total]]-ERP_27[[#This Row],[LE2 Final Submission]]</f>
        <v>0</v>
      </c>
      <c r="AO397" s="652">
        <v>0</v>
      </c>
      <c r="AP397" s="652">
        <f t="shared" si="26"/>
        <v>0</v>
      </c>
      <c r="AQ397" s="374">
        <f>SUM(ERP_27[[#This Row],[AP01]:[AP06]])-SUM(ERP_27[[#This Row],[AP01 LE2]:[AP06 LE2]])</f>
        <v>0</v>
      </c>
      <c r="AR397" s="653"/>
      <c r="AS397" s="652">
        <f>ERP_27[[#This Row],[2026 Working Total to Budget/LE]]-ERP_27[[#This Row],[Giveback]]</f>
        <v>0</v>
      </c>
      <c r="AT397" s="690" t="s">
        <v>2630</v>
      </c>
      <c r="AU397" s="655"/>
      <c r="AV397" s="655"/>
      <c r="AW397" s="655"/>
      <c r="AX397" s="655">
        <v>0</v>
      </c>
      <c r="AY397" s="655">
        <v>0</v>
      </c>
      <c r="AZ397" s="655">
        <v>0</v>
      </c>
      <c r="BA397" s="655">
        <v>0</v>
      </c>
      <c r="BB397" s="655">
        <v>0</v>
      </c>
      <c r="BC397" s="655">
        <v>0</v>
      </c>
      <c r="BD397" s="655">
        <v>32000</v>
      </c>
      <c r="BE397" s="655">
        <v>0</v>
      </c>
      <c r="BF397" s="655">
        <v>0</v>
      </c>
      <c r="BG397" s="655">
        <v>32000</v>
      </c>
      <c r="BH397" s="662">
        <v>0</v>
      </c>
      <c r="BI397" s="662">
        <v>32000</v>
      </c>
      <c r="BJ397" s="662">
        <v>0</v>
      </c>
      <c r="BK397" s="662">
        <v>0</v>
      </c>
      <c r="BL397" s="662">
        <v>0</v>
      </c>
      <c r="BM397" s="662">
        <v>0</v>
      </c>
      <c r="BN397" s="662">
        <v>0</v>
      </c>
      <c r="BO397" s="662">
        <v>0</v>
      </c>
      <c r="BP397" s="662">
        <v>0</v>
      </c>
      <c r="BQ397" s="662">
        <v>0</v>
      </c>
      <c r="BR397" s="662">
        <v>0</v>
      </c>
      <c r="BS397" s="662">
        <v>0</v>
      </c>
      <c r="BT397" s="652">
        <f>SUM(ERP_27[[#This Row],[2026 AP01]:[2026 AP12]])</f>
        <v>32000</v>
      </c>
    </row>
    <row r="398" spans="1:72" ht="15" hidden="1" customHeight="1">
      <c r="A398" s="66" t="s">
        <v>2036</v>
      </c>
      <c r="B398" s="66"/>
      <c r="C398" s="66" t="s">
        <v>540</v>
      </c>
      <c r="D398" s="66" t="s">
        <v>540</v>
      </c>
      <c r="E398" s="150" t="s">
        <v>1136</v>
      </c>
      <c r="F398" s="482" t="s">
        <v>1566</v>
      </c>
      <c r="G398" s="150" t="s">
        <v>1450</v>
      </c>
      <c r="H398" s="150" t="s">
        <v>1450</v>
      </c>
      <c r="I398" s="150" t="s">
        <v>1345</v>
      </c>
      <c r="J398" s="150" t="s">
        <v>1450</v>
      </c>
      <c r="K398" s="150" t="s">
        <v>1346</v>
      </c>
      <c r="L398" s="511" t="s">
        <v>389</v>
      </c>
      <c r="M398" s="392" t="s">
        <v>1464</v>
      </c>
      <c r="N398" s="343"/>
      <c r="O398" s="343"/>
      <c r="P398" s="70" t="s">
        <v>214</v>
      </c>
      <c r="Q398" s="346"/>
      <c r="R398" s="343"/>
      <c r="S398" s="346"/>
      <c r="T398" s="150" t="s">
        <v>188</v>
      </c>
      <c r="U398" s="150"/>
      <c r="V398" s="643"/>
      <c r="W398" s="659">
        <v>0</v>
      </c>
      <c r="X398" s="659">
        <v>35000</v>
      </c>
      <c r="Y398" s="656"/>
      <c r="Z398" s="657"/>
      <c r="AA398" s="714"/>
      <c r="AB398" s="428"/>
      <c r="AC398" s="428">
        <v>8751</v>
      </c>
      <c r="AD398" s="428">
        <v>0</v>
      </c>
      <c r="AE398" s="429">
        <v>5834</v>
      </c>
      <c r="AF398" s="429">
        <v>0</v>
      </c>
      <c r="AG398" s="649">
        <v>2917</v>
      </c>
      <c r="AH398" s="649">
        <v>2917</v>
      </c>
      <c r="AI398" s="649">
        <v>2916</v>
      </c>
      <c r="AJ398" s="649">
        <v>2916</v>
      </c>
      <c r="AK398" s="649">
        <v>2916</v>
      </c>
      <c r="AL398" s="649">
        <v>2916</v>
      </c>
      <c r="AM398" s="649">
        <f t="shared" si="25"/>
        <v>32083</v>
      </c>
      <c r="AN398" s="651">
        <f>ERP_27[[#This Row],[2026 Working Total]]-ERP_27[[#This Row],[LE2 Final Submission]]</f>
        <v>-2917</v>
      </c>
      <c r="AO398" s="652">
        <v>2917</v>
      </c>
      <c r="AP398" s="652">
        <f t="shared" si="26"/>
        <v>-2917</v>
      </c>
      <c r="AQ398" s="374">
        <f>SUM(ERP_27[[#This Row],[AP01]:[AP06]])-SUM(ERP_27[[#This Row],[AP01 LE2]:[AP06 LE2]])</f>
        <v>-2917</v>
      </c>
      <c r="AR398" s="653"/>
      <c r="AS398" s="652">
        <f>ERP_27[[#This Row],[2026 Working Total to Budget/LE]]-ERP_27[[#This Row],[Giveback]]</f>
        <v>-2917</v>
      </c>
      <c r="AT398" s="654" t="s">
        <v>2037</v>
      </c>
      <c r="AU398" s="655"/>
      <c r="AV398" s="655"/>
      <c r="AW398" s="655">
        <v>8751</v>
      </c>
      <c r="AX398" s="655">
        <v>2917</v>
      </c>
      <c r="AY398" s="655">
        <v>2917</v>
      </c>
      <c r="AZ398" s="655">
        <v>2917</v>
      </c>
      <c r="BA398" s="655">
        <v>2917</v>
      </c>
      <c r="BB398" s="655">
        <v>2917</v>
      </c>
      <c r="BC398" s="655">
        <v>2916</v>
      </c>
      <c r="BD398" s="655">
        <v>2916</v>
      </c>
      <c r="BE398" s="655">
        <v>2916</v>
      </c>
      <c r="BF398" s="655">
        <v>2916</v>
      </c>
      <c r="BG398" s="655">
        <v>35000</v>
      </c>
      <c r="BH398" s="652"/>
      <c r="BI398" s="652"/>
      <c r="BJ398" s="652">
        <v>8751</v>
      </c>
      <c r="BK398" s="652">
        <v>0</v>
      </c>
      <c r="BL398" s="652">
        <v>0</v>
      </c>
      <c r="BM398" s="652">
        <v>0</v>
      </c>
      <c r="BN398" s="652">
        <v>0</v>
      </c>
      <c r="BO398" s="652">
        <v>0</v>
      </c>
      <c r="BP398" s="652">
        <v>0</v>
      </c>
      <c r="BQ398" s="652">
        <v>0</v>
      </c>
      <c r="BR398" s="652">
        <v>0</v>
      </c>
      <c r="BS398" s="652">
        <v>0</v>
      </c>
      <c r="BT398" s="652">
        <v>8751</v>
      </c>
    </row>
    <row r="399" spans="1:72" ht="15" hidden="1" customHeight="1">
      <c r="A399" s="66" t="s">
        <v>2052</v>
      </c>
      <c r="B399" s="66"/>
      <c r="C399" s="66" t="s">
        <v>572</v>
      </c>
      <c r="D399" s="66" t="s">
        <v>2053</v>
      </c>
      <c r="E399" s="150" t="s">
        <v>1136</v>
      </c>
      <c r="F399" s="482" t="s">
        <v>1566</v>
      </c>
      <c r="G399" s="482" t="s">
        <v>1566</v>
      </c>
      <c r="H399" s="482" t="s">
        <v>1566</v>
      </c>
      <c r="I399" s="150" t="s">
        <v>1345</v>
      </c>
      <c r="J399" s="150" t="s">
        <v>1346</v>
      </c>
      <c r="K399" s="150" t="s">
        <v>1346</v>
      </c>
      <c r="L399" s="511" t="s">
        <v>389</v>
      </c>
      <c r="M399" s="392" t="s">
        <v>2054</v>
      </c>
      <c r="N399" s="343"/>
      <c r="O399" s="343"/>
      <c r="P399" s="70" t="s">
        <v>573</v>
      </c>
      <c r="Q399" s="346"/>
      <c r="R399" s="343"/>
      <c r="S399" s="346"/>
      <c r="T399" s="150" t="s">
        <v>432</v>
      </c>
      <c r="U399" s="150"/>
      <c r="V399" s="643"/>
      <c r="W399" s="659">
        <v>42000</v>
      </c>
      <c r="X399" s="659">
        <v>37871.96</v>
      </c>
      <c r="Y399" s="656"/>
      <c r="Z399" s="657"/>
      <c r="AA399" s="714">
        <v>1370.43</v>
      </c>
      <c r="AB399" s="428">
        <v>3605.56</v>
      </c>
      <c r="AC399" s="428">
        <v>1395.97</v>
      </c>
      <c r="AD399" s="428">
        <v>1255.79</v>
      </c>
      <c r="AE399" s="429">
        <v>2734.6699999999996</v>
      </c>
      <c r="AF399" s="429">
        <v>2056.0299999999997</v>
      </c>
      <c r="AG399" s="649">
        <v>3500</v>
      </c>
      <c r="AH399" s="649">
        <v>3500</v>
      </c>
      <c r="AI399" s="649">
        <v>3500</v>
      </c>
      <c r="AJ399" s="649">
        <v>3500</v>
      </c>
      <c r="AK399" s="649">
        <v>3500</v>
      </c>
      <c r="AL399" s="649">
        <v>3500</v>
      </c>
      <c r="AM399" s="649">
        <f t="shared" si="25"/>
        <v>33418.449999999997</v>
      </c>
      <c r="AN399" s="651">
        <f>ERP_27[[#This Row],[2026 Working Total]]-ERP_27[[#This Row],[LE2 Final Submission]]</f>
        <v>-4453.510000000002</v>
      </c>
      <c r="AO399" s="652">
        <v>3500</v>
      </c>
      <c r="AP399" s="652">
        <f t="shared" si="26"/>
        <v>-1443.9700000000003</v>
      </c>
      <c r="AQ399" s="374">
        <f>SUM(ERP_27[[#This Row],[AP01]:[AP06]])-SUM(ERP_27[[#This Row],[AP01 LE2]:[AP06 LE2]])</f>
        <v>-4453.5099999999984</v>
      </c>
      <c r="AR399" s="653"/>
      <c r="AS399" s="652">
        <f>ERP_27[[#This Row],[2026 Working Total to Budget/LE]]-ERP_27[[#This Row],[Giveback]]</f>
        <v>-4453.510000000002</v>
      </c>
      <c r="AT399" s="654"/>
      <c r="AU399" s="655">
        <v>1370.43</v>
      </c>
      <c r="AV399" s="655">
        <v>3605.56</v>
      </c>
      <c r="AW399" s="655">
        <v>1395.97</v>
      </c>
      <c r="AX399" s="655">
        <v>3500</v>
      </c>
      <c r="AY399" s="655">
        <v>3500</v>
      </c>
      <c r="AZ399" s="655">
        <v>3500</v>
      </c>
      <c r="BA399" s="655">
        <v>3500</v>
      </c>
      <c r="BB399" s="655">
        <v>3500</v>
      </c>
      <c r="BC399" s="655">
        <v>3500</v>
      </c>
      <c r="BD399" s="655">
        <v>3500</v>
      </c>
      <c r="BE399" s="655">
        <v>3500</v>
      </c>
      <c r="BF399" s="655">
        <v>3500</v>
      </c>
      <c r="BG399" s="655">
        <v>37871.96</v>
      </c>
      <c r="BH399" s="652">
        <v>1370.43</v>
      </c>
      <c r="BI399" s="652">
        <v>3605.56</v>
      </c>
      <c r="BJ399" s="652">
        <v>1395.97</v>
      </c>
      <c r="BK399" s="652">
        <v>3500</v>
      </c>
      <c r="BL399" s="652">
        <v>3500</v>
      </c>
      <c r="BM399" s="652">
        <v>3500</v>
      </c>
      <c r="BN399" s="652">
        <v>3500</v>
      </c>
      <c r="BO399" s="652">
        <v>3500</v>
      </c>
      <c r="BP399" s="652">
        <v>3500</v>
      </c>
      <c r="BQ399" s="652">
        <v>3500</v>
      </c>
      <c r="BR399" s="652">
        <v>3500</v>
      </c>
      <c r="BS399" s="652">
        <v>3500</v>
      </c>
      <c r="BT399" s="652">
        <v>37871.96</v>
      </c>
    </row>
    <row r="400" spans="1:72" ht="15" hidden="1" customHeight="1">
      <c r="A400" s="66" t="s">
        <v>2022</v>
      </c>
      <c r="B400" s="66"/>
      <c r="C400" s="66" t="s">
        <v>532</v>
      </c>
      <c r="D400" s="66" t="s">
        <v>2023</v>
      </c>
      <c r="E400" s="150" t="s">
        <v>1136</v>
      </c>
      <c r="F400" s="482" t="s">
        <v>1566</v>
      </c>
      <c r="G400" s="150" t="s">
        <v>1345</v>
      </c>
      <c r="H400" s="150" t="s">
        <v>1437</v>
      </c>
      <c r="I400" s="150" t="s">
        <v>1345</v>
      </c>
      <c r="J400" s="150" t="s">
        <v>1437</v>
      </c>
      <c r="K400" s="150" t="s">
        <v>1346</v>
      </c>
      <c r="L400" s="511" t="s">
        <v>389</v>
      </c>
      <c r="M400" s="392" t="s">
        <v>1703</v>
      </c>
      <c r="N400" s="343"/>
      <c r="O400" s="343"/>
      <c r="P400" s="70" t="s">
        <v>365</v>
      </c>
      <c r="Q400" s="346"/>
      <c r="R400" s="346" t="s">
        <v>1140</v>
      </c>
      <c r="S400" s="346"/>
      <c r="T400" s="150" t="s">
        <v>57</v>
      </c>
      <c r="U400" s="150"/>
      <c r="V400" s="643"/>
      <c r="W400" s="659">
        <v>29055.720000000005</v>
      </c>
      <c r="X400" s="659">
        <v>28350.190000000002</v>
      </c>
      <c r="Y400" s="656"/>
      <c r="Z400" s="657"/>
      <c r="AA400" s="714">
        <v>2204.83</v>
      </c>
      <c r="AB400" s="428">
        <v>2275.48</v>
      </c>
      <c r="AC400" s="428">
        <v>2078.09</v>
      </c>
      <c r="AD400" s="428">
        <v>6776.0599999999995</v>
      </c>
      <c r="AE400" s="429">
        <v>5361.06</v>
      </c>
      <c r="AF400" s="429">
        <v>754.37999999999988</v>
      </c>
      <c r="AG400" s="649">
        <v>2421.31</v>
      </c>
      <c r="AH400" s="649">
        <v>2421.31</v>
      </c>
      <c r="AI400" s="649">
        <v>2421.31</v>
      </c>
      <c r="AJ400" s="649">
        <v>2421.31</v>
      </c>
      <c r="AK400" s="649">
        <v>2421.31</v>
      </c>
      <c r="AL400" s="649">
        <v>2421.31</v>
      </c>
      <c r="AM400" s="649">
        <f t="shared" si="25"/>
        <v>33977.760000000009</v>
      </c>
      <c r="AN400" s="651">
        <f>ERP_27[[#This Row],[2026 Working Total]]-ERP_27[[#This Row],[LE2 Final Submission]]</f>
        <v>5627.570000000007</v>
      </c>
      <c r="AO400" s="652">
        <v>2421.31</v>
      </c>
      <c r="AP400" s="652">
        <f t="shared" si="26"/>
        <v>-1666.93</v>
      </c>
      <c r="AQ400" s="374">
        <f>SUM(ERP_27[[#This Row],[AP01]:[AP06]])-SUM(ERP_27[[#This Row],[AP01 LE2]:[AP06 LE2]])</f>
        <v>5627.5700000000033</v>
      </c>
      <c r="AR400" s="653"/>
      <c r="AS400" s="652">
        <f>ERP_27[[#This Row],[2026 Working Total to Budget/LE]]-ERP_27[[#This Row],[Giveback]]</f>
        <v>5627.570000000007</v>
      </c>
      <c r="AT400" s="654"/>
      <c r="AU400" s="655">
        <v>2204.83</v>
      </c>
      <c r="AV400" s="655">
        <v>2275.48</v>
      </c>
      <c r="AW400" s="655">
        <v>2078.09</v>
      </c>
      <c r="AX400" s="655">
        <v>2421.31</v>
      </c>
      <c r="AY400" s="655">
        <v>2421.31</v>
      </c>
      <c r="AZ400" s="655">
        <v>2421.31</v>
      </c>
      <c r="BA400" s="655">
        <v>2421.31</v>
      </c>
      <c r="BB400" s="655">
        <v>2421.31</v>
      </c>
      <c r="BC400" s="655">
        <v>2421.31</v>
      </c>
      <c r="BD400" s="655">
        <v>2421.31</v>
      </c>
      <c r="BE400" s="655">
        <v>2421.31</v>
      </c>
      <c r="BF400" s="655">
        <v>2421.31</v>
      </c>
      <c r="BG400" s="655">
        <v>28350.190000000002</v>
      </c>
      <c r="BH400" s="652">
        <v>2204.83</v>
      </c>
      <c r="BI400" s="652">
        <v>2275.48</v>
      </c>
      <c r="BJ400" s="652">
        <v>2078.09</v>
      </c>
      <c r="BK400" s="652">
        <v>2421.31</v>
      </c>
      <c r="BL400" s="652">
        <v>2421.31</v>
      </c>
      <c r="BM400" s="652">
        <v>2421.31</v>
      </c>
      <c r="BN400" s="652">
        <v>2421.31</v>
      </c>
      <c r="BO400" s="652">
        <v>2421.31</v>
      </c>
      <c r="BP400" s="652">
        <v>2421.31</v>
      </c>
      <c r="BQ400" s="652">
        <v>2421.31</v>
      </c>
      <c r="BR400" s="652">
        <v>2421.31</v>
      </c>
      <c r="BS400" s="652">
        <v>2421.31</v>
      </c>
      <c r="BT400" s="652">
        <v>28350.190000000002</v>
      </c>
    </row>
    <row r="401" spans="1:72" ht="15" hidden="1" customHeight="1">
      <c r="A401" s="66" t="s">
        <v>2815</v>
      </c>
      <c r="B401" s="66"/>
      <c r="C401" s="66" t="s">
        <v>1022</v>
      </c>
      <c r="D401" s="66" t="s">
        <v>1022</v>
      </c>
      <c r="E401" s="150" t="s">
        <v>1136</v>
      </c>
      <c r="F401" s="482" t="s">
        <v>1566</v>
      </c>
      <c r="G401" s="150" t="s">
        <v>1650</v>
      </c>
      <c r="H401" s="150" t="s">
        <v>1650</v>
      </c>
      <c r="I401" s="150" t="s">
        <v>1650</v>
      </c>
      <c r="J401" s="150" t="s">
        <v>1650</v>
      </c>
      <c r="K401" s="150" t="s">
        <v>1650</v>
      </c>
      <c r="L401" s="511" t="s">
        <v>639</v>
      </c>
      <c r="M401" s="392" t="s">
        <v>818</v>
      </c>
      <c r="N401" s="343"/>
      <c r="O401" s="343"/>
      <c r="P401" s="70" t="s">
        <v>817</v>
      </c>
      <c r="Q401" s="346"/>
      <c r="R401" s="346" t="s">
        <v>1140</v>
      </c>
      <c r="S401" s="346"/>
      <c r="T401" s="150" t="s">
        <v>818</v>
      </c>
      <c r="U401" s="150" t="s">
        <v>2816</v>
      </c>
      <c r="V401" s="643"/>
      <c r="W401" s="659">
        <v>17784.52</v>
      </c>
      <c r="X401" s="659">
        <v>32897.279999999999</v>
      </c>
      <c r="Y401" s="656"/>
      <c r="Z401" s="657"/>
      <c r="AA401" s="714"/>
      <c r="AB401" s="428"/>
      <c r="AC401" s="428">
        <v>8224.32</v>
      </c>
      <c r="AD401" s="428">
        <v>0</v>
      </c>
      <c r="AE401" s="429">
        <v>0</v>
      </c>
      <c r="AF401" s="429">
        <v>10506.24</v>
      </c>
      <c r="AG401" s="649">
        <v>0</v>
      </c>
      <c r="AH401" s="649">
        <v>0</v>
      </c>
      <c r="AI401" s="649">
        <v>8224.32</v>
      </c>
      <c r="AJ401" s="649">
        <v>0</v>
      </c>
      <c r="AK401" s="649">
        <v>8224.32</v>
      </c>
      <c r="AL401" s="649">
        <v>0</v>
      </c>
      <c r="AM401" s="649">
        <f t="shared" si="25"/>
        <v>35179.199999999997</v>
      </c>
      <c r="AN401" s="651">
        <f>ERP_27[[#This Row],[2026 Working Total]]-ERP_27[[#This Row],[LE2 Final Submission]]</f>
        <v>2281.9199999999983</v>
      </c>
      <c r="AO401" s="652">
        <v>0</v>
      </c>
      <c r="AP401" s="652">
        <f t="shared" si="26"/>
        <v>10506.24</v>
      </c>
      <c r="AQ401" s="374">
        <f>SUM(ERP_27[[#This Row],[AP01]:[AP06]])-SUM(ERP_27[[#This Row],[AP01 LE2]:[AP06 LE2]])</f>
        <v>2281.9199999999983</v>
      </c>
      <c r="AR401" s="653"/>
      <c r="AS401" s="652">
        <f>ERP_27[[#This Row],[2026 Working Total to Budget/LE]]-ERP_27[[#This Row],[Giveback]]</f>
        <v>2281.9199999999983</v>
      </c>
      <c r="AT401" s="654"/>
      <c r="AU401" s="655"/>
      <c r="AV401" s="655"/>
      <c r="AW401" s="655">
        <v>8224.32</v>
      </c>
      <c r="AX401" s="655">
        <v>0</v>
      </c>
      <c r="AY401" s="655">
        <v>0</v>
      </c>
      <c r="AZ401" s="655">
        <v>8224.32</v>
      </c>
      <c r="BA401" s="655">
        <v>0</v>
      </c>
      <c r="BB401" s="655">
        <v>0</v>
      </c>
      <c r="BC401" s="655">
        <v>8224.32</v>
      </c>
      <c r="BD401" s="655">
        <v>0</v>
      </c>
      <c r="BE401" s="655">
        <v>8224.32</v>
      </c>
      <c r="BF401" s="655">
        <v>0</v>
      </c>
      <c r="BG401" s="655">
        <v>32897.279999999999</v>
      </c>
      <c r="BH401" s="652"/>
      <c r="BI401" s="652"/>
      <c r="BJ401" s="652">
        <v>8224.32</v>
      </c>
      <c r="BK401" s="652">
        <v>0</v>
      </c>
      <c r="BL401" s="652">
        <v>0</v>
      </c>
      <c r="BM401" s="652">
        <v>4446.13</v>
      </c>
      <c r="BN401" s="652">
        <v>0</v>
      </c>
      <c r="BO401" s="652">
        <v>0</v>
      </c>
      <c r="BP401" s="652">
        <v>4446.13</v>
      </c>
      <c r="BQ401" s="652">
        <v>0</v>
      </c>
      <c r="BR401" s="652">
        <v>4446.13</v>
      </c>
      <c r="BS401" s="652">
        <v>0</v>
      </c>
      <c r="BT401" s="652">
        <v>21562.710000000003</v>
      </c>
    </row>
    <row r="402" spans="1:72" ht="15" hidden="1" customHeight="1">
      <c r="A402" s="66" t="s">
        <v>2584</v>
      </c>
      <c r="B402" s="66"/>
      <c r="C402" s="66" t="s">
        <v>891</v>
      </c>
      <c r="D402" s="66" t="s">
        <v>2585</v>
      </c>
      <c r="E402" s="150" t="s">
        <v>1136</v>
      </c>
      <c r="F402" s="482" t="s">
        <v>1566</v>
      </c>
      <c r="G402" s="150" t="s">
        <v>1135</v>
      </c>
      <c r="H402" s="150" t="s">
        <v>1165</v>
      </c>
      <c r="I402" s="150" t="s">
        <v>1135</v>
      </c>
      <c r="J402" s="150" t="s">
        <v>1165</v>
      </c>
      <c r="K402" s="150" t="s">
        <v>1137</v>
      </c>
      <c r="L402" s="511" t="s">
        <v>639</v>
      </c>
      <c r="M402" s="392" t="s">
        <v>2586</v>
      </c>
      <c r="N402" s="343"/>
      <c r="O402" s="343"/>
      <c r="P402" s="70" t="s">
        <v>892</v>
      </c>
      <c r="Q402" s="346"/>
      <c r="R402" s="343"/>
      <c r="S402" s="346"/>
      <c r="T402" s="150" t="s">
        <v>490</v>
      </c>
      <c r="U402" s="150"/>
      <c r="V402" s="643"/>
      <c r="W402" s="659">
        <v>35569</v>
      </c>
      <c r="X402" s="659">
        <v>35569</v>
      </c>
      <c r="Y402" s="656"/>
      <c r="Z402" s="657"/>
      <c r="AA402" s="714"/>
      <c r="AB402" s="428"/>
      <c r="AC402" s="428"/>
      <c r="AD402" s="428" t="s">
        <v>1142</v>
      </c>
      <c r="AE402" s="429">
        <v>0</v>
      </c>
      <c r="AF402" s="429">
        <v>0</v>
      </c>
      <c r="AG402" s="649"/>
      <c r="AH402" s="649">
        <v>35569</v>
      </c>
      <c r="AI402" s="649">
        <v>0</v>
      </c>
      <c r="AJ402" s="649">
        <v>0</v>
      </c>
      <c r="AK402" s="649">
        <v>0</v>
      </c>
      <c r="AL402" s="649">
        <v>0</v>
      </c>
      <c r="AM402" s="649">
        <f t="shared" si="25"/>
        <v>35569</v>
      </c>
      <c r="AN402" s="651">
        <f>ERP_27[[#This Row],[2026 Working Total]]-ERP_27[[#This Row],[LE2 Final Submission]]</f>
        <v>0</v>
      </c>
      <c r="AO402" s="652"/>
      <c r="AP402" s="652">
        <f t="shared" si="26"/>
        <v>0</v>
      </c>
      <c r="AQ402" s="374">
        <f>SUM(ERP_27[[#This Row],[AP01]:[AP06]])-SUM(ERP_27[[#This Row],[AP01 LE2]:[AP06 LE2]])</f>
        <v>-35569</v>
      </c>
      <c r="AR402" s="653"/>
      <c r="AS402" s="652">
        <f>ERP_27[[#This Row],[2026 Working Total to Budget/LE]]-ERP_27[[#This Row],[Giveback]]</f>
        <v>0</v>
      </c>
      <c r="AT402" s="654"/>
      <c r="AU402" s="655"/>
      <c r="AV402" s="655"/>
      <c r="AW402" s="655"/>
      <c r="AX402" s="655"/>
      <c r="AY402" s="655"/>
      <c r="AZ402" s="655">
        <v>35569</v>
      </c>
      <c r="BA402" s="655">
        <v>0</v>
      </c>
      <c r="BB402" s="655">
        <v>0</v>
      </c>
      <c r="BC402" s="655">
        <v>0</v>
      </c>
      <c r="BD402" s="655">
        <v>0</v>
      </c>
      <c r="BE402" s="655">
        <v>0</v>
      </c>
      <c r="BF402" s="655">
        <v>0</v>
      </c>
      <c r="BG402" s="655">
        <v>35569</v>
      </c>
      <c r="BH402" s="652"/>
      <c r="BI402" s="652"/>
      <c r="BJ402" s="652"/>
      <c r="BK402" s="652"/>
      <c r="BL402" s="652"/>
      <c r="BM402" s="652">
        <v>35569</v>
      </c>
      <c r="BN402" s="652">
        <v>0</v>
      </c>
      <c r="BO402" s="652">
        <v>0</v>
      </c>
      <c r="BP402" s="652">
        <v>0</v>
      </c>
      <c r="BQ402" s="652">
        <v>0</v>
      </c>
      <c r="BR402" s="652">
        <v>0</v>
      </c>
      <c r="BS402" s="652">
        <v>0</v>
      </c>
      <c r="BT402" s="652">
        <v>35569</v>
      </c>
    </row>
    <row r="403" spans="1:72" ht="15" hidden="1" customHeight="1">
      <c r="A403" s="66" t="s">
        <v>1654</v>
      </c>
      <c r="B403" s="66"/>
      <c r="C403" s="66" t="s">
        <v>326</v>
      </c>
      <c r="D403" s="66" t="s">
        <v>326</v>
      </c>
      <c r="E403" s="150" t="s">
        <v>1136</v>
      </c>
      <c r="F403" s="482" t="s">
        <v>1566</v>
      </c>
      <c r="G403" s="150" t="s">
        <v>1650</v>
      </c>
      <c r="H403" s="150" t="s">
        <v>1650</v>
      </c>
      <c r="I403" s="150" t="s">
        <v>1650</v>
      </c>
      <c r="J403" s="150" t="s">
        <v>1650</v>
      </c>
      <c r="K403" s="150" t="s">
        <v>1650</v>
      </c>
      <c r="L403" s="511" t="s">
        <v>49</v>
      </c>
      <c r="M403" s="392" t="s">
        <v>1655</v>
      </c>
      <c r="N403" s="343"/>
      <c r="O403" s="343"/>
      <c r="P403" s="70" t="s">
        <v>327</v>
      </c>
      <c r="Q403" s="346"/>
      <c r="R403" s="343"/>
      <c r="S403" s="346"/>
      <c r="T403" s="150" t="s">
        <v>328</v>
      </c>
      <c r="U403" s="150" t="s">
        <v>1656</v>
      </c>
      <c r="V403" s="643"/>
      <c r="W403" s="659">
        <v>224004</v>
      </c>
      <c r="X403" s="659">
        <v>53297.440000000002</v>
      </c>
      <c r="Y403" s="656"/>
      <c r="Z403" s="657"/>
      <c r="AA403" s="714">
        <v>15089.11</v>
      </c>
      <c r="AB403" s="428">
        <v>16899.45</v>
      </c>
      <c r="AC403" s="428">
        <v>21308.880000000001</v>
      </c>
      <c r="AD403" s="428">
        <v>16899.62</v>
      </c>
      <c r="AE403" s="429">
        <v>-34566.71</v>
      </c>
      <c r="AF403" s="429">
        <v>0</v>
      </c>
      <c r="AG403" s="649">
        <v>0</v>
      </c>
      <c r="AH403" s="649">
        <v>0</v>
      </c>
      <c r="AI403" s="649">
        <v>0</v>
      </c>
      <c r="AJ403" s="649">
        <v>0</v>
      </c>
      <c r="AK403" s="649">
        <v>0</v>
      </c>
      <c r="AL403" s="649">
        <v>0</v>
      </c>
      <c r="AM403" s="649">
        <f t="shared" ref="AM403:AM466" si="27">SUM(AA403:AL403)</f>
        <v>35630.35</v>
      </c>
      <c r="AN403" s="651">
        <f>ERP_27[[#This Row],[2026 Working Total]]-ERP_27[[#This Row],[LE2 Final Submission]]</f>
        <v>-17667.090000000004</v>
      </c>
      <c r="AO403" s="652">
        <v>0</v>
      </c>
      <c r="AP403" s="652">
        <f t="shared" si="26"/>
        <v>0</v>
      </c>
      <c r="AQ403" s="374">
        <f>SUM(ERP_27[[#This Row],[AP01]:[AP06]])-SUM(ERP_27[[#This Row],[AP01 LE2]:[AP06 LE2]])</f>
        <v>-17667.090000000004</v>
      </c>
      <c r="AR403" s="653"/>
      <c r="AS403" s="652">
        <f>ERP_27[[#This Row],[2026 Working Total to Budget/LE]]-ERP_27[[#This Row],[Giveback]]</f>
        <v>-17667.090000000004</v>
      </c>
      <c r="AT403" s="654"/>
      <c r="AU403" s="655">
        <v>15089.11</v>
      </c>
      <c r="AV403" s="655">
        <v>16899.45</v>
      </c>
      <c r="AW403" s="655">
        <v>21308.880000000001</v>
      </c>
      <c r="AX403" s="655">
        <v>0</v>
      </c>
      <c r="AY403" s="655">
        <v>0</v>
      </c>
      <c r="AZ403" s="655">
        <v>0</v>
      </c>
      <c r="BA403" s="655">
        <v>0</v>
      </c>
      <c r="BB403" s="655">
        <v>0</v>
      </c>
      <c r="BC403" s="655">
        <v>0</v>
      </c>
      <c r="BD403" s="655">
        <v>0</v>
      </c>
      <c r="BE403" s="655">
        <v>0</v>
      </c>
      <c r="BF403" s="655">
        <v>0</v>
      </c>
      <c r="BG403" s="655">
        <v>53297.440000000002</v>
      </c>
      <c r="BH403" s="652">
        <v>15089.11</v>
      </c>
      <c r="BI403" s="652">
        <v>16899.45</v>
      </c>
      <c r="BJ403" s="652">
        <v>21308.880000000001</v>
      </c>
      <c r="BK403" s="652">
        <v>18667</v>
      </c>
      <c r="BL403" s="652">
        <v>18667</v>
      </c>
      <c r="BM403" s="652">
        <v>18667</v>
      </c>
      <c r="BN403" s="652">
        <v>18667</v>
      </c>
      <c r="BO403" s="652">
        <v>18667</v>
      </c>
      <c r="BP403" s="652">
        <v>18667</v>
      </c>
      <c r="BQ403" s="652">
        <v>18667</v>
      </c>
      <c r="BR403" s="652">
        <v>18667</v>
      </c>
      <c r="BS403" s="652">
        <v>18667</v>
      </c>
      <c r="BT403" s="652">
        <v>221300.44</v>
      </c>
    </row>
    <row r="404" spans="1:72" ht="15" hidden="1" customHeight="1">
      <c r="A404" s="66" t="s">
        <v>1933</v>
      </c>
      <c r="B404" s="66"/>
      <c r="C404" s="66" t="s">
        <v>476</v>
      </c>
      <c r="D404" s="66" t="s">
        <v>1934</v>
      </c>
      <c r="E404" s="150" t="s">
        <v>1136</v>
      </c>
      <c r="F404" s="482" t="s">
        <v>1566</v>
      </c>
      <c r="G404" s="150" t="s">
        <v>1135</v>
      </c>
      <c r="H404" s="150" t="s">
        <v>1165</v>
      </c>
      <c r="I404" s="150" t="s">
        <v>1135</v>
      </c>
      <c r="J404" s="150" t="s">
        <v>1165</v>
      </c>
      <c r="K404" s="150" t="s">
        <v>1137</v>
      </c>
      <c r="L404" s="511" t="s">
        <v>389</v>
      </c>
      <c r="M404" s="392" t="s">
        <v>1935</v>
      </c>
      <c r="N404" s="343"/>
      <c r="O404" s="343"/>
      <c r="P404" s="70" t="s">
        <v>477</v>
      </c>
      <c r="Q404" s="346"/>
      <c r="R404" s="343"/>
      <c r="S404" s="346"/>
      <c r="T404" s="150" t="s">
        <v>478</v>
      </c>
      <c r="U404" s="150"/>
      <c r="V404" s="643"/>
      <c r="W404" s="659">
        <v>36000</v>
      </c>
      <c r="X404" s="659">
        <v>36000.300000000003</v>
      </c>
      <c r="Y404" s="656"/>
      <c r="Z404" s="657"/>
      <c r="AA404" s="714"/>
      <c r="AB404" s="428">
        <v>5999.76</v>
      </c>
      <c r="AC404" s="428">
        <v>2703.54</v>
      </c>
      <c r="AD404" s="429">
        <v>2769.23</v>
      </c>
      <c r="AE404" s="429">
        <v>3527.23</v>
      </c>
      <c r="AF404" s="429">
        <v>2703.54</v>
      </c>
      <c r="AG404" s="649">
        <v>3000</v>
      </c>
      <c r="AH404" s="649">
        <v>3000</v>
      </c>
      <c r="AI404" s="649">
        <v>3000</v>
      </c>
      <c r="AJ404" s="649">
        <v>3000</v>
      </c>
      <c r="AK404" s="649">
        <v>3000</v>
      </c>
      <c r="AL404" s="649">
        <v>3000</v>
      </c>
      <c r="AM404" s="649">
        <f t="shared" si="27"/>
        <v>35703.300000000003</v>
      </c>
      <c r="AN404" s="651">
        <f>ERP_27[[#This Row],[2026 Working Total]]-ERP_27[[#This Row],[LE2 Final Submission]]</f>
        <v>-297</v>
      </c>
      <c r="AO404" s="652">
        <v>3000</v>
      </c>
      <c r="AP404" s="652">
        <f t="shared" si="26"/>
        <v>-296.46000000000004</v>
      </c>
      <c r="AQ404" s="374">
        <f>SUM(ERP_27[[#This Row],[AP01]:[AP06]])-SUM(ERP_27[[#This Row],[AP01 LE2]:[AP06 LE2]])</f>
        <v>-297</v>
      </c>
      <c r="AR404" s="653"/>
      <c r="AS404" s="652">
        <f>ERP_27[[#This Row],[2026 Working Total to Budget/LE]]-ERP_27[[#This Row],[Giveback]]</f>
        <v>-297</v>
      </c>
      <c r="AT404" s="654"/>
      <c r="AU404" s="655"/>
      <c r="AV404" s="655">
        <v>5999.76</v>
      </c>
      <c r="AW404" s="655">
        <v>2703.54</v>
      </c>
      <c r="AX404" s="655">
        <v>3297</v>
      </c>
      <c r="AY404" s="655">
        <v>3000</v>
      </c>
      <c r="AZ404" s="655">
        <v>3000</v>
      </c>
      <c r="BA404" s="655">
        <v>3000</v>
      </c>
      <c r="BB404" s="655">
        <v>3000</v>
      </c>
      <c r="BC404" s="655">
        <v>3000</v>
      </c>
      <c r="BD404" s="655">
        <v>3000</v>
      </c>
      <c r="BE404" s="655">
        <v>3000</v>
      </c>
      <c r="BF404" s="655">
        <v>3000</v>
      </c>
      <c r="BG404" s="655">
        <v>36000.300000000003</v>
      </c>
      <c r="BH404" s="652"/>
      <c r="BI404" s="652">
        <v>5999.76</v>
      </c>
      <c r="BJ404" s="652">
        <v>2703.54</v>
      </c>
      <c r="BK404" s="652">
        <v>3000</v>
      </c>
      <c r="BL404" s="652">
        <v>3000</v>
      </c>
      <c r="BM404" s="652">
        <v>3000</v>
      </c>
      <c r="BN404" s="652">
        <v>3000</v>
      </c>
      <c r="BO404" s="652">
        <v>3000</v>
      </c>
      <c r="BP404" s="652">
        <v>3000</v>
      </c>
      <c r="BQ404" s="652">
        <v>3000</v>
      </c>
      <c r="BR404" s="652">
        <v>3000</v>
      </c>
      <c r="BS404" s="652">
        <v>3000</v>
      </c>
      <c r="BT404" s="652">
        <v>35703.300000000003</v>
      </c>
    </row>
    <row r="405" spans="1:72" ht="15" hidden="1" customHeight="1">
      <c r="A405" s="66" t="s">
        <v>1266</v>
      </c>
      <c r="B405" s="66"/>
      <c r="C405" s="66" t="s">
        <v>112</v>
      </c>
      <c r="D405" s="66" t="s">
        <v>1267</v>
      </c>
      <c r="E405" s="150" t="s">
        <v>1136</v>
      </c>
      <c r="F405" s="482" t="s">
        <v>1566</v>
      </c>
      <c r="G405" s="150" t="s">
        <v>1135</v>
      </c>
      <c r="H405" s="150" t="s">
        <v>1165</v>
      </c>
      <c r="I405" s="150" t="s">
        <v>1135</v>
      </c>
      <c r="J405" s="150" t="s">
        <v>1165</v>
      </c>
      <c r="K405" s="150" t="s">
        <v>1137</v>
      </c>
      <c r="L405" s="511" t="s">
        <v>49</v>
      </c>
      <c r="M405" s="392" t="s">
        <v>1268</v>
      </c>
      <c r="N405" s="343"/>
      <c r="O405" s="343"/>
      <c r="P405" s="70" t="s">
        <v>113</v>
      </c>
      <c r="Q405" s="346"/>
      <c r="R405" s="343"/>
      <c r="S405" s="346"/>
      <c r="T405" s="150" t="s">
        <v>114</v>
      </c>
      <c r="U405" s="150"/>
      <c r="V405" s="643"/>
      <c r="W405" s="659">
        <v>39781.000000000015</v>
      </c>
      <c r="X405" s="659">
        <v>37314.43</v>
      </c>
      <c r="Y405" s="656"/>
      <c r="Z405" s="657"/>
      <c r="AA405" s="714">
        <v>3217.02</v>
      </c>
      <c r="AB405" s="428">
        <v>2578.4899999999998</v>
      </c>
      <c r="AC405" s="428">
        <v>2874.84</v>
      </c>
      <c r="AD405" s="428">
        <v>3540.9</v>
      </c>
      <c r="AE405" s="429">
        <v>2797.94</v>
      </c>
      <c r="AF405" s="429">
        <v>2743.02</v>
      </c>
      <c r="AG405" s="649">
        <v>3159</v>
      </c>
      <c r="AH405" s="649">
        <v>3190</v>
      </c>
      <c r="AI405" s="649">
        <v>3150</v>
      </c>
      <c r="AJ405" s="649">
        <v>3150</v>
      </c>
      <c r="AK405" s="649">
        <v>3150</v>
      </c>
      <c r="AL405" s="649">
        <v>3150</v>
      </c>
      <c r="AM405" s="649">
        <f t="shared" si="27"/>
        <v>36701.21</v>
      </c>
      <c r="AN405" s="651">
        <f>ERP_27[[#This Row],[2026 Working Total]]-ERP_27[[#This Row],[LE2 Final Submission]]</f>
        <v>-613.22000000000116</v>
      </c>
      <c r="AO405" s="652">
        <v>3190</v>
      </c>
      <c r="AP405" s="652">
        <f t="shared" si="26"/>
        <v>-446.98</v>
      </c>
      <c r="AQ405" s="374">
        <f>SUM(ERP_27[[#This Row],[AP01]:[AP06]])-SUM(ERP_27[[#This Row],[AP01 LE2]:[AP06 LE2]])</f>
        <v>-613.22000000000116</v>
      </c>
      <c r="AR405" s="653"/>
      <c r="AS405" s="652">
        <f>ERP_27[[#This Row],[2026 Working Total to Budget/LE]]-ERP_27[[#This Row],[Giveback]]</f>
        <v>-613.22000000000116</v>
      </c>
      <c r="AT405" s="654"/>
      <c r="AU405" s="655">
        <v>3217.02</v>
      </c>
      <c r="AV405" s="655">
        <v>2578.4899999999998</v>
      </c>
      <c r="AW405" s="655">
        <v>2874.84</v>
      </c>
      <c r="AX405" s="655">
        <v>3315.08</v>
      </c>
      <c r="AY405" s="655">
        <v>3190</v>
      </c>
      <c r="AZ405" s="655">
        <v>3190</v>
      </c>
      <c r="BA405" s="655">
        <v>3159</v>
      </c>
      <c r="BB405" s="655">
        <v>3190</v>
      </c>
      <c r="BC405" s="655">
        <v>3150</v>
      </c>
      <c r="BD405" s="655">
        <v>3150</v>
      </c>
      <c r="BE405" s="655">
        <v>3150</v>
      </c>
      <c r="BF405" s="655">
        <v>3150</v>
      </c>
      <c r="BG405" s="655">
        <v>37314.43</v>
      </c>
      <c r="BH405" s="652">
        <v>3217.02</v>
      </c>
      <c r="BI405" s="652">
        <v>2578.4899999999998</v>
      </c>
      <c r="BJ405" s="652">
        <v>2874.84</v>
      </c>
      <c r="BK405" s="652">
        <v>3315.08</v>
      </c>
      <c r="BL405" s="652">
        <v>3315.08</v>
      </c>
      <c r="BM405" s="652">
        <v>3315.08</v>
      </c>
      <c r="BN405" s="652">
        <v>3315.08</v>
      </c>
      <c r="BO405" s="652">
        <v>3315.08</v>
      </c>
      <c r="BP405" s="652">
        <v>3315.08</v>
      </c>
      <c r="BQ405" s="652">
        <v>3315.08</v>
      </c>
      <c r="BR405" s="652">
        <v>3315.08</v>
      </c>
      <c r="BS405" s="652">
        <v>3315.12</v>
      </c>
      <c r="BT405" s="652">
        <v>38506.110000000008</v>
      </c>
    </row>
    <row r="406" spans="1:72" ht="15" hidden="1" customHeight="1">
      <c r="A406" s="66" t="s">
        <v>2553</v>
      </c>
      <c r="B406" s="66"/>
      <c r="C406" s="66" t="s">
        <v>868</v>
      </c>
      <c r="D406" s="66" t="s">
        <v>868</v>
      </c>
      <c r="E406" s="150" t="s">
        <v>1136</v>
      </c>
      <c r="F406" s="482" t="s">
        <v>1566</v>
      </c>
      <c r="G406" s="150" t="s">
        <v>1135</v>
      </c>
      <c r="H406" s="150" t="s">
        <v>1135</v>
      </c>
      <c r="I406" s="150" t="s">
        <v>1135</v>
      </c>
      <c r="J406" s="150" t="s">
        <v>1135</v>
      </c>
      <c r="K406" s="150" t="s">
        <v>1137</v>
      </c>
      <c r="L406" s="511" t="s">
        <v>639</v>
      </c>
      <c r="M406" s="392" t="s">
        <v>2554</v>
      </c>
      <c r="N406" s="343"/>
      <c r="O406" s="343"/>
      <c r="P406" s="70" t="s">
        <v>869</v>
      </c>
      <c r="Q406" s="346"/>
      <c r="R406" s="343"/>
      <c r="S406" s="346"/>
      <c r="T406" s="150" t="s">
        <v>152</v>
      </c>
      <c r="U406" s="150"/>
      <c r="V406" s="643"/>
      <c r="W406" s="659">
        <v>37661</v>
      </c>
      <c r="X406" s="659">
        <v>37661</v>
      </c>
      <c r="Y406" s="656"/>
      <c r="Z406" s="657"/>
      <c r="AA406" s="714"/>
      <c r="AB406" s="428"/>
      <c r="AC406" s="428"/>
      <c r="AD406" s="428" t="s">
        <v>1142</v>
      </c>
      <c r="AE406" s="429">
        <v>0</v>
      </c>
      <c r="AF406" s="429">
        <v>0</v>
      </c>
      <c r="AG406" s="649"/>
      <c r="AH406" s="649"/>
      <c r="AI406" s="649"/>
      <c r="AJ406" s="649">
        <v>37661</v>
      </c>
      <c r="AK406" s="649">
        <v>0</v>
      </c>
      <c r="AL406" s="649">
        <v>0</v>
      </c>
      <c r="AM406" s="649">
        <f t="shared" si="27"/>
        <v>37661</v>
      </c>
      <c r="AN406" s="651">
        <f>ERP_27[[#This Row],[2026 Working Total]]-ERP_27[[#This Row],[LE2 Final Submission]]</f>
        <v>0</v>
      </c>
      <c r="AO406" s="652"/>
      <c r="AP406" s="652">
        <f t="shared" si="26"/>
        <v>0</v>
      </c>
      <c r="AQ406" s="374">
        <f>SUM(ERP_27[[#This Row],[AP01]:[AP06]])-SUM(ERP_27[[#This Row],[AP01 LE2]:[AP06 LE2]])</f>
        <v>0</v>
      </c>
      <c r="AR406" s="653"/>
      <c r="AS406" s="652">
        <f>ERP_27[[#This Row],[2026 Working Total to Budget/LE]]-ERP_27[[#This Row],[Giveback]]</f>
        <v>0</v>
      </c>
      <c r="AT406" s="654"/>
      <c r="AU406" s="655"/>
      <c r="AV406" s="655"/>
      <c r="AW406" s="655"/>
      <c r="AX406" s="655"/>
      <c r="AY406" s="655"/>
      <c r="AZ406" s="655"/>
      <c r="BA406" s="655"/>
      <c r="BB406" s="655"/>
      <c r="BC406" s="655"/>
      <c r="BD406" s="655">
        <v>37661</v>
      </c>
      <c r="BE406" s="655">
        <v>0</v>
      </c>
      <c r="BF406" s="655">
        <v>0</v>
      </c>
      <c r="BG406" s="655">
        <v>37661</v>
      </c>
      <c r="BH406" s="652"/>
      <c r="BI406" s="652"/>
      <c r="BJ406" s="652"/>
      <c r="BK406" s="652"/>
      <c r="BL406" s="652"/>
      <c r="BM406" s="652"/>
      <c r="BN406" s="652"/>
      <c r="BO406" s="652"/>
      <c r="BP406" s="652"/>
      <c r="BQ406" s="652">
        <v>37661</v>
      </c>
      <c r="BR406" s="652">
        <v>0</v>
      </c>
      <c r="BS406" s="652">
        <v>0</v>
      </c>
      <c r="BT406" s="652">
        <v>37661</v>
      </c>
    </row>
    <row r="407" spans="1:72" ht="15" hidden="1" customHeight="1">
      <c r="A407" s="66" t="s">
        <v>1398</v>
      </c>
      <c r="B407" s="66"/>
      <c r="C407" s="66" t="s">
        <v>184</v>
      </c>
      <c r="D407" s="66" t="s">
        <v>184</v>
      </c>
      <c r="E407" s="150" t="s">
        <v>1136</v>
      </c>
      <c r="F407" s="482" t="s">
        <v>1566</v>
      </c>
      <c r="G407" s="383" t="s">
        <v>1344</v>
      </c>
      <c r="H407" s="383" t="s">
        <v>1344</v>
      </c>
      <c r="I407" s="150" t="s">
        <v>1345</v>
      </c>
      <c r="J407" s="150" t="s">
        <v>1344</v>
      </c>
      <c r="K407" s="150" t="s">
        <v>1346</v>
      </c>
      <c r="L407" s="511" t="s">
        <v>49</v>
      </c>
      <c r="M407" s="392" t="s">
        <v>1399</v>
      </c>
      <c r="N407" s="343"/>
      <c r="O407" s="343"/>
      <c r="P407" s="70" t="s">
        <v>185</v>
      </c>
      <c r="Q407" s="346"/>
      <c r="R407" s="343"/>
      <c r="S407" s="346"/>
      <c r="T407" s="150" t="s">
        <v>25</v>
      </c>
      <c r="U407" s="150" t="s">
        <v>1400</v>
      </c>
      <c r="V407" s="643"/>
      <c r="W407" s="659">
        <v>47697</v>
      </c>
      <c r="X407" s="659">
        <v>53620</v>
      </c>
      <c r="Y407" s="656"/>
      <c r="Z407" s="657"/>
      <c r="AA407" s="714"/>
      <c r="AB407" s="428"/>
      <c r="AC407" s="428"/>
      <c r="AD407" s="428">
        <v>0</v>
      </c>
      <c r="AE407" s="429">
        <v>5850</v>
      </c>
      <c r="AF407" s="429">
        <v>0</v>
      </c>
      <c r="AG407" s="649">
        <v>20000</v>
      </c>
      <c r="AH407" s="649">
        <v>11847</v>
      </c>
      <c r="AI407" s="649"/>
      <c r="AJ407" s="649">
        <v>0</v>
      </c>
      <c r="AK407" s="649">
        <v>0</v>
      </c>
      <c r="AL407" s="649">
        <v>0</v>
      </c>
      <c r="AM407" s="649">
        <f t="shared" si="27"/>
        <v>37697</v>
      </c>
      <c r="AN407" s="651">
        <f>ERP_27[[#This Row],[2026 Working Total]]-ERP_27[[#This Row],[LE2 Final Submission]]</f>
        <v>-15923</v>
      </c>
      <c r="AO407" s="652">
        <v>5850</v>
      </c>
      <c r="AP407" s="652">
        <f t="shared" si="26"/>
        <v>-5850</v>
      </c>
      <c r="AQ407" s="374">
        <f>SUM(ERP_27[[#This Row],[AP01]:[AP06]])-SUM(ERP_27[[#This Row],[AP01 LE2]:[AP06 LE2]])</f>
        <v>-15000</v>
      </c>
      <c r="AR407" s="653"/>
      <c r="AS407" s="652">
        <f>ERP_27[[#This Row],[2026 Working Total to Budget/LE]]-ERP_27[[#This Row],[Giveback]]</f>
        <v>-15923</v>
      </c>
      <c r="AT407" s="654"/>
      <c r="AU407" s="655"/>
      <c r="AV407" s="655"/>
      <c r="AW407" s="655"/>
      <c r="AX407" s="655">
        <v>15000</v>
      </c>
      <c r="AY407" s="655">
        <v>5850</v>
      </c>
      <c r="AZ407" s="655">
        <v>0</v>
      </c>
      <c r="BA407" s="655">
        <v>23247</v>
      </c>
      <c r="BB407" s="655">
        <v>0</v>
      </c>
      <c r="BC407" s="655">
        <v>9523</v>
      </c>
      <c r="BD407" s="655">
        <v>0</v>
      </c>
      <c r="BE407" s="655">
        <v>0</v>
      </c>
      <c r="BF407" s="655">
        <v>0</v>
      </c>
      <c r="BG407" s="655">
        <v>53620</v>
      </c>
      <c r="BH407" s="652"/>
      <c r="BI407" s="652"/>
      <c r="BJ407" s="652"/>
      <c r="BK407" s="652">
        <v>15000</v>
      </c>
      <c r="BL407" s="652">
        <v>0</v>
      </c>
      <c r="BM407" s="652">
        <v>0</v>
      </c>
      <c r="BN407" s="652">
        <v>23247</v>
      </c>
      <c r="BO407" s="652">
        <v>0</v>
      </c>
      <c r="BP407" s="652">
        <v>9523</v>
      </c>
      <c r="BQ407" s="652">
        <v>0</v>
      </c>
      <c r="BR407" s="652">
        <v>0</v>
      </c>
      <c r="BS407" s="652">
        <v>0</v>
      </c>
      <c r="BT407" s="652">
        <v>47770</v>
      </c>
    </row>
    <row r="408" spans="1:72" ht="15" hidden="1" customHeight="1">
      <c r="A408" s="66" t="s">
        <v>1587</v>
      </c>
      <c r="B408" s="66"/>
      <c r="C408" s="66" t="s">
        <v>282</v>
      </c>
      <c r="D408" s="66" t="s">
        <v>1588</v>
      </c>
      <c r="E408" s="150" t="s">
        <v>1136</v>
      </c>
      <c r="F408" s="482" t="s">
        <v>1566</v>
      </c>
      <c r="G408" s="150" t="s">
        <v>1566</v>
      </c>
      <c r="H408" s="150" t="s">
        <v>1566</v>
      </c>
      <c r="I408" s="150" t="s">
        <v>1567</v>
      </c>
      <c r="J408" s="150" t="s">
        <v>1567</v>
      </c>
      <c r="K408" s="150" t="s">
        <v>1567</v>
      </c>
      <c r="L408" s="511" t="s">
        <v>49</v>
      </c>
      <c r="M408" s="392" t="s">
        <v>1589</v>
      </c>
      <c r="N408" s="343"/>
      <c r="O408" s="343"/>
      <c r="P408" s="70" t="s">
        <v>283</v>
      </c>
      <c r="Q408" s="346"/>
      <c r="R408" s="343"/>
      <c r="S408" s="346"/>
      <c r="T408" s="505" t="s">
        <v>272</v>
      </c>
      <c r="U408" s="150"/>
      <c r="V408" s="643"/>
      <c r="W408" s="659">
        <v>49920</v>
      </c>
      <c r="X408" s="659">
        <v>37752</v>
      </c>
      <c r="Y408" s="656"/>
      <c r="Z408" s="657"/>
      <c r="AA408" s="714"/>
      <c r="AB408" s="428"/>
      <c r="AC408" s="428"/>
      <c r="AD408" s="428" t="s">
        <v>1142</v>
      </c>
      <c r="AE408" s="429">
        <v>0</v>
      </c>
      <c r="AF408" s="429">
        <v>0</v>
      </c>
      <c r="AG408" s="649">
        <v>7550</v>
      </c>
      <c r="AH408" s="649">
        <v>9060</v>
      </c>
      <c r="AI408" s="649">
        <v>9060</v>
      </c>
      <c r="AJ408" s="649">
        <v>0</v>
      </c>
      <c r="AK408" s="649">
        <v>6040</v>
      </c>
      <c r="AL408" s="649">
        <v>6042</v>
      </c>
      <c r="AM408" s="649">
        <f t="shared" si="27"/>
        <v>37752</v>
      </c>
      <c r="AN408" s="651">
        <f>ERP_27[[#This Row],[2026 Working Total]]-ERP_27[[#This Row],[LE2 Final Submission]]</f>
        <v>0</v>
      </c>
      <c r="AO408" s="652">
        <v>0</v>
      </c>
      <c r="AP408" s="652">
        <f t="shared" si="26"/>
        <v>0</v>
      </c>
      <c r="AQ408" s="374">
        <f>SUM(ERP_27[[#This Row],[AP01]:[AP06]])-SUM(ERP_27[[#This Row],[AP01 LE2]:[AP06 LE2]])</f>
        <v>0</v>
      </c>
      <c r="AR408" s="653"/>
      <c r="AS408" s="652">
        <f>ERP_27[[#This Row],[2026 Working Total to Budget/LE]]-ERP_27[[#This Row],[Giveback]]</f>
        <v>0</v>
      </c>
      <c r="AT408" s="654"/>
      <c r="AU408" s="655"/>
      <c r="AV408" s="655"/>
      <c r="AW408" s="655"/>
      <c r="AX408" s="655">
        <v>0</v>
      </c>
      <c r="AY408" s="655">
        <v>0</v>
      </c>
      <c r="AZ408" s="655">
        <v>0</v>
      </c>
      <c r="BA408" s="655">
        <v>7550</v>
      </c>
      <c r="BB408" s="655">
        <v>9060</v>
      </c>
      <c r="BC408" s="655">
        <v>9060</v>
      </c>
      <c r="BD408" s="655">
        <v>0</v>
      </c>
      <c r="BE408" s="655">
        <v>6040</v>
      </c>
      <c r="BF408" s="655">
        <v>6042</v>
      </c>
      <c r="BG408" s="655">
        <v>37752</v>
      </c>
      <c r="BH408" s="652"/>
      <c r="BI408" s="652"/>
      <c r="BJ408" s="652"/>
      <c r="BK408" s="652">
        <v>2500</v>
      </c>
      <c r="BL408" s="652">
        <v>2500</v>
      </c>
      <c r="BM408" s="652">
        <v>10050</v>
      </c>
      <c r="BN408" s="652">
        <v>17644</v>
      </c>
      <c r="BO408" s="652">
        <v>17644</v>
      </c>
      <c r="BP408" s="652">
        <v>8540</v>
      </c>
      <c r="BQ408" s="652">
        <v>6042</v>
      </c>
      <c r="BR408" s="652">
        <v>0</v>
      </c>
      <c r="BS408" s="652">
        <v>-40000</v>
      </c>
      <c r="BT408" s="652">
        <v>24920</v>
      </c>
    </row>
    <row r="409" spans="1:72" ht="15" hidden="1" customHeight="1">
      <c r="A409" s="66" t="s">
        <v>2703</v>
      </c>
      <c r="B409" s="66"/>
      <c r="C409" s="66" t="s">
        <v>957</v>
      </c>
      <c r="D409" s="66" t="s">
        <v>957</v>
      </c>
      <c r="E409" s="150" t="s">
        <v>1136</v>
      </c>
      <c r="F409" s="482" t="s">
        <v>1566</v>
      </c>
      <c r="G409" s="150" t="s">
        <v>1450</v>
      </c>
      <c r="H409" s="150" t="s">
        <v>1450</v>
      </c>
      <c r="I409" s="150" t="s">
        <v>1345</v>
      </c>
      <c r="J409" s="150" t="s">
        <v>1450</v>
      </c>
      <c r="K409" s="150" t="s">
        <v>1346</v>
      </c>
      <c r="L409" s="511" t="s">
        <v>639</v>
      </c>
      <c r="M409" s="392" t="s">
        <v>818</v>
      </c>
      <c r="N409" s="343"/>
      <c r="O409" s="343"/>
      <c r="P409" s="70" t="s">
        <v>817</v>
      </c>
      <c r="Q409" s="346"/>
      <c r="R409" s="346" t="s">
        <v>1140</v>
      </c>
      <c r="S409" s="346"/>
      <c r="T409" s="150" t="s">
        <v>818</v>
      </c>
      <c r="U409" s="150"/>
      <c r="V409" s="643"/>
      <c r="W409" s="659">
        <v>12000</v>
      </c>
      <c r="X409" s="659">
        <v>19022.099999999999</v>
      </c>
      <c r="Y409" s="656"/>
      <c r="Z409" s="657"/>
      <c r="AA409" s="714"/>
      <c r="AB409" s="428"/>
      <c r="AC409" s="428">
        <v>10022.1</v>
      </c>
      <c r="AD409" s="428">
        <v>0</v>
      </c>
      <c r="AE409" s="429">
        <v>0</v>
      </c>
      <c r="AF409" s="429">
        <v>7983.4299999999994</v>
      </c>
      <c r="AG409" s="649">
        <v>0</v>
      </c>
      <c r="AH409" s="649">
        <v>0</v>
      </c>
      <c r="AI409" s="649">
        <v>10000</v>
      </c>
      <c r="AJ409" s="649">
        <v>0</v>
      </c>
      <c r="AK409" s="649">
        <v>0</v>
      </c>
      <c r="AL409" s="649">
        <v>10000</v>
      </c>
      <c r="AM409" s="649">
        <f t="shared" si="27"/>
        <v>38005.53</v>
      </c>
      <c r="AN409" s="651">
        <f>ERP_27[[#This Row],[2026 Working Total]]-ERP_27[[#This Row],[LE2 Final Submission]]</f>
        <v>18983.43</v>
      </c>
      <c r="AO409" s="652">
        <v>0</v>
      </c>
      <c r="AP409" s="652">
        <f t="shared" si="26"/>
        <v>7983.4299999999994</v>
      </c>
      <c r="AQ409" s="374">
        <f>SUM(ERP_27[[#This Row],[AP01]:[AP06]])-SUM(ERP_27[[#This Row],[AP01 LE2]:[AP06 LE2]])</f>
        <v>4983.4299999999985</v>
      </c>
      <c r="AR409" s="653"/>
      <c r="AS409" s="652">
        <f>ERP_27[[#This Row],[2026 Working Total to Budget/LE]]-ERP_27[[#This Row],[Giveback]]</f>
        <v>18983.43</v>
      </c>
      <c r="AT409" s="654"/>
      <c r="AU409" s="655"/>
      <c r="AV409" s="655"/>
      <c r="AW409" s="655">
        <v>10022.1</v>
      </c>
      <c r="AX409" s="655">
        <v>0</v>
      </c>
      <c r="AY409" s="655">
        <v>0</v>
      </c>
      <c r="AZ409" s="655">
        <v>3000</v>
      </c>
      <c r="BA409" s="655">
        <v>0</v>
      </c>
      <c r="BB409" s="655">
        <v>0</v>
      </c>
      <c r="BC409" s="655">
        <v>3000</v>
      </c>
      <c r="BD409" s="655">
        <v>0</v>
      </c>
      <c r="BE409" s="655">
        <v>0</v>
      </c>
      <c r="BF409" s="655">
        <v>3000</v>
      </c>
      <c r="BG409" s="655">
        <v>19022.099999999999</v>
      </c>
      <c r="BH409" s="652"/>
      <c r="BI409" s="652"/>
      <c r="BJ409" s="652">
        <v>10022.1</v>
      </c>
      <c r="BK409" s="652">
        <v>0</v>
      </c>
      <c r="BL409" s="652">
        <v>0</v>
      </c>
      <c r="BM409" s="652">
        <v>3000</v>
      </c>
      <c r="BN409" s="652">
        <v>0</v>
      </c>
      <c r="BO409" s="652">
        <v>0</v>
      </c>
      <c r="BP409" s="652">
        <v>3000</v>
      </c>
      <c r="BQ409" s="652">
        <v>0</v>
      </c>
      <c r="BR409" s="652">
        <v>0</v>
      </c>
      <c r="BS409" s="652">
        <v>3000</v>
      </c>
      <c r="BT409" s="652">
        <v>19022.099999999999</v>
      </c>
    </row>
    <row r="410" spans="1:72" ht="15" hidden="1" customHeight="1">
      <c r="A410" s="66" t="s">
        <v>1999</v>
      </c>
      <c r="B410" s="66"/>
      <c r="C410" s="66" t="s">
        <v>519</v>
      </c>
      <c r="D410" s="66" t="s">
        <v>2000</v>
      </c>
      <c r="E410" s="150" t="s">
        <v>1136</v>
      </c>
      <c r="F410" s="482" t="s">
        <v>1566</v>
      </c>
      <c r="G410" s="150" t="s">
        <v>1345</v>
      </c>
      <c r="H410" s="150" t="s">
        <v>1437</v>
      </c>
      <c r="I410" s="150" t="s">
        <v>1345</v>
      </c>
      <c r="J410" s="150" t="s">
        <v>1437</v>
      </c>
      <c r="K410" s="150" t="s">
        <v>1346</v>
      </c>
      <c r="L410" s="511" t="s">
        <v>389</v>
      </c>
      <c r="M410" s="392" t="s">
        <v>2001</v>
      </c>
      <c r="N410" s="343"/>
      <c r="O410" s="343"/>
      <c r="P410" s="70" t="s">
        <v>520</v>
      </c>
      <c r="Q410" s="346"/>
      <c r="R410" s="343"/>
      <c r="S410" s="346"/>
      <c r="T410" s="150" t="s">
        <v>152</v>
      </c>
      <c r="U410" s="150" t="s">
        <v>1997</v>
      </c>
      <c r="V410" s="643"/>
      <c r="W410" s="659">
        <v>64999.999999999985</v>
      </c>
      <c r="X410" s="659">
        <v>39000</v>
      </c>
      <c r="Y410" s="656"/>
      <c r="Z410" s="657"/>
      <c r="AA410" s="714"/>
      <c r="AB410" s="428"/>
      <c r="AC410" s="428"/>
      <c r="AD410" s="428" t="s">
        <v>1142</v>
      </c>
      <c r="AE410" s="429">
        <v>0</v>
      </c>
      <c r="AF410" s="429">
        <v>0</v>
      </c>
      <c r="AG410" s="649">
        <v>6500</v>
      </c>
      <c r="AH410" s="649">
        <v>6500</v>
      </c>
      <c r="AI410" s="649">
        <v>6500</v>
      </c>
      <c r="AJ410" s="649">
        <v>6500</v>
      </c>
      <c r="AK410" s="649">
        <v>6500</v>
      </c>
      <c r="AL410" s="649">
        <v>6500</v>
      </c>
      <c r="AM410" s="649">
        <f t="shared" si="27"/>
        <v>39000</v>
      </c>
      <c r="AN410" s="651">
        <f>ERP_27[[#This Row],[2026 Working Total]]-ERP_27[[#This Row],[LE2 Final Submission]]</f>
        <v>0</v>
      </c>
      <c r="AO410" s="652">
        <v>799.33</v>
      </c>
      <c r="AP410" s="652">
        <f t="shared" si="26"/>
        <v>-799.33</v>
      </c>
      <c r="AQ410" s="374">
        <f>SUM(ERP_27[[#This Row],[AP01]:[AP06]])-SUM(ERP_27[[#This Row],[AP01 LE2]:[AP06 LE2]])</f>
        <v>0</v>
      </c>
      <c r="AR410" s="653"/>
      <c r="AS410" s="652">
        <f>ERP_27[[#This Row],[2026 Working Total to Budget/LE]]-ERP_27[[#This Row],[Giveback]]</f>
        <v>0</v>
      </c>
      <c r="AT410" s="654" t="s">
        <v>1998</v>
      </c>
      <c r="AU410" s="655"/>
      <c r="AV410" s="655"/>
      <c r="AW410" s="655"/>
      <c r="AX410" s="655"/>
      <c r="AY410" s="655"/>
      <c r="AZ410" s="655"/>
      <c r="BA410" s="655">
        <v>6500</v>
      </c>
      <c r="BB410" s="655">
        <v>6500</v>
      </c>
      <c r="BC410" s="655">
        <v>6500</v>
      </c>
      <c r="BD410" s="655">
        <v>6500</v>
      </c>
      <c r="BE410" s="655">
        <v>6500</v>
      </c>
      <c r="BF410" s="655">
        <v>6500</v>
      </c>
      <c r="BG410" s="655">
        <v>39000</v>
      </c>
      <c r="BH410" s="652"/>
      <c r="BI410" s="652"/>
      <c r="BJ410" s="652"/>
      <c r="BK410" s="652">
        <v>6500</v>
      </c>
      <c r="BL410" s="652">
        <v>6500</v>
      </c>
      <c r="BM410" s="652">
        <v>6500</v>
      </c>
      <c r="BN410" s="652">
        <v>6500</v>
      </c>
      <c r="BO410" s="652">
        <v>6500</v>
      </c>
      <c r="BP410" s="652">
        <v>6500</v>
      </c>
      <c r="BQ410" s="652">
        <v>6500</v>
      </c>
      <c r="BR410" s="652">
        <v>6500</v>
      </c>
      <c r="BS410" s="652">
        <v>6500</v>
      </c>
      <c r="BT410" s="652">
        <v>58500</v>
      </c>
    </row>
    <row r="411" spans="1:72" ht="15" hidden="1" customHeight="1">
      <c r="A411" s="150" t="s">
        <v>1495</v>
      </c>
      <c r="B411" s="150"/>
      <c r="C411" s="536" t="s">
        <v>311</v>
      </c>
      <c r="D411" s="296" t="s">
        <v>1496</v>
      </c>
      <c r="E411" s="150" t="s">
        <v>1136</v>
      </c>
      <c r="F411" s="482" t="s">
        <v>1566</v>
      </c>
      <c r="G411" s="482" t="s">
        <v>1566</v>
      </c>
      <c r="H411" s="482" t="s">
        <v>1566</v>
      </c>
      <c r="I411" s="150" t="s">
        <v>1345</v>
      </c>
      <c r="J411" s="150" t="s">
        <v>1346</v>
      </c>
      <c r="K411" s="150" t="s">
        <v>1345</v>
      </c>
      <c r="L411" s="514" t="s">
        <v>49</v>
      </c>
      <c r="M411" s="394" t="s">
        <v>1497</v>
      </c>
      <c r="N411" s="333" t="s">
        <v>1498</v>
      </c>
      <c r="O411" s="332" t="s">
        <v>1499</v>
      </c>
      <c r="P411" s="90" t="s">
        <v>312</v>
      </c>
      <c r="Q411" s="347"/>
      <c r="R411" s="348" t="s">
        <v>1500</v>
      </c>
      <c r="S411" s="348"/>
      <c r="T411" s="348"/>
      <c r="U411" s="348"/>
      <c r="V411" s="646"/>
      <c r="W411" s="659"/>
      <c r="X411" s="659"/>
      <c r="Y411" s="656"/>
      <c r="Z411" s="657"/>
      <c r="AA411" s="714"/>
      <c r="AB411" s="428"/>
      <c r="AC411" s="428"/>
      <c r="AD411" s="481">
        <v>12507.9</v>
      </c>
      <c r="AE411" s="481">
        <v>13470.05</v>
      </c>
      <c r="AF411" s="429">
        <v>13318.529999999999</v>
      </c>
      <c r="AG411" s="649"/>
      <c r="AH411" s="649"/>
      <c r="AI411" s="649"/>
      <c r="AJ411" s="649"/>
      <c r="AK411" s="649"/>
      <c r="AL411" s="649"/>
      <c r="AM411" s="649">
        <f t="shared" si="27"/>
        <v>39296.479999999996</v>
      </c>
      <c r="AN411" s="651">
        <f>ERP_27[[#This Row],[2026 Working Total]]-ERP_27[[#This Row],[LE2 Final Submission]]</f>
        <v>39296.479999999996</v>
      </c>
      <c r="AO411" s="652"/>
      <c r="AP411" s="652">
        <f t="shared" si="26"/>
        <v>13318.529999999999</v>
      </c>
      <c r="AQ411" s="374">
        <f>SUM(ERP_27[[#This Row],[AP01]:[AP06]])-SUM(ERP_27[[#This Row],[AP01 LE2]:[AP06 LE2]])</f>
        <v>39296.479999999996</v>
      </c>
      <c r="AR411" s="653"/>
      <c r="AS411" s="652">
        <f>ERP_27[[#This Row],[2026 Working Total to Budget/LE]]-ERP_27[[#This Row],[Giveback]]</f>
        <v>39296.479999999996</v>
      </c>
      <c r="AT411" s="654"/>
      <c r="AU411" s="655"/>
      <c r="AV411" s="655"/>
      <c r="AW411" s="655"/>
      <c r="AX411" s="655"/>
      <c r="AY411" s="655"/>
      <c r="AZ411" s="655"/>
      <c r="BA411" s="655"/>
      <c r="BB411" s="655"/>
      <c r="BC411" s="655"/>
      <c r="BD411" s="655"/>
      <c r="BE411" s="655"/>
      <c r="BF411" s="655"/>
      <c r="BG411" s="655"/>
      <c r="BH411" s="652"/>
      <c r="BI411" s="652"/>
      <c r="BJ411" s="652"/>
      <c r="BK411" s="652"/>
      <c r="BL411" s="652"/>
      <c r="BM411" s="652"/>
      <c r="BN411" s="652"/>
      <c r="BO411" s="652"/>
      <c r="BP411" s="652"/>
      <c r="BQ411" s="652"/>
      <c r="BR411" s="652"/>
      <c r="BS411" s="652"/>
      <c r="BT411" s="652"/>
    </row>
    <row r="412" spans="1:72" ht="15" customHeight="1">
      <c r="A412" s="66" t="s">
        <v>2163</v>
      </c>
      <c r="B412" s="66"/>
      <c r="C412" s="66" t="s">
        <v>614</v>
      </c>
      <c r="D412" s="66" t="s">
        <v>2164</v>
      </c>
      <c r="E412" s="150" t="s">
        <v>1136</v>
      </c>
      <c r="F412" s="482" t="s">
        <v>1566</v>
      </c>
      <c r="G412" s="383" t="s">
        <v>1480</v>
      </c>
      <c r="H412" s="150" t="s">
        <v>1481</v>
      </c>
      <c r="I412" s="150" t="s">
        <v>1345</v>
      </c>
      <c r="J412" s="150" t="s">
        <v>1481</v>
      </c>
      <c r="K412" s="150" t="s">
        <v>1346</v>
      </c>
      <c r="L412" s="511" t="s">
        <v>602</v>
      </c>
      <c r="M412" s="392" t="s">
        <v>2165</v>
      </c>
      <c r="N412" s="343"/>
      <c r="O412" s="343"/>
      <c r="P412" s="70" t="s">
        <v>615</v>
      </c>
      <c r="Q412" s="346"/>
      <c r="R412" s="343"/>
      <c r="S412" s="346"/>
      <c r="T412" s="150" t="s">
        <v>25</v>
      </c>
      <c r="U412" s="184" t="s">
        <v>2166</v>
      </c>
      <c r="V412" s="643"/>
      <c r="W412" s="659">
        <v>80000</v>
      </c>
      <c r="X412" s="659">
        <v>40000</v>
      </c>
      <c r="Y412" s="656"/>
      <c r="Z412" s="657"/>
      <c r="AA412" s="714"/>
      <c r="AB412" s="428"/>
      <c r="AC412" s="428"/>
      <c r="AD412" s="428" t="s">
        <v>1142</v>
      </c>
      <c r="AE412" s="429">
        <v>0</v>
      </c>
      <c r="AF412" s="429">
        <v>0</v>
      </c>
      <c r="AG412" s="649">
        <v>0</v>
      </c>
      <c r="AH412" s="649">
        <v>0</v>
      </c>
      <c r="AI412" s="649">
        <v>10000</v>
      </c>
      <c r="AJ412" s="649">
        <v>10000</v>
      </c>
      <c r="AK412" s="649">
        <v>10000</v>
      </c>
      <c r="AL412" s="649">
        <v>10000</v>
      </c>
      <c r="AM412" s="649">
        <f t="shared" si="27"/>
        <v>40000</v>
      </c>
      <c r="AN412" s="651">
        <f>ERP_27[[#This Row],[2026 Working Total]]-ERP_27[[#This Row],[LE2 Final Submission]]</f>
        <v>0</v>
      </c>
      <c r="AO412" s="652">
        <v>0</v>
      </c>
      <c r="AP412" s="652">
        <f t="shared" si="26"/>
        <v>0</v>
      </c>
      <c r="AQ412" s="374">
        <f>SUM(ERP_27[[#This Row],[AP01]:[AP06]])-SUM(ERP_27[[#This Row],[AP01 LE2]:[AP06 LE2]])</f>
        <v>0</v>
      </c>
      <c r="AR412" s="653"/>
      <c r="AS412" s="652">
        <f>ERP_27[[#This Row],[2026 Working Total to Budget/LE]]-ERP_27[[#This Row],[Giveback]]</f>
        <v>0</v>
      </c>
      <c r="AT412" s="654"/>
      <c r="AU412" s="655"/>
      <c r="AV412" s="655"/>
      <c r="AW412" s="655"/>
      <c r="AX412" s="655">
        <v>0</v>
      </c>
      <c r="AY412" s="655">
        <v>0</v>
      </c>
      <c r="AZ412" s="655">
        <v>0</v>
      </c>
      <c r="BA412" s="655">
        <v>0</v>
      </c>
      <c r="BB412" s="655">
        <v>10000</v>
      </c>
      <c r="BC412" s="655">
        <v>10000</v>
      </c>
      <c r="BD412" s="655">
        <v>10000</v>
      </c>
      <c r="BE412" s="655">
        <v>10000</v>
      </c>
      <c r="BF412" s="655">
        <v>0</v>
      </c>
      <c r="BG412" s="655">
        <v>40000</v>
      </c>
      <c r="BH412" s="652"/>
      <c r="BI412" s="652"/>
      <c r="BJ412" s="652"/>
      <c r="BK412" s="652">
        <v>20000</v>
      </c>
      <c r="BL412" s="652">
        <v>20000</v>
      </c>
      <c r="BM412" s="652">
        <v>20000</v>
      </c>
      <c r="BN412" s="652">
        <v>20000</v>
      </c>
      <c r="BO412" s="652">
        <v>0</v>
      </c>
      <c r="BP412" s="652">
        <v>0</v>
      </c>
      <c r="BQ412" s="652">
        <v>0</v>
      </c>
      <c r="BR412" s="652">
        <v>0</v>
      </c>
      <c r="BS412" s="652">
        <v>0</v>
      </c>
      <c r="BT412" s="652">
        <v>80000</v>
      </c>
    </row>
    <row r="413" spans="1:72" ht="15" hidden="1" customHeight="1">
      <c r="A413" s="129" t="s">
        <v>2014</v>
      </c>
      <c r="B413" s="129"/>
      <c r="C413" s="129" t="s">
        <v>525</v>
      </c>
      <c r="D413" s="66" t="s">
        <v>525</v>
      </c>
      <c r="E413" s="150" t="s">
        <v>1136</v>
      </c>
      <c r="F413" s="482" t="s">
        <v>1566</v>
      </c>
      <c r="G413" s="150" t="s">
        <v>1345</v>
      </c>
      <c r="H413" s="150" t="s">
        <v>1345</v>
      </c>
      <c r="I413" s="150" t="s">
        <v>1345</v>
      </c>
      <c r="J413" s="150" t="s">
        <v>1345</v>
      </c>
      <c r="K413" s="331" t="s">
        <v>1345</v>
      </c>
      <c r="L413" s="511" t="s">
        <v>389</v>
      </c>
      <c r="M413" s="392" t="s">
        <v>1863</v>
      </c>
      <c r="N413" s="343"/>
      <c r="O413" s="331"/>
      <c r="P413" s="70" t="s">
        <v>526</v>
      </c>
      <c r="Q413" s="343"/>
      <c r="R413" s="343"/>
      <c r="S413" s="346"/>
      <c r="T413" s="150" t="s">
        <v>57</v>
      </c>
      <c r="U413" s="346" t="s">
        <v>2021</v>
      </c>
      <c r="V413" s="677"/>
      <c r="W413" s="359"/>
      <c r="X413" s="359">
        <v>63000</v>
      </c>
      <c r="Y413" s="656"/>
      <c r="Z413" s="657"/>
      <c r="AA413" s="714"/>
      <c r="AB413" s="428"/>
      <c r="AC413" s="428"/>
      <c r="AD413" s="428" t="s">
        <v>1142</v>
      </c>
      <c r="AE413" s="429">
        <v>0</v>
      </c>
      <c r="AF413" s="429">
        <v>0</v>
      </c>
      <c r="AG413" s="649">
        <f t="shared" ref="AG413:AL413" si="28">(63000)/9</f>
        <v>7000</v>
      </c>
      <c r="AH413" s="649">
        <f t="shared" si="28"/>
        <v>7000</v>
      </c>
      <c r="AI413" s="649">
        <f t="shared" si="28"/>
        <v>7000</v>
      </c>
      <c r="AJ413" s="649">
        <f t="shared" si="28"/>
        <v>7000</v>
      </c>
      <c r="AK413" s="649">
        <f t="shared" si="28"/>
        <v>7000</v>
      </c>
      <c r="AL413" s="649">
        <f t="shared" si="28"/>
        <v>7000</v>
      </c>
      <c r="AM413" s="649">
        <f t="shared" si="27"/>
        <v>42000</v>
      </c>
      <c r="AN413" s="651">
        <f>ERP_27[[#This Row],[2026 Working Total]]-ERP_27[[#This Row],[LE2 Final Submission]]</f>
        <v>-21000</v>
      </c>
      <c r="AO413" s="652">
        <v>7000</v>
      </c>
      <c r="AP413" s="652">
        <f t="shared" si="26"/>
        <v>-7000</v>
      </c>
      <c r="AQ413" s="374">
        <f>SUM(ERP_27[[#This Row],[AP01]:[AP06]])-SUM(ERP_27[[#This Row],[AP01 LE2]:[AP06 LE2]])</f>
        <v>-21000</v>
      </c>
      <c r="AR413" s="653"/>
      <c r="AS413" s="652"/>
      <c r="AT413" s="654"/>
      <c r="AU413" s="655"/>
      <c r="AV413" s="655"/>
      <c r="AW413" s="655"/>
      <c r="AX413" s="655">
        <v>7000</v>
      </c>
      <c r="AY413" s="655">
        <v>7000</v>
      </c>
      <c r="AZ413" s="655">
        <v>7000</v>
      </c>
      <c r="BA413" s="655">
        <v>7000</v>
      </c>
      <c r="BB413" s="655">
        <v>7000</v>
      </c>
      <c r="BC413" s="655">
        <v>7000</v>
      </c>
      <c r="BD413" s="655">
        <v>7000</v>
      </c>
      <c r="BE413" s="655">
        <v>7000</v>
      </c>
      <c r="BF413" s="655">
        <v>7000</v>
      </c>
      <c r="BG413" s="655">
        <v>63000</v>
      </c>
      <c r="BH413" s="652"/>
      <c r="BI413" s="652"/>
      <c r="BJ413" s="652"/>
      <c r="BK413" s="652"/>
      <c r="BL413" s="652"/>
      <c r="BM413" s="652"/>
      <c r="BN413" s="652"/>
      <c r="BO413" s="652"/>
      <c r="BP413" s="652"/>
      <c r="BQ413" s="652"/>
      <c r="BR413" s="652"/>
      <c r="BS413" s="652"/>
      <c r="BT413" s="652"/>
    </row>
    <row r="414" spans="1:72" ht="15" hidden="1" customHeight="1">
      <c r="A414" s="66" t="s">
        <v>1376</v>
      </c>
      <c r="B414" s="66"/>
      <c r="C414" s="66" t="s">
        <v>170</v>
      </c>
      <c r="D414" s="66" t="s">
        <v>170</v>
      </c>
      <c r="E414" s="150" t="s">
        <v>1136</v>
      </c>
      <c r="F414" s="482" t="s">
        <v>1566</v>
      </c>
      <c r="G414" s="383" t="s">
        <v>1344</v>
      </c>
      <c r="H414" s="383" t="s">
        <v>1344</v>
      </c>
      <c r="I414" s="150" t="s">
        <v>1345</v>
      </c>
      <c r="J414" s="150" t="s">
        <v>1344</v>
      </c>
      <c r="K414" s="150" t="s">
        <v>1346</v>
      </c>
      <c r="L414" s="511" t="s">
        <v>49</v>
      </c>
      <c r="M414" s="392" t="s">
        <v>1377</v>
      </c>
      <c r="N414" s="343"/>
      <c r="O414" s="343"/>
      <c r="P414" s="70" t="s">
        <v>171</v>
      </c>
      <c r="Q414" s="346"/>
      <c r="R414" s="343"/>
      <c r="S414" s="346"/>
      <c r="T414" s="150" t="s">
        <v>25</v>
      </c>
      <c r="U414" s="150"/>
      <c r="V414" s="643"/>
      <c r="W414" s="659">
        <v>45000</v>
      </c>
      <c r="X414" s="659">
        <v>45000</v>
      </c>
      <c r="Y414" s="656"/>
      <c r="Z414" s="657"/>
      <c r="AA414" s="714"/>
      <c r="AB414" s="428"/>
      <c r="AC414" s="428"/>
      <c r="AD414" s="428" t="s">
        <v>1142</v>
      </c>
      <c r="AE414" s="429">
        <v>0</v>
      </c>
      <c r="AF414" s="429">
        <v>0</v>
      </c>
      <c r="AG414" s="649"/>
      <c r="AH414" s="649">
        <v>50000</v>
      </c>
      <c r="AI414" s="649"/>
      <c r="AJ414" s="649">
        <v>0</v>
      </c>
      <c r="AK414" s="649">
        <v>0</v>
      </c>
      <c r="AL414" s="649">
        <v>0</v>
      </c>
      <c r="AM414" s="649">
        <f t="shared" si="27"/>
        <v>50000</v>
      </c>
      <c r="AN414" s="651">
        <f>ERP_27[[#This Row],[2026 Working Total]]-ERP_27[[#This Row],[LE2 Final Submission]]</f>
        <v>5000</v>
      </c>
      <c r="AO414" s="652"/>
      <c r="AP414" s="652">
        <f t="shared" si="26"/>
        <v>0</v>
      </c>
      <c r="AQ414" s="374">
        <f>SUM(ERP_27[[#This Row],[AP01]:[AP06]])-SUM(ERP_27[[#This Row],[AP01 LE2]:[AP06 LE2]])</f>
        <v>0</v>
      </c>
      <c r="AR414" s="653"/>
      <c r="AS414" s="652">
        <f>ERP_27[[#This Row],[2026 Working Total to Budget/LE]]-ERP_27[[#This Row],[Giveback]]</f>
        <v>5000</v>
      </c>
      <c r="AT414" s="654"/>
      <c r="AU414" s="655"/>
      <c r="AV414" s="655"/>
      <c r="AW414" s="655"/>
      <c r="AX414" s="655"/>
      <c r="AY414" s="655"/>
      <c r="AZ414" s="655"/>
      <c r="BA414" s="655"/>
      <c r="BB414" s="655"/>
      <c r="BC414" s="655">
        <v>45000</v>
      </c>
      <c r="BD414" s="655">
        <v>0</v>
      </c>
      <c r="BE414" s="655">
        <v>0</v>
      </c>
      <c r="BF414" s="655">
        <v>0</v>
      </c>
      <c r="BG414" s="655">
        <v>45000</v>
      </c>
      <c r="BH414" s="652"/>
      <c r="BI414" s="652"/>
      <c r="BJ414" s="652"/>
      <c r="BK414" s="652"/>
      <c r="BL414" s="652"/>
      <c r="BM414" s="652"/>
      <c r="BN414" s="652"/>
      <c r="BO414" s="652"/>
      <c r="BP414" s="652">
        <v>45000</v>
      </c>
      <c r="BQ414" s="652">
        <v>0</v>
      </c>
      <c r="BR414" s="652">
        <v>0</v>
      </c>
      <c r="BS414" s="652">
        <v>0</v>
      </c>
      <c r="BT414" s="652">
        <v>45000</v>
      </c>
    </row>
    <row r="415" spans="1:72" ht="15" hidden="1" customHeight="1">
      <c r="A415" s="66" t="s">
        <v>2049</v>
      </c>
      <c r="B415" s="66"/>
      <c r="C415" s="66" t="s">
        <v>549</v>
      </c>
      <c r="D415" s="66" t="s">
        <v>549</v>
      </c>
      <c r="E415" s="150" t="s">
        <v>1136</v>
      </c>
      <c r="F415" s="482" t="s">
        <v>1566</v>
      </c>
      <c r="G415" s="383" t="s">
        <v>1480</v>
      </c>
      <c r="H415" s="383" t="s">
        <v>1480</v>
      </c>
      <c r="I415" s="150" t="s">
        <v>1345</v>
      </c>
      <c r="J415" s="150" t="s">
        <v>1480</v>
      </c>
      <c r="K415" s="150" t="s">
        <v>1346</v>
      </c>
      <c r="L415" s="511" t="s">
        <v>389</v>
      </c>
      <c r="M415" s="392" t="s">
        <v>1174</v>
      </c>
      <c r="N415" s="343"/>
      <c r="O415" s="343"/>
      <c r="P415" s="70" t="s">
        <v>56</v>
      </c>
      <c r="Q415" s="346"/>
      <c r="R415" s="346" t="s">
        <v>1140</v>
      </c>
      <c r="S415" s="346"/>
      <c r="T415" s="150" t="s">
        <v>57</v>
      </c>
      <c r="U415" s="150" t="s">
        <v>2050</v>
      </c>
      <c r="V415" s="643"/>
      <c r="W415" s="659">
        <v>36000</v>
      </c>
      <c r="X415" s="659">
        <v>38955.51</v>
      </c>
      <c r="Y415" s="656"/>
      <c r="Z415" s="657"/>
      <c r="AA415" s="714">
        <v>4414.1899999999996</v>
      </c>
      <c r="AB415" s="428">
        <v>3932.76</v>
      </c>
      <c r="AC415" s="428">
        <v>3608.56</v>
      </c>
      <c r="AD415" s="428">
        <v>3606.4999999999995</v>
      </c>
      <c r="AE415" s="429">
        <v>3644.34</v>
      </c>
      <c r="AF415" s="429">
        <v>3811.5099999999998</v>
      </c>
      <c r="AG415" s="649">
        <v>3700</v>
      </c>
      <c r="AH415" s="649">
        <v>3700</v>
      </c>
      <c r="AI415" s="649">
        <v>3700</v>
      </c>
      <c r="AJ415" s="649">
        <v>3700</v>
      </c>
      <c r="AK415" s="649">
        <v>3700</v>
      </c>
      <c r="AL415" s="649">
        <v>3700</v>
      </c>
      <c r="AM415" s="649">
        <f t="shared" si="27"/>
        <v>45217.86</v>
      </c>
      <c r="AN415" s="651">
        <f>ERP_27[[#This Row],[2026 Working Total]]-ERP_27[[#This Row],[LE2 Final Submission]]</f>
        <v>6262.3499999999985</v>
      </c>
      <c r="AO415" s="652">
        <v>3000</v>
      </c>
      <c r="AP415" s="652">
        <f t="shared" si="26"/>
        <v>811.50999999999976</v>
      </c>
      <c r="AQ415" s="374">
        <f>SUM(ERP_27[[#This Row],[AP01]:[AP06]])-SUM(ERP_27[[#This Row],[AP01 LE2]:[AP06 LE2]])</f>
        <v>2062.3499999999949</v>
      </c>
      <c r="AR415" s="653"/>
      <c r="AS415" s="652">
        <f>ERP_27[[#This Row],[2026 Working Total to Budget/LE]]-ERP_27[[#This Row],[Giveback]]</f>
        <v>6262.3499999999985</v>
      </c>
      <c r="AT415" s="654"/>
      <c r="AU415" s="655">
        <v>4414.1899999999996</v>
      </c>
      <c r="AV415" s="655">
        <v>3932.76</v>
      </c>
      <c r="AW415" s="655">
        <v>3608.56</v>
      </c>
      <c r="AX415" s="655">
        <v>3000</v>
      </c>
      <c r="AY415" s="655">
        <v>3000</v>
      </c>
      <c r="AZ415" s="655">
        <v>3000</v>
      </c>
      <c r="BA415" s="655">
        <v>3000</v>
      </c>
      <c r="BB415" s="655">
        <v>3000</v>
      </c>
      <c r="BC415" s="655">
        <v>3000</v>
      </c>
      <c r="BD415" s="655">
        <v>3000</v>
      </c>
      <c r="BE415" s="655">
        <v>3000</v>
      </c>
      <c r="BF415" s="655">
        <v>3000</v>
      </c>
      <c r="BG415" s="655">
        <v>38955.51</v>
      </c>
      <c r="BH415" s="652">
        <v>4414.1899999999996</v>
      </c>
      <c r="BI415" s="652">
        <v>3932.76</v>
      </c>
      <c r="BJ415" s="652">
        <v>3608.56</v>
      </c>
      <c r="BK415" s="652">
        <v>3000</v>
      </c>
      <c r="BL415" s="652">
        <v>3000</v>
      </c>
      <c r="BM415" s="652">
        <v>3000</v>
      </c>
      <c r="BN415" s="652">
        <v>3000</v>
      </c>
      <c r="BO415" s="652">
        <v>3000</v>
      </c>
      <c r="BP415" s="652">
        <v>3000</v>
      </c>
      <c r="BQ415" s="652">
        <v>3000</v>
      </c>
      <c r="BR415" s="652">
        <v>3000</v>
      </c>
      <c r="BS415" s="652">
        <v>3000</v>
      </c>
      <c r="BT415" s="652">
        <v>38955.51</v>
      </c>
    </row>
    <row r="416" spans="1:72" ht="15" hidden="1" customHeight="1">
      <c r="A416" s="66" t="s">
        <v>1551</v>
      </c>
      <c r="B416" s="66"/>
      <c r="C416" s="66" t="s">
        <v>259</v>
      </c>
      <c r="D416" s="66" t="s">
        <v>259</v>
      </c>
      <c r="E416" s="150" t="s">
        <v>1136</v>
      </c>
      <c r="F416" s="482" t="s">
        <v>1566</v>
      </c>
      <c r="G416" s="150" t="s">
        <v>1515</v>
      </c>
      <c r="H416" s="383" t="s">
        <v>1515</v>
      </c>
      <c r="I416" s="150" t="s">
        <v>1345</v>
      </c>
      <c r="J416" s="150" t="s">
        <v>1515</v>
      </c>
      <c r="K416" s="150" t="s">
        <v>1346</v>
      </c>
      <c r="L416" s="511" t="s">
        <v>49</v>
      </c>
      <c r="M416" s="392" t="s">
        <v>1367</v>
      </c>
      <c r="N416" s="343"/>
      <c r="O416" s="343"/>
      <c r="P416" s="70" t="s">
        <v>163</v>
      </c>
      <c r="Q416" s="346" t="s">
        <v>1139</v>
      </c>
      <c r="R416" s="343"/>
      <c r="S416" s="346"/>
      <c r="T416" s="150" t="s">
        <v>25</v>
      </c>
      <c r="U416" s="150"/>
      <c r="V416" s="643"/>
      <c r="W416" s="659">
        <v>270422.03999999992</v>
      </c>
      <c r="X416" s="659">
        <v>166650</v>
      </c>
      <c r="Y416" s="656"/>
      <c r="Z416" s="657"/>
      <c r="AA416" s="714"/>
      <c r="AB416" s="428"/>
      <c r="AC416" s="428"/>
      <c r="AD416" s="428" t="s">
        <v>1142</v>
      </c>
      <c r="AE416" s="429">
        <v>0</v>
      </c>
      <c r="AF416" s="429">
        <v>0</v>
      </c>
      <c r="AG416" s="649">
        <v>7837.5</v>
      </c>
      <c r="AH416" s="649">
        <v>7837.5</v>
      </c>
      <c r="AI416" s="649">
        <v>7837.5</v>
      </c>
      <c r="AJ416" s="649">
        <v>7837.5</v>
      </c>
      <c r="AK416" s="649">
        <v>7837.5</v>
      </c>
      <c r="AL416" s="649">
        <v>7837.5</v>
      </c>
      <c r="AM416" s="649">
        <f t="shared" si="27"/>
        <v>47025</v>
      </c>
      <c r="AN416" s="651">
        <f>ERP_27[[#This Row],[2026 Working Total]]-ERP_27[[#This Row],[LE2 Final Submission]]</f>
        <v>-119625</v>
      </c>
      <c r="AO416" s="652">
        <v>111787.5</v>
      </c>
      <c r="AP416" s="652">
        <f t="shared" si="26"/>
        <v>-111787.5</v>
      </c>
      <c r="AQ416" s="374">
        <f>SUM(ERP_27[[#This Row],[AP01]:[AP06]])-SUM(ERP_27[[#This Row],[AP01 LE2]:[AP06 LE2]])</f>
        <v>-119625</v>
      </c>
      <c r="AR416" s="653"/>
      <c r="AS416" s="652">
        <f>ERP_27[[#This Row],[2026 Working Total to Budget/LE]]-ERP_27[[#This Row],[Giveback]]</f>
        <v>-119625</v>
      </c>
      <c r="AT416" s="654"/>
      <c r="AU416" s="655"/>
      <c r="AV416" s="655"/>
      <c r="AW416" s="655"/>
      <c r="AX416" s="655">
        <v>0</v>
      </c>
      <c r="AY416" s="655">
        <v>111787.5</v>
      </c>
      <c r="AZ416" s="655">
        <v>7837.5</v>
      </c>
      <c r="BA416" s="655">
        <v>7837.5</v>
      </c>
      <c r="BB416" s="655">
        <v>7837.5</v>
      </c>
      <c r="BC416" s="655">
        <v>7837.5</v>
      </c>
      <c r="BD416" s="655">
        <v>7837.5</v>
      </c>
      <c r="BE416" s="655">
        <v>7837.5</v>
      </c>
      <c r="BF416" s="655">
        <v>7837.5</v>
      </c>
      <c r="BG416" s="655">
        <v>166650</v>
      </c>
      <c r="BH416" s="652"/>
      <c r="BI416" s="652"/>
      <c r="BJ416" s="652"/>
      <c r="BK416" s="652">
        <v>26158</v>
      </c>
      <c r="BL416" s="652">
        <v>26158</v>
      </c>
      <c r="BM416" s="652">
        <v>26158</v>
      </c>
      <c r="BN416" s="652">
        <v>26158</v>
      </c>
      <c r="BO416" s="652">
        <v>26158</v>
      </c>
      <c r="BP416" s="652">
        <v>26158</v>
      </c>
      <c r="BQ416" s="652">
        <v>26158</v>
      </c>
      <c r="BR416" s="652">
        <v>26158</v>
      </c>
      <c r="BS416" s="652">
        <v>26158</v>
      </c>
      <c r="BT416" s="652">
        <v>235422</v>
      </c>
    </row>
    <row r="417" spans="1:72" ht="15" hidden="1" customHeight="1">
      <c r="A417" s="66" t="s">
        <v>1468</v>
      </c>
      <c r="B417" s="66"/>
      <c r="C417" s="66" t="s">
        <v>218</v>
      </c>
      <c r="D417" s="66" t="s">
        <v>218</v>
      </c>
      <c r="E417" s="150" t="s">
        <v>1136</v>
      </c>
      <c r="F417" s="482" t="s">
        <v>1566</v>
      </c>
      <c r="G417" s="150" t="s">
        <v>1450</v>
      </c>
      <c r="H417" s="150" t="s">
        <v>1450</v>
      </c>
      <c r="I417" s="150" t="s">
        <v>1345</v>
      </c>
      <c r="J417" s="150" t="s">
        <v>1450</v>
      </c>
      <c r="K417" s="150" t="s">
        <v>1346</v>
      </c>
      <c r="L417" s="511" t="s">
        <v>49</v>
      </c>
      <c r="M417" s="392" t="s">
        <v>1469</v>
      </c>
      <c r="N417" s="343"/>
      <c r="O417" s="343"/>
      <c r="P417" s="70" t="s">
        <v>219</v>
      </c>
      <c r="Q417" s="346"/>
      <c r="R417" s="343"/>
      <c r="S417" s="346"/>
      <c r="T417" s="150" t="s">
        <v>67</v>
      </c>
      <c r="U417" s="150"/>
      <c r="V417" s="643"/>
      <c r="W417" s="659">
        <v>50000</v>
      </c>
      <c r="X417" s="659">
        <v>50000</v>
      </c>
      <c r="Y417" s="656"/>
      <c r="Z417" s="657"/>
      <c r="AA417" s="714"/>
      <c r="AB417" s="428"/>
      <c r="AC417" s="428"/>
      <c r="AD417" s="428">
        <v>0</v>
      </c>
      <c r="AE417" s="429">
        <v>49060</v>
      </c>
      <c r="AF417" s="429">
        <v>0</v>
      </c>
      <c r="AG417" s="649">
        <v>0</v>
      </c>
      <c r="AH417" s="649">
        <v>0</v>
      </c>
      <c r="AI417" s="649">
        <v>0</v>
      </c>
      <c r="AJ417" s="649">
        <v>0</v>
      </c>
      <c r="AK417" s="649">
        <v>0</v>
      </c>
      <c r="AL417" s="649">
        <v>0</v>
      </c>
      <c r="AM417" s="649">
        <f t="shared" si="27"/>
        <v>49060</v>
      </c>
      <c r="AN417" s="651">
        <f>ERP_27[[#This Row],[2026 Working Total]]-ERP_27[[#This Row],[LE2 Final Submission]]</f>
        <v>-940</v>
      </c>
      <c r="AO417" s="652">
        <v>50000</v>
      </c>
      <c r="AP417" s="652">
        <f t="shared" si="26"/>
        <v>-50000</v>
      </c>
      <c r="AQ417" s="374">
        <f>SUM(ERP_27[[#This Row],[AP01]:[AP06]])-SUM(ERP_27[[#This Row],[AP01 LE2]:[AP06 LE2]])</f>
        <v>-940</v>
      </c>
      <c r="AR417" s="653"/>
      <c r="AS417" s="652">
        <f>ERP_27[[#This Row],[2026 Working Total to Budget/LE]]-ERP_27[[#This Row],[Giveback]]</f>
        <v>-940</v>
      </c>
      <c r="AT417" s="654"/>
      <c r="AU417" s="655"/>
      <c r="AV417" s="655"/>
      <c r="AW417" s="655"/>
      <c r="AX417" s="655">
        <v>0</v>
      </c>
      <c r="AY417" s="655">
        <v>50000</v>
      </c>
      <c r="AZ417" s="655">
        <v>0</v>
      </c>
      <c r="BA417" s="655">
        <v>0</v>
      </c>
      <c r="BB417" s="655">
        <v>0</v>
      </c>
      <c r="BC417" s="655">
        <v>0</v>
      </c>
      <c r="BD417" s="655">
        <v>0</v>
      </c>
      <c r="BE417" s="655">
        <v>0</v>
      </c>
      <c r="BF417" s="655">
        <v>0</v>
      </c>
      <c r="BG417" s="655">
        <v>50000</v>
      </c>
      <c r="BH417" s="652"/>
      <c r="BI417" s="652"/>
      <c r="BJ417" s="652"/>
      <c r="BK417" s="652">
        <v>50000</v>
      </c>
      <c r="BL417" s="652">
        <v>0</v>
      </c>
      <c r="BM417" s="652">
        <v>0</v>
      </c>
      <c r="BN417" s="652">
        <v>0</v>
      </c>
      <c r="BO417" s="652">
        <v>0</v>
      </c>
      <c r="BP417" s="652">
        <v>0</v>
      </c>
      <c r="BQ417" s="652">
        <v>0</v>
      </c>
      <c r="BR417" s="652">
        <v>0</v>
      </c>
      <c r="BS417" s="652">
        <v>0</v>
      </c>
      <c r="BT417" s="652">
        <v>50000</v>
      </c>
    </row>
    <row r="418" spans="1:72" ht="15" hidden="1" customHeight="1">
      <c r="A418" s="66" t="s">
        <v>1461</v>
      </c>
      <c r="B418" s="66"/>
      <c r="C418" s="66" t="s">
        <v>211</v>
      </c>
      <c r="D418" s="66" t="s">
        <v>211</v>
      </c>
      <c r="E418" s="150" t="s">
        <v>1136</v>
      </c>
      <c r="F418" s="482" t="s">
        <v>1566</v>
      </c>
      <c r="G418" s="150" t="s">
        <v>1450</v>
      </c>
      <c r="H418" s="150" t="s">
        <v>1450</v>
      </c>
      <c r="I418" s="150" t="s">
        <v>1345</v>
      </c>
      <c r="J418" s="150" t="s">
        <v>1450</v>
      </c>
      <c r="K418" s="150" t="s">
        <v>1346</v>
      </c>
      <c r="L418" s="511" t="s">
        <v>49</v>
      </c>
      <c r="M418" s="392" t="s">
        <v>1462</v>
      </c>
      <c r="N418" s="343"/>
      <c r="O418" s="343"/>
      <c r="P418" s="70" t="s">
        <v>212</v>
      </c>
      <c r="Q418" s="346"/>
      <c r="R418" s="346" t="s">
        <v>1221</v>
      </c>
      <c r="S418" s="346"/>
      <c r="T418" s="150" t="s">
        <v>25</v>
      </c>
      <c r="U418" s="150"/>
      <c r="V418" s="643"/>
      <c r="W418" s="659">
        <v>70000</v>
      </c>
      <c r="X418" s="659">
        <v>40000</v>
      </c>
      <c r="Y418" s="656"/>
      <c r="Z418" s="657"/>
      <c r="AA418" s="714"/>
      <c r="AB418" s="428"/>
      <c r="AC418" s="428"/>
      <c r="AD418" s="428" t="s">
        <v>1142</v>
      </c>
      <c r="AE418" s="429">
        <v>0</v>
      </c>
      <c r="AF418" s="429">
        <v>0</v>
      </c>
      <c r="AG418" s="649">
        <v>0</v>
      </c>
      <c r="AH418" s="649">
        <v>9500</v>
      </c>
      <c r="AI418" s="649">
        <v>0</v>
      </c>
      <c r="AJ418" s="649">
        <v>20000</v>
      </c>
      <c r="AK418" s="649">
        <v>0</v>
      </c>
      <c r="AL418" s="649">
        <v>20000</v>
      </c>
      <c r="AM418" s="649">
        <f t="shared" si="27"/>
        <v>49500</v>
      </c>
      <c r="AN418" s="651">
        <f>ERP_27[[#This Row],[2026 Working Total]]-ERP_27[[#This Row],[LE2 Final Submission]]</f>
        <v>9500</v>
      </c>
      <c r="AO418" s="652"/>
      <c r="AP418" s="652">
        <f t="shared" si="26"/>
        <v>0</v>
      </c>
      <c r="AQ418" s="374">
        <f>SUM(ERP_27[[#This Row],[AP01]:[AP06]])-SUM(ERP_27[[#This Row],[AP01 LE2]:[AP06 LE2]])</f>
        <v>-5000</v>
      </c>
      <c r="AR418" s="653"/>
      <c r="AS418" s="652">
        <f>ERP_27[[#This Row],[2026 Working Total to Budget/LE]]-ERP_27[[#This Row],[Giveback]]</f>
        <v>9500</v>
      </c>
      <c r="AT418" s="654" t="s">
        <v>1455</v>
      </c>
      <c r="AU418" s="655"/>
      <c r="AV418" s="655"/>
      <c r="AW418" s="655"/>
      <c r="AX418" s="655"/>
      <c r="AY418" s="655"/>
      <c r="AZ418" s="655">
        <v>5000</v>
      </c>
      <c r="BA418" s="655">
        <v>5000</v>
      </c>
      <c r="BB418" s="655">
        <v>5000</v>
      </c>
      <c r="BC418" s="655">
        <v>5000</v>
      </c>
      <c r="BD418" s="655">
        <v>5000</v>
      </c>
      <c r="BE418" s="655">
        <v>5000</v>
      </c>
      <c r="BF418" s="655">
        <v>10000</v>
      </c>
      <c r="BG418" s="655">
        <v>40000</v>
      </c>
      <c r="BH418" s="652"/>
      <c r="BI418" s="652"/>
      <c r="BJ418" s="652"/>
      <c r="BK418" s="652">
        <v>7000</v>
      </c>
      <c r="BL418" s="652">
        <v>7000</v>
      </c>
      <c r="BM418" s="652">
        <v>7000</v>
      </c>
      <c r="BN418" s="652">
        <v>7000</v>
      </c>
      <c r="BO418" s="652">
        <v>7000</v>
      </c>
      <c r="BP418" s="652">
        <v>7000</v>
      </c>
      <c r="BQ418" s="652">
        <v>7000</v>
      </c>
      <c r="BR418" s="652">
        <v>7000</v>
      </c>
      <c r="BS418" s="652">
        <v>7000</v>
      </c>
      <c r="BT418" s="652">
        <v>63000</v>
      </c>
    </row>
    <row r="419" spans="1:72" ht="15" hidden="1" customHeight="1">
      <c r="A419" s="66" t="s">
        <v>1369</v>
      </c>
      <c r="B419" s="66"/>
      <c r="C419" s="66" t="s">
        <v>164</v>
      </c>
      <c r="D419" s="66" t="s">
        <v>164</v>
      </c>
      <c r="E419" s="150" t="s">
        <v>1136</v>
      </c>
      <c r="F419" s="482" t="s">
        <v>1566</v>
      </c>
      <c r="G419" s="383" t="s">
        <v>1344</v>
      </c>
      <c r="H419" s="383" t="s">
        <v>1344</v>
      </c>
      <c r="I419" s="150" t="s">
        <v>1345</v>
      </c>
      <c r="J419" s="150" t="s">
        <v>1344</v>
      </c>
      <c r="K419" s="150" t="s">
        <v>1346</v>
      </c>
      <c r="L419" s="511" t="s">
        <v>49</v>
      </c>
      <c r="M419" s="392" t="s">
        <v>1370</v>
      </c>
      <c r="N419" s="343"/>
      <c r="O419" s="343"/>
      <c r="P419" s="70" t="s">
        <v>165</v>
      </c>
      <c r="Q419" s="346" t="s">
        <v>1371</v>
      </c>
      <c r="R419" s="343"/>
      <c r="S419" s="346"/>
      <c r="T419" s="150" t="s">
        <v>152</v>
      </c>
      <c r="U419" s="150"/>
      <c r="V419" s="643"/>
      <c r="W419" s="659">
        <v>50000</v>
      </c>
      <c r="X419" s="659">
        <v>50000</v>
      </c>
      <c r="Y419" s="656"/>
      <c r="Z419" s="657"/>
      <c r="AA419" s="714"/>
      <c r="AB419" s="428"/>
      <c r="AC419" s="428"/>
      <c r="AD419" s="428" t="s">
        <v>1142</v>
      </c>
      <c r="AE419" s="429">
        <v>0</v>
      </c>
      <c r="AF419" s="429">
        <v>0</v>
      </c>
      <c r="AG419" s="649">
        <v>8520</v>
      </c>
      <c r="AH419" s="649">
        <v>10000</v>
      </c>
      <c r="AI419" s="649">
        <v>10000</v>
      </c>
      <c r="AJ419" s="649">
        <v>10000</v>
      </c>
      <c r="AK419" s="649">
        <v>11480</v>
      </c>
      <c r="AL419" s="649">
        <v>0</v>
      </c>
      <c r="AM419" s="649">
        <f t="shared" si="27"/>
        <v>50000</v>
      </c>
      <c r="AN419" s="651">
        <f>ERP_27[[#This Row],[2026 Working Total]]-ERP_27[[#This Row],[LE2 Final Submission]]</f>
        <v>0</v>
      </c>
      <c r="AO419" s="652">
        <v>11100</v>
      </c>
      <c r="AP419" s="652">
        <f t="shared" si="26"/>
        <v>-11100</v>
      </c>
      <c r="AQ419" s="374">
        <f>SUM(ERP_27[[#This Row],[AP01]:[AP06]])-SUM(ERP_27[[#This Row],[AP01 LE2]:[AP06 LE2]])</f>
        <v>-22500</v>
      </c>
      <c r="AR419" s="653"/>
      <c r="AS419" s="652">
        <f>ERP_27[[#This Row],[2026 Working Total to Budget/LE]]-ERP_27[[#This Row],[Giveback]]</f>
        <v>0</v>
      </c>
      <c r="AT419" s="654"/>
      <c r="AU419" s="655"/>
      <c r="AV419" s="655"/>
      <c r="AW419" s="655"/>
      <c r="AX419" s="655">
        <v>0</v>
      </c>
      <c r="AY419" s="655">
        <v>11100</v>
      </c>
      <c r="AZ419" s="655">
        <v>11400</v>
      </c>
      <c r="BA419" s="655">
        <v>0</v>
      </c>
      <c r="BB419" s="655">
        <v>0</v>
      </c>
      <c r="BC419" s="655">
        <v>9000</v>
      </c>
      <c r="BD419" s="655">
        <v>9000</v>
      </c>
      <c r="BE419" s="655">
        <v>9500</v>
      </c>
      <c r="BF419" s="655">
        <v>0</v>
      </c>
      <c r="BG419" s="655">
        <v>50000</v>
      </c>
      <c r="BH419" s="652"/>
      <c r="BI419" s="652"/>
      <c r="BJ419" s="652"/>
      <c r="BK419" s="652"/>
      <c r="BL419" s="652"/>
      <c r="BM419" s="652"/>
      <c r="BN419" s="652">
        <v>10000</v>
      </c>
      <c r="BO419" s="652">
        <v>10000</v>
      </c>
      <c r="BP419" s="652">
        <v>10000</v>
      </c>
      <c r="BQ419" s="652">
        <v>10000</v>
      </c>
      <c r="BR419" s="652">
        <v>10000</v>
      </c>
      <c r="BS419" s="652">
        <v>0</v>
      </c>
      <c r="BT419" s="652">
        <v>50000</v>
      </c>
    </row>
    <row r="420" spans="1:72" ht="15" hidden="1" customHeight="1">
      <c r="A420" s="66" t="s">
        <v>1394</v>
      </c>
      <c r="B420" s="66"/>
      <c r="C420" s="66" t="s">
        <v>180</v>
      </c>
      <c r="D420" s="66" t="s">
        <v>180</v>
      </c>
      <c r="E420" s="150" t="s">
        <v>1136</v>
      </c>
      <c r="F420" s="482" t="s">
        <v>1566</v>
      </c>
      <c r="G420" s="383" t="s">
        <v>1344</v>
      </c>
      <c r="H420" s="383" t="s">
        <v>1344</v>
      </c>
      <c r="I420" s="150" t="s">
        <v>1345</v>
      </c>
      <c r="J420" s="150" t="s">
        <v>1344</v>
      </c>
      <c r="K420" s="150" t="s">
        <v>1346</v>
      </c>
      <c r="L420" s="511" t="s">
        <v>49</v>
      </c>
      <c r="M420" s="392" t="s">
        <v>1395</v>
      </c>
      <c r="N420" s="343"/>
      <c r="O420" s="343"/>
      <c r="P420" s="70" t="s">
        <v>181</v>
      </c>
      <c r="Q420" s="346"/>
      <c r="R420" s="343"/>
      <c r="S420" s="346"/>
      <c r="T420" s="150" t="s">
        <v>119</v>
      </c>
      <c r="U420" s="150"/>
      <c r="V420" s="643"/>
      <c r="W420" s="659">
        <v>50000</v>
      </c>
      <c r="X420" s="659">
        <v>50000</v>
      </c>
      <c r="Y420" s="656"/>
      <c r="Z420" s="657"/>
      <c r="AA420" s="714"/>
      <c r="AB420" s="428"/>
      <c r="AC420" s="428"/>
      <c r="AD420" s="428" t="s">
        <v>1142</v>
      </c>
      <c r="AE420" s="429">
        <v>0</v>
      </c>
      <c r="AF420" s="429">
        <v>0</v>
      </c>
      <c r="AG420" s="649"/>
      <c r="AH420" s="649">
        <v>50000</v>
      </c>
      <c r="AI420" s="649">
        <v>0</v>
      </c>
      <c r="AJ420" s="649">
        <v>0</v>
      </c>
      <c r="AK420" s="649">
        <v>0</v>
      </c>
      <c r="AL420" s="649">
        <v>0</v>
      </c>
      <c r="AM420" s="649">
        <f t="shared" si="27"/>
        <v>50000</v>
      </c>
      <c r="AN420" s="651">
        <f>ERP_27[[#This Row],[2026 Working Total]]-ERP_27[[#This Row],[LE2 Final Submission]]</f>
        <v>0</v>
      </c>
      <c r="AO420" s="652"/>
      <c r="AP420" s="652">
        <f t="shared" si="26"/>
        <v>0</v>
      </c>
      <c r="AQ420" s="374">
        <f>SUM(ERP_27[[#This Row],[AP01]:[AP06]])-SUM(ERP_27[[#This Row],[AP01 LE2]:[AP06 LE2]])</f>
        <v>0</v>
      </c>
      <c r="AR420" s="653"/>
      <c r="AS420" s="652">
        <f>ERP_27[[#This Row],[2026 Working Total to Budget/LE]]-ERP_27[[#This Row],[Giveback]]</f>
        <v>0</v>
      </c>
      <c r="AT420" s="654"/>
      <c r="AU420" s="655"/>
      <c r="AV420" s="655"/>
      <c r="AW420" s="655"/>
      <c r="AX420" s="655"/>
      <c r="AY420" s="655"/>
      <c r="AZ420" s="655"/>
      <c r="BA420" s="655"/>
      <c r="BB420" s="655">
        <v>50000</v>
      </c>
      <c r="BC420" s="655">
        <v>0</v>
      </c>
      <c r="BD420" s="655">
        <v>0</v>
      </c>
      <c r="BE420" s="655">
        <v>0</v>
      </c>
      <c r="BF420" s="655">
        <v>0</v>
      </c>
      <c r="BG420" s="655">
        <v>50000</v>
      </c>
      <c r="BH420" s="652"/>
      <c r="BI420" s="652"/>
      <c r="BJ420" s="652"/>
      <c r="BK420" s="652"/>
      <c r="BL420" s="652"/>
      <c r="BM420" s="652"/>
      <c r="BN420" s="652"/>
      <c r="BO420" s="652">
        <v>50000</v>
      </c>
      <c r="BP420" s="652">
        <v>0</v>
      </c>
      <c r="BQ420" s="652">
        <v>0</v>
      </c>
      <c r="BR420" s="652">
        <v>0</v>
      </c>
      <c r="BS420" s="652">
        <v>0</v>
      </c>
      <c r="BT420" s="652">
        <v>50000</v>
      </c>
    </row>
    <row r="421" spans="1:72" ht="15" hidden="1" customHeight="1">
      <c r="A421" s="66" t="s">
        <v>2616</v>
      </c>
      <c r="B421" s="66"/>
      <c r="C421" s="66" t="s">
        <v>908</v>
      </c>
      <c r="D421" s="66" t="s">
        <v>908</v>
      </c>
      <c r="E421" s="150" t="s">
        <v>1136</v>
      </c>
      <c r="F421" s="482" t="s">
        <v>1566</v>
      </c>
      <c r="G421" s="383" t="s">
        <v>1344</v>
      </c>
      <c r="H421" s="383" t="s">
        <v>1344</v>
      </c>
      <c r="I421" s="150" t="s">
        <v>1345</v>
      </c>
      <c r="J421" s="150" t="s">
        <v>1344</v>
      </c>
      <c r="K421" s="150" t="s">
        <v>1346</v>
      </c>
      <c r="L421" s="511" t="s">
        <v>639</v>
      </c>
      <c r="M421" s="392" t="s">
        <v>2617</v>
      </c>
      <c r="N421" s="343"/>
      <c r="O421" s="347">
        <v>2687857</v>
      </c>
      <c r="P421" s="70" t="s">
        <v>909</v>
      </c>
      <c r="Q421" s="346"/>
      <c r="R421" s="343"/>
      <c r="S421" s="346"/>
      <c r="T421" s="150" t="s">
        <v>910</v>
      </c>
      <c r="U421" s="150"/>
      <c r="V421" s="643"/>
      <c r="W421" s="659">
        <v>50000</v>
      </c>
      <c r="X421" s="659">
        <v>50000</v>
      </c>
      <c r="Y421" s="656"/>
      <c r="Z421" s="657"/>
      <c r="AA421" s="714"/>
      <c r="AB421" s="428"/>
      <c r="AC421" s="428"/>
      <c r="AD421" s="428" t="s">
        <v>1142</v>
      </c>
      <c r="AE421" s="429">
        <v>0</v>
      </c>
      <c r="AF421" s="429">
        <v>0</v>
      </c>
      <c r="AG421" s="649"/>
      <c r="AH421" s="649">
        <v>50000</v>
      </c>
      <c r="AI421" s="649"/>
      <c r="AJ421" s="792"/>
      <c r="AK421" s="649">
        <v>0</v>
      </c>
      <c r="AL421" s="649">
        <v>0</v>
      </c>
      <c r="AM421" s="649">
        <f t="shared" si="27"/>
        <v>50000</v>
      </c>
      <c r="AN421" s="651">
        <f>ERP_27[[#This Row],[2026 Working Total]]-ERP_27[[#This Row],[LE2 Final Submission]]</f>
        <v>0</v>
      </c>
      <c r="AO421" s="652"/>
      <c r="AP421" s="652">
        <f t="shared" si="26"/>
        <v>0</v>
      </c>
      <c r="AQ421" s="374">
        <f>SUM(ERP_27[[#This Row],[AP01]:[AP06]])-SUM(ERP_27[[#This Row],[AP01 LE2]:[AP06 LE2]])</f>
        <v>0</v>
      </c>
      <c r="AR421" s="653"/>
      <c r="AS421" s="652">
        <f>ERP_27[[#This Row],[2026 Working Total to Budget/LE]]-ERP_27[[#This Row],[Giveback]]</f>
        <v>0</v>
      </c>
      <c r="AT421" s="654"/>
      <c r="AU421" s="655"/>
      <c r="AV421" s="655"/>
      <c r="AW421" s="655"/>
      <c r="AX421" s="655"/>
      <c r="AY421" s="655"/>
      <c r="AZ421" s="655"/>
      <c r="BA421" s="655"/>
      <c r="BB421" s="655"/>
      <c r="BC421" s="655"/>
      <c r="BD421" s="655">
        <v>50000</v>
      </c>
      <c r="BE421" s="655">
        <v>0</v>
      </c>
      <c r="BF421" s="655">
        <v>0</v>
      </c>
      <c r="BG421" s="655">
        <v>50000</v>
      </c>
      <c r="BH421" s="652"/>
      <c r="BI421" s="652"/>
      <c r="BJ421" s="652"/>
      <c r="BK421" s="652"/>
      <c r="BL421" s="652"/>
      <c r="BM421" s="652"/>
      <c r="BN421" s="652"/>
      <c r="BO421" s="652"/>
      <c r="BP421" s="652"/>
      <c r="BQ421" s="652">
        <v>50000</v>
      </c>
      <c r="BR421" s="652">
        <v>0</v>
      </c>
      <c r="BS421" s="652">
        <v>0</v>
      </c>
      <c r="BT421" s="652">
        <v>50000</v>
      </c>
    </row>
    <row r="422" spans="1:72" ht="15" hidden="1" customHeight="1">
      <c r="A422" s="66" t="s">
        <v>2016</v>
      </c>
      <c r="B422" s="66"/>
      <c r="C422" s="66" t="s">
        <v>527</v>
      </c>
      <c r="D422" s="66" t="s">
        <v>527</v>
      </c>
      <c r="E422" s="150" t="s">
        <v>1136</v>
      </c>
      <c r="F422" s="482" t="s">
        <v>1566</v>
      </c>
      <c r="G422" s="150" t="s">
        <v>1345</v>
      </c>
      <c r="H422" s="150" t="s">
        <v>1345</v>
      </c>
      <c r="I422" s="150" t="s">
        <v>1345</v>
      </c>
      <c r="J422" s="150" t="s">
        <v>1345</v>
      </c>
      <c r="K422" s="150" t="s">
        <v>1346</v>
      </c>
      <c r="L422" s="511" t="s">
        <v>389</v>
      </c>
      <c r="M422" s="392" t="s">
        <v>1492</v>
      </c>
      <c r="N422" s="343"/>
      <c r="O422" s="343"/>
      <c r="P422" s="70" t="s">
        <v>201</v>
      </c>
      <c r="Q422" s="346"/>
      <c r="R422" s="343"/>
      <c r="S422" s="346"/>
      <c r="T422" s="150" t="s">
        <v>232</v>
      </c>
      <c r="U422" s="503" t="s">
        <v>2911</v>
      </c>
      <c r="V422" s="643"/>
      <c r="W422" s="659">
        <v>0</v>
      </c>
      <c r="X422" s="659">
        <v>200000</v>
      </c>
      <c r="Y422" s="656"/>
      <c r="Z422" s="657"/>
      <c r="AA422" s="714"/>
      <c r="AB422" s="428"/>
      <c r="AC422" s="428">
        <v>50000</v>
      </c>
      <c r="AD422" s="428">
        <v>0</v>
      </c>
      <c r="AE422" s="429">
        <v>0</v>
      </c>
      <c r="AF422" s="429">
        <v>0</v>
      </c>
      <c r="AG422" s="649">
        <v>0</v>
      </c>
      <c r="AH422" s="649">
        <v>0</v>
      </c>
      <c r="AI422" s="649">
        <v>0</v>
      </c>
      <c r="AJ422" s="649">
        <v>0</v>
      </c>
      <c r="AK422" s="649">
        <v>0</v>
      </c>
      <c r="AL422" s="649">
        <v>0</v>
      </c>
      <c r="AM422" s="649">
        <f t="shared" si="27"/>
        <v>50000</v>
      </c>
      <c r="AN422" s="651">
        <f>ERP_27[[#This Row],[2026 Working Total]]-ERP_27[[#This Row],[LE2 Final Submission]]</f>
        <v>-150000</v>
      </c>
      <c r="AO422" s="652">
        <v>50000</v>
      </c>
      <c r="AP422" s="652">
        <f t="shared" si="26"/>
        <v>-50000</v>
      </c>
      <c r="AQ422" s="374">
        <f>SUM(ERP_27[[#This Row],[AP01]:[AP06]])-SUM(ERP_27[[#This Row],[AP01 LE2]:[AP06 LE2]])</f>
        <v>-50000</v>
      </c>
      <c r="AR422" s="653"/>
      <c r="AS422" s="652">
        <f>ERP_27[[#This Row],[2026 Working Total to Budget/LE]]-ERP_27[[#This Row],[Giveback]]</f>
        <v>-150000</v>
      </c>
      <c r="AT422" s="654"/>
      <c r="AU422" s="655"/>
      <c r="AV422" s="655"/>
      <c r="AW422" s="655">
        <v>50000</v>
      </c>
      <c r="AX422" s="655">
        <v>0</v>
      </c>
      <c r="AY422" s="655">
        <v>50000</v>
      </c>
      <c r="AZ422" s="655">
        <v>0</v>
      </c>
      <c r="BA422" s="655">
        <v>0</v>
      </c>
      <c r="BB422" s="655">
        <v>50000</v>
      </c>
      <c r="BC422" s="655">
        <v>0</v>
      </c>
      <c r="BD422" s="655">
        <v>50000</v>
      </c>
      <c r="BE422" s="655">
        <v>0</v>
      </c>
      <c r="BF422" s="655">
        <v>0</v>
      </c>
      <c r="BG422" s="655">
        <v>200000</v>
      </c>
      <c r="BH422" s="652"/>
      <c r="BI422" s="652"/>
      <c r="BJ422" s="652">
        <v>50000</v>
      </c>
      <c r="BK422" s="652">
        <v>0</v>
      </c>
      <c r="BL422" s="652">
        <v>0</v>
      </c>
      <c r="BM422" s="652">
        <v>0</v>
      </c>
      <c r="BN422" s="652">
        <v>0</v>
      </c>
      <c r="BO422" s="652">
        <v>0</v>
      </c>
      <c r="BP422" s="652">
        <v>0</v>
      </c>
      <c r="BQ422" s="652">
        <v>0</v>
      </c>
      <c r="BR422" s="652">
        <v>0</v>
      </c>
      <c r="BS422" s="652">
        <v>0</v>
      </c>
      <c r="BT422" s="652">
        <v>50000</v>
      </c>
    </row>
    <row r="423" spans="1:72" ht="15" hidden="1" customHeight="1">
      <c r="A423" s="66" t="s">
        <v>1840</v>
      </c>
      <c r="B423" s="66"/>
      <c r="C423" s="66" t="s">
        <v>437</v>
      </c>
      <c r="D423" s="66" t="s">
        <v>1841</v>
      </c>
      <c r="E423" s="150" t="s">
        <v>1136</v>
      </c>
      <c r="F423" s="482" t="s">
        <v>1566</v>
      </c>
      <c r="G423" s="150" t="s">
        <v>1135</v>
      </c>
      <c r="H423" s="150" t="s">
        <v>1165</v>
      </c>
      <c r="I423" s="150" t="s">
        <v>1135</v>
      </c>
      <c r="J423" s="150" t="s">
        <v>1165</v>
      </c>
      <c r="K423" s="150" t="s">
        <v>1137</v>
      </c>
      <c r="L423" s="511" t="s">
        <v>389</v>
      </c>
      <c r="M423" s="392" t="s">
        <v>1842</v>
      </c>
      <c r="N423" s="343"/>
      <c r="O423" s="343"/>
      <c r="P423" s="70" t="s">
        <v>438</v>
      </c>
      <c r="Q423" s="346"/>
      <c r="R423" s="343"/>
      <c r="S423" s="346"/>
      <c r="T423" s="150" t="s">
        <v>439</v>
      </c>
      <c r="U423" s="150"/>
      <c r="V423" s="643"/>
      <c r="W423" s="659">
        <v>60000</v>
      </c>
      <c r="X423" s="659">
        <v>59587</v>
      </c>
      <c r="Y423" s="656"/>
      <c r="Z423" s="657"/>
      <c r="AA423" s="714"/>
      <c r="AB423" s="428"/>
      <c r="AC423" s="428">
        <v>7840</v>
      </c>
      <c r="AD423" s="428">
        <v>4772.18</v>
      </c>
      <c r="AE423" s="429">
        <v>4772.17</v>
      </c>
      <c r="AF423" s="429">
        <v>4075.2199999999993</v>
      </c>
      <c r="AG423" s="649">
        <v>5000</v>
      </c>
      <c r="AH423" s="649">
        <v>5000</v>
      </c>
      <c r="AI423" s="649">
        <v>5000</v>
      </c>
      <c r="AJ423" s="649">
        <v>5000</v>
      </c>
      <c r="AK423" s="649">
        <v>5000</v>
      </c>
      <c r="AL423" s="649">
        <v>5000</v>
      </c>
      <c r="AM423" s="649">
        <f t="shared" si="27"/>
        <v>51459.57</v>
      </c>
      <c r="AN423" s="651">
        <f>ERP_27[[#This Row],[2026 Working Total]]-ERP_27[[#This Row],[LE2 Final Submission]]</f>
        <v>-8127.43</v>
      </c>
      <c r="AO423" s="652">
        <v>5000</v>
      </c>
      <c r="AP423" s="652">
        <f t="shared" si="26"/>
        <v>-924.78000000000065</v>
      </c>
      <c r="AQ423" s="374">
        <f>SUM(ERP_27[[#This Row],[AP01]:[AP06]])-SUM(ERP_27[[#This Row],[AP01 LE2]:[AP06 LE2]])</f>
        <v>-8127.43</v>
      </c>
      <c r="AR423" s="653"/>
      <c r="AS423" s="652">
        <f>ERP_27[[#This Row],[2026 Working Total to Budget/LE]]-ERP_27[[#This Row],[Giveback]]</f>
        <v>-8127.43</v>
      </c>
      <c r="AT423" s="654"/>
      <c r="AU423" s="655"/>
      <c r="AV423" s="655"/>
      <c r="AW423" s="655">
        <v>7840</v>
      </c>
      <c r="AX423" s="655">
        <v>11747</v>
      </c>
      <c r="AY423" s="655">
        <v>5000</v>
      </c>
      <c r="AZ423" s="655">
        <v>5000</v>
      </c>
      <c r="BA423" s="655">
        <v>5000</v>
      </c>
      <c r="BB423" s="655">
        <v>5000</v>
      </c>
      <c r="BC423" s="655">
        <v>5000</v>
      </c>
      <c r="BD423" s="655">
        <v>5000</v>
      </c>
      <c r="BE423" s="655">
        <v>5000</v>
      </c>
      <c r="BF423" s="655">
        <v>5000</v>
      </c>
      <c r="BG423" s="655">
        <v>59587</v>
      </c>
      <c r="BH423" s="652"/>
      <c r="BI423" s="652"/>
      <c r="BJ423" s="652">
        <v>7840</v>
      </c>
      <c r="BK423" s="652">
        <v>5000</v>
      </c>
      <c r="BL423" s="652">
        <v>5000</v>
      </c>
      <c r="BM423" s="652">
        <v>5000</v>
      </c>
      <c r="BN423" s="652">
        <v>5000</v>
      </c>
      <c r="BO423" s="652">
        <v>5000</v>
      </c>
      <c r="BP423" s="652">
        <v>5000</v>
      </c>
      <c r="BQ423" s="652">
        <v>5000</v>
      </c>
      <c r="BR423" s="652">
        <v>5000</v>
      </c>
      <c r="BS423" s="652">
        <v>5000</v>
      </c>
      <c r="BT423" s="652">
        <v>52840</v>
      </c>
    </row>
    <row r="424" spans="1:72" ht="15" hidden="1" customHeight="1">
      <c r="A424" s="66" t="s">
        <v>1310</v>
      </c>
      <c r="B424" s="66"/>
      <c r="C424" s="66" t="s">
        <v>140</v>
      </c>
      <c r="D424" s="66" t="s">
        <v>1311</v>
      </c>
      <c r="E424" s="150" t="s">
        <v>1136</v>
      </c>
      <c r="F424" s="482" t="s">
        <v>1566</v>
      </c>
      <c r="G424" s="150" t="s">
        <v>1135</v>
      </c>
      <c r="H424" s="150" t="s">
        <v>1145</v>
      </c>
      <c r="I424" s="150" t="s">
        <v>1135</v>
      </c>
      <c r="J424" s="150" t="s">
        <v>1145</v>
      </c>
      <c r="K424" s="150" t="s">
        <v>1137</v>
      </c>
      <c r="L424" s="511" t="s">
        <v>49</v>
      </c>
      <c r="M424" s="392" t="s">
        <v>1312</v>
      </c>
      <c r="N424" s="343"/>
      <c r="O424" s="346" t="s">
        <v>1186</v>
      </c>
      <c r="P424" s="70" t="s">
        <v>141</v>
      </c>
      <c r="Q424" s="346"/>
      <c r="R424" s="346" t="s">
        <v>1313</v>
      </c>
      <c r="S424" s="346"/>
      <c r="T424" s="150" t="s">
        <v>25</v>
      </c>
      <c r="U424" s="150"/>
      <c r="V424" s="643"/>
      <c r="W424" s="659">
        <v>49000</v>
      </c>
      <c r="X424" s="659">
        <v>48800.63</v>
      </c>
      <c r="Y424" s="656"/>
      <c r="Z424" s="657"/>
      <c r="AA424" s="714">
        <v>3356.36</v>
      </c>
      <c r="AB424" s="428">
        <v>3758.72</v>
      </c>
      <c r="AC424" s="428">
        <v>4698.63</v>
      </c>
      <c r="AD424" s="428">
        <v>3758.8999999999978</v>
      </c>
      <c r="AE424" s="429">
        <v>659.46</v>
      </c>
      <c r="AF424" s="429">
        <v>4698.630000000001</v>
      </c>
      <c r="AG424" s="649">
        <v>0</v>
      </c>
      <c r="AH424" s="649">
        <v>0</v>
      </c>
      <c r="AI424" s="649"/>
      <c r="AJ424" s="649">
        <v>12250</v>
      </c>
      <c r="AK424" s="649">
        <v>12250</v>
      </c>
      <c r="AL424" s="649">
        <v>8000</v>
      </c>
      <c r="AM424" s="649">
        <f t="shared" si="27"/>
        <v>53430.7</v>
      </c>
      <c r="AN424" s="651">
        <f>ERP_27[[#This Row],[2026 Working Total]]-ERP_27[[#This Row],[LE2 Final Submission]]</f>
        <v>4630.07</v>
      </c>
      <c r="AO424" s="652">
        <v>0</v>
      </c>
      <c r="AP424" s="652">
        <f t="shared" si="26"/>
        <v>4698.630000000001</v>
      </c>
      <c r="AQ424" s="374">
        <f>SUM(ERP_27[[#This Row],[AP01]:[AP06]])-SUM(ERP_27[[#This Row],[AP01 LE2]:[AP06 LE2]])</f>
        <v>-8267.93</v>
      </c>
      <c r="AR424" s="653"/>
      <c r="AS424" s="652">
        <f>ERP_27[[#This Row],[2026 Working Total to Budget/LE]]-ERP_27[[#This Row],[Giveback]]</f>
        <v>4630.07</v>
      </c>
      <c r="AT424" s="654"/>
      <c r="AU424" s="655">
        <v>3356.36</v>
      </c>
      <c r="AV424" s="655">
        <v>3758.72</v>
      </c>
      <c r="AW424" s="655">
        <v>4698.63</v>
      </c>
      <c r="AX424" s="655">
        <v>0</v>
      </c>
      <c r="AY424" s="655">
        <v>0</v>
      </c>
      <c r="AZ424" s="655">
        <v>17384.919999999998</v>
      </c>
      <c r="BA424" s="655">
        <v>0</v>
      </c>
      <c r="BB424" s="655">
        <v>0</v>
      </c>
      <c r="BC424" s="655">
        <v>12250</v>
      </c>
      <c r="BD424" s="655">
        <v>0</v>
      </c>
      <c r="BE424" s="655">
        <v>0</v>
      </c>
      <c r="BF424" s="655">
        <v>7352</v>
      </c>
      <c r="BG424" s="655">
        <v>48800.63</v>
      </c>
      <c r="BH424" s="652">
        <v>3356.36</v>
      </c>
      <c r="BI424" s="652">
        <v>3758.72</v>
      </c>
      <c r="BJ424" s="652">
        <v>4698.63</v>
      </c>
      <c r="BK424" s="652">
        <v>0</v>
      </c>
      <c r="BL424" s="652">
        <v>0</v>
      </c>
      <c r="BM424" s="652">
        <v>17384.919999999998</v>
      </c>
      <c r="BN424" s="652">
        <v>0</v>
      </c>
      <c r="BO424" s="652">
        <v>0</v>
      </c>
      <c r="BP424" s="652">
        <v>12250</v>
      </c>
      <c r="BQ424" s="652">
        <v>0</v>
      </c>
      <c r="BR424" s="652">
        <v>0</v>
      </c>
      <c r="BS424" s="652">
        <v>12250</v>
      </c>
      <c r="BT424" s="652">
        <v>53698.63</v>
      </c>
    </row>
    <row r="425" spans="1:72" ht="15" hidden="1" customHeight="1">
      <c r="A425" s="66" t="s">
        <v>2333</v>
      </c>
      <c r="B425" s="66"/>
      <c r="C425" s="66" t="s">
        <v>699</v>
      </c>
      <c r="D425" s="66" t="s">
        <v>2334</v>
      </c>
      <c r="E425" s="150" t="s">
        <v>1136</v>
      </c>
      <c r="F425" s="482" t="s">
        <v>1566</v>
      </c>
      <c r="G425" s="150" t="s">
        <v>1135</v>
      </c>
      <c r="H425" s="150" t="s">
        <v>1145</v>
      </c>
      <c r="I425" s="150" t="s">
        <v>1135</v>
      </c>
      <c r="J425" s="150" t="s">
        <v>1145</v>
      </c>
      <c r="K425" s="150" t="s">
        <v>1137</v>
      </c>
      <c r="L425" s="511" t="s">
        <v>639</v>
      </c>
      <c r="M425" s="392" t="s">
        <v>2335</v>
      </c>
      <c r="N425" s="343" t="s">
        <v>2305</v>
      </c>
      <c r="O425" s="346" t="s">
        <v>1186</v>
      </c>
      <c r="P425" s="70" t="s">
        <v>700</v>
      </c>
      <c r="Q425" s="346"/>
      <c r="R425" s="346" t="s">
        <v>2336</v>
      </c>
      <c r="S425" s="346"/>
      <c r="T425" s="150" t="s">
        <v>701</v>
      </c>
      <c r="U425" s="150"/>
      <c r="V425" s="643"/>
      <c r="W425" s="659">
        <v>54093.63</v>
      </c>
      <c r="X425" s="659">
        <v>55716.44</v>
      </c>
      <c r="Y425" s="656"/>
      <c r="Z425" s="657"/>
      <c r="AA425" s="714"/>
      <c r="AB425" s="428">
        <v>55716.44</v>
      </c>
      <c r="AC425" s="428">
        <v>0</v>
      </c>
      <c r="AD425" s="428">
        <v>0</v>
      </c>
      <c r="AE425" s="429">
        <v>0</v>
      </c>
      <c r="AF425" s="429">
        <v>0</v>
      </c>
      <c r="AG425" s="649">
        <v>0</v>
      </c>
      <c r="AH425" s="649">
        <v>0</v>
      </c>
      <c r="AI425" s="649">
        <v>0</v>
      </c>
      <c r="AJ425" s="649">
        <v>0</v>
      </c>
      <c r="AK425" s="649">
        <v>0</v>
      </c>
      <c r="AL425" s="649">
        <v>0</v>
      </c>
      <c r="AM425" s="649">
        <f t="shared" si="27"/>
        <v>55716.44</v>
      </c>
      <c r="AN425" s="651">
        <f>ERP_27[[#This Row],[2026 Working Total]]-ERP_27[[#This Row],[LE2 Final Submission]]</f>
        <v>0</v>
      </c>
      <c r="AO425" s="652">
        <v>0</v>
      </c>
      <c r="AP425" s="652">
        <f t="shared" si="26"/>
        <v>0</v>
      </c>
      <c r="AQ425" s="374">
        <f>SUM(ERP_27[[#This Row],[AP01]:[AP06]])-SUM(ERP_27[[#This Row],[AP01 LE2]:[AP06 LE2]])</f>
        <v>0</v>
      </c>
      <c r="AR425" s="653"/>
      <c r="AS425" s="652">
        <f>ERP_27[[#This Row],[2026 Working Total to Budget/LE]]-ERP_27[[#This Row],[Giveback]]</f>
        <v>0</v>
      </c>
      <c r="AT425" s="654"/>
      <c r="AU425" s="655"/>
      <c r="AV425" s="655">
        <v>55716.44</v>
      </c>
      <c r="AW425" s="655">
        <v>0</v>
      </c>
      <c r="AX425" s="655">
        <v>0</v>
      </c>
      <c r="AY425" s="655">
        <v>0</v>
      </c>
      <c r="AZ425" s="655">
        <v>0</v>
      </c>
      <c r="BA425" s="655">
        <v>0</v>
      </c>
      <c r="BB425" s="655">
        <v>0</v>
      </c>
      <c r="BC425" s="655">
        <v>0</v>
      </c>
      <c r="BD425" s="655">
        <v>0</v>
      </c>
      <c r="BE425" s="655">
        <v>0</v>
      </c>
      <c r="BF425" s="655">
        <v>0</v>
      </c>
      <c r="BG425" s="655">
        <v>55716.44</v>
      </c>
      <c r="BH425" s="652"/>
      <c r="BI425" s="652">
        <v>55716.44</v>
      </c>
      <c r="BJ425" s="652">
        <v>0</v>
      </c>
      <c r="BK425" s="652">
        <v>0</v>
      </c>
      <c r="BL425" s="652">
        <v>0</v>
      </c>
      <c r="BM425" s="652">
        <v>0</v>
      </c>
      <c r="BN425" s="652">
        <v>0</v>
      </c>
      <c r="BO425" s="652">
        <v>0</v>
      </c>
      <c r="BP425" s="652">
        <v>0</v>
      </c>
      <c r="BQ425" s="652">
        <v>0</v>
      </c>
      <c r="BR425" s="652">
        <v>0</v>
      </c>
      <c r="BS425" s="652">
        <v>0</v>
      </c>
      <c r="BT425" s="652">
        <v>55716.44</v>
      </c>
    </row>
    <row r="426" spans="1:72" ht="15" hidden="1" customHeight="1">
      <c r="A426" s="66" t="s">
        <v>1763</v>
      </c>
      <c r="B426" s="66"/>
      <c r="C426" s="66" t="s">
        <v>396</v>
      </c>
      <c r="D426" s="66" t="s">
        <v>1764</v>
      </c>
      <c r="E426" s="150" t="s">
        <v>1136</v>
      </c>
      <c r="F426" s="482" t="s">
        <v>1566</v>
      </c>
      <c r="G426" s="150" t="s">
        <v>1135</v>
      </c>
      <c r="H426" s="150" t="s">
        <v>1165</v>
      </c>
      <c r="I426" s="150" t="s">
        <v>1135</v>
      </c>
      <c r="J426" s="150" t="s">
        <v>1165</v>
      </c>
      <c r="K426" s="150" t="s">
        <v>1137</v>
      </c>
      <c r="L426" s="511" t="s">
        <v>389</v>
      </c>
      <c r="M426" s="392" t="s">
        <v>1765</v>
      </c>
      <c r="N426" s="343"/>
      <c r="O426" s="343"/>
      <c r="P426" s="70" t="s">
        <v>397</v>
      </c>
      <c r="Q426" s="346"/>
      <c r="R426" s="343"/>
      <c r="S426" s="346"/>
      <c r="T426" s="150" t="s">
        <v>398</v>
      </c>
      <c r="U426" s="150"/>
      <c r="V426" s="643"/>
      <c r="W426" s="659">
        <v>0</v>
      </c>
      <c r="X426" s="659">
        <v>56250</v>
      </c>
      <c r="Y426" s="656"/>
      <c r="Z426" s="657"/>
      <c r="AA426" s="714"/>
      <c r="AB426" s="428"/>
      <c r="AC426" s="428"/>
      <c r="AD426" s="428" t="s">
        <v>1142</v>
      </c>
      <c r="AE426" s="429">
        <v>0</v>
      </c>
      <c r="AF426" s="429">
        <v>0</v>
      </c>
      <c r="AG426" s="649">
        <v>9500</v>
      </c>
      <c r="AH426" s="649">
        <v>9250</v>
      </c>
      <c r="AI426" s="649">
        <v>9500</v>
      </c>
      <c r="AJ426" s="649">
        <v>9250</v>
      </c>
      <c r="AK426" s="649">
        <v>9500</v>
      </c>
      <c r="AL426" s="649">
        <v>9250</v>
      </c>
      <c r="AM426" s="649">
        <f t="shared" si="27"/>
        <v>56250</v>
      </c>
      <c r="AN426" s="651">
        <f>ERP_27[[#This Row],[2026 Working Total]]-ERP_27[[#This Row],[LE2 Final Submission]]</f>
        <v>0</v>
      </c>
      <c r="AO426" s="652">
        <v>12602</v>
      </c>
      <c r="AP426" s="652">
        <f t="shared" si="26"/>
        <v>-12602</v>
      </c>
      <c r="AQ426" s="374">
        <f>SUM(ERP_27[[#This Row],[AP01]:[AP06]])-SUM(ERP_27[[#This Row],[AP01 LE2]:[AP06 LE2]])</f>
        <v>-18750</v>
      </c>
      <c r="AR426" s="653"/>
      <c r="AS426" s="652">
        <f>ERP_27[[#This Row],[2026 Working Total to Budget/LE]]-ERP_27[[#This Row],[Giveback]]</f>
        <v>0</v>
      </c>
      <c r="AT426" s="654"/>
      <c r="AU426" s="655"/>
      <c r="AV426" s="655"/>
      <c r="AW426" s="655"/>
      <c r="AX426" s="655">
        <v>6250</v>
      </c>
      <c r="AY426" s="655">
        <v>6250</v>
      </c>
      <c r="AZ426" s="655">
        <v>6250</v>
      </c>
      <c r="BA426" s="655">
        <v>6250</v>
      </c>
      <c r="BB426" s="655">
        <v>6250</v>
      </c>
      <c r="BC426" s="655">
        <v>6250</v>
      </c>
      <c r="BD426" s="655">
        <v>6250</v>
      </c>
      <c r="BE426" s="655">
        <v>6250</v>
      </c>
      <c r="BF426" s="655">
        <v>6250</v>
      </c>
      <c r="BG426" s="655">
        <v>56250</v>
      </c>
      <c r="BH426" s="652"/>
      <c r="BI426" s="652"/>
      <c r="BJ426" s="652"/>
      <c r="BK426" s="652">
        <v>6250</v>
      </c>
      <c r="BL426" s="652">
        <v>6250</v>
      </c>
      <c r="BM426" s="652">
        <v>6250</v>
      </c>
      <c r="BN426" s="652">
        <v>6250</v>
      </c>
      <c r="BO426" s="652">
        <v>6250</v>
      </c>
      <c r="BP426" s="652">
        <v>6250</v>
      </c>
      <c r="BQ426" s="652">
        <v>6250</v>
      </c>
      <c r="BR426" s="652">
        <v>6250</v>
      </c>
      <c r="BS426" s="652">
        <v>6250</v>
      </c>
      <c r="BT426" s="652">
        <v>56250</v>
      </c>
    </row>
    <row r="427" spans="1:72" ht="15" hidden="1" customHeight="1">
      <c r="A427" s="66" t="s">
        <v>2468</v>
      </c>
      <c r="B427" s="66"/>
      <c r="C427" s="66" t="s">
        <v>814</v>
      </c>
      <c r="D427" s="66" t="s">
        <v>814</v>
      </c>
      <c r="E427" s="150" t="s">
        <v>1136</v>
      </c>
      <c r="F427" s="482" t="s">
        <v>1566</v>
      </c>
      <c r="G427" s="150" t="s">
        <v>1135</v>
      </c>
      <c r="H427" s="150" t="s">
        <v>1135</v>
      </c>
      <c r="I427" s="150" t="s">
        <v>1135</v>
      </c>
      <c r="J427" s="150" t="s">
        <v>1135</v>
      </c>
      <c r="K427" s="150" t="s">
        <v>1137</v>
      </c>
      <c r="L427" s="511" t="s">
        <v>639</v>
      </c>
      <c r="M427" s="392" t="s">
        <v>2469</v>
      </c>
      <c r="N427" s="343"/>
      <c r="O427" s="343"/>
      <c r="P427" s="70" t="s">
        <v>815</v>
      </c>
      <c r="Q427" s="346"/>
      <c r="R427" s="343"/>
      <c r="S427" s="346"/>
      <c r="T427" s="150" t="s">
        <v>67</v>
      </c>
      <c r="U427" s="150"/>
      <c r="V427" s="643"/>
      <c r="W427" s="659">
        <v>58000</v>
      </c>
      <c r="X427" s="659">
        <v>58000</v>
      </c>
      <c r="Y427" s="656"/>
      <c r="Z427" s="657"/>
      <c r="AA427" s="714"/>
      <c r="AB427" s="428"/>
      <c r="AC427" s="428"/>
      <c r="AD427" s="428" t="s">
        <v>1142</v>
      </c>
      <c r="AE427" s="429">
        <v>0</v>
      </c>
      <c r="AF427" s="429">
        <v>0</v>
      </c>
      <c r="AG427" s="649"/>
      <c r="AH427" s="649"/>
      <c r="AI427" s="649">
        <v>22000</v>
      </c>
      <c r="AJ427" s="649">
        <v>0</v>
      </c>
      <c r="AK427" s="649">
        <v>36000</v>
      </c>
      <c r="AL427" s="649">
        <v>0</v>
      </c>
      <c r="AM427" s="649">
        <f t="shared" si="27"/>
        <v>58000</v>
      </c>
      <c r="AN427" s="651">
        <f>ERP_27[[#This Row],[2026 Working Total]]-ERP_27[[#This Row],[LE2 Final Submission]]</f>
        <v>0</v>
      </c>
      <c r="AO427" s="652"/>
      <c r="AP427" s="652">
        <f t="shared" si="26"/>
        <v>0</v>
      </c>
      <c r="AQ427" s="374">
        <f>SUM(ERP_27[[#This Row],[AP01]:[AP06]])-SUM(ERP_27[[#This Row],[AP01 LE2]:[AP06 LE2]])</f>
        <v>0</v>
      </c>
      <c r="AR427" s="653"/>
      <c r="AS427" s="652">
        <f>ERP_27[[#This Row],[2026 Working Total to Budget/LE]]-ERP_27[[#This Row],[Giveback]]</f>
        <v>0</v>
      </c>
      <c r="AT427" s="654"/>
      <c r="AU427" s="655"/>
      <c r="AV427" s="655"/>
      <c r="AW427" s="655"/>
      <c r="AX427" s="655"/>
      <c r="AY427" s="655"/>
      <c r="AZ427" s="655"/>
      <c r="BA427" s="655"/>
      <c r="BB427" s="655"/>
      <c r="BC427" s="655">
        <v>22000</v>
      </c>
      <c r="BD427" s="655">
        <v>0</v>
      </c>
      <c r="BE427" s="655">
        <v>36000</v>
      </c>
      <c r="BF427" s="655">
        <v>0</v>
      </c>
      <c r="BG427" s="655">
        <v>58000</v>
      </c>
      <c r="BH427" s="652"/>
      <c r="BI427" s="652"/>
      <c r="BJ427" s="652"/>
      <c r="BK427" s="652"/>
      <c r="BL427" s="652"/>
      <c r="BM427" s="652"/>
      <c r="BN427" s="652"/>
      <c r="BO427" s="652"/>
      <c r="BP427" s="652">
        <v>22000</v>
      </c>
      <c r="BQ427" s="652">
        <v>0</v>
      </c>
      <c r="BR427" s="652">
        <v>36000</v>
      </c>
      <c r="BS427" s="652">
        <v>0</v>
      </c>
      <c r="BT427" s="652">
        <v>58000</v>
      </c>
    </row>
    <row r="428" spans="1:72" ht="15" hidden="1" customHeight="1">
      <c r="A428" s="66" t="s">
        <v>1811</v>
      </c>
      <c r="B428" s="66"/>
      <c r="C428" s="66" t="s">
        <v>421</v>
      </c>
      <c r="D428" s="66" t="s">
        <v>1812</v>
      </c>
      <c r="E428" s="150" t="s">
        <v>1136</v>
      </c>
      <c r="F428" s="482" t="s">
        <v>1566</v>
      </c>
      <c r="G428" s="150" t="s">
        <v>1135</v>
      </c>
      <c r="H428" s="150" t="s">
        <v>1165</v>
      </c>
      <c r="I428" s="150" t="s">
        <v>1135</v>
      </c>
      <c r="J428" s="150" t="s">
        <v>1165</v>
      </c>
      <c r="K428" s="150" t="s">
        <v>1137</v>
      </c>
      <c r="L428" s="511" t="s">
        <v>389</v>
      </c>
      <c r="M428" s="392" t="s">
        <v>1813</v>
      </c>
      <c r="N428" s="343"/>
      <c r="O428" s="343"/>
      <c r="P428" s="70" t="s">
        <v>422</v>
      </c>
      <c r="Q428" s="346"/>
      <c r="R428" s="343"/>
      <c r="S428" s="346"/>
      <c r="T428" s="150" t="s">
        <v>25</v>
      </c>
      <c r="U428" s="150"/>
      <c r="V428" s="643"/>
      <c r="W428" s="659">
        <v>116304</v>
      </c>
      <c r="X428" s="659">
        <v>67844</v>
      </c>
      <c r="Y428" s="656"/>
      <c r="Z428" s="657"/>
      <c r="AA428" s="714"/>
      <c r="AB428" s="428"/>
      <c r="AC428" s="428"/>
      <c r="AD428" s="428" t="s">
        <v>1142</v>
      </c>
      <c r="AE428" s="429">
        <v>0</v>
      </c>
      <c r="AF428" s="429">
        <v>0</v>
      </c>
      <c r="AG428" s="649">
        <v>9692</v>
      </c>
      <c r="AH428" s="649">
        <v>9692</v>
      </c>
      <c r="AI428" s="649">
        <v>9692</v>
      </c>
      <c r="AJ428" s="649">
        <v>9692</v>
      </c>
      <c r="AK428" s="649">
        <v>9692</v>
      </c>
      <c r="AL428" s="649">
        <v>9692</v>
      </c>
      <c r="AM428" s="649">
        <f t="shared" si="27"/>
        <v>58152</v>
      </c>
      <c r="AN428" s="651">
        <f>ERP_27[[#This Row],[2026 Working Total]]-ERP_27[[#This Row],[LE2 Final Submission]]</f>
        <v>-9692</v>
      </c>
      <c r="AO428" s="652"/>
      <c r="AP428" s="652">
        <f t="shared" si="26"/>
        <v>0</v>
      </c>
      <c r="AQ428" s="374">
        <f>SUM(ERP_27[[#This Row],[AP01]:[AP06]])-SUM(ERP_27[[#This Row],[AP01 LE2]:[AP06 LE2]])</f>
        <v>-9692</v>
      </c>
      <c r="AR428" s="653">
        <v>-48460</v>
      </c>
      <c r="AS428" s="652">
        <f>ERP_27[[#This Row],[2026 Working Total to Budget/LE]]-ERP_27[[#This Row],[Giveback]]</f>
        <v>38768</v>
      </c>
      <c r="AT428" s="691" t="s">
        <v>1814</v>
      </c>
      <c r="AU428" s="691"/>
      <c r="AV428" s="691"/>
      <c r="AW428" s="691"/>
      <c r="AX428" s="691"/>
      <c r="AY428" s="691"/>
      <c r="AZ428" s="691">
        <v>9692</v>
      </c>
      <c r="BA428" s="691">
        <v>9692</v>
      </c>
      <c r="BB428" s="691">
        <v>9692</v>
      </c>
      <c r="BC428" s="691">
        <v>9692</v>
      </c>
      <c r="BD428" s="691">
        <v>9692</v>
      </c>
      <c r="BE428" s="691">
        <v>9692</v>
      </c>
      <c r="BF428" s="691">
        <v>9692</v>
      </c>
      <c r="BG428" s="691">
        <v>67844</v>
      </c>
      <c r="BH428" s="652"/>
      <c r="BI428" s="652"/>
      <c r="BJ428" s="652"/>
      <c r="BK428" s="652">
        <v>9692</v>
      </c>
      <c r="BL428" s="652">
        <v>9692</v>
      </c>
      <c r="BM428" s="652">
        <v>9692</v>
      </c>
      <c r="BN428" s="652">
        <v>9692</v>
      </c>
      <c r="BO428" s="652">
        <v>9692</v>
      </c>
      <c r="BP428" s="652">
        <v>9692</v>
      </c>
      <c r="BQ428" s="652">
        <v>9692</v>
      </c>
      <c r="BR428" s="652">
        <v>9692</v>
      </c>
      <c r="BS428" s="652">
        <v>9692</v>
      </c>
      <c r="BT428" s="652">
        <v>87228</v>
      </c>
    </row>
    <row r="429" spans="1:72" ht="15" hidden="1" customHeight="1">
      <c r="A429" s="79" t="s">
        <v>1321</v>
      </c>
      <c r="B429" s="79"/>
      <c r="C429" s="79" t="s">
        <v>123</v>
      </c>
      <c r="D429" s="296" t="s">
        <v>1322</v>
      </c>
      <c r="E429" s="332" t="s">
        <v>1136</v>
      </c>
      <c r="F429" s="482" t="s">
        <v>1566</v>
      </c>
      <c r="G429" s="150" t="s">
        <v>1135</v>
      </c>
      <c r="H429" s="332" t="s">
        <v>1165</v>
      </c>
      <c r="I429" s="332" t="s">
        <v>1135</v>
      </c>
      <c r="J429" s="332" t="s">
        <v>1165</v>
      </c>
      <c r="K429" s="333" t="s">
        <v>1165</v>
      </c>
      <c r="L429" s="514" t="s">
        <v>49</v>
      </c>
      <c r="M429" s="394" t="s">
        <v>1323</v>
      </c>
      <c r="N429" s="333" t="s">
        <v>1324</v>
      </c>
      <c r="O429" s="333">
        <v>2321403</v>
      </c>
      <c r="P429" s="90" t="s">
        <v>124</v>
      </c>
      <c r="Q429" s="347"/>
      <c r="R429">
        <v>9501275938</v>
      </c>
      <c r="S429" s="348"/>
      <c r="T429" s="348"/>
      <c r="U429" s="348"/>
      <c r="V429" s="646"/>
      <c r="W429" s="358"/>
      <c r="X429" s="358"/>
      <c r="Y429" s="656"/>
      <c r="Z429" s="657"/>
      <c r="AA429" s="714"/>
      <c r="AB429" s="428"/>
      <c r="AC429" s="428"/>
      <c r="AD429" s="429"/>
      <c r="AE429" s="429"/>
      <c r="AF429" s="429"/>
      <c r="AG429" s="649">
        <v>9500</v>
      </c>
      <c r="AH429" s="649">
        <v>10125</v>
      </c>
      <c r="AI429" s="649">
        <v>9500</v>
      </c>
      <c r="AJ429" s="649">
        <v>9500</v>
      </c>
      <c r="AK429" s="649">
        <v>10125</v>
      </c>
      <c r="AL429" s="649">
        <v>10125</v>
      </c>
      <c r="AM429" s="649">
        <f t="shared" si="27"/>
        <v>58875</v>
      </c>
      <c r="AN429" s="651">
        <f>ERP_27[[#This Row],[2026 Working Total]]-ERP_27[[#This Row],[LE2 Final Submission]]</f>
        <v>58875</v>
      </c>
      <c r="AO429" s="652"/>
      <c r="AP429" s="652">
        <f t="shared" si="26"/>
        <v>0</v>
      </c>
      <c r="AQ429" s="391">
        <f>SUM(ERP_27[[#This Row],[AP01]:[AP06]])-SUM(ERP_27[[#This Row],[AP01 LE2]:[AP06 LE2]])</f>
        <v>0</v>
      </c>
      <c r="AR429" s="653"/>
      <c r="AS429" s="652">
        <f>ERP_27[[#This Row],[2026 Working Total to Budget/LE]]-ERP_27[[#This Row],[Giveback]]</f>
        <v>58875</v>
      </c>
      <c r="AT429" s="654"/>
      <c r="AU429" s="655"/>
      <c r="AV429" s="655"/>
      <c r="AW429" s="655"/>
      <c r="AX429" s="655"/>
      <c r="AY429" s="655"/>
      <c r="AZ429" s="655"/>
      <c r="BA429" s="655"/>
      <c r="BB429" s="655"/>
      <c r="BC429" s="655"/>
      <c r="BD429" s="655"/>
      <c r="BE429" s="655"/>
      <c r="BF429" s="655"/>
      <c r="BG429" s="655"/>
      <c r="BH429" s="652"/>
      <c r="BI429" s="652"/>
      <c r="BJ429" s="652"/>
      <c r="BK429" s="652"/>
      <c r="BL429" s="652"/>
      <c r="BM429" s="652"/>
      <c r="BN429" s="652"/>
      <c r="BO429" s="652"/>
      <c r="BP429" s="652"/>
      <c r="BQ429" s="652"/>
      <c r="BR429" s="652"/>
      <c r="BS429" s="652"/>
      <c r="BT429" s="652"/>
    </row>
    <row r="430" spans="1:72" ht="15" hidden="1" customHeight="1">
      <c r="A430" s="66" t="s">
        <v>1994</v>
      </c>
      <c r="B430" s="66"/>
      <c r="C430" s="66" t="s">
        <v>517</v>
      </c>
      <c r="D430" s="66" t="s">
        <v>1995</v>
      </c>
      <c r="E430" s="150" t="s">
        <v>1136</v>
      </c>
      <c r="F430" s="482" t="s">
        <v>1566</v>
      </c>
      <c r="G430" s="150" t="s">
        <v>1345</v>
      </c>
      <c r="H430" s="150" t="s">
        <v>1437</v>
      </c>
      <c r="I430" s="150" t="s">
        <v>1345</v>
      </c>
      <c r="J430" s="150" t="s">
        <v>1437</v>
      </c>
      <c r="K430" s="150" t="s">
        <v>1346</v>
      </c>
      <c r="L430" s="511" t="s">
        <v>389</v>
      </c>
      <c r="M430" s="392" t="s">
        <v>1996</v>
      </c>
      <c r="N430" s="343"/>
      <c r="O430" s="343"/>
      <c r="P430" s="70" t="s">
        <v>518</v>
      </c>
      <c r="Q430" s="346"/>
      <c r="R430" s="343"/>
      <c r="S430" s="346"/>
      <c r="T430" s="150" t="s">
        <v>152</v>
      </c>
      <c r="U430" s="150" t="s">
        <v>1997</v>
      </c>
      <c r="V430" s="643"/>
      <c r="W430" s="659">
        <v>100000.00000000001</v>
      </c>
      <c r="X430" s="659">
        <v>60000</v>
      </c>
      <c r="Y430" s="656"/>
      <c r="Z430" s="657"/>
      <c r="AA430" s="714"/>
      <c r="AB430" s="428"/>
      <c r="AC430" s="428"/>
      <c r="AD430" s="428" t="s">
        <v>1142</v>
      </c>
      <c r="AE430" s="429">
        <v>0</v>
      </c>
      <c r="AF430" s="429">
        <v>0</v>
      </c>
      <c r="AG430" s="649">
        <v>10000</v>
      </c>
      <c r="AH430" s="649">
        <v>10000</v>
      </c>
      <c r="AI430" s="649">
        <v>10000</v>
      </c>
      <c r="AJ430" s="649">
        <v>10000</v>
      </c>
      <c r="AK430" s="649">
        <v>10000</v>
      </c>
      <c r="AL430" s="649">
        <v>10000</v>
      </c>
      <c r="AM430" s="649">
        <f t="shared" si="27"/>
        <v>60000</v>
      </c>
      <c r="AN430" s="651">
        <f>ERP_27[[#This Row],[2026 Working Total]]-ERP_27[[#This Row],[LE2 Final Submission]]</f>
        <v>0</v>
      </c>
      <c r="AO430" s="652">
        <v>0</v>
      </c>
      <c r="AP430" s="652">
        <f t="shared" si="26"/>
        <v>0</v>
      </c>
      <c r="AQ430" s="374">
        <f>SUM(ERP_27[[#This Row],[AP01]:[AP06]])-SUM(ERP_27[[#This Row],[AP01 LE2]:[AP06 LE2]])</f>
        <v>0</v>
      </c>
      <c r="AR430" s="653"/>
      <c r="AS430" s="652">
        <f>ERP_27[[#This Row],[2026 Working Total to Budget/LE]]-ERP_27[[#This Row],[Giveback]]</f>
        <v>0</v>
      </c>
      <c r="AT430" s="654" t="s">
        <v>1998</v>
      </c>
      <c r="AU430" s="655"/>
      <c r="AV430" s="655"/>
      <c r="AW430" s="655"/>
      <c r="AX430" s="655"/>
      <c r="AY430" s="655"/>
      <c r="AZ430" s="655"/>
      <c r="BA430" s="655">
        <v>10000</v>
      </c>
      <c r="BB430" s="655">
        <v>10000</v>
      </c>
      <c r="BC430" s="655">
        <v>10000</v>
      </c>
      <c r="BD430" s="655">
        <v>10000</v>
      </c>
      <c r="BE430" s="655">
        <v>10000</v>
      </c>
      <c r="BF430" s="655">
        <v>10000</v>
      </c>
      <c r="BG430" s="655">
        <v>60000</v>
      </c>
      <c r="BH430" s="652"/>
      <c r="BI430" s="652"/>
      <c r="BJ430" s="652"/>
      <c r="BK430" s="652">
        <v>10000</v>
      </c>
      <c r="BL430" s="652">
        <v>10000</v>
      </c>
      <c r="BM430" s="652">
        <v>10000</v>
      </c>
      <c r="BN430" s="652">
        <v>10000</v>
      </c>
      <c r="BO430" s="652">
        <v>10000</v>
      </c>
      <c r="BP430" s="652">
        <v>10000</v>
      </c>
      <c r="BQ430" s="652">
        <v>10000</v>
      </c>
      <c r="BR430" s="652">
        <v>10000</v>
      </c>
      <c r="BS430" s="652">
        <v>10000</v>
      </c>
      <c r="BT430" s="652">
        <v>90000</v>
      </c>
    </row>
    <row r="431" spans="1:72" ht="15" hidden="1" customHeight="1">
      <c r="A431" s="482" t="s">
        <v>1541</v>
      </c>
      <c r="B431" s="482"/>
      <c r="C431" s="561" t="s">
        <v>292</v>
      </c>
      <c r="D431" s="83" t="s">
        <v>1542</v>
      </c>
      <c r="E431" s="482" t="s">
        <v>1136</v>
      </c>
      <c r="F431" s="482" t="s">
        <v>1566</v>
      </c>
      <c r="G431" s="482" t="s">
        <v>1566</v>
      </c>
      <c r="H431" s="482" t="s">
        <v>1566</v>
      </c>
      <c r="I431" s="482" t="s">
        <v>1345</v>
      </c>
      <c r="J431" s="482" t="s">
        <v>1346</v>
      </c>
      <c r="K431" s="490" t="s">
        <v>1346</v>
      </c>
      <c r="L431" s="514" t="s">
        <v>49</v>
      </c>
      <c r="M431" s="491" t="s">
        <v>1543</v>
      </c>
      <c r="N431" s="492" t="s">
        <v>1167</v>
      </c>
      <c r="O431" s="332" t="s">
        <v>1499</v>
      </c>
      <c r="P431" s="300" t="s">
        <v>256</v>
      </c>
      <c r="Q431" s="347"/>
      <c r="R431" s="348" t="s">
        <v>2908</v>
      </c>
      <c r="S431" s="493"/>
      <c r="T431" s="493"/>
      <c r="U431" s="493"/>
      <c r="V431" s="646"/>
      <c r="W431" s="659"/>
      <c r="X431" s="692"/>
      <c r="Y431" s="656"/>
      <c r="Z431" s="657"/>
      <c r="AA431" s="722"/>
      <c r="AB431" s="480"/>
      <c r="AC431" s="480"/>
      <c r="AD431" s="481"/>
      <c r="AE431" s="715"/>
      <c r="AF431" s="429">
        <v>62153.7</v>
      </c>
      <c r="AG431" s="644"/>
      <c r="AH431" s="644"/>
      <c r="AI431" s="644"/>
      <c r="AJ431" s="644"/>
      <c r="AK431" s="644"/>
      <c r="AL431" s="644"/>
      <c r="AM431" s="644">
        <f t="shared" si="27"/>
        <v>62153.7</v>
      </c>
      <c r="AN431" s="645">
        <f>ERP_27[[#This Row],[2026 Working Total]]-ERP_27[[#This Row],[LE2 Final Submission]]</f>
        <v>62153.7</v>
      </c>
      <c r="AO431" s="693"/>
      <c r="AP431" s="693">
        <f t="shared" si="26"/>
        <v>62153.7</v>
      </c>
      <c r="AQ431" s="374">
        <f>SUM(ERP_27[[#This Row],[AP01]:[AP06]])-SUM(ERP_27[[#This Row],[AP01 LE2]:[AP06 LE2]])</f>
        <v>62153.7</v>
      </c>
      <c r="AR431" s="653"/>
      <c r="AS431" s="652">
        <f>ERP_27[[#This Row],[2026 Working Total to Budget/LE]]-ERP_27[[#This Row],[Giveback]]</f>
        <v>62153.7</v>
      </c>
      <c r="AT431" s="654"/>
      <c r="AU431" s="655"/>
      <c r="AV431" s="655"/>
      <c r="AW431" s="655"/>
      <c r="AX431" s="655"/>
      <c r="AY431" s="655"/>
      <c r="AZ431" s="655"/>
      <c r="BA431" s="655"/>
      <c r="BB431" s="655"/>
      <c r="BC431" s="655"/>
      <c r="BD431" s="655"/>
      <c r="BE431" s="655"/>
      <c r="BF431" s="655"/>
      <c r="BG431" s="694"/>
      <c r="BH431" s="652"/>
      <c r="BI431" s="652"/>
      <c r="BJ431" s="652"/>
      <c r="BK431" s="652"/>
      <c r="BL431" s="652"/>
      <c r="BM431" s="652"/>
      <c r="BN431" s="652"/>
      <c r="BO431" s="652"/>
      <c r="BP431" s="652"/>
      <c r="BQ431" s="652"/>
      <c r="BR431" s="652"/>
      <c r="BS431" s="652"/>
      <c r="BT431" s="693"/>
    </row>
    <row r="432" spans="1:72" ht="15" hidden="1" customHeight="1">
      <c r="A432" s="66" t="s">
        <v>1829</v>
      </c>
      <c r="B432" s="66"/>
      <c r="C432" s="66" t="s">
        <v>433</v>
      </c>
      <c r="D432" s="66" t="s">
        <v>1830</v>
      </c>
      <c r="E432" s="150" t="s">
        <v>1136</v>
      </c>
      <c r="F432" s="482" t="s">
        <v>1566</v>
      </c>
      <c r="G432" s="150" t="s">
        <v>1135</v>
      </c>
      <c r="H432" s="150" t="s">
        <v>1165</v>
      </c>
      <c r="I432" s="150" t="s">
        <v>1135</v>
      </c>
      <c r="J432" s="150" t="s">
        <v>1165</v>
      </c>
      <c r="K432" s="150" t="s">
        <v>1137</v>
      </c>
      <c r="L432" s="511" t="s">
        <v>389</v>
      </c>
      <c r="M432" s="392" t="s">
        <v>1831</v>
      </c>
      <c r="N432" s="343" t="s">
        <v>1832</v>
      </c>
      <c r="O432" s="343">
        <v>2430238</v>
      </c>
      <c r="P432" s="70" t="s">
        <v>124</v>
      </c>
      <c r="Q432" s="346"/>
      <c r="R432" s="343">
        <v>9501133449</v>
      </c>
      <c r="S432" s="346"/>
      <c r="T432" s="150" t="s">
        <v>434</v>
      </c>
      <c r="U432" s="150"/>
      <c r="V432" s="643"/>
      <c r="W432" s="659">
        <v>141887.51999999996</v>
      </c>
      <c r="X432" s="659">
        <v>62335.31</v>
      </c>
      <c r="Y432" s="656"/>
      <c r="Z432" s="657"/>
      <c r="AA432" s="714">
        <v>11347.01</v>
      </c>
      <c r="AB432" s="428">
        <v>7087.77</v>
      </c>
      <c r="AC432" s="428">
        <v>10590.53</v>
      </c>
      <c r="AD432" s="428">
        <v>13238.160000000002</v>
      </c>
      <c r="AE432" s="429">
        <v>10590.539999999999</v>
      </c>
      <c r="AF432" s="429">
        <v>10590.54</v>
      </c>
      <c r="AG432" s="649"/>
      <c r="AH432" s="649"/>
      <c r="AI432" s="649"/>
      <c r="AJ432" s="649"/>
      <c r="AK432" s="649"/>
      <c r="AL432" s="649"/>
      <c r="AM432" s="649">
        <f t="shared" si="27"/>
        <v>63444.55</v>
      </c>
      <c r="AN432" s="651">
        <f>ERP_27[[#This Row],[2026 Working Total]]-ERP_27[[#This Row],[LE2 Final Submission]]</f>
        <v>1109.2400000000052</v>
      </c>
      <c r="AO432" s="652">
        <v>12130</v>
      </c>
      <c r="AP432" s="652">
        <f t="shared" si="26"/>
        <v>-1539.4599999999991</v>
      </c>
      <c r="AQ432" s="374">
        <f>SUM(ERP_27[[#This Row],[AP01]:[AP06]])-SUM(ERP_27[[#This Row],[AP01 LE2]:[AP06 LE2]])</f>
        <v>1109.2400000000052</v>
      </c>
      <c r="AR432" s="653"/>
      <c r="AS432" s="652">
        <f>ERP_27[[#This Row],[2026 Working Total to Budget/LE]]-ERP_27[[#This Row],[Giveback]]</f>
        <v>1109.2400000000052</v>
      </c>
      <c r="AT432" s="654"/>
      <c r="AU432" s="655">
        <v>11347.01</v>
      </c>
      <c r="AV432" s="655">
        <v>7087.77</v>
      </c>
      <c r="AW432" s="655">
        <v>10590.53</v>
      </c>
      <c r="AX432" s="655">
        <v>10590</v>
      </c>
      <c r="AY432" s="655">
        <v>12130</v>
      </c>
      <c r="AZ432" s="655">
        <v>10590</v>
      </c>
      <c r="BA432" s="655"/>
      <c r="BB432" s="655"/>
      <c r="BC432" s="655"/>
      <c r="BD432" s="655"/>
      <c r="BE432" s="655"/>
      <c r="BF432" s="655"/>
      <c r="BG432" s="655">
        <v>62335.31</v>
      </c>
      <c r="BH432" s="652">
        <v>11347.01</v>
      </c>
      <c r="BI432" s="652">
        <v>7087.77</v>
      </c>
      <c r="BJ432" s="652">
        <v>10590.53</v>
      </c>
      <c r="BK432" s="652">
        <v>11157</v>
      </c>
      <c r="BL432" s="652">
        <v>11157</v>
      </c>
      <c r="BM432" s="652">
        <v>11157</v>
      </c>
      <c r="BN432" s="652">
        <v>11157</v>
      </c>
      <c r="BO432" s="652">
        <v>11157</v>
      </c>
      <c r="BP432" s="652">
        <v>11157</v>
      </c>
      <c r="BQ432" s="652">
        <v>11157</v>
      </c>
      <c r="BR432" s="652">
        <v>11157</v>
      </c>
      <c r="BS432" s="652">
        <v>11157</v>
      </c>
      <c r="BT432" s="652">
        <v>129438.31</v>
      </c>
    </row>
    <row r="433" spans="1:72" ht="15" hidden="1" customHeight="1">
      <c r="A433" s="66" t="s">
        <v>1527</v>
      </c>
      <c r="B433" s="66"/>
      <c r="C433" s="66" t="s">
        <v>246</v>
      </c>
      <c r="D433" s="66" t="s">
        <v>246</v>
      </c>
      <c r="E433" s="150" t="s">
        <v>1136</v>
      </c>
      <c r="F433" s="482" t="s">
        <v>1566</v>
      </c>
      <c r="G433" s="150" t="s">
        <v>1515</v>
      </c>
      <c r="H433" s="383" t="s">
        <v>1515</v>
      </c>
      <c r="I433" s="150" t="s">
        <v>1345</v>
      </c>
      <c r="J433" s="150" t="s">
        <v>1515</v>
      </c>
      <c r="K433" s="150" t="s">
        <v>1346</v>
      </c>
      <c r="L433" s="511" t="s">
        <v>49</v>
      </c>
      <c r="M433" s="392" t="s">
        <v>1147</v>
      </c>
      <c r="N433" s="343"/>
      <c r="O433" s="343"/>
      <c r="P433" s="70" t="s">
        <v>53</v>
      </c>
      <c r="Q433" s="346" t="s">
        <v>1153</v>
      </c>
      <c r="R433" s="343"/>
      <c r="S433" s="346"/>
      <c r="T433" s="150" t="s">
        <v>25</v>
      </c>
      <c r="U433" s="150"/>
      <c r="V433" s="643"/>
      <c r="W433" s="659">
        <v>0</v>
      </c>
      <c r="X433" s="659">
        <v>-29144</v>
      </c>
      <c r="Y433" s="656"/>
      <c r="Z433" s="657"/>
      <c r="AA433" s="714">
        <v>101571</v>
      </c>
      <c r="AB433" s="428">
        <v>-210932</v>
      </c>
      <c r="AC433" s="428">
        <v>80217</v>
      </c>
      <c r="AD433" s="428">
        <v>105632.00000000001</v>
      </c>
      <c r="AE433" s="429">
        <v>-36244</v>
      </c>
      <c r="AF433" s="429">
        <v>24284.000000000029</v>
      </c>
      <c r="AG433" s="649">
        <v>0</v>
      </c>
      <c r="AH433" s="649">
        <v>0</v>
      </c>
      <c r="AI433" s="649">
        <v>0</v>
      </c>
      <c r="AJ433" s="649">
        <v>0</v>
      </c>
      <c r="AK433" s="649">
        <v>0</v>
      </c>
      <c r="AL433" s="649">
        <v>0</v>
      </c>
      <c r="AM433" s="649">
        <f t="shared" si="27"/>
        <v>64528.000000000044</v>
      </c>
      <c r="AN433" s="651">
        <f>ERP_27[[#This Row],[2026 Working Total]]-ERP_27[[#This Row],[LE2 Final Submission]]</f>
        <v>93672.000000000044</v>
      </c>
      <c r="AO433" s="652">
        <v>0</v>
      </c>
      <c r="AP433" s="652">
        <f t="shared" si="26"/>
        <v>24284.000000000029</v>
      </c>
      <c r="AQ433" s="374">
        <f>SUM(ERP_27[[#This Row],[AP01]:[AP06]])-SUM(ERP_27[[#This Row],[AP01 LE2]:[AP06 LE2]])</f>
        <v>93672.000000000044</v>
      </c>
      <c r="AR433" s="653"/>
      <c r="AS433" s="652">
        <f>ERP_27[[#This Row],[2026 Working Total to Budget/LE]]-ERP_27[[#This Row],[Giveback]]</f>
        <v>93672.000000000044</v>
      </c>
      <c r="AT433" s="654"/>
      <c r="AU433" s="655">
        <v>101571</v>
      </c>
      <c r="AV433" s="655">
        <v>-210932</v>
      </c>
      <c r="AW433" s="655">
        <v>80217</v>
      </c>
      <c r="AX433" s="655">
        <v>0</v>
      </c>
      <c r="AY433" s="655">
        <v>0</v>
      </c>
      <c r="AZ433" s="655">
        <v>0</v>
      </c>
      <c r="BA433" s="655">
        <v>0</v>
      </c>
      <c r="BB433" s="655">
        <v>0</v>
      </c>
      <c r="BC433" s="655">
        <v>0</v>
      </c>
      <c r="BD433" s="655">
        <v>0</v>
      </c>
      <c r="BE433" s="655">
        <v>0</v>
      </c>
      <c r="BF433" s="655">
        <v>0</v>
      </c>
      <c r="BG433" s="655">
        <v>-29144</v>
      </c>
      <c r="BH433" s="652">
        <v>101571</v>
      </c>
      <c r="BI433" s="652">
        <v>-210932</v>
      </c>
      <c r="BJ433" s="652">
        <v>80217</v>
      </c>
      <c r="BK433" s="652">
        <v>0</v>
      </c>
      <c r="BL433" s="652">
        <v>0</v>
      </c>
      <c r="BM433" s="652">
        <v>0</v>
      </c>
      <c r="BN433" s="652">
        <v>0</v>
      </c>
      <c r="BO433" s="652">
        <v>0</v>
      </c>
      <c r="BP433" s="652">
        <v>0</v>
      </c>
      <c r="BQ433" s="652">
        <v>0</v>
      </c>
      <c r="BR433" s="652">
        <v>0</v>
      </c>
      <c r="BS433" s="652">
        <v>0</v>
      </c>
      <c r="BT433" s="652">
        <v>-29144</v>
      </c>
    </row>
    <row r="434" spans="1:72" ht="15" hidden="1" customHeight="1">
      <c r="A434" s="79" t="s">
        <v>2625</v>
      </c>
      <c r="B434" s="79"/>
      <c r="C434" s="79" t="s">
        <v>917</v>
      </c>
      <c r="D434" s="296" t="s">
        <v>917</v>
      </c>
      <c r="E434" s="150" t="s">
        <v>1136</v>
      </c>
      <c r="F434" s="482" t="s">
        <v>1566</v>
      </c>
      <c r="G434" s="383" t="s">
        <v>1344</v>
      </c>
      <c r="H434" s="383" t="s">
        <v>1344</v>
      </c>
      <c r="I434" s="332" t="s">
        <v>1345</v>
      </c>
      <c r="J434" s="383" t="s">
        <v>1344</v>
      </c>
      <c r="K434" s="331" t="s">
        <v>1346</v>
      </c>
      <c r="L434" s="512" t="s">
        <v>639</v>
      </c>
      <c r="M434" s="393" t="s">
        <v>2626</v>
      </c>
      <c r="N434" s="343"/>
      <c r="O434" s="331"/>
      <c r="P434" s="91" t="s">
        <v>918</v>
      </c>
      <c r="Q434" s="343"/>
      <c r="R434" s="343"/>
      <c r="S434" s="348"/>
      <c r="T434" s="386" t="s">
        <v>25</v>
      </c>
      <c r="U434" s="387" t="s">
        <v>1348</v>
      </c>
      <c r="V434" s="668"/>
      <c r="W434" s="358">
        <v>65000</v>
      </c>
      <c r="X434" s="660">
        <v>0</v>
      </c>
      <c r="Y434" s="656"/>
      <c r="Z434" s="657"/>
      <c r="AA434" s="716"/>
      <c r="AB434" s="717"/>
      <c r="AC434" s="717"/>
      <c r="AD434" s="428" t="s">
        <v>1142</v>
      </c>
      <c r="AE434" s="429">
        <v>0</v>
      </c>
      <c r="AF434" s="429">
        <v>0</v>
      </c>
      <c r="AG434" s="661">
        <v>0</v>
      </c>
      <c r="AH434" s="661">
        <v>0</v>
      </c>
      <c r="AI434" s="661">
        <v>0</v>
      </c>
      <c r="AJ434" s="661">
        <v>65000</v>
      </c>
      <c r="AK434" s="661">
        <v>0</v>
      </c>
      <c r="AL434" s="661">
        <v>0</v>
      </c>
      <c r="AM434" s="649">
        <f t="shared" si="27"/>
        <v>65000</v>
      </c>
      <c r="AN434" s="651">
        <f>ERP_27[[#This Row],[2026 Working Total]]-ERP_27[[#This Row],[LE2 Final Submission]]</f>
        <v>65000</v>
      </c>
      <c r="AO434" s="652">
        <v>0</v>
      </c>
      <c r="AP434" s="652">
        <f t="shared" si="26"/>
        <v>0</v>
      </c>
      <c r="AQ434" s="374">
        <f>SUM(ERP_27[[#This Row],[AP01]:[AP06]])-SUM(ERP_27[[#This Row],[AP01 LE2]:[AP06 LE2]])</f>
        <v>0</v>
      </c>
      <c r="AR434" s="653"/>
      <c r="AS434" s="652">
        <f>ERP_27[[#This Row],[2026 Working Total to Budget/LE]]-ERP_27[[#This Row],[Giveback]]</f>
        <v>65000</v>
      </c>
      <c r="AT434" s="654"/>
      <c r="AU434" s="655"/>
      <c r="AV434" s="655"/>
      <c r="AW434" s="655"/>
      <c r="AX434" s="655">
        <v>0</v>
      </c>
      <c r="AY434" s="655">
        <v>0</v>
      </c>
      <c r="AZ434" s="655">
        <v>0</v>
      </c>
      <c r="BA434" s="655">
        <v>0</v>
      </c>
      <c r="BB434" s="655">
        <v>0</v>
      </c>
      <c r="BC434" s="655">
        <v>0</v>
      </c>
      <c r="BD434" s="655">
        <v>0</v>
      </c>
      <c r="BE434" s="655">
        <v>0</v>
      </c>
      <c r="BF434" s="655">
        <v>0</v>
      </c>
      <c r="BG434" s="655">
        <v>0</v>
      </c>
      <c r="BH434" s="662">
        <v>0</v>
      </c>
      <c r="BI434" s="662">
        <v>0</v>
      </c>
      <c r="BJ434" s="662">
        <v>65000</v>
      </c>
      <c r="BK434" s="662">
        <v>0</v>
      </c>
      <c r="BL434" s="662">
        <v>0</v>
      </c>
      <c r="BM434" s="662">
        <v>0</v>
      </c>
      <c r="BN434" s="662">
        <v>0</v>
      </c>
      <c r="BO434" s="662">
        <v>0</v>
      </c>
      <c r="BP434" s="662">
        <v>0</v>
      </c>
      <c r="BQ434" s="662">
        <v>0</v>
      </c>
      <c r="BR434" s="662">
        <v>0</v>
      </c>
      <c r="BS434" s="662">
        <v>0</v>
      </c>
      <c r="BT434" s="652">
        <f>SUM(ERP_27[[#This Row],[2026 AP01]:[2026 AP12]])</f>
        <v>65000</v>
      </c>
    </row>
    <row r="435" spans="1:72" ht="15" hidden="1" customHeight="1">
      <c r="A435" s="66" t="s">
        <v>1459</v>
      </c>
      <c r="B435" s="66"/>
      <c r="C435" s="66" t="s">
        <v>209</v>
      </c>
      <c r="D435" s="66" t="s">
        <v>209</v>
      </c>
      <c r="E435" s="150" t="s">
        <v>1136</v>
      </c>
      <c r="F435" s="482" t="s">
        <v>1566</v>
      </c>
      <c r="G435" s="150" t="s">
        <v>1450</v>
      </c>
      <c r="H435" s="150" t="s">
        <v>1450</v>
      </c>
      <c r="I435" s="150" t="s">
        <v>1345</v>
      </c>
      <c r="J435" s="150" t="s">
        <v>1450</v>
      </c>
      <c r="K435" s="150" t="s">
        <v>1346</v>
      </c>
      <c r="L435" s="511" t="s">
        <v>49</v>
      </c>
      <c r="M435" s="392" t="s">
        <v>1460</v>
      </c>
      <c r="N435" s="343"/>
      <c r="O435" s="343"/>
      <c r="P435" s="70" t="s">
        <v>210</v>
      </c>
      <c r="Q435" s="346"/>
      <c r="R435" s="346" t="s">
        <v>1221</v>
      </c>
      <c r="S435" s="346"/>
      <c r="T435" s="150" t="s">
        <v>25</v>
      </c>
      <c r="U435" s="150"/>
      <c r="V435" s="643"/>
      <c r="W435" s="659">
        <v>100000</v>
      </c>
      <c r="X435" s="659">
        <v>66000</v>
      </c>
      <c r="Y435" s="656"/>
      <c r="Z435" s="657"/>
      <c r="AA435" s="714"/>
      <c r="AB435" s="428"/>
      <c r="AC435" s="428"/>
      <c r="AD435" s="428" t="s">
        <v>1142</v>
      </c>
      <c r="AE435" s="429">
        <v>0</v>
      </c>
      <c r="AF435" s="429">
        <v>0</v>
      </c>
      <c r="AG435" s="649">
        <v>0</v>
      </c>
      <c r="AH435" s="649">
        <v>12000</v>
      </c>
      <c r="AI435" s="649">
        <v>13500</v>
      </c>
      <c r="AJ435" s="649">
        <v>13500</v>
      </c>
      <c r="AK435" s="649">
        <v>13500</v>
      </c>
      <c r="AL435" s="649">
        <v>13500</v>
      </c>
      <c r="AM435" s="649">
        <f t="shared" si="27"/>
        <v>66000</v>
      </c>
      <c r="AN435" s="651">
        <f>ERP_27[[#This Row],[2026 Working Total]]-ERP_27[[#This Row],[LE2 Final Submission]]</f>
        <v>0</v>
      </c>
      <c r="AO435" s="652">
        <v>5000</v>
      </c>
      <c r="AP435" s="652">
        <f t="shared" si="26"/>
        <v>-5000</v>
      </c>
      <c r="AQ435" s="374">
        <f>SUM(ERP_27[[#This Row],[AP01]:[AP06]])-SUM(ERP_27[[#This Row],[AP01 LE2]:[AP06 LE2]])</f>
        <v>-18000</v>
      </c>
      <c r="AR435" s="653"/>
      <c r="AS435" s="652">
        <f>ERP_27[[#This Row],[2026 Working Total to Budget/LE]]-ERP_27[[#This Row],[Giveback]]</f>
        <v>0</v>
      </c>
      <c r="AT435" s="654" t="s">
        <v>1455</v>
      </c>
      <c r="AU435" s="655"/>
      <c r="AV435" s="655"/>
      <c r="AW435" s="655"/>
      <c r="AX435" s="655">
        <v>5000</v>
      </c>
      <c r="AY435" s="655">
        <v>5000</v>
      </c>
      <c r="AZ435" s="655">
        <v>8000</v>
      </c>
      <c r="BA435" s="655">
        <v>8000</v>
      </c>
      <c r="BB435" s="655">
        <v>8000</v>
      </c>
      <c r="BC435" s="655">
        <v>8000</v>
      </c>
      <c r="BD435" s="655">
        <v>8000</v>
      </c>
      <c r="BE435" s="655">
        <v>8000</v>
      </c>
      <c r="BF435" s="655">
        <v>8000</v>
      </c>
      <c r="BG435" s="655">
        <v>66000</v>
      </c>
      <c r="BH435" s="652"/>
      <c r="BI435" s="652"/>
      <c r="BJ435" s="652"/>
      <c r="BK435" s="652">
        <v>10000</v>
      </c>
      <c r="BL435" s="652">
        <v>10000</v>
      </c>
      <c r="BM435" s="652">
        <v>10000</v>
      </c>
      <c r="BN435" s="652">
        <v>10000</v>
      </c>
      <c r="BO435" s="652">
        <v>10000</v>
      </c>
      <c r="BP435" s="652">
        <v>10000</v>
      </c>
      <c r="BQ435" s="652">
        <v>10000</v>
      </c>
      <c r="BR435" s="652">
        <v>10000</v>
      </c>
      <c r="BS435" s="652">
        <v>10000</v>
      </c>
      <c r="BT435" s="652">
        <v>90000</v>
      </c>
    </row>
    <row r="436" spans="1:72" ht="15" hidden="1" customHeight="1">
      <c r="A436" s="66" t="s">
        <v>1611</v>
      </c>
      <c r="B436" s="66"/>
      <c r="C436" s="66" t="s">
        <v>297</v>
      </c>
      <c r="D436" s="66" t="s">
        <v>1612</v>
      </c>
      <c r="E436" s="150" t="s">
        <v>1136</v>
      </c>
      <c r="F436" s="482" t="s">
        <v>1566</v>
      </c>
      <c r="G436" s="150" t="s">
        <v>1566</v>
      </c>
      <c r="H436" s="150" t="s">
        <v>1566</v>
      </c>
      <c r="I436" s="150" t="s">
        <v>1567</v>
      </c>
      <c r="J436" s="150" t="s">
        <v>1567</v>
      </c>
      <c r="K436" s="150" t="s">
        <v>1567</v>
      </c>
      <c r="L436" s="511" t="s">
        <v>49</v>
      </c>
      <c r="M436" s="392" t="s">
        <v>1613</v>
      </c>
      <c r="N436" s="343"/>
      <c r="O436" s="346" t="s">
        <v>1593</v>
      </c>
      <c r="P436" s="70" t="s">
        <v>298</v>
      </c>
      <c r="Q436" s="346"/>
      <c r="R436" s="346" t="s">
        <v>1187</v>
      </c>
      <c r="S436" s="346"/>
      <c r="T436" s="150" t="s">
        <v>25</v>
      </c>
      <c r="U436" s="150"/>
      <c r="V436" s="643"/>
      <c r="W436" s="659">
        <v>0</v>
      </c>
      <c r="X436" s="659">
        <v>50489.729999999996</v>
      </c>
      <c r="Y436" s="656"/>
      <c r="Z436" s="657"/>
      <c r="AA436" s="714"/>
      <c r="AB436" s="428">
        <v>38877.699999999997</v>
      </c>
      <c r="AC436" s="428">
        <v>11612.03</v>
      </c>
      <c r="AD436" s="428">
        <v>17061.96</v>
      </c>
      <c r="AE436" s="429">
        <v>5873.3499999999995</v>
      </c>
      <c r="AF436" s="429">
        <v>-6492.8099999999995</v>
      </c>
      <c r="AG436" s="649">
        <v>0</v>
      </c>
      <c r="AH436" s="649">
        <v>0</v>
      </c>
      <c r="AI436" s="649">
        <v>0</v>
      </c>
      <c r="AJ436" s="649">
        <v>0</v>
      </c>
      <c r="AK436" s="649">
        <v>0</v>
      </c>
      <c r="AL436" s="649">
        <v>0</v>
      </c>
      <c r="AM436" s="649">
        <f t="shared" si="27"/>
        <v>66932.23000000001</v>
      </c>
      <c r="AN436" s="651">
        <f>ERP_27[[#This Row],[2026 Working Total]]-ERP_27[[#This Row],[LE2 Final Submission]]</f>
        <v>16442.500000000015</v>
      </c>
      <c r="AO436" s="652">
        <v>0</v>
      </c>
      <c r="AP436" s="652">
        <f t="shared" si="26"/>
        <v>-6492.8099999999995</v>
      </c>
      <c r="AQ436" s="374">
        <f>SUM(ERP_27[[#This Row],[AP01]:[AP06]])-SUM(ERP_27[[#This Row],[AP01 LE2]:[AP06 LE2]])</f>
        <v>16442.500000000015</v>
      </c>
      <c r="AR436" s="653"/>
      <c r="AS436" s="652">
        <f>ERP_27[[#This Row],[2026 Working Total to Budget/LE]]-ERP_27[[#This Row],[Giveback]]</f>
        <v>16442.500000000015</v>
      </c>
      <c r="AT436" s="654"/>
      <c r="AU436" s="655"/>
      <c r="AV436" s="655">
        <v>38877.699999999997</v>
      </c>
      <c r="AW436" s="655">
        <v>11612.03</v>
      </c>
      <c r="AX436" s="655">
        <v>0</v>
      </c>
      <c r="AY436" s="655">
        <v>0</v>
      </c>
      <c r="AZ436" s="655">
        <v>0</v>
      </c>
      <c r="BA436" s="655">
        <v>0</v>
      </c>
      <c r="BB436" s="655">
        <v>0</v>
      </c>
      <c r="BC436" s="655">
        <v>0</v>
      </c>
      <c r="BD436" s="655">
        <v>0</v>
      </c>
      <c r="BE436" s="655">
        <v>0</v>
      </c>
      <c r="BF436" s="655">
        <v>0</v>
      </c>
      <c r="BG436" s="655">
        <v>50489.729999999996</v>
      </c>
      <c r="BH436" s="652"/>
      <c r="BI436" s="652">
        <v>38877.699999999997</v>
      </c>
      <c r="BJ436" s="652">
        <v>11612.03</v>
      </c>
      <c r="BK436" s="652">
        <v>0</v>
      </c>
      <c r="BL436" s="652">
        <v>0</v>
      </c>
      <c r="BM436" s="652">
        <v>0</v>
      </c>
      <c r="BN436" s="652">
        <v>0</v>
      </c>
      <c r="BO436" s="652">
        <v>0</v>
      </c>
      <c r="BP436" s="652">
        <v>0</v>
      </c>
      <c r="BQ436" s="652">
        <v>0</v>
      </c>
      <c r="BR436" s="652">
        <v>0</v>
      </c>
      <c r="BS436" s="652">
        <v>0</v>
      </c>
      <c r="BT436" s="652">
        <v>50489.729999999996</v>
      </c>
    </row>
    <row r="437" spans="1:72" ht="15" hidden="1" customHeight="1">
      <c r="A437" s="66" t="s">
        <v>1288</v>
      </c>
      <c r="B437" s="66"/>
      <c r="C437" s="66" t="s">
        <v>128</v>
      </c>
      <c r="D437" s="66" t="s">
        <v>1289</v>
      </c>
      <c r="E437" s="150" t="s">
        <v>1136</v>
      </c>
      <c r="F437" s="482" t="s">
        <v>1566</v>
      </c>
      <c r="G437" s="150" t="s">
        <v>1135</v>
      </c>
      <c r="H437" s="150" t="s">
        <v>1165</v>
      </c>
      <c r="I437" s="150" t="s">
        <v>1135</v>
      </c>
      <c r="J437" s="150" t="s">
        <v>1165</v>
      </c>
      <c r="K437" s="150" t="s">
        <v>1137</v>
      </c>
      <c r="L437" s="511" t="s">
        <v>49</v>
      </c>
      <c r="M437" s="392" t="s">
        <v>1290</v>
      </c>
      <c r="N437" s="343"/>
      <c r="O437" s="343"/>
      <c r="P437" s="70" t="s">
        <v>129</v>
      </c>
      <c r="Q437" s="346"/>
      <c r="R437" s="343"/>
      <c r="S437" s="346"/>
      <c r="T437" s="150" t="s">
        <v>114</v>
      </c>
      <c r="U437" s="150"/>
      <c r="V437" s="643"/>
      <c r="W437" s="659">
        <v>73711</v>
      </c>
      <c r="X437" s="659">
        <v>70191.98000000001</v>
      </c>
      <c r="Y437" s="656"/>
      <c r="Z437" s="657"/>
      <c r="AA437" s="714">
        <v>5439.05</v>
      </c>
      <c r="AB437" s="428">
        <v>4406.87</v>
      </c>
      <c r="AC437" s="428">
        <v>5062.8</v>
      </c>
      <c r="AD437" s="428">
        <v>6561.0900000000011</v>
      </c>
      <c r="AE437" s="429">
        <v>5184.41</v>
      </c>
      <c r="AF437" s="429">
        <v>5082.6499999999987</v>
      </c>
      <c r="AG437" s="649">
        <v>6142.58</v>
      </c>
      <c r="AH437" s="649">
        <v>6200</v>
      </c>
      <c r="AI437" s="649">
        <v>6200</v>
      </c>
      <c r="AJ437" s="649">
        <v>6200</v>
      </c>
      <c r="AK437" s="649">
        <v>6200</v>
      </c>
      <c r="AL437" s="649">
        <v>6200</v>
      </c>
      <c r="AM437" s="649">
        <f t="shared" si="27"/>
        <v>68879.45</v>
      </c>
      <c r="AN437" s="651">
        <f>ERP_27[[#This Row],[2026 Working Total]]-ERP_27[[#This Row],[LE2 Final Submission]]</f>
        <v>-1312.5300000000134</v>
      </c>
      <c r="AO437" s="652">
        <v>6142.58</v>
      </c>
      <c r="AP437" s="652">
        <f t="shared" si="26"/>
        <v>-1059.9300000000012</v>
      </c>
      <c r="AQ437" s="374">
        <f>SUM(ERP_27[[#This Row],[AP01]:[AP06]])-SUM(ERP_27[[#This Row],[AP01 LE2]:[AP06 LE2]])</f>
        <v>-1599.5900000000074</v>
      </c>
      <c r="AR437" s="653"/>
      <c r="AS437" s="652">
        <f>ERP_27[[#This Row],[2026 Working Total to Budget/LE]]-ERP_27[[#This Row],[Giveback]]</f>
        <v>-1312.5300000000134</v>
      </c>
      <c r="AT437" s="654"/>
      <c r="AU437" s="655">
        <v>5439.05</v>
      </c>
      <c r="AV437" s="655">
        <v>4406.87</v>
      </c>
      <c r="AW437" s="655">
        <v>5062.8</v>
      </c>
      <c r="AX437" s="655">
        <v>6142.58</v>
      </c>
      <c r="AY437" s="655">
        <v>6142.58</v>
      </c>
      <c r="AZ437" s="655">
        <v>6142.58</v>
      </c>
      <c r="BA437" s="655">
        <v>6142.58</v>
      </c>
      <c r="BB437" s="655">
        <v>6142.58</v>
      </c>
      <c r="BC437" s="655">
        <v>6142.58</v>
      </c>
      <c r="BD437" s="655">
        <v>6142.58</v>
      </c>
      <c r="BE437" s="655">
        <v>6142.58</v>
      </c>
      <c r="BF437" s="655">
        <v>6142.62</v>
      </c>
      <c r="BG437" s="655">
        <v>70191.98000000001</v>
      </c>
      <c r="BH437" s="652">
        <v>5439.05</v>
      </c>
      <c r="BI437" s="652">
        <v>4406.87</v>
      </c>
      <c r="BJ437" s="652">
        <v>5062.8</v>
      </c>
      <c r="BK437" s="652">
        <v>6142.58</v>
      </c>
      <c r="BL437" s="652">
        <v>6142.58</v>
      </c>
      <c r="BM437" s="652">
        <v>6142.58</v>
      </c>
      <c r="BN437" s="652">
        <v>6142.58</v>
      </c>
      <c r="BO437" s="652">
        <v>6142.58</v>
      </c>
      <c r="BP437" s="652">
        <v>6142.58</v>
      </c>
      <c r="BQ437" s="652">
        <v>6142.58</v>
      </c>
      <c r="BR437" s="652">
        <v>6142.58</v>
      </c>
      <c r="BS437" s="652">
        <v>6142.62</v>
      </c>
      <c r="BT437" s="652">
        <v>70191.98000000001</v>
      </c>
    </row>
    <row r="438" spans="1:72" ht="15" hidden="1" customHeight="1">
      <c r="A438" s="66" t="s">
        <v>1474</v>
      </c>
      <c r="B438" s="66"/>
      <c r="C438" s="66" t="s">
        <v>224</v>
      </c>
      <c r="D438" s="66" t="s">
        <v>224</v>
      </c>
      <c r="E438" s="150" t="s">
        <v>1136</v>
      </c>
      <c r="F438" s="482" t="s">
        <v>1566</v>
      </c>
      <c r="G438" s="150" t="s">
        <v>1450</v>
      </c>
      <c r="H438" s="150" t="s">
        <v>1450</v>
      </c>
      <c r="I438" s="150" t="s">
        <v>1345</v>
      </c>
      <c r="J438" s="150" t="s">
        <v>1450</v>
      </c>
      <c r="K438" s="150" t="s">
        <v>1346</v>
      </c>
      <c r="L438" s="511" t="s">
        <v>49</v>
      </c>
      <c r="M438" s="392" t="s">
        <v>1475</v>
      </c>
      <c r="N438" s="343"/>
      <c r="O438" s="343"/>
      <c r="P438" s="70" t="s">
        <v>225</v>
      </c>
      <c r="Q438" s="346"/>
      <c r="R438" s="343"/>
      <c r="S438" s="346"/>
      <c r="T438" s="150" t="s">
        <v>25</v>
      </c>
      <c r="U438" s="150"/>
      <c r="V438" s="643"/>
      <c r="W438" s="659">
        <v>0</v>
      </c>
      <c r="X438" s="659">
        <v>70950</v>
      </c>
      <c r="Y438" s="656"/>
      <c r="Z438" s="657"/>
      <c r="AA438" s="714"/>
      <c r="AB438" s="428"/>
      <c r="AC438" s="428">
        <v>70950</v>
      </c>
      <c r="AD438" s="428">
        <v>0</v>
      </c>
      <c r="AE438" s="429">
        <v>0</v>
      </c>
      <c r="AF438" s="429">
        <v>0</v>
      </c>
      <c r="AG438" s="649">
        <v>0</v>
      </c>
      <c r="AH438" s="649">
        <v>0</v>
      </c>
      <c r="AI438" s="649">
        <v>0</v>
      </c>
      <c r="AJ438" s="649">
        <v>0</v>
      </c>
      <c r="AK438" s="649">
        <v>0</v>
      </c>
      <c r="AL438" s="649">
        <v>0</v>
      </c>
      <c r="AM438" s="649">
        <f t="shared" si="27"/>
        <v>70950</v>
      </c>
      <c r="AN438" s="651">
        <f>ERP_27[[#This Row],[2026 Working Total]]-ERP_27[[#This Row],[LE2 Final Submission]]</f>
        <v>0</v>
      </c>
      <c r="AO438" s="652">
        <v>0</v>
      </c>
      <c r="AP438" s="652">
        <f t="shared" si="26"/>
        <v>0</v>
      </c>
      <c r="AQ438" s="374">
        <f>SUM(ERP_27[[#This Row],[AP01]:[AP06]])-SUM(ERP_27[[#This Row],[AP01 LE2]:[AP06 LE2]])</f>
        <v>0</v>
      </c>
      <c r="AR438" s="653"/>
      <c r="AS438" s="652">
        <f>ERP_27[[#This Row],[2026 Working Total to Budget/LE]]-ERP_27[[#This Row],[Giveback]]</f>
        <v>0</v>
      </c>
      <c r="AT438" s="654"/>
      <c r="AU438" s="655"/>
      <c r="AV438" s="655"/>
      <c r="AW438" s="655">
        <v>70950</v>
      </c>
      <c r="AX438" s="655">
        <v>0</v>
      </c>
      <c r="AY438" s="655">
        <v>0</v>
      </c>
      <c r="AZ438" s="655">
        <v>0</v>
      </c>
      <c r="BA438" s="655">
        <v>0</v>
      </c>
      <c r="BB438" s="655">
        <v>0</v>
      </c>
      <c r="BC438" s="655">
        <v>0</v>
      </c>
      <c r="BD438" s="655">
        <v>0</v>
      </c>
      <c r="BE438" s="655">
        <v>0</v>
      </c>
      <c r="BF438" s="655">
        <v>0</v>
      </c>
      <c r="BG438" s="655">
        <v>70950</v>
      </c>
      <c r="BH438" s="652"/>
      <c r="BI438" s="652"/>
      <c r="BJ438" s="652">
        <v>70950</v>
      </c>
      <c r="BK438" s="652">
        <v>0</v>
      </c>
      <c r="BL438" s="652">
        <v>0</v>
      </c>
      <c r="BM438" s="652">
        <v>0</v>
      </c>
      <c r="BN438" s="652">
        <v>0</v>
      </c>
      <c r="BO438" s="652">
        <v>0</v>
      </c>
      <c r="BP438" s="652">
        <v>0</v>
      </c>
      <c r="BQ438" s="652">
        <v>0</v>
      </c>
      <c r="BR438" s="652">
        <v>0</v>
      </c>
      <c r="BS438" s="652">
        <v>0</v>
      </c>
      <c r="BT438" s="652">
        <v>70950</v>
      </c>
    </row>
    <row r="439" spans="1:72" ht="15" hidden="1" customHeight="1">
      <c r="A439" s="66" t="s">
        <v>1277</v>
      </c>
      <c r="B439" s="66"/>
      <c r="C439" s="66" t="s">
        <v>117</v>
      </c>
      <c r="D439" s="66" t="s">
        <v>117</v>
      </c>
      <c r="E439" s="150" t="s">
        <v>1136</v>
      </c>
      <c r="F439" s="482" t="s">
        <v>1566</v>
      </c>
      <c r="G439" s="150" t="s">
        <v>1135</v>
      </c>
      <c r="H439" s="150" t="s">
        <v>1135</v>
      </c>
      <c r="I439" s="150" t="s">
        <v>1135</v>
      </c>
      <c r="J439" s="150" t="s">
        <v>1135</v>
      </c>
      <c r="K439" s="150" t="s">
        <v>1137</v>
      </c>
      <c r="L439" s="511" t="s">
        <v>49</v>
      </c>
      <c r="M439" s="392" t="s">
        <v>1278</v>
      </c>
      <c r="N439" s="343"/>
      <c r="O439" s="343"/>
      <c r="P439" s="70" t="s">
        <v>118</v>
      </c>
      <c r="Q439" s="346"/>
      <c r="R439" s="346" t="s">
        <v>1221</v>
      </c>
      <c r="S439" s="346"/>
      <c r="T439" s="150" t="s">
        <v>119</v>
      </c>
      <c r="U439" s="150"/>
      <c r="V439" s="643"/>
      <c r="W439" s="659">
        <v>71440</v>
      </c>
      <c r="X439" s="659">
        <v>71440</v>
      </c>
      <c r="Y439" s="656"/>
      <c r="Z439" s="657"/>
      <c r="AA439" s="714"/>
      <c r="AB439" s="428"/>
      <c r="AC439" s="428"/>
      <c r="AD439" s="428" t="s">
        <v>1142</v>
      </c>
      <c r="AE439" s="429">
        <v>0</v>
      </c>
      <c r="AF439" s="429">
        <v>0</v>
      </c>
      <c r="AG439" s="649"/>
      <c r="AH439" s="649">
        <v>71440</v>
      </c>
      <c r="AI439" s="649">
        <v>0</v>
      </c>
      <c r="AJ439" s="649">
        <v>0</v>
      </c>
      <c r="AK439" s="649">
        <v>0</v>
      </c>
      <c r="AL439" s="649">
        <v>0</v>
      </c>
      <c r="AM439" s="649">
        <f t="shared" si="27"/>
        <v>71440</v>
      </c>
      <c r="AN439" s="651">
        <f>ERP_27[[#This Row],[2026 Working Total]]-ERP_27[[#This Row],[LE2 Final Submission]]</f>
        <v>0</v>
      </c>
      <c r="AO439" s="652"/>
      <c r="AP439" s="652">
        <f t="shared" si="26"/>
        <v>0</v>
      </c>
      <c r="AQ439" s="374">
        <f>SUM(ERP_27[[#This Row],[AP01]:[AP06]])-SUM(ERP_27[[#This Row],[AP01 LE2]:[AP06 LE2]])</f>
        <v>0</v>
      </c>
      <c r="AR439" s="653"/>
      <c r="AS439" s="652">
        <f>ERP_27[[#This Row],[2026 Working Total to Budget/LE]]-ERP_27[[#This Row],[Giveback]]</f>
        <v>0</v>
      </c>
      <c r="AT439" s="654"/>
      <c r="AU439" s="655"/>
      <c r="AV439" s="655"/>
      <c r="AW439" s="655"/>
      <c r="AX439" s="655"/>
      <c r="AY439" s="655"/>
      <c r="AZ439" s="655"/>
      <c r="BA439" s="655"/>
      <c r="BB439" s="655">
        <v>71440</v>
      </c>
      <c r="BC439" s="655">
        <v>0</v>
      </c>
      <c r="BD439" s="655">
        <v>0</v>
      </c>
      <c r="BE439" s="655">
        <v>0</v>
      </c>
      <c r="BF439" s="655">
        <v>0</v>
      </c>
      <c r="BG439" s="655">
        <v>71440</v>
      </c>
      <c r="BH439" s="652"/>
      <c r="BI439" s="652"/>
      <c r="BJ439" s="652"/>
      <c r="BK439" s="652"/>
      <c r="BL439" s="652"/>
      <c r="BM439" s="652"/>
      <c r="BN439" s="652"/>
      <c r="BO439" s="652">
        <v>71440</v>
      </c>
      <c r="BP439" s="652">
        <v>0</v>
      </c>
      <c r="BQ439" s="652">
        <v>0</v>
      </c>
      <c r="BR439" s="652">
        <v>0</v>
      </c>
      <c r="BS439" s="652">
        <v>0</v>
      </c>
      <c r="BT439" s="652">
        <v>71440</v>
      </c>
    </row>
    <row r="440" spans="1:72" ht="15" hidden="1" customHeight="1">
      <c r="A440" s="66" t="s">
        <v>2882</v>
      </c>
      <c r="B440" s="66"/>
      <c r="C440" s="66" t="s">
        <v>38</v>
      </c>
      <c r="D440" s="66" t="s">
        <v>2883</v>
      </c>
      <c r="E440" s="150" t="s">
        <v>1136</v>
      </c>
      <c r="F440" s="482" t="s">
        <v>1566</v>
      </c>
      <c r="G440" s="150" t="s">
        <v>1566</v>
      </c>
      <c r="H440" s="150" t="s">
        <v>1566</v>
      </c>
      <c r="I440" s="150" t="s">
        <v>1567</v>
      </c>
      <c r="J440" s="150" t="s">
        <v>1567</v>
      </c>
      <c r="K440" s="150" t="s">
        <v>1567</v>
      </c>
      <c r="L440" s="511" t="s">
        <v>22</v>
      </c>
      <c r="M440" s="392" t="s">
        <v>2884</v>
      </c>
      <c r="N440" s="343"/>
      <c r="O440" s="343"/>
      <c r="P440" s="70" t="s">
        <v>39</v>
      </c>
      <c r="Q440" s="346"/>
      <c r="R440" s="346" t="s">
        <v>1140</v>
      </c>
      <c r="S440" s="346"/>
      <c r="T440" s="150" t="s">
        <v>25</v>
      </c>
      <c r="U440" s="150"/>
      <c r="V440" s="643"/>
      <c r="W440" s="659">
        <v>144000</v>
      </c>
      <c r="X440" s="659">
        <v>108000</v>
      </c>
      <c r="Y440" s="656"/>
      <c r="Z440" s="657"/>
      <c r="AA440" s="714"/>
      <c r="AB440" s="428"/>
      <c r="AC440" s="428"/>
      <c r="AD440" s="428" t="s">
        <v>1142</v>
      </c>
      <c r="AE440" s="429">
        <v>0</v>
      </c>
      <c r="AF440" s="429">
        <v>0</v>
      </c>
      <c r="AG440" s="649">
        <v>12000</v>
      </c>
      <c r="AH440" s="649">
        <v>12000</v>
      </c>
      <c r="AI440" s="649">
        <v>12000</v>
      </c>
      <c r="AJ440" s="649">
        <v>12000</v>
      </c>
      <c r="AK440" s="649">
        <v>12000</v>
      </c>
      <c r="AL440" s="649">
        <v>12000</v>
      </c>
      <c r="AM440" s="649">
        <f t="shared" si="27"/>
        <v>72000</v>
      </c>
      <c r="AN440" s="651">
        <f>ERP_27[[#This Row],[2026 Working Total]]-ERP_27[[#This Row],[LE2 Final Submission]]</f>
        <v>-36000</v>
      </c>
      <c r="AO440" s="652">
        <v>12000</v>
      </c>
      <c r="AP440" s="652">
        <f t="shared" si="26"/>
        <v>-12000</v>
      </c>
      <c r="AQ440" s="374">
        <f>SUM(ERP_27[[#This Row],[AP01]:[AP06]])-SUM(ERP_27[[#This Row],[AP01 LE2]:[AP06 LE2]])</f>
        <v>-36000</v>
      </c>
      <c r="AR440" s="653"/>
      <c r="AS440" s="652">
        <f>ERP_27[[#This Row],[2026 Working Total to Budget/LE]]-ERP_27[[#This Row],[Giveback]]</f>
        <v>-36000</v>
      </c>
      <c r="AT440" s="654"/>
      <c r="AU440" s="655"/>
      <c r="AV440" s="655"/>
      <c r="AW440" s="655"/>
      <c r="AX440" s="655">
        <v>12000</v>
      </c>
      <c r="AY440" s="655">
        <v>12000</v>
      </c>
      <c r="AZ440" s="655">
        <v>12000</v>
      </c>
      <c r="BA440" s="655">
        <v>12000</v>
      </c>
      <c r="BB440" s="655">
        <v>12000</v>
      </c>
      <c r="BC440" s="655">
        <v>12000</v>
      </c>
      <c r="BD440" s="655">
        <v>12000</v>
      </c>
      <c r="BE440" s="655">
        <v>12000</v>
      </c>
      <c r="BF440" s="655">
        <v>12000</v>
      </c>
      <c r="BG440" s="655">
        <v>108000</v>
      </c>
      <c r="BH440" s="652"/>
      <c r="BI440" s="652"/>
      <c r="BJ440" s="652"/>
      <c r="BK440" s="652">
        <v>12000</v>
      </c>
      <c r="BL440" s="652">
        <v>12000</v>
      </c>
      <c r="BM440" s="652">
        <v>12000</v>
      </c>
      <c r="BN440" s="652">
        <v>12000</v>
      </c>
      <c r="BO440" s="652">
        <v>12000</v>
      </c>
      <c r="BP440" s="652">
        <v>12000</v>
      </c>
      <c r="BQ440" s="652">
        <v>12000</v>
      </c>
      <c r="BR440" s="652">
        <v>12000</v>
      </c>
      <c r="BS440" s="652">
        <v>12000</v>
      </c>
      <c r="BT440" s="652">
        <v>108000</v>
      </c>
    </row>
    <row r="441" spans="1:72" ht="15" hidden="1" customHeight="1">
      <c r="A441" s="66" t="s">
        <v>1594</v>
      </c>
      <c r="B441" s="66"/>
      <c r="C441" s="66" t="s">
        <v>285</v>
      </c>
      <c r="D441" s="66" t="s">
        <v>1595</v>
      </c>
      <c r="E441" s="150" t="s">
        <v>1136</v>
      </c>
      <c r="F441" s="482" t="s">
        <v>1566</v>
      </c>
      <c r="G441" s="150" t="s">
        <v>1566</v>
      </c>
      <c r="H441" s="150" t="s">
        <v>1566</v>
      </c>
      <c r="I441" s="150" t="s">
        <v>1567</v>
      </c>
      <c r="J441" s="150" t="s">
        <v>1567</v>
      </c>
      <c r="K441" s="150" t="s">
        <v>1567</v>
      </c>
      <c r="L441" s="511" t="s">
        <v>49</v>
      </c>
      <c r="M441" s="392" t="s">
        <v>1596</v>
      </c>
      <c r="N441" s="343"/>
      <c r="O441" s="343"/>
      <c r="P441" s="70" t="s">
        <v>286</v>
      </c>
      <c r="Q441" s="346"/>
      <c r="R441" s="346" t="s">
        <v>1140</v>
      </c>
      <c r="S441" s="346"/>
      <c r="T441" s="505" t="s">
        <v>272</v>
      </c>
      <c r="U441" s="150"/>
      <c r="V441" s="643"/>
      <c r="W441" s="659">
        <v>100000</v>
      </c>
      <c r="X441" s="659">
        <v>100000</v>
      </c>
      <c r="Y441" s="656"/>
      <c r="Z441" s="657"/>
      <c r="AA441" s="714"/>
      <c r="AB441" s="428"/>
      <c r="AC441" s="428"/>
      <c r="AD441" s="428" t="s">
        <v>1142</v>
      </c>
      <c r="AE441" s="429">
        <v>0</v>
      </c>
      <c r="AF441" s="429">
        <v>0</v>
      </c>
      <c r="AG441" s="649">
        <v>25000</v>
      </c>
      <c r="AH441" s="649">
        <v>25000</v>
      </c>
      <c r="AI441" s="649">
        <v>25000</v>
      </c>
      <c r="AJ441" s="649">
        <v>0</v>
      </c>
      <c r="AK441" s="649">
        <v>0</v>
      </c>
      <c r="AL441" s="649">
        <v>0</v>
      </c>
      <c r="AM441" s="649">
        <f t="shared" si="27"/>
        <v>75000</v>
      </c>
      <c r="AN441" s="651">
        <f>ERP_27[[#This Row],[2026 Working Total]]-ERP_27[[#This Row],[LE2 Final Submission]]</f>
        <v>-25000</v>
      </c>
      <c r="AO441" s="652">
        <v>25000</v>
      </c>
      <c r="AP441" s="652">
        <f t="shared" si="26"/>
        <v>-25000</v>
      </c>
      <c r="AQ441" s="374">
        <f>SUM(ERP_27[[#This Row],[AP01]:[AP06]])-SUM(ERP_27[[#This Row],[AP01 LE2]:[AP06 LE2]])</f>
        <v>-75000</v>
      </c>
      <c r="AR441" s="653"/>
      <c r="AS441" s="652">
        <f>ERP_27[[#This Row],[2026 Working Total to Budget/LE]]-ERP_27[[#This Row],[Giveback]]</f>
        <v>-25000</v>
      </c>
      <c r="AT441" s="654"/>
      <c r="AU441" s="655"/>
      <c r="AV441" s="655"/>
      <c r="AW441" s="655"/>
      <c r="AX441" s="655">
        <v>25000</v>
      </c>
      <c r="AY441" s="655">
        <v>25000</v>
      </c>
      <c r="AZ441" s="655">
        <v>25000</v>
      </c>
      <c r="BA441" s="655">
        <v>25000</v>
      </c>
      <c r="BB441" s="655">
        <v>0</v>
      </c>
      <c r="BC441" s="655">
        <v>0</v>
      </c>
      <c r="BD441" s="655">
        <v>0</v>
      </c>
      <c r="BE441" s="655">
        <v>0</v>
      </c>
      <c r="BF441" s="655">
        <v>0</v>
      </c>
      <c r="BG441" s="655">
        <v>100000</v>
      </c>
      <c r="BH441" s="652"/>
      <c r="BI441" s="652"/>
      <c r="BJ441" s="652"/>
      <c r="BK441" s="652">
        <v>25000</v>
      </c>
      <c r="BL441" s="652">
        <v>25000</v>
      </c>
      <c r="BM441" s="652">
        <v>25000</v>
      </c>
      <c r="BN441" s="652">
        <v>25000</v>
      </c>
      <c r="BO441" s="652">
        <v>0</v>
      </c>
      <c r="BP441" s="652">
        <v>0</v>
      </c>
      <c r="BQ441" s="652">
        <v>0</v>
      </c>
      <c r="BR441" s="652">
        <v>0</v>
      </c>
      <c r="BS441" s="652">
        <v>0</v>
      </c>
      <c r="BT441" s="652">
        <v>100000</v>
      </c>
    </row>
    <row r="442" spans="1:72" ht="15" hidden="1" customHeight="1">
      <c r="A442" s="66" t="s">
        <v>1255</v>
      </c>
      <c r="B442" s="66"/>
      <c r="C442" s="66" t="s">
        <v>106</v>
      </c>
      <c r="D442" s="66" t="s">
        <v>106</v>
      </c>
      <c r="E442" s="150" t="s">
        <v>1136</v>
      </c>
      <c r="F442" s="482" t="s">
        <v>1566</v>
      </c>
      <c r="G442" s="150" t="s">
        <v>1135</v>
      </c>
      <c r="H442" s="150" t="s">
        <v>1135</v>
      </c>
      <c r="I442" s="150" t="s">
        <v>1135</v>
      </c>
      <c r="J442" s="150" t="s">
        <v>1135</v>
      </c>
      <c r="K442" s="150" t="s">
        <v>1137</v>
      </c>
      <c r="L442" s="511" t="s">
        <v>49</v>
      </c>
      <c r="M442" s="392" t="s">
        <v>1256</v>
      </c>
      <c r="N442" s="343" t="s">
        <v>1206</v>
      </c>
      <c r="O442" s="346" t="s">
        <v>1171</v>
      </c>
      <c r="P442" s="70" t="s">
        <v>107</v>
      </c>
      <c r="Q442" s="346"/>
      <c r="R442" s="346" t="s">
        <v>1257</v>
      </c>
      <c r="S442" s="346"/>
      <c r="T442" s="150" t="s">
        <v>25</v>
      </c>
      <c r="U442" s="150"/>
      <c r="V442" s="643"/>
      <c r="W442" s="659">
        <v>178000</v>
      </c>
      <c r="X442" s="659">
        <v>136206.91999999998</v>
      </c>
      <c r="Y442" s="656"/>
      <c r="Z442" s="657"/>
      <c r="AA442" s="714"/>
      <c r="AB442" s="428">
        <v>53852.77</v>
      </c>
      <c r="AC442" s="428">
        <v>35563.15</v>
      </c>
      <c r="AD442" s="428">
        <v>1016.0800000000017</v>
      </c>
      <c r="AE442" s="429">
        <v>-9701</v>
      </c>
      <c r="AF442" s="429">
        <v>0</v>
      </c>
      <c r="AG442" s="649">
        <v>0</v>
      </c>
      <c r="AH442" s="649">
        <v>0</v>
      </c>
      <c r="AI442" s="649">
        <v>0</v>
      </c>
      <c r="AJ442" s="649">
        <v>0</v>
      </c>
      <c r="AK442" s="649">
        <v>0</v>
      </c>
      <c r="AL442" s="649">
        <v>0</v>
      </c>
      <c r="AM442" s="649">
        <f t="shared" si="27"/>
        <v>80731</v>
      </c>
      <c r="AN442" s="651">
        <f>ERP_27[[#This Row],[2026 Working Total]]-ERP_27[[#This Row],[LE2 Final Submission]]</f>
        <v>-55475.919999999984</v>
      </c>
      <c r="AO442" s="652">
        <v>27738</v>
      </c>
      <c r="AP442" s="652">
        <f t="shared" si="26"/>
        <v>-27738</v>
      </c>
      <c r="AQ442" s="374">
        <f>SUM(ERP_27[[#This Row],[AP01]:[AP06]])-SUM(ERP_27[[#This Row],[AP01 LE2]:[AP06 LE2]])</f>
        <v>-55475.919999999984</v>
      </c>
      <c r="AR442" s="653"/>
      <c r="AS442" s="652">
        <f>ERP_27[[#This Row],[2026 Working Total to Budget/LE]]-ERP_27[[#This Row],[Giveback]]</f>
        <v>-55475.919999999984</v>
      </c>
      <c r="AT442" s="654"/>
      <c r="AU442" s="655"/>
      <c r="AV442" s="655">
        <v>53852.77</v>
      </c>
      <c r="AW442" s="655">
        <v>35563.15</v>
      </c>
      <c r="AX442" s="655">
        <v>19053</v>
      </c>
      <c r="AY442" s="655">
        <v>27738</v>
      </c>
      <c r="AZ442" s="655"/>
      <c r="BA442" s="655">
        <v>0</v>
      </c>
      <c r="BB442" s="655">
        <v>0</v>
      </c>
      <c r="BC442" s="655">
        <v>0</v>
      </c>
      <c r="BD442" s="655">
        <v>0</v>
      </c>
      <c r="BE442" s="655">
        <v>0</v>
      </c>
      <c r="BF442" s="655">
        <v>0</v>
      </c>
      <c r="BG442" s="655">
        <v>136206.91999999998</v>
      </c>
      <c r="BH442" s="652"/>
      <c r="BI442" s="652">
        <v>53852.77</v>
      </c>
      <c r="BJ442" s="652">
        <v>35563.15</v>
      </c>
      <c r="BK442" s="652">
        <v>29666.67</v>
      </c>
      <c r="BL442" s="652">
        <v>29666.67</v>
      </c>
      <c r="BM442" s="652">
        <v>29666.67</v>
      </c>
      <c r="BN442" s="652">
        <v>0</v>
      </c>
      <c r="BO442" s="652">
        <v>0</v>
      </c>
      <c r="BP442" s="652">
        <v>0</v>
      </c>
      <c r="BQ442" s="652">
        <v>0</v>
      </c>
      <c r="BR442" s="652">
        <v>0</v>
      </c>
      <c r="BS442" s="652">
        <v>0</v>
      </c>
      <c r="BT442" s="652">
        <v>178415.93</v>
      </c>
    </row>
    <row r="443" spans="1:72" ht="15" hidden="1" customHeight="1">
      <c r="A443" s="79" t="s">
        <v>1606</v>
      </c>
      <c r="B443" s="79"/>
      <c r="C443" s="79" t="s">
        <v>293</v>
      </c>
      <c r="D443" s="296" t="s">
        <v>1607</v>
      </c>
      <c r="E443" s="150" t="s">
        <v>1136</v>
      </c>
      <c r="F443" s="482" t="s">
        <v>1566</v>
      </c>
      <c r="G443" s="482" t="s">
        <v>1566</v>
      </c>
      <c r="H443" s="482" t="s">
        <v>1566</v>
      </c>
      <c r="I443" s="150" t="s">
        <v>1345</v>
      </c>
      <c r="J443" s="332" t="s">
        <v>1346</v>
      </c>
      <c r="K443" s="333" t="s">
        <v>1346</v>
      </c>
      <c r="L443" s="514" t="s">
        <v>49</v>
      </c>
      <c r="M443" s="394"/>
      <c r="N443" s="333"/>
      <c r="O443" s="333"/>
      <c r="P443" s="90" t="s">
        <v>258</v>
      </c>
      <c r="Q443" s="347"/>
      <c r="R443" s="347"/>
      <c r="S443" s="348"/>
      <c r="T443" s="348"/>
      <c r="U443" s="348"/>
      <c r="V443" s="646"/>
      <c r="W443" s="358"/>
      <c r="X443" s="358"/>
      <c r="Y443" s="656"/>
      <c r="Z443" s="657"/>
      <c r="AA443" s="714"/>
      <c r="AB443" s="428"/>
      <c r="AC443" s="428"/>
      <c r="AD443" s="429"/>
      <c r="AE443" s="429"/>
      <c r="AF443" s="429">
        <v>80877.63</v>
      </c>
      <c r="AG443" s="649"/>
      <c r="AH443" s="649"/>
      <c r="AI443" s="649"/>
      <c r="AJ443" s="649"/>
      <c r="AK443" s="649"/>
      <c r="AL443" s="649"/>
      <c r="AM443" s="649">
        <f t="shared" si="27"/>
        <v>80877.63</v>
      </c>
      <c r="AN443" s="651">
        <f>ERP_27[[#This Row],[2026 Working Total]]-ERP_27[[#This Row],[LE2 Final Submission]]</f>
        <v>80877.63</v>
      </c>
      <c r="AO443" s="652"/>
      <c r="AP443" s="652">
        <f t="shared" si="26"/>
        <v>80877.63</v>
      </c>
      <c r="AQ443" s="391">
        <f>SUM(ERP_27[[#This Row],[AP01]:[AP06]])-SUM(ERP_27[[#This Row],[AP01 LE2]:[AP06 LE2]])</f>
        <v>80877.63</v>
      </c>
      <c r="AR443" s="653"/>
      <c r="AS443" s="652">
        <f>ERP_27[[#This Row],[2026 Working Total to Budget/LE]]-ERP_27[[#This Row],[Giveback]]</f>
        <v>80877.63</v>
      </c>
      <c r="AT443" s="654"/>
      <c r="AU443" s="655"/>
      <c r="AV443" s="655"/>
      <c r="AW443" s="655"/>
      <c r="AX443" s="655"/>
      <c r="AY443" s="655"/>
      <c r="AZ443" s="655"/>
      <c r="BA443" s="655"/>
      <c r="BB443" s="655"/>
      <c r="BC443" s="655"/>
      <c r="BD443" s="655"/>
      <c r="BE443" s="655"/>
      <c r="BF443" s="655"/>
      <c r="BG443" s="655"/>
      <c r="BH443" s="652"/>
      <c r="BI443" s="652"/>
      <c r="BJ443" s="652"/>
      <c r="BK443" s="652"/>
      <c r="BL443" s="652"/>
      <c r="BM443" s="652"/>
      <c r="BN443" s="652"/>
      <c r="BO443" s="652"/>
      <c r="BP443" s="652"/>
      <c r="BQ443" s="652"/>
      <c r="BR443" s="652"/>
      <c r="BS443" s="652"/>
      <c r="BT443" s="652"/>
    </row>
    <row r="444" spans="1:72" ht="15" hidden="1" customHeight="1">
      <c r="A444" s="66" t="s">
        <v>1215</v>
      </c>
      <c r="B444" s="66"/>
      <c r="C444" s="66" t="s">
        <v>80</v>
      </c>
      <c r="D444" s="66" t="s">
        <v>80</v>
      </c>
      <c r="E444" s="150" t="s">
        <v>1136</v>
      </c>
      <c r="F444" s="482" t="s">
        <v>1566</v>
      </c>
      <c r="G444" s="150" t="s">
        <v>1135</v>
      </c>
      <c r="H444" s="150" t="s">
        <v>1135</v>
      </c>
      <c r="I444" s="150" t="s">
        <v>1135</v>
      </c>
      <c r="J444" s="150" t="s">
        <v>1135</v>
      </c>
      <c r="K444" s="150" t="s">
        <v>1137</v>
      </c>
      <c r="L444" s="511" t="s">
        <v>49</v>
      </c>
      <c r="M444" s="392" t="s">
        <v>1216</v>
      </c>
      <c r="N444" s="343" t="s">
        <v>1190</v>
      </c>
      <c r="O444" s="346" t="s">
        <v>1171</v>
      </c>
      <c r="P444" s="70" t="s">
        <v>81</v>
      </c>
      <c r="Q444" s="346"/>
      <c r="R444" s="346" t="s">
        <v>1217</v>
      </c>
      <c r="S444" s="346"/>
      <c r="T444" s="150" t="s">
        <v>25</v>
      </c>
      <c r="U444" s="150"/>
      <c r="V444" s="643"/>
      <c r="W444" s="659">
        <v>87360</v>
      </c>
      <c r="X444" s="659">
        <v>83873.7</v>
      </c>
      <c r="Y444" s="656"/>
      <c r="Z444" s="657"/>
      <c r="AA444" s="714">
        <v>11538</v>
      </c>
      <c r="AB444" s="428">
        <v>8258.77</v>
      </c>
      <c r="AC444" s="428">
        <v>1796.93</v>
      </c>
      <c r="AD444" s="428">
        <v>5175.54</v>
      </c>
      <c r="AE444" s="429">
        <v>10565.529999999999</v>
      </c>
      <c r="AF444" s="429">
        <v>3972.9300000000003</v>
      </c>
      <c r="AG444" s="649">
        <v>7000</v>
      </c>
      <c r="AH444" s="649">
        <v>7000</v>
      </c>
      <c r="AI444" s="649">
        <v>7000</v>
      </c>
      <c r="AJ444" s="649">
        <v>7000</v>
      </c>
      <c r="AK444" s="649">
        <v>7000</v>
      </c>
      <c r="AL444" s="649">
        <v>7000</v>
      </c>
      <c r="AM444" s="649">
        <f t="shared" si="27"/>
        <v>83307.700000000012</v>
      </c>
      <c r="AN444" s="651">
        <f>ERP_27[[#This Row],[2026 Working Total]]-ERP_27[[#This Row],[LE2 Final Submission]]</f>
        <v>-565.99999999998545</v>
      </c>
      <c r="AO444" s="652">
        <v>7000</v>
      </c>
      <c r="AP444" s="652">
        <f t="shared" si="26"/>
        <v>-3027.0699999999997</v>
      </c>
      <c r="AQ444" s="374">
        <f>SUM(ERP_27[[#This Row],[AP01]:[AP06]])-SUM(ERP_27[[#This Row],[AP01 LE2]:[AP06 LE2]])</f>
        <v>-285.99999999999272</v>
      </c>
      <c r="AR444" s="653"/>
      <c r="AS444" s="652">
        <f>ERP_27[[#This Row],[2026 Working Total to Budget/LE]]-ERP_27[[#This Row],[Giveback]]</f>
        <v>-565.99999999998545</v>
      </c>
      <c r="AT444" s="654"/>
      <c r="AU444" s="655">
        <v>11538</v>
      </c>
      <c r="AV444" s="655">
        <v>8258.77</v>
      </c>
      <c r="AW444" s="655">
        <v>1796.93</v>
      </c>
      <c r="AX444" s="655">
        <v>6000</v>
      </c>
      <c r="AY444" s="655">
        <v>7000</v>
      </c>
      <c r="AZ444" s="655">
        <v>7000</v>
      </c>
      <c r="BA444" s="655">
        <v>7000</v>
      </c>
      <c r="BB444" s="655">
        <v>7000</v>
      </c>
      <c r="BC444" s="655">
        <v>7000</v>
      </c>
      <c r="BD444" s="655">
        <v>7000</v>
      </c>
      <c r="BE444" s="655">
        <v>7000</v>
      </c>
      <c r="BF444" s="655">
        <v>7280</v>
      </c>
      <c r="BG444" s="655">
        <v>83873.7</v>
      </c>
      <c r="BH444" s="652">
        <v>11538</v>
      </c>
      <c r="BI444" s="652">
        <v>8258.77</v>
      </c>
      <c r="BJ444" s="652">
        <v>1796.93</v>
      </c>
      <c r="BK444" s="652">
        <v>7280</v>
      </c>
      <c r="BL444" s="652">
        <v>7280</v>
      </c>
      <c r="BM444" s="652">
        <v>7280</v>
      </c>
      <c r="BN444" s="652">
        <v>7280</v>
      </c>
      <c r="BO444" s="652">
        <v>7280</v>
      </c>
      <c r="BP444" s="652">
        <v>7280</v>
      </c>
      <c r="BQ444" s="652">
        <v>7280</v>
      </c>
      <c r="BR444" s="652">
        <v>7280</v>
      </c>
      <c r="BS444" s="652">
        <v>7280</v>
      </c>
      <c r="BT444" s="652">
        <v>87113.7</v>
      </c>
    </row>
    <row r="445" spans="1:72" ht="15" hidden="1" customHeight="1">
      <c r="A445" s="66" t="s">
        <v>1285</v>
      </c>
      <c r="B445" s="66"/>
      <c r="C445" s="66" t="s">
        <v>125</v>
      </c>
      <c r="D445" s="66" t="s">
        <v>1286</v>
      </c>
      <c r="E445" s="150" t="s">
        <v>1136</v>
      </c>
      <c r="F445" s="482" t="s">
        <v>1566</v>
      </c>
      <c r="G445" s="150" t="s">
        <v>1135</v>
      </c>
      <c r="H445" s="150" t="s">
        <v>1145</v>
      </c>
      <c r="I445" s="150" t="s">
        <v>1135</v>
      </c>
      <c r="J445" s="150" t="s">
        <v>1145</v>
      </c>
      <c r="K445" s="150" t="s">
        <v>1137</v>
      </c>
      <c r="L445" s="511" t="s">
        <v>49</v>
      </c>
      <c r="M445" s="392" t="s">
        <v>1287</v>
      </c>
      <c r="N445" s="343"/>
      <c r="O445" s="343"/>
      <c r="P445" s="157" t="s">
        <v>126</v>
      </c>
      <c r="Q445" s="346"/>
      <c r="R445" s="343"/>
      <c r="S445" s="346"/>
      <c r="T445" s="150" t="s">
        <v>127</v>
      </c>
      <c r="U445" s="150"/>
      <c r="V445" s="643"/>
      <c r="W445" s="659">
        <v>115200</v>
      </c>
      <c r="X445" s="659">
        <v>89600</v>
      </c>
      <c r="Y445" s="656"/>
      <c r="Z445" s="657"/>
      <c r="AA445" s="714"/>
      <c r="AB445" s="428"/>
      <c r="AC445" s="428"/>
      <c r="AD445" s="428">
        <v>0</v>
      </c>
      <c r="AE445" s="429">
        <v>0</v>
      </c>
      <c r="AF445" s="429">
        <v>0</v>
      </c>
      <c r="AG445" s="649">
        <f>12800+3600</f>
        <v>16400</v>
      </c>
      <c r="AH445" s="649">
        <f>12800+3600</f>
        <v>16400</v>
      </c>
      <c r="AI445" s="649">
        <v>12800</v>
      </c>
      <c r="AJ445" s="649">
        <v>12800</v>
      </c>
      <c r="AK445" s="649">
        <v>12800</v>
      </c>
      <c r="AL445" s="649">
        <v>12800</v>
      </c>
      <c r="AM445" s="649">
        <f t="shared" si="27"/>
        <v>84000</v>
      </c>
      <c r="AN445" s="651">
        <f>ERP_27[[#This Row],[2026 Working Total]]-ERP_27[[#This Row],[LE2 Final Submission]]</f>
        <v>-5600</v>
      </c>
      <c r="AO445" s="652">
        <v>0</v>
      </c>
      <c r="AP445" s="652">
        <f t="shared" si="26"/>
        <v>0</v>
      </c>
      <c r="AQ445" s="374">
        <f>SUM(ERP_27[[#This Row],[AP01]:[AP06]])-SUM(ERP_27[[#This Row],[AP01 LE2]:[AP06 LE2]])</f>
        <v>-12800</v>
      </c>
      <c r="AR445" s="653"/>
      <c r="AS445" s="652">
        <f>ERP_27[[#This Row],[2026 Working Total to Budget/LE]]-ERP_27[[#This Row],[Giveback]]</f>
        <v>-5600</v>
      </c>
      <c r="AT445" s="654"/>
      <c r="AU445" s="655"/>
      <c r="AV445" s="655"/>
      <c r="AW445" s="655"/>
      <c r="AX445" s="655">
        <v>0</v>
      </c>
      <c r="AY445" s="655">
        <v>0</v>
      </c>
      <c r="AZ445" s="655">
        <v>12800</v>
      </c>
      <c r="BA445" s="655">
        <v>12800</v>
      </c>
      <c r="BB445" s="655">
        <v>12800</v>
      </c>
      <c r="BC445" s="655">
        <v>12800</v>
      </c>
      <c r="BD445" s="655">
        <v>12800</v>
      </c>
      <c r="BE445" s="655">
        <v>12800</v>
      </c>
      <c r="BF445" s="655">
        <v>12800</v>
      </c>
      <c r="BG445" s="655">
        <v>89600</v>
      </c>
      <c r="BH445" s="652"/>
      <c r="BI445" s="652"/>
      <c r="BJ445" s="652"/>
      <c r="BK445" s="652">
        <v>12800</v>
      </c>
      <c r="BL445" s="652">
        <v>12800</v>
      </c>
      <c r="BM445" s="652">
        <v>12800</v>
      </c>
      <c r="BN445" s="652">
        <v>12800</v>
      </c>
      <c r="BO445" s="652">
        <v>12800</v>
      </c>
      <c r="BP445" s="652">
        <v>12800</v>
      </c>
      <c r="BQ445" s="652">
        <v>12800</v>
      </c>
      <c r="BR445" s="652">
        <v>12800</v>
      </c>
      <c r="BS445" s="652">
        <v>12800</v>
      </c>
      <c r="BT445" s="652">
        <v>115200</v>
      </c>
    </row>
    <row r="446" spans="1:72" ht="15" hidden="1" customHeight="1">
      <c r="A446" s="66" t="s">
        <v>1261</v>
      </c>
      <c r="B446" s="66"/>
      <c r="C446" s="66" t="s">
        <v>110</v>
      </c>
      <c r="D446" s="66" t="s">
        <v>110</v>
      </c>
      <c r="E446" s="150" t="s">
        <v>1136</v>
      </c>
      <c r="F446" s="482" t="s">
        <v>1566</v>
      </c>
      <c r="G446" s="150" t="s">
        <v>1135</v>
      </c>
      <c r="H446" s="150" t="s">
        <v>1135</v>
      </c>
      <c r="I446" s="150" t="s">
        <v>1135</v>
      </c>
      <c r="J446" s="150" t="s">
        <v>1135</v>
      </c>
      <c r="K446" s="150" t="s">
        <v>1137</v>
      </c>
      <c r="L446" s="511" t="s">
        <v>49</v>
      </c>
      <c r="M446" s="392" t="s">
        <v>1262</v>
      </c>
      <c r="N446" s="343" t="s">
        <v>1263</v>
      </c>
      <c r="O446" s="346" t="s">
        <v>1264</v>
      </c>
      <c r="P446" s="70" t="s">
        <v>111</v>
      </c>
      <c r="Q446" s="346"/>
      <c r="R446" s="346" t="s">
        <v>1265</v>
      </c>
      <c r="S446" s="346"/>
      <c r="T446" s="150" t="s">
        <v>25</v>
      </c>
      <c r="U446" s="150"/>
      <c r="V446" s="643"/>
      <c r="W446" s="659">
        <v>100000</v>
      </c>
      <c r="X446" s="659">
        <v>100000</v>
      </c>
      <c r="Y446" s="656"/>
      <c r="Z446" s="657"/>
      <c r="AA446" s="714"/>
      <c r="AB446" s="428"/>
      <c r="AC446" s="428"/>
      <c r="AD446" s="428" t="s">
        <v>1142</v>
      </c>
      <c r="AE446" s="429">
        <v>0</v>
      </c>
      <c r="AF446" s="429">
        <v>0</v>
      </c>
      <c r="AG446" s="17">
        <v>14286</v>
      </c>
      <c r="AH446" s="17">
        <v>14286</v>
      </c>
      <c r="AI446" s="17">
        <v>14286</v>
      </c>
      <c r="AJ446" s="17">
        <v>14286</v>
      </c>
      <c r="AK446" s="17">
        <v>14286</v>
      </c>
      <c r="AL446" s="17">
        <v>14286</v>
      </c>
      <c r="AM446" s="649">
        <f t="shared" si="27"/>
        <v>85716</v>
      </c>
      <c r="AN446" s="651">
        <f>ERP_27[[#This Row],[2026 Working Total]]-ERP_27[[#This Row],[LE2 Final Submission]]</f>
        <v>-14284</v>
      </c>
      <c r="AO446" s="652">
        <v>11111</v>
      </c>
      <c r="AP446" s="652">
        <f t="shared" si="26"/>
        <v>-11111</v>
      </c>
      <c r="AQ446" s="374">
        <f>SUM(ERP_27[[#This Row],[AP01]:[AP06]])-SUM(ERP_27[[#This Row],[AP01 LE2]:[AP06 LE2]])</f>
        <v>-33333</v>
      </c>
      <c r="AR446" s="653"/>
      <c r="AS446" s="652">
        <f>ERP_27[[#This Row],[2026 Working Total to Budget/LE]]-ERP_27[[#This Row],[Giveback]]</f>
        <v>-14284</v>
      </c>
      <c r="AT446" s="654"/>
      <c r="AU446" s="655"/>
      <c r="AV446" s="655"/>
      <c r="AW446" s="655"/>
      <c r="AX446" s="655">
        <v>11111</v>
      </c>
      <c r="AY446" s="655">
        <v>11111</v>
      </c>
      <c r="AZ446" s="655">
        <v>11111</v>
      </c>
      <c r="BA446" s="655">
        <v>11111</v>
      </c>
      <c r="BB446" s="655">
        <v>11111</v>
      </c>
      <c r="BC446" s="655">
        <v>11111</v>
      </c>
      <c r="BD446" s="655">
        <v>11111</v>
      </c>
      <c r="BE446" s="655">
        <v>11111</v>
      </c>
      <c r="BF446" s="655">
        <v>11112</v>
      </c>
      <c r="BG446" s="655">
        <v>100000</v>
      </c>
      <c r="BH446" s="652"/>
      <c r="BI446" s="652"/>
      <c r="BJ446" s="652"/>
      <c r="BK446" s="652">
        <v>11111</v>
      </c>
      <c r="BL446" s="652">
        <v>11111</v>
      </c>
      <c r="BM446" s="652">
        <v>11111</v>
      </c>
      <c r="BN446" s="652">
        <v>11111</v>
      </c>
      <c r="BO446" s="652">
        <v>11111</v>
      </c>
      <c r="BP446" s="652">
        <v>11111</v>
      </c>
      <c r="BQ446" s="652">
        <v>11111</v>
      </c>
      <c r="BR446" s="652">
        <v>11111</v>
      </c>
      <c r="BS446" s="652">
        <v>11112</v>
      </c>
      <c r="BT446" s="652">
        <v>100000</v>
      </c>
    </row>
    <row r="447" spans="1:72" ht="15" hidden="1" customHeight="1">
      <c r="A447" s="66" t="s">
        <v>1759</v>
      </c>
      <c r="B447" s="66"/>
      <c r="C447" s="66" t="s">
        <v>394</v>
      </c>
      <c r="D447" s="66" t="s">
        <v>1760</v>
      </c>
      <c r="E447" s="150" t="s">
        <v>1136</v>
      </c>
      <c r="F447" s="482" t="s">
        <v>1566</v>
      </c>
      <c r="G447" s="150" t="s">
        <v>1135</v>
      </c>
      <c r="H447" s="150" t="s">
        <v>1165</v>
      </c>
      <c r="I447" s="150" t="s">
        <v>1135</v>
      </c>
      <c r="J447" s="150" t="s">
        <v>1165</v>
      </c>
      <c r="K447" s="150" t="s">
        <v>1137</v>
      </c>
      <c r="L447" s="511" t="s">
        <v>389</v>
      </c>
      <c r="M447" s="392" t="s">
        <v>1761</v>
      </c>
      <c r="N447" s="343"/>
      <c r="O447" s="343"/>
      <c r="P447" s="70" t="s">
        <v>395</v>
      </c>
      <c r="Q447" s="346"/>
      <c r="R447" s="343"/>
      <c r="S447" s="346"/>
      <c r="T447" s="150" t="s">
        <v>152</v>
      </c>
      <c r="U447" s="150"/>
      <c r="V447" s="643"/>
      <c r="W447" s="659">
        <v>0</v>
      </c>
      <c r="X447" s="659">
        <v>90000</v>
      </c>
      <c r="Y447" s="656"/>
      <c r="Z447" s="657"/>
      <c r="AA447" s="714"/>
      <c r="AB447" s="428"/>
      <c r="AC447" s="428"/>
      <c r="AD447" s="428" t="s">
        <v>1142</v>
      </c>
      <c r="AE447" s="429">
        <v>0</v>
      </c>
      <c r="AF447" s="429">
        <v>0</v>
      </c>
      <c r="AG447" s="649">
        <v>15000</v>
      </c>
      <c r="AH447" s="649">
        <v>15000</v>
      </c>
      <c r="AI447" s="649">
        <v>15000</v>
      </c>
      <c r="AJ447" s="649">
        <v>15000</v>
      </c>
      <c r="AK447" s="649">
        <v>15000</v>
      </c>
      <c r="AL447" s="649">
        <v>15000</v>
      </c>
      <c r="AM447" s="649">
        <f t="shared" si="27"/>
        <v>90000</v>
      </c>
      <c r="AN447" s="651">
        <f>ERP_27[[#This Row],[2026 Working Total]]-ERP_27[[#This Row],[LE2 Final Submission]]</f>
        <v>0</v>
      </c>
      <c r="AO447" s="652">
        <v>3190</v>
      </c>
      <c r="AP447" s="652">
        <f t="shared" si="26"/>
        <v>-3190</v>
      </c>
      <c r="AQ447" s="374">
        <f>SUM(ERP_27[[#This Row],[AP01]:[AP06]])-SUM(ERP_27[[#This Row],[AP01 LE2]:[AP06 LE2]])</f>
        <v>-30000</v>
      </c>
      <c r="AR447" s="653"/>
      <c r="AS447" s="652">
        <f>ERP_27[[#This Row],[2026 Working Total to Budget/LE]]-ERP_27[[#This Row],[Giveback]]</f>
        <v>0</v>
      </c>
      <c r="AT447" s="654"/>
      <c r="AU447" s="655"/>
      <c r="AV447" s="655"/>
      <c r="AW447" s="655"/>
      <c r="AX447" s="655">
        <v>10000</v>
      </c>
      <c r="AY447" s="655">
        <v>10000</v>
      </c>
      <c r="AZ447" s="655">
        <v>10000</v>
      </c>
      <c r="BA447" s="655">
        <v>10000</v>
      </c>
      <c r="BB447" s="655">
        <v>10000</v>
      </c>
      <c r="BC447" s="655">
        <v>10000</v>
      </c>
      <c r="BD447" s="655">
        <v>10000</v>
      </c>
      <c r="BE447" s="655">
        <v>10000</v>
      </c>
      <c r="BF447" s="655">
        <v>10000</v>
      </c>
      <c r="BG447" s="655">
        <v>90000</v>
      </c>
      <c r="BH447" s="652"/>
      <c r="BI447" s="652"/>
      <c r="BJ447" s="652"/>
      <c r="BK447" s="652">
        <v>10000</v>
      </c>
      <c r="BL447" s="652">
        <v>10000</v>
      </c>
      <c r="BM447" s="652">
        <v>10000</v>
      </c>
      <c r="BN447" s="652">
        <v>10000</v>
      </c>
      <c r="BO447" s="652">
        <v>10000</v>
      </c>
      <c r="BP447" s="652">
        <v>10000</v>
      </c>
      <c r="BQ447" s="652">
        <v>10000</v>
      </c>
      <c r="BR447" s="652">
        <v>10000</v>
      </c>
      <c r="BS447" s="652">
        <v>10000</v>
      </c>
      <c r="BT447" s="652">
        <v>90000</v>
      </c>
    </row>
    <row r="448" spans="1:72" ht="15" hidden="1" customHeight="1">
      <c r="A448" s="66" t="s">
        <v>1472</v>
      </c>
      <c r="B448" s="66"/>
      <c r="C448" s="66" t="s">
        <v>222</v>
      </c>
      <c r="D448" s="66" t="s">
        <v>222</v>
      </c>
      <c r="E448" s="150" t="s">
        <v>1136</v>
      </c>
      <c r="F448" s="482" t="s">
        <v>1566</v>
      </c>
      <c r="G448" s="150" t="s">
        <v>1450</v>
      </c>
      <c r="H448" s="150" t="s">
        <v>1450</v>
      </c>
      <c r="I448" s="150" t="s">
        <v>1345</v>
      </c>
      <c r="J448" s="150" t="s">
        <v>1450</v>
      </c>
      <c r="K448" s="150" t="s">
        <v>1346</v>
      </c>
      <c r="L448" s="511" t="s">
        <v>49</v>
      </c>
      <c r="M448" s="392" t="s">
        <v>1473</v>
      </c>
      <c r="N448" s="343"/>
      <c r="O448" s="343"/>
      <c r="P448" s="345" t="s">
        <v>223</v>
      </c>
      <c r="Q448" s="346"/>
      <c r="R448" s="343"/>
      <c r="S448" s="346"/>
      <c r="T448" s="150" t="s">
        <v>152</v>
      </c>
      <c r="U448" s="150"/>
      <c r="V448" s="643"/>
      <c r="W448" s="659">
        <v>90000</v>
      </c>
      <c r="X448" s="659">
        <v>90000</v>
      </c>
      <c r="Y448" s="656"/>
      <c r="Z448" s="657"/>
      <c r="AA448" s="714"/>
      <c r="AB448" s="428"/>
      <c r="AC448" s="428"/>
      <c r="AD448" s="428" t="s">
        <v>1142</v>
      </c>
      <c r="AE448" s="429">
        <v>0</v>
      </c>
      <c r="AF448" s="429">
        <v>82121</v>
      </c>
      <c r="AG448" s="649"/>
      <c r="AH448" s="649">
        <v>0</v>
      </c>
      <c r="AI448" s="649">
        <v>0</v>
      </c>
      <c r="AJ448" s="649">
        <v>0</v>
      </c>
      <c r="AK448" s="649">
        <v>0</v>
      </c>
      <c r="AL448" s="649">
        <v>7879</v>
      </c>
      <c r="AM448" s="649">
        <f t="shared" si="27"/>
        <v>90000</v>
      </c>
      <c r="AN448" s="651">
        <f>ERP_27[[#This Row],[2026 Working Total]]-ERP_27[[#This Row],[LE2 Final Submission]]</f>
        <v>0</v>
      </c>
      <c r="AO448" s="652">
        <v>82000</v>
      </c>
      <c r="AP448" s="652">
        <f t="shared" si="26"/>
        <v>121</v>
      </c>
      <c r="AQ448" s="374">
        <f>SUM(ERP_27[[#This Row],[AP01]:[AP06]])-SUM(ERP_27[[#This Row],[AP01 LE2]:[AP06 LE2]])</f>
        <v>121</v>
      </c>
      <c r="AR448" s="653"/>
      <c r="AS448" s="652">
        <f>ERP_27[[#This Row],[2026 Working Total to Budget/LE]]-ERP_27[[#This Row],[Giveback]]</f>
        <v>0</v>
      </c>
      <c r="AT448" s="654"/>
      <c r="AU448" s="655"/>
      <c r="AV448" s="655"/>
      <c r="AW448" s="655"/>
      <c r="AX448" s="655">
        <v>0</v>
      </c>
      <c r="AY448" s="655">
        <v>82000</v>
      </c>
      <c r="AZ448" s="655">
        <v>0</v>
      </c>
      <c r="BA448" s="655">
        <v>0</v>
      </c>
      <c r="BB448" s="655">
        <v>4000</v>
      </c>
      <c r="BC448" s="655">
        <v>4000</v>
      </c>
      <c r="BD448" s="655">
        <v>0</v>
      </c>
      <c r="BE448" s="655">
        <v>0</v>
      </c>
      <c r="BF448" s="655">
        <v>0</v>
      </c>
      <c r="BG448" s="655">
        <v>90000</v>
      </c>
      <c r="BH448" s="652"/>
      <c r="BI448" s="652"/>
      <c r="BJ448" s="652"/>
      <c r="BK448" s="652">
        <v>8000</v>
      </c>
      <c r="BL448" s="652">
        <v>8000</v>
      </c>
      <c r="BM448" s="652">
        <v>8000</v>
      </c>
      <c r="BN448" s="652">
        <v>8000</v>
      </c>
      <c r="BO448" s="652">
        <v>10000</v>
      </c>
      <c r="BP448" s="652">
        <v>10000</v>
      </c>
      <c r="BQ448" s="652">
        <v>10000</v>
      </c>
      <c r="BR448" s="652">
        <v>10000</v>
      </c>
      <c r="BS448" s="652">
        <v>10000</v>
      </c>
      <c r="BT448" s="652">
        <v>82000</v>
      </c>
    </row>
    <row r="449" spans="1:72" ht="15" hidden="1" customHeight="1">
      <c r="A449" s="66" t="s">
        <v>1208</v>
      </c>
      <c r="B449" s="66"/>
      <c r="C449" s="66" t="s">
        <v>76</v>
      </c>
      <c r="D449" s="66" t="s">
        <v>76</v>
      </c>
      <c r="E449" s="150" t="s">
        <v>1136</v>
      </c>
      <c r="F449" s="482" t="s">
        <v>1566</v>
      </c>
      <c r="G449" s="150" t="s">
        <v>1135</v>
      </c>
      <c r="H449" s="150" t="s">
        <v>1135</v>
      </c>
      <c r="I449" s="150" t="s">
        <v>1135</v>
      </c>
      <c r="J449" s="150" t="s">
        <v>1135</v>
      </c>
      <c r="K449" s="150" t="s">
        <v>1137</v>
      </c>
      <c r="L449" s="511" t="s">
        <v>49</v>
      </c>
      <c r="M449" s="392" t="s">
        <v>1209</v>
      </c>
      <c r="N449" s="343" t="s">
        <v>1210</v>
      </c>
      <c r="O449" s="346" t="s">
        <v>1171</v>
      </c>
      <c r="P449" s="70" t="s">
        <v>77</v>
      </c>
      <c r="Q449" s="346"/>
      <c r="R449" s="346" t="s">
        <v>1211</v>
      </c>
      <c r="S449" s="346"/>
      <c r="T449" s="150" t="s">
        <v>25</v>
      </c>
      <c r="U449" s="150"/>
      <c r="V449" s="643"/>
      <c r="W449" s="659">
        <v>97500</v>
      </c>
      <c r="X449" s="659">
        <v>90751.67</v>
      </c>
      <c r="Y449" s="656"/>
      <c r="Z449" s="657"/>
      <c r="AA449" s="714">
        <v>10704.42</v>
      </c>
      <c r="AB449" s="428">
        <v>11988.8</v>
      </c>
      <c r="AC449" s="428">
        <v>9558.4500000000007</v>
      </c>
      <c r="AD449" s="428">
        <v>6923.07</v>
      </c>
      <c r="AE449" s="429">
        <v>8819.08</v>
      </c>
      <c r="AF449" s="429">
        <v>6012.1100000000006</v>
      </c>
      <c r="AG449" s="649">
        <v>6000</v>
      </c>
      <c r="AH449" s="649">
        <v>6000</v>
      </c>
      <c r="AI449" s="649">
        <v>6000</v>
      </c>
      <c r="AJ449" s="649">
        <v>7500</v>
      </c>
      <c r="AK449" s="649">
        <v>7500</v>
      </c>
      <c r="AL449" s="649">
        <v>7500</v>
      </c>
      <c r="AM449" s="649">
        <f t="shared" si="27"/>
        <v>94505.930000000008</v>
      </c>
      <c r="AN449" s="651">
        <f>ERP_27[[#This Row],[2026 Working Total]]-ERP_27[[#This Row],[LE2 Final Submission]]</f>
        <v>3754.2600000000093</v>
      </c>
      <c r="AO449" s="652">
        <v>6000</v>
      </c>
      <c r="AP449" s="652">
        <f t="shared" si="26"/>
        <v>12.110000000000582</v>
      </c>
      <c r="AQ449" s="374">
        <f>SUM(ERP_27[[#This Row],[AP01]:[AP06]])-SUM(ERP_27[[#This Row],[AP01 LE2]:[AP06 LE2]])</f>
        <v>3754.2600000000093</v>
      </c>
      <c r="AR449" s="653"/>
      <c r="AS449" s="652">
        <f>ERP_27[[#This Row],[2026 Working Total to Budget/LE]]-ERP_27[[#This Row],[Giveback]]</f>
        <v>3754.2600000000093</v>
      </c>
      <c r="AT449" s="654"/>
      <c r="AU449" s="655">
        <v>10704.42</v>
      </c>
      <c r="AV449" s="655">
        <v>11988.8</v>
      </c>
      <c r="AW449" s="655">
        <v>9558.4500000000007</v>
      </c>
      <c r="AX449" s="655">
        <v>6000</v>
      </c>
      <c r="AY449" s="655">
        <v>6000</v>
      </c>
      <c r="AZ449" s="655">
        <v>6000</v>
      </c>
      <c r="BA449" s="655">
        <v>6000</v>
      </c>
      <c r="BB449" s="655">
        <v>6000</v>
      </c>
      <c r="BC449" s="655">
        <v>6000</v>
      </c>
      <c r="BD449" s="655">
        <v>7500</v>
      </c>
      <c r="BE449" s="655">
        <v>7500</v>
      </c>
      <c r="BF449" s="655">
        <v>7500</v>
      </c>
      <c r="BG449" s="655">
        <v>90751.67</v>
      </c>
      <c r="BH449" s="652">
        <v>10704.42</v>
      </c>
      <c r="BI449" s="652">
        <v>11988.8</v>
      </c>
      <c r="BJ449" s="652">
        <v>9558.4500000000007</v>
      </c>
      <c r="BK449" s="652">
        <v>8125</v>
      </c>
      <c r="BL449" s="652">
        <v>8125</v>
      </c>
      <c r="BM449" s="652">
        <v>8125</v>
      </c>
      <c r="BN449" s="652">
        <v>8125</v>
      </c>
      <c r="BO449" s="652">
        <v>8125</v>
      </c>
      <c r="BP449" s="652">
        <v>8125</v>
      </c>
      <c r="BQ449" s="652">
        <v>8125</v>
      </c>
      <c r="BR449" s="652">
        <v>8125</v>
      </c>
      <c r="BS449" s="652">
        <v>8125</v>
      </c>
      <c r="BT449" s="652">
        <v>105376.67</v>
      </c>
    </row>
    <row r="450" spans="1:72" ht="15" hidden="1" customHeight="1">
      <c r="A450" s="66" t="s">
        <v>1306</v>
      </c>
      <c r="B450" s="66"/>
      <c r="C450" s="66" t="s">
        <v>138</v>
      </c>
      <c r="D450" s="66" t="s">
        <v>1307</v>
      </c>
      <c r="E450" s="150" t="s">
        <v>1136</v>
      </c>
      <c r="F450" s="482" t="s">
        <v>1566</v>
      </c>
      <c r="G450" s="150" t="s">
        <v>1135</v>
      </c>
      <c r="H450" s="150" t="s">
        <v>1156</v>
      </c>
      <c r="I450" s="150" t="s">
        <v>1135</v>
      </c>
      <c r="J450" s="150" t="s">
        <v>1156</v>
      </c>
      <c r="K450" s="150" t="s">
        <v>1137</v>
      </c>
      <c r="L450" s="511" t="s">
        <v>49</v>
      </c>
      <c r="M450" s="392" t="s">
        <v>1308</v>
      </c>
      <c r="N450" s="343"/>
      <c r="O450" s="343"/>
      <c r="P450" s="70" t="s">
        <v>139</v>
      </c>
      <c r="Q450" s="346"/>
      <c r="R450" s="343" t="s">
        <v>1309</v>
      </c>
      <c r="S450" s="346"/>
      <c r="T450" s="150" t="s">
        <v>25</v>
      </c>
      <c r="U450" s="150"/>
      <c r="V450" s="643"/>
      <c r="W450" s="659">
        <v>96720</v>
      </c>
      <c r="X450" s="659">
        <v>96720.44</v>
      </c>
      <c r="Y450" s="656"/>
      <c r="Z450" s="657"/>
      <c r="AA450" s="714">
        <v>6643.44</v>
      </c>
      <c r="AB450" s="428">
        <v>5644</v>
      </c>
      <c r="AC450" s="428">
        <v>8304</v>
      </c>
      <c r="AD450" s="428">
        <v>6762</v>
      </c>
      <c r="AE450" s="429">
        <v>9499</v>
      </c>
      <c r="AF450" s="429">
        <v>8310.9599999999991</v>
      </c>
      <c r="AG450" s="649">
        <v>8600</v>
      </c>
      <c r="AH450" s="649">
        <v>7900</v>
      </c>
      <c r="AI450" s="649">
        <v>8600</v>
      </c>
      <c r="AJ450" s="649">
        <v>8600</v>
      </c>
      <c r="AK450" s="649">
        <v>8600</v>
      </c>
      <c r="AL450" s="649">
        <v>8968</v>
      </c>
      <c r="AM450" s="649">
        <f t="shared" si="27"/>
        <v>96431.4</v>
      </c>
      <c r="AN450" s="651">
        <f>ERP_27[[#This Row],[2026 Working Total]]-ERP_27[[#This Row],[LE2 Final Submission]]</f>
        <v>-289.04000000000815</v>
      </c>
      <c r="AO450" s="652">
        <v>7812</v>
      </c>
      <c r="AP450" s="652">
        <f t="shared" si="26"/>
        <v>498.95999999999913</v>
      </c>
      <c r="AQ450" s="374">
        <f>SUM(ERP_27[[#This Row],[AP01]:[AP06]])-SUM(ERP_27[[#This Row],[AP01 LE2]:[AP06 LE2]])</f>
        <v>-2453.0400000000009</v>
      </c>
      <c r="AR450" s="653"/>
      <c r="AS450" s="652">
        <f>ERP_27[[#This Row],[2026 Working Total to Budget/LE]]-ERP_27[[#This Row],[Giveback]]</f>
        <v>-289.04000000000815</v>
      </c>
      <c r="AT450" s="654"/>
      <c r="AU450" s="655">
        <v>6643.44</v>
      </c>
      <c r="AV450" s="655">
        <v>5644</v>
      </c>
      <c r="AW450" s="655">
        <v>8304</v>
      </c>
      <c r="AX450" s="655">
        <v>11029</v>
      </c>
      <c r="AY450" s="655">
        <v>7812</v>
      </c>
      <c r="AZ450" s="655">
        <v>8184</v>
      </c>
      <c r="BA450" s="655">
        <v>8556</v>
      </c>
      <c r="BB450" s="655">
        <v>7812</v>
      </c>
      <c r="BC450" s="655">
        <v>8184</v>
      </c>
      <c r="BD450" s="655">
        <v>8184</v>
      </c>
      <c r="BE450" s="655">
        <v>7812</v>
      </c>
      <c r="BF450" s="655">
        <v>8556</v>
      </c>
      <c r="BG450" s="655">
        <v>96720.44</v>
      </c>
      <c r="BH450" s="652">
        <v>6643.44</v>
      </c>
      <c r="BI450" s="652">
        <v>5644</v>
      </c>
      <c r="BJ450" s="652">
        <v>8304</v>
      </c>
      <c r="BK450" s="652">
        <v>8184</v>
      </c>
      <c r="BL450" s="652">
        <v>7812</v>
      </c>
      <c r="BM450" s="652">
        <v>8184</v>
      </c>
      <c r="BN450" s="652">
        <v>8556</v>
      </c>
      <c r="BO450" s="652">
        <v>7812</v>
      </c>
      <c r="BP450" s="652">
        <v>8184</v>
      </c>
      <c r="BQ450" s="652">
        <v>8184</v>
      </c>
      <c r="BR450" s="652">
        <v>7812</v>
      </c>
      <c r="BS450" s="652">
        <v>8556</v>
      </c>
      <c r="BT450" s="652">
        <v>93875.44</v>
      </c>
    </row>
    <row r="451" spans="1:72" ht="15" hidden="1" customHeight="1">
      <c r="A451" s="66" t="s">
        <v>1583</v>
      </c>
      <c r="B451" s="66"/>
      <c r="C451" s="66" t="s">
        <v>280</v>
      </c>
      <c r="D451" s="66" t="s">
        <v>1584</v>
      </c>
      <c r="E451" s="150" t="s">
        <v>1136</v>
      </c>
      <c r="F451" s="482" t="s">
        <v>1566</v>
      </c>
      <c r="G451" s="150" t="s">
        <v>1566</v>
      </c>
      <c r="H451" s="150" t="s">
        <v>1566</v>
      </c>
      <c r="I451" s="150" t="s">
        <v>1567</v>
      </c>
      <c r="J451" s="150" t="s">
        <v>1567</v>
      </c>
      <c r="K451" s="150" t="s">
        <v>1567</v>
      </c>
      <c r="L451" s="511" t="s">
        <v>49</v>
      </c>
      <c r="M451" s="392" t="s">
        <v>1585</v>
      </c>
      <c r="N451" s="343"/>
      <c r="O451" s="343"/>
      <c r="P451" s="70" t="s">
        <v>281</v>
      </c>
      <c r="Q451" s="346"/>
      <c r="R451" s="343"/>
      <c r="S451" s="346"/>
      <c r="T451" s="505" t="s">
        <v>272</v>
      </c>
      <c r="U451" s="150"/>
      <c r="V451" s="643"/>
      <c r="W451" s="659">
        <v>96677</v>
      </c>
      <c r="X451" s="659">
        <v>96677</v>
      </c>
      <c r="Y451" s="656"/>
      <c r="Z451" s="657"/>
      <c r="AA451" s="714"/>
      <c r="AB451" s="428"/>
      <c r="AC451" s="428">
        <v>-1032</v>
      </c>
      <c r="AD451" s="428">
        <v>0</v>
      </c>
      <c r="AE451" s="429">
        <v>0</v>
      </c>
      <c r="AF451" s="429">
        <v>0</v>
      </c>
      <c r="AG451" s="649">
        <v>100</v>
      </c>
      <c r="AH451" s="649">
        <v>250</v>
      </c>
      <c r="AI451" s="649">
        <v>76422</v>
      </c>
      <c r="AJ451" s="649">
        <v>250</v>
      </c>
      <c r="AK451" s="649">
        <v>10290</v>
      </c>
      <c r="AL451" s="649">
        <v>10297</v>
      </c>
      <c r="AM451" s="649">
        <f t="shared" si="27"/>
        <v>96577</v>
      </c>
      <c r="AN451" s="651">
        <f>ERP_27[[#This Row],[2026 Working Total]]-ERP_27[[#This Row],[LE2 Final Submission]]</f>
        <v>-100</v>
      </c>
      <c r="AO451" s="652">
        <v>0</v>
      </c>
      <c r="AP451" s="652">
        <f t="shared" si="26"/>
        <v>0</v>
      </c>
      <c r="AQ451" s="374">
        <f>SUM(ERP_27[[#This Row],[AP01]:[AP06]])-SUM(ERP_27[[#This Row],[AP01 LE2]:[AP06 LE2]])</f>
        <v>-100</v>
      </c>
      <c r="AR451" s="653"/>
      <c r="AS451" s="652">
        <f>ERP_27[[#This Row],[2026 Working Total to Budget/LE]]-ERP_27[[#This Row],[Giveback]]</f>
        <v>-100</v>
      </c>
      <c r="AT451" s="654"/>
      <c r="AU451" s="655"/>
      <c r="AV451" s="655"/>
      <c r="AW451" s="655">
        <v>-1032</v>
      </c>
      <c r="AX451" s="655">
        <v>0</v>
      </c>
      <c r="AY451" s="655">
        <v>0</v>
      </c>
      <c r="AZ451" s="655">
        <v>100</v>
      </c>
      <c r="BA451" s="655">
        <v>100</v>
      </c>
      <c r="BB451" s="655">
        <v>250</v>
      </c>
      <c r="BC451" s="655">
        <v>76422</v>
      </c>
      <c r="BD451" s="655">
        <v>250</v>
      </c>
      <c r="BE451" s="655">
        <v>10290</v>
      </c>
      <c r="BF451" s="655">
        <v>10297</v>
      </c>
      <c r="BG451" s="655">
        <v>96677</v>
      </c>
      <c r="BH451" s="652"/>
      <c r="BI451" s="652"/>
      <c r="BJ451" s="652">
        <v>-1032</v>
      </c>
      <c r="BK451" s="652">
        <v>-19688</v>
      </c>
      <c r="BL451" s="652">
        <v>25767</v>
      </c>
      <c r="BM451" s="652">
        <v>31112</v>
      </c>
      <c r="BN451" s="652">
        <v>0</v>
      </c>
      <c r="BO451" s="652">
        <v>10040</v>
      </c>
      <c r="BP451" s="652">
        <v>5023</v>
      </c>
      <c r="BQ451" s="652">
        <v>0</v>
      </c>
      <c r="BR451" s="652">
        <v>0</v>
      </c>
      <c r="BS451" s="652">
        <v>0</v>
      </c>
      <c r="BT451" s="652">
        <v>51222</v>
      </c>
    </row>
    <row r="452" spans="1:72" ht="15" hidden="1" customHeight="1">
      <c r="A452" s="66" t="s">
        <v>1212</v>
      </c>
      <c r="B452" s="66"/>
      <c r="C452" s="66" t="s">
        <v>78</v>
      </c>
      <c r="D452" s="66" t="s">
        <v>78</v>
      </c>
      <c r="E452" s="150" t="s">
        <v>1136</v>
      </c>
      <c r="F452" s="482" t="s">
        <v>1566</v>
      </c>
      <c r="G452" s="150" t="s">
        <v>1135</v>
      </c>
      <c r="H452" s="150" t="s">
        <v>1135</v>
      </c>
      <c r="I452" s="150" t="s">
        <v>1135</v>
      </c>
      <c r="J452" s="150" t="s">
        <v>1135</v>
      </c>
      <c r="K452" s="150" t="s">
        <v>1137</v>
      </c>
      <c r="L452" s="511" t="s">
        <v>49</v>
      </c>
      <c r="M452" s="392" t="s">
        <v>1213</v>
      </c>
      <c r="N452" s="343" t="s">
        <v>1210</v>
      </c>
      <c r="O452" s="346" t="s">
        <v>1171</v>
      </c>
      <c r="P452" s="70" t="s">
        <v>79</v>
      </c>
      <c r="Q452" s="346"/>
      <c r="R452" s="346" t="s">
        <v>1214</v>
      </c>
      <c r="S452" s="346"/>
      <c r="T452" s="150" t="s">
        <v>25</v>
      </c>
      <c r="U452" s="150"/>
      <c r="V452" s="643"/>
      <c r="W452" s="659">
        <v>107910</v>
      </c>
      <c r="X452" s="659">
        <v>99679.13</v>
      </c>
      <c r="Y452" s="656"/>
      <c r="Z452" s="657"/>
      <c r="AA452" s="714">
        <v>6841</v>
      </c>
      <c r="AB452" s="428">
        <v>9759.2000000000007</v>
      </c>
      <c r="AC452" s="428">
        <v>7478.93</v>
      </c>
      <c r="AD452" s="428">
        <v>7661.53</v>
      </c>
      <c r="AE452" s="429">
        <v>9759.5400000000009</v>
      </c>
      <c r="AF452" s="429">
        <v>8299.7900000000009</v>
      </c>
      <c r="AG452" s="649">
        <v>8300</v>
      </c>
      <c r="AH452" s="649">
        <v>8300</v>
      </c>
      <c r="AI452" s="649">
        <v>8300</v>
      </c>
      <c r="AJ452" s="649">
        <v>8300</v>
      </c>
      <c r="AK452" s="649">
        <v>8300</v>
      </c>
      <c r="AL452" s="649">
        <v>8300</v>
      </c>
      <c r="AM452" s="649">
        <f t="shared" si="27"/>
        <v>99599.989999999991</v>
      </c>
      <c r="AN452" s="651">
        <f>ERP_27[[#This Row],[2026 Working Total]]-ERP_27[[#This Row],[LE2 Final Submission]]</f>
        <v>-79.14000000001397</v>
      </c>
      <c r="AO452" s="652">
        <v>8400</v>
      </c>
      <c r="AP452" s="652">
        <f t="shared" si="26"/>
        <v>-100.20999999999913</v>
      </c>
      <c r="AQ452" s="374">
        <f>SUM(ERP_27[[#This Row],[AP01]:[AP06]])-SUM(ERP_27[[#This Row],[AP01 LE2]:[AP06 LE2]])</f>
        <v>520.85999999999331</v>
      </c>
      <c r="AR452" s="653"/>
      <c r="AS452" s="652">
        <f>ERP_27[[#This Row],[2026 Working Total to Budget/LE]]-ERP_27[[#This Row],[Giveback]]</f>
        <v>-79.14000000001397</v>
      </c>
      <c r="AT452" s="654"/>
      <c r="AU452" s="655">
        <v>6841</v>
      </c>
      <c r="AV452" s="655">
        <v>9759.2000000000007</v>
      </c>
      <c r="AW452" s="655">
        <v>7478.93</v>
      </c>
      <c r="AX452" s="655">
        <v>8400</v>
      </c>
      <c r="AY452" s="655">
        <v>8400</v>
      </c>
      <c r="AZ452" s="655">
        <v>8400</v>
      </c>
      <c r="BA452" s="655">
        <v>8400</v>
      </c>
      <c r="BB452" s="655">
        <v>8400</v>
      </c>
      <c r="BC452" s="655">
        <v>8400</v>
      </c>
      <c r="BD452" s="655">
        <v>8400</v>
      </c>
      <c r="BE452" s="655">
        <v>8400</v>
      </c>
      <c r="BF452" s="655">
        <v>8400</v>
      </c>
      <c r="BG452" s="655">
        <v>99679.13</v>
      </c>
      <c r="BH452" s="652">
        <v>6841</v>
      </c>
      <c r="BI452" s="652">
        <v>9759.2000000000007</v>
      </c>
      <c r="BJ452" s="652">
        <v>7478.93</v>
      </c>
      <c r="BK452" s="652">
        <v>8992.5</v>
      </c>
      <c r="BL452" s="652">
        <v>8992.5</v>
      </c>
      <c r="BM452" s="652">
        <v>8992.5</v>
      </c>
      <c r="BN452" s="652">
        <v>8992.5</v>
      </c>
      <c r="BO452" s="652">
        <v>8992.5</v>
      </c>
      <c r="BP452" s="652">
        <v>8992.5</v>
      </c>
      <c r="BQ452" s="652">
        <v>8992.5</v>
      </c>
      <c r="BR452" s="652">
        <v>8992.5</v>
      </c>
      <c r="BS452" s="652">
        <v>8992.5</v>
      </c>
      <c r="BT452" s="652">
        <v>105011.63</v>
      </c>
    </row>
    <row r="453" spans="1:72" ht="15" hidden="1" customHeight="1">
      <c r="A453" s="66" t="s">
        <v>1576</v>
      </c>
      <c r="B453" s="66"/>
      <c r="C453" s="66" t="s">
        <v>276</v>
      </c>
      <c r="D453" s="66" t="s">
        <v>1577</v>
      </c>
      <c r="E453" s="150" t="s">
        <v>1136</v>
      </c>
      <c r="F453" s="482" t="s">
        <v>1566</v>
      </c>
      <c r="G453" s="150" t="s">
        <v>1566</v>
      </c>
      <c r="H453" s="150" t="s">
        <v>1566</v>
      </c>
      <c r="I453" s="150" t="s">
        <v>1567</v>
      </c>
      <c r="J453" s="150" t="s">
        <v>1567</v>
      </c>
      <c r="K453" s="150" t="s">
        <v>1567</v>
      </c>
      <c r="L453" s="511" t="s">
        <v>49</v>
      </c>
      <c r="M453" s="392" t="s">
        <v>1578</v>
      </c>
      <c r="N453" s="343"/>
      <c r="O453" s="343"/>
      <c r="P453" s="70" t="s">
        <v>277</v>
      </c>
      <c r="Q453" s="346"/>
      <c r="R453" s="343"/>
      <c r="S453" s="346"/>
      <c r="T453" s="505" t="s">
        <v>272</v>
      </c>
      <c r="U453" s="150"/>
      <c r="V453" s="643"/>
      <c r="W453" s="659">
        <v>270062</v>
      </c>
      <c r="X453" s="659">
        <v>100070</v>
      </c>
      <c r="Y453" s="656"/>
      <c r="Z453" s="657"/>
      <c r="AA453" s="714"/>
      <c r="AB453" s="428"/>
      <c r="AC453" s="428"/>
      <c r="AD453" s="428" t="s">
        <v>1142</v>
      </c>
      <c r="AE453" s="429">
        <v>0</v>
      </c>
      <c r="AF453" s="429">
        <v>0</v>
      </c>
      <c r="AG453" s="649">
        <v>0</v>
      </c>
      <c r="AH453" s="649">
        <v>5000</v>
      </c>
      <c r="AI453" s="649">
        <v>24000</v>
      </c>
      <c r="AJ453" s="649">
        <v>71070</v>
      </c>
      <c r="AK453" s="649">
        <v>0</v>
      </c>
      <c r="AL453" s="649">
        <v>0</v>
      </c>
      <c r="AM453" s="649">
        <f t="shared" si="27"/>
        <v>100070</v>
      </c>
      <c r="AN453" s="651">
        <f>ERP_27[[#This Row],[2026 Working Total]]-ERP_27[[#This Row],[LE2 Final Submission]]</f>
        <v>0</v>
      </c>
      <c r="AO453" s="652">
        <v>0</v>
      </c>
      <c r="AP453" s="652">
        <f t="shared" si="26"/>
        <v>0</v>
      </c>
      <c r="AQ453" s="374">
        <f>SUM(ERP_27[[#This Row],[AP01]:[AP06]])-SUM(ERP_27[[#This Row],[AP01 LE2]:[AP06 LE2]])</f>
        <v>0</v>
      </c>
      <c r="AR453" s="653"/>
      <c r="AS453" s="652">
        <f>ERP_27[[#This Row],[2026 Working Total to Budget/LE]]-ERP_27[[#This Row],[Giveback]]</f>
        <v>0</v>
      </c>
      <c r="AT453" s="654"/>
      <c r="AU453" s="655"/>
      <c r="AV453" s="655"/>
      <c r="AW453" s="655"/>
      <c r="AX453" s="655">
        <v>0</v>
      </c>
      <c r="AY453" s="655">
        <v>0</v>
      </c>
      <c r="AZ453" s="655">
        <v>0</v>
      </c>
      <c r="BA453" s="655">
        <v>0</v>
      </c>
      <c r="BB453" s="655">
        <v>5000</v>
      </c>
      <c r="BC453" s="655">
        <v>24000</v>
      </c>
      <c r="BD453" s="655">
        <v>71070</v>
      </c>
      <c r="BE453" s="655">
        <v>0</v>
      </c>
      <c r="BF453" s="655">
        <v>0</v>
      </c>
      <c r="BG453" s="655">
        <v>100070</v>
      </c>
      <c r="BH453" s="652"/>
      <c r="BI453" s="652"/>
      <c r="BJ453" s="652"/>
      <c r="BK453" s="652"/>
      <c r="BL453" s="652">
        <v>67296</v>
      </c>
      <c r="BM453" s="652">
        <v>67296</v>
      </c>
      <c r="BN453" s="652">
        <v>0</v>
      </c>
      <c r="BO453" s="652">
        <v>135470</v>
      </c>
      <c r="BP453" s="652">
        <v>0</v>
      </c>
      <c r="BQ453" s="652">
        <v>0</v>
      </c>
      <c r="BR453" s="652">
        <v>0</v>
      </c>
      <c r="BS453" s="652">
        <v>0</v>
      </c>
      <c r="BT453" s="652">
        <v>270062</v>
      </c>
    </row>
    <row r="454" spans="1:72" ht="15" hidden="1" customHeight="1">
      <c r="A454" s="66" t="s">
        <v>2208</v>
      </c>
      <c r="B454" s="66"/>
      <c r="C454" s="66" t="s">
        <v>641</v>
      </c>
      <c r="D454" s="66" t="s">
        <v>641</v>
      </c>
      <c r="E454" s="150" t="s">
        <v>1136</v>
      </c>
      <c r="F454" s="482" t="s">
        <v>1566</v>
      </c>
      <c r="G454" s="150" t="s">
        <v>1135</v>
      </c>
      <c r="H454" s="150" t="s">
        <v>1135</v>
      </c>
      <c r="I454" s="150" t="s">
        <v>1135</v>
      </c>
      <c r="J454" s="150" t="s">
        <v>1135</v>
      </c>
      <c r="K454" s="150" t="s">
        <v>1137</v>
      </c>
      <c r="L454" s="511" t="s">
        <v>639</v>
      </c>
      <c r="M454" s="392" t="s">
        <v>2209</v>
      </c>
      <c r="N454" s="343"/>
      <c r="O454" s="343"/>
      <c r="P454" s="157" t="s">
        <v>642</v>
      </c>
      <c r="Q454" s="346"/>
      <c r="R454" s="343"/>
      <c r="S454" s="346"/>
      <c r="T454" s="150" t="s">
        <v>152</v>
      </c>
      <c r="U454" s="150"/>
      <c r="V454" s="643"/>
      <c r="W454" s="659">
        <v>103465.00000000001</v>
      </c>
      <c r="X454" s="659">
        <v>77598.720000000001</v>
      </c>
      <c r="Y454" s="656"/>
      <c r="Z454" s="657"/>
      <c r="AA454" s="714"/>
      <c r="AB454" s="428"/>
      <c r="AC454" s="428"/>
      <c r="AD454" s="428" t="s">
        <v>1142</v>
      </c>
      <c r="AE454" s="429">
        <v>0</v>
      </c>
      <c r="AF454" s="429">
        <v>0</v>
      </c>
      <c r="AG454" s="649">
        <v>17244</v>
      </c>
      <c r="AH454" s="649">
        <v>17244</v>
      </c>
      <c r="AI454" s="649">
        <v>17244</v>
      </c>
      <c r="AJ454" s="649">
        <v>17244</v>
      </c>
      <c r="AK454" s="649">
        <v>17244</v>
      </c>
      <c r="AL454" s="649">
        <v>17244</v>
      </c>
      <c r="AM454" s="649">
        <f t="shared" si="27"/>
        <v>103464</v>
      </c>
      <c r="AN454" s="651">
        <f>ERP_27[[#This Row],[2026 Working Total]]-ERP_27[[#This Row],[LE2 Final Submission]]</f>
        <v>25865.279999999999</v>
      </c>
      <c r="AO454" s="652"/>
      <c r="AP454" s="652">
        <f t="shared" si="26"/>
        <v>0</v>
      </c>
      <c r="AQ454" s="374">
        <f>SUM(ERP_27[[#This Row],[AP01]:[AP06]])-SUM(ERP_27[[#This Row],[AP01 LE2]:[AP06 LE2]])</f>
        <v>-25866.239999999998</v>
      </c>
      <c r="AR454" s="653"/>
      <c r="AS454" s="652">
        <f>ERP_27[[#This Row],[2026 Working Total to Budget/LE]]-ERP_27[[#This Row],[Giveback]]</f>
        <v>25865.279999999999</v>
      </c>
      <c r="AT454" s="654"/>
      <c r="AU454" s="655"/>
      <c r="AV454" s="655"/>
      <c r="AW454" s="655"/>
      <c r="AX454" s="655">
        <v>8622.08</v>
      </c>
      <c r="AY454" s="655">
        <v>8622.08</v>
      </c>
      <c r="AZ454" s="655">
        <v>8622.08</v>
      </c>
      <c r="BA454" s="655">
        <v>8622.08</v>
      </c>
      <c r="BB454" s="655">
        <v>8622.08</v>
      </c>
      <c r="BC454" s="655">
        <v>8622.08</v>
      </c>
      <c r="BD454" s="655">
        <v>8622.08</v>
      </c>
      <c r="BE454" s="655">
        <v>8622.08</v>
      </c>
      <c r="BF454" s="655">
        <v>8622.08</v>
      </c>
      <c r="BG454" s="655">
        <v>77598.720000000001</v>
      </c>
      <c r="BH454" s="652"/>
      <c r="BI454" s="652"/>
      <c r="BJ454" s="652"/>
      <c r="BK454" s="652">
        <v>8622.08</v>
      </c>
      <c r="BL454" s="652">
        <v>8622.08</v>
      </c>
      <c r="BM454" s="652">
        <v>8622.08</v>
      </c>
      <c r="BN454" s="652">
        <v>8622.08</v>
      </c>
      <c r="BO454" s="652">
        <v>8622.08</v>
      </c>
      <c r="BP454" s="652">
        <v>8622.08</v>
      </c>
      <c r="BQ454" s="652">
        <v>8622.08</v>
      </c>
      <c r="BR454" s="652">
        <v>8622.08</v>
      </c>
      <c r="BS454" s="652">
        <v>8622.08</v>
      </c>
      <c r="BT454" s="652">
        <v>77598.720000000001</v>
      </c>
    </row>
    <row r="455" spans="1:72" ht="15" hidden="1" customHeight="1">
      <c r="A455" s="66" t="s">
        <v>1756</v>
      </c>
      <c r="B455" s="66"/>
      <c r="C455" s="66" t="s">
        <v>392</v>
      </c>
      <c r="D455" s="66" t="s">
        <v>1757</v>
      </c>
      <c r="E455" s="150" t="s">
        <v>1136</v>
      </c>
      <c r="F455" s="482" t="s">
        <v>1566</v>
      </c>
      <c r="G455" s="150" t="s">
        <v>1135</v>
      </c>
      <c r="H455" s="150" t="s">
        <v>1165</v>
      </c>
      <c r="I455" s="150" t="s">
        <v>1135</v>
      </c>
      <c r="J455" s="150" t="s">
        <v>1165</v>
      </c>
      <c r="K455" s="150" t="s">
        <v>1137</v>
      </c>
      <c r="L455" s="511" t="s">
        <v>389</v>
      </c>
      <c r="M455" s="392" t="s">
        <v>1758</v>
      </c>
      <c r="N455" s="343"/>
      <c r="O455" s="343"/>
      <c r="P455" s="70" t="s">
        <v>393</v>
      </c>
      <c r="Q455" s="346"/>
      <c r="R455" s="343"/>
      <c r="S455" s="346"/>
      <c r="T455" s="150" t="s">
        <v>152</v>
      </c>
      <c r="U455" s="150"/>
      <c r="V455" s="643"/>
      <c r="W455" s="659">
        <v>0</v>
      </c>
      <c r="X455" s="659">
        <v>112500</v>
      </c>
      <c r="Y455" s="656"/>
      <c r="Z455" s="657"/>
      <c r="AA455" s="714"/>
      <c r="AB455" s="428"/>
      <c r="AC455" s="428"/>
      <c r="AD455" s="428" t="s">
        <v>1142</v>
      </c>
      <c r="AE455" s="429">
        <v>0</v>
      </c>
      <c r="AF455" s="429">
        <v>0</v>
      </c>
      <c r="AG455" s="649">
        <v>19000</v>
      </c>
      <c r="AH455" s="649">
        <v>19000</v>
      </c>
      <c r="AI455" s="649">
        <v>19000</v>
      </c>
      <c r="AJ455" s="649">
        <v>18500</v>
      </c>
      <c r="AK455" s="649">
        <v>18500</v>
      </c>
      <c r="AL455" s="649">
        <v>18500</v>
      </c>
      <c r="AM455" s="649">
        <f t="shared" si="27"/>
        <v>112500</v>
      </c>
      <c r="AN455" s="651">
        <f>ERP_27[[#This Row],[2026 Working Total]]-ERP_27[[#This Row],[LE2 Final Submission]]</f>
        <v>0</v>
      </c>
      <c r="AO455" s="652">
        <v>0</v>
      </c>
      <c r="AP455" s="652">
        <f t="shared" si="26"/>
        <v>0</v>
      </c>
      <c r="AQ455" s="374">
        <f>SUM(ERP_27[[#This Row],[AP01]:[AP06]])-SUM(ERP_27[[#This Row],[AP01 LE2]:[AP06 LE2]])</f>
        <v>-37500</v>
      </c>
      <c r="AR455" s="653"/>
      <c r="AS455" s="652">
        <f>ERP_27[[#This Row],[2026 Working Total to Budget/LE]]-ERP_27[[#This Row],[Giveback]]</f>
        <v>0</v>
      </c>
      <c r="AT455" s="654"/>
      <c r="AU455" s="655"/>
      <c r="AV455" s="655"/>
      <c r="AW455" s="655"/>
      <c r="AX455" s="655">
        <v>12500</v>
      </c>
      <c r="AY455" s="655">
        <v>12500</v>
      </c>
      <c r="AZ455" s="655">
        <v>12500</v>
      </c>
      <c r="BA455" s="655">
        <v>12500</v>
      </c>
      <c r="BB455" s="655">
        <v>12500</v>
      </c>
      <c r="BC455" s="655">
        <v>12500</v>
      </c>
      <c r="BD455" s="655">
        <v>12500</v>
      </c>
      <c r="BE455" s="655">
        <v>12500</v>
      </c>
      <c r="BF455" s="655">
        <v>12500</v>
      </c>
      <c r="BG455" s="655">
        <v>112500</v>
      </c>
      <c r="BH455" s="652"/>
      <c r="BI455" s="652"/>
      <c r="BJ455" s="652"/>
      <c r="BK455" s="652">
        <v>12500</v>
      </c>
      <c r="BL455" s="652">
        <v>12500</v>
      </c>
      <c r="BM455" s="652">
        <v>12500</v>
      </c>
      <c r="BN455" s="652">
        <v>12500</v>
      </c>
      <c r="BO455" s="652">
        <v>12500</v>
      </c>
      <c r="BP455" s="652">
        <v>12500</v>
      </c>
      <c r="BQ455" s="652">
        <v>12500</v>
      </c>
      <c r="BR455" s="652">
        <v>12500</v>
      </c>
      <c r="BS455" s="652">
        <v>12500</v>
      </c>
      <c r="BT455" s="652">
        <v>112500</v>
      </c>
    </row>
    <row r="456" spans="1:72" ht="15" hidden="1" customHeight="1">
      <c r="A456" s="66" t="s">
        <v>1657</v>
      </c>
      <c r="B456" s="66"/>
      <c r="C456" s="66" t="s">
        <v>329</v>
      </c>
      <c r="D456" s="66" t="s">
        <v>329</v>
      </c>
      <c r="E456" s="150" t="s">
        <v>1136</v>
      </c>
      <c r="F456" s="482" t="s">
        <v>1566</v>
      </c>
      <c r="G456" s="150" t="s">
        <v>1650</v>
      </c>
      <c r="H456" s="150" t="s">
        <v>1650</v>
      </c>
      <c r="I456" s="150" t="s">
        <v>1650</v>
      </c>
      <c r="J456" s="150" t="s">
        <v>1650</v>
      </c>
      <c r="K456" s="150" t="s">
        <v>1650</v>
      </c>
      <c r="L456" s="511" t="s">
        <v>49</v>
      </c>
      <c r="M456" s="392" t="s">
        <v>1658</v>
      </c>
      <c r="N456" s="343"/>
      <c r="O456" s="343"/>
      <c r="P456" s="70" t="s">
        <v>330</v>
      </c>
      <c r="Q456" s="346"/>
      <c r="R456" s="343"/>
      <c r="S456" s="346"/>
      <c r="T456" s="150" t="s">
        <v>67</v>
      </c>
      <c r="U456" s="150"/>
      <c r="V456" s="643"/>
      <c r="W456" s="659">
        <v>0</v>
      </c>
      <c r="X456" s="659">
        <v>112717.21</v>
      </c>
      <c r="Y456" s="656"/>
      <c r="Z456" s="657"/>
      <c r="AA456" s="714">
        <v>94047.88</v>
      </c>
      <c r="AB456" s="428">
        <v>124852.13</v>
      </c>
      <c r="AC456" s="428">
        <v>-106182.8</v>
      </c>
      <c r="AD456" s="428">
        <v>0</v>
      </c>
      <c r="AE456" s="429">
        <v>0</v>
      </c>
      <c r="AF456" s="429">
        <v>0</v>
      </c>
      <c r="AG456" s="649">
        <v>0</v>
      </c>
      <c r="AH456" s="649">
        <v>0</v>
      </c>
      <c r="AI456" s="649">
        <v>0</v>
      </c>
      <c r="AJ456" s="649">
        <v>0</v>
      </c>
      <c r="AK456" s="649">
        <v>0</v>
      </c>
      <c r="AL456" s="649">
        <v>0</v>
      </c>
      <c r="AM456" s="649">
        <f t="shared" si="27"/>
        <v>112717.21</v>
      </c>
      <c r="AN456" s="651">
        <f>ERP_27[[#This Row],[2026 Working Total]]-ERP_27[[#This Row],[LE2 Final Submission]]</f>
        <v>0</v>
      </c>
      <c r="AO456" s="652">
        <v>0</v>
      </c>
      <c r="AP456" s="652">
        <f t="shared" ref="AP456:AP519" si="29">$AF456 - $AO456</f>
        <v>0</v>
      </c>
      <c r="AQ456" s="374">
        <f>SUM(ERP_27[[#This Row],[AP01]:[AP06]])-SUM(ERP_27[[#This Row],[AP01 LE2]:[AP06 LE2]])</f>
        <v>0</v>
      </c>
      <c r="AR456" s="653"/>
      <c r="AS456" s="652">
        <f>ERP_27[[#This Row],[2026 Working Total to Budget/LE]]-ERP_27[[#This Row],[Giveback]]</f>
        <v>0</v>
      </c>
      <c r="AT456" s="654"/>
      <c r="AU456" s="655">
        <v>94047.88</v>
      </c>
      <c r="AV456" s="655">
        <v>124852.13</v>
      </c>
      <c r="AW456" s="655">
        <v>-106182.8</v>
      </c>
      <c r="AX456" s="655">
        <v>0</v>
      </c>
      <c r="AY456" s="655">
        <v>0</v>
      </c>
      <c r="AZ456" s="655">
        <v>0</v>
      </c>
      <c r="BA456" s="655">
        <v>0</v>
      </c>
      <c r="BB456" s="655">
        <v>0</v>
      </c>
      <c r="BC456" s="655">
        <v>0</v>
      </c>
      <c r="BD456" s="655">
        <v>0</v>
      </c>
      <c r="BE456" s="655">
        <v>0</v>
      </c>
      <c r="BF456" s="655">
        <v>0</v>
      </c>
      <c r="BG456" s="655">
        <v>112717.21</v>
      </c>
      <c r="BH456" s="652">
        <v>94047.88</v>
      </c>
      <c r="BI456" s="652">
        <v>124852.13</v>
      </c>
      <c r="BJ456" s="652">
        <v>-106182.8</v>
      </c>
      <c r="BK456" s="652">
        <v>0</v>
      </c>
      <c r="BL456" s="652">
        <v>0</v>
      </c>
      <c r="BM456" s="652">
        <v>0</v>
      </c>
      <c r="BN456" s="652">
        <v>0</v>
      </c>
      <c r="BO456" s="652">
        <v>0</v>
      </c>
      <c r="BP456" s="652">
        <v>0</v>
      </c>
      <c r="BQ456" s="652">
        <v>0</v>
      </c>
      <c r="BR456" s="652">
        <v>0</v>
      </c>
      <c r="BS456" s="652">
        <v>0</v>
      </c>
      <c r="BT456" s="652">
        <v>112717.21</v>
      </c>
    </row>
    <row r="457" spans="1:72" ht="15" hidden="1" customHeight="1">
      <c r="A457" s="66" t="s">
        <v>1204</v>
      </c>
      <c r="B457" s="66"/>
      <c r="C457" s="66" t="s">
        <v>74</v>
      </c>
      <c r="D457" s="66" t="s">
        <v>74</v>
      </c>
      <c r="E457" s="150" t="s">
        <v>1136</v>
      </c>
      <c r="F457" s="482" t="s">
        <v>1566</v>
      </c>
      <c r="G457" s="150" t="s">
        <v>1135</v>
      </c>
      <c r="H457" s="150" t="s">
        <v>1135</v>
      </c>
      <c r="I457" s="150" t="s">
        <v>1135</v>
      </c>
      <c r="J457" s="150" t="s">
        <v>1135</v>
      </c>
      <c r="K457" s="150" t="s">
        <v>1137</v>
      </c>
      <c r="L457" s="511" t="s">
        <v>49</v>
      </c>
      <c r="M457" s="392" t="s">
        <v>1205</v>
      </c>
      <c r="N457" s="343" t="s">
        <v>1206</v>
      </c>
      <c r="O457" s="346" t="s">
        <v>1171</v>
      </c>
      <c r="P457" s="70" t="s">
        <v>75</v>
      </c>
      <c r="Q457" s="346"/>
      <c r="R457" s="346" t="s">
        <v>1207</v>
      </c>
      <c r="S457" s="346"/>
      <c r="T457" s="150" t="s">
        <v>64</v>
      </c>
      <c r="U457" s="150"/>
      <c r="V457" s="643"/>
      <c r="W457" s="659">
        <v>141310.95000000001</v>
      </c>
      <c r="X457" s="659">
        <v>132735.51</v>
      </c>
      <c r="Y457" s="656"/>
      <c r="Z457" s="657"/>
      <c r="AA457" s="714">
        <v>9654</v>
      </c>
      <c r="AB457" s="428">
        <v>14825.74</v>
      </c>
      <c r="AC457" s="428">
        <v>12851.77</v>
      </c>
      <c r="AD457" s="428">
        <v>7463.62</v>
      </c>
      <c r="AE457" s="429">
        <v>16343.609999999997</v>
      </c>
      <c r="AF457" s="429">
        <v>13997.279999999999</v>
      </c>
      <c r="AG457" s="649">
        <v>6534</v>
      </c>
      <c r="AH457" s="649">
        <v>6534</v>
      </c>
      <c r="AI457" s="649">
        <v>6534</v>
      </c>
      <c r="AJ457" s="649">
        <v>6534</v>
      </c>
      <c r="AK457" s="649">
        <v>6534</v>
      </c>
      <c r="AL457" s="649">
        <v>6534</v>
      </c>
      <c r="AM457" s="649">
        <f t="shared" si="27"/>
        <v>114340.01999999999</v>
      </c>
      <c r="AN457" s="651">
        <f>ERP_27[[#This Row],[2026 Working Total]]-ERP_27[[#This Row],[LE2 Final Submission]]</f>
        <v>-18395.49000000002</v>
      </c>
      <c r="AO457" s="652">
        <v>10718</v>
      </c>
      <c r="AP457" s="652">
        <f t="shared" si="29"/>
        <v>3279.2799999999988</v>
      </c>
      <c r="AQ457" s="374">
        <f>SUM(ERP_27[[#This Row],[AP01]:[AP06]])-SUM(ERP_27[[#This Row],[AP01 LE2]:[AP06 LE2]])</f>
        <v>5554.5099999999948</v>
      </c>
      <c r="AR457" s="653"/>
      <c r="AS457" s="652">
        <f>ERP_27[[#This Row],[2026 Working Total to Budget/LE]]-ERP_27[[#This Row],[Giveback]]</f>
        <v>-18395.49000000002</v>
      </c>
      <c r="AT457" s="654"/>
      <c r="AU457" s="655">
        <v>9654</v>
      </c>
      <c r="AV457" s="655">
        <v>14825.74</v>
      </c>
      <c r="AW457" s="655">
        <v>12851.77</v>
      </c>
      <c r="AX457" s="655">
        <v>11942</v>
      </c>
      <c r="AY457" s="655">
        <v>10718</v>
      </c>
      <c r="AZ457" s="655">
        <v>9590</v>
      </c>
      <c r="BA457" s="655">
        <v>9590</v>
      </c>
      <c r="BB457" s="655">
        <v>10718</v>
      </c>
      <c r="BC457" s="655">
        <v>11090</v>
      </c>
      <c r="BD457" s="655">
        <v>11090</v>
      </c>
      <c r="BE457" s="655">
        <v>9590</v>
      </c>
      <c r="BF457" s="655">
        <v>11076</v>
      </c>
      <c r="BG457" s="655">
        <v>132735.51</v>
      </c>
      <c r="BH457" s="652">
        <v>9654</v>
      </c>
      <c r="BI457" s="652">
        <v>14825.74</v>
      </c>
      <c r="BJ457" s="652">
        <v>12851.77</v>
      </c>
      <c r="BK457" s="652">
        <v>10870.45</v>
      </c>
      <c r="BL457" s="652">
        <v>11986</v>
      </c>
      <c r="BM457" s="652">
        <v>11986</v>
      </c>
      <c r="BN457" s="652">
        <v>11986</v>
      </c>
      <c r="BO457" s="652">
        <v>11986</v>
      </c>
      <c r="BP457" s="652">
        <v>11986</v>
      </c>
      <c r="BQ457" s="652">
        <v>11986</v>
      </c>
      <c r="BR457" s="652">
        <v>11986</v>
      </c>
      <c r="BS457" s="652">
        <v>11986</v>
      </c>
      <c r="BT457" s="652">
        <v>144089.96</v>
      </c>
    </row>
    <row r="458" spans="1:72" ht="15" hidden="1" customHeight="1">
      <c r="A458" s="66" t="s">
        <v>1671</v>
      </c>
      <c r="B458" s="66"/>
      <c r="C458" s="66" t="s">
        <v>338</v>
      </c>
      <c r="D458" s="66" t="s">
        <v>1672</v>
      </c>
      <c r="E458" s="150" t="s">
        <v>1136</v>
      </c>
      <c r="F458" s="482" t="s">
        <v>1566</v>
      </c>
      <c r="G458" s="150" t="s">
        <v>1566</v>
      </c>
      <c r="H458" s="150" t="s">
        <v>1566</v>
      </c>
      <c r="I458" s="150" t="s">
        <v>1567</v>
      </c>
      <c r="J458" s="150" t="s">
        <v>1567</v>
      </c>
      <c r="K458" s="150" t="s">
        <v>1567</v>
      </c>
      <c r="L458" s="511" t="s">
        <v>333</v>
      </c>
      <c r="M458" s="392" t="s">
        <v>1673</v>
      </c>
      <c r="N458" s="343"/>
      <c r="O458" s="343"/>
      <c r="P458" s="70" t="s">
        <v>339</v>
      </c>
      <c r="Q458" s="346"/>
      <c r="R458" s="346" t="s">
        <v>1140</v>
      </c>
      <c r="S458" s="346"/>
      <c r="T458" s="505" t="s">
        <v>340</v>
      </c>
      <c r="U458" s="150"/>
      <c r="V458" s="643"/>
      <c r="W458" s="659">
        <v>3047384</v>
      </c>
      <c r="X458" s="659">
        <v>147762.3031111111</v>
      </c>
      <c r="Y458" s="656"/>
      <c r="Z458" s="657"/>
      <c r="AA458" s="714"/>
      <c r="AB458" s="428"/>
      <c r="AC458" s="428"/>
      <c r="AD458" s="428" t="s">
        <v>1142</v>
      </c>
      <c r="AE458" s="429">
        <v>0</v>
      </c>
      <c r="AF458" s="429">
        <v>0</v>
      </c>
      <c r="AG458" s="649">
        <v>14573.083333333334</v>
      </c>
      <c r="AH458" s="649">
        <v>14573.083333333334</v>
      </c>
      <c r="AI458" s="649">
        <v>14573.083333333334</v>
      </c>
      <c r="AJ458" s="649">
        <v>23051.972222222223</v>
      </c>
      <c r="AK458" s="649">
        <v>23190.861111111109</v>
      </c>
      <c r="AL458" s="649">
        <v>28256.527777777777</v>
      </c>
      <c r="AM458" s="649">
        <f t="shared" si="27"/>
        <v>118218.61111111111</v>
      </c>
      <c r="AN458" s="651">
        <f>ERP_27[[#This Row],[2026 Working Total]]-ERP_27[[#This Row],[LE2 Final Submission]]</f>
        <v>-29543.691999999995</v>
      </c>
      <c r="AO458" s="652">
        <v>12850.03788888889</v>
      </c>
      <c r="AP458" s="652">
        <f t="shared" si="29"/>
        <v>-12850.03788888889</v>
      </c>
      <c r="AQ458" s="374">
        <f>SUM(ERP_27[[#This Row],[AP01]:[AP06]])-SUM(ERP_27[[#This Row],[AP01 LE2]:[AP06 LE2]])</f>
        <v>-27765.742444444448</v>
      </c>
      <c r="AR458" s="653"/>
      <c r="AS458" s="652">
        <f>ERP_27[[#This Row],[2026 Working Total to Budget/LE]]-ERP_27[[#This Row],[Giveback]]</f>
        <v>-29543.691999999995</v>
      </c>
      <c r="AT458" s="654"/>
      <c r="AU458" s="655"/>
      <c r="AV458" s="655"/>
      <c r="AW458" s="655"/>
      <c r="AX458" s="655">
        <v>0</v>
      </c>
      <c r="AY458" s="655">
        <v>12850.03788888889</v>
      </c>
      <c r="AZ458" s="655">
        <v>14915.704555555556</v>
      </c>
      <c r="BA458" s="655">
        <v>14915.704555555556</v>
      </c>
      <c r="BB458" s="655">
        <v>14915.704555555556</v>
      </c>
      <c r="BC458" s="655">
        <v>14915.704555555556</v>
      </c>
      <c r="BD458" s="655">
        <v>23394.593444444443</v>
      </c>
      <c r="BE458" s="655">
        <v>23394.593444444443</v>
      </c>
      <c r="BF458" s="655">
        <v>28460.260111111111</v>
      </c>
      <c r="BG458" s="655">
        <v>147762.3031111111</v>
      </c>
      <c r="BH458" s="652"/>
      <c r="BI458" s="652"/>
      <c r="BJ458" s="652"/>
      <c r="BK458" s="652">
        <v>12436.91</v>
      </c>
      <c r="BL458" s="652">
        <v>17183.39</v>
      </c>
      <c r="BM458" s="652">
        <v>19249.060000000001</v>
      </c>
      <c r="BN458" s="652">
        <v>19249.060000000001</v>
      </c>
      <c r="BO458" s="652">
        <v>20917.810000000001</v>
      </c>
      <c r="BP458" s="652">
        <v>38739.129999999997</v>
      </c>
      <c r="BQ458" s="652">
        <v>52766.07</v>
      </c>
      <c r="BR458" s="652">
        <v>52766.07</v>
      </c>
      <c r="BS458" s="652">
        <v>65150.49</v>
      </c>
      <c r="BT458" s="652">
        <v>298457.99</v>
      </c>
    </row>
    <row r="459" spans="1:72" ht="15" hidden="1" customHeight="1">
      <c r="A459" s="66" t="s">
        <v>1850</v>
      </c>
      <c r="B459" s="66"/>
      <c r="C459" s="66" t="s">
        <v>444</v>
      </c>
      <c r="D459" s="66" t="s">
        <v>1851</v>
      </c>
      <c r="E459" s="150" t="s">
        <v>1136</v>
      </c>
      <c r="F459" s="482" t="s">
        <v>1566</v>
      </c>
      <c r="G459" s="150" t="s">
        <v>1135</v>
      </c>
      <c r="H459" s="150" t="s">
        <v>1165</v>
      </c>
      <c r="I459" s="150" t="s">
        <v>1135</v>
      </c>
      <c r="J459" s="150" t="s">
        <v>1165</v>
      </c>
      <c r="K459" s="150" t="s">
        <v>1137</v>
      </c>
      <c r="L459" s="511" t="s">
        <v>389</v>
      </c>
      <c r="M459" s="392" t="s">
        <v>1852</v>
      </c>
      <c r="N459" s="343"/>
      <c r="O459" s="343"/>
      <c r="P459" s="70" t="s">
        <v>445</v>
      </c>
      <c r="Q459" s="346"/>
      <c r="R459" s="343"/>
      <c r="S459" s="346"/>
      <c r="T459" s="150" t="s">
        <v>434</v>
      </c>
      <c r="U459" s="150"/>
      <c r="V459" s="643"/>
      <c r="W459" s="659">
        <v>132431.04000000001</v>
      </c>
      <c r="X459" s="659">
        <v>123849.26</v>
      </c>
      <c r="Y459" s="656"/>
      <c r="Z459" s="657"/>
      <c r="AA459" s="714">
        <v>10548.89</v>
      </c>
      <c r="AB459" s="428">
        <v>8790.74</v>
      </c>
      <c r="AC459" s="428">
        <v>9845.6299999999992</v>
      </c>
      <c r="AD459" s="428">
        <v>12307.019999999999</v>
      </c>
      <c r="AE459" s="429">
        <v>9845.619999999999</v>
      </c>
      <c r="AF459" s="429">
        <v>9845.64</v>
      </c>
      <c r="AG459" s="649">
        <v>10296</v>
      </c>
      <c r="AH459" s="649">
        <v>10296</v>
      </c>
      <c r="AI459" s="649">
        <v>10296</v>
      </c>
      <c r="AJ459" s="649">
        <v>10296</v>
      </c>
      <c r="AK459" s="649">
        <v>10296</v>
      </c>
      <c r="AL459" s="649">
        <v>10296</v>
      </c>
      <c r="AM459" s="649">
        <f t="shared" si="27"/>
        <v>122959.54</v>
      </c>
      <c r="AN459" s="651">
        <f>ERP_27[[#This Row],[2026 Working Total]]-ERP_27[[#This Row],[LE2 Final Submission]]</f>
        <v>-889.72000000000116</v>
      </c>
      <c r="AO459" s="652">
        <v>10296</v>
      </c>
      <c r="AP459" s="652">
        <f t="shared" si="29"/>
        <v>-450.36000000000058</v>
      </c>
      <c r="AQ459" s="374">
        <f>SUM(ERP_27[[#This Row],[AP01]:[AP06]])-SUM(ERP_27[[#This Row],[AP01 LE2]:[AP06 LE2]])</f>
        <v>-889.72000000000116</v>
      </c>
      <c r="AR459" s="653"/>
      <c r="AS459" s="652">
        <f>ERP_27[[#This Row],[2026 Working Total to Budget/LE]]-ERP_27[[#This Row],[Giveback]]</f>
        <v>-889.72000000000116</v>
      </c>
      <c r="AT459" s="654"/>
      <c r="AU459" s="655">
        <v>10548.89</v>
      </c>
      <c r="AV459" s="655">
        <v>8790.74</v>
      </c>
      <c r="AW459" s="655">
        <v>9845.6299999999992</v>
      </c>
      <c r="AX459" s="655">
        <v>12296</v>
      </c>
      <c r="AY459" s="655">
        <v>10296</v>
      </c>
      <c r="AZ459" s="655">
        <v>10296</v>
      </c>
      <c r="BA459" s="655">
        <v>10296</v>
      </c>
      <c r="BB459" s="655">
        <v>10296</v>
      </c>
      <c r="BC459" s="655">
        <v>10296</v>
      </c>
      <c r="BD459" s="655">
        <v>10296</v>
      </c>
      <c r="BE459" s="655">
        <v>10296</v>
      </c>
      <c r="BF459" s="655">
        <v>10296</v>
      </c>
      <c r="BG459" s="655">
        <v>123849.26</v>
      </c>
      <c r="BH459" s="652">
        <v>10548.89</v>
      </c>
      <c r="BI459" s="652">
        <v>8790.74</v>
      </c>
      <c r="BJ459" s="652">
        <v>9845.6299999999992</v>
      </c>
      <c r="BK459" s="652">
        <v>11035.92</v>
      </c>
      <c r="BL459" s="652">
        <v>11035.92</v>
      </c>
      <c r="BM459" s="652">
        <v>11035.92</v>
      </c>
      <c r="BN459" s="652">
        <v>11035.92</v>
      </c>
      <c r="BO459" s="652">
        <v>11035.92</v>
      </c>
      <c r="BP459" s="652">
        <v>11035.92</v>
      </c>
      <c r="BQ459" s="652">
        <v>11035.92</v>
      </c>
      <c r="BR459" s="652">
        <v>11035.92</v>
      </c>
      <c r="BS459" s="652">
        <v>11035.92</v>
      </c>
      <c r="BT459" s="652">
        <v>128508.53999999998</v>
      </c>
    </row>
    <row r="460" spans="1:72" ht="15" hidden="1" customHeight="1">
      <c r="A460" s="79" t="s">
        <v>2298</v>
      </c>
      <c r="B460" s="79"/>
      <c r="C460" s="79" t="s">
        <v>681</v>
      </c>
      <c r="D460" s="296" t="s">
        <v>2299</v>
      </c>
      <c r="E460" s="150" t="s">
        <v>1136</v>
      </c>
      <c r="F460" s="482" t="s">
        <v>1566</v>
      </c>
      <c r="G460" s="150" t="s">
        <v>1135</v>
      </c>
      <c r="H460" s="150" t="s">
        <v>1165</v>
      </c>
      <c r="I460" s="150" t="s">
        <v>1135</v>
      </c>
      <c r="J460" s="150" t="s">
        <v>1165</v>
      </c>
      <c r="K460" s="150" t="s">
        <v>1165</v>
      </c>
      <c r="L460" s="514" t="s">
        <v>639</v>
      </c>
      <c r="M460" s="392" t="s">
        <v>1927</v>
      </c>
      <c r="N460" s="343"/>
      <c r="O460" s="333"/>
      <c r="P460" s="70" t="s">
        <v>473</v>
      </c>
      <c r="Q460" s="347"/>
      <c r="R460" s="343"/>
      <c r="S460" s="348"/>
      <c r="T460" s="348"/>
      <c r="U460" s="150" t="s">
        <v>1928</v>
      </c>
      <c r="V460" s="646"/>
      <c r="W460" s="358"/>
      <c r="X460" s="358">
        <v>123539</v>
      </c>
      <c r="Y460" s="656"/>
      <c r="Z460" s="657"/>
      <c r="AA460" s="714"/>
      <c r="AB460" s="428"/>
      <c r="AC460" s="428"/>
      <c r="AD460" s="428" t="s">
        <v>1142</v>
      </c>
      <c r="AE460" s="429">
        <v>0</v>
      </c>
      <c r="AF460" s="429">
        <v>0</v>
      </c>
      <c r="AG460" s="649"/>
      <c r="AH460" s="649">
        <v>123539</v>
      </c>
      <c r="AI460" s="649"/>
      <c r="AJ460" s="649"/>
      <c r="AK460" s="649"/>
      <c r="AL460" s="649"/>
      <c r="AM460" s="649">
        <f t="shared" si="27"/>
        <v>123539</v>
      </c>
      <c r="AN460" s="651">
        <f>ERP_27[[#This Row],[2026 Working Total]]-ERP_27[[#This Row],[LE2 Final Submission]]</f>
        <v>0</v>
      </c>
      <c r="AO460" s="652"/>
      <c r="AP460" s="652">
        <f t="shared" si="29"/>
        <v>0</v>
      </c>
      <c r="AQ460" s="374">
        <f>SUM(ERP_27[[#This Row],[AP01]:[AP06]])-SUM(ERP_27[[#This Row],[AP01 LE2]:[AP06 LE2]])</f>
        <v>0</v>
      </c>
      <c r="AR460" s="653"/>
      <c r="AS460" s="652">
        <f>ERP_27[[#This Row],[2026 Working Total to Budget/LE]]-ERP_27[[#This Row],[Giveback]]</f>
        <v>0</v>
      </c>
      <c r="AT460" s="654" t="s">
        <v>1929</v>
      </c>
      <c r="AU460" s="655"/>
      <c r="AV460" s="655"/>
      <c r="AW460" s="655"/>
      <c r="AX460" s="655"/>
      <c r="AY460" s="655"/>
      <c r="AZ460" s="655"/>
      <c r="BA460" s="655"/>
      <c r="BB460" s="655">
        <v>123539</v>
      </c>
      <c r="BC460" s="655"/>
      <c r="BD460" s="655"/>
      <c r="BE460" s="655"/>
      <c r="BF460" s="655"/>
      <c r="BG460" s="655">
        <v>123539</v>
      </c>
      <c r="BH460" s="652"/>
      <c r="BI460" s="652"/>
      <c r="BJ460" s="652"/>
      <c r="BK460" s="652"/>
      <c r="BL460" s="652"/>
      <c r="BM460" s="652"/>
      <c r="BN460" s="652"/>
      <c r="BO460" s="652"/>
      <c r="BP460" s="652"/>
      <c r="BQ460" s="652"/>
      <c r="BR460" s="652"/>
      <c r="BS460" s="652"/>
      <c r="BT460" s="652"/>
    </row>
    <row r="461" spans="1:72" ht="15" hidden="1" customHeight="1">
      <c r="A461" s="66" t="s">
        <v>1302</v>
      </c>
      <c r="B461" s="66"/>
      <c r="C461" s="66" t="s">
        <v>136</v>
      </c>
      <c r="D461" s="66" t="s">
        <v>1303</v>
      </c>
      <c r="E461" s="150" t="s">
        <v>1136</v>
      </c>
      <c r="F461" s="482" t="s">
        <v>1566</v>
      </c>
      <c r="G461" s="150" t="s">
        <v>1135</v>
      </c>
      <c r="H461" s="150" t="s">
        <v>1156</v>
      </c>
      <c r="I461" s="150" t="s">
        <v>1135</v>
      </c>
      <c r="J461" s="150" t="s">
        <v>1156</v>
      </c>
      <c r="K461" s="150" t="s">
        <v>1137</v>
      </c>
      <c r="L461" s="511" t="s">
        <v>49</v>
      </c>
      <c r="M461" s="392" t="s">
        <v>1304</v>
      </c>
      <c r="N461" s="343"/>
      <c r="O461" s="343">
        <v>2321511</v>
      </c>
      <c r="P461" s="70" t="s">
        <v>137</v>
      </c>
      <c r="Q461" s="346"/>
      <c r="R461" s="343"/>
      <c r="S461" s="346"/>
      <c r="T461" s="150" t="s">
        <v>25</v>
      </c>
      <c r="U461" s="150"/>
      <c r="V461" s="643"/>
      <c r="W461" s="659">
        <v>216000</v>
      </c>
      <c r="X461" s="659">
        <v>178669.02</v>
      </c>
      <c r="Y461" s="656"/>
      <c r="Z461" s="657"/>
      <c r="AA461" s="714">
        <v>13712.98</v>
      </c>
      <c r="AB461" s="429">
        <v>15359.13</v>
      </c>
      <c r="AC461" s="429">
        <v>67493.539999999994</v>
      </c>
      <c r="AD461" s="428">
        <v>42271.619999999995</v>
      </c>
      <c r="AE461" s="429">
        <v>42271.62000000001</v>
      </c>
      <c r="AF461" s="429">
        <v>-40929.350000000006</v>
      </c>
      <c r="AG461" s="667"/>
      <c r="AH461" s="667"/>
      <c r="AI461" s="667"/>
      <c r="AJ461" s="667"/>
      <c r="AK461" s="667"/>
      <c r="AL461" s="667"/>
      <c r="AM461" s="667">
        <f t="shared" si="27"/>
        <v>140179.54</v>
      </c>
      <c r="AN461" s="651">
        <f>ERP_27[[#This Row],[2026 Working Total]]-ERP_27[[#This Row],[LE2 Final Submission]]</f>
        <v>-38489.479999999981</v>
      </c>
      <c r="AO461" s="665">
        <v>35803.370000000003</v>
      </c>
      <c r="AP461" s="665">
        <f t="shared" si="29"/>
        <v>-76732.72</v>
      </c>
      <c r="AQ461" s="374">
        <f>SUM(ERP_27[[#This Row],[AP01]:[AP06]])-SUM(ERP_27[[#This Row],[AP01 LE2]:[AP06 LE2]])</f>
        <v>-2489.4799999999814</v>
      </c>
      <c r="AR461" s="653">
        <v>-32339</v>
      </c>
      <c r="AS461" s="652">
        <f>ERP_27[[#This Row],[2026 Working Total to Budget/LE]]-ERP_27[[#This Row],[Giveback]]</f>
        <v>-6150.4799999999814</v>
      </c>
      <c r="AT461" s="654" t="s">
        <v>1179</v>
      </c>
      <c r="AU461" s="655">
        <v>13712.98</v>
      </c>
      <c r="AV461" s="655">
        <v>15359.13</v>
      </c>
      <c r="AW461" s="655">
        <v>67493.539999999994</v>
      </c>
      <c r="AX461" s="655">
        <v>4300</v>
      </c>
      <c r="AY461" s="655">
        <v>35803.370000000003</v>
      </c>
      <c r="AZ461" s="655">
        <v>6000</v>
      </c>
      <c r="BA461" s="655">
        <v>6000</v>
      </c>
      <c r="BB461" s="655">
        <v>6000</v>
      </c>
      <c r="BC461" s="655">
        <v>6000</v>
      </c>
      <c r="BD461" s="655">
        <v>6000</v>
      </c>
      <c r="BE461" s="655">
        <v>6000</v>
      </c>
      <c r="BF461" s="655">
        <v>6000</v>
      </c>
      <c r="BG461" s="655">
        <v>178669.02</v>
      </c>
      <c r="BH461" s="665">
        <v>13712.98</v>
      </c>
      <c r="BI461" s="665">
        <v>15359.13</v>
      </c>
      <c r="BJ461" s="665">
        <v>67493.539999999994</v>
      </c>
      <c r="BK461" s="665">
        <v>18693</v>
      </c>
      <c r="BL461" s="665">
        <v>18693</v>
      </c>
      <c r="BM461" s="665">
        <v>18693</v>
      </c>
      <c r="BN461" s="665">
        <v>18693</v>
      </c>
      <c r="BO461" s="665">
        <v>18693</v>
      </c>
      <c r="BP461" s="665">
        <v>18693</v>
      </c>
      <c r="BQ461" s="665">
        <v>18693</v>
      </c>
      <c r="BR461" s="665">
        <v>18693</v>
      </c>
      <c r="BS461" s="665">
        <v>18693</v>
      </c>
      <c r="BT461" s="665">
        <v>264802.65000000002</v>
      </c>
    </row>
    <row r="462" spans="1:72" ht="15" hidden="1" customHeight="1">
      <c r="A462" s="66" t="s">
        <v>2864</v>
      </c>
      <c r="B462" s="66"/>
      <c r="C462" s="66" t="s">
        <v>1048</v>
      </c>
      <c r="D462" s="66" t="s">
        <v>2865</v>
      </c>
      <c r="E462" s="150" t="s">
        <v>1136</v>
      </c>
      <c r="F462" s="482" t="s">
        <v>1566</v>
      </c>
      <c r="G462" s="150" t="s">
        <v>1566</v>
      </c>
      <c r="H462" s="150" t="s">
        <v>1566</v>
      </c>
      <c r="I462" s="150" t="s">
        <v>1567</v>
      </c>
      <c r="J462" s="150" t="s">
        <v>1567</v>
      </c>
      <c r="K462" s="150" t="s">
        <v>1567</v>
      </c>
      <c r="L462" s="511" t="s">
        <v>1037</v>
      </c>
      <c r="M462" s="392" t="s">
        <v>1049</v>
      </c>
      <c r="N462" s="343"/>
      <c r="O462" s="343"/>
      <c r="P462" s="70" t="s">
        <v>1049</v>
      </c>
      <c r="Q462" s="346"/>
      <c r="R462" s="346" t="s">
        <v>1140</v>
      </c>
      <c r="S462" s="346"/>
      <c r="T462" s="150" t="s">
        <v>44</v>
      </c>
      <c r="U462" s="150"/>
      <c r="V462" s="643"/>
      <c r="W462" s="659">
        <v>285714.29000400001</v>
      </c>
      <c r="X462" s="659">
        <v>214285.71750299999</v>
      </c>
      <c r="Y462" s="656"/>
      <c r="Z462" s="657"/>
      <c r="AA462" s="714"/>
      <c r="AB462" s="429"/>
      <c r="AC462" s="429"/>
      <c r="AD462" s="428" t="s">
        <v>1142</v>
      </c>
      <c r="AE462" s="429">
        <v>0</v>
      </c>
      <c r="AF462" s="429">
        <v>0</v>
      </c>
      <c r="AG462" s="667">
        <v>23809.524167</v>
      </c>
      <c r="AH462" s="667">
        <v>23809.524167</v>
      </c>
      <c r="AI462" s="667">
        <v>23809.524167</v>
      </c>
      <c r="AJ462" s="667">
        <v>23809.524167</v>
      </c>
      <c r="AK462" s="667">
        <v>23809.524167</v>
      </c>
      <c r="AL462" s="667">
        <v>23809.524167</v>
      </c>
      <c r="AM462" s="667">
        <f t="shared" si="27"/>
        <v>142857.145002</v>
      </c>
      <c r="AN462" s="651">
        <f>ERP_27[[#This Row],[2026 Working Total]]-ERP_27[[#This Row],[LE2 Final Submission]]</f>
        <v>-71428.572500999988</v>
      </c>
      <c r="AO462" s="665">
        <v>23809.524167</v>
      </c>
      <c r="AP462" s="665">
        <f t="shared" si="29"/>
        <v>-23809.524167</v>
      </c>
      <c r="AQ462" s="374">
        <f>SUM(ERP_27[[#This Row],[AP01]:[AP06]])-SUM(ERP_27[[#This Row],[AP01 LE2]:[AP06 LE2]])</f>
        <v>-71428.572501000002</v>
      </c>
      <c r="AR462" s="653"/>
      <c r="AS462" s="652">
        <f>ERP_27[[#This Row],[2026 Working Total to Budget/LE]]-ERP_27[[#This Row],[Giveback]]</f>
        <v>-71428.572500999988</v>
      </c>
      <c r="AT462" s="654"/>
      <c r="AU462" s="655"/>
      <c r="AV462" s="655"/>
      <c r="AW462" s="655"/>
      <c r="AX462" s="655">
        <v>23809.524167</v>
      </c>
      <c r="AY462" s="655">
        <v>23809.524167</v>
      </c>
      <c r="AZ462" s="655">
        <v>23809.524167</v>
      </c>
      <c r="BA462" s="655">
        <v>23809.524167</v>
      </c>
      <c r="BB462" s="655">
        <v>23809.524167</v>
      </c>
      <c r="BC462" s="655">
        <v>23809.524167</v>
      </c>
      <c r="BD462" s="655">
        <v>23809.524167</v>
      </c>
      <c r="BE462" s="655">
        <v>23809.524167</v>
      </c>
      <c r="BF462" s="655">
        <v>23809.524167</v>
      </c>
      <c r="BG462" s="655">
        <v>214285.71750299999</v>
      </c>
      <c r="BH462" s="665"/>
      <c r="BI462" s="665"/>
      <c r="BJ462" s="665"/>
      <c r="BK462" s="665">
        <v>23809.524167</v>
      </c>
      <c r="BL462" s="665">
        <v>23809.524167</v>
      </c>
      <c r="BM462" s="665">
        <v>23809.524167</v>
      </c>
      <c r="BN462" s="665">
        <v>23809.524167</v>
      </c>
      <c r="BO462" s="665">
        <v>23809.524167</v>
      </c>
      <c r="BP462" s="665">
        <v>23809.524167</v>
      </c>
      <c r="BQ462" s="665">
        <v>23809.524167</v>
      </c>
      <c r="BR462" s="665">
        <v>23809.524167</v>
      </c>
      <c r="BS462" s="665">
        <v>23809.524167</v>
      </c>
      <c r="BT462" s="665">
        <v>214285.71750299999</v>
      </c>
    </row>
    <row r="463" spans="1:72" ht="15" hidden="1" customHeight="1">
      <c r="A463" s="79" t="s">
        <v>2647</v>
      </c>
      <c r="B463" s="79"/>
      <c r="C463" s="79" t="s">
        <v>900</v>
      </c>
      <c r="D463" s="296" t="s">
        <v>2648</v>
      </c>
      <c r="E463" s="150" t="s">
        <v>1136</v>
      </c>
      <c r="F463" s="482" t="s">
        <v>1566</v>
      </c>
      <c r="G463" s="383" t="s">
        <v>1344</v>
      </c>
      <c r="H463" s="383" t="s">
        <v>1344</v>
      </c>
      <c r="I463" s="150" t="s">
        <v>1345</v>
      </c>
      <c r="J463" s="332" t="s">
        <v>1344</v>
      </c>
      <c r="K463" s="331" t="s">
        <v>1346</v>
      </c>
      <c r="L463" s="514" t="s">
        <v>639</v>
      </c>
      <c r="M463" s="394" t="s">
        <v>2649</v>
      </c>
      <c r="N463" s="343" t="s">
        <v>2649</v>
      </c>
      <c r="O463" s="333">
        <v>2320521</v>
      </c>
      <c r="P463" s="90"/>
      <c r="Q463" s="347"/>
      <c r="R463" s="343"/>
      <c r="S463" s="348"/>
      <c r="T463" s="348"/>
      <c r="U463" s="348" t="s">
        <v>2915</v>
      </c>
      <c r="V463" s="646"/>
      <c r="W463" s="358"/>
      <c r="X463" s="358">
        <v>143000</v>
      </c>
      <c r="Y463" s="669"/>
      <c r="Z463" s="657"/>
      <c r="AA463" s="714"/>
      <c r="AB463" s="429"/>
      <c r="AC463" s="429"/>
      <c r="AD463" s="429" t="s">
        <v>1142</v>
      </c>
      <c r="AE463" s="429">
        <v>0</v>
      </c>
      <c r="AF463" s="429">
        <v>0</v>
      </c>
      <c r="AG463" s="667"/>
      <c r="AH463" s="667">
        <v>124000</v>
      </c>
      <c r="AI463" s="667"/>
      <c r="AJ463" s="792">
        <v>19000</v>
      </c>
      <c r="AK463" s="667"/>
      <c r="AL463" s="667"/>
      <c r="AM463" s="667">
        <f t="shared" si="27"/>
        <v>143000</v>
      </c>
      <c r="AN463" s="651">
        <f>ERP_27[[#This Row],[2026 Working Total]]-ERP_27[[#This Row],[LE2 Final Submission]]</f>
        <v>0</v>
      </c>
      <c r="AO463" s="665"/>
      <c r="AP463" s="665">
        <f t="shared" si="29"/>
        <v>0</v>
      </c>
      <c r="AQ463" s="391">
        <f>SUM(ERP_27[[#This Row],[AP01]:[AP06]])-SUM(ERP_27[[#This Row],[AP01 LE2]:[AP06 LE2]])</f>
        <v>0</v>
      </c>
      <c r="AR463" s="670"/>
      <c r="AS463" s="665">
        <f>ERP_27[[#This Row],[2026 Working Total to Budget/LE]]-ERP_27[[#This Row],[Giveback]]</f>
        <v>0</v>
      </c>
      <c r="AT463" s="671"/>
      <c r="AU463" s="672"/>
      <c r="AV463" s="672"/>
      <c r="AW463" s="672"/>
      <c r="AX463" s="672"/>
      <c r="AY463" s="672"/>
      <c r="AZ463" s="672"/>
      <c r="BA463" s="672"/>
      <c r="BB463" s="672"/>
      <c r="BC463" s="672"/>
      <c r="BD463" s="672">
        <v>143000</v>
      </c>
      <c r="BE463" s="672"/>
      <c r="BF463" s="672"/>
      <c r="BG463" s="672">
        <v>143000</v>
      </c>
      <c r="BH463" s="665"/>
      <c r="BI463" s="665"/>
      <c r="BJ463" s="665"/>
      <c r="BK463" s="665"/>
      <c r="BL463" s="665"/>
      <c r="BM463" s="665"/>
      <c r="BN463" s="665"/>
      <c r="BO463" s="665"/>
      <c r="BP463" s="665"/>
      <c r="BQ463" s="665"/>
      <c r="BR463" s="665"/>
      <c r="BS463" s="665"/>
      <c r="BT463" s="665"/>
    </row>
    <row r="464" spans="1:72" ht="15" customHeight="1">
      <c r="A464" s="66" t="s">
        <v>1484</v>
      </c>
      <c r="B464" s="66"/>
      <c r="C464" s="66" t="s">
        <v>229</v>
      </c>
      <c r="D464" s="66" t="s">
        <v>1485</v>
      </c>
      <c r="E464" s="150" t="s">
        <v>1136</v>
      </c>
      <c r="F464" s="482" t="s">
        <v>1566</v>
      </c>
      <c r="G464" s="383" t="s">
        <v>1480</v>
      </c>
      <c r="H464" s="150" t="s">
        <v>1481</v>
      </c>
      <c r="I464" s="150" t="s">
        <v>1345</v>
      </c>
      <c r="J464" s="150" t="s">
        <v>1481</v>
      </c>
      <c r="K464" s="150" t="s">
        <v>1346</v>
      </c>
      <c r="L464" s="511" t="s">
        <v>49</v>
      </c>
      <c r="M464" s="392" t="s">
        <v>1486</v>
      </c>
      <c r="N464" s="343"/>
      <c r="O464" s="346" t="s">
        <v>1487</v>
      </c>
      <c r="P464" s="70" t="s">
        <v>230</v>
      </c>
      <c r="Q464" s="346"/>
      <c r="R464" s="346" t="s">
        <v>1488</v>
      </c>
      <c r="S464" s="346"/>
      <c r="T464" s="150" t="s">
        <v>25</v>
      </c>
      <c r="U464" s="184" t="s">
        <v>1489</v>
      </c>
      <c r="V464" s="643"/>
      <c r="W464" s="659">
        <v>0</v>
      </c>
      <c r="X464" s="659">
        <v>120000</v>
      </c>
      <c r="Y464" s="669"/>
      <c r="Z464" s="657"/>
      <c r="AA464" s="714">
        <v>0</v>
      </c>
      <c r="AB464" s="429">
        <v>0</v>
      </c>
      <c r="AC464" s="429">
        <v>0</v>
      </c>
      <c r="AD464" s="429">
        <v>39011.32</v>
      </c>
      <c r="AE464" s="429">
        <v>42012.189999999995</v>
      </c>
      <c r="AF464" s="429">
        <v>52515.23</v>
      </c>
      <c r="AG464" s="667">
        <v>13080</v>
      </c>
      <c r="AH464" s="667"/>
      <c r="AI464" s="667"/>
      <c r="AJ464" s="667"/>
      <c r="AK464" s="667"/>
      <c r="AL464" s="667"/>
      <c r="AM464" s="667">
        <f t="shared" si="27"/>
        <v>146618.74</v>
      </c>
      <c r="AN464" s="651">
        <f>ERP_27[[#This Row],[2026 Working Total]]-ERP_27[[#This Row],[LE2 Final Submission]]</f>
        <v>26618.739999999991</v>
      </c>
      <c r="AO464" s="665">
        <v>35640</v>
      </c>
      <c r="AP464" s="665">
        <f t="shared" si="29"/>
        <v>16875.230000000003</v>
      </c>
      <c r="AQ464" s="391">
        <f>SUM(ERP_27[[#This Row],[AP01]:[AP06]])-SUM(ERP_27[[#This Row],[AP01 LE2]:[AP06 LE2]])</f>
        <v>26618.739999999991</v>
      </c>
      <c r="AR464" s="670"/>
      <c r="AS464" s="665">
        <f>ERP_27[[#This Row],[2026 Working Total to Budget/LE]]-ERP_27[[#This Row],[Giveback]]</f>
        <v>26618.739999999991</v>
      </c>
      <c r="AT464" s="671" t="s">
        <v>1490</v>
      </c>
      <c r="AU464" s="672">
        <v>0</v>
      </c>
      <c r="AV464" s="672">
        <v>0</v>
      </c>
      <c r="AW464" s="672">
        <v>0</v>
      </c>
      <c r="AX464" s="672">
        <v>35640</v>
      </c>
      <c r="AY464" s="672">
        <v>35640</v>
      </c>
      <c r="AZ464" s="672">
        <v>35640</v>
      </c>
      <c r="BA464" s="672">
        <v>13080</v>
      </c>
      <c r="BB464" s="672"/>
      <c r="BC464" s="672"/>
      <c r="BD464" s="672"/>
      <c r="BE464" s="672"/>
      <c r="BF464" s="672"/>
      <c r="BG464" s="672">
        <v>120000</v>
      </c>
      <c r="BH464" s="665"/>
      <c r="BI464" s="665"/>
      <c r="BJ464" s="665"/>
      <c r="BK464" s="665"/>
      <c r="BL464" s="665"/>
      <c r="BM464" s="665"/>
      <c r="BN464" s="665">
        <v>20000</v>
      </c>
      <c r="BO464" s="665">
        <v>20000</v>
      </c>
      <c r="BP464" s="665">
        <v>20000</v>
      </c>
      <c r="BQ464" s="665">
        <v>20000</v>
      </c>
      <c r="BR464" s="665">
        <v>20000</v>
      </c>
      <c r="BS464" s="665">
        <v>20000</v>
      </c>
      <c r="BT464" s="665">
        <v>120000</v>
      </c>
    </row>
    <row r="465" spans="1:72" ht="15" hidden="1" customHeight="1">
      <c r="A465" s="150" t="s">
        <v>1439</v>
      </c>
      <c r="B465" s="150"/>
      <c r="C465" s="536" t="s">
        <v>200</v>
      </c>
      <c r="D465" s="296" t="s">
        <v>200</v>
      </c>
      <c r="E465" s="150" t="s">
        <v>1136</v>
      </c>
      <c r="F465" s="482" t="s">
        <v>1566</v>
      </c>
      <c r="G465" s="150" t="s">
        <v>1345</v>
      </c>
      <c r="H465" s="150" t="s">
        <v>1345</v>
      </c>
      <c r="I465" s="150" t="s">
        <v>1345</v>
      </c>
      <c r="J465" s="150" t="s">
        <v>1345</v>
      </c>
      <c r="K465" s="150" t="s">
        <v>1345</v>
      </c>
      <c r="L465" s="514" t="s">
        <v>49</v>
      </c>
      <c r="M465" s="394" t="s">
        <v>1440</v>
      </c>
      <c r="N465" s="333"/>
      <c r="O465" s="332" t="s">
        <v>1441</v>
      </c>
      <c r="P465" s="90" t="s">
        <v>201</v>
      </c>
      <c r="Q465" s="347"/>
      <c r="R465" s="348" t="s">
        <v>1442</v>
      </c>
      <c r="S465" s="348"/>
      <c r="T465" s="348"/>
      <c r="U465" s="503" t="s">
        <v>2911</v>
      </c>
      <c r="V465" s="646"/>
      <c r="W465" s="659"/>
      <c r="X465" s="659"/>
      <c r="Y465" s="669"/>
      <c r="Z465" s="657"/>
      <c r="AA465" s="714"/>
      <c r="AB465" s="429"/>
      <c r="AC465" s="429"/>
      <c r="AD465" s="429"/>
      <c r="AE465" s="429">
        <v>50000</v>
      </c>
      <c r="AF465" s="429">
        <v>0</v>
      </c>
      <c r="AG465" s="667"/>
      <c r="AH465" s="667">
        <v>50000</v>
      </c>
      <c r="AI465" s="667"/>
      <c r="AJ465" s="667">
        <v>50000</v>
      </c>
      <c r="AK465" s="667"/>
      <c r="AL465" s="667"/>
      <c r="AM465" s="667">
        <f t="shared" si="27"/>
        <v>150000</v>
      </c>
      <c r="AN465" s="651">
        <f>ERP_27[[#This Row],[2026 Working Total]]-ERP_27[[#This Row],[LE2 Final Submission]]</f>
        <v>150000</v>
      </c>
      <c r="AO465" s="665"/>
      <c r="AP465" s="665">
        <f t="shared" si="29"/>
        <v>0</v>
      </c>
      <c r="AQ465" s="391">
        <f>SUM(ERP_27[[#This Row],[AP01]:[AP06]])-SUM(ERP_27[[#This Row],[AP01 LE2]:[AP06 LE2]])</f>
        <v>50000</v>
      </c>
      <c r="AR465" s="670"/>
      <c r="AS465" s="665">
        <f>ERP_27[[#This Row],[2026 Working Total to Budget/LE]]-ERP_27[[#This Row],[Giveback]]</f>
        <v>150000</v>
      </c>
      <c r="AT465" s="671"/>
      <c r="AU465" s="672"/>
      <c r="AV465" s="672"/>
      <c r="AW465" s="672"/>
      <c r="AX465" s="672"/>
      <c r="AY465" s="672"/>
      <c r="AZ465" s="672"/>
      <c r="BA465" s="672"/>
      <c r="BB465" s="672"/>
      <c r="BC465" s="672"/>
      <c r="BD465" s="672"/>
      <c r="BE465" s="672"/>
      <c r="BF465" s="672"/>
      <c r="BG465" s="672"/>
      <c r="BH465" s="665"/>
      <c r="BI465" s="665"/>
      <c r="BJ465" s="665"/>
      <c r="BK465" s="665"/>
      <c r="BL465" s="665"/>
      <c r="BM465" s="665"/>
      <c r="BN465" s="665"/>
      <c r="BO465" s="665"/>
      <c r="BP465" s="665"/>
      <c r="BQ465" s="665"/>
      <c r="BR465" s="665"/>
      <c r="BS465" s="665"/>
      <c r="BT465" s="665"/>
    </row>
    <row r="466" spans="1:72" ht="15" hidden="1" customHeight="1">
      <c r="A466" s="66" t="s">
        <v>2817</v>
      </c>
      <c r="B466" s="66"/>
      <c r="C466" s="66" t="s">
        <v>1023</v>
      </c>
      <c r="D466" s="66" t="s">
        <v>1023</v>
      </c>
      <c r="E466" s="150" t="s">
        <v>1136</v>
      </c>
      <c r="F466" s="482" t="s">
        <v>1566</v>
      </c>
      <c r="G466" s="150" t="s">
        <v>1650</v>
      </c>
      <c r="H466" s="150" t="s">
        <v>1650</v>
      </c>
      <c r="I466" s="150" t="s">
        <v>1650</v>
      </c>
      <c r="J466" s="150" t="s">
        <v>1650</v>
      </c>
      <c r="K466" s="150" t="s">
        <v>1650</v>
      </c>
      <c r="L466" s="511" t="s">
        <v>639</v>
      </c>
      <c r="M466" s="392" t="s">
        <v>2818</v>
      </c>
      <c r="N466" s="343"/>
      <c r="O466" s="343"/>
      <c r="P466" s="70" t="s">
        <v>1024</v>
      </c>
      <c r="Q466" s="346"/>
      <c r="R466" s="343"/>
      <c r="S466" s="346"/>
      <c r="T466" s="150" t="s">
        <v>25</v>
      </c>
      <c r="U466" s="150"/>
      <c r="V466" s="643"/>
      <c r="W466" s="659">
        <v>156778.01999999999</v>
      </c>
      <c r="X466" s="659">
        <v>156778.01999999999</v>
      </c>
      <c r="Y466" s="669"/>
      <c r="Z466" s="657"/>
      <c r="AA466" s="714">
        <v>10768</v>
      </c>
      <c r="AB466" s="429">
        <v>146010.01999999999</v>
      </c>
      <c r="AC466" s="429">
        <v>0</v>
      </c>
      <c r="AD466" s="429">
        <v>0</v>
      </c>
      <c r="AE466" s="429">
        <v>0</v>
      </c>
      <c r="AF466" s="429">
        <v>0</v>
      </c>
      <c r="AG466" s="667">
        <v>0</v>
      </c>
      <c r="AH466" s="667">
        <v>0</v>
      </c>
      <c r="AI466" s="667">
        <v>0</v>
      </c>
      <c r="AJ466" s="667">
        <v>0</v>
      </c>
      <c r="AK466" s="667">
        <v>0</v>
      </c>
      <c r="AL466" s="667">
        <v>0</v>
      </c>
      <c r="AM466" s="667">
        <f t="shared" si="27"/>
        <v>156778.01999999999</v>
      </c>
      <c r="AN466" s="651">
        <f>ERP_27[[#This Row],[2026 Working Total]]-ERP_27[[#This Row],[LE2 Final Submission]]</f>
        <v>0</v>
      </c>
      <c r="AO466" s="665">
        <v>0</v>
      </c>
      <c r="AP466" s="665">
        <f t="shared" si="29"/>
        <v>0</v>
      </c>
      <c r="AQ466" s="391">
        <f>SUM(ERP_27[[#This Row],[AP01]:[AP06]])-SUM(ERP_27[[#This Row],[AP01 LE2]:[AP06 LE2]])</f>
        <v>0</v>
      </c>
      <c r="AR466" s="670"/>
      <c r="AS466" s="665">
        <f>ERP_27[[#This Row],[2026 Working Total to Budget/LE]]-ERP_27[[#This Row],[Giveback]]</f>
        <v>0</v>
      </c>
      <c r="AT466" s="671"/>
      <c r="AU466" s="672">
        <v>10768</v>
      </c>
      <c r="AV466" s="672">
        <v>146010.01999999999</v>
      </c>
      <c r="AW466" s="672">
        <v>0</v>
      </c>
      <c r="AX466" s="672">
        <v>0</v>
      </c>
      <c r="AY466" s="672">
        <v>0</v>
      </c>
      <c r="AZ466" s="672">
        <v>0</v>
      </c>
      <c r="BA466" s="672">
        <v>0</v>
      </c>
      <c r="BB466" s="672">
        <v>0</v>
      </c>
      <c r="BC466" s="672">
        <v>0</v>
      </c>
      <c r="BD466" s="672">
        <v>0</v>
      </c>
      <c r="BE466" s="672">
        <v>0</v>
      </c>
      <c r="BF466" s="672">
        <v>0</v>
      </c>
      <c r="BG466" s="672">
        <v>156778.01999999999</v>
      </c>
      <c r="BH466" s="665">
        <v>10768</v>
      </c>
      <c r="BI466" s="665">
        <v>146010.01999999999</v>
      </c>
      <c r="BJ466" s="665">
        <v>0</v>
      </c>
      <c r="BK466" s="665">
        <v>0</v>
      </c>
      <c r="BL466" s="665">
        <v>0</v>
      </c>
      <c r="BM466" s="665">
        <v>0</v>
      </c>
      <c r="BN466" s="665">
        <v>0</v>
      </c>
      <c r="BO466" s="665">
        <v>0</v>
      </c>
      <c r="BP466" s="665">
        <v>0</v>
      </c>
      <c r="BQ466" s="665">
        <v>0</v>
      </c>
      <c r="BR466" s="665">
        <v>0</v>
      </c>
      <c r="BS466" s="665">
        <v>0</v>
      </c>
      <c r="BT466" s="665">
        <v>156778.01999999999</v>
      </c>
    </row>
    <row r="467" spans="1:72" ht="15" hidden="1" customHeight="1">
      <c r="A467" s="66" t="s">
        <v>1258</v>
      </c>
      <c r="B467" s="66"/>
      <c r="C467" s="66" t="s">
        <v>108</v>
      </c>
      <c r="D467" s="66" t="s">
        <v>108</v>
      </c>
      <c r="E467" s="150" t="s">
        <v>1136</v>
      </c>
      <c r="F467" s="482" t="s">
        <v>1566</v>
      </c>
      <c r="G467" s="150" t="s">
        <v>1135</v>
      </c>
      <c r="H467" s="150" t="s">
        <v>1135</v>
      </c>
      <c r="I467" s="150" t="s">
        <v>1135</v>
      </c>
      <c r="J467" s="150" t="s">
        <v>1135</v>
      </c>
      <c r="K467" s="150" t="s">
        <v>1137</v>
      </c>
      <c r="L467" s="511" t="s">
        <v>49</v>
      </c>
      <c r="M467" s="392" t="s">
        <v>1259</v>
      </c>
      <c r="N467" s="343" t="s">
        <v>1206</v>
      </c>
      <c r="O467" s="346" t="s">
        <v>1171</v>
      </c>
      <c r="P467" s="70" t="s">
        <v>109</v>
      </c>
      <c r="Q467" s="346"/>
      <c r="R467" s="346" t="s">
        <v>1260</v>
      </c>
      <c r="S467" s="346"/>
      <c r="T467" s="150" t="s">
        <v>25</v>
      </c>
      <c r="U467" s="150"/>
      <c r="V467" s="643"/>
      <c r="W467" s="659">
        <v>222000</v>
      </c>
      <c r="X467" s="659">
        <v>134302.39999999999</v>
      </c>
      <c r="Y467" s="669"/>
      <c r="Z467" s="657"/>
      <c r="AA467" s="714"/>
      <c r="AB467" s="429">
        <v>72114.23</v>
      </c>
      <c r="AC467" s="429">
        <v>40652.339999999997</v>
      </c>
      <c r="AD467" s="429">
        <v>64472.479999999989</v>
      </c>
      <c r="AE467" s="429">
        <v>-4813.7299999999959</v>
      </c>
      <c r="AF467" s="429">
        <v>-14788.650000000001</v>
      </c>
      <c r="AG467" s="667">
        <v>0</v>
      </c>
      <c r="AH467" s="667">
        <v>0</v>
      </c>
      <c r="AI467" s="667">
        <v>0</v>
      </c>
      <c r="AJ467" s="667">
        <v>0</v>
      </c>
      <c r="AK467" s="667">
        <v>0</v>
      </c>
      <c r="AL467" s="667">
        <v>0</v>
      </c>
      <c r="AM467" s="667">
        <f t="shared" ref="AM467:AM530" si="30">SUM(AA467:AL467)</f>
        <v>157636.67000000001</v>
      </c>
      <c r="AN467" s="651">
        <f>ERP_27[[#This Row],[2026 Working Total]]-ERP_27[[#This Row],[LE2 Final Submission]]</f>
        <v>23334.270000000019</v>
      </c>
      <c r="AO467" s="665">
        <v>33359.4</v>
      </c>
      <c r="AP467" s="665">
        <f t="shared" si="29"/>
        <v>-48148.05</v>
      </c>
      <c r="AQ467" s="391">
        <f>SUM(ERP_27[[#This Row],[AP01]:[AP06]])-SUM(ERP_27[[#This Row],[AP01 LE2]:[AP06 LE2]])</f>
        <v>23334.270000000019</v>
      </c>
      <c r="AR467" s="670"/>
      <c r="AS467" s="665">
        <f>ERP_27[[#This Row],[2026 Working Total to Budget/LE]]-ERP_27[[#This Row],[Giveback]]</f>
        <v>23334.270000000019</v>
      </c>
      <c r="AT467" s="671"/>
      <c r="AU467" s="672"/>
      <c r="AV467" s="672">
        <v>72114.23</v>
      </c>
      <c r="AW467" s="672">
        <v>40652.339999999997</v>
      </c>
      <c r="AX467" s="672">
        <v>-11823.57</v>
      </c>
      <c r="AY467" s="672">
        <v>33359.4</v>
      </c>
      <c r="AZ467" s="672"/>
      <c r="BA467" s="672">
        <v>0</v>
      </c>
      <c r="BB467" s="672">
        <v>0</v>
      </c>
      <c r="BC467" s="672">
        <v>0</v>
      </c>
      <c r="BD467" s="672">
        <v>0</v>
      </c>
      <c r="BE467" s="672">
        <v>0</v>
      </c>
      <c r="BF467" s="672">
        <v>0</v>
      </c>
      <c r="BG467" s="672">
        <v>134302.39999999999</v>
      </c>
      <c r="BH467" s="665"/>
      <c r="BI467" s="665">
        <v>72114.23</v>
      </c>
      <c r="BJ467" s="665">
        <v>40652.339999999997</v>
      </c>
      <c r="BK467" s="665">
        <v>37000</v>
      </c>
      <c r="BL467" s="665">
        <v>37000</v>
      </c>
      <c r="BM467" s="665">
        <v>37000</v>
      </c>
      <c r="BN467" s="665">
        <v>0</v>
      </c>
      <c r="BO467" s="665">
        <v>0</v>
      </c>
      <c r="BP467" s="665">
        <v>0</v>
      </c>
      <c r="BQ467" s="665">
        <v>0</v>
      </c>
      <c r="BR467" s="665">
        <v>0</v>
      </c>
      <c r="BS467" s="665">
        <v>0</v>
      </c>
      <c r="BT467" s="665">
        <v>223766.57</v>
      </c>
    </row>
    <row r="468" spans="1:72" ht="15" hidden="1" customHeight="1">
      <c r="A468" s="66" t="s">
        <v>2567</v>
      </c>
      <c r="B468" s="66"/>
      <c r="C468" s="66" t="s">
        <v>879</v>
      </c>
      <c r="D468" s="66" t="s">
        <v>879</v>
      </c>
      <c r="E468" s="150" t="s">
        <v>1136</v>
      </c>
      <c r="F468" s="482" t="s">
        <v>1566</v>
      </c>
      <c r="G468" s="150" t="s">
        <v>1135</v>
      </c>
      <c r="H468" s="150" t="s">
        <v>1135</v>
      </c>
      <c r="I468" s="150" t="s">
        <v>1135</v>
      </c>
      <c r="J468" s="150" t="s">
        <v>1135</v>
      </c>
      <c r="K468" s="150" t="s">
        <v>1137</v>
      </c>
      <c r="L468" s="511" t="s">
        <v>639</v>
      </c>
      <c r="M468" s="392" t="s">
        <v>2568</v>
      </c>
      <c r="N468" s="343"/>
      <c r="O468" s="343"/>
      <c r="P468" s="70" t="s">
        <v>880</v>
      </c>
      <c r="Q468" s="346"/>
      <c r="R468" s="346" t="s">
        <v>2569</v>
      </c>
      <c r="S468" s="346"/>
      <c r="T468" s="150" t="s">
        <v>64</v>
      </c>
      <c r="U468" s="150"/>
      <c r="V468" s="643"/>
      <c r="W468" s="659">
        <v>144819</v>
      </c>
      <c r="X468" s="659">
        <v>144819</v>
      </c>
      <c r="Y468" s="669"/>
      <c r="Z468" s="657"/>
      <c r="AA468" s="714"/>
      <c r="AB468" s="429"/>
      <c r="AC468" s="429"/>
      <c r="AD468" s="429" t="s">
        <v>1142</v>
      </c>
      <c r="AE468" s="429">
        <v>0</v>
      </c>
      <c r="AF468" s="429">
        <v>159302.39999999999</v>
      </c>
      <c r="AG468" s="667">
        <v>0</v>
      </c>
      <c r="AH468" s="667">
        <v>0</v>
      </c>
      <c r="AI468" s="667">
        <v>0</v>
      </c>
      <c r="AJ468" s="667">
        <v>0</v>
      </c>
      <c r="AK468" s="667">
        <v>0</v>
      </c>
      <c r="AL468" s="667">
        <v>0</v>
      </c>
      <c r="AM468" s="667">
        <f t="shared" si="30"/>
        <v>159302.39999999999</v>
      </c>
      <c r="AN468" s="651">
        <f>ERP_27[[#This Row],[2026 Working Total]]-ERP_27[[#This Row],[LE2 Final Submission]]</f>
        <v>14483.399999999994</v>
      </c>
      <c r="AO468" s="665">
        <v>144819</v>
      </c>
      <c r="AP468" s="665">
        <f t="shared" si="29"/>
        <v>14483.399999999994</v>
      </c>
      <c r="AQ468" s="391">
        <f>SUM(ERP_27[[#This Row],[AP01]:[AP06]])-SUM(ERP_27[[#This Row],[AP01 LE2]:[AP06 LE2]])</f>
        <v>14483.399999999994</v>
      </c>
      <c r="AR468" s="670"/>
      <c r="AS468" s="665">
        <f>ERP_27[[#This Row],[2026 Working Total to Budget/LE]]-ERP_27[[#This Row],[Giveback]]</f>
        <v>14483.399999999994</v>
      </c>
      <c r="AT468" s="671"/>
      <c r="AU468" s="672"/>
      <c r="AV468" s="672"/>
      <c r="AW468" s="672"/>
      <c r="AX468" s="672"/>
      <c r="AY468" s="672">
        <v>144819</v>
      </c>
      <c r="AZ468" s="672">
        <v>0</v>
      </c>
      <c r="BA468" s="672">
        <v>0</v>
      </c>
      <c r="BB468" s="672">
        <v>0</v>
      </c>
      <c r="BC468" s="672">
        <v>0</v>
      </c>
      <c r="BD468" s="672">
        <v>0</v>
      </c>
      <c r="BE468" s="672">
        <v>0</v>
      </c>
      <c r="BF468" s="672">
        <v>0</v>
      </c>
      <c r="BG468" s="672">
        <v>144819</v>
      </c>
      <c r="BH468" s="665"/>
      <c r="BI468" s="665"/>
      <c r="BJ468" s="665"/>
      <c r="BK468" s="665">
        <v>144819</v>
      </c>
      <c r="BL468" s="665">
        <v>0</v>
      </c>
      <c r="BM468" s="665">
        <v>0</v>
      </c>
      <c r="BN468" s="665">
        <v>0</v>
      </c>
      <c r="BO468" s="665">
        <v>0</v>
      </c>
      <c r="BP468" s="665">
        <v>0</v>
      </c>
      <c r="BQ468" s="665">
        <v>0</v>
      </c>
      <c r="BR468" s="665">
        <v>0</v>
      </c>
      <c r="BS468" s="665">
        <v>0</v>
      </c>
      <c r="BT468" s="665">
        <v>144819</v>
      </c>
    </row>
    <row r="469" spans="1:72" ht="15" hidden="1" customHeight="1">
      <c r="A469" s="150" t="s">
        <v>1882</v>
      </c>
      <c r="B469" s="150"/>
      <c r="C469" s="536" t="s">
        <v>461</v>
      </c>
      <c r="D469" s="296" t="s">
        <v>1883</v>
      </c>
      <c r="E469" s="150" t="s">
        <v>1136</v>
      </c>
      <c r="F469" s="482" t="s">
        <v>1566</v>
      </c>
      <c r="G469" s="150" t="s">
        <v>1135</v>
      </c>
      <c r="H469" s="332" t="s">
        <v>1156</v>
      </c>
      <c r="I469" s="150" t="s">
        <v>1135</v>
      </c>
      <c r="J469" s="332" t="s">
        <v>1156</v>
      </c>
      <c r="K469" s="333" t="s">
        <v>1156</v>
      </c>
      <c r="L469" s="514" t="s">
        <v>389</v>
      </c>
      <c r="M469" s="394" t="s">
        <v>1884</v>
      </c>
      <c r="N469" s="401" t="s">
        <v>1885</v>
      </c>
      <c r="O469" s="332" t="s">
        <v>1804</v>
      </c>
      <c r="P469" s="90" t="s">
        <v>135</v>
      </c>
      <c r="Q469" s="347"/>
      <c r="R469" s="348" t="s">
        <v>1886</v>
      </c>
      <c r="S469" s="348"/>
      <c r="T469" s="348"/>
      <c r="U469" s="348"/>
      <c r="V469" s="646"/>
      <c r="W469" s="659"/>
      <c r="X469" s="659"/>
      <c r="Y469" s="669"/>
      <c r="Z469" s="657"/>
      <c r="AA469" s="714"/>
      <c r="AB469" s="429"/>
      <c r="AC469" s="429"/>
      <c r="AD469" s="429"/>
      <c r="AE469" s="429">
        <v>76500</v>
      </c>
      <c r="AF469" s="429">
        <v>12000</v>
      </c>
      <c r="AG469" s="667">
        <v>12000</v>
      </c>
      <c r="AH469" s="667">
        <v>12000</v>
      </c>
      <c r="AI469" s="667">
        <v>12000</v>
      </c>
      <c r="AJ469" s="667">
        <v>12000</v>
      </c>
      <c r="AK469" s="667">
        <v>12000</v>
      </c>
      <c r="AL469" s="667">
        <v>12000</v>
      </c>
      <c r="AM469" s="667">
        <f t="shared" si="30"/>
        <v>160500</v>
      </c>
      <c r="AN469" s="651">
        <f>ERP_27[[#This Row],[2026 Working Total]]-ERP_27[[#This Row],[LE2 Final Submission]]</f>
        <v>160500</v>
      </c>
      <c r="AO469" s="665"/>
      <c r="AP469" s="665">
        <f t="shared" si="29"/>
        <v>12000</v>
      </c>
      <c r="AQ469" s="391">
        <f>SUM(ERP_27[[#This Row],[AP01]:[AP06]])-SUM(ERP_27[[#This Row],[AP01 LE2]:[AP06 LE2]])</f>
        <v>88500</v>
      </c>
      <c r="AR469" s="670"/>
      <c r="AS469" s="665">
        <f>ERP_27[[#This Row],[2026 Working Total to Budget/LE]]-ERP_27[[#This Row],[Giveback]]</f>
        <v>160500</v>
      </c>
      <c r="AT469" s="671"/>
      <c r="AU469" s="672"/>
      <c r="AV469" s="672"/>
      <c r="AW469" s="672"/>
      <c r="AX469" s="672"/>
      <c r="AY469" s="672"/>
      <c r="AZ469" s="672"/>
      <c r="BA469" s="672"/>
      <c r="BB469" s="672"/>
      <c r="BC469" s="672"/>
      <c r="BD469" s="672"/>
      <c r="BE469" s="672"/>
      <c r="BF469" s="672"/>
      <c r="BG469" s="672"/>
      <c r="BH469" s="665"/>
      <c r="BI469" s="665"/>
      <c r="BJ469" s="665"/>
      <c r="BK469" s="665"/>
      <c r="BL469" s="665"/>
      <c r="BM469" s="665"/>
      <c r="BN469" s="665"/>
      <c r="BO469" s="665"/>
      <c r="BP469" s="665"/>
      <c r="BQ469" s="665"/>
      <c r="BR469" s="665"/>
      <c r="BS469" s="665"/>
      <c r="BT469" s="665"/>
    </row>
    <row r="470" spans="1:72" ht="15" hidden="1" customHeight="1">
      <c r="A470" s="66" t="s">
        <v>1197</v>
      </c>
      <c r="B470" s="66"/>
      <c r="C470" s="66" t="s">
        <v>70</v>
      </c>
      <c r="D470" s="66" t="s">
        <v>70</v>
      </c>
      <c r="E470" s="150" t="s">
        <v>1136</v>
      </c>
      <c r="F470" s="482" t="s">
        <v>1566</v>
      </c>
      <c r="G470" s="150" t="s">
        <v>1135</v>
      </c>
      <c r="H470" s="150" t="s">
        <v>1135</v>
      </c>
      <c r="I470" s="150" t="s">
        <v>1135</v>
      </c>
      <c r="J470" s="150" t="s">
        <v>1135</v>
      </c>
      <c r="K470" s="150" t="s">
        <v>1137</v>
      </c>
      <c r="L470" s="511" t="s">
        <v>49</v>
      </c>
      <c r="M470" s="392" t="s">
        <v>1198</v>
      </c>
      <c r="N470" s="343" t="s">
        <v>1190</v>
      </c>
      <c r="O470" s="346" t="s">
        <v>1171</v>
      </c>
      <c r="P470" s="70" t="s">
        <v>71</v>
      </c>
      <c r="Q470" s="346"/>
      <c r="R470" s="346" t="s">
        <v>1199</v>
      </c>
      <c r="S470" s="346"/>
      <c r="T470" s="150" t="s">
        <v>64</v>
      </c>
      <c r="U470" s="150"/>
      <c r="V470" s="643"/>
      <c r="W470" s="659">
        <v>230004</v>
      </c>
      <c r="X470" s="659">
        <v>211390.3</v>
      </c>
      <c r="Y470" s="669"/>
      <c r="Z470" s="657"/>
      <c r="AA470" s="714">
        <v>14973</v>
      </c>
      <c r="AB470" s="429">
        <v>18162.759999999998</v>
      </c>
      <c r="AC470" s="429">
        <v>19567.54</v>
      </c>
      <c r="AD470" s="429">
        <v>16769.23</v>
      </c>
      <c r="AE470" s="429">
        <v>16769.23</v>
      </c>
      <c r="AF470" s="429">
        <v>-21713.759999999998</v>
      </c>
      <c r="AG470" s="667">
        <v>17440</v>
      </c>
      <c r="AH470" s="667">
        <v>17440</v>
      </c>
      <c r="AI470" s="667">
        <v>17440</v>
      </c>
      <c r="AJ470" s="667">
        <v>17440</v>
      </c>
      <c r="AK470" s="667">
        <v>17440</v>
      </c>
      <c r="AL470" s="667">
        <v>17440</v>
      </c>
      <c r="AM470" s="667">
        <f t="shared" si="30"/>
        <v>169168</v>
      </c>
      <c r="AN470" s="651">
        <f>ERP_27[[#This Row],[2026 Working Total]]-ERP_27[[#This Row],[LE2 Final Submission]]</f>
        <v>-42222.299999999988</v>
      </c>
      <c r="AO470" s="665">
        <v>17440</v>
      </c>
      <c r="AP470" s="665">
        <f t="shared" si="29"/>
        <v>-39153.759999999995</v>
      </c>
      <c r="AQ470" s="391">
        <f>SUM(ERP_27[[#This Row],[AP01]:[AP06]])-SUM(ERP_27[[#This Row],[AP01 LE2]:[AP06 LE2]])</f>
        <v>-42222.299999999988</v>
      </c>
      <c r="AR470" s="670"/>
      <c r="AS470" s="665">
        <f>ERP_27[[#This Row],[2026 Working Total to Budget/LE]]-ERP_27[[#This Row],[Giveback]]</f>
        <v>-42222.299999999988</v>
      </c>
      <c r="AT470" s="671"/>
      <c r="AU470" s="672">
        <v>14973</v>
      </c>
      <c r="AV470" s="672">
        <v>18162.759999999998</v>
      </c>
      <c r="AW470" s="672">
        <v>19567.54</v>
      </c>
      <c r="AX470" s="672">
        <v>19167</v>
      </c>
      <c r="AY470" s="672">
        <v>17440</v>
      </c>
      <c r="AZ470" s="672">
        <v>17440</v>
      </c>
      <c r="BA470" s="672">
        <v>17440</v>
      </c>
      <c r="BB470" s="672">
        <v>17440</v>
      </c>
      <c r="BC470" s="672">
        <v>17440</v>
      </c>
      <c r="BD470" s="672">
        <v>17440</v>
      </c>
      <c r="BE470" s="672">
        <v>17440</v>
      </c>
      <c r="BF470" s="672">
        <v>17440</v>
      </c>
      <c r="BG470" s="672">
        <v>211390.3</v>
      </c>
      <c r="BH470" s="665">
        <v>14973</v>
      </c>
      <c r="BI470" s="665">
        <v>18162.759999999998</v>
      </c>
      <c r="BJ470" s="665">
        <v>19567.54</v>
      </c>
      <c r="BK470" s="665">
        <v>19167</v>
      </c>
      <c r="BL470" s="665">
        <v>19167</v>
      </c>
      <c r="BM470" s="665">
        <v>19167</v>
      </c>
      <c r="BN470" s="665">
        <v>19167</v>
      </c>
      <c r="BO470" s="665">
        <v>19167</v>
      </c>
      <c r="BP470" s="665">
        <v>19167</v>
      </c>
      <c r="BQ470" s="665">
        <v>19167</v>
      </c>
      <c r="BR470" s="665">
        <v>19167</v>
      </c>
      <c r="BS470" s="665">
        <v>19167</v>
      </c>
      <c r="BT470" s="665">
        <v>225206.3</v>
      </c>
    </row>
    <row r="471" spans="1:72" ht="15" customHeight="1">
      <c r="A471" s="66" t="s">
        <v>1478</v>
      </c>
      <c r="B471" s="66"/>
      <c r="C471" s="66" t="s">
        <v>228</v>
      </c>
      <c r="D471" s="66" t="s">
        <v>1479</v>
      </c>
      <c r="E471" s="150" t="s">
        <v>1136</v>
      </c>
      <c r="F471" s="482" t="s">
        <v>1566</v>
      </c>
      <c r="G471" s="383" t="s">
        <v>1480</v>
      </c>
      <c r="H471" s="150" t="s">
        <v>1481</v>
      </c>
      <c r="I471" s="150" t="s">
        <v>1345</v>
      </c>
      <c r="J471" s="150" t="s">
        <v>1481</v>
      </c>
      <c r="K471" s="150" t="s">
        <v>1346</v>
      </c>
      <c r="L471" s="511" t="s">
        <v>49</v>
      </c>
      <c r="M471" s="392" t="s">
        <v>1147</v>
      </c>
      <c r="N471" s="343"/>
      <c r="O471" s="343"/>
      <c r="P471" s="70" t="s">
        <v>53</v>
      </c>
      <c r="Q471" s="346" t="s">
        <v>1153</v>
      </c>
      <c r="R471" s="343"/>
      <c r="S471" s="346"/>
      <c r="T471" s="150" t="s">
        <v>25</v>
      </c>
      <c r="U471" s="150" t="s">
        <v>1483</v>
      </c>
      <c r="V471" s="643"/>
      <c r="W471" s="659">
        <v>0</v>
      </c>
      <c r="X471" s="659">
        <v>0</v>
      </c>
      <c r="Y471" s="669"/>
      <c r="Z471" s="657"/>
      <c r="AA471" s="714">
        <v>279973</v>
      </c>
      <c r="AB471" s="429">
        <v>-451174</v>
      </c>
      <c r="AC471" s="429">
        <v>173459</v>
      </c>
      <c r="AD471" s="429">
        <v>771452.00000000012</v>
      </c>
      <c r="AE471" s="429">
        <v>-143797.00000000006</v>
      </c>
      <c r="AF471" s="429">
        <v>-449247</v>
      </c>
      <c r="AG471" s="667">
        <v>0</v>
      </c>
      <c r="AH471" s="667">
        <v>0</v>
      </c>
      <c r="AI471" s="667">
        <v>0</v>
      </c>
      <c r="AJ471" s="667">
        <v>0</v>
      </c>
      <c r="AK471" s="667">
        <v>0</v>
      </c>
      <c r="AL471" s="667">
        <v>0</v>
      </c>
      <c r="AM471" s="667">
        <f t="shared" si="30"/>
        <v>180666</v>
      </c>
      <c r="AN471" s="651">
        <f>ERP_27[[#This Row],[2026 Working Total]]-ERP_27[[#This Row],[LE2 Final Submission]]</f>
        <v>180666</v>
      </c>
      <c r="AO471" s="665">
        <v>-773710</v>
      </c>
      <c r="AP471" s="665">
        <f t="shared" si="29"/>
        <v>324463</v>
      </c>
      <c r="AQ471" s="391">
        <f>SUM(ERP_27[[#This Row],[AP01]:[AP06]])-SUM(ERP_27[[#This Row],[AP01 LE2]:[AP06 LE2]])</f>
        <v>180666</v>
      </c>
      <c r="AR471" s="670"/>
      <c r="AS471" s="665">
        <f>ERP_27[[#This Row],[2026 Working Total to Budget/LE]]-ERP_27[[#This Row],[Giveback]]</f>
        <v>180666</v>
      </c>
      <c r="AT471" s="671"/>
      <c r="AU471" s="672">
        <v>279973</v>
      </c>
      <c r="AV471" s="672">
        <v>-451174</v>
      </c>
      <c r="AW471" s="672">
        <v>173459</v>
      </c>
      <c r="AX471" s="672">
        <v>771452</v>
      </c>
      <c r="AY471" s="672">
        <v>-773710</v>
      </c>
      <c r="AZ471" s="672">
        <v>0</v>
      </c>
      <c r="BA471" s="672">
        <v>0</v>
      </c>
      <c r="BB471" s="672">
        <v>0</v>
      </c>
      <c r="BC471" s="672">
        <v>0</v>
      </c>
      <c r="BD471" s="672">
        <v>0</v>
      </c>
      <c r="BE471" s="672">
        <v>0</v>
      </c>
      <c r="BF471" s="672">
        <v>0</v>
      </c>
      <c r="BG471" s="672">
        <v>0</v>
      </c>
      <c r="BH471" s="665">
        <v>279973</v>
      </c>
      <c r="BI471" s="665">
        <v>-451174</v>
      </c>
      <c r="BJ471" s="665">
        <v>173459</v>
      </c>
      <c r="BK471" s="665">
        <v>0</v>
      </c>
      <c r="BL471" s="665">
        <v>51201</v>
      </c>
      <c r="BM471" s="665">
        <v>0</v>
      </c>
      <c r="BN471" s="665">
        <v>0</v>
      </c>
      <c r="BO471" s="665">
        <v>0</v>
      </c>
      <c r="BP471" s="665">
        <v>0</v>
      </c>
      <c r="BQ471" s="665">
        <v>0</v>
      </c>
      <c r="BR471" s="665">
        <v>0</v>
      </c>
      <c r="BS471" s="665">
        <v>0</v>
      </c>
      <c r="BT471" s="665">
        <v>53459</v>
      </c>
    </row>
    <row r="472" spans="1:72" ht="15" hidden="1" customHeight="1">
      <c r="A472" s="66" t="s">
        <v>2550</v>
      </c>
      <c r="B472" s="66"/>
      <c r="C472" s="66" t="s">
        <v>866</v>
      </c>
      <c r="D472" s="66" t="s">
        <v>866</v>
      </c>
      <c r="E472" s="150" t="s">
        <v>1136</v>
      </c>
      <c r="F472" s="482" t="s">
        <v>1566</v>
      </c>
      <c r="G472" s="150" t="s">
        <v>1135</v>
      </c>
      <c r="H472" s="150" t="s">
        <v>1135</v>
      </c>
      <c r="I472" s="150" t="s">
        <v>1135</v>
      </c>
      <c r="J472" s="150" t="s">
        <v>1135</v>
      </c>
      <c r="K472" s="150" t="s">
        <v>1137</v>
      </c>
      <c r="L472" s="511" t="s">
        <v>639</v>
      </c>
      <c r="M472" s="392" t="s">
        <v>2551</v>
      </c>
      <c r="N472" s="343" t="s">
        <v>1167</v>
      </c>
      <c r="O472" s="346" t="s">
        <v>1171</v>
      </c>
      <c r="P472" s="70" t="s">
        <v>867</v>
      </c>
      <c r="Q472" s="346"/>
      <c r="R472" s="346" t="s">
        <v>2552</v>
      </c>
      <c r="S472" s="346"/>
      <c r="T472" s="150" t="s">
        <v>64</v>
      </c>
      <c r="U472" s="150"/>
      <c r="V472" s="643"/>
      <c r="W472" s="659">
        <v>207900</v>
      </c>
      <c r="X472" s="659">
        <v>196875</v>
      </c>
      <c r="Y472" s="669"/>
      <c r="Z472" s="657"/>
      <c r="AA472" s="714">
        <v>15750</v>
      </c>
      <c r="AB472" s="429">
        <v>15750</v>
      </c>
      <c r="AC472" s="429">
        <v>15750</v>
      </c>
      <c r="AD472" s="429">
        <v>15750</v>
      </c>
      <c r="AE472" s="429">
        <v>15750</v>
      </c>
      <c r="AF472" s="429">
        <v>15750</v>
      </c>
      <c r="AG472" s="667">
        <v>15750</v>
      </c>
      <c r="AH472" s="667">
        <v>17325</v>
      </c>
      <c r="AI472" s="667">
        <v>17325</v>
      </c>
      <c r="AJ472" s="667">
        <v>17325</v>
      </c>
      <c r="AK472" s="667">
        <v>17325</v>
      </c>
      <c r="AL472" s="667">
        <v>17325</v>
      </c>
      <c r="AM472" s="667">
        <f t="shared" si="30"/>
        <v>196875</v>
      </c>
      <c r="AN472" s="651">
        <f>ERP_27[[#This Row],[2026 Working Total]]-ERP_27[[#This Row],[LE2 Final Submission]]</f>
        <v>0</v>
      </c>
      <c r="AO472" s="665">
        <v>15750</v>
      </c>
      <c r="AP472" s="665">
        <f t="shared" si="29"/>
        <v>0</v>
      </c>
      <c r="AQ472" s="391">
        <f>SUM(ERP_27[[#This Row],[AP01]:[AP06]])-SUM(ERP_27[[#This Row],[AP01 LE2]:[AP06 LE2]])</f>
        <v>0</v>
      </c>
      <c r="AR472" s="670"/>
      <c r="AS472" s="665">
        <f>ERP_27[[#This Row],[2026 Working Total to Budget/LE]]-ERP_27[[#This Row],[Giveback]]</f>
        <v>0</v>
      </c>
      <c r="AT472" s="671"/>
      <c r="AU472" s="672">
        <v>15750</v>
      </c>
      <c r="AV472" s="672">
        <v>15750</v>
      </c>
      <c r="AW472" s="672">
        <v>15750</v>
      </c>
      <c r="AX472" s="672">
        <v>15750</v>
      </c>
      <c r="AY472" s="672">
        <v>15750</v>
      </c>
      <c r="AZ472" s="672">
        <v>15750</v>
      </c>
      <c r="BA472" s="672">
        <v>15750</v>
      </c>
      <c r="BB472" s="672">
        <v>17325</v>
      </c>
      <c r="BC472" s="672">
        <v>17325</v>
      </c>
      <c r="BD472" s="672">
        <v>17325</v>
      </c>
      <c r="BE472" s="672">
        <v>17325</v>
      </c>
      <c r="BF472" s="672">
        <v>17325</v>
      </c>
      <c r="BG472" s="672">
        <v>196875</v>
      </c>
      <c r="BH472" s="665">
        <v>15750</v>
      </c>
      <c r="BI472" s="665">
        <v>15750</v>
      </c>
      <c r="BJ472" s="665">
        <v>15750</v>
      </c>
      <c r="BK472" s="665">
        <v>17325</v>
      </c>
      <c r="BL472" s="665">
        <v>17325</v>
      </c>
      <c r="BM472" s="665">
        <v>17325</v>
      </c>
      <c r="BN472" s="665">
        <v>17325</v>
      </c>
      <c r="BO472" s="665">
        <v>17325</v>
      </c>
      <c r="BP472" s="665">
        <v>17325</v>
      </c>
      <c r="BQ472" s="665">
        <v>17325</v>
      </c>
      <c r="BR472" s="665">
        <v>17325</v>
      </c>
      <c r="BS472" s="665">
        <v>17325</v>
      </c>
      <c r="BT472" s="665">
        <v>203175</v>
      </c>
    </row>
    <row r="473" spans="1:72" ht="15" hidden="1" customHeight="1">
      <c r="A473" s="66" t="s">
        <v>1456</v>
      </c>
      <c r="B473" s="66"/>
      <c r="C473" s="66" t="s">
        <v>207</v>
      </c>
      <c r="D473" s="66" t="s">
        <v>207</v>
      </c>
      <c r="E473" s="150" t="s">
        <v>1136</v>
      </c>
      <c r="F473" s="482" t="s">
        <v>1566</v>
      </c>
      <c r="G473" s="150" t="s">
        <v>1450</v>
      </c>
      <c r="H473" s="150" t="s">
        <v>1450</v>
      </c>
      <c r="I473" s="150" t="s">
        <v>1345</v>
      </c>
      <c r="J473" s="150" t="s">
        <v>1450</v>
      </c>
      <c r="K473" s="150" t="s">
        <v>1346</v>
      </c>
      <c r="L473" s="511" t="s">
        <v>49</v>
      </c>
      <c r="M473" s="392" t="s">
        <v>1457</v>
      </c>
      <c r="N473" s="343" t="s">
        <v>1387</v>
      </c>
      <c r="O473" s="346" t="s">
        <v>1451</v>
      </c>
      <c r="P473" s="70" t="s">
        <v>208</v>
      </c>
      <c r="Q473" s="346"/>
      <c r="R473" s="346" t="s">
        <v>1458</v>
      </c>
      <c r="S473" s="346"/>
      <c r="T473" s="150" t="s">
        <v>25</v>
      </c>
      <c r="U473" s="150"/>
      <c r="V473" s="643"/>
      <c r="W473" s="659">
        <v>270000</v>
      </c>
      <c r="X473" s="659">
        <v>201492</v>
      </c>
      <c r="Y473" s="669"/>
      <c r="Z473" s="657"/>
      <c r="AA473" s="714">
        <v>-5507.82</v>
      </c>
      <c r="AB473" s="429">
        <v>-0.18</v>
      </c>
      <c r="AC473" s="429">
        <v>0</v>
      </c>
      <c r="AD473" s="429">
        <v>92692.25</v>
      </c>
      <c r="AE473" s="429">
        <v>25462.14</v>
      </c>
      <c r="AF473" s="429">
        <v>31827.680000000008</v>
      </c>
      <c r="AG473" s="667">
        <v>0</v>
      </c>
      <c r="AH473" s="667">
        <v>5434</v>
      </c>
      <c r="AI473" s="667">
        <v>12523</v>
      </c>
      <c r="AJ473" s="667">
        <v>12523</v>
      </c>
      <c r="AK473" s="667">
        <v>12523</v>
      </c>
      <c r="AL473" s="667">
        <v>12523</v>
      </c>
      <c r="AM473" s="667">
        <f t="shared" si="30"/>
        <v>200000.07</v>
      </c>
      <c r="AN473" s="651">
        <f>ERP_27[[#This Row],[2026 Working Total]]-ERP_27[[#This Row],[LE2 Final Submission]]</f>
        <v>-1491.929999999993</v>
      </c>
      <c r="AO473" s="665">
        <v>0</v>
      </c>
      <c r="AP473" s="665">
        <f t="shared" si="29"/>
        <v>31827.680000000008</v>
      </c>
      <c r="AQ473" s="391">
        <f>SUM(ERP_27[[#This Row],[AP01]:[AP06]])-SUM(ERP_27[[#This Row],[AP01 LE2]:[AP06 LE2]])</f>
        <v>27982.070000000007</v>
      </c>
      <c r="AR473" s="670"/>
      <c r="AS473" s="665">
        <f>ERP_27[[#This Row],[2026 Working Total to Budget/LE]]-ERP_27[[#This Row],[Giveback]]</f>
        <v>-1491.929999999993</v>
      </c>
      <c r="AT473" s="671" t="s">
        <v>1455</v>
      </c>
      <c r="AU473" s="672">
        <v>-5507.82</v>
      </c>
      <c r="AV473" s="672">
        <v>-0.18</v>
      </c>
      <c r="AW473" s="672">
        <v>0</v>
      </c>
      <c r="AX473" s="672">
        <v>102000</v>
      </c>
      <c r="AY473" s="672">
        <v>0</v>
      </c>
      <c r="AZ473" s="672">
        <v>20000</v>
      </c>
      <c r="BA473" s="672">
        <v>20000</v>
      </c>
      <c r="BB473" s="672">
        <v>20000</v>
      </c>
      <c r="BC473" s="672">
        <v>15000</v>
      </c>
      <c r="BD473" s="672">
        <v>10000</v>
      </c>
      <c r="BE473" s="672">
        <v>10000</v>
      </c>
      <c r="BF473" s="672">
        <v>10000</v>
      </c>
      <c r="BG473" s="672">
        <v>201492</v>
      </c>
      <c r="BH473" s="665">
        <v>-5507.82</v>
      </c>
      <c r="BI473" s="665">
        <v>-0.18</v>
      </c>
      <c r="BJ473" s="665">
        <v>0</v>
      </c>
      <c r="BK473" s="665">
        <v>20000</v>
      </c>
      <c r="BL473" s="665">
        <v>20000</v>
      </c>
      <c r="BM473" s="665">
        <v>25000</v>
      </c>
      <c r="BN473" s="665">
        <v>30000</v>
      </c>
      <c r="BO473" s="665">
        <v>30000</v>
      </c>
      <c r="BP473" s="665">
        <v>30000</v>
      </c>
      <c r="BQ473" s="665">
        <v>30000</v>
      </c>
      <c r="BR473" s="665">
        <v>30000</v>
      </c>
      <c r="BS473" s="665">
        <v>30000</v>
      </c>
      <c r="BT473" s="665">
        <v>239492</v>
      </c>
    </row>
    <row r="474" spans="1:72" ht="15" hidden="1" customHeight="1">
      <c r="A474" s="66" t="s">
        <v>1188</v>
      </c>
      <c r="B474" s="66"/>
      <c r="C474" s="66" t="s">
        <v>65</v>
      </c>
      <c r="D474" s="66" t="s">
        <v>65</v>
      </c>
      <c r="E474" s="150" t="s">
        <v>1136</v>
      </c>
      <c r="F474" s="482" t="s">
        <v>1566</v>
      </c>
      <c r="G474" s="150" t="s">
        <v>1135</v>
      </c>
      <c r="H474" s="150" t="s">
        <v>1135</v>
      </c>
      <c r="I474" s="150" t="s">
        <v>1135</v>
      </c>
      <c r="J474" s="150" t="s">
        <v>1135</v>
      </c>
      <c r="K474" s="150" t="s">
        <v>1137</v>
      </c>
      <c r="L474" s="511" t="s">
        <v>49</v>
      </c>
      <c r="M474" s="392" t="s">
        <v>1189</v>
      </c>
      <c r="N474" s="343" t="s">
        <v>2910</v>
      </c>
      <c r="O474" s="346" t="s">
        <v>1191</v>
      </c>
      <c r="P474" s="70" t="s">
        <v>66</v>
      </c>
      <c r="Q474" s="346"/>
      <c r="R474" s="346" t="s">
        <v>1192</v>
      </c>
      <c r="S474" s="346"/>
      <c r="T474" s="150" t="s">
        <v>67</v>
      </c>
      <c r="U474" s="150"/>
      <c r="V474" s="643"/>
      <c r="W474" s="659">
        <v>216000</v>
      </c>
      <c r="X474" s="659">
        <v>197423.06</v>
      </c>
      <c r="Y474" s="669"/>
      <c r="Z474" s="657"/>
      <c r="AA474" s="714">
        <v>14166</v>
      </c>
      <c r="AB474" s="429">
        <v>18835.37</v>
      </c>
      <c r="AC474" s="429">
        <v>16863.689999999999</v>
      </c>
      <c r="AD474" s="429">
        <v>15866.15</v>
      </c>
      <c r="AE474" s="429">
        <v>15866.160000000003</v>
      </c>
      <c r="AF474" s="429">
        <v>19832.689999999999</v>
      </c>
      <c r="AG474" s="667">
        <v>17000</v>
      </c>
      <c r="AH474" s="667">
        <v>17000</v>
      </c>
      <c r="AI474" s="667">
        <v>17000</v>
      </c>
      <c r="AJ474" s="667">
        <v>17000</v>
      </c>
      <c r="AK474" s="667">
        <v>17000</v>
      </c>
      <c r="AL474" s="667">
        <v>17000</v>
      </c>
      <c r="AM474" s="667">
        <f t="shared" si="30"/>
        <v>203430.06</v>
      </c>
      <c r="AN474" s="651">
        <f>ERP_27[[#This Row],[2026 Working Total]]-ERP_27[[#This Row],[LE2 Final Submission]]</f>
        <v>6007</v>
      </c>
      <c r="AO474" s="665">
        <v>17000</v>
      </c>
      <c r="AP474" s="665">
        <f t="shared" si="29"/>
        <v>2832.6899999999987</v>
      </c>
      <c r="AQ474" s="391">
        <f>SUM(ERP_27[[#This Row],[AP01]:[AP06]])-SUM(ERP_27[[#This Row],[AP01 LE2]:[AP06 LE2]])</f>
        <v>6007</v>
      </c>
      <c r="AR474" s="670"/>
      <c r="AS474" s="665">
        <f>ERP_27[[#This Row],[2026 Working Total to Budget/LE]]-ERP_27[[#This Row],[Giveback]]</f>
        <v>6007</v>
      </c>
      <c r="AT474" s="671"/>
      <c r="AU474" s="672">
        <v>14166</v>
      </c>
      <c r="AV474" s="672">
        <v>18835.37</v>
      </c>
      <c r="AW474" s="672">
        <v>16863.689999999999</v>
      </c>
      <c r="AX474" s="672">
        <v>11558</v>
      </c>
      <c r="AY474" s="672">
        <v>17000</v>
      </c>
      <c r="AZ474" s="672">
        <v>17000</v>
      </c>
      <c r="BA474" s="672">
        <v>17000</v>
      </c>
      <c r="BB474" s="672">
        <v>17000</v>
      </c>
      <c r="BC474" s="672">
        <v>17000</v>
      </c>
      <c r="BD474" s="672">
        <v>17000</v>
      </c>
      <c r="BE474" s="672">
        <v>17000</v>
      </c>
      <c r="BF474" s="672">
        <v>17000</v>
      </c>
      <c r="BG474" s="672">
        <v>197423.06</v>
      </c>
      <c r="BH474" s="665">
        <v>14166</v>
      </c>
      <c r="BI474" s="665">
        <v>18835.37</v>
      </c>
      <c r="BJ474" s="665">
        <v>16863.689999999999</v>
      </c>
      <c r="BK474" s="665">
        <v>18000</v>
      </c>
      <c r="BL474" s="665">
        <v>18000</v>
      </c>
      <c r="BM474" s="665">
        <v>18000</v>
      </c>
      <c r="BN474" s="665">
        <v>18000</v>
      </c>
      <c r="BO474" s="665">
        <v>18000</v>
      </c>
      <c r="BP474" s="665">
        <v>18000</v>
      </c>
      <c r="BQ474" s="665">
        <v>18000</v>
      </c>
      <c r="BR474" s="665">
        <v>18000</v>
      </c>
      <c r="BS474" s="665">
        <v>18000</v>
      </c>
      <c r="BT474" s="665">
        <v>211865.06</v>
      </c>
    </row>
    <row r="475" spans="1:72" ht="15" hidden="1" customHeight="1">
      <c r="A475" s="66" t="s">
        <v>2210</v>
      </c>
      <c r="B475" s="66"/>
      <c r="C475" s="66" t="s">
        <v>643</v>
      </c>
      <c r="D475" s="66" t="s">
        <v>643</v>
      </c>
      <c r="E475" s="150" t="s">
        <v>1136</v>
      </c>
      <c r="F475" s="482" t="s">
        <v>1566</v>
      </c>
      <c r="G475" s="150" t="s">
        <v>1135</v>
      </c>
      <c r="H475" s="150" t="s">
        <v>1135</v>
      </c>
      <c r="I475" s="150" t="s">
        <v>1135</v>
      </c>
      <c r="J475" s="150" t="s">
        <v>1135</v>
      </c>
      <c r="K475" s="150" t="s">
        <v>1137</v>
      </c>
      <c r="L475" s="511" t="s">
        <v>639</v>
      </c>
      <c r="M475" s="392" t="s">
        <v>2211</v>
      </c>
      <c r="N475" s="343"/>
      <c r="O475" s="343"/>
      <c r="P475" s="157" t="s">
        <v>644</v>
      </c>
      <c r="Q475" s="346"/>
      <c r="R475" s="343"/>
      <c r="S475" s="346"/>
      <c r="T475" s="150" t="s">
        <v>152</v>
      </c>
      <c r="U475" s="150" t="s">
        <v>2212</v>
      </c>
      <c r="V475" s="643"/>
      <c r="W475" s="659">
        <v>204127.99999999994</v>
      </c>
      <c r="X475" s="659">
        <v>204128</v>
      </c>
      <c r="Y475" s="669"/>
      <c r="Z475" s="657"/>
      <c r="AA475" s="714"/>
      <c r="AB475" s="429"/>
      <c r="AC475" s="429"/>
      <c r="AD475" s="429" t="s">
        <v>1142</v>
      </c>
      <c r="AE475" s="429">
        <v>0</v>
      </c>
      <c r="AF475" s="429">
        <v>0</v>
      </c>
      <c r="AG475" s="667">
        <f>17010.67-17010.67</f>
        <v>0</v>
      </c>
      <c r="AH475" s="667">
        <f>17010.67-17010.67</f>
        <v>0</v>
      </c>
      <c r="AI475" s="667">
        <f>17010.67-17010.67</f>
        <v>0</v>
      </c>
      <c r="AJ475" s="667">
        <f>17010.67-17010.67+204128</f>
        <v>204128</v>
      </c>
      <c r="AK475" s="667">
        <f>17010.67-17010.67</f>
        <v>0</v>
      </c>
      <c r="AL475" s="667">
        <f>17010.67-17010.67</f>
        <v>0</v>
      </c>
      <c r="AM475" s="667">
        <f t="shared" si="30"/>
        <v>204128</v>
      </c>
      <c r="AN475" s="651">
        <f>ERP_27[[#This Row],[2026 Working Total]]-ERP_27[[#This Row],[LE2 Final Submission]]</f>
        <v>0</v>
      </c>
      <c r="AO475" s="665">
        <v>14200</v>
      </c>
      <c r="AP475" s="665">
        <f t="shared" si="29"/>
        <v>-14200</v>
      </c>
      <c r="AQ475" s="391">
        <f>SUM(ERP_27[[#This Row],[AP01]:[AP06]])-SUM(ERP_27[[#This Row],[AP01 LE2]:[AP06 LE2]])</f>
        <v>0</v>
      </c>
      <c r="AR475" s="670"/>
      <c r="AS475" s="665">
        <f>ERP_27[[#This Row],[2026 Working Total to Budget/LE]]-ERP_27[[#This Row],[Giveback]]</f>
        <v>0</v>
      </c>
      <c r="AT475" s="671"/>
      <c r="AU475" s="672"/>
      <c r="AV475" s="672"/>
      <c r="AW475" s="672"/>
      <c r="AX475" s="672">
        <v>0</v>
      </c>
      <c r="AY475" s="672">
        <v>0</v>
      </c>
      <c r="AZ475" s="672">
        <v>0</v>
      </c>
      <c r="BA475" s="672">
        <v>0</v>
      </c>
      <c r="BB475" s="672">
        <v>0</v>
      </c>
      <c r="BC475" s="672">
        <v>0</v>
      </c>
      <c r="BD475" s="672">
        <v>204128</v>
      </c>
      <c r="BE475" s="672">
        <v>0</v>
      </c>
      <c r="BF475" s="672">
        <v>0</v>
      </c>
      <c r="BG475" s="672">
        <v>204128</v>
      </c>
      <c r="BH475" s="665"/>
      <c r="BI475" s="665"/>
      <c r="BJ475" s="665"/>
      <c r="BK475" s="665">
        <v>17010.669999999998</v>
      </c>
      <c r="BL475" s="665">
        <v>17010.669999999998</v>
      </c>
      <c r="BM475" s="665">
        <v>17010.669999999998</v>
      </c>
      <c r="BN475" s="665">
        <v>17010.669999999998</v>
      </c>
      <c r="BO475" s="665">
        <v>17010.669999999998</v>
      </c>
      <c r="BP475" s="665">
        <v>17010.669999999998</v>
      </c>
      <c r="BQ475" s="665">
        <v>17010.669999999998</v>
      </c>
      <c r="BR475" s="665">
        <v>17010.669999999998</v>
      </c>
      <c r="BS475" s="665">
        <v>17010.669999999998</v>
      </c>
      <c r="BT475" s="665">
        <v>153096.02999999997</v>
      </c>
    </row>
    <row r="476" spans="1:72" ht="15" hidden="1" customHeight="1">
      <c r="A476" s="66" t="s">
        <v>1297</v>
      </c>
      <c r="B476" s="66"/>
      <c r="C476" s="66" t="s">
        <v>134</v>
      </c>
      <c r="D476" s="66" t="s">
        <v>1298</v>
      </c>
      <c r="E476" s="150" t="s">
        <v>1136</v>
      </c>
      <c r="F476" s="482" t="s">
        <v>1566</v>
      </c>
      <c r="G476" s="150" t="s">
        <v>1135</v>
      </c>
      <c r="H476" s="150" t="s">
        <v>1156</v>
      </c>
      <c r="I476" s="150" t="s">
        <v>1135</v>
      </c>
      <c r="J476" s="150" t="s">
        <v>1156</v>
      </c>
      <c r="K476" s="150" t="s">
        <v>1137</v>
      </c>
      <c r="L476" s="511" t="s">
        <v>49</v>
      </c>
      <c r="M476" s="392" t="s">
        <v>1299</v>
      </c>
      <c r="N476" s="343"/>
      <c r="O476" s="343">
        <v>2321511</v>
      </c>
      <c r="P476" s="70" t="s">
        <v>135</v>
      </c>
      <c r="Q476" s="346"/>
      <c r="R476" s="522" t="s">
        <v>1300</v>
      </c>
      <c r="S476" s="346"/>
      <c r="T476" s="150" t="s">
        <v>25</v>
      </c>
      <c r="U476" s="184" t="s">
        <v>1301</v>
      </c>
      <c r="V476" s="643"/>
      <c r="W476" s="659">
        <v>499304.03999999986</v>
      </c>
      <c r="X476" s="659">
        <v>502636.17</v>
      </c>
      <c r="Y476" s="669"/>
      <c r="Z476" s="657"/>
      <c r="AA476" s="714">
        <v>30113.96</v>
      </c>
      <c r="AB476" s="429">
        <v>19240.66</v>
      </c>
      <c r="AC476" s="429">
        <v>44681.55</v>
      </c>
      <c r="AD476" s="429">
        <v>28059.239999999998</v>
      </c>
      <c r="AE476" s="429">
        <v>37177.21</v>
      </c>
      <c r="AF476" s="429">
        <v>-26229.880000000005</v>
      </c>
      <c r="AG476" s="667">
        <v>11200</v>
      </c>
      <c r="AH476" s="667">
        <v>14000</v>
      </c>
      <c r="AI476" s="667">
        <v>11200</v>
      </c>
      <c r="AJ476" s="667">
        <v>14000</v>
      </c>
      <c r="AK476" s="667">
        <v>11200</v>
      </c>
      <c r="AL476" s="667">
        <v>12000</v>
      </c>
      <c r="AM476" s="667">
        <f t="shared" si="30"/>
        <v>206642.74</v>
      </c>
      <c r="AN476" s="651">
        <f>ERP_27[[#This Row],[2026 Working Total]]-ERP_27[[#This Row],[LE2 Final Submission]]</f>
        <v>-295993.43</v>
      </c>
      <c r="AO476" s="665">
        <v>90000</v>
      </c>
      <c r="AP476" s="665">
        <f t="shared" si="29"/>
        <v>-116229.88</v>
      </c>
      <c r="AQ476" s="391">
        <f>SUM(ERP_27[[#This Row],[AP01]:[AP06]])-SUM(ERP_27[[#This Row],[AP01 LE2]:[AP06 LE2]])</f>
        <v>-134993.43</v>
      </c>
      <c r="AR476" s="670"/>
      <c r="AS476" s="665">
        <f>ERP_27[[#This Row],[2026 Working Total to Budget/LE]]-ERP_27[[#This Row],[Giveback]]</f>
        <v>-295993.43</v>
      </c>
      <c r="AT476" s="671"/>
      <c r="AU476" s="672">
        <v>30113.96</v>
      </c>
      <c r="AV476" s="672">
        <v>19240.66</v>
      </c>
      <c r="AW476" s="672">
        <v>44681.55</v>
      </c>
      <c r="AX476" s="672">
        <v>40000</v>
      </c>
      <c r="AY476" s="672">
        <v>90000</v>
      </c>
      <c r="AZ476" s="672">
        <v>44000</v>
      </c>
      <c r="BA476" s="672">
        <v>35600</v>
      </c>
      <c r="BB476" s="672">
        <v>44000</v>
      </c>
      <c r="BC476" s="672">
        <v>36000</v>
      </c>
      <c r="BD476" s="672">
        <v>40000</v>
      </c>
      <c r="BE476" s="672">
        <v>36000</v>
      </c>
      <c r="BF476" s="672">
        <v>43000</v>
      </c>
      <c r="BG476" s="672">
        <v>502636.17</v>
      </c>
      <c r="BH476" s="665">
        <v>30113.96</v>
      </c>
      <c r="BI476" s="665">
        <v>19240.66</v>
      </c>
      <c r="BJ476" s="665">
        <v>44681.55</v>
      </c>
      <c r="BK476" s="665">
        <v>44995</v>
      </c>
      <c r="BL476" s="665">
        <v>44995</v>
      </c>
      <c r="BM476" s="665">
        <v>44995</v>
      </c>
      <c r="BN476" s="665">
        <v>44995</v>
      </c>
      <c r="BO476" s="665">
        <v>44995</v>
      </c>
      <c r="BP476" s="665">
        <v>44995</v>
      </c>
      <c r="BQ476" s="665">
        <v>44995</v>
      </c>
      <c r="BR476" s="665">
        <v>44995</v>
      </c>
      <c r="BS476" s="665">
        <v>44995</v>
      </c>
      <c r="BT476" s="665">
        <v>498991.17</v>
      </c>
    </row>
    <row r="477" spans="1:72" ht="15" hidden="1" customHeight="1">
      <c r="A477" s="66" t="s">
        <v>1200</v>
      </c>
      <c r="B477" s="66"/>
      <c r="C477" s="66" t="s">
        <v>72</v>
      </c>
      <c r="D477" s="66" t="s">
        <v>72</v>
      </c>
      <c r="E477" s="150" t="s">
        <v>1136</v>
      </c>
      <c r="F477" s="482" t="s">
        <v>1566</v>
      </c>
      <c r="G477" s="150" t="s">
        <v>1135</v>
      </c>
      <c r="H477" s="150" t="s">
        <v>1135</v>
      </c>
      <c r="I477" s="150" t="s">
        <v>1135</v>
      </c>
      <c r="J477" s="150" t="s">
        <v>1135</v>
      </c>
      <c r="K477" s="150" t="s">
        <v>1137</v>
      </c>
      <c r="L477" s="511" t="s">
        <v>49</v>
      </c>
      <c r="M477" s="392" t="s">
        <v>1201</v>
      </c>
      <c r="N477" s="343" t="s">
        <v>1202</v>
      </c>
      <c r="O477" s="346" t="s">
        <v>1171</v>
      </c>
      <c r="P477" s="70" t="s">
        <v>73</v>
      </c>
      <c r="Q477" s="346"/>
      <c r="R477" s="346" t="s">
        <v>1203</v>
      </c>
      <c r="S477" s="346"/>
      <c r="T477" s="150" t="s">
        <v>64</v>
      </c>
      <c r="U477" s="150"/>
      <c r="V477" s="643"/>
      <c r="W477" s="659">
        <v>187200</v>
      </c>
      <c r="X477" s="659">
        <v>185657.15</v>
      </c>
      <c r="Y477" s="669"/>
      <c r="Z477" s="657"/>
      <c r="AA477" s="714">
        <v>12857</v>
      </c>
      <c r="AB477" s="429">
        <v>18823.150000000001</v>
      </c>
      <c r="AC477" s="429">
        <v>13577</v>
      </c>
      <c r="AD477" s="429">
        <v>14400</v>
      </c>
      <c r="AE477" s="429">
        <v>17263</v>
      </c>
      <c r="AF477" s="429">
        <v>36956.74</v>
      </c>
      <c r="AG477" s="667">
        <v>15600</v>
      </c>
      <c r="AH477" s="667">
        <v>15600</v>
      </c>
      <c r="AI477" s="667">
        <v>15600</v>
      </c>
      <c r="AJ477" s="667">
        <v>15600</v>
      </c>
      <c r="AK477" s="667">
        <v>15600</v>
      </c>
      <c r="AL477" s="667">
        <v>15600</v>
      </c>
      <c r="AM477" s="667">
        <f t="shared" si="30"/>
        <v>207476.88999999998</v>
      </c>
      <c r="AN477" s="651">
        <f>ERP_27[[#This Row],[2026 Working Total]]-ERP_27[[#This Row],[LE2 Final Submission]]</f>
        <v>21819.739999999991</v>
      </c>
      <c r="AO477" s="665">
        <v>15600</v>
      </c>
      <c r="AP477" s="665">
        <f t="shared" si="29"/>
        <v>21356.739999999998</v>
      </c>
      <c r="AQ477" s="391">
        <f>SUM(ERP_27[[#This Row],[AP01]:[AP06]])-SUM(ERP_27[[#This Row],[AP01 LE2]:[AP06 LE2]])</f>
        <v>21819.739999999991</v>
      </c>
      <c r="AR477" s="670"/>
      <c r="AS477" s="665">
        <f>ERP_27[[#This Row],[2026 Working Total to Budget/LE]]-ERP_27[[#This Row],[Giveback]]</f>
        <v>21819.739999999991</v>
      </c>
      <c r="AT477" s="671"/>
      <c r="AU477" s="672">
        <v>12857</v>
      </c>
      <c r="AV477" s="672">
        <v>18823.150000000001</v>
      </c>
      <c r="AW477" s="672">
        <v>13577</v>
      </c>
      <c r="AX477" s="672">
        <v>15600</v>
      </c>
      <c r="AY477" s="672">
        <v>15600</v>
      </c>
      <c r="AZ477" s="672">
        <v>15600</v>
      </c>
      <c r="BA477" s="672">
        <v>15600</v>
      </c>
      <c r="BB477" s="672">
        <v>15600</v>
      </c>
      <c r="BC477" s="672">
        <v>15600</v>
      </c>
      <c r="BD477" s="672">
        <v>15600</v>
      </c>
      <c r="BE477" s="672">
        <v>15600</v>
      </c>
      <c r="BF477" s="672">
        <v>15600</v>
      </c>
      <c r="BG477" s="672">
        <v>185657.15</v>
      </c>
      <c r="BH477" s="665">
        <v>12857</v>
      </c>
      <c r="BI477" s="665">
        <v>18823.150000000001</v>
      </c>
      <c r="BJ477" s="665">
        <v>13577</v>
      </c>
      <c r="BK477" s="665">
        <v>15600</v>
      </c>
      <c r="BL477" s="665">
        <v>15600</v>
      </c>
      <c r="BM477" s="665">
        <v>15600</v>
      </c>
      <c r="BN477" s="665">
        <v>15600</v>
      </c>
      <c r="BO477" s="665">
        <v>15600</v>
      </c>
      <c r="BP477" s="665">
        <v>15600</v>
      </c>
      <c r="BQ477" s="665">
        <v>15600</v>
      </c>
      <c r="BR477" s="665">
        <v>15600</v>
      </c>
      <c r="BS477" s="665">
        <v>15600</v>
      </c>
      <c r="BT477" s="665">
        <v>185657.15</v>
      </c>
    </row>
    <row r="478" spans="1:72" ht="15" hidden="1" customHeight="1">
      <c r="A478" s="66" t="s">
        <v>1193</v>
      </c>
      <c r="B478" s="66"/>
      <c r="C478" s="66" t="s">
        <v>68</v>
      </c>
      <c r="D478" s="66" t="s">
        <v>68</v>
      </c>
      <c r="E478" s="150" t="s">
        <v>1136</v>
      </c>
      <c r="F478" s="482" t="s">
        <v>1566</v>
      </c>
      <c r="G478" s="150" t="s">
        <v>1135</v>
      </c>
      <c r="H478" s="150" t="s">
        <v>1135</v>
      </c>
      <c r="I478" s="150" t="s">
        <v>1135</v>
      </c>
      <c r="J478" s="150" t="s">
        <v>1135</v>
      </c>
      <c r="K478" s="150" t="s">
        <v>1137</v>
      </c>
      <c r="L478" s="511" t="s">
        <v>49</v>
      </c>
      <c r="M478" s="392" t="s">
        <v>1194</v>
      </c>
      <c r="N478" s="343" t="s">
        <v>1195</v>
      </c>
      <c r="O478" s="346" t="s">
        <v>1171</v>
      </c>
      <c r="P478" s="70" t="s">
        <v>69</v>
      </c>
      <c r="Q478" s="346"/>
      <c r="R478" s="346" t="s">
        <v>1196</v>
      </c>
      <c r="S478" s="346"/>
      <c r="T478" s="150" t="s">
        <v>67</v>
      </c>
      <c r="U478" s="150"/>
      <c r="V478" s="643"/>
      <c r="W478" s="659">
        <v>237888</v>
      </c>
      <c r="X478" s="659">
        <v>236045.4</v>
      </c>
      <c r="Y478" s="669"/>
      <c r="Z478" s="657"/>
      <c r="AA478" s="714">
        <v>16372</v>
      </c>
      <c r="AB478" s="429">
        <v>18336.62</v>
      </c>
      <c r="AC478" s="429">
        <v>22920.78</v>
      </c>
      <c r="AD478" s="429">
        <v>18336.629999999997</v>
      </c>
      <c r="AE478" s="429">
        <v>18336.63</v>
      </c>
      <c r="AF478" s="429">
        <v>22920.78</v>
      </c>
      <c r="AG478" s="667">
        <v>19824</v>
      </c>
      <c r="AH478" s="667">
        <v>19824</v>
      </c>
      <c r="AI478" s="667">
        <v>19824</v>
      </c>
      <c r="AJ478" s="667">
        <v>19824</v>
      </c>
      <c r="AK478" s="667">
        <v>19824</v>
      </c>
      <c r="AL478" s="667">
        <v>19824</v>
      </c>
      <c r="AM478" s="667">
        <f t="shared" si="30"/>
        <v>236167.44</v>
      </c>
      <c r="AN478" s="651">
        <f>ERP_27[[#This Row],[2026 Working Total]]-ERP_27[[#This Row],[LE2 Final Submission]]</f>
        <v>122.04000000000815</v>
      </c>
      <c r="AO478" s="665">
        <v>19824</v>
      </c>
      <c r="AP478" s="665">
        <f t="shared" si="29"/>
        <v>3096.7799999999988</v>
      </c>
      <c r="AQ478" s="391">
        <f>SUM(ERP_27[[#This Row],[AP01]:[AP06]])-SUM(ERP_27[[#This Row],[AP01 LE2]:[AP06 LE2]])</f>
        <v>122.04000000000815</v>
      </c>
      <c r="AR478" s="670"/>
      <c r="AS478" s="665">
        <f>ERP_27[[#This Row],[2026 Working Total to Budget/LE]]-ERP_27[[#This Row],[Giveback]]</f>
        <v>122.04000000000815</v>
      </c>
      <c r="AT478" s="671"/>
      <c r="AU478" s="672">
        <v>16372</v>
      </c>
      <c r="AV478" s="672">
        <v>18336.62</v>
      </c>
      <c r="AW478" s="672">
        <v>22920.78</v>
      </c>
      <c r="AX478" s="672">
        <v>19824</v>
      </c>
      <c r="AY478" s="672">
        <v>19824</v>
      </c>
      <c r="AZ478" s="672">
        <v>19824</v>
      </c>
      <c r="BA478" s="672">
        <v>19824</v>
      </c>
      <c r="BB478" s="672">
        <v>19824</v>
      </c>
      <c r="BC478" s="672">
        <v>19824</v>
      </c>
      <c r="BD478" s="672">
        <v>19824</v>
      </c>
      <c r="BE478" s="672">
        <v>19824</v>
      </c>
      <c r="BF478" s="672">
        <v>19824</v>
      </c>
      <c r="BG478" s="672">
        <v>236045.4</v>
      </c>
      <c r="BH478" s="665">
        <v>16372</v>
      </c>
      <c r="BI478" s="665">
        <v>18336.62</v>
      </c>
      <c r="BJ478" s="665">
        <v>22920.78</v>
      </c>
      <c r="BK478" s="665">
        <v>19824</v>
      </c>
      <c r="BL478" s="665">
        <v>19824</v>
      </c>
      <c r="BM478" s="665">
        <v>19824</v>
      </c>
      <c r="BN478" s="665">
        <v>19824</v>
      </c>
      <c r="BO478" s="665">
        <v>19824</v>
      </c>
      <c r="BP478" s="665">
        <v>19824</v>
      </c>
      <c r="BQ478" s="665">
        <v>19824</v>
      </c>
      <c r="BR478" s="665">
        <v>19824</v>
      </c>
      <c r="BS478" s="665">
        <v>19824</v>
      </c>
      <c r="BT478" s="665">
        <v>236045.4</v>
      </c>
    </row>
    <row r="479" spans="1:72" ht="15" hidden="1" customHeight="1">
      <c r="A479" s="79" t="s">
        <v>1538</v>
      </c>
      <c r="B479" s="79"/>
      <c r="C479" s="79" t="s">
        <v>253</v>
      </c>
      <c r="D479" s="296" t="s">
        <v>253</v>
      </c>
      <c r="E479" s="150" t="s">
        <v>1136</v>
      </c>
      <c r="F479" s="482" t="s">
        <v>1566</v>
      </c>
      <c r="G479" s="383" t="s">
        <v>1515</v>
      </c>
      <c r="H479" s="383" t="s">
        <v>1515</v>
      </c>
      <c r="I479" s="332" t="s">
        <v>1345</v>
      </c>
      <c r="J479" s="383" t="s">
        <v>1515</v>
      </c>
      <c r="K479" s="331" t="s">
        <v>1346</v>
      </c>
      <c r="L479" s="512" t="s">
        <v>49</v>
      </c>
      <c r="M479" s="393" t="s">
        <v>1539</v>
      </c>
      <c r="N479" s="343"/>
      <c r="O479" s="331"/>
      <c r="P479" s="91" t="s">
        <v>254</v>
      </c>
      <c r="Q479" s="343"/>
      <c r="R479" s="346" t="s">
        <v>1221</v>
      </c>
      <c r="S479" s="348"/>
      <c r="T479" s="386" t="s">
        <v>25</v>
      </c>
      <c r="U479" s="389" t="s">
        <v>1540</v>
      </c>
      <c r="V479" s="668"/>
      <c r="W479" s="358">
        <v>489720</v>
      </c>
      <c r="X479" s="660">
        <v>367290</v>
      </c>
      <c r="Y479" s="669"/>
      <c r="Z479" s="657"/>
      <c r="AA479" s="716"/>
      <c r="AB479" s="718"/>
      <c r="AC479" s="718"/>
      <c r="AD479" s="429" t="s">
        <v>1142</v>
      </c>
      <c r="AE479" s="429">
        <v>0</v>
      </c>
      <c r="AF479" s="429">
        <v>0</v>
      </c>
      <c r="AG479" s="663">
        <v>40810</v>
      </c>
      <c r="AH479" s="663">
        <v>40810</v>
      </c>
      <c r="AI479" s="663">
        <v>40810</v>
      </c>
      <c r="AJ479" s="663">
        <v>40810</v>
      </c>
      <c r="AK479" s="663">
        <v>40810</v>
      </c>
      <c r="AL479" s="663">
        <v>40810</v>
      </c>
      <c r="AM479" s="667">
        <f t="shared" si="30"/>
        <v>244860</v>
      </c>
      <c r="AN479" s="651">
        <f>ERP_27[[#This Row],[2026 Working Total]]-ERP_27[[#This Row],[LE2 Final Submission]]</f>
        <v>-122430</v>
      </c>
      <c r="AO479" s="665">
        <v>40810</v>
      </c>
      <c r="AP479" s="665">
        <f t="shared" si="29"/>
        <v>-40810</v>
      </c>
      <c r="AQ479" s="391">
        <f>SUM(ERP_27[[#This Row],[AP01]:[AP06]])-SUM(ERP_27[[#This Row],[AP01 LE2]:[AP06 LE2]])</f>
        <v>-122430</v>
      </c>
      <c r="AR479" s="670"/>
      <c r="AS479" s="665">
        <f>ERP_27[[#This Row],[2026 Working Total to Budget/LE]]-ERP_27[[#This Row],[Giveback]]</f>
        <v>-122430</v>
      </c>
      <c r="AT479" s="671"/>
      <c r="AU479" s="672"/>
      <c r="AV479" s="672"/>
      <c r="AW479" s="672"/>
      <c r="AX479" s="672">
        <v>40810</v>
      </c>
      <c r="AY479" s="672">
        <v>40810</v>
      </c>
      <c r="AZ479" s="672">
        <v>40810</v>
      </c>
      <c r="BA479" s="672">
        <v>40810</v>
      </c>
      <c r="BB479" s="672">
        <v>40810</v>
      </c>
      <c r="BC479" s="672">
        <v>40810</v>
      </c>
      <c r="BD479" s="672">
        <v>40810</v>
      </c>
      <c r="BE479" s="672">
        <v>40810</v>
      </c>
      <c r="BF479" s="672">
        <v>40810</v>
      </c>
      <c r="BG479" s="672">
        <v>367290</v>
      </c>
      <c r="BH479" s="666">
        <v>40810</v>
      </c>
      <c r="BI479" s="666">
        <v>40810</v>
      </c>
      <c r="BJ479" s="666">
        <v>40810</v>
      </c>
      <c r="BK479" s="666">
        <v>40810</v>
      </c>
      <c r="BL479" s="666">
        <v>40810</v>
      </c>
      <c r="BM479" s="666">
        <v>40810</v>
      </c>
      <c r="BN479" s="666">
        <v>40810</v>
      </c>
      <c r="BO479" s="666">
        <v>40810</v>
      </c>
      <c r="BP479" s="666">
        <v>40810</v>
      </c>
      <c r="BQ479" s="666">
        <v>40810</v>
      </c>
      <c r="BR479" s="666">
        <v>40810</v>
      </c>
      <c r="BS479" s="666">
        <v>40810</v>
      </c>
      <c r="BT479" s="665">
        <f>SUM(ERP_27[[#This Row],[2026 AP01]:[2026 AP12]])</f>
        <v>489720</v>
      </c>
    </row>
    <row r="480" spans="1:72" ht="15" hidden="1" customHeight="1">
      <c r="A480" s="66" t="s">
        <v>1357</v>
      </c>
      <c r="B480" s="66"/>
      <c r="C480" s="66" t="s">
        <v>159</v>
      </c>
      <c r="D480" s="66" t="s">
        <v>159</v>
      </c>
      <c r="E480" s="150" t="s">
        <v>1136</v>
      </c>
      <c r="F480" s="482" t="s">
        <v>1566</v>
      </c>
      <c r="G480" s="383" t="s">
        <v>1344</v>
      </c>
      <c r="H480" s="383" t="s">
        <v>1344</v>
      </c>
      <c r="I480" s="150" t="s">
        <v>1345</v>
      </c>
      <c r="J480" s="150" t="s">
        <v>1344</v>
      </c>
      <c r="K480" s="150" t="s">
        <v>1346</v>
      </c>
      <c r="L480" s="511" t="s">
        <v>49</v>
      </c>
      <c r="M480" s="392" t="s">
        <v>1147</v>
      </c>
      <c r="N480" s="343"/>
      <c r="O480" s="343"/>
      <c r="P480" s="70" t="s">
        <v>53</v>
      </c>
      <c r="Q480" s="346" t="s">
        <v>1153</v>
      </c>
      <c r="R480" s="343"/>
      <c r="S480" s="346"/>
      <c r="T480" s="150" t="s">
        <v>25</v>
      </c>
      <c r="U480" s="150" t="s">
        <v>1359</v>
      </c>
      <c r="V480" s="643"/>
      <c r="W480" s="659">
        <v>0</v>
      </c>
      <c r="X480" s="659">
        <v>130143</v>
      </c>
      <c r="Y480" s="669"/>
      <c r="Z480" s="657"/>
      <c r="AA480" s="714">
        <v>91657</v>
      </c>
      <c r="AB480" s="429">
        <v>-50311</v>
      </c>
      <c r="AC480" s="429">
        <v>88797</v>
      </c>
      <c r="AD480" s="429">
        <v>142812</v>
      </c>
      <c r="AE480" s="429">
        <v>-181452</v>
      </c>
      <c r="AF480" s="429">
        <v>124380</v>
      </c>
      <c r="AG480" s="667">
        <v>0</v>
      </c>
      <c r="AH480" s="667">
        <v>0</v>
      </c>
      <c r="AI480" s="667">
        <v>0</v>
      </c>
      <c r="AJ480" s="667">
        <v>0</v>
      </c>
      <c r="AK480" s="667">
        <v>0</v>
      </c>
      <c r="AL480" s="667">
        <v>38640</v>
      </c>
      <c r="AM480" s="667">
        <f t="shared" si="30"/>
        <v>254523</v>
      </c>
      <c r="AN480" s="651">
        <f>ERP_27[[#This Row],[2026 Working Total]]-ERP_27[[#This Row],[LE2 Final Submission]]</f>
        <v>124380</v>
      </c>
      <c r="AO480" s="665">
        <v>0</v>
      </c>
      <c r="AP480" s="665">
        <f t="shared" si="29"/>
        <v>124380</v>
      </c>
      <c r="AQ480" s="391">
        <f>SUM(ERP_27[[#This Row],[AP01]:[AP06]])-SUM(ERP_27[[#This Row],[AP01 LE2]:[AP06 LE2]])</f>
        <v>85740</v>
      </c>
      <c r="AR480" s="670"/>
      <c r="AS480" s="665">
        <f>ERP_27[[#This Row],[2026 Working Total to Budget/LE]]-ERP_27[[#This Row],[Giveback]]</f>
        <v>124380</v>
      </c>
      <c r="AT480" s="711" t="s">
        <v>1360</v>
      </c>
      <c r="AU480" s="672">
        <v>91657</v>
      </c>
      <c r="AV480" s="672">
        <v>-50311</v>
      </c>
      <c r="AW480" s="672">
        <v>88797</v>
      </c>
      <c r="AX480" s="672">
        <v>0</v>
      </c>
      <c r="AY480" s="672">
        <v>0</v>
      </c>
      <c r="AZ480" s="672">
        <v>0</v>
      </c>
      <c r="BA480" s="672">
        <v>0</v>
      </c>
      <c r="BB480" s="672">
        <v>0</v>
      </c>
      <c r="BC480" s="672">
        <v>0</v>
      </c>
      <c r="BD480" s="672">
        <v>0</v>
      </c>
      <c r="BE480" s="672">
        <v>0</v>
      </c>
      <c r="BF480" s="672">
        <v>0</v>
      </c>
      <c r="BG480" s="672">
        <v>130143</v>
      </c>
      <c r="BH480" s="665">
        <v>91657</v>
      </c>
      <c r="BI480" s="665">
        <v>-50311</v>
      </c>
      <c r="BJ480" s="665">
        <v>88797</v>
      </c>
      <c r="BK480" s="665">
        <v>0</v>
      </c>
      <c r="BL480" s="665">
        <v>0</v>
      </c>
      <c r="BM480" s="665">
        <v>0</v>
      </c>
      <c r="BN480" s="665">
        <v>0</v>
      </c>
      <c r="BO480" s="665">
        <v>0</v>
      </c>
      <c r="BP480" s="665">
        <v>0</v>
      </c>
      <c r="BQ480" s="665">
        <v>0</v>
      </c>
      <c r="BR480" s="665">
        <v>0</v>
      </c>
      <c r="BS480" s="665">
        <v>0</v>
      </c>
      <c r="BT480" s="665">
        <v>130143</v>
      </c>
    </row>
    <row r="481" spans="1:72" ht="15" hidden="1" customHeight="1">
      <c r="A481" s="66" t="s">
        <v>1535</v>
      </c>
      <c r="B481" s="66"/>
      <c r="C481" s="66" t="s">
        <v>251</v>
      </c>
      <c r="D481" s="66" t="s">
        <v>251</v>
      </c>
      <c r="E481" s="150" t="s">
        <v>1136</v>
      </c>
      <c r="F481" s="482" t="s">
        <v>1566</v>
      </c>
      <c r="G481" s="150" t="s">
        <v>1515</v>
      </c>
      <c r="H481" s="383" t="s">
        <v>1515</v>
      </c>
      <c r="I481" s="150" t="s">
        <v>1345</v>
      </c>
      <c r="J481" s="150" t="s">
        <v>1515</v>
      </c>
      <c r="K481" s="150" t="s">
        <v>1346</v>
      </c>
      <c r="L481" s="511" t="s">
        <v>49</v>
      </c>
      <c r="M481" s="392" t="s">
        <v>1536</v>
      </c>
      <c r="N481" s="343" t="s">
        <v>1387</v>
      </c>
      <c r="O481" s="346" t="s">
        <v>1531</v>
      </c>
      <c r="P481" s="70" t="s">
        <v>252</v>
      </c>
      <c r="Q481" s="346"/>
      <c r="R481" s="346" t="s">
        <v>1537</v>
      </c>
      <c r="S481" s="346"/>
      <c r="T481" s="150" t="s">
        <v>25</v>
      </c>
      <c r="U481" s="150"/>
      <c r="V481" s="643"/>
      <c r="W481" s="659">
        <v>269997.96000000008</v>
      </c>
      <c r="X481" s="659">
        <v>268017.38</v>
      </c>
      <c r="Y481" s="669"/>
      <c r="Z481" s="657"/>
      <c r="AA481" s="714">
        <v>19158.79</v>
      </c>
      <c r="AB481" s="429">
        <v>20603.919999999998</v>
      </c>
      <c r="AC481" s="429">
        <v>25754.67</v>
      </c>
      <c r="AD481" s="429">
        <v>20603.73</v>
      </c>
      <c r="AE481" s="429">
        <v>33243.729999999996</v>
      </c>
      <c r="AF481" s="429">
        <v>25754.660000000003</v>
      </c>
      <c r="AG481" s="667">
        <v>22500</v>
      </c>
      <c r="AH481" s="667">
        <v>22500</v>
      </c>
      <c r="AI481" s="667">
        <v>22500</v>
      </c>
      <c r="AJ481" s="667">
        <v>22500</v>
      </c>
      <c r="AK481" s="667">
        <v>22500</v>
      </c>
      <c r="AL481" s="667">
        <v>22500</v>
      </c>
      <c r="AM481" s="667">
        <f t="shared" si="30"/>
        <v>280119.5</v>
      </c>
      <c r="AN481" s="651">
        <f>ERP_27[[#This Row],[2026 Working Total]]-ERP_27[[#This Row],[LE2 Final Submission]]</f>
        <v>12102.119999999995</v>
      </c>
      <c r="AO481" s="665">
        <v>22500</v>
      </c>
      <c r="AP481" s="665">
        <f t="shared" si="29"/>
        <v>3254.6600000000035</v>
      </c>
      <c r="AQ481" s="391">
        <f>SUM(ERP_27[[#This Row],[AP01]:[AP06]])-SUM(ERP_27[[#This Row],[AP01 LE2]:[AP06 LE2]])</f>
        <v>12102.119999999995</v>
      </c>
      <c r="AR481" s="670"/>
      <c r="AS481" s="665">
        <f>ERP_27[[#This Row],[2026 Working Total to Budget/LE]]-ERP_27[[#This Row],[Giveback]]</f>
        <v>12102.119999999995</v>
      </c>
      <c r="AT481" s="671"/>
      <c r="AU481" s="672">
        <v>19158.79</v>
      </c>
      <c r="AV481" s="672">
        <v>20603.919999999998</v>
      </c>
      <c r="AW481" s="672">
        <v>25754.67</v>
      </c>
      <c r="AX481" s="672">
        <v>22500</v>
      </c>
      <c r="AY481" s="672">
        <v>22500</v>
      </c>
      <c r="AZ481" s="672">
        <v>22500</v>
      </c>
      <c r="BA481" s="672">
        <v>22500</v>
      </c>
      <c r="BB481" s="672">
        <v>22500</v>
      </c>
      <c r="BC481" s="672">
        <v>22500</v>
      </c>
      <c r="BD481" s="672">
        <v>22500</v>
      </c>
      <c r="BE481" s="672">
        <v>22500</v>
      </c>
      <c r="BF481" s="672">
        <v>22500</v>
      </c>
      <c r="BG481" s="672">
        <v>268017.38</v>
      </c>
      <c r="BH481" s="665">
        <v>19158.79</v>
      </c>
      <c r="BI481" s="665">
        <v>20603.919999999998</v>
      </c>
      <c r="BJ481" s="665">
        <v>25754.67</v>
      </c>
      <c r="BK481" s="665">
        <v>23474.3</v>
      </c>
      <c r="BL481" s="665">
        <v>23474.3</v>
      </c>
      <c r="BM481" s="665">
        <v>23474.3</v>
      </c>
      <c r="BN481" s="665">
        <v>23474.3</v>
      </c>
      <c r="BO481" s="665">
        <v>23474.3</v>
      </c>
      <c r="BP481" s="665">
        <v>23474.3</v>
      </c>
      <c r="BQ481" s="665">
        <v>23474.3</v>
      </c>
      <c r="BR481" s="665">
        <v>23474.3</v>
      </c>
      <c r="BS481" s="665">
        <v>23474.3</v>
      </c>
      <c r="BT481" s="665">
        <v>276786.07999999996</v>
      </c>
    </row>
    <row r="482" spans="1:72" ht="15" hidden="1" customHeight="1">
      <c r="A482" s="66" t="s">
        <v>1919</v>
      </c>
      <c r="B482" s="66"/>
      <c r="C482" s="66" t="s">
        <v>469</v>
      </c>
      <c r="D482" s="66" t="s">
        <v>1920</v>
      </c>
      <c r="E482" s="150" t="s">
        <v>1136</v>
      </c>
      <c r="F482" s="482" t="s">
        <v>1566</v>
      </c>
      <c r="G482" s="150" t="s">
        <v>1135</v>
      </c>
      <c r="H482" s="150" t="s">
        <v>1145</v>
      </c>
      <c r="I482" s="150" t="s">
        <v>1135</v>
      </c>
      <c r="J482" s="150" t="s">
        <v>1145</v>
      </c>
      <c r="K482" s="150" t="s">
        <v>1137</v>
      </c>
      <c r="L482" s="511" t="s">
        <v>389</v>
      </c>
      <c r="M482" s="392" t="s">
        <v>1921</v>
      </c>
      <c r="N482" s="343"/>
      <c r="O482" s="346" t="s">
        <v>1186</v>
      </c>
      <c r="P482" s="70" t="s">
        <v>470</v>
      </c>
      <c r="Q482" s="346"/>
      <c r="R482" s="346" t="s">
        <v>1922</v>
      </c>
      <c r="S482" s="346"/>
      <c r="T482" s="150" t="s">
        <v>25</v>
      </c>
      <c r="U482" s="150" t="s">
        <v>1923</v>
      </c>
      <c r="V482" s="643"/>
      <c r="W482" s="659">
        <v>282792</v>
      </c>
      <c r="X482" s="659">
        <v>282791.93</v>
      </c>
      <c r="Y482" s="669"/>
      <c r="Z482" s="657"/>
      <c r="AA482" s="714">
        <v>70697.440000000002</v>
      </c>
      <c r="AB482" s="429">
        <v>0.49</v>
      </c>
      <c r="AC482" s="429">
        <v>0</v>
      </c>
      <c r="AD482" s="429">
        <v>9484.4399999999951</v>
      </c>
      <c r="AE482" s="429">
        <v>0</v>
      </c>
      <c r="AF482" s="429">
        <v>0</v>
      </c>
      <c r="AG482" s="667"/>
      <c r="AH482" s="667">
        <v>60500</v>
      </c>
      <c r="AI482" s="667">
        <v>0</v>
      </c>
      <c r="AJ482" s="667">
        <v>70698</v>
      </c>
      <c r="AK482" s="667">
        <v>70698</v>
      </c>
      <c r="AL482" s="667">
        <v>0</v>
      </c>
      <c r="AM482" s="667">
        <f t="shared" si="30"/>
        <v>282078.37</v>
      </c>
      <c r="AN482" s="651">
        <f>ERP_27[[#This Row],[2026 Working Total]]-ERP_27[[#This Row],[LE2 Final Submission]]</f>
        <v>-713.55999999999767</v>
      </c>
      <c r="AO482" s="665">
        <v>0</v>
      </c>
      <c r="AP482" s="665">
        <f t="shared" si="29"/>
        <v>0</v>
      </c>
      <c r="AQ482" s="391">
        <f>SUM(ERP_27[[#This Row],[AP01]:[AP06]])-SUM(ERP_27[[#This Row],[AP01 LE2]:[AP06 LE2]])</f>
        <v>-61213.56</v>
      </c>
      <c r="AR482" s="670"/>
      <c r="AS482" s="665">
        <f>ERP_27[[#This Row],[2026 Working Total to Budget/LE]]-ERP_27[[#This Row],[Giveback]]</f>
        <v>-713.55999999999767</v>
      </c>
      <c r="AT482" s="671"/>
      <c r="AU482" s="672">
        <v>70697.440000000002</v>
      </c>
      <c r="AV482" s="672">
        <v>0.49</v>
      </c>
      <c r="AW482" s="672">
        <v>0</v>
      </c>
      <c r="AX482" s="672">
        <v>70698</v>
      </c>
      <c r="AY482" s="672">
        <v>0</v>
      </c>
      <c r="AZ482" s="672">
        <v>0</v>
      </c>
      <c r="BA482" s="672">
        <v>70698</v>
      </c>
      <c r="BB482" s="672">
        <v>0</v>
      </c>
      <c r="BC482" s="672">
        <v>0</v>
      </c>
      <c r="BD482" s="672">
        <v>70698</v>
      </c>
      <c r="BE482" s="672">
        <v>0</v>
      </c>
      <c r="BF482" s="672">
        <v>0</v>
      </c>
      <c r="BG482" s="672">
        <v>282791.93</v>
      </c>
      <c r="BH482" s="665">
        <v>70697.440000000002</v>
      </c>
      <c r="BI482" s="665">
        <v>0.49</v>
      </c>
      <c r="BJ482" s="665">
        <v>0</v>
      </c>
      <c r="BK482" s="665">
        <v>70698</v>
      </c>
      <c r="BL482" s="665">
        <v>0</v>
      </c>
      <c r="BM482" s="665">
        <v>0</v>
      </c>
      <c r="BN482" s="665">
        <v>70698</v>
      </c>
      <c r="BO482" s="665">
        <v>0</v>
      </c>
      <c r="BP482" s="665">
        <v>0</v>
      </c>
      <c r="BQ482" s="665">
        <v>70698</v>
      </c>
      <c r="BR482" s="665">
        <v>0</v>
      </c>
      <c r="BS482" s="665">
        <v>0</v>
      </c>
      <c r="BT482" s="665">
        <v>282791.93</v>
      </c>
    </row>
    <row r="483" spans="1:72" ht="15" hidden="1" customHeight="1">
      <c r="A483" s="66" t="s">
        <v>2465</v>
      </c>
      <c r="B483" s="66"/>
      <c r="C483" s="66" t="s">
        <v>812</v>
      </c>
      <c r="D483" s="66" t="s">
        <v>812</v>
      </c>
      <c r="E483" s="150" t="s">
        <v>1136</v>
      </c>
      <c r="F483" s="482" t="s">
        <v>1566</v>
      </c>
      <c r="G483" s="150" t="s">
        <v>1135</v>
      </c>
      <c r="H483" s="150" t="s">
        <v>1135</v>
      </c>
      <c r="I483" s="150" t="s">
        <v>1135</v>
      </c>
      <c r="J483" s="150" t="s">
        <v>1135</v>
      </c>
      <c r="K483" s="150" t="s">
        <v>1137</v>
      </c>
      <c r="L483" s="511" t="s">
        <v>639</v>
      </c>
      <c r="M483" s="392" t="s">
        <v>2466</v>
      </c>
      <c r="N483" s="343"/>
      <c r="O483" s="343"/>
      <c r="P483" s="70" t="s">
        <v>813</v>
      </c>
      <c r="Q483" s="346"/>
      <c r="R483" s="343"/>
      <c r="S483" s="346"/>
      <c r="T483" s="150" t="s">
        <v>64</v>
      </c>
      <c r="U483" s="150" t="s">
        <v>2467</v>
      </c>
      <c r="V483" s="643"/>
      <c r="W483" s="659">
        <v>287700</v>
      </c>
      <c r="X483" s="659">
        <v>297194</v>
      </c>
      <c r="Y483" s="669"/>
      <c r="Z483" s="657"/>
      <c r="AA483" s="714"/>
      <c r="AB483" s="429"/>
      <c r="AC483" s="429"/>
      <c r="AD483" s="429" t="s">
        <v>1142</v>
      </c>
      <c r="AE483" s="429">
        <v>0</v>
      </c>
      <c r="AF483" s="429">
        <v>0</v>
      </c>
      <c r="AG483" s="667"/>
      <c r="AH483" s="667"/>
      <c r="AI483" s="667"/>
      <c r="AJ483" s="667">
        <f>287700-287700+297194</f>
        <v>297194</v>
      </c>
      <c r="AK483" s="667">
        <v>0</v>
      </c>
      <c r="AL483" s="667">
        <v>0</v>
      </c>
      <c r="AM483" s="667">
        <f t="shared" si="30"/>
        <v>297194</v>
      </c>
      <c r="AN483" s="651">
        <f>ERP_27[[#This Row],[2026 Working Total]]-ERP_27[[#This Row],[LE2 Final Submission]]</f>
        <v>0</v>
      </c>
      <c r="AO483" s="665"/>
      <c r="AP483" s="665">
        <f t="shared" si="29"/>
        <v>0</v>
      </c>
      <c r="AQ483" s="391">
        <f>SUM(ERP_27[[#This Row],[AP01]:[AP06]])-SUM(ERP_27[[#This Row],[AP01 LE2]:[AP06 LE2]])</f>
        <v>0</v>
      </c>
      <c r="AR483" s="670"/>
      <c r="AS483" s="665">
        <f>ERP_27[[#This Row],[2026 Working Total to Budget/LE]]-ERP_27[[#This Row],[Giveback]]</f>
        <v>0</v>
      </c>
      <c r="AT483" s="671"/>
      <c r="AU483" s="672"/>
      <c r="AV483" s="672"/>
      <c r="AW483" s="672"/>
      <c r="AX483" s="672"/>
      <c r="AY483" s="672"/>
      <c r="AZ483" s="672"/>
      <c r="BA483" s="672"/>
      <c r="BB483" s="672"/>
      <c r="BC483" s="672"/>
      <c r="BD483" s="672">
        <v>297194</v>
      </c>
      <c r="BE483" s="672">
        <v>0</v>
      </c>
      <c r="BF483" s="672">
        <v>0</v>
      </c>
      <c r="BG483" s="672">
        <v>297194</v>
      </c>
      <c r="BH483" s="665"/>
      <c r="BI483" s="665"/>
      <c r="BJ483" s="665"/>
      <c r="BK483" s="665"/>
      <c r="BL483" s="665"/>
      <c r="BM483" s="665"/>
      <c r="BN483" s="665"/>
      <c r="BO483" s="665"/>
      <c r="BP483" s="665"/>
      <c r="BQ483" s="665">
        <v>287700</v>
      </c>
      <c r="BR483" s="665">
        <v>0</v>
      </c>
      <c r="BS483" s="665">
        <v>0</v>
      </c>
      <c r="BT483" s="665">
        <v>287700</v>
      </c>
    </row>
    <row r="484" spans="1:72" ht="15" hidden="1" customHeight="1">
      <c r="A484" s="66" t="s">
        <v>1452</v>
      </c>
      <c r="B484" s="66"/>
      <c r="C484" s="66" t="s">
        <v>205</v>
      </c>
      <c r="D484" s="66" t="s">
        <v>205</v>
      </c>
      <c r="E484" s="150" t="s">
        <v>1136</v>
      </c>
      <c r="F484" s="482" t="s">
        <v>1566</v>
      </c>
      <c r="G484" s="150" t="s">
        <v>1450</v>
      </c>
      <c r="H484" s="150" t="s">
        <v>1450</v>
      </c>
      <c r="I484" s="150" t="s">
        <v>1345</v>
      </c>
      <c r="J484" s="150" t="s">
        <v>1450</v>
      </c>
      <c r="K484" s="150" t="s">
        <v>1346</v>
      </c>
      <c r="L484" s="511" t="s">
        <v>49</v>
      </c>
      <c r="M484" s="392" t="s">
        <v>1453</v>
      </c>
      <c r="N484" s="343" t="s">
        <v>1206</v>
      </c>
      <c r="O484" s="346" t="s">
        <v>1451</v>
      </c>
      <c r="P484" s="70" t="s">
        <v>206</v>
      </c>
      <c r="Q484" s="346"/>
      <c r="R484" s="346" t="s">
        <v>1454</v>
      </c>
      <c r="S484" s="346"/>
      <c r="T484" s="150" t="s">
        <v>25</v>
      </c>
      <c r="U484" s="150"/>
      <c r="V484" s="643"/>
      <c r="W484" s="659">
        <v>400000</v>
      </c>
      <c r="X484" s="659">
        <v>300897.52</v>
      </c>
      <c r="Y484" s="669"/>
      <c r="Z484" s="657"/>
      <c r="AA484" s="714">
        <v>123337.5</v>
      </c>
      <c r="AB484" s="429">
        <v>19442.91</v>
      </c>
      <c r="AC484" s="429">
        <v>113117.11</v>
      </c>
      <c r="AD484" s="429">
        <v>5172.1500000000306</v>
      </c>
      <c r="AE484" s="429">
        <v>-24184.46000000001</v>
      </c>
      <c r="AF484" s="429">
        <v>-229891</v>
      </c>
      <c r="AG484" s="667">
        <v>-13416</v>
      </c>
      <c r="AH484" s="667">
        <v>61248</v>
      </c>
      <c r="AI484" s="667">
        <v>61248</v>
      </c>
      <c r="AJ484" s="667">
        <v>61248</v>
      </c>
      <c r="AK484" s="667">
        <v>61248</v>
      </c>
      <c r="AL484" s="667">
        <v>61248</v>
      </c>
      <c r="AM484" s="667">
        <f t="shared" si="30"/>
        <v>299818.21000000002</v>
      </c>
      <c r="AN484" s="651">
        <f>ERP_27[[#This Row],[2026 Working Total]]-ERP_27[[#This Row],[LE2 Final Submission]]</f>
        <v>-1079.3099999999977</v>
      </c>
      <c r="AO484" s="665">
        <v>-200000</v>
      </c>
      <c r="AP484" s="665">
        <f t="shared" si="29"/>
        <v>-29891</v>
      </c>
      <c r="AQ484" s="391">
        <f>SUM(ERP_27[[#This Row],[AP01]:[AP06]])-SUM(ERP_27[[#This Row],[AP01 LE2]:[AP06 LE2]])</f>
        <v>-83903.31</v>
      </c>
      <c r="AR484" s="670"/>
      <c r="AS484" s="665">
        <f>ERP_27[[#This Row],[2026 Working Total to Budget/LE]]-ERP_27[[#This Row],[Giveback]]</f>
        <v>-1079.3099999999977</v>
      </c>
      <c r="AT484" s="671" t="s">
        <v>1455</v>
      </c>
      <c r="AU484" s="672">
        <v>123337.5</v>
      </c>
      <c r="AV484" s="672">
        <v>19442.91</v>
      </c>
      <c r="AW484" s="672">
        <v>113117.11</v>
      </c>
      <c r="AX484" s="672">
        <v>5000</v>
      </c>
      <c r="AY484" s="672">
        <v>-200000</v>
      </c>
      <c r="AZ484" s="672">
        <v>30000</v>
      </c>
      <c r="BA484" s="672">
        <v>30000</v>
      </c>
      <c r="BB484" s="672">
        <v>30000</v>
      </c>
      <c r="BC484" s="672">
        <v>30000</v>
      </c>
      <c r="BD484" s="672">
        <v>40000</v>
      </c>
      <c r="BE484" s="672">
        <v>40000</v>
      </c>
      <c r="BF484" s="672">
        <v>40000</v>
      </c>
      <c r="BG484" s="672">
        <v>300897.52</v>
      </c>
      <c r="BH484" s="665">
        <v>123337.5</v>
      </c>
      <c r="BI484" s="665">
        <v>19442.91</v>
      </c>
      <c r="BJ484" s="665">
        <v>113117.11</v>
      </c>
      <c r="BK484" s="665">
        <v>30000</v>
      </c>
      <c r="BL484" s="665">
        <v>30000</v>
      </c>
      <c r="BM484" s="665">
        <v>30000</v>
      </c>
      <c r="BN484" s="665">
        <v>30000</v>
      </c>
      <c r="BO484" s="665">
        <v>30000</v>
      </c>
      <c r="BP484" s="665">
        <v>20000</v>
      </c>
      <c r="BQ484" s="665">
        <v>20000</v>
      </c>
      <c r="BR484" s="665">
        <v>20000</v>
      </c>
      <c r="BS484" s="665">
        <v>20000</v>
      </c>
      <c r="BT484" s="665">
        <v>485897.52</v>
      </c>
    </row>
    <row r="485" spans="1:72" ht="15" hidden="1" customHeight="1">
      <c r="A485" s="66" t="s">
        <v>2217</v>
      </c>
      <c r="B485" s="66"/>
      <c r="C485" s="66" t="s">
        <v>647</v>
      </c>
      <c r="D485" s="66" t="s">
        <v>647</v>
      </c>
      <c r="E485" s="150" t="s">
        <v>1136</v>
      </c>
      <c r="F485" s="482" t="s">
        <v>1566</v>
      </c>
      <c r="G485" s="150" t="s">
        <v>1135</v>
      </c>
      <c r="H485" s="150" t="s">
        <v>1135</v>
      </c>
      <c r="I485" s="150" t="s">
        <v>1135</v>
      </c>
      <c r="J485" s="150" t="s">
        <v>1135</v>
      </c>
      <c r="K485" s="150" t="s">
        <v>1137</v>
      </c>
      <c r="L485" s="511" t="s">
        <v>639</v>
      </c>
      <c r="M485" s="392" t="s">
        <v>2218</v>
      </c>
      <c r="N485" s="343"/>
      <c r="O485" s="343"/>
      <c r="P485" s="70" t="s">
        <v>648</v>
      </c>
      <c r="Q485" s="346"/>
      <c r="R485" s="343"/>
      <c r="S485" s="346"/>
      <c r="T485" s="150" t="s">
        <v>152</v>
      </c>
      <c r="U485" s="150"/>
      <c r="V485" s="643"/>
      <c r="W485" s="659">
        <v>0</v>
      </c>
      <c r="X485" s="659">
        <v>300000</v>
      </c>
      <c r="Y485" s="669"/>
      <c r="Z485" s="657"/>
      <c r="AA485" s="714"/>
      <c r="AB485" s="429"/>
      <c r="AC485" s="429"/>
      <c r="AD485" s="429" t="s">
        <v>1142</v>
      </c>
      <c r="AE485" s="429">
        <v>0</v>
      </c>
      <c r="AF485" s="429">
        <v>0</v>
      </c>
      <c r="AG485" s="667">
        <v>0</v>
      </c>
      <c r="AH485" s="667">
        <v>0</v>
      </c>
      <c r="AI485" s="667">
        <v>0</v>
      </c>
      <c r="AJ485" s="667">
        <v>300000</v>
      </c>
      <c r="AK485" s="667">
        <v>0</v>
      </c>
      <c r="AL485" s="667">
        <v>0</v>
      </c>
      <c r="AM485" s="667">
        <f t="shared" si="30"/>
        <v>300000</v>
      </c>
      <c r="AN485" s="651">
        <f>ERP_27[[#This Row],[2026 Working Total]]-ERP_27[[#This Row],[LE2 Final Submission]]</f>
        <v>0</v>
      </c>
      <c r="AO485" s="665">
        <v>62000</v>
      </c>
      <c r="AP485" s="665">
        <f t="shared" si="29"/>
        <v>-62000</v>
      </c>
      <c r="AQ485" s="391">
        <f>SUM(ERP_27[[#This Row],[AP01]:[AP06]])-SUM(ERP_27[[#This Row],[AP01 LE2]:[AP06 LE2]])</f>
        <v>-300000</v>
      </c>
      <c r="AR485" s="670"/>
      <c r="AS485" s="665">
        <f>ERP_27[[#This Row],[2026 Working Total to Budget/LE]]-ERP_27[[#This Row],[Giveback]]</f>
        <v>0</v>
      </c>
      <c r="AT485" s="671" t="s">
        <v>2216</v>
      </c>
      <c r="AU485" s="672"/>
      <c r="AV485" s="672"/>
      <c r="AW485" s="672"/>
      <c r="AX485" s="672"/>
      <c r="AY485" s="672"/>
      <c r="AZ485" s="672">
        <v>300000</v>
      </c>
      <c r="BA485" s="672">
        <v>0</v>
      </c>
      <c r="BB485" s="672">
        <v>0</v>
      </c>
      <c r="BC485" s="672">
        <v>0</v>
      </c>
      <c r="BD485" s="672">
        <v>0</v>
      </c>
      <c r="BE485" s="672">
        <v>0</v>
      </c>
      <c r="BF485" s="672">
        <v>0</v>
      </c>
      <c r="BG485" s="672">
        <v>300000</v>
      </c>
      <c r="BH485" s="665"/>
      <c r="BI485" s="665"/>
      <c r="BJ485" s="665"/>
      <c r="BK485" s="665"/>
      <c r="BL485" s="665"/>
      <c r="BM485" s="665">
        <v>300000</v>
      </c>
      <c r="BN485" s="665">
        <v>0</v>
      </c>
      <c r="BO485" s="665">
        <v>0</v>
      </c>
      <c r="BP485" s="665">
        <v>0</v>
      </c>
      <c r="BQ485" s="665">
        <v>0</v>
      </c>
      <c r="BR485" s="665">
        <v>0</v>
      </c>
      <c r="BS485" s="665">
        <v>0</v>
      </c>
      <c r="BT485" s="665">
        <v>300000</v>
      </c>
    </row>
    <row r="486" spans="1:72" ht="15" hidden="1" customHeight="1">
      <c r="A486" s="66" t="s">
        <v>1914</v>
      </c>
      <c r="B486" s="66"/>
      <c r="C486" s="66" t="s">
        <v>467</v>
      </c>
      <c r="D486" s="66" t="s">
        <v>1915</v>
      </c>
      <c r="E486" s="150" t="s">
        <v>1136</v>
      </c>
      <c r="F486" s="482" t="s">
        <v>1566</v>
      </c>
      <c r="G486" s="150" t="s">
        <v>1135</v>
      </c>
      <c r="H486" s="150" t="s">
        <v>1145</v>
      </c>
      <c r="I486" s="150" t="s">
        <v>1135</v>
      </c>
      <c r="J486" s="150" t="s">
        <v>1145</v>
      </c>
      <c r="K486" s="150" t="s">
        <v>1137</v>
      </c>
      <c r="L486" s="511" t="s">
        <v>389</v>
      </c>
      <c r="M486" s="392" t="s">
        <v>1916</v>
      </c>
      <c r="N486" s="343"/>
      <c r="O486" s="346" t="s">
        <v>1186</v>
      </c>
      <c r="P486" s="70" t="s">
        <v>468</v>
      </c>
      <c r="Q486" s="346"/>
      <c r="R486" s="346" t="s">
        <v>1917</v>
      </c>
      <c r="S486" s="346"/>
      <c r="T486" s="150" t="s">
        <v>25</v>
      </c>
      <c r="U486" s="150" t="s">
        <v>1918</v>
      </c>
      <c r="V486" s="643"/>
      <c r="W486" s="659">
        <v>301000</v>
      </c>
      <c r="X486" s="659">
        <v>305973.58</v>
      </c>
      <c r="Y486" s="669"/>
      <c r="Z486" s="657"/>
      <c r="AA486" s="714">
        <v>80223.58</v>
      </c>
      <c r="AB486" s="429">
        <v>0</v>
      </c>
      <c r="AC486" s="429">
        <v>0</v>
      </c>
      <c r="AD486" s="429">
        <v>80223.58</v>
      </c>
      <c r="AE486" s="429">
        <v>0</v>
      </c>
      <c r="AF486" s="429">
        <v>0</v>
      </c>
      <c r="AG486" s="667">
        <v>0</v>
      </c>
      <c r="AH486" s="667">
        <v>70500</v>
      </c>
      <c r="AI486" s="667">
        <v>0</v>
      </c>
      <c r="AJ486" s="667">
        <v>70500</v>
      </c>
      <c r="AK486" s="667">
        <v>0</v>
      </c>
      <c r="AL486" s="667">
        <v>0</v>
      </c>
      <c r="AM486" s="667">
        <f t="shared" si="30"/>
        <v>301447.16000000003</v>
      </c>
      <c r="AN486" s="651">
        <f>ERP_27[[#This Row],[2026 Working Total]]-ERP_27[[#This Row],[LE2 Final Submission]]</f>
        <v>-4526.4199999999837</v>
      </c>
      <c r="AO486" s="665">
        <v>0</v>
      </c>
      <c r="AP486" s="665">
        <f t="shared" si="29"/>
        <v>0</v>
      </c>
      <c r="AQ486" s="391">
        <f>SUM(ERP_27[[#This Row],[AP01]:[AP06]])-SUM(ERP_27[[#This Row],[AP01 LE2]:[AP06 LE2]])</f>
        <v>4973.5799999999872</v>
      </c>
      <c r="AR486" s="670"/>
      <c r="AS486" s="665">
        <f>ERP_27[[#This Row],[2026 Working Total to Budget/LE]]-ERP_27[[#This Row],[Giveback]]</f>
        <v>-4526.4199999999837</v>
      </c>
      <c r="AT486" s="671"/>
      <c r="AU486" s="672">
        <v>80223.58</v>
      </c>
      <c r="AV486" s="672">
        <v>0</v>
      </c>
      <c r="AW486" s="672">
        <v>0</v>
      </c>
      <c r="AX486" s="672">
        <v>75250</v>
      </c>
      <c r="AY486" s="672">
        <v>0</v>
      </c>
      <c r="AZ486" s="672">
        <v>0</v>
      </c>
      <c r="BA486" s="672">
        <v>75250</v>
      </c>
      <c r="BB486" s="672">
        <v>0</v>
      </c>
      <c r="BC486" s="672">
        <v>0</v>
      </c>
      <c r="BD486" s="672">
        <v>75250</v>
      </c>
      <c r="BE486" s="672">
        <v>0</v>
      </c>
      <c r="BF486" s="672">
        <v>0</v>
      </c>
      <c r="BG486" s="672">
        <v>305973.58</v>
      </c>
      <c r="BH486" s="665">
        <v>80223.58</v>
      </c>
      <c r="BI486" s="665">
        <v>0</v>
      </c>
      <c r="BJ486" s="665">
        <v>0</v>
      </c>
      <c r="BK486" s="665">
        <v>75250</v>
      </c>
      <c r="BL486" s="665">
        <v>0</v>
      </c>
      <c r="BM486" s="665">
        <v>0</v>
      </c>
      <c r="BN486" s="665">
        <v>75250</v>
      </c>
      <c r="BO486" s="665">
        <v>0</v>
      </c>
      <c r="BP486" s="665">
        <v>0</v>
      </c>
      <c r="BQ486" s="665">
        <v>75250</v>
      </c>
      <c r="BR486" s="665">
        <v>0</v>
      </c>
      <c r="BS486" s="665">
        <v>0</v>
      </c>
      <c r="BT486" s="665">
        <v>305973.58</v>
      </c>
    </row>
    <row r="487" spans="1:72" ht="15" hidden="1" customHeight="1">
      <c r="A487" s="66" t="s">
        <v>2482</v>
      </c>
      <c r="B487" s="66"/>
      <c r="C487" s="66" t="s">
        <v>819</v>
      </c>
      <c r="D487" s="66" t="s">
        <v>819</v>
      </c>
      <c r="E487" s="150" t="s">
        <v>1136</v>
      </c>
      <c r="F487" s="482" t="s">
        <v>1566</v>
      </c>
      <c r="G487" s="150" t="s">
        <v>1135</v>
      </c>
      <c r="H487" s="150" t="s">
        <v>1135</v>
      </c>
      <c r="I487" s="150" t="s">
        <v>1135</v>
      </c>
      <c r="J487" s="150" t="s">
        <v>1135</v>
      </c>
      <c r="K487" s="150" t="s">
        <v>1137</v>
      </c>
      <c r="L487" s="511" t="s">
        <v>639</v>
      </c>
      <c r="M487" s="396" t="s">
        <v>2483</v>
      </c>
      <c r="N487" s="343" t="s">
        <v>2484</v>
      </c>
      <c r="O487" s="346" t="s">
        <v>1171</v>
      </c>
      <c r="P487" s="70" t="s">
        <v>820</v>
      </c>
      <c r="Q487" s="346"/>
      <c r="R487" s="346" t="s">
        <v>1187</v>
      </c>
      <c r="S487" s="346"/>
      <c r="T487" s="385" t="s">
        <v>821</v>
      </c>
      <c r="U487" s="184" t="s">
        <v>2485</v>
      </c>
      <c r="V487" s="643"/>
      <c r="W487" s="659">
        <v>280976</v>
      </c>
      <c r="X487" s="659">
        <v>290275.11</v>
      </c>
      <c r="Y487" s="669"/>
      <c r="Z487" s="657"/>
      <c r="AA487" s="714"/>
      <c r="AB487" s="429"/>
      <c r="AC487" s="429"/>
      <c r="AD487" s="429" t="s">
        <v>1142</v>
      </c>
      <c r="AE487" s="429">
        <v>390539.25000000006</v>
      </c>
      <c r="AF487" s="429">
        <v>-88688.920000000013</v>
      </c>
      <c r="AG487" s="667"/>
      <c r="AH487" s="667">
        <v>0</v>
      </c>
      <c r="AI487" s="667">
        <v>0</v>
      </c>
      <c r="AJ487" s="667">
        <v>0</v>
      </c>
      <c r="AK487" s="667">
        <v>0</v>
      </c>
      <c r="AL487" s="667">
        <v>0</v>
      </c>
      <c r="AM487" s="667">
        <f t="shared" si="30"/>
        <v>301850.33000000007</v>
      </c>
      <c r="AN487" s="651">
        <f>ERP_27[[#This Row],[2026 Working Total]]-ERP_27[[#This Row],[LE2 Final Submission]]</f>
        <v>11575.220000000088</v>
      </c>
      <c r="AO487" s="665">
        <v>290275.11</v>
      </c>
      <c r="AP487" s="665">
        <f t="shared" si="29"/>
        <v>-378964.03</v>
      </c>
      <c r="AQ487" s="391">
        <f>SUM(ERP_27[[#This Row],[AP01]:[AP06]])-SUM(ERP_27[[#This Row],[AP01 LE2]:[AP06 LE2]])</f>
        <v>11575.220000000088</v>
      </c>
      <c r="AR487" s="670"/>
      <c r="AS487" s="665">
        <f>ERP_27[[#This Row],[2026 Working Total to Budget/LE]]-ERP_27[[#This Row],[Giveback]]</f>
        <v>11575.220000000088</v>
      </c>
      <c r="AT487" s="671"/>
      <c r="AU487" s="672"/>
      <c r="AV487" s="672"/>
      <c r="AW487" s="672"/>
      <c r="AX487" s="672"/>
      <c r="AY487" s="672">
        <v>290275.11</v>
      </c>
      <c r="AZ487" s="672">
        <v>0</v>
      </c>
      <c r="BA487" s="672">
        <v>0</v>
      </c>
      <c r="BB487" s="672">
        <v>0</v>
      </c>
      <c r="BC487" s="672">
        <v>0</v>
      </c>
      <c r="BD487" s="672">
        <v>0</v>
      </c>
      <c r="BE487" s="672">
        <v>0</v>
      </c>
      <c r="BF487" s="672">
        <v>0</v>
      </c>
      <c r="BG487" s="672">
        <v>290275.11</v>
      </c>
      <c r="BH487" s="665"/>
      <c r="BI487" s="665"/>
      <c r="BJ487" s="665"/>
      <c r="BK487" s="665"/>
      <c r="BL487" s="665">
        <v>280976</v>
      </c>
      <c r="BM487" s="665">
        <v>0</v>
      </c>
      <c r="BN487" s="665">
        <v>0</v>
      </c>
      <c r="BO487" s="665">
        <v>0</v>
      </c>
      <c r="BP487" s="665">
        <v>0</v>
      </c>
      <c r="BQ487" s="665">
        <v>0</v>
      </c>
      <c r="BR487" s="665">
        <v>0</v>
      </c>
      <c r="BS487" s="665">
        <v>0</v>
      </c>
      <c r="BT487" s="665">
        <v>280976</v>
      </c>
    </row>
    <row r="488" spans="1:72" ht="15" hidden="1" customHeight="1">
      <c r="A488" s="66" t="s">
        <v>2518</v>
      </c>
      <c r="B488" s="66"/>
      <c r="C488" s="66" t="s">
        <v>847</v>
      </c>
      <c r="D488" s="66" t="s">
        <v>2519</v>
      </c>
      <c r="E488" s="150" t="s">
        <v>1136</v>
      </c>
      <c r="F488" s="482" t="s">
        <v>1566</v>
      </c>
      <c r="G488" s="150" t="s">
        <v>1135</v>
      </c>
      <c r="H488" s="150" t="s">
        <v>1145</v>
      </c>
      <c r="I488" s="150" t="s">
        <v>1135</v>
      </c>
      <c r="J488" s="150" t="s">
        <v>1145</v>
      </c>
      <c r="K488" s="150" t="s">
        <v>1137</v>
      </c>
      <c r="L488" s="511" t="s">
        <v>639</v>
      </c>
      <c r="M488" s="392" t="s">
        <v>2520</v>
      </c>
      <c r="N488" s="343"/>
      <c r="O488" s="346" t="s">
        <v>1186</v>
      </c>
      <c r="P488" s="70" t="s">
        <v>848</v>
      </c>
      <c r="Q488" s="346"/>
      <c r="R488" s="346" t="s">
        <v>1187</v>
      </c>
      <c r="S488" s="346"/>
      <c r="T488" s="150" t="s">
        <v>849</v>
      </c>
      <c r="U488" s="150" t="s">
        <v>2521</v>
      </c>
      <c r="V488" s="643"/>
      <c r="W488" s="659">
        <v>307237.74</v>
      </c>
      <c r="X488" s="659">
        <v>331713.26</v>
      </c>
      <c r="Y488" s="669"/>
      <c r="Z488" s="657"/>
      <c r="AA488" s="714">
        <v>67277.88</v>
      </c>
      <c r="AB488" s="429">
        <v>13527.14</v>
      </c>
      <c r="AC488" s="429">
        <v>16908.240000000002</v>
      </c>
      <c r="AD488" s="429">
        <v>36231.229999999996</v>
      </c>
      <c r="AE488" s="429">
        <v>37708.980000000003</v>
      </c>
      <c r="AF488" s="429">
        <v>0</v>
      </c>
      <c r="AG488" s="667">
        <v>47249</v>
      </c>
      <c r="AH488" s="667"/>
      <c r="AI488" s="667"/>
      <c r="AJ488" s="667">
        <v>47249</v>
      </c>
      <c r="AK488" s="667">
        <v>0</v>
      </c>
      <c r="AL488" s="667">
        <v>47249</v>
      </c>
      <c r="AM488" s="667">
        <f t="shared" si="30"/>
        <v>313400.46999999997</v>
      </c>
      <c r="AN488" s="651">
        <f>ERP_27[[#This Row],[2026 Working Total]]-ERP_27[[#This Row],[LE2 Final Submission]]</f>
        <v>-18312.790000000037</v>
      </c>
      <c r="AO488" s="665">
        <v>0</v>
      </c>
      <c r="AP488" s="665">
        <f t="shared" si="29"/>
        <v>0</v>
      </c>
      <c r="AQ488" s="391">
        <f>SUM(ERP_27[[#This Row],[AP01]:[AP06]])-SUM(ERP_27[[#This Row],[AP01 LE2]:[AP06 LE2]])</f>
        <v>-4059.7900000000081</v>
      </c>
      <c r="AR488" s="670"/>
      <c r="AS488" s="665">
        <f>ERP_27[[#This Row],[2026 Working Total to Budget/LE]]-ERP_27[[#This Row],[Giveback]]</f>
        <v>-18312.790000000037</v>
      </c>
      <c r="AT488" s="671"/>
      <c r="AU488" s="672">
        <v>67277.88</v>
      </c>
      <c r="AV488" s="672">
        <v>13527.14</v>
      </c>
      <c r="AW488" s="672">
        <v>16908.240000000002</v>
      </c>
      <c r="AX488" s="672">
        <v>0</v>
      </c>
      <c r="AY488" s="672">
        <v>0</v>
      </c>
      <c r="AZ488" s="672">
        <v>78000</v>
      </c>
      <c r="BA488" s="672">
        <v>0</v>
      </c>
      <c r="BB488" s="672">
        <v>0</v>
      </c>
      <c r="BC488" s="672">
        <v>78000</v>
      </c>
      <c r="BD488" s="672">
        <v>0</v>
      </c>
      <c r="BE488" s="672">
        <v>0</v>
      </c>
      <c r="BF488" s="672">
        <v>78000</v>
      </c>
      <c r="BG488" s="672">
        <v>331713.26</v>
      </c>
      <c r="BH488" s="665">
        <v>67277.88</v>
      </c>
      <c r="BI488" s="665">
        <v>13527.14</v>
      </c>
      <c r="BJ488" s="665">
        <v>16908.240000000002</v>
      </c>
      <c r="BK488" s="665">
        <v>0</v>
      </c>
      <c r="BL488" s="665">
        <v>0</v>
      </c>
      <c r="BM488" s="665">
        <v>78000</v>
      </c>
      <c r="BN488" s="665">
        <v>0</v>
      </c>
      <c r="BO488" s="665">
        <v>0</v>
      </c>
      <c r="BP488" s="665">
        <v>78000</v>
      </c>
      <c r="BQ488" s="665">
        <v>0</v>
      </c>
      <c r="BR488" s="665">
        <v>0</v>
      </c>
      <c r="BS488" s="665">
        <v>78000</v>
      </c>
      <c r="BT488" s="665">
        <v>331713.26</v>
      </c>
    </row>
    <row r="489" spans="1:72" ht="15" hidden="1" customHeight="1">
      <c r="A489" s="66" t="s">
        <v>1872</v>
      </c>
      <c r="B489" s="66"/>
      <c r="C489" s="66" t="s">
        <v>456</v>
      </c>
      <c r="D489" s="66" t="s">
        <v>1873</v>
      </c>
      <c r="E489" s="150" t="s">
        <v>1136</v>
      </c>
      <c r="F489" s="482" t="s">
        <v>1566</v>
      </c>
      <c r="G489" s="150" t="s">
        <v>1135</v>
      </c>
      <c r="H489" s="150" t="s">
        <v>1165</v>
      </c>
      <c r="I489" s="150" t="s">
        <v>1135</v>
      </c>
      <c r="J489" s="150" t="s">
        <v>1165</v>
      </c>
      <c r="K489" s="150" t="s">
        <v>1137</v>
      </c>
      <c r="L489" s="511" t="s">
        <v>389</v>
      </c>
      <c r="M489" s="392" t="s">
        <v>1874</v>
      </c>
      <c r="N489" s="343"/>
      <c r="O489" s="343"/>
      <c r="P489" s="70" t="s">
        <v>457</v>
      </c>
      <c r="Q489" s="346"/>
      <c r="R489" s="343"/>
      <c r="S489" s="346"/>
      <c r="T489" s="150" t="s">
        <v>25</v>
      </c>
      <c r="U489" s="150"/>
      <c r="V489" s="643"/>
      <c r="W489" s="659">
        <v>335904</v>
      </c>
      <c r="X489" s="659">
        <v>335903.61</v>
      </c>
      <c r="Y489" s="669"/>
      <c r="Z489" s="657"/>
      <c r="AA489" s="714">
        <v>0.04</v>
      </c>
      <c r="AB489" s="429">
        <v>55984.1</v>
      </c>
      <c r="AC489" s="429">
        <v>27991.47</v>
      </c>
      <c r="AD489" s="429">
        <v>23070.760000000002</v>
      </c>
      <c r="AE489" s="429">
        <v>32913.769999999997</v>
      </c>
      <c r="AF489" s="429">
        <v>27991.9</v>
      </c>
      <c r="AG489" s="667">
        <v>27992</v>
      </c>
      <c r="AH489" s="667">
        <v>27992</v>
      </c>
      <c r="AI489" s="667">
        <v>27992</v>
      </c>
      <c r="AJ489" s="667">
        <v>27992</v>
      </c>
      <c r="AK489" s="667">
        <v>27992</v>
      </c>
      <c r="AL489" s="667">
        <v>27992</v>
      </c>
      <c r="AM489" s="667">
        <f t="shared" si="30"/>
        <v>335904.04</v>
      </c>
      <c r="AN489" s="651">
        <f>ERP_27[[#This Row],[2026 Working Total]]-ERP_27[[#This Row],[LE2 Final Submission]]</f>
        <v>0.42999999999301508</v>
      </c>
      <c r="AO489" s="665">
        <v>27992</v>
      </c>
      <c r="AP489" s="665">
        <f t="shared" si="29"/>
        <v>-9.9999999998544808E-2</v>
      </c>
      <c r="AQ489" s="391">
        <f>SUM(ERP_27[[#This Row],[AP01]:[AP06]])-SUM(ERP_27[[#This Row],[AP01 LE2]:[AP06 LE2]])</f>
        <v>0.42999999999301508</v>
      </c>
      <c r="AR489" s="670"/>
      <c r="AS489" s="665">
        <f>ERP_27[[#This Row],[2026 Working Total to Budget/LE]]-ERP_27[[#This Row],[Giveback]]</f>
        <v>0.42999999999301508</v>
      </c>
      <c r="AT489" s="671"/>
      <c r="AU489" s="672">
        <v>0.04</v>
      </c>
      <c r="AV489" s="672">
        <v>55984.1</v>
      </c>
      <c r="AW489" s="672">
        <v>27991.47</v>
      </c>
      <c r="AX489" s="672">
        <v>27992</v>
      </c>
      <c r="AY489" s="672">
        <v>27992</v>
      </c>
      <c r="AZ489" s="672">
        <v>27992</v>
      </c>
      <c r="BA489" s="672">
        <v>27992</v>
      </c>
      <c r="BB489" s="672">
        <v>27992</v>
      </c>
      <c r="BC489" s="672">
        <v>27992</v>
      </c>
      <c r="BD489" s="672">
        <v>27992</v>
      </c>
      <c r="BE489" s="672">
        <v>27992</v>
      </c>
      <c r="BF489" s="672">
        <v>27992</v>
      </c>
      <c r="BG489" s="672">
        <v>335903.61</v>
      </c>
      <c r="BH489" s="665">
        <v>0.04</v>
      </c>
      <c r="BI489" s="665">
        <v>55984.1</v>
      </c>
      <c r="BJ489" s="665">
        <v>27991.47</v>
      </c>
      <c r="BK489" s="665">
        <v>27992</v>
      </c>
      <c r="BL489" s="665">
        <v>27992</v>
      </c>
      <c r="BM489" s="665">
        <v>27992</v>
      </c>
      <c r="BN489" s="665">
        <v>27992</v>
      </c>
      <c r="BO489" s="665">
        <v>27992</v>
      </c>
      <c r="BP489" s="665">
        <v>27992</v>
      </c>
      <c r="BQ489" s="665">
        <v>27992</v>
      </c>
      <c r="BR489" s="665">
        <v>27992</v>
      </c>
      <c r="BS489" s="665">
        <v>27992</v>
      </c>
      <c r="BT489" s="665">
        <v>335903.61</v>
      </c>
    </row>
    <row r="490" spans="1:72" ht="15" hidden="1" customHeight="1">
      <c r="A490" s="66" t="s">
        <v>1378</v>
      </c>
      <c r="B490" s="66"/>
      <c r="C490" s="66" t="s">
        <v>172</v>
      </c>
      <c r="D490" s="66" t="s">
        <v>172</v>
      </c>
      <c r="E490" s="150" t="s">
        <v>1136</v>
      </c>
      <c r="F490" s="482" t="s">
        <v>1566</v>
      </c>
      <c r="G490" s="383" t="s">
        <v>1344</v>
      </c>
      <c r="H490" s="383" t="s">
        <v>1344</v>
      </c>
      <c r="I490" s="150" t="s">
        <v>1345</v>
      </c>
      <c r="J490" s="150" t="s">
        <v>1344</v>
      </c>
      <c r="K490" s="150" t="s">
        <v>1346</v>
      </c>
      <c r="L490" s="511" t="s">
        <v>49</v>
      </c>
      <c r="M490" s="392" t="s">
        <v>1379</v>
      </c>
      <c r="N490" s="343"/>
      <c r="O490" s="346" t="s">
        <v>1363</v>
      </c>
      <c r="P490" s="70" t="s">
        <v>173</v>
      </c>
      <c r="Q490" s="346"/>
      <c r="R490" s="346" t="s">
        <v>1380</v>
      </c>
      <c r="S490" s="346"/>
      <c r="T490" s="150" t="s">
        <v>25</v>
      </c>
      <c r="U490" s="150"/>
      <c r="V490" s="643"/>
      <c r="W490" s="659">
        <v>515000</v>
      </c>
      <c r="X490" s="659">
        <v>335362.38</v>
      </c>
      <c r="Y490" s="669"/>
      <c r="Z490" s="657"/>
      <c r="AA490" s="714"/>
      <c r="AB490" s="429">
        <v>66916.990000000005</v>
      </c>
      <c r="AC490" s="429">
        <v>75010.39</v>
      </c>
      <c r="AD490" s="429">
        <v>45158.709999999992</v>
      </c>
      <c r="AE490" s="429">
        <v>45158.710000000006</v>
      </c>
      <c r="AF490" s="429">
        <v>56448.39</v>
      </c>
      <c r="AG490" s="667">
        <v>25000</v>
      </c>
      <c r="AH490" s="667">
        <v>22236</v>
      </c>
      <c r="AI490" s="667">
        <v>0</v>
      </c>
      <c r="AJ490" s="667">
        <v>0</v>
      </c>
      <c r="AK490" s="667">
        <v>0</v>
      </c>
      <c r="AL490" s="667">
        <v>0</v>
      </c>
      <c r="AM490" s="667">
        <f t="shared" si="30"/>
        <v>335929.19</v>
      </c>
      <c r="AN490" s="651">
        <f>ERP_27[[#This Row],[2026 Working Total]]-ERP_27[[#This Row],[LE2 Final Submission]]</f>
        <v>566.80999999999767</v>
      </c>
      <c r="AO490" s="665">
        <v>40792</v>
      </c>
      <c r="AP490" s="665">
        <f t="shared" si="29"/>
        <v>15656.39</v>
      </c>
      <c r="AQ490" s="391">
        <f>SUM(ERP_27[[#This Row],[AP01]:[AP06]])-SUM(ERP_27[[#This Row],[AP01 LE2]:[AP06 LE2]])</f>
        <v>22330.809999999998</v>
      </c>
      <c r="AR490" s="670">
        <v>180000</v>
      </c>
      <c r="AS490" s="665">
        <f>ERP_27[[#This Row],[2026 Working Total to Budget/LE]]-ERP_27[[#This Row],[Giveback]]</f>
        <v>-179433.19</v>
      </c>
      <c r="AT490" s="671" t="s">
        <v>1381</v>
      </c>
      <c r="AU490" s="672"/>
      <c r="AV490" s="672">
        <v>66916.990000000005</v>
      </c>
      <c r="AW490" s="672">
        <v>75010.39</v>
      </c>
      <c r="AX490" s="672">
        <v>40062</v>
      </c>
      <c r="AY490" s="672">
        <v>40792</v>
      </c>
      <c r="AZ490" s="672">
        <v>43581</v>
      </c>
      <c r="BA490" s="672">
        <v>35000</v>
      </c>
      <c r="BB490" s="672">
        <v>34000</v>
      </c>
      <c r="BC490" s="672">
        <v>0</v>
      </c>
      <c r="BD490" s="672">
        <v>0</v>
      </c>
      <c r="BE490" s="672">
        <v>0</v>
      </c>
      <c r="BF490" s="672">
        <v>0</v>
      </c>
      <c r="BG490" s="672">
        <v>335362.38</v>
      </c>
      <c r="BH490" s="665"/>
      <c r="BI490" s="665">
        <v>66916.990000000005</v>
      </c>
      <c r="BJ490" s="665">
        <v>75010.39</v>
      </c>
      <c r="BK490" s="665">
        <v>48286</v>
      </c>
      <c r="BL490" s="665">
        <v>48386</v>
      </c>
      <c r="BM490" s="665">
        <v>48286</v>
      </c>
      <c r="BN490" s="665">
        <v>38449</v>
      </c>
      <c r="BO490" s="665">
        <v>38449</v>
      </c>
      <c r="BP490" s="665">
        <v>44462</v>
      </c>
      <c r="BQ490" s="665">
        <v>44462</v>
      </c>
      <c r="BR490" s="665">
        <v>44462</v>
      </c>
      <c r="BS490" s="665">
        <v>44462</v>
      </c>
      <c r="BT490" s="665">
        <v>541631.38</v>
      </c>
    </row>
    <row r="491" spans="1:72" ht="15" hidden="1" customHeight="1">
      <c r="A491" s="66" t="s">
        <v>1936</v>
      </c>
      <c r="B491" s="66"/>
      <c r="C491" s="66" t="s">
        <v>479</v>
      </c>
      <c r="D491" s="66" t="s">
        <v>1937</v>
      </c>
      <c r="E491" s="150" t="s">
        <v>1136</v>
      </c>
      <c r="F491" s="482" t="s">
        <v>1566</v>
      </c>
      <c r="G491" s="150" t="s">
        <v>1135</v>
      </c>
      <c r="H491" s="150" t="s">
        <v>1165</v>
      </c>
      <c r="I491" s="150" t="s">
        <v>1135</v>
      </c>
      <c r="J491" s="150" t="s">
        <v>1165</v>
      </c>
      <c r="K491" s="150" t="s">
        <v>1137</v>
      </c>
      <c r="L491" s="511" t="s">
        <v>389</v>
      </c>
      <c r="M491" s="392" t="s">
        <v>1938</v>
      </c>
      <c r="N491" s="343"/>
      <c r="O491" s="343"/>
      <c r="P491" s="70" t="s">
        <v>480</v>
      </c>
      <c r="Q491" s="346"/>
      <c r="R491" s="343"/>
      <c r="S491" s="346"/>
      <c r="T491" s="150" t="s">
        <v>478</v>
      </c>
      <c r="U491" s="150"/>
      <c r="V491" s="643"/>
      <c r="W491" s="659">
        <v>345000</v>
      </c>
      <c r="X491" s="659">
        <v>333579.34999999998</v>
      </c>
      <c r="Y491" s="669"/>
      <c r="Z491" s="657"/>
      <c r="AA491" s="714"/>
      <c r="AB491" s="429"/>
      <c r="AC491" s="429">
        <v>80924.350000000006</v>
      </c>
      <c r="AD491" s="429">
        <v>25748.649999999994</v>
      </c>
      <c r="AE491" s="429">
        <v>35684.65</v>
      </c>
      <c r="AF491" s="429">
        <v>28214.84</v>
      </c>
      <c r="AG491" s="667">
        <v>29498</v>
      </c>
      <c r="AH491" s="667">
        <v>26933</v>
      </c>
      <c r="AI491" s="667">
        <v>28215</v>
      </c>
      <c r="AJ491" s="667">
        <v>28215</v>
      </c>
      <c r="AK491" s="667">
        <v>26933</v>
      </c>
      <c r="AL491" s="667">
        <v>29498</v>
      </c>
      <c r="AM491" s="667">
        <f t="shared" si="30"/>
        <v>339864.49</v>
      </c>
      <c r="AN491" s="651">
        <f>ERP_27[[#This Row],[2026 Working Total]]-ERP_27[[#This Row],[LE2 Final Submission]]</f>
        <v>6285.140000000014</v>
      </c>
      <c r="AO491" s="665">
        <v>26933</v>
      </c>
      <c r="AP491" s="665">
        <f t="shared" si="29"/>
        <v>1281.8400000000001</v>
      </c>
      <c r="AQ491" s="391">
        <f>SUM(ERP_27[[#This Row],[AP01]:[AP06]])-SUM(ERP_27[[#This Row],[AP01 LE2]:[AP06 LE2]])</f>
        <v>6285.1399999999849</v>
      </c>
      <c r="AR491" s="670"/>
      <c r="AS491" s="665">
        <f>ERP_27[[#This Row],[2026 Working Total to Budget/LE]]-ERP_27[[#This Row],[Giveback]]</f>
        <v>6285.140000000014</v>
      </c>
      <c r="AT491" s="671"/>
      <c r="AU491" s="672"/>
      <c r="AV491" s="672"/>
      <c r="AW491" s="672">
        <v>80924.350000000006</v>
      </c>
      <c r="AX491" s="672">
        <v>28215</v>
      </c>
      <c r="AY491" s="672">
        <v>26933</v>
      </c>
      <c r="AZ491" s="672">
        <v>28215</v>
      </c>
      <c r="BA491" s="672">
        <v>29498</v>
      </c>
      <c r="BB491" s="672">
        <v>26933</v>
      </c>
      <c r="BC491" s="672">
        <v>28215</v>
      </c>
      <c r="BD491" s="672">
        <v>28215</v>
      </c>
      <c r="BE491" s="672">
        <v>26933</v>
      </c>
      <c r="BF491" s="672">
        <v>29498</v>
      </c>
      <c r="BG491" s="672">
        <v>333579.34999999998</v>
      </c>
      <c r="BH491" s="665"/>
      <c r="BI491" s="665"/>
      <c r="BJ491" s="665">
        <v>80924.350000000006</v>
      </c>
      <c r="BK491" s="665">
        <v>27894</v>
      </c>
      <c r="BL491" s="665">
        <v>27894</v>
      </c>
      <c r="BM491" s="665">
        <v>27894</v>
      </c>
      <c r="BN491" s="665">
        <v>27894</v>
      </c>
      <c r="BO491" s="665">
        <v>27894</v>
      </c>
      <c r="BP491" s="665">
        <v>27894</v>
      </c>
      <c r="BQ491" s="665">
        <v>27894</v>
      </c>
      <c r="BR491" s="665">
        <v>27894</v>
      </c>
      <c r="BS491" s="665">
        <v>27894</v>
      </c>
      <c r="BT491" s="665">
        <v>331970.34999999998</v>
      </c>
    </row>
    <row r="492" spans="1:72" ht="15" hidden="1" customHeight="1">
      <c r="A492" s="66" t="s">
        <v>2145</v>
      </c>
      <c r="B492" s="66"/>
      <c r="C492" s="66" t="s">
        <v>600</v>
      </c>
      <c r="D492" s="66" t="s">
        <v>600</v>
      </c>
      <c r="E492" s="150" t="s">
        <v>1136</v>
      </c>
      <c r="F492" s="482" t="s">
        <v>1566</v>
      </c>
      <c r="G492" s="150" t="s">
        <v>1650</v>
      </c>
      <c r="H492" s="150" t="s">
        <v>1650</v>
      </c>
      <c r="I492" s="150" t="s">
        <v>1650</v>
      </c>
      <c r="J492" s="150" t="s">
        <v>1650</v>
      </c>
      <c r="K492" s="150" t="s">
        <v>1650</v>
      </c>
      <c r="L492" s="511" t="s">
        <v>389</v>
      </c>
      <c r="M492" s="392" t="s">
        <v>1327</v>
      </c>
      <c r="N492" s="343"/>
      <c r="O492" s="343"/>
      <c r="P492" s="70" t="s">
        <v>147</v>
      </c>
      <c r="Q492" s="346"/>
      <c r="R492" s="343"/>
      <c r="S492" s="346"/>
      <c r="T492" s="150" t="s">
        <v>25</v>
      </c>
      <c r="U492" s="150" t="s">
        <v>2147</v>
      </c>
      <c r="V492" s="643"/>
      <c r="W492" s="659">
        <v>0</v>
      </c>
      <c r="X492" s="659">
        <v>-0.03</v>
      </c>
      <c r="Y492" s="669"/>
      <c r="Z492" s="657"/>
      <c r="AA492" s="714"/>
      <c r="AB492" s="429"/>
      <c r="AC492" s="429">
        <v>-0.03</v>
      </c>
      <c r="AD492" s="429">
        <v>-0.38</v>
      </c>
      <c r="AE492" s="429">
        <v>0.61</v>
      </c>
      <c r="AF492" s="429">
        <v>341292.15</v>
      </c>
      <c r="AG492" s="667">
        <v>0</v>
      </c>
      <c r="AH492" s="667">
        <v>0</v>
      </c>
      <c r="AI492" s="667">
        <v>0</v>
      </c>
      <c r="AJ492" s="667">
        <v>0</v>
      </c>
      <c r="AK492" s="667">
        <v>0</v>
      </c>
      <c r="AL492" s="667">
        <v>0</v>
      </c>
      <c r="AM492" s="667">
        <f t="shared" si="30"/>
        <v>341292.35000000003</v>
      </c>
      <c r="AN492" s="651">
        <f>ERP_27[[#This Row],[2026 Working Total]]-ERP_27[[#This Row],[LE2 Final Submission]]</f>
        <v>341292.38000000006</v>
      </c>
      <c r="AO492" s="665">
        <v>0</v>
      </c>
      <c r="AP492" s="665">
        <f t="shared" si="29"/>
        <v>341292.15</v>
      </c>
      <c r="AQ492" s="391">
        <f>SUM(ERP_27[[#This Row],[AP01]:[AP06]])-SUM(ERP_27[[#This Row],[AP01 LE2]:[AP06 LE2]])</f>
        <v>341292.38000000006</v>
      </c>
      <c r="AR492" s="670"/>
      <c r="AS492" s="665">
        <f>ERP_27[[#This Row],[2026 Working Total to Budget/LE]]-ERP_27[[#This Row],[Giveback]]</f>
        <v>341292.38000000006</v>
      </c>
      <c r="AT492" s="671"/>
      <c r="AU492" s="672"/>
      <c r="AV492" s="672"/>
      <c r="AW492" s="672">
        <v>-0.03</v>
      </c>
      <c r="AX492" s="672">
        <v>0</v>
      </c>
      <c r="AY492" s="672">
        <v>0</v>
      </c>
      <c r="AZ492" s="672">
        <v>0</v>
      </c>
      <c r="BA492" s="672">
        <v>0</v>
      </c>
      <c r="BB492" s="672">
        <v>0</v>
      </c>
      <c r="BC492" s="672">
        <v>0</v>
      </c>
      <c r="BD492" s="672">
        <v>0</v>
      </c>
      <c r="BE492" s="672">
        <v>0</v>
      </c>
      <c r="BF492" s="672">
        <v>0</v>
      </c>
      <c r="BG492" s="672">
        <v>-0.03</v>
      </c>
      <c r="BH492" s="665"/>
      <c r="BI492" s="665"/>
      <c r="BJ492" s="665">
        <v>-0.03</v>
      </c>
      <c r="BK492" s="665">
        <v>0</v>
      </c>
      <c r="BL492" s="665">
        <v>0</v>
      </c>
      <c r="BM492" s="665">
        <v>0</v>
      </c>
      <c r="BN492" s="665">
        <v>0</v>
      </c>
      <c r="BO492" s="665">
        <v>0</v>
      </c>
      <c r="BP492" s="665">
        <v>0</v>
      </c>
      <c r="BQ492" s="665">
        <v>0</v>
      </c>
      <c r="BR492" s="665">
        <v>0</v>
      </c>
      <c r="BS492" s="665">
        <v>0</v>
      </c>
      <c r="BT492" s="665">
        <v>-0.03</v>
      </c>
    </row>
    <row r="493" spans="1:72" ht="15" customHeight="1">
      <c r="A493" s="66" t="s">
        <v>2730</v>
      </c>
      <c r="B493" s="66"/>
      <c r="C493" s="66" t="s">
        <v>975</v>
      </c>
      <c r="D493" s="66" t="s">
        <v>2731</v>
      </c>
      <c r="E493" s="150" t="s">
        <v>1136</v>
      </c>
      <c r="F493" s="482" t="s">
        <v>1566</v>
      </c>
      <c r="G493" s="383" t="s">
        <v>1480</v>
      </c>
      <c r="H493" s="150" t="s">
        <v>1481</v>
      </c>
      <c r="I493" s="150" t="s">
        <v>1345</v>
      </c>
      <c r="J493" s="150" t="s">
        <v>1481</v>
      </c>
      <c r="K493" s="150" t="s">
        <v>1346</v>
      </c>
      <c r="L493" s="511" t="s">
        <v>639</v>
      </c>
      <c r="M493" s="392" t="s">
        <v>1508</v>
      </c>
      <c r="N493" s="343"/>
      <c r="O493" s="343"/>
      <c r="P493" s="70" t="s">
        <v>236</v>
      </c>
      <c r="Q493" s="346"/>
      <c r="R493" s="343"/>
      <c r="S493" s="346"/>
      <c r="T493" s="150" t="s">
        <v>25</v>
      </c>
      <c r="U493" s="150" t="s">
        <v>1483</v>
      </c>
      <c r="V493" s="643"/>
      <c r="W493" s="659">
        <v>434000</v>
      </c>
      <c r="X493" s="659">
        <v>434000</v>
      </c>
      <c r="Y493" s="669"/>
      <c r="Z493" s="657"/>
      <c r="AA493" s="714"/>
      <c r="AB493" s="429"/>
      <c r="AC493" s="429">
        <v>331000</v>
      </c>
      <c r="AD493" s="429">
        <v>0</v>
      </c>
      <c r="AE493" s="429">
        <v>0</v>
      </c>
      <c r="AF493" s="429">
        <v>0</v>
      </c>
      <c r="AG493" s="667">
        <v>0</v>
      </c>
      <c r="AH493" s="667">
        <v>0</v>
      </c>
      <c r="AI493" s="667">
        <v>0</v>
      </c>
      <c r="AJ493" s="667">
        <v>22000</v>
      </c>
      <c r="AK493" s="667">
        <v>0</v>
      </c>
      <c r="AL493" s="667">
        <v>0</v>
      </c>
      <c r="AM493" s="667">
        <f t="shared" si="30"/>
        <v>353000</v>
      </c>
      <c r="AN493" s="651">
        <f>ERP_27[[#This Row],[2026 Working Total]]-ERP_27[[#This Row],[LE2 Final Submission]]</f>
        <v>-81000</v>
      </c>
      <c r="AO493" s="665">
        <v>0</v>
      </c>
      <c r="AP493" s="665">
        <f t="shared" si="29"/>
        <v>0</v>
      </c>
      <c r="AQ493" s="391">
        <f>SUM(ERP_27[[#This Row],[AP01]:[AP06]])-SUM(ERP_27[[#This Row],[AP01 LE2]:[AP06 LE2]])</f>
        <v>-81000</v>
      </c>
      <c r="AR493" s="670"/>
      <c r="AS493" s="665">
        <f>ERP_27[[#This Row],[2026 Working Total to Budget/LE]]-ERP_27[[#This Row],[Giveback]]</f>
        <v>-81000</v>
      </c>
      <c r="AT493" s="671"/>
      <c r="AU493" s="672"/>
      <c r="AV493" s="672"/>
      <c r="AW493" s="672">
        <v>331000</v>
      </c>
      <c r="AX493" s="672">
        <v>0</v>
      </c>
      <c r="AY493" s="672">
        <v>0</v>
      </c>
      <c r="AZ493" s="672">
        <v>81000</v>
      </c>
      <c r="BA493" s="672">
        <v>0</v>
      </c>
      <c r="BB493" s="672">
        <v>0</v>
      </c>
      <c r="BC493" s="672">
        <v>0</v>
      </c>
      <c r="BD493" s="672">
        <v>22000</v>
      </c>
      <c r="BE493" s="672">
        <v>0</v>
      </c>
      <c r="BF493" s="672">
        <v>0</v>
      </c>
      <c r="BG493" s="672">
        <v>434000</v>
      </c>
      <c r="BH493" s="665"/>
      <c r="BI493" s="665"/>
      <c r="BJ493" s="665">
        <v>331000</v>
      </c>
      <c r="BK493" s="665">
        <v>0</v>
      </c>
      <c r="BL493" s="665">
        <v>0</v>
      </c>
      <c r="BM493" s="665">
        <v>0</v>
      </c>
      <c r="BN493" s="665">
        <v>0</v>
      </c>
      <c r="BO493" s="665">
        <v>103000</v>
      </c>
      <c r="BP493" s="665">
        <v>0</v>
      </c>
      <c r="BQ493" s="665">
        <v>0</v>
      </c>
      <c r="BR493" s="665">
        <v>0</v>
      </c>
      <c r="BS493" s="665">
        <v>0</v>
      </c>
      <c r="BT493" s="665">
        <v>434000</v>
      </c>
    </row>
    <row r="494" spans="1:72" ht="15" hidden="1" customHeight="1">
      <c r="A494" s="66" t="s">
        <v>1183</v>
      </c>
      <c r="B494" s="66"/>
      <c r="C494" s="66" t="s">
        <v>62</v>
      </c>
      <c r="D494" s="66" t="s">
        <v>1184</v>
      </c>
      <c r="E494" s="150" t="s">
        <v>1136</v>
      </c>
      <c r="F494" s="482" t="s">
        <v>1566</v>
      </c>
      <c r="G494" s="150" t="s">
        <v>1135</v>
      </c>
      <c r="H494" s="150" t="s">
        <v>1145</v>
      </c>
      <c r="I494" s="150" t="s">
        <v>1135</v>
      </c>
      <c r="J494" s="150" t="s">
        <v>1145</v>
      </c>
      <c r="K494" s="150" t="s">
        <v>1137</v>
      </c>
      <c r="L494" s="511" t="s">
        <v>49</v>
      </c>
      <c r="M494" s="392" t="s">
        <v>1185</v>
      </c>
      <c r="N494" s="343"/>
      <c r="O494" s="346" t="s">
        <v>1186</v>
      </c>
      <c r="P494" s="70" t="s">
        <v>63</v>
      </c>
      <c r="Q494" s="346"/>
      <c r="R494" s="346" t="s">
        <v>1187</v>
      </c>
      <c r="S494" s="346"/>
      <c r="T494" s="150" t="s">
        <v>64</v>
      </c>
      <c r="U494" s="150"/>
      <c r="V494" s="643"/>
      <c r="W494" s="659">
        <v>345518.86</v>
      </c>
      <c r="X494" s="659">
        <v>345670.24</v>
      </c>
      <c r="Y494" s="669"/>
      <c r="Z494" s="657"/>
      <c r="AA494" s="714">
        <v>35812</v>
      </c>
      <c r="AB494" s="429">
        <v>40109.440000000002</v>
      </c>
      <c r="AC494" s="429">
        <v>50136.800000000003</v>
      </c>
      <c r="AD494" s="429">
        <v>40109.449999999997</v>
      </c>
      <c r="AE494" s="429">
        <v>40109.449999999997</v>
      </c>
      <c r="AF494" s="429">
        <v>29136.779999999995</v>
      </c>
      <c r="AG494" s="667">
        <v>22297</v>
      </c>
      <c r="AH494" s="667">
        <v>19127</v>
      </c>
      <c r="AI494" s="667">
        <v>19127</v>
      </c>
      <c r="AJ494" s="667">
        <v>19127</v>
      </c>
      <c r="AK494" s="667">
        <v>19127</v>
      </c>
      <c r="AL494" s="667">
        <v>19127</v>
      </c>
      <c r="AM494" s="667">
        <f t="shared" si="30"/>
        <v>353345.92000000004</v>
      </c>
      <c r="AN494" s="651">
        <f>ERP_27[[#This Row],[2026 Working Total]]-ERP_27[[#This Row],[LE2 Final Submission]]</f>
        <v>7675.6800000000512</v>
      </c>
      <c r="AO494" s="665">
        <v>28897</v>
      </c>
      <c r="AP494" s="665">
        <f t="shared" si="29"/>
        <v>239.7799999999952</v>
      </c>
      <c r="AQ494" s="391">
        <f>SUM(ERP_27[[#This Row],[AP01]:[AP06]])-SUM(ERP_27[[#This Row],[AP01 LE2]:[AP06 LE2]])</f>
        <v>11561.680000000022</v>
      </c>
      <c r="AR494" s="670"/>
      <c r="AS494" s="665">
        <f>ERP_27[[#This Row],[2026 Working Total to Budget/LE]]-ERP_27[[#This Row],[Giveback]]</f>
        <v>7675.6800000000512</v>
      </c>
      <c r="AT494" s="671"/>
      <c r="AU494" s="672">
        <v>35812</v>
      </c>
      <c r="AV494" s="672">
        <v>40109.440000000002</v>
      </c>
      <c r="AW494" s="672">
        <v>50136.800000000003</v>
      </c>
      <c r="AX494" s="672">
        <v>40000</v>
      </c>
      <c r="AY494" s="672">
        <v>28897</v>
      </c>
      <c r="AZ494" s="672">
        <v>28897</v>
      </c>
      <c r="BA494" s="672">
        <v>23013</v>
      </c>
      <c r="BB494" s="672">
        <v>22297</v>
      </c>
      <c r="BC494" s="672">
        <v>19127</v>
      </c>
      <c r="BD494" s="672">
        <v>19127</v>
      </c>
      <c r="BE494" s="672">
        <v>19127</v>
      </c>
      <c r="BF494" s="672">
        <v>19127</v>
      </c>
      <c r="BG494" s="672">
        <v>345670.24</v>
      </c>
      <c r="BH494" s="665">
        <v>35812</v>
      </c>
      <c r="BI494" s="665">
        <v>40109.440000000002</v>
      </c>
      <c r="BJ494" s="665">
        <v>50136.800000000003</v>
      </c>
      <c r="BK494" s="665">
        <v>40000</v>
      </c>
      <c r="BL494" s="665">
        <v>28897</v>
      </c>
      <c r="BM494" s="665">
        <v>28897</v>
      </c>
      <c r="BN494" s="665">
        <v>23013</v>
      </c>
      <c r="BO494" s="665">
        <v>22297</v>
      </c>
      <c r="BP494" s="665">
        <v>22297</v>
      </c>
      <c r="BQ494" s="665">
        <v>22297</v>
      </c>
      <c r="BR494" s="665">
        <v>22297</v>
      </c>
      <c r="BS494" s="665">
        <v>22297</v>
      </c>
      <c r="BT494" s="665">
        <v>358350.24</v>
      </c>
    </row>
    <row r="495" spans="1:72" ht="15" customHeight="1">
      <c r="A495" s="66" t="s">
        <v>2728</v>
      </c>
      <c r="B495" s="66"/>
      <c r="C495" s="66" t="s">
        <v>974</v>
      </c>
      <c r="D495" s="66" t="s">
        <v>2729</v>
      </c>
      <c r="E495" s="150" t="s">
        <v>1136</v>
      </c>
      <c r="F495" s="482" t="s">
        <v>1566</v>
      </c>
      <c r="G495" s="383" t="s">
        <v>1480</v>
      </c>
      <c r="H495" s="150" t="s">
        <v>1481</v>
      </c>
      <c r="I495" s="150" t="s">
        <v>1345</v>
      </c>
      <c r="J495" s="150" t="s">
        <v>1481</v>
      </c>
      <c r="K495" s="150" t="s">
        <v>1346</v>
      </c>
      <c r="L495" s="511" t="s">
        <v>639</v>
      </c>
      <c r="M495" s="392" t="s">
        <v>1504</v>
      </c>
      <c r="N495" s="343"/>
      <c r="O495" s="343"/>
      <c r="P495" s="70" t="s">
        <v>234</v>
      </c>
      <c r="Q495" s="346"/>
      <c r="R495" s="343"/>
      <c r="S495" s="346"/>
      <c r="T495" s="150" t="s">
        <v>25</v>
      </c>
      <c r="U495" s="150" t="s">
        <v>1483</v>
      </c>
      <c r="V495" s="643"/>
      <c r="W495" s="659">
        <v>353631</v>
      </c>
      <c r="X495" s="659">
        <v>353631</v>
      </c>
      <c r="Y495" s="669"/>
      <c r="Z495" s="657"/>
      <c r="AA495" s="714"/>
      <c r="AB495" s="429"/>
      <c r="AC495" s="429">
        <v>304987.09999999998</v>
      </c>
      <c r="AD495" s="429">
        <v>0</v>
      </c>
      <c r="AE495" s="429">
        <v>0</v>
      </c>
      <c r="AF495" s="429">
        <v>0</v>
      </c>
      <c r="AG495" s="667">
        <v>0</v>
      </c>
      <c r="AH495" s="667">
        <v>0</v>
      </c>
      <c r="AI495" s="667">
        <v>48643.9</v>
      </c>
      <c r="AJ495" s="667">
        <v>0</v>
      </c>
      <c r="AK495" s="667">
        <v>0</v>
      </c>
      <c r="AL495" s="667">
        <v>0</v>
      </c>
      <c r="AM495" s="667">
        <f t="shared" si="30"/>
        <v>353631</v>
      </c>
      <c r="AN495" s="651">
        <f>ERP_27[[#This Row],[2026 Working Total]]-ERP_27[[#This Row],[LE2 Final Submission]]</f>
        <v>0</v>
      </c>
      <c r="AO495" s="665">
        <v>0</v>
      </c>
      <c r="AP495" s="665">
        <f t="shared" si="29"/>
        <v>0</v>
      </c>
      <c r="AQ495" s="391">
        <f>SUM(ERP_27[[#This Row],[AP01]:[AP06]])-SUM(ERP_27[[#This Row],[AP01 LE2]:[AP06 LE2]])</f>
        <v>0</v>
      </c>
      <c r="AR495" s="670"/>
      <c r="AS495" s="665">
        <f>ERP_27[[#This Row],[2026 Working Total to Budget/LE]]-ERP_27[[#This Row],[Giveback]]</f>
        <v>0</v>
      </c>
      <c r="AT495" s="671"/>
      <c r="AU495" s="672"/>
      <c r="AV495" s="672"/>
      <c r="AW495" s="672">
        <v>304987.09999999998</v>
      </c>
      <c r="AX495" s="672">
        <v>0</v>
      </c>
      <c r="AY495" s="672">
        <v>0</v>
      </c>
      <c r="AZ495" s="672">
        <v>0</v>
      </c>
      <c r="BA495" s="672">
        <v>0</v>
      </c>
      <c r="BB495" s="672">
        <v>0</v>
      </c>
      <c r="BC495" s="672">
        <v>48643.9</v>
      </c>
      <c r="BD495" s="672">
        <v>0</v>
      </c>
      <c r="BE495" s="672">
        <v>0</v>
      </c>
      <c r="BF495" s="672">
        <v>0</v>
      </c>
      <c r="BG495" s="672">
        <v>353631</v>
      </c>
      <c r="BH495" s="665"/>
      <c r="BI495" s="665"/>
      <c r="BJ495" s="665">
        <v>304987.09999999998</v>
      </c>
      <c r="BK495" s="665">
        <v>0</v>
      </c>
      <c r="BL495" s="665">
        <v>0</v>
      </c>
      <c r="BM495" s="665">
        <v>0</v>
      </c>
      <c r="BN495" s="665">
        <v>24321.95</v>
      </c>
      <c r="BO495" s="665">
        <v>24321.95</v>
      </c>
      <c r="BP495" s="665">
        <v>0</v>
      </c>
      <c r="BQ495" s="665">
        <v>0</v>
      </c>
      <c r="BR495" s="665">
        <v>0</v>
      </c>
      <c r="BS495" s="665">
        <v>0</v>
      </c>
      <c r="BT495" s="665">
        <v>353631</v>
      </c>
    </row>
    <row r="496" spans="1:72" ht="15" hidden="1" customHeight="1">
      <c r="A496" s="66" t="s">
        <v>1224</v>
      </c>
      <c r="B496" s="66"/>
      <c r="C496" s="66" t="s">
        <v>84</v>
      </c>
      <c r="D496" s="66" t="s">
        <v>1225</v>
      </c>
      <c r="E496" s="150" t="s">
        <v>1136</v>
      </c>
      <c r="F496" s="482" t="s">
        <v>1566</v>
      </c>
      <c r="G496" s="150" t="s">
        <v>1135</v>
      </c>
      <c r="H496" s="150" t="s">
        <v>1145</v>
      </c>
      <c r="I496" s="150" t="s">
        <v>1135</v>
      </c>
      <c r="J496" s="150" t="s">
        <v>1145</v>
      </c>
      <c r="K496" s="150" t="s">
        <v>1137</v>
      </c>
      <c r="L496" s="511" t="s">
        <v>49</v>
      </c>
      <c r="M496" s="392" t="s">
        <v>1226</v>
      </c>
      <c r="N496" s="343"/>
      <c r="O496" s="346" t="s">
        <v>1186</v>
      </c>
      <c r="P496" s="70" t="s">
        <v>85</v>
      </c>
      <c r="Q496" s="346"/>
      <c r="R496" s="346" t="s">
        <v>1227</v>
      </c>
      <c r="S496" s="346"/>
      <c r="T496" s="150" t="s">
        <v>25</v>
      </c>
      <c r="U496" s="150" t="s">
        <v>1228</v>
      </c>
      <c r="V496" s="643"/>
      <c r="W496" s="659">
        <v>357000</v>
      </c>
      <c r="X496" s="659">
        <v>356999.8</v>
      </c>
      <c r="Y496" s="669"/>
      <c r="Z496" s="657"/>
      <c r="AA496" s="714">
        <v>24570</v>
      </c>
      <c r="AB496" s="429">
        <v>27517.439999999999</v>
      </c>
      <c r="AC496" s="429">
        <v>34397.360000000001</v>
      </c>
      <c r="AD496" s="429">
        <v>27517.89</v>
      </c>
      <c r="AE496" s="429">
        <v>27517.89</v>
      </c>
      <c r="AF496" s="429">
        <v>34397.360000000001</v>
      </c>
      <c r="AG496" s="667">
        <v>29750</v>
      </c>
      <c r="AH496" s="667">
        <v>29750</v>
      </c>
      <c r="AI496" s="667">
        <f>29750+7300</f>
        <v>37050</v>
      </c>
      <c r="AJ496" s="667">
        <v>29750</v>
      </c>
      <c r="AK496" s="667">
        <v>29750</v>
      </c>
      <c r="AL496" s="667">
        <v>29750</v>
      </c>
      <c r="AM496" s="667">
        <f t="shared" si="30"/>
        <v>361717.94</v>
      </c>
      <c r="AN496" s="651">
        <f>ERP_27[[#This Row],[2026 Working Total]]-ERP_27[[#This Row],[LE2 Final Submission]]</f>
        <v>4718.140000000014</v>
      </c>
      <c r="AO496" s="665">
        <v>29750</v>
      </c>
      <c r="AP496" s="665">
        <f t="shared" si="29"/>
        <v>4647.3600000000006</v>
      </c>
      <c r="AQ496" s="391">
        <f>SUM(ERP_27[[#This Row],[AP01]:[AP06]])-SUM(ERP_27[[#This Row],[AP01 LE2]:[AP06 LE2]])</f>
        <v>-2581.859999999986</v>
      </c>
      <c r="AR496" s="670"/>
      <c r="AS496" s="665">
        <f>ERP_27[[#This Row],[2026 Working Total to Budget/LE]]-ERP_27[[#This Row],[Giveback]]</f>
        <v>4718.140000000014</v>
      </c>
      <c r="AT496" s="671"/>
      <c r="AU496" s="672">
        <v>24570</v>
      </c>
      <c r="AV496" s="672">
        <v>27517.439999999999</v>
      </c>
      <c r="AW496" s="672">
        <v>34397.360000000001</v>
      </c>
      <c r="AX496" s="672">
        <v>32515</v>
      </c>
      <c r="AY496" s="672">
        <v>29750</v>
      </c>
      <c r="AZ496" s="672">
        <v>29750</v>
      </c>
      <c r="BA496" s="672">
        <v>29750</v>
      </c>
      <c r="BB496" s="672">
        <v>29750</v>
      </c>
      <c r="BC496" s="672">
        <v>29750</v>
      </c>
      <c r="BD496" s="672">
        <v>29750</v>
      </c>
      <c r="BE496" s="672">
        <v>29750</v>
      </c>
      <c r="BF496" s="672">
        <v>29750</v>
      </c>
      <c r="BG496" s="672">
        <v>356999.8</v>
      </c>
      <c r="BH496" s="665">
        <v>24570</v>
      </c>
      <c r="BI496" s="665">
        <v>27517.439999999999</v>
      </c>
      <c r="BJ496" s="665">
        <v>34397.360000000001</v>
      </c>
      <c r="BK496" s="665">
        <v>37163</v>
      </c>
      <c r="BL496" s="665">
        <v>29750</v>
      </c>
      <c r="BM496" s="665">
        <v>29750</v>
      </c>
      <c r="BN496" s="665">
        <v>29750</v>
      </c>
      <c r="BO496" s="665">
        <v>29750</v>
      </c>
      <c r="BP496" s="665">
        <v>29750</v>
      </c>
      <c r="BQ496" s="665">
        <v>29750</v>
      </c>
      <c r="BR496" s="665">
        <v>29750</v>
      </c>
      <c r="BS496" s="665">
        <v>29750</v>
      </c>
      <c r="BT496" s="665">
        <v>361647.8</v>
      </c>
    </row>
    <row r="497" spans="1:72" ht="15" hidden="1" customHeight="1">
      <c r="A497" s="66" t="s">
        <v>1546</v>
      </c>
      <c r="B497" s="66"/>
      <c r="C497" s="66" t="s">
        <v>255</v>
      </c>
      <c r="D497" s="66" t="s">
        <v>255</v>
      </c>
      <c r="E497" s="150" t="s">
        <v>1136</v>
      </c>
      <c r="F497" s="482" t="s">
        <v>1566</v>
      </c>
      <c r="G497" s="150" t="s">
        <v>1515</v>
      </c>
      <c r="H497" s="383" t="s">
        <v>1515</v>
      </c>
      <c r="I497" s="150" t="s">
        <v>1345</v>
      </c>
      <c r="J497" s="150" t="s">
        <v>1515</v>
      </c>
      <c r="K497" s="150" t="s">
        <v>1346</v>
      </c>
      <c r="L497" s="511" t="s">
        <v>49</v>
      </c>
      <c r="M497" s="392" t="s">
        <v>1547</v>
      </c>
      <c r="N497" s="343" t="s">
        <v>1206</v>
      </c>
      <c r="O497" s="346" t="s">
        <v>1531</v>
      </c>
      <c r="P497" s="70" t="s">
        <v>256</v>
      </c>
      <c r="Q497" s="346"/>
      <c r="R497" s="346" t="s">
        <v>2909</v>
      </c>
      <c r="S497" s="346"/>
      <c r="T497" s="150" t="s">
        <v>25</v>
      </c>
      <c r="U497" s="150"/>
      <c r="V497" s="643"/>
      <c r="W497" s="659">
        <v>529998.96000000008</v>
      </c>
      <c r="X497" s="659">
        <v>367389.04999999993</v>
      </c>
      <c r="Y497" s="669"/>
      <c r="Z497" s="657"/>
      <c r="AA497" s="714">
        <v>31387.97</v>
      </c>
      <c r="AB497" s="429">
        <v>29660.06</v>
      </c>
      <c r="AC497" s="429">
        <v>28355.06</v>
      </c>
      <c r="AD497" s="429">
        <v>376.37999999999738</v>
      </c>
      <c r="AE497" s="481">
        <v>30599.67</v>
      </c>
      <c r="AF497" s="429">
        <v>50661.62</v>
      </c>
      <c r="AG497" s="667">
        <v>36080.219999999994</v>
      </c>
      <c r="AH497" s="667">
        <v>26514.909999999996</v>
      </c>
      <c r="AI497" s="667">
        <v>26514.909999999996</v>
      </c>
      <c r="AJ497" s="667">
        <v>36080.219999999994</v>
      </c>
      <c r="AK497" s="667">
        <v>36080.219999999994</v>
      </c>
      <c r="AL497" s="667">
        <v>36080.219999999994</v>
      </c>
      <c r="AM497" s="667">
        <f t="shared" si="30"/>
        <v>368391.45999999996</v>
      </c>
      <c r="AN497" s="651">
        <f>ERP_27[[#This Row],[2026 Working Total]]-ERP_27[[#This Row],[LE2 Final Submission]]</f>
        <v>1002.4100000000326</v>
      </c>
      <c r="AO497" s="665">
        <v>36080.219999999994</v>
      </c>
      <c r="AP497" s="665">
        <f t="shared" si="29"/>
        <v>14581.400000000009</v>
      </c>
      <c r="AQ497" s="391">
        <f>SUM(ERP_27[[#This Row],[AP01]:[AP06]])-SUM(ERP_27[[#This Row],[AP01 LE2]:[AP06 LE2]])</f>
        <v>1002.4100000000035</v>
      </c>
      <c r="AR497" s="670"/>
      <c r="AS497" s="665">
        <f>ERP_27[[#This Row],[2026 Working Total to Budget/LE]]-ERP_27[[#This Row],[Giveback]]</f>
        <v>1002.4100000000326</v>
      </c>
      <c r="AT497" s="671"/>
      <c r="AU497" s="672">
        <v>31387.97</v>
      </c>
      <c r="AV497" s="672">
        <v>29660.06</v>
      </c>
      <c r="AW497" s="672">
        <v>28355.06</v>
      </c>
      <c r="AX497" s="672">
        <v>8474.82</v>
      </c>
      <c r="AY497" s="672">
        <v>36080.219999999994</v>
      </c>
      <c r="AZ497" s="672">
        <v>36080.219999999994</v>
      </c>
      <c r="BA497" s="672">
        <v>36080.219999999994</v>
      </c>
      <c r="BB497" s="672">
        <v>26514.909999999996</v>
      </c>
      <c r="BC497" s="672">
        <v>26514.909999999996</v>
      </c>
      <c r="BD497" s="672">
        <v>36080.219999999994</v>
      </c>
      <c r="BE497" s="672">
        <v>36080.219999999994</v>
      </c>
      <c r="BF497" s="672">
        <v>36080.219999999994</v>
      </c>
      <c r="BG497" s="672">
        <v>367389.04999999993</v>
      </c>
      <c r="BH497" s="665">
        <v>31387.97</v>
      </c>
      <c r="BI497" s="665">
        <v>29660.06</v>
      </c>
      <c r="BJ497" s="665">
        <v>28355.06</v>
      </c>
      <c r="BK497" s="665">
        <v>44166.58</v>
      </c>
      <c r="BL497" s="665">
        <v>44166.58</v>
      </c>
      <c r="BM497" s="665">
        <v>44166.58</v>
      </c>
      <c r="BN497" s="665">
        <v>44166.58</v>
      </c>
      <c r="BO497" s="665">
        <v>44166.58</v>
      </c>
      <c r="BP497" s="665">
        <v>44166.58</v>
      </c>
      <c r="BQ497" s="665">
        <v>44166.58</v>
      </c>
      <c r="BR497" s="665">
        <v>44166.58</v>
      </c>
      <c r="BS497" s="665">
        <v>44166.58</v>
      </c>
      <c r="BT497" s="665">
        <v>486902.31000000011</v>
      </c>
    </row>
    <row r="498" spans="1:72" ht="15" hidden="1" customHeight="1">
      <c r="A498" s="66" t="s">
        <v>1559</v>
      </c>
      <c r="B498" s="66"/>
      <c r="C498" s="66" t="s">
        <v>266</v>
      </c>
      <c r="D498" s="66" t="s">
        <v>266</v>
      </c>
      <c r="E498" s="150" t="s">
        <v>1136</v>
      </c>
      <c r="F498" s="482" t="s">
        <v>1566</v>
      </c>
      <c r="G498" s="150" t="s">
        <v>1515</v>
      </c>
      <c r="H498" s="383" t="s">
        <v>1515</v>
      </c>
      <c r="I498" s="150" t="s">
        <v>1345</v>
      </c>
      <c r="J498" s="150" t="s">
        <v>1515</v>
      </c>
      <c r="K498" s="150" t="s">
        <v>1346</v>
      </c>
      <c r="L498" s="511" t="s">
        <v>49</v>
      </c>
      <c r="M498" s="392" t="s">
        <v>1560</v>
      </c>
      <c r="N498" s="343"/>
      <c r="O498" s="346" t="s">
        <v>1531</v>
      </c>
      <c r="P498" s="70" t="s">
        <v>267</v>
      </c>
      <c r="Q498" s="346"/>
      <c r="R498" s="346" t="s">
        <v>1187</v>
      </c>
      <c r="S498" s="346"/>
      <c r="T498" s="150" t="s">
        <v>25</v>
      </c>
      <c r="U498" s="150" t="s">
        <v>1561</v>
      </c>
      <c r="V498" s="643"/>
      <c r="W498" s="659">
        <v>325000.08000000007</v>
      </c>
      <c r="X498" s="659">
        <v>378801.32</v>
      </c>
      <c r="Y498" s="669"/>
      <c r="Z498" s="657"/>
      <c r="AA498" s="714">
        <v>43362</v>
      </c>
      <c r="AB498" s="429">
        <v>48564.89</v>
      </c>
      <c r="AC498" s="429">
        <v>60706.43</v>
      </c>
      <c r="AD498" s="429">
        <v>-38405.19000000001</v>
      </c>
      <c r="AE498" s="429">
        <v>41122.75</v>
      </c>
      <c r="AF498" s="429">
        <v>42728.490000000005</v>
      </c>
      <c r="AG498" s="667">
        <v>29000</v>
      </c>
      <c r="AH498" s="667">
        <v>29000</v>
      </c>
      <c r="AI498" s="667">
        <v>28000</v>
      </c>
      <c r="AJ498" s="667">
        <v>28500</v>
      </c>
      <c r="AK498" s="667">
        <v>28500</v>
      </c>
      <c r="AL498" s="667">
        <v>28500</v>
      </c>
      <c r="AM498" s="667">
        <f t="shared" si="30"/>
        <v>369579.37</v>
      </c>
      <c r="AN498" s="651">
        <f>ERP_27[[#This Row],[2026 Working Total]]-ERP_27[[#This Row],[LE2 Final Submission]]</f>
        <v>-9221.9500000000116</v>
      </c>
      <c r="AO498" s="665">
        <v>11500</v>
      </c>
      <c r="AP498" s="665">
        <f t="shared" si="29"/>
        <v>31228.490000000005</v>
      </c>
      <c r="AQ498" s="391">
        <f>SUM(ERP_27[[#This Row],[AP01]:[AP06]])-SUM(ERP_27[[#This Row],[AP01 LE2]:[AP06 LE2]])</f>
        <v>-9221.9500000000116</v>
      </c>
      <c r="AR498" s="670"/>
      <c r="AS498" s="665">
        <f>ERP_27[[#This Row],[2026 Working Total to Budget/LE]]-ERP_27[[#This Row],[Giveback]]</f>
        <v>-9221.9500000000116</v>
      </c>
      <c r="AT498" s="712" t="s">
        <v>1518</v>
      </c>
      <c r="AU498" s="679">
        <v>43362</v>
      </c>
      <c r="AV498" s="679">
        <v>48564.89</v>
      </c>
      <c r="AW498" s="679">
        <v>60706.43</v>
      </c>
      <c r="AX498" s="679">
        <v>31668</v>
      </c>
      <c r="AY498" s="679">
        <v>11500</v>
      </c>
      <c r="AZ498" s="679">
        <v>11500</v>
      </c>
      <c r="BA498" s="679">
        <v>29000</v>
      </c>
      <c r="BB498" s="679">
        <v>29000</v>
      </c>
      <c r="BC498" s="679">
        <v>28000</v>
      </c>
      <c r="BD498" s="679">
        <v>28500</v>
      </c>
      <c r="BE498" s="679">
        <v>28500</v>
      </c>
      <c r="BF498" s="679">
        <v>28500</v>
      </c>
      <c r="BG498" s="679">
        <v>378801.32</v>
      </c>
      <c r="BH498" s="665">
        <v>43362</v>
      </c>
      <c r="BI498" s="665">
        <v>48564.89</v>
      </c>
      <c r="BJ498" s="665">
        <v>60706.43</v>
      </c>
      <c r="BK498" s="665">
        <v>49897</v>
      </c>
      <c r="BL498" s="665">
        <v>49897</v>
      </c>
      <c r="BM498" s="665">
        <v>49897</v>
      </c>
      <c r="BN498" s="665">
        <v>49897</v>
      </c>
      <c r="BO498" s="665">
        <v>49897</v>
      </c>
      <c r="BP498" s="665">
        <v>49897</v>
      </c>
      <c r="BQ498" s="665">
        <v>49897</v>
      </c>
      <c r="BR498" s="665">
        <v>49897</v>
      </c>
      <c r="BS498" s="665">
        <v>49897</v>
      </c>
      <c r="BT498" s="665">
        <v>601706.32000000007</v>
      </c>
    </row>
    <row r="499" spans="1:72" ht="15" hidden="1" customHeight="1">
      <c r="A499" s="66" t="s">
        <v>1869</v>
      </c>
      <c r="B499" s="66"/>
      <c r="C499" s="66" t="s">
        <v>454</v>
      </c>
      <c r="D499" s="66" t="s">
        <v>1870</v>
      </c>
      <c r="E499" s="150" t="s">
        <v>1136</v>
      </c>
      <c r="F499" s="482" t="s">
        <v>1566</v>
      </c>
      <c r="G499" s="150" t="s">
        <v>1135</v>
      </c>
      <c r="H499" s="150" t="s">
        <v>1165</v>
      </c>
      <c r="I499" s="150" t="s">
        <v>1135</v>
      </c>
      <c r="J499" s="150" t="s">
        <v>1165</v>
      </c>
      <c r="K499" s="150" t="s">
        <v>1137</v>
      </c>
      <c r="L499" s="511" t="s">
        <v>389</v>
      </c>
      <c r="M499" s="392" t="s">
        <v>1871</v>
      </c>
      <c r="N499" s="343"/>
      <c r="O499" s="343"/>
      <c r="P499" s="70" t="s">
        <v>455</v>
      </c>
      <c r="Q499" s="346"/>
      <c r="R499" s="343"/>
      <c r="S499" s="346"/>
      <c r="T499" s="150" t="s">
        <v>427</v>
      </c>
      <c r="U499" s="150"/>
      <c r="V499" s="643"/>
      <c r="W499" s="659">
        <v>376200</v>
      </c>
      <c r="X499" s="659">
        <v>376200.45999999996</v>
      </c>
      <c r="Y499" s="669"/>
      <c r="Z499" s="657"/>
      <c r="AA499" s="714">
        <v>25838</v>
      </c>
      <c r="AB499" s="429">
        <v>36872.379999999997</v>
      </c>
      <c r="AC499" s="429">
        <v>31340.080000000002</v>
      </c>
      <c r="AD499" s="429">
        <v>25837.46</v>
      </c>
      <c r="AE499" s="429">
        <v>36862.460000000006</v>
      </c>
      <c r="AF499" s="429">
        <v>31349.62</v>
      </c>
      <c r="AG499" s="667">
        <v>31350</v>
      </c>
      <c r="AH499" s="667">
        <v>31350</v>
      </c>
      <c r="AI499" s="667">
        <v>31350</v>
      </c>
      <c r="AJ499" s="667">
        <v>31350</v>
      </c>
      <c r="AK499" s="667">
        <v>31350</v>
      </c>
      <c r="AL499" s="667">
        <v>31350</v>
      </c>
      <c r="AM499" s="667">
        <f t="shared" si="30"/>
        <v>376200</v>
      </c>
      <c r="AN499" s="651">
        <f>ERP_27[[#This Row],[2026 Working Total]]-ERP_27[[#This Row],[LE2 Final Submission]]</f>
        <v>-0.4599999999627471</v>
      </c>
      <c r="AO499" s="665">
        <v>31350</v>
      </c>
      <c r="AP499" s="665">
        <f t="shared" si="29"/>
        <v>-0.38000000000101863</v>
      </c>
      <c r="AQ499" s="391">
        <f>SUM(ERP_27[[#This Row],[AP01]:[AP06]])-SUM(ERP_27[[#This Row],[AP01 LE2]:[AP06 LE2]])</f>
        <v>-0.45999999999185093</v>
      </c>
      <c r="AR499" s="670"/>
      <c r="AS499" s="665">
        <f>ERP_27[[#This Row],[2026 Working Total to Budget/LE]]-ERP_27[[#This Row],[Giveback]]</f>
        <v>-0.4599999999627471</v>
      </c>
      <c r="AT499" s="671"/>
      <c r="AU499" s="672">
        <v>25838</v>
      </c>
      <c r="AV499" s="672">
        <v>36872.379999999997</v>
      </c>
      <c r="AW499" s="672">
        <v>31340.080000000002</v>
      </c>
      <c r="AX499" s="672">
        <v>31350</v>
      </c>
      <c r="AY499" s="672">
        <v>31350</v>
      </c>
      <c r="AZ499" s="672">
        <v>31350</v>
      </c>
      <c r="BA499" s="672">
        <v>31350</v>
      </c>
      <c r="BB499" s="672">
        <v>31350</v>
      </c>
      <c r="BC499" s="672">
        <v>31350</v>
      </c>
      <c r="BD499" s="672">
        <v>31350</v>
      </c>
      <c r="BE499" s="672">
        <v>31350</v>
      </c>
      <c r="BF499" s="672">
        <v>31350</v>
      </c>
      <c r="BG499" s="672">
        <v>376200.45999999996</v>
      </c>
      <c r="BH499" s="665">
        <v>25838</v>
      </c>
      <c r="BI499" s="665">
        <v>36872.379999999997</v>
      </c>
      <c r="BJ499" s="665">
        <v>31340.080000000002</v>
      </c>
      <c r="BK499" s="665">
        <v>31350</v>
      </c>
      <c r="BL499" s="665">
        <v>31350</v>
      </c>
      <c r="BM499" s="665">
        <v>31350</v>
      </c>
      <c r="BN499" s="665">
        <v>31350</v>
      </c>
      <c r="BO499" s="665">
        <v>31350</v>
      </c>
      <c r="BP499" s="665">
        <v>31350</v>
      </c>
      <c r="BQ499" s="665">
        <v>31350</v>
      </c>
      <c r="BR499" s="665">
        <v>31350</v>
      </c>
      <c r="BS499" s="665">
        <v>31350</v>
      </c>
      <c r="BT499" s="665">
        <v>376200.45999999996</v>
      </c>
    </row>
    <row r="500" spans="1:72" ht="15" hidden="1" customHeight="1">
      <c r="A500" s="66" t="s">
        <v>1409</v>
      </c>
      <c r="B500" s="66"/>
      <c r="C500" s="66" t="s">
        <v>191</v>
      </c>
      <c r="D500" s="66" t="s">
        <v>191</v>
      </c>
      <c r="E500" s="150" t="s">
        <v>1136</v>
      </c>
      <c r="F500" s="482" t="s">
        <v>1566</v>
      </c>
      <c r="G500" s="383" t="s">
        <v>1344</v>
      </c>
      <c r="H500" s="383" t="s">
        <v>1344</v>
      </c>
      <c r="I500" s="150" t="s">
        <v>1345</v>
      </c>
      <c r="J500" s="150" t="s">
        <v>1344</v>
      </c>
      <c r="K500" s="150" t="s">
        <v>1346</v>
      </c>
      <c r="L500" s="511" t="s">
        <v>49</v>
      </c>
      <c r="M500" s="392" t="s">
        <v>1410</v>
      </c>
      <c r="N500" s="343"/>
      <c r="O500" s="343"/>
      <c r="P500" s="70" t="s">
        <v>192</v>
      </c>
      <c r="Q500" s="346"/>
      <c r="R500" s="343"/>
      <c r="S500" s="346"/>
      <c r="T500" s="150" t="s">
        <v>25</v>
      </c>
      <c r="U500" s="150"/>
      <c r="V500" s="643"/>
      <c r="W500" s="659">
        <v>513000</v>
      </c>
      <c r="X500" s="659">
        <v>384928.75</v>
      </c>
      <c r="Y500" s="669"/>
      <c r="Z500" s="657"/>
      <c r="AA500" s="714">
        <v>98474.5</v>
      </c>
      <c r="AB500" s="429">
        <v>-21757.25</v>
      </c>
      <c r="AC500" s="429">
        <v>-81628.5</v>
      </c>
      <c r="AD500" s="429">
        <v>-18382.5</v>
      </c>
      <c r="AE500" s="429">
        <v>0</v>
      </c>
      <c r="AF500" s="429">
        <v>0</v>
      </c>
      <c r="AG500" s="667">
        <v>69140</v>
      </c>
      <c r="AH500" s="667">
        <v>69140</v>
      </c>
      <c r="AI500" s="667">
        <v>69140</v>
      </c>
      <c r="AJ500" s="667">
        <v>69140</v>
      </c>
      <c r="AK500" s="667">
        <v>69140</v>
      </c>
      <c r="AL500" s="667">
        <v>62523</v>
      </c>
      <c r="AM500" s="667">
        <f t="shared" si="30"/>
        <v>384929.25</v>
      </c>
      <c r="AN500" s="651">
        <f>ERP_27[[#This Row],[2026 Working Total]]-ERP_27[[#This Row],[LE2 Final Submission]]</f>
        <v>0.5</v>
      </c>
      <c r="AO500" s="665">
        <v>0</v>
      </c>
      <c r="AP500" s="665">
        <f t="shared" si="29"/>
        <v>0</v>
      </c>
      <c r="AQ500" s="391">
        <f>SUM(ERP_27[[#This Row],[AP01]:[AP06]])-SUM(ERP_27[[#This Row],[AP01 LE2]:[AP06 LE2]])</f>
        <v>-18382.5</v>
      </c>
      <c r="AR500" s="670">
        <v>128000</v>
      </c>
      <c r="AS500" s="665">
        <f>ERP_27[[#This Row],[2026 Working Total to Budget/LE]]-ERP_27[[#This Row],[Giveback]]</f>
        <v>-127999.5</v>
      </c>
      <c r="AT500" s="671" t="s">
        <v>1411</v>
      </c>
      <c r="AU500" s="672">
        <v>98474.5</v>
      </c>
      <c r="AV500" s="672">
        <v>-21757.25</v>
      </c>
      <c r="AW500" s="672">
        <v>-81628.5</v>
      </c>
      <c r="AX500" s="672">
        <v>0</v>
      </c>
      <c r="AY500" s="672">
        <v>0</v>
      </c>
      <c r="AZ500" s="672">
        <v>0</v>
      </c>
      <c r="BA500" s="672">
        <v>64140</v>
      </c>
      <c r="BB500" s="672">
        <v>64140</v>
      </c>
      <c r="BC500" s="672">
        <v>64140</v>
      </c>
      <c r="BD500" s="672">
        <v>64140</v>
      </c>
      <c r="BE500" s="672">
        <v>64140</v>
      </c>
      <c r="BF500" s="672">
        <v>69140</v>
      </c>
      <c r="BG500" s="672">
        <v>384928.75</v>
      </c>
      <c r="BH500" s="665">
        <v>98474.5</v>
      </c>
      <c r="BI500" s="665">
        <v>-21757.25</v>
      </c>
      <c r="BJ500" s="665">
        <v>-81628.5</v>
      </c>
      <c r="BK500" s="665">
        <v>7667</v>
      </c>
      <c r="BL500" s="665">
        <v>9667</v>
      </c>
      <c r="BM500" s="665">
        <v>15667</v>
      </c>
      <c r="BN500" s="665">
        <v>70892</v>
      </c>
      <c r="BO500" s="665">
        <v>65000</v>
      </c>
      <c r="BP500" s="665">
        <v>65000</v>
      </c>
      <c r="BQ500" s="665">
        <v>65000</v>
      </c>
      <c r="BR500" s="665">
        <v>65000</v>
      </c>
      <c r="BS500" s="665">
        <v>65000</v>
      </c>
      <c r="BT500" s="665">
        <v>423981.75</v>
      </c>
    </row>
    <row r="501" spans="1:72" ht="15" hidden="1" customHeight="1">
      <c r="A501" s="66" t="s">
        <v>1176</v>
      </c>
      <c r="B501" s="66"/>
      <c r="C501" s="66" t="s">
        <v>58</v>
      </c>
      <c r="D501" s="66" t="s">
        <v>1177</v>
      </c>
      <c r="E501" s="150" t="s">
        <v>1136</v>
      </c>
      <c r="F501" s="482" t="s">
        <v>1566</v>
      </c>
      <c r="G501" s="150" t="s">
        <v>1135</v>
      </c>
      <c r="H501" s="150" t="s">
        <v>1156</v>
      </c>
      <c r="I501" s="150" t="s">
        <v>1135</v>
      </c>
      <c r="J501" s="150" t="s">
        <v>1156</v>
      </c>
      <c r="K501" s="150" t="s">
        <v>1137</v>
      </c>
      <c r="L501" s="511" t="s">
        <v>49</v>
      </c>
      <c r="M501" s="392" t="s">
        <v>1178</v>
      </c>
      <c r="N501" s="343"/>
      <c r="O501" s="343"/>
      <c r="P501" s="70" t="s">
        <v>59</v>
      </c>
      <c r="Q501" s="346"/>
      <c r="R501" s="343"/>
      <c r="S501" s="346"/>
      <c r="T501" s="150" t="s">
        <v>25</v>
      </c>
      <c r="U501" s="150"/>
      <c r="V501" s="643"/>
      <c r="W501" s="659">
        <v>551723.03999999992</v>
      </c>
      <c r="X501" s="659">
        <v>460642</v>
      </c>
      <c r="Y501" s="669"/>
      <c r="Z501" s="657"/>
      <c r="AA501" s="714"/>
      <c r="AB501" s="429"/>
      <c r="AC501" s="429"/>
      <c r="AD501" s="429">
        <v>0</v>
      </c>
      <c r="AE501" s="429">
        <v>29102.65</v>
      </c>
      <c r="AF501" s="429">
        <v>67355.899999999994</v>
      </c>
      <c r="AG501" s="667">
        <v>58020</v>
      </c>
      <c r="AH501" s="667">
        <v>58020</v>
      </c>
      <c r="AI501" s="667">
        <f>42525+20000</f>
        <v>62525</v>
      </c>
      <c r="AJ501" s="667">
        <v>48020</v>
      </c>
      <c r="AK501" s="667">
        <v>42525</v>
      </c>
      <c r="AL501" s="667">
        <v>34020</v>
      </c>
      <c r="AM501" s="667">
        <f t="shared" si="30"/>
        <v>399588.55</v>
      </c>
      <c r="AN501" s="651">
        <f>ERP_27[[#This Row],[2026 Working Total]]-ERP_27[[#This Row],[LE2 Final Submission]]</f>
        <v>-61053.450000000012</v>
      </c>
      <c r="AO501" s="665">
        <v>141912</v>
      </c>
      <c r="AP501" s="665">
        <f t="shared" si="29"/>
        <v>-74556.100000000006</v>
      </c>
      <c r="AQ501" s="391">
        <f>SUM(ERP_27[[#This Row],[AP01]:[AP06]])-SUM(ERP_27[[#This Row],[AP01 LE2]:[AP06 LE2]])</f>
        <v>-131967.45000000001</v>
      </c>
      <c r="AR501" s="670">
        <v>-91081</v>
      </c>
      <c r="AS501" s="665">
        <f>ERP_27[[#This Row],[2026 Working Total to Budget/LE]]-ERP_27[[#This Row],[Giveback]]</f>
        <v>30027.549999999988</v>
      </c>
      <c r="AT501" s="671" t="s">
        <v>1179</v>
      </c>
      <c r="AU501" s="672"/>
      <c r="AV501" s="672"/>
      <c r="AW501" s="672"/>
      <c r="AX501" s="672">
        <v>36666</v>
      </c>
      <c r="AY501" s="672">
        <v>141912</v>
      </c>
      <c r="AZ501" s="672">
        <v>49848</v>
      </c>
      <c r="BA501" s="672">
        <v>40857</v>
      </c>
      <c r="BB501" s="672">
        <v>40681</v>
      </c>
      <c r="BC501" s="672">
        <v>37645</v>
      </c>
      <c r="BD501" s="672">
        <v>37694</v>
      </c>
      <c r="BE501" s="672">
        <v>37645</v>
      </c>
      <c r="BF501" s="672">
        <v>37694</v>
      </c>
      <c r="BG501" s="672">
        <v>460642</v>
      </c>
      <c r="BH501" s="665"/>
      <c r="BI501" s="665"/>
      <c r="BJ501" s="665"/>
      <c r="BK501" s="665">
        <v>61303</v>
      </c>
      <c r="BL501" s="665">
        <v>61303</v>
      </c>
      <c r="BM501" s="665">
        <v>61303</v>
      </c>
      <c r="BN501" s="665">
        <v>61303</v>
      </c>
      <c r="BO501" s="665">
        <v>61303</v>
      </c>
      <c r="BP501" s="665">
        <v>61303</v>
      </c>
      <c r="BQ501" s="665">
        <v>61303</v>
      </c>
      <c r="BR501" s="665">
        <v>61303</v>
      </c>
      <c r="BS501" s="665">
        <v>61303</v>
      </c>
      <c r="BT501" s="665">
        <v>551727</v>
      </c>
    </row>
    <row r="502" spans="1:72" ht="15" hidden="1" customHeight="1">
      <c r="A502" s="66" t="s">
        <v>1390</v>
      </c>
      <c r="B502" s="66"/>
      <c r="C502" s="66" t="s">
        <v>178</v>
      </c>
      <c r="D502" s="66" t="s">
        <v>178</v>
      </c>
      <c r="E502" s="150" t="s">
        <v>1136</v>
      </c>
      <c r="F502" s="482" t="s">
        <v>1566</v>
      </c>
      <c r="G502" s="383" t="s">
        <v>1344</v>
      </c>
      <c r="H502" s="383" t="s">
        <v>1344</v>
      </c>
      <c r="I502" s="150" t="s">
        <v>1345</v>
      </c>
      <c r="J502" s="150" t="s">
        <v>1344</v>
      </c>
      <c r="K502" s="150" t="s">
        <v>1346</v>
      </c>
      <c r="L502" s="511" t="s">
        <v>49</v>
      </c>
      <c r="M502" s="392" t="s">
        <v>1391</v>
      </c>
      <c r="N502" s="343" t="s">
        <v>1387</v>
      </c>
      <c r="O502" s="346" t="s">
        <v>1363</v>
      </c>
      <c r="P502" s="70" t="s">
        <v>179</v>
      </c>
      <c r="Q502" s="346"/>
      <c r="R502" s="346" t="s">
        <v>1392</v>
      </c>
      <c r="S502" s="346"/>
      <c r="T502" s="150" t="s">
        <v>25</v>
      </c>
      <c r="U502" s="150"/>
      <c r="V502" s="643"/>
      <c r="W502" s="659">
        <v>486372.24000000005</v>
      </c>
      <c r="X502" s="659">
        <v>426376.62</v>
      </c>
      <c r="Y502" s="669"/>
      <c r="Z502" s="657"/>
      <c r="AA502" s="714">
        <v>58570.53</v>
      </c>
      <c r="AB502" s="429">
        <v>65599.81</v>
      </c>
      <c r="AC502" s="429">
        <v>81999.28</v>
      </c>
      <c r="AD502" s="429">
        <v>65599.430000000008</v>
      </c>
      <c r="AE502" s="429">
        <v>65599.420000000013</v>
      </c>
      <c r="AF502" s="429">
        <v>66848.250000000015</v>
      </c>
      <c r="AG502" s="667">
        <v>11682</v>
      </c>
      <c r="AH502" s="667">
        <v>0</v>
      </c>
      <c r="AI502" s="667">
        <v>0</v>
      </c>
      <c r="AJ502" s="667">
        <v>0</v>
      </c>
      <c r="AK502" s="667">
        <v>0</v>
      </c>
      <c r="AL502" s="667">
        <v>0</v>
      </c>
      <c r="AM502" s="667">
        <f t="shared" si="30"/>
        <v>415898.72</v>
      </c>
      <c r="AN502" s="651">
        <f>ERP_27[[#This Row],[2026 Working Total]]-ERP_27[[#This Row],[LE2 Final Submission]]</f>
        <v>-10477.900000000023</v>
      </c>
      <c r="AO502" s="665">
        <v>70019</v>
      </c>
      <c r="AP502" s="665">
        <f t="shared" si="29"/>
        <v>-3170.7499999999854</v>
      </c>
      <c r="AQ502" s="391">
        <f>SUM(ERP_27[[#This Row],[AP01]:[AP06]])-SUM(ERP_27[[#This Row],[AP01 LE2]:[AP06 LE2]])</f>
        <v>-12009.900000000023</v>
      </c>
      <c r="AR502" s="670">
        <v>60000</v>
      </c>
      <c r="AS502" s="665">
        <f>ERP_27[[#This Row],[2026 Working Total to Budget/LE]]-ERP_27[[#This Row],[Giveback]]</f>
        <v>-70477.900000000023</v>
      </c>
      <c r="AT502" s="671" t="s">
        <v>1393</v>
      </c>
      <c r="AU502" s="672">
        <v>58570.53</v>
      </c>
      <c r="AV502" s="672">
        <v>65599.81</v>
      </c>
      <c r="AW502" s="672">
        <v>81999.28</v>
      </c>
      <c r="AX502" s="672">
        <v>70019</v>
      </c>
      <c r="AY502" s="672">
        <v>70019</v>
      </c>
      <c r="AZ502" s="672">
        <v>70019</v>
      </c>
      <c r="BA502" s="672">
        <v>10150</v>
      </c>
      <c r="BB502" s="672">
        <v>0</v>
      </c>
      <c r="BC502" s="672">
        <v>0</v>
      </c>
      <c r="BD502" s="672">
        <v>0</v>
      </c>
      <c r="BE502" s="672">
        <v>0</v>
      </c>
      <c r="BF502" s="672">
        <v>0</v>
      </c>
      <c r="BG502" s="672">
        <v>426376.62</v>
      </c>
      <c r="BH502" s="665">
        <v>58570.53</v>
      </c>
      <c r="BI502" s="665">
        <v>65599.81</v>
      </c>
      <c r="BJ502" s="665">
        <v>81999.28</v>
      </c>
      <c r="BK502" s="665">
        <v>69224</v>
      </c>
      <c r="BL502" s="665">
        <v>69224</v>
      </c>
      <c r="BM502" s="665">
        <v>69224</v>
      </c>
      <c r="BN502" s="665">
        <v>71025</v>
      </c>
      <c r="BO502" s="665">
        <v>15160</v>
      </c>
      <c r="BP502" s="665">
        <v>0</v>
      </c>
      <c r="BQ502" s="665">
        <v>0</v>
      </c>
      <c r="BR502" s="665">
        <v>0</v>
      </c>
      <c r="BS502" s="665">
        <v>0</v>
      </c>
      <c r="BT502" s="665">
        <v>500026.62</v>
      </c>
    </row>
    <row r="503" spans="1:72" ht="15" hidden="1" customHeight="1">
      <c r="A503" s="66" t="s">
        <v>1554</v>
      </c>
      <c r="B503" s="66"/>
      <c r="C503" s="66" t="s">
        <v>262</v>
      </c>
      <c r="D503" s="66" t="s">
        <v>262</v>
      </c>
      <c r="E503" s="150" t="s">
        <v>1136</v>
      </c>
      <c r="F503" s="482" t="s">
        <v>1566</v>
      </c>
      <c r="G503" s="150" t="s">
        <v>1515</v>
      </c>
      <c r="H503" s="383" t="s">
        <v>1515</v>
      </c>
      <c r="I503" s="150" t="s">
        <v>1345</v>
      </c>
      <c r="J503" s="150" t="s">
        <v>1515</v>
      </c>
      <c r="K503" s="150" t="s">
        <v>1346</v>
      </c>
      <c r="L503" s="511" t="s">
        <v>49</v>
      </c>
      <c r="M503" s="392" t="s">
        <v>1555</v>
      </c>
      <c r="N503" s="343"/>
      <c r="O503" s="346" t="s">
        <v>1531</v>
      </c>
      <c r="P503" s="70" t="s">
        <v>263</v>
      </c>
      <c r="Q503" s="346"/>
      <c r="R503" s="346" t="s">
        <v>1556</v>
      </c>
      <c r="S503" s="346"/>
      <c r="T503" s="150" t="s">
        <v>25</v>
      </c>
      <c r="U503" s="150"/>
      <c r="V503" s="643"/>
      <c r="W503" s="659">
        <v>357309.48</v>
      </c>
      <c r="X503" s="659">
        <v>263234.2</v>
      </c>
      <c r="Y503" s="669"/>
      <c r="Z503" s="657"/>
      <c r="AA503" s="714"/>
      <c r="AB503" s="429"/>
      <c r="AC503" s="429">
        <v>168756.2</v>
      </c>
      <c r="AD503" s="429">
        <v>54312.340000000011</v>
      </c>
      <c r="AE503" s="429">
        <v>54312.34</v>
      </c>
      <c r="AF503" s="429">
        <v>67890.420000000013</v>
      </c>
      <c r="AG503" s="667">
        <v>11809.75</v>
      </c>
      <c r="AH503" s="667">
        <v>11809.75</v>
      </c>
      <c r="AI503" s="667">
        <v>11809.75</v>
      </c>
      <c r="AJ503" s="667">
        <v>11809.75</v>
      </c>
      <c r="AK503" s="667">
        <v>11809.75</v>
      </c>
      <c r="AL503" s="667">
        <v>11809.75</v>
      </c>
      <c r="AM503" s="667">
        <f t="shared" si="30"/>
        <v>416129.80000000005</v>
      </c>
      <c r="AN503" s="651">
        <f>ERP_27[[#This Row],[2026 Working Total]]-ERP_27[[#This Row],[LE2 Final Submission]]</f>
        <v>152895.60000000003</v>
      </c>
      <c r="AO503" s="665">
        <v>11809.75</v>
      </c>
      <c r="AP503" s="665">
        <f t="shared" si="29"/>
        <v>56080.670000000013</v>
      </c>
      <c r="AQ503" s="391">
        <f>SUM(ERP_27[[#This Row],[AP01]:[AP06]])-SUM(ERP_27[[#This Row],[AP01 LE2]:[AP06 LE2]])</f>
        <v>152895.60000000003</v>
      </c>
      <c r="AR503" s="670"/>
      <c r="AS503" s="665">
        <f>ERP_27[[#This Row],[2026 Working Total to Budget/LE]]-ERP_27[[#This Row],[Giveback]]</f>
        <v>152895.60000000003</v>
      </c>
      <c r="AT503" s="671"/>
      <c r="AU503" s="672"/>
      <c r="AV503" s="672"/>
      <c r="AW503" s="672">
        <v>168756.2</v>
      </c>
      <c r="AX503" s="672">
        <v>0</v>
      </c>
      <c r="AY503" s="672">
        <v>11809.75</v>
      </c>
      <c r="AZ503" s="672">
        <v>11809.75</v>
      </c>
      <c r="BA503" s="672">
        <v>11809.75</v>
      </c>
      <c r="BB503" s="672">
        <v>11809.75</v>
      </c>
      <c r="BC503" s="672">
        <v>11809.75</v>
      </c>
      <c r="BD503" s="672">
        <v>11809.75</v>
      </c>
      <c r="BE503" s="672">
        <v>11809.75</v>
      </c>
      <c r="BF503" s="672">
        <v>11809.75</v>
      </c>
      <c r="BG503" s="672">
        <v>263234.2</v>
      </c>
      <c r="BH503" s="665"/>
      <c r="BI503" s="665"/>
      <c r="BJ503" s="665">
        <v>168756.2</v>
      </c>
      <c r="BK503" s="665">
        <v>29775.79</v>
      </c>
      <c r="BL503" s="665">
        <v>29775.79</v>
      </c>
      <c r="BM503" s="665">
        <v>29775.79</v>
      </c>
      <c r="BN503" s="665">
        <v>29775.79</v>
      </c>
      <c r="BO503" s="665">
        <v>29775.79</v>
      </c>
      <c r="BP503" s="665">
        <v>29775.79</v>
      </c>
      <c r="BQ503" s="665">
        <v>29775.79</v>
      </c>
      <c r="BR503" s="665">
        <v>29775.79</v>
      </c>
      <c r="BS503" s="665">
        <v>29775.79</v>
      </c>
      <c r="BT503" s="665">
        <v>436738.30999999994</v>
      </c>
    </row>
    <row r="504" spans="1:72" ht="15" hidden="1" customHeight="1">
      <c r="A504" s="66" t="s">
        <v>1549</v>
      </c>
      <c r="B504" s="66"/>
      <c r="C504" s="66" t="s">
        <v>257</v>
      </c>
      <c r="D504" s="66" t="s">
        <v>257</v>
      </c>
      <c r="E504" s="150" t="s">
        <v>1136</v>
      </c>
      <c r="F504" s="482" t="s">
        <v>1566</v>
      </c>
      <c r="G504" s="150" t="s">
        <v>1515</v>
      </c>
      <c r="H504" s="383" t="s">
        <v>1515</v>
      </c>
      <c r="I504" s="150" t="s">
        <v>1345</v>
      </c>
      <c r="J504" s="150" t="s">
        <v>1515</v>
      </c>
      <c r="K504" s="150" t="s">
        <v>1346</v>
      </c>
      <c r="L504" s="511" t="s">
        <v>49</v>
      </c>
      <c r="M504" s="392" t="s">
        <v>1550</v>
      </c>
      <c r="N504" s="343"/>
      <c r="O504" s="346" t="s">
        <v>1531</v>
      </c>
      <c r="P504" s="70" t="s">
        <v>258</v>
      </c>
      <c r="Q504" s="346"/>
      <c r="R504" s="346" t="s">
        <v>1187</v>
      </c>
      <c r="S504" s="346"/>
      <c r="T504" s="150" t="s">
        <v>25</v>
      </c>
      <c r="U504" s="150" t="s">
        <v>1521</v>
      </c>
      <c r="V504" s="643"/>
      <c r="W504" s="659">
        <v>624000</v>
      </c>
      <c r="X504" s="659">
        <v>592260.42999999993</v>
      </c>
      <c r="Y504" s="669"/>
      <c r="Z504" s="657"/>
      <c r="AA504" s="714">
        <v>67126.64</v>
      </c>
      <c r="AB504" s="429">
        <v>74377.41</v>
      </c>
      <c r="AC504" s="429">
        <v>83640.33</v>
      </c>
      <c r="AD504" s="429">
        <v>-58284.780000000013</v>
      </c>
      <c r="AE504" s="429">
        <v>17767.169999999998</v>
      </c>
      <c r="AF504" s="429">
        <v>-37705.19</v>
      </c>
      <c r="AG504" s="667">
        <v>37705.5</v>
      </c>
      <c r="AH504" s="667">
        <v>47270.81</v>
      </c>
      <c r="AI504" s="667">
        <v>47270.81</v>
      </c>
      <c r="AJ504" s="667">
        <v>47270.81</v>
      </c>
      <c r="AK504" s="667">
        <v>47270.81</v>
      </c>
      <c r="AL504" s="667">
        <v>47270.81</v>
      </c>
      <c r="AM504" s="667">
        <f t="shared" si="30"/>
        <v>420981.12999999995</v>
      </c>
      <c r="AN504" s="651">
        <f>ERP_27[[#This Row],[2026 Working Total]]-ERP_27[[#This Row],[LE2 Final Submission]]</f>
        <v>-171279.3</v>
      </c>
      <c r="AO504" s="665">
        <v>37705.5</v>
      </c>
      <c r="AP504" s="665">
        <f t="shared" si="29"/>
        <v>-75410.69</v>
      </c>
      <c r="AQ504" s="391">
        <f>SUM(ERP_27[[#This Row],[AP01]:[AP06]])-SUM(ERP_27[[#This Row],[AP01 LE2]:[AP06 LE2]])</f>
        <v>-171279.30000000005</v>
      </c>
      <c r="AR504" s="670"/>
      <c r="AS504" s="665">
        <f>ERP_27[[#This Row],[2026 Working Total to Budget/LE]]-ERP_27[[#This Row],[Giveback]]</f>
        <v>-171279.3</v>
      </c>
      <c r="AT504" s="671"/>
      <c r="AU504" s="672">
        <v>67126.64</v>
      </c>
      <c r="AV504" s="672">
        <v>74377.41</v>
      </c>
      <c r="AW504" s="672">
        <v>83640.33</v>
      </c>
      <c r="AX504" s="672">
        <v>17645.5</v>
      </c>
      <c r="AY504" s="672">
        <v>37705.5</v>
      </c>
      <c r="AZ504" s="672">
        <v>37705.5</v>
      </c>
      <c r="BA504" s="672">
        <v>37705.5</v>
      </c>
      <c r="BB504" s="672">
        <v>47270.81</v>
      </c>
      <c r="BC504" s="672">
        <v>47270.81</v>
      </c>
      <c r="BD504" s="672">
        <v>47270.81</v>
      </c>
      <c r="BE504" s="672">
        <v>47270.81</v>
      </c>
      <c r="BF504" s="672">
        <v>47270.81</v>
      </c>
      <c r="BG504" s="672">
        <v>592260.42999999993</v>
      </c>
      <c r="BH504" s="665">
        <v>67126.64</v>
      </c>
      <c r="BI504" s="665">
        <v>74377.41</v>
      </c>
      <c r="BJ504" s="665">
        <v>83640.33</v>
      </c>
      <c r="BK504" s="665">
        <v>71858</v>
      </c>
      <c r="BL504" s="665">
        <v>71858</v>
      </c>
      <c r="BM504" s="665">
        <v>71858</v>
      </c>
      <c r="BN504" s="665">
        <v>71858</v>
      </c>
      <c r="BO504" s="665">
        <v>71858</v>
      </c>
      <c r="BP504" s="665">
        <v>71858</v>
      </c>
      <c r="BQ504" s="665">
        <v>71858</v>
      </c>
      <c r="BR504" s="665">
        <v>71858</v>
      </c>
      <c r="BS504" s="665">
        <v>71858</v>
      </c>
      <c r="BT504" s="665">
        <v>871866.38</v>
      </c>
    </row>
    <row r="505" spans="1:72" ht="15" hidden="1" customHeight="1">
      <c r="A505" s="66" t="s">
        <v>1532</v>
      </c>
      <c r="B505" s="66"/>
      <c r="C505" s="66" t="s">
        <v>249</v>
      </c>
      <c r="D505" s="66" t="s">
        <v>249</v>
      </c>
      <c r="E505" s="150" t="s">
        <v>1136</v>
      </c>
      <c r="F505" s="482" t="s">
        <v>1566</v>
      </c>
      <c r="G505" s="150" t="s">
        <v>1515</v>
      </c>
      <c r="H505" s="383" t="s">
        <v>1515</v>
      </c>
      <c r="I505" s="150" t="s">
        <v>1345</v>
      </c>
      <c r="J505" s="150" t="s">
        <v>1515</v>
      </c>
      <c r="K505" s="150" t="s">
        <v>1346</v>
      </c>
      <c r="L505" s="511" t="s">
        <v>49</v>
      </c>
      <c r="M505" s="392" t="s">
        <v>1533</v>
      </c>
      <c r="N505" s="343" t="s">
        <v>1387</v>
      </c>
      <c r="O505" s="346" t="s">
        <v>1531</v>
      </c>
      <c r="P505" s="70" t="s">
        <v>250</v>
      </c>
      <c r="Q505" s="346"/>
      <c r="R505" s="346" t="s">
        <v>1534</v>
      </c>
      <c r="S505" s="346"/>
      <c r="T505" s="150" t="s">
        <v>25</v>
      </c>
      <c r="U505" s="150"/>
      <c r="V505" s="643"/>
      <c r="W505" s="659">
        <v>553800</v>
      </c>
      <c r="X505" s="659">
        <v>496255</v>
      </c>
      <c r="Y505" s="669"/>
      <c r="Z505" s="657"/>
      <c r="AA505" s="714">
        <v>-0.24</v>
      </c>
      <c r="AB505" s="429">
        <v>98366.34</v>
      </c>
      <c r="AC505" s="429">
        <v>-98366.1</v>
      </c>
      <c r="AD505" s="429">
        <v>27396.55</v>
      </c>
      <c r="AE505" s="429">
        <v>29503.98</v>
      </c>
      <c r="AF505" s="429">
        <v>36879.97</v>
      </c>
      <c r="AG505" s="667">
        <v>48381.166666666672</v>
      </c>
      <c r="AH505" s="667">
        <v>48381.166666666672</v>
      </c>
      <c r="AI505" s="667">
        <v>48381.166666666672</v>
      </c>
      <c r="AJ505" s="667">
        <v>85490.5</v>
      </c>
      <c r="AK505" s="667">
        <v>85490.5</v>
      </c>
      <c r="AL505" s="667">
        <v>85490.5</v>
      </c>
      <c r="AM505" s="667">
        <f t="shared" si="30"/>
        <v>495395.5</v>
      </c>
      <c r="AN505" s="651">
        <f>ERP_27[[#This Row],[2026 Working Total]]-ERP_27[[#This Row],[LE2 Final Submission]]</f>
        <v>-859.5</v>
      </c>
      <c r="AO505" s="665">
        <v>31546.666666666668</v>
      </c>
      <c r="AP505" s="665">
        <f t="shared" si="29"/>
        <v>5333.3033333333333</v>
      </c>
      <c r="AQ505" s="391">
        <f>SUM(ERP_27[[#This Row],[AP01]:[AP06]])-SUM(ERP_27[[#This Row],[AP01 LE2]:[AP06 LE2]])</f>
        <v>-859.5</v>
      </c>
      <c r="AR505" s="670"/>
      <c r="AS505" s="665">
        <f>ERP_27[[#This Row],[2026 Working Total to Budget/LE]]-ERP_27[[#This Row],[Giveback]]</f>
        <v>-859.5</v>
      </c>
      <c r="AT505" s="671"/>
      <c r="AU505" s="672">
        <v>-0.24</v>
      </c>
      <c r="AV505" s="672">
        <v>98366.34</v>
      </c>
      <c r="AW505" s="672">
        <v>-98366.1</v>
      </c>
      <c r="AX505" s="672">
        <v>31546.666666666668</v>
      </c>
      <c r="AY505" s="672">
        <v>31546.666666666668</v>
      </c>
      <c r="AZ505" s="672">
        <v>31546.666666666668</v>
      </c>
      <c r="BA505" s="672">
        <v>48381.166666666672</v>
      </c>
      <c r="BB505" s="672">
        <v>48381.166666666672</v>
      </c>
      <c r="BC505" s="672">
        <v>48381.166666666672</v>
      </c>
      <c r="BD505" s="672">
        <v>85490.5</v>
      </c>
      <c r="BE505" s="672">
        <v>85490.5</v>
      </c>
      <c r="BF505" s="672">
        <v>85490.5</v>
      </c>
      <c r="BG505" s="672">
        <v>496255</v>
      </c>
      <c r="BH505" s="665">
        <v>-0.24</v>
      </c>
      <c r="BI505" s="665">
        <v>98366.34</v>
      </c>
      <c r="BJ505" s="665">
        <v>-98366.1</v>
      </c>
      <c r="BK505" s="665">
        <v>57403.99</v>
      </c>
      <c r="BL505" s="665">
        <v>57403.99</v>
      </c>
      <c r="BM505" s="665">
        <v>57403.99</v>
      </c>
      <c r="BN505" s="665">
        <v>57403.99</v>
      </c>
      <c r="BO505" s="665">
        <v>57403.99</v>
      </c>
      <c r="BP505" s="665">
        <v>57403.99</v>
      </c>
      <c r="BQ505" s="665">
        <v>57403.99</v>
      </c>
      <c r="BR505" s="665">
        <v>57403.99</v>
      </c>
      <c r="BS505" s="665">
        <v>57403.99</v>
      </c>
      <c r="BT505" s="665">
        <v>516635.90999999992</v>
      </c>
    </row>
    <row r="506" spans="1:72" ht="15" hidden="1" customHeight="1">
      <c r="A506" s="66" t="s">
        <v>1815</v>
      </c>
      <c r="B506" s="66"/>
      <c r="C506" s="66" t="s">
        <v>423</v>
      </c>
      <c r="D506" s="66" t="s">
        <v>1816</v>
      </c>
      <c r="E506" s="150" t="s">
        <v>1136</v>
      </c>
      <c r="F506" s="482" t="s">
        <v>1566</v>
      </c>
      <c r="G506" s="150" t="s">
        <v>1135</v>
      </c>
      <c r="H506" s="150" t="s">
        <v>1156</v>
      </c>
      <c r="I506" s="150" t="s">
        <v>1135</v>
      </c>
      <c r="J506" s="150" t="s">
        <v>1156</v>
      </c>
      <c r="K506" s="150" t="s">
        <v>1137</v>
      </c>
      <c r="L506" s="511" t="s">
        <v>389</v>
      </c>
      <c r="M506" s="392" t="s">
        <v>1817</v>
      </c>
      <c r="N506" s="343"/>
      <c r="O506" s="343"/>
      <c r="P506" s="70" t="s">
        <v>424</v>
      </c>
      <c r="Q506" s="346"/>
      <c r="R506" s="343"/>
      <c r="S506" s="346"/>
      <c r="T506" s="150" t="s">
        <v>67</v>
      </c>
      <c r="U506" s="150"/>
      <c r="V506" s="643"/>
      <c r="W506" s="659">
        <v>588064.00000000012</v>
      </c>
      <c r="X506" s="659">
        <v>588064.16999999993</v>
      </c>
      <c r="Y506" s="669"/>
      <c r="Z506" s="657"/>
      <c r="AA506" s="714">
        <v>40389</v>
      </c>
      <c r="AB506" s="429">
        <v>55285.58</v>
      </c>
      <c r="AC506" s="429">
        <v>47994.59</v>
      </c>
      <c r="AD506" s="429">
        <v>42517.659999999996</v>
      </c>
      <c r="AE506" s="429">
        <v>63850.67</v>
      </c>
      <c r="AF506" s="429">
        <v>47308.070000000007</v>
      </c>
      <c r="AG506" s="667">
        <v>49400</v>
      </c>
      <c r="AH506" s="667">
        <v>48000</v>
      </c>
      <c r="AI506" s="667">
        <v>48000</v>
      </c>
      <c r="AJ506" s="667">
        <v>48000</v>
      </c>
      <c r="AK506" s="667">
        <v>48000</v>
      </c>
      <c r="AL506" s="667">
        <v>48000</v>
      </c>
      <c r="AM506" s="667">
        <f t="shared" si="30"/>
        <v>586745.57000000007</v>
      </c>
      <c r="AN506" s="651">
        <f>ERP_27[[#This Row],[2026 Working Total]]-ERP_27[[#This Row],[LE2 Final Submission]]</f>
        <v>-1318.5999999998603</v>
      </c>
      <c r="AO506" s="665">
        <v>49500</v>
      </c>
      <c r="AP506" s="665">
        <f t="shared" si="29"/>
        <v>-2191.929999999993</v>
      </c>
      <c r="AQ506" s="391">
        <f>SUM(ERP_27[[#This Row],[AP01]:[AP06]])-SUM(ERP_27[[#This Row],[AP01 LE2]:[AP06 LE2]])</f>
        <v>3681.4000000000233</v>
      </c>
      <c r="AR506" s="670"/>
      <c r="AS506" s="665">
        <f>ERP_27[[#This Row],[2026 Working Total to Budget/LE]]-ERP_27[[#This Row],[Giveback]]</f>
        <v>-1318.5999999998603</v>
      </c>
      <c r="AT506" s="671"/>
      <c r="AU506" s="672">
        <v>40389</v>
      </c>
      <c r="AV506" s="672">
        <v>55285.58</v>
      </c>
      <c r="AW506" s="672">
        <v>47994.59</v>
      </c>
      <c r="AX506" s="672">
        <v>51000</v>
      </c>
      <c r="AY506" s="672">
        <v>49500</v>
      </c>
      <c r="AZ506" s="672">
        <v>49495</v>
      </c>
      <c r="BA506" s="672">
        <v>49400</v>
      </c>
      <c r="BB506" s="672">
        <v>49000</v>
      </c>
      <c r="BC506" s="672">
        <v>49000</v>
      </c>
      <c r="BD506" s="672">
        <v>49000</v>
      </c>
      <c r="BE506" s="672">
        <v>49000</v>
      </c>
      <c r="BF506" s="672">
        <v>49000</v>
      </c>
      <c r="BG506" s="672">
        <v>588064.16999999993</v>
      </c>
      <c r="BH506" s="665">
        <v>40389</v>
      </c>
      <c r="BI506" s="665">
        <v>55285.58</v>
      </c>
      <c r="BJ506" s="665">
        <v>47994.59</v>
      </c>
      <c r="BK506" s="665">
        <v>49068</v>
      </c>
      <c r="BL506" s="665">
        <v>51240</v>
      </c>
      <c r="BM506" s="665">
        <v>37911</v>
      </c>
      <c r="BN506" s="665">
        <v>48731</v>
      </c>
      <c r="BO506" s="665">
        <v>52076</v>
      </c>
      <c r="BP506" s="665">
        <v>52390</v>
      </c>
      <c r="BQ506" s="665">
        <v>54876</v>
      </c>
      <c r="BR506" s="665">
        <v>42961</v>
      </c>
      <c r="BS506" s="665">
        <v>40649</v>
      </c>
      <c r="BT506" s="665">
        <v>573571.16999999993</v>
      </c>
    </row>
    <row r="507" spans="1:72" ht="15" hidden="1" customHeight="1">
      <c r="A507" s="79" t="s">
        <v>2203</v>
      </c>
      <c r="B507" s="79"/>
      <c r="C507" s="79" t="s">
        <v>640</v>
      </c>
      <c r="D507" s="296" t="s">
        <v>2204</v>
      </c>
      <c r="E507" s="150" t="s">
        <v>1136</v>
      </c>
      <c r="F507" s="482" t="s">
        <v>1566</v>
      </c>
      <c r="G507" s="150" t="s">
        <v>1135</v>
      </c>
      <c r="H507" s="150" t="s">
        <v>1135</v>
      </c>
      <c r="I507" s="150" t="s">
        <v>1135</v>
      </c>
      <c r="J507" s="332" t="s">
        <v>1135</v>
      </c>
      <c r="K507" s="331" t="s">
        <v>1346</v>
      </c>
      <c r="L507" s="514" t="s">
        <v>639</v>
      </c>
      <c r="M507" s="394" t="s">
        <v>2205</v>
      </c>
      <c r="N507" s="343" t="s">
        <v>2206</v>
      </c>
      <c r="O507" s="333"/>
      <c r="P507" s="90"/>
      <c r="Q507" s="347"/>
      <c r="R507" s="343"/>
      <c r="S507" s="348"/>
      <c r="T507" s="348"/>
      <c r="U507" s="348" t="s">
        <v>2207</v>
      </c>
      <c r="V507" s="646"/>
      <c r="W507" s="358"/>
      <c r="X507" s="358">
        <v>624226</v>
      </c>
      <c r="Y507" s="669"/>
      <c r="Z507" s="657"/>
      <c r="AA507" s="714"/>
      <c r="AB507" s="429"/>
      <c r="AC507" s="429"/>
      <c r="AD507" s="429" t="s">
        <v>1142</v>
      </c>
      <c r="AE507" s="429">
        <v>0</v>
      </c>
      <c r="AF507" s="429">
        <v>0</v>
      </c>
      <c r="AG507" s="667"/>
      <c r="AH507" s="667"/>
      <c r="AI507" s="667"/>
      <c r="AJ507" s="667"/>
      <c r="AK507" s="667"/>
      <c r="AL507" s="667">
        <v>624226</v>
      </c>
      <c r="AM507" s="667">
        <f t="shared" si="30"/>
        <v>624226</v>
      </c>
      <c r="AN507" s="651">
        <f>ERP_27[[#This Row],[2026 Working Total]]-ERP_27[[#This Row],[LE2 Final Submission]]</f>
        <v>0</v>
      </c>
      <c r="AO507" s="665"/>
      <c r="AP507" s="665">
        <f t="shared" si="29"/>
        <v>0</v>
      </c>
      <c r="AQ507" s="391">
        <f>SUM(ERP_27[[#This Row],[AP01]:[AP06]])-SUM(ERP_27[[#This Row],[AP01 LE2]:[AP06 LE2]])</f>
        <v>0</v>
      </c>
      <c r="AR507" s="670"/>
      <c r="AS507" s="665">
        <f>ERP_27[[#This Row],[2026 Working Total to Budget/LE]]-ERP_27[[#This Row],[Giveback]]</f>
        <v>0</v>
      </c>
      <c r="AT507" s="671"/>
      <c r="AU507" s="672"/>
      <c r="AV507" s="672"/>
      <c r="AW507" s="672"/>
      <c r="AX507" s="672"/>
      <c r="AY507" s="672"/>
      <c r="AZ507" s="672"/>
      <c r="BA507" s="672"/>
      <c r="BB507" s="672"/>
      <c r="BC507" s="672"/>
      <c r="BD507" s="672"/>
      <c r="BE507" s="672"/>
      <c r="BF507" s="672">
        <v>624226</v>
      </c>
      <c r="BG507" s="672">
        <v>624226</v>
      </c>
      <c r="BH507" s="665"/>
      <c r="BI507" s="665"/>
      <c r="BJ507" s="665"/>
      <c r="BK507" s="665"/>
      <c r="BL507" s="665"/>
      <c r="BM507" s="665"/>
      <c r="BN507" s="665"/>
      <c r="BO507" s="665"/>
      <c r="BP507" s="665"/>
      <c r="BQ507" s="665"/>
      <c r="BR507" s="665"/>
      <c r="BS507" s="665"/>
      <c r="BT507" s="665"/>
    </row>
    <row r="508" spans="1:72" ht="15" hidden="1" customHeight="1">
      <c r="A508" s="66" t="s">
        <v>2486</v>
      </c>
      <c r="B508" s="66"/>
      <c r="C508" s="66" t="s">
        <v>822</v>
      </c>
      <c r="D508" s="66" t="s">
        <v>822</v>
      </c>
      <c r="E508" s="150" t="s">
        <v>1136</v>
      </c>
      <c r="F508" s="482" t="s">
        <v>1566</v>
      </c>
      <c r="G508" s="150" t="s">
        <v>1135</v>
      </c>
      <c r="H508" s="150" t="s">
        <v>1135</v>
      </c>
      <c r="I508" s="150" t="s">
        <v>1135</v>
      </c>
      <c r="J508" s="150" t="s">
        <v>1135</v>
      </c>
      <c r="K508" s="150" t="s">
        <v>1137</v>
      </c>
      <c r="L508" s="511" t="s">
        <v>639</v>
      </c>
      <c r="M508" s="392" t="s">
        <v>2487</v>
      </c>
      <c r="N508" s="343"/>
      <c r="O508" s="343"/>
      <c r="P508" s="70" t="s">
        <v>823</v>
      </c>
      <c r="Q508" s="346"/>
      <c r="R508" s="343"/>
      <c r="S508" s="346"/>
      <c r="T508" s="150" t="s">
        <v>605</v>
      </c>
      <c r="U508" s="150"/>
      <c r="V508" s="643"/>
      <c r="W508" s="659">
        <v>849804</v>
      </c>
      <c r="X508" s="659">
        <v>637353</v>
      </c>
      <c r="Y508" s="669"/>
      <c r="Z508" s="657"/>
      <c r="AA508" s="714"/>
      <c r="AB508" s="429"/>
      <c r="AC508" s="429">
        <v>-212451</v>
      </c>
      <c r="AD508" s="429">
        <v>0</v>
      </c>
      <c r="AE508" s="429">
        <v>0</v>
      </c>
      <c r="AF508" s="429">
        <v>0</v>
      </c>
      <c r="AG508" s="667">
        <v>0</v>
      </c>
      <c r="AH508" s="667">
        <v>0</v>
      </c>
      <c r="AI508" s="667">
        <v>849804</v>
      </c>
      <c r="AJ508" s="667">
        <v>0</v>
      </c>
      <c r="AK508" s="667">
        <v>0</v>
      </c>
      <c r="AL508" s="667">
        <v>0</v>
      </c>
      <c r="AM508" s="667">
        <f t="shared" si="30"/>
        <v>637353</v>
      </c>
      <c r="AN508" s="651">
        <f>ERP_27[[#This Row],[2026 Working Total]]-ERP_27[[#This Row],[LE2 Final Submission]]</f>
        <v>0</v>
      </c>
      <c r="AO508" s="665">
        <v>0</v>
      </c>
      <c r="AP508" s="665">
        <f t="shared" si="29"/>
        <v>0</v>
      </c>
      <c r="AQ508" s="391">
        <f>SUM(ERP_27[[#This Row],[AP01]:[AP06]])-SUM(ERP_27[[#This Row],[AP01 LE2]:[AP06 LE2]])</f>
        <v>0</v>
      </c>
      <c r="AR508" s="670"/>
      <c r="AS508" s="665">
        <f>ERP_27[[#This Row],[2026 Working Total to Budget/LE]]-ERP_27[[#This Row],[Giveback]]</f>
        <v>0</v>
      </c>
      <c r="AT508" s="671"/>
      <c r="AU508" s="672"/>
      <c r="AV508" s="672"/>
      <c r="AW508" s="672">
        <v>-212451</v>
      </c>
      <c r="AX508" s="672">
        <v>0</v>
      </c>
      <c r="AY508" s="672">
        <v>0</v>
      </c>
      <c r="AZ508" s="672">
        <v>0</v>
      </c>
      <c r="BA508" s="672">
        <v>0</v>
      </c>
      <c r="BB508" s="672">
        <v>0</v>
      </c>
      <c r="BC508" s="672">
        <v>849804</v>
      </c>
      <c r="BD508" s="672">
        <v>0</v>
      </c>
      <c r="BE508" s="672">
        <v>0</v>
      </c>
      <c r="BF508" s="672">
        <v>0</v>
      </c>
      <c r="BG508" s="672">
        <v>637353</v>
      </c>
      <c r="BH508" s="665"/>
      <c r="BI508" s="665"/>
      <c r="BJ508" s="665">
        <v>-212451</v>
      </c>
      <c r="BK508" s="665">
        <v>0</v>
      </c>
      <c r="BL508" s="665">
        <v>0</v>
      </c>
      <c r="BM508" s="665">
        <v>0</v>
      </c>
      <c r="BN508" s="665">
        <v>0</v>
      </c>
      <c r="BO508" s="665">
        <v>0</v>
      </c>
      <c r="BP508" s="665">
        <v>849804</v>
      </c>
      <c r="BQ508" s="665">
        <v>0</v>
      </c>
      <c r="BR508" s="665">
        <v>0</v>
      </c>
      <c r="BS508" s="665">
        <v>0</v>
      </c>
      <c r="BT508" s="665">
        <v>637353</v>
      </c>
    </row>
    <row r="509" spans="1:72" ht="15" hidden="1" customHeight="1">
      <c r="A509" s="66" t="s">
        <v>2213</v>
      </c>
      <c r="B509" s="66"/>
      <c r="C509" s="66" t="s">
        <v>645</v>
      </c>
      <c r="D509" s="66" t="s">
        <v>645</v>
      </c>
      <c r="E509" s="150" t="s">
        <v>1136</v>
      </c>
      <c r="F509" s="482" t="s">
        <v>1566</v>
      </c>
      <c r="G509" s="150" t="s">
        <v>1135</v>
      </c>
      <c r="H509" s="150" t="s">
        <v>1135</v>
      </c>
      <c r="I509" s="150" t="s">
        <v>1135</v>
      </c>
      <c r="J509" s="150" t="s">
        <v>1135</v>
      </c>
      <c r="K509" s="150" t="s">
        <v>1137</v>
      </c>
      <c r="L509" s="511" t="s">
        <v>639</v>
      </c>
      <c r="M509" s="392" t="s">
        <v>2214</v>
      </c>
      <c r="N509" s="343"/>
      <c r="O509" s="343"/>
      <c r="P509" s="70" t="s">
        <v>646</v>
      </c>
      <c r="Q509" s="346"/>
      <c r="R509" s="343"/>
      <c r="S509" s="346"/>
      <c r="T509" s="150" t="s">
        <v>152</v>
      </c>
      <c r="U509" s="150"/>
      <c r="V509" s="643"/>
      <c r="W509" s="659">
        <v>0</v>
      </c>
      <c r="X509" s="659">
        <v>650000</v>
      </c>
      <c r="Y509" s="669"/>
      <c r="Z509" s="657"/>
      <c r="AA509" s="714"/>
      <c r="AB509" s="429"/>
      <c r="AC509" s="429"/>
      <c r="AD509" s="429" t="s">
        <v>1142</v>
      </c>
      <c r="AE509" s="429">
        <v>0</v>
      </c>
      <c r="AF509" s="429">
        <v>0</v>
      </c>
      <c r="AG509" s="667">
        <v>0</v>
      </c>
      <c r="AH509" s="667">
        <v>0</v>
      </c>
      <c r="AI509" s="667">
        <v>0</v>
      </c>
      <c r="AJ509" s="667">
        <v>650000</v>
      </c>
      <c r="AK509" s="667">
        <v>0</v>
      </c>
      <c r="AL509" s="667">
        <v>0</v>
      </c>
      <c r="AM509" s="667">
        <f t="shared" si="30"/>
        <v>650000</v>
      </c>
      <c r="AN509" s="651">
        <f>ERP_27[[#This Row],[2026 Working Total]]-ERP_27[[#This Row],[LE2 Final Submission]]</f>
        <v>0</v>
      </c>
      <c r="AO509" s="665"/>
      <c r="AP509" s="665">
        <f t="shared" si="29"/>
        <v>0</v>
      </c>
      <c r="AQ509" s="391">
        <f>SUM(ERP_27[[#This Row],[AP01]:[AP06]])-SUM(ERP_27[[#This Row],[AP01 LE2]:[AP06 LE2]])</f>
        <v>-650000</v>
      </c>
      <c r="AR509" s="670"/>
      <c r="AS509" s="665">
        <f>ERP_27[[#This Row],[2026 Working Total to Budget/LE]]-ERP_27[[#This Row],[Giveback]]</f>
        <v>0</v>
      </c>
      <c r="AT509" s="671" t="s">
        <v>2216</v>
      </c>
      <c r="AU509" s="672"/>
      <c r="AV509" s="672"/>
      <c r="AW509" s="672"/>
      <c r="AX509" s="672"/>
      <c r="AY509" s="672"/>
      <c r="AZ509" s="672">
        <v>650000</v>
      </c>
      <c r="BA509" s="672">
        <v>0</v>
      </c>
      <c r="BB509" s="672">
        <v>0</v>
      </c>
      <c r="BC509" s="672">
        <v>0</v>
      </c>
      <c r="BD509" s="672">
        <v>0</v>
      </c>
      <c r="BE509" s="672">
        <v>0</v>
      </c>
      <c r="BF509" s="672">
        <v>0</v>
      </c>
      <c r="BG509" s="672">
        <v>650000</v>
      </c>
      <c r="BH509" s="665"/>
      <c r="BI509" s="665"/>
      <c r="BJ509" s="665"/>
      <c r="BK509" s="665"/>
      <c r="BL509" s="665"/>
      <c r="BM509" s="665">
        <v>650000</v>
      </c>
      <c r="BN509" s="665">
        <v>0</v>
      </c>
      <c r="BO509" s="665">
        <v>0</v>
      </c>
      <c r="BP509" s="665">
        <v>0</v>
      </c>
      <c r="BQ509" s="665">
        <v>0</v>
      </c>
      <c r="BR509" s="665">
        <v>0</v>
      </c>
      <c r="BS509" s="665">
        <v>0</v>
      </c>
      <c r="BT509" s="665">
        <v>650000</v>
      </c>
    </row>
    <row r="510" spans="1:72" ht="15" hidden="1" customHeight="1">
      <c r="A510" s="66" t="s">
        <v>2890</v>
      </c>
      <c r="B510" s="66"/>
      <c r="C510" s="66" t="s">
        <v>41</v>
      </c>
      <c r="D510" s="66" t="s">
        <v>2891</v>
      </c>
      <c r="E510" s="150" t="s">
        <v>1136</v>
      </c>
      <c r="F510" s="482" t="s">
        <v>1566</v>
      </c>
      <c r="G510" s="150" t="s">
        <v>1566</v>
      </c>
      <c r="H510" s="150" t="s">
        <v>1566</v>
      </c>
      <c r="I510" s="150" t="s">
        <v>1567</v>
      </c>
      <c r="J510" s="150" t="s">
        <v>1567</v>
      </c>
      <c r="K510" s="150" t="s">
        <v>1567</v>
      </c>
      <c r="L510" s="511" t="s">
        <v>22</v>
      </c>
      <c r="M510" s="392" t="s">
        <v>2872</v>
      </c>
      <c r="N510" s="343"/>
      <c r="O510" s="343"/>
      <c r="P510" s="70" t="s">
        <v>29</v>
      </c>
      <c r="Q510" s="346" t="s">
        <v>1139</v>
      </c>
      <c r="R510" s="346" t="s">
        <v>1140</v>
      </c>
      <c r="S510" s="346"/>
      <c r="T510" s="150" t="s">
        <v>25</v>
      </c>
      <c r="U510" s="150" t="s">
        <v>2892</v>
      </c>
      <c r="V510" s="643"/>
      <c r="W510" s="659">
        <v>794938.1799999997</v>
      </c>
      <c r="X510" s="659">
        <v>806177.41999999993</v>
      </c>
      <c r="Y510" s="669"/>
      <c r="Z510" s="657"/>
      <c r="AA510" s="714">
        <v>358290.86</v>
      </c>
      <c r="AB510" s="429">
        <v>-25689.760000000002</v>
      </c>
      <c r="AC510" s="429">
        <v>41090.669999999984</v>
      </c>
      <c r="AD510" s="429">
        <v>85849.400000000009</v>
      </c>
      <c r="AE510" s="429">
        <v>-59378.359999999986</v>
      </c>
      <c r="AF510" s="429">
        <v>-23605.23000000001</v>
      </c>
      <c r="AG510" s="667">
        <v>55233.75</v>
      </c>
      <c r="AH510" s="667">
        <v>55233.75</v>
      </c>
      <c r="AI510" s="667">
        <v>55233.75</v>
      </c>
      <c r="AJ510" s="667">
        <v>55233.75</v>
      </c>
      <c r="AK510" s="667">
        <v>55233.75</v>
      </c>
      <c r="AL510" s="667">
        <v>55233.75</v>
      </c>
      <c r="AM510" s="667">
        <f t="shared" si="30"/>
        <v>707960.08</v>
      </c>
      <c r="AN510" s="651">
        <f>ERP_27[[#This Row],[2026 Working Total]]-ERP_27[[#This Row],[LE2 Final Submission]]</f>
        <v>-98217.339999999967</v>
      </c>
      <c r="AO510" s="665">
        <v>-40000</v>
      </c>
      <c r="AP510" s="665">
        <f t="shared" si="29"/>
        <v>16394.76999999999</v>
      </c>
      <c r="AQ510" s="391">
        <f>SUM(ERP_27[[#This Row],[AP01]:[AP06]])-SUM(ERP_27[[#This Row],[AP01 LE2]:[AP06 LE2]])</f>
        <v>-98217.340000000026</v>
      </c>
      <c r="AR510" s="670"/>
      <c r="AS510" s="665">
        <f>ERP_27[[#This Row],[2026 Working Total to Budget/LE]]-ERP_27[[#This Row],[Giveback]]</f>
        <v>-98217.339999999967</v>
      </c>
      <c r="AT510" s="671"/>
      <c r="AU510" s="672">
        <v>358290.86</v>
      </c>
      <c r="AV510" s="672">
        <v>-25689.760000000002</v>
      </c>
      <c r="AW510" s="672">
        <v>41090.669999999984</v>
      </c>
      <c r="AX510" s="672">
        <v>85849.400000000009</v>
      </c>
      <c r="AY510" s="672">
        <v>-40000</v>
      </c>
      <c r="AZ510" s="672">
        <v>55233.75</v>
      </c>
      <c r="BA510" s="672">
        <v>55233.75</v>
      </c>
      <c r="BB510" s="672">
        <v>55233.75</v>
      </c>
      <c r="BC510" s="672">
        <v>55233.75</v>
      </c>
      <c r="BD510" s="672">
        <v>55233.75</v>
      </c>
      <c r="BE510" s="672">
        <v>55233.75</v>
      </c>
      <c r="BF510" s="672">
        <v>55233.75</v>
      </c>
      <c r="BG510" s="672">
        <v>806177.41999999993</v>
      </c>
      <c r="BH510" s="665">
        <v>214497.38</v>
      </c>
      <c r="BI510" s="665">
        <v>-47930</v>
      </c>
      <c r="BJ510" s="665">
        <v>-59863</v>
      </c>
      <c r="BK510" s="665">
        <v>49611.67</v>
      </c>
      <c r="BL510" s="665">
        <v>81799.17</v>
      </c>
      <c r="BM510" s="665">
        <v>79239.77</v>
      </c>
      <c r="BN510" s="665">
        <v>53645.83</v>
      </c>
      <c r="BO510" s="665">
        <v>53645.83</v>
      </c>
      <c r="BP510" s="665">
        <v>53645.83</v>
      </c>
      <c r="BQ510" s="665">
        <v>53645.83</v>
      </c>
      <c r="BR510" s="665">
        <v>53645.83</v>
      </c>
      <c r="BS510" s="665">
        <v>53645.83</v>
      </c>
      <c r="BT510" s="665">
        <v>639229.97</v>
      </c>
    </row>
    <row r="511" spans="1:72" ht="15" hidden="1" customHeight="1">
      <c r="A511" s="66" t="s">
        <v>1564</v>
      </c>
      <c r="B511" s="66"/>
      <c r="C511" s="66" t="s">
        <v>270</v>
      </c>
      <c r="D511" s="66" t="s">
        <v>1565</v>
      </c>
      <c r="E511" s="150" t="s">
        <v>1136</v>
      </c>
      <c r="F511" s="482" t="s">
        <v>1566</v>
      </c>
      <c r="G511" s="150" t="s">
        <v>1566</v>
      </c>
      <c r="H511" s="150" t="s">
        <v>1566</v>
      </c>
      <c r="I511" s="150" t="s">
        <v>1567</v>
      </c>
      <c r="J511" s="150" t="s">
        <v>1567</v>
      </c>
      <c r="K511" s="150" t="s">
        <v>1568</v>
      </c>
      <c r="L511" s="511" t="s">
        <v>49</v>
      </c>
      <c r="M511" s="392" t="s">
        <v>1569</v>
      </c>
      <c r="N511" s="343"/>
      <c r="O511" s="346" t="s">
        <v>1570</v>
      </c>
      <c r="P511" s="70" t="s">
        <v>271</v>
      </c>
      <c r="Q511" s="346"/>
      <c r="R511" s="343"/>
      <c r="S511" s="346"/>
      <c r="T511" s="505" t="s">
        <v>272</v>
      </c>
      <c r="U511" s="150"/>
      <c r="V511" s="643"/>
      <c r="W511" s="659">
        <v>0</v>
      </c>
      <c r="X511" s="659">
        <v>823483</v>
      </c>
      <c r="Y511" s="669"/>
      <c r="Z511" s="657"/>
      <c r="AA511" s="714"/>
      <c r="AB511" s="429"/>
      <c r="AC511" s="429">
        <v>110350.46</v>
      </c>
      <c r="AD511" s="429">
        <v>184516.84999999998</v>
      </c>
      <c r="AE511" s="429">
        <v>-60761.06</v>
      </c>
      <c r="AF511" s="429">
        <v>93499.999999999985</v>
      </c>
      <c r="AG511" s="667">
        <v>71600</v>
      </c>
      <c r="AH511" s="667">
        <v>77000</v>
      </c>
      <c r="AI511" s="667">
        <v>111600</v>
      </c>
      <c r="AJ511" s="667">
        <v>61600</v>
      </c>
      <c r="AK511" s="667">
        <v>77000</v>
      </c>
      <c r="AL511" s="667">
        <v>71600</v>
      </c>
      <c r="AM511" s="667">
        <f t="shared" si="30"/>
        <v>798006.25</v>
      </c>
      <c r="AN511" s="651">
        <f>ERP_27[[#This Row],[2026 Working Total]]-ERP_27[[#This Row],[LE2 Final Submission]]</f>
        <v>-25476.75</v>
      </c>
      <c r="AO511" s="665">
        <v>-28062.46</v>
      </c>
      <c r="AP511" s="665">
        <f t="shared" si="29"/>
        <v>121562.45999999999</v>
      </c>
      <c r="AQ511" s="391">
        <f>SUM(ERP_27[[#This Row],[AP01]:[AP06]])-SUM(ERP_27[[#This Row],[AP01 LE2]:[AP06 LE2]])</f>
        <v>-30936.75</v>
      </c>
      <c r="AR511" s="670"/>
      <c r="AS511" s="665">
        <f>ERP_27[[#This Row],[2026 Working Total to Budget/LE]]-ERP_27[[#This Row],[Giveback]]</f>
        <v>-25476.75</v>
      </c>
      <c r="AT511" s="671"/>
      <c r="AU511" s="672"/>
      <c r="AV511" s="672"/>
      <c r="AW511" s="672">
        <v>110350.46</v>
      </c>
      <c r="AX511" s="672">
        <v>183665</v>
      </c>
      <c r="AY511" s="672">
        <v>-28062.46</v>
      </c>
      <c r="AZ511" s="672">
        <v>92590</v>
      </c>
      <c r="BA511" s="672">
        <v>70690</v>
      </c>
      <c r="BB511" s="672">
        <v>76090</v>
      </c>
      <c r="BC511" s="672">
        <v>110690</v>
      </c>
      <c r="BD511" s="672">
        <v>60690</v>
      </c>
      <c r="BE511" s="672">
        <v>76090</v>
      </c>
      <c r="BF511" s="672">
        <v>70690</v>
      </c>
      <c r="BG511" s="672">
        <v>823483</v>
      </c>
      <c r="BH511" s="665"/>
      <c r="BI511" s="665"/>
      <c r="BJ511" s="665">
        <v>110350.46</v>
      </c>
      <c r="BK511" s="665">
        <v>95789</v>
      </c>
      <c r="BL511" s="665">
        <v>102589</v>
      </c>
      <c r="BM511" s="665">
        <v>121289</v>
      </c>
      <c r="BN511" s="665">
        <v>121389</v>
      </c>
      <c r="BO511" s="665">
        <v>101000</v>
      </c>
      <c r="BP511" s="665">
        <v>98422</v>
      </c>
      <c r="BQ511" s="665">
        <v>129000</v>
      </c>
      <c r="BR511" s="665">
        <v>66600</v>
      </c>
      <c r="BS511" s="665">
        <v>63668</v>
      </c>
      <c r="BT511" s="665">
        <v>1010096.46</v>
      </c>
    </row>
    <row r="512" spans="1:72" ht="15" hidden="1" customHeight="1">
      <c r="A512" s="66" t="s">
        <v>1404</v>
      </c>
      <c r="B512" s="66"/>
      <c r="C512" s="66" t="s">
        <v>189</v>
      </c>
      <c r="D512" s="66" t="s">
        <v>189</v>
      </c>
      <c r="E512" s="150" t="s">
        <v>1136</v>
      </c>
      <c r="F512" s="482" t="s">
        <v>1566</v>
      </c>
      <c r="G512" s="383" t="s">
        <v>1344</v>
      </c>
      <c r="H512" s="383" t="s">
        <v>1344</v>
      </c>
      <c r="I512" s="150" t="s">
        <v>1345</v>
      </c>
      <c r="J512" s="150" t="s">
        <v>1344</v>
      </c>
      <c r="K512" s="150" t="s">
        <v>1346</v>
      </c>
      <c r="L512" s="511" t="s">
        <v>49</v>
      </c>
      <c r="M512" s="392" t="s">
        <v>1405</v>
      </c>
      <c r="N512" s="343" t="s">
        <v>1387</v>
      </c>
      <c r="O512" s="346" t="s">
        <v>1363</v>
      </c>
      <c r="P512" s="70" t="s">
        <v>190</v>
      </c>
      <c r="Q512" s="346" t="s">
        <v>1153</v>
      </c>
      <c r="R512" s="346" t="s">
        <v>1406</v>
      </c>
      <c r="S512" s="346"/>
      <c r="T512" s="150" t="s">
        <v>25</v>
      </c>
      <c r="U512" s="150" t="s">
        <v>1407</v>
      </c>
      <c r="V512" s="643"/>
      <c r="W512" s="659">
        <v>1129982.58</v>
      </c>
      <c r="X512" s="659">
        <v>874707.09</v>
      </c>
      <c r="Y512" s="669"/>
      <c r="Z512" s="657"/>
      <c r="AA512" s="714">
        <v>77285</v>
      </c>
      <c r="AB512" s="429">
        <v>177053.54</v>
      </c>
      <c r="AC512" s="429">
        <v>-2920.45</v>
      </c>
      <c r="AD512" s="429">
        <v>86558.849999999991</v>
      </c>
      <c r="AE512" s="429">
        <v>86558.85</v>
      </c>
      <c r="AF512" s="429">
        <v>98924.389999999985</v>
      </c>
      <c r="AG512" s="667">
        <v>62406</v>
      </c>
      <c r="AH512" s="667">
        <v>62406</v>
      </c>
      <c r="AI512" s="667">
        <v>62406</v>
      </c>
      <c r="AJ512" s="667">
        <v>55438</v>
      </c>
      <c r="AK512" s="667">
        <v>55438</v>
      </c>
      <c r="AL512" s="667">
        <v>55438</v>
      </c>
      <c r="AM512" s="667">
        <f t="shared" si="30"/>
        <v>876992.18</v>
      </c>
      <c r="AN512" s="651">
        <f>ERP_27[[#This Row],[2026 Working Total]]-ERP_27[[#This Row],[LE2 Final Submission]]</f>
        <v>2285.0900000000838</v>
      </c>
      <c r="AO512" s="665">
        <v>97087</v>
      </c>
      <c r="AP512" s="665">
        <f t="shared" si="29"/>
        <v>1837.3899999999849</v>
      </c>
      <c r="AQ512" s="391">
        <f>SUM(ERP_27[[#This Row],[AP01]:[AP06]])-SUM(ERP_27[[#This Row],[AP01 LE2]:[AP06 LE2]])</f>
        <v>-19218.909999999916</v>
      </c>
      <c r="AR512" s="670">
        <v>255000</v>
      </c>
      <c r="AS512" s="665">
        <f>ERP_27[[#This Row],[2026 Working Total to Budget/LE]]-ERP_27[[#This Row],[Giveback]]</f>
        <v>-252714.90999999992</v>
      </c>
      <c r="AT512" s="671" t="s">
        <v>1408</v>
      </c>
      <c r="AU512" s="672">
        <v>77285</v>
      </c>
      <c r="AV512" s="672">
        <v>177053.54</v>
      </c>
      <c r="AW512" s="672">
        <v>-2920.45</v>
      </c>
      <c r="AX512" s="672">
        <v>97087</v>
      </c>
      <c r="AY512" s="672">
        <v>97087</v>
      </c>
      <c r="AZ512" s="672">
        <v>97087</v>
      </c>
      <c r="BA512" s="672">
        <v>55338</v>
      </c>
      <c r="BB512" s="672">
        <v>55338</v>
      </c>
      <c r="BC512" s="672">
        <v>55338</v>
      </c>
      <c r="BD512" s="672">
        <v>55338</v>
      </c>
      <c r="BE512" s="672">
        <v>55338</v>
      </c>
      <c r="BF512" s="672">
        <v>55338</v>
      </c>
      <c r="BG512" s="672">
        <v>874707.09</v>
      </c>
      <c r="BH512" s="665">
        <v>77285</v>
      </c>
      <c r="BI512" s="665">
        <v>177053.54</v>
      </c>
      <c r="BJ512" s="665">
        <v>-2920.45</v>
      </c>
      <c r="BK512" s="665">
        <v>90495</v>
      </c>
      <c r="BL512" s="665">
        <v>90495</v>
      </c>
      <c r="BM512" s="665">
        <v>99200</v>
      </c>
      <c r="BN512" s="665">
        <v>54165</v>
      </c>
      <c r="BO512" s="665">
        <v>54165</v>
      </c>
      <c r="BP512" s="665">
        <v>54165</v>
      </c>
      <c r="BQ512" s="665">
        <v>54165</v>
      </c>
      <c r="BR512" s="665">
        <v>54165</v>
      </c>
      <c r="BS512" s="665">
        <v>54165</v>
      </c>
      <c r="BT512" s="665">
        <v>856598.09</v>
      </c>
    </row>
    <row r="513" spans="1:72" ht="15" hidden="1" customHeight="1">
      <c r="A513" s="66" t="s">
        <v>1273</v>
      </c>
      <c r="B513" s="66"/>
      <c r="C513" s="66" t="s">
        <v>115</v>
      </c>
      <c r="D513" s="66" t="s">
        <v>1274</v>
      </c>
      <c r="E513" s="150" t="s">
        <v>1136</v>
      </c>
      <c r="F513" s="482" t="s">
        <v>1566</v>
      </c>
      <c r="G513" s="150" t="s">
        <v>1135</v>
      </c>
      <c r="H513" s="150" t="s">
        <v>1145</v>
      </c>
      <c r="I513" s="150" t="s">
        <v>1135</v>
      </c>
      <c r="J513" s="150" t="s">
        <v>1145</v>
      </c>
      <c r="K513" s="150" t="s">
        <v>1137</v>
      </c>
      <c r="L513" s="511" t="s">
        <v>49</v>
      </c>
      <c r="M513" s="392" t="s">
        <v>1275</v>
      </c>
      <c r="N513" s="343"/>
      <c r="O513" s="346" t="s">
        <v>1152</v>
      </c>
      <c r="P513" s="70" t="s">
        <v>116</v>
      </c>
      <c r="Q513" s="346"/>
      <c r="R513" s="346" t="s">
        <v>1187</v>
      </c>
      <c r="S513" s="346"/>
      <c r="T513" s="150" t="s">
        <v>67</v>
      </c>
      <c r="U513" s="150" t="s">
        <v>1276</v>
      </c>
      <c r="V513" s="643"/>
      <c r="W513" s="659">
        <v>948000</v>
      </c>
      <c r="X513" s="659">
        <v>948000.73</v>
      </c>
      <c r="Y513" s="669"/>
      <c r="Z513" s="657"/>
      <c r="AA513" s="714">
        <v>59013</v>
      </c>
      <c r="AB513" s="429">
        <v>227334.86</v>
      </c>
      <c r="AC513" s="429">
        <v>185217.87</v>
      </c>
      <c r="AD513" s="429" t="s">
        <v>1142</v>
      </c>
      <c r="AE513" s="429">
        <v>0</v>
      </c>
      <c r="AF513" s="429">
        <v>0</v>
      </c>
      <c r="AG513" s="667">
        <v>79161</v>
      </c>
      <c r="AH513" s="667">
        <v>79161</v>
      </c>
      <c r="AI513" s="667">
        <v>79161</v>
      </c>
      <c r="AJ513" s="667">
        <v>79161</v>
      </c>
      <c r="AK513" s="667">
        <v>79161</v>
      </c>
      <c r="AL513" s="667">
        <f>79161+1469</f>
        <v>80630</v>
      </c>
      <c r="AM513" s="667">
        <f t="shared" si="30"/>
        <v>948000.73</v>
      </c>
      <c r="AN513" s="651">
        <f>ERP_27[[#This Row],[2026 Working Total]]-ERP_27[[#This Row],[LE2 Final Submission]]</f>
        <v>0</v>
      </c>
      <c r="AO513" s="665">
        <v>29653</v>
      </c>
      <c r="AP513" s="665">
        <f t="shared" si="29"/>
        <v>-29653</v>
      </c>
      <c r="AQ513" s="391">
        <f>SUM(ERP_27[[#This Row],[AP01]:[AP06]])-SUM(ERP_27[[#This Row],[AP01 LE2]:[AP06 LE2]])</f>
        <v>-108653</v>
      </c>
      <c r="AR513" s="670"/>
      <c r="AS513" s="665">
        <f>ERP_27[[#This Row],[2026 Working Total to Budget/LE]]-ERP_27[[#This Row],[Giveback]]</f>
        <v>0</v>
      </c>
      <c r="AT513" s="671"/>
      <c r="AU513" s="672">
        <v>59013</v>
      </c>
      <c r="AV513" s="672">
        <v>227334.86</v>
      </c>
      <c r="AW513" s="672">
        <v>185217.87</v>
      </c>
      <c r="AX513" s="672">
        <v>79000</v>
      </c>
      <c r="AY513" s="672">
        <v>29653</v>
      </c>
      <c r="AZ513" s="672">
        <v>0</v>
      </c>
      <c r="BA513" s="672">
        <v>61297</v>
      </c>
      <c r="BB513" s="672">
        <v>61297</v>
      </c>
      <c r="BC513" s="672">
        <v>61297</v>
      </c>
      <c r="BD513" s="672">
        <v>61297</v>
      </c>
      <c r="BE513" s="672">
        <v>61297</v>
      </c>
      <c r="BF513" s="672">
        <v>61297</v>
      </c>
      <c r="BG513" s="672">
        <v>948000.73</v>
      </c>
      <c r="BH513" s="665">
        <v>59013</v>
      </c>
      <c r="BI513" s="665">
        <v>227334.86</v>
      </c>
      <c r="BJ513" s="665">
        <v>185217.87</v>
      </c>
      <c r="BK513" s="665">
        <v>79000</v>
      </c>
      <c r="BL513" s="665">
        <v>29653</v>
      </c>
      <c r="BM513" s="665">
        <v>0</v>
      </c>
      <c r="BN513" s="665">
        <v>79000</v>
      </c>
      <c r="BO513" s="665">
        <v>79000</v>
      </c>
      <c r="BP513" s="665">
        <v>79000</v>
      </c>
      <c r="BQ513" s="665">
        <v>79000</v>
      </c>
      <c r="BR513" s="665">
        <v>79000</v>
      </c>
      <c r="BS513" s="665">
        <v>79000</v>
      </c>
      <c r="BT513" s="665">
        <v>1054218.73</v>
      </c>
    </row>
    <row r="514" spans="1:72" ht="15" hidden="1" customHeight="1">
      <c r="A514" s="66" t="s">
        <v>2462</v>
      </c>
      <c r="B514" s="66"/>
      <c r="C514" s="66" t="s">
        <v>809</v>
      </c>
      <c r="D514" s="66" t="s">
        <v>809</v>
      </c>
      <c r="E514" s="150" t="s">
        <v>1136</v>
      </c>
      <c r="F514" s="482" t="s">
        <v>1566</v>
      </c>
      <c r="G514" s="150" t="s">
        <v>1135</v>
      </c>
      <c r="H514" s="150" t="s">
        <v>1135</v>
      </c>
      <c r="I514" s="150" t="s">
        <v>1135</v>
      </c>
      <c r="J514" s="150" t="s">
        <v>1135</v>
      </c>
      <c r="K514" s="150" t="s">
        <v>1137</v>
      </c>
      <c r="L514" s="511" t="s">
        <v>639</v>
      </c>
      <c r="M514" s="392" t="s">
        <v>2463</v>
      </c>
      <c r="N514" s="343" t="s">
        <v>1231</v>
      </c>
      <c r="O514" s="346" t="s">
        <v>1171</v>
      </c>
      <c r="P514" s="70" t="s">
        <v>810</v>
      </c>
      <c r="Q514" s="346"/>
      <c r="R514" s="343"/>
      <c r="S514" s="346"/>
      <c r="T514" s="150" t="s">
        <v>811</v>
      </c>
      <c r="U514" s="150" t="s">
        <v>2464</v>
      </c>
      <c r="V514" s="643"/>
      <c r="W514" s="659">
        <v>1136537.76</v>
      </c>
      <c r="X514" s="659">
        <v>1100039.77</v>
      </c>
      <c r="Y514" s="669"/>
      <c r="Z514" s="657"/>
      <c r="AA514" s="714">
        <v>818279</v>
      </c>
      <c r="AB514" s="429">
        <v>-636439.42000000004</v>
      </c>
      <c r="AC514" s="429">
        <v>90919.92</v>
      </c>
      <c r="AD514" s="429">
        <v>0</v>
      </c>
      <c r="AE514" s="429">
        <v>181839.84</v>
      </c>
      <c r="AF514" s="429">
        <v>90919.92</v>
      </c>
      <c r="AG514" s="667">
        <f>90919.92-90919.92</f>
        <v>0</v>
      </c>
      <c r="AH514" s="667">
        <f>90919.92+90919.92</f>
        <v>181839.84</v>
      </c>
      <c r="AI514" s="667">
        <v>90919.92</v>
      </c>
      <c r="AJ514" s="667">
        <f>90919.92-90919.92</f>
        <v>0</v>
      </c>
      <c r="AK514" s="667">
        <f>(1127043/12)*2</f>
        <v>187840.5</v>
      </c>
      <c r="AL514" s="667">
        <v>93920.25</v>
      </c>
      <c r="AM514" s="667">
        <f t="shared" si="30"/>
        <v>1100039.77</v>
      </c>
      <c r="AN514" s="651">
        <f>ERP_27[[#This Row],[2026 Working Total]]-ERP_27[[#This Row],[LE2 Final Submission]]</f>
        <v>0</v>
      </c>
      <c r="AO514" s="665">
        <v>181839.84</v>
      </c>
      <c r="AP514" s="665">
        <f t="shared" si="29"/>
        <v>-90919.92</v>
      </c>
      <c r="AQ514" s="391">
        <f>SUM(ERP_27[[#This Row],[AP01]:[AP06]])-SUM(ERP_27[[#This Row],[AP01 LE2]:[AP06 LE2]])</f>
        <v>0</v>
      </c>
      <c r="AR514" s="670"/>
      <c r="AS514" s="665">
        <f>ERP_27[[#This Row],[2026 Working Total to Budget/LE]]-ERP_27[[#This Row],[Giveback]]</f>
        <v>0</v>
      </c>
      <c r="AT514" s="671"/>
      <c r="AU514" s="672">
        <v>818279</v>
      </c>
      <c r="AV514" s="672">
        <v>-636439.42000000004</v>
      </c>
      <c r="AW514" s="672">
        <v>90919.92</v>
      </c>
      <c r="AX514" s="672">
        <v>0</v>
      </c>
      <c r="AY514" s="672">
        <v>181839.84</v>
      </c>
      <c r="AZ514" s="672">
        <v>90919.92</v>
      </c>
      <c r="BA514" s="672">
        <v>0</v>
      </c>
      <c r="BB514" s="672">
        <v>181839.84</v>
      </c>
      <c r="BC514" s="672">
        <v>90919.92</v>
      </c>
      <c r="BD514" s="672">
        <v>0</v>
      </c>
      <c r="BE514" s="672">
        <v>187840.5</v>
      </c>
      <c r="BF514" s="672">
        <v>93920.25</v>
      </c>
      <c r="BG514" s="672">
        <v>1100039.77</v>
      </c>
      <c r="BH514" s="665">
        <v>818279</v>
      </c>
      <c r="BI514" s="665">
        <v>-636439.42000000004</v>
      </c>
      <c r="BJ514" s="665">
        <v>90919.92</v>
      </c>
      <c r="BK514" s="665">
        <v>90919.92</v>
      </c>
      <c r="BL514" s="665">
        <v>90919.92</v>
      </c>
      <c r="BM514" s="665">
        <v>90919.92</v>
      </c>
      <c r="BN514" s="665">
        <v>90919.92</v>
      </c>
      <c r="BO514" s="665">
        <v>90919.92</v>
      </c>
      <c r="BP514" s="665">
        <v>90919.92</v>
      </c>
      <c r="BQ514" s="665">
        <v>106085.92</v>
      </c>
      <c r="BR514" s="665">
        <v>106085.92</v>
      </c>
      <c r="BS514" s="665">
        <v>106085.92</v>
      </c>
      <c r="BT514" s="665">
        <v>1136536.78</v>
      </c>
    </row>
    <row r="515" spans="1:72" ht="15" hidden="1" customHeight="1">
      <c r="A515" s="66" t="s">
        <v>1572</v>
      </c>
      <c r="B515" s="66"/>
      <c r="C515" s="66" t="s">
        <v>273</v>
      </c>
      <c r="D515" s="66" t="s">
        <v>1573</v>
      </c>
      <c r="E515" s="150" t="s">
        <v>1136</v>
      </c>
      <c r="F515" s="482" t="s">
        <v>1566</v>
      </c>
      <c r="G515" s="150" t="s">
        <v>1566</v>
      </c>
      <c r="H515" s="150" t="s">
        <v>1566</v>
      </c>
      <c r="I515" s="150" t="s">
        <v>1567</v>
      </c>
      <c r="J515" s="150" t="s">
        <v>1567</v>
      </c>
      <c r="K515" s="150" t="s">
        <v>1567</v>
      </c>
      <c r="L515" s="511" t="s">
        <v>49</v>
      </c>
      <c r="M515" s="392" t="s">
        <v>1574</v>
      </c>
      <c r="N515" s="343"/>
      <c r="O515" s="343"/>
      <c r="P515" s="70" t="s">
        <v>274</v>
      </c>
      <c r="Q515" s="346" t="s">
        <v>1139</v>
      </c>
      <c r="R515" s="343"/>
      <c r="S515" s="346"/>
      <c r="T515" s="505" t="s">
        <v>275</v>
      </c>
      <c r="U515" s="150"/>
      <c r="V515" s="643"/>
      <c r="W515" s="659">
        <v>1080865</v>
      </c>
      <c r="X515" s="659">
        <v>1057129.56</v>
      </c>
      <c r="Y515" s="669"/>
      <c r="Z515" s="657"/>
      <c r="AA515" s="714"/>
      <c r="AB515" s="429"/>
      <c r="AC515" s="429">
        <v>250144.68</v>
      </c>
      <c r="AD515" s="429">
        <v>54863.060000000005</v>
      </c>
      <c r="AE515" s="429">
        <v>179345.82</v>
      </c>
      <c r="AF515" s="429">
        <v>111181.9</v>
      </c>
      <c r="AG515" s="667">
        <v>64574</v>
      </c>
      <c r="AH515" s="667">
        <v>93010</v>
      </c>
      <c r="AI515" s="667">
        <v>93010</v>
      </c>
      <c r="AJ515" s="667">
        <v>93010</v>
      </c>
      <c r="AK515" s="667">
        <v>93010</v>
      </c>
      <c r="AL515" s="667">
        <v>85636</v>
      </c>
      <c r="AM515" s="667">
        <f t="shared" si="30"/>
        <v>1117785.46</v>
      </c>
      <c r="AN515" s="651">
        <f>ERP_27[[#This Row],[2026 Working Total]]-ERP_27[[#This Row],[LE2 Final Submission]]</f>
        <v>60655.899999999907</v>
      </c>
      <c r="AO515" s="665">
        <v>103425.82</v>
      </c>
      <c r="AP515" s="665">
        <f t="shared" si="29"/>
        <v>7756.0799999999872</v>
      </c>
      <c r="AQ515" s="391">
        <f>SUM(ERP_27[[#This Row],[AP01]:[AP06]])-SUM(ERP_27[[#This Row],[AP01 LE2]:[AP06 LE2]])</f>
        <v>89091.899999999965</v>
      </c>
      <c r="AR515" s="670"/>
      <c r="AS515" s="665">
        <f>ERP_27[[#This Row],[2026 Working Total to Budget/LE]]-ERP_27[[#This Row],[Giveback]]</f>
        <v>60655.899999999907</v>
      </c>
      <c r="AT515" s="671"/>
      <c r="AU515" s="672"/>
      <c r="AV515" s="672"/>
      <c r="AW515" s="672">
        <v>250144.68</v>
      </c>
      <c r="AX515" s="672">
        <v>54863.060000000005</v>
      </c>
      <c r="AY515" s="672">
        <v>103425.82</v>
      </c>
      <c r="AZ515" s="672">
        <v>98010</v>
      </c>
      <c r="BA515" s="672">
        <v>93010</v>
      </c>
      <c r="BB515" s="672">
        <v>93010</v>
      </c>
      <c r="BC515" s="672">
        <v>93010</v>
      </c>
      <c r="BD515" s="672">
        <v>93010</v>
      </c>
      <c r="BE515" s="672">
        <v>93010</v>
      </c>
      <c r="BF515" s="672">
        <v>85636</v>
      </c>
      <c r="BG515" s="672">
        <v>1057129.56</v>
      </c>
      <c r="BH515" s="665"/>
      <c r="BI515" s="665"/>
      <c r="BJ515" s="665">
        <v>250144.68</v>
      </c>
      <c r="BK515" s="665">
        <v>100000</v>
      </c>
      <c r="BL515" s="665">
        <v>100000</v>
      </c>
      <c r="BM515" s="665">
        <v>101635</v>
      </c>
      <c r="BN515" s="665">
        <v>100000</v>
      </c>
      <c r="BO515" s="665">
        <v>100000</v>
      </c>
      <c r="BP515" s="665">
        <v>100000</v>
      </c>
      <c r="BQ515" s="665">
        <v>100000</v>
      </c>
      <c r="BR515" s="665">
        <v>100000</v>
      </c>
      <c r="BS515" s="665">
        <v>80033</v>
      </c>
      <c r="BT515" s="665">
        <v>1131812.68</v>
      </c>
    </row>
    <row r="516" spans="1:72" ht="15" hidden="1" customHeight="1">
      <c r="A516" s="66" t="s">
        <v>2507</v>
      </c>
      <c r="B516" s="66"/>
      <c r="C516" s="66" t="s">
        <v>839</v>
      </c>
      <c r="D516" s="66" t="s">
        <v>839</v>
      </c>
      <c r="E516" s="150" t="s">
        <v>1136</v>
      </c>
      <c r="F516" s="482" t="s">
        <v>1566</v>
      </c>
      <c r="G516" s="150" t="s">
        <v>1135</v>
      </c>
      <c r="H516" s="150" t="s">
        <v>1135</v>
      </c>
      <c r="I516" s="150" t="s">
        <v>1135</v>
      </c>
      <c r="J516" s="150" t="s">
        <v>1135</v>
      </c>
      <c r="K516" s="150" t="s">
        <v>1137</v>
      </c>
      <c r="L516" s="511" t="s">
        <v>639</v>
      </c>
      <c r="M516" s="392" t="s">
        <v>2508</v>
      </c>
      <c r="N516" s="343" t="s">
        <v>1231</v>
      </c>
      <c r="O516" s="346" t="s">
        <v>1171</v>
      </c>
      <c r="P516" s="70" t="s">
        <v>840</v>
      </c>
      <c r="Q516" s="346"/>
      <c r="R516" s="346" t="s">
        <v>2509</v>
      </c>
      <c r="S516" s="346"/>
      <c r="T516" s="150" t="s">
        <v>605</v>
      </c>
      <c r="U516" s="150" t="s">
        <v>2340</v>
      </c>
      <c r="V516" s="643"/>
      <c r="W516" s="659">
        <v>1155056.04</v>
      </c>
      <c r="X516" s="659">
        <v>1155043.3</v>
      </c>
      <c r="Y516" s="669"/>
      <c r="Z516" s="657"/>
      <c r="AA516" s="714">
        <v>1155005.0900000001</v>
      </c>
      <c r="AB516" s="429">
        <v>-962504.24</v>
      </c>
      <c r="AC516" s="429">
        <v>96250.42</v>
      </c>
      <c r="AD516" s="429">
        <v>0</v>
      </c>
      <c r="AE516" s="429">
        <v>192500.84</v>
      </c>
      <c r="AF516" s="429">
        <v>96250.42</v>
      </c>
      <c r="AG516" s="667">
        <f>96254.67-96254.67</f>
        <v>0</v>
      </c>
      <c r="AH516" s="667">
        <f>96254.67+96254.67</f>
        <v>192509.34</v>
      </c>
      <c r="AI516" s="667">
        <v>96254.67</v>
      </c>
      <c r="AJ516" s="667">
        <f>96254.67-96254.67</f>
        <v>0</v>
      </c>
      <c r="AK516" s="667">
        <f>96254.67+96254.67</f>
        <v>192509.34</v>
      </c>
      <c r="AL516" s="667">
        <v>96254.67</v>
      </c>
      <c r="AM516" s="667">
        <f t="shared" si="30"/>
        <v>1155030.55</v>
      </c>
      <c r="AN516" s="651">
        <f>ERP_27[[#This Row],[2026 Working Total]]-ERP_27[[#This Row],[LE2 Final Submission]]</f>
        <v>-12.75</v>
      </c>
      <c r="AO516" s="665">
        <v>192509.34</v>
      </c>
      <c r="AP516" s="665">
        <f t="shared" si="29"/>
        <v>-96258.92</v>
      </c>
      <c r="AQ516" s="391">
        <f>SUM(ERP_27[[#This Row],[AP01]:[AP06]])-SUM(ERP_27[[#This Row],[AP01 LE2]:[AP06 LE2]])</f>
        <v>-12.75</v>
      </c>
      <c r="AR516" s="670"/>
      <c r="AS516" s="665">
        <f>ERP_27[[#This Row],[2026 Working Total to Budget/LE]]-ERP_27[[#This Row],[Giveback]]</f>
        <v>-12.75</v>
      </c>
      <c r="AT516" s="671"/>
      <c r="AU516" s="672">
        <v>1155005.0900000001</v>
      </c>
      <c r="AV516" s="672">
        <v>-962504.24</v>
      </c>
      <c r="AW516" s="672">
        <v>96250.42</v>
      </c>
      <c r="AX516" s="672">
        <v>0</v>
      </c>
      <c r="AY516" s="672">
        <v>192509.34</v>
      </c>
      <c r="AZ516" s="672">
        <v>96254.67</v>
      </c>
      <c r="BA516" s="672">
        <v>0</v>
      </c>
      <c r="BB516" s="672">
        <v>192509.34</v>
      </c>
      <c r="BC516" s="672">
        <v>96254.67</v>
      </c>
      <c r="BD516" s="672">
        <v>0</v>
      </c>
      <c r="BE516" s="672">
        <v>192509.34</v>
      </c>
      <c r="BF516" s="672">
        <v>96254.67</v>
      </c>
      <c r="BG516" s="672">
        <v>1155043.3</v>
      </c>
      <c r="BH516" s="665">
        <v>1155005.0900000001</v>
      </c>
      <c r="BI516" s="665">
        <v>-962504.24</v>
      </c>
      <c r="BJ516" s="665">
        <v>96250.42</v>
      </c>
      <c r="BK516" s="665">
        <v>96254.67</v>
      </c>
      <c r="BL516" s="665">
        <v>96254.67</v>
      </c>
      <c r="BM516" s="665">
        <v>96254.67</v>
      </c>
      <c r="BN516" s="665">
        <v>96254.67</v>
      </c>
      <c r="BO516" s="665">
        <v>96254.67</v>
      </c>
      <c r="BP516" s="665">
        <v>96254.67</v>
      </c>
      <c r="BQ516" s="665">
        <v>96254.67</v>
      </c>
      <c r="BR516" s="665">
        <v>96254.67</v>
      </c>
      <c r="BS516" s="665">
        <v>96254.67</v>
      </c>
      <c r="BT516" s="665">
        <v>1155043.3</v>
      </c>
    </row>
    <row r="517" spans="1:72" ht="15" hidden="1" customHeight="1">
      <c r="A517" s="66" t="s">
        <v>2139</v>
      </c>
      <c r="B517" s="66"/>
      <c r="C517" s="66" t="s">
        <v>594</v>
      </c>
      <c r="D517" s="66" t="s">
        <v>594</v>
      </c>
      <c r="E517" s="150" t="s">
        <v>1136</v>
      </c>
      <c r="F517" s="482" t="s">
        <v>1566</v>
      </c>
      <c r="G517" s="150" t="s">
        <v>1650</v>
      </c>
      <c r="H517" s="150" t="s">
        <v>1650</v>
      </c>
      <c r="I517" s="150" t="s">
        <v>1650</v>
      </c>
      <c r="J517" s="150" t="s">
        <v>1650</v>
      </c>
      <c r="K517" s="150" t="s">
        <v>1650</v>
      </c>
      <c r="L517" s="511" t="s">
        <v>389</v>
      </c>
      <c r="M517" s="392" t="s">
        <v>1658</v>
      </c>
      <c r="N517" s="343"/>
      <c r="O517" s="343"/>
      <c r="P517" s="70" t="s">
        <v>330</v>
      </c>
      <c r="Q517" s="346"/>
      <c r="R517" s="343"/>
      <c r="S517" s="346"/>
      <c r="T517" s="150" t="s">
        <v>67</v>
      </c>
      <c r="U517" s="150"/>
      <c r="V517" s="643"/>
      <c r="W517" s="659">
        <v>1274196</v>
      </c>
      <c r="X517" s="659">
        <v>1157512.03</v>
      </c>
      <c r="Y517" s="669"/>
      <c r="Z517" s="657"/>
      <c r="AA517" s="714"/>
      <c r="AB517" s="429"/>
      <c r="AC517" s="429">
        <v>201865.03</v>
      </c>
      <c r="AD517" s="429">
        <v>98015.38</v>
      </c>
      <c r="AE517" s="429">
        <v>98015.39</v>
      </c>
      <c r="AF517" s="429">
        <v>122519.23000000001</v>
      </c>
      <c r="AG517" s="667">
        <v>106183</v>
      </c>
      <c r="AH517" s="667">
        <v>106183</v>
      </c>
      <c r="AI517" s="667">
        <v>106183</v>
      </c>
      <c r="AJ517" s="667">
        <v>106183</v>
      </c>
      <c r="AK517" s="667">
        <v>106183</v>
      </c>
      <c r="AL517" s="667">
        <v>106183</v>
      </c>
      <c r="AM517" s="667">
        <f t="shared" si="30"/>
        <v>1157513.03</v>
      </c>
      <c r="AN517" s="651">
        <f>ERP_27[[#This Row],[2026 Working Total]]-ERP_27[[#This Row],[LE2 Final Submission]]</f>
        <v>1</v>
      </c>
      <c r="AO517" s="665">
        <v>106183</v>
      </c>
      <c r="AP517" s="665">
        <f t="shared" si="29"/>
        <v>16336.23000000001</v>
      </c>
      <c r="AQ517" s="391">
        <f>SUM(ERP_27[[#This Row],[AP01]:[AP06]])-SUM(ERP_27[[#This Row],[AP01 LE2]:[AP06 LE2]])</f>
        <v>1</v>
      </c>
      <c r="AR517" s="670"/>
      <c r="AS517" s="665">
        <f>ERP_27[[#This Row],[2026 Working Total to Budget/LE]]-ERP_27[[#This Row],[Giveback]]</f>
        <v>1</v>
      </c>
      <c r="AT517" s="671"/>
      <c r="AU517" s="672"/>
      <c r="AV517" s="672"/>
      <c r="AW517" s="672">
        <v>201865.03</v>
      </c>
      <c r="AX517" s="672">
        <v>106183</v>
      </c>
      <c r="AY517" s="672">
        <v>106183</v>
      </c>
      <c r="AZ517" s="672">
        <v>106183</v>
      </c>
      <c r="BA517" s="672">
        <v>106183</v>
      </c>
      <c r="BB517" s="672">
        <v>106183</v>
      </c>
      <c r="BC517" s="672">
        <v>106183</v>
      </c>
      <c r="BD517" s="672">
        <v>106183</v>
      </c>
      <c r="BE517" s="672">
        <v>106183</v>
      </c>
      <c r="BF517" s="672">
        <v>106183</v>
      </c>
      <c r="BG517" s="672">
        <v>1157512.03</v>
      </c>
      <c r="BH517" s="665"/>
      <c r="BI517" s="665"/>
      <c r="BJ517" s="665">
        <v>201865.03</v>
      </c>
      <c r="BK517" s="665">
        <v>106183</v>
      </c>
      <c r="BL517" s="665">
        <v>106183</v>
      </c>
      <c r="BM517" s="665">
        <v>106183</v>
      </c>
      <c r="BN517" s="665">
        <v>106183</v>
      </c>
      <c r="BO517" s="665">
        <v>106183</v>
      </c>
      <c r="BP517" s="665">
        <v>106183</v>
      </c>
      <c r="BQ517" s="665">
        <v>106183</v>
      </c>
      <c r="BR517" s="665">
        <v>106183</v>
      </c>
      <c r="BS517" s="665">
        <v>106183</v>
      </c>
      <c r="BT517" s="665">
        <v>1157512.03</v>
      </c>
    </row>
    <row r="518" spans="1:72" ht="15" hidden="1" customHeight="1">
      <c r="A518" s="66" t="s">
        <v>1385</v>
      </c>
      <c r="B518" s="66"/>
      <c r="C518" s="66" t="s">
        <v>176</v>
      </c>
      <c r="D518" s="66" t="s">
        <v>176</v>
      </c>
      <c r="E518" s="150" t="s">
        <v>1136</v>
      </c>
      <c r="F518" s="482" t="s">
        <v>1566</v>
      </c>
      <c r="G518" s="383" t="s">
        <v>1344</v>
      </c>
      <c r="H518" s="383" t="s">
        <v>1344</v>
      </c>
      <c r="I518" s="150" t="s">
        <v>1345</v>
      </c>
      <c r="J518" s="150" t="s">
        <v>1344</v>
      </c>
      <c r="K518" s="150" t="s">
        <v>1346</v>
      </c>
      <c r="L518" s="511" t="s">
        <v>49</v>
      </c>
      <c r="M518" s="392" t="s">
        <v>1386</v>
      </c>
      <c r="N518" s="343" t="s">
        <v>1387</v>
      </c>
      <c r="O518" s="346" t="s">
        <v>1363</v>
      </c>
      <c r="P518" s="70" t="s">
        <v>177</v>
      </c>
      <c r="Q518" s="346"/>
      <c r="R518" s="346" t="s">
        <v>1388</v>
      </c>
      <c r="S518" s="346"/>
      <c r="T518" s="150" t="s">
        <v>25</v>
      </c>
      <c r="U518" s="150"/>
      <c r="V518" s="643"/>
      <c r="W518" s="659">
        <v>1452300</v>
      </c>
      <c r="X518" s="659">
        <v>963567.79</v>
      </c>
      <c r="Y518" s="669"/>
      <c r="Z518" s="657"/>
      <c r="AA518" s="714">
        <v>48462.57</v>
      </c>
      <c r="AB518" s="429">
        <v>207334.66</v>
      </c>
      <c r="AC518" s="429">
        <v>98620.56</v>
      </c>
      <c r="AD518" s="429">
        <v>116861</v>
      </c>
      <c r="AE518" s="429">
        <v>28181.629999999976</v>
      </c>
      <c r="AF518" s="429">
        <v>293546.2</v>
      </c>
      <c r="AG518" s="667">
        <v>70000</v>
      </c>
      <c r="AH518" s="667">
        <v>70000</v>
      </c>
      <c r="AI518" s="667">
        <v>70000</v>
      </c>
      <c r="AJ518" s="667">
        <v>70000</v>
      </c>
      <c r="AK518" s="667">
        <v>70000</v>
      </c>
      <c r="AL518" s="667">
        <v>54107</v>
      </c>
      <c r="AM518" s="667">
        <f t="shared" si="30"/>
        <v>1197113.6200000001</v>
      </c>
      <c r="AN518" s="651">
        <f>ERP_27[[#This Row],[2026 Working Total]]-ERP_27[[#This Row],[LE2 Final Submission]]</f>
        <v>233545.83000000007</v>
      </c>
      <c r="AO518" s="665">
        <v>132050</v>
      </c>
      <c r="AP518" s="665">
        <f t="shared" si="29"/>
        <v>161496.20000000001</v>
      </c>
      <c r="AQ518" s="391">
        <f>SUM(ERP_27[[#This Row],[AP01]:[AP06]])-SUM(ERP_27[[#This Row],[AP01 LE2]:[AP06 LE2]])</f>
        <v>42438.830000000075</v>
      </c>
      <c r="AR518" s="670">
        <v>488000</v>
      </c>
      <c r="AS518" s="665">
        <f>ERP_27[[#This Row],[2026 Working Total to Budget/LE]]-ERP_27[[#This Row],[Giveback]]</f>
        <v>-254454.16999999993</v>
      </c>
      <c r="AT518" s="671" t="s">
        <v>1389</v>
      </c>
      <c r="AU518" s="672">
        <v>48462.57</v>
      </c>
      <c r="AV518" s="672">
        <v>207334.66</v>
      </c>
      <c r="AW518" s="672">
        <v>98620.56</v>
      </c>
      <c r="AX518" s="672">
        <v>132050</v>
      </c>
      <c r="AY518" s="672">
        <v>132050</v>
      </c>
      <c r="AZ518" s="672">
        <v>132050</v>
      </c>
      <c r="BA518" s="672">
        <v>68000</v>
      </c>
      <c r="BB518" s="672">
        <v>29000</v>
      </c>
      <c r="BC518" s="672">
        <v>29000</v>
      </c>
      <c r="BD518" s="672">
        <v>29000</v>
      </c>
      <c r="BE518" s="672">
        <v>29000</v>
      </c>
      <c r="BF518" s="672">
        <v>29000</v>
      </c>
      <c r="BG518" s="672">
        <v>963567.79</v>
      </c>
      <c r="BH518" s="665">
        <v>48462.57</v>
      </c>
      <c r="BI518" s="665">
        <v>207334.66</v>
      </c>
      <c r="BJ518" s="665">
        <v>98620.56</v>
      </c>
      <c r="BK518" s="665">
        <v>132050</v>
      </c>
      <c r="BL518" s="665">
        <v>132050</v>
      </c>
      <c r="BM518" s="665">
        <v>132050</v>
      </c>
      <c r="BN518" s="665">
        <v>108302.77</v>
      </c>
      <c r="BO518" s="665">
        <v>100000</v>
      </c>
      <c r="BP518" s="665">
        <v>100000</v>
      </c>
      <c r="BQ518" s="665">
        <v>100000</v>
      </c>
      <c r="BR518" s="665">
        <v>100000</v>
      </c>
      <c r="BS518" s="665">
        <v>100000</v>
      </c>
      <c r="BT518" s="665">
        <v>1358870.56</v>
      </c>
    </row>
    <row r="519" spans="1:72" ht="15" hidden="1" customHeight="1">
      <c r="A519" s="66" t="s">
        <v>1924</v>
      </c>
      <c r="B519" s="66"/>
      <c r="C519" s="66" t="s">
        <v>471</v>
      </c>
      <c r="D519" s="66" t="s">
        <v>471</v>
      </c>
      <c r="E519" s="150" t="s">
        <v>1136</v>
      </c>
      <c r="F519" s="482" t="s">
        <v>1566</v>
      </c>
      <c r="G519" s="150" t="s">
        <v>1135</v>
      </c>
      <c r="H519" s="150" t="s">
        <v>1135</v>
      </c>
      <c r="I519" s="150" t="s">
        <v>1135</v>
      </c>
      <c r="J519" s="150" t="s">
        <v>1135</v>
      </c>
      <c r="K519" s="150" t="s">
        <v>1137</v>
      </c>
      <c r="L519" s="511" t="s">
        <v>389</v>
      </c>
      <c r="M519" s="393" t="s">
        <v>1319</v>
      </c>
      <c r="N519" s="343"/>
      <c r="O519" s="343"/>
      <c r="P519" s="70" t="s">
        <v>145</v>
      </c>
      <c r="Q519" s="346" t="s">
        <v>1139</v>
      </c>
      <c r="R519" s="343"/>
      <c r="S519" s="346"/>
      <c r="T519" s="150" t="s">
        <v>25</v>
      </c>
      <c r="U519" s="150"/>
      <c r="V519" s="643"/>
      <c r="W519" s="659">
        <v>0</v>
      </c>
      <c r="X519" s="659">
        <v>1472196.6600000001</v>
      </c>
      <c r="Y519" s="669"/>
      <c r="Z519" s="657"/>
      <c r="AA519" s="714"/>
      <c r="AB519" s="429">
        <v>245366</v>
      </c>
      <c r="AC519" s="429">
        <v>122683.66</v>
      </c>
      <c r="AD519" s="429">
        <v>101112.98</v>
      </c>
      <c r="AE519" s="429">
        <v>144254.16</v>
      </c>
      <c r="AF519" s="429">
        <v>122682.85</v>
      </c>
      <c r="AG519" s="667">
        <v>122683</v>
      </c>
      <c r="AH519" s="667">
        <v>122683</v>
      </c>
      <c r="AI519" s="667">
        <v>122683</v>
      </c>
      <c r="AJ519" s="667">
        <v>122683</v>
      </c>
      <c r="AK519" s="667">
        <v>122683</v>
      </c>
      <c r="AL519" s="667">
        <v>122683</v>
      </c>
      <c r="AM519" s="667">
        <f t="shared" si="30"/>
        <v>1472197.65</v>
      </c>
      <c r="AN519" s="651">
        <f>ERP_27[[#This Row],[2026 Working Total]]-ERP_27[[#This Row],[LE2 Final Submission]]</f>
        <v>0.98999999975785613</v>
      </c>
      <c r="AO519" s="665">
        <v>122683</v>
      </c>
      <c r="AP519" s="665">
        <f t="shared" si="29"/>
        <v>-0.14999999999417923</v>
      </c>
      <c r="AQ519" s="391">
        <f>SUM(ERP_27[[#This Row],[AP01]:[AP06]])-SUM(ERP_27[[#This Row],[AP01 LE2]:[AP06 LE2]])</f>
        <v>0.98999999999068677</v>
      </c>
      <c r="AR519" s="670"/>
      <c r="AS519" s="665">
        <f>ERP_27[[#This Row],[2026 Working Total to Budget/LE]]-ERP_27[[#This Row],[Giveback]]</f>
        <v>0.98999999975785613</v>
      </c>
      <c r="AT519" s="671"/>
      <c r="AU519" s="672"/>
      <c r="AV519" s="672">
        <v>245366</v>
      </c>
      <c r="AW519" s="672">
        <v>122683.66</v>
      </c>
      <c r="AX519" s="672">
        <v>122683</v>
      </c>
      <c r="AY519" s="672">
        <v>122683</v>
      </c>
      <c r="AZ519" s="672">
        <v>122683</v>
      </c>
      <c r="BA519" s="672">
        <v>122683</v>
      </c>
      <c r="BB519" s="672">
        <v>122683</v>
      </c>
      <c r="BC519" s="672">
        <v>122683</v>
      </c>
      <c r="BD519" s="672">
        <v>122683</v>
      </c>
      <c r="BE519" s="672">
        <v>122683</v>
      </c>
      <c r="BF519" s="672">
        <v>122683</v>
      </c>
      <c r="BG519" s="672">
        <v>1472196.6600000001</v>
      </c>
      <c r="BH519" s="665"/>
      <c r="BI519" s="665">
        <v>245366</v>
      </c>
      <c r="BJ519" s="665">
        <v>122683.66</v>
      </c>
      <c r="BK519" s="665">
        <v>122683</v>
      </c>
      <c r="BL519" s="665">
        <v>122683</v>
      </c>
      <c r="BM519" s="665">
        <v>122683</v>
      </c>
      <c r="BN519" s="665">
        <v>122683</v>
      </c>
      <c r="BO519" s="665">
        <v>122683</v>
      </c>
      <c r="BP519" s="665">
        <v>122683</v>
      </c>
      <c r="BQ519" s="665">
        <v>122683</v>
      </c>
      <c r="BR519" s="665">
        <v>122683</v>
      </c>
      <c r="BS519" s="665">
        <v>122683</v>
      </c>
      <c r="BT519" s="665">
        <v>1472196.6600000001</v>
      </c>
    </row>
    <row r="520" spans="1:72" ht="15" hidden="1" customHeight="1">
      <c r="A520" s="66" t="s">
        <v>1229</v>
      </c>
      <c r="B520" s="66"/>
      <c r="C520" s="66" t="s">
        <v>86</v>
      </c>
      <c r="D520" s="66" t="s">
        <v>86</v>
      </c>
      <c r="E520" s="150" t="s">
        <v>1136</v>
      </c>
      <c r="F520" s="482" t="s">
        <v>1566</v>
      </c>
      <c r="G520" s="150" t="s">
        <v>1135</v>
      </c>
      <c r="H520" s="150" t="s">
        <v>1135</v>
      </c>
      <c r="I520" s="150" t="s">
        <v>1135</v>
      </c>
      <c r="J520" s="150" t="s">
        <v>1135</v>
      </c>
      <c r="K520" s="150" t="s">
        <v>1137</v>
      </c>
      <c r="L520" s="511" t="s">
        <v>49</v>
      </c>
      <c r="M520" s="392" t="s">
        <v>1230</v>
      </c>
      <c r="N520" s="343" t="s">
        <v>1231</v>
      </c>
      <c r="O520" s="346" t="s">
        <v>1171</v>
      </c>
      <c r="P520" s="70" t="s">
        <v>87</v>
      </c>
      <c r="Q520" s="346"/>
      <c r="R520" s="346" t="s">
        <v>1232</v>
      </c>
      <c r="S520" s="346"/>
      <c r="T520" s="150" t="s">
        <v>25</v>
      </c>
      <c r="U520" s="150" t="s">
        <v>1233</v>
      </c>
      <c r="V520" s="643"/>
      <c r="W520" s="659">
        <v>1678341.6000000003</v>
      </c>
      <c r="X520" s="659">
        <v>1647348.3599999999</v>
      </c>
      <c r="Y520" s="669"/>
      <c r="Z520" s="657"/>
      <c r="AA520" s="714">
        <v>113142.14</v>
      </c>
      <c r="AB520" s="429">
        <v>160853.85999999999</v>
      </c>
      <c r="AC520" s="429">
        <v>137841.35999999999</v>
      </c>
      <c r="AD520" s="429">
        <v>0</v>
      </c>
      <c r="AE520" s="429">
        <v>274558.24</v>
      </c>
      <c r="AF520" s="429">
        <v>137279.12</v>
      </c>
      <c r="AG520" s="667">
        <f>136998-136998</f>
        <v>0</v>
      </c>
      <c r="AH520" s="667">
        <f>136998-136998+137279+137279</f>
        <v>274558</v>
      </c>
      <c r="AI520" s="667">
        <f>136998-136998+137279</f>
        <v>137279</v>
      </c>
      <c r="AJ520" s="667">
        <f>136998-136998</f>
        <v>0</v>
      </c>
      <c r="AK520" s="667">
        <f>136998-136998+137279+137279</f>
        <v>274558</v>
      </c>
      <c r="AL520" s="667">
        <f>136998-136998+137279</f>
        <v>137279</v>
      </c>
      <c r="AM520" s="667">
        <f t="shared" si="30"/>
        <v>1647348.72</v>
      </c>
      <c r="AN520" s="651">
        <f>ERP_27[[#This Row],[2026 Working Total]]-ERP_27[[#This Row],[LE2 Final Submission]]</f>
        <v>0.36000000010244548</v>
      </c>
      <c r="AO520" s="665">
        <v>274558</v>
      </c>
      <c r="AP520" s="665">
        <f t="shared" ref="AP520:AP531" si="31">$AF520 - $AO520</f>
        <v>-137278.88</v>
      </c>
      <c r="AQ520" s="391">
        <f>SUM(ERP_27[[#This Row],[AP01]:[AP06]])-SUM(ERP_27[[#This Row],[AP01 LE2]:[AP06 LE2]])</f>
        <v>0.35999999998603016</v>
      </c>
      <c r="AR520" s="670"/>
      <c r="AS520" s="665">
        <f>ERP_27[[#This Row],[2026 Working Total to Budget/LE]]-ERP_27[[#This Row],[Giveback]]</f>
        <v>0.36000000010244548</v>
      </c>
      <c r="AT520" s="671" t="s">
        <v>1234</v>
      </c>
      <c r="AU520" s="672">
        <v>113142.14</v>
      </c>
      <c r="AV520" s="672">
        <v>160853.85999999999</v>
      </c>
      <c r="AW520" s="672">
        <v>137841.35999999999</v>
      </c>
      <c r="AX520" s="672">
        <v>0</v>
      </c>
      <c r="AY520" s="672">
        <v>274558</v>
      </c>
      <c r="AZ520" s="672">
        <v>137279</v>
      </c>
      <c r="BA520" s="672">
        <v>0</v>
      </c>
      <c r="BB520" s="672">
        <v>274558</v>
      </c>
      <c r="BC520" s="672">
        <v>137279</v>
      </c>
      <c r="BD520" s="672">
        <v>0</v>
      </c>
      <c r="BE520" s="672">
        <v>274558</v>
      </c>
      <c r="BF520" s="672">
        <v>137279</v>
      </c>
      <c r="BG520" s="672">
        <v>1647348.3599999999</v>
      </c>
      <c r="BH520" s="665">
        <v>113142.14</v>
      </c>
      <c r="BI520" s="665">
        <v>160853.85999999999</v>
      </c>
      <c r="BJ520" s="665">
        <v>137841.35999999999</v>
      </c>
      <c r="BK520" s="665">
        <v>136998</v>
      </c>
      <c r="BL520" s="665">
        <v>136998</v>
      </c>
      <c r="BM520" s="665">
        <v>136998</v>
      </c>
      <c r="BN520" s="665">
        <v>136998</v>
      </c>
      <c r="BO520" s="665">
        <v>136998</v>
      </c>
      <c r="BP520" s="665">
        <v>136998</v>
      </c>
      <c r="BQ520" s="665">
        <v>136998</v>
      </c>
      <c r="BR520" s="665">
        <v>136998</v>
      </c>
      <c r="BS520" s="665">
        <v>136998</v>
      </c>
      <c r="BT520" s="665">
        <v>1644819.3599999999</v>
      </c>
    </row>
    <row r="521" spans="1:72" ht="15" hidden="1" customHeight="1">
      <c r="A521" s="66" t="s">
        <v>2395</v>
      </c>
      <c r="B521" s="66"/>
      <c r="C521" s="66" t="s">
        <v>758</v>
      </c>
      <c r="D521" s="66" t="s">
        <v>758</v>
      </c>
      <c r="E521" s="150" t="s">
        <v>1136</v>
      </c>
      <c r="F521" s="482" t="s">
        <v>1566</v>
      </c>
      <c r="G521" s="150" t="s">
        <v>1135</v>
      </c>
      <c r="H521" s="150" t="s">
        <v>1135</v>
      </c>
      <c r="I521" s="150" t="s">
        <v>1135</v>
      </c>
      <c r="J521" s="150" t="s">
        <v>1135</v>
      </c>
      <c r="K521" s="150" t="s">
        <v>1137</v>
      </c>
      <c r="L521" s="511" t="s">
        <v>639</v>
      </c>
      <c r="M521" s="392" t="s">
        <v>2396</v>
      </c>
      <c r="N521" s="343" t="s">
        <v>1231</v>
      </c>
      <c r="O521" s="346" t="s">
        <v>1171</v>
      </c>
      <c r="P521" s="70" t="s">
        <v>759</v>
      </c>
      <c r="Q521" s="346"/>
      <c r="R521" s="346" t="s">
        <v>2339</v>
      </c>
      <c r="S521" s="346"/>
      <c r="T521" s="150" t="s">
        <v>704</v>
      </c>
      <c r="U521" s="150" t="s">
        <v>2340</v>
      </c>
      <c r="V521" s="643"/>
      <c r="W521" s="659">
        <v>2542329.3599999994</v>
      </c>
      <c r="X521" s="659">
        <v>2542329.36</v>
      </c>
      <c r="Y521" s="669"/>
      <c r="Z521" s="657"/>
      <c r="AA521" s="714">
        <v>2542329.37</v>
      </c>
      <c r="AB521" s="429">
        <v>-2118607.81</v>
      </c>
      <c r="AC521" s="429">
        <v>211860.78</v>
      </c>
      <c r="AD521" s="429" t="s">
        <v>1142</v>
      </c>
      <c r="AE521" s="429">
        <v>0</v>
      </c>
      <c r="AF521" s="429">
        <v>0</v>
      </c>
      <c r="AG521" s="667">
        <f>211860.78-211860.78</f>
        <v>0</v>
      </c>
      <c r="AH521" s="667">
        <f>211860.78+211860.78</f>
        <v>423721.56</v>
      </c>
      <c r="AI521" s="667">
        <v>211860.78</v>
      </c>
      <c r="AJ521" s="667">
        <f>211860.78-211860.78</f>
        <v>0</v>
      </c>
      <c r="AK521" s="667">
        <f>211860.78+211860.78</f>
        <v>423721.56</v>
      </c>
      <c r="AL521" s="667">
        <v>211860.78</v>
      </c>
      <c r="AM521" s="667">
        <f t="shared" si="30"/>
        <v>1906747.0200000003</v>
      </c>
      <c r="AN521" s="651">
        <f>ERP_27[[#This Row],[2026 Working Total]]-ERP_27[[#This Row],[LE2 Final Submission]]</f>
        <v>-635582.33999999962</v>
      </c>
      <c r="AO521" s="665">
        <v>423721.56</v>
      </c>
      <c r="AP521" s="665">
        <f t="shared" si="31"/>
        <v>-423721.56</v>
      </c>
      <c r="AQ521" s="391">
        <f>SUM(ERP_27[[#This Row],[AP01]:[AP06]])-SUM(ERP_27[[#This Row],[AP01 LE2]:[AP06 LE2]])</f>
        <v>-635582.34000000008</v>
      </c>
      <c r="AR521" s="670"/>
      <c r="AS521" s="665">
        <f>ERP_27[[#This Row],[2026 Working Total to Budget/LE]]-ERP_27[[#This Row],[Giveback]]</f>
        <v>-635582.33999999962</v>
      </c>
      <c r="AT521" s="671"/>
      <c r="AU521" s="672">
        <v>2542329.37</v>
      </c>
      <c r="AV521" s="672">
        <v>-2118607.81</v>
      </c>
      <c r="AW521" s="672">
        <v>211860.78</v>
      </c>
      <c r="AX521" s="672">
        <v>0</v>
      </c>
      <c r="AY521" s="672">
        <v>423721.56</v>
      </c>
      <c r="AZ521" s="672">
        <v>211860.78</v>
      </c>
      <c r="BA521" s="672">
        <v>0</v>
      </c>
      <c r="BB521" s="672">
        <v>423721.56</v>
      </c>
      <c r="BC521" s="672">
        <v>211860.78</v>
      </c>
      <c r="BD521" s="672">
        <v>0</v>
      </c>
      <c r="BE521" s="672">
        <v>423721.56</v>
      </c>
      <c r="BF521" s="672">
        <v>211860.78</v>
      </c>
      <c r="BG521" s="672">
        <v>2542329.36</v>
      </c>
      <c r="BH521" s="665">
        <v>2542329.37</v>
      </c>
      <c r="BI521" s="665">
        <v>-2118607.81</v>
      </c>
      <c r="BJ521" s="665">
        <v>211860.78</v>
      </c>
      <c r="BK521" s="665">
        <v>211860.78</v>
      </c>
      <c r="BL521" s="665">
        <v>211860.78</v>
      </c>
      <c r="BM521" s="665">
        <v>211860.78</v>
      </c>
      <c r="BN521" s="665">
        <v>211860.78</v>
      </c>
      <c r="BO521" s="665">
        <v>211860.78</v>
      </c>
      <c r="BP521" s="665">
        <v>211860.78</v>
      </c>
      <c r="BQ521" s="665">
        <v>211860.78</v>
      </c>
      <c r="BR521" s="665">
        <v>211860.78</v>
      </c>
      <c r="BS521" s="665">
        <v>211860.78</v>
      </c>
      <c r="BT521" s="665">
        <v>2542329.36</v>
      </c>
    </row>
    <row r="522" spans="1:72" ht="15" hidden="1" customHeight="1">
      <c r="A522" s="215" t="s">
        <v>1822</v>
      </c>
      <c r="B522" s="215"/>
      <c r="C522" s="215" t="s">
        <v>428</v>
      </c>
      <c r="D522" s="215" t="s">
        <v>1823</v>
      </c>
      <c r="E522" s="150" t="s">
        <v>1136</v>
      </c>
      <c r="F522" s="482" t="s">
        <v>1566</v>
      </c>
      <c r="G522" s="150" t="s">
        <v>1135</v>
      </c>
      <c r="H522" s="150" t="s">
        <v>1165</v>
      </c>
      <c r="I522" s="334" t="s">
        <v>1135</v>
      </c>
      <c r="J522" s="334" t="s">
        <v>1165</v>
      </c>
      <c r="K522" s="334" t="s">
        <v>1137</v>
      </c>
      <c r="L522" s="516" t="s">
        <v>389</v>
      </c>
      <c r="M522" s="398" t="s">
        <v>1824</v>
      </c>
      <c r="N522" s="343"/>
      <c r="O522" s="344"/>
      <c r="P522" s="219" t="s">
        <v>429</v>
      </c>
      <c r="Q522" s="349"/>
      <c r="R522" s="343"/>
      <c r="S522" s="349"/>
      <c r="T522" s="334" t="s">
        <v>427</v>
      </c>
      <c r="U522" s="582" t="s">
        <v>1825</v>
      </c>
      <c r="V522" s="643"/>
      <c r="W522" s="659">
        <v>1832799.9600000002</v>
      </c>
      <c r="X522" s="659">
        <v>1832798.4200000002</v>
      </c>
      <c r="Y522" s="669"/>
      <c r="Z522" s="657"/>
      <c r="AA522" s="706"/>
      <c r="AB522" s="602">
        <v>293304.34999999998</v>
      </c>
      <c r="AC522" s="602">
        <v>164894.1</v>
      </c>
      <c r="AD522" s="429">
        <v>142089.47</v>
      </c>
      <c r="AE522" s="429">
        <v>163378.12</v>
      </c>
      <c r="AF522" s="429">
        <v>152732.93000000002</v>
      </c>
      <c r="AG522" s="695">
        <v>172399</v>
      </c>
      <c r="AH522" s="695">
        <v>172399</v>
      </c>
      <c r="AI522" s="695">
        <v>172399</v>
      </c>
      <c r="AJ522" s="695">
        <v>172399</v>
      </c>
      <c r="AK522" s="695">
        <v>172399</v>
      </c>
      <c r="AL522" s="695">
        <v>172399</v>
      </c>
      <c r="AM522" s="684">
        <f t="shared" si="30"/>
        <v>1950792.97</v>
      </c>
      <c r="AN522" s="703">
        <f>ERP_27[[#This Row],[2026 Working Total]]-ERP_27[[#This Row],[LE2 Final Submission]]</f>
        <v>117994.54999999981</v>
      </c>
      <c r="AO522" s="696">
        <v>152733.32999999999</v>
      </c>
      <c r="AP522" s="696">
        <f t="shared" si="31"/>
        <v>-0.3999999999650754</v>
      </c>
      <c r="AQ522" s="391">
        <f>SUM(ERP_27[[#This Row],[AP01]:[AP06]])-SUM(ERP_27[[#This Row],[AP01 LE2]:[AP06 LE2]])</f>
        <v>0.530000000144355</v>
      </c>
      <c r="AR522" s="670"/>
      <c r="AS522" s="665">
        <f>ERP_27[[#This Row],[2026 Working Total to Budget/LE]]-ERP_27[[#This Row],[Giveback]]</f>
        <v>117994.54999999981</v>
      </c>
      <c r="AT522" s="671"/>
      <c r="AU522" s="672"/>
      <c r="AV522" s="672">
        <v>293304.34999999998</v>
      </c>
      <c r="AW522" s="672">
        <v>164894.1</v>
      </c>
      <c r="AX522" s="672">
        <v>152733.32999999999</v>
      </c>
      <c r="AY522" s="672">
        <v>152733.32999999999</v>
      </c>
      <c r="AZ522" s="672">
        <v>152733.32999999999</v>
      </c>
      <c r="BA522" s="672">
        <v>152733.32999999999</v>
      </c>
      <c r="BB522" s="672">
        <v>152733.32999999999</v>
      </c>
      <c r="BC522" s="672">
        <v>152733.32999999999</v>
      </c>
      <c r="BD522" s="672">
        <v>152733.32999999999</v>
      </c>
      <c r="BE522" s="672">
        <v>152733.32999999999</v>
      </c>
      <c r="BF522" s="672">
        <v>152733.32999999999</v>
      </c>
      <c r="BG522" s="672">
        <v>1832798.4200000002</v>
      </c>
      <c r="BH522" s="696"/>
      <c r="BI522" s="696">
        <v>293304.34999999998</v>
      </c>
      <c r="BJ522" s="696">
        <v>164894.1</v>
      </c>
      <c r="BK522" s="696">
        <v>152733.32999999999</v>
      </c>
      <c r="BL522" s="696">
        <v>152733.32999999999</v>
      </c>
      <c r="BM522" s="696">
        <v>152733.32999999999</v>
      </c>
      <c r="BN522" s="696">
        <v>152733.32999999999</v>
      </c>
      <c r="BO522" s="696">
        <v>152733.32999999999</v>
      </c>
      <c r="BP522" s="696">
        <v>152733.32999999999</v>
      </c>
      <c r="BQ522" s="696">
        <v>152733.32999999999</v>
      </c>
      <c r="BR522" s="696">
        <v>152733.32999999999</v>
      </c>
      <c r="BS522" s="696">
        <v>152733.32999999999</v>
      </c>
      <c r="BT522" s="696">
        <v>1832798.4200000002</v>
      </c>
    </row>
    <row r="523" spans="1:72" ht="15" hidden="1" customHeight="1">
      <c r="A523" s="215" t="s">
        <v>2510</v>
      </c>
      <c r="B523" s="215"/>
      <c r="C523" s="215" t="s">
        <v>841</v>
      </c>
      <c r="D523" s="215" t="s">
        <v>841</v>
      </c>
      <c r="E523" s="150" t="s">
        <v>1136</v>
      </c>
      <c r="F523" s="482" t="s">
        <v>1566</v>
      </c>
      <c r="G523" s="150" t="s">
        <v>1135</v>
      </c>
      <c r="H523" s="150" t="s">
        <v>1135</v>
      </c>
      <c r="I523" s="334" t="s">
        <v>1135</v>
      </c>
      <c r="J523" s="334" t="s">
        <v>1135</v>
      </c>
      <c r="K523" s="334" t="s">
        <v>1137</v>
      </c>
      <c r="L523" s="516" t="s">
        <v>639</v>
      </c>
      <c r="M523" s="398" t="s">
        <v>2511</v>
      </c>
      <c r="N523" s="343" t="s">
        <v>1231</v>
      </c>
      <c r="O523" s="349" t="s">
        <v>1171</v>
      </c>
      <c r="P523" s="219" t="s">
        <v>842</v>
      </c>
      <c r="Q523" s="349"/>
      <c r="R523" s="346" t="s">
        <v>2339</v>
      </c>
      <c r="S523" s="349"/>
      <c r="T523" s="334" t="s">
        <v>843</v>
      </c>
      <c r="U523" s="354" t="s">
        <v>2340</v>
      </c>
      <c r="V523" s="643"/>
      <c r="W523" s="659">
        <v>3290595.8399999994</v>
      </c>
      <c r="X523" s="659">
        <v>3254950.82</v>
      </c>
      <c r="Y523" s="669"/>
      <c r="Z523" s="657"/>
      <c r="AA523" s="706">
        <v>3254947.27</v>
      </c>
      <c r="AB523" s="602">
        <v>-2712456.06</v>
      </c>
      <c r="AC523" s="602">
        <v>271245.61</v>
      </c>
      <c r="AD523" s="429" t="s">
        <v>1142</v>
      </c>
      <c r="AE523" s="429">
        <v>0</v>
      </c>
      <c r="AF523" s="429">
        <v>0</v>
      </c>
      <c r="AG523" s="695">
        <f>271246-271246</f>
        <v>0</v>
      </c>
      <c r="AH523" s="695">
        <f>271246+271246</f>
        <v>542492</v>
      </c>
      <c r="AI523" s="695">
        <v>271246</v>
      </c>
      <c r="AJ523" s="695">
        <f>271246-271246</f>
        <v>0</v>
      </c>
      <c r="AK523" s="695">
        <f>271246+271246</f>
        <v>542492</v>
      </c>
      <c r="AL523" s="695">
        <v>271246</v>
      </c>
      <c r="AM523" s="684">
        <f t="shared" si="30"/>
        <v>2441212.8199999998</v>
      </c>
      <c r="AN523" s="651">
        <f>ERP_27[[#This Row],[2026 Working Total]]-ERP_27[[#This Row],[LE2 Final Submission]]</f>
        <v>-813738</v>
      </c>
      <c r="AO523" s="696">
        <v>542492</v>
      </c>
      <c r="AP523" s="696">
        <f t="shared" si="31"/>
        <v>-542492</v>
      </c>
      <c r="AQ523" s="391">
        <f>SUM(ERP_27[[#This Row],[AP01]:[AP06]])-SUM(ERP_27[[#This Row],[AP01 LE2]:[AP06 LE2]])</f>
        <v>-813737.99999999988</v>
      </c>
      <c r="AR523" s="670"/>
      <c r="AS523" s="665">
        <f>ERP_27[[#This Row],[2026 Working Total to Budget/LE]]-ERP_27[[#This Row],[Giveback]]</f>
        <v>-813738</v>
      </c>
      <c r="AT523" s="671"/>
      <c r="AU523" s="672">
        <v>3254947.27</v>
      </c>
      <c r="AV523" s="672">
        <v>-2712456.06</v>
      </c>
      <c r="AW523" s="672">
        <v>271245.61</v>
      </c>
      <c r="AX523" s="672">
        <v>0</v>
      </c>
      <c r="AY523" s="672">
        <v>542492</v>
      </c>
      <c r="AZ523" s="672">
        <v>271246</v>
      </c>
      <c r="BA523" s="672">
        <v>0</v>
      </c>
      <c r="BB523" s="672">
        <v>542492</v>
      </c>
      <c r="BC523" s="672">
        <v>271246</v>
      </c>
      <c r="BD523" s="672">
        <v>0</v>
      </c>
      <c r="BE523" s="672">
        <v>542492</v>
      </c>
      <c r="BF523" s="672">
        <v>271246</v>
      </c>
      <c r="BG523" s="672">
        <v>3254950.82</v>
      </c>
      <c r="BH523" s="696">
        <v>3254947.27</v>
      </c>
      <c r="BI523" s="696">
        <v>-2712456.06</v>
      </c>
      <c r="BJ523" s="696">
        <v>271245.61</v>
      </c>
      <c r="BK523" s="696">
        <v>271246</v>
      </c>
      <c r="BL523" s="696">
        <v>271246</v>
      </c>
      <c r="BM523" s="696">
        <v>271246</v>
      </c>
      <c r="BN523" s="696">
        <v>271246</v>
      </c>
      <c r="BO523" s="696">
        <v>271246</v>
      </c>
      <c r="BP523" s="696">
        <v>271246</v>
      </c>
      <c r="BQ523" s="696">
        <v>271246</v>
      </c>
      <c r="BR523" s="696">
        <v>271246</v>
      </c>
      <c r="BS523" s="696">
        <v>271246</v>
      </c>
      <c r="BT523" s="696">
        <v>3254950.82</v>
      </c>
    </row>
    <row r="524" spans="1:72" ht="15" hidden="1" customHeight="1">
      <c r="A524" s="215" t="s">
        <v>2898</v>
      </c>
      <c r="B524" s="215"/>
      <c r="C524" s="215" t="s">
        <v>47</v>
      </c>
      <c r="D524" s="215" t="s">
        <v>47</v>
      </c>
      <c r="E524" s="150" t="s">
        <v>1136</v>
      </c>
      <c r="F524" s="482" t="s">
        <v>1566</v>
      </c>
      <c r="G524" s="150" t="s">
        <v>1650</v>
      </c>
      <c r="H524" s="150" t="s">
        <v>1650</v>
      </c>
      <c r="I524" s="334" t="s">
        <v>1650</v>
      </c>
      <c r="J524" s="334" t="s">
        <v>1650</v>
      </c>
      <c r="K524" s="334" t="s">
        <v>1650</v>
      </c>
      <c r="L524" s="516" t="s">
        <v>22</v>
      </c>
      <c r="M524" s="398" t="s">
        <v>2872</v>
      </c>
      <c r="N524" s="343"/>
      <c r="O524" s="344"/>
      <c r="P524" s="219" t="s">
        <v>29</v>
      </c>
      <c r="Q524" s="346" t="s">
        <v>1139</v>
      </c>
      <c r="R524" s="346" t="s">
        <v>1140</v>
      </c>
      <c r="S524" s="349"/>
      <c r="T524" s="334" t="s">
        <v>25</v>
      </c>
      <c r="U524" s="354"/>
      <c r="V524" s="643"/>
      <c r="W524" s="659">
        <v>2029390.9400000004</v>
      </c>
      <c r="X524" s="659">
        <v>3060870.8486933634</v>
      </c>
      <c r="Y524" s="697"/>
      <c r="Z524" s="697"/>
      <c r="AA524" s="600">
        <v>238474.06999999998</v>
      </c>
      <c r="AB524" s="600">
        <v>255306.30000000005</v>
      </c>
      <c r="AC524" s="600">
        <v>190399.43</v>
      </c>
      <c r="AD524" s="600">
        <v>293204.89</v>
      </c>
      <c r="AE524" s="600">
        <v>312206.57999999996</v>
      </c>
      <c r="AF524" s="600">
        <v>165290.4</v>
      </c>
      <c r="AG524" s="698">
        <v>239240.83906981352</v>
      </c>
      <c r="AH524" s="698">
        <v>265188.32548648014</v>
      </c>
      <c r="AI524" s="698">
        <v>265188.32548648014</v>
      </c>
      <c r="AJ524" s="698">
        <v>278462.33017032093</v>
      </c>
      <c r="AK524" s="698">
        <v>278462.33017032093</v>
      </c>
      <c r="AL524" s="698">
        <v>278462.33017032093</v>
      </c>
      <c r="AM524" s="684">
        <f t="shared" si="30"/>
        <v>3059886.1505537364</v>
      </c>
      <c r="AN524" s="651">
        <f>ERP_27[[#This Row],[2026 Working Total]]-ERP_27[[#This Row],[LE2 Final Submission]]</f>
        <v>-984.69813962699845</v>
      </c>
      <c r="AO524" s="699">
        <v>239240.83906981352</v>
      </c>
      <c r="AP524" s="699">
        <f t="shared" si="31"/>
        <v>-73950.439069813525</v>
      </c>
      <c r="AQ524" s="601">
        <f>SUM(ERP_27[[#This Row],[AP01]:[AP06]])-SUM(ERP_27[[#This Row],[AP01 LE2]:[AP06 LE2]])</f>
        <v>-984.69813962723128</v>
      </c>
      <c r="AR524" s="700"/>
      <c r="AS524" s="699">
        <f>ERP_27[[#This Row],[2026 Working Total to Budget/LE]]-ERP_27[[#This Row],[Giveback]]</f>
        <v>-984.69813962699845</v>
      </c>
      <c r="AT524" s="701"/>
      <c r="AU524" s="702">
        <v>238474.06999999998</v>
      </c>
      <c r="AV524" s="702">
        <v>255306.30000000005</v>
      </c>
      <c r="AW524" s="702">
        <v>190399.43</v>
      </c>
      <c r="AX524" s="702">
        <v>293204.89</v>
      </c>
      <c r="AY524" s="702">
        <v>239240.83906981352</v>
      </c>
      <c r="AZ524" s="702">
        <v>239240.83906981352</v>
      </c>
      <c r="BA524" s="702">
        <v>239240.83906981352</v>
      </c>
      <c r="BB524" s="702">
        <v>265188.32548648014</v>
      </c>
      <c r="BC524" s="702">
        <v>265188.32548648014</v>
      </c>
      <c r="BD524" s="702">
        <v>278462.33017032093</v>
      </c>
      <c r="BE524" s="702">
        <v>278462.33017032093</v>
      </c>
      <c r="BF524" s="702">
        <v>278462.33017032093</v>
      </c>
      <c r="BG524" s="702">
        <v>3060870.8486933634</v>
      </c>
      <c r="BH524" s="699">
        <v>150107.01</v>
      </c>
      <c r="BI524" s="699">
        <v>161151.91</v>
      </c>
      <c r="BJ524" s="699">
        <v>86856.18</v>
      </c>
      <c r="BK524" s="699">
        <v>173603.4</v>
      </c>
      <c r="BL524" s="699">
        <v>155785.32</v>
      </c>
      <c r="BM524" s="699">
        <v>155785.32</v>
      </c>
      <c r="BN524" s="699">
        <v>155785.32</v>
      </c>
      <c r="BO524" s="699">
        <v>180905.4</v>
      </c>
      <c r="BP524" s="699">
        <v>182227.08</v>
      </c>
      <c r="BQ524" s="699">
        <v>182227.08</v>
      </c>
      <c r="BR524" s="699">
        <v>182227.08</v>
      </c>
      <c r="BS524" s="699">
        <v>182227.08</v>
      </c>
      <c r="BT524" s="699">
        <v>1948888.1800000004</v>
      </c>
    </row>
    <row r="525" spans="1:72" ht="15" hidden="1" customHeight="1">
      <c r="A525" s="215" t="s">
        <v>2423</v>
      </c>
      <c r="B525" s="215"/>
      <c r="C525" s="215" t="s">
        <v>786</v>
      </c>
      <c r="D525" s="215" t="s">
        <v>786</v>
      </c>
      <c r="E525" s="150" t="s">
        <v>1136</v>
      </c>
      <c r="F525" s="482" t="s">
        <v>1566</v>
      </c>
      <c r="G525" s="150" t="s">
        <v>1135</v>
      </c>
      <c r="H525" s="150" t="s">
        <v>1135</v>
      </c>
      <c r="I525" s="334" t="s">
        <v>1135</v>
      </c>
      <c r="J525" s="334" t="s">
        <v>1135</v>
      </c>
      <c r="K525" s="334" t="s">
        <v>1137</v>
      </c>
      <c r="L525" s="516" t="s">
        <v>639</v>
      </c>
      <c r="M525" s="398" t="s">
        <v>2149</v>
      </c>
      <c r="N525" s="343" t="s">
        <v>1231</v>
      </c>
      <c r="O525" s="349" t="s">
        <v>1171</v>
      </c>
      <c r="P525" s="219" t="s">
        <v>604</v>
      </c>
      <c r="Q525" s="346"/>
      <c r="R525" s="346" t="s">
        <v>2424</v>
      </c>
      <c r="S525" s="349"/>
      <c r="T525" s="334" t="s">
        <v>605</v>
      </c>
      <c r="U525" s="354" t="s">
        <v>2425</v>
      </c>
      <c r="V525" s="643"/>
      <c r="W525" s="659">
        <v>4356984</v>
      </c>
      <c r="X525" s="659">
        <v>4356986.0199999996</v>
      </c>
      <c r="Y525" s="697"/>
      <c r="Z525" s="697"/>
      <c r="AA525" s="600"/>
      <c r="AB525" s="600">
        <v>726165.35</v>
      </c>
      <c r="AC525" s="600">
        <v>363082.67</v>
      </c>
      <c r="AD525" s="600">
        <v>0</v>
      </c>
      <c r="AE525" s="600">
        <v>726165.34</v>
      </c>
      <c r="AF525" s="600">
        <v>363082.67</v>
      </c>
      <c r="AG525" s="698">
        <f>363082-363082</f>
        <v>0</v>
      </c>
      <c r="AH525" s="698">
        <f>363082+363082</f>
        <v>726164</v>
      </c>
      <c r="AI525" s="698">
        <v>363082</v>
      </c>
      <c r="AJ525" s="698">
        <f>363082-363082</f>
        <v>0</v>
      </c>
      <c r="AK525" s="698">
        <f>363082+363082</f>
        <v>726164</v>
      </c>
      <c r="AL525" s="698">
        <v>363082</v>
      </c>
      <c r="AM525" s="684">
        <f t="shared" si="30"/>
        <v>4356988.0299999993</v>
      </c>
      <c r="AN525" s="651">
        <f>ERP_27[[#This Row],[2026 Working Total]]-ERP_27[[#This Row],[LE2 Final Submission]]</f>
        <v>2.0099999997764826</v>
      </c>
      <c r="AO525" s="699">
        <v>726164</v>
      </c>
      <c r="AP525" s="699">
        <f t="shared" si="31"/>
        <v>-363081.33</v>
      </c>
      <c r="AQ525" s="601">
        <f>SUM(ERP_27[[#This Row],[AP01]:[AP06]])-SUM(ERP_27[[#This Row],[AP01 LE2]:[AP06 LE2]])</f>
        <v>2.0099999997764826</v>
      </c>
      <c r="AR525" s="700"/>
      <c r="AS525" s="699">
        <f>ERP_27[[#This Row],[2026 Working Total to Budget/LE]]-ERP_27[[#This Row],[Giveback]]</f>
        <v>2.0099999997764826</v>
      </c>
      <c r="AT525" s="701"/>
      <c r="AU525" s="702"/>
      <c r="AV525" s="702">
        <v>726165.35</v>
      </c>
      <c r="AW525" s="702">
        <v>363082.67</v>
      </c>
      <c r="AX525" s="702">
        <v>0</v>
      </c>
      <c r="AY525" s="702">
        <v>726164</v>
      </c>
      <c r="AZ525" s="702">
        <v>363082</v>
      </c>
      <c r="BA525" s="702">
        <v>0</v>
      </c>
      <c r="BB525" s="702">
        <v>726164</v>
      </c>
      <c r="BC525" s="702">
        <v>363082</v>
      </c>
      <c r="BD525" s="702">
        <v>0</v>
      </c>
      <c r="BE525" s="702">
        <v>726164</v>
      </c>
      <c r="BF525" s="702">
        <v>363082</v>
      </c>
      <c r="BG525" s="702">
        <v>4356986.0199999996</v>
      </c>
      <c r="BH525" s="699"/>
      <c r="BI525" s="699">
        <v>726165.35</v>
      </c>
      <c r="BJ525" s="699">
        <v>363082.67</v>
      </c>
      <c r="BK525" s="699">
        <v>363082</v>
      </c>
      <c r="BL525" s="699">
        <v>363082</v>
      </c>
      <c r="BM525" s="699">
        <v>363082</v>
      </c>
      <c r="BN525" s="699">
        <v>363082</v>
      </c>
      <c r="BO525" s="699">
        <v>363082</v>
      </c>
      <c r="BP525" s="699">
        <v>363082</v>
      </c>
      <c r="BQ525" s="699">
        <v>363082</v>
      </c>
      <c r="BR525" s="699">
        <v>363082</v>
      </c>
      <c r="BS525" s="699">
        <v>363082</v>
      </c>
      <c r="BT525" s="699">
        <v>4356986.0199999996</v>
      </c>
    </row>
    <row r="526" spans="1:72" ht="15" hidden="1" customHeight="1">
      <c r="A526" s="215" t="s">
        <v>2337</v>
      </c>
      <c r="B526" s="215"/>
      <c r="C526" s="215" t="s">
        <v>702</v>
      </c>
      <c r="D526" s="215" t="s">
        <v>702</v>
      </c>
      <c r="E526" s="150" t="s">
        <v>1136</v>
      </c>
      <c r="F526" s="482" t="s">
        <v>1566</v>
      </c>
      <c r="G526" s="150" t="s">
        <v>1135</v>
      </c>
      <c r="H526" s="150" t="s">
        <v>1135</v>
      </c>
      <c r="I526" s="334" t="s">
        <v>1135</v>
      </c>
      <c r="J526" s="334" t="s">
        <v>1135</v>
      </c>
      <c r="K526" s="334" t="s">
        <v>1137</v>
      </c>
      <c r="L526" s="516" t="s">
        <v>639</v>
      </c>
      <c r="M526" s="398" t="s">
        <v>2338</v>
      </c>
      <c r="N526" s="343" t="s">
        <v>1231</v>
      </c>
      <c r="O526" s="349" t="s">
        <v>1171</v>
      </c>
      <c r="P526" s="219" t="s">
        <v>703</v>
      </c>
      <c r="Q526" s="349"/>
      <c r="R526" s="346" t="s">
        <v>2339</v>
      </c>
      <c r="S526" s="349"/>
      <c r="T526" s="334" t="s">
        <v>704</v>
      </c>
      <c r="U526" s="354" t="s">
        <v>2340</v>
      </c>
      <c r="V526" s="643"/>
      <c r="W526" s="659">
        <v>3581394.5999999992</v>
      </c>
      <c r="X526" s="659">
        <v>3026808.87</v>
      </c>
      <c r="Y526" s="697"/>
      <c r="Z526" s="697"/>
      <c r="AA526" s="600">
        <v>3026811.49</v>
      </c>
      <c r="AB526" s="600">
        <v>-3073725.16</v>
      </c>
      <c r="AC526" s="600">
        <v>803616.54</v>
      </c>
      <c r="AD526" s="600">
        <v>0</v>
      </c>
      <c r="AE526" s="600">
        <v>1470681.36</v>
      </c>
      <c r="AF526" s="600">
        <v>735340.67999999993</v>
      </c>
      <c r="AG526" s="698">
        <f>252234-252234</f>
        <v>0</v>
      </c>
      <c r="AH526" s="698">
        <f>252234+252234</f>
        <v>504468</v>
      </c>
      <c r="AI526" s="698">
        <v>252234</v>
      </c>
      <c r="AJ526" s="698">
        <f>252234-252234</f>
        <v>0</v>
      </c>
      <c r="AK526" s="698">
        <f>252234+252234</f>
        <v>504468</v>
      </c>
      <c r="AL526" s="698">
        <v>252234</v>
      </c>
      <c r="AM526" s="684">
        <f t="shared" si="30"/>
        <v>4476128.91</v>
      </c>
      <c r="AN526" s="651">
        <f>ERP_27[[#This Row],[2026 Working Total]]-ERP_27[[#This Row],[LE2 Final Submission]]</f>
        <v>1449320.04</v>
      </c>
      <c r="AO526" s="699">
        <v>504468</v>
      </c>
      <c r="AP526" s="699">
        <f t="shared" si="31"/>
        <v>230872.67999999993</v>
      </c>
      <c r="AQ526" s="601">
        <f>SUM(ERP_27[[#This Row],[AP01]:[AP06]])-SUM(ERP_27[[#This Row],[AP01 LE2]:[AP06 LE2]])</f>
        <v>1449320.04</v>
      </c>
      <c r="AR526" s="700"/>
      <c r="AS526" s="699">
        <f>ERP_27[[#This Row],[2026 Working Total to Budget/LE]]-ERP_27[[#This Row],[Giveback]]</f>
        <v>1449320.04</v>
      </c>
      <c r="AT526" s="701"/>
      <c r="AU526" s="702">
        <v>3026811.49</v>
      </c>
      <c r="AV526" s="702">
        <v>-3073725.16</v>
      </c>
      <c r="AW526" s="702">
        <v>803616.54</v>
      </c>
      <c r="AX526" s="702">
        <v>0</v>
      </c>
      <c r="AY526" s="702">
        <v>504468</v>
      </c>
      <c r="AZ526" s="702">
        <v>252234</v>
      </c>
      <c r="BA526" s="702">
        <v>0</v>
      </c>
      <c r="BB526" s="702">
        <v>504468</v>
      </c>
      <c r="BC526" s="702">
        <v>252234</v>
      </c>
      <c r="BD526" s="702">
        <v>0</v>
      </c>
      <c r="BE526" s="702">
        <v>504468</v>
      </c>
      <c r="BF526" s="702">
        <v>252234</v>
      </c>
      <c r="BG526" s="702">
        <v>3026808.87</v>
      </c>
      <c r="BH526" s="699">
        <v>3026811.49</v>
      </c>
      <c r="BI526" s="699">
        <v>-3073725.16</v>
      </c>
      <c r="BJ526" s="699">
        <v>803616.54</v>
      </c>
      <c r="BK526" s="699">
        <v>252234</v>
      </c>
      <c r="BL526" s="699">
        <v>252234</v>
      </c>
      <c r="BM526" s="699">
        <v>252234</v>
      </c>
      <c r="BN526" s="699">
        <v>252234</v>
      </c>
      <c r="BO526" s="699">
        <v>252234</v>
      </c>
      <c r="BP526" s="699">
        <v>252234</v>
      </c>
      <c r="BQ526" s="699">
        <v>252234</v>
      </c>
      <c r="BR526" s="699">
        <v>252234</v>
      </c>
      <c r="BS526" s="699">
        <v>252234</v>
      </c>
      <c r="BT526" s="699">
        <v>3026808.87</v>
      </c>
    </row>
    <row r="527" spans="1:72" ht="15" hidden="1" customHeight="1">
      <c r="A527" s="215" t="s">
        <v>1818</v>
      </c>
      <c r="B527" s="215"/>
      <c r="C527" s="215" t="s">
        <v>425</v>
      </c>
      <c r="D527" s="215" t="s">
        <v>1819</v>
      </c>
      <c r="E527" s="150" t="s">
        <v>1136</v>
      </c>
      <c r="F527" s="482" t="s">
        <v>1566</v>
      </c>
      <c r="G527" s="150" t="s">
        <v>1135</v>
      </c>
      <c r="H527" s="150" t="s">
        <v>1165</v>
      </c>
      <c r="I527" s="334" t="s">
        <v>1135</v>
      </c>
      <c r="J527" s="334" t="s">
        <v>1165</v>
      </c>
      <c r="K527" s="334" t="s">
        <v>1137</v>
      </c>
      <c r="L527" s="516" t="s">
        <v>389</v>
      </c>
      <c r="M527" s="398" t="s">
        <v>1820</v>
      </c>
      <c r="N527" s="343"/>
      <c r="O527" s="344"/>
      <c r="P527" s="219" t="s">
        <v>426</v>
      </c>
      <c r="Q527" s="349"/>
      <c r="R527" s="343"/>
      <c r="S527" s="349"/>
      <c r="T527" s="334" t="s">
        <v>427</v>
      </c>
      <c r="U527" s="357" t="s">
        <v>1821</v>
      </c>
      <c r="V527" s="643"/>
      <c r="W527" s="659">
        <v>4651599.96</v>
      </c>
      <c r="X527" s="659">
        <v>4701598.17</v>
      </c>
      <c r="Y527" s="697"/>
      <c r="Z527" s="697"/>
      <c r="AA527" s="600">
        <v>387633.4</v>
      </c>
      <c r="AB527" s="600">
        <v>404902.73</v>
      </c>
      <c r="AC527" s="600">
        <v>356492.04</v>
      </c>
      <c r="AD527" s="600">
        <v>363571.96</v>
      </c>
      <c r="AE527" s="600">
        <v>461544.87000000005</v>
      </c>
      <c r="AF527" s="600">
        <v>394829.05999999994</v>
      </c>
      <c r="AG527" s="698">
        <v>391800</v>
      </c>
      <c r="AH527" s="698">
        <v>391800</v>
      </c>
      <c r="AI527" s="698">
        <v>391800</v>
      </c>
      <c r="AJ527" s="698">
        <v>391800</v>
      </c>
      <c r="AK527" s="698">
        <v>391800</v>
      </c>
      <c r="AL527" s="698">
        <v>387633</v>
      </c>
      <c r="AM527" s="684">
        <f t="shared" si="30"/>
        <v>4715607.0600000005</v>
      </c>
      <c r="AN527" s="703">
        <f>ERP_27[[#This Row],[2026 Working Total]]-ERP_27[[#This Row],[LE2 Final Submission]]</f>
        <v>14008.890000000596</v>
      </c>
      <c r="AO527" s="699">
        <v>391800</v>
      </c>
      <c r="AP527" s="699">
        <f t="shared" si="31"/>
        <v>3029.0599999999395</v>
      </c>
      <c r="AQ527" s="601">
        <f>SUM(ERP_27[[#This Row],[AP01]:[AP06]])-SUM(ERP_27[[#This Row],[AP01 LE2]:[AP06 LE2]])</f>
        <v>14008.89000000013</v>
      </c>
      <c r="AR527" s="700"/>
      <c r="AS527" s="699">
        <f>ERP_27[[#This Row],[2026 Working Total to Budget/LE]]-ERP_27[[#This Row],[Giveback]]</f>
        <v>14008.890000000596</v>
      </c>
      <c r="AT527" s="701"/>
      <c r="AU527" s="702">
        <v>387633.4</v>
      </c>
      <c r="AV527" s="702">
        <v>404902.73</v>
      </c>
      <c r="AW527" s="702">
        <v>356492.04</v>
      </c>
      <c r="AX527" s="702">
        <v>422337</v>
      </c>
      <c r="AY527" s="702">
        <v>391800</v>
      </c>
      <c r="AZ527" s="702">
        <v>391800</v>
      </c>
      <c r="BA527" s="702">
        <v>391800</v>
      </c>
      <c r="BB527" s="702">
        <v>391800</v>
      </c>
      <c r="BC527" s="702">
        <v>391800</v>
      </c>
      <c r="BD527" s="702">
        <v>391800</v>
      </c>
      <c r="BE527" s="702">
        <v>391800</v>
      </c>
      <c r="BF527" s="702">
        <v>387633</v>
      </c>
      <c r="BG527" s="702">
        <v>4701598.17</v>
      </c>
      <c r="BH527" s="699">
        <v>387633.4</v>
      </c>
      <c r="BI527" s="699">
        <v>404902.73</v>
      </c>
      <c r="BJ527" s="699">
        <v>356492.04</v>
      </c>
      <c r="BK527" s="699">
        <v>387633.33</v>
      </c>
      <c r="BL527" s="699">
        <v>387633.33</v>
      </c>
      <c r="BM527" s="699">
        <v>387633.33</v>
      </c>
      <c r="BN527" s="699">
        <v>387633.33</v>
      </c>
      <c r="BO527" s="699">
        <v>387633.33</v>
      </c>
      <c r="BP527" s="699">
        <v>387633.33</v>
      </c>
      <c r="BQ527" s="699">
        <v>387633.33</v>
      </c>
      <c r="BR527" s="699">
        <v>387633.33</v>
      </c>
      <c r="BS527" s="699">
        <v>387633.33</v>
      </c>
      <c r="BT527" s="699">
        <v>4637728.1400000006</v>
      </c>
    </row>
    <row r="528" spans="1:72" ht="15" hidden="1" customHeight="1">
      <c r="A528" s="215" t="s">
        <v>2680</v>
      </c>
      <c r="B528" s="215"/>
      <c r="C528" s="215" t="s">
        <v>947</v>
      </c>
      <c r="D528" s="215" t="s">
        <v>2681</v>
      </c>
      <c r="E528" s="150" t="s">
        <v>1136</v>
      </c>
      <c r="F528" s="482" t="s">
        <v>1566</v>
      </c>
      <c r="G528" s="150" t="s">
        <v>1345</v>
      </c>
      <c r="H528" s="150" t="s">
        <v>1437</v>
      </c>
      <c r="I528" s="334" t="s">
        <v>1345</v>
      </c>
      <c r="J528" s="334" t="s">
        <v>1437</v>
      </c>
      <c r="K528" s="334" t="s">
        <v>1346</v>
      </c>
      <c r="L528" s="516" t="s">
        <v>639</v>
      </c>
      <c r="M528" s="398" t="s">
        <v>2682</v>
      </c>
      <c r="N528" s="343"/>
      <c r="O528" s="344"/>
      <c r="P528" s="70" t="s">
        <v>948</v>
      </c>
      <c r="Q528" s="349"/>
      <c r="R528" s="346" t="s">
        <v>2683</v>
      </c>
      <c r="S528" s="349"/>
      <c r="T528" s="334" t="s">
        <v>949</v>
      </c>
      <c r="U528" s="354" t="s">
        <v>2684</v>
      </c>
      <c r="V528" s="643"/>
      <c r="W528" s="659">
        <v>7299999.96</v>
      </c>
      <c r="X528" s="659">
        <v>7299999.96</v>
      </c>
      <c r="Y528" s="697"/>
      <c r="Z528" s="697"/>
      <c r="AA528" s="600"/>
      <c r="AB528" s="600">
        <v>1216666.6599999999</v>
      </c>
      <c r="AC528" s="600">
        <v>608333.32999999996</v>
      </c>
      <c r="AD528" s="600">
        <v>0</v>
      </c>
      <c r="AE528" s="600">
        <v>1216666.6599999999</v>
      </c>
      <c r="AF528" s="600">
        <v>608333.32999999996</v>
      </c>
      <c r="AG528" s="698">
        <f>608333.33-608333.33</f>
        <v>0</v>
      </c>
      <c r="AH528" s="698">
        <f>608333.33*2</f>
        <v>1216666.6599999999</v>
      </c>
      <c r="AI528" s="698">
        <v>608333.32999999996</v>
      </c>
      <c r="AJ528" s="698">
        <f>608333.33-608333.33</f>
        <v>0</v>
      </c>
      <c r="AK528" s="698">
        <f>608333.33*2</f>
        <v>1216666.6599999999</v>
      </c>
      <c r="AL528" s="698">
        <v>608333.32999999996</v>
      </c>
      <c r="AM528" s="684">
        <f t="shared" si="30"/>
        <v>7299999.96</v>
      </c>
      <c r="AN528" s="651">
        <f>ERP_27[[#This Row],[2026 Working Total]]-ERP_27[[#This Row],[LE2 Final Submission]]</f>
        <v>0</v>
      </c>
      <c r="AO528" s="699">
        <v>1216666.6599999999</v>
      </c>
      <c r="AP528" s="699">
        <f t="shared" si="31"/>
        <v>-608333.32999999996</v>
      </c>
      <c r="AQ528" s="601">
        <f>SUM(ERP_27[[#This Row],[AP01]:[AP06]])-SUM(ERP_27[[#This Row],[AP01 LE2]:[AP06 LE2]])</f>
        <v>0</v>
      </c>
      <c r="AR528" s="700"/>
      <c r="AS528" s="699">
        <f>ERP_27[[#This Row],[2026 Working Total to Budget/LE]]-ERP_27[[#This Row],[Giveback]]</f>
        <v>0</v>
      </c>
      <c r="AT528" s="701"/>
      <c r="AU528" s="702"/>
      <c r="AV528" s="702">
        <v>1216666.6599999999</v>
      </c>
      <c r="AW528" s="702">
        <v>608333.32999999996</v>
      </c>
      <c r="AX528" s="702">
        <v>0</v>
      </c>
      <c r="AY528" s="702">
        <v>1216666.6599999999</v>
      </c>
      <c r="AZ528" s="702">
        <v>608333.32999999996</v>
      </c>
      <c r="BA528" s="702">
        <v>0</v>
      </c>
      <c r="BB528" s="702">
        <v>1216666.6599999999</v>
      </c>
      <c r="BC528" s="702">
        <v>608333.32999999996</v>
      </c>
      <c r="BD528" s="702">
        <v>0</v>
      </c>
      <c r="BE528" s="702">
        <v>1216666.6599999999</v>
      </c>
      <c r="BF528" s="702">
        <v>608333.32999999996</v>
      </c>
      <c r="BG528" s="702">
        <v>7299999.96</v>
      </c>
      <c r="BH528" s="699"/>
      <c r="BI528" s="699">
        <v>1216666.6599999999</v>
      </c>
      <c r="BJ528" s="699">
        <v>608333.32999999996</v>
      </c>
      <c r="BK528" s="699">
        <v>608333.32999999996</v>
      </c>
      <c r="BL528" s="699">
        <v>608333.32999999996</v>
      </c>
      <c r="BM528" s="699">
        <v>608333.32999999996</v>
      </c>
      <c r="BN528" s="699">
        <v>608333.32999999996</v>
      </c>
      <c r="BO528" s="699">
        <v>608333.32999999996</v>
      </c>
      <c r="BP528" s="699">
        <v>608333.32999999996</v>
      </c>
      <c r="BQ528" s="699">
        <v>608333.32999999996</v>
      </c>
      <c r="BR528" s="699">
        <v>608333.32999999996</v>
      </c>
      <c r="BS528" s="699">
        <v>608333.32999999996</v>
      </c>
      <c r="BT528" s="699">
        <v>7299999.96</v>
      </c>
    </row>
    <row r="529" spans="1:72" ht="15" hidden="1" customHeight="1">
      <c r="A529" s="215" t="s">
        <v>2873</v>
      </c>
      <c r="B529" s="215"/>
      <c r="C529" s="215" t="s">
        <v>33</v>
      </c>
      <c r="D529" s="215" t="s">
        <v>33</v>
      </c>
      <c r="E529" s="150" t="s">
        <v>1136</v>
      </c>
      <c r="F529" s="482" t="s">
        <v>1566</v>
      </c>
      <c r="G529" s="150" t="s">
        <v>1345</v>
      </c>
      <c r="H529" s="150" t="s">
        <v>1345</v>
      </c>
      <c r="I529" s="334" t="s">
        <v>1345</v>
      </c>
      <c r="J529" s="334" t="s">
        <v>1345</v>
      </c>
      <c r="K529" s="334" t="s">
        <v>1346</v>
      </c>
      <c r="L529" s="516" t="s">
        <v>22</v>
      </c>
      <c r="M529" s="398" t="s">
        <v>2872</v>
      </c>
      <c r="N529" s="343"/>
      <c r="O529" s="344"/>
      <c r="P529" s="219" t="s">
        <v>29</v>
      </c>
      <c r="Q529" s="349" t="s">
        <v>1139</v>
      </c>
      <c r="R529" s="346" t="s">
        <v>1140</v>
      </c>
      <c r="S529" s="349"/>
      <c r="T529" s="334" t="s">
        <v>25</v>
      </c>
      <c r="U529" s="354" t="s">
        <v>2874</v>
      </c>
      <c r="V529" s="643"/>
      <c r="W529" s="659">
        <v>16484280.790000003</v>
      </c>
      <c r="X529" s="659">
        <v>21816549.886619337</v>
      </c>
      <c r="Y529" s="697"/>
      <c r="Z529" s="697"/>
      <c r="AA529" s="600">
        <v>1733430.9899999991</v>
      </c>
      <c r="AB529" s="600">
        <v>2659121.5100000012</v>
      </c>
      <c r="AC529" s="600">
        <v>1591278.1799999983</v>
      </c>
      <c r="AD529" s="600">
        <v>2358182.7000000007</v>
      </c>
      <c r="AE529" s="600">
        <v>54442.760000000351</v>
      </c>
      <c r="AF529" s="600">
        <v>1905380.4099999985</v>
      </c>
      <c r="AG529" s="698">
        <v>1785306.7237904386</v>
      </c>
      <c r="AH529" s="698">
        <v>1781851.6968221199</v>
      </c>
      <c r="AI529" s="698">
        <v>1807055.77390462</v>
      </c>
      <c r="AJ529" s="698">
        <v>1862531.492714915</v>
      </c>
      <c r="AK529" s="698">
        <v>1871209.9824649149</v>
      </c>
      <c r="AL529" s="698">
        <v>1871209.9824649149</v>
      </c>
      <c r="AM529" s="684">
        <f t="shared" si="30"/>
        <v>21281002.202161916</v>
      </c>
      <c r="AN529" s="651">
        <f>ERP_27[[#This Row],[2026 Working Total]]-ERP_27[[#This Row],[LE2 Final Submission]]</f>
        <v>-535547.6844574213</v>
      </c>
      <c r="AO529" s="699">
        <v>657407.65222870966</v>
      </c>
      <c r="AP529" s="699">
        <f t="shared" si="31"/>
        <v>1247972.757771289</v>
      </c>
      <c r="AQ529" s="601">
        <f>SUM(ERP_27[[#This Row],[AP01]:[AP06]])-SUM(ERP_27[[#This Row],[AP01 LE2]:[AP06 LE2]])</f>
        <v>-535547.68445741944</v>
      </c>
      <c r="AR529" s="700"/>
      <c r="AS529" s="699">
        <f>ERP_27[[#This Row],[2026 Working Total to Budget/LE]]-ERP_27[[#This Row],[Giveback]]</f>
        <v>-535547.6844574213</v>
      </c>
      <c r="AT529" s="701"/>
      <c r="AU529" s="702">
        <v>1733430.9899999991</v>
      </c>
      <c r="AV529" s="702">
        <v>2659121.5100000012</v>
      </c>
      <c r="AW529" s="702">
        <v>1591278.1799999983</v>
      </c>
      <c r="AX529" s="702">
        <v>2405320.04</v>
      </c>
      <c r="AY529" s="702">
        <v>657407.65222870966</v>
      </c>
      <c r="AZ529" s="702">
        <v>1790825.862228709</v>
      </c>
      <c r="BA529" s="702">
        <v>1785306.7237904386</v>
      </c>
      <c r="BB529" s="702">
        <v>1781851.6968221199</v>
      </c>
      <c r="BC529" s="702">
        <v>1807055.77390462</v>
      </c>
      <c r="BD529" s="702">
        <v>1862531.492714915</v>
      </c>
      <c r="BE529" s="702">
        <v>1871209.9824649149</v>
      </c>
      <c r="BF529" s="702">
        <v>1871209.9824649149</v>
      </c>
      <c r="BG529" s="702">
        <v>21816549.886619337</v>
      </c>
      <c r="BH529" s="699">
        <v>1086387.3400000001</v>
      </c>
      <c r="BI529" s="699">
        <v>1551142.73</v>
      </c>
      <c r="BJ529" s="699">
        <v>857806.14</v>
      </c>
      <c r="BK529" s="699">
        <v>1328752.27</v>
      </c>
      <c r="BL529" s="699">
        <v>1328097.83</v>
      </c>
      <c r="BM529" s="699">
        <v>1371182.86</v>
      </c>
      <c r="BN529" s="699">
        <v>1392643.5</v>
      </c>
      <c r="BO529" s="699">
        <v>1403661.35</v>
      </c>
      <c r="BP529" s="699">
        <v>1403661.35</v>
      </c>
      <c r="BQ529" s="699">
        <v>1403661.35</v>
      </c>
      <c r="BR529" s="699">
        <v>1409426</v>
      </c>
      <c r="BS529" s="699">
        <v>1409426</v>
      </c>
      <c r="BT529" s="699">
        <v>15945848.720000001</v>
      </c>
    </row>
    <row r="530" spans="1:72" ht="15" hidden="1" customHeight="1">
      <c r="A530" s="215" t="s">
        <v>2759</v>
      </c>
      <c r="B530" s="215"/>
      <c r="C530" s="215" t="s">
        <v>990</v>
      </c>
      <c r="D530" s="215" t="s">
        <v>2760</v>
      </c>
      <c r="E530" s="150" t="s">
        <v>1136</v>
      </c>
      <c r="F530" s="482" t="s">
        <v>1566</v>
      </c>
      <c r="G530" s="150" t="s">
        <v>1566</v>
      </c>
      <c r="H530" s="150" t="s">
        <v>1566</v>
      </c>
      <c r="I530" s="334" t="s">
        <v>1567</v>
      </c>
      <c r="J530" s="334" t="s">
        <v>1567</v>
      </c>
      <c r="K530" s="334" t="s">
        <v>1567</v>
      </c>
      <c r="L530" s="516" t="s">
        <v>639</v>
      </c>
      <c r="M530" s="398" t="s">
        <v>1685</v>
      </c>
      <c r="N530" s="343"/>
      <c r="O530" s="344"/>
      <c r="P530" s="219" t="s">
        <v>661</v>
      </c>
      <c r="Q530" s="349" t="s">
        <v>1139</v>
      </c>
      <c r="R530" s="346" t="s">
        <v>1140</v>
      </c>
      <c r="S530" s="349"/>
      <c r="T530" s="334" t="s">
        <v>25</v>
      </c>
      <c r="U530" s="354"/>
      <c r="V530" s="643"/>
      <c r="W530" s="659">
        <v>0</v>
      </c>
      <c r="X530" s="659">
        <v>0</v>
      </c>
      <c r="Y530" s="697"/>
      <c r="Z530" s="697"/>
      <c r="AA530" s="600">
        <v>-6074.45</v>
      </c>
      <c r="AB530" s="600">
        <v>6074.45</v>
      </c>
      <c r="AC530" s="600">
        <v>0</v>
      </c>
      <c r="AD530" s="600" t="s">
        <v>1142</v>
      </c>
      <c r="AE530" s="600">
        <v>0</v>
      </c>
      <c r="AF530" s="600">
        <v>0</v>
      </c>
      <c r="AG530" s="698">
        <v>0</v>
      </c>
      <c r="AH530" s="698">
        <v>0</v>
      </c>
      <c r="AI530" s="698">
        <v>0</v>
      </c>
      <c r="AJ530" s="698">
        <v>0</v>
      </c>
      <c r="AK530" s="698">
        <v>0</v>
      </c>
      <c r="AL530" s="698">
        <v>0</v>
      </c>
      <c r="AM530" s="709">
        <f t="shared" si="30"/>
        <v>0</v>
      </c>
      <c r="AN530" s="651">
        <f>ERP_27[[#This Row],[2026 Working Total]]-ERP_27[[#This Row],[LE2 Final Submission]]</f>
        <v>0</v>
      </c>
      <c r="AO530" s="699">
        <v>0</v>
      </c>
      <c r="AP530" s="699">
        <f t="shared" si="31"/>
        <v>0</v>
      </c>
      <c r="AQ530" s="601">
        <f>SUM(ERP_27[[#This Row],[AP01]:[AP06]])-SUM(ERP_27[[#This Row],[AP01 LE2]:[AP06 LE2]])</f>
        <v>0</v>
      </c>
      <c r="AR530" s="700"/>
      <c r="AS530" s="699">
        <f>ERP_27[[#This Row],[2026 Working Total to Budget/LE]]-ERP_27[[#This Row],[Giveback]]</f>
        <v>0</v>
      </c>
      <c r="AT530" s="701"/>
      <c r="AU530" s="702">
        <v>-6074.45</v>
      </c>
      <c r="AV530" s="702">
        <v>6074.45</v>
      </c>
      <c r="AW530" s="702">
        <v>0</v>
      </c>
      <c r="AX530" s="702">
        <v>0</v>
      </c>
      <c r="AY530" s="702">
        <v>0</v>
      </c>
      <c r="AZ530" s="702">
        <v>0</v>
      </c>
      <c r="BA530" s="702">
        <v>0</v>
      </c>
      <c r="BB530" s="702">
        <v>0</v>
      </c>
      <c r="BC530" s="702">
        <v>0</v>
      </c>
      <c r="BD530" s="702">
        <v>0</v>
      </c>
      <c r="BE530" s="702">
        <v>0</v>
      </c>
      <c r="BF530" s="702">
        <v>0</v>
      </c>
      <c r="BG530" s="702">
        <v>0</v>
      </c>
      <c r="BH530" s="699">
        <v>-6074.45</v>
      </c>
      <c r="BI530" s="699">
        <v>6074.45</v>
      </c>
      <c r="BJ530" s="699">
        <v>0</v>
      </c>
      <c r="BK530" s="699">
        <v>0</v>
      </c>
      <c r="BL530" s="699">
        <v>0</v>
      </c>
      <c r="BM530" s="699">
        <v>0</v>
      </c>
      <c r="BN530" s="699">
        <v>0</v>
      </c>
      <c r="BO530" s="699">
        <v>0</v>
      </c>
      <c r="BP530" s="699">
        <v>0</v>
      </c>
      <c r="BQ530" s="699">
        <v>0</v>
      </c>
      <c r="BR530" s="699">
        <v>0</v>
      </c>
      <c r="BS530" s="699">
        <v>0</v>
      </c>
      <c r="BT530" s="699">
        <v>0</v>
      </c>
    </row>
    <row r="531" spans="1:72" ht="15" hidden="1" customHeight="1">
      <c r="A531" s="215" t="s">
        <v>2778</v>
      </c>
      <c r="B531" s="215"/>
      <c r="C531" s="215" t="s">
        <v>998</v>
      </c>
      <c r="D531" s="215" t="s">
        <v>2779</v>
      </c>
      <c r="E531" s="150" t="s">
        <v>1136</v>
      </c>
      <c r="F531" s="482" t="s">
        <v>1566</v>
      </c>
      <c r="G531" s="150" t="s">
        <v>1566</v>
      </c>
      <c r="H531" s="150" t="s">
        <v>1566</v>
      </c>
      <c r="I531" s="334" t="s">
        <v>1567</v>
      </c>
      <c r="J531" s="334" t="s">
        <v>1567</v>
      </c>
      <c r="K531" s="334" t="s">
        <v>1567</v>
      </c>
      <c r="L531" s="516" t="s">
        <v>639</v>
      </c>
      <c r="M531" s="398" t="s">
        <v>2780</v>
      </c>
      <c r="N531" s="343"/>
      <c r="O531" s="344"/>
      <c r="P531" s="219" t="s">
        <v>999</v>
      </c>
      <c r="Q531" s="349"/>
      <c r="R531" s="346" t="s">
        <v>1140</v>
      </c>
      <c r="S531" s="349"/>
      <c r="T531" s="334" t="s">
        <v>1000</v>
      </c>
      <c r="U531" s="354"/>
      <c r="V531" s="643"/>
      <c r="W531" s="659">
        <v>0</v>
      </c>
      <c r="X531" s="659">
        <v>0</v>
      </c>
      <c r="Y531" s="697"/>
      <c r="Z531" s="697"/>
      <c r="AA531" s="600">
        <v>16675.14</v>
      </c>
      <c r="AB531" s="600">
        <v>0</v>
      </c>
      <c r="AC531" s="600">
        <v>-16675.14</v>
      </c>
      <c r="AD531" s="600" t="s">
        <v>1142</v>
      </c>
      <c r="AE531" s="600">
        <v>0</v>
      </c>
      <c r="AF531" s="600">
        <v>0</v>
      </c>
      <c r="AG531" s="698"/>
      <c r="AH531" s="698"/>
      <c r="AI531" s="698"/>
      <c r="AJ531" s="698"/>
      <c r="AK531" s="698"/>
      <c r="AL531" s="698"/>
      <c r="AM531" s="709">
        <f t="shared" ref="AM531:AM592" si="32">SUM(AA531:AL531)</f>
        <v>0</v>
      </c>
      <c r="AN531" s="651">
        <f>ERP_27[[#This Row],[2026 Working Total]]-ERP_27[[#This Row],[LE2 Final Submission]]</f>
        <v>0</v>
      </c>
      <c r="AO531" s="699"/>
      <c r="AP531" s="699">
        <f t="shared" si="31"/>
        <v>0</v>
      </c>
      <c r="AQ531" s="601">
        <f>SUM(ERP_27[[#This Row],[AP01]:[AP06]])-SUM(ERP_27[[#This Row],[AP01 LE2]:[AP06 LE2]])</f>
        <v>0</v>
      </c>
      <c r="AR531" s="700"/>
      <c r="AS531" s="699">
        <f>ERP_27[[#This Row],[2026 Working Total to Budget/LE]]-ERP_27[[#This Row],[Giveback]]</f>
        <v>0</v>
      </c>
      <c r="AT531" s="701"/>
      <c r="AU531" s="702">
        <v>16675.14</v>
      </c>
      <c r="AV531" s="702">
        <v>0</v>
      </c>
      <c r="AW531" s="702">
        <v>-16675.14</v>
      </c>
      <c r="AX531" s="702"/>
      <c r="AY531" s="702"/>
      <c r="AZ531" s="702"/>
      <c r="BA531" s="702"/>
      <c r="BB531" s="702"/>
      <c r="BC531" s="702"/>
      <c r="BD531" s="702"/>
      <c r="BE531" s="702"/>
      <c r="BF531" s="702"/>
      <c r="BG531" s="702">
        <v>0</v>
      </c>
      <c r="BH531" s="699">
        <v>16675.14</v>
      </c>
      <c r="BI531" s="699">
        <v>0</v>
      </c>
      <c r="BJ531" s="699">
        <v>-16675.14</v>
      </c>
      <c r="BK531" s="699"/>
      <c r="BL531" s="699"/>
      <c r="BM531" s="699"/>
      <c r="BN531" s="699"/>
      <c r="BO531" s="699"/>
      <c r="BP531" s="699"/>
      <c r="BQ531" s="699"/>
      <c r="BR531" s="699"/>
      <c r="BS531" s="699"/>
      <c r="BT531" s="699">
        <v>0</v>
      </c>
    </row>
    <row r="532" spans="1:72" ht="15" hidden="1" customHeight="1">
      <c r="A532" s="215" t="s">
        <v>1150</v>
      </c>
      <c r="B532" s="725" t="s">
        <v>2943</v>
      </c>
      <c r="C532" s="215" t="s">
        <v>52</v>
      </c>
      <c r="D532" s="215" t="s">
        <v>1151</v>
      </c>
      <c r="E532" s="513" t="s">
        <v>1136</v>
      </c>
      <c r="F532" s="726" t="s">
        <v>1566</v>
      </c>
      <c r="G532" s="513" t="s">
        <v>1135</v>
      </c>
      <c r="H532" s="513" t="s">
        <v>1145</v>
      </c>
      <c r="I532" s="727" t="s">
        <v>1135</v>
      </c>
      <c r="J532" s="727" t="s">
        <v>1145</v>
      </c>
      <c r="K532" s="727" t="s">
        <v>1137</v>
      </c>
      <c r="L532" s="516" t="s">
        <v>49</v>
      </c>
      <c r="M532" s="728" t="s">
        <v>1147</v>
      </c>
      <c r="N532" s="729"/>
      <c r="O532" s="730"/>
      <c r="P532" s="731" t="s">
        <v>53</v>
      </c>
      <c r="Q532" s="732" t="s">
        <v>1153</v>
      </c>
      <c r="R532" s="729"/>
      <c r="S532" s="732"/>
      <c r="T532" s="727" t="s">
        <v>25</v>
      </c>
      <c r="U532" s="733"/>
      <c r="V532" s="704"/>
      <c r="W532" s="705">
        <f>SUMIF('Duplicate Disposition'!$C:$C,$C532,'Duplicate Disposition'!W:W)</f>
        <v>-694940</v>
      </c>
      <c r="X532" s="705">
        <f>SUMIF('Duplicate Disposition'!$C:$C,$C532,'Duplicate Disposition'!X:X)</f>
        <v>-708903.73</v>
      </c>
      <c r="Y532" s="705">
        <f>SUMIF('Duplicate Disposition'!$C:$C,$C532,'Duplicate Disposition'!Y:Y)</f>
        <v>0</v>
      </c>
      <c r="Z532" s="705">
        <f>SUMIF('Duplicate Disposition'!$C:$C,$C532,'Duplicate Disposition'!Z:Z)</f>
        <v>0</v>
      </c>
      <c r="AA532" s="705">
        <f>SUMIF('Duplicate Disposition'!$C:$C,$C532,'Duplicate Disposition'!AA:AA)</f>
        <v>44340</v>
      </c>
      <c r="AB532" s="705">
        <f>SUMIF('Duplicate Disposition'!$C:$C,$C532,'Duplicate Disposition'!AB:AB)</f>
        <v>-102307.86</v>
      </c>
      <c r="AC532" s="705">
        <f>SUMIF('Duplicate Disposition'!$C:$C,$C532,'Duplicate Disposition'!AC:AC)</f>
        <v>-95095.87</v>
      </c>
      <c r="AD532" s="705">
        <f>SUMIF('Duplicate Disposition'!$C:$C,$C532,'Duplicate Disposition'!AD:AD)</f>
        <v>181811</v>
      </c>
      <c r="AE532" s="705">
        <f>SUMIF('Duplicate Disposition'!$C:$C,$C532,'Duplicate Disposition'!AE:AE)</f>
        <v>-204400.00000000006</v>
      </c>
      <c r="AF532" s="705">
        <f>SUMIF('Duplicate Disposition'!$C:$C,$C532,'Duplicate Disposition'!AF:AF)</f>
        <v>-370184</v>
      </c>
      <c r="AG532" s="705">
        <f>SUMIF('Duplicate Disposition'!$C:$C,$C532,'Duplicate Disposition'!AG:AG)</f>
        <v>-11640</v>
      </c>
      <c r="AH532" s="705">
        <f>SUMIF('Duplicate Disposition'!$C:$C,$C532,'Duplicate Disposition'!AH:AH)</f>
        <v>-116400</v>
      </c>
      <c r="AI532" s="705">
        <f>SUMIF('Duplicate Disposition'!$C:$C,$C532,'Duplicate Disposition'!AI:AI)</f>
        <v>-75000</v>
      </c>
      <c r="AJ532" s="705">
        <f>SUMIF('Duplicate Disposition'!$C:$C,$C532,'Duplicate Disposition'!AJ:AJ)</f>
        <v>-75000</v>
      </c>
      <c r="AK532" s="705">
        <f>SUMIF('Duplicate Disposition'!$C:$C,$C532,'Duplicate Disposition'!AK:AK)</f>
        <v>-75000</v>
      </c>
      <c r="AL532" s="705">
        <f>SUMIF('Duplicate Disposition'!$C:$C,$C532,'Duplicate Disposition'!AL:AL)</f>
        <v>-75000</v>
      </c>
      <c r="AM532" s="734">
        <f t="shared" si="32"/>
        <v>-973876.73</v>
      </c>
      <c r="AN532" s="735">
        <f>ERP_27[[#This Row],[2026 Working Total]]-ERP_27[[#This Row],[LE2 Final Submission]]</f>
        <v>-264973</v>
      </c>
      <c r="AO532" s="705">
        <f>SUMIF('Duplicate Disposition'!$C:$C,$C532,'Duplicate Disposition'!AO:AO)</f>
        <v>-6440</v>
      </c>
      <c r="AP532" s="705">
        <f>SUMIF('Duplicate Disposition'!$C:$C,$C532,'Duplicate Disposition'!AP:AP)</f>
        <v>-363744</v>
      </c>
      <c r="AQ532" s="713">
        <f>SUMIF('Duplicate Disposition'!$C:$C,$C532,'Duplicate Disposition'!AQ:AQ)</f>
        <v>-286933.00000000006</v>
      </c>
      <c r="AR532" s="713">
        <f>SUMIF('Duplicate Disposition'!$C:$C,$C532,'Duplicate Disposition'!AR:AR)</f>
        <v>0</v>
      </c>
      <c r="AS532" s="713">
        <f>SUMIF('Duplicate Disposition'!$C:$C,$C532,'Duplicate Disposition'!AS:AS)</f>
        <v>-264973.00000000012</v>
      </c>
      <c r="AT532" s="713">
        <f>SUMIF('Duplicate Disposition'!$C:$C,$C532,'Duplicate Disposition'!AT:AT)</f>
        <v>0</v>
      </c>
      <c r="AU532" s="705">
        <f>SUMIF('Duplicate Disposition'!$C:$C,$C532,'Duplicate Disposition'!AU:AU)</f>
        <v>44340</v>
      </c>
      <c r="AV532" s="705">
        <f>SUMIF('Duplicate Disposition'!$C:$C,$C532,'Duplicate Disposition'!AV:AV)</f>
        <v>-102307.86</v>
      </c>
      <c r="AW532" s="705">
        <f>SUMIF('Duplicate Disposition'!$C:$C,$C532,'Duplicate Disposition'!AW:AW)</f>
        <v>-95095.87</v>
      </c>
      <c r="AX532" s="705">
        <f>SUMIF('Duplicate Disposition'!$C:$C,$C532,'Duplicate Disposition'!AX:AX)</f>
        <v>-55600</v>
      </c>
      <c r="AY532" s="705">
        <f>SUMIF('Duplicate Disposition'!$C:$C,$C532,'Duplicate Disposition'!AY:AY)</f>
        <v>-6440</v>
      </c>
      <c r="AZ532" s="705">
        <f>SUMIF('Duplicate Disposition'!$C:$C,$C532,'Duplicate Disposition'!AZ:AZ)</f>
        <v>-43800</v>
      </c>
      <c r="BA532" s="705">
        <f>SUMIF('Duplicate Disposition'!$C:$C,$C532,'Duplicate Disposition'!BA:BA)</f>
        <v>-75000</v>
      </c>
      <c r="BB532" s="705">
        <f>SUMIF('Duplicate Disposition'!$C:$C,$C532,'Duplicate Disposition'!BB:BB)</f>
        <v>-75000</v>
      </c>
      <c r="BC532" s="705">
        <f>SUMIF('Duplicate Disposition'!$C:$C,$C532,'Duplicate Disposition'!BC:BC)</f>
        <v>-75000</v>
      </c>
      <c r="BD532" s="705">
        <f>SUMIF('Duplicate Disposition'!$C:$C,$C532,'Duplicate Disposition'!BD:BD)</f>
        <v>-75000</v>
      </c>
      <c r="BE532" s="705">
        <f>SUMIF('Duplicate Disposition'!$C:$C,$C532,'Duplicate Disposition'!BE:BE)</f>
        <v>-75000</v>
      </c>
      <c r="BF532" s="705">
        <f>SUMIF('Duplicate Disposition'!$C:$C,$C532,'Duplicate Disposition'!BF:BF)</f>
        <v>-75000</v>
      </c>
      <c r="BG532" s="705">
        <f>SUMIF('Duplicate Disposition'!$C:$C,$C532,'Duplicate Disposition'!BG:BG)</f>
        <v>-708903.73</v>
      </c>
      <c r="BH532" s="705">
        <f>SUMIF('Duplicate Disposition'!$C:$C,$C532,'Duplicate Disposition'!BH:BH)</f>
        <v>44340</v>
      </c>
      <c r="BI532" s="705">
        <f>SUMIF('Duplicate Disposition'!$C:$C,$C532,'Duplicate Disposition'!BI:BI)</f>
        <v>-102307.86</v>
      </c>
      <c r="BJ532" s="705">
        <f>SUMIF('Duplicate Disposition'!$C:$C,$C532,'Duplicate Disposition'!BJ:BJ)</f>
        <v>-95095.87</v>
      </c>
      <c r="BK532" s="705">
        <f>SUMIF('Duplicate Disposition'!$C:$C,$C532,'Duplicate Disposition'!BK:BK)</f>
        <v>-54600</v>
      </c>
      <c r="BL532" s="705">
        <f>SUMIF('Duplicate Disposition'!$C:$C,$C532,'Duplicate Disposition'!BL:BL)</f>
        <v>-50000</v>
      </c>
      <c r="BM532" s="705">
        <f>SUMIF('Duplicate Disposition'!$C:$C,$C532,'Duplicate Disposition'!BM:BM)</f>
        <v>-33840</v>
      </c>
      <c r="BN532" s="705">
        <f>SUMIF('Duplicate Disposition'!$C:$C,$C532,'Duplicate Disposition'!BN:BN)</f>
        <v>-75000</v>
      </c>
      <c r="BO532" s="705">
        <f>SUMIF('Duplicate Disposition'!$C:$C,$C532,'Duplicate Disposition'!BO:BO)</f>
        <v>-75000</v>
      </c>
      <c r="BP532" s="705">
        <f>SUMIF('Duplicate Disposition'!$C:$C,$C532,'Duplicate Disposition'!BP:BP)</f>
        <v>-75000</v>
      </c>
      <c r="BQ532" s="705">
        <f>SUMIF('Duplicate Disposition'!$C:$C,$C532,'Duplicate Disposition'!BQ:BQ)</f>
        <v>-75000</v>
      </c>
      <c r="BR532" s="705">
        <f>SUMIF('Duplicate Disposition'!$C:$C,$C532,'Duplicate Disposition'!BR:BR)</f>
        <v>-75000</v>
      </c>
      <c r="BS532" s="705">
        <f>SUMIF('Duplicate Disposition'!$C:$C,$C532,'Duplicate Disposition'!BS:BS)</f>
        <v>-75000</v>
      </c>
      <c r="BT532" s="705">
        <f>SUMIF('Duplicate Disposition'!$C:$C,$C532,'Duplicate Disposition'!BT:BT)</f>
        <v>-741503.73</v>
      </c>
    </row>
    <row r="533" spans="1:72" ht="15" hidden="1" customHeight="1">
      <c r="A533" s="215" t="s">
        <v>2526</v>
      </c>
      <c r="B533" s="725" t="s">
        <v>2944</v>
      </c>
      <c r="C533" s="215" t="s">
        <v>852</v>
      </c>
      <c r="D533" s="215" t="s">
        <v>852</v>
      </c>
      <c r="E533" s="513" t="s">
        <v>1136</v>
      </c>
      <c r="F533" s="726" t="s">
        <v>1566</v>
      </c>
      <c r="G533" s="513" t="s">
        <v>1135</v>
      </c>
      <c r="H533" s="513" t="s">
        <v>1135</v>
      </c>
      <c r="I533" s="727" t="s">
        <v>1135</v>
      </c>
      <c r="J533" s="727" t="s">
        <v>1135</v>
      </c>
      <c r="K533" s="727" t="s">
        <v>1137</v>
      </c>
      <c r="L533" s="516" t="s">
        <v>639</v>
      </c>
      <c r="M533" s="728" t="s">
        <v>1947</v>
      </c>
      <c r="N533" s="729"/>
      <c r="O533" s="730"/>
      <c r="P533" s="731" t="s">
        <v>486</v>
      </c>
      <c r="Q533" s="732" t="s">
        <v>1153</v>
      </c>
      <c r="R533" s="729"/>
      <c r="S533" s="732"/>
      <c r="T533" s="727" t="s">
        <v>487</v>
      </c>
      <c r="U533" s="733"/>
      <c r="V533" s="704"/>
      <c r="W533" s="705">
        <f>SUMIF('Duplicate Disposition'!$C:$C,$C533,'Duplicate Disposition'!W:W)</f>
        <v>-937488</v>
      </c>
      <c r="X533" s="705">
        <f>SUMIF('Duplicate Disposition'!$C:$C,$C533,'Duplicate Disposition'!X:X)</f>
        <v>-925916</v>
      </c>
      <c r="Y533" s="705">
        <f>SUMIF('Duplicate Disposition'!$C:$C,$C533,'Duplicate Disposition'!Y:Y)</f>
        <v>0</v>
      </c>
      <c r="Z533" s="705">
        <f>SUMIF('Duplicate Disposition'!$C:$C,$C533,'Duplicate Disposition'!Z:Z)</f>
        <v>0</v>
      </c>
      <c r="AA533" s="705">
        <f>SUMIF('Duplicate Disposition'!$C:$C,$C533,'Duplicate Disposition'!AA:AA)</f>
        <v>0</v>
      </c>
      <c r="AB533" s="705">
        <f>SUMIF('Duplicate Disposition'!$C:$C,$C533,'Duplicate Disposition'!AB:AB)</f>
        <v>-158800</v>
      </c>
      <c r="AC533" s="705">
        <f>SUMIF('Duplicate Disposition'!$C:$C,$C533,'Duplicate Disposition'!AC:AC)</f>
        <v>-64000</v>
      </c>
      <c r="AD533" s="705">
        <f>SUMIF('Duplicate Disposition'!$C:$C,$C533,'Duplicate Disposition'!AD:AD)</f>
        <v>0</v>
      </c>
      <c r="AE533" s="705">
        <f>SUMIF('Duplicate Disposition'!$C:$C,$C533,'Duplicate Disposition'!AE:AE)</f>
        <v>-128741.87</v>
      </c>
      <c r="AF533" s="705">
        <f>SUMIF('Duplicate Disposition'!$C:$C,$C533,'Duplicate Disposition'!AF:AF)</f>
        <v>-52011.25</v>
      </c>
      <c r="AG533" s="705">
        <f>SUMIF('Duplicate Disposition'!$C:$C,$C533,'Duplicate Disposition'!AG:AG)</f>
        <v>-78124</v>
      </c>
      <c r="AH533" s="705">
        <f>SUMIF('Duplicate Disposition'!$C:$C,$C533,'Duplicate Disposition'!AH:AH)</f>
        <v>-78124</v>
      </c>
      <c r="AI533" s="705">
        <f>SUMIF('Duplicate Disposition'!$C:$C,$C533,'Duplicate Disposition'!AI:AI)</f>
        <v>-78124</v>
      </c>
      <c r="AJ533" s="705">
        <f>SUMIF('Duplicate Disposition'!$C:$C,$C533,'Duplicate Disposition'!AJ:AJ)</f>
        <v>-78124</v>
      </c>
      <c r="AK533" s="705">
        <f>SUMIF('Duplicate Disposition'!$C:$C,$C533,'Duplicate Disposition'!AK:AK)</f>
        <v>-78124</v>
      </c>
      <c r="AL533" s="705">
        <f>SUMIF('Duplicate Disposition'!$C:$C,$C533,'Duplicate Disposition'!AL:AL)</f>
        <v>-78124</v>
      </c>
      <c r="AM533" s="734">
        <f t="shared" si="32"/>
        <v>-872297.12</v>
      </c>
      <c r="AN533" s="735">
        <f>ERP_27[[#This Row],[2026 Working Total]]-ERP_27[[#This Row],[LE2 Final Submission]]</f>
        <v>53618.880000000005</v>
      </c>
      <c r="AO533" s="705">
        <f>SUMIF('Duplicate Disposition'!$C:$C,$C533,'Duplicate Disposition'!AO:AO)</f>
        <v>-78124</v>
      </c>
      <c r="AP533" s="705">
        <f>SUMIF('Duplicate Disposition'!$C:$C,$C533,'Duplicate Disposition'!AP:AP)</f>
        <v>26112.75</v>
      </c>
      <c r="AQ533" s="713">
        <f>SUMIF('Duplicate Disposition'!$C:$C,$C533,'Duplicate Disposition'!AQ:AQ)</f>
        <v>53618.880000000005</v>
      </c>
      <c r="AR533" s="713">
        <f>SUMIF('Duplicate Disposition'!$C:$C,$C533,'Duplicate Disposition'!AR:AR)</f>
        <v>0</v>
      </c>
      <c r="AS533" s="713">
        <f>SUMIF('Duplicate Disposition'!$C:$C,$C533,'Duplicate Disposition'!AS:AS)</f>
        <v>53618.880000000005</v>
      </c>
      <c r="AT533" s="713">
        <f>SUMIF('Duplicate Disposition'!$C:$C,$C533,'Duplicate Disposition'!AT:AT)</f>
        <v>0</v>
      </c>
      <c r="AU533" s="705">
        <f>SUMIF('Duplicate Disposition'!$C:$C,$C533,'Duplicate Disposition'!AU:AU)</f>
        <v>0</v>
      </c>
      <c r="AV533" s="705">
        <f>SUMIF('Duplicate Disposition'!$C:$C,$C533,'Duplicate Disposition'!AV:AV)</f>
        <v>-158800</v>
      </c>
      <c r="AW533" s="705">
        <f>SUMIF('Duplicate Disposition'!$C:$C,$C533,'Duplicate Disposition'!AW:AW)</f>
        <v>-64000</v>
      </c>
      <c r="AX533" s="705">
        <f>SUMIF('Duplicate Disposition'!$C:$C,$C533,'Duplicate Disposition'!AX:AX)</f>
        <v>-78124</v>
      </c>
      <c r="AY533" s="705">
        <f>SUMIF('Duplicate Disposition'!$C:$C,$C533,'Duplicate Disposition'!AY:AY)</f>
        <v>-78124</v>
      </c>
      <c r="AZ533" s="705">
        <f>SUMIF('Duplicate Disposition'!$C:$C,$C533,'Duplicate Disposition'!AZ:AZ)</f>
        <v>-78124</v>
      </c>
      <c r="BA533" s="705">
        <f>SUMIF('Duplicate Disposition'!$C:$C,$C533,'Duplicate Disposition'!BA:BA)</f>
        <v>-78124</v>
      </c>
      <c r="BB533" s="705">
        <f>SUMIF('Duplicate Disposition'!$C:$C,$C533,'Duplicate Disposition'!BB:BB)</f>
        <v>-78124</v>
      </c>
      <c r="BC533" s="705">
        <f>SUMIF('Duplicate Disposition'!$C:$C,$C533,'Duplicate Disposition'!BC:BC)</f>
        <v>-78124</v>
      </c>
      <c r="BD533" s="705">
        <f>SUMIF('Duplicate Disposition'!$C:$C,$C533,'Duplicate Disposition'!BD:BD)</f>
        <v>-78124</v>
      </c>
      <c r="BE533" s="705">
        <f>SUMIF('Duplicate Disposition'!$C:$C,$C533,'Duplicate Disposition'!BE:BE)</f>
        <v>-78124</v>
      </c>
      <c r="BF533" s="705">
        <f>SUMIF('Duplicate Disposition'!$C:$C,$C533,'Duplicate Disposition'!BF:BF)</f>
        <v>-78124</v>
      </c>
      <c r="BG533" s="705">
        <f>SUMIF('Duplicate Disposition'!$C:$C,$C533,'Duplicate Disposition'!BG:BG)</f>
        <v>-925916</v>
      </c>
      <c r="BH533" s="705">
        <f>SUMIF('Duplicate Disposition'!$C:$C,$C533,'Duplicate Disposition'!BH:BH)</f>
        <v>0</v>
      </c>
      <c r="BI533" s="705">
        <f>SUMIF('Duplicate Disposition'!$C:$C,$C533,'Duplicate Disposition'!BI:BI)</f>
        <v>-158800</v>
      </c>
      <c r="BJ533" s="705">
        <f>SUMIF('Duplicate Disposition'!$C:$C,$C533,'Duplicate Disposition'!BJ:BJ)</f>
        <v>-64000</v>
      </c>
      <c r="BK533" s="705">
        <f>SUMIF('Duplicate Disposition'!$C:$C,$C533,'Duplicate Disposition'!BK:BK)</f>
        <v>-78124</v>
      </c>
      <c r="BL533" s="705">
        <f>SUMIF('Duplicate Disposition'!$C:$C,$C533,'Duplicate Disposition'!BL:BL)</f>
        <v>-78124</v>
      </c>
      <c r="BM533" s="705">
        <f>SUMIF('Duplicate Disposition'!$C:$C,$C533,'Duplicate Disposition'!BM:BM)</f>
        <v>-78124</v>
      </c>
      <c r="BN533" s="705">
        <f>SUMIF('Duplicate Disposition'!$C:$C,$C533,'Duplicate Disposition'!BN:BN)</f>
        <v>-78124</v>
      </c>
      <c r="BO533" s="705">
        <f>SUMIF('Duplicate Disposition'!$C:$C,$C533,'Duplicate Disposition'!BO:BO)</f>
        <v>-78124</v>
      </c>
      <c r="BP533" s="705">
        <f>SUMIF('Duplicate Disposition'!$C:$C,$C533,'Duplicate Disposition'!BP:BP)</f>
        <v>-78124</v>
      </c>
      <c r="BQ533" s="705">
        <f>SUMIF('Duplicate Disposition'!$C:$C,$C533,'Duplicate Disposition'!BQ:BQ)</f>
        <v>-78124</v>
      </c>
      <c r="BR533" s="705">
        <f>SUMIF('Duplicate Disposition'!$C:$C,$C533,'Duplicate Disposition'!BR:BR)</f>
        <v>-78124</v>
      </c>
      <c r="BS533" s="705">
        <f>SUMIF('Duplicate Disposition'!$C:$C,$C533,'Duplicate Disposition'!BS:BS)</f>
        <v>-78124</v>
      </c>
      <c r="BT533" s="705">
        <f>SUMIF('Duplicate Disposition'!$C:$C,$C533,'Duplicate Disposition'!BT:BT)</f>
        <v>-925916</v>
      </c>
    </row>
    <row r="534" spans="1:72" ht="15" hidden="1" customHeight="1">
      <c r="A534" s="215" t="s">
        <v>1946</v>
      </c>
      <c r="B534" s="725" t="s">
        <v>2944</v>
      </c>
      <c r="C534" s="215" t="s">
        <v>485</v>
      </c>
      <c r="D534" s="215" t="s">
        <v>485</v>
      </c>
      <c r="E534" s="513" t="s">
        <v>1136</v>
      </c>
      <c r="F534" s="726" t="s">
        <v>1566</v>
      </c>
      <c r="G534" s="513" t="s">
        <v>1135</v>
      </c>
      <c r="H534" s="513" t="s">
        <v>1135</v>
      </c>
      <c r="I534" s="727" t="s">
        <v>1135</v>
      </c>
      <c r="J534" s="727" t="s">
        <v>1135</v>
      </c>
      <c r="K534" s="727" t="s">
        <v>1137</v>
      </c>
      <c r="L534" s="516" t="s">
        <v>389</v>
      </c>
      <c r="M534" s="728" t="s">
        <v>1947</v>
      </c>
      <c r="N534" s="729"/>
      <c r="O534" s="730"/>
      <c r="P534" s="736" t="s">
        <v>486</v>
      </c>
      <c r="Q534" s="732" t="s">
        <v>1153</v>
      </c>
      <c r="R534" s="729"/>
      <c r="S534" s="732"/>
      <c r="T534" s="727" t="s">
        <v>487</v>
      </c>
      <c r="U534" s="733"/>
      <c r="V534" s="704"/>
      <c r="W534" s="705">
        <f>SUMIF('Duplicate Disposition'!$C:$C,$C534,'Duplicate Disposition'!W:W)</f>
        <v>-608600</v>
      </c>
      <c r="X534" s="705">
        <f>SUMIF('Duplicate Disposition'!$C:$C,$C534,'Duplicate Disposition'!X:X)</f>
        <v>-597160</v>
      </c>
      <c r="Y534" s="705">
        <f>SUMIF('Duplicate Disposition'!$C:$C,$C534,'Duplicate Disposition'!Y:Y)</f>
        <v>0</v>
      </c>
      <c r="Z534" s="705">
        <f>SUMIF('Duplicate Disposition'!$C:$C,$C534,'Duplicate Disposition'!Z:Z)</f>
        <v>0</v>
      </c>
      <c r="AA534" s="705">
        <f>SUMIF('Duplicate Disposition'!$C:$C,$C534,'Duplicate Disposition'!AA:AA)</f>
        <v>0</v>
      </c>
      <c r="AB534" s="705">
        <f>SUMIF('Duplicate Disposition'!$C:$C,$C534,'Duplicate Disposition'!AB:AB)</f>
        <v>-68030</v>
      </c>
      <c r="AC534" s="705">
        <f>SUMIF('Duplicate Disposition'!$C:$C,$C534,'Duplicate Disposition'!AC:AC)</f>
        <v>-55730</v>
      </c>
      <c r="AD534" s="705">
        <f>SUMIF('Duplicate Disposition'!$C:$C,$C534,'Duplicate Disposition'!AD:AD)</f>
        <v>0</v>
      </c>
      <c r="AE534" s="705">
        <f>SUMIF('Duplicate Disposition'!$C:$C,$C534,'Duplicate Disposition'!AE:AE)</f>
        <v>-113731.04000000001</v>
      </c>
      <c r="AF534" s="705">
        <f>SUMIF('Duplicate Disposition'!$C:$C,$C534,'Duplicate Disposition'!AF:AF)</f>
        <v>-60567.46</v>
      </c>
      <c r="AG534" s="705">
        <f>SUMIF('Duplicate Disposition'!$C:$C,$C534,'Duplicate Disposition'!AG:AG)</f>
        <v>-52600</v>
      </c>
      <c r="AH534" s="705">
        <f>SUMIF('Duplicate Disposition'!$C:$C,$C534,'Duplicate Disposition'!AH:AH)</f>
        <v>-52600</v>
      </c>
      <c r="AI534" s="705">
        <f>SUMIF('Duplicate Disposition'!$C:$C,$C534,'Duplicate Disposition'!AI:AI)</f>
        <v>-52600</v>
      </c>
      <c r="AJ534" s="705">
        <f>SUMIF('Duplicate Disposition'!$C:$C,$C534,'Duplicate Disposition'!AJ:AJ)</f>
        <v>-52600</v>
      </c>
      <c r="AK534" s="705">
        <f>SUMIF('Duplicate Disposition'!$C:$C,$C534,'Duplicate Disposition'!AK:AK)</f>
        <v>-52600</v>
      </c>
      <c r="AL534" s="705">
        <f>SUMIF('Duplicate Disposition'!$C:$C,$C534,'Duplicate Disposition'!AL:AL)</f>
        <v>-52600</v>
      </c>
      <c r="AM534" s="734">
        <f t="shared" si="32"/>
        <v>-613658.5</v>
      </c>
      <c r="AN534" s="735">
        <f>ERP_27[[#This Row],[2026 Working Total]]-ERP_27[[#This Row],[LE2 Final Submission]]</f>
        <v>-16498.5</v>
      </c>
      <c r="AO534" s="705">
        <f>SUMIF('Duplicate Disposition'!$C:$C,$C534,'Duplicate Disposition'!AO:AO)</f>
        <v>-52600</v>
      </c>
      <c r="AP534" s="705">
        <f>SUMIF('Duplicate Disposition'!$C:$C,$C534,'Duplicate Disposition'!AP:AP)</f>
        <v>-7967.4599999999991</v>
      </c>
      <c r="AQ534" s="713">
        <f>SUMIF('Duplicate Disposition'!$C:$C,$C534,'Duplicate Disposition'!AQ:AQ)</f>
        <v>-16498.5</v>
      </c>
      <c r="AR534" s="713">
        <f>SUMIF('Duplicate Disposition'!$C:$C,$C534,'Duplicate Disposition'!AR:AR)</f>
        <v>0</v>
      </c>
      <c r="AS534" s="713">
        <f>SUMIF('Duplicate Disposition'!$C:$C,$C534,'Duplicate Disposition'!AS:AS)</f>
        <v>-16498.5</v>
      </c>
      <c r="AT534" s="713">
        <f>SUMIF('Duplicate Disposition'!$C:$C,$C534,'Duplicate Disposition'!AT:AT)</f>
        <v>0</v>
      </c>
      <c r="AU534" s="705">
        <f>SUMIF('Duplicate Disposition'!$C:$C,$C534,'Duplicate Disposition'!AU:AU)</f>
        <v>0</v>
      </c>
      <c r="AV534" s="705">
        <f>SUMIF('Duplicate Disposition'!$C:$C,$C534,'Duplicate Disposition'!AV:AV)</f>
        <v>-68030</v>
      </c>
      <c r="AW534" s="705">
        <f>SUMIF('Duplicate Disposition'!$C:$C,$C534,'Duplicate Disposition'!AW:AW)</f>
        <v>-55730</v>
      </c>
      <c r="AX534" s="705">
        <f>SUMIF('Duplicate Disposition'!$C:$C,$C534,'Duplicate Disposition'!AX:AX)</f>
        <v>-52600</v>
      </c>
      <c r="AY534" s="705">
        <f>SUMIF('Duplicate Disposition'!$C:$C,$C534,'Duplicate Disposition'!AY:AY)</f>
        <v>-52600</v>
      </c>
      <c r="AZ534" s="705">
        <f>SUMIF('Duplicate Disposition'!$C:$C,$C534,'Duplicate Disposition'!AZ:AZ)</f>
        <v>-52600</v>
      </c>
      <c r="BA534" s="705">
        <f>SUMIF('Duplicate Disposition'!$C:$C,$C534,'Duplicate Disposition'!BA:BA)</f>
        <v>-52600</v>
      </c>
      <c r="BB534" s="705">
        <f>SUMIF('Duplicate Disposition'!$C:$C,$C534,'Duplicate Disposition'!BB:BB)</f>
        <v>-52600</v>
      </c>
      <c r="BC534" s="705">
        <f>SUMIF('Duplicate Disposition'!$C:$C,$C534,'Duplicate Disposition'!BC:BC)</f>
        <v>-52600</v>
      </c>
      <c r="BD534" s="705">
        <f>SUMIF('Duplicate Disposition'!$C:$C,$C534,'Duplicate Disposition'!BD:BD)</f>
        <v>-52600</v>
      </c>
      <c r="BE534" s="705">
        <f>SUMIF('Duplicate Disposition'!$C:$C,$C534,'Duplicate Disposition'!BE:BE)</f>
        <v>-52600</v>
      </c>
      <c r="BF534" s="705">
        <f>SUMIF('Duplicate Disposition'!$C:$C,$C534,'Duplicate Disposition'!BF:BF)</f>
        <v>-52600</v>
      </c>
      <c r="BG534" s="705">
        <f>SUMIF('Duplicate Disposition'!$C:$C,$C534,'Duplicate Disposition'!BG:BG)</f>
        <v>-597160</v>
      </c>
      <c r="BH534" s="705">
        <f>SUMIF('Duplicate Disposition'!$C:$C,$C534,'Duplicate Disposition'!BH:BH)</f>
        <v>0</v>
      </c>
      <c r="BI534" s="705">
        <f>SUMIF('Duplicate Disposition'!$C:$C,$C534,'Duplicate Disposition'!BI:BI)</f>
        <v>-68030</v>
      </c>
      <c r="BJ534" s="705">
        <f>SUMIF('Duplicate Disposition'!$C:$C,$C534,'Duplicate Disposition'!BJ:BJ)</f>
        <v>-55730</v>
      </c>
      <c r="BK534" s="705">
        <f>SUMIF('Duplicate Disposition'!$C:$C,$C534,'Duplicate Disposition'!BK:BK)</f>
        <v>-52600</v>
      </c>
      <c r="BL534" s="705">
        <f>SUMIF('Duplicate Disposition'!$C:$C,$C534,'Duplicate Disposition'!BL:BL)</f>
        <v>-52600</v>
      </c>
      <c r="BM534" s="705">
        <f>SUMIF('Duplicate Disposition'!$C:$C,$C534,'Duplicate Disposition'!BM:BM)</f>
        <v>-52600</v>
      </c>
      <c r="BN534" s="705">
        <f>SUMIF('Duplicate Disposition'!$C:$C,$C534,'Duplicate Disposition'!BN:BN)</f>
        <v>-52600</v>
      </c>
      <c r="BO534" s="705">
        <f>SUMIF('Duplicate Disposition'!$C:$C,$C534,'Duplicate Disposition'!BO:BO)</f>
        <v>-52600</v>
      </c>
      <c r="BP534" s="705">
        <f>SUMIF('Duplicate Disposition'!$C:$C,$C534,'Duplicate Disposition'!BP:BP)</f>
        <v>-52600</v>
      </c>
      <c r="BQ534" s="705">
        <f>SUMIF('Duplicate Disposition'!$C:$C,$C534,'Duplicate Disposition'!BQ:BQ)</f>
        <v>-52600</v>
      </c>
      <c r="BR534" s="705">
        <f>SUMIF('Duplicate Disposition'!$C:$C,$C534,'Duplicate Disposition'!BR:BR)</f>
        <v>-52600</v>
      </c>
      <c r="BS534" s="705">
        <f>SUMIF('Duplicate Disposition'!$C:$C,$C534,'Duplicate Disposition'!BS:BS)</f>
        <v>-52600</v>
      </c>
      <c r="BT534" s="705">
        <f>SUMIF('Duplicate Disposition'!$C:$C,$C534,'Duplicate Disposition'!BT:BT)</f>
        <v>-597160</v>
      </c>
    </row>
    <row r="535" spans="1:72" ht="15" hidden="1" customHeight="1">
      <c r="A535" s="215" t="s">
        <v>2862</v>
      </c>
      <c r="B535" s="725" t="s">
        <v>2944</v>
      </c>
      <c r="C535" s="215" t="s">
        <v>1047</v>
      </c>
      <c r="D535" s="215" t="s">
        <v>2863</v>
      </c>
      <c r="E535" s="513" t="s">
        <v>1136</v>
      </c>
      <c r="F535" s="726" t="s">
        <v>1566</v>
      </c>
      <c r="G535" s="513" t="s">
        <v>1566</v>
      </c>
      <c r="H535" s="513" t="s">
        <v>1566</v>
      </c>
      <c r="I535" s="727" t="s">
        <v>1567</v>
      </c>
      <c r="J535" s="727" t="s">
        <v>1567</v>
      </c>
      <c r="K535" s="727" t="s">
        <v>1567</v>
      </c>
      <c r="L535" s="516" t="s">
        <v>1037</v>
      </c>
      <c r="M535" s="728" t="s">
        <v>2846</v>
      </c>
      <c r="N535" s="729"/>
      <c r="O535" s="730"/>
      <c r="P535" s="731" t="s">
        <v>1039</v>
      </c>
      <c r="Q535" s="732"/>
      <c r="R535" s="737" t="s">
        <v>1140</v>
      </c>
      <c r="S535" s="732"/>
      <c r="T535" s="727" t="s">
        <v>1040</v>
      </c>
      <c r="U535" s="733"/>
      <c r="V535" s="704"/>
      <c r="W535" s="705">
        <f>SUMIF('Duplicate Disposition'!$C:$C,$C535,'Duplicate Disposition'!W:W)</f>
        <v>0</v>
      </c>
      <c r="X535" s="705">
        <f>SUMIF('Duplicate Disposition'!$C:$C,$C535,'Duplicate Disposition'!X:X)</f>
        <v>-444046.86</v>
      </c>
      <c r="Y535" s="705">
        <f>SUMIF('Duplicate Disposition'!$C:$C,$C535,'Duplicate Disposition'!Y:Y)</f>
        <v>0</v>
      </c>
      <c r="Z535" s="705">
        <f>SUMIF('Duplicate Disposition'!$C:$C,$C535,'Duplicate Disposition'!Z:Z)</f>
        <v>0</v>
      </c>
      <c r="AA535" s="705">
        <f>SUMIF('Duplicate Disposition'!$C:$C,$C535,'Duplicate Disposition'!AA:AA)</f>
        <v>-468441.25</v>
      </c>
      <c r="AB535" s="705">
        <f>SUMIF('Duplicate Disposition'!$C:$C,$C535,'Duplicate Disposition'!AB:AB)</f>
        <v>21435.370000000003</v>
      </c>
      <c r="AC535" s="705">
        <f>SUMIF('Duplicate Disposition'!$C:$C,$C535,'Duplicate Disposition'!AC:AC)</f>
        <v>2959.02</v>
      </c>
      <c r="AD535" s="705">
        <f>SUMIF('Duplicate Disposition'!$C:$C,$C535,'Duplicate Disposition'!AD:AD)</f>
        <v>12472.65</v>
      </c>
      <c r="AE535" s="705">
        <f>SUMIF('Duplicate Disposition'!$C:$C,$C535,'Duplicate Disposition'!AE:AE)</f>
        <v>-603.2900000000003</v>
      </c>
      <c r="AF535" s="705">
        <f>SUMIF('Duplicate Disposition'!$C:$C,$C535,'Duplicate Disposition'!AF:AF)</f>
        <v>5264.72</v>
      </c>
      <c r="AG535" s="705">
        <f>SUMIF('Duplicate Disposition'!$C:$C,$C535,'Duplicate Disposition'!AG:AG)</f>
        <v>0</v>
      </c>
      <c r="AH535" s="705">
        <f>SUMIF('Duplicate Disposition'!$C:$C,$C535,'Duplicate Disposition'!AH:AH)</f>
        <v>0</v>
      </c>
      <c r="AI535" s="705">
        <f>SUMIF('Duplicate Disposition'!$C:$C,$C535,'Duplicate Disposition'!AI:AI)</f>
        <v>0</v>
      </c>
      <c r="AJ535" s="705">
        <f>SUMIF('Duplicate Disposition'!$C:$C,$C535,'Duplicate Disposition'!AJ:AJ)</f>
        <v>0</v>
      </c>
      <c r="AK535" s="705">
        <f>SUMIF('Duplicate Disposition'!$C:$C,$C535,'Duplicate Disposition'!AK:AK)</f>
        <v>0</v>
      </c>
      <c r="AL535" s="705">
        <f>SUMIF('Duplicate Disposition'!$C:$C,$C535,'Duplicate Disposition'!AL:AL)</f>
        <v>0</v>
      </c>
      <c r="AM535" s="734">
        <f t="shared" si="32"/>
        <v>-426912.77999999997</v>
      </c>
      <c r="AN535" s="735">
        <f>ERP_27[[#This Row],[2026 Working Total]]-ERP_27[[#This Row],[LE2 Final Submission]]</f>
        <v>17134.080000000016</v>
      </c>
      <c r="AO535" s="705">
        <f>SUMIF('Duplicate Disposition'!$C:$C,$C535,'Duplicate Disposition'!AO:AO)</f>
        <v>0</v>
      </c>
      <c r="AP535" s="705">
        <f>SUMIF('Duplicate Disposition'!$C:$C,$C535,'Duplicate Disposition'!AP:AP)</f>
        <v>5264.72</v>
      </c>
      <c r="AQ535" s="713">
        <f>SUMIF('Duplicate Disposition'!$C:$C,$C535,'Duplicate Disposition'!AQ:AQ)</f>
        <v>17134.080000000002</v>
      </c>
      <c r="AR535" s="713">
        <f>SUMIF('Duplicate Disposition'!$C:$C,$C535,'Duplicate Disposition'!AR:AR)</f>
        <v>0</v>
      </c>
      <c r="AS535" s="713">
        <f>SUMIF('Duplicate Disposition'!$C:$C,$C535,'Duplicate Disposition'!AS:AS)</f>
        <v>17134.080000000002</v>
      </c>
      <c r="AT535" s="713">
        <f>SUMIF('Duplicate Disposition'!$C:$C,$C535,'Duplicate Disposition'!AT:AT)</f>
        <v>0</v>
      </c>
      <c r="AU535" s="705">
        <f>SUMIF('Duplicate Disposition'!$C:$C,$C535,'Duplicate Disposition'!AU:AU)</f>
        <v>-468441.25</v>
      </c>
      <c r="AV535" s="705">
        <f>SUMIF('Duplicate Disposition'!$C:$C,$C535,'Duplicate Disposition'!AV:AV)</f>
        <v>21435.370000000003</v>
      </c>
      <c r="AW535" s="705">
        <f>SUMIF('Duplicate Disposition'!$C:$C,$C535,'Duplicate Disposition'!AW:AW)</f>
        <v>2959.02</v>
      </c>
      <c r="AX535" s="705">
        <f>SUMIF('Duplicate Disposition'!$C:$C,$C535,'Duplicate Disposition'!AX:AX)</f>
        <v>0</v>
      </c>
      <c r="AY535" s="705">
        <f>SUMIF('Duplicate Disposition'!$C:$C,$C535,'Duplicate Disposition'!AY:AY)</f>
        <v>0</v>
      </c>
      <c r="AZ535" s="705">
        <f>SUMIF('Duplicate Disposition'!$C:$C,$C535,'Duplicate Disposition'!AZ:AZ)</f>
        <v>0</v>
      </c>
      <c r="BA535" s="705">
        <f>SUMIF('Duplicate Disposition'!$C:$C,$C535,'Duplicate Disposition'!BA:BA)</f>
        <v>0</v>
      </c>
      <c r="BB535" s="705">
        <f>SUMIF('Duplicate Disposition'!$C:$C,$C535,'Duplicate Disposition'!BB:BB)</f>
        <v>0</v>
      </c>
      <c r="BC535" s="705">
        <f>SUMIF('Duplicate Disposition'!$C:$C,$C535,'Duplicate Disposition'!BC:BC)</f>
        <v>0</v>
      </c>
      <c r="BD535" s="705">
        <f>SUMIF('Duplicate Disposition'!$C:$C,$C535,'Duplicate Disposition'!BD:BD)</f>
        <v>0</v>
      </c>
      <c r="BE535" s="705">
        <f>SUMIF('Duplicate Disposition'!$C:$C,$C535,'Duplicate Disposition'!BE:BE)</f>
        <v>0</v>
      </c>
      <c r="BF535" s="705">
        <f>SUMIF('Duplicate Disposition'!$C:$C,$C535,'Duplicate Disposition'!BF:BF)</f>
        <v>0</v>
      </c>
      <c r="BG535" s="705">
        <f>SUMIF('Duplicate Disposition'!$C:$C,$C535,'Duplicate Disposition'!BG:BG)</f>
        <v>-444046.86</v>
      </c>
      <c r="BH535" s="705">
        <f>SUMIF('Duplicate Disposition'!$C:$C,$C535,'Duplicate Disposition'!BH:BH)</f>
        <v>-468441.25</v>
      </c>
      <c r="BI535" s="705">
        <f>SUMIF('Duplicate Disposition'!$C:$C,$C535,'Duplicate Disposition'!BI:BI)</f>
        <v>21435.370000000003</v>
      </c>
      <c r="BJ535" s="705">
        <f>SUMIF('Duplicate Disposition'!$C:$C,$C535,'Duplicate Disposition'!BJ:BJ)</f>
        <v>2959.02</v>
      </c>
      <c r="BK535" s="705">
        <f>SUMIF('Duplicate Disposition'!$C:$C,$C535,'Duplicate Disposition'!BK:BK)</f>
        <v>0</v>
      </c>
      <c r="BL535" s="705">
        <f>SUMIF('Duplicate Disposition'!$C:$C,$C535,'Duplicate Disposition'!BL:BL)</f>
        <v>0</v>
      </c>
      <c r="BM535" s="705">
        <f>SUMIF('Duplicate Disposition'!$C:$C,$C535,'Duplicate Disposition'!BM:BM)</f>
        <v>0</v>
      </c>
      <c r="BN535" s="705">
        <f>SUMIF('Duplicate Disposition'!$C:$C,$C535,'Duplicate Disposition'!BN:BN)</f>
        <v>0</v>
      </c>
      <c r="BO535" s="705">
        <f>SUMIF('Duplicate Disposition'!$C:$C,$C535,'Duplicate Disposition'!BO:BO)</f>
        <v>0</v>
      </c>
      <c r="BP535" s="705">
        <f>SUMIF('Duplicate Disposition'!$C:$C,$C535,'Duplicate Disposition'!BP:BP)</f>
        <v>0</v>
      </c>
      <c r="BQ535" s="705">
        <f>SUMIF('Duplicate Disposition'!$C:$C,$C535,'Duplicate Disposition'!BQ:BQ)</f>
        <v>0</v>
      </c>
      <c r="BR535" s="705">
        <f>SUMIF('Duplicate Disposition'!$C:$C,$C535,'Duplicate Disposition'!BR:BR)</f>
        <v>0</v>
      </c>
      <c r="BS535" s="705">
        <f>SUMIF('Duplicate Disposition'!$C:$C,$C535,'Duplicate Disposition'!BS:BS)</f>
        <v>0</v>
      </c>
      <c r="BT535" s="705">
        <f>SUMIF('Duplicate Disposition'!$C:$C,$C535,'Duplicate Disposition'!BT:BT)</f>
        <v>-444046.86</v>
      </c>
    </row>
    <row r="536" spans="1:72" ht="15" hidden="1" customHeight="1">
      <c r="A536" s="215" t="s">
        <v>1339</v>
      </c>
      <c r="B536" s="725" t="s">
        <v>2944</v>
      </c>
      <c r="C536" s="215" t="s">
        <v>148</v>
      </c>
      <c r="D536" s="215" t="s">
        <v>148</v>
      </c>
      <c r="E536" s="513" t="s">
        <v>1136</v>
      </c>
      <c r="F536" s="726" t="s">
        <v>1566</v>
      </c>
      <c r="G536" s="513" t="s">
        <v>1135</v>
      </c>
      <c r="H536" s="727" t="s">
        <v>1135</v>
      </c>
      <c r="I536" s="727" t="s">
        <v>1135</v>
      </c>
      <c r="J536" s="727" t="s">
        <v>1135</v>
      </c>
      <c r="K536" s="727" t="s">
        <v>1137</v>
      </c>
      <c r="L536" s="516" t="s">
        <v>49</v>
      </c>
      <c r="M536" s="728" t="s">
        <v>1340</v>
      </c>
      <c r="N536" s="729"/>
      <c r="O536" s="730"/>
      <c r="P536" s="731" t="s">
        <v>149</v>
      </c>
      <c r="Q536" s="732" t="s">
        <v>1139</v>
      </c>
      <c r="R536" s="729"/>
      <c r="S536" s="732"/>
      <c r="T536" s="727" t="s">
        <v>25</v>
      </c>
      <c r="U536" s="733"/>
      <c r="V536" s="704"/>
      <c r="W536" s="705">
        <f>SUMIF('Duplicate Disposition'!$C:$C,$C536,'Duplicate Disposition'!W:W)</f>
        <v>0</v>
      </c>
      <c r="X536" s="705">
        <f>SUMIF('Duplicate Disposition'!$C:$C,$C536,'Duplicate Disposition'!X:X)</f>
        <v>-30860.66</v>
      </c>
      <c r="Y536" s="705">
        <f>SUMIF('Duplicate Disposition'!$C:$C,$C536,'Duplicate Disposition'!Y:Y)</f>
        <v>0</v>
      </c>
      <c r="Z536" s="705">
        <f>SUMIF('Duplicate Disposition'!$C:$C,$C536,'Duplicate Disposition'!Z:Z)</f>
        <v>0</v>
      </c>
      <c r="AA536" s="705">
        <f>SUMIF('Duplicate Disposition'!$C:$C,$C536,'Duplicate Disposition'!AA:AA)</f>
        <v>0.34</v>
      </c>
      <c r="AB536" s="705">
        <f>SUMIF('Duplicate Disposition'!$C:$C,$C536,'Duplicate Disposition'!AB:AB)</f>
        <v>-10499.16</v>
      </c>
      <c r="AC536" s="705">
        <f>SUMIF('Duplicate Disposition'!$C:$C,$C536,'Duplicate Disposition'!AC:AC)</f>
        <v>-20361.84</v>
      </c>
      <c r="AD536" s="705">
        <f>SUMIF('Duplicate Disposition'!$C:$C,$C536,'Duplicate Disposition'!AD:AD)</f>
        <v>0</v>
      </c>
      <c r="AE536" s="705">
        <f>SUMIF('Duplicate Disposition'!$C:$C,$C536,'Duplicate Disposition'!AE:AE)</f>
        <v>0</v>
      </c>
      <c r="AF536" s="705">
        <f>SUMIF('Duplicate Disposition'!$C:$C,$C536,'Duplicate Disposition'!AF:AF)</f>
        <v>0</v>
      </c>
      <c r="AG536" s="705">
        <f>SUMIF('Duplicate Disposition'!$C:$C,$C536,'Duplicate Disposition'!AG:AG)</f>
        <v>0</v>
      </c>
      <c r="AH536" s="705">
        <f>SUMIF('Duplicate Disposition'!$C:$C,$C536,'Duplicate Disposition'!AH:AH)</f>
        <v>0</v>
      </c>
      <c r="AI536" s="705">
        <f>SUMIF('Duplicate Disposition'!$C:$C,$C536,'Duplicate Disposition'!AI:AI)</f>
        <v>0</v>
      </c>
      <c r="AJ536" s="705">
        <f>SUMIF('Duplicate Disposition'!$C:$C,$C536,'Duplicate Disposition'!AJ:AJ)</f>
        <v>0</v>
      </c>
      <c r="AK536" s="705">
        <f>SUMIF('Duplicate Disposition'!$C:$C,$C536,'Duplicate Disposition'!AK:AK)</f>
        <v>0</v>
      </c>
      <c r="AL536" s="705">
        <f>SUMIF('Duplicate Disposition'!$C:$C,$C536,'Duplicate Disposition'!AL:AL)</f>
        <v>0</v>
      </c>
      <c r="AM536" s="734">
        <f t="shared" si="32"/>
        <v>-30860.66</v>
      </c>
      <c r="AN536" s="735">
        <f>ERP_27[[#This Row],[2026 Working Total]]-ERP_27[[#This Row],[LE2 Final Submission]]</f>
        <v>0</v>
      </c>
      <c r="AO536" s="705">
        <f>SUMIF('Duplicate Disposition'!$C:$C,$C536,'Duplicate Disposition'!AO:AO)</f>
        <v>0</v>
      </c>
      <c r="AP536" s="705">
        <f>SUMIF('Duplicate Disposition'!$C:$C,$C536,'Duplicate Disposition'!AP:AP)</f>
        <v>0</v>
      </c>
      <c r="AQ536" s="713">
        <f>SUMIF('Duplicate Disposition'!$C:$C,$C536,'Duplicate Disposition'!AQ:AQ)</f>
        <v>0</v>
      </c>
      <c r="AR536" s="713">
        <f>SUMIF('Duplicate Disposition'!$C:$C,$C536,'Duplicate Disposition'!AR:AR)</f>
        <v>0</v>
      </c>
      <c r="AS536" s="713">
        <f>SUMIF('Duplicate Disposition'!$C:$C,$C536,'Duplicate Disposition'!AS:AS)</f>
        <v>0</v>
      </c>
      <c r="AT536" s="713">
        <f>SUMIF('Duplicate Disposition'!$C:$C,$C536,'Duplicate Disposition'!AT:AT)</f>
        <v>0</v>
      </c>
      <c r="AU536" s="705">
        <f>SUMIF('Duplicate Disposition'!$C:$C,$C536,'Duplicate Disposition'!AU:AU)</f>
        <v>0.34</v>
      </c>
      <c r="AV536" s="705">
        <f>SUMIF('Duplicate Disposition'!$C:$C,$C536,'Duplicate Disposition'!AV:AV)</f>
        <v>-10499.16</v>
      </c>
      <c r="AW536" s="705">
        <f>SUMIF('Duplicate Disposition'!$C:$C,$C536,'Duplicate Disposition'!AW:AW)</f>
        <v>-20361.84</v>
      </c>
      <c r="AX536" s="705">
        <f>SUMIF('Duplicate Disposition'!$C:$C,$C536,'Duplicate Disposition'!AX:AX)</f>
        <v>0</v>
      </c>
      <c r="AY536" s="705">
        <f>SUMIF('Duplicate Disposition'!$C:$C,$C536,'Duplicate Disposition'!AY:AY)</f>
        <v>0</v>
      </c>
      <c r="AZ536" s="705">
        <f>SUMIF('Duplicate Disposition'!$C:$C,$C536,'Duplicate Disposition'!AZ:AZ)</f>
        <v>0</v>
      </c>
      <c r="BA536" s="705">
        <f>SUMIF('Duplicate Disposition'!$C:$C,$C536,'Duplicate Disposition'!BA:BA)</f>
        <v>0</v>
      </c>
      <c r="BB536" s="705">
        <f>SUMIF('Duplicate Disposition'!$C:$C,$C536,'Duplicate Disposition'!BB:BB)</f>
        <v>0</v>
      </c>
      <c r="BC536" s="705">
        <f>SUMIF('Duplicate Disposition'!$C:$C,$C536,'Duplicate Disposition'!BC:BC)</f>
        <v>0</v>
      </c>
      <c r="BD536" s="705">
        <f>SUMIF('Duplicate Disposition'!$C:$C,$C536,'Duplicate Disposition'!BD:BD)</f>
        <v>0</v>
      </c>
      <c r="BE536" s="705">
        <f>SUMIF('Duplicate Disposition'!$C:$C,$C536,'Duplicate Disposition'!BE:BE)</f>
        <v>0</v>
      </c>
      <c r="BF536" s="705">
        <f>SUMIF('Duplicate Disposition'!$C:$C,$C536,'Duplicate Disposition'!BF:BF)</f>
        <v>0</v>
      </c>
      <c r="BG536" s="705">
        <f>SUMIF('Duplicate Disposition'!$C:$C,$C536,'Duplicate Disposition'!BG:BG)</f>
        <v>-30860.66</v>
      </c>
      <c r="BH536" s="705">
        <f>SUMIF('Duplicate Disposition'!$C:$C,$C536,'Duplicate Disposition'!BH:BH)</f>
        <v>0.34</v>
      </c>
      <c r="BI536" s="705">
        <f>SUMIF('Duplicate Disposition'!$C:$C,$C536,'Duplicate Disposition'!BI:BI)</f>
        <v>-10499.16</v>
      </c>
      <c r="BJ536" s="705">
        <f>SUMIF('Duplicate Disposition'!$C:$C,$C536,'Duplicate Disposition'!BJ:BJ)</f>
        <v>-20361.84</v>
      </c>
      <c r="BK536" s="705">
        <f>SUMIF('Duplicate Disposition'!$C:$C,$C536,'Duplicate Disposition'!BK:BK)</f>
        <v>0</v>
      </c>
      <c r="BL536" s="705">
        <f>SUMIF('Duplicate Disposition'!$C:$C,$C536,'Duplicate Disposition'!BL:BL)</f>
        <v>0</v>
      </c>
      <c r="BM536" s="705">
        <f>SUMIF('Duplicate Disposition'!$C:$C,$C536,'Duplicate Disposition'!BM:BM)</f>
        <v>0</v>
      </c>
      <c r="BN536" s="705">
        <f>SUMIF('Duplicate Disposition'!$C:$C,$C536,'Duplicate Disposition'!BN:BN)</f>
        <v>0</v>
      </c>
      <c r="BO536" s="705">
        <f>SUMIF('Duplicate Disposition'!$C:$C,$C536,'Duplicate Disposition'!BO:BO)</f>
        <v>0</v>
      </c>
      <c r="BP536" s="705">
        <f>SUMIF('Duplicate Disposition'!$C:$C,$C536,'Duplicate Disposition'!BP:BP)</f>
        <v>0</v>
      </c>
      <c r="BQ536" s="705">
        <f>SUMIF('Duplicate Disposition'!$C:$C,$C536,'Duplicate Disposition'!BQ:BQ)</f>
        <v>0</v>
      </c>
      <c r="BR536" s="705">
        <f>SUMIF('Duplicate Disposition'!$C:$C,$C536,'Duplicate Disposition'!BR:BR)</f>
        <v>0</v>
      </c>
      <c r="BS536" s="705">
        <f>SUMIF('Duplicate Disposition'!$C:$C,$C536,'Duplicate Disposition'!BS:BS)</f>
        <v>0</v>
      </c>
      <c r="BT536" s="705">
        <f>SUMIF('Duplicate Disposition'!$C:$C,$C536,'Duplicate Disposition'!BT:BT)</f>
        <v>-30860.66</v>
      </c>
    </row>
    <row r="537" spans="1:72" ht="15" hidden="1" customHeight="1">
      <c r="A537" s="215" t="s">
        <v>2032</v>
      </c>
      <c r="B537" s="725" t="s">
        <v>2944</v>
      </c>
      <c r="C537" s="215" t="s">
        <v>538</v>
      </c>
      <c r="D537" s="215" t="s">
        <v>538</v>
      </c>
      <c r="E537" s="513" t="s">
        <v>1136</v>
      </c>
      <c r="F537" s="726" t="s">
        <v>1566</v>
      </c>
      <c r="G537" s="513" t="s">
        <v>1345</v>
      </c>
      <c r="H537" s="727" t="s">
        <v>1345</v>
      </c>
      <c r="I537" s="727" t="s">
        <v>1345</v>
      </c>
      <c r="J537" s="727" t="s">
        <v>1345</v>
      </c>
      <c r="K537" s="727" t="s">
        <v>1346</v>
      </c>
      <c r="L537" s="516" t="s">
        <v>389</v>
      </c>
      <c r="M537" s="728" t="s">
        <v>1327</v>
      </c>
      <c r="N537" s="729"/>
      <c r="O537" s="730"/>
      <c r="P537" s="731" t="s">
        <v>147</v>
      </c>
      <c r="Q537" s="732"/>
      <c r="R537" s="729"/>
      <c r="S537" s="732"/>
      <c r="T537" s="727" t="s">
        <v>25</v>
      </c>
      <c r="U537" s="733"/>
      <c r="V537" s="704"/>
      <c r="W537" s="705">
        <f>SUMIF('Duplicate Disposition'!$C:$C,$C537,'Duplicate Disposition'!W:W)</f>
        <v>0</v>
      </c>
      <c r="X537" s="705">
        <f>SUMIF('Duplicate Disposition'!$C:$C,$C537,'Duplicate Disposition'!X:X)</f>
        <v>-6.0000000000000053E-2</v>
      </c>
      <c r="Y537" s="705">
        <f>SUMIF('Duplicate Disposition'!$C:$C,$C537,'Duplicate Disposition'!Y:Y)</f>
        <v>0</v>
      </c>
      <c r="Z537" s="705">
        <f>SUMIF('Duplicate Disposition'!$C:$C,$C537,'Duplicate Disposition'!Z:Z)</f>
        <v>0</v>
      </c>
      <c r="AA537" s="705">
        <f>SUMIF('Duplicate Disposition'!$C:$C,$C537,'Duplicate Disposition'!AA:AA)</f>
        <v>-0.54</v>
      </c>
      <c r="AB537" s="705">
        <f>SUMIF('Duplicate Disposition'!$C:$C,$C537,'Duplicate Disposition'!AB:AB)</f>
        <v>0.40999999999999992</v>
      </c>
      <c r="AC537" s="705">
        <f>SUMIF('Duplicate Disposition'!$C:$C,$C537,'Duplicate Disposition'!AC:AC)</f>
        <v>7.0000000000000007E-2</v>
      </c>
      <c r="AD537" s="705">
        <f>SUMIF('Duplicate Disposition'!$C:$C,$C537,'Duplicate Disposition'!AD:AD)</f>
        <v>0.79</v>
      </c>
      <c r="AE537" s="705">
        <f>SUMIF('Duplicate Disposition'!$C:$C,$C537,'Duplicate Disposition'!AE:AE)</f>
        <v>-1.1099999999999999</v>
      </c>
      <c r="AF537" s="705">
        <f>SUMIF('Duplicate Disposition'!$C:$C,$C537,'Duplicate Disposition'!AF:AF)</f>
        <v>8.9999999999999969E-2</v>
      </c>
      <c r="AG537" s="705">
        <f>SUMIF('Duplicate Disposition'!$C:$C,$C537,'Duplicate Disposition'!AG:AG)</f>
        <v>0</v>
      </c>
      <c r="AH537" s="705">
        <f>SUMIF('Duplicate Disposition'!$C:$C,$C537,'Duplicate Disposition'!AH:AH)</f>
        <v>0</v>
      </c>
      <c r="AI537" s="705">
        <f>SUMIF('Duplicate Disposition'!$C:$C,$C537,'Duplicate Disposition'!AI:AI)</f>
        <v>0</v>
      </c>
      <c r="AJ537" s="705">
        <f>SUMIF('Duplicate Disposition'!$C:$C,$C537,'Duplicate Disposition'!AJ:AJ)</f>
        <v>0</v>
      </c>
      <c r="AK537" s="705">
        <f>SUMIF('Duplicate Disposition'!$C:$C,$C537,'Duplicate Disposition'!AK:AK)</f>
        <v>0</v>
      </c>
      <c r="AL537" s="705">
        <f>SUMIF('Duplicate Disposition'!$C:$C,$C537,'Duplicate Disposition'!AL:AL)</f>
        <v>0</v>
      </c>
      <c r="AM537" s="734">
        <f t="shared" si="32"/>
        <v>-0.28999999999999992</v>
      </c>
      <c r="AN537" s="735">
        <f>ERP_27[[#This Row],[2026 Working Total]]-ERP_27[[#This Row],[LE2 Final Submission]]</f>
        <v>-0.22999999999999987</v>
      </c>
      <c r="AO537" s="705">
        <f>SUMIF('Duplicate Disposition'!$C:$C,$C537,'Duplicate Disposition'!AO:AO)</f>
        <v>0</v>
      </c>
      <c r="AP537" s="705">
        <f>SUMIF('Duplicate Disposition'!$C:$C,$C537,'Duplicate Disposition'!AP:AP)</f>
        <v>8.9999999999999969E-2</v>
      </c>
      <c r="AQ537" s="713">
        <f>SUMIF('Duplicate Disposition'!$C:$C,$C537,'Duplicate Disposition'!AQ:AQ)</f>
        <v>-0.23</v>
      </c>
      <c r="AR537" s="713">
        <f>SUMIF('Duplicate Disposition'!$C:$C,$C537,'Duplicate Disposition'!AR:AR)</f>
        <v>0</v>
      </c>
      <c r="AS537" s="713">
        <f>SUMIF('Duplicate Disposition'!$C:$C,$C537,'Duplicate Disposition'!AS:AS)</f>
        <v>-0.23</v>
      </c>
      <c r="AT537" s="713">
        <f>SUMIF('Duplicate Disposition'!$C:$C,$C537,'Duplicate Disposition'!AT:AT)</f>
        <v>0</v>
      </c>
      <c r="AU537" s="705">
        <f>SUMIF('Duplicate Disposition'!$C:$C,$C537,'Duplicate Disposition'!AU:AU)</f>
        <v>-0.54</v>
      </c>
      <c r="AV537" s="705">
        <f>SUMIF('Duplicate Disposition'!$C:$C,$C537,'Duplicate Disposition'!AV:AV)</f>
        <v>0.40999999999999992</v>
      </c>
      <c r="AW537" s="705">
        <f>SUMIF('Duplicate Disposition'!$C:$C,$C537,'Duplicate Disposition'!AW:AW)</f>
        <v>7.0000000000000007E-2</v>
      </c>
      <c r="AX537" s="705">
        <f>SUMIF('Duplicate Disposition'!$C:$C,$C537,'Duplicate Disposition'!AX:AX)</f>
        <v>0</v>
      </c>
      <c r="AY537" s="705">
        <f>SUMIF('Duplicate Disposition'!$C:$C,$C537,'Duplicate Disposition'!AY:AY)</f>
        <v>0</v>
      </c>
      <c r="AZ537" s="705">
        <f>SUMIF('Duplicate Disposition'!$C:$C,$C537,'Duplicate Disposition'!AZ:AZ)</f>
        <v>0</v>
      </c>
      <c r="BA537" s="705">
        <f>SUMIF('Duplicate Disposition'!$C:$C,$C537,'Duplicate Disposition'!BA:BA)</f>
        <v>0</v>
      </c>
      <c r="BB537" s="705">
        <f>SUMIF('Duplicate Disposition'!$C:$C,$C537,'Duplicate Disposition'!BB:BB)</f>
        <v>0</v>
      </c>
      <c r="BC537" s="705">
        <f>SUMIF('Duplicate Disposition'!$C:$C,$C537,'Duplicate Disposition'!BC:BC)</f>
        <v>0</v>
      </c>
      <c r="BD537" s="705">
        <f>SUMIF('Duplicate Disposition'!$C:$C,$C537,'Duplicate Disposition'!BD:BD)</f>
        <v>0</v>
      </c>
      <c r="BE537" s="705">
        <f>SUMIF('Duplicate Disposition'!$C:$C,$C537,'Duplicate Disposition'!BE:BE)</f>
        <v>0</v>
      </c>
      <c r="BF537" s="705">
        <f>SUMIF('Duplicate Disposition'!$C:$C,$C537,'Duplicate Disposition'!BF:BF)</f>
        <v>0</v>
      </c>
      <c r="BG537" s="705">
        <f>SUMIF('Duplicate Disposition'!$C:$C,$C537,'Duplicate Disposition'!BG:BG)</f>
        <v>-6.0000000000000053E-2</v>
      </c>
      <c r="BH537" s="705">
        <f>SUMIF('Duplicate Disposition'!$C:$C,$C537,'Duplicate Disposition'!BH:BH)</f>
        <v>-0.54</v>
      </c>
      <c r="BI537" s="705">
        <f>SUMIF('Duplicate Disposition'!$C:$C,$C537,'Duplicate Disposition'!BI:BI)</f>
        <v>0.40999999999999992</v>
      </c>
      <c r="BJ537" s="705">
        <f>SUMIF('Duplicate Disposition'!$C:$C,$C537,'Duplicate Disposition'!BJ:BJ)</f>
        <v>7.0000000000000007E-2</v>
      </c>
      <c r="BK537" s="705">
        <f>SUMIF('Duplicate Disposition'!$C:$C,$C537,'Duplicate Disposition'!BK:BK)</f>
        <v>0</v>
      </c>
      <c r="BL537" s="705">
        <f>SUMIF('Duplicate Disposition'!$C:$C,$C537,'Duplicate Disposition'!BL:BL)</f>
        <v>0</v>
      </c>
      <c r="BM537" s="705">
        <f>SUMIF('Duplicate Disposition'!$C:$C,$C537,'Duplicate Disposition'!BM:BM)</f>
        <v>0</v>
      </c>
      <c r="BN537" s="705">
        <f>SUMIF('Duplicate Disposition'!$C:$C,$C537,'Duplicate Disposition'!BN:BN)</f>
        <v>0</v>
      </c>
      <c r="BO537" s="705">
        <f>SUMIF('Duplicate Disposition'!$C:$C,$C537,'Duplicate Disposition'!BO:BO)</f>
        <v>0</v>
      </c>
      <c r="BP537" s="705">
        <f>SUMIF('Duplicate Disposition'!$C:$C,$C537,'Duplicate Disposition'!BP:BP)</f>
        <v>0</v>
      </c>
      <c r="BQ537" s="705">
        <f>SUMIF('Duplicate Disposition'!$C:$C,$C537,'Duplicate Disposition'!BQ:BQ)</f>
        <v>0</v>
      </c>
      <c r="BR537" s="705">
        <f>SUMIF('Duplicate Disposition'!$C:$C,$C537,'Duplicate Disposition'!BR:BR)</f>
        <v>0</v>
      </c>
      <c r="BS537" s="705">
        <f>SUMIF('Duplicate Disposition'!$C:$C,$C537,'Duplicate Disposition'!BS:BS)</f>
        <v>0</v>
      </c>
      <c r="BT537" s="705">
        <f>SUMIF('Duplicate Disposition'!$C:$C,$C537,'Duplicate Disposition'!BT:BT)</f>
        <v>-6.0000000000000053E-2</v>
      </c>
    </row>
    <row r="538" spans="1:72" ht="15" hidden="1" customHeight="1">
      <c r="A538" s="215" t="s">
        <v>2063</v>
      </c>
      <c r="B538" s="725" t="s">
        <v>2944</v>
      </c>
      <c r="C538" s="215" t="s">
        <v>554</v>
      </c>
      <c r="D538" s="215" t="s">
        <v>554</v>
      </c>
      <c r="E538" s="513" t="s">
        <v>1136</v>
      </c>
      <c r="F538" s="726" t="s">
        <v>1566</v>
      </c>
      <c r="G538" s="512" t="s">
        <v>1480</v>
      </c>
      <c r="H538" s="517" t="s">
        <v>1480</v>
      </c>
      <c r="I538" s="727" t="s">
        <v>1345</v>
      </c>
      <c r="J538" s="727" t="s">
        <v>1480</v>
      </c>
      <c r="K538" s="727" t="s">
        <v>1346</v>
      </c>
      <c r="L538" s="516" t="s">
        <v>389</v>
      </c>
      <c r="M538" s="728" t="s">
        <v>1327</v>
      </c>
      <c r="N538" s="729"/>
      <c r="O538" s="730"/>
      <c r="P538" s="731" t="s">
        <v>147</v>
      </c>
      <c r="Q538" s="732"/>
      <c r="R538" s="729"/>
      <c r="S538" s="732"/>
      <c r="T538" s="727" t="s">
        <v>25</v>
      </c>
      <c r="U538" s="733"/>
      <c r="V538" s="704"/>
      <c r="W538" s="705">
        <f>SUMIF('Duplicate Disposition'!$C:$C,$C538,'Duplicate Disposition'!W:W)</f>
        <v>0</v>
      </c>
      <c r="X538" s="705">
        <f>SUMIF('Duplicate Disposition'!$C:$C,$C538,'Duplicate Disposition'!X:X)</f>
        <v>-0.2</v>
      </c>
      <c r="Y538" s="705">
        <f>SUMIF('Duplicate Disposition'!$C:$C,$C538,'Duplicate Disposition'!Y:Y)</f>
        <v>0</v>
      </c>
      <c r="Z538" s="705">
        <f>SUMIF('Duplicate Disposition'!$C:$C,$C538,'Duplicate Disposition'!Z:Z)</f>
        <v>0</v>
      </c>
      <c r="AA538" s="705">
        <f>SUMIF('Duplicate Disposition'!$C:$C,$C538,'Duplicate Disposition'!AA:AA)</f>
        <v>-0.48</v>
      </c>
      <c r="AB538" s="705">
        <f>SUMIF('Duplicate Disposition'!$C:$C,$C538,'Duplicate Disposition'!AB:AB)</f>
        <v>0.28999999999999998</v>
      </c>
      <c r="AC538" s="705">
        <f>SUMIF('Duplicate Disposition'!$C:$C,$C538,'Duplicate Disposition'!AC:AC)</f>
        <v>-0.01</v>
      </c>
      <c r="AD538" s="705">
        <f>SUMIF('Duplicate Disposition'!$C:$C,$C538,'Duplicate Disposition'!AD:AD)</f>
        <v>0.06</v>
      </c>
      <c r="AE538" s="705">
        <f>SUMIF('Duplicate Disposition'!$C:$C,$C538,'Duplicate Disposition'!AE:AE)</f>
        <v>0.16</v>
      </c>
      <c r="AF538" s="705">
        <f>SUMIF('Duplicate Disposition'!$C:$C,$C538,'Duplicate Disposition'!AF:AF)</f>
        <v>0.08</v>
      </c>
      <c r="AG538" s="705">
        <f>SUMIF('Duplicate Disposition'!$C:$C,$C538,'Duplicate Disposition'!AG:AG)</f>
        <v>0</v>
      </c>
      <c r="AH538" s="705">
        <f>SUMIF('Duplicate Disposition'!$C:$C,$C538,'Duplicate Disposition'!AH:AH)</f>
        <v>0</v>
      </c>
      <c r="AI538" s="705">
        <f>SUMIF('Duplicate Disposition'!$C:$C,$C538,'Duplicate Disposition'!AI:AI)</f>
        <v>0</v>
      </c>
      <c r="AJ538" s="705">
        <f>SUMIF('Duplicate Disposition'!$C:$C,$C538,'Duplicate Disposition'!AJ:AJ)</f>
        <v>0</v>
      </c>
      <c r="AK538" s="705">
        <f>SUMIF('Duplicate Disposition'!$C:$C,$C538,'Duplicate Disposition'!AK:AK)</f>
        <v>0</v>
      </c>
      <c r="AL538" s="705">
        <f>SUMIF('Duplicate Disposition'!$C:$C,$C538,'Duplicate Disposition'!AL:AL)</f>
        <v>0</v>
      </c>
      <c r="AM538" s="734">
        <f t="shared" si="32"/>
        <v>9.9999999999999992E-2</v>
      </c>
      <c r="AN538" s="735">
        <f>ERP_27[[#This Row],[2026 Working Total]]-ERP_27[[#This Row],[LE2 Final Submission]]</f>
        <v>0.3</v>
      </c>
      <c r="AO538" s="705">
        <f>SUMIF('Duplicate Disposition'!$C:$C,$C538,'Duplicate Disposition'!AO:AO)</f>
        <v>0</v>
      </c>
      <c r="AP538" s="705">
        <f>SUMIF('Duplicate Disposition'!$C:$C,$C538,'Duplicate Disposition'!AP:AP)</f>
        <v>0.08</v>
      </c>
      <c r="AQ538" s="713">
        <f>SUMIF('Duplicate Disposition'!$C:$C,$C538,'Duplicate Disposition'!AQ:AQ)</f>
        <v>0.3</v>
      </c>
      <c r="AR538" s="713">
        <f>SUMIF('Duplicate Disposition'!$C:$C,$C538,'Duplicate Disposition'!AR:AR)</f>
        <v>0</v>
      </c>
      <c r="AS538" s="713">
        <f>SUMIF('Duplicate Disposition'!$C:$C,$C538,'Duplicate Disposition'!AS:AS)</f>
        <v>0.3</v>
      </c>
      <c r="AT538" s="713">
        <f>SUMIF('Duplicate Disposition'!$C:$C,$C538,'Duplicate Disposition'!AT:AT)</f>
        <v>0</v>
      </c>
      <c r="AU538" s="705">
        <f>SUMIF('Duplicate Disposition'!$C:$C,$C538,'Duplicate Disposition'!AU:AU)</f>
        <v>-0.48</v>
      </c>
      <c r="AV538" s="705">
        <f>SUMIF('Duplicate Disposition'!$C:$C,$C538,'Duplicate Disposition'!AV:AV)</f>
        <v>0.28999999999999998</v>
      </c>
      <c r="AW538" s="705">
        <f>SUMIF('Duplicate Disposition'!$C:$C,$C538,'Duplicate Disposition'!AW:AW)</f>
        <v>-0.01</v>
      </c>
      <c r="AX538" s="705">
        <f>SUMIF('Duplicate Disposition'!$C:$C,$C538,'Duplicate Disposition'!AX:AX)</f>
        <v>0</v>
      </c>
      <c r="AY538" s="705">
        <f>SUMIF('Duplicate Disposition'!$C:$C,$C538,'Duplicate Disposition'!AY:AY)</f>
        <v>0</v>
      </c>
      <c r="AZ538" s="705">
        <f>SUMIF('Duplicate Disposition'!$C:$C,$C538,'Duplicate Disposition'!AZ:AZ)</f>
        <v>0</v>
      </c>
      <c r="BA538" s="705">
        <f>SUMIF('Duplicate Disposition'!$C:$C,$C538,'Duplicate Disposition'!BA:BA)</f>
        <v>0</v>
      </c>
      <c r="BB538" s="705">
        <f>SUMIF('Duplicate Disposition'!$C:$C,$C538,'Duplicate Disposition'!BB:BB)</f>
        <v>0</v>
      </c>
      <c r="BC538" s="705">
        <f>SUMIF('Duplicate Disposition'!$C:$C,$C538,'Duplicate Disposition'!BC:BC)</f>
        <v>0</v>
      </c>
      <c r="BD538" s="705">
        <f>SUMIF('Duplicate Disposition'!$C:$C,$C538,'Duplicate Disposition'!BD:BD)</f>
        <v>0</v>
      </c>
      <c r="BE538" s="705">
        <f>SUMIF('Duplicate Disposition'!$C:$C,$C538,'Duplicate Disposition'!BE:BE)</f>
        <v>0</v>
      </c>
      <c r="BF538" s="705">
        <f>SUMIF('Duplicate Disposition'!$C:$C,$C538,'Duplicate Disposition'!BF:BF)</f>
        <v>0</v>
      </c>
      <c r="BG538" s="705">
        <f>SUMIF('Duplicate Disposition'!$C:$C,$C538,'Duplicate Disposition'!BG:BG)</f>
        <v>-0.2</v>
      </c>
      <c r="BH538" s="705">
        <f>SUMIF('Duplicate Disposition'!$C:$C,$C538,'Duplicate Disposition'!BH:BH)</f>
        <v>-0.48</v>
      </c>
      <c r="BI538" s="705">
        <f>SUMIF('Duplicate Disposition'!$C:$C,$C538,'Duplicate Disposition'!BI:BI)</f>
        <v>0.28999999999999998</v>
      </c>
      <c r="BJ538" s="705">
        <f>SUMIF('Duplicate Disposition'!$C:$C,$C538,'Duplicate Disposition'!BJ:BJ)</f>
        <v>-0.01</v>
      </c>
      <c r="BK538" s="705">
        <f>SUMIF('Duplicate Disposition'!$C:$C,$C538,'Duplicate Disposition'!BK:BK)</f>
        <v>0</v>
      </c>
      <c r="BL538" s="705">
        <f>SUMIF('Duplicate Disposition'!$C:$C,$C538,'Duplicate Disposition'!BL:BL)</f>
        <v>0</v>
      </c>
      <c r="BM538" s="705">
        <f>SUMIF('Duplicate Disposition'!$C:$C,$C538,'Duplicate Disposition'!BM:BM)</f>
        <v>0</v>
      </c>
      <c r="BN538" s="705">
        <f>SUMIF('Duplicate Disposition'!$C:$C,$C538,'Duplicate Disposition'!BN:BN)</f>
        <v>0</v>
      </c>
      <c r="BO538" s="705">
        <f>SUMIF('Duplicate Disposition'!$C:$C,$C538,'Duplicate Disposition'!BO:BO)</f>
        <v>0</v>
      </c>
      <c r="BP538" s="705">
        <f>SUMIF('Duplicate Disposition'!$C:$C,$C538,'Duplicate Disposition'!BP:BP)</f>
        <v>0</v>
      </c>
      <c r="BQ538" s="705">
        <f>SUMIF('Duplicate Disposition'!$C:$C,$C538,'Duplicate Disposition'!BQ:BQ)</f>
        <v>0</v>
      </c>
      <c r="BR538" s="705">
        <f>SUMIF('Duplicate Disposition'!$C:$C,$C538,'Duplicate Disposition'!BR:BR)</f>
        <v>0</v>
      </c>
      <c r="BS538" s="705">
        <f>SUMIF('Duplicate Disposition'!$C:$C,$C538,'Duplicate Disposition'!BS:BS)</f>
        <v>0</v>
      </c>
      <c r="BT538" s="705">
        <f>SUMIF('Duplicate Disposition'!$C:$C,$C538,'Duplicate Disposition'!BT:BT)</f>
        <v>-0.2</v>
      </c>
    </row>
    <row r="539" spans="1:72" ht="15" hidden="1" customHeight="1">
      <c r="A539" s="727" t="s">
        <v>1510</v>
      </c>
      <c r="B539" s="738" t="s">
        <v>2944</v>
      </c>
      <c r="C539" s="739" t="s">
        <v>237</v>
      </c>
      <c r="D539" s="330" t="s">
        <v>237</v>
      </c>
      <c r="E539" s="513" t="s">
        <v>1136</v>
      </c>
      <c r="F539" s="726" t="s">
        <v>1566</v>
      </c>
      <c r="G539" s="512" t="s">
        <v>1480</v>
      </c>
      <c r="H539" s="517" t="s">
        <v>1480</v>
      </c>
      <c r="I539" s="518" t="s">
        <v>1345</v>
      </c>
      <c r="J539" s="518" t="s">
        <v>1480</v>
      </c>
      <c r="K539" s="603" t="s">
        <v>1480</v>
      </c>
      <c r="L539" s="518" t="s">
        <v>49</v>
      </c>
      <c r="M539" s="740" t="s">
        <v>1327</v>
      </c>
      <c r="N539" s="741"/>
      <c r="O539" s="518" t="s">
        <v>1493</v>
      </c>
      <c r="P539" s="742" t="s">
        <v>147</v>
      </c>
      <c r="Q539" s="743"/>
      <c r="R539" s="744"/>
      <c r="S539" s="745"/>
      <c r="T539" s="745"/>
      <c r="U539" s="746"/>
      <c r="V539" s="358"/>
      <c r="W539" s="705">
        <f>SUMIF('Duplicate Disposition'!$C:$C,$C539,'Duplicate Disposition'!W:W)</f>
        <v>0</v>
      </c>
      <c r="X539" s="705">
        <f>SUMIF('Duplicate Disposition'!$C:$C,$C539,'Duplicate Disposition'!X:X)</f>
        <v>0</v>
      </c>
      <c r="Y539" s="705">
        <f>SUMIF('Duplicate Disposition'!$C:$C,$C539,'Duplicate Disposition'!Y:Y)</f>
        <v>0</v>
      </c>
      <c r="Z539" s="705">
        <f>SUMIF('Duplicate Disposition'!$C:$C,$C539,'Duplicate Disposition'!Z:Z)</f>
        <v>0</v>
      </c>
      <c r="AA539" s="705">
        <f>SUMIF('Duplicate Disposition'!$C:$C,$C539,'Duplicate Disposition'!AA:AA)</f>
        <v>0</v>
      </c>
      <c r="AB539" s="705">
        <f>SUMIF('Duplicate Disposition'!$C:$C,$C539,'Duplicate Disposition'!AB:AB)</f>
        <v>-0.1</v>
      </c>
      <c r="AC539" s="705">
        <f>SUMIF('Duplicate Disposition'!$C:$C,$C539,'Duplicate Disposition'!AC:AC)</f>
        <v>0.1</v>
      </c>
      <c r="AD539" s="705">
        <f>SUMIF('Duplicate Disposition'!$C:$C,$C539,'Duplicate Disposition'!AD:AD)</f>
        <v>-0.32</v>
      </c>
      <c r="AE539" s="705">
        <f>SUMIF('Duplicate Disposition'!$C:$C,$C539,'Duplicate Disposition'!AE:AE)</f>
        <v>0.81</v>
      </c>
      <c r="AF539" s="705">
        <f>SUMIF('Duplicate Disposition'!$C:$C,$C539,'Duplicate Disposition'!AF:AF)</f>
        <v>-0.28000000000000003</v>
      </c>
      <c r="AG539" s="705">
        <f>SUMIF('Duplicate Disposition'!$C:$C,$C539,'Duplicate Disposition'!AG:AG)</f>
        <v>0</v>
      </c>
      <c r="AH539" s="705">
        <f>SUMIF('Duplicate Disposition'!$C:$C,$C539,'Duplicate Disposition'!AH:AH)</f>
        <v>0</v>
      </c>
      <c r="AI539" s="705">
        <f>SUMIF('Duplicate Disposition'!$C:$C,$C539,'Duplicate Disposition'!AI:AI)</f>
        <v>0</v>
      </c>
      <c r="AJ539" s="705">
        <f>SUMIF('Duplicate Disposition'!$C:$C,$C539,'Duplicate Disposition'!AJ:AJ)</f>
        <v>0</v>
      </c>
      <c r="AK539" s="705">
        <f>SUMIF('Duplicate Disposition'!$C:$C,$C539,'Duplicate Disposition'!AK:AK)</f>
        <v>0</v>
      </c>
      <c r="AL539" s="705">
        <f>SUMIF('Duplicate Disposition'!$C:$C,$C539,'Duplicate Disposition'!AL:AL)</f>
        <v>0</v>
      </c>
      <c r="AM539" s="734">
        <f t="shared" si="32"/>
        <v>0.21000000000000002</v>
      </c>
      <c r="AN539" s="735">
        <f>ERP_27[[#This Row],[2026 Working Total]]-ERP_27[[#This Row],[LE2 Final Submission]]</f>
        <v>0.21000000000000002</v>
      </c>
      <c r="AO539" s="705">
        <f>SUMIF('Duplicate Disposition'!$C:$C,$C539,'Duplicate Disposition'!AO:AO)</f>
        <v>0</v>
      </c>
      <c r="AP539" s="705">
        <f>SUMIF('Duplicate Disposition'!$C:$C,$C539,'Duplicate Disposition'!AP:AP)</f>
        <v>-0.28000000000000003</v>
      </c>
      <c r="AQ539" s="713">
        <f>SUMIF('Duplicate Disposition'!$C:$C,$C539,'Duplicate Disposition'!AQ:AQ)</f>
        <v>0.21000000000000002</v>
      </c>
      <c r="AR539" s="713">
        <f>SUMIF('Duplicate Disposition'!$C:$C,$C539,'Duplicate Disposition'!AR:AR)</f>
        <v>0</v>
      </c>
      <c r="AS539" s="713">
        <f>SUMIF('Duplicate Disposition'!$C:$C,$C539,'Duplicate Disposition'!AS:AS)</f>
        <v>0.21000000000000002</v>
      </c>
      <c r="AT539" s="713">
        <f>SUMIF('Duplicate Disposition'!$C:$C,$C539,'Duplicate Disposition'!AT:AT)</f>
        <v>0</v>
      </c>
      <c r="AU539" s="705">
        <f>SUMIF('Duplicate Disposition'!$C:$C,$C539,'Duplicate Disposition'!AU:AU)</f>
        <v>0</v>
      </c>
      <c r="AV539" s="705">
        <f>SUMIF('Duplicate Disposition'!$C:$C,$C539,'Duplicate Disposition'!AV:AV)</f>
        <v>-0.1</v>
      </c>
      <c r="AW539" s="705">
        <f>SUMIF('Duplicate Disposition'!$C:$C,$C539,'Duplicate Disposition'!AW:AW)</f>
        <v>0.1</v>
      </c>
      <c r="AX539" s="705">
        <f>SUMIF('Duplicate Disposition'!$C:$C,$C539,'Duplicate Disposition'!AX:AX)</f>
        <v>0</v>
      </c>
      <c r="AY539" s="705">
        <f>SUMIF('Duplicate Disposition'!$C:$C,$C539,'Duplicate Disposition'!AY:AY)</f>
        <v>0</v>
      </c>
      <c r="AZ539" s="705">
        <f>SUMIF('Duplicate Disposition'!$C:$C,$C539,'Duplicate Disposition'!AZ:AZ)</f>
        <v>0</v>
      </c>
      <c r="BA539" s="705">
        <f>SUMIF('Duplicate Disposition'!$C:$C,$C539,'Duplicate Disposition'!BA:BA)</f>
        <v>0</v>
      </c>
      <c r="BB539" s="705">
        <f>SUMIF('Duplicate Disposition'!$C:$C,$C539,'Duplicate Disposition'!BB:BB)</f>
        <v>0</v>
      </c>
      <c r="BC539" s="705">
        <f>SUMIF('Duplicate Disposition'!$C:$C,$C539,'Duplicate Disposition'!BC:BC)</f>
        <v>0</v>
      </c>
      <c r="BD539" s="705">
        <f>SUMIF('Duplicate Disposition'!$C:$C,$C539,'Duplicate Disposition'!BD:BD)</f>
        <v>0</v>
      </c>
      <c r="BE539" s="705">
        <f>SUMIF('Duplicate Disposition'!$C:$C,$C539,'Duplicate Disposition'!BE:BE)</f>
        <v>0</v>
      </c>
      <c r="BF539" s="705">
        <f>SUMIF('Duplicate Disposition'!$C:$C,$C539,'Duplicate Disposition'!BF:BF)</f>
        <v>0</v>
      </c>
      <c r="BG539" s="705">
        <f>SUMIF('Duplicate Disposition'!$C:$C,$C539,'Duplicate Disposition'!BG:BG)</f>
        <v>0</v>
      </c>
      <c r="BH539" s="705">
        <f>SUMIF('Duplicate Disposition'!$C:$C,$C539,'Duplicate Disposition'!BH:BH)</f>
        <v>0</v>
      </c>
      <c r="BI539" s="705">
        <f>SUMIF('Duplicate Disposition'!$C:$C,$C539,'Duplicate Disposition'!BI:BI)</f>
        <v>-0.1</v>
      </c>
      <c r="BJ539" s="705">
        <f>SUMIF('Duplicate Disposition'!$C:$C,$C539,'Duplicate Disposition'!BJ:BJ)</f>
        <v>0.1</v>
      </c>
      <c r="BK539" s="705">
        <f>SUMIF('Duplicate Disposition'!$C:$C,$C539,'Duplicate Disposition'!BK:BK)</f>
        <v>0</v>
      </c>
      <c r="BL539" s="705">
        <f>SUMIF('Duplicate Disposition'!$C:$C,$C539,'Duplicate Disposition'!BL:BL)</f>
        <v>0</v>
      </c>
      <c r="BM539" s="705">
        <f>SUMIF('Duplicate Disposition'!$C:$C,$C539,'Duplicate Disposition'!BM:BM)</f>
        <v>0</v>
      </c>
      <c r="BN539" s="705">
        <f>SUMIF('Duplicate Disposition'!$C:$C,$C539,'Duplicate Disposition'!BN:BN)</f>
        <v>0</v>
      </c>
      <c r="BO539" s="705">
        <f>SUMIF('Duplicate Disposition'!$C:$C,$C539,'Duplicate Disposition'!BO:BO)</f>
        <v>0</v>
      </c>
      <c r="BP539" s="705">
        <f>SUMIF('Duplicate Disposition'!$C:$C,$C539,'Duplicate Disposition'!BP:BP)</f>
        <v>0</v>
      </c>
      <c r="BQ539" s="705">
        <f>SUMIF('Duplicate Disposition'!$C:$C,$C539,'Duplicate Disposition'!BQ:BQ)</f>
        <v>0</v>
      </c>
      <c r="BR539" s="705">
        <f>SUMIF('Duplicate Disposition'!$C:$C,$C539,'Duplicate Disposition'!BR:BR)</f>
        <v>0</v>
      </c>
      <c r="BS539" s="705">
        <f>SUMIF('Duplicate Disposition'!$C:$C,$C539,'Duplicate Disposition'!BS:BS)</f>
        <v>0</v>
      </c>
      <c r="BT539" s="705">
        <f>SUMIF('Duplicate Disposition'!$C:$C,$C539,'Duplicate Disposition'!BT:BT)</f>
        <v>0</v>
      </c>
    </row>
    <row r="540" spans="1:72" ht="15" hidden="1" customHeight="1">
      <c r="A540" s="727" t="s">
        <v>1444</v>
      </c>
      <c r="B540" s="738" t="s">
        <v>2944</v>
      </c>
      <c r="C540" s="739" t="s">
        <v>202</v>
      </c>
      <c r="D540" s="330" t="s">
        <v>202</v>
      </c>
      <c r="E540" s="513" t="s">
        <v>1136</v>
      </c>
      <c r="F540" s="726" t="s">
        <v>1566</v>
      </c>
      <c r="G540" s="513" t="s">
        <v>1345</v>
      </c>
      <c r="H540" s="727" t="s">
        <v>1345</v>
      </c>
      <c r="I540" s="518" t="s">
        <v>1345</v>
      </c>
      <c r="J540" s="518" t="s">
        <v>1345</v>
      </c>
      <c r="K540" s="603" t="s">
        <v>1345</v>
      </c>
      <c r="L540" s="518" t="s">
        <v>49</v>
      </c>
      <c r="M540" s="740" t="s">
        <v>1327</v>
      </c>
      <c r="N540" s="741"/>
      <c r="O540" s="518" t="s">
        <v>1441</v>
      </c>
      <c r="P540" s="742" t="s">
        <v>147</v>
      </c>
      <c r="Q540" s="743"/>
      <c r="R540" s="744"/>
      <c r="S540" s="745"/>
      <c r="T540" s="745"/>
      <c r="U540" s="746"/>
      <c r="V540" s="358"/>
      <c r="W540" s="705">
        <f>SUMIF('Duplicate Disposition'!$C:$C,$C540,'Duplicate Disposition'!W:W)</f>
        <v>0</v>
      </c>
      <c r="X540" s="705">
        <f>SUMIF('Duplicate Disposition'!$C:$C,$C540,'Duplicate Disposition'!X:X)</f>
        <v>0.33999999999999997</v>
      </c>
      <c r="Y540" s="705">
        <f>SUMIF('Duplicate Disposition'!$C:$C,$C540,'Duplicate Disposition'!Y:Y)</f>
        <v>0</v>
      </c>
      <c r="Z540" s="705">
        <f>SUMIF('Duplicate Disposition'!$C:$C,$C540,'Duplicate Disposition'!Z:Z)</f>
        <v>0</v>
      </c>
      <c r="AA540" s="705">
        <f>SUMIF('Duplicate Disposition'!$C:$C,$C540,'Duplicate Disposition'!AA:AA)</f>
        <v>-0.1</v>
      </c>
      <c r="AB540" s="705">
        <f>SUMIF('Duplicate Disposition'!$C:$C,$C540,'Duplicate Disposition'!AB:AB)</f>
        <v>0</v>
      </c>
      <c r="AC540" s="705">
        <f>SUMIF('Duplicate Disposition'!$C:$C,$C540,'Duplicate Disposition'!AC:AC)</f>
        <v>0.44</v>
      </c>
      <c r="AD540" s="705">
        <f>SUMIF('Duplicate Disposition'!$C:$C,$C540,'Duplicate Disposition'!AD:AD)</f>
        <v>0</v>
      </c>
      <c r="AE540" s="705">
        <f>SUMIF('Duplicate Disposition'!$C:$C,$C540,'Duplicate Disposition'!AE:AE)</f>
        <v>0</v>
      </c>
      <c r="AF540" s="705">
        <f>SUMIF('Duplicate Disposition'!$C:$C,$C540,'Duplicate Disposition'!AF:AF)</f>
        <v>0</v>
      </c>
      <c r="AG540" s="705">
        <f>SUMIF('Duplicate Disposition'!$C:$C,$C540,'Duplicate Disposition'!AG:AG)</f>
        <v>0</v>
      </c>
      <c r="AH540" s="705">
        <f>SUMIF('Duplicate Disposition'!$C:$C,$C540,'Duplicate Disposition'!AH:AH)</f>
        <v>0</v>
      </c>
      <c r="AI540" s="705">
        <f>SUMIF('Duplicate Disposition'!$C:$C,$C540,'Duplicate Disposition'!AI:AI)</f>
        <v>0</v>
      </c>
      <c r="AJ540" s="705">
        <f>SUMIF('Duplicate Disposition'!$C:$C,$C540,'Duplicate Disposition'!AJ:AJ)</f>
        <v>0</v>
      </c>
      <c r="AK540" s="705">
        <f>SUMIF('Duplicate Disposition'!$C:$C,$C540,'Duplicate Disposition'!AK:AK)</f>
        <v>0</v>
      </c>
      <c r="AL540" s="705">
        <f>SUMIF('Duplicate Disposition'!$C:$C,$C540,'Duplicate Disposition'!AL:AL)</f>
        <v>0</v>
      </c>
      <c r="AM540" s="734">
        <f t="shared" si="32"/>
        <v>0.33999999999999997</v>
      </c>
      <c r="AN540" s="735">
        <f>ERP_27[[#This Row],[2026 Working Total]]-ERP_27[[#This Row],[LE2 Final Submission]]</f>
        <v>0</v>
      </c>
      <c r="AO540" s="705">
        <f>SUMIF('Duplicate Disposition'!$C:$C,$C540,'Duplicate Disposition'!AO:AO)</f>
        <v>0</v>
      </c>
      <c r="AP540" s="705">
        <f>SUMIF('Duplicate Disposition'!$C:$C,$C540,'Duplicate Disposition'!AP:AP)</f>
        <v>0</v>
      </c>
      <c r="AQ540" s="713">
        <f>SUMIF('Duplicate Disposition'!$C:$C,$C540,'Duplicate Disposition'!AQ:AQ)</f>
        <v>0</v>
      </c>
      <c r="AR540" s="713">
        <f>SUMIF('Duplicate Disposition'!$C:$C,$C540,'Duplicate Disposition'!AR:AR)</f>
        <v>0</v>
      </c>
      <c r="AS540" s="713">
        <f>SUMIF('Duplicate Disposition'!$C:$C,$C540,'Duplicate Disposition'!AS:AS)</f>
        <v>0</v>
      </c>
      <c r="AT540" s="713">
        <f>SUMIF('Duplicate Disposition'!$C:$C,$C540,'Duplicate Disposition'!AT:AT)</f>
        <v>0</v>
      </c>
      <c r="AU540" s="705">
        <f>SUMIF('Duplicate Disposition'!$C:$C,$C540,'Duplicate Disposition'!AU:AU)</f>
        <v>-0.1</v>
      </c>
      <c r="AV540" s="705">
        <f>SUMIF('Duplicate Disposition'!$C:$C,$C540,'Duplicate Disposition'!AV:AV)</f>
        <v>0</v>
      </c>
      <c r="AW540" s="705">
        <f>SUMIF('Duplicate Disposition'!$C:$C,$C540,'Duplicate Disposition'!AW:AW)</f>
        <v>0.44</v>
      </c>
      <c r="AX540" s="705">
        <f>SUMIF('Duplicate Disposition'!$C:$C,$C540,'Duplicate Disposition'!AX:AX)</f>
        <v>0</v>
      </c>
      <c r="AY540" s="705">
        <f>SUMIF('Duplicate Disposition'!$C:$C,$C540,'Duplicate Disposition'!AY:AY)</f>
        <v>0</v>
      </c>
      <c r="AZ540" s="705">
        <f>SUMIF('Duplicate Disposition'!$C:$C,$C540,'Duplicate Disposition'!AZ:AZ)</f>
        <v>0</v>
      </c>
      <c r="BA540" s="705">
        <f>SUMIF('Duplicate Disposition'!$C:$C,$C540,'Duplicate Disposition'!BA:BA)</f>
        <v>0</v>
      </c>
      <c r="BB540" s="705">
        <f>SUMIF('Duplicate Disposition'!$C:$C,$C540,'Duplicate Disposition'!BB:BB)</f>
        <v>0</v>
      </c>
      <c r="BC540" s="705">
        <f>SUMIF('Duplicate Disposition'!$C:$C,$C540,'Duplicate Disposition'!BC:BC)</f>
        <v>0</v>
      </c>
      <c r="BD540" s="705">
        <f>SUMIF('Duplicate Disposition'!$C:$C,$C540,'Duplicate Disposition'!BD:BD)</f>
        <v>0</v>
      </c>
      <c r="BE540" s="705">
        <f>SUMIF('Duplicate Disposition'!$C:$C,$C540,'Duplicate Disposition'!BE:BE)</f>
        <v>0</v>
      </c>
      <c r="BF540" s="705">
        <f>SUMIF('Duplicate Disposition'!$C:$C,$C540,'Duplicate Disposition'!BF:BF)</f>
        <v>0</v>
      </c>
      <c r="BG540" s="705">
        <f>SUMIF('Duplicate Disposition'!$C:$C,$C540,'Duplicate Disposition'!BG:BG)</f>
        <v>0.33999999999999997</v>
      </c>
      <c r="BH540" s="705">
        <f>SUMIF('Duplicate Disposition'!$C:$C,$C540,'Duplicate Disposition'!BH:BH)</f>
        <v>-0.1</v>
      </c>
      <c r="BI540" s="705">
        <f>SUMIF('Duplicate Disposition'!$C:$C,$C540,'Duplicate Disposition'!BI:BI)</f>
        <v>0</v>
      </c>
      <c r="BJ540" s="705">
        <f>SUMIF('Duplicate Disposition'!$C:$C,$C540,'Duplicate Disposition'!BJ:BJ)</f>
        <v>0.44</v>
      </c>
      <c r="BK540" s="705">
        <f>SUMIF('Duplicate Disposition'!$C:$C,$C540,'Duplicate Disposition'!BK:BK)</f>
        <v>0</v>
      </c>
      <c r="BL540" s="705">
        <f>SUMIF('Duplicate Disposition'!$C:$C,$C540,'Duplicate Disposition'!BL:BL)</f>
        <v>0</v>
      </c>
      <c r="BM540" s="705">
        <f>SUMIF('Duplicate Disposition'!$C:$C,$C540,'Duplicate Disposition'!BM:BM)</f>
        <v>0</v>
      </c>
      <c r="BN540" s="705">
        <f>SUMIF('Duplicate Disposition'!$C:$C,$C540,'Duplicate Disposition'!BN:BN)</f>
        <v>0</v>
      </c>
      <c r="BO540" s="705">
        <f>SUMIF('Duplicate Disposition'!$C:$C,$C540,'Duplicate Disposition'!BO:BO)</f>
        <v>0</v>
      </c>
      <c r="BP540" s="705">
        <f>SUMIF('Duplicate Disposition'!$C:$C,$C540,'Duplicate Disposition'!BP:BP)</f>
        <v>0</v>
      </c>
      <c r="BQ540" s="705">
        <f>SUMIF('Duplicate Disposition'!$C:$C,$C540,'Duplicate Disposition'!BQ:BQ)</f>
        <v>0</v>
      </c>
      <c r="BR540" s="705">
        <f>SUMIF('Duplicate Disposition'!$C:$C,$C540,'Duplicate Disposition'!BR:BR)</f>
        <v>0</v>
      </c>
      <c r="BS540" s="705">
        <f>SUMIF('Duplicate Disposition'!$C:$C,$C540,'Duplicate Disposition'!BS:BS)</f>
        <v>0</v>
      </c>
      <c r="BT540" s="705">
        <f>SUMIF('Duplicate Disposition'!$C:$C,$C540,'Duplicate Disposition'!BT:BT)</f>
        <v>0.33999999999999997</v>
      </c>
    </row>
    <row r="541" spans="1:72" ht="15" hidden="1" customHeight="1">
      <c r="A541" s="215" t="s">
        <v>2699</v>
      </c>
      <c r="B541" s="725" t="s">
        <v>2944</v>
      </c>
      <c r="C541" s="215" t="s">
        <v>955</v>
      </c>
      <c r="D541" s="215" t="s">
        <v>955</v>
      </c>
      <c r="E541" s="513" t="s">
        <v>1136</v>
      </c>
      <c r="F541" s="726" t="s">
        <v>1566</v>
      </c>
      <c r="G541" s="513" t="s">
        <v>1345</v>
      </c>
      <c r="H541" s="727" t="s">
        <v>1345</v>
      </c>
      <c r="I541" s="727" t="s">
        <v>1345</v>
      </c>
      <c r="J541" s="727" t="s">
        <v>1345</v>
      </c>
      <c r="K541" s="727" t="s">
        <v>1346</v>
      </c>
      <c r="L541" s="516" t="s">
        <v>639</v>
      </c>
      <c r="M541" s="728" t="s">
        <v>1327</v>
      </c>
      <c r="N541" s="729"/>
      <c r="O541" s="730"/>
      <c r="P541" s="731" t="s">
        <v>147</v>
      </c>
      <c r="Q541" s="732"/>
      <c r="R541" s="729"/>
      <c r="S541" s="732"/>
      <c r="T541" s="727" t="s">
        <v>25</v>
      </c>
      <c r="U541" s="733"/>
      <c r="V541" s="704"/>
      <c r="W541" s="705">
        <f>SUMIF('Duplicate Disposition'!$C:$C,$C541,'Duplicate Disposition'!W:W)</f>
        <v>0</v>
      </c>
      <c r="X541" s="705">
        <f>SUMIF('Duplicate Disposition'!$C:$C,$C541,'Duplicate Disposition'!X:X)</f>
        <v>0.35</v>
      </c>
      <c r="Y541" s="705">
        <f>SUMIF('Duplicate Disposition'!$C:$C,$C541,'Duplicate Disposition'!Y:Y)</f>
        <v>0</v>
      </c>
      <c r="Z541" s="705">
        <f>SUMIF('Duplicate Disposition'!$C:$C,$C541,'Duplicate Disposition'!Z:Z)</f>
        <v>0</v>
      </c>
      <c r="AA541" s="705">
        <f>SUMIF('Duplicate Disposition'!$C:$C,$C541,'Duplicate Disposition'!AA:AA)</f>
        <v>0.13</v>
      </c>
      <c r="AB541" s="705">
        <f>SUMIF('Duplicate Disposition'!$C:$C,$C541,'Duplicate Disposition'!AB:AB)</f>
        <v>0.32999999999999996</v>
      </c>
      <c r="AC541" s="705">
        <f>SUMIF('Duplicate Disposition'!$C:$C,$C541,'Duplicate Disposition'!AC:AC)</f>
        <v>-0.11000000000000001</v>
      </c>
      <c r="AD541" s="705">
        <f>SUMIF('Duplicate Disposition'!$C:$C,$C541,'Duplicate Disposition'!AD:AD)</f>
        <v>0.13</v>
      </c>
      <c r="AE541" s="705">
        <f>SUMIF('Duplicate Disposition'!$C:$C,$C541,'Duplicate Disposition'!AE:AE)</f>
        <v>-0.53</v>
      </c>
      <c r="AF541" s="705">
        <f>SUMIF('Duplicate Disposition'!$C:$C,$C541,'Duplicate Disposition'!AF:AF)</f>
        <v>0.43</v>
      </c>
      <c r="AG541" s="705">
        <f>SUMIF('Duplicate Disposition'!$C:$C,$C541,'Duplicate Disposition'!AG:AG)</f>
        <v>0</v>
      </c>
      <c r="AH541" s="705">
        <f>SUMIF('Duplicate Disposition'!$C:$C,$C541,'Duplicate Disposition'!AH:AH)</f>
        <v>0</v>
      </c>
      <c r="AI541" s="705">
        <f>SUMIF('Duplicate Disposition'!$C:$C,$C541,'Duplicate Disposition'!AI:AI)</f>
        <v>0</v>
      </c>
      <c r="AJ541" s="705">
        <f>SUMIF('Duplicate Disposition'!$C:$C,$C541,'Duplicate Disposition'!AJ:AJ)</f>
        <v>0</v>
      </c>
      <c r="AK541" s="705">
        <f>SUMIF('Duplicate Disposition'!$C:$C,$C541,'Duplicate Disposition'!AK:AK)</f>
        <v>0</v>
      </c>
      <c r="AL541" s="705">
        <f>SUMIF('Duplicate Disposition'!$C:$C,$C541,'Duplicate Disposition'!AL:AL)</f>
        <v>0</v>
      </c>
      <c r="AM541" s="734">
        <f t="shared" si="32"/>
        <v>0.37999999999999995</v>
      </c>
      <c r="AN541" s="735">
        <f>ERP_27[[#This Row],[2026 Working Total]]-ERP_27[[#This Row],[LE2 Final Submission]]</f>
        <v>2.9999999999999971E-2</v>
      </c>
      <c r="AO541" s="705">
        <f>SUMIF('Duplicate Disposition'!$C:$C,$C541,'Duplicate Disposition'!AO:AO)</f>
        <v>0</v>
      </c>
      <c r="AP541" s="705">
        <f>SUMIF('Duplicate Disposition'!$C:$C,$C541,'Duplicate Disposition'!AP:AP)</f>
        <v>0.43</v>
      </c>
      <c r="AQ541" s="713">
        <f>SUMIF('Duplicate Disposition'!$C:$C,$C541,'Duplicate Disposition'!AQ:AQ)</f>
        <v>2.9999999999999971E-2</v>
      </c>
      <c r="AR541" s="713">
        <f>SUMIF('Duplicate Disposition'!$C:$C,$C541,'Duplicate Disposition'!AR:AR)</f>
        <v>0</v>
      </c>
      <c r="AS541" s="713">
        <f>SUMIF('Duplicate Disposition'!$C:$C,$C541,'Duplicate Disposition'!AS:AS)</f>
        <v>2.9999999999999971E-2</v>
      </c>
      <c r="AT541" s="713">
        <f>SUMIF('Duplicate Disposition'!$C:$C,$C541,'Duplicate Disposition'!AT:AT)</f>
        <v>0</v>
      </c>
      <c r="AU541" s="705">
        <f>SUMIF('Duplicate Disposition'!$C:$C,$C541,'Duplicate Disposition'!AU:AU)</f>
        <v>0.13</v>
      </c>
      <c r="AV541" s="705">
        <f>SUMIF('Duplicate Disposition'!$C:$C,$C541,'Duplicate Disposition'!AV:AV)</f>
        <v>0.32999999999999996</v>
      </c>
      <c r="AW541" s="705">
        <f>SUMIF('Duplicate Disposition'!$C:$C,$C541,'Duplicate Disposition'!AW:AW)</f>
        <v>-0.11000000000000001</v>
      </c>
      <c r="AX541" s="705">
        <f>SUMIF('Duplicate Disposition'!$C:$C,$C541,'Duplicate Disposition'!AX:AX)</f>
        <v>0</v>
      </c>
      <c r="AY541" s="705">
        <f>SUMIF('Duplicate Disposition'!$C:$C,$C541,'Duplicate Disposition'!AY:AY)</f>
        <v>0</v>
      </c>
      <c r="AZ541" s="705">
        <f>SUMIF('Duplicate Disposition'!$C:$C,$C541,'Duplicate Disposition'!AZ:AZ)</f>
        <v>0</v>
      </c>
      <c r="BA541" s="705">
        <f>SUMIF('Duplicate Disposition'!$C:$C,$C541,'Duplicate Disposition'!BA:BA)</f>
        <v>0</v>
      </c>
      <c r="BB541" s="705">
        <f>SUMIF('Duplicate Disposition'!$C:$C,$C541,'Duplicate Disposition'!BB:BB)</f>
        <v>0</v>
      </c>
      <c r="BC541" s="705">
        <f>SUMIF('Duplicate Disposition'!$C:$C,$C541,'Duplicate Disposition'!BC:BC)</f>
        <v>0</v>
      </c>
      <c r="BD541" s="705">
        <f>SUMIF('Duplicate Disposition'!$C:$C,$C541,'Duplicate Disposition'!BD:BD)</f>
        <v>0</v>
      </c>
      <c r="BE541" s="705">
        <f>SUMIF('Duplicate Disposition'!$C:$C,$C541,'Duplicate Disposition'!BE:BE)</f>
        <v>0</v>
      </c>
      <c r="BF541" s="705">
        <f>SUMIF('Duplicate Disposition'!$C:$C,$C541,'Duplicate Disposition'!BF:BF)</f>
        <v>0</v>
      </c>
      <c r="BG541" s="705">
        <f>SUMIF('Duplicate Disposition'!$C:$C,$C541,'Duplicate Disposition'!BG:BG)</f>
        <v>0.35</v>
      </c>
      <c r="BH541" s="705">
        <f>SUMIF('Duplicate Disposition'!$C:$C,$C541,'Duplicate Disposition'!BH:BH)</f>
        <v>0.13</v>
      </c>
      <c r="BI541" s="705">
        <f>SUMIF('Duplicate Disposition'!$C:$C,$C541,'Duplicate Disposition'!BI:BI)</f>
        <v>0.32999999999999996</v>
      </c>
      <c r="BJ541" s="705">
        <f>SUMIF('Duplicate Disposition'!$C:$C,$C541,'Duplicate Disposition'!BJ:BJ)</f>
        <v>-0.11000000000000001</v>
      </c>
      <c r="BK541" s="705">
        <f>SUMIF('Duplicate Disposition'!$C:$C,$C541,'Duplicate Disposition'!BK:BK)</f>
        <v>0</v>
      </c>
      <c r="BL541" s="705">
        <f>SUMIF('Duplicate Disposition'!$C:$C,$C541,'Duplicate Disposition'!BL:BL)</f>
        <v>0</v>
      </c>
      <c r="BM541" s="705">
        <f>SUMIF('Duplicate Disposition'!$C:$C,$C541,'Duplicate Disposition'!BM:BM)</f>
        <v>0</v>
      </c>
      <c r="BN541" s="705">
        <f>SUMIF('Duplicate Disposition'!$C:$C,$C541,'Duplicate Disposition'!BN:BN)</f>
        <v>0</v>
      </c>
      <c r="BO541" s="705">
        <f>SUMIF('Duplicate Disposition'!$C:$C,$C541,'Duplicate Disposition'!BO:BO)</f>
        <v>0</v>
      </c>
      <c r="BP541" s="705">
        <f>SUMIF('Duplicate Disposition'!$C:$C,$C541,'Duplicate Disposition'!BP:BP)</f>
        <v>0</v>
      </c>
      <c r="BQ541" s="705">
        <f>SUMIF('Duplicate Disposition'!$C:$C,$C541,'Duplicate Disposition'!BQ:BQ)</f>
        <v>0</v>
      </c>
      <c r="BR541" s="705">
        <f>SUMIF('Duplicate Disposition'!$C:$C,$C541,'Duplicate Disposition'!BR:BR)</f>
        <v>0</v>
      </c>
      <c r="BS541" s="705">
        <f>SUMIF('Duplicate Disposition'!$C:$C,$C541,'Duplicate Disposition'!BS:BS)</f>
        <v>0</v>
      </c>
      <c r="BT541" s="705">
        <f>SUMIF('Duplicate Disposition'!$C:$C,$C541,'Duplicate Disposition'!BT:BT)</f>
        <v>0.35</v>
      </c>
    </row>
    <row r="542" spans="1:72" ht="15" hidden="1" customHeight="1">
      <c r="A542" s="727" t="s">
        <v>1721</v>
      </c>
      <c r="B542" s="738" t="s">
        <v>2944</v>
      </c>
      <c r="C542" s="739" t="s">
        <v>375</v>
      </c>
      <c r="D542" s="330" t="s">
        <v>375</v>
      </c>
      <c r="E542" s="513" t="s">
        <v>1136</v>
      </c>
      <c r="F542" s="726" t="s">
        <v>1566</v>
      </c>
      <c r="G542" s="513" t="s">
        <v>1135</v>
      </c>
      <c r="H542" s="727" t="s">
        <v>1135</v>
      </c>
      <c r="I542" s="518" t="s">
        <v>1135</v>
      </c>
      <c r="J542" s="518" t="s">
        <v>1135</v>
      </c>
      <c r="K542" s="603" t="s">
        <v>1135</v>
      </c>
      <c r="L542" s="518" t="s">
        <v>342</v>
      </c>
      <c r="M542" s="740" t="s">
        <v>1327</v>
      </c>
      <c r="N542" s="741"/>
      <c r="O542" s="518" t="s">
        <v>1171</v>
      </c>
      <c r="P542" s="742" t="s">
        <v>147</v>
      </c>
      <c r="Q542" s="743"/>
      <c r="R542" s="744"/>
      <c r="S542" s="745"/>
      <c r="T542" s="745"/>
      <c r="U542" s="746"/>
      <c r="V542" s="358"/>
      <c r="W542" s="705">
        <f>SUMIF('Duplicate Disposition'!$C:$C,$C542,'Duplicate Disposition'!W:W)</f>
        <v>0</v>
      </c>
      <c r="X542" s="705">
        <f>SUMIF('Duplicate Disposition'!$C:$C,$C542,'Duplicate Disposition'!X:X)</f>
        <v>0.62000000000000011</v>
      </c>
      <c r="Y542" s="705">
        <f>SUMIF('Duplicate Disposition'!$C:$C,$C542,'Duplicate Disposition'!Y:Y)</f>
        <v>0</v>
      </c>
      <c r="Z542" s="705">
        <f>SUMIF('Duplicate Disposition'!$C:$C,$C542,'Duplicate Disposition'!Z:Z)</f>
        <v>0</v>
      </c>
      <c r="AA542" s="705">
        <f>SUMIF('Duplicate Disposition'!$C:$C,$C542,'Duplicate Disposition'!AA:AA)</f>
        <v>-0.1</v>
      </c>
      <c r="AB542" s="705">
        <f>SUMIF('Duplicate Disposition'!$C:$C,$C542,'Duplicate Disposition'!AB:AB)</f>
        <v>-0.09</v>
      </c>
      <c r="AC542" s="705">
        <f>SUMIF('Duplicate Disposition'!$C:$C,$C542,'Duplicate Disposition'!AC:AC)</f>
        <v>0.81</v>
      </c>
      <c r="AD542" s="705">
        <f>SUMIF('Duplicate Disposition'!$C:$C,$C542,'Duplicate Disposition'!AD:AD)</f>
        <v>-0.53</v>
      </c>
      <c r="AE542" s="705">
        <f>SUMIF('Duplicate Disposition'!$C:$C,$C542,'Duplicate Disposition'!AE:AE)</f>
        <v>0.61</v>
      </c>
      <c r="AF542" s="705">
        <f>SUMIF('Duplicate Disposition'!$C:$C,$C542,'Duplicate Disposition'!AF:AF)</f>
        <v>0</v>
      </c>
      <c r="AG542" s="705">
        <f>SUMIF('Duplicate Disposition'!$C:$C,$C542,'Duplicate Disposition'!AG:AG)</f>
        <v>0</v>
      </c>
      <c r="AH542" s="705">
        <f>SUMIF('Duplicate Disposition'!$C:$C,$C542,'Duplicate Disposition'!AH:AH)</f>
        <v>0</v>
      </c>
      <c r="AI542" s="705">
        <f>SUMIF('Duplicate Disposition'!$C:$C,$C542,'Duplicate Disposition'!AI:AI)</f>
        <v>0</v>
      </c>
      <c r="AJ542" s="705">
        <f>SUMIF('Duplicate Disposition'!$C:$C,$C542,'Duplicate Disposition'!AJ:AJ)</f>
        <v>0</v>
      </c>
      <c r="AK542" s="705">
        <f>SUMIF('Duplicate Disposition'!$C:$C,$C542,'Duplicate Disposition'!AK:AK)</f>
        <v>0</v>
      </c>
      <c r="AL542" s="705">
        <f>SUMIF('Duplicate Disposition'!$C:$C,$C542,'Duplicate Disposition'!AL:AL)</f>
        <v>0</v>
      </c>
      <c r="AM542" s="734">
        <f t="shared" si="32"/>
        <v>0.70000000000000007</v>
      </c>
      <c r="AN542" s="735">
        <f>ERP_27[[#This Row],[2026 Working Total]]-ERP_27[[#This Row],[LE2 Final Submission]]</f>
        <v>7.999999999999996E-2</v>
      </c>
      <c r="AO542" s="705">
        <f>SUMIF('Duplicate Disposition'!$C:$C,$C542,'Duplicate Disposition'!AO:AO)</f>
        <v>0</v>
      </c>
      <c r="AP542" s="705">
        <f>SUMIF('Duplicate Disposition'!$C:$C,$C542,'Duplicate Disposition'!AP:AP)</f>
        <v>0</v>
      </c>
      <c r="AQ542" s="713">
        <f>SUMIF('Duplicate Disposition'!$C:$C,$C542,'Duplicate Disposition'!AQ:AQ)</f>
        <v>7.999999999999996E-2</v>
      </c>
      <c r="AR542" s="713">
        <f>SUMIF('Duplicate Disposition'!$C:$C,$C542,'Duplicate Disposition'!AR:AR)</f>
        <v>0</v>
      </c>
      <c r="AS542" s="713">
        <f>SUMIF('Duplicate Disposition'!$C:$C,$C542,'Duplicate Disposition'!AS:AS)</f>
        <v>7.999999999999996E-2</v>
      </c>
      <c r="AT542" s="713">
        <f>SUMIF('Duplicate Disposition'!$C:$C,$C542,'Duplicate Disposition'!AT:AT)</f>
        <v>0</v>
      </c>
      <c r="AU542" s="705">
        <f>SUMIF('Duplicate Disposition'!$C:$C,$C542,'Duplicate Disposition'!AU:AU)</f>
        <v>-0.1</v>
      </c>
      <c r="AV542" s="705">
        <f>SUMIF('Duplicate Disposition'!$C:$C,$C542,'Duplicate Disposition'!AV:AV)</f>
        <v>-0.09</v>
      </c>
      <c r="AW542" s="705">
        <f>SUMIF('Duplicate Disposition'!$C:$C,$C542,'Duplicate Disposition'!AW:AW)</f>
        <v>0.81</v>
      </c>
      <c r="AX542" s="705">
        <f>SUMIF('Duplicate Disposition'!$C:$C,$C542,'Duplicate Disposition'!AX:AX)</f>
        <v>0</v>
      </c>
      <c r="AY542" s="705">
        <f>SUMIF('Duplicate Disposition'!$C:$C,$C542,'Duplicate Disposition'!AY:AY)</f>
        <v>0</v>
      </c>
      <c r="AZ542" s="705">
        <f>SUMIF('Duplicate Disposition'!$C:$C,$C542,'Duplicate Disposition'!AZ:AZ)</f>
        <v>0</v>
      </c>
      <c r="BA542" s="705">
        <f>SUMIF('Duplicate Disposition'!$C:$C,$C542,'Duplicate Disposition'!BA:BA)</f>
        <v>0</v>
      </c>
      <c r="BB542" s="705">
        <f>SUMIF('Duplicate Disposition'!$C:$C,$C542,'Duplicate Disposition'!BB:BB)</f>
        <v>0</v>
      </c>
      <c r="BC542" s="705">
        <f>SUMIF('Duplicate Disposition'!$C:$C,$C542,'Duplicate Disposition'!BC:BC)</f>
        <v>0</v>
      </c>
      <c r="BD542" s="705">
        <f>SUMIF('Duplicate Disposition'!$C:$C,$C542,'Duplicate Disposition'!BD:BD)</f>
        <v>0</v>
      </c>
      <c r="BE542" s="705">
        <f>SUMIF('Duplicate Disposition'!$C:$C,$C542,'Duplicate Disposition'!BE:BE)</f>
        <v>0</v>
      </c>
      <c r="BF542" s="705">
        <f>SUMIF('Duplicate Disposition'!$C:$C,$C542,'Duplicate Disposition'!BF:BF)</f>
        <v>0</v>
      </c>
      <c r="BG542" s="705">
        <f>SUMIF('Duplicate Disposition'!$C:$C,$C542,'Duplicate Disposition'!BG:BG)</f>
        <v>0.62000000000000011</v>
      </c>
      <c r="BH542" s="705">
        <f>SUMIF('Duplicate Disposition'!$C:$C,$C542,'Duplicate Disposition'!BH:BH)</f>
        <v>-0.1</v>
      </c>
      <c r="BI542" s="705">
        <f>SUMIF('Duplicate Disposition'!$C:$C,$C542,'Duplicate Disposition'!BI:BI)</f>
        <v>-0.09</v>
      </c>
      <c r="BJ542" s="705">
        <f>SUMIF('Duplicate Disposition'!$C:$C,$C542,'Duplicate Disposition'!BJ:BJ)</f>
        <v>0.81</v>
      </c>
      <c r="BK542" s="705">
        <f>SUMIF('Duplicate Disposition'!$C:$C,$C542,'Duplicate Disposition'!BK:BK)</f>
        <v>0</v>
      </c>
      <c r="BL542" s="705">
        <f>SUMIF('Duplicate Disposition'!$C:$C,$C542,'Duplicate Disposition'!BL:BL)</f>
        <v>0</v>
      </c>
      <c r="BM542" s="705">
        <f>SUMIF('Duplicate Disposition'!$C:$C,$C542,'Duplicate Disposition'!BM:BM)</f>
        <v>0</v>
      </c>
      <c r="BN542" s="705">
        <f>SUMIF('Duplicate Disposition'!$C:$C,$C542,'Duplicate Disposition'!BN:BN)</f>
        <v>0</v>
      </c>
      <c r="BO542" s="705">
        <f>SUMIF('Duplicate Disposition'!$C:$C,$C542,'Duplicate Disposition'!BO:BO)</f>
        <v>0</v>
      </c>
      <c r="BP542" s="705">
        <f>SUMIF('Duplicate Disposition'!$C:$C,$C542,'Duplicate Disposition'!BP:BP)</f>
        <v>0</v>
      </c>
      <c r="BQ542" s="705">
        <f>SUMIF('Duplicate Disposition'!$C:$C,$C542,'Duplicate Disposition'!BQ:BQ)</f>
        <v>0</v>
      </c>
      <c r="BR542" s="705">
        <f>SUMIF('Duplicate Disposition'!$C:$C,$C542,'Duplicate Disposition'!BR:BR)</f>
        <v>0</v>
      </c>
      <c r="BS542" s="705">
        <f>SUMIF('Duplicate Disposition'!$C:$C,$C542,'Duplicate Disposition'!BS:BS)</f>
        <v>0</v>
      </c>
      <c r="BT542" s="705">
        <f>SUMIF('Duplicate Disposition'!$C:$C,$C542,'Duplicate Disposition'!BT:BT)</f>
        <v>0.62000000000000011</v>
      </c>
    </row>
    <row r="543" spans="1:72" ht="15" hidden="1" customHeight="1">
      <c r="A543" s="215" t="s">
        <v>2740</v>
      </c>
      <c r="B543" s="725" t="s">
        <v>2944</v>
      </c>
      <c r="C543" s="215" t="s">
        <v>980</v>
      </c>
      <c r="D543" s="215" t="s">
        <v>980</v>
      </c>
      <c r="E543" s="513" t="s">
        <v>1136</v>
      </c>
      <c r="F543" s="726" t="s">
        <v>1566</v>
      </c>
      <c r="G543" s="512" t="s">
        <v>1480</v>
      </c>
      <c r="H543" s="517" t="s">
        <v>1480</v>
      </c>
      <c r="I543" s="727" t="s">
        <v>1345</v>
      </c>
      <c r="J543" s="727" t="s">
        <v>1480</v>
      </c>
      <c r="K543" s="727" t="s">
        <v>1346</v>
      </c>
      <c r="L543" s="516" t="s">
        <v>639</v>
      </c>
      <c r="M543" s="728" t="s">
        <v>1327</v>
      </c>
      <c r="N543" s="729"/>
      <c r="O543" s="730"/>
      <c r="P543" s="731" t="s">
        <v>147</v>
      </c>
      <c r="Q543" s="732"/>
      <c r="R543" s="729"/>
      <c r="S543" s="732"/>
      <c r="T543" s="727" t="s">
        <v>25</v>
      </c>
      <c r="U543" s="733"/>
      <c r="V543" s="704"/>
      <c r="W543" s="705">
        <f>SUMIF('Duplicate Disposition'!$C:$C,$C543,'Duplicate Disposition'!W:W)</f>
        <v>0</v>
      </c>
      <c r="X543" s="705">
        <f>SUMIF('Duplicate Disposition'!$C:$C,$C543,'Duplicate Disposition'!X:X)</f>
        <v>16.82</v>
      </c>
      <c r="Y543" s="705">
        <f>SUMIF('Duplicate Disposition'!$C:$C,$C543,'Duplicate Disposition'!Y:Y)</f>
        <v>0</v>
      </c>
      <c r="Z543" s="705">
        <f>SUMIF('Duplicate Disposition'!$C:$C,$C543,'Duplicate Disposition'!Z:Z)</f>
        <v>0</v>
      </c>
      <c r="AA543" s="705">
        <f>SUMIF('Duplicate Disposition'!$C:$C,$C543,'Duplicate Disposition'!AA:AA)</f>
        <v>0</v>
      </c>
      <c r="AB543" s="705">
        <f>SUMIF('Duplicate Disposition'!$C:$C,$C543,'Duplicate Disposition'!AB:AB)</f>
        <v>18</v>
      </c>
      <c r="AC543" s="705">
        <f>SUMIF('Duplicate Disposition'!$C:$C,$C543,'Duplicate Disposition'!AC:AC)</f>
        <v>-1.1800000000000002</v>
      </c>
      <c r="AD543" s="705">
        <f>SUMIF('Duplicate Disposition'!$C:$C,$C543,'Duplicate Disposition'!AD:AD)</f>
        <v>-7.0000000000000007E-2</v>
      </c>
      <c r="AE543" s="705">
        <f>SUMIF('Duplicate Disposition'!$C:$C,$C543,'Duplicate Disposition'!AE:AE)</f>
        <v>0.83</v>
      </c>
      <c r="AF543" s="705">
        <f>SUMIF('Duplicate Disposition'!$C:$C,$C543,'Duplicate Disposition'!AF:AF)</f>
        <v>-0.54</v>
      </c>
      <c r="AG543" s="705">
        <f>SUMIF('Duplicate Disposition'!$C:$C,$C543,'Duplicate Disposition'!AG:AG)</f>
        <v>0</v>
      </c>
      <c r="AH543" s="705">
        <f>SUMIF('Duplicate Disposition'!$C:$C,$C543,'Duplicate Disposition'!AH:AH)</f>
        <v>0</v>
      </c>
      <c r="AI543" s="705">
        <f>SUMIF('Duplicate Disposition'!$C:$C,$C543,'Duplicate Disposition'!AI:AI)</f>
        <v>0</v>
      </c>
      <c r="AJ543" s="705">
        <f>SUMIF('Duplicate Disposition'!$C:$C,$C543,'Duplicate Disposition'!AJ:AJ)</f>
        <v>0</v>
      </c>
      <c r="AK543" s="705">
        <f>SUMIF('Duplicate Disposition'!$C:$C,$C543,'Duplicate Disposition'!AK:AK)</f>
        <v>0</v>
      </c>
      <c r="AL543" s="705">
        <f>SUMIF('Duplicate Disposition'!$C:$C,$C543,'Duplicate Disposition'!AL:AL)</f>
        <v>0</v>
      </c>
      <c r="AM543" s="734">
        <f t="shared" si="32"/>
        <v>17.04</v>
      </c>
      <c r="AN543" s="735">
        <f>ERP_27[[#This Row],[2026 Working Total]]-ERP_27[[#This Row],[LE2 Final Submission]]</f>
        <v>0.21999999999999886</v>
      </c>
      <c r="AO543" s="705">
        <f>SUMIF('Duplicate Disposition'!$C:$C,$C543,'Duplicate Disposition'!AO:AO)</f>
        <v>0</v>
      </c>
      <c r="AP543" s="705">
        <f>SUMIF('Duplicate Disposition'!$C:$C,$C543,'Duplicate Disposition'!AP:AP)</f>
        <v>-0.54</v>
      </c>
      <c r="AQ543" s="713">
        <f>SUMIF('Duplicate Disposition'!$C:$C,$C543,'Duplicate Disposition'!AQ:AQ)</f>
        <v>0.21999999999999886</v>
      </c>
      <c r="AR543" s="713">
        <f>SUMIF('Duplicate Disposition'!$C:$C,$C543,'Duplicate Disposition'!AR:AR)</f>
        <v>0</v>
      </c>
      <c r="AS543" s="713">
        <f>SUMIF('Duplicate Disposition'!$C:$C,$C543,'Duplicate Disposition'!AS:AS)</f>
        <v>0.21999999999999886</v>
      </c>
      <c r="AT543" s="713">
        <f>SUMIF('Duplicate Disposition'!$C:$C,$C543,'Duplicate Disposition'!AT:AT)</f>
        <v>0</v>
      </c>
      <c r="AU543" s="705">
        <f>SUMIF('Duplicate Disposition'!$C:$C,$C543,'Duplicate Disposition'!AU:AU)</f>
        <v>0</v>
      </c>
      <c r="AV543" s="705">
        <f>SUMIF('Duplicate Disposition'!$C:$C,$C543,'Duplicate Disposition'!AV:AV)</f>
        <v>18</v>
      </c>
      <c r="AW543" s="705">
        <f>SUMIF('Duplicate Disposition'!$C:$C,$C543,'Duplicate Disposition'!AW:AW)</f>
        <v>-1.1800000000000002</v>
      </c>
      <c r="AX543" s="705">
        <f>SUMIF('Duplicate Disposition'!$C:$C,$C543,'Duplicate Disposition'!AX:AX)</f>
        <v>0</v>
      </c>
      <c r="AY543" s="705">
        <f>SUMIF('Duplicate Disposition'!$C:$C,$C543,'Duplicate Disposition'!AY:AY)</f>
        <v>0</v>
      </c>
      <c r="AZ543" s="705">
        <f>SUMIF('Duplicate Disposition'!$C:$C,$C543,'Duplicate Disposition'!AZ:AZ)</f>
        <v>0</v>
      </c>
      <c r="BA543" s="705">
        <f>SUMIF('Duplicate Disposition'!$C:$C,$C543,'Duplicate Disposition'!BA:BA)</f>
        <v>0</v>
      </c>
      <c r="BB543" s="705">
        <f>SUMIF('Duplicate Disposition'!$C:$C,$C543,'Duplicate Disposition'!BB:BB)</f>
        <v>0</v>
      </c>
      <c r="BC543" s="705">
        <f>SUMIF('Duplicate Disposition'!$C:$C,$C543,'Duplicate Disposition'!BC:BC)</f>
        <v>0</v>
      </c>
      <c r="BD543" s="705">
        <f>SUMIF('Duplicate Disposition'!$C:$C,$C543,'Duplicate Disposition'!BD:BD)</f>
        <v>0</v>
      </c>
      <c r="BE543" s="705">
        <f>SUMIF('Duplicate Disposition'!$C:$C,$C543,'Duplicate Disposition'!BE:BE)</f>
        <v>0</v>
      </c>
      <c r="BF543" s="705">
        <f>SUMIF('Duplicate Disposition'!$C:$C,$C543,'Duplicate Disposition'!BF:BF)</f>
        <v>0</v>
      </c>
      <c r="BG543" s="705">
        <f>SUMIF('Duplicate Disposition'!$C:$C,$C543,'Duplicate Disposition'!BG:BG)</f>
        <v>16.82</v>
      </c>
      <c r="BH543" s="705">
        <f>SUMIF('Duplicate Disposition'!$C:$C,$C543,'Duplicate Disposition'!BH:BH)</f>
        <v>0</v>
      </c>
      <c r="BI543" s="705">
        <f>SUMIF('Duplicate Disposition'!$C:$C,$C543,'Duplicate Disposition'!BI:BI)</f>
        <v>18</v>
      </c>
      <c r="BJ543" s="705">
        <f>SUMIF('Duplicate Disposition'!$C:$C,$C543,'Duplicate Disposition'!BJ:BJ)</f>
        <v>-1.1800000000000002</v>
      </c>
      <c r="BK543" s="705">
        <f>SUMIF('Duplicate Disposition'!$C:$C,$C543,'Duplicate Disposition'!BK:BK)</f>
        <v>0</v>
      </c>
      <c r="BL543" s="705">
        <f>SUMIF('Duplicate Disposition'!$C:$C,$C543,'Duplicate Disposition'!BL:BL)</f>
        <v>0</v>
      </c>
      <c r="BM543" s="705">
        <f>SUMIF('Duplicate Disposition'!$C:$C,$C543,'Duplicate Disposition'!BM:BM)</f>
        <v>0</v>
      </c>
      <c r="BN543" s="705">
        <f>SUMIF('Duplicate Disposition'!$C:$C,$C543,'Duplicate Disposition'!BN:BN)</f>
        <v>0</v>
      </c>
      <c r="BO543" s="705">
        <f>SUMIF('Duplicate Disposition'!$C:$C,$C543,'Duplicate Disposition'!BO:BO)</f>
        <v>0</v>
      </c>
      <c r="BP543" s="705">
        <f>SUMIF('Duplicate Disposition'!$C:$C,$C543,'Duplicate Disposition'!BP:BP)</f>
        <v>0</v>
      </c>
      <c r="BQ543" s="705">
        <f>SUMIF('Duplicate Disposition'!$C:$C,$C543,'Duplicate Disposition'!BQ:BQ)</f>
        <v>0</v>
      </c>
      <c r="BR543" s="705">
        <f>SUMIF('Duplicate Disposition'!$C:$C,$C543,'Duplicate Disposition'!BR:BR)</f>
        <v>0</v>
      </c>
      <c r="BS543" s="705">
        <f>SUMIF('Duplicate Disposition'!$C:$C,$C543,'Duplicate Disposition'!BS:BS)</f>
        <v>0</v>
      </c>
      <c r="BT543" s="705">
        <f>SUMIF('Duplicate Disposition'!$C:$C,$C543,'Duplicate Disposition'!BT:BT)</f>
        <v>16.82</v>
      </c>
    </row>
    <row r="544" spans="1:72" ht="15" hidden="1" customHeight="1">
      <c r="A544" s="215" t="s">
        <v>1133</v>
      </c>
      <c r="B544" s="725" t="s">
        <v>2944</v>
      </c>
      <c r="C544" s="215" t="s">
        <v>50</v>
      </c>
      <c r="D544" s="215" t="s">
        <v>1134</v>
      </c>
      <c r="E544" s="513" t="s">
        <v>1136</v>
      </c>
      <c r="F544" s="726" t="s">
        <v>1566</v>
      </c>
      <c r="G544" s="513" t="s">
        <v>1135</v>
      </c>
      <c r="H544" s="727" t="s">
        <v>1135</v>
      </c>
      <c r="I544" s="727" t="s">
        <v>1135</v>
      </c>
      <c r="J544" s="727" t="s">
        <v>1137</v>
      </c>
      <c r="K544" s="727" t="s">
        <v>1137</v>
      </c>
      <c r="L544" s="516" t="s">
        <v>49</v>
      </c>
      <c r="M544" s="728" t="s">
        <v>1138</v>
      </c>
      <c r="N544" s="729"/>
      <c r="O544" s="730"/>
      <c r="P544" s="731" t="s">
        <v>51</v>
      </c>
      <c r="Q544" s="732" t="s">
        <v>1139</v>
      </c>
      <c r="R544" s="737" t="s">
        <v>1140</v>
      </c>
      <c r="S544" s="732"/>
      <c r="T544" s="727" t="s">
        <v>25</v>
      </c>
      <c r="U544" s="747" t="s">
        <v>1141</v>
      </c>
      <c r="V544" s="704"/>
      <c r="W544" s="705">
        <f>SUMIF('Duplicate Disposition'!$C:$C,$C544,'Duplicate Disposition'!W:W)</f>
        <v>3014.4000000000005</v>
      </c>
      <c r="X544" s="705">
        <f>SUMIF('Duplicate Disposition'!$C:$C,$C544,'Duplicate Disposition'!X:X)</f>
        <v>4510.8</v>
      </c>
      <c r="Y544" s="705">
        <f>SUMIF('Duplicate Disposition'!$C:$C,$C544,'Duplicate Disposition'!Y:Y)</f>
        <v>0</v>
      </c>
      <c r="Z544" s="705">
        <f>SUMIF('Duplicate Disposition'!$C:$C,$C544,'Duplicate Disposition'!Z:Z)</f>
        <v>0</v>
      </c>
      <c r="AA544" s="705">
        <f>SUMIF('Duplicate Disposition'!$C:$C,$C544,'Duplicate Disposition'!AA:AA)</f>
        <v>0</v>
      </c>
      <c r="AB544" s="705">
        <f>SUMIF('Duplicate Disposition'!$C:$C,$C544,'Duplicate Disposition'!AB:AB)</f>
        <v>0</v>
      </c>
      <c r="AC544" s="705">
        <f>SUMIF('Duplicate Disposition'!$C:$C,$C544,'Duplicate Disposition'!AC:AC)</f>
        <v>0</v>
      </c>
      <c r="AD544" s="705">
        <f>SUMIF('Duplicate Disposition'!$C:$C,$C544,'Duplicate Disposition'!AD:AD)</f>
        <v>0</v>
      </c>
      <c r="AE544" s="705">
        <f>SUMIF('Duplicate Disposition'!$C:$C,$C544,'Duplicate Disposition'!AE:AE)</f>
        <v>0</v>
      </c>
      <c r="AF544" s="705">
        <f>SUMIF('Duplicate Disposition'!$C:$C,$C544,'Duplicate Disposition'!AF:AF)</f>
        <v>0</v>
      </c>
      <c r="AG544" s="705">
        <f>SUMIF('Duplicate Disposition'!$C:$C,$C544,'Duplicate Disposition'!AG:AG)</f>
        <v>101.2</v>
      </c>
      <c r="AH544" s="705">
        <f>SUMIF('Duplicate Disposition'!$C:$C,$C544,'Duplicate Disposition'!AH:AH)</f>
        <v>101.2</v>
      </c>
      <c r="AI544" s="705">
        <f>SUMIF('Duplicate Disposition'!$C:$C,$C544,'Duplicate Disposition'!AI:AI)</f>
        <v>101.2</v>
      </c>
      <c r="AJ544" s="705">
        <f>SUMIF('Duplicate Disposition'!$C:$C,$C544,'Duplicate Disposition'!AJ:AJ)</f>
        <v>101.2</v>
      </c>
      <c r="AK544" s="705">
        <f>SUMIF('Duplicate Disposition'!$C:$C,$C544,'Duplicate Disposition'!AK:AK)</f>
        <v>101.2</v>
      </c>
      <c r="AL544" s="705">
        <f>SUMIF('Duplicate Disposition'!$C:$C,$C544,'Duplicate Disposition'!AL:AL)</f>
        <v>101.2</v>
      </c>
      <c r="AM544" s="734">
        <f t="shared" si="32"/>
        <v>607.20000000000005</v>
      </c>
      <c r="AN544" s="735">
        <f>ERP_27[[#This Row],[2026 Working Total]]-ERP_27[[#This Row],[LE2 Final Submission]]</f>
        <v>-3903.6000000000004</v>
      </c>
      <c r="AO544" s="705">
        <f>SUMIF('Duplicate Disposition'!$C:$C,$C544,'Duplicate Disposition'!AO:AO)</f>
        <v>101.2</v>
      </c>
      <c r="AP544" s="705">
        <f>SUMIF('Duplicate Disposition'!$C:$C,$C544,'Duplicate Disposition'!AP:AP)</f>
        <v>-101.2</v>
      </c>
      <c r="AQ544" s="713">
        <f>SUMIF('Duplicate Disposition'!$C:$C,$C544,'Duplicate Disposition'!AQ:AQ)</f>
        <v>-3903.6</v>
      </c>
      <c r="AR544" s="713">
        <f>SUMIF('Duplicate Disposition'!$C:$C,$C544,'Duplicate Disposition'!AR:AR)</f>
        <v>0</v>
      </c>
      <c r="AS544" s="713">
        <f>SUMIF('Duplicate Disposition'!$C:$C,$C544,'Duplicate Disposition'!AS:AS)</f>
        <v>-3903.6000000000004</v>
      </c>
      <c r="AT544" s="713">
        <f>SUMIF('Duplicate Disposition'!$C:$C,$C544,'Duplicate Disposition'!AT:AT)</f>
        <v>0</v>
      </c>
      <c r="AU544" s="705">
        <f>SUMIF('Duplicate Disposition'!$C:$C,$C544,'Duplicate Disposition'!AU:AU)</f>
        <v>0</v>
      </c>
      <c r="AV544" s="705">
        <f>SUMIF('Duplicate Disposition'!$C:$C,$C544,'Duplicate Disposition'!AV:AV)</f>
        <v>0</v>
      </c>
      <c r="AW544" s="705">
        <f>SUMIF('Duplicate Disposition'!$C:$C,$C544,'Duplicate Disposition'!AW:AW)</f>
        <v>0</v>
      </c>
      <c r="AX544" s="705">
        <f>SUMIF('Duplicate Disposition'!$C:$C,$C544,'Duplicate Disposition'!AX:AX)</f>
        <v>1901.2</v>
      </c>
      <c r="AY544" s="705">
        <f>SUMIF('Duplicate Disposition'!$C:$C,$C544,'Duplicate Disposition'!AY:AY)</f>
        <v>101.2</v>
      </c>
      <c r="AZ544" s="705">
        <f>SUMIF('Duplicate Disposition'!$C:$C,$C544,'Duplicate Disposition'!AZ:AZ)</f>
        <v>1901.2</v>
      </c>
      <c r="BA544" s="705">
        <f>SUMIF('Duplicate Disposition'!$C:$C,$C544,'Duplicate Disposition'!BA:BA)</f>
        <v>101.2</v>
      </c>
      <c r="BB544" s="705">
        <f>SUMIF('Duplicate Disposition'!$C:$C,$C544,'Duplicate Disposition'!BB:BB)</f>
        <v>101.2</v>
      </c>
      <c r="BC544" s="705">
        <f>SUMIF('Duplicate Disposition'!$C:$C,$C544,'Duplicate Disposition'!BC:BC)</f>
        <v>101.2</v>
      </c>
      <c r="BD544" s="705">
        <f>SUMIF('Duplicate Disposition'!$C:$C,$C544,'Duplicate Disposition'!BD:BD)</f>
        <v>101.2</v>
      </c>
      <c r="BE544" s="705">
        <f>SUMIF('Duplicate Disposition'!$C:$C,$C544,'Duplicate Disposition'!BE:BE)</f>
        <v>101.2</v>
      </c>
      <c r="BF544" s="705">
        <f>SUMIF('Duplicate Disposition'!$C:$C,$C544,'Duplicate Disposition'!BF:BF)</f>
        <v>101.2</v>
      </c>
      <c r="BG544" s="705">
        <f>SUMIF('Duplicate Disposition'!$C:$C,$C544,'Duplicate Disposition'!BG:BG)</f>
        <v>4510.8</v>
      </c>
      <c r="BH544" s="705">
        <f>SUMIF('Duplicate Disposition'!$C:$C,$C544,'Duplicate Disposition'!BH:BH)</f>
        <v>0</v>
      </c>
      <c r="BI544" s="705">
        <f>SUMIF('Duplicate Disposition'!$C:$C,$C544,'Duplicate Disposition'!BI:BI)</f>
        <v>0</v>
      </c>
      <c r="BJ544" s="705">
        <f>SUMIF('Duplicate Disposition'!$C:$C,$C544,'Duplicate Disposition'!BJ:BJ)</f>
        <v>0</v>
      </c>
      <c r="BK544" s="705">
        <f>SUMIF('Duplicate Disposition'!$C:$C,$C544,'Duplicate Disposition'!BK:BK)</f>
        <v>1901.2</v>
      </c>
      <c r="BL544" s="705">
        <f>SUMIF('Duplicate Disposition'!$C:$C,$C544,'Duplicate Disposition'!BL:BL)</f>
        <v>101.2</v>
      </c>
      <c r="BM544" s="705">
        <f>SUMIF('Duplicate Disposition'!$C:$C,$C544,'Duplicate Disposition'!BM:BM)</f>
        <v>1901.2</v>
      </c>
      <c r="BN544" s="705">
        <f>SUMIF('Duplicate Disposition'!$C:$C,$C544,'Duplicate Disposition'!BN:BN)</f>
        <v>101.2</v>
      </c>
      <c r="BO544" s="705">
        <f>SUMIF('Duplicate Disposition'!$C:$C,$C544,'Duplicate Disposition'!BO:BO)</f>
        <v>101.2</v>
      </c>
      <c r="BP544" s="705">
        <f>SUMIF('Duplicate Disposition'!$C:$C,$C544,'Duplicate Disposition'!BP:BP)</f>
        <v>101.2</v>
      </c>
      <c r="BQ544" s="705">
        <f>SUMIF('Duplicate Disposition'!$C:$C,$C544,'Duplicate Disposition'!BQ:BQ)</f>
        <v>101.2</v>
      </c>
      <c r="BR544" s="705">
        <f>SUMIF('Duplicate Disposition'!$C:$C,$C544,'Duplicate Disposition'!BR:BR)</f>
        <v>101.2</v>
      </c>
      <c r="BS544" s="705">
        <f>SUMIF('Duplicate Disposition'!$C:$C,$C544,'Duplicate Disposition'!BS:BS)</f>
        <v>101.2</v>
      </c>
      <c r="BT544" s="705">
        <f>SUMIF('Duplicate Disposition'!$C:$C,$C544,'Duplicate Disposition'!BT:BT)</f>
        <v>4510.8</v>
      </c>
    </row>
    <row r="545" spans="1:72" ht="15" hidden="1" customHeight="1">
      <c r="A545" s="215" t="s">
        <v>2664</v>
      </c>
      <c r="B545" s="725" t="s">
        <v>2944</v>
      </c>
      <c r="C545" s="215" t="s">
        <v>940</v>
      </c>
      <c r="D545" s="215" t="s">
        <v>940</v>
      </c>
      <c r="E545" s="513" t="s">
        <v>1136</v>
      </c>
      <c r="F545" s="726" t="s">
        <v>1566</v>
      </c>
      <c r="G545" s="513" t="s">
        <v>1345</v>
      </c>
      <c r="H545" s="727" t="s">
        <v>1345</v>
      </c>
      <c r="I545" s="727" t="s">
        <v>1345</v>
      </c>
      <c r="J545" s="727" t="s">
        <v>1345</v>
      </c>
      <c r="K545" s="727" t="s">
        <v>1346</v>
      </c>
      <c r="L545" s="516" t="s">
        <v>639</v>
      </c>
      <c r="M545" s="728" t="s">
        <v>1138</v>
      </c>
      <c r="N545" s="729"/>
      <c r="O545" s="730"/>
      <c r="P545" s="731" t="s">
        <v>51</v>
      </c>
      <c r="Q545" s="732" t="s">
        <v>1139</v>
      </c>
      <c r="R545" s="737" t="s">
        <v>1140</v>
      </c>
      <c r="S545" s="732"/>
      <c r="T545" s="727" t="s">
        <v>25</v>
      </c>
      <c r="U545" s="733"/>
      <c r="V545" s="704"/>
      <c r="W545" s="705">
        <f>SUMIF('Duplicate Disposition'!$C:$C,$C545,'Duplicate Disposition'!W:W)</f>
        <v>0</v>
      </c>
      <c r="X545" s="705">
        <f>SUMIF('Duplicate Disposition'!$C:$C,$C545,'Duplicate Disposition'!X:X)</f>
        <v>649.79</v>
      </c>
      <c r="Y545" s="705">
        <f>SUMIF('Duplicate Disposition'!$C:$C,$C545,'Duplicate Disposition'!Y:Y)</f>
        <v>0</v>
      </c>
      <c r="Z545" s="705">
        <f>SUMIF('Duplicate Disposition'!$C:$C,$C545,'Duplicate Disposition'!Z:Z)</f>
        <v>0</v>
      </c>
      <c r="AA545" s="705">
        <f>SUMIF('Duplicate Disposition'!$C:$C,$C545,'Duplicate Disposition'!AA:AA)</f>
        <v>0</v>
      </c>
      <c r="AB545" s="705">
        <f>SUMIF('Duplicate Disposition'!$C:$C,$C545,'Duplicate Disposition'!AB:AB)</f>
        <v>649.79</v>
      </c>
      <c r="AC545" s="705">
        <f>SUMIF('Duplicate Disposition'!$C:$C,$C545,'Duplicate Disposition'!AC:AC)</f>
        <v>0</v>
      </c>
      <c r="AD545" s="705">
        <f>SUMIF('Duplicate Disposition'!$C:$C,$C545,'Duplicate Disposition'!AD:AD)</f>
        <v>0</v>
      </c>
      <c r="AE545" s="705">
        <f>SUMIF('Duplicate Disposition'!$C:$C,$C545,'Duplicate Disposition'!AE:AE)</f>
        <v>0</v>
      </c>
      <c r="AF545" s="705">
        <f>SUMIF('Duplicate Disposition'!$C:$C,$C545,'Duplicate Disposition'!AF:AF)</f>
        <v>0</v>
      </c>
      <c r="AG545" s="705">
        <f>SUMIF('Duplicate Disposition'!$C:$C,$C545,'Duplicate Disposition'!AG:AG)</f>
        <v>0</v>
      </c>
      <c r="AH545" s="705">
        <f>SUMIF('Duplicate Disposition'!$C:$C,$C545,'Duplicate Disposition'!AH:AH)</f>
        <v>0</v>
      </c>
      <c r="AI545" s="705">
        <f>SUMIF('Duplicate Disposition'!$C:$C,$C545,'Duplicate Disposition'!AI:AI)</f>
        <v>0</v>
      </c>
      <c r="AJ545" s="705">
        <f>SUMIF('Duplicate Disposition'!$C:$C,$C545,'Duplicate Disposition'!AJ:AJ)</f>
        <v>0</v>
      </c>
      <c r="AK545" s="705">
        <f>SUMIF('Duplicate Disposition'!$C:$C,$C545,'Duplicate Disposition'!AK:AK)</f>
        <v>0</v>
      </c>
      <c r="AL545" s="705">
        <f>SUMIF('Duplicate Disposition'!$C:$C,$C545,'Duplicate Disposition'!AL:AL)</f>
        <v>0</v>
      </c>
      <c r="AM545" s="734">
        <f t="shared" si="32"/>
        <v>649.79</v>
      </c>
      <c r="AN545" s="735">
        <f>ERP_27[[#This Row],[2026 Working Total]]-ERP_27[[#This Row],[LE2 Final Submission]]</f>
        <v>0</v>
      </c>
      <c r="AO545" s="705">
        <f>SUMIF('Duplicate Disposition'!$C:$C,$C545,'Duplicate Disposition'!AO:AO)</f>
        <v>0</v>
      </c>
      <c r="AP545" s="705">
        <f>SUMIF('Duplicate Disposition'!$C:$C,$C545,'Duplicate Disposition'!AP:AP)</f>
        <v>0</v>
      </c>
      <c r="AQ545" s="713">
        <f>SUMIF('Duplicate Disposition'!$C:$C,$C545,'Duplicate Disposition'!AQ:AQ)</f>
        <v>0</v>
      </c>
      <c r="AR545" s="713">
        <f>SUMIF('Duplicate Disposition'!$C:$C,$C545,'Duplicate Disposition'!AR:AR)</f>
        <v>0</v>
      </c>
      <c r="AS545" s="713">
        <f>SUMIF('Duplicate Disposition'!$C:$C,$C545,'Duplicate Disposition'!AS:AS)</f>
        <v>0</v>
      </c>
      <c r="AT545" s="713">
        <f>SUMIF('Duplicate Disposition'!$C:$C,$C545,'Duplicate Disposition'!AT:AT)</f>
        <v>0</v>
      </c>
      <c r="AU545" s="705">
        <f>SUMIF('Duplicate Disposition'!$C:$C,$C545,'Duplicate Disposition'!AU:AU)</f>
        <v>0</v>
      </c>
      <c r="AV545" s="705">
        <f>SUMIF('Duplicate Disposition'!$C:$C,$C545,'Duplicate Disposition'!AV:AV)</f>
        <v>649.79</v>
      </c>
      <c r="AW545" s="705">
        <f>SUMIF('Duplicate Disposition'!$C:$C,$C545,'Duplicate Disposition'!AW:AW)</f>
        <v>0</v>
      </c>
      <c r="AX545" s="705">
        <f>SUMIF('Duplicate Disposition'!$C:$C,$C545,'Duplicate Disposition'!AX:AX)</f>
        <v>0</v>
      </c>
      <c r="AY545" s="705">
        <f>SUMIF('Duplicate Disposition'!$C:$C,$C545,'Duplicate Disposition'!AY:AY)</f>
        <v>0</v>
      </c>
      <c r="AZ545" s="705">
        <f>SUMIF('Duplicate Disposition'!$C:$C,$C545,'Duplicate Disposition'!AZ:AZ)</f>
        <v>0</v>
      </c>
      <c r="BA545" s="705">
        <f>SUMIF('Duplicate Disposition'!$C:$C,$C545,'Duplicate Disposition'!BA:BA)</f>
        <v>0</v>
      </c>
      <c r="BB545" s="705">
        <f>SUMIF('Duplicate Disposition'!$C:$C,$C545,'Duplicate Disposition'!BB:BB)</f>
        <v>0</v>
      </c>
      <c r="BC545" s="705">
        <f>SUMIF('Duplicate Disposition'!$C:$C,$C545,'Duplicate Disposition'!BC:BC)</f>
        <v>0</v>
      </c>
      <c r="BD545" s="705">
        <f>SUMIF('Duplicate Disposition'!$C:$C,$C545,'Duplicate Disposition'!BD:BD)</f>
        <v>0</v>
      </c>
      <c r="BE545" s="705">
        <f>SUMIF('Duplicate Disposition'!$C:$C,$C545,'Duplicate Disposition'!BE:BE)</f>
        <v>0</v>
      </c>
      <c r="BF545" s="705">
        <f>SUMIF('Duplicate Disposition'!$C:$C,$C545,'Duplicate Disposition'!BF:BF)</f>
        <v>0</v>
      </c>
      <c r="BG545" s="705">
        <f>SUMIF('Duplicate Disposition'!$C:$C,$C545,'Duplicate Disposition'!BG:BG)</f>
        <v>649.79</v>
      </c>
      <c r="BH545" s="705">
        <f>SUMIF('Duplicate Disposition'!$C:$C,$C545,'Duplicate Disposition'!BH:BH)</f>
        <v>0</v>
      </c>
      <c r="BI545" s="705">
        <f>SUMIF('Duplicate Disposition'!$C:$C,$C545,'Duplicate Disposition'!BI:BI)</f>
        <v>649.79</v>
      </c>
      <c r="BJ545" s="705">
        <f>SUMIF('Duplicate Disposition'!$C:$C,$C545,'Duplicate Disposition'!BJ:BJ)</f>
        <v>0</v>
      </c>
      <c r="BK545" s="705">
        <f>SUMIF('Duplicate Disposition'!$C:$C,$C545,'Duplicate Disposition'!BK:BK)</f>
        <v>0</v>
      </c>
      <c r="BL545" s="705">
        <f>SUMIF('Duplicate Disposition'!$C:$C,$C545,'Duplicate Disposition'!BL:BL)</f>
        <v>0</v>
      </c>
      <c r="BM545" s="705">
        <f>SUMIF('Duplicate Disposition'!$C:$C,$C545,'Duplicate Disposition'!BM:BM)</f>
        <v>0</v>
      </c>
      <c r="BN545" s="705">
        <f>SUMIF('Duplicate Disposition'!$C:$C,$C545,'Duplicate Disposition'!BN:BN)</f>
        <v>0</v>
      </c>
      <c r="BO545" s="705">
        <f>SUMIF('Duplicate Disposition'!$C:$C,$C545,'Duplicate Disposition'!BO:BO)</f>
        <v>0</v>
      </c>
      <c r="BP545" s="705">
        <f>SUMIF('Duplicate Disposition'!$C:$C,$C545,'Duplicate Disposition'!BP:BP)</f>
        <v>0</v>
      </c>
      <c r="BQ545" s="705">
        <f>SUMIF('Duplicate Disposition'!$C:$C,$C545,'Duplicate Disposition'!BQ:BQ)</f>
        <v>0</v>
      </c>
      <c r="BR545" s="705">
        <f>SUMIF('Duplicate Disposition'!$C:$C,$C545,'Duplicate Disposition'!BR:BR)</f>
        <v>0</v>
      </c>
      <c r="BS545" s="705">
        <f>SUMIF('Duplicate Disposition'!$C:$C,$C545,'Duplicate Disposition'!BS:BS)</f>
        <v>0</v>
      </c>
      <c r="BT545" s="705">
        <f>SUMIF('Duplicate Disposition'!$C:$C,$C545,'Duplicate Disposition'!BT:BT)</f>
        <v>649.79</v>
      </c>
    </row>
    <row r="546" spans="1:72" ht="15" hidden="1" customHeight="1">
      <c r="A546" s="227" t="s">
        <v>2278</v>
      </c>
      <c r="B546" s="604" t="s">
        <v>2944</v>
      </c>
      <c r="C546" s="227" t="s">
        <v>674</v>
      </c>
      <c r="D546" s="330" t="s">
        <v>2279</v>
      </c>
      <c r="E546" s="513" t="s">
        <v>1136</v>
      </c>
      <c r="F546" s="726" t="s">
        <v>1566</v>
      </c>
      <c r="G546" s="513" t="s">
        <v>1135</v>
      </c>
      <c r="H546" s="727" t="s">
        <v>1135</v>
      </c>
      <c r="I546" s="518" t="s">
        <v>1135</v>
      </c>
      <c r="J546" s="518" t="s">
        <v>1137</v>
      </c>
      <c r="K546" s="603" t="s">
        <v>1135</v>
      </c>
      <c r="L546" s="518" t="s">
        <v>639</v>
      </c>
      <c r="M546" s="740"/>
      <c r="N546" s="741"/>
      <c r="O546" s="603"/>
      <c r="P546" s="742" t="s">
        <v>365</v>
      </c>
      <c r="Q546" s="743"/>
      <c r="R546" s="744"/>
      <c r="S546" s="745"/>
      <c r="T546" s="745"/>
      <c r="U546" s="747" t="s">
        <v>1141</v>
      </c>
      <c r="V546" s="358"/>
      <c r="W546" s="705">
        <f>SUMIF('Duplicate Disposition'!$C:$C,$C546,'Duplicate Disposition'!W:W)</f>
        <v>0</v>
      </c>
      <c r="X546" s="705">
        <f>SUMIF('Duplicate Disposition'!$C:$C,$C546,'Duplicate Disposition'!X:X)</f>
        <v>306.92</v>
      </c>
      <c r="Y546" s="705">
        <f>SUMIF('Duplicate Disposition'!$C:$C,$C546,'Duplicate Disposition'!Y:Y)</f>
        <v>0</v>
      </c>
      <c r="Z546" s="705">
        <f>SUMIF('Duplicate Disposition'!$C:$C,$C546,'Duplicate Disposition'!Z:Z)</f>
        <v>0</v>
      </c>
      <c r="AA546" s="705">
        <f>SUMIF('Duplicate Disposition'!$C:$C,$C546,'Duplicate Disposition'!AA:AA)</f>
        <v>0</v>
      </c>
      <c r="AB546" s="705">
        <f>SUMIF('Duplicate Disposition'!$C:$C,$C546,'Duplicate Disposition'!AB:AB)</f>
        <v>306.92</v>
      </c>
      <c r="AC546" s="705">
        <f>SUMIF('Duplicate Disposition'!$C:$C,$C546,'Duplicate Disposition'!AC:AC)</f>
        <v>0</v>
      </c>
      <c r="AD546" s="705">
        <f>SUMIF('Duplicate Disposition'!$C:$C,$C546,'Duplicate Disposition'!AD:AD)</f>
        <v>0</v>
      </c>
      <c r="AE546" s="705">
        <f>SUMIF('Duplicate Disposition'!$C:$C,$C546,'Duplicate Disposition'!AE:AE)</f>
        <v>800</v>
      </c>
      <c r="AF546" s="705">
        <f>SUMIF('Duplicate Disposition'!$C:$C,$C546,'Duplicate Disposition'!AF:AF)</f>
        <v>446.19</v>
      </c>
      <c r="AG546" s="705">
        <f>SUMIF('Duplicate Disposition'!$C:$C,$C546,'Duplicate Disposition'!AG:AG)</f>
        <v>0</v>
      </c>
      <c r="AH546" s="705">
        <f>SUMIF('Duplicate Disposition'!$C:$C,$C546,'Duplicate Disposition'!AH:AH)</f>
        <v>0</v>
      </c>
      <c r="AI546" s="705">
        <f>SUMIF('Duplicate Disposition'!$C:$C,$C546,'Duplicate Disposition'!AI:AI)</f>
        <v>0</v>
      </c>
      <c r="AJ546" s="705">
        <f>SUMIF('Duplicate Disposition'!$C:$C,$C546,'Duplicate Disposition'!AJ:AJ)</f>
        <v>0</v>
      </c>
      <c r="AK546" s="705">
        <f>SUMIF('Duplicate Disposition'!$C:$C,$C546,'Duplicate Disposition'!AK:AK)</f>
        <v>0</v>
      </c>
      <c r="AL546" s="705">
        <f>SUMIF('Duplicate Disposition'!$C:$C,$C546,'Duplicate Disposition'!AL:AL)</f>
        <v>0</v>
      </c>
      <c r="AM546" s="734">
        <f t="shared" si="32"/>
        <v>1553.1100000000001</v>
      </c>
      <c r="AN546" s="735">
        <f>ERP_27[[#This Row],[2026 Working Total]]-ERP_27[[#This Row],[LE2 Final Submission]]</f>
        <v>1246.19</v>
      </c>
      <c r="AO546" s="705">
        <f>SUMIF('Duplicate Disposition'!$C:$C,$C546,'Duplicate Disposition'!AO:AO)</f>
        <v>0</v>
      </c>
      <c r="AP546" s="705">
        <f>SUMIF('Duplicate Disposition'!$C:$C,$C546,'Duplicate Disposition'!AP:AP)</f>
        <v>446.19</v>
      </c>
      <c r="AQ546" s="713">
        <f>SUMIF('Duplicate Disposition'!$C:$C,$C546,'Duplicate Disposition'!AQ:AQ)</f>
        <v>1246.19</v>
      </c>
      <c r="AR546" s="713">
        <f>SUMIF('Duplicate Disposition'!$C:$C,$C546,'Duplicate Disposition'!AR:AR)</f>
        <v>0</v>
      </c>
      <c r="AS546" s="713">
        <f>SUMIF('Duplicate Disposition'!$C:$C,$C546,'Duplicate Disposition'!AS:AS)</f>
        <v>1246.19</v>
      </c>
      <c r="AT546" s="713">
        <f>SUMIF('Duplicate Disposition'!$C:$C,$C546,'Duplicate Disposition'!AT:AT)</f>
        <v>0</v>
      </c>
      <c r="AU546" s="705">
        <f>SUMIF('Duplicate Disposition'!$C:$C,$C546,'Duplicate Disposition'!AU:AU)</f>
        <v>0</v>
      </c>
      <c r="AV546" s="705">
        <f>SUMIF('Duplicate Disposition'!$C:$C,$C546,'Duplicate Disposition'!AV:AV)</f>
        <v>306.92</v>
      </c>
      <c r="AW546" s="705">
        <f>SUMIF('Duplicate Disposition'!$C:$C,$C546,'Duplicate Disposition'!AW:AW)</f>
        <v>0</v>
      </c>
      <c r="AX546" s="705">
        <f>SUMIF('Duplicate Disposition'!$C:$C,$C546,'Duplicate Disposition'!AX:AX)</f>
        <v>0</v>
      </c>
      <c r="AY546" s="705">
        <f>SUMIF('Duplicate Disposition'!$C:$C,$C546,'Duplicate Disposition'!AY:AY)</f>
        <v>0</v>
      </c>
      <c r="AZ546" s="705">
        <f>SUMIF('Duplicate Disposition'!$C:$C,$C546,'Duplicate Disposition'!AZ:AZ)</f>
        <v>0</v>
      </c>
      <c r="BA546" s="705">
        <f>SUMIF('Duplicate Disposition'!$C:$C,$C546,'Duplicate Disposition'!BA:BA)</f>
        <v>0</v>
      </c>
      <c r="BB546" s="705">
        <f>SUMIF('Duplicate Disposition'!$C:$C,$C546,'Duplicate Disposition'!BB:BB)</f>
        <v>0</v>
      </c>
      <c r="BC546" s="705">
        <f>SUMIF('Duplicate Disposition'!$C:$C,$C546,'Duplicate Disposition'!BC:BC)</f>
        <v>0</v>
      </c>
      <c r="BD546" s="705">
        <f>SUMIF('Duplicate Disposition'!$C:$C,$C546,'Duplicate Disposition'!BD:BD)</f>
        <v>0</v>
      </c>
      <c r="BE546" s="705">
        <f>SUMIF('Duplicate Disposition'!$C:$C,$C546,'Duplicate Disposition'!BE:BE)</f>
        <v>0</v>
      </c>
      <c r="BF546" s="705">
        <f>SUMIF('Duplicate Disposition'!$C:$C,$C546,'Duplicate Disposition'!BF:BF)</f>
        <v>0</v>
      </c>
      <c r="BG546" s="705">
        <f>SUMIF('Duplicate Disposition'!$C:$C,$C546,'Duplicate Disposition'!BG:BG)</f>
        <v>306.92</v>
      </c>
      <c r="BH546" s="705">
        <f>SUMIF('Duplicate Disposition'!$C:$C,$C546,'Duplicate Disposition'!BH:BH)</f>
        <v>0</v>
      </c>
      <c r="BI546" s="705">
        <f>SUMIF('Duplicate Disposition'!$C:$C,$C546,'Duplicate Disposition'!BI:BI)</f>
        <v>306.92</v>
      </c>
      <c r="BJ546" s="705">
        <f>SUMIF('Duplicate Disposition'!$C:$C,$C546,'Duplicate Disposition'!BJ:BJ)</f>
        <v>0</v>
      </c>
      <c r="BK546" s="705">
        <f>SUMIF('Duplicate Disposition'!$C:$C,$C546,'Duplicate Disposition'!BK:BK)</f>
        <v>0</v>
      </c>
      <c r="BL546" s="705">
        <f>SUMIF('Duplicate Disposition'!$C:$C,$C546,'Duplicate Disposition'!BL:BL)</f>
        <v>0</v>
      </c>
      <c r="BM546" s="705">
        <f>SUMIF('Duplicate Disposition'!$C:$C,$C546,'Duplicate Disposition'!BM:BM)</f>
        <v>0</v>
      </c>
      <c r="BN546" s="705">
        <f>SUMIF('Duplicate Disposition'!$C:$C,$C546,'Duplicate Disposition'!BN:BN)</f>
        <v>0</v>
      </c>
      <c r="BO546" s="705">
        <f>SUMIF('Duplicate Disposition'!$C:$C,$C546,'Duplicate Disposition'!BO:BO)</f>
        <v>0</v>
      </c>
      <c r="BP546" s="705">
        <f>SUMIF('Duplicate Disposition'!$C:$C,$C546,'Duplicate Disposition'!BP:BP)</f>
        <v>0</v>
      </c>
      <c r="BQ546" s="705">
        <f>SUMIF('Duplicate Disposition'!$C:$C,$C546,'Duplicate Disposition'!BQ:BQ)</f>
        <v>0</v>
      </c>
      <c r="BR546" s="705">
        <f>SUMIF('Duplicate Disposition'!$C:$C,$C546,'Duplicate Disposition'!BR:BR)</f>
        <v>0</v>
      </c>
      <c r="BS546" s="705">
        <f>SUMIF('Duplicate Disposition'!$C:$C,$C546,'Duplicate Disposition'!BS:BS)</f>
        <v>0</v>
      </c>
      <c r="BT546" s="705">
        <f>SUMIF('Duplicate Disposition'!$C:$C,$C546,'Duplicate Disposition'!BT:BT)</f>
        <v>306.92</v>
      </c>
    </row>
    <row r="547" spans="1:72" ht="15" hidden="1" customHeight="1">
      <c r="A547" s="727" t="s">
        <v>1169</v>
      </c>
      <c r="B547" s="738" t="s">
        <v>2944</v>
      </c>
      <c r="C547" s="739" t="s">
        <v>55</v>
      </c>
      <c r="D547" s="534" t="s">
        <v>55</v>
      </c>
      <c r="E547" s="513" t="s">
        <v>1136</v>
      </c>
      <c r="F547" s="726" t="s">
        <v>1566</v>
      </c>
      <c r="G547" s="513" t="s">
        <v>1135</v>
      </c>
      <c r="H547" s="727" t="s">
        <v>1135</v>
      </c>
      <c r="I547" s="727" t="s">
        <v>1135</v>
      </c>
      <c r="J547" s="727" t="s">
        <v>1135</v>
      </c>
      <c r="K547" s="727" t="s">
        <v>1135</v>
      </c>
      <c r="L547" s="518" t="s">
        <v>49</v>
      </c>
      <c r="M547" s="740" t="s">
        <v>1170</v>
      </c>
      <c r="N547" s="741"/>
      <c r="O547" s="518" t="s">
        <v>1171</v>
      </c>
      <c r="P547" s="742" t="s">
        <v>56</v>
      </c>
      <c r="Q547" s="743"/>
      <c r="R547" s="744"/>
      <c r="S547" s="745"/>
      <c r="T547" s="745"/>
      <c r="U547" s="746"/>
      <c r="V547" s="358"/>
      <c r="W547" s="705">
        <f>SUMIF('Duplicate Disposition'!$C:$C,$C547,'Duplicate Disposition'!W:W)</f>
        <v>0</v>
      </c>
      <c r="X547" s="705">
        <f>SUMIF('Duplicate Disposition'!$C:$C,$C547,'Duplicate Disposition'!X:X)</f>
        <v>1080</v>
      </c>
      <c r="Y547" s="705">
        <f>SUMIF('Duplicate Disposition'!$C:$C,$C547,'Duplicate Disposition'!Y:Y)</f>
        <v>0</v>
      </c>
      <c r="Z547" s="705">
        <f>SUMIF('Duplicate Disposition'!$C:$C,$C547,'Duplicate Disposition'!Z:Z)</f>
        <v>0</v>
      </c>
      <c r="AA547" s="705">
        <f>SUMIF('Duplicate Disposition'!$C:$C,$C547,'Duplicate Disposition'!AA:AA)</f>
        <v>360</v>
      </c>
      <c r="AB547" s="705">
        <f>SUMIF('Duplicate Disposition'!$C:$C,$C547,'Duplicate Disposition'!AB:AB)</f>
        <v>360</v>
      </c>
      <c r="AC547" s="705">
        <f>SUMIF('Duplicate Disposition'!$C:$C,$C547,'Duplicate Disposition'!AC:AC)</f>
        <v>360</v>
      </c>
      <c r="AD547" s="705">
        <f>SUMIF('Duplicate Disposition'!$C:$C,$C547,'Duplicate Disposition'!AD:AD)</f>
        <v>0</v>
      </c>
      <c r="AE547" s="705">
        <f>SUMIF('Duplicate Disposition'!$C:$C,$C547,'Duplicate Disposition'!AE:AE)</f>
        <v>550</v>
      </c>
      <c r="AF547" s="705">
        <f>SUMIF('Duplicate Disposition'!$C:$C,$C547,'Duplicate Disposition'!AF:AF)</f>
        <v>0</v>
      </c>
      <c r="AG547" s="705">
        <f>SUMIF('Duplicate Disposition'!$C:$C,$C547,'Duplicate Disposition'!AG:AG)</f>
        <v>0</v>
      </c>
      <c r="AH547" s="705">
        <f>SUMIF('Duplicate Disposition'!$C:$C,$C547,'Duplicate Disposition'!AH:AH)</f>
        <v>0</v>
      </c>
      <c r="AI547" s="705">
        <f>SUMIF('Duplicate Disposition'!$C:$C,$C547,'Duplicate Disposition'!AI:AI)</f>
        <v>0</v>
      </c>
      <c r="AJ547" s="705">
        <f>SUMIF('Duplicate Disposition'!$C:$C,$C547,'Duplicate Disposition'!AJ:AJ)</f>
        <v>0</v>
      </c>
      <c r="AK547" s="705">
        <f>SUMIF('Duplicate Disposition'!$C:$C,$C547,'Duplicate Disposition'!AK:AK)</f>
        <v>0</v>
      </c>
      <c r="AL547" s="705">
        <f>SUMIF('Duplicate Disposition'!$C:$C,$C547,'Duplicate Disposition'!AL:AL)</f>
        <v>0</v>
      </c>
      <c r="AM547" s="734">
        <f t="shared" si="32"/>
        <v>1630</v>
      </c>
      <c r="AN547" s="735">
        <f>ERP_27[[#This Row],[2026 Working Total]]-ERP_27[[#This Row],[LE2 Final Submission]]</f>
        <v>550</v>
      </c>
      <c r="AO547" s="705">
        <f>SUMIF('Duplicate Disposition'!$C:$C,$C547,'Duplicate Disposition'!AO:AO)</f>
        <v>0</v>
      </c>
      <c r="AP547" s="705">
        <f>SUMIF('Duplicate Disposition'!$C:$C,$C547,'Duplicate Disposition'!AP:AP)</f>
        <v>0</v>
      </c>
      <c r="AQ547" s="713">
        <f>SUMIF('Duplicate Disposition'!$C:$C,$C547,'Duplicate Disposition'!AQ:AQ)</f>
        <v>550</v>
      </c>
      <c r="AR547" s="713">
        <f>SUMIF('Duplicate Disposition'!$C:$C,$C547,'Duplicate Disposition'!AR:AR)</f>
        <v>0</v>
      </c>
      <c r="AS547" s="713">
        <f>SUMIF('Duplicate Disposition'!$C:$C,$C547,'Duplicate Disposition'!AS:AS)</f>
        <v>550</v>
      </c>
      <c r="AT547" s="713">
        <f>SUMIF('Duplicate Disposition'!$C:$C,$C547,'Duplicate Disposition'!AT:AT)</f>
        <v>0</v>
      </c>
      <c r="AU547" s="705">
        <f>SUMIF('Duplicate Disposition'!$C:$C,$C547,'Duplicate Disposition'!AU:AU)</f>
        <v>360</v>
      </c>
      <c r="AV547" s="705">
        <f>SUMIF('Duplicate Disposition'!$C:$C,$C547,'Duplicate Disposition'!AV:AV)</f>
        <v>360</v>
      </c>
      <c r="AW547" s="705">
        <f>SUMIF('Duplicate Disposition'!$C:$C,$C547,'Duplicate Disposition'!AW:AW)</f>
        <v>360</v>
      </c>
      <c r="AX547" s="705">
        <f>SUMIF('Duplicate Disposition'!$C:$C,$C547,'Duplicate Disposition'!AX:AX)</f>
        <v>0</v>
      </c>
      <c r="AY547" s="705">
        <f>SUMIF('Duplicate Disposition'!$C:$C,$C547,'Duplicate Disposition'!AY:AY)</f>
        <v>0</v>
      </c>
      <c r="AZ547" s="705">
        <f>SUMIF('Duplicate Disposition'!$C:$C,$C547,'Duplicate Disposition'!AZ:AZ)</f>
        <v>0</v>
      </c>
      <c r="BA547" s="705">
        <f>SUMIF('Duplicate Disposition'!$C:$C,$C547,'Duplicate Disposition'!BA:BA)</f>
        <v>0</v>
      </c>
      <c r="BB547" s="705">
        <f>SUMIF('Duplicate Disposition'!$C:$C,$C547,'Duplicate Disposition'!BB:BB)</f>
        <v>0</v>
      </c>
      <c r="BC547" s="705">
        <f>SUMIF('Duplicate Disposition'!$C:$C,$C547,'Duplicate Disposition'!BC:BC)</f>
        <v>0</v>
      </c>
      <c r="BD547" s="705">
        <f>SUMIF('Duplicate Disposition'!$C:$C,$C547,'Duplicate Disposition'!BD:BD)</f>
        <v>0</v>
      </c>
      <c r="BE547" s="705">
        <f>SUMIF('Duplicate Disposition'!$C:$C,$C547,'Duplicate Disposition'!BE:BE)</f>
        <v>0</v>
      </c>
      <c r="BF547" s="705">
        <f>SUMIF('Duplicate Disposition'!$C:$C,$C547,'Duplicate Disposition'!BF:BF)</f>
        <v>0</v>
      </c>
      <c r="BG547" s="705">
        <f>SUMIF('Duplicate Disposition'!$C:$C,$C547,'Duplicate Disposition'!BG:BG)</f>
        <v>1080</v>
      </c>
      <c r="BH547" s="705">
        <f>SUMIF('Duplicate Disposition'!$C:$C,$C547,'Duplicate Disposition'!BH:BH)</f>
        <v>360</v>
      </c>
      <c r="BI547" s="705">
        <f>SUMIF('Duplicate Disposition'!$C:$C,$C547,'Duplicate Disposition'!BI:BI)</f>
        <v>360</v>
      </c>
      <c r="BJ547" s="705">
        <f>SUMIF('Duplicate Disposition'!$C:$C,$C547,'Duplicate Disposition'!BJ:BJ)</f>
        <v>360</v>
      </c>
      <c r="BK547" s="705">
        <f>SUMIF('Duplicate Disposition'!$C:$C,$C547,'Duplicate Disposition'!BK:BK)</f>
        <v>0</v>
      </c>
      <c r="BL547" s="705">
        <f>SUMIF('Duplicate Disposition'!$C:$C,$C547,'Duplicate Disposition'!BL:BL)</f>
        <v>0</v>
      </c>
      <c r="BM547" s="705">
        <f>SUMIF('Duplicate Disposition'!$C:$C,$C547,'Duplicate Disposition'!BM:BM)</f>
        <v>0</v>
      </c>
      <c r="BN547" s="705">
        <f>SUMIF('Duplicate Disposition'!$C:$C,$C547,'Duplicate Disposition'!BN:BN)</f>
        <v>0</v>
      </c>
      <c r="BO547" s="705">
        <f>SUMIF('Duplicate Disposition'!$C:$C,$C547,'Duplicate Disposition'!BO:BO)</f>
        <v>0</v>
      </c>
      <c r="BP547" s="705">
        <f>SUMIF('Duplicate Disposition'!$C:$C,$C547,'Duplicate Disposition'!BP:BP)</f>
        <v>0</v>
      </c>
      <c r="BQ547" s="705">
        <f>SUMIF('Duplicate Disposition'!$C:$C,$C547,'Duplicate Disposition'!BQ:BQ)</f>
        <v>0</v>
      </c>
      <c r="BR547" s="705">
        <f>SUMIF('Duplicate Disposition'!$C:$C,$C547,'Duplicate Disposition'!BR:BR)</f>
        <v>0</v>
      </c>
      <c r="BS547" s="705">
        <f>SUMIF('Duplicate Disposition'!$C:$C,$C547,'Duplicate Disposition'!BS:BS)</f>
        <v>0</v>
      </c>
      <c r="BT547" s="705">
        <f>SUMIF('Duplicate Disposition'!$C:$C,$C547,'Duplicate Disposition'!BT:BT)</f>
        <v>1080</v>
      </c>
    </row>
    <row r="548" spans="1:72" ht="15" hidden="1" customHeight="1">
      <c r="A548" s="215" t="s">
        <v>2805</v>
      </c>
      <c r="B548" s="725" t="s">
        <v>2944</v>
      </c>
      <c r="C548" s="215" t="s">
        <v>1015</v>
      </c>
      <c r="D548" s="215" t="s">
        <v>2806</v>
      </c>
      <c r="E548" s="513" t="s">
        <v>1136</v>
      </c>
      <c r="F548" s="726" t="s">
        <v>1566</v>
      </c>
      <c r="G548" s="726" t="s">
        <v>1566</v>
      </c>
      <c r="H548" s="748" t="s">
        <v>1566</v>
      </c>
      <c r="I548" s="727" t="s">
        <v>1345</v>
      </c>
      <c r="J548" s="727" t="s">
        <v>1346</v>
      </c>
      <c r="K548" s="727" t="s">
        <v>1346</v>
      </c>
      <c r="L548" s="516" t="s">
        <v>639</v>
      </c>
      <c r="M548" s="728" t="s">
        <v>1327</v>
      </c>
      <c r="N548" s="729"/>
      <c r="O548" s="730"/>
      <c r="P548" s="731" t="s">
        <v>147</v>
      </c>
      <c r="Q548" s="732"/>
      <c r="R548" s="729"/>
      <c r="S548" s="732"/>
      <c r="T548" s="727" t="s">
        <v>25</v>
      </c>
      <c r="U548" s="733"/>
      <c r="V548" s="704"/>
      <c r="W548" s="705">
        <f>SUMIF('Duplicate Disposition'!$C:$C,$C548,'Duplicate Disposition'!W:W)</f>
        <v>0</v>
      </c>
      <c r="X548" s="705">
        <f>SUMIF('Duplicate Disposition'!$C:$C,$C548,'Duplicate Disposition'!X:X)</f>
        <v>1991.1399999999999</v>
      </c>
      <c r="Y548" s="705">
        <f>SUMIF('Duplicate Disposition'!$C:$C,$C548,'Duplicate Disposition'!Y:Y)</f>
        <v>0</v>
      </c>
      <c r="Z548" s="705">
        <f>SUMIF('Duplicate Disposition'!$C:$C,$C548,'Duplicate Disposition'!Z:Z)</f>
        <v>0</v>
      </c>
      <c r="AA548" s="705">
        <f>SUMIF('Duplicate Disposition'!$C:$C,$C548,'Duplicate Disposition'!AA:AA)</f>
        <v>45.15</v>
      </c>
      <c r="AB548" s="705">
        <f>SUMIF('Duplicate Disposition'!$C:$C,$C548,'Duplicate Disposition'!AB:AB)</f>
        <v>0.2</v>
      </c>
      <c r="AC548" s="705">
        <f>SUMIF('Duplicate Disposition'!$C:$C,$C548,'Duplicate Disposition'!AC:AC)</f>
        <v>1945.79</v>
      </c>
      <c r="AD548" s="705">
        <f>SUMIF('Duplicate Disposition'!$C:$C,$C548,'Duplicate Disposition'!AD:AD)</f>
        <v>12.72</v>
      </c>
      <c r="AE548" s="705">
        <f>SUMIF('Duplicate Disposition'!$C:$C,$C548,'Duplicate Disposition'!AE:AE)</f>
        <v>29.21</v>
      </c>
      <c r="AF548" s="705">
        <f>SUMIF('Duplicate Disposition'!$C:$C,$C548,'Duplicate Disposition'!AF:AF)</f>
        <v>7.18</v>
      </c>
      <c r="AG548" s="705">
        <f>SUMIF('Duplicate Disposition'!$C:$C,$C548,'Duplicate Disposition'!AG:AG)</f>
        <v>0</v>
      </c>
      <c r="AH548" s="705">
        <f>SUMIF('Duplicate Disposition'!$C:$C,$C548,'Duplicate Disposition'!AH:AH)</f>
        <v>0</v>
      </c>
      <c r="AI548" s="705">
        <f>SUMIF('Duplicate Disposition'!$C:$C,$C548,'Duplicate Disposition'!AI:AI)</f>
        <v>0</v>
      </c>
      <c r="AJ548" s="705">
        <f>SUMIF('Duplicate Disposition'!$C:$C,$C548,'Duplicate Disposition'!AJ:AJ)</f>
        <v>0</v>
      </c>
      <c r="AK548" s="705">
        <f>SUMIF('Duplicate Disposition'!$C:$C,$C548,'Duplicate Disposition'!AK:AK)</f>
        <v>0</v>
      </c>
      <c r="AL548" s="705">
        <f>SUMIF('Duplicate Disposition'!$C:$C,$C548,'Duplicate Disposition'!AL:AL)</f>
        <v>0</v>
      </c>
      <c r="AM548" s="734">
        <f t="shared" si="32"/>
        <v>2040.25</v>
      </c>
      <c r="AN548" s="735">
        <f>ERP_27[[#This Row],[2026 Working Total]]-ERP_27[[#This Row],[LE2 Final Submission]]</f>
        <v>49.110000000000127</v>
      </c>
      <c r="AO548" s="705">
        <f>SUMIF('Duplicate Disposition'!$C:$C,$C548,'Duplicate Disposition'!AO:AO)</f>
        <v>0</v>
      </c>
      <c r="AP548" s="705">
        <f>SUMIF('Duplicate Disposition'!$C:$C,$C548,'Duplicate Disposition'!AP:AP)</f>
        <v>7.18</v>
      </c>
      <c r="AQ548" s="713">
        <f>SUMIF('Duplicate Disposition'!$C:$C,$C548,'Duplicate Disposition'!AQ:AQ)</f>
        <v>49.109999999999673</v>
      </c>
      <c r="AR548" s="713">
        <f>SUMIF('Duplicate Disposition'!$C:$C,$C548,'Duplicate Disposition'!AR:AR)</f>
        <v>0</v>
      </c>
      <c r="AS548" s="713">
        <f>SUMIF('Duplicate Disposition'!$C:$C,$C548,'Duplicate Disposition'!AS:AS)</f>
        <v>49.109999999999673</v>
      </c>
      <c r="AT548" s="713">
        <f>SUMIF('Duplicate Disposition'!$C:$C,$C548,'Duplicate Disposition'!AT:AT)</f>
        <v>0</v>
      </c>
      <c r="AU548" s="705">
        <f>SUMIF('Duplicate Disposition'!$C:$C,$C548,'Duplicate Disposition'!AU:AU)</f>
        <v>45.15</v>
      </c>
      <c r="AV548" s="705">
        <f>SUMIF('Duplicate Disposition'!$C:$C,$C548,'Duplicate Disposition'!AV:AV)</f>
        <v>0.2</v>
      </c>
      <c r="AW548" s="705">
        <f>SUMIF('Duplicate Disposition'!$C:$C,$C548,'Duplicate Disposition'!AW:AW)</f>
        <v>1945.79</v>
      </c>
      <c r="AX548" s="705">
        <f>SUMIF('Duplicate Disposition'!$C:$C,$C548,'Duplicate Disposition'!AX:AX)</f>
        <v>0</v>
      </c>
      <c r="AY548" s="705">
        <f>SUMIF('Duplicate Disposition'!$C:$C,$C548,'Duplicate Disposition'!AY:AY)</f>
        <v>0</v>
      </c>
      <c r="AZ548" s="705">
        <f>SUMIF('Duplicate Disposition'!$C:$C,$C548,'Duplicate Disposition'!AZ:AZ)</f>
        <v>0</v>
      </c>
      <c r="BA548" s="705">
        <f>SUMIF('Duplicate Disposition'!$C:$C,$C548,'Duplicate Disposition'!BA:BA)</f>
        <v>0</v>
      </c>
      <c r="BB548" s="705">
        <f>SUMIF('Duplicate Disposition'!$C:$C,$C548,'Duplicate Disposition'!BB:BB)</f>
        <v>0</v>
      </c>
      <c r="BC548" s="705">
        <f>SUMIF('Duplicate Disposition'!$C:$C,$C548,'Duplicate Disposition'!BC:BC)</f>
        <v>0</v>
      </c>
      <c r="BD548" s="705">
        <f>SUMIF('Duplicate Disposition'!$C:$C,$C548,'Duplicate Disposition'!BD:BD)</f>
        <v>0</v>
      </c>
      <c r="BE548" s="705">
        <f>SUMIF('Duplicate Disposition'!$C:$C,$C548,'Duplicate Disposition'!BE:BE)</f>
        <v>0</v>
      </c>
      <c r="BF548" s="705">
        <f>SUMIF('Duplicate Disposition'!$C:$C,$C548,'Duplicate Disposition'!BF:BF)</f>
        <v>0</v>
      </c>
      <c r="BG548" s="705">
        <f>SUMIF('Duplicate Disposition'!$C:$C,$C548,'Duplicate Disposition'!BG:BG)</f>
        <v>1991.1399999999999</v>
      </c>
      <c r="BH548" s="705">
        <f>SUMIF('Duplicate Disposition'!$C:$C,$C548,'Duplicate Disposition'!BH:BH)</f>
        <v>45.15</v>
      </c>
      <c r="BI548" s="705">
        <f>SUMIF('Duplicate Disposition'!$C:$C,$C548,'Duplicate Disposition'!BI:BI)</f>
        <v>0.2</v>
      </c>
      <c r="BJ548" s="705">
        <f>SUMIF('Duplicate Disposition'!$C:$C,$C548,'Duplicate Disposition'!BJ:BJ)</f>
        <v>1945.79</v>
      </c>
      <c r="BK548" s="705">
        <f>SUMIF('Duplicate Disposition'!$C:$C,$C548,'Duplicate Disposition'!BK:BK)</f>
        <v>0</v>
      </c>
      <c r="BL548" s="705">
        <f>SUMIF('Duplicate Disposition'!$C:$C,$C548,'Duplicate Disposition'!BL:BL)</f>
        <v>0</v>
      </c>
      <c r="BM548" s="705">
        <f>SUMIF('Duplicate Disposition'!$C:$C,$C548,'Duplicate Disposition'!BM:BM)</f>
        <v>0</v>
      </c>
      <c r="BN548" s="705">
        <f>SUMIF('Duplicate Disposition'!$C:$C,$C548,'Duplicate Disposition'!BN:BN)</f>
        <v>0</v>
      </c>
      <c r="BO548" s="705">
        <f>SUMIF('Duplicate Disposition'!$C:$C,$C548,'Duplicate Disposition'!BO:BO)</f>
        <v>0</v>
      </c>
      <c r="BP548" s="705">
        <f>SUMIF('Duplicate Disposition'!$C:$C,$C548,'Duplicate Disposition'!BP:BP)</f>
        <v>0</v>
      </c>
      <c r="BQ548" s="705">
        <f>SUMIF('Duplicate Disposition'!$C:$C,$C548,'Duplicate Disposition'!BQ:BQ)</f>
        <v>0</v>
      </c>
      <c r="BR548" s="705">
        <f>SUMIF('Duplicate Disposition'!$C:$C,$C548,'Duplicate Disposition'!BR:BR)</f>
        <v>0</v>
      </c>
      <c r="BS548" s="705">
        <f>SUMIF('Duplicate Disposition'!$C:$C,$C548,'Duplicate Disposition'!BS:BS)</f>
        <v>0</v>
      </c>
      <c r="BT548" s="705">
        <f>SUMIF('Duplicate Disposition'!$C:$C,$C548,'Duplicate Disposition'!BT:BT)</f>
        <v>1991.1399999999999</v>
      </c>
    </row>
    <row r="549" spans="1:72" ht="15" hidden="1" customHeight="1">
      <c r="A549" s="215" t="s">
        <v>1744</v>
      </c>
      <c r="B549" s="725" t="s">
        <v>2944</v>
      </c>
      <c r="C549" s="215" t="s">
        <v>384</v>
      </c>
      <c r="D549" s="215" t="s">
        <v>1745</v>
      </c>
      <c r="E549" s="513" t="s">
        <v>1136</v>
      </c>
      <c r="F549" s="726" t="s">
        <v>1566</v>
      </c>
      <c r="G549" s="726" t="s">
        <v>1566</v>
      </c>
      <c r="H549" s="748" t="s">
        <v>1566</v>
      </c>
      <c r="I549" s="727" t="s">
        <v>1345</v>
      </c>
      <c r="J549" s="727" t="s">
        <v>1346</v>
      </c>
      <c r="K549" s="727" t="s">
        <v>1346</v>
      </c>
      <c r="L549" s="516" t="s">
        <v>342</v>
      </c>
      <c r="M549" s="728" t="s">
        <v>1327</v>
      </c>
      <c r="N549" s="729"/>
      <c r="O549" s="730"/>
      <c r="P549" s="731" t="s">
        <v>147</v>
      </c>
      <c r="Q549" s="732"/>
      <c r="R549" s="729"/>
      <c r="S549" s="732"/>
      <c r="T549" s="727" t="s">
        <v>25</v>
      </c>
      <c r="U549" s="733"/>
      <c r="V549" s="704"/>
      <c r="W549" s="705">
        <f>SUMIF('Duplicate Disposition'!$C:$C,$C549,'Duplicate Disposition'!W:W)</f>
        <v>0</v>
      </c>
      <c r="X549" s="705">
        <f>SUMIF('Duplicate Disposition'!$C:$C,$C549,'Duplicate Disposition'!X:X)</f>
        <v>835.19</v>
      </c>
      <c r="Y549" s="705">
        <f>SUMIF('Duplicate Disposition'!$C:$C,$C549,'Duplicate Disposition'!Y:Y)</f>
        <v>0</v>
      </c>
      <c r="Z549" s="705">
        <f>SUMIF('Duplicate Disposition'!$C:$C,$C549,'Duplicate Disposition'!Z:Z)</f>
        <v>0</v>
      </c>
      <c r="AA549" s="705">
        <f>SUMIF('Duplicate Disposition'!$C:$C,$C549,'Duplicate Disposition'!AA:AA)</f>
        <v>-0.14000000000000001</v>
      </c>
      <c r="AB549" s="705">
        <f>SUMIF('Duplicate Disposition'!$C:$C,$C549,'Duplicate Disposition'!AB:AB)</f>
        <v>464.29</v>
      </c>
      <c r="AC549" s="705">
        <f>SUMIF('Duplicate Disposition'!$C:$C,$C549,'Duplicate Disposition'!AC:AC)</f>
        <v>371.03999999999996</v>
      </c>
      <c r="AD549" s="705">
        <f>SUMIF('Duplicate Disposition'!$C:$C,$C549,'Duplicate Disposition'!AD:AD)</f>
        <v>-6.9999999999999993E-2</v>
      </c>
      <c r="AE549" s="705">
        <f>SUMIF('Duplicate Disposition'!$C:$C,$C549,'Duplicate Disposition'!AE:AE)</f>
        <v>2499.4899999999998</v>
      </c>
      <c r="AF549" s="705">
        <f>SUMIF('Duplicate Disposition'!$C:$C,$C549,'Duplicate Disposition'!AF:AF)</f>
        <v>-0.11</v>
      </c>
      <c r="AG549" s="705">
        <f>SUMIF('Duplicate Disposition'!$C:$C,$C549,'Duplicate Disposition'!AG:AG)</f>
        <v>0</v>
      </c>
      <c r="AH549" s="705">
        <f>SUMIF('Duplicate Disposition'!$C:$C,$C549,'Duplicate Disposition'!AH:AH)</f>
        <v>0</v>
      </c>
      <c r="AI549" s="705">
        <f>SUMIF('Duplicate Disposition'!$C:$C,$C549,'Duplicate Disposition'!AI:AI)</f>
        <v>0</v>
      </c>
      <c r="AJ549" s="705">
        <f>SUMIF('Duplicate Disposition'!$C:$C,$C549,'Duplicate Disposition'!AJ:AJ)</f>
        <v>0</v>
      </c>
      <c r="AK549" s="705">
        <f>SUMIF('Duplicate Disposition'!$C:$C,$C549,'Duplicate Disposition'!AK:AK)</f>
        <v>0</v>
      </c>
      <c r="AL549" s="705">
        <f>SUMIF('Duplicate Disposition'!$C:$C,$C549,'Duplicate Disposition'!AL:AL)</f>
        <v>0</v>
      </c>
      <c r="AM549" s="734">
        <f t="shared" si="32"/>
        <v>3334.4999999999995</v>
      </c>
      <c r="AN549" s="735">
        <f>ERP_27[[#This Row],[2026 Working Total]]-ERP_27[[#This Row],[LE2 Final Submission]]</f>
        <v>2499.3099999999995</v>
      </c>
      <c r="AO549" s="705">
        <f>SUMIF('Duplicate Disposition'!$C:$C,$C549,'Duplicate Disposition'!AO:AO)</f>
        <v>0</v>
      </c>
      <c r="AP549" s="705">
        <f>SUMIF('Duplicate Disposition'!$C:$C,$C549,'Duplicate Disposition'!AP:AP)</f>
        <v>-0.11</v>
      </c>
      <c r="AQ549" s="713">
        <f>SUMIF('Duplicate Disposition'!$C:$C,$C549,'Duplicate Disposition'!AQ:AQ)</f>
        <v>2499.3099999999995</v>
      </c>
      <c r="AR549" s="713">
        <f>SUMIF('Duplicate Disposition'!$C:$C,$C549,'Duplicate Disposition'!AR:AR)</f>
        <v>0</v>
      </c>
      <c r="AS549" s="713">
        <f>SUMIF('Duplicate Disposition'!$C:$C,$C549,'Duplicate Disposition'!AS:AS)</f>
        <v>2499.3099999999995</v>
      </c>
      <c r="AT549" s="713">
        <f>SUMIF('Duplicate Disposition'!$C:$C,$C549,'Duplicate Disposition'!AT:AT)</f>
        <v>0</v>
      </c>
      <c r="AU549" s="705">
        <f>SUMIF('Duplicate Disposition'!$C:$C,$C549,'Duplicate Disposition'!AU:AU)</f>
        <v>-0.14000000000000001</v>
      </c>
      <c r="AV549" s="705">
        <f>SUMIF('Duplicate Disposition'!$C:$C,$C549,'Duplicate Disposition'!AV:AV)</f>
        <v>464.29</v>
      </c>
      <c r="AW549" s="705">
        <f>SUMIF('Duplicate Disposition'!$C:$C,$C549,'Duplicate Disposition'!AW:AW)</f>
        <v>371.03999999999996</v>
      </c>
      <c r="AX549" s="705">
        <f>SUMIF('Duplicate Disposition'!$C:$C,$C549,'Duplicate Disposition'!AX:AX)</f>
        <v>0</v>
      </c>
      <c r="AY549" s="705">
        <f>SUMIF('Duplicate Disposition'!$C:$C,$C549,'Duplicate Disposition'!AY:AY)</f>
        <v>0</v>
      </c>
      <c r="AZ549" s="705">
        <f>SUMIF('Duplicate Disposition'!$C:$C,$C549,'Duplicate Disposition'!AZ:AZ)</f>
        <v>0</v>
      </c>
      <c r="BA549" s="705">
        <f>SUMIF('Duplicate Disposition'!$C:$C,$C549,'Duplicate Disposition'!BA:BA)</f>
        <v>0</v>
      </c>
      <c r="BB549" s="705">
        <f>SUMIF('Duplicate Disposition'!$C:$C,$C549,'Duplicate Disposition'!BB:BB)</f>
        <v>0</v>
      </c>
      <c r="BC549" s="705">
        <f>SUMIF('Duplicate Disposition'!$C:$C,$C549,'Duplicate Disposition'!BC:BC)</f>
        <v>0</v>
      </c>
      <c r="BD549" s="705">
        <f>SUMIF('Duplicate Disposition'!$C:$C,$C549,'Duplicate Disposition'!BD:BD)</f>
        <v>0</v>
      </c>
      <c r="BE549" s="705">
        <f>SUMIF('Duplicate Disposition'!$C:$C,$C549,'Duplicate Disposition'!BE:BE)</f>
        <v>0</v>
      </c>
      <c r="BF549" s="705">
        <f>SUMIF('Duplicate Disposition'!$C:$C,$C549,'Duplicate Disposition'!BF:BF)</f>
        <v>0</v>
      </c>
      <c r="BG549" s="705">
        <f>SUMIF('Duplicate Disposition'!$C:$C,$C549,'Duplicate Disposition'!BG:BG)</f>
        <v>835.19</v>
      </c>
      <c r="BH549" s="705">
        <f>SUMIF('Duplicate Disposition'!$C:$C,$C549,'Duplicate Disposition'!BH:BH)</f>
        <v>-0.14000000000000001</v>
      </c>
      <c r="BI549" s="705">
        <f>SUMIF('Duplicate Disposition'!$C:$C,$C549,'Duplicate Disposition'!BI:BI)</f>
        <v>464.29</v>
      </c>
      <c r="BJ549" s="705">
        <f>SUMIF('Duplicate Disposition'!$C:$C,$C549,'Duplicate Disposition'!BJ:BJ)</f>
        <v>371.03999999999996</v>
      </c>
      <c r="BK549" s="705">
        <f>SUMIF('Duplicate Disposition'!$C:$C,$C549,'Duplicate Disposition'!BK:BK)</f>
        <v>0</v>
      </c>
      <c r="BL549" s="705">
        <f>SUMIF('Duplicate Disposition'!$C:$C,$C549,'Duplicate Disposition'!BL:BL)</f>
        <v>0</v>
      </c>
      <c r="BM549" s="705">
        <f>SUMIF('Duplicate Disposition'!$C:$C,$C549,'Duplicate Disposition'!BM:BM)</f>
        <v>0</v>
      </c>
      <c r="BN549" s="705">
        <f>SUMIF('Duplicate Disposition'!$C:$C,$C549,'Duplicate Disposition'!BN:BN)</f>
        <v>0</v>
      </c>
      <c r="BO549" s="705">
        <f>SUMIF('Duplicate Disposition'!$C:$C,$C549,'Duplicate Disposition'!BO:BO)</f>
        <v>0</v>
      </c>
      <c r="BP549" s="705">
        <f>SUMIF('Duplicate Disposition'!$C:$C,$C549,'Duplicate Disposition'!BP:BP)</f>
        <v>0</v>
      </c>
      <c r="BQ549" s="705">
        <f>SUMIF('Duplicate Disposition'!$C:$C,$C549,'Duplicate Disposition'!BQ:BQ)</f>
        <v>0</v>
      </c>
      <c r="BR549" s="705">
        <f>SUMIF('Duplicate Disposition'!$C:$C,$C549,'Duplicate Disposition'!BR:BR)</f>
        <v>0</v>
      </c>
      <c r="BS549" s="705">
        <f>SUMIF('Duplicate Disposition'!$C:$C,$C549,'Duplicate Disposition'!BS:BS)</f>
        <v>0</v>
      </c>
      <c r="BT549" s="705">
        <f>SUMIF('Duplicate Disposition'!$C:$C,$C549,'Duplicate Disposition'!BT:BT)</f>
        <v>835.19</v>
      </c>
    </row>
    <row r="550" spans="1:72" ht="15" hidden="1" customHeight="1">
      <c r="A550" s="215" t="s">
        <v>2774</v>
      </c>
      <c r="B550" s="725" t="s">
        <v>2944</v>
      </c>
      <c r="C550" s="215" t="s">
        <v>997</v>
      </c>
      <c r="D550" s="215" t="s">
        <v>2775</v>
      </c>
      <c r="E550" s="513" t="s">
        <v>1136</v>
      </c>
      <c r="F550" s="726" t="s">
        <v>1566</v>
      </c>
      <c r="G550" s="726" t="s">
        <v>1566</v>
      </c>
      <c r="H550" s="748" t="s">
        <v>1566</v>
      </c>
      <c r="I550" s="727" t="s">
        <v>1345</v>
      </c>
      <c r="J550" s="727" t="s">
        <v>1346</v>
      </c>
      <c r="K550" s="727" t="s">
        <v>1346</v>
      </c>
      <c r="L550" s="516" t="s">
        <v>639</v>
      </c>
      <c r="M550" s="728" t="s">
        <v>1138</v>
      </c>
      <c r="N550" s="729"/>
      <c r="O550" s="730"/>
      <c r="P550" s="731" t="s">
        <v>51</v>
      </c>
      <c r="Q550" s="732" t="s">
        <v>1139</v>
      </c>
      <c r="R550" s="737" t="s">
        <v>1140</v>
      </c>
      <c r="S550" s="732"/>
      <c r="T550" s="727" t="s">
        <v>25</v>
      </c>
      <c r="U550" s="733"/>
      <c r="V550" s="704"/>
      <c r="W550" s="705">
        <f>SUMIF('Duplicate Disposition'!$C:$C,$C550,'Duplicate Disposition'!W:W)</f>
        <v>0</v>
      </c>
      <c r="X550" s="705">
        <f>SUMIF('Duplicate Disposition'!$C:$C,$C550,'Duplicate Disposition'!X:X)</f>
        <v>3484.7400000000002</v>
      </c>
      <c r="Y550" s="705">
        <f>SUMIF('Duplicate Disposition'!$C:$C,$C550,'Duplicate Disposition'!Y:Y)</f>
        <v>0</v>
      </c>
      <c r="Z550" s="705">
        <f>SUMIF('Duplicate Disposition'!$C:$C,$C550,'Duplicate Disposition'!Z:Z)</f>
        <v>0</v>
      </c>
      <c r="AA550" s="705">
        <f>SUMIF('Duplicate Disposition'!$C:$C,$C550,'Duplicate Disposition'!AA:AA)</f>
        <v>0</v>
      </c>
      <c r="AB550" s="705">
        <f>SUMIF('Duplicate Disposition'!$C:$C,$C550,'Duplicate Disposition'!AB:AB)</f>
        <v>2116.94</v>
      </c>
      <c r="AC550" s="705">
        <f>SUMIF('Duplicate Disposition'!$C:$C,$C550,'Duplicate Disposition'!AC:AC)</f>
        <v>1367.8</v>
      </c>
      <c r="AD550" s="705">
        <f>SUMIF('Duplicate Disposition'!$C:$C,$C550,'Duplicate Disposition'!AD:AD)</f>
        <v>0</v>
      </c>
      <c r="AE550" s="705">
        <f>SUMIF('Duplicate Disposition'!$C:$C,$C550,'Duplicate Disposition'!AE:AE)</f>
        <v>682.06</v>
      </c>
      <c r="AF550" s="705">
        <f>SUMIF('Duplicate Disposition'!$C:$C,$C550,'Duplicate Disposition'!AF:AF)</f>
        <v>91.56</v>
      </c>
      <c r="AG550" s="705">
        <f>SUMIF('Duplicate Disposition'!$C:$C,$C550,'Duplicate Disposition'!AG:AG)</f>
        <v>0</v>
      </c>
      <c r="AH550" s="705">
        <f>SUMIF('Duplicate Disposition'!$C:$C,$C550,'Duplicate Disposition'!AH:AH)</f>
        <v>0</v>
      </c>
      <c r="AI550" s="705">
        <f>SUMIF('Duplicate Disposition'!$C:$C,$C550,'Duplicate Disposition'!AI:AI)</f>
        <v>0</v>
      </c>
      <c r="AJ550" s="705">
        <f>SUMIF('Duplicate Disposition'!$C:$C,$C550,'Duplicate Disposition'!AJ:AJ)</f>
        <v>0</v>
      </c>
      <c r="AK550" s="705">
        <f>SUMIF('Duplicate Disposition'!$C:$C,$C550,'Duplicate Disposition'!AK:AK)</f>
        <v>0</v>
      </c>
      <c r="AL550" s="705">
        <f>SUMIF('Duplicate Disposition'!$C:$C,$C550,'Duplicate Disposition'!AL:AL)</f>
        <v>0</v>
      </c>
      <c r="AM550" s="734">
        <f t="shared" si="32"/>
        <v>4258.3599999999997</v>
      </c>
      <c r="AN550" s="735">
        <f>ERP_27[[#This Row],[2026 Working Total]]-ERP_27[[#This Row],[LE2 Final Submission]]</f>
        <v>773.61999999999944</v>
      </c>
      <c r="AO550" s="705">
        <f>SUMIF('Duplicate Disposition'!$C:$C,$C550,'Duplicate Disposition'!AO:AO)</f>
        <v>0</v>
      </c>
      <c r="AP550" s="705">
        <f>SUMIF('Duplicate Disposition'!$C:$C,$C550,'Duplicate Disposition'!AP:AP)</f>
        <v>91.56</v>
      </c>
      <c r="AQ550" s="713">
        <f>SUMIF('Duplicate Disposition'!$C:$C,$C550,'Duplicate Disposition'!AQ:AQ)</f>
        <v>773.61999999999989</v>
      </c>
      <c r="AR550" s="713">
        <f>SUMIF('Duplicate Disposition'!$C:$C,$C550,'Duplicate Disposition'!AR:AR)</f>
        <v>0</v>
      </c>
      <c r="AS550" s="713">
        <f>SUMIF('Duplicate Disposition'!$C:$C,$C550,'Duplicate Disposition'!AS:AS)</f>
        <v>773.61999999999989</v>
      </c>
      <c r="AT550" s="713">
        <f>SUMIF('Duplicate Disposition'!$C:$C,$C550,'Duplicate Disposition'!AT:AT)</f>
        <v>0</v>
      </c>
      <c r="AU550" s="705">
        <f>SUMIF('Duplicate Disposition'!$C:$C,$C550,'Duplicate Disposition'!AU:AU)</f>
        <v>0</v>
      </c>
      <c r="AV550" s="705">
        <f>SUMIF('Duplicate Disposition'!$C:$C,$C550,'Duplicate Disposition'!AV:AV)</f>
        <v>2116.94</v>
      </c>
      <c r="AW550" s="705">
        <f>SUMIF('Duplicate Disposition'!$C:$C,$C550,'Duplicate Disposition'!AW:AW)</f>
        <v>1367.8</v>
      </c>
      <c r="AX550" s="705">
        <f>SUMIF('Duplicate Disposition'!$C:$C,$C550,'Duplicate Disposition'!AX:AX)</f>
        <v>0</v>
      </c>
      <c r="AY550" s="705">
        <f>SUMIF('Duplicate Disposition'!$C:$C,$C550,'Duplicate Disposition'!AY:AY)</f>
        <v>0</v>
      </c>
      <c r="AZ550" s="705">
        <f>SUMIF('Duplicate Disposition'!$C:$C,$C550,'Duplicate Disposition'!AZ:AZ)</f>
        <v>0</v>
      </c>
      <c r="BA550" s="705">
        <f>SUMIF('Duplicate Disposition'!$C:$C,$C550,'Duplicate Disposition'!BA:BA)</f>
        <v>0</v>
      </c>
      <c r="BB550" s="705">
        <f>SUMIF('Duplicate Disposition'!$C:$C,$C550,'Duplicate Disposition'!BB:BB)</f>
        <v>0</v>
      </c>
      <c r="BC550" s="705">
        <f>SUMIF('Duplicate Disposition'!$C:$C,$C550,'Duplicate Disposition'!BC:BC)</f>
        <v>0</v>
      </c>
      <c r="BD550" s="705">
        <f>SUMIF('Duplicate Disposition'!$C:$C,$C550,'Duplicate Disposition'!BD:BD)</f>
        <v>0</v>
      </c>
      <c r="BE550" s="705">
        <f>SUMIF('Duplicate Disposition'!$C:$C,$C550,'Duplicate Disposition'!BE:BE)</f>
        <v>0</v>
      </c>
      <c r="BF550" s="705">
        <f>SUMIF('Duplicate Disposition'!$C:$C,$C550,'Duplicate Disposition'!BF:BF)</f>
        <v>0</v>
      </c>
      <c r="BG550" s="705">
        <f>SUMIF('Duplicate Disposition'!$C:$C,$C550,'Duplicate Disposition'!BG:BG)</f>
        <v>3484.7400000000002</v>
      </c>
      <c r="BH550" s="705">
        <f>SUMIF('Duplicate Disposition'!$C:$C,$C550,'Duplicate Disposition'!BH:BH)</f>
        <v>0</v>
      </c>
      <c r="BI550" s="705">
        <f>SUMIF('Duplicate Disposition'!$C:$C,$C550,'Duplicate Disposition'!BI:BI)</f>
        <v>2116.94</v>
      </c>
      <c r="BJ550" s="705">
        <f>SUMIF('Duplicate Disposition'!$C:$C,$C550,'Duplicate Disposition'!BJ:BJ)</f>
        <v>1367.8</v>
      </c>
      <c r="BK550" s="705">
        <f>SUMIF('Duplicate Disposition'!$C:$C,$C550,'Duplicate Disposition'!BK:BK)</f>
        <v>0</v>
      </c>
      <c r="BL550" s="705">
        <f>SUMIF('Duplicate Disposition'!$C:$C,$C550,'Duplicate Disposition'!BL:BL)</f>
        <v>0</v>
      </c>
      <c r="BM550" s="705">
        <f>SUMIF('Duplicate Disposition'!$C:$C,$C550,'Duplicate Disposition'!BM:BM)</f>
        <v>0</v>
      </c>
      <c r="BN550" s="705">
        <f>SUMIF('Duplicate Disposition'!$C:$C,$C550,'Duplicate Disposition'!BN:BN)</f>
        <v>0</v>
      </c>
      <c r="BO550" s="705">
        <f>SUMIF('Duplicate Disposition'!$C:$C,$C550,'Duplicate Disposition'!BO:BO)</f>
        <v>0</v>
      </c>
      <c r="BP550" s="705">
        <f>SUMIF('Duplicate Disposition'!$C:$C,$C550,'Duplicate Disposition'!BP:BP)</f>
        <v>0</v>
      </c>
      <c r="BQ550" s="705">
        <f>SUMIF('Duplicate Disposition'!$C:$C,$C550,'Duplicate Disposition'!BQ:BQ)</f>
        <v>0</v>
      </c>
      <c r="BR550" s="705">
        <f>SUMIF('Duplicate Disposition'!$C:$C,$C550,'Duplicate Disposition'!BR:BR)</f>
        <v>0</v>
      </c>
      <c r="BS550" s="705">
        <f>SUMIF('Duplicate Disposition'!$C:$C,$C550,'Duplicate Disposition'!BS:BS)</f>
        <v>0</v>
      </c>
      <c r="BT550" s="705">
        <f>SUMIF('Duplicate Disposition'!$C:$C,$C550,'Duplicate Disposition'!BT:BT)</f>
        <v>3484.7400000000002</v>
      </c>
    </row>
    <row r="551" spans="1:72" ht="15" hidden="1" customHeight="1">
      <c r="A551" s="215" t="s">
        <v>1833</v>
      </c>
      <c r="B551" s="725" t="s">
        <v>2944</v>
      </c>
      <c r="C551" s="215" t="s">
        <v>435</v>
      </c>
      <c r="D551" s="215" t="s">
        <v>1834</v>
      </c>
      <c r="E551" s="513" t="s">
        <v>1136</v>
      </c>
      <c r="F551" s="726" t="s">
        <v>1566</v>
      </c>
      <c r="G551" s="513" t="s">
        <v>1135</v>
      </c>
      <c r="H551" s="727" t="s">
        <v>1156</v>
      </c>
      <c r="I551" s="727" t="s">
        <v>1135</v>
      </c>
      <c r="J551" s="727" t="s">
        <v>1156</v>
      </c>
      <c r="K551" s="727" t="s">
        <v>1137</v>
      </c>
      <c r="L551" s="516" t="s">
        <v>389</v>
      </c>
      <c r="M551" s="728" t="s">
        <v>1835</v>
      </c>
      <c r="N551" s="729"/>
      <c r="O551" s="730"/>
      <c r="P551" s="731" t="s">
        <v>436</v>
      </c>
      <c r="Q551" s="732"/>
      <c r="R551" s="729"/>
      <c r="S551" s="732"/>
      <c r="T551" s="727" t="s">
        <v>57</v>
      </c>
      <c r="U551" s="733" t="s">
        <v>2912</v>
      </c>
      <c r="V551" s="704"/>
      <c r="W551" s="705">
        <f>SUMIF('Duplicate Disposition'!$C:$C,$C551,'Duplicate Disposition'!W:W)</f>
        <v>4558</v>
      </c>
      <c r="X551" s="705">
        <f>SUMIF('Duplicate Disposition'!$C:$C,$C551,'Duplicate Disposition'!X:X)</f>
        <v>4769.66</v>
      </c>
      <c r="Y551" s="705">
        <f>SUMIF('Duplicate Disposition'!$C:$C,$C551,'Duplicate Disposition'!Y:Y)</f>
        <v>0</v>
      </c>
      <c r="Z551" s="705">
        <f>SUMIF('Duplicate Disposition'!$C:$C,$C551,'Duplicate Disposition'!Z:Z)</f>
        <v>0</v>
      </c>
      <c r="AA551" s="705">
        <f>SUMIF('Duplicate Disposition'!$C:$C,$C551,'Duplicate Disposition'!AA:AA)</f>
        <v>696.35</v>
      </c>
      <c r="AB551" s="705">
        <f>SUMIF('Duplicate Disposition'!$C:$C,$C551,'Duplicate Disposition'!AB:AB)</f>
        <v>599.02</v>
      </c>
      <c r="AC551" s="705">
        <f>SUMIF('Duplicate Disposition'!$C:$C,$C551,'Duplicate Disposition'!AC:AC)</f>
        <v>55.78</v>
      </c>
      <c r="AD551" s="705">
        <f>SUMIF('Duplicate Disposition'!$C:$C,$C551,'Duplicate Disposition'!AD:AD)</f>
        <v>27.89</v>
      </c>
      <c r="AE551" s="705">
        <f>SUMIF('Duplicate Disposition'!$C:$C,$C551,'Duplicate Disposition'!AE:AE)</f>
        <v>596.58999999999992</v>
      </c>
      <c r="AF551" s="705">
        <f>SUMIF('Duplicate Disposition'!$C:$C,$C551,'Duplicate Disposition'!AF:AF)</f>
        <v>549.04999999999995</v>
      </c>
      <c r="AG551" s="705">
        <f>SUMIF('Duplicate Disposition'!$C:$C,$C551,'Duplicate Disposition'!AG:AG)</f>
        <v>379.83</v>
      </c>
      <c r="AH551" s="705">
        <f>SUMIF('Duplicate Disposition'!$C:$C,$C551,'Duplicate Disposition'!AH:AH)</f>
        <v>379.83</v>
      </c>
      <c r="AI551" s="705">
        <f>SUMIF('Duplicate Disposition'!$C:$C,$C551,'Duplicate Disposition'!AI:AI)</f>
        <v>379.83</v>
      </c>
      <c r="AJ551" s="705">
        <f>SUMIF('Duplicate Disposition'!$C:$C,$C551,'Duplicate Disposition'!AJ:AJ)</f>
        <v>379.83</v>
      </c>
      <c r="AK551" s="705">
        <f>SUMIF('Duplicate Disposition'!$C:$C,$C551,'Duplicate Disposition'!AK:AK)</f>
        <v>379.83</v>
      </c>
      <c r="AL551" s="705">
        <f>SUMIF('Duplicate Disposition'!$C:$C,$C551,'Duplicate Disposition'!AL:AL)</f>
        <v>379.87</v>
      </c>
      <c r="AM551" s="734">
        <f t="shared" si="32"/>
        <v>4803.7</v>
      </c>
      <c r="AN551" s="735">
        <f>ERP_27[[#This Row],[2026 Working Total]]-ERP_27[[#This Row],[LE2 Final Submission]]</f>
        <v>34.039999999999964</v>
      </c>
      <c r="AO551" s="705">
        <f>SUMIF('Duplicate Disposition'!$C:$C,$C551,'Duplicate Disposition'!AO:AO)</f>
        <v>379.83</v>
      </c>
      <c r="AP551" s="705">
        <f>SUMIF('Duplicate Disposition'!$C:$C,$C551,'Duplicate Disposition'!AP:AP)</f>
        <v>169.21999999999997</v>
      </c>
      <c r="AQ551" s="713">
        <f>SUMIF('Duplicate Disposition'!$C:$C,$C551,'Duplicate Disposition'!AQ:AQ)</f>
        <v>34.039999999999964</v>
      </c>
      <c r="AR551" s="713">
        <f>SUMIF('Duplicate Disposition'!$C:$C,$C551,'Duplicate Disposition'!AR:AR)</f>
        <v>0</v>
      </c>
      <c r="AS551" s="713">
        <f>SUMIF('Duplicate Disposition'!$C:$C,$C551,'Duplicate Disposition'!AS:AS)</f>
        <v>34.040000000000191</v>
      </c>
      <c r="AT551" s="713">
        <f>SUMIF('Duplicate Disposition'!$C:$C,$C551,'Duplicate Disposition'!AT:AT)</f>
        <v>0</v>
      </c>
      <c r="AU551" s="705">
        <f>SUMIF('Duplicate Disposition'!$C:$C,$C551,'Duplicate Disposition'!AU:AU)</f>
        <v>696.35</v>
      </c>
      <c r="AV551" s="705">
        <f>SUMIF('Duplicate Disposition'!$C:$C,$C551,'Duplicate Disposition'!AV:AV)</f>
        <v>599.02</v>
      </c>
      <c r="AW551" s="705">
        <f>SUMIF('Duplicate Disposition'!$C:$C,$C551,'Duplicate Disposition'!AW:AW)</f>
        <v>55.78</v>
      </c>
      <c r="AX551" s="705">
        <f>SUMIF('Duplicate Disposition'!$C:$C,$C551,'Duplicate Disposition'!AX:AX)</f>
        <v>379.83</v>
      </c>
      <c r="AY551" s="705">
        <f>SUMIF('Duplicate Disposition'!$C:$C,$C551,'Duplicate Disposition'!AY:AY)</f>
        <v>379.83</v>
      </c>
      <c r="AZ551" s="705">
        <f>SUMIF('Duplicate Disposition'!$C:$C,$C551,'Duplicate Disposition'!AZ:AZ)</f>
        <v>379.83</v>
      </c>
      <c r="BA551" s="705">
        <f>SUMIF('Duplicate Disposition'!$C:$C,$C551,'Duplicate Disposition'!BA:BA)</f>
        <v>379.83</v>
      </c>
      <c r="BB551" s="705">
        <f>SUMIF('Duplicate Disposition'!$C:$C,$C551,'Duplicate Disposition'!BB:BB)</f>
        <v>379.83</v>
      </c>
      <c r="BC551" s="705">
        <f>SUMIF('Duplicate Disposition'!$C:$C,$C551,'Duplicate Disposition'!BC:BC)</f>
        <v>379.83</v>
      </c>
      <c r="BD551" s="705">
        <f>SUMIF('Duplicate Disposition'!$C:$C,$C551,'Duplicate Disposition'!BD:BD)</f>
        <v>379.83</v>
      </c>
      <c r="BE551" s="705">
        <f>SUMIF('Duplicate Disposition'!$C:$C,$C551,'Duplicate Disposition'!BE:BE)</f>
        <v>379.83</v>
      </c>
      <c r="BF551" s="705">
        <f>SUMIF('Duplicate Disposition'!$C:$C,$C551,'Duplicate Disposition'!BF:BF)</f>
        <v>379.87</v>
      </c>
      <c r="BG551" s="705">
        <f>SUMIF('Duplicate Disposition'!$C:$C,$C551,'Duplicate Disposition'!BG:BG)</f>
        <v>4769.66</v>
      </c>
      <c r="BH551" s="705">
        <f>SUMIF('Duplicate Disposition'!$C:$C,$C551,'Duplicate Disposition'!BH:BH)</f>
        <v>696.35</v>
      </c>
      <c r="BI551" s="705">
        <f>SUMIF('Duplicate Disposition'!$C:$C,$C551,'Duplicate Disposition'!BI:BI)</f>
        <v>599.02</v>
      </c>
      <c r="BJ551" s="705">
        <f>SUMIF('Duplicate Disposition'!$C:$C,$C551,'Duplicate Disposition'!BJ:BJ)</f>
        <v>55.78</v>
      </c>
      <c r="BK551" s="705">
        <f>SUMIF('Duplicate Disposition'!$C:$C,$C551,'Duplicate Disposition'!BK:BK)</f>
        <v>979.82999999999993</v>
      </c>
      <c r="BL551" s="705">
        <f>SUMIF('Duplicate Disposition'!$C:$C,$C551,'Duplicate Disposition'!BL:BL)</f>
        <v>979.82999999999993</v>
      </c>
      <c r="BM551" s="705">
        <f>SUMIF('Duplicate Disposition'!$C:$C,$C551,'Duplicate Disposition'!BM:BM)</f>
        <v>979.82999999999993</v>
      </c>
      <c r="BN551" s="705">
        <f>SUMIF('Duplicate Disposition'!$C:$C,$C551,'Duplicate Disposition'!BN:BN)</f>
        <v>979.82999999999993</v>
      </c>
      <c r="BO551" s="705">
        <f>SUMIF('Duplicate Disposition'!$C:$C,$C551,'Duplicate Disposition'!BO:BO)</f>
        <v>979.82999999999993</v>
      </c>
      <c r="BP551" s="705">
        <f>SUMIF('Duplicate Disposition'!$C:$C,$C551,'Duplicate Disposition'!BP:BP)</f>
        <v>979.82999999999993</v>
      </c>
      <c r="BQ551" s="705">
        <f>SUMIF('Duplicate Disposition'!$C:$C,$C551,'Duplicate Disposition'!BQ:BQ)</f>
        <v>979.82999999999993</v>
      </c>
      <c r="BR551" s="705">
        <f>SUMIF('Duplicate Disposition'!$C:$C,$C551,'Duplicate Disposition'!BR:BR)</f>
        <v>979.82999999999993</v>
      </c>
      <c r="BS551" s="705">
        <f>SUMIF('Duplicate Disposition'!$C:$C,$C551,'Duplicate Disposition'!BS:BS)</f>
        <v>979.87</v>
      </c>
      <c r="BT551" s="705">
        <f>SUMIF('Duplicate Disposition'!$C:$C,$C551,'Duplicate Disposition'!BT:BT)</f>
        <v>10169.66</v>
      </c>
    </row>
    <row r="552" spans="1:72" ht="15" hidden="1" customHeight="1">
      <c r="A552" s="215" t="s">
        <v>2131</v>
      </c>
      <c r="B552" s="725" t="s">
        <v>2944</v>
      </c>
      <c r="C552" s="215" t="s">
        <v>588</v>
      </c>
      <c r="D552" s="215" t="s">
        <v>2132</v>
      </c>
      <c r="E552" s="513" t="s">
        <v>1136</v>
      </c>
      <c r="F552" s="726" t="s">
        <v>1566</v>
      </c>
      <c r="G552" s="513" t="s">
        <v>1566</v>
      </c>
      <c r="H552" s="727" t="s">
        <v>1566</v>
      </c>
      <c r="I552" s="727" t="s">
        <v>1567</v>
      </c>
      <c r="J552" s="727" t="s">
        <v>1567</v>
      </c>
      <c r="K552" s="727" t="s">
        <v>1567</v>
      </c>
      <c r="L552" s="516" t="s">
        <v>389</v>
      </c>
      <c r="M552" s="728" t="s">
        <v>1327</v>
      </c>
      <c r="N552" s="729"/>
      <c r="O552" s="730"/>
      <c r="P552" s="731" t="s">
        <v>147</v>
      </c>
      <c r="Q552" s="732"/>
      <c r="R552" s="729"/>
      <c r="S552" s="732"/>
      <c r="T552" s="727" t="s">
        <v>25</v>
      </c>
      <c r="U552" s="733"/>
      <c r="V552" s="704"/>
      <c r="W552" s="705">
        <f>SUMIF('Duplicate Disposition'!$C:$C,$C552,'Duplicate Disposition'!W:W)</f>
        <v>0</v>
      </c>
      <c r="X552" s="705">
        <f>SUMIF('Duplicate Disposition'!$C:$C,$C552,'Duplicate Disposition'!X:X)</f>
        <v>509.98000000000025</v>
      </c>
      <c r="Y552" s="705">
        <f>SUMIF('Duplicate Disposition'!$C:$C,$C552,'Duplicate Disposition'!Y:Y)</f>
        <v>0</v>
      </c>
      <c r="Z552" s="705">
        <f>SUMIF('Duplicate Disposition'!$C:$C,$C552,'Duplicate Disposition'!Z:Z)</f>
        <v>0</v>
      </c>
      <c r="AA552" s="705">
        <f>SUMIF('Duplicate Disposition'!$C:$C,$C552,'Duplicate Disposition'!AA:AA)</f>
        <v>2948.67</v>
      </c>
      <c r="AB552" s="705">
        <f>SUMIF('Duplicate Disposition'!$C:$C,$C552,'Duplicate Disposition'!AB:AB)</f>
        <v>-733.99</v>
      </c>
      <c r="AC552" s="705">
        <f>SUMIF('Duplicate Disposition'!$C:$C,$C552,'Duplicate Disposition'!AC:AC)</f>
        <v>-1704.7</v>
      </c>
      <c r="AD552" s="705">
        <f>SUMIF('Duplicate Disposition'!$C:$C,$C552,'Duplicate Disposition'!AD:AD)</f>
        <v>1083.9799999999998</v>
      </c>
      <c r="AE552" s="705">
        <f>SUMIF('Duplicate Disposition'!$C:$C,$C552,'Duplicate Disposition'!AE:AE)</f>
        <v>2193.8599999999997</v>
      </c>
      <c r="AF552" s="705">
        <f>SUMIF('Duplicate Disposition'!$C:$C,$C552,'Duplicate Disposition'!AF:AF)</f>
        <v>3562.08</v>
      </c>
      <c r="AG552" s="705">
        <f>SUMIF('Duplicate Disposition'!$C:$C,$C552,'Duplicate Disposition'!AG:AG)</f>
        <v>0</v>
      </c>
      <c r="AH552" s="705">
        <f>SUMIF('Duplicate Disposition'!$C:$C,$C552,'Duplicate Disposition'!AH:AH)</f>
        <v>0</v>
      </c>
      <c r="AI552" s="705">
        <f>SUMIF('Duplicate Disposition'!$C:$C,$C552,'Duplicate Disposition'!AI:AI)</f>
        <v>0</v>
      </c>
      <c r="AJ552" s="705">
        <f>SUMIF('Duplicate Disposition'!$C:$C,$C552,'Duplicate Disposition'!AJ:AJ)</f>
        <v>0</v>
      </c>
      <c r="AK552" s="705">
        <f>SUMIF('Duplicate Disposition'!$C:$C,$C552,'Duplicate Disposition'!AK:AK)</f>
        <v>0</v>
      </c>
      <c r="AL552" s="705">
        <f>SUMIF('Duplicate Disposition'!$C:$C,$C552,'Duplicate Disposition'!AL:AL)</f>
        <v>0</v>
      </c>
      <c r="AM552" s="734">
        <f t="shared" si="32"/>
        <v>7349.9</v>
      </c>
      <c r="AN552" s="735">
        <f>ERP_27[[#This Row],[2026 Working Total]]-ERP_27[[#This Row],[LE2 Final Submission]]</f>
        <v>6839.9199999999992</v>
      </c>
      <c r="AO552" s="705">
        <f>SUMIF('Duplicate Disposition'!$C:$C,$C552,'Duplicate Disposition'!AO:AO)</f>
        <v>0</v>
      </c>
      <c r="AP552" s="705">
        <f>SUMIF('Duplicate Disposition'!$C:$C,$C552,'Duplicate Disposition'!AP:AP)</f>
        <v>3562.08</v>
      </c>
      <c r="AQ552" s="713">
        <f>SUMIF('Duplicate Disposition'!$C:$C,$C552,'Duplicate Disposition'!AQ:AQ)</f>
        <v>6839.92</v>
      </c>
      <c r="AR552" s="713">
        <f>SUMIF('Duplicate Disposition'!$C:$C,$C552,'Duplicate Disposition'!AR:AR)</f>
        <v>0</v>
      </c>
      <c r="AS552" s="713">
        <f>SUMIF('Duplicate Disposition'!$C:$C,$C552,'Duplicate Disposition'!AS:AS)</f>
        <v>6839.92</v>
      </c>
      <c r="AT552" s="713">
        <f>SUMIF('Duplicate Disposition'!$C:$C,$C552,'Duplicate Disposition'!AT:AT)</f>
        <v>0</v>
      </c>
      <c r="AU552" s="705">
        <f>SUMIF('Duplicate Disposition'!$C:$C,$C552,'Duplicate Disposition'!AU:AU)</f>
        <v>2948.67</v>
      </c>
      <c r="AV552" s="705">
        <f>SUMIF('Duplicate Disposition'!$C:$C,$C552,'Duplicate Disposition'!AV:AV)</f>
        <v>-733.99</v>
      </c>
      <c r="AW552" s="705">
        <f>SUMIF('Duplicate Disposition'!$C:$C,$C552,'Duplicate Disposition'!AW:AW)</f>
        <v>-1704.7</v>
      </c>
      <c r="AX552" s="705">
        <f>SUMIF('Duplicate Disposition'!$C:$C,$C552,'Duplicate Disposition'!AX:AX)</f>
        <v>0</v>
      </c>
      <c r="AY552" s="705">
        <f>SUMIF('Duplicate Disposition'!$C:$C,$C552,'Duplicate Disposition'!AY:AY)</f>
        <v>0</v>
      </c>
      <c r="AZ552" s="705">
        <f>SUMIF('Duplicate Disposition'!$C:$C,$C552,'Duplicate Disposition'!AZ:AZ)</f>
        <v>0</v>
      </c>
      <c r="BA552" s="705">
        <f>SUMIF('Duplicate Disposition'!$C:$C,$C552,'Duplicate Disposition'!BA:BA)</f>
        <v>0</v>
      </c>
      <c r="BB552" s="705">
        <f>SUMIF('Duplicate Disposition'!$C:$C,$C552,'Duplicate Disposition'!BB:BB)</f>
        <v>0</v>
      </c>
      <c r="BC552" s="705">
        <f>SUMIF('Duplicate Disposition'!$C:$C,$C552,'Duplicate Disposition'!BC:BC)</f>
        <v>0</v>
      </c>
      <c r="BD552" s="705">
        <f>SUMIF('Duplicate Disposition'!$C:$C,$C552,'Duplicate Disposition'!BD:BD)</f>
        <v>0</v>
      </c>
      <c r="BE552" s="705">
        <f>SUMIF('Duplicate Disposition'!$C:$C,$C552,'Duplicate Disposition'!BE:BE)</f>
        <v>0</v>
      </c>
      <c r="BF552" s="705">
        <f>SUMIF('Duplicate Disposition'!$C:$C,$C552,'Duplicate Disposition'!BF:BF)</f>
        <v>0</v>
      </c>
      <c r="BG552" s="705">
        <f>SUMIF('Duplicate Disposition'!$C:$C,$C552,'Duplicate Disposition'!BG:BG)</f>
        <v>509.98000000000025</v>
      </c>
      <c r="BH552" s="705">
        <f>SUMIF('Duplicate Disposition'!$C:$C,$C552,'Duplicate Disposition'!BH:BH)</f>
        <v>2948.67</v>
      </c>
      <c r="BI552" s="705">
        <f>SUMIF('Duplicate Disposition'!$C:$C,$C552,'Duplicate Disposition'!BI:BI)</f>
        <v>-733.99</v>
      </c>
      <c r="BJ552" s="705">
        <f>SUMIF('Duplicate Disposition'!$C:$C,$C552,'Duplicate Disposition'!BJ:BJ)</f>
        <v>-1704.7</v>
      </c>
      <c r="BK552" s="705">
        <f>SUMIF('Duplicate Disposition'!$C:$C,$C552,'Duplicate Disposition'!BK:BK)</f>
        <v>0</v>
      </c>
      <c r="BL552" s="705">
        <f>SUMIF('Duplicate Disposition'!$C:$C,$C552,'Duplicate Disposition'!BL:BL)</f>
        <v>0</v>
      </c>
      <c r="BM552" s="705">
        <f>SUMIF('Duplicate Disposition'!$C:$C,$C552,'Duplicate Disposition'!BM:BM)</f>
        <v>0</v>
      </c>
      <c r="BN552" s="705">
        <f>SUMIF('Duplicate Disposition'!$C:$C,$C552,'Duplicate Disposition'!BN:BN)</f>
        <v>0</v>
      </c>
      <c r="BO552" s="705">
        <f>SUMIF('Duplicate Disposition'!$C:$C,$C552,'Duplicate Disposition'!BO:BO)</f>
        <v>0</v>
      </c>
      <c r="BP552" s="705">
        <f>SUMIF('Duplicate Disposition'!$C:$C,$C552,'Duplicate Disposition'!BP:BP)</f>
        <v>0</v>
      </c>
      <c r="BQ552" s="705">
        <f>SUMIF('Duplicate Disposition'!$C:$C,$C552,'Duplicate Disposition'!BQ:BQ)</f>
        <v>0</v>
      </c>
      <c r="BR552" s="705">
        <f>SUMIF('Duplicate Disposition'!$C:$C,$C552,'Duplicate Disposition'!BR:BR)</f>
        <v>0</v>
      </c>
      <c r="BS552" s="705">
        <f>SUMIF('Duplicate Disposition'!$C:$C,$C552,'Duplicate Disposition'!BS:BS)</f>
        <v>0</v>
      </c>
      <c r="BT552" s="705">
        <f>SUMIF('Duplicate Disposition'!$C:$C,$C552,'Duplicate Disposition'!BT:BT)</f>
        <v>509.98000000000025</v>
      </c>
    </row>
    <row r="553" spans="1:72" ht="15" hidden="1" customHeight="1">
      <c r="A553" s="727" t="s">
        <v>2197</v>
      </c>
      <c r="B553" s="738" t="s">
        <v>2944</v>
      </c>
      <c r="C553" s="739" t="s">
        <v>634</v>
      </c>
      <c r="D553" s="330" t="s">
        <v>2198</v>
      </c>
      <c r="E553" s="513" t="s">
        <v>1136</v>
      </c>
      <c r="F553" s="726" t="s">
        <v>1566</v>
      </c>
      <c r="G553" s="513" t="s">
        <v>1566</v>
      </c>
      <c r="H553" s="727" t="s">
        <v>1566</v>
      </c>
      <c r="I553" s="518" t="s">
        <v>1567</v>
      </c>
      <c r="J553" s="518" t="s">
        <v>1567</v>
      </c>
      <c r="K553" s="603" t="s">
        <v>1567</v>
      </c>
      <c r="L553" s="518" t="s">
        <v>629</v>
      </c>
      <c r="M553" s="740" t="s">
        <v>1327</v>
      </c>
      <c r="N553" s="741"/>
      <c r="O553" s="518" t="s">
        <v>1593</v>
      </c>
      <c r="P553" s="742" t="s">
        <v>147</v>
      </c>
      <c r="Q553" s="743"/>
      <c r="R553" s="744"/>
      <c r="S553" s="745"/>
      <c r="T553" s="745"/>
      <c r="U553" s="746"/>
      <c r="V553" s="358"/>
      <c r="W553" s="705">
        <f>SUMIF('Duplicate Disposition'!$C:$C,$C553,'Duplicate Disposition'!W:W)</f>
        <v>0</v>
      </c>
      <c r="X553" s="705">
        <f>SUMIF('Duplicate Disposition'!$C:$C,$C553,'Duplicate Disposition'!X:X)</f>
        <v>7191.02</v>
      </c>
      <c r="Y553" s="705">
        <f>SUMIF('Duplicate Disposition'!$C:$C,$C553,'Duplicate Disposition'!Y:Y)</f>
        <v>0</v>
      </c>
      <c r="Z553" s="705">
        <f>SUMIF('Duplicate Disposition'!$C:$C,$C553,'Duplicate Disposition'!Z:Z)</f>
        <v>0</v>
      </c>
      <c r="AA553" s="705">
        <f>SUMIF('Duplicate Disposition'!$C:$C,$C553,'Duplicate Disposition'!AA:AA)</f>
        <v>843.69</v>
      </c>
      <c r="AB553" s="705">
        <f>SUMIF('Duplicate Disposition'!$C:$C,$C553,'Duplicate Disposition'!AB:AB)</f>
        <v>4879.99</v>
      </c>
      <c r="AC553" s="705">
        <f>SUMIF('Duplicate Disposition'!$C:$C,$C553,'Duplicate Disposition'!AC:AC)</f>
        <v>1467.34</v>
      </c>
      <c r="AD553" s="705">
        <f>SUMIF('Duplicate Disposition'!$C:$C,$C553,'Duplicate Disposition'!AD:AD)</f>
        <v>0</v>
      </c>
      <c r="AE553" s="705">
        <f>SUMIF('Duplicate Disposition'!$C:$C,$C553,'Duplicate Disposition'!AE:AE)</f>
        <v>0</v>
      </c>
      <c r="AF553" s="705">
        <f>SUMIF('Duplicate Disposition'!$C:$C,$C553,'Duplicate Disposition'!AF:AF)</f>
        <v>237.8</v>
      </c>
      <c r="AG553" s="705">
        <f>SUMIF('Duplicate Disposition'!$C:$C,$C553,'Duplicate Disposition'!AG:AG)</f>
        <v>0</v>
      </c>
      <c r="AH553" s="705">
        <f>SUMIF('Duplicate Disposition'!$C:$C,$C553,'Duplicate Disposition'!AH:AH)</f>
        <v>0</v>
      </c>
      <c r="AI553" s="705">
        <f>SUMIF('Duplicate Disposition'!$C:$C,$C553,'Duplicate Disposition'!AI:AI)</f>
        <v>0</v>
      </c>
      <c r="AJ553" s="705">
        <f>SUMIF('Duplicate Disposition'!$C:$C,$C553,'Duplicate Disposition'!AJ:AJ)</f>
        <v>0</v>
      </c>
      <c r="AK553" s="705">
        <f>SUMIF('Duplicate Disposition'!$C:$C,$C553,'Duplicate Disposition'!AK:AK)</f>
        <v>0</v>
      </c>
      <c r="AL553" s="705">
        <f>SUMIF('Duplicate Disposition'!$C:$C,$C553,'Duplicate Disposition'!AL:AL)</f>
        <v>0</v>
      </c>
      <c r="AM553" s="734">
        <f t="shared" si="32"/>
        <v>7428.8200000000006</v>
      </c>
      <c r="AN553" s="735">
        <f>ERP_27[[#This Row],[2026 Working Total]]-ERP_27[[#This Row],[LE2 Final Submission]]</f>
        <v>237.80000000000018</v>
      </c>
      <c r="AO553" s="705">
        <f>SUMIF('Duplicate Disposition'!$C:$C,$C553,'Duplicate Disposition'!AO:AO)</f>
        <v>0</v>
      </c>
      <c r="AP553" s="705">
        <f>SUMIF('Duplicate Disposition'!$C:$C,$C553,'Duplicate Disposition'!AP:AP)</f>
        <v>237.8</v>
      </c>
      <c r="AQ553" s="713">
        <f>SUMIF('Duplicate Disposition'!$C:$C,$C553,'Duplicate Disposition'!AQ:AQ)</f>
        <v>237.80000000000018</v>
      </c>
      <c r="AR553" s="713">
        <f>SUMIF('Duplicate Disposition'!$C:$C,$C553,'Duplicate Disposition'!AR:AR)</f>
        <v>0</v>
      </c>
      <c r="AS553" s="713">
        <f>SUMIF('Duplicate Disposition'!$C:$C,$C553,'Duplicate Disposition'!AS:AS)</f>
        <v>237.80000000000018</v>
      </c>
      <c r="AT553" s="713">
        <f>SUMIF('Duplicate Disposition'!$C:$C,$C553,'Duplicate Disposition'!AT:AT)</f>
        <v>0</v>
      </c>
      <c r="AU553" s="705">
        <f>SUMIF('Duplicate Disposition'!$C:$C,$C553,'Duplicate Disposition'!AU:AU)</f>
        <v>843.69</v>
      </c>
      <c r="AV553" s="705">
        <f>SUMIF('Duplicate Disposition'!$C:$C,$C553,'Duplicate Disposition'!AV:AV)</f>
        <v>4879.99</v>
      </c>
      <c r="AW553" s="705">
        <f>SUMIF('Duplicate Disposition'!$C:$C,$C553,'Duplicate Disposition'!AW:AW)</f>
        <v>1467.34</v>
      </c>
      <c r="AX553" s="705">
        <f>SUMIF('Duplicate Disposition'!$C:$C,$C553,'Duplicate Disposition'!AX:AX)</f>
        <v>0</v>
      </c>
      <c r="AY553" s="705">
        <f>SUMIF('Duplicate Disposition'!$C:$C,$C553,'Duplicate Disposition'!AY:AY)</f>
        <v>0</v>
      </c>
      <c r="AZ553" s="705">
        <f>SUMIF('Duplicate Disposition'!$C:$C,$C553,'Duplicate Disposition'!AZ:AZ)</f>
        <v>0</v>
      </c>
      <c r="BA553" s="705">
        <f>SUMIF('Duplicate Disposition'!$C:$C,$C553,'Duplicate Disposition'!BA:BA)</f>
        <v>0</v>
      </c>
      <c r="BB553" s="705">
        <f>SUMIF('Duplicate Disposition'!$C:$C,$C553,'Duplicate Disposition'!BB:BB)</f>
        <v>0</v>
      </c>
      <c r="BC553" s="705">
        <f>SUMIF('Duplicate Disposition'!$C:$C,$C553,'Duplicate Disposition'!BC:BC)</f>
        <v>0</v>
      </c>
      <c r="BD553" s="705">
        <f>SUMIF('Duplicate Disposition'!$C:$C,$C553,'Duplicate Disposition'!BD:BD)</f>
        <v>0</v>
      </c>
      <c r="BE553" s="705">
        <f>SUMIF('Duplicate Disposition'!$C:$C,$C553,'Duplicate Disposition'!BE:BE)</f>
        <v>0</v>
      </c>
      <c r="BF553" s="705">
        <f>SUMIF('Duplicate Disposition'!$C:$C,$C553,'Duplicate Disposition'!BF:BF)</f>
        <v>0</v>
      </c>
      <c r="BG553" s="705">
        <f>SUMIF('Duplicate Disposition'!$C:$C,$C553,'Duplicate Disposition'!BG:BG)</f>
        <v>7191.02</v>
      </c>
      <c r="BH553" s="705">
        <f>SUMIF('Duplicate Disposition'!$C:$C,$C553,'Duplicate Disposition'!BH:BH)</f>
        <v>843.69</v>
      </c>
      <c r="BI553" s="705">
        <f>SUMIF('Duplicate Disposition'!$C:$C,$C553,'Duplicate Disposition'!BI:BI)</f>
        <v>4879.99</v>
      </c>
      <c r="BJ553" s="705">
        <f>SUMIF('Duplicate Disposition'!$C:$C,$C553,'Duplicate Disposition'!BJ:BJ)</f>
        <v>1467.34</v>
      </c>
      <c r="BK553" s="705">
        <f>SUMIF('Duplicate Disposition'!$C:$C,$C553,'Duplicate Disposition'!BK:BK)</f>
        <v>0</v>
      </c>
      <c r="BL553" s="705">
        <f>SUMIF('Duplicate Disposition'!$C:$C,$C553,'Duplicate Disposition'!BL:BL)</f>
        <v>0</v>
      </c>
      <c r="BM553" s="705">
        <f>SUMIF('Duplicate Disposition'!$C:$C,$C553,'Duplicate Disposition'!BM:BM)</f>
        <v>0</v>
      </c>
      <c r="BN553" s="705">
        <f>SUMIF('Duplicate Disposition'!$C:$C,$C553,'Duplicate Disposition'!BN:BN)</f>
        <v>0</v>
      </c>
      <c r="BO553" s="705">
        <f>SUMIF('Duplicate Disposition'!$C:$C,$C553,'Duplicate Disposition'!BO:BO)</f>
        <v>0</v>
      </c>
      <c r="BP553" s="705">
        <f>SUMIF('Duplicate Disposition'!$C:$C,$C553,'Duplicate Disposition'!BP:BP)</f>
        <v>0</v>
      </c>
      <c r="BQ553" s="705">
        <f>SUMIF('Duplicate Disposition'!$C:$C,$C553,'Duplicate Disposition'!BQ:BQ)</f>
        <v>0</v>
      </c>
      <c r="BR553" s="705">
        <f>SUMIF('Duplicate Disposition'!$C:$C,$C553,'Duplicate Disposition'!BR:BR)</f>
        <v>0</v>
      </c>
      <c r="BS553" s="705">
        <f>SUMIF('Duplicate Disposition'!$C:$C,$C553,'Duplicate Disposition'!BS:BS)</f>
        <v>0</v>
      </c>
      <c r="BT553" s="705">
        <f>SUMIF('Duplicate Disposition'!$C:$C,$C553,'Duplicate Disposition'!BT:BT)</f>
        <v>7191.02</v>
      </c>
    </row>
    <row r="554" spans="1:72" ht="15" hidden="1" customHeight="1">
      <c r="A554" s="215" t="s">
        <v>2792</v>
      </c>
      <c r="B554" s="725" t="s">
        <v>2944</v>
      </c>
      <c r="C554" s="215" t="s">
        <v>1006</v>
      </c>
      <c r="D554" s="215" t="s">
        <v>2793</v>
      </c>
      <c r="E554" s="513" t="s">
        <v>1136</v>
      </c>
      <c r="F554" s="726" t="s">
        <v>1566</v>
      </c>
      <c r="G554" s="726" t="s">
        <v>1566</v>
      </c>
      <c r="H554" s="748" t="s">
        <v>1566</v>
      </c>
      <c r="I554" s="727" t="s">
        <v>1345</v>
      </c>
      <c r="J554" s="727" t="s">
        <v>1346</v>
      </c>
      <c r="K554" s="727" t="s">
        <v>1346</v>
      </c>
      <c r="L554" s="516" t="s">
        <v>639</v>
      </c>
      <c r="M554" s="728" t="s">
        <v>818</v>
      </c>
      <c r="N554" s="729"/>
      <c r="O554" s="730"/>
      <c r="P554" s="731" t="s">
        <v>817</v>
      </c>
      <c r="Q554" s="732"/>
      <c r="R554" s="737" t="s">
        <v>1140</v>
      </c>
      <c r="S554" s="732"/>
      <c r="T554" s="727" t="s">
        <v>818</v>
      </c>
      <c r="U554" s="733"/>
      <c r="V554" s="704"/>
      <c r="W554" s="705">
        <f>SUMIF('Duplicate Disposition'!$C:$C,$C554,'Duplicate Disposition'!W:W)</f>
        <v>0</v>
      </c>
      <c r="X554" s="705">
        <f>SUMIF('Duplicate Disposition'!$C:$C,$C554,'Duplicate Disposition'!X:X)</f>
        <v>3981.53</v>
      </c>
      <c r="Y554" s="705">
        <f>SUMIF('Duplicate Disposition'!$C:$C,$C554,'Duplicate Disposition'!Y:Y)</f>
        <v>0</v>
      </c>
      <c r="Z554" s="705">
        <f>SUMIF('Duplicate Disposition'!$C:$C,$C554,'Duplicate Disposition'!Z:Z)</f>
        <v>0</v>
      </c>
      <c r="AA554" s="705">
        <f>SUMIF('Duplicate Disposition'!$C:$C,$C554,'Duplicate Disposition'!AA:AA)</f>
        <v>0</v>
      </c>
      <c r="AB554" s="705">
        <f>SUMIF('Duplicate Disposition'!$C:$C,$C554,'Duplicate Disposition'!AB:AB)</f>
        <v>0</v>
      </c>
      <c r="AC554" s="705">
        <f>SUMIF('Duplicate Disposition'!$C:$C,$C554,'Duplicate Disposition'!AC:AC)</f>
        <v>3981.53</v>
      </c>
      <c r="AD554" s="705">
        <f>SUMIF('Duplicate Disposition'!$C:$C,$C554,'Duplicate Disposition'!AD:AD)</f>
        <v>174.65</v>
      </c>
      <c r="AE554" s="705">
        <f>SUMIF('Duplicate Disposition'!$C:$C,$C554,'Duplicate Disposition'!AE:AE)</f>
        <v>0</v>
      </c>
      <c r="AF554" s="705">
        <f>SUMIF('Duplicate Disposition'!$C:$C,$C554,'Duplicate Disposition'!AF:AF)</f>
        <v>3986.33</v>
      </c>
      <c r="AG554" s="705">
        <f>SUMIF('Duplicate Disposition'!$C:$C,$C554,'Duplicate Disposition'!AG:AG)</f>
        <v>0</v>
      </c>
      <c r="AH554" s="705">
        <f>SUMIF('Duplicate Disposition'!$C:$C,$C554,'Duplicate Disposition'!AH:AH)</f>
        <v>0</v>
      </c>
      <c r="AI554" s="705">
        <f>SUMIF('Duplicate Disposition'!$C:$C,$C554,'Duplicate Disposition'!AI:AI)</f>
        <v>0</v>
      </c>
      <c r="AJ554" s="705">
        <f>SUMIF('Duplicate Disposition'!$C:$C,$C554,'Duplicate Disposition'!AJ:AJ)</f>
        <v>0</v>
      </c>
      <c r="AK554" s="705">
        <f>SUMIF('Duplicate Disposition'!$C:$C,$C554,'Duplicate Disposition'!AK:AK)</f>
        <v>0</v>
      </c>
      <c r="AL554" s="705">
        <f>SUMIF('Duplicate Disposition'!$C:$C,$C554,'Duplicate Disposition'!AL:AL)</f>
        <v>0</v>
      </c>
      <c r="AM554" s="734">
        <f t="shared" si="32"/>
        <v>8142.51</v>
      </c>
      <c r="AN554" s="735">
        <f>ERP_27[[#This Row],[2026 Working Total]]-ERP_27[[#This Row],[LE2 Final Submission]]</f>
        <v>4160.9799999999996</v>
      </c>
      <c r="AO554" s="705">
        <f>SUMIF('Duplicate Disposition'!$C:$C,$C554,'Duplicate Disposition'!AO:AO)</f>
        <v>0</v>
      </c>
      <c r="AP554" s="705">
        <f>SUMIF('Duplicate Disposition'!$C:$C,$C554,'Duplicate Disposition'!AP:AP)</f>
        <v>3986.33</v>
      </c>
      <c r="AQ554" s="713">
        <f>SUMIF('Duplicate Disposition'!$C:$C,$C554,'Duplicate Disposition'!AQ:AQ)</f>
        <v>4160.9799999999996</v>
      </c>
      <c r="AR554" s="713">
        <f>SUMIF('Duplicate Disposition'!$C:$C,$C554,'Duplicate Disposition'!AR:AR)</f>
        <v>0</v>
      </c>
      <c r="AS554" s="713">
        <f>SUMIF('Duplicate Disposition'!$C:$C,$C554,'Duplicate Disposition'!AS:AS)</f>
        <v>4160.9799999999996</v>
      </c>
      <c r="AT554" s="713">
        <f>SUMIF('Duplicate Disposition'!$C:$C,$C554,'Duplicate Disposition'!AT:AT)</f>
        <v>0</v>
      </c>
      <c r="AU554" s="705">
        <f>SUMIF('Duplicate Disposition'!$C:$C,$C554,'Duplicate Disposition'!AU:AU)</f>
        <v>0</v>
      </c>
      <c r="AV554" s="705">
        <f>SUMIF('Duplicate Disposition'!$C:$C,$C554,'Duplicate Disposition'!AV:AV)</f>
        <v>0</v>
      </c>
      <c r="AW554" s="705">
        <f>SUMIF('Duplicate Disposition'!$C:$C,$C554,'Duplicate Disposition'!AW:AW)</f>
        <v>3981.53</v>
      </c>
      <c r="AX554" s="705">
        <f>SUMIF('Duplicate Disposition'!$C:$C,$C554,'Duplicate Disposition'!AX:AX)</f>
        <v>0</v>
      </c>
      <c r="AY554" s="705">
        <f>SUMIF('Duplicate Disposition'!$C:$C,$C554,'Duplicate Disposition'!AY:AY)</f>
        <v>0</v>
      </c>
      <c r="AZ554" s="705">
        <f>SUMIF('Duplicate Disposition'!$C:$C,$C554,'Duplicate Disposition'!AZ:AZ)</f>
        <v>0</v>
      </c>
      <c r="BA554" s="705">
        <f>SUMIF('Duplicate Disposition'!$C:$C,$C554,'Duplicate Disposition'!BA:BA)</f>
        <v>0</v>
      </c>
      <c r="BB554" s="705">
        <f>SUMIF('Duplicate Disposition'!$C:$C,$C554,'Duplicate Disposition'!BB:BB)</f>
        <v>0</v>
      </c>
      <c r="BC554" s="705">
        <f>SUMIF('Duplicate Disposition'!$C:$C,$C554,'Duplicate Disposition'!BC:BC)</f>
        <v>0</v>
      </c>
      <c r="BD554" s="705">
        <f>SUMIF('Duplicate Disposition'!$C:$C,$C554,'Duplicate Disposition'!BD:BD)</f>
        <v>0</v>
      </c>
      <c r="BE554" s="705">
        <f>SUMIF('Duplicate Disposition'!$C:$C,$C554,'Duplicate Disposition'!BE:BE)</f>
        <v>0</v>
      </c>
      <c r="BF554" s="705">
        <f>SUMIF('Duplicate Disposition'!$C:$C,$C554,'Duplicate Disposition'!BF:BF)</f>
        <v>0</v>
      </c>
      <c r="BG554" s="705">
        <f>SUMIF('Duplicate Disposition'!$C:$C,$C554,'Duplicate Disposition'!BG:BG)</f>
        <v>3981.53</v>
      </c>
      <c r="BH554" s="705">
        <f>SUMIF('Duplicate Disposition'!$C:$C,$C554,'Duplicate Disposition'!BH:BH)</f>
        <v>0</v>
      </c>
      <c r="BI554" s="705">
        <f>SUMIF('Duplicate Disposition'!$C:$C,$C554,'Duplicate Disposition'!BI:BI)</f>
        <v>0</v>
      </c>
      <c r="BJ554" s="705">
        <f>SUMIF('Duplicate Disposition'!$C:$C,$C554,'Duplicate Disposition'!BJ:BJ)</f>
        <v>3981.53</v>
      </c>
      <c r="BK554" s="705">
        <f>SUMIF('Duplicate Disposition'!$C:$C,$C554,'Duplicate Disposition'!BK:BK)</f>
        <v>0</v>
      </c>
      <c r="BL554" s="705">
        <f>SUMIF('Duplicate Disposition'!$C:$C,$C554,'Duplicate Disposition'!BL:BL)</f>
        <v>0</v>
      </c>
      <c r="BM554" s="705">
        <f>SUMIF('Duplicate Disposition'!$C:$C,$C554,'Duplicate Disposition'!BM:BM)</f>
        <v>0</v>
      </c>
      <c r="BN554" s="705">
        <f>SUMIF('Duplicate Disposition'!$C:$C,$C554,'Duplicate Disposition'!BN:BN)</f>
        <v>0</v>
      </c>
      <c r="BO554" s="705">
        <f>SUMIF('Duplicate Disposition'!$C:$C,$C554,'Duplicate Disposition'!BO:BO)</f>
        <v>0</v>
      </c>
      <c r="BP554" s="705">
        <f>SUMIF('Duplicate Disposition'!$C:$C,$C554,'Duplicate Disposition'!BP:BP)</f>
        <v>0</v>
      </c>
      <c r="BQ554" s="705">
        <f>SUMIF('Duplicate Disposition'!$C:$C,$C554,'Duplicate Disposition'!BQ:BQ)</f>
        <v>0</v>
      </c>
      <c r="BR554" s="705">
        <f>SUMIF('Duplicate Disposition'!$C:$C,$C554,'Duplicate Disposition'!BR:BR)</f>
        <v>0</v>
      </c>
      <c r="BS554" s="705">
        <f>SUMIF('Duplicate Disposition'!$C:$C,$C554,'Duplicate Disposition'!BS:BS)</f>
        <v>0</v>
      </c>
      <c r="BT554" s="705">
        <f>SUMIF('Duplicate Disposition'!$C:$C,$C554,'Duplicate Disposition'!BT:BT)</f>
        <v>3981.53</v>
      </c>
    </row>
    <row r="555" spans="1:72" ht="15" hidden="1" customHeight="1">
      <c r="A555" s="215" t="s">
        <v>2275</v>
      </c>
      <c r="B555" s="725" t="s">
        <v>2944</v>
      </c>
      <c r="C555" s="215" t="s">
        <v>672</v>
      </c>
      <c r="D555" s="215" t="s">
        <v>2276</v>
      </c>
      <c r="E555" s="513" t="s">
        <v>1136</v>
      </c>
      <c r="F555" s="726" t="s">
        <v>1566</v>
      </c>
      <c r="G555" s="513" t="s">
        <v>1135</v>
      </c>
      <c r="H555" s="727" t="s">
        <v>1165</v>
      </c>
      <c r="I555" s="727" t="s">
        <v>1135</v>
      </c>
      <c r="J555" s="727" t="s">
        <v>1165</v>
      </c>
      <c r="K555" s="727" t="s">
        <v>1137</v>
      </c>
      <c r="L555" s="516" t="s">
        <v>639</v>
      </c>
      <c r="M555" s="728" t="s">
        <v>2274</v>
      </c>
      <c r="N555" s="729"/>
      <c r="O555" s="730"/>
      <c r="P555" s="731" t="s">
        <v>673</v>
      </c>
      <c r="Q555" s="732"/>
      <c r="R555" s="737" t="s">
        <v>1140</v>
      </c>
      <c r="S555" s="732"/>
      <c r="T555" s="727" t="s">
        <v>57</v>
      </c>
      <c r="U555" s="733"/>
      <c r="V555" s="704"/>
      <c r="W555" s="705">
        <f>SUMIF('Duplicate Disposition'!$C:$C,$C555,'Duplicate Disposition'!W:W)</f>
        <v>11109.88</v>
      </c>
      <c r="X555" s="705">
        <f>SUMIF('Duplicate Disposition'!$C:$C,$C555,'Duplicate Disposition'!X:X)</f>
        <v>9866.56</v>
      </c>
      <c r="Y555" s="705">
        <f>SUMIF('Duplicate Disposition'!$C:$C,$C555,'Duplicate Disposition'!Y:Y)</f>
        <v>0</v>
      </c>
      <c r="Z555" s="705">
        <f>SUMIF('Duplicate Disposition'!$C:$C,$C555,'Duplicate Disposition'!Z:Z)</f>
        <v>0</v>
      </c>
      <c r="AA555" s="705">
        <f>SUMIF('Duplicate Disposition'!$C:$C,$C555,'Duplicate Disposition'!AA:AA)</f>
        <v>924.99</v>
      </c>
      <c r="AB555" s="705">
        <f>SUMIF('Duplicate Disposition'!$C:$C,$C555,'Duplicate Disposition'!AB:AB)</f>
        <v>0</v>
      </c>
      <c r="AC555" s="705">
        <f>SUMIF('Duplicate Disposition'!$C:$C,$C555,'Duplicate Disposition'!AC:AC)</f>
        <v>616.66</v>
      </c>
      <c r="AD555" s="705">
        <f>SUMIF('Duplicate Disposition'!$C:$C,$C555,'Duplicate Disposition'!AD:AD)</f>
        <v>616.66</v>
      </c>
      <c r="AE555" s="705">
        <f>SUMIF('Duplicate Disposition'!$C:$C,$C555,'Duplicate Disposition'!AE:AE)</f>
        <v>616.66</v>
      </c>
      <c r="AF555" s="705">
        <f>SUMIF('Duplicate Disposition'!$C:$C,$C555,'Duplicate Disposition'!AF:AF)</f>
        <v>616.66</v>
      </c>
      <c r="AG555" s="705">
        <f>SUMIF('Duplicate Disposition'!$C:$C,$C555,'Duplicate Disposition'!AG:AG)</f>
        <v>924.99</v>
      </c>
      <c r="AH555" s="705">
        <f>SUMIF('Duplicate Disposition'!$C:$C,$C555,'Duplicate Disposition'!AH:AH)</f>
        <v>924.99</v>
      </c>
      <c r="AI555" s="705">
        <f>SUMIF('Duplicate Disposition'!$C:$C,$C555,'Duplicate Disposition'!AI:AI)</f>
        <v>924.99</v>
      </c>
      <c r="AJ555" s="705">
        <f>SUMIF('Duplicate Disposition'!$C:$C,$C555,'Duplicate Disposition'!AJ:AJ)</f>
        <v>924.99</v>
      </c>
      <c r="AK555" s="705">
        <f>SUMIF('Duplicate Disposition'!$C:$C,$C555,'Duplicate Disposition'!AK:AK)</f>
        <v>924.99</v>
      </c>
      <c r="AL555" s="705">
        <f>SUMIF('Duplicate Disposition'!$C:$C,$C555,'Duplicate Disposition'!AL:AL)</f>
        <v>924.99</v>
      </c>
      <c r="AM555" s="734">
        <f t="shared" si="32"/>
        <v>8941.57</v>
      </c>
      <c r="AN555" s="735">
        <f>ERP_27[[#This Row],[2026 Working Total]]-ERP_27[[#This Row],[LE2 Final Submission]]</f>
        <v>-924.98999999999978</v>
      </c>
      <c r="AO555" s="705">
        <f>SUMIF('Duplicate Disposition'!$C:$C,$C555,'Duplicate Disposition'!AO:AO)</f>
        <v>924.99</v>
      </c>
      <c r="AP555" s="705">
        <f>SUMIF('Duplicate Disposition'!$C:$C,$C555,'Duplicate Disposition'!AP:AP)</f>
        <v>-308.3300000000001</v>
      </c>
      <c r="AQ555" s="713">
        <f>SUMIF('Duplicate Disposition'!$C:$C,$C555,'Duplicate Disposition'!AQ:AQ)</f>
        <v>-924.99000000000035</v>
      </c>
      <c r="AR555" s="713">
        <f>SUMIF('Duplicate Disposition'!$C:$C,$C555,'Duplicate Disposition'!AR:AR)</f>
        <v>0</v>
      </c>
      <c r="AS555" s="713">
        <f>SUMIF('Duplicate Disposition'!$C:$C,$C555,'Duplicate Disposition'!AS:AS)</f>
        <v>-924.99000000000058</v>
      </c>
      <c r="AT555" s="713">
        <f>SUMIF('Duplicate Disposition'!$C:$C,$C555,'Duplicate Disposition'!AT:AT)</f>
        <v>0</v>
      </c>
      <c r="AU555" s="705">
        <f>SUMIF('Duplicate Disposition'!$C:$C,$C555,'Duplicate Disposition'!AU:AU)</f>
        <v>924.99</v>
      </c>
      <c r="AV555" s="705">
        <f>SUMIF('Duplicate Disposition'!$C:$C,$C555,'Duplicate Disposition'!AV:AV)</f>
        <v>0</v>
      </c>
      <c r="AW555" s="705">
        <f>SUMIF('Duplicate Disposition'!$C:$C,$C555,'Duplicate Disposition'!AW:AW)</f>
        <v>616.66</v>
      </c>
      <c r="AX555" s="705">
        <f>SUMIF('Duplicate Disposition'!$C:$C,$C555,'Duplicate Disposition'!AX:AX)</f>
        <v>924.99</v>
      </c>
      <c r="AY555" s="705">
        <f>SUMIF('Duplicate Disposition'!$C:$C,$C555,'Duplicate Disposition'!AY:AY)</f>
        <v>924.99</v>
      </c>
      <c r="AZ555" s="705">
        <f>SUMIF('Duplicate Disposition'!$C:$C,$C555,'Duplicate Disposition'!AZ:AZ)</f>
        <v>924.99</v>
      </c>
      <c r="BA555" s="705">
        <f>SUMIF('Duplicate Disposition'!$C:$C,$C555,'Duplicate Disposition'!BA:BA)</f>
        <v>924.99</v>
      </c>
      <c r="BB555" s="705">
        <f>SUMIF('Duplicate Disposition'!$C:$C,$C555,'Duplicate Disposition'!BB:BB)</f>
        <v>924.99</v>
      </c>
      <c r="BC555" s="705">
        <f>SUMIF('Duplicate Disposition'!$C:$C,$C555,'Duplicate Disposition'!BC:BC)</f>
        <v>924.99</v>
      </c>
      <c r="BD555" s="705">
        <f>SUMIF('Duplicate Disposition'!$C:$C,$C555,'Duplicate Disposition'!BD:BD)</f>
        <v>924.99</v>
      </c>
      <c r="BE555" s="705">
        <f>SUMIF('Duplicate Disposition'!$C:$C,$C555,'Duplicate Disposition'!BE:BE)</f>
        <v>924.99</v>
      </c>
      <c r="BF555" s="705">
        <f>SUMIF('Duplicate Disposition'!$C:$C,$C555,'Duplicate Disposition'!BF:BF)</f>
        <v>924.99</v>
      </c>
      <c r="BG555" s="705">
        <f>SUMIF('Duplicate Disposition'!$C:$C,$C555,'Duplicate Disposition'!BG:BG)</f>
        <v>9866.56</v>
      </c>
      <c r="BH555" s="705">
        <f>SUMIF('Duplicate Disposition'!$C:$C,$C555,'Duplicate Disposition'!BH:BH)</f>
        <v>924.99</v>
      </c>
      <c r="BI555" s="705">
        <f>SUMIF('Duplicate Disposition'!$C:$C,$C555,'Duplicate Disposition'!BI:BI)</f>
        <v>0</v>
      </c>
      <c r="BJ555" s="705">
        <f>SUMIF('Duplicate Disposition'!$C:$C,$C555,'Duplicate Disposition'!BJ:BJ)</f>
        <v>616.66</v>
      </c>
      <c r="BK555" s="705">
        <f>SUMIF('Duplicate Disposition'!$C:$C,$C555,'Duplicate Disposition'!BK:BK)</f>
        <v>924.99</v>
      </c>
      <c r="BL555" s="705">
        <f>SUMIF('Duplicate Disposition'!$C:$C,$C555,'Duplicate Disposition'!BL:BL)</f>
        <v>924.99</v>
      </c>
      <c r="BM555" s="705">
        <f>SUMIF('Duplicate Disposition'!$C:$C,$C555,'Duplicate Disposition'!BM:BM)</f>
        <v>924.99</v>
      </c>
      <c r="BN555" s="705">
        <f>SUMIF('Duplicate Disposition'!$C:$C,$C555,'Duplicate Disposition'!BN:BN)</f>
        <v>924.99</v>
      </c>
      <c r="BO555" s="705">
        <f>SUMIF('Duplicate Disposition'!$C:$C,$C555,'Duplicate Disposition'!BO:BO)</f>
        <v>924.99</v>
      </c>
      <c r="BP555" s="705">
        <f>SUMIF('Duplicate Disposition'!$C:$C,$C555,'Duplicate Disposition'!BP:BP)</f>
        <v>924.99</v>
      </c>
      <c r="BQ555" s="705">
        <f>SUMIF('Duplicate Disposition'!$C:$C,$C555,'Duplicate Disposition'!BQ:BQ)</f>
        <v>924.99</v>
      </c>
      <c r="BR555" s="705">
        <f>SUMIF('Duplicate Disposition'!$C:$C,$C555,'Duplicate Disposition'!BR:BR)</f>
        <v>924.99</v>
      </c>
      <c r="BS555" s="705">
        <f>SUMIF('Duplicate Disposition'!$C:$C,$C555,'Duplicate Disposition'!BS:BS)</f>
        <v>924.99</v>
      </c>
      <c r="BT555" s="705">
        <f>SUMIF('Duplicate Disposition'!$C:$C,$C555,'Duplicate Disposition'!BT:BT)</f>
        <v>9866.56</v>
      </c>
    </row>
    <row r="556" spans="1:72" ht="15" hidden="1" customHeight="1">
      <c r="A556" s="215" t="s">
        <v>2155</v>
      </c>
      <c r="B556" s="725" t="s">
        <v>2944</v>
      </c>
      <c r="C556" s="215" t="s">
        <v>609</v>
      </c>
      <c r="D556" s="215" t="s">
        <v>609</v>
      </c>
      <c r="E556" s="513" t="s">
        <v>1136</v>
      </c>
      <c r="F556" s="726" t="s">
        <v>1566</v>
      </c>
      <c r="G556" s="513" t="s">
        <v>1135</v>
      </c>
      <c r="H556" s="727" t="s">
        <v>1135</v>
      </c>
      <c r="I556" s="727" t="s">
        <v>1135</v>
      </c>
      <c r="J556" s="727" t="s">
        <v>1135</v>
      </c>
      <c r="K556" s="727" t="s">
        <v>1137</v>
      </c>
      <c r="L556" s="516" t="s">
        <v>602</v>
      </c>
      <c r="M556" s="728" t="s">
        <v>611</v>
      </c>
      <c r="N556" s="729"/>
      <c r="O556" s="730"/>
      <c r="P556" s="731" t="s">
        <v>610</v>
      </c>
      <c r="Q556" s="732"/>
      <c r="R556" s="729"/>
      <c r="S556" s="732"/>
      <c r="T556" s="727" t="s">
        <v>611</v>
      </c>
      <c r="U556" s="733"/>
      <c r="V556" s="704"/>
      <c r="W556" s="705">
        <f>SUMIF('Duplicate Disposition'!$C:$C,$C556,'Duplicate Disposition'!W:W)</f>
        <v>0</v>
      </c>
      <c r="X556" s="705">
        <f>SUMIF('Duplicate Disposition'!$C:$C,$C556,'Duplicate Disposition'!X:X)</f>
        <v>9340.2199999999993</v>
      </c>
      <c r="Y556" s="705">
        <f>SUMIF('Duplicate Disposition'!$C:$C,$C556,'Duplicate Disposition'!Y:Y)</f>
        <v>0</v>
      </c>
      <c r="Z556" s="705">
        <f>SUMIF('Duplicate Disposition'!$C:$C,$C556,'Duplicate Disposition'!Z:Z)</f>
        <v>0</v>
      </c>
      <c r="AA556" s="705">
        <f>SUMIF('Duplicate Disposition'!$C:$C,$C556,'Duplicate Disposition'!AA:AA)</f>
        <v>497.24</v>
      </c>
      <c r="AB556" s="705">
        <f>SUMIF('Duplicate Disposition'!$C:$C,$C556,'Duplicate Disposition'!AB:AB)</f>
        <v>7741.43</v>
      </c>
      <c r="AC556" s="705">
        <f>SUMIF('Duplicate Disposition'!$C:$C,$C556,'Duplicate Disposition'!AC:AC)</f>
        <v>1101.55</v>
      </c>
      <c r="AD556" s="705">
        <f>SUMIF('Duplicate Disposition'!$C:$C,$C556,'Duplicate Disposition'!AD:AD)</f>
        <v>277.0899999999998</v>
      </c>
      <c r="AE556" s="705">
        <f>SUMIF('Duplicate Disposition'!$C:$C,$C556,'Duplicate Disposition'!AE:AE)</f>
        <v>522.42000000000007</v>
      </c>
      <c r="AF556" s="705">
        <f>SUMIF('Duplicate Disposition'!$C:$C,$C556,'Duplicate Disposition'!AF:AF)</f>
        <v>297.19</v>
      </c>
      <c r="AG556" s="705">
        <f>SUMIF('Duplicate Disposition'!$C:$C,$C556,'Duplicate Disposition'!AG:AG)</f>
        <v>0</v>
      </c>
      <c r="AH556" s="705">
        <f>SUMIF('Duplicate Disposition'!$C:$C,$C556,'Duplicate Disposition'!AH:AH)</f>
        <v>0</v>
      </c>
      <c r="AI556" s="705">
        <f>SUMIF('Duplicate Disposition'!$C:$C,$C556,'Duplicate Disposition'!AI:AI)</f>
        <v>0</v>
      </c>
      <c r="AJ556" s="705">
        <f>SUMIF('Duplicate Disposition'!$C:$C,$C556,'Duplicate Disposition'!AJ:AJ)</f>
        <v>0</v>
      </c>
      <c r="AK556" s="705">
        <f>SUMIF('Duplicate Disposition'!$C:$C,$C556,'Duplicate Disposition'!AK:AK)</f>
        <v>0</v>
      </c>
      <c r="AL556" s="705">
        <f>SUMIF('Duplicate Disposition'!$C:$C,$C556,'Duplicate Disposition'!AL:AL)</f>
        <v>0</v>
      </c>
      <c r="AM556" s="734">
        <f t="shared" si="32"/>
        <v>10436.92</v>
      </c>
      <c r="AN556" s="735">
        <f>ERP_27[[#This Row],[2026 Working Total]]-ERP_27[[#This Row],[LE2 Final Submission]]</f>
        <v>1096.7000000000007</v>
      </c>
      <c r="AO556" s="705">
        <f>SUMIF('Duplicate Disposition'!$C:$C,$C556,'Duplicate Disposition'!AO:AO)</f>
        <v>0</v>
      </c>
      <c r="AP556" s="705">
        <f>SUMIF('Duplicate Disposition'!$C:$C,$C556,'Duplicate Disposition'!AP:AP)</f>
        <v>297.19</v>
      </c>
      <c r="AQ556" s="713">
        <f>SUMIF('Duplicate Disposition'!$C:$C,$C556,'Duplicate Disposition'!AQ:AQ)</f>
        <v>1096.7000000000007</v>
      </c>
      <c r="AR556" s="713">
        <f>SUMIF('Duplicate Disposition'!$C:$C,$C556,'Duplicate Disposition'!AR:AR)</f>
        <v>0</v>
      </c>
      <c r="AS556" s="713">
        <f>SUMIF('Duplicate Disposition'!$C:$C,$C556,'Duplicate Disposition'!AS:AS)</f>
        <v>1096.7000000000007</v>
      </c>
      <c r="AT556" s="713">
        <f>SUMIF('Duplicate Disposition'!$C:$C,$C556,'Duplicate Disposition'!AT:AT)</f>
        <v>0</v>
      </c>
      <c r="AU556" s="705">
        <f>SUMIF('Duplicate Disposition'!$C:$C,$C556,'Duplicate Disposition'!AU:AU)</f>
        <v>497.24</v>
      </c>
      <c r="AV556" s="705">
        <f>SUMIF('Duplicate Disposition'!$C:$C,$C556,'Duplicate Disposition'!AV:AV)</f>
        <v>7741.43</v>
      </c>
      <c r="AW556" s="705">
        <f>SUMIF('Duplicate Disposition'!$C:$C,$C556,'Duplicate Disposition'!AW:AW)</f>
        <v>1101.55</v>
      </c>
      <c r="AX556" s="705">
        <f>SUMIF('Duplicate Disposition'!$C:$C,$C556,'Duplicate Disposition'!AX:AX)</f>
        <v>0</v>
      </c>
      <c r="AY556" s="705">
        <f>SUMIF('Duplicate Disposition'!$C:$C,$C556,'Duplicate Disposition'!AY:AY)</f>
        <v>0</v>
      </c>
      <c r="AZ556" s="705">
        <f>SUMIF('Duplicate Disposition'!$C:$C,$C556,'Duplicate Disposition'!AZ:AZ)</f>
        <v>0</v>
      </c>
      <c r="BA556" s="705">
        <f>SUMIF('Duplicate Disposition'!$C:$C,$C556,'Duplicate Disposition'!BA:BA)</f>
        <v>0</v>
      </c>
      <c r="BB556" s="705">
        <f>SUMIF('Duplicate Disposition'!$C:$C,$C556,'Duplicate Disposition'!BB:BB)</f>
        <v>0</v>
      </c>
      <c r="BC556" s="705">
        <f>SUMIF('Duplicate Disposition'!$C:$C,$C556,'Duplicate Disposition'!BC:BC)</f>
        <v>0</v>
      </c>
      <c r="BD556" s="705">
        <f>SUMIF('Duplicate Disposition'!$C:$C,$C556,'Duplicate Disposition'!BD:BD)</f>
        <v>0</v>
      </c>
      <c r="BE556" s="705">
        <f>SUMIF('Duplicate Disposition'!$C:$C,$C556,'Duplicate Disposition'!BE:BE)</f>
        <v>0</v>
      </c>
      <c r="BF556" s="705">
        <f>SUMIF('Duplicate Disposition'!$C:$C,$C556,'Duplicate Disposition'!BF:BF)</f>
        <v>0</v>
      </c>
      <c r="BG556" s="705">
        <f>SUMIF('Duplicate Disposition'!$C:$C,$C556,'Duplicate Disposition'!BG:BG)</f>
        <v>9340.2199999999993</v>
      </c>
      <c r="BH556" s="705">
        <f>SUMIF('Duplicate Disposition'!$C:$C,$C556,'Duplicate Disposition'!BH:BH)</f>
        <v>497.24</v>
      </c>
      <c r="BI556" s="705">
        <f>SUMIF('Duplicate Disposition'!$C:$C,$C556,'Duplicate Disposition'!BI:BI)</f>
        <v>7741.43</v>
      </c>
      <c r="BJ556" s="705">
        <f>SUMIF('Duplicate Disposition'!$C:$C,$C556,'Duplicate Disposition'!BJ:BJ)</f>
        <v>1101.55</v>
      </c>
      <c r="BK556" s="705">
        <f>SUMIF('Duplicate Disposition'!$C:$C,$C556,'Duplicate Disposition'!BK:BK)</f>
        <v>0</v>
      </c>
      <c r="BL556" s="705">
        <f>SUMIF('Duplicate Disposition'!$C:$C,$C556,'Duplicate Disposition'!BL:BL)</f>
        <v>0</v>
      </c>
      <c r="BM556" s="705">
        <f>SUMIF('Duplicate Disposition'!$C:$C,$C556,'Duplicate Disposition'!BM:BM)</f>
        <v>0</v>
      </c>
      <c r="BN556" s="705">
        <f>SUMIF('Duplicate Disposition'!$C:$C,$C556,'Duplicate Disposition'!BN:BN)</f>
        <v>0</v>
      </c>
      <c r="BO556" s="705">
        <f>SUMIF('Duplicate Disposition'!$C:$C,$C556,'Duplicate Disposition'!BO:BO)</f>
        <v>0</v>
      </c>
      <c r="BP556" s="705">
        <f>SUMIF('Duplicate Disposition'!$C:$C,$C556,'Duplicate Disposition'!BP:BP)</f>
        <v>0</v>
      </c>
      <c r="BQ556" s="705">
        <f>SUMIF('Duplicate Disposition'!$C:$C,$C556,'Duplicate Disposition'!BQ:BQ)</f>
        <v>0</v>
      </c>
      <c r="BR556" s="705">
        <f>SUMIF('Duplicate Disposition'!$C:$C,$C556,'Duplicate Disposition'!BR:BR)</f>
        <v>0</v>
      </c>
      <c r="BS556" s="705">
        <f>SUMIF('Duplicate Disposition'!$C:$C,$C556,'Duplicate Disposition'!BS:BS)</f>
        <v>0</v>
      </c>
      <c r="BT556" s="705">
        <f>SUMIF('Duplicate Disposition'!$C:$C,$C556,'Duplicate Disposition'!BT:BT)</f>
        <v>9340.2199999999993</v>
      </c>
    </row>
    <row r="557" spans="1:72" ht="15" hidden="1" customHeight="1">
      <c r="A557" s="215" t="s">
        <v>1843</v>
      </c>
      <c r="B557" s="725" t="s">
        <v>2944</v>
      </c>
      <c r="C557" s="215" t="s">
        <v>440</v>
      </c>
      <c r="D557" s="215" t="s">
        <v>440</v>
      </c>
      <c r="E557" s="513" t="s">
        <v>1136</v>
      </c>
      <c r="F557" s="726" t="s">
        <v>1566</v>
      </c>
      <c r="G557" s="513" t="s">
        <v>1135</v>
      </c>
      <c r="H557" s="727" t="s">
        <v>1135</v>
      </c>
      <c r="I557" s="727" t="s">
        <v>1135</v>
      </c>
      <c r="J557" s="727" t="s">
        <v>1135</v>
      </c>
      <c r="K557" s="727" t="s">
        <v>1137</v>
      </c>
      <c r="L557" s="516" t="s">
        <v>389</v>
      </c>
      <c r="M557" s="728" t="s">
        <v>1844</v>
      </c>
      <c r="N557" s="729"/>
      <c r="O557" s="730"/>
      <c r="P557" s="731" t="s">
        <v>441</v>
      </c>
      <c r="Q557" s="732"/>
      <c r="R557" s="729"/>
      <c r="S557" s="732"/>
      <c r="T557" s="727" t="s">
        <v>57</v>
      </c>
      <c r="U557" s="733"/>
      <c r="V557" s="704"/>
      <c r="W557" s="705">
        <f>SUMIF('Duplicate Disposition'!$C:$C,$C557,'Duplicate Disposition'!W:W)</f>
        <v>10599.999996000004</v>
      </c>
      <c r="X557" s="705">
        <f>SUMIF('Duplicate Disposition'!$C:$C,$C557,'Duplicate Disposition'!X:X)</f>
        <v>10582.559999999998</v>
      </c>
      <c r="Y557" s="705">
        <f>SUMIF('Duplicate Disposition'!$C:$C,$C557,'Duplicate Disposition'!Y:Y)</f>
        <v>0</v>
      </c>
      <c r="Z557" s="705">
        <f>SUMIF('Duplicate Disposition'!$C:$C,$C557,'Duplicate Disposition'!Z:Z)</f>
        <v>0</v>
      </c>
      <c r="AA557" s="705">
        <f>SUMIF('Duplicate Disposition'!$C:$C,$C557,'Duplicate Disposition'!AA:AA)</f>
        <v>881.88</v>
      </c>
      <c r="AB557" s="705">
        <f>SUMIF('Duplicate Disposition'!$C:$C,$C557,'Duplicate Disposition'!AB:AB)</f>
        <v>881.88</v>
      </c>
      <c r="AC557" s="705">
        <f>SUMIF('Duplicate Disposition'!$C:$C,$C557,'Duplicate Disposition'!AC:AC)</f>
        <v>881.88</v>
      </c>
      <c r="AD557" s="705">
        <f>SUMIF('Duplicate Disposition'!$C:$C,$C557,'Duplicate Disposition'!AD:AD)</f>
        <v>881.88</v>
      </c>
      <c r="AE557" s="705">
        <f>SUMIF('Duplicate Disposition'!$C:$C,$C557,'Duplicate Disposition'!AE:AE)</f>
        <v>881.88</v>
      </c>
      <c r="AF557" s="705">
        <f>SUMIF('Duplicate Disposition'!$C:$C,$C557,'Duplicate Disposition'!AF:AF)</f>
        <v>881.88</v>
      </c>
      <c r="AG557" s="705">
        <f>SUMIF('Duplicate Disposition'!$C:$C,$C557,'Duplicate Disposition'!AG:AG)</f>
        <v>881.88</v>
      </c>
      <c r="AH557" s="705">
        <f>SUMIF('Duplicate Disposition'!$C:$C,$C557,'Duplicate Disposition'!AH:AH)</f>
        <v>881.88</v>
      </c>
      <c r="AI557" s="705">
        <f>SUMIF('Duplicate Disposition'!$C:$C,$C557,'Duplicate Disposition'!AI:AI)</f>
        <v>881.88</v>
      </c>
      <c r="AJ557" s="705">
        <f>SUMIF('Duplicate Disposition'!$C:$C,$C557,'Duplicate Disposition'!AJ:AJ)</f>
        <v>881.88</v>
      </c>
      <c r="AK557" s="705">
        <f>SUMIF('Duplicate Disposition'!$C:$C,$C557,'Duplicate Disposition'!AK:AK)</f>
        <v>881.88</v>
      </c>
      <c r="AL557" s="705">
        <f>SUMIF('Duplicate Disposition'!$C:$C,$C557,'Duplicate Disposition'!AL:AL)</f>
        <v>881.88</v>
      </c>
      <c r="AM557" s="734">
        <f t="shared" si="32"/>
        <v>10582.559999999998</v>
      </c>
      <c r="AN557" s="735">
        <f>ERP_27[[#This Row],[2026 Working Total]]-ERP_27[[#This Row],[LE2 Final Submission]]</f>
        <v>0</v>
      </c>
      <c r="AO557" s="705">
        <f>SUMIF('Duplicate Disposition'!$C:$C,$C557,'Duplicate Disposition'!AO:AO)</f>
        <v>881.88</v>
      </c>
      <c r="AP557" s="705">
        <f>SUMIF('Duplicate Disposition'!$C:$C,$C557,'Duplicate Disposition'!AP:AP)</f>
        <v>0</v>
      </c>
      <c r="AQ557" s="713">
        <f>SUMIF('Duplicate Disposition'!$C:$C,$C557,'Duplicate Disposition'!AQ:AQ)</f>
        <v>0</v>
      </c>
      <c r="AR557" s="713">
        <f>SUMIF('Duplicate Disposition'!$C:$C,$C557,'Duplicate Disposition'!AR:AR)</f>
        <v>-10600</v>
      </c>
      <c r="AS557" s="713">
        <f>SUMIF('Duplicate Disposition'!$C:$C,$C557,'Duplicate Disposition'!AS:AS)</f>
        <v>10600</v>
      </c>
      <c r="AT557" s="713">
        <f>SUMIF('Duplicate Disposition'!$C:$C,$C557,'Duplicate Disposition'!AT:AT)</f>
        <v>0</v>
      </c>
      <c r="AU557" s="705">
        <f>SUMIF('Duplicate Disposition'!$C:$C,$C557,'Duplicate Disposition'!AU:AU)</f>
        <v>881.88</v>
      </c>
      <c r="AV557" s="705">
        <f>SUMIF('Duplicate Disposition'!$C:$C,$C557,'Duplicate Disposition'!AV:AV)</f>
        <v>881.88</v>
      </c>
      <c r="AW557" s="705">
        <f>SUMIF('Duplicate Disposition'!$C:$C,$C557,'Duplicate Disposition'!AW:AW)</f>
        <v>881.88</v>
      </c>
      <c r="AX557" s="705">
        <f>SUMIF('Duplicate Disposition'!$C:$C,$C557,'Duplicate Disposition'!AX:AX)</f>
        <v>881.88</v>
      </c>
      <c r="AY557" s="705">
        <f>SUMIF('Duplicate Disposition'!$C:$C,$C557,'Duplicate Disposition'!AY:AY)</f>
        <v>881.88</v>
      </c>
      <c r="AZ557" s="705">
        <f>SUMIF('Duplicate Disposition'!$C:$C,$C557,'Duplicate Disposition'!AZ:AZ)</f>
        <v>881.88</v>
      </c>
      <c r="BA557" s="705">
        <f>SUMIF('Duplicate Disposition'!$C:$C,$C557,'Duplicate Disposition'!BA:BA)</f>
        <v>881.88</v>
      </c>
      <c r="BB557" s="705">
        <f>SUMIF('Duplicate Disposition'!$C:$C,$C557,'Duplicate Disposition'!BB:BB)</f>
        <v>881.88</v>
      </c>
      <c r="BC557" s="705">
        <f>SUMIF('Duplicate Disposition'!$C:$C,$C557,'Duplicate Disposition'!BC:BC)</f>
        <v>881.88</v>
      </c>
      <c r="BD557" s="705">
        <f>SUMIF('Duplicate Disposition'!$C:$C,$C557,'Duplicate Disposition'!BD:BD)</f>
        <v>881.88</v>
      </c>
      <c r="BE557" s="705">
        <f>SUMIF('Duplicate Disposition'!$C:$C,$C557,'Duplicate Disposition'!BE:BE)</f>
        <v>881.88</v>
      </c>
      <c r="BF557" s="705">
        <f>SUMIF('Duplicate Disposition'!$C:$C,$C557,'Duplicate Disposition'!BF:BF)</f>
        <v>881.88</v>
      </c>
      <c r="BG557" s="705">
        <f>SUMIF('Duplicate Disposition'!$C:$C,$C557,'Duplicate Disposition'!BG:BG)</f>
        <v>10582.559999999998</v>
      </c>
      <c r="BH557" s="705">
        <f>SUMIF('Duplicate Disposition'!$C:$C,$C557,'Duplicate Disposition'!BH:BH)</f>
        <v>881.88</v>
      </c>
      <c r="BI557" s="705">
        <f>SUMIF('Duplicate Disposition'!$C:$C,$C557,'Duplicate Disposition'!BI:BI)</f>
        <v>881.88</v>
      </c>
      <c r="BJ557" s="705">
        <f>SUMIF('Duplicate Disposition'!$C:$C,$C557,'Duplicate Disposition'!BJ:BJ)</f>
        <v>881.88</v>
      </c>
      <c r="BK557" s="705">
        <f>SUMIF('Duplicate Disposition'!$C:$C,$C557,'Duplicate Disposition'!BK:BK)</f>
        <v>883.33333300000004</v>
      </c>
      <c r="BL557" s="705">
        <f>SUMIF('Duplicate Disposition'!$C:$C,$C557,'Duplicate Disposition'!BL:BL)</f>
        <v>883.33333300000004</v>
      </c>
      <c r="BM557" s="705">
        <f>SUMIF('Duplicate Disposition'!$C:$C,$C557,'Duplicate Disposition'!BM:BM)</f>
        <v>883.33333300000004</v>
      </c>
      <c r="BN557" s="705">
        <f>SUMIF('Duplicate Disposition'!$C:$C,$C557,'Duplicate Disposition'!BN:BN)</f>
        <v>883.33333300000004</v>
      </c>
      <c r="BO557" s="705">
        <f>SUMIF('Duplicate Disposition'!$C:$C,$C557,'Duplicate Disposition'!BO:BO)</f>
        <v>883.33333300000004</v>
      </c>
      <c r="BP557" s="705">
        <f>SUMIF('Duplicate Disposition'!$C:$C,$C557,'Duplicate Disposition'!BP:BP)</f>
        <v>883.33333300000004</v>
      </c>
      <c r="BQ557" s="705">
        <f>SUMIF('Duplicate Disposition'!$C:$C,$C557,'Duplicate Disposition'!BQ:BQ)</f>
        <v>883.33333300000004</v>
      </c>
      <c r="BR557" s="705">
        <f>SUMIF('Duplicate Disposition'!$C:$C,$C557,'Duplicate Disposition'!BR:BR)</f>
        <v>883.33333300000004</v>
      </c>
      <c r="BS557" s="705">
        <f>SUMIF('Duplicate Disposition'!$C:$C,$C557,'Duplicate Disposition'!BS:BS)</f>
        <v>883.33333300000004</v>
      </c>
      <c r="BT557" s="705">
        <f>SUMIF('Duplicate Disposition'!$C:$C,$C557,'Duplicate Disposition'!BT:BT)</f>
        <v>10595.639997000002</v>
      </c>
    </row>
    <row r="558" spans="1:72" ht="15" hidden="1" customHeight="1">
      <c r="A558" s="215" t="s">
        <v>2248</v>
      </c>
      <c r="B558" s="725" t="s">
        <v>2944</v>
      </c>
      <c r="C558" s="215" t="s">
        <v>667</v>
      </c>
      <c r="D558" s="215" t="s">
        <v>667</v>
      </c>
      <c r="E558" s="513" t="s">
        <v>1136</v>
      </c>
      <c r="F558" s="726" t="s">
        <v>1566</v>
      </c>
      <c r="G558" s="513" t="s">
        <v>1135</v>
      </c>
      <c r="H558" s="727" t="s">
        <v>1135</v>
      </c>
      <c r="I558" s="727" t="s">
        <v>1135</v>
      </c>
      <c r="J558" s="727" t="s">
        <v>1135</v>
      </c>
      <c r="K558" s="727" t="s">
        <v>1137</v>
      </c>
      <c r="L558" s="516" t="s">
        <v>639</v>
      </c>
      <c r="M558" s="728" t="s">
        <v>1138</v>
      </c>
      <c r="N558" s="729"/>
      <c r="O558" s="730"/>
      <c r="P558" s="731" t="s">
        <v>51</v>
      </c>
      <c r="Q558" s="732" t="s">
        <v>1139</v>
      </c>
      <c r="R558" s="737" t="s">
        <v>1140</v>
      </c>
      <c r="S558" s="732"/>
      <c r="T558" s="727" t="s">
        <v>25</v>
      </c>
      <c r="U558" s="733"/>
      <c r="V558" s="704"/>
      <c r="W558" s="705">
        <f>SUMIF('Duplicate Disposition'!$C:$C,$C558,'Duplicate Disposition'!W:W)</f>
        <v>0</v>
      </c>
      <c r="X558" s="705">
        <f>SUMIF('Duplicate Disposition'!$C:$C,$C558,'Duplicate Disposition'!X:X)</f>
        <v>10711.5</v>
      </c>
      <c r="Y558" s="705">
        <f>SUMIF('Duplicate Disposition'!$C:$C,$C558,'Duplicate Disposition'!Y:Y)</f>
        <v>0</v>
      </c>
      <c r="Z558" s="705">
        <f>SUMIF('Duplicate Disposition'!$C:$C,$C558,'Duplicate Disposition'!Z:Z)</f>
        <v>0</v>
      </c>
      <c r="AA558" s="705">
        <f>SUMIF('Duplicate Disposition'!$C:$C,$C558,'Duplicate Disposition'!AA:AA)</f>
        <v>0</v>
      </c>
      <c r="AB558" s="705">
        <f>SUMIF('Duplicate Disposition'!$C:$C,$C558,'Duplicate Disposition'!AB:AB)</f>
        <v>9953.64</v>
      </c>
      <c r="AC558" s="705">
        <f>SUMIF('Duplicate Disposition'!$C:$C,$C558,'Duplicate Disposition'!AC:AC)</f>
        <v>757.86</v>
      </c>
      <c r="AD558" s="705">
        <f>SUMIF('Duplicate Disposition'!$C:$C,$C558,'Duplicate Disposition'!AD:AD)</f>
        <v>83.61</v>
      </c>
      <c r="AE558" s="705">
        <f>SUMIF('Duplicate Disposition'!$C:$C,$C558,'Duplicate Disposition'!AE:AE)</f>
        <v>0</v>
      </c>
      <c r="AF558" s="705">
        <f>SUMIF('Duplicate Disposition'!$C:$C,$C558,'Duplicate Disposition'!AF:AF)</f>
        <v>0</v>
      </c>
      <c r="AG558" s="705">
        <f>SUMIF('Duplicate Disposition'!$C:$C,$C558,'Duplicate Disposition'!AG:AG)</f>
        <v>0</v>
      </c>
      <c r="AH558" s="705">
        <f>SUMIF('Duplicate Disposition'!$C:$C,$C558,'Duplicate Disposition'!AH:AH)</f>
        <v>0</v>
      </c>
      <c r="AI558" s="705">
        <f>SUMIF('Duplicate Disposition'!$C:$C,$C558,'Duplicate Disposition'!AI:AI)</f>
        <v>0</v>
      </c>
      <c r="AJ558" s="705">
        <f>SUMIF('Duplicate Disposition'!$C:$C,$C558,'Duplicate Disposition'!AJ:AJ)</f>
        <v>0</v>
      </c>
      <c r="AK558" s="705">
        <f>SUMIF('Duplicate Disposition'!$C:$C,$C558,'Duplicate Disposition'!AK:AK)</f>
        <v>0</v>
      </c>
      <c r="AL558" s="705">
        <f>SUMIF('Duplicate Disposition'!$C:$C,$C558,'Duplicate Disposition'!AL:AL)</f>
        <v>0</v>
      </c>
      <c r="AM558" s="734">
        <f t="shared" si="32"/>
        <v>10795.11</v>
      </c>
      <c r="AN558" s="735">
        <f>ERP_27[[#This Row],[2026 Working Total]]-ERP_27[[#This Row],[LE2 Final Submission]]</f>
        <v>83.610000000000582</v>
      </c>
      <c r="AO558" s="705">
        <f>SUMIF('Duplicate Disposition'!$C:$C,$C558,'Duplicate Disposition'!AO:AO)</f>
        <v>0</v>
      </c>
      <c r="AP558" s="705">
        <f>SUMIF('Duplicate Disposition'!$C:$C,$C558,'Duplicate Disposition'!AP:AP)</f>
        <v>0</v>
      </c>
      <c r="AQ558" s="713">
        <f>SUMIF('Duplicate Disposition'!$C:$C,$C558,'Duplicate Disposition'!AQ:AQ)</f>
        <v>83.610000000000127</v>
      </c>
      <c r="AR558" s="713">
        <f>SUMIF('Duplicate Disposition'!$C:$C,$C558,'Duplicate Disposition'!AR:AR)</f>
        <v>0</v>
      </c>
      <c r="AS558" s="713">
        <f>SUMIF('Duplicate Disposition'!$C:$C,$C558,'Duplicate Disposition'!AS:AS)</f>
        <v>83.610000000000127</v>
      </c>
      <c r="AT558" s="713">
        <f>SUMIF('Duplicate Disposition'!$C:$C,$C558,'Duplicate Disposition'!AT:AT)</f>
        <v>0</v>
      </c>
      <c r="AU558" s="705">
        <f>SUMIF('Duplicate Disposition'!$C:$C,$C558,'Duplicate Disposition'!AU:AU)</f>
        <v>0</v>
      </c>
      <c r="AV558" s="705">
        <f>SUMIF('Duplicate Disposition'!$C:$C,$C558,'Duplicate Disposition'!AV:AV)</f>
        <v>9953.64</v>
      </c>
      <c r="AW558" s="705">
        <f>SUMIF('Duplicate Disposition'!$C:$C,$C558,'Duplicate Disposition'!AW:AW)</f>
        <v>757.86</v>
      </c>
      <c r="AX558" s="705">
        <f>SUMIF('Duplicate Disposition'!$C:$C,$C558,'Duplicate Disposition'!AX:AX)</f>
        <v>0</v>
      </c>
      <c r="AY558" s="705">
        <f>SUMIF('Duplicate Disposition'!$C:$C,$C558,'Duplicate Disposition'!AY:AY)</f>
        <v>0</v>
      </c>
      <c r="AZ558" s="705">
        <f>SUMIF('Duplicate Disposition'!$C:$C,$C558,'Duplicate Disposition'!AZ:AZ)</f>
        <v>0</v>
      </c>
      <c r="BA558" s="705">
        <f>SUMIF('Duplicate Disposition'!$C:$C,$C558,'Duplicate Disposition'!BA:BA)</f>
        <v>0</v>
      </c>
      <c r="BB558" s="705">
        <f>SUMIF('Duplicate Disposition'!$C:$C,$C558,'Duplicate Disposition'!BB:BB)</f>
        <v>0</v>
      </c>
      <c r="BC558" s="705">
        <f>SUMIF('Duplicate Disposition'!$C:$C,$C558,'Duplicate Disposition'!BC:BC)</f>
        <v>0</v>
      </c>
      <c r="BD558" s="705">
        <f>SUMIF('Duplicate Disposition'!$C:$C,$C558,'Duplicate Disposition'!BD:BD)</f>
        <v>0</v>
      </c>
      <c r="BE558" s="705">
        <f>SUMIF('Duplicate Disposition'!$C:$C,$C558,'Duplicate Disposition'!BE:BE)</f>
        <v>0</v>
      </c>
      <c r="BF558" s="705">
        <f>SUMIF('Duplicate Disposition'!$C:$C,$C558,'Duplicate Disposition'!BF:BF)</f>
        <v>0</v>
      </c>
      <c r="BG558" s="705">
        <f>SUMIF('Duplicate Disposition'!$C:$C,$C558,'Duplicate Disposition'!BG:BG)</f>
        <v>10711.5</v>
      </c>
      <c r="BH558" s="705">
        <f>SUMIF('Duplicate Disposition'!$C:$C,$C558,'Duplicate Disposition'!BH:BH)</f>
        <v>0</v>
      </c>
      <c r="BI558" s="705">
        <f>SUMIF('Duplicate Disposition'!$C:$C,$C558,'Duplicate Disposition'!BI:BI)</f>
        <v>9953.64</v>
      </c>
      <c r="BJ558" s="705">
        <f>SUMIF('Duplicate Disposition'!$C:$C,$C558,'Duplicate Disposition'!BJ:BJ)</f>
        <v>757.86</v>
      </c>
      <c r="BK558" s="705">
        <f>SUMIF('Duplicate Disposition'!$C:$C,$C558,'Duplicate Disposition'!BK:BK)</f>
        <v>0</v>
      </c>
      <c r="BL558" s="705">
        <f>SUMIF('Duplicate Disposition'!$C:$C,$C558,'Duplicate Disposition'!BL:BL)</f>
        <v>0</v>
      </c>
      <c r="BM558" s="705">
        <f>SUMIF('Duplicate Disposition'!$C:$C,$C558,'Duplicate Disposition'!BM:BM)</f>
        <v>0</v>
      </c>
      <c r="BN558" s="705">
        <f>SUMIF('Duplicate Disposition'!$C:$C,$C558,'Duplicate Disposition'!BN:BN)</f>
        <v>0</v>
      </c>
      <c r="BO558" s="705">
        <f>SUMIF('Duplicate Disposition'!$C:$C,$C558,'Duplicate Disposition'!BO:BO)</f>
        <v>0</v>
      </c>
      <c r="BP558" s="705">
        <f>SUMIF('Duplicate Disposition'!$C:$C,$C558,'Duplicate Disposition'!BP:BP)</f>
        <v>0</v>
      </c>
      <c r="BQ558" s="705">
        <f>SUMIF('Duplicate Disposition'!$C:$C,$C558,'Duplicate Disposition'!BQ:BQ)</f>
        <v>0</v>
      </c>
      <c r="BR558" s="705">
        <f>SUMIF('Duplicate Disposition'!$C:$C,$C558,'Duplicate Disposition'!BR:BR)</f>
        <v>0</v>
      </c>
      <c r="BS558" s="705">
        <f>SUMIF('Duplicate Disposition'!$C:$C,$C558,'Duplicate Disposition'!BS:BS)</f>
        <v>0</v>
      </c>
      <c r="BT558" s="705">
        <f>SUMIF('Duplicate Disposition'!$C:$C,$C558,'Duplicate Disposition'!BT:BT)</f>
        <v>10711.5</v>
      </c>
    </row>
    <row r="559" spans="1:72" ht="15" hidden="1" customHeight="1">
      <c r="A559" s="215" t="s">
        <v>1704</v>
      </c>
      <c r="B559" s="725" t="s">
        <v>2944</v>
      </c>
      <c r="C559" s="215" t="s">
        <v>364</v>
      </c>
      <c r="D559" s="215" t="s">
        <v>1705</v>
      </c>
      <c r="E559" s="513" t="s">
        <v>1136</v>
      </c>
      <c r="F559" s="726" t="s">
        <v>1566</v>
      </c>
      <c r="G559" s="513" t="s">
        <v>1135</v>
      </c>
      <c r="H559" s="727" t="s">
        <v>1135</v>
      </c>
      <c r="I559" s="727" t="s">
        <v>1135</v>
      </c>
      <c r="J559" s="727" t="s">
        <v>1137</v>
      </c>
      <c r="K559" s="727" t="s">
        <v>1137</v>
      </c>
      <c r="L559" s="516" t="s">
        <v>342</v>
      </c>
      <c r="M559" s="728" t="s">
        <v>1703</v>
      </c>
      <c r="N559" s="729"/>
      <c r="O559" s="730"/>
      <c r="P559" s="731" t="s">
        <v>365</v>
      </c>
      <c r="Q559" s="732"/>
      <c r="R559" s="737" t="s">
        <v>1140</v>
      </c>
      <c r="S559" s="732"/>
      <c r="T559" s="727" t="s">
        <v>57</v>
      </c>
      <c r="U559" s="747" t="s">
        <v>1141</v>
      </c>
      <c r="V559" s="704"/>
      <c r="W559" s="705">
        <f>SUMIF('Duplicate Disposition'!$C:$C,$C559,'Duplicate Disposition'!W:W)</f>
        <v>0</v>
      </c>
      <c r="X559" s="705">
        <f>SUMIF('Duplicate Disposition'!$C:$C,$C559,'Duplicate Disposition'!X:X)</f>
        <v>2975.3</v>
      </c>
      <c r="Y559" s="705">
        <f>SUMIF('Duplicate Disposition'!$C:$C,$C559,'Duplicate Disposition'!Y:Y)</f>
        <v>0</v>
      </c>
      <c r="Z559" s="705">
        <f>SUMIF('Duplicate Disposition'!$C:$C,$C559,'Duplicate Disposition'!Z:Z)</f>
        <v>0</v>
      </c>
      <c r="AA559" s="705">
        <f>SUMIF('Duplicate Disposition'!$C:$C,$C559,'Duplicate Disposition'!AA:AA)</f>
        <v>1166.01</v>
      </c>
      <c r="AB559" s="705">
        <f>SUMIF('Duplicate Disposition'!$C:$C,$C559,'Duplicate Disposition'!AB:AB)</f>
        <v>0</v>
      </c>
      <c r="AC559" s="705">
        <f>SUMIF('Duplicate Disposition'!$C:$C,$C559,'Duplicate Disposition'!AC:AC)</f>
        <v>1809.29</v>
      </c>
      <c r="AD559" s="705">
        <f>SUMIF('Duplicate Disposition'!$C:$C,$C559,'Duplicate Disposition'!AD:AD)</f>
        <v>5526.11</v>
      </c>
      <c r="AE559" s="705">
        <f>SUMIF('Duplicate Disposition'!$C:$C,$C559,'Duplicate Disposition'!AE:AE)</f>
        <v>299.02999999999997</v>
      </c>
      <c r="AF559" s="705">
        <f>SUMIF('Duplicate Disposition'!$C:$C,$C559,'Duplicate Disposition'!AF:AF)</f>
        <v>2147</v>
      </c>
      <c r="AG559" s="705">
        <f>SUMIF('Duplicate Disposition'!$C:$C,$C559,'Duplicate Disposition'!AG:AG)</f>
        <v>0</v>
      </c>
      <c r="AH559" s="705">
        <f>SUMIF('Duplicate Disposition'!$C:$C,$C559,'Duplicate Disposition'!AH:AH)</f>
        <v>0</v>
      </c>
      <c r="AI559" s="705">
        <f>SUMIF('Duplicate Disposition'!$C:$C,$C559,'Duplicate Disposition'!AI:AI)</f>
        <v>0</v>
      </c>
      <c r="AJ559" s="705">
        <f>SUMIF('Duplicate Disposition'!$C:$C,$C559,'Duplicate Disposition'!AJ:AJ)</f>
        <v>0</v>
      </c>
      <c r="AK559" s="705">
        <f>SUMIF('Duplicate Disposition'!$C:$C,$C559,'Duplicate Disposition'!AK:AK)</f>
        <v>0</v>
      </c>
      <c r="AL559" s="705">
        <f>SUMIF('Duplicate Disposition'!$C:$C,$C559,'Duplicate Disposition'!AL:AL)</f>
        <v>0</v>
      </c>
      <c r="AM559" s="734">
        <f t="shared" si="32"/>
        <v>10947.44</v>
      </c>
      <c r="AN559" s="735">
        <f>ERP_27[[#This Row],[2026 Working Total]]-ERP_27[[#This Row],[LE2 Final Submission]]</f>
        <v>7972.14</v>
      </c>
      <c r="AO559" s="705">
        <f>SUMIF('Duplicate Disposition'!$C:$C,$C559,'Duplicate Disposition'!AO:AO)</f>
        <v>0</v>
      </c>
      <c r="AP559" s="705">
        <f>SUMIF('Duplicate Disposition'!$C:$C,$C559,'Duplicate Disposition'!AP:AP)</f>
        <v>2147</v>
      </c>
      <c r="AQ559" s="713">
        <f>SUMIF('Duplicate Disposition'!$C:$C,$C559,'Duplicate Disposition'!AQ:AQ)</f>
        <v>7972.14</v>
      </c>
      <c r="AR559" s="713">
        <f>SUMIF('Duplicate Disposition'!$C:$C,$C559,'Duplicate Disposition'!AR:AR)</f>
        <v>0</v>
      </c>
      <c r="AS559" s="713">
        <f>SUMIF('Duplicate Disposition'!$C:$C,$C559,'Duplicate Disposition'!AS:AS)</f>
        <v>7972.14</v>
      </c>
      <c r="AT559" s="713">
        <f>SUMIF('Duplicate Disposition'!$C:$C,$C559,'Duplicate Disposition'!AT:AT)</f>
        <v>0</v>
      </c>
      <c r="AU559" s="705">
        <f>SUMIF('Duplicate Disposition'!$C:$C,$C559,'Duplicate Disposition'!AU:AU)</f>
        <v>1166.01</v>
      </c>
      <c r="AV559" s="705">
        <f>SUMIF('Duplicate Disposition'!$C:$C,$C559,'Duplicate Disposition'!AV:AV)</f>
        <v>0</v>
      </c>
      <c r="AW559" s="705">
        <f>SUMIF('Duplicate Disposition'!$C:$C,$C559,'Duplicate Disposition'!AW:AW)</f>
        <v>1809.29</v>
      </c>
      <c r="AX559" s="705">
        <f>SUMIF('Duplicate Disposition'!$C:$C,$C559,'Duplicate Disposition'!AX:AX)</f>
        <v>0</v>
      </c>
      <c r="AY559" s="705">
        <f>SUMIF('Duplicate Disposition'!$C:$C,$C559,'Duplicate Disposition'!AY:AY)</f>
        <v>0</v>
      </c>
      <c r="AZ559" s="705">
        <f>SUMIF('Duplicate Disposition'!$C:$C,$C559,'Duplicate Disposition'!AZ:AZ)</f>
        <v>0</v>
      </c>
      <c r="BA559" s="705">
        <f>SUMIF('Duplicate Disposition'!$C:$C,$C559,'Duplicate Disposition'!BA:BA)</f>
        <v>0</v>
      </c>
      <c r="BB559" s="705">
        <f>SUMIF('Duplicate Disposition'!$C:$C,$C559,'Duplicate Disposition'!BB:BB)</f>
        <v>0</v>
      </c>
      <c r="BC559" s="705">
        <f>SUMIF('Duplicate Disposition'!$C:$C,$C559,'Duplicate Disposition'!BC:BC)</f>
        <v>0</v>
      </c>
      <c r="BD559" s="705">
        <f>SUMIF('Duplicate Disposition'!$C:$C,$C559,'Duplicate Disposition'!BD:BD)</f>
        <v>0</v>
      </c>
      <c r="BE559" s="705">
        <f>SUMIF('Duplicate Disposition'!$C:$C,$C559,'Duplicate Disposition'!BE:BE)</f>
        <v>0</v>
      </c>
      <c r="BF559" s="705">
        <f>SUMIF('Duplicate Disposition'!$C:$C,$C559,'Duplicate Disposition'!BF:BF)</f>
        <v>0</v>
      </c>
      <c r="BG559" s="705">
        <f>SUMIF('Duplicate Disposition'!$C:$C,$C559,'Duplicate Disposition'!BG:BG)</f>
        <v>2975.3</v>
      </c>
      <c r="BH559" s="705">
        <f>SUMIF('Duplicate Disposition'!$C:$C,$C559,'Duplicate Disposition'!BH:BH)</f>
        <v>1166.01</v>
      </c>
      <c r="BI559" s="705">
        <f>SUMIF('Duplicate Disposition'!$C:$C,$C559,'Duplicate Disposition'!BI:BI)</f>
        <v>0</v>
      </c>
      <c r="BJ559" s="705">
        <f>SUMIF('Duplicate Disposition'!$C:$C,$C559,'Duplicate Disposition'!BJ:BJ)</f>
        <v>1809.29</v>
      </c>
      <c r="BK559" s="705">
        <f>SUMIF('Duplicate Disposition'!$C:$C,$C559,'Duplicate Disposition'!BK:BK)</f>
        <v>0</v>
      </c>
      <c r="BL559" s="705">
        <f>SUMIF('Duplicate Disposition'!$C:$C,$C559,'Duplicate Disposition'!BL:BL)</f>
        <v>0</v>
      </c>
      <c r="BM559" s="705">
        <f>SUMIF('Duplicate Disposition'!$C:$C,$C559,'Duplicate Disposition'!BM:BM)</f>
        <v>0</v>
      </c>
      <c r="BN559" s="705">
        <f>SUMIF('Duplicate Disposition'!$C:$C,$C559,'Duplicate Disposition'!BN:BN)</f>
        <v>0</v>
      </c>
      <c r="BO559" s="705">
        <f>SUMIF('Duplicate Disposition'!$C:$C,$C559,'Duplicate Disposition'!BO:BO)</f>
        <v>0</v>
      </c>
      <c r="BP559" s="705">
        <f>SUMIF('Duplicate Disposition'!$C:$C,$C559,'Duplicate Disposition'!BP:BP)</f>
        <v>0</v>
      </c>
      <c r="BQ559" s="705">
        <f>SUMIF('Duplicate Disposition'!$C:$C,$C559,'Duplicate Disposition'!BQ:BQ)</f>
        <v>0</v>
      </c>
      <c r="BR559" s="705">
        <f>SUMIF('Duplicate Disposition'!$C:$C,$C559,'Duplicate Disposition'!BR:BR)</f>
        <v>0</v>
      </c>
      <c r="BS559" s="705">
        <f>SUMIF('Duplicate Disposition'!$C:$C,$C559,'Duplicate Disposition'!BS:BS)</f>
        <v>0</v>
      </c>
      <c r="BT559" s="705">
        <f>SUMIF('Duplicate Disposition'!$C:$C,$C559,'Duplicate Disposition'!BT:BT)</f>
        <v>2975.3</v>
      </c>
    </row>
    <row r="560" spans="1:72" ht="15" hidden="1" customHeight="1">
      <c r="A560" s="215" t="s">
        <v>2177</v>
      </c>
      <c r="B560" s="725" t="s">
        <v>2944</v>
      </c>
      <c r="C560" s="215" t="s">
        <v>619</v>
      </c>
      <c r="D560" s="215" t="s">
        <v>2178</v>
      </c>
      <c r="E560" s="513" t="s">
        <v>1136</v>
      </c>
      <c r="F560" s="726" t="s">
        <v>1566</v>
      </c>
      <c r="G560" s="513" t="s">
        <v>1566</v>
      </c>
      <c r="H560" s="727" t="s">
        <v>1566</v>
      </c>
      <c r="I560" s="727" t="s">
        <v>1567</v>
      </c>
      <c r="J560" s="727" t="s">
        <v>1567</v>
      </c>
      <c r="K560" s="727" t="s">
        <v>1567</v>
      </c>
      <c r="L560" s="516" t="s">
        <v>602</v>
      </c>
      <c r="M560" s="728" t="s">
        <v>2176</v>
      </c>
      <c r="N560" s="729"/>
      <c r="O560" s="730"/>
      <c r="P560" s="731" t="s">
        <v>620</v>
      </c>
      <c r="Q560" s="732"/>
      <c r="R560" s="729"/>
      <c r="S560" s="732"/>
      <c r="T560" s="727" t="s">
        <v>25</v>
      </c>
      <c r="U560" s="733"/>
      <c r="V560" s="704"/>
      <c r="W560" s="705">
        <f>SUMIF('Duplicate Disposition'!$C:$C,$C560,'Duplicate Disposition'!W:W)</f>
        <v>0</v>
      </c>
      <c r="X560" s="705">
        <f>SUMIF('Duplicate Disposition'!$C:$C,$C560,'Duplicate Disposition'!X:X)</f>
        <v>12429.86</v>
      </c>
      <c r="Y560" s="705">
        <f>SUMIF('Duplicate Disposition'!$C:$C,$C560,'Duplicate Disposition'!Y:Y)</f>
        <v>0</v>
      </c>
      <c r="Z560" s="705">
        <f>SUMIF('Duplicate Disposition'!$C:$C,$C560,'Duplicate Disposition'!Z:Z)</f>
        <v>0</v>
      </c>
      <c r="AA560" s="705">
        <f>SUMIF('Duplicate Disposition'!$C:$C,$C560,'Duplicate Disposition'!AA:AA)</f>
        <v>0</v>
      </c>
      <c r="AB560" s="705">
        <f>SUMIF('Duplicate Disposition'!$C:$C,$C560,'Duplicate Disposition'!AB:AB)</f>
        <v>12075.93</v>
      </c>
      <c r="AC560" s="705">
        <f>SUMIF('Duplicate Disposition'!$C:$C,$C560,'Duplicate Disposition'!AC:AC)</f>
        <v>353.93</v>
      </c>
      <c r="AD560" s="705">
        <f>SUMIF('Duplicate Disposition'!$C:$C,$C560,'Duplicate Disposition'!AD:AD)</f>
        <v>0</v>
      </c>
      <c r="AE560" s="705">
        <f>SUMIF('Duplicate Disposition'!$C:$C,$C560,'Duplicate Disposition'!AE:AE)</f>
        <v>0</v>
      </c>
      <c r="AF560" s="705">
        <f>SUMIF('Duplicate Disposition'!$C:$C,$C560,'Duplicate Disposition'!AF:AF)</f>
        <v>0</v>
      </c>
      <c r="AG560" s="705">
        <f>SUMIF('Duplicate Disposition'!$C:$C,$C560,'Duplicate Disposition'!AG:AG)</f>
        <v>0</v>
      </c>
      <c r="AH560" s="705">
        <f>SUMIF('Duplicate Disposition'!$C:$C,$C560,'Duplicate Disposition'!AH:AH)</f>
        <v>0</v>
      </c>
      <c r="AI560" s="705">
        <f>SUMIF('Duplicate Disposition'!$C:$C,$C560,'Duplicate Disposition'!AI:AI)</f>
        <v>0</v>
      </c>
      <c r="AJ560" s="705">
        <f>SUMIF('Duplicate Disposition'!$C:$C,$C560,'Duplicate Disposition'!AJ:AJ)</f>
        <v>0</v>
      </c>
      <c r="AK560" s="705">
        <f>SUMIF('Duplicate Disposition'!$C:$C,$C560,'Duplicate Disposition'!AK:AK)</f>
        <v>0</v>
      </c>
      <c r="AL560" s="705">
        <f>SUMIF('Duplicate Disposition'!$C:$C,$C560,'Duplicate Disposition'!AL:AL)</f>
        <v>0</v>
      </c>
      <c r="AM560" s="734">
        <f t="shared" si="32"/>
        <v>12429.86</v>
      </c>
      <c r="AN560" s="735">
        <f>ERP_27[[#This Row],[2026 Working Total]]-ERP_27[[#This Row],[LE2 Final Submission]]</f>
        <v>0</v>
      </c>
      <c r="AO560" s="705">
        <f>SUMIF('Duplicate Disposition'!$C:$C,$C560,'Duplicate Disposition'!AO:AO)</f>
        <v>0</v>
      </c>
      <c r="AP560" s="705">
        <f>SUMIF('Duplicate Disposition'!$C:$C,$C560,'Duplicate Disposition'!AP:AP)</f>
        <v>0</v>
      </c>
      <c r="AQ560" s="713">
        <f>SUMIF('Duplicate Disposition'!$C:$C,$C560,'Duplicate Disposition'!AQ:AQ)</f>
        <v>0</v>
      </c>
      <c r="AR560" s="713">
        <f>SUMIF('Duplicate Disposition'!$C:$C,$C560,'Duplicate Disposition'!AR:AR)</f>
        <v>0</v>
      </c>
      <c r="AS560" s="713">
        <f>SUMIF('Duplicate Disposition'!$C:$C,$C560,'Duplicate Disposition'!AS:AS)</f>
        <v>0</v>
      </c>
      <c r="AT560" s="713">
        <f>SUMIF('Duplicate Disposition'!$C:$C,$C560,'Duplicate Disposition'!AT:AT)</f>
        <v>0</v>
      </c>
      <c r="AU560" s="705">
        <f>SUMIF('Duplicate Disposition'!$C:$C,$C560,'Duplicate Disposition'!AU:AU)</f>
        <v>0</v>
      </c>
      <c r="AV560" s="705">
        <f>SUMIF('Duplicate Disposition'!$C:$C,$C560,'Duplicate Disposition'!AV:AV)</f>
        <v>12075.93</v>
      </c>
      <c r="AW560" s="705">
        <f>SUMIF('Duplicate Disposition'!$C:$C,$C560,'Duplicate Disposition'!AW:AW)</f>
        <v>353.93</v>
      </c>
      <c r="AX560" s="705">
        <f>SUMIF('Duplicate Disposition'!$C:$C,$C560,'Duplicate Disposition'!AX:AX)</f>
        <v>0</v>
      </c>
      <c r="AY560" s="705">
        <f>SUMIF('Duplicate Disposition'!$C:$C,$C560,'Duplicate Disposition'!AY:AY)</f>
        <v>0</v>
      </c>
      <c r="AZ560" s="705">
        <f>SUMIF('Duplicate Disposition'!$C:$C,$C560,'Duplicate Disposition'!AZ:AZ)</f>
        <v>0</v>
      </c>
      <c r="BA560" s="705">
        <f>SUMIF('Duplicate Disposition'!$C:$C,$C560,'Duplicate Disposition'!BA:BA)</f>
        <v>0</v>
      </c>
      <c r="BB560" s="705">
        <f>SUMIF('Duplicate Disposition'!$C:$C,$C560,'Duplicate Disposition'!BB:BB)</f>
        <v>0</v>
      </c>
      <c r="BC560" s="705">
        <f>SUMIF('Duplicate Disposition'!$C:$C,$C560,'Duplicate Disposition'!BC:BC)</f>
        <v>0</v>
      </c>
      <c r="BD560" s="705">
        <f>SUMIF('Duplicate Disposition'!$C:$C,$C560,'Duplicate Disposition'!BD:BD)</f>
        <v>0</v>
      </c>
      <c r="BE560" s="705">
        <f>SUMIF('Duplicate Disposition'!$C:$C,$C560,'Duplicate Disposition'!BE:BE)</f>
        <v>0</v>
      </c>
      <c r="BF560" s="705">
        <f>SUMIF('Duplicate Disposition'!$C:$C,$C560,'Duplicate Disposition'!BF:BF)</f>
        <v>0</v>
      </c>
      <c r="BG560" s="705">
        <f>SUMIF('Duplicate Disposition'!$C:$C,$C560,'Duplicate Disposition'!BG:BG)</f>
        <v>12429.86</v>
      </c>
      <c r="BH560" s="705">
        <f>SUMIF('Duplicate Disposition'!$C:$C,$C560,'Duplicate Disposition'!BH:BH)</f>
        <v>0</v>
      </c>
      <c r="BI560" s="705">
        <f>SUMIF('Duplicate Disposition'!$C:$C,$C560,'Duplicate Disposition'!BI:BI)</f>
        <v>12075.93</v>
      </c>
      <c r="BJ560" s="705">
        <f>SUMIF('Duplicate Disposition'!$C:$C,$C560,'Duplicate Disposition'!BJ:BJ)</f>
        <v>353.93</v>
      </c>
      <c r="BK560" s="705">
        <f>SUMIF('Duplicate Disposition'!$C:$C,$C560,'Duplicate Disposition'!BK:BK)</f>
        <v>0</v>
      </c>
      <c r="BL560" s="705">
        <f>SUMIF('Duplicate Disposition'!$C:$C,$C560,'Duplicate Disposition'!BL:BL)</f>
        <v>0</v>
      </c>
      <c r="BM560" s="705">
        <f>SUMIF('Duplicate Disposition'!$C:$C,$C560,'Duplicate Disposition'!BM:BM)</f>
        <v>0</v>
      </c>
      <c r="BN560" s="705">
        <f>SUMIF('Duplicate Disposition'!$C:$C,$C560,'Duplicate Disposition'!BN:BN)</f>
        <v>0</v>
      </c>
      <c r="BO560" s="705">
        <f>SUMIF('Duplicate Disposition'!$C:$C,$C560,'Duplicate Disposition'!BO:BO)</f>
        <v>0</v>
      </c>
      <c r="BP560" s="705">
        <f>SUMIF('Duplicate Disposition'!$C:$C,$C560,'Duplicate Disposition'!BP:BP)</f>
        <v>0</v>
      </c>
      <c r="BQ560" s="705">
        <f>SUMIF('Duplicate Disposition'!$C:$C,$C560,'Duplicate Disposition'!BQ:BQ)</f>
        <v>0</v>
      </c>
      <c r="BR560" s="705">
        <f>SUMIF('Duplicate Disposition'!$C:$C,$C560,'Duplicate Disposition'!BR:BR)</f>
        <v>0</v>
      </c>
      <c r="BS560" s="705">
        <f>SUMIF('Duplicate Disposition'!$C:$C,$C560,'Duplicate Disposition'!BS:BS)</f>
        <v>0</v>
      </c>
      <c r="BT560" s="705">
        <f>SUMIF('Duplicate Disposition'!$C:$C,$C560,'Duplicate Disposition'!BT:BT)</f>
        <v>12429.86</v>
      </c>
    </row>
    <row r="561" spans="1:72" ht="15" hidden="1" customHeight="1">
      <c r="A561" s="215" t="s">
        <v>2115</v>
      </c>
      <c r="B561" s="725" t="s">
        <v>2944</v>
      </c>
      <c r="C561" s="215" t="s">
        <v>580</v>
      </c>
      <c r="D561" s="215" t="s">
        <v>2116</v>
      </c>
      <c r="E561" s="513" t="s">
        <v>1136</v>
      </c>
      <c r="F561" s="726" t="s">
        <v>1566</v>
      </c>
      <c r="G561" s="513" t="s">
        <v>1566</v>
      </c>
      <c r="H561" s="727" t="s">
        <v>1566</v>
      </c>
      <c r="I561" s="727" t="s">
        <v>1567</v>
      </c>
      <c r="J561" s="727" t="s">
        <v>1567</v>
      </c>
      <c r="K561" s="727" t="s">
        <v>1567</v>
      </c>
      <c r="L561" s="516" t="s">
        <v>389</v>
      </c>
      <c r="M561" s="728" t="s">
        <v>1703</v>
      </c>
      <c r="N561" s="729"/>
      <c r="O561" s="730"/>
      <c r="P561" s="731" t="s">
        <v>365</v>
      </c>
      <c r="Q561" s="732"/>
      <c r="R561" s="737" t="s">
        <v>1140</v>
      </c>
      <c r="S561" s="732"/>
      <c r="T561" s="727" t="s">
        <v>57</v>
      </c>
      <c r="U561" s="733"/>
      <c r="V561" s="704"/>
      <c r="W561" s="705">
        <f>SUMIF('Duplicate Disposition'!$C:$C,$C561,'Duplicate Disposition'!W:W)</f>
        <v>18000</v>
      </c>
      <c r="X561" s="705">
        <f>SUMIF('Duplicate Disposition'!$C:$C,$C561,'Duplicate Disposition'!X:X)</f>
        <v>17727.5</v>
      </c>
      <c r="Y561" s="705">
        <f>SUMIF('Duplicate Disposition'!$C:$C,$C561,'Duplicate Disposition'!Y:Y)</f>
        <v>0</v>
      </c>
      <c r="Z561" s="705">
        <f>SUMIF('Duplicate Disposition'!$C:$C,$C561,'Duplicate Disposition'!Z:Z)</f>
        <v>0</v>
      </c>
      <c r="AA561" s="705">
        <f>SUMIF('Duplicate Disposition'!$C:$C,$C561,'Duplicate Disposition'!AA:AA)</f>
        <v>4227.5</v>
      </c>
      <c r="AB561" s="705">
        <f>SUMIF('Duplicate Disposition'!$C:$C,$C561,'Duplicate Disposition'!AB:AB)</f>
        <v>0</v>
      </c>
      <c r="AC561" s="705">
        <f>SUMIF('Duplicate Disposition'!$C:$C,$C561,'Duplicate Disposition'!AC:AC)</f>
        <v>0</v>
      </c>
      <c r="AD561" s="705">
        <f>SUMIF('Duplicate Disposition'!$C:$C,$C561,'Duplicate Disposition'!AD:AD)</f>
        <v>0</v>
      </c>
      <c r="AE561" s="705">
        <f>SUMIF('Duplicate Disposition'!$C:$C,$C561,'Duplicate Disposition'!AE:AE)</f>
        <v>92.06</v>
      </c>
      <c r="AF561" s="705">
        <f>SUMIF('Duplicate Disposition'!$C:$C,$C561,'Duplicate Disposition'!AF:AF)</f>
        <v>479.12</v>
      </c>
      <c r="AG561" s="705">
        <f>SUMIF('Duplicate Disposition'!$C:$C,$C561,'Duplicate Disposition'!AG:AG)</f>
        <v>1500</v>
      </c>
      <c r="AH561" s="705">
        <f>SUMIF('Duplicate Disposition'!$C:$C,$C561,'Duplicate Disposition'!AH:AH)</f>
        <v>1500</v>
      </c>
      <c r="AI561" s="705">
        <f>SUMIF('Duplicate Disposition'!$C:$C,$C561,'Duplicate Disposition'!AI:AI)</f>
        <v>1500</v>
      </c>
      <c r="AJ561" s="705">
        <f>SUMIF('Duplicate Disposition'!$C:$C,$C561,'Duplicate Disposition'!AJ:AJ)</f>
        <v>1500</v>
      </c>
      <c r="AK561" s="705">
        <f>SUMIF('Duplicate Disposition'!$C:$C,$C561,'Duplicate Disposition'!AK:AK)</f>
        <v>1500</v>
      </c>
      <c r="AL561" s="705">
        <f>SUMIF('Duplicate Disposition'!$C:$C,$C561,'Duplicate Disposition'!AL:AL)</f>
        <v>1500</v>
      </c>
      <c r="AM561" s="734">
        <f t="shared" si="32"/>
        <v>13798.68</v>
      </c>
      <c r="AN561" s="735">
        <f>ERP_27[[#This Row],[2026 Working Total]]-ERP_27[[#This Row],[LE2 Final Submission]]</f>
        <v>-3928.8199999999997</v>
      </c>
      <c r="AO561" s="705">
        <f>SUMIF('Duplicate Disposition'!$C:$C,$C561,'Duplicate Disposition'!AO:AO)</f>
        <v>1500</v>
      </c>
      <c r="AP561" s="705">
        <f>SUMIF('Duplicate Disposition'!$C:$C,$C561,'Duplicate Disposition'!AP:AP)</f>
        <v>-1020.8799999999999</v>
      </c>
      <c r="AQ561" s="713">
        <f>SUMIF('Duplicate Disposition'!$C:$C,$C561,'Duplicate Disposition'!AQ:AQ)</f>
        <v>-3928.8199999999997</v>
      </c>
      <c r="AR561" s="713">
        <f>SUMIF('Duplicate Disposition'!$C:$C,$C561,'Duplicate Disposition'!AR:AR)</f>
        <v>0</v>
      </c>
      <c r="AS561" s="713">
        <f>SUMIF('Duplicate Disposition'!$C:$C,$C561,'Duplicate Disposition'!AS:AS)</f>
        <v>-3928.8199999999997</v>
      </c>
      <c r="AT561" s="713">
        <f>SUMIF('Duplicate Disposition'!$C:$C,$C561,'Duplicate Disposition'!AT:AT)</f>
        <v>0</v>
      </c>
      <c r="AU561" s="705">
        <f>SUMIF('Duplicate Disposition'!$C:$C,$C561,'Duplicate Disposition'!AU:AU)</f>
        <v>4227.5</v>
      </c>
      <c r="AV561" s="705">
        <f>SUMIF('Duplicate Disposition'!$C:$C,$C561,'Duplicate Disposition'!AV:AV)</f>
        <v>0</v>
      </c>
      <c r="AW561" s="705">
        <f>SUMIF('Duplicate Disposition'!$C:$C,$C561,'Duplicate Disposition'!AW:AW)</f>
        <v>0</v>
      </c>
      <c r="AX561" s="705">
        <f>SUMIF('Duplicate Disposition'!$C:$C,$C561,'Duplicate Disposition'!AX:AX)</f>
        <v>1500</v>
      </c>
      <c r="AY561" s="705">
        <f>SUMIF('Duplicate Disposition'!$C:$C,$C561,'Duplicate Disposition'!AY:AY)</f>
        <v>1500</v>
      </c>
      <c r="AZ561" s="705">
        <f>SUMIF('Duplicate Disposition'!$C:$C,$C561,'Duplicate Disposition'!AZ:AZ)</f>
        <v>1500</v>
      </c>
      <c r="BA561" s="705">
        <f>SUMIF('Duplicate Disposition'!$C:$C,$C561,'Duplicate Disposition'!BA:BA)</f>
        <v>1500</v>
      </c>
      <c r="BB561" s="705">
        <f>SUMIF('Duplicate Disposition'!$C:$C,$C561,'Duplicate Disposition'!BB:BB)</f>
        <v>1500</v>
      </c>
      <c r="BC561" s="705">
        <f>SUMIF('Duplicate Disposition'!$C:$C,$C561,'Duplicate Disposition'!BC:BC)</f>
        <v>1500</v>
      </c>
      <c r="BD561" s="705">
        <f>SUMIF('Duplicate Disposition'!$C:$C,$C561,'Duplicate Disposition'!BD:BD)</f>
        <v>1500</v>
      </c>
      <c r="BE561" s="705">
        <f>SUMIF('Duplicate Disposition'!$C:$C,$C561,'Duplicate Disposition'!BE:BE)</f>
        <v>1500</v>
      </c>
      <c r="BF561" s="705">
        <f>SUMIF('Duplicate Disposition'!$C:$C,$C561,'Duplicate Disposition'!BF:BF)</f>
        <v>1500</v>
      </c>
      <c r="BG561" s="705">
        <f>SUMIF('Duplicate Disposition'!$C:$C,$C561,'Duplicate Disposition'!BG:BG)</f>
        <v>17727.5</v>
      </c>
      <c r="BH561" s="705">
        <f>SUMIF('Duplicate Disposition'!$C:$C,$C561,'Duplicate Disposition'!BH:BH)</f>
        <v>4227.5</v>
      </c>
      <c r="BI561" s="705">
        <f>SUMIF('Duplicate Disposition'!$C:$C,$C561,'Duplicate Disposition'!BI:BI)</f>
        <v>0</v>
      </c>
      <c r="BJ561" s="705">
        <f>SUMIF('Duplicate Disposition'!$C:$C,$C561,'Duplicate Disposition'!BJ:BJ)</f>
        <v>0</v>
      </c>
      <c r="BK561" s="705">
        <f>SUMIF('Duplicate Disposition'!$C:$C,$C561,'Duplicate Disposition'!BK:BK)</f>
        <v>1500</v>
      </c>
      <c r="BL561" s="705">
        <f>SUMIF('Duplicate Disposition'!$C:$C,$C561,'Duplicate Disposition'!BL:BL)</f>
        <v>1500</v>
      </c>
      <c r="BM561" s="705">
        <f>SUMIF('Duplicate Disposition'!$C:$C,$C561,'Duplicate Disposition'!BM:BM)</f>
        <v>1500</v>
      </c>
      <c r="BN561" s="705">
        <f>SUMIF('Duplicate Disposition'!$C:$C,$C561,'Duplicate Disposition'!BN:BN)</f>
        <v>1500</v>
      </c>
      <c r="BO561" s="705">
        <f>SUMIF('Duplicate Disposition'!$C:$C,$C561,'Duplicate Disposition'!BO:BO)</f>
        <v>1500</v>
      </c>
      <c r="BP561" s="705">
        <f>SUMIF('Duplicate Disposition'!$C:$C,$C561,'Duplicate Disposition'!BP:BP)</f>
        <v>1500</v>
      </c>
      <c r="BQ561" s="705">
        <f>SUMIF('Duplicate Disposition'!$C:$C,$C561,'Duplicate Disposition'!BQ:BQ)</f>
        <v>1500</v>
      </c>
      <c r="BR561" s="705">
        <f>SUMIF('Duplicate Disposition'!$C:$C,$C561,'Duplicate Disposition'!BR:BR)</f>
        <v>1500</v>
      </c>
      <c r="BS561" s="705">
        <f>SUMIF('Duplicate Disposition'!$C:$C,$C561,'Duplicate Disposition'!BS:BS)</f>
        <v>1500</v>
      </c>
      <c r="BT561" s="705">
        <f>SUMIF('Duplicate Disposition'!$C:$C,$C561,'Duplicate Disposition'!BT:BT)</f>
        <v>17727.5</v>
      </c>
    </row>
    <row r="562" spans="1:72" ht="15" hidden="1" customHeight="1">
      <c r="A562" s="215" t="s">
        <v>2180</v>
      </c>
      <c r="B562" s="725" t="s">
        <v>2944</v>
      </c>
      <c r="C562" s="215" t="s">
        <v>621</v>
      </c>
      <c r="D562" s="215" t="s">
        <v>2181</v>
      </c>
      <c r="E562" s="513" t="s">
        <v>1136</v>
      </c>
      <c r="F562" s="726" t="s">
        <v>1566</v>
      </c>
      <c r="G562" s="726" t="s">
        <v>1566</v>
      </c>
      <c r="H562" s="748" t="s">
        <v>1566</v>
      </c>
      <c r="I562" s="727" t="s">
        <v>1345</v>
      </c>
      <c r="J562" s="727" t="s">
        <v>1346</v>
      </c>
      <c r="K562" s="727" t="s">
        <v>1346</v>
      </c>
      <c r="L562" s="516" t="s">
        <v>602</v>
      </c>
      <c r="M562" s="728" t="s">
        <v>611</v>
      </c>
      <c r="N562" s="729"/>
      <c r="O562" s="730"/>
      <c r="P562" s="731" t="s">
        <v>610</v>
      </c>
      <c r="Q562" s="732"/>
      <c r="R562" s="729"/>
      <c r="S562" s="732"/>
      <c r="T562" s="727" t="s">
        <v>611</v>
      </c>
      <c r="U562" s="733"/>
      <c r="V562" s="704"/>
      <c r="W562" s="705">
        <f>SUMIF('Duplicate Disposition'!$C:$C,$C562,'Duplicate Disposition'!W:W)</f>
        <v>0</v>
      </c>
      <c r="X562" s="705">
        <f>SUMIF('Duplicate Disposition'!$C:$C,$C562,'Duplicate Disposition'!X:X)</f>
        <v>9912.07</v>
      </c>
      <c r="Y562" s="705">
        <f>SUMIF('Duplicate Disposition'!$C:$C,$C562,'Duplicate Disposition'!Y:Y)</f>
        <v>0</v>
      </c>
      <c r="Z562" s="705">
        <f>SUMIF('Duplicate Disposition'!$C:$C,$C562,'Duplicate Disposition'!Z:Z)</f>
        <v>0</v>
      </c>
      <c r="AA562" s="705">
        <f>SUMIF('Duplicate Disposition'!$C:$C,$C562,'Duplicate Disposition'!AA:AA)</f>
        <v>497.59</v>
      </c>
      <c r="AB562" s="705">
        <f>SUMIF('Duplicate Disposition'!$C:$C,$C562,'Duplicate Disposition'!AB:AB)</f>
        <v>9120.58</v>
      </c>
      <c r="AC562" s="705">
        <f>SUMIF('Duplicate Disposition'!$C:$C,$C562,'Duplicate Disposition'!AC:AC)</f>
        <v>293.89999999999998</v>
      </c>
      <c r="AD562" s="705">
        <f>SUMIF('Duplicate Disposition'!$C:$C,$C562,'Duplicate Disposition'!AD:AD)</f>
        <v>4340.0200000000004</v>
      </c>
      <c r="AE562" s="705">
        <f>SUMIF('Duplicate Disposition'!$C:$C,$C562,'Duplicate Disposition'!AE:AE)</f>
        <v>291.29999999999984</v>
      </c>
      <c r="AF562" s="705">
        <f>SUMIF('Duplicate Disposition'!$C:$C,$C562,'Duplicate Disposition'!AF:AF)</f>
        <v>-458.89999999999986</v>
      </c>
      <c r="AG562" s="705">
        <f>SUMIF('Duplicate Disposition'!$C:$C,$C562,'Duplicate Disposition'!AG:AG)</f>
        <v>0</v>
      </c>
      <c r="AH562" s="705">
        <f>SUMIF('Duplicate Disposition'!$C:$C,$C562,'Duplicate Disposition'!AH:AH)</f>
        <v>0</v>
      </c>
      <c r="AI562" s="705">
        <f>SUMIF('Duplicate Disposition'!$C:$C,$C562,'Duplicate Disposition'!AI:AI)</f>
        <v>0</v>
      </c>
      <c r="AJ562" s="705">
        <f>SUMIF('Duplicate Disposition'!$C:$C,$C562,'Duplicate Disposition'!AJ:AJ)</f>
        <v>0</v>
      </c>
      <c r="AK562" s="705">
        <f>SUMIF('Duplicate Disposition'!$C:$C,$C562,'Duplicate Disposition'!AK:AK)</f>
        <v>0</v>
      </c>
      <c r="AL562" s="705">
        <f>SUMIF('Duplicate Disposition'!$C:$C,$C562,'Duplicate Disposition'!AL:AL)</f>
        <v>0</v>
      </c>
      <c r="AM562" s="734">
        <f t="shared" si="32"/>
        <v>14084.49</v>
      </c>
      <c r="AN562" s="735">
        <f>ERP_27[[#This Row],[2026 Working Total]]-ERP_27[[#This Row],[LE2 Final Submission]]</f>
        <v>4172.42</v>
      </c>
      <c r="AO562" s="705">
        <f>SUMIF('Duplicate Disposition'!$C:$C,$C562,'Duplicate Disposition'!AO:AO)</f>
        <v>0</v>
      </c>
      <c r="AP562" s="705">
        <f>SUMIF('Duplicate Disposition'!$C:$C,$C562,'Duplicate Disposition'!AP:AP)</f>
        <v>-458.89999999999986</v>
      </c>
      <c r="AQ562" s="713">
        <f>SUMIF('Duplicate Disposition'!$C:$C,$C562,'Duplicate Disposition'!AQ:AQ)</f>
        <v>4172.42</v>
      </c>
      <c r="AR562" s="713">
        <f>SUMIF('Duplicate Disposition'!$C:$C,$C562,'Duplicate Disposition'!AR:AR)</f>
        <v>0</v>
      </c>
      <c r="AS562" s="713">
        <f>SUMIF('Duplicate Disposition'!$C:$C,$C562,'Duplicate Disposition'!AS:AS)</f>
        <v>4172.42</v>
      </c>
      <c r="AT562" s="713">
        <f>SUMIF('Duplicate Disposition'!$C:$C,$C562,'Duplicate Disposition'!AT:AT)</f>
        <v>0</v>
      </c>
      <c r="AU562" s="705">
        <f>SUMIF('Duplicate Disposition'!$C:$C,$C562,'Duplicate Disposition'!AU:AU)</f>
        <v>497.59</v>
      </c>
      <c r="AV562" s="705">
        <f>SUMIF('Duplicate Disposition'!$C:$C,$C562,'Duplicate Disposition'!AV:AV)</f>
        <v>9120.58</v>
      </c>
      <c r="AW562" s="705">
        <f>SUMIF('Duplicate Disposition'!$C:$C,$C562,'Duplicate Disposition'!AW:AW)</f>
        <v>293.89999999999998</v>
      </c>
      <c r="AX562" s="705">
        <f>SUMIF('Duplicate Disposition'!$C:$C,$C562,'Duplicate Disposition'!AX:AX)</f>
        <v>0</v>
      </c>
      <c r="AY562" s="705">
        <f>SUMIF('Duplicate Disposition'!$C:$C,$C562,'Duplicate Disposition'!AY:AY)</f>
        <v>0</v>
      </c>
      <c r="AZ562" s="705">
        <f>SUMIF('Duplicate Disposition'!$C:$C,$C562,'Duplicate Disposition'!AZ:AZ)</f>
        <v>0</v>
      </c>
      <c r="BA562" s="705">
        <f>SUMIF('Duplicate Disposition'!$C:$C,$C562,'Duplicate Disposition'!BA:BA)</f>
        <v>0</v>
      </c>
      <c r="BB562" s="705">
        <f>SUMIF('Duplicate Disposition'!$C:$C,$C562,'Duplicate Disposition'!BB:BB)</f>
        <v>0</v>
      </c>
      <c r="BC562" s="705">
        <f>SUMIF('Duplicate Disposition'!$C:$C,$C562,'Duplicate Disposition'!BC:BC)</f>
        <v>0</v>
      </c>
      <c r="BD562" s="705">
        <f>SUMIF('Duplicate Disposition'!$C:$C,$C562,'Duplicate Disposition'!BD:BD)</f>
        <v>0</v>
      </c>
      <c r="BE562" s="705">
        <f>SUMIF('Duplicate Disposition'!$C:$C,$C562,'Duplicate Disposition'!BE:BE)</f>
        <v>0</v>
      </c>
      <c r="BF562" s="705">
        <f>SUMIF('Duplicate Disposition'!$C:$C,$C562,'Duplicate Disposition'!BF:BF)</f>
        <v>0</v>
      </c>
      <c r="BG562" s="705">
        <f>SUMIF('Duplicate Disposition'!$C:$C,$C562,'Duplicate Disposition'!BG:BG)</f>
        <v>9912.07</v>
      </c>
      <c r="BH562" s="705">
        <f>SUMIF('Duplicate Disposition'!$C:$C,$C562,'Duplicate Disposition'!BH:BH)</f>
        <v>497.59</v>
      </c>
      <c r="BI562" s="705">
        <f>SUMIF('Duplicate Disposition'!$C:$C,$C562,'Duplicate Disposition'!BI:BI)</f>
        <v>9120.58</v>
      </c>
      <c r="BJ562" s="705">
        <f>SUMIF('Duplicate Disposition'!$C:$C,$C562,'Duplicate Disposition'!BJ:BJ)</f>
        <v>293.89999999999998</v>
      </c>
      <c r="BK562" s="705">
        <f>SUMIF('Duplicate Disposition'!$C:$C,$C562,'Duplicate Disposition'!BK:BK)</f>
        <v>0</v>
      </c>
      <c r="BL562" s="705">
        <f>SUMIF('Duplicate Disposition'!$C:$C,$C562,'Duplicate Disposition'!BL:BL)</f>
        <v>0</v>
      </c>
      <c r="BM562" s="705">
        <f>SUMIF('Duplicate Disposition'!$C:$C,$C562,'Duplicate Disposition'!BM:BM)</f>
        <v>0</v>
      </c>
      <c r="BN562" s="705">
        <f>SUMIF('Duplicate Disposition'!$C:$C,$C562,'Duplicate Disposition'!BN:BN)</f>
        <v>0</v>
      </c>
      <c r="BO562" s="705">
        <f>SUMIF('Duplicate Disposition'!$C:$C,$C562,'Duplicate Disposition'!BO:BO)</f>
        <v>0</v>
      </c>
      <c r="BP562" s="705">
        <f>SUMIF('Duplicate Disposition'!$C:$C,$C562,'Duplicate Disposition'!BP:BP)</f>
        <v>0</v>
      </c>
      <c r="BQ562" s="705">
        <f>SUMIF('Duplicate Disposition'!$C:$C,$C562,'Duplicate Disposition'!BQ:BQ)</f>
        <v>0</v>
      </c>
      <c r="BR562" s="705">
        <f>SUMIF('Duplicate Disposition'!$C:$C,$C562,'Duplicate Disposition'!BR:BR)</f>
        <v>0</v>
      </c>
      <c r="BS562" s="705">
        <f>SUMIF('Duplicate Disposition'!$C:$C,$C562,'Duplicate Disposition'!BS:BS)</f>
        <v>0</v>
      </c>
      <c r="BT562" s="705">
        <f>SUMIF('Duplicate Disposition'!$C:$C,$C562,'Duplicate Disposition'!BT:BT)</f>
        <v>9912.07</v>
      </c>
    </row>
    <row r="563" spans="1:72" ht="15" hidden="1" customHeight="1">
      <c r="A563" s="215" t="s">
        <v>1326</v>
      </c>
      <c r="B563" s="725" t="s">
        <v>2944</v>
      </c>
      <c r="C563" s="215" t="s">
        <v>146</v>
      </c>
      <c r="D563" s="215" t="s">
        <v>146</v>
      </c>
      <c r="E563" s="513" t="s">
        <v>1136</v>
      </c>
      <c r="F563" s="726" t="s">
        <v>1566</v>
      </c>
      <c r="G563" s="513" t="s">
        <v>1135</v>
      </c>
      <c r="H563" s="727" t="s">
        <v>1135</v>
      </c>
      <c r="I563" s="727" t="s">
        <v>1135</v>
      </c>
      <c r="J563" s="727" t="s">
        <v>1135</v>
      </c>
      <c r="K563" s="727" t="s">
        <v>1137</v>
      </c>
      <c r="L563" s="516" t="s">
        <v>49</v>
      </c>
      <c r="M563" s="728" t="s">
        <v>1327</v>
      </c>
      <c r="N563" s="729"/>
      <c r="O563" s="730"/>
      <c r="P563" s="731" t="s">
        <v>147</v>
      </c>
      <c r="Q563" s="732"/>
      <c r="R563" s="729"/>
      <c r="S563" s="732"/>
      <c r="T563" s="727" t="s">
        <v>25</v>
      </c>
      <c r="U563" s="733"/>
      <c r="V563" s="704"/>
      <c r="W563" s="705">
        <f>SUMIF('Duplicate Disposition'!$C:$C,$C563,'Duplicate Disposition'!W:W)</f>
        <v>0</v>
      </c>
      <c r="X563" s="705">
        <f>SUMIF('Duplicate Disposition'!$C:$C,$C563,'Duplicate Disposition'!X:X)</f>
        <v>6251.2899999999991</v>
      </c>
      <c r="Y563" s="705">
        <f>SUMIF('Duplicate Disposition'!$C:$C,$C563,'Duplicate Disposition'!Y:Y)</f>
        <v>0</v>
      </c>
      <c r="Z563" s="705">
        <f>SUMIF('Duplicate Disposition'!$C:$C,$C563,'Duplicate Disposition'!Z:Z)</f>
        <v>0</v>
      </c>
      <c r="AA563" s="705">
        <f>SUMIF('Duplicate Disposition'!$C:$C,$C563,'Duplicate Disposition'!AA:AA)</f>
        <v>20761.889999999996</v>
      </c>
      <c r="AB563" s="705">
        <f>SUMIF('Duplicate Disposition'!$C:$C,$C563,'Duplicate Disposition'!AB:AB)</f>
        <v>22512.719999999994</v>
      </c>
      <c r="AC563" s="705">
        <f>SUMIF('Duplicate Disposition'!$C:$C,$C563,'Duplicate Disposition'!AC:AC)</f>
        <v>-37023.32</v>
      </c>
      <c r="AD563" s="705">
        <f>SUMIF('Duplicate Disposition'!$C:$C,$C563,'Duplicate Disposition'!AD:AD)</f>
        <v>128.94999999999996</v>
      </c>
      <c r="AE563" s="705">
        <f>SUMIF('Duplicate Disposition'!$C:$C,$C563,'Duplicate Disposition'!AE:AE)</f>
        <v>288.7299999999999</v>
      </c>
      <c r="AF563" s="705">
        <f>SUMIF('Duplicate Disposition'!$C:$C,$C563,'Duplicate Disposition'!AF:AF)</f>
        <v>8316.07</v>
      </c>
      <c r="AG563" s="705">
        <f>SUMIF('Duplicate Disposition'!$C:$C,$C563,'Duplicate Disposition'!AG:AG)</f>
        <v>0</v>
      </c>
      <c r="AH563" s="705">
        <f>SUMIF('Duplicate Disposition'!$C:$C,$C563,'Duplicate Disposition'!AH:AH)</f>
        <v>0</v>
      </c>
      <c r="AI563" s="705">
        <f>SUMIF('Duplicate Disposition'!$C:$C,$C563,'Duplicate Disposition'!AI:AI)</f>
        <v>0</v>
      </c>
      <c r="AJ563" s="705">
        <f>SUMIF('Duplicate Disposition'!$C:$C,$C563,'Duplicate Disposition'!AJ:AJ)</f>
        <v>0</v>
      </c>
      <c r="AK563" s="705">
        <f>SUMIF('Duplicate Disposition'!$C:$C,$C563,'Duplicate Disposition'!AK:AK)</f>
        <v>0</v>
      </c>
      <c r="AL563" s="705">
        <f>SUMIF('Duplicate Disposition'!$C:$C,$C563,'Duplicate Disposition'!AL:AL)</f>
        <v>0</v>
      </c>
      <c r="AM563" s="734">
        <f t="shared" si="32"/>
        <v>14985.039999999986</v>
      </c>
      <c r="AN563" s="735">
        <f>ERP_27[[#This Row],[2026 Working Total]]-ERP_27[[#This Row],[LE2 Final Submission]]</f>
        <v>8733.7499999999873</v>
      </c>
      <c r="AO563" s="705">
        <f>SUMIF('Duplicate Disposition'!$C:$C,$C563,'Duplicate Disposition'!AO:AO)</f>
        <v>0</v>
      </c>
      <c r="AP563" s="705">
        <f>SUMIF('Duplicate Disposition'!$C:$C,$C563,'Duplicate Disposition'!AP:AP)</f>
        <v>8316.07</v>
      </c>
      <c r="AQ563" s="713">
        <f>SUMIF('Duplicate Disposition'!$C:$C,$C563,'Duplicate Disposition'!AQ:AQ)</f>
        <v>8733.75</v>
      </c>
      <c r="AR563" s="713">
        <f>SUMIF('Duplicate Disposition'!$C:$C,$C563,'Duplicate Disposition'!AR:AR)</f>
        <v>0</v>
      </c>
      <c r="AS563" s="713">
        <f>SUMIF('Duplicate Disposition'!$C:$C,$C563,'Duplicate Disposition'!AS:AS)</f>
        <v>8733.75</v>
      </c>
      <c r="AT563" s="713">
        <f>SUMIF('Duplicate Disposition'!$C:$C,$C563,'Duplicate Disposition'!AT:AT)</f>
        <v>0</v>
      </c>
      <c r="AU563" s="705">
        <f>SUMIF('Duplicate Disposition'!$C:$C,$C563,'Duplicate Disposition'!AU:AU)</f>
        <v>20761.889999999996</v>
      </c>
      <c r="AV563" s="705">
        <f>SUMIF('Duplicate Disposition'!$C:$C,$C563,'Duplicate Disposition'!AV:AV)</f>
        <v>22512.719999999994</v>
      </c>
      <c r="AW563" s="705">
        <f>SUMIF('Duplicate Disposition'!$C:$C,$C563,'Duplicate Disposition'!AW:AW)</f>
        <v>-37023.32</v>
      </c>
      <c r="AX563" s="705">
        <f>SUMIF('Duplicate Disposition'!$C:$C,$C563,'Duplicate Disposition'!AX:AX)</f>
        <v>0</v>
      </c>
      <c r="AY563" s="705">
        <f>SUMIF('Duplicate Disposition'!$C:$C,$C563,'Duplicate Disposition'!AY:AY)</f>
        <v>0</v>
      </c>
      <c r="AZ563" s="705">
        <f>SUMIF('Duplicate Disposition'!$C:$C,$C563,'Duplicate Disposition'!AZ:AZ)</f>
        <v>0</v>
      </c>
      <c r="BA563" s="705">
        <f>SUMIF('Duplicate Disposition'!$C:$C,$C563,'Duplicate Disposition'!BA:BA)</f>
        <v>0</v>
      </c>
      <c r="BB563" s="705">
        <f>SUMIF('Duplicate Disposition'!$C:$C,$C563,'Duplicate Disposition'!BB:BB)</f>
        <v>0</v>
      </c>
      <c r="BC563" s="705">
        <f>SUMIF('Duplicate Disposition'!$C:$C,$C563,'Duplicate Disposition'!BC:BC)</f>
        <v>0</v>
      </c>
      <c r="BD563" s="705">
        <f>SUMIF('Duplicate Disposition'!$C:$C,$C563,'Duplicate Disposition'!BD:BD)</f>
        <v>0</v>
      </c>
      <c r="BE563" s="705">
        <f>SUMIF('Duplicate Disposition'!$C:$C,$C563,'Duplicate Disposition'!BE:BE)</f>
        <v>0</v>
      </c>
      <c r="BF563" s="705">
        <f>SUMIF('Duplicate Disposition'!$C:$C,$C563,'Duplicate Disposition'!BF:BF)</f>
        <v>0</v>
      </c>
      <c r="BG563" s="705">
        <f>SUMIF('Duplicate Disposition'!$C:$C,$C563,'Duplicate Disposition'!BG:BG)</f>
        <v>6251.2899999999991</v>
      </c>
      <c r="BH563" s="705">
        <f>SUMIF('Duplicate Disposition'!$C:$C,$C563,'Duplicate Disposition'!BH:BH)</f>
        <v>20761.889999999996</v>
      </c>
      <c r="BI563" s="705">
        <f>SUMIF('Duplicate Disposition'!$C:$C,$C563,'Duplicate Disposition'!BI:BI)</f>
        <v>22512.719999999994</v>
      </c>
      <c r="BJ563" s="705">
        <f>SUMIF('Duplicate Disposition'!$C:$C,$C563,'Duplicate Disposition'!BJ:BJ)</f>
        <v>-37023.32</v>
      </c>
      <c r="BK563" s="705">
        <f>SUMIF('Duplicate Disposition'!$C:$C,$C563,'Duplicate Disposition'!BK:BK)</f>
        <v>0</v>
      </c>
      <c r="BL563" s="705">
        <f>SUMIF('Duplicate Disposition'!$C:$C,$C563,'Duplicate Disposition'!BL:BL)</f>
        <v>0</v>
      </c>
      <c r="BM563" s="705">
        <f>SUMIF('Duplicate Disposition'!$C:$C,$C563,'Duplicate Disposition'!BM:BM)</f>
        <v>0</v>
      </c>
      <c r="BN563" s="705">
        <f>SUMIF('Duplicate Disposition'!$C:$C,$C563,'Duplicate Disposition'!BN:BN)</f>
        <v>0</v>
      </c>
      <c r="BO563" s="705">
        <f>SUMIF('Duplicate Disposition'!$C:$C,$C563,'Duplicate Disposition'!BO:BO)</f>
        <v>0</v>
      </c>
      <c r="BP563" s="705">
        <f>SUMIF('Duplicate Disposition'!$C:$C,$C563,'Duplicate Disposition'!BP:BP)</f>
        <v>0</v>
      </c>
      <c r="BQ563" s="705">
        <f>SUMIF('Duplicate Disposition'!$C:$C,$C563,'Duplicate Disposition'!BQ:BQ)</f>
        <v>0</v>
      </c>
      <c r="BR563" s="705">
        <f>SUMIF('Duplicate Disposition'!$C:$C,$C563,'Duplicate Disposition'!BR:BR)</f>
        <v>0</v>
      </c>
      <c r="BS563" s="705">
        <f>SUMIF('Duplicate Disposition'!$C:$C,$C563,'Duplicate Disposition'!BS:BS)</f>
        <v>0</v>
      </c>
      <c r="BT563" s="705">
        <f>SUMIF('Duplicate Disposition'!$C:$C,$C563,'Duplicate Disposition'!BT:BT)</f>
        <v>6251.2899999999991</v>
      </c>
    </row>
    <row r="564" spans="1:72" ht="15" hidden="1" customHeight="1">
      <c r="A564" s="215" t="s">
        <v>1857</v>
      </c>
      <c r="B564" s="725" t="s">
        <v>2944</v>
      </c>
      <c r="C564" s="215" t="s">
        <v>448</v>
      </c>
      <c r="D564" s="215" t="s">
        <v>448</v>
      </c>
      <c r="E564" s="513" t="s">
        <v>1136</v>
      </c>
      <c r="F564" s="726" t="s">
        <v>1566</v>
      </c>
      <c r="G564" s="513" t="s">
        <v>1135</v>
      </c>
      <c r="H564" s="727" t="s">
        <v>1135</v>
      </c>
      <c r="I564" s="727" t="s">
        <v>1135</v>
      </c>
      <c r="J564" s="727" t="s">
        <v>1135</v>
      </c>
      <c r="K564" s="727" t="s">
        <v>1137</v>
      </c>
      <c r="L564" s="516" t="s">
        <v>389</v>
      </c>
      <c r="M564" s="728" t="s">
        <v>1858</v>
      </c>
      <c r="N564" s="729"/>
      <c r="O564" s="730"/>
      <c r="P564" s="731" t="s">
        <v>449</v>
      </c>
      <c r="Q564" s="732"/>
      <c r="R564" s="737" t="s">
        <v>1140</v>
      </c>
      <c r="S564" s="732"/>
      <c r="T564" s="727" t="s">
        <v>57</v>
      </c>
      <c r="U564" s="733"/>
      <c r="V564" s="704"/>
      <c r="W564" s="705">
        <f>SUMIF('Duplicate Disposition'!$C:$C,$C564,'Duplicate Disposition'!W:W)</f>
        <v>12168</v>
      </c>
      <c r="X564" s="705">
        <f>SUMIF('Duplicate Disposition'!$C:$C,$C564,'Duplicate Disposition'!X:X)</f>
        <v>18730.12</v>
      </c>
      <c r="Y564" s="705">
        <f>SUMIF('Duplicate Disposition'!$C:$C,$C564,'Duplicate Disposition'!Y:Y)</f>
        <v>0</v>
      </c>
      <c r="Z564" s="705">
        <f>SUMIF('Duplicate Disposition'!$C:$C,$C564,'Duplicate Disposition'!Z:Z)</f>
        <v>0</v>
      </c>
      <c r="AA564" s="705">
        <f>SUMIF('Duplicate Disposition'!$C:$C,$C564,'Duplicate Disposition'!AA:AA)</f>
        <v>243.06</v>
      </c>
      <c r="AB564" s="705">
        <f>SUMIF('Duplicate Disposition'!$C:$C,$C564,'Duplicate Disposition'!AB:AB)</f>
        <v>235.06</v>
      </c>
      <c r="AC564" s="705">
        <f>SUMIF('Duplicate Disposition'!$C:$C,$C564,'Duplicate Disposition'!AC:AC)</f>
        <v>0</v>
      </c>
      <c r="AD564" s="705">
        <f>SUMIF('Duplicate Disposition'!$C:$C,$C564,'Duplicate Disposition'!AD:AD)</f>
        <v>527.16999999999996</v>
      </c>
      <c r="AE564" s="705">
        <f>SUMIF('Duplicate Disposition'!$C:$C,$C564,'Duplicate Disposition'!AE:AE)</f>
        <v>288.64999999999998</v>
      </c>
      <c r="AF564" s="705">
        <f>SUMIF('Duplicate Disposition'!$C:$C,$C564,'Duplicate Disposition'!AF:AF)</f>
        <v>209.08999999999997</v>
      </c>
      <c r="AG564" s="705">
        <f>SUMIF('Duplicate Disposition'!$C:$C,$C564,'Duplicate Disposition'!AG:AG)</f>
        <v>2314</v>
      </c>
      <c r="AH564" s="705">
        <f>SUMIF('Duplicate Disposition'!$C:$C,$C564,'Duplicate Disposition'!AH:AH)</f>
        <v>2314</v>
      </c>
      <c r="AI564" s="705">
        <f>SUMIF('Duplicate Disposition'!$C:$C,$C564,'Duplicate Disposition'!AI:AI)</f>
        <v>2314</v>
      </c>
      <c r="AJ564" s="705">
        <f>SUMIF('Duplicate Disposition'!$C:$C,$C564,'Duplicate Disposition'!AJ:AJ)</f>
        <v>2314</v>
      </c>
      <c r="AK564" s="705">
        <f>SUMIF('Duplicate Disposition'!$C:$C,$C564,'Duplicate Disposition'!AK:AK)</f>
        <v>2314</v>
      </c>
      <c r="AL564" s="705">
        <f>SUMIF('Duplicate Disposition'!$C:$C,$C564,'Duplicate Disposition'!AL:AL)</f>
        <v>2340</v>
      </c>
      <c r="AM564" s="734">
        <f t="shared" si="32"/>
        <v>15413.029999999999</v>
      </c>
      <c r="AN564" s="735">
        <f>ERP_27[[#This Row],[2026 Working Total]]-ERP_27[[#This Row],[LE2 Final Submission]]</f>
        <v>-3317.09</v>
      </c>
      <c r="AO564" s="705">
        <f>SUMIF('Duplicate Disposition'!$C:$C,$C564,'Duplicate Disposition'!AO:AO)</f>
        <v>2028</v>
      </c>
      <c r="AP564" s="705">
        <f>SUMIF('Duplicate Disposition'!$C:$C,$C564,'Duplicate Disposition'!AP:AP)</f>
        <v>-1818.91</v>
      </c>
      <c r="AQ564" s="713">
        <f>SUMIF('Duplicate Disposition'!$C:$C,$C564,'Duplicate Disposition'!AQ:AQ)</f>
        <v>-5059.09</v>
      </c>
      <c r="AR564" s="713">
        <f>SUMIF('Duplicate Disposition'!$C:$C,$C564,'Duplicate Disposition'!AR:AR)</f>
        <v>0</v>
      </c>
      <c r="AS564" s="713">
        <f>SUMIF('Duplicate Disposition'!$C:$C,$C564,'Duplicate Disposition'!AS:AS)</f>
        <v>-3317.0899999999992</v>
      </c>
      <c r="AT564" s="713">
        <f>SUMIF('Duplicate Disposition'!$C:$C,$C564,'Duplicate Disposition'!AT:AT)</f>
        <v>0</v>
      </c>
      <c r="AU564" s="705">
        <f>SUMIF('Duplicate Disposition'!$C:$C,$C564,'Duplicate Disposition'!AU:AU)</f>
        <v>243.06</v>
      </c>
      <c r="AV564" s="705">
        <f>SUMIF('Duplicate Disposition'!$C:$C,$C564,'Duplicate Disposition'!AV:AV)</f>
        <v>235.06</v>
      </c>
      <c r="AW564" s="705">
        <f>SUMIF('Duplicate Disposition'!$C:$C,$C564,'Duplicate Disposition'!AW:AW)</f>
        <v>0</v>
      </c>
      <c r="AX564" s="705">
        <f>SUMIF('Duplicate Disposition'!$C:$C,$C564,'Duplicate Disposition'!AX:AX)</f>
        <v>2028</v>
      </c>
      <c r="AY564" s="705">
        <f>SUMIF('Duplicate Disposition'!$C:$C,$C564,'Duplicate Disposition'!AY:AY)</f>
        <v>2028</v>
      </c>
      <c r="AZ564" s="705">
        <f>SUMIF('Duplicate Disposition'!$C:$C,$C564,'Duplicate Disposition'!AZ:AZ)</f>
        <v>2028</v>
      </c>
      <c r="BA564" s="705">
        <f>SUMIF('Duplicate Disposition'!$C:$C,$C564,'Duplicate Disposition'!BA:BA)</f>
        <v>2028</v>
      </c>
      <c r="BB564" s="705">
        <f>SUMIF('Duplicate Disposition'!$C:$C,$C564,'Duplicate Disposition'!BB:BB)</f>
        <v>2028</v>
      </c>
      <c r="BC564" s="705">
        <f>SUMIF('Duplicate Disposition'!$C:$C,$C564,'Duplicate Disposition'!BC:BC)</f>
        <v>2028</v>
      </c>
      <c r="BD564" s="705">
        <f>SUMIF('Duplicate Disposition'!$C:$C,$C564,'Duplicate Disposition'!BD:BD)</f>
        <v>2028</v>
      </c>
      <c r="BE564" s="705">
        <f>SUMIF('Duplicate Disposition'!$C:$C,$C564,'Duplicate Disposition'!BE:BE)</f>
        <v>2028</v>
      </c>
      <c r="BF564" s="705">
        <f>SUMIF('Duplicate Disposition'!$C:$C,$C564,'Duplicate Disposition'!BF:BF)</f>
        <v>2028</v>
      </c>
      <c r="BG564" s="705">
        <f>SUMIF('Duplicate Disposition'!$C:$C,$C564,'Duplicate Disposition'!BG:BG)</f>
        <v>18730.12</v>
      </c>
      <c r="BH564" s="705">
        <f>SUMIF('Duplicate Disposition'!$C:$C,$C564,'Duplicate Disposition'!BH:BH)</f>
        <v>243.06</v>
      </c>
      <c r="BI564" s="705">
        <f>SUMIF('Duplicate Disposition'!$C:$C,$C564,'Duplicate Disposition'!BI:BI)</f>
        <v>235.06</v>
      </c>
      <c r="BJ564" s="705">
        <f>SUMIF('Duplicate Disposition'!$C:$C,$C564,'Duplicate Disposition'!BJ:BJ)</f>
        <v>0</v>
      </c>
      <c r="BK564" s="705">
        <f>SUMIF('Duplicate Disposition'!$C:$C,$C564,'Duplicate Disposition'!BK:BK)</f>
        <v>2028</v>
      </c>
      <c r="BL564" s="705">
        <f>SUMIF('Duplicate Disposition'!$C:$C,$C564,'Duplicate Disposition'!BL:BL)</f>
        <v>2028</v>
      </c>
      <c r="BM564" s="705">
        <f>SUMIF('Duplicate Disposition'!$C:$C,$C564,'Duplicate Disposition'!BM:BM)</f>
        <v>2028</v>
      </c>
      <c r="BN564" s="705">
        <f>SUMIF('Duplicate Disposition'!$C:$C,$C564,'Duplicate Disposition'!BN:BN)</f>
        <v>2028</v>
      </c>
      <c r="BO564" s="705">
        <f>SUMIF('Duplicate Disposition'!$C:$C,$C564,'Duplicate Disposition'!BO:BO)</f>
        <v>2028</v>
      </c>
      <c r="BP564" s="705">
        <f>SUMIF('Duplicate Disposition'!$C:$C,$C564,'Duplicate Disposition'!BP:BP)</f>
        <v>2028</v>
      </c>
      <c r="BQ564" s="705">
        <f>SUMIF('Duplicate Disposition'!$C:$C,$C564,'Duplicate Disposition'!BQ:BQ)</f>
        <v>2028</v>
      </c>
      <c r="BR564" s="705">
        <f>SUMIF('Duplicate Disposition'!$C:$C,$C564,'Duplicate Disposition'!BR:BR)</f>
        <v>2028</v>
      </c>
      <c r="BS564" s="705">
        <f>SUMIF('Duplicate Disposition'!$C:$C,$C564,'Duplicate Disposition'!BS:BS)</f>
        <v>2028</v>
      </c>
      <c r="BT564" s="705">
        <f>SUMIF('Duplicate Disposition'!$C:$C,$C564,'Duplicate Disposition'!BT:BT)</f>
        <v>18730.12</v>
      </c>
    </row>
    <row r="565" spans="1:72" ht="15" hidden="1" customHeight="1">
      <c r="A565" s="215" t="s">
        <v>2845</v>
      </c>
      <c r="B565" s="725" t="s">
        <v>2944</v>
      </c>
      <c r="C565" s="215" t="s">
        <v>1038</v>
      </c>
      <c r="D565" s="215" t="s">
        <v>1038</v>
      </c>
      <c r="E565" s="513" t="s">
        <v>1136</v>
      </c>
      <c r="F565" s="726" t="s">
        <v>1566</v>
      </c>
      <c r="G565" s="513" t="s">
        <v>1135</v>
      </c>
      <c r="H565" s="727" t="s">
        <v>1135</v>
      </c>
      <c r="I565" s="727" t="s">
        <v>1135</v>
      </c>
      <c r="J565" s="727" t="s">
        <v>1135</v>
      </c>
      <c r="K565" s="727" t="s">
        <v>1137</v>
      </c>
      <c r="L565" s="516" t="s">
        <v>1037</v>
      </c>
      <c r="M565" s="728" t="s">
        <v>2846</v>
      </c>
      <c r="N565" s="729"/>
      <c r="O565" s="730"/>
      <c r="P565" s="731" t="s">
        <v>1039</v>
      </c>
      <c r="Q565" s="732"/>
      <c r="R565" s="737" t="s">
        <v>1140</v>
      </c>
      <c r="S565" s="732"/>
      <c r="T565" s="727" t="s">
        <v>1040</v>
      </c>
      <c r="U565" s="733"/>
      <c r="V565" s="704"/>
      <c r="W565" s="705">
        <f>SUMIF('Duplicate Disposition'!$C:$C,$C565,'Duplicate Disposition'!W:W)</f>
        <v>0</v>
      </c>
      <c r="X565" s="705">
        <f>SUMIF('Duplicate Disposition'!$C:$C,$C565,'Duplicate Disposition'!X:X)</f>
        <v>7229.12</v>
      </c>
      <c r="Y565" s="705">
        <f>SUMIF('Duplicate Disposition'!$C:$C,$C565,'Duplicate Disposition'!Y:Y)</f>
        <v>0</v>
      </c>
      <c r="Z565" s="705">
        <f>SUMIF('Duplicate Disposition'!$C:$C,$C565,'Duplicate Disposition'!Z:Z)</f>
        <v>0</v>
      </c>
      <c r="AA565" s="705">
        <f>SUMIF('Duplicate Disposition'!$C:$C,$C565,'Duplicate Disposition'!AA:AA)</f>
        <v>302.32</v>
      </c>
      <c r="AB565" s="705">
        <f>SUMIF('Duplicate Disposition'!$C:$C,$C565,'Duplicate Disposition'!AB:AB)</f>
        <v>-569.02</v>
      </c>
      <c r="AC565" s="705">
        <f>SUMIF('Duplicate Disposition'!$C:$C,$C565,'Duplicate Disposition'!AC:AC)</f>
        <v>7495.82</v>
      </c>
      <c r="AD565" s="705">
        <f>SUMIF('Duplicate Disposition'!$C:$C,$C565,'Duplicate Disposition'!AD:AD)</f>
        <v>10869.350000000002</v>
      </c>
      <c r="AE565" s="705">
        <f>SUMIF('Duplicate Disposition'!$C:$C,$C565,'Duplicate Disposition'!AE:AE)</f>
        <v>-6494.7800000000007</v>
      </c>
      <c r="AF565" s="705">
        <f>SUMIF('Duplicate Disposition'!$C:$C,$C565,'Duplicate Disposition'!AF:AF)</f>
        <v>3959.4700000000003</v>
      </c>
      <c r="AG565" s="705">
        <f>SUMIF('Duplicate Disposition'!$C:$C,$C565,'Duplicate Disposition'!AG:AG)</f>
        <v>0</v>
      </c>
      <c r="AH565" s="705">
        <f>SUMIF('Duplicate Disposition'!$C:$C,$C565,'Duplicate Disposition'!AH:AH)</f>
        <v>0</v>
      </c>
      <c r="AI565" s="705">
        <f>SUMIF('Duplicate Disposition'!$C:$C,$C565,'Duplicate Disposition'!AI:AI)</f>
        <v>0</v>
      </c>
      <c r="AJ565" s="705">
        <f>SUMIF('Duplicate Disposition'!$C:$C,$C565,'Duplicate Disposition'!AJ:AJ)</f>
        <v>0</v>
      </c>
      <c r="AK565" s="705">
        <f>SUMIF('Duplicate Disposition'!$C:$C,$C565,'Duplicate Disposition'!AK:AK)</f>
        <v>0</v>
      </c>
      <c r="AL565" s="705">
        <f>SUMIF('Duplicate Disposition'!$C:$C,$C565,'Duplicate Disposition'!AL:AL)</f>
        <v>0</v>
      </c>
      <c r="AM565" s="734">
        <f t="shared" si="32"/>
        <v>15563.16</v>
      </c>
      <c r="AN565" s="735">
        <f>ERP_27[[#This Row],[2026 Working Total]]-ERP_27[[#This Row],[LE2 Final Submission]]</f>
        <v>8334.0400000000009</v>
      </c>
      <c r="AO565" s="705">
        <f>SUMIF('Duplicate Disposition'!$C:$C,$C565,'Duplicate Disposition'!AO:AO)</f>
        <v>0</v>
      </c>
      <c r="AP565" s="705">
        <f>SUMIF('Duplicate Disposition'!$C:$C,$C565,'Duplicate Disposition'!AP:AP)</f>
        <v>3959.4700000000003</v>
      </c>
      <c r="AQ565" s="713">
        <f>SUMIF('Duplicate Disposition'!$C:$C,$C565,'Duplicate Disposition'!AQ:AQ)</f>
        <v>8334.0400000000009</v>
      </c>
      <c r="AR565" s="713">
        <f>SUMIF('Duplicate Disposition'!$C:$C,$C565,'Duplicate Disposition'!AR:AR)</f>
        <v>0</v>
      </c>
      <c r="AS565" s="713">
        <f>SUMIF('Duplicate Disposition'!$C:$C,$C565,'Duplicate Disposition'!AS:AS)</f>
        <v>8334.0400000000009</v>
      </c>
      <c r="AT565" s="713">
        <f>SUMIF('Duplicate Disposition'!$C:$C,$C565,'Duplicate Disposition'!AT:AT)</f>
        <v>0</v>
      </c>
      <c r="AU565" s="705">
        <f>SUMIF('Duplicate Disposition'!$C:$C,$C565,'Duplicate Disposition'!AU:AU)</f>
        <v>302.32</v>
      </c>
      <c r="AV565" s="705">
        <f>SUMIF('Duplicate Disposition'!$C:$C,$C565,'Duplicate Disposition'!AV:AV)</f>
        <v>-569.02</v>
      </c>
      <c r="AW565" s="705">
        <f>SUMIF('Duplicate Disposition'!$C:$C,$C565,'Duplicate Disposition'!AW:AW)</f>
        <v>7495.82</v>
      </c>
      <c r="AX565" s="705">
        <f>SUMIF('Duplicate Disposition'!$C:$C,$C565,'Duplicate Disposition'!AX:AX)</f>
        <v>0</v>
      </c>
      <c r="AY565" s="705">
        <f>SUMIF('Duplicate Disposition'!$C:$C,$C565,'Duplicate Disposition'!AY:AY)</f>
        <v>0</v>
      </c>
      <c r="AZ565" s="705">
        <f>SUMIF('Duplicate Disposition'!$C:$C,$C565,'Duplicate Disposition'!AZ:AZ)</f>
        <v>0</v>
      </c>
      <c r="BA565" s="705">
        <f>SUMIF('Duplicate Disposition'!$C:$C,$C565,'Duplicate Disposition'!BA:BA)</f>
        <v>0</v>
      </c>
      <c r="BB565" s="705">
        <f>SUMIF('Duplicate Disposition'!$C:$C,$C565,'Duplicate Disposition'!BB:BB)</f>
        <v>0</v>
      </c>
      <c r="BC565" s="705">
        <f>SUMIF('Duplicate Disposition'!$C:$C,$C565,'Duplicate Disposition'!BC:BC)</f>
        <v>0</v>
      </c>
      <c r="BD565" s="705">
        <f>SUMIF('Duplicate Disposition'!$C:$C,$C565,'Duplicate Disposition'!BD:BD)</f>
        <v>0</v>
      </c>
      <c r="BE565" s="705">
        <f>SUMIF('Duplicate Disposition'!$C:$C,$C565,'Duplicate Disposition'!BE:BE)</f>
        <v>0</v>
      </c>
      <c r="BF565" s="705">
        <f>SUMIF('Duplicate Disposition'!$C:$C,$C565,'Duplicate Disposition'!BF:BF)</f>
        <v>0</v>
      </c>
      <c r="BG565" s="705">
        <f>SUMIF('Duplicate Disposition'!$C:$C,$C565,'Duplicate Disposition'!BG:BG)</f>
        <v>7229.12</v>
      </c>
      <c r="BH565" s="705">
        <f>SUMIF('Duplicate Disposition'!$C:$C,$C565,'Duplicate Disposition'!BH:BH)</f>
        <v>302.32</v>
      </c>
      <c r="BI565" s="705">
        <f>SUMIF('Duplicate Disposition'!$C:$C,$C565,'Duplicate Disposition'!BI:BI)</f>
        <v>-569.02</v>
      </c>
      <c r="BJ565" s="705">
        <f>SUMIF('Duplicate Disposition'!$C:$C,$C565,'Duplicate Disposition'!BJ:BJ)</f>
        <v>7495.82</v>
      </c>
      <c r="BK565" s="705">
        <f>SUMIF('Duplicate Disposition'!$C:$C,$C565,'Duplicate Disposition'!BK:BK)</f>
        <v>0</v>
      </c>
      <c r="BL565" s="705">
        <f>SUMIF('Duplicate Disposition'!$C:$C,$C565,'Duplicate Disposition'!BL:BL)</f>
        <v>0</v>
      </c>
      <c r="BM565" s="705">
        <f>SUMIF('Duplicate Disposition'!$C:$C,$C565,'Duplicate Disposition'!BM:BM)</f>
        <v>0</v>
      </c>
      <c r="BN565" s="705">
        <f>SUMIF('Duplicate Disposition'!$C:$C,$C565,'Duplicate Disposition'!BN:BN)</f>
        <v>0</v>
      </c>
      <c r="BO565" s="705">
        <f>SUMIF('Duplicate Disposition'!$C:$C,$C565,'Duplicate Disposition'!BO:BO)</f>
        <v>0</v>
      </c>
      <c r="BP565" s="705">
        <f>SUMIF('Duplicate Disposition'!$C:$C,$C565,'Duplicate Disposition'!BP:BP)</f>
        <v>0</v>
      </c>
      <c r="BQ565" s="705">
        <f>SUMIF('Duplicate Disposition'!$C:$C,$C565,'Duplicate Disposition'!BQ:BQ)</f>
        <v>0</v>
      </c>
      <c r="BR565" s="705">
        <f>SUMIF('Duplicate Disposition'!$C:$C,$C565,'Duplicate Disposition'!BR:BR)</f>
        <v>0</v>
      </c>
      <c r="BS565" s="705">
        <f>SUMIF('Duplicate Disposition'!$C:$C,$C565,'Duplicate Disposition'!BS:BS)</f>
        <v>0</v>
      </c>
      <c r="BT565" s="705">
        <f>SUMIF('Duplicate Disposition'!$C:$C,$C565,'Duplicate Disposition'!BT:BT)</f>
        <v>7229.12</v>
      </c>
    </row>
    <row r="566" spans="1:72" ht="15" hidden="1" customHeight="1">
      <c r="A566" s="215" t="s">
        <v>2786</v>
      </c>
      <c r="B566" s="725" t="s">
        <v>2944</v>
      </c>
      <c r="C566" s="215" t="s">
        <v>1003</v>
      </c>
      <c r="D566" s="215" t="s">
        <v>2787</v>
      </c>
      <c r="E566" s="513" t="s">
        <v>1136</v>
      </c>
      <c r="F566" s="726" t="s">
        <v>1566</v>
      </c>
      <c r="G566" s="513" t="s">
        <v>1566</v>
      </c>
      <c r="H566" s="727" t="s">
        <v>1566</v>
      </c>
      <c r="I566" s="727" t="s">
        <v>1567</v>
      </c>
      <c r="J566" s="727" t="s">
        <v>1567</v>
      </c>
      <c r="K566" s="727" t="s">
        <v>1567</v>
      </c>
      <c r="L566" s="516" t="s">
        <v>639</v>
      </c>
      <c r="M566" s="728" t="s">
        <v>2285</v>
      </c>
      <c r="N566" s="729"/>
      <c r="O566" s="730"/>
      <c r="P566" s="731" t="s">
        <v>676</v>
      </c>
      <c r="Q566" s="732"/>
      <c r="R566" s="737" t="s">
        <v>1140</v>
      </c>
      <c r="S566" s="732"/>
      <c r="T566" s="727" t="s">
        <v>677</v>
      </c>
      <c r="U566" s="733"/>
      <c r="V566" s="704"/>
      <c r="W566" s="705">
        <f>SUMIF('Duplicate Disposition'!$C:$C,$C566,'Duplicate Disposition'!W:W)</f>
        <v>6000</v>
      </c>
      <c r="X566" s="705">
        <f>SUMIF('Duplicate Disposition'!$C:$C,$C566,'Duplicate Disposition'!X:X)</f>
        <v>14338.59</v>
      </c>
      <c r="Y566" s="705">
        <f>SUMIF('Duplicate Disposition'!$C:$C,$C566,'Duplicate Disposition'!Y:Y)</f>
        <v>0</v>
      </c>
      <c r="Z566" s="705">
        <f>SUMIF('Duplicate Disposition'!$C:$C,$C566,'Duplicate Disposition'!Z:Z)</f>
        <v>0</v>
      </c>
      <c r="AA566" s="705">
        <f>SUMIF('Duplicate Disposition'!$C:$C,$C566,'Duplicate Disposition'!AA:AA)</f>
        <v>795.92</v>
      </c>
      <c r="AB566" s="705">
        <f>SUMIF('Duplicate Disposition'!$C:$C,$C566,'Duplicate Disposition'!AB:AB)</f>
        <v>7504.51</v>
      </c>
      <c r="AC566" s="705">
        <f>SUMIF('Duplicate Disposition'!$C:$C,$C566,'Duplicate Disposition'!AC:AC)</f>
        <v>1538.16</v>
      </c>
      <c r="AD566" s="705">
        <f>SUMIF('Duplicate Disposition'!$C:$C,$C566,'Duplicate Disposition'!AD:AD)</f>
        <v>1141.3400000000001</v>
      </c>
      <c r="AE566" s="705">
        <f>SUMIF('Duplicate Disposition'!$C:$C,$C566,'Duplicate Disposition'!AE:AE)</f>
        <v>2808.96</v>
      </c>
      <c r="AF566" s="705">
        <f>SUMIF('Duplicate Disposition'!$C:$C,$C566,'Duplicate Disposition'!AF:AF)</f>
        <v>672.49</v>
      </c>
      <c r="AG566" s="705">
        <f>SUMIF('Duplicate Disposition'!$C:$C,$C566,'Duplicate Disposition'!AG:AG)</f>
        <v>500</v>
      </c>
      <c r="AH566" s="705">
        <f>SUMIF('Duplicate Disposition'!$C:$C,$C566,'Duplicate Disposition'!AH:AH)</f>
        <v>500</v>
      </c>
      <c r="AI566" s="705">
        <f>SUMIF('Duplicate Disposition'!$C:$C,$C566,'Duplicate Disposition'!AI:AI)</f>
        <v>500</v>
      </c>
      <c r="AJ566" s="705">
        <f>SUMIF('Duplicate Disposition'!$C:$C,$C566,'Duplicate Disposition'!AJ:AJ)</f>
        <v>500</v>
      </c>
      <c r="AK566" s="705">
        <f>SUMIF('Duplicate Disposition'!$C:$C,$C566,'Duplicate Disposition'!AK:AK)</f>
        <v>500</v>
      </c>
      <c r="AL566" s="705">
        <f>SUMIF('Duplicate Disposition'!$C:$C,$C566,'Duplicate Disposition'!AL:AL)</f>
        <v>500</v>
      </c>
      <c r="AM566" s="734">
        <f t="shared" si="32"/>
        <v>17461.379999999997</v>
      </c>
      <c r="AN566" s="735">
        <f>ERP_27[[#This Row],[2026 Working Total]]-ERP_27[[#This Row],[LE2 Final Submission]]</f>
        <v>3122.7899999999972</v>
      </c>
      <c r="AO566" s="705">
        <f>SUMIF('Duplicate Disposition'!$C:$C,$C566,'Duplicate Disposition'!AO:AO)</f>
        <v>500</v>
      </c>
      <c r="AP566" s="705">
        <f>SUMIF('Duplicate Disposition'!$C:$C,$C566,'Duplicate Disposition'!AP:AP)</f>
        <v>172.49</v>
      </c>
      <c r="AQ566" s="713">
        <f>SUMIF('Duplicate Disposition'!$C:$C,$C566,'Duplicate Disposition'!AQ:AQ)</f>
        <v>3122.7900000000009</v>
      </c>
      <c r="AR566" s="713">
        <f>SUMIF('Duplicate Disposition'!$C:$C,$C566,'Duplicate Disposition'!AR:AR)</f>
        <v>0</v>
      </c>
      <c r="AS566" s="713">
        <f>SUMIF('Duplicate Disposition'!$C:$C,$C566,'Duplicate Disposition'!AS:AS)</f>
        <v>3122.7900000000009</v>
      </c>
      <c r="AT566" s="713">
        <f>SUMIF('Duplicate Disposition'!$C:$C,$C566,'Duplicate Disposition'!AT:AT)</f>
        <v>0</v>
      </c>
      <c r="AU566" s="705">
        <f>SUMIF('Duplicate Disposition'!$C:$C,$C566,'Duplicate Disposition'!AU:AU)</f>
        <v>795.92</v>
      </c>
      <c r="AV566" s="705">
        <f>SUMIF('Duplicate Disposition'!$C:$C,$C566,'Duplicate Disposition'!AV:AV)</f>
        <v>7504.51</v>
      </c>
      <c r="AW566" s="705">
        <f>SUMIF('Duplicate Disposition'!$C:$C,$C566,'Duplicate Disposition'!AW:AW)</f>
        <v>1538.16</v>
      </c>
      <c r="AX566" s="705">
        <f>SUMIF('Duplicate Disposition'!$C:$C,$C566,'Duplicate Disposition'!AX:AX)</f>
        <v>500</v>
      </c>
      <c r="AY566" s="705">
        <f>SUMIF('Duplicate Disposition'!$C:$C,$C566,'Duplicate Disposition'!AY:AY)</f>
        <v>500</v>
      </c>
      <c r="AZ566" s="705">
        <f>SUMIF('Duplicate Disposition'!$C:$C,$C566,'Duplicate Disposition'!AZ:AZ)</f>
        <v>500</v>
      </c>
      <c r="BA566" s="705">
        <f>SUMIF('Duplicate Disposition'!$C:$C,$C566,'Duplicate Disposition'!BA:BA)</f>
        <v>500</v>
      </c>
      <c r="BB566" s="705">
        <f>SUMIF('Duplicate Disposition'!$C:$C,$C566,'Duplicate Disposition'!BB:BB)</f>
        <v>500</v>
      </c>
      <c r="BC566" s="705">
        <f>SUMIF('Duplicate Disposition'!$C:$C,$C566,'Duplicate Disposition'!BC:BC)</f>
        <v>500</v>
      </c>
      <c r="BD566" s="705">
        <f>SUMIF('Duplicate Disposition'!$C:$C,$C566,'Duplicate Disposition'!BD:BD)</f>
        <v>500</v>
      </c>
      <c r="BE566" s="705">
        <f>SUMIF('Duplicate Disposition'!$C:$C,$C566,'Duplicate Disposition'!BE:BE)</f>
        <v>500</v>
      </c>
      <c r="BF566" s="705">
        <f>SUMIF('Duplicate Disposition'!$C:$C,$C566,'Duplicate Disposition'!BF:BF)</f>
        <v>500</v>
      </c>
      <c r="BG566" s="705">
        <f>SUMIF('Duplicate Disposition'!$C:$C,$C566,'Duplicate Disposition'!BG:BG)</f>
        <v>14338.59</v>
      </c>
      <c r="BH566" s="705">
        <f>SUMIF('Duplicate Disposition'!$C:$C,$C566,'Duplicate Disposition'!BH:BH)</f>
        <v>795.92</v>
      </c>
      <c r="BI566" s="705">
        <f>SUMIF('Duplicate Disposition'!$C:$C,$C566,'Duplicate Disposition'!BI:BI)</f>
        <v>7504.51</v>
      </c>
      <c r="BJ566" s="705">
        <f>SUMIF('Duplicate Disposition'!$C:$C,$C566,'Duplicate Disposition'!BJ:BJ)</f>
        <v>1538.16</v>
      </c>
      <c r="BK566" s="705">
        <f>SUMIF('Duplicate Disposition'!$C:$C,$C566,'Duplicate Disposition'!BK:BK)</f>
        <v>500</v>
      </c>
      <c r="BL566" s="705">
        <f>SUMIF('Duplicate Disposition'!$C:$C,$C566,'Duplicate Disposition'!BL:BL)</f>
        <v>500</v>
      </c>
      <c r="BM566" s="705">
        <f>SUMIF('Duplicate Disposition'!$C:$C,$C566,'Duplicate Disposition'!BM:BM)</f>
        <v>500</v>
      </c>
      <c r="BN566" s="705">
        <f>SUMIF('Duplicate Disposition'!$C:$C,$C566,'Duplicate Disposition'!BN:BN)</f>
        <v>500</v>
      </c>
      <c r="BO566" s="705">
        <f>SUMIF('Duplicate Disposition'!$C:$C,$C566,'Duplicate Disposition'!BO:BO)</f>
        <v>500</v>
      </c>
      <c r="BP566" s="705">
        <f>SUMIF('Duplicate Disposition'!$C:$C,$C566,'Duplicate Disposition'!BP:BP)</f>
        <v>500</v>
      </c>
      <c r="BQ566" s="705">
        <f>SUMIF('Duplicate Disposition'!$C:$C,$C566,'Duplicate Disposition'!BQ:BQ)</f>
        <v>500</v>
      </c>
      <c r="BR566" s="705">
        <f>SUMIF('Duplicate Disposition'!$C:$C,$C566,'Duplicate Disposition'!BR:BR)</f>
        <v>500</v>
      </c>
      <c r="BS566" s="705">
        <f>SUMIF('Duplicate Disposition'!$C:$C,$C566,'Duplicate Disposition'!BS:BS)</f>
        <v>500</v>
      </c>
      <c r="BT566" s="705">
        <f>SUMIF('Duplicate Disposition'!$C:$C,$C566,'Duplicate Disposition'!BT:BT)</f>
        <v>14338.59</v>
      </c>
    </row>
    <row r="567" spans="1:72" ht="15" hidden="1" customHeight="1">
      <c r="A567" s="215" t="s">
        <v>2284</v>
      </c>
      <c r="B567" s="725" t="s">
        <v>2944</v>
      </c>
      <c r="C567" s="215" t="s">
        <v>675</v>
      </c>
      <c r="D567" s="215" t="s">
        <v>675</v>
      </c>
      <c r="E567" s="513" t="s">
        <v>1136</v>
      </c>
      <c r="F567" s="726" t="s">
        <v>1566</v>
      </c>
      <c r="G567" s="513" t="s">
        <v>1135</v>
      </c>
      <c r="H567" s="727" t="s">
        <v>1135</v>
      </c>
      <c r="I567" s="727" t="s">
        <v>1135</v>
      </c>
      <c r="J567" s="727" t="s">
        <v>1135</v>
      </c>
      <c r="K567" s="727" t="s">
        <v>1137</v>
      </c>
      <c r="L567" s="516" t="s">
        <v>639</v>
      </c>
      <c r="M567" s="728" t="s">
        <v>2285</v>
      </c>
      <c r="N567" s="729"/>
      <c r="O567" s="730"/>
      <c r="P567" s="731" t="s">
        <v>676</v>
      </c>
      <c r="Q567" s="732"/>
      <c r="R567" s="737" t="s">
        <v>1140</v>
      </c>
      <c r="S567" s="732"/>
      <c r="T567" s="727" t="s">
        <v>677</v>
      </c>
      <c r="U567" s="733"/>
      <c r="V567" s="704"/>
      <c r="W567" s="705">
        <f>SUMIF('Duplicate Disposition'!$C:$C,$C567,'Duplicate Disposition'!W:W)</f>
        <v>16550</v>
      </c>
      <c r="X567" s="705">
        <f>SUMIF('Duplicate Disposition'!$C:$C,$C567,'Duplicate Disposition'!X:X)</f>
        <v>24128.43</v>
      </c>
      <c r="Y567" s="705">
        <f>SUMIF('Duplicate Disposition'!$C:$C,$C567,'Duplicate Disposition'!Y:Y)</f>
        <v>0</v>
      </c>
      <c r="Z567" s="705">
        <f>SUMIF('Duplicate Disposition'!$C:$C,$C567,'Duplicate Disposition'!Z:Z)</f>
        <v>0</v>
      </c>
      <c r="AA567" s="705">
        <f>SUMIF('Duplicate Disposition'!$C:$C,$C567,'Duplicate Disposition'!AA:AA)</f>
        <v>553.5</v>
      </c>
      <c r="AB567" s="705">
        <f>SUMIF('Duplicate Disposition'!$C:$C,$C567,'Duplicate Disposition'!AB:AB)</f>
        <v>5221</v>
      </c>
      <c r="AC567" s="705">
        <f>SUMIF('Duplicate Disposition'!$C:$C,$C567,'Duplicate Disposition'!AC:AC)</f>
        <v>1803.93</v>
      </c>
      <c r="AD567" s="705">
        <f>SUMIF('Duplicate Disposition'!$C:$C,$C567,'Duplicate Disposition'!AD:AD)</f>
        <v>227</v>
      </c>
      <c r="AE567" s="705">
        <f>SUMIF('Duplicate Disposition'!$C:$C,$C567,'Duplicate Disposition'!AE:AE)</f>
        <v>2312.48</v>
      </c>
      <c r="AF567" s="705">
        <f>SUMIF('Duplicate Disposition'!$C:$C,$C567,'Duplicate Disposition'!AF:AF)</f>
        <v>0</v>
      </c>
      <c r="AG567" s="705">
        <f>SUMIF('Duplicate Disposition'!$C:$C,$C567,'Duplicate Disposition'!AG:AG)</f>
        <v>0</v>
      </c>
      <c r="AH567" s="705">
        <f>SUMIF('Duplicate Disposition'!$C:$C,$C567,'Duplicate Disposition'!AH:AH)</f>
        <v>6000</v>
      </c>
      <c r="AI567" s="705">
        <f>SUMIF('Duplicate Disposition'!$C:$C,$C567,'Duplicate Disposition'!AI:AI)</f>
        <v>0</v>
      </c>
      <c r="AJ567" s="705">
        <f>SUMIF('Duplicate Disposition'!$C:$C,$C567,'Duplicate Disposition'!AJ:AJ)</f>
        <v>0</v>
      </c>
      <c r="AK567" s="705">
        <f>SUMIF('Duplicate Disposition'!$C:$C,$C567,'Duplicate Disposition'!AK:AK)</f>
        <v>0</v>
      </c>
      <c r="AL567" s="705">
        <f>SUMIF('Duplicate Disposition'!$C:$C,$C567,'Duplicate Disposition'!AL:AL)</f>
        <v>5000</v>
      </c>
      <c r="AM567" s="734">
        <f t="shared" si="32"/>
        <v>21117.91</v>
      </c>
      <c r="AN567" s="735">
        <f>ERP_27[[#This Row],[2026 Working Total]]-ERP_27[[#This Row],[LE2 Final Submission]]</f>
        <v>-3010.5200000000004</v>
      </c>
      <c r="AO567" s="705">
        <f>SUMIF('Duplicate Disposition'!$C:$C,$C567,'Duplicate Disposition'!AO:AO)</f>
        <v>0</v>
      </c>
      <c r="AP567" s="705">
        <f>SUMIF('Duplicate Disposition'!$C:$C,$C567,'Duplicate Disposition'!AP:AP)</f>
        <v>0</v>
      </c>
      <c r="AQ567" s="713">
        <f>SUMIF('Duplicate Disposition'!$C:$C,$C567,'Duplicate Disposition'!AQ:AQ)</f>
        <v>-3010.5200000000004</v>
      </c>
      <c r="AR567" s="713">
        <f>SUMIF('Duplicate Disposition'!$C:$C,$C567,'Duplicate Disposition'!AR:AR)</f>
        <v>0</v>
      </c>
      <c r="AS567" s="713">
        <f>SUMIF('Duplicate Disposition'!$C:$C,$C567,'Duplicate Disposition'!AS:AS)</f>
        <v>-3010.5200000000004</v>
      </c>
      <c r="AT567" s="713">
        <f>SUMIF('Duplicate Disposition'!$C:$C,$C567,'Duplicate Disposition'!AT:AT)</f>
        <v>0</v>
      </c>
      <c r="AU567" s="705">
        <f>SUMIF('Duplicate Disposition'!$C:$C,$C567,'Duplicate Disposition'!AU:AU)</f>
        <v>553.5</v>
      </c>
      <c r="AV567" s="705">
        <f>SUMIF('Duplicate Disposition'!$C:$C,$C567,'Duplicate Disposition'!AV:AV)</f>
        <v>5221</v>
      </c>
      <c r="AW567" s="705">
        <f>SUMIF('Duplicate Disposition'!$C:$C,$C567,'Duplicate Disposition'!AW:AW)</f>
        <v>1803.93</v>
      </c>
      <c r="AX567" s="705">
        <f>SUMIF('Duplicate Disposition'!$C:$C,$C567,'Duplicate Disposition'!AX:AX)</f>
        <v>550</v>
      </c>
      <c r="AY567" s="705">
        <f>SUMIF('Duplicate Disposition'!$C:$C,$C567,'Duplicate Disposition'!AY:AY)</f>
        <v>0</v>
      </c>
      <c r="AZ567" s="705">
        <f>SUMIF('Duplicate Disposition'!$C:$C,$C567,'Duplicate Disposition'!AZ:AZ)</f>
        <v>5000</v>
      </c>
      <c r="BA567" s="705">
        <f>SUMIF('Duplicate Disposition'!$C:$C,$C567,'Duplicate Disposition'!BA:BA)</f>
        <v>0</v>
      </c>
      <c r="BB567" s="705">
        <f>SUMIF('Duplicate Disposition'!$C:$C,$C567,'Duplicate Disposition'!BB:BB)</f>
        <v>6000</v>
      </c>
      <c r="BC567" s="705">
        <f>SUMIF('Duplicate Disposition'!$C:$C,$C567,'Duplicate Disposition'!BC:BC)</f>
        <v>0</v>
      </c>
      <c r="BD567" s="705">
        <f>SUMIF('Duplicate Disposition'!$C:$C,$C567,'Duplicate Disposition'!BD:BD)</f>
        <v>0</v>
      </c>
      <c r="BE567" s="705">
        <f>SUMIF('Duplicate Disposition'!$C:$C,$C567,'Duplicate Disposition'!BE:BE)</f>
        <v>0</v>
      </c>
      <c r="BF567" s="705">
        <f>SUMIF('Duplicate Disposition'!$C:$C,$C567,'Duplicate Disposition'!BF:BF)</f>
        <v>5000</v>
      </c>
      <c r="BG567" s="705">
        <f>SUMIF('Duplicate Disposition'!$C:$C,$C567,'Duplicate Disposition'!BG:BG)</f>
        <v>24128.43</v>
      </c>
      <c r="BH567" s="705">
        <f>SUMIF('Duplicate Disposition'!$C:$C,$C567,'Duplicate Disposition'!BH:BH)</f>
        <v>553.5</v>
      </c>
      <c r="BI567" s="705">
        <f>SUMIF('Duplicate Disposition'!$C:$C,$C567,'Duplicate Disposition'!BI:BI)</f>
        <v>5221</v>
      </c>
      <c r="BJ567" s="705">
        <f>SUMIF('Duplicate Disposition'!$C:$C,$C567,'Duplicate Disposition'!BJ:BJ)</f>
        <v>1803.93</v>
      </c>
      <c r="BK567" s="705">
        <f>SUMIF('Duplicate Disposition'!$C:$C,$C567,'Duplicate Disposition'!BK:BK)</f>
        <v>550</v>
      </c>
      <c r="BL567" s="705">
        <f>SUMIF('Duplicate Disposition'!$C:$C,$C567,'Duplicate Disposition'!BL:BL)</f>
        <v>0</v>
      </c>
      <c r="BM567" s="705">
        <f>SUMIF('Duplicate Disposition'!$C:$C,$C567,'Duplicate Disposition'!BM:BM)</f>
        <v>5000</v>
      </c>
      <c r="BN567" s="705">
        <f>SUMIF('Duplicate Disposition'!$C:$C,$C567,'Duplicate Disposition'!BN:BN)</f>
        <v>0</v>
      </c>
      <c r="BO567" s="705">
        <f>SUMIF('Duplicate Disposition'!$C:$C,$C567,'Duplicate Disposition'!BO:BO)</f>
        <v>6000</v>
      </c>
      <c r="BP567" s="705">
        <f>SUMIF('Duplicate Disposition'!$C:$C,$C567,'Duplicate Disposition'!BP:BP)</f>
        <v>0</v>
      </c>
      <c r="BQ567" s="705">
        <f>SUMIF('Duplicate Disposition'!$C:$C,$C567,'Duplicate Disposition'!BQ:BQ)</f>
        <v>0</v>
      </c>
      <c r="BR567" s="705">
        <f>SUMIF('Duplicate Disposition'!$C:$C,$C567,'Duplicate Disposition'!BR:BR)</f>
        <v>0</v>
      </c>
      <c r="BS567" s="705">
        <f>SUMIF('Duplicate Disposition'!$C:$C,$C567,'Duplicate Disposition'!BS:BS)</f>
        <v>5000</v>
      </c>
      <c r="BT567" s="705">
        <f>SUMIF('Duplicate Disposition'!$C:$C,$C567,'Duplicate Disposition'!BT:BT)</f>
        <v>24128.43</v>
      </c>
    </row>
    <row r="568" spans="1:72" ht="15" hidden="1" customHeight="1">
      <c r="A568" s="215" t="s">
        <v>2685</v>
      </c>
      <c r="B568" s="725" t="s">
        <v>2944</v>
      </c>
      <c r="C568" s="215" t="s">
        <v>950</v>
      </c>
      <c r="D568" s="215" t="s">
        <v>950</v>
      </c>
      <c r="E568" s="513" t="s">
        <v>1136</v>
      </c>
      <c r="F568" s="726" t="s">
        <v>1566</v>
      </c>
      <c r="G568" s="513" t="s">
        <v>1345</v>
      </c>
      <c r="H568" s="727" t="s">
        <v>1345</v>
      </c>
      <c r="I568" s="727" t="s">
        <v>1345</v>
      </c>
      <c r="J568" s="727" t="s">
        <v>1345</v>
      </c>
      <c r="K568" s="727" t="s">
        <v>1346</v>
      </c>
      <c r="L568" s="516" t="s">
        <v>639</v>
      </c>
      <c r="M568" s="728" t="s">
        <v>818</v>
      </c>
      <c r="N568" s="729"/>
      <c r="O568" s="730"/>
      <c r="P568" s="731" t="s">
        <v>817</v>
      </c>
      <c r="Q568" s="732"/>
      <c r="R568" s="737" t="s">
        <v>1140</v>
      </c>
      <c r="S568" s="732"/>
      <c r="T568" s="727" t="s">
        <v>818</v>
      </c>
      <c r="U568" s="733"/>
      <c r="V568" s="704"/>
      <c r="W568" s="705">
        <f>SUMIF('Duplicate Disposition'!$C:$C,$C568,'Duplicate Disposition'!W:W)</f>
        <v>13200</v>
      </c>
      <c r="X568" s="705">
        <f>SUMIF('Duplicate Disposition'!$C:$C,$C568,'Duplicate Disposition'!X:X)</f>
        <v>19370.91</v>
      </c>
      <c r="Y568" s="705">
        <f>SUMIF('Duplicate Disposition'!$C:$C,$C568,'Duplicate Disposition'!Y:Y)</f>
        <v>0</v>
      </c>
      <c r="Z568" s="705">
        <f>SUMIF('Duplicate Disposition'!$C:$C,$C568,'Duplicate Disposition'!Z:Z)</f>
        <v>0</v>
      </c>
      <c r="AA568" s="705">
        <f>SUMIF('Duplicate Disposition'!$C:$C,$C568,'Duplicate Disposition'!AA:AA)</f>
        <v>0</v>
      </c>
      <c r="AB568" s="705">
        <f>SUMIF('Duplicate Disposition'!$C:$C,$C568,'Duplicate Disposition'!AB:AB)</f>
        <v>0</v>
      </c>
      <c r="AC568" s="705">
        <f>SUMIF('Duplicate Disposition'!$C:$C,$C568,'Duplicate Disposition'!AC:AC)</f>
        <v>9470.91</v>
      </c>
      <c r="AD568" s="705">
        <f>SUMIF('Duplicate Disposition'!$C:$C,$C568,'Duplicate Disposition'!AD:AD)</f>
        <v>0</v>
      </c>
      <c r="AE568" s="705">
        <f>SUMIF('Duplicate Disposition'!$C:$C,$C568,'Duplicate Disposition'!AE:AE)</f>
        <v>0</v>
      </c>
      <c r="AF568" s="705">
        <f>SUMIF('Duplicate Disposition'!$C:$C,$C568,'Duplicate Disposition'!AF:AF)</f>
        <v>9433.369999999999</v>
      </c>
      <c r="AG568" s="705">
        <f>SUMIF('Duplicate Disposition'!$C:$C,$C568,'Duplicate Disposition'!AG:AG)</f>
        <v>0</v>
      </c>
      <c r="AH568" s="705">
        <f>SUMIF('Duplicate Disposition'!$C:$C,$C568,'Duplicate Disposition'!AH:AH)</f>
        <v>0</v>
      </c>
      <c r="AI568" s="705">
        <f>SUMIF('Duplicate Disposition'!$C:$C,$C568,'Duplicate Disposition'!AI:AI)</f>
        <v>3300</v>
      </c>
      <c r="AJ568" s="705">
        <f>SUMIF('Duplicate Disposition'!$C:$C,$C568,'Duplicate Disposition'!AJ:AJ)</f>
        <v>0</v>
      </c>
      <c r="AK568" s="705">
        <f>SUMIF('Duplicate Disposition'!$C:$C,$C568,'Duplicate Disposition'!AK:AK)</f>
        <v>0</v>
      </c>
      <c r="AL568" s="705">
        <f>SUMIF('Duplicate Disposition'!$C:$C,$C568,'Duplicate Disposition'!AL:AL)</f>
        <v>3300</v>
      </c>
      <c r="AM568" s="734">
        <f t="shared" si="32"/>
        <v>25504.28</v>
      </c>
      <c r="AN568" s="735">
        <f>ERP_27[[#This Row],[2026 Working Total]]-ERP_27[[#This Row],[LE2 Final Submission]]</f>
        <v>6133.369999999999</v>
      </c>
      <c r="AO568" s="705">
        <f>SUMIF('Duplicate Disposition'!$C:$C,$C568,'Duplicate Disposition'!AO:AO)</f>
        <v>0</v>
      </c>
      <c r="AP568" s="705">
        <f>SUMIF('Duplicate Disposition'!$C:$C,$C568,'Duplicate Disposition'!AP:AP)</f>
        <v>9433.369999999999</v>
      </c>
      <c r="AQ568" s="713">
        <f>SUMIF('Duplicate Disposition'!$C:$C,$C568,'Duplicate Disposition'!AQ:AQ)</f>
        <v>6133.369999999999</v>
      </c>
      <c r="AR568" s="713">
        <f>SUMIF('Duplicate Disposition'!$C:$C,$C568,'Duplicate Disposition'!AR:AR)</f>
        <v>0</v>
      </c>
      <c r="AS568" s="713">
        <f>SUMIF('Duplicate Disposition'!$C:$C,$C568,'Duplicate Disposition'!AS:AS)</f>
        <v>6133.369999999999</v>
      </c>
      <c r="AT568" s="713">
        <f>SUMIF('Duplicate Disposition'!$C:$C,$C568,'Duplicate Disposition'!AT:AT)</f>
        <v>0</v>
      </c>
      <c r="AU568" s="705">
        <f>SUMIF('Duplicate Disposition'!$C:$C,$C568,'Duplicate Disposition'!AU:AU)</f>
        <v>0</v>
      </c>
      <c r="AV568" s="705">
        <f>SUMIF('Duplicate Disposition'!$C:$C,$C568,'Duplicate Disposition'!AV:AV)</f>
        <v>0</v>
      </c>
      <c r="AW568" s="705">
        <f>SUMIF('Duplicate Disposition'!$C:$C,$C568,'Duplicate Disposition'!AW:AW)</f>
        <v>9470.91</v>
      </c>
      <c r="AX568" s="705">
        <f>SUMIF('Duplicate Disposition'!$C:$C,$C568,'Duplicate Disposition'!AX:AX)</f>
        <v>0</v>
      </c>
      <c r="AY568" s="705">
        <f>SUMIF('Duplicate Disposition'!$C:$C,$C568,'Duplicate Disposition'!AY:AY)</f>
        <v>0</v>
      </c>
      <c r="AZ568" s="705">
        <f>SUMIF('Duplicate Disposition'!$C:$C,$C568,'Duplicate Disposition'!AZ:AZ)</f>
        <v>3300</v>
      </c>
      <c r="BA568" s="705">
        <f>SUMIF('Duplicate Disposition'!$C:$C,$C568,'Duplicate Disposition'!BA:BA)</f>
        <v>0</v>
      </c>
      <c r="BB568" s="705">
        <f>SUMIF('Duplicate Disposition'!$C:$C,$C568,'Duplicate Disposition'!BB:BB)</f>
        <v>0</v>
      </c>
      <c r="BC568" s="705">
        <f>SUMIF('Duplicate Disposition'!$C:$C,$C568,'Duplicate Disposition'!BC:BC)</f>
        <v>3300</v>
      </c>
      <c r="BD568" s="705">
        <f>SUMIF('Duplicate Disposition'!$C:$C,$C568,'Duplicate Disposition'!BD:BD)</f>
        <v>0</v>
      </c>
      <c r="BE568" s="705">
        <f>SUMIF('Duplicate Disposition'!$C:$C,$C568,'Duplicate Disposition'!BE:BE)</f>
        <v>0</v>
      </c>
      <c r="BF568" s="705">
        <f>SUMIF('Duplicate Disposition'!$C:$C,$C568,'Duplicate Disposition'!BF:BF)</f>
        <v>3300</v>
      </c>
      <c r="BG568" s="705">
        <f>SUMIF('Duplicate Disposition'!$C:$C,$C568,'Duplicate Disposition'!BG:BG)</f>
        <v>19370.91</v>
      </c>
      <c r="BH568" s="705">
        <f>SUMIF('Duplicate Disposition'!$C:$C,$C568,'Duplicate Disposition'!BH:BH)</f>
        <v>0</v>
      </c>
      <c r="BI568" s="705">
        <f>SUMIF('Duplicate Disposition'!$C:$C,$C568,'Duplicate Disposition'!BI:BI)</f>
        <v>0</v>
      </c>
      <c r="BJ568" s="705">
        <f>SUMIF('Duplicate Disposition'!$C:$C,$C568,'Duplicate Disposition'!BJ:BJ)</f>
        <v>9470.91</v>
      </c>
      <c r="BK568" s="705">
        <f>SUMIF('Duplicate Disposition'!$C:$C,$C568,'Duplicate Disposition'!BK:BK)</f>
        <v>0</v>
      </c>
      <c r="BL568" s="705">
        <f>SUMIF('Duplicate Disposition'!$C:$C,$C568,'Duplicate Disposition'!BL:BL)</f>
        <v>0</v>
      </c>
      <c r="BM568" s="705">
        <f>SUMIF('Duplicate Disposition'!$C:$C,$C568,'Duplicate Disposition'!BM:BM)</f>
        <v>3300</v>
      </c>
      <c r="BN568" s="705">
        <f>SUMIF('Duplicate Disposition'!$C:$C,$C568,'Duplicate Disposition'!BN:BN)</f>
        <v>0</v>
      </c>
      <c r="BO568" s="705">
        <f>SUMIF('Duplicate Disposition'!$C:$C,$C568,'Duplicate Disposition'!BO:BO)</f>
        <v>0</v>
      </c>
      <c r="BP568" s="705">
        <f>SUMIF('Duplicate Disposition'!$C:$C,$C568,'Duplicate Disposition'!BP:BP)</f>
        <v>3300</v>
      </c>
      <c r="BQ568" s="705">
        <f>SUMIF('Duplicate Disposition'!$C:$C,$C568,'Duplicate Disposition'!BQ:BQ)</f>
        <v>0</v>
      </c>
      <c r="BR568" s="705">
        <f>SUMIF('Duplicate Disposition'!$C:$C,$C568,'Duplicate Disposition'!BR:BR)</f>
        <v>0</v>
      </c>
      <c r="BS568" s="705">
        <f>SUMIF('Duplicate Disposition'!$C:$C,$C568,'Duplicate Disposition'!BS:BS)</f>
        <v>3300</v>
      </c>
      <c r="BT568" s="705">
        <f>SUMIF('Duplicate Disposition'!$C:$C,$C568,'Duplicate Disposition'!BT:BT)</f>
        <v>19370.91</v>
      </c>
    </row>
    <row r="569" spans="1:72" ht="15" hidden="1" customHeight="1">
      <c r="A569" s="215" t="s">
        <v>2594</v>
      </c>
      <c r="B569" s="725" t="s">
        <v>2944</v>
      </c>
      <c r="C569" s="215" t="s">
        <v>899</v>
      </c>
      <c r="D569" s="215" t="s">
        <v>899</v>
      </c>
      <c r="E569" s="513" t="s">
        <v>1136</v>
      </c>
      <c r="F569" s="726" t="s">
        <v>1566</v>
      </c>
      <c r="G569" s="513" t="s">
        <v>1135</v>
      </c>
      <c r="H569" s="727" t="s">
        <v>1135</v>
      </c>
      <c r="I569" s="727" t="s">
        <v>1135</v>
      </c>
      <c r="J569" s="727" t="s">
        <v>1135</v>
      </c>
      <c r="K569" s="727" t="s">
        <v>1137</v>
      </c>
      <c r="L569" s="516" t="s">
        <v>639</v>
      </c>
      <c r="M569" s="728" t="s">
        <v>1327</v>
      </c>
      <c r="N569" s="729"/>
      <c r="O569" s="730"/>
      <c r="P569" s="731" t="s">
        <v>147</v>
      </c>
      <c r="Q569" s="732"/>
      <c r="R569" s="729"/>
      <c r="S569" s="732"/>
      <c r="T569" s="727" t="s">
        <v>25</v>
      </c>
      <c r="U569" s="733"/>
      <c r="V569" s="704"/>
      <c r="W569" s="705">
        <f>SUMIF('Duplicate Disposition'!$C:$C,$C569,'Duplicate Disposition'!W:W)</f>
        <v>0</v>
      </c>
      <c r="X569" s="705">
        <f>SUMIF('Duplicate Disposition'!$C:$C,$C569,'Duplicate Disposition'!X:X)</f>
        <v>-1868.2899999999997</v>
      </c>
      <c r="Y569" s="705">
        <f>SUMIF('Duplicate Disposition'!$C:$C,$C569,'Duplicate Disposition'!Y:Y)</f>
        <v>0</v>
      </c>
      <c r="Z569" s="705">
        <f>SUMIF('Duplicate Disposition'!$C:$C,$C569,'Duplicate Disposition'!Z:Z)</f>
        <v>0</v>
      </c>
      <c r="AA569" s="705">
        <f>SUMIF('Duplicate Disposition'!$C:$C,$C569,'Duplicate Disposition'!AA:AA)</f>
        <v>1.9999999999999962E-2</v>
      </c>
      <c r="AB569" s="705">
        <f>SUMIF('Duplicate Disposition'!$C:$C,$C569,'Duplicate Disposition'!AB:AB)</f>
        <v>-0.53</v>
      </c>
      <c r="AC569" s="705">
        <f>SUMIF('Duplicate Disposition'!$C:$C,$C569,'Duplicate Disposition'!AC:AC)</f>
        <v>-1867.7799999999997</v>
      </c>
      <c r="AD569" s="705">
        <f>SUMIF('Duplicate Disposition'!$C:$C,$C569,'Duplicate Disposition'!AD:AD)</f>
        <v>-1.4099999999999182</v>
      </c>
      <c r="AE569" s="705">
        <f>SUMIF('Duplicate Disposition'!$C:$C,$C569,'Duplicate Disposition'!AE:AE)</f>
        <v>30695.940000000002</v>
      </c>
      <c r="AF569" s="705">
        <f>SUMIF('Duplicate Disposition'!$C:$C,$C569,'Duplicate Disposition'!AF:AF)</f>
        <v>11.670000000000002</v>
      </c>
      <c r="AG569" s="705">
        <f>SUMIF('Duplicate Disposition'!$C:$C,$C569,'Duplicate Disposition'!AG:AG)</f>
        <v>0</v>
      </c>
      <c r="AH569" s="705">
        <f>SUMIF('Duplicate Disposition'!$C:$C,$C569,'Duplicate Disposition'!AH:AH)</f>
        <v>0</v>
      </c>
      <c r="AI569" s="705">
        <f>SUMIF('Duplicate Disposition'!$C:$C,$C569,'Duplicate Disposition'!AI:AI)</f>
        <v>0</v>
      </c>
      <c r="AJ569" s="705">
        <f>SUMIF('Duplicate Disposition'!$C:$C,$C569,'Duplicate Disposition'!AJ:AJ)</f>
        <v>0</v>
      </c>
      <c r="AK569" s="705">
        <f>SUMIF('Duplicate Disposition'!$C:$C,$C569,'Duplicate Disposition'!AK:AK)</f>
        <v>0</v>
      </c>
      <c r="AL569" s="705">
        <f>SUMIF('Duplicate Disposition'!$C:$C,$C569,'Duplicate Disposition'!AL:AL)</f>
        <v>0</v>
      </c>
      <c r="AM569" s="734">
        <f t="shared" si="32"/>
        <v>28837.91</v>
      </c>
      <c r="AN569" s="735">
        <f>ERP_27[[#This Row],[2026 Working Total]]-ERP_27[[#This Row],[LE2 Final Submission]]</f>
        <v>30706.2</v>
      </c>
      <c r="AO569" s="705">
        <f>SUMIF('Duplicate Disposition'!$C:$C,$C569,'Duplicate Disposition'!AO:AO)</f>
        <v>0</v>
      </c>
      <c r="AP569" s="705">
        <f>SUMIF('Duplicate Disposition'!$C:$C,$C569,'Duplicate Disposition'!AP:AP)</f>
        <v>11.670000000000002</v>
      </c>
      <c r="AQ569" s="713">
        <f>SUMIF('Duplicate Disposition'!$C:$C,$C569,'Duplicate Disposition'!AQ:AQ)</f>
        <v>30706.200000000004</v>
      </c>
      <c r="AR569" s="713">
        <f>SUMIF('Duplicate Disposition'!$C:$C,$C569,'Duplicate Disposition'!AR:AR)</f>
        <v>0</v>
      </c>
      <c r="AS569" s="713">
        <f>SUMIF('Duplicate Disposition'!$C:$C,$C569,'Duplicate Disposition'!AS:AS)</f>
        <v>30706.200000000004</v>
      </c>
      <c r="AT569" s="713">
        <f>SUMIF('Duplicate Disposition'!$C:$C,$C569,'Duplicate Disposition'!AT:AT)</f>
        <v>0</v>
      </c>
      <c r="AU569" s="705">
        <f>SUMIF('Duplicate Disposition'!$C:$C,$C569,'Duplicate Disposition'!AU:AU)</f>
        <v>1.9999999999999962E-2</v>
      </c>
      <c r="AV569" s="705">
        <f>SUMIF('Duplicate Disposition'!$C:$C,$C569,'Duplicate Disposition'!AV:AV)</f>
        <v>-0.53</v>
      </c>
      <c r="AW569" s="705">
        <f>SUMIF('Duplicate Disposition'!$C:$C,$C569,'Duplicate Disposition'!AW:AW)</f>
        <v>-1867.7799999999997</v>
      </c>
      <c r="AX569" s="705">
        <f>SUMIF('Duplicate Disposition'!$C:$C,$C569,'Duplicate Disposition'!AX:AX)</f>
        <v>0</v>
      </c>
      <c r="AY569" s="705">
        <f>SUMIF('Duplicate Disposition'!$C:$C,$C569,'Duplicate Disposition'!AY:AY)</f>
        <v>0</v>
      </c>
      <c r="AZ569" s="705">
        <f>SUMIF('Duplicate Disposition'!$C:$C,$C569,'Duplicate Disposition'!AZ:AZ)</f>
        <v>0</v>
      </c>
      <c r="BA569" s="705">
        <f>SUMIF('Duplicate Disposition'!$C:$C,$C569,'Duplicate Disposition'!BA:BA)</f>
        <v>0</v>
      </c>
      <c r="BB569" s="705">
        <f>SUMIF('Duplicate Disposition'!$C:$C,$C569,'Duplicate Disposition'!BB:BB)</f>
        <v>0</v>
      </c>
      <c r="BC569" s="705">
        <f>SUMIF('Duplicate Disposition'!$C:$C,$C569,'Duplicate Disposition'!BC:BC)</f>
        <v>0</v>
      </c>
      <c r="BD569" s="705">
        <f>SUMIF('Duplicate Disposition'!$C:$C,$C569,'Duplicate Disposition'!BD:BD)</f>
        <v>0</v>
      </c>
      <c r="BE569" s="705">
        <f>SUMIF('Duplicate Disposition'!$C:$C,$C569,'Duplicate Disposition'!BE:BE)</f>
        <v>0</v>
      </c>
      <c r="BF569" s="705">
        <f>SUMIF('Duplicate Disposition'!$C:$C,$C569,'Duplicate Disposition'!BF:BF)</f>
        <v>0</v>
      </c>
      <c r="BG569" s="705">
        <f>SUMIF('Duplicate Disposition'!$C:$C,$C569,'Duplicate Disposition'!BG:BG)</f>
        <v>-1868.2899999999997</v>
      </c>
      <c r="BH569" s="705">
        <f>SUMIF('Duplicate Disposition'!$C:$C,$C569,'Duplicate Disposition'!BH:BH)</f>
        <v>1.9999999999999962E-2</v>
      </c>
      <c r="BI569" s="705">
        <f>SUMIF('Duplicate Disposition'!$C:$C,$C569,'Duplicate Disposition'!BI:BI)</f>
        <v>-0.53</v>
      </c>
      <c r="BJ569" s="705">
        <f>SUMIF('Duplicate Disposition'!$C:$C,$C569,'Duplicate Disposition'!BJ:BJ)</f>
        <v>-1867.7799999999997</v>
      </c>
      <c r="BK569" s="705">
        <f>SUMIF('Duplicate Disposition'!$C:$C,$C569,'Duplicate Disposition'!BK:BK)</f>
        <v>0</v>
      </c>
      <c r="BL569" s="705">
        <f>SUMIF('Duplicate Disposition'!$C:$C,$C569,'Duplicate Disposition'!BL:BL)</f>
        <v>0</v>
      </c>
      <c r="BM569" s="705">
        <f>SUMIF('Duplicate Disposition'!$C:$C,$C569,'Duplicate Disposition'!BM:BM)</f>
        <v>0</v>
      </c>
      <c r="BN569" s="705">
        <f>SUMIF('Duplicate Disposition'!$C:$C,$C569,'Duplicate Disposition'!BN:BN)</f>
        <v>0</v>
      </c>
      <c r="BO569" s="705">
        <f>SUMIF('Duplicate Disposition'!$C:$C,$C569,'Duplicate Disposition'!BO:BO)</f>
        <v>0</v>
      </c>
      <c r="BP569" s="705">
        <f>SUMIF('Duplicate Disposition'!$C:$C,$C569,'Duplicate Disposition'!BP:BP)</f>
        <v>0</v>
      </c>
      <c r="BQ569" s="705">
        <f>SUMIF('Duplicate Disposition'!$C:$C,$C569,'Duplicate Disposition'!BQ:BQ)</f>
        <v>0</v>
      </c>
      <c r="BR569" s="705">
        <f>SUMIF('Duplicate Disposition'!$C:$C,$C569,'Duplicate Disposition'!BR:BR)</f>
        <v>0</v>
      </c>
      <c r="BS569" s="705">
        <f>SUMIF('Duplicate Disposition'!$C:$C,$C569,'Duplicate Disposition'!BS:BS)</f>
        <v>0</v>
      </c>
      <c r="BT569" s="705">
        <f>SUMIF('Duplicate Disposition'!$C:$C,$C569,'Duplicate Disposition'!BT:BT)</f>
        <v>-1868.2899999999997</v>
      </c>
    </row>
    <row r="570" spans="1:72" ht="15" hidden="1" customHeight="1">
      <c r="A570" s="215" t="s">
        <v>2024</v>
      </c>
      <c r="B570" s="725" t="s">
        <v>2944</v>
      </c>
      <c r="C570" s="215" t="s">
        <v>533</v>
      </c>
      <c r="D570" s="215" t="s">
        <v>533</v>
      </c>
      <c r="E570" s="513" t="s">
        <v>1136</v>
      </c>
      <c r="F570" s="726" t="s">
        <v>1566</v>
      </c>
      <c r="G570" s="513" t="s">
        <v>1345</v>
      </c>
      <c r="H570" s="727" t="s">
        <v>1345</v>
      </c>
      <c r="I570" s="727" t="s">
        <v>1345</v>
      </c>
      <c r="J570" s="727" t="s">
        <v>1345</v>
      </c>
      <c r="K570" s="727" t="s">
        <v>1346</v>
      </c>
      <c r="L570" s="516" t="s">
        <v>389</v>
      </c>
      <c r="M570" s="728" t="s">
        <v>1855</v>
      </c>
      <c r="N570" s="729"/>
      <c r="O570" s="730"/>
      <c r="P570" s="731" t="s">
        <v>466</v>
      </c>
      <c r="Q570" s="732"/>
      <c r="R570" s="737" t="s">
        <v>1140</v>
      </c>
      <c r="S570" s="732"/>
      <c r="T570" s="727" t="s">
        <v>57</v>
      </c>
      <c r="U570" s="733"/>
      <c r="V570" s="704"/>
      <c r="W570" s="705">
        <f>SUMIF('Duplicate Disposition'!$C:$C,$C570,'Duplicate Disposition'!W:W)</f>
        <v>41976</v>
      </c>
      <c r="X570" s="705">
        <f>SUMIF('Duplicate Disposition'!$C:$C,$C570,'Duplicate Disposition'!X:X)</f>
        <v>42158</v>
      </c>
      <c r="Y570" s="705">
        <f>SUMIF('Duplicate Disposition'!$C:$C,$C570,'Duplicate Disposition'!Y:Y)</f>
        <v>0</v>
      </c>
      <c r="Z570" s="705">
        <f>SUMIF('Duplicate Disposition'!$C:$C,$C570,'Duplicate Disposition'!Z:Z)</f>
        <v>0</v>
      </c>
      <c r="AA570" s="705">
        <f>SUMIF('Duplicate Disposition'!$C:$C,$C570,'Duplicate Disposition'!AA:AA)</f>
        <v>3202</v>
      </c>
      <c r="AB570" s="705">
        <f>SUMIF('Duplicate Disposition'!$C:$C,$C570,'Duplicate Disposition'!AB:AB)</f>
        <v>2592</v>
      </c>
      <c r="AC570" s="705">
        <f>SUMIF('Duplicate Disposition'!$C:$C,$C570,'Duplicate Disposition'!AC:AC)</f>
        <v>4882</v>
      </c>
      <c r="AD570" s="705">
        <f>SUMIF('Duplicate Disposition'!$C:$C,$C570,'Duplicate Disposition'!AD:AD)</f>
        <v>2546</v>
      </c>
      <c r="AE570" s="705">
        <f>SUMIF('Duplicate Disposition'!$C:$C,$C570,'Duplicate Disposition'!AE:AE)</f>
        <v>2486</v>
      </c>
      <c r="AF570" s="705">
        <f>SUMIF('Duplicate Disposition'!$C:$C,$C570,'Duplicate Disposition'!AF:AF)</f>
        <v>2419</v>
      </c>
      <c r="AG570" s="705">
        <f>SUMIF('Duplicate Disposition'!$C:$C,$C570,'Duplicate Disposition'!AG:AG)</f>
        <v>3498</v>
      </c>
      <c r="AH570" s="705">
        <f>SUMIF('Duplicate Disposition'!$C:$C,$C570,'Duplicate Disposition'!AH:AH)</f>
        <v>3498</v>
      </c>
      <c r="AI570" s="705">
        <f>SUMIF('Duplicate Disposition'!$C:$C,$C570,'Duplicate Disposition'!AI:AI)</f>
        <v>3498</v>
      </c>
      <c r="AJ570" s="705">
        <f>SUMIF('Duplicate Disposition'!$C:$C,$C570,'Duplicate Disposition'!AJ:AJ)</f>
        <v>3498</v>
      </c>
      <c r="AK570" s="705">
        <f>SUMIF('Duplicate Disposition'!$C:$C,$C570,'Duplicate Disposition'!AK:AK)</f>
        <v>3498</v>
      </c>
      <c r="AL570" s="705">
        <f>SUMIF('Duplicate Disposition'!$C:$C,$C570,'Duplicate Disposition'!AL:AL)</f>
        <v>3498</v>
      </c>
      <c r="AM570" s="734">
        <f t="shared" si="32"/>
        <v>39115</v>
      </c>
      <c r="AN570" s="735">
        <f>ERP_27[[#This Row],[2026 Working Total]]-ERP_27[[#This Row],[LE2 Final Submission]]</f>
        <v>-3043</v>
      </c>
      <c r="AO570" s="705">
        <f>SUMIF('Duplicate Disposition'!$C:$C,$C570,'Duplicate Disposition'!AO:AO)</f>
        <v>3498</v>
      </c>
      <c r="AP570" s="705">
        <f>SUMIF('Duplicate Disposition'!$C:$C,$C570,'Duplicate Disposition'!AP:AP)</f>
        <v>-1079</v>
      </c>
      <c r="AQ570" s="713">
        <f>SUMIF('Duplicate Disposition'!$C:$C,$C570,'Duplicate Disposition'!AQ:AQ)</f>
        <v>-3043</v>
      </c>
      <c r="AR570" s="713">
        <f>SUMIF('Duplicate Disposition'!$C:$C,$C570,'Duplicate Disposition'!AR:AR)</f>
        <v>0</v>
      </c>
      <c r="AS570" s="713">
        <f>SUMIF('Duplicate Disposition'!$C:$C,$C570,'Duplicate Disposition'!AS:AS)</f>
        <v>-3043</v>
      </c>
      <c r="AT570" s="713">
        <f>SUMIF('Duplicate Disposition'!$C:$C,$C570,'Duplicate Disposition'!AT:AT)</f>
        <v>0</v>
      </c>
      <c r="AU570" s="705">
        <f>SUMIF('Duplicate Disposition'!$C:$C,$C570,'Duplicate Disposition'!AU:AU)</f>
        <v>3202</v>
      </c>
      <c r="AV570" s="705">
        <f>SUMIF('Duplicate Disposition'!$C:$C,$C570,'Duplicate Disposition'!AV:AV)</f>
        <v>2592</v>
      </c>
      <c r="AW570" s="705">
        <f>SUMIF('Duplicate Disposition'!$C:$C,$C570,'Duplicate Disposition'!AW:AW)</f>
        <v>4882</v>
      </c>
      <c r="AX570" s="705">
        <f>SUMIF('Duplicate Disposition'!$C:$C,$C570,'Duplicate Disposition'!AX:AX)</f>
        <v>3498</v>
      </c>
      <c r="AY570" s="705">
        <f>SUMIF('Duplicate Disposition'!$C:$C,$C570,'Duplicate Disposition'!AY:AY)</f>
        <v>3498</v>
      </c>
      <c r="AZ570" s="705">
        <f>SUMIF('Duplicate Disposition'!$C:$C,$C570,'Duplicate Disposition'!AZ:AZ)</f>
        <v>3498</v>
      </c>
      <c r="BA570" s="705">
        <f>SUMIF('Duplicate Disposition'!$C:$C,$C570,'Duplicate Disposition'!BA:BA)</f>
        <v>3498</v>
      </c>
      <c r="BB570" s="705">
        <f>SUMIF('Duplicate Disposition'!$C:$C,$C570,'Duplicate Disposition'!BB:BB)</f>
        <v>3498</v>
      </c>
      <c r="BC570" s="705">
        <f>SUMIF('Duplicate Disposition'!$C:$C,$C570,'Duplicate Disposition'!BC:BC)</f>
        <v>3498</v>
      </c>
      <c r="BD570" s="705">
        <f>SUMIF('Duplicate Disposition'!$C:$C,$C570,'Duplicate Disposition'!BD:BD)</f>
        <v>3498</v>
      </c>
      <c r="BE570" s="705">
        <f>SUMIF('Duplicate Disposition'!$C:$C,$C570,'Duplicate Disposition'!BE:BE)</f>
        <v>3498</v>
      </c>
      <c r="BF570" s="705">
        <f>SUMIF('Duplicate Disposition'!$C:$C,$C570,'Duplicate Disposition'!BF:BF)</f>
        <v>3498</v>
      </c>
      <c r="BG570" s="705">
        <f>SUMIF('Duplicate Disposition'!$C:$C,$C570,'Duplicate Disposition'!BG:BG)</f>
        <v>42158</v>
      </c>
      <c r="BH570" s="705">
        <f>SUMIF('Duplicate Disposition'!$C:$C,$C570,'Duplicate Disposition'!BH:BH)</f>
        <v>3202</v>
      </c>
      <c r="BI570" s="705">
        <f>SUMIF('Duplicate Disposition'!$C:$C,$C570,'Duplicate Disposition'!BI:BI)</f>
        <v>2592</v>
      </c>
      <c r="BJ570" s="705">
        <f>SUMIF('Duplicate Disposition'!$C:$C,$C570,'Duplicate Disposition'!BJ:BJ)</f>
        <v>4882</v>
      </c>
      <c r="BK570" s="705">
        <f>SUMIF('Duplicate Disposition'!$C:$C,$C570,'Duplicate Disposition'!BK:BK)</f>
        <v>3498</v>
      </c>
      <c r="BL570" s="705">
        <f>SUMIF('Duplicate Disposition'!$C:$C,$C570,'Duplicate Disposition'!BL:BL)</f>
        <v>3498</v>
      </c>
      <c r="BM570" s="705">
        <f>SUMIF('Duplicate Disposition'!$C:$C,$C570,'Duplicate Disposition'!BM:BM)</f>
        <v>3498</v>
      </c>
      <c r="BN570" s="705">
        <f>SUMIF('Duplicate Disposition'!$C:$C,$C570,'Duplicate Disposition'!BN:BN)</f>
        <v>3498</v>
      </c>
      <c r="BO570" s="705">
        <f>SUMIF('Duplicate Disposition'!$C:$C,$C570,'Duplicate Disposition'!BO:BO)</f>
        <v>3498</v>
      </c>
      <c r="BP570" s="705">
        <f>SUMIF('Duplicate Disposition'!$C:$C,$C570,'Duplicate Disposition'!BP:BP)</f>
        <v>3498</v>
      </c>
      <c r="BQ570" s="705">
        <f>SUMIF('Duplicate Disposition'!$C:$C,$C570,'Duplicate Disposition'!BQ:BQ)</f>
        <v>3498</v>
      </c>
      <c r="BR570" s="705">
        <f>SUMIF('Duplicate Disposition'!$C:$C,$C570,'Duplicate Disposition'!BR:BR)</f>
        <v>3498</v>
      </c>
      <c r="BS570" s="705">
        <f>SUMIF('Duplicate Disposition'!$C:$C,$C570,'Duplicate Disposition'!BS:BS)</f>
        <v>3498</v>
      </c>
      <c r="BT570" s="705">
        <f>SUMIF('Duplicate Disposition'!$C:$C,$C570,'Duplicate Disposition'!BT:BT)</f>
        <v>42158</v>
      </c>
    </row>
    <row r="571" spans="1:72" ht="15" hidden="1" customHeight="1">
      <c r="A571" s="215" t="s">
        <v>2059</v>
      </c>
      <c r="B571" s="725" t="s">
        <v>2944</v>
      </c>
      <c r="C571" s="215" t="s">
        <v>553</v>
      </c>
      <c r="D571" s="215" t="s">
        <v>553</v>
      </c>
      <c r="E571" s="513" t="s">
        <v>1136</v>
      </c>
      <c r="F571" s="726" t="s">
        <v>1566</v>
      </c>
      <c r="G571" s="512" t="s">
        <v>1480</v>
      </c>
      <c r="H571" s="517" t="s">
        <v>1480</v>
      </c>
      <c r="I571" s="727" t="s">
        <v>1345</v>
      </c>
      <c r="J571" s="727" t="s">
        <v>1480</v>
      </c>
      <c r="K571" s="727" t="s">
        <v>1346</v>
      </c>
      <c r="L571" s="516" t="s">
        <v>389</v>
      </c>
      <c r="M571" s="728" t="s">
        <v>1855</v>
      </c>
      <c r="N571" s="729"/>
      <c r="O571" s="730"/>
      <c r="P571" s="731" t="s">
        <v>466</v>
      </c>
      <c r="Q571" s="732"/>
      <c r="R571" s="737" t="s">
        <v>1140</v>
      </c>
      <c r="S571" s="732"/>
      <c r="T571" s="727" t="s">
        <v>57</v>
      </c>
      <c r="U571" s="733"/>
      <c r="V571" s="704"/>
      <c r="W571" s="705">
        <f>SUMIF('Duplicate Disposition'!$C:$C,$C571,'Duplicate Disposition'!W:W)</f>
        <v>45852</v>
      </c>
      <c r="X571" s="705">
        <f>SUMIF('Duplicate Disposition'!$C:$C,$C571,'Duplicate Disposition'!X:X)</f>
        <v>44573</v>
      </c>
      <c r="Y571" s="705">
        <f>SUMIF('Duplicate Disposition'!$C:$C,$C571,'Duplicate Disposition'!Y:Y)</f>
        <v>0</v>
      </c>
      <c r="Z571" s="705">
        <f>SUMIF('Duplicate Disposition'!$C:$C,$C571,'Duplicate Disposition'!Z:Z)</f>
        <v>0</v>
      </c>
      <c r="AA571" s="705">
        <f>SUMIF('Duplicate Disposition'!$C:$C,$C571,'Duplicate Disposition'!AA:AA)</f>
        <v>3089</v>
      </c>
      <c r="AB571" s="705">
        <f>SUMIF('Duplicate Disposition'!$C:$C,$C571,'Duplicate Disposition'!AB:AB)</f>
        <v>2620</v>
      </c>
      <c r="AC571" s="705">
        <f>SUMIF('Duplicate Disposition'!$C:$C,$C571,'Duplicate Disposition'!AC:AC)</f>
        <v>4475</v>
      </c>
      <c r="AD571" s="705">
        <f>SUMIF('Duplicate Disposition'!$C:$C,$C571,'Duplicate Disposition'!AD:AD)</f>
        <v>2648</v>
      </c>
      <c r="AE571" s="705">
        <f>SUMIF('Duplicate Disposition'!$C:$C,$C571,'Duplicate Disposition'!AE:AE)</f>
        <v>2648</v>
      </c>
      <c r="AF571" s="705">
        <f>SUMIF('Duplicate Disposition'!$C:$C,$C571,'Duplicate Disposition'!AF:AF)</f>
        <v>2581</v>
      </c>
      <c r="AG571" s="705">
        <f>SUMIF('Duplicate Disposition'!$C:$C,$C571,'Duplicate Disposition'!AG:AG)</f>
        <v>3821</v>
      </c>
      <c r="AH571" s="705">
        <f>SUMIF('Duplicate Disposition'!$C:$C,$C571,'Duplicate Disposition'!AH:AH)</f>
        <v>3821</v>
      </c>
      <c r="AI571" s="705">
        <f>SUMIF('Duplicate Disposition'!$C:$C,$C571,'Duplicate Disposition'!AI:AI)</f>
        <v>3821</v>
      </c>
      <c r="AJ571" s="705">
        <f>SUMIF('Duplicate Disposition'!$C:$C,$C571,'Duplicate Disposition'!AJ:AJ)</f>
        <v>3821</v>
      </c>
      <c r="AK571" s="705">
        <f>SUMIF('Duplicate Disposition'!$C:$C,$C571,'Duplicate Disposition'!AK:AK)</f>
        <v>3821</v>
      </c>
      <c r="AL571" s="705">
        <f>SUMIF('Duplicate Disposition'!$C:$C,$C571,'Duplicate Disposition'!AL:AL)</f>
        <v>3821</v>
      </c>
      <c r="AM571" s="734">
        <f t="shared" si="32"/>
        <v>40987</v>
      </c>
      <c r="AN571" s="735">
        <f>ERP_27[[#This Row],[2026 Working Total]]-ERP_27[[#This Row],[LE2 Final Submission]]</f>
        <v>-3586</v>
      </c>
      <c r="AO571" s="705">
        <f>SUMIF('Duplicate Disposition'!$C:$C,$C571,'Duplicate Disposition'!AO:AO)</f>
        <v>3821</v>
      </c>
      <c r="AP571" s="705">
        <f>SUMIF('Duplicate Disposition'!$C:$C,$C571,'Duplicate Disposition'!AP:AP)</f>
        <v>-1240</v>
      </c>
      <c r="AQ571" s="713">
        <f>SUMIF('Duplicate Disposition'!$C:$C,$C571,'Duplicate Disposition'!AQ:AQ)</f>
        <v>-3586</v>
      </c>
      <c r="AR571" s="713">
        <f>SUMIF('Duplicate Disposition'!$C:$C,$C571,'Duplicate Disposition'!AR:AR)</f>
        <v>0</v>
      </c>
      <c r="AS571" s="713">
        <f>SUMIF('Duplicate Disposition'!$C:$C,$C571,'Duplicate Disposition'!AS:AS)</f>
        <v>-3586</v>
      </c>
      <c r="AT571" s="713">
        <f>SUMIF('Duplicate Disposition'!$C:$C,$C571,'Duplicate Disposition'!AT:AT)</f>
        <v>0</v>
      </c>
      <c r="AU571" s="705">
        <f>SUMIF('Duplicate Disposition'!$C:$C,$C571,'Duplicate Disposition'!AU:AU)</f>
        <v>3089</v>
      </c>
      <c r="AV571" s="705">
        <f>SUMIF('Duplicate Disposition'!$C:$C,$C571,'Duplicate Disposition'!AV:AV)</f>
        <v>2620</v>
      </c>
      <c r="AW571" s="705">
        <f>SUMIF('Duplicate Disposition'!$C:$C,$C571,'Duplicate Disposition'!AW:AW)</f>
        <v>4475</v>
      </c>
      <c r="AX571" s="705">
        <f>SUMIF('Duplicate Disposition'!$C:$C,$C571,'Duplicate Disposition'!AX:AX)</f>
        <v>3821</v>
      </c>
      <c r="AY571" s="705">
        <f>SUMIF('Duplicate Disposition'!$C:$C,$C571,'Duplicate Disposition'!AY:AY)</f>
        <v>3821</v>
      </c>
      <c r="AZ571" s="705">
        <f>SUMIF('Duplicate Disposition'!$C:$C,$C571,'Duplicate Disposition'!AZ:AZ)</f>
        <v>3821</v>
      </c>
      <c r="BA571" s="705">
        <f>SUMIF('Duplicate Disposition'!$C:$C,$C571,'Duplicate Disposition'!BA:BA)</f>
        <v>3821</v>
      </c>
      <c r="BB571" s="705">
        <f>SUMIF('Duplicate Disposition'!$C:$C,$C571,'Duplicate Disposition'!BB:BB)</f>
        <v>3821</v>
      </c>
      <c r="BC571" s="705">
        <f>SUMIF('Duplicate Disposition'!$C:$C,$C571,'Duplicate Disposition'!BC:BC)</f>
        <v>3821</v>
      </c>
      <c r="BD571" s="705">
        <f>SUMIF('Duplicate Disposition'!$C:$C,$C571,'Duplicate Disposition'!BD:BD)</f>
        <v>3821</v>
      </c>
      <c r="BE571" s="705">
        <f>SUMIF('Duplicate Disposition'!$C:$C,$C571,'Duplicate Disposition'!BE:BE)</f>
        <v>3821</v>
      </c>
      <c r="BF571" s="705">
        <f>SUMIF('Duplicate Disposition'!$C:$C,$C571,'Duplicate Disposition'!BF:BF)</f>
        <v>3821</v>
      </c>
      <c r="BG571" s="705">
        <f>SUMIF('Duplicate Disposition'!$C:$C,$C571,'Duplicate Disposition'!BG:BG)</f>
        <v>44573</v>
      </c>
      <c r="BH571" s="705">
        <f>SUMIF('Duplicate Disposition'!$C:$C,$C571,'Duplicate Disposition'!BH:BH)</f>
        <v>3089</v>
      </c>
      <c r="BI571" s="705">
        <f>SUMIF('Duplicate Disposition'!$C:$C,$C571,'Duplicate Disposition'!BI:BI)</f>
        <v>2620</v>
      </c>
      <c r="BJ571" s="705">
        <f>SUMIF('Duplicate Disposition'!$C:$C,$C571,'Duplicate Disposition'!BJ:BJ)</f>
        <v>4475</v>
      </c>
      <c r="BK571" s="705">
        <f>SUMIF('Duplicate Disposition'!$C:$C,$C571,'Duplicate Disposition'!BK:BK)</f>
        <v>3821</v>
      </c>
      <c r="BL571" s="705">
        <f>SUMIF('Duplicate Disposition'!$C:$C,$C571,'Duplicate Disposition'!BL:BL)</f>
        <v>3821</v>
      </c>
      <c r="BM571" s="705">
        <f>SUMIF('Duplicate Disposition'!$C:$C,$C571,'Duplicate Disposition'!BM:BM)</f>
        <v>3821</v>
      </c>
      <c r="BN571" s="705">
        <f>SUMIF('Duplicate Disposition'!$C:$C,$C571,'Duplicate Disposition'!BN:BN)</f>
        <v>3821</v>
      </c>
      <c r="BO571" s="705">
        <f>SUMIF('Duplicate Disposition'!$C:$C,$C571,'Duplicate Disposition'!BO:BO)</f>
        <v>3821</v>
      </c>
      <c r="BP571" s="705">
        <f>SUMIF('Duplicate Disposition'!$C:$C,$C571,'Duplicate Disposition'!BP:BP)</f>
        <v>3821</v>
      </c>
      <c r="BQ571" s="705">
        <f>SUMIF('Duplicate Disposition'!$C:$C,$C571,'Duplicate Disposition'!BQ:BQ)</f>
        <v>3821</v>
      </c>
      <c r="BR571" s="705">
        <f>SUMIF('Duplicate Disposition'!$C:$C,$C571,'Duplicate Disposition'!BR:BR)</f>
        <v>3821</v>
      </c>
      <c r="BS571" s="705">
        <f>SUMIF('Duplicate Disposition'!$C:$C,$C571,'Duplicate Disposition'!BS:BS)</f>
        <v>3821</v>
      </c>
      <c r="BT571" s="705">
        <f>SUMIF('Duplicate Disposition'!$C:$C,$C571,'Duplicate Disposition'!BT:BT)</f>
        <v>44573</v>
      </c>
    </row>
    <row r="572" spans="1:72" ht="15" hidden="1" customHeight="1">
      <c r="A572" s="215" t="s">
        <v>2725</v>
      </c>
      <c r="B572" s="725" t="s">
        <v>2944</v>
      </c>
      <c r="C572" s="215" t="s">
        <v>973</v>
      </c>
      <c r="D572" s="215" t="s">
        <v>973</v>
      </c>
      <c r="E572" s="513" t="s">
        <v>1136</v>
      </c>
      <c r="F572" s="726" t="s">
        <v>1566</v>
      </c>
      <c r="G572" s="512" t="s">
        <v>1480</v>
      </c>
      <c r="H572" s="517" t="s">
        <v>1480</v>
      </c>
      <c r="I572" s="727" t="s">
        <v>1345</v>
      </c>
      <c r="J572" s="727" t="s">
        <v>1480</v>
      </c>
      <c r="K572" s="727" t="s">
        <v>1346</v>
      </c>
      <c r="L572" s="516" t="s">
        <v>639</v>
      </c>
      <c r="M572" s="728" t="s">
        <v>818</v>
      </c>
      <c r="N572" s="729"/>
      <c r="O572" s="730"/>
      <c r="P572" s="731" t="s">
        <v>817</v>
      </c>
      <c r="Q572" s="732"/>
      <c r="R572" s="737" t="s">
        <v>1140</v>
      </c>
      <c r="S572" s="732"/>
      <c r="T572" s="727" t="s">
        <v>818</v>
      </c>
      <c r="U572" s="733"/>
      <c r="V572" s="704"/>
      <c r="W572" s="705">
        <f>SUMIF('Duplicate Disposition'!$C:$C,$C572,'Duplicate Disposition'!W:W)</f>
        <v>37176</v>
      </c>
      <c r="X572" s="705">
        <f>SUMIF('Duplicate Disposition'!$C:$C,$C572,'Duplicate Disposition'!X:X)</f>
        <v>45421.08</v>
      </c>
      <c r="Y572" s="705">
        <f>SUMIF('Duplicate Disposition'!$C:$C,$C572,'Duplicate Disposition'!Y:Y)</f>
        <v>0</v>
      </c>
      <c r="Z572" s="705">
        <f>SUMIF('Duplicate Disposition'!$C:$C,$C572,'Duplicate Disposition'!Z:Z)</f>
        <v>0</v>
      </c>
      <c r="AA572" s="705">
        <f>SUMIF('Duplicate Disposition'!$C:$C,$C572,'Duplicate Disposition'!AA:AA)</f>
        <v>0</v>
      </c>
      <c r="AB572" s="705">
        <f>SUMIF('Duplicate Disposition'!$C:$C,$C572,'Duplicate Disposition'!AB:AB)</f>
        <v>0</v>
      </c>
      <c r="AC572" s="705">
        <f>SUMIF('Duplicate Disposition'!$C:$C,$C572,'Duplicate Disposition'!AC:AC)</f>
        <v>17539.080000000002</v>
      </c>
      <c r="AD572" s="705">
        <f>SUMIF('Duplicate Disposition'!$C:$C,$C572,'Duplicate Disposition'!AD:AD)</f>
        <v>0</v>
      </c>
      <c r="AE572" s="705">
        <f>SUMIF('Duplicate Disposition'!$C:$C,$C572,'Duplicate Disposition'!AE:AE)</f>
        <v>0</v>
      </c>
      <c r="AF572" s="705">
        <f>SUMIF('Duplicate Disposition'!$C:$C,$C572,'Duplicate Disposition'!AF:AF)</f>
        <v>15527.55</v>
      </c>
      <c r="AG572" s="705">
        <f>SUMIF('Duplicate Disposition'!$C:$C,$C572,'Duplicate Disposition'!AG:AG)</f>
        <v>0</v>
      </c>
      <c r="AH572" s="705">
        <f>SUMIF('Duplicate Disposition'!$C:$C,$C572,'Duplicate Disposition'!AH:AH)</f>
        <v>0</v>
      </c>
      <c r="AI572" s="705">
        <f>SUMIF('Duplicate Disposition'!$C:$C,$C572,'Duplicate Disposition'!AI:AI)</f>
        <v>9294</v>
      </c>
      <c r="AJ572" s="705">
        <f>SUMIF('Duplicate Disposition'!$C:$C,$C572,'Duplicate Disposition'!AJ:AJ)</f>
        <v>0</v>
      </c>
      <c r="AK572" s="705">
        <f>SUMIF('Duplicate Disposition'!$C:$C,$C572,'Duplicate Disposition'!AK:AK)</f>
        <v>9294</v>
      </c>
      <c r="AL572" s="705">
        <f>SUMIF('Duplicate Disposition'!$C:$C,$C572,'Duplicate Disposition'!AL:AL)</f>
        <v>0</v>
      </c>
      <c r="AM572" s="734">
        <f t="shared" si="32"/>
        <v>51654.630000000005</v>
      </c>
      <c r="AN572" s="735">
        <f>ERP_27[[#This Row],[2026 Working Total]]-ERP_27[[#This Row],[LE2 Final Submission]]</f>
        <v>6233.5500000000029</v>
      </c>
      <c r="AO572" s="705">
        <f>SUMIF('Duplicate Disposition'!$C:$C,$C572,'Duplicate Disposition'!AO:AO)</f>
        <v>0</v>
      </c>
      <c r="AP572" s="705">
        <f>SUMIF('Duplicate Disposition'!$C:$C,$C572,'Duplicate Disposition'!AP:AP)</f>
        <v>15527.55</v>
      </c>
      <c r="AQ572" s="713">
        <f>SUMIF('Duplicate Disposition'!$C:$C,$C572,'Duplicate Disposition'!AQ:AQ)</f>
        <v>6233.5499999999993</v>
      </c>
      <c r="AR572" s="713">
        <f>SUMIF('Duplicate Disposition'!$C:$C,$C572,'Duplicate Disposition'!AR:AR)</f>
        <v>0</v>
      </c>
      <c r="AS572" s="713">
        <f>SUMIF('Duplicate Disposition'!$C:$C,$C572,'Duplicate Disposition'!AS:AS)</f>
        <v>6233.5499999999956</v>
      </c>
      <c r="AT572" s="713">
        <f>SUMIF('Duplicate Disposition'!$C:$C,$C572,'Duplicate Disposition'!AT:AT)</f>
        <v>0</v>
      </c>
      <c r="AU572" s="705">
        <f>SUMIF('Duplicate Disposition'!$C:$C,$C572,'Duplicate Disposition'!AU:AU)</f>
        <v>0</v>
      </c>
      <c r="AV572" s="705">
        <f>SUMIF('Duplicate Disposition'!$C:$C,$C572,'Duplicate Disposition'!AV:AV)</f>
        <v>0</v>
      </c>
      <c r="AW572" s="705">
        <f>SUMIF('Duplicate Disposition'!$C:$C,$C572,'Duplicate Disposition'!AW:AW)</f>
        <v>17539.080000000002</v>
      </c>
      <c r="AX572" s="705">
        <f>SUMIF('Duplicate Disposition'!$C:$C,$C572,'Duplicate Disposition'!AX:AX)</f>
        <v>0</v>
      </c>
      <c r="AY572" s="705">
        <f>SUMIF('Duplicate Disposition'!$C:$C,$C572,'Duplicate Disposition'!AY:AY)</f>
        <v>0</v>
      </c>
      <c r="AZ572" s="705">
        <f>SUMIF('Duplicate Disposition'!$C:$C,$C572,'Duplicate Disposition'!AZ:AZ)</f>
        <v>9294</v>
      </c>
      <c r="BA572" s="705">
        <f>SUMIF('Duplicate Disposition'!$C:$C,$C572,'Duplicate Disposition'!BA:BA)</f>
        <v>0</v>
      </c>
      <c r="BB572" s="705">
        <f>SUMIF('Duplicate Disposition'!$C:$C,$C572,'Duplicate Disposition'!BB:BB)</f>
        <v>0</v>
      </c>
      <c r="BC572" s="705">
        <f>SUMIF('Duplicate Disposition'!$C:$C,$C572,'Duplicate Disposition'!BC:BC)</f>
        <v>9294</v>
      </c>
      <c r="BD572" s="705">
        <f>SUMIF('Duplicate Disposition'!$C:$C,$C572,'Duplicate Disposition'!BD:BD)</f>
        <v>0</v>
      </c>
      <c r="BE572" s="705">
        <f>SUMIF('Duplicate Disposition'!$C:$C,$C572,'Duplicate Disposition'!BE:BE)</f>
        <v>9294</v>
      </c>
      <c r="BF572" s="705">
        <f>SUMIF('Duplicate Disposition'!$C:$C,$C572,'Duplicate Disposition'!BF:BF)</f>
        <v>0</v>
      </c>
      <c r="BG572" s="705">
        <f>SUMIF('Duplicate Disposition'!$C:$C,$C572,'Duplicate Disposition'!BG:BG)</f>
        <v>45421.08</v>
      </c>
      <c r="BH572" s="705">
        <f>SUMIF('Duplicate Disposition'!$C:$C,$C572,'Duplicate Disposition'!BH:BH)</f>
        <v>0</v>
      </c>
      <c r="BI572" s="705">
        <f>SUMIF('Duplicate Disposition'!$C:$C,$C572,'Duplicate Disposition'!BI:BI)</f>
        <v>0</v>
      </c>
      <c r="BJ572" s="705">
        <f>SUMIF('Duplicate Disposition'!$C:$C,$C572,'Duplicate Disposition'!BJ:BJ)</f>
        <v>17539.080000000002</v>
      </c>
      <c r="BK572" s="705">
        <f>SUMIF('Duplicate Disposition'!$C:$C,$C572,'Duplicate Disposition'!BK:BK)</f>
        <v>0</v>
      </c>
      <c r="BL572" s="705">
        <f>SUMIF('Duplicate Disposition'!$C:$C,$C572,'Duplicate Disposition'!BL:BL)</f>
        <v>0</v>
      </c>
      <c r="BM572" s="705">
        <f>SUMIF('Duplicate Disposition'!$C:$C,$C572,'Duplicate Disposition'!BM:BM)</f>
        <v>9294</v>
      </c>
      <c r="BN572" s="705">
        <f>SUMIF('Duplicate Disposition'!$C:$C,$C572,'Duplicate Disposition'!BN:BN)</f>
        <v>0</v>
      </c>
      <c r="BO572" s="705">
        <f>SUMIF('Duplicate Disposition'!$C:$C,$C572,'Duplicate Disposition'!BO:BO)</f>
        <v>0</v>
      </c>
      <c r="BP572" s="705">
        <f>SUMIF('Duplicate Disposition'!$C:$C,$C572,'Duplicate Disposition'!BP:BP)</f>
        <v>9294</v>
      </c>
      <c r="BQ572" s="705">
        <f>SUMIF('Duplicate Disposition'!$C:$C,$C572,'Duplicate Disposition'!BQ:BQ)</f>
        <v>0</v>
      </c>
      <c r="BR572" s="705">
        <f>SUMIF('Duplicate Disposition'!$C:$C,$C572,'Duplicate Disposition'!BR:BR)</f>
        <v>9294</v>
      </c>
      <c r="BS572" s="705">
        <f>SUMIF('Duplicate Disposition'!$C:$C,$C572,'Duplicate Disposition'!BS:BS)</f>
        <v>0</v>
      </c>
      <c r="BT572" s="705">
        <f>SUMIF('Duplicate Disposition'!$C:$C,$C572,'Duplicate Disposition'!BT:BT)</f>
        <v>45421.08</v>
      </c>
    </row>
    <row r="573" spans="1:72" ht="15" hidden="1" customHeight="1">
      <c r="A573" s="727" t="s">
        <v>1801</v>
      </c>
      <c r="B573" s="738" t="s">
        <v>2944</v>
      </c>
      <c r="C573" s="739" t="s">
        <v>420</v>
      </c>
      <c r="D573" s="330" t="s">
        <v>1802</v>
      </c>
      <c r="E573" s="513" t="s">
        <v>1136</v>
      </c>
      <c r="F573" s="726" t="s">
        <v>1566</v>
      </c>
      <c r="G573" s="513" t="s">
        <v>1135</v>
      </c>
      <c r="H573" s="518" t="s">
        <v>1156</v>
      </c>
      <c r="I573" s="727" t="s">
        <v>1135</v>
      </c>
      <c r="J573" s="518" t="s">
        <v>1156</v>
      </c>
      <c r="K573" s="603" t="s">
        <v>1156</v>
      </c>
      <c r="L573" s="518" t="s">
        <v>389</v>
      </c>
      <c r="M573" s="740" t="s">
        <v>1803</v>
      </c>
      <c r="N573" s="741"/>
      <c r="O573" s="518" t="s">
        <v>1804</v>
      </c>
      <c r="P573" s="742" t="s">
        <v>59</v>
      </c>
      <c r="Q573" s="743"/>
      <c r="R573" s="749" t="s">
        <v>1805</v>
      </c>
      <c r="S573" s="745"/>
      <c r="T573" s="745"/>
      <c r="U573" s="750" t="s">
        <v>1806</v>
      </c>
      <c r="V573" s="358"/>
      <c r="W573" s="705">
        <f>SUMIF('Duplicate Disposition'!$C:$C,$C573,'Duplicate Disposition'!W:W)</f>
        <v>0</v>
      </c>
      <c r="X573" s="705">
        <f>SUMIF('Duplicate Disposition'!$C:$C,$C573,'Duplicate Disposition'!X:X)</f>
        <v>0</v>
      </c>
      <c r="Y573" s="705">
        <f>SUMIF('Duplicate Disposition'!$C:$C,$C573,'Duplicate Disposition'!Y:Y)</f>
        <v>0</v>
      </c>
      <c r="Z573" s="705">
        <f>SUMIF('Duplicate Disposition'!$C:$C,$C573,'Duplicate Disposition'!Z:Z)</f>
        <v>0</v>
      </c>
      <c r="AA573" s="705">
        <f>SUMIF('Duplicate Disposition'!$C:$C,$C573,'Duplicate Disposition'!AA:AA)</f>
        <v>0</v>
      </c>
      <c r="AB573" s="705">
        <f>SUMIF('Duplicate Disposition'!$C:$C,$C573,'Duplicate Disposition'!AB:AB)</f>
        <v>0</v>
      </c>
      <c r="AC573" s="705">
        <f>SUMIF('Duplicate Disposition'!$C:$C,$C573,'Duplicate Disposition'!AC:AC)</f>
        <v>0</v>
      </c>
      <c r="AD573" s="705">
        <f>SUMIF('Duplicate Disposition'!$C:$C,$C573,'Duplicate Disposition'!AD:AD)</f>
        <v>35539.5</v>
      </c>
      <c r="AE573" s="705">
        <f>SUMIF('Duplicate Disposition'!$C:$C,$C573,'Duplicate Disposition'!AE:AE)</f>
        <v>10203.5</v>
      </c>
      <c r="AF573" s="705">
        <f>SUMIF('Duplicate Disposition'!$C:$C,$C573,'Duplicate Disposition'!AF:AF)</f>
        <v>9404.5</v>
      </c>
      <c r="AG573" s="705">
        <f>SUMIF('Duplicate Disposition'!$C:$C,$C573,'Duplicate Disposition'!AG:AG)</f>
        <v>0</v>
      </c>
      <c r="AH573" s="705">
        <f>SUMIF('Duplicate Disposition'!$C:$C,$C573,'Duplicate Disposition'!AH:AH)</f>
        <v>0</v>
      </c>
      <c r="AI573" s="705">
        <f>SUMIF('Duplicate Disposition'!$C:$C,$C573,'Duplicate Disposition'!AI:AI)</f>
        <v>0</v>
      </c>
      <c r="AJ573" s="705">
        <f>SUMIF('Duplicate Disposition'!$C:$C,$C573,'Duplicate Disposition'!AJ:AJ)</f>
        <v>0</v>
      </c>
      <c r="AK573" s="705">
        <f>SUMIF('Duplicate Disposition'!$C:$C,$C573,'Duplicate Disposition'!AK:AK)</f>
        <v>0</v>
      </c>
      <c r="AL573" s="705">
        <f>SUMIF('Duplicate Disposition'!$C:$C,$C573,'Duplicate Disposition'!AL:AL)</f>
        <v>0</v>
      </c>
      <c r="AM573" s="734">
        <f t="shared" si="32"/>
        <v>55147.5</v>
      </c>
      <c r="AN573" s="735">
        <f>ERP_27[[#This Row],[2026 Working Total]]-ERP_27[[#This Row],[LE2 Final Submission]]</f>
        <v>55147.5</v>
      </c>
      <c r="AO573" s="705">
        <f>SUMIF('Duplicate Disposition'!$C:$C,$C573,'Duplicate Disposition'!AO:AO)</f>
        <v>0</v>
      </c>
      <c r="AP573" s="705">
        <f>SUMIF('Duplicate Disposition'!$C:$C,$C573,'Duplicate Disposition'!AP:AP)</f>
        <v>9404.5</v>
      </c>
      <c r="AQ573" s="713">
        <f>SUMIF('Duplicate Disposition'!$C:$C,$C573,'Duplicate Disposition'!AQ:AQ)</f>
        <v>55147.5</v>
      </c>
      <c r="AR573" s="713">
        <f>SUMIF('Duplicate Disposition'!$C:$C,$C573,'Duplicate Disposition'!AR:AR)</f>
        <v>0</v>
      </c>
      <c r="AS573" s="713">
        <f>SUMIF('Duplicate Disposition'!$C:$C,$C573,'Duplicate Disposition'!AS:AS)</f>
        <v>55147.5</v>
      </c>
      <c r="AT573" s="713">
        <f>SUMIF('Duplicate Disposition'!$C:$C,$C573,'Duplicate Disposition'!AT:AT)</f>
        <v>0</v>
      </c>
      <c r="AU573" s="705">
        <f>SUMIF('Duplicate Disposition'!$C:$C,$C573,'Duplicate Disposition'!AU:AU)</f>
        <v>0</v>
      </c>
      <c r="AV573" s="705">
        <f>SUMIF('Duplicate Disposition'!$C:$C,$C573,'Duplicate Disposition'!AV:AV)</f>
        <v>0</v>
      </c>
      <c r="AW573" s="705">
        <f>SUMIF('Duplicate Disposition'!$C:$C,$C573,'Duplicate Disposition'!AW:AW)</f>
        <v>0</v>
      </c>
      <c r="AX573" s="705">
        <f>SUMIF('Duplicate Disposition'!$C:$C,$C573,'Duplicate Disposition'!AX:AX)</f>
        <v>0</v>
      </c>
      <c r="AY573" s="705">
        <f>SUMIF('Duplicate Disposition'!$C:$C,$C573,'Duplicate Disposition'!AY:AY)</f>
        <v>0</v>
      </c>
      <c r="AZ573" s="705">
        <f>SUMIF('Duplicate Disposition'!$C:$C,$C573,'Duplicate Disposition'!AZ:AZ)</f>
        <v>0</v>
      </c>
      <c r="BA573" s="705">
        <f>SUMIF('Duplicate Disposition'!$C:$C,$C573,'Duplicate Disposition'!BA:BA)</f>
        <v>0</v>
      </c>
      <c r="BB573" s="705">
        <f>SUMIF('Duplicate Disposition'!$C:$C,$C573,'Duplicate Disposition'!BB:BB)</f>
        <v>0</v>
      </c>
      <c r="BC573" s="705">
        <f>SUMIF('Duplicate Disposition'!$C:$C,$C573,'Duplicate Disposition'!BC:BC)</f>
        <v>0</v>
      </c>
      <c r="BD573" s="705">
        <f>SUMIF('Duplicate Disposition'!$C:$C,$C573,'Duplicate Disposition'!BD:BD)</f>
        <v>0</v>
      </c>
      <c r="BE573" s="705">
        <f>SUMIF('Duplicate Disposition'!$C:$C,$C573,'Duplicate Disposition'!BE:BE)</f>
        <v>0</v>
      </c>
      <c r="BF573" s="705">
        <f>SUMIF('Duplicate Disposition'!$C:$C,$C573,'Duplicate Disposition'!BF:BF)</f>
        <v>0</v>
      </c>
      <c r="BG573" s="705">
        <f>SUMIF('Duplicate Disposition'!$C:$C,$C573,'Duplicate Disposition'!BG:BG)</f>
        <v>0</v>
      </c>
      <c r="BH573" s="705">
        <f>SUMIF('Duplicate Disposition'!$C:$C,$C573,'Duplicate Disposition'!BH:BH)</f>
        <v>0</v>
      </c>
      <c r="BI573" s="705">
        <f>SUMIF('Duplicate Disposition'!$C:$C,$C573,'Duplicate Disposition'!BI:BI)</f>
        <v>0</v>
      </c>
      <c r="BJ573" s="705">
        <f>SUMIF('Duplicate Disposition'!$C:$C,$C573,'Duplicate Disposition'!BJ:BJ)</f>
        <v>0</v>
      </c>
      <c r="BK573" s="705">
        <f>SUMIF('Duplicate Disposition'!$C:$C,$C573,'Duplicate Disposition'!BK:BK)</f>
        <v>0</v>
      </c>
      <c r="BL573" s="705">
        <f>SUMIF('Duplicate Disposition'!$C:$C,$C573,'Duplicate Disposition'!BL:BL)</f>
        <v>0</v>
      </c>
      <c r="BM573" s="705">
        <f>SUMIF('Duplicate Disposition'!$C:$C,$C573,'Duplicate Disposition'!BM:BM)</f>
        <v>0</v>
      </c>
      <c r="BN573" s="705">
        <f>SUMIF('Duplicate Disposition'!$C:$C,$C573,'Duplicate Disposition'!BN:BN)</f>
        <v>0</v>
      </c>
      <c r="BO573" s="705">
        <f>SUMIF('Duplicate Disposition'!$C:$C,$C573,'Duplicate Disposition'!BO:BO)</f>
        <v>0</v>
      </c>
      <c r="BP573" s="705">
        <f>SUMIF('Duplicate Disposition'!$C:$C,$C573,'Duplicate Disposition'!BP:BP)</f>
        <v>0</v>
      </c>
      <c r="BQ573" s="705">
        <f>SUMIF('Duplicate Disposition'!$C:$C,$C573,'Duplicate Disposition'!BQ:BQ)</f>
        <v>0</v>
      </c>
      <c r="BR573" s="705">
        <f>SUMIF('Duplicate Disposition'!$C:$C,$C573,'Duplicate Disposition'!BR:BR)</f>
        <v>0</v>
      </c>
      <c r="BS573" s="705">
        <f>SUMIF('Duplicate Disposition'!$C:$C,$C573,'Duplicate Disposition'!BS:BS)</f>
        <v>0</v>
      </c>
      <c r="BT573" s="705">
        <f>SUMIF('Duplicate Disposition'!$C:$C,$C573,'Duplicate Disposition'!BT:BT)</f>
        <v>0</v>
      </c>
    </row>
    <row r="574" spans="1:72" ht="15" hidden="1" customHeight="1">
      <c r="A574" s="215" t="s">
        <v>2261</v>
      </c>
      <c r="B574" s="725" t="s">
        <v>2944</v>
      </c>
      <c r="C574" s="215" t="s">
        <v>669</v>
      </c>
      <c r="D574" s="215" t="s">
        <v>2262</v>
      </c>
      <c r="E574" s="513" t="s">
        <v>1136</v>
      </c>
      <c r="F574" s="726" t="s">
        <v>1566</v>
      </c>
      <c r="G574" s="513" t="s">
        <v>1135</v>
      </c>
      <c r="H574" s="727" t="s">
        <v>1145</v>
      </c>
      <c r="I574" s="727" t="s">
        <v>1135</v>
      </c>
      <c r="J574" s="727" t="s">
        <v>1145</v>
      </c>
      <c r="K574" s="727" t="s">
        <v>1137</v>
      </c>
      <c r="L574" s="516" t="s">
        <v>639</v>
      </c>
      <c r="M574" s="728" t="s">
        <v>1174</v>
      </c>
      <c r="N574" s="729"/>
      <c r="O574" s="730"/>
      <c r="P574" s="731" t="s">
        <v>56</v>
      </c>
      <c r="Q574" s="732"/>
      <c r="R574" s="737" t="s">
        <v>1140</v>
      </c>
      <c r="S574" s="732"/>
      <c r="T574" s="727" t="s">
        <v>57</v>
      </c>
      <c r="U574" s="733"/>
      <c r="V574" s="704"/>
      <c r="W574" s="705">
        <f>SUMIF('Duplicate Disposition'!$C:$C,$C574,'Duplicate Disposition'!W:W)</f>
        <v>56383.799999999996</v>
      </c>
      <c r="X574" s="705">
        <f>SUMIF('Duplicate Disposition'!$C:$C,$C574,'Duplicate Disposition'!X:X)</f>
        <v>60480.270000000004</v>
      </c>
      <c r="Y574" s="705">
        <f>SUMIF('Duplicate Disposition'!$C:$C,$C574,'Duplicate Disposition'!Y:Y)</f>
        <v>0</v>
      </c>
      <c r="Z574" s="705">
        <f>SUMIF('Duplicate Disposition'!$C:$C,$C574,'Duplicate Disposition'!Z:Z)</f>
        <v>0</v>
      </c>
      <c r="AA574" s="705">
        <f>SUMIF('Duplicate Disposition'!$C:$C,$C574,'Duplicate Disposition'!AA:AA)</f>
        <v>5030.28</v>
      </c>
      <c r="AB574" s="705">
        <f>SUMIF('Duplicate Disposition'!$C:$C,$C574,'Duplicate Disposition'!AB:AB)</f>
        <v>4611.09</v>
      </c>
      <c r="AC574" s="705">
        <f>SUMIF('Duplicate Disposition'!$C:$C,$C574,'Duplicate Disposition'!AC:AC)</f>
        <v>5431.9</v>
      </c>
      <c r="AD574" s="705">
        <f>SUMIF('Duplicate Disposition'!$C:$C,$C574,'Duplicate Disposition'!AD:AD)</f>
        <v>3912.44</v>
      </c>
      <c r="AE574" s="705">
        <f>SUMIF('Duplicate Disposition'!$C:$C,$C574,'Duplicate Disposition'!AE:AE)</f>
        <v>3912.44</v>
      </c>
      <c r="AF574" s="705">
        <f>SUMIF('Duplicate Disposition'!$C:$C,$C574,'Duplicate Disposition'!AF:AF)</f>
        <v>3912.44</v>
      </c>
      <c r="AG574" s="705">
        <f>SUMIF('Duplicate Disposition'!$C:$C,$C574,'Duplicate Disposition'!AG:AG)</f>
        <v>5050</v>
      </c>
      <c r="AH574" s="705">
        <f>SUMIF('Duplicate Disposition'!$C:$C,$C574,'Duplicate Disposition'!AH:AH)</f>
        <v>5050</v>
      </c>
      <c r="AI574" s="705">
        <f>SUMIF('Duplicate Disposition'!$C:$C,$C574,'Duplicate Disposition'!AI:AI)</f>
        <v>5050</v>
      </c>
      <c r="AJ574" s="705">
        <f>SUMIF('Duplicate Disposition'!$C:$C,$C574,'Duplicate Disposition'!AJ:AJ)</f>
        <v>5050</v>
      </c>
      <c r="AK574" s="705">
        <f>SUMIF('Duplicate Disposition'!$C:$C,$C574,'Duplicate Disposition'!AK:AK)</f>
        <v>5050</v>
      </c>
      <c r="AL574" s="705">
        <f>SUMIF('Duplicate Disposition'!$C:$C,$C574,'Duplicate Disposition'!AL:AL)</f>
        <v>5050</v>
      </c>
      <c r="AM574" s="734">
        <f t="shared" si="32"/>
        <v>57110.59</v>
      </c>
      <c r="AN574" s="735">
        <f>ERP_27[[#This Row],[2026 Working Total]]-ERP_27[[#This Row],[LE2 Final Submission]]</f>
        <v>-3369.6800000000076</v>
      </c>
      <c r="AO574" s="705">
        <f>SUMIF('Duplicate Disposition'!$C:$C,$C574,'Duplicate Disposition'!AO:AO)</f>
        <v>5067</v>
      </c>
      <c r="AP574" s="705">
        <f>SUMIF('Duplicate Disposition'!$C:$C,$C574,'Duplicate Disposition'!AP:AP)</f>
        <v>-1154.56</v>
      </c>
      <c r="AQ574" s="713">
        <f>SUMIF('Duplicate Disposition'!$C:$C,$C574,'Duplicate Disposition'!AQ:AQ)</f>
        <v>-3369.6800000000003</v>
      </c>
      <c r="AR574" s="713">
        <f>SUMIF('Duplicate Disposition'!$C:$C,$C574,'Duplicate Disposition'!AR:AR)</f>
        <v>0</v>
      </c>
      <c r="AS574" s="713">
        <f>SUMIF('Duplicate Disposition'!$C:$C,$C574,'Duplicate Disposition'!AS:AS)</f>
        <v>-3369.6800000000007</v>
      </c>
      <c r="AT574" s="713">
        <f>SUMIF('Duplicate Disposition'!$C:$C,$C574,'Duplicate Disposition'!AT:AT)</f>
        <v>0</v>
      </c>
      <c r="AU574" s="705">
        <f>SUMIF('Duplicate Disposition'!$C:$C,$C574,'Duplicate Disposition'!AU:AU)</f>
        <v>5030.28</v>
      </c>
      <c r="AV574" s="705">
        <f>SUMIF('Duplicate Disposition'!$C:$C,$C574,'Duplicate Disposition'!AV:AV)</f>
        <v>4611.09</v>
      </c>
      <c r="AW574" s="705">
        <f>SUMIF('Duplicate Disposition'!$C:$C,$C574,'Duplicate Disposition'!AW:AW)</f>
        <v>5431.9</v>
      </c>
      <c r="AX574" s="705">
        <f>SUMIF('Duplicate Disposition'!$C:$C,$C574,'Duplicate Disposition'!AX:AX)</f>
        <v>4990</v>
      </c>
      <c r="AY574" s="705">
        <f>SUMIF('Duplicate Disposition'!$C:$C,$C574,'Duplicate Disposition'!AY:AY)</f>
        <v>5067</v>
      </c>
      <c r="AZ574" s="705">
        <f>SUMIF('Duplicate Disposition'!$C:$C,$C574,'Duplicate Disposition'!AZ:AZ)</f>
        <v>5050</v>
      </c>
      <c r="BA574" s="705">
        <f>SUMIF('Duplicate Disposition'!$C:$C,$C574,'Duplicate Disposition'!BA:BA)</f>
        <v>5050</v>
      </c>
      <c r="BB574" s="705">
        <f>SUMIF('Duplicate Disposition'!$C:$C,$C574,'Duplicate Disposition'!BB:BB)</f>
        <v>5050</v>
      </c>
      <c r="BC574" s="705">
        <f>SUMIF('Duplicate Disposition'!$C:$C,$C574,'Duplicate Disposition'!BC:BC)</f>
        <v>5050</v>
      </c>
      <c r="BD574" s="705">
        <f>SUMIF('Duplicate Disposition'!$C:$C,$C574,'Duplicate Disposition'!BD:BD)</f>
        <v>5050</v>
      </c>
      <c r="BE574" s="705">
        <f>SUMIF('Duplicate Disposition'!$C:$C,$C574,'Duplicate Disposition'!BE:BE)</f>
        <v>5050</v>
      </c>
      <c r="BF574" s="705">
        <f>SUMIF('Duplicate Disposition'!$C:$C,$C574,'Duplicate Disposition'!BF:BF)</f>
        <v>5050</v>
      </c>
      <c r="BG574" s="705">
        <f>SUMIF('Duplicate Disposition'!$C:$C,$C574,'Duplicate Disposition'!BG:BG)</f>
        <v>60480.270000000004</v>
      </c>
      <c r="BH574" s="705">
        <f>SUMIF('Duplicate Disposition'!$C:$C,$C574,'Duplicate Disposition'!BH:BH)</f>
        <v>5030.28</v>
      </c>
      <c r="BI574" s="705">
        <f>SUMIF('Duplicate Disposition'!$C:$C,$C574,'Duplicate Disposition'!BI:BI)</f>
        <v>4611.09</v>
      </c>
      <c r="BJ574" s="705">
        <f>SUMIF('Duplicate Disposition'!$C:$C,$C574,'Duplicate Disposition'!BJ:BJ)</f>
        <v>5431.9</v>
      </c>
      <c r="BK574" s="705">
        <f>SUMIF('Duplicate Disposition'!$C:$C,$C574,'Duplicate Disposition'!BK:BK)</f>
        <v>4698.6499999999996</v>
      </c>
      <c r="BL574" s="705">
        <f>SUMIF('Duplicate Disposition'!$C:$C,$C574,'Duplicate Disposition'!BL:BL)</f>
        <v>4698.6499999999996</v>
      </c>
      <c r="BM574" s="705">
        <f>SUMIF('Duplicate Disposition'!$C:$C,$C574,'Duplicate Disposition'!BM:BM)</f>
        <v>4698.6499999999996</v>
      </c>
      <c r="BN574" s="705">
        <f>SUMIF('Duplicate Disposition'!$C:$C,$C574,'Duplicate Disposition'!BN:BN)</f>
        <v>4698.6499999999996</v>
      </c>
      <c r="BO574" s="705">
        <f>SUMIF('Duplicate Disposition'!$C:$C,$C574,'Duplicate Disposition'!BO:BO)</f>
        <v>4698.6499999999996</v>
      </c>
      <c r="BP574" s="705">
        <f>SUMIF('Duplicate Disposition'!$C:$C,$C574,'Duplicate Disposition'!BP:BP)</f>
        <v>4698.6499999999996</v>
      </c>
      <c r="BQ574" s="705">
        <f>SUMIF('Duplicate Disposition'!$C:$C,$C574,'Duplicate Disposition'!BQ:BQ)</f>
        <v>4698.6499999999996</v>
      </c>
      <c r="BR574" s="705">
        <f>SUMIF('Duplicate Disposition'!$C:$C,$C574,'Duplicate Disposition'!BR:BR)</f>
        <v>4698.6499999999996</v>
      </c>
      <c r="BS574" s="705">
        <f>SUMIF('Duplicate Disposition'!$C:$C,$C574,'Duplicate Disposition'!BS:BS)</f>
        <v>4698.6499999999996</v>
      </c>
      <c r="BT574" s="705">
        <f>SUMIF('Duplicate Disposition'!$C:$C,$C574,'Duplicate Disposition'!BT:BT)</f>
        <v>57361.120000000003</v>
      </c>
    </row>
    <row r="575" spans="1:72" ht="15" hidden="1" customHeight="1">
      <c r="A575" s="215" t="s">
        <v>2096</v>
      </c>
      <c r="B575" s="725" t="s">
        <v>2944</v>
      </c>
      <c r="C575" s="215" t="s">
        <v>569</v>
      </c>
      <c r="D575" s="215" t="s">
        <v>2097</v>
      </c>
      <c r="E575" s="513" t="s">
        <v>1136</v>
      </c>
      <c r="F575" s="726" t="s">
        <v>1566</v>
      </c>
      <c r="G575" s="513" t="s">
        <v>1566</v>
      </c>
      <c r="H575" s="727" t="s">
        <v>1566</v>
      </c>
      <c r="I575" s="727" t="s">
        <v>1567</v>
      </c>
      <c r="J575" s="727" t="s">
        <v>1567</v>
      </c>
      <c r="K575" s="727" t="s">
        <v>1567</v>
      </c>
      <c r="L575" s="516" t="s">
        <v>389</v>
      </c>
      <c r="M575" s="728" t="s">
        <v>1174</v>
      </c>
      <c r="N575" s="729"/>
      <c r="O575" s="730"/>
      <c r="P575" s="731" t="s">
        <v>56</v>
      </c>
      <c r="Q575" s="732"/>
      <c r="R575" s="737" t="s">
        <v>1140</v>
      </c>
      <c r="S575" s="732"/>
      <c r="T575" s="727" t="s">
        <v>57</v>
      </c>
      <c r="U575" s="733"/>
      <c r="V575" s="704"/>
      <c r="W575" s="705">
        <f>SUMIF('Duplicate Disposition'!$C:$C,$C575,'Duplicate Disposition'!W:W)</f>
        <v>61212</v>
      </c>
      <c r="X575" s="705">
        <f>SUMIF('Duplicate Disposition'!$C:$C,$C575,'Duplicate Disposition'!X:X)</f>
        <v>56088.78</v>
      </c>
      <c r="Y575" s="705">
        <f>SUMIF('Duplicate Disposition'!$C:$C,$C575,'Duplicate Disposition'!Y:Y)</f>
        <v>0</v>
      </c>
      <c r="Z575" s="705">
        <f>SUMIF('Duplicate Disposition'!$C:$C,$C575,'Duplicate Disposition'!Z:Z)</f>
        <v>0</v>
      </c>
      <c r="AA575" s="705">
        <f>SUMIF('Duplicate Disposition'!$C:$C,$C575,'Duplicate Disposition'!AA:AA)</f>
        <v>3210.5699999999997</v>
      </c>
      <c r="AB575" s="705">
        <f>SUMIF('Duplicate Disposition'!$C:$C,$C575,'Duplicate Disposition'!AB:AB)</f>
        <v>3707.16</v>
      </c>
      <c r="AC575" s="705">
        <f>SUMIF('Duplicate Disposition'!$C:$C,$C575,'Duplicate Disposition'!AC:AC)</f>
        <v>3262.05</v>
      </c>
      <c r="AD575" s="705">
        <f>SUMIF('Duplicate Disposition'!$C:$C,$C575,'Duplicate Disposition'!AD:AD)</f>
        <v>4942.08</v>
      </c>
      <c r="AE575" s="705">
        <f>SUMIF('Duplicate Disposition'!$C:$C,$C575,'Duplicate Disposition'!AE:AE)</f>
        <v>6039.24</v>
      </c>
      <c r="AF575" s="705">
        <f>SUMIF('Duplicate Disposition'!$C:$C,$C575,'Duplicate Disposition'!AF:AF)</f>
        <v>5431.55</v>
      </c>
      <c r="AG575" s="705">
        <f>SUMIF('Duplicate Disposition'!$C:$C,$C575,'Duplicate Disposition'!AG:AG)</f>
        <v>5101</v>
      </c>
      <c r="AH575" s="705">
        <f>SUMIF('Duplicate Disposition'!$C:$C,$C575,'Duplicate Disposition'!AH:AH)</f>
        <v>5101</v>
      </c>
      <c r="AI575" s="705">
        <f>SUMIF('Duplicate Disposition'!$C:$C,$C575,'Duplicate Disposition'!AI:AI)</f>
        <v>5101</v>
      </c>
      <c r="AJ575" s="705">
        <f>SUMIF('Duplicate Disposition'!$C:$C,$C575,'Duplicate Disposition'!AJ:AJ)</f>
        <v>5101</v>
      </c>
      <c r="AK575" s="705">
        <f>SUMIF('Duplicate Disposition'!$C:$C,$C575,'Duplicate Disposition'!AK:AK)</f>
        <v>5101</v>
      </c>
      <c r="AL575" s="705">
        <f>SUMIF('Duplicate Disposition'!$C:$C,$C575,'Duplicate Disposition'!AL:AL)</f>
        <v>5101</v>
      </c>
      <c r="AM575" s="734">
        <f t="shared" si="32"/>
        <v>57198.649999999994</v>
      </c>
      <c r="AN575" s="735">
        <f>ERP_27[[#This Row],[2026 Working Total]]-ERP_27[[#This Row],[LE2 Final Submission]]</f>
        <v>1109.8699999999953</v>
      </c>
      <c r="AO575" s="705">
        <f>SUMIF('Duplicate Disposition'!$C:$C,$C575,'Duplicate Disposition'!AO:AO)</f>
        <v>5101</v>
      </c>
      <c r="AP575" s="705">
        <f>SUMIF('Duplicate Disposition'!$C:$C,$C575,'Duplicate Disposition'!AP:AP)</f>
        <v>330.55000000000018</v>
      </c>
      <c r="AQ575" s="713">
        <f>SUMIF('Duplicate Disposition'!$C:$C,$C575,'Duplicate Disposition'!AQ:AQ)</f>
        <v>1109.869999999999</v>
      </c>
      <c r="AR575" s="713">
        <f>SUMIF('Duplicate Disposition'!$C:$C,$C575,'Duplicate Disposition'!AR:AR)</f>
        <v>0</v>
      </c>
      <c r="AS575" s="713">
        <f>SUMIF('Duplicate Disposition'!$C:$C,$C575,'Duplicate Disposition'!AS:AS)</f>
        <v>1109.8700000000026</v>
      </c>
      <c r="AT575" s="713">
        <f>SUMIF('Duplicate Disposition'!$C:$C,$C575,'Duplicate Disposition'!AT:AT)</f>
        <v>0</v>
      </c>
      <c r="AU575" s="705">
        <f>SUMIF('Duplicate Disposition'!$C:$C,$C575,'Duplicate Disposition'!AU:AU)</f>
        <v>3210.5699999999997</v>
      </c>
      <c r="AV575" s="705">
        <f>SUMIF('Duplicate Disposition'!$C:$C,$C575,'Duplicate Disposition'!AV:AV)</f>
        <v>3707.16</v>
      </c>
      <c r="AW575" s="705">
        <f>SUMIF('Duplicate Disposition'!$C:$C,$C575,'Duplicate Disposition'!AW:AW)</f>
        <v>3262.05</v>
      </c>
      <c r="AX575" s="705">
        <f>SUMIF('Duplicate Disposition'!$C:$C,$C575,'Duplicate Disposition'!AX:AX)</f>
        <v>5101</v>
      </c>
      <c r="AY575" s="705">
        <f>SUMIF('Duplicate Disposition'!$C:$C,$C575,'Duplicate Disposition'!AY:AY)</f>
        <v>5101</v>
      </c>
      <c r="AZ575" s="705">
        <f>SUMIF('Duplicate Disposition'!$C:$C,$C575,'Duplicate Disposition'!AZ:AZ)</f>
        <v>5101</v>
      </c>
      <c r="BA575" s="705">
        <f>SUMIF('Duplicate Disposition'!$C:$C,$C575,'Duplicate Disposition'!BA:BA)</f>
        <v>5101</v>
      </c>
      <c r="BB575" s="705">
        <f>SUMIF('Duplicate Disposition'!$C:$C,$C575,'Duplicate Disposition'!BB:BB)</f>
        <v>5101</v>
      </c>
      <c r="BC575" s="705">
        <f>SUMIF('Duplicate Disposition'!$C:$C,$C575,'Duplicate Disposition'!BC:BC)</f>
        <v>5101</v>
      </c>
      <c r="BD575" s="705">
        <f>SUMIF('Duplicate Disposition'!$C:$C,$C575,'Duplicate Disposition'!BD:BD)</f>
        <v>5101</v>
      </c>
      <c r="BE575" s="705">
        <f>SUMIF('Duplicate Disposition'!$C:$C,$C575,'Duplicate Disposition'!BE:BE)</f>
        <v>5101</v>
      </c>
      <c r="BF575" s="705">
        <f>SUMIF('Duplicate Disposition'!$C:$C,$C575,'Duplicate Disposition'!BF:BF)</f>
        <v>5101</v>
      </c>
      <c r="BG575" s="705">
        <f>SUMIF('Duplicate Disposition'!$C:$C,$C575,'Duplicate Disposition'!BG:BG)</f>
        <v>56088.78</v>
      </c>
      <c r="BH575" s="705">
        <f>SUMIF('Duplicate Disposition'!$C:$C,$C575,'Duplicate Disposition'!BH:BH)</f>
        <v>3210.5699999999997</v>
      </c>
      <c r="BI575" s="705">
        <f>SUMIF('Duplicate Disposition'!$C:$C,$C575,'Duplicate Disposition'!BI:BI)</f>
        <v>3707.16</v>
      </c>
      <c r="BJ575" s="705">
        <f>SUMIF('Duplicate Disposition'!$C:$C,$C575,'Duplicate Disposition'!BJ:BJ)</f>
        <v>3262.05</v>
      </c>
      <c r="BK575" s="705">
        <f>SUMIF('Duplicate Disposition'!$C:$C,$C575,'Duplicate Disposition'!BK:BK)</f>
        <v>5101</v>
      </c>
      <c r="BL575" s="705">
        <f>SUMIF('Duplicate Disposition'!$C:$C,$C575,'Duplicate Disposition'!BL:BL)</f>
        <v>5101</v>
      </c>
      <c r="BM575" s="705">
        <f>SUMIF('Duplicate Disposition'!$C:$C,$C575,'Duplicate Disposition'!BM:BM)</f>
        <v>5101</v>
      </c>
      <c r="BN575" s="705">
        <f>SUMIF('Duplicate Disposition'!$C:$C,$C575,'Duplicate Disposition'!BN:BN)</f>
        <v>5101</v>
      </c>
      <c r="BO575" s="705">
        <f>SUMIF('Duplicate Disposition'!$C:$C,$C575,'Duplicate Disposition'!BO:BO)</f>
        <v>5101</v>
      </c>
      <c r="BP575" s="705">
        <f>SUMIF('Duplicate Disposition'!$C:$C,$C575,'Duplicate Disposition'!BP:BP)</f>
        <v>5101</v>
      </c>
      <c r="BQ575" s="705">
        <f>SUMIF('Duplicate Disposition'!$C:$C,$C575,'Duplicate Disposition'!BQ:BQ)</f>
        <v>5101</v>
      </c>
      <c r="BR575" s="705">
        <f>SUMIF('Duplicate Disposition'!$C:$C,$C575,'Duplicate Disposition'!BR:BR)</f>
        <v>5101</v>
      </c>
      <c r="BS575" s="705">
        <f>SUMIF('Duplicate Disposition'!$C:$C,$C575,'Duplicate Disposition'!BS:BS)</f>
        <v>5101</v>
      </c>
      <c r="BT575" s="705">
        <f>SUMIF('Duplicate Disposition'!$C:$C,$C575,'Duplicate Disposition'!BT:BT)</f>
        <v>56088.78</v>
      </c>
    </row>
    <row r="576" spans="1:72" ht="15" hidden="1" customHeight="1">
      <c r="A576" s="215" t="s">
        <v>1864</v>
      </c>
      <c r="B576" s="725" t="s">
        <v>2944</v>
      </c>
      <c r="C576" s="215" t="s">
        <v>452</v>
      </c>
      <c r="D576" s="215" t="s">
        <v>452</v>
      </c>
      <c r="E576" s="513" t="s">
        <v>1136</v>
      </c>
      <c r="F576" s="726" t="s">
        <v>1566</v>
      </c>
      <c r="G576" s="513" t="s">
        <v>1135</v>
      </c>
      <c r="H576" s="727" t="s">
        <v>1135</v>
      </c>
      <c r="I576" s="727" t="s">
        <v>1135</v>
      </c>
      <c r="J576" s="727" t="s">
        <v>1135</v>
      </c>
      <c r="K576" s="727" t="s">
        <v>1137</v>
      </c>
      <c r="L576" s="516" t="s">
        <v>389</v>
      </c>
      <c r="M576" s="728" t="s">
        <v>1863</v>
      </c>
      <c r="N576" s="729"/>
      <c r="O576" s="730"/>
      <c r="P576" s="731" t="s">
        <v>453</v>
      </c>
      <c r="Q576" s="732"/>
      <c r="R576" s="729"/>
      <c r="S576" s="732"/>
      <c r="T576" s="727" t="s">
        <v>57</v>
      </c>
      <c r="U576" s="733"/>
      <c r="V576" s="704"/>
      <c r="W576" s="705">
        <f>SUMIF('Duplicate Disposition'!$C:$C,$C576,'Duplicate Disposition'!W:W)</f>
        <v>74400</v>
      </c>
      <c r="X576" s="705">
        <f>SUMIF('Duplicate Disposition'!$C:$C,$C576,'Duplicate Disposition'!X:X)</f>
        <v>70189.5</v>
      </c>
      <c r="Y576" s="705">
        <f>SUMIF('Duplicate Disposition'!$C:$C,$C576,'Duplicate Disposition'!Y:Y)</f>
        <v>0</v>
      </c>
      <c r="Z576" s="705">
        <f>SUMIF('Duplicate Disposition'!$C:$C,$C576,'Duplicate Disposition'!Z:Z)</f>
        <v>0</v>
      </c>
      <c r="AA576" s="705">
        <f>SUMIF('Duplicate Disposition'!$C:$C,$C576,'Duplicate Disposition'!AA:AA)</f>
        <v>5248.9999999999991</v>
      </c>
      <c r="AB576" s="705">
        <f>SUMIF('Duplicate Disposition'!$C:$C,$C576,'Duplicate Disposition'!AB:AB)</f>
        <v>5001.66</v>
      </c>
      <c r="AC576" s="705">
        <f>SUMIF('Duplicate Disposition'!$C:$C,$C576,'Duplicate Disposition'!AC:AC)</f>
        <v>4138.84</v>
      </c>
      <c r="AD576" s="705">
        <f>SUMIF('Duplicate Disposition'!$C:$C,$C576,'Duplicate Disposition'!AD:AD)</f>
        <v>2634.4100000000003</v>
      </c>
      <c r="AE576" s="705">
        <f>SUMIF('Duplicate Disposition'!$C:$C,$C576,'Duplicate Disposition'!AE:AE)</f>
        <v>2620.1</v>
      </c>
      <c r="AF576" s="705">
        <f>SUMIF('Duplicate Disposition'!$C:$C,$C576,'Duplicate Disposition'!AF:AF)</f>
        <v>466.07000000000011</v>
      </c>
      <c r="AG576" s="705">
        <f>SUMIF('Duplicate Disposition'!$C:$C,$C576,'Duplicate Disposition'!AG:AG)</f>
        <v>6200</v>
      </c>
      <c r="AH576" s="705">
        <f>SUMIF('Duplicate Disposition'!$C:$C,$C576,'Duplicate Disposition'!AH:AH)</f>
        <v>6200</v>
      </c>
      <c r="AI576" s="705">
        <f>SUMIF('Duplicate Disposition'!$C:$C,$C576,'Duplicate Disposition'!AI:AI)</f>
        <v>6200</v>
      </c>
      <c r="AJ576" s="705">
        <f>SUMIF('Duplicate Disposition'!$C:$C,$C576,'Duplicate Disposition'!AJ:AJ)</f>
        <v>6200</v>
      </c>
      <c r="AK576" s="705">
        <f>SUMIF('Duplicate Disposition'!$C:$C,$C576,'Duplicate Disposition'!AK:AK)</f>
        <v>6200</v>
      </c>
      <c r="AL576" s="705">
        <f>SUMIF('Duplicate Disposition'!$C:$C,$C576,'Duplicate Disposition'!AL:AL)</f>
        <v>6200</v>
      </c>
      <c r="AM576" s="734">
        <f t="shared" si="32"/>
        <v>57310.080000000002</v>
      </c>
      <c r="AN576" s="735">
        <f>ERP_27[[#This Row],[2026 Working Total]]-ERP_27[[#This Row],[LE2 Final Submission]]</f>
        <v>-12879.419999999998</v>
      </c>
      <c r="AO576" s="705">
        <f>SUMIF('Duplicate Disposition'!$C:$C,$C576,'Duplicate Disposition'!AO:AO)</f>
        <v>6200</v>
      </c>
      <c r="AP576" s="705">
        <f>SUMIF('Duplicate Disposition'!$C:$C,$C576,'Duplicate Disposition'!AP:AP)</f>
        <v>-5733.9299999999994</v>
      </c>
      <c r="AQ576" s="713">
        <f>SUMIF('Duplicate Disposition'!$C:$C,$C576,'Duplicate Disposition'!AQ:AQ)</f>
        <v>-12879.419999999998</v>
      </c>
      <c r="AR576" s="713">
        <f>SUMIF('Duplicate Disposition'!$C:$C,$C576,'Duplicate Disposition'!AR:AR)</f>
        <v>0</v>
      </c>
      <c r="AS576" s="713">
        <f>SUMIF('Duplicate Disposition'!$C:$C,$C576,'Duplicate Disposition'!AS:AS)</f>
        <v>-12879.419999999991</v>
      </c>
      <c r="AT576" s="713">
        <f>SUMIF('Duplicate Disposition'!$C:$C,$C576,'Duplicate Disposition'!AT:AT)</f>
        <v>0</v>
      </c>
      <c r="AU576" s="705">
        <f>SUMIF('Duplicate Disposition'!$C:$C,$C576,'Duplicate Disposition'!AU:AU)</f>
        <v>5248.9999999999991</v>
      </c>
      <c r="AV576" s="705">
        <f>SUMIF('Duplicate Disposition'!$C:$C,$C576,'Duplicate Disposition'!AV:AV)</f>
        <v>5001.66</v>
      </c>
      <c r="AW576" s="705">
        <f>SUMIF('Duplicate Disposition'!$C:$C,$C576,'Duplicate Disposition'!AW:AW)</f>
        <v>4138.84</v>
      </c>
      <c r="AX576" s="705">
        <f>SUMIF('Duplicate Disposition'!$C:$C,$C576,'Duplicate Disposition'!AX:AX)</f>
        <v>6200</v>
      </c>
      <c r="AY576" s="705">
        <f>SUMIF('Duplicate Disposition'!$C:$C,$C576,'Duplicate Disposition'!AY:AY)</f>
        <v>6200</v>
      </c>
      <c r="AZ576" s="705">
        <f>SUMIF('Duplicate Disposition'!$C:$C,$C576,'Duplicate Disposition'!AZ:AZ)</f>
        <v>6200</v>
      </c>
      <c r="BA576" s="705">
        <f>SUMIF('Duplicate Disposition'!$C:$C,$C576,'Duplicate Disposition'!BA:BA)</f>
        <v>6200</v>
      </c>
      <c r="BB576" s="705">
        <f>SUMIF('Duplicate Disposition'!$C:$C,$C576,'Duplicate Disposition'!BB:BB)</f>
        <v>6200</v>
      </c>
      <c r="BC576" s="705">
        <f>SUMIF('Duplicate Disposition'!$C:$C,$C576,'Duplicate Disposition'!BC:BC)</f>
        <v>6200</v>
      </c>
      <c r="BD576" s="705">
        <f>SUMIF('Duplicate Disposition'!$C:$C,$C576,'Duplicate Disposition'!BD:BD)</f>
        <v>6200</v>
      </c>
      <c r="BE576" s="705">
        <f>SUMIF('Duplicate Disposition'!$C:$C,$C576,'Duplicate Disposition'!BE:BE)</f>
        <v>6200</v>
      </c>
      <c r="BF576" s="705">
        <f>SUMIF('Duplicate Disposition'!$C:$C,$C576,'Duplicate Disposition'!BF:BF)</f>
        <v>6200</v>
      </c>
      <c r="BG576" s="705">
        <f>SUMIF('Duplicate Disposition'!$C:$C,$C576,'Duplicate Disposition'!BG:BG)</f>
        <v>70189.5</v>
      </c>
      <c r="BH576" s="705">
        <f>SUMIF('Duplicate Disposition'!$C:$C,$C576,'Duplicate Disposition'!BH:BH)</f>
        <v>5248.9999999999991</v>
      </c>
      <c r="BI576" s="705">
        <f>SUMIF('Duplicate Disposition'!$C:$C,$C576,'Duplicate Disposition'!BI:BI)</f>
        <v>5001.66</v>
      </c>
      <c r="BJ576" s="705">
        <f>SUMIF('Duplicate Disposition'!$C:$C,$C576,'Duplicate Disposition'!BJ:BJ)</f>
        <v>4138.84</v>
      </c>
      <c r="BK576" s="705">
        <f>SUMIF('Duplicate Disposition'!$C:$C,$C576,'Duplicate Disposition'!BK:BK)</f>
        <v>6200</v>
      </c>
      <c r="BL576" s="705">
        <f>SUMIF('Duplicate Disposition'!$C:$C,$C576,'Duplicate Disposition'!BL:BL)</f>
        <v>6200</v>
      </c>
      <c r="BM576" s="705">
        <f>SUMIF('Duplicate Disposition'!$C:$C,$C576,'Duplicate Disposition'!BM:BM)</f>
        <v>6200</v>
      </c>
      <c r="BN576" s="705">
        <f>SUMIF('Duplicate Disposition'!$C:$C,$C576,'Duplicate Disposition'!BN:BN)</f>
        <v>6200</v>
      </c>
      <c r="BO576" s="705">
        <f>SUMIF('Duplicate Disposition'!$C:$C,$C576,'Duplicate Disposition'!BO:BO)</f>
        <v>6200</v>
      </c>
      <c r="BP576" s="705">
        <f>SUMIF('Duplicate Disposition'!$C:$C,$C576,'Duplicate Disposition'!BP:BP)</f>
        <v>6200</v>
      </c>
      <c r="BQ576" s="705">
        <f>SUMIF('Duplicate Disposition'!$C:$C,$C576,'Duplicate Disposition'!BQ:BQ)</f>
        <v>6200</v>
      </c>
      <c r="BR576" s="705">
        <f>SUMIF('Duplicate Disposition'!$C:$C,$C576,'Duplicate Disposition'!BR:BR)</f>
        <v>6200</v>
      </c>
      <c r="BS576" s="705">
        <f>SUMIF('Duplicate Disposition'!$C:$C,$C576,'Duplicate Disposition'!BS:BS)</f>
        <v>6200</v>
      </c>
      <c r="BT576" s="705">
        <f>SUMIF('Duplicate Disposition'!$C:$C,$C576,'Duplicate Disposition'!BT:BT)</f>
        <v>70189.5</v>
      </c>
    </row>
    <row r="577" spans="1:72" ht="15" hidden="1" customHeight="1">
      <c r="A577" s="215" t="s">
        <v>2829</v>
      </c>
      <c r="B577" s="725" t="s">
        <v>2944</v>
      </c>
      <c r="C577" s="215" t="s">
        <v>1028</v>
      </c>
      <c r="D577" s="215" t="s">
        <v>1028</v>
      </c>
      <c r="E577" s="513" t="s">
        <v>1136</v>
      </c>
      <c r="F577" s="726" t="s">
        <v>1566</v>
      </c>
      <c r="G577" s="513" t="s">
        <v>1135</v>
      </c>
      <c r="H577" s="727" t="s">
        <v>1135</v>
      </c>
      <c r="I577" s="727" t="s">
        <v>1135</v>
      </c>
      <c r="J577" s="727" t="s">
        <v>1135</v>
      </c>
      <c r="K577" s="727" t="s">
        <v>1137</v>
      </c>
      <c r="L577" s="516" t="s">
        <v>1027</v>
      </c>
      <c r="M577" s="728" t="s">
        <v>2830</v>
      </c>
      <c r="N577" s="729"/>
      <c r="O577" s="730"/>
      <c r="P577" s="731" t="s">
        <v>1029</v>
      </c>
      <c r="Q577" s="732"/>
      <c r="R577" s="729"/>
      <c r="S577" s="732"/>
      <c r="T577" s="727" t="s">
        <v>25</v>
      </c>
      <c r="U577" s="733"/>
      <c r="V577" s="704"/>
      <c r="W577" s="705">
        <f>SUMIF('Duplicate Disposition'!$C:$C,$C577,'Duplicate Disposition'!W:W)</f>
        <v>78300</v>
      </c>
      <c r="X577" s="705">
        <f>SUMIF('Duplicate Disposition'!$C:$C,$C577,'Duplicate Disposition'!X:X)</f>
        <v>66834.209999999992</v>
      </c>
      <c r="Y577" s="705">
        <f>SUMIF('Duplicate Disposition'!$C:$C,$C577,'Duplicate Disposition'!Y:Y)</f>
        <v>0</v>
      </c>
      <c r="Z577" s="705">
        <f>SUMIF('Duplicate Disposition'!$C:$C,$C577,'Duplicate Disposition'!Z:Z)</f>
        <v>0</v>
      </c>
      <c r="AA577" s="705">
        <f>SUMIF('Duplicate Disposition'!$C:$C,$C577,'Duplicate Disposition'!AA:AA)</f>
        <v>1226.82</v>
      </c>
      <c r="AB577" s="705">
        <f>SUMIF('Duplicate Disposition'!$C:$C,$C577,'Duplicate Disposition'!AB:AB)</f>
        <v>2395.3000000000002</v>
      </c>
      <c r="AC577" s="705">
        <f>SUMIF('Duplicate Disposition'!$C:$C,$C577,'Duplicate Disposition'!AC:AC)</f>
        <v>3412.09</v>
      </c>
      <c r="AD577" s="705">
        <f>SUMIF('Duplicate Disposition'!$C:$C,$C577,'Duplicate Disposition'!AD:AD)</f>
        <v>1981.51</v>
      </c>
      <c r="AE577" s="705">
        <f>SUMIF('Duplicate Disposition'!$C:$C,$C577,'Duplicate Disposition'!AE:AE)</f>
        <v>3729.5099999999993</v>
      </c>
      <c r="AF577" s="705">
        <f>SUMIF('Duplicate Disposition'!$C:$C,$C577,'Duplicate Disposition'!AF:AF)</f>
        <v>4401.7200000000012</v>
      </c>
      <c r="AG577" s="705">
        <f>SUMIF('Duplicate Disposition'!$C:$C,$C577,'Duplicate Disposition'!AG:AG)</f>
        <v>6500</v>
      </c>
      <c r="AH577" s="705">
        <f>SUMIF('Duplicate Disposition'!$C:$C,$C577,'Duplicate Disposition'!AH:AH)</f>
        <v>6500</v>
      </c>
      <c r="AI577" s="705">
        <f>SUMIF('Duplicate Disposition'!$C:$C,$C577,'Duplicate Disposition'!AI:AI)</f>
        <v>6900</v>
      </c>
      <c r="AJ577" s="705">
        <f>SUMIF('Duplicate Disposition'!$C:$C,$C577,'Duplicate Disposition'!AJ:AJ)</f>
        <v>6900</v>
      </c>
      <c r="AK577" s="705">
        <f>SUMIF('Duplicate Disposition'!$C:$C,$C577,'Duplicate Disposition'!AK:AK)</f>
        <v>6900</v>
      </c>
      <c r="AL577" s="705">
        <f>SUMIF('Duplicate Disposition'!$C:$C,$C577,'Duplicate Disposition'!AL:AL)</f>
        <v>6900</v>
      </c>
      <c r="AM577" s="734">
        <f t="shared" si="32"/>
        <v>57746.95</v>
      </c>
      <c r="AN577" s="735">
        <f>ERP_27[[#This Row],[2026 Working Total]]-ERP_27[[#This Row],[LE2 Final Submission]]</f>
        <v>-9087.2599999999948</v>
      </c>
      <c r="AO577" s="705">
        <f>SUMIF('Duplicate Disposition'!$C:$C,$C577,'Duplicate Disposition'!AO:AO)</f>
        <v>6400</v>
      </c>
      <c r="AP577" s="705">
        <f>SUMIF('Duplicate Disposition'!$C:$C,$C577,'Duplicate Disposition'!AP:AP)</f>
        <v>-1998.2799999999993</v>
      </c>
      <c r="AQ577" s="713">
        <f>SUMIF('Duplicate Disposition'!$C:$C,$C577,'Duplicate Disposition'!AQ:AQ)</f>
        <v>-9087.2599999999984</v>
      </c>
      <c r="AR577" s="713">
        <f>SUMIF('Duplicate Disposition'!$C:$C,$C577,'Duplicate Disposition'!AR:AR)</f>
        <v>0</v>
      </c>
      <c r="AS577" s="713">
        <f>SUMIF('Duplicate Disposition'!$C:$C,$C577,'Duplicate Disposition'!AS:AS)</f>
        <v>-9087.260000000002</v>
      </c>
      <c r="AT577" s="713">
        <f>SUMIF('Duplicate Disposition'!$C:$C,$C577,'Duplicate Disposition'!AT:AT)</f>
        <v>0</v>
      </c>
      <c r="AU577" s="705">
        <f>SUMIF('Duplicate Disposition'!$C:$C,$C577,'Duplicate Disposition'!AU:AU)</f>
        <v>1226.82</v>
      </c>
      <c r="AV577" s="705">
        <f>SUMIF('Duplicate Disposition'!$C:$C,$C577,'Duplicate Disposition'!AV:AV)</f>
        <v>2395.3000000000002</v>
      </c>
      <c r="AW577" s="705">
        <f>SUMIF('Duplicate Disposition'!$C:$C,$C577,'Duplicate Disposition'!AW:AW)</f>
        <v>3412.09</v>
      </c>
      <c r="AX577" s="705">
        <f>SUMIF('Duplicate Disposition'!$C:$C,$C577,'Duplicate Disposition'!AX:AX)</f>
        <v>6400</v>
      </c>
      <c r="AY577" s="705">
        <f>SUMIF('Duplicate Disposition'!$C:$C,$C577,'Duplicate Disposition'!AY:AY)</f>
        <v>6400</v>
      </c>
      <c r="AZ577" s="705">
        <f>SUMIF('Duplicate Disposition'!$C:$C,$C577,'Duplicate Disposition'!AZ:AZ)</f>
        <v>6400</v>
      </c>
      <c r="BA577" s="705">
        <f>SUMIF('Duplicate Disposition'!$C:$C,$C577,'Duplicate Disposition'!BA:BA)</f>
        <v>6500</v>
      </c>
      <c r="BB577" s="705">
        <f>SUMIF('Duplicate Disposition'!$C:$C,$C577,'Duplicate Disposition'!BB:BB)</f>
        <v>6500</v>
      </c>
      <c r="BC577" s="705">
        <f>SUMIF('Duplicate Disposition'!$C:$C,$C577,'Duplicate Disposition'!BC:BC)</f>
        <v>6900</v>
      </c>
      <c r="BD577" s="705">
        <f>SUMIF('Duplicate Disposition'!$C:$C,$C577,'Duplicate Disposition'!BD:BD)</f>
        <v>6900</v>
      </c>
      <c r="BE577" s="705">
        <f>SUMIF('Duplicate Disposition'!$C:$C,$C577,'Duplicate Disposition'!BE:BE)</f>
        <v>6900</v>
      </c>
      <c r="BF577" s="705">
        <f>SUMIF('Duplicate Disposition'!$C:$C,$C577,'Duplicate Disposition'!BF:BF)</f>
        <v>6900</v>
      </c>
      <c r="BG577" s="705">
        <f>SUMIF('Duplicate Disposition'!$C:$C,$C577,'Duplicate Disposition'!BG:BG)</f>
        <v>66834.209999999992</v>
      </c>
      <c r="BH577" s="705">
        <f>SUMIF('Duplicate Disposition'!$C:$C,$C577,'Duplicate Disposition'!BH:BH)</f>
        <v>1226.82</v>
      </c>
      <c r="BI577" s="705">
        <f>SUMIF('Duplicate Disposition'!$C:$C,$C577,'Duplicate Disposition'!BI:BI)</f>
        <v>2395.3000000000002</v>
      </c>
      <c r="BJ577" s="705">
        <f>SUMIF('Duplicate Disposition'!$C:$C,$C577,'Duplicate Disposition'!BJ:BJ)</f>
        <v>3412.09</v>
      </c>
      <c r="BK577" s="705">
        <f>SUMIF('Duplicate Disposition'!$C:$C,$C577,'Duplicate Disposition'!BK:BK)</f>
        <v>6400</v>
      </c>
      <c r="BL577" s="705">
        <f>SUMIF('Duplicate Disposition'!$C:$C,$C577,'Duplicate Disposition'!BL:BL)</f>
        <v>6400</v>
      </c>
      <c r="BM577" s="705">
        <f>SUMIF('Duplicate Disposition'!$C:$C,$C577,'Duplicate Disposition'!BM:BM)</f>
        <v>6400</v>
      </c>
      <c r="BN577" s="705">
        <f>SUMIF('Duplicate Disposition'!$C:$C,$C577,'Duplicate Disposition'!BN:BN)</f>
        <v>6500</v>
      </c>
      <c r="BO577" s="705">
        <f>SUMIF('Duplicate Disposition'!$C:$C,$C577,'Duplicate Disposition'!BO:BO)</f>
        <v>6500</v>
      </c>
      <c r="BP577" s="705">
        <f>SUMIF('Duplicate Disposition'!$C:$C,$C577,'Duplicate Disposition'!BP:BP)</f>
        <v>6900</v>
      </c>
      <c r="BQ577" s="705">
        <f>SUMIF('Duplicate Disposition'!$C:$C,$C577,'Duplicate Disposition'!BQ:BQ)</f>
        <v>6900</v>
      </c>
      <c r="BR577" s="705">
        <f>SUMIF('Duplicate Disposition'!$C:$C,$C577,'Duplicate Disposition'!BR:BR)</f>
        <v>6900</v>
      </c>
      <c r="BS577" s="705">
        <f>SUMIF('Duplicate Disposition'!$C:$C,$C577,'Duplicate Disposition'!BS:BS)</f>
        <v>6900</v>
      </c>
      <c r="BT577" s="705">
        <f>SUMIF('Duplicate Disposition'!$C:$C,$C577,'Duplicate Disposition'!BT:BT)</f>
        <v>66834.209999999992</v>
      </c>
    </row>
    <row r="578" spans="1:72" ht="15" hidden="1" customHeight="1">
      <c r="A578" s="215" t="s">
        <v>2012</v>
      </c>
      <c r="B578" s="725" t="s">
        <v>2944</v>
      </c>
      <c r="C578" s="215" t="s">
        <v>524</v>
      </c>
      <c r="D578" s="215" t="s">
        <v>2013</v>
      </c>
      <c r="E578" s="513" t="s">
        <v>1136</v>
      </c>
      <c r="F578" s="726" t="s">
        <v>1566</v>
      </c>
      <c r="G578" s="513" t="s">
        <v>1345</v>
      </c>
      <c r="H578" s="727" t="s">
        <v>1437</v>
      </c>
      <c r="I578" s="727" t="s">
        <v>1345</v>
      </c>
      <c r="J578" s="727" t="s">
        <v>1437</v>
      </c>
      <c r="K578" s="727" t="s">
        <v>1346</v>
      </c>
      <c r="L578" s="516" t="s">
        <v>389</v>
      </c>
      <c r="M578" s="728" t="s">
        <v>1174</v>
      </c>
      <c r="N578" s="729"/>
      <c r="O578" s="730"/>
      <c r="P578" s="731" t="s">
        <v>56</v>
      </c>
      <c r="Q578" s="732"/>
      <c r="R578" s="737" t="s">
        <v>1140</v>
      </c>
      <c r="S578" s="732"/>
      <c r="T578" s="727" t="s">
        <v>57</v>
      </c>
      <c r="U578" s="733"/>
      <c r="V578" s="704"/>
      <c r="W578" s="705">
        <f>SUMIF('Duplicate Disposition'!$C:$C,$C578,'Duplicate Disposition'!W:W)</f>
        <v>78525</v>
      </c>
      <c r="X578" s="705">
        <f>SUMIF('Duplicate Disposition'!$C:$C,$C578,'Duplicate Disposition'!X:X)</f>
        <v>72160.06</v>
      </c>
      <c r="Y578" s="705">
        <f>SUMIF('Duplicate Disposition'!$C:$C,$C578,'Duplicate Disposition'!Y:Y)</f>
        <v>0</v>
      </c>
      <c r="Z578" s="705">
        <f>SUMIF('Duplicate Disposition'!$C:$C,$C578,'Duplicate Disposition'!Z:Z)</f>
        <v>0</v>
      </c>
      <c r="AA578" s="705">
        <f>SUMIF('Duplicate Disposition'!$C:$C,$C578,'Duplicate Disposition'!AA:AA)</f>
        <v>4310.58</v>
      </c>
      <c r="AB578" s="705">
        <f>SUMIF('Duplicate Disposition'!$C:$C,$C578,'Duplicate Disposition'!AB:AB)</f>
        <v>4168.97</v>
      </c>
      <c r="AC578" s="705">
        <f>SUMIF('Duplicate Disposition'!$C:$C,$C578,'Duplicate Disposition'!AC:AC)</f>
        <v>4786.76</v>
      </c>
      <c r="AD578" s="705">
        <f>SUMIF('Duplicate Disposition'!$C:$C,$C578,'Duplicate Disposition'!AD:AD)</f>
        <v>4110.78</v>
      </c>
      <c r="AE578" s="705">
        <f>SUMIF('Duplicate Disposition'!$C:$C,$C578,'Duplicate Disposition'!AE:AE)</f>
        <v>6987.630000000001</v>
      </c>
      <c r="AF578" s="705">
        <f>SUMIF('Duplicate Disposition'!$C:$C,$C578,'Duplicate Disposition'!AF:AF)</f>
        <v>4773.54</v>
      </c>
      <c r="AG578" s="705">
        <f>SUMIF('Duplicate Disposition'!$C:$C,$C578,'Duplicate Disposition'!AG:AG)</f>
        <v>6543.75</v>
      </c>
      <c r="AH578" s="705">
        <f>SUMIF('Duplicate Disposition'!$C:$C,$C578,'Duplicate Disposition'!AH:AH)</f>
        <v>6543.75</v>
      </c>
      <c r="AI578" s="705">
        <f>SUMIF('Duplicate Disposition'!$C:$C,$C578,'Duplicate Disposition'!AI:AI)</f>
        <v>6543.75</v>
      </c>
      <c r="AJ578" s="705">
        <f>SUMIF('Duplicate Disposition'!$C:$C,$C578,'Duplicate Disposition'!AJ:AJ)</f>
        <v>6543.75</v>
      </c>
      <c r="AK578" s="705">
        <f>SUMIF('Duplicate Disposition'!$C:$C,$C578,'Duplicate Disposition'!AK:AK)</f>
        <v>6543.75</v>
      </c>
      <c r="AL578" s="705">
        <f>SUMIF('Duplicate Disposition'!$C:$C,$C578,'Duplicate Disposition'!AL:AL)</f>
        <v>6543.75</v>
      </c>
      <c r="AM578" s="734">
        <f t="shared" si="32"/>
        <v>68400.760000000009</v>
      </c>
      <c r="AN578" s="735">
        <f>ERP_27[[#This Row],[2026 Working Total]]-ERP_27[[#This Row],[LE2 Final Submission]]</f>
        <v>-3759.2999999999884</v>
      </c>
      <c r="AO578" s="705">
        <f>SUMIF('Duplicate Disposition'!$C:$C,$C578,'Duplicate Disposition'!AO:AO)</f>
        <v>6543.75</v>
      </c>
      <c r="AP578" s="705">
        <f>SUMIF('Duplicate Disposition'!$C:$C,$C578,'Duplicate Disposition'!AP:AP)</f>
        <v>-1770.21</v>
      </c>
      <c r="AQ578" s="713">
        <f>SUMIF('Duplicate Disposition'!$C:$C,$C578,'Duplicate Disposition'!AQ:AQ)</f>
        <v>-3759.2999999999988</v>
      </c>
      <c r="AR578" s="713">
        <f>SUMIF('Duplicate Disposition'!$C:$C,$C578,'Duplicate Disposition'!AR:AR)</f>
        <v>0</v>
      </c>
      <c r="AS578" s="713">
        <f>SUMIF('Duplicate Disposition'!$C:$C,$C578,'Duplicate Disposition'!AS:AS)</f>
        <v>-3759.2999999999975</v>
      </c>
      <c r="AT578" s="713">
        <f>SUMIF('Duplicate Disposition'!$C:$C,$C578,'Duplicate Disposition'!AT:AT)</f>
        <v>0</v>
      </c>
      <c r="AU578" s="705">
        <f>SUMIF('Duplicate Disposition'!$C:$C,$C578,'Duplicate Disposition'!AU:AU)</f>
        <v>4310.58</v>
      </c>
      <c r="AV578" s="705">
        <f>SUMIF('Duplicate Disposition'!$C:$C,$C578,'Duplicate Disposition'!AV:AV)</f>
        <v>4168.97</v>
      </c>
      <c r="AW578" s="705">
        <f>SUMIF('Duplicate Disposition'!$C:$C,$C578,'Duplicate Disposition'!AW:AW)</f>
        <v>4786.76</v>
      </c>
      <c r="AX578" s="705">
        <f>SUMIF('Duplicate Disposition'!$C:$C,$C578,'Duplicate Disposition'!AX:AX)</f>
        <v>6543.75</v>
      </c>
      <c r="AY578" s="705">
        <f>SUMIF('Duplicate Disposition'!$C:$C,$C578,'Duplicate Disposition'!AY:AY)</f>
        <v>6543.75</v>
      </c>
      <c r="AZ578" s="705">
        <f>SUMIF('Duplicate Disposition'!$C:$C,$C578,'Duplicate Disposition'!AZ:AZ)</f>
        <v>6543.75</v>
      </c>
      <c r="BA578" s="705">
        <f>SUMIF('Duplicate Disposition'!$C:$C,$C578,'Duplicate Disposition'!BA:BA)</f>
        <v>6543.75</v>
      </c>
      <c r="BB578" s="705">
        <f>SUMIF('Duplicate Disposition'!$C:$C,$C578,'Duplicate Disposition'!BB:BB)</f>
        <v>6543.75</v>
      </c>
      <c r="BC578" s="705">
        <f>SUMIF('Duplicate Disposition'!$C:$C,$C578,'Duplicate Disposition'!BC:BC)</f>
        <v>6543.75</v>
      </c>
      <c r="BD578" s="705">
        <f>SUMIF('Duplicate Disposition'!$C:$C,$C578,'Duplicate Disposition'!BD:BD)</f>
        <v>6543.75</v>
      </c>
      <c r="BE578" s="705">
        <f>SUMIF('Duplicate Disposition'!$C:$C,$C578,'Duplicate Disposition'!BE:BE)</f>
        <v>6543.75</v>
      </c>
      <c r="BF578" s="705">
        <f>SUMIF('Duplicate Disposition'!$C:$C,$C578,'Duplicate Disposition'!BF:BF)</f>
        <v>6543.75</v>
      </c>
      <c r="BG578" s="705">
        <f>SUMIF('Duplicate Disposition'!$C:$C,$C578,'Duplicate Disposition'!BG:BG)</f>
        <v>72160.06</v>
      </c>
      <c r="BH578" s="705">
        <f>SUMIF('Duplicate Disposition'!$C:$C,$C578,'Duplicate Disposition'!BH:BH)</f>
        <v>4310.58</v>
      </c>
      <c r="BI578" s="705">
        <f>SUMIF('Duplicate Disposition'!$C:$C,$C578,'Duplicate Disposition'!BI:BI)</f>
        <v>4168.97</v>
      </c>
      <c r="BJ578" s="705">
        <f>SUMIF('Duplicate Disposition'!$C:$C,$C578,'Duplicate Disposition'!BJ:BJ)</f>
        <v>4786.76</v>
      </c>
      <c r="BK578" s="705">
        <f>SUMIF('Duplicate Disposition'!$C:$C,$C578,'Duplicate Disposition'!BK:BK)</f>
        <v>6543.75</v>
      </c>
      <c r="BL578" s="705">
        <f>SUMIF('Duplicate Disposition'!$C:$C,$C578,'Duplicate Disposition'!BL:BL)</f>
        <v>6543.75</v>
      </c>
      <c r="BM578" s="705">
        <f>SUMIF('Duplicate Disposition'!$C:$C,$C578,'Duplicate Disposition'!BM:BM)</f>
        <v>6543.75</v>
      </c>
      <c r="BN578" s="705">
        <f>SUMIF('Duplicate Disposition'!$C:$C,$C578,'Duplicate Disposition'!BN:BN)</f>
        <v>6543.75</v>
      </c>
      <c r="BO578" s="705">
        <f>SUMIF('Duplicate Disposition'!$C:$C,$C578,'Duplicate Disposition'!BO:BO)</f>
        <v>6543.75</v>
      </c>
      <c r="BP578" s="705">
        <f>SUMIF('Duplicate Disposition'!$C:$C,$C578,'Duplicate Disposition'!BP:BP)</f>
        <v>6543.75</v>
      </c>
      <c r="BQ578" s="705">
        <f>SUMIF('Duplicate Disposition'!$C:$C,$C578,'Duplicate Disposition'!BQ:BQ)</f>
        <v>6543.75</v>
      </c>
      <c r="BR578" s="705">
        <f>SUMIF('Duplicate Disposition'!$C:$C,$C578,'Duplicate Disposition'!BR:BR)</f>
        <v>6543.75</v>
      </c>
      <c r="BS578" s="705">
        <f>SUMIF('Duplicate Disposition'!$C:$C,$C578,'Duplicate Disposition'!BS:BS)</f>
        <v>6543.75</v>
      </c>
      <c r="BT578" s="705">
        <f>SUMIF('Duplicate Disposition'!$C:$C,$C578,'Duplicate Disposition'!BT:BT)</f>
        <v>72160.06</v>
      </c>
    </row>
    <row r="579" spans="1:72" ht="15" hidden="1" customHeight="1">
      <c r="A579" s="215" t="s">
        <v>1961</v>
      </c>
      <c r="B579" s="725" t="s">
        <v>2944</v>
      </c>
      <c r="C579" s="215" t="s">
        <v>491</v>
      </c>
      <c r="D579" s="215" t="s">
        <v>1962</v>
      </c>
      <c r="E579" s="513" t="s">
        <v>1136</v>
      </c>
      <c r="F579" s="726" t="s">
        <v>1566</v>
      </c>
      <c r="G579" s="513" t="s">
        <v>1135</v>
      </c>
      <c r="H579" s="727" t="s">
        <v>1165</v>
      </c>
      <c r="I579" s="727" t="s">
        <v>1135</v>
      </c>
      <c r="J579" s="727" t="s">
        <v>1165</v>
      </c>
      <c r="K579" s="727" t="s">
        <v>1137</v>
      </c>
      <c r="L579" s="516" t="s">
        <v>389</v>
      </c>
      <c r="M579" s="728" t="s">
        <v>1327</v>
      </c>
      <c r="N579" s="729"/>
      <c r="O579" s="730"/>
      <c r="P579" s="731" t="s">
        <v>147</v>
      </c>
      <c r="Q579" s="732"/>
      <c r="R579" s="729"/>
      <c r="S579" s="732"/>
      <c r="T579" s="727" t="s">
        <v>25</v>
      </c>
      <c r="U579" s="751" t="s">
        <v>1338</v>
      </c>
      <c r="V579" s="704"/>
      <c r="W579" s="705">
        <f>SUMIF('Duplicate Disposition'!$C:$C,$C579,'Duplicate Disposition'!W:W)</f>
        <v>0</v>
      </c>
      <c r="X579" s="705">
        <f>SUMIF('Duplicate Disposition'!$C:$C,$C579,'Duplicate Disposition'!X:X)</f>
        <v>41772.92</v>
      </c>
      <c r="Y579" s="705">
        <f>SUMIF('Duplicate Disposition'!$C:$C,$C579,'Duplicate Disposition'!Y:Y)</f>
        <v>0</v>
      </c>
      <c r="Z579" s="705">
        <f>SUMIF('Duplicate Disposition'!$C:$C,$C579,'Duplicate Disposition'!Z:Z)</f>
        <v>0</v>
      </c>
      <c r="AA579" s="705">
        <f>SUMIF('Duplicate Disposition'!$C:$C,$C579,'Duplicate Disposition'!AA:AA)</f>
        <v>843.93999999999994</v>
      </c>
      <c r="AB579" s="705">
        <f>SUMIF('Duplicate Disposition'!$C:$C,$C579,'Duplicate Disposition'!AB:AB)</f>
        <v>44687.28</v>
      </c>
      <c r="AC579" s="705">
        <f>SUMIF('Duplicate Disposition'!$C:$C,$C579,'Duplicate Disposition'!AC:AC)</f>
        <v>-3758.3</v>
      </c>
      <c r="AD579" s="705">
        <f>SUMIF('Duplicate Disposition'!$C:$C,$C579,'Duplicate Disposition'!AD:AD)</f>
        <v>1159.02</v>
      </c>
      <c r="AE579" s="705">
        <f>SUMIF('Duplicate Disposition'!$C:$C,$C579,'Duplicate Disposition'!AE:AE)</f>
        <v>-12023.630000000008</v>
      </c>
      <c r="AF579" s="705">
        <f>SUMIF('Duplicate Disposition'!$C:$C,$C579,'Duplicate Disposition'!AF:AF)</f>
        <v>45323.56</v>
      </c>
      <c r="AG579" s="705">
        <f>SUMIF('Duplicate Disposition'!$C:$C,$C579,'Duplicate Disposition'!AG:AG)</f>
        <v>0</v>
      </c>
      <c r="AH579" s="705">
        <f>SUMIF('Duplicate Disposition'!$C:$C,$C579,'Duplicate Disposition'!AH:AH)</f>
        <v>0</v>
      </c>
      <c r="AI579" s="705">
        <f>SUMIF('Duplicate Disposition'!$C:$C,$C579,'Duplicate Disposition'!AI:AI)</f>
        <v>0</v>
      </c>
      <c r="AJ579" s="705">
        <f>SUMIF('Duplicate Disposition'!$C:$C,$C579,'Duplicate Disposition'!AJ:AJ)</f>
        <v>0</v>
      </c>
      <c r="AK579" s="705">
        <f>SUMIF('Duplicate Disposition'!$C:$C,$C579,'Duplicate Disposition'!AK:AK)</f>
        <v>0</v>
      </c>
      <c r="AL579" s="705">
        <f>SUMIF('Duplicate Disposition'!$C:$C,$C579,'Duplicate Disposition'!AL:AL)</f>
        <v>0</v>
      </c>
      <c r="AM579" s="734">
        <f t="shared" si="32"/>
        <v>76231.869999999981</v>
      </c>
      <c r="AN579" s="735">
        <f>ERP_27[[#This Row],[2026 Working Total]]-ERP_27[[#This Row],[LE2 Final Submission]]</f>
        <v>34458.949999999983</v>
      </c>
      <c r="AO579" s="705">
        <f>SUMIF('Duplicate Disposition'!$C:$C,$C579,'Duplicate Disposition'!AO:AO)</f>
        <v>0</v>
      </c>
      <c r="AP579" s="705">
        <f>SUMIF('Duplicate Disposition'!$C:$C,$C579,'Duplicate Disposition'!AP:AP)</f>
        <v>45323.56</v>
      </c>
      <c r="AQ579" s="713">
        <f>SUMIF('Duplicate Disposition'!$C:$C,$C579,'Duplicate Disposition'!AQ:AQ)</f>
        <v>34458.950000000004</v>
      </c>
      <c r="AR579" s="713">
        <f>SUMIF('Duplicate Disposition'!$C:$C,$C579,'Duplicate Disposition'!AR:AR)</f>
        <v>0</v>
      </c>
      <c r="AS579" s="713">
        <f>SUMIF('Duplicate Disposition'!$C:$C,$C579,'Duplicate Disposition'!AS:AS)</f>
        <v>34458.950000000004</v>
      </c>
      <c r="AT579" s="713">
        <f>SUMIF('Duplicate Disposition'!$C:$C,$C579,'Duplicate Disposition'!AT:AT)</f>
        <v>0</v>
      </c>
      <c r="AU579" s="705">
        <f>SUMIF('Duplicate Disposition'!$C:$C,$C579,'Duplicate Disposition'!AU:AU)</f>
        <v>843.93999999999994</v>
      </c>
      <c r="AV579" s="705">
        <f>SUMIF('Duplicate Disposition'!$C:$C,$C579,'Duplicate Disposition'!AV:AV)</f>
        <v>44687.28</v>
      </c>
      <c r="AW579" s="705">
        <f>SUMIF('Duplicate Disposition'!$C:$C,$C579,'Duplicate Disposition'!AW:AW)</f>
        <v>-3758.3</v>
      </c>
      <c r="AX579" s="705">
        <f>SUMIF('Duplicate Disposition'!$C:$C,$C579,'Duplicate Disposition'!AX:AX)</f>
        <v>0</v>
      </c>
      <c r="AY579" s="705">
        <f>SUMIF('Duplicate Disposition'!$C:$C,$C579,'Duplicate Disposition'!AY:AY)</f>
        <v>0</v>
      </c>
      <c r="AZ579" s="705">
        <f>SUMIF('Duplicate Disposition'!$C:$C,$C579,'Duplicate Disposition'!AZ:AZ)</f>
        <v>0</v>
      </c>
      <c r="BA579" s="705">
        <f>SUMIF('Duplicate Disposition'!$C:$C,$C579,'Duplicate Disposition'!BA:BA)</f>
        <v>0</v>
      </c>
      <c r="BB579" s="705">
        <f>SUMIF('Duplicate Disposition'!$C:$C,$C579,'Duplicate Disposition'!BB:BB)</f>
        <v>0</v>
      </c>
      <c r="BC579" s="705">
        <f>SUMIF('Duplicate Disposition'!$C:$C,$C579,'Duplicate Disposition'!BC:BC)</f>
        <v>0</v>
      </c>
      <c r="BD579" s="705">
        <f>SUMIF('Duplicate Disposition'!$C:$C,$C579,'Duplicate Disposition'!BD:BD)</f>
        <v>0</v>
      </c>
      <c r="BE579" s="705">
        <f>SUMIF('Duplicate Disposition'!$C:$C,$C579,'Duplicate Disposition'!BE:BE)</f>
        <v>0</v>
      </c>
      <c r="BF579" s="705">
        <f>SUMIF('Duplicate Disposition'!$C:$C,$C579,'Duplicate Disposition'!BF:BF)</f>
        <v>0</v>
      </c>
      <c r="BG579" s="705">
        <f>SUMIF('Duplicate Disposition'!$C:$C,$C579,'Duplicate Disposition'!BG:BG)</f>
        <v>41772.92</v>
      </c>
      <c r="BH579" s="705">
        <f>SUMIF('Duplicate Disposition'!$C:$C,$C579,'Duplicate Disposition'!BH:BH)</f>
        <v>843.93999999999994</v>
      </c>
      <c r="BI579" s="705">
        <f>SUMIF('Duplicate Disposition'!$C:$C,$C579,'Duplicate Disposition'!BI:BI)</f>
        <v>44687.28</v>
      </c>
      <c r="BJ579" s="705">
        <f>SUMIF('Duplicate Disposition'!$C:$C,$C579,'Duplicate Disposition'!BJ:BJ)</f>
        <v>-3758.3</v>
      </c>
      <c r="BK579" s="705">
        <f>SUMIF('Duplicate Disposition'!$C:$C,$C579,'Duplicate Disposition'!BK:BK)</f>
        <v>0</v>
      </c>
      <c r="BL579" s="705">
        <f>SUMIF('Duplicate Disposition'!$C:$C,$C579,'Duplicate Disposition'!BL:BL)</f>
        <v>0</v>
      </c>
      <c r="BM579" s="705">
        <f>SUMIF('Duplicate Disposition'!$C:$C,$C579,'Duplicate Disposition'!BM:BM)</f>
        <v>0</v>
      </c>
      <c r="BN579" s="705">
        <f>SUMIF('Duplicate Disposition'!$C:$C,$C579,'Duplicate Disposition'!BN:BN)</f>
        <v>0</v>
      </c>
      <c r="BO579" s="705">
        <f>SUMIF('Duplicate Disposition'!$C:$C,$C579,'Duplicate Disposition'!BO:BO)</f>
        <v>0</v>
      </c>
      <c r="BP579" s="705">
        <f>SUMIF('Duplicate Disposition'!$C:$C,$C579,'Duplicate Disposition'!BP:BP)</f>
        <v>0</v>
      </c>
      <c r="BQ579" s="705">
        <f>SUMIF('Duplicate Disposition'!$C:$C,$C579,'Duplicate Disposition'!BQ:BQ)</f>
        <v>0</v>
      </c>
      <c r="BR579" s="705">
        <f>SUMIF('Duplicate Disposition'!$C:$C,$C579,'Duplicate Disposition'!BR:BR)</f>
        <v>0</v>
      </c>
      <c r="BS579" s="705">
        <f>SUMIF('Duplicate Disposition'!$C:$C,$C579,'Duplicate Disposition'!BS:BS)</f>
        <v>0</v>
      </c>
      <c r="BT579" s="705">
        <f>SUMIF('Duplicate Disposition'!$C:$C,$C579,'Duplicate Disposition'!BT:BT)</f>
        <v>41772.92</v>
      </c>
    </row>
    <row r="580" spans="1:72" ht="15" hidden="1" customHeight="1">
      <c r="A580" s="215" t="s">
        <v>2788</v>
      </c>
      <c r="B580" s="725" t="s">
        <v>2944</v>
      </c>
      <c r="C580" s="215" t="s">
        <v>1004</v>
      </c>
      <c r="D580" s="215" t="s">
        <v>2789</v>
      </c>
      <c r="E580" s="513" t="s">
        <v>1136</v>
      </c>
      <c r="F580" s="726" t="s">
        <v>1566</v>
      </c>
      <c r="G580" s="726" t="s">
        <v>1566</v>
      </c>
      <c r="H580" s="748" t="s">
        <v>1566</v>
      </c>
      <c r="I580" s="727" t="s">
        <v>1345</v>
      </c>
      <c r="J580" s="727" t="s">
        <v>1346</v>
      </c>
      <c r="K580" s="727" t="s">
        <v>1346</v>
      </c>
      <c r="L580" s="516" t="s">
        <v>639</v>
      </c>
      <c r="M580" s="728" t="s">
        <v>2291</v>
      </c>
      <c r="N580" s="729"/>
      <c r="O580" s="730"/>
      <c r="P580" s="731" t="s">
        <v>679</v>
      </c>
      <c r="Q580" s="732"/>
      <c r="R580" s="737" t="s">
        <v>1140</v>
      </c>
      <c r="S580" s="732"/>
      <c r="T580" s="727" t="s">
        <v>680</v>
      </c>
      <c r="U580" s="733"/>
      <c r="V580" s="704"/>
      <c r="W580" s="705">
        <f>SUMIF('Duplicate Disposition'!$C:$C,$C580,'Duplicate Disposition'!W:W)</f>
        <v>36000</v>
      </c>
      <c r="X580" s="705">
        <f>SUMIF('Duplicate Disposition'!$C:$C,$C580,'Duplicate Disposition'!X:X)</f>
        <v>48569.39</v>
      </c>
      <c r="Y580" s="705">
        <f>SUMIF('Duplicate Disposition'!$C:$C,$C580,'Duplicate Disposition'!Y:Y)</f>
        <v>0</v>
      </c>
      <c r="Z580" s="705">
        <f>SUMIF('Duplicate Disposition'!$C:$C,$C580,'Duplicate Disposition'!Z:Z)</f>
        <v>0</v>
      </c>
      <c r="AA580" s="705">
        <f>SUMIF('Duplicate Disposition'!$C:$C,$C580,'Duplicate Disposition'!AA:AA)</f>
        <v>6465</v>
      </c>
      <c r="AB580" s="705">
        <f>SUMIF('Duplicate Disposition'!$C:$C,$C580,'Duplicate Disposition'!AB:AB)</f>
        <v>5197.6400000000003</v>
      </c>
      <c r="AC580" s="705">
        <f>SUMIF('Duplicate Disposition'!$C:$C,$C580,'Duplicate Disposition'!AC:AC)</f>
        <v>9906.75</v>
      </c>
      <c r="AD580" s="705">
        <f>SUMIF('Duplicate Disposition'!$C:$C,$C580,'Duplicate Disposition'!AD:AD)</f>
        <v>17671</v>
      </c>
      <c r="AE580" s="705">
        <f>SUMIF('Duplicate Disposition'!$C:$C,$C580,'Duplicate Disposition'!AE:AE)</f>
        <v>9482</v>
      </c>
      <c r="AF580" s="705">
        <f>SUMIF('Duplicate Disposition'!$C:$C,$C580,'Duplicate Disposition'!AF:AF)</f>
        <v>14223</v>
      </c>
      <c r="AG580" s="705">
        <f>SUMIF('Duplicate Disposition'!$C:$C,$C580,'Duplicate Disposition'!AG:AG)</f>
        <v>3000</v>
      </c>
      <c r="AH580" s="705">
        <f>SUMIF('Duplicate Disposition'!$C:$C,$C580,'Duplicate Disposition'!AH:AH)</f>
        <v>3000</v>
      </c>
      <c r="AI580" s="705">
        <f>SUMIF('Duplicate Disposition'!$C:$C,$C580,'Duplicate Disposition'!AI:AI)</f>
        <v>3000</v>
      </c>
      <c r="AJ580" s="705">
        <f>SUMIF('Duplicate Disposition'!$C:$C,$C580,'Duplicate Disposition'!AJ:AJ)</f>
        <v>3000</v>
      </c>
      <c r="AK580" s="705">
        <f>SUMIF('Duplicate Disposition'!$C:$C,$C580,'Duplicate Disposition'!AK:AK)</f>
        <v>3000</v>
      </c>
      <c r="AL580" s="705">
        <f>SUMIF('Duplicate Disposition'!$C:$C,$C580,'Duplicate Disposition'!AL:AL)</f>
        <v>3000</v>
      </c>
      <c r="AM580" s="734">
        <f t="shared" si="32"/>
        <v>80945.39</v>
      </c>
      <c r="AN580" s="735">
        <f>ERP_27[[#This Row],[2026 Working Total]]-ERP_27[[#This Row],[LE2 Final Submission]]</f>
        <v>32376</v>
      </c>
      <c r="AO580" s="705">
        <f>SUMIF('Duplicate Disposition'!$C:$C,$C580,'Duplicate Disposition'!AO:AO)</f>
        <v>3000</v>
      </c>
      <c r="AP580" s="705">
        <f>SUMIF('Duplicate Disposition'!$C:$C,$C580,'Duplicate Disposition'!AP:AP)</f>
        <v>11223</v>
      </c>
      <c r="AQ580" s="713">
        <f>SUMIF('Duplicate Disposition'!$C:$C,$C580,'Duplicate Disposition'!AQ:AQ)</f>
        <v>32376</v>
      </c>
      <c r="AR580" s="713">
        <f>SUMIF('Duplicate Disposition'!$C:$C,$C580,'Duplicate Disposition'!AR:AR)</f>
        <v>0</v>
      </c>
      <c r="AS580" s="713">
        <f>SUMIF('Duplicate Disposition'!$C:$C,$C580,'Duplicate Disposition'!AS:AS)</f>
        <v>32376</v>
      </c>
      <c r="AT580" s="713">
        <f>SUMIF('Duplicate Disposition'!$C:$C,$C580,'Duplicate Disposition'!AT:AT)</f>
        <v>0</v>
      </c>
      <c r="AU580" s="705">
        <f>SUMIF('Duplicate Disposition'!$C:$C,$C580,'Duplicate Disposition'!AU:AU)</f>
        <v>6465</v>
      </c>
      <c r="AV580" s="705">
        <f>SUMIF('Duplicate Disposition'!$C:$C,$C580,'Duplicate Disposition'!AV:AV)</f>
        <v>5197.6400000000003</v>
      </c>
      <c r="AW580" s="705">
        <f>SUMIF('Duplicate Disposition'!$C:$C,$C580,'Duplicate Disposition'!AW:AW)</f>
        <v>9906.75</v>
      </c>
      <c r="AX580" s="705">
        <f>SUMIF('Duplicate Disposition'!$C:$C,$C580,'Duplicate Disposition'!AX:AX)</f>
        <v>3000</v>
      </c>
      <c r="AY580" s="705">
        <f>SUMIF('Duplicate Disposition'!$C:$C,$C580,'Duplicate Disposition'!AY:AY)</f>
        <v>3000</v>
      </c>
      <c r="AZ580" s="705">
        <f>SUMIF('Duplicate Disposition'!$C:$C,$C580,'Duplicate Disposition'!AZ:AZ)</f>
        <v>3000</v>
      </c>
      <c r="BA580" s="705">
        <f>SUMIF('Duplicate Disposition'!$C:$C,$C580,'Duplicate Disposition'!BA:BA)</f>
        <v>3000</v>
      </c>
      <c r="BB580" s="705">
        <f>SUMIF('Duplicate Disposition'!$C:$C,$C580,'Duplicate Disposition'!BB:BB)</f>
        <v>3000</v>
      </c>
      <c r="BC580" s="705">
        <f>SUMIF('Duplicate Disposition'!$C:$C,$C580,'Duplicate Disposition'!BC:BC)</f>
        <v>3000</v>
      </c>
      <c r="BD580" s="705">
        <f>SUMIF('Duplicate Disposition'!$C:$C,$C580,'Duplicate Disposition'!BD:BD)</f>
        <v>3000</v>
      </c>
      <c r="BE580" s="705">
        <f>SUMIF('Duplicate Disposition'!$C:$C,$C580,'Duplicate Disposition'!BE:BE)</f>
        <v>3000</v>
      </c>
      <c r="BF580" s="705">
        <f>SUMIF('Duplicate Disposition'!$C:$C,$C580,'Duplicate Disposition'!BF:BF)</f>
        <v>3000</v>
      </c>
      <c r="BG580" s="705">
        <f>SUMIF('Duplicate Disposition'!$C:$C,$C580,'Duplicate Disposition'!BG:BG)</f>
        <v>48569.39</v>
      </c>
      <c r="BH580" s="705">
        <f>SUMIF('Duplicate Disposition'!$C:$C,$C580,'Duplicate Disposition'!BH:BH)</f>
        <v>6465</v>
      </c>
      <c r="BI580" s="705">
        <f>SUMIF('Duplicate Disposition'!$C:$C,$C580,'Duplicate Disposition'!BI:BI)</f>
        <v>5197.6400000000003</v>
      </c>
      <c r="BJ580" s="705">
        <f>SUMIF('Duplicate Disposition'!$C:$C,$C580,'Duplicate Disposition'!BJ:BJ)</f>
        <v>9906.75</v>
      </c>
      <c r="BK580" s="705">
        <f>SUMIF('Duplicate Disposition'!$C:$C,$C580,'Duplicate Disposition'!BK:BK)</f>
        <v>3000</v>
      </c>
      <c r="BL580" s="705">
        <f>SUMIF('Duplicate Disposition'!$C:$C,$C580,'Duplicate Disposition'!BL:BL)</f>
        <v>3000</v>
      </c>
      <c r="BM580" s="705">
        <f>SUMIF('Duplicate Disposition'!$C:$C,$C580,'Duplicate Disposition'!BM:BM)</f>
        <v>3000</v>
      </c>
      <c r="BN580" s="705">
        <f>SUMIF('Duplicate Disposition'!$C:$C,$C580,'Duplicate Disposition'!BN:BN)</f>
        <v>3000</v>
      </c>
      <c r="BO580" s="705">
        <f>SUMIF('Duplicate Disposition'!$C:$C,$C580,'Duplicate Disposition'!BO:BO)</f>
        <v>3000</v>
      </c>
      <c r="BP580" s="705">
        <f>SUMIF('Duplicate Disposition'!$C:$C,$C580,'Duplicate Disposition'!BP:BP)</f>
        <v>3000</v>
      </c>
      <c r="BQ580" s="705">
        <f>SUMIF('Duplicate Disposition'!$C:$C,$C580,'Duplicate Disposition'!BQ:BQ)</f>
        <v>3000</v>
      </c>
      <c r="BR580" s="705">
        <f>SUMIF('Duplicate Disposition'!$C:$C,$C580,'Duplicate Disposition'!BR:BR)</f>
        <v>3000</v>
      </c>
      <c r="BS580" s="705">
        <f>SUMIF('Duplicate Disposition'!$C:$C,$C580,'Duplicate Disposition'!BS:BS)</f>
        <v>3000</v>
      </c>
      <c r="BT580" s="705">
        <f>SUMIF('Duplicate Disposition'!$C:$C,$C580,'Duplicate Disposition'!BT:BT)</f>
        <v>48569.39</v>
      </c>
    </row>
    <row r="581" spans="1:72" ht="15" hidden="1" customHeight="1">
      <c r="A581" s="215" t="s">
        <v>2120</v>
      </c>
      <c r="B581" s="725" t="s">
        <v>2944</v>
      </c>
      <c r="C581" s="215" t="s">
        <v>581</v>
      </c>
      <c r="D581" s="215" t="s">
        <v>2121</v>
      </c>
      <c r="E581" s="513" t="s">
        <v>1136</v>
      </c>
      <c r="F581" s="726" t="s">
        <v>1566</v>
      </c>
      <c r="G581" s="513" t="s">
        <v>1566</v>
      </c>
      <c r="H581" s="727" t="s">
        <v>1566</v>
      </c>
      <c r="I581" s="727" t="s">
        <v>1567</v>
      </c>
      <c r="J581" s="727" t="s">
        <v>1567</v>
      </c>
      <c r="K581" s="727" t="s">
        <v>1567</v>
      </c>
      <c r="L581" s="516" t="s">
        <v>389</v>
      </c>
      <c r="M581" s="728" t="s">
        <v>1855</v>
      </c>
      <c r="N581" s="729"/>
      <c r="O581" s="730"/>
      <c r="P581" s="731" t="s">
        <v>466</v>
      </c>
      <c r="Q581" s="732"/>
      <c r="R581" s="737" t="s">
        <v>1140</v>
      </c>
      <c r="S581" s="732"/>
      <c r="T581" s="727" t="s">
        <v>57</v>
      </c>
      <c r="U581" s="733"/>
      <c r="V581" s="704"/>
      <c r="W581" s="705">
        <f>SUMIF('Duplicate Disposition'!$C:$C,$C581,'Duplicate Disposition'!W:W)</f>
        <v>60000</v>
      </c>
      <c r="X581" s="705">
        <f>SUMIF('Duplicate Disposition'!$C:$C,$C581,'Duplicate Disposition'!X:X)</f>
        <v>77098.11</v>
      </c>
      <c r="Y581" s="705">
        <f>SUMIF('Duplicate Disposition'!$C:$C,$C581,'Duplicate Disposition'!Y:Y)</f>
        <v>0</v>
      </c>
      <c r="Z581" s="705">
        <f>SUMIF('Duplicate Disposition'!$C:$C,$C581,'Duplicate Disposition'!Z:Z)</f>
        <v>0</v>
      </c>
      <c r="AA581" s="705">
        <f>SUMIF('Duplicate Disposition'!$C:$C,$C581,'Duplicate Disposition'!AA:AA)</f>
        <v>14601.17</v>
      </c>
      <c r="AB581" s="705">
        <f>SUMIF('Duplicate Disposition'!$C:$C,$C581,'Duplicate Disposition'!AB:AB)</f>
        <v>13997.08</v>
      </c>
      <c r="AC581" s="705">
        <f>SUMIF('Duplicate Disposition'!$C:$C,$C581,'Duplicate Disposition'!AC:AC)</f>
        <v>3499.86</v>
      </c>
      <c r="AD581" s="705">
        <f>SUMIF('Duplicate Disposition'!$C:$C,$C581,'Duplicate Disposition'!AD:AD)</f>
        <v>15984.21</v>
      </c>
      <c r="AE581" s="705">
        <f>SUMIF('Duplicate Disposition'!$C:$C,$C581,'Duplicate Disposition'!AE:AE)</f>
        <v>17536.269999999997</v>
      </c>
      <c r="AF581" s="705">
        <f>SUMIF('Duplicate Disposition'!$C:$C,$C581,'Duplicate Disposition'!AF:AF)</f>
        <v>17731.900000000001</v>
      </c>
      <c r="AG581" s="705">
        <f>SUMIF('Duplicate Disposition'!$C:$C,$C581,'Duplicate Disposition'!AG:AG)</f>
        <v>5000</v>
      </c>
      <c r="AH581" s="705">
        <f>SUMIF('Duplicate Disposition'!$C:$C,$C581,'Duplicate Disposition'!AH:AH)</f>
        <v>5000</v>
      </c>
      <c r="AI581" s="705">
        <f>SUMIF('Duplicate Disposition'!$C:$C,$C581,'Duplicate Disposition'!AI:AI)</f>
        <v>5000</v>
      </c>
      <c r="AJ581" s="705">
        <f>SUMIF('Duplicate Disposition'!$C:$C,$C581,'Duplicate Disposition'!AJ:AJ)</f>
        <v>5000</v>
      </c>
      <c r="AK581" s="705">
        <f>SUMIF('Duplicate Disposition'!$C:$C,$C581,'Duplicate Disposition'!AK:AK)</f>
        <v>5000</v>
      </c>
      <c r="AL581" s="705">
        <f>SUMIF('Duplicate Disposition'!$C:$C,$C581,'Duplicate Disposition'!AL:AL)</f>
        <v>5000</v>
      </c>
      <c r="AM581" s="734">
        <f t="shared" si="32"/>
        <v>113350.48999999999</v>
      </c>
      <c r="AN581" s="735">
        <f>ERP_27[[#This Row],[2026 Working Total]]-ERP_27[[#This Row],[LE2 Final Submission]]</f>
        <v>36252.37999999999</v>
      </c>
      <c r="AO581" s="705">
        <f>SUMIF('Duplicate Disposition'!$C:$C,$C581,'Duplicate Disposition'!AO:AO)</f>
        <v>5000</v>
      </c>
      <c r="AP581" s="705">
        <f>SUMIF('Duplicate Disposition'!$C:$C,$C581,'Duplicate Disposition'!AP:AP)</f>
        <v>12731.900000000001</v>
      </c>
      <c r="AQ581" s="713">
        <f>SUMIF('Duplicate Disposition'!$C:$C,$C581,'Duplicate Disposition'!AQ:AQ)</f>
        <v>36252.37999999999</v>
      </c>
      <c r="AR581" s="713">
        <f>SUMIF('Duplicate Disposition'!$C:$C,$C581,'Duplicate Disposition'!AR:AR)</f>
        <v>0</v>
      </c>
      <c r="AS581" s="713">
        <f>SUMIF('Duplicate Disposition'!$C:$C,$C581,'Duplicate Disposition'!AS:AS)</f>
        <v>36252.37999999999</v>
      </c>
      <c r="AT581" s="713">
        <f>SUMIF('Duplicate Disposition'!$C:$C,$C581,'Duplicate Disposition'!AT:AT)</f>
        <v>0</v>
      </c>
      <c r="AU581" s="705">
        <f>SUMIF('Duplicate Disposition'!$C:$C,$C581,'Duplicate Disposition'!AU:AU)</f>
        <v>14601.17</v>
      </c>
      <c r="AV581" s="705">
        <f>SUMIF('Duplicate Disposition'!$C:$C,$C581,'Duplicate Disposition'!AV:AV)</f>
        <v>13997.08</v>
      </c>
      <c r="AW581" s="705">
        <f>SUMIF('Duplicate Disposition'!$C:$C,$C581,'Duplicate Disposition'!AW:AW)</f>
        <v>3499.86</v>
      </c>
      <c r="AX581" s="705">
        <f>SUMIF('Duplicate Disposition'!$C:$C,$C581,'Duplicate Disposition'!AX:AX)</f>
        <v>5000</v>
      </c>
      <c r="AY581" s="705">
        <f>SUMIF('Duplicate Disposition'!$C:$C,$C581,'Duplicate Disposition'!AY:AY)</f>
        <v>5000</v>
      </c>
      <c r="AZ581" s="705">
        <f>SUMIF('Duplicate Disposition'!$C:$C,$C581,'Duplicate Disposition'!AZ:AZ)</f>
        <v>5000</v>
      </c>
      <c r="BA581" s="705">
        <f>SUMIF('Duplicate Disposition'!$C:$C,$C581,'Duplicate Disposition'!BA:BA)</f>
        <v>5000</v>
      </c>
      <c r="BB581" s="705">
        <f>SUMIF('Duplicate Disposition'!$C:$C,$C581,'Duplicate Disposition'!BB:BB)</f>
        <v>5000</v>
      </c>
      <c r="BC581" s="705">
        <f>SUMIF('Duplicate Disposition'!$C:$C,$C581,'Duplicate Disposition'!BC:BC)</f>
        <v>5000</v>
      </c>
      <c r="BD581" s="705">
        <f>SUMIF('Duplicate Disposition'!$C:$C,$C581,'Duplicate Disposition'!BD:BD)</f>
        <v>5000</v>
      </c>
      <c r="BE581" s="705">
        <f>SUMIF('Duplicate Disposition'!$C:$C,$C581,'Duplicate Disposition'!BE:BE)</f>
        <v>5000</v>
      </c>
      <c r="BF581" s="705">
        <f>SUMIF('Duplicate Disposition'!$C:$C,$C581,'Duplicate Disposition'!BF:BF)</f>
        <v>5000</v>
      </c>
      <c r="BG581" s="705">
        <f>SUMIF('Duplicate Disposition'!$C:$C,$C581,'Duplicate Disposition'!BG:BG)</f>
        <v>77098.11</v>
      </c>
      <c r="BH581" s="705">
        <f>SUMIF('Duplicate Disposition'!$C:$C,$C581,'Duplicate Disposition'!BH:BH)</f>
        <v>14601.17</v>
      </c>
      <c r="BI581" s="705">
        <f>SUMIF('Duplicate Disposition'!$C:$C,$C581,'Duplicate Disposition'!BI:BI)</f>
        <v>13997.08</v>
      </c>
      <c r="BJ581" s="705">
        <f>SUMIF('Duplicate Disposition'!$C:$C,$C581,'Duplicate Disposition'!BJ:BJ)</f>
        <v>3499.86</v>
      </c>
      <c r="BK581" s="705">
        <f>SUMIF('Duplicate Disposition'!$C:$C,$C581,'Duplicate Disposition'!BK:BK)</f>
        <v>5000</v>
      </c>
      <c r="BL581" s="705">
        <f>SUMIF('Duplicate Disposition'!$C:$C,$C581,'Duplicate Disposition'!BL:BL)</f>
        <v>5000</v>
      </c>
      <c r="BM581" s="705">
        <f>SUMIF('Duplicate Disposition'!$C:$C,$C581,'Duplicate Disposition'!BM:BM)</f>
        <v>5000</v>
      </c>
      <c r="BN581" s="705">
        <f>SUMIF('Duplicate Disposition'!$C:$C,$C581,'Duplicate Disposition'!BN:BN)</f>
        <v>5000</v>
      </c>
      <c r="BO581" s="705">
        <f>SUMIF('Duplicate Disposition'!$C:$C,$C581,'Duplicate Disposition'!BO:BO)</f>
        <v>5000</v>
      </c>
      <c r="BP581" s="705">
        <f>SUMIF('Duplicate Disposition'!$C:$C,$C581,'Duplicate Disposition'!BP:BP)</f>
        <v>5000</v>
      </c>
      <c r="BQ581" s="705">
        <f>SUMIF('Duplicate Disposition'!$C:$C,$C581,'Duplicate Disposition'!BQ:BQ)</f>
        <v>5000</v>
      </c>
      <c r="BR581" s="705">
        <f>SUMIF('Duplicate Disposition'!$C:$C,$C581,'Duplicate Disposition'!BR:BR)</f>
        <v>5000</v>
      </c>
      <c r="BS581" s="705">
        <f>SUMIF('Duplicate Disposition'!$C:$C,$C581,'Duplicate Disposition'!BS:BS)</f>
        <v>5000</v>
      </c>
      <c r="BT581" s="705">
        <f>SUMIF('Duplicate Disposition'!$C:$C,$C581,'Duplicate Disposition'!BT:BT)</f>
        <v>77098.11</v>
      </c>
    </row>
    <row r="582" spans="1:72" ht="15" hidden="1" customHeight="1">
      <c r="A582" s="215" t="s">
        <v>2842</v>
      </c>
      <c r="B582" s="725" t="s">
        <v>2944</v>
      </c>
      <c r="C582" s="215" t="s">
        <v>1034</v>
      </c>
      <c r="D582" s="215" t="s">
        <v>2843</v>
      </c>
      <c r="E582" s="513" t="s">
        <v>1136</v>
      </c>
      <c r="F582" s="726" t="s">
        <v>1566</v>
      </c>
      <c r="G582" s="513" t="s">
        <v>1566</v>
      </c>
      <c r="H582" s="727" t="s">
        <v>1566</v>
      </c>
      <c r="I582" s="727" t="s">
        <v>1567</v>
      </c>
      <c r="J582" s="727" t="s">
        <v>1567</v>
      </c>
      <c r="K582" s="727" t="s">
        <v>1567</v>
      </c>
      <c r="L582" s="516" t="s">
        <v>1027</v>
      </c>
      <c r="M582" s="728" t="s">
        <v>2830</v>
      </c>
      <c r="N582" s="729"/>
      <c r="O582" s="730"/>
      <c r="P582" s="731" t="s">
        <v>1029</v>
      </c>
      <c r="Q582" s="732"/>
      <c r="R582" s="729"/>
      <c r="S582" s="732"/>
      <c r="T582" s="727" t="s">
        <v>25</v>
      </c>
      <c r="U582" s="733"/>
      <c r="V582" s="704"/>
      <c r="W582" s="705">
        <f>SUMIF('Duplicate Disposition'!$C:$C,$C582,'Duplicate Disposition'!W:W)</f>
        <v>161100</v>
      </c>
      <c r="X582" s="705">
        <f>SUMIF('Duplicate Disposition'!$C:$C,$C582,'Duplicate Disposition'!X:X)</f>
        <v>135200.23000000001</v>
      </c>
      <c r="Y582" s="705">
        <f>SUMIF('Duplicate Disposition'!$C:$C,$C582,'Duplicate Disposition'!Y:Y)</f>
        <v>0</v>
      </c>
      <c r="Z582" s="705">
        <f>SUMIF('Duplicate Disposition'!$C:$C,$C582,'Duplicate Disposition'!Z:Z)</f>
        <v>0</v>
      </c>
      <c r="AA582" s="705">
        <f>SUMIF('Duplicate Disposition'!$C:$C,$C582,'Duplicate Disposition'!AA:AA)</f>
        <v>3367.22</v>
      </c>
      <c r="AB582" s="705">
        <f>SUMIF('Duplicate Disposition'!$C:$C,$C582,'Duplicate Disposition'!AB:AB)</f>
        <v>4842.91</v>
      </c>
      <c r="AC582" s="705">
        <f>SUMIF('Duplicate Disposition'!$C:$C,$C582,'Duplicate Disposition'!AC:AC)</f>
        <v>4990.0999999999995</v>
      </c>
      <c r="AD582" s="705">
        <f>SUMIF('Duplicate Disposition'!$C:$C,$C582,'Duplicate Disposition'!AD:AD)</f>
        <v>5767.6399999999985</v>
      </c>
      <c r="AE582" s="705">
        <f>SUMIF('Duplicate Disposition'!$C:$C,$C582,'Duplicate Disposition'!AE:AE)</f>
        <v>8567.6500000000033</v>
      </c>
      <c r="AF582" s="705">
        <f>SUMIF('Duplicate Disposition'!$C:$C,$C582,'Duplicate Disposition'!AF:AF)</f>
        <v>5275.4199999999992</v>
      </c>
      <c r="AG582" s="705">
        <f>SUMIF('Duplicate Disposition'!$C:$C,$C582,'Duplicate Disposition'!AG:AG)</f>
        <v>13700</v>
      </c>
      <c r="AH582" s="705">
        <f>SUMIF('Duplicate Disposition'!$C:$C,$C582,'Duplicate Disposition'!AH:AH)</f>
        <v>13900</v>
      </c>
      <c r="AI582" s="705">
        <f>SUMIF('Duplicate Disposition'!$C:$C,$C582,'Duplicate Disposition'!AI:AI)</f>
        <v>13900</v>
      </c>
      <c r="AJ582" s="705">
        <f>SUMIF('Duplicate Disposition'!$C:$C,$C582,'Duplicate Disposition'!AJ:AJ)</f>
        <v>13900</v>
      </c>
      <c r="AK582" s="705">
        <f>SUMIF('Duplicate Disposition'!$C:$C,$C582,'Duplicate Disposition'!AK:AK)</f>
        <v>14000</v>
      </c>
      <c r="AL582" s="705">
        <f>SUMIF('Duplicate Disposition'!$C:$C,$C582,'Duplicate Disposition'!AL:AL)</f>
        <v>14000</v>
      </c>
      <c r="AM582" s="734">
        <f t="shared" si="32"/>
        <v>116210.94</v>
      </c>
      <c r="AN582" s="735">
        <f>ERP_27[[#This Row],[2026 Working Total]]-ERP_27[[#This Row],[LE2 Final Submission]]</f>
        <v>-18989.290000000008</v>
      </c>
      <c r="AO582" s="705">
        <f>SUMIF('Duplicate Disposition'!$C:$C,$C582,'Duplicate Disposition'!AO:AO)</f>
        <v>12600</v>
      </c>
      <c r="AP582" s="705">
        <f>SUMIF('Duplicate Disposition'!$C:$C,$C582,'Duplicate Disposition'!AP:AP)</f>
        <v>-7324.5800000000008</v>
      </c>
      <c r="AQ582" s="713">
        <f>SUMIF('Duplicate Disposition'!$C:$C,$C582,'Duplicate Disposition'!AQ:AQ)</f>
        <v>-18989.289999999997</v>
      </c>
      <c r="AR582" s="713">
        <f>SUMIF('Duplicate Disposition'!$C:$C,$C582,'Duplicate Disposition'!AR:AR)</f>
        <v>0</v>
      </c>
      <c r="AS582" s="713">
        <f>SUMIF('Duplicate Disposition'!$C:$C,$C582,'Duplicate Disposition'!AS:AS)</f>
        <v>-18989.289999999994</v>
      </c>
      <c r="AT582" s="713">
        <f>SUMIF('Duplicate Disposition'!$C:$C,$C582,'Duplicate Disposition'!AT:AT)</f>
        <v>0</v>
      </c>
      <c r="AU582" s="705">
        <f>SUMIF('Duplicate Disposition'!$C:$C,$C582,'Duplicate Disposition'!AU:AU)</f>
        <v>3367.22</v>
      </c>
      <c r="AV582" s="705">
        <f>SUMIF('Duplicate Disposition'!$C:$C,$C582,'Duplicate Disposition'!AV:AV)</f>
        <v>4842.91</v>
      </c>
      <c r="AW582" s="705">
        <f>SUMIF('Duplicate Disposition'!$C:$C,$C582,'Duplicate Disposition'!AW:AW)</f>
        <v>4990.0999999999995</v>
      </c>
      <c r="AX582" s="705">
        <f>SUMIF('Duplicate Disposition'!$C:$C,$C582,'Duplicate Disposition'!AX:AX)</f>
        <v>12500</v>
      </c>
      <c r="AY582" s="705">
        <f>SUMIF('Duplicate Disposition'!$C:$C,$C582,'Duplicate Disposition'!AY:AY)</f>
        <v>12600</v>
      </c>
      <c r="AZ582" s="705">
        <f>SUMIF('Duplicate Disposition'!$C:$C,$C582,'Duplicate Disposition'!AZ:AZ)</f>
        <v>13500</v>
      </c>
      <c r="BA582" s="705">
        <f>SUMIF('Duplicate Disposition'!$C:$C,$C582,'Duplicate Disposition'!BA:BA)</f>
        <v>13700</v>
      </c>
      <c r="BB582" s="705">
        <f>SUMIF('Duplicate Disposition'!$C:$C,$C582,'Duplicate Disposition'!BB:BB)</f>
        <v>13900</v>
      </c>
      <c r="BC582" s="705">
        <f>SUMIF('Duplicate Disposition'!$C:$C,$C582,'Duplicate Disposition'!BC:BC)</f>
        <v>13900</v>
      </c>
      <c r="BD582" s="705">
        <f>SUMIF('Duplicate Disposition'!$C:$C,$C582,'Duplicate Disposition'!BD:BD)</f>
        <v>13900</v>
      </c>
      <c r="BE582" s="705">
        <f>SUMIF('Duplicate Disposition'!$C:$C,$C582,'Duplicate Disposition'!BE:BE)</f>
        <v>14000</v>
      </c>
      <c r="BF582" s="705">
        <f>SUMIF('Duplicate Disposition'!$C:$C,$C582,'Duplicate Disposition'!BF:BF)</f>
        <v>14000</v>
      </c>
      <c r="BG582" s="705">
        <f>SUMIF('Duplicate Disposition'!$C:$C,$C582,'Duplicate Disposition'!BG:BG)</f>
        <v>135200.23000000001</v>
      </c>
      <c r="BH582" s="705">
        <f>SUMIF('Duplicate Disposition'!$C:$C,$C582,'Duplicate Disposition'!BH:BH)</f>
        <v>3367.22</v>
      </c>
      <c r="BI582" s="705">
        <f>SUMIF('Duplicate Disposition'!$C:$C,$C582,'Duplicate Disposition'!BI:BI)</f>
        <v>4842.91</v>
      </c>
      <c r="BJ582" s="705">
        <f>SUMIF('Duplicate Disposition'!$C:$C,$C582,'Duplicate Disposition'!BJ:BJ)</f>
        <v>4990.0999999999995</v>
      </c>
      <c r="BK582" s="705">
        <f>SUMIF('Duplicate Disposition'!$C:$C,$C582,'Duplicate Disposition'!BK:BK)</f>
        <v>12500</v>
      </c>
      <c r="BL582" s="705">
        <f>SUMIF('Duplicate Disposition'!$C:$C,$C582,'Duplicate Disposition'!BL:BL)</f>
        <v>12600</v>
      </c>
      <c r="BM582" s="705">
        <f>SUMIF('Duplicate Disposition'!$C:$C,$C582,'Duplicate Disposition'!BM:BM)</f>
        <v>13500</v>
      </c>
      <c r="BN582" s="705">
        <f>SUMIF('Duplicate Disposition'!$C:$C,$C582,'Duplicate Disposition'!BN:BN)</f>
        <v>13700</v>
      </c>
      <c r="BO582" s="705">
        <f>SUMIF('Duplicate Disposition'!$C:$C,$C582,'Duplicate Disposition'!BO:BO)</f>
        <v>13900</v>
      </c>
      <c r="BP582" s="705">
        <f>SUMIF('Duplicate Disposition'!$C:$C,$C582,'Duplicate Disposition'!BP:BP)</f>
        <v>13900</v>
      </c>
      <c r="BQ582" s="705">
        <f>SUMIF('Duplicate Disposition'!$C:$C,$C582,'Duplicate Disposition'!BQ:BQ)</f>
        <v>13900</v>
      </c>
      <c r="BR582" s="705">
        <f>SUMIF('Duplicate Disposition'!$C:$C,$C582,'Duplicate Disposition'!BR:BR)</f>
        <v>14000</v>
      </c>
      <c r="BS582" s="705">
        <f>SUMIF('Duplicate Disposition'!$C:$C,$C582,'Duplicate Disposition'!BS:BS)</f>
        <v>14000</v>
      </c>
      <c r="BT582" s="705">
        <f>SUMIF('Duplicate Disposition'!$C:$C,$C582,'Duplicate Disposition'!BT:BT)</f>
        <v>135200.23000000001</v>
      </c>
    </row>
    <row r="583" spans="1:72" ht="15" hidden="1" customHeight="1">
      <c r="A583" s="215" t="s">
        <v>1282</v>
      </c>
      <c r="B583" s="725" t="s">
        <v>2944</v>
      </c>
      <c r="C583" s="215" t="s">
        <v>120</v>
      </c>
      <c r="D583" s="215" t="s">
        <v>1283</v>
      </c>
      <c r="E583" s="513" t="s">
        <v>1136</v>
      </c>
      <c r="F583" s="726" t="s">
        <v>1566</v>
      </c>
      <c r="G583" s="513" t="s">
        <v>1135</v>
      </c>
      <c r="H583" s="727" t="s">
        <v>1165</v>
      </c>
      <c r="I583" s="727" t="s">
        <v>1135</v>
      </c>
      <c r="J583" s="727" t="s">
        <v>1165</v>
      </c>
      <c r="K583" s="727" t="s">
        <v>1137</v>
      </c>
      <c r="L583" s="516" t="s">
        <v>49</v>
      </c>
      <c r="M583" s="728" t="s">
        <v>1281</v>
      </c>
      <c r="N583" s="729"/>
      <c r="O583" s="730"/>
      <c r="P583" s="731" t="s">
        <v>121</v>
      </c>
      <c r="Q583" s="732"/>
      <c r="R583" s="729"/>
      <c r="S583" s="732"/>
      <c r="T583" s="727" t="s">
        <v>122</v>
      </c>
      <c r="U583" s="733"/>
      <c r="V583" s="704"/>
      <c r="W583" s="705">
        <f>SUMIF('Duplicate Disposition'!$C:$C,$C583,'Duplicate Disposition'!W:W)</f>
        <v>150000</v>
      </c>
      <c r="X583" s="705">
        <f>SUMIF('Duplicate Disposition'!$C:$C,$C583,'Duplicate Disposition'!X:X)</f>
        <v>149999.65</v>
      </c>
      <c r="Y583" s="705">
        <f>SUMIF('Duplicate Disposition'!$C:$C,$C583,'Duplicate Disposition'!Y:Y)</f>
        <v>0</v>
      </c>
      <c r="Z583" s="705">
        <f>SUMIF('Duplicate Disposition'!$C:$C,$C583,'Duplicate Disposition'!Z:Z)</f>
        <v>0</v>
      </c>
      <c r="AA583" s="705">
        <f>SUMIF('Duplicate Disposition'!$C:$C,$C583,'Duplicate Disposition'!AA:AA)</f>
        <v>10113</v>
      </c>
      <c r="AB583" s="705">
        <f>SUMIF('Duplicate Disposition'!$C:$C,$C583,'Duplicate Disposition'!AB:AB)</f>
        <v>11863.11</v>
      </c>
      <c r="AC583" s="705">
        <f>SUMIF('Duplicate Disposition'!$C:$C,$C583,'Duplicate Disposition'!AC:AC)</f>
        <v>14621.54</v>
      </c>
      <c r="AD583" s="705">
        <f>SUMIF('Duplicate Disposition'!$C:$C,$C583,'Duplicate Disposition'!AD:AD)</f>
        <v>17284.68</v>
      </c>
      <c r="AE583" s="705">
        <f>SUMIF('Duplicate Disposition'!$C:$C,$C583,'Duplicate Disposition'!AE:AE)</f>
        <v>12179.44</v>
      </c>
      <c r="AF583" s="705">
        <f>SUMIF('Duplicate Disposition'!$C:$C,$C583,'Duplicate Disposition'!AF:AF)</f>
        <v>11999.990000000002</v>
      </c>
      <c r="AG583" s="705">
        <f>SUMIF('Duplicate Disposition'!$C:$C,$C583,'Duplicate Disposition'!AG:AG)</f>
        <v>12000</v>
      </c>
      <c r="AH583" s="705">
        <f>SUMIF('Duplicate Disposition'!$C:$C,$C583,'Duplicate Disposition'!AH:AH)</f>
        <v>12000</v>
      </c>
      <c r="AI583" s="705">
        <f>SUMIF('Duplicate Disposition'!$C:$C,$C583,'Duplicate Disposition'!AI:AI)</f>
        <v>12000</v>
      </c>
      <c r="AJ583" s="705">
        <f>SUMIF('Duplicate Disposition'!$C:$C,$C583,'Duplicate Disposition'!AJ:AJ)</f>
        <v>12000</v>
      </c>
      <c r="AK583" s="705">
        <f>SUMIF('Duplicate Disposition'!$C:$C,$C583,'Duplicate Disposition'!AK:AK)</f>
        <v>12000</v>
      </c>
      <c r="AL583" s="705">
        <f>SUMIF('Duplicate Disposition'!$C:$C,$C583,'Duplicate Disposition'!AL:AL)</f>
        <v>12000</v>
      </c>
      <c r="AM583" s="734">
        <f t="shared" si="32"/>
        <v>150061.76000000001</v>
      </c>
      <c r="AN583" s="735">
        <f>ERP_27[[#This Row],[2026 Working Total]]-ERP_27[[#This Row],[LE2 Final Submission]]</f>
        <v>62.110000000015134</v>
      </c>
      <c r="AO583" s="705">
        <f>SUMIF('Duplicate Disposition'!$C:$C,$C583,'Duplicate Disposition'!AO:AO)</f>
        <v>12900</v>
      </c>
      <c r="AP583" s="705">
        <f>SUMIF('Duplicate Disposition'!$C:$C,$C583,'Duplicate Disposition'!AP:AP)</f>
        <v>-900.0099999999984</v>
      </c>
      <c r="AQ583" s="713">
        <f>SUMIF('Duplicate Disposition'!$C:$C,$C583,'Duplicate Disposition'!AQ:AQ)</f>
        <v>3062.1100000000151</v>
      </c>
      <c r="AR583" s="713">
        <f>SUMIF('Duplicate Disposition'!$C:$C,$C583,'Duplicate Disposition'!AR:AR)</f>
        <v>0</v>
      </c>
      <c r="AS583" s="713">
        <f>SUMIF('Duplicate Disposition'!$C:$C,$C583,'Duplicate Disposition'!AS:AS)</f>
        <v>62.110000000015134</v>
      </c>
      <c r="AT583" s="713">
        <f>SUMIF('Duplicate Disposition'!$C:$C,$C583,'Duplicate Disposition'!AT:AT)</f>
        <v>0</v>
      </c>
      <c r="AU583" s="705">
        <f>SUMIF('Duplicate Disposition'!$C:$C,$C583,'Duplicate Disposition'!AU:AU)</f>
        <v>10113</v>
      </c>
      <c r="AV583" s="705">
        <f>SUMIF('Duplicate Disposition'!$C:$C,$C583,'Duplicate Disposition'!AV:AV)</f>
        <v>11863.11</v>
      </c>
      <c r="AW583" s="705">
        <f>SUMIF('Duplicate Disposition'!$C:$C,$C583,'Duplicate Disposition'!AW:AW)</f>
        <v>14621.54</v>
      </c>
      <c r="AX583" s="705">
        <f>SUMIF('Duplicate Disposition'!$C:$C,$C583,'Duplicate Disposition'!AX:AX)</f>
        <v>12900</v>
      </c>
      <c r="AY583" s="705">
        <f>SUMIF('Duplicate Disposition'!$C:$C,$C583,'Duplicate Disposition'!AY:AY)</f>
        <v>12900</v>
      </c>
      <c r="AZ583" s="705">
        <f>SUMIF('Duplicate Disposition'!$C:$C,$C583,'Duplicate Disposition'!AZ:AZ)</f>
        <v>12602</v>
      </c>
      <c r="BA583" s="705">
        <f>SUMIF('Duplicate Disposition'!$C:$C,$C583,'Duplicate Disposition'!BA:BA)</f>
        <v>12500</v>
      </c>
      <c r="BB583" s="705">
        <f>SUMIF('Duplicate Disposition'!$C:$C,$C583,'Duplicate Disposition'!BB:BB)</f>
        <v>12500</v>
      </c>
      <c r="BC583" s="705">
        <f>SUMIF('Duplicate Disposition'!$C:$C,$C583,'Duplicate Disposition'!BC:BC)</f>
        <v>12500</v>
      </c>
      <c r="BD583" s="705">
        <f>SUMIF('Duplicate Disposition'!$C:$C,$C583,'Duplicate Disposition'!BD:BD)</f>
        <v>12500</v>
      </c>
      <c r="BE583" s="705">
        <f>SUMIF('Duplicate Disposition'!$C:$C,$C583,'Duplicate Disposition'!BE:BE)</f>
        <v>12500</v>
      </c>
      <c r="BF583" s="705">
        <f>SUMIF('Duplicate Disposition'!$C:$C,$C583,'Duplicate Disposition'!BF:BF)</f>
        <v>12500</v>
      </c>
      <c r="BG583" s="705">
        <f>SUMIF('Duplicate Disposition'!$C:$C,$C583,'Duplicate Disposition'!BG:BG)</f>
        <v>149999.65</v>
      </c>
      <c r="BH583" s="705">
        <f>SUMIF('Duplicate Disposition'!$C:$C,$C583,'Duplicate Disposition'!BH:BH)</f>
        <v>10113</v>
      </c>
      <c r="BI583" s="705">
        <f>SUMIF('Duplicate Disposition'!$C:$C,$C583,'Duplicate Disposition'!BI:BI)</f>
        <v>11863.11</v>
      </c>
      <c r="BJ583" s="705">
        <f>SUMIF('Duplicate Disposition'!$C:$C,$C583,'Duplicate Disposition'!BJ:BJ)</f>
        <v>14621.54</v>
      </c>
      <c r="BK583" s="705">
        <f>SUMIF('Duplicate Disposition'!$C:$C,$C583,'Duplicate Disposition'!BK:BK)</f>
        <v>12500</v>
      </c>
      <c r="BL583" s="705">
        <f>SUMIF('Duplicate Disposition'!$C:$C,$C583,'Duplicate Disposition'!BL:BL)</f>
        <v>12500</v>
      </c>
      <c r="BM583" s="705">
        <f>SUMIF('Duplicate Disposition'!$C:$C,$C583,'Duplicate Disposition'!BM:BM)</f>
        <v>12500</v>
      </c>
      <c r="BN583" s="705">
        <f>SUMIF('Duplicate Disposition'!$C:$C,$C583,'Duplicate Disposition'!BN:BN)</f>
        <v>12500</v>
      </c>
      <c r="BO583" s="705">
        <f>SUMIF('Duplicate Disposition'!$C:$C,$C583,'Duplicate Disposition'!BO:BO)</f>
        <v>12500</v>
      </c>
      <c r="BP583" s="705">
        <f>SUMIF('Duplicate Disposition'!$C:$C,$C583,'Duplicate Disposition'!BP:BP)</f>
        <v>12500</v>
      </c>
      <c r="BQ583" s="705">
        <f>SUMIF('Duplicate Disposition'!$C:$C,$C583,'Duplicate Disposition'!BQ:BQ)</f>
        <v>12500</v>
      </c>
      <c r="BR583" s="705">
        <f>SUMIF('Duplicate Disposition'!$C:$C,$C583,'Duplicate Disposition'!BR:BR)</f>
        <v>12500</v>
      </c>
      <c r="BS583" s="705">
        <f>SUMIF('Duplicate Disposition'!$C:$C,$C583,'Duplicate Disposition'!BS:BS)</f>
        <v>12500</v>
      </c>
      <c r="BT583" s="705">
        <f>SUMIF('Duplicate Disposition'!$C:$C,$C583,'Duplicate Disposition'!BT:BT)</f>
        <v>149097.65</v>
      </c>
    </row>
    <row r="584" spans="1:72" ht="15" hidden="1" customHeight="1">
      <c r="A584" s="66" t="s">
        <v>1641</v>
      </c>
      <c r="B584" s="752" t="s">
        <v>2944</v>
      </c>
      <c r="C584" s="66" t="s">
        <v>319</v>
      </c>
      <c r="D584" s="66" t="s">
        <v>1642</v>
      </c>
      <c r="E584" s="513" t="s">
        <v>1136</v>
      </c>
      <c r="F584" s="726" t="s">
        <v>1566</v>
      </c>
      <c r="G584" s="513" t="s">
        <v>1566</v>
      </c>
      <c r="H584" s="513" t="s">
        <v>1566</v>
      </c>
      <c r="I584" s="513" t="s">
        <v>1567</v>
      </c>
      <c r="J584" s="513" t="s">
        <v>1567</v>
      </c>
      <c r="K584" s="513" t="s">
        <v>1567</v>
      </c>
      <c r="L584" s="511" t="s">
        <v>49</v>
      </c>
      <c r="M584" s="753" t="s">
        <v>1327</v>
      </c>
      <c r="N584" s="729"/>
      <c r="O584" s="729"/>
      <c r="P584" s="736" t="s">
        <v>147</v>
      </c>
      <c r="Q584" s="737"/>
      <c r="R584" s="729"/>
      <c r="S584" s="737"/>
      <c r="T584" s="513" t="s">
        <v>25</v>
      </c>
      <c r="U584" s="513"/>
      <c r="V584" s="754"/>
      <c r="W584" s="705">
        <f>SUMIF('Duplicate Disposition'!$C:$C,$C584,'Duplicate Disposition'!W:W)</f>
        <v>0</v>
      </c>
      <c r="X584" s="705">
        <f>SUMIF('Duplicate Disposition'!$C:$C,$C584,'Duplicate Disposition'!X:X)</f>
        <v>17685.099999999999</v>
      </c>
      <c r="Y584" s="705">
        <f>SUMIF('Duplicate Disposition'!$C:$C,$C584,'Duplicate Disposition'!Y:Y)</f>
        <v>0</v>
      </c>
      <c r="Z584" s="705">
        <f>SUMIF('Duplicate Disposition'!$C:$C,$C584,'Duplicate Disposition'!Z:Z)</f>
        <v>0</v>
      </c>
      <c r="AA584" s="705">
        <f>SUMIF('Duplicate Disposition'!$C:$C,$C584,'Duplicate Disposition'!AA:AA)</f>
        <v>6818.93</v>
      </c>
      <c r="AB584" s="705">
        <f>SUMIF('Duplicate Disposition'!$C:$C,$C584,'Duplicate Disposition'!AB:AB)</f>
        <v>9998.34</v>
      </c>
      <c r="AC584" s="705">
        <f>SUMIF('Duplicate Disposition'!$C:$C,$C584,'Duplicate Disposition'!AC:AC)</f>
        <v>867.83000000000038</v>
      </c>
      <c r="AD584" s="705">
        <f>SUMIF('Duplicate Disposition'!$C:$C,$C584,'Duplicate Disposition'!AD:AD)</f>
        <v>18369.93</v>
      </c>
      <c r="AE584" s="705">
        <f>SUMIF('Duplicate Disposition'!$C:$C,$C584,'Duplicate Disposition'!AE:AE)</f>
        <v>5187.3899999999949</v>
      </c>
      <c r="AF584" s="705">
        <f>SUMIF('Duplicate Disposition'!$C:$C,$C584,'Duplicate Disposition'!AF:AF)</f>
        <v>121761.53</v>
      </c>
      <c r="AG584" s="705">
        <f>SUMIF('Duplicate Disposition'!$C:$C,$C584,'Duplicate Disposition'!AG:AG)</f>
        <v>0</v>
      </c>
      <c r="AH584" s="705">
        <f>SUMIF('Duplicate Disposition'!$C:$C,$C584,'Duplicate Disposition'!AH:AH)</f>
        <v>0</v>
      </c>
      <c r="AI584" s="705">
        <f>SUMIF('Duplicate Disposition'!$C:$C,$C584,'Duplicate Disposition'!AI:AI)</f>
        <v>0</v>
      </c>
      <c r="AJ584" s="705">
        <f>SUMIF('Duplicate Disposition'!$C:$C,$C584,'Duplicate Disposition'!AJ:AJ)</f>
        <v>0</v>
      </c>
      <c r="AK584" s="705">
        <f>SUMIF('Duplicate Disposition'!$C:$C,$C584,'Duplicate Disposition'!AK:AK)</f>
        <v>0</v>
      </c>
      <c r="AL584" s="705">
        <f>SUMIF('Duplicate Disposition'!$C:$C,$C584,'Duplicate Disposition'!AL:AL)</f>
        <v>0</v>
      </c>
      <c r="AM584" s="734">
        <f t="shared" si="32"/>
        <v>163003.94999999998</v>
      </c>
      <c r="AN584" s="735">
        <f>ERP_27[[#This Row],[2026 Working Total]]-ERP_27[[#This Row],[LE2 Final Submission]]</f>
        <v>145318.84999999998</v>
      </c>
      <c r="AO584" s="705">
        <f>SUMIF('Duplicate Disposition'!$C:$C,$C584,'Duplicate Disposition'!AO:AO)</f>
        <v>0</v>
      </c>
      <c r="AP584" s="705">
        <f>SUMIF('Duplicate Disposition'!$C:$C,$C584,'Duplicate Disposition'!AP:AP)</f>
        <v>121761.53</v>
      </c>
      <c r="AQ584" s="713">
        <f>SUMIF('Duplicate Disposition'!$C:$C,$C584,'Duplicate Disposition'!AQ:AQ)</f>
        <v>145318.84999999998</v>
      </c>
      <c r="AR584" s="713">
        <f>SUMIF('Duplicate Disposition'!$C:$C,$C584,'Duplicate Disposition'!AR:AR)</f>
        <v>0</v>
      </c>
      <c r="AS584" s="713">
        <f>SUMIF('Duplicate Disposition'!$C:$C,$C584,'Duplicate Disposition'!AS:AS)</f>
        <v>145318.84999999998</v>
      </c>
      <c r="AT584" s="713">
        <f>SUMIF('Duplicate Disposition'!$C:$C,$C584,'Duplicate Disposition'!AT:AT)</f>
        <v>0</v>
      </c>
      <c r="AU584" s="705">
        <f>SUMIF('Duplicate Disposition'!$C:$C,$C584,'Duplicate Disposition'!AU:AU)</f>
        <v>6818.93</v>
      </c>
      <c r="AV584" s="705">
        <f>SUMIF('Duplicate Disposition'!$C:$C,$C584,'Duplicate Disposition'!AV:AV)</f>
        <v>9998.34</v>
      </c>
      <c r="AW584" s="705">
        <f>SUMIF('Duplicate Disposition'!$C:$C,$C584,'Duplicate Disposition'!AW:AW)</f>
        <v>867.83000000000038</v>
      </c>
      <c r="AX584" s="705">
        <f>SUMIF('Duplicate Disposition'!$C:$C,$C584,'Duplicate Disposition'!AX:AX)</f>
        <v>0</v>
      </c>
      <c r="AY584" s="705">
        <f>SUMIF('Duplicate Disposition'!$C:$C,$C584,'Duplicate Disposition'!AY:AY)</f>
        <v>0</v>
      </c>
      <c r="AZ584" s="705">
        <f>SUMIF('Duplicate Disposition'!$C:$C,$C584,'Duplicate Disposition'!AZ:AZ)</f>
        <v>0</v>
      </c>
      <c r="BA584" s="705">
        <f>SUMIF('Duplicate Disposition'!$C:$C,$C584,'Duplicate Disposition'!BA:BA)</f>
        <v>0</v>
      </c>
      <c r="BB584" s="705">
        <f>SUMIF('Duplicate Disposition'!$C:$C,$C584,'Duplicate Disposition'!BB:BB)</f>
        <v>0</v>
      </c>
      <c r="BC584" s="705">
        <f>SUMIF('Duplicate Disposition'!$C:$C,$C584,'Duplicate Disposition'!BC:BC)</f>
        <v>0</v>
      </c>
      <c r="BD584" s="705">
        <f>SUMIF('Duplicate Disposition'!$C:$C,$C584,'Duplicate Disposition'!BD:BD)</f>
        <v>0</v>
      </c>
      <c r="BE584" s="705">
        <f>SUMIF('Duplicate Disposition'!$C:$C,$C584,'Duplicate Disposition'!BE:BE)</f>
        <v>0</v>
      </c>
      <c r="BF584" s="705">
        <f>SUMIF('Duplicate Disposition'!$C:$C,$C584,'Duplicate Disposition'!BF:BF)</f>
        <v>0</v>
      </c>
      <c r="BG584" s="705">
        <f>SUMIF('Duplicate Disposition'!$C:$C,$C584,'Duplicate Disposition'!BG:BG)</f>
        <v>17685.099999999999</v>
      </c>
      <c r="BH584" s="705">
        <f>SUMIF('Duplicate Disposition'!$C:$C,$C584,'Duplicate Disposition'!BH:BH)</f>
        <v>6818.93</v>
      </c>
      <c r="BI584" s="705">
        <f>SUMIF('Duplicate Disposition'!$C:$C,$C584,'Duplicate Disposition'!BI:BI)</f>
        <v>9998.34</v>
      </c>
      <c r="BJ584" s="705">
        <f>SUMIF('Duplicate Disposition'!$C:$C,$C584,'Duplicate Disposition'!BJ:BJ)</f>
        <v>867.83000000000038</v>
      </c>
      <c r="BK584" s="705">
        <f>SUMIF('Duplicate Disposition'!$C:$C,$C584,'Duplicate Disposition'!BK:BK)</f>
        <v>0</v>
      </c>
      <c r="BL584" s="705">
        <f>SUMIF('Duplicate Disposition'!$C:$C,$C584,'Duplicate Disposition'!BL:BL)</f>
        <v>0</v>
      </c>
      <c r="BM584" s="705">
        <f>SUMIF('Duplicate Disposition'!$C:$C,$C584,'Duplicate Disposition'!BM:BM)</f>
        <v>0</v>
      </c>
      <c r="BN584" s="705">
        <f>SUMIF('Duplicate Disposition'!$C:$C,$C584,'Duplicate Disposition'!BN:BN)</f>
        <v>0</v>
      </c>
      <c r="BO584" s="705">
        <f>SUMIF('Duplicate Disposition'!$C:$C,$C584,'Duplicate Disposition'!BO:BO)</f>
        <v>0</v>
      </c>
      <c r="BP584" s="705">
        <f>SUMIF('Duplicate Disposition'!$C:$C,$C584,'Duplicate Disposition'!BP:BP)</f>
        <v>0</v>
      </c>
      <c r="BQ584" s="705">
        <f>SUMIF('Duplicate Disposition'!$C:$C,$C584,'Duplicate Disposition'!BQ:BQ)</f>
        <v>0</v>
      </c>
      <c r="BR584" s="705">
        <f>SUMIF('Duplicate Disposition'!$C:$C,$C584,'Duplicate Disposition'!BR:BR)</f>
        <v>0</v>
      </c>
      <c r="BS584" s="705">
        <f>SUMIF('Duplicate Disposition'!$C:$C,$C584,'Duplicate Disposition'!BS:BS)</f>
        <v>0</v>
      </c>
      <c r="BT584" s="705">
        <f>SUMIF('Duplicate Disposition'!$C:$C,$C584,'Duplicate Disposition'!BT:BT)</f>
        <v>17685.099999999999</v>
      </c>
    </row>
    <row r="585" spans="1:72" ht="15" hidden="1" customHeight="1">
      <c r="A585" s="66" t="s">
        <v>2290</v>
      </c>
      <c r="B585" s="752" t="s">
        <v>2944</v>
      </c>
      <c r="C585" s="66" t="s">
        <v>678</v>
      </c>
      <c r="D585" s="66" t="s">
        <v>678</v>
      </c>
      <c r="E585" s="513" t="s">
        <v>1136</v>
      </c>
      <c r="F585" s="726" t="s">
        <v>1566</v>
      </c>
      <c r="G585" s="513" t="s">
        <v>1135</v>
      </c>
      <c r="H585" s="513" t="s">
        <v>1135</v>
      </c>
      <c r="I585" s="513" t="s">
        <v>1135</v>
      </c>
      <c r="J585" s="513" t="s">
        <v>1135</v>
      </c>
      <c r="K585" s="513" t="s">
        <v>1137</v>
      </c>
      <c r="L585" s="511" t="s">
        <v>639</v>
      </c>
      <c r="M585" s="753" t="s">
        <v>2291</v>
      </c>
      <c r="N585" s="729"/>
      <c r="O585" s="729"/>
      <c r="P585" s="736" t="s">
        <v>679</v>
      </c>
      <c r="Q585" s="737" t="s">
        <v>1153</v>
      </c>
      <c r="R585" s="737" t="s">
        <v>1140</v>
      </c>
      <c r="S585" s="737"/>
      <c r="T585" s="513" t="s">
        <v>680</v>
      </c>
      <c r="U585" s="513"/>
      <c r="V585" s="755"/>
      <c r="W585" s="756">
        <f>SUMIF('Duplicate Disposition'!$C:$C,$C585,'Duplicate Disposition'!W:W)</f>
        <v>192370</v>
      </c>
      <c r="X585" s="757">
        <f>SUMIF('Duplicate Disposition'!$C:$C,$C585,'Duplicate Disposition'!X:X)</f>
        <v>179474.74</v>
      </c>
      <c r="Y585" s="723">
        <f>SUMIF('Duplicate Disposition'!$C:$C,$C585,'Duplicate Disposition'!Y:Y)</f>
        <v>0</v>
      </c>
      <c r="Z585" s="723">
        <f>SUMIF('Duplicate Disposition'!$C:$C,$C585,'Duplicate Disposition'!Z:Z)</f>
        <v>0</v>
      </c>
      <c r="AA585" s="723">
        <f>SUMIF('Duplicate Disposition'!$C:$C,$C585,'Duplicate Disposition'!AA:AA)</f>
        <v>11803.02</v>
      </c>
      <c r="AB585" s="723">
        <f>SUMIF('Duplicate Disposition'!$C:$C,$C585,'Duplicate Disposition'!AB:AB)</f>
        <v>14654</v>
      </c>
      <c r="AC585" s="723">
        <f>SUMIF('Duplicate Disposition'!$C:$C,$C585,'Duplicate Disposition'!AC:AC)</f>
        <v>8647.7199999999993</v>
      </c>
      <c r="AD585" s="723">
        <f>SUMIF('Duplicate Disposition'!$C:$C,$C585,'Duplicate Disposition'!AD:AD)</f>
        <v>17295.599999999999</v>
      </c>
      <c r="AE585" s="723">
        <f>SUMIF('Duplicate Disposition'!$C:$C,$C585,'Duplicate Disposition'!AE:AE)</f>
        <v>14791.91</v>
      </c>
      <c r="AF585" s="723">
        <f>SUMIF('Duplicate Disposition'!$C:$C,$C585,'Duplicate Disposition'!AF:AF)</f>
        <v>15333.83</v>
      </c>
      <c r="AG585" s="723">
        <f>SUMIF('Duplicate Disposition'!$C:$C,$C585,'Duplicate Disposition'!AG:AG)</f>
        <v>16500</v>
      </c>
      <c r="AH585" s="723">
        <f>SUMIF('Duplicate Disposition'!$C:$C,$C585,'Duplicate Disposition'!AH:AH)</f>
        <v>16500</v>
      </c>
      <c r="AI585" s="723">
        <f>SUMIF('Duplicate Disposition'!$C:$C,$C585,'Duplicate Disposition'!AI:AI)</f>
        <v>16500</v>
      </c>
      <c r="AJ585" s="723">
        <f>SUMIF('Duplicate Disposition'!$C:$C,$C585,'Duplicate Disposition'!AJ:AJ)</f>
        <v>16485</v>
      </c>
      <c r="AK585" s="723">
        <f>SUMIF('Duplicate Disposition'!$C:$C,$C585,'Duplicate Disposition'!AK:AK)</f>
        <v>16000</v>
      </c>
      <c r="AL585" s="723">
        <f>SUMIF('Duplicate Disposition'!$C:$C,$C585,'Duplicate Disposition'!AL:AL)</f>
        <v>16000</v>
      </c>
      <c r="AM585" s="758">
        <f t="shared" si="32"/>
        <v>180511.08000000002</v>
      </c>
      <c r="AN585" s="759">
        <f>ERP_27[[#This Row],[2026 Working Total]]-ERP_27[[#This Row],[LE2 Final Submission]]</f>
        <v>1036.3400000000256</v>
      </c>
      <c r="AO585" s="723">
        <f>SUMIF('Duplicate Disposition'!$C:$C,$C585,'Duplicate Disposition'!AO:AO)</f>
        <v>16000</v>
      </c>
      <c r="AP585" s="723">
        <f>SUMIF('Duplicate Disposition'!$C:$C,$C585,'Duplicate Disposition'!AP:AP)</f>
        <v>-666.17000000000007</v>
      </c>
      <c r="AQ585" s="760">
        <f>SUMIF('Duplicate Disposition'!$C:$C,$C585,'Duplicate Disposition'!AQ:AQ)</f>
        <v>-948.65999999999985</v>
      </c>
      <c r="AR585" s="760">
        <f>SUMIF('Duplicate Disposition'!$C:$C,$C585,'Duplicate Disposition'!AR:AR)</f>
        <v>0</v>
      </c>
      <c r="AS585" s="760">
        <f>SUMIF('Duplicate Disposition'!$C:$C,$C585,'Duplicate Disposition'!AS:AS)</f>
        <v>1036.340000000002</v>
      </c>
      <c r="AT585" s="760">
        <f>SUMIF('Duplicate Disposition'!$C:$C,$C585,'Duplicate Disposition'!AT:AT)</f>
        <v>0</v>
      </c>
      <c r="AU585" s="723">
        <f>SUMIF('Duplicate Disposition'!$C:$C,$C585,'Duplicate Disposition'!AU:AU)</f>
        <v>11803.02</v>
      </c>
      <c r="AV585" s="723">
        <f>SUMIF('Duplicate Disposition'!$C:$C,$C585,'Duplicate Disposition'!AV:AV)</f>
        <v>14654</v>
      </c>
      <c r="AW585" s="723">
        <f>SUMIF('Duplicate Disposition'!$C:$C,$C585,'Duplicate Disposition'!AW:AW)</f>
        <v>8647.7199999999993</v>
      </c>
      <c r="AX585" s="723">
        <f>SUMIF('Duplicate Disposition'!$C:$C,$C585,'Duplicate Disposition'!AX:AX)</f>
        <v>16370</v>
      </c>
      <c r="AY585" s="723">
        <f>SUMIF('Duplicate Disposition'!$C:$C,$C585,'Duplicate Disposition'!AY:AY)</f>
        <v>16000</v>
      </c>
      <c r="AZ585" s="723">
        <f>SUMIF('Duplicate Disposition'!$C:$C,$C585,'Duplicate Disposition'!AZ:AZ)</f>
        <v>16000</v>
      </c>
      <c r="BA585" s="723">
        <f>SUMIF('Duplicate Disposition'!$C:$C,$C585,'Duplicate Disposition'!BA:BA)</f>
        <v>16000</v>
      </c>
      <c r="BB585" s="723">
        <f>SUMIF('Duplicate Disposition'!$C:$C,$C585,'Duplicate Disposition'!BB:BB)</f>
        <v>16000</v>
      </c>
      <c r="BC585" s="723">
        <f>SUMIF('Duplicate Disposition'!$C:$C,$C585,'Duplicate Disposition'!BC:BC)</f>
        <v>16000</v>
      </c>
      <c r="BD585" s="723">
        <f>SUMIF('Duplicate Disposition'!$C:$C,$C585,'Duplicate Disposition'!BD:BD)</f>
        <v>16000</v>
      </c>
      <c r="BE585" s="723">
        <f>SUMIF('Duplicate Disposition'!$C:$C,$C585,'Duplicate Disposition'!BE:BE)</f>
        <v>16000</v>
      </c>
      <c r="BF585" s="723">
        <f>SUMIF('Duplicate Disposition'!$C:$C,$C585,'Duplicate Disposition'!BF:BF)</f>
        <v>16000</v>
      </c>
      <c r="BG585" s="723">
        <f>SUMIF('Duplicate Disposition'!$C:$C,$C585,'Duplicate Disposition'!BG:BG)</f>
        <v>179474.74</v>
      </c>
      <c r="BH585" s="723">
        <f>SUMIF('Duplicate Disposition'!$C:$C,$C585,'Duplicate Disposition'!BH:BH)</f>
        <v>11803.02</v>
      </c>
      <c r="BI585" s="723">
        <f>SUMIF('Duplicate Disposition'!$C:$C,$C585,'Duplicate Disposition'!BI:BI)</f>
        <v>14654</v>
      </c>
      <c r="BJ585" s="723">
        <f>SUMIF('Duplicate Disposition'!$C:$C,$C585,'Duplicate Disposition'!BJ:BJ)</f>
        <v>8647.7199999999993</v>
      </c>
      <c r="BK585" s="723">
        <f>SUMIF('Duplicate Disposition'!$C:$C,$C585,'Duplicate Disposition'!BK:BK)</f>
        <v>16370</v>
      </c>
      <c r="BL585" s="723">
        <f>SUMIF('Duplicate Disposition'!$C:$C,$C585,'Duplicate Disposition'!BL:BL)</f>
        <v>16000</v>
      </c>
      <c r="BM585" s="723">
        <f>SUMIF('Duplicate Disposition'!$C:$C,$C585,'Duplicate Disposition'!BM:BM)</f>
        <v>16000</v>
      </c>
      <c r="BN585" s="723">
        <f>SUMIF('Duplicate Disposition'!$C:$C,$C585,'Duplicate Disposition'!BN:BN)</f>
        <v>16000</v>
      </c>
      <c r="BO585" s="723">
        <f>SUMIF('Duplicate Disposition'!$C:$C,$C585,'Duplicate Disposition'!BO:BO)</f>
        <v>16000</v>
      </c>
      <c r="BP585" s="723">
        <f>SUMIF('Duplicate Disposition'!$C:$C,$C585,'Duplicate Disposition'!BP:BP)</f>
        <v>16000</v>
      </c>
      <c r="BQ585" s="723">
        <f>SUMIF('Duplicate Disposition'!$C:$C,$C585,'Duplicate Disposition'!BQ:BQ)</f>
        <v>16000</v>
      </c>
      <c r="BR585" s="723">
        <f>SUMIF('Duplicate Disposition'!$C:$C,$C585,'Duplicate Disposition'!BR:BR)</f>
        <v>16000</v>
      </c>
      <c r="BS585" s="723">
        <f>SUMIF('Duplicate Disposition'!$C:$C,$C585,'Duplicate Disposition'!BS:BS)</f>
        <v>16000</v>
      </c>
      <c r="BT585" s="723">
        <f>SUMIF('Duplicate Disposition'!$C:$C,$C585,'Duplicate Disposition'!BT:BT)</f>
        <v>179474.74</v>
      </c>
    </row>
    <row r="586" spans="1:72" ht="15" hidden="1" customHeight="1">
      <c r="A586" s="66" t="s">
        <v>2470</v>
      </c>
      <c r="B586" s="752" t="s">
        <v>2944</v>
      </c>
      <c r="C586" s="66" t="s">
        <v>816</v>
      </c>
      <c r="D586" s="66" t="s">
        <v>816</v>
      </c>
      <c r="E586" s="513" t="s">
        <v>1136</v>
      </c>
      <c r="F586" s="726" t="s">
        <v>1566</v>
      </c>
      <c r="G586" s="513" t="s">
        <v>1135</v>
      </c>
      <c r="H586" s="513" t="s">
        <v>1135</v>
      </c>
      <c r="I586" s="513" t="s">
        <v>1135</v>
      </c>
      <c r="J586" s="513" t="s">
        <v>1135</v>
      </c>
      <c r="K586" s="513" t="s">
        <v>1137</v>
      </c>
      <c r="L586" s="511" t="s">
        <v>639</v>
      </c>
      <c r="M586" s="753" t="s">
        <v>818</v>
      </c>
      <c r="N586" s="729"/>
      <c r="O586" s="729"/>
      <c r="P586" s="736" t="s">
        <v>817</v>
      </c>
      <c r="Q586" s="737"/>
      <c r="R586" s="737" t="s">
        <v>1140</v>
      </c>
      <c r="S586" s="737"/>
      <c r="T586" s="513" t="s">
        <v>818</v>
      </c>
      <c r="U586" s="513"/>
      <c r="V586" s="755"/>
      <c r="W586" s="756">
        <f>SUMIF('Duplicate Disposition'!$C:$C,$C586,'Duplicate Disposition'!W:W)</f>
        <v>193223.24</v>
      </c>
      <c r="X586" s="757">
        <f>SUMIF('Duplicate Disposition'!$C:$C,$C586,'Duplicate Disposition'!X:X)</f>
        <v>224772.16999999998</v>
      </c>
      <c r="Y586" s="723">
        <f>SUMIF('Duplicate Disposition'!$C:$C,$C586,'Duplicate Disposition'!Y:Y)</f>
        <v>0</v>
      </c>
      <c r="Z586" s="723">
        <f>SUMIF('Duplicate Disposition'!$C:$C,$C586,'Duplicate Disposition'!Z:Z)</f>
        <v>0</v>
      </c>
      <c r="AA586" s="723">
        <f>SUMIF('Duplicate Disposition'!$C:$C,$C586,'Duplicate Disposition'!AA:AA)</f>
        <v>0</v>
      </c>
      <c r="AB586" s="723">
        <f>SUMIF('Duplicate Disposition'!$C:$C,$C586,'Duplicate Disposition'!AB:AB)</f>
        <v>0</v>
      </c>
      <c r="AC586" s="723">
        <f>SUMIF('Duplicate Disposition'!$C:$C,$C586,'Duplicate Disposition'!AC:AC)</f>
        <v>82300.740000000005</v>
      </c>
      <c r="AD586" s="723">
        <f>SUMIF('Duplicate Disposition'!$C:$C,$C586,'Duplicate Disposition'!AD:AD)</f>
        <v>0</v>
      </c>
      <c r="AE586" s="723">
        <f>SUMIF('Duplicate Disposition'!$C:$C,$C586,'Duplicate Disposition'!AE:AE)</f>
        <v>0</v>
      </c>
      <c r="AF586" s="723">
        <f>SUMIF('Duplicate Disposition'!$C:$C,$C586,'Duplicate Disposition'!AF:AF)</f>
        <v>64145.279999999992</v>
      </c>
      <c r="AG586" s="723">
        <f>SUMIF('Duplicate Disposition'!$C:$C,$C586,'Duplicate Disposition'!AG:AG)</f>
        <v>0</v>
      </c>
      <c r="AH586" s="723">
        <f>SUMIF('Duplicate Disposition'!$C:$C,$C586,'Duplicate Disposition'!AH:AH)</f>
        <v>0</v>
      </c>
      <c r="AI586" s="723">
        <f>SUMIF('Duplicate Disposition'!$C:$C,$C586,'Duplicate Disposition'!AI:AI)</f>
        <v>58455.81</v>
      </c>
      <c r="AJ586" s="723">
        <f>SUMIF('Duplicate Disposition'!$C:$C,$C586,'Duplicate Disposition'!AJ:AJ)</f>
        <v>0</v>
      </c>
      <c r="AK586" s="723">
        <f>SUMIF('Duplicate Disposition'!$C:$C,$C586,'Duplicate Disposition'!AK:AK)</f>
        <v>22959.81</v>
      </c>
      <c r="AL586" s="723">
        <f>SUMIF('Duplicate Disposition'!$C:$C,$C586,'Duplicate Disposition'!AL:AL)</f>
        <v>0</v>
      </c>
      <c r="AM586" s="758">
        <f t="shared" si="32"/>
        <v>227861.63999999998</v>
      </c>
      <c r="AN586" s="759">
        <f>ERP_27[[#This Row],[2026 Working Total]]-ERP_27[[#This Row],[LE2 Final Submission]]</f>
        <v>3089.4700000000012</v>
      </c>
      <c r="AO586" s="723">
        <f>SUMIF('Duplicate Disposition'!$C:$C,$C586,'Duplicate Disposition'!AO:AO)</f>
        <v>0</v>
      </c>
      <c r="AP586" s="723">
        <f>SUMIF('Duplicate Disposition'!$C:$C,$C586,'Duplicate Disposition'!AP:AP)</f>
        <v>64145.279999999992</v>
      </c>
      <c r="AQ586" s="760">
        <f>SUMIF('Duplicate Disposition'!$C:$C,$C586,'Duplicate Disposition'!AQ:AQ)</f>
        <v>3089.4699999999948</v>
      </c>
      <c r="AR586" s="760">
        <f>SUMIF('Duplicate Disposition'!$C:$C,$C586,'Duplicate Disposition'!AR:AR)</f>
        <v>0</v>
      </c>
      <c r="AS586" s="760">
        <f>SUMIF('Duplicate Disposition'!$C:$C,$C586,'Duplicate Disposition'!AS:AS)</f>
        <v>3089.469999999993</v>
      </c>
      <c r="AT586" s="760">
        <f>SUMIF('Duplicate Disposition'!$C:$C,$C586,'Duplicate Disposition'!AT:AT)</f>
        <v>0</v>
      </c>
      <c r="AU586" s="723">
        <f>SUMIF('Duplicate Disposition'!$C:$C,$C586,'Duplicate Disposition'!AU:AU)</f>
        <v>0</v>
      </c>
      <c r="AV586" s="723">
        <f>SUMIF('Duplicate Disposition'!$C:$C,$C586,'Duplicate Disposition'!AV:AV)</f>
        <v>0</v>
      </c>
      <c r="AW586" s="723">
        <f>SUMIF('Duplicate Disposition'!$C:$C,$C586,'Duplicate Disposition'!AW:AW)</f>
        <v>82300.740000000005</v>
      </c>
      <c r="AX586" s="723">
        <f>SUMIF('Duplicate Disposition'!$C:$C,$C586,'Duplicate Disposition'!AX:AX)</f>
        <v>2600</v>
      </c>
      <c r="AY586" s="723">
        <f>SUMIF('Duplicate Disposition'!$C:$C,$C586,'Duplicate Disposition'!AY:AY)</f>
        <v>0</v>
      </c>
      <c r="AZ586" s="723">
        <f>SUMIF('Duplicate Disposition'!$C:$C,$C586,'Duplicate Disposition'!AZ:AZ)</f>
        <v>58455.81</v>
      </c>
      <c r="BA586" s="723">
        <f>SUMIF('Duplicate Disposition'!$C:$C,$C586,'Duplicate Disposition'!BA:BA)</f>
        <v>0</v>
      </c>
      <c r="BB586" s="723">
        <f>SUMIF('Duplicate Disposition'!$C:$C,$C586,'Duplicate Disposition'!BB:BB)</f>
        <v>0</v>
      </c>
      <c r="BC586" s="723">
        <f>SUMIF('Duplicate Disposition'!$C:$C,$C586,'Duplicate Disposition'!BC:BC)</f>
        <v>58455.81</v>
      </c>
      <c r="BD586" s="723">
        <f>SUMIF('Duplicate Disposition'!$C:$C,$C586,'Duplicate Disposition'!BD:BD)</f>
        <v>0</v>
      </c>
      <c r="BE586" s="723">
        <f>SUMIF('Duplicate Disposition'!$C:$C,$C586,'Duplicate Disposition'!BE:BE)</f>
        <v>22959.81</v>
      </c>
      <c r="BF586" s="723">
        <f>SUMIF('Duplicate Disposition'!$C:$C,$C586,'Duplicate Disposition'!BF:BF)</f>
        <v>0</v>
      </c>
      <c r="BG586" s="723">
        <f>SUMIF('Duplicate Disposition'!$C:$C,$C586,'Duplicate Disposition'!BG:BG)</f>
        <v>224772.16999999998</v>
      </c>
      <c r="BH586" s="723">
        <f>SUMIF('Duplicate Disposition'!$C:$C,$C586,'Duplicate Disposition'!BH:BH)</f>
        <v>0</v>
      </c>
      <c r="BI586" s="723">
        <f>SUMIF('Duplicate Disposition'!$C:$C,$C586,'Duplicate Disposition'!BI:BI)</f>
        <v>0</v>
      </c>
      <c r="BJ586" s="723">
        <f>SUMIF('Duplicate Disposition'!$C:$C,$C586,'Duplicate Disposition'!BJ:BJ)</f>
        <v>82300.740000000005</v>
      </c>
      <c r="BK586" s="723">
        <f>SUMIF('Duplicate Disposition'!$C:$C,$C586,'Duplicate Disposition'!BK:BK)</f>
        <v>3000</v>
      </c>
      <c r="BL586" s="723">
        <f>SUMIF('Duplicate Disposition'!$C:$C,$C586,'Duplicate Disposition'!BL:BL)</f>
        <v>0</v>
      </c>
      <c r="BM586" s="723">
        <f>SUMIF('Duplicate Disposition'!$C:$C,$C586,'Duplicate Disposition'!BM:BM)</f>
        <v>56429.81</v>
      </c>
      <c r="BN586" s="723">
        <f>SUMIF('Duplicate Disposition'!$C:$C,$C586,'Duplicate Disposition'!BN:BN)</f>
        <v>0</v>
      </c>
      <c r="BO586" s="723">
        <f>SUMIF('Duplicate Disposition'!$C:$C,$C586,'Duplicate Disposition'!BO:BO)</f>
        <v>0</v>
      </c>
      <c r="BP586" s="723">
        <f>SUMIF('Duplicate Disposition'!$C:$C,$C586,'Duplicate Disposition'!BP:BP)</f>
        <v>56429.81</v>
      </c>
      <c r="BQ586" s="723">
        <f>SUMIF('Duplicate Disposition'!$C:$C,$C586,'Duplicate Disposition'!BQ:BQ)</f>
        <v>0</v>
      </c>
      <c r="BR586" s="723">
        <f>SUMIF('Duplicate Disposition'!$C:$C,$C586,'Duplicate Disposition'!BR:BR)</f>
        <v>20933.810000000001</v>
      </c>
      <c r="BS586" s="723">
        <f>SUMIF('Duplicate Disposition'!$C:$C,$C586,'Duplicate Disposition'!BS:BS)</f>
        <v>0</v>
      </c>
      <c r="BT586" s="723">
        <f>SUMIF('Duplicate Disposition'!$C:$C,$C586,'Duplicate Disposition'!BT:BT)</f>
        <v>219094.16999999998</v>
      </c>
    </row>
    <row r="587" spans="1:72" ht="15" hidden="1" customHeight="1">
      <c r="A587" s="66" t="s">
        <v>1897</v>
      </c>
      <c r="B587" s="752" t="s">
        <v>2944</v>
      </c>
      <c r="C587" s="66" t="s">
        <v>464</v>
      </c>
      <c r="D587" s="66" t="s">
        <v>1898</v>
      </c>
      <c r="E587" s="513" t="s">
        <v>1136</v>
      </c>
      <c r="F587" s="726" t="s">
        <v>1566</v>
      </c>
      <c r="G587" s="513" t="s">
        <v>1135</v>
      </c>
      <c r="H587" s="513" t="s">
        <v>1145</v>
      </c>
      <c r="I587" s="513" t="s">
        <v>1135</v>
      </c>
      <c r="J587" s="513" t="s">
        <v>1145</v>
      </c>
      <c r="K587" s="513" t="s">
        <v>1137</v>
      </c>
      <c r="L587" s="511" t="s">
        <v>389</v>
      </c>
      <c r="M587" s="753" t="s">
        <v>1703</v>
      </c>
      <c r="N587" s="729"/>
      <c r="O587" s="729"/>
      <c r="P587" s="736" t="s">
        <v>365</v>
      </c>
      <c r="Q587" s="737"/>
      <c r="R587" s="737" t="s">
        <v>1140</v>
      </c>
      <c r="S587" s="737"/>
      <c r="T587" s="513" t="s">
        <v>57</v>
      </c>
      <c r="U587" s="513"/>
      <c r="V587" s="755"/>
      <c r="W587" s="756">
        <f>SUMIF('Duplicate Disposition'!$C:$C,$C587,'Duplicate Disposition'!W:W)</f>
        <v>255300</v>
      </c>
      <c r="X587" s="757">
        <f>SUMIF('Duplicate Disposition'!$C:$C,$C587,'Duplicate Disposition'!X:X)</f>
        <v>257370.57</v>
      </c>
      <c r="Y587" s="723">
        <f>SUMIF('Duplicate Disposition'!$C:$C,$C587,'Duplicate Disposition'!Y:Y)</f>
        <v>0</v>
      </c>
      <c r="Z587" s="723">
        <f>SUMIF('Duplicate Disposition'!$C:$C,$C587,'Duplicate Disposition'!Z:Z)</f>
        <v>0</v>
      </c>
      <c r="AA587" s="723">
        <f>SUMIF('Duplicate Disposition'!$C:$C,$C587,'Duplicate Disposition'!AA:AA)</f>
        <v>23286.5</v>
      </c>
      <c r="AB587" s="723">
        <f>SUMIF('Duplicate Disposition'!$C:$C,$C587,'Duplicate Disposition'!AB:AB)</f>
        <v>25426.2</v>
      </c>
      <c r="AC587" s="723">
        <f>SUMIF('Duplicate Disposition'!$C:$C,$C587,'Duplicate Disposition'!AC:AC)</f>
        <v>18157.87</v>
      </c>
      <c r="AD587" s="723">
        <f>SUMIF('Duplicate Disposition'!$C:$C,$C587,'Duplicate Disposition'!AD:AD)</f>
        <v>23329.35</v>
      </c>
      <c r="AE587" s="723">
        <f>SUMIF('Duplicate Disposition'!$C:$C,$C587,'Duplicate Disposition'!AE:AE)</f>
        <v>16915</v>
      </c>
      <c r="AF587" s="723">
        <f>SUMIF('Duplicate Disposition'!$C:$C,$C587,'Duplicate Disposition'!AF:AF)</f>
        <v>43022.400000000001</v>
      </c>
      <c r="AG587" s="723">
        <f>SUMIF('Duplicate Disposition'!$C:$C,$C587,'Duplicate Disposition'!AG:AG)</f>
        <v>20300</v>
      </c>
      <c r="AH587" s="723">
        <f>SUMIF('Duplicate Disposition'!$C:$C,$C587,'Duplicate Disposition'!AH:AH)</f>
        <v>20300</v>
      </c>
      <c r="AI587" s="723">
        <f>SUMIF('Duplicate Disposition'!$C:$C,$C587,'Duplicate Disposition'!AI:AI)</f>
        <v>20000</v>
      </c>
      <c r="AJ587" s="723">
        <f>SUMIF('Duplicate Disposition'!$C:$C,$C587,'Duplicate Disposition'!AJ:AJ)</f>
        <v>20000</v>
      </c>
      <c r="AK587" s="723">
        <f>SUMIF('Duplicate Disposition'!$C:$C,$C587,'Duplicate Disposition'!AK:AK)</f>
        <v>20000</v>
      </c>
      <c r="AL587" s="723">
        <f>SUMIF('Duplicate Disposition'!$C:$C,$C587,'Duplicate Disposition'!AL:AL)</f>
        <v>20000</v>
      </c>
      <c r="AM587" s="758">
        <f t="shared" si="32"/>
        <v>270737.31999999995</v>
      </c>
      <c r="AN587" s="759">
        <f>ERP_27[[#This Row],[2026 Working Total]]-ERP_27[[#This Row],[LE2 Final Submission]]</f>
        <v>13366.749999999942</v>
      </c>
      <c r="AO587" s="723">
        <f>SUMIF('Duplicate Disposition'!$C:$C,$C587,'Duplicate Disposition'!AO:AO)</f>
        <v>21300</v>
      </c>
      <c r="AP587" s="723">
        <f>SUMIF('Duplicate Disposition'!$C:$C,$C587,'Duplicate Disposition'!AP:AP)</f>
        <v>21722.400000000001</v>
      </c>
      <c r="AQ587" s="760">
        <f>SUMIF('Duplicate Disposition'!$C:$C,$C587,'Duplicate Disposition'!AQ:AQ)</f>
        <v>19366.749999999993</v>
      </c>
      <c r="AR587" s="760">
        <f>SUMIF('Duplicate Disposition'!$C:$C,$C587,'Duplicate Disposition'!AR:AR)</f>
        <v>0</v>
      </c>
      <c r="AS587" s="760">
        <f>SUMIF('Duplicate Disposition'!$C:$C,$C587,'Duplicate Disposition'!AS:AS)</f>
        <v>13366.750000000005</v>
      </c>
      <c r="AT587" s="760">
        <f>SUMIF('Duplicate Disposition'!$C:$C,$C587,'Duplicate Disposition'!AT:AT)</f>
        <v>0</v>
      </c>
      <c r="AU587" s="723">
        <f>SUMIF('Duplicate Disposition'!$C:$C,$C587,'Duplicate Disposition'!AU:AU)</f>
        <v>23286.5</v>
      </c>
      <c r="AV587" s="723">
        <f>SUMIF('Duplicate Disposition'!$C:$C,$C587,'Duplicate Disposition'!AV:AV)</f>
        <v>25426.2</v>
      </c>
      <c r="AW587" s="723">
        <f>SUMIF('Duplicate Disposition'!$C:$C,$C587,'Duplicate Disposition'!AW:AW)</f>
        <v>18157.87</v>
      </c>
      <c r="AX587" s="723">
        <f>SUMIF('Duplicate Disposition'!$C:$C,$C587,'Duplicate Disposition'!AX:AX)</f>
        <v>21300</v>
      </c>
      <c r="AY587" s="723">
        <f>SUMIF('Duplicate Disposition'!$C:$C,$C587,'Duplicate Disposition'!AY:AY)</f>
        <v>21300</v>
      </c>
      <c r="AZ587" s="723">
        <f>SUMIF('Duplicate Disposition'!$C:$C,$C587,'Duplicate Disposition'!AZ:AZ)</f>
        <v>21300</v>
      </c>
      <c r="BA587" s="723">
        <f>SUMIF('Duplicate Disposition'!$C:$C,$C587,'Duplicate Disposition'!BA:BA)</f>
        <v>21300</v>
      </c>
      <c r="BB587" s="723">
        <f>SUMIF('Duplicate Disposition'!$C:$C,$C587,'Duplicate Disposition'!BB:BB)</f>
        <v>21300</v>
      </c>
      <c r="BC587" s="723">
        <f>SUMIF('Duplicate Disposition'!$C:$C,$C587,'Duplicate Disposition'!BC:BC)</f>
        <v>21000</v>
      </c>
      <c r="BD587" s="723">
        <f>SUMIF('Duplicate Disposition'!$C:$C,$C587,'Duplicate Disposition'!BD:BD)</f>
        <v>21000</v>
      </c>
      <c r="BE587" s="723">
        <f>SUMIF('Duplicate Disposition'!$C:$C,$C587,'Duplicate Disposition'!BE:BE)</f>
        <v>21000</v>
      </c>
      <c r="BF587" s="723">
        <f>SUMIF('Duplicate Disposition'!$C:$C,$C587,'Duplicate Disposition'!BF:BF)</f>
        <v>21000</v>
      </c>
      <c r="BG587" s="723">
        <f>SUMIF('Duplicate Disposition'!$C:$C,$C587,'Duplicate Disposition'!BG:BG)</f>
        <v>257370.57</v>
      </c>
      <c r="BH587" s="723">
        <f>SUMIF('Duplicate Disposition'!$C:$C,$C587,'Duplicate Disposition'!BH:BH)</f>
        <v>23286.5</v>
      </c>
      <c r="BI587" s="723">
        <f>SUMIF('Duplicate Disposition'!$C:$C,$C587,'Duplicate Disposition'!BI:BI)</f>
        <v>25426.2</v>
      </c>
      <c r="BJ587" s="723">
        <f>SUMIF('Duplicate Disposition'!$C:$C,$C587,'Duplicate Disposition'!BJ:BJ)</f>
        <v>18157.87</v>
      </c>
      <c r="BK587" s="723">
        <f>SUMIF('Duplicate Disposition'!$C:$C,$C587,'Duplicate Disposition'!BK:BK)</f>
        <v>21300</v>
      </c>
      <c r="BL587" s="723">
        <f>SUMIF('Duplicate Disposition'!$C:$C,$C587,'Duplicate Disposition'!BL:BL)</f>
        <v>21300</v>
      </c>
      <c r="BM587" s="723">
        <f>SUMIF('Duplicate Disposition'!$C:$C,$C587,'Duplicate Disposition'!BM:BM)</f>
        <v>21300</v>
      </c>
      <c r="BN587" s="723">
        <f>SUMIF('Duplicate Disposition'!$C:$C,$C587,'Duplicate Disposition'!BN:BN)</f>
        <v>21300</v>
      </c>
      <c r="BO587" s="723">
        <f>SUMIF('Duplicate Disposition'!$C:$C,$C587,'Duplicate Disposition'!BO:BO)</f>
        <v>21300</v>
      </c>
      <c r="BP587" s="723">
        <f>SUMIF('Duplicate Disposition'!$C:$C,$C587,'Duplicate Disposition'!BP:BP)</f>
        <v>21000</v>
      </c>
      <c r="BQ587" s="723">
        <f>SUMIF('Duplicate Disposition'!$C:$C,$C587,'Duplicate Disposition'!BQ:BQ)</f>
        <v>21000</v>
      </c>
      <c r="BR587" s="723">
        <f>SUMIF('Duplicate Disposition'!$C:$C,$C587,'Duplicate Disposition'!BR:BR)</f>
        <v>21000</v>
      </c>
      <c r="BS587" s="723">
        <f>SUMIF('Duplicate Disposition'!$C:$C,$C587,'Duplicate Disposition'!BS:BS)</f>
        <v>21000</v>
      </c>
      <c r="BT587" s="723">
        <f>SUMIF('Duplicate Disposition'!$C:$C,$C587,'Duplicate Disposition'!BT:BT)</f>
        <v>257370.57</v>
      </c>
    </row>
    <row r="588" spans="1:72" ht="15" hidden="1" customHeight="1">
      <c r="A588" s="66" t="s">
        <v>1901</v>
      </c>
      <c r="B588" s="752" t="s">
        <v>2944</v>
      </c>
      <c r="C588" s="66" t="s">
        <v>465</v>
      </c>
      <c r="D588" s="66" t="s">
        <v>465</v>
      </c>
      <c r="E588" s="513" t="s">
        <v>1136</v>
      </c>
      <c r="F588" s="726" t="s">
        <v>1566</v>
      </c>
      <c r="G588" s="513" t="s">
        <v>1135</v>
      </c>
      <c r="H588" s="513" t="s">
        <v>1135</v>
      </c>
      <c r="I588" s="513" t="s">
        <v>1135</v>
      </c>
      <c r="J588" s="513" t="s">
        <v>1135</v>
      </c>
      <c r="K588" s="513" t="s">
        <v>1137</v>
      </c>
      <c r="L588" s="511" t="s">
        <v>389</v>
      </c>
      <c r="M588" s="753" t="s">
        <v>1855</v>
      </c>
      <c r="N588" s="729"/>
      <c r="O588" s="729"/>
      <c r="P588" s="736" t="s">
        <v>466</v>
      </c>
      <c r="Q588" s="737"/>
      <c r="R588" s="737" t="s">
        <v>1140</v>
      </c>
      <c r="S588" s="737"/>
      <c r="T588" s="513" t="s">
        <v>57</v>
      </c>
      <c r="U588" s="513"/>
      <c r="V588" s="755"/>
      <c r="W588" s="756">
        <f>SUMIF('Duplicate Disposition'!$C:$C,$C588,'Duplicate Disposition'!W:W)</f>
        <v>282000</v>
      </c>
      <c r="X588" s="757">
        <f>SUMIF('Duplicate Disposition'!$C:$C,$C588,'Duplicate Disposition'!X:X)</f>
        <v>304281.33999999997</v>
      </c>
      <c r="Y588" s="723">
        <f>SUMIF('Duplicate Disposition'!$C:$C,$C588,'Duplicate Disposition'!Y:Y)</f>
        <v>0</v>
      </c>
      <c r="Z588" s="723">
        <f>SUMIF('Duplicate Disposition'!$C:$C,$C588,'Duplicate Disposition'!Z:Z)</f>
        <v>0</v>
      </c>
      <c r="AA588" s="723">
        <f>SUMIF('Duplicate Disposition'!$C:$C,$C588,'Duplicate Disposition'!AA:AA)</f>
        <v>32760.29</v>
      </c>
      <c r="AB588" s="723">
        <f>SUMIF('Duplicate Disposition'!$C:$C,$C588,'Duplicate Disposition'!AB:AB)</f>
        <v>30587.39</v>
      </c>
      <c r="AC588" s="723">
        <f>SUMIF('Duplicate Disposition'!$C:$C,$C588,'Duplicate Disposition'!AC:AC)</f>
        <v>31170.66</v>
      </c>
      <c r="AD588" s="723">
        <f>SUMIF('Duplicate Disposition'!$C:$C,$C588,'Duplicate Disposition'!AD:AD)</f>
        <v>25525.86</v>
      </c>
      <c r="AE588" s="723">
        <f>SUMIF('Duplicate Disposition'!$C:$C,$C588,'Duplicate Disposition'!AE:AE)</f>
        <v>29172.89</v>
      </c>
      <c r="AF588" s="723">
        <f>SUMIF('Duplicate Disposition'!$C:$C,$C588,'Duplicate Disposition'!AF:AF)</f>
        <v>32333</v>
      </c>
      <c r="AG588" s="723">
        <f>SUMIF('Duplicate Disposition'!$C:$C,$C588,'Duplicate Disposition'!AG:AG)</f>
        <v>22958</v>
      </c>
      <c r="AH588" s="723">
        <f>SUMIF('Duplicate Disposition'!$C:$C,$C588,'Duplicate Disposition'!AH:AH)</f>
        <v>22958</v>
      </c>
      <c r="AI588" s="723">
        <f>SUMIF('Duplicate Disposition'!$C:$C,$C588,'Duplicate Disposition'!AI:AI)</f>
        <v>22958</v>
      </c>
      <c r="AJ588" s="723">
        <f>SUMIF('Duplicate Disposition'!$C:$C,$C588,'Duplicate Disposition'!AJ:AJ)</f>
        <v>22958</v>
      </c>
      <c r="AK588" s="723">
        <f>SUMIF('Duplicate Disposition'!$C:$C,$C588,'Duplicate Disposition'!AK:AK)</f>
        <v>22958</v>
      </c>
      <c r="AL588" s="723">
        <f>SUMIF('Duplicate Disposition'!$C:$C,$C588,'Duplicate Disposition'!AL:AL)</f>
        <v>22958</v>
      </c>
      <c r="AM588" s="758">
        <f t="shared" si="32"/>
        <v>319298.08999999997</v>
      </c>
      <c r="AN588" s="759">
        <f>ERP_27[[#This Row],[2026 Working Total]]-ERP_27[[#This Row],[LE2 Final Submission]]</f>
        <v>15016.75</v>
      </c>
      <c r="AO588" s="723">
        <f>SUMIF('Duplicate Disposition'!$C:$C,$C588,'Duplicate Disposition'!AO:AO)</f>
        <v>23307</v>
      </c>
      <c r="AP588" s="723">
        <f>SUMIF('Duplicate Disposition'!$C:$C,$C588,'Duplicate Disposition'!AP:AP)</f>
        <v>9026</v>
      </c>
      <c r="AQ588" s="760">
        <f>SUMIF('Duplicate Disposition'!$C:$C,$C588,'Duplicate Disposition'!AQ:AQ)</f>
        <v>17110.75</v>
      </c>
      <c r="AR588" s="760">
        <f>SUMIF('Duplicate Disposition'!$C:$C,$C588,'Duplicate Disposition'!AR:AR)</f>
        <v>0</v>
      </c>
      <c r="AS588" s="760">
        <f>SUMIF('Duplicate Disposition'!$C:$C,$C588,'Duplicate Disposition'!AS:AS)</f>
        <v>15016.75</v>
      </c>
      <c r="AT588" s="760">
        <f>SUMIF('Duplicate Disposition'!$C:$C,$C588,'Duplicate Disposition'!AT:AT)</f>
        <v>0</v>
      </c>
      <c r="AU588" s="723">
        <f>SUMIF('Duplicate Disposition'!$C:$C,$C588,'Duplicate Disposition'!AU:AU)</f>
        <v>32760.29</v>
      </c>
      <c r="AV588" s="723">
        <f>SUMIF('Duplicate Disposition'!$C:$C,$C588,'Duplicate Disposition'!AV:AV)</f>
        <v>30587.39</v>
      </c>
      <c r="AW588" s="723">
        <f>SUMIF('Duplicate Disposition'!$C:$C,$C588,'Duplicate Disposition'!AW:AW)</f>
        <v>31170.66</v>
      </c>
      <c r="AX588" s="723">
        <f>SUMIF('Duplicate Disposition'!$C:$C,$C588,'Duplicate Disposition'!AX:AX)</f>
        <v>23307</v>
      </c>
      <c r="AY588" s="723">
        <f>SUMIF('Duplicate Disposition'!$C:$C,$C588,'Duplicate Disposition'!AY:AY)</f>
        <v>23307</v>
      </c>
      <c r="AZ588" s="723">
        <f>SUMIF('Duplicate Disposition'!$C:$C,$C588,'Duplicate Disposition'!AZ:AZ)</f>
        <v>23307</v>
      </c>
      <c r="BA588" s="723">
        <f>SUMIF('Duplicate Disposition'!$C:$C,$C588,'Duplicate Disposition'!BA:BA)</f>
        <v>23307</v>
      </c>
      <c r="BB588" s="723">
        <f>SUMIF('Duplicate Disposition'!$C:$C,$C588,'Duplicate Disposition'!BB:BB)</f>
        <v>23307</v>
      </c>
      <c r="BC588" s="723">
        <f>SUMIF('Duplicate Disposition'!$C:$C,$C588,'Duplicate Disposition'!BC:BC)</f>
        <v>23307</v>
      </c>
      <c r="BD588" s="723">
        <f>SUMIF('Duplicate Disposition'!$C:$C,$C588,'Duplicate Disposition'!BD:BD)</f>
        <v>23307</v>
      </c>
      <c r="BE588" s="723">
        <f>SUMIF('Duplicate Disposition'!$C:$C,$C588,'Duplicate Disposition'!BE:BE)</f>
        <v>23307</v>
      </c>
      <c r="BF588" s="723">
        <f>SUMIF('Duplicate Disposition'!$C:$C,$C588,'Duplicate Disposition'!BF:BF)</f>
        <v>23307</v>
      </c>
      <c r="BG588" s="723">
        <f>SUMIF('Duplicate Disposition'!$C:$C,$C588,'Duplicate Disposition'!BG:BG)</f>
        <v>304281.33999999997</v>
      </c>
      <c r="BH588" s="723">
        <f>SUMIF('Duplicate Disposition'!$C:$C,$C588,'Duplicate Disposition'!BH:BH)</f>
        <v>32760.29</v>
      </c>
      <c r="BI588" s="723">
        <f>SUMIF('Duplicate Disposition'!$C:$C,$C588,'Duplicate Disposition'!BI:BI)</f>
        <v>30587.39</v>
      </c>
      <c r="BJ588" s="723">
        <f>SUMIF('Duplicate Disposition'!$C:$C,$C588,'Duplicate Disposition'!BJ:BJ)</f>
        <v>31170.66</v>
      </c>
      <c r="BK588" s="723">
        <f>SUMIF('Duplicate Disposition'!$C:$C,$C588,'Duplicate Disposition'!BK:BK)</f>
        <v>23307</v>
      </c>
      <c r="BL588" s="723">
        <f>SUMIF('Duplicate Disposition'!$C:$C,$C588,'Duplicate Disposition'!BL:BL)</f>
        <v>23307</v>
      </c>
      <c r="BM588" s="723">
        <f>SUMIF('Duplicate Disposition'!$C:$C,$C588,'Duplicate Disposition'!BM:BM)</f>
        <v>23307</v>
      </c>
      <c r="BN588" s="723">
        <f>SUMIF('Duplicate Disposition'!$C:$C,$C588,'Duplicate Disposition'!BN:BN)</f>
        <v>23307</v>
      </c>
      <c r="BO588" s="723">
        <f>SUMIF('Duplicate Disposition'!$C:$C,$C588,'Duplicate Disposition'!BO:BO)</f>
        <v>23307</v>
      </c>
      <c r="BP588" s="723">
        <f>SUMIF('Duplicate Disposition'!$C:$C,$C588,'Duplicate Disposition'!BP:BP)</f>
        <v>23307</v>
      </c>
      <c r="BQ588" s="723">
        <f>SUMIF('Duplicate Disposition'!$C:$C,$C588,'Duplicate Disposition'!BQ:BQ)</f>
        <v>23307</v>
      </c>
      <c r="BR588" s="723">
        <f>SUMIF('Duplicate Disposition'!$C:$C,$C588,'Duplicate Disposition'!BR:BR)</f>
        <v>23307</v>
      </c>
      <c r="BS588" s="723">
        <f>SUMIF('Duplicate Disposition'!$C:$C,$C588,'Duplicate Disposition'!BS:BS)</f>
        <v>23307</v>
      </c>
      <c r="BT588" s="723">
        <f>SUMIF('Duplicate Disposition'!$C:$C,$C588,'Duplicate Disposition'!BT:BT)</f>
        <v>304281.33999999997</v>
      </c>
    </row>
    <row r="589" spans="1:72" ht="15" hidden="1" customHeight="1">
      <c r="A589" s="66" t="s">
        <v>1796</v>
      </c>
      <c r="B589" s="752" t="s">
        <v>2944</v>
      </c>
      <c r="C589" s="66" t="s">
        <v>417</v>
      </c>
      <c r="D589" s="66" t="s">
        <v>1797</v>
      </c>
      <c r="E589" s="513" t="s">
        <v>1136</v>
      </c>
      <c r="F589" s="726" t="s">
        <v>1566</v>
      </c>
      <c r="G589" s="513" t="s">
        <v>1135</v>
      </c>
      <c r="H589" s="513" t="s">
        <v>1165</v>
      </c>
      <c r="I589" s="513" t="s">
        <v>1135</v>
      </c>
      <c r="J589" s="513" t="s">
        <v>1165</v>
      </c>
      <c r="K589" s="513" t="s">
        <v>1137</v>
      </c>
      <c r="L589" s="511" t="s">
        <v>389</v>
      </c>
      <c r="M589" s="753" t="s">
        <v>1174</v>
      </c>
      <c r="N589" s="729"/>
      <c r="O589" s="729"/>
      <c r="P589" s="736" t="s">
        <v>56</v>
      </c>
      <c r="Q589" s="737"/>
      <c r="R589" s="737" t="s">
        <v>1140</v>
      </c>
      <c r="S589" s="737"/>
      <c r="T589" s="513" t="s">
        <v>57</v>
      </c>
      <c r="U589" s="513"/>
      <c r="V589" s="755"/>
      <c r="W589" s="756">
        <f>SUMIF('Duplicate Disposition'!$C:$C,$C589,'Duplicate Disposition'!W:W)</f>
        <v>1200000</v>
      </c>
      <c r="X589" s="757">
        <f>SUMIF('Duplicate Disposition'!$C:$C,$C589,'Duplicate Disposition'!X:X)</f>
        <v>1400303.79</v>
      </c>
      <c r="Y589" s="723">
        <f>SUMIF('Duplicate Disposition'!$C:$C,$C589,'Duplicate Disposition'!Y:Y)</f>
        <v>0</v>
      </c>
      <c r="Z589" s="723">
        <f>SUMIF('Duplicate Disposition'!$C:$C,$C589,'Duplicate Disposition'!Z:Z)</f>
        <v>0</v>
      </c>
      <c r="AA589" s="723">
        <f>SUMIF('Duplicate Disposition'!$C:$C,$C589,'Duplicate Disposition'!AA:AA)</f>
        <v>112254.64</v>
      </c>
      <c r="AB589" s="723">
        <f>SUMIF('Duplicate Disposition'!$C:$C,$C589,'Duplicate Disposition'!AB:AB)</f>
        <v>107074.65</v>
      </c>
      <c r="AC589" s="723">
        <f>SUMIF('Duplicate Disposition'!$C:$C,$C589,'Duplicate Disposition'!AC:AC)</f>
        <v>100974.5</v>
      </c>
      <c r="AD589" s="723">
        <f>SUMIF('Duplicate Disposition'!$C:$C,$C589,'Duplicate Disposition'!AD:AD)</f>
        <v>98349.19</v>
      </c>
      <c r="AE589" s="723">
        <f>SUMIF('Duplicate Disposition'!$C:$C,$C589,'Duplicate Disposition'!AE:AE)</f>
        <v>97978.419999999984</v>
      </c>
      <c r="AF589" s="723">
        <f>SUMIF('Duplicate Disposition'!$C:$C,$C589,'Duplicate Disposition'!AF:AF)</f>
        <v>96954.300000000017</v>
      </c>
      <c r="AG589" s="723">
        <f>SUMIF('Duplicate Disposition'!$C:$C,$C589,'Duplicate Disposition'!AG:AG)</f>
        <v>108318</v>
      </c>
      <c r="AH589" s="723">
        <f>SUMIF('Duplicate Disposition'!$C:$C,$C589,'Duplicate Disposition'!AH:AH)</f>
        <v>108318</v>
      </c>
      <c r="AI589" s="723">
        <f>SUMIF('Duplicate Disposition'!$C:$C,$C589,'Duplicate Disposition'!AI:AI)</f>
        <v>122000</v>
      </c>
      <c r="AJ589" s="723">
        <f>SUMIF('Duplicate Disposition'!$C:$C,$C589,'Duplicate Disposition'!AJ:AJ)</f>
        <v>122000</v>
      </c>
      <c r="AK589" s="723">
        <f>SUMIF('Duplicate Disposition'!$C:$C,$C589,'Duplicate Disposition'!AK:AK)</f>
        <v>122000</v>
      </c>
      <c r="AL589" s="723">
        <f>SUMIF('Duplicate Disposition'!$C:$C,$C589,'Duplicate Disposition'!AL:AL)</f>
        <v>122734</v>
      </c>
      <c r="AM589" s="758">
        <f t="shared" si="32"/>
        <v>1318955.7</v>
      </c>
      <c r="AN589" s="759">
        <f>ERP_27[[#This Row],[2026 Working Total]]-ERP_27[[#This Row],[LE2 Final Submission]]</f>
        <v>-81348.090000000084</v>
      </c>
      <c r="AO589" s="723">
        <f>SUMIF('Duplicate Disposition'!$C:$C,$C589,'Duplicate Disposition'!AO:AO)</f>
        <v>120000</v>
      </c>
      <c r="AP589" s="723">
        <f>SUMIF('Duplicate Disposition'!$C:$C,$C589,'Duplicate Disposition'!AP:AP)</f>
        <v>-23045.69999999999</v>
      </c>
      <c r="AQ589" s="760">
        <f>SUMIF('Duplicate Disposition'!$C:$C,$C589,'Duplicate Disposition'!AQ:AQ)</f>
        <v>-66718.089999999982</v>
      </c>
      <c r="AR589" s="760">
        <f>SUMIF('Duplicate Disposition'!$C:$C,$C589,'Duplicate Disposition'!AR:AR)</f>
        <v>0</v>
      </c>
      <c r="AS589" s="760">
        <f>SUMIF('Duplicate Disposition'!$C:$C,$C589,'Duplicate Disposition'!AS:AS)</f>
        <v>-81348.089999999895</v>
      </c>
      <c r="AT589" s="760">
        <f>SUMIF('Duplicate Disposition'!$C:$C,$C589,'Duplicate Disposition'!AT:AT)</f>
        <v>0</v>
      </c>
      <c r="AU589" s="723">
        <f>SUMIF('Duplicate Disposition'!$C:$C,$C589,'Duplicate Disposition'!AU:AU)</f>
        <v>112254.64</v>
      </c>
      <c r="AV589" s="723">
        <f>SUMIF('Duplicate Disposition'!$C:$C,$C589,'Duplicate Disposition'!AV:AV)</f>
        <v>107074.65</v>
      </c>
      <c r="AW589" s="723">
        <f>SUMIF('Duplicate Disposition'!$C:$C,$C589,'Duplicate Disposition'!AW:AW)</f>
        <v>100974.5</v>
      </c>
      <c r="AX589" s="723">
        <f>SUMIF('Duplicate Disposition'!$C:$C,$C589,'Duplicate Disposition'!AX:AX)</f>
        <v>120000</v>
      </c>
      <c r="AY589" s="723">
        <f>SUMIF('Duplicate Disposition'!$C:$C,$C589,'Duplicate Disposition'!AY:AY)</f>
        <v>120000</v>
      </c>
      <c r="AZ589" s="723">
        <f>SUMIF('Duplicate Disposition'!$C:$C,$C589,'Duplicate Disposition'!AZ:AZ)</f>
        <v>120000</v>
      </c>
      <c r="BA589" s="723">
        <f>SUMIF('Duplicate Disposition'!$C:$C,$C589,'Duplicate Disposition'!BA:BA)</f>
        <v>120000</v>
      </c>
      <c r="BB589" s="723">
        <f>SUMIF('Duplicate Disposition'!$C:$C,$C589,'Duplicate Disposition'!BB:BB)</f>
        <v>120000</v>
      </c>
      <c r="BC589" s="723">
        <f>SUMIF('Duplicate Disposition'!$C:$C,$C589,'Duplicate Disposition'!BC:BC)</f>
        <v>120000</v>
      </c>
      <c r="BD589" s="723">
        <f>SUMIF('Duplicate Disposition'!$C:$C,$C589,'Duplicate Disposition'!BD:BD)</f>
        <v>120000</v>
      </c>
      <c r="BE589" s="723">
        <f>SUMIF('Duplicate Disposition'!$C:$C,$C589,'Duplicate Disposition'!BE:BE)</f>
        <v>120000</v>
      </c>
      <c r="BF589" s="723">
        <f>SUMIF('Duplicate Disposition'!$C:$C,$C589,'Duplicate Disposition'!BF:BF)</f>
        <v>120000</v>
      </c>
      <c r="BG589" s="723">
        <f>SUMIF('Duplicate Disposition'!$C:$C,$C589,'Duplicate Disposition'!BG:BG)</f>
        <v>1400303.79</v>
      </c>
      <c r="BH589" s="723">
        <f>SUMIF('Duplicate Disposition'!$C:$C,$C589,'Duplicate Disposition'!BH:BH)</f>
        <v>112254.64</v>
      </c>
      <c r="BI589" s="723">
        <f>SUMIF('Duplicate Disposition'!$C:$C,$C589,'Duplicate Disposition'!BI:BI)</f>
        <v>107074.65</v>
      </c>
      <c r="BJ589" s="723">
        <f>SUMIF('Duplicate Disposition'!$C:$C,$C589,'Duplicate Disposition'!BJ:BJ)</f>
        <v>100974.5</v>
      </c>
      <c r="BK589" s="723">
        <f>SUMIF('Duplicate Disposition'!$C:$C,$C589,'Duplicate Disposition'!BK:BK)</f>
        <v>100000</v>
      </c>
      <c r="BL589" s="723">
        <f>SUMIF('Duplicate Disposition'!$C:$C,$C589,'Duplicate Disposition'!BL:BL)</f>
        <v>100000</v>
      </c>
      <c r="BM589" s="723">
        <f>SUMIF('Duplicate Disposition'!$C:$C,$C589,'Duplicate Disposition'!BM:BM)</f>
        <v>100000</v>
      </c>
      <c r="BN589" s="723">
        <f>SUMIF('Duplicate Disposition'!$C:$C,$C589,'Duplicate Disposition'!BN:BN)</f>
        <v>100000</v>
      </c>
      <c r="BO589" s="723">
        <f>SUMIF('Duplicate Disposition'!$C:$C,$C589,'Duplicate Disposition'!BO:BO)</f>
        <v>100000</v>
      </c>
      <c r="BP589" s="723">
        <f>SUMIF('Duplicate Disposition'!$C:$C,$C589,'Duplicate Disposition'!BP:BP)</f>
        <v>100000</v>
      </c>
      <c r="BQ589" s="723">
        <f>SUMIF('Duplicate Disposition'!$C:$C,$C589,'Duplicate Disposition'!BQ:BQ)</f>
        <v>100000</v>
      </c>
      <c r="BR589" s="723">
        <f>SUMIF('Duplicate Disposition'!$C:$C,$C589,'Duplicate Disposition'!BR:BR)</f>
        <v>100000</v>
      </c>
      <c r="BS589" s="723">
        <f>SUMIF('Duplicate Disposition'!$C:$C,$C589,'Duplicate Disposition'!BS:BS)</f>
        <v>100000</v>
      </c>
      <c r="BT589" s="723">
        <f>SUMIF('Duplicate Disposition'!$C:$C,$C589,'Duplicate Disposition'!BT:BT)</f>
        <v>1220303.79</v>
      </c>
    </row>
    <row r="590" spans="1:72" ht="15" hidden="1" customHeight="1">
      <c r="A590" s="66" t="s">
        <v>2522</v>
      </c>
      <c r="B590" s="752" t="s">
        <v>2944</v>
      </c>
      <c r="C590" s="66" t="s">
        <v>850</v>
      </c>
      <c r="D590" s="66" t="s">
        <v>850</v>
      </c>
      <c r="E590" s="513" t="s">
        <v>1136</v>
      </c>
      <c r="F590" s="726" t="s">
        <v>1566</v>
      </c>
      <c r="G590" s="513" t="s">
        <v>1135</v>
      </c>
      <c r="H590" s="513" t="s">
        <v>1135</v>
      </c>
      <c r="I590" s="513" t="s">
        <v>1135</v>
      </c>
      <c r="J590" s="513" t="s">
        <v>1135</v>
      </c>
      <c r="K590" s="513" t="s">
        <v>1137</v>
      </c>
      <c r="L590" s="511" t="s">
        <v>639</v>
      </c>
      <c r="M590" s="753" t="s">
        <v>2523</v>
      </c>
      <c r="N590" s="729"/>
      <c r="O590" s="729"/>
      <c r="P590" s="736" t="s">
        <v>851</v>
      </c>
      <c r="Q590" s="737" t="s">
        <v>1153</v>
      </c>
      <c r="R590" s="729"/>
      <c r="S590" s="737"/>
      <c r="T590" s="513" t="s">
        <v>64</v>
      </c>
      <c r="U590" s="513"/>
      <c r="V590" s="755"/>
      <c r="W590" s="756">
        <f>SUMIF('Duplicate Disposition'!$C:$C,$C590,'Duplicate Disposition'!W:W)</f>
        <v>1527544</v>
      </c>
      <c r="X590" s="757">
        <f>SUMIF('Duplicate Disposition'!$C:$C,$C590,'Duplicate Disposition'!X:X)</f>
        <v>1513628.4099999997</v>
      </c>
      <c r="Y590" s="723">
        <f>SUMIF('Duplicate Disposition'!$C:$C,$C590,'Duplicate Disposition'!Y:Y)</f>
        <v>0</v>
      </c>
      <c r="Z590" s="723">
        <f>SUMIF('Duplicate Disposition'!$C:$C,$C590,'Duplicate Disposition'!Z:Z)</f>
        <v>0</v>
      </c>
      <c r="AA590" s="723">
        <f>SUMIF('Duplicate Disposition'!$C:$C,$C590,'Duplicate Disposition'!AA:AA)</f>
        <v>127295.39</v>
      </c>
      <c r="AB590" s="723">
        <f>SUMIF('Duplicate Disposition'!$C:$C,$C590,'Duplicate Disposition'!AB:AB)</f>
        <v>113379.22</v>
      </c>
      <c r="AC590" s="723">
        <f>SUMIF('Duplicate Disposition'!$C:$C,$C590,'Duplicate Disposition'!AC:AC)</f>
        <v>127295.38</v>
      </c>
      <c r="AD590" s="723">
        <f>SUMIF('Duplicate Disposition'!$C:$C,$C590,'Duplicate Disposition'!AD:AD)</f>
        <v>0</v>
      </c>
      <c r="AE590" s="723">
        <f>SUMIF('Duplicate Disposition'!$C:$C,$C590,'Duplicate Disposition'!AE:AE)</f>
        <v>254590.76</v>
      </c>
      <c r="AF590" s="723">
        <f>SUMIF('Duplicate Disposition'!$C:$C,$C590,'Duplicate Disposition'!AF:AF)</f>
        <v>127295.38</v>
      </c>
      <c r="AG590" s="723">
        <f>SUMIF('Duplicate Disposition'!$C:$C,$C590,'Duplicate Disposition'!AG:AG)</f>
        <v>127295.38</v>
      </c>
      <c r="AH590" s="723">
        <f>SUMIF('Duplicate Disposition'!$C:$C,$C590,'Duplicate Disposition'!AH:AH)</f>
        <v>127295.38</v>
      </c>
      <c r="AI590" s="723">
        <f>SUMIF('Duplicate Disposition'!$C:$C,$C590,'Duplicate Disposition'!AI:AI)</f>
        <v>127295.38</v>
      </c>
      <c r="AJ590" s="723">
        <f>SUMIF('Duplicate Disposition'!$C:$C,$C590,'Duplicate Disposition'!AJ:AJ)</f>
        <v>127295.38</v>
      </c>
      <c r="AK590" s="723">
        <f>SUMIF('Duplicate Disposition'!$C:$C,$C590,'Duplicate Disposition'!AK:AK)</f>
        <v>127295.38</v>
      </c>
      <c r="AL590" s="723">
        <f>SUMIF('Duplicate Disposition'!$C:$C,$C590,'Duplicate Disposition'!AL:AL)</f>
        <v>127295.38</v>
      </c>
      <c r="AM590" s="758">
        <f t="shared" si="32"/>
        <v>1513628.4099999997</v>
      </c>
      <c r="AN590" s="759">
        <f>ERP_27[[#This Row],[2026 Working Total]]-ERP_27[[#This Row],[LE2 Final Submission]]</f>
        <v>0</v>
      </c>
      <c r="AO590" s="723">
        <f>SUMIF('Duplicate Disposition'!$C:$C,$C590,'Duplicate Disposition'!AO:AO)</f>
        <v>127295.38</v>
      </c>
      <c r="AP590" s="723">
        <f>SUMIF('Duplicate Disposition'!$C:$C,$C590,'Duplicate Disposition'!AP:AP)</f>
        <v>0</v>
      </c>
      <c r="AQ590" s="760">
        <f>SUMIF('Duplicate Disposition'!$C:$C,$C590,'Duplicate Disposition'!AQ:AQ)</f>
        <v>0</v>
      </c>
      <c r="AR590" s="760">
        <f>SUMIF('Duplicate Disposition'!$C:$C,$C590,'Duplicate Disposition'!AR:AR)</f>
        <v>0</v>
      </c>
      <c r="AS590" s="760">
        <f>SUMIF('Duplicate Disposition'!$C:$C,$C590,'Duplicate Disposition'!AS:AS)</f>
        <v>0</v>
      </c>
      <c r="AT590" s="760">
        <f>SUMIF('Duplicate Disposition'!$C:$C,$C590,'Duplicate Disposition'!AT:AT)</f>
        <v>0</v>
      </c>
      <c r="AU590" s="723">
        <f>SUMIF('Duplicate Disposition'!$C:$C,$C590,'Duplicate Disposition'!AU:AU)</f>
        <v>127295.39</v>
      </c>
      <c r="AV590" s="723">
        <f>SUMIF('Duplicate Disposition'!$C:$C,$C590,'Duplicate Disposition'!AV:AV)</f>
        <v>113379.22</v>
      </c>
      <c r="AW590" s="723">
        <f>SUMIF('Duplicate Disposition'!$C:$C,$C590,'Duplicate Disposition'!AW:AW)</f>
        <v>127295.38</v>
      </c>
      <c r="AX590" s="723">
        <f>SUMIF('Duplicate Disposition'!$C:$C,$C590,'Duplicate Disposition'!AX:AX)</f>
        <v>127295.38</v>
      </c>
      <c r="AY590" s="723">
        <f>SUMIF('Duplicate Disposition'!$C:$C,$C590,'Duplicate Disposition'!AY:AY)</f>
        <v>127295.38</v>
      </c>
      <c r="AZ590" s="723">
        <f>SUMIF('Duplicate Disposition'!$C:$C,$C590,'Duplicate Disposition'!AZ:AZ)</f>
        <v>127295.38</v>
      </c>
      <c r="BA590" s="723">
        <f>SUMIF('Duplicate Disposition'!$C:$C,$C590,'Duplicate Disposition'!BA:BA)</f>
        <v>127295.38</v>
      </c>
      <c r="BB590" s="723">
        <f>SUMIF('Duplicate Disposition'!$C:$C,$C590,'Duplicate Disposition'!BB:BB)</f>
        <v>127295.38</v>
      </c>
      <c r="BC590" s="723">
        <f>SUMIF('Duplicate Disposition'!$C:$C,$C590,'Duplicate Disposition'!BC:BC)</f>
        <v>127295.38</v>
      </c>
      <c r="BD590" s="723">
        <f>SUMIF('Duplicate Disposition'!$C:$C,$C590,'Duplicate Disposition'!BD:BD)</f>
        <v>127295.38</v>
      </c>
      <c r="BE590" s="723">
        <f>SUMIF('Duplicate Disposition'!$C:$C,$C590,'Duplicate Disposition'!BE:BE)</f>
        <v>127295.38</v>
      </c>
      <c r="BF590" s="723">
        <f>SUMIF('Duplicate Disposition'!$C:$C,$C590,'Duplicate Disposition'!BF:BF)</f>
        <v>127295.38</v>
      </c>
      <c r="BG590" s="723">
        <f>SUMIF('Duplicate Disposition'!$C:$C,$C590,'Duplicate Disposition'!BG:BG)</f>
        <v>1513628.4099999997</v>
      </c>
      <c r="BH590" s="723">
        <f>SUMIF('Duplicate Disposition'!$C:$C,$C590,'Duplicate Disposition'!BH:BH)</f>
        <v>127295.39</v>
      </c>
      <c r="BI590" s="723">
        <f>SUMIF('Duplicate Disposition'!$C:$C,$C590,'Duplicate Disposition'!BI:BI)</f>
        <v>113379.22</v>
      </c>
      <c r="BJ590" s="723">
        <f>SUMIF('Duplicate Disposition'!$C:$C,$C590,'Duplicate Disposition'!BJ:BJ)</f>
        <v>127295.38</v>
      </c>
      <c r="BK590" s="723">
        <f>SUMIF('Duplicate Disposition'!$C:$C,$C590,'Duplicate Disposition'!BK:BK)</f>
        <v>127295.38</v>
      </c>
      <c r="BL590" s="723">
        <f>SUMIF('Duplicate Disposition'!$C:$C,$C590,'Duplicate Disposition'!BL:BL)</f>
        <v>127295.38</v>
      </c>
      <c r="BM590" s="723">
        <f>SUMIF('Duplicate Disposition'!$C:$C,$C590,'Duplicate Disposition'!BM:BM)</f>
        <v>127295.38</v>
      </c>
      <c r="BN590" s="723">
        <f>SUMIF('Duplicate Disposition'!$C:$C,$C590,'Duplicate Disposition'!BN:BN)</f>
        <v>127295.38</v>
      </c>
      <c r="BO590" s="723">
        <f>SUMIF('Duplicate Disposition'!$C:$C,$C590,'Duplicate Disposition'!BO:BO)</f>
        <v>127295.38</v>
      </c>
      <c r="BP590" s="723">
        <f>SUMIF('Duplicate Disposition'!$C:$C,$C590,'Duplicate Disposition'!BP:BP)</f>
        <v>127295.38</v>
      </c>
      <c r="BQ590" s="723">
        <f>SUMIF('Duplicate Disposition'!$C:$C,$C590,'Duplicate Disposition'!BQ:BQ)</f>
        <v>127295.38</v>
      </c>
      <c r="BR590" s="723">
        <f>SUMIF('Duplicate Disposition'!$C:$C,$C590,'Duplicate Disposition'!BR:BR)</f>
        <v>127295.38</v>
      </c>
      <c r="BS590" s="723">
        <f>SUMIF('Duplicate Disposition'!$C:$C,$C590,'Duplicate Disposition'!BS:BS)</f>
        <v>127295.38</v>
      </c>
      <c r="BT590" s="723">
        <f>SUMIF('Duplicate Disposition'!$C:$C,$C590,'Duplicate Disposition'!BT:BT)</f>
        <v>1513628.4099999997</v>
      </c>
    </row>
    <row r="591" spans="1:72" ht="15" hidden="1" customHeight="1">
      <c r="A591" s="66" t="s">
        <v>2906</v>
      </c>
      <c r="B591" s="752" t="s">
        <v>2944</v>
      </c>
      <c r="C591" s="66" t="s">
        <v>28</v>
      </c>
      <c r="D591" s="66" t="s">
        <v>2907</v>
      </c>
      <c r="E591" s="513" t="s">
        <v>1136</v>
      </c>
      <c r="F591" s="726" t="s">
        <v>1566</v>
      </c>
      <c r="G591" s="513" t="s">
        <v>1135</v>
      </c>
      <c r="H591" s="513" t="s">
        <v>1135</v>
      </c>
      <c r="I591" s="513" t="s">
        <v>1135</v>
      </c>
      <c r="J591" s="513" t="s">
        <v>1137</v>
      </c>
      <c r="K591" s="513" t="s">
        <v>1137</v>
      </c>
      <c r="L591" s="511" t="s">
        <v>22</v>
      </c>
      <c r="M591" s="753" t="s">
        <v>2872</v>
      </c>
      <c r="N591" s="729"/>
      <c r="O591" s="729"/>
      <c r="P591" s="736" t="s">
        <v>29</v>
      </c>
      <c r="Q591" s="737" t="s">
        <v>1139</v>
      </c>
      <c r="R591" s="737" t="s">
        <v>1140</v>
      </c>
      <c r="S591" s="737"/>
      <c r="T591" s="513" t="s">
        <v>25</v>
      </c>
      <c r="U591" t="s">
        <v>1141</v>
      </c>
      <c r="V591" s="755"/>
      <c r="W591" s="756">
        <f>SUMIF('Duplicate Disposition'!$C:$C,$C591,'Duplicate Disposition'!W:W)</f>
        <v>9831851.3300000001</v>
      </c>
      <c r="X591" s="757">
        <f>SUMIF('Duplicate Disposition'!$C:$C,$C591,'Duplicate Disposition'!X:X)</f>
        <v>15406112.624272117</v>
      </c>
      <c r="Y591" s="724">
        <f>SUMIF('Duplicate Disposition'!$C:$C,$C591,'Duplicate Disposition'!Y:Y)</f>
        <v>0</v>
      </c>
      <c r="Z591" s="723">
        <f>SUMIF('Duplicate Disposition'!$C:$C,$C591,'Duplicate Disposition'!Z:Z)</f>
        <v>0</v>
      </c>
      <c r="AA591" s="723">
        <f>SUMIF('Duplicate Disposition'!$C:$C,$C591,'Duplicate Disposition'!AA:AA)</f>
        <v>1402914.3999999987</v>
      </c>
      <c r="AB591" s="724">
        <f>SUMIF('Duplicate Disposition'!$C:$C,$C591,'Duplicate Disposition'!AB:AB)</f>
        <v>1397677.6399999992</v>
      </c>
      <c r="AC591" s="724">
        <f>SUMIF('Duplicate Disposition'!$C:$C,$C591,'Duplicate Disposition'!AC:AC)</f>
        <v>1375284.8299999998</v>
      </c>
      <c r="AD591" s="724">
        <f>SUMIF('Duplicate Disposition'!$C:$C,$C591,'Duplicate Disposition'!AD:AD)</f>
        <v>1433399.4699999997</v>
      </c>
      <c r="AE591" s="724">
        <f>SUMIF('Duplicate Disposition'!$C:$C,$C591,'Duplicate Disposition'!AE:AE)</f>
        <v>1510809.23</v>
      </c>
      <c r="AF591" s="724">
        <f>SUMIF('Duplicate Disposition'!$C:$C,$C591,'Duplicate Disposition'!AF:AF)</f>
        <v>1433646.3199999998</v>
      </c>
      <c r="AG591" s="724">
        <f>SUMIF('Duplicate Disposition'!$C:$C,$C591,'Duplicate Disposition'!AG:AG)</f>
        <v>1208851.7277970032</v>
      </c>
      <c r="AH591" s="724">
        <f>SUMIF('Duplicate Disposition'!$C:$C,$C591,'Duplicate Disposition'!AH:AH)</f>
        <v>1221091.4455470033</v>
      </c>
      <c r="AI591" s="724">
        <f>SUMIF('Duplicate Disposition'!$C:$C,$C591,'Duplicate Disposition'!AI:AI)</f>
        <v>1194419.2817703367</v>
      </c>
      <c r="AJ591" s="724">
        <f>SUMIF('Duplicate Disposition'!$C:$C,$C591,'Duplicate Disposition'!AJ:AJ)</f>
        <v>1239489.2742341459</v>
      </c>
      <c r="AK591" s="724">
        <f>SUMIF('Duplicate Disposition'!$C:$C,$C591,'Duplicate Disposition'!AK:AK)</f>
        <v>1239489.2742341459</v>
      </c>
      <c r="AL591" s="724">
        <f>SUMIF('Duplicate Disposition'!$C:$C,$C591,'Duplicate Disposition'!AL:AL)</f>
        <v>1254635.0692481461</v>
      </c>
      <c r="AM591" s="761">
        <f t="shared" si="32"/>
        <v>15911707.96283078</v>
      </c>
      <c r="AN591" s="759">
        <f>ERP_27[[#This Row],[2026 Working Total]]-ERP_27[[#This Row],[LE2 Final Submission]]</f>
        <v>505595.33855866268</v>
      </c>
      <c r="AO591" s="724">
        <f>SUMIF('Duplicate Disposition'!$C:$C,$C591,'Duplicate Disposition'!AO:AO)</f>
        <v>1250571.8632276698</v>
      </c>
      <c r="AP591" s="724">
        <f>SUMIF('Duplicate Disposition'!$C:$C,$C591,'Duplicate Disposition'!AP:AP)</f>
        <v>183074.45677232998</v>
      </c>
      <c r="AQ591" s="762">
        <f>SUMIF('Duplicate Disposition'!$C:$C,$C591,'Duplicate Disposition'!AQ:AQ)</f>
        <v>505595.33855866268</v>
      </c>
      <c r="AR591" s="762">
        <f>SUMIF('Duplicate Disposition'!$C:$C,$C591,'Duplicate Disposition'!AR:AR)</f>
        <v>0</v>
      </c>
      <c r="AS591" s="762">
        <f>SUMIF('Duplicate Disposition'!$C:$C,$C591,'Duplicate Disposition'!AS:AS)</f>
        <v>505595.33855866268</v>
      </c>
      <c r="AT591" s="762">
        <f>SUMIF('Duplicate Disposition'!$C:$C,$C591,'Duplicate Disposition'!AT:AT)</f>
        <v>0</v>
      </c>
      <c r="AU591" s="724">
        <f>SUMIF('Duplicate Disposition'!$C:$C,$C591,'Duplicate Disposition'!AU:AU)</f>
        <v>1402914.3999999987</v>
      </c>
      <c r="AV591" s="724">
        <f>SUMIF('Duplicate Disposition'!$C:$C,$C591,'Duplicate Disposition'!AV:AV)</f>
        <v>1397677.6399999992</v>
      </c>
      <c r="AW591" s="724">
        <f>SUMIF('Duplicate Disposition'!$C:$C,$C591,'Duplicate Disposition'!AW:AW)</f>
        <v>1375284.8299999998</v>
      </c>
      <c r="AX591" s="724">
        <f>SUMIF('Duplicate Disposition'!$C:$C,$C591,'Duplicate Disposition'!AX:AX)</f>
        <v>1386261.7499999984</v>
      </c>
      <c r="AY591" s="724">
        <f>SUMIF('Duplicate Disposition'!$C:$C,$C591,'Duplicate Disposition'!AY:AY)</f>
        <v>1250571.8632276698</v>
      </c>
      <c r="AZ591" s="724">
        <f>SUMIF('Duplicate Disposition'!$C:$C,$C591,'Duplicate Disposition'!AZ:AZ)</f>
        <v>1235426.0682136698</v>
      </c>
      <c r="BA591" s="724">
        <f>SUMIF('Duplicate Disposition'!$C:$C,$C591,'Duplicate Disposition'!BA:BA)</f>
        <v>1208851.7277970032</v>
      </c>
      <c r="BB591" s="724">
        <f>SUMIF('Duplicate Disposition'!$C:$C,$C591,'Duplicate Disposition'!BB:BB)</f>
        <v>1221091.4455470033</v>
      </c>
      <c r="BC591" s="724">
        <f>SUMIF('Duplicate Disposition'!$C:$C,$C591,'Duplicate Disposition'!BC:BC)</f>
        <v>1194419.2817703367</v>
      </c>
      <c r="BD591" s="724">
        <f>SUMIF('Duplicate Disposition'!$C:$C,$C591,'Duplicate Disposition'!BD:BD)</f>
        <v>1239489.2742341459</v>
      </c>
      <c r="BE591" s="724">
        <f>SUMIF('Duplicate Disposition'!$C:$C,$C591,'Duplicate Disposition'!BE:BE)</f>
        <v>1239489.2742341459</v>
      </c>
      <c r="BF591" s="724">
        <f>SUMIF('Duplicate Disposition'!$C:$C,$C591,'Duplicate Disposition'!BF:BF)</f>
        <v>1254635.0692481461</v>
      </c>
      <c r="BG591" s="724">
        <f>SUMIF('Duplicate Disposition'!$C:$C,$C591,'Duplicate Disposition'!BG:BG)</f>
        <v>15406112.624272117</v>
      </c>
      <c r="BH591" s="724">
        <f>SUMIF('Duplicate Disposition'!$C:$C,$C591,'Duplicate Disposition'!BH:BH)</f>
        <v>913874.52</v>
      </c>
      <c r="BI591" s="724">
        <f>SUMIF('Duplicate Disposition'!$C:$C,$C591,'Duplicate Disposition'!BI:BI)</f>
        <v>920456.42999999993</v>
      </c>
      <c r="BJ591" s="724">
        <f>SUMIF('Duplicate Disposition'!$C:$C,$C591,'Duplicate Disposition'!BJ:BJ)</f>
        <v>875977.6</v>
      </c>
      <c r="BK591" s="724">
        <f>SUMIF('Duplicate Disposition'!$C:$C,$C591,'Duplicate Disposition'!BK:BK)</f>
        <v>809656.43</v>
      </c>
      <c r="BL591" s="724">
        <f>SUMIF('Duplicate Disposition'!$C:$C,$C591,'Duplicate Disposition'!BL:BL)</f>
        <v>809656.43</v>
      </c>
      <c r="BM591" s="724">
        <f>SUMIF('Duplicate Disposition'!$C:$C,$C591,'Duplicate Disposition'!BM:BM)</f>
        <v>809656.43</v>
      </c>
      <c r="BN591" s="724">
        <f>SUMIF('Duplicate Disposition'!$C:$C,$C591,'Duplicate Disposition'!BN:BN)</f>
        <v>829249.26</v>
      </c>
      <c r="BO591" s="724">
        <f>SUMIF('Duplicate Disposition'!$C:$C,$C591,'Duplicate Disposition'!BO:BO)</f>
        <v>829249.26</v>
      </c>
      <c r="BP591" s="724">
        <f>SUMIF('Duplicate Disposition'!$C:$C,$C591,'Duplicate Disposition'!BP:BP)</f>
        <v>854062.66</v>
      </c>
      <c r="BQ591" s="724">
        <f>SUMIF('Duplicate Disposition'!$C:$C,$C591,'Duplicate Disposition'!BQ:BQ)</f>
        <v>854062.66</v>
      </c>
      <c r="BR591" s="724">
        <f>SUMIF('Duplicate Disposition'!$C:$C,$C591,'Duplicate Disposition'!BR:BR)</f>
        <v>854062.66</v>
      </c>
      <c r="BS591" s="724">
        <f>SUMIF('Duplicate Disposition'!$C:$C,$C591,'Duplicate Disposition'!BS:BS)</f>
        <v>854062.66</v>
      </c>
      <c r="BT591" s="724">
        <f>SUMIF('Duplicate Disposition'!$C:$C,$C591,'Duplicate Disposition'!BT:BT)</f>
        <v>10214027</v>
      </c>
    </row>
    <row r="592" spans="1:72" ht="15" hidden="1" customHeight="1">
      <c r="A592" s="66" t="s">
        <v>1669</v>
      </c>
      <c r="B592" s="752" t="s">
        <v>2944</v>
      </c>
      <c r="C592" s="66" t="s">
        <v>337</v>
      </c>
      <c r="D592" s="66" t="s">
        <v>1670</v>
      </c>
      <c r="E592" s="513" t="s">
        <v>1136</v>
      </c>
      <c r="F592" s="726" t="s">
        <v>1566</v>
      </c>
      <c r="G592" s="513" t="s">
        <v>1566</v>
      </c>
      <c r="H592" s="513" t="s">
        <v>1566</v>
      </c>
      <c r="I592" s="513" t="s">
        <v>1567</v>
      </c>
      <c r="J592" s="513" t="s">
        <v>1567</v>
      </c>
      <c r="K592" s="513" t="s">
        <v>1567</v>
      </c>
      <c r="L592" s="511" t="s">
        <v>333</v>
      </c>
      <c r="M592" s="753" t="s">
        <v>1663</v>
      </c>
      <c r="N592" s="729"/>
      <c r="O592" s="729"/>
      <c r="P592" s="736" t="s">
        <v>336</v>
      </c>
      <c r="Q592" s="737"/>
      <c r="R592" s="737" t="s">
        <v>1140</v>
      </c>
      <c r="S592" s="737"/>
      <c r="T592" s="513" t="s">
        <v>25</v>
      </c>
      <c r="U592" s="513" t="s">
        <v>1666</v>
      </c>
      <c r="V592" s="754"/>
      <c r="W592" s="763">
        <f>SUMIF('Duplicate Disposition'!$C:$C,$C592,'Duplicate Disposition'!W:W)</f>
        <v>32110933.16</v>
      </c>
      <c r="X592" s="764">
        <f>SUMIF('Duplicate Disposition'!$C:$C,$C592,'Duplicate Disposition'!X:X)</f>
        <v>34776964.509999998</v>
      </c>
      <c r="Y592" s="724">
        <f>SUMIF('Duplicate Disposition'!$C:$C,$C592,'Duplicate Disposition'!Y:Y)</f>
        <v>0</v>
      </c>
      <c r="Z592" s="723">
        <f>SUMIF('Duplicate Disposition'!$C:$C,$C592,'Duplicate Disposition'!Z:Z)</f>
        <v>0</v>
      </c>
      <c r="AA592" s="723">
        <f>SUMIF('Duplicate Disposition'!$C:$C,$C592,'Duplicate Disposition'!AA:AA)</f>
        <v>2815401.65</v>
      </c>
      <c r="AB592" s="724">
        <f>SUMIF('Duplicate Disposition'!$C:$C,$C592,'Duplicate Disposition'!AB:AB)</f>
        <v>3048747.85</v>
      </c>
      <c r="AC592" s="724">
        <f>SUMIF('Duplicate Disposition'!$C:$C,$C592,'Duplicate Disposition'!AC:AC)</f>
        <v>3023274.85</v>
      </c>
      <c r="AD592" s="724">
        <f>SUMIF('Duplicate Disposition'!$C:$C,$C592,'Duplicate Disposition'!AD:AD)</f>
        <v>2973909.3200000008</v>
      </c>
      <c r="AE592" s="724">
        <f>SUMIF('Duplicate Disposition'!$C:$C,$C592,'Duplicate Disposition'!AE:AE)</f>
        <v>3071979.6400000011</v>
      </c>
      <c r="AF592" s="724">
        <f>SUMIF('Duplicate Disposition'!$C:$C,$C592,'Duplicate Disposition'!AF:AF)</f>
        <v>3001258.7400000012</v>
      </c>
      <c r="AG592" s="724">
        <f>SUMIF('Duplicate Disposition'!$C:$C,$C592,'Duplicate Disposition'!AG:AG)</f>
        <v>2979343.79</v>
      </c>
      <c r="AH592" s="724">
        <f>SUMIF('Duplicate Disposition'!$C:$C,$C592,'Duplicate Disposition'!AH:AH)</f>
        <v>2959650.97</v>
      </c>
      <c r="AI592" s="724">
        <f>SUMIF('Duplicate Disposition'!$C:$C,$C592,'Duplicate Disposition'!AI:AI)</f>
        <v>2826063.51</v>
      </c>
      <c r="AJ592" s="724">
        <f>SUMIF('Duplicate Disposition'!$C:$C,$C592,'Duplicate Disposition'!AJ:AJ)</f>
        <v>2685256.61</v>
      </c>
      <c r="AK592" s="724">
        <f>SUMIF('Duplicate Disposition'!$C:$C,$C592,'Duplicate Disposition'!AK:AK)</f>
        <v>2685257.5</v>
      </c>
      <c r="AL592" s="724">
        <f>SUMIF('Duplicate Disposition'!$C:$C,$C592,'Duplicate Disposition'!AL:AL)</f>
        <v>2685256.57</v>
      </c>
      <c r="AM592" s="761">
        <f t="shared" si="32"/>
        <v>34755401</v>
      </c>
      <c r="AN592" s="759">
        <f>ERP_27[[#This Row],[2026 Working Total]]-ERP_27[[#This Row],[LE2 Final Submission]]</f>
        <v>-21563.509999997914</v>
      </c>
      <c r="AO592" s="724">
        <f>SUMIF('Duplicate Disposition'!$C:$C,$C592,'Duplicate Disposition'!AO:AO)</f>
        <v>3022905.03</v>
      </c>
      <c r="AP592" s="724">
        <f>SUMIF('Duplicate Disposition'!$C:$C,$C592,'Duplicate Disposition'!AP:AP)</f>
        <v>-21646.289999998753</v>
      </c>
      <c r="AQ592" s="762">
        <f>SUMIF('Duplicate Disposition'!$C:$C,$C592,'Duplicate Disposition'!AQ:AQ)</f>
        <v>-21563.509999995829</v>
      </c>
      <c r="AR592" s="762">
        <f>SUMIF('Duplicate Disposition'!$C:$C,$C592,'Duplicate Disposition'!AR:AR)</f>
        <v>0</v>
      </c>
      <c r="AS592" s="762">
        <f>SUMIF('Duplicate Disposition'!$C:$C,$C592,'Duplicate Disposition'!AS:AS)</f>
        <v>-21563.509999995829</v>
      </c>
      <c r="AT592" s="762">
        <f>SUMIF('Duplicate Disposition'!$C:$C,$C592,'Duplicate Disposition'!AT:AT)</f>
        <v>0</v>
      </c>
      <c r="AU592" s="724">
        <f>SUMIF('Duplicate Disposition'!$C:$C,$C592,'Duplicate Disposition'!AU:AU)</f>
        <v>2815401.65</v>
      </c>
      <c r="AV592" s="724">
        <f>SUMIF('Duplicate Disposition'!$C:$C,$C592,'Duplicate Disposition'!AV:AV)</f>
        <v>3048747.85</v>
      </c>
      <c r="AW592" s="724">
        <f>SUMIF('Duplicate Disposition'!$C:$C,$C592,'Duplicate Disposition'!AW:AW)</f>
        <v>3023274.85</v>
      </c>
      <c r="AX592" s="724">
        <f>SUMIF('Duplicate Disposition'!$C:$C,$C592,'Duplicate Disposition'!AX:AX)</f>
        <v>3022903.11</v>
      </c>
      <c r="AY592" s="724">
        <f>SUMIF('Duplicate Disposition'!$C:$C,$C592,'Duplicate Disposition'!AY:AY)</f>
        <v>3022905.03</v>
      </c>
      <c r="AZ592" s="724">
        <f>SUMIF('Duplicate Disposition'!$C:$C,$C592,'Duplicate Disposition'!AZ:AZ)</f>
        <v>3022903.07</v>
      </c>
      <c r="BA592" s="724">
        <f>SUMIF('Duplicate Disposition'!$C:$C,$C592,'Duplicate Disposition'!BA:BA)</f>
        <v>2979343.79</v>
      </c>
      <c r="BB592" s="724">
        <f>SUMIF('Duplicate Disposition'!$C:$C,$C592,'Duplicate Disposition'!BB:BB)</f>
        <v>2959650.97</v>
      </c>
      <c r="BC592" s="724">
        <f>SUMIF('Duplicate Disposition'!$C:$C,$C592,'Duplicate Disposition'!BC:BC)</f>
        <v>2826063.51</v>
      </c>
      <c r="BD592" s="724">
        <f>SUMIF('Duplicate Disposition'!$C:$C,$C592,'Duplicate Disposition'!BD:BD)</f>
        <v>2685256.61</v>
      </c>
      <c r="BE592" s="724">
        <f>SUMIF('Duplicate Disposition'!$C:$C,$C592,'Duplicate Disposition'!BE:BE)</f>
        <v>2685257.5</v>
      </c>
      <c r="BF592" s="724">
        <f>SUMIF('Duplicate Disposition'!$C:$C,$C592,'Duplicate Disposition'!BF:BF)</f>
        <v>2685256.57</v>
      </c>
      <c r="BG592" s="724">
        <f>SUMIF('Duplicate Disposition'!$C:$C,$C592,'Duplicate Disposition'!BG:BG)</f>
        <v>34776964.509999998</v>
      </c>
      <c r="BH592" s="724">
        <f>SUMIF('Duplicate Disposition'!$C:$C,$C592,'Duplicate Disposition'!BH:BH)</f>
        <v>2815401.65</v>
      </c>
      <c r="BI592" s="724">
        <f>SUMIF('Duplicate Disposition'!$C:$C,$C592,'Duplicate Disposition'!BI:BI)</f>
        <v>3048747.85</v>
      </c>
      <c r="BJ592" s="724">
        <f>SUMIF('Duplicate Disposition'!$C:$C,$C592,'Duplicate Disposition'!BJ:BJ)</f>
        <v>3023274.85</v>
      </c>
      <c r="BK592" s="724">
        <f>SUMIF('Duplicate Disposition'!$C:$C,$C592,'Duplicate Disposition'!BK:BK)</f>
        <v>3021020.11</v>
      </c>
      <c r="BL592" s="724">
        <f>SUMIF('Duplicate Disposition'!$C:$C,$C592,'Duplicate Disposition'!BL:BL)</f>
        <v>3021022.03</v>
      </c>
      <c r="BM592" s="724">
        <f>SUMIF('Duplicate Disposition'!$C:$C,$C592,'Duplicate Disposition'!BM:BM)</f>
        <v>3021020.07</v>
      </c>
      <c r="BN592" s="724">
        <f>SUMIF('Duplicate Disposition'!$C:$C,$C592,'Duplicate Disposition'!BN:BN)</f>
        <v>2977460.79</v>
      </c>
      <c r="BO592" s="724">
        <f>SUMIF('Duplicate Disposition'!$C:$C,$C592,'Duplicate Disposition'!BO:BO)</f>
        <v>2957767.97</v>
      </c>
      <c r="BP592" s="724">
        <f>SUMIF('Duplicate Disposition'!$C:$C,$C592,'Duplicate Disposition'!BP:BP)</f>
        <v>2824180.51</v>
      </c>
      <c r="BQ592" s="724">
        <f>SUMIF('Duplicate Disposition'!$C:$C,$C592,'Duplicate Disposition'!BQ:BQ)</f>
        <v>2683373.61</v>
      </c>
      <c r="BR592" s="724">
        <f>SUMIF('Duplicate Disposition'!$C:$C,$C592,'Duplicate Disposition'!BR:BR)</f>
        <v>2683374.5</v>
      </c>
      <c r="BS592" s="724">
        <f>SUMIF('Duplicate Disposition'!$C:$C,$C592,'Duplicate Disposition'!BS:BS)</f>
        <v>2683373.5699999998</v>
      </c>
      <c r="BT592" s="724">
        <f>SUMIF('Duplicate Disposition'!$C:$C,$C592,'Duplicate Disposition'!BT:BT)</f>
        <v>34760017.509999998</v>
      </c>
    </row>
  </sheetData>
  <sheetProtection formatCells="0" formatColumns="0" formatRows="0" insertRows="0" sort="0" autoFilter="0" pivotTables="0"/>
  <phoneticPr fontId="27" type="noConversion"/>
  <conditionalFormatting sqref="C1:C1048576">
    <cfRule type="duplicateValues" dxfId="510" priority="3"/>
  </conditionalFormatting>
  <conditionalFormatting sqref="C8:C592">
    <cfRule type="duplicateValues" dxfId="509" priority="1"/>
    <cfRule type="duplicateValues" dxfId="508" priority="2"/>
  </conditionalFormatting>
  <conditionalFormatting sqref="D1:D1048576">
    <cfRule type="duplicateValues" dxfId="507" priority="4"/>
  </conditionalFormatting>
  <conditionalFormatting sqref="D8:D592">
    <cfRule type="duplicateValues" dxfId="506" priority="44"/>
  </conditionalFormatting>
  <conditionalFormatting sqref="P1:P1048576">
    <cfRule type="duplicateValues" dxfId="505" priority="46"/>
  </conditionalFormatting>
  <conditionalFormatting sqref="P522:P527 P529:P533 P535:P583">
    <cfRule type="duplicateValues" dxfId="504" priority="49"/>
  </conditionalFormatting>
  <conditionalFormatting sqref="R1:R6">
    <cfRule type="duplicateValues" dxfId="503" priority="9"/>
  </conditionalFormatting>
  <conditionalFormatting sqref="AT26:BG26">
    <cfRule type="duplicateValues" dxfId="502" priority="6"/>
  </conditionalFormatting>
  <conditionalFormatting sqref="AT291:BG291">
    <cfRule type="duplicateValues" dxfId="501" priority="5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4D59-1067-4D9C-8079-0FDC66362E56}">
  <dimension ref="A1:G9"/>
  <sheetViews>
    <sheetView workbookViewId="0">
      <selection activeCell="G29" sqref="G29"/>
    </sheetView>
  </sheetViews>
  <sheetFormatPr defaultRowHeight="14.45"/>
  <cols>
    <col min="1" max="1" width="13.42578125" bestFit="1" customWidth="1"/>
    <col min="2" max="2" width="23.42578125" bestFit="1" customWidth="1"/>
    <col min="4" max="4" width="14.85546875" customWidth="1"/>
    <col min="5" max="5" width="15.42578125" bestFit="1" customWidth="1"/>
    <col min="6" max="6" width="18.42578125" bestFit="1" customWidth="1"/>
    <col min="7" max="7" width="11.5703125" bestFit="1" customWidth="1"/>
  </cols>
  <sheetData>
    <row r="1" spans="1:7">
      <c r="A1" s="12">
        <f>SUBTOTAL(9,ERP_27[LE2 Final Submission])</f>
        <v>951511</v>
      </c>
      <c r="B1" t="s">
        <v>2945</v>
      </c>
      <c r="E1" s="315">
        <v>126967464.75</v>
      </c>
      <c r="F1" t="s">
        <v>2946</v>
      </c>
      <c r="G1" s="316">
        <f>A1-E1</f>
        <v>-126015953.75</v>
      </c>
    </row>
    <row r="2" spans="1:7">
      <c r="A2" s="321">
        <v>6407318.4800000004</v>
      </c>
      <c r="B2" t="s">
        <v>2172</v>
      </c>
      <c r="E2" s="381">
        <f>A2</f>
        <v>6407318.4800000004</v>
      </c>
    </row>
    <row r="3" spans="1:7">
      <c r="A3" s="321">
        <v>76424</v>
      </c>
      <c r="B3" t="s">
        <v>2947</v>
      </c>
    </row>
    <row r="4" spans="1:7">
      <c r="A4" s="767">
        <v>1386527.18000003</v>
      </c>
    </row>
    <row r="5" spans="1:7">
      <c r="A5" s="321">
        <v>6720911.2955773752</v>
      </c>
      <c r="B5" t="s">
        <v>2948</v>
      </c>
    </row>
    <row r="6" spans="1:7">
      <c r="A6" s="381">
        <f>A1+A2+A3</f>
        <v>7435253.4800000004</v>
      </c>
      <c r="D6" s="321">
        <v>133805397</v>
      </c>
      <c r="E6" s="316">
        <f>SUM(E1:E5)</f>
        <v>133374783.23</v>
      </c>
      <c r="G6" s="316">
        <f>D6-E6</f>
        <v>430613.76999999583</v>
      </c>
    </row>
    <row r="9" spans="1:7">
      <c r="A9">
        <v>-139766057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B245-8948-4A2F-875D-02D3B350FF4A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51C6-B3B7-41AB-AC9D-C081B5AF3C1C}">
  <sheetPr>
    <pageSetUpPr fitToPage="1"/>
  </sheetPr>
  <dimension ref="A1:BU688"/>
  <sheetViews>
    <sheetView topLeftCell="A80" zoomScale="80" zoomScaleNormal="80" workbookViewId="0">
      <selection activeCell="AO26" sqref="AO26"/>
    </sheetView>
  </sheetViews>
  <sheetFormatPr defaultColWidth="9.140625" defaultRowHeight="15" customHeight="1" outlineLevelCol="2"/>
  <cols>
    <col min="1" max="1" width="9.140625" customWidth="1"/>
    <col min="2" max="2" width="55.5703125" hidden="1" customWidth="1" outlineLevel="1"/>
    <col min="3" max="3" width="4.85546875" hidden="1" customWidth="1" outlineLevel="1"/>
    <col min="4" max="4" width="9.140625" customWidth="1" collapsed="1"/>
    <col min="5" max="5" width="15" customWidth="1" collapsed="1"/>
    <col min="6" max="6" width="13.5703125" customWidth="1"/>
    <col min="7" max="7" width="21.5703125" style="1" customWidth="1"/>
    <col min="8" max="8" width="64.5703125" style="318" customWidth="1"/>
    <col min="9" max="9" width="16.140625" style="10" customWidth="1"/>
    <col min="10" max="10" width="18.85546875" customWidth="1"/>
    <col min="11" max="11" width="21.42578125" customWidth="1"/>
    <col min="12" max="12" width="25.85546875" customWidth="1"/>
    <col min="13" max="13" width="21.85546875" customWidth="1"/>
    <col min="14" max="14" width="5.42578125" customWidth="1"/>
    <col min="15" max="15" width="19.5703125" customWidth="1"/>
    <col min="16" max="16" width="65.140625" customWidth="1"/>
    <col min="17" max="21" width="16.85546875" customWidth="1"/>
    <col min="22" max="22" width="18.140625" customWidth="1" outlineLevel="2"/>
    <col min="23" max="23" width="15.140625" customWidth="1" outlineLevel="2"/>
    <col min="24" max="24" width="16.42578125" customWidth="1" outlineLevel="2"/>
    <col min="25" max="25" width="12.140625" style="419" customWidth="1" outlineLevel="2"/>
    <col min="26" max="33" width="12.140625" customWidth="1" outlineLevel="2"/>
    <col min="34" max="34" width="14.42578125" customWidth="1"/>
    <col min="35" max="35" width="18.140625" customWidth="1"/>
    <col min="36" max="36" width="18.140625" customWidth="1" outlineLevel="1"/>
    <col min="37" max="37" width="21.5703125" customWidth="1" outlineLevel="1"/>
    <col min="38" max="38" width="26.140625" style="321" customWidth="1"/>
    <col min="39" max="39" width="18.140625" style="1" customWidth="1"/>
    <col min="40" max="40" width="18.140625" customWidth="1"/>
    <col min="41" max="41" width="18.140625" style="4" customWidth="1"/>
    <col min="42" max="53" width="18.140625" style="15" customWidth="1" outlineLevel="2"/>
    <col min="54" max="54" width="18.140625" style="15" customWidth="1"/>
    <col min="55" max="66" width="18.140625" customWidth="1" outlineLevel="1"/>
    <col min="67" max="67" width="18.140625" customWidth="1"/>
  </cols>
  <sheetData>
    <row r="1" spans="1:73" ht="15" customHeight="1">
      <c r="B1" s="1"/>
      <c r="C1" s="1"/>
      <c r="D1" s="1"/>
      <c r="E1" s="1"/>
      <c r="F1" s="1"/>
      <c r="H1" s="2"/>
      <c r="I1" s="1"/>
      <c r="J1" s="1"/>
      <c r="K1" s="1"/>
      <c r="L1" s="1"/>
      <c r="M1" s="1"/>
      <c r="N1" s="3"/>
      <c r="O1" s="3"/>
      <c r="P1" s="4"/>
      <c r="AA1" s="1"/>
      <c r="AB1" s="1"/>
      <c r="AC1" s="1"/>
      <c r="AD1" s="1"/>
      <c r="AE1" s="1"/>
      <c r="AF1" s="1"/>
      <c r="AG1" s="1"/>
    </row>
    <row r="2" spans="1:73" s="5" customFormat="1" ht="15" customHeight="1">
      <c r="B2" s="6"/>
      <c r="C2" s="6"/>
      <c r="D2" s="6"/>
      <c r="E2" s="6"/>
      <c r="F2" s="1"/>
      <c r="G2" s="510"/>
      <c r="H2" s="7"/>
      <c r="I2" s="322"/>
      <c r="J2" s="322"/>
      <c r="K2" s="6"/>
      <c r="L2" s="6"/>
      <c r="M2" s="322"/>
      <c r="N2" s="8"/>
      <c r="O2" s="8"/>
      <c r="P2" s="6"/>
      <c r="R2" s="5">
        <f>R3-AH3</f>
        <v>16595224.36833255</v>
      </c>
      <c r="AA2" s="6"/>
      <c r="AB2" s="6"/>
      <c r="AC2" s="6"/>
      <c r="AD2" s="6"/>
      <c r="AE2" s="6"/>
      <c r="AF2" s="6"/>
      <c r="AG2" s="6"/>
      <c r="AM2" s="6"/>
      <c r="AO2" s="9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</row>
    <row r="3" spans="1:73" ht="15" customHeight="1">
      <c r="A3" s="10"/>
      <c r="B3" s="1"/>
      <c r="C3" s="1"/>
      <c r="D3" s="1"/>
      <c r="E3" s="1"/>
      <c r="F3" s="1"/>
      <c r="H3" s="2"/>
      <c r="I3" s="1"/>
      <c r="J3" s="1"/>
      <c r="K3" s="1"/>
      <c r="L3" s="1"/>
      <c r="M3" s="1"/>
      <c r="N3" s="3"/>
      <c r="O3" s="3"/>
      <c r="P3" s="4"/>
      <c r="Q3" s="11">
        <f>R3-554586-35645</f>
        <v>143262608.33998999</v>
      </c>
      <c r="R3" s="11">
        <f>SUBTOTAL(9,ERP_5[2026 LE0])</f>
        <v>143852839.33998999</v>
      </c>
      <c r="S3" s="12">
        <f>SUBTOTAL(9,ERP_5[LE2 Final Submission])</f>
        <v>127116568.77019593</v>
      </c>
      <c r="T3" s="12">
        <f>SUBTOTAL(9,ERP_5[LE3 Final Submission])</f>
        <v>0</v>
      </c>
      <c r="U3" s="12">
        <f>SUBTOTAL(9,ERP_5[LE4 Final Submission])</f>
        <v>0</v>
      </c>
      <c r="V3" s="12">
        <f>SUBTOTAL(9,ERP_5[AP01])</f>
        <v>23394262.160000004</v>
      </c>
      <c r="W3" s="12">
        <f>SUBTOTAL(9,ERP_5[AP02])</f>
        <v>-766426.91999998584</v>
      </c>
      <c r="X3" s="12">
        <f>SUBTOTAL(9,ERP_5[AP03])</f>
        <v>10624250.360000005</v>
      </c>
      <c r="Y3" s="12">
        <f>SUBTOTAL(9,ERP_5[AP04])</f>
        <v>11304785.120000014</v>
      </c>
      <c r="Z3" s="12">
        <f>SUBTOTAL(9,ERP_5[AP05])</f>
        <v>10087343.960000014</v>
      </c>
      <c r="AA3" s="12">
        <f>SUBTOTAL(9,ERP_5[AP06])</f>
        <v>11179044.490000008</v>
      </c>
      <c r="AB3" s="12">
        <f>SUBTOTAL(9,ERP_5[AP07])</f>
        <v>8692098.0381572582</v>
      </c>
      <c r="AC3" s="12">
        <f>SUBTOTAL(9,ERP_5[AP08])</f>
        <v>13228554.215355609</v>
      </c>
      <c r="AD3" s="12">
        <f>SUBTOTAL(9,ERP_5[AP09])</f>
        <v>9856073.4886614382</v>
      </c>
      <c r="AE3" s="12">
        <f>SUBTOTAL(9,ERP_5[AP10])</f>
        <v>9104264.5268416069</v>
      </c>
      <c r="AF3" s="12">
        <f>SUBTOTAL(9,ERP_5[AP11])</f>
        <v>11021883.415480494</v>
      </c>
      <c r="AG3" s="12">
        <f>SUBTOTAL(9,ERP_5[AP12])</f>
        <v>9531482.1171611585</v>
      </c>
      <c r="AH3" s="12">
        <f>SUBTOTAL(9,ERP_5[2026 Working Total])</f>
        <v>127257614.97165744</v>
      </c>
      <c r="AI3" s="13">
        <f>SUBTOTAL(9,ERP_5[2026 Working Total to Budget/LE])</f>
        <v>141046.20146161978</v>
      </c>
      <c r="AJ3" s="12">
        <f>SUBTOTAL(9,ERP_5[Latest AP Snapshot])</f>
        <v>12423619.78991475</v>
      </c>
      <c r="AK3" s="12">
        <f>SUBTOTAL(9,ERP_5[Latest AP Variance to Snapshot])</f>
        <v>-1244575.2999147484</v>
      </c>
      <c r="AL3" s="13">
        <f>SUBTOTAL(9,ERP_5[YTD Act to Bud/LE])</f>
        <v>-1431998.4489828243</v>
      </c>
      <c r="AM3" s="14">
        <f>SUBTOTAL(9,ERP_5[Giveback])</f>
        <v>1115265</v>
      </c>
      <c r="AN3" s="12">
        <f>SUBTOTAL(9,ERP_5[Other Allocation])</f>
        <v>-940218.79853837949</v>
      </c>
      <c r="AO3" s="14"/>
      <c r="AP3" s="12">
        <f>SUBTOTAL(9,ERP_5[AP01 LE2])</f>
        <v>23394262.160000004</v>
      </c>
      <c r="AQ3" s="12">
        <f>SUBTOTAL(9,ERP_5[AP02 LE2])</f>
        <v>-766426.91999998584</v>
      </c>
      <c r="AR3" s="12">
        <f>SUBTOTAL(9,ERP_5[AP03 LE2])</f>
        <v>10624250.360000005</v>
      </c>
      <c r="AS3" s="12">
        <f>SUBTOTAL(9,ERP_5[AP04 LE2])</f>
        <v>10731145.104166668</v>
      </c>
      <c r="AT3" s="12">
        <f>SUBTOTAL(9,ERP_5[AP05 LE2])</f>
        <v>11493575.49658175</v>
      </c>
      <c r="AU3" s="12">
        <f>SUBTOTAL(9,ERP_5[AP06 LE2])</f>
        <v>11778451.418234417</v>
      </c>
      <c r="AV3" s="12">
        <f>SUBTOTAL(9,ERP_5[AP07 LE2])</f>
        <v>8765081.0693794787</v>
      </c>
      <c r="AW3" s="12">
        <f>SUBTOTAL(9,ERP_5[AP08 LE2])</f>
        <v>13268735.826577831</v>
      </c>
      <c r="AX3" s="12">
        <f>SUBTOTAL(9,ERP_5[AP09 LE2])</f>
        <v>9757694.0498836599</v>
      </c>
      <c r="AY3" s="12">
        <f>SUBTOTAL(9,ERP_5[AP10 LE2])</f>
        <v>7868848.1380638266</v>
      </c>
      <c r="AZ3" s="12">
        <f>SUBTOTAL(9,ERP_5[AP11 LE2])</f>
        <v>10799280.18781383</v>
      </c>
      <c r="BA3" s="12">
        <f>SUBTOTAL(9,ERP_5[AP12 LE2])</f>
        <v>9401671.879494492</v>
      </c>
      <c r="BB3" s="12">
        <f>SUBTOTAL(9,ERP_5[2026 LE2 Working Total])</f>
        <v>127116568.77019593</v>
      </c>
      <c r="BC3" s="12">
        <f>SUBTOTAL(9,ERP_5[2026 AP01])</f>
        <v>23567752.933333009</v>
      </c>
      <c r="BD3" s="12">
        <f>SUBTOTAL(9,ERP_5[2026 AP02])</f>
        <v>-355739.15666698577</v>
      </c>
      <c r="BE3" s="12">
        <f>SUBTOTAL(9,ERP_5[2026 AP03])</f>
        <v>11418986.783333013</v>
      </c>
      <c r="BF3" s="12">
        <f>SUBTOTAL(9,ERP_5[2026 AP04])</f>
        <v>12341162.823166003</v>
      </c>
      <c r="BG3" s="12">
        <f>SUBTOTAL(9,ERP_5[2026 AP05])</f>
        <v>12420207.713166002</v>
      </c>
      <c r="BH3" s="12">
        <f>SUBTOTAL(9,ERP_5[2026 AP06])</f>
        <v>13447114.253166007</v>
      </c>
      <c r="BI3" s="12">
        <f>SUBTOTAL(9,ERP_5[2026 AP07])</f>
        <v>12251484.013166001</v>
      </c>
      <c r="BJ3" s="12">
        <f>SUBTOTAL(9,ERP_5[2026 AP08])</f>
        <v>12298739.823166002</v>
      </c>
      <c r="BK3" s="12">
        <f>SUBTOTAL(9,ERP_5[2026 AP09])</f>
        <v>12666138.213166002</v>
      </c>
      <c r="BL3" s="12">
        <f>SUBTOTAL(9,ERP_5[2026 AP10])</f>
        <v>12314418.343166003</v>
      </c>
      <c r="BM3" s="12">
        <f>SUBTOTAL(9,ERP_5[2026 AP11])</f>
        <v>11523451.103166005</v>
      </c>
      <c r="BN3" s="12">
        <f>SUBTOTAL(9,ERP_5[2026 AP12])</f>
        <v>11426085.893166</v>
      </c>
      <c r="BO3" s="12">
        <f>SUBTOTAL(9,ERP_5[2026 LE0 Submission])</f>
        <v>145319802.738493</v>
      </c>
      <c r="BU3" s="15"/>
    </row>
    <row r="4" spans="1:73" ht="15" customHeight="1">
      <c r="B4" s="1"/>
      <c r="C4" s="1"/>
      <c r="D4" s="1"/>
      <c r="E4" s="1"/>
      <c r="F4" s="1"/>
      <c r="H4" s="16"/>
      <c r="I4" s="4"/>
      <c r="J4" s="1"/>
      <c r="K4" s="1"/>
      <c r="L4" s="1"/>
      <c r="M4" s="1"/>
      <c r="N4" s="3"/>
      <c r="O4" s="3"/>
      <c r="P4" s="4"/>
      <c r="AA4" s="1"/>
      <c r="AB4" s="1"/>
      <c r="AC4" s="1"/>
      <c r="AD4" s="1"/>
      <c r="AE4" s="1"/>
      <c r="AF4" s="1"/>
      <c r="AG4" s="1"/>
      <c r="BU4" s="15"/>
    </row>
    <row r="5" spans="1:73" s="10" customFormat="1" ht="15" customHeight="1">
      <c r="B5" s="21"/>
      <c r="C5" s="18"/>
      <c r="D5" s="18"/>
      <c r="E5" s="18"/>
      <c r="F5" s="18"/>
      <c r="G5" s="18"/>
      <c r="H5" s="19"/>
      <c r="I5" s="18"/>
      <c r="J5" s="18"/>
      <c r="K5" s="20" t="s">
        <v>310</v>
      </c>
      <c r="L5" s="18"/>
      <c r="M5" s="18"/>
      <c r="N5" s="21"/>
      <c r="O5" s="18"/>
      <c r="P5" s="22"/>
      <c r="Q5" s="23" t="s">
        <v>1053</v>
      </c>
      <c r="R5" s="24" t="s">
        <v>1054</v>
      </c>
      <c r="S5" s="24"/>
      <c r="T5" s="24"/>
      <c r="U5" s="24"/>
      <c r="V5" s="25" t="s">
        <v>1055</v>
      </c>
      <c r="W5" s="26"/>
      <c r="X5" s="26"/>
      <c r="Y5" s="420"/>
      <c r="Z5" s="26"/>
      <c r="AA5" s="27"/>
      <c r="AB5" s="27"/>
      <c r="AC5" s="27"/>
      <c r="AD5" s="27"/>
      <c r="AE5" s="27"/>
      <c r="AF5" s="27"/>
      <c r="AG5" s="27"/>
      <c r="AH5" s="26"/>
      <c r="AI5" s="28"/>
      <c r="AJ5" s="29"/>
      <c r="AK5" s="29"/>
      <c r="AL5" s="327" t="s">
        <v>1056</v>
      </c>
      <c r="AM5" s="31"/>
      <c r="AN5" s="29"/>
      <c r="AO5" s="32"/>
      <c r="AP5" s="326" t="s">
        <v>1057</v>
      </c>
      <c r="AQ5" s="326"/>
      <c r="AR5" s="326"/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3" t="s">
        <v>1054</v>
      </c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443"/>
      <c r="BU5" s="35"/>
    </row>
    <row r="6" spans="1:73" s="47" customFormat="1" ht="15" customHeight="1">
      <c r="A6" s="36"/>
      <c r="B6" s="37"/>
      <c r="C6" s="37"/>
      <c r="D6" s="37"/>
      <c r="E6" s="37"/>
      <c r="F6" s="1"/>
      <c r="G6" s="37"/>
      <c r="H6" s="38"/>
      <c r="I6" s="37"/>
      <c r="J6" s="37"/>
      <c r="K6" s="37"/>
      <c r="L6" s="37"/>
      <c r="M6" s="37"/>
      <c r="N6" s="37"/>
      <c r="O6" s="37"/>
      <c r="P6" s="39"/>
      <c r="Q6" s="40"/>
      <c r="R6" s="456" t="s">
        <v>1058</v>
      </c>
      <c r="S6" s="457">
        <v>518</v>
      </c>
      <c r="T6" s="41">
        <v>821</v>
      </c>
      <c r="U6" s="41">
        <v>1023</v>
      </c>
      <c r="V6" s="42" t="s">
        <v>1059</v>
      </c>
      <c r="W6" s="42" t="s">
        <v>1059</v>
      </c>
      <c r="X6" s="42" t="s">
        <v>1059</v>
      </c>
      <c r="Y6" s="421" t="s">
        <v>1059</v>
      </c>
      <c r="Z6" s="42" t="s">
        <v>1059</v>
      </c>
      <c r="AA6" s="43" t="s">
        <v>1059</v>
      </c>
      <c r="AB6" s="43" t="s">
        <v>1060</v>
      </c>
      <c r="AC6" s="43" t="s">
        <v>1060</v>
      </c>
      <c r="AD6" s="43" t="s">
        <v>1060</v>
      </c>
      <c r="AE6" s="43" t="s">
        <v>1060</v>
      </c>
      <c r="AF6" s="43" t="s">
        <v>1060</v>
      </c>
      <c r="AG6" s="43" t="s">
        <v>1060</v>
      </c>
      <c r="AH6" s="40"/>
      <c r="AI6" s="40"/>
      <c r="AJ6" s="458" t="s">
        <v>1093</v>
      </c>
      <c r="AK6" s="458"/>
      <c r="AL6" s="328" t="s">
        <v>1062</v>
      </c>
      <c r="AM6" s="44" t="s">
        <v>1063</v>
      </c>
      <c r="AN6" s="45" t="s">
        <v>1064</v>
      </c>
      <c r="AO6" s="46"/>
      <c r="AP6" s="42" t="s">
        <v>1065</v>
      </c>
      <c r="AQ6" s="42" t="s">
        <v>1065</v>
      </c>
      <c r="AR6" s="42" t="s">
        <v>1065</v>
      </c>
      <c r="AS6" s="42" t="s">
        <v>1065</v>
      </c>
      <c r="AT6" s="42" t="s">
        <v>1065</v>
      </c>
      <c r="AU6" s="42" t="s">
        <v>1065</v>
      </c>
      <c r="AV6" s="42" t="s">
        <v>1065</v>
      </c>
      <c r="AW6" s="42" t="s">
        <v>1065</v>
      </c>
      <c r="AX6" s="42" t="s">
        <v>1065</v>
      </c>
      <c r="AY6" s="42" t="s">
        <v>1065</v>
      </c>
      <c r="AZ6" s="42" t="s">
        <v>1065</v>
      </c>
      <c r="BA6" s="42" t="s">
        <v>1065</v>
      </c>
      <c r="BB6" s="42" t="s">
        <v>1065</v>
      </c>
      <c r="BC6" s="42" t="s">
        <v>1066</v>
      </c>
      <c r="BD6" s="42" t="s">
        <v>1066</v>
      </c>
      <c r="BE6" s="42" t="s">
        <v>1066</v>
      </c>
      <c r="BF6" s="42" t="s">
        <v>1066</v>
      </c>
      <c r="BG6" s="42" t="s">
        <v>1066</v>
      </c>
      <c r="BH6" s="42" t="s">
        <v>1066</v>
      </c>
      <c r="BI6" s="42" t="s">
        <v>1066</v>
      </c>
      <c r="BJ6" s="42" t="s">
        <v>1066</v>
      </c>
      <c r="BK6" s="42" t="s">
        <v>1066</v>
      </c>
      <c r="BL6" s="42" t="s">
        <v>1066</v>
      </c>
      <c r="BM6" s="42" t="s">
        <v>1066</v>
      </c>
      <c r="BN6" s="42" t="s">
        <v>1066</v>
      </c>
      <c r="BO6" s="42" t="s">
        <v>1066</v>
      </c>
      <c r="BU6" s="48"/>
    </row>
    <row r="7" spans="1:73" ht="30.95" customHeight="1" thickBot="1">
      <c r="A7" s="49" t="s">
        <v>1067</v>
      </c>
      <c r="B7" s="49" t="s">
        <v>1</v>
      </c>
      <c r="C7" s="50" t="s">
        <v>1072</v>
      </c>
      <c r="D7" s="49" t="s">
        <v>1073</v>
      </c>
      <c r="E7" s="51" t="s">
        <v>1074</v>
      </c>
      <c r="F7" s="49" t="s">
        <v>1075</v>
      </c>
      <c r="G7" s="52" t="s">
        <v>0</v>
      </c>
      <c r="H7" s="53" t="s">
        <v>1076</v>
      </c>
      <c r="I7" s="324" t="s">
        <v>1077</v>
      </c>
      <c r="J7" s="444" t="s">
        <v>1078</v>
      </c>
      <c r="K7" s="49" t="s">
        <v>2</v>
      </c>
      <c r="L7" s="49" t="s">
        <v>1079</v>
      </c>
      <c r="M7" s="323" t="s">
        <v>1080</v>
      </c>
      <c r="N7" s="54" t="s">
        <v>1081</v>
      </c>
      <c r="O7" s="54" t="s">
        <v>3</v>
      </c>
      <c r="P7" s="54" t="s">
        <v>1082</v>
      </c>
      <c r="Q7" s="422" t="s">
        <v>1083</v>
      </c>
      <c r="R7" s="423" t="s">
        <v>1084</v>
      </c>
      <c r="S7" s="423" t="s">
        <v>1085</v>
      </c>
      <c r="T7" s="55" t="s">
        <v>1086</v>
      </c>
      <c r="U7" s="55" t="s">
        <v>1087</v>
      </c>
      <c r="V7" s="57" t="s">
        <v>1088</v>
      </c>
      <c r="W7" s="49" t="s">
        <v>1089</v>
      </c>
      <c r="X7" s="49" t="s">
        <v>1090</v>
      </c>
      <c r="Y7" s="424" t="s">
        <v>1091</v>
      </c>
      <c r="Z7" s="59" t="s">
        <v>1092</v>
      </c>
      <c r="AA7" s="59" t="s">
        <v>1093</v>
      </c>
      <c r="AB7" s="58" t="s">
        <v>1061</v>
      </c>
      <c r="AC7" s="59" t="s">
        <v>1094</v>
      </c>
      <c r="AD7" s="59" t="s">
        <v>1095</v>
      </c>
      <c r="AE7" s="58" t="s">
        <v>1096</v>
      </c>
      <c r="AF7" s="59" t="s">
        <v>1097</v>
      </c>
      <c r="AG7" s="60" t="s">
        <v>1098</v>
      </c>
      <c r="AH7" s="61" t="s">
        <v>1099</v>
      </c>
      <c r="AI7" s="62" t="s">
        <v>1100</v>
      </c>
      <c r="AJ7" s="63" t="s">
        <v>1101</v>
      </c>
      <c r="AK7" s="63" t="s">
        <v>1102</v>
      </c>
      <c r="AL7" s="329" t="s">
        <v>1103</v>
      </c>
      <c r="AM7" s="64" t="s">
        <v>1104</v>
      </c>
      <c r="AN7" s="63" t="s">
        <v>1105</v>
      </c>
      <c r="AO7" s="64" t="s">
        <v>1106</v>
      </c>
      <c r="AP7" s="441" t="s">
        <v>1107</v>
      </c>
      <c r="AQ7" s="441" t="s">
        <v>1108</v>
      </c>
      <c r="AR7" s="441" t="s">
        <v>1109</v>
      </c>
      <c r="AS7" s="441" t="s">
        <v>1110</v>
      </c>
      <c r="AT7" s="441" t="s">
        <v>1111</v>
      </c>
      <c r="AU7" s="441" t="s">
        <v>1112</v>
      </c>
      <c r="AV7" s="441" t="s">
        <v>1113</v>
      </c>
      <c r="AW7" s="441" t="s">
        <v>1114</v>
      </c>
      <c r="AX7" s="441" t="s">
        <v>1115</v>
      </c>
      <c r="AY7" s="441" t="s">
        <v>1116</v>
      </c>
      <c r="AZ7" s="441" t="s">
        <v>1117</v>
      </c>
      <c r="BA7" s="441" t="s">
        <v>1118</v>
      </c>
      <c r="BB7" s="441" t="s">
        <v>1119</v>
      </c>
      <c r="BC7" s="442" t="s">
        <v>1120</v>
      </c>
      <c r="BD7" s="442" t="s">
        <v>1121</v>
      </c>
      <c r="BE7" s="442" t="s">
        <v>1122</v>
      </c>
      <c r="BF7" s="442" t="s">
        <v>1123</v>
      </c>
      <c r="BG7" s="442" t="s">
        <v>1124</v>
      </c>
      <c r="BH7" s="442" t="s">
        <v>1125</v>
      </c>
      <c r="BI7" s="442" t="s">
        <v>1126</v>
      </c>
      <c r="BJ7" s="442" t="s">
        <v>1127</v>
      </c>
      <c r="BK7" s="442" t="s">
        <v>1128</v>
      </c>
      <c r="BL7" s="442" t="s">
        <v>1129</v>
      </c>
      <c r="BM7" s="442" t="s">
        <v>1130</v>
      </c>
      <c r="BN7" s="442" t="s">
        <v>1131</v>
      </c>
      <c r="BO7" s="442" t="s">
        <v>1132</v>
      </c>
    </row>
    <row r="8" spans="1:73" ht="15" customHeight="1">
      <c r="A8" s="66" t="s">
        <v>2208</v>
      </c>
      <c r="B8" s="66" t="s">
        <v>641</v>
      </c>
      <c r="C8" s="150" t="s">
        <v>1136</v>
      </c>
      <c r="D8" s="150" t="s">
        <v>1135</v>
      </c>
      <c r="E8" s="150" t="s">
        <v>1135</v>
      </c>
      <c r="F8" s="150" t="s">
        <v>1137</v>
      </c>
      <c r="G8" s="511" t="s">
        <v>639</v>
      </c>
      <c r="H8" s="392" t="s">
        <v>2209</v>
      </c>
      <c r="I8" s="343"/>
      <c r="J8" s="343"/>
      <c r="K8" s="157" t="s">
        <v>642</v>
      </c>
      <c r="L8" s="346"/>
      <c r="M8" s="343"/>
      <c r="N8" s="346"/>
      <c r="O8" s="150" t="s">
        <v>152</v>
      </c>
      <c r="P8" s="150"/>
      <c r="Q8" s="403"/>
      <c r="R8" s="406">
        <v>103465.00000000001</v>
      </c>
      <c r="S8" s="406">
        <v>77598.720000000001</v>
      </c>
      <c r="T8" s="425"/>
      <c r="U8" s="71"/>
      <c r="V8" s="426"/>
      <c r="W8" s="427"/>
      <c r="X8" s="427"/>
      <c r="Y8" s="428" t="s">
        <v>1142</v>
      </c>
      <c r="Z8" s="429">
        <v>0</v>
      </c>
      <c r="AA8" s="429">
        <v>0</v>
      </c>
      <c r="AB8" s="363">
        <v>17244</v>
      </c>
      <c r="AC8" s="363">
        <v>17244</v>
      </c>
      <c r="AD8" s="363">
        <v>17244</v>
      </c>
      <c r="AE8" s="363">
        <v>17244</v>
      </c>
      <c r="AF8" s="363">
        <v>17244</v>
      </c>
      <c r="AG8" s="363">
        <v>17244</v>
      </c>
      <c r="AH8" s="360">
        <f>SUM(V8:AG8)</f>
        <v>103464</v>
      </c>
      <c r="AI8" s="361">
        <f>ERP_5[[#This Row],[2026 Working Total]]-ERP_5[[#This Row],[LE2 Final Submission]]</f>
        <v>25865.279999999999</v>
      </c>
      <c r="AJ8" s="79"/>
      <c r="AK8" s="79">
        <f t="shared" ref="AK8:AK71" si="0">$AA8 - $AJ8</f>
        <v>0</v>
      </c>
      <c r="AL8" s="374">
        <f>SUM(ERP_5[[#This Row],[AP01]:[AP06]])-SUM(ERP_5[[#This Row],[AP01 LE2]:[AP06 LE2]])</f>
        <v>-25866.239999999998</v>
      </c>
      <c r="AM8" s="80"/>
      <c r="AN8" s="79">
        <f>ERP_5[[#This Row],[2026 Working Total to Budget/LE]]-ERP_5[[#This Row],[Giveback]]</f>
        <v>25865.279999999999</v>
      </c>
      <c r="AO8" s="81"/>
      <c r="AP8" s="375"/>
      <c r="AQ8" s="375"/>
      <c r="AR8" s="375"/>
      <c r="AS8" s="375">
        <v>8622.08</v>
      </c>
      <c r="AT8" s="375">
        <v>8622.08</v>
      </c>
      <c r="AU8" s="375">
        <v>8622.08</v>
      </c>
      <c r="AV8" s="375">
        <v>8622.08</v>
      </c>
      <c r="AW8" s="375">
        <v>8622.08</v>
      </c>
      <c r="AX8" s="375">
        <v>8622.08</v>
      </c>
      <c r="AY8" s="375">
        <v>8622.08</v>
      </c>
      <c r="AZ8" s="375">
        <v>8622.08</v>
      </c>
      <c r="BA8" s="375">
        <v>8622.08</v>
      </c>
      <c r="BB8" s="375">
        <v>77598.720000000001</v>
      </c>
      <c r="BC8" s="79"/>
      <c r="BD8" s="79"/>
      <c r="BE8" s="79"/>
      <c r="BF8" s="79">
        <v>8622.08</v>
      </c>
      <c r="BG8" s="79">
        <v>8622.08</v>
      </c>
      <c r="BH8" s="79">
        <v>8622.08</v>
      </c>
      <c r="BI8" s="79">
        <v>8622.08</v>
      </c>
      <c r="BJ8" s="79">
        <v>8622.08</v>
      </c>
      <c r="BK8" s="79">
        <v>8622.08</v>
      </c>
      <c r="BL8" s="79">
        <v>8622.08</v>
      </c>
      <c r="BM8" s="79">
        <v>8622.08</v>
      </c>
      <c r="BN8" s="79">
        <v>8622.08</v>
      </c>
      <c r="BO8" s="79">
        <v>77598.720000000001</v>
      </c>
    </row>
    <row r="9" spans="1:73" ht="15" customHeight="1">
      <c r="A9" s="79" t="s">
        <v>1751</v>
      </c>
      <c r="B9" s="296" t="s">
        <v>1752</v>
      </c>
      <c r="C9" s="150" t="s">
        <v>1136</v>
      </c>
      <c r="D9" s="332" t="s">
        <v>1135</v>
      </c>
      <c r="E9" s="383" t="s">
        <v>1165</v>
      </c>
      <c r="F9" s="150" t="s">
        <v>1137</v>
      </c>
      <c r="G9" s="512" t="s">
        <v>389</v>
      </c>
      <c r="H9" s="393" t="s">
        <v>1753</v>
      </c>
      <c r="I9" s="343"/>
      <c r="J9" s="333"/>
      <c r="K9" s="91" t="s">
        <v>391</v>
      </c>
      <c r="L9" s="347"/>
      <c r="M9" s="343"/>
      <c r="N9" s="348"/>
      <c r="O9" s="386" t="s">
        <v>152</v>
      </c>
      <c r="P9" s="387" t="s">
        <v>1754</v>
      </c>
      <c r="Q9" s="432"/>
      <c r="R9" s="358">
        <v>183105</v>
      </c>
      <c r="S9" s="378">
        <v>0</v>
      </c>
      <c r="T9" s="425"/>
      <c r="U9" s="71"/>
      <c r="V9" s="433"/>
      <c r="W9" s="434"/>
      <c r="X9" s="434"/>
      <c r="Y9" s="428" t="s">
        <v>1142</v>
      </c>
      <c r="Z9" s="429">
        <v>0</v>
      </c>
      <c r="AA9" s="429">
        <v>0</v>
      </c>
      <c r="AB9" s="388"/>
      <c r="AC9" s="388"/>
      <c r="AD9" s="388"/>
      <c r="AE9" s="388"/>
      <c r="AF9" s="388"/>
      <c r="AG9" s="388"/>
      <c r="AH9" s="360">
        <f>SUM(V9:AG9)</f>
        <v>0</v>
      </c>
      <c r="AI9" s="362">
        <f>ERP_5[[#This Row],[2026 Working Total]]-ERP_5[[#This Row],[LE2 Final Submission]]</f>
        <v>0</v>
      </c>
      <c r="AJ9" s="79">
        <v>16071</v>
      </c>
      <c r="AK9" s="79">
        <f t="shared" si="0"/>
        <v>-16071</v>
      </c>
      <c r="AL9" s="374">
        <f>SUM(ERP_5[[#This Row],[AP01]:[AP06]])-SUM(ERP_5[[#This Row],[AP01 LE2]:[AP06 LE2]])</f>
        <v>0</v>
      </c>
      <c r="AM9" s="80">
        <v>-183105</v>
      </c>
      <c r="AN9" s="79">
        <f>ERP_5[[#This Row],[2026 Working Total to Budget/LE]]-ERP_5[[#This Row],[Giveback]]</f>
        <v>183105</v>
      </c>
      <c r="AO9" s="81" t="s">
        <v>1755</v>
      </c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>
        <v>0</v>
      </c>
      <c r="BC9" s="103">
        <v>15258.75</v>
      </c>
      <c r="BD9" s="103">
        <v>15258.75</v>
      </c>
      <c r="BE9" s="103">
        <v>15258.75</v>
      </c>
      <c r="BF9" s="103">
        <v>15258.75</v>
      </c>
      <c r="BG9" s="103">
        <v>15258.75</v>
      </c>
      <c r="BH9" s="103">
        <v>15258.75</v>
      </c>
      <c r="BI9" s="103">
        <v>15258.75</v>
      </c>
      <c r="BJ9" s="103">
        <v>15258.75</v>
      </c>
      <c r="BK9" s="103">
        <v>15258.75</v>
      </c>
      <c r="BL9" s="103">
        <v>15258.75</v>
      </c>
      <c r="BM9" s="103">
        <v>15258.75</v>
      </c>
      <c r="BN9" s="103">
        <v>15258.75</v>
      </c>
      <c r="BO9" s="79">
        <f>SUM(ERP_5[[#This Row],[2026 AP01]:[2026 AP12]])</f>
        <v>183105</v>
      </c>
    </row>
    <row r="10" spans="1:73" ht="15" customHeight="1">
      <c r="A10" s="66" t="s">
        <v>2210</v>
      </c>
      <c r="B10" s="66" t="s">
        <v>643</v>
      </c>
      <c r="C10" s="150" t="s">
        <v>1136</v>
      </c>
      <c r="D10" s="150" t="s">
        <v>1135</v>
      </c>
      <c r="E10" s="150" t="s">
        <v>1135</v>
      </c>
      <c r="F10" s="150" t="s">
        <v>1137</v>
      </c>
      <c r="G10" s="511" t="s">
        <v>639</v>
      </c>
      <c r="H10" s="392" t="s">
        <v>2211</v>
      </c>
      <c r="I10" s="343"/>
      <c r="J10" s="343"/>
      <c r="K10" s="157" t="s">
        <v>644</v>
      </c>
      <c r="L10" s="346"/>
      <c r="M10" s="343"/>
      <c r="N10" s="346"/>
      <c r="O10" s="150" t="s">
        <v>152</v>
      </c>
      <c r="P10" s="150" t="s">
        <v>2212</v>
      </c>
      <c r="Q10" s="403"/>
      <c r="R10" s="406">
        <v>204127.99999999994</v>
      </c>
      <c r="S10" s="406">
        <v>204128</v>
      </c>
      <c r="T10" s="425"/>
      <c r="U10" s="71"/>
      <c r="V10" s="426"/>
      <c r="W10" s="427"/>
      <c r="X10" s="427"/>
      <c r="Y10" s="428" t="s">
        <v>1142</v>
      </c>
      <c r="Z10" s="429">
        <v>0</v>
      </c>
      <c r="AA10" s="429">
        <v>0</v>
      </c>
      <c r="AB10" s="363">
        <f>17010.67-17010.67</f>
        <v>0</v>
      </c>
      <c r="AC10" s="363">
        <f>17010.67-17010.67</f>
        <v>0</v>
      </c>
      <c r="AD10" s="363">
        <f>17010.67-17010.67</f>
        <v>0</v>
      </c>
      <c r="AE10" s="363">
        <f>17010.67-17010.67+204128</f>
        <v>204128</v>
      </c>
      <c r="AF10" s="363">
        <f>17010.67-17010.67</f>
        <v>0</v>
      </c>
      <c r="AG10" s="363">
        <f>17010.67-17010.67</f>
        <v>0</v>
      </c>
      <c r="AH10" s="360">
        <f>SUM(V10:AG10)</f>
        <v>204128</v>
      </c>
      <c r="AI10" s="362">
        <f>ERP_5[[#This Row],[2026 Working Total]]-ERP_5[[#This Row],[LE2 Final Submission]]</f>
        <v>0</v>
      </c>
      <c r="AJ10" s="79">
        <v>14200</v>
      </c>
      <c r="AK10" s="79">
        <f t="shared" si="0"/>
        <v>-14200</v>
      </c>
      <c r="AL10" s="374">
        <f>SUM(ERP_5[[#This Row],[AP01]:[AP06]])-SUM(ERP_5[[#This Row],[AP01 LE2]:[AP06 LE2]])</f>
        <v>0</v>
      </c>
      <c r="AM10" s="80"/>
      <c r="AN10" s="79">
        <f>ERP_5[[#This Row],[2026 Working Total to Budget/LE]]-ERP_5[[#This Row],[Giveback]]</f>
        <v>0</v>
      </c>
      <c r="AO10" s="81"/>
      <c r="AP10" s="375"/>
      <c r="AQ10" s="375"/>
      <c r="AR10" s="375"/>
      <c r="AS10" s="375">
        <v>0</v>
      </c>
      <c r="AT10" s="375">
        <v>0</v>
      </c>
      <c r="AU10" s="375">
        <v>0</v>
      </c>
      <c r="AV10" s="375">
        <v>0</v>
      </c>
      <c r="AW10" s="375">
        <v>0</v>
      </c>
      <c r="AX10" s="375">
        <v>0</v>
      </c>
      <c r="AY10" s="375">
        <v>204128</v>
      </c>
      <c r="AZ10" s="375">
        <v>0</v>
      </c>
      <c r="BA10" s="375">
        <v>0</v>
      </c>
      <c r="BB10" s="375">
        <v>204128</v>
      </c>
      <c r="BC10" s="79"/>
      <c r="BD10" s="79"/>
      <c r="BE10" s="79"/>
      <c r="BF10" s="79">
        <v>17010.669999999998</v>
      </c>
      <c r="BG10" s="79">
        <v>17010.669999999998</v>
      </c>
      <c r="BH10" s="79">
        <v>17010.669999999998</v>
      </c>
      <c r="BI10" s="79">
        <v>17010.669999999998</v>
      </c>
      <c r="BJ10" s="79">
        <v>17010.669999999998</v>
      </c>
      <c r="BK10" s="79">
        <v>17010.669999999998</v>
      </c>
      <c r="BL10" s="79">
        <v>17010.669999999998</v>
      </c>
      <c r="BM10" s="79">
        <v>17010.669999999998</v>
      </c>
      <c r="BN10" s="79">
        <v>17010.669999999998</v>
      </c>
      <c r="BO10" s="79">
        <v>153096.02999999997</v>
      </c>
    </row>
    <row r="11" spans="1:73" ht="15" customHeight="1">
      <c r="A11" s="66" t="s">
        <v>1989</v>
      </c>
      <c r="B11" s="66" t="s">
        <v>1990</v>
      </c>
      <c r="C11" s="150" t="s">
        <v>1136</v>
      </c>
      <c r="D11" s="150" t="s">
        <v>1345</v>
      </c>
      <c r="E11" s="150" t="s">
        <v>1437</v>
      </c>
      <c r="F11" s="150" t="s">
        <v>1346</v>
      </c>
      <c r="G11" s="511" t="s">
        <v>389</v>
      </c>
      <c r="H11" s="392" t="s">
        <v>1991</v>
      </c>
      <c r="I11" s="343"/>
      <c r="J11" s="343"/>
      <c r="K11" s="70" t="s">
        <v>516</v>
      </c>
      <c r="L11" s="346"/>
      <c r="M11" s="343"/>
      <c r="N11" s="346"/>
      <c r="O11" s="150" t="s">
        <v>152</v>
      </c>
      <c r="P11" s="150" t="s">
        <v>1992</v>
      </c>
      <c r="Q11" s="403"/>
      <c r="R11" s="406">
        <v>86119.999999999985</v>
      </c>
      <c r="S11" s="406"/>
      <c r="T11" s="425"/>
      <c r="U11" s="71"/>
      <c r="V11" s="426"/>
      <c r="W11" s="427"/>
      <c r="X11" s="427"/>
      <c r="Y11" s="428" t="s">
        <v>1142</v>
      </c>
      <c r="Z11" s="429">
        <v>0</v>
      </c>
      <c r="AA11" s="429">
        <v>0</v>
      </c>
      <c r="AB11" s="363"/>
      <c r="AC11" s="363"/>
      <c r="AD11" s="363"/>
      <c r="AE11" s="363"/>
      <c r="AF11" s="363"/>
      <c r="AG11" s="363"/>
      <c r="AH11" s="360"/>
      <c r="AI11" s="362">
        <f>ERP_5[[#This Row],[2026 Working Total]]-ERP_5[[#This Row],[LE2 Final Submission]]</f>
        <v>0</v>
      </c>
      <c r="AJ11" s="79">
        <v>6250</v>
      </c>
      <c r="AK11" s="79">
        <f t="shared" si="0"/>
        <v>-6250</v>
      </c>
      <c r="AL11" s="374">
        <f>SUM(ERP_5[[#This Row],[AP01]:[AP06]])-SUM(ERP_5[[#This Row],[AP01 LE2]:[AP06 LE2]])</f>
        <v>0</v>
      </c>
      <c r="AM11" s="80"/>
      <c r="AN11" s="79">
        <f>ERP_5[[#This Row],[2026 Working Total to Budget/LE]]-ERP_5[[#This Row],[Giveback]]</f>
        <v>0</v>
      </c>
      <c r="AO11" s="81" t="s">
        <v>1993</v>
      </c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79"/>
      <c r="BD11" s="79"/>
      <c r="BE11" s="79"/>
      <c r="BF11" s="79">
        <v>8612</v>
      </c>
      <c r="BG11" s="79">
        <v>8612</v>
      </c>
      <c r="BH11" s="79">
        <v>8612</v>
      </c>
      <c r="BI11" s="79">
        <v>8612</v>
      </c>
      <c r="BJ11" s="79">
        <v>8612</v>
      </c>
      <c r="BK11" s="79">
        <v>8612</v>
      </c>
      <c r="BL11" s="79">
        <v>8612</v>
      </c>
      <c r="BM11" s="79">
        <v>8612</v>
      </c>
      <c r="BN11" s="79">
        <v>8612</v>
      </c>
      <c r="BO11" s="79">
        <v>77508</v>
      </c>
    </row>
    <row r="12" spans="1:73" ht="15" customHeight="1">
      <c r="A12" s="66" t="s">
        <v>2652</v>
      </c>
      <c r="B12" s="66" t="s">
        <v>2653</v>
      </c>
      <c r="C12" s="150" t="s">
        <v>1136</v>
      </c>
      <c r="D12" s="150" t="s">
        <v>1345</v>
      </c>
      <c r="E12" s="150" t="s">
        <v>1437</v>
      </c>
      <c r="F12" s="150" t="s">
        <v>1346</v>
      </c>
      <c r="G12" s="511" t="s">
        <v>639</v>
      </c>
      <c r="H12" s="392" t="s">
        <v>2654</v>
      </c>
      <c r="I12" s="343"/>
      <c r="J12" s="343"/>
      <c r="K12" s="70" t="s">
        <v>933</v>
      </c>
      <c r="L12" s="346"/>
      <c r="M12" s="343"/>
      <c r="N12" s="346"/>
      <c r="O12" s="150" t="s">
        <v>152</v>
      </c>
      <c r="P12" s="150" t="s">
        <v>1992</v>
      </c>
      <c r="Q12" s="403"/>
      <c r="R12" s="406">
        <v>39999.960000000014</v>
      </c>
      <c r="S12" s="406">
        <v>0</v>
      </c>
      <c r="T12" s="425"/>
      <c r="U12" s="71"/>
      <c r="V12" s="426"/>
      <c r="W12" s="427"/>
      <c r="X12" s="427"/>
      <c r="Y12" s="428" t="s">
        <v>1142</v>
      </c>
      <c r="Z12" s="429">
        <v>0</v>
      </c>
      <c r="AA12" s="429">
        <v>0</v>
      </c>
      <c r="AB12" s="363"/>
      <c r="AC12" s="363"/>
      <c r="AD12" s="363"/>
      <c r="AE12" s="363"/>
      <c r="AF12" s="363"/>
      <c r="AG12" s="363"/>
      <c r="AH12" s="360">
        <f t="shared" ref="AH12:AH75" si="1">SUM(V12:AG12)</f>
        <v>0</v>
      </c>
      <c r="AI12" s="362">
        <f>ERP_5[[#This Row],[2026 Working Total]]-ERP_5[[#This Row],[LE2 Final Submission]]</f>
        <v>0</v>
      </c>
      <c r="AJ12" s="79">
        <v>0</v>
      </c>
      <c r="AK12" s="79">
        <f t="shared" si="0"/>
        <v>0</v>
      </c>
      <c r="AL12" s="374">
        <f>SUM(ERP_5[[#This Row],[AP01]:[AP06]])-SUM(ERP_5[[#This Row],[AP01 LE2]:[AP06 LE2]])</f>
        <v>0</v>
      </c>
      <c r="AM12" s="80"/>
      <c r="AN12" s="79">
        <f>ERP_5[[#This Row],[2026 Working Total to Budget/LE]]-ERP_5[[#This Row],[Giveback]]</f>
        <v>0</v>
      </c>
      <c r="AO12" s="81" t="s">
        <v>2655</v>
      </c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>
        <v>0</v>
      </c>
      <c r="BC12" s="79"/>
      <c r="BD12" s="79"/>
      <c r="BE12" s="79"/>
      <c r="BF12" s="79">
        <v>4000</v>
      </c>
      <c r="BG12" s="79">
        <v>4000</v>
      </c>
      <c r="BH12" s="79">
        <v>4000</v>
      </c>
      <c r="BI12" s="79">
        <v>4000</v>
      </c>
      <c r="BJ12" s="79">
        <v>4000</v>
      </c>
      <c r="BK12" s="79">
        <v>4000</v>
      </c>
      <c r="BL12" s="79">
        <v>4000</v>
      </c>
      <c r="BM12" s="79">
        <v>4000</v>
      </c>
      <c r="BN12" s="79">
        <v>4000</v>
      </c>
      <c r="BO12" s="79">
        <v>36000</v>
      </c>
    </row>
    <row r="13" spans="1:73" ht="15" customHeight="1">
      <c r="A13" s="66" t="s">
        <v>2656</v>
      </c>
      <c r="B13" s="66" t="s">
        <v>934</v>
      </c>
      <c r="C13" s="150" t="s">
        <v>1136</v>
      </c>
      <c r="D13" s="150" t="s">
        <v>1345</v>
      </c>
      <c r="E13" s="150" t="s">
        <v>1345</v>
      </c>
      <c r="F13" s="150" t="s">
        <v>1346</v>
      </c>
      <c r="G13" s="511" t="s">
        <v>639</v>
      </c>
      <c r="H13" s="392" t="s">
        <v>2657</v>
      </c>
      <c r="I13" s="343"/>
      <c r="J13" s="343"/>
      <c r="K13" s="70" t="s">
        <v>935</v>
      </c>
      <c r="L13" s="346"/>
      <c r="M13" s="343"/>
      <c r="N13" s="346"/>
      <c r="O13" s="150" t="s">
        <v>152</v>
      </c>
      <c r="P13" s="150" t="s">
        <v>2658</v>
      </c>
      <c r="Q13" s="403"/>
      <c r="R13" s="406">
        <v>0</v>
      </c>
      <c r="S13" s="406">
        <v>0</v>
      </c>
      <c r="T13" s="430"/>
      <c r="U13" s="137"/>
      <c r="V13" s="426"/>
      <c r="W13" s="427"/>
      <c r="X13" s="427"/>
      <c r="Y13" s="428" t="s">
        <v>1142</v>
      </c>
      <c r="Z13" s="429">
        <v>0</v>
      </c>
      <c r="AA13" s="429">
        <v>0</v>
      </c>
      <c r="AB13" s="363">
        <v>0</v>
      </c>
      <c r="AC13" s="363">
        <v>81120</v>
      </c>
      <c r="AD13" s="363">
        <v>-81120</v>
      </c>
      <c r="AE13" s="363">
        <v>0</v>
      </c>
      <c r="AF13" s="363">
        <v>0</v>
      </c>
      <c r="AG13" s="363">
        <v>0</v>
      </c>
      <c r="AH13" s="360">
        <f t="shared" si="1"/>
        <v>0</v>
      </c>
      <c r="AI13" s="362">
        <f>ERP_5[[#This Row],[2026 Working Total]]-ERP_5[[#This Row],[LE2 Final Submission]]</f>
        <v>0</v>
      </c>
      <c r="AJ13" s="79">
        <v>0</v>
      </c>
      <c r="AK13" s="79">
        <f t="shared" si="0"/>
        <v>0</v>
      </c>
      <c r="AL13" s="374">
        <f>SUM(ERP_5[[#This Row],[AP01]:[AP06]])-SUM(ERP_5[[#This Row],[AP01 LE2]:[AP06 LE2]])</f>
        <v>0</v>
      </c>
      <c r="AM13" s="80"/>
      <c r="AN13" s="79">
        <f>ERP_5[[#This Row],[2026 Working Total to Budget/LE]]-ERP_5[[#This Row],[Giveback]]</f>
        <v>0</v>
      </c>
      <c r="AO13" s="81"/>
      <c r="AP13" s="375"/>
      <c r="AQ13" s="375"/>
      <c r="AR13" s="375"/>
      <c r="AS13" s="375">
        <v>0</v>
      </c>
      <c r="AT13" s="375">
        <v>0</v>
      </c>
      <c r="AU13" s="375">
        <v>0</v>
      </c>
      <c r="AV13" s="375">
        <v>0</v>
      </c>
      <c r="AW13" s="375">
        <v>81120</v>
      </c>
      <c r="AX13" s="375">
        <v>-81120</v>
      </c>
      <c r="AY13" s="375">
        <v>0</v>
      </c>
      <c r="AZ13" s="375">
        <v>0</v>
      </c>
      <c r="BA13" s="375">
        <v>0</v>
      </c>
      <c r="BB13" s="375">
        <v>0</v>
      </c>
      <c r="BC13" s="79"/>
      <c r="BD13" s="79"/>
      <c r="BE13" s="79"/>
      <c r="BF13" s="79">
        <v>3235.5</v>
      </c>
      <c r="BG13" s="79">
        <v>3235.5</v>
      </c>
      <c r="BH13" s="79">
        <v>3235.5</v>
      </c>
      <c r="BI13" s="79">
        <v>3235.5</v>
      </c>
      <c r="BJ13" s="79">
        <v>3235.5</v>
      </c>
      <c r="BK13" s="79">
        <v>3235.5</v>
      </c>
      <c r="BL13" s="79">
        <v>3235.5</v>
      </c>
      <c r="BM13" s="79">
        <v>3235.5</v>
      </c>
      <c r="BN13" s="79">
        <v>-35590.5</v>
      </c>
      <c r="BO13" s="79">
        <v>-9706.5</v>
      </c>
    </row>
    <row r="14" spans="1:73" ht="15" customHeight="1">
      <c r="A14" s="66" t="s">
        <v>2213</v>
      </c>
      <c r="B14" s="66" t="s">
        <v>645</v>
      </c>
      <c r="C14" s="150" t="s">
        <v>1136</v>
      </c>
      <c r="D14" s="150" t="s">
        <v>1135</v>
      </c>
      <c r="E14" s="150" t="s">
        <v>1135</v>
      </c>
      <c r="F14" s="150" t="s">
        <v>1137</v>
      </c>
      <c r="G14" s="511" t="s">
        <v>639</v>
      </c>
      <c r="H14" s="392" t="s">
        <v>2214</v>
      </c>
      <c r="I14" s="343"/>
      <c r="J14" s="343"/>
      <c r="K14" s="70" t="s">
        <v>646</v>
      </c>
      <c r="L14" s="346"/>
      <c r="M14" s="343"/>
      <c r="N14" s="346"/>
      <c r="O14" s="150" t="s">
        <v>152</v>
      </c>
      <c r="P14" s="150"/>
      <c r="Q14" s="403"/>
      <c r="R14" s="406">
        <v>0</v>
      </c>
      <c r="S14" s="406">
        <v>650000</v>
      </c>
      <c r="T14" s="430"/>
      <c r="U14" s="137"/>
      <c r="V14" s="426"/>
      <c r="W14" s="427"/>
      <c r="X14" s="427"/>
      <c r="Y14" s="428" t="s">
        <v>1142</v>
      </c>
      <c r="Z14" s="429">
        <v>0</v>
      </c>
      <c r="AA14" s="429">
        <v>0</v>
      </c>
      <c r="AB14" s="360">
        <v>0</v>
      </c>
      <c r="AC14" s="360">
        <v>0</v>
      </c>
      <c r="AD14" s="360">
        <v>0</v>
      </c>
      <c r="AE14" s="360">
        <v>650000</v>
      </c>
      <c r="AF14" s="360">
        <v>0</v>
      </c>
      <c r="AG14" s="360">
        <v>0</v>
      </c>
      <c r="AH14" s="360">
        <f t="shared" si="1"/>
        <v>650000</v>
      </c>
      <c r="AI14" s="362">
        <f>ERP_5[[#This Row],[2026 Working Total]]-ERP_5[[#This Row],[LE2 Final Submission]]</f>
        <v>0</v>
      </c>
      <c r="AJ14" s="79"/>
      <c r="AK14" s="79">
        <f t="shared" si="0"/>
        <v>0</v>
      </c>
      <c r="AL14" s="374">
        <f>SUM(ERP_5[[#This Row],[AP01]:[AP06]])-SUM(ERP_5[[#This Row],[AP01 LE2]:[AP06 LE2]])</f>
        <v>-650000</v>
      </c>
      <c r="AM14" s="80"/>
      <c r="AN14" s="79">
        <f>ERP_5[[#This Row],[2026 Working Total to Budget/LE]]-ERP_5[[#This Row],[Giveback]]</f>
        <v>0</v>
      </c>
      <c r="AO14" s="81" t="s">
        <v>2216</v>
      </c>
      <c r="AP14" s="375"/>
      <c r="AQ14" s="375"/>
      <c r="AR14" s="375"/>
      <c r="AS14" s="375"/>
      <c r="AT14" s="375"/>
      <c r="AU14" s="375">
        <v>650000</v>
      </c>
      <c r="AV14" s="375">
        <v>0</v>
      </c>
      <c r="AW14" s="375">
        <v>0</v>
      </c>
      <c r="AX14" s="375">
        <v>0</v>
      </c>
      <c r="AY14" s="375">
        <v>0</v>
      </c>
      <c r="AZ14" s="375">
        <v>0</v>
      </c>
      <c r="BA14" s="375">
        <v>0</v>
      </c>
      <c r="BB14" s="375">
        <v>650000</v>
      </c>
      <c r="BC14" s="79"/>
      <c r="BD14" s="79"/>
      <c r="BE14" s="79"/>
      <c r="BF14" s="79"/>
      <c r="BG14" s="79"/>
      <c r="BH14" s="79">
        <v>650000</v>
      </c>
      <c r="BI14" s="79">
        <v>0</v>
      </c>
      <c r="BJ14" s="79">
        <v>0</v>
      </c>
      <c r="BK14" s="79">
        <v>0</v>
      </c>
      <c r="BL14" s="79">
        <v>0</v>
      </c>
      <c r="BM14" s="79">
        <v>0</v>
      </c>
      <c r="BN14" s="79">
        <v>0</v>
      </c>
      <c r="BO14" s="79">
        <v>650000</v>
      </c>
    </row>
    <row r="15" spans="1:73" ht="15" customHeight="1">
      <c r="A15" s="79" t="s">
        <v>2705</v>
      </c>
      <c r="B15" s="296" t="s">
        <v>959</v>
      </c>
      <c r="C15" s="150" t="s">
        <v>1136</v>
      </c>
      <c r="D15" s="332" t="s">
        <v>1345</v>
      </c>
      <c r="E15" s="383" t="s">
        <v>1480</v>
      </c>
      <c r="F15" s="331" t="s">
        <v>1346</v>
      </c>
      <c r="G15" s="512" t="s">
        <v>639</v>
      </c>
      <c r="H15" s="393" t="s">
        <v>2214</v>
      </c>
      <c r="I15" s="343"/>
      <c r="J15" s="331"/>
      <c r="K15" s="91" t="s">
        <v>646</v>
      </c>
      <c r="L15" s="343"/>
      <c r="M15" s="343"/>
      <c r="N15" s="348"/>
      <c r="O15" s="386" t="s">
        <v>152</v>
      </c>
      <c r="P15" s="387" t="s">
        <v>2706</v>
      </c>
      <c r="Q15" s="432"/>
      <c r="R15" s="358">
        <v>650000</v>
      </c>
      <c r="S15" s="378">
        <v>0</v>
      </c>
      <c r="T15" s="425"/>
      <c r="U15" s="71"/>
      <c r="V15" s="433"/>
      <c r="W15" s="434"/>
      <c r="X15" s="434"/>
      <c r="Y15" s="428" t="s">
        <v>1142</v>
      </c>
      <c r="Z15" s="429">
        <v>0</v>
      </c>
      <c r="AA15" s="429">
        <v>0</v>
      </c>
      <c r="AB15" s="388">
        <v>0</v>
      </c>
      <c r="AC15" s="388">
        <v>0</v>
      </c>
      <c r="AD15" s="388">
        <v>0</v>
      </c>
      <c r="AE15" s="388">
        <v>0</v>
      </c>
      <c r="AF15" s="388">
        <v>0</v>
      </c>
      <c r="AG15" s="388">
        <v>0</v>
      </c>
      <c r="AH15" s="360">
        <f t="shared" si="1"/>
        <v>0</v>
      </c>
      <c r="AI15" s="362">
        <f>ERP_5[[#This Row],[2026 Working Total]]-ERP_5[[#This Row],[LE2 Final Submission]]</f>
        <v>0</v>
      </c>
      <c r="AJ15" s="79">
        <v>0</v>
      </c>
      <c r="AK15" s="79">
        <f t="shared" si="0"/>
        <v>0</v>
      </c>
      <c r="AL15" s="374">
        <f>SUM(ERP_5[[#This Row],[AP01]:[AP06]])-SUM(ERP_5[[#This Row],[AP01 LE2]:[AP06 LE2]])</f>
        <v>0</v>
      </c>
      <c r="AM15" s="80"/>
      <c r="AN15" s="79">
        <f>ERP_5[[#This Row],[2026 Working Total to Budget/LE]]-ERP_5[[#This Row],[Giveback]]</f>
        <v>0</v>
      </c>
      <c r="AO15" s="81" t="s">
        <v>2216</v>
      </c>
      <c r="AP15" s="375"/>
      <c r="AQ15" s="375"/>
      <c r="AR15" s="375"/>
      <c r="AS15" s="375">
        <v>0</v>
      </c>
      <c r="AT15" s="375">
        <v>0</v>
      </c>
      <c r="AU15" s="375">
        <v>0</v>
      </c>
      <c r="AV15" s="375">
        <v>0</v>
      </c>
      <c r="AW15" s="375">
        <v>0</v>
      </c>
      <c r="AX15" s="375">
        <v>0</v>
      </c>
      <c r="AY15" s="375">
        <v>0</v>
      </c>
      <c r="AZ15" s="375">
        <v>0</v>
      </c>
      <c r="BA15" s="375">
        <v>0</v>
      </c>
      <c r="BB15" s="375">
        <v>0</v>
      </c>
      <c r="BC15" s="103">
        <v>0</v>
      </c>
      <c r="BD15" s="103">
        <v>0</v>
      </c>
      <c r="BE15" s="103">
        <v>0</v>
      </c>
      <c r="BF15" s="103">
        <v>0</v>
      </c>
      <c r="BG15" s="103">
        <v>0</v>
      </c>
      <c r="BH15" s="103">
        <v>650000</v>
      </c>
      <c r="BI15" s="103">
        <v>0</v>
      </c>
      <c r="BJ15" s="103">
        <v>0</v>
      </c>
      <c r="BK15" s="103">
        <v>0</v>
      </c>
      <c r="BL15" s="103">
        <v>0</v>
      </c>
      <c r="BM15" s="103">
        <v>0</v>
      </c>
      <c r="BN15" s="103">
        <v>0</v>
      </c>
      <c r="BO15" s="79">
        <f>SUM(ERP_5[[#This Row],[2026 AP01]:[2026 AP12]])</f>
        <v>650000</v>
      </c>
    </row>
    <row r="16" spans="1:73" ht="15" customHeight="1">
      <c r="A16" s="66" t="s">
        <v>2217</v>
      </c>
      <c r="B16" s="66" t="s">
        <v>647</v>
      </c>
      <c r="C16" s="150" t="s">
        <v>1136</v>
      </c>
      <c r="D16" s="150" t="s">
        <v>1135</v>
      </c>
      <c r="E16" s="150" t="s">
        <v>1135</v>
      </c>
      <c r="F16" s="150" t="s">
        <v>1137</v>
      </c>
      <c r="G16" s="511" t="s">
        <v>639</v>
      </c>
      <c r="H16" s="392" t="s">
        <v>2218</v>
      </c>
      <c r="I16" s="343"/>
      <c r="J16" s="343"/>
      <c r="K16" s="70" t="s">
        <v>648</v>
      </c>
      <c r="L16" s="346"/>
      <c r="M16" s="343"/>
      <c r="N16" s="346"/>
      <c r="O16" s="150" t="s">
        <v>152</v>
      </c>
      <c r="P16" s="150"/>
      <c r="Q16" s="403"/>
      <c r="R16" s="406">
        <v>0</v>
      </c>
      <c r="S16" s="406">
        <v>300000</v>
      </c>
      <c r="T16" s="425"/>
      <c r="U16" s="71"/>
      <c r="V16" s="426"/>
      <c r="W16" s="427"/>
      <c r="X16" s="427"/>
      <c r="Y16" s="428" t="s">
        <v>1142</v>
      </c>
      <c r="Z16" s="429">
        <v>0</v>
      </c>
      <c r="AA16" s="429">
        <v>0</v>
      </c>
      <c r="AB16" s="360">
        <v>0</v>
      </c>
      <c r="AC16" s="360">
        <v>0</v>
      </c>
      <c r="AD16" s="360">
        <v>0</v>
      </c>
      <c r="AE16" s="360">
        <v>300000</v>
      </c>
      <c r="AF16" s="360">
        <v>0</v>
      </c>
      <c r="AG16" s="360">
        <v>0</v>
      </c>
      <c r="AH16" s="360">
        <f t="shared" si="1"/>
        <v>300000</v>
      </c>
      <c r="AI16" s="362">
        <f>ERP_5[[#This Row],[2026 Working Total]]-ERP_5[[#This Row],[LE2 Final Submission]]</f>
        <v>0</v>
      </c>
      <c r="AJ16" s="79">
        <v>62000</v>
      </c>
      <c r="AK16" s="79">
        <f t="shared" si="0"/>
        <v>-62000</v>
      </c>
      <c r="AL16" s="374">
        <f>SUM(ERP_5[[#This Row],[AP01]:[AP06]])-SUM(ERP_5[[#This Row],[AP01 LE2]:[AP06 LE2]])</f>
        <v>-300000</v>
      </c>
      <c r="AM16" s="80"/>
      <c r="AN16" s="79">
        <f>ERP_5[[#This Row],[2026 Working Total to Budget/LE]]-ERP_5[[#This Row],[Giveback]]</f>
        <v>0</v>
      </c>
      <c r="AO16" s="81" t="s">
        <v>2216</v>
      </c>
      <c r="AP16" s="375"/>
      <c r="AQ16" s="375"/>
      <c r="AR16" s="375"/>
      <c r="AS16" s="375"/>
      <c r="AT16" s="375"/>
      <c r="AU16" s="375">
        <v>300000</v>
      </c>
      <c r="AV16" s="375">
        <v>0</v>
      </c>
      <c r="AW16" s="375">
        <v>0</v>
      </c>
      <c r="AX16" s="375">
        <v>0</v>
      </c>
      <c r="AY16" s="375">
        <v>0</v>
      </c>
      <c r="AZ16" s="375">
        <v>0</v>
      </c>
      <c r="BA16" s="375">
        <v>0</v>
      </c>
      <c r="BB16" s="375">
        <v>300000</v>
      </c>
      <c r="BC16" s="79"/>
      <c r="BD16" s="79"/>
      <c r="BE16" s="79"/>
      <c r="BF16" s="79"/>
      <c r="BG16" s="79"/>
      <c r="BH16" s="79">
        <v>300000</v>
      </c>
      <c r="BI16" s="79">
        <v>0</v>
      </c>
      <c r="BJ16" s="79">
        <v>0</v>
      </c>
      <c r="BK16" s="79">
        <v>0</v>
      </c>
      <c r="BL16" s="79">
        <v>0</v>
      </c>
      <c r="BM16" s="79">
        <v>0</v>
      </c>
      <c r="BN16" s="79">
        <v>0</v>
      </c>
      <c r="BO16" s="79">
        <v>300000</v>
      </c>
    </row>
    <row r="17" spans="1:67" ht="15" customHeight="1">
      <c r="A17" s="79" t="s">
        <v>2707</v>
      </c>
      <c r="B17" s="296" t="s">
        <v>960</v>
      </c>
      <c r="C17" s="150" t="s">
        <v>1136</v>
      </c>
      <c r="D17" s="332" t="s">
        <v>1345</v>
      </c>
      <c r="E17" s="383" t="s">
        <v>1480</v>
      </c>
      <c r="F17" s="331" t="s">
        <v>1346</v>
      </c>
      <c r="G17" s="512" t="s">
        <v>639</v>
      </c>
      <c r="H17" s="393" t="s">
        <v>2218</v>
      </c>
      <c r="I17" s="343"/>
      <c r="J17" s="331"/>
      <c r="K17" s="91" t="s">
        <v>648</v>
      </c>
      <c r="L17" s="343"/>
      <c r="M17" s="343"/>
      <c r="N17" s="348"/>
      <c r="O17" s="386" t="s">
        <v>152</v>
      </c>
      <c r="P17" s="387" t="s">
        <v>2706</v>
      </c>
      <c r="Q17" s="432"/>
      <c r="R17" s="358">
        <v>300000</v>
      </c>
      <c r="S17" s="378">
        <v>0</v>
      </c>
      <c r="T17" s="425"/>
      <c r="U17" s="71"/>
      <c r="V17" s="433"/>
      <c r="W17" s="434"/>
      <c r="X17" s="434"/>
      <c r="Y17" s="428" t="s">
        <v>1142</v>
      </c>
      <c r="Z17" s="429">
        <v>0</v>
      </c>
      <c r="AA17" s="429">
        <v>0</v>
      </c>
      <c r="AB17" s="388">
        <v>0</v>
      </c>
      <c r="AC17" s="388">
        <v>0</v>
      </c>
      <c r="AD17" s="388">
        <v>0</v>
      </c>
      <c r="AE17" s="388">
        <v>0</v>
      </c>
      <c r="AF17" s="388">
        <v>0</v>
      </c>
      <c r="AG17" s="388">
        <v>0</v>
      </c>
      <c r="AH17" s="360">
        <f t="shared" si="1"/>
        <v>0</v>
      </c>
      <c r="AI17" s="362">
        <f>ERP_5[[#This Row],[2026 Working Total]]-ERP_5[[#This Row],[LE2 Final Submission]]</f>
        <v>0</v>
      </c>
      <c r="AJ17" s="79">
        <v>750</v>
      </c>
      <c r="AK17" s="79">
        <f t="shared" si="0"/>
        <v>-750</v>
      </c>
      <c r="AL17" s="374">
        <f>SUM(ERP_5[[#This Row],[AP01]:[AP06]])-SUM(ERP_5[[#This Row],[AP01 LE2]:[AP06 LE2]])</f>
        <v>0</v>
      </c>
      <c r="AM17" s="80"/>
      <c r="AN17" s="79">
        <f>ERP_5[[#This Row],[2026 Working Total to Budget/LE]]-ERP_5[[#This Row],[Giveback]]</f>
        <v>0</v>
      </c>
      <c r="AO17" s="81" t="s">
        <v>2216</v>
      </c>
      <c r="AP17" s="375"/>
      <c r="AQ17" s="375"/>
      <c r="AR17" s="375"/>
      <c r="AS17" s="375">
        <v>0</v>
      </c>
      <c r="AT17" s="375">
        <v>0</v>
      </c>
      <c r="AU17" s="375">
        <v>0</v>
      </c>
      <c r="AV17" s="375">
        <v>0</v>
      </c>
      <c r="AW17" s="375">
        <v>0</v>
      </c>
      <c r="AX17" s="375">
        <v>0</v>
      </c>
      <c r="AY17" s="375">
        <v>0</v>
      </c>
      <c r="AZ17" s="375">
        <v>0</v>
      </c>
      <c r="BA17" s="375">
        <v>0</v>
      </c>
      <c r="BB17" s="375">
        <v>0</v>
      </c>
      <c r="BC17" s="103">
        <v>0</v>
      </c>
      <c r="BD17" s="103">
        <v>0</v>
      </c>
      <c r="BE17" s="103">
        <v>0</v>
      </c>
      <c r="BF17" s="103">
        <v>0</v>
      </c>
      <c r="BG17" s="103">
        <v>0</v>
      </c>
      <c r="BH17" s="103">
        <v>300000</v>
      </c>
      <c r="BI17" s="103">
        <v>0</v>
      </c>
      <c r="BJ17" s="103">
        <v>0</v>
      </c>
      <c r="BK17" s="103">
        <v>0</v>
      </c>
      <c r="BL17" s="103">
        <v>0</v>
      </c>
      <c r="BM17" s="103">
        <v>0</v>
      </c>
      <c r="BN17" s="103">
        <v>0</v>
      </c>
      <c r="BO17" s="79">
        <f>SUM(ERP_5[[#This Row],[2026 AP01]:[2026 AP12]])</f>
        <v>300000</v>
      </c>
    </row>
    <row r="18" spans="1:67" ht="15" customHeight="1">
      <c r="A18" s="66" t="s">
        <v>1756</v>
      </c>
      <c r="B18" s="66" t="s">
        <v>1757</v>
      </c>
      <c r="C18" s="150" t="s">
        <v>1136</v>
      </c>
      <c r="D18" s="150" t="s">
        <v>1135</v>
      </c>
      <c r="E18" s="150" t="s">
        <v>1165</v>
      </c>
      <c r="F18" s="150" t="s">
        <v>1137</v>
      </c>
      <c r="G18" s="511" t="s">
        <v>389</v>
      </c>
      <c r="H18" s="392" t="s">
        <v>1758</v>
      </c>
      <c r="I18" s="343"/>
      <c r="J18" s="343"/>
      <c r="K18" s="70" t="s">
        <v>393</v>
      </c>
      <c r="L18" s="346"/>
      <c r="M18" s="343"/>
      <c r="N18" s="346"/>
      <c r="O18" s="150" t="s">
        <v>152</v>
      </c>
      <c r="P18" s="150"/>
      <c r="Q18" s="403"/>
      <c r="R18" s="406">
        <v>0</v>
      </c>
      <c r="S18" s="406">
        <v>112500</v>
      </c>
      <c r="T18" s="425"/>
      <c r="U18" s="71"/>
      <c r="V18" s="426"/>
      <c r="W18" s="427"/>
      <c r="X18" s="427"/>
      <c r="Y18" s="428" t="s">
        <v>1142</v>
      </c>
      <c r="Z18" s="429">
        <v>0</v>
      </c>
      <c r="AA18" s="429">
        <v>0</v>
      </c>
      <c r="AB18" s="363">
        <v>19000</v>
      </c>
      <c r="AC18" s="363">
        <v>19000</v>
      </c>
      <c r="AD18" s="363">
        <v>19000</v>
      </c>
      <c r="AE18" s="363">
        <v>18500</v>
      </c>
      <c r="AF18" s="363">
        <v>18500</v>
      </c>
      <c r="AG18" s="363">
        <v>18500</v>
      </c>
      <c r="AH18" s="360">
        <f t="shared" si="1"/>
        <v>112500</v>
      </c>
      <c r="AI18" s="362">
        <f>ERP_5[[#This Row],[2026 Working Total]]-ERP_5[[#This Row],[LE2 Final Submission]]</f>
        <v>0</v>
      </c>
      <c r="AJ18" s="79">
        <v>0</v>
      </c>
      <c r="AK18" s="79">
        <f t="shared" si="0"/>
        <v>0</v>
      </c>
      <c r="AL18" s="374">
        <f>SUM(ERP_5[[#This Row],[AP01]:[AP06]])-SUM(ERP_5[[#This Row],[AP01 LE2]:[AP06 LE2]])</f>
        <v>-37500</v>
      </c>
      <c r="AM18" s="80"/>
      <c r="AN18" s="79">
        <f>ERP_5[[#This Row],[2026 Working Total to Budget/LE]]-ERP_5[[#This Row],[Giveback]]</f>
        <v>0</v>
      </c>
      <c r="AO18" s="81"/>
      <c r="AP18" s="375"/>
      <c r="AQ18" s="375"/>
      <c r="AR18" s="375"/>
      <c r="AS18" s="375">
        <v>12500</v>
      </c>
      <c r="AT18" s="375">
        <v>12500</v>
      </c>
      <c r="AU18" s="375">
        <v>12500</v>
      </c>
      <c r="AV18" s="375">
        <v>12500</v>
      </c>
      <c r="AW18" s="375">
        <v>12500</v>
      </c>
      <c r="AX18" s="375">
        <v>12500</v>
      </c>
      <c r="AY18" s="375">
        <v>12500</v>
      </c>
      <c r="AZ18" s="375">
        <v>12500</v>
      </c>
      <c r="BA18" s="375">
        <v>12500</v>
      </c>
      <c r="BB18" s="375">
        <v>112500</v>
      </c>
      <c r="BC18" s="79"/>
      <c r="BD18" s="79"/>
      <c r="BE18" s="79"/>
      <c r="BF18" s="79">
        <v>12500</v>
      </c>
      <c r="BG18" s="79">
        <v>12500</v>
      </c>
      <c r="BH18" s="79">
        <v>12500</v>
      </c>
      <c r="BI18" s="79">
        <v>12500</v>
      </c>
      <c r="BJ18" s="79">
        <v>12500</v>
      </c>
      <c r="BK18" s="79">
        <v>12500</v>
      </c>
      <c r="BL18" s="79">
        <v>12500</v>
      </c>
      <c r="BM18" s="79">
        <v>12500</v>
      </c>
      <c r="BN18" s="79">
        <v>12500</v>
      </c>
      <c r="BO18" s="79">
        <v>112500</v>
      </c>
    </row>
    <row r="19" spans="1:67" ht="15" customHeight="1">
      <c r="A19" s="79" t="s">
        <v>2042</v>
      </c>
      <c r="B19" s="296" t="s">
        <v>545</v>
      </c>
      <c r="C19" s="150" t="s">
        <v>1136</v>
      </c>
      <c r="D19" s="332" t="s">
        <v>1345</v>
      </c>
      <c r="E19" s="383" t="s">
        <v>1480</v>
      </c>
      <c r="F19" s="331" t="s">
        <v>1346</v>
      </c>
      <c r="G19" s="512" t="s">
        <v>389</v>
      </c>
      <c r="H19" s="393" t="s">
        <v>1758</v>
      </c>
      <c r="I19" s="343"/>
      <c r="J19" s="331"/>
      <c r="K19" s="91" t="s">
        <v>393</v>
      </c>
      <c r="L19" s="343"/>
      <c r="M19" s="343"/>
      <c r="N19" s="348"/>
      <c r="O19" s="386" t="s">
        <v>152</v>
      </c>
      <c r="P19" s="387" t="s">
        <v>2043</v>
      </c>
      <c r="Q19" s="432"/>
      <c r="R19" s="358">
        <v>125000</v>
      </c>
      <c r="S19" s="378">
        <v>0</v>
      </c>
      <c r="T19" s="425"/>
      <c r="U19" s="71"/>
      <c r="V19" s="433"/>
      <c r="W19" s="434"/>
      <c r="X19" s="434"/>
      <c r="Y19" s="428" t="s">
        <v>1142</v>
      </c>
      <c r="Z19" s="429">
        <v>0</v>
      </c>
      <c r="AA19" s="429">
        <v>0</v>
      </c>
      <c r="AB19" s="388">
        <f t="shared" ref="AB19:AG19" si="2">12500-12500</f>
        <v>0</v>
      </c>
      <c r="AC19" s="388">
        <f t="shared" si="2"/>
        <v>0</v>
      </c>
      <c r="AD19" s="388">
        <f t="shared" si="2"/>
        <v>0</v>
      </c>
      <c r="AE19" s="388">
        <f t="shared" si="2"/>
        <v>0</v>
      </c>
      <c r="AF19" s="388">
        <f t="shared" si="2"/>
        <v>0</v>
      </c>
      <c r="AG19" s="388">
        <f t="shared" si="2"/>
        <v>0</v>
      </c>
      <c r="AH19" s="360">
        <f t="shared" si="1"/>
        <v>0</v>
      </c>
      <c r="AI19" s="362">
        <f>ERP_5[[#This Row],[2026 Working Total]]-ERP_5[[#This Row],[LE2 Final Submission]]</f>
        <v>0</v>
      </c>
      <c r="AJ19" s="79"/>
      <c r="AK19" s="79">
        <f t="shared" si="0"/>
        <v>0</v>
      </c>
      <c r="AL19" s="374">
        <f>SUM(ERP_5[[#This Row],[AP01]:[AP06]])-SUM(ERP_5[[#This Row],[AP01 LE2]:[AP06 LE2]])</f>
        <v>0</v>
      </c>
      <c r="AM19" s="80"/>
      <c r="AN19" s="79">
        <f>ERP_5[[#This Row],[2026 Working Total to Budget/LE]]-ERP_5[[#This Row],[Giveback]]</f>
        <v>0</v>
      </c>
      <c r="AO19" s="81"/>
      <c r="AP19" s="375"/>
      <c r="AQ19" s="375"/>
      <c r="AR19" s="375"/>
      <c r="AS19" s="375">
        <v>0</v>
      </c>
      <c r="AT19" s="375">
        <v>0</v>
      </c>
      <c r="AU19" s="375">
        <v>0</v>
      </c>
      <c r="AV19" s="375">
        <v>0</v>
      </c>
      <c r="AW19" s="375">
        <v>0</v>
      </c>
      <c r="AX19" s="375">
        <v>0</v>
      </c>
      <c r="AY19" s="375">
        <v>0</v>
      </c>
      <c r="AZ19" s="375">
        <v>0</v>
      </c>
      <c r="BA19" s="375">
        <v>0</v>
      </c>
      <c r="BB19" s="375">
        <v>0</v>
      </c>
      <c r="BC19" s="103">
        <v>0</v>
      </c>
      <c r="BD19" s="103">
        <v>0</v>
      </c>
      <c r="BE19" s="103">
        <v>12500</v>
      </c>
      <c r="BF19" s="103">
        <v>12500</v>
      </c>
      <c r="BG19" s="103">
        <v>12500</v>
      </c>
      <c r="BH19" s="103">
        <v>12500</v>
      </c>
      <c r="BI19" s="103">
        <v>12500</v>
      </c>
      <c r="BJ19" s="103">
        <v>12500</v>
      </c>
      <c r="BK19" s="103">
        <v>12500</v>
      </c>
      <c r="BL19" s="103">
        <v>12500</v>
      </c>
      <c r="BM19" s="103">
        <v>12500</v>
      </c>
      <c r="BN19" s="103">
        <v>12500</v>
      </c>
      <c r="BO19" s="79">
        <f>SUM(ERP_5[[#This Row],[2026 AP01]:[2026 AP12]])</f>
        <v>125000</v>
      </c>
    </row>
    <row r="20" spans="1:67" ht="15" customHeight="1">
      <c r="A20" s="66" t="s">
        <v>1759</v>
      </c>
      <c r="B20" s="66" t="s">
        <v>1760</v>
      </c>
      <c r="C20" s="150" t="s">
        <v>1136</v>
      </c>
      <c r="D20" s="150" t="s">
        <v>1135</v>
      </c>
      <c r="E20" s="150" t="s">
        <v>1165</v>
      </c>
      <c r="F20" s="150" t="s">
        <v>1137</v>
      </c>
      <c r="G20" s="511" t="s">
        <v>389</v>
      </c>
      <c r="H20" s="392" t="s">
        <v>1761</v>
      </c>
      <c r="I20" s="343"/>
      <c r="J20" s="343"/>
      <c r="K20" s="70" t="s">
        <v>395</v>
      </c>
      <c r="L20" s="346"/>
      <c r="M20" s="343"/>
      <c r="N20" s="346"/>
      <c r="O20" s="150" t="s">
        <v>152</v>
      </c>
      <c r="P20" s="150"/>
      <c r="Q20" s="403"/>
      <c r="R20" s="406">
        <v>0</v>
      </c>
      <c r="S20" s="406">
        <v>90000</v>
      </c>
      <c r="T20" s="425"/>
      <c r="U20" s="71"/>
      <c r="V20" s="426"/>
      <c r="W20" s="427"/>
      <c r="X20" s="427"/>
      <c r="Y20" s="428" t="s">
        <v>1142</v>
      </c>
      <c r="Z20" s="429">
        <v>0</v>
      </c>
      <c r="AA20" s="429">
        <v>0</v>
      </c>
      <c r="AB20" s="363">
        <v>15000</v>
      </c>
      <c r="AC20" s="363">
        <v>15000</v>
      </c>
      <c r="AD20" s="363">
        <v>15000</v>
      </c>
      <c r="AE20" s="363">
        <v>15000</v>
      </c>
      <c r="AF20" s="363">
        <v>15000</v>
      </c>
      <c r="AG20" s="363">
        <v>15000</v>
      </c>
      <c r="AH20" s="360">
        <f t="shared" si="1"/>
        <v>90000</v>
      </c>
      <c r="AI20" s="362">
        <f>ERP_5[[#This Row],[2026 Working Total]]-ERP_5[[#This Row],[LE2 Final Submission]]</f>
        <v>0</v>
      </c>
      <c r="AJ20" s="79">
        <v>3190</v>
      </c>
      <c r="AK20" s="79">
        <f t="shared" si="0"/>
        <v>-3190</v>
      </c>
      <c r="AL20" s="374">
        <f>SUM(ERP_5[[#This Row],[AP01]:[AP06]])-SUM(ERP_5[[#This Row],[AP01 LE2]:[AP06 LE2]])</f>
        <v>-30000</v>
      </c>
      <c r="AM20" s="80"/>
      <c r="AN20" s="79">
        <f>ERP_5[[#This Row],[2026 Working Total to Budget/LE]]-ERP_5[[#This Row],[Giveback]]</f>
        <v>0</v>
      </c>
      <c r="AO20" s="81"/>
      <c r="AP20" s="375"/>
      <c r="AQ20" s="375"/>
      <c r="AR20" s="375"/>
      <c r="AS20" s="375">
        <v>10000</v>
      </c>
      <c r="AT20" s="375">
        <v>10000</v>
      </c>
      <c r="AU20" s="375">
        <v>10000</v>
      </c>
      <c r="AV20" s="375">
        <v>10000</v>
      </c>
      <c r="AW20" s="375">
        <v>10000</v>
      </c>
      <c r="AX20" s="375">
        <v>10000</v>
      </c>
      <c r="AY20" s="375">
        <v>10000</v>
      </c>
      <c r="AZ20" s="375">
        <v>10000</v>
      </c>
      <c r="BA20" s="375">
        <v>10000</v>
      </c>
      <c r="BB20" s="375">
        <v>90000</v>
      </c>
      <c r="BC20" s="79"/>
      <c r="BD20" s="79"/>
      <c r="BE20" s="79"/>
      <c r="BF20" s="79">
        <v>10000</v>
      </c>
      <c r="BG20" s="79">
        <v>10000</v>
      </c>
      <c r="BH20" s="79">
        <v>10000</v>
      </c>
      <c r="BI20" s="79">
        <v>10000</v>
      </c>
      <c r="BJ20" s="79">
        <v>10000</v>
      </c>
      <c r="BK20" s="79">
        <v>10000</v>
      </c>
      <c r="BL20" s="79">
        <v>10000</v>
      </c>
      <c r="BM20" s="79">
        <v>10000</v>
      </c>
      <c r="BN20" s="79">
        <v>10000</v>
      </c>
      <c r="BO20" s="79">
        <v>90000</v>
      </c>
    </row>
    <row r="21" spans="1:67" ht="15" customHeight="1">
      <c r="A21" s="79" t="s">
        <v>2044</v>
      </c>
      <c r="B21" s="296" t="s">
        <v>546</v>
      </c>
      <c r="C21" s="150" t="s">
        <v>1136</v>
      </c>
      <c r="D21" s="332" t="s">
        <v>1345</v>
      </c>
      <c r="E21" s="383" t="s">
        <v>1480</v>
      </c>
      <c r="F21" s="331" t="s">
        <v>1346</v>
      </c>
      <c r="G21" s="512" t="s">
        <v>389</v>
      </c>
      <c r="H21" s="393" t="s">
        <v>1761</v>
      </c>
      <c r="I21" s="343"/>
      <c r="J21" s="331"/>
      <c r="K21" s="91" t="s">
        <v>395</v>
      </c>
      <c r="L21" s="343"/>
      <c r="M21" s="343"/>
      <c r="N21" s="348"/>
      <c r="O21" s="386" t="s">
        <v>152</v>
      </c>
      <c r="P21" s="387" t="s">
        <v>2043</v>
      </c>
      <c r="Q21" s="432"/>
      <c r="R21" s="358">
        <v>100000</v>
      </c>
      <c r="S21" s="378">
        <v>0</v>
      </c>
      <c r="T21" s="425"/>
      <c r="U21" s="71"/>
      <c r="V21" s="433"/>
      <c r="W21" s="434"/>
      <c r="X21" s="434"/>
      <c r="Y21" s="428" t="s">
        <v>1142</v>
      </c>
      <c r="Z21" s="429">
        <v>0</v>
      </c>
      <c r="AA21" s="429">
        <v>0</v>
      </c>
      <c r="AB21" s="388">
        <f t="shared" ref="AB21:AG21" si="3">10000-10000</f>
        <v>0</v>
      </c>
      <c r="AC21" s="388">
        <f t="shared" si="3"/>
        <v>0</v>
      </c>
      <c r="AD21" s="388">
        <f t="shared" si="3"/>
        <v>0</v>
      </c>
      <c r="AE21" s="388">
        <f t="shared" si="3"/>
        <v>0</v>
      </c>
      <c r="AF21" s="388">
        <f t="shared" si="3"/>
        <v>0</v>
      </c>
      <c r="AG21" s="388">
        <f t="shared" si="3"/>
        <v>0</v>
      </c>
      <c r="AH21" s="360">
        <f t="shared" si="1"/>
        <v>0</v>
      </c>
      <c r="AI21" s="362">
        <f>ERP_5[[#This Row],[2026 Working Total]]-ERP_5[[#This Row],[LE2 Final Submission]]</f>
        <v>0</v>
      </c>
      <c r="AJ21" s="79">
        <v>9692</v>
      </c>
      <c r="AK21" s="79">
        <f t="shared" si="0"/>
        <v>-9692</v>
      </c>
      <c r="AL21" s="374">
        <f>SUM(ERP_5[[#This Row],[AP01]:[AP06]])-SUM(ERP_5[[#This Row],[AP01 LE2]:[AP06 LE2]])</f>
        <v>0</v>
      </c>
      <c r="AM21" s="80"/>
      <c r="AN21" s="79">
        <f>ERP_5[[#This Row],[2026 Working Total to Budget/LE]]-ERP_5[[#This Row],[Giveback]]</f>
        <v>0</v>
      </c>
      <c r="AO21" s="81"/>
      <c r="AP21" s="375"/>
      <c r="AQ21" s="375"/>
      <c r="AR21" s="375"/>
      <c r="AS21" s="375">
        <v>0</v>
      </c>
      <c r="AT21" s="375">
        <v>0</v>
      </c>
      <c r="AU21" s="375">
        <v>0</v>
      </c>
      <c r="AV21" s="375">
        <v>0</v>
      </c>
      <c r="AW21" s="375">
        <v>0</v>
      </c>
      <c r="AX21" s="375">
        <v>0</v>
      </c>
      <c r="AY21" s="375">
        <v>0</v>
      </c>
      <c r="AZ21" s="375">
        <v>0</v>
      </c>
      <c r="BA21" s="375">
        <v>0</v>
      </c>
      <c r="BB21" s="375">
        <v>0</v>
      </c>
      <c r="BC21" s="103">
        <v>0</v>
      </c>
      <c r="BD21" s="103">
        <v>0</v>
      </c>
      <c r="BE21" s="103">
        <v>10000</v>
      </c>
      <c r="BF21" s="103">
        <v>10000</v>
      </c>
      <c r="BG21" s="103">
        <v>10000</v>
      </c>
      <c r="BH21" s="103">
        <v>10000</v>
      </c>
      <c r="BI21" s="103">
        <v>10000</v>
      </c>
      <c r="BJ21" s="103">
        <v>10000</v>
      </c>
      <c r="BK21" s="103">
        <v>10000</v>
      </c>
      <c r="BL21" s="103">
        <v>10000</v>
      </c>
      <c r="BM21" s="103">
        <v>10000</v>
      </c>
      <c r="BN21" s="103">
        <v>10000</v>
      </c>
      <c r="BO21" s="79">
        <f>SUM(ERP_5[[#This Row],[2026 AP01]:[2026 AP12]])</f>
        <v>100000</v>
      </c>
    </row>
    <row r="22" spans="1:67" ht="15" customHeight="1">
      <c r="A22" s="66" t="s">
        <v>1763</v>
      </c>
      <c r="B22" s="66" t="s">
        <v>1764</v>
      </c>
      <c r="C22" s="150" t="s">
        <v>1136</v>
      </c>
      <c r="D22" s="150" t="s">
        <v>1135</v>
      </c>
      <c r="E22" s="150" t="s">
        <v>1165</v>
      </c>
      <c r="F22" s="150" t="s">
        <v>1137</v>
      </c>
      <c r="G22" s="511" t="s">
        <v>389</v>
      </c>
      <c r="H22" s="392" t="s">
        <v>1765</v>
      </c>
      <c r="I22" s="343"/>
      <c r="J22" s="343"/>
      <c r="K22" s="70" t="s">
        <v>397</v>
      </c>
      <c r="L22" s="346"/>
      <c r="M22" s="343"/>
      <c r="N22" s="346"/>
      <c r="O22" s="150" t="s">
        <v>398</v>
      </c>
      <c r="P22" s="150"/>
      <c r="Q22" s="403"/>
      <c r="R22" s="406">
        <v>0</v>
      </c>
      <c r="S22" s="406">
        <v>56250</v>
      </c>
      <c r="T22" s="425"/>
      <c r="U22" s="71"/>
      <c r="V22" s="426"/>
      <c r="W22" s="427"/>
      <c r="X22" s="427"/>
      <c r="Y22" s="428" t="s">
        <v>1142</v>
      </c>
      <c r="Z22" s="429">
        <v>0</v>
      </c>
      <c r="AA22" s="429">
        <v>0</v>
      </c>
      <c r="AB22" s="363">
        <v>9500</v>
      </c>
      <c r="AC22" s="363">
        <v>9250</v>
      </c>
      <c r="AD22" s="363">
        <v>9500</v>
      </c>
      <c r="AE22" s="363">
        <v>9250</v>
      </c>
      <c r="AF22" s="363">
        <v>9500</v>
      </c>
      <c r="AG22" s="363">
        <v>9250</v>
      </c>
      <c r="AH22" s="360">
        <f t="shared" si="1"/>
        <v>56250</v>
      </c>
      <c r="AI22" s="362">
        <f>ERP_5[[#This Row],[2026 Working Total]]-ERP_5[[#This Row],[LE2 Final Submission]]</f>
        <v>0</v>
      </c>
      <c r="AJ22" s="79">
        <v>12602</v>
      </c>
      <c r="AK22" s="79">
        <f t="shared" si="0"/>
        <v>-12602</v>
      </c>
      <c r="AL22" s="374">
        <f>SUM(ERP_5[[#This Row],[AP01]:[AP06]])-SUM(ERP_5[[#This Row],[AP01 LE2]:[AP06 LE2]])</f>
        <v>-18750</v>
      </c>
      <c r="AM22" s="80"/>
      <c r="AN22" s="79">
        <f>ERP_5[[#This Row],[2026 Working Total to Budget/LE]]-ERP_5[[#This Row],[Giveback]]</f>
        <v>0</v>
      </c>
      <c r="AO22" s="81"/>
      <c r="AP22" s="375"/>
      <c r="AQ22" s="375"/>
      <c r="AR22" s="375"/>
      <c r="AS22" s="375">
        <v>6250</v>
      </c>
      <c r="AT22" s="375">
        <v>6250</v>
      </c>
      <c r="AU22" s="375">
        <v>6250</v>
      </c>
      <c r="AV22" s="375">
        <v>6250</v>
      </c>
      <c r="AW22" s="375">
        <v>6250</v>
      </c>
      <c r="AX22" s="375">
        <v>6250</v>
      </c>
      <c r="AY22" s="375">
        <v>6250</v>
      </c>
      <c r="AZ22" s="375">
        <v>6250</v>
      </c>
      <c r="BA22" s="375">
        <v>6250</v>
      </c>
      <c r="BB22" s="375">
        <v>56250</v>
      </c>
      <c r="BC22" s="79"/>
      <c r="BD22" s="79"/>
      <c r="BE22" s="79"/>
      <c r="BF22" s="79">
        <v>6250</v>
      </c>
      <c r="BG22" s="79">
        <v>6250</v>
      </c>
      <c r="BH22" s="79">
        <v>6250</v>
      </c>
      <c r="BI22" s="79">
        <v>6250</v>
      </c>
      <c r="BJ22" s="79">
        <v>6250</v>
      </c>
      <c r="BK22" s="79">
        <v>6250</v>
      </c>
      <c r="BL22" s="79">
        <v>6250</v>
      </c>
      <c r="BM22" s="79">
        <v>6250</v>
      </c>
      <c r="BN22" s="79">
        <v>6250</v>
      </c>
      <c r="BO22" s="79">
        <v>56250</v>
      </c>
    </row>
    <row r="23" spans="1:67" ht="15" customHeight="1">
      <c r="A23" s="79" t="s">
        <v>2045</v>
      </c>
      <c r="B23" s="296" t="s">
        <v>547</v>
      </c>
      <c r="C23" s="150" t="s">
        <v>1136</v>
      </c>
      <c r="D23" s="332" t="s">
        <v>1345</v>
      </c>
      <c r="E23" s="383" t="s">
        <v>1480</v>
      </c>
      <c r="F23" s="331" t="s">
        <v>1346</v>
      </c>
      <c r="G23" s="512" t="s">
        <v>389</v>
      </c>
      <c r="H23" s="393" t="s">
        <v>2046</v>
      </c>
      <c r="I23" s="343"/>
      <c r="J23" s="331"/>
      <c r="K23" s="91" t="s">
        <v>397</v>
      </c>
      <c r="L23" s="343"/>
      <c r="M23" s="343"/>
      <c r="N23" s="348"/>
      <c r="O23" s="386" t="s">
        <v>152</v>
      </c>
      <c r="P23" s="387" t="s">
        <v>2043</v>
      </c>
      <c r="Q23" s="432"/>
      <c r="R23" s="358">
        <v>75000</v>
      </c>
      <c r="S23" s="378">
        <v>0</v>
      </c>
      <c r="T23" s="430"/>
      <c r="U23" s="137"/>
      <c r="V23" s="433"/>
      <c r="W23" s="434"/>
      <c r="X23" s="434"/>
      <c r="Y23" s="428" t="s">
        <v>1142</v>
      </c>
      <c r="Z23" s="429">
        <v>0</v>
      </c>
      <c r="AA23" s="429">
        <v>0</v>
      </c>
      <c r="AB23" s="388">
        <f t="shared" ref="AB23:AG23" si="4">6250-6250</f>
        <v>0</v>
      </c>
      <c r="AC23" s="388">
        <f t="shared" si="4"/>
        <v>0</v>
      </c>
      <c r="AD23" s="388">
        <f t="shared" si="4"/>
        <v>0</v>
      </c>
      <c r="AE23" s="388">
        <f t="shared" si="4"/>
        <v>0</v>
      </c>
      <c r="AF23" s="388">
        <f t="shared" si="4"/>
        <v>0</v>
      </c>
      <c r="AG23" s="388">
        <f t="shared" si="4"/>
        <v>0</v>
      </c>
      <c r="AH23" s="360">
        <f t="shared" si="1"/>
        <v>0</v>
      </c>
      <c r="AI23" s="362">
        <f>ERP_5[[#This Row],[2026 Working Total]]-ERP_5[[#This Row],[LE2 Final Submission]]</f>
        <v>0</v>
      </c>
      <c r="AJ23" s="79">
        <v>391800</v>
      </c>
      <c r="AK23" s="79">
        <f t="shared" si="0"/>
        <v>-391800</v>
      </c>
      <c r="AL23" s="374">
        <f>SUM(ERP_5[[#This Row],[AP01]:[AP06]])-SUM(ERP_5[[#This Row],[AP01 LE2]:[AP06 LE2]])</f>
        <v>0</v>
      </c>
      <c r="AM23" s="80"/>
      <c r="AN23" s="79">
        <f>ERP_5[[#This Row],[2026 Working Total to Budget/LE]]-ERP_5[[#This Row],[Giveback]]</f>
        <v>0</v>
      </c>
      <c r="AO23" s="81"/>
      <c r="AP23" s="375"/>
      <c r="AQ23" s="375"/>
      <c r="AR23" s="375"/>
      <c r="AS23" s="375">
        <v>0</v>
      </c>
      <c r="AT23" s="375">
        <v>0</v>
      </c>
      <c r="AU23" s="375">
        <v>0</v>
      </c>
      <c r="AV23" s="375">
        <v>0</v>
      </c>
      <c r="AW23" s="375">
        <v>0</v>
      </c>
      <c r="AX23" s="375">
        <v>0</v>
      </c>
      <c r="AY23" s="375">
        <v>0</v>
      </c>
      <c r="AZ23" s="375">
        <v>0</v>
      </c>
      <c r="BA23" s="375">
        <v>0</v>
      </c>
      <c r="BB23" s="375">
        <v>0</v>
      </c>
      <c r="BC23" s="103">
        <v>6250</v>
      </c>
      <c r="BD23" s="103">
        <v>6250</v>
      </c>
      <c r="BE23" s="103">
        <v>6250</v>
      </c>
      <c r="BF23" s="103">
        <v>6250</v>
      </c>
      <c r="BG23" s="103">
        <v>6250</v>
      </c>
      <c r="BH23" s="103">
        <v>6250</v>
      </c>
      <c r="BI23" s="103">
        <v>6250</v>
      </c>
      <c r="BJ23" s="103">
        <v>6250</v>
      </c>
      <c r="BK23" s="103">
        <v>6250</v>
      </c>
      <c r="BL23" s="103">
        <v>6250</v>
      </c>
      <c r="BM23" s="103">
        <v>6250</v>
      </c>
      <c r="BN23" s="103">
        <v>6250</v>
      </c>
      <c r="BO23" s="79">
        <f>SUM(ERP_5[[#This Row],[2026 AP01]:[2026 AP12]])</f>
        <v>75000</v>
      </c>
    </row>
    <row r="24" spans="1:67" ht="15" customHeight="1">
      <c r="A24" s="79" t="s">
        <v>1343</v>
      </c>
      <c r="B24" s="296" t="s">
        <v>150</v>
      </c>
      <c r="C24" s="150" t="s">
        <v>1136</v>
      </c>
      <c r="D24" s="332" t="s">
        <v>1345</v>
      </c>
      <c r="E24" s="383" t="s">
        <v>1344</v>
      </c>
      <c r="F24" s="331" t="s">
        <v>1346</v>
      </c>
      <c r="G24" s="512" t="s">
        <v>49</v>
      </c>
      <c r="H24" s="393" t="s">
        <v>1347</v>
      </c>
      <c r="I24" s="343"/>
      <c r="J24" s="331"/>
      <c r="K24" s="91" t="s">
        <v>151</v>
      </c>
      <c r="L24" s="343"/>
      <c r="M24" s="343"/>
      <c r="N24" s="348"/>
      <c r="O24" s="386" t="s">
        <v>152</v>
      </c>
      <c r="P24" s="387" t="s">
        <v>1348</v>
      </c>
      <c r="Q24" s="432"/>
      <c r="R24" s="358">
        <v>70000.000000000015</v>
      </c>
      <c r="S24" s="378">
        <v>0</v>
      </c>
      <c r="T24" s="425"/>
      <c r="U24" s="71"/>
      <c r="V24" s="433"/>
      <c r="W24" s="434"/>
      <c r="X24" s="434"/>
      <c r="Y24" s="428" t="s">
        <v>1142</v>
      </c>
      <c r="Z24" s="429">
        <v>0</v>
      </c>
      <c r="AA24" s="429">
        <v>0</v>
      </c>
      <c r="AB24" s="388">
        <v>0</v>
      </c>
      <c r="AC24" s="388">
        <v>0</v>
      </c>
      <c r="AD24" s="388">
        <v>0</v>
      </c>
      <c r="AE24" s="388">
        <v>0</v>
      </c>
      <c r="AF24" s="388">
        <v>0</v>
      </c>
      <c r="AG24" s="388">
        <v>0</v>
      </c>
      <c r="AH24" s="360">
        <f t="shared" si="1"/>
        <v>0</v>
      </c>
      <c r="AI24" s="362">
        <f>ERP_5[[#This Row],[2026 Working Total]]-ERP_5[[#This Row],[LE2 Final Submission]]</f>
        <v>0</v>
      </c>
      <c r="AJ24" s="79">
        <v>270798</v>
      </c>
      <c r="AK24" s="79">
        <f t="shared" si="0"/>
        <v>-270798</v>
      </c>
      <c r="AL24" s="374">
        <f>SUM(ERP_5[[#This Row],[AP01]:[AP06]])-SUM(ERP_5[[#This Row],[AP01 LE2]:[AP06 LE2]])</f>
        <v>0</v>
      </c>
      <c r="AM24" s="80">
        <v>70000</v>
      </c>
      <c r="AN24" s="79">
        <f>ERP_5[[#This Row],[2026 Working Total to Budget/LE]]-ERP_5[[#This Row],[Giveback]]</f>
        <v>-70000</v>
      </c>
      <c r="AO24" s="81" t="s">
        <v>1349</v>
      </c>
      <c r="AP24" s="375"/>
      <c r="AQ24" s="375"/>
      <c r="AR24" s="375"/>
      <c r="AS24" s="375">
        <v>0</v>
      </c>
      <c r="AT24" s="375">
        <v>0</v>
      </c>
      <c r="AU24" s="375">
        <v>0</v>
      </c>
      <c r="AV24" s="375">
        <v>0</v>
      </c>
      <c r="AW24" s="375">
        <v>0</v>
      </c>
      <c r="AX24" s="375">
        <v>0</v>
      </c>
      <c r="AY24" s="375">
        <v>0</v>
      </c>
      <c r="AZ24" s="375">
        <v>0</v>
      </c>
      <c r="BA24" s="375">
        <v>0</v>
      </c>
      <c r="BB24" s="375">
        <v>0</v>
      </c>
      <c r="BC24" s="103">
        <v>5833.37</v>
      </c>
      <c r="BD24" s="103">
        <v>5833.33</v>
      </c>
      <c r="BE24" s="103">
        <v>5833.33</v>
      </c>
      <c r="BF24" s="103">
        <v>5833.33</v>
      </c>
      <c r="BG24" s="103">
        <v>5833.33</v>
      </c>
      <c r="BH24" s="103">
        <v>5833.33</v>
      </c>
      <c r="BI24" s="103">
        <v>5833.33</v>
      </c>
      <c r="BJ24" s="103">
        <v>5833.33</v>
      </c>
      <c r="BK24" s="103">
        <v>5833.33</v>
      </c>
      <c r="BL24" s="103">
        <v>5833.33</v>
      </c>
      <c r="BM24" s="103">
        <v>5833.33</v>
      </c>
      <c r="BN24" s="103">
        <v>5833.33</v>
      </c>
      <c r="BO24" s="79">
        <f>SUM(ERP_5[[#This Row],[2026 AP01]:[2026 AP12]])</f>
        <v>70000.000000000015</v>
      </c>
    </row>
    <row r="25" spans="1:67" ht="15" customHeight="1">
      <c r="A25" s="79" t="s">
        <v>1350</v>
      </c>
      <c r="B25" s="296" t="s">
        <v>153</v>
      </c>
      <c r="C25" s="150" t="s">
        <v>1136</v>
      </c>
      <c r="D25" s="332" t="s">
        <v>1345</v>
      </c>
      <c r="E25" s="383" t="s">
        <v>1344</v>
      </c>
      <c r="F25" s="331" t="s">
        <v>1346</v>
      </c>
      <c r="G25" s="512" t="s">
        <v>49</v>
      </c>
      <c r="H25" s="393" t="s">
        <v>1351</v>
      </c>
      <c r="I25" s="343"/>
      <c r="J25" s="331"/>
      <c r="K25" s="91" t="s">
        <v>154</v>
      </c>
      <c r="L25" s="343"/>
      <c r="M25" s="343"/>
      <c r="N25" s="348"/>
      <c r="O25" s="386" t="s">
        <v>152</v>
      </c>
      <c r="P25" s="387" t="s">
        <v>1352</v>
      </c>
      <c r="Q25" s="432"/>
      <c r="R25" s="358">
        <v>120000</v>
      </c>
      <c r="S25" s="378">
        <v>0</v>
      </c>
      <c r="T25" s="425"/>
      <c r="U25" s="71"/>
      <c r="V25" s="433"/>
      <c r="W25" s="434"/>
      <c r="X25" s="434"/>
      <c r="Y25" s="428" t="s">
        <v>1142</v>
      </c>
      <c r="Z25" s="429">
        <v>0</v>
      </c>
      <c r="AA25" s="429">
        <v>0</v>
      </c>
      <c r="AB25" s="388">
        <v>0</v>
      </c>
      <c r="AC25" s="388">
        <v>0</v>
      </c>
      <c r="AD25" s="388">
        <v>0</v>
      </c>
      <c r="AE25" s="388">
        <v>0</v>
      </c>
      <c r="AF25" s="388">
        <v>0</v>
      </c>
      <c r="AG25" s="388">
        <v>0</v>
      </c>
      <c r="AH25" s="360">
        <f t="shared" si="1"/>
        <v>0</v>
      </c>
      <c r="AI25" s="362">
        <f>ERP_5[[#This Row],[2026 Working Total]]-ERP_5[[#This Row],[LE2 Final Submission]]</f>
        <v>0</v>
      </c>
      <c r="AJ25" s="79">
        <v>8695</v>
      </c>
      <c r="AK25" s="79">
        <f t="shared" si="0"/>
        <v>-8695</v>
      </c>
      <c r="AL25" s="374">
        <f>SUM(ERP_5[[#This Row],[AP01]:[AP06]])-SUM(ERP_5[[#This Row],[AP01 LE2]:[AP06 LE2]])</f>
        <v>0</v>
      </c>
      <c r="AM25" s="80">
        <v>120000</v>
      </c>
      <c r="AN25" s="79">
        <f>ERP_5[[#This Row],[2026 Working Total to Budget/LE]]-ERP_5[[#This Row],[Giveback]]</f>
        <v>-120000</v>
      </c>
      <c r="AO25" s="81" t="s">
        <v>1349</v>
      </c>
      <c r="AP25" s="375"/>
      <c r="AQ25" s="375"/>
      <c r="AR25" s="375"/>
      <c r="AS25" s="375">
        <v>0</v>
      </c>
      <c r="AT25" s="375">
        <v>0</v>
      </c>
      <c r="AU25" s="375">
        <v>0</v>
      </c>
      <c r="AV25" s="375">
        <v>0</v>
      </c>
      <c r="AW25" s="375">
        <v>0</v>
      </c>
      <c r="AX25" s="375">
        <v>0</v>
      </c>
      <c r="AY25" s="375">
        <v>0</v>
      </c>
      <c r="AZ25" s="375">
        <v>0</v>
      </c>
      <c r="BA25" s="375">
        <v>0</v>
      </c>
      <c r="BB25" s="375">
        <v>0</v>
      </c>
      <c r="BC25" s="103">
        <v>10000</v>
      </c>
      <c r="BD25" s="103">
        <v>10000</v>
      </c>
      <c r="BE25" s="103">
        <v>10000</v>
      </c>
      <c r="BF25" s="103">
        <v>10000</v>
      </c>
      <c r="BG25" s="103">
        <v>10000</v>
      </c>
      <c r="BH25" s="103">
        <v>10000</v>
      </c>
      <c r="BI25" s="103">
        <v>10000</v>
      </c>
      <c r="BJ25" s="103">
        <v>10000</v>
      </c>
      <c r="BK25" s="103">
        <v>10000</v>
      </c>
      <c r="BL25" s="103">
        <v>10000</v>
      </c>
      <c r="BM25" s="103">
        <v>10000</v>
      </c>
      <c r="BN25" s="103">
        <v>10000</v>
      </c>
      <c r="BO25" s="79">
        <f>SUM(ERP_5[[#This Row],[2026 AP01]:[2026 AP12]])</f>
        <v>120000</v>
      </c>
    </row>
    <row r="26" spans="1:67" ht="15" customHeight="1">
      <c r="A26" s="79" t="s">
        <v>1514</v>
      </c>
      <c r="B26" s="296" t="s">
        <v>238</v>
      </c>
      <c r="C26" s="150" t="s">
        <v>1136</v>
      </c>
      <c r="D26" s="332" t="s">
        <v>1345</v>
      </c>
      <c r="E26" s="383" t="s">
        <v>1515</v>
      </c>
      <c r="F26" s="331" t="s">
        <v>1346</v>
      </c>
      <c r="G26" s="512" t="s">
        <v>49</v>
      </c>
      <c r="H26" s="393" t="s">
        <v>1516</v>
      </c>
      <c r="I26" s="343"/>
      <c r="J26" s="331"/>
      <c r="K26" s="91" t="s">
        <v>239</v>
      </c>
      <c r="L26" s="343"/>
      <c r="M26" s="343"/>
      <c r="N26" s="348"/>
      <c r="O26" s="386" t="s">
        <v>152</v>
      </c>
      <c r="P26" s="389" t="s">
        <v>1517</v>
      </c>
      <c r="Q26" s="432"/>
      <c r="R26" s="358">
        <v>200000</v>
      </c>
      <c r="S26" s="378">
        <v>0</v>
      </c>
      <c r="T26" s="425"/>
      <c r="U26" s="71"/>
      <c r="V26" s="433"/>
      <c r="W26" s="434"/>
      <c r="X26" s="434"/>
      <c r="Y26" s="428" t="s">
        <v>1142</v>
      </c>
      <c r="Z26" s="429">
        <v>0</v>
      </c>
      <c r="AA26" s="429">
        <v>0</v>
      </c>
      <c r="AB26" s="388">
        <v>0</v>
      </c>
      <c r="AC26" s="388">
        <v>0</v>
      </c>
      <c r="AD26" s="388">
        <v>0</v>
      </c>
      <c r="AE26" s="388">
        <v>0</v>
      </c>
      <c r="AF26" s="388">
        <v>0</v>
      </c>
      <c r="AG26" s="388">
        <v>0</v>
      </c>
      <c r="AH26" s="360">
        <f t="shared" si="1"/>
        <v>0</v>
      </c>
      <c r="AI26" s="362">
        <f>ERP_5[[#This Row],[2026 Working Total]]-ERP_5[[#This Row],[LE2 Final Submission]]</f>
        <v>0</v>
      </c>
      <c r="AJ26" s="79">
        <v>0</v>
      </c>
      <c r="AK26" s="79">
        <f t="shared" si="0"/>
        <v>0</v>
      </c>
      <c r="AL26" s="374">
        <f>SUM(ERP_5[[#This Row],[AP01]:[AP06]])-SUM(ERP_5[[#This Row],[AP01 LE2]:[AP06 LE2]])</f>
        <v>0</v>
      </c>
      <c r="AM26" s="80"/>
      <c r="AN26" s="79">
        <f>ERP_5[[#This Row],[2026 Working Total to Budget/LE]]-ERP_5[[#This Row],[Giveback]]</f>
        <v>0</v>
      </c>
      <c r="AO26" s="119" t="s">
        <v>1518</v>
      </c>
      <c r="AP26" s="377"/>
      <c r="AQ26" s="377"/>
      <c r="AR26" s="377"/>
      <c r="AS26" s="377">
        <v>0</v>
      </c>
      <c r="AT26" s="377">
        <v>0</v>
      </c>
      <c r="AU26" s="377">
        <v>0</v>
      </c>
      <c r="AV26" s="377">
        <v>0</v>
      </c>
      <c r="AW26" s="377">
        <v>0</v>
      </c>
      <c r="AX26" s="377">
        <v>0</v>
      </c>
      <c r="AY26" s="377">
        <v>0</v>
      </c>
      <c r="AZ26" s="377">
        <v>0</v>
      </c>
      <c r="BA26" s="377">
        <v>0</v>
      </c>
      <c r="BB26" s="377">
        <v>0</v>
      </c>
      <c r="BC26" s="103">
        <v>16667</v>
      </c>
      <c r="BD26" s="103">
        <v>16667</v>
      </c>
      <c r="BE26" s="103">
        <v>16667</v>
      </c>
      <c r="BF26" s="103">
        <v>16667</v>
      </c>
      <c r="BG26" s="103">
        <v>16667</v>
      </c>
      <c r="BH26" s="103">
        <v>16667</v>
      </c>
      <c r="BI26" s="103">
        <v>16667</v>
      </c>
      <c r="BJ26" s="103">
        <v>16667</v>
      </c>
      <c r="BK26" s="103">
        <v>16666</v>
      </c>
      <c r="BL26" s="103">
        <v>16666</v>
      </c>
      <c r="BM26" s="103">
        <v>16666</v>
      </c>
      <c r="BN26" s="103">
        <v>16666</v>
      </c>
      <c r="BO26" s="79">
        <f>SUM(ERP_5[[#This Row],[2026 AP01]:[2026 AP12]])</f>
        <v>200000</v>
      </c>
    </row>
    <row r="27" spans="1:67" ht="15" customHeight="1">
      <c r="A27" s="66" t="s">
        <v>2743</v>
      </c>
      <c r="B27" s="66" t="s">
        <v>981</v>
      </c>
      <c r="C27" s="150" t="s">
        <v>1136</v>
      </c>
      <c r="D27" s="150" t="s">
        <v>1345</v>
      </c>
      <c r="E27" s="150" t="s">
        <v>1515</v>
      </c>
      <c r="F27" s="150" t="s">
        <v>1346</v>
      </c>
      <c r="G27" s="511" t="s">
        <v>639</v>
      </c>
      <c r="H27" s="392" t="s">
        <v>2744</v>
      </c>
      <c r="I27" s="343"/>
      <c r="J27" s="343"/>
      <c r="K27" s="70" t="s">
        <v>982</v>
      </c>
      <c r="L27" s="346"/>
      <c r="M27" s="343"/>
      <c r="N27" s="346"/>
      <c r="O27" s="150" t="s">
        <v>152</v>
      </c>
      <c r="P27" s="150"/>
      <c r="Q27" s="403"/>
      <c r="R27" s="406">
        <v>18000</v>
      </c>
      <c r="S27" s="406">
        <v>13500</v>
      </c>
      <c r="T27" s="425"/>
      <c r="U27" s="71"/>
      <c r="V27" s="426"/>
      <c r="W27" s="427"/>
      <c r="X27" s="427"/>
      <c r="Y27" s="428" t="s">
        <v>1142</v>
      </c>
      <c r="Z27" s="429">
        <v>0</v>
      </c>
      <c r="AA27" s="429">
        <v>0</v>
      </c>
      <c r="AB27" s="363">
        <v>1500</v>
      </c>
      <c r="AC27" s="363">
        <v>1500</v>
      </c>
      <c r="AD27" s="363">
        <v>1500</v>
      </c>
      <c r="AE27" s="363">
        <v>1500</v>
      </c>
      <c r="AF27" s="363">
        <v>1500</v>
      </c>
      <c r="AG27" s="363">
        <v>1500</v>
      </c>
      <c r="AH27" s="360">
        <f t="shared" si="1"/>
        <v>9000</v>
      </c>
      <c r="AI27" s="362">
        <f>ERP_5[[#This Row],[2026 Working Total]]-ERP_5[[#This Row],[LE2 Final Submission]]</f>
        <v>-4500</v>
      </c>
      <c r="AJ27" s="79">
        <v>5000</v>
      </c>
      <c r="AK27" s="79">
        <f t="shared" si="0"/>
        <v>-5000</v>
      </c>
      <c r="AL27" s="374">
        <f>SUM(ERP_5[[#This Row],[AP01]:[AP06]])-SUM(ERP_5[[#This Row],[AP01 LE2]:[AP06 LE2]])</f>
        <v>-4500</v>
      </c>
      <c r="AM27" s="80"/>
      <c r="AN27" s="79">
        <f>ERP_5[[#This Row],[2026 Working Total to Budget/LE]]-ERP_5[[#This Row],[Giveback]]</f>
        <v>-4500</v>
      </c>
      <c r="AO27" s="81"/>
      <c r="AP27" s="375"/>
      <c r="AQ27" s="375"/>
      <c r="AR27" s="375"/>
      <c r="AS27" s="375">
        <v>1500</v>
      </c>
      <c r="AT27" s="375">
        <v>1500</v>
      </c>
      <c r="AU27" s="375">
        <v>1500</v>
      </c>
      <c r="AV27" s="375">
        <v>1500</v>
      </c>
      <c r="AW27" s="375">
        <v>1500</v>
      </c>
      <c r="AX27" s="375">
        <v>1500</v>
      </c>
      <c r="AY27" s="375">
        <v>1500</v>
      </c>
      <c r="AZ27" s="375">
        <v>1500</v>
      </c>
      <c r="BA27" s="375">
        <v>1500</v>
      </c>
      <c r="BB27" s="375">
        <v>13500</v>
      </c>
      <c r="BC27" s="79"/>
      <c r="BD27" s="79"/>
      <c r="BE27" s="79"/>
      <c r="BF27" s="79">
        <v>1500</v>
      </c>
      <c r="BG27" s="79">
        <v>1500</v>
      </c>
      <c r="BH27" s="79">
        <v>1500</v>
      </c>
      <c r="BI27" s="79">
        <v>1500</v>
      </c>
      <c r="BJ27" s="79">
        <v>1500</v>
      </c>
      <c r="BK27" s="79">
        <v>1500</v>
      </c>
      <c r="BL27" s="79">
        <v>1500</v>
      </c>
      <c r="BM27" s="79">
        <v>1500</v>
      </c>
      <c r="BN27" s="79">
        <v>1500</v>
      </c>
      <c r="BO27" s="79">
        <v>13500</v>
      </c>
    </row>
    <row r="28" spans="1:67" ht="15" customHeight="1">
      <c r="A28" s="66" t="s">
        <v>1994</v>
      </c>
      <c r="B28" s="66" t="s">
        <v>1995</v>
      </c>
      <c r="C28" s="150" t="s">
        <v>1136</v>
      </c>
      <c r="D28" s="150" t="s">
        <v>1345</v>
      </c>
      <c r="E28" s="150" t="s">
        <v>1437</v>
      </c>
      <c r="F28" s="150" t="s">
        <v>1346</v>
      </c>
      <c r="G28" s="511" t="s">
        <v>389</v>
      </c>
      <c r="H28" s="392" t="s">
        <v>1996</v>
      </c>
      <c r="I28" s="343"/>
      <c r="J28" s="343"/>
      <c r="K28" s="70" t="s">
        <v>518</v>
      </c>
      <c r="L28" s="346"/>
      <c r="M28" s="343"/>
      <c r="N28" s="346"/>
      <c r="O28" s="150" t="s">
        <v>152</v>
      </c>
      <c r="P28" s="150" t="s">
        <v>1997</v>
      </c>
      <c r="Q28" s="403"/>
      <c r="R28" s="406">
        <v>100000.00000000001</v>
      </c>
      <c r="S28" s="406">
        <v>60000</v>
      </c>
      <c r="T28" s="425"/>
      <c r="U28" s="71"/>
      <c r="V28" s="426"/>
      <c r="W28" s="427"/>
      <c r="X28" s="427"/>
      <c r="Y28" s="428" t="s">
        <v>1142</v>
      </c>
      <c r="Z28" s="429">
        <v>0</v>
      </c>
      <c r="AA28" s="429">
        <v>0</v>
      </c>
      <c r="AB28" s="363">
        <v>10000</v>
      </c>
      <c r="AC28" s="363">
        <v>10000</v>
      </c>
      <c r="AD28" s="363">
        <v>10000</v>
      </c>
      <c r="AE28" s="363">
        <v>10000</v>
      </c>
      <c r="AF28" s="363">
        <v>10000</v>
      </c>
      <c r="AG28" s="363">
        <v>10000</v>
      </c>
      <c r="AH28" s="360">
        <f t="shared" si="1"/>
        <v>60000</v>
      </c>
      <c r="AI28" s="362">
        <f>ERP_5[[#This Row],[2026 Working Total]]-ERP_5[[#This Row],[LE2 Final Submission]]</f>
        <v>0</v>
      </c>
      <c r="AJ28" s="79">
        <v>0</v>
      </c>
      <c r="AK28" s="79">
        <f t="shared" si="0"/>
        <v>0</v>
      </c>
      <c r="AL28" s="374">
        <f>SUM(ERP_5[[#This Row],[AP01]:[AP06]])-SUM(ERP_5[[#This Row],[AP01 LE2]:[AP06 LE2]])</f>
        <v>0</v>
      </c>
      <c r="AM28" s="80"/>
      <c r="AN28" s="79">
        <f>ERP_5[[#This Row],[2026 Working Total to Budget/LE]]-ERP_5[[#This Row],[Giveback]]</f>
        <v>0</v>
      </c>
      <c r="AO28" s="81" t="s">
        <v>1998</v>
      </c>
      <c r="AP28" s="375"/>
      <c r="AQ28" s="375"/>
      <c r="AR28" s="375"/>
      <c r="AS28" s="375"/>
      <c r="AT28" s="375"/>
      <c r="AU28" s="375"/>
      <c r="AV28" s="375">
        <v>10000</v>
      </c>
      <c r="AW28" s="375">
        <v>10000</v>
      </c>
      <c r="AX28" s="375">
        <v>10000</v>
      </c>
      <c r="AY28" s="375">
        <v>10000</v>
      </c>
      <c r="AZ28" s="375">
        <v>10000</v>
      </c>
      <c r="BA28" s="375">
        <v>10000</v>
      </c>
      <c r="BB28" s="375">
        <v>60000</v>
      </c>
      <c r="BC28" s="79"/>
      <c r="BD28" s="79"/>
      <c r="BE28" s="79"/>
      <c r="BF28" s="79">
        <v>10000</v>
      </c>
      <c r="BG28" s="79">
        <v>10000</v>
      </c>
      <c r="BH28" s="79">
        <v>10000</v>
      </c>
      <c r="BI28" s="79">
        <v>10000</v>
      </c>
      <c r="BJ28" s="79">
        <v>10000</v>
      </c>
      <c r="BK28" s="79">
        <v>10000</v>
      </c>
      <c r="BL28" s="79">
        <v>10000</v>
      </c>
      <c r="BM28" s="79">
        <v>10000</v>
      </c>
      <c r="BN28" s="79">
        <v>10000</v>
      </c>
      <c r="BO28" s="79">
        <v>90000</v>
      </c>
    </row>
    <row r="29" spans="1:67" ht="15" customHeight="1">
      <c r="A29" s="66" t="s">
        <v>2220</v>
      </c>
      <c r="B29" s="66" t="s">
        <v>649</v>
      </c>
      <c r="C29" s="150" t="s">
        <v>1136</v>
      </c>
      <c r="D29" s="150" t="s">
        <v>1135</v>
      </c>
      <c r="E29" s="150" t="s">
        <v>1135</v>
      </c>
      <c r="F29" s="150" t="s">
        <v>1137</v>
      </c>
      <c r="G29" s="511" t="s">
        <v>639</v>
      </c>
      <c r="H29" s="392" t="s">
        <v>2221</v>
      </c>
      <c r="I29" s="343"/>
      <c r="J29" s="343"/>
      <c r="K29" s="70" t="s">
        <v>650</v>
      </c>
      <c r="L29" s="346"/>
      <c r="M29" s="343"/>
      <c r="N29" s="346"/>
      <c r="O29" s="150" t="s">
        <v>152</v>
      </c>
      <c r="P29" s="150"/>
      <c r="Q29" s="403"/>
      <c r="R29" s="406">
        <v>0</v>
      </c>
      <c r="S29" s="406">
        <v>2475</v>
      </c>
      <c r="T29" s="425"/>
      <c r="U29" s="71"/>
      <c r="V29" s="426"/>
      <c r="W29" s="427"/>
      <c r="X29" s="427"/>
      <c r="Y29" s="428" t="s">
        <v>1142</v>
      </c>
      <c r="Z29" s="429">
        <v>0</v>
      </c>
      <c r="AA29" s="429">
        <v>0</v>
      </c>
      <c r="AB29" s="363">
        <v>413</v>
      </c>
      <c r="AC29" s="363">
        <v>413</v>
      </c>
      <c r="AD29" s="363">
        <v>413</v>
      </c>
      <c r="AE29" s="363">
        <v>412</v>
      </c>
      <c r="AF29" s="363">
        <v>412</v>
      </c>
      <c r="AG29" s="363">
        <v>412</v>
      </c>
      <c r="AH29" s="360">
        <f t="shared" si="1"/>
        <v>2475</v>
      </c>
      <c r="AI29" s="362">
        <f>ERP_5[[#This Row],[2026 Working Total]]-ERP_5[[#This Row],[LE2 Final Submission]]</f>
        <v>0</v>
      </c>
      <c r="AJ29" s="79">
        <v>883.33333300000004</v>
      </c>
      <c r="AK29" s="79">
        <f t="shared" si="0"/>
        <v>-883.33333300000004</v>
      </c>
      <c r="AL29" s="374">
        <f>SUM(ERP_5[[#This Row],[AP01]:[AP06]])-SUM(ERP_5[[#This Row],[AP01 LE2]:[AP06 LE2]])</f>
        <v>-825</v>
      </c>
      <c r="AM29" s="80"/>
      <c r="AN29" s="79">
        <f>ERP_5[[#This Row],[2026 Working Total to Budget/LE]]-ERP_5[[#This Row],[Giveback]]</f>
        <v>0</v>
      </c>
      <c r="AO29" s="81"/>
      <c r="AP29" s="375"/>
      <c r="AQ29" s="375"/>
      <c r="AR29" s="375"/>
      <c r="AS29" s="375">
        <v>275</v>
      </c>
      <c r="AT29" s="375">
        <v>275</v>
      </c>
      <c r="AU29" s="375">
        <v>275</v>
      </c>
      <c r="AV29" s="375">
        <v>275</v>
      </c>
      <c r="AW29" s="375">
        <v>275</v>
      </c>
      <c r="AX29" s="375">
        <v>275</v>
      </c>
      <c r="AY29" s="375">
        <v>275</v>
      </c>
      <c r="AZ29" s="375">
        <v>275</v>
      </c>
      <c r="BA29" s="375">
        <v>275</v>
      </c>
      <c r="BB29" s="375">
        <v>2475</v>
      </c>
      <c r="BC29" s="79"/>
      <c r="BD29" s="79"/>
      <c r="BE29" s="79"/>
      <c r="BF29" s="79">
        <v>275</v>
      </c>
      <c r="BG29" s="79">
        <v>275</v>
      </c>
      <c r="BH29" s="79">
        <v>275</v>
      </c>
      <c r="BI29" s="79">
        <v>275</v>
      </c>
      <c r="BJ29" s="79">
        <v>275</v>
      </c>
      <c r="BK29" s="79">
        <v>275</v>
      </c>
      <c r="BL29" s="79">
        <v>275</v>
      </c>
      <c r="BM29" s="79">
        <v>275</v>
      </c>
      <c r="BN29" s="79">
        <v>275</v>
      </c>
      <c r="BO29" s="79">
        <v>2475</v>
      </c>
    </row>
    <row r="30" spans="1:67" ht="15" customHeight="1">
      <c r="A30" s="79" t="s">
        <v>2708</v>
      </c>
      <c r="B30" s="296" t="s">
        <v>961</v>
      </c>
      <c r="C30" s="150" t="s">
        <v>1136</v>
      </c>
      <c r="D30" s="332" t="s">
        <v>1345</v>
      </c>
      <c r="E30" s="382" t="s">
        <v>1480</v>
      </c>
      <c r="F30" s="331" t="s">
        <v>1346</v>
      </c>
      <c r="G30" s="512" t="s">
        <v>639</v>
      </c>
      <c r="H30" s="394" t="s">
        <v>2221</v>
      </c>
      <c r="I30" s="343"/>
      <c r="J30" s="331"/>
      <c r="K30" s="122" t="s">
        <v>650</v>
      </c>
      <c r="L30" s="343"/>
      <c r="M30" s="343"/>
      <c r="N30" s="348"/>
      <c r="O30" s="384" t="s">
        <v>152</v>
      </c>
      <c r="P30" s="387" t="s">
        <v>2706</v>
      </c>
      <c r="Q30" s="432"/>
      <c r="R30" s="358">
        <v>3300</v>
      </c>
      <c r="S30" s="378">
        <v>0</v>
      </c>
      <c r="T30" s="430"/>
      <c r="U30" s="137"/>
      <c r="V30" s="433"/>
      <c r="W30" s="434"/>
      <c r="X30" s="434"/>
      <c r="Y30" s="428" t="s">
        <v>1142</v>
      </c>
      <c r="Z30" s="429">
        <v>0</v>
      </c>
      <c r="AA30" s="429">
        <v>0</v>
      </c>
      <c r="AB30" s="388">
        <f t="shared" ref="AB30:AG30" si="5">275-275</f>
        <v>0</v>
      </c>
      <c r="AC30" s="388">
        <f t="shared" si="5"/>
        <v>0</v>
      </c>
      <c r="AD30" s="388">
        <f t="shared" si="5"/>
        <v>0</v>
      </c>
      <c r="AE30" s="388">
        <f t="shared" si="5"/>
        <v>0</v>
      </c>
      <c r="AF30" s="388">
        <f t="shared" si="5"/>
        <v>0</v>
      </c>
      <c r="AG30" s="388">
        <f t="shared" si="5"/>
        <v>0</v>
      </c>
      <c r="AH30" s="360">
        <f t="shared" si="1"/>
        <v>0</v>
      </c>
      <c r="AI30" s="362">
        <f>ERP_5[[#This Row],[2026 Working Total]]-ERP_5[[#This Row],[LE2 Final Submission]]</f>
        <v>0</v>
      </c>
      <c r="AJ30" s="79">
        <v>6142.58</v>
      </c>
      <c r="AK30" s="79">
        <f t="shared" si="0"/>
        <v>-6142.58</v>
      </c>
      <c r="AL30" s="374">
        <f>SUM(ERP_5[[#This Row],[AP01]:[AP06]])-SUM(ERP_5[[#This Row],[AP01 LE2]:[AP06 LE2]])</f>
        <v>0</v>
      </c>
      <c r="AM30" s="80"/>
      <c r="AN30" s="79">
        <f>ERP_5[[#This Row],[2026 Working Total to Budget/LE]]-ERP_5[[#This Row],[Giveback]]</f>
        <v>0</v>
      </c>
      <c r="AO30" s="81"/>
      <c r="AP30" s="375"/>
      <c r="AQ30" s="375"/>
      <c r="AR30" s="375"/>
      <c r="AS30" s="375">
        <v>0</v>
      </c>
      <c r="AT30" s="375">
        <v>0</v>
      </c>
      <c r="AU30" s="375">
        <v>0</v>
      </c>
      <c r="AV30" s="375">
        <v>0</v>
      </c>
      <c r="AW30" s="375">
        <v>0</v>
      </c>
      <c r="AX30" s="375">
        <v>0</v>
      </c>
      <c r="AY30" s="375">
        <v>0</v>
      </c>
      <c r="AZ30" s="375">
        <v>0</v>
      </c>
      <c r="BA30" s="375">
        <v>0</v>
      </c>
      <c r="BB30" s="375">
        <v>0</v>
      </c>
      <c r="BC30" s="103">
        <v>275</v>
      </c>
      <c r="BD30" s="103">
        <v>275</v>
      </c>
      <c r="BE30" s="103">
        <v>275</v>
      </c>
      <c r="BF30" s="103">
        <v>275</v>
      </c>
      <c r="BG30" s="103">
        <v>275</v>
      </c>
      <c r="BH30" s="103">
        <v>275</v>
      </c>
      <c r="BI30" s="103">
        <v>275</v>
      </c>
      <c r="BJ30" s="103">
        <v>275</v>
      </c>
      <c r="BK30" s="103">
        <v>275</v>
      </c>
      <c r="BL30" s="103">
        <v>275</v>
      </c>
      <c r="BM30" s="103">
        <v>275</v>
      </c>
      <c r="BN30" s="103">
        <v>275</v>
      </c>
      <c r="BO30" s="79">
        <f>SUM(ERP_5[[#This Row],[2026 AP01]:[2026 AP12]])</f>
        <v>3300</v>
      </c>
    </row>
    <row r="31" spans="1:67" ht="15" customHeight="1">
      <c r="A31" s="66" t="s">
        <v>1999</v>
      </c>
      <c r="B31" s="66" t="s">
        <v>2000</v>
      </c>
      <c r="C31" s="150" t="s">
        <v>1136</v>
      </c>
      <c r="D31" s="150" t="s">
        <v>1345</v>
      </c>
      <c r="E31" s="150" t="s">
        <v>1437</v>
      </c>
      <c r="F31" s="150" t="s">
        <v>1346</v>
      </c>
      <c r="G31" s="511" t="s">
        <v>389</v>
      </c>
      <c r="H31" s="392" t="s">
        <v>2001</v>
      </c>
      <c r="I31" s="343"/>
      <c r="J31" s="343"/>
      <c r="K31" s="70" t="s">
        <v>520</v>
      </c>
      <c r="L31" s="346"/>
      <c r="M31" s="343"/>
      <c r="N31" s="346"/>
      <c r="O31" s="150" t="s">
        <v>152</v>
      </c>
      <c r="P31" s="150" t="s">
        <v>1997</v>
      </c>
      <c r="Q31" s="403"/>
      <c r="R31" s="406">
        <v>64999.999999999985</v>
      </c>
      <c r="S31" s="406">
        <v>39000</v>
      </c>
      <c r="T31" s="425"/>
      <c r="U31" s="71"/>
      <c r="V31" s="426"/>
      <c r="W31" s="427"/>
      <c r="X31" s="427"/>
      <c r="Y31" s="428" t="s">
        <v>1142</v>
      </c>
      <c r="Z31" s="429">
        <v>0</v>
      </c>
      <c r="AA31" s="429">
        <v>0</v>
      </c>
      <c r="AB31" s="363">
        <v>6500</v>
      </c>
      <c r="AC31" s="363">
        <v>6500</v>
      </c>
      <c r="AD31" s="363">
        <v>6500</v>
      </c>
      <c r="AE31" s="363">
        <v>6500</v>
      </c>
      <c r="AF31" s="363">
        <v>6500</v>
      </c>
      <c r="AG31" s="363">
        <v>6500</v>
      </c>
      <c r="AH31" s="360">
        <f t="shared" si="1"/>
        <v>39000</v>
      </c>
      <c r="AI31" s="362">
        <f>ERP_5[[#This Row],[2026 Working Total]]-ERP_5[[#This Row],[LE2 Final Submission]]</f>
        <v>0</v>
      </c>
      <c r="AJ31" s="79">
        <v>799.33</v>
      </c>
      <c r="AK31" s="79">
        <f t="shared" si="0"/>
        <v>-799.33</v>
      </c>
      <c r="AL31" s="374">
        <f>SUM(ERP_5[[#This Row],[AP01]:[AP06]])-SUM(ERP_5[[#This Row],[AP01 LE2]:[AP06 LE2]])</f>
        <v>0</v>
      </c>
      <c r="AM31" s="80"/>
      <c r="AN31" s="79">
        <f>ERP_5[[#This Row],[2026 Working Total to Budget/LE]]-ERP_5[[#This Row],[Giveback]]</f>
        <v>0</v>
      </c>
      <c r="AO31" s="81" t="s">
        <v>1998</v>
      </c>
      <c r="AP31" s="375"/>
      <c r="AQ31" s="375"/>
      <c r="AR31" s="375"/>
      <c r="AS31" s="375"/>
      <c r="AT31" s="375"/>
      <c r="AU31" s="375"/>
      <c r="AV31" s="375">
        <v>6500</v>
      </c>
      <c r="AW31" s="375">
        <v>6500</v>
      </c>
      <c r="AX31" s="375">
        <v>6500</v>
      </c>
      <c r="AY31" s="375">
        <v>6500</v>
      </c>
      <c r="AZ31" s="375">
        <v>6500</v>
      </c>
      <c r="BA31" s="375">
        <v>6500</v>
      </c>
      <c r="BB31" s="375">
        <v>39000</v>
      </c>
      <c r="BC31" s="79"/>
      <c r="BD31" s="79"/>
      <c r="BE31" s="79"/>
      <c r="BF31" s="79">
        <v>6500</v>
      </c>
      <c r="BG31" s="79">
        <v>6500</v>
      </c>
      <c r="BH31" s="79">
        <v>6500</v>
      </c>
      <c r="BI31" s="79">
        <v>6500</v>
      </c>
      <c r="BJ31" s="79">
        <v>6500</v>
      </c>
      <c r="BK31" s="79">
        <v>6500</v>
      </c>
      <c r="BL31" s="79">
        <v>6500</v>
      </c>
      <c r="BM31" s="79">
        <v>6500</v>
      </c>
      <c r="BN31" s="79">
        <v>6500</v>
      </c>
      <c r="BO31" s="79">
        <v>58500</v>
      </c>
    </row>
    <row r="32" spans="1:67" ht="15" customHeight="1">
      <c r="A32" s="66" t="s">
        <v>2222</v>
      </c>
      <c r="B32" s="66" t="s">
        <v>2223</v>
      </c>
      <c r="C32" s="150" t="s">
        <v>1136</v>
      </c>
      <c r="D32" s="150" t="s">
        <v>1135</v>
      </c>
      <c r="E32" s="150" t="s">
        <v>1165</v>
      </c>
      <c r="F32" s="150" t="s">
        <v>1137</v>
      </c>
      <c r="G32" s="511" t="s">
        <v>639</v>
      </c>
      <c r="H32" s="392" t="s">
        <v>2224</v>
      </c>
      <c r="I32" s="343"/>
      <c r="J32" s="343"/>
      <c r="K32" s="70" t="s">
        <v>652</v>
      </c>
      <c r="L32" s="346"/>
      <c r="M32" s="343"/>
      <c r="N32" s="346"/>
      <c r="O32" s="150" t="s">
        <v>152</v>
      </c>
      <c r="P32" s="150"/>
      <c r="Q32" s="403"/>
      <c r="R32" s="406">
        <v>0</v>
      </c>
      <c r="S32" s="406">
        <v>-118715.37</v>
      </c>
      <c r="T32" s="425"/>
      <c r="U32" s="71"/>
      <c r="V32" s="426"/>
      <c r="W32" s="427">
        <v>-118715.37</v>
      </c>
      <c r="X32" s="431">
        <v>0</v>
      </c>
      <c r="Y32" s="428">
        <v>0</v>
      </c>
      <c r="Z32" s="429">
        <v>0</v>
      </c>
      <c r="AA32" s="429">
        <v>0</v>
      </c>
      <c r="AB32" s="360">
        <v>0</v>
      </c>
      <c r="AC32" s="360"/>
      <c r="AD32" s="360">
        <v>0</v>
      </c>
      <c r="AE32" s="360">
        <v>0</v>
      </c>
      <c r="AF32" s="360">
        <v>0</v>
      </c>
      <c r="AG32" s="360">
        <v>0</v>
      </c>
      <c r="AH32" s="360">
        <f t="shared" si="1"/>
        <v>-118715.37</v>
      </c>
      <c r="AI32" s="362">
        <f>ERP_5[[#This Row],[2026 Working Total]]-ERP_5[[#This Row],[LE2 Final Submission]]</f>
        <v>0</v>
      </c>
      <c r="AJ32" s="79">
        <v>10296</v>
      </c>
      <c r="AK32" s="79">
        <f t="shared" si="0"/>
        <v>-10296</v>
      </c>
      <c r="AL32" s="374">
        <f>SUM(ERP_5[[#This Row],[AP01]:[AP06]])-SUM(ERP_5[[#This Row],[AP01 LE2]:[AP06 LE2]])</f>
        <v>0</v>
      </c>
      <c r="AM32" s="80"/>
      <c r="AN32" s="79">
        <f>ERP_5[[#This Row],[2026 Working Total to Budget/LE]]-ERP_5[[#This Row],[Giveback]]</f>
        <v>0</v>
      </c>
      <c r="AO32" s="81"/>
      <c r="AP32" s="375"/>
      <c r="AQ32" s="375">
        <v>-118715.37</v>
      </c>
      <c r="AR32" s="375">
        <v>0</v>
      </c>
      <c r="AS32" s="375">
        <v>0</v>
      </c>
      <c r="AT32" s="375">
        <v>0</v>
      </c>
      <c r="AU32" s="375">
        <v>0</v>
      </c>
      <c r="AV32" s="375">
        <v>0</v>
      </c>
      <c r="AW32" s="375"/>
      <c r="AX32" s="375">
        <v>0</v>
      </c>
      <c r="AY32" s="375">
        <v>0</v>
      </c>
      <c r="AZ32" s="375">
        <v>0</v>
      </c>
      <c r="BA32" s="375">
        <v>0</v>
      </c>
      <c r="BB32" s="375">
        <v>-118715.37</v>
      </c>
      <c r="BC32" s="79"/>
      <c r="BD32" s="79">
        <v>-118715.37</v>
      </c>
      <c r="BE32" s="79">
        <v>0</v>
      </c>
      <c r="BF32" s="79">
        <v>0</v>
      </c>
      <c r="BG32" s="79">
        <v>0</v>
      </c>
      <c r="BH32" s="79">
        <v>0</v>
      </c>
      <c r="BI32" s="79">
        <v>0</v>
      </c>
      <c r="BJ32" s="79">
        <v>0</v>
      </c>
      <c r="BK32" s="79">
        <v>0</v>
      </c>
      <c r="BL32" s="79">
        <v>0</v>
      </c>
      <c r="BM32" s="79">
        <v>0</v>
      </c>
      <c r="BN32" s="79">
        <v>0</v>
      </c>
      <c r="BO32" s="79">
        <v>-118715.37</v>
      </c>
    </row>
    <row r="33" spans="1:67" ht="15" customHeight="1">
      <c r="A33" s="79" t="s">
        <v>1353</v>
      </c>
      <c r="B33" s="296" t="s">
        <v>155</v>
      </c>
      <c r="C33" s="150" t="s">
        <v>1136</v>
      </c>
      <c r="D33" s="332" t="s">
        <v>1345</v>
      </c>
      <c r="E33" s="383" t="s">
        <v>1344</v>
      </c>
      <c r="F33" s="331" t="s">
        <v>1346</v>
      </c>
      <c r="G33" s="512" t="s">
        <v>49</v>
      </c>
      <c r="H33" s="393" t="s">
        <v>1354</v>
      </c>
      <c r="I33" s="343"/>
      <c r="J33" s="331"/>
      <c r="K33" s="91" t="s">
        <v>156</v>
      </c>
      <c r="L33" s="343"/>
      <c r="M33" s="343"/>
      <c r="N33" s="348"/>
      <c r="O33" s="386" t="s">
        <v>152</v>
      </c>
      <c r="P33" s="387" t="s">
        <v>1348</v>
      </c>
      <c r="Q33" s="432"/>
      <c r="R33" s="358">
        <v>70000.000000000015</v>
      </c>
      <c r="S33" s="378">
        <v>0</v>
      </c>
      <c r="T33" s="430"/>
      <c r="U33" s="137"/>
      <c r="V33" s="433"/>
      <c r="W33" s="434"/>
      <c r="X33" s="434"/>
      <c r="Y33" s="428" t="s">
        <v>1142</v>
      </c>
      <c r="Z33" s="429">
        <v>0</v>
      </c>
      <c r="AA33" s="429">
        <v>0</v>
      </c>
      <c r="AB33" s="388">
        <v>0</v>
      </c>
      <c r="AC33" s="388">
        <v>0</v>
      </c>
      <c r="AD33" s="388">
        <v>0</v>
      </c>
      <c r="AE33" s="388">
        <v>0</v>
      </c>
      <c r="AF33" s="388">
        <v>0</v>
      </c>
      <c r="AG33" s="388">
        <v>0</v>
      </c>
      <c r="AH33" s="360">
        <f t="shared" si="1"/>
        <v>0</v>
      </c>
      <c r="AI33" s="362">
        <f>ERP_5[[#This Row],[2026 Working Total]]-ERP_5[[#This Row],[LE2 Final Submission]]</f>
        <v>0</v>
      </c>
      <c r="AJ33" s="79">
        <v>1014</v>
      </c>
      <c r="AK33" s="79">
        <f t="shared" si="0"/>
        <v>-1014</v>
      </c>
      <c r="AL33" s="374">
        <f>SUM(ERP_5[[#This Row],[AP01]:[AP06]])-SUM(ERP_5[[#This Row],[AP01 LE2]:[AP06 LE2]])</f>
        <v>0</v>
      </c>
      <c r="AM33" s="80">
        <v>70000</v>
      </c>
      <c r="AN33" s="79">
        <f>ERP_5[[#This Row],[2026 Working Total to Budget/LE]]-ERP_5[[#This Row],[Giveback]]</f>
        <v>-70000</v>
      </c>
      <c r="AO33" s="81" t="s">
        <v>1349</v>
      </c>
      <c r="AP33" s="375"/>
      <c r="AQ33" s="375"/>
      <c r="AR33" s="375"/>
      <c r="AS33" s="375">
        <v>0</v>
      </c>
      <c r="AT33" s="375">
        <v>0</v>
      </c>
      <c r="AU33" s="375">
        <v>0</v>
      </c>
      <c r="AV33" s="375">
        <v>0</v>
      </c>
      <c r="AW33" s="375">
        <v>0</v>
      </c>
      <c r="AX33" s="375">
        <v>0</v>
      </c>
      <c r="AY33" s="375">
        <v>0</v>
      </c>
      <c r="AZ33" s="375">
        <v>0</v>
      </c>
      <c r="BA33" s="375">
        <v>0</v>
      </c>
      <c r="BB33" s="375">
        <v>0</v>
      </c>
      <c r="BC33" s="103">
        <v>5833.37</v>
      </c>
      <c r="BD33" s="103">
        <v>5833.33</v>
      </c>
      <c r="BE33" s="103">
        <v>5833.33</v>
      </c>
      <c r="BF33" s="103">
        <v>5833.33</v>
      </c>
      <c r="BG33" s="103">
        <v>5833.33</v>
      </c>
      <c r="BH33" s="103">
        <v>5833.33</v>
      </c>
      <c r="BI33" s="103">
        <v>5833.33</v>
      </c>
      <c r="BJ33" s="103">
        <v>5833.33</v>
      </c>
      <c r="BK33" s="103">
        <v>5833.33</v>
      </c>
      <c r="BL33" s="103">
        <v>5833.33</v>
      </c>
      <c r="BM33" s="103">
        <v>5833.33</v>
      </c>
      <c r="BN33" s="103">
        <v>5833.33</v>
      </c>
      <c r="BO33" s="79">
        <f>SUM(ERP_5[[#This Row],[2026 AP01]:[2026 AP12]])</f>
        <v>70000.000000000015</v>
      </c>
    </row>
    <row r="34" spans="1:67" ht="15" customHeight="1">
      <c r="A34" s="66" t="s">
        <v>1519</v>
      </c>
      <c r="B34" s="66" t="s">
        <v>240</v>
      </c>
      <c r="C34" s="150" t="s">
        <v>1136</v>
      </c>
      <c r="D34" s="150" t="s">
        <v>1345</v>
      </c>
      <c r="E34" s="150" t="s">
        <v>1515</v>
      </c>
      <c r="F34" s="150" t="s">
        <v>1346</v>
      </c>
      <c r="G34" s="511" t="s">
        <v>49</v>
      </c>
      <c r="H34" s="392" t="s">
        <v>1520</v>
      </c>
      <c r="I34" s="343"/>
      <c r="J34" s="343"/>
      <c r="K34" s="70" t="s">
        <v>241</v>
      </c>
      <c r="L34" s="346"/>
      <c r="M34" s="343"/>
      <c r="N34" s="346"/>
      <c r="O34" s="150" t="s">
        <v>152</v>
      </c>
      <c r="P34" s="150" t="s">
        <v>1521</v>
      </c>
      <c r="Q34" s="403"/>
      <c r="R34" s="406">
        <v>150000</v>
      </c>
      <c r="S34" s="406">
        <v>0</v>
      </c>
      <c r="T34" s="425"/>
      <c r="U34" s="71"/>
      <c r="V34" s="426"/>
      <c r="W34" s="427"/>
      <c r="X34" s="427"/>
      <c r="Y34" s="428" t="s">
        <v>1142</v>
      </c>
      <c r="Z34" s="429">
        <v>0</v>
      </c>
      <c r="AA34" s="429">
        <v>0</v>
      </c>
      <c r="AB34" s="363">
        <v>0</v>
      </c>
      <c r="AC34" s="363">
        <v>0</v>
      </c>
      <c r="AD34" s="363">
        <v>0</v>
      </c>
      <c r="AE34" s="363">
        <v>0</v>
      </c>
      <c r="AF34" s="363">
        <v>0</v>
      </c>
      <c r="AG34" s="363">
        <v>0</v>
      </c>
      <c r="AH34" s="360">
        <f t="shared" si="1"/>
        <v>0</v>
      </c>
      <c r="AI34" s="362">
        <f>ERP_5[[#This Row],[2026 Working Total]]-ERP_5[[#This Row],[LE2 Final Submission]]</f>
        <v>0</v>
      </c>
      <c r="AJ34" s="79">
        <v>0</v>
      </c>
      <c r="AK34" s="79">
        <f t="shared" si="0"/>
        <v>0</v>
      </c>
      <c r="AL34" s="374">
        <f>SUM(ERP_5[[#This Row],[AP01]:[AP06]])-SUM(ERP_5[[#This Row],[AP01 LE2]:[AP06 LE2]])</f>
        <v>0</v>
      </c>
      <c r="AM34" s="80"/>
      <c r="AN34" s="79">
        <f>ERP_5[[#This Row],[2026 Working Total to Budget/LE]]-ERP_5[[#This Row],[Giveback]]</f>
        <v>0</v>
      </c>
      <c r="AO34" s="81"/>
      <c r="AP34" s="375"/>
      <c r="AQ34" s="375"/>
      <c r="AR34" s="375"/>
      <c r="AS34" s="375">
        <v>0</v>
      </c>
      <c r="AT34" s="375">
        <v>0</v>
      </c>
      <c r="AU34" s="375">
        <v>0</v>
      </c>
      <c r="AV34" s="375">
        <v>0</v>
      </c>
      <c r="AW34" s="375">
        <v>0</v>
      </c>
      <c r="AX34" s="375">
        <v>0</v>
      </c>
      <c r="AY34" s="375">
        <v>0</v>
      </c>
      <c r="AZ34" s="375">
        <v>0</v>
      </c>
      <c r="BA34" s="375">
        <v>0</v>
      </c>
      <c r="BB34" s="375">
        <v>0</v>
      </c>
      <c r="BC34" s="79"/>
      <c r="BD34" s="79"/>
      <c r="BE34" s="79"/>
      <c r="BF34" s="79">
        <v>12500</v>
      </c>
      <c r="BG34" s="79">
        <v>12500</v>
      </c>
      <c r="BH34" s="79">
        <v>12500</v>
      </c>
      <c r="BI34" s="79">
        <v>12500</v>
      </c>
      <c r="BJ34" s="79">
        <v>12500</v>
      </c>
      <c r="BK34" s="79">
        <v>12500</v>
      </c>
      <c r="BL34" s="79">
        <v>12500</v>
      </c>
      <c r="BM34" s="79">
        <v>12500</v>
      </c>
      <c r="BN34" s="79">
        <v>12500</v>
      </c>
      <c r="BO34" s="79">
        <v>112500</v>
      </c>
    </row>
    <row r="35" spans="1:67" ht="15" customHeight="1">
      <c r="A35" s="79" t="s">
        <v>1355</v>
      </c>
      <c r="B35" s="296" t="s">
        <v>157</v>
      </c>
      <c r="C35" s="150" t="s">
        <v>1136</v>
      </c>
      <c r="D35" s="332" t="s">
        <v>1345</v>
      </c>
      <c r="E35" s="383" t="s">
        <v>1344</v>
      </c>
      <c r="F35" s="331" t="s">
        <v>1346</v>
      </c>
      <c r="G35" s="512" t="s">
        <v>49</v>
      </c>
      <c r="H35" s="393" t="s">
        <v>1356</v>
      </c>
      <c r="I35" s="343"/>
      <c r="J35" s="331"/>
      <c r="K35" s="91" t="s">
        <v>158</v>
      </c>
      <c r="L35" s="343"/>
      <c r="M35" s="343"/>
      <c r="N35" s="348"/>
      <c r="O35" s="386" t="s">
        <v>152</v>
      </c>
      <c r="P35" s="387" t="s">
        <v>1348</v>
      </c>
      <c r="Q35" s="432"/>
      <c r="R35" s="358">
        <v>140000</v>
      </c>
      <c r="S35" s="378">
        <v>0</v>
      </c>
      <c r="T35" s="425"/>
      <c r="U35" s="71"/>
      <c r="V35" s="433"/>
      <c r="W35" s="434"/>
      <c r="X35" s="434"/>
      <c r="Y35" s="428" t="s">
        <v>1142</v>
      </c>
      <c r="Z35" s="429">
        <v>0</v>
      </c>
      <c r="AA35" s="429">
        <v>0</v>
      </c>
      <c r="AB35" s="388">
        <v>0</v>
      </c>
      <c r="AC35" s="388">
        <v>0</v>
      </c>
      <c r="AD35" s="388">
        <v>0</v>
      </c>
      <c r="AE35" s="388">
        <v>0</v>
      </c>
      <c r="AF35" s="388">
        <v>0</v>
      </c>
      <c r="AG35" s="388">
        <v>0</v>
      </c>
      <c r="AH35" s="360">
        <f t="shared" si="1"/>
        <v>0</v>
      </c>
      <c r="AI35" s="362">
        <f>ERP_5[[#This Row],[2026 Working Total]]-ERP_5[[#This Row],[LE2 Final Submission]]</f>
        <v>0</v>
      </c>
      <c r="AJ35" s="79">
        <v>2213.166667</v>
      </c>
      <c r="AK35" s="79">
        <f t="shared" si="0"/>
        <v>-2213.166667</v>
      </c>
      <c r="AL35" s="374">
        <f>SUM(ERP_5[[#This Row],[AP01]:[AP06]])-SUM(ERP_5[[#This Row],[AP01 LE2]:[AP06 LE2]])</f>
        <v>0</v>
      </c>
      <c r="AM35" s="80">
        <v>140000</v>
      </c>
      <c r="AN35" s="79">
        <f>ERP_5[[#This Row],[2026 Working Total to Budget/LE]]-ERP_5[[#This Row],[Giveback]]</f>
        <v>-140000</v>
      </c>
      <c r="AO35" s="81" t="s">
        <v>1349</v>
      </c>
      <c r="AP35" s="375"/>
      <c r="AQ35" s="375"/>
      <c r="AR35" s="375"/>
      <c r="AS35" s="375">
        <v>0</v>
      </c>
      <c r="AT35" s="375">
        <v>0</v>
      </c>
      <c r="AU35" s="375">
        <v>0</v>
      </c>
      <c r="AV35" s="375">
        <v>0</v>
      </c>
      <c r="AW35" s="375">
        <v>0</v>
      </c>
      <c r="AX35" s="375">
        <v>0</v>
      </c>
      <c r="AY35" s="375">
        <v>0</v>
      </c>
      <c r="AZ35" s="375">
        <v>0</v>
      </c>
      <c r="BA35" s="375">
        <v>0</v>
      </c>
      <c r="BB35" s="375">
        <v>0</v>
      </c>
      <c r="BC35" s="103">
        <v>11666.63</v>
      </c>
      <c r="BD35" s="103">
        <v>11666.67</v>
      </c>
      <c r="BE35" s="103">
        <v>11666.67</v>
      </c>
      <c r="BF35" s="103">
        <v>11666.67</v>
      </c>
      <c r="BG35" s="103">
        <v>11666.67</v>
      </c>
      <c r="BH35" s="103">
        <v>11666.67</v>
      </c>
      <c r="BI35" s="103">
        <v>11666.67</v>
      </c>
      <c r="BJ35" s="103">
        <v>11666.67</v>
      </c>
      <c r="BK35" s="103">
        <v>11666.67</v>
      </c>
      <c r="BL35" s="103">
        <v>11666.67</v>
      </c>
      <c r="BM35" s="103">
        <v>11666.67</v>
      </c>
      <c r="BN35" s="103">
        <v>11666.67</v>
      </c>
      <c r="BO35" s="79">
        <f>SUM(ERP_5[[#This Row],[2026 AP01]:[2026 AP12]])</f>
        <v>140000</v>
      </c>
    </row>
    <row r="36" spans="1:67" ht="15" customHeight="1">
      <c r="A36" s="79" t="s">
        <v>1522</v>
      </c>
      <c r="B36" s="296" t="s">
        <v>242</v>
      </c>
      <c r="C36" s="150" t="s">
        <v>1136</v>
      </c>
      <c r="D36" s="332" t="s">
        <v>1345</v>
      </c>
      <c r="E36" s="383" t="s">
        <v>1515</v>
      </c>
      <c r="F36" s="331" t="s">
        <v>1346</v>
      </c>
      <c r="G36" s="512" t="s">
        <v>49</v>
      </c>
      <c r="H36" s="393" t="s">
        <v>1523</v>
      </c>
      <c r="I36" s="343"/>
      <c r="J36" s="331"/>
      <c r="K36" s="91" t="s">
        <v>243</v>
      </c>
      <c r="L36" s="343"/>
      <c r="M36" s="343"/>
      <c r="N36" s="348"/>
      <c r="O36" s="386" t="s">
        <v>152</v>
      </c>
      <c r="P36" s="389" t="s">
        <v>1348</v>
      </c>
      <c r="Q36" s="432"/>
      <c r="R36" s="358">
        <v>-199716</v>
      </c>
      <c r="S36" s="378">
        <v>-149787</v>
      </c>
      <c r="T36" s="430"/>
      <c r="U36" s="137"/>
      <c r="V36" s="433"/>
      <c r="W36" s="434"/>
      <c r="X36" s="434"/>
      <c r="Y36" s="428" t="s">
        <v>1142</v>
      </c>
      <c r="Z36" s="429">
        <v>0</v>
      </c>
      <c r="AA36" s="429">
        <v>0</v>
      </c>
      <c r="AB36" s="388">
        <v>-16643</v>
      </c>
      <c r="AC36" s="388">
        <v>-16643</v>
      </c>
      <c r="AD36" s="388">
        <v>-16643</v>
      </c>
      <c r="AE36" s="388">
        <v>-16643</v>
      </c>
      <c r="AF36" s="388">
        <v>-16643</v>
      </c>
      <c r="AG36" s="388">
        <v>-16643</v>
      </c>
      <c r="AH36" s="360">
        <f t="shared" si="1"/>
        <v>-99858</v>
      </c>
      <c r="AI36" s="362">
        <f>ERP_5[[#This Row],[2026 Working Total]]-ERP_5[[#This Row],[LE2 Final Submission]]</f>
        <v>49929</v>
      </c>
      <c r="AJ36" s="79">
        <v>154.58333300000001</v>
      </c>
      <c r="AK36" s="79">
        <f t="shared" si="0"/>
        <v>-154.58333300000001</v>
      </c>
      <c r="AL36" s="374">
        <f>SUM(ERP_5[[#This Row],[AP01]:[AP06]])-SUM(ERP_5[[#This Row],[AP01 LE2]:[AP06 LE2]])</f>
        <v>49929</v>
      </c>
      <c r="AM36" s="80"/>
      <c r="AN36" s="79">
        <f>ERP_5[[#This Row],[2026 Working Total to Budget/LE]]-ERP_5[[#This Row],[Giveback]]</f>
        <v>49929</v>
      </c>
      <c r="AO36" s="81"/>
      <c r="AP36" s="375"/>
      <c r="AQ36" s="375"/>
      <c r="AR36" s="375"/>
      <c r="AS36" s="375">
        <v>-16643</v>
      </c>
      <c r="AT36" s="375">
        <v>-16643</v>
      </c>
      <c r="AU36" s="375">
        <v>-16643</v>
      </c>
      <c r="AV36" s="375">
        <v>-16643</v>
      </c>
      <c r="AW36" s="375">
        <v>-16643</v>
      </c>
      <c r="AX36" s="375">
        <v>-16643</v>
      </c>
      <c r="AY36" s="375">
        <v>-16643</v>
      </c>
      <c r="AZ36" s="375">
        <v>-16643</v>
      </c>
      <c r="BA36" s="375">
        <v>-16643</v>
      </c>
      <c r="BB36" s="375">
        <v>-149787</v>
      </c>
      <c r="BC36" s="103">
        <v>-16643</v>
      </c>
      <c r="BD36" s="103">
        <v>-16643</v>
      </c>
      <c r="BE36" s="103">
        <v>-16643</v>
      </c>
      <c r="BF36" s="103">
        <v>-16643</v>
      </c>
      <c r="BG36" s="103">
        <v>-16643</v>
      </c>
      <c r="BH36" s="103">
        <v>-16643</v>
      </c>
      <c r="BI36" s="103">
        <v>-16643</v>
      </c>
      <c r="BJ36" s="103">
        <v>-16643</v>
      </c>
      <c r="BK36" s="103">
        <v>-16643</v>
      </c>
      <c r="BL36" s="103">
        <v>-16643</v>
      </c>
      <c r="BM36" s="103">
        <v>-16643</v>
      </c>
      <c r="BN36" s="103">
        <v>-16643</v>
      </c>
      <c r="BO36" s="79">
        <f>SUM(ERP_5[[#This Row],[2026 AP01]:[2026 AP12]])</f>
        <v>-199716</v>
      </c>
    </row>
    <row r="37" spans="1:67" ht="15" customHeight="1">
      <c r="A37" s="79" t="s">
        <v>1525</v>
      </c>
      <c r="B37" s="296" t="s">
        <v>244</v>
      </c>
      <c r="C37" s="150" t="s">
        <v>1136</v>
      </c>
      <c r="D37" s="332" t="s">
        <v>1345</v>
      </c>
      <c r="E37" s="383" t="s">
        <v>1515</v>
      </c>
      <c r="F37" s="331" t="s">
        <v>1346</v>
      </c>
      <c r="G37" s="512" t="s">
        <v>49</v>
      </c>
      <c r="H37" s="393" t="s">
        <v>1526</v>
      </c>
      <c r="I37" s="343"/>
      <c r="J37" s="331"/>
      <c r="K37" s="91" t="s">
        <v>245</v>
      </c>
      <c r="L37" s="343"/>
      <c r="M37" s="343"/>
      <c r="N37" s="348"/>
      <c r="O37" s="386" t="s">
        <v>152</v>
      </c>
      <c r="P37" s="389" t="s">
        <v>1348</v>
      </c>
      <c r="Q37" s="432"/>
      <c r="R37" s="358">
        <v>-289999.99999999988</v>
      </c>
      <c r="S37" s="378">
        <v>-217500.02999999997</v>
      </c>
      <c r="T37" s="425"/>
      <c r="U37" s="71"/>
      <c r="V37" s="433"/>
      <c r="W37" s="434"/>
      <c r="X37" s="434"/>
      <c r="Y37" s="428" t="s">
        <v>1142</v>
      </c>
      <c r="Z37" s="429">
        <v>0</v>
      </c>
      <c r="AA37" s="429">
        <v>0</v>
      </c>
      <c r="AB37" s="388">
        <v>-24166.67</v>
      </c>
      <c r="AC37" s="388">
        <v>-24166.67</v>
      </c>
      <c r="AD37" s="388">
        <v>-24166.67</v>
      </c>
      <c r="AE37" s="388">
        <v>-24166.67</v>
      </c>
      <c r="AF37" s="388">
        <v>-24166.67</v>
      </c>
      <c r="AG37" s="388">
        <v>-24166.67</v>
      </c>
      <c r="AH37" s="360">
        <f t="shared" si="1"/>
        <v>-145000.01999999999</v>
      </c>
      <c r="AI37" s="362">
        <f>ERP_5[[#This Row],[2026 Working Total]]-ERP_5[[#This Row],[LE2 Final Submission]]</f>
        <v>72500.00999999998</v>
      </c>
      <c r="AJ37" s="79">
        <v>1200</v>
      </c>
      <c r="AK37" s="79">
        <f t="shared" si="0"/>
        <v>-1200</v>
      </c>
      <c r="AL37" s="374">
        <f>SUM(ERP_5[[#This Row],[AP01]:[AP06]])-SUM(ERP_5[[#This Row],[AP01 LE2]:[AP06 LE2]])</f>
        <v>72500.009999999995</v>
      </c>
      <c r="AM37" s="80"/>
      <c r="AN37" s="79">
        <f>ERP_5[[#This Row],[2026 Working Total to Budget/LE]]-ERP_5[[#This Row],[Giveback]]</f>
        <v>72500.00999999998</v>
      </c>
      <c r="AO37" s="81"/>
      <c r="AP37" s="375"/>
      <c r="AQ37" s="375"/>
      <c r="AR37" s="375"/>
      <c r="AS37" s="375">
        <v>-24166.67</v>
      </c>
      <c r="AT37" s="375">
        <v>-24166.67</v>
      </c>
      <c r="AU37" s="375">
        <v>-24166.67</v>
      </c>
      <c r="AV37" s="375">
        <v>-24166.67</v>
      </c>
      <c r="AW37" s="375">
        <v>-24166.67</v>
      </c>
      <c r="AX37" s="375">
        <v>-24166.67</v>
      </c>
      <c r="AY37" s="375">
        <v>-24166.67</v>
      </c>
      <c r="AZ37" s="375">
        <v>-24166.67</v>
      </c>
      <c r="BA37" s="375">
        <v>-24166.67</v>
      </c>
      <c r="BB37" s="375">
        <v>-217500.02999999997</v>
      </c>
      <c r="BC37" s="103">
        <v>-24166.63</v>
      </c>
      <c r="BD37" s="103">
        <v>-24166.67</v>
      </c>
      <c r="BE37" s="103">
        <v>-24166.67</v>
      </c>
      <c r="BF37" s="103">
        <v>-24166.67</v>
      </c>
      <c r="BG37" s="103">
        <v>-24166.67</v>
      </c>
      <c r="BH37" s="103">
        <v>-24166.67</v>
      </c>
      <c r="BI37" s="103">
        <v>-24166.67</v>
      </c>
      <c r="BJ37" s="103">
        <v>-24166.67</v>
      </c>
      <c r="BK37" s="103">
        <v>-24166.67</v>
      </c>
      <c r="BL37" s="103">
        <v>-24166.67</v>
      </c>
      <c r="BM37" s="103">
        <v>-24166.67</v>
      </c>
      <c r="BN37" s="103">
        <v>-24166.67</v>
      </c>
      <c r="BO37" s="79">
        <f>SUM(ERP_5[[#This Row],[2026 AP01]:[2026 AP12]])</f>
        <v>-289999.99999999988</v>
      </c>
    </row>
    <row r="38" spans="1:67" ht="15" customHeight="1">
      <c r="A38" s="66" t="s">
        <v>2709</v>
      </c>
      <c r="B38" s="66" t="s">
        <v>962</v>
      </c>
      <c r="C38" s="150" t="s">
        <v>1136</v>
      </c>
      <c r="D38" s="150" t="s">
        <v>1345</v>
      </c>
      <c r="E38" s="150" t="s">
        <v>1480</v>
      </c>
      <c r="F38" s="150" t="s">
        <v>1346</v>
      </c>
      <c r="G38" s="511" t="s">
        <v>639</v>
      </c>
      <c r="H38" s="392" t="s">
        <v>2710</v>
      </c>
      <c r="I38" s="343"/>
      <c r="J38" s="343"/>
      <c r="K38" s="70" t="s">
        <v>963</v>
      </c>
      <c r="L38" s="346"/>
      <c r="M38" s="343"/>
      <c r="N38" s="346"/>
      <c r="O38" s="150" t="s">
        <v>152</v>
      </c>
      <c r="P38" s="150"/>
      <c r="Q38" s="403"/>
      <c r="R38" s="406">
        <v>0</v>
      </c>
      <c r="S38" s="406">
        <v>24000</v>
      </c>
      <c r="T38" s="425"/>
      <c r="U38" s="71"/>
      <c r="V38" s="426">
        <v>24000</v>
      </c>
      <c r="W38" s="431">
        <v>0</v>
      </c>
      <c r="X38" s="431">
        <v>0</v>
      </c>
      <c r="Y38" s="428">
        <v>5.0699999999999363</v>
      </c>
      <c r="Z38" s="429">
        <v>-7.8299999999999272</v>
      </c>
      <c r="AA38" s="429">
        <v>-15479.01</v>
      </c>
      <c r="AB38" s="360">
        <v>0</v>
      </c>
      <c r="AC38" s="360">
        <v>0</v>
      </c>
      <c r="AD38" s="360">
        <v>0</v>
      </c>
      <c r="AE38" s="360">
        <v>0</v>
      </c>
      <c r="AF38" s="360">
        <v>0</v>
      </c>
      <c r="AG38" s="360">
        <v>0</v>
      </c>
      <c r="AH38" s="360">
        <f t="shared" si="1"/>
        <v>8518.2299999999977</v>
      </c>
      <c r="AI38" s="362">
        <f>ERP_5[[#This Row],[2026 Working Total]]-ERP_5[[#This Row],[LE2 Final Submission]]</f>
        <v>-15481.770000000002</v>
      </c>
      <c r="AJ38" s="79">
        <v>31350</v>
      </c>
      <c r="AK38" s="79">
        <f t="shared" si="0"/>
        <v>-46829.01</v>
      </c>
      <c r="AL38" s="374">
        <f>SUM(ERP_5[[#This Row],[AP01]:[AP06]])-SUM(ERP_5[[#This Row],[AP01 LE2]:[AP06 LE2]])</f>
        <v>-15481.770000000002</v>
      </c>
      <c r="AM38" s="80"/>
      <c r="AN38" s="79">
        <f>ERP_5[[#This Row],[2026 Working Total to Budget/LE]]-ERP_5[[#This Row],[Giveback]]</f>
        <v>-15481.770000000002</v>
      </c>
      <c r="AO38" s="81"/>
      <c r="AP38" s="375">
        <v>24000</v>
      </c>
      <c r="AQ38" s="375">
        <v>0</v>
      </c>
      <c r="AR38" s="375">
        <v>0</v>
      </c>
      <c r="AS38" s="375">
        <v>0</v>
      </c>
      <c r="AT38" s="375">
        <v>0</v>
      </c>
      <c r="AU38" s="375">
        <v>0</v>
      </c>
      <c r="AV38" s="375">
        <v>0</v>
      </c>
      <c r="AW38" s="375">
        <v>0</v>
      </c>
      <c r="AX38" s="375">
        <v>0</v>
      </c>
      <c r="AY38" s="375">
        <v>0</v>
      </c>
      <c r="AZ38" s="375">
        <v>0</v>
      </c>
      <c r="BA38" s="375">
        <v>0</v>
      </c>
      <c r="BB38" s="375">
        <v>24000</v>
      </c>
      <c r="BC38" s="79">
        <v>24000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24000</v>
      </c>
    </row>
    <row r="39" spans="1:67" ht="15" customHeight="1">
      <c r="A39" s="66" t="s">
        <v>2002</v>
      </c>
      <c r="B39" s="66" t="s">
        <v>2003</v>
      </c>
      <c r="C39" s="150" t="s">
        <v>1136</v>
      </c>
      <c r="D39" s="150" t="s">
        <v>1345</v>
      </c>
      <c r="E39" s="150" t="s">
        <v>2004</v>
      </c>
      <c r="F39" s="150" t="s">
        <v>1346</v>
      </c>
      <c r="G39" s="511" t="s">
        <v>389</v>
      </c>
      <c r="H39" s="392" t="s">
        <v>2005</v>
      </c>
      <c r="I39" s="343"/>
      <c r="J39" s="343"/>
      <c r="K39" s="70" t="s">
        <v>593</v>
      </c>
      <c r="L39" s="346"/>
      <c r="M39" s="343"/>
      <c r="N39" s="346"/>
      <c r="O39" s="150" t="s">
        <v>152</v>
      </c>
      <c r="P39" s="150"/>
      <c r="Q39" s="403"/>
      <c r="R39" s="406">
        <v>31560</v>
      </c>
      <c r="S39" s="406">
        <v>23670</v>
      </c>
      <c r="T39" s="425"/>
      <c r="U39" s="71"/>
      <c r="V39" s="426"/>
      <c r="W39" s="427"/>
      <c r="X39" s="427"/>
      <c r="Y39" s="428" t="s">
        <v>1142</v>
      </c>
      <c r="Z39" s="429">
        <v>0</v>
      </c>
      <c r="AA39" s="429">
        <v>0</v>
      </c>
      <c r="AB39" s="363">
        <v>2630</v>
      </c>
      <c r="AC39" s="363">
        <v>2630</v>
      </c>
      <c r="AD39" s="363">
        <v>2630</v>
      </c>
      <c r="AE39" s="363">
        <v>2630</v>
      </c>
      <c r="AF39" s="363">
        <v>2630</v>
      </c>
      <c r="AG39" s="363">
        <v>2630</v>
      </c>
      <c r="AH39" s="360">
        <f t="shared" si="1"/>
        <v>15780</v>
      </c>
      <c r="AI39" s="362">
        <f>ERP_5[[#This Row],[2026 Working Total]]-ERP_5[[#This Row],[LE2 Final Submission]]</f>
        <v>-7890</v>
      </c>
      <c r="AJ39" s="79">
        <v>27992</v>
      </c>
      <c r="AK39" s="79">
        <f t="shared" si="0"/>
        <v>-27992</v>
      </c>
      <c r="AL39" s="374">
        <f>SUM(ERP_5[[#This Row],[AP01]:[AP06]])-SUM(ERP_5[[#This Row],[AP01 LE2]:[AP06 LE2]])</f>
        <v>-7890</v>
      </c>
      <c r="AM39" s="80"/>
      <c r="AN39" s="79">
        <f>ERP_5[[#This Row],[2026 Working Total to Budget/LE]]-ERP_5[[#This Row],[Giveback]]</f>
        <v>-7890</v>
      </c>
      <c r="AO39" s="81"/>
      <c r="AP39" s="375"/>
      <c r="AQ39" s="375"/>
      <c r="AR39" s="375"/>
      <c r="AS39" s="375">
        <v>2630</v>
      </c>
      <c r="AT39" s="375">
        <v>2630</v>
      </c>
      <c r="AU39" s="375">
        <v>2630</v>
      </c>
      <c r="AV39" s="375">
        <v>2630</v>
      </c>
      <c r="AW39" s="375">
        <v>2630</v>
      </c>
      <c r="AX39" s="375">
        <v>2630</v>
      </c>
      <c r="AY39" s="375">
        <v>2630</v>
      </c>
      <c r="AZ39" s="375">
        <v>2630</v>
      </c>
      <c r="BA39" s="375">
        <v>2630</v>
      </c>
      <c r="BB39" s="375">
        <v>23670</v>
      </c>
      <c r="BC39" s="79"/>
      <c r="BD39" s="79"/>
      <c r="BE39" s="79"/>
      <c r="BF39" s="79">
        <v>2630</v>
      </c>
      <c r="BG39" s="79">
        <v>2630</v>
      </c>
      <c r="BH39" s="79">
        <v>2630</v>
      </c>
      <c r="BI39" s="79">
        <v>2630</v>
      </c>
      <c r="BJ39" s="79">
        <v>2630</v>
      </c>
      <c r="BK39" s="79">
        <v>2630</v>
      </c>
      <c r="BL39" s="79">
        <v>2630</v>
      </c>
      <c r="BM39" s="79">
        <v>2630</v>
      </c>
      <c r="BN39" s="79">
        <v>2630</v>
      </c>
      <c r="BO39" s="79">
        <v>23670</v>
      </c>
    </row>
    <row r="40" spans="1:67" ht="15" customHeight="1">
      <c r="A40" s="79" t="s">
        <v>2225</v>
      </c>
      <c r="B40" s="296" t="s">
        <v>2226</v>
      </c>
      <c r="C40" s="150" t="s">
        <v>1136</v>
      </c>
      <c r="D40" s="332" t="s">
        <v>1135</v>
      </c>
      <c r="E40" s="383" t="s">
        <v>1156</v>
      </c>
      <c r="F40" s="333" t="s">
        <v>1137</v>
      </c>
      <c r="G40" s="512" t="s">
        <v>639</v>
      </c>
      <c r="H40" s="393" t="s">
        <v>2227</v>
      </c>
      <c r="I40" s="343"/>
      <c r="J40" s="333"/>
      <c r="K40" s="91" t="s">
        <v>654</v>
      </c>
      <c r="L40" s="347"/>
      <c r="M40" s="343"/>
      <c r="N40" s="348"/>
      <c r="O40" s="386" t="s">
        <v>655</v>
      </c>
      <c r="P40" s="387" t="s">
        <v>2228</v>
      </c>
      <c r="Q40" s="432"/>
      <c r="R40" s="358">
        <v>282999.99999599991</v>
      </c>
      <c r="S40" s="378">
        <v>0</v>
      </c>
      <c r="T40" s="425"/>
      <c r="U40" s="71"/>
      <c r="V40" s="433"/>
      <c r="W40" s="434"/>
      <c r="X40" s="434"/>
      <c r="Y40" s="428" t="s">
        <v>1142</v>
      </c>
      <c r="Z40" s="429">
        <v>0</v>
      </c>
      <c r="AA40" s="429">
        <v>0</v>
      </c>
      <c r="AB40" s="388">
        <v>0</v>
      </c>
      <c r="AC40" s="388">
        <v>0</v>
      </c>
      <c r="AD40" s="388">
        <v>0</v>
      </c>
      <c r="AE40" s="388">
        <v>0</v>
      </c>
      <c r="AF40" s="388">
        <v>0</v>
      </c>
      <c r="AG40" s="388">
        <v>0</v>
      </c>
      <c r="AH40" s="360">
        <f t="shared" si="1"/>
        <v>0</v>
      </c>
      <c r="AI40" s="362">
        <f>ERP_5[[#This Row],[2026 Working Total]]-ERP_5[[#This Row],[LE2 Final Submission]]</f>
        <v>0</v>
      </c>
      <c r="AJ40" s="79"/>
      <c r="AK40" s="79">
        <f t="shared" si="0"/>
        <v>0</v>
      </c>
      <c r="AL40" s="374">
        <f>SUM(ERP_5[[#This Row],[AP01]:[AP06]])-SUM(ERP_5[[#This Row],[AP01 LE2]:[AP06 LE2]])</f>
        <v>0</v>
      </c>
      <c r="AM40" s="80">
        <v>-283000</v>
      </c>
      <c r="AN40" s="79">
        <f>ERP_5[[#This Row],[2026 Working Total to Budget/LE]]-ERP_5[[#This Row],[Giveback]]</f>
        <v>283000</v>
      </c>
      <c r="AO40" s="128" t="s">
        <v>2229</v>
      </c>
      <c r="AP40" s="376"/>
      <c r="AQ40" s="376"/>
      <c r="AR40" s="376"/>
      <c r="AS40" s="376">
        <v>0</v>
      </c>
      <c r="AT40" s="376">
        <v>0</v>
      </c>
      <c r="AU40" s="376">
        <v>0</v>
      </c>
      <c r="AV40" s="376">
        <v>0</v>
      </c>
      <c r="AW40" s="376">
        <v>0</v>
      </c>
      <c r="AX40" s="376">
        <v>0</v>
      </c>
      <c r="AY40" s="376">
        <v>0</v>
      </c>
      <c r="AZ40" s="376">
        <v>0</v>
      </c>
      <c r="BA40" s="376">
        <v>0</v>
      </c>
      <c r="BB40" s="376">
        <v>0</v>
      </c>
      <c r="BC40" s="103">
        <v>23583.333332999999</v>
      </c>
      <c r="BD40" s="103">
        <v>23583.333332999999</v>
      </c>
      <c r="BE40" s="103">
        <v>23583.333332999999</v>
      </c>
      <c r="BF40" s="103">
        <v>23583.333332999999</v>
      </c>
      <c r="BG40" s="103">
        <v>23583.333332999999</v>
      </c>
      <c r="BH40" s="103">
        <v>23583.333332999999</v>
      </c>
      <c r="BI40" s="103">
        <v>23583.333332999999</v>
      </c>
      <c r="BJ40" s="103">
        <v>23583.333332999999</v>
      </c>
      <c r="BK40" s="103">
        <v>23583.333332999999</v>
      </c>
      <c r="BL40" s="103">
        <v>23583.333332999999</v>
      </c>
      <c r="BM40" s="103">
        <v>23583.333332999999</v>
      </c>
      <c r="BN40" s="103">
        <v>23583.333332999999</v>
      </c>
      <c r="BO40" s="79">
        <f>SUM(ERP_5[[#This Row],[2026 AP01]:[2026 AP12]])</f>
        <v>282999.99999599991</v>
      </c>
    </row>
    <row r="41" spans="1:67" ht="15" customHeight="1">
      <c r="A41" s="129" t="s">
        <v>2711</v>
      </c>
      <c r="B41" s="66" t="s">
        <v>964</v>
      </c>
      <c r="C41" s="150" t="s">
        <v>1136</v>
      </c>
      <c r="D41" s="150" t="s">
        <v>1345</v>
      </c>
      <c r="E41" s="150" t="s">
        <v>1480</v>
      </c>
      <c r="F41" s="150" t="s">
        <v>1480</v>
      </c>
      <c r="G41" s="513" t="s">
        <v>639</v>
      </c>
      <c r="H41" s="392" t="s">
        <v>2660</v>
      </c>
      <c r="I41" s="343"/>
      <c r="J41" s="331"/>
      <c r="K41" s="70" t="s">
        <v>937</v>
      </c>
      <c r="L41" s="343" t="s">
        <v>1139</v>
      </c>
      <c r="M41" s="343"/>
      <c r="N41" s="346"/>
      <c r="O41" s="150" t="s">
        <v>152</v>
      </c>
      <c r="P41" s="150" t="s">
        <v>2712</v>
      </c>
      <c r="Q41" s="405"/>
      <c r="R41" s="359"/>
      <c r="S41" s="380">
        <v>0</v>
      </c>
      <c r="T41" s="425"/>
      <c r="U41" s="71"/>
      <c r="V41" s="426"/>
      <c r="W41" s="427"/>
      <c r="X41" s="427"/>
      <c r="Y41" s="428" t="s">
        <v>1142</v>
      </c>
      <c r="Z41" s="429">
        <v>0</v>
      </c>
      <c r="AA41" s="429">
        <v>0</v>
      </c>
      <c r="AB41" s="363"/>
      <c r="AC41" s="363"/>
      <c r="AD41" s="363"/>
      <c r="AE41" s="363">
        <f>15000-15000</f>
        <v>0</v>
      </c>
      <c r="AF41" s="363">
        <f>15000-15000</f>
        <v>0</v>
      </c>
      <c r="AG41" s="363">
        <f>15000-15000</f>
        <v>0</v>
      </c>
      <c r="AH41" s="360">
        <f t="shared" si="1"/>
        <v>0</v>
      </c>
      <c r="AI41" s="362">
        <f>ERP_5[[#This Row],[2026 Working Total]]-ERP_5[[#This Row],[LE2 Final Submission]]</f>
        <v>0</v>
      </c>
      <c r="AJ41" s="79"/>
      <c r="AK41" s="79">
        <f t="shared" si="0"/>
        <v>0</v>
      </c>
      <c r="AL41" s="374">
        <f>SUM(ERP_5[[#This Row],[AP01]:[AP06]])-SUM(ERP_5[[#This Row],[AP01 LE2]:[AP06 LE2]])</f>
        <v>0</v>
      </c>
      <c r="AM41" s="80"/>
      <c r="AN41" s="79">
        <f>ERP_5[[#This Row],[2026 Working Total to Budget/LE]]-ERP_5[[#This Row],[Giveback]]</f>
        <v>0</v>
      </c>
      <c r="AO41" s="81"/>
      <c r="AP41" s="375"/>
      <c r="AQ41" s="375"/>
      <c r="AR41" s="375"/>
      <c r="AS41" s="375"/>
      <c r="AT41" s="375"/>
      <c r="AU41" s="375"/>
      <c r="AV41" s="375"/>
      <c r="AW41" s="375"/>
      <c r="AX41" s="375"/>
      <c r="AY41" s="375">
        <v>0</v>
      </c>
      <c r="AZ41" s="375">
        <v>0</v>
      </c>
      <c r="BA41" s="375">
        <v>0</v>
      </c>
      <c r="BB41" s="375">
        <v>0</v>
      </c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</row>
    <row r="42" spans="1:67" ht="15" customHeight="1">
      <c r="A42" s="66" t="s">
        <v>2659</v>
      </c>
      <c r="B42" s="66" t="s">
        <v>936</v>
      </c>
      <c r="C42" s="150" t="s">
        <v>1136</v>
      </c>
      <c r="D42" s="150" t="s">
        <v>1345</v>
      </c>
      <c r="E42" s="150" t="s">
        <v>1345</v>
      </c>
      <c r="F42" s="150" t="s">
        <v>1346</v>
      </c>
      <c r="G42" s="511" t="s">
        <v>639</v>
      </c>
      <c r="H42" s="392" t="s">
        <v>2660</v>
      </c>
      <c r="I42" s="343"/>
      <c r="J42" s="343"/>
      <c r="K42" s="70" t="s">
        <v>937</v>
      </c>
      <c r="L42" s="343" t="s">
        <v>1139</v>
      </c>
      <c r="M42" s="343"/>
      <c r="N42" s="346"/>
      <c r="O42" s="150" t="s">
        <v>152</v>
      </c>
      <c r="P42" s="150" t="s">
        <v>2661</v>
      </c>
      <c r="Q42" s="403"/>
      <c r="R42" s="406">
        <v>174240</v>
      </c>
      <c r="S42" s="406">
        <v>0</v>
      </c>
      <c r="T42" s="425"/>
      <c r="U42" s="71"/>
      <c r="V42" s="426"/>
      <c r="W42" s="427"/>
      <c r="X42" s="427"/>
      <c r="Y42" s="428" t="s">
        <v>1142</v>
      </c>
      <c r="Z42" s="429">
        <v>0</v>
      </c>
      <c r="AA42" s="429">
        <v>0</v>
      </c>
      <c r="AB42" s="363">
        <f t="shared" ref="AB42:AG42" si="6">14520-14520</f>
        <v>0</v>
      </c>
      <c r="AC42" s="363">
        <f t="shared" si="6"/>
        <v>0</v>
      </c>
      <c r="AD42" s="363">
        <f t="shared" si="6"/>
        <v>0</v>
      </c>
      <c r="AE42" s="363">
        <f t="shared" si="6"/>
        <v>0</v>
      </c>
      <c r="AF42" s="363">
        <f t="shared" si="6"/>
        <v>0</v>
      </c>
      <c r="AG42" s="363">
        <f t="shared" si="6"/>
        <v>0</v>
      </c>
      <c r="AH42" s="360">
        <f t="shared" si="1"/>
        <v>0</v>
      </c>
      <c r="AI42" s="362">
        <f>ERP_5[[#This Row],[2026 Working Total]]-ERP_5[[#This Row],[LE2 Final Submission]]</f>
        <v>0</v>
      </c>
      <c r="AJ42" s="79"/>
      <c r="AK42" s="79">
        <f t="shared" si="0"/>
        <v>0</v>
      </c>
      <c r="AL42" s="374">
        <f>SUM(ERP_5[[#This Row],[AP01]:[AP06]])-SUM(ERP_5[[#This Row],[AP01 LE2]:[AP06 LE2]])</f>
        <v>0</v>
      </c>
      <c r="AM42" s="80"/>
      <c r="AN42" s="79">
        <f>ERP_5[[#This Row],[2026 Working Total to Budget/LE]]-ERP_5[[#This Row],[Giveback]]</f>
        <v>0</v>
      </c>
      <c r="AO42" s="81"/>
      <c r="AP42" s="375"/>
      <c r="AQ42" s="375"/>
      <c r="AR42" s="375"/>
      <c r="AS42" s="375">
        <v>0</v>
      </c>
      <c r="AT42" s="375">
        <v>0</v>
      </c>
      <c r="AU42" s="375">
        <v>0</v>
      </c>
      <c r="AV42" s="375">
        <v>0</v>
      </c>
      <c r="AW42" s="375">
        <v>0</v>
      </c>
      <c r="AX42" s="375">
        <v>0</v>
      </c>
      <c r="AY42" s="375">
        <v>0</v>
      </c>
      <c r="AZ42" s="375">
        <v>0</v>
      </c>
      <c r="BA42" s="375">
        <v>0</v>
      </c>
      <c r="BB42" s="375">
        <v>0</v>
      </c>
      <c r="BC42" s="79"/>
      <c r="BD42" s="79"/>
      <c r="BE42" s="79"/>
      <c r="BF42" s="79">
        <v>14520</v>
      </c>
      <c r="BG42" s="79">
        <v>14520</v>
      </c>
      <c r="BH42" s="79">
        <v>14520</v>
      </c>
      <c r="BI42" s="79">
        <v>14520</v>
      </c>
      <c r="BJ42" s="79">
        <v>14520</v>
      </c>
      <c r="BK42" s="79">
        <v>14520</v>
      </c>
      <c r="BL42" s="79">
        <v>14520</v>
      </c>
      <c r="BM42" s="79">
        <v>14520</v>
      </c>
      <c r="BN42" s="79">
        <v>14520</v>
      </c>
      <c r="BO42" s="79">
        <v>130680</v>
      </c>
    </row>
    <row r="43" spans="1:67" ht="15" customHeight="1">
      <c r="A43" s="129" t="s">
        <v>2713</v>
      </c>
      <c r="B43" s="66" t="s">
        <v>965</v>
      </c>
      <c r="C43" s="150" t="s">
        <v>1136</v>
      </c>
      <c r="D43" s="150" t="s">
        <v>1345</v>
      </c>
      <c r="E43" s="150" t="s">
        <v>1480</v>
      </c>
      <c r="F43" s="150" t="s">
        <v>1480</v>
      </c>
      <c r="G43" s="513" t="s">
        <v>639</v>
      </c>
      <c r="H43" s="392" t="s">
        <v>2663</v>
      </c>
      <c r="I43" s="343"/>
      <c r="J43" s="331"/>
      <c r="K43" s="70" t="s">
        <v>939</v>
      </c>
      <c r="L43" s="343" t="s">
        <v>1139</v>
      </c>
      <c r="M43" s="343"/>
      <c r="N43" s="346"/>
      <c r="O43" s="150" t="s">
        <v>152</v>
      </c>
      <c r="P43" s="150" t="s">
        <v>2714</v>
      </c>
      <c r="Q43" s="405"/>
      <c r="R43" s="359"/>
      <c r="S43" s="380">
        <v>0</v>
      </c>
      <c r="T43" s="430"/>
      <c r="U43" s="137"/>
      <c r="V43" s="426"/>
      <c r="W43" s="427"/>
      <c r="X43" s="427"/>
      <c r="Y43" s="428" t="s">
        <v>1142</v>
      </c>
      <c r="Z43" s="429">
        <v>0</v>
      </c>
      <c r="AA43" s="429">
        <v>0</v>
      </c>
      <c r="AB43" s="363">
        <f t="shared" ref="AB43:AG44" si="7">22238.42-22238.42</f>
        <v>0</v>
      </c>
      <c r="AC43" s="363">
        <f t="shared" si="7"/>
        <v>0</v>
      </c>
      <c r="AD43" s="363">
        <f t="shared" si="7"/>
        <v>0</v>
      </c>
      <c r="AE43" s="363">
        <f t="shared" si="7"/>
        <v>0</v>
      </c>
      <c r="AF43" s="363">
        <f t="shared" si="7"/>
        <v>0</v>
      </c>
      <c r="AG43" s="363">
        <f t="shared" si="7"/>
        <v>0</v>
      </c>
      <c r="AH43" s="360">
        <f t="shared" si="1"/>
        <v>0</v>
      </c>
      <c r="AI43" s="362">
        <f>ERP_5[[#This Row],[2026 Working Total]]-ERP_5[[#This Row],[LE2 Final Submission]]</f>
        <v>0</v>
      </c>
      <c r="AJ43" s="79"/>
      <c r="AK43" s="79">
        <f t="shared" si="0"/>
        <v>0</v>
      </c>
      <c r="AL43" s="374">
        <f>SUM(ERP_5[[#This Row],[AP01]:[AP06]])-SUM(ERP_5[[#This Row],[AP01 LE2]:[AP06 LE2]])</f>
        <v>0</v>
      </c>
      <c r="AM43" s="80"/>
      <c r="AN43" s="79">
        <f>ERP_5[[#This Row],[2026 Working Total to Budget/LE]]-ERP_5[[#This Row],[Giveback]]</f>
        <v>0</v>
      </c>
      <c r="AO43" s="81"/>
      <c r="AP43" s="375"/>
      <c r="AQ43" s="375"/>
      <c r="AR43" s="375"/>
      <c r="AS43" s="375">
        <v>0</v>
      </c>
      <c r="AT43" s="375">
        <v>0</v>
      </c>
      <c r="AU43" s="375">
        <v>0</v>
      </c>
      <c r="AV43" s="375">
        <v>0</v>
      </c>
      <c r="AW43" s="375">
        <v>0</v>
      </c>
      <c r="AX43" s="375">
        <v>0</v>
      </c>
      <c r="AY43" s="375">
        <v>0</v>
      </c>
      <c r="AZ43" s="375">
        <v>0</v>
      </c>
      <c r="BA43" s="375">
        <v>0</v>
      </c>
      <c r="BB43" s="375">
        <v>0</v>
      </c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</row>
    <row r="44" spans="1:67" ht="15" customHeight="1">
      <c r="A44" s="66" t="s">
        <v>2662</v>
      </c>
      <c r="B44" s="66" t="s">
        <v>938</v>
      </c>
      <c r="C44" s="150" t="s">
        <v>1136</v>
      </c>
      <c r="D44" s="150" t="s">
        <v>1345</v>
      </c>
      <c r="E44" s="150" t="s">
        <v>1345</v>
      </c>
      <c r="F44" s="150" t="s">
        <v>1346</v>
      </c>
      <c r="G44" s="511" t="s">
        <v>639</v>
      </c>
      <c r="H44" s="392" t="s">
        <v>2663</v>
      </c>
      <c r="I44" s="343"/>
      <c r="J44" s="343"/>
      <c r="K44" s="70" t="s">
        <v>939</v>
      </c>
      <c r="L44" s="343" t="s">
        <v>1139</v>
      </c>
      <c r="M44" s="343"/>
      <c r="N44" s="346"/>
      <c r="O44" s="150" t="s">
        <v>152</v>
      </c>
      <c r="P44" s="150" t="s">
        <v>2661</v>
      </c>
      <c r="Q44" s="403"/>
      <c r="R44" s="406">
        <v>266860.99999999988</v>
      </c>
      <c r="S44" s="406">
        <v>0</v>
      </c>
      <c r="T44" s="425"/>
      <c r="U44" s="71"/>
      <c r="V44" s="426"/>
      <c r="W44" s="427"/>
      <c r="X44" s="427"/>
      <c r="Y44" s="428" t="s">
        <v>1142</v>
      </c>
      <c r="Z44" s="429">
        <v>0</v>
      </c>
      <c r="AA44" s="429">
        <v>0</v>
      </c>
      <c r="AB44" s="363">
        <f t="shared" si="7"/>
        <v>0</v>
      </c>
      <c r="AC44" s="363">
        <f t="shared" si="7"/>
        <v>0</v>
      </c>
      <c r="AD44" s="363">
        <f t="shared" si="7"/>
        <v>0</v>
      </c>
      <c r="AE44" s="363">
        <f t="shared" si="7"/>
        <v>0</v>
      </c>
      <c r="AF44" s="363">
        <f t="shared" si="7"/>
        <v>0</v>
      </c>
      <c r="AG44" s="363">
        <f t="shared" si="7"/>
        <v>0</v>
      </c>
      <c r="AH44" s="360">
        <f t="shared" si="1"/>
        <v>0</v>
      </c>
      <c r="AI44" s="362">
        <f>ERP_5[[#This Row],[2026 Working Total]]-ERP_5[[#This Row],[LE2 Final Submission]]</f>
        <v>0</v>
      </c>
      <c r="AJ44" s="79">
        <v>924.99</v>
      </c>
      <c r="AK44" s="79">
        <f t="shared" si="0"/>
        <v>-924.99</v>
      </c>
      <c r="AL44" s="374">
        <f>SUM(ERP_5[[#This Row],[AP01]:[AP06]])-SUM(ERP_5[[#This Row],[AP01 LE2]:[AP06 LE2]])</f>
        <v>0</v>
      </c>
      <c r="AM44" s="80"/>
      <c r="AN44" s="79">
        <f>ERP_5[[#This Row],[2026 Working Total to Budget/LE]]-ERP_5[[#This Row],[Giveback]]</f>
        <v>0</v>
      </c>
      <c r="AO44" s="81"/>
      <c r="AP44" s="375"/>
      <c r="AQ44" s="375"/>
      <c r="AR44" s="375"/>
      <c r="AS44" s="375">
        <v>0</v>
      </c>
      <c r="AT44" s="375">
        <v>0</v>
      </c>
      <c r="AU44" s="375">
        <v>0</v>
      </c>
      <c r="AV44" s="375">
        <v>0</v>
      </c>
      <c r="AW44" s="375">
        <v>0</v>
      </c>
      <c r="AX44" s="375">
        <v>0</v>
      </c>
      <c r="AY44" s="375">
        <v>0</v>
      </c>
      <c r="AZ44" s="375">
        <v>0</v>
      </c>
      <c r="BA44" s="375">
        <v>0</v>
      </c>
      <c r="BB44" s="375">
        <v>0</v>
      </c>
      <c r="BC44" s="79"/>
      <c r="BD44" s="79"/>
      <c r="BE44" s="79"/>
      <c r="BF44" s="79">
        <v>22238.42</v>
      </c>
      <c r="BG44" s="79">
        <v>22238.42</v>
      </c>
      <c r="BH44" s="79">
        <v>22238.42</v>
      </c>
      <c r="BI44" s="79">
        <v>22238.42</v>
      </c>
      <c r="BJ44" s="79">
        <v>22238.42</v>
      </c>
      <c r="BK44" s="79">
        <v>22238.42</v>
      </c>
      <c r="BL44" s="79">
        <v>22238.42</v>
      </c>
      <c r="BM44" s="79">
        <v>22238.42</v>
      </c>
      <c r="BN44" s="79">
        <v>22238.42</v>
      </c>
      <c r="BO44" s="79">
        <v>200145.77999999997</v>
      </c>
    </row>
    <row r="45" spans="1:67" ht="15" customHeight="1">
      <c r="A45" s="66" t="s">
        <v>1674</v>
      </c>
      <c r="B45" s="66" t="s">
        <v>1675</v>
      </c>
      <c r="C45" s="150" t="s">
        <v>1136</v>
      </c>
      <c r="D45" s="150" t="s">
        <v>1135</v>
      </c>
      <c r="E45" s="150" t="s">
        <v>1145</v>
      </c>
      <c r="F45" s="150" t="s">
        <v>1137</v>
      </c>
      <c r="G45" s="511" t="s">
        <v>342</v>
      </c>
      <c r="H45" s="392" t="s">
        <v>1676</v>
      </c>
      <c r="I45" s="343"/>
      <c r="J45" s="343"/>
      <c r="K45" s="70" t="s">
        <v>344</v>
      </c>
      <c r="L45" s="346"/>
      <c r="M45" s="343"/>
      <c r="N45" s="346"/>
      <c r="O45" s="150" t="s">
        <v>152</v>
      </c>
      <c r="P45" s="150"/>
      <c r="Q45" s="403"/>
      <c r="R45" s="406">
        <v>51615</v>
      </c>
      <c r="S45" s="406">
        <v>38711.25</v>
      </c>
      <c r="T45" s="425"/>
      <c r="U45" s="71"/>
      <c r="V45" s="426"/>
      <c r="W45" s="427"/>
      <c r="X45" s="427"/>
      <c r="Y45" s="428" t="s">
        <v>1142</v>
      </c>
      <c r="Z45" s="429">
        <v>0</v>
      </c>
      <c r="AA45" s="429">
        <v>0</v>
      </c>
      <c r="AB45" s="363">
        <v>4301.25</v>
      </c>
      <c r="AC45" s="363">
        <v>4301.25</v>
      </c>
      <c r="AD45" s="363">
        <v>4301.25</v>
      </c>
      <c r="AE45" s="363">
        <v>4301.25</v>
      </c>
      <c r="AF45" s="363">
        <v>4301.25</v>
      </c>
      <c r="AG45" s="363">
        <v>4301.25</v>
      </c>
      <c r="AH45" s="360">
        <f t="shared" si="1"/>
        <v>25807.5</v>
      </c>
      <c r="AI45" s="362">
        <f>ERP_5[[#This Row],[2026 Working Total]]-ERP_5[[#This Row],[LE2 Final Submission]]</f>
        <v>-12903.75</v>
      </c>
      <c r="AJ45" s="79">
        <v>1000</v>
      </c>
      <c r="AK45" s="79">
        <f t="shared" si="0"/>
        <v>-1000</v>
      </c>
      <c r="AL45" s="374">
        <f>SUM(ERP_5[[#This Row],[AP01]:[AP06]])-SUM(ERP_5[[#This Row],[AP01 LE2]:[AP06 LE2]])</f>
        <v>-12903.75</v>
      </c>
      <c r="AM45" s="80"/>
      <c r="AN45" s="79">
        <f>ERP_5[[#This Row],[2026 Working Total to Budget/LE]]-ERP_5[[#This Row],[Giveback]]</f>
        <v>-12903.75</v>
      </c>
      <c r="AO45" s="81"/>
      <c r="AP45" s="375"/>
      <c r="AQ45" s="375"/>
      <c r="AR45" s="375"/>
      <c r="AS45" s="375">
        <v>4301.25</v>
      </c>
      <c r="AT45" s="375">
        <v>4301.25</v>
      </c>
      <c r="AU45" s="375">
        <v>4301.25</v>
      </c>
      <c r="AV45" s="375">
        <v>4301.25</v>
      </c>
      <c r="AW45" s="375">
        <v>4301.25</v>
      </c>
      <c r="AX45" s="375">
        <v>4301.25</v>
      </c>
      <c r="AY45" s="375">
        <v>4301.25</v>
      </c>
      <c r="AZ45" s="375">
        <v>4301.25</v>
      </c>
      <c r="BA45" s="375">
        <v>4301.25</v>
      </c>
      <c r="BB45" s="375">
        <v>38711.25</v>
      </c>
      <c r="BC45" s="79"/>
      <c r="BD45" s="79"/>
      <c r="BE45" s="79"/>
      <c r="BF45" s="79">
        <v>4301.25</v>
      </c>
      <c r="BG45" s="79">
        <v>4301.25</v>
      </c>
      <c r="BH45" s="79">
        <v>4301.25</v>
      </c>
      <c r="BI45" s="79">
        <v>4301.25</v>
      </c>
      <c r="BJ45" s="79">
        <v>4301.25</v>
      </c>
      <c r="BK45" s="79">
        <v>4301.25</v>
      </c>
      <c r="BL45" s="79">
        <v>4301.25</v>
      </c>
      <c r="BM45" s="79">
        <v>4301.25</v>
      </c>
      <c r="BN45" s="79">
        <v>4301.25</v>
      </c>
      <c r="BO45" s="79">
        <v>38711.25</v>
      </c>
    </row>
    <row r="46" spans="1:67" ht="15" customHeight="1">
      <c r="A46" s="66" t="s">
        <v>1677</v>
      </c>
      <c r="B46" s="66" t="s">
        <v>1678</v>
      </c>
      <c r="C46" s="150" t="s">
        <v>1136</v>
      </c>
      <c r="D46" s="150" t="s">
        <v>1135</v>
      </c>
      <c r="E46" s="150" t="s">
        <v>1145</v>
      </c>
      <c r="F46" s="150" t="s">
        <v>1137</v>
      </c>
      <c r="G46" s="511" t="s">
        <v>342</v>
      </c>
      <c r="H46" s="392" t="s">
        <v>1679</v>
      </c>
      <c r="I46" s="343"/>
      <c r="J46" s="343"/>
      <c r="K46" s="70" t="s">
        <v>346</v>
      </c>
      <c r="L46" s="346"/>
      <c r="M46" s="343"/>
      <c r="N46" s="346"/>
      <c r="O46" s="150" t="s">
        <v>152</v>
      </c>
      <c r="P46" s="150"/>
      <c r="Q46" s="403"/>
      <c r="R46" s="406">
        <v>-12195</v>
      </c>
      <c r="S46" s="406">
        <v>-9146.25</v>
      </c>
      <c r="T46" s="425"/>
      <c r="U46" s="71"/>
      <c r="V46" s="426"/>
      <c r="W46" s="427"/>
      <c r="X46" s="427"/>
      <c r="Y46" s="428" t="s">
        <v>1142</v>
      </c>
      <c r="Z46" s="429">
        <v>0</v>
      </c>
      <c r="AA46" s="429">
        <v>0</v>
      </c>
      <c r="AB46" s="363">
        <v>-1016.25</v>
      </c>
      <c r="AC46" s="363">
        <v>-1016.25</v>
      </c>
      <c r="AD46" s="363">
        <v>-1016.25</v>
      </c>
      <c r="AE46" s="363">
        <v>-1016.25</v>
      </c>
      <c r="AF46" s="363">
        <v>-1016.25</v>
      </c>
      <c r="AG46" s="363">
        <v>-1016.25</v>
      </c>
      <c r="AH46" s="360">
        <f t="shared" si="1"/>
        <v>-6097.5</v>
      </c>
      <c r="AI46" s="362">
        <f>ERP_5[[#This Row],[2026 Working Total]]-ERP_5[[#This Row],[LE2 Final Submission]]</f>
        <v>3048.75</v>
      </c>
      <c r="AJ46" s="79">
        <v>0</v>
      </c>
      <c r="AK46" s="79">
        <f t="shared" si="0"/>
        <v>0</v>
      </c>
      <c r="AL46" s="374">
        <f>SUM(ERP_5[[#This Row],[AP01]:[AP06]])-SUM(ERP_5[[#This Row],[AP01 LE2]:[AP06 LE2]])</f>
        <v>3048.75</v>
      </c>
      <c r="AM46" s="80"/>
      <c r="AN46" s="79">
        <f>ERP_5[[#This Row],[2026 Working Total to Budget/LE]]-ERP_5[[#This Row],[Giveback]]</f>
        <v>3048.75</v>
      </c>
      <c r="AO46" s="81"/>
      <c r="AP46" s="375"/>
      <c r="AQ46" s="375"/>
      <c r="AR46" s="375"/>
      <c r="AS46" s="375">
        <v>-1016.25</v>
      </c>
      <c r="AT46" s="375">
        <v>-1016.25</v>
      </c>
      <c r="AU46" s="375">
        <v>-1016.25</v>
      </c>
      <c r="AV46" s="375">
        <v>-1016.25</v>
      </c>
      <c r="AW46" s="375">
        <v>-1016.25</v>
      </c>
      <c r="AX46" s="375">
        <v>-1016.25</v>
      </c>
      <c r="AY46" s="375">
        <v>-1016.25</v>
      </c>
      <c r="AZ46" s="375">
        <v>-1016.25</v>
      </c>
      <c r="BA46" s="375">
        <v>-1016.25</v>
      </c>
      <c r="BB46" s="375">
        <v>-9146.25</v>
      </c>
      <c r="BC46" s="79"/>
      <c r="BD46" s="79"/>
      <c r="BE46" s="79"/>
      <c r="BF46" s="79">
        <v>-1016.25</v>
      </c>
      <c r="BG46" s="79">
        <v>-1016.25</v>
      </c>
      <c r="BH46" s="79">
        <v>-1016.25</v>
      </c>
      <c r="BI46" s="79">
        <v>-1016.25</v>
      </c>
      <c r="BJ46" s="79">
        <v>-1016.25</v>
      </c>
      <c r="BK46" s="79">
        <v>-1016.25</v>
      </c>
      <c r="BL46" s="79">
        <v>-1016.25</v>
      </c>
      <c r="BM46" s="79">
        <v>-1016.25</v>
      </c>
      <c r="BN46" s="79">
        <v>-1016.25</v>
      </c>
      <c r="BO46" s="79">
        <v>-9146.25</v>
      </c>
    </row>
    <row r="47" spans="1:67" ht="15" customHeight="1">
      <c r="A47" s="66" t="s">
        <v>1680</v>
      </c>
      <c r="B47" s="66" t="s">
        <v>1681</v>
      </c>
      <c r="C47" s="150" t="s">
        <v>1136</v>
      </c>
      <c r="D47" s="150" t="s">
        <v>1135</v>
      </c>
      <c r="E47" s="150" t="s">
        <v>1145</v>
      </c>
      <c r="F47" s="150" t="s">
        <v>1137</v>
      </c>
      <c r="G47" s="511" t="s">
        <v>342</v>
      </c>
      <c r="H47" s="392" t="s">
        <v>1682</v>
      </c>
      <c r="I47" s="343"/>
      <c r="J47" s="343"/>
      <c r="K47" s="70" t="s">
        <v>348</v>
      </c>
      <c r="L47" s="346"/>
      <c r="M47" s="343"/>
      <c r="N47" s="346"/>
      <c r="O47" s="150" t="s">
        <v>152</v>
      </c>
      <c r="P47" s="150"/>
      <c r="Q47" s="403"/>
      <c r="R47" s="406">
        <v>-12195</v>
      </c>
      <c r="S47" s="406">
        <v>-9146.25</v>
      </c>
      <c r="T47" s="425"/>
      <c r="U47" s="71"/>
      <c r="V47" s="426"/>
      <c r="W47" s="427"/>
      <c r="X47" s="427"/>
      <c r="Y47" s="428" t="s">
        <v>1142</v>
      </c>
      <c r="Z47" s="429">
        <v>0</v>
      </c>
      <c r="AA47" s="429">
        <v>0</v>
      </c>
      <c r="AB47" s="363">
        <v>-1016.25</v>
      </c>
      <c r="AC47" s="363">
        <v>-1016.25</v>
      </c>
      <c r="AD47" s="363">
        <v>-1016.25</v>
      </c>
      <c r="AE47" s="363">
        <v>-1016.25</v>
      </c>
      <c r="AF47" s="363">
        <v>-1016.25</v>
      </c>
      <c r="AG47" s="363">
        <v>-1016.25</v>
      </c>
      <c r="AH47" s="360">
        <f t="shared" si="1"/>
        <v>-6097.5</v>
      </c>
      <c r="AI47" s="362">
        <f>ERP_5[[#This Row],[2026 Working Total]]-ERP_5[[#This Row],[LE2 Final Submission]]</f>
        <v>3048.75</v>
      </c>
      <c r="AJ47" s="79">
        <v>10000</v>
      </c>
      <c r="AK47" s="79">
        <f t="shared" si="0"/>
        <v>-10000</v>
      </c>
      <c r="AL47" s="374">
        <f>SUM(ERP_5[[#This Row],[AP01]:[AP06]])-SUM(ERP_5[[#This Row],[AP01 LE2]:[AP06 LE2]])</f>
        <v>3048.75</v>
      </c>
      <c r="AM47" s="80"/>
      <c r="AN47" s="79">
        <f>ERP_5[[#This Row],[2026 Working Total to Budget/LE]]-ERP_5[[#This Row],[Giveback]]</f>
        <v>3048.75</v>
      </c>
      <c r="AO47" s="81"/>
      <c r="AP47" s="375"/>
      <c r="AQ47" s="375"/>
      <c r="AR47" s="375"/>
      <c r="AS47" s="375">
        <v>-1016.25</v>
      </c>
      <c r="AT47" s="375">
        <v>-1016.25</v>
      </c>
      <c r="AU47" s="375">
        <v>-1016.25</v>
      </c>
      <c r="AV47" s="375">
        <v>-1016.25</v>
      </c>
      <c r="AW47" s="375">
        <v>-1016.25</v>
      </c>
      <c r="AX47" s="375">
        <v>-1016.25</v>
      </c>
      <c r="AY47" s="375">
        <v>-1016.25</v>
      </c>
      <c r="AZ47" s="375">
        <v>-1016.25</v>
      </c>
      <c r="BA47" s="375">
        <v>-1016.25</v>
      </c>
      <c r="BB47" s="375">
        <v>-9146.25</v>
      </c>
      <c r="BC47" s="79"/>
      <c r="BD47" s="79"/>
      <c r="BE47" s="79"/>
      <c r="BF47" s="79">
        <v>-1016.25</v>
      </c>
      <c r="BG47" s="79">
        <v>-1016.25</v>
      </c>
      <c r="BH47" s="79">
        <v>-1016.25</v>
      </c>
      <c r="BI47" s="79">
        <v>-1016.25</v>
      </c>
      <c r="BJ47" s="79">
        <v>-1016.25</v>
      </c>
      <c r="BK47" s="79">
        <v>-1016.25</v>
      </c>
      <c r="BL47" s="79">
        <v>-1016.25</v>
      </c>
      <c r="BM47" s="79">
        <v>-1016.25</v>
      </c>
      <c r="BN47" s="79">
        <v>-1016.25</v>
      </c>
      <c r="BO47" s="79">
        <v>-9146.25</v>
      </c>
    </row>
    <row r="48" spans="1:67" ht="15" customHeight="1">
      <c r="A48" s="150" t="s">
        <v>1767</v>
      </c>
      <c r="B48" s="296" t="s">
        <v>1768</v>
      </c>
      <c r="C48" s="150" t="s">
        <v>1136</v>
      </c>
      <c r="D48" s="332" t="s">
        <v>1135</v>
      </c>
      <c r="E48" s="383" t="s">
        <v>1145</v>
      </c>
      <c r="F48" s="383" t="s">
        <v>1145</v>
      </c>
      <c r="G48" s="514" t="s">
        <v>389</v>
      </c>
      <c r="H48" s="394" t="s">
        <v>1769</v>
      </c>
      <c r="I48" s="333"/>
      <c r="J48" s="332" t="s">
        <v>1186</v>
      </c>
      <c r="K48" s="90" t="s">
        <v>400</v>
      </c>
      <c r="L48" s="347"/>
      <c r="M48" s="347"/>
      <c r="N48" s="348"/>
      <c r="O48" s="348"/>
      <c r="P48" s="348"/>
      <c r="Q48" s="402"/>
      <c r="R48" s="406"/>
      <c r="S48" s="406"/>
      <c r="T48" s="425"/>
      <c r="U48" s="71"/>
      <c r="V48" s="435"/>
      <c r="W48" s="436"/>
      <c r="X48" s="436"/>
      <c r="Y48" s="429">
        <v>19</v>
      </c>
      <c r="Z48" s="429">
        <v>0</v>
      </c>
      <c r="AA48" s="429">
        <v>0</v>
      </c>
      <c r="AB48" s="364"/>
      <c r="AC48" s="364"/>
      <c r="AD48" s="364"/>
      <c r="AE48" s="364"/>
      <c r="AF48" s="364"/>
      <c r="AG48" s="364"/>
      <c r="AH48" s="360">
        <f t="shared" si="1"/>
        <v>19</v>
      </c>
      <c r="AI48" s="362">
        <f>ERP_5[[#This Row],[2026 Working Total]]-ERP_5[[#This Row],[LE2 Final Submission]]</f>
        <v>19</v>
      </c>
      <c r="AJ48" s="79">
        <v>0</v>
      </c>
      <c r="AK48" s="79">
        <f t="shared" si="0"/>
        <v>0</v>
      </c>
      <c r="AL48" s="374">
        <f>SUM(ERP_5[[#This Row],[AP01]:[AP06]])-SUM(ERP_5[[#This Row],[AP01 LE2]:[AP06 LE2]])</f>
        <v>19</v>
      </c>
      <c r="AM48" s="80"/>
      <c r="AN48" s="79">
        <f>ERP_5[[#This Row],[2026 Working Total to Budget/LE]]-ERP_5[[#This Row],[Giveback]]</f>
        <v>19</v>
      </c>
      <c r="AO48" s="81"/>
      <c r="AP48" s="375"/>
      <c r="AQ48" s="375"/>
      <c r="AR48" s="375"/>
      <c r="AS48" s="375"/>
      <c r="AT48" s="375"/>
      <c r="AU48" s="375"/>
      <c r="AV48" s="375"/>
      <c r="AW48" s="375"/>
      <c r="AX48" s="375"/>
      <c r="AY48" s="375"/>
      <c r="AZ48" s="375"/>
      <c r="BA48" s="375"/>
      <c r="BB48" s="375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</row>
    <row r="49" spans="1:67" ht="15" customHeight="1">
      <c r="A49" s="150" t="s">
        <v>1770</v>
      </c>
      <c r="B49" s="296" t="s">
        <v>1771</v>
      </c>
      <c r="C49" s="150" t="s">
        <v>1136</v>
      </c>
      <c r="D49" s="332" t="s">
        <v>1135</v>
      </c>
      <c r="E49" s="383" t="s">
        <v>1145</v>
      </c>
      <c r="F49" s="383" t="s">
        <v>1145</v>
      </c>
      <c r="G49" s="514" t="s">
        <v>389</v>
      </c>
      <c r="H49" s="394" t="s">
        <v>1772</v>
      </c>
      <c r="I49" s="333"/>
      <c r="J49" s="332" t="s">
        <v>1186</v>
      </c>
      <c r="K49" s="90" t="s">
        <v>402</v>
      </c>
      <c r="L49" s="347"/>
      <c r="M49" s="347"/>
      <c r="N49" s="348"/>
      <c r="O49" s="348"/>
      <c r="P49" s="348"/>
      <c r="Q49" s="402"/>
      <c r="R49" s="406"/>
      <c r="S49" s="406"/>
      <c r="T49" s="425"/>
      <c r="U49" s="71"/>
      <c r="V49" s="435"/>
      <c r="W49" s="436"/>
      <c r="X49" s="436"/>
      <c r="Y49" s="429">
        <v>190</v>
      </c>
      <c r="Z49" s="429">
        <v>0</v>
      </c>
      <c r="AA49" s="429">
        <v>0</v>
      </c>
      <c r="AB49" s="364"/>
      <c r="AC49" s="364"/>
      <c r="AD49" s="364"/>
      <c r="AE49" s="364"/>
      <c r="AF49" s="364"/>
      <c r="AG49" s="364"/>
      <c r="AH49" s="360">
        <f t="shared" si="1"/>
        <v>190</v>
      </c>
      <c r="AI49" s="362">
        <f>ERP_5[[#This Row],[2026 Working Total]]-ERP_5[[#This Row],[LE2 Final Submission]]</f>
        <v>190</v>
      </c>
      <c r="AJ49" s="79"/>
      <c r="AK49" s="79">
        <f t="shared" si="0"/>
        <v>0</v>
      </c>
      <c r="AL49" s="374">
        <f>SUM(ERP_5[[#This Row],[AP01]:[AP06]])-SUM(ERP_5[[#This Row],[AP01 LE2]:[AP06 LE2]])</f>
        <v>190</v>
      </c>
      <c r="AM49" s="80"/>
      <c r="AN49" s="79">
        <f>ERP_5[[#This Row],[2026 Working Total to Budget/LE]]-ERP_5[[#This Row],[Giveback]]</f>
        <v>190</v>
      </c>
      <c r="AO49" s="81"/>
      <c r="AP49" s="375"/>
      <c r="AQ49" s="375"/>
      <c r="AR49" s="375"/>
      <c r="AS49" s="375"/>
      <c r="AT49" s="375"/>
      <c r="AU49" s="375"/>
      <c r="AV49" s="375"/>
      <c r="AW49" s="375"/>
      <c r="AX49" s="375"/>
      <c r="AY49" s="375"/>
      <c r="AZ49" s="375"/>
      <c r="BA49" s="375"/>
      <c r="BB49" s="375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</row>
    <row r="50" spans="1:67" ht="15" customHeight="1">
      <c r="A50" s="66" t="s">
        <v>1773</v>
      </c>
      <c r="B50" s="66" t="s">
        <v>1774</v>
      </c>
      <c r="C50" s="150" t="s">
        <v>1136</v>
      </c>
      <c r="D50" s="150" t="s">
        <v>1135</v>
      </c>
      <c r="E50" s="150" t="s">
        <v>1137</v>
      </c>
      <c r="F50" s="150" t="s">
        <v>1137</v>
      </c>
      <c r="G50" s="511" t="s">
        <v>389</v>
      </c>
      <c r="H50" s="392" t="s">
        <v>1775</v>
      </c>
      <c r="I50" s="343"/>
      <c r="J50" s="343"/>
      <c r="K50" s="70" t="s">
        <v>404</v>
      </c>
      <c r="L50" s="346"/>
      <c r="M50" s="346" t="s">
        <v>1140</v>
      </c>
      <c r="N50" s="346"/>
      <c r="O50" s="150" t="s">
        <v>405</v>
      </c>
      <c r="P50" s="1" t="s">
        <v>1141</v>
      </c>
      <c r="Q50" s="404"/>
      <c r="R50" s="407">
        <v>0</v>
      </c>
      <c r="S50" s="407">
        <v>0</v>
      </c>
      <c r="T50" s="430"/>
      <c r="U50" s="137"/>
      <c r="V50" s="426"/>
      <c r="W50" s="431">
        <v>0</v>
      </c>
      <c r="X50" s="431">
        <v>0</v>
      </c>
      <c r="Y50" s="428">
        <v>-1732.97</v>
      </c>
      <c r="Z50" s="429">
        <v>0</v>
      </c>
      <c r="AA50" s="429">
        <v>0</v>
      </c>
      <c r="AB50" s="360">
        <v>0</v>
      </c>
      <c r="AC50" s="360">
        <v>0</v>
      </c>
      <c r="AD50" s="360">
        <v>0</v>
      </c>
      <c r="AE50" s="360">
        <v>0</v>
      </c>
      <c r="AF50" s="360">
        <v>0</v>
      </c>
      <c r="AG50" s="360">
        <v>0</v>
      </c>
      <c r="AH50" s="360">
        <f t="shared" si="1"/>
        <v>-1732.97</v>
      </c>
      <c r="AI50" s="362">
        <f>ERP_5[[#This Row],[2026 Working Total]]-ERP_5[[#This Row],[LE2 Final Submission]]</f>
        <v>-1732.97</v>
      </c>
      <c r="AJ50" s="79">
        <v>0</v>
      </c>
      <c r="AK50" s="79">
        <f t="shared" si="0"/>
        <v>0</v>
      </c>
      <c r="AL50" s="374">
        <f>SUM(ERP_5[[#This Row],[AP01]:[AP06]])-SUM(ERP_5[[#This Row],[AP01 LE2]:[AP06 LE2]])</f>
        <v>-1732.97</v>
      </c>
      <c r="AM50" s="80"/>
      <c r="AN50" s="79">
        <f>ERP_5[[#This Row],[2026 Working Total to Budget/LE]]-ERP_5[[#This Row],[Giveback]]</f>
        <v>-1732.97</v>
      </c>
      <c r="AO50" s="81"/>
      <c r="AP50" s="375"/>
      <c r="AQ50" s="375">
        <v>0</v>
      </c>
      <c r="AR50" s="375">
        <v>0</v>
      </c>
      <c r="AS50" s="375">
        <v>0</v>
      </c>
      <c r="AT50" s="375">
        <v>0</v>
      </c>
      <c r="AU50" s="375">
        <v>0</v>
      </c>
      <c r="AV50" s="375">
        <v>0</v>
      </c>
      <c r="AW50" s="375">
        <v>0</v>
      </c>
      <c r="AX50" s="375">
        <v>0</v>
      </c>
      <c r="AY50" s="375">
        <v>0</v>
      </c>
      <c r="AZ50" s="375">
        <v>0</v>
      </c>
      <c r="BA50" s="375">
        <v>0</v>
      </c>
      <c r="BB50" s="375">
        <v>0</v>
      </c>
      <c r="BC50" s="79"/>
      <c r="BD50" s="79">
        <v>0</v>
      </c>
      <c r="BE50" s="79">
        <v>0</v>
      </c>
      <c r="BF50" s="79">
        <v>0</v>
      </c>
      <c r="BG50" s="79">
        <v>0</v>
      </c>
      <c r="BH50" s="79">
        <v>0</v>
      </c>
      <c r="BI50" s="79">
        <v>0</v>
      </c>
      <c r="BJ50" s="79">
        <v>0</v>
      </c>
      <c r="BK50" s="79">
        <v>0</v>
      </c>
      <c r="BL50" s="79">
        <v>0</v>
      </c>
      <c r="BM50" s="79">
        <v>0</v>
      </c>
      <c r="BN50" s="79">
        <v>0</v>
      </c>
      <c r="BO50" s="79">
        <v>0</v>
      </c>
    </row>
    <row r="51" spans="1:67" ht="15" customHeight="1">
      <c r="A51" s="66" t="s">
        <v>2074</v>
      </c>
      <c r="B51" s="66" t="s">
        <v>2075</v>
      </c>
      <c r="C51" s="150" t="s">
        <v>1136</v>
      </c>
      <c r="D51" s="150" t="s">
        <v>1567</v>
      </c>
      <c r="E51" s="150" t="s">
        <v>1567</v>
      </c>
      <c r="F51" s="150" t="s">
        <v>1567</v>
      </c>
      <c r="G51" s="511" t="s">
        <v>389</v>
      </c>
      <c r="H51" s="392" t="s">
        <v>1775</v>
      </c>
      <c r="I51" s="343"/>
      <c r="J51" s="343"/>
      <c r="K51" s="70" t="s">
        <v>404</v>
      </c>
      <c r="L51" s="346"/>
      <c r="M51" s="346" t="s">
        <v>1140</v>
      </c>
      <c r="N51" s="346"/>
      <c r="O51" s="150" t="s">
        <v>405</v>
      </c>
      <c r="P51" s="150"/>
      <c r="Q51" s="404"/>
      <c r="R51" s="407">
        <v>0</v>
      </c>
      <c r="S51" s="407">
        <v>0</v>
      </c>
      <c r="T51" s="425"/>
      <c r="U51" s="71"/>
      <c r="V51" s="426"/>
      <c r="W51" s="431">
        <v>0</v>
      </c>
      <c r="X51" s="431">
        <v>0</v>
      </c>
      <c r="Y51" s="428">
        <v>-5.07</v>
      </c>
      <c r="Z51" s="429">
        <v>0</v>
      </c>
      <c r="AA51" s="429">
        <v>0</v>
      </c>
      <c r="AB51" s="360">
        <v>0</v>
      </c>
      <c r="AC51" s="360">
        <v>0</v>
      </c>
      <c r="AD51" s="360">
        <v>0</v>
      </c>
      <c r="AE51" s="360">
        <v>0</v>
      </c>
      <c r="AF51" s="360">
        <v>0</v>
      </c>
      <c r="AG51" s="360">
        <v>0</v>
      </c>
      <c r="AH51" s="360">
        <f t="shared" si="1"/>
        <v>-5.07</v>
      </c>
      <c r="AI51" s="362">
        <f>ERP_5[[#This Row],[2026 Working Total]]-ERP_5[[#This Row],[LE2 Final Submission]]</f>
        <v>-5.07</v>
      </c>
      <c r="AJ51" s="79">
        <v>0</v>
      </c>
      <c r="AK51" s="79">
        <f t="shared" si="0"/>
        <v>0</v>
      </c>
      <c r="AL51" s="374">
        <f>SUM(ERP_5[[#This Row],[AP01]:[AP06]])-SUM(ERP_5[[#This Row],[AP01 LE2]:[AP06 LE2]])</f>
        <v>-5.07</v>
      </c>
      <c r="AM51" s="80"/>
      <c r="AN51" s="79">
        <f>ERP_5[[#This Row],[2026 Working Total to Budget/LE]]-ERP_5[[#This Row],[Giveback]]</f>
        <v>-5.07</v>
      </c>
      <c r="AO51" s="81"/>
      <c r="AP51" s="375"/>
      <c r="AQ51" s="375">
        <v>0</v>
      </c>
      <c r="AR51" s="375">
        <v>0</v>
      </c>
      <c r="AS51" s="375">
        <v>0</v>
      </c>
      <c r="AT51" s="375">
        <v>0</v>
      </c>
      <c r="AU51" s="375">
        <v>0</v>
      </c>
      <c r="AV51" s="375">
        <v>0</v>
      </c>
      <c r="AW51" s="375">
        <v>0</v>
      </c>
      <c r="AX51" s="375">
        <v>0</v>
      </c>
      <c r="AY51" s="375">
        <v>0</v>
      </c>
      <c r="AZ51" s="375">
        <v>0</v>
      </c>
      <c r="BA51" s="375">
        <v>0</v>
      </c>
      <c r="BB51" s="375">
        <v>0</v>
      </c>
      <c r="BC51" s="79"/>
      <c r="BD51" s="79">
        <v>0</v>
      </c>
      <c r="BE51" s="79">
        <v>0</v>
      </c>
      <c r="BF51" s="79">
        <v>0</v>
      </c>
      <c r="BG51" s="79">
        <v>0</v>
      </c>
      <c r="BH51" s="79">
        <v>0</v>
      </c>
      <c r="BI51" s="79">
        <v>0</v>
      </c>
      <c r="BJ51" s="79">
        <v>0</v>
      </c>
      <c r="BK51" s="79">
        <v>0</v>
      </c>
      <c r="BL51" s="79">
        <v>0</v>
      </c>
      <c r="BM51" s="79">
        <v>0</v>
      </c>
      <c r="BN51" s="79">
        <v>0</v>
      </c>
      <c r="BO51" s="79">
        <v>0</v>
      </c>
    </row>
    <row r="52" spans="1:67" ht="15" customHeight="1">
      <c r="A52" s="150" t="s">
        <v>2753</v>
      </c>
      <c r="B52" s="296" t="s">
        <v>2754</v>
      </c>
      <c r="C52" s="150" t="s">
        <v>1136</v>
      </c>
      <c r="D52" s="150" t="s">
        <v>1567</v>
      </c>
      <c r="E52" s="150" t="s">
        <v>1567</v>
      </c>
      <c r="F52" s="150" t="s">
        <v>1567</v>
      </c>
      <c r="G52" s="511" t="s">
        <v>639</v>
      </c>
      <c r="H52" s="394" t="s">
        <v>2232</v>
      </c>
      <c r="I52" s="333"/>
      <c r="J52" s="332" t="s">
        <v>2755</v>
      </c>
      <c r="K52" s="90" t="s">
        <v>657</v>
      </c>
      <c r="L52" s="347"/>
      <c r="M52" s="347"/>
      <c r="N52" s="348"/>
      <c r="O52" s="348"/>
      <c r="P52" s="348"/>
      <c r="Q52" s="402"/>
      <c r="R52" s="406"/>
      <c r="S52" s="406"/>
      <c r="T52" s="425"/>
      <c r="U52" s="71"/>
      <c r="V52" s="435"/>
      <c r="W52" s="436"/>
      <c r="X52" s="436"/>
      <c r="Y52" s="429">
        <v>-920.3</v>
      </c>
      <c r="Z52" s="429">
        <v>0</v>
      </c>
      <c r="AA52" s="429">
        <v>0</v>
      </c>
      <c r="AB52" s="364"/>
      <c r="AC52" s="364"/>
      <c r="AD52" s="364"/>
      <c r="AE52" s="364"/>
      <c r="AF52" s="364"/>
      <c r="AG52" s="364"/>
      <c r="AH52" s="360">
        <f t="shared" si="1"/>
        <v>-920.3</v>
      </c>
      <c r="AI52" s="362">
        <f>ERP_5[[#This Row],[2026 Working Total]]-ERP_5[[#This Row],[LE2 Final Submission]]</f>
        <v>-920.3</v>
      </c>
      <c r="AJ52" s="79">
        <v>3000</v>
      </c>
      <c r="AK52" s="79">
        <f t="shared" si="0"/>
        <v>-3000</v>
      </c>
      <c r="AL52" s="374">
        <f>SUM(ERP_5[[#This Row],[AP01]:[AP06]])-SUM(ERP_5[[#This Row],[AP01 LE2]:[AP06 LE2]])</f>
        <v>-920.3</v>
      </c>
      <c r="AM52" s="80"/>
      <c r="AN52" s="79">
        <f>ERP_5[[#This Row],[2026 Working Total to Budget/LE]]-ERP_5[[#This Row],[Giveback]]</f>
        <v>-920.3</v>
      </c>
      <c r="AO52" s="81"/>
      <c r="AP52" s="375"/>
      <c r="AQ52" s="375"/>
      <c r="AR52" s="375"/>
      <c r="AS52" s="375"/>
      <c r="AT52" s="375"/>
      <c r="AU52" s="375"/>
      <c r="AV52" s="375"/>
      <c r="AW52" s="375"/>
      <c r="AX52" s="375"/>
      <c r="AY52" s="375"/>
      <c r="AZ52" s="375"/>
      <c r="BA52" s="375"/>
      <c r="BB52" s="375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</row>
    <row r="53" spans="1:67" ht="15" customHeight="1">
      <c r="A53" s="150" t="s">
        <v>2230</v>
      </c>
      <c r="B53" s="296" t="s">
        <v>2231</v>
      </c>
      <c r="C53" s="150" t="s">
        <v>1136</v>
      </c>
      <c r="D53" s="150" t="s">
        <v>1135</v>
      </c>
      <c r="E53" s="150" t="s">
        <v>1137</v>
      </c>
      <c r="F53" s="150" t="s">
        <v>1137</v>
      </c>
      <c r="G53" s="514" t="s">
        <v>639</v>
      </c>
      <c r="H53" s="394" t="s">
        <v>2232</v>
      </c>
      <c r="I53" s="333"/>
      <c r="J53" s="332" t="s">
        <v>1695</v>
      </c>
      <c r="K53" s="90" t="s">
        <v>657</v>
      </c>
      <c r="L53" s="347"/>
      <c r="M53" s="347"/>
      <c r="N53" s="348"/>
      <c r="O53" s="348"/>
      <c r="P53" s="1" t="s">
        <v>1141</v>
      </c>
      <c r="Q53" s="402"/>
      <c r="R53" s="406"/>
      <c r="S53" s="406"/>
      <c r="T53" s="425"/>
      <c r="U53" s="71"/>
      <c r="V53" s="435"/>
      <c r="W53" s="436"/>
      <c r="X53" s="436"/>
      <c r="Y53" s="429">
        <v>-4832.8900000000003</v>
      </c>
      <c r="Z53" s="429">
        <v>0</v>
      </c>
      <c r="AA53" s="429">
        <v>0</v>
      </c>
      <c r="AB53" s="364"/>
      <c r="AC53" s="364"/>
      <c r="AD53" s="364"/>
      <c r="AE53" s="364"/>
      <c r="AF53" s="364"/>
      <c r="AG53" s="364"/>
      <c r="AH53" s="360">
        <f t="shared" si="1"/>
        <v>-4832.8900000000003</v>
      </c>
      <c r="AI53" s="362">
        <f>ERP_5[[#This Row],[2026 Working Total]]-ERP_5[[#This Row],[LE2 Final Submission]]</f>
        <v>-4832.8900000000003</v>
      </c>
      <c r="AJ53" s="79">
        <v>28215</v>
      </c>
      <c r="AK53" s="79">
        <f t="shared" si="0"/>
        <v>-28215</v>
      </c>
      <c r="AL53" s="374">
        <f>SUM(ERP_5[[#This Row],[AP01]:[AP06]])-SUM(ERP_5[[#This Row],[AP01 LE2]:[AP06 LE2]])</f>
        <v>-4832.8900000000003</v>
      </c>
      <c r="AM53" s="80"/>
      <c r="AN53" s="79">
        <f>ERP_5[[#This Row],[2026 Working Total to Budget/LE]]-ERP_5[[#This Row],[Giveback]]</f>
        <v>-4832.8900000000003</v>
      </c>
      <c r="AO53" s="81"/>
      <c r="AP53" s="375"/>
      <c r="AQ53" s="375"/>
      <c r="AR53" s="375"/>
      <c r="AS53" s="375"/>
      <c r="AT53" s="375"/>
      <c r="AU53" s="375"/>
      <c r="AV53" s="375"/>
      <c r="AW53" s="375"/>
      <c r="AX53" s="375"/>
      <c r="AY53" s="375"/>
      <c r="AZ53" s="375"/>
      <c r="BA53" s="375"/>
      <c r="BB53" s="375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</row>
    <row r="54" spans="1:67" ht="15" customHeight="1">
      <c r="A54" s="150" t="s">
        <v>2756</v>
      </c>
      <c r="B54" s="296" t="s">
        <v>2757</v>
      </c>
      <c r="C54" s="150" t="s">
        <v>1136</v>
      </c>
      <c r="D54" s="150" t="s">
        <v>1567</v>
      </c>
      <c r="E54" s="150" t="s">
        <v>1567</v>
      </c>
      <c r="F54" s="150" t="s">
        <v>1567</v>
      </c>
      <c r="G54" s="511" t="s">
        <v>639</v>
      </c>
      <c r="H54" s="394" t="s">
        <v>2758</v>
      </c>
      <c r="I54" s="333"/>
      <c r="J54" s="332" t="s">
        <v>2755</v>
      </c>
      <c r="K54" s="90" t="s">
        <v>659</v>
      </c>
      <c r="L54" s="347"/>
      <c r="M54" s="347"/>
      <c r="N54" s="348"/>
      <c r="O54" s="348"/>
      <c r="P54" s="348"/>
      <c r="Q54" s="402"/>
      <c r="R54" s="406"/>
      <c r="S54" s="406"/>
      <c r="T54" s="425"/>
      <c r="U54" s="71"/>
      <c r="V54" s="435"/>
      <c r="W54" s="436"/>
      <c r="X54" s="436"/>
      <c r="Y54" s="429">
        <v>-6115.8</v>
      </c>
      <c r="Z54" s="429">
        <v>0</v>
      </c>
      <c r="AA54" s="429">
        <v>0</v>
      </c>
      <c r="AB54" s="364"/>
      <c r="AC54" s="364"/>
      <c r="AD54" s="364"/>
      <c r="AE54" s="364"/>
      <c r="AF54" s="364"/>
      <c r="AG54" s="364"/>
      <c r="AH54" s="360">
        <f t="shared" si="1"/>
        <v>-6115.8</v>
      </c>
      <c r="AI54" s="362">
        <f>ERP_5[[#This Row],[2026 Working Total]]-ERP_5[[#This Row],[LE2 Final Submission]]</f>
        <v>-6115.8</v>
      </c>
      <c r="AJ54" s="79">
        <v>351</v>
      </c>
      <c r="AK54" s="79">
        <f t="shared" si="0"/>
        <v>-351</v>
      </c>
      <c r="AL54" s="374">
        <f>SUM(ERP_5[[#This Row],[AP01]:[AP06]])-SUM(ERP_5[[#This Row],[AP01 LE2]:[AP06 LE2]])</f>
        <v>-6115.8</v>
      </c>
      <c r="AM54" s="80"/>
      <c r="AN54" s="79">
        <f>ERP_5[[#This Row],[2026 Working Total to Budget/LE]]-ERP_5[[#This Row],[Giveback]]</f>
        <v>-6115.8</v>
      </c>
      <c r="AO54" s="81"/>
      <c r="AP54" s="375"/>
      <c r="AQ54" s="375"/>
      <c r="AR54" s="375"/>
      <c r="AS54" s="375"/>
      <c r="AT54" s="375"/>
      <c r="AU54" s="375"/>
      <c r="AV54" s="375"/>
      <c r="AW54" s="375"/>
      <c r="AX54" s="375"/>
      <c r="AY54" s="375"/>
      <c r="AZ54" s="375"/>
      <c r="BA54" s="375"/>
      <c r="BB54" s="375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</row>
    <row r="55" spans="1:67" ht="15" customHeight="1">
      <c r="A55" s="150" t="s">
        <v>2233</v>
      </c>
      <c r="B55" s="296" t="s">
        <v>2234</v>
      </c>
      <c r="C55" s="150" t="s">
        <v>1136</v>
      </c>
      <c r="D55" s="150" t="s">
        <v>1135</v>
      </c>
      <c r="E55" s="150" t="s">
        <v>1137</v>
      </c>
      <c r="F55" s="150" t="s">
        <v>1137</v>
      </c>
      <c r="G55" s="514" t="s">
        <v>639</v>
      </c>
      <c r="H55" s="394" t="s">
        <v>2235</v>
      </c>
      <c r="I55" s="333"/>
      <c r="J55" s="332" t="s">
        <v>1695</v>
      </c>
      <c r="K55" s="90" t="s">
        <v>659</v>
      </c>
      <c r="L55" s="347"/>
      <c r="M55" s="347"/>
      <c r="N55" s="348"/>
      <c r="O55" s="348"/>
      <c r="P55" s="1" t="s">
        <v>1141</v>
      </c>
      <c r="Q55" s="402"/>
      <c r="R55" s="406"/>
      <c r="S55" s="406"/>
      <c r="T55" s="425"/>
      <c r="U55" s="71"/>
      <c r="V55" s="435"/>
      <c r="W55" s="436"/>
      <c r="X55" s="436"/>
      <c r="Y55" s="429">
        <v>-38080.83</v>
      </c>
      <c r="Z55" s="429">
        <v>0</v>
      </c>
      <c r="AA55" s="429">
        <v>0</v>
      </c>
      <c r="AB55" s="364"/>
      <c r="AC55" s="364"/>
      <c r="AD55" s="364"/>
      <c r="AE55" s="364"/>
      <c r="AF55" s="364"/>
      <c r="AG55" s="364"/>
      <c r="AH55" s="360">
        <f t="shared" si="1"/>
        <v>-38080.83</v>
      </c>
      <c r="AI55" s="362">
        <f>ERP_5[[#This Row],[2026 Working Total]]-ERP_5[[#This Row],[LE2 Final Submission]]</f>
        <v>-38080.83</v>
      </c>
      <c r="AJ55" s="79"/>
      <c r="AK55" s="79">
        <f t="shared" si="0"/>
        <v>0</v>
      </c>
      <c r="AL55" s="374">
        <f>SUM(ERP_5[[#This Row],[AP01]:[AP06]])-SUM(ERP_5[[#This Row],[AP01 LE2]:[AP06 LE2]])</f>
        <v>-38080.83</v>
      </c>
      <c r="AM55" s="80"/>
      <c r="AN55" s="79">
        <f>ERP_5[[#This Row],[2026 Working Total to Budget/LE]]-ERP_5[[#This Row],[Giveback]]</f>
        <v>-38080.83</v>
      </c>
      <c r="AO55" s="81"/>
      <c r="AP55" s="375"/>
      <c r="AQ55" s="375"/>
      <c r="AR55" s="375"/>
      <c r="AS55" s="375"/>
      <c r="AT55" s="375"/>
      <c r="AU55" s="375"/>
      <c r="AV55" s="375"/>
      <c r="AW55" s="375"/>
      <c r="AX55" s="375"/>
      <c r="AY55" s="375"/>
      <c r="AZ55" s="375"/>
      <c r="BA55" s="375"/>
      <c r="BB55" s="375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</row>
    <row r="56" spans="1:67" ht="15" customHeight="1">
      <c r="A56" s="79" t="s">
        <v>1777</v>
      </c>
      <c r="B56" s="296" t="s">
        <v>406</v>
      </c>
      <c r="C56" s="150" t="s">
        <v>1136</v>
      </c>
      <c r="D56" s="332" t="s">
        <v>1135</v>
      </c>
      <c r="E56" s="382" t="s">
        <v>1135</v>
      </c>
      <c r="F56" s="331" t="s">
        <v>1137</v>
      </c>
      <c r="G56" s="512" t="s">
        <v>389</v>
      </c>
      <c r="H56" s="394" t="s">
        <v>1778</v>
      </c>
      <c r="I56" s="343"/>
      <c r="J56" s="331"/>
      <c r="K56" s="122" t="s">
        <v>407</v>
      </c>
      <c r="L56" s="343"/>
      <c r="M56" s="346" t="s">
        <v>1140</v>
      </c>
      <c r="N56" s="348"/>
      <c r="O56" s="384" t="s">
        <v>408</v>
      </c>
      <c r="P56" s="387" t="s">
        <v>1779</v>
      </c>
      <c r="Q56" s="432"/>
      <c r="R56" s="358">
        <v>-21666.659999999996</v>
      </c>
      <c r="S56" s="378">
        <v>-15000</v>
      </c>
      <c r="T56" s="430"/>
      <c r="U56" s="137"/>
      <c r="V56" s="433"/>
      <c r="W56" s="434"/>
      <c r="X56" s="434"/>
      <c r="Y56" s="428" t="s">
        <v>1142</v>
      </c>
      <c r="Z56" s="429">
        <v>0</v>
      </c>
      <c r="AA56" s="429">
        <v>0</v>
      </c>
      <c r="AB56" s="388">
        <v>-1666.67</v>
      </c>
      <c r="AC56" s="388">
        <v>-1666.67</v>
      </c>
      <c r="AD56" s="388">
        <v>-1666.67</v>
      </c>
      <c r="AE56" s="388">
        <v>0</v>
      </c>
      <c r="AF56" s="388">
        <v>0</v>
      </c>
      <c r="AG56" s="388">
        <v>0</v>
      </c>
      <c r="AH56" s="360">
        <f t="shared" si="1"/>
        <v>-5000.01</v>
      </c>
      <c r="AI56" s="362">
        <f>ERP_5[[#This Row],[2026 Working Total]]-ERP_5[[#This Row],[LE2 Final Submission]]</f>
        <v>9999.99</v>
      </c>
      <c r="AJ56" s="79">
        <v>0</v>
      </c>
      <c r="AK56" s="79">
        <f t="shared" si="0"/>
        <v>0</v>
      </c>
      <c r="AL56" s="374">
        <f>SUM(ERP_5[[#This Row],[AP01]:[AP06]])-SUM(ERP_5[[#This Row],[AP01 LE2]:[AP06 LE2]])</f>
        <v>9999.99</v>
      </c>
      <c r="AM56" s="80"/>
      <c r="AN56" s="79">
        <f>ERP_5[[#This Row],[2026 Working Total to Budget/LE]]-ERP_5[[#This Row],[Giveback]]</f>
        <v>9999.99</v>
      </c>
      <c r="AO56" s="81"/>
      <c r="AP56" s="375"/>
      <c r="AQ56" s="375"/>
      <c r="AR56" s="375"/>
      <c r="AS56" s="375">
        <v>-3333.33</v>
      </c>
      <c r="AT56" s="375">
        <v>-3333.33</v>
      </c>
      <c r="AU56" s="375">
        <v>-3333.33</v>
      </c>
      <c r="AV56" s="375">
        <v>-1666.67</v>
      </c>
      <c r="AW56" s="375">
        <v>-1666.67</v>
      </c>
      <c r="AX56" s="375">
        <v>-1666.67</v>
      </c>
      <c r="AY56" s="375">
        <v>0</v>
      </c>
      <c r="AZ56" s="375">
        <v>0</v>
      </c>
      <c r="BA56" s="375">
        <v>0</v>
      </c>
      <c r="BB56" s="375">
        <v>-15000</v>
      </c>
      <c r="BC56" s="103">
        <v>0</v>
      </c>
      <c r="BD56" s="103">
        <v>-3333.33</v>
      </c>
      <c r="BE56" s="103">
        <v>-3333.33</v>
      </c>
      <c r="BF56" s="103">
        <v>-3333.33</v>
      </c>
      <c r="BG56" s="103">
        <v>-3333.33</v>
      </c>
      <c r="BH56" s="103">
        <v>-3333.33</v>
      </c>
      <c r="BI56" s="103">
        <v>-1666.67</v>
      </c>
      <c r="BJ56" s="103">
        <v>-1666.67</v>
      </c>
      <c r="BK56" s="103">
        <v>-1666.67</v>
      </c>
      <c r="BL56" s="103">
        <v>0</v>
      </c>
      <c r="BM56" s="103">
        <v>0</v>
      </c>
      <c r="BN56" s="103">
        <v>0</v>
      </c>
      <c r="BO56" s="79">
        <f>SUM(ERP_5[[#This Row],[2026 AP01]:[2026 AP12]])</f>
        <v>-21666.659999999996</v>
      </c>
    </row>
    <row r="57" spans="1:67" ht="15" customHeight="1">
      <c r="A57" s="66" t="s">
        <v>2236</v>
      </c>
      <c r="B57" s="66" t="s">
        <v>2237</v>
      </c>
      <c r="C57" s="150" t="s">
        <v>1136</v>
      </c>
      <c r="D57" s="150" t="s">
        <v>1135</v>
      </c>
      <c r="E57" s="150" t="s">
        <v>1137</v>
      </c>
      <c r="F57" s="150" t="s">
        <v>1137</v>
      </c>
      <c r="G57" s="511" t="s">
        <v>639</v>
      </c>
      <c r="H57" s="392" t="s">
        <v>1685</v>
      </c>
      <c r="I57" s="343"/>
      <c r="J57" s="343"/>
      <c r="K57" s="70" t="s">
        <v>661</v>
      </c>
      <c r="L57" s="346" t="s">
        <v>1139</v>
      </c>
      <c r="M57" s="346" t="s">
        <v>1140</v>
      </c>
      <c r="N57" s="346"/>
      <c r="O57" s="150" t="s">
        <v>25</v>
      </c>
      <c r="P57" s="150"/>
      <c r="Q57" s="404"/>
      <c r="R57" s="407">
        <v>0</v>
      </c>
      <c r="S57" s="407">
        <v>0</v>
      </c>
      <c r="T57" s="425"/>
      <c r="U57" s="71"/>
      <c r="V57" s="426">
        <v>-18074.080000000002</v>
      </c>
      <c r="W57" s="427">
        <v>18074.080000000002</v>
      </c>
      <c r="X57" s="431">
        <v>0</v>
      </c>
      <c r="Y57" s="428" t="s">
        <v>1142</v>
      </c>
      <c r="Z57" s="429">
        <v>0</v>
      </c>
      <c r="AA57" s="429">
        <v>0</v>
      </c>
      <c r="AB57" s="360">
        <v>0</v>
      </c>
      <c r="AC57" s="360">
        <v>0</v>
      </c>
      <c r="AD57" s="360">
        <v>0</v>
      </c>
      <c r="AE57" s="360">
        <v>0</v>
      </c>
      <c r="AF57" s="360">
        <v>0</v>
      </c>
      <c r="AG57" s="360">
        <v>0</v>
      </c>
      <c r="AH57" s="360">
        <f t="shared" si="1"/>
        <v>0</v>
      </c>
      <c r="AI57" s="362">
        <f>ERP_5[[#This Row],[2026 Working Total]]-ERP_5[[#This Row],[LE2 Final Submission]]</f>
        <v>0</v>
      </c>
      <c r="AJ57" s="79">
        <v>0</v>
      </c>
      <c r="AK57" s="79">
        <f t="shared" si="0"/>
        <v>0</v>
      </c>
      <c r="AL57" s="374">
        <f>SUM(ERP_5[[#This Row],[AP01]:[AP06]])-SUM(ERP_5[[#This Row],[AP01 LE2]:[AP06 LE2]])</f>
        <v>0</v>
      </c>
      <c r="AM57" s="80"/>
      <c r="AN57" s="79">
        <f>ERP_5[[#This Row],[2026 Working Total to Budget/LE]]-ERP_5[[#This Row],[Giveback]]</f>
        <v>0</v>
      </c>
      <c r="AO57" s="81"/>
      <c r="AP57" s="375">
        <v>-18074.080000000002</v>
      </c>
      <c r="AQ57" s="375">
        <v>18074.080000000002</v>
      </c>
      <c r="AR57" s="375">
        <v>0</v>
      </c>
      <c r="AS57" s="375">
        <v>0</v>
      </c>
      <c r="AT57" s="375">
        <v>0</v>
      </c>
      <c r="AU57" s="375">
        <v>0</v>
      </c>
      <c r="AV57" s="375">
        <v>0</v>
      </c>
      <c r="AW57" s="375">
        <v>0</v>
      </c>
      <c r="AX57" s="375">
        <v>0</v>
      </c>
      <c r="AY57" s="375">
        <v>0</v>
      </c>
      <c r="AZ57" s="375">
        <v>0</v>
      </c>
      <c r="BA57" s="375">
        <v>0</v>
      </c>
      <c r="BB57" s="375">
        <v>0</v>
      </c>
      <c r="BC57" s="79">
        <v>-18074.080000000002</v>
      </c>
      <c r="BD57" s="79">
        <v>18074.080000000002</v>
      </c>
      <c r="BE57" s="79">
        <v>0</v>
      </c>
      <c r="BF57" s="79">
        <v>0</v>
      </c>
      <c r="BG57" s="79">
        <v>0</v>
      </c>
      <c r="BH57" s="79">
        <v>0</v>
      </c>
      <c r="BI57" s="79">
        <v>0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0</v>
      </c>
    </row>
    <row r="58" spans="1:67" ht="15" customHeight="1">
      <c r="A58" s="66" t="s">
        <v>2759</v>
      </c>
      <c r="B58" s="66" t="s">
        <v>2760</v>
      </c>
      <c r="C58" s="150" t="s">
        <v>1136</v>
      </c>
      <c r="D58" s="150" t="s">
        <v>1567</v>
      </c>
      <c r="E58" s="150" t="s">
        <v>1567</v>
      </c>
      <c r="F58" s="150" t="s">
        <v>1567</v>
      </c>
      <c r="G58" s="511" t="s">
        <v>639</v>
      </c>
      <c r="H58" s="392" t="s">
        <v>1685</v>
      </c>
      <c r="I58" s="343"/>
      <c r="J58" s="343"/>
      <c r="K58" s="70" t="s">
        <v>661</v>
      </c>
      <c r="L58" s="346" t="s">
        <v>1139</v>
      </c>
      <c r="M58" s="346" t="s">
        <v>1140</v>
      </c>
      <c r="N58" s="346"/>
      <c r="O58" s="150" t="s">
        <v>25</v>
      </c>
      <c r="P58" s="150"/>
      <c r="Q58" s="404"/>
      <c r="R58" s="407">
        <v>0</v>
      </c>
      <c r="S58" s="407">
        <v>0</v>
      </c>
      <c r="T58" s="425"/>
      <c r="U58" s="71"/>
      <c r="V58" s="426">
        <v>-6074.45</v>
      </c>
      <c r="W58" s="427">
        <v>6074.45</v>
      </c>
      <c r="X58" s="431">
        <v>0</v>
      </c>
      <c r="Y58" s="428" t="s">
        <v>1142</v>
      </c>
      <c r="Z58" s="429">
        <v>0</v>
      </c>
      <c r="AA58" s="429">
        <v>0</v>
      </c>
      <c r="AB58" s="360">
        <v>0</v>
      </c>
      <c r="AC58" s="360">
        <v>0</v>
      </c>
      <c r="AD58" s="360">
        <v>0</v>
      </c>
      <c r="AE58" s="360">
        <v>0</v>
      </c>
      <c r="AF58" s="360">
        <v>0</v>
      </c>
      <c r="AG58" s="360">
        <v>0</v>
      </c>
      <c r="AH58" s="360">
        <f t="shared" si="1"/>
        <v>0</v>
      </c>
      <c r="AI58" s="362">
        <f>ERP_5[[#This Row],[2026 Working Total]]-ERP_5[[#This Row],[LE2 Final Submission]]</f>
        <v>0</v>
      </c>
      <c r="AJ58" s="79">
        <v>0</v>
      </c>
      <c r="AK58" s="79">
        <f t="shared" si="0"/>
        <v>0</v>
      </c>
      <c r="AL58" s="374">
        <f>SUM(ERP_5[[#This Row],[AP01]:[AP06]])-SUM(ERP_5[[#This Row],[AP01 LE2]:[AP06 LE2]])</f>
        <v>0</v>
      </c>
      <c r="AM58" s="80"/>
      <c r="AN58" s="79">
        <f>ERP_5[[#This Row],[2026 Working Total to Budget/LE]]-ERP_5[[#This Row],[Giveback]]</f>
        <v>0</v>
      </c>
      <c r="AO58" s="81"/>
      <c r="AP58" s="375">
        <v>-6074.45</v>
      </c>
      <c r="AQ58" s="375">
        <v>6074.45</v>
      </c>
      <c r="AR58" s="375">
        <v>0</v>
      </c>
      <c r="AS58" s="375">
        <v>0</v>
      </c>
      <c r="AT58" s="375">
        <v>0</v>
      </c>
      <c r="AU58" s="375">
        <v>0</v>
      </c>
      <c r="AV58" s="375">
        <v>0</v>
      </c>
      <c r="AW58" s="375">
        <v>0</v>
      </c>
      <c r="AX58" s="375">
        <v>0</v>
      </c>
      <c r="AY58" s="375">
        <v>0</v>
      </c>
      <c r="AZ58" s="375">
        <v>0</v>
      </c>
      <c r="BA58" s="375">
        <v>0</v>
      </c>
      <c r="BB58" s="375">
        <v>0</v>
      </c>
      <c r="BC58" s="79">
        <v>-6074.45</v>
      </c>
      <c r="BD58" s="79">
        <v>6074.45</v>
      </c>
      <c r="BE58" s="79">
        <v>0</v>
      </c>
      <c r="BF58" s="79">
        <v>0</v>
      </c>
      <c r="BG58" s="79">
        <v>0</v>
      </c>
      <c r="BH58" s="79">
        <v>0</v>
      </c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0</v>
      </c>
    </row>
    <row r="59" spans="1:67" ht="15" customHeight="1">
      <c r="A59" s="66" t="s">
        <v>2238</v>
      </c>
      <c r="B59" s="66" t="s">
        <v>2239</v>
      </c>
      <c r="C59" s="150" t="s">
        <v>1136</v>
      </c>
      <c r="D59" s="150" t="s">
        <v>1135</v>
      </c>
      <c r="E59" s="150" t="s">
        <v>1137</v>
      </c>
      <c r="F59" s="150" t="s">
        <v>1137</v>
      </c>
      <c r="G59" s="511" t="s">
        <v>639</v>
      </c>
      <c r="H59" s="392" t="s">
        <v>1685</v>
      </c>
      <c r="I59" s="343"/>
      <c r="J59" s="343"/>
      <c r="K59" s="70" t="s">
        <v>663</v>
      </c>
      <c r="L59" s="346" t="s">
        <v>1139</v>
      </c>
      <c r="M59" s="346" t="s">
        <v>1140</v>
      </c>
      <c r="N59" s="346"/>
      <c r="O59" s="150" t="s">
        <v>25</v>
      </c>
      <c r="P59" s="150"/>
      <c r="Q59" s="404"/>
      <c r="R59" s="407">
        <v>0</v>
      </c>
      <c r="S59" s="407">
        <v>0</v>
      </c>
      <c r="T59" s="425"/>
      <c r="U59" s="71"/>
      <c r="V59" s="426">
        <v>-1922.23</v>
      </c>
      <c r="W59" s="427">
        <v>1922.23</v>
      </c>
      <c r="X59" s="431">
        <v>0</v>
      </c>
      <c r="Y59" s="428" t="s">
        <v>1142</v>
      </c>
      <c r="Z59" s="429">
        <v>0</v>
      </c>
      <c r="AA59" s="429">
        <v>0</v>
      </c>
      <c r="AB59" s="360">
        <v>0</v>
      </c>
      <c r="AC59" s="360">
        <v>0</v>
      </c>
      <c r="AD59" s="360">
        <v>0</v>
      </c>
      <c r="AE59" s="360">
        <v>0</v>
      </c>
      <c r="AF59" s="360">
        <v>0</v>
      </c>
      <c r="AG59" s="360">
        <v>0</v>
      </c>
      <c r="AH59" s="360">
        <f t="shared" si="1"/>
        <v>0</v>
      </c>
      <c r="AI59" s="362">
        <f>ERP_5[[#This Row],[2026 Working Total]]-ERP_5[[#This Row],[LE2 Final Submission]]</f>
        <v>0</v>
      </c>
      <c r="AJ59" s="79">
        <v>3029.81</v>
      </c>
      <c r="AK59" s="79">
        <f t="shared" si="0"/>
        <v>-3029.81</v>
      </c>
      <c r="AL59" s="374">
        <f>SUM(ERP_5[[#This Row],[AP01]:[AP06]])-SUM(ERP_5[[#This Row],[AP01 LE2]:[AP06 LE2]])</f>
        <v>0</v>
      </c>
      <c r="AM59" s="80"/>
      <c r="AN59" s="79">
        <f>ERP_5[[#This Row],[2026 Working Total to Budget/LE]]-ERP_5[[#This Row],[Giveback]]</f>
        <v>0</v>
      </c>
      <c r="AO59" s="81"/>
      <c r="AP59" s="375">
        <v>-1922.23</v>
      </c>
      <c r="AQ59" s="375">
        <v>1922.23</v>
      </c>
      <c r="AR59" s="375">
        <v>0</v>
      </c>
      <c r="AS59" s="375">
        <v>0</v>
      </c>
      <c r="AT59" s="375">
        <v>0</v>
      </c>
      <c r="AU59" s="375">
        <v>0</v>
      </c>
      <c r="AV59" s="375">
        <v>0</v>
      </c>
      <c r="AW59" s="375">
        <v>0</v>
      </c>
      <c r="AX59" s="375">
        <v>0</v>
      </c>
      <c r="AY59" s="375">
        <v>0</v>
      </c>
      <c r="AZ59" s="375">
        <v>0</v>
      </c>
      <c r="BA59" s="375">
        <v>0</v>
      </c>
      <c r="BB59" s="375">
        <v>0</v>
      </c>
      <c r="BC59" s="79">
        <v>-1922.23</v>
      </c>
      <c r="BD59" s="79">
        <v>1922.23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</row>
    <row r="60" spans="1:67" ht="15" customHeight="1">
      <c r="A60" s="66" t="s">
        <v>2761</v>
      </c>
      <c r="B60" s="66" t="s">
        <v>2762</v>
      </c>
      <c r="C60" s="150" t="s">
        <v>1136</v>
      </c>
      <c r="D60" s="150" t="s">
        <v>1567</v>
      </c>
      <c r="E60" s="150" t="s">
        <v>1567</v>
      </c>
      <c r="F60" s="150" t="s">
        <v>1567</v>
      </c>
      <c r="G60" s="511" t="s">
        <v>639</v>
      </c>
      <c r="H60" s="392" t="s">
        <v>1685</v>
      </c>
      <c r="I60" s="343"/>
      <c r="J60" s="343"/>
      <c r="K60" s="70" t="s">
        <v>663</v>
      </c>
      <c r="L60" s="346" t="s">
        <v>1139</v>
      </c>
      <c r="M60" s="346" t="s">
        <v>1140</v>
      </c>
      <c r="N60" s="346"/>
      <c r="O60" s="150" t="s">
        <v>25</v>
      </c>
      <c r="P60" s="150"/>
      <c r="Q60" s="404"/>
      <c r="R60" s="407">
        <v>0</v>
      </c>
      <c r="S60" s="407">
        <v>0</v>
      </c>
      <c r="T60" s="425"/>
      <c r="U60" s="71"/>
      <c r="V60" s="426">
        <v>-1978.48</v>
      </c>
      <c r="W60" s="427">
        <v>1978.48</v>
      </c>
      <c r="X60" s="431">
        <v>0</v>
      </c>
      <c r="Y60" s="428" t="s">
        <v>1142</v>
      </c>
      <c r="Z60" s="429">
        <v>0</v>
      </c>
      <c r="AA60" s="429">
        <v>0</v>
      </c>
      <c r="AB60" s="360">
        <v>0</v>
      </c>
      <c r="AC60" s="360">
        <v>0</v>
      </c>
      <c r="AD60" s="360">
        <v>0</v>
      </c>
      <c r="AE60" s="360">
        <v>0</v>
      </c>
      <c r="AF60" s="360">
        <v>0</v>
      </c>
      <c r="AG60" s="360">
        <v>0</v>
      </c>
      <c r="AH60" s="360">
        <f t="shared" si="1"/>
        <v>0</v>
      </c>
      <c r="AI60" s="362">
        <f>ERP_5[[#This Row],[2026 Working Total]]-ERP_5[[#This Row],[LE2 Final Submission]]</f>
        <v>0</v>
      </c>
      <c r="AJ60" s="79">
        <v>333.33</v>
      </c>
      <c r="AK60" s="79">
        <f t="shared" si="0"/>
        <v>-333.33</v>
      </c>
      <c r="AL60" s="374">
        <f>SUM(ERP_5[[#This Row],[AP01]:[AP06]])-SUM(ERP_5[[#This Row],[AP01 LE2]:[AP06 LE2]])</f>
        <v>0</v>
      </c>
      <c r="AM60" s="80"/>
      <c r="AN60" s="79">
        <f>ERP_5[[#This Row],[2026 Working Total to Budget/LE]]-ERP_5[[#This Row],[Giveback]]</f>
        <v>0</v>
      </c>
      <c r="AO60" s="81"/>
      <c r="AP60" s="375">
        <v>-1978.48</v>
      </c>
      <c r="AQ60" s="375">
        <v>1978.48</v>
      </c>
      <c r="AR60" s="375">
        <v>0</v>
      </c>
      <c r="AS60" s="375">
        <v>0</v>
      </c>
      <c r="AT60" s="375">
        <v>0</v>
      </c>
      <c r="AU60" s="375">
        <v>0</v>
      </c>
      <c r="AV60" s="375">
        <v>0</v>
      </c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79">
        <v>-1978.48</v>
      </c>
      <c r="BD60" s="79">
        <v>1978.48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</row>
    <row r="61" spans="1:67" ht="15" customHeight="1">
      <c r="A61" s="66" t="s">
        <v>1724</v>
      </c>
      <c r="B61" s="66" t="s">
        <v>1725</v>
      </c>
      <c r="C61" s="150" t="s">
        <v>1136</v>
      </c>
      <c r="D61" s="150" t="s">
        <v>1345</v>
      </c>
      <c r="E61" s="150" t="s">
        <v>1346</v>
      </c>
      <c r="F61" s="150" t="s">
        <v>1346</v>
      </c>
      <c r="G61" s="511" t="s">
        <v>342</v>
      </c>
      <c r="H61" s="392" t="s">
        <v>1685</v>
      </c>
      <c r="I61" s="343"/>
      <c r="J61" s="343"/>
      <c r="K61" s="70" t="s">
        <v>350</v>
      </c>
      <c r="L61" s="346" t="s">
        <v>1139</v>
      </c>
      <c r="M61" s="346" t="s">
        <v>1140</v>
      </c>
      <c r="N61" s="346"/>
      <c r="O61" s="150" t="s">
        <v>25</v>
      </c>
      <c r="P61" s="150"/>
      <c r="Q61" s="403"/>
      <c r="R61" s="406">
        <v>0</v>
      </c>
      <c r="S61" s="406">
        <v>904.37</v>
      </c>
      <c r="T61" s="425"/>
      <c r="U61" s="71"/>
      <c r="V61" s="426">
        <v>904.37</v>
      </c>
      <c r="W61" s="431">
        <v>0</v>
      </c>
      <c r="X61" s="431">
        <v>0</v>
      </c>
      <c r="Y61" s="428" t="s">
        <v>1142</v>
      </c>
      <c r="Z61" s="429">
        <v>0</v>
      </c>
      <c r="AA61" s="429">
        <v>0</v>
      </c>
      <c r="AB61" s="360">
        <v>0</v>
      </c>
      <c r="AC61" s="360">
        <v>0</v>
      </c>
      <c r="AD61" s="360">
        <v>0</v>
      </c>
      <c r="AE61" s="360">
        <v>0</v>
      </c>
      <c r="AF61" s="360">
        <v>0</v>
      </c>
      <c r="AG61" s="360">
        <v>0</v>
      </c>
      <c r="AH61" s="360">
        <f t="shared" si="1"/>
        <v>904.37</v>
      </c>
      <c r="AI61" s="362">
        <f>ERP_5[[#This Row],[2026 Working Total]]-ERP_5[[#This Row],[LE2 Final Submission]]</f>
        <v>0</v>
      </c>
      <c r="AJ61" s="79">
        <v>0</v>
      </c>
      <c r="AK61" s="79">
        <f t="shared" si="0"/>
        <v>0</v>
      </c>
      <c r="AL61" s="374">
        <f>SUM(ERP_5[[#This Row],[AP01]:[AP06]])-SUM(ERP_5[[#This Row],[AP01 LE2]:[AP06 LE2]])</f>
        <v>0</v>
      </c>
      <c r="AM61" s="80"/>
      <c r="AN61" s="79">
        <f>ERP_5[[#This Row],[2026 Working Total to Budget/LE]]-ERP_5[[#This Row],[Giveback]]</f>
        <v>0</v>
      </c>
      <c r="AO61" s="81"/>
      <c r="AP61" s="375">
        <v>904.37</v>
      </c>
      <c r="AQ61" s="375">
        <v>0</v>
      </c>
      <c r="AR61" s="375">
        <v>0</v>
      </c>
      <c r="AS61" s="375">
        <v>0</v>
      </c>
      <c r="AT61" s="375">
        <v>0</v>
      </c>
      <c r="AU61" s="375">
        <v>0</v>
      </c>
      <c r="AV61" s="375">
        <v>0</v>
      </c>
      <c r="AW61" s="375">
        <v>0</v>
      </c>
      <c r="AX61" s="375">
        <v>0</v>
      </c>
      <c r="AY61" s="375">
        <v>0</v>
      </c>
      <c r="AZ61" s="375">
        <v>0</v>
      </c>
      <c r="BA61" s="375">
        <v>0</v>
      </c>
      <c r="BB61" s="375">
        <v>904.37</v>
      </c>
      <c r="BC61" s="79">
        <v>904.37</v>
      </c>
      <c r="BD61" s="79">
        <v>0</v>
      </c>
      <c r="BE61" s="79">
        <v>0</v>
      </c>
      <c r="BF61" s="79">
        <v>0</v>
      </c>
      <c r="BG61" s="79">
        <v>0</v>
      </c>
      <c r="BH61" s="79">
        <v>0</v>
      </c>
      <c r="BI61" s="79">
        <v>0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904.37</v>
      </c>
    </row>
    <row r="62" spans="1:67" ht="15" customHeight="1">
      <c r="A62" s="66" t="s">
        <v>2077</v>
      </c>
      <c r="B62" s="66" t="s">
        <v>2078</v>
      </c>
      <c r="C62" s="150" t="s">
        <v>1136</v>
      </c>
      <c r="D62" s="150" t="s">
        <v>1345</v>
      </c>
      <c r="E62" s="150" t="s">
        <v>1346</v>
      </c>
      <c r="F62" s="150" t="s">
        <v>1346</v>
      </c>
      <c r="G62" s="511" t="s">
        <v>389</v>
      </c>
      <c r="H62" s="392" t="s">
        <v>1685</v>
      </c>
      <c r="I62" s="343"/>
      <c r="J62" s="343"/>
      <c r="K62" s="70" t="s">
        <v>350</v>
      </c>
      <c r="L62" s="346" t="s">
        <v>1139</v>
      </c>
      <c r="M62" s="346" t="s">
        <v>1140</v>
      </c>
      <c r="N62" s="346"/>
      <c r="O62" s="150" t="s">
        <v>25</v>
      </c>
      <c r="P62" s="150"/>
      <c r="Q62" s="403"/>
      <c r="R62" s="406">
        <v>0</v>
      </c>
      <c r="S62" s="406">
        <v>108.52</v>
      </c>
      <c r="T62" s="430"/>
      <c r="U62" s="137"/>
      <c r="V62" s="426">
        <v>108.52</v>
      </c>
      <c r="W62" s="431">
        <v>0</v>
      </c>
      <c r="X62" s="431">
        <v>0</v>
      </c>
      <c r="Y62" s="428" t="s">
        <v>1142</v>
      </c>
      <c r="Z62" s="429">
        <v>0</v>
      </c>
      <c r="AA62" s="429">
        <v>0</v>
      </c>
      <c r="AB62" s="360">
        <v>0</v>
      </c>
      <c r="AC62" s="360">
        <v>0</v>
      </c>
      <c r="AD62" s="360">
        <v>0</v>
      </c>
      <c r="AE62" s="360">
        <v>0</v>
      </c>
      <c r="AF62" s="360">
        <v>0</v>
      </c>
      <c r="AG62" s="360">
        <v>0</v>
      </c>
      <c r="AH62" s="360">
        <f t="shared" si="1"/>
        <v>108.52</v>
      </c>
      <c r="AI62" s="362">
        <f>ERP_5[[#This Row],[2026 Working Total]]-ERP_5[[#This Row],[LE2 Final Submission]]</f>
        <v>0</v>
      </c>
      <c r="AJ62" s="79"/>
      <c r="AK62" s="79">
        <f t="shared" si="0"/>
        <v>0</v>
      </c>
      <c r="AL62" s="374">
        <f>SUM(ERP_5[[#This Row],[AP01]:[AP06]])-SUM(ERP_5[[#This Row],[AP01 LE2]:[AP06 LE2]])</f>
        <v>0</v>
      </c>
      <c r="AM62" s="80"/>
      <c r="AN62" s="79">
        <f>ERP_5[[#This Row],[2026 Working Total to Budget/LE]]-ERP_5[[#This Row],[Giveback]]</f>
        <v>0</v>
      </c>
      <c r="AO62" s="81"/>
      <c r="AP62" s="375">
        <v>108.52</v>
      </c>
      <c r="AQ62" s="375">
        <v>0</v>
      </c>
      <c r="AR62" s="375">
        <v>0</v>
      </c>
      <c r="AS62" s="375">
        <v>0</v>
      </c>
      <c r="AT62" s="375">
        <v>0</v>
      </c>
      <c r="AU62" s="375">
        <v>0</v>
      </c>
      <c r="AV62" s="375">
        <v>0</v>
      </c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108.52</v>
      </c>
      <c r="BC62" s="79">
        <v>108.52</v>
      </c>
      <c r="BD62" s="79">
        <v>0</v>
      </c>
      <c r="BE62" s="79">
        <v>0</v>
      </c>
      <c r="BF62" s="79">
        <v>0</v>
      </c>
      <c r="BG62" s="79">
        <v>0</v>
      </c>
      <c r="BH62" s="79">
        <v>0</v>
      </c>
      <c r="BI62" s="79">
        <v>0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108.52</v>
      </c>
    </row>
    <row r="63" spans="1:67" ht="15" customHeight="1">
      <c r="A63" s="66" t="s">
        <v>2763</v>
      </c>
      <c r="B63" s="66" t="s">
        <v>2764</v>
      </c>
      <c r="C63" s="150" t="s">
        <v>1136</v>
      </c>
      <c r="D63" s="150" t="s">
        <v>1345</v>
      </c>
      <c r="E63" s="150" t="s">
        <v>1346</v>
      </c>
      <c r="F63" s="150" t="s">
        <v>1346</v>
      </c>
      <c r="G63" s="511" t="s">
        <v>639</v>
      </c>
      <c r="H63" s="392" t="s">
        <v>1685</v>
      </c>
      <c r="I63" s="343"/>
      <c r="J63" s="343"/>
      <c r="K63" s="70" t="s">
        <v>350</v>
      </c>
      <c r="L63" s="346" t="s">
        <v>1139</v>
      </c>
      <c r="M63" s="346" t="s">
        <v>1140</v>
      </c>
      <c r="N63" s="346"/>
      <c r="O63" s="150" t="s">
        <v>25</v>
      </c>
      <c r="P63" s="150"/>
      <c r="Q63" s="404"/>
      <c r="R63" s="407">
        <v>0</v>
      </c>
      <c r="S63" s="407">
        <v>0</v>
      </c>
      <c r="T63" s="425"/>
      <c r="U63" s="71"/>
      <c r="V63" s="426">
        <v>-256.76</v>
      </c>
      <c r="W63" s="427">
        <v>256.76</v>
      </c>
      <c r="X63" s="431">
        <v>0</v>
      </c>
      <c r="Y63" s="428">
        <v>0</v>
      </c>
      <c r="Z63" s="429">
        <v>0</v>
      </c>
      <c r="AA63" s="429">
        <v>0</v>
      </c>
      <c r="AB63" s="360">
        <v>0</v>
      </c>
      <c r="AC63" s="360">
        <v>0</v>
      </c>
      <c r="AD63" s="360">
        <v>0</v>
      </c>
      <c r="AE63" s="360">
        <v>0</v>
      </c>
      <c r="AF63" s="360">
        <v>0</v>
      </c>
      <c r="AG63" s="360">
        <v>0</v>
      </c>
      <c r="AH63" s="360">
        <f t="shared" si="1"/>
        <v>0</v>
      </c>
      <c r="AI63" s="362">
        <f>ERP_5[[#This Row],[2026 Working Total]]-ERP_5[[#This Row],[LE2 Final Submission]]</f>
        <v>0</v>
      </c>
      <c r="AJ63" s="79">
        <v>0</v>
      </c>
      <c r="AK63" s="79">
        <f t="shared" si="0"/>
        <v>0</v>
      </c>
      <c r="AL63" s="374">
        <f>SUM(ERP_5[[#This Row],[AP01]:[AP06]])-SUM(ERP_5[[#This Row],[AP01 LE2]:[AP06 LE2]])</f>
        <v>0</v>
      </c>
      <c r="AM63" s="80"/>
      <c r="AN63" s="79">
        <f>ERP_5[[#This Row],[2026 Working Total to Budget/LE]]-ERP_5[[#This Row],[Giveback]]</f>
        <v>0</v>
      </c>
      <c r="AO63" s="81"/>
      <c r="AP63" s="375">
        <v>-256.76</v>
      </c>
      <c r="AQ63" s="375">
        <v>256.76</v>
      </c>
      <c r="AR63" s="375">
        <v>0</v>
      </c>
      <c r="AS63" s="375">
        <v>0</v>
      </c>
      <c r="AT63" s="375">
        <v>0</v>
      </c>
      <c r="AU63" s="375">
        <v>0</v>
      </c>
      <c r="AV63" s="375">
        <v>0</v>
      </c>
      <c r="AW63" s="375">
        <v>0</v>
      </c>
      <c r="AX63" s="375">
        <v>0</v>
      </c>
      <c r="AY63" s="375">
        <v>0</v>
      </c>
      <c r="AZ63" s="375">
        <v>0</v>
      </c>
      <c r="BA63" s="375">
        <v>0</v>
      </c>
      <c r="BB63" s="375">
        <v>0</v>
      </c>
      <c r="BC63" s="79">
        <v>-256.76</v>
      </c>
      <c r="BD63" s="79">
        <v>256.76</v>
      </c>
      <c r="BE63" s="79">
        <v>0</v>
      </c>
      <c r="BF63" s="79">
        <v>0</v>
      </c>
      <c r="BG63" s="79">
        <v>0</v>
      </c>
      <c r="BH63" s="79">
        <v>0</v>
      </c>
      <c r="BI63" s="79">
        <v>0</v>
      </c>
      <c r="BJ63" s="79">
        <v>0</v>
      </c>
      <c r="BK63" s="79">
        <v>0</v>
      </c>
      <c r="BL63" s="79">
        <v>0</v>
      </c>
      <c r="BM63" s="79">
        <v>0</v>
      </c>
      <c r="BN63" s="79">
        <v>0</v>
      </c>
      <c r="BO63" s="79">
        <v>0</v>
      </c>
    </row>
    <row r="64" spans="1:67" ht="15" customHeight="1">
      <c r="A64" s="66" t="s">
        <v>1683</v>
      </c>
      <c r="B64" s="66" t="s">
        <v>1684</v>
      </c>
      <c r="C64" s="150" t="s">
        <v>1136</v>
      </c>
      <c r="D64" s="150" t="s">
        <v>1135</v>
      </c>
      <c r="E64" s="150" t="s">
        <v>1137</v>
      </c>
      <c r="F64" s="150" t="s">
        <v>1137</v>
      </c>
      <c r="G64" s="511" t="s">
        <v>342</v>
      </c>
      <c r="H64" s="392" t="s">
        <v>1685</v>
      </c>
      <c r="I64" s="343"/>
      <c r="J64" s="343"/>
      <c r="K64" s="70" t="s">
        <v>350</v>
      </c>
      <c r="L64" s="346" t="s">
        <v>1139</v>
      </c>
      <c r="M64" s="346" t="s">
        <v>1140</v>
      </c>
      <c r="N64" s="346"/>
      <c r="O64" s="150" t="s">
        <v>25</v>
      </c>
      <c r="P64" s="1" t="s">
        <v>1141</v>
      </c>
      <c r="Q64" s="403"/>
      <c r="R64" s="406">
        <v>0</v>
      </c>
      <c r="S64" s="406">
        <v>-904.37</v>
      </c>
      <c r="T64" s="425"/>
      <c r="U64" s="71"/>
      <c r="V64" s="426"/>
      <c r="W64" s="427">
        <v>-904.37</v>
      </c>
      <c r="X64" s="431">
        <v>0</v>
      </c>
      <c r="Y64" s="428">
        <v>0</v>
      </c>
      <c r="Z64" s="429">
        <v>0</v>
      </c>
      <c r="AA64" s="429">
        <v>0</v>
      </c>
      <c r="AB64" s="360">
        <v>0</v>
      </c>
      <c r="AC64" s="360">
        <v>0</v>
      </c>
      <c r="AD64" s="360">
        <v>0</v>
      </c>
      <c r="AE64" s="360">
        <v>0</v>
      </c>
      <c r="AF64" s="360">
        <v>0</v>
      </c>
      <c r="AG64" s="360">
        <v>0</v>
      </c>
      <c r="AH64" s="360">
        <f t="shared" si="1"/>
        <v>-904.37</v>
      </c>
      <c r="AI64" s="362">
        <f>ERP_5[[#This Row],[2026 Working Total]]-ERP_5[[#This Row],[LE2 Final Submission]]</f>
        <v>0</v>
      </c>
      <c r="AJ64" s="79">
        <v>0</v>
      </c>
      <c r="AK64" s="79">
        <f t="shared" si="0"/>
        <v>0</v>
      </c>
      <c r="AL64" s="374">
        <f>SUM(ERP_5[[#This Row],[AP01]:[AP06]])-SUM(ERP_5[[#This Row],[AP01 LE2]:[AP06 LE2]])</f>
        <v>0</v>
      </c>
      <c r="AM64" s="80"/>
      <c r="AN64" s="79">
        <f>ERP_5[[#This Row],[2026 Working Total to Budget/LE]]-ERP_5[[#This Row],[Giveback]]</f>
        <v>0</v>
      </c>
      <c r="AO64" s="81"/>
      <c r="AP64" s="375"/>
      <c r="AQ64" s="375">
        <v>-904.37</v>
      </c>
      <c r="AR64" s="375">
        <v>0</v>
      </c>
      <c r="AS64" s="375">
        <v>0</v>
      </c>
      <c r="AT64" s="375">
        <v>0</v>
      </c>
      <c r="AU64" s="375">
        <v>0</v>
      </c>
      <c r="AV64" s="375">
        <v>0</v>
      </c>
      <c r="AW64" s="375">
        <v>0</v>
      </c>
      <c r="AX64" s="375">
        <v>0</v>
      </c>
      <c r="AY64" s="375">
        <v>0</v>
      </c>
      <c r="AZ64" s="375">
        <v>0</v>
      </c>
      <c r="BA64" s="375">
        <v>0</v>
      </c>
      <c r="BB64" s="375">
        <v>-904.37</v>
      </c>
      <c r="BC64" s="79"/>
      <c r="BD64" s="79">
        <v>-904.37</v>
      </c>
      <c r="BE64" s="79">
        <v>0</v>
      </c>
      <c r="BF64" s="79">
        <v>0</v>
      </c>
      <c r="BG64" s="79">
        <v>0</v>
      </c>
      <c r="BH64" s="79">
        <v>0</v>
      </c>
      <c r="BI64" s="79">
        <v>0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-904.37</v>
      </c>
    </row>
    <row r="65" spans="1:67" ht="15" customHeight="1">
      <c r="A65" s="66" t="s">
        <v>1780</v>
      </c>
      <c r="B65" s="66" t="s">
        <v>1781</v>
      </c>
      <c r="C65" s="150" t="s">
        <v>1136</v>
      </c>
      <c r="D65" s="150" t="s">
        <v>1135</v>
      </c>
      <c r="E65" s="150" t="s">
        <v>1137</v>
      </c>
      <c r="F65" s="150" t="s">
        <v>1137</v>
      </c>
      <c r="G65" s="511" t="s">
        <v>389</v>
      </c>
      <c r="H65" s="392" t="s">
        <v>1685</v>
      </c>
      <c r="I65" s="343"/>
      <c r="J65" s="343"/>
      <c r="K65" s="70" t="s">
        <v>350</v>
      </c>
      <c r="L65" s="346" t="s">
        <v>1139</v>
      </c>
      <c r="M65" s="346" t="s">
        <v>1140</v>
      </c>
      <c r="N65" s="346"/>
      <c r="O65" s="150" t="s">
        <v>25</v>
      </c>
      <c r="P65" s="1" t="s">
        <v>1141</v>
      </c>
      <c r="Q65" s="403"/>
      <c r="R65" s="406">
        <v>0</v>
      </c>
      <c r="S65" s="406">
        <v>-108.52</v>
      </c>
      <c r="T65" s="425"/>
      <c r="U65" s="71"/>
      <c r="V65" s="426"/>
      <c r="W65" s="427">
        <v>-108.52</v>
      </c>
      <c r="X65" s="431">
        <v>0</v>
      </c>
      <c r="Y65" s="428">
        <v>0</v>
      </c>
      <c r="Z65" s="429">
        <v>0</v>
      </c>
      <c r="AA65" s="429">
        <v>0</v>
      </c>
      <c r="AB65" s="360">
        <v>0</v>
      </c>
      <c r="AC65" s="360">
        <v>0</v>
      </c>
      <c r="AD65" s="360">
        <v>0</v>
      </c>
      <c r="AE65" s="360">
        <v>0</v>
      </c>
      <c r="AF65" s="360">
        <v>0</v>
      </c>
      <c r="AG65" s="360">
        <v>0</v>
      </c>
      <c r="AH65" s="360">
        <f t="shared" si="1"/>
        <v>-108.52</v>
      </c>
      <c r="AI65" s="362">
        <f>ERP_5[[#This Row],[2026 Working Total]]-ERP_5[[#This Row],[LE2 Final Submission]]</f>
        <v>0</v>
      </c>
      <c r="AJ65" s="79">
        <v>0</v>
      </c>
      <c r="AK65" s="79">
        <f t="shared" si="0"/>
        <v>0</v>
      </c>
      <c r="AL65" s="374">
        <f>SUM(ERP_5[[#This Row],[AP01]:[AP06]])-SUM(ERP_5[[#This Row],[AP01 LE2]:[AP06 LE2]])</f>
        <v>0</v>
      </c>
      <c r="AM65" s="80"/>
      <c r="AN65" s="79">
        <f>ERP_5[[#This Row],[2026 Working Total to Budget/LE]]-ERP_5[[#This Row],[Giveback]]</f>
        <v>0</v>
      </c>
      <c r="AO65" s="81"/>
      <c r="AP65" s="375"/>
      <c r="AQ65" s="375">
        <v>-108.52</v>
      </c>
      <c r="AR65" s="375">
        <v>0</v>
      </c>
      <c r="AS65" s="375">
        <v>0</v>
      </c>
      <c r="AT65" s="375">
        <v>0</v>
      </c>
      <c r="AU65" s="375">
        <v>0</v>
      </c>
      <c r="AV65" s="375">
        <v>0</v>
      </c>
      <c r="AW65" s="375">
        <v>0</v>
      </c>
      <c r="AX65" s="375">
        <v>0</v>
      </c>
      <c r="AY65" s="375">
        <v>0</v>
      </c>
      <c r="AZ65" s="375">
        <v>0</v>
      </c>
      <c r="BA65" s="375">
        <v>0</v>
      </c>
      <c r="BB65" s="375">
        <v>-108.52</v>
      </c>
      <c r="BC65" s="79"/>
      <c r="BD65" s="79">
        <v>-108.52</v>
      </c>
      <c r="BE65" s="79">
        <v>0</v>
      </c>
      <c r="BF65" s="79">
        <v>0</v>
      </c>
      <c r="BG65" s="79">
        <v>0</v>
      </c>
      <c r="BH65" s="79">
        <v>0</v>
      </c>
      <c r="BI65" s="79">
        <v>0</v>
      </c>
      <c r="BJ65" s="79">
        <v>0</v>
      </c>
      <c r="BK65" s="79">
        <v>0</v>
      </c>
      <c r="BL65" s="79">
        <v>0</v>
      </c>
      <c r="BM65" s="79">
        <v>0</v>
      </c>
      <c r="BN65" s="79">
        <v>0</v>
      </c>
      <c r="BO65" s="79">
        <v>-108.52</v>
      </c>
    </row>
    <row r="66" spans="1:67" ht="15" customHeight="1">
      <c r="A66" s="66" t="s">
        <v>2240</v>
      </c>
      <c r="B66" s="66" t="s">
        <v>2241</v>
      </c>
      <c r="C66" s="150" t="s">
        <v>1136</v>
      </c>
      <c r="D66" s="150" t="s">
        <v>1135</v>
      </c>
      <c r="E66" s="150" t="s">
        <v>1137</v>
      </c>
      <c r="F66" s="150" t="s">
        <v>1137</v>
      </c>
      <c r="G66" s="511" t="s">
        <v>639</v>
      </c>
      <c r="H66" s="392" t="s">
        <v>1685</v>
      </c>
      <c r="I66" s="343"/>
      <c r="J66" s="343"/>
      <c r="K66" s="70" t="s">
        <v>2242</v>
      </c>
      <c r="L66" s="346" t="s">
        <v>1139</v>
      </c>
      <c r="M66" s="346" t="s">
        <v>1140</v>
      </c>
      <c r="N66" s="346"/>
      <c r="O66" s="150" t="s">
        <v>25</v>
      </c>
      <c r="P66" s="150"/>
      <c r="Q66" s="404"/>
      <c r="R66" s="407">
        <v>0</v>
      </c>
      <c r="S66" s="407">
        <v>0</v>
      </c>
      <c r="T66" s="425"/>
      <c r="U66" s="71"/>
      <c r="V66" s="426">
        <v>-11.41</v>
      </c>
      <c r="W66" s="427">
        <v>11.41</v>
      </c>
      <c r="X66" s="431">
        <v>0</v>
      </c>
      <c r="Y66" s="428">
        <v>0</v>
      </c>
      <c r="Z66" s="429">
        <v>0</v>
      </c>
      <c r="AA66" s="429">
        <v>0</v>
      </c>
      <c r="AB66" s="360">
        <v>0</v>
      </c>
      <c r="AC66" s="360">
        <v>0</v>
      </c>
      <c r="AD66" s="360">
        <v>0</v>
      </c>
      <c r="AE66" s="360">
        <v>0</v>
      </c>
      <c r="AF66" s="360">
        <v>0</v>
      </c>
      <c r="AG66" s="360">
        <v>0</v>
      </c>
      <c r="AH66" s="360">
        <f t="shared" si="1"/>
        <v>0</v>
      </c>
      <c r="AI66" s="362">
        <f>ERP_5[[#This Row],[2026 Working Total]]-ERP_5[[#This Row],[LE2 Final Submission]]</f>
        <v>0</v>
      </c>
      <c r="AJ66" s="79">
        <v>0</v>
      </c>
      <c r="AK66" s="79">
        <f t="shared" si="0"/>
        <v>0</v>
      </c>
      <c r="AL66" s="374">
        <f>SUM(ERP_5[[#This Row],[AP01]:[AP06]])-SUM(ERP_5[[#This Row],[AP01 LE2]:[AP06 LE2]])</f>
        <v>0</v>
      </c>
      <c r="AM66" s="80"/>
      <c r="AN66" s="79">
        <f>ERP_5[[#This Row],[2026 Working Total to Budget/LE]]-ERP_5[[#This Row],[Giveback]]</f>
        <v>0</v>
      </c>
      <c r="AO66" s="81"/>
      <c r="AP66" s="375">
        <v>-11.41</v>
      </c>
      <c r="AQ66" s="375">
        <v>11.41</v>
      </c>
      <c r="AR66" s="375">
        <v>0</v>
      </c>
      <c r="AS66" s="375">
        <v>0</v>
      </c>
      <c r="AT66" s="375">
        <v>0</v>
      </c>
      <c r="AU66" s="375">
        <v>0</v>
      </c>
      <c r="AV66" s="375">
        <v>0</v>
      </c>
      <c r="AW66" s="375">
        <v>0</v>
      </c>
      <c r="AX66" s="375">
        <v>0</v>
      </c>
      <c r="AY66" s="375">
        <v>0</v>
      </c>
      <c r="AZ66" s="375">
        <v>0</v>
      </c>
      <c r="BA66" s="375">
        <v>0</v>
      </c>
      <c r="BB66" s="375">
        <v>0</v>
      </c>
      <c r="BC66" s="79">
        <v>-11.41</v>
      </c>
      <c r="BD66" s="79">
        <v>11.41</v>
      </c>
      <c r="BE66" s="79">
        <v>0</v>
      </c>
      <c r="BF66" s="79">
        <v>0</v>
      </c>
      <c r="BG66" s="79">
        <v>0</v>
      </c>
      <c r="BH66" s="79">
        <v>0</v>
      </c>
      <c r="BI66" s="79">
        <v>0</v>
      </c>
      <c r="BJ66" s="79">
        <v>0</v>
      </c>
      <c r="BK66" s="79">
        <v>0</v>
      </c>
      <c r="BL66" s="79">
        <v>0</v>
      </c>
      <c r="BM66" s="79">
        <v>0</v>
      </c>
      <c r="BN66" s="79">
        <v>0</v>
      </c>
      <c r="BO66" s="79">
        <v>0</v>
      </c>
    </row>
    <row r="67" spans="1:67" ht="15" customHeight="1">
      <c r="A67" s="66" t="s">
        <v>2765</v>
      </c>
      <c r="B67" s="66" t="s">
        <v>2766</v>
      </c>
      <c r="C67" s="150" t="s">
        <v>1136</v>
      </c>
      <c r="D67" s="150" t="s">
        <v>1567</v>
      </c>
      <c r="E67" s="150" t="s">
        <v>1567</v>
      </c>
      <c r="F67" s="150" t="s">
        <v>1567</v>
      </c>
      <c r="G67" s="511" t="s">
        <v>639</v>
      </c>
      <c r="H67" s="392" t="s">
        <v>1685</v>
      </c>
      <c r="I67" s="343"/>
      <c r="J67" s="343"/>
      <c r="K67" s="70" t="s">
        <v>2242</v>
      </c>
      <c r="L67" s="346" t="s">
        <v>1139</v>
      </c>
      <c r="M67" s="346" t="s">
        <v>1140</v>
      </c>
      <c r="N67" s="346"/>
      <c r="O67" s="150" t="s">
        <v>25</v>
      </c>
      <c r="P67" s="150"/>
      <c r="Q67" s="404"/>
      <c r="R67" s="407">
        <v>0</v>
      </c>
      <c r="S67" s="407">
        <v>0</v>
      </c>
      <c r="T67" s="425"/>
      <c r="U67" s="71"/>
      <c r="V67" s="426"/>
      <c r="W67" s="427"/>
      <c r="X67" s="431">
        <v>0</v>
      </c>
      <c r="Y67" s="428">
        <v>-184.67</v>
      </c>
      <c r="Z67" s="429">
        <v>0</v>
      </c>
      <c r="AA67" s="429">
        <v>0</v>
      </c>
      <c r="AB67" s="360">
        <v>0</v>
      </c>
      <c r="AC67" s="360">
        <v>0</v>
      </c>
      <c r="AD67" s="360">
        <v>0</v>
      </c>
      <c r="AE67" s="360">
        <v>0</v>
      </c>
      <c r="AF67" s="360">
        <v>0</v>
      </c>
      <c r="AG67" s="360">
        <v>0</v>
      </c>
      <c r="AH67" s="360">
        <f t="shared" si="1"/>
        <v>-184.67</v>
      </c>
      <c r="AI67" s="362">
        <f>ERP_5[[#This Row],[2026 Working Total]]-ERP_5[[#This Row],[LE2 Final Submission]]</f>
        <v>-184.67</v>
      </c>
      <c r="AJ67" s="79">
        <v>0</v>
      </c>
      <c r="AK67" s="79">
        <f t="shared" si="0"/>
        <v>0</v>
      </c>
      <c r="AL67" s="374">
        <f>SUM(ERP_5[[#This Row],[AP01]:[AP06]])-SUM(ERP_5[[#This Row],[AP01 LE2]:[AP06 LE2]])</f>
        <v>-184.67</v>
      </c>
      <c r="AM67" s="80"/>
      <c r="AN67" s="79">
        <f>ERP_5[[#This Row],[2026 Working Total to Budget/LE]]-ERP_5[[#This Row],[Giveback]]</f>
        <v>-184.67</v>
      </c>
      <c r="AO67" s="81"/>
      <c r="AP67" s="375"/>
      <c r="AQ67" s="375"/>
      <c r="AR67" s="375">
        <v>0</v>
      </c>
      <c r="AS67" s="375">
        <v>0</v>
      </c>
      <c r="AT67" s="375">
        <v>0</v>
      </c>
      <c r="AU67" s="375">
        <v>0</v>
      </c>
      <c r="AV67" s="375">
        <v>0</v>
      </c>
      <c r="AW67" s="375">
        <v>0</v>
      </c>
      <c r="AX67" s="375">
        <v>0</v>
      </c>
      <c r="AY67" s="375">
        <v>0</v>
      </c>
      <c r="AZ67" s="375">
        <v>0</v>
      </c>
      <c r="BA67" s="375">
        <v>0</v>
      </c>
      <c r="BB67" s="375">
        <v>0</v>
      </c>
      <c r="BC67" s="79"/>
      <c r="BD67" s="79"/>
      <c r="BE67" s="79">
        <v>0</v>
      </c>
      <c r="BF67" s="79">
        <v>0</v>
      </c>
      <c r="BG67" s="79">
        <v>0</v>
      </c>
      <c r="BH67" s="79">
        <v>0</v>
      </c>
      <c r="BI67" s="79">
        <v>0</v>
      </c>
      <c r="BJ67" s="79">
        <v>0</v>
      </c>
      <c r="BK67" s="79">
        <v>0</v>
      </c>
      <c r="BL67" s="79">
        <v>0</v>
      </c>
      <c r="BM67" s="79">
        <v>0</v>
      </c>
      <c r="BN67" s="79">
        <v>0</v>
      </c>
      <c r="BO67" s="79">
        <v>0</v>
      </c>
    </row>
    <row r="68" spans="1:67" ht="15" customHeight="1">
      <c r="A68" s="79" t="s">
        <v>1782</v>
      </c>
      <c r="B68" s="296" t="s">
        <v>1783</v>
      </c>
      <c r="C68" s="150" t="s">
        <v>1136</v>
      </c>
      <c r="D68" s="332" t="s">
        <v>1135</v>
      </c>
      <c r="E68" s="332" t="s">
        <v>1165</v>
      </c>
      <c r="F68" s="333" t="s">
        <v>1165</v>
      </c>
      <c r="G68" s="514" t="s">
        <v>389</v>
      </c>
      <c r="H68" s="394"/>
      <c r="I68" s="333"/>
      <c r="J68" s="333"/>
      <c r="K68" s="90" t="s">
        <v>411</v>
      </c>
      <c r="L68" s="347"/>
      <c r="M68" s="347"/>
      <c r="N68" s="348"/>
      <c r="O68" s="348"/>
      <c r="P68" s="348"/>
      <c r="Q68" s="402"/>
      <c r="R68" s="358"/>
      <c r="S68" s="379"/>
      <c r="T68" s="425"/>
      <c r="U68" s="71"/>
      <c r="V68" s="435"/>
      <c r="W68" s="436"/>
      <c r="X68" s="436"/>
      <c r="Y68" s="429"/>
      <c r="Z68" s="429"/>
      <c r="AA68" s="429">
        <v>-269.45</v>
      </c>
      <c r="AB68" s="364"/>
      <c r="AC68" s="364"/>
      <c r="AD68" s="364"/>
      <c r="AE68" s="364"/>
      <c r="AF68" s="364"/>
      <c r="AG68" s="364"/>
      <c r="AH68" s="360">
        <f t="shared" si="1"/>
        <v>-269.45</v>
      </c>
      <c r="AI68" s="362">
        <f>ERP_5[[#This Row],[2026 Working Total]]-ERP_5[[#This Row],[LE2 Final Submission]]</f>
        <v>-269.45</v>
      </c>
      <c r="AJ68" s="79"/>
      <c r="AK68" s="79">
        <f t="shared" si="0"/>
        <v>-269.45</v>
      </c>
      <c r="AL68" s="391">
        <f>SUM(ERP_5[[#This Row],[AP01]:[AP06]])-SUM(ERP_5[[#This Row],[AP01 LE2]:[AP06 LE2]])</f>
        <v>-269.45</v>
      </c>
      <c r="AM68" s="80"/>
      <c r="AN68" s="79">
        <f>ERP_5[[#This Row],[2026 Working Total to Budget/LE]]-ERP_5[[#This Row],[Giveback]]</f>
        <v>-269.45</v>
      </c>
      <c r="AO68" s="81"/>
      <c r="AP68" s="375"/>
      <c r="AQ68" s="375"/>
      <c r="AR68" s="375"/>
      <c r="AS68" s="375"/>
      <c r="AT68" s="375"/>
      <c r="AU68" s="375"/>
      <c r="AV68" s="375"/>
      <c r="AW68" s="375"/>
      <c r="AX68" s="375"/>
      <c r="AY68" s="375"/>
      <c r="AZ68" s="375"/>
      <c r="BA68" s="375"/>
      <c r="BB68" s="375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</row>
    <row r="69" spans="1:67" ht="15" customHeight="1">
      <c r="A69" s="66" t="s">
        <v>1686</v>
      </c>
      <c r="B69" s="66" t="s">
        <v>1687</v>
      </c>
      <c r="C69" s="150" t="s">
        <v>1136</v>
      </c>
      <c r="D69" s="150" t="s">
        <v>1135</v>
      </c>
      <c r="E69" s="150" t="s">
        <v>1137</v>
      </c>
      <c r="F69" s="150" t="s">
        <v>1137</v>
      </c>
      <c r="G69" s="511" t="s">
        <v>342</v>
      </c>
      <c r="H69" s="392" t="s">
        <v>352</v>
      </c>
      <c r="I69" s="343"/>
      <c r="J69" s="343"/>
      <c r="K69" s="70" t="s">
        <v>352</v>
      </c>
      <c r="L69" s="346" t="s">
        <v>1139</v>
      </c>
      <c r="M69" s="346" t="s">
        <v>1140</v>
      </c>
      <c r="N69" s="346"/>
      <c r="O69" s="150" t="s">
        <v>25</v>
      </c>
      <c r="P69" s="1" t="s">
        <v>1141</v>
      </c>
      <c r="Q69" s="404"/>
      <c r="R69" s="407">
        <v>0</v>
      </c>
      <c r="S69" s="407">
        <v>0</v>
      </c>
      <c r="T69" s="430"/>
      <c r="U69" s="137"/>
      <c r="V69" s="426"/>
      <c r="W69" s="427"/>
      <c r="X69" s="431">
        <v>0</v>
      </c>
      <c r="Y69" s="428">
        <v>-12412.23</v>
      </c>
      <c r="Z69" s="429">
        <v>0</v>
      </c>
      <c r="AA69" s="429">
        <v>0</v>
      </c>
      <c r="AB69" s="360">
        <v>0</v>
      </c>
      <c r="AC69" s="360">
        <v>0</v>
      </c>
      <c r="AD69" s="360">
        <v>0</v>
      </c>
      <c r="AE69" s="360">
        <v>0</v>
      </c>
      <c r="AF69" s="360">
        <v>0</v>
      </c>
      <c r="AG69" s="360">
        <v>0</v>
      </c>
      <c r="AH69" s="360">
        <f t="shared" si="1"/>
        <v>-12412.23</v>
      </c>
      <c r="AI69" s="362">
        <f>ERP_5[[#This Row],[2026 Working Total]]-ERP_5[[#This Row],[LE2 Final Submission]]</f>
        <v>-12412.23</v>
      </c>
      <c r="AJ69" s="79">
        <v>0</v>
      </c>
      <c r="AK69" s="79">
        <f t="shared" si="0"/>
        <v>0</v>
      </c>
      <c r="AL69" s="374">
        <f>SUM(ERP_5[[#This Row],[AP01]:[AP06]])-SUM(ERP_5[[#This Row],[AP01 LE2]:[AP06 LE2]])</f>
        <v>-12412.23</v>
      </c>
      <c r="AM69" s="80"/>
      <c r="AN69" s="79">
        <f>ERP_5[[#This Row],[2026 Working Total to Budget/LE]]-ERP_5[[#This Row],[Giveback]]</f>
        <v>-12412.23</v>
      </c>
      <c r="AO69" s="81"/>
      <c r="AP69" s="375"/>
      <c r="AQ69" s="375"/>
      <c r="AR69" s="375">
        <v>0</v>
      </c>
      <c r="AS69" s="375">
        <v>0</v>
      </c>
      <c r="AT69" s="375">
        <v>0</v>
      </c>
      <c r="AU69" s="375">
        <v>0</v>
      </c>
      <c r="AV69" s="375">
        <v>0</v>
      </c>
      <c r="AW69" s="375">
        <v>0</v>
      </c>
      <c r="AX69" s="375">
        <v>0</v>
      </c>
      <c r="AY69" s="375">
        <v>0</v>
      </c>
      <c r="AZ69" s="375">
        <v>0</v>
      </c>
      <c r="BA69" s="375">
        <v>0</v>
      </c>
      <c r="BB69" s="375">
        <v>0</v>
      </c>
      <c r="BC69" s="79"/>
      <c r="BD69" s="79"/>
      <c r="BE69" s="79">
        <v>0</v>
      </c>
      <c r="BF69" s="79">
        <v>0</v>
      </c>
      <c r="BG69" s="79">
        <v>0</v>
      </c>
      <c r="BH69" s="79">
        <v>0</v>
      </c>
      <c r="BI69" s="79">
        <v>0</v>
      </c>
      <c r="BJ69" s="79">
        <v>0</v>
      </c>
      <c r="BK69" s="79">
        <v>0</v>
      </c>
      <c r="BL69" s="79">
        <v>0</v>
      </c>
      <c r="BM69" s="79">
        <v>0</v>
      </c>
      <c r="BN69" s="79">
        <v>0</v>
      </c>
      <c r="BO69" s="79">
        <v>0</v>
      </c>
    </row>
    <row r="70" spans="1:67" ht="15" customHeight="1">
      <c r="A70" s="66" t="s">
        <v>1726</v>
      </c>
      <c r="B70" s="66" t="s">
        <v>1727</v>
      </c>
      <c r="C70" s="150" t="s">
        <v>1136</v>
      </c>
      <c r="D70" s="150" t="s">
        <v>1567</v>
      </c>
      <c r="E70" s="150" t="s">
        <v>1567</v>
      </c>
      <c r="F70" s="150" t="s">
        <v>1567</v>
      </c>
      <c r="G70" s="511" t="s">
        <v>342</v>
      </c>
      <c r="H70" s="392" t="s">
        <v>352</v>
      </c>
      <c r="I70" s="343"/>
      <c r="J70" s="343"/>
      <c r="K70" s="70" t="s">
        <v>352</v>
      </c>
      <c r="L70" s="346" t="s">
        <v>1139</v>
      </c>
      <c r="M70" s="346" t="s">
        <v>1140</v>
      </c>
      <c r="N70" s="346"/>
      <c r="O70" s="150" t="s">
        <v>25</v>
      </c>
      <c r="P70" s="150"/>
      <c r="Q70" s="404"/>
      <c r="R70" s="407">
        <v>0</v>
      </c>
      <c r="S70" s="407">
        <v>0</v>
      </c>
      <c r="T70" s="425"/>
      <c r="U70" s="71"/>
      <c r="V70" s="426"/>
      <c r="W70" s="427"/>
      <c r="X70" s="431">
        <v>0</v>
      </c>
      <c r="Y70" s="428">
        <v>-11818.05</v>
      </c>
      <c r="Z70" s="429">
        <v>0</v>
      </c>
      <c r="AA70" s="429">
        <v>0</v>
      </c>
      <c r="AB70" s="360">
        <v>0</v>
      </c>
      <c r="AC70" s="360">
        <v>0</v>
      </c>
      <c r="AD70" s="360">
        <v>0</v>
      </c>
      <c r="AE70" s="360">
        <v>0</v>
      </c>
      <c r="AF70" s="360">
        <v>0</v>
      </c>
      <c r="AG70" s="360">
        <v>0</v>
      </c>
      <c r="AH70" s="360">
        <f t="shared" si="1"/>
        <v>-11818.05</v>
      </c>
      <c r="AI70" s="362">
        <f>ERP_5[[#This Row],[2026 Working Total]]-ERP_5[[#This Row],[LE2 Final Submission]]</f>
        <v>-11818.05</v>
      </c>
      <c r="AJ70" s="79">
        <v>0</v>
      </c>
      <c r="AK70" s="79">
        <f t="shared" si="0"/>
        <v>0</v>
      </c>
      <c r="AL70" s="374">
        <f>SUM(ERP_5[[#This Row],[AP01]:[AP06]])-SUM(ERP_5[[#This Row],[AP01 LE2]:[AP06 LE2]])</f>
        <v>-11818.05</v>
      </c>
      <c r="AM70" s="80"/>
      <c r="AN70" s="79">
        <f>ERP_5[[#This Row],[2026 Working Total to Budget/LE]]-ERP_5[[#This Row],[Giveback]]</f>
        <v>-11818.05</v>
      </c>
      <c r="AO70" s="81"/>
      <c r="AP70" s="375"/>
      <c r="AQ70" s="375"/>
      <c r="AR70" s="375">
        <v>0</v>
      </c>
      <c r="AS70" s="375">
        <v>0</v>
      </c>
      <c r="AT70" s="375">
        <v>0</v>
      </c>
      <c r="AU70" s="375">
        <v>0</v>
      </c>
      <c r="AV70" s="375">
        <v>0</v>
      </c>
      <c r="AW70" s="375">
        <v>0</v>
      </c>
      <c r="AX70" s="375">
        <v>0</v>
      </c>
      <c r="AY70" s="375">
        <v>0</v>
      </c>
      <c r="AZ70" s="375">
        <v>0</v>
      </c>
      <c r="BA70" s="375">
        <v>0</v>
      </c>
      <c r="BB70" s="375">
        <v>0</v>
      </c>
      <c r="BC70" s="79"/>
      <c r="BD70" s="79"/>
      <c r="BE70" s="79">
        <v>0</v>
      </c>
      <c r="BF70" s="79">
        <v>0</v>
      </c>
      <c r="BG70" s="79">
        <v>0</v>
      </c>
      <c r="BH70" s="79">
        <v>0</v>
      </c>
      <c r="BI70" s="79">
        <v>0</v>
      </c>
      <c r="BJ70" s="79">
        <v>0</v>
      </c>
      <c r="BK70" s="79">
        <v>0</v>
      </c>
      <c r="BL70" s="79">
        <v>0</v>
      </c>
      <c r="BM70" s="79">
        <v>0</v>
      </c>
      <c r="BN70" s="79">
        <v>0</v>
      </c>
      <c r="BO70" s="79">
        <v>0</v>
      </c>
    </row>
    <row r="71" spans="1:67" ht="15" customHeight="1">
      <c r="A71" s="66" t="s">
        <v>2079</v>
      </c>
      <c r="B71" s="66" t="s">
        <v>2080</v>
      </c>
      <c r="C71" s="150" t="s">
        <v>1136</v>
      </c>
      <c r="D71" s="150" t="s">
        <v>1567</v>
      </c>
      <c r="E71" s="150" t="s">
        <v>1567</v>
      </c>
      <c r="F71" s="150" t="s">
        <v>1567</v>
      </c>
      <c r="G71" s="511" t="s">
        <v>389</v>
      </c>
      <c r="H71" s="392" t="s">
        <v>352</v>
      </c>
      <c r="I71" s="343"/>
      <c r="J71" s="343"/>
      <c r="K71" s="70" t="s">
        <v>352</v>
      </c>
      <c r="L71" s="346" t="s">
        <v>1139</v>
      </c>
      <c r="M71" s="346" t="s">
        <v>1140</v>
      </c>
      <c r="N71" s="346"/>
      <c r="O71" s="150" t="s">
        <v>25</v>
      </c>
      <c r="P71" s="150"/>
      <c r="Q71" s="404"/>
      <c r="R71" s="407">
        <v>0</v>
      </c>
      <c r="S71" s="407">
        <v>0</v>
      </c>
      <c r="T71" s="425"/>
      <c r="U71" s="71"/>
      <c r="V71" s="426"/>
      <c r="W71" s="427"/>
      <c r="X71" s="431">
        <v>0</v>
      </c>
      <c r="Y71" s="428">
        <v>0</v>
      </c>
      <c r="Z71" s="429">
        <v>0</v>
      </c>
      <c r="AA71" s="429">
        <v>0</v>
      </c>
      <c r="AB71" s="360">
        <v>0</v>
      </c>
      <c r="AC71" s="360">
        <v>0</v>
      </c>
      <c r="AD71" s="360">
        <v>0</v>
      </c>
      <c r="AE71" s="360">
        <v>0</v>
      </c>
      <c r="AF71" s="360">
        <v>0</v>
      </c>
      <c r="AG71" s="360">
        <v>0</v>
      </c>
      <c r="AH71" s="360">
        <f t="shared" si="1"/>
        <v>0</v>
      </c>
      <c r="AI71" s="362">
        <f>ERP_5[[#This Row],[2026 Working Total]]-ERP_5[[#This Row],[LE2 Final Submission]]</f>
        <v>0</v>
      </c>
      <c r="AJ71" s="79">
        <v>0</v>
      </c>
      <c r="AK71" s="79">
        <f t="shared" si="0"/>
        <v>0</v>
      </c>
      <c r="AL71" s="374">
        <f>SUM(ERP_5[[#This Row],[AP01]:[AP06]])-SUM(ERP_5[[#This Row],[AP01 LE2]:[AP06 LE2]])</f>
        <v>0</v>
      </c>
      <c r="AM71" s="80"/>
      <c r="AN71" s="79">
        <f>ERP_5[[#This Row],[2026 Working Total to Budget/LE]]-ERP_5[[#This Row],[Giveback]]</f>
        <v>0</v>
      </c>
      <c r="AO71" s="81"/>
      <c r="AP71" s="375"/>
      <c r="AQ71" s="375"/>
      <c r="AR71" s="375">
        <v>0</v>
      </c>
      <c r="AS71" s="375">
        <v>0</v>
      </c>
      <c r="AT71" s="375">
        <v>0</v>
      </c>
      <c r="AU71" s="375">
        <v>0</v>
      </c>
      <c r="AV71" s="375">
        <v>0</v>
      </c>
      <c r="AW71" s="375">
        <v>0</v>
      </c>
      <c r="AX71" s="375">
        <v>0</v>
      </c>
      <c r="AY71" s="375">
        <v>0</v>
      </c>
      <c r="AZ71" s="375">
        <v>0</v>
      </c>
      <c r="BA71" s="375">
        <v>0</v>
      </c>
      <c r="BB71" s="375">
        <v>0</v>
      </c>
      <c r="BC71" s="79"/>
      <c r="BD71" s="79"/>
      <c r="BE71" s="79">
        <v>0</v>
      </c>
      <c r="BF71" s="79">
        <v>0</v>
      </c>
      <c r="BG71" s="79">
        <v>0</v>
      </c>
      <c r="BH71" s="79">
        <v>0</v>
      </c>
      <c r="BI71" s="79">
        <v>0</v>
      </c>
      <c r="BJ71" s="79">
        <v>0</v>
      </c>
      <c r="BK71" s="79">
        <v>0</v>
      </c>
      <c r="BL71" s="79">
        <v>0</v>
      </c>
      <c r="BM71" s="79">
        <v>0</v>
      </c>
      <c r="BN71" s="79">
        <v>0</v>
      </c>
      <c r="BO71" s="79">
        <v>0</v>
      </c>
    </row>
    <row r="72" spans="1:67" ht="15" customHeight="1">
      <c r="A72" s="66" t="s">
        <v>1784</v>
      </c>
      <c r="B72" s="66" t="s">
        <v>1785</v>
      </c>
      <c r="C72" s="150" t="s">
        <v>1136</v>
      </c>
      <c r="D72" s="150" t="s">
        <v>1135</v>
      </c>
      <c r="E72" s="150" t="s">
        <v>1137</v>
      </c>
      <c r="F72" s="150" t="s">
        <v>1137</v>
      </c>
      <c r="G72" s="511" t="s">
        <v>389</v>
      </c>
      <c r="H72" s="392" t="s">
        <v>352</v>
      </c>
      <c r="I72" s="343"/>
      <c r="J72" s="343"/>
      <c r="K72" s="70" t="s">
        <v>352</v>
      </c>
      <c r="L72" s="346" t="s">
        <v>1139</v>
      </c>
      <c r="M72" s="346" t="s">
        <v>1140</v>
      </c>
      <c r="N72" s="346"/>
      <c r="O72" s="150" t="s">
        <v>25</v>
      </c>
      <c r="P72" s="150"/>
      <c r="Q72" s="404"/>
      <c r="R72" s="407">
        <v>0</v>
      </c>
      <c r="S72" s="407">
        <v>0</v>
      </c>
      <c r="T72" s="430"/>
      <c r="U72" s="137"/>
      <c r="V72" s="426"/>
      <c r="W72" s="427"/>
      <c r="X72" s="431">
        <v>0</v>
      </c>
      <c r="Y72" s="428">
        <v>0</v>
      </c>
      <c r="Z72" s="429">
        <v>0</v>
      </c>
      <c r="AA72" s="429">
        <v>0</v>
      </c>
      <c r="AB72" s="360">
        <v>0</v>
      </c>
      <c r="AC72" s="360">
        <v>0</v>
      </c>
      <c r="AD72" s="360">
        <v>0</v>
      </c>
      <c r="AE72" s="360">
        <v>0</v>
      </c>
      <c r="AF72" s="360">
        <v>0</v>
      </c>
      <c r="AG72" s="360">
        <v>0</v>
      </c>
      <c r="AH72" s="360">
        <f t="shared" si="1"/>
        <v>0</v>
      </c>
      <c r="AI72" s="362">
        <f>ERP_5[[#This Row],[2026 Working Total]]-ERP_5[[#This Row],[LE2 Final Submission]]</f>
        <v>0</v>
      </c>
      <c r="AJ72" s="79">
        <v>0</v>
      </c>
      <c r="AK72" s="79">
        <f t="shared" ref="AK72:AK135" si="8">$AA72 - $AJ72</f>
        <v>0</v>
      </c>
      <c r="AL72" s="374">
        <f>SUM(ERP_5[[#This Row],[AP01]:[AP06]])-SUM(ERP_5[[#This Row],[AP01 LE2]:[AP06 LE2]])</f>
        <v>0</v>
      </c>
      <c r="AM72" s="80"/>
      <c r="AN72" s="79">
        <f>ERP_5[[#This Row],[2026 Working Total to Budget/LE]]-ERP_5[[#This Row],[Giveback]]</f>
        <v>0</v>
      </c>
      <c r="AO72" s="81"/>
      <c r="AP72" s="375"/>
      <c r="AQ72" s="375"/>
      <c r="AR72" s="375">
        <v>0</v>
      </c>
      <c r="AS72" s="375">
        <v>0</v>
      </c>
      <c r="AT72" s="375">
        <v>0</v>
      </c>
      <c r="AU72" s="375">
        <v>0</v>
      </c>
      <c r="AV72" s="375">
        <v>0</v>
      </c>
      <c r="AW72" s="375">
        <v>0</v>
      </c>
      <c r="AX72" s="375">
        <v>0</v>
      </c>
      <c r="AY72" s="375">
        <v>0</v>
      </c>
      <c r="AZ72" s="375">
        <v>0</v>
      </c>
      <c r="BA72" s="375">
        <v>0</v>
      </c>
      <c r="BB72" s="375">
        <v>0</v>
      </c>
      <c r="BC72" s="79"/>
      <c r="BD72" s="79"/>
      <c r="BE72" s="79">
        <v>0</v>
      </c>
      <c r="BF72" s="79">
        <v>0</v>
      </c>
      <c r="BG72" s="79">
        <v>0</v>
      </c>
      <c r="BH72" s="79">
        <v>0</v>
      </c>
      <c r="BI72" s="79">
        <v>0</v>
      </c>
      <c r="BJ72" s="79">
        <v>0</v>
      </c>
      <c r="BK72" s="79">
        <v>0</v>
      </c>
      <c r="BL72" s="79">
        <v>0</v>
      </c>
      <c r="BM72" s="79">
        <v>0</v>
      </c>
      <c r="BN72" s="79">
        <v>0</v>
      </c>
      <c r="BO72" s="79">
        <v>0</v>
      </c>
    </row>
    <row r="73" spans="1:67" ht="15" customHeight="1">
      <c r="A73" s="66" t="s">
        <v>1688</v>
      </c>
      <c r="B73" s="66" t="s">
        <v>1689</v>
      </c>
      <c r="C73" s="150" t="s">
        <v>1136</v>
      </c>
      <c r="D73" s="150" t="s">
        <v>1135</v>
      </c>
      <c r="E73" s="150" t="s">
        <v>1137</v>
      </c>
      <c r="F73" s="150" t="s">
        <v>1137</v>
      </c>
      <c r="G73" s="511" t="s">
        <v>342</v>
      </c>
      <c r="H73" s="392" t="s">
        <v>354</v>
      </c>
      <c r="I73" s="343"/>
      <c r="J73" s="343"/>
      <c r="K73" s="70" t="s">
        <v>354</v>
      </c>
      <c r="L73" s="346"/>
      <c r="M73" s="346" t="s">
        <v>1140</v>
      </c>
      <c r="N73" s="346"/>
      <c r="O73" s="150" t="s">
        <v>25</v>
      </c>
      <c r="P73" s="150"/>
      <c r="Q73" s="404"/>
      <c r="R73" s="407">
        <v>0</v>
      </c>
      <c r="S73" s="407">
        <v>0</v>
      </c>
      <c r="T73" s="430"/>
      <c r="U73" s="137"/>
      <c r="V73" s="426"/>
      <c r="W73" s="431">
        <v>0</v>
      </c>
      <c r="X73" s="431">
        <v>0</v>
      </c>
      <c r="Y73" s="428">
        <v>0</v>
      </c>
      <c r="Z73" s="429">
        <v>0</v>
      </c>
      <c r="AA73" s="429">
        <v>0</v>
      </c>
      <c r="AB73" s="360">
        <v>0</v>
      </c>
      <c r="AC73" s="360">
        <v>0</v>
      </c>
      <c r="AD73" s="360">
        <v>0</v>
      </c>
      <c r="AE73" s="360">
        <v>0</v>
      </c>
      <c r="AF73" s="360">
        <v>0</v>
      </c>
      <c r="AG73" s="360">
        <v>0</v>
      </c>
      <c r="AH73" s="360">
        <f t="shared" si="1"/>
        <v>0</v>
      </c>
      <c r="AI73" s="362">
        <f>ERP_5[[#This Row],[2026 Working Total]]-ERP_5[[#This Row],[LE2 Final Submission]]</f>
        <v>0</v>
      </c>
      <c r="AJ73" s="79">
        <v>0</v>
      </c>
      <c r="AK73" s="79">
        <f t="shared" si="8"/>
        <v>0</v>
      </c>
      <c r="AL73" s="374">
        <f>SUM(ERP_5[[#This Row],[AP01]:[AP06]])-SUM(ERP_5[[#This Row],[AP01 LE2]:[AP06 LE2]])</f>
        <v>0</v>
      </c>
      <c r="AM73" s="80"/>
      <c r="AN73" s="79">
        <f>ERP_5[[#This Row],[2026 Working Total to Budget/LE]]-ERP_5[[#This Row],[Giveback]]</f>
        <v>0</v>
      </c>
      <c r="AO73" s="81"/>
      <c r="AP73" s="375"/>
      <c r="AQ73" s="375">
        <v>0</v>
      </c>
      <c r="AR73" s="375">
        <v>0</v>
      </c>
      <c r="AS73" s="375">
        <v>0</v>
      </c>
      <c r="AT73" s="375">
        <v>0</v>
      </c>
      <c r="AU73" s="375">
        <v>0</v>
      </c>
      <c r="AV73" s="375">
        <v>0</v>
      </c>
      <c r="AW73" s="375">
        <v>0</v>
      </c>
      <c r="AX73" s="375">
        <v>0</v>
      </c>
      <c r="AY73" s="375">
        <v>0</v>
      </c>
      <c r="AZ73" s="375">
        <v>0</v>
      </c>
      <c r="BA73" s="375">
        <v>0</v>
      </c>
      <c r="BB73" s="375">
        <v>0</v>
      </c>
      <c r="BC73" s="79"/>
      <c r="BD73" s="79">
        <v>0</v>
      </c>
      <c r="BE73" s="79">
        <v>0</v>
      </c>
      <c r="BF73" s="79">
        <v>0</v>
      </c>
      <c r="BG73" s="79">
        <v>0</v>
      </c>
      <c r="BH73" s="79">
        <v>0</v>
      </c>
      <c r="BI73" s="79">
        <v>0</v>
      </c>
      <c r="BJ73" s="79">
        <v>0</v>
      </c>
      <c r="BK73" s="79">
        <v>0</v>
      </c>
      <c r="BL73" s="79">
        <v>0</v>
      </c>
      <c r="BM73" s="79">
        <v>0</v>
      </c>
      <c r="BN73" s="79">
        <v>0</v>
      </c>
      <c r="BO73" s="79">
        <v>0</v>
      </c>
    </row>
    <row r="74" spans="1:67" ht="15" customHeight="1">
      <c r="A74" s="66" t="s">
        <v>1728</v>
      </c>
      <c r="B74" s="66" t="s">
        <v>1729</v>
      </c>
      <c r="C74" s="150" t="s">
        <v>1136</v>
      </c>
      <c r="D74" s="150" t="s">
        <v>1567</v>
      </c>
      <c r="E74" s="150" t="s">
        <v>1567</v>
      </c>
      <c r="F74" s="150" t="s">
        <v>1567</v>
      </c>
      <c r="G74" s="511" t="s">
        <v>342</v>
      </c>
      <c r="H74" s="392" t="s">
        <v>356</v>
      </c>
      <c r="I74" s="343"/>
      <c r="J74" s="343"/>
      <c r="K74" s="70" t="s">
        <v>356</v>
      </c>
      <c r="L74" s="346" t="s">
        <v>1139</v>
      </c>
      <c r="M74" s="346" t="s">
        <v>1140</v>
      </c>
      <c r="N74" s="346"/>
      <c r="O74" s="150" t="s">
        <v>25</v>
      </c>
      <c r="P74" s="150"/>
      <c r="Q74" s="404"/>
      <c r="R74" s="407">
        <v>0</v>
      </c>
      <c r="S74" s="407">
        <v>0</v>
      </c>
      <c r="T74" s="425"/>
      <c r="U74" s="71"/>
      <c r="V74" s="426"/>
      <c r="W74" s="427"/>
      <c r="X74" s="431">
        <v>0</v>
      </c>
      <c r="Y74" s="428">
        <v>0</v>
      </c>
      <c r="Z74" s="429">
        <v>0</v>
      </c>
      <c r="AA74" s="429">
        <v>0</v>
      </c>
      <c r="AB74" s="360">
        <v>0</v>
      </c>
      <c r="AC74" s="360">
        <v>0</v>
      </c>
      <c r="AD74" s="360">
        <v>0</v>
      </c>
      <c r="AE74" s="360">
        <v>0</v>
      </c>
      <c r="AF74" s="360">
        <v>0</v>
      </c>
      <c r="AG74" s="360">
        <v>0</v>
      </c>
      <c r="AH74" s="360">
        <f t="shared" si="1"/>
        <v>0</v>
      </c>
      <c r="AI74" s="362">
        <f>ERP_5[[#This Row],[2026 Working Total]]-ERP_5[[#This Row],[LE2 Final Submission]]</f>
        <v>0</v>
      </c>
      <c r="AJ74" s="79">
        <v>0</v>
      </c>
      <c r="AK74" s="79">
        <f t="shared" si="8"/>
        <v>0</v>
      </c>
      <c r="AL74" s="374">
        <f>SUM(ERP_5[[#This Row],[AP01]:[AP06]])-SUM(ERP_5[[#This Row],[AP01 LE2]:[AP06 LE2]])</f>
        <v>0</v>
      </c>
      <c r="AM74" s="80"/>
      <c r="AN74" s="79">
        <f>ERP_5[[#This Row],[2026 Working Total to Budget/LE]]-ERP_5[[#This Row],[Giveback]]</f>
        <v>0</v>
      </c>
      <c r="AO74" s="81"/>
      <c r="AP74" s="375"/>
      <c r="AQ74" s="375"/>
      <c r="AR74" s="375">
        <v>0</v>
      </c>
      <c r="AS74" s="375">
        <v>0</v>
      </c>
      <c r="AT74" s="375">
        <v>0</v>
      </c>
      <c r="AU74" s="375">
        <v>0</v>
      </c>
      <c r="AV74" s="375">
        <v>0</v>
      </c>
      <c r="AW74" s="375">
        <v>0</v>
      </c>
      <c r="AX74" s="375">
        <v>0</v>
      </c>
      <c r="AY74" s="375">
        <v>0</v>
      </c>
      <c r="AZ74" s="375">
        <v>0</v>
      </c>
      <c r="BA74" s="375">
        <v>0</v>
      </c>
      <c r="BB74" s="375">
        <v>0</v>
      </c>
      <c r="BC74" s="79"/>
      <c r="BD74" s="79"/>
      <c r="BE74" s="79">
        <v>0</v>
      </c>
      <c r="BF74" s="79">
        <v>0</v>
      </c>
      <c r="BG74" s="79">
        <v>0</v>
      </c>
      <c r="BH74" s="79">
        <v>0</v>
      </c>
      <c r="BI74" s="79">
        <v>0</v>
      </c>
      <c r="BJ74" s="79">
        <v>0</v>
      </c>
      <c r="BK74" s="79">
        <v>0</v>
      </c>
      <c r="BL74" s="79">
        <v>0</v>
      </c>
      <c r="BM74" s="79">
        <v>0</v>
      </c>
      <c r="BN74" s="79">
        <v>0</v>
      </c>
      <c r="BO74" s="79">
        <v>0</v>
      </c>
    </row>
    <row r="75" spans="1:67" ht="15" customHeight="1">
      <c r="A75" s="66" t="s">
        <v>1690</v>
      </c>
      <c r="B75" s="66" t="s">
        <v>1691</v>
      </c>
      <c r="C75" s="150" t="s">
        <v>1136</v>
      </c>
      <c r="D75" s="150" t="s">
        <v>1135</v>
      </c>
      <c r="E75" s="150" t="s">
        <v>1137</v>
      </c>
      <c r="F75" s="150" t="s">
        <v>1137</v>
      </c>
      <c r="G75" s="511" t="s">
        <v>342</v>
      </c>
      <c r="H75" s="392" t="s">
        <v>356</v>
      </c>
      <c r="I75" s="343"/>
      <c r="J75" s="343"/>
      <c r="K75" s="70" t="s">
        <v>356</v>
      </c>
      <c r="L75" s="346" t="s">
        <v>1139</v>
      </c>
      <c r="M75" s="346" t="s">
        <v>1140</v>
      </c>
      <c r="N75" s="346"/>
      <c r="O75" s="150" t="s">
        <v>25</v>
      </c>
      <c r="P75" s="1" t="s">
        <v>1141</v>
      </c>
      <c r="Q75" s="404"/>
      <c r="R75" s="407">
        <v>0</v>
      </c>
      <c r="S75" s="407">
        <v>0</v>
      </c>
      <c r="T75" s="430"/>
      <c r="U75" s="137"/>
      <c r="V75" s="426"/>
      <c r="W75" s="431">
        <v>0</v>
      </c>
      <c r="X75" s="431">
        <v>0</v>
      </c>
      <c r="Y75" s="428">
        <v>-3033.45</v>
      </c>
      <c r="Z75" s="429">
        <v>0</v>
      </c>
      <c r="AA75" s="429">
        <v>0</v>
      </c>
      <c r="AB75" s="360">
        <v>0</v>
      </c>
      <c r="AC75" s="360">
        <v>0</v>
      </c>
      <c r="AD75" s="360">
        <v>0</v>
      </c>
      <c r="AE75" s="360">
        <v>0</v>
      </c>
      <c r="AF75" s="360">
        <v>0</v>
      </c>
      <c r="AG75" s="360">
        <v>0</v>
      </c>
      <c r="AH75" s="360">
        <f t="shared" si="1"/>
        <v>-3033.45</v>
      </c>
      <c r="AI75" s="362">
        <f>ERP_5[[#This Row],[2026 Working Total]]-ERP_5[[#This Row],[LE2 Final Submission]]</f>
        <v>-3033.45</v>
      </c>
      <c r="AJ75" s="79">
        <v>0</v>
      </c>
      <c r="AK75" s="79">
        <f t="shared" si="8"/>
        <v>0</v>
      </c>
      <c r="AL75" s="374">
        <f>SUM(ERP_5[[#This Row],[AP01]:[AP06]])-SUM(ERP_5[[#This Row],[AP01 LE2]:[AP06 LE2]])</f>
        <v>-3033.45</v>
      </c>
      <c r="AM75" s="80"/>
      <c r="AN75" s="79">
        <f>ERP_5[[#This Row],[2026 Working Total to Budget/LE]]-ERP_5[[#This Row],[Giveback]]</f>
        <v>-3033.45</v>
      </c>
      <c r="AO75" s="81"/>
      <c r="AP75" s="375"/>
      <c r="AQ75" s="375">
        <v>0</v>
      </c>
      <c r="AR75" s="375">
        <v>0</v>
      </c>
      <c r="AS75" s="375">
        <v>0</v>
      </c>
      <c r="AT75" s="375">
        <v>0</v>
      </c>
      <c r="AU75" s="375">
        <v>0</v>
      </c>
      <c r="AV75" s="375">
        <v>0</v>
      </c>
      <c r="AW75" s="375">
        <v>0</v>
      </c>
      <c r="AX75" s="375">
        <v>0</v>
      </c>
      <c r="AY75" s="375">
        <v>0</v>
      </c>
      <c r="AZ75" s="375">
        <v>0</v>
      </c>
      <c r="BA75" s="375">
        <v>0</v>
      </c>
      <c r="BB75" s="375">
        <v>0</v>
      </c>
      <c r="BC75" s="79"/>
      <c r="BD75" s="79">
        <v>0</v>
      </c>
      <c r="BE75" s="79">
        <v>0</v>
      </c>
      <c r="BF75" s="79">
        <v>0</v>
      </c>
      <c r="BG75" s="79">
        <v>0</v>
      </c>
      <c r="BH75" s="79">
        <v>0</v>
      </c>
      <c r="BI75" s="79">
        <v>0</v>
      </c>
      <c r="BJ75" s="79">
        <v>0</v>
      </c>
      <c r="BK75" s="79">
        <v>0</v>
      </c>
      <c r="BL75" s="79">
        <v>0</v>
      </c>
      <c r="BM75" s="79">
        <v>0</v>
      </c>
      <c r="BN75" s="79">
        <v>0</v>
      </c>
      <c r="BO75" s="79">
        <v>0</v>
      </c>
    </row>
    <row r="76" spans="1:67" ht="15" customHeight="1">
      <c r="A76" s="66" t="s">
        <v>1730</v>
      </c>
      <c r="B76" s="66" t="s">
        <v>1731</v>
      </c>
      <c r="C76" s="150" t="s">
        <v>1136</v>
      </c>
      <c r="D76" s="150" t="s">
        <v>1567</v>
      </c>
      <c r="E76" s="150" t="s">
        <v>1567</v>
      </c>
      <c r="F76" s="150" t="s">
        <v>1567</v>
      </c>
      <c r="G76" s="511" t="s">
        <v>342</v>
      </c>
      <c r="H76" s="392" t="s">
        <v>1732</v>
      </c>
      <c r="I76" s="343"/>
      <c r="J76" s="343"/>
      <c r="K76" s="70" t="s">
        <v>1732</v>
      </c>
      <c r="L76" s="346"/>
      <c r="M76" s="346" t="s">
        <v>1140</v>
      </c>
      <c r="N76" s="346"/>
      <c r="O76" s="150" t="s">
        <v>25</v>
      </c>
      <c r="P76" s="150"/>
      <c r="Q76" s="404"/>
      <c r="R76" s="407">
        <v>0</v>
      </c>
      <c r="S76" s="407">
        <v>0</v>
      </c>
      <c r="T76" s="425"/>
      <c r="U76" s="71"/>
      <c r="V76" s="426"/>
      <c r="W76" s="427"/>
      <c r="X76" s="431">
        <v>0</v>
      </c>
      <c r="Y76" s="428">
        <v>-1485.86</v>
      </c>
      <c r="Z76" s="429">
        <v>0</v>
      </c>
      <c r="AA76" s="429">
        <v>0</v>
      </c>
      <c r="AB76" s="360">
        <v>0</v>
      </c>
      <c r="AC76" s="360">
        <v>0</v>
      </c>
      <c r="AD76" s="360">
        <v>0</v>
      </c>
      <c r="AE76" s="360">
        <v>0</v>
      </c>
      <c r="AF76" s="360">
        <v>0</v>
      </c>
      <c r="AG76" s="360">
        <v>0</v>
      </c>
      <c r="AH76" s="360">
        <f t="shared" ref="AH76:AH139" si="9">SUM(V76:AG76)</f>
        <v>-1485.86</v>
      </c>
      <c r="AI76" s="362">
        <f>ERP_5[[#This Row],[2026 Working Total]]-ERP_5[[#This Row],[LE2 Final Submission]]</f>
        <v>-1485.86</v>
      </c>
      <c r="AJ76" s="79">
        <v>0</v>
      </c>
      <c r="AK76" s="79">
        <f t="shared" si="8"/>
        <v>0</v>
      </c>
      <c r="AL76" s="374">
        <f>SUM(ERP_5[[#This Row],[AP01]:[AP06]])-SUM(ERP_5[[#This Row],[AP01 LE2]:[AP06 LE2]])</f>
        <v>-1485.86</v>
      </c>
      <c r="AM76" s="80"/>
      <c r="AN76" s="79">
        <f>ERP_5[[#This Row],[2026 Working Total to Budget/LE]]-ERP_5[[#This Row],[Giveback]]</f>
        <v>-1485.86</v>
      </c>
      <c r="AO76" s="81"/>
      <c r="AP76" s="375"/>
      <c r="AQ76" s="375"/>
      <c r="AR76" s="375">
        <v>0</v>
      </c>
      <c r="AS76" s="375">
        <v>0</v>
      </c>
      <c r="AT76" s="375">
        <v>0</v>
      </c>
      <c r="AU76" s="375">
        <v>0</v>
      </c>
      <c r="AV76" s="375">
        <v>0</v>
      </c>
      <c r="AW76" s="375">
        <v>0</v>
      </c>
      <c r="AX76" s="375">
        <v>0</v>
      </c>
      <c r="AY76" s="375">
        <v>0</v>
      </c>
      <c r="AZ76" s="375">
        <v>0</v>
      </c>
      <c r="BA76" s="375">
        <v>0</v>
      </c>
      <c r="BB76" s="375">
        <v>0</v>
      </c>
      <c r="BC76" s="79"/>
      <c r="BD76" s="79"/>
      <c r="BE76" s="79">
        <v>0</v>
      </c>
      <c r="BF76" s="79">
        <v>0</v>
      </c>
      <c r="BG76" s="79">
        <v>0</v>
      </c>
      <c r="BH76" s="79">
        <v>0</v>
      </c>
      <c r="BI76" s="79">
        <v>0</v>
      </c>
      <c r="BJ76" s="79">
        <v>0</v>
      </c>
      <c r="BK76" s="79">
        <v>0</v>
      </c>
      <c r="BL76" s="79">
        <v>0</v>
      </c>
      <c r="BM76" s="79">
        <v>0</v>
      </c>
      <c r="BN76" s="79">
        <v>0</v>
      </c>
      <c r="BO76" s="79">
        <v>0</v>
      </c>
    </row>
    <row r="77" spans="1:67" ht="15" customHeight="1">
      <c r="A77" s="150" t="s">
        <v>1692</v>
      </c>
      <c r="B77" s="296" t="s">
        <v>1693</v>
      </c>
      <c r="C77" s="150" t="s">
        <v>1136</v>
      </c>
      <c r="D77" s="150" t="s">
        <v>1135</v>
      </c>
      <c r="E77" s="150" t="s">
        <v>1137</v>
      </c>
      <c r="F77" s="150" t="s">
        <v>1137</v>
      </c>
      <c r="G77" s="514" t="s">
        <v>342</v>
      </c>
      <c r="H77" s="394" t="s">
        <v>1694</v>
      </c>
      <c r="I77" s="333"/>
      <c r="J77" s="332" t="s">
        <v>1695</v>
      </c>
      <c r="K77" s="90" t="s">
        <v>358</v>
      </c>
      <c r="L77" s="347"/>
      <c r="M77" s="347"/>
      <c r="N77" s="348"/>
      <c r="O77" s="348"/>
      <c r="P77" s="1" t="s">
        <v>1141</v>
      </c>
      <c r="Q77" s="402"/>
      <c r="R77" s="406"/>
      <c r="S77" s="406"/>
      <c r="T77" s="425"/>
      <c r="U77" s="71"/>
      <c r="V77" s="435"/>
      <c r="W77" s="436"/>
      <c r="X77" s="436"/>
      <c r="Y77" s="429">
        <v>-638.70000000000005</v>
      </c>
      <c r="Z77" s="429">
        <v>0</v>
      </c>
      <c r="AA77" s="429">
        <v>0</v>
      </c>
      <c r="AB77" s="364"/>
      <c r="AC77" s="364"/>
      <c r="AD77" s="364"/>
      <c r="AE77" s="364"/>
      <c r="AF77" s="364"/>
      <c r="AG77" s="364"/>
      <c r="AH77" s="360">
        <f t="shared" si="9"/>
        <v>-638.70000000000005</v>
      </c>
      <c r="AI77" s="362">
        <f>ERP_5[[#This Row],[2026 Working Total]]-ERP_5[[#This Row],[LE2 Final Submission]]</f>
        <v>-638.70000000000005</v>
      </c>
      <c r="AJ77" s="79"/>
      <c r="AK77" s="79">
        <f t="shared" si="8"/>
        <v>0</v>
      </c>
      <c r="AL77" s="374">
        <f>SUM(ERP_5[[#This Row],[AP01]:[AP06]])-SUM(ERP_5[[#This Row],[AP01 LE2]:[AP06 LE2]])</f>
        <v>-638.70000000000005</v>
      </c>
      <c r="AM77" s="80"/>
      <c r="AN77" s="79">
        <f>ERP_5[[#This Row],[2026 Working Total to Budget/LE]]-ERP_5[[#This Row],[Giveback]]</f>
        <v>-638.70000000000005</v>
      </c>
      <c r="AO77" s="81"/>
      <c r="AP77" s="375"/>
      <c r="AQ77" s="375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75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</row>
    <row r="78" spans="1:67" ht="15" customHeight="1">
      <c r="A78" s="150" t="s">
        <v>2767</v>
      </c>
      <c r="B78" s="296" t="s">
        <v>2768</v>
      </c>
      <c r="C78" s="150" t="s">
        <v>1136</v>
      </c>
      <c r="D78" s="150" t="s">
        <v>1567</v>
      </c>
      <c r="E78" s="150" t="s">
        <v>1567</v>
      </c>
      <c r="F78" s="150" t="s">
        <v>1567</v>
      </c>
      <c r="G78" s="511" t="s">
        <v>639</v>
      </c>
      <c r="H78" s="394" t="s">
        <v>2245</v>
      </c>
      <c r="I78" s="333"/>
      <c r="J78" s="332" t="s">
        <v>2755</v>
      </c>
      <c r="K78" s="90" t="s">
        <v>2246</v>
      </c>
      <c r="L78" s="347"/>
      <c r="M78" s="347"/>
      <c r="N78" s="348"/>
      <c r="O78" s="348"/>
      <c r="P78" s="348"/>
      <c r="Q78" s="402"/>
      <c r="R78" s="406"/>
      <c r="S78" s="406"/>
      <c r="T78" s="425"/>
      <c r="U78" s="71"/>
      <c r="V78" s="435"/>
      <c r="W78" s="436"/>
      <c r="X78" s="436"/>
      <c r="Y78" s="429">
        <v>-451.1</v>
      </c>
      <c r="Z78" s="429">
        <v>0</v>
      </c>
      <c r="AA78" s="429">
        <v>0</v>
      </c>
      <c r="AB78" s="364"/>
      <c r="AC78" s="364"/>
      <c r="AD78" s="364"/>
      <c r="AE78" s="364"/>
      <c r="AF78" s="364"/>
      <c r="AG78" s="364"/>
      <c r="AH78" s="360">
        <f t="shared" si="9"/>
        <v>-451.1</v>
      </c>
      <c r="AI78" s="362">
        <f>ERP_5[[#This Row],[2026 Working Total]]-ERP_5[[#This Row],[LE2 Final Submission]]</f>
        <v>-451.1</v>
      </c>
      <c r="AJ78" s="79"/>
      <c r="AK78" s="79">
        <f t="shared" si="8"/>
        <v>0</v>
      </c>
      <c r="AL78" s="374">
        <f>SUM(ERP_5[[#This Row],[AP01]:[AP06]])-SUM(ERP_5[[#This Row],[AP01 LE2]:[AP06 LE2]])</f>
        <v>-451.1</v>
      </c>
      <c r="AM78" s="80"/>
      <c r="AN78" s="79">
        <f>ERP_5[[#This Row],[2026 Working Total to Budget/LE]]-ERP_5[[#This Row],[Giveback]]</f>
        <v>-451.1</v>
      </c>
      <c r="AO78" s="81"/>
      <c r="AP78" s="375"/>
      <c r="AQ78" s="375"/>
      <c r="AR78" s="375"/>
      <c r="AS78" s="375"/>
      <c r="AT78" s="375"/>
      <c r="AU78" s="375"/>
      <c r="AV78" s="375"/>
      <c r="AW78" s="375"/>
      <c r="AX78" s="375"/>
      <c r="AY78" s="375"/>
      <c r="AZ78" s="375"/>
      <c r="BA78" s="375"/>
      <c r="BB78" s="375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</row>
    <row r="79" spans="1:67" ht="15" customHeight="1">
      <c r="A79" s="66" t="s">
        <v>1696</v>
      </c>
      <c r="B79" s="66" t="s">
        <v>1697</v>
      </c>
      <c r="C79" s="150" t="s">
        <v>1136</v>
      </c>
      <c r="D79" s="150" t="s">
        <v>1135</v>
      </c>
      <c r="E79" s="150" t="s">
        <v>1137</v>
      </c>
      <c r="F79" s="150" t="s">
        <v>1137</v>
      </c>
      <c r="G79" s="511" t="s">
        <v>342</v>
      </c>
      <c r="H79" s="392" t="s">
        <v>360</v>
      </c>
      <c r="I79" s="343"/>
      <c r="J79" s="343"/>
      <c r="K79" s="70" t="s">
        <v>360</v>
      </c>
      <c r="L79" s="346"/>
      <c r="M79" s="346" t="s">
        <v>1140</v>
      </c>
      <c r="N79" s="346"/>
      <c r="O79" s="150" t="s">
        <v>25</v>
      </c>
      <c r="P79" s="150"/>
      <c r="Q79" s="404"/>
      <c r="R79" s="407">
        <v>0</v>
      </c>
      <c r="S79" s="407">
        <v>0</v>
      </c>
      <c r="T79" s="430"/>
      <c r="U79" s="137"/>
      <c r="V79" s="426"/>
      <c r="W79" s="427"/>
      <c r="X79" s="431">
        <v>0</v>
      </c>
      <c r="Y79" s="428">
        <v>0</v>
      </c>
      <c r="Z79" s="429">
        <v>0</v>
      </c>
      <c r="AA79" s="429">
        <v>0</v>
      </c>
      <c r="AB79" s="360">
        <v>0</v>
      </c>
      <c r="AC79" s="360">
        <v>0</v>
      </c>
      <c r="AD79" s="360">
        <v>0</v>
      </c>
      <c r="AE79" s="360">
        <v>0</v>
      </c>
      <c r="AF79" s="360">
        <v>0</v>
      </c>
      <c r="AG79" s="360">
        <v>0</v>
      </c>
      <c r="AH79" s="360">
        <f t="shared" si="9"/>
        <v>0</v>
      </c>
      <c r="AI79" s="362">
        <f>ERP_5[[#This Row],[2026 Working Total]]-ERP_5[[#This Row],[LE2 Final Submission]]</f>
        <v>0</v>
      </c>
      <c r="AJ79" s="79">
        <v>0</v>
      </c>
      <c r="AK79" s="79">
        <f t="shared" si="8"/>
        <v>0</v>
      </c>
      <c r="AL79" s="374">
        <f>SUM(ERP_5[[#This Row],[AP01]:[AP06]])-SUM(ERP_5[[#This Row],[AP01 LE2]:[AP06 LE2]])</f>
        <v>0</v>
      </c>
      <c r="AM79" s="80"/>
      <c r="AN79" s="79">
        <f>ERP_5[[#This Row],[2026 Working Total to Budget/LE]]-ERP_5[[#This Row],[Giveback]]</f>
        <v>0</v>
      </c>
      <c r="AO79" s="81"/>
      <c r="AP79" s="375"/>
      <c r="AQ79" s="375"/>
      <c r="AR79" s="375">
        <v>0</v>
      </c>
      <c r="AS79" s="375">
        <v>0</v>
      </c>
      <c r="AT79" s="375">
        <v>0</v>
      </c>
      <c r="AU79" s="375">
        <v>0</v>
      </c>
      <c r="AV79" s="375">
        <v>0</v>
      </c>
      <c r="AW79" s="375">
        <v>0</v>
      </c>
      <c r="AX79" s="375">
        <v>0</v>
      </c>
      <c r="AY79" s="375">
        <v>0</v>
      </c>
      <c r="AZ79" s="375">
        <v>0</v>
      </c>
      <c r="BA79" s="375">
        <v>0</v>
      </c>
      <c r="BB79" s="375">
        <v>0</v>
      </c>
      <c r="BC79" s="79"/>
      <c r="BD79" s="79"/>
      <c r="BE79" s="79">
        <v>0</v>
      </c>
      <c r="BF79" s="79">
        <v>0</v>
      </c>
      <c r="BG79" s="79">
        <v>0</v>
      </c>
      <c r="BH79" s="79">
        <v>0</v>
      </c>
      <c r="BI79" s="79">
        <v>0</v>
      </c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</row>
    <row r="80" spans="1:67" ht="15" customHeight="1">
      <c r="A80" s="150" t="s">
        <v>2243</v>
      </c>
      <c r="B80" s="296" t="s">
        <v>2244</v>
      </c>
      <c r="C80" s="150" t="s">
        <v>1136</v>
      </c>
      <c r="D80" s="150" t="s">
        <v>1135</v>
      </c>
      <c r="E80" s="150" t="s">
        <v>1137</v>
      </c>
      <c r="F80" s="150" t="s">
        <v>1137</v>
      </c>
      <c r="G80" s="514" t="s">
        <v>639</v>
      </c>
      <c r="H80" s="394" t="s">
        <v>2245</v>
      </c>
      <c r="I80" s="333"/>
      <c r="J80" s="332" t="s">
        <v>1695</v>
      </c>
      <c r="K80" s="90" t="s">
        <v>2246</v>
      </c>
      <c r="L80" s="347"/>
      <c r="M80" s="347"/>
      <c r="N80" s="348"/>
      <c r="O80" s="348"/>
      <c r="P80" s="1" t="s">
        <v>1141</v>
      </c>
      <c r="Q80" s="402"/>
      <c r="R80" s="406"/>
      <c r="S80" s="406"/>
      <c r="T80" s="425"/>
      <c r="U80" s="71"/>
      <c r="V80" s="435"/>
      <c r="W80" s="436"/>
      <c r="X80" s="436"/>
      <c r="Y80" s="429">
        <v>-41167.729999999996</v>
      </c>
      <c r="Z80" s="429">
        <v>0</v>
      </c>
      <c r="AA80" s="429">
        <v>0</v>
      </c>
      <c r="AB80" s="364"/>
      <c r="AC80" s="364"/>
      <c r="AD80" s="364"/>
      <c r="AE80" s="364"/>
      <c r="AF80" s="364"/>
      <c r="AG80" s="364"/>
      <c r="AH80" s="360">
        <f t="shared" si="9"/>
        <v>-41167.729999999996</v>
      </c>
      <c r="AI80" s="362">
        <f>ERP_5[[#This Row],[2026 Working Total]]-ERP_5[[#This Row],[LE2 Final Submission]]</f>
        <v>-41167.729999999996</v>
      </c>
      <c r="AJ80" s="79"/>
      <c r="AK80" s="79">
        <f t="shared" si="8"/>
        <v>0</v>
      </c>
      <c r="AL80" s="374">
        <f>SUM(ERP_5[[#This Row],[AP01]:[AP06]])-SUM(ERP_5[[#This Row],[AP01 LE2]:[AP06 LE2]])</f>
        <v>-41167.729999999996</v>
      </c>
      <c r="AM80" s="80"/>
      <c r="AN80" s="79">
        <f>ERP_5[[#This Row],[2026 Working Total to Budget/LE]]-ERP_5[[#This Row],[Giveback]]</f>
        <v>-41167.729999999996</v>
      </c>
      <c r="AO80" s="81"/>
      <c r="AP80" s="375"/>
      <c r="AQ80" s="375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75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</row>
    <row r="81" spans="1:67" ht="15" customHeight="1">
      <c r="A81" s="66" t="s">
        <v>2081</v>
      </c>
      <c r="B81" s="66" t="s">
        <v>2082</v>
      </c>
      <c r="C81" s="150" t="s">
        <v>1136</v>
      </c>
      <c r="D81" s="150" t="s">
        <v>1567</v>
      </c>
      <c r="E81" s="150" t="s">
        <v>1567</v>
      </c>
      <c r="F81" s="150" t="s">
        <v>1567</v>
      </c>
      <c r="G81" s="511" t="s">
        <v>389</v>
      </c>
      <c r="H81" s="392" t="s">
        <v>414</v>
      </c>
      <c r="I81" s="343"/>
      <c r="J81" s="343"/>
      <c r="K81" s="70" t="s">
        <v>414</v>
      </c>
      <c r="L81" s="346" t="s">
        <v>1139</v>
      </c>
      <c r="M81" s="346" t="s">
        <v>1140</v>
      </c>
      <c r="N81" s="346"/>
      <c r="O81" s="150" t="s">
        <v>25</v>
      </c>
      <c r="P81" s="150"/>
      <c r="Q81" s="404"/>
      <c r="R81" s="407">
        <v>0</v>
      </c>
      <c r="S81" s="407">
        <v>0</v>
      </c>
      <c r="T81" s="425"/>
      <c r="U81" s="71"/>
      <c r="V81" s="426"/>
      <c r="W81" s="431">
        <v>0</v>
      </c>
      <c r="X81" s="431">
        <v>0</v>
      </c>
      <c r="Y81" s="428">
        <v>-5040.41</v>
      </c>
      <c r="Z81" s="429">
        <v>0</v>
      </c>
      <c r="AA81" s="429">
        <v>0</v>
      </c>
      <c r="AB81" s="360">
        <v>0</v>
      </c>
      <c r="AC81" s="360">
        <v>0</v>
      </c>
      <c r="AD81" s="360">
        <v>0</v>
      </c>
      <c r="AE81" s="360">
        <v>0</v>
      </c>
      <c r="AF81" s="360">
        <v>0</v>
      </c>
      <c r="AG81" s="360">
        <v>0</v>
      </c>
      <c r="AH81" s="360">
        <f t="shared" si="9"/>
        <v>-5040.41</v>
      </c>
      <c r="AI81" s="362">
        <f>ERP_5[[#This Row],[2026 Working Total]]-ERP_5[[#This Row],[LE2 Final Submission]]</f>
        <v>-5040.41</v>
      </c>
      <c r="AJ81" s="79">
        <v>0</v>
      </c>
      <c r="AK81" s="79">
        <f t="shared" si="8"/>
        <v>0</v>
      </c>
      <c r="AL81" s="374">
        <f>SUM(ERP_5[[#This Row],[AP01]:[AP06]])-SUM(ERP_5[[#This Row],[AP01 LE2]:[AP06 LE2]])</f>
        <v>-5040.41</v>
      </c>
      <c r="AM81" s="80"/>
      <c r="AN81" s="79">
        <f>ERP_5[[#This Row],[2026 Working Total to Budget/LE]]-ERP_5[[#This Row],[Giveback]]</f>
        <v>-5040.41</v>
      </c>
      <c r="AO81" s="81"/>
      <c r="AP81" s="375"/>
      <c r="AQ81" s="375">
        <v>0</v>
      </c>
      <c r="AR81" s="375">
        <v>0</v>
      </c>
      <c r="AS81" s="375">
        <v>0</v>
      </c>
      <c r="AT81" s="375">
        <v>0</v>
      </c>
      <c r="AU81" s="375">
        <v>0</v>
      </c>
      <c r="AV81" s="375">
        <v>0</v>
      </c>
      <c r="AW81" s="375">
        <v>0</v>
      </c>
      <c r="AX81" s="375">
        <v>0</v>
      </c>
      <c r="AY81" s="375">
        <v>0</v>
      </c>
      <c r="AZ81" s="375">
        <v>0</v>
      </c>
      <c r="BA81" s="375">
        <v>0</v>
      </c>
      <c r="BB81" s="375">
        <v>0</v>
      </c>
      <c r="BC81" s="79"/>
      <c r="BD81" s="79">
        <v>0</v>
      </c>
      <c r="BE81" s="79">
        <v>0</v>
      </c>
      <c r="BF81" s="79">
        <v>0</v>
      </c>
      <c r="BG81" s="79">
        <v>0</v>
      </c>
      <c r="BH81" s="79">
        <v>0</v>
      </c>
      <c r="BI81" s="79">
        <v>0</v>
      </c>
      <c r="BJ81" s="79">
        <v>0</v>
      </c>
      <c r="BK81" s="79">
        <v>0</v>
      </c>
      <c r="BL81" s="79">
        <v>0</v>
      </c>
      <c r="BM81" s="79">
        <v>0</v>
      </c>
      <c r="BN81" s="79">
        <v>0</v>
      </c>
      <c r="BO81" s="79">
        <v>0</v>
      </c>
    </row>
    <row r="82" spans="1:67" ht="15" customHeight="1">
      <c r="A82" s="66" t="s">
        <v>1786</v>
      </c>
      <c r="B82" s="66" t="s">
        <v>1787</v>
      </c>
      <c r="C82" s="150" t="s">
        <v>1136</v>
      </c>
      <c r="D82" s="150" t="s">
        <v>1135</v>
      </c>
      <c r="E82" s="150" t="s">
        <v>1137</v>
      </c>
      <c r="F82" s="150" t="s">
        <v>1137</v>
      </c>
      <c r="G82" s="511" t="s">
        <v>389</v>
      </c>
      <c r="H82" s="392" t="s">
        <v>414</v>
      </c>
      <c r="I82" s="343"/>
      <c r="J82" s="343"/>
      <c r="K82" s="70" t="s">
        <v>414</v>
      </c>
      <c r="L82" s="346" t="s">
        <v>1139</v>
      </c>
      <c r="M82" s="346" t="s">
        <v>1140</v>
      </c>
      <c r="N82" s="346"/>
      <c r="O82" s="150" t="s">
        <v>25</v>
      </c>
      <c r="P82" s="1" t="s">
        <v>1141</v>
      </c>
      <c r="Q82" s="404"/>
      <c r="R82" s="407">
        <v>0</v>
      </c>
      <c r="S82" s="407">
        <v>0</v>
      </c>
      <c r="T82" s="430"/>
      <c r="U82" s="137"/>
      <c r="V82" s="426"/>
      <c r="W82" s="431">
        <v>0</v>
      </c>
      <c r="X82" s="431">
        <v>0</v>
      </c>
      <c r="Y82" s="428">
        <v>-10742.01</v>
      </c>
      <c r="Z82" s="429">
        <v>0</v>
      </c>
      <c r="AA82" s="429">
        <v>0</v>
      </c>
      <c r="AB82" s="360">
        <v>0</v>
      </c>
      <c r="AC82" s="360">
        <v>0</v>
      </c>
      <c r="AD82" s="360">
        <v>0</v>
      </c>
      <c r="AE82" s="360">
        <v>0</v>
      </c>
      <c r="AF82" s="360">
        <v>0</v>
      </c>
      <c r="AG82" s="360">
        <v>0</v>
      </c>
      <c r="AH82" s="360">
        <f t="shared" si="9"/>
        <v>-10742.01</v>
      </c>
      <c r="AI82" s="362">
        <f>ERP_5[[#This Row],[2026 Working Total]]-ERP_5[[#This Row],[LE2 Final Submission]]</f>
        <v>-10742.01</v>
      </c>
      <c r="AJ82" s="79">
        <v>0</v>
      </c>
      <c r="AK82" s="79">
        <f t="shared" si="8"/>
        <v>0</v>
      </c>
      <c r="AL82" s="374">
        <f>SUM(ERP_5[[#This Row],[AP01]:[AP06]])-SUM(ERP_5[[#This Row],[AP01 LE2]:[AP06 LE2]])</f>
        <v>-10742.01</v>
      </c>
      <c r="AM82" s="80"/>
      <c r="AN82" s="79">
        <f>ERP_5[[#This Row],[2026 Working Total to Budget/LE]]-ERP_5[[#This Row],[Giveback]]</f>
        <v>-10742.01</v>
      </c>
      <c r="AO82" s="81"/>
      <c r="AP82" s="375"/>
      <c r="AQ82" s="375">
        <v>0</v>
      </c>
      <c r="AR82" s="375">
        <v>0</v>
      </c>
      <c r="AS82" s="375">
        <v>0</v>
      </c>
      <c r="AT82" s="375">
        <v>0</v>
      </c>
      <c r="AU82" s="375">
        <v>0</v>
      </c>
      <c r="AV82" s="375">
        <v>0</v>
      </c>
      <c r="AW82" s="375">
        <v>0</v>
      </c>
      <c r="AX82" s="375">
        <v>0</v>
      </c>
      <c r="AY82" s="375">
        <v>0</v>
      </c>
      <c r="AZ82" s="375">
        <v>0</v>
      </c>
      <c r="BA82" s="375">
        <v>0</v>
      </c>
      <c r="BB82" s="375">
        <v>0</v>
      </c>
      <c r="BC82" s="79"/>
      <c r="BD82" s="79">
        <v>0</v>
      </c>
      <c r="BE82" s="79">
        <v>0</v>
      </c>
      <c r="BF82" s="79">
        <v>0</v>
      </c>
      <c r="BG82" s="79">
        <v>0</v>
      </c>
      <c r="BH82" s="79">
        <v>0</v>
      </c>
      <c r="BI82" s="79">
        <v>0</v>
      </c>
      <c r="BJ82" s="79">
        <v>0</v>
      </c>
      <c r="BK82" s="79">
        <v>0</v>
      </c>
      <c r="BL82" s="79">
        <v>0</v>
      </c>
      <c r="BM82" s="79">
        <v>0</v>
      </c>
      <c r="BN82" s="79">
        <v>0</v>
      </c>
      <c r="BO82" s="79">
        <v>0</v>
      </c>
    </row>
    <row r="83" spans="1:67" ht="15" customHeight="1">
      <c r="A83" s="79" t="s">
        <v>1733</v>
      </c>
      <c r="B83" s="296" t="s">
        <v>1734</v>
      </c>
      <c r="C83" s="150" t="s">
        <v>1136</v>
      </c>
      <c r="D83" t="s">
        <v>1567</v>
      </c>
      <c r="E83" t="s">
        <v>1567</v>
      </c>
      <c r="F83" s="150" t="s">
        <v>1567</v>
      </c>
      <c r="G83" s="514" t="s">
        <v>342</v>
      </c>
      <c r="H83" s="468" t="s">
        <v>1699</v>
      </c>
      <c r="I83" s="343"/>
      <c r="J83" s="333"/>
      <c r="K83" s="70" t="s">
        <v>362</v>
      </c>
      <c r="L83" s="347"/>
      <c r="M83" s="343"/>
      <c r="N83" s="348"/>
      <c r="O83" s="348"/>
      <c r="P83" s="348" t="s">
        <v>1700</v>
      </c>
      <c r="Q83" s="402"/>
      <c r="R83" s="358"/>
      <c r="S83" s="379">
        <v>0</v>
      </c>
      <c r="T83" s="425"/>
      <c r="U83" s="71"/>
      <c r="V83" s="435"/>
      <c r="W83" s="436"/>
      <c r="X83" s="436"/>
      <c r="Y83" s="428" t="s">
        <v>1142</v>
      </c>
      <c r="Z83" s="429">
        <v>0</v>
      </c>
      <c r="AA83" s="429">
        <v>0</v>
      </c>
      <c r="AB83" s="364"/>
      <c r="AC83" s="364"/>
      <c r="AD83" s="364"/>
      <c r="AE83" s="364"/>
      <c r="AF83" s="364"/>
      <c r="AG83" s="364"/>
      <c r="AH83" s="360">
        <f t="shared" si="9"/>
        <v>0</v>
      </c>
      <c r="AI83" s="362">
        <f>ERP_5[[#This Row],[2026 Working Total]]-ERP_5[[#This Row],[LE2 Final Submission]]</f>
        <v>0</v>
      </c>
      <c r="AJ83" s="79">
        <v>13303.91</v>
      </c>
      <c r="AK83" s="79">
        <f t="shared" si="8"/>
        <v>-13303.91</v>
      </c>
      <c r="AL83" s="374">
        <f>SUM(ERP_5[[#This Row],[AP01]:[AP06]])-SUM(ERP_5[[#This Row],[AP01 LE2]:[AP06 LE2]])</f>
        <v>0</v>
      </c>
      <c r="AM83" s="80"/>
      <c r="AN83" s="79">
        <f>ERP_5[[#This Row],[2026 Working Total to Budget/LE]]-ERP_5[[#This Row],[Giveback]]</f>
        <v>0</v>
      </c>
      <c r="AO83" s="81"/>
      <c r="AP83" s="375"/>
      <c r="AQ83" s="375"/>
      <c r="AR83" s="375"/>
      <c r="AS83" s="375">
        <v>-13303.91</v>
      </c>
      <c r="AT83" s="375">
        <v>13303.91</v>
      </c>
      <c r="AU83" s="375"/>
      <c r="AV83" s="375"/>
      <c r="AW83" s="375"/>
      <c r="AX83" s="375"/>
      <c r="AY83" s="375"/>
      <c r="AZ83" s="375"/>
      <c r="BA83" s="375"/>
      <c r="BB83" s="375">
        <v>0</v>
      </c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</row>
    <row r="84" spans="1:67" ht="15" customHeight="1">
      <c r="A84" s="79" t="s">
        <v>1698</v>
      </c>
      <c r="B84" s="66" t="s">
        <v>361</v>
      </c>
      <c r="C84" s="150" t="s">
        <v>1136</v>
      </c>
      <c r="D84" t="s">
        <v>1135</v>
      </c>
      <c r="E84" t="s">
        <v>1135</v>
      </c>
      <c r="F84" t="s">
        <v>1135</v>
      </c>
      <c r="G84" s="514" t="s">
        <v>342</v>
      </c>
      <c r="H84" s="395" t="s">
        <v>1699</v>
      </c>
      <c r="I84" s="343"/>
      <c r="J84" s="333"/>
      <c r="K84" s="70" t="s">
        <v>362</v>
      </c>
      <c r="L84" s="347"/>
      <c r="M84" s="343"/>
      <c r="N84" s="348"/>
      <c r="O84" s="348"/>
      <c r="P84" s="348" t="s">
        <v>1700</v>
      </c>
      <c r="Q84" s="402"/>
      <c r="R84" s="358"/>
      <c r="S84" s="379">
        <v>0</v>
      </c>
      <c r="T84" s="430"/>
      <c r="U84" s="137"/>
      <c r="V84" s="435"/>
      <c r="W84" s="436"/>
      <c r="X84" s="436"/>
      <c r="Y84" s="428" t="s">
        <v>1142</v>
      </c>
      <c r="Z84" s="429">
        <v>0</v>
      </c>
      <c r="AA84" s="429">
        <v>0</v>
      </c>
      <c r="AB84" s="364"/>
      <c r="AC84" s="364"/>
      <c r="AD84" s="364"/>
      <c r="AE84" s="364"/>
      <c r="AF84" s="364"/>
      <c r="AG84" s="364"/>
      <c r="AH84" s="360">
        <f t="shared" si="9"/>
        <v>0</v>
      </c>
      <c r="AI84" s="362">
        <f>ERP_5[[#This Row],[2026 Working Total]]-ERP_5[[#This Row],[LE2 Final Submission]]</f>
        <v>0</v>
      </c>
      <c r="AJ84" s="79">
        <v>16084.39</v>
      </c>
      <c r="AK84" s="79">
        <f t="shared" si="8"/>
        <v>-16084.39</v>
      </c>
      <c r="AL84" s="374">
        <f>SUM(ERP_5[[#This Row],[AP01]:[AP06]])-SUM(ERP_5[[#This Row],[AP01 LE2]:[AP06 LE2]])</f>
        <v>0</v>
      </c>
      <c r="AM84" s="80"/>
      <c r="AN84" s="79">
        <f>ERP_5[[#This Row],[2026 Working Total to Budget/LE]]-ERP_5[[#This Row],[Giveback]]</f>
        <v>0</v>
      </c>
      <c r="AO84" s="81"/>
      <c r="AP84" s="375"/>
      <c r="AQ84" s="375"/>
      <c r="AR84" s="375"/>
      <c r="AS84" s="375">
        <v>-16084.39</v>
      </c>
      <c r="AT84" s="375">
        <v>16084.39</v>
      </c>
      <c r="AU84" s="375"/>
      <c r="AV84" s="375"/>
      <c r="AW84" s="375"/>
      <c r="AX84" s="375"/>
      <c r="AY84" s="375"/>
      <c r="AZ84" s="375"/>
      <c r="BA84" s="375"/>
      <c r="BB84" s="375">
        <v>0</v>
      </c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</row>
    <row r="85" spans="1:67" ht="15" customHeight="1">
      <c r="A85" s="79" t="s">
        <v>2083</v>
      </c>
      <c r="B85" s="296" t="s">
        <v>2084</v>
      </c>
      <c r="C85" s="150" t="s">
        <v>1136</v>
      </c>
      <c r="D85" t="s">
        <v>1567</v>
      </c>
      <c r="E85" t="s">
        <v>1567</v>
      </c>
      <c r="F85" s="150" t="s">
        <v>1567</v>
      </c>
      <c r="G85" s="514" t="s">
        <v>389</v>
      </c>
      <c r="H85" s="394" t="s">
        <v>1699</v>
      </c>
      <c r="I85" s="343"/>
      <c r="J85" s="333"/>
      <c r="K85" s="70" t="s">
        <v>362</v>
      </c>
      <c r="L85" s="347"/>
      <c r="M85" s="343"/>
      <c r="N85" s="348"/>
      <c r="O85" s="348"/>
      <c r="P85" s="348" t="s">
        <v>1700</v>
      </c>
      <c r="Q85" s="402"/>
      <c r="R85" s="358"/>
      <c r="S85" s="379">
        <v>0</v>
      </c>
      <c r="T85" s="425"/>
      <c r="U85" s="71"/>
      <c r="V85" s="435"/>
      <c r="W85" s="436"/>
      <c r="X85" s="436"/>
      <c r="Y85" s="428" t="s">
        <v>1142</v>
      </c>
      <c r="Z85" s="429">
        <v>0</v>
      </c>
      <c r="AA85" s="429">
        <v>0</v>
      </c>
      <c r="AB85" s="364"/>
      <c r="AC85" s="364"/>
      <c r="AD85" s="364"/>
      <c r="AE85" s="364"/>
      <c r="AF85" s="364"/>
      <c r="AG85" s="364"/>
      <c r="AH85" s="360">
        <f t="shared" si="9"/>
        <v>0</v>
      </c>
      <c r="AI85" s="362">
        <f>ERP_5[[#This Row],[2026 Working Total]]-ERP_5[[#This Row],[LE2 Final Submission]]</f>
        <v>0</v>
      </c>
      <c r="AJ85" s="79">
        <v>5045.4799999999996</v>
      </c>
      <c r="AK85" s="79">
        <f t="shared" si="8"/>
        <v>-5045.4799999999996</v>
      </c>
      <c r="AL85" s="374">
        <f>SUM(ERP_5[[#This Row],[AP01]:[AP06]])-SUM(ERP_5[[#This Row],[AP01 LE2]:[AP06 LE2]])</f>
        <v>0</v>
      </c>
      <c r="AM85" s="80"/>
      <c r="AN85" s="79">
        <f>ERP_5[[#This Row],[2026 Working Total to Budget/LE]]-ERP_5[[#This Row],[Giveback]]</f>
        <v>0</v>
      </c>
      <c r="AO85" s="81"/>
      <c r="AP85" s="375"/>
      <c r="AQ85" s="375"/>
      <c r="AR85" s="375"/>
      <c r="AS85" s="375">
        <v>-5045.4799999999996</v>
      </c>
      <c r="AT85" s="375">
        <v>5045.4799999999996</v>
      </c>
      <c r="AU85" s="375"/>
      <c r="AV85" s="375"/>
      <c r="AW85" s="375"/>
      <c r="AX85" s="375"/>
      <c r="AY85" s="375"/>
      <c r="AZ85" s="375"/>
      <c r="BA85" s="375"/>
      <c r="BB85" s="375">
        <v>0</v>
      </c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</row>
    <row r="86" spans="1:67" ht="15" customHeight="1">
      <c r="A86" s="79" t="s">
        <v>1788</v>
      </c>
      <c r="B86" s="296" t="s">
        <v>415</v>
      </c>
      <c r="C86" s="150" t="s">
        <v>1136</v>
      </c>
      <c r="D86" t="s">
        <v>1135</v>
      </c>
      <c r="E86" t="s">
        <v>1135</v>
      </c>
      <c r="F86" t="s">
        <v>1135</v>
      </c>
      <c r="G86" s="514" t="s">
        <v>389</v>
      </c>
      <c r="H86" s="394" t="s">
        <v>1699</v>
      </c>
      <c r="I86" s="343"/>
      <c r="J86" s="333"/>
      <c r="K86" s="70" t="s">
        <v>362</v>
      </c>
      <c r="L86" s="347"/>
      <c r="M86" s="343"/>
      <c r="N86" s="348"/>
      <c r="O86" s="348"/>
      <c r="P86" s="348" t="s">
        <v>1700</v>
      </c>
      <c r="Q86" s="402"/>
      <c r="R86" s="358"/>
      <c r="S86" s="379">
        <v>0</v>
      </c>
      <c r="T86" s="425"/>
      <c r="U86" s="71"/>
      <c r="V86" s="435"/>
      <c r="W86" s="436"/>
      <c r="X86" s="436"/>
      <c r="Y86" s="428" t="s">
        <v>1142</v>
      </c>
      <c r="Z86" s="429">
        <v>0</v>
      </c>
      <c r="AA86" s="429">
        <v>0</v>
      </c>
      <c r="AB86" s="364"/>
      <c r="AC86" s="364"/>
      <c r="AD86" s="364"/>
      <c r="AE86" s="364"/>
      <c r="AF86" s="364"/>
      <c r="AG86" s="364"/>
      <c r="AH86" s="360">
        <f t="shared" si="9"/>
        <v>0</v>
      </c>
      <c r="AI86" s="362">
        <f>ERP_5[[#This Row],[2026 Working Total]]-ERP_5[[#This Row],[LE2 Final Submission]]</f>
        <v>0</v>
      </c>
      <c r="AJ86" s="79">
        <v>9141.65</v>
      </c>
      <c r="AK86" s="79">
        <f t="shared" si="8"/>
        <v>-9141.65</v>
      </c>
      <c r="AL86" s="374">
        <f>SUM(ERP_5[[#This Row],[AP01]:[AP06]])-SUM(ERP_5[[#This Row],[AP01 LE2]:[AP06 LE2]])</f>
        <v>0</v>
      </c>
      <c r="AM86" s="80"/>
      <c r="AN86" s="79">
        <f>ERP_5[[#This Row],[2026 Working Total to Budget/LE]]-ERP_5[[#This Row],[Giveback]]</f>
        <v>0</v>
      </c>
      <c r="AO86" s="81"/>
      <c r="AP86" s="375"/>
      <c r="AQ86" s="375"/>
      <c r="AR86" s="375"/>
      <c r="AS86" s="375">
        <v>-9141.65</v>
      </c>
      <c r="AT86" s="375">
        <v>9141.65</v>
      </c>
      <c r="AU86" s="375"/>
      <c r="AV86" s="375"/>
      <c r="AW86" s="375"/>
      <c r="AX86" s="375"/>
      <c r="AY86" s="375"/>
      <c r="AZ86" s="375"/>
      <c r="BA86" s="375"/>
      <c r="BB86" s="375">
        <v>0</v>
      </c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</row>
    <row r="87" spans="1:67" ht="15" customHeight="1">
      <c r="A87" s="79" t="s">
        <v>2769</v>
      </c>
      <c r="B87" s="296" t="s">
        <v>2770</v>
      </c>
      <c r="C87" s="150" t="s">
        <v>1136</v>
      </c>
      <c r="D87" t="s">
        <v>1567</v>
      </c>
      <c r="E87" t="s">
        <v>1567</v>
      </c>
      <c r="F87" s="150" t="s">
        <v>1567</v>
      </c>
      <c r="G87" s="514" t="s">
        <v>639</v>
      </c>
      <c r="H87" s="394" t="s">
        <v>1699</v>
      </c>
      <c r="I87" s="343"/>
      <c r="J87" s="333"/>
      <c r="K87" s="70" t="s">
        <v>362</v>
      </c>
      <c r="L87" s="347"/>
      <c r="M87" s="343"/>
      <c r="N87" s="348"/>
      <c r="O87" s="348"/>
      <c r="P87" s="348" t="s">
        <v>1700</v>
      </c>
      <c r="Q87" s="402"/>
      <c r="R87" s="358"/>
      <c r="S87" s="379">
        <v>0</v>
      </c>
      <c r="T87" s="425"/>
      <c r="U87" s="71"/>
      <c r="V87" s="435"/>
      <c r="W87" s="436"/>
      <c r="X87" s="436"/>
      <c r="Y87" s="428" t="s">
        <v>1142</v>
      </c>
      <c r="Z87" s="429">
        <v>0</v>
      </c>
      <c r="AA87" s="429">
        <v>0</v>
      </c>
      <c r="AB87" s="364"/>
      <c r="AC87" s="364"/>
      <c r="AD87" s="364"/>
      <c r="AE87" s="364"/>
      <c r="AF87" s="364"/>
      <c r="AG87" s="364"/>
      <c r="AH87" s="360">
        <f t="shared" si="9"/>
        <v>0</v>
      </c>
      <c r="AI87" s="362">
        <f>ERP_5[[#This Row],[2026 Working Total]]-ERP_5[[#This Row],[LE2 Final Submission]]</f>
        <v>0</v>
      </c>
      <c r="AJ87" s="79">
        <v>7671.84</v>
      </c>
      <c r="AK87" s="79">
        <f t="shared" si="8"/>
        <v>-7671.84</v>
      </c>
      <c r="AL87" s="374">
        <f>SUM(ERP_5[[#This Row],[AP01]:[AP06]])-SUM(ERP_5[[#This Row],[AP01 LE2]:[AP06 LE2]])</f>
        <v>0</v>
      </c>
      <c r="AM87" s="80"/>
      <c r="AN87" s="79">
        <f>ERP_5[[#This Row],[2026 Working Total to Budget/LE]]-ERP_5[[#This Row],[Giveback]]</f>
        <v>0</v>
      </c>
      <c r="AO87" s="81"/>
      <c r="AP87" s="375"/>
      <c r="AQ87" s="375"/>
      <c r="AR87" s="375"/>
      <c r="AS87" s="375">
        <v>-7671.84</v>
      </c>
      <c r="AT87" s="375">
        <v>7671.84</v>
      </c>
      <c r="AU87" s="375"/>
      <c r="AV87" s="375"/>
      <c r="AW87" s="375"/>
      <c r="AX87" s="375"/>
      <c r="AY87" s="375"/>
      <c r="AZ87" s="375"/>
      <c r="BA87" s="375"/>
      <c r="BB87" s="375">
        <v>0</v>
      </c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</row>
    <row r="88" spans="1:67" ht="15" customHeight="1">
      <c r="A88" s="150" t="s">
        <v>2085</v>
      </c>
      <c r="B88" s="296" t="s">
        <v>2086</v>
      </c>
      <c r="C88" s="150" t="s">
        <v>1136</v>
      </c>
      <c r="D88" s="150" t="s">
        <v>1567</v>
      </c>
      <c r="E88" s="150" t="s">
        <v>1567</v>
      </c>
      <c r="F88" s="150" t="s">
        <v>1567</v>
      </c>
      <c r="G88" s="514" t="s">
        <v>389</v>
      </c>
      <c r="H88" s="394" t="s">
        <v>2087</v>
      </c>
      <c r="I88" s="333"/>
      <c r="J88" s="332" t="s">
        <v>1634</v>
      </c>
      <c r="K88" s="90" t="s">
        <v>271</v>
      </c>
      <c r="L88" s="347"/>
      <c r="M88" s="347"/>
      <c r="N88" s="348"/>
      <c r="O88" s="506"/>
      <c r="P88" s="348"/>
      <c r="Q88" s="402"/>
      <c r="R88" s="406"/>
      <c r="S88" s="406"/>
      <c r="T88" s="425"/>
      <c r="U88" s="71"/>
      <c r="V88" s="435"/>
      <c r="W88" s="436"/>
      <c r="X88" s="436"/>
      <c r="Y88" s="429">
        <v>142.1</v>
      </c>
      <c r="Z88" s="429">
        <v>309.31</v>
      </c>
      <c r="AA88" s="429">
        <v>316.74</v>
      </c>
      <c r="AB88" s="364"/>
      <c r="AC88" s="364"/>
      <c r="AD88" s="364"/>
      <c r="AE88" s="364"/>
      <c r="AF88" s="364"/>
      <c r="AG88" s="364"/>
      <c r="AH88" s="360">
        <f t="shared" si="9"/>
        <v>768.15</v>
      </c>
      <c r="AI88" s="362">
        <f>ERP_5[[#This Row],[2026 Working Total]]-ERP_5[[#This Row],[LE2 Final Submission]]</f>
        <v>768.15</v>
      </c>
      <c r="AJ88" s="79"/>
      <c r="AK88" s="79">
        <f t="shared" si="8"/>
        <v>316.74</v>
      </c>
      <c r="AL88" s="374">
        <f>SUM(ERP_5[[#This Row],[AP01]:[AP06]])-SUM(ERP_5[[#This Row],[AP01 LE2]:[AP06 LE2]])</f>
        <v>768.15</v>
      </c>
      <c r="AM88" s="80"/>
      <c r="AN88" s="79">
        <f>ERP_5[[#This Row],[2026 Working Total to Budget/LE]]-ERP_5[[#This Row],[Giveback]]</f>
        <v>768.15</v>
      </c>
      <c r="AO88" s="81"/>
      <c r="AP88" s="375"/>
      <c r="AQ88" s="375"/>
      <c r="AR88" s="375"/>
      <c r="AS88" s="375"/>
      <c r="AT88" s="375"/>
      <c r="AU88" s="375"/>
      <c r="AV88" s="375"/>
      <c r="AW88" s="375"/>
      <c r="AX88" s="375"/>
      <c r="AY88" s="375"/>
      <c r="AZ88" s="375"/>
      <c r="BA88" s="375"/>
      <c r="BB88" s="375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</row>
    <row r="89" spans="1:67" ht="15" customHeight="1">
      <c r="A89" s="66" t="s">
        <v>1564</v>
      </c>
      <c r="B89" s="66" t="s">
        <v>1565</v>
      </c>
      <c r="C89" s="150" t="s">
        <v>1136</v>
      </c>
      <c r="D89" s="150" t="s">
        <v>1567</v>
      </c>
      <c r="E89" s="150" t="s">
        <v>1567</v>
      </c>
      <c r="F89" s="150" t="s">
        <v>1568</v>
      </c>
      <c r="G89" s="511" t="s">
        <v>49</v>
      </c>
      <c r="H89" s="392" t="s">
        <v>1569</v>
      </c>
      <c r="I89" s="343"/>
      <c r="J89" s="346" t="s">
        <v>1570</v>
      </c>
      <c r="K89" s="70" t="s">
        <v>271</v>
      </c>
      <c r="L89" s="346"/>
      <c r="M89" s="343"/>
      <c r="N89" s="346"/>
      <c r="O89" s="505" t="s">
        <v>272</v>
      </c>
      <c r="P89" s="150"/>
      <c r="Q89" s="403"/>
      <c r="R89" s="406">
        <v>0</v>
      </c>
      <c r="S89" s="406">
        <v>823483</v>
      </c>
      <c r="T89" s="425"/>
      <c r="U89" s="71"/>
      <c r="V89" s="426"/>
      <c r="W89" s="427"/>
      <c r="X89" s="427">
        <v>110350.46</v>
      </c>
      <c r="Y89" s="428">
        <v>184516.84999999998</v>
      </c>
      <c r="Z89" s="429">
        <v>-60761.06</v>
      </c>
      <c r="AA89" s="429">
        <v>93499.999999999985</v>
      </c>
      <c r="AB89" s="363">
        <v>71600</v>
      </c>
      <c r="AC89" s="363">
        <v>77000</v>
      </c>
      <c r="AD89" s="363">
        <v>111600</v>
      </c>
      <c r="AE89" s="363">
        <v>61600</v>
      </c>
      <c r="AF89" s="363">
        <v>77000</v>
      </c>
      <c r="AG89" s="363">
        <v>71600</v>
      </c>
      <c r="AH89" s="360">
        <f t="shared" si="9"/>
        <v>798006.25</v>
      </c>
      <c r="AI89" s="362">
        <f>ERP_5[[#This Row],[2026 Working Total]]-ERP_5[[#This Row],[LE2 Final Submission]]</f>
        <v>-25476.75</v>
      </c>
      <c r="AJ89" s="79">
        <v>-28062.46</v>
      </c>
      <c r="AK89" s="79">
        <f t="shared" si="8"/>
        <v>121562.45999999999</v>
      </c>
      <c r="AL89" s="374">
        <f>SUM(ERP_5[[#This Row],[AP01]:[AP06]])-SUM(ERP_5[[#This Row],[AP01 LE2]:[AP06 LE2]])</f>
        <v>-30936.75</v>
      </c>
      <c r="AM89" s="80"/>
      <c r="AN89" s="79">
        <f>ERP_5[[#This Row],[2026 Working Total to Budget/LE]]-ERP_5[[#This Row],[Giveback]]</f>
        <v>-25476.75</v>
      </c>
      <c r="AO89" s="81"/>
      <c r="AP89" s="375"/>
      <c r="AQ89" s="375"/>
      <c r="AR89" s="375">
        <v>110350.46</v>
      </c>
      <c r="AS89" s="375">
        <v>183665</v>
      </c>
      <c r="AT89" s="375">
        <v>-28062.46</v>
      </c>
      <c r="AU89" s="375">
        <v>92590</v>
      </c>
      <c r="AV89" s="375">
        <v>70690</v>
      </c>
      <c r="AW89" s="375">
        <v>76090</v>
      </c>
      <c r="AX89" s="375">
        <v>110690</v>
      </c>
      <c r="AY89" s="375">
        <v>60690</v>
      </c>
      <c r="AZ89" s="375">
        <v>76090</v>
      </c>
      <c r="BA89" s="375">
        <v>70690</v>
      </c>
      <c r="BB89" s="375">
        <v>823483</v>
      </c>
      <c r="BC89" s="79"/>
      <c r="BD89" s="79"/>
      <c r="BE89" s="79">
        <v>110350.46</v>
      </c>
      <c r="BF89" s="79">
        <v>95789</v>
      </c>
      <c r="BG89" s="79">
        <v>102589</v>
      </c>
      <c r="BH89" s="79">
        <v>121289</v>
      </c>
      <c r="BI89" s="79">
        <v>121389</v>
      </c>
      <c r="BJ89" s="79">
        <v>101000</v>
      </c>
      <c r="BK89" s="79">
        <v>98422</v>
      </c>
      <c r="BL89" s="79">
        <v>129000</v>
      </c>
      <c r="BM89" s="79">
        <v>66600</v>
      </c>
      <c r="BN89" s="79">
        <v>63668</v>
      </c>
      <c r="BO89" s="79">
        <v>1010096.46</v>
      </c>
    </row>
    <row r="90" spans="1:67" ht="15" customHeight="1">
      <c r="A90" s="150" t="s">
        <v>2771</v>
      </c>
      <c r="B90" s="296" t="s">
        <v>2772</v>
      </c>
      <c r="C90" s="150" t="s">
        <v>1136</v>
      </c>
      <c r="D90" s="332" t="s">
        <v>1567</v>
      </c>
      <c r="E90" s="332" t="s">
        <v>1567</v>
      </c>
      <c r="F90" s="333" t="s">
        <v>1567</v>
      </c>
      <c r="G90" s="514" t="s">
        <v>639</v>
      </c>
      <c r="H90" s="394" t="s">
        <v>2773</v>
      </c>
      <c r="I90" s="333"/>
      <c r="J90" s="332" t="s">
        <v>1634</v>
      </c>
      <c r="K90" s="90" t="s">
        <v>274</v>
      </c>
      <c r="L90" s="347"/>
      <c r="M90" s="347"/>
      <c r="N90" s="348"/>
      <c r="O90" s="506" t="s">
        <v>310</v>
      </c>
      <c r="P90" s="348"/>
      <c r="Q90" s="402"/>
      <c r="R90" s="406"/>
      <c r="S90" s="406"/>
      <c r="T90" s="425"/>
      <c r="U90" s="425"/>
      <c r="V90" s="435"/>
      <c r="W90" s="436"/>
      <c r="X90" s="436"/>
      <c r="Y90" s="436"/>
      <c r="Z90" s="429">
        <v>227</v>
      </c>
      <c r="AA90" s="429">
        <v>0</v>
      </c>
      <c r="AB90" s="364"/>
      <c r="AC90" s="364"/>
      <c r="AD90" s="364"/>
      <c r="AE90" s="364"/>
      <c r="AF90" s="364"/>
      <c r="AG90" s="364"/>
      <c r="AH90" s="360">
        <f t="shared" si="9"/>
        <v>227</v>
      </c>
      <c r="AI90" s="362">
        <f>ERP_5[[#This Row],[2026 Working Total]]-ERP_5[[#This Row],[LE2 Final Submission]]</f>
        <v>227</v>
      </c>
      <c r="AJ90" s="79"/>
      <c r="AK90" s="79">
        <f t="shared" si="8"/>
        <v>0</v>
      </c>
      <c r="AL90" s="374">
        <f>SUM(ERP_5[[#This Row],[AP01]:[AP06]])-SUM(ERP_5[[#This Row],[AP01 LE2]:[AP06 LE2]])</f>
        <v>227</v>
      </c>
      <c r="AM90" s="80"/>
      <c r="AN90" s="79">
        <f>ERP_5[[#This Row],[2026 Working Total to Budget/LE]]-ERP_5[[#This Row],[Giveback]]</f>
        <v>227</v>
      </c>
      <c r="AO90" s="81"/>
      <c r="AP90" s="375"/>
      <c r="AQ90" s="375"/>
      <c r="AR90" s="375"/>
      <c r="AS90" s="375"/>
      <c r="AT90" s="375"/>
      <c r="AU90" s="375"/>
      <c r="AV90" s="375"/>
      <c r="AW90" s="375"/>
      <c r="AX90" s="375"/>
      <c r="AY90" s="375"/>
      <c r="AZ90" s="375"/>
      <c r="BA90" s="375"/>
      <c r="BB90" s="375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</row>
    <row r="91" spans="1:67" ht="15" customHeight="1">
      <c r="A91" s="66" t="s">
        <v>2009</v>
      </c>
      <c r="B91" s="66" t="s">
        <v>522</v>
      </c>
      <c r="C91" s="150" t="s">
        <v>1136</v>
      </c>
      <c r="D91" s="150" t="s">
        <v>1345</v>
      </c>
      <c r="E91" s="150" t="s">
        <v>1345</v>
      </c>
      <c r="F91" s="150" t="s">
        <v>1346</v>
      </c>
      <c r="G91" s="511" t="s">
        <v>389</v>
      </c>
      <c r="H91" s="392" t="s">
        <v>1574</v>
      </c>
      <c r="I91" s="343"/>
      <c r="J91" s="343"/>
      <c r="K91" s="70" t="s">
        <v>274</v>
      </c>
      <c r="L91" s="346" t="s">
        <v>1139</v>
      </c>
      <c r="M91" s="343"/>
      <c r="N91" s="346"/>
      <c r="O91" s="505" t="s">
        <v>275</v>
      </c>
      <c r="P91" s="150"/>
      <c r="Q91" s="403"/>
      <c r="R91" s="406">
        <v>0</v>
      </c>
      <c r="S91" s="406">
        <v>2263.3900000000003</v>
      </c>
      <c r="T91" s="425"/>
      <c r="U91" s="71"/>
      <c r="V91" s="426">
        <v>1841.45</v>
      </c>
      <c r="W91" s="427">
        <v>1719.99</v>
      </c>
      <c r="X91" s="427">
        <v>-1298.05</v>
      </c>
      <c r="Y91" s="428">
        <v>1990.16</v>
      </c>
      <c r="Z91" s="429">
        <v>-2552.9100000000003</v>
      </c>
      <c r="AA91" s="429">
        <v>903.75000000000023</v>
      </c>
      <c r="AB91" s="360">
        <v>0</v>
      </c>
      <c r="AC91" s="360">
        <v>0</v>
      </c>
      <c r="AD91" s="360">
        <v>0</v>
      </c>
      <c r="AE91" s="360">
        <v>0</v>
      </c>
      <c r="AF91" s="360">
        <v>0</v>
      </c>
      <c r="AG91" s="360">
        <v>0</v>
      </c>
      <c r="AH91" s="360">
        <f t="shared" si="9"/>
        <v>2604.3900000000003</v>
      </c>
      <c r="AI91" s="362">
        <f>ERP_5[[#This Row],[2026 Working Total]]-ERP_5[[#This Row],[LE2 Final Submission]]</f>
        <v>341</v>
      </c>
      <c r="AJ91" s="79">
        <v>0</v>
      </c>
      <c r="AK91" s="79">
        <f t="shared" si="8"/>
        <v>903.75000000000023</v>
      </c>
      <c r="AL91" s="374">
        <f>SUM(ERP_5[[#This Row],[AP01]:[AP06]])-SUM(ERP_5[[#This Row],[AP01 LE2]:[AP06 LE2]])</f>
        <v>341</v>
      </c>
      <c r="AM91" s="80"/>
      <c r="AN91" s="79">
        <f>ERP_5[[#This Row],[2026 Working Total to Budget/LE]]-ERP_5[[#This Row],[Giveback]]</f>
        <v>341</v>
      </c>
      <c r="AO91" s="81"/>
      <c r="AP91" s="375">
        <v>1841.45</v>
      </c>
      <c r="AQ91" s="375">
        <v>1719.99</v>
      </c>
      <c r="AR91" s="375">
        <v>-1298.05</v>
      </c>
      <c r="AS91" s="375">
        <v>0</v>
      </c>
      <c r="AT91" s="375">
        <v>0</v>
      </c>
      <c r="AU91" s="375">
        <v>0</v>
      </c>
      <c r="AV91" s="375">
        <v>0</v>
      </c>
      <c r="AW91" s="375">
        <v>0</v>
      </c>
      <c r="AX91" s="375">
        <v>0</v>
      </c>
      <c r="AY91" s="375">
        <v>0</v>
      </c>
      <c r="AZ91" s="375">
        <v>0</v>
      </c>
      <c r="BA91" s="375">
        <v>0</v>
      </c>
      <c r="BB91" s="375">
        <v>2263.3900000000003</v>
      </c>
      <c r="BC91" s="79">
        <v>1841.45</v>
      </c>
      <c r="BD91" s="79">
        <v>1719.99</v>
      </c>
      <c r="BE91" s="79">
        <v>-1298.05</v>
      </c>
      <c r="BF91" s="79">
        <v>0</v>
      </c>
      <c r="BG91" s="79">
        <v>0</v>
      </c>
      <c r="BH91" s="79">
        <v>0</v>
      </c>
      <c r="BI91" s="79">
        <v>0</v>
      </c>
      <c r="BJ91" s="79">
        <v>0</v>
      </c>
      <c r="BK91" s="79">
        <v>0</v>
      </c>
      <c r="BL91" s="79">
        <v>0</v>
      </c>
      <c r="BM91" s="79">
        <v>0</v>
      </c>
      <c r="BN91" s="79">
        <v>0</v>
      </c>
      <c r="BO91" s="79">
        <v>2263.3900000000003</v>
      </c>
    </row>
    <row r="92" spans="1:67" ht="15" customHeight="1">
      <c r="A92" s="66" t="s">
        <v>2088</v>
      </c>
      <c r="B92" s="66" t="s">
        <v>2089</v>
      </c>
      <c r="C92" s="150" t="s">
        <v>1136</v>
      </c>
      <c r="D92" s="150" t="s">
        <v>1567</v>
      </c>
      <c r="E92" s="150" t="s">
        <v>1567</v>
      </c>
      <c r="F92" s="150" t="s">
        <v>1567</v>
      </c>
      <c r="G92" s="511" t="s">
        <v>389</v>
      </c>
      <c r="H92" s="392" t="s">
        <v>1574</v>
      </c>
      <c r="I92" s="343"/>
      <c r="J92" s="343"/>
      <c r="K92" s="70" t="s">
        <v>274</v>
      </c>
      <c r="L92" s="346" t="s">
        <v>1139</v>
      </c>
      <c r="M92" s="343"/>
      <c r="N92" s="346"/>
      <c r="O92" s="505" t="s">
        <v>275</v>
      </c>
      <c r="P92" s="150"/>
      <c r="Q92" s="403"/>
      <c r="R92" s="406">
        <v>0</v>
      </c>
      <c r="S92" s="406">
        <v>23735.440000000002</v>
      </c>
      <c r="T92" s="425"/>
      <c r="U92" s="71"/>
      <c r="V92" s="426"/>
      <c r="W92" s="427"/>
      <c r="X92" s="427">
        <v>3561.44</v>
      </c>
      <c r="Y92" s="428">
        <v>0</v>
      </c>
      <c r="Z92" s="429">
        <v>6253.55</v>
      </c>
      <c r="AA92" s="429">
        <v>3700.6400000000003</v>
      </c>
      <c r="AB92" s="360">
        <v>1990</v>
      </c>
      <c r="AC92" s="360">
        <v>1990</v>
      </c>
      <c r="AD92" s="360">
        <v>1990</v>
      </c>
      <c r="AE92" s="360">
        <v>1990</v>
      </c>
      <c r="AF92" s="360">
        <v>1990</v>
      </c>
      <c r="AG92" s="360">
        <v>1990</v>
      </c>
      <c r="AH92" s="360">
        <f t="shared" si="9"/>
        <v>25455.63</v>
      </c>
      <c r="AI92" s="362">
        <f>ERP_5[[#This Row],[2026 Working Total]]-ERP_5[[#This Row],[LE2 Final Submission]]</f>
        <v>1720.1899999999987</v>
      </c>
      <c r="AJ92" s="79">
        <v>6244</v>
      </c>
      <c r="AK92" s="79">
        <f t="shared" si="8"/>
        <v>-2543.3599999999997</v>
      </c>
      <c r="AL92" s="374">
        <f>SUM(ERP_5[[#This Row],[AP01]:[AP06]])-SUM(ERP_5[[#This Row],[AP01 LE2]:[AP06 LE2]])</f>
        <v>1720.1900000000005</v>
      </c>
      <c r="AM92" s="80"/>
      <c r="AN92" s="79">
        <f>ERP_5[[#This Row],[2026 Working Total to Budget/LE]]-ERP_5[[#This Row],[Giveback]]</f>
        <v>1720.1899999999987</v>
      </c>
      <c r="AO92" s="81"/>
      <c r="AP92" s="375"/>
      <c r="AQ92" s="375"/>
      <c r="AR92" s="375">
        <v>3561.44</v>
      </c>
      <c r="AS92" s="375">
        <v>0</v>
      </c>
      <c r="AT92" s="375">
        <v>6244</v>
      </c>
      <c r="AU92" s="375">
        <v>1990</v>
      </c>
      <c r="AV92" s="375">
        <v>1990</v>
      </c>
      <c r="AW92" s="375">
        <v>1990</v>
      </c>
      <c r="AX92" s="375">
        <v>1990</v>
      </c>
      <c r="AY92" s="375">
        <v>1990</v>
      </c>
      <c r="AZ92" s="375">
        <v>1990</v>
      </c>
      <c r="BA92" s="375">
        <v>1990</v>
      </c>
      <c r="BB92" s="375">
        <v>23735.440000000002</v>
      </c>
      <c r="BC92" s="79"/>
      <c r="BD92" s="79"/>
      <c r="BE92" s="79">
        <v>3561.44</v>
      </c>
      <c r="BF92" s="79">
        <v>0</v>
      </c>
      <c r="BG92" s="79">
        <v>0</v>
      </c>
      <c r="BH92" s="79">
        <v>0</v>
      </c>
      <c r="BI92" s="79">
        <v>0</v>
      </c>
      <c r="BJ92" s="79">
        <v>0</v>
      </c>
      <c r="BK92" s="79">
        <v>0</v>
      </c>
      <c r="BL92" s="79">
        <v>0</v>
      </c>
      <c r="BM92" s="79">
        <v>0</v>
      </c>
      <c r="BN92" s="79">
        <v>0</v>
      </c>
      <c r="BO92" s="79">
        <v>3561.44</v>
      </c>
    </row>
    <row r="93" spans="1:67" ht="15" customHeight="1">
      <c r="A93" s="66" t="s">
        <v>1572</v>
      </c>
      <c r="B93" s="66" t="s">
        <v>1573</v>
      </c>
      <c r="C93" s="150" t="s">
        <v>1136</v>
      </c>
      <c r="D93" s="150" t="s">
        <v>1567</v>
      </c>
      <c r="E93" s="150" t="s">
        <v>1567</v>
      </c>
      <c r="F93" s="150" t="s">
        <v>1567</v>
      </c>
      <c r="G93" s="511" t="s">
        <v>49</v>
      </c>
      <c r="H93" s="392" t="s">
        <v>1574</v>
      </c>
      <c r="I93" s="343"/>
      <c r="J93" s="343"/>
      <c r="K93" s="70" t="s">
        <v>274</v>
      </c>
      <c r="L93" s="346" t="s">
        <v>1139</v>
      </c>
      <c r="M93" s="343"/>
      <c r="N93" s="346"/>
      <c r="O93" s="505" t="s">
        <v>275</v>
      </c>
      <c r="P93" s="150"/>
      <c r="Q93" s="403"/>
      <c r="R93" s="406">
        <v>1080865</v>
      </c>
      <c r="S93" s="406">
        <v>1057129.56</v>
      </c>
      <c r="T93" s="425"/>
      <c r="U93" s="71"/>
      <c r="V93" s="426"/>
      <c r="W93" s="427"/>
      <c r="X93" s="427">
        <v>250144.68</v>
      </c>
      <c r="Y93" s="428">
        <v>54863.060000000005</v>
      </c>
      <c r="Z93" s="429">
        <v>179345.82</v>
      </c>
      <c r="AA93" s="429">
        <v>111181.9</v>
      </c>
      <c r="AB93" s="363">
        <v>64574</v>
      </c>
      <c r="AC93" s="363">
        <v>93010</v>
      </c>
      <c r="AD93" s="363">
        <v>93010</v>
      </c>
      <c r="AE93" s="363">
        <v>93010</v>
      </c>
      <c r="AF93" s="363">
        <v>93010</v>
      </c>
      <c r="AG93" s="363">
        <v>85636</v>
      </c>
      <c r="AH93" s="360">
        <f t="shared" si="9"/>
        <v>1117785.46</v>
      </c>
      <c r="AI93" s="362">
        <f>ERP_5[[#This Row],[2026 Working Total]]-ERP_5[[#This Row],[LE2 Final Submission]]</f>
        <v>60655.899999999907</v>
      </c>
      <c r="AJ93" s="79">
        <v>103425.82</v>
      </c>
      <c r="AK93" s="79">
        <f t="shared" si="8"/>
        <v>7756.0799999999872</v>
      </c>
      <c r="AL93" s="374">
        <f>SUM(ERP_5[[#This Row],[AP01]:[AP06]])-SUM(ERP_5[[#This Row],[AP01 LE2]:[AP06 LE2]])</f>
        <v>89091.899999999965</v>
      </c>
      <c r="AM93" s="80"/>
      <c r="AN93" s="79">
        <f>ERP_5[[#This Row],[2026 Working Total to Budget/LE]]-ERP_5[[#This Row],[Giveback]]</f>
        <v>60655.899999999907</v>
      </c>
      <c r="AO93" s="81"/>
      <c r="AP93" s="375"/>
      <c r="AQ93" s="375"/>
      <c r="AR93" s="375">
        <v>250144.68</v>
      </c>
      <c r="AS93" s="375">
        <v>54863.060000000005</v>
      </c>
      <c r="AT93" s="375">
        <v>103425.82</v>
      </c>
      <c r="AU93" s="375">
        <v>98010</v>
      </c>
      <c r="AV93" s="375">
        <v>93010</v>
      </c>
      <c r="AW93" s="375">
        <v>93010</v>
      </c>
      <c r="AX93" s="375">
        <v>93010</v>
      </c>
      <c r="AY93" s="375">
        <v>93010</v>
      </c>
      <c r="AZ93" s="375">
        <v>93010</v>
      </c>
      <c r="BA93" s="375">
        <v>85636</v>
      </c>
      <c r="BB93" s="375">
        <v>1057129.56</v>
      </c>
      <c r="BC93" s="79"/>
      <c r="BD93" s="79"/>
      <c r="BE93" s="79">
        <v>250144.68</v>
      </c>
      <c r="BF93" s="79">
        <v>100000</v>
      </c>
      <c r="BG93" s="79">
        <v>100000</v>
      </c>
      <c r="BH93" s="79">
        <v>101635</v>
      </c>
      <c r="BI93" s="79">
        <v>100000</v>
      </c>
      <c r="BJ93" s="79">
        <v>100000</v>
      </c>
      <c r="BK93" s="79">
        <v>100000</v>
      </c>
      <c r="BL93" s="79">
        <v>100000</v>
      </c>
      <c r="BM93" s="79">
        <v>100000</v>
      </c>
      <c r="BN93" s="79">
        <v>80033</v>
      </c>
      <c r="BO93" s="79">
        <v>1131812.68</v>
      </c>
    </row>
    <row r="94" spans="1:67" ht="15" customHeight="1">
      <c r="A94" s="66" t="s">
        <v>1576</v>
      </c>
      <c r="B94" s="66" t="s">
        <v>1577</v>
      </c>
      <c r="C94" s="150" t="s">
        <v>1136</v>
      </c>
      <c r="D94" s="150" t="s">
        <v>1567</v>
      </c>
      <c r="E94" s="150" t="s">
        <v>1567</v>
      </c>
      <c r="F94" s="150" t="s">
        <v>1567</v>
      </c>
      <c r="G94" s="511" t="s">
        <v>49</v>
      </c>
      <c r="H94" s="392" t="s">
        <v>1578</v>
      </c>
      <c r="I94" s="343"/>
      <c r="J94" s="343"/>
      <c r="K94" s="70" t="s">
        <v>277</v>
      </c>
      <c r="L94" s="346"/>
      <c r="M94" s="343"/>
      <c r="N94" s="346"/>
      <c r="O94" s="505" t="s">
        <v>272</v>
      </c>
      <c r="P94" s="150"/>
      <c r="Q94" s="403"/>
      <c r="R94" s="406">
        <v>270062</v>
      </c>
      <c r="S94" s="406">
        <v>100070</v>
      </c>
      <c r="T94" s="425"/>
      <c r="U94" s="71"/>
      <c r="V94" s="426"/>
      <c r="W94" s="427"/>
      <c r="X94" s="427"/>
      <c r="Y94" s="428" t="s">
        <v>1142</v>
      </c>
      <c r="Z94" s="429">
        <v>0</v>
      </c>
      <c r="AA94" s="429">
        <v>0</v>
      </c>
      <c r="AB94" s="360">
        <v>0</v>
      </c>
      <c r="AC94" s="363">
        <v>5000</v>
      </c>
      <c r="AD94" s="360">
        <v>24000</v>
      </c>
      <c r="AE94" s="360">
        <v>71070</v>
      </c>
      <c r="AF94" s="360">
        <v>0</v>
      </c>
      <c r="AG94" s="360">
        <v>0</v>
      </c>
      <c r="AH94" s="360">
        <f t="shared" si="9"/>
        <v>100070</v>
      </c>
      <c r="AI94" s="362">
        <f>ERP_5[[#This Row],[2026 Working Total]]-ERP_5[[#This Row],[LE2 Final Submission]]</f>
        <v>0</v>
      </c>
      <c r="AJ94" s="79">
        <v>0</v>
      </c>
      <c r="AK94" s="79">
        <f t="shared" si="8"/>
        <v>0</v>
      </c>
      <c r="AL94" s="374">
        <f>SUM(ERP_5[[#This Row],[AP01]:[AP06]])-SUM(ERP_5[[#This Row],[AP01 LE2]:[AP06 LE2]])</f>
        <v>0</v>
      </c>
      <c r="AM94" s="80"/>
      <c r="AN94" s="79">
        <f>ERP_5[[#This Row],[2026 Working Total to Budget/LE]]-ERP_5[[#This Row],[Giveback]]</f>
        <v>0</v>
      </c>
      <c r="AO94" s="81"/>
      <c r="AP94" s="375"/>
      <c r="AQ94" s="375"/>
      <c r="AR94" s="375"/>
      <c r="AS94" s="375">
        <v>0</v>
      </c>
      <c r="AT94" s="375">
        <v>0</v>
      </c>
      <c r="AU94" s="375">
        <v>0</v>
      </c>
      <c r="AV94" s="375">
        <v>0</v>
      </c>
      <c r="AW94" s="375">
        <v>5000</v>
      </c>
      <c r="AX94" s="375">
        <v>24000</v>
      </c>
      <c r="AY94" s="375">
        <v>71070</v>
      </c>
      <c r="AZ94" s="375">
        <v>0</v>
      </c>
      <c r="BA94" s="375">
        <v>0</v>
      </c>
      <c r="BB94" s="375">
        <v>100070</v>
      </c>
      <c r="BC94" s="79"/>
      <c r="BD94" s="79"/>
      <c r="BE94" s="79"/>
      <c r="BF94" s="79"/>
      <c r="BG94" s="79">
        <v>67296</v>
      </c>
      <c r="BH94" s="79">
        <v>67296</v>
      </c>
      <c r="BI94" s="79">
        <v>0</v>
      </c>
      <c r="BJ94" s="79">
        <v>135470</v>
      </c>
      <c r="BK94" s="79">
        <v>0</v>
      </c>
      <c r="BL94" s="79">
        <v>0</v>
      </c>
      <c r="BM94" s="79">
        <v>0</v>
      </c>
      <c r="BN94" s="79">
        <v>0</v>
      </c>
      <c r="BO94" s="79">
        <v>270062</v>
      </c>
    </row>
    <row r="95" spans="1:67" ht="15" customHeight="1">
      <c r="A95" s="79" t="s">
        <v>1580</v>
      </c>
      <c r="B95" s="296" t="s">
        <v>1581</v>
      </c>
      <c r="C95" s="150" t="s">
        <v>1136</v>
      </c>
      <c r="D95" s="383" t="s">
        <v>1567</v>
      </c>
      <c r="E95" s="382" t="s">
        <v>1567</v>
      </c>
      <c r="F95" s="331" t="s">
        <v>1567</v>
      </c>
      <c r="G95" s="512" t="s">
        <v>49</v>
      </c>
      <c r="H95" s="394" t="s">
        <v>1582</v>
      </c>
      <c r="I95" s="343"/>
      <c r="J95" s="331"/>
      <c r="K95" s="70" t="s">
        <v>279</v>
      </c>
      <c r="L95" s="343"/>
      <c r="M95" s="343"/>
      <c r="N95" s="346"/>
      <c r="O95" s="507" t="s">
        <v>272</v>
      </c>
      <c r="P95" s="346" t="s">
        <v>1348</v>
      </c>
      <c r="Q95" s="432"/>
      <c r="R95" s="358">
        <v>4900</v>
      </c>
      <c r="S95" s="378">
        <v>0</v>
      </c>
      <c r="T95" s="425"/>
      <c r="U95" s="71"/>
      <c r="V95" s="433"/>
      <c r="W95" s="434"/>
      <c r="X95" s="434"/>
      <c r="Y95" s="428" t="s">
        <v>1142</v>
      </c>
      <c r="Z95" s="429">
        <v>0</v>
      </c>
      <c r="AA95" s="429">
        <v>0</v>
      </c>
      <c r="AB95" s="388">
        <v>0</v>
      </c>
      <c r="AC95" s="388">
        <v>0</v>
      </c>
      <c r="AD95" s="388">
        <v>0</v>
      </c>
      <c r="AE95" s="388">
        <v>0</v>
      </c>
      <c r="AF95" s="388">
        <v>0</v>
      </c>
      <c r="AG95" s="388">
        <v>0</v>
      </c>
      <c r="AH95" s="360">
        <f t="shared" si="9"/>
        <v>0</v>
      </c>
      <c r="AI95" s="362">
        <f>ERP_5[[#This Row],[2026 Working Total]]-ERP_5[[#This Row],[LE2 Final Submission]]</f>
        <v>0</v>
      </c>
      <c r="AJ95" s="79">
        <v>0</v>
      </c>
      <c r="AK95" s="79">
        <f t="shared" si="8"/>
        <v>0</v>
      </c>
      <c r="AL95" s="374">
        <f>SUM(ERP_5[[#This Row],[AP01]:[AP06]])-SUM(ERP_5[[#This Row],[AP01 LE2]:[AP06 LE2]])</f>
        <v>0</v>
      </c>
      <c r="AM95" s="80"/>
      <c r="AN95" s="79">
        <f>ERP_5[[#This Row],[2026 Working Total to Budget/LE]]-ERP_5[[#This Row],[Giveback]]</f>
        <v>0</v>
      </c>
      <c r="AO95" s="81"/>
      <c r="AP95" s="375"/>
      <c r="AQ95" s="375"/>
      <c r="AR95" s="375"/>
      <c r="AS95" s="375">
        <v>0</v>
      </c>
      <c r="AT95" s="375">
        <v>0</v>
      </c>
      <c r="AU95" s="375">
        <v>0</v>
      </c>
      <c r="AV95" s="375">
        <v>0</v>
      </c>
      <c r="AW95" s="375">
        <v>0</v>
      </c>
      <c r="AX95" s="375">
        <v>0</v>
      </c>
      <c r="AY95" s="375">
        <v>0</v>
      </c>
      <c r="AZ95" s="375">
        <v>0</v>
      </c>
      <c r="BA95" s="375">
        <v>0</v>
      </c>
      <c r="BB95" s="375">
        <v>0</v>
      </c>
      <c r="BC95" s="103">
        <v>4900</v>
      </c>
      <c r="BD95" s="103">
        <v>0</v>
      </c>
      <c r="BE95" s="103">
        <v>0</v>
      </c>
      <c r="BF95" s="103">
        <v>0</v>
      </c>
      <c r="BG95" s="103">
        <v>0</v>
      </c>
      <c r="BH95" s="103">
        <v>0</v>
      </c>
      <c r="BI95" s="103">
        <v>0</v>
      </c>
      <c r="BJ95" s="103">
        <v>0</v>
      </c>
      <c r="BK95" s="103">
        <v>0</v>
      </c>
      <c r="BL95" s="103">
        <v>0</v>
      </c>
      <c r="BM95" s="103">
        <v>0</v>
      </c>
      <c r="BN95" s="103">
        <v>0</v>
      </c>
      <c r="BO95" s="79">
        <f>SUM(ERP_5[[#This Row],[2026 AP01]:[2026 AP12]])</f>
        <v>4900</v>
      </c>
    </row>
    <row r="96" spans="1:67" ht="15" customHeight="1">
      <c r="A96" s="150" t="s">
        <v>2090</v>
      </c>
      <c r="B96" s="296" t="s">
        <v>2091</v>
      </c>
      <c r="C96" s="150" t="s">
        <v>1136</v>
      </c>
      <c r="D96" s="332" t="s">
        <v>1567</v>
      </c>
      <c r="E96" s="332" t="s">
        <v>1567</v>
      </c>
      <c r="F96" s="333" t="s">
        <v>1567</v>
      </c>
      <c r="G96" s="514" t="s">
        <v>389</v>
      </c>
      <c r="H96" s="394" t="s">
        <v>2092</v>
      </c>
      <c r="I96" s="333"/>
      <c r="J96" s="332" t="s">
        <v>1634</v>
      </c>
      <c r="K96" s="90" t="s">
        <v>281</v>
      </c>
      <c r="L96" s="347"/>
      <c r="M96" s="348" t="s">
        <v>2093</v>
      </c>
      <c r="N96" s="348"/>
      <c r="O96" s="506"/>
      <c r="P96" s="348"/>
      <c r="Q96" s="402"/>
      <c r="R96" s="406"/>
      <c r="S96" s="406"/>
      <c r="T96" s="425"/>
      <c r="U96" s="71"/>
      <c r="V96" s="435"/>
      <c r="W96" s="436"/>
      <c r="X96" s="436"/>
      <c r="Y96" s="429"/>
      <c r="Z96" s="429">
        <v>-10419.43</v>
      </c>
      <c r="AA96" s="429">
        <v>0</v>
      </c>
      <c r="AB96" s="364"/>
      <c r="AC96" s="364"/>
      <c r="AD96" s="364"/>
      <c r="AE96" s="364"/>
      <c r="AF96" s="364"/>
      <c r="AG96" s="364"/>
      <c r="AH96" s="360">
        <f t="shared" si="9"/>
        <v>-10419.43</v>
      </c>
      <c r="AI96" s="362">
        <f>ERP_5[[#This Row],[2026 Working Total]]-ERP_5[[#This Row],[LE2 Final Submission]]</f>
        <v>-10419.43</v>
      </c>
      <c r="AJ96" s="79"/>
      <c r="AK96" s="79">
        <f t="shared" si="8"/>
        <v>0</v>
      </c>
      <c r="AL96" s="374">
        <f>SUM(ERP_5[[#This Row],[AP01]:[AP06]])-SUM(ERP_5[[#This Row],[AP01 LE2]:[AP06 LE2]])</f>
        <v>-10419.43</v>
      </c>
      <c r="AM96" s="80"/>
      <c r="AN96" s="79">
        <f>ERP_5[[#This Row],[2026 Working Total to Budget/LE]]-ERP_5[[#This Row],[Giveback]]</f>
        <v>-10419.43</v>
      </c>
      <c r="AO96" s="81"/>
      <c r="AP96" s="375"/>
      <c r="AQ96" s="375"/>
      <c r="AR96" s="375"/>
      <c r="AS96" s="375"/>
      <c r="AT96" s="375"/>
      <c r="AU96" s="375"/>
      <c r="AV96" s="375"/>
      <c r="AW96" s="375"/>
      <c r="AX96" s="375"/>
      <c r="AY96" s="375"/>
      <c r="AZ96" s="375"/>
      <c r="BA96" s="375"/>
      <c r="BB96" s="375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</row>
    <row r="97" spans="1:67" ht="15" customHeight="1">
      <c r="A97" s="66" t="s">
        <v>1583</v>
      </c>
      <c r="B97" s="66" t="s">
        <v>1584</v>
      </c>
      <c r="C97" s="150" t="s">
        <v>1136</v>
      </c>
      <c r="D97" s="150" t="s">
        <v>1567</v>
      </c>
      <c r="E97" s="150" t="s">
        <v>1567</v>
      </c>
      <c r="F97" s="150" t="s">
        <v>1567</v>
      </c>
      <c r="G97" s="511" t="s">
        <v>49</v>
      </c>
      <c r="H97" s="392" t="s">
        <v>1585</v>
      </c>
      <c r="I97" s="343"/>
      <c r="J97" s="343"/>
      <c r="K97" s="70" t="s">
        <v>281</v>
      </c>
      <c r="L97" s="346"/>
      <c r="M97" s="343"/>
      <c r="N97" s="346"/>
      <c r="O97" s="505" t="s">
        <v>272</v>
      </c>
      <c r="P97" s="150"/>
      <c r="Q97" s="403"/>
      <c r="R97" s="406">
        <v>96677</v>
      </c>
      <c r="S97" s="406">
        <v>96677</v>
      </c>
      <c r="T97" s="425"/>
      <c r="U97" s="71"/>
      <c r="V97" s="426"/>
      <c r="W97" s="427"/>
      <c r="X97" s="427">
        <v>-1032</v>
      </c>
      <c r="Y97" s="428">
        <v>0</v>
      </c>
      <c r="Z97" s="429">
        <v>0</v>
      </c>
      <c r="AA97" s="429">
        <v>0</v>
      </c>
      <c r="AB97" s="360">
        <v>100</v>
      </c>
      <c r="AC97" s="363">
        <v>250</v>
      </c>
      <c r="AD97" s="363">
        <v>76422</v>
      </c>
      <c r="AE97" s="360">
        <v>250</v>
      </c>
      <c r="AF97" s="360">
        <v>10290</v>
      </c>
      <c r="AG97" s="360">
        <v>10297</v>
      </c>
      <c r="AH97" s="360">
        <f t="shared" si="9"/>
        <v>96577</v>
      </c>
      <c r="AI97" s="362">
        <f>ERP_5[[#This Row],[2026 Working Total]]-ERP_5[[#This Row],[LE2 Final Submission]]</f>
        <v>-100</v>
      </c>
      <c r="AJ97" s="79">
        <v>0</v>
      </c>
      <c r="AK97" s="79">
        <f t="shared" si="8"/>
        <v>0</v>
      </c>
      <c r="AL97" s="374">
        <f>SUM(ERP_5[[#This Row],[AP01]:[AP06]])-SUM(ERP_5[[#This Row],[AP01 LE2]:[AP06 LE2]])</f>
        <v>-100</v>
      </c>
      <c r="AM97" s="80"/>
      <c r="AN97" s="79">
        <f>ERP_5[[#This Row],[2026 Working Total to Budget/LE]]-ERP_5[[#This Row],[Giveback]]</f>
        <v>-100</v>
      </c>
      <c r="AO97" s="81"/>
      <c r="AP97" s="375"/>
      <c r="AQ97" s="375"/>
      <c r="AR97" s="375">
        <v>-1032</v>
      </c>
      <c r="AS97" s="375">
        <v>0</v>
      </c>
      <c r="AT97" s="375">
        <v>0</v>
      </c>
      <c r="AU97" s="375">
        <v>100</v>
      </c>
      <c r="AV97" s="375">
        <v>100</v>
      </c>
      <c r="AW97" s="375">
        <v>250</v>
      </c>
      <c r="AX97" s="375">
        <v>76422</v>
      </c>
      <c r="AY97" s="375">
        <v>250</v>
      </c>
      <c r="AZ97" s="375">
        <v>10290</v>
      </c>
      <c r="BA97" s="375">
        <v>10297</v>
      </c>
      <c r="BB97" s="375">
        <v>96677</v>
      </c>
      <c r="BC97" s="79"/>
      <c r="BD97" s="79"/>
      <c r="BE97" s="79">
        <v>-1032</v>
      </c>
      <c r="BF97" s="79">
        <v>-19688</v>
      </c>
      <c r="BG97" s="79">
        <v>25767</v>
      </c>
      <c r="BH97" s="79">
        <v>31112</v>
      </c>
      <c r="BI97" s="79">
        <v>0</v>
      </c>
      <c r="BJ97" s="79">
        <v>10040</v>
      </c>
      <c r="BK97" s="79">
        <v>5023</v>
      </c>
      <c r="BL97" s="79">
        <v>0</v>
      </c>
      <c r="BM97" s="79">
        <v>0</v>
      </c>
      <c r="BN97" s="79">
        <v>0</v>
      </c>
      <c r="BO97" s="79">
        <v>51222</v>
      </c>
    </row>
    <row r="98" spans="1:67" ht="15" customHeight="1">
      <c r="A98" s="66" t="s">
        <v>1587</v>
      </c>
      <c r="B98" s="66" t="s">
        <v>1588</v>
      </c>
      <c r="C98" s="150" t="s">
        <v>1136</v>
      </c>
      <c r="D98" s="150" t="s">
        <v>1567</v>
      </c>
      <c r="E98" s="150" t="s">
        <v>1567</v>
      </c>
      <c r="F98" s="150" t="s">
        <v>1567</v>
      </c>
      <c r="G98" s="511" t="s">
        <v>49</v>
      </c>
      <c r="H98" s="392" t="s">
        <v>1589</v>
      </c>
      <c r="I98" s="343"/>
      <c r="J98" s="343"/>
      <c r="K98" s="70" t="s">
        <v>283</v>
      </c>
      <c r="L98" s="346"/>
      <c r="M98" s="343"/>
      <c r="N98" s="346"/>
      <c r="O98" s="505" t="s">
        <v>272</v>
      </c>
      <c r="P98" s="150"/>
      <c r="Q98" s="403"/>
      <c r="R98" s="406">
        <v>49920</v>
      </c>
      <c r="S98" s="406">
        <v>37752</v>
      </c>
      <c r="T98" s="425"/>
      <c r="U98" s="71"/>
      <c r="V98" s="426"/>
      <c r="W98" s="427"/>
      <c r="X98" s="427"/>
      <c r="Y98" s="428" t="s">
        <v>1142</v>
      </c>
      <c r="Z98" s="429">
        <v>0</v>
      </c>
      <c r="AA98" s="429">
        <v>0</v>
      </c>
      <c r="AB98" s="363">
        <v>7550</v>
      </c>
      <c r="AC98" s="363">
        <v>9060</v>
      </c>
      <c r="AD98" s="363">
        <v>9060</v>
      </c>
      <c r="AE98" s="363">
        <v>0</v>
      </c>
      <c r="AF98" s="360">
        <v>6040</v>
      </c>
      <c r="AG98" s="363">
        <v>6042</v>
      </c>
      <c r="AH98" s="360">
        <f t="shared" si="9"/>
        <v>37752</v>
      </c>
      <c r="AI98" s="362">
        <f>ERP_5[[#This Row],[2026 Working Total]]-ERP_5[[#This Row],[LE2 Final Submission]]</f>
        <v>0</v>
      </c>
      <c r="AJ98" s="79">
        <v>0</v>
      </c>
      <c r="AK98" s="79">
        <f t="shared" si="8"/>
        <v>0</v>
      </c>
      <c r="AL98" s="374">
        <f>SUM(ERP_5[[#This Row],[AP01]:[AP06]])-SUM(ERP_5[[#This Row],[AP01 LE2]:[AP06 LE2]])</f>
        <v>0</v>
      </c>
      <c r="AM98" s="80"/>
      <c r="AN98" s="79">
        <f>ERP_5[[#This Row],[2026 Working Total to Budget/LE]]-ERP_5[[#This Row],[Giveback]]</f>
        <v>0</v>
      </c>
      <c r="AO98" s="81"/>
      <c r="AP98" s="375"/>
      <c r="AQ98" s="375"/>
      <c r="AR98" s="375"/>
      <c r="AS98" s="375">
        <v>0</v>
      </c>
      <c r="AT98" s="375">
        <v>0</v>
      </c>
      <c r="AU98" s="375">
        <v>0</v>
      </c>
      <c r="AV98" s="375">
        <v>7550</v>
      </c>
      <c r="AW98" s="375">
        <v>9060</v>
      </c>
      <c r="AX98" s="375">
        <v>9060</v>
      </c>
      <c r="AY98" s="375">
        <v>0</v>
      </c>
      <c r="AZ98" s="375">
        <v>6040</v>
      </c>
      <c r="BA98" s="375">
        <v>6042</v>
      </c>
      <c r="BB98" s="375">
        <v>37752</v>
      </c>
      <c r="BC98" s="79"/>
      <c r="BD98" s="79"/>
      <c r="BE98" s="79"/>
      <c r="BF98" s="79">
        <v>2500</v>
      </c>
      <c r="BG98" s="79">
        <v>2500</v>
      </c>
      <c r="BH98" s="79">
        <v>10050</v>
      </c>
      <c r="BI98" s="79">
        <v>17644</v>
      </c>
      <c r="BJ98" s="79">
        <v>17644</v>
      </c>
      <c r="BK98" s="79">
        <v>8540</v>
      </c>
      <c r="BL98" s="79">
        <v>6042</v>
      </c>
      <c r="BM98" s="79">
        <v>0</v>
      </c>
      <c r="BN98" s="79">
        <v>-40000</v>
      </c>
      <c r="BO98" s="79">
        <v>24920</v>
      </c>
    </row>
    <row r="99" spans="1:67" ht="15" customHeight="1">
      <c r="A99" s="66" t="s">
        <v>2851</v>
      </c>
      <c r="B99" s="66" t="s">
        <v>2852</v>
      </c>
      <c r="C99" s="150" t="s">
        <v>1136</v>
      </c>
      <c r="D99" s="150" t="s">
        <v>1345</v>
      </c>
      <c r="E99" s="150" t="s">
        <v>1346</v>
      </c>
      <c r="F99" s="150" t="s">
        <v>1346</v>
      </c>
      <c r="G99" s="511" t="s">
        <v>1037</v>
      </c>
      <c r="H99" s="392" t="s">
        <v>2853</v>
      </c>
      <c r="I99" s="343"/>
      <c r="J99" s="343"/>
      <c r="K99" s="70" t="s">
        <v>1044</v>
      </c>
      <c r="L99" s="346"/>
      <c r="M99" s="343"/>
      <c r="N99" s="346"/>
      <c r="O99" s="150" t="s">
        <v>272</v>
      </c>
      <c r="P99" s="150"/>
      <c r="Q99" s="403"/>
      <c r="R99" s="406">
        <v>0</v>
      </c>
      <c r="S99" s="406">
        <v>485.43</v>
      </c>
      <c r="T99" s="425"/>
      <c r="U99" s="71"/>
      <c r="V99" s="426"/>
      <c r="W99" s="427"/>
      <c r="X99" s="427">
        <v>485.43</v>
      </c>
      <c r="Y99" s="428" t="s">
        <v>1142</v>
      </c>
      <c r="Z99" s="429">
        <v>0</v>
      </c>
      <c r="AA99" s="429">
        <v>0</v>
      </c>
      <c r="AB99" s="360">
        <v>0</v>
      </c>
      <c r="AC99" s="360">
        <v>0</v>
      </c>
      <c r="AD99" s="360">
        <v>0</v>
      </c>
      <c r="AE99" s="360">
        <v>0</v>
      </c>
      <c r="AF99" s="360">
        <v>0</v>
      </c>
      <c r="AG99" s="360">
        <v>0</v>
      </c>
      <c r="AH99" s="360">
        <f t="shared" si="9"/>
        <v>485.43</v>
      </c>
      <c r="AI99" s="362">
        <f>ERP_5[[#This Row],[2026 Working Total]]-ERP_5[[#This Row],[LE2 Final Submission]]</f>
        <v>0</v>
      </c>
      <c r="AJ99" s="79">
        <v>0</v>
      </c>
      <c r="AK99" s="79">
        <f t="shared" si="8"/>
        <v>0</v>
      </c>
      <c r="AL99" s="374">
        <f>SUM(ERP_5[[#This Row],[AP01]:[AP06]])-SUM(ERP_5[[#This Row],[AP01 LE2]:[AP06 LE2]])</f>
        <v>0</v>
      </c>
      <c r="AM99" s="80"/>
      <c r="AN99" s="79">
        <f>ERP_5[[#This Row],[2026 Working Total to Budget/LE]]-ERP_5[[#This Row],[Giveback]]</f>
        <v>0</v>
      </c>
      <c r="AO99" s="81"/>
      <c r="AP99" s="375"/>
      <c r="AQ99" s="375"/>
      <c r="AR99" s="375">
        <v>485.43</v>
      </c>
      <c r="AS99" s="375">
        <v>0</v>
      </c>
      <c r="AT99" s="375">
        <v>0</v>
      </c>
      <c r="AU99" s="375">
        <v>0</v>
      </c>
      <c r="AV99" s="375">
        <v>0</v>
      </c>
      <c r="AW99" s="375">
        <v>0</v>
      </c>
      <c r="AX99" s="375">
        <v>0</v>
      </c>
      <c r="AY99" s="375">
        <v>0</v>
      </c>
      <c r="AZ99" s="375">
        <v>0</v>
      </c>
      <c r="BA99" s="375">
        <v>0</v>
      </c>
      <c r="BB99" s="375">
        <v>485.43</v>
      </c>
      <c r="BC99" s="79"/>
      <c r="BD99" s="79"/>
      <c r="BE99" s="79">
        <v>485.43</v>
      </c>
      <c r="BF99" s="79">
        <v>0</v>
      </c>
      <c r="BG99" s="79">
        <v>0</v>
      </c>
      <c r="BH99" s="79">
        <v>0</v>
      </c>
      <c r="BI99" s="79">
        <v>0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485.43</v>
      </c>
    </row>
    <row r="100" spans="1:67" ht="15" customHeight="1">
      <c r="A100" s="66" t="s">
        <v>2774</v>
      </c>
      <c r="B100" s="66" t="s">
        <v>2775</v>
      </c>
      <c r="C100" s="150" t="s">
        <v>1136</v>
      </c>
      <c r="D100" s="150" t="s">
        <v>1345</v>
      </c>
      <c r="E100" s="150" t="s">
        <v>1346</v>
      </c>
      <c r="F100" s="150" t="s">
        <v>1346</v>
      </c>
      <c r="G100" s="511" t="s">
        <v>639</v>
      </c>
      <c r="H100" s="392" t="s">
        <v>1138</v>
      </c>
      <c r="I100" s="343"/>
      <c r="J100" s="343"/>
      <c r="K100" s="70" t="s">
        <v>51</v>
      </c>
      <c r="L100" s="346" t="s">
        <v>1139</v>
      </c>
      <c r="M100" s="346" t="s">
        <v>1140</v>
      </c>
      <c r="N100" s="346"/>
      <c r="O100" s="150" t="s">
        <v>25</v>
      </c>
      <c r="P100" s="150"/>
      <c r="Q100" s="403"/>
      <c r="R100" s="406">
        <v>0</v>
      </c>
      <c r="S100" s="406">
        <v>3227.2200000000003</v>
      </c>
      <c r="T100" s="430"/>
      <c r="U100" s="137"/>
      <c r="V100" s="426"/>
      <c r="W100" s="427">
        <v>1859.42</v>
      </c>
      <c r="X100" s="427">
        <v>1367.8</v>
      </c>
      <c r="Y100" s="428">
        <v>0</v>
      </c>
      <c r="Z100" s="429">
        <v>682.06</v>
      </c>
      <c r="AA100" s="429">
        <v>91.56</v>
      </c>
      <c r="AB100" s="360">
        <v>0</v>
      </c>
      <c r="AC100" s="360">
        <v>0</v>
      </c>
      <c r="AD100" s="360">
        <v>0</v>
      </c>
      <c r="AE100" s="360">
        <v>0</v>
      </c>
      <c r="AF100" s="360">
        <v>0</v>
      </c>
      <c r="AG100" s="360">
        <v>0</v>
      </c>
      <c r="AH100" s="360">
        <f t="shared" si="9"/>
        <v>4000.84</v>
      </c>
      <c r="AI100" s="362">
        <f>ERP_5[[#This Row],[2026 Working Total]]-ERP_5[[#This Row],[LE2 Final Submission]]</f>
        <v>773.61999999999989</v>
      </c>
      <c r="AJ100" s="79">
        <v>0</v>
      </c>
      <c r="AK100" s="79">
        <f t="shared" si="8"/>
        <v>91.56</v>
      </c>
      <c r="AL100" s="374">
        <f>SUM(ERP_5[[#This Row],[AP01]:[AP06]])-SUM(ERP_5[[#This Row],[AP01 LE2]:[AP06 LE2]])</f>
        <v>773.61999999999989</v>
      </c>
      <c r="AM100" s="80"/>
      <c r="AN100" s="79">
        <f>ERP_5[[#This Row],[2026 Working Total to Budget/LE]]-ERP_5[[#This Row],[Giveback]]</f>
        <v>773.61999999999989</v>
      </c>
      <c r="AO100" s="81"/>
      <c r="AP100" s="375"/>
      <c r="AQ100" s="375">
        <v>1859.42</v>
      </c>
      <c r="AR100" s="375">
        <v>1367.8</v>
      </c>
      <c r="AS100" s="375">
        <v>0</v>
      </c>
      <c r="AT100" s="375">
        <v>0</v>
      </c>
      <c r="AU100" s="375">
        <v>0</v>
      </c>
      <c r="AV100" s="375">
        <v>0</v>
      </c>
      <c r="AW100" s="375">
        <v>0</v>
      </c>
      <c r="AX100" s="375">
        <v>0</v>
      </c>
      <c r="AY100" s="375">
        <v>0</v>
      </c>
      <c r="AZ100" s="375">
        <v>0</v>
      </c>
      <c r="BA100" s="375">
        <v>0</v>
      </c>
      <c r="BB100" s="375">
        <v>3227.2200000000003</v>
      </c>
      <c r="BC100" s="79"/>
      <c r="BD100" s="79">
        <v>1859.42</v>
      </c>
      <c r="BE100" s="79">
        <v>1367.8</v>
      </c>
      <c r="BF100" s="79">
        <v>0</v>
      </c>
      <c r="BG100" s="79">
        <v>0</v>
      </c>
      <c r="BH100" s="79">
        <v>0</v>
      </c>
      <c r="BI100" s="79">
        <v>0</v>
      </c>
      <c r="BJ100" s="79">
        <v>0</v>
      </c>
      <c r="BK100" s="79">
        <v>0</v>
      </c>
      <c r="BL100" s="79">
        <v>0</v>
      </c>
      <c r="BM100" s="79">
        <v>0</v>
      </c>
      <c r="BN100" s="79">
        <v>0</v>
      </c>
      <c r="BO100" s="79">
        <v>3227.2200000000003</v>
      </c>
    </row>
    <row r="101" spans="1:67" ht="15" customHeight="1">
      <c r="A101" s="79" t="s">
        <v>2247</v>
      </c>
      <c r="B101" s="296" t="s">
        <v>666</v>
      </c>
      <c r="C101" s="150" t="s">
        <v>1136</v>
      </c>
      <c r="D101" t="s">
        <v>1135</v>
      </c>
      <c r="E101" t="s">
        <v>1135</v>
      </c>
      <c r="F101" t="s">
        <v>1135</v>
      </c>
      <c r="G101" s="514" t="s">
        <v>639</v>
      </c>
      <c r="H101" s="394" t="s">
        <v>1699</v>
      </c>
      <c r="I101" s="343"/>
      <c r="J101" s="333"/>
      <c r="K101" s="70" t="s">
        <v>362</v>
      </c>
      <c r="L101" s="347"/>
      <c r="M101" s="343"/>
      <c r="N101" s="348"/>
      <c r="O101" s="348"/>
      <c r="P101" s="348" t="s">
        <v>1700</v>
      </c>
      <c r="Q101" s="402"/>
      <c r="R101" s="358"/>
      <c r="S101" s="379">
        <v>0</v>
      </c>
      <c r="T101" s="430"/>
      <c r="U101" s="137"/>
      <c r="V101" s="435"/>
      <c r="W101" s="436"/>
      <c r="X101" s="436"/>
      <c r="Y101" s="428" t="s">
        <v>1142</v>
      </c>
      <c r="Z101" s="429">
        <v>0</v>
      </c>
      <c r="AA101" s="429">
        <v>0</v>
      </c>
      <c r="AB101" s="364"/>
      <c r="AC101" s="364"/>
      <c r="AD101" s="364"/>
      <c r="AE101" s="364"/>
      <c r="AF101" s="364"/>
      <c r="AG101" s="364"/>
      <c r="AH101" s="360">
        <f t="shared" si="9"/>
        <v>0</v>
      </c>
      <c r="AI101" s="362">
        <f>ERP_5[[#This Row],[2026 Working Total]]-ERP_5[[#This Row],[LE2 Final Submission]]</f>
        <v>0</v>
      </c>
      <c r="AJ101" s="79">
        <v>84081.45</v>
      </c>
      <c r="AK101" s="79">
        <f t="shared" si="8"/>
        <v>-84081.45</v>
      </c>
      <c r="AL101" s="374">
        <f>SUM(ERP_5[[#This Row],[AP01]:[AP06]])-SUM(ERP_5[[#This Row],[AP01 LE2]:[AP06 LE2]])</f>
        <v>0</v>
      </c>
      <c r="AM101" s="80"/>
      <c r="AN101" s="79">
        <f>ERP_5[[#This Row],[2026 Working Total to Budget/LE]]-ERP_5[[#This Row],[Giveback]]</f>
        <v>0</v>
      </c>
      <c r="AO101" s="81"/>
      <c r="AP101" s="375"/>
      <c r="AQ101" s="375"/>
      <c r="AR101" s="375"/>
      <c r="AS101" s="375">
        <v>-84081.45</v>
      </c>
      <c r="AT101" s="375">
        <v>84081.45</v>
      </c>
      <c r="AU101" s="375"/>
      <c r="AV101" s="375"/>
      <c r="AW101" s="375"/>
      <c r="AX101" s="375"/>
      <c r="AY101" s="375"/>
      <c r="AZ101" s="375"/>
      <c r="BA101" s="375"/>
      <c r="BB101" s="375">
        <v>0</v>
      </c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</row>
    <row r="102" spans="1:67" ht="15" customHeight="1">
      <c r="A102" s="66" t="s">
        <v>2605</v>
      </c>
      <c r="B102" s="66" t="s">
        <v>901</v>
      </c>
      <c r="C102" s="150" t="s">
        <v>1136</v>
      </c>
      <c r="D102" s="150" t="s">
        <v>1345</v>
      </c>
      <c r="E102" s="150" t="s">
        <v>1344</v>
      </c>
      <c r="F102" s="150" t="s">
        <v>1346</v>
      </c>
      <c r="G102" s="511" t="s">
        <v>639</v>
      </c>
      <c r="H102" s="392" t="s">
        <v>1138</v>
      </c>
      <c r="I102" s="343"/>
      <c r="J102" s="343"/>
      <c r="K102" s="70" t="s">
        <v>51</v>
      </c>
      <c r="L102" s="346" t="s">
        <v>1139</v>
      </c>
      <c r="M102" s="346" t="s">
        <v>1140</v>
      </c>
      <c r="N102" s="346"/>
      <c r="O102" s="150" t="s">
        <v>25</v>
      </c>
      <c r="P102" s="150"/>
      <c r="Q102" s="403"/>
      <c r="R102" s="406">
        <v>0</v>
      </c>
      <c r="S102" s="406">
        <v>2288.52</v>
      </c>
      <c r="T102" s="425"/>
      <c r="U102" s="71"/>
      <c r="V102" s="426"/>
      <c r="W102" s="427">
        <v>2188.1999999999998</v>
      </c>
      <c r="X102" s="427">
        <v>100.32</v>
      </c>
      <c r="Y102" s="428">
        <v>0</v>
      </c>
      <c r="Z102" s="429">
        <v>0</v>
      </c>
      <c r="AA102" s="429">
        <v>0</v>
      </c>
      <c r="AB102" s="360">
        <v>0</v>
      </c>
      <c r="AC102" s="360">
        <v>0</v>
      </c>
      <c r="AD102" s="360">
        <v>0</v>
      </c>
      <c r="AE102" s="360">
        <v>0</v>
      </c>
      <c r="AF102" s="360">
        <v>0</v>
      </c>
      <c r="AG102" s="360">
        <v>0</v>
      </c>
      <c r="AH102" s="360">
        <f t="shared" si="9"/>
        <v>2288.52</v>
      </c>
      <c r="AI102" s="362">
        <f>ERP_5[[#This Row],[2026 Working Total]]-ERP_5[[#This Row],[LE2 Final Submission]]</f>
        <v>0</v>
      </c>
      <c r="AJ102" s="79">
        <v>0</v>
      </c>
      <c r="AK102" s="79">
        <f t="shared" si="8"/>
        <v>0</v>
      </c>
      <c r="AL102" s="374">
        <f>SUM(ERP_5[[#This Row],[AP01]:[AP06]])-SUM(ERP_5[[#This Row],[AP01 LE2]:[AP06 LE2]])</f>
        <v>0</v>
      </c>
      <c r="AM102" s="80"/>
      <c r="AN102" s="79">
        <f>ERP_5[[#This Row],[2026 Working Total to Budget/LE]]-ERP_5[[#This Row],[Giveback]]</f>
        <v>0</v>
      </c>
      <c r="AO102" s="81"/>
      <c r="AP102" s="375"/>
      <c r="AQ102" s="375">
        <v>2188.1999999999998</v>
      </c>
      <c r="AR102" s="375">
        <v>100.32</v>
      </c>
      <c r="AS102" s="375">
        <v>0</v>
      </c>
      <c r="AT102" s="375">
        <v>0</v>
      </c>
      <c r="AU102" s="375">
        <v>0</v>
      </c>
      <c r="AV102" s="375">
        <v>0</v>
      </c>
      <c r="AW102" s="375">
        <v>0</v>
      </c>
      <c r="AX102" s="375">
        <v>0</v>
      </c>
      <c r="AY102" s="375">
        <v>0</v>
      </c>
      <c r="AZ102" s="375">
        <v>0</v>
      </c>
      <c r="BA102" s="375">
        <v>0</v>
      </c>
      <c r="BB102" s="375">
        <v>2288.52</v>
      </c>
      <c r="BC102" s="79"/>
      <c r="BD102" s="79">
        <v>2188.1999999999998</v>
      </c>
      <c r="BE102" s="79">
        <v>100.32</v>
      </c>
      <c r="BF102" s="79">
        <v>0</v>
      </c>
      <c r="BG102" s="79">
        <v>0</v>
      </c>
      <c r="BH102" s="79">
        <v>0</v>
      </c>
      <c r="BI102" s="79">
        <v>0</v>
      </c>
      <c r="BJ102" s="79">
        <v>0</v>
      </c>
      <c r="BK102" s="79">
        <v>0</v>
      </c>
      <c r="BL102" s="79">
        <v>0</v>
      </c>
      <c r="BM102" s="79">
        <v>0</v>
      </c>
      <c r="BN102" s="79">
        <v>0</v>
      </c>
      <c r="BO102" s="79">
        <v>2288.52</v>
      </c>
    </row>
    <row r="103" spans="1:67" ht="15" customHeight="1">
      <c r="A103" s="66" t="s">
        <v>2664</v>
      </c>
      <c r="B103" s="66" t="s">
        <v>940</v>
      </c>
      <c r="C103" s="150" t="s">
        <v>1136</v>
      </c>
      <c r="D103" s="150" t="s">
        <v>1345</v>
      </c>
      <c r="E103" s="150" t="s">
        <v>1345</v>
      </c>
      <c r="F103" s="150" t="s">
        <v>1346</v>
      </c>
      <c r="G103" s="511" t="s">
        <v>639</v>
      </c>
      <c r="H103" s="392" t="s">
        <v>1138</v>
      </c>
      <c r="I103" s="343"/>
      <c r="J103" s="343"/>
      <c r="K103" s="70" t="s">
        <v>51</v>
      </c>
      <c r="L103" s="346" t="s">
        <v>1139</v>
      </c>
      <c r="M103" s="346" t="s">
        <v>1140</v>
      </c>
      <c r="N103" s="346"/>
      <c r="O103" s="150" t="s">
        <v>25</v>
      </c>
      <c r="P103" s="150"/>
      <c r="Q103" s="403"/>
      <c r="R103" s="406">
        <v>0</v>
      </c>
      <c r="S103" s="406">
        <v>218.76</v>
      </c>
      <c r="T103" s="430"/>
      <c r="U103" s="137"/>
      <c r="V103" s="426"/>
      <c r="W103" s="427">
        <v>218.76</v>
      </c>
      <c r="X103" s="431">
        <v>0</v>
      </c>
      <c r="Y103" s="428">
        <v>0</v>
      </c>
      <c r="Z103" s="429">
        <v>0</v>
      </c>
      <c r="AA103" s="429">
        <v>0</v>
      </c>
      <c r="AB103" s="360">
        <v>0</v>
      </c>
      <c r="AC103" s="360">
        <v>0</v>
      </c>
      <c r="AD103" s="360">
        <v>0</v>
      </c>
      <c r="AE103" s="360">
        <v>0</v>
      </c>
      <c r="AF103" s="360">
        <v>0</v>
      </c>
      <c r="AG103" s="360">
        <v>0</v>
      </c>
      <c r="AH103" s="360">
        <f t="shared" si="9"/>
        <v>218.76</v>
      </c>
      <c r="AI103" s="362">
        <f>ERP_5[[#This Row],[2026 Working Total]]-ERP_5[[#This Row],[LE2 Final Submission]]</f>
        <v>0</v>
      </c>
      <c r="AJ103" s="79">
        <v>0</v>
      </c>
      <c r="AK103" s="79">
        <f t="shared" si="8"/>
        <v>0</v>
      </c>
      <c r="AL103" s="374">
        <f>SUM(ERP_5[[#This Row],[AP01]:[AP06]])-SUM(ERP_5[[#This Row],[AP01 LE2]:[AP06 LE2]])</f>
        <v>0</v>
      </c>
      <c r="AM103" s="80"/>
      <c r="AN103" s="79">
        <f>ERP_5[[#This Row],[2026 Working Total to Budget/LE]]-ERP_5[[#This Row],[Giveback]]</f>
        <v>0</v>
      </c>
      <c r="AO103" s="81"/>
      <c r="AP103" s="375"/>
      <c r="AQ103" s="375">
        <v>218.76</v>
      </c>
      <c r="AR103" s="375">
        <v>0</v>
      </c>
      <c r="AS103" s="375">
        <v>0</v>
      </c>
      <c r="AT103" s="375">
        <v>0</v>
      </c>
      <c r="AU103" s="375">
        <v>0</v>
      </c>
      <c r="AV103" s="375">
        <v>0</v>
      </c>
      <c r="AW103" s="375">
        <v>0</v>
      </c>
      <c r="AX103" s="375">
        <v>0</v>
      </c>
      <c r="AY103" s="375">
        <v>0</v>
      </c>
      <c r="AZ103" s="375">
        <v>0</v>
      </c>
      <c r="BA103" s="375">
        <v>0</v>
      </c>
      <c r="BB103" s="375">
        <v>218.76</v>
      </c>
      <c r="BC103" s="79"/>
      <c r="BD103" s="79">
        <v>218.76</v>
      </c>
      <c r="BE103" s="79">
        <v>0</v>
      </c>
      <c r="BF103" s="79">
        <v>0</v>
      </c>
      <c r="BG103" s="79">
        <v>0</v>
      </c>
      <c r="BH103" s="79">
        <v>0</v>
      </c>
      <c r="BI103" s="79">
        <v>0</v>
      </c>
      <c r="BJ103" s="79">
        <v>0</v>
      </c>
      <c r="BK103" s="79">
        <v>0</v>
      </c>
      <c r="BL103" s="79">
        <v>0</v>
      </c>
      <c r="BM103" s="79">
        <v>0</v>
      </c>
      <c r="BN103" s="79">
        <v>0</v>
      </c>
      <c r="BO103" s="79">
        <v>218.76</v>
      </c>
    </row>
    <row r="104" spans="1:67" ht="15" customHeight="1">
      <c r="A104" s="66" t="s">
        <v>2702</v>
      </c>
      <c r="B104" s="66" t="s">
        <v>956</v>
      </c>
      <c r="C104" s="150" t="s">
        <v>1136</v>
      </c>
      <c r="D104" s="150" t="s">
        <v>1345</v>
      </c>
      <c r="E104" s="150" t="s">
        <v>1450</v>
      </c>
      <c r="F104" s="150" t="s">
        <v>1346</v>
      </c>
      <c r="G104" s="511" t="s">
        <v>639</v>
      </c>
      <c r="H104" s="392" t="s">
        <v>1138</v>
      </c>
      <c r="I104" s="343"/>
      <c r="J104" s="343"/>
      <c r="K104" s="70" t="s">
        <v>51</v>
      </c>
      <c r="L104" s="346" t="s">
        <v>1139</v>
      </c>
      <c r="M104" s="346" t="s">
        <v>1140</v>
      </c>
      <c r="N104" s="346"/>
      <c r="O104" s="150" t="s">
        <v>25</v>
      </c>
      <c r="P104" s="150"/>
      <c r="Q104" s="403"/>
      <c r="R104" s="406">
        <v>0</v>
      </c>
      <c r="S104" s="406">
        <v>431.03</v>
      </c>
      <c r="T104" s="430"/>
      <c r="U104" s="137"/>
      <c r="V104" s="426"/>
      <c r="W104" s="427">
        <v>431.03</v>
      </c>
      <c r="X104" s="431">
        <v>0</v>
      </c>
      <c r="Y104" s="428">
        <v>0</v>
      </c>
      <c r="Z104" s="429">
        <v>0</v>
      </c>
      <c r="AA104" s="429">
        <v>0</v>
      </c>
      <c r="AB104" s="360">
        <v>0</v>
      </c>
      <c r="AC104" s="360">
        <v>0</v>
      </c>
      <c r="AD104" s="360">
        <v>0</v>
      </c>
      <c r="AE104" s="360">
        <v>0</v>
      </c>
      <c r="AF104" s="360">
        <v>0</v>
      </c>
      <c r="AG104" s="360">
        <v>0</v>
      </c>
      <c r="AH104" s="360">
        <f t="shared" si="9"/>
        <v>431.03</v>
      </c>
      <c r="AI104" s="362">
        <f>ERP_5[[#This Row],[2026 Working Total]]-ERP_5[[#This Row],[LE2 Final Submission]]</f>
        <v>0</v>
      </c>
      <c r="AJ104" s="79">
        <v>0</v>
      </c>
      <c r="AK104" s="79">
        <f t="shared" si="8"/>
        <v>0</v>
      </c>
      <c r="AL104" s="374">
        <f>SUM(ERP_5[[#This Row],[AP01]:[AP06]])-SUM(ERP_5[[#This Row],[AP01 LE2]:[AP06 LE2]])</f>
        <v>0</v>
      </c>
      <c r="AM104" s="80"/>
      <c r="AN104" s="79">
        <f>ERP_5[[#This Row],[2026 Working Total to Budget/LE]]-ERP_5[[#This Row],[Giveback]]</f>
        <v>0</v>
      </c>
      <c r="AO104" s="81"/>
      <c r="AP104" s="375"/>
      <c r="AQ104" s="375">
        <v>431.03</v>
      </c>
      <c r="AR104" s="375">
        <v>0</v>
      </c>
      <c r="AS104" s="375">
        <v>0</v>
      </c>
      <c r="AT104" s="375">
        <v>0</v>
      </c>
      <c r="AU104" s="375">
        <v>0</v>
      </c>
      <c r="AV104" s="375">
        <v>0</v>
      </c>
      <c r="AW104" s="375">
        <v>0</v>
      </c>
      <c r="AX104" s="375">
        <v>0</v>
      </c>
      <c r="AY104" s="375">
        <v>0</v>
      </c>
      <c r="AZ104" s="375">
        <v>0</v>
      </c>
      <c r="BA104" s="375">
        <v>0</v>
      </c>
      <c r="BB104" s="375">
        <v>431.03</v>
      </c>
      <c r="BC104" s="79"/>
      <c r="BD104" s="79">
        <v>431.03</v>
      </c>
      <c r="BE104" s="79">
        <v>0</v>
      </c>
      <c r="BF104" s="79">
        <v>0</v>
      </c>
      <c r="BG104" s="79">
        <v>0</v>
      </c>
      <c r="BH104" s="79">
        <v>0</v>
      </c>
      <c r="BI104" s="79">
        <v>0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431.03</v>
      </c>
    </row>
    <row r="105" spans="1:67" ht="15" customHeight="1">
      <c r="A105" s="66" t="s">
        <v>2248</v>
      </c>
      <c r="B105" s="66" t="s">
        <v>667</v>
      </c>
      <c r="C105" s="150" t="s">
        <v>1136</v>
      </c>
      <c r="D105" s="150" t="s">
        <v>1135</v>
      </c>
      <c r="E105" s="150" t="s">
        <v>1135</v>
      </c>
      <c r="F105" s="150" t="s">
        <v>1137</v>
      </c>
      <c r="G105" s="511" t="s">
        <v>639</v>
      </c>
      <c r="H105" s="392" t="s">
        <v>1138</v>
      </c>
      <c r="I105" s="343"/>
      <c r="J105" s="343"/>
      <c r="K105" s="70" t="s">
        <v>51</v>
      </c>
      <c r="L105" s="346" t="s">
        <v>1139</v>
      </c>
      <c r="M105" s="346" t="s">
        <v>1140</v>
      </c>
      <c r="N105" s="346"/>
      <c r="O105" s="150" t="s">
        <v>25</v>
      </c>
      <c r="P105" s="150"/>
      <c r="Q105" s="403"/>
      <c r="R105" s="406">
        <v>0</v>
      </c>
      <c r="S105" s="406">
        <v>3777.33</v>
      </c>
      <c r="T105" s="425"/>
      <c r="U105" s="71"/>
      <c r="V105" s="426"/>
      <c r="W105" s="427">
        <v>3777.33</v>
      </c>
      <c r="X105" s="431">
        <v>0</v>
      </c>
      <c r="Y105" s="428">
        <v>83.61</v>
      </c>
      <c r="Z105" s="429">
        <v>0</v>
      </c>
      <c r="AA105" s="429">
        <v>0</v>
      </c>
      <c r="AB105" s="360">
        <v>0</v>
      </c>
      <c r="AC105" s="360">
        <v>0</v>
      </c>
      <c r="AD105" s="360">
        <v>0</v>
      </c>
      <c r="AE105" s="360">
        <v>0</v>
      </c>
      <c r="AF105" s="360">
        <v>0</v>
      </c>
      <c r="AG105" s="360">
        <v>0</v>
      </c>
      <c r="AH105" s="360">
        <f t="shared" si="9"/>
        <v>3860.94</v>
      </c>
      <c r="AI105" s="362">
        <f>ERP_5[[#This Row],[2026 Working Total]]-ERP_5[[#This Row],[LE2 Final Submission]]</f>
        <v>83.610000000000127</v>
      </c>
      <c r="AJ105" s="79">
        <v>0</v>
      </c>
      <c r="AK105" s="79">
        <f t="shared" si="8"/>
        <v>0</v>
      </c>
      <c r="AL105" s="374">
        <f>SUM(ERP_5[[#This Row],[AP01]:[AP06]])-SUM(ERP_5[[#This Row],[AP01 LE2]:[AP06 LE2]])</f>
        <v>83.610000000000127</v>
      </c>
      <c r="AM105" s="80"/>
      <c r="AN105" s="79">
        <f>ERP_5[[#This Row],[2026 Working Total to Budget/LE]]-ERP_5[[#This Row],[Giveback]]</f>
        <v>83.610000000000127</v>
      </c>
      <c r="AO105" s="81"/>
      <c r="AP105" s="375"/>
      <c r="AQ105" s="375">
        <v>3777.33</v>
      </c>
      <c r="AR105" s="375">
        <v>0</v>
      </c>
      <c r="AS105" s="375">
        <v>0</v>
      </c>
      <c r="AT105" s="375">
        <v>0</v>
      </c>
      <c r="AU105" s="375">
        <v>0</v>
      </c>
      <c r="AV105" s="375">
        <v>0</v>
      </c>
      <c r="AW105" s="375">
        <v>0</v>
      </c>
      <c r="AX105" s="375">
        <v>0</v>
      </c>
      <c r="AY105" s="375">
        <v>0</v>
      </c>
      <c r="AZ105" s="375">
        <v>0</v>
      </c>
      <c r="BA105" s="375">
        <v>0</v>
      </c>
      <c r="BB105" s="375">
        <v>3777.33</v>
      </c>
      <c r="BC105" s="79"/>
      <c r="BD105" s="79">
        <v>3777.33</v>
      </c>
      <c r="BE105" s="79">
        <v>0</v>
      </c>
      <c r="BF105" s="79">
        <v>0</v>
      </c>
      <c r="BG105" s="79">
        <v>0</v>
      </c>
      <c r="BH105" s="79">
        <v>0</v>
      </c>
      <c r="BI105" s="79">
        <v>0</v>
      </c>
      <c r="BJ105" s="79">
        <v>0</v>
      </c>
      <c r="BK105" s="79">
        <v>0</v>
      </c>
      <c r="BL105" s="79">
        <v>0</v>
      </c>
      <c r="BM105" s="79">
        <v>0</v>
      </c>
      <c r="BN105" s="79">
        <v>0</v>
      </c>
      <c r="BO105" s="79">
        <v>3777.33</v>
      </c>
    </row>
    <row r="106" spans="1:67" ht="15" customHeight="1">
      <c r="A106" s="66" t="s">
        <v>1133</v>
      </c>
      <c r="B106" s="66" t="s">
        <v>1134</v>
      </c>
      <c r="C106" s="150" t="s">
        <v>1136</v>
      </c>
      <c r="D106" s="150" t="s">
        <v>1135</v>
      </c>
      <c r="E106" s="150" t="s">
        <v>1137</v>
      </c>
      <c r="F106" s="150" t="s">
        <v>1137</v>
      </c>
      <c r="G106" s="511" t="s">
        <v>49</v>
      </c>
      <c r="H106" s="392" t="s">
        <v>1138</v>
      </c>
      <c r="I106" s="343"/>
      <c r="J106" s="343"/>
      <c r="K106" s="70" t="s">
        <v>51</v>
      </c>
      <c r="L106" s="346" t="s">
        <v>1139</v>
      </c>
      <c r="M106" s="346" t="s">
        <v>1140</v>
      </c>
      <c r="N106" s="346"/>
      <c r="O106" s="150" t="s">
        <v>25</v>
      </c>
      <c r="P106" s="1" t="s">
        <v>1141</v>
      </c>
      <c r="Q106" s="403"/>
      <c r="R106" s="406">
        <v>1214.4000000000003</v>
      </c>
      <c r="S106" s="406">
        <v>910.80000000000018</v>
      </c>
      <c r="T106" s="425"/>
      <c r="U106" s="71"/>
      <c r="V106" s="426"/>
      <c r="W106" s="427"/>
      <c r="X106" s="427"/>
      <c r="Y106" s="428" t="s">
        <v>1142</v>
      </c>
      <c r="Z106" s="429">
        <v>0</v>
      </c>
      <c r="AA106" s="429">
        <v>0</v>
      </c>
      <c r="AB106" s="363">
        <v>101.2</v>
      </c>
      <c r="AC106" s="363">
        <v>101.2</v>
      </c>
      <c r="AD106" s="363">
        <v>101.2</v>
      </c>
      <c r="AE106" s="363">
        <v>101.2</v>
      </c>
      <c r="AF106" s="363">
        <v>101.2</v>
      </c>
      <c r="AG106" s="363">
        <v>101.2</v>
      </c>
      <c r="AH106" s="360">
        <f t="shared" si="9"/>
        <v>607.20000000000005</v>
      </c>
      <c r="AI106" s="362">
        <f>ERP_5[[#This Row],[2026 Working Total]]-ERP_5[[#This Row],[LE2 Final Submission]]</f>
        <v>-303.60000000000014</v>
      </c>
      <c r="AJ106" s="79">
        <v>101.2</v>
      </c>
      <c r="AK106" s="79">
        <f t="shared" si="8"/>
        <v>-101.2</v>
      </c>
      <c r="AL106" s="374">
        <f>SUM(ERP_5[[#This Row],[AP01]:[AP06]])-SUM(ERP_5[[#This Row],[AP01 LE2]:[AP06 LE2]])</f>
        <v>-303.60000000000002</v>
      </c>
      <c r="AM106" s="80"/>
      <c r="AN106" s="79">
        <f>ERP_5[[#This Row],[2026 Working Total to Budget/LE]]-ERP_5[[#This Row],[Giveback]]</f>
        <v>-303.60000000000014</v>
      </c>
      <c r="AO106" s="81"/>
      <c r="AP106" s="375"/>
      <c r="AQ106" s="375"/>
      <c r="AR106" s="375"/>
      <c r="AS106" s="375">
        <v>101.2</v>
      </c>
      <c r="AT106" s="375">
        <v>101.2</v>
      </c>
      <c r="AU106" s="375">
        <v>101.2</v>
      </c>
      <c r="AV106" s="375">
        <v>101.2</v>
      </c>
      <c r="AW106" s="375">
        <v>101.2</v>
      </c>
      <c r="AX106" s="375">
        <v>101.2</v>
      </c>
      <c r="AY106" s="375">
        <v>101.2</v>
      </c>
      <c r="AZ106" s="375">
        <v>101.2</v>
      </c>
      <c r="BA106" s="375">
        <v>101.2</v>
      </c>
      <c r="BB106" s="375">
        <v>910.80000000000018</v>
      </c>
      <c r="BC106" s="79"/>
      <c r="BD106" s="79"/>
      <c r="BE106" s="79"/>
      <c r="BF106" s="79">
        <v>101.2</v>
      </c>
      <c r="BG106" s="79">
        <v>101.2</v>
      </c>
      <c r="BH106" s="79">
        <v>101.2</v>
      </c>
      <c r="BI106" s="79">
        <v>101.2</v>
      </c>
      <c r="BJ106" s="79">
        <v>101.2</v>
      </c>
      <c r="BK106" s="79">
        <v>101.2</v>
      </c>
      <c r="BL106" s="79">
        <v>101.2</v>
      </c>
      <c r="BM106" s="79">
        <v>101.2</v>
      </c>
      <c r="BN106" s="79">
        <v>101.2</v>
      </c>
      <c r="BO106" s="79">
        <v>910.80000000000018</v>
      </c>
    </row>
    <row r="107" spans="1:67" ht="15" customHeight="1">
      <c r="A107" s="66" t="s">
        <v>2249</v>
      </c>
      <c r="B107" s="66" t="s">
        <v>2250</v>
      </c>
      <c r="C107" s="150" t="s">
        <v>1136</v>
      </c>
      <c r="D107" s="150" t="s">
        <v>1135</v>
      </c>
      <c r="E107" s="150" t="s">
        <v>1137</v>
      </c>
      <c r="F107" s="150" t="s">
        <v>1137</v>
      </c>
      <c r="G107" s="511" t="s">
        <v>639</v>
      </c>
      <c r="H107" s="392" t="s">
        <v>1138</v>
      </c>
      <c r="I107" s="343"/>
      <c r="J107" s="343"/>
      <c r="K107" s="70" t="s">
        <v>51</v>
      </c>
      <c r="L107" s="346" t="s">
        <v>1139</v>
      </c>
      <c r="M107" s="346" t="s">
        <v>1140</v>
      </c>
      <c r="N107" s="346"/>
      <c r="O107" s="150" t="s">
        <v>25</v>
      </c>
      <c r="P107" s="1" t="s">
        <v>1141</v>
      </c>
      <c r="Q107" s="403"/>
      <c r="R107" s="406">
        <v>0</v>
      </c>
      <c r="S107" s="406">
        <v>1742.3400000000001</v>
      </c>
      <c r="T107" s="425"/>
      <c r="U107" s="71"/>
      <c r="V107" s="426"/>
      <c r="W107" s="427">
        <v>984.48</v>
      </c>
      <c r="X107" s="427">
        <v>757.86</v>
      </c>
      <c r="Y107" s="428">
        <v>0</v>
      </c>
      <c r="Z107" s="429">
        <v>0</v>
      </c>
      <c r="AA107" s="429">
        <v>0</v>
      </c>
      <c r="AB107" s="360">
        <v>0</v>
      </c>
      <c r="AC107" s="360">
        <v>0</v>
      </c>
      <c r="AD107" s="360">
        <v>0</v>
      </c>
      <c r="AE107" s="360">
        <v>0</v>
      </c>
      <c r="AF107" s="360">
        <v>0</v>
      </c>
      <c r="AG107" s="360">
        <v>0</v>
      </c>
      <c r="AH107" s="360">
        <f t="shared" si="9"/>
        <v>1742.3400000000001</v>
      </c>
      <c r="AI107" s="362">
        <f>ERP_5[[#This Row],[2026 Working Total]]-ERP_5[[#This Row],[LE2 Final Submission]]</f>
        <v>0</v>
      </c>
      <c r="AJ107" s="79">
        <v>0</v>
      </c>
      <c r="AK107" s="79">
        <f t="shared" si="8"/>
        <v>0</v>
      </c>
      <c r="AL107" s="374">
        <f>SUM(ERP_5[[#This Row],[AP01]:[AP06]])-SUM(ERP_5[[#This Row],[AP01 LE2]:[AP06 LE2]])</f>
        <v>0</v>
      </c>
      <c r="AM107" s="80"/>
      <c r="AN107" s="79">
        <f>ERP_5[[#This Row],[2026 Working Total to Budget/LE]]-ERP_5[[#This Row],[Giveback]]</f>
        <v>0</v>
      </c>
      <c r="AO107" s="81"/>
      <c r="AP107" s="375"/>
      <c r="AQ107" s="375">
        <v>984.48</v>
      </c>
      <c r="AR107" s="375">
        <v>757.86</v>
      </c>
      <c r="AS107" s="375">
        <v>0</v>
      </c>
      <c r="AT107" s="375">
        <v>0</v>
      </c>
      <c r="AU107" s="375">
        <v>0</v>
      </c>
      <c r="AV107" s="375">
        <v>0</v>
      </c>
      <c r="AW107" s="375">
        <v>0</v>
      </c>
      <c r="AX107" s="375">
        <v>0</v>
      </c>
      <c r="AY107" s="375">
        <v>0</v>
      </c>
      <c r="AZ107" s="375">
        <v>0</v>
      </c>
      <c r="BA107" s="375">
        <v>0</v>
      </c>
      <c r="BB107" s="375">
        <v>1742.3400000000001</v>
      </c>
      <c r="BC107" s="79"/>
      <c r="BD107" s="79">
        <v>984.48</v>
      </c>
      <c r="BE107" s="79">
        <v>757.86</v>
      </c>
      <c r="BF107" s="79">
        <v>0</v>
      </c>
      <c r="BG107" s="79">
        <v>0</v>
      </c>
      <c r="BH107" s="79">
        <v>0</v>
      </c>
      <c r="BI107" s="79">
        <v>0</v>
      </c>
      <c r="BJ107" s="79">
        <v>0</v>
      </c>
      <c r="BK107" s="79">
        <v>0</v>
      </c>
      <c r="BL107" s="79">
        <v>0</v>
      </c>
      <c r="BM107" s="79">
        <v>0</v>
      </c>
      <c r="BN107" s="79">
        <v>0</v>
      </c>
      <c r="BO107" s="79">
        <v>1742.3400000000001</v>
      </c>
    </row>
    <row r="108" spans="1:67" ht="15" customHeight="1">
      <c r="A108" s="66" t="s">
        <v>1143</v>
      </c>
      <c r="B108" s="66" t="s">
        <v>1144</v>
      </c>
      <c r="C108" s="150" t="s">
        <v>1136</v>
      </c>
      <c r="D108" s="150" t="s">
        <v>1135</v>
      </c>
      <c r="E108" s="150" t="s">
        <v>1145</v>
      </c>
      <c r="F108" s="150" t="s">
        <v>1137</v>
      </c>
      <c r="G108" s="511" t="s">
        <v>49</v>
      </c>
      <c r="H108" s="392" t="s">
        <v>1138</v>
      </c>
      <c r="I108" s="343"/>
      <c r="J108" s="343"/>
      <c r="K108" s="70" t="s">
        <v>51</v>
      </c>
      <c r="L108" s="346" t="s">
        <v>1139</v>
      </c>
      <c r="M108" s="346" t="s">
        <v>1140</v>
      </c>
      <c r="N108" s="346"/>
      <c r="O108" s="150" t="s">
        <v>25</v>
      </c>
      <c r="P108" s="150"/>
      <c r="Q108" s="403"/>
      <c r="R108" s="406">
        <v>1800</v>
      </c>
      <c r="S108" s="406">
        <v>3600</v>
      </c>
      <c r="T108" s="425"/>
      <c r="U108" s="71"/>
      <c r="V108" s="426"/>
      <c r="W108" s="427"/>
      <c r="X108" s="427"/>
      <c r="Y108" s="428" t="s">
        <v>1142</v>
      </c>
      <c r="Z108" s="429">
        <v>0</v>
      </c>
      <c r="AA108" s="429">
        <v>0</v>
      </c>
      <c r="AB108" s="360">
        <v>0</v>
      </c>
      <c r="AC108" s="360">
        <v>0</v>
      </c>
      <c r="AD108" s="360">
        <v>0</v>
      </c>
      <c r="AE108" s="360">
        <v>0</v>
      </c>
      <c r="AF108" s="360">
        <v>0</v>
      </c>
      <c r="AG108" s="360">
        <v>0</v>
      </c>
      <c r="AH108" s="360">
        <f t="shared" si="9"/>
        <v>0</v>
      </c>
      <c r="AI108" s="362">
        <f>ERP_5[[#This Row],[2026 Working Total]]-ERP_5[[#This Row],[LE2 Final Submission]]</f>
        <v>-3600</v>
      </c>
      <c r="AJ108" s="79">
        <v>0</v>
      </c>
      <c r="AK108" s="79">
        <f t="shared" si="8"/>
        <v>0</v>
      </c>
      <c r="AL108" s="374">
        <f>SUM(ERP_5[[#This Row],[AP01]:[AP06]])-SUM(ERP_5[[#This Row],[AP01 LE2]:[AP06 LE2]])</f>
        <v>-3600</v>
      </c>
      <c r="AM108" s="80"/>
      <c r="AN108" s="79">
        <f>ERP_5[[#This Row],[2026 Working Total to Budget/LE]]-ERP_5[[#This Row],[Giveback]]</f>
        <v>-3600</v>
      </c>
      <c r="AO108" s="81"/>
      <c r="AP108" s="375"/>
      <c r="AQ108" s="375"/>
      <c r="AR108" s="375"/>
      <c r="AS108" s="375">
        <v>1800</v>
      </c>
      <c r="AT108" s="375">
        <v>0</v>
      </c>
      <c r="AU108" s="375">
        <v>1800</v>
      </c>
      <c r="AV108" s="375">
        <v>0</v>
      </c>
      <c r="AW108" s="375">
        <v>0</v>
      </c>
      <c r="AX108" s="375">
        <v>0</v>
      </c>
      <c r="AY108" s="375">
        <v>0</v>
      </c>
      <c r="AZ108" s="375">
        <v>0</v>
      </c>
      <c r="BA108" s="375">
        <v>0</v>
      </c>
      <c r="BB108" s="375">
        <v>3600</v>
      </c>
      <c r="BC108" s="79"/>
      <c r="BD108" s="79"/>
      <c r="BE108" s="79"/>
      <c r="BF108" s="79">
        <v>1800</v>
      </c>
      <c r="BG108" s="79">
        <v>0</v>
      </c>
      <c r="BH108" s="79">
        <v>1800</v>
      </c>
      <c r="BI108" s="79">
        <v>0</v>
      </c>
      <c r="BJ108" s="79">
        <v>0</v>
      </c>
      <c r="BK108" s="79">
        <v>0</v>
      </c>
      <c r="BL108" s="79">
        <v>0</v>
      </c>
      <c r="BM108" s="79">
        <v>0</v>
      </c>
      <c r="BN108" s="79">
        <v>0</v>
      </c>
      <c r="BO108" s="79">
        <v>3600</v>
      </c>
    </row>
    <row r="109" spans="1:67" ht="15" customHeight="1">
      <c r="A109" s="66" t="s">
        <v>2776</v>
      </c>
      <c r="B109" s="66" t="s">
        <v>2777</v>
      </c>
      <c r="C109" s="150" t="s">
        <v>1136</v>
      </c>
      <c r="D109" s="150" t="s">
        <v>1567</v>
      </c>
      <c r="E109" s="150" t="s">
        <v>1567</v>
      </c>
      <c r="F109" s="150" t="s">
        <v>1567</v>
      </c>
      <c r="G109" s="511" t="s">
        <v>639</v>
      </c>
      <c r="H109" s="392" t="s">
        <v>1138</v>
      </c>
      <c r="I109" s="343"/>
      <c r="J109" s="343"/>
      <c r="K109" s="70" t="s">
        <v>51</v>
      </c>
      <c r="L109" s="346" t="s">
        <v>1139</v>
      </c>
      <c r="M109" s="346" t="s">
        <v>1140</v>
      </c>
      <c r="N109" s="346"/>
      <c r="O109" s="150" t="s">
        <v>25</v>
      </c>
      <c r="P109" s="150"/>
      <c r="Q109" s="403"/>
      <c r="R109" s="406">
        <v>0</v>
      </c>
      <c r="S109" s="406">
        <v>257.52</v>
      </c>
      <c r="T109" s="425"/>
      <c r="U109" s="71"/>
      <c r="V109" s="426"/>
      <c r="W109" s="427">
        <v>257.52</v>
      </c>
      <c r="X109" s="431">
        <v>0</v>
      </c>
      <c r="Y109" s="428">
        <v>0</v>
      </c>
      <c r="Z109" s="429">
        <v>0</v>
      </c>
      <c r="AA109" s="429">
        <v>0</v>
      </c>
      <c r="AB109" s="360">
        <v>0</v>
      </c>
      <c r="AC109" s="360">
        <v>0</v>
      </c>
      <c r="AD109" s="360">
        <v>0</v>
      </c>
      <c r="AE109" s="360">
        <v>0</v>
      </c>
      <c r="AF109" s="360">
        <v>0</v>
      </c>
      <c r="AG109" s="360">
        <v>0</v>
      </c>
      <c r="AH109" s="360">
        <f t="shared" si="9"/>
        <v>257.52</v>
      </c>
      <c r="AI109" s="362">
        <f>ERP_5[[#This Row],[2026 Working Total]]-ERP_5[[#This Row],[LE2 Final Submission]]</f>
        <v>0</v>
      </c>
      <c r="AJ109" s="79">
        <v>0</v>
      </c>
      <c r="AK109" s="79">
        <f t="shared" si="8"/>
        <v>0</v>
      </c>
      <c r="AL109" s="374">
        <f>SUM(ERP_5[[#This Row],[AP01]:[AP06]])-SUM(ERP_5[[#This Row],[AP01 LE2]:[AP06 LE2]])</f>
        <v>0</v>
      </c>
      <c r="AM109" s="80"/>
      <c r="AN109" s="79">
        <f>ERP_5[[#This Row],[2026 Working Total to Budget/LE]]-ERP_5[[#This Row],[Giveback]]</f>
        <v>0</v>
      </c>
      <c r="AO109" s="81"/>
      <c r="AP109" s="375"/>
      <c r="AQ109" s="375">
        <v>257.52</v>
      </c>
      <c r="AR109" s="375">
        <v>0</v>
      </c>
      <c r="AS109" s="375">
        <v>0</v>
      </c>
      <c r="AT109" s="375">
        <v>0</v>
      </c>
      <c r="AU109" s="375">
        <v>0</v>
      </c>
      <c r="AV109" s="375">
        <v>0</v>
      </c>
      <c r="AW109" s="375">
        <v>0</v>
      </c>
      <c r="AX109" s="375">
        <v>0</v>
      </c>
      <c r="AY109" s="375">
        <v>0</v>
      </c>
      <c r="AZ109" s="375">
        <v>0</v>
      </c>
      <c r="BA109" s="375">
        <v>0</v>
      </c>
      <c r="BB109" s="375">
        <v>257.52</v>
      </c>
      <c r="BC109" s="79"/>
      <c r="BD109" s="79">
        <v>257.52</v>
      </c>
      <c r="BE109" s="79">
        <v>0</v>
      </c>
      <c r="BF109" s="79">
        <v>0</v>
      </c>
      <c r="BG109" s="79">
        <v>0</v>
      </c>
      <c r="BH109" s="79">
        <v>0</v>
      </c>
      <c r="BI109" s="79">
        <v>0</v>
      </c>
      <c r="BJ109" s="79">
        <v>0</v>
      </c>
      <c r="BK109" s="79">
        <v>0</v>
      </c>
      <c r="BL109" s="79">
        <v>0</v>
      </c>
      <c r="BM109" s="79">
        <v>0</v>
      </c>
      <c r="BN109" s="79">
        <v>0</v>
      </c>
      <c r="BO109" s="79">
        <v>257.52</v>
      </c>
    </row>
    <row r="110" spans="1:67" ht="15" customHeight="1">
      <c r="A110" s="66" t="s">
        <v>2809</v>
      </c>
      <c r="B110" s="66" t="s">
        <v>1016</v>
      </c>
      <c r="C110" s="150" t="s">
        <v>1136</v>
      </c>
      <c r="D110" s="150" t="s">
        <v>1650</v>
      </c>
      <c r="E110" s="150" t="s">
        <v>1650</v>
      </c>
      <c r="F110" s="150" t="s">
        <v>1650</v>
      </c>
      <c r="G110" s="511" t="s">
        <v>639</v>
      </c>
      <c r="H110" s="392" t="s">
        <v>1138</v>
      </c>
      <c r="I110" s="343"/>
      <c r="J110" s="343"/>
      <c r="K110" s="70" t="s">
        <v>51</v>
      </c>
      <c r="L110" s="346" t="s">
        <v>1139</v>
      </c>
      <c r="M110" s="346" t="s">
        <v>1140</v>
      </c>
      <c r="N110" s="346"/>
      <c r="O110" s="150" t="s">
        <v>25</v>
      </c>
      <c r="P110" s="150"/>
      <c r="Q110" s="403"/>
      <c r="R110" s="406">
        <v>0</v>
      </c>
      <c r="S110" s="406">
        <v>200.42</v>
      </c>
      <c r="T110" s="425"/>
      <c r="U110" s="71"/>
      <c r="V110" s="426"/>
      <c r="W110" s="427"/>
      <c r="X110" s="427">
        <v>200.42</v>
      </c>
      <c r="Y110" s="428">
        <v>0</v>
      </c>
      <c r="Z110" s="429">
        <v>0</v>
      </c>
      <c r="AA110" s="429">
        <v>0</v>
      </c>
      <c r="AB110" s="360">
        <v>0</v>
      </c>
      <c r="AC110" s="360">
        <v>0</v>
      </c>
      <c r="AD110" s="360">
        <v>0</v>
      </c>
      <c r="AE110" s="360">
        <v>0</v>
      </c>
      <c r="AF110" s="360">
        <v>0</v>
      </c>
      <c r="AG110" s="360">
        <v>0</v>
      </c>
      <c r="AH110" s="360">
        <f t="shared" si="9"/>
        <v>200.42</v>
      </c>
      <c r="AI110" s="362">
        <f>ERP_5[[#This Row],[2026 Working Total]]-ERP_5[[#This Row],[LE2 Final Submission]]</f>
        <v>0</v>
      </c>
      <c r="AJ110" s="79">
        <v>0</v>
      </c>
      <c r="AK110" s="79">
        <f t="shared" si="8"/>
        <v>0</v>
      </c>
      <c r="AL110" s="374">
        <f>SUM(ERP_5[[#This Row],[AP01]:[AP06]])-SUM(ERP_5[[#This Row],[AP01 LE2]:[AP06 LE2]])</f>
        <v>0</v>
      </c>
      <c r="AM110" s="80"/>
      <c r="AN110" s="79">
        <f>ERP_5[[#This Row],[2026 Working Total to Budget/LE]]-ERP_5[[#This Row],[Giveback]]</f>
        <v>0</v>
      </c>
      <c r="AO110" s="81"/>
      <c r="AP110" s="375"/>
      <c r="AQ110" s="375"/>
      <c r="AR110" s="375">
        <v>200.42</v>
      </c>
      <c r="AS110" s="375">
        <v>0</v>
      </c>
      <c r="AT110" s="375">
        <v>0</v>
      </c>
      <c r="AU110" s="375">
        <v>0</v>
      </c>
      <c r="AV110" s="375">
        <v>0</v>
      </c>
      <c r="AW110" s="375">
        <v>0</v>
      </c>
      <c r="AX110" s="375">
        <v>0</v>
      </c>
      <c r="AY110" s="375">
        <v>0</v>
      </c>
      <c r="AZ110" s="375">
        <v>0</v>
      </c>
      <c r="BA110" s="375">
        <v>0</v>
      </c>
      <c r="BB110" s="375">
        <v>200.42</v>
      </c>
      <c r="BC110" s="79"/>
      <c r="BD110" s="79"/>
      <c r="BE110" s="79">
        <v>200.42</v>
      </c>
      <c r="BF110" s="79">
        <v>0</v>
      </c>
      <c r="BG110" s="79">
        <v>0</v>
      </c>
      <c r="BH110" s="79">
        <v>0</v>
      </c>
      <c r="BI110" s="79">
        <v>0</v>
      </c>
      <c r="BJ110" s="79">
        <v>0</v>
      </c>
      <c r="BK110" s="79">
        <v>0</v>
      </c>
      <c r="BL110" s="79">
        <v>0</v>
      </c>
      <c r="BM110" s="79">
        <v>0</v>
      </c>
      <c r="BN110" s="79">
        <v>0</v>
      </c>
      <c r="BO110" s="79">
        <v>200.42</v>
      </c>
    </row>
    <row r="111" spans="1:67" ht="15" customHeight="1">
      <c r="A111" s="66" t="s">
        <v>2251</v>
      </c>
      <c r="B111" s="66" t="s">
        <v>2252</v>
      </c>
      <c r="C111" s="150" t="s">
        <v>1136</v>
      </c>
      <c r="D111" s="150" t="s">
        <v>1135</v>
      </c>
      <c r="E111" s="150" t="s">
        <v>1145</v>
      </c>
      <c r="F111" s="150" t="s">
        <v>1137</v>
      </c>
      <c r="G111" s="511" t="s">
        <v>639</v>
      </c>
      <c r="H111" s="392" t="s">
        <v>1138</v>
      </c>
      <c r="I111" s="343"/>
      <c r="J111" s="343"/>
      <c r="K111" s="70" t="s">
        <v>51</v>
      </c>
      <c r="L111" s="346" t="s">
        <v>1139</v>
      </c>
      <c r="M111" s="346" t="s">
        <v>1140</v>
      </c>
      <c r="N111" s="346"/>
      <c r="O111" s="150" t="s">
        <v>25</v>
      </c>
      <c r="P111" s="150"/>
      <c r="Q111" s="403"/>
      <c r="R111" s="406">
        <v>0</v>
      </c>
      <c r="S111" s="406">
        <v>1312.56</v>
      </c>
      <c r="T111" s="425"/>
      <c r="U111" s="71"/>
      <c r="V111" s="426"/>
      <c r="W111" s="427">
        <v>1312.56</v>
      </c>
      <c r="X111" s="431">
        <v>0</v>
      </c>
      <c r="Y111" s="428">
        <v>0</v>
      </c>
      <c r="Z111" s="429">
        <v>0</v>
      </c>
      <c r="AA111" s="429">
        <v>0</v>
      </c>
      <c r="AB111" s="360">
        <v>0</v>
      </c>
      <c r="AC111" s="360">
        <v>0</v>
      </c>
      <c r="AD111" s="360">
        <v>0</v>
      </c>
      <c r="AE111" s="360">
        <v>0</v>
      </c>
      <c r="AF111" s="360">
        <v>0</v>
      </c>
      <c r="AG111" s="360">
        <v>0</v>
      </c>
      <c r="AH111" s="360">
        <f t="shared" si="9"/>
        <v>1312.56</v>
      </c>
      <c r="AI111" s="362">
        <f>ERP_5[[#This Row],[2026 Working Total]]-ERP_5[[#This Row],[LE2 Final Submission]]</f>
        <v>0</v>
      </c>
      <c r="AJ111" s="79">
        <v>0</v>
      </c>
      <c r="AK111" s="79">
        <f t="shared" si="8"/>
        <v>0</v>
      </c>
      <c r="AL111" s="374">
        <f>SUM(ERP_5[[#This Row],[AP01]:[AP06]])-SUM(ERP_5[[#This Row],[AP01 LE2]:[AP06 LE2]])</f>
        <v>0</v>
      </c>
      <c r="AM111" s="80"/>
      <c r="AN111" s="79">
        <f>ERP_5[[#This Row],[2026 Working Total to Budget/LE]]-ERP_5[[#This Row],[Giveback]]</f>
        <v>0</v>
      </c>
      <c r="AO111" s="81"/>
      <c r="AP111" s="375"/>
      <c r="AQ111" s="375">
        <v>1312.56</v>
      </c>
      <c r="AR111" s="375">
        <v>0</v>
      </c>
      <c r="AS111" s="375">
        <v>0</v>
      </c>
      <c r="AT111" s="375">
        <v>0</v>
      </c>
      <c r="AU111" s="375">
        <v>0</v>
      </c>
      <c r="AV111" s="375">
        <v>0</v>
      </c>
      <c r="AW111" s="375">
        <v>0</v>
      </c>
      <c r="AX111" s="375">
        <v>0</v>
      </c>
      <c r="AY111" s="375">
        <v>0</v>
      </c>
      <c r="AZ111" s="375">
        <v>0</v>
      </c>
      <c r="BA111" s="375">
        <v>0</v>
      </c>
      <c r="BB111" s="375">
        <v>1312.56</v>
      </c>
      <c r="BC111" s="79"/>
      <c r="BD111" s="79">
        <v>1312.56</v>
      </c>
      <c r="BE111" s="79">
        <v>0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1312.56</v>
      </c>
    </row>
    <row r="112" spans="1:67" ht="15" customHeight="1">
      <c r="A112" s="66" t="s">
        <v>2665</v>
      </c>
      <c r="B112" s="66" t="s">
        <v>2666</v>
      </c>
      <c r="C112" s="150" t="s">
        <v>1136</v>
      </c>
      <c r="D112" s="150" t="s">
        <v>1345</v>
      </c>
      <c r="E112" s="150" t="s">
        <v>1437</v>
      </c>
      <c r="F112" s="150" t="s">
        <v>1346</v>
      </c>
      <c r="G112" s="511" t="s">
        <v>639</v>
      </c>
      <c r="H112" s="392" t="s">
        <v>1138</v>
      </c>
      <c r="I112" s="343"/>
      <c r="J112" s="343"/>
      <c r="K112" s="70" t="s">
        <v>51</v>
      </c>
      <c r="L112" s="346" t="s">
        <v>1139</v>
      </c>
      <c r="M112" s="346" t="s">
        <v>1140</v>
      </c>
      <c r="N112" s="346"/>
      <c r="O112" s="150" t="s">
        <v>25</v>
      </c>
      <c r="P112" s="150"/>
      <c r="Q112" s="403"/>
      <c r="R112" s="406">
        <v>0</v>
      </c>
      <c r="S112" s="406">
        <v>431.03</v>
      </c>
      <c r="T112" s="425"/>
      <c r="U112" s="71"/>
      <c r="V112" s="426"/>
      <c r="W112" s="427">
        <v>431.03</v>
      </c>
      <c r="X112" s="431">
        <v>0</v>
      </c>
      <c r="Y112" s="428">
        <v>0</v>
      </c>
      <c r="Z112" s="429">
        <v>0</v>
      </c>
      <c r="AA112" s="429">
        <v>0</v>
      </c>
      <c r="AB112" s="360">
        <v>0</v>
      </c>
      <c r="AC112" s="360">
        <v>0</v>
      </c>
      <c r="AD112" s="360">
        <v>0</v>
      </c>
      <c r="AE112" s="360">
        <v>0</v>
      </c>
      <c r="AF112" s="360">
        <v>0</v>
      </c>
      <c r="AG112" s="360">
        <v>0</v>
      </c>
      <c r="AH112" s="360">
        <f t="shared" si="9"/>
        <v>431.03</v>
      </c>
      <c r="AI112" s="362">
        <f>ERP_5[[#This Row],[2026 Working Total]]-ERP_5[[#This Row],[LE2 Final Submission]]</f>
        <v>0</v>
      </c>
      <c r="AJ112" s="79">
        <v>0</v>
      </c>
      <c r="AK112" s="79">
        <f t="shared" si="8"/>
        <v>0</v>
      </c>
      <c r="AL112" s="374">
        <f>SUM(ERP_5[[#This Row],[AP01]:[AP06]])-SUM(ERP_5[[#This Row],[AP01 LE2]:[AP06 LE2]])</f>
        <v>0</v>
      </c>
      <c r="AM112" s="80"/>
      <c r="AN112" s="79">
        <f>ERP_5[[#This Row],[2026 Working Total to Budget/LE]]-ERP_5[[#This Row],[Giveback]]</f>
        <v>0</v>
      </c>
      <c r="AO112" s="81"/>
      <c r="AP112" s="375"/>
      <c r="AQ112" s="375">
        <v>431.03</v>
      </c>
      <c r="AR112" s="375">
        <v>0</v>
      </c>
      <c r="AS112" s="375">
        <v>0</v>
      </c>
      <c r="AT112" s="375">
        <v>0</v>
      </c>
      <c r="AU112" s="375">
        <v>0</v>
      </c>
      <c r="AV112" s="375">
        <v>0</v>
      </c>
      <c r="AW112" s="375">
        <v>0</v>
      </c>
      <c r="AX112" s="375">
        <v>0</v>
      </c>
      <c r="AY112" s="375">
        <v>0</v>
      </c>
      <c r="AZ112" s="375">
        <v>0</v>
      </c>
      <c r="BA112" s="375">
        <v>0</v>
      </c>
      <c r="BB112" s="375">
        <v>431.03</v>
      </c>
      <c r="BC112" s="79"/>
      <c r="BD112" s="79">
        <v>431.03</v>
      </c>
      <c r="BE112" s="79">
        <v>0</v>
      </c>
      <c r="BF112" s="79">
        <v>0</v>
      </c>
      <c r="BG112" s="79">
        <v>0</v>
      </c>
      <c r="BH112" s="79">
        <v>0</v>
      </c>
      <c r="BI112" s="79">
        <v>0</v>
      </c>
      <c r="BJ112" s="79">
        <v>0</v>
      </c>
      <c r="BK112" s="79">
        <v>0</v>
      </c>
      <c r="BL112" s="79">
        <v>0</v>
      </c>
      <c r="BM112" s="79">
        <v>0</v>
      </c>
      <c r="BN112" s="79">
        <v>0</v>
      </c>
      <c r="BO112" s="79">
        <v>431.03</v>
      </c>
    </row>
    <row r="113" spans="1:67" ht="15" customHeight="1">
      <c r="A113" s="79" t="s">
        <v>1431</v>
      </c>
      <c r="B113" s="296" t="s">
        <v>197</v>
      </c>
      <c r="C113" s="150" t="s">
        <v>1136</v>
      </c>
      <c r="D113" s="332" t="s">
        <v>1345</v>
      </c>
      <c r="E113" s="383" t="s">
        <v>1345</v>
      </c>
      <c r="F113" s="331" t="s">
        <v>1346</v>
      </c>
      <c r="G113" s="512" t="s">
        <v>49</v>
      </c>
      <c r="H113" s="393" t="s">
        <v>1138</v>
      </c>
      <c r="I113" s="343"/>
      <c r="J113" s="331"/>
      <c r="K113" s="91" t="s">
        <v>51</v>
      </c>
      <c r="L113" s="346" t="s">
        <v>1139</v>
      </c>
      <c r="M113" s="346" t="s">
        <v>1140</v>
      </c>
      <c r="N113" s="348"/>
      <c r="O113" s="386" t="s">
        <v>25</v>
      </c>
      <c r="P113" s="387" t="s">
        <v>1348</v>
      </c>
      <c r="Q113" s="432"/>
      <c r="R113" s="358">
        <v>437.38</v>
      </c>
      <c r="S113" s="378">
        <v>0</v>
      </c>
      <c r="T113" s="430"/>
      <c r="U113" s="137"/>
      <c r="V113" s="433"/>
      <c r="W113" s="434"/>
      <c r="X113" s="434"/>
      <c r="Y113" s="428" t="s">
        <v>1142</v>
      </c>
      <c r="Z113" s="429">
        <v>0</v>
      </c>
      <c r="AA113" s="429">
        <v>0</v>
      </c>
      <c r="AB113" s="388">
        <v>0</v>
      </c>
      <c r="AC113" s="388">
        <v>0</v>
      </c>
      <c r="AD113" s="388">
        <v>0</v>
      </c>
      <c r="AE113" s="388">
        <v>0</v>
      </c>
      <c r="AF113" s="388">
        <v>0</v>
      </c>
      <c r="AG113" s="388">
        <v>0</v>
      </c>
      <c r="AH113" s="360">
        <f t="shared" si="9"/>
        <v>0</v>
      </c>
      <c r="AI113" s="362">
        <f>ERP_5[[#This Row],[2026 Working Total]]-ERP_5[[#This Row],[LE2 Final Submission]]</f>
        <v>0</v>
      </c>
      <c r="AJ113" s="79">
        <v>0</v>
      </c>
      <c r="AK113" s="79">
        <f t="shared" si="8"/>
        <v>0</v>
      </c>
      <c r="AL113" s="374">
        <f>SUM(ERP_5[[#This Row],[AP01]:[AP06]])-SUM(ERP_5[[#This Row],[AP01 LE2]:[AP06 LE2]])</f>
        <v>0</v>
      </c>
      <c r="AM113" s="80"/>
      <c r="AN113" s="79">
        <f>ERP_5[[#This Row],[2026 Working Total to Budget/LE]]-ERP_5[[#This Row],[Giveback]]</f>
        <v>0</v>
      </c>
      <c r="AO113" s="81"/>
      <c r="AP113" s="375"/>
      <c r="AQ113" s="375"/>
      <c r="AR113" s="375"/>
      <c r="AS113" s="375">
        <v>0</v>
      </c>
      <c r="AT113" s="375">
        <v>0</v>
      </c>
      <c r="AU113" s="375">
        <v>0</v>
      </c>
      <c r="AV113" s="375">
        <v>0</v>
      </c>
      <c r="AW113" s="375">
        <v>0</v>
      </c>
      <c r="AX113" s="375">
        <v>0</v>
      </c>
      <c r="AY113" s="375">
        <v>0</v>
      </c>
      <c r="AZ113" s="375">
        <v>0</v>
      </c>
      <c r="BA113" s="375">
        <v>0</v>
      </c>
      <c r="BB113" s="375">
        <v>0</v>
      </c>
      <c r="BC113" s="103">
        <v>0</v>
      </c>
      <c r="BD113" s="103">
        <v>437.38</v>
      </c>
      <c r="BE113" s="103">
        <v>0</v>
      </c>
      <c r="BF113" s="103">
        <v>0</v>
      </c>
      <c r="BG113" s="103">
        <v>0</v>
      </c>
      <c r="BH113" s="103">
        <v>0</v>
      </c>
      <c r="BI113" s="103">
        <v>0</v>
      </c>
      <c r="BJ113" s="103">
        <v>0</v>
      </c>
      <c r="BK113" s="103">
        <v>0</v>
      </c>
      <c r="BL113" s="103">
        <v>0</v>
      </c>
      <c r="BM113" s="103">
        <v>0</v>
      </c>
      <c r="BN113" s="103">
        <v>0</v>
      </c>
      <c r="BO113" s="79">
        <f>SUM(ERP_5[[#This Row],[2026 AP01]:[2026 AP12]])</f>
        <v>437.38</v>
      </c>
    </row>
    <row r="114" spans="1:67" ht="15" customHeight="1">
      <c r="A114" s="66" t="s">
        <v>2878</v>
      </c>
      <c r="B114" s="66" t="s">
        <v>2879</v>
      </c>
      <c r="C114" s="150" t="s">
        <v>1136</v>
      </c>
      <c r="D114" s="150" t="s">
        <v>1345</v>
      </c>
      <c r="E114" s="150" t="s">
        <v>1346</v>
      </c>
      <c r="F114" s="150" t="s">
        <v>1346</v>
      </c>
      <c r="G114" s="511" t="s">
        <v>22</v>
      </c>
      <c r="H114" s="392" t="s">
        <v>2868</v>
      </c>
      <c r="I114" s="343"/>
      <c r="J114" s="343"/>
      <c r="K114" s="70" t="s">
        <v>24</v>
      </c>
      <c r="L114" s="346" t="s">
        <v>1139</v>
      </c>
      <c r="M114" s="346" t="s">
        <v>1140</v>
      </c>
      <c r="N114" s="346"/>
      <c r="O114" s="150" t="s">
        <v>25</v>
      </c>
      <c r="P114" s="150"/>
      <c r="Q114" s="403"/>
      <c r="R114" s="406">
        <v>6952243.9899999993</v>
      </c>
      <c r="S114" s="406">
        <v>0</v>
      </c>
      <c r="T114" s="425"/>
      <c r="U114" s="71"/>
      <c r="V114" s="426"/>
      <c r="W114" s="427"/>
      <c r="X114" s="427"/>
      <c r="Y114" s="428" t="s">
        <v>1142</v>
      </c>
      <c r="Z114" s="429">
        <v>0</v>
      </c>
      <c r="AA114" s="429">
        <v>0</v>
      </c>
      <c r="AB114" s="363"/>
      <c r="AC114" s="363"/>
      <c r="AD114" s="363"/>
      <c r="AE114" s="363"/>
      <c r="AF114" s="363"/>
      <c r="AG114" s="363"/>
      <c r="AH114" s="360">
        <f t="shared" si="9"/>
        <v>0</v>
      </c>
      <c r="AI114" s="362">
        <f>ERP_5[[#This Row],[2026 Working Total]]-ERP_5[[#This Row],[LE2 Final Submission]]</f>
        <v>0</v>
      </c>
      <c r="AJ114" s="79"/>
      <c r="AK114" s="79">
        <f t="shared" si="8"/>
        <v>0</v>
      </c>
      <c r="AL114" s="374">
        <f>SUM(ERP_5[[#This Row],[AP01]:[AP06]])-SUM(ERP_5[[#This Row],[AP01 LE2]:[AP06 LE2]])</f>
        <v>0</v>
      </c>
      <c r="AM114" s="80"/>
      <c r="AN114" s="79">
        <f>ERP_5[[#This Row],[2026 Working Total to Budget/LE]]-ERP_5[[#This Row],[Giveback]]</f>
        <v>0</v>
      </c>
      <c r="AO114" s="81"/>
      <c r="AP114" s="375"/>
      <c r="AQ114" s="375"/>
      <c r="AR114" s="375"/>
      <c r="AS114" s="375"/>
      <c r="AT114" s="375"/>
      <c r="AU114" s="375"/>
      <c r="AV114" s="375"/>
      <c r="AW114" s="375"/>
      <c r="AX114" s="375"/>
      <c r="AY114" s="375"/>
      <c r="AZ114" s="375"/>
      <c r="BA114" s="375"/>
      <c r="BB114" s="375">
        <v>0</v>
      </c>
      <c r="BC114" s="79">
        <v>423409.35</v>
      </c>
      <c r="BD114" s="79">
        <v>937161.13</v>
      </c>
      <c r="BE114" s="79">
        <v>426573.21</v>
      </c>
      <c r="BF114" s="79">
        <v>561924.32999999996</v>
      </c>
      <c r="BG114" s="79">
        <v>560912.64000000001</v>
      </c>
      <c r="BH114" s="79">
        <v>576476.29</v>
      </c>
      <c r="BI114" s="79">
        <v>585831.80000000005</v>
      </c>
      <c r="BJ114" s="79">
        <v>590499.77</v>
      </c>
      <c r="BK114" s="79">
        <v>590499.77</v>
      </c>
      <c r="BL114" s="79">
        <v>590499.77</v>
      </c>
      <c r="BM114" s="79">
        <v>592897.86</v>
      </c>
      <c r="BN114" s="79">
        <v>592897.86</v>
      </c>
      <c r="BO114" s="79">
        <v>7029583.7799999993</v>
      </c>
    </row>
    <row r="115" spans="1:67" ht="15" customHeight="1">
      <c r="A115" s="66" t="s">
        <v>2253</v>
      </c>
      <c r="B115" s="66" t="s">
        <v>2254</v>
      </c>
      <c r="C115" s="150" t="s">
        <v>1136</v>
      </c>
      <c r="D115" s="150" t="s">
        <v>1135</v>
      </c>
      <c r="E115" s="150" t="s">
        <v>1165</v>
      </c>
      <c r="F115" s="150" t="s">
        <v>1137</v>
      </c>
      <c r="G115" s="511" t="s">
        <v>639</v>
      </c>
      <c r="H115" s="392" t="s">
        <v>1138</v>
      </c>
      <c r="I115" s="343"/>
      <c r="J115" s="343"/>
      <c r="K115" s="70" t="s">
        <v>51</v>
      </c>
      <c r="L115" s="346" t="s">
        <v>1139</v>
      </c>
      <c r="M115" s="346" t="s">
        <v>1140</v>
      </c>
      <c r="N115" s="346"/>
      <c r="O115" s="150" t="s">
        <v>25</v>
      </c>
      <c r="P115" s="150"/>
      <c r="Q115" s="403"/>
      <c r="R115" s="406">
        <v>0</v>
      </c>
      <c r="S115" s="406">
        <v>3879.27</v>
      </c>
      <c r="T115" s="425"/>
      <c r="U115" s="71"/>
      <c r="V115" s="426"/>
      <c r="W115" s="427">
        <v>3879.27</v>
      </c>
      <c r="X115" s="431">
        <v>0</v>
      </c>
      <c r="Y115" s="428">
        <v>0</v>
      </c>
      <c r="Z115" s="429">
        <v>0</v>
      </c>
      <c r="AA115" s="429">
        <v>0</v>
      </c>
      <c r="AB115" s="360">
        <v>0</v>
      </c>
      <c r="AC115" s="360">
        <v>0</v>
      </c>
      <c r="AD115" s="360">
        <v>0</v>
      </c>
      <c r="AE115" s="360">
        <v>0</v>
      </c>
      <c r="AF115" s="360">
        <v>0</v>
      </c>
      <c r="AG115" s="360">
        <v>0</v>
      </c>
      <c r="AH115" s="360">
        <f t="shared" si="9"/>
        <v>3879.27</v>
      </c>
      <c r="AI115" s="362">
        <f>ERP_5[[#This Row],[2026 Working Total]]-ERP_5[[#This Row],[LE2 Final Submission]]</f>
        <v>0</v>
      </c>
      <c r="AJ115" s="79">
        <v>0</v>
      </c>
      <c r="AK115" s="79">
        <f t="shared" si="8"/>
        <v>0</v>
      </c>
      <c r="AL115" s="374">
        <f>SUM(ERP_5[[#This Row],[AP01]:[AP06]])-SUM(ERP_5[[#This Row],[AP01 LE2]:[AP06 LE2]])</f>
        <v>0</v>
      </c>
      <c r="AM115" s="80"/>
      <c r="AN115" s="79">
        <f>ERP_5[[#This Row],[2026 Working Total to Budget/LE]]-ERP_5[[#This Row],[Giveback]]</f>
        <v>0</v>
      </c>
      <c r="AO115" s="81"/>
      <c r="AP115" s="375"/>
      <c r="AQ115" s="375">
        <v>3879.27</v>
      </c>
      <c r="AR115" s="375">
        <v>0</v>
      </c>
      <c r="AS115" s="375">
        <v>0</v>
      </c>
      <c r="AT115" s="375">
        <v>0</v>
      </c>
      <c r="AU115" s="375">
        <v>0</v>
      </c>
      <c r="AV115" s="375">
        <v>0</v>
      </c>
      <c r="AW115" s="375">
        <v>0</v>
      </c>
      <c r="AX115" s="375">
        <v>0</v>
      </c>
      <c r="AY115" s="375">
        <v>0</v>
      </c>
      <c r="AZ115" s="375">
        <v>0</v>
      </c>
      <c r="BA115" s="375">
        <v>0</v>
      </c>
      <c r="BB115" s="375">
        <v>3879.27</v>
      </c>
      <c r="BC115" s="79"/>
      <c r="BD115" s="79">
        <v>3879.27</v>
      </c>
      <c r="BE115" s="79">
        <v>0</v>
      </c>
      <c r="BF115" s="79">
        <v>0</v>
      </c>
      <c r="BG115" s="79">
        <v>0</v>
      </c>
      <c r="BH115" s="79">
        <v>0</v>
      </c>
      <c r="BI115" s="79">
        <v>0</v>
      </c>
      <c r="BJ115" s="79">
        <v>0</v>
      </c>
      <c r="BK115" s="79">
        <v>0</v>
      </c>
      <c r="BL115" s="79">
        <v>0</v>
      </c>
      <c r="BM115" s="79">
        <v>0</v>
      </c>
      <c r="BN115" s="79">
        <v>0</v>
      </c>
      <c r="BO115" s="79">
        <v>3879.27</v>
      </c>
    </row>
    <row r="116" spans="1:67" ht="15" customHeight="1">
      <c r="A116" s="66" t="s">
        <v>2867</v>
      </c>
      <c r="B116" s="66" t="s">
        <v>30</v>
      </c>
      <c r="C116" s="150" t="s">
        <v>1136</v>
      </c>
      <c r="D116" s="150" t="s">
        <v>1345</v>
      </c>
      <c r="E116" s="150" t="s">
        <v>1344</v>
      </c>
      <c r="F116" s="150" t="s">
        <v>1346</v>
      </c>
      <c r="G116" s="511" t="s">
        <v>22</v>
      </c>
      <c r="H116" s="392" t="s">
        <v>2868</v>
      </c>
      <c r="I116" s="343"/>
      <c r="J116" s="343"/>
      <c r="K116" s="70" t="s">
        <v>24</v>
      </c>
      <c r="L116" s="346" t="s">
        <v>1139</v>
      </c>
      <c r="M116" s="346" t="s">
        <v>1140</v>
      </c>
      <c r="N116" s="346"/>
      <c r="O116" s="150" t="s">
        <v>25</v>
      </c>
      <c r="P116" s="150"/>
      <c r="Q116" s="403"/>
      <c r="R116" s="406">
        <v>0</v>
      </c>
      <c r="S116" s="406">
        <v>0</v>
      </c>
      <c r="T116" s="425"/>
      <c r="U116" s="71"/>
      <c r="V116" s="426"/>
      <c r="W116" s="427"/>
      <c r="X116" s="427"/>
      <c r="Y116" s="428" t="s">
        <v>1142</v>
      </c>
      <c r="Z116" s="429">
        <v>0</v>
      </c>
      <c r="AA116" s="429">
        <v>0</v>
      </c>
      <c r="AB116" s="360">
        <v>0</v>
      </c>
      <c r="AC116" s="360">
        <v>0</v>
      </c>
      <c r="AD116" s="360">
        <v>0</v>
      </c>
      <c r="AE116" s="360">
        <v>0</v>
      </c>
      <c r="AF116" s="360">
        <v>0</v>
      </c>
      <c r="AG116" s="360">
        <v>0</v>
      </c>
      <c r="AH116" s="360">
        <f t="shared" si="9"/>
        <v>0</v>
      </c>
      <c r="AI116" s="362">
        <f>ERP_5[[#This Row],[2026 Working Total]]-ERP_5[[#This Row],[LE2 Final Submission]]</f>
        <v>0</v>
      </c>
      <c r="AJ116" s="79">
        <v>0</v>
      </c>
      <c r="AK116" s="79">
        <f t="shared" si="8"/>
        <v>0</v>
      </c>
      <c r="AL116" s="374">
        <f>SUM(ERP_5[[#This Row],[AP01]:[AP06]])-SUM(ERP_5[[#This Row],[AP01 LE2]:[AP06 LE2]])</f>
        <v>0</v>
      </c>
      <c r="AM116" s="80"/>
      <c r="AN116" s="79">
        <f>ERP_5[[#This Row],[2026 Working Total to Budget/LE]]-ERP_5[[#This Row],[Giveback]]</f>
        <v>0</v>
      </c>
      <c r="AO116" s="81"/>
      <c r="AP116" s="375"/>
      <c r="AQ116" s="375"/>
      <c r="AR116" s="375"/>
      <c r="AS116" s="375">
        <v>0</v>
      </c>
      <c r="AT116" s="375">
        <v>0</v>
      </c>
      <c r="AU116" s="375">
        <v>0</v>
      </c>
      <c r="AV116" s="375">
        <v>0</v>
      </c>
      <c r="AW116" s="375">
        <v>0</v>
      </c>
      <c r="AX116" s="375">
        <v>0</v>
      </c>
      <c r="AY116" s="375">
        <v>0</v>
      </c>
      <c r="AZ116" s="375">
        <v>0</v>
      </c>
      <c r="BA116" s="375">
        <v>0</v>
      </c>
      <c r="BB116" s="375">
        <v>0</v>
      </c>
      <c r="BC116" s="79">
        <v>3835.35</v>
      </c>
      <c r="BD116" s="79">
        <v>2416.25</v>
      </c>
      <c r="BE116" s="79">
        <v>3735.66</v>
      </c>
      <c r="BF116" s="79">
        <v>0</v>
      </c>
      <c r="BG116" s="79">
        <v>0</v>
      </c>
      <c r="BH116" s="79">
        <v>0</v>
      </c>
      <c r="BI116" s="79">
        <v>0</v>
      </c>
      <c r="BJ116" s="79">
        <v>0</v>
      </c>
      <c r="BK116" s="79">
        <v>0</v>
      </c>
      <c r="BL116" s="79">
        <v>0</v>
      </c>
      <c r="BM116" s="79">
        <v>0</v>
      </c>
      <c r="BN116" s="79">
        <v>0</v>
      </c>
      <c r="BO116" s="79">
        <v>9987.26</v>
      </c>
    </row>
    <row r="117" spans="1:67" ht="15" customHeight="1">
      <c r="A117" s="66" t="s">
        <v>2875</v>
      </c>
      <c r="B117" s="66" t="s">
        <v>34</v>
      </c>
      <c r="C117" s="150" t="s">
        <v>1136</v>
      </c>
      <c r="D117" s="150" t="s">
        <v>1345</v>
      </c>
      <c r="E117" s="150" t="s">
        <v>1515</v>
      </c>
      <c r="F117" s="150" t="s">
        <v>1346</v>
      </c>
      <c r="G117" s="511" t="s">
        <v>22</v>
      </c>
      <c r="H117" s="392" t="s">
        <v>2868</v>
      </c>
      <c r="I117" s="343"/>
      <c r="J117" s="343"/>
      <c r="K117" s="70" t="s">
        <v>24</v>
      </c>
      <c r="L117" s="346" t="s">
        <v>1139</v>
      </c>
      <c r="M117" s="346" t="s">
        <v>1140</v>
      </c>
      <c r="N117" s="346"/>
      <c r="O117" s="150" t="s">
        <v>25</v>
      </c>
      <c r="P117" s="150"/>
      <c r="Q117" s="403"/>
      <c r="R117" s="406">
        <v>0</v>
      </c>
      <c r="S117" s="406">
        <v>0</v>
      </c>
      <c r="T117" s="425"/>
      <c r="U117" s="71"/>
      <c r="V117" s="426"/>
      <c r="W117" s="427"/>
      <c r="X117" s="427"/>
      <c r="Y117" s="428" t="s">
        <v>1142</v>
      </c>
      <c r="Z117" s="429">
        <v>0</v>
      </c>
      <c r="AA117" s="429">
        <v>0</v>
      </c>
      <c r="AB117" s="360">
        <v>0</v>
      </c>
      <c r="AC117" s="360">
        <v>0</v>
      </c>
      <c r="AD117" s="360">
        <v>0</v>
      </c>
      <c r="AE117" s="360">
        <v>0</v>
      </c>
      <c r="AF117" s="360">
        <v>0</v>
      </c>
      <c r="AG117" s="360">
        <v>0</v>
      </c>
      <c r="AH117" s="360">
        <f t="shared" si="9"/>
        <v>0</v>
      </c>
      <c r="AI117" s="362">
        <f>ERP_5[[#This Row],[2026 Working Total]]-ERP_5[[#This Row],[LE2 Final Submission]]</f>
        <v>0</v>
      </c>
      <c r="AJ117" s="79">
        <v>0</v>
      </c>
      <c r="AK117" s="79">
        <f t="shared" si="8"/>
        <v>0</v>
      </c>
      <c r="AL117" s="374">
        <f>SUM(ERP_5[[#This Row],[AP01]:[AP06]])-SUM(ERP_5[[#This Row],[AP01 LE2]:[AP06 LE2]])</f>
        <v>0</v>
      </c>
      <c r="AM117" s="80"/>
      <c r="AN117" s="79">
        <f>ERP_5[[#This Row],[2026 Working Total to Budget/LE]]-ERP_5[[#This Row],[Giveback]]</f>
        <v>0</v>
      </c>
      <c r="AO117" s="81"/>
      <c r="AP117" s="375"/>
      <c r="AQ117" s="375"/>
      <c r="AR117" s="375"/>
      <c r="AS117" s="375">
        <v>0</v>
      </c>
      <c r="AT117" s="375">
        <v>0</v>
      </c>
      <c r="AU117" s="375">
        <v>0</v>
      </c>
      <c r="AV117" s="375">
        <v>0</v>
      </c>
      <c r="AW117" s="375">
        <v>0</v>
      </c>
      <c r="AX117" s="375">
        <v>0</v>
      </c>
      <c r="AY117" s="375">
        <v>0</v>
      </c>
      <c r="AZ117" s="375">
        <v>0</v>
      </c>
      <c r="BA117" s="375">
        <v>0</v>
      </c>
      <c r="BB117" s="375">
        <v>0</v>
      </c>
      <c r="BC117" s="79">
        <v>1989.38</v>
      </c>
      <c r="BD117" s="79">
        <v>2792.24</v>
      </c>
      <c r="BE117" s="79">
        <v>4195.3599999999997</v>
      </c>
      <c r="BF117" s="79">
        <v>0</v>
      </c>
      <c r="BG117" s="79">
        <v>0</v>
      </c>
      <c r="BH117" s="79">
        <v>0</v>
      </c>
      <c r="BI117" s="79">
        <v>0</v>
      </c>
      <c r="BJ117" s="79">
        <v>0</v>
      </c>
      <c r="BK117" s="79">
        <v>0</v>
      </c>
      <c r="BL117" s="79">
        <v>0</v>
      </c>
      <c r="BM117" s="79">
        <v>0</v>
      </c>
      <c r="BN117" s="79">
        <v>0</v>
      </c>
      <c r="BO117" s="79">
        <v>8976.98</v>
      </c>
    </row>
    <row r="118" spans="1:67" ht="15" customHeight="1">
      <c r="A118" s="66" t="s">
        <v>2899</v>
      </c>
      <c r="B118" s="66" t="s">
        <v>23</v>
      </c>
      <c r="C118" s="150" t="s">
        <v>1136</v>
      </c>
      <c r="D118" s="150" t="s">
        <v>1135</v>
      </c>
      <c r="E118" s="150" t="s">
        <v>1135</v>
      </c>
      <c r="F118" s="150" t="s">
        <v>1137</v>
      </c>
      <c r="G118" s="511" t="s">
        <v>22</v>
      </c>
      <c r="H118" s="392" t="s">
        <v>2868</v>
      </c>
      <c r="I118" s="343"/>
      <c r="J118" s="343"/>
      <c r="K118" s="70" t="s">
        <v>24</v>
      </c>
      <c r="L118" s="346" t="s">
        <v>1139</v>
      </c>
      <c r="M118" s="346" t="s">
        <v>1140</v>
      </c>
      <c r="N118" s="346"/>
      <c r="O118" s="150" t="s">
        <v>25</v>
      </c>
      <c r="P118" s="150"/>
      <c r="Q118" s="403"/>
      <c r="R118" s="406">
        <v>0</v>
      </c>
      <c r="S118" s="406">
        <v>0</v>
      </c>
      <c r="T118" s="425"/>
      <c r="U118" s="71"/>
      <c r="V118" s="426"/>
      <c r="W118" s="427"/>
      <c r="X118" s="427"/>
      <c r="Y118" s="428" t="s">
        <v>1142</v>
      </c>
      <c r="Z118" s="429">
        <v>0</v>
      </c>
      <c r="AA118" s="429">
        <v>0</v>
      </c>
      <c r="AB118" s="360">
        <v>0</v>
      </c>
      <c r="AC118" s="360">
        <v>0</v>
      </c>
      <c r="AD118" s="360">
        <v>0</v>
      </c>
      <c r="AE118" s="360">
        <v>0</v>
      </c>
      <c r="AF118" s="360">
        <v>0</v>
      </c>
      <c r="AG118" s="360">
        <v>0</v>
      </c>
      <c r="AH118" s="360">
        <f t="shared" si="9"/>
        <v>0</v>
      </c>
      <c r="AI118" s="365">
        <f>ERP_5[[#This Row],[2026 Working Total]]-ERP_5[[#This Row],[LE2 Final Submission]]</f>
        <v>0</v>
      </c>
      <c r="AJ118" s="79">
        <v>0</v>
      </c>
      <c r="AK118" s="79">
        <f t="shared" si="8"/>
        <v>0</v>
      </c>
      <c r="AL118" s="374">
        <f>SUM(ERP_5[[#This Row],[AP01]:[AP06]])-SUM(ERP_5[[#This Row],[AP01 LE2]:[AP06 LE2]])</f>
        <v>0</v>
      </c>
      <c r="AM118" s="80"/>
      <c r="AN118" s="79">
        <f>ERP_5[[#This Row],[2026 Working Total to Budget/LE]]-ERP_5[[#This Row],[Giveback]]</f>
        <v>0</v>
      </c>
      <c r="AO118" s="81"/>
      <c r="AP118" s="375"/>
      <c r="AQ118" s="375"/>
      <c r="AR118" s="375"/>
      <c r="AS118" s="375">
        <v>0</v>
      </c>
      <c r="AT118" s="375">
        <v>0</v>
      </c>
      <c r="AU118" s="375">
        <v>0</v>
      </c>
      <c r="AV118" s="375">
        <v>0</v>
      </c>
      <c r="AW118" s="375">
        <v>0</v>
      </c>
      <c r="AX118" s="375">
        <v>0</v>
      </c>
      <c r="AY118" s="375">
        <v>0</v>
      </c>
      <c r="AZ118" s="375">
        <v>0</v>
      </c>
      <c r="BA118" s="375">
        <v>0</v>
      </c>
      <c r="BB118" s="375">
        <v>0</v>
      </c>
      <c r="BC118" s="79">
        <v>267678</v>
      </c>
      <c r="BD118" s="79">
        <v>267678</v>
      </c>
      <c r="BE118" s="79">
        <v>267678</v>
      </c>
      <c r="BF118" s="79">
        <v>0</v>
      </c>
      <c r="BG118" s="79">
        <v>0</v>
      </c>
      <c r="BH118" s="79">
        <v>0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803034</v>
      </c>
    </row>
    <row r="119" spans="1:67" ht="15" customHeight="1">
      <c r="A119" s="66" t="s">
        <v>2880</v>
      </c>
      <c r="B119" s="66" t="s">
        <v>2881</v>
      </c>
      <c r="C119" s="150" t="s">
        <v>1136</v>
      </c>
      <c r="D119" s="150" t="s">
        <v>1567</v>
      </c>
      <c r="E119" s="150" t="s">
        <v>1567</v>
      </c>
      <c r="F119" s="150" t="s">
        <v>1567</v>
      </c>
      <c r="G119" s="511" t="s">
        <v>22</v>
      </c>
      <c r="H119" s="392" t="s">
        <v>2868</v>
      </c>
      <c r="I119" s="343"/>
      <c r="J119" s="343"/>
      <c r="K119" s="70" t="s">
        <v>24</v>
      </c>
      <c r="L119" s="346" t="s">
        <v>1139</v>
      </c>
      <c r="M119" s="346" t="s">
        <v>1140</v>
      </c>
      <c r="N119" s="346"/>
      <c r="O119" s="150" t="s">
        <v>25</v>
      </c>
      <c r="P119" s="150"/>
      <c r="Q119" s="403"/>
      <c r="R119" s="406">
        <v>330694.30999999988</v>
      </c>
      <c r="S119" s="406">
        <v>0</v>
      </c>
      <c r="T119" s="425"/>
      <c r="U119" s="71"/>
      <c r="V119" s="426"/>
      <c r="W119" s="427"/>
      <c r="X119" s="427"/>
      <c r="Y119" s="428" t="s">
        <v>1142</v>
      </c>
      <c r="Z119" s="429">
        <v>0</v>
      </c>
      <c r="AA119" s="429">
        <v>0</v>
      </c>
      <c r="AB119" s="363"/>
      <c r="AC119" s="363"/>
      <c r="AD119" s="363"/>
      <c r="AE119" s="363"/>
      <c r="AF119" s="363"/>
      <c r="AG119" s="363"/>
      <c r="AH119" s="360">
        <f t="shared" si="9"/>
        <v>0</v>
      </c>
      <c r="AI119" s="362">
        <f>ERP_5[[#This Row],[2026 Working Total]]-ERP_5[[#This Row],[LE2 Final Submission]]</f>
        <v>0</v>
      </c>
      <c r="AJ119" s="79"/>
      <c r="AK119" s="79">
        <f t="shared" si="8"/>
        <v>0</v>
      </c>
      <c r="AL119" s="374">
        <f>SUM(ERP_5[[#This Row],[AP01]:[AP06]])-SUM(ERP_5[[#This Row],[AP01 LE2]:[AP06 LE2]])</f>
        <v>0</v>
      </c>
      <c r="AM119" s="80"/>
      <c r="AN119" s="79">
        <f>ERP_5[[#This Row],[2026 Working Total to Budget/LE]]-ERP_5[[#This Row],[Giveback]]</f>
        <v>0</v>
      </c>
      <c r="AO119" s="81"/>
      <c r="AP119" s="375"/>
      <c r="AQ119" s="375"/>
      <c r="AR119" s="375"/>
      <c r="AS119" s="375"/>
      <c r="AT119" s="375"/>
      <c r="AU119" s="375"/>
      <c r="AV119" s="375"/>
      <c r="AW119" s="375"/>
      <c r="AX119" s="375"/>
      <c r="AY119" s="375"/>
      <c r="AZ119" s="375"/>
      <c r="BA119" s="375"/>
      <c r="BB119" s="375">
        <v>0</v>
      </c>
      <c r="BC119" s="79">
        <v>92230.9</v>
      </c>
      <c r="BD119" s="79">
        <v>-4919.59</v>
      </c>
      <c r="BE119" s="79">
        <v>59978.67</v>
      </c>
      <c r="BF119" s="79">
        <v>20638.45</v>
      </c>
      <c r="BG119" s="79">
        <v>34028.449999999997</v>
      </c>
      <c r="BH119" s="79">
        <v>32963.75</v>
      </c>
      <c r="BI119" s="79">
        <v>22316.67</v>
      </c>
      <c r="BJ119" s="79">
        <v>22316.67</v>
      </c>
      <c r="BK119" s="79">
        <v>22316.67</v>
      </c>
      <c r="BL119" s="79">
        <v>22316.67</v>
      </c>
      <c r="BM119" s="79">
        <v>22316.67</v>
      </c>
      <c r="BN119" s="79">
        <v>22316.67</v>
      </c>
      <c r="BO119" s="79">
        <v>368820.64999999991</v>
      </c>
    </row>
    <row r="120" spans="1:67" ht="15" customHeight="1">
      <c r="A120" s="66" t="s">
        <v>2896</v>
      </c>
      <c r="B120" s="66" t="s">
        <v>45</v>
      </c>
      <c r="C120" s="150" t="s">
        <v>1136</v>
      </c>
      <c r="D120" s="150" t="s">
        <v>1650</v>
      </c>
      <c r="E120" s="150" t="s">
        <v>1650</v>
      </c>
      <c r="F120" s="150" t="s">
        <v>1650</v>
      </c>
      <c r="G120" s="511" t="s">
        <v>22</v>
      </c>
      <c r="H120" s="392" t="s">
        <v>2868</v>
      </c>
      <c r="I120" s="343"/>
      <c r="J120" s="343"/>
      <c r="K120" s="70" t="s">
        <v>24</v>
      </c>
      <c r="L120" s="346" t="s">
        <v>1139</v>
      </c>
      <c r="M120" s="346" t="s">
        <v>1140</v>
      </c>
      <c r="N120" s="346"/>
      <c r="O120" s="150" t="s">
        <v>25</v>
      </c>
      <c r="P120" s="150"/>
      <c r="Q120" s="403"/>
      <c r="R120" s="406">
        <v>763217.94999999984</v>
      </c>
      <c r="S120" s="406">
        <v>0</v>
      </c>
      <c r="T120" s="425"/>
      <c r="U120" s="71"/>
      <c r="V120" s="426"/>
      <c r="W120" s="427"/>
      <c r="X120" s="427"/>
      <c r="Y120" s="428" t="s">
        <v>1142</v>
      </c>
      <c r="Z120" s="429">
        <v>0</v>
      </c>
      <c r="AA120" s="429">
        <v>0</v>
      </c>
      <c r="AB120" s="363"/>
      <c r="AC120" s="363"/>
      <c r="AD120" s="363"/>
      <c r="AE120" s="363"/>
      <c r="AF120" s="363"/>
      <c r="AG120" s="363"/>
      <c r="AH120" s="360">
        <f t="shared" si="9"/>
        <v>0</v>
      </c>
      <c r="AI120" s="362">
        <f>ERP_5[[#This Row],[2026 Working Total]]-ERP_5[[#This Row],[LE2 Final Submission]]</f>
        <v>0</v>
      </c>
      <c r="AJ120" s="79"/>
      <c r="AK120" s="79">
        <f t="shared" si="8"/>
        <v>0</v>
      </c>
      <c r="AL120" s="374">
        <f>SUM(ERP_5[[#This Row],[AP01]:[AP06]])-SUM(ERP_5[[#This Row],[AP01 LE2]:[AP06 LE2]])</f>
        <v>0</v>
      </c>
      <c r="AM120" s="80"/>
      <c r="AN120" s="79">
        <f>ERP_5[[#This Row],[2026 Working Total to Budget/LE]]-ERP_5[[#This Row],[Giveback]]</f>
        <v>0</v>
      </c>
      <c r="AO120" s="81"/>
      <c r="AP120" s="375"/>
      <c r="AQ120" s="375"/>
      <c r="AR120" s="375"/>
      <c r="AS120" s="375"/>
      <c r="AT120" s="375"/>
      <c r="AU120" s="375"/>
      <c r="AV120" s="375"/>
      <c r="AW120" s="375"/>
      <c r="AX120" s="375"/>
      <c r="AY120" s="375"/>
      <c r="AZ120" s="375"/>
      <c r="BA120" s="375"/>
      <c r="BB120" s="375">
        <v>0</v>
      </c>
      <c r="BC120" s="79">
        <v>60869.22</v>
      </c>
      <c r="BD120" s="79">
        <v>66348.7</v>
      </c>
      <c r="BE120" s="79">
        <v>65556.320000000007</v>
      </c>
      <c r="BF120" s="79">
        <v>66648.33</v>
      </c>
      <c r="BG120" s="79">
        <v>58804.22</v>
      </c>
      <c r="BH120" s="79">
        <v>58804.22</v>
      </c>
      <c r="BI120" s="79">
        <v>58804.22</v>
      </c>
      <c r="BJ120" s="79">
        <v>66557.960000000006</v>
      </c>
      <c r="BK120" s="79">
        <v>66703.34</v>
      </c>
      <c r="BL120" s="79">
        <v>66703.34</v>
      </c>
      <c r="BM120" s="79">
        <v>66703.34</v>
      </c>
      <c r="BN120" s="79">
        <v>66703.34</v>
      </c>
      <c r="BO120" s="79">
        <v>769206.54999999993</v>
      </c>
    </row>
    <row r="121" spans="1:67" ht="15" customHeight="1">
      <c r="A121" s="66" t="s">
        <v>2882</v>
      </c>
      <c r="B121" s="66" t="s">
        <v>2883</v>
      </c>
      <c r="C121" s="150" t="s">
        <v>1136</v>
      </c>
      <c r="D121" s="150" t="s">
        <v>1567</v>
      </c>
      <c r="E121" s="150" t="s">
        <v>1567</v>
      </c>
      <c r="F121" s="150" t="s">
        <v>1567</v>
      </c>
      <c r="G121" s="511" t="s">
        <v>22</v>
      </c>
      <c r="H121" s="392" t="s">
        <v>2884</v>
      </c>
      <c r="I121" s="343"/>
      <c r="J121" s="343"/>
      <c r="K121" s="70" t="s">
        <v>39</v>
      </c>
      <c r="L121" s="346"/>
      <c r="M121" s="346" t="s">
        <v>1140</v>
      </c>
      <c r="N121" s="346"/>
      <c r="O121" s="150" t="s">
        <v>25</v>
      </c>
      <c r="P121" s="150"/>
      <c r="Q121" s="403"/>
      <c r="R121" s="406">
        <v>144000</v>
      </c>
      <c r="S121" s="406">
        <v>108000</v>
      </c>
      <c r="T121" s="425"/>
      <c r="U121" s="71"/>
      <c r="V121" s="426"/>
      <c r="W121" s="427"/>
      <c r="X121" s="427"/>
      <c r="Y121" s="428" t="s">
        <v>1142</v>
      </c>
      <c r="Z121" s="429">
        <v>0</v>
      </c>
      <c r="AA121" s="429">
        <v>0</v>
      </c>
      <c r="AB121" s="363">
        <v>12000</v>
      </c>
      <c r="AC121" s="363">
        <v>12000</v>
      </c>
      <c r="AD121" s="363">
        <v>12000</v>
      </c>
      <c r="AE121" s="363">
        <v>12000</v>
      </c>
      <c r="AF121" s="363">
        <v>12000</v>
      </c>
      <c r="AG121" s="363">
        <v>12000</v>
      </c>
      <c r="AH121" s="360">
        <f t="shared" si="9"/>
        <v>72000</v>
      </c>
      <c r="AI121" s="362">
        <f>ERP_5[[#This Row],[2026 Working Total]]-ERP_5[[#This Row],[LE2 Final Submission]]</f>
        <v>-36000</v>
      </c>
      <c r="AJ121" s="79">
        <v>12000</v>
      </c>
      <c r="AK121" s="79">
        <f t="shared" si="8"/>
        <v>-12000</v>
      </c>
      <c r="AL121" s="374">
        <f>SUM(ERP_5[[#This Row],[AP01]:[AP06]])-SUM(ERP_5[[#This Row],[AP01 LE2]:[AP06 LE2]])</f>
        <v>-36000</v>
      </c>
      <c r="AM121" s="80"/>
      <c r="AN121" s="79">
        <f>ERP_5[[#This Row],[2026 Working Total to Budget/LE]]-ERP_5[[#This Row],[Giveback]]</f>
        <v>-36000</v>
      </c>
      <c r="AO121" s="81"/>
      <c r="AP121" s="375"/>
      <c r="AQ121" s="375"/>
      <c r="AR121" s="375"/>
      <c r="AS121" s="375">
        <v>12000</v>
      </c>
      <c r="AT121" s="375">
        <v>12000</v>
      </c>
      <c r="AU121" s="375">
        <v>12000</v>
      </c>
      <c r="AV121" s="375">
        <v>12000</v>
      </c>
      <c r="AW121" s="375">
        <v>12000</v>
      </c>
      <c r="AX121" s="375">
        <v>12000</v>
      </c>
      <c r="AY121" s="375">
        <v>12000</v>
      </c>
      <c r="AZ121" s="375">
        <v>12000</v>
      </c>
      <c r="BA121" s="375">
        <v>12000</v>
      </c>
      <c r="BB121" s="375">
        <v>108000</v>
      </c>
      <c r="BC121" s="79"/>
      <c r="BD121" s="79"/>
      <c r="BE121" s="79"/>
      <c r="BF121" s="79">
        <v>12000</v>
      </c>
      <c r="BG121" s="79">
        <v>12000</v>
      </c>
      <c r="BH121" s="79">
        <v>12000</v>
      </c>
      <c r="BI121" s="79">
        <v>12000</v>
      </c>
      <c r="BJ121" s="79">
        <v>12000</v>
      </c>
      <c r="BK121" s="79">
        <v>12000</v>
      </c>
      <c r="BL121" s="79">
        <v>12000</v>
      </c>
      <c r="BM121" s="79">
        <v>12000</v>
      </c>
      <c r="BN121" s="79">
        <v>12000</v>
      </c>
      <c r="BO121" s="79">
        <v>108000</v>
      </c>
    </row>
    <row r="122" spans="1:67" ht="15" customHeight="1">
      <c r="A122" s="66" t="s">
        <v>2885</v>
      </c>
      <c r="B122" s="66" t="s">
        <v>2886</v>
      </c>
      <c r="C122" s="150" t="s">
        <v>1136</v>
      </c>
      <c r="D122" s="150" t="s">
        <v>1345</v>
      </c>
      <c r="E122" s="150" t="s">
        <v>1346</v>
      </c>
      <c r="F122" s="150" t="s">
        <v>1346</v>
      </c>
      <c r="G122" s="511" t="s">
        <v>22</v>
      </c>
      <c r="H122" s="392" t="s">
        <v>2870</v>
      </c>
      <c r="I122" s="343"/>
      <c r="J122" s="343"/>
      <c r="K122" s="70" t="s">
        <v>27</v>
      </c>
      <c r="L122" s="346" t="s">
        <v>1139</v>
      </c>
      <c r="M122" s="346" t="s">
        <v>1140</v>
      </c>
      <c r="N122" s="346"/>
      <c r="O122" s="150" t="s">
        <v>25</v>
      </c>
      <c r="P122" s="150"/>
      <c r="Q122" s="403"/>
      <c r="R122" s="406">
        <v>2865793.42</v>
      </c>
      <c r="S122" s="406">
        <v>0</v>
      </c>
      <c r="T122" s="425"/>
      <c r="U122" s="71"/>
      <c r="V122" s="426"/>
      <c r="W122" s="427"/>
      <c r="X122" s="427"/>
      <c r="Y122" s="428" t="s">
        <v>1142</v>
      </c>
      <c r="Z122" s="429">
        <v>0</v>
      </c>
      <c r="AA122" s="429">
        <v>0</v>
      </c>
      <c r="AB122" s="363"/>
      <c r="AC122" s="363"/>
      <c r="AD122" s="363"/>
      <c r="AE122" s="363"/>
      <c r="AF122" s="363"/>
      <c r="AG122" s="363"/>
      <c r="AH122" s="360">
        <f t="shared" si="9"/>
        <v>0</v>
      </c>
      <c r="AI122" s="362">
        <f>ERP_5[[#This Row],[2026 Working Total]]-ERP_5[[#This Row],[LE2 Final Submission]]</f>
        <v>0</v>
      </c>
      <c r="AJ122" s="79"/>
      <c r="AK122" s="79">
        <f t="shared" si="8"/>
        <v>0</v>
      </c>
      <c r="AL122" s="374">
        <f>SUM(ERP_5[[#This Row],[AP01]:[AP06]])-SUM(ERP_5[[#This Row],[AP01 LE2]:[AP06 LE2]])</f>
        <v>0</v>
      </c>
      <c r="AM122" s="80"/>
      <c r="AN122" s="79">
        <f>ERP_5[[#This Row],[2026 Working Total to Budget/LE]]-ERP_5[[#This Row],[Giveback]]</f>
        <v>0</v>
      </c>
      <c r="AO122" s="81"/>
      <c r="AP122" s="375"/>
      <c r="AQ122" s="375"/>
      <c r="AR122" s="375"/>
      <c r="AS122" s="375"/>
      <c r="AT122" s="375"/>
      <c r="AU122" s="375"/>
      <c r="AV122" s="375"/>
      <c r="AW122" s="375"/>
      <c r="AX122" s="375"/>
      <c r="AY122" s="375"/>
      <c r="AZ122" s="375"/>
      <c r="BA122" s="375"/>
      <c r="BB122" s="375">
        <v>0</v>
      </c>
      <c r="BC122" s="79">
        <v>195133.21</v>
      </c>
      <c r="BD122" s="79">
        <v>214325.71</v>
      </c>
      <c r="BE122" s="79">
        <v>291685.48</v>
      </c>
      <c r="BF122" s="79">
        <v>233173.12</v>
      </c>
      <c r="BG122" s="79">
        <v>232919.73</v>
      </c>
      <c r="BH122" s="79">
        <v>238777.23</v>
      </c>
      <c r="BI122" s="79">
        <v>240555.68</v>
      </c>
      <c r="BJ122" s="79">
        <v>242084.56</v>
      </c>
      <c r="BK122" s="79">
        <v>242084.56</v>
      </c>
      <c r="BL122" s="79">
        <v>242084.56</v>
      </c>
      <c r="BM122" s="79">
        <v>242516.91</v>
      </c>
      <c r="BN122" s="79">
        <v>242516.91</v>
      </c>
      <c r="BO122" s="79">
        <v>2857857.66</v>
      </c>
    </row>
    <row r="123" spans="1:67" ht="15" customHeight="1">
      <c r="A123" s="66" t="s">
        <v>2900</v>
      </c>
      <c r="B123" s="66" t="s">
        <v>2901</v>
      </c>
      <c r="C123" s="150" t="s">
        <v>1136</v>
      </c>
      <c r="D123" s="150" t="s">
        <v>1135</v>
      </c>
      <c r="E123" s="150" t="s">
        <v>1137</v>
      </c>
      <c r="F123" s="150" t="s">
        <v>1137</v>
      </c>
      <c r="G123" s="511" t="s">
        <v>22</v>
      </c>
      <c r="H123" s="392" t="s">
        <v>2868</v>
      </c>
      <c r="I123" s="343"/>
      <c r="J123" s="343"/>
      <c r="K123" s="70" t="s">
        <v>24</v>
      </c>
      <c r="L123" s="346" t="s">
        <v>1139</v>
      </c>
      <c r="M123" s="346" t="s">
        <v>1140</v>
      </c>
      <c r="N123" s="346"/>
      <c r="O123" s="150" t="s">
        <v>25</v>
      </c>
      <c r="P123" s="150"/>
      <c r="Q123" s="403"/>
      <c r="R123" s="406">
        <v>3920122.6999999993</v>
      </c>
      <c r="S123" s="406">
        <v>0</v>
      </c>
      <c r="T123" s="425"/>
      <c r="U123" s="71"/>
      <c r="V123" s="426"/>
      <c r="W123" s="427"/>
      <c r="X123" s="427"/>
      <c r="Y123" s="428" t="s">
        <v>1142</v>
      </c>
      <c r="Z123" s="429">
        <v>0</v>
      </c>
      <c r="AA123" s="429">
        <v>0</v>
      </c>
      <c r="AB123" s="363"/>
      <c r="AC123" s="363"/>
      <c r="AD123" s="363"/>
      <c r="AE123" s="363"/>
      <c r="AF123" s="363"/>
      <c r="AG123" s="363"/>
      <c r="AH123" s="360">
        <f t="shared" si="9"/>
        <v>0</v>
      </c>
      <c r="AI123" s="362">
        <f>ERP_5[[#This Row],[2026 Working Total]]-ERP_5[[#This Row],[LE2 Final Submission]]</f>
        <v>0</v>
      </c>
      <c r="AJ123" s="79"/>
      <c r="AK123" s="79">
        <f t="shared" si="8"/>
        <v>0</v>
      </c>
      <c r="AL123" s="374">
        <f>SUM(ERP_5[[#This Row],[AP01]:[AP06]])-SUM(ERP_5[[#This Row],[AP01 LE2]:[AP06 LE2]])</f>
        <v>0</v>
      </c>
      <c r="AM123" s="80"/>
      <c r="AN123" s="79">
        <f>ERP_5[[#This Row],[2026 Working Total to Budget/LE]]-ERP_5[[#This Row],[Giveback]]</f>
        <v>0</v>
      </c>
      <c r="AO123" s="81"/>
      <c r="AP123" s="375"/>
      <c r="AQ123" s="375"/>
      <c r="AR123" s="375"/>
      <c r="AS123" s="375"/>
      <c r="AT123" s="375"/>
      <c r="AU123" s="375"/>
      <c r="AV123" s="375"/>
      <c r="AW123" s="375"/>
      <c r="AX123" s="375"/>
      <c r="AY123" s="375"/>
      <c r="AZ123" s="375"/>
      <c r="BA123" s="375"/>
      <c r="BB123" s="375">
        <v>0</v>
      </c>
      <c r="BC123" s="79">
        <v>95760.76</v>
      </c>
      <c r="BD123" s="79">
        <v>93858.59</v>
      </c>
      <c r="BE123" s="79">
        <v>103661.36</v>
      </c>
      <c r="BF123" s="79">
        <v>322835.13</v>
      </c>
      <c r="BG123" s="79">
        <v>322835.13</v>
      </c>
      <c r="BH123" s="79">
        <v>322835.13</v>
      </c>
      <c r="BI123" s="79">
        <v>330985.75</v>
      </c>
      <c r="BJ123" s="79">
        <v>330985.75</v>
      </c>
      <c r="BK123" s="79">
        <v>338079.72</v>
      </c>
      <c r="BL123" s="79">
        <v>338079.72</v>
      </c>
      <c r="BM123" s="79">
        <v>338079.72</v>
      </c>
      <c r="BN123" s="79">
        <v>338079.72</v>
      </c>
      <c r="BO123" s="79">
        <v>3276076.4799999995</v>
      </c>
    </row>
    <row r="124" spans="1:67" ht="15" customHeight="1">
      <c r="A124" s="66" t="s">
        <v>2869</v>
      </c>
      <c r="B124" s="66" t="s">
        <v>31</v>
      </c>
      <c r="C124" s="150" t="s">
        <v>1136</v>
      </c>
      <c r="D124" s="150" t="s">
        <v>1345</v>
      </c>
      <c r="E124" s="150" t="s">
        <v>1344</v>
      </c>
      <c r="F124" s="150" t="s">
        <v>1346</v>
      </c>
      <c r="G124" s="511" t="s">
        <v>22</v>
      </c>
      <c r="H124" s="392" t="s">
        <v>2870</v>
      </c>
      <c r="I124" s="343"/>
      <c r="J124" s="343"/>
      <c r="K124" s="70" t="s">
        <v>27</v>
      </c>
      <c r="L124" s="346" t="s">
        <v>1139</v>
      </c>
      <c r="M124" s="346" t="s">
        <v>1140</v>
      </c>
      <c r="N124" s="346"/>
      <c r="O124" s="150" t="s">
        <v>25</v>
      </c>
      <c r="P124" s="150"/>
      <c r="Q124" s="403"/>
      <c r="R124" s="406">
        <v>0</v>
      </c>
      <c r="S124" s="406">
        <v>0</v>
      </c>
      <c r="T124" s="425"/>
      <c r="U124" s="71"/>
      <c r="V124" s="426"/>
      <c r="W124" s="427"/>
      <c r="X124" s="427"/>
      <c r="Y124" s="428" t="s">
        <v>1142</v>
      </c>
      <c r="Z124" s="429">
        <v>0</v>
      </c>
      <c r="AA124" s="429">
        <v>0</v>
      </c>
      <c r="AB124" s="360">
        <v>0</v>
      </c>
      <c r="AC124" s="360">
        <v>0</v>
      </c>
      <c r="AD124" s="360">
        <v>0</v>
      </c>
      <c r="AE124" s="360">
        <v>0</v>
      </c>
      <c r="AF124" s="360">
        <v>0</v>
      </c>
      <c r="AG124" s="360">
        <v>0</v>
      </c>
      <c r="AH124" s="360">
        <f t="shared" si="9"/>
        <v>0</v>
      </c>
      <c r="AI124" s="362">
        <f>ERP_5[[#This Row],[2026 Working Total]]-ERP_5[[#This Row],[LE2 Final Submission]]</f>
        <v>0</v>
      </c>
      <c r="AJ124" s="79">
        <v>0</v>
      </c>
      <c r="AK124" s="79">
        <f t="shared" si="8"/>
        <v>0</v>
      </c>
      <c r="AL124" s="374">
        <f>SUM(ERP_5[[#This Row],[AP01]:[AP06]])-SUM(ERP_5[[#This Row],[AP01 LE2]:[AP06 LE2]])</f>
        <v>0</v>
      </c>
      <c r="AM124" s="80"/>
      <c r="AN124" s="79">
        <f>ERP_5[[#This Row],[2026 Working Total to Budget/LE]]-ERP_5[[#This Row],[Giveback]]</f>
        <v>0</v>
      </c>
      <c r="AO124" s="81"/>
      <c r="AP124" s="375"/>
      <c r="AQ124" s="375"/>
      <c r="AR124" s="375"/>
      <c r="AS124" s="375">
        <v>0</v>
      </c>
      <c r="AT124" s="375">
        <v>0</v>
      </c>
      <c r="AU124" s="375">
        <v>0</v>
      </c>
      <c r="AV124" s="375">
        <v>0</v>
      </c>
      <c r="AW124" s="375">
        <v>0</v>
      </c>
      <c r="AX124" s="375">
        <v>0</v>
      </c>
      <c r="AY124" s="375">
        <v>0</v>
      </c>
      <c r="AZ124" s="375">
        <v>0</v>
      </c>
      <c r="BA124" s="375">
        <v>0</v>
      </c>
      <c r="BB124" s="375">
        <v>0</v>
      </c>
      <c r="BC124" s="79">
        <v>3779.53</v>
      </c>
      <c r="BD124" s="79">
        <v>7255.22</v>
      </c>
      <c r="BE124" s="79">
        <v>5363.84</v>
      </c>
      <c r="BF124" s="79">
        <v>0</v>
      </c>
      <c r="BG124" s="79">
        <v>0</v>
      </c>
      <c r="BH124" s="79">
        <v>0</v>
      </c>
      <c r="BI124" s="79">
        <v>0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16398.59</v>
      </c>
    </row>
    <row r="125" spans="1:67" ht="15" customHeight="1">
      <c r="A125" s="66" t="s">
        <v>2876</v>
      </c>
      <c r="B125" s="66" t="s">
        <v>35</v>
      </c>
      <c r="C125" s="150" t="s">
        <v>1136</v>
      </c>
      <c r="D125" s="150" t="s">
        <v>1345</v>
      </c>
      <c r="E125" s="150" t="s">
        <v>1515</v>
      </c>
      <c r="F125" s="150" t="s">
        <v>1346</v>
      </c>
      <c r="G125" s="511" t="s">
        <v>22</v>
      </c>
      <c r="H125" s="392" t="s">
        <v>2870</v>
      </c>
      <c r="I125" s="343"/>
      <c r="J125" s="343"/>
      <c r="K125" s="70" t="s">
        <v>27</v>
      </c>
      <c r="L125" s="346" t="s">
        <v>1139</v>
      </c>
      <c r="M125" s="346" t="s">
        <v>1140</v>
      </c>
      <c r="N125" s="346"/>
      <c r="O125" s="150" t="s">
        <v>25</v>
      </c>
      <c r="P125" s="150"/>
      <c r="Q125" s="403"/>
      <c r="R125" s="406">
        <v>0</v>
      </c>
      <c r="S125" s="406">
        <v>0</v>
      </c>
      <c r="T125" s="425"/>
      <c r="U125" s="71"/>
      <c r="V125" s="426"/>
      <c r="W125" s="427"/>
      <c r="X125" s="427"/>
      <c r="Y125" s="428" t="s">
        <v>1142</v>
      </c>
      <c r="Z125" s="429">
        <v>0</v>
      </c>
      <c r="AA125" s="429">
        <v>0</v>
      </c>
      <c r="AB125" s="360">
        <v>0</v>
      </c>
      <c r="AC125" s="360">
        <v>0</v>
      </c>
      <c r="AD125" s="360">
        <v>0</v>
      </c>
      <c r="AE125" s="360">
        <v>0</v>
      </c>
      <c r="AF125" s="360">
        <v>0</v>
      </c>
      <c r="AG125" s="360">
        <v>0</v>
      </c>
      <c r="AH125" s="360">
        <f t="shared" si="9"/>
        <v>0</v>
      </c>
      <c r="AI125" s="362">
        <f>ERP_5[[#This Row],[2026 Working Total]]-ERP_5[[#This Row],[LE2 Final Submission]]</f>
        <v>0</v>
      </c>
      <c r="AJ125" s="79">
        <v>0</v>
      </c>
      <c r="AK125" s="79">
        <f t="shared" si="8"/>
        <v>0</v>
      </c>
      <c r="AL125" s="374">
        <f>SUM(ERP_5[[#This Row],[AP01]:[AP06]])-SUM(ERP_5[[#This Row],[AP01 LE2]:[AP06 LE2]])</f>
        <v>0</v>
      </c>
      <c r="AM125" s="80"/>
      <c r="AN125" s="79">
        <f>ERP_5[[#This Row],[2026 Working Total to Budget/LE]]-ERP_5[[#This Row],[Giveback]]</f>
        <v>0</v>
      </c>
      <c r="AO125" s="81"/>
      <c r="AP125" s="375"/>
      <c r="AQ125" s="375"/>
      <c r="AR125" s="375"/>
      <c r="AS125" s="375">
        <v>0</v>
      </c>
      <c r="AT125" s="375">
        <v>0</v>
      </c>
      <c r="AU125" s="375">
        <v>0</v>
      </c>
      <c r="AV125" s="375">
        <v>0</v>
      </c>
      <c r="AW125" s="375">
        <v>0</v>
      </c>
      <c r="AX125" s="375">
        <v>0</v>
      </c>
      <c r="AY125" s="375">
        <v>0</v>
      </c>
      <c r="AZ125" s="375">
        <v>0</v>
      </c>
      <c r="BA125" s="375">
        <v>0</v>
      </c>
      <c r="BB125" s="375">
        <v>0</v>
      </c>
      <c r="BC125" s="79">
        <v>2651.11</v>
      </c>
      <c r="BD125" s="79">
        <v>1336.03</v>
      </c>
      <c r="BE125" s="79">
        <v>1800.7</v>
      </c>
      <c r="BF125" s="79">
        <v>0</v>
      </c>
      <c r="BG125" s="79">
        <v>0</v>
      </c>
      <c r="BH125" s="79">
        <v>0</v>
      </c>
      <c r="BI125" s="79">
        <v>0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5787.84</v>
      </c>
    </row>
    <row r="126" spans="1:67" ht="15" customHeight="1">
      <c r="A126" s="66" t="s">
        <v>2902</v>
      </c>
      <c r="B126" s="66" t="s">
        <v>26</v>
      </c>
      <c r="C126" s="150" t="s">
        <v>1136</v>
      </c>
      <c r="D126" s="150" t="s">
        <v>1135</v>
      </c>
      <c r="E126" s="150" t="s">
        <v>1135</v>
      </c>
      <c r="F126" s="150" t="s">
        <v>1137</v>
      </c>
      <c r="G126" s="511" t="s">
        <v>22</v>
      </c>
      <c r="H126" s="392" t="s">
        <v>2870</v>
      </c>
      <c r="I126" s="343"/>
      <c r="J126" s="343"/>
      <c r="K126" s="70" t="s">
        <v>27</v>
      </c>
      <c r="L126" s="346" t="s">
        <v>1139</v>
      </c>
      <c r="M126" s="346" t="s">
        <v>1140</v>
      </c>
      <c r="N126" s="346"/>
      <c r="O126" s="150" t="s">
        <v>25</v>
      </c>
      <c r="P126" s="150"/>
      <c r="Q126" s="403"/>
      <c r="R126" s="406">
        <v>0</v>
      </c>
      <c r="S126" s="406">
        <v>0</v>
      </c>
      <c r="T126" s="430"/>
      <c r="U126" s="137"/>
      <c r="V126" s="426"/>
      <c r="W126" s="427"/>
      <c r="X126" s="427"/>
      <c r="Y126" s="428" t="s">
        <v>1142</v>
      </c>
      <c r="Z126" s="429">
        <v>0</v>
      </c>
      <c r="AA126" s="429">
        <v>0</v>
      </c>
      <c r="AB126" s="360">
        <v>0</v>
      </c>
      <c r="AC126" s="360">
        <v>0</v>
      </c>
      <c r="AD126" s="360">
        <v>0</v>
      </c>
      <c r="AE126" s="360">
        <v>0</v>
      </c>
      <c r="AF126" s="360">
        <v>0</v>
      </c>
      <c r="AG126" s="360">
        <v>0</v>
      </c>
      <c r="AH126" s="360">
        <f t="shared" si="9"/>
        <v>0</v>
      </c>
      <c r="AI126" s="362">
        <f>ERP_5[[#This Row],[2026 Working Total]]-ERP_5[[#This Row],[LE2 Final Submission]]</f>
        <v>0</v>
      </c>
      <c r="AJ126" s="79">
        <v>0</v>
      </c>
      <c r="AK126" s="79">
        <f t="shared" si="8"/>
        <v>0</v>
      </c>
      <c r="AL126" s="374">
        <f>SUM(ERP_5[[#This Row],[AP01]:[AP06]])-SUM(ERP_5[[#This Row],[AP01 LE2]:[AP06 LE2]])</f>
        <v>0</v>
      </c>
      <c r="AM126" s="80"/>
      <c r="AN126" s="79">
        <f>ERP_5[[#This Row],[2026 Working Total to Budget/LE]]-ERP_5[[#This Row],[Giveback]]</f>
        <v>0</v>
      </c>
      <c r="AO126" s="81"/>
      <c r="AP126" s="375"/>
      <c r="AQ126" s="375"/>
      <c r="AR126" s="375"/>
      <c r="AS126" s="375">
        <v>0</v>
      </c>
      <c r="AT126" s="375">
        <v>0</v>
      </c>
      <c r="AU126" s="375">
        <v>0</v>
      </c>
      <c r="AV126" s="375">
        <v>0</v>
      </c>
      <c r="AW126" s="375">
        <v>0</v>
      </c>
      <c r="AX126" s="375">
        <v>0</v>
      </c>
      <c r="AY126" s="375">
        <v>0</v>
      </c>
      <c r="AZ126" s="375">
        <v>0</v>
      </c>
      <c r="BA126" s="375">
        <v>0</v>
      </c>
      <c r="BB126" s="375">
        <v>0</v>
      </c>
      <c r="BC126" s="79">
        <v>119429</v>
      </c>
      <c r="BD126" s="79">
        <v>107869</v>
      </c>
      <c r="BE126" s="79">
        <v>119891</v>
      </c>
      <c r="BF126" s="79">
        <v>0</v>
      </c>
      <c r="BG126" s="79">
        <v>0</v>
      </c>
      <c r="BH126" s="79">
        <v>0</v>
      </c>
      <c r="BI126" s="79">
        <v>0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347189</v>
      </c>
    </row>
    <row r="127" spans="1:67" ht="15" customHeight="1">
      <c r="A127" s="66" t="s">
        <v>2887</v>
      </c>
      <c r="B127" s="66" t="s">
        <v>2888</v>
      </c>
      <c r="C127" s="150" t="s">
        <v>1136</v>
      </c>
      <c r="D127" s="150" t="s">
        <v>1567</v>
      </c>
      <c r="E127" s="150" t="s">
        <v>1567</v>
      </c>
      <c r="F127" s="150" t="s">
        <v>1567</v>
      </c>
      <c r="G127" s="511" t="s">
        <v>22</v>
      </c>
      <c r="H127" s="392" t="s">
        <v>2870</v>
      </c>
      <c r="I127" s="343"/>
      <c r="J127" s="343"/>
      <c r="K127" s="70" t="s">
        <v>27</v>
      </c>
      <c r="L127" s="346" t="s">
        <v>1139</v>
      </c>
      <c r="M127" s="346" t="s">
        <v>1140</v>
      </c>
      <c r="N127" s="346"/>
      <c r="O127" s="150" t="s">
        <v>25</v>
      </c>
      <c r="P127" s="150"/>
      <c r="Q127" s="403"/>
      <c r="R127" s="406">
        <v>204823.02000000002</v>
      </c>
      <c r="S127" s="406">
        <v>0</v>
      </c>
      <c r="T127" s="425"/>
      <c r="U127" s="71"/>
      <c r="V127" s="426"/>
      <c r="W127" s="427"/>
      <c r="X127" s="427"/>
      <c r="Y127" s="428" t="s">
        <v>1142</v>
      </c>
      <c r="Z127" s="429">
        <v>0</v>
      </c>
      <c r="AA127" s="429">
        <v>0</v>
      </c>
      <c r="AB127" s="363"/>
      <c r="AC127" s="363"/>
      <c r="AD127" s="363"/>
      <c r="AE127" s="363"/>
      <c r="AF127" s="363"/>
      <c r="AG127" s="363"/>
      <c r="AH127" s="360">
        <f t="shared" si="9"/>
        <v>0</v>
      </c>
      <c r="AI127" s="362">
        <f>ERP_5[[#This Row],[2026 Working Total]]-ERP_5[[#This Row],[LE2 Final Submission]]</f>
        <v>0</v>
      </c>
      <c r="AJ127" s="79"/>
      <c r="AK127" s="79">
        <f t="shared" si="8"/>
        <v>0</v>
      </c>
      <c r="AL127" s="374">
        <f>SUM(ERP_5[[#This Row],[AP01]:[AP06]])-SUM(ERP_5[[#This Row],[AP01 LE2]:[AP06 LE2]])</f>
        <v>0</v>
      </c>
      <c r="AM127" s="80"/>
      <c r="AN127" s="79">
        <f>ERP_5[[#This Row],[2026 Working Total to Budget/LE]]-ERP_5[[#This Row],[Giveback]]</f>
        <v>0</v>
      </c>
      <c r="AO127" s="81"/>
      <c r="AP127" s="375"/>
      <c r="AQ127" s="375"/>
      <c r="AR127" s="375"/>
      <c r="AS127" s="375"/>
      <c r="AT127" s="375"/>
      <c r="AU127" s="375"/>
      <c r="AV127" s="375"/>
      <c r="AW127" s="375"/>
      <c r="AX127" s="375"/>
      <c r="AY127" s="375"/>
      <c r="AZ127" s="375"/>
      <c r="BA127" s="375"/>
      <c r="BB127" s="375">
        <v>0</v>
      </c>
      <c r="BC127" s="79">
        <v>51562.58</v>
      </c>
      <c r="BD127" s="79">
        <v>27159.83</v>
      </c>
      <c r="BE127" s="79">
        <v>40975</v>
      </c>
      <c r="BF127" s="79">
        <v>11866.46</v>
      </c>
      <c r="BG127" s="79">
        <v>21522.71</v>
      </c>
      <c r="BH127" s="79">
        <v>20882.86</v>
      </c>
      <c r="BI127" s="79">
        <v>14484.38</v>
      </c>
      <c r="BJ127" s="79">
        <v>14484.38</v>
      </c>
      <c r="BK127" s="79">
        <v>14484.38</v>
      </c>
      <c r="BL127" s="79">
        <v>14484.38</v>
      </c>
      <c r="BM127" s="79">
        <v>14484.38</v>
      </c>
      <c r="BN127" s="79">
        <v>14484.38</v>
      </c>
      <c r="BO127" s="79">
        <v>260875.72000000003</v>
      </c>
    </row>
    <row r="128" spans="1:67" ht="15" customHeight="1">
      <c r="A128" s="66" t="s">
        <v>2897</v>
      </c>
      <c r="B128" s="66" t="s">
        <v>46</v>
      </c>
      <c r="C128" s="150" t="s">
        <v>1136</v>
      </c>
      <c r="D128" s="150" t="s">
        <v>1650</v>
      </c>
      <c r="E128" s="150" t="s">
        <v>1650</v>
      </c>
      <c r="F128" s="150" t="s">
        <v>1650</v>
      </c>
      <c r="G128" s="511" t="s">
        <v>22</v>
      </c>
      <c r="H128" s="392" t="s">
        <v>2870</v>
      </c>
      <c r="I128" s="343"/>
      <c r="J128" s="343"/>
      <c r="K128" s="70" t="s">
        <v>27</v>
      </c>
      <c r="L128" s="346" t="s">
        <v>1139</v>
      </c>
      <c r="M128" s="346" t="s">
        <v>1140</v>
      </c>
      <c r="N128" s="346"/>
      <c r="O128" s="150" t="s">
        <v>25</v>
      </c>
      <c r="P128" s="150"/>
      <c r="Q128" s="403"/>
      <c r="R128" s="406">
        <v>355072.04000000004</v>
      </c>
      <c r="S128" s="406">
        <v>0</v>
      </c>
      <c r="T128" s="425"/>
      <c r="U128" s="71"/>
      <c r="V128" s="426"/>
      <c r="W128" s="427"/>
      <c r="X128" s="427"/>
      <c r="Y128" s="428" t="s">
        <v>1142</v>
      </c>
      <c r="Z128" s="429">
        <v>0</v>
      </c>
      <c r="AA128" s="429">
        <v>0</v>
      </c>
      <c r="AB128" s="363"/>
      <c r="AC128" s="363"/>
      <c r="AD128" s="363"/>
      <c r="AE128" s="363"/>
      <c r="AF128" s="363"/>
      <c r="AG128" s="363"/>
      <c r="AH128" s="360">
        <f t="shared" si="9"/>
        <v>0</v>
      </c>
      <c r="AI128" s="362">
        <f>ERP_5[[#This Row],[2026 Working Total]]-ERP_5[[#This Row],[LE2 Final Submission]]</f>
        <v>0</v>
      </c>
      <c r="AJ128" s="79"/>
      <c r="AK128" s="79">
        <f t="shared" si="8"/>
        <v>0</v>
      </c>
      <c r="AL128" s="374">
        <f>SUM(ERP_5[[#This Row],[AP01]:[AP06]])-SUM(ERP_5[[#This Row],[AP01 LE2]:[AP06 LE2]])</f>
        <v>0</v>
      </c>
      <c r="AM128" s="80"/>
      <c r="AN128" s="79">
        <f>ERP_5[[#This Row],[2026 Working Total to Budget/LE]]-ERP_5[[#This Row],[Giveback]]</f>
        <v>0</v>
      </c>
      <c r="AO128" s="81"/>
      <c r="AP128" s="375"/>
      <c r="AQ128" s="375"/>
      <c r="AR128" s="375"/>
      <c r="AS128" s="375"/>
      <c r="AT128" s="375"/>
      <c r="AU128" s="375"/>
      <c r="AV128" s="375"/>
      <c r="AW128" s="375"/>
      <c r="AX128" s="375"/>
      <c r="AY128" s="375"/>
      <c r="AZ128" s="375"/>
      <c r="BA128" s="375"/>
      <c r="BB128" s="375">
        <v>0</v>
      </c>
      <c r="BC128" s="79">
        <v>27497.84</v>
      </c>
      <c r="BD128" s="79">
        <v>27805.69</v>
      </c>
      <c r="BE128" s="79">
        <v>37986.93</v>
      </c>
      <c r="BF128" s="79">
        <v>30575.919999999998</v>
      </c>
      <c r="BG128" s="79">
        <v>26871.200000000001</v>
      </c>
      <c r="BH128" s="79">
        <v>26871.200000000001</v>
      </c>
      <c r="BI128" s="79">
        <v>26871.200000000001</v>
      </c>
      <c r="BJ128" s="79">
        <v>31487.49</v>
      </c>
      <c r="BK128" s="79">
        <v>31751.82</v>
      </c>
      <c r="BL128" s="79">
        <v>31751.82</v>
      </c>
      <c r="BM128" s="79">
        <v>31751.82</v>
      </c>
      <c r="BN128" s="79">
        <v>31751.82</v>
      </c>
      <c r="BO128" s="79">
        <v>362974.75</v>
      </c>
    </row>
    <row r="129" spans="1:67" ht="15" customHeight="1">
      <c r="A129" s="66" t="s">
        <v>2873</v>
      </c>
      <c r="B129" s="66" t="s">
        <v>33</v>
      </c>
      <c r="C129" s="150" t="s">
        <v>1136</v>
      </c>
      <c r="D129" s="150" t="s">
        <v>1345</v>
      </c>
      <c r="E129" s="150" t="s">
        <v>1345</v>
      </c>
      <c r="F129" s="150" t="s">
        <v>1346</v>
      </c>
      <c r="G129" s="511" t="s">
        <v>22</v>
      </c>
      <c r="H129" s="392" t="s">
        <v>2872</v>
      </c>
      <c r="I129" s="343"/>
      <c r="J129" s="343"/>
      <c r="K129" s="70" t="s">
        <v>29</v>
      </c>
      <c r="L129" s="346" t="s">
        <v>1139</v>
      </c>
      <c r="M129" s="346" t="s">
        <v>1140</v>
      </c>
      <c r="N129" s="346"/>
      <c r="O129" s="150" t="s">
        <v>25</v>
      </c>
      <c r="P129" s="150" t="s">
        <v>2874</v>
      </c>
      <c r="Q129" s="403"/>
      <c r="R129" s="406">
        <v>16484280.790000003</v>
      </c>
      <c r="S129" s="406">
        <v>21816549.886619337</v>
      </c>
      <c r="T129" s="425"/>
      <c r="U129" s="71"/>
      <c r="V129" s="426">
        <v>1733430.9899999991</v>
      </c>
      <c r="W129" s="427">
        <v>2659121.5100000012</v>
      </c>
      <c r="X129" s="427">
        <v>1591278.1799999983</v>
      </c>
      <c r="Y129" s="428">
        <v>2358182.7000000007</v>
      </c>
      <c r="Z129" s="429">
        <v>54442.760000000351</v>
      </c>
      <c r="AA129" s="429">
        <v>1905380.4099999985</v>
      </c>
      <c r="AB129" s="363">
        <v>1785306.7237904386</v>
      </c>
      <c r="AC129" s="363">
        <v>1781851.6968221199</v>
      </c>
      <c r="AD129" s="363">
        <v>1807055.77390462</v>
      </c>
      <c r="AE129" s="363">
        <v>1862531.492714915</v>
      </c>
      <c r="AF129" s="363">
        <v>1871209.9824649149</v>
      </c>
      <c r="AG129" s="363">
        <v>1871209.9824649149</v>
      </c>
      <c r="AH129" s="360">
        <f t="shared" si="9"/>
        <v>21281002.202161916</v>
      </c>
      <c r="AI129" s="362">
        <f>ERP_5[[#This Row],[2026 Working Total]]-ERP_5[[#This Row],[LE2 Final Submission]]</f>
        <v>-535547.6844574213</v>
      </c>
      <c r="AJ129" s="79">
        <v>657407.65222870966</v>
      </c>
      <c r="AK129" s="79">
        <f t="shared" si="8"/>
        <v>1247972.757771289</v>
      </c>
      <c r="AL129" s="374">
        <f>SUM(ERP_5[[#This Row],[AP01]:[AP06]])-SUM(ERP_5[[#This Row],[AP01 LE2]:[AP06 LE2]])</f>
        <v>-535547.68445741944</v>
      </c>
      <c r="AM129" s="80"/>
      <c r="AN129" s="79">
        <f>ERP_5[[#This Row],[2026 Working Total to Budget/LE]]-ERP_5[[#This Row],[Giveback]]</f>
        <v>-535547.6844574213</v>
      </c>
      <c r="AO129" s="81"/>
      <c r="AP129" s="375">
        <v>1733430.9899999991</v>
      </c>
      <c r="AQ129" s="375">
        <v>2659121.5100000012</v>
      </c>
      <c r="AR129" s="375">
        <v>1591278.1799999983</v>
      </c>
      <c r="AS129" s="375">
        <v>2405320.04</v>
      </c>
      <c r="AT129" s="375">
        <v>657407.65222870966</v>
      </c>
      <c r="AU129" s="375">
        <v>1790825.862228709</v>
      </c>
      <c r="AV129" s="375">
        <v>1785306.7237904386</v>
      </c>
      <c r="AW129" s="375">
        <v>1781851.6968221199</v>
      </c>
      <c r="AX129" s="375">
        <v>1807055.77390462</v>
      </c>
      <c r="AY129" s="375">
        <v>1862531.492714915</v>
      </c>
      <c r="AZ129" s="375">
        <v>1871209.9824649149</v>
      </c>
      <c r="BA129" s="375">
        <v>1871209.9824649149</v>
      </c>
      <c r="BB129" s="375">
        <v>21816549.886619337</v>
      </c>
      <c r="BC129" s="79">
        <v>1086387.3400000001</v>
      </c>
      <c r="BD129" s="79">
        <v>1551142.73</v>
      </c>
      <c r="BE129" s="79">
        <v>857806.14</v>
      </c>
      <c r="BF129" s="79">
        <v>1328752.27</v>
      </c>
      <c r="BG129" s="79">
        <v>1328097.83</v>
      </c>
      <c r="BH129" s="79">
        <v>1371182.86</v>
      </c>
      <c r="BI129" s="79">
        <v>1392643.5</v>
      </c>
      <c r="BJ129" s="79">
        <v>1403661.35</v>
      </c>
      <c r="BK129" s="79">
        <v>1403661.35</v>
      </c>
      <c r="BL129" s="79">
        <v>1403661.35</v>
      </c>
      <c r="BM129" s="79">
        <v>1409426</v>
      </c>
      <c r="BN129" s="79">
        <v>1409426</v>
      </c>
      <c r="BO129" s="79">
        <v>15945848.720000001</v>
      </c>
    </row>
    <row r="130" spans="1:67" ht="15" customHeight="1">
      <c r="A130" s="66" t="s">
        <v>2903</v>
      </c>
      <c r="B130" s="66" t="s">
        <v>2904</v>
      </c>
      <c r="C130" s="150" t="s">
        <v>1136</v>
      </c>
      <c r="D130" s="150" t="s">
        <v>1135</v>
      </c>
      <c r="E130" s="150" t="s">
        <v>1137</v>
      </c>
      <c r="F130" s="150" t="s">
        <v>1137</v>
      </c>
      <c r="G130" s="511" t="s">
        <v>22</v>
      </c>
      <c r="H130" s="392" t="s">
        <v>2870</v>
      </c>
      <c r="I130" s="343"/>
      <c r="J130" s="343"/>
      <c r="K130" s="70" t="s">
        <v>27</v>
      </c>
      <c r="L130" s="346" t="s">
        <v>1139</v>
      </c>
      <c r="M130" s="346" t="s">
        <v>1140</v>
      </c>
      <c r="N130" s="346"/>
      <c r="O130" s="150" t="s">
        <v>25</v>
      </c>
      <c r="P130" s="150"/>
      <c r="Q130" s="403"/>
      <c r="R130" s="406">
        <v>1729258.84</v>
      </c>
      <c r="S130" s="406">
        <v>0</v>
      </c>
      <c r="T130" s="425"/>
      <c r="U130" s="71"/>
      <c r="V130" s="426"/>
      <c r="W130" s="427"/>
      <c r="X130" s="427"/>
      <c r="Y130" s="428" t="s">
        <v>1142</v>
      </c>
      <c r="Z130" s="429">
        <v>0</v>
      </c>
      <c r="AA130" s="429">
        <v>0</v>
      </c>
      <c r="AB130" s="363"/>
      <c r="AC130" s="363"/>
      <c r="AD130" s="363"/>
      <c r="AE130" s="363"/>
      <c r="AF130" s="363"/>
      <c r="AG130" s="363"/>
      <c r="AH130" s="360">
        <f t="shared" si="9"/>
        <v>0</v>
      </c>
      <c r="AI130" s="362">
        <f>ERP_5[[#This Row],[2026 Working Total]]-ERP_5[[#This Row],[LE2 Final Submission]]</f>
        <v>0</v>
      </c>
      <c r="AJ130" s="79"/>
      <c r="AK130" s="79">
        <f t="shared" si="8"/>
        <v>0</v>
      </c>
      <c r="AL130" s="374">
        <f>SUM(ERP_5[[#This Row],[AP01]:[AP06]])-SUM(ERP_5[[#This Row],[AP01 LE2]:[AP06 LE2]])</f>
        <v>0</v>
      </c>
      <c r="AM130" s="80"/>
      <c r="AN130" s="79">
        <f>ERP_5[[#This Row],[2026 Working Total to Budget/LE]]-ERP_5[[#This Row],[Giveback]]</f>
        <v>0</v>
      </c>
      <c r="AO130" s="81"/>
      <c r="AP130" s="375"/>
      <c r="AQ130" s="375"/>
      <c r="AR130" s="375"/>
      <c r="AS130" s="375"/>
      <c r="AT130" s="375"/>
      <c r="AU130" s="375"/>
      <c r="AV130" s="375"/>
      <c r="AW130" s="375"/>
      <c r="AX130" s="375"/>
      <c r="AY130" s="375"/>
      <c r="AZ130" s="375"/>
      <c r="BA130" s="375"/>
      <c r="BB130" s="375">
        <v>0</v>
      </c>
      <c r="BC130" s="79">
        <v>50770.12</v>
      </c>
      <c r="BD130" s="79">
        <v>51960.62</v>
      </c>
      <c r="BE130" s="79">
        <v>52695.87</v>
      </c>
      <c r="BF130" s="79">
        <v>142100.94</v>
      </c>
      <c r="BG130" s="79">
        <v>142100.94</v>
      </c>
      <c r="BH130" s="79">
        <v>142100.94</v>
      </c>
      <c r="BI130" s="79">
        <v>146019.5</v>
      </c>
      <c r="BJ130" s="79">
        <v>146019.5</v>
      </c>
      <c r="BK130" s="79">
        <v>150075.81</v>
      </c>
      <c r="BL130" s="79">
        <v>150075.81</v>
      </c>
      <c r="BM130" s="79">
        <v>150075.81</v>
      </c>
      <c r="BN130" s="79">
        <v>150075.81</v>
      </c>
      <c r="BO130" s="79">
        <v>1474071.6700000002</v>
      </c>
    </row>
    <row r="131" spans="1:67" ht="15" customHeight="1">
      <c r="A131" s="66" t="s">
        <v>2871</v>
      </c>
      <c r="B131" s="66" t="s">
        <v>32</v>
      </c>
      <c r="C131" s="150" t="s">
        <v>1136</v>
      </c>
      <c r="D131" s="150" t="s">
        <v>1345</v>
      </c>
      <c r="E131" s="150" t="s">
        <v>1344</v>
      </c>
      <c r="F131" s="150" t="s">
        <v>1346</v>
      </c>
      <c r="G131" s="511" t="s">
        <v>22</v>
      </c>
      <c r="H131" s="392" t="s">
        <v>2872</v>
      </c>
      <c r="I131" s="343"/>
      <c r="J131" s="343"/>
      <c r="K131" s="70" t="s">
        <v>29</v>
      </c>
      <c r="L131" s="346" t="s">
        <v>1139</v>
      </c>
      <c r="M131" s="346" t="s">
        <v>1140</v>
      </c>
      <c r="N131" s="346"/>
      <c r="O131" s="150" t="s">
        <v>25</v>
      </c>
      <c r="P131" s="150"/>
      <c r="Q131" s="403"/>
      <c r="R131" s="406">
        <v>0</v>
      </c>
      <c r="S131" s="406">
        <v>0</v>
      </c>
      <c r="T131" s="430"/>
      <c r="U131" s="137"/>
      <c r="V131" s="426"/>
      <c r="W131" s="427"/>
      <c r="X131" s="427"/>
      <c r="Y131" s="480"/>
      <c r="Z131" s="481"/>
      <c r="AA131" s="429">
        <v>11264.339999999998</v>
      </c>
      <c r="AB131" s="360">
        <v>0</v>
      </c>
      <c r="AC131" s="360">
        <v>0</v>
      </c>
      <c r="AD131" s="360">
        <v>0</v>
      </c>
      <c r="AE131" s="360">
        <v>0</v>
      </c>
      <c r="AF131" s="360">
        <v>0</v>
      </c>
      <c r="AG131" s="360">
        <v>0</v>
      </c>
      <c r="AH131" s="360">
        <f t="shared" si="9"/>
        <v>11264.339999999998</v>
      </c>
      <c r="AI131" s="362">
        <f>ERP_5[[#This Row],[2026 Working Total]]-ERP_5[[#This Row],[LE2 Final Submission]]</f>
        <v>11264.339999999998</v>
      </c>
      <c r="AJ131" s="79">
        <v>0</v>
      </c>
      <c r="AK131" s="79">
        <f t="shared" si="8"/>
        <v>11264.339999999998</v>
      </c>
      <c r="AL131" s="374">
        <f>SUM(ERP_5[[#This Row],[AP01]:[AP06]])-SUM(ERP_5[[#This Row],[AP01 LE2]:[AP06 LE2]])</f>
        <v>11264.339999999998</v>
      </c>
      <c r="AM131" s="80"/>
      <c r="AN131" s="79">
        <f>ERP_5[[#This Row],[2026 Working Total to Budget/LE]]-ERP_5[[#This Row],[Giveback]]</f>
        <v>11264.339999999998</v>
      </c>
      <c r="AO131" s="81"/>
      <c r="AP131" s="375"/>
      <c r="AQ131" s="375"/>
      <c r="AR131" s="375"/>
      <c r="AS131" s="375">
        <v>0</v>
      </c>
      <c r="AT131" s="375">
        <v>0</v>
      </c>
      <c r="AU131" s="375">
        <v>0</v>
      </c>
      <c r="AV131" s="375">
        <v>0</v>
      </c>
      <c r="AW131" s="375">
        <v>0</v>
      </c>
      <c r="AX131" s="375">
        <v>0</v>
      </c>
      <c r="AY131" s="375">
        <v>0</v>
      </c>
      <c r="AZ131" s="375">
        <v>0</v>
      </c>
      <c r="BA131" s="375">
        <v>0</v>
      </c>
      <c r="BB131" s="375">
        <v>0</v>
      </c>
      <c r="BC131" s="79">
        <v>6685.48</v>
      </c>
      <c r="BD131" s="79">
        <v>-19872.71</v>
      </c>
      <c r="BE131" s="79">
        <v>7440.92</v>
      </c>
      <c r="BF131" s="79">
        <v>0</v>
      </c>
      <c r="BG131" s="79">
        <v>0</v>
      </c>
      <c r="BH131" s="79">
        <v>0</v>
      </c>
      <c r="BI131" s="79">
        <v>0</v>
      </c>
      <c r="BJ131" s="79">
        <v>0</v>
      </c>
      <c r="BK131" s="79">
        <v>0</v>
      </c>
      <c r="BL131" s="79">
        <v>0</v>
      </c>
      <c r="BM131" s="79">
        <v>0</v>
      </c>
      <c r="BN131" s="79">
        <v>0</v>
      </c>
      <c r="BO131" s="79">
        <v>-5746.3099999999995</v>
      </c>
    </row>
    <row r="132" spans="1:67" ht="15" customHeight="1">
      <c r="A132" s="66" t="s">
        <v>2877</v>
      </c>
      <c r="B132" s="66" t="s">
        <v>36</v>
      </c>
      <c r="C132" s="150" t="s">
        <v>1136</v>
      </c>
      <c r="D132" s="150" t="s">
        <v>1345</v>
      </c>
      <c r="E132" s="150" t="s">
        <v>1515</v>
      </c>
      <c r="F132" s="150" t="s">
        <v>1346</v>
      </c>
      <c r="G132" s="511" t="s">
        <v>22</v>
      </c>
      <c r="H132" s="392" t="s">
        <v>2872</v>
      </c>
      <c r="I132" s="343"/>
      <c r="J132" s="343"/>
      <c r="K132" s="70" t="s">
        <v>29</v>
      </c>
      <c r="L132" s="346" t="s">
        <v>1139</v>
      </c>
      <c r="M132" s="346" t="s">
        <v>1140</v>
      </c>
      <c r="N132" s="346"/>
      <c r="O132" s="150" t="s">
        <v>25</v>
      </c>
      <c r="P132" s="150"/>
      <c r="Q132" s="403"/>
      <c r="R132" s="406">
        <v>0</v>
      </c>
      <c r="S132" s="406">
        <v>0</v>
      </c>
      <c r="T132" s="430"/>
      <c r="U132" s="137"/>
      <c r="V132" s="426"/>
      <c r="W132" s="427"/>
      <c r="X132" s="427"/>
      <c r="Y132" s="480"/>
      <c r="Z132" s="481"/>
      <c r="AA132" s="429">
        <v>14481.86</v>
      </c>
      <c r="AB132" s="360">
        <v>0</v>
      </c>
      <c r="AC132" s="360">
        <v>0</v>
      </c>
      <c r="AD132" s="360">
        <v>0</v>
      </c>
      <c r="AE132" s="360">
        <v>0</v>
      </c>
      <c r="AF132" s="360">
        <v>0</v>
      </c>
      <c r="AG132" s="360">
        <v>0</v>
      </c>
      <c r="AH132" s="360">
        <f t="shared" si="9"/>
        <v>14481.86</v>
      </c>
      <c r="AI132" s="362">
        <f>ERP_5[[#This Row],[2026 Working Total]]-ERP_5[[#This Row],[LE2 Final Submission]]</f>
        <v>14481.86</v>
      </c>
      <c r="AJ132" s="79">
        <v>0</v>
      </c>
      <c r="AK132" s="79">
        <f t="shared" si="8"/>
        <v>14481.86</v>
      </c>
      <c r="AL132" s="374">
        <f>SUM(ERP_5[[#This Row],[AP01]:[AP06]])-SUM(ERP_5[[#This Row],[AP01 LE2]:[AP06 LE2]])</f>
        <v>14481.86</v>
      </c>
      <c r="AM132" s="80"/>
      <c r="AN132" s="79">
        <f>ERP_5[[#This Row],[2026 Working Total to Budget/LE]]-ERP_5[[#This Row],[Giveback]]</f>
        <v>14481.86</v>
      </c>
      <c r="AO132" s="81"/>
      <c r="AP132" s="375"/>
      <c r="AQ132" s="375"/>
      <c r="AR132" s="375"/>
      <c r="AS132" s="375">
        <v>0</v>
      </c>
      <c r="AT132" s="375">
        <v>0</v>
      </c>
      <c r="AU132" s="375">
        <v>0</v>
      </c>
      <c r="AV132" s="375">
        <v>0</v>
      </c>
      <c r="AW132" s="375">
        <v>0</v>
      </c>
      <c r="AX132" s="375">
        <v>0</v>
      </c>
      <c r="AY132" s="375">
        <v>0</v>
      </c>
      <c r="AZ132" s="375">
        <v>0</v>
      </c>
      <c r="BA132" s="375">
        <v>0</v>
      </c>
      <c r="BB132" s="375">
        <v>0</v>
      </c>
      <c r="BC132" s="79">
        <v>9779.9</v>
      </c>
      <c r="BD132" s="79">
        <v>9779.8799999999992</v>
      </c>
      <c r="BE132" s="79">
        <v>9779.8799999999992</v>
      </c>
      <c r="BF132" s="79">
        <v>0</v>
      </c>
      <c r="BG132" s="79">
        <v>0</v>
      </c>
      <c r="BH132" s="79">
        <v>0</v>
      </c>
      <c r="BI132" s="79">
        <v>0</v>
      </c>
      <c r="BJ132" s="79">
        <v>0</v>
      </c>
      <c r="BK132" s="79">
        <v>0</v>
      </c>
      <c r="BL132" s="79">
        <v>0</v>
      </c>
      <c r="BM132" s="79">
        <v>0</v>
      </c>
      <c r="BN132" s="79">
        <v>0</v>
      </c>
      <c r="BO132" s="79">
        <v>29339.659999999996</v>
      </c>
    </row>
    <row r="133" spans="1:67" ht="15" customHeight="1">
      <c r="A133" s="66" t="s">
        <v>2905</v>
      </c>
      <c r="B133" s="66" t="s">
        <v>28</v>
      </c>
      <c r="C133" s="150" t="s">
        <v>1136</v>
      </c>
      <c r="D133" s="150" t="s">
        <v>1135</v>
      </c>
      <c r="E133" s="150" t="s">
        <v>1135</v>
      </c>
      <c r="F133" s="150" t="s">
        <v>1137</v>
      </c>
      <c r="G133" s="511" t="s">
        <v>22</v>
      </c>
      <c r="H133" s="392" t="s">
        <v>2872</v>
      </c>
      <c r="I133" s="343"/>
      <c r="J133" s="343"/>
      <c r="K133" s="70" t="s">
        <v>29</v>
      </c>
      <c r="L133" s="346" t="s">
        <v>1139</v>
      </c>
      <c r="M133" s="346" t="s">
        <v>1140</v>
      </c>
      <c r="N133" s="346"/>
      <c r="O133" s="150" t="s">
        <v>25</v>
      </c>
      <c r="P133" s="150"/>
      <c r="Q133" s="403"/>
      <c r="R133" s="406">
        <v>0</v>
      </c>
      <c r="S133" s="406">
        <v>0</v>
      </c>
      <c r="T133" s="425"/>
      <c r="U133" s="71"/>
      <c r="V133" s="426"/>
      <c r="W133" s="427"/>
      <c r="X133" s="427"/>
      <c r="Y133" s="480"/>
      <c r="Z133" s="481"/>
      <c r="AA133" s="481">
        <v>1060974</v>
      </c>
      <c r="AB133" s="360">
        <v>0</v>
      </c>
      <c r="AC133" s="360">
        <v>0</v>
      </c>
      <c r="AD133" s="360">
        <v>0</v>
      </c>
      <c r="AE133" s="360">
        <v>0</v>
      </c>
      <c r="AF133" s="360">
        <v>0</v>
      </c>
      <c r="AG133" s="360">
        <v>0</v>
      </c>
      <c r="AH133" s="360">
        <f t="shared" si="9"/>
        <v>1060974</v>
      </c>
      <c r="AI133" s="362">
        <f>ERP_5[[#This Row],[2026 Working Total]]-ERP_5[[#This Row],[LE2 Final Submission]]</f>
        <v>1060974</v>
      </c>
      <c r="AJ133" s="79">
        <v>0</v>
      </c>
      <c r="AK133" s="79">
        <f t="shared" si="8"/>
        <v>1060974</v>
      </c>
      <c r="AL133" s="374">
        <f>SUM(ERP_5[[#This Row],[AP01]:[AP06]])-SUM(ERP_5[[#This Row],[AP01 LE2]:[AP06 LE2]])</f>
        <v>1060974</v>
      </c>
      <c r="AM133" s="80"/>
      <c r="AN133" s="79">
        <f>ERP_5[[#This Row],[2026 Working Total to Budget/LE]]-ERP_5[[#This Row],[Giveback]]</f>
        <v>1060974</v>
      </c>
      <c r="AO133" s="81"/>
      <c r="AP133" s="375"/>
      <c r="AQ133" s="375"/>
      <c r="AR133" s="375"/>
      <c r="AS133" s="375">
        <v>0</v>
      </c>
      <c r="AT133" s="375">
        <v>0</v>
      </c>
      <c r="AU133" s="375">
        <v>0</v>
      </c>
      <c r="AV133" s="375">
        <v>0</v>
      </c>
      <c r="AW133" s="375">
        <v>0</v>
      </c>
      <c r="AX133" s="375">
        <v>0</v>
      </c>
      <c r="AY133" s="375">
        <v>0</v>
      </c>
      <c r="AZ133" s="375">
        <v>0</v>
      </c>
      <c r="BA133" s="375">
        <v>0</v>
      </c>
      <c r="BB133" s="375">
        <v>0</v>
      </c>
      <c r="BC133" s="79">
        <v>643457</v>
      </c>
      <c r="BD133" s="79">
        <v>643457</v>
      </c>
      <c r="BE133" s="79">
        <v>643457</v>
      </c>
      <c r="BF133" s="79">
        <v>0</v>
      </c>
      <c r="BG133" s="79">
        <v>0</v>
      </c>
      <c r="BH133" s="79">
        <v>0</v>
      </c>
      <c r="BI133" s="79">
        <v>0</v>
      </c>
      <c r="BJ133" s="79">
        <v>0</v>
      </c>
      <c r="BK133" s="79">
        <v>0</v>
      </c>
      <c r="BL133" s="79">
        <v>0</v>
      </c>
      <c r="BM133" s="79">
        <v>0</v>
      </c>
      <c r="BN133" s="79">
        <v>0</v>
      </c>
      <c r="BO133" s="79">
        <v>1930371</v>
      </c>
    </row>
    <row r="134" spans="1:67" ht="15" customHeight="1">
      <c r="A134" s="66" t="s">
        <v>2890</v>
      </c>
      <c r="B134" s="66" t="s">
        <v>2891</v>
      </c>
      <c r="C134" s="150" t="s">
        <v>1136</v>
      </c>
      <c r="D134" s="150" t="s">
        <v>1567</v>
      </c>
      <c r="E134" s="150" t="s">
        <v>1567</v>
      </c>
      <c r="F134" s="150" t="s">
        <v>1567</v>
      </c>
      <c r="G134" s="511" t="s">
        <v>22</v>
      </c>
      <c r="H134" s="392" t="s">
        <v>2872</v>
      </c>
      <c r="I134" s="343"/>
      <c r="J134" s="343"/>
      <c r="K134" s="70" t="s">
        <v>29</v>
      </c>
      <c r="L134" s="346" t="s">
        <v>1139</v>
      </c>
      <c r="M134" s="346" t="s">
        <v>1140</v>
      </c>
      <c r="N134" s="346"/>
      <c r="O134" s="150" t="s">
        <v>25</v>
      </c>
      <c r="P134" s="150" t="s">
        <v>2892</v>
      </c>
      <c r="Q134" s="403"/>
      <c r="R134" s="406">
        <v>794938.1799999997</v>
      </c>
      <c r="S134" s="406">
        <v>806177.41999999993</v>
      </c>
      <c r="T134" s="425"/>
      <c r="U134" s="71"/>
      <c r="V134" s="426">
        <v>358290.86</v>
      </c>
      <c r="W134" s="427">
        <v>-25689.760000000002</v>
      </c>
      <c r="X134" s="427">
        <v>41090.669999999984</v>
      </c>
      <c r="Y134" s="428">
        <v>85849.400000000009</v>
      </c>
      <c r="Z134" s="429">
        <v>-59378.359999999986</v>
      </c>
      <c r="AA134" s="429">
        <v>-23605.23000000001</v>
      </c>
      <c r="AB134" s="363">
        <v>55233.75</v>
      </c>
      <c r="AC134" s="363">
        <v>55233.75</v>
      </c>
      <c r="AD134" s="363">
        <v>55233.75</v>
      </c>
      <c r="AE134" s="363">
        <v>55233.75</v>
      </c>
      <c r="AF134" s="363">
        <v>55233.75</v>
      </c>
      <c r="AG134" s="363">
        <v>55233.75</v>
      </c>
      <c r="AH134" s="360">
        <f t="shared" si="9"/>
        <v>707960.08</v>
      </c>
      <c r="AI134" s="362">
        <f>ERP_5[[#This Row],[2026 Working Total]]-ERP_5[[#This Row],[LE2 Final Submission]]</f>
        <v>-98217.339999999967</v>
      </c>
      <c r="AJ134" s="79">
        <v>-40000</v>
      </c>
      <c r="AK134" s="79">
        <f t="shared" si="8"/>
        <v>16394.76999999999</v>
      </c>
      <c r="AL134" s="374">
        <f>SUM(ERP_5[[#This Row],[AP01]:[AP06]])-SUM(ERP_5[[#This Row],[AP01 LE2]:[AP06 LE2]])</f>
        <v>-98217.340000000026</v>
      </c>
      <c r="AM134" s="80"/>
      <c r="AN134" s="79">
        <f>ERP_5[[#This Row],[2026 Working Total to Budget/LE]]-ERP_5[[#This Row],[Giveback]]</f>
        <v>-98217.339999999967</v>
      </c>
      <c r="AO134" s="81"/>
      <c r="AP134" s="375">
        <v>358290.86</v>
      </c>
      <c r="AQ134" s="375">
        <v>-25689.760000000002</v>
      </c>
      <c r="AR134" s="375">
        <v>41090.669999999984</v>
      </c>
      <c r="AS134" s="375">
        <v>85849.400000000009</v>
      </c>
      <c r="AT134" s="375">
        <v>-40000</v>
      </c>
      <c r="AU134" s="375">
        <v>55233.75</v>
      </c>
      <c r="AV134" s="375">
        <v>55233.75</v>
      </c>
      <c r="AW134" s="375">
        <v>55233.75</v>
      </c>
      <c r="AX134" s="375">
        <v>55233.75</v>
      </c>
      <c r="AY134" s="375">
        <v>55233.75</v>
      </c>
      <c r="AZ134" s="375">
        <v>55233.75</v>
      </c>
      <c r="BA134" s="375">
        <v>55233.75</v>
      </c>
      <c r="BB134" s="375">
        <v>806177.41999999993</v>
      </c>
      <c r="BC134" s="79">
        <v>214497.38</v>
      </c>
      <c r="BD134" s="79">
        <v>-47930</v>
      </c>
      <c r="BE134" s="79">
        <v>-59863</v>
      </c>
      <c r="BF134" s="79">
        <v>49611.67</v>
      </c>
      <c r="BG134" s="79">
        <v>81799.17</v>
      </c>
      <c r="BH134" s="79">
        <v>79239.77</v>
      </c>
      <c r="BI134" s="79">
        <v>53645.83</v>
      </c>
      <c r="BJ134" s="79">
        <v>53645.83</v>
      </c>
      <c r="BK134" s="79">
        <v>53645.83</v>
      </c>
      <c r="BL134" s="79">
        <v>53645.83</v>
      </c>
      <c r="BM134" s="79">
        <v>53645.83</v>
      </c>
      <c r="BN134" s="79">
        <v>53645.83</v>
      </c>
      <c r="BO134" s="79">
        <v>639229.97</v>
      </c>
    </row>
    <row r="135" spans="1:67" ht="15" customHeight="1">
      <c r="A135" s="66" t="s">
        <v>2898</v>
      </c>
      <c r="B135" s="66" t="s">
        <v>47</v>
      </c>
      <c r="C135" s="150" t="s">
        <v>1136</v>
      </c>
      <c r="D135" s="150" t="s">
        <v>1650</v>
      </c>
      <c r="E135" s="150" t="s">
        <v>1650</v>
      </c>
      <c r="F135" s="150" t="s">
        <v>1650</v>
      </c>
      <c r="G135" s="511" t="s">
        <v>22</v>
      </c>
      <c r="H135" s="392" t="s">
        <v>2872</v>
      </c>
      <c r="I135" s="343"/>
      <c r="J135" s="343"/>
      <c r="K135" s="70" t="s">
        <v>29</v>
      </c>
      <c r="L135" s="346" t="s">
        <v>1139</v>
      </c>
      <c r="M135" s="346" t="s">
        <v>1140</v>
      </c>
      <c r="N135" s="346"/>
      <c r="O135" s="150" t="s">
        <v>25</v>
      </c>
      <c r="P135" s="150"/>
      <c r="Q135" s="403"/>
      <c r="R135" s="406">
        <v>2029390.9400000004</v>
      </c>
      <c r="S135" s="406">
        <v>3060870.8486933634</v>
      </c>
      <c r="T135" s="425"/>
      <c r="U135" s="71"/>
      <c r="V135" s="426">
        <v>238474.06999999998</v>
      </c>
      <c r="W135" s="427">
        <v>255306.30000000005</v>
      </c>
      <c r="X135" s="427">
        <v>190399.43</v>
      </c>
      <c r="Y135" s="428">
        <v>293204.89</v>
      </c>
      <c r="Z135" s="429">
        <v>312206.57999999996</v>
      </c>
      <c r="AA135" s="429">
        <v>165290.4</v>
      </c>
      <c r="AB135" s="363">
        <v>239240.83906981352</v>
      </c>
      <c r="AC135" s="363">
        <v>265188.32548648014</v>
      </c>
      <c r="AD135" s="363">
        <v>265188.32548648014</v>
      </c>
      <c r="AE135" s="363">
        <v>278462.33017032093</v>
      </c>
      <c r="AF135" s="363">
        <v>278462.33017032093</v>
      </c>
      <c r="AG135" s="363">
        <v>278462.33017032093</v>
      </c>
      <c r="AH135" s="360">
        <f t="shared" si="9"/>
        <v>3059886.1505537364</v>
      </c>
      <c r="AI135" s="362">
        <f>ERP_5[[#This Row],[2026 Working Total]]-ERP_5[[#This Row],[LE2 Final Submission]]</f>
        <v>-984.69813962699845</v>
      </c>
      <c r="AJ135" s="79">
        <v>239240.83906981352</v>
      </c>
      <c r="AK135" s="79">
        <f t="shared" si="8"/>
        <v>-73950.439069813525</v>
      </c>
      <c r="AL135" s="374">
        <f>SUM(ERP_5[[#This Row],[AP01]:[AP06]])-SUM(ERP_5[[#This Row],[AP01 LE2]:[AP06 LE2]])</f>
        <v>-984.69813962723128</v>
      </c>
      <c r="AM135" s="80"/>
      <c r="AN135" s="79">
        <f>ERP_5[[#This Row],[2026 Working Total to Budget/LE]]-ERP_5[[#This Row],[Giveback]]</f>
        <v>-984.69813962699845</v>
      </c>
      <c r="AO135" s="81"/>
      <c r="AP135" s="375">
        <v>238474.06999999998</v>
      </c>
      <c r="AQ135" s="375">
        <v>255306.30000000005</v>
      </c>
      <c r="AR135" s="375">
        <v>190399.43</v>
      </c>
      <c r="AS135" s="375">
        <v>293204.89</v>
      </c>
      <c r="AT135" s="375">
        <v>239240.83906981352</v>
      </c>
      <c r="AU135" s="375">
        <v>239240.83906981352</v>
      </c>
      <c r="AV135" s="375">
        <v>239240.83906981352</v>
      </c>
      <c r="AW135" s="375">
        <v>265188.32548648014</v>
      </c>
      <c r="AX135" s="375">
        <v>265188.32548648014</v>
      </c>
      <c r="AY135" s="375">
        <v>278462.33017032093</v>
      </c>
      <c r="AZ135" s="375">
        <v>278462.33017032093</v>
      </c>
      <c r="BA135" s="375">
        <v>278462.33017032093</v>
      </c>
      <c r="BB135" s="375">
        <v>3060870.8486933634</v>
      </c>
      <c r="BC135" s="79">
        <v>150107.01</v>
      </c>
      <c r="BD135" s="79">
        <v>161151.91</v>
      </c>
      <c r="BE135" s="79">
        <v>86856.18</v>
      </c>
      <c r="BF135" s="79">
        <v>173603.4</v>
      </c>
      <c r="BG135" s="79">
        <v>155785.32</v>
      </c>
      <c r="BH135" s="79">
        <v>155785.32</v>
      </c>
      <c r="BI135" s="79">
        <v>155785.32</v>
      </c>
      <c r="BJ135" s="79">
        <v>180905.4</v>
      </c>
      <c r="BK135" s="79">
        <v>182227.08</v>
      </c>
      <c r="BL135" s="79">
        <v>182227.08</v>
      </c>
      <c r="BM135" s="79">
        <v>182227.08</v>
      </c>
      <c r="BN135" s="79">
        <v>182227.08</v>
      </c>
      <c r="BO135" s="79">
        <v>1948888.1800000004</v>
      </c>
    </row>
    <row r="136" spans="1:67" ht="15" customHeight="1">
      <c r="A136" s="66" t="s">
        <v>2906</v>
      </c>
      <c r="B136" s="66" t="s">
        <v>2907</v>
      </c>
      <c r="C136" s="150" t="s">
        <v>1136</v>
      </c>
      <c r="D136" s="150" t="s">
        <v>1135</v>
      </c>
      <c r="E136" s="150" t="s">
        <v>1137</v>
      </c>
      <c r="F136" s="150" t="s">
        <v>1137</v>
      </c>
      <c r="G136" s="511" t="s">
        <v>22</v>
      </c>
      <c r="H136" s="392" t="s">
        <v>2872</v>
      </c>
      <c r="I136" s="343"/>
      <c r="J136" s="343"/>
      <c r="K136" s="70" t="s">
        <v>29</v>
      </c>
      <c r="L136" s="346" t="s">
        <v>1139</v>
      </c>
      <c r="M136" s="346" t="s">
        <v>1140</v>
      </c>
      <c r="N136" s="346"/>
      <c r="O136" s="150" t="s">
        <v>25</v>
      </c>
      <c r="P136" s="1" t="s">
        <v>1141</v>
      </c>
      <c r="Q136" s="403"/>
      <c r="R136" s="406">
        <v>9831851.3300000001</v>
      </c>
      <c r="S136" s="406">
        <v>15406112.624272117</v>
      </c>
      <c r="T136" s="425"/>
      <c r="U136" s="71"/>
      <c r="V136" s="426">
        <v>1402914.3999999987</v>
      </c>
      <c r="W136" s="427">
        <v>1397677.6399999992</v>
      </c>
      <c r="X136" s="427">
        <v>1375284.8299999998</v>
      </c>
      <c r="Y136" s="428">
        <v>1433399.4699999997</v>
      </c>
      <c r="Z136" s="429">
        <v>1510809.23</v>
      </c>
      <c r="AA136" s="429">
        <v>372672.31999999989</v>
      </c>
      <c r="AB136" s="363">
        <v>1208851.7277970032</v>
      </c>
      <c r="AC136" s="363">
        <v>1221091.4455470033</v>
      </c>
      <c r="AD136" s="363">
        <v>1194419.2817703367</v>
      </c>
      <c r="AE136" s="363">
        <v>1239489.2742341459</v>
      </c>
      <c r="AF136" s="363">
        <v>1239489.2742341459</v>
      </c>
      <c r="AG136" s="363">
        <v>1254635.0692481461</v>
      </c>
      <c r="AH136" s="360">
        <f t="shared" si="9"/>
        <v>14850733.96283078</v>
      </c>
      <c r="AI136" s="362">
        <f>ERP_5[[#This Row],[2026 Working Total]]-ERP_5[[#This Row],[LE2 Final Submission]]</f>
        <v>-555378.66144133732</v>
      </c>
      <c r="AJ136" s="79">
        <v>1250571.8632276698</v>
      </c>
      <c r="AK136" s="79">
        <f t="shared" ref="AK136:AK199" si="10">$AA136 - $AJ136</f>
        <v>-877899.54322767002</v>
      </c>
      <c r="AL136" s="374">
        <f>SUM(ERP_5[[#This Row],[AP01]:[AP06]])-SUM(ERP_5[[#This Row],[AP01 LE2]:[AP06 LE2]])</f>
        <v>-555378.66144133732</v>
      </c>
      <c r="AM136" s="80"/>
      <c r="AN136" s="79">
        <f>ERP_5[[#This Row],[2026 Working Total to Budget/LE]]-ERP_5[[#This Row],[Giveback]]</f>
        <v>-555378.66144133732</v>
      </c>
      <c r="AO136" s="81"/>
      <c r="AP136" s="375">
        <v>1402914.3999999987</v>
      </c>
      <c r="AQ136" s="375">
        <v>1397677.6399999992</v>
      </c>
      <c r="AR136" s="375">
        <v>1375284.8299999998</v>
      </c>
      <c r="AS136" s="375">
        <v>1386261.7499999984</v>
      </c>
      <c r="AT136" s="375">
        <v>1250571.8632276698</v>
      </c>
      <c r="AU136" s="375">
        <v>1235426.0682136698</v>
      </c>
      <c r="AV136" s="375">
        <v>1208851.7277970032</v>
      </c>
      <c r="AW136" s="375">
        <v>1221091.4455470033</v>
      </c>
      <c r="AX136" s="375">
        <v>1194419.2817703367</v>
      </c>
      <c r="AY136" s="375">
        <v>1239489.2742341459</v>
      </c>
      <c r="AZ136" s="375">
        <v>1239489.2742341459</v>
      </c>
      <c r="BA136" s="375">
        <v>1254635.0692481461</v>
      </c>
      <c r="BB136" s="375">
        <v>15406112.624272117</v>
      </c>
      <c r="BC136" s="79">
        <v>270417.52</v>
      </c>
      <c r="BD136" s="79">
        <v>276999.43</v>
      </c>
      <c r="BE136" s="79">
        <v>232520.6</v>
      </c>
      <c r="BF136" s="79">
        <v>809656.43</v>
      </c>
      <c r="BG136" s="79">
        <v>809656.43</v>
      </c>
      <c r="BH136" s="79">
        <v>809656.43</v>
      </c>
      <c r="BI136" s="79">
        <v>829249.26</v>
      </c>
      <c r="BJ136" s="79">
        <v>829249.26</v>
      </c>
      <c r="BK136" s="79">
        <v>854062.66</v>
      </c>
      <c r="BL136" s="79">
        <v>854062.66</v>
      </c>
      <c r="BM136" s="79">
        <v>854062.66</v>
      </c>
      <c r="BN136" s="79">
        <v>854062.66</v>
      </c>
      <c r="BO136" s="79">
        <v>8283656.0000000009</v>
      </c>
    </row>
    <row r="137" spans="1:67" ht="15" customHeight="1">
      <c r="A137" s="150" t="s">
        <v>2606</v>
      </c>
      <c r="B137" s="296" t="s">
        <v>902</v>
      </c>
      <c r="C137" s="150" t="s">
        <v>1136</v>
      </c>
      <c r="D137" s="150" t="s">
        <v>1345</v>
      </c>
      <c r="E137" s="332" t="s">
        <v>1344</v>
      </c>
      <c r="F137" s="331" t="s">
        <v>1346</v>
      </c>
      <c r="G137" s="514" t="s">
        <v>639</v>
      </c>
      <c r="H137" s="394" t="s">
        <v>2607</v>
      </c>
      <c r="I137" s="333"/>
      <c r="J137" s="332" t="s">
        <v>1358</v>
      </c>
      <c r="K137" s="90" t="s">
        <v>53</v>
      </c>
      <c r="L137" s="347"/>
      <c r="M137" s="347"/>
      <c r="N137" s="348"/>
      <c r="O137" s="348"/>
      <c r="P137" s="348"/>
      <c r="Q137" s="402"/>
      <c r="R137" s="406"/>
      <c r="S137" s="406"/>
      <c r="T137" s="425"/>
      <c r="U137" s="71"/>
      <c r="V137" s="435"/>
      <c r="W137" s="436"/>
      <c r="X137" s="436"/>
      <c r="Y137" s="429">
        <v>90</v>
      </c>
      <c r="Z137" s="429">
        <v>0</v>
      </c>
      <c r="AA137" s="429">
        <v>0</v>
      </c>
      <c r="AB137" s="364"/>
      <c r="AC137" s="364"/>
      <c r="AD137" s="364"/>
      <c r="AE137" s="364"/>
      <c r="AF137" s="364"/>
      <c r="AG137" s="364"/>
      <c r="AH137" s="360">
        <f t="shared" si="9"/>
        <v>90</v>
      </c>
      <c r="AI137" s="362">
        <f>ERP_5[[#This Row],[2026 Working Total]]-ERP_5[[#This Row],[LE2 Final Submission]]</f>
        <v>90</v>
      </c>
      <c r="AJ137" s="79"/>
      <c r="AK137" s="79">
        <f t="shared" si="10"/>
        <v>0</v>
      </c>
      <c r="AL137" s="374">
        <f>SUM(ERP_5[[#This Row],[AP01]:[AP06]])-SUM(ERP_5[[#This Row],[AP01 LE2]:[AP06 LE2]])</f>
        <v>90</v>
      </c>
      <c r="AM137" s="80"/>
      <c r="AN137" s="79">
        <f>ERP_5[[#This Row],[2026 Working Total to Budget/LE]]-ERP_5[[#This Row],[Giveback]]</f>
        <v>90</v>
      </c>
      <c r="AO137" s="81"/>
      <c r="AP137" s="375"/>
      <c r="AQ137" s="375"/>
      <c r="AR137" s="375"/>
      <c r="AS137" s="375"/>
      <c r="AT137" s="375"/>
      <c r="AU137" s="375"/>
      <c r="AV137" s="375"/>
      <c r="AW137" s="375"/>
      <c r="AX137" s="375"/>
      <c r="AY137" s="375"/>
      <c r="AZ137" s="375"/>
      <c r="BA137" s="375"/>
      <c r="BB137" s="375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</row>
    <row r="138" spans="1:67" ht="15" customHeight="1">
      <c r="A138" s="150" t="s">
        <v>2745</v>
      </c>
      <c r="B138" s="296" t="s">
        <v>983</v>
      </c>
      <c r="C138" s="150" t="s">
        <v>1136</v>
      </c>
      <c r="D138" s="150" t="s">
        <v>1345</v>
      </c>
      <c r="E138" s="332" t="s">
        <v>1515</v>
      </c>
      <c r="F138" s="333" t="s">
        <v>1515</v>
      </c>
      <c r="G138" s="514" t="s">
        <v>639</v>
      </c>
      <c r="H138" s="394" t="s">
        <v>2614</v>
      </c>
      <c r="I138" s="333"/>
      <c r="J138" s="332" t="s">
        <v>2746</v>
      </c>
      <c r="K138" s="90" t="s">
        <v>53</v>
      </c>
      <c r="L138" s="347"/>
      <c r="M138" s="347"/>
      <c r="N138" s="348"/>
      <c r="O138" s="348"/>
      <c r="P138" s="348"/>
      <c r="Q138" s="402"/>
      <c r="R138" s="406"/>
      <c r="S138" s="406"/>
      <c r="T138" s="425"/>
      <c r="U138" s="71"/>
      <c r="V138" s="435"/>
      <c r="W138" s="436"/>
      <c r="X138" s="436"/>
      <c r="Y138" s="429"/>
      <c r="Z138" s="429">
        <v>227</v>
      </c>
      <c r="AA138" s="429">
        <v>0</v>
      </c>
      <c r="AB138" s="364"/>
      <c r="AC138" s="364"/>
      <c r="AD138" s="364"/>
      <c r="AE138" s="364"/>
      <c r="AF138" s="364"/>
      <c r="AG138" s="364"/>
      <c r="AH138" s="360">
        <f t="shared" si="9"/>
        <v>227</v>
      </c>
      <c r="AI138" s="362">
        <f>ERP_5[[#This Row],[2026 Working Total]]-ERP_5[[#This Row],[LE2 Final Submission]]</f>
        <v>227</v>
      </c>
      <c r="AJ138" s="79"/>
      <c r="AK138" s="79">
        <f t="shared" si="10"/>
        <v>0</v>
      </c>
      <c r="AL138" s="374">
        <f>SUM(ERP_5[[#This Row],[AP01]:[AP06]])-SUM(ERP_5[[#This Row],[AP01 LE2]:[AP06 LE2]])</f>
        <v>227</v>
      </c>
      <c r="AM138" s="80"/>
      <c r="AN138" s="79">
        <f>ERP_5[[#This Row],[2026 Working Total to Budget/LE]]-ERP_5[[#This Row],[Giveback]]</f>
        <v>227</v>
      </c>
      <c r="AO138" s="81"/>
      <c r="AP138" s="375"/>
      <c r="AQ138" s="375"/>
      <c r="AR138" s="375"/>
      <c r="AS138" s="375"/>
      <c r="AT138" s="375"/>
      <c r="AU138" s="375"/>
      <c r="AV138" s="375"/>
      <c r="AW138" s="375"/>
      <c r="AX138" s="375"/>
      <c r="AY138" s="375"/>
      <c r="AZ138" s="375"/>
      <c r="BA138" s="375"/>
      <c r="BB138" s="375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</row>
    <row r="139" spans="1:67" ht="15" customHeight="1">
      <c r="A139" s="79" t="s">
        <v>2667</v>
      </c>
      <c r="B139" s="296" t="s">
        <v>941</v>
      </c>
      <c r="C139" s="150" t="s">
        <v>1136</v>
      </c>
      <c r="D139" s="332" t="s">
        <v>1345</v>
      </c>
      <c r="E139" s="332" t="s">
        <v>1345</v>
      </c>
      <c r="F139" s="332" t="s">
        <v>1345</v>
      </c>
      <c r="G139" s="514" t="s">
        <v>639</v>
      </c>
      <c r="H139" s="394" t="s">
        <v>2668</v>
      </c>
      <c r="I139" s="343"/>
      <c r="J139" s="333"/>
      <c r="K139" s="70" t="s">
        <v>53</v>
      </c>
      <c r="L139" s="347"/>
      <c r="M139" s="343"/>
      <c r="N139" s="348"/>
      <c r="O139" s="348"/>
      <c r="P139" s="348" t="s">
        <v>1700</v>
      </c>
      <c r="Q139" s="402"/>
      <c r="R139" s="358"/>
      <c r="S139" s="379">
        <v>0</v>
      </c>
      <c r="T139" s="425"/>
      <c r="U139" s="71"/>
      <c r="V139" s="435"/>
      <c r="W139" s="436"/>
      <c r="X139" s="436"/>
      <c r="Y139" s="428" t="s">
        <v>1142</v>
      </c>
      <c r="Z139" s="429">
        <v>0</v>
      </c>
      <c r="AA139" s="429">
        <v>0</v>
      </c>
      <c r="AB139" s="364"/>
      <c r="AC139" s="364"/>
      <c r="AD139" s="364"/>
      <c r="AE139" s="364"/>
      <c r="AF139" s="364"/>
      <c r="AG139" s="364"/>
      <c r="AH139" s="360">
        <f t="shared" si="9"/>
        <v>0</v>
      </c>
      <c r="AI139" s="362">
        <f>ERP_5[[#This Row],[2026 Working Total]]-ERP_5[[#This Row],[LE2 Final Submission]]</f>
        <v>0</v>
      </c>
      <c r="AJ139" s="79">
        <v>-180</v>
      </c>
      <c r="AK139" s="79">
        <f t="shared" si="10"/>
        <v>180</v>
      </c>
      <c r="AL139" s="374">
        <f>SUM(ERP_5[[#This Row],[AP01]:[AP06]])-SUM(ERP_5[[#This Row],[AP01 LE2]:[AP06 LE2]])</f>
        <v>0</v>
      </c>
      <c r="AM139" s="80"/>
      <c r="AN139" s="79">
        <f>ERP_5[[#This Row],[2026 Working Total to Budget/LE]]-ERP_5[[#This Row],[Giveback]]</f>
        <v>0</v>
      </c>
      <c r="AO139" s="81"/>
      <c r="AP139" s="375"/>
      <c r="AQ139" s="375"/>
      <c r="AR139" s="375"/>
      <c r="AS139" s="375">
        <v>180</v>
      </c>
      <c r="AT139" s="375">
        <v>-180</v>
      </c>
      <c r="AU139" s="375"/>
      <c r="AV139" s="375"/>
      <c r="AW139" s="375"/>
      <c r="AX139" s="375"/>
      <c r="AY139" s="375"/>
      <c r="AZ139" s="375"/>
      <c r="BA139" s="375"/>
      <c r="BB139" s="375">
        <v>0</v>
      </c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</row>
    <row r="140" spans="1:67" ht="15" customHeight="1">
      <c r="A140" s="150" t="s">
        <v>1163</v>
      </c>
      <c r="B140" s="296" t="s">
        <v>1164</v>
      </c>
      <c r="C140" s="150" t="s">
        <v>1136</v>
      </c>
      <c r="D140" s="150" t="s">
        <v>1135</v>
      </c>
      <c r="E140" s="150" t="s">
        <v>1165</v>
      </c>
      <c r="F140" s="150" t="s">
        <v>1165</v>
      </c>
      <c r="G140" s="514" t="s">
        <v>49</v>
      </c>
      <c r="H140" s="394" t="s">
        <v>1166</v>
      </c>
      <c r="I140" s="333" t="s">
        <v>1167</v>
      </c>
      <c r="J140" s="332" t="s">
        <v>1168</v>
      </c>
      <c r="K140" s="90" t="s">
        <v>53</v>
      </c>
      <c r="L140" s="347"/>
      <c r="M140" s="347"/>
      <c r="N140" s="348"/>
      <c r="O140" s="348"/>
      <c r="P140" s="348"/>
      <c r="Q140" s="402"/>
      <c r="R140" s="406"/>
      <c r="S140" s="406"/>
      <c r="T140" s="425"/>
      <c r="U140" s="71"/>
      <c r="V140" s="435"/>
      <c r="W140" s="436"/>
      <c r="X140" s="436"/>
      <c r="Y140" s="429">
        <v>24147</v>
      </c>
      <c r="Z140" s="429">
        <v>-46130</v>
      </c>
      <c r="AA140" s="429">
        <v>-215360</v>
      </c>
      <c r="AB140" s="364"/>
      <c r="AC140" s="364"/>
      <c r="AD140" s="364"/>
      <c r="AE140" s="364"/>
      <c r="AF140" s="364"/>
      <c r="AG140" s="364"/>
      <c r="AH140" s="360">
        <f t="shared" ref="AH140:AH203" si="11">SUM(V140:AG140)</f>
        <v>-237343</v>
      </c>
      <c r="AI140" s="362">
        <f>ERP_5[[#This Row],[2026 Working Total]]-ERP_5[[#This Row],[LE2 Final Submission]]</f>
        <v>-237343</v>
      </c>
      <c r="AJ140" s="79"/>
      <c r="AK140" s="79">
        <f t="shared" si="10"/>
        <v>-215360</v>
      </c>
      <c r="AL140" s="374">
        <f>SUM(ERP_5[[#This Row],[AP01]:[AP06]])-SUM(ERP_5[[#This Row],[AP01 LE2]:[AP06 LE2]])</f>
        <v>-237343</v>
      </c>
      <c r="AM140" s="80"/>
      <c r="AN140" s="79">
        <f>ERP_5[[#This Row],[2026 Working Total to Budget/LE]]-ERP_5[[#This Row],[Giveback]]</f>
        <v>-237343</v>
      </c>
      <c r="AO140" s="81"/>
      <c r="AP140" s="375"/>
      <c r="AQ140" s="375"/>
      <c r="AR140" s="375"/>
      <c r="AS140" s="375"/>
      <c r="AT140" s="375"/>
      <c r="AU140" s="375"/>
      <c r="AV140" s="375"/>
      <c r="AW140" s="375"/>
      <c r="AX140" s="375"/>
      <c r="AY140" s="375"/>
      <c r="AZ140" s="375"/>
      <c r="BA140" s="375"/>
      <c r="BB140" s="375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</row>
    <row r="141" spans="1:67" ht="15" customHeight="1">
      <c r="A141" s="66" t="s">
        <v>1146</v>
      </c>
      <c r="B141" s="66" t="s">
        <v>52</v>
      </c>
      <c r="C141" s="150" t="s">
        <v>1136</v>
      </c>
      <c r="D141" s="150" t="s">
        <v>1135</v>
      </c>
      <c r="E141" s="150" t="s">
        <v>1135</v>
      </c>
      <c r="F141" s="150" t="s">
        <v>1137</v>
      </c>
      <c r="G141" s="511" t="s">
        <v>49</v>
      </c>
      <c r="H141" s="392" t="s">
        <v>1147</v>
      </c>
      <c r="I141" s="343"/>
      <c r="J141" s="343"/>
      <c r="K141" s="70" t="s">
        <v>53</v>
      </c>
      <c r="L141" s="346" t="s">
        <v>1149</v>
      </c>
      <c r="M141" s="343"/>
      <c r="N141" s="346"/>
      <c r="O141" s="150" t="s">
        <v>25</v>
      </c>
      <c r="P141" s="150"/>
      <c r="Q141" s="403"/>
      <c r="R141" s="406">
        <v>0</v>
      </c>
      <c r="S141" s="406">
        <v>-51577</v>
      </c>
      <c r="T141" s="425"/>
      <c r="U141" s="71"/>
      <c r="V141" s="426">
        <v>44340</v>
      </c>
      <c r="W141" s="427">
        <v>-23011</v>
      </c>
      <c r="X141" s="427">
        <v>-72906</v>
      </c>
      <c r="Y141" s="428">
        <v>9489</v>
      </c>
      <c r="Z141" s="429">
        <v>-2647</v>
      </c>
      <c r="AA141" s="429">
        <v>5440</v>
      </c>
      <c r="AB141" s="360">
        <v>0</v>
      </c>
      <c r="AC141" s="360">
        <v>0</v>
      </c>
      <c r="AD141" s="360">
        <v>0</v>
      </c>
      <c r="AE141" s="360">
        <v>0</v>
      </c>
      <c r="AF141" s="360">
        <v>0</v>
      </c>
      <c r="AG141" s="360">
        <v>0</v>
      </c>
      <c r="AH141" s="360">
        <f t="shared" si="11"/>
        <v>-39295</v>
      </c>
      <c r="AI141" s="362">
        <f>ERP_5[[#This Row],[2026 Working Total]]-ERP_5[[#This Row],[LE2 Final Submission]]</f>
        <v>12282</v>
      </c>
      <c r="AJ141" s="79">
        <v>0</v>
      </c>
      <c r="AK141" s="79">
        <f t="shared" si="10"/>
        <v>5440</v>
      </c>
      <c r="AL141" s="374">
        <f>SUM(ERP_5[[#This Row],[AP01]:[AP06]])-SUM(ERP_5[[#This Row],[AP01 LE2]:[AP06 LE2]])</f>
        <v>12282</v>
      </c>
      <c r="AM141" s="80"/>
      <c r="AN141" s="79">
        <f>ERP_5[[#This Row],[2026 Working Total to Budget/LE]]-ERP_5[[#This Row],[Giveback]]</f>
        <v>12282</v>
      </c>
      <c r="AO141" s="81"/>
      <c r="AP141" s="375">
        <v>44340</v>
      </c>
      <c r="AQ141" s="375">
        <v>-23011</v>
      </c>
      <c r="AR141" s="375">
        <v>-72906</v>
      </c>
      <c r="AS141" s="375">
        <v>0</v>
      </c>
      <c r="AT141" s="375">
        <v>0</v>
      </c>
      <c r="AU141" s="375">
        <v>0</v>
      </c>
      <c r="AV141" s="375">
        <v>0</v>
      </c>
      <c r="AW141" s="375">
        <v>0</v>
      </c>
      <c r="AX141" s="375">
        <v>0</v>
      </c>
      <c r="AY141" s="375">
        <v>0</v>
      </c>
      <c r="AZ141" s="375">
        <v>0</v>
      </c>
      <c r="BA141" s="375">
        <v>0</v>
      </c>
      <c r="BB141" s="375">
        <v>-51577</v>
      </c>
      <c r="BC141" s="79">
        <v>44340</v>
      </c>
      <c r="BD141" s="79">
        <v>-23011</v>
      </c>
      <c r="BE141" s="79">
        <v>-72906</v>
      </c>
      <c r="BF141" s="79">
        <v>0</v>
      </c>
      <c r="BG141" s="79">
        <v>0</v>
      </c>
      <c r="BH141" s="79">
        <v>0</v>
      </c>
      <c r="BI141" s="79">
        <v>0</v>
      </c>
      <c r="BJ141" s="79">
        <v>0</v>
      </c>
      <c r="BK141" s="79">
        <v>0</v>
      </c>
      <c r="BL141" s="79">
        <v>0</v>
      </c>
      <c r="BM141" s="79">
        <v>0</v>
      </c>
      <c r="BN141" s="79">
        <v>0</v>
      </c>
      <c r="BO141" s="79">
        <v>-51577</v>
      </c>
    </row>
    <row r="142" spans="1:67" ht="15" customHeight="1">
      <c r="A142" s="66" t="s">
        <v>1357</v>
      </c>
      <c r="B142" s="66" t="s">
        <v>159</v>
      </c>
      <c r="C142" s="150" t="s">
        <v>1136</v>
      </c>
      <c r="D142" s="150" t="s">
        <v>1345</v>
      </c>
      <c r="E142" s="150" t="s">
        <v>1344</v>
      </c>
      <c r="F142" s="150" t="s">
        <v>1346</v>
      </c>
      <c r="G142" s="511" t="s">
        <v>49</v>
      </c>
      <c r="H142" s="392" t="s">
        <v>1147</v>
      </c>
      <c r="I142" s="343"/>
      <c r="J142" s="343"/>
      <c r="K142" s="70" t="s">
        <v>53</v>
      </c>
      <c r="L142" s="346" t="s">
        <v>1153</v>
      </c>
      <c r="M142" s="343"/>
      <c r="N142" s="346"/>
      <c r="O142" s="150" t="s">
        <v>25</v>
      </c>
      <c r="P142" s="150" t="s">
        <v>1359</v>
      </c>
      <c r="Q142" s="403"/>
      <c r="R142" s="406">
        <v>0</v>
      </c>
      <c r="S142" s="406">
        <v>130143</v>
      </c>
      <c r="T142" s="425"/>
      <c r="U142" s="71"/>
      <c r="V142" s="426">
        <v>91657</v>
      </c>
      <c r="W142" s="427">
        <v>-50311</v>
      </c>
      <c r="X142" s="427">
        <v>88797</v>
      </c>
      <c r="Y142" s="428">
        <v>142812</v>
      </c>
      <c r="Z142" s="429">
        <v>-181452</v>
      </c>
      <c r="AA142" s="429">
        <v>124380</v>
      </c>
      <c r="AB142" s="360">
        <v>0</v>
      </c>
      <c r="AC142" s="360">
        <v>0</v>
      </c>
      <c r="AD142" s="360">
        <v>0</v>
      </c>
      <c r="AE142" s="360">
        <v>0</v>
      </c>
      <c r="AF142" s="360">
        <v>0</v>
      </c>
      <c r="AG142" s="360">
        <v>38640</v>
      </c>
      <c r="AH142" s="360">
        <f t="shared" si="11"/>
        <v>254523</v>
      </c>
      <c r="AI142" s="362">
        <f>ERP_5[[#This Row],[2026 Working Total]]-ERP_5[[#This Row],[LE2 Final Submission]]</f>
        <v>124380</v>
      </c>
      <c r="AJ142" s="79">
        <v>0</v>
      </c>
      <c r="AK142" s="79">
        <f t="shared" si="10"/>
        <v>124380</v>
      </c>
      <c r="AL142" s="374">
        <f>SUM(ERP_5[[#This Row],[AP01]:[AP06]])-SUM(ERP_5[[#This Row],[AP01 LE2]:[AP06 LE2]])</f>
        <v>85740</v>
      </c>
      <c r="AM142" s="80"/>
      <c r="AN142" s="79">
        <f>ERP_5[[#This Row],[2026 Working Total to Budget/LE]]-ERP_5[[#This Row],[Giveback]]</f>
        <v>124380</v>
      </c>
      <c r="AO142" s="155" t="s">
        <v>1360</v>
      </c>
      <c r="AP142" s="375">
        <v>91657</v>
      </c>
      <c r="AQ142" s="375">
        <v>-50311</v>
      </c>
      <c r="AR142" s="375">
        <v>88797</v>
      </c>
      <c r="AS142" s="375">
        <v>0</v>
      </c>
      <c r="AT142" s="375">
        <v>0</v>
      </c>
      <c r="AU142" s="375">
        <v>0</v>
      </c>
      <c r="AV142" s="375">
        <v>0</v>
      </c>
      <c r="AW142" s="375">
        <v>0</v>
      </c>
      <c r="AX142" s="375">
        <v>0</v>
      </c>
      <c r="AY142" s="375">
        <v>0</v>
      </c>
      <c r="AZ142" s="375">
        <v>0</v>
      </c>
      <c r="BA142" s="375">
        <v>0</v>
      </c>
      <c r="BB142" s="375">
        <v>130143</v>
      </c>
      <c r="BC142" s="79">
        <v>91657</v>
      </c>
      <c r="BD142" s="79">
        <v>-50311</v>
      </c>
      <c r="BE142" s="79">
        <v>88797</v>
      </c>
      <c r="BF142" s="79">
        <v>0</v>
      </c>
      <c r="BG142" s="79">
        <v>0</v>
      </c>
      <c r="BH142" s="79">
        <v>0</v>
      </c>
      <c r="BI142" s="79">
        <v>0</v>
      </c>
      <c r="BJ142" s="79">
        <v>0</v>
      </c>
      <c r="BK142" s="79">
        <v>0</v>
      </c>
      <c r="BL142" s="79">
        <v>0</v>
      </c>
      <c r="BM142" s="79">
        <v>0</v>
      </c>
      <c r="BN142" s="79">
        <v>0</v>
      </c>
      <c r="BO142" s="79">
        <v>130143</v>
      </c>
    </row>
    <row r="143" spans="1:67" ht="15" customHeight="1">
      <c r="A143" s="66" t="s">
        <v>1963</v>
      </c>
      <c r="B143" s="66" t="s">
        <v>492</v>
      </c>
      <c r="C143" s="150" t="s">
        <v>1136</v>
      </c>
      <c r="D143" s="150" t="s">
        <v>1345</v>
      </c>
      <c r="E143" s="150" t="s">
        <v>1344</v>
      </c>
      <c r="F143" s="150" t="s">
        <v>1346</v>
      </c>
      <c r="G143" s="511" t="s">
        <v>389</v>
      </c>
      <c r="H143" s="392" t="s">
        <v>1147</v>
      </c>
      <c r="I143" s="343"/>
      <c r="J143" s="343"/>
      <c r="K143" s="70" t="s">
        <v>53</v>
      </c>
      <c r="L143" s="346" t="s">
        <v>1153</v>
      </c>
      <c r="M143" s="343"/>
      <c r="N143" s="346"/>
      <c r="O143" s="150" t="s">
        <v>25</v>
      </c>
      <c r="P143" s="150"/>
      <c r="Q143" s="403"/>
      <c r="R143" s="406">
        <v>0</v>
      </c>
      <c r="S143" s="406">
        <v>387</v>
      </c>
      <c r="T143" s="425"/>
      <c r="U143" s="71"/>
      <c r="V143" s="426">
        <v>129</v>
      </c>
      <c r="W143" s="427">
        <v>129</v>
      </c>
      <c r="X143" s="427">
        <v>129</v>
      </c>
      <c r="Y143" s="428">
        <v>129</v>
      </c>
      <c r="Z143" s="429">
        <v>129</v>
      </c>
      <c r="AA143" s="429">
        <v>129</v>
      </c>
      <c r="AB143" s="360">
        <v>0</v>
      </c>
      <c r="AC143" s="360">
        <v>0</v>
      </c>
      <c r="AD143" s="360">
        <v>0</v>
      </c>
      <c r="AE143" s="360">
        <v>0</v>
      </c>
      <c r="AF143" s="360">
        <v>0</v>
      </c>
      <c r="AG143" s="360">
        <v>0</v>
      </c>
      <c r="AH143" s="360">
        <f t="shared" si="11"/>
        <v>774</v>
      </c>
      <c r="AI143" s="362">
        <f>ERP_5[[#This Row],[2026 Working Total]]-ERP_5[[#This Row],[LE2 Final Submission]]</f>
        <v>387</v>
      </c>
      <c r="AJ143" s="79">
        <v>0</v>
      </c>
      <c r="AK143" s="79">
        <f t="shared" si="10"/>
        <v>129</v>
      </c>
      <c r="AL143" s="374">
        <f>SUM(ERP_5[[#This Row],[AP01]:[AP06]])-SUM(ERP_5[[#This Row],[AP01 LE2]:[AP06 LE2]])</f>
        <v>387</v>
      </c>
      <c r="AM143" s="80"/>
      <c r="AN143" s="79">
        <f>ERP_5[[#This Row],[2026 Working Total to Budget/LE]]-ERP_5[[#This Row],[Giveback]]</f>
        <v>387</v>
      </c>
      <c r="AO143" s="81"/>
      <c r="AP143" s="375">
        <v>129</v>
      </c>
      <c r="AQ143" s="375">
        <v>129</v>
      </c>
      <c r="AR143" s="375">
        <v>129</v>
      </c>
      <c r="AS143" s="375">
        <v>0</v>
      </c>
      <c r="AT143" s="375">
        <v>0</v>
      </c>
      <c r="AU143" s="375">
        <v>0</v>
      </c>
      <c r="AV143" s="375">
        <v>0</v>
      </c>
      <c r="AW143" s="375">
        <v>0</v>
      </c>
      <c r="AX143" s="375">
        <v>0</v>
      </c>
      <c r="AY143" s="375">
        <v>0</v>
      </c>
      <c r="AZ143" s="375">
        <v>0</v>
      </c>
      <c r="BA143" s="375">
        <v>0</v>
      </c>
      <c r="BB143" s="375">
        <v>387</v>
      </c>
      <c r="BC143" s="79">
        <v>129</v>
      </c>
      <c r="BD143" s="79">
        <v>129</v>
      </c>
      <c r="BE143" s="79">
        <v>129</v>
      </c>
      <c r="BF143" s="79">
        <v>0</v>
      </c>
      <c r="BG143" s="79">
        <v>0</v>
      </c>
      <c r="BH143" s="79">
        <v>0</v>
      </c>
      <c r="BI143" s="79">
        <v>0</v>
      </c>
      <c r="BJ143" s="79">
        <v>0</v>
      </c>
      <c r="BK143" s="79">
        <v>0</v>
      </c>
      <c r="BL143" s="79">
        <v>0</v>
      </c>
      <c r="BM143" s="79">
        <v>0</v>
      </c>
      <c r="BN143" s="79">
        <v>0</v>
      </c>
      <c r="BO143" s="79">
        <v>387</v>
      </c>
    </row>
    <row r="144" spans="1:67" ht="15" customHeight="1">
      <c r="A144" s="66" t="s">
        <v>1432</v>
      </c>
      <c r="B144" s="66" t="s">
        <v>198</v>
      </c>
      <c r="C144" s="150" t="s">
        <v>1136</v>
      </c>
      <c r="D144" s="150" t="s">
        <v>1345</v>
      </c>
      <c r="E144" s="150" t="s">
        <v>1345</v>
      </c>
      <c r="F144" s="150" t="s">
        <v>1346</v>
      </c>
      <c r="G144" s="511" t="s">
        <v>49</v>
      </c>
      <c r="H144" s="392" t="s">
        <v>1147</v>
      </c>
      <c r="I144" s="343"/>
      <c r="J144" s="343"/>
      <c r="K144" s="70" t="s">
        <v>53</v>
      </c>
      <c r="L144" s="346" t="s">
        <v>1153</v>
      </c>
      <c r="M144" s="343"/>
      <c r="N144" s="346"/>
      <c r="O144" s="150" t="s">
        <v>25</v>
      </c>
      <c r="P144" s="150" t="s">
        <v>1434</v>
      </c>
      <c r="Q144" s="403"/>
      <c r="R144" s="406">
        <v>0</v>
      </c>
      <c r="S144" s="406">
        <v>0</v>
      </c>
      <c r="T144" s="425"/>
      <c r="U144" s="71"/>
      <c r="V144" s="426">
        <v>579568</v>
      </c>
      <c r="W144" s="427">
        <v>-598991</v>
      </c>
      <c r="X144" s="427">
        <v>-317436</v>
      </c>
      <c r="Y144" s="428">
        <v>577046</v>
      </c>
      <c r="Z144" s="429">
        <v>-397395</v>
      </c>
      <c r="AA144" s="429">
        <v>179883.00000000012</v>
      </c>
      <c r="AB144" s="360"/>
      <c r="AC144" s="360"/>
      <c r="AD144" s="360"/>
      <c r="AE144" s="360"/>
      <c r="AF144" s="360"/>
      <c r="AG144" s="360"/>
      <c r="AH144" s="360">
        <f t="shared" si="11"/>
        <v>22675.000000000116</v>
      </c>
      <c r="AI144" s="362">
        <f>ERP_5[[#This Row],[2026 Working Total]]-ERP_5[[#This Row],[LE2 Final Submission]]</f>
        <v>22675.000000000116</v>
      </c>
      <c r="AJ144" s="79">
        <v>110000</v>
      </c>
      <c r="AK144" s="79">
        <f t="shared" si="10"/>
        <v>69883.000000000116</v>
      </c>
      <c r="AL144" s="374">
        <f>SUM(ERP_5[[#This Row],[AP01]:[AP06]])-SUM(ERP_5[[#This Row],[AP01 LE2]:[AP06 LE2]])</f>
        <v>22675.000000000116</v>
      </c>
      <c r="AM144" s="80"/>
      <c r="AN144" s="79">
        <f>ERP_5[[#This Row],[2026 Working Total to Budget/LE]]-ERP_5[[#This Row],[Giveback]]</f>
        <v>22675.000000000116</v>
      </c>
      <c r="AO144" s="81"/>
      <c r="AP144" s="375">
        <v>579568</v>
      </c>
      <c r="AQ144" s="375">
        <v>-598991</v>
      </c>
      <c r="AR144" s="375">
        <v>-317436</v>
      </c>
      <c r="AS144" s="375">
        <v>110000</v>
      </c>
      <c r="AT144" s="375">
        <v>110000</v>
      </c>
      <c r="AU144" s="375">
        <v>116859</v>
      </c>
      <c r="AV144" s="375"/>
      <c r="AW144" s="375"/>
      <c r="AX144" s="375"/>
      <c r="AY144" s="375"/>
      <c r="AZ144" s="375"/>
      <c r="BA144" s="375"/>
      <c r="BB144" s="375">
        <v>0</v>
      </c>
      <c r="BC144" s="79">
        <v>579568</v>
      </c>
      <c r="BD144" s="79">
        <v>-598991</v>
      </c>
      <c r="BE144" s="79">
        <v>-317436</v>
      </c>
      <c r="BF144" s="79">
        <v>0</v>
      </c>
      <c r="BG144" s="79">
        <v>0</v>
      </c>
      <c r="BH144" s="79">
        <v>0</v>
      </c>
      <c r="BI144" s="79">
        <v>0</v>
      </c>
      <c r="BJ144" s="79">
        <v>0</v>
      </c>
      <c r="BK144" s="79">
        <v>0</v>
      </c>
      <c r="BL144" s="79">
        <v>0</v>
      </c>
      <c r="BM144" s="79">
        <v>0</v>
      </c>
      <c r="BN144" s="79">
        <v>0</v>
      </c>
      <c r="BO144" s="79">
        <v>-336859</v>
      </c>
    </row>
    <row r="145" spans="1:67" ht="15" customHeight="1">
      <c r="A145" s="66" t="s">
        <v>2010</v>
      </c>
      <c r="B145" s="66" t="s">
        <v>523</v>
      </c>
      <c r="C145" s="150" t="s">
        <v>1136</v>
      </c>
      <c r="D145" s="150" t="s">
        <v>1345</v>
      </c>
      <c r="E145" s="150" t="s">
        <v>1345</v>
      </c>
      <c r="F145" s="150" t="s">
        <v>1346</v>
      </c>
      <c r="G145" s="511" t="s">
        <v>389</v>
      </c>
      <c r="H145" s="392" t="s">
        <v>1147</v>
      </c>
      <c r="I145" s="343"/>
      <c r="J145" s="343"/>
      <c r="K145" s="70" t="s">
        <v>53</v>
      </c>
      <c r="L145" s="346" t="s">
        <v>1153</v>
      </c>
      <c r="M145" s="343"/>
      <c r="N145" s="346"/>
      <c r="O145" s="150" t="s">
        <v>25</v>
      </c>
      <c r="P145" s="150" t="s">
        <v>1434</v>
      </c>
      <c r="Q145" s="403"/>
      <c r="R145" s="406">
        <v>0</v>
      </c>
      <c r="S145" s="406">
        <v>0</v>
      </c>
      <c r="T145" s="430"/>
      <c r="U145" s="137"/>
      <c r="V145" s="426"/>
      <c r="W145" s="427"/>
      <c r="X145" s="427">
        <v>7840</v>
      </c>
      <c r="Y145" s="428">
        <v>4772</v>
      </c>
      <c r="Z145" s="429">
        <v>4772</v>
      </c>
      <c r="AA145" s="429">
        <v>5965.9999999999991</v>
      </c>
      <c r="AB145" s="360">
        <v>0</v>
      </c>
      <c r="AC145" s="360">
        <v>0</v>
      </c>
      <c r="AD145" s="360">
        <v>0</v>
      </c>
      <c r="AE145" s="360">
        <v>0</v>
      </c>
      <c r="AF145" s="360">
        <v>0</v>
      </c>
      <c r="AG145" s="360">
        <v>0</v>
      </c>
      <c r="AH145" s="360">
        <f t="shared" si="11"/>
        <v>23350</v>
      </c>
      <c r="AI145" s="362">
        <f>ERP_5[[#This Row],[2026 Working Total]]-ERP_5[[#This Row],[LE2 Final Submission]]</f>
        <v>23350</v>
      </c>
      <c r="AJ145" s="79">
        <v>-2500</v>
      </c>
      <c r="AK145" s="79">
        <f t="shared" si="10"/>
        <v>8466</v>
      </c>
      <c r="AL145" s="374">
        <f>SUM(ERP_5[[#This Row],[AP01]:[AP06]])-SUM(ERP_5[[#This Row],[AP01 LE2]:[AP06 LE2]])</f>
        <v>23350</v>
      </c>
      <c r="AM145" s="80"/>
      <c r="AN145" s="79">
        <f>ERP_5[[#This Row],[2026 Working Total to Budget/LE]]-ERP_5[[#This Row],[Giveback]]</f>
        <v>23350</v>
      </c>
      <c r="AO145" s="81"/>
      <c r="AP145" s="375"/>
      <c r="AQ145" s="375"/>
      <c r="AR145" s="375">
        <v>7840</v>
      </c>
      <c r="AS145" s="375">
        <v>-2500</v>
      </c>
      <c r="AT145" s="375">
        <v>-2500</v>
      </c>
      <c r="AU145" s="375">
        <v>-2840</v>
      </c>
      <c r="AV145" s="375">
        <v>0</v>
      </c>
      <c r="AW145" s="375">
        <v>0</v>
      </c>
      <c r="AX145" s="375">
        <v>0</v>
      </c>
      <c r="AY145" s="375">
        <v>0</v>
      </c>
      <c r="AZ145" s="375">
        <v>0</v>
      </c>
      <c r="BA145" s="375">
        <v>0</v>
      </c>
      <c r="BB145" s="375">
        <v>0</v>
      </c>
      <c r="BC145" s="79"/>
      <c r="BD145" s="79"/>
      <c r="BE145" s="79">
        <v>7840</v>
      </c>
      <c r="BF145" s="79">
        <v>0</v>
      </c>
      <c r="BG145" s="79">
        <v>0</v>
      </c>
      <c r="BH145" s="79">
        <v>0</v>
      </c>
      <c r="BI145" s="79">
        <v>0</v>
      </c>
      <c r="BJ145" s="79">
        <v>0</v>
      </c>
      <c r="BK145" s="79">
        <v>0</v>
      </c>
      <c r="BL145" s="79">
        <v>0</v>
      </c>
      <c r="BM145" s="79">
        <v>0</v>
      </c>
      <c r="BN145" s="79">
        <v>0</v>
      </c>
      <c r="BO145" s="79">
        <v>7840</v>
      </c>
    </row>
    <row r="146" spans="1:67" ht="15" customHeight="1">
      <c r="A146" s="66" t="s">
        <v>1527</v>
      </c>
      <c r="B146" s="66" t="s">
        <v>246</v>
      </c>
      <c r="C146" s="150" t="s">
        <v>1136</v>
      </c>
      <c r="D146" s="150" t="s">
        <v>1345</v>
      </c>
      <c r="E146" s="150" t="s">
        <v>1515</v>
      </c>
      <c r="F146" s="150" t="s">
        <v>1346</v>
      </c>
      <c r="G146" s="511" t="s">
        <v>49</v>
      </c>
      <c r="H146" s="392" t="s">
        <v>1147</v>
      </c>
      <c r="I146" s="343"/>
      <c r="J146" s="343"/>
      <c r="K146" s="70" t="s">
        <v>53</v>
      </c>
      <c r="L146" s="346" t="s">
        <v>1153</v>
      </c>
      <c r="M146" s="343"/>
      <c r="N146" s="346"/>
      <c r="O146" s="150" t="s">
        <v>25</v>
      </c>
      <c r="P146" s="150"/>
      <c r="Q146" s="403"/>
      <c r="R146" s="406">
        <v>0</v>
      </c>
      <c r="S146" s="406">
        <v>-29144</v>
      </c>
      <c r="T146" s="425"/>
      <c r="U146" s="71"/>
      <c r="V146" s="426">
        <v>101571</v>
      </c>
      <c r="W146" s="427">
        <v>-210932</v>
      </c>
      <c r="X146" s="427">
        <v>80217</v>
      </c>
      <c r="Y146" s="428">
        <v>105632.00000000001</v>
      </c>
      <c r="Z146" s="429">
        <v>-36244</v>
      </c>
      <c r="AA146" s="429">
        <v>24284.000000000029</v>
      </c>
      <c r="AB146" s="360">
        <v>0</v>
      </c>
      <c r="AC146" s="360">
        <v>0</v>
      </c>
      <c r="AD146" s="360">
        <v>0</v>
      </c>
      <c r="AE146" s="360">
        <v>0</v>
      </c>
      <c r="AF146" s="360">
        <v>0</v>
      </c>
      <c r="AG146" s="360">
        <v>0</v>
      </c>
      <c r="AH146" s="360">
        <f t="shared" si="11"/>
        <v>64528.000000000044</v>
      </c>
      <c r="AI146" s="362">
        <f>ERP_5[[#This Row],[2026 Working Total]]-ERP_5[[#This Row],[LE2 Final Submission]]</f>
        <v>93672.000000000044</v>
      </c>
      <c r="AJ146" s="79">
        <v>0</v>
      </c>
      <c r="AK146" s="79">
        <f t="shared" si="10"/>
        <v>24284.000000000029</v>
      </c>
      <c r="AL146" s="374">
        <f>SUM(ERP_5[[#This Row],[AP01]:[AP06]])-SUM(ERP_5[[#This Row],[AP01 LE2]:[AP06 LE2]])</f>
        <v>93672.000000000044</v>
      </c>
      <c r="AM146" s="80"/>
      <c r="AN146" s="79">
        <f>ERP_5[[#This Row],[2026 Working Total to Budget/LE]]-ERP_5[[#This Row],[Giveback]]</f>
        <v>93672.000000000044</v>
      </c>
      <c r="AO146" s="81"/>
      <c r="AP146" s="375">
        <v>101571</v>
      </c>
      <c r="AQ146" s="375">
        <v>-210932</v>
      </c>
      <c r="AR146" s="375">
        <v>80217</v>
      </c>
      <c r="AS146" s="375">
        <v>0</v>
      </c>
      <c r="AT146" s="375">
        <v>0</v>
      </c>
      <c r="AU146" s="375">
        <v>0</v>
      </c>
      <c r="AV146" s="375">
        <v>0</v>
      </c>
      <c r="AW146" s="375">
        <v>0</v>
      </c>
      <c r="AX146" s="375">
        <v>0</v>
      </c>
      <c r="AY146" s="375">
        <v>0</v>
      </c>
      <c r="AZ146" s="375">
        <v>0</v>
      </c>
      <c r="BA146" s="375">
        <v>0</v>
      </c>
      <c r="BB146" s="375">
        <v>-29144</v>
      </c>
      <c r="BC146" s="79">
        <v>101571</v>
      </c>
      <c r="BD146" s="79">
        <v>-210932</v>
      </c>
      <c r="BE146" s="79">
        <v>80217</v>
      </c>
      <c r="BF146" s="79">
        <v>0</v>
      </c>
      <c r="BG146" s="79">
        <v>0</v>
      </c>
      <c r="BH146" s="79">
        <v>0</v>
      </c>
      <c r="BI146" s="79">
        <v>0</v>
      </c>
      <c r="BJ146" s="79">
        <v>0</v>
      </c>
      <c r="BK146" s="79">
        <v>0</v>
      </c>
      <c r="BL146" s="79">
        <v>0</v>
      </c>
      <c r="BM146" s="79">
        <v>0</v>
      </c>
      <c r="BN146" s="79">
        <v>0</v>
      </c>
      <c r="BO146" s="79">
        <v>-29144</v>
      </c>
    </row>
    <row r="147" spans="1:67" ht="15" customHeight="1">
      <c r="A147" s="66" t="s">
        <v>2066</v>
      </c>
      <c r="B147" s="66" t="s">
        <v>555</v>
      </c>
      <c r="C147" s="150" t="s">
        <v>1136</v>
      </c>
      <c r="D147" s="150" t="s">
        <v>1345</v>
      </c>
      <c r="E147" s="150" t="s">
        <v>1515</v>
      </c>
      <c r="F147" s="150" t="s">
        <v>1346</v>
      </c>
      <c r="G147" s="511" t="s">
        <v>389</v>
      </c>
      <c r="H147" s="392" t="s">
        <v>1147</v>
      </c>
      <c r="I147" s="343"/>
      <c r="J147" s="343"/>
      <c r="K147" s="70" t="s">
        <v>53</v>
      </c>
      <c r="L147" s="346" t="s">
        <v>1153</v>
      </c>
      <c r="M147" s="343"/>
      <c r="N147" s="346"/>
      <c r="O147" s="150" t="s">
        <v>25</v>
      </c>
      <c r="P147" s="150"/>
      <c r="Q147" s="403"/>
      <c r="R147" s="406">
        <v>0</v>
      </c>
      <c r="S147" s="406">
        <v>1177</v>
      </c>
      <c r="T147" s="425"/>
      <c r="U147" s="71"/>
      <c r="V147" s="426">
        <v>-14023</v>
      </c>
      <c r="W147" s="427">
        <v>60</v>
      </c>
      <c r="X147" s="427">
        <v>15140</v>
      </c>
      <c r="Y147" s="428">
        <v>60</v>
      </c>
      <c r="Z147" s="429">
        <v>60</v>
      </c>
      <c r="AA147" s="429">
        <v>-1401</v>
      </c>
      <c r="AB147" s="360">
        <v>0</v>
      </c>
      <c r="AC147" s="360">
        <v>0</v>
      </c>
      <c r="AD147" s="360">
        <v>0</v>
      </c>
      <c r="AE147" s="360">
        <v>0</v>
      </c>
      <c r="AF147" s="360">
        <v>0</v>
      </c>
      <c r="AG147" s="360">
        <v>0</v>
      </c>
      <c r="AH147" s="360">
        <f t="shared" si="11"/>
        <v>-104</v>
      </c>
      <c r="AI147" s="362">
        <f>ERP_5[[#This Row],[2026 Working Total]]-ERP_5[[#This Row],[LE2 Final Submission]]</f>
        <v>-1281</v>
      </c>
      <c r="AJ147" s="79">
        <v>0</v>
      </c>
      <c r="AK147" s="79">
        <f t="shared" si="10"/>
        <v>-1401</v>
      </c>
      <c r="AL147" s="374">
        <f>SUM(ERP_5[[#This Row],[AP01]:[AP06]])-SUM(ERP_5[[#This Row],[AP01 LE2]:[AP06 LE2]])</f>
        <v>-1281</v>
      </c>
      <c r="AM147" s="80"/>
      <c r="AN147" s="79">
        <f>ERP_5[[#This Row],[2026 Working Total to Budget/LE]]-ERP_5[[#This Row],[Giveback]]</f>
        <v>-1281</v>
      </c>
      <c r="AO147" s="81"/>
      <c r="AP147" s="375">
        <v>-14023</v>
      </c>
      <c r="AQ147" s="375">
        <v>60</v>
      </c>
      <c r="AR147" s="375">
        <v>15140</v>
      </c>
      <c r="AS147" s="375">
        <v>0</v>
      </c>
      <c r="AT147" s="375">
        <v>0</v>
      </c>
      <c r="AU147" s="375">
        <v>0</v>
      </c>
      <c r="AV147" s="375">
        <v>0</v>
      </c>
      <c r="AW147" s="375">
        <v>0</v>
      </c>
      <c r="AX147" s="375">
        <v>0</v>
      </c>
      <c r="AY147" s="375">
        <v>0</v>
      </c>
      <c r="AZ147" s="375">
        <v>0</v>
      </c>
      <c r="BA147" s="375">
        <v>0</v>
      </c>
      <c r="BB147" s="375">
        <v>1177</v>
      </c>
      <c r="BC147" s="79">
        <v>-14023</v>
      </c>
      <c r="BD147" s="79">
        <v>60</v>
      </c>
      <c r="BE147" s="79">
        <v>15140</v>
      </c>
      <c r="BF147" s="79">
        <v>0</v>
      </c>
      <c r="BG147" s="79">
        <v>0</v>
      </c>
      <c r="BH147" s="79">
        <v>0</v>
      </c>
      <c r="BI147" s="79">
        <v>0</v>
      </c>
      <c r="BJ147" s="79">
        <v>0</v>
      </c>
      <c r="BK147" s="79">
        <v>0</v>
      </c>
      <c r="BL147" s="79">
        <v>0</v>
      </c>
      <c r="BM147" s="79">
        <v>0</v>
      </c>
      <c r="BN147" s="79">
        <v>0</v>
      </c>
      <c r="BO147" s="79">
        <v>1177</v>
      </c>
    </row>
    <row r="148" spans="1:67" ht="15" customHeight="1">
      <c r="A148" s="66" t="s">
        <v>1789</v>
      </c>
      <c r="B148" s="66" t="s">
        <v>416</v>
      </c>
      <c r="C148" s="150" t="s">
        <v>1136</v>
      </c>
      <c r="D148" s="150" t="s">
        <v>1135</v>
      </c>
      <c r="E148" s="150" t="s">
        <v>1135</v>
      </c>
      <c r="F148" s="150" t="s">
        <v>1137</v>
      </c>
      <c r="G148" s="511" t="s">
        <v>389</v>
      </c>
      <c r="H148" s="392" t="s">
        <v>1147</v>
      </c>
      <c r="I148" s="343"/>
      <c r="J148" s="343"/>
      <c r="K148" s="70" t="s">
        <v>53</v>
      </c>
      <c r="L148" s="346" t="s">
        <v>1153</v>
      </c>
      <c r="M148" s="343"/>
      <c r="N148" s="346"/>
      <c r="O148" s="150" t="s">
        <v>25</v>
      </c>
      <c r="P148" s="150"/>
      <c r="Q148" s="403"/>
      <c r="R148" s="406">
        <v>0</v>
      </c>
      <c r="S148" s="406">
        <v>2101</v>
      </c>
      <c r="T148" s="425"/>
      <c r="U148" s="71"/>
      <c r="V148" s="426">
        <v>1821</v>
      </c>
      <c r="W148" s="427">
        <v>140</v>
      </c>
      <c r="X148" s="427">
        <v>140</v>
      </c>
      <c r="Y148" s="428">
        <v>139</v>
      </c>
      <c r="Z148" s="429">
        <v>2028.9999999999998</v>
      </c>
      <c r="AA148" s="429">
        <v>0</v>
      </c>
      <c r="AB148" s="360">
        <v>0</v>
      </c>
      <c r="AC148" s="360">
        <v>0</v>
      </c>
      <c r="AD148" s="360">
        <v>0</v>
      </c>
      <c r="AE148" s="360">
        <v>0</v>
      </c>
      <c r="AF148" s="360">
        <v>0</v>
      </c>
      <c r="AG148" s="360">
        <v>0</v>
      </c>
      <c r="AH148" s="360">
        <f t="shared" si="11"/>
        <v>4269</v>
      </c>
      <c r="AI148" s="362">
        <f>ERP_5[[#This Row],[2026 Working Total]]-ERP_5[[#This Row],[LE2 Final Submission]]</f>
        <v>2168</v>
      </c>
      <c r="AJ148" s="79">
        <v>0</v>
      </c>
      <c r="AK148" s="79">
        <f t="shared" si="10"/>
        <v>0</v>
      </c>
      <c r="AL148" s="374">
        <f>SUM(ERP_5[[#This Row],[AP01]:[AP06]])-SUM(ERP_5[[#This Row],[AP01 LE2]:[AP06 LE2]])</f>
        <v>2168</v>
      </c>
      <c r="AM148" s="80"/>
      <c r="AN148" s="79">
        <f>ERP_5[[#This Row],[2026 Working Total to Budget/LE]]-ERP_5[[#This Row],[Giveback]]</f>
        <v>2168</v>
      </c>
      <c r="AO148" s="81"/>
      <c r="AP148" s="375">
        <v>1821</v>
      </c>
      <c r="AQ148" s="375">
        <v>140</v>
      </c>
      <c r="AR148" s="375">
        <v>140</v>
      </c>
      <c r="AS148" s="375">
        <v>0</v>
      </c>
      <c r="AT148" s="375">
        <v>0</v>
      </c>
      <c r="AU148" s="375">
        <v>0</v>
      </c>
      <c r="AV148" s="375">
        <v>0</v>
      </c>
      <c r="AW148" s="375">
        <v>0</v>
      </c>
      <c r="AX148" s="375">
        <v>0</v>
      </c>
      <c r="AY148" s="375">
        <v>0</v>
      </c>
      <c r="AZ148" s="375">
        <v>0</v>
      </c>
      <c r="BA148" s="375">
        <v>0</v>
      </c>
      <c r="BB148" s="375">
        <v>2101</v>
      </c>
      <c r="BC148" s="79">
        <v>1821</v>
      </c>
      <c r="BD148" s="79">
        <v>140</v>
      </c>
      <c r="BE148" s="79">
        <v>140</v>
      </c>
      <c r="BF148" s="79">
        <v>0</v>
      </c>
      <c r="BG148" s="79">
        <v>0</v>
      </c>
      <c r="BH148" s="79">
        <v>0</v>
      </c>
      <c r="BI148" s="79">
        <v>0</v>
      </c>
      <c r="BJ148" s="79">
        <v>0</v>
      </c>
      <c r="BK148" s="79">
        <v>0</v>
      </c>
      <c r="BL148" s="79">
        <v>0</v>
      </c>
      <c r="BM148" s="79">
        <v>0</v>
      </c>
      <c r="BN148" s="79">
        <v>0</v>
      </c>
      <c r="BO148" s="79">
        <v>2101</v>
      </c>
    </row>
    <row r="149" spans="1:67" ht="15" customHeight="1">
      <c r="A149" s="66" t="s">
        <v>1150</v>
      </c>
      <c r="B149" s="66" t="s">
        <v>1151</v>
      </c>
      <c r="C149" s="150" t="s">
        <v>1136</v>
      </c>
      <c r="D149" s="150" t="s">
        <v>1135</v>
      </c>
      <c r="E149" s="150" t="s">
        <v>1145</v>
      </c>
      <c r="F149" s="150" t="s">
        <v>1137</v>
      </c>
      <c r="G149" s="511" t="s">
        <v>49</v>
      </c>
      <c r="H149" s="392" t="s">
        <v>1147</v>
      </c>
      <c r="I149" s="343"/>
      <c r="J149" s="343"/>
      <c r="K149" s="70" t="s">
        <v>53</v>
      </c>
      <c r="L149" s="346" t="s">
        <v>1153</v>
      </c>
      <c r="M149" s="343"/>
      <c r="N149" s="346"/>
      <c r="O149" s="150" t="s">
        <v>25</v>
      </c>
      <c r="P149" s="527"/>
      <c r="Q149" s="403"/>
      <c r="R149" s="406">
        <v>-694940</v>
      </c>
      <c r="S149" s="406">
        <v>-587120.73</v>
      </c>
      <c r="T149" s="425"/>
      <c r="U149" s="71"/>
      <c r="V149" s="426"/>
      <c r="W149" s="427">
        <v>-20640.86</v>
      </c>
      <c r="X149" s="427">
        <v>-10639.87</v>
      </c>
      <c r="Y149" s="428">
        <v>148175</v>
      </c>
      <c r="Z149" s="429">
        <v>-155623.00000000006</v>
      </c>
      <c r="AA149" s="429">
        <v>-142264</v>
      </c>
      <c r="AB149" s="363">
        <v>-11640</v>
      </c>
      <c r="AC149" s="363">
        <v>-116400</v>
      </c>
      <c r="AD149" s="363">
        <v>-75000</v>
      </c>
      <c r="AE149" s="363">
        <v>-75000</v>
      </c>
      <c r="AF149" s="363">
        <v>-75000</v>
      </c>
      <c r="AG149" s="363">
        <v>-75000</v>
      </c>
      <c r="AH149" s="360">
        <f t="shared" si="11"/>
        <v>-609032.7300000001</v>
      </c>
      <c r="AI149" s="362">
        <f>ERP_5[[#This Row],[2026 Working Total]]-ERP_5[[#This Row],[LE2 Final Submission]]</f>
        <v>-21912.000000000116</v>
      </c>
      <c r="AJ149" s="79">
        <v>-6440</v>
      </c>
      <c r="AK149" s="79">
        <f t="shared" si="10"/>
        <v>-135824</v>
      </c>
      <c r="AL149" s="374">
        <f>SUM(ERP_5[[#This Row],[AP01]:[AP06]])-SUM(ERP_5[[#This Row],[AP01 LE2]:[AP06 LE2]])</f>
        <v>-43872.000000000058</v>
      </c>
      <c r="AM149" s="80"/>
      <c r="AN149" s="79">
        <f>ERP_5[[#This Row],[2026 Working Total to Budget/LE]]-ERP_5[[#This Row],[Giveback]]</f>
        <v>-21912.000000000116</v>
      </c>
      <c r="AO149" s="81"/>
      <c r="AP149" s="375"/>
      <c r="AQ149" s="375">
        <v>-20640.86</v>
      </c>
      <c r="AR149" s="375">
        <v>-10639.87</v>
      </c>
      <c r="AS149" s="375">
        <v>-55600</v>
      </c>
      <c r="AT149" s="375">
        <v>-6440</v>
      </c>
      <c r="AU149" s="375">
        <v>-43800</v>
      </c>
      <c r="AV149" s="375">
        <v>-75000</v>
      </c>
      <c r="AW149" s="375">
        <v>-75000</v>
      </c>
      <c r="AX149" s="375">
        <v>-75000</v>
      </c>
      <c r="AY149" s="375">
        <v>-75000</v>
      </c>
      <c r="AZ149" s="375">
        <v>-75000</v>
      </c>
      <c r="BA149" s="375">
        <v>-75000</v>
      </c>
      <c r="BB149" s="375">
        <v>-587120.73</v>
      </c>
      <c r="BC149" s="79"/>
      <c r="BD149" s="79">
        <v>-20640.86</v>
      </c>
      <c r="BE149" s="79">
        <v>-10639.87</v>
      </c>
      <c r="BF149" s="79">
        <v>-54600</v>
      </c>
      <c r="BG149" s="79">
        <v>-50000</v>
      </c>
      <c r="BH149" s="79">
        <v>-33840</v>
      </c>
      <c r="BI149" s="79">
        <v>-75000</v>
      </c>
      <c r="BJ149" s="79">
        <v>-75000</v>
      </c>
      <c r="BK149" s="79">
        <v>-75000</v>
      </c>
      <c r="BL149" s="79">
        <v>-75000</v>
      </c>
      <c r="BM149" s="79">
        <v>-75000</v>
      </c>
      <c r="BN149" s="79">
        <v>-75000</v>
      </c>
      <c r="BO149" s="79">
        <v>-619720.73</v>
      </c>
    </row>
    <row r="150" spans="1:67" ht="15" customHeight="1">
      <c r="A150" s="66" t="s">
        <v>1154</v>
      </c>
      <c r="B150" s="66" t="s">
        <v>1155</v>
      </c>
      <c r="C150" s="150" t="s">
        <v>1136</v>
      </c>
      <c r="D150" s="150" t="s">
        <v>1135</v>
      </c>
      <c r="E150" s="150" t="s">
        <v>1156</v>
      </c>
      <c r="F150" s="150" t="s">
        <v>1137</v>
      </c>
      <c r="G150" s="511" t="s">
        <v>49</v>
      </c>
      <c r="H150" s="392" t="s">
        <v>1147</v>
      </c>
      <c r="I150" s="343"/>
      <c r="J150" s="343"/>
      <c r="K150" s="70" t="s">
        <v>53</v>
      </c>
      <c r="L150" s="346" t="s">
        <v>1153</v>
      </c>
      <c r="M150" s="343"/>
      <c r="N150" s="346"/>
      <c r="O150" s="150" t="s">
        <v>25</v>
      </c>
      <c r="P150" s="526" t="s">
        <v>1158</v>
      </c>
      <c r="Q150" s="403"/>
      <c r="R150" s="406">
        <v>0</v>
      </c>
      <c r="S150" s="406">
        <v>-1440</v>
      </c>
      <c r="T150" s="425"/>
      <c r="U150" s="71"/>
      <c r="V150" s="426"/>
      <c r="W150" s="427">
        <v>-1440</v>
      </c>
      <c r="X150" s="431">
        <v>0</v>
      </c>
      <c r="Y150" s="428">
        <v>0</v>
      </c>
      <c r="Z150" s="429">
        <v>0</v>
      </c>
      <c r="AA150" s="429">
        <v>-18000</v>
      </c>
      <c r="AB150" s="360">
        <v>0</v>
      </c>
      <c r="AC150" s="360">
        <v>0</v>
      </c>
      <c r="AD150" s="360">
        <v>0</v>
      </c>
      <c r="AE150" s="360">
        <v>0</v>
      </c>
      <c r="AF150" s="360">
        <v>0</v>
      </c>
      <c r="AG150" s="360">
        <v>0</v>
      </c>
      <c r="AH150" s="360">
        <f t="shared" si="11"/>
        <v>-19440</v>
      </c>
      <c r="AI150" s="362">
        <f>ERP_5[[#This Row],[2026 Working Total]]-ERP_5[[#This Row],[LE2 Final Submission]]</f>
        <v>-18000</v>
      </c>
      <c r="AJ150" s="79">
        <v>0</v>
      </c>
      <c r="AK150" s="79">
        <f t="shared" si="10"/>
        <v>-18000</v>
      </c>
      <c r="AL150" s="374">
        <f>SUM(ERP_5[[#This Row],[AP01]:[AP06]])-SUM(ERP_5[[#This Row],[AP01 LE2]:[AP06 LE2]])</f>
        <v>-18000</v>
      </c>
      <c r="AM150" s="80"/>
      <c r="AN150" s="79">
        <f>ERP_5[[#This Row],[2026 Working Total to Budget/LE]]-ERP_5[[#This Row],[Giveback]]</f>
        <v>-18000</v>
      </c>
      <c r="AO150" s="81"/>
      <c r="AP150" s="375"/>
      <c r="AQ150" s="375">
        <v>-1440</v>
      </c>
      <c r="AR150" s="375">
        <v>0</v>
      </c>
      <c r="AS150" s="375">
        <v>0</v>
      </c>
      <c r="AT150" s="375">
        <v>0</v>
      </c>
      <c r="AU150" s="375">
        <v>0</v>
      </c>
      <c r="AV150" s="375">
        <v>0</v>
      </c>
      <c r="AW150" s="375">
        <v>0</v>
      </c>
      <c r="AX150" s="375">
        <v>0</v>
      </c>
      <c r="AY150" s="375">
        <v>0</v>
      </c>
      <c r="AZ150" s="375">
        <v>0</v>
      </c>
      <c r="BA150" s="375">
        <v>0</v>
      </c>
      <c r="BB150" s="375">
        <v>-1440</v>
      </c>
      <c r="BC150" s="79"/>
      <c r="BD150" s="79">
        <v>-1440</v>
      </c>
      <c r="BE150" s="79">
        <v>0</v>
      </c>
      <c r="BF150" s="79">
        <v>0</v>
      </c>
      <c r="BG150" s="79">
        <v>0</v>
      </c>
      <c r="BH150" s="79">
        <v>0</v>
      </c>
      <c r="BI150" s="79">
        <v>0</v>
      </c>
      <c r="BJ150" s="79">
        <v>0</v>
      </c>
      <c r="BK150" s="79">
        <v>0</v>
      </c>
      <c r="BL150" s="79">
        <v>0</v>
      </c>
      <c r="BM150" s="79">
        <v>0</v>
      </c>
      <c r="BN150" s="79">
        <v>0</v>
      </c>
      <c r="BO150" s="79">
        <v>-1440</v>
      </c>
    </row>
    <row r="151" spans="1:67" ht="15" customHeight="1">
      <c r="A151" s="66" t="s">
        <v>1159</v>
      </c>
      <c r="B151" s="66" t="s">
        <v>1160</v>
      </c>
      <c r="C151" s="150" t="s">
        <v>1136</v>
      </c>
      <c r="D151" s="150" t="s">
        <v>1135</v>
      </c>
      <c r="E151" s="150" t="s">
        <v>1161</v>
      </c>
      <c r="F151" s="150" t="s">
        <v>1137</v>
      </c>
      <c r="G151" s="511" t="s">
        <v>49</v>
      </c>
      <c r="H151" s="392" t="s">
        <v>1147</v>
      </c>
      <c r="I151" s="343"/>
      <c r="J151" s="343"/>
      <c r="K151" s="70" t="s">
        <v>53</v>
      </c>
      <c r="L151" s="346" t="s">
        <v>1153</v>
      </c>
      <c r="M151" s="343"/>
      <c r="N151" s="346"/>
      <c r="O151" s="150" t="s">
        <v>25</v>
      </c>
      <c r="P151" s="150" t="s">
        <v>1162</v>
      </c>
      <c r="Q151" s="403"/>
      <c r="R151" s="406">
        <v>0</v>
      </c>
      <c r="S151" s="406">
        <v>-68766</v>
      </c>
      <c r="T151" s="425"/>
      <c r="U151" s="71"/>
      <c r="V151" s="426"/>
      <c r="W151" s="427">
        <v>-57216</v>
      </c>
      <c r="X151" s="427">
        <v>-11550</v>
      </c>
      <c r="Y151" s="428" t="s">
        <v>1142</v>
      </c>
      <c r="Z151" s="429">
        <v>0</v>
      </c>
      <c r="AA151" s="429">
        <v>0</v>
      </c>
      <c r="AB151" s="360">
        <v>0</v>
      </c>
      <c r="AC151" s="360">
        <v>0</v>
      </c>
      <c r="AD151" s="360">
        <v>0</v>
      </c>
      <c r="AE151" s="360">
        <v>0</v>
      </c>
      <c r="AF151" s="360">
        <v>0</v>
      </c>
      <c r="AG151" s="360">
        <v>0</v>
      </c>
      <c r="AH151" s="360">
        <f t="shared" si="11"/>
        <v>-68766</v>
      </c>
      <c r="AI151" s="362">
        <f>ERP_5[[#This Row],[2026 Working Total]]-ERP_5[[#This Row],[LE2 Final Submission]]</f>
        <v>0</v>
      </c>
      <c r="AJ151" s="79">
        <v>0</v>
      </c>
      <c r="AK151" s="79">
        <f t="shared" si="10"/>
        <v>0</v>
      </c>
      <c r="AL151" s="374">
        <f>SUM(ERP_5[[#This Row],[AP01]:[AP06]])-SUM(ERP_5[[#This Row],[AP01 LE2]:[AP06 LE2]])</f>
        <v>0</v>
      </c>
      <c r="AM151" s="80"/>
      <c r="AN151" s="79">
        <f>ERP_5[[#This Row],[2026 Working Total to Budget/LE]]-ERP_5[[#This Row],[Giveback]]</f>
        <v>0</v>
      </c>
      <c r="AO151" s="81"/>
      <c r="AP151" s="375"/>
      <c r="AQ151" s="375">
        <v>-57216</v>
      </c>
      <c r="AR151" s="375">
        <v>-11550</v>
      </c>
      <c r="AS151" s="375">
        <v>0</v>
      </c>
      <c r="AT151" s="375">
        <v>0</v>
      </c>
      <c r="AU151" s="375">
        <v>0</v>
      </c>
      <c r="AV151" s="375">
        <v>0</v>
      </c>
      <c r="AW151" s="375">
        <v>0</v>
      </c>
      <c r="AX151" s="375">
        <v>0</v>
      </c>
      <c r="AY151" s="375">
        <v>0</v>
      </c>
      <c r="AZ151" s="375">
        <v>0</v>
      </c>
      <c r="BA151" s="375">
        <v>0</v>
      </c>
      <c r="BB151" s="375">
        <v>-68766</v>
      </c>
      <c r="BC151" s="79"/>
      <c r="BD151" s="79">
        <v>-57216</v>
      </c>
      <c r="BE151" s="79">
        <v>-11550</v>
      </c>
      <c r="BF151" s="79">
        <v>0</v>
      </c>
      <c r="BG151" s="79">
        <v>0</v>
      </c>
      <c r="BH151" s="79">
        <v>0</v>
      </c>
      <c r="BI151" s="79">
        <v>0</v>
      </c>
      <c r="BJ151" s="79">
        <v>0</v>
      </c>
      <c r="BK151" s="79">
        <v>0</v>
      </c>
      <c r="BL151" s="79">
        <v>0</v>
      </c>
      <c r="BM151" s="79">
        <v>0</v>
      </c>
      <c r="BN151" s="79">
        <v>0</v>
      </c>
      <c r="BO151" s="79">
        <v>-68766</v>
      </c>
    </row>
    <row r="152" spans="1:67" ht="15" customHeight="1">
      <c r="A152" s="66" t="s">
        <v>1649</v>
      </c>
      <c r="B152" s="66" t="s">
        <v>324</v>
      </c>
      <c r="C152" s="150" t="s">
        <v>1136</v>
      </c>
      <c r="D152" s="150" t="s">
        <v>1650</v>
      </c>
      <c r="E152" s="150" t="s">
        <v>1650</v>
      </c>
      <c r="F152" s="150" t="s">
        <v>1650</v>
      </c>
      <c r="G152" s="511" t="s">
        <v>49</v>
      </c>
      <c r="H152" s="392" t="s">
        <v>1147</v>
      </c>
      <c r="I152" s="343"/>
      <c r="J152" s="343"/>
      <c r="K152" s="70" t="s">
        <v>53</v>
      </c>
      <c r="L152" s="346" t="s">
        <v>1153</v>
      </c>
      <c r="M152" s="343"/>
      <c r="N152" s="346"/>
      <c r="O152" s="150" t="s">
        <v>25</v>
      </c>
      <c r="P152" s="150" t="s">
        <v>1652</v>
      </c>
      <c r="Q152" s="403"/>
      <c r="R152" s="406">
        <v>-99996</v>
      </c>
      <c r="S152" s="406">
        <v>-82720</v>
      </c>
      <c r="T152" s="425"/>
      <c r="U152" s="71"/>
      <c r="V152" s="426"/>
      <c r="W152" s="427">
        <v>-54900</v>
      </c>
      <c r="X152" s="427">
        <f>27080-54900</f>
        <v>-27820</v>
      </c>
      <c r="Y152" s="428">
        <v>28331</v>
      </c>
      <c r="Z152" s="429">
        <v>34717</v>
      </c>
      <c r="AA152" s="429">
        <v>17146.999999999996</v>
      </c>
      <c r="AB152" s="363">
        <v>0</v>
      </c>
      <c r="AC152" s="363">
        <v>0</v>
      </c>
      <c r="AD152" s="363">
        <v>0</v>
      </c>
      <c r="AE152" s="363">
        <v>0</v>
      </c>
      <c r="AF152" s="363">
        <v>0</v>
      </c>
      <c r="AG152" s="363">
        <v>0</v>
      </c>
      <c r="AH152" s="360">
        <f t="shared" si="11"/>
        <v>-2525.0000000000036</v>
      </c>
      <c r="AI152" s="362">
        <f>ERP_5[[#This Row],[2026 Working Total]]-ERP_5[[#This Row],[LE2 Final Submission]]</f>
        <v>80195</v>
      </c>
      <c r="AJ152" s="79">
        <v>0</v>
      </c>
      <c r="AK152" s="79">
        <f t="shared" si="10"/>
        <v>17146.999999999996</v>
      </c>
      <c r="AL152" s="374">
        <f>SUM(ERP_5[[#This Row],[AP01]:[AP06]])-SUM(ERP_5[[#This Row],[AP01 LE2]:[AP06 LE2]])</f>
        <v>80195</v>
      </c>
      <c r="AM152" s="80"/>
      <c r="AN152" s="79">
        <f>ERP_5[[#This Row],[2026 Working Total to Budget/LE]]-ERP_5[[#This Row],[Giveback]]</f>
        <v>80195</v>
      </c>
      <c r="AO152" s="81"/>
      <c r="AP152" s="375"/>
      <c r="AQ152" s="375">
        <v>-54900</v>
      </c>
      <c r="AR152" s="375">
        <v>-27820</v>
      </c>
      <c r="AS152" s="375">
        <v>0</v>
      </c>
      <c r="AT152" s="375">
        <v>0</v>
      </c>
      <c r="AU152" s="375">
        <v>0</v>
      </c>
      <c r="AV152" s="375">
        <v>0</v>
      </c>
      <c r="AW152" s="375">
        <v>0</v>
      </c>
      <c r="AX152" s="375">
        <v>0</v>
      </c>
      <c r="AY152" s="375">
        <v>0</v>
      </c>
      <c r="AZ152" s="375">
        <v>0</v>
      </c>
      <c r="BA152" s="375">
        <v>0</v>
      </c>
      <c r="BB152" s="375">
        <v>-82720</v>
      </c>
      <c r="BC152" s="79"/>
      <c r="BD152" s="79">
        <v>-54900</v>
      </c>
      <c r="BE152" s="79">
        <v>27080</v>
      </c>
      <c r="BF152" s="79">
        <v>-8333</v>
      </c>
      <c r="BG152" s="79">
        <v>-8333</v>
      </c>
      <c r="BH152" s="79">
        <v>-8333</v>
      </c>
      <c r="BI152" s="79">
        <v>-8333</v>
      </c>
      <c r="BJ152" s="79">
        <v>-8333</v>
      </c>
      <c r="BK152" s="79">
        <v>-8333</v>
      </c>
      <c r="BL152" s="79">
        <v>-8333</v>
      </c>
      <c r="BM152" s="79">
        <v>-8333</v>
      </c>
      <c r="BN152" s="79">
        <v>-8333</v>
      </c>
      <c r="BO152" s="79">
        <v>-102817</v>
      </c>
    </row>
    <row r="153" spans="1:67" ht="15" customHeight="1">
      <c r="A153" s="66" t="s">
        <v>1478</v>
      </c>
      <c r="B153" s="66" t="s">
        <v>1479</v>
      </c>
      <c r="C153" s="150" t="s">
        <v>1136</v>
      </c>
      <c r="D153" s="150" t="s">
        <v>1345</v>
      </c>
      <c r="E153" s="150" t="s">
        <v>1481</v>
      </c>
      <c r="F153" s="150" t="s">
        <v>1346</v>
      </c>
      <c r="G153" s="511" t="s">
        <v>49</v>
      </c>
      <c r="H153" s="392" t="s">
        <v>1147</v>
      </c>
      <c r="I153" s="343"/>
      <c r="J153" s="343"/>
      <c r="K153" s="70" t="s">
        <v>53</v>
      </c>
      <c r="L153" s="346" t="s">
        <v>1153</v>
      </c>
      <c r="M153" s="343"/>
      <c r="N153" s="346"/>
      <c r="O153" s="150" t="s">
        <v>25</v>
      </c>
      <c r="P153" s="150" t="s">
        <v>1483</v>
      </c>
      <c r="Q153" s="403"/>
      <c r="R153" s="406">
        <v>0</v>
      </c>
      <c r="S153" s="406">
        <v>0</v>
      </c>
      <c r="T153" s="425"/>
      <c r="U153" s="71"/>
      <c r="V153" s="426">
        <v>279973</v>
      </c>
      <c r="W153" s="427">
        <v>-451174</v>
      </c>
      <c r="X153" s="427">
        <v>173459</v>
      </c>
      <c r="Y153" s="428">
        <v>771452.00000000012</v>
      </c>
      <c r="Z153" s="429">
        <v>-143797.00000000006</v>
      </c>
      <c r="AA153" s="429">
        <v>-449247</v>
      </c>
      <c r="AB153" s="360">
        <v>0</v>
      </c>
      <c r="AC153" s="360">
        <v>0</v>
      </c>
      <c r="AD153" s="360">
        <v>0</v>
      </c>
      <c r="AE153" s="360">
        <v>0</v>
      </c>
      <c r="AF153" s="360">
        <v>0</v>
      </c>
      <c r="AG153" s="360">
        <v>0</v>
      </c>
      <c r="AH153" s="360">
        <f t="shared" si="11"/>
        <v>180666</v>
      </c>
      <c r="AI153" s="362">
        <f>ERP_5[[#This Row],[2026 Working Total]]-ERP_5[[#This Row],[LE2 Final Submission]]</f>
        <v>180666</v>
      </c>
      <c r="AJ153" s="79">
        <v>-773710</v>
      </c>
      <c r="AK153" s="79">
        <f t="shared" si="10"/>
        <v>324463</v>
      </c>
      <c r="AL153" s="374">
        <f>SUM(ERP_5[[#This Row],[AP01]:[AP06]])-SUM(ERP_5[[#This Row],[AP01 LE2]:[AP06 LE2]])</f>
        <v>180666</v>
      </c>
      <c r="AM153" s="80"/>
      <c r="AN153" s="79">
        <f>ERP_5[[#This Row],[2026 Working Total to Budget/LE]]-ERP_5[[#This Row],[Giveback]]</f>
        <v>180666</v>
      </c>
      <c r="AO153" s="81"/>
      <c r="AP153" s="375">
        <v>279973</v>
      </c>
      <c r="AQ153" s="375">
        <v>-451174</v>
      </c>
      <c r="AR153" s="375">
        <v>173459</v>
      </c>
      <c r="AS153" s="375">
        <v>771452</v>
      </c>
      <c r="AT153" s="375">
        <v>-773710</v>
      </c>
      <c r="AU153" s="375">
        <v>0</v>
      </c>
      <c r="AV153" s="375">
        <v>0</v>
      </c>
      <c r="AW153" s="375">
        <v>0</v>
      </c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79">
        <v>279973</v>
      </c>
      <c r="BD153" s="79">
        <v>-451174</v>
      </c>
      <c r="BE153" s="79">
        <v>173459</v>
      </c>
      <c r="BF153" s="79">
        <v>0</v>
      </c>
      <c r="BG153" s="79">
        <v>51201</v>
      </c>
      <c r="BH153" s="79">
        <v>0</v>
      </c>
      <c r="BI153" s="79">
        <v>0</v>
      </c>
      <c r="BJ153" s="79">
        <v>0</v>
      </c>
      <c r="BK153" s="79">
        <v>0</v>
      </c>
      <c r="BL153" s="79">
        <v>0</v>
      </c>
      <c r="BM153" s="79">
        <v>0</v>
      </c>
      <c r="BN153" s="79">
        <v>0</v>
      </c>
      <c r="BO153" s="79">
        <v>53459</v>
      </c>
    </row>
    <row r="154" spans="1:67" ht="15" customHeight="1">
      <c r="A154" s="66" t="s">
        <v>2047</v>
      </c>
      <c r="B154" s="66" t="s">
        <v>2048</v>
      </c>
      <c r="C154" s="150" t="s">
        <v>1136</v>
      </c>
      <c r="D154" s="150" t="s">
        <v>1345</v>
      </c>
      <c r="E154" s="150" t="s">
        <v>1481</v>
      </c>
      <c r="F154" s="150" t="s">
        <v>1346</v>
      </c>
      <c r="G154" s="511" t="s">
        <v>389</v>
      </c>
      <c r="H154" s="392" t="s">
        <v>1147</v>
      </c>
      <c r="I154" s="343"/>
      <c r="J154" s="343"/>
      <c r="K154" s="70" t="s">
        <v>53</v>
      </c>
      <c r="L154" s="346" t="s">
        <v>1153</v>
      </c>
      <c r="M154" s="343"/>
      <c r="N154" s="346"/>
      <c r="O154" s="150" t="s">
        <v>25</v>
      </c>
      <c r="P154" s="473" t="s">
        <v>1513</v>
      </c>
      <c r="Q154" s="403"/>
      <c r="R154" s="406">
        <v>0</v>
      </c>
      <c r="S154" s="406">
        <v>2360</v>
      </c>
      <c r="T154" s="425"/>
      <c r="U154" s="71"/>
      <c r="V154" s="426"/>
      <c r="W154" s="427">
        <v>2180</v>
      </c>
      <c r="X154" s="427">
        <v>180</v>
      </c>
      <c r="Y154" s="428">
        <v>180</v>
      </c>
      <c r="Z154" s="429">
        <v>180</v>
      </c>
      <c r="AA154" s="429">
        <v>60</v>
      </c>
      <c r="AB154" s="360">
        <v>0</v>
      </c>
      <c r="AC154" s="360">
        <v>0</v>
      </c>
      <c r="AD154" s="360">
        <v>0</v>
      </c>
      <c r="AE154" s="360">
        <v>0</v>
      </c>
      <c r="AF154" s="360">
        <v>0</v>
      </c>
      <c r="AG154" s="360">
        <v>0</v>
      </c>
      <c r="AH154" s="360">
        <f t="shared" si="11"/>
        <v>2780</v>
      </c>
      <c r="AI154" s="362">
        <f>ERP_5[[#This Row],[2026 Working Total]]-ERP_5[[#This Row],[LE2 Final Submission]]</f>
        <v>420</v>
      </c>
      <c r="AJ154" s="79">
        <v>0</v>
      </c>
      <c r="AK154" s="79">
        <f t="shared" si="10"/>
        <v>60</v>
      </c>
      <c r="AL154" s="374">
        <f>SUM(ERP_5[[#This Row],[AP01]:[AP06]])-SUM(ERP_5[[#This Row],[AP01 LE2]:[AP06 LE2]])</f>
        <v>420</v>
      </c>
      <c r="AM154" s="80"/>
      <c r="AN154" s="79">
        <f>ERP_5[[#This Row],[2026 Working Total to Budget/LE]]-ERP_5[[#This Row],[Giveback]]</f>
        <v>420</v>
      </c>
      <c r="AO154" s="81"/>
      <c r="AP154" s="375"/>
      <c r="AQ154" s="375">
        <v>2180</v>
      </c>
      <c r="AR154" s="375">
        <v>180</v>
      </c>
      <c r="AS154" s="375">
        <v>0</v>
      </c>
      <c r="AT154" s="375">
        <v>0</v>
      </c>
      <c r="AU154" s="375">
        <v>0</v>
      </c>
      <c r="AV154" s="375">
        <v>0</v>
      </c>
      <c r="AW154" s="375">
        <v>0</v>
      </c>
      <c r="AX154" s="375">
        <v>0</v>
      </c>
      <c r="AY154" s="375">
        <v>0</v>
      </c>
      <c r="AZ154" s="375">
        <v>0</v>
      </c>
      <c r="BA154" s="375">
        <v>0</v>
      </c>
      <c r="BB154" s="375">
        <v>2360</v>
      </c>
      <c r="BC154" s="79"/>
      <c r="BD154" s="79">
        <v>2180</v>
      </c>
      <c r="BE154" s="79">
        <v>180</v>
      </c>
      <c r="BF154" s="79">
        <v>0</v>
      </c>
      <c r="BG154" s="79">
        <v>0</v>
      </c>
      <c r="BH154" s="79">
        <v>0</v>
      </c>
      <c r="BI154" s="79">
        <v>0</v>
      </c>
      <c r="BJ154" s="79">
        <v>0</v>
      </c>
      <c r="BK154" s="79">
        <v>0</v>
      </c>
      <c r="BL154" s="79">
        <v>0</v>
      </c>
      <c r="BM154" s="79">
        <v>0</v>
      </c>
      <c r="BN154" s="79">
        <v>0</v>
      </c>
      <c r="BO154" s="79">
        <v>2360</v>
      </c>
    </row>
    <row r="155" spans="1:67" ht="15" customHeight="1">
      <c r="A155" s="66" t="s">
        <v>2715</v>
      </c>
      <c r="B155" s="66" t="s">
        <v>2716</v>
      </c>
      <c r="C155" s="150" t="s">
        <v>1136</v>
      </c>
      <c r="D155" s="150" t="s">
        <v>1345</v>
      </c>
      <c r="E155" s="150" t="s">
        <v>1481</v>
      </c>
      <c r="F155" s="150" t="s">
        <v>1346</v>
      </c>
      <c r="G155" s="511" t="s">
        <v>639</v>
      </c>
      <c r="H155" s="392" t="s">
        <v>1147</v>
      </c>
      <c r="I155" s="343"/>
      <c r="J155" s="343"/>
      <c r="K155" s="70" t="s">
        <v>53</v>
      </c>
      <c r="L155" s="346" t="s">
        <v>1153</v>
      </c>
      <c r="M155" s="346" t="s">
        <v>1140</v>
      </c>
      <c r="N155" s="346"/>
      <c r="O155" s="150" t="s">
        <v>25</v>
      </c>
      <c r="P155" s="473" t="s">
        <v>1513</v>
      </c>
      <c r="Q155" s="403"/>
      <c r="R155" s="406">
        <v>0</v>
      </c>
      <c r="S155" s="406">
        <v>1520</v>
      </c>
      <c r="T155" s="425"/>
      <c r="U155" s="71"/>
      <c r="V155" s="426"/>
      <c r="W155" s="427">
        <v>1520</v>
      </c>
      <c r="X155" s="431">
        <v>0</v>
      </c>
      <c r="Y155" s="428">
        <v>0</v>
      </c>
      <c r="Z155" s="429">
        <v>0</v>
      </c>
      <c r="AA155" s="429">
        <v>0</v>
      </c>
      <c r="AB155" s="360">
        <v>0</v>
      </c>
      <c r="AC155" s="360">
        <v>0</v>
      </c>
      <c r="AD155" s="360">
        <v>0</v>
      </c>
      <c r="AE155" s="360">
        <v>0</v>
      </c>
      <c r="AF155" s="360">
        <v>0</v>
      </c>
      <c r="AG155" s="360">
        <v>0</v>
      </c>
      <c r="AH155" s="360">
        <f t="shared" si="11"/>
        <v>1520</v>
      </c>
      <c r="AI155" s="362">
        <f>ERP_5[[#This Row],[2026 Working Total]]-ERP_5[[#This Row],[LE2 Final Submission]]</f>
        <v>0</v>
      </c>
      <c r="AJ155" s="79">
        <v>0</v>
      </c>
      <c r="AK155" s="79">
        <f t="shared" si="10"/>
        <v>0</v>
      </c>
      <c r="AL155" s="374">
        <f>SUM(ERP_5[[#This Row],[AP01]:[AP06]])-SUM(ERP_5[[#This Row],[AP01 LE2]:[AP06 LE2]])</f>
        <v>0</v>
      </c>
      <c r="AM155" s="80"/>
      <c r="AN155" s="79">
        <f>ERP_5[[#This Row],[2026 Working Total to Budget/LE]]-ERP_5[[#This Row],[Giveback]]</f>
        <v>0</v>
      </c>
      <c r="AO155" s="81"/>
      <c r="AP155" s="375"/>
      <c r="AQ155" s="375">
        <v>1520</v>
      </c>
      <c r="AR155" s="375">
        <v>0</v>
      </c>
      <c r="AS155" s="375">
        <v>0</v>
      </c>
      <c r="AT155" s="375">
        <v>0</v>
      </c>
      <c r="AU155" s="375">
        <v>0</v>
      </c>
      <c r="AV155" s="375">
        <v>0</v>
      </c>
      <c r="AW155" s="375">
        <v>0</v>
      </c>
      <c r="AX155" s="375">
        <v>0</v>
      </c>
      <c r="AY155" s="375">
        <v>0</v>
      </c>
      <c r="AZ155" s="375">
        <v>0</v>
      </c>
      <c r="BA155" s="375">
        <v>0</v>
      </c>
      <c r="BB155" s="375">
        <v>1520</v>
      </c>
      <c r="BC155" s="79"/>
      <c r="BD155" s="79">
        <v>1520</v>
      </c>
      <c r="BE155" s="79">
        <v>0</v>
      </c>
      <c r="BF155" s="79">
        <v>0</v>
      </c>
      <c r="BG155" s="79">
        <v>0</v>
      </c>
      <c r="BH155" s="79">
        <v>0</v>
      </c>
      <c r="BI155" s="79">
        <v>0</v>
      </c>
      <c r="BJ155" s="79">
        <v>0</v>
      </c>
      <c r="BK155" s="79">
        <v>0</v>
      </c>
      <c r="BL155" s="79">
        <v>0</v>
      </c>
      <c r="BM155" s="79">
        <v>0</v>
      </c>
      <c r="BN155" s="79">
        <v>0</v>
      </c>
      <c r="BO155" s="79">
        <v>1520</v>
      </c>
    </row>
    <row r="156" spans="1:67" ht="15" customHeight="1">
      <c r="A156" s="66" t="s">
        <v>2257</v>
      </c>
      <c r="B156" s="66" t="s">
        <v>2258</v>
      </c>
      <c r="C156" s="150" t="s">
        <v>1136</v>
      </c>
      <c r="D156" s="150" t="s">
        <v>1135</v>
      </c>
      <c r="E156" s="150" t="s">
        <v>1161</v>
      </c>
      <c r="F156" s="150" t="s">
        <v>1137</v>
      </c>
      <c r="G156" s="511" t="s">
        <v>639</v>
      </c>
      <c r="H156" s="392" t="s">
        <v>1147</v>
      </c>
      <c r="I156" s="343"/>
      <c r="J156" s="343"/>
      <c r="K156" s="70" t="s">
        <v>53</v>
      </c>
      <c r="L156" s="346" t="s">
        <v>1153</v>
      </c>
      <c r="M156" s="346" t="s">
        <v>1140</v>
      </c>
      <c r="N156" s="346"/>
      <c r="O156" s="150" t="s">
        <v>25</v>
      </c>
      <c r="P156" s="150" t="s">
        <v>2259</v>
      </c>
      <c r="Q156" s="403"/>
      <c r="R156" s="406">
        <v>0</v>
      </c>
      <c r="S156" s="406">
        <v>227</v>
      </c>
      <c r="T156" s="425"/>
      <c r="U156" s="71"/>
      <c r="V156" s="426"/>
      <c r="W156" s="427">
        <v>227</v>
      </c>
      <c r="X156" s="431">
        <v>0</v>
      </c>
      <c r="Y156" s="428" t="s">
        <v>1142</v>
      </c>
      <c r="Z156" s="429">
        <v>0</v>
      </c>
      <c r="AA156" s="429">
        <v>0</v>
      </c>
      <c r="AB156" s="360">
        <v>0</v>
      </c>
      <c r="AC156" s="360">
        <v>0</v>
      </c>
      <c r="AD156" s="360">
        <v>0</v>
      </c>
      <c r="AE156" s="360">
        <v>0</v>
      </c>
      <c r="AF156" s="360">
        <v>0</v>
      </c>
      <c r="AG156" s="360">
        <v>0</v>
      </c>
      <c r="AH156" s="360">
        <f t="shared" si="11"/>
        <v>227</v>
      </c>
      <c r="AI156" s="362">
        <f>ERP_5[[#This Row],[2026 Working Total]]-ERP_5[[#This Row],[LE2 Final Submission]]</f>
        <v>0</v>
      </c>
      <c r="AJ156" s="79">
        <v>0</v>
      </c>
      <c r="AK156" s="79">
        <f t="shared" si="10"/>
        <v>0</v>
      </c>
      <c r="AL156" s="374">
        <f>SUM(ERP_5[[#This Row],[AP01]:[AP06]])-SUM(ERP_5[[#This Row],[AP01 LE2]:[AP06 LE2]])</f>
        <v>0</v>
      </c>
      <c r="AM156" s="80"/>
      <c r="AN156" s="79">
        <f>ERP_5[[#This Row],[2026 Working Total to Budget/LE]]-ERP_5[[#This Row],[Giveback]]</f>
        <v>0</v>
      </c>
      <c r="AO156" s="81"/>
      <c r="AP156" s="375"/>
      <c r="AQ156" s="375">
        <v>227</v>
      </c>
      <c r="AR156" s="375">
        <v>0</v>
      </c>
      <c r="AS156" s="375">
        <v>0</v>
      </c>
      <c r="AT156" s="375">
        <v>0</v>
      </c>
      <c r="AU156" s="375">
        <v>0</v>
      </c>
      <c r="AV156" s="375">
        <v>0</v>
      </c>
      <c r="AW156" s="375">
        <v>0</v>
      </c>
      <c r="AX156" s="375">
        <v>0</v>
      </c>
      <c r="AY156" s="375">
        <v>0</v>
      </c>
      <c r="AZ156" s="375">
        <v>0</v>
      </c>
      <c r="BA156" s="375">
        <v>0</v>
      </c>
      <c r="BB156" s="375">
        <v>227</v>
      </c>
      <c r="BC156" s="79"/>
      <c r="BD156" s="79">
        <v>227</v>
      </c>
      <c r="BE156" s="79">
        <v>0</v>
      </c>
      <c r="BF156" s="79">
        <v>0</v>
      </c>
      <c r="BG156" s="79">
        <v>0</v>
      </c>
      <c r="BH156" s="79">
        <v>0</v>
      </c>
      <c r="BI156" s="79">
        <v>0</v>
      </c>
      <c r="BJ156" s="79">
        <v>0</v>
      </c>
      <c r="BK156" s="79">
        <v>0</v>
      </c>
      <c r="BL156" s="79">
        <v>0</v>
      </c>
      <c r="BM156" s="79">
        <v>0</v>
      </c>
      <c r="BN156" s="79">
        <v>0</v>
      </c>
      <c r="BO156" s="79">
        <v>227</v>
      </c>
    </row>
    <row r="157" spans="1:67" ht="15" customHeight="1">
      <c r="A157" s="66" t="s">
        <v>2094</v>
      </c>
      <c r="B157" s="66" t="s">
        <v>2095</v>
      </c>
      <c r="C157" s="150" t="s">
        <v>1136</v>
      </c>
      <c r="D157" s="150" t="s">
        <v>1345</v>
      </c>
      <c r="E157" s="150" t="s">
        <v>1346</v>
      </c>
      <c r="F157" s="150" t="s">
        <v>1346</v>
      </c>
      <c r="G157" s="511" t="s">
        <v>389</v>
      </c>
      <c r="H157" s="392" t="s">
        <v>1174</v>
      </c>
      <c r="I157" s="343"/>
      <c r="J157" s="343"/>
      <c r="K157" s="70" t="s">
        <v>56</v>
      </c>
      <c r="L157" s="346"/>
      <c r="M157" s="346" t="s">
        <v>1140</v>
      </c>
      <c r="N157" s="346"/>
      <c r="O157" s="150" t="s">
        <v>57</v>
      </c>
      <c r="P157" s="150"/>
      <c r="Q157" s="403"/>
      <c r="R157" s="406">
        <v>19212</v>
      </c>
      <c r="S157" s="406">
        <v>19118.86</v>
      </c>
      <c r="T157" s="425"/>
      <c r="U157" s="71"/>
      <c r="V157" s="426">
        <v>1556.11</v>
      </c>
      <c r="W157" s="427">
        <v>1531.5</v>
      </c>
      <c r="X157" s="427">
        <v>1622.25</v>
      </c>
      <c r="Y157" s="428">
        <v>1712.9899999999998</v>
      </c>
      <c r="Z157" s="429">
        <v>1903.18</v>
      </c>
      <c r="AA157" s="429">
        <v>456.33000000000004</v>
      </c>
      <c r="AB157" s="363">
        <v>1601</v>
      </c>
      <c r="AC157" s="363">
        <v>1601</v>
      </c>
      <c r="AD157" s="363">
        <v>1601</v>
      </c>
      <c r="AE157" s="363">
        <v>1601</v>
      </c>
      <c r="AF157" s="363">
        <v>1601</v>
      </c>
      <c r="AG157" s="363">
        <v>1601</v>
      </c>
      <c r="AH157" s="360">
        <f t="shared" si="11"/>
        <v>18388.36</v>
      </c>
      <c r="AI157" s="362">
        <f>ERP_5[[#This Row],[2026 Working Total]]-ERP_5[[#This Row],[LE2 Final Submission]]</f>
        <v>-730.5</v>
      </c>
      <c r="AJ157" s="79">
        <v>1601</v>
      </c>
      <c r="AK157" s="79">
        <f t="shared" si="10"/>
        <v>-1144.67</v>
      </c>
      <c r="AL157" s="374">
        <f>SUM(ERP_5[[#This Row],[AP01]:[AP06]])-SUM(ERP_5[[#This Row],[AP01 LE2]:[AP06 LE2]])</f>
        <v>-730.50000000000182</v>
      </c>
      <c r="AM157" s="80"/>
      <c r="AN157" s="79">
        <f>ERP_5[[#This Row],[2026 Working Total to Budget/LE]]-ERP_5[[#This Row],[Giveback]]</f>
        <v>-730.5</v>
      </c>
      <c r="AO157" s="81"/>
      <c r="AP157" s="375">
        <v>1556.11</v>
      </c>
      <c r="AQ157" s="375">
        <v>1531.5</v>
      </c>
      <c r="AR157" s="375">
        <v>1622.25</v>
      </c>
      <c r="AS157" s="375">
        <v>1601</v>
      </c>
      <c r="AT157" s="375">
        <v>1601</v>
      </c>
      <c r="AU157" s="375">
        <v>1601</v>
      </c>
      <c r="AV157" s="375">
        <v>1601</v>
      </c>
      <c r="AW157" s="375">
        <v>1601</v>
      </c>
      <c r="AX157" s="375">
        <v>1601</v>
      </c>
      <c r="AY157" s="375">
        <v>1601</v>
      </c>
      <c r="AZ157" s="375">
        <v>1601</v>
      </c>
      <c r="BA157" s="375">
        <v>1601</v>
      </c>
      <c r="BB157" s="375">
        <v>19118.86</v>
      </c>
      <c r="BC157" s="79">
        <v>1556.11</v>
      </c>
      <c r="BD157" s="79">
        <v>1531.5</v>
      </c>
      <c r="BE157" s="79">
        <v>1622.25</v>
      </c>
      <c r="BF157" s="79">
        <v>1601</v>
      </c>
      <c r="BG157" s="79">
        <v>1601</v>
      </c>
      <c r="BH157" s="79">
        <v>1601</v>
      </c>
      <c r="BI157" s="79">
        <v>1601</v>
      </c>
      <c r="BJ157" s="79">
        <v>1601</v>
      </c>
      <c r="BK157" s="79">
        <v>1601</v>
      </c>
      <c r="BL157" s="79">
        <v>1601</v>
      </c>
      <c r="BM157" s="79">
        <v>1601</v>
      </c>
      <c r="BN157" s="79">
        <v>1601</v>
      </c>
      <c r="BO157" s="79">
        <v>19118.86</v>
      </c>
    </row>
    <row r="158" spans="1:67" ht="15" customHeight="1">
      <c r="A158" s="150" t="s">
        <v>1169</v>
      </c>
      <c r="B158" t="s">
        <v>55</v>
      </c>
      <c r="C158" s="150" t="s">
        <v>1136</v>
      </c>
      <c r="D158" s="150" t="s">
        <v>1135</v>
      </c>
      <c r="E158" s="150" t="s">
        <v>1135</v>
      </c>
      <c r="F158" s="150" t="s">
        <v>1135</v>
      </c>
      <c r="G158" s="514" t="s">
        <v>49</v>
      </c>
      <c r="H158" s="394" t="s">
        <v>1170</v>
      </c>
      <c r="I158" s="333"/>
      <c r="J158" s="332" t="s">
        <v>1171</v>
      </c>
      <c r="K158" s="90" t="s">
        <v>56</v>
      </c>
      <c r="L158" s="347"/>
      <c r="M158" s="347"/>
      <c r="N158" s="348"/>
      <c r="O158" s="348"/>
      <c r="P158" s="348"/>
      <c r="Q158" s="402"/>
      <c r="R158" s="406"/>
      <c r="S158" s="406"/>
      <c r="T158" s="425"/>
      <c r="U158" s="71"/>
      <c r="V158" s="435"/>
      <c r="W158" s="436"/>
      <c r="X158" s="436"/>
      <c r="Y158" s="429"/>
      <c r="Z158" s="429">
        <v>550</v>
      </c>
      <c r="AA158" s="429">
        <v>0</v>
      </c>
      <c r="AB158" s="364"/>
      <c r="AC158" s="364"/>
      <c r="AD158" s="364"/>
      <c r="AE158" s="364"/>
      <c r="AF158" s="364"/>
      <c r="AG158" s="364"/>
      <c r="AH158" s="360">
        <f t="shared" si="11"/>
        <v>550</v>
      </c>
      <c r="AI158" s="362">
        <f>ERP_5[[#This Row],[2026 Working Total]]-ERP_5[[#This Row],[LE2 Final Submission]]</f>
        <v>550</v>
      </c>
      <c r="AJ158" s="79"/>
      <c r="AK158" s="79">
        <f t="shared" si="10"/>
        <v>0</v>
      </c>
      <c r="AL158" s="374">
        <f>SUM(ERP_5[[#This Row],[AP01]:[AP06]])-SUM(ERP_5[[#This Row],[AP01 LE2]:[AP06 LE2]])</f>
        <v>550</v>
      </c>
      <c r="AM158" s="80"/>
      <c r="AN158" s="79">
        <f>ERP_5[[#This Row],[2026 Working Total to Budget/LE]]-ERP_5[[#This Row],[Giveback]]</f>
        <v>550</v>
      </c>
      <c r="AO158" s="81"/>
      <c r="AP158" s="375"/>
      <c r="AQ158" s="375"/>
      <c r="AR158" s="375"/>
      <c r="AS158" s="375"/>
      <c r="AT158" s="375"/>
      <c r="AU158" s="375"/>
      <c r="AV158" s="375"/>
      <c r="AW158" s="375"/>
      <c r="AX158" s="375"/>
      <c r="AY158" s="375"/>
      <c r="AZ158" s="375"/>
      <c r="BA158" s="375"/>
      <c r="BB158" s="375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</row>
    <row r="159" spans="1:67" ht="15" customHeight="1">
      <c r="A159" s="66" t="s">
        <v>1701</v>
      </c>
      <c r="B159" s="66" t="s">
        <v>363</v>
      </c>
      <c r="C159" s="150" t="s">
        <v>1136</v>
      </c>
      <c r="D159" s="150" t="s">
        <v>1135</v>
      </c>
      <c r="E159" s="150" t="s">
        <v>1135</v>
      </c>
      <c r="F159" s="150" t="s">
        <v>1137</v>
      </c>
      <c r="G159" s="511" t="s">
        <v>342</v>
      </c>
      <c r="H159" s="392" t="s">
        <v>1174</v>
      </c>
      <c r="I159" s="343"/>
      <c r="J159" s="343"/>
      <c r="K159" s="70" t="s">
        <v>56</v>
      </c>
      <c r="L159" s="346" t="s">
        <v>1139</v>
      </c>
      <c r="M159" s="346" t="s">
        <v>1140</v>
      </c>
      <c r="N159" s="346"/>
      <c r="O159" s="150" t="s">
        <v>57</v>
      </c>
      <c r="P159" s="150"/>
      <c r="Q159" s="403"/>
      <c r="R159" s="406">
        <v>0</v>
      </c>
      <c r="S159" s="406">
        <v>2120</v>
      </c>
      <c r="T159" s="425"/>
      <c r="U159" s="71"/>
      <c r="V159" s="426">
        <v>2120</v>
      </c>
      <c r="W159" s="431">
        <v>0</v>
      </c>
      <c r="X159" s="431">
        <v>0</v>
      </c>
      <c r="Y159" s="428" t="s">
        <v>1142</v>
      </c>
      <c r="Z159" s="429">
        <v>0</v>
      </c>
      <c r="AA159" s="429">
        <v>0</v>
      </c>
      <c r="AB159" s="360">
        <v>0</v>
      </c>
      <c r="AC159" s="360">
        <v>0</v>
      </c>
      <c r="AD159" s="360">
        <v>0</v>
      </c>
      <c r="AE159" s="360">
        <v>0</v>
      </c>
      <c r="AF159" s="360">
        <v>0</v>
      </c>
      <c r="AG159" s="360">
        <v>0</v>
      </c>
      <c r="AH159" s="360">
        <f t="shared" si="11"/>
        <v>2120</v>
      </c>
      <c r="AI159" s="362">
        <f>ERP_5[[#This Row],[2026 Working Total]]-ERP_5[[#This Row],[LE2 Final Submission]]</f>
        <v>0</v>
      </c>
      <c r="AJ159" s="79">
        <v>0</v>
      </c>
      <c r="AK159" s="79">
        <f t="shared" si="10"/>
        <v>0</v>
      </c>
      <c r="AL159" s="374">
        <f>SUM(ERP_5[[#This Row],[AP01]:[AP06]])-SUM(ERP_5[[#This Row],[AP01 LE2]:[AP06 LE2]])</f>
        <v>0</v>
      </c>
      <c r="AM159" s="80"/>
      <c r="AN159" s="79">
        <f>ERP_5[[#This Row],[2026 Working Total to Budget/LE]]-ERP_5[[#This Row],[Giveback]]</f>
        <v>0</v>
      </c>
      <c r="AO159" s="81"/>
      <c r="AP159" s="375">
        <v>2120</v>
      </c>
      <c r="AQ159" s="375">
        <v>0</v>
      </c>
      <c r="AR159" s="375">
        <v>0</v>
      </c>
      <c r="AS159" s="375">
        <v>0</v>
      </c>
      <c r="AT159" s="375">
        <v>0</v>
      </c>
      <c r="AU159" s="375">
        <v>0</v>
      </c>
      <c r="AV159" s="375">
        <v>0</v>
      </c>
      <c r="AW159" s="375">
        <v>0</v>
      </c>
      <c r="AX159" s="375">
        <v>0</v>
      </c>
      <c r="AY159" s="375">
        <v>0</v>
      </c>
      <c r="AZ159" s="375">
        <v>0</v>
      </c>
      <c r="BA159" s="375">
        <v>0</v>
      </c>
      <c r="BB159" s="375">
        <v>2120</v>
      </c>
      <c r="BC159" s="79">
        <v>2120</v>
      </c>
      <c r="BD159" s="79">
        <v>0</v>
      </c>
      <c r="BE159" s="79">
        <v>0</v>
      </c>
      <c r="BF159" s="79">
        <v>0</v>
      </c>
      <c r="BG159" s="79">
        <v>0</v>
      </c>
      <c r="BH159" s="79">
        <v>0</v>
      </c>
      <c r="BI159" s="79">
        <v>0</v>
      </c>
      <c r="BJ159" s="79">
        <v>0</v>
      </c>
      <c r="BK159" s="79">
        <v>0</v>
      </c>
      <c r="BL159" s="79">
        <v>0</v>
      </c>
      <c r="BM159" s="79">
        <v>0</v>
      </c>
      <c r="BN159" s="79">
        <v>0</v>
      </c>
      <c r="BO159" s="79">
        <v>2120</v>
      </c>
    </row>
    <row r="160" spans="1:67" ht="15" customHeight="1">
      <c r="A160" s="66" t="s">
        <v>1790</v>
      </c>
      <c r="B160" s="66" t="s">
        <v>417</v>
      </c>
      <c r="C160" s="150" t="s">
        <v>1136</v>
      </c>
      <c r="D160" s="150" t="s">
        <v>1135</v>
      </c>
      <c r="E160" s="150" t="s">
        <v>1135</v>
      </c>
      <c r="F160" s="150" t="s">
        <v>1137</v>
      </c>
      <c r="G160" s="511" t="s">
        <v>389</v>
      </c>
      <c r="H160" s="392" t="s">
        <v>1174</v>
      </c>
      <c r="I160" s="343"/>
      <c r="J160" s="343"/>
      <c r="K160" s="70" t="s">
        <v>56</v>
      </c>
      <c r="L160" s="346" t="s">
        <v>1139</v>
      </c>
      <c r="M160" s="346" t="s">
        <v>1140</v>
      </c>
      <c r="N160" s="346"/>
      <c r="O160" s="150" t="s">
        <v>57</v>
      </c>
      <c r="P160" s="150"/>
      <c r="Q160" s="403"/>
      <c r="R160" s="406">
        <v>48000</v>
      </c>
      <c r="S160" s="406">
        <v>49773.74</v>
      </c>
      <c r="T160" s="430"/>
      <c r="U160" s="137"/>
      <c r="V160" s="426">
        <v>4838.91</v>
      </c>
      <c r="W160" s="427">
        <v>4409.8999999999996</v>
      </c>
      <c r="X160" s="427">
        <v>4524.93</v>
      </c>
      <c r="Y160" s="428">
        <v>3908.87</v>
      </c>
      <c r="Z160" s="429">
        <v>4454.8399999999992</v>
      </c>
      <c r="AA160" s="429">
        <v>4602.9500000000007</v>
      </c>
      <c r="AB160" s="363">
        <v>4000</v>
      </c>
      <c r="AC160" s="363">
        <v>4000</v>
      </c>
      <c r="AD160" s="363">
        <v>4000</v>
      </c>
      <c r="AE160" s="363">
        <v>4000</v>
      </c>
      <c r="AF160" s="363">
        <v>4000</v>
      </c>
      <c r="AG160" s="363">
        <v>4000</v>
      </c>
      <c r="AH160" s="360">
        <f t="shared" si="11"/>
        <v>50740.4</v>
      </c>
      <c r="AI160" s="362">
        <f>ERP_5[[#This Row],[2026 Working Total]]-ERP_5[[#This Row],[LE2 Final Submission]]</f>
        <v>966.66000000000349</v>
      </c>
      <c r="AJ160" s="79">
        <v>4000</v>
      </c>
      <c r="AK160" s="79">
        <f t="shared" si="10"/>
        <v>602.95000000000073</v>
      </c>
      <c r="AL160" s="374">
        <f>SUM(ERP_5[[#This Row],[AP01]:[AP06]])-SUM(ERP_5[[#This Row],[AP01 LE2]:[AP06 LE2]])</f>
        <v>966.66000000000349</v>
      </c>
      <c r="AM160" s="80"/>
      <c r="AN160" s="79">
        <f>ERP_5[[#This Row],[2026 Working Total to Budget/LE]]-ERP_5[[#This Row],[Giveback]]</f>
        <v>966.66000000000349</v>
      </c>
      <c r="AO160" s="81"/>
      <c r="AP160" s="375">
        <v>4838.91</v>
      </c>
      <c r="AQ160" s="375">
        <v>4409.8999999999996</v>
      </c>
      <c r="AR160" s="375">
        <v>4524.93</v>
      </c>
      <c r="AS160" s="375">
        <v>4000</v>
      </c>
      <c r="AT160" s="375">
        <v>4000</v>
      </c>
      <c r="AU160" s="375">
        <v>4000</v>
      </c>
      <c r="AV160" s="375">
        <v>4000</v>
      </c>
      <c r="AW160" s="375">
        <v>4000</v>
      </c>
      <c r="AX160" s="375">
        <v>4000</v>
      </c>
      <c r="AY160" s="375">
        <v>4000</v>
      </c>
      <c r="AZ160" s="375">
        <v>4000</v>
      </c>
      <c r="BA160" s="375">
        <v>4000</v>
      </c>
      <c r="BB160" s="375">
        <v>49773.74</v>
      </c>
      <c r="BC160" s="79">
        <v>4838.91</v>
      </c>
      <c r="BD160" s="79">
        <v>4409.8999999999996</v>
      </c>
      <c r="BE160" s="79">
        <v>4524.93</v>
      </c>
      <c r="BF160" s="79">
        <v>4000</v>
      </c>
      <c r="BG160" s="79">
        <v>4000</v>
      </c>
      <c r="BH160" s="79">
        <v>4000</v>
      </c>
      <c r="BI160" s="79">
        <v>4000</v>
      </c>
      <c r="BJ160" s="79">
        <v>4000</v>
      </c>
      <c r="BK160" s="79">
        <v>4000</v>
      </c>
      <c r="BL160" s="79">
        <v>4000</v>
      </c>
      <c r="BM160" s="79">
        <v>4000</v>
      </c>
      <c r="BN160" s="79">
        <v>4000</v>
      </c>
      <c r="BO160" s="79">
        <v>49773.74</v>
      </c>
    </row>
    <row r="161" spans="1:67" ht="15" customHeight="1">
      <c r="A161" s="66" t="s">
        <v>1964</v>
      </c>
      <c r="B161" s="66" t="s">
        <v>493</v>
      </c>
      <c r="C161" s="150" t="s">
        <v>1136</v>
      </c>
      <c r="D161" s="150" t="s">
        <v>1345</v>
      </c>
      <c r="E161" s="150" t="s">
        <v>1344</v>
      </c>
      <c r="F161" s="150" t="s">
        <v>1346</v>
      </c>
      <c r="G161" s="511" t="s">
        <v>389</v>
      </c>
      <c r="H161" s="392" t="s">
        <v>1174</v>
      </c>
      <c r="I161" s="343"/>
      <c r="J161" s="343"/>
      <c r="K161" s="70" t="s">
        <v>56</v>
      </c>
      <c r="L161" s="346"/>
      <c r="M161" s="346" t="s">
        <v>1140</v>
      </c>
      <c r="N161" s="346"/>
      <c r="O161" s="150" t="s">
        <v>57</v>
      </c>
      <c r="P161" s="150"/>
      <c r="Q161" s="403"/>
      <c r="R161" s="406">
        <v>18000</v>
      </c>
      <c r="S161" s="406">
        <v>16521.98</v>
      </c>
      <c r="T161" s="430"/>
      <c r="U161" s="137"/>
      <c r="V161" s="426">
        <v>920.95</v>
      </c>
      <c r="W161" s="427">
        <v>1065.45</v>
      </c>
      <c r="X161" s="427">
        <v>1035.58</v>
      </c>
      <c r="Y161" s="428">
        <v>1019.5500000000001</v>
      </c>
      <c r="Z161" s="429">
        <v>110.62</v>
      </c>
      <c r="AA161" s="429">
        <v>219.57999999999998</v>
      </c>
      <c r="AB161" s="363">
        <v>1500</v>
      </c>
      <c r="AC161" s="363">
        <v>1500</v>
      </c>
      <c r="AD161" s="363">
        <v>1500</v>
      </c>
      <c r="AE161" s="363">
        <v>1500</v>
      </c>
      <c r="AF161" s="363">
        <v>1500</v>
      </c>
      <c r="AG161" s="363">
        <v>1500</v>
      </c>
      <c r="AH161" s="360">
        <f t="shared" si="11"/>
        <v>13371.73</v>
      </c>
      <c r="AI161" s="362">
        <f>ERP_5[[#This Row],[2026 Working Total]]-ERP_5[[#This Row],[LE2 Final Submission]]</f>
        <v>-3150.25</v>
      </c>
      <c r="AJ161" s="79">
        <v>1500</v>
      </c>
      <c r="AK161" s="79">
        <f t="shared" si="10"/>
        <v>-1280.42</v>
      </c>
      <c r="AL161" s="374">
        <f>SUM(ERP_5[[#This Row],[AP01]:[AP06]])-SUM(ERP_5[[#This Row],[AP01 LE2]:[AP06 LE2]])</f>
        <v>-3150.2499999999991</v>
      </c>
      <c r="AM161" s="80"/>
      <c r="AN161" s="79">
        <f>ERP_5[[#This Row],[2026 Working Total to Budget/LE]]-ERP_5[[#This Row],[Giveback]]</f>
        <v>-3150.25</v>
      </c>
      <c r="AO161" s="81"/>
      <c r="AP161" s="375">
        <v>920.95</v>
      </c>
      <c r="AQ161" s="375">
        <v>1065.45</v>
      </c>
      <c r="AR161" s="375">
        <v>1035.58</v>
      </c>
      <c r="AS161" s="375">
        <v>1500</v>
      </c>
      <c r="AT161" s="375">
        <v>1500</v>
      </c>
      <c r="AU161" s="375">
        <v>1500</v>
      </c>
      <c r="AV161" s="375">
        <v>1500</v>
      </c>
      <c r="AW161" s="375">
        <v>1500</v>
      </c>
      <c r="AX161" s="375">
        <v>1500</v>
      </c>
      <c r="AY161" s="375">
        <v>1500</v>
      </c>
      <c r="AZ161" s="375">
        <v>1500</v>
      </c>
      <c r="BA161" s="375">
        <v>1500</v>
      </c>
      <c r="BB161" s="375">
        <v>16521.98</v>
      </c>
      <c r="BC161" s="79">
        <v>920.95</v>
      </c>
      <c r="BD161" s="79">
        <v>1065.45</v>
      </c>
      <c r="BE161" s="79">
        <v>1035.58</v>
      </c>
      <c r="BF161" s="79">
        <v>1500</v>
      </c>
      <c r="BG161" s="79">
        <v>1500</v>
      </c>
      <c r="BH161" s="79">
        <v>1500</v>
      </c>
      <c r="BI161" s="79">
        <v>1500</v>
      </c>
      <c r="BJ161" s="79">
        <v>1500</v>
      </c>
      <c r="BK161" s="79">
        <v>1500</v>
      </c>
      <c r="BL161" s="79">
        <v>1500</v>
      </c>
      <c r="BM161" s="79">
        <v>1500</v>
      </c>
      <c r="BN161" s="79">
        <v>1500</v>
      </c>
      <c r="BO161" s="79">
        <v>16521.98</v>
      </c>
    </row>
    <row r="162" spans="1:67" ht="15" customHeight="1">
      <c r="A162" s="66" t="s">
        <v>2608</v>
      </c>
      <c r="B162" s="66" t="s">
        <v>903</v>
      </c>
      <c r="C162" s="150" t="s">
        <v>1136</v>
      </c>
      <c r="D162" s="150" t="s">
        <v>1345</v>
      </c>
      <c r="E162" s="150" t="s">
        <v>1344</v>
      </c>
      <c r="F162" s="150" t="s">
        <v>1346</v>
      </c>
      <c r="G162" s="511" t="s">
        <v>639</v>
      </c>
      <c r="H162" s="392" t="s">
        <v>1174</v>
      </c>
      <c r="I162" s="343"/>
      <c r="J162" s="343"/>
      <c r="K162" s="70" t="s">
        <v>56</v>
      </c>
      <c r="L162" s="346"/>
      <c r="M162" s="346" t="s">
        <v>1140</v>
      </c>
      <c r="N162" s="346"/>
      <c r="O162" s="150" t="s">
        <v>57</v>
      </c>
      <c r="P162" s="150"/>
      <c r="Q162" s="403"/>
      <c r="R162" s="406">
        <v>4200</v>
      </c>
      <c r="S162" s="406">
        <v>3888.09</v>
      </c>
      <c r="T162" s="425"/>
      <c r="U162" s="71"/>
      <c r="V162" s="426">
        <v>251.53</v>
      </c>
      <c r="W162" s="427">
        <v>246.74</v>
      </c>
      <c r="X162" s="427">
        <v>239.82</v>
      </c>
      <c r="Y162" s="428">
        <v>236.11</v>
      </c>
      <c r="Z162" s="429">
        <v>0</v>
      </c>
      <c r="AA162" s="429">
        <v>0</v>
      </c>
      <c r="AB162" s="363">
        <v>350</v>
      </c>
      <c r="AC162" s="363">
        <v>350</v>
      </c>
      <c r="AD162" s="363">
        <v>350</v>
      </c>
      <c r="AE162" s="363">
        <v>350</v>
      </c>
      <c r="AF162" s="363">
        <v>350</v>
      </c>
      <c r="AG162" s="363">
        <v>350</v>
      </c>
      <c r="AH162" s="360">
        <f t="shared" si="11"/>
        <v>3074.2</v>
      </c>
      <c r="AI162" s="362">
        <f>ERP_5[[#This Row],[2026 Working Total]]-ERP_5[[#This Row],[LE2 Final Submission]]</f>
        <v>-813.89000000000033</v>
      </c>
      <c r="AJ162" s="79">
        <v>350</v>
      </c>
      <c r="AK162" s="79">
        <f t="shared" si="10"/>
        <v>-350</v>
      </c>
      <c r="AL162" s="374">
        <f>SUM(ERP_5[[#This Row],[AP01]:[AP06]])-SUM(ERP_5[[#This Row],[AP01 LE2]:[AP06 LE2]])</f>
        <v>-813.89</v>
      </c>
      <c r="AM162" s="80"/>
      <c r="AN162" s="79">
        <f>ERP_5[[#This Row],[2026 Working Total to Budget/LE]]-ERP_5[[#This Row],[Giveback]]</f>
        <v>-813.89000000000033</v>
      </c>
      <c r="AO162" s="81"/>
      <c r="AP162" s="375">
        <v>251.53</v>
      </c>
      <c r="AQ162" s="375">
        <v>246.74</v>
      </c>
      <c r="AR162" s="375">
        <v>239.82</v>
      </c>
      <c r="AS162" s="375">
        <v>350</v>
      </c>
      <c r="AT162" s="375">
        <v>350</v>
      </c>
      <c r="AU162" s="375">
        <v>350</v>
      </c>
      <c r="AV162" s="375">
        <v>350</v>
      </c>
      <c r="AW162" s="375">
        <v>350</v>
      </c>
      <c r="AX162" s="375">
        <v>350</v>
      </c>
      <c r="AY162" s="375">
        <v>350</v>
      </c>
      <c r="AZ162" s="375">
        <v>350</v>
      </c>
      <c r="BA162" s="375">
        <v>350</v>
      </c>
      <c r="BB162" s="375">
        <v>3888.09</v>
      </c>
      <c r="BC162" s="79">
        <v>251.53</v>
      </c>
      <c r="BD162" s="79">
        <v>246.74</v>
      </c>
      <c r="BE162" s="79">
        <v>239.82</v>
      </c>
      <c r="BF162" s="79">
        <v>350</v>
      </c>
      <c r="BG162" s="79">
        <v>350</v>
      </c>
      <c r="BH162" s="79">
        <v>350</v>
      </c>
      <c r="BI162" s="79">
        <v>350</v>
      </c>
      <c r="BJ162" s="79">
        <v>350</v>
      </c>
      <c r="BK162" s="79">
        <v>350</v>
      </c>
      <c r="BL162" s="79">
        <v>350</v>
      </c>
      <c r="BM162" s="79">
        <v>350</v>
      </c>
      <c r="BN162" s="79">
        <v>350</v>
      </c>
      <c r="BO162" s="79">
        <v>3888.09</v>
      </c>
    </row>
    <row r="163" spans="1:67" ht="15" customHeight="1">
      <c r="A163" s="66" t="s">
        <v>2011</v>
      </c>
      <c r="B163" s="66" t="s">
        <v>524</v>
      </c>
      <c r="C163" s="150" t="s">
        <v>1136</v>
      </c>
      <c r="D163" s="150" t="s">
        <v>1345</v>
      </c>
      <c r="E163" s="150" t="s">
        <v>1345</v>
      </c>
      <c r="F163" s="150" t="s">
        <v>1346</v>
      </c>
      <c r="G163" s="511" t="s">
        <v>389</v>
      </c>
      <c r="H163" s="392" t="s">
        <v>1174</v>
      </c>
      <c r="I163" s="343"/>
      <c r="J163" s="343"/>
      <c r="K163" s="70" t="s">
        <v>56</v>
      </c>
      <c r="L163" s="346"/>
      <c r="M163" s="346" t="s">
        <v>1140</v>
      </c>
      <c r="N163" s="346"/>
      <c r="O163" s="150" t="s">
        <v>57</v>
      </c>
      <c r="P163" s="150"/>
      <c r="Q163" s="403"/>
      <c r="R163" s="406">
        <v>10233</v>
      </c>
      <c r="S163" s="406">
        <v>10178.029999999999</v>
      </c>
      <c r="T163" s="425"/>
      <c r="U163" s="71"/>
      <c r="V163" s="426">
        <v>961.55</v>
      </c>
      <c r="W163" s="427">
        <v>816.59</v>
      </c>
      <c r="X163" s="427">
        <v>725.14</v>
      </c>
      <c r="Y163" s="428">
        <v>139.44999999999999</v>
      </c>
      <c r="Z163" s="429">
        <v>1450.2800000000002</v>
      </c>
      <c r="AA163" s="429">
        <v>0</v>
      </c>
      <c r="AB163" s="363">
        <v>852.75</v>
      </c>
      <c r="AC163" s="363">
        <v>852.75</v>
      </c>
      <c r="AD163" s="363">
        <v>852.75</v>
      </c>
      <c r="AE163" s="363">
        <v>852.75</v>
      </c>
      <c r="AF163" s="363">
        <v>852.75</v>
      </c>
      <c r="AG163" s="363">
        <v>852.75</v>
      </c>
      <c r="AH163" s="360">
        <f t="shared" si="11"/>
        <v>9209.51</v>
      </c>
      <c r="AI163" s="362">
        <f>ERP_5[[#This Row],[2026 Working Total]]-ERP_5[[#This Row],[LE2 Final Submission]]</f>
        <v>-968.51999999999862</v>
      </c>
      <c r="AJ163" s="79">
        <v>852.75</v>
      </c>
      <c r="AK163" s="79">
        <f t="shared" si="10"/>
        <v>-852.75</v>
      </c>
      <c r="AL163" s="374">
        <f>SUM(ERP_5[[#This Row],[AP01]:[AP06]])-SUM(ERP_5[[#This Row],[AP01 LE2]:[AP06 LE2]])</f>
        <v>-968.52</v>
      </c>
      <c r="AM163" s="80"/>
      <c r="AN163" s="79">
        <f>ERP_5[[#This Row],[2026 Working Total to Budget/LE]]-ERP_5[[#This Row],[Giveback]]</f>
        <v>-968.51999999999862</v>
      </c>
      <c r="AO163" s="81"/>
      <c r="AP163" s="375">
        <v>961.55</v>
      </c>
      <c r="AQ163" s="375">
        <v>816.59</v>
      </c>
      <c r="AR163" s="375">
        <v>725.14</v>
      </c>
      <c r="AS163" s="375">
        <v>852.75</v>
      </c>
      <c r="AT163" s="375">
        <v>852.75</v>
      </c>
      <c r="AU163" s="375">
        <v>852.75</v>
      </c>
      <c r="AV163" s="375">
        <v>852.75</v>
      </c>
      <c r="AW163" s="375">
        <v>852.75</v>
      </c>
      <c r="AX163" s="375">
        <v>852.75</v>
      </c>
      <c r="AY163" s="375">
        <v>852.75</v>
      </c>
      <c r="AZ163" s="375">
        <v>852.75</v>
      </c>
      <c r="BA163" s="375">
        <v>852.75</v>
      </c>
      <c r="BB163" s="375">
        <v>10178.029999999999</v>
      </c>
      <c r="BC163" s="79">
        <v>961.55</v>
      </c>
      <c r="BD163" s="79">
        <v>816.59</v>
      </c>
      <c r="BE163" s="79">
        <v>725.14</v>
      </c>
      <c r="BF163" s="79">
        <v>852.75</v>
      </c>
      <c r="BG163" s="79">
        <v>852.75</v>
      </c>
      <c r="BH163" s="79">
        <v>852.75</v>
      </c>
      <c r="BI163" s="79">
        <v>852.75</v>
      </c>
      <c r="BJ163" s="79">
        <v>852.75</v>
      </c>
      <c r="BK163" s="79">
        <v>852.75</v>
      </c>
      <c r="BL163" s="79">
        <v>852.75</v>
      </c>
      <c r="BM163" s="79">
        <v>852.75</v>
      </c>
      <c r="BN163" s="79">
        <v>852.75</v>
      </c>
      <c r="BO163" s="79">
        <v>10178.029999999999</v>
      </c>
    </row>
    <row r="164" spans="1:67" ht="15" customHeight="1">
      <c r="A164" s="66" t="s">
        <v>1449</v>
      </c>
      <c r="B164" s="66" t="s">
        <v>204</v>
      </c>
      <c r="C164" s="150" t="s">
        <v>1136</v>
      </c>
      <c r="D164" s="150" t="s">
        <v>1345</v>
      </c>
      <c r="E164" s="150" t="s">
        <v>1450</v>
      </c>
      <c r="F164" s="150" t="s">
        <v>1346</v>
      </c>
      <c r="G164" s="511" t="s">
        <v>49</v>
      </c>
      <c r="H164" s="392" t="s">
        <v>1174</v>
      </c>
      <c r="I164" s="343"/>
      <c r="J164" s="343"/>
      <c r="K164" s="70" t="s">
        <v>56</v>
      </c>
      <c r="L164" s="346"/>
      <c r="M164" s="346" t="s">
        <v>1140</v>
      </c>
      <c r="N164" s="346"/>
      <c r="O164" s="150" t="s">
        <v>57</v>
      </c>
      <c r="P164" s="150"/>
      <c r="Q164" s="403"/>
      <c r="R164" s="406">
        <v>0</v>
      </c>
      <c r="S164" s="406">
        <v>2893.46</v>
      </c>
      <c r="T164" s="425"/>
      <c r="U164" s="71"/>
      <c r="V164" s="426">
        <v>183.12</v>
      </c>
      <c r="W164" s="427">
        <v>1029.04</v>
      </c>
      <c r="X164" s="427">
        <v>1681.3</v>
      </c>
      <c r="Y164" s="428">
        <v>1593.8</v>
      </c>
      <c r="Z164" s="429">
        <v>85.08</v>
      </c>
      <c r="AA164" s="429">
        <v>0</v>
      </c>
      <c r="AB164" s="360">
        <v>0</v>
      </c>
      <c r="AC164" s="360">
        <v>0</v>
      </c>
      <c r="AD164" s="360">
        <v>0</v>
      </c>
      <c r="AE164" s="360">
        <v>0</v>
      </c>
      <c r="AF164" s="360">
        <v>0</v>
      </c>
      <c r="AG164" s="360">
        <v>0</v>
      </c>
      <c r="AH164" s="360">
        <f t="shared" si="11"/>
        <v>4572.34</v>
      </c>
      <c r="AI164" s="362">
        <f>ERP_5[[#This Row],[2026 Working Total]]-ERP_5[[#This Row],[LE2 Final Submission]]</f>
        <v>1678.88</v>
      </c>
      <c r="AJ164" s="79">
        <v>0</v>
      </c>
      <c r="AK164" s="79">
        <f t="shared" si="10"/>
        <v>0</v>
      </c>
      <c r="AL164" s="374">
        <f>SUM(ERP_5[[#This Row],[AP01]:[AP06]])-SUM(ERP_5[[#This Row],[AP01 LE2]:[AP06 LE2]])</f>
        <v>1678.88</v>
      </c>
      <c r="AM164" s="80"/>
      <c r="AN164" s="79">
        <f>ERP_5[[#This Row],[2026 Working Total to Budget/LE]]-ERP_5[[#This Row],[Giveback]]</f>
        <v>1678.88</v>
      </c>
      <c r="AO164" s="81"/>
      <c r="AP164" s="375">
        <v>183.12</v>
      </c>
      <c r="AQ164" s="375">
        <v>1029.04</v>
      </c>
      <c r="AR164" s="375">
        <v>1681.3</v>
      </c>
      <c r="AS164" s="375">
        <v>0</v>
      </c>
      <c r="AT164" s="375">
        <v>0</v>
      </c>
      <c r="AU164" s="375">
        <v>0</v>
      </c>
      <c r="AV164" s="375">
        <v>0</v>
      </c>
      <c r="AW164" s="375">
        <v>0</v>
      </c>
      <c r="AX164" s="375">
        <v>0</v>
      </c>
      <c r="AY164" s="375">
        <v>0</v>
      </c>
      <c r="AZ164" s="375">
        <v>0</v>
      </c>
      <c r="BA164" s="375">
        <v>0</v>
      </c>
      <c r="BB164" s="375">
        <v>2893.46</v>
      </c>
      <c r="BC164" s="79">
        <v>183.12</v>
      </c>
      <c r="BD164" s="79">
        <v>1029.04</v>
      </c>
      <c r="BE164" s="79">
        <v>1681.3</v>
      </c>
      <c r="BF164" s="79">
        <v>0</v>
      </c>
      <c r="BG164" s="79">
        <v>0</v>
      </c>
      <c r="BH164" s="79">
        <v>0</v>
      </c>
      <c r="BI164" s="79">
        <v>0</v>
      </c>
      <c r="BJ164" s="79">
        <v>0</v>
      </c>
      <c r="BK164" s="79">
        <v>0</v>
      </c>
      <c r="BL164" s="79">
        <v>0</v>
      </c>
      <c r="BM164" s="79">
        <v>0</v>
      </c>
      <c r="BN164" s="79">
        <v>0</v>
      </c>
      <c r="BO164" s="79">
        <v>2893.46</v>
      </c>
    </row>
    <row r="165" spans="1:67" ht="15" customHeight="1">
      <c r="A165" s="66" t="s">
        <v>2035</v>
      </c>
      <c r="B165" s="66" t="s">
        <v>539</v>
      </c>
      <c r="C165" s="150" t="s">
        <v>1136</v>
      </c>
      <c r="D165" s="150" t="s">
        <v>1345</v>
      </c>
      <c r="E165" s="150" t="s">
        <v>1450</v>
      </c>
      <c r="F165" s="150" t="s">
        <v>1346</v>
      </c>
      <c r="G165" s="511" t="s">
        <v>389</v>
      </c>
      <c r="H165" s="392" t="s">
        <v>1174</v>
      </c>
      <c r="I165" s="343"/>
      <c r="J165" s="343"/>
      <c r="K165" s="70" t="s">
        <v>56</v>
      </c>
      <c r="L165" s="346"/>
      <c r="M165" s="346" t="s">
        <v>1140</v>
      </c>
      <c r="N165" s="346"/>
      <c r="O165" s="150" t="s">
        <v>57</v>
      </c>
      <c r="P165" s="150"/>
      <c r="Q165" s="403"/>
      <c r="R165" s="406">
        <v>24000</v>
      </c>
      <c r="S165" s="406">
        <v>21077.66</v>
      </c>
      <c r="T165" s="430"/>
      <c r="U165" s="137"/>
      <c r="V165" s="426">
        <v>1075.3900000000001</v>
      </c>
      <c r="W165" s="427">
        <v>1075.5999999999999</v>
      </c>
      <c r="X165" s="427">
        <v>926.67</v>
      </c>
      <c r="Y165" s="428">
        <v>1030.1999999999998</v>
      </c>
      <c r="Z165" s="429">
        <v>1176.04</v>
      </c>
      <c r="AA165" s="429">
        <v>1160.54</v>
      </c>
      <c r="AB165" s="363">
        <v>2000</v>
      </c>
      <c r="AC165" s="363">
        <v>2000</v>
      </c>
      <c r="AD165" s="363">
        <v>2000</v>
      </c>
      <c r="AE165" s="363">
        <v>2000</v>
      </c>
      <c r="AF165" s="363">
        <v>2000</v>
      </c>
      <c r="AG165" s="363">
        <v>2000</v>
      </c>
      <c r="AH165" s="360">
        <f t="shared" si="11"/>
        <v>18444.439999999999</v>
      </c>
      <c r="AI165" s="362">
        <f>ERP_5[[#This Row],[2026 Working Total]]-ERP_5[[#This Row],[LE2 Final Submission]]</f>
        <v>-2633.2200000000012</v>
      </c>
      <c r="AJ165" s="79">
        <v>2000</v>
      </c>
      <c r="AK165" s="79">
        <f t="shared" si="10"/>
        <v>-839.46</v>
      </c>
      <c r="AL165" s="374">
        <f>SUM(ERP_5[[#This Row],[AP01]:[AP06]])-SUM(ERP_5[[#This Row],[AP01 LE2]:[AP06 LE2]])</f>
        <v>-2633.2200000000003</v>
      </c>
      <c r="AM165" s="80"/>
      <c r="AN165" s="79">
        <f>ERP_5[[#This Row],[2026 Working Total to Budget/LE]]-ERP_5[[#This Row],[Giveback]]</f>
        <v>-2633.2200000000012</v>
      </c>
      <c r="AO165" s="81"/>
      <c r="AP165" s="375">
        <v>1075.3900000000001</v>
      </c>
      <c r="AQ165" s="375">
        <v>1075.5999999999999</v>
      </c>
      <c r="AR165" s="375">
        <v>926.67</v>
      </c>
      <c r="AS165" s="375">
        <v>2000</v>
      </c>
      <c r="AT165" s="375">
        <v>2000</v>
      </c>
      <c r="AU165" s="375">
        <v>2000</v>
      </c>
      <c r="AV165" s="375">
        <v>2000</v>
      </c>
      <c r="AW165" s="375">
        <v>2000</v>
      </c>
      <c r="AX165" s="375">
        <v>2000</v>
      </c>
      <c r="AY165" s="375">
        <v>2000</v>
      </c>
      <c r="AZ165" s="375">
        <v>2000</v>
      </c>
      <c r="BA165" s="375">
        <v>2000</v>
      </c>
      <c r="BB165" s="375">
        <v>21077.66</v>
      </c>
      <c r="BC165" s="79">
        <v>1075.3900000000001</v>
      </c>
      <c r="BD165" s="79">
        <v>1075.5999999999999</v>
      </c>
      <c r="BE165" s="79">
        <v>926.67</v>
      </c>
      <c r="BF165" s="79">
        <v>2000</v>
      </c>
      <c r="BG165" s="79">
        <v>2000</v>
      </c>
      <c r="BH165" s="79">
        <v>2000</v>
      </c>
      <c r="BI165" s="79">
        <v>2000</v>
      </c>
      <c r="BJ165" s="79">
        <v>2000</v>
      </c>
      <c r="BK165" s="79">
        <v>2000</v>
      </c>
      <c r="BL165" s="79">
        <v>2000</v>
      </c>
      <c r="BM165" s="79">
        <v>2000</v>
      </c>
      <c r="BN165" s="79">
        <v>2000</v>
      </c>
      <c r="BO165" s="79">
        <v>21077.66</v>
      </c>
    </row>
    <row r="166" spans="1:67" ht="15" customHeight="1">
      <c r="A166" s="66" t="s">
        <v>2049</v>
      </c>
      <c r="B166" s="66" t="s">
        <v>549</v>
      </c>
      <c r="C166" s="150" t="s">
        <v>1136</v>
      </c>
      <c r="D166" s="150" t="s">
        <v>1345</v>
      </c>
      <c r="E166" s="150" t="s">
        <v>1480</v>
      </c>
      <c r="F166" s="150" t="s">
        <v>1346</v>
      </c>
      <c r="G166" s="511" t="s">
        <v>389</v>
      </c>
      <c r="H166" s="392" t="s">
        <v>1174</v>
      </c>
      <c r="I166" s="343"/>
      <c r="J166" s="343"/>
      <c r="K166" s="70" t="s">
        <v>56</v>
      </c>
      <c r="L166" s="346"/>
      <c r="M166" s="346" t="s">
        <v>1140</v>
      </c>
      <c r="N166" s="346"/>
      <c r="O166" s="150" t="s">
        <v>57</v>
      </c>
      <c r="P166" s="150" t="s">
        <v>2050</v>
      </c>
      <c r="Q166" s="403"/>
      <c r="R166" s="406">
        <v>36000</v>
      </c>
      <c r="S166" s="406">
        <v>38955.51</v>
      </c>
      <c r="T166" s="425"/>
      <c r="U166" s="71"/>
      <c r="V166" s="426">
        <v>4414.1899999999996</v>
      </c>
      <c r="W166" s="427">
        <v>3932.76</v>
      </c>
      <c r="X166" s="427">
        <v>3608.56</v>
      </c>
      <c r="Y166" s="428">
        <v>3606.4999999999995</v>
      </c>
      <c r="Z166" s="429">
        <v>3644.34</v>
      </c>
      <c r="AA166" s="429">
        <v>3811.5099999999998</v>
      </c>
      <c r="AB166" s="363">
        <v>3700</v>
      </c>
      <c r="AC166" s="363">
        <v>3700</v>
      </c>
      <c r="AD166" s="363">
        <v>3700</v>
      </c>
      <c r="AE166" s="363">
        <v>3700</v>
      </c>
      <c r="AF166" s="363">
        <v>3700</v>
      </c>
      <c r="AG166" s="363">
        <v>3700</v>
      </c>
      <c r="AH166" s="360">
        <f t="shared" si="11"/>
        <v>45217.86</v>
      </c>
      <c r="AI166" s="362">
        <f>ERP_5[[#This Row],[2026 Working Total]]-ERP_5[[#This Row],[LE2 Final Submission]]</f>
        <v>6262.3499999999985</v>
      </c>
      <c r="AJ166" s="79">
        <v>3000</v>
      </c>
      <c r="AK166" s="79">
        <f t="shared" si="10"/>
        <v>811.50999999999976</v>
      </c>
      <c r="AL166" s="374">
        <f>SUM(ERP_5[[#This Row],[AP01]:[AP06]])-SUM(ERP_5[[#This Row],[AP01 LE2]:[AP06 LE2]])</f>
        <v>2062.3499999999949</v>
      </c>
      <c r="AM166" s="80"/>
      <c r="AN166" s="79">
        <f>ERP_5[[#This Row],[2026 Working Total to Budget/LE]]-ERP_5[[#This Row],[Giveback]]</f>
        <v>6262.3499999999985</v>
      </c>
      <c r="AO166" s="81"/>
      <c r="AP166" s="375">
        <v>4414.1899999999996</v>
      </c>
      <c r="AQ166" s="375">
        <v>3932.76</v>
      </c>
      <c r="AR166" s="375">
        <v>3608.56</v>
      </c>
      <c r="AS166" s="375">
        <v>3000</v>
      </c>
      <c r="AT166" s="375">
        <v>3000</v>
      </c>
      <c r="AU166" s="375">
        <v>3000</v>
      </c>
      <c r="AV166" s="375">
        <v>3000</v>
      </c>
      <c r="AW166" s="375">
        <v>3000</v>
      </c>
      <c r="AX166" s="375">
        <v>3000</v>
      </c>
      <c r="AY166" s="375">
        <v>3000</v>
      </c>
      <c r="AZ166" s="375">
        <v>3000</v>
      </c>
      <c r="BA166" s="375">
        <v>3000</v>
      </c>
      <c r="BB166" s="375">
        <v>38955.51</v>
      </c>
      <c r="BC166" s="79">
        <v>4414.1899999999996</v>
      </c>
      <c r="BD166" s="79">
        <v>3932.76</v>
      </c>
      <c r="BE166" s="79">
        <v>3608.56</v>
      </c>
      <c r="BF166" s="79">
        <v>3000</v>
      </c>
      <c r="BG166" s="79">
        <v>3000</v>
      </c>
      <c r="BH166" s="79">
        <v>3000</v>
      </c>
      <c r="BI166" s="79">
        <v>3000</v>
      </c>
      <c r="BJ166" s="79">
        <v>3000</v>
      </c>
      <c r="BK166" s="79">
        <v>3000</v>
      </c>
      <c r="BL166" s="79">
        <v>3000</v>
      </c>
      <c r="BM166" s="79">
        <v>3000</v>
      </c>
      <c r="BN166" s="79">
        <v>3000</v>
      </c>
      <c r="BO166" s="79">
        <v>38955.51</v>
      </c>
    </row>
    <row r="167" spans="1:67" ht="15" customHeight="1">
      <c r="A167" s="66" t="s">
        <v>2260</v>
      </c>
      <c r="B167" s="66" t="s">
        <v>669</v>
      </c>
      <c r="C167" s="150" t="s">
        <v>1136</v>
      </c>
      <c r="D167" s="150" t="s">
        <v>1135</v>
      </c>
      <c r="E167" s="150" t="s">
        <v>1135</v>
      </c>
      <c r="F167" s="150" t="s">
        <v>1137</v>
      </c>
      <c r="G167" s="511" t="s">
        <v>639</v>
      </c>
      <c r="H167" s="392" t="s">
        <v>1174</v>
      </c>
      <c r="I167" s="343"/>
      <c r="J167" s="343"/>
      <c r="K167" s="70" t="s">
        <v>56</v>
      </c>
      <c r="L167" s="346"/>
      <c r="M167" s="346" t="s">
        <v>1140</v>
      </c>
      <c r="N167" s="346"/>
      <c r="O167" s="150" t="s">
        <v>57</v>
      </c>
      <c r="P167" s="150"/>
      <c r="Q167" s="403"/>
      <c r="R167" s="406">
        <v>0</v>
      </c>
      <c r="S167" s="406">
        <v>4158.38</v>
      </c>
      <c r="T167" s="425"/>
      <c r="U167" s="71"/>
      <c r="V167" s="426">
        <v>279.45999999999998</v>
      </c>
      <c r="W167" s="427">
        <v>279.45999999999998</v>
      </c>
      <c r="X167" s="427">
        <v>899.46</v>
      </c>
      <c r="Y167" s="428">
        <v>139.72999999999999</v>
      </c>
      <c r="Z167" s="429">
        <v>139.72999999999999</v>
      </c>
      <c r="AA167" s="429">
        <v>139.72999999999999</v>
      </c>
      <c r="AB167" s="360">
        <v>300</v>
      </c>
      <c r="AC167" s="360">
        <v>300</v>
      </c>
      <c r="AD167" s="360">
        <v>300</v>
      </c>
      <c r="AE167" s="360">
        <v>300</v>
      </c>
      <c r="AF167" s="360">
        <v>300</v>
      </c>
      <c r="AG167" s="360">
        <v>300</v>
      </c>
      <c r="AH167" s="360">
        <f t="shared" si="11"/>
        <v>3677.57</v>
      </c>
      <c r="AI167" s="362">
        <f>ERP_5[[#This Row],[2026 Working Total]]-ERP_5[[#This Row],[LE2 Final Submission]]</f>
        <v>-480.80999999999995</v>
      </c>
      <c r="AJ167" s="79">
        <v>300</v>
      </c>
      <c r="AK167" s="79">
        <f t="shared" si="10"/>
        <v>-160.27000000000001</v>
      </c>
      <c r="AL167" s="374">
        <f>SUM(ERP_5[[#This Row],[AP01]:[AP06]])-SUM(ERP_5[[#This Row],[AP01 LE2]:[AP06 LE2]])</f>
        <v>-480.80999999999995</v>
      </c>
      <c r="AM167" s="80"/>
      <c r="AN167" s="79">
        <f>ERP_5[[#This Row],[2026 Working Total to Budget/LE]]-ERP_5[[#This Row],[Giveback]]</f>
        <v>-480.80999999999995</v>
      </c>
      <c r="AO167" s="81"/>
      <c r="AP167" s="375">
        <v>279.45999999999998</v>
      </c>
      <c r="AQ167" s="375">
        <v>279.45999999999998</v>
      </c>
      <c r="AR167" s="375">
        <v>899.46</v>
      </c>
      <c r="AS167" s="375">
        <v>300</v>
      </c>
      <c r="AT167" s="375">
        <v>300</v>
      </c>
      <c r="AU167" s="375">
        <v>300</v>
      </c>
      <c r="AV167" s="375">
        <v>300</v>
      </c>
      <c r="AW167" s="375">
        <v>300</v>
      </c>
      <c r="AX167" s="375">
        <v>300</v>
      </c>
      <c r="AY167" s="375">
        <v>300</v>
      </c>
      <c r="AZ167" s="375">
        <v>300</v>
      </c>
      <c r="BA167" s="375">
        <v>300</v>
      </c>
      <c r="BB167" s="375">
        <v>4158.38</v>
      </c>
      <c r="BC167" s="79">
        <v>279.45999999999998</v>
      </c>
      <c r="BD167" s="79">
        <v>279.45999999999998</v>
      </c>
      <c r="BE167" s="79">
        <v>899.46</v>
      </c>
      <c r="BF167" s="79">
        <v>0</v>
      </c>
      <c r="BG167" s="79">
        <v>0</v>
      </c>
      <c r="BH167" s="79">
        <v>0</v>
      </c>
      <c r="BI167" s="79">
        <v>0</v>
      </c>
      <c r="BJ167" s="79">
        <v>0</v>
      </c>
      <c r="BK167" s="79">
        <v>0</v>
      </c>
      <c r="BL167" s="79">
        <v>0</v>
      </c>
      <c r="BM167" s="79">
        <v>0</v>
      </c>
      <c r="BN167" s="79">
        <v>0</v>
      </c>
      <c r="BO167" s="79">
        <v>1458.38</v>
      </c>
    </row>
    <row r="168" spans="1:67" ht="15" customHeight="1">
      <c r="A168" s="66" t="s">
        <v>1791</v>
      </c>
      <c r="B168" s="66" t="s">
        <v>1792</v>
      </c>
      <c r="C168" s="150" t="s">
        <v>1136</v>
      </c>
      <c r="D168" s="150" t="s">
        <v>1135</v>
      </c>
      <c r="E168" s="150" t="s">
        <v>1137</v>
      </c>
      <c r="F168" s="150" t="s">
        <v>1137</v>
      </c>
      <c r="G168" s="511" t="s">
        <v>389</v>
      </c>
      <c r="H168" s="392" t="s">
        <v>1174</v>
      </c>
      <c r="I168" s="343"/>
      <c r="J168" s="343"/>
      <c r="K168" s="70" t="s">
        <v>56</v>
      </c>
      <c r="L168" s="346" t="s">
        <v>1139</v>
      </c>
      <c r="M168" s="346" t="s">
        <v>1140</v>
      </c>
      <c r="N168" s="346"/>
      <c r="O168" s="150" t="s">
        <v>57</v>
      </c>
      <c r="P168" s="1" t="s">
        <v>1141</v>
      </c>
      <c r="Q168" s="403"/>
      <c r="R168" s="406">
        <v>0</v>
      </c>
      <c r="S168" s="406">
        <v>1.26</v>
      </c>
      <c r="T168" s="425"/>
      <c r="U168" s="71"/>
      <c r="V168" s="426">
        <v>0.42</v>
      </c>
      <c r="W168" s="427">
        <v>0.36</v>
      </c>
      <c r="X168" s="427">
        <v>0.48</v>
      </c>
      <c r="Y168" s="428">
        <v>1.31</v>
      </c>
      <c r="Z168" s="429">
        <v>209.68999999999997</v>
      </c>
      <c r="AA168" s="429">
        <v>192.01</v>
      </c>
      <c r="AB168" s="360">
        <v>0</v>
      </c>
      <c r="AC168" s="360">
        <v>0</v>
      </c>
      <c r="AD168" s="360">
        <v>0</v>
      </c>
      <c r="AE168" s="360">
        <v>0</v>
      </c>
      <c r="AF168" s="360">
        <v>0</v>
      </c>
      <c r="AG168" s="360">
        <v>0</v>
      </c>
      <c r="AH168" s="360">
        <f t="shared" si="11"/>
        <v>404.27</v>
      </c>
      <c r="AI168" s="362">
        <f>ERP_5[[#This Row],[2026 Working Total]]-ERP_5[[#This Row],[LE2 Final Submission]]</f>
        <v>403.01</v>
      </c>
      <c r="AJ168" s="79">
        <v>0</v>
      </c>
      <c r="AK168" s="79">
        <f t="shared" si="10"/>
        <v>192.01</v>
      </c>
      <c r="AL168" s="374">
        <f>SUM(ERP_5[[#This Row],[AP01]:[AP06]])-SUM(ERP_5[[#This Row],[AP01 LE2]:[AP06 LE2]])</f>
        <v>403.01</v>
      </c>
      <c r="AM168" s="80"/>
      <c r="AN168" s="79">
        <f>ERP_5[[#This Row],[2026 Working Total to Budget/LE]]-ERP_5[[#This Row],[Giveback]]</f>
        <v>403.01</v>
      </c>
      <c r="AO168" s="81"/>
      <c r="AP168" s="375">
        <v>0.42</v>
      </c>
      <c r="AQ168" s="375">
        <v>0.36</v>
      </c>
      <c r="AR168" s="375">
        <v>0.48</v>
      </c>
      <c r="AS168" s="375">
        <v>0</v>
      </c>
      <c r="AT168" s="375">
        <v>0</v>
      </c>
      <c r="AU168" s="375">
        <v>0</v>
      </c>
      <c r="AV168" s="375">
        <v>0</v>
      </c>
      <c r="AW168" s="375">
        <v>0</v>
      </c>
      <c r="AX168" s="375">
        <v>0</v>
      </c>
      <c r="AY168" s="375">
        <v>0</v>
      </c>
      <c r="AZ168" s="375">
        <v>0</v>
      </c>
      <c r="BA168" s="375">
        <v>0</v>
      </c>
      <c r="BB168" s="375">
        <v>1.26</v>
      </c>
      <c r="BC168" s="79">
        <v>0.42</v>
      </c>
      <c r="BD168" s="79">
        <v>0.36</v>
      </c>
      <c r="BE168" s="79">
        <v>0.48</v>
      </c>
      <c r="BF168" s="79">
        <v>0</v>
      </c>
      <c r="BG168" s="79">
        <v>0</v>
      </c>
      <c r="BH168" s="79">
        <v>0</v>
      </c>
      <c r="BI168" s="79">
        <v>0</v>
      </c>
      <c r="BJ168" s="79">
        <v>0</v>
      </c>
      <c r="BK168" s="79">
        <v>0</v>
      </c>
      <c r="BL168" s="79">
        <v>0</v>
      </c>
      <c r="BM168" s="79">
        <v>0</v>
      </c>
      <c r="BN168" s="79">
        <v>0</v>
      </c>
      <c r="BO168" s="79">
        <v>1.26</v>
      </c>
    </row>
    <row r="169" spans="1:67" ht="15" customHeight="1">
      <c r="A169" s="66" t="s">
        <v>1794</v>
      </c>
      <c r="B169" s="66" t="s">
        <v>1795</v>
      </c>
      <c r="C169" s="150" t="s">
        <v>1136</v>
      </c>
      <c r="D169" s="150" t="s">
        <v>1135</v>
      </c>
      <c r="E169" s="150" t="s">
        <v>1145</v>
      </c>
      <c r="F169" s="150" t="s">
        <v>1137</v>
      </c>
      <c r="G169" s="511" t="s">
        <v>389</v>
      </c>
      <c r="H169" s="392" t="s">
        <v>1174</v>
      </c>
      <c r="I169" s="343"/>
      <c r="J169" s="343"/>
      <c r="K169" s="70" t="s">
        <v>56</v>
      </c>
      <c r="L169" s="346" t="s">
        <v>1153</v>
      </c>
      <c r="M169" s="346" t="s">
        <v>1140</v>
      </c>
      <c r="N169" s="346"/>
      <c r="O169" s="150" t="s">
        <v>57</v>
      </c>
      <c r="P169" s="150"/>
      <c r="Q169" s="403"/>
      <c r="R169" s="406">
        <v>672000</v>
      </c>
      <c r="S169" s="406">
        <v>633103.17999999993</v>
      </c>
      <c r="T169" s="425"/>
      <c r="U169" s="71"/>
      <c r="V169" s="426">
        <v>45611.11</v>
      </c>
      <c r="W169" s="427">
        <v>43675.76</v>
      </c>
      <c r="X169" s="427">
        <v>39816.31</v>
      </c>
      <c r="Y169" s="428">
        <v>40357.590000000004</v>
      </c>
      <c r="Z169" s="429">
        <v>42129.81</v>
      </c>
      <c r="AA169" s="429">
        <v>42451.69000000001</v>
      </c>
      <c r="AB169" s="363">
        <v>42318</v>
      </c>
      <c r="AC169" s="363">
        <v>42318</v>
      </c>
      <c r="AD169" s="363">
        <v>56000</v>
      </c>
      <c r="AE169" s="363">
        <v>56000</v>
      </c>
      <c r="AF169" s="363">
        <v>56000</v>
      </c>
      <c r="AG169" s="363">
        <v>56000</v>
      </c>
      <c r="AH169" s="360">
        <f t="shared" si="11"/>
        <v>562678.27</v>
      </c>
      <c r="AI169" s="362">
        <f>ERP_5[[#This Row],[2026 Working Total]]-ERP_5[[#This Row],[LE2 Final Submission]]</f>
        <v>-70424.909999999916</v>
      </c>
      <c r="AJ169" s="79">
        <v>56000</v>
      </c>
      <c r="AK169" s="79">
        <f t="shared" si="10"/>
        <v>-13548.30999999999</v>
      </c>
      <c r="AL169" s="374">
        <f>SUM(ERP_5[[#This Row],[AP01]:[AP06]])-SUM(ERP_5[[#This Row],[AP01 LE2]:[AP06 LE2]])</f>
        <v>-43060.91</v>
      </c>
      <c r="AM169" s="80"/>
      <c r="AN169" s="79">
        <f>ERP_5[[#This Row],[2026 Working Total to Budget/LE]]-ERP_5[[#This Row],[Giveback]]</f>
        <v>-70424.909999999916</v>
      </c>
      <c r="AO169" s="81"/>
      <c r="AP169" s="375">
        <v>45611.11</v>
      </c>
      <c r="AQ169" s="375">
        <v>43675.76</v>
      </c>
      <c r="AR169" s="375">
        <v>39816.31</v>
      </c>
      <c r="AS169" s="375">
        <v>56000</v>
      </c>
      <c r="AT169" s="375">
        <v>56000</v>
      </c>
      <c r="AU169" s="375">
        <v>56000</v>
      </c>
      <c r="AV169" s="375">
        <v>56000</v>
      </c>
      <c r="AW169" s="375">
        <v>56000</v>
      </c>
      <c r="AX169" s="375">
        <v>56000</v>
      </c>
      <c r="AY169" s="375">
        <v>56000</v>
      </c>
      <c r="AZ169" s="375">
        <v>56000</v>
      </c>
      <c r="BA169" s="375">
        <v>56000</v>
      </c>
      <c r="BB169" s="375">
        <v>633103.17999999993</v>
      </c>
      <c r="BC169" s="79">
        <v>45611.11</v>
      </c>
      <c r="BD169" s="79">
        <v>43675.76</v>
      </c>
      <c r="BE169" s="79">
        <v>39816.31</v>
      </c>
      <c r="BF169" s="79">
        <v>56000</v>
      </c>
      <c r="BG169" s="79">
        <v>56000</v>
      </c>
      <c r="BH169" s="79">
        <v>56000</v>
      </c>
      <c r="BI169" s="79">
        <v>56000</v>
      </c>
      <c r="BJ169" s="79">
        <v>56000</v>
      </c>
      <c r="BK169" s="79">
        <v>56000</v>
      </c>
      <c r="BL169" s="79">
        <v>56000</v>
      </c>
      <c r="BM169" s="79">
        <v>56000</v>
      </c>
      <c r="BN169" s="79">
        <v>56000</v>
      </c>
      <c r="BO169" s="79">
        <v>633103.17999999993</v>
      </c>
    </row>
    <row r="170" spans="1:67" ht="15" customHeight="1">
      <c r="A170" s="66" t="s">
        <v>1591</v>
      </c>
      <c r="B170" s="66" t="s">
        <v>1592</v>
      </c>
      <c r="C170" s="150" t="s">
        <v>1136</v>
      </c>
      <c r="D170" s="150" t="s">
        <v>1567</v>
      </c>
      <c r="E170" s="150" t="s">
        <v>1567</v>
      </c>
      <c r="F170" s="150" t="s">
        <v>1567</v>
      </c>
      <c r="G170" s="511" t="s">
        <v>49</v>
      </c>
      <c r="H170" s="392" t="s">
        <v>1174</v>
      </c>
      <c r="I170" s="343"/>
      <c r="J170" s="343"/>
      <c r="K170" s="70" t="s">
        <v>56</v>
      </c>
      <c r="L170" s="346"/>
      <c r="M170" s="346" t="s">
        <v>1140</v>
      </c>
      <c r="N170" s="346"/>
      <c r="O170" s="150" t="s">
        <v>57</v>
      </c>
      <c r="P170" s="150"/>
      <c r="Q170" s="403"/>
      <c r="R170" s="406">
        <v>0</v>
      </c>
      <c r="S170" s="406">
        <v>13071.14</v>
      </c>
      <c r="T170" s="425"/>
      <c r="U170" s="71"/>
      <c r="V170" s="426">
        <v>5323.5</v>
      </c>
      <c r="W170" s="427">
        <v>2811.9</v>
      </c>
      <c r="X170" s="427">
        <v>4935.74</v>
      </c>
      <c r="Y170" s="428">
        <v>5810.54</v>
      </c>
      <c r="Z170" s="429">
        <v>6233.85</v>
      </c>
      <c r="AA170" s="429">
        <v>6212.75</v>
      </c>
      <c r="AB170" s="360">
        <v>0</v>
      </c>
      <c r="AC170" s="360">
        <v>0</v>
      </c>
      <c r="AD170" s="360">
        <v>0</v>
      </c>
      <c r="AE170" s="360">
        <v>0</v>
      </c>
      <c r="AF170" s="360">
        <v>0</v>
      </c>
      <c r="AG170" s="360">
        <v>0</v>
      </c>
      <c r="AH170" s="360">
        <f t="shared" si="11"/>
        <v>31328.28</v>
      </c>
      <c r="AI170" s="362">
        <f>ERP_5[[#This Row],[2026 Working Total]]-ERP_5[[#This Row],[LE2 Final Submission]]</f>
        <v>18257.14</v>
      </c>
      <c r="AJ170" s="79">
        <v>0</v>
      </c>
      <c r="AK170" s="79">
        <f t="shared" si="10"/>
        <v>6212.75</v>
      </c>
      <c r="AL170" s="374">
        <f>SUM(ERP_5[[#This Row],[AP01]:[AP06]])-SUM(ERP_5[[#This Row],[AP01 LE2]:[AP06 LE2]])</f>
        <v>18257.14</v>
      </c>
      <c r="AM170" s="80"/>
      <c r="AN170" s="79">
        <f>ERP_5[[#This Row],[2026 Working Total to Budget/LE]]-ERP_5[[#This Row],[Giveback]]</f>
        <v>18257.14</v>
      </c>
      <c r="AO170" s="81"/>
      <c r="AP170" s="375">
        <v>5323.5</v>
      </c>
      <c r="AQ170" s="375">
        <v>2811.9</v>
      </c>
      <c r="AR170" s="375">
        <v>4935.74</v>
      </c>
      <c r="AS170" s="375">
        <v>0</v>
      </c>
      <c r="AT170" s="375">
        <v>0</v>
      </c>
      <c r="AU170" s="375">
        <v>0</v>
      </c>
      <c r="AV170" s="375">
        <v>0</v>
      </c>
      <c r="AW170" s="375">
        <v>0</v>
      </c>
      <c r="AX170" s="375">
        <v>0</v>
      </c>
      <c r="AY170" s="375">
        <v>0</v>
      </c>
      <c r="AZ170" s="375">
        <v>0</v>
      </c>
      <c r="BA170" s="375">
        <v>0</v>
      </c>
      <c r="BB170" s="375">
        <v>13071.14</v>
      </c>
      <c r="BC170" s="79">
        <v>5323.5</v>
      </c>
      <c r="BD170" s="79">
        <v>2811.9</v>
      </c>
      <c r="BE170" s="79">
        <v>4935.74</v>
      </c>
      <c r="BF170" s="79">
        <v>0</v>
      </c>
      <c r="BG170" s="79">
        <v>0</v>
      </c>
      <c r="BH170" s="79">
        <v>0</v>
      </c>
      <c r="BI170" s="79">
        <v>0</v>
      </c>
      <c r="BJ170" s="79">
        <v>0</v>
      </c>
      <c r="BK170" s="79">
        <v>0</v>
      </c>
      <c r="BL170" s="79">
        <v>0</v>
      </c>
      <c r="BM170" s="79">
        <v>0</v>
      </c>
      <c r="BN170" s="79">
        <v>0</v>
      </c>
      <c r="BO170" s="79">
        <v>13071.14</v>
      </c>
    </row>
    <row r="171" spans="1:67" ht="15" customHeight="1">
      <c r="A171" s="66" t="s">
        <v>2096</v>
      </c>
      <c r="B171" s="66" t="s">
        <v>2097</v>
      </c>
      <c r="C171" s="150" t="s">
        <v>1136</v>
      </c>
      <c r="D171" s="150" t="s">
        <v>1567</v>
      </c>
      <c r="E171" s="150" t="s">
        <v>1567</v>
      </c>
      <c r="F171" s="150" t="s">
        <v>1567</v>
      </c>
      <c r="G171" s="511" t="s">
        <v>389</v>
      </c>
      <c r="H171" s="392" t="s">
        <v>1174</v>
      </c>
      <c r="I171" s="343"/>
      <c r="J171" s="343"/>
      <c r="K171" s="70" t="s">
        <v>56</v>
      </c>
      <c r="L171" s="346"/>
      <c r="M171" s="346" t="s">
        <v>1140</v>
      </c>
      <c r="N171" s="346"/>
      <c r="O171" s="150" t="s">
        <v>57</v>
      </c>
      <c r="P171" s="150"/>
      <c r="Q171" s="403"/>
      <c r="R171" s="406">
        <v>42000</v>
      </c>
      <c r="S171" s="406">
        <v>36969.919999999998</v>
      </c>
      <c r="T171" s="425"/>
      <c r="U171" s="71"/>
      <c r="V171" s="426">
        <v>1654.46</v>
      </c>
      <c r="W171" s="427">
        <v>2175.66</v>
      </c>
      <c r="X171" s="427">
        <v>1639.8</v>
      </c>
      <c r="Y171" s="428">
        <v>3229.0899999999997</v>
      </c>
      <c r="Z171" s="429">
        <v>4136.0599999999995</v>
      </c>
      <c r="AA171" s="429">
        <v>4975.22</v>
      </c>
      <c r="AB171" s="363">
        <v>3500</v>
      </c>
      <c r="AC171" s="363">
        <v>3500</v>
      </c>
      <c r="AD171" s="363">
        <v>3500</v>
      </c>
      <c r="AE171" s="363">
        <v>3500</v>
      </c>
      <c r="AF171" s="363">
        <v>3500</v>
      </c>
      <c r="AG171" s="363">
        <v>3500</v>
      </c>
      <c r="AH171" s="360">
        <f t="shared" si="11"/>
        <v>38810.29</v>
      </c>
      <c r="AI171" s="362">
        <f>ERP_5[[#This Row],[2026 Working Total]]-ERP_5[[#This Row],[LE2 Final Submission]]</f>
        <v>1840.3700000000026</v>
      </c>
      <c r="AJ171" s="79">
        <v>3500</v>
      </c>
      <c r="AK171" s="79">
        <f t="shared" si="10"/>
        <v>1475.2200000000003</v>
      </c>
      <c r="AL171" s="374">
        <f>SUM(ERP_5[[#This Row],[AP01]:[AP06]])-SUM(ERP_5[[#This Row],[AP01 LE2]:[AP06 LE2]])</f>
        <v>1840.3700000000008</v>
      </c>
      <c r="AM171" s="80"/>
      <c r="AN171" s="79">
        <f>ERP_5[[#This Row],[2026 Working Total to Budget/LE]]-ERP_5[[#This Row],[Giveback]]</f>
        <v>1840.3700000000026</v>
      </c>
      <c r="AO171" s="81"/>
      <c r="AP171" s="375">
        <v>1654.46</v>
      </c>
      <c r="AQ171" s="375">
        <v>2175.66</v>
      </c>
      <c r="AR171" s="375">
        <v>1639.8</v>
      </c>
      <c r="AS171" s="375">
        <v>3500</v>
      </c>
      <c r="AT171" s="375">
        <v>3500</v>
      </c>
      <c r="AU171" s="375">
        <v>3500</v>
      </c>
      <c r="AV171" s="375">
        <v>3500</v>
      </c>
      <c r="AW171" s="375">
        <v>3500</v>
      </c>
      <c r="AX171" s="375">
        <v>3500</v>
      </c>
      <c r="AY171" s="375">
        <v>3500</v>
      </c>
      <c r="AZ171" s="375">
        <v>3500</v>
      </c>
      <c r="BA171" s="375">
        <v>3500</v>
      </c>
      <c r="BB171" s="375">
        <v>36969.919999999998</v>
      </c>
      <c r="BC171" s="79">
        <v>1654.46</v>
      </c>
      <c r="BD171" s="79">
        <v>2175.66</v>
      </c>
      <c r="BE171" s="79">
        <v>1639.8</v>
      </c>
      <c r="BF171" s="79">
        <v>3500</v>
      </c>
      <c r="BG171" s="79">
        <v>3500</v>
      </c>
      <c r="BH171" s="79">
        <v>3500</v>
      </c>
      <c r="BI171" s="79">
        <v>3500</v>
      </c>
      <c r="BJ171" s="79">
        <v>3500</v>
      </c>
      <c r="BK171" s="79">
        <v>3500</v>
      </c>
      <c r="BL171" s="79">
        <v>3500</v>
      </c>
      <c r="BM171" s="79">
        <v>3500</v>
      </c>
      <c r="BN171" s="79">
        <v>3500</v>
      </c>
      <c r="BO171" s="79">
        <v>36969.919999999998</v>
      </c>
    </row>
    <row r="172" spans="1:67" ht="15" customHeight="1">
      <c r="A172" s="66" t="s">
        <v>1653</v>
      </c>
      <c r="B172" s="66" t="s">
        <v>325</v>
      </c>
      <c r="C172" s="150" t="s">
        <v>1136</v>
      </c>
      <c r="D172" s="150" t="s">
        <v>1650</v>
      </c>
      <c r="E172" s="150" t="s">
        <v>1650</v>
      </c>
      <c r="F172" s="150" t="s">
        <v>1650</v>
      </c>
      <c r="G172" s="511" t="s">
        <v>49</v>
      </c>
      <c r="H172" s="392" t="s">
        <v>1174</v>
      </c>
      <c r="I172" s="343"/>
      <c r="J172" s="343"/>
      <c r="K172" s="70" t="s">
        <v>56</v>
      </c>
      <c r="L172" s="346"/>
      <c r="M172" s="346" t="s">
        <v>1140</v>
      </c>
      <c r="N172" s="346"/>
      <c r="O172" s="150" t="s">
        <v>57</v>
      </c>
      <c r="P172" s="150"/>
      <c r="Q172" s="403"/>
      <c r="R172" s="406">
        <v>0</v>
      </c>
      <c r="S172" s="406">
        <v>400</v>
      </c>
      <c r="T172" s="425"/>
      <c r="U172" s="71"/>
      <c r="V172" s="426"/>
      <c r="W172" s="427">
        <v>400</v>
      </c>
      <c r="X172" s="431">
        <v>0</v>
      </c>
      <c r="Y172" s="428">
        <v>0</v>
      </c>
      <c r="Z172" s="429">
        <v>0</v>
      </c>
      <c r="AA172" s="429">
        <v>0</v>
      </c>
      <c r="AB172" s="360">
        <v>0</v>
      </c>
      <c r="AC172" s="360">
        <v>0</v>
      </c>
      <c r="AD172" s="360">
        <v>0</v>
      </c>
      <c r="AE172" s="360">
        <v>0</v>
      </c>
      <c r="AF172" s="360">
        <v>0</v>
      </c>
      <c r="AG172" s="360">
        <v>0</v>
      </c>
      <c r="AH172" s="360">
        <f t="shared" si="11"/>
        <v>400</v>
      </c>
      <c r="AI172" s="362">
        <f>ERP_5[[#This Row],[2026 Working Total]]-ERP_5[[#This Row],[LE2 Final Submission]]</f>
        <v>0</v>
      </c>
      <c r="AJ172" s="79">
        <v>0</v>
      </c>
      <c r="AK172" s="79">
        <f t="shared" si="10"/>
        <v>0</v>
      </c>
      <c r="AL172" s="374">
        <f>SUM(ERP_5[[#This Row],[AP01]:[AP06]])-SUM(ERP_5[[#This Row],[AP01 LE2]:[AP06 LE2]])</f>
        <v>0</v>
      </c>
      <c r="AM172" s="80"/>
      <c r="AN172" s="79">
        <f>ERP_5[[#This Row],[2026 Working Total to Budget/LE]]-ERP_5[[#This Row],[Giveback]]</f>
        <v>0</v>
      </c>
      <c r="AO172" s="81"/>
      <c r="AP172" s="375"/>
      <c r="AQ172" s="375">
        <v>400</v>
      </c>
      <c r="AR172" s="375">
        <v>0</v>
      </c>
      <c r="AS172" s="375">
        <v>0</v>
      </c>
      <c r="AT172" s="375">
        <v>0</v>
      </c>
      <c r="AU172" s="375">
        <v>0</v>
      </c>
      <c r="AV172" s="375">
        <v>0</v>
      </c>
      <c r="AW172" s="375">
        <v>0</v>
      </c>
      <c r="AX172" s="375">
        <v>0</v>
      </c>
      <c r="AY172" s="375">
        <v>0</v>
      </c>
      <c r="AZ172" s="375">
        <v>0</v>
      </c>
      <c r="BA172" s="375">
        <v>0</v>
      </c>
      <c r="BB172" s="375">
        <v>400</v>
      </c>
      <c r="BC172" s="79"/>
      <c r="BD172" s="79">
        <v>400</v>
      </c>
      <c r="BE172" s="79">
        <v>0</v>
      </c>
      <c r="BF172" s="79">
        <v>0</v>
      </c>
      <c r="BG172" s="79">
        <v>0</v>
      </c>
      <c r="BH172" s="79">
        <v>0</v>
      </c>
      <c r="BI172" s="79">
        <v>0</v>
      </c>
      <c r="BJ172" s="79">
        <v>0</v>
      </c>
      <c r="BK172" s="79">
        <v>0</v>
      </c>
      <c r="BL172" s="79">
        <v>0</v>
      </c>
      <c r="BM172" s="79">
        <v>0</v>
      </c>
      <c r="BN172" s="79">
        <v>0</v>
      </c>
      <c r="BO172" s="79">
        <v>400</v>
      </c>
    </row>
    <row r="173" spans="1:67" ht="15" customHeight="1">
      <c r="A173" s="66" t="s">
        <v>1748</v>
      </c>
      <c r="B173" s="66" t="s">
        <v>385</v>
      </c>
      <c r="C173" s="150" t="s">
        <v>1136</v>
      </c>
      <c r="D173" s="150" t="s">
        <v>1650</v>
      </c>
      <c r="E173" s="150" t="s">
        <v>1650</v>
      </c>
      <c r="F173" s="150" t="s">
        <v>1650</v>
      </c>
      <c r="G173" s="511" t="s">
        <v>342</v>
      </c>
      <c r="H173" s="392" t="s">
        <v>1174</v>
      </c>
      <c r="I173" s="343"/>
      <c r="J173" s="343"/>
      <c r="K173" s="70" t="s">
        <v>56</v>
      </c>
      <c r="L173" s="346"/>
      <c r="M173" s="346" t="s">
        <v>1140</v>
      </c>
      <c r="N173" s="346"/>
      <c r="O173" s="150" t="s">
        <v>57</v>
      </c>
      <c r="P173" s="150"/>
      <c r="Q173" s="403"/>
      <c r="R173" s="406">
        <v>0</v>
      </c>
      <c r="S173" s="406">
        <v>1060</v>
      </c>
      <c r="T173" s="425"/>
      <c r="U173" s="71"/>
      <c r="V173" s="426"/>
      <c r="W173" s="427">
        <v>1060</v>
      </c>
      <c r="X173" s="431">
        <v>0</v>
      </c>
      <c r="Y173" s="428" t="s">
        <v>1142</v>
      </c>
      <c r="Z173" s="429">
        <v>0</v>
      </c>
      <c r="AA173" s="429">
        <v>0</v>
      </c>
      <c r="AB173" s="360">
        <v>0</v>
      </c>
      <c r="AC173" s="360">
        <v>0</v>
      </c>
      <c r="AD173" s="360">
        <v>0</v>
      </c>
      <c r="AE173" s="360">
        <v>0</v>
      </c>
      <c r="AF173" s="360">
        <v>0</v>
      </c>
      <c r="AG173" s="360">
        <v>0</v>
      </c>
      <c r="AH173" s="360">
        <f t="shared" si="11"/>
        <v>1060</v>
      </c>
      <c r="AI173" s="362">
        <f>ERP_5[[#This Row],[2026 Working Total]]-ERP_5[[#This Row],[LE2 Final Submission]]</f>
        <v>0</v>
      </c>
      <c r="AJ173" s="79">
        <v>0</v>
      </c>
      <c r="AK173" s="79">
        <f t="shared" si="10"/>
        <v>0</v>
      </c>
      <c r="AL173" s="374">
        <f>SUM(ERP_5[[#This Row],[AP01]:[AP06]])-SUM(ERP_5[[#This Row],[AP01 LE2]:[AP06 LE2]])</f>
        <v>0</v>
      </c>
      <c r="AM173" s="80"/>
      <c r="AN173" s="79">
        <f>ERP_5[[#This Row],[2026 Working Total to Budget/LE]]-ERP_5[[#This Row],[Giveback]]</f>
        <v>0</v>
      </c>
      <c r="AO173" s="81"/>
      <c r="AP173" s="375"/>
      <c r="AQ173" s="375">
        <v>1060</v>
      </c>
      <c r="AR173" s="375">
        <v>0</v>
      </c>
      <c r="AS173" s="375">
        <v>0</v>
      </c>
      <c r="AT173" s="375">
        <v>0</v>
      </c>
      <c r="AU173" s="375">
        <v>0</v>
      </c>
      <c r="AV173" s="375">
        <v>0</v>
      </c>
      <c r="AW173" s="375">
        <v>0</v>
      </c>
      <c r="AX173" s="375">
        <v>0</v>
      </c>
      <c r="AY173" s="375">
        <v>0</v>
      </c>
      <c r="AZ173" s="375">
        <v>0</v>
      </c>
      <c r="BA173" s="375">
        <v>0</v>
      </c>
      <c r="BB173" s="375">
        <v>1060</v>
      </c>
      <c r="BC173" s="79"/>
      <c r="BD173" s="79">
        <v>1060</v>
      </c>
      <c r="BE173" s="79">
        <v>0</v>
      </c>
      <c r="BF173" s="79">
        <v>0</v>
      </c>
      <c r="BG173" s="79">
        <v>0</v>
      </c>
      <c r="BH173" s="79">
        <v>0</v>
      </c>
      <c r="BI173" s="79">
        <v>0</v>
      </c>
      <c r="BJ173" s="79">
        <v>0</v>
      </c>
      <c r="BK173" s="79">
        <v>0</v>
      </c>
      <c r="BL173" s="79">
        <v>0</v>
      </c>
      <c r="BM173" s="79">
        <v>0</v>
      </c>
      <c r="BN173" s="79">
        <v>0</v>
      </c>
      <c r="BO173" s="79">
        <v>1060</v>
      </c>
    </row>
    <row r="174" spans="1:67" ht="15" customHeight="1">
      <c r="A174" s="66" t="s">
        <v>2261</v>
      </c>
      <c r="B174" s="66" t="s">
        <v>2262</v>
      </c>
      <c r="C174" s="150" t="s">
        <v>1136</v>
      </c>
      <c r="D174" s="150" t="s">
        <v>1135</v>
      </c>
      <c r="E174" s="150" t="s">
        <v>1145</v>
      </c>
      <c r="F174" s="150" t="s">
        <v>1137</v>
      </c>
      <c r="G174" s="511" t="s">
        <v>639</v>
      </c>
      <c r="H174" s="392" t="s">
        <v>1174</v>
      </c>
      <c r="I174" s="343"/>
      <c r="J174" s="343"/>
      <c r="K174" s="70" t="s">
        <v>56</v>
      </c>
      <c r="L174" s="346"/>
      <c r="M174" s="346" t="s">
        <v>1140</v>
      </c>
      <c r="N174" s="346"/>
      <c r="O174" s="150" t="s">
        <v>57</v>
      </c>
      <c r="P174" s="150"/>
      <c r="Q174" s="403"/>
      <c r="R174" s="406">
        <v>48000</v>
      </c>
      <c r="S174" s="406">
        <v>47938.130000000005</v>
      </c>
      <c r="T174" s="425"/>
      <c r="U174" s="71"/>
      <c r="V174" s="426">
        <v>4052.17</v>
      </c>
      <c r="W174" s="427">
        <v>3772.71</v>
      </c>
      <c r="X174" s="427">
        <v>4113.25</v>
      </c>
      <c r="Y174" s="428">
        <v>3493.25</v>
      </c>
      <c r="Z174" s="429">
        <v>3493.25</v>
      </c>
      <c r="AA174" s="429">
        <v>3493.25</v>
      </c>
      <c r="AB174" s="363">
        <v>4000</v>
      </c>
      <c r="AC174" s="363">
        <v>4000</v>
      </c>
      <c r="AD174" s="363">
        <v>4000</v>
      </c>
      <c r="AE174" s="363">
        <v>4000</v>
      </c>
      <c r="AF174" s="363">
        <v>4000</v>
      </c>
      <c r="AG174" s="363">
        <v>4000</v>
      </c>
      <c r="AH174" s="360">
        <f t="shared" si="11"/>
        <v>46417.880000000005</v>
      </c>
      <c r="AI174" s="362">
        <f>ERP_5[[#This Row],[2026 Working Total]]-ERP_5[[#This Row],[LE2 Final Submission]]</f>
        <v>-1520.25</v>
      </c>
      <c r="AJ174" s="79">
        <v>4000</v>
      </c>
      <c r="AK174" s="79">
        <f t="shared" si="10"/>
        <v>-506.75</v>
      </c>
      <c r="AL174" s="374">
        <f>SUM(ERP_5[[#This Row],[AP01]:[AP06]])-SUM(ERP_5[[#This Row],[AP01 LE2]:[AP06 LE2]])</f>
        <v>-1520.25</v>
      </c>
      <c r="AM174" s="80"/>
      <c r="AN174" s="79">
        <f>ERP_5[[#This Row],[2026 Working Total to Budget/LE]]-ERP_5[[#This Row],[Giveback]]</f>
        <v>-1520.25</v>
      </c>
      <c r="AO174" s="81"/>
      <c r="AP174" s="375">
        <v>4052.17</v>
      </c>
      <c r="AQ174" s="375">
        <v>3772.71</v>
      </c>
      <c r="AR174" s="375">
        <v>4113.25</v>
      </c>
      <c r="AS174" s="375">
        <v>4000</v>
      </c>
      <c r="AT174" s="375">
        <v>4000</v>
      </c>
      <c r="AU174" s="375">
        <v>4000</v>
      </c>
      <c r="AV174" s="375">
        <v>4000</v>
      </c>
      <c r="AW174" s="375">
        <v>4000</v>
      </c>
      <c r="AX174" s="375">
        <v>4000</v>
      </c>
      <c r="AY174" s="375">
        <v>4000</v>
      </c>
      <c r="AZ174" s="375">
        <v>4000</v>
      </c>
      <c r="BA174" s="375">
        <v>4000</v>
      </c>
      <c r="BB174" s="375">
        <v>47938.130000000005</v>
      </c>
      <c r="BC174" s="79">
        <v>4052.17</v>
      </c>
      <c r="BD174" s="79">
        <v>3772.71</v>
      </c>
      <c r="BE174" s="79">
        <v>4113.25</v>
      </c>
      <c r="BF174" s="79">
        <v>4000</v>
      </c>
      <c r="BG174" s="79">
        <v>4000</v>
      </c>
      <c r="BH174" s="79">
        <v>4000</v>
      </c>
      <c r="BI174" s="79">
        <v>4000</v>
      </c>
      <c r="BJ174" s="79">
        <v>4000</v>
      </c>
      <c r="BK174" s="79">
        <v>4000</v>
      </c>
      <c r="BL174" s="79">
        <v>4000</v>
      </c>
      <c r="BM174" s="79">
        <v>4000</v>
      </c>
      <c r="BN174" s="79">
        <v>4000</v>
      </c>
      <c r="BO174" s="79">
        <v>47938.130000000005</v>
      </c>
    </row>
    <row r="175" spans="1:67" ht="15" customHeight="1">
      <c r="A175" s="66" t="s">
        <v>1172</v>
      </c>
      <c r="B175" s="66" t="s">
        <v>1173</v>
      </c>
      <c r="C175" s="150" t="s">
        <v>1136</v>
      </c>
      <c r="D175" s="150" t="s">
        <v>1135</v>
      </c>
      <c r="E175" s="150" t="s">
        <v>1165</v>
      </c>
      <c r="F175" s="150" t="s">
        <v>1137</v>
      </c>
      <c r="G175" s="511" t="s">
        <v>49</v>
      </c>
      <c r="H175" s="392" t="s">
        <v>1174</v>
      </c>
      <c r="I175" s="343"/>
      <c r="J175" s="343"/>
      <c r="K175" s="70" t="s">
        <v>56</v>
      </c>
      <c r="L175" s="346" t="s">
        <v>1139</v>
      </c>
      <c r="M175" s="346" t="s">
        <v>1140</v>
      </c>
      <c r="N175" s="346"/>
      <c r="O175" s="150" t="s">
        <v>57</v>
      </c>
      <c r="P175" s="150"/>
      <c r="Q175" s="403"/>
      <c r="R175" s="406">
        <v>0</v>
      </c>
      <c r="S175" s="406">
        <v>1080</v>
      </c>
      <c r="T175" s="425"/>
      <c r="U175" s="71"/>
      <c r="V175" s="426">
        <v>360</v>
      </c>
      <c r="W175" s="427">
        <v>360</v>
      </c>
      <c r="X175" s="427">
        <v>360</v>
      </c>
      <c r="Y175" s="428">
        <v>0</v>
      </c>
      <c r="Z175" s="429">
        <v>0</v>
      </c>
      <c r="AA175" s="429">
        <v>0</v>
      </c>
      <c r="AB175" s="360">
        <v>0</v>
      </c>
      <c r="AC175" s="360">
        <v>0</v>
      </c>
      <c r="AD175" s="360">
        <v>0</v>
      </c>
      <c r="AE175" s="360">
        <v>0</v>
      </c>
      <c r="AF175" s="360">
        <v>0</v>
      </c>
      <c r="AG175" s="360">
        <v>0</v>
      </c>
      <c r="AH175" s="360">
        <f t="shared" si="11"/>
        <v>1080</v>
      </c>
      <c r="AI175" s="362">
        <f>ERP_5[[#This Row],[2026 Working Total]]-ERP_5[[#This Row],[LE2 Final Submission]]</f>
        <v>0</v>
      </c>
      <c r="AJ175" s="79">
        <v>0</v>
      </c>
      <c r="AK175" s="79">
        <f t="shared" si="10"/>
        <v>0</v>
      </c>
      <c r="AL175" s="374">
        <f>SUM(ERP_5[[#This Row],[AP01]:[AP06]])-SUM(ERP_5[[#This Row],[AP01 LE2]:[AP06 LE2]])</f>
        <v>0</v>
      </c>
      <c r="AM175" s="80"/>
      <c r="AN175" s="79">
        <f>ERP_5[[#This Row],[2026 Working Total to Budget/LE]]-ERP_5[[#This Row],[Giveback]]</f>
        <v>0</v>
      </c>
      <c r="AO175" s="81"/>
      <c r="AP175" s="375">
        <v>360</v>
      </c>
      <c r="AQ175" s="375">
        <v>360</v>
      </c>
      <c r="AR175" s="375">
        <v>360</v>
      </c>
      <c r="AS175" s="375">
        <v>0</v>
      </c>
      <c r="AT175" s="375">
        <v>0</v>
      </c>
      <c r="AU175" s="375">
        <v>0</v>
      </c>
      <c r="AV175" s="375">
        <v>0</v>
      </c>
      <c r="AW175" s="375">
        <v>0</v>
      </c>
      <c r="AX175" s="375">
        <v>0</v>
      </c>
      <c r="AY175" s="375">
        <v>0</v>
      </c>
      <c r="AZ175" s="375">
        <v>0</v>
      </c>
      <c r="BA175" s="375">
        <v>0</v>
      </c>
      <c r="BB175" s="375">
        <v>1080</v>
      </c>
      <c r="BC175" s="79">
        <v>360</v>
      </c>
      <c r="BD175" s="79">
        <v>360</v>
      </c>
      <c r="BE175" s="79">
        <v>360</v>
      </c>
      <c r="BF175" s="79">
        <v>0</v>
      </c>
      <c r="BG175" s="79">
        <v>0</v>
      </c>
      <c r="BH175" s="79">
        <v>0</v>
      </c>
      <c r="BI175" s="79">
        <v>0</v>
      </c>
      <c r="BJ175" s="79">
        <v>0</v>
      </c>
      <c r="BK175" s="79">
        <v>0</v>
      </c>
      <c r="BL175" s="79">
        <v>0</v>
      </c>
      <c r="BM175" s="79">
        <v>0</v>
      </c>
      <c r="BN175" s="79">
        <v>0</v>
      </c>
      <c r="BO175" s="79">
        <v>1080</v>
      </c>
    </row>
    <row r="176" spans="1:67" ht="15" customHeight="1">
      <c r="A176" s="66" t="s">
        <v>1796</v>
      </c>
      <c r="B176" s="66" t="s">
        <v>1797</v>
      </c>
      <c r="C176" s="150" t="s">
        <v>1136</v>
      </c>
      <c r="D176" s="150" t="s">
        <v>1135</v>
      </c>
      <c r="E176" s="150" t="s">
        <v>1165</v>
      </c>
      <c r="F176" s="150" t="s">
        <v>1137</v>
      </c>
      <c r="G176" s="511" t="s">
        <v>389</v>
      </c>
      <c r="H176" s="392" t="s">
        <v>1174</v>
      </c>
      <c r="I176" s="343"/>
      <c r="J176" s="343"/>
      <c r="K176" s="70" t="s">
        <v>56</v>
      </c>
      <c r="L176" s="346"/>
      <c r="M176" s="346" t="s">
        <v>1140</v>
      </c>
      <c r="N176" s="346"/>
      <c r="O176" s="150" t="s">
        <v>57</v>
      </c>
      <c r="P176" s="150"/>
      <c r="Q176" s="403"/>
      <c r="R176" s="406">
        <v>480000</v>
      </c>
      <c r="S176" s="406">
        <v>717425.61</v>
      </c>
      <c r="T176" s="425"/>
      <c r="U176" s="71"/>
      <c r="V176" s="426">
        <v>61804.2</v>
      </c>
      <c r="W176" s="427">
        <v>58988.63</v>
      </c>
      <c r="X176" s="427">
        <v>56632.78</v>
      </c>
      <c r="Y176" s="428">
        <v>54081.419999999991</v>
      </c>
      <c r="Z176" s="429">
        <v>51184.079999999994</v>
      </c>
      <c r="AA176" s="429">
        <v>49707.65</v>
      </c>
      <c r="AB176" s="363">
        <v>62000</v>
      </c>
      <c r="AC176" s="363">
        <v>62000</v>
      </c>
      <c r="AD176" s="363">
        <v>62000</v>
      </c>
      <c r="AE176" s="363">
        <v>62000</v>
      </c>
      <c r="AF176" s="363">
        <v>62000</v>
      </c>
      <c r="AG176" s="363">
        <v>62734</v>
      </c>
      <c r="AH176" s="360">
        <f t="shared" si="11"/>
        <v>705132.76</v>
      </c>
      <c r="AI176" s="362">
        <f>ERP_5[[#This Row],[2026 Working Total]]-ERP_5[[#This Row],[LE2 Final Submission]]</f>
        <v>-12292.849999999977</v>
      </c>
      <c r="AJ176" s="79">
        <v>60000</v>
      </c>
      <c r="AK176" s="79">
        <f t="shared" si="10"/>
        <v>-10292.349999999999</v>
      </c>
      <c r="AL176" s="374">
        <f>SUM(ERP_5[[#This Row],[AP01]:[AP06]])-SUM(ERP_5[[#This Row],[AP01 LE2]:[AP06 LE2]])</f>
        <v>-25026.849999999977</v>
      </c>
      <c r="AM176" s="80"/>
      <c r="AN176" s="79">
        <f>ERP_5[[#This Row],[2026 Working Total to Budget/LE]]-ERP_5[[#This Row],[Giveback]]</f>
        <v>-12292.849999999977</v>
      </c>
      <c r="AO176" s="81"/>
      <c r="AP176" s="375">
        <v>61804.2</v>
      </c>
      <c r="AQ176" s="375">
        <v>58988.63</v>
      </c>
      <c r="AR176" s="375">
        <v>56632.78</v>
      </c>
      <c r="AS176" s="375">
        <v>60000</v>
      </c>
      <c r="AT176" s="375">
        <v>60000</v>
      </c>
      <c r="AU176" s="375">
        <v>60000</v>
      </c>
      <c r="AV176" s="375">
        <v>60000</v>
      </c>
      <c r="AW176" s="375">
        <v>60000</v>
      </c>
      <c r="AX176" s="375">
        <v>60000</v>
      </c>
      <c r="AY176" s="375">
        <v>60000</v>
      </c>
      <c r="AZ176" s="375">
        <v>60000</v>
      </c>
      <c r="BA176" s="375">
        <v>60000</v>
      </c>
      <c r="BB176" s="375">
        <v>717425.61</v>
      </c>
      <c r="BC176" s="79">
        <v>61804.2</v>
      </c>
      <c r="BD176" s="79">
        <v>58988.63</v>
      </c>
      <c r="BE176" s="79">
        <v>56632.78</v>
      </c>
      <c r="BF176" s="79">
        <v>40000</v>
      </c>
      <c r="BG176" s="79">
        <v>40000</v>
      </c>
      <c r="BH176" s="79">
        <v>40000</v>
      </c>
      <c r="BI176" s="79">
        <v>40000</v>
      </c>
      <c r="BJ176" s="79">
        <v>40000</v>
      </c>
      <c r="BK176" s="79">
        <v>40000</v>
      </c>
      <c r="BL176" s="79">
        <v>40000</v>
      </c>
      <c r="BM176" s="79">
        <v>40000</v>
      </c>
      <c r="BN176" s="79">
        <v>40000</v>
      </c>
      <c r="BO176" s="79">
        <v>537425.61</v>
      </c>
    </row>
    <row r="177" spans="1:67" ht="15" customHeight="1">
      <c r="A177" s="66" t="s">
        <v>1435</v>
      </c>
      <c r="B177" s="66" t="s">
        <v>1436</v>
      </c>
      <c r="C177" s="150" t="s">
        <v>1136</v>
      </c>
      <c r="D177" s="150" t="s">
        <v>1345</v>
      </c>
      <c r="E177" s="150" t="s">
        <v>1437</v>
      </c>
      <c r="F177" s="150" t="s">
        <v>1346</v>
      </c>
      <c r="G177" s="511" t="s">
        <v>49</v>
      </c>
      <c r="H177" s="392" t="s">
        <v>1174</v>
      </c>
      <c r="I177" s="343"/>
      <c r="J177" s="343"/>
      <c r="K177" s="70" t="s">
        <v>56</v>
      </c>
      <c r="L177" s="346"/>
      <c r="M177" s="346" t="s">
        <v>1140</v>
      </c>
      <c r="N177" s="346"/>
      <c r="O177" s="150" t="s">
        <v>57</v>
      </c>
      <c r="P177" s="150"/>
      <c r="Q177" s="403"/>
      <c r="R177" s="406">
        <v>24000</v>
      </c>
      <c r="S177" s="406">
        <v>18457.8</v>
      </c>
      <c r="T177" s="425"/>
      <c r="U177" s="71"/>
      <c r="V177" s="426">
        <v>366.24</v>
      </c>
      <c r="W177" s="431">
        <v>0</v>
      </c>
      <c r="X177" s="427">
        <v>91.56</v>
      </c>
      <c r="Y177" s="428">
        <v>0</v>
      </c>
      <c r="Z177" s="429">
        <v>0</v>
      </c>
      <c r="AA177" s="429">
        <v>0</v>
      </c>
      <c r="AB177" s="363">
        <v>2000</v>
      </c>
      <c r="AC177" s="363">
        <v>2000</v>
      </c>
      <c r="AD177" s="363">
        <v>2000</v>
      </c>
      <c r="AE177" s="363">
        <v>2000</v>
      </c>
      <c r="AF177" s="363">
        <v>2000</v>
      </c>
      <c r="AG177" s="363">
        <v>2000</v>
      </c>
      <c r="AH177" s="360">
        <f t="shared" si="11"/>
        <v>12457.8</v>
      </c>
      <c r="AI177" s="362">
        <f>ERP_5[[#This Row],[2026 Working Total]]-ERP_5[[#This Row],[LE2 Final Submission]]</f>
        <v>-6000</v>
      </c>
      <c r="AJ177" s="79">
        <v>2000</v>
      </c>
      <c r="AK177" s="79">
        <f t="shared" si="10"/>
        <v>-2000</v>
      </c>
      <c r="AL177" s="374">
        <f>SUM(ERP_5[[#This Row],[AP01]:[AP06]])-SUM(ERP_5[[#This Row],[AP01 LE2]:[AP06 LE2]])</f>
        <v>-6000</v>
      </c>
      <c r="AM177" s="80"/>
      <c r="AN177" s="79">
        <f>ERP_5[[#This Row],[2026 Working Total to Budget/LE]]-ERP_5[[#This Row],[Giveback]]</f>
        <v>-6000</v>
      </c>
      <c r="AO177" s="81"/>
      <c r="AP177" s="375">
        <v>366.24</v>
      </c>
      <c r="AQ177" s="375">
        <v>0</v>
      </c>
      <c r="AR177" s="375">
        <v>91.56</v>
      </c>
      <c r="AS177" s="375">
        <v>2000</v>
      </c>
      <c r="AT177" s="375">
        <v>2000</v>
      </c>
      <c r="AU177" s="375">
        <v>2000</v>
      </c>
      <c r="AV177" s="375">
        <v>2000</v>
      </c>
      <c r="AW177" s="375">
        <v>2000</v>
      </c>
      <c r="AX177" s="375">
        <v>2000</v>
      </c>
      <c r="AY177" s="375">
        <v>2000</v>
      </c>
      <c r="AZ177" s="375">
        <v>2000</v>
      </c>
      <c r="BA177" s="375">
        <v>2000</v>
      </c>
      <c r="BB177" s="375">
        <v>18457.8</v>
      </c>
      <c r="BC177" s="79">
        <v>366.24</v>
      </c>
      <c r="BD177" s="79">
        <v>0</v>
      </c>
      <c r="BE177" s="79">
        <v>91.56</v>
      </c>
      <c r="BF177" s="79">
        <v>2000</v>
      </c>
      <c r="BG177" s="79">
        <v>2000</v>
      </c>
      <c r="BH177" s="79">
        <v>2000</v>
      </c>
      <c r="BI177" s="79">
        <v>2000</v>
      </c>
      <c r="BJ177" s="79">
        <v>2000</v>
      </c>
      <c r="BK177" s="79">
        <v>2000</v>
      </c>
      <c r="BL177" s="79">
        <v>2000</v>
      </c>
      <c r="BM177" s="79">
        <v>2000</v>
      </c>
      <c r="BN177" s="79">
        <v>2000</v>
      </c>
      <c r="BO177" s="79">
        <v>18457.8</v>
      </c>
    </row>
    <row r="178" spans="1:67" ht="15" customHeight="1">
      <c r="A178" s="66" t="s">
        <v>2012</v>
      </c>
      <c r="B178" s="66" t="s">
        <v>2013</v>
      </c>
      <c r="C178" s="150" t="s">
        <v>1136</v>
      </c>
      <c r="D178" s="150" t="s">
        <v>1345</v>
      </c>
      <c r="E178" s="150" t="s">
        <v>1437</v>
      </c>
      <c r="F178" s="150" t="s">
        <v>1346</v>
      </c>
      <c r="G178" s="511" t="s">
        <v>389</v>
      </c>
      <c r="H178" s="392" t="s">
        <v>1174</v>
      </c>
      <c r="I178" s="343"/>
      <c r="J178" s="343"/>
      <c r="K178" s="70" t="s">
        <v>56</v>
      </c>
      <c r="L178" s="346"/>
      <c r="M178" s="346" t="s">
        <v>1140</v>
      </c>
      <c r="N178" s="346"/>
      <c r="O178" s="150" t="s">
        <v>57</v>
      </c>
      <c r="P178" s="150"/>
      <c r="Q178" s="403"/>
      <c r="R178" s="406">
        <v>68292</v>
      </c>
      <c r="S178" s="406">
        <v>61982.03</v>
      </c>
      <c r="T178" s="425"/>
      <c r="U178" s="71"/>
      <c r="V178" s="426">
        <v>3349.03</v>
      </c>
      <c r="W178" s="427">
        <v>3352.38</v>
      </c>
      <c r="X178" s="427">
        <v>4061.62</v>
      </c>
      <c r="Y178" s="428">
        <v>3971.33</v>
      </c>
      <c r="Z178" s="429">
        <v>5537.35</v>
      </c>
      <c r="AA178" s="429">
        <v>4773.54</v>
      </c>
      <c r="AB178" s="363">
        <v>5691</v>
      </c>
      <c r="AC178" s="363">
        <v>5691</v>
      </c>
      <c r="AD178" s="363">
        <v>5691</v>
      </c>
      <c r="AE178" s="363">
        <v>5691</v>
      </c>
      <c r="AF178" s="363">
        <v>5691</v>
      </c>
      <c r="AG178" s="363">
        <v>5691</v>
      </c>
      <c r="AH178" s="360">
        <f t="shared" si="11"/>
        <v>59191.25</v>
      </c>
      <c r="AI178" s="362">
        <f>ERP_5[[#This Row],[2026 Working Total]]-ERP_5[[#This Row],[LE2 Final Submission]]</f>
        <v>-2790.7799999999988</v>
      </c>
      <c r="AJ178" s="79">
        <v>5691</v>
      </c>
      <c r="AK178" s="79">
        <f t="shared" si="10"/>
        <v>-917.46</v>
      </c>
      <c r="AL178" s="374">
        <f>SUM(ERP_5[[#This Row],[AP01]:[AP06]])-SUM(ERP_5[[#This Row],[AP01 LE2]:[AP06 LE2]])</f>
        <v>-2790.7799999999988</v>
      </c>
      <c r="AM178" s="80"/>
      <c r="AN178" s="79">
        <f>ERP_5[[#This Row],[2026 Working Total to Budget/LE]]-ERP_5[[#This Row],[Giveback]]</f>
        <v>-2790.7799999999988</v>
      </c>
      <c r="AO178" s="81"/>
      <c r="AP178" s="375">
        <v>3349.03</v>
      </c>
      <c r="AQ178" s="375">
        <v>3352.38</v>
      </c>
      <c r="AR178" s="375">
        <v>4061.62</v>
      </c>
      <c r="AS178" s="375">
        <v>5691</v>
      </c>
      <c r="AT178" s="375">
        <v>5691</v>
      </c>
      <c r="AU178" s="375">
        <v>5691</v>
      </c>
      <c r="AV178" s="375">
        <v>5691</v>
      </c>
      <c r="AW178" s="375">
        <v>5691</v>
      </c>
      <c r="AX178" s="375">
        <v>5691</v>
      </c>
      <c r="AY178" s="375">
        <v>5691</v>
      </c>
      <c r="AZ178" s="375">
        <v>5691</v>
      </c>
      <c r="BA178" s="375">
        <v>5691</v>
      </c>
      <c r="BB178" s="375">
        <v>61982.03</v>
      </c>
      <c r="BC178" s="79">
        <v>3349.03</v>
      </c>
      <c r="BD178" s="79">
        <v>3352.38</v>
      </c>
      <c r="BE178" s="79">
        <v>4061.62</v>
      </c>
      <c r="BF178" s="79">
        <v>5691</v>
      </c>
      <c r="BG178" s="79">
        <v>5691</v>
      </c>
      <c r="BH178" s="79">
        <v>5691</v>
      </c>
      <c r="BI178" s="79">
        <v>5691</v>
      </c>
      <c r="BJ178" s="79">
        <v>5691</v>
      </c>
      <c r="BK178" s="79">
        <v>5691</v>
      </c>
      <c r="BL178" s="79">
        <v>5691</v>
      </c>
      <c r="BM178" s="79">
        <v>5691</v>
      </c>
      <c r="BN178" s="79">
        <v>5691</v>
      </c>
      <c r="BO178" s="79">
        <v>61982.03</v>
      </c>
    </row>
    <row r="179" spans="1:67" ht="15" customHeight="1">
      <c r="A179" s="66" t="s">
        <v>2669</v>
      </c>
      <c r="B179" s="66" t="s">
        <v>2670</v>
      </c>
      <c r="C179" s="150" t="s">
        <v>1136</v>
      </c>
      <c r="D179" s="150" t="s">
        <v>1345</v>
      </c>
      <c r="E179" s="150" t="s">
        <v>1437</v>
      </c>
      <c r="F179" s="150" t="s">
        <v>1346</v>
      </c>
      <c r="G179" s="511" t="s">
        <v>639</v>
      </c>
      <c r="H179" s="392" t="s">
        <v>1174</v>
      </c>
      <c r="I179" s="343"/>
      <c r="J179" s="343"/>
      <c r="K179" s="70" t="s">
        <v>56</v>
      </c>
      <c r="L179" s="346"/>
      <c r="M179" s="346" t="s">
        <v>1140</v>
      </c>
      <c r="N179" s="346"/>
      <c r="O179" s="150" t="s">
        <v>57</v>
      </c>
      <c r="P179" s="150"/>
      <c r="Q179" s="403"/>
      <c r="R179" s="406">
        <v>23474.640000000003</v>
      </c>
      <c r="S179" s="406">
        <v>27085.450000000004</v>
      </c>
      <c r="T179" s="425"/>
      <c r="U179" s="71"/>
      <c r="V179" s="426">
        <v>1816.49</v>
      </c>
      <c r="W179" s="427">
        <v>1816.49</v>
      </c>
      <c r="X179" s="427">
        <v>5846.49</v>
      </c>
      <c r="Y179" s="428">
        <v>1816.49</v>
      </c>
      <c r="Z179" s="429">
        <v>1816.49</v>
      </c>
      <c r="AA179" s="429">
        <v>1816.49</v>
      </c>
      <c r="AB179" s="363">
        <v>1956.22</v>
      </c>
      <c r="AC179" s="363">
        <v>1956.22</v>
      </c>
      <c r="AD179" s="363">
        <v>1956.22</v>
      </c>
      <c r="AE179" s="363">
        <v>1956.22</v>
      </c>
      <c r="AF179" s="363">
        <v>1956.22</v>
      </c>
      <c r="AG179" s="363">
        <v>1956.22</v>
      </c>
      <c r="AH179" s="360">
        <f t="shared" si="11"/>
        <v>26666.260000000006</v>
      </c>
      <c r="AI179" s="362">
        <f>ERP_5[[#This Row],[2026 Working Total]]-ERP_5[[#This Row],[LE2 Final Submission]]</f>
        <v>-419.18999999999869</v>
      </c>
      <c r="AJ179" s="79">
        <v>1956.22</v>
      </c>
      <c r="AK179" s="79">
        <f t="shared" si="10"/>
        <v>-139.73000000000002</v>
      </c>
      <c r="AL179" s="374">
        <f>SUM(ERP_5[[#This Row],[AP01]:[AP06]])-SUM(ERP_5[[#This Row],[AP01 LE2]:[AP06 LE2]])</f>
        <v>-419.18999999999869</v>
      </c>
      <c r="AM179" s="80"/>
      <c r="AN179" s="79">
        <f>ERP_5[[#This Row],[2026 Working Total to Budget/LE]]-ERP_5[[#This Row],[Giveback]]</f>
        <v>-419.18999999999869</v>
      </c>
      <c r="AO179" s="81"/>
      <c r="AP179" s="375">
        <v>1816.49</v>
      </c>
      <c r="AQ179" s="375">
        <v>1816.49</v>
      </c>
      <c r="AR179" s="375">
        <v>5846.49</v>
      </c>
      <c r="AS179" s="375">
        <v>1956.22</v>
      </c>
      <c r="AT179" s="375">
        <v>1956.22</v>
      </c>
      <c r="AU179" s="375">
        <v>1956.22</v>
      </c>
      <c r="AV179" s="375">
        <v>1956.22</v>
      </c>
      <c r="AW179" s="375">
        <v>1956.22</v>
      </c>
      <c r="AX179" s="375">
        <v>1956.22</v>
      </c>
      <c r="AY179" s="375">
        <v>1956.22</v>
      </c>
      <c r="AZ179" s="375">
        <v>1956.22</v>
      </c>
      <c r="BA179" s="375">
        <v>1956.22</v>
      </c>
      <c r="BB179" s="375">
        <v>27085.450000000004</v>
      </c>
      <c r="BC179" s="79">
        <v>1816.49</v>
      </c>
      <c r="BD179" s="79">
        <v>1816.49</v>
      </c>
      <c r="BE179" s="79">
        <v>5846.49</v>
      </c>
      <c r="BF179" s="79">
        <v>1956.22</v>
      </c>
      <c r="BG179" s="79">
        <v>1956.22</v>
      </c>
      <c r="BH179" s="79">
        <v>1956.22</v>
      </c>
      <c r="BI179" s="79">
        <v>1956.22</v>
      </c>
      <c r="BJ179" s="79">
        <v>1956.22</v>
      </c>
      <c r="BK179" s="79">
        <v>1956.22</v>
      </c>
      <c r="BL179" s="79">
        <v>1956.22</v>
      </c>
      <c r="BM179" s="79">
        <v>1956.22</v>
      </c>
      <c r="BN179" s="79">
        <v>1956.22</v>
      </c>
      <c r="BO179" s="79">
        <v>27085.450000000004</v>
      </c>
    </row>
    <row r="180" spans="1:67" ht="15" customHeight="1">
      <c r="A180" s="66" t="s">
        <v>2778</v>
      </c>
      <c r="B180" s="66" t="s">
        <v>2779</v>
      </c>
      <c r="C180" s="150" t="s">
        <v>1136</v>
      </c>
      <c r="D180" s="150" t="s">
        <v>1567</v>
      </c>
      <c r="E180" s="150" t="s">
        <v>1567</v>
      </c>
      <c r="F180" s="150" t="s">
        <v>1567</v>
      </c>
      <c r="G180" s="511" t="s">
        <v>639</v>
      </c>
      <c r="H180" s="392" t="s">
        <v>2780</v>
      </c>
      <c r="I180" s="343"/>
      <c r="J180" s="343"/>
      <c r="K180" s="70" t="s">
        <v>999</v>
      </c>
      <c r="L180" s="346"/>
      <c r="M180" s="346" t="s">
        <v>1140</v>
      </c>
      <c r="N180" s="346"/>
      <c r="O180" s="150" t="s">
        <v>1000</v>
      </c>
      <c r="P180" s="150"/>
      <c r="Q180" s="404"/>
      <c r="R180" s="407">
        <v>0</v>
      </c>
      <c r="S180" s="407">
        <v>0</v>
      </c>
      <c r="T180" s="425"/>
      <c r="U180" s="71"/>
      <c r="V180" s="426">
        <v>16675.14</v>
      </c>
      <c r="W180" s="431">
        <v>0</v>
      </c>
      <c r="X180" s="427">
        <v>-16675.14</v>
      </c>
      <c r="Y180" s="428" t="s">
        <v>1142</v>
      </c>
      <c r="Z180" s="429">
        <v>0</v>
      </c>
      <c r="AA180" s="429">
        <v>0</v>
      </c>
      <c r="AB180" s="363"/>
      <c r="AC180" s="363"/>
      <c r="AD180" s="363"/>
      <c r="AE180" s="363"/>
      <c r="AF180" s="363"/>
      <c r="AG180" s="363"/>
      <c r="AH180" s="360">
        <f t="shared" si="11"/>
        <v>0</v>
      </c>
      <c r="AI180" s="362">
        <f>ERP_5[[#This Row],[2026 Working Total]]-ERP_5[[#This Row],[LE2 Final Submission]]</f>
        <v>0</v>
      </c>
      <c r="AJ180" s="79"/>
      <c r="AK180" s="79">
        <f t="shared" si="10"/>
        <v>0</v>
      </c>
      <c r="AL180" s="374">
        <f>SUM(ERP_5[[#This Row],[AP01]:[AP06]])-SUM(ERP_5[[#This Row],[AP01 LE2]:[AP06 LE2]])</f>
        <v>0</v>
      </c>
      <c r="AM180" s="80"/>
      <c r="AN180" s="79">
        <f>ERP_5[[#This Row],[2026 Working Total to Budget/LE]]-ERP_5[[#This Row],[Giveback]]</f>
        <v>0</v>
      </c>
      <c r="AO180" s="81"/>
      <c r="AP180" s="375">
        <v>16675.14</v>
      </c>
      <c r="AQ180" s="375">
        <v>0</v>
      </c>
      <c r="AR180" s="375">
        <v>-16675.14</v>
      </c>
      <c r="AS180" s="375"/>
      <c r="AT180" s="375"/>
      <c r="AU180" s="375"/>
      <c r="AV180" s="375"/>
      <c r="AW180" s="375"/>
      <c r="AX180" s="375"/>
      <c r="AY180" s="375"/>
      <c r="AZ180" s="375"/>
      <c r="BA180" s="375"/>
      <c r="BB180" s="375">
        <v>0</v>
      </c>
      <c r="BC180" s="79">
        <v>16675.14</v>
      </c>
      <c r="BD180" s="79">
        <v>0</v>
      </c>
      <c r="BE180" s="79">
        <v>-16675.14</v>
      </c>
      <c r="BF180" s="79"/>
      <c r="BG180" s="79"/>
      <c r="BH180" s="79"/>
      <c r="BI180" s="79"/>
      <c r="BJ180" s="79"/>
      <c r="BK180" s="79"/>
      <c r="BL180" s="79"/>
      <c r="BM180" s="79"/>
      <c r="BN180" s="79"/>
      <c r="BO180" s="79">
        <v>0</v>
      </c>
    </row>
    <row r="181" spans="1:67" ht="15" customHeight="1">
      <c r="A181" s="66" t="s">
        <v>1667</v>
      </c>
      <c r="B181" s="66" t="s">
        <v>1668</v>
      </c>
      <c r="C181" s="150" t="s">
        <v>1136</v>
      </c>
      <c r="D181" s="150" t="s">
        <v>1345</v>
      </c>
      <c r="E181" s="150" t="s">
        <v>1346</v>
      </c>
      <c r="F181" s="150" t="s">
        <v>1346</v>
      </c>
      <c r="G181" s="511" t="s">
        <v>333</v>
      </c>
      <c r="H181" s="392" t="s">
        <v>1663</v>
      </c>
      <c r="I181" s="343"/>
      <c r="J181" s="343"/>
      <c r="K181" s="70" t="s">
        <v>336</v>
      </c>
      <c r="L181" s="346"/>
      <c r="M181" s="346" t="s">
        <v>1140</v>
      </c>
      <c r="N181" s="346"/>
      <c r="O181" s="150" t="s">
        <v>25</v>
      </c>
      <c r="P181" s="150" t="s">
        <v>1666</v>
      </c>
      <c r="Q181" s="403"/>
      <c r="R181" s="406">
        <v>0</v>
      </c>
      <c r="S181" s="406">
        <v>19503</v>
      </c>
      <c r="T181" s="425"/>
      <c r="U181" s="71"/>
      <c r="V181" s="426">
        <v>336</v>
      </c>
      <c r="W181" s="427">
        <v>337</v>
      </c>
      <c r="X181" s="427">
        <v>1883</v>
      </c>
      <c r="Y181" s="428">
        <v>852.00000000000011</v>
      </c>
      <c r="Z181" s="429">
        <v>1823.6399999999999</v>
      </c>
      <c r="AA181" s="429">
        <v>1823.62</v>
      </c>
      <c r="AB181" s="363">
        <v>1883</v>
      </c>
      <c r="AC181" s="363">
        <v>1883</v>
      </c>
      <c r="AD181" s="363">
        <v>1883</v>
      </c>
      <c r="AE181" s="363">
        <v>1883</v>
      </c>
      <c r="AF181" s="363">
        <v>1883</v>
      </c>
      <c r="AG181" s="363">
        <v>1883</v>
      </c>
      <c r="AH181" s="360">
        <f t="shared" si="11"/>
        <v>18353.259999999998</v>
      </c>
      <c r="AI181" s="362">
        <f>ERP_5[[#This Row],[2026 Working Total]]-ERP_5[[#This Row],[LE2 Final Submission]]</f>
        <v>-1149.7400000000016</v>
      </c>
      <c r="AJ181" s="79">
        <v>1883</v>
      </c>
      <c r="AK181" s="79">
        <f t="shared" si="10"/>
        <v>-59.380000000000109</v>
      </c>
      <c r="AL181" s="374">
        <f>SUM(ERP_5[[#This Row],[AP01]:[AP06]])-SUM(ERP_5[[#This Row],[AP01 LE2]:[AP06 LE2]])</f>
        <v>-1149.7400000000007</v>
      </c>
      <c r="AM181" s="80"/>
      <c r="AN181" s="79">
        <f>ERP_5[[#This Row],[2026 Working Total to Budget/LE]]-ERP_5[[#This Row],[Giveback]]</f>
        <v>-1149.7400000000016</v>
      </c>
      <c r="AO181" s="81"/>
      <c r="AP181" s="375">
        <v>336</v>
      </c>
      <c r="AQ181" s="375">
        <v>337</v>
      </c>
      <c r="AR181" s="375">
        <v>1883</v>
      </c>
      <c r="AS181" s="375">
        <v>1883</v>
      </c>
      <c r="AT181" s="375">
        <v>1883</v>
      </c>
      <c r="AU181" s="375">
        <v>1883</v>
      </c>
      <c r="AV181" s="375">
        <v>1883</v>
      </c>
      <c r="AW181" s="375">
        <v>1883</v>
      </c>
      <c r="AX181" s="375">
        <v>1883</v>
      </c>
      <c r="AY181" s="375">
        <v>1883</v>
      </c>
      <c r="AZ181" s="375">
        <v>1883</v>
      </c>
      <c r="BA181" s="375">
        <v>1883</v>
      </c>
      <c r="BB181" s="375">
        <v>19503</v>
      </c>
      <c r="BC181" s="79">
        <v>336</v>
      </c>
      <c r="BD181" s="79">
        <v>337</v>
      </c>
      <c r="BE181" s="79">
        <v>1883</v>
      </c>
      <c r="BF181" s="79">
        <v>0</v>
      </c>
      <c r="BG181" s="79">
        <v>0</v>
      </c>
      <c r="BH181" s="79">
        <v>0</v>
      </c>
      <c r="BI181" s="79">
        <v>0</v>
      </c>
      <c r="BJ181" s="79">
        <v>0</v>
      </c>
      <c r="BK181" s="79">
        <v>0</v>
      </c>
      <c r="BL181" s="79">
        <v>0</v>
      </c>
      <c r="BM181" s="79">
        <v>0</v>
      </c>
      <c r="BN181" s="79">
        <v>0</v>
      </c>
      <c r="BO181" s="79">
        <v>2556</v>
      </c>
    </row>
    <row r="182" spans="1:67" ht="15" customHeight="1">
      <c r="A182" s="66" t="s">
        <v>1665</v>
      </c>
      <c r="B182" s="66" t="s">
        <v>335</v>
      </c>
      <c r="C182" s="150" t="s">
        <v>1136</v>
      </c>
      <c r="D182" s="150" t="s">
        <v>1345</v>
      </c>
      <c r="E182" s="150" t="s">
        <v>1344</v>
      </c>
      <c r="F182" s="150" t="s">
        <v>1346</v>
      </c>
      <c r="G182" s="511" t="s">
        <v>333</v>
      </c>
      <c r="H182" s="392" t="s">
        <v>1663</v>
      </c>
      <c r="I182" s="343"/>
      <c r="J182" s="343"/>
      <c r="K182" s="70" t="s">
        <v>336</v>
      </c>
      <c r="L182" s="346"/>
      <c r="M182" s="346" t="s">
        <v>1140</v>
      </c>
      <c r="N182" s="346"/>
      <c r="O182" s="150" t="s">
        <v>25</v>
      </c>
      <c r="P182" s="150" t="s">
        <v>1666</v>
      </c>
      <c r="Q182" s="403"/>
      <c r="R182" s="406">
        <v>0</v>
      </c>
      <c r="S182" s="406">
        <v>6232.2000000000016</v>
      </c>
      <c r="T182" s="425"/>
      <c r="U182" s="71"/>
      <c r="V182" s="426">
        <v>519.35</v>
      </c>
      <c r="W182" s="427">
        <v>519.35</v>
      </c>
      <c r="X182" s="427">
        <v>519.35</v>
      </c>
      <c r="Y182" s="428">
        <v>519.35</v>
      </c>
      <c r="Z182" s="429">
        <v>519.35</v>
      </c>
      <c r="AA182" s="429">
        <v>519.35</v>
      </c>
      <c r="AB182" s="363">
        <v>519.35</v>
      </c>
      <c r="AC182" s="363">
        <v>519.35</v>
      </c>
      <c r="AD182" s="363">
        <v>519.35</v>
      </c>
      <c r="AE182" s="363">
        <v>519.35</v>
      </c>
      <c r="AF182" s="363">
        <v>519.35</v>
      </c>
      <c r="AG182" s="363">
        <v>519.35</v>
      </c>
      <c r="AH182" s="360">
        <f t="shared" si="11"/>
        <v>6232.2000000000016</v>
      </c>
      <c r="AI182" s="362">
        <f>ERP_5[[#This Row],[2026 Working Total]]-ERP_5[[#This Row],[LE2 Final Submission]]</f>
        <v>0</v>
      </c>
      <c r="AJ182" s="79">
        <v>519.35</v>
      </c>
      <c r="AK182" s="79">
        <f t="shared" si="10"/>
        <v>0</v>
      </c>
      <c r="AL182" s="374">
        <f>SUM(ERP_5[[#This Row],[AP01]:[AP06]])-SUM(ERP_5[[#This Row],[AP01 LE2]:[AP06 LE2]])</f>
        <v>0</v>
      </c>
      <c r="AM182" s="80"/>
      <c r="AN182" s="79">
        <f>ERP_5[[#This Row],[2026 Working Total to Budget/LE]]-ERP_5[[#This Row],[Giveback]]</f>
        <v>0</v>
      </c>
      <c r="AO182" s="81"/>
      <c r="AP182" s="375">
        <v>519.35</v>
      </c>
      <c r="AQ182" s="375">
        <v>519.35</v>
      </c>
      <c r="AR182" s="375">
        <v>519.35</v>
      </c>
      <c r="AS182" s="375">
        <v>519.35</v>
      </c>
      <c r="AT182" s="375">
        <v>519.35</v>
      </c>
      <c r="AU182" s="375">
        <v>519.35</v>
      </c>
      <c r="AV182" s="375">
        <v>519.35</v>
      </c>
      <c r="AW182" s="375">
        <v>519.35</v>
      </c>
      <c r="AX182" s="375">
        <v>519.35</v>
      </c>
      <c r="AY182" s="375">
        <v>519.35</v>
      </c>
      <c r="AZ182" s="375">
        <v>519.35</v>
      </c>
      <c r="BA182" s="375">
        <v>519.35</v>
      </c>
      <c r="BB182" s="375">
        <v>6232.2000000000016</v>
      </c>
      <c r="BC182" s="79">
        <v>519.35</v>
      </c>
      <c r="BD182" s="79">
        <v>519.35</v>
      </c>
      <c r="BE182" s="79">
        <v>519.35</v>
      </c>
      <c r="BF182" s="79">
        <v>0</v>
      </c>
      <c r="BG182" s="79">
        <v>0</v>
      </c>
      <c r="BH182" s="79">
        <v>0</v>
      </c>
      <c r="BI182" s="79">
        <v>0</v>
      </c>
      <c r="BJ182" s="79">
        <v>0</v>
      </c>
      <c r="BK182" s="79">
        <v>0</v>
      </c>
      <c r="BL182" s="79">
        <v>0</v>
      </c>
      <c r="BM182" s="79">
        <v>0</v>
      </c>
      <c r="BN182" s="79">
        <v>0</v>
      </c>
      <c r="BO182" s="79">
        <v>1558.0500000000002</v>
      </c>
    </row>
    <row r="183" spans="1:67" ht="15" customHeight="1">
      <c r="A183" s="66" t="s">
        <v>2263</v>
      </c>
      <c r="B183" s="66" t="s">
        <v>2264</v>
      </c>
      <c r="C183" s="150" t="s">
        <v>1136</v>
      </c>
      <c r="D183" s="150" t="s">
        <v>1135</v>
      </c>
      <c r="E183" s="150" t="s">
        <v>1165</v>
      </c>
      <c r="F183" s="150" t="s">
        <v>1137</v>
      </c>
      <c r="G183" s="511" t="s">
        <v>639</v>
      </c>
      <c r="H183" s="392" t="s">
        <v>1174</v>
      </c>
      <c r="I183" s="343"/>
      <c r="J183" s="343"/>
      <c r="K183" s="70" t="s">
        <v>56</v>
      </c>
      <c r="L183" s="346"/>
      <c r="M183" s="346" t="s">
        <v>1140</v>
      </c>
      <c r="N183" s="346"/>
      <c r="O183" s="150" t="s">
        <v>57</v>
      </c>
      <c r="P183" s="150"/>
      <c r="Q183" s="403"/>
      <c r="R183" s="406">
        <v>8383.7999999999975</v>
      </c>
      <c r="S183" s="406">
        <v>8383.76</v>
      </c>
      <c r="T183" s="425"/>
      <c r="U183" s="71"/>
      <c r="V183" s="426">
        <v>698.65</v>
      </c>
      <c r="W183" s="427">
        <v>558.91999999999996</v>
      </c>
      <c r="X183" s="427">
        <v>419.19</v>
      </c>
      <c r="Y183" s="428">
        <v>279.45999999999998</v>
      </c>
      <c r="Z183" s="429">
        <v>279.45999999999998</v>
      </c>
      <c r="AA183" s="429">
        <v>279.45999999999998</v>
      </c>
      <c r="AB183" s="363">
        <v>750</v>
      </c>
      <c r="AC183" s="363">
        <v>750</v>
      </c>
      <c r="AD183" s="363">
        <v>750</v>
      </c>
      <c r="AE183" s="363">
        <v>750</v>
      </c>
      <c r="AF183" s="363">
        <v>750</v>
      </c>
      <c r="AG183" s="363">
        <v>750</v>
      </c>
      <c r="AH183" s="360">
        <f t="shared" si="11"/>
        <v>7015.1399999999994</v>
      </c>
      <c r="AI183" s="362">
        <f>ERP_5[[#This Row],[2026 Working Total]]-ERP_5[[#This Row],[LE2 Final Submission]]</f>
        <v>-1368.6200000000008</v>
      </c>
      <c r="AJ183" s="79">
        <v>767</v>
      </c>
      <c r="AK183" s="79">
        <f t="shared" si="10"/>
        <v>-487.54</v>
      </c>
      <c r="AL183" s="374">
        <f>SUM(ERP_5[[#This Row],[AP01]:[AP06]])-SUM(ERP_5[[#This Row],[AP01 LE2]:[AP06 LE2]])</f>
        <v>-1368.6200000000003</v>
      </c>
      <c r="AM183" s="80"/>
      <c r="AN183" s="79">
        <f>ERP_5[[#This Row],[2026 Working Total to Budget/LE]]-ERP_5[[#This Row],[Giveback]]</f>
        <v>-1368.6200000000008</v>
      </c>
      <c r="AO183" s="81"/>
      <c r="AP183" s="375">
        <v>698.65</v>
      </c>
      <c r="AQ183" s="375">
        <v>558.91999999999996</v>
      </c>
      <c r="AR183" s="375">
        <v>419.19</v>
      </c>
      <c r="AS183" s="375">
        <v>690</v>
      </c>
      <c r="AT183" s="375">
        <v>767</v>
      </c>
      <c r="AU183" s="375">
        <v>750</v>
      </c>
      <c r="AV183" s="375">
        <v>750</v>
      </c>
      <c r="AW183" s="375">
        <v>750</v>
      </c>
      <c r="AX183" s="375">
        <v>750</v>
      </c>
      <c r="AY183" s="375">
        <v>750</v>
      </c>
      <c r="AZ183" s="375">
        <v>750</v>
      </c>
      <c r="BA183" s="375">
        <v>750</v>
      </c>
      <c r="BB183" s="375">
        <v>8383.76</v>
      </c>
      <c r="BC183" s="79">
        <v>698.65</v>
      </c>
      <c r="BD183" s="79">
        <v>558.91999999999996</v>
      </c>
      <c r="BE183" s="79">
        <v>419.19</v>
      </c>
      <c r="BF183" s="79">
        <v>698.65</v>
      </c>
      <c r="BG183" s="79">
        <v>698.65</v>
      </c>
      <c r="BH183" s="79">
        <v>698.65</v>
      </c>
      <c r="BI183" s="79">
        <v>698.65</v>
      </c>
      <c r="BJ183" s="79">
        <v>698.65</v>
      </c>
      <c r="BK183" s="79">
        <v>698.65</v>
      </c>
      <c r="BL183" s="79">
        <v>698.65</v>
      </c>
      <c r="BM183" s="79">
        <v>698.65</v>
      </c>
      <c r="BN183" s="79">
        <v>698.65</v>
      </c>
      <c r="BO183" s="79">
        <v>7964.6099999999979</v>
      </c>
    </row>
    <row r="184" spans="1:67" ht="15" customHeight="1">
      <c r="A184" s="66" t="s">
        <v>1669</v>
      </c>
      <c r="B184" s="66" t="s">
        <v>1670</v>
      </c>
      <c r="C184" s="150" t="s">
        <v>1136</v>
      </c>
      <c r="D184" s="150" t="s">
        <v>1567</v>
      </c>
      <c r="E184" s="150" t="s">
        <v>1567</v>
      </c>
      <c r="F184" s="150" t="s">
        <v>1567</v>
      </c>
      <c r="G184" s="511" t="s">
        <v>333</v>
      </c>
      <c r="H184" s="392" t="s">
        <v>1663</v>
      </c>
      <c r="I184" s="343"/>
      <c r="J184" s="343"/>
      <c r="K184" s="70" t="s">
        <v>336</v>
      </c>
      <c r="L184" s="346"/>
      <c r="M184" s="346" t="s">
        <v>1140</v>
      </c>
      <c r="N184" s="346"/>
      <c r="O184" s="150" t="s">
        <v>25</v>
      </c>
      <c r="P184" s="150" t="s">
        <v>1666</v>
      </c>
      <c r="Q184" s="403"/>
      <c r="R184" s="406">
        <v>32110933.16</v>
      </c>
      <c r="S184" s="406">
        <v>34757461.509999998</v>
      </c>
      <c r="T184" s="425"/>
      <c r="U184" s="71"/>
      <c r="V184" s="426">
        <v>2815065.65</v>
      </c>
      <c r="W184" s="427">
        <v>3048410.85</v>
      </c>
      <c r="X184" s="427">
        <v>3021391.85</v>
      </c>
      <c r="Y184" s="428">
        <v>2973057.3200000008</v>
      </c>
      <c r="Z184" s="429">
        <v>3070156.0000000009</v>
      </c>
      <c r="AA184" s="429">
        <v>2999435.120000001</v>
      </c>
      <c r="AB184" s="363">
        <v>2977460.79</v>
      </c>
      <c r="AC184" s="363">
        <v>2957767.97</v>
      </c>
      <c r="AD184" s="363">
        <v>2824180.51</v>
      </c>
      <c r="AE184" s="363">
        <v>2683373.61</v>
      </c>
      <c r="AF184" s="363">
        <v>2683374.5</v>
      </c>
      <c r="AG184" s="363">
        <v>2683373.5699999998</v>
      </c>
      <c r="AH184" s="360">
        <f t="shared" si="11"/>
        <v>34737047.740000002</v>
      </c>
      <c r="AI184" s="362">
        <f>ERP_5[[#This Row],[2026 Working Total]]-ERP_5[[#This Row],[LE2 Final Submission]]</f>
        <v>-20413.769999995828</v>
      </c>
      <c r="AJ184" s="79">
        <v>3021022.03</v>
      </c>
      <c r="AK184" s="79">
        <f t="shared" si="10"/>
        <v>-21586.909999998752</v>
      </c>
      <c r="AL184" s="374">
        <f>SUM(ERP_5[[#This Row],[AP01]:[AP06]])-SUM(ERP_5[[#This Row],[AP01 LE2]:[AP06 LE2]])</f>
        <v>-20413.769999995828</v>
      </c>
      <c r="AM184" s="80"/>
      <c r="AN184" s="79">
        <f>ERP_5[[#This Row],[2026 Working Total to Budget/LE]]-ERP_5[[#This Row],[Giveback]]</f>
        <v>-20413.769999995828</v>
      </c>
      <c r="AO184" s="81"/>
      <c r="AP184" s="375">
        <v>2815065.65</v>
      </c>
      <c r="AQ184" s="375">
        <v>3048410.85</v>
      </c>
      <c r="AR184" s="375">
        <v>3021391.85</v>
      </c>
      <c r="AS184" s="375">
        <v>3021020.11</v>
      </c>
      <c r="AT184" s="375">
        <v>3021022.03</v>
      </c>
      <c r="AU184" s="375">
        <v>3021020.07</v>
      </c>
      <c r="AV184" s="375">
        <v>2977460.79</v>
      </c>
      <c r="AW184" s="375">
        <v>2957767.97</v>
      </c>
      <c r="AX184" s="375">
        <v>2824180.51</v>
      </c>
      <c r="AY184" s="375">
        <v>2683373.61</v>
      </c>
      <c r="AZ184" s="375">
        <v>2683374.5</v>
      </c>
      <c r="BA184" s="375">
        <v>2683373.5699999998</v>
      </c>
      <c r="BB184" s="375">
        <v>34757461.509999998</v>
      </c>
      <c r="BC184" s="79">
        <v>2815065.65</v>
      </c>
      <c r="BD184" s="79">
        <v>3048410.85</v>
      </c>
      <c r="BE184" s="79">
        <v>3021391.85</v>
      </c>
      <c r="BF184" s="79">
        <v>3021020.11</v>
      </c>
      <c r="BG184" s="79">
        <v>3021022.03</v>
      </c>
      <c r="BH184" s="79">
        <v>3021020.07</v>
      </c>
      <c r="BI184" s="79">
        <v>2977460.79</v>
      </c>
      <c r="BJ184" s="79">
        <v>2957767.97</v>
      </c>
      <c r="BK184" s="79">
        <v>2824180.51</v>
      </c>
      <c r="BL184" s="79">
        <v>2683373.61</v>
      </c>
      <c r="BM184" s="79">
        <v>2683374.5</v>
      </c>
      <c r="BN184" s="79">
        <v>2683373.5699999998</v>
      </c>
      <c r="BO184" s="79">
        <v>34757461.509999998</v>
      </c>
    </row>
    <row r="185" spans="1:67" ht="15" customHeight="1">
      <c r="A185" s="66" t="s">
        <v>1671</v>
      </c>
      <c r="B185" s="66" t="s">
        <v>1672</v>
      </c>
      <c r="C185" s="150" t="s">
        <v>1136</v>
      </c>
      <c r="D185" s="150" t="s">
        <v>1567</v>
      </c>
      <c r="E185" s="150" t="s">
        <v>1567</v>
      </c>
      <c r="F185" s="150" t="s">
        <v>1567</v>
      </c>
      <c r="G185" s="511" t="s">
        <v>333</v>
      </c>
      <c r="H185" s="392" t="s">
        <v>1673</v>
      </c>
      <c r="I185" s="343"/>
      <c r="J185" s="343"/>
      <c r="K185" s="70" t="s">
        <v>339</v>
      </c>
      <c r="L185" s="346"/>
      <c r="M185" s="346" t="s">
        <v>1140</v>
      </c>
      <c r="N185" s="346"/>
      <c r="O185" s="505" t="s">
        <v>340</v>
      </c>
      <c r="P185" s="150"/>
      <c r="Q185" s="403"/>
      <c r="R185" s="406">
        <v>3047384</v>
      </c>
      <c r="S185" s="406">
        <v>147762.3031111111</v>
      </c>
      <c r="T185" s="425"/>
      <c r="U185" s="71"/>
      <c r="V185" s="426"/>
      <c r="W185" s="427"/>
      <c r="X185" s="427"/>
      <c r="Y185" s="428" t="s">
        <v>1142</v>
      </c>
      <c r="Z185" s="429">
        <v>0</v>
      </c>
      <c r="AA185" s="429">
        <v>0</v>
      </c>
      <c r="AB185" s="363">
        <v>14573.083333333334</v>
      </c>
      <c r="AC185" s="363">
        <v>14573.083333333334</v>
      </c>
      <c r="AD185" s="363">
        <v>14573.083333333334</v>
      </c>
      <c r="AE185" s="363">
        <v>23051.972222222223</v>
      </c>
      <c r="AF185" s="363">
        <v>23190.861111111109</v>
      </c>
      <c r="AG185" s="363">
        <v>28256.527777777777</v>
      </c>
      <c r="AH185" s="360">
        <f t="shared" si="11"/>
        <v>118218.61111111111</v>
      </c>
      <c r="AI185" s="362">
        <f>ERP_5[[#This Row],[2026 Working Total]]-ERP_5[[#This Row],[LE2 Final Submission]]</f>
        <v>-29543.691999999995</v>
      </c>
      <c r="AJ185" s="79">
        <v>12850.03788888889</v>
      </c>
      <c r="AK185" s="79">
        <f t="shared" si="10"/>
        <v>-12850.03788888889</v>
      </c>
      <c r="AL185" s="374">
        <f>SUM(ERP_5[[#This Row],[AP01]:[AP06]])-SUM(ERP_5[[#This Row],[AP01 LE2]:[AP06 LE2]])</f>
        <v>-27765.742444444448</v>
      </c>
      <c r="AM185" s="80"/>
      <c r="AN185" s="79">
        <f>ERP_5[[#This Row],[2026 Working Total to Budget/LE]]-ERP_5[[#This Row],[Giveback]]</f>
        <v>-29543.691999999995</v>
      </c>
      <c r="AO185" s="81"/>
      <c r="AP185" s="375"/>
      <c r="AQ185" s="375"/>
      <c r="AR185" s="375"/>
      <c r="AS185" s="375">
        <v>0</v>
      </c>
      <c r="AT185" s="375">
        <v>12850.03788888889</v>
      </c>
      <c r="AU185" s="375">
        <v>14915.704555555556</v>
      </c>
      <c r="AV185" s="375">
        <v>14915.704555555556</v>
      </c>
      <c r="AW185" s="375">
        <v>14915.704555555556</v>
      </c>
      <c r="AX185" s="375">
        <v>14915.704555555556</v>
      </c>
      <c r="AY185" s="375">
        <v>23394.593444444443</v>
      </c>
      <c r="AZ185" s="375">
        <v>23394.593444444443</v>
      </c>
      <c r="BA185" s="375">
        <v>28460.260111111111</v>
      </c>
      <c r="BB185" s="375">
        <v>147762.3031111111</v>
      </c>
      <c r="BC185" s="79"/>
      <c r="BD185" s="79"/>
      <c r="BE185" s="79"/>
      <c r="BF185" s="79">
        <v>12436.91</v>
      </c>
      <c r="BG185" s="79">
        <v>17183.39</v>
      </c>
      <c r="BH185" s="79">
        <v>19249.060000000001</v>
      </c>
      <c r="BI185" s="79">
        <v>19249.060000000001</v>
      </c>
      <c r="BJ185" s="79">
        <v>20917.810000000001</v>
      </c>
      <c r="BK185" s="79">
        <v>38739.129999999997</v>
      </c>
      <c r="BL185" s="79">
        <v>52766.07</v>
      </c>
      <c r="BM185" s="79">
        <v>52766.07</v>
      </c>
      <c r="BN185" s="79">
        <v>65150.49</v>
      </c>
      <c r="BO185" s="79">
        <v>298457.99</v>
      </c>
    </row>
    <row r="186" spans="1:67" ht="15" customHeight="1">
      <c r="A186" s="66" t="s">
        <v>1594</v>
      </c>
      <c r="B186" s="66" t="s">
        <v>1595</v>
      </c>
      <c r="C186" s="150" t="s">
        <v>1136</v>
      </c>
      <c r="D186" s="150" t="s">
        <v>1567</v>
      </c>
      <c r="E186" s="150" t="s">
        <v>1567</v>
      </c>
      <c r="F186" s="150" t="s">
        <v>1567</v>
      </c>
      <c r="G186" s="511" t="s">
        <v>49</v>
      </c>
      <c r="H186" s="392" t="s">
        <v>1596</v>
      </c>
      <c r="I186" s="343"/>
      <c r="J186" s="343"/>
      <c r="K186" s="70" t="s">
        <v>286</v>
      </c>
      <c r="L186" s="346"/>
      <c r="M186" s="346" t="s">
        <v>1140</v>
      </c>
      <c r="N186" s="346"/>
      <c r="O186" s="505" t="s">
        <v>272</v>
      </c>
      <c r="P186" s="150"/>
      <c r="Q186" s="403"/>
      <c r="R186" s="406">
        <v>100000</v>
      </c>
      <c r="S186" s="406">
        <v>100000</v>
      </c>
      <c r="T186" s="425"/>
      <c r="U186" s="71"/>
      <c r="V186" s="426"/>
      <c r="W186" s="427"/>
      <c r="X186" s="427"/>
      <c r="Y186" s="428" t="s">
        <v>1142</v>
      </c>
      <c r="Z186" s="429">
        <v>0</v>
      </c>
      <c r="AA186" s="429">
        <v>0</v>
      </c>
      <c r="AB186" s="363">
        <v>25000</v>
      </c>
      <c r="AC186" s="360">
        <v>25000</v>
      </c>
      <c r="AD186" s="360">
        <v>25000</v>
      </c>
      <c r="AE186" s="360">
        <v>0</v>
      </c>
      <c r="AF186" s="360">
        <v>0</v>
      </c>
      <c r="AG186" s="360">
        <v>0</v>
      </c>
      <c r="AH186" s="360">
        <f t="shared" si="11"/>
        <v>75000</v>
      </c>
      <c r="AI186" s="362">
        <f>ERP_5[[#This Row],[2026 Working Total]]-ERP_5[[#This Row],[LE2 Final Submission]]</f>
        <v>-25000</v>
      </c>
      <c r="AJ186" s="79">
        <v>25000</v>
      </c>
      <c r="AK186" s="79">
        <f t="shared" si="10"/>
        <v>-25000</v>
      </c>
      <c r="AL186" s="374">
        <f>SUM(ERP_5[[#This Row],[AP01]:[AP06]])-SUM(ERP_5[[#This Row],[AP01 LE2]:[AP06 LE2]])</f>
        <v>-75000</v>
      </c>
      <c r="AM186" s="80"/>
      <c r="AN186" s="79">
        <f>ERP_5[[#This Row],[2026 Working Total to Budget/LE]]-ERP_5[[#This Row],[Giveback]]</f>
        <v>-25000</v>
      </c>
      <c r="AO186" s="81"/>
      <c r="AP186" s="375"/>
      <c r="AQ186" s="375"/>
      <c r="AR186" s="375"/>
      <c r="AS186" s="375">
        <v>25000</v>
      </c>
      <c r="AT186" s="375">
        <v>25000</v>
      </c>
      <c r="AU186" s="375">
        <v>25000</v>
      </c>
      <c r="AV186" s="375">
        <v>25000</v>
      </c>
      <c r="AW186" s="375">
        <v>0</v>
      </c>
      <c r="AX186" s="375">
        <v>0</v>
      </c>
      <c r="AY186" s="375">
        <v>0</v>
      </c>
      <c r="AZ186" s="375">
        <v>0</v>
      </c>
      <c r="BA186" s="375">
        <v>0</v>
      </c>
      <c r="BB186" s="375">
        <v>100000</v>
      </c>
      <c r="BC186" s="79"/>
      <c r="BD186" s="79"/>
      <c r="BE186" s="79"/>
      <c r="BF186" s="79">
        <v>25000</v>
      </c>
      <c r="BG186" s="79">
        <v>25000</v>
      </c>
      <c r="BH186" s="79">
        <v>25000</v>
      </c>
      <c r="BI186" s="79">
        <v>25000</v>
      </c>
      <c r="BJ186" s="79">
        <v>0</v>
      </c>
      <c r="BK186" s="79">
        <v>0</v>
      </c>
      <c r="BL186" s="79">
        <v>0</v>
      </c>
      <c r="BM186" s="79">
        <v>0</v>
      </c>
      <c r="BN186" s="79">
        <v>0</v>
      </c>
      <c r="BO186" s="79">
        <v>100000</v>
      </c>
    </row>
    <row r="187" spans="1:67" ht="15" customHeight="1">
      <c r="A187" s="66" t="s">
        <v>1598</v>
      </c>
      <c r="B187" s="66" t="s">
        <v>1599</v>
      </c>
      <c r="C187" s="150" t="s">
        <v>1136</v>
      </c>
      <c r="D187" s="150" t="s">
        <v>1567</v>
      </c>
      <c r="E187" s="150" t="s">
        <v>1567</v>
      </c>
      <c r="F187" s="150" t="s">
        <v>1567</v>
      </c>
      <c r="G187" s="511" t="s">
        <v>49</v>
      </c>
      <c r="H187" s="392" t="s">
        <v>1600</v>
      </c>
      <c r="I187" s="343"/>
      <c r="J187" s="343"/>
      <c r="K187" s="70" t="s">
        <v>288</v>
      </c>
      <c r="L187" s="346"/>
      <c r="M187" s="346" t="s">
        <v>1140</v>
      </c>
      <c r="N187" s="346"/>
      <c r="O187" s="505" t="s">
        <v>272</v>
      </c>
      <c r="P187" s="150"/>
      <c r="Q187" s="403"/>
      <c r="R187" s="406">
        <v>45000</v>
      </c>
      <c r="S187" s="406">
        <v>30000</v>
      </c>
      <c r="T187" s="425"/>
      <c r="U187" s="71"/>
      <c r="V187" s="426"/>
      <c r="W187" s="427"/>
      <c r="X187" s="427"/>
      <c r="Y187" s="428" t="s">
        <v>1142</v>
      </c>
      <c r="Z187" s="429">
        <v>0</v>
      </c>
      <c r="AA187" s="429">
        <v>0</v>
      </c>
      <c r="AB187" s="360">
        <v>5000</v>
      </c>
      <c r="AC187" s="360">
        <v>5000</v>
      </c>
      <c r="AD187" s="360">
        <v>5000</v>
      </c>
      <c r="AE187" s="360">
        <v>5000</v>
      </c>
      <c r="AF187" s="360">
        <v>5000</v>
      </c>
      <c r="AG187" s="360">
        <v>5000</v>
      </c>
      <c r="AH187" s="360">
        <f t="shared" si="11"/>
        <v>30000</v>
      </c>
      <c r="AI187" s="362">
        <f>ERP_5[[#This Row],[2026 Working Total]]-ERP_5[[#This Row],[LE2 Final Submission]]</f>
        <v>0</v>
      </c>
      <c r="AJ187" s="79">
        <v>15000</v>
      </c>
      <c r="AK187" s="79">
        <f t="shared" si="10"/>
        <v>-15000</v>
      </c>
      <c r="AL187" s="374">
        <f>SUM(ERP_5[[#This Row],[AP01]:[AP06]])-SUM(ERP_5[[#This Row],[AP01 LE2]:[AP06 LE2]])</f>
        <v>-30000</v>
      </c>
      <c r="AM187" s="80"/>
      <c r="AN187" s="79">
        <f>ERP_5[[#This Row],[2026 Working Total to Budget/LE]]-ERP_5[[#This Row],[Giveback]]</f>
        <v>0</v>
      </c>
      <c r="AO187" s="81"/>
      <c r="AP187" s="375"/>
      <c r="AQ187" s="375"/>
      <c r="AR187" s="375"/>
      <c r="AS187" s="375">
        <v>15000</v>
      </c>
      <c r="AT187" s="375">
        <v>15000</v>
      </c>
      <c r="AU187" s="375">
        <v>0</v>
      </c>
      <c r="AV187" s="375">
        <v>0</v>
      </c>
      <c r="AW187" s="375">
        <v>0</v>
      </c>
      <c r="AX187" s="375">
        <v>0</v>
      </c>
      <c r="AY187" s="375">
        <v>0</v>
      </c>
      <c r="AZ187" s="375">
        <v>0</v>
      </c>
      <c r="BA187" s="375">
        <v>0</v>
      </c>
      <c r="BB187" s="375">
        <v>30000</v>
      </c>
      <c r="BC187" s="79"/>
      <c r="BD187" s="79"/>
      <c r="BE187" s="79"/>
      <c r="BF187" s="79">
        <v>15000</v>
      </c>
      <c r="BG187" s="79">
        <v>15000</v>
      </c>
      <c r="BH187" s="79">
        <v>0</v>
      </c>
      <c r="BI187" s="79">
        <v>0</v>
      </c>
      <c r="BJ187" s="79">
        <v>0</v>
      </c>
      <c r="BK187" s="79">
        <v>0</v>
      </c>
      <c r="BL187" s="79">
        <v>0</v>
      </c>
      <c r="BM187" s="79">
        <v>0</v>
      </c>
      <c r="BN187" s="79">
        <v>0</v>
      </c>
      <c r="BO187" s="79">
        <v>30000</v>
      </c>
    </row>
    <row r="188" spans="1:67" ht="15" customHeight="1">
      <c r="A188" s="66" t="s">
        <v>1602</v>
      </c>
      <c r="B188" s="66" t="s">
        <v>1603</v>
      </c>
      <c r="C188" s="150" t="s">
        <v>1136</v>
      </c>
      <c r="D188" s="150" t="s">
        <v>1567</v>
      </c>
      <c r="E188" s="150" t="s">
        <v>1567</v>
      </c>
      <c r="F188" s="150" t="s">
        <v>1567</v>
      </c>
      <c r="G188" s="511" t="s">
        <v>49</v>
      </c>
      <c r="H188" s="392" t="s">
        <v>1604</v>
      </c>
      <c r="I188" s="343"/>
      <c r="J188" s="343"/>
      <c r="K188" s="70" t="s">
        <v>290</v>
      </c>
      <c r="L188" s="346"/>
      <c r="M188" s="346" t="s">
        <v>1140</v>
      </c>
      <c r="N188" s="346"/>
      <c r="O188" s="150" t="s">
        <v>291</v>
      </c>
      <c r="P188" s="150" t="s">
        <v>1605</v>
      </c>
      <c r="Q188" s="403"/>
      <c r="R188" s="406">
        <v>-351124.00000199996</v>
      </c>
      <c r="S188" s="406">
        <v>0</v>
      </c>
      <c r="T188" s="425"/>
      <c r="U188" s="71"/>
      <c r="V188" s="426"/>
      <c r="W188" s="427"/>
      <c r="X188" s="427"/>
      <c r="Y188" s="428" t="s">
        <v>1142</v>
      </c>
      <c r="Z188" s="429">
        <v>0</v>
      </c>
      <c r="AA188" s="429">
        <v>0</v>
      </c>
      <c r="AB188" s="363">
        <f t="shared" ref="AB188:AG188" si="12">-58520.666667+58520.666667</f>
        <v>0</v>
      </c>
      <c r="AC188" s="363">
        <f t="shared" si="12"/>
        <v>0</v>
      </c>
      <c r="AD188" s="363">
        <f t="shared" si="12"/>
        <v>0</v>
      </c>
      <c r="AE188" s="363">
        <f t="shared" si="12"/>
        <v>0</v>
      </c>
      <c r="AF188" s="363">
        <f t="shared" si="12"/>
        <v>0</v>
      </c>
      <c r="AG188" s="363">
        <f t="shared" si="12"/>
        <v>0</v>
      </c>
      <c r="AH188" s="360">
        <f t="shared" si="11"/>
        <v>0</v>
      </c>
      <c r="AI188" s="362">
        <f>ERP_5[[#This Row],[2026 Working Total]]-ERP_5[[#This Row],[LE2 Final Submission]]</f>
        <v>0</v>
      </c>
      <c r="AJ188" s="79"/>
      <c r="AK188" s="79">
        <f t="shared" si="10"/>
        <v>0</v>
      </c>
      <c r="AL188" s="374">
        <f>SUM(ERP_5[[#This Row],[AP01]:[AP06]])-SUM(ERP_5[[#This Row],[AP01 LE2]:[AP06 LE2]])</f>
        <v>0</v>
      </c>
      <c r="AM188" s="80"/>
      <c r="AN188" s="79">
        <f>ERP_5[[#This Row],[2026 Working Total to Budget/LE]]-ERP_5[[#This Row],[Giveback]]</f>
        <v>0</v>
      </c>
      <c r="AO188" s="81"/>
      <c r="AP188" s="375"/>
      <c r="AQ188" s="375"/>
      <c r="AR188" s="375"/>
      <c r="AS188" s="375"/>
      <c r="AT188" s="375"/>
      <c r="AU188" s="375"/>
      <c r="AV188" s="375">
        <v>0</v>
      </c>
      <c r="AW188" s="375">
        <v>0</v>
      </c>
      <c r="AX188" s="375">
        <v>0</v>
      </c>
      <c r="AY188" s="375">
        <v>0</v>
      </c>
      <c r="AZ188" s="375">
        <v>0</v>
      </c>
      <c r="BA188" s="375">
        <v>0</v>
      </c>
      <c r="BB188" s="375">
        <v>0</v>
      </c>
      <c r="BC188" s="79"/>
      <c r="BD188" s="79"/>
      <c r="BE188" s="79"/>
      <c r="BF188" s="79"/>
      <c r="BG188" s="79"/>
      <c r="BH188" s="79"/>
      <c r="BI188" s="79">
        <v>-58520.666666999998</v>
      </c>
      <c r="BJ188" s="79">
        <v>-58520.666666999998</v>
      </c>
      <c r="BK188" s="79">
        <v>-58520.666666999998</v>
      </c>
      <c r="BL188" s="79">
        <v>-58520.666666999998</v>
      </c>
      <c r="BM188" s="79">
        <v>-58520.666666999998</v>
      </c>
      <c r="BN188" s="79">
        <v>-58520.666666999998</v>
      </c>
      <c r="BO188" s="79">
        <v>-351124.00000199996</v>
      </c>
    </row>
    <row r="189" spans="1:67" ht="15" customHeight="1">
      <c r="A189" s="66" t="s">
        <v>1661</v>
      </c>
      <c r="B189" s="66" t="s">
        <v>1662</v>
      </c>
      <c r="C189" s="150" t="s">
        <v>1136</v>
      </c>
      <c r="D189" s="150" t="s">
        <v>1135</v>
      </c>
      <c r="E189" s="150" t="s">
        <v>1137</v>
      </c>
      <c r="F189" s="150" t="s">
        <v>1137</v>
      </c>
      <c r="G189" s="511" t="s">
        <v>333</v>
      </c>
      <c r="H189" s="392" t="s">
        <v>1663</v>
      </c>
      <c r="I189" s="343"/>
      <c r="J189" s="343"/>
      <c r="K189" s="70" t="s">
        <v>336</v>
      </c>
      <c r="L189" s="346"/>
      <c r="M189" s="346" t="s">
        <v>1140</v>
      </c>
      <c r="N189" s="346"/>
      <c r="O189" s="150" t="s">
        <v>25</v>
      </c>
      <c r="P189" s="150" t="s">
        <v>1664</v>
      </c>
      <c r="Q189" s="403"/>
      <c r="R189" s="406">
        <v>0</v>
      </c>
      <c r="S189" s="406">
        <v>22573.91</v>
      </c>
      <c r="T189" s="425"/>
      <c r="U189" s="71"/>
      <c r="V189" s="426">
        <v>656</v>
      </c>
      <c r="W189" s="427">
        <v>1537.91</v>
      </c>
      <c r="X189" s="427">
        <v>2038</v>
      </c>
      <c r="Y189" s="428">
        <v>1762</v>
      </c>
      <c r="Z189" s="429">
        <v>2888.0000000000005</v>
      </c>
      <c r="AA189" s="429">
        <v>1761.9999999999998</v>
      </c>
      <c r="AB189" s="363">
        <v>2038</v>
      </c>
      <c r="AC189" s="363">
        <v>2038</v>
      </c>
      <c r="AD189" s="363">
        <v>2038</v>
      </c>
      <c r="AE189" s="363">
        <v>2038</v>
      </c>
      <c r="AF189" s="363">
        <v>2038</v>
      </c>
      <c r="AG189" s="363">
        <v>2038</v>
      </c>
      <c r="AH189" s="360">
        <f t="shared" si="11"/>
        <v>22871.91</v>
      </c>
      <c r="AI189" s="362">
        <f>ERP_5[[#This Row],[2026 Working Total]]-ERP_5[[#This Row],[LE2 Final Submission]]</f>
        <v>298</v>
      </c>
      <c r="AJ189" s="79">
        <v>2038</v>
      </c>
      <c r="AK189" s="79">
        <f t="shared" si="10"/>
        <v>-276.00000000000023</v>
      </c>
      <c r="AL189" s="374">
        <f>SUM(ERP_5[[#This Row],[AP01]:[AP06]])-SUM(ERP_5[[#This Row],[AP01 LE2]:[AP06 LE2]])</f>
        <v>298</v>
      </c>
      <c r="AM189" s="80"/>
      <c r="AN189" s="79">
        <f>ERP_5[[#This Row],[2026 Working Total to Budget/LE]]-ERP_5[[#This Row],[Giveback]]</f>
        <v>298</v>
      </c>
      <c r="AO189" s="81"/>
      <c r="AP189" s="375">
        <v>656</v>
      </c>
      <c r="AQ189" s="375">
        <v>1537.91</v>
      </c>
      <c r="AR189" s="375">
        <v>2038</v>
      </c>
      <c r="AS189" s="375">
        <v>2038</v>
      </c>
      <c r="AT189" s="375">
        <v>2038</v>
      </c>
      <c r="AU189" s="375">
        <v>2038</v>
      </c>
      <c r="AV189" s="375">
        <v>2038</v>
      </c>
      <c r="AW189" s="375">
        <v>2038</v>
      </c>
      <c r="AX189" s="375">
        <v>2038</v>
      </c>
      <c r="AY189" s="375">
        <v>2038</v>
      </c>
      <c r="AZ189" s="375">
        <v>2038</v>
      </c>
      <c r="BA189" s="375">
        <v>2038</v>
      </c>
      <c r="BB189" s="375">
        <v>22573.91</v>
      </c>
      <c r="BC189" s="79">
        <v>656</v>
      </c>
      <c r="BD189" s="79">
        <v>1537.91</v>
      </c>
      <c r="BE189" s="79">
        <v>2038</v>
      </c>
      <c r="BF189" s="79">
        <v>0</v>
      </c>
      <c r="BG189" s="79">
        <v>0</v>
      </c>
      <c r="BH189" s="79">
        <v>0</v>
      </c>
      <c r="BI189" s="79">
        <v>0</v>
      </c>
      <c r="BJ189" s="79">
        <v>0</v>
      </c>
      <c r="BK189" s="79">
        <v>0</v>
      </c>
      <c r="BL189" s="79">
        <v>0</v>
      </c>
      <c r="BM189" s="79">
        <v>0</v>
      </c>
      <c r="BN189" s="79">
        <v>0</v>
      </c>
      <c r="BO189" s="79">
        <v>4231.91</v>
      </c>
    </row>
    <row r="190" spans="1:67" ht="15" customHeight="1">
      <c r="A190" s="66" t="s">
        <v>1529</v>
      </c>
      <c r="B190" s="66" t="s">
        <v>247</v>
      </c>
      <c r="C190" s="150" t="s">
        <v>1136</v>
      </c>
      <c r="D190" s="150" t="s">
        <v>1345</v>
      </c>
      <c r="E190" s="150" t="s">
        <v>1515</v>
      </c>
      <c r="F190" s="150" t="s">
        <v>1346</v>
      </c>
      <c r="G190" s="511" t="s">
        <v>49</v>
      </c>
      <c r="H190" s="392" t="s">
        <v>1530</v>
      </c>
      <c r="I190" s="343"/>
      <c r="J190" s="343"/>
      <c r="K190" s="70" t="s">
        <v>248</v>
      </c>
      <c r="L190" s="346"/>
      <c r="M190" s="346" t="s">
        <v>1221</v>
      </c>
      <c r="N190" s="346"/>
      <c r="O190" s="150" t="s">
        <v>25</v>
      </c>
      <c r="P190" s="150"/>
      <c r="Q190" s="404"/>
      <c r="R190" s="407">
        <v>0</v>
      </c>
      <c r="S190" s="407">
        <v>0</v>
      </c>
      <c r="T190" s="430"/>
      <c r="U190" s="137"/>
      <c r="V190" s="426">
        <v>0.36</v>
      </c>
      <c r="W190" s="427">
        <v>-0.36</v>
      </c>
      <c r="X190" s="427"/>
      <c r="Y190" s="428">
        <v>-5357.64</v>
      </c>
      <c r="Z190" s="429">
        <v>0</v>
      </c>
      <c r="AA190" s="429">
        <v>0</v>
      </c>
      <c r="AB190" s="363"/>
      <c r="AC190" s="363"/>
      <c r="AD190" s="363"/>
      <c r="AE190" s="363"/>
      <c r="AF190" s="363"/>
      <c r="AG190" s="363"/>
      <c r="AH190" s="360">
        <f t="shared" si="11"/>
        <v>-5357.64</v>
      </c>
      <c r="AI190" s="362">
        <f>ERP_5[[#This Row],[2026 Working Total]]-ERP_5[[#This Row],[LE2 Final Submission]]</f>
        <v>-5357.64</v>
      </c>
      <c r="AJ190" s="79"/>
      <c r="AK190" s="79">
        <f t="shared" si="10"/>
        <v>0</v>
      </c>
      <c r="AL190" s="374">
        <f>SUM(ERP_5[[#This Row],[AP01]:[AP06]])-SUM(ERP_5[[#This Row],[AP01 LE2]:[AP06 LE2]])</f>
        <v>-5357.64</v>
      </c>
      <c r="AM190" s="80"/>
      <c r="AN190" s="79">
        <f>ERP_5[[#This Row],[2026 Working Total to Budget/LE]]-ERP_5[[#This Row],[Giveback]]</f>
        <v>-5357.64</v>
      </c>
      <c r="AO190" s="81"/>
      <c r="AP190" s="375">
        <v>0.36</v>
      </c>
      <c r="AQ190" s="375">
        <v>-0.36</v>
      </c>
      <c r="AR190" s="375"/>
      <c r="AS190" s="375"/>
      <c r="AT190" s="375"/>
      <c r="AU190" s="375"/>
      <c r="AV190" s="375"/>
      <c r="AW190" s="375"/>
      <c r="AX190" s="375"/>
      <c r="AY190" s="375"/>
      <c r="AZ190" s="375"/>
      <c r="BA190" s="375"/>
      <c r="BB190" s="375">
        <v>0</v>
      </c>
      <c r="BC190" s="79">
        <v>0.36</v>
      </c>
      <c r="BD190" s="79">
        <v>-0.36</v>
      </c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>
        <v>0</v>
      </c>
    </row>
    <row r="191" spans="1:67" ht="15" customHeight="1">
      <c r="A191" s="66" t="s">
        <v>1452</v>
      </c>
      <c r="B191" s="66" t="s">
        <v>205</v>
      </c>
      <c r="C191" s="150" t="s">
        <v>1136</v>
      </c>
      <c r="D191" s="150" t="s">
        <v>1345</v>
      </c>
      <c r="E191" s="150" t="s">
        <v>1450</v>
      </c>
      <c r="F191" s="150" t="s">
        <v>1346</v>
      </c>
      <c r="G191" s="511" t="s">
        <v>49</v>
      </c>
      <c r="H191" s="392" t="s">
        <v>1453</v>
      </c>
      <c r="I191" s="343" t="s">
        <v>1206</v>
      </c>
      <c r="J191" s="346" t="s">
        <v>1451</v>
      </c>
      <c r="K191" s="70" t="s">
        <v>206</v>
      </c>
      <c r="L191" s="346"/>
      <c r="M191" s="346" t="s">
        <v>1454</v>
      </c>
      <c r="N191" s="346"/>
      <c r="O191" s="150" t="s">
        <v>25</v>
      </c>
      <c r="P191" s="150"/>
      <c r="Q191" s="403"/>
      <c r="R191" s="406">
        <v>400000</v>
      </c>
      <c r="S191" s="406">
        <v>300897.52</v>
      </c>
      <c r="T191" s="430"/>
      <c r="U191" s="137"/>
      <c r="V191" s="426">
        <v>123337.5</v>
      </c>
      <c r="W191" s="427">
        <v>19442.91</v>
      </c>
      <c r="X191" s="427">
        <v>113117.11</v>
      </c>
      <c r="Y191" s="428">
        <v>5172.1500000000306</v>
      </c>
      <c r="Z191" s="429">
        <v>-24184.46000000001</v>
      </c>
      <c r="AA191" s="429">
        <v>-229891</v>
      </c>
      <c r="AB191" s="363">
        <v>-13416</v>
      </c>
      <c r="AC191" s="363">
        <v>61248</v>
      </c>
      <c r="AD191" s="363">
        <v>61248</v>
      </c>
      <c r="AE191" s="363">
        <v>61248</v>
      </c>
      <c r="AF191" s="363">
        <v>61248</v>
      </c>
      <c r="AG191" s="363">
        <v>61248</v>
      </c>
      <c r="AH191" s="360">
        <f t="shared" si="11"/>
        <v>299818.21000000002</v>
      </c>
      <c r="AI191" s="362">
        <f>ERP_5[[#This Row],[2026 Working Total]]-ERP_5[[#This Row],[LE2 Final Submission]]</f>
        <v>-1079.3099999999977</v>
      </c>
      <c r="AJ191" s="79">
        <v>-200000</v>
      </c>
      <c r="AK191" s="79">
        <f t="shared" si="10"/>
        <v>-29891</v>
      </c>
      <c r="AL191" s="374">
        <f>SUM(ERP_5[[#This Row],[AP01]:[AP06]])-SUM(ERP_5[[#This Row],[AP01 LE2]:[AP06 LE2]])</f>
        <v>-83903.31</v>
      </c>
      <c r="AM191" s="80"/>
      <c r="AN191" s="79">
        <f>ERP_5[[#This Row],[2026 Working Total to Budget/LE]]-ERP_5[[#This Row],[Giveback]]</f>
        <v>-1079.3099999999977</v>
      </c>
      <c r="AO191" s="81" t="s">
        <v>1455</v>
      </c>
      <c r="AP191" s="375">
        <v>123337.5</v>
      </c>
      <c r="AQ191" s="375">
        <v>19442.91</v>
      </c>
      <c r="AR191" s="375">
        <v>113117.11</v>
      </c>
      <c r="AS191" s="375">
        <v>5000</v>
      </c>
      <c r="AT191" s="375">
        <v>-200000</v>
      </c>
      <c r="AU191" s="375">
        <v>30000</v>
      </c>
      <c r="AV191" s="375">
        <v>30000</v>
      </c>
      <c r="AW191" s="375">
        <v>30000</v>
      </c>
      <c r="AX191" s="375">
        <v>30000</v>
      </c>
      <c r="AY191" s="375">
        <v>40000</v>
      </c>
      <c r="AZ191" s="375">
        <v>40000</v>
      </c>
      <c r="BA191" s="375">
        <v>40000</v>
      </c>
      <c r="BB191" s="375">
        <v>300897.52</v>
      </c>
      <c r="BC191" s="79">
        <v>123337.5</v>
      </c>
      <c r="BD191" s="79">
        <v>19442.91</v>
      </c>
      <c r="BE191" s="79">
        <v>113117.11</v>
      </c>
      <c r="BF191" s="79">
        <v>30000</v>
      </c>
      <c r="BG191" s="79">
        <v>30000</v>
      </c>
      <c r="BH191" s="79">
        <v>30000</v>
      </c>
      <c r="BI191" s="79">
        <v>30000</v>
      </c>
      <c r="BJ191" s="79">
        <v>30000</v>
      </c>
      <c r="BK191" s="79">
        <v>20000</v>
      </c>
      <c r="BL191" s="79">
        <v>20000</v>
      </c>
      <c r="BM191" s="79">
        <v>20000</v>
      </c>
      <c r="BN191" s="79">
        <v>20000</v>
      </c>
      <c r="BO191" s="79">
        <v>485897.52</v>
      </c>
    </row>
    <row r="192" spans="1:67" ht="15" customHeight="1">
      <c r="A192" s="66" t="s">
        <v>1532</v>
      </c>
      <c r="B192" s="66" t="s">
        <v>249</v>
      </c>
      <c r="C192" s="150" t="s">
        <v>1136</v>
      </c>
      <c r="D192" s="150" t="s">
        <v>1345</v>
      </c>
      <c r="E192" s="150" t="s">
        <v>1515</v>
      </c>
      <c r="F192" s="150" t="s">
        <v>1346</v>
      </c>
      <c r="G192" s="511" t="s">
        <v>49</v>
      </c>
      <c r="H192" s="392" t="s">
        <v>1533</v>
      </c>
      <c r="I192" s="343" t="s">
        <v>1387</v>
      </c>
      <c r="J192" s="346" t="s">
        <v>1531</v>
      </c>
      <c r="K192" s="70" t="s">
        <v>250</v>
      </c>
      <c r="L192" s="346"/>
      <c r="M192" s="346" t="s">
        <v>1534</v>
      </c>
      <c r="N192" s="346"/>
      <c r="O192" s="150" t="s">
        <v>25</v>
      </c>
      <c r="P192" s="150"/>
      <c r="Q192" s="403"/>
      <c r="R192" s="406">
        <v>553800</v>
      </c>
      <c r="S192" s="406">
        <v>496255</v>
      </c>
      <c r="T192" s="425"/>
      <c r="U192" s="71"/>
      <c r="V192" s="426">
        <v>-0.24</v>
      </c>
      <c r="W192" s="427">
        <v>98366.34</v>
      </c>
      <c r="X192" s="427">
        <v>-98366.1</v>
      </c>
      <c r="Y192" s="428">
        <v>27396.55</v>
      </c>
      <c r="Z192" s="429">
        <v>29503.98</v>
      </c>
      <c r="AA192" s="429">
        <v>36879.97</v>
      </c>
      <c r="AB192" s="363">
        <v>48381.166666666672</v>
      </c>
      <c r="AC192" s="363">
        <v>48381.166666666672</v>
      </c>
      <c r="AD192" s="363">
        <v>48381.166666666672</v>
      </c>
      <c r="AE192" s="363">
        <v>85490.5</v>
      </c>
      <c r="AF192" s="363">
        <v>85490.5</v>
      </c>
      <c r="AG192" s="363">
        <v>85490.5</v>
      </c>
      <c r="AH192" s="360">
        <f t="shared" si="11"/>
        <v>495395.5</v>
      </c>
      <c r="AI192" s="362">
        <f>ERP_5[[#This Row],[2026 Working Total]]-ERP_5[[#This Row],[LE2 Final Submission]]</f>
        <v>-859.5</v>
      </c>
      <c r="AJ192" s="79">
        <v>31546.666666666668</v>
      </c>
      <c r="AK192" s="79">
        <f t="shared" si="10"/>
        <v>5333.3033333333333</v>
      </c>
      <c r="AL192" s="374">
        <f>SUM(ERP_5[[#This Row],[AP01]:[AP06]])-SUM(ERP_5[[#This Row],[AP01 LE2]:[AP06 LE2]])</f>
        <v>-859.5</v>
      </c>
      <c r="AM192" s="80"/>
      <c r="AN192" s="79">
        <f>ERP_5[[#This Row],[2026 Working Total to Budget/LE]]-ERP_5[[#This Row],[Giveback]]</f>
        <v>-859.5</v>
      </c>
      <c r="AO192" s="81"/>
      <c r="AP192" s="375">
        <v>-0.24</v>
      </c>
      <c r="AQ192" s="375">
        <v>98366.34</v>
      </c>
      <c r="AR192" s="375">
        <v>-98366.1</v>
      </c>
      <c r="AS192" s="375">
        <v>31546.666666666668</v>
      </c>
      <c r="AT192" s="375">
        <v>31546.666666666668</v>
      </c>
      <c r="AU192" s="375">
        <v>31546.666666666668</v>
      </c>
      <c r="AV192" s="375">
        <v>48381.166666666672</v>
      </c>
      <c r="AW192" s="375">
        <v>48381.166666666672</v>
      </c>
      <c r="AX192" s="375">
        <v>48381.166666666672</v>
      </c>
      <c r="AY192" s="375">
        <v>85490.5</v>
      </c>
      <c r="AZ192" s="375">
        <v>85490.5</v>
      </c>
      <c r="BA192" s="375">
        <v>85490.5</v>
      </c>
      <c r="BB192" s="375">
        <v>496255</v>
      </c>
      <c r="BC192" s="79">
        <v>-0.24</v>
      </c>
      <c r="BD192" s="79">
        <v>98366.34</v>
      </c>
      <c r="BE192" s="79">
        <v>-98366.1</v>
      </c>
      <c r="BF192" s="79">
        <v>57403.99</v>
      </c>
      <c r="BG192" s="79">
        <v>57403.99</v>
      </c>
      <c r="BH192" s="79">
        <v>57403.99</v>
      </c>
      <c r="BI192" s="79">
        <v>57403.99</v>
      </c>
      <c r="BJ192" s="79">
        <v>57403.99</v>
      </c>
      <c r="BK192" s="79">
        <v>57403.99</v>
      </c>
      <c r="BL192" s="79">
        <v>57403.99</v>
      </c>
      <c r="BM192" s="79">
        <v>57403.99</v>
      </c>
      <c r="BN192" s="79">
        <v>57403.99</v>
      </c>
      <c r="BO192" s="79">
        <v>516635.90999999992</v>
      </c>
    </row>
    <row r="193" spans="1:67" ht="15" customHeight="1">
      <c r="A193" s="66" t="s">
        <v>1535</v>
      </c>
      <c r="B193" s="66" t="s">
        <v>251</v>
      </c>
      <c r="C193" s="150" t="s">
        <v>1136</v>
      </c>
      <c r="D193" s="150" t="s">
        <v>1345</v>
      </c>
      <c r="E193" s="150" t="s">
        <v>1515</v>
      </c>
      <c r="F193" s="150" t="s">
        <v>1346</v>
      </c>
      <c r="G193" s="511" t="s">
        <v>49</v>
      </c>
      <c r="H193" s="392" t="s">
        <v>1536</v>
      </c>
      <c r="I193" s="343" t="s">
        <v>1387</v>
      </c>
      <c r="J193" s="346" t="s">
        <v>1531</v>
      </c>
      <c r="K193" s="70" t="s">
        <v>252</v>
      </c>
      <c r="L193" s="346"/>
      <c r="M193" s="346" t="s">
        <v>1537</v>
      </c>
      <c r="N193" s="346"/>
      <c r="O193" s="150" t="s">
        <v>25</v>
      </c>
      <c r="P193" s="150"/>
      <c r="Q193" s="403"/>
      <c r="R193" s="406">
        <v>269997.96000000008</v>
      </c>
      <c r="S193" s="406">
        <v>268017.38</v>
      </c>
      <c r="T193" s="425"/>
      <c r="U193" s="71"/>
      <c r="V193" s="426">
        <v>19158.79</v>
      </c>
      <c r="W193" s="427">
        <v>20603.919999999998</v>
      </c>
      <c r="X193" s="427">
        <v>25754.67</v>
      </c>
      <c r="Y193" s="428">
        <v>20603.73</v>
      </c>
      <c r="Z193" s="429">
        <v>33243.729999999996</v>
      </c>
      <c r="AA193" s="429">
        <v>25754.660000000003</v>
      </c>
      <c r="AB193" s="363">
        <v>22500</v>
      </c>
      <c r="AC193" s="363">
        <v>22500</v>
      </c>
      <c r="AD193" s="363">
        <v>22500</v>
      </c>
      <c r="AE193" s="363">
        <v>22500</v>
      </c>
      <c r="AF193" s="363">
        <v>22500</v>
      </c>
      <c r="AG193" s="363">
        <v>22500</v>
      </c>
      <c r="AH193" s="360">
        <f t="shared" si="11"/>
        <v>280119.5</v>
      </c>
      <c r="AI193" s="362">
        <f>ERP_5[[#This Row],[2026 Working Total]]-ERP_5[[#This Row],[LE2 Final Submission]]</f>
        <v>12102.119999999995</v>
      </c>
      <c r="AJ193" s="79">
        <v>22500</v>
      </c>
      <c r="AK193" s="79">
        <f t="shared" si="10"/>
        <v>3254.6600000000035</v>
      </c>
      <c r="AL193" s="374">
        <f>SUM(ERP_5[[#This Row],[AP01]:[AP06]])-SUM(ERP_5[[#This Row],[AP01 LE2]:[AP06 LE2]])</f>
        <v>12102.119999999995</v>
      </c>
      <c r="AM193" s="80"/>
      <c r="AN193" s="79">
        <f>ERP_5[[#This Row],[2026 Working Total to Budget/LE]]-ERP_5[[#This Row],[Giveback]]</f>
        <v>12102.119999999995</v>
      </c>
      <c r="AO193" s="81"/>
      <c r="AP193" s="375">
        <v>19158.79</v>
      </c>
      <c r="AQ193" s="375">
        <v>20603.919999999998</v>
      </c>
      <c r="AR193" s="375">
        <v>25754.67</v>
      </c>
      <c r="AS193" s="375">
        <v>22500</v>
      </c>
      <c r="AT193" s="375">
        <v>22500</v>
      </c>
      <c r="AU193" s="375">
        <v>22500</v>
      </c>
      <c r="AV193" s="375">
        <v>22500</v>
      </c>
      <c r="AW193" s="375">
        <v>22500</v>
      </c>
      <c r="AX193" s="375">
        <v>22500</v>
      </c>
      <c r="AY193" s="375">
        <v>22500</v>
      </c>
      <c r="AZ193" s="375">
        <v>22500</v>
      </c>
      <c r="BA193" s="375">
        <v>22500</v>
      </c>
      <c r="BB193" s="375">
        <v>268017.38</v>
      </c>
      <c r="BC193" s="79">
        <v>19158.79</v>
      </c>
      <c r="BD193" s="79">
        <v>20603.919999999998</v>
      </c>
      <c r="BE193" s="79">
        <v>25754.67</v>
      </c>
      <c r="BF193" s="79">
        <v>23474.3</v>
      </c>
      <c r="BG193" s="79">
        <v>23474.3</v>
      </c>
      <c r="BH193" s="79">
        <v>23474.3</v>
      </c>
      <c r="BI193" s="79">
        <v>23474.3</v>
      </c>
      <c r="BJ193" s="79">
        <v>23474.3</v>
      </c>
      <c r="BK193" s="79">
        <v>23474.3</v>
      </c>
      <c r="BL193" s="79">
        <v>23474.3</v>
      </c>
      <c r="BM193" s="79">
        <v>23474.3</v>
      </c>
      <c r="BN193" s="79">
        <v>23474.3</v>
      </c>
      <c r="BO193" s="79">
        <v>276786.07999999996</v>
      </c>
    </row>
    <row r="194" spans="1:67" ht="15" customHeight="1">
      <c r="A194" s="79" t="s">
        <v>1538</v>
      </c>
      <c r="B194" s="296" t="s">
        <v>253</v>
      </c>
      <c r="C194" s="150" t="s">
        <v>1136</v>
      </c>
      <c r="D194" s="332" t="s">
        <v>1345</v>
      </c>
      <c r="E194" s="383" t="s">
        <v>1515</v>
      </c>
      <c r="F194" s="331" t="s">
        <v>1346</v>
      </c>
      <c r="G194" s="512" t="s">
        <v>49</v>
      </c>
      <c r="H194" s="393" t="s">
        <v>1539</v>
      </c>
      <c r="I194" s="343"/>
      <c r="J194" s="331"/>
      <c r="K194" s="91" t="s">
        <v>254</v>
      </c>
      <c r="L194" s="343"/>
      <c r="M194" s="346" t="s">
        <v>1221</v>
      </c>
      <c r="N194" s="348"/>
      <c r="O194" s="386" t="s">
        <v>25</v>
      </c>
      <c r="P194" s="389" t="s">
        <v>1540</v>
      </c>
      <c r="Q194" s="432"/>
      <c r="R194" s="358">
        <v>489720</v>
      </c>
      <c r="S194" s="378">
        <v>367290</v>
      </c>
      <c r="T194" s="430"/>
      <c r="U194" s="137"/>
      <c r="V194" s="433"/>
      <c r="W194" s="434"/>
      <c r="X194" s="434"/>
      <c r="Y194" s="428" t="s">
        <v>1142</v>
      </c>
      <c r="Z194" s="429">
        <v>0</v>
      </c>
      <c r="AA194" s="429">
        <v>0</v>
      </c>
      <c r="AB194" s="388">
        <v>40810</v>
      </c>
      <c r="AC194" s="388">
        <v>40810</v>
      </c>
      <c r="AD194" s="388">
        <v>40810</v>
      </c>
      <c r="AE194" s="388">
        <v>40810</v>
      </c>
      <c r="AF194" s="388">
        <v>40810</v>
      </c>
      <c r="AG194" s="388">
        <v>40810</v>
      </c>
      <c r="AH194" s="360">
        <f t="shared" si="11"/>
        <v>244860</v>
      </c>
      <c r="AI194" s="362">
        <f>ERP_5[[#This Row],[2026 Working Total]]-ERP_5[[#This Row],[LE2 Final Submission]]</f>
        <v>-122430</v>
      </c>
      <c r="AJ194" s="79">
        <v>40810</v>
      </c>
      <c r="AK194" s="79">
        <f t="shared" si="10"/>
        <v>-40810</v>
      </c>
      <c r="AL194" s="374">
        <f>SUM(ERP_5[[#This Row],[AP01]:[AP06]])-SUM(ERP_5[[#This Row],[AP01 LE2]:[AP06 LE2]])</f>
        <v>-122430</v>
      </c>
      <c r="AM194" s="80"/>
      <c r="AN194" s="79">
        <f>ERP_5[[#This Row],[2026 Working Total to Budget/LE]]-ERP_5[[#This Row],[Giveback]]</f>
        <v>-122430</v>
      </c>
      <c r="AO194" s="81"/>
      <c r="AP194" s="375"/>
      <c r="AQ194" s="375"/>
      <c r="AR194" s="375"/>
      <c r="AS194" s="375">
        <v>40810</v>
      </c>
      <c r="AT194" s="375">
        <v>40810</v>
      </c>
      <c r="AU194" s="375">
        <v>40810</v>
      </c>
      <c r="AV194" s="375">
        <v>40810</v>
      </c>
      <c r="AW194" s="375">
        <v>40810</v>
      </c>
      <c r="AX194" s="375">
        <v>40810</v>
      </c>
      <c r="AY194" s="375">
        <v>40810</v>
      </c>
      <c r="AZ194" s="375">
        <v>40810</v>
      </c>
      <c r="BA194" s="375">
        <v>40810</v>
      </c>
      <c r="BB194" s="375">
        <v>367290</v>
      </c>
      <c r="BC194" s="103">
        <v>40810</v>
      </c>
      <c r="BD194" s="103">
        <v>40810</v>
      </c>
      <c r="BE194" s="103">
        <v>40810</v>
      </c>
      <c r="BF194" s="103">
        <v>40810</v>
      </c>
      <c r="BG194" s="103">
        <v>40810</v>
      </c>
      <c r="BH194" s="103">
        <v>40810</v>
      </c>
      <c r="BI194" s="103">
        <v>40810</v>
      </c>
      <c r="BJ194" s="103">
        <v>40810</v>
      </c>
      <c r="BK194" s="103">
        <v>40810</v>
      </c>
      <c r="BL194" s="103">
        <v>40810</v>
      </c>
      <c r="BM194" s="103">
        <v>40810</v>
      </c>
      <c r="BN194" s="103">
        <v>40810</v>
      </c>
      <c r="BO194" s="79">
        <f>SUM(ERP_5[[#This Row],[2026 AP01]:[2026 AP12]])</f>
        <v>489720</v>
      </c>
    </row>
    <row r="195" spans="1:67" s="501" customFormat="1" ht="15" customHeight="1">
      <c r="A195" s="482" t="s">
        <v>1541</v>
      </c>
      <c r="B195" s="83" t="s">
        <v>1542</v>
      </c>
      <c r="C195" s="482" t="s">
        <v>1136</v>
      </c>
      <c r="D195" s="482" t="s">
        <v>1345</v>
      </c>
      <c r="E195" s="482" t="s">
        <v>1346</v>
      </c>
      <c r="F195" s="490" t="s">
        <v>1346</v>
      </c>
      <c r="G195" s="514" t="s">
        <v>49</v>
      </c>
      <c r="H195" s="491" t="s">
        <v>1543</v>
      </c>
      <c r="I195" s="492" t="s">
        <v>1167</v>
      </c>
      <c r="J195" s="332" t="s">
        <v>1499</v>
      </c>
      <c r="K195" s="300" t="s">
        <v>256</v>
      </c>
      <c r="L195" s="347"/>
      <c r="M195" s="348" t="s">
        <v>2908</v>
      </c>
      <c r="N195" s="493"/>
      <c r="O195" s="493"/>
      <c r="P195" s="493"/>
      <c r="Q195" s="402"/>
      <c r="R195" s="406"/>
      <c r="S195" s="494"/>
      <c r="T195" s="425"/>
      <c r="U195" s="71"/>
      <c r="V195" s="495"/>
      <c r="W195" s="496"/>
      <c r="X195" s="496"/>
      <c r="Y195" s="481"/>
      <c r="Z195" s="502"/>
      <c r="AA195" s="429">
        <v>62153.7</v>
      </c>
      <c r="AB195" s="497"/>
      <c r="AC195" s="497"/>
      <c r="AD195" s="497"/>
      <c r="AE195" s="497"/>
      <c r="AF195" s="497"/>
      <c r="AG195" s="497"/>
      <c r="AH195" s="498">
        <f t="shared" si="11"/>
        <v>62153.7</v>
      </c>
      <c r="AI195" s="499">
        <f>ERP_5[[#This Row],[2026 Working Total]]-ERP_5[[#This Row],[LE2 Final Submission]]</f>
        <v>62153.7</v>
      </c>
      <c r="AJ195" s="82"/>
      <c r="AK195" s="82">
        <f t="shared" si="10"/>
        <v>62153.7</v>
      </c>
      <c r="AL195" s="374">
        <f>SUM(ERP_5[[#This Row],[AP01]:[AP06]])-SUM(ERP_5[[#This Row],[AP01 LE2]:[AP06 LE2]])</f>
        <v>62153.7</v>
      </c>
      <c r="AM195" s="80"/>
      <c r="AN195" s="79">
        <f>ERP_5[[#This Row],[2026 Working Total to Budget/LE]]-ERP_5[[#This Row],[Giveback]]</f>
        <v>62153.7</v>
      </c>
      <c r="AO195" s="81"/>
      <c r="AP195" s="375"/>
      <c r="AQ195" s="375"/>
      <c r="AR195" s="375"/>
      <c r="AS195" s="375"/>
      <c r="AT195" s="375"/>
      <c r="AU195" s="375"/>
      <c r="AV195" s="375"/>
      <c r="AW195" s="375"/>
      <c r="AX195" s="375"/>
      <c r="AY195" s="375"/>
      <c r="AZ195" s="375"/>
      <c r="BA195" s="375"/>
      <c r="BB195" s="500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82"/>
    </row>
    <row r="196" spans="1:67" ht="15" customHeight="1">
      <c r="A196" s="66" t="s">
        <v>1546</v>
      </c>
      <c r="B196" s="66" t="s">
        <v>255</v>
      </c>
      <c r="C196" s="150" t="s">
        <v>1136</v>
      </c>
      <c r="D196" s="150" t="s">
        <v>1345</v>
      </c>
      <c r="E196" s="150" t="s">
        <v>1515</v>
      </c>
      <c r="F196" s="150" t="s">
        <v>1346</v>
      </c>
      <c r="G196" s="511" t="s">
        <v>49</v>
      </c>
      <c r="H196" s="392" t="s">
        <v>1547</v>
      </c>
      <c r="I196" s="343" t="s">
        <v>1206</v>
      </c>
      <c r="J196" s="346" t="s">
        <v>1531</v>
      </c>
      <c r="K196" s="70" t="s">
        <v>256</v>
      </c>
      <c r="L196" s="346"/>
      <c r="M196" s="346" t="s">
        <v>2909</v>
      </c>
      <c r="N196" s="346"/>
      <c r="O196" s="150" t="s">
        <v>25</v>
      </c>
      <c r="P196" s="150"/>
      <c r="Q196" s="403"/>
      <c r="R196" s="406">
        <v>529998.96000000008</v>
      </c>
      <c r="S196" s="406">
        <v>367389.04999999993</v>
      </c>
      <c r="T196" s="425"/>
      <c r="U196" s="71"/>
      <c r="V196" s="426">
        <v>31387.97</v>
      </c>
      <c r="W196" s="427">
        <v>29660.06</v>
      </c>
      <c r="X196" s="427">
        <v>28355.06</v>
      </c>
      <c r="Y196" s="428">
        <v>376.37999999999738</v>
      </c>
      <c r="Z196" s="481">
        <v>30599.67</v>
      </c>
      <c r="AA196" s="429">
        <v>50661.62</v>
      </c>
      <c r="AB196" s="363">
        <v>36080.219999999994</v>
      </c>
      <c r="AC196" s="363">
        <v>26514.909999999996</v>
      </c>
      <c r="AD196" s="363">
        <v>26514.909999999996</v>
      </c>
      <c r="AE196" s="363">
        <v>36080.219999999994</v>
      </c>
      <c r="AF196" s="363">
        <v>36080.219999999994</v>
      </c>
      <c r="AG196" s="363">
        <v>36080.219999999994</v>
      </c>
      <c r="AH196" s="360">
        <f t="shared" si="11"/>
        <v>368391.45999999996</v>
      </c>
      <c r="AI196" s="362">
        <f>ERP_5[[#This Row],[2026 Working Total]]-ERP_5[[#This Row],[LE2 Final Submission]]</f>
        <v>1002.4100000000326</v>
      </c>
      <c r="AJ196" s="79">
        <v>36080.219999999994</v>
      </c>
      <c r="AK196" s="79">
        <f t="shared" si="10"/>
        <v>14581.400000000009</v>
      </c>
      <c r="AL196" s="374">
        <f>SUM(ERP_5[[#This Row],[AP01]:[AP06]])-SUM(ERP_5[[#This Row],[AP01 LE2]:[AP06 LE2]])</f>
        <v>1002.4100000000035</v>
      </c>
      <c r="AM196" s="80"/>
      <c r="AN196" s="79">
        <f>ERP_5[[#This Row],[2026 Working Total to Budget/LE]]-ERP_5[[#This Row],[Giveback]]</f>
        <v>1002.4100000000326</v>
      </c>
      <c r="AO196" s="81"/>
      <c r="AP196" s="375">
        <v>31387.97</v>
      </c>
      <c r="AQ196" s="375">
        <v>29660.06</v>
      </c>
      <c r="AR196" s="375">
        <v>28355.06</v>
      </c>
      <c r="AS196" s="375">
        <v>8474.82</v>
      </c>
      <c r="AT196" s="375">
        <v>36080.219999999994</v>
      </c>
      <c r="AU196" s="375">
        <v>36080.219999999994</v>
      </c>
      <c r="AV196" s="375">
        <v>36080.219999999994</v>
      </c>
      <c r="AW196" s="375">
        <v>26514.909999999996</v>
      </c>
      <c r="AX196" s="375">
        <v>26514.909999999996</v>
      </c>
      <c r="AY196" s="375">
        <v>36080.219999999994</v>
      </c>
      <c r="AZ196" s="375">
        <v>36080.219999999994</v>
      </c>
      <c r="BA196" s="375">
        <v>36080.219999999994</v>
      </c>
      <c r="BB196" s="375">
        <v>367389.04999999993</v>
      </c>
      <c r="BC196" s="79">
        <v>31387.97</v>
      </c>
      <c r="BD196" s="79">
        <v>29660.06</v>
      </c>
      <c r="BE196" s="79">
        <v>28355.06</v>
      </c>
      <c r="BF196" s="79">
        <v>44166.58</v>
      </c>
      <c r="BG196" s="79">
        <v>44166.58</v>
      </c>
      <c r="BH196" s="79">
        <v>44166.58</v>
      </c>
      <c r="BI196" s="79">
        <v>44166.58</v>
      </c>
      <c r="BJ196" s="79">
        <v>44166.58</v>
      </c>
      <c r="BK196" s="79">
        <v>44166.58</v>
      </c>
      <c r="BL196" s="79">
        <v>44166.58</v>
      </c>
      <c r="BM196" s="79">
        <v>44166.58</v>
      </c>
      <c r="BN196" s="79">
        <v>44166.58</v>
      </c>
      <c r="BO196" s="79">
        <v>486902.31000000011</v>
      </c>
    </row>
    <row r="197" spans="1:67" ht="15" customHeight="1">
      <c r="A197" s="66" t="s">
        <v>1456</v>
      </c>
      <c r="B197" s="66" t="s">
        <v>207</v>
      </c>
      <c r="C197" s="150" t="s">
        <v>1136</v>
      </c>
      <c r="D197" s="150" t="s">
        <v>1345</v>
      </c>
      <c r="E197" s="150" t="s">
        <v>1450</v>
      </c>
      <c r="F197" s="150" t="s">
        <v>1346</v>
      </c>
      <c r="G197" s="511" t="s">
        <v>49</v>
      </c>
      <c r="H197" s="392" t="s">
        <v>1457</v>
      </c>
      <c r="I197" s="343" t="s">
        <v>1387</v>
      </c>
      <c r="J197" s="346" t="s">
        <v>1451</v>
      </c>
      <c r="K197" s="70" t="s">
        <v>208</v>
      </c>
      <c r="L197" s="346"/>
      <c r="M197" s="346" t="s">
        <v>1458</v>
      </c>
      <c r="N197" s="346"/>
      <c r="O197" s="150" t="s">
        <v>25</v>
      </c>
      <c r="P197" s="150"/>
      <c r="Q197" s="403"/>
      <c r="R197" s="406">
        <v>270000</v>
      </c>
      <c r="S197" s="406">
        <v>201492</v>
      </c>
      <c r="T197" s="425"/>
      <c r="U197" s="71"/>
      <c r="V197" s="426">
        <v>-5507.82</v>
      </c>
      <c r="W197" s="427">
        <v>-0.18</v>
      </c>
      <c r="X197" s="431">
        <v>0</v>
      </c>
      <c r="Y197" s="428">
        <v>92692.25</v>
      </c>
      <c r="Z197" s="429">
        <v>25462.14</v>
      </c>
      <c r="AA197" s="429">
        <v>31827.680000000008</v>
      </c>
      <c r="AB197" s="363">
        <v>0</v>
      </c>
      <c r="AC197" s="363">
        <v>5434</v>
      </c>
      <c r="AD197" s="363">
        <v>12523</v>
      </c>
      <c r="AE197" s="363">
        <v>12523</v>
      </c>
      <c r="AF197" s="363">
        <v>12523</v>
      </c>
      <c r="AG197" s="363">
        <v>12523</v>
      </c>
      <c r="AH197" s="360">
        <f t="shared" si="11"/>
        <v>200000.07</v>
      </c>
      <c r="AI197" s="362">
        <f>ERP_5[[#This Row],[2026 Working Total]]-ERP_5[[#This Row],[LE2 Final Submission]]</f>
        <v>-1491.929999999993</v>
      </c>
      <c r="AJ197" s="79">
        <v>0</v>
      </c>
      <c r="AK197" s="79">
        <f t="shared" si="10"/>
        <v>31827.680000000008</v>
      </c>
      <c r="AL197" s="374">
        <f>SUM(ERP_5[[#This Row],[AP01]:[AP06]])-SUM(ERP_5[[#This Row],[AP01 LE2]:[AP06 LE2]])</f>
        <v>27982.070000000007</v>
      </c>
      <c r="AM197" s="80"/>
      <c r="AN197" s="79">
        <f>ERP_5[[#This Row],[2026 Working Total to Budget/LE]]-ERP_5[[#This Row],[Giveback]]</f>
        <v>-1491.929999999993</v>
      </c>
      <c r="AO197" s="81" t="s">
        <v>1455</v>
      </c>
      <c r="AP197" s="375">
        <v>-5507.82</v>
      </c>
      <c r="AQ197" s="375">
        <v>-0.18</v>
      </c>
      <c r="AR197" s="375">
        <v>0</v>
      </c>
      <c r="AS197" s="375">
        <v>102000</v>
      </c>
      <c r="AT197" s="375">
        <v>0</v>
      </c>
      <c r="AU197" s="375">
        <v>20000</v>
      </c>
      <c r="AV197" s="375">
        <v>20000</v>
      </c>
      <c r="AW197" s="375">
        <v>20000</v>
      </c>
      <c r="AX197" s="375">
        <v>15000</v>
      </c>
      <c r="AY197" s="375">
        <v>10000</v>
      </c>
      <c r="AZ197" s="375">
        <v>10000</v>
      </c>
      <c r="BA197" s="375">
        <v>10000</v>
      </c>
      <c r="BB197" s="375">
        <v>201492</v>
      </c>
      <c r="BC197" s="79">
        <v>-5507.82</v>
      </c>
      <c r="BD197" s="79">
        <v>-0.18</v>
      </c>
      <c r="BE197" s="79">
        <v>0</v>
      </c>
      <c r="BF197" s="79">
        <v>20000</v>
      </c>
      <c r="BG197" s="79">
        <v>20000</v>
      </c>
      <c r="BH197" s="79">
        <v>25000</v>
      </c>
      <c r="BI197" s="79">
        <v>30000</v>
      </c>
      <c r="BJ197" s="79">
        <v>30000</v>
      </c>
      <c r="BK197" s="79">
        <v>30000</v>
      </c>
      <c r="BL197" s="79">
        <v>30000</v>
      </c>
      <c r="BM197" s="79">
        <v>30000</v>
      </c>
      <c r="BN197" s="79">
        <v>30000</v>
      </c>
      <c r="BO197" s="79">
        <v>239492</v>
      </c>
    </row>
    <row r="198" spans="1:67" ht="15" customHeight="1">
      <c r="A198" s="66" t="s">
        <v>1459</v>
      </c>
      <c r="B198" s="66" t="s">
        <v>209</v>
      </c>
      <c r="C198" s="150" t="s">
        <v>1136</v>
      </c>
      <c r="D198" s="150" t="s">
        <v>1345</v>
      </c>
      <c r="E198" s="150" t="s">
        <v>1450</v>
      </c>
      <c r="F198" s="150" t="s">
        <v>1346</v>
      </c>
      <c r="G198" s="511" t="s">
        <v>49</v>
      </c>
      <c r="H198" s="392" t="s">
        <v>1460</v>
      </c>
      <c r="I198" s="343"/>
      <c r="J198" s="343"/>
      <c r="K198" s="70" t="s">
        <v>210</v>
      </c>
      <c r="L198" s="346"/>
      <c r="M198" s="346" t="s">
        <v>1221</v>
      </c>
      <c r="N198" s="346"/>
      <c r="O198" s="150" t="s">
        <v>25</v>
      </c>
      <c r="P198" s="150"/>
      <c r="Q198" s="403"/>
      <c r="R198" s="406">
        <v>100000</v>
      </c>
      <c r="S198" s="406">
        <v>66000</v>
      </c>
      <c r="T198" s="425"/>
      <c r="U198" s="71"/>
      <c r="V198" s="426"/>
      <c r="W198" s="427"/>
      <c r="X198" s="427"/>
      <c r="Y198" s="428" t="s">
        <v>1142</v>
      </c>
      <c r="Z198" s="429">
        <v>0</v>
      </c>
      <c r="AA198" s="429">
        <v>0</v>
      </c>
      <c r="AB198" s="363">
        <v>0</v>
      </c>
      <c r="AC198" s="363">
        <v>12000</v>
      </c>
      <c r="AD198" s="363">
        <v>13500</v>
      </c>
      <c r="AE198" s="363">
        <v>13500</v>
      </c>
      <c r="AF198" s="363">
        <v>13500</v>
      </c>
      <c r="AG198" s="363">
        <v>13500</v>
      </c>
      <c r="AH198" s="360">
        <f t="shared" si="11"/>
        <v>66000</v>
      </c>
      <c r="AI198" s="362">
        <f>ERP_5[[#This Row],[2026 Working Total]]-ERP_5[[#This Row],[LE2 Final Submission]]</f>
        <v>0</v>
      </c>
      <c r="AJ198" s="79">
        <v>5000</v>
      </c>
      <c r="AK198" s="79">
        <f t="shared" si="10"/>
        <v>-5000</v>
      </c>
      <c r="AL198" s="374">
        <f>SUM(ERP_5[[#This Row],[AP01]:[AP06]])-SUM(ERP_5[[#This Row],[AP01 LE2]:[AP06 LE2]])</f>
        <v>-18000</v>
      </c>
      <c r="AM198" s="80"/>
      <c r="AN198" s="79">
        <f>ERP_5[[#This Row],[2026 Working Total to Budget/LE]]-ERP_5[[#This Row],[Giveback]]</f>
        <v>0</v>
      </c>
      <c r="AO198" s="81" t="s">
        <v>1455</v>
      </c>
      <c r="AP198" s="375"/>
      <c r="AQ198" s="375"/>
      <c r="AR198" s="375"/>
      <c r="AS198" s="375">
        <v>5000</v>
      </c>
      <c r="AT198" s="375">
        <v>5000</v>
      </c>
      <c r="AU198" s="375">
        <v>8000</v>
      </c>
      <c r="AV198" s="375">
        <v>8000</v>
      </c>
      <c r="AW198" s="375">
        <v>8000</v>
      </c>
      <c r="AX198" s="375">
        <v>8000</v>
      </c>
      <c r="AY198" s="375">
        <v>8000</v>
      </c>
      <c r="AZ198" s="375">
        <v>8000</v>
      </c>
      <c r="BA198" s="375">
        <v>8000</v>
      </c>
      <c r="BB198" s="375">
        <v>66000</v>
      </c>
      <c r="BC198" s="79"/>
      <c r="BD198" s="79"/>
      <c r="BE198" s="79"/>
      <c r="BF198" s="79">
        <v>10000</v>
      </c>
      <c r="BG198" s="79">
        <v>10000</v>
      </c>
      <c r="BH198" s="79">
        <v>10000</v>
      </c>
      <c r="BI198" s="79">
        <v>10000</v>
      </c>
      <c r="BJ198" s="79">
        <v>10000</v>
      </c>
      <c r="BK198" s="79">
        <v>10000</v>
      </c>
      <c r="BL198" s="79">
        <v>10000</v>
      </c>
      <c r="BM198" s="79">
        <v>10000</v>
      </c>
      <c r="BN198" s="79">
        <v>10000</v>
      </c>
      <c r="BO198" s="79">
        <v>90000</v>
      </c>
    </row>
    <row r="199" spans="1:67" ht="15" customHeight="1">
      <c r="A199" s="66" t="s">
        <v>1361</v>
      </c>
      <c r="B199" s="66" t="s">
        <v>160</v>
      </c>
      <c r="C199" s="150" t="s">
        <v>1136</v>
      </c>
      <c r="D199" s="150" t="s">
        <v>1345</v>
      </c>
      <c r="E199" s="150" t="s">
        <v>1344</v>
      </c>
      <c r="F199" s="150" t="s">
        <v>1346</v>
      </c>
      <c r="G199" s="511" t="s">
        <v>49</v>
      </c>
      <c r="H199" s="392" t="s">
        <v>1362</v>
      </c>
      <c r="I199" s="343"/>
      <c r="J199" s="346" t="s">
        <v>1363</v>
      </c>
      <c r="K199" s="70" t="s">
        <v>161</v>
      </c>
      <c r="L199" s="346"/>
      <c r="M199" s="346" t="s">
        <v>1364</v>
      </c>
      <c r="N199" s="346"/>
      <c r="O199" s="150" t="s">
        <v>25</v>
      </c>
      <c r="P199" s="150"/>
      <c r="Q199" s="403"/>
      <c r="R199" s="406">
        <v>0</v>
      </c>
      <c r="S199" s="406">
        <v>0.1499999999996362</v>
      </c>
      <c r="T199" s="430"/>
      <c r="U199" s="137"/>
      <c r="V199" s="426"/>
      <c r="W199" s="427">
        <v>-16768</v>
      </c>
      <c r="X199" s="427">
        <v>12756.15</v>
      </c>
      <c r="Y199" s="428">
        <v>6266.17</v>
      </c>
      <c r="Z199" s="429">
        <v>6266.17</v>
      </c>
      <c r="AA199" s="429">
        <v>7832.72</v>
      </c>
      <c r="AB199" s="360">
        <v>-8520</v>
      </c>
      <c r="AC199" s="360">
        <v>0</v>
      </c>
      <c r="AD199" s="360">
        <v>0</v>
      </c>
      <c r="AE199" s="360">
        <v>0</v>
      </c>
      <c r="AF199" s="360">
        <v>0</v>
      </c>
      <c r="AG199" s="360">
        <v>0</v>
      </c>
      <c r="AH199" s="360">
        <f t="shared" si="11"/>
        <v>7833.2099999999991</v>
      </c>
      <c r="AI199" s="362">
        <f>ERP_5[[#This Row],[2026 Working Total]]-ERP_5[[#This Row],[LE2 Final Submission]]</f>
        <v>7833.0599999999995</v>
      </c>
      <c r="AJ199" s="79">
        <v>4012</v>
      </c>
      <c r="AK199" s="79">
        <f t="shared" si="10"/>
        <v>3820.7200000000003</v>
      </c>
      <c r="AL199" s="374">
        <f>SUM(ERP_5[[#This Row],[AP01]:[AP06]])-SUM(ERP_5[[#This Row],[AP01 LE2]:[AP06 LE2]])</f>
        <v>16353.06</v>
      </c>
      <c r="AM199" s="80"/>
      <c r="AN199" s="79">
        <f>ERP_5[[#This Row],[2026 Working Total to Budget/LE]]-ERP_5[[#This Row],[Giveback]]</f>
        <v>7833.0599999999995</v>
      </c>
      <c r="AO199" s="81" t="s">
        <v>1365</v>
      </c>
      <c r="AP199" s="375"/>
      <c r="AQ199" s="375">
        <v>-16768</v>
      </c>
      <c r="AR199" s="375">
        <v>12756.15</v>
      </c>
      <c r="AS199" s="375">
        <v>0</v>
      </c>
      <c r="AT199" s="375">
        <v>4012</v>
      </c>
      <c r="AU199" s="375">
        <v>0</v>
      </c>
      <c r="AV199" s="375">
        <v>0</v>
      </c>
      <c r="AW199" s="375">
        <v>0</v>
      </c>
      <c r="AX199" s="375">
        <v>0</v>
      </c>
      <c r="AY199" s="375">
        <v>0</v>
      </c>
      <c r="AZ199" s="375">
        <v>0</v>
      </c>
      <c r="BA199" s="375">
        <v>0</v>
      </c>
      <c r="BB199" s="375">
        <v>0.1499999999996362</v>
      </c>
      <c r="BC199" s="79"/>
      <c r="BD199" s="79">
        <v>-16768</v>
      </c>
      <c r="BE199" s="79">
        <v>12756.15</v>
      </c>
      <c r="BF199" s="79">
        <v>0</v>
      </c>
      <c r="BG199" s="79">
        <v>0</v>
      </c>
      <c r="BH199" s="79">
        <v>0</v>
      </c>
      <c r="BI199" s="79">
        <v>0</v>
      </c>
      <c r="BJ199" s="79">
        <v>0</v>
      </c>
      <c r="BK199" s="79">
        <v>0</v>
      </c>
      <c r="BL199" s="79">
        <v>0</v>
      </c>
      <c r="BM199" s="79">
        <v>0</v>
      </c>
      <c r="BN199" s="79">
        <v>0</v>
      </c>
      <c r="BO199" s="79">
        <v>-4011.8500000000004</v>
      </c>
    </row>
    <row r="200" spans="1:67" ht="15" customHeight="1">
      <c r="A200" s="66" t="s">
        <v>1549</v>
      </c>
      <c r="B200" s="66" t="s">
        <v>257</v>
      </c>
      <c r="C200" s="150" t="s">
        <v>1136</v>
      </c>
      <c r="D200" s="150" t="s">
        <v>1345</v>
      </c>
      <c r="E200" s="150" t="s">
        <v>1515</v>
      </c>
      <c r="F200" s="150" t="s">
        <v>1346</v>
      </c>
      <c r="G200" s="511" t="s">
        <v>49</v>
      </c>
      <c r="H200" s="392" t="s">
        <v>1550</v>
      </c>
      <c r="I200" s="343"/>
      <c r="J200" s="346" t="s">
        <v>1531</v>
      </c>
      <c r="K200" s="70" t="s">
        <v>258</v>
      </c>
      <c r="L200" s="346"/>
      <c r="M200" s="346" t="s">
        <v>1187</v>
      </c>
      <c r="N200" s="346"/>
      <c r="O200" s="150" t="s">
        <v>25</v>
      </c>
      <c r="P200" s="150" t="s">
        <v>1521</v>
      </c>
      <c r="Q200" s="403"/>
      <c r="R200" s="406">
        <v>624000</v>
      </c>
      <c r="S200" s="406">
        <v>592260.42999999993</v>
      </c>
      <c r="T200" s="425"/>
      <c r="U200" s="71"/>
      <c r="V200" s="426">
        <v>67126.64</v>
      </c>
      <c r="W200" s="427">
        <v>74377.41</v>
      </c>
      <c r="X200" s="427">
        <v>83640.33</v>
      </c>
      <c r="Y200" s="428">
        <v>-58284.780000000013</v>
      </c>
      <c r="Z200" s="429">
        <v>17767.169999999998</v>
      </c>
      <c r="AA200" s="429">
        <v>-37705.19</v>
      </c>
      <c r="AB200" s="363">
        <v>37705.5</v>
      </c>
      <c r="AC200" s="363">
        <v>47270.81</v>
      </c>
      <c r="AD200" s="363">
        <v>47270.81</v>
      </c>
      <c r="AE200" s="363">
        <v>47270.81</v>
      </c>
      <c r="AF200" s="363">
        <v>47270.81</v>
      </c>
      <c r="AG200" s="363">
        <v>47270.81</v>
      </c>
      <c r="AH200" s="360">
        <f t="shared" si="11"/>
        <v>420981.12999999995</v>
      </c>
      <c r="AI200" s="362">
        <f>ERP_5[[#This Row],[2026 Working Total]]-ERP_5[[#This Row],[LE2 Final Submission]]</f>
        <v>-171279.3</v>
      </c>
      <c r="AJ200" s="79">
        <v>37705.5</v>
      </c>
      <c r="AK200" s="79">
        <f t="shared" ref="AK200:AK263" si="13">$AA200 - $AJ200</f>
        <v>-75410.69</v>
      </c>
      <c r="AL200" s="374">
        <f>SUM(ERP_5[[#This Row],[AP01]:[AP06]])-SUM(ERP_5[[#This Row],[AP01 LE2]:[AP06 LE2]])</f>
        <v>-171279.30000000005</v>
      </c>
      <c r="AM200" s="80"/>
      <c r="AN200" s="79">
        <f>ERP_5[[#This Row],[2026 Working Total to Budget/LE]]-ERP_5[[#This Row],[Giveback]]</f>
        <v>-171279.3</v>
      </c>
      <c r="AO200" s="81"/>
      <c r="AP200" s="375">
        <v>67126.64</v>
      </c>
      <c r="AQ200" s="375">
        <v>74377.41</v>
      </c>
      <c r="AR200" s="375">
        <v>83640.33</v>
      </c>
      <c r="AS200" s="375">
        <v>17645.5</v>
      </c>
      <c r="AT200" s="375">
        <v>37705.5</v>
      </c>
      <c r="AU200" s="375">
        <v>37705.5</v>
      </c>
      <c r="AV200" s="375">
        <v>37705.5</v>
      </c>
      <c r="AW200" s="375">
        <v>47270.81</v>
      </c>
      <c r="AX200" s="375">
        <v>47270.81</v>
      </c>
      <c r="AY200" s="375">
        <v>47270.81</v>
      </c>
      <c r="AZ200" s="375">
        <v>47270.81</v>
      </c>
      <c r="BA200" s="375">
        <v>47270.81</v>
      </c>
      <c r="BB200" s="375">
        <v>592260.42999999993</v>
      </c>
      <c r="BC200" s="79">
        <v>67126.64</v>
      </c>
      <c r="BD200" s="79">
        <v>74377.41</v>
      </c>
      <c r="BE200" s="79">
        <v>83640.33</v>
      </c>
      <c r="BF200" s="79">
        <v>71858</v>
      </c>
      <c r="BG200" s="79">
        <v>71858</v>
      </c>
      <c r="BH200" s="79">
        <v>71858</v>
      </c>
      <c r="BI200" s="79">
        <v>71858</v>
      </c>
      <c r="BJ200" s="79">
        <v>71858</v>
      </c>
      <c r="BK200" s="79">
        <v>71858</v>
      </c>
      <c r="BL200" s="79">
        <v>71858</v>
      </c>
      <c r="BM200" s="79">
        <v>71858</v>
      </c>
      <c r="BN200" s="79">
        <v>71858</v>
      </c>
      <c r="BO200" s="79">
        <v>871866.38</v>
      </c>
    </row>
    <row r="201" spans="1:67" ht="15" customHeight="1">
      <c r="A201" s="66" t="s">
        <v>1798</v>
      </c>
      <c r="B201" s="66" t="s">
        <v>1799</v>
      </c>
      <c r="C201" s="150" t="s">
        <v>1136</v>
      </c>
      <c r="D201" s="150" t="s">
        <v>1135</v>
      </c>
      <c r="E201" s="150" t="s">
        <v>1165</v>
      </c>
      <c r="F201" s="150" t="s">
        <v>1137</v>
      </c>
      <c r="G201" s="511" t="s">
        <v>389</v>
      </c>
      <c r="H201" s="392" t="s">
        <v>1800</v>
      </c>
      <c r="I201" s="343"/>
      <c r="J201" s="343"/>
      <c r="K201" s="70" t="s">
        <v>419</v>
      </c>
      <c r="L201" s="346"/>
      <c r="M201" s="343"/>
      <c r="N201" s="346"/>
      <c r="O201" s="150" t="s">
        <v>25</v>
      </c>
      <c r="P201" s="150"/>
      <c r="Q201" s="403"/>
      <c r="R201" s="406">
        <v>0</v>
      </c>
      <c r="S201" s="406">
        <v>2006.44</v>
      </c>
      <c r="T201" s="425"/>
      <c r="U201" s="71"/>
      <c r="V201" s="426">
        <v>0.45</v>
      </c>
      <c r="W201" s="427">
        <v>1838.45</v>
      </c>
      <c r="X201" s="427">
        <v>167.54</v>
      </c>
      <c r="Y201" s="428">
        <v>3132.21</v>
      </c>
      <c r="Z201" s="429">
        <v>3012.3</v>
      </c>
      <c r="AA201" s="429">
        <v>0.82999999999992724</v>
      </c>
      <c r="AB201" s="360">
        <v>0</v>
      </c>
      <c r="AC201" s="360">
        <v>0</v>
      </c>
      <c r="AD201" s="360">
        <v>0</v>
      </c>
      <c r="AE201" s="360">
        <v>0</v>
      </c>
      <c r="AF201" s="360">
        <v>0</v>
      </c>
      <c r="AG201" s="360">
        <v>0</v>
      </c>
      <c r="AH201" s="360">
        <f t="shared" si="11"/>
        <v>8151.78</v>
      </c>
      <c r="AI201" s="362">
        <f>ERP_5[[#This Row],[2026 Working Total]]-ERP_5[[#This Row],[LE2 Final Submission]]</f>
        <v>6145.34</v>
      </c>
      <c r="AJ201" s="79">
        <v>0</v>
      </c>
      <c r="AK201" s="79">
        <f t="shared" si="13"/>
        <v>0.82999999999992724</v>
      </c>
      <c r="AL201" s="374">
        <f>SUM(ERP_5[[#This Row],[AP01]:[AP06]])-SUM(ERP_5[[#This Row],[AP01 LE2]:[AP06 LE2]])</f>
        <v>6145.34</v>
      </c>
      <c r="AM201" s="80"/>
      <c r="AN201" s="79">
        <f>ERP_5[[#This Row],[2026 Working Total to Budget/LE]]-ERP_5[[#This Row],[Giveback]]</f>
        <v>6145.34</v>
      </c>
      <c r="AO201" s="81"/>
      <c r="AP201" s="375">
        <v>0.45</v>
      </c>
      <c r="AQ201" s="375">
        <v>1838.45</v>
      </c>
      <c r="AR201" s="375">
        <v>167.54</v>
      </c>
      <c r="AS201" s="375">
        <v>0</v>
      </c>
      <c r="AT201" s="375">
        <v>0</v>
      </c>
      <c r="AU201" s="375">
        <v>0</v>
      </c>
      <c r="AV201" s="375">
        <v>0</v>
      </c>
      <c r="AW201" s="375">
        <v>0</v>
      </c>
      <c r="AX201" s="375">
        <v>0</v>
      </c>
      <c r="AY201" s="375">
        <v>0</v>
      </c>
      <c r="AZ201" s="375">
        <v>0</v>
      </c>
      <c r="BA201" s="375">
        <v>0</v>
      </c>
      <c r="BB201" s="375">
        <v>2006.44</v>
      </c>
      <c r="BC201" s="79">
        <v>0.45</v>
      </c>
      <c r="BD201" s="79">
        <v>1838.45</v>
      </c>
      <c r="BE201" s="79">
        <v>167.54</v>
      </c>
      <c r="BF201" s="79">
        <v>0</v>
      </c>
      <c r="BG201" s="79">
        <v>0</v>
      </c>
      <c r="BH201" s="79">
        <v>0</v>
      </c>
      <c r="BI201" s="79">
        <v>0</v>
      </c>
      <c r="BJ201" s="79">
        <v>0</v>
      </c>
      <c r="BK201" s="79">
        <v>0</v>
      </c>
      <c r="BL201" s="79">
        <v>0</v>
      </c>
      <c r="BM201" s="79">
        <v>0</v>
      </c>
      <c r="BN201" s="79">
        <v>0</v>
      </c>
      <c r="BO201" s="79">
        <v>2006.44</v>
      </c>
    </row>
    <row r="202" spans="1:67" ht="15" customHeight="1">
      <c r="A202" s="150" t="s">
        <v>1807</v>
      </c>
      <c r="B202" s="66" t="s">
        <v>1808</v>
      </c>
      <c r="C202" s="150" t="s">
        <v>1136</v>
      </c>
      <c r="D202" s="150" t="s">
        <v>1135</v>
      </c>
      <c r="E202" s="150" t="s">
        <v>1165</v>
      </c>
      <c r="F202" s="150" t="s">
        <v>1165</v>
      </c>
      <c r="G202" s="514" t="s">
        <v>389</v>
      </c>
      <c r="H202" s="394" t="s">
        <v>1809</v>
      </c>
      <c r="I202" s="333" t="s">
        <v>1167</v>
      </c>
      <c r="J202" s="332" t="s">
        <v>1284</v>
      </c>
      <c r="K202" s="90" t="s">
        <v>59</v>
      </c>
      <c r="L202" s="347"/>
      <c r="M202" s="348" t="s">
        <v>1805</v>
      </c>
      <c r="N202" s="348"/>
      <c r="O202" s="348"/>
      <c r="P202" s="348"/>
      <c r="Q202" s="402"/>
      <c r="R202" s="406"/>
      <c r="S202" s="406"/>
      <c r="T202" s="425"/>
      <c r="U202" s="425"/>
      <c r="V202" s="435"/>
      <c r="W202" s="436"/>
      <c r="X202" s="436"/>
      <c r="Y202" s="429">
        <v>35539.5</v>
      </c>
      <c r="Z202" s="429">
        <v>-35539.5</v>
      </c>
      <c r="AA202" s="429">
        <v>0</v>
      </c>
      <c r="AB202" s="364"/>
      <c r="AC202" s="364"/>
      <c r="AD202" s="364"/>
      <c r="AE202" s="364"/>
      <c r="AF202" s="364"/>
      <c r="AG202" s="364"/>
      <c r="AH202" s="360">
        <f t="shared" si="11"/>
        <v>0</v>
      </c>
      <c r="AI202" s="362">
        <f>ERP_5[[#This Row],[2026 Working Total]]-ERP_5[[#This Row],[LE2 Final Submission]]</f>
        <v>0</v>
      </c>
      <c r="AJ202" s="79"/>
      <c r="AK202" s="79">
        <f t="shared" si="13"/>
        <v>0</v>
      </c>
      <c r="AL202" s="374">
        <f>SUM(ERP_5[[#This Row],[AP01]:[AP06]])-SUM(ERP_5[[#This Row],[AP01 LE2]:[AP06 LE2]])</f>
        <v>0</v>
      </c>
      <c r="AM202" s="80"/>
      <c r="AN202" s="79">
        <f>ERP_5[[#This Row],[2026 Working Total to Budget/LE]]-ERP_5[[#This Row],[Giveback]]</f>
        <v>0</v>
      </c>
      <c r="AO202" s="81"/>
      <c r="AP202" s="375"/>
      <c r="AQ202" s="375"/>
      <c r="AR202" s="375"/>
      <c r="AS202" s="375"/>
      <c r="AT202" s="375"/>
      <c r="AU202" s="375"/>
      <c r="AV202" s="375"/>
      <c r="AW202" s="375"/>
      <c r="AX202" s="375"/>
      <c r="AY202" s="375"/>
      <c r="AZ202" s="375"/>
      <c r="BA202" s="375"/>
      <c r="BB202" s="375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</row>
    <row r="203" spans="1:67" ht="15" customHeight="1">
      <c r="A203" s="150" t="s">
        <v>1801</v>
      </c>
      <c r="B203" s="296" t="s">
        <v>1802</v>
      </c>
      <c r="C203" s="150" t="s">
        <v>1136</v>
      </c>
      <c r="D203" s="150" t="s">
        <v>1135</v>
      </c>
      <c r="E203" s="332" t="s">
        <v>1156</v>
      </c>
      <c r="F203" s="333" t="s">
        <v>1156</v>
      </c>
      <c r="G203" s="514" t="s">
        <v>389</v>
      </c>
      <c r="H203" s="394" t="s">
        <v>1803</v>
      </c>
      <c r="I203" s="333"/>
      <c r="J203" s="332" t="s">
        <v>1804</v>
      </c>
      <c r="K203" s="90" t="s">
        <v>59</v>
      </c>
      <c r="L203" s="347"/>
      <c r="M203" s="348" t="s">
        <v>1805</v>
      </c>
      <c r="N203" s="348"/>
      <c r="O203" s="348"/>
      <c r="P203" s="449" t="s">
        <v>1806</v>
      </c>
      <c r="Q203" s="402"/>
      <c r="R203" s="406"/>
      <c r="S203" s="406"/>
      <c r="T203" s="425"/>
      <c r="U203" s="71"/>
      <c r="V203" s="435"/>
      <c r="W203" s="436"/>
      <c r="X203" s="436"/>
      <c r="Y203" s="436"/>
      <c r="Z203" s="429">
        <v>45743</v>
      </c>
      <c r="AA203" s="429">
        <v>9404.5</v>
      </c>
      <c r="AB203" s="364"/>
      <c r="AC203" s="364"/>
      <c r="AD203" s="364"/>
      <c r="AE203" s="364"/>
      <c r="AF203" s="364"/>
      <c r="AG203" s="364"/>
      <c r="AH203" s="360">
        <f t="shared" si="11"/>
        <v>55147.5</v>
      </c>
      <c r="AI203" s="362">
        <f>ERP_5[[#This Row],[2026 Working Total]]-ERP_5[[#This Row],[LE2 Final Submission]]</f>
        <v>55147.5</v>
      </c>
      <c r="AJ203" s="79"/>
      <c r="AK203" s="79">
        <f t="shared" si="13"/>
        <v>9404.5</v>
      </c>
      <c r="AL203" s="374">
        <f>SUM(ERP_5[[#This Row],[AP01]:[AP06]])-SUM(ERP_5[[#This Row],[AP01 LE2]:[AP06 LE2]])</f>
        <v>55147.5</v>
      </c>
      <c r="AM203" s="80"/>
      <c r="AN203" s="79">
        <f>ERP_5[[#This Row],[2026 Working Total to Budget/LE]]-ERP_5[[#This Row],[Giveback]]</f>
        <v>55147.5</v>
      </c>
      <c r="AO203" s="81"/>
      <c r="AP203" s="375"/>
      <c r="AQ203" s="375"/>
      <c r="AR203" s="375"/>
      <c r="AS203" s="375"/>
      <c r="AT203" s="375"/>
      <c r="AU203" s="375"/>
      <c r="AV203" s="375"/>
      <c r="AW203" s="375"/>
      <c r="AX203" s="375"/>
      <c r="AY203" s="375"/>
      <c r="AZ203" s="375"/>
      <c r="BA203" s="375"/>
      <c r="BB203" s="375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</row>
    <row r="204" spans="1:67" ht="15" customHeight="1">
      <c r="A204" s="162" t="s">
        <v>1366</v>
      </c>
      <c r="B204" s="66" t="s">
        <v>162</v>
      </c>
      <c r="C204" s="150" t="s">
        <v>1136</v>
      </c>
      <c r="D204" s="150" t="s">
        <v>1345</v>
      </c>
      <c r="E204" s="150" t="s">
        <v>1344</v>
      </c>
      <c r="F204" s="184" t="s">
        <v>1346</v>
      </c>
      <c r="G204" s="515" t="s">
        <v>49</v>
      </c>
      <c r="H204" s="392" t="s">
        <v>1367</v>
      </c>
      <c r="I204" s="343"/>
      <c r="J204" s="343"/>
      <c r="K204" s="92" t="s">
        <v>163</v>
      </c>
      <c r="L204" s="346" t="s">
        <v>1139</v>
      </c>
      <c r="M204" s="343"/>
      <c r="N204" s="346"/>
      <c r="O204" s="150" t="s">
        <v>25</v>
      </c>
      <c r="P204" s="184"/>
      <c r="Q204" s="415"/>
      <c r="R204" s="416">
        <v>0</v>
      </c>
      <c r="S204" s="416">
        <v>3558.41</v>
      </c>
      <c r="T204" s="425"/>
      <c r="U204" s="71"/>
      <c r="V204" s="438">
        <v>3558.41</v>
      </c>
      <c r="W204" s="439">
        <v>0</v>
      </c>
      <c r="X204" s="439">
        <v>0</v>
      </c>
      <c r="Y204" s="428">
        <v>0</v>
      </c>
      <c r="Z204" s="429">
        <v>0</v>
      </c>
      <c r="AA204" s="429">
        <v>0</v>
      </c>
      <c r="AB204" s="366">
        <v>0</v>
      </c>
      <c r="AC204" s="366">
        <v>0</v>
      </c>
      <c r="AD204" s="366">
        <v>0</v>
      </c>
      <c r="AE204" s="366">
        <v>0</v>
      </c>
      <c r="AF204" s="366">
        <v>0</v>
      </c>
      <c r="AG204" s="366">
        <v>0</v>
      </c>
      <c r="AH204" s="366">
        <f t="shared" ref="AH204:AH267" si="14">SUM(V204:AG204)</f>
        <v>3558.41</v>
      </c>
      <c r="AI204" s="362">
        <f>ERP_5[[#This Row],[2026 Working Total]]-ERP_5[[#This Row],[LE2 Final Submission]]</f>
        <v>0</v>
      </c>
      <c r="AJ204" s="172">
        <v>0</v>
      </c>
      <c r="AK204" s="172">
        <f t="shared" si="13"/>
        <v>0</v>
      </c>
      <c r="AL204" s="374">
        <f>SUM(ERP_5[[#This Row],[AP01]:[AP06]])-SUM(ERP_5[[#This Row],[AP01 LE2]:[AP06 LE2]])</f>
        <v>0</v>
      </c>
      <c r="AM204" s="173"/>
      <c r="AN204" s="172">
        <f>ERP_5[[#This Row],[2026 Working Total to Budget/LE]]-ERP_5[[#This Row],[Giveback]]</f>
        <v>0</v>
      </c>
      <c r="AO204" s="155" t="s">
        <v>1368</v>
      </c>
      <c r="AP204" s="375">
        <v>3558.41</v>
      </c>
      <c r="AQ204" s="375">
        <v>0</v>
      </c>
      <c r="AR204" s="375">
        <v>0</v>
      </c>
      <c r="AS204" s="375">
        <v>0</v>
      </c>
      <c r="AT204" s="375">
        <v>0</v>
      </c>
      <c r="AU204" s="375">
        <v>0</v>
      </c>
      <c r="AV204" s="375">
        <v>0</v>
      </c>
      <c r="AW204" s="375">
        <v>0</v>
      </c>
      <c r="AX204" s="375">
        <v>0</v>
      </c>
      <c r="AY204" s="375">
        <v>0</v>
      </c>
      <c r="AZ204" s="375">
        <v>0</v>
      </c>
      <c r="BA204" s="375">
        <v>0</v>
      </c>
      <c r="BB204" s="375">
        <v>3558.41</v>
      </c>
      <c r="BC204" s="172">
        <v>3558.41</v>
      </c>
      <c r="BD204" s="172">
        <v>0</v>
      </c>
      <c r="BE204" s="172">
        <v>0</v>
      </c>
      <c r="BF204" s="172">
        <v>0</v>
      </c>
      <c r="BG204" s="172">
        <v>0</v>
      </c>
      <c r="BH204" s="172">
        <v>0</v>
      </c>
      <c r="BI204" s="172">
        <v>0</v>
      </c>
      <c r="BJ204" s="172">
        <v>0</v>
      </c>
      <c r="BK204" s="172">
        <v>0</v>
      </c>
      <c r="BL204" s="172">
        <v>0</v>
      </c>
      <c r="BM204" s="172">
        <v>0</v>
      </c>
      <c r="BN204" s="172">
        <v>0</v>
      </c>
      <c r="BO204" s="172">
        <v>3558.41</v>
      </c>
    </row>
    <row r="205" spans="1:67" ht="15" customHeight="1">
      <c r="A205" s="66" t="s">
        <v>1551</v>
      </c>
      <c r="B205" s="66" t="s">
        <v>259</v>
      </c>
      <c r="C205" s="150" t="s">
        <v>1136</v>
      </c>
      <c r="D205" s="150" t="s">
        <v>1345</v>
      </c>
      <c r="E205" s="150" t="s">
        <v>1515</v>
      </c>
      <c r="F205" s="150" t="s">
        <v>1346</v>
      </c>
      <c r="G205" s="511" t="s">
        <v>49</v>
      </c>
      <c r="H205" s="392" t="s">
        <v>1367</v>
      </c>
      <c r="I205" s="343"/>
      <c r="J205" s="343"/>
      <c r="K205" s="70" t="s">
        <v>163</v>
      </c>
      <c r="L205" s="346" t="s">
        <v>1139</v>
      </c>
      <c r="M205" s="343"/>
      <c r="N205" s="346"/>
      <c r="O205" s="150" t="s">
        <v>25</v>
      </c>
      <c r="P205" s="150"/>
      <c r="Q205" s="403"/>
      <c r="R205" s="406">
        <v>270422.03999999992</v>
      </c>
      <c r="S205" s="406">
        <v>166650</v>
      </c>
      <c r="T205" s="425"/>
      <c r="U205" s="71"/>
      <c r="V205" s="426"/>
      <c r="W205" s="427"/>
      <c r="X205" s="427"/>
      <c r="Y205" s="428" t="s">
        <v>1142</v>
      </c>
      <c r="Z205" s="429">
        <v>0</v>
      </c>
      <c r="AA205" s="429">
        <v>0</v>
      </c>
      <c r="AB205" s="363">
        <v>7837.5</v>
      </c>
      <c r="AC205" s="363">
        <v>7837.5</v>
      </c>
      <c r="AD205" s="363">
        <v>7837.5</v>
      </c>
      <c r="AE205" s="363">
        <v>7837.5</v>
      </c>
      <c r="AF205" s="363">
        <v>7837.5</v>
      </c>
      <c r="AG205" s="363">
        <v>7837.5</v>
      </c>
      <c r="AH205" s="360">
        <f t="shared" si="14"/>
        <v>47025</v>
      </c>
      <c r="AI205" s="362">
        <f>ERP_5[[#This Row],[2026 Working Total]]-ERP_5[[#This Row],[LE2 Final Submission]]</f>
        <v>-119625</v>
      </c>
      <c r="AJ205" s="79">
        <v>111787.5</v>
      </c>
      <c r="AK205" s="79">
        <f t="shared" si="13"/>
        <v>-111787.5</v>
      </c>
      <c r="AL205" s="374">
        <f>SUM(ERP_5[[#This Row],[AP01]:[AP06]])-SUM(ERP_5[[#This Row],[AP01 LE2]:[AP06 LE2]])</f>
        <v>-119625</v>
      </c>
      <c r="AM205" s="80"/>
      <c r="AN205" s="79">
        <f>ERP_5[[#This Row],[2026 Working Total to Budget/LE]]-ERP_5[[#This Row],[Giveback]]</f>
        <v>-119625</v>
      </c>
      <c r="AO205" s="81"/>
      <c r="AP205" s="375"/>
      <c r="AQ205" s="375"/>
      <c r="AR205" s="375"/>
      <c r="AS205" s="375">
        <v>0</v>
      </c>
      <c r="AT205" s="375">
        <v>111787.5</v>
      </c>
      <c r="AU205" s="375">
        <v>7837.5</v>
      </c>
      <c r="AV205" s="375">
        <v>7837.5</v>
      </c>
      <c r="AW205" s="375">
        <v>7837.5</v>
      </c>
      <c r="AX205" s="375">
        <v>7837.5</v>
      </c>
      <c r="AY205" s="375">
        <v>7837.5</v>
      </c>
      <c r="AZ205" s="375">
        <v>7837.5</v>
      </c>
      <c r="BA205" s="375">
        <v>7837.5</v>
      </c>
      <c r="BB205" s="375">
        <v>166650</v>
      </c>
      <c r="BC205" s="79"/>
      <c r="BD205" s="79"/>
      <c r="BE205" s="79"/>
      <c r="BF205" s="79">
        <v>26158</v>
      </c>
      <c r="BG205" s="79">
        <v>26158</v>
      </c>
      <c r="BH205" s="79">
        <v>26158</v>
      </c>
      <c r="BI205" s="79">
        <v>26158</v>
      </c>
      <c r="BJ205" s="79">
        <v>26158</v>
      </c>
      <c r="BK205" s="79">
        <v>26158</v>
      </c>
      <c r="BL205" s="79">
        <v>26158</v>
      </c>
      <c r="BM205" s="79">
        <v>26158</v>
      </c>
      <c r="BN205" s="79">
        <v>26158</v>
      </c>
      <c r="BO205" s="79">
        <v>235422</v>
      </c>
    </row>
    <row r="206" spans="1:67" ht="15" customHeight="1">
      <c r="A206" s="66" t="s">
        <v>1461</v>
      </c>
      <c r="B206" s="66" t="s">
        <v>211</v>
      </c>
      <c r="C206" s="150" t="s">
        <v>1136</v>
      </c>
      <c r="D206" s="150" t="s">
        <v>1345</v>
      </c>
      <c r="E206" s="150" t="s">
        <v>1450</v>
      </c>
      <c r="F206" s="150" t="s">
        <v>1346</v>
      </c>
      <c r="G206" s="511" t="s">
        <v>49</v>
      </c>
      <c r="H206" s="392" t="s">
        <v>1462</v>
      </c>
      <c r="I206" s="343"/>
      <c r="J206" s="343"/>
      <c r="K206" s="70" t="s">
        <v>212</v>
      </c>
      <c r="L206" s="346"/>
      <c r="M206" s="346" t="s">
        <v>1221</v>
      </c>
      <c r="N206" s="346"/>
      <c r="O206" s="150" t="s">
        <v>25</v>
      </c>
      <c r="P206" s="150"/>
      <c r="Q206" s="403"/>
      <c r="R206" s="406">
        <v>70000</v>
      </c>
      <c r="S206" s="406">
        <v>40000</v>
      </c>
      <c r="T206" s="430"/>
      <c r="U206" s="137"/>
      <c r="V206" s="426"/>
      <c r="W206" s="427"/>
      <c r="X206" s="427"/>
      <c r="Y206" s="428" t="s">
        <v>1142</v>
      </c>
      <c r="Z206" s="429">
        <v>0</v>
      </c>
      <c r="AA206" s="429">
        <v>0</v>
      </c>
      <c r="AB206" s="363">
        <v>0</v>
      </c>
      <c r="AC206" s="363">
        <v>9500</v>
      </c>
      <c r="AD206" s="363">
        <v>0</v>
      </c>
      <c r="AE206" s="363">
        <v>20000</v>
      </c>
      <c r="AF206" s="363">
        <v>0</v>
      </c>
      <c r="AG206" s="363">
        <v>20000</v>
      </c>
      <c r="AH206" s="360">
        <f t="shared" si="14"/>
        <v>49500</v>
      </c>
      <c r="AI206" s="362">
        <f>ERP_5[[#This Row],[2026 Working Total]]-ERP_5[[#This Row],[LE2 Final Submission]]</f>
        <v>9500</v>
      </c>
      <c r="AJ206" s="79"/>
      <c r="AK206" s="79">
        <f t="shared" si="13"/>
        <v>0</v>
      </c>
      <c r="AL206" s="374">
        <f>SUM(ERP_5[[#This Row],[AP01]:[AP06]])-SUM(ERP_5[[#This Row],[AP01 LE2]:[AP06 LE2]])</f>
        <v>-5000</v>
      </c>
      <c r="AM206" s="80"/>
      <c r="AN206" s="79">
        <f>ERP_5[[#This Row],[2026 Working Total to Budget/LE]]-ERP_5[[#This Row],[Giveback]]</f>
        <v>9500</v>
      </c>
      <c r="AO206" s="81" t="s">
        <v>1455</v>
      </c>
      <c r="AP206" s="375"/>
      <c r="AQ206" s="375"/>
      <c r="AR206" s="375"/>
      <c r="AS206" s="375"/>
      <c r="AT206" s="375"/>
      <c r="AU206" s="375">
        <v>5000</v>
      </c>
      <c r="AV206" s="375">
        <v>5000</v>
      </c>
      <c r="AW206" s="375">
        <v>5000</v>
      </c>
      <c r="AX206" s="375">
        <v>5000</v>
      </c>
      <c r="AY206" s="375">
        <v>5000</v>
      </c>
      <c r="AZ206" s="375">
        <v>5000</v>
      </c>
      <c r="BA206" s="375">
        <v>10000</v>
      </c>
      <c r="BB206" s="375">
        <v>40000</v>
      </c>
      <c r="BC206" s="79"/>
      <c r="BD206" s="79"/>
      <c r="BE206" s="79"/>
      <c r="BF206" s="79">
        <v>7000</v>
      </c>
      <c r="BG206" s="79">
        <v>7000</v>
      </c>
      <c r="BH206" s="79">
        <v>7000</v>
      </c>
      <c r="BI206" s="79">
        <v>7000</v>
      </c>
      <c r="BJ206" s="79">
        <v>7000</v>
      </c>
      <c r="BK206" s="79">
        <v>7000</v>
      </c>
      <c r="BL206" s="79">
        <v>7000</v>
      </c>
      <c r="BM206" s="79">
        <v>7000</v>
      </c>
      <c r="BN206" s="79">
        <v>7000</v>
      </c>
      <c r="BO206" s="79">
        <v>63000</v>
      </c>
    </row>
    <row r="207" spans="1:67" ht="15" customHeight="1">
      <c r="A207" s="66" t="s">
        <v>1369</v>
      </c>
      <c r="B207" s="66" t="s">
        <v>164</v>
      </c>
      <c r="C207" s="150" t="s">
        <v>1136</v>
      </c>
      <c r="D207" s="150" t="s">
        <v>1345</v>
      </c>
      <c r="E207" s="150" t="s">
        <v>1344</v>
      </c>
      <c r="F207" s="150" t="s">
        <v>1346</v>
      </c>
      <c r="G207" s="511" t="s">
        <v>49</v>
      </c>
      <c r="H207" s="392" t="s">
        <v>1370</v>
      </c>
      <c r="I207" s="343"/>
      <c r="J207" s="343"/>
      <c r="K207" s="70" t="s">
        <v>165</v>
      </c>
      <c r="L207" s="346" t="s">
        <v>1371</v>
      </c>
      <c r="M207" s="343"/>
      <c r="N207" s="346"/>
      <c r="O207" s="150" t="s">
        <v>152</v>
      </c>
      <c r="P207" s="150"/>
      <c r="Q207" s="403"/>
      <c r="R207" s="406">
        <v>50000</v>
      </c>
      <c r="S207" s="406">
        <v>50000</v>
      </c>
      <c r="T207" s="425"/>
      <c r="U207" s="71"/>
      <c r="V207" s="426"/>
      <c r="W207" s="427"/>
      <c r="X207" s="427"/>
      <c r="Y207" s="428" t="s">
        <v>1142</v>
      </c>
      <c r="Z207" s="429">
        <v>0</v>
      </c>
      <c r="AA207" s="429">
        <v>0</v>
      </c>
      <c r="AB207" s="363">
        <v>8520</v>
      </c>
      <c r="AC207" s="363">
        <v>10000</v>
      </c>
      <c r="AD207" s="363">
        <v>10000</v>
      </c>
      <c r="AE207" s="363">
        <v>10000</v>
      </c>
      <c r="AF207" s="363">
        <v>11480</v>
      </c>
      <c r="AG207" s="360">
        <v>0</v>
      </c>
      <c r="AH207" s="360">
        <f t="shared" si="14"/>
        <v>50000</v>
      </c>
      <c r="AI207" s="362">
        <f>ERP_5[[#This Row],[2026 Working Total]]-ERP_5[[#This Row],[LE2 Final Submission]]</f>
        <v>0</v>
      </c>
      <c r="AJ207" s="79">
        <v>11100</v>
      </c>
      <c r="AK207" s="79">
        <f t="shared" si="13"/>
        <v>-11100</v>
      </c>
      <c r="AL207" s="374">
        <f>SUM(ERP_5[[#This Row],[AP01]:[AP06]])-SUM(ERP_5[[#This Row],[AP01 LE2]:[AP06 LE2]])</f>
        <v>-22500</v>
      </c>
      <c r="AM207" s="80"/>
      <c r="AN207" s="79">
        <f>ERP_5[[#This Row],[2026 Working Total to Budget/LE]]-ERP_5[[#This Row],[Giveback]]</f>
        <v>0</v>
      </c>
      <c r="AO207" s="81"/>
      <c r="AP207" s="375"/>
      <c r="AQ207" s="375"/>
      <c r="AR207" s="375"/>
      <c r="AS207" s="375">
        <v>0</v>
      </c>
      <c r="AT207" s="375">
        <v>11100</v>
      </c>
      <c r="AU207" s="375">
        <v>11400</v>
      </c>
      <c r="AV207" s="375">
        <v>0</v>
      </c>
      <c r="AW207" s="375">
        <v>0</v>
      </c>
      <c r="AX207" s="375">
        <v>9000</v>
      </c>
      <c r="AY207" s="375">
        <v>9000</v>
      </c>
      <c r="AZ207" s="375">
        <v>9500</v>
      </c>
      <c r="BA207" s="375">
        <v>0</v>
      </c>
      <c r="BB207" s="375">
        <v>50000</v>
      </c>
      <c r="BC207" s="79"/>
      <c r="BD207" s="79"/>
      <c r="BE207" s="79"/>
      <c r="BF207" s="79"/>
      <c r="BG207" s="79"/>
      <c r="BH207" s="79"/>
      <c r="BI207" s="79">
        <v>10000</v>
      </c>
      <c r="BJ207" s="79">
        <v>10000</v>
      </c>
      <c r="BK207" s="79">
        <v>10000</v>
      </c>
      <c r="BL207" s="79">
        <v>10000</v>
      </c>
      <c r="BM207" s="79">
        <v>10000</v>
      </c>
      <c r="BN207" s="79">
        <v>0</v>
      </c>
      <c r="BO207" s="79">
        <v>50000</v>
      </c>
    </row>
    <row r="208" spans="1:67" ht="15" customHeight="1">
      <c r="A208" s="66" t="s">
        <v>1176</v>
      </c>
      <c r="B208" s="66" t="s">
        <v>1177</v>
      </c>
      <c r="C208" s="150" t="s">
        <v>1136</v>
      </c>
      <c r="D208" s="150" t="s">
        <v>1135</v>
      </c>
      <c r="E208" s="150" t="s">
        <v>1156</v>
      </c>
      <c r="F208" s="150" t="s">
        <v>1137</v>
      </c>
      <c r="G208" s="511" t="s">
        <v>49</v>
      </c>
      <c r="H208" s="392" t="s">
        <v>1178</v>
      </c>
      <c r="I208" s="343"/>
      <c r="J208" s="343"/>
      <c r="K208" s="70" t="s">
        <v>59</v>
      </c>
      <c r="L208" s="346"/>
      <c r="M208" s="343"/>
      <c r="N208" s="346"/>
      <c r="O208" s="150" t="s">
        <v>25</v>
      </c>
      <c r="P208" s="150"/>
      <c r="Q208" s="403"/>
      <c r="R208" s="406">
        <v>551723.03999999992</v>
      </c>
      <c r="S208" s="406">
        <v>460642</v>
      </c>
      <c r="T208" s="425"/>
      <c r="U208" s="71"/>
      <c r="V208" s="426"/>
      <c r="W208" s="427"/>
      <c r="X208" s="427"/>
      <c r="Y208" s="428">
        <v>0</v>
      </c>
      <c r="Z208" s="429">
        <v>29102.65</v>
      </c>
      <c r="AA208" s="429">
        <v>67355.899999999994</v>
      </c>
      <c r="AB208" s="363">
        <v>58020</v>
      </c>
      <c r="AC208" s="363">
        <v>58020</v>
      </c>
      <c r="AD208" s="363">
        <f>42525+20000</f>
        <v>62525</v>
      </c>
      <c r="AE208" s="363">
        <v>48020</v>
      </c>
      <c r="AF208" s="363">
        <v>42525</v>
      </c>
      <c r="AG208" s="363">
        <v>34020</v>
      </c>
      <c r="AH208" s="360">
        <f t="shared" si="14"/>
        <v>399588.55</v>
      </c>
      <c r="AI208" s="362">
        <f>ERP_5[[#This Row],[2026 Working Total]]-ERP_5[[#This Row],[LE2 Final Submission]]</f>
        <v>-61053.450000000012</v>
      </c>
      <c r="AJ208" s="79">
        <v>141912</v>
      </c>
      <c r="AK208" s="79">
        <f t="shared" si="13"/>
        <v>-74556.100000000006</v>
      </c>
      <c r="AL208" s="374">
        <f>SUM(ERP_5[[#This Row],[AP01]:[AP06]])-SUM(ERP_5[[#This Row],[AP01 LE2]:[AP06 LE2]])</f>
        <v>-131967.45000000001</v>
      </c>
      <c r="AM208" s="80">
        <v>-91081</v>
      </c>
      <c r="AN208" s="79">
        <f>ERP_5[[#This Row],[2026 Working Total to Budget/LE]]-ERP_5[[#This Row],[Giveback]]</f>
        <v>30027.549999999988</v>
      </c>
      <c r="AO208" s="81" t="s">
        <v>1179</v>
      </c>
      <c r="AP208" s="375"/>
      <c r="AQ208" s="375"/>
      <c r="AR208" s="375"/>
      <c r="AS208" s="375">
        <v>36666</v>
      </c>
      <c r="AT208" s="375">
        <v>141912</v>
      </c>
      <c r="AU208" s="375">
        <v>49848</v>
      </c>
      <c r="AV208" s="375">
        <v>40857</v>
      </c>
      <c r="AW208" s="375">
        <v>40681</v>
      </c>
      <c r="AX208" s="375">
        <v>37645</v>
      </c>
      <c r="AY208" s="375">
        <v>37694</v>
      </c>
      <c r="AZ208" s="375">
        <v>37645</v>
      </c>
      <c r="BA208" s="375">
        <v>37694</v>
      </c>
      <c r="BB208" s="375">
        <v>460642</v>
      </c>
      <c r="BC208" s="79"/>
      <c r="BD208" s="79"/>
      <c r="BE208" s="79"/>
      <c r="BF208" s="79">
        <v>61303</v>
      </c>
      <c r="BG208" s="79">
        <v>61303</v>
      </c>
      <c r="BH208" s="79">
        <v>61303</v>
      </c>
      <c r="BI208" s="79">
        <v>61303</v>
      </c>
      <c r="BJ208" s="79">
        <v>61303</v>
      </c>
      <c r="BK208" s="79">
        <v>61303</v>
      </c>
      <c r="BL208" s="79">
        <v>61303</v>
      </c>
      <c r="BM208" s="79">
        <v>61303</v>
      </c>
      <c r="BN208" s="79">
        <v>61303</v>
      </c>
      <c r="BO208" s="79">
        <v>551727</v>
      </c>
    </row>
    <row r="209" spans="1:67" ht="15" customHeight="1">
      <c r="A209" s="66" t="s">
        <v>1372</v>
      </c>
      <c r="B209" s="66" t="s">
        <v>166</v>
      </c>
      <c r="C209" s="150" t="s">
        <v>1136</v>
      </c>
      <c r="D209" s="150" t="s">
        <v>1345</v>
      </c>
      <c r="E209" s="150" t="s">
        <v>1344</v>
      </c>
      <c r="F209" s="150" t="s">
        <v>1346</v>
      </c>
      <c r="G209" s="511" t="s">
        <v>49</v>
      </c>
      <c r="H209" s="392" t="s">
        <v>1373</v>
      </c>
      <c r="I209" s="343"/>
      <c r="J209" s="343"/>
      <c r="K209" s="70" t="s">
        <v>167</v>
      </c>
      <c r="L209" s="346"/>
      <c r="M209" s="343"/>
      <c r="N209" s="346"/>
      <c r="O209" s="150" t="s">
        <v>25</v>
      </c>
      <c r="P209" s="150"/>
      <c r="Q209" s="403"/>
      <c r="R209" s="406">
        <v>6000</v>
      </c>
      <c r="S209" s="406">
        <v>6000</v>
      </c>
      <c r="T209" s="430"/>
      <c r="U209" s="137"/>
      <c r="V209" s="426"/>
      <c r="W209" s="427"/>
      <c r="X209" s="427"/>
      <c r="Y209" s="428" t="s">
        <v>1142</v>
      </c>
      <c r="Z209" s="429">
        <v>0</v>
      </c>
      <c r="AA209" s="429">
        <v>0</v>
      </c>
      <c r="AB209" s="363"/>
      <c r="AC209" s="363"/>
      <c r="AD209" s="363">
        <v>6000</v>
      </c>
      <c r="AE209" s="360">
        <v>0</v>
      </c>
      <c r="AF209" s="360">
        <v>0</v>
      </c>
      <c r="AG209" s="360">
        <v>0</v>
      </c>
      <c r="AH209" s="360">
        <f t="shared" si="14"/>
        <v>6000</v>
      </c>
      <c r="AI209" s="362">
        <f>ERP_5[[#This Row],[2026 Working Total]]-ERP_5[[#This Row],[LE2 Final Submission]]</f>
        <v>0</v>
      </c>
      <c r="AJ209" s="79"/>
      <c r="AK209" s="79">
        <f t="shared" si="13"/>
        <v>0</v>
      </c>
      <c r="AL209" s="374">
        <f>SUM(ERP_5[[#This Row],[AP01]:[AP06]])-SUM(ERP_5[[#This Row],[AP01 LE2]:[AP06 LE2]])</f>
        <v>0</v>
      </c>
      <c r="AM209" s="80"/>
      <c r="AN209" s="79">
        <f>ERP_5[[#This Row],[2026 Working Total to Budget/LE]]-ERP_5[[#This Row],[Giveback]]</f>
        <v>0</v>
      </c>
      <c r="AO209" s="81"/>
      <c r="AP209" s="375"/>
      <c r="AQ209" s="375"/>
      <c r="AR209" s="375"/>
      <c r="AS209" s="375"/>
      <c r="AT209" s="375"/>
      <c r="AU209" s="375"/>
      <c r="AV209" s="375"/>
      <c r="AW209" s="375"/>
      <c r="AX209" s="375">
        <v>6000</v>
      </c>
      <c r="AY209" s="375">
        <v>0</v>
      </c>
      <c r="AZ209" s="375">
        <v>0</v>
      </c>
      <c r="BA209" s="375">
        <v>0</v>
      </c>
      <c r="BB209" s="375">
        <v>6000</v>
      </c>
      <c r="BC209" s="79"/>
      <c r="BD209" s="79"/>
      <c r="BE209" s="79"/>
      <c r="BF209" s="79"/>
      <c r="BG209" s="79"/>
      <c r="BH209" s="79"/>
      <c r="BI209" s="79"/>
      <c r="BJ209" s="79"/>
      <c r="BK209" s="79">
        <v>6000</v>
      </c>
      <c r="BL209" s="79">
        <v>0</v>
      </c>
      <c r="BM209" s="79">
        <v>0</v>
      </c>
      <c r="BN209" s="79">
        <v>0</v>
      </c>
      <c r="BO209" s="79">
        <v>6000</v>
      </c>
    </row>
    <row r="210" spans="1:67" ht="15" customHeight="1">
      <c r="A210" s="66" t="s">
        <v>1374</v>
      </c>
      <c r="B210" s="66" t="s">
        <v>168</v>
      </c>
      <c r="C210" s="150" t="s">
        <v>1136</v>
      </c>
      <c r="D210" s="150" t="s">
        <v>1345</v>
      </c>
      <c r="E210" s="150" t="s">
        <v>1344</v>
      </c>
      <c r="F210" s="150" t="s">
        <v>1346</v>
      </c>
      <c r="G210" s="511" t="s">
        <v>49</v>
      </c>
      <c r="H210" s="392" t="s">
        <v>1375</v>
      </c>
      <c r="I210" s="343"/>
      <c r="J210" s="343"/>
      <c r="K210" s="70" t="s">
        <v>169</v>
      </c>
      <c r="L210" s="346"/>
      <c r="M210" s="343"/>
      <c r="N210" s="346"/>
      <c r="O210" s="150" t="s">
        <v>25</v>
      </c>
      <c r="P210" s="150"/>
      <c r="Q210" s="403"/>
      <c r="R210" s="406">
        <v>6000</v>
      </c>
      <c r="S210" s="406">
        <v>6000</v>
      </c>
      <c r="T210" s="425"/>
      <c r="U210" s="71"/>
      <c r="V210" s="426"/>
      <c r="W210" s="427"/>
      <c r="X210" s="427"/>
      <c r="Y210" s="428" t="s">
        <v>1142</v>
      </c>
      <c r="Z210" s="429">
        <v>0</v>
      </c>
      <c r="AA210" s="429">
        <v>0</v>
      </c>
      <c r="AB210" s="363"/>
      <c r="AC210" s="363"/>
      <c r="AD210" s="363">
        <v>6000</v>
      </c>
      <c r="AE210" s="360">
        <v>0</v>
      </c>
      <c r="AF210" s="360">
        <v>0</v>
      </c>
      <c r="AG210" s="360">
        <v>0</v>
      </c>
      <c r="AH210" s="360">
        <f t="shared" si="14"/>
        <v>6000</v>
      </c>
      <c r="AI210" s="362">
        <f>ERP_5[[#This Row],[2026 Working Total]]-ERP_5[[#This Row],[LE2 Final Submission]]</f>
        <v>0</v>
      </c>
      <c r="AJ210" s="79"/>
      <c r="AK210" s="79">
        <f t="shared" si="13"/>
        <v>0</v>
      </c>
      <c r="AL210" s="374">
        <f>SUM(ERP_5[[#This Row],[AP01]:[AP06]])-SUM(ERP_5[[#This Row],[AP01 LE2]:[AP06 LE2]])</f>
        <v>0</v>
      </c>
      <c r="AM210" s="80"/>
      <c r="AN210" s="79">
        <f>ERP_5[[#This Row],[2026 Working Total to Budget/LE]]-ERP_5[[#This Row],[Giveback]]</f>
        <v>0</v>
      </c>
      <c r="AO210" s="81"/>
      <c r="AP210" s="375"/>
      <c r="AQ210" s="375"/>
      <c r="AR210" s="375"/>
      <c r="AS210" s="375"/>
      <c r="AT210" s="375"/>
      <c r="AU210" s="375"/>
      <c r="AV210" s="375"/>
      <c r="AW210" s="375"/>
      <c r="AX210" s="375">
        <v>6000</v>
      </c>
      <c r="AY210" s="375">
        <v>0</v>
      </c>
      <c r="AZ210" s="375">
        <v>0</v>
      </c>
      <c r="BA210" s="375">
        <v>0</v>
      </c>
      <c r="BB210" s="375">
        <v>6000</v>
      </c>
      <c r="BC210" s="79"/>
      <c r="BD210" s="79"/>
      <c r="BE210" s="79"/>
      <c r="BF210" s="79"/>
      <c r="BG210" s="79"/>
      <c r="BH210" s="79"/>
      <c r="BI210" s="79"/>
      <c r="BJ210" s="79"/>
      <c r="BK210" s="79">
        <v>6000</v>
      </c>
      <c r="BL210" s="79">
        <v>0</v>
      </c>
      <c r="BM210" s="79">
        <v>0</v>
      </c>
      <c r="BN210" s="79">
        <v>0</v>
      </c>
      <c r="BO210" s="79">
        <v>6000</v>
      </c>
    </row>
    <row r="211" spans="1:67" ht="15" customHeight="1">
      <c r="A211" s="66" t="s">
        <v>1376</v>
      </c>
      <c r="B211" s="66" t="s">
        <v>170</v>
      </c>
      <c r="C211" s="150" t="s">
        <v>1136</v>
      </c>
      <c r="D211" s="150" t="s">
        <v>1345</v>
      </c>
      <c r="E211" s="150" t="s">
        <v>1344</v>
      </c>
      <c r="F211" s="150" t="s">
        <v>1346</v>
      </c>
      <c r="G211" s="511" t="s">
        <v>49</v>
      </c>
      <c r="H211" s="392" t="s">
        <v>1377</v>
      </c>
      <c r="I211" s="343"/>
      <c r="J211" s="343"/>
      <c r="K211" s="70" t="s">
        <v>171</v>
      </c>
      <c r="L211" s="346"/>
      <c r="M211" s="343"/>
      <c r="N211" s="346"/>
      <c r="O211" s="150" t="s">
        <v>25</v>
      </c>
      <c r="P211" s="150"/>
      <c r="Q211" s="403"/>
      <c r="R211" s="406">
        <v>45000</v>
      </c>
      <c r="S211" s="406">
        <v>45000</v>
      </c>
      <c r="T211" s="425"/>
      <c r="U211" s="71"/>
      <c r="V211" s="426"/>
      <c r="W211" s="427"/>
      <c r="X211" s="427"/>
      <c r="Y211" s="428" t="s">
        <v>1142</v>
      </c>
      <c r="Z211" s="429">
        <v>0</v>
      </c>
      <c r="AA211" s="429">
        <v>0</v>
      </c>
      <c r="AB211" s="363"/>
      <c r="AC211" s="363"/>
      <c r="AD211" s="363">
        <v>45000</v>
      </c>
      <c r="AE211" s="360">
        <v>0</v>
      </c>
      <c r="AF211" s="360">
        <v>0</v>
      </c>
      <c r="AG211" s="360">
        <v>0</v>
      </c>
      <c r="AH211" s="360">
        <f t="shared" si="14"/>
        <v>45000</v>
      </c>
      <c r="AI211" s="362">
        <f>ERP_5[[#This Row],[2026 Working Total]]-ERP_5[[#This Row],[LE2 Final Submission]]</f>
        <v>0</v>
      </c>
      <c r="AJ211" s="79"/>
      <c r="AK211" s="79">
        <f t="shared" si="13"/>
        <v>0</v>
      </c>
      <c r="AL211" s="374">
        <f>SUM(ERP_5[[#This Row],[AP01]:[AP06]])-SUM(ERP_5[[#This Row],[AP01 LE2]:[AP06 LE2]])</f>
        <v>0</v>
      </c>
      <c r="AM211" s="80"/>
      <c r="AN211" s="79">
        <f>ERP_5[[#This Row],[2026 Working Total to Budget/LE]]-ERP_5[[#This Row],[Giveback]]</f>
        <v>0</v>
      </c>
      <c r="AO211" s="81"/>
      <c r="AP211" s="375"/>
      <c r="AQ211" s="375"/>
      <c r="AR211" s="375"/>
      <c r="AS211" s="375"/>
      <c r="AT211" s="375"/>
      <c r="AU211" s="375"/>
      <c r="AV211" s="375"/>
      <c r="AW211" s="375"/>
      <c r="AX211" s="375">
        <v>45000</v>
      </c>
      <c r="AY211" s="375">
        <v>0</v>
      </c>
      <c r="AZ211" s="375">
        <v>0</v>
      </c>
      <c r="BA211" s="375">
        <v>0</v>
      </c>
      <c r="BB211" s="375">
        <v>45000</v>
      </c>
      <c r="BC211" s="79"/>
      <c r="BD211" s="79"/>
      <c r="BE211" s="79"/>
      <c r="BF211" s="79"/>
      <c r="BG211" s="79"/>
      <c r="BH211" s="79"/>
      <c r="BI211" s="79"/>
      <c r="BJ211" s="79"/>
      <c r="BK211" s="79">
        <v>45000</v>
      </c>
      <c r="BL211" s="79">
        <v>0</v>
      </c>
      <c r="BM211" s="79">
        <v>0</v>
      </c>
      <c r="BN211" s="79">
        <v>0</v>
      </c>
      <c r="BO211" s="79">
        <v>45000</v>
      </c>
    </row>
    <row r="212" spans="1:67" ht="15" customHeight="1">
      <c r="A212" s="66" t="s">
        <v>1608</v>
      </c>
      <c r="B212" s="66" t="s">
        <v>1609</v>
      </c>
      <c r="C212" s="150" t="s">
        <v>1136</v>
      </c>
      <c r="D212" s="150" t="s">
        <v>1567</v>
      </c>
      <c r="E212" s="150" t="s">
        <v>1567</v>
      </c>
      <c r="F212" s="150" t="s">
        <v>1567</v>
      </c>
      <c r="G212" s="511" t="s">
        <v>49</v>
      </c>
      <c r="H212" s="392" t="s">
        <v>1610</v>
      </c>
      <c r="I212" s="343"/>
      <c r="J212" s="343"/>
      <c r="K212" s="70" t="s">
        <v>295</v>
      </c>
      <c r="L212" s="346"/>
      <c r="M212" s="343"/>
      <c r="N212" s="346"/>
      <c r="O212" s="150" t="s">
        <v>296</v>
      </c>
      <c r="P212" s="150"/>
      <c r="Q212" s="404"/>
      <c r="R212" s="407">
        <v>0</v>
      </c>
      <c r="S212" s="407">
        <v>0</v>
      </c>
      <c r="T212" s="425"/>
      <c r="U212" s="71"/>
      <c r="V212" s="426">
        <v>-1104045.58</v>
      </c>
      <c r="W212" s="427">
        <v>1104045.58</v>
      </c>
      <c r="X212" s="427"/>
      <c r="Y212" s="428">
        <v>0</v>
      </c>
      <c r="Z212" s="429">
        <v>0</v>
      </c>
      <c r="AA212" s="429">
        <v>0</v>
      </c>
      <c r="AB212" s="363"/>
      <c r="AC212" s="363"/>
      <c r="AD212" s="363"/>
      <c r="AE212" s="363"/>
      <c r="AF212" s="363"/>
      <c r="AG212" s="363"/>
      <c r="AH212" s="360">
        <f t="shared" si="14"/>
        <v>0</v>
      </c>
      <c r="AI212" s="362">
        <f>ERP_5[[#This Row],[2026 Working Total]]-ERP_5[[#This Row],[LE2 Final Submission]]</f>
        <v>0</v>
      </c>
      <c r="AJ212" s="79"/>
      <c r="AK212" s="79">
        <f t="shared" si="13"/>
        <v>0</v>
      </c>
      <c r="AL212" s="374">
        <f>SUM(ERP_5[[#This Row],[AP01]:[AP06]])-SUM(ERP_5[[#This Row],[AP01 LE2]:[AP06 LE2]])</f>
        <v>0</v>
      </c>
      <c r="AM212" s="80"/>
      <c r="AN212" s="79">
        <f>ERP_5[[#This Row],[2026 Working Total to Budget/LE]]-ERP_5[[#This Row],[Giveback]]</f>
        <v>0</v>
      </c>
      <c r="AO212" s="81"/>
      <c r="AP212" s="375">
        <v>-1104045.58</v>
      </c>
      <c r="AQ212" s="375">
        <v>1104045.58</v>
      </c>
      <c r="AR212" s="375"/>
      <c r="AS212" s="375"/>
      <c r="AT212" s="375"/>
      <c r="AU212" s="375"/>
      <c r="AV212" s="375"/>
      <c r="AW212" s="375"/>
      <c r="AX212" s="375"/>
      <c r="AY212" s="375"/>
      <c r="AZ212" s="375"/>
      <c r="BA212" s="375"/>
      <c r="BB212" s="375">
        <v>0</v>
      </c>
      <c r="BC212" s="79">
        <v>-1104045.58</v>
      </c>
      <c r="BD212" s="79">
        <v>1104045.58</v>
      </c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>
        <v>0</v>
      </c>
    </row>
    <row r="213" spans="1:67" ht="15" customHeight="1">
      <c r="A213" s="66" t="s">
        <v>1552</v>
      </c>
      <c r="B213" s="66" t="s">
        <v>260</v>
      </c>
      <c r="C213" s="150" t="s">
        <v>1136</v>
      </c>
      <c r="D213" s="150" t="s">
        <v>1345</v>
      </c>
      <c r="E213" s="150" t="s">
        <v>1515</v>
      </c>
      <c r="F213" s="150" t="s">
        <v>1346</v>
      </c>
      <c r="G213" s="511" t="s">
        <v>49</v>
      </c>
      <c r="H213" s="392" t="s">
        <v>1553</v>
      </c>
      <c r="I213" s="343"/>
      <c r="J213" s="343"/>
      <c r="K213" s="70" t="s">
        <v>261</v>
      </c>
      <c r="L213" s="346"/>
      <c r="M213" s="343"/>
      <c r="N213" s="346"/>
      <c r="O213" s="150" t="s">
        <v>25</v>
      </c>
      <c r="P213" s="150"/>
      <c r="Q213" s="403"/>
      <c r="R213" s="406">
        <v>10277</v>
      </c>
      <c r="S213" s="406">
        <v>10277</v>
      </c>
      <c r="T213" s="425"/>
      <c r="U213" s="71"/>
      <c r="V213" s="426"/>
      <c r="W213" s="427"/>
      <c r="X213" s="427"/>
      <c r="Y213" s="428" t="s">
        <v>1142</v>
      </c>
      <c r="Z213" s="429">
        <v>0</v>
      </c>
      <c r="AA213" s="429">
        <v>0</v>
      </c>
      <c r="AB213" s="360">
        <v>0</v>
      </c>
      <c r="AC213" s="363">
        <v>5723</v>
      </c>
      <c r="AD213" s="360">
        <v>0</v>
      </c>
      <c r="AE213" s="360">
        <v>0</v>
      </c>
      <c r="AF213" s="360">
        <v>0</v>
      </c>
      <c r="AG213" s="360">
        <v>0</v>
      </c>
      <c r="AH213" s="360">
        <f t="shared" si="14"/>
        <v>5723</v>
      </c>
      <c r="AI213" s="362">
        <f>ERP_5[[#This Row],[2026 Working Total]]-ERP_5[[#This Row],[LE2 Final Submission]]</f>
        <v>-4554</v>
      </c>
      <c r="AJ213" s="79">
        <v>4554</v>
      </c>
      <c r="AK213" s="79">
        <f t="shared" si="13"/>
        <v>-4554</v>
      </c>
      <c r="AL213" s="374">
        <f>SUM(ERP_5[[#This Row],[AP01]:[AP06]])-SUM(ERP_5[[#This Row],[AP01 LE2]:[AP06 LE2]])</f>
        <v>-4554</v>
      </c>
      <c r="AM213" s="80"/>
      <c r="AN213" s="79">
        <f>ERP_5[[#This Row],[2026 Working Total to Budget/LE]]-ERP_5[[#This Row],[Giveback]]</f>
        <v>-4554</v>
      </c>
      <c r="AO213" s="81"/>
      <c r="AP213" s="375"/>
      <c r="AQ213" s="375"/>
      <c r="AR213" s="375"/>
      <c r="AS213" s="375"/>
      <c r="AT213" s="375">
        <v>4554</v>
      </c>
      <c r="AU213" s="375">
        <v>0</v>
      </c>
      <c r="AV213" s="375">
        <v>0</v>
      </c>
      <c r="AW213" s="375">
        <v>5723</v>
      </c>
      <c r="AX213" s="375">
        <v>0</v>
      </c>
      <c r="AY213" s="375">
        <v>0</v>
      </c>
      <c r="AZ213" s="375">
        <v>0</v>
      </c>
      <c r="BA213" s="375">
        <v>0</v>
      </c>
      <c r="BB213" s="375">
        <v>10277</v>
      </c>
      <c r="BC213" s="79"/>
      <c r="BD213" s="79"/>
      <c r="BE213" s="79"/>
      <c r="BF213" s="79"/>
      <c r="BG213" s="79">
        <v>4554</v>
      </c>
      <c r="BH213" s="79">
        <v>0</v>
      </c>
      <c r="BI213" s="79">
        <v>0</v>
      </c>
      <c r="BJ213" s="79">
        <v>5723</v>
      </c>
      <c r="BK213" s="79">
        <v>0</v>
      </c>
      <c r="BL213" s="79">
        <v>0</v>
      </c>
      <c r="BM213" s="79">
        <v>0</v>
      </c>
      <c r="BN213" s="79">
        <v>0</v>
      </c>
      <c r="BO213" s="79">
        <v>10277</v>
      </c>
    </row>
    <row r="214" spans="1:67" ht="15" customHeight="1">
      <c r="A214" s="66" t="s">
        <v>1180</v>
      </c>
      <c r="B214" s="66" t="s">
        <v>1181</v>
      </c>
      <c r="C214" s="150" t="s">
        <v>1136</v>
      </c>
      <c r="D214" s="150" t="s">
        <v>1135</v>
      </c>
      <c r="E214" s="150" t="s">
        <v>1137</v>
      </c>
      <c r="F214" s="150" t="s">
        <v>1137</v>
      </c>
      <c r="G214" s="511" t="s">
        <v>49</v>
      </c>
      <c r="H214" s="392" t="s">
        <v>1182</v>
      </c>
      <c r="I214" s="343"/>
      <c r="J214" s="343"/>
      <c r="K214" s="70" t="s">
        <v>61</v>
      </c>
      <c r="L214" s="346"/>
      <c r="M214" s="343"/>
      <c r="N214" s="346"/>
      <c r="O214" s="150" t="s">
        <v>25</v>
      </c>
      <c r="P214" s="150"/>
      <c r="Q214" s="403"/>
      <c r="R214" s="406">
        <v>0</v>
      </c>
      <c r="S214" s="406">
        <v>214.49</v>
      </c>
      <c r="T214" s="425"/>
      <c r="U214" s="71"/>
      <c r="V214" s="426">
        <v>215.71</v>
      </c>
      <c r="W214" s="427">
        <v>-1.22</v>
      </c>
      <c r="X214" s="431">
        <v>0</v>
      </c>
      <c r="Y214" s="428" t="s">
        <v>1142</v>
      </c>
      <c r="Z214" s="429">
        <v>0</v>
      </c>
      <c r="AA214" s="429">
        <v>0</v>
      </c>
      <c r="AB214" s="360">
        <v>0</v>
      </c>
      <c r="AC214" s="360">
        <v>0</v>
      </c>
      <c r="AD214" s="360">
        <v>0</v>
      </c>
      <c r="AE214" s="360">
        <v>0</v>
      </c>
      <c r="AF214" s="360">
        <v>0</v>
      </c>
      <c r="AG214" s="360">
        <v>0</v>
      </c>
      <c r="AH214" s="360">
        <f t="shared" si="14"/>
        <v>214.49</v>
      </c>
      <c r="AI214" s="362">
        <f>ERP_5[[#This Row],[2026 Working Total]]-ERP_5[[#This Row],[LE2 Final Submission]]</f>
        <v>0</v>
      </c>
      <c r="AJ214" s="79">
        <v>0</v>
      </c>
      <c r="AK214" s="79">
        <f t="shared" si="13"/>
        <v>0</v>
      </c>
      <c r="AL214" s="374">
        <f>SUM(ERP_5[[#This Row],[AP01]:[AP06]])-SUM(ERP_5[[#This Row],[AP01 LE2]:[AP06 LE2]])</f>
        <v>0</v>
      </c>
      <c r="AM214" s="80"/>
      <c r="AN214" s="79">
        <f>ERP_5[[#This Row],[2026 Working Total to Budget/LE]]-ERP_5[[#This Row],[Giveback]]</f>
        <v>0</v>
      </c>
      <c r="AO214" s="81"/>
      <c r="AP214" s="375">
        <v>215.71</v>
      </c>
      <c r="AQ214" s="375">
        <v>-1.22</v>
      </c>
      <c r="AR214" s="375">
        <v>0</v>
      </c>
      <c r="AS214" s="375">
        <v>0</v>
      </c>
      <c r="AT214" s="375">
        <v>0</v>
      </c>
      <c r="AU214" s="375">
        <v>0</v>
      </c>
      <c r="AV214" s="375">
        <v>0</v>
      </c>
      <c r="AW214" s="375">
        <v>0</v>
      </c>
      <c r="AX214" s="375">
        <v>0</v>
      </c>
      <c r="AY214" s="375">
        <v>0</v>
      </c>
      <c r="AZ214" s="375">
        <v>0</v>
      </c>
      <c r="BA214" s="375">
        <v>0</v>
      </c>
      <c r="BB214" s="375">
        <v>214.49</v>
      </c>
      <c r="BC214" s="79">
        <v>215.71</v>
      </c>
      <c r="BD214" s="79">
        <v>-1.22</v>
      </c>
      <c r="BE214" s="79">
        <v>0</v>
      </c>
      <c r="BF214" s="79">
        <v>0</v>
      </c>
      <c r="BG214" s="79">
        <v>0</v>
      </c>
      <c r="BH214" s="79">
        <v>0</v>
      </c>
      <c r="BI214" s="79">
        <v>0</v>
      </c>
      <c r="BJ214" s="79">
        <v>0</v>
      </c>
      <c r="BK214" s="79">
        <v>0</v>
      </c>
      <c r="BL214" s="79">
        <v>0</v>
      </c>
      <c r="BM214" s="79">
        <v>0</v>
      </c>
      <c r="BN214" s="79">
        <v>0</v>
      </c>
      <c r="BO214" s="79">
        <v>214.49</v>
      </c>
    </row>
    <row r="215" spans="1:67" ht="15" customHeight="1">
      <c r="A215" s="66" t="s">
        <v>1183</v>
      </c>
      <c r="B215" s="66" t="s">
        <v>1184</v>
      </c>
      <c r="C215" s="150" t="s">
        <v>1136</v>
      </c>
      <c r="D215" s="150" t="s">
        <v>1135</v>
      </c>
      <c r="E215" s="150" t="s">
        <v>1145</v>
      </c>
      <c r="F215" s="150" t="s">
        <v>1137</v>
      </c>
      <c r="G215" s="511" t="s">
        <v>49</v>
      </c>
      <c r="H215" s="392" t="s">
        <v>1185</v>
      </c>
      <c r="I215" s="343"/>
      <c r="J215" s="346" t="s">
        <v>1186</v>
      </c>
      <c r="K215" s="70" t="s">
        <v>63</v>
      </c>
      <c r="L215" s="346"/>
      <c r="M215" s="346" t="s">
        <v>1187</v>
      </c>
      <c r="N215" s="346"/>
      <c r="O215" s="150" t="s">
        <v>64</v>
      </c>
      <c r="P215" s="150"/>
      <c r="Q215" s="403"/>
      <c r="R215" s="406">
        <v>345518.86</v>
      </c>
      <c r="S215" s="406">
        <v>345670.24</v>
      </c>
      <c r="T215" s="425"/>
      <c r="U215" s="71"/>
      <c r="V215" s="426">
        <v>35812</v>
      </c>
      <c r="W215" s="427">
        <v>40109.440000000002</v>
      </c>
      <c r="X215" s="427">
        <v>50136.800000000003</v>
      </c>
      <c r="Y215" s="428">
        <v>40109.449999999997</v>
      </c>
      <c r="Z215" s="429">
        <v>40109.449999999997</v>
      </c>
      <c r="AA215" s="429">
        <v>29136.779999999995</v>
      </c>
      <c r="AB215" s="363">
        <v>22297</v>
      </c>
      <c r="AC215" s="363">
        <v>19127</v>
      </c>
      <c r="AD215" s="363">
        <v>19127</v>
      </c>
      <c r="AE215" s="363">
        <v>19127</v>
      </c>
      <c r="AF215" s="363">
        <v>19127</v>
      </c>
      <c r="AG215" s="363">
        <v>19127</v>
      </c>
      <c r="AH215" s="360">
        <f t="shared" si="14"/>
        <v>353345.92000000004</v>
      </c>
      <c r="AI215" s="362">
        <f>ERP_5[[#This Row],[2026 Working Total]]-ERP_5[[#This Row],[LE2 Final Submission]]</f>
        <v>7675.6800000000512</v>
      </c>
      <c r="AJ215" s="79">
        <v>28897</v>
      </c>
      <c r="AK215" s="79">
        <f t="shared" si="13"/>
        <v>239.7799999999952</v>
      </c>
      <c r="AL215" s="374">
        <f>SUM(ERP_5[[#This Row],[AP01]:[AP06]])-SUM(ERP_5[[#This Row],[AP01 LE2]:[AP06 LE2]])</f>
        <v>11561.680000000022</v>
      </c>
      <c r="AM215" s="80"/>
      <c r="AN215" s="79">
        <f>ERP_5[[#This Row],[2026 Working Total to Budget/LE]]-ERP_5[[#This Row],[Giveback]]</f>
        <v>7675.6800000000512</v>
      </c>
      <c r="AO215" s="81"/>
      <c r="AP215" s="375">
        <v>35812</v>
      </c>
      <c r="AQ215" s="375">
        <v>40109.440000000002</v>
      </c>
      <c r="AR215" s="375">
        <v>50136.800000000003</v>
      </c>
      <c r="AS215" s="375">
        <v>40000</v>
      </c>
      <c r="AT215" s="375">
        <v>28897</v>
      </c>
      <c r="AU215" s="375">
        <v>28897</v>
      </c>
      <c r="AV215" s="375">
        <v>23013</v>
      </c>
      <c r="AW215" s="375">
        <v>22297</v>
      </c>
      <c r="AX215" s="375">
        <v>19127</v>
      </c>
      <c r="AY215" s="375">
        <v>19127</v>
      </c>
      <c r="AZ215" s="375">
        <v>19127</v>
      </c>
      <c r="BA215" s="375">
        <v>19127</v>
      </c>
      <c r="BB215" s="375">
        <v>345670.24</v>
      </c>
      <c r="BC215" s="79">
        <v>35812</v>
      </c>
      <c r="BD215" s="79">
        <v>40109.440000000002</v>
      </c>
      <c r="BE215" s="79">
        <v>50136.800000000003</v>
      </c>
      <c r="BF215" s="79">
        <v>40000</v>
      </c>
      <c r="BG215" s="79">
        <v>28897</v>
      </c>
      <c r="BH215" s="79">
        <v>28897</v>
      </c>
      <c r="BI215" s="79">
        <v>23013</v>
      </c>
      <c r="BJ215" s="79">
        <v>22297</v>
      </c>
      <c r="BK215" s="79">
        <v>22297</v>
      </c>
      <c r="BL215" s="79">
        <v>22297</v>
      </c>
      <c r="BM215" s="79">
        <v>22297</v>
      </c>
      <c r="BN215" s="79">
        <v>22297</v>
      </c>
      <c r="BO215" s="79">
        <v>358350.24</v>
      </c>
    </row>
    <row r="216" spans="1:67" ht="15" customHeight="1">
      <c r="A216" s="66" t="s">
        <v>1188</v>
      </c>
      <c r="B216" s="66" t="s">
        <v>65</v>
      </c>
      <c r="C216" s="150" t="s">
        <v>1136</v>
      </c>
      <c r="D216" s="150" t="s">
        <v>1135</v>
      </c>
      <c r="E216" s="150" t="s">
        <v>1135</v>
      </c>
      <c r="F216" s="150" t="s">
        <v>1137</v>
      </c>
      <c r="G216" s="511" t="s">
        <v>49</v>
      </c>
      <c r="H216" s="392" t="s">
        <v>1189</v>
      </c>
      <c r="I216" s="343" t="s">
        <v>2910</v>
      </c>
      <c r="J216" s="346" t="s">
        <v>1191</v>
      </c>
      <c r="K216" s="70" t="s">
        <v>66</v>
      </c>
      <c r="L216" s="346"/>
      <c r="M216" s="346" t="s">
        <v>1192</v>
      </c>
      <c r="N216" s="346"/>
      <c r="O216" s="150" t="s">
        <v>67</v>
      </c>
      <c r="P216" s="150"/>
      <c r="Q216" s="403"/>
      <c r="R216" s="406">
        <v>216000</v>
      </c>
      <c r="S216" s="406">
        <v>197423.06</v>
      </c>
      <c r="T216" s="430"/>
      <c r="U216" s="137"/>
      <c r="V216" s="426">
        <v>14166</v>
      </c>
      <c r="W216" s="427">
        <v>18835.37</v>
      </c>
      <c r="X216" s="427">
        <v>16863.689999999999</v>
      </c>
      <c r="Y216" s="428">
        <v>15866.15</v>
      </c>
      <c r="Z216" s="429">
        <v>15866.160000000003</v>
      </c>
      <c r="AA216" s="429">
        <v>19832.689999999999</v>
      </c>
      <c r="AB216" s="363">
        <v>17000</v>
      </c>
      <c r="AC216" s="363">
        <v>17000</v>
      </c>
      <c r="AD216" s="363">
        <v>17000</v>
      </c>
      <c r="AE216" s="363">
        <v>17000</v>
      </c>
      <c r="AF216" s="363">
        <v>17000</v>
      </c>
      <c r="AG216" s="363">
        <v>17000</v>
      </c>
      <c r="AH216" s="360">
        <f t="shared" si="14"/>
        <v>203430.06</v>
      </c>
      <c r="AI216" s="362">
        <f>ERP_5[[#This Row],[2026 Working Total]]-ERP_5[[#This Row],[LE2 Final Submission]]</f>
        <v>6007</v>
      </c>
      <c r="AJ216" s="79">
        <v>17000</v>
      </c>
      <c r="AK216" s="79">
        <f t="shared" si="13"/>
        <v>2832.6899999999987</v>
      </c>
      <c r="AL216" s="374">
        <f>SUM(ERP_5[[#This Row],[AP01]:[AP06]])-SUM(ERP_5[[#This Row],[AP01 LE2]:[AP06 LE2]])</f>
        <v>6007</v>
      </c>
      <c r="AM216" s="80"/>
      <c r="AN216" s="79">
        <f>ERP_5[[#This Row],[2026 Working Total to Budget/LE]]-ERP_5[[#This Row],[Giveback]]</f>
        <v>6007</v>
      </c>
      <c r="AO216" s="81"/>
      <c r="AP216" s="375">
        <v>14166</v>
      </c>
      <c r="AQ216" s="375">
        <v>18835.37</v>
      </c>
      <c r="AR216" s="375">
        <v>16863.689999999999</v>
      </c>
      <c r="AS216" s="375">
        <v>11558</v>
      </c>
      <c r="AT216" s="375">
        <v>17000</v>
      </c>
      <c r="AU216" s="375">
        <v>17000</v>
      </c>
      <c r="AV216" s="375">
        <v>17000</v>
      </c>
      <c r="AW216" s="375">
        <v>17000</v>
      </c>
      <c r="AX216" s="375">
        <v>17000</v>
      </c>
      <c r="AY216" s="375">
        <v>17000</v>
      </c>
      <c r="AZ216" s="375">
        <v>17000</v>
      </c>
      <c r="BA216" s="375">
        <v>17000</v>
      </c>
      <c r="BB216" s="375">
        <v>197423.06</v>
      </c>
      <c r="BC216" s="79">
        <v>14166</v>
      </c>
      <c r="BD216" s="79">
        <v>18835.37</v>
      </c>
      <c r="BE216" s="79">
        <v>16863.689999999999</v>
      </c>
      <c r="BF216" s="79">
        <v>18000</v>
      </c>
      <c r="BG216" s="79">
        <v>18000</v>
      </c>
      <c r="BH216" s="79">
        <v>18000</v>
      </c>
      <c r="BI216" s="79">
        <v>18000</v>
      </c>
      <c r="BJ216" s="79">
        <v>18000</v>
      </c>
      <c r="BK216" s="79">
        <v>18000</v>
      </c>
      <c r="BL216" s="79">
        <v>18000</v>
      </c>
      <c r="BM216" s="79">
        <v>18000</v>
      </c>
      <c r="BN216" s="79">
        <v>18000</v>
      </c>
      <c r="BO216" s="79">
        <v>211865.06</v>
      </c>
    </row>
    <row r="217" spans="1:67" ht="15" customHeight="1">
      <c r="A217" s="66" t="s">
        <v>1193</v>
      </c>
      <c r="B217" s="66" t="s">
        <v>68</v>
      </c>
      <c r="C217" s="150" t="s">
        <v>1136</v>
      </c>
      <c r="D217" s="150" t="s">
        <v>1135</v>
      </c>
      <c r="E217" s="150" t="s">
        <v>1135</v>
      </c>
      <c r="F217" s="150" t="s">
        <v>1137</v>
      </c>
      <c r="G217" s="511" t="s">
        <v>49</v>
      </c>
      <c r="H217" s="392" t="s">
        <v>1194</v>
      </c>
      <c r="I217" s="343" t="s">
        <v>1195</v>
      </c>
      <c r="J217" s="346" t="s">
        <v>1171</v>
      </c>
      <c r="K217" s="70" t="s">
        <v>69</v>
      </c>
      <c r="L217" s="346"/>
      <c r="M217" s="346" t="s">
        <v>1196</v>
      </c>
      <c r="N217" s="346"/>
      <c r="O217" s="150" t="s">
        <v>67</v>
      </c>
      <c r="P217" s="150"/>
      <c r="Q217" s="403"/>
      <c r="R217" s="406">
        <v>237888</v>
      </c>
      <c r="S217" s="406">
        <v>236045.4</v>
      </c>
      <c r="T217" s="425"/>
      <c r="U217" s="71"/>
      <c r="V217" s="426">
        <v>16372</v>
      </c>
      <c r="W217" s="427">
        <v>18336.62</v>
      </c>
      <c r="X217" s="427">
        <v>22920.78</v>
      </c>
      <c r="Y217" s="428">
        <v>18336.629999999997</v>
      </c>
      <c r="Z217" s="429">
        <v>18336.63</v>
      </c>
      <c r="AA217" s="429">
        <v>22920.78</v>
      </c>
      <c r="AB217" s="363">
        <v>19824</v>
      </c>
      <c r="AC217" s="363">
        <v>19824</v>
      </c>
      <c r="AD217" s="363">
        <v>19824</v>
      </c>
      <c r="AE217" s="363">
        <v>19824</v>
      </c>
      <c r="AF217" s="363">
        <v>19824</v>
      </c>
      <c r="AG217" s="363">
        <v>19824</v>
      </c>
      <c r="AH217" s="360">
        <f t="shared" si="14"/>
        <v>236167.44</v>
      </c>
      <c r="AI217" s="362">
        <f>ERP_5[[#This Row],[2026 Working Total]]-ERP_5[[#This Row],[LE2 Final Submission]]</f>
        <v>122.04000000000815</v>
      </c>
      <c r="AJ217" s="79">
        <v>19824</v>
      </c>
      <c r="AK217" s="79">
        <f t="shared" si="13"/>
        <v>3096.7799999999988</v>
      </c>
      <c r="AL217" s="374">
        <f>SUM(ERP_5[[#This Row],[AP01]:[AP06]])-SUM(ERP_5[[#This Row],[AP01 LE2]:[AP06 LE2]])</f>
        <v>122.04000000000815</v>
      </c>
      <c r="AM217" s="80"/>
      <c r="AN217" s="79">
        <f>ERP_5[[#This Row],[2026 Working Total to Budget/LE]]-ERP_5[[#This Row],[Giveback]]</f>
        <v>122.04000000000815</v>
      </c>
      <c r="AO217" s="81"/>
      <c r="AP217" s="375">
        <v>16372</v>
      </c>
      <c r="AQ217" s="375">
        <v>18336.62</v>
      </c>
      <c r="AR217" s="375">
        <v>22920.78</v>
      </c>
      <c r="AS217" s="375">
        <v>19824</v>
      </c>
      <c r="AT217" s="375">
        <v>19824</v>
      </c>
      <c r="AU217" s="375">
        <v>19824</v>
      </c>
      <c r="AV217" s="375">
        <v>19824</v>
      </c>
      <c r="AW217" s="375">
        <v>19824</v>
      </c>
      <c r="AX217" s="375">
        <v>19824</v>
      </c>
      <c r="AY217" s="375">
        <v>19824</v>
      </c>
      <c r="AZ217" s="375">
        <v>19824</v>
      </c>
      <c r="BA217" s="375">
        <v>19824</v>
      </c>
      <c r="BB217" s="375">
        <v>236045.4</v>
      </c>
      <c r="BC217" s="79">
        <v>16372</v>
      </c>
      <c r="BD217" s="79">
        <v>18336.62</v>
      </c>
      <c r="BE217" s="79">
        <v>22920.78</v>
      </c>
      <c r="BF217" s="79">
        <v>19824</v>
      </c>
      <c r="BG217" s="79">
        <v>19824</v>
      </c>
      <c r="BH217" s="79">
        <v>19824</v>
      </c>
      <c r="BI217" s="79">
        <v>19824</v>
      </c>
      <c r="BJ217" s="79">
        <v>19824</v>
      </c>
      <c r="BK217" s="79">
        <v>19824</v>
      </c>
      <c r="BL217" s="79">
        <v>19824</v>
      </c>
      <c r="BM217" s="79">
        <v>19824</v>
      </c>
      <c r="BN217" s="79">
        <v>19824</v>
      </c>
      <c r="BO217" s="79">
        <v>236045.4</v>
      </c>
    </row>
    <row r="218" spans="1:67" ht="15" customHeight="1">
      <c r="A218" s="66" t="s">
        <v>1197</v>
      </c>
      <c r="B218" s="66" t="s">
        <v>70</v>
      </c>
      <c r="C218" s="150" t="s">
        <v>1136</v>
      </c>
      <c r="D218" s="150" t="s">
        <v>1135</v>
      </c>
      <c r="E218" s="150" t="s">
        <v>1135</v>
      </c>
      <c r="F218" s="150" t="s">
        <v>1137</v>
      </c>
      <c r="G218" s="511" t="s">
        <v>49</v>
      </c>
      <c r="H218" s="392" t="s">
        <v>1198</v>
      </c>
      <c r="I218" s="343" t="s">
        <v>1190</v>
      </c>
      <c r="J218" s="346" t="s">
        <v>1171</v>
      </c>
      <c r="K218" s="70" t="s">
        <v>71</v>
      </c>
      <c r="L218" s="346"/>
      <c r="M218" s="346" t="s">
        <v>1199</v>
      </c>
      <c r="N218" s="346"/>
      <c r="O218" s="150" t="s">
        <v>64</v>
      </c>
      <c r="P218" s="150"/>
      <c r="Q218" s="403"/>
      <c r="R218" s="406">
        <v>230004</v>
      </c>
      <c r="S218" s="406">
        <v>211390.3</v>
      </c>
      <c r="T218" s="425"/>
      <c r="U218" s="71"/>
      <c r="V218" s="426">
        <v>14973</v>
      </c>
      <c r="W218" s="427">
        <v>18162.759999999998</v>
      </c>
      <c r="X218" s="427">
        <v>19567.54</v>
      </c>
      <c r="Y218" s="428">
        <v>16769.23</v>
      </c>
      <c r="Z218" s="429">
        <v>16769.23</v>
      </c>
      <c r="AA218" s="429">
        <v>-21713.759999999998</v>
      </c>
      <c r="AB218" s="363">
        <v>17440</v>
      </c>
      <c r="AC218" s="363">
        <v>17440</v>
      </c>
      <c r="AD218" s="363">
        <v>17440</v>
      </c>
      <c r="AE218" s="363">
        <v>17440</v>
      </c>
      <c r="AF218" s="363">
        <v>17440</v>
      </c>
      <c r="AG218" s="363">
        <v>17440</v>
      </c>
      <c r="AH218" s="360">
        <f t="shared" si="14"/>
        <v>169168</v>
      </c>
      <c r="AI218" s="362">
        <f>ERP_5[[#This Row],[2026 Working Total]]-ERP_5[[#This Row],[LE2 Final Submission]]</f>
        <v>-42222.299999999988</v>
      </c>
      <c r="AJ218" s="79">
        <v>17440</v>
      </c>
      <c r="AK218" s="79">
        <f t="shared" si="13"/>
        <v>-39153.759999999995</v>
      </c>
      <c r="AL218" s="374">
        <f>SUM(ERP_5[[#This Row],[AP01]:[AP06]])-SUM(ERP_5[[#This Row],[AP01 LE2]:[AP06 LE2]])</f>
        <v>-42222.299999999988</v>
      </c>
      <c r="AM218" s="80"/>
      <c r="AN218" s="79">
        <f>ERP_5[[#This Row],[2026 Working Total to Budget/LE]]-ERP_5[[#This Row],[Giveback]]</f>
        <v>-42222.299999999988</v>
      </c>
      <c r="AO218" s="81"/>
      <c r="AP218" s="375">
        <v>14973</v>
      </c>
      <c r="AQ218" s="375">
        <v>18162.759999999998</v>
      </c>
      <c r="AR218" s="375">
        <v>19567.54</v>
      </c>
      <c r="AS218" s="375">
        <v>19167</v>
      </c>
      <c r="AT218" s="375">
        <v>17440</v>
      </c>
      <c r="AU218" s="375">
        <v>17440</v>
      </c>
      <c r="AV218" s="375">
        <v>17440</v>
      </c>
      <c r="AW218" s="375">
        <v>17440</v>
      </c>
      <c r="AX218" s="375">
        <v>17440</v>
      </c>
      <c r="AY218" s="375">
        <v>17440</v>
      </c>
      <c r="AZ218" s="375">
        <v>17440</v>
      </c>
      <c r="BA218" s="375">
        <v>17440</v>
      </c>
      <c r="BB218" s="375">
        <v>211390.3</v>
      </c>
      <c r="BC218" s="79">
        <v>14973</v>
      </c>
      <c r="BD218" s="79">
        <v>18162.759999999998</v>
      </c>
      <c r="BE218" s="79">
        <v>19567.54</v>
      </c>
      <c r="BF218" s="79">
        <v>19167</v>
      </c>
      <c r="BG218" s="79">
        <v>19167</v>
      </c>
      <c r="BH218" s="79">
        <v>19167</v>
      </c>
      <c r="BI218" s="79">
        <v>19167</v>
      </c>
      <c r="BJ218" s="79">
        <v>19167</v>
      </c>
      <c r="BK218" s="79">
        <v>19167</v>
      </c>
      <c r="BL218" s="79">
        <v>19167</v>
      </c>
      <c r="BM218" s="79">
        <v>19167</v>
      </c>
      <c r="BN218" s="79">
        <v>19167</v>
      </c>
      <c r="BO218" s="79">
        <v>225206.3</v>
      </c>
    </row>
    <row r="219" spans="1:67" ht="15" customHeight="1">
      <c r="A219" s="66" t="s">
        <v>1200</v>
      </c>
      <c r="B219" s="66" t="s">
        <v>72</v>
      </c>
      <c r="C219" s="150" t="s">
        <v>1136</v>
      </c>
      <c r="D219" s="150" t="s">
        <v>1135</v>
      </c>
      <c r="E219" s="150" t="s">
        <v>1135</v>
      </c>
      <c r="F219" s="150" t="s">
        <v>1137</v>
      </c>
      <c r="G219" s="511" t="s">
        <v>49</v>
      </c>
      <c r="H219" s="392" t="s">
        <v>1201</v>
      </c>
      <c r="I219" s="343" t="s">
        <v>1202</v>
      </c>
      <c r="J219" s="346" t="s">
        <v>1171</v>
      </c>
      <c r="K219" s="70" t="s">
        <v>73</v>
      </c>
      <c r="L219" s="346"/>
      <c r="M219" s="346" t="s">
        <v>1203</v>
      </c>
      <c r="N219" s="346"/>
      <c r="O219" s="150" t="s">
        <v>64</v>
      </c>
      <c r="P219" s="150"/>
      <c r="Q219" s="403"/>
      <c r="R219" s="406">
        <v>187200</v>
      </c>
      <c r="S219" s="406">
        <v>185657.15</v>
      </c>
      <c r="T219" s="430"/>
      <c r="U219" s="137"/>
      <c r="V219" s="426">
        <v>12857</v>
      </c>
      <c r="W219" s="427">
        <v>18823.150000000001</v>
      </c>
      <c r="X219" s="427">
        <v>13577</v>
      </c>
      <c r="Y219" s="428">
        <v>14400</v>
      </c>
      <c r="Z219" s="429">
        <v>17263</v>
      </c>
      <c r="AA219" s="429">
        <v>36956.74</v>
      </c>
      <c r="AB219" s="363">
        <v>15600</v>
      </c>
      <c r="AC219" s="363">
        <v>15600</v>
      </c>
      <c r="AD219" s="363">
        <v>15600</v>
      </c>
      <c r="AE219" s="363">
        <v>15600</v>
      </c>
      <c r="AF219" s="363">
        <v>15600</v>
      </c>
      <c r="AG219" s="363">
        <v>15600</v>
      </c>
      <c r="AH219" s="360">
        <f t="shared" si="14"/>
        <v>207476.88999999998</v>
      </c>
      <c r="AI219" s="362">
        <f>ERP_5[[#This Row],[2026 Working Total]]-ERP_5[[#This Row],[LE2 Final Submission]]</f>
        <v>21819.739999999991</v>
      </c>
      <c r="AJ219" s="79">
        <v>15600</v>
      </c>
      <c r="AK219" s="79">
        <f t="shared" si="13"/>
        <v>21356.739999999998</v>
      </c>
      <c r="AL219" s="374">
        <f>SUM(ERP_5[[#This Row],[AP01]:[AP06]])-SUM(ERP_5[[#This Row],[AP01 LE2]:[AP06 LE2]])</f>
        <v>21819.739999999991</v>
      </c>
      <c r="AM219" s="80"/>
      <c r="AN219" s="79">
        <f>ERP_5[[#This Row],[2026 Working Total to Budget/LE]]-ERP_5[[#This Row],[Giveback]]</f>
        <v>21819.739999999991</v>
      </c>
      <c r="AO219" s="81"/>
      <c r="AP219" s="375">
        <v>12857</v>
      </c>
      <c r="AQ219" s="375">
        <v>18823.150000000001</v>
      </c>
      <c r="AR219" s="375">
        <v>13577</v>
      </c>
      <c r="AS219" s="375">
        <v>15600</v>
      </c>
      <c r="AT219" s="375">
        <v>15600</v>
      </c>
      <c r="AU219" s="375">
        <v>15600</v>
      </c>
      <c r="AV219" s="375">
        <v>15600</v>
      </c>
      <c r="AW219" s="375">
        <v>15600</v>
      </c>
      <c r="AX219" s="375">
        <v>15600</v>
      </c>
      <c r="AY219" s="375">
        <v>15600</v>
      </c>
      <c r="AZ219" s="375">
        <v>15600</v>
      </c>
      <c r="BA219" s="375">
        <v>15600</v>
      </c>
      <c r="BB219" s="375">
        <v>185657.15</v>
      </c>
      <c r="BC219" s="79">
        <v>12857</v>
      </c>
      <c r="BD219" s="79">
        <v>18823.150000000001</v>
      </c>
      <c r="BE219" s="79">
        <v>13577</v>
      </c>
      <c r="BF219" s="79">
        <v>15600</v>
      </c>
      <c r="BG219" s="79">
        <v>15600</v>
      </c>
      <c r="BH219" s="79">
        <v>15600</v>
      </c>
      <c r="BI219" s="79">
        <v>15600</v>
      </c>
      <c r="BJ219" s="79">
        <v>15600</v>
      </c>
      <c r="BK219" s="79">
        <v>15600</v>
      </c>
      <c r="BL219" s="79">
        <v>15600</v>
      </c>
      <c r="BM219" s="79">
        <v>15600</v>
      </c>
      <c r="BN219" s="79">
        <v>15600</v>
      </c>
      <c r="BO219" s="79">
        <v>185657.15</v>
      </c>
    </row>
    <row r="220" spans="1:67" ht="15" customHeight="1">
      <c r="A220" s="66" t="s">
        <v>1204</v>
      </c>
      <c r="B220" s="66" t="s">
        <v>74</v>
      </c>
      <c r="C220" s="150" t="s">
        <v>1136</v>
      </c>
      <c r="D220" s="150" t="s">
        <v>1135</v>
      </c>
      <c r="E220" s="150" t="s">
        <v>1135</v>
      </c>
      <c r="F220" s="150" t="s">
        <v>1137</v>
      </c>
      <c r="G220" s="511" t="s">
        <v>49</v>
      </c>
      <c r="H220" s="392" t="s">
        <v>1205</v>
      </c>
      <c r="I220" s="343" t="s">
        <v>1206</v>
      </c>
      <c r="J220" s="346" t="s">
        <v>1171</v>
      </c>
      <c r="K220" s="70" t="s">
        <v>75</v>
      </c>
      <c r="L220" s="346"/>
      <c r="M220" s="346" t="s">
        <v>1207</v>
      </c>
      <c r="N220" s="346"/>
      <c r="O220" s="150" t="s">
        <v>64</v>
      </c>
      <c r="P220" s="150"/>
      <c r="Q220" s="403"/>
      <c r="R220" s="406">
        <v>141310.95000000001</v>
      </c>
      <c r="S220" s="406">
        <v>132735.51</v>
      </c>
      <c r="T220" s="425"/>
      <c r="U220" s="71"/>
      <c r="V220" s="426">
        <v>9654</v>
      </c>
      <c r="W220" s="427">
        <v>14825.74</v>
      </c>
      <c r="X220" s="427">
        <v>12851.77</v>
      </c>
      <c r="Y220" s="428">
        <v>7463.62</v>
      </c>
      <c r="Z220" s="429">
        <v>16343.609999999997</v>
      </c>
      <c r="AA220" s="429">
        <v>13997.279999999999</v>
      </c>
      <c r="AB220" s="363">
        <v>6534</v>
      </c>
      <c r="AC220" s="363">
        <v>6534</v>
      </c>
      <c r="AD220" s="363">
        <v>6534</v>
      </c>
      <c r="AE220" s="363">
        <v>6534</v>
      </c>
      <c r="AF220" s="363">
        <v>6534</v>
      </c>
      <c r="AG220" s="363">
        <v>6534</v>
      </c>
      <c r="AH220" s="360">
        <f t="shared" si="14"/>
        <v>114340.01999999999</v>
      </c>
      <c r="AI220" s="362">
        <f>ERP_5[[#This Row],[2026 Working Total]]-ERP_5[[#This Row],[LE2 Final Submission]]</f>
        <v>-18395.49000000002</v>
      </c>
      <c r="AJ220" s="79">
        <v>10718</v>
      </c>
      <c r="AK220" s="79">
        <f t="shared" si="13"/>
        <v>3279.2799999999988</v>
      </c>
      <c r="AL220" s="374">
        <f>SUM(ERP_5[[#This Row],[AP01]:[AP06]])-SUM(ERP_5[[#This Row],[AP01 LE2]:[AP06 LE2]])</f>
        <v>5554.5099999999948</v>
      </c>
      <c r="AM220" s="80"/>
      <c r="AN220" s="79">
        <f>ERP_5[[#This Row],[2026 Working Total to Budget/LE]]-ERP_5[[#This Row],[Giveback]]</f>
        <v>-18395.49000000002</v>
      </c>
      <c r="AO220" s="81"/>
      <c r="AP220" s="375">
        <v>9654</v>
      </c>
      <c r="AQ220" s="375">
        <v>14825.74</v>
      </c>
      <c r="AR220" s="375">
        <v>12851.77</v>
      </c>
      <c r="AS220" s="375">
        <v>11942</v>
      </c>
      <c r="AT220" s="375">
        <v>10718</v>
      </c>
      <c r="AU220" s="375">
        <v>9590</v>
      </c>
      <c r="AV220" s="375">
        <v>9590</v>
      </c>
      <c r="AW220" s="375">
        <v>10718</v>
      </c>
      <c r="AX220" s="375">
        <v>11090</v>
      </c>
      <c r="AY220" s="375">
        <v>11090</v>
      </c>
      <c r="AZ220" s="375">
        <v>9590</v>
      </c>
      <c r="BA220" s="375">
        <v>11076</v>
      </c>
      <c r="BB220" s="375">
        <v>132735.51</v>
      </c>
      <c r="BC220" s="79">
        <v>9654</v>
      </c>
      <c r="BD220" s="79">
        <v>14825.74</v>
      </c>
      <c r="BE220" s="79">
        <v>12851.77</v>
      </c>
      <c r="BF220" s="79">
        <v>10870.45</v>
      </c>
      <c r="BG220" s="79">
        <v>11986</v>
      </c>
      <c r="BH220" s="79">
        <v>11986</v>
      </c>
      <c r="BI220" s="79">
        <v>11986</v>
      </c>
      <c r="BJ220" s="79">
        <v>11986</v>
      </c>
      <c r="BK220" s="79">
        <v>11986</v>
      </c>
      <c r="BL220" s="79">
        <v>11986</v>
      </c>
      <c r="BM220" s="79">
        <v>11986</v>
      </c>
      <c r="BN220" s="79">
        <v>11986</v>
      </c>
      <c r="BO220" s="79">
        <v>144089.96</v>
      </c>
    </row>
    <row r="221" spans="1:67" ht="15" customHeight="1">
      <c r="A221" s="66" t="s">
        <v>1208</v>
      </c>
      <c r="B221" s="66" t="s">
        <v>76</v>
      </c>
      <c r="C221" s="150" t="s">
        <v>1136</v>
      </c>
      <c r="D221" s="150" t="s">
        <v>1135</v>
      </c>
      <c r="E221" s="150" t="s">
        <v>1135</v>
      </c>
      <c r="F221" s="150" t="s">
        <v>1137</v>
      </c>
      <c r="G221" s="511" t="s">
        <v>49</v>
      </c>
      <c r="H221" s="392" t="s">
        <v>1209</v>
      </c>
      <c r="I221" s="343" t="s">
        <v>1210</v>
      </c>
      <c r="J221" s="346" t="s">
        <v>1171</v>
      </c>
      <c r="K221" s="70" t="s">
        <v>77</v>
      </c>
      <c r="L221" s="346"/>
      <c r="M221" s="346" t="s">
        <v>1211</v>
      </c>
      <c r="N221" s="346"/>
      <c r="O221" s="150" t="s">
        <v>25</v>
      </c>
      <c r="P221" s="150"/>
      <c r="Q221" s="403"/>
      <c r="R221" s="406">
        <v>97500</v>
      </c>
      <c r="S221" s="406">
        <v>90751.67</v>
      </c>
      <c r="T221" s="425"/>
      <c r="U221" s="71"/>
      <c r="V221" s="426">
        <v>10704.42</v>
      </c>
      <c r="W221" s="427">
        <v>11988.8</v>
      </c>
      <c r="X221" s="427">
        <v>9558.4500000000007</v>
      </c>
      <c r="Y221" s="428">
        <v>6923.07</v>
      </c>
      <c r="Z221" s="429">
        <v>8819.08</v>
      </c>
      <c r="AA221" s="429">
        <v>6012.1100000000006</v>
      </c>
      <c r="AB221" s="363">
        <v>6000</v>
      </c>
      <c r="AC221" s="363">
        <v>6000</v>
      </c>
      <c r="AD221" s="363">
        <v>6000</v>
      </c>
      <c r="AE221" s="363">
        <v>7500</v>
      </c>
      <c r="AF221" s="363">
        <v>7500</v>
      </c>
      <c r="AG221" s="363">
        <v>7500</v>
      </c>
      <c r="AH221" s="360">
        <f t="shared" si="14"/>
        <v>94505.930000000008</v>
      </c>
      <c r="AI221" s="362">
        <f>ERP_5[[#This Row],[2026 Working Total]]-ERP_5[[#This Row],[LE2 Final Submission]]</f>
        <v>3754.2600000000093</v>
      </c>
      <c r="AJ221" s="79">
        <v>6000</v>
      </c>
      <c r="AK221" s="79">
        <f t="shared" si="13"/>
        <v>12.110000000000582</v>
      </c>
      <c r="AL221" s="374">
        <f>SUM(ERP_5[[#This Row],[AP01]:[AP06]])-SUM(ERP_5[[#This Row],[AP01 LE2]:[AP06 LE2]])</f>
        <v>3754.2600000000093</v>
      </c>
      <c r="AM221" s="80"/>
      <c r="AN221" s="79">
        <f>ERP_5[[#This Row],[2026 Working Total to Budget/LE]]-ERP_5[[#This Row],[Giveback]]</f>
        <v>3754.2600000000093</v>
      </c>
      <c r="AO221" s="81"/>
      <c r="AP221" s="375">
        <v>10704.42</v>
      </c>
      <c r="AQ221" s="375">
        <v>11988.8</v>
      </c>
      <c r="AR221" s="375">
        <v>9558.4500000000007</v>
      </c>
      <c r="AS221" s="375">
        <v>6000</v>
      </c>
      <c r="AT221" s="375">
        <v>6000</v>
      </c>
      <c r="AU221" s="375">
        <v>6000</v>
      </c>
      <c r="AV221" s="375">
        <v>6000</v>
      </c>
      <c r="AW221" s="375">
        <v>6000</v>
      </c>
      <c r="AX221" s="375">
        <v>6000</v>
      </c>
      <c r="AY221" s="375">
        <v>7500</v>
      </c>
      <c r="AZ221" s="375">
        <v>7500</v>
      </c>
      <c r="BA221" s="375">
        <v>7500</v>
      </c>
      <c r="BB221" s="375">
        <v>90751.67</v>
      </c>
      <c r="BC221" s="79">
        <v>10704.42</v>
      </c>
      <c r="BD221" s="79">
        <v>11988.8</v>
      </c>
      <c r="BE221" s="79">
        <v>9558.4500000000007</v>
      </c>
      <c r="BF221" s="79">
        <v>8125</v>
      </c>
      <c r="BG221" s="79">
        <v>8125</v>
      </c>
      <c r="BH221" s="79">
        <v>8125</v>
      </c>
      <c r="BI221" s="79">
        <v>8125</v>
      </c>
      <c r="BJ221" s="79">
        <v>8125</v>
      </c>
      <c r="BK221" s="79">
        <v>8125</v>
      </c>
      <c r="BL221" s="79">
        <v>8125</v>
      </c>
      <c r="BM221" s="79">
        <v>8125</v>
      </c>
      <c r="BN221" s="79">
        <v>8125</v>
      </c>
      <c r="BO221" s="79">
        <v>105376.67</v>
      </c>
    </row>
    <row r="222" spans="1:67" ht="15" customHeight="1">
      <c r="A222" s="66" t="s">
        <v>1212</v>
      </c>
      <c r="B222" s="66" t="s">
        <v>78</v>
      </c>
      <c r="C222" s="150" t="s">
        <v>1136</v>
      </c>
      <c r="D222" s="150" t="s">
        <v>1135</v>
      </c>
      <c r="E222" s="150" t="s">
        <v>1135</v>
      </c>
      <c r="F222" s="150" t="s">
        <v>1137</v>
      </c>
      <c r="G222" s="511" t="s">
        <v>49</v>
      </c>
      <c r="H222" s="392" t="s">
        <v>1213</v>
      </c>
      <c r="I222" s="343" t="s">
        <v>1210</v>
      </c>
      <c r="J222" s="346" t="s">
        <v>1171</v>
      </c>
      <c r="K222" s="70" t="s">
        <v>79</v>
      </c>
      <c r="L222" s="346"/>
      <c r="M222" s="346" t="s">
        <v>1214</v>
      </c>
      <c r="N222" s="346"/>
      <c r="O222" s="150" t="s">
        <v>25</v>
      </c>
      <c r="P222" s="150"/>
      <c r="Q222" s="403"/>
      <c r="R222" s="406">
        <v>107910</v>
      </c>
      <c r="S222" s="406">
        <v>99679.13</v>
      </c>
      <c r="T222" s="430"/>
      <c r="U222" s="137"/>
      <c r="V222" s="426">
        <v>6841</v>
      </c>
      <c r="W222" s="427">
        <v>9759.2000000000007</v>
      </c>
      <c r="X222" s="427">
        <v>7478.93</v>
      </c>
      <c r="Y222" s="428">
        <v>7661.53</v>
      </c>
      <c r="Z222" s="429">
        <v>9759.5400000000009</v>
      </c>
      <c r="AA222" s="429">
        <v>8299.7900000000009</v>
      </c>
      <c r="AB222" s="363">
        <v>8300</v>
      </c>
      <c r="AC222" s="363">
        <v>8300</v>
      </c>
      <c r="AD222" s="363">
        <v>8300</v>
      </c>
      <c r="AE222" s="363">
        <v>8300</v>
      </c>
      <c r="AF222" s="363">
        <v>8300</v>
      </c>
      <c r="AG222" s="363">
        <v>8300</v>
      </c>
      <c r="AH222" s="360">
        <f t="shared" si="14"/>
        <v>99599.989999999991</v>
      </c>
      <c r="AI222" s="362">
        <f>ERP_5[[#This Row],[2026 Working Total]]-ERP_5[[#This Row],[LE2 Final Submission]]</f>
        <v>-79.14000000001397</v>
      </c>
      <c r="AJ222" s="79">
        <v>8400</v>
      </c>
      <c r="AK222" s="79">
        <f t="shared" si="13"/>
        <v>-100.20999999999913</v>
      </c>
      <c r="AL222" s="374">
        <f>SUM(ERP_5[[#This Row],[AP01]:[AP06]])-SUM(ERP_5[[#This Row],[AP01 LE2]:[AP06 LE2]])</f>
        <v>520.85999999999331</v>
      </c>
      <c r="AM222" s="80"/>
      <c r="AN222" s="79">
        <f>ERP_5[[#This Row],[2026 Working Total to Budget/LE]]-ERP_5[[#This Row],[Giveback]]</f>
        <v>-79.14000000001397</v>
      </c>
      <c r="AO222" s="81"/>
      <c r="AP222" s="375">
        <v>6841</v>
      </c>
      <c r="AQ222" s="375">
        <v>9759.2000000000007</v>
      </c>
      <c r="AR222" s="375">
        <v>7478.93</v>
      </c>
      <c r="AS222" s="375">
        <v>8400</v>
      </c>
      <c r="AT222" s="375">
        <v>8400</v>
      </c>
      <c r="AU222" s="375">
        <v>8400</v>
      </c>
      <c r="AV222" s="375">
        <v>8400</v>
      </c>
      <c r="AW222" s="375">
        <v>8400</v>
      </c>
      <c r="AX222" s="375">
        <v>8400</v>
      </c>
      <c r="AY222" s="375">
        <v>8400</v>
      </c>
      <c r="AZ222" s="375">
        <v>8400</v>
      </c>
      <c r="BA222" s="375">
        <v>8400</v>
      </c>
      <c r="BB222" s="375">
        <v>99679.13</v>
      </c>
      <c r="BC222" s="79">
        <v>6841</v>
      </c>
      <c r="BD222" s="79">
        <v>9759.2000000000007</v>
      </c>
      <c r="BE222" s="79">
        <v>7478.93</v>
      </c>
      <c r="BF222" s="79">
        <v>8992.5</v>
      </c>
      <c r="BG222" s="79">
        <v>8992.5</v>
      </c>
      <c r="BH222" s="79">
        <v>8992.5</v>
      </c>
      <c r="BI222" s="79">
        <v>8992.5</v>
      </c>
      <c r="BJ222" s="79">
        <v>8992.5</v>
      </c>
      <c r="BK222" s="79">
        <v>8992.5</v>
      </c>
      <c r="BL222" s="79">
        <v>8992.5</v>
      </c>
      <c r="BM222" s="79">
        <v>8992.5</v>
      </c>
      <c r="BN222" s="79">
        <v>8992.5</v>
      </c>
      <c r="BO222" s="79">
        <v>105011.63</v>
      </c>
    </row>
    <row r="223" spans="1:67" ht="15" customHeight="1">
      <c r="A223" s="66" t="s">
        <v>1215</v>
      </c>
      <c r="B223" s="66" t="s">
        <v>80</v>
      </c>
      <c r="C223" s="150" t="s">
        <v>1136</v>
      </c>
      <c r="D223" s="150" t="s">
        <v>1135</v>
      </c>
      <c r="E223" s="150" t="s">
        <v>1135</v>
      </c>
      <c r="F223" s="150" t="s">
        <v>1137</v>
      </c>
      <c r="G223" s="511" t="s">
        <v>49</v>
      </c>
      <c r="H223" s="392" t="s">
        <v>1216</v>
      </c>
      <c r="I223" s="343" t="s">
        <v>1190</v>
      </c>
      <c r="J223" s="346" t="s">
        <v>1171</v>
      </c>
      <c r="K223" s="70" t="s">
        <v>81</v>
      </c>
      <c r="L223" s="346"/>
      <c r="M223" s="346" t="s">
        <v>1217</v>
      </c>
      <c r="N223" s="346"/>
      <c r="O223" s="150" t="s">
        <v>25</v>
      </c>
      <c r="P223" s="150"/>
      <c r="Q223" s="403"/>
      <c r="R223" s="406">
        <v>87360</v>
      </c>
      <c r="S223" s="406">
        <v>83873.7</v>
      </c>
      <c r="T223" s="425"/>
      <c r="U223" s="71"/>
      <c r="V223" s="426">
        <v>11538</v>
      </c>
      <c r="W223" s="427">
        <v>8258.77</v>
      </c>
      <c r="X223" s="427">
        <v>1796.93</v>
      </c>
      <c r="Y223" s="428">
        <v>5175.54</v>
      </c>
      <c r="Z223" s="429">
        <v>10565.529999999999</v>
      </c>
      <c r="AA223" s="429">
        <v>3972.9300000000003</v>
      </c>
      <c r="AB223" s="363">
        <v>7000</v>
      </c>
      <c r="AC223" s="363">
        <v>7000</v>
      </c>
      <c r="AD223" s="363">
        <v>7000</v>
      </c>
      <c r="AE223" s="363">
        <v>7000</v>
      </c>
      <c r="AF223" s="363">
        <v>7000</v>
      </c>
      <c r="AG223" s="363">
        <v>7000</v>
      </c>
      <c r="AH223" s="360">
        <f t="shared" si="14"/>
        <v>83307.700000000012</v>
      </c>
      <c r="AI223" s="362">
        <f>ERP_5[[#This Row],[2026 Working Total]]-ERP_5[[#This Row],[LE2 Final Submission]]</f>
        <v>-565.99999999998545</v>
      </c>
      <c r="AJ223" s="79">
        <v>7000</v>
      </c>
      <c r="AK223" s="79">
        <f t="shared" si="13"/>
        <v>-3027.0699999999997</v>
      </c>
      <c r="AL223" s="374">
        <f>SUM(ERP_5[[#This Row],[AP01]:[AP06]])-SUM(ERP_5[[#This Row],[AP01 LE2]:[AP06 LE2]])</f>
        <v>-285.99999999999272</v>
      </c>
      <c r="AM223" s="80"/>
      <c r="AN223" s="79">
        <f>ERP_5[[#This Row],[2026 Working Total to Budget/LE]]-ERP_5[[#This Row],[Giveback]]</f>
        <v>-565.99999999998545</v>
      </c>
      <c r="AO223" s="81"/>
      <c r="AP223" s="375">
        <v>11538</v>
      </c>
      <c r="AQ223" s="375">
        <v>8258.77</v>
      </c>
      <c r="AR223" s="375">
        <v>1796.93</v>
      </c>
      <c r="AS223" s="375">
        <v>6000</v>
      </c>
      <c r="AT223" s="375">
        <v>7000</v>
      </c>
      <c r="AU223" s="375">
        <v>7000</v>
      </c>
      <c r="AV223" s="375">
        <v>7000</v>
      </c>
      <c r="AW223" s="375">
        <v>7000</v>
      </c>
      <c r="AX223" s="375">
        <v>7000</v>
      </c>
      <c r="AY223" s="375">
        <v>7000</v>
      </c>
      <c r="AZ223" s="375">
        <v>7000</v>
      </c>
      <c r="BA223" s="375">
        <v>7280</v>
      </c>
      <c r="BB223" s="375">
        <v>83873.7</v>
      </c>
      <c r="BC223" s="79">
        <v>11538</v>
      </c>
      <c r="BD223" s="79">
        <v>8258.77</v>
      </c>
      <c r="BE223" s="79">
        <v>1796.93</v>
      </c>
      <c r="BF223" s="79">
        <v>7280</v>
      </c>
      <c r="BG223" s="79">
        <v>7280</v>
      </c>
      <c r="BH223" s="79">
        <v>7280</v>
      </c>
      <c r="BI223" s="79">
        <v>7280</v>
      </c>
      <c r="BJ223" s="79">
        <v>7280</v>
      </c>
      <c r="BK223" s="79">
        <v>7280</v>
      </c>
      <c r="BL223" s="79">
        <v>7280</v>
      </c>
      <c r="BM223" s="79">
        <v>7280</v>
      </c>
      <c r="BN223" s="79">
        <v>7280</v>
      </c>
      <c r="BO223" s="79">
        <v>87113.7</v>
      </c>
    </row>
    <row r="224" spans="1:67" ht="15" customHeight="1">
      <c r="A224" s="66" t="s">
        <v>1611</v>
      </c>
      <c r="B224" s="66" t="s">
        <v>1612</v>
      </c>
      <c r="C224" s="150" t="s">
        <v>1136</v>
      </c>
      <c r="D224" s="150" t="s">
        <v>1567</v>
      </c>
      <c r="E224" s="150" t="s">
        <v>1567</v>
      </c>
      <c r="F224" s="150" t="s">
        <v>1567</v>
      </c>
      <c r="G224" s="511" t="s">
        <v>49</v>
      </c>
      <c r="H224" s="392" t="s">
        <v>1613</v>
      </c>
      <c r="I224" s="343"/>
      <c r="J224" s="346" t="s">
        <v>1593</v>
      </c>
      <c r="K224" s="70" t="s">
        <v>298</v>
      </c>
      <c r="L224" s="346"/>
      <c r="M224" s="346" t="s">
        <v>1187</v>
      </c>
      <c r="N224" s="346"/>
      <c r="O224" s="150" t="s">
        <v>25</v>
      </c>
      <c r="P224" s="150"/>
      <c r="Q224" s="403"/>
      <c r="R224" s="406">
        <v>0</v>
      </c>
      <c r="S224" s="406">
        <v>50489.729999999996</v>
      </c>
      <c r="T224" s="425"/>
      <c r="U224" s="71"/>
      <c r="V224" s="426"/>
      <c r="W224" s="427">
        <v>38877.699999999997</v>
      </c>
      <c r="X224" s="427">
        <v>11612.03</v>
      </c>
      <c r="Y224" s="428">
        <v>17061.96</v>
      </c>
      <c r="Z224" s="429">
        <v>5873.3499999999995</v>
      </c>
      <c r="AA224" s="429">
        <v>-6492.8099999999995</v>
      </c>
      <c r="AB224" s="360">
        <v>0</v>
      </c>
      <c r="AC224" s="360">
        <v>0</v>
      </c>
      <c r="AD224" s="360">
        <v>0</v>
      </c>
      <c r="AE224" s="360">
        <v>0</v>
      </c>
      <c r="AF224" s="360">
        <v>0</v>
      </c>
      <c r="AG224" s="360">
        <v>0</v>
      </c>
      <c r="AH224" s="360">
        <f t="shared" si="14"/>
        <v>66932.23000000001</v>
      </c>
      <c r="AI224" s="362">
        <f>ERP_5[[#This Row],[2026 Working Total]]-ERP_5[[#This Row],[LE2 Final Submission]]</f>
        <v>16442.500000000015</v>
      </c>
      <c r="AJ224" s="79">
        <v>0</v>
      </c>
      <c r="AK224" s="79">
        <f t="shared" si="13"/>
        <v>-6492.8099999999995</v>
      </c>
      <c r="AL224" s="374">
        <f>SUM(ERP_5[[#This Row],[AP01]:[AP06]])-SUM(ERP_5[[#This Row],[AP01 LE2]:[AP06 LE2]])</f>
        <v>16442.500000000015</v>
      </c>
      <c r="AM224" s="80"/>
      <c r="AN224" s="79">
        <f>ERP_5[[#This Row],[2026 Working Total to Budget/LE]]-ERP_5[[#This Row],[Giveback]]</f>
        <v>16442.500000000015</v>
      </c>
      <c r="AO224" s="81"/>
      <c r="AP224" s="375"/>
      <c r="AQ224" s="375">
        <v>38877.699999999997</v>
      </c>
      <c r="AR224" s="375">
        <v>11612.03</v>
      </c>
      <c r="AS224" s="375">
        <v>0</v>
      </c>
      <c r="AT224" s="375">
        <v>0</v>
      </c>
      <c r="AU224" s="375">
        <v>0</v>
      </c>
      <c r="AV224" s="375">
        <v>0</v>
      </c>
      <c r="AW224" s="375">
        <v>0</v>
      </c>
      <c r="AX224" s="375">
        <v>0</v>
      </c>
      <c r="AY224" s="375">
        <v>0</v>
      </c>
      <c r="AZ224" s="375">
        <v>0</v>
      </c>
      <c r="BA224" s="375">
        <v>0</v>
      </c>
      <c r="BB224" s="375">
        <v>50489.729999999996</v>
      </c>
      <c r="BC224" s="79"/>
      <c r="BD224" s="79">
        <v>38877.699999999997</v>
      </c>
      <c r="BE224" s="79">
        <v>11612.03</v>
      </c>
      <c r="BF224" s="79">
        <v>0</v>
      </c>
      <c r="BG224" s="79">
        <v>0</v>
      </c>
      <c r="BH224" s="79">
        <v>0</v>
      </c>
      <c r="BI224" s="79">
        <v>0</v>
      </c>
      <c r="BJ224" s="79">
        <v>0</v>
      </c>
      <c r="BK224" s="79">
        <v>0</v>
      </c>
      <c r="BL224" s="79">
        <v>0</v>
      </c>
      <c r="BM224" s="79">
        <v>0</v>
      </c>
      <c r="BN224" s="79">
        <v>0</v>
      </c>
      <c r="BO224" s="79">
        <v>50489.729999999996</v>
      </c>
    </row>
    <row r="225" spans="1:67" ht="15" customHeight="1">
      <c r="A225" s="66" t="s">
        <v>1218</v>
      </c>
      <c r="B225" s="66" t="s">
        <v>1219</v>
      </c>
      <c r="C225" s="150" t="s">
        <v>1136</v>
      </c>
      <c r="D225" s="150" t="s">
        <v>1135</v>
      </c>
      <c r="E225" s="150" t="s">
        <v>1156</v>
      </c>
      <c r="F225" s="150" t="s">
        <v>1137</v>
      </c>
      <c r="G225" s="511" t="s">
        <v>49</v>
      </c>
      <c r="H225" s="392" t="s">
        <v>1220</v>
      </c>
      <c r="I225" s="343"/>
      <c r="J225" s="343"/>
      <c r="K225" s="70" t="s">
        <v>83</v>
      </c>
      <c r="L225" s="346"/>
      <c r="M225" s="346" t="s">
        <v>1221</v>
      </c>
      <c r="N225" s="346"/>
      <c r="O225" s="150" t="s">
        <v>25</v>
      </c>
      <c r="P225" s="150" t="s">
        <v>1222</v>
      </c>
      <c r="Q225" s="403"/>
      <c r="R225" s="406">
        <v>750</v>
      </c>
      <c r="S225" s="406">
        <v>0</v>
      </c>
      <c r="T225" s="425"/>
      <c r="U225" s="71"/>
      <c r="V225" s="426"/>
      <c r="W225" s="427"/>
      <c r="X225" s="427"/>
      <c r="Y225" s="428" t="s">
        <v>1142</v>
      </c>
      <c r="Z225" s="429">
        <v>0</v>
      </c>
      <c r="AA225" s="429">
        <v>0</v>
      </c>
      <c r="AB225" s="363"/>
      <c r="AC225" s="363"/>
      <c r="AD225" s="363"/>
      <c r="AE225" s="363"/>
      <c r="AF225" s="363"/>
      <c r="AG225" s="363"/>
      <c r="AH225" s="360">
        <f t="shared" si="14"/>
        <v>0</v>
      </c>
      <c r="AI225" s="362">
        <f>ERP_5[[#This Row],[2026 Working Total]]-ERP_5[[#This Row],[LE2 Final Submission]]</f>
        <v>0</v>
      </c>
      <c r="AJ225" s="79"/>
      <c r="AK225" s="79">
        <f t="shared" si="13"/>
        <v>0</v>
      </c>
      <c r="AL225" s="374">
        <f>SUM(ERP_5[[#This Row],[AP01]:[AP06]])-SUM(ERP_5[[#This Row],[AP01 LE2]:[AP06 LE2]])</f>
        <v>0</v>
      </c>
      <c r="AM225" s="80">
        <v>-750</v>
      </c>
      <c r="AN225" s="79">
        <f>ERP_5[[#This Row],[2026 Working Total to Budget/LE]]-ERP_5[[#This Row],[Giveback]]</f>
        <v>750</v>
      </c>
      <c r="AO225" s="81" t="s">
        <v>1223</v>
      </c>
      <c r="AP225" s="375"/>
      <c r="AQ225" s="375"/>
      <c r="AR225" s="375"/>
      <c r="AS225" s="375"/>
      <c r="AT225" s="375"/>
      <c r="AU225" s="375"/>
      <c r="AV225" s="375"/>
      <c r="AW225" s="375"/>
      <c r="AX225" s="375"/>
      <c r="AY225" s="375"/>
      <c r="AZ225" s="375"/>
      <c r="BA225" s="375"/>
      <c r="BB225" s="375">
        <v>0</v>
      </c>
      <c r="BC225" s="79"/>
      <c r="BD225" s="79"/>
      <c r="BE225" s="79"/>
      <c r="BF225" s="79">
        <v>62.5</v>
      </c>
      <c r="BG225" s="79">
        <v>62.5</v>
      </c>
      <c r="BH225" s="79">
        <v>62.5</v>
      </c>
      <c r="BI225" s="79">
        <v>62.5</v>
      </c>
      <c r="BJ225" s="79">
        <v>62.5</v>
      </c>
      <c r="BK225" s="79">
        <v>62.5</v>
      </c>
      <c r="BL225" s="79">
        <v>62.5</v>
      </c>
      <c r="BM225" s="79">
        <v>62.5</v>
      </c>
      <c r="BN225" s="79">
        <v>62.5</v>
      </c>
      <c r="BO225" s="79">
        <v>562.5</v>
      </c>
    </row>
    <row r="226" spans="1:67" ht="15" customHeight="1">
      <c r="A226" s="66" t="s">
        <v>1224</v>
      </c>
      <c r="B226" s="66" t="s">
        <v>1225</v>
      </c>
      <c r="C226" s="150" t="s">
        <v>1136</v>
      </c>
      <c r="D226" s="150" t="s">
        <v>1135</v>
      </c>
      <c r="E226" s="150" t="s">
        <v>1145</v>
      </c>
      <c r="F226" s="150" t="s">
        <v>1137</v>
      </c>
      <c r="G226" s="511" t="s">
        <v>49</v>
      </c>
      <c r="H226" s="392" t="s">
        <v>1226</v>
      </c>
      <c r="I226" s="343"/>
      <c r="J226" s="346" t="s">
        <v>1186</v>
      </c>
      <c r="K226" s="70" t="s">
        <v>85</v>
      </c>
      <c r="L226" s="346"/>
      <c r="M226" s="346" t="s">
        <v>1227</v>
      </c>
      <c r="N226" s="346"/>
      <c r="O226" s="150" t="s">
        <v>25</v>
      </c>
      <c r="P226" s="150" t="s">
        <v>1228</v>
      </c>
      <c r="Q226" s="403"/>
      <c r="R226" s="406">
        <v>357000</v>
      </c>
      <c r="S226" s="406">
        <v>356999.8</v>
      </c>
      <c r="T226" s="425"/>
      <c r="U226" s="71"/>
      <c r="V226" s="426">
        <v>24570</v>
      </c>
      <c r="W226" s="427">
        <v>27517.439999999999</v>
      </c>
      <c r="X226" s="427">
        <v>34397.360000000001</v>
      </c>
      <c r="Y226" s="428">
        <v>27517.89</v>
      </c>
      <c r="Z226" s="429">
        <v>27517.89</v>
      </c>
      <c r="AA226" s="429">
        <v>34397.360000000001</v>
      </c>
      <c r="AB226" s="363">
        <v>29750</v>
      </c>
      <c r="AC226" s="363">
        <v>29750</v>
      </c>
      <c r="AD226" s="363">
        <f>29750+7300</f>
        <v>37050</v>
      </c>
      <c r="AE226" s="363">
        <v>29750</v>
      </c>
      <c r="AF226" s="363">
        <v>29750</v>
      </c>
      <c r="AG226" s="363">
        <v>29750</v>
      </c>
      <c r="AH226" s="360">
        <f t="shared" si="14"/>
        <v>361717.94</v>
      </c>
      <c r="AI226" s="362">
        <f>ERP_5[[#This Row],[2026 Working Total]]-ERP_5[[#This Row],[LE2 Final Submission]]</f>
        <v>4718.140000000014</v>
      </c>
      <c r="AJ226" s="79">
        <v>29750</v>
      </c>
      <c r="AK226" s="79">
        <f t="shared" si="13"/>
        <v>4647.3600000000006</v>
      </c>
      <c r="AL226" s="374">
        <f>SUM(ERP_5[[#This Row],[AP01]:[AP06]])-SUM(ERP_5[[#This Row],[AP01 LE2]:[AP06 LE2]])</f>
        <v>-2581.859999999986</v>
      </c>
      <c r="AM226" s="80"/>
      <c r="AN226" s="79">
        <f>ERP_5[[#This Row],[2026 Working Total to Budget/LE]]-ERP_5[[#This Row],[Giveback]]</f>
        <v>4718.140000000014</v>
      </c>
      <c r="AO226" s="81"/>
      <c r="AP226" s="375">
        <v>24570</v>
      </c>
      <c r="AQ226" s="375">
        <v>27517.439999999999</v>
      </c>
      <c r="AR226" s="375">
        <v>34397.360000000001</v>
      </c>
      <c r="AS226" s="375">
        <v>32515</v>
      </c>
      <c r="AT226" s="375">
        <v>29750</v>
      </c>
      <c r="AU226" s="375">
        <v>29750</v>
      </c>
      <c r="AV226" s="375">
        <v>29750</v>
      </c>
      <c r="AW226" s="375">
        <v>29750</v>
      </c>
      <c r="AX226" s="375">
        <v>29750</v>
      </c>
      <c r="AY226" s="375">
        <v>29750</v>
      </c>
      <c r="AZ226" s="375">
        <v>29750</v>
      </c>
      <c r="BA226" s="375">
        <v>29750</v>
      </c>
      <c r="BB226" s="375">
        <v>356999.8</v>
      </c>
      <c r="BC226" s="79">
        <v>24570</v>
      </c>
      <c r="BD226" s="79">
        <v>27517.439999999999</v>
      </c>
      <c r="BE226" s="79">
        <v>34397.360000000001</v>
      </c>
      <c r="BF226" s="79">
        <v>37163</v>
      </c>
      <c r="BG226" s="79">
        <v>29750</v>
      </c>
      <c r="BH226" s="79">
        <v>29750</v>
      </c>
      <c r="BI226" s="79">
        <v>29750</v>
      </c>
      <c r="BJ226" s="79">
        <v>29750</v>
      </c>
      <c r="BK226" s="79">
        <v>29750</v>
      </c>
      <c r="BL226" s="79">
        <v>29750</v>
      </c>
      <c r="BM226" s="79">
        <v>29750</v>
      </c>
      <c r="BN226" s="79">
        <v>29750</v>
      </c>
      <c r="BO226" s="79">
        <v>361647.8</v>
      </c>
    </row>
    <row r="227" spans="1:67" ht="15" customHeight="1">
      <c r="A227" s="66" t="s">
        <v>1229</v>
      </c>
      <c r="B227" s="66" t="s">
        <v>86</v>
      </c>
      <c r="C227" s="150" t="s">
        <v>1136</v>
      </c>
      <c r="D227" s="150" t="s">
        <v>1135</v>
      </c>
      <c r="E227" s="150" t="s">
        <v>1135</v>
      </c>
      <c r="F227" s="150" t="s">
        <v>1137</v>
      </c>
      <c r="G227" s="511" t="s">
        <v>49</v>
      </c>
      <c r="H227" s="392" t="s">
        <v>1230</v>
      </c>
      <c r="I227" s="343" t="s">
        <v>1231</v>
      </c>
      <c r="J227" s="346" t="s">
        <v>1171</v>
      </c>
      <c r="K227" s="70" t="s">
        <v>87</v>
      </c>
      <c r="L227" s="346"/>
      <c r="M227" s="346" t="s">
        <v>1232</v>
      </c>
      <c r="N227" s="346"/>
      <c r="O227" s="150" t="s">
        <v>25</v>
      </c>
      <c r="P227" s="150" t="s">
        <v>1233</v>
      </c>
      <c r="Q227" s="403"/>
      <c r="R227" s="406">
        <v>1678341.6000000003</v>
      </c>
      <c r="S227" s="406">
        <v>1647348.3599999999</v>
      </c>
      <c r="T227" s="425"/>
      <c r="U227" s="71"/>
      <c r="V227" s="426">
        <v>113142.14</v>
      </c>
      <c r="W227" s="427">
        <v>160853.85999999999</v>
      </c>
      <c r="X227" s="427">
        <v>137841.35999999999</v>
      </c>
      <c r="Y227" s="428">
        <v>0</v>
      </c>
      <c r="Z227" s="429">
        <v>274558.24</v>
      </c>
      <c r="AA227" s="429">
        <v>137279.12</v>
      </c>
      <c r="AB227" s="363">
        <f>136998-136998</f>
        <v>0</v>
      </c>
      <c r="AC227" s="363">
        <f>136998-136998+137279+137279</f>
        <v>274558</v>
      </c>
      <c r="AD227" s="363">
        <f>136998-136998+137279</f>
        <v>137279</v>
      </c>
      <c r="AE227" s="363">
        <f>136998-136998</f>
        <v>0</v>
      </c>
      <c r="AF227" s="363">
        <f>136998-136998+137279+137279</f>
        <v>274558</v>
      </c>
      <c r="AG227" s="363">
        <f>136998-136998+137279</f>
        <v>137279</v>
      </c>
      <c r="AH227" s="360">
        <f t="shared" si="14"/>
        <v>1647348.72</v>
      </c>
      <c r="AI227" s="362">
        <f>ERP_5[[#This Row],[2026 Working Total]]-ERP_5[[#This Row],[LE2 Final Submission]]</f>
        <v>0.36000000010244548</v>
      </c>
      <c r="AJ227" s="79">
        <v>274558</v>
      </c>
      <c r="AK227" s="79">
        <f t="shared" si="13"/>
        <v>-137278.88</v>
      </c>
      <c r="AL227" s="374">
        <f>SUM(ERP_5[[#This Row],[AP01]:[AP06]])-SUM(ERP_5[[#This Row],[AP01 LE2]:[AP06 LE2]])</f>
        <v>0.35999999998603016</v>
      </c>
      <c r="AM227" s="80"/>
      <c r="AN227" s="79">
        <f>ERP_5[[#This Row],[2026 Working Total to Budget/LE]]-ERP_5[[#This Row],[Giveback]]</f>
        <v>0.36000000010244548</v>
      </c>
      <c r="AO227" s="81" t="s">
        <v>1234</v>
      </c>
      <c r="AP227" s="375">
        <v>113142.14</v>
      </c>
      <c r="AQ227" s="375">
        <v>160853.85999999999</v>
      </c>
      <c r="AR227" s="375">
        <v>137841.35999999999</v>
      </c>
      <c r="AS227" s="375">
        <v>0</v>
      </c>
      <c r="AT227" s="375">
        <v>274558</v>
      </c>
      <c r="AU227" s="375">
        <v>137279</v>
      </c>
      <c r="AV227" s="375">
        <v>0</v>
      </c>
      <c r="AW227" s="375">
        <v>274558</v>
      </c>
      <c r="AX227" s="375">
        <v>137279</v>
      </c>
      <c r="AY227" s="375">
        <v>0</v>
      </c>
      <c r="AZ227" s="375">
        <v>274558</v>
      </c>
      <c r="BA227" s="375">
        <v>137279</v>
      </c>
      <c r="BB227" s="375">
        <v>1647348.3599999999</v>
      </c>
      <c r="BC227" s="79">
        <v>113142.14</v>
      </c>
      <c r="BD227" s="79">
        <v>160853.85999999999</v>
      </c>
      <c r="BE227" s="79">
        <v>137841.35999999999</v>
      </c>
      <c r="BF227" s="79">
        <v>136998</v>
      </c>
      <c r="BG227" s="79">
        <v>136998</v>
      </c>
      <c r="BH227" s="79">
        <v>136998</v>
      </c>
      <c r="BI227" s="79">
        <v>136998</v>
      </c>
      <c r="BJ227" s="79">
        <v>136998</v>
      </c>
      <c r="BK227" s="79">
        <v>136998</v>
      </c>
      <c r="BL227" s="79">
        <v>136998</v>
      </c>
      <c r="BM227" s="79">
        <v>136998</v>
      </c>
      <c r="BN227" s="79">
        <v>136998</v>
      </c>
      <c r="BO227" s="79">
        <v>1644819.3599999999</v>
      </c>
    </row>
    <row r="228" spans="1:67" ht="15" customHeight="1">
      <c r="A228" s="79" t="s">
        <v>1235</v>
      </c>
      <c r="B228" s="296" t="s">
        <v>88</v>
      </c>
      <c r="C228" s="150" t="s">
        <v>1136</v>
      </c>
      <c r="D228" s="332" t="s">
        <v>1135</v>
      </c>
      <c r="E228" s="382" t="s">
        <v>1135</v>
      </c>
      <c r="F228" s="331" t="s">
        <v>1137</v>
      </c>
      <c r="G228" s="512" t="s">
        <v>49</v>
      </c>
      <c r="H228" s="394" t="s">
        <v>1236</v>
      </c>
      <c r="I228" s="343"/>
      <c r="J228" s="331"/>
      <c r="K228" s="122" t="s">
        <v>89</v>
      </c>
      <c r="L228" s="343"/>
      <c r="M228" s="346" t="s">
        <v>1232</v>
      </c>
      <c r="N228" s="471"/>
      <c r="O228" s="384" t="s">
        <v>25</v>
      </c>
      <c r="P228" s="150"/>
      <c r="Q228" s="432"/>
      <c r="R228" s="358">
        <f>-213108+213108</f>
        <v>0</v>
      </c>
      <c r="S228" s="378">
        <v>0</v>
      </c>
      <c r="T228" s="430"/>
      <c r="U228" s="137"/>
      <c r="V228" s="433"/>
      <c r="W228" s="434"/>
      <c r="X228" s="434"/>
      <c r="Y228" s="428" t="s">
        <v>1142</v>
      </c>
      <c r="Z228" s="429">
        <v>0</v>
      </c>
      <c r="AA228" s="429">
        <v>0</v>
      </c>
      <c r="AB228" s="388">
        <v>0</v>
      </c>
      <c r="AC228" s="388">
        <v>0</v>
      </c>
      <c r="AD228" s="388">
        <v>0</v>
      </c>
      <c r="AE228" s="388">
        <v>0</v>
      </c>
      <c r="AF228" s="388">
        <v>0</v>
      </c>
      <c r="AG228" s="388"/>
      <c r="AH228" s="360">
        <f t="shared" si="14"/>
        <v>0</v>
      </c>
      <c r="AI228" s="362">
        <f>ERP_5[[#This Row],[2026 Working Total]]-ERP_5[[#This Row],[LE2 Final Submission]]</f>
        <v>0</v>
      </c>
      <c r="AJ228" s="79">
        <v>0</v>
      </c>
      <c r="AK228" s="79">
        <f t="shared" si="13"/>
        <v>0</v>
      </c>
      <c r="AL228" s="374">
        <f>SUM(ERP_5[[#This Row],[AP01]:[AP06]])-SUM(ERP_5[[#This Row],[AP01 LE2]:[AP06 LE2]])</f>
        <v>0</v>
      </c>
      <c r="AM228" s="80"/>
      <c r="AN228" s="79">
        <f>ERP_5[[#This Row],[2026 Working Total to Budget/LE]]-ERP_5[[#This Row],[Giveback]]</f>
        <v>0</v>
      </c>
      <c r="AO228" s="81"/>
      <c r="AP228" s="375"/>
      <c r="AQ228" s="375"/>
      <c r="AR228" s="375"/>
      <c r="AS228" s="375">
        <v>0</v>
      </c>
      <c r="AT228" s="375">
        <v>0</v>
      </c>
      <c r="AU228" s="375">
        <v>0</v>
      </c>
      <c r="AV228" s="375">
        <v>0</v>
      </c>
      <c r="AW228" s="375">
        <v>0</v>
      </c>
      <c r="AX228" s="375">
        <v>0</v>
      </c>
      <c r="AY228" s="375">
        <v>0</v>
      </c>
      <c r="AZ228" s="375">
        <v>0</v>
      </c>
      <c r="BA228" s="375"/>
      <c r="BB228" s="375">
        <v>0</v>
      </c>
      <c r="BC228" s="103">
        <v>0</v>
      </c>
      <c r="BD228" s="103">
        <v>0</v>
      </c>
      <c r="BE228" s="103">
        <v>0</v>
      </c>
      <c r="BF228" s="103">
        <v>0</v>
      </c>
      <c r="BG228" s="103">
        <v>0</v>
      </c>
      <c r="BH228" s="103">
        <v>-213108</v>
      </c>
      <c r="BI228" s="103">
        <v>0</v>
      </c>
      <c r="BJ228" s="103">
        <v>0</v>
      </c>
      <c r="BK228" s="103">
        <v>0</v>
      </c>
      <c r="BL228" s="103">
        <v>0</v>
      </c>
      <c r="BM228" s="103">
        <v>0</v>
      </c>
      <c r="BN228" s="103">
        <v>0</v>
      </c>
      <c r="BO228" s="79">
        <f>SUM(ERP_5[[#This Row],[2026 AP01]:[2026 AP12]])</f>
        <v>-213108</v>
      </c>
    </row>
    <row r="229" spans="1:67" ht="15" customHeight="1">
      <c r="A229" s="79" t="s">
        <v>1237</v>
      </c>
      <c r="B229" s="296" t="s">
        <v>90</v>
      </c>
      <c r="C229" s="150" t="s">
        <v>1136</v>
      </c>
      <c r="D229" s="332" t="s">
        <v>1135</v>
      </c>
      <c r="E229" s="382" t="s">
        <v>1135</v>
      </c>
      <c r="F229" s="331" t="s">
        <v>1137</v>
      </c>
      <c r="G229" s="512" t="s">
        <v>49</v>
      </c>
      <c r="H229" s="394" t="s">
        <v>1238</v>
      </c>
      <c r="I229" s="343"/>
      <c r="J229" s="331"/>
      <c r="K229" s="122" t="s">
        <v>91</v>
      </c>
      <c r="L229" s="343"/>
      <c r="M229" s="346" t="s">
        <v>1232</v>
      </c>
      <c r="N229" s="471"/>
      <c r="O229" s="384" t="s">
        <v>25</v>
      </c>
      <c r="P229" s="150"/>
      <c r="Q229" s="432"/>
      <c r="R229" s="358">
        <f>76110+-76110</f>
        <v>0</v>
      </c>
      <c r="S229" s="378">
        <v>0</v>
      </c>
      <c r="T229" s="425"/>
      <c r="U229" s="71"/>
      <c r="V229" s="433"/>
      <c r="W229" s="434"/>
      <c r="X229" s="434"/>
      <c r="Y229" s="428" t="s">
        <v>1142</v>
      </c>
      <c r="Z229" s="429">
        <v>0</v>
      </c>
      <c r="AA229" s="429">
        <v>0</v>
      </c>
      <c r="AB229" s="388">
        <v>0</v>
      </c>
      <c r="AC229" s="388">
        <v>0</v>
      </c>
      <c r="AD229" s="388">
        <v>0</v>
      </c>
      <c r="AE229" s="388">
        <v>0</v>
      </c>
      <c r="AF229" s="388">
        <v>0</v>
      </c>
      <c r="AG229" s="388"/>
      <c r="AH229" s="360">
        <f t="shared" si="14"/>
        <v>0</v>
      </c>
      <c r="AI229" s="362">
        <f>ERP_5[[#This Row],[2026 Working Total]]-ERP_5[[#This Row],[LE2 Final Submission]]</f>
        <v>0</v>
      </c>
      <c r="AJ229" s="79">
        <v>0</v>
      </c>
      <c r="AK229" s="79">
        <f t="shared" si="13"/>
        <v>0</v>
      </c>
      <c r="AL229" s="374">
        <f>SUM(ERP_5[[#This Row],[AP01]:[AP06]])-SUM(ERP_5[[#This Row],[AP01 LE2]:[AP06 LE2]])</f>
        <v>0</v>
      </c>
      <c r="AM229" s="80"/>
      <c r="AN229" s="79">
        <f>ERP_5[[#This Row],[2026 Working Total to Budget/LE]]-ERP_5[[#This Row],[Giveback]]</f>
        <v>0</v>
      </c>
      <c r="AO229" s="81"/>
      <c r="AP229" s="375"/>
      <c r="AQ229" s="375"/>
      <c r="AR229" s="375"/>
      <c r="AS229" s="375">
        <v>0</v>
      </c>
      <c r="AT229" s="375">
        <v>0</v>
      </c>
      <c r="AU229" s="375">
        <v>0</v>
      </c>
      <c r="AV229" s="375">
        <v>0</v>
      </c>
      <c r="AW229" s="375">
        <v>0</v>
      </c>
      <c r="AX229" s="375">
        <v>0</v>
      </c>
      <c r="AY229" s="375">
        <v>0</v>
      </c>
      <c r="AZ229" s="375">
        <v>0</v>
      </c>
      <c r="BA229" s="375"/>
      <c r="BB229" s="375">
        <v>0</v>
      </c>
      <c r="BC229" s="103">
        <v>0</v>
      </c>
      <c r="BD229" s="103">
        <v>0</v>
      </c>
      <c r="BE229" s="103">
        <v>0</v>
      </c>
      <c r="BF229" s="103">
        <v>0</v>
      </c>
      <c r="BG229" s="103">
        <v>0</v>
      </c>
      <c r="BH229" s="103">
        <v>-76110</v>
      </c>
      <c r="BI229" s="103">
        <v>0</v>
      </c>
      <c r="BJ229" s="103">
        <v>0</v>
      </c>
      <c r="BK229" s="103">
        <v>0</v>
      </c>
      <c r="BL229" s="103">
        <v>0</v>
      </c>
      <c r="BM229" s="103">
        <v>0</v>
      </c>
      <c r="BN229" s="103">
        <v>0</v>
      </c>
      <c r="BO229" s="79">
        <f>SUM(ERP_5[[#This Row],[2026 AP01]:[2026 AP12]])</f>
        <v>-76110</v>
      </c>
    </row>
    <row r="230" spans="1:67" ht="15" customHeight="1">
      <c r="A230" s="79" t="s">
        <v>1239</v>
      </c>
      <c r="B230" s="296" t="s">
        <v>92</v>
      </c>
      <c r="C230" s="150" t="s">
        <v>1136</v>
      </c>
      <c r="D230" s="332" t="s">
        <v>1135</v>
      </c>
      <c r="E230" s="382" t="s">
        <v>1135</v>
      </c>
      <c r="F230" s="331" t="s">
        <v>1137</v>
      </c>
      <c r="G230" s="512" t="s">
        <v>49</v>
      </c>
      <c r="H230" s="394" t="s">
        <v>1240</v>
      </c>
      <c r="I230" s="343"/>
      <c r="J230" s="331"/>
      <c r="K230" s="122" t="s">
        <v>93</v>
      </c>
      <c r="L230" s="343"/>
      <c r="M230" s="346" t="s">
        <v>1232</v>
      </c>
      <c r="N230" s="471"/>
      <c r="O230" s="384" t="s">
        <v>25</v>
      </c>
      <c r="P230" s="150"/>
      <c r="Q230" s="432"/>
      <c r="R230" s="358">
        <f>-91332+91332</f>
        <v>0</v>
      </c>
      <c r="S230" s="378">
        <v>0</v>
      </c>
      <c r="T230" s="425"/>
      <c r="U230" s="71"/>
      <c r="V230" s="433"/>
      <c r="W230" s="434"/>
      <c r="X230" s="434"/>
      <c r="Y230" s="428" t="s">
        <v>1142</v>
      </c>
      <c r="Z230" s="429">
        <v>0</v>
      </c>
      <c r="AA230" s="429">
        <v>0</v>
      </c>
      <c r="AB230" s="388">
        <v>0</v>
      </c>
      <c r="AC230" s="388">
        <v>0</v>
      </c>
      <c r="AD230" s="388">
        <v>0</v>
      </c>
      <c r="AE230" s="388">
        <v>0</v>
      </c>
      <c r="AF230" s="388">
        <v>0</v>
      </c>
      <c r="AG230" s="388"/>
      <c r="AH230" s="360">
        <f t="shared" si="14"/>
        <v>0</v>
      </c>
      <c r="AI230" s="362">
        <f>ERP_5[[#This Row],[2026 Working Total]]-ERP_5[[#This Row],[LE2 Final Submission]]</f>
        <v>0</v>
      </c>
      <c r="AJ230" s="79">
        <v>0</v>
      </c>
      <c r="AK230" s="79">
        <f t="shared" si="13"/>
        <v>0</v>
      </c>
      <c r="AL230" s="374">
        <f>SUM(ERP_5[[#This Row],[AP01]:[AP06]])-SUM(ERP_5[[#This Row],[AP01 LE2]:[AP06 LE2]])</f>
        <v>0</v>
      </c>
      <c r="AM230" s="80"/>
      <c r="AN230" s="79">
        <f>ERP_5[[#This Row],[2026 Working Total to Budget/LE]]-ERP_5[[#This Row],[Giveback]]</f>
        <v>0</v>
      </c>
      <c r="AO230" s="81"/>
      <c r="AP230" s="375"/>
      <c r="AQ230" s="375"/>
      <c r="AR230" s="375"/>
      <c r="AS230" s="375">
        <v>0</v>
      </c>
      <c r="AT230" s="375">
        <v>0</v>
      </c>
      <c r="AU230" s="375">
        <v>0</v>
      </c>
      <c r="AV230" s="375">
        <v>0</v>
      </c>
      <c r="AW230" s="375">
        <v>0</v>
      </c>
      <c r="AX230" s="375">
        <v>0</v>
      </c>
      <c r="AY230" s="375">
        <v>0</v>
      </c>
      <c r="AZ230" s="375">
        <v>0</v>
      </c>
      <c r="BA230" s="375"/>
      <c r="BB230" s="375">
        <v>0</v>
      </c>
      <c r="BC230" s="103">
        <v>0</v>
      </c>
      <c r="BD230" s="103">
        <v>0</v>
      </c>
      <c r="BE230" s="103">
        <v>0</v>
      </c>
      <c r="BF230" s="103">
        <v>0</v>
      </c>
      <c r="BG230" s="103">
        <v>0</v>
      </c>
      <c r="BH230" s="103">
        <v>-91332</v>
      </c>
      <c r="BI230" s="103">
        <v>0</v>
      </c>
      <c r="BJ230" s="103">
        <v>0</v>
      </c>
      <c r="BK230" s="103">
        <v>0</v>
      </c>
      <c r="BL230" s="103">
        <v>0</v>
      </c>
      <c r="BM230" s="103">
        <v>0</v>
      </c>
      <c r="BN230" s="103">
        <v>0</v>
      </c>
      <c r="BO230" s="79">
        <f>SUM(ERP_5[[#This Row],[2026 AP01]:[2026 AP12]])</f>
        <v>-91332</v>
      </c>
    </row>
    <row r="231" spans="1:67" ht="15" customHeight="1">
      <c r="A231" s="79" t="s">
        <v>1241</v>
      </c>
      <c r="B231" s="296" t="s">
        <v>94</v>
      </c>
      <c r="C231" s="150" t="s">
        <v>1136</v>
      </c>
      <c r="D231" s="332" t="s">
        <v>1135</v>
      </c>
      <c r="E231" s="382" t="s">
        <v>1135</v>
      </c>
      <c r="F231" s="331" t="s">
        <v>1137</v>
      </c>
      <c r="G231" s="512" t="s">
        <v>49</v>
      </c>
      <c r="H231" s="394" t="s">
        <v>1242</v>
      </c>
      <c r="I231" s="343"/>
      <c r="J231" s="331"/>
      <c r="K231" s="122" t="s">
        <v>95</v>
      </c>
      <c r="L231" s="343"/>
      <c r="M231" s="346" t="s">
        <v>1232</v>
      </c>
      <c r="N231" s="471"/>
      <c r="O231" s="384" t="s">
        <v>25</v>
      </c>
      <c r="P231" s="150"/>
      <c r="Q231" s="432"/>
      <c r="R231" s="358">
        <f>-76110+76110</f>
        <v>0</v>
      </c>
      <c r="S231" s="378">
        <v>0</v>
      </c>
      <c r="T231" s="430"/>
      <c r="U231" s="137"/>
      <c r="V231" s="433"/>
      <c r="W231" s="434"/>
      <c r="X231" s="434"/>
      <c r="Y231" s="428" t="s">
        <v>1142</v>
      </c>
      <c r="Z231" s="429">
        <v>0</v>
      </c>
      <c r="AA231" s="429">
        <v>0</v>
      </c>
      <c r="AB231" s="388">
        <v>0</v>
      </c>
      <c r="AC231" s="388">
        <v>0</v>
      </c>
      <c r="AD231" s="388">
        <v>0</v>
      </c>
      <c r="AE231" s="388">
        <v>0</v>
      </c>
      <c r="AF231" s="388">
        <v>0</v>
      </c>
      <c r="AG231" s="388"/>
      <c r="AH231" s="360">
        <f t="shared" si="14"/>
        <v>0</v>
      </c>
      <c r="AI231" s="362">
        <f>ERP_5[[#This Row],[2026 Working Total]]-ERP_5[[#This Row],[LE2 Final Submission]]</f>
        <v>0</v>
      </c>
      <c r="AJ231" s="79">
        <v>0</v>
      </c>
      <c r="AK231" s="79">
        <f t="shared" si="13"/>
        <v>0</v>
      </c>
      <c r="AL231" s="374">
        <f>SUM(ERP_5[[#This Row],[AP01]:[AP06]])-SUM(ERP_5[[#This Row],[AP01 LE2]:[AP06 LE2]])</f>
        <v>0</v>
      </c>
      <c r="AM231" s="80"/>
      <c r="AN231" s="79">
        <f>ERP_5[[#This Row],[2026 Working Total to Budget/LE]]-ERP_5[[#This Row],[Giveback]]</f>
        <v>0</v>
      </c>
      <c r="AO231" s="81"/>
      <c r="AP231" s="375"/>
      <c r="AQ231" s="375"/>
      <c r="AR231" s="375"/>
      <c r="AS231" s="375">
        <v>0</v>
      </c>
      <c r="AT231" s="375">
        <v>0</v>
      </c>
      <c r="AU231" s="375">
        <v>0</v>
      </c>
      <c r="AV231" s="375">
        <v>0</v>
      </c>
      <c r="AW231" s="375">
        <v>0</v>
      </c>
      <c r="AX231" s="375">
        <v>0</v>
      </c>
      <c r="AY231" s="375">
        <v>0</v>
      </c>
      <c r="AZ231" s="375">
        <v>0</v>
      </c>
      <c r="BA231" s="375"/>
      <c r="BB231" s="375">
        <v>0</v>
      </c>
      <c r="BC231" s="103">
        <v>0</v>
      </c>
      <c r="BD231" s="103">
        <v>0</v>
      </c>
      <c r="BE231" s="103">
        <v>0</v>
      </c>
      <c r="BF231" s="103">
        <v>0</v>
      </c>
      <c r="BG231" s="103">
        <v>0</v>
      </c>
      <c r="BH231" s="103">
        <v>-76110</v>
      </c>
      <c r="BI231" s="103">
        <v>0</v>
      </c>
      <c r="BJ231" s="103">
        <v>0</v>
      </c>
      <c r="BK231" s="103">
        <v>0</v>
      </c>
      <c r="BL231" s="103">
        <v>0</v>
      </c>
      <c r="BM231" s="103">
        <v>0</v>
      </c>
      <c r="BN231" s="103">
        <v>0</v>
      </c>
      <c r="BO231" s="79">
        <f>SUM(ERP_5[[#This Row],[2026 AP01]:[2026 AP12]])</f>
        <v>-76110</v>
      </c>
    </row>
    <row r="232" spans="1:67" ht="15" customHeight="1">
      <c r="A232" s="66" t="s">
        <v>1243</v>
      </c>
      <c r="B232" s="66" t="s">
        <v>96</v>
      </c>
      <c r="C232" s="150" t="s">
        <v>1136</v>
      </c>
      <c r="D232" s="150" t="s">
        <v>1135</v>
      </c>
      <c r="E232" s="150" t="s">
        <v>1135</v>
      </c>
      <c r="F232" s="150" t="s">
        <v>1137</v>
      </c>
      <c r="G232" s="511" t="s">
        <v>49</v>
      </c>
      <c r="H232" s="392" t="s">
        <v>1238</v>
      </c>
      <c r="I232" s="343"/>
      <c r="J232" s="343"/>
      <c r="K232" s="70" t="s">
        <v>97</v>
      </c>
      <c r="L232" s="346"/>
      <c r="M232" s="346" t="s">
        <v>1232</v>
      </c>
      <c r="N232" s="346"/>
      <c r="O232" s="150" t="s">
        <v>25</v>
      </c>
      <c r="P232" s="150" t="s">
        <v>1244</v>
      </c>
      <c r="Q232" s="403"/>
      <c r="R232" s="406">
        <v>0</v>
      </c>
      <c r="S232" s="406">
        <v>-76110</v>
      </c>
      <c r="T232" s="425"/>
      <c r="U232" s="71"/>
      <c r="V232" s="426"/>
      <c r="W232" s="427"/>
      <c r="X232" s="427"/>
      <c r="Y232" s="428" t="s">
        <v>1142</v>
      </c>
      <c r="Z232" s="429">
        <v>-76110</v>
      </c>
      <c r="AA232" s="429">
        <v>0</v>
      </c>
      <c r="AB232" s="360">
        <v>0</v>
      </c>
      <c r="AC232" s="360">
        <v>0</v>
      </c>
      <c r="AD232" s="360">
        <v>0</v>
      </c>
      <c r="AE232" s="360">
        <v>0</v>
      </c>
      <c r="AF232" s="360">
        <v>0</v>
      </c>
      <c r="AG232" s="360">
        <v>0</v>
      </c>
      <c r="AH232" s="360">
        <f t="shared" si="14"/>
        <v>-76110</v>
      </c>
      <c r="AI232" s="362">
        <f>ERP_5[[#This Row],[2026 Working Total]]-ERP_5[[#This Row],[LE2 Final Submission]]</f>
        <v>0</v>
      </c>
      <c r="AJ232" s="79"/>
      <c r="AK232" s="79">
        <f t="shared" si="13"/>
        <v>0</v>
      </c>
      <c r="AL232" s="374">
        <f>SUM(ERP_5[[#This Row],[AP01]:[AP06]])-SUM(ERP_5[[#This Row],[AP01 LE2]:[AP06 LE2]])</f>
        <v>0</v>
      </c>
      <c r="AM232" s="80"/>
      <c r="AN232" s="79">
        <f>ERP_5[[#This Row],[2026 Working Total to Budget/LE]]-ERP_5[[#This Row],[Giveback]]</f>
        <v>0</v>
      </c>
      <c r="AO232" s="81"/>
      <c r="AP232" s="375"/>
      <c r="AQ232" s="375"/>
      <c r="AR232" s="375"/>
      <c r="AS232" s="375"/>
      <c r="AT232" s="375"/>
      <c r="AU232" s="375">
        <v>-76110</v>
      </c>
      <c r="AV232" s="375">
        <v>0</v>
      </c>
      <c r="AW232" s="375">
        <v>0</v>
      </c>
      <c r="AX232" s="375">
        <v>0</v>
      </c>
      <c r="AY232" s="375">
        <v>0</v>
      </c>
      <c r="AZ232" s="375">
        <v>0</v>
      </c>
      <c r="BA232" s="375">
        <v>0</v>
      </c>
      <c r="BB232" s="375">
        <v>-76110</v>
      </c>
      <c r="BC232" s="79"/>
      <c r="BD232" s="79"/>
      <c r="BE232" s="79"/>
      <c r="BF232" s="79"/>
      <c r="BG232" s="79"/>
      <c r="BH232" s="79">
        <v>-76110</v>
      </c>
      <c r="BI232" s="79">
        <v>0</v>
      </c>
      <c r="BJ232" s="79">
        <v>0</v>
      </c>
      <c r="BK232" s="79">
        <v>0</v>
      </c>
      <c r="BL232" s="79">
        <v>0</v>
      </c>
      <c r="BM232" s="79">
        <v>0</v>
      </c>
      <c r="BN232" s="79">
        <v>0</v>
      </c>
      <c r="BO232" s="79">
        <v>-76110</v>
      </c>
    </row>
    <row r="233" spans="1:67" ht="15" customHeight="1">
      <c r="A233" s="66" t="s">
        <v>1245</v>
      </c>
      <c r="B233" s="66" t="s">
        <v>98</v>
      </c>
      <c r="C233" s="150" t="s">
        <v>1136</v>
      </c>
      <c r="D233" s="150" t="s">
        <v>1135</v>
      </c>
      <c r="E233" s="150" t="s">
        <v>1135</v>
      </c>
      <c r="F233" s="150" t="s">
        <v>1137</v>
      </c>
      <c r="G233" s="511" t="s">
        <v>49</v>
      </c>
      <c r="H233" s="392" t="s">
        <v>1242</v>
      </c>
      <c r="I233" s="343"/>
      <c r="J233" s="343"/>
      <c r="K233" s="70" t="s">
        <v>99</v>
      </c>
      <c r="L233" s="346"/>
      <c r="M233" s="346" t="s">
        <v>1232</v>
      </c>
      <c r="N233" s="346"/>
      <c r="O233" s="150" t="s">
        <v>25</v>
      </c>
      <c r="P233" s="150" t="s">
        <v>1244</v>
      </c>
      <c r="Q233" s="403"/>
      <c r="R233" s="406">
        <v>0</v>
      </c>
      <c r="S233" s="406">
        <v>-136110</v>
      </c>
      <c r="T233" s="425"/>
      <c r="U233" s="71"/>
      <c r="V233" s="426"/>
      <c r="W233" s="427"/>
      <c r="X233" s="427">
        <v>-60000</v>
      </c>
      <c r="Y233" s="428">
        <v>0</v>
      </c>
      <c r="Z233" s="429">
        <v>-76110</v>
      </c>
      <c r="AA233" s="429">
        <v>0</v>
      </c>
      <c r="AB233" s="360">
        <v>0</v>
      </c>
      <c r="AC233" s="360">
        <v>0</v>
      </c>
      <c r="AD233" s="360">
        <v>0</v>
      </c>
      <c r="AE233" s="360">
        <v>0</v>
      </c>
      <c r="AF233" s="360">
        <v>0</v>
      </c>
      <c r="AG233" s="360">
        <v>0</v>
      </c>
      <c r="AH233" s="360">
        <f t="shared" si="14"/>
        <v>-136110</v>
      </c>
      <c r="AI233" s="362">
        <f>ERP_5[[#This Row],[2026 Working Total]]-ERP_5[[#This Row],[LE2 Final Submission]]</f>
        <v>0</v>
      </c>
      <c r="AJ233" s="79">
        <v>0</v>
      </c>
      <c r="AK233" s="79">
        <f t="shared" si="13"/>
        <v>0</v>
      </c>
      <c r="AL233" s="374">
        <f>SUM(ERP_5[[#This Row],[AP01]:[AP06]])-SUM(ERP_5[[#This Row],[AP01 LE2]:[AP06 LE2]])</f>
        <v>0</v>
      </c>
      <c r="AM233" s="80"/>
      <c r="AN233" s="79">
        <f>ERP_5[[#This Row],[2026 Working Total to Budget/LE]]-ERP_5[[#This Row],[Giveback]]</f>
        <v>0</v>
      </c>
      <c r="AO233" s="81"/>
      <c r="AP233" s="375"/>
      <c r="AQ233" s="375"/>
      <c r="AR233" s="375">
        <v>-60000</v>
      </c>
      <c r="AS233" s="375">
        <v>0</v>
      </c>
      <c r="AT233" s="375">
        <v>0</v>
      </c>
      <c r="AU233" s="375">
        <v>-76110</v>
      </c>
      <c r="AV233" s="375">
        <v>0</v>
      </c>
      <c r="AW233" s="375">
        <v>0</v>
      </c>
      <c r="AX233" s="375">
        <v>0</v>
      </c>
      <c r="AY233" s="375">
        <v>0</v>
      </c>
      <c r="AZ233" s="375">
        <v>0</v>
      </c>
      <c r="BA233" s="375">
        <v>0</v>
      </c>
      <c r="BB233" s="375">
        <v>-136110</v>
      </c>
      <c r="BC233" s="79"/>
      <c r="BD233" s="79"/>
      <c r="BE233" s="79">
        <v>-60000</v>
      </c>
      <c r="BF233" s="79">
        <v>0</v>
      </c>
      <c r="BG233" s="79">
        <v>0</v>
      </c>
      <c r="BH233" s="79">
        <v>-76110</v>
      </c>
      <c r="BI233" s="79">
        <v>0</v>
      </c>
      <c r="BJ233" s="79">
        <v>0</v>
      </c>
      <c r="BK233" s="79">
        <v>0</v>
      </c>
      <c r="BL233" s="79">
        <v>0</v>
      </c>
      <c r="BM233" s="79">
        <v>0</v>
      </c>
      <c r="BN233" s="79">
        <v>0</v>
      </c>
      <c r="BO233" s="79">
        <v>-136110</v>
      </c>
    </row>
    <row r="234" spans="1:67" ht="15" customHeight="1">
      <c r="A234" s="66" t="s">
        <v>1246</v>
      </c>
      <c r="B234" s="66" t="s">
        <v>100</v>
      </c>
      <c r="C234" s="150" t="s">
        <v>1136</v>
      </c>
      <c r="D234" s="150" t="s">
        <v>1135</v>
      </c>
      <c r="E234" s="150" t="s">
        <v>1135</v>
      </c>
      <c r="F234" s="150" t="s">
        <v>1137</v>
      </c>
      <c r="G234" s="511" t="s">
        <v>49</v>
      </c>
      <c r="H234" s="392" t="s">
        <v>1240</v>
      </c>
      <c r="I234" s="343"/>
      <c r="J234" s="343"/>
      <c r="K234" s="70" t="s">
        <v>101</v>
      </c>
      <c r="L234" s="346"/>
      <c r="M234" s="346" t="s">
        <v>1232</v>
      </c>
      <c r="N234" s="346"/>
      <c r="O234" s="150" t="s">
        <v>25</v>
      </c>
      <c r="P234" s="150" t="s">
        <v>1244</v>
      </c>
      <c r="Q234" s="403"/>
      <c r="R234" s="406">
        <v>0</v>
      </c>
      <c r="S234" s="406">
        <v>-91332</v>
      </c>
      <c r="T234" s="430"/>
      <c r="U234" s="137"/>
      <c r="V234" s="426"/>
      <c r="W234" s="427"/>
      <c r="X234" s="427"/>
      <c r="Y234" s="428" t="s">
        <v>1142</v>
      </c>
      <c r="Z234" s="429">
        <v>-91332</v>
      </c>
      <c r="AA234" s="429">
        <v>0</v>
      </c>
      <c r="AB234" s="360">
        <v>0</v>
      </c>
      <c r="AC234" s="360">
        <v>0</v>
      </c>
      <c r="AD234" s="360">
        <v>0</v>
      </c>
      <c r="AE234" s="360">
        <v>0</v>
      </c>
      <c r="AF234" s="360">
        <v>0</v>
      </c>
      <c r="AG234" s="360">
        <v>0</v>
      </c>
      <c r="AH234" s="360">
        <f t="shared" si="14"/>
        <v>-91332</v>
      </c>
      <c r="AI234" s="362">
        <f>ERP_5[[#This Row],[2026 Working Total]]-ERP_5[[#This Row],[LE2 Final Submission]]</f>
        <v>0</v>
      </c>
      <c r="AJ234" s="79"/>
      <c r="AK234" s="79">
        <f t="shared" si="13"/>
        <v>0</v>
      </c>
      <c r="AL234" s="374">
        <f>SUM(ERP_5[[#This Row],[AP01]:[AP06]])-SUM(ERP_5[[#This Row],[AP01 LE2]:[AP06 LE2]])</f>
        <v>0</v>
      </c>
      <c r="AM234" s="80"/>
      <c r="AN234" s="79">
        <f>ERP_5[[#This Row],[2026 Working Total to Budget/LE]]-ERP_5[[#This Row],[Giveback]]</f>
        <v>0</v>
      </c>
      <c r="AO234" s="81"/>
      <c r="AP234" s="375"/>
      <c r="AQ234" s="375"/>
      <c r="AR234" s="375"/>
      <c r="AS234" s="375"/>
      <c r="AT234" s="375"/>
      <c r="AU234" s="375">
        <v>-91332</v>
      </c>
      <c r="AV234" s="375">
        <v>0</v>
      </c>
      <c r="AW234" s="375">
        <v>0</v>
      </c>
      <c r="AX234" s="375">
        <v>0</v>
      </c>
      <c r="AY234" s="375">
        <v>0</v>
      </c>
      <c r="AZ234" s="375">
        <v>0</v>
      </c>
      <c r="BA234" s="375">
        <v>0</v>
      </c>
      <c r="BB234" s="375">
        <v>-91332</v>
      </c>
      <c r="BC234" s="79"/>
      <c r="BD234" s="79"/>
      <c r="BE234" s="79"/>
      <c r="BF234" s="79"/>
      <c r="BG234" s="79"/>
      <c r="BH234" s="79">
        <v>-91332</v>
      </c>
      <c r="BI234" s="79">
        <v>0</v>
      </c>
      <c r="BJ234" s="79">
        <v>0</v>
      </c>
      <c r="BK234" s="79">
        <v>0</v>
      </c>
      <c r="BL234" s="79">
        <v>0</v>
      </c>
      <c r="BM234" s="79">
        <v>0</v>
      </c>
      <c r="BN234" s="79">
        <v>0</v>
      </c>
      <c r="BO234" s="79">
        <v>-91332</v>
      </c>
    </row>
    <row r="235" spans="1:67" ht="15" customHeight="1">
      <c r="A235" s="66" t="s">
        <v>1247</v>
      </c>
      <c r="B235" s="66" t="s">
        <v>102</v>
      </c>
      <c r="C235" s="150" t="s">
        <v>1136</v>
      </c>
      <c r="D235" s="150" t="s">
        <v>1135</v>
      </c>
      <c r="E235" s="150" t="s">
        <v>1135</v>
      </c>
      <c r="F235" s="150" t="s">
        <v>1137</v>
      </c>
      <c r="G235" s="511" t="s">
        <v>49</v>
      </c>
      <c r="H235" s="392" t="s">
        <v>1236</v>
      </c>
      <c r="I235" s="343"/>
      <c r="J235" s="343"/>
      <c r="K235" s="70" t="s">
        <v>103</v>
      </c>
      <c r="L235" s="346"/>
      <c r="M235" s="346" t="s">
        <v>1232</v>
      </c>
      <c r="N235" s="346"/>
      <c r="O235" s="150" t="s">
        <v>25</v>
      </c>
      <c r="P235" s="150" t="s">
        <v>1244</v>
      </c>
      <c r="Q235" s="403"/>
      <c r="R235" s="406">
        <v>0</v>
      </c>
      <c r="S235" s="406">
        <v>-213108</v>
      </c>
      <c r="T235" s="425"/>
      <c r="U235" s="71"/>
      <c r="V235" s="426"/>
      <c r="W235" s="427"/>
      <c r="X235" s="427"/>
      <c r="Y235" s="428" t="s">
        <v>1142</v>
      </c>
      <c r="Z235" s="429">
        <v>-213108</v>
      </c>
      <c r="AA235" s="429">
        <v>0</v>
      </c>
      <c r="AB235" s="360">
        <v>0</v>
      </c>
      <c r="AC235" s="360">
        <v>0</v>
      </c>
      <c r="AD235" s="360">
        <v>0</v>
      </c>
      <c r="AE235" s="360">
        <v>0</v>
      </c>
      <c r="AF235" s="360">
        <v>0</v>
      </c>
      <c r="AG235" s="360">
        <v>0</v>
      </c>
      <c r="AH235" s="360">
        <f t="shared" si="14"/>
        <v>-213108</v>
      </c>
      <c r="AI235" s="362">
        <f>ERP_5[[#This Row],[2026 Working Total]]-ERP_5[[#This Row],[LE2 Final Submission]]</f>
        <v>0</v>
      </c>
      <c r="AJ235" s="79"/>
      <c r="AK235" s="79">
        <f t="shared" si="13"/>
        <v>0</v>
      </c>
      <c r="AL235" s="374">
        <f>SUM(ERP_5[[#This Row],[AP01]:[AP06]])-SUM(ERP_5[[#This Row],[AP01 LE2]:[AP06 LE2]])</f>
        <v>0</v>
      </c>
      <c r="AM235" s="80"/>
      <c r="AN235" s="79">
        <f>ERP_5[[#This Row],[2026 Working Total to Budget/LE]]-ERP_5[[#This Row],[Giveback]]</f>
        <v>0</v>
      </c>
      <c r="AO235" s="81"/>
      <c r="AP235" s="375"/>
      <c r="AQ235" s="375"/>
      <c r="AR235" s="375"/>
      <c r="AS235" s="375"/>
      <c r="AT235" s="375"/>
      <c r="AU235" s="375">
        <v>-213108</v>
      </c>
      <c r="AV235" s="375">
        <v>0</v>
      </c>
      <c r="AW235" s="375">
        <v>0</v>
      </c>
      <c r="AX235" s="375">
        <v>0</v>
      </c>
      <c r="AY235" s="375">
        <v>0</v>
      </c>
      <c r="AZ235" s="375">
        <v>0</v>
      </c>
      <c r="BA235" s="375">
        <v>0</v>
      </c>
      <c r="BB235" s="375">
        <v>-213108</v>
      </c>
      <c r="BC235" s="79"/>
      <c r="BD235" s="79"/>
      <c r="BE235" s="79"/>
      <c r="BF235" s="79"/>
      <c r="BG235" s="79"/>
      <c r="BH235" s="79">
        <v>-213108</v>
      </c>
      <c r="BI235" s="79">
        <v>0</v>
      </c>
      <c r="BJ235" s="79">
        <v>0</v>
      </c>
      <c r="BK235" s="79">
        <v>0</v>
      </c>
      <c r="BL235" s="79">
        <v>0</v>
      </c>
      <c r="BM235" s="79">
        <v>0</v>
      </c>
      <c r="BN235" s="79">
        <v>0</v>
      </c>
      <c r="BO235" s="79">
        <v>-213108</v>
      </c>
    </row>
    <row r="236" spans="1:67" ht="15" customHeight="1">
      <c r="A236" s="79" t="s">
        <v>1248</v>
      </c>
      <c r="B236" s="296" t="s">
        <v>1249</v>
      </c>
      <c r="C236" s="150" t="s">
        <v>1136</v>
      </c>
      <c r="D236" s="332" t="s">
        <v>1135</v>
      </c>
      <c r="E236" s="383" t="s">
        <v>1156</v>
      </c>
      <c r="F236" s="333" t="s">
        <v>1137</v>
      </c>
      <c r="G236" s="512" t="s">
        <v>49</v>
      </c>
      <c r="H236" s="393" t="s">
        <v>1250</v>
      </c>
      <c r="I236" s="343" t="s">
        <v>1251</v>
      </c>
      <c r="J236" s="332" t="s">
        <v>1252</v>
      </c>
      <c r="K236" s="91" t="s">
        <v>105</v>
      </c>
      <c r="L236" s="347"/>
      <c r="M236" s="346" t="s">
        <v>1253</v>
      </c>
      <c r="N236" s="348"/>
      <c r="O236" s="386" t="s">
        <v>25</v>
      </c>
      <c r="P236" s="387" t="s">
        <v>1254</v>
      </c>
      <c r="Q236" s="432"/>
      <c r="R236" s="358">
        <v>1</v>
      </c>
      <c r="S236" s="378">
        <v>0</v>
      </c>
      <c r="T236" s="425"/>
      <c r="U236" s="71"/>
      <c r="V236" s="433"/>
      <c r="W236" s="434"/>
      <c r="X236" s="434"/>
      <c r="Y236" s="428" t="s">
        <v>1142</v>
      </c>
      <c r="Z236" s="429">
        <v>0</v>
      </c>
      <c r="AA236" s="429">
        <v>0</v>
      </c>
      <c r="AB236" s="388">
        <v>0</v>
      </c>
      <c r="AC236" s="388">
        <v>0</v>
      </c>
      <c r="AD236" s="388">
        <v>0</v>
      </c>
      <c r="AE236" s="388">
        <v>0</v>
      </c>
      <c r="AF236" s="388">
        <v>0</v>
      </c>
      <c r="AG236" s="388">
        <v>0</v>
      </c>
      <c r="AH236" s="360">
        <f t="shared" si="14"/>
        <v>0</v>
      </c>
      <c r="AI236" s="362">
        <f>ERP_5[[#This Row],[2026 Working Total]]-ERP_5[[#This Row],[LE2 Final Submission]]</f>
        <v>0</v>
      </c>
      <c r="AJ236" s="79">
        <v>0</v>
      </c>
      <c r="AK236" s="79">
        <f t="shared" si="13"/>
        <v>0</v>
      </c>
      <c r="AL236" s="374">
        <f>SUM(ERP_5[[#This Row],[AP01]:[AP06]])-SUM(ERP_5[[#This Row],[AP01 LE2]:[AP06 LE2]])</f>
        <v>0</v>
      </c>
      <c r="AM236" s="80"/>
      <c r="AN236" s="79">
        <f>ERP_5[[#This Row],[2026 Working Total to Budget/LE]]-ERP_5[[#This Row],[Giveback]]</f>
        <v>0</v>
      </c>
      <c r="AO236" s="81"/>
      <c r="AP236" s="375"/>
      <c r="AQ236" s="375"/>
      <c r="AR236" s="375"/>
      <c r="AS236" s="375">
        <v>0</v>
      </c>
      <c r="AT236" s="375">
        <v>0</v>
      </c>
      <c r="AU236" s="375">
        <v>0</v>
      </c>
      <c r="AV236" s="375">
        <v>0</v>
      </c>
      <c r="AW236" s="375">
        <v>0</v>
      </c>
      <c r="AX236" s="375">
        <v>0</v>
      </c>
      <c r="AY236" s="375">
        <v>0</v>
      </c>
      <c r="AZ236" s="375">
        <v>0</v>
      </c>
      <c r="BA236" s="375">
        <v>0</v>
      </c>
      <c r="BB236" s="375">
        <v>0</v>
      </c>
      <c r="BC236" s="103">
        <v>0</v>
      </c>
      <c r="BD236" s="103">
        <v>0</v>
      </c>
      <c r="BE236" s="103">
        <v>0</v>
      </c>
      <c r="BF236" s="103">
        <v>0</v>
      </c>
      <c r="BG236" s="103">
        <v>0</v>
      </c>
      <c r="BH236" s="103">
        <v>0</v>
      </c>
      <c r="BI236" s="103">
        <v>0</v>
      </c>
      <c r="BJ236" s="103">
        <v>0</v>
      </c>
      <c r="BK236" s="103">
        <v>0</v>
      </c>
      <c r="BL236" s="103">
        <v>0</v>
      </c>
      <c r="BM236" s="103">
        <v>0</v>
      </c>
      <c r="BN236" s="103">
        <v>1</v>
      </c>
      <c r="BO236" s="79">
        <f>SUM(ERP_5[[#This Row],[2026 AP01]:[2026 AP12]])</f>
        <v>1</v>
      </c>
    </row>
    <row r="237" spans="1:67" ht="15" customHeight="1">
      <c r="A237" s="66" t="s">
        <v>1255</v>
      </c>
      <c r="B237" s="66" t="s">
        <v>106</v>
      </c>
      <c r="C237" s="150" t="s">
        <v>1136</v>
      </c>
      <c r="D237" s="150" t="s">
        <v>1135</v>
      </c>
      <c r="E237" s="150" t="s">
        <v>1135</v>
      </c>
      <c r="F237" s="150" t="s">
        <v>1137</v>
      </c>
      <c r="G237" s="511" t="s">
        <v>49</v>
      </c>
      <c r="H237" s="392" t="s">
        <v>1256</v>
      </c>
      <c r="I237" s="343" t="s">
        <v>1206</v>
      </c>
      <c r="J237" s="346" t="s">
        <v>1171</v>
      </c>
      <c r="K237" s="70" t="s">
        <v>107</v>
      </c>
      <c r="L237" s="346"/>
      <c r="M237" s="346" t="s">
        <v>1257</v>
      </c>
      <c r="N237" s="346"/>
      <c r="O237" s="150" t="s">
        <v>25</v>
      </c>
      <c r="P237" s="150"/>
      <c r="Q237" s="403"/>
      <c r="R237" s="406">
        <v>178000</v>
      </c>
      <c r="S237" s="406">
        <v>136206.91999999998</v>
      </c>
      <c r="T237" s="425"/>
      <c r="U237" s="71"/>
      <c r="V237" s="426"/>
      <c r="W237" s="427">
        <v>53852.77</v>
      </c>
      <c r="X237" s="427">
        <v>35563.15</v>
      </c>
      <c r="Y237" s="428">
        <v>1016.0800000000017</v>
      </c>
      <c r="Z237" s="429">
        <v>-9701</v>
      </c>
      <c r="AA237" s="429">
        <v>0</v>
      </c>
      <c r="AB237" s="360">
        <v>0</v>
      </c>
      <c r="AC237" s="360">
        <v>0</v>
      </c>
      <c r="AD237" s="360">
        <v>0</v>
      </c>
      <c r="AE237" s="360">
        <v>0</v>
      </c>
      <c r="AF237" s="360">
        <v>0</v>
      </c>
      <c r="AG237" s="360">
        <v>0</v>
      </c>
      <c r="AH237" s="360">
        <f t="shared" si="14"/>
        <v>80731</v>
      </c>
      <c r="AI237" s="362">
        <f>ERP_5[[#This Row],[2026 Working Total]]-ERP_5[[#This Row],[LE2 Final Submission]]</f>
        <v>-55475.919999999984</v>
      </c>
      <c r="AJ237" s="79">
        <v>27738</v>
      </c>
      <c r="AK237" s="79">
        <f t="shared" si="13"/>
        <v>-27738</v>
      </c>
      <c r="AL237" s="374">
        <f>SUM(ERP_5[[#This Row],[AP01]:[AP06]])-SUM(ERP_5[[#This Row],[AP01 LE2]:[AP06 LE2]])</f>
        <v>-55475.919999999984</v>
      </c>
      <c r="AM237" s="80"/>
      <c r="AN237" s="79">
        <f>ERP_5[[#This Row],[2026 Working Total to Budget/LE]]-ERP_5[[#This Row],[Giveback]]</f>
        <v>-55475.919999999984</v>
      </c>
      <c r="AO237" s="81"/>
      <c r="AP237" s="375"/>
      <c r="AQ237" s="375">
        <v>53852.77</v>
      </c>
      <c r="AR237" s="375">
        <v>35563.15</v>
      </c>
      <c r="AS237" s="375">
        <v>19053</v>
      </c>
      <c r="AT237" s="375">
        <v>27738</v>
      </c>
      <c r="AU237" s="375"/>
      <c r="AV237" s="375">
        <v>0</v>
      </c>
      <c r="AW237" s="375">
        <v>0</v>
      </c>
      <c r="AX237" s="375">
        <v>0</v>
      </c>
      <c r="AY237" s="375">
        <v>0</v>
      </c>
      <c r="AZ237" s="375">
        <v>0</v>
      </c>
      <c r="BA237" s="375">
        <v>0</v>
      </c>
      <c r="BB237" s="375">
        <v>136206.91999999998</v>
      </c>
      <c r="BC237" s="79"/>
      <c r="BD237" s="79">
        <v>53852.77</v>
      </c>
      <c r="BE237" s="79">
        <v>35563.15</v>
      </c>
      <c r="BF237" s="79">
        <v>29666.67</v>
      </c>
      <c r="BG237" s="79">
        <v>29666.67</v>
      </c>
      <c r="BH237" s="79">
        <v>29666.67</v>
      </c>
      <c r="BI237" s="79">
        <v>0</v>
      </c>
      <c r="BJ237" s="79">
        <v>0</v>
      </c>
      <c r="BK237" s="79">
        <v>0</v>
      </c>
      <c r="BL237" s="79">
        <v>0</v>
      </c>
      <c r="BM237" s="79">
        <v>0</v>
      </c>
      <c r="BN237" s="79">
        <v>0</v>
      </c>
      <c r="BO237" s="79">
        <v>178415.93</v>
      </c>
    </row>
    <row r="238" spans="1:67" ht="15" customHeight="1">
      <c r="A238" s="66" t="s">
        <v>1378</v>
      </c>
      <c r="B238" s="66" t="s">
        <v>172</v>
      </c>
      <c r="C238" s="150" t="s">
        <v>1136</v>
      </c>
      <c r="D238" s="150" t="s">
        <v>1345</v>
      </c>
      <c r="E238" s="150" t="s">
        <v>1344</v>
      </c>
      <c r="F238" s="150" t="s">
        <v>1346</v>
      </c>
      <c r="G238" s="511" t="s">
        <v>49</v>
      </c>
      <c r="H238" s="392" t="s">
        <v>1379</v>
      </c>
      <c r="I238" s="343"/>
      <c r="J238" s="346" t="s">
        <v>1363</v>
      </c>
      <c r="K238" s="70" t="s">
        <v>173</v>
      </c>
      <c r="L238" s="346"/>
      <c r="M238" s="346" t="s">
        <v>1380</v>
      </c>
      <c r="N238" s="346"/>
      <c r="O238" s="150" t="s">
        <v>25</v>
      </c>
      <c r="P238" s="150"/>
      <c r="Q238" s="403"/>
      <c r="R238" s="406">
        <v>515000</v>
      </c>
      <c r="S238" s="406">
        <v>335362.38</v>
      </c>
      <c r="T238" s="430"/>
      <c r="U238" s="137"/>
      <c r="V238" s="426"/>
      <c r="W238" s="427">
        <v>66916.990000000005</v>
      </c>
      <c r="X238" s="427">
        <v>75010.39</v>
      </c>
      <c r="Y238" s="428">
        <v>45158.709999999992</v>
      </c>
      <c r="Z238" s="429">
        <v>45158.710000000006</v>
      </c>
      <c r="AA238" s="429">
        <v>56448.39</v>
      </c>
      <c r="AB238" s="363">
        <v>25000</v>
      </c>
      <c r="AC238" s="363">
        <v>22236</v>
      </c>
      <c r="AD238" s="363">
        <v>0</v>
      </c>
      <c r="AE238" s="363">
        <v>0</v>
      </c>
      <c r="AF238" s="363">
        <v>0</v>
      </c>
      <c r="AG238" s="363">
        <v>0</v>
      </c>
      <c r="AH238" s="360">
        <f t="shared" si="14"/>
        <v>335929.19</v>
      </c>
      <c r="AI238" s="362">
        <f>ERP_5[[#This Row],[2026 Working Total]]-ERP_5[[#This Row],[LE2 Final Submission]]</f>
        <v>566.80999999999767</v>
      </c>
      <c r="AJ238" s="79">
        <v>40792</v>
      </c>
      <c r="AK238" s="79">
        <f t="shared" si="13"/>
        <v>15656.39</v>
      </c>
      <c r="AL238" s="374">
        <f>SUM(ERP_5[[#This Row],[AP01]:[AP06]])-SUM(ERP_5[[#This Row],[AP01 LE2]:[AP06 LE2]])</f>
        <v>22330.809999999998</v>
      </c>
      <c r="AM238" s="80">
        <v>180000</v>
      </c>
      <c r="AN238" s="79">
        <f>ERP_5[[#This Row],[2026 Working Total to Budget/LE]]-ERP_5[[#This Row],[Giveback]]</f>
        <v>-179433.19</v>
      </c>
      <c r="AO238" s="81" t="s">
        <v>1381</v>
      </c>
      <c r="AP238" s="375"/>
      <c r="AQ238" s="375">
        <v>66916.990000000005</v>
      </c>
      <c r="AR238" s="375">
        <v>75010.39</v>
      </c>
      <c r="AS238" s="375">
        <v>40062</v>
      </c>
      <c r="AT238" s="375">
        <v>40792</v>
      </c>
      <c r="AU238" s="375">
        <v>43581</v>
      </c>
      <c r="AV238" s="375">
        <v>35000</v>
      </c>
      <c r="AW238" s="375">
        <v>34000</v>
      </c>
      <c r="AX238" s="375">
        <v>0</v>
      </c>
      <c r="AY238" s="375">
        <v>0</v>
      </c>
      <c r="AZ238" s="375">
        <v>0</v>
      </c>
      <c r="BA238" s="375">
        <v>0</v>
      </c>
      <c r="BB238" s="375">
        <v>335362.38</v>
      </c>
      <c r="BC238" s="79"/>
      <c r="BD238" s="79">
        <v>66916.990000000005</v>
      </c>
      <c r="BE238" s="79">
        <v>75010.39</v>
      </c>
      <c r="BF238" s="79">
        <v>48286</v>
      </c>
      <c r="BG238" s="79">
        <v>48386</v>
      </c>
      <c r="BH238" s="79">
        <v>48286</v>
      </c>
      <c r="BI238" s="79">
        <v>38449</v>
      </c>
      <c r="BJ238" s="79">
        <v>38449</v>
      </c>
      <c r="BK238" s="79">
        <v>44462</v>
      </c>
      <c r="BL238" s="79">
        <v>44462</v>
      </c>
      <c r="BM238" s="79">
        <v>44462</v>
      </c>
      <c r="BN238" s="79">
        <v>44462</v>
      </c>
      <c r="BO238" s="79">
        <v>541631.38</v>
      </c>
    </row>
    <row r="239" spans="1:67" ht="15" customHeight="1">
      <c r="A239" s="66" t="s">
        <v>1258</v>
      </c>
      <c r="B239" s="66" t="s">
        <v>108</v>
      </c>
      <c r="C239" s="150" t="s">
        <v>1136</v>
      </c>
      <c r="D239" s="150" t="s">
        <v>1135</v>
      </c>
      <c r="E239" s="150" t="s">
        <v>1135</v>
      </c>
      <c r="F239" s="150" t="s">
        <v>1137</v>
      </c>
      <c r="G239" s="511" t="s">
        <v>49</v>
      </c>
      <c r="H239" s="392" t="s">
        <v>1259</v>
      </c>
      <c r="I239" s="343" t="s">
        <v>1206</v>
      </c>
      <c r="J239" s="346" t="s">
        <v>1171</v>
      </c>
      <c r="K239" s="70" t="s">
        <v>109</v>
      </c>
      <c r="L239" s="346"/>
      <c r="M239" s="346" t="s">
        <v>1260</v>
      </c>
      <c r="N239" s="346"/>
      <c r="O239" s="150" t="s">
        <v>25</v>
      </c>
      <c r="P239" s="150"/>
      <c r="Q239" s="403"/>
      <c r="R239" s="406">
        <v>222000</v>
      </c>
      <c r="S239" s="406">
        <v>134302.39999999999</v>
      </c>
      <c r="T239" s="430"/>
      <c r="U239" s="137"/>
      <c r="V239" s="426"/>
      <c r="W239" s="427">
        <v>72114.23</v>
      </c>
      <c r="X239" s="427">
        <v>40652.339999999997</v>
      </c>
      <c r="Y239" s="428">
        <v>64472.479999999989</v>
      </c>
      <c r="Z239" s="429">
        <v>-4813.7299999999959</v>
      </c>
      <c r="AA239" s="429">
        <v>-14788.650000000001</v>
      </c>
      <c r="AB239" s="533">
        <v>0</v>
      </c>
      <c r="AC239" s="533">
        <v>0</v>
      </c>
      <c r="AD239" s="533">
        <v>0</v>
      </c>
      <c r="AE239" s="533">
        <v>0</v>
      </c>
      <c r="AF239" s="533">
        <v>0</v>
      </c>
      <c r="AG239" s="533">
        <v>0</v>
      </c>
      <c r="AH239" s="360">
        <f t="shared" si="14"/>
        <v>157636.67000000001</v>
      </c>
      <c r="AI239" s="362">
        <f>ERP_5[[#This Row],[2026 Working Total]]-ERP_5[[#This Row],[LE2 Final Submission]]</f>
        <v>23334.270000000019</v>
      </c>
      <c r="AJ239" s="79">
        <v>33359.4</v>
      </c>
      <c r="AK239" s="79">
        <f t="shared" si="13"/>
        <v>-48148.05</v>
      </c>
      <c r="AL239" s="374">
        <f>SUM(ERP_5[[#This Row],[AP01]:[AP06]])-SUM(ERP_5[[#This Row],[AP01 LE2]:[AP06 LE2]])</f>
        <v>23334.270000000019</v>
      </c>
      <c r="AM239" s="80"/>
      <c r="AN239" s="79">
        <f>ERP_5[[#This Row],[2026 Working Total to Budget/LE]]-ERP_5[[#This Row],[Giveback]]</f>
        <v>23334.270000000019</v>
      </c>
      <c r="AO239" s="81"/>
      <c r="AP239" s="375"/>
      <c r="AQ239" s="375">
        <v>72114.23</v>
      </c>
      <c r="AR239" s="375">
        <v>40652.339999999997</v>
      </c>
      <c r="AS239" s="375">
        <v>-11823.57</v>
      </c>
      <c r="AT239" s="375">
        <v>33359.4</v>
      </c>
      <c r="AU239" s="375"/>
      <c r="AV239" s="375">
        <v>0</v>
      </c>
      <c r="AW239" s="375">
        <v>0</v>
      </c>
      <c r="AX239" s="375">
        <v>0</v>
      </c>
      <c r="AY239" s="375">
        <v>0</v>
      </c>
      <c r="AZ239" s="375">
        <v>0</v>
      </c>
      <c r="BA239" s="375">
        <v>0</v>
      </c>
      <c r="BB239" s="375">
        <v>134302.39999999999</v>
      </c>
      <c r="BC239" s="79"/>
      <c r="BD239" s="79">
        <v>72114.23</v>
      </c>
      <c r="BE239" s="79">
        <v>40652.339999999997</v>
      </c>
      <c r="BF239" s="79">
        <v>37000</v>
      </c>
      <c r="BG239" s="79">
        <v>37000</v>
      </c>
      <c r="BH239" s="79">
        <v>37000</v>
      </c>
      <c r="BI239" s="79">
        <v>0</v>
      </c>
      <c r="BJ239" s="79">
        <v>0</v>
      </c>
      <c r="BK239" s="79">
        <v>0</v>
      </c>
      <c r="BL239" s="79">
        <v>0</v>
      </c>
      <c r="BM239" s="79">
        <v>0</v>
      </c>
      <c r="BN239" s="79">
        <v>0</v>
      </c>
      <c r="BO239" s="79">
        <v>223766.57</v>
      </c>
    </row>
    <row r="240" spans="1:67" s="15" customFormat="1" ht="15" customHeight="1">
      <c r="A240" s="66" t="s">
        <v>1484</v>
      </c>
      <c r="B240" s="66" t="s">
        <v>1485</v>
      </c>
      <c r="C240" s="150" t="s">
        <v>1136</v>
      </c>
      <c r="D240" s="150" t="s">
        <v>1345</v>
      </c>
      <c r="E240" s="150" t="s">
        <v>1481</v>
      </c>
      <c r="F240" s="150" t="s">
        <v>1346</v>
      </c>
      <c r="G240" s="511" t="s">
        <v>49</v>
      </c>
      <c r="H240" s="392" t="s">
        <v>1486</v>
      </c>
      <c r="I240" s="343"/>
      <c r="J240" s="346" t="s">
        <v>1487</v>
      </c>
      <c r="K240" s="70" t="s">
        <v>230</v>
      </c>
      <c r="L240" s="346"/>
      <c r="M240" s="346" t="s">
        <v>1488</v>
      </c>
      <c r="N240" s="346"/>
      <c r="O240" s="150" t="s">
        <v>25</v>
      </c>
      <c r="P240" s="184" t="s">
        <v>1489</v>
      </c>
      <c r="Q240" s="403"/>
      <c r="R240" s="406">
        <v>0</v>
      </c>
      <c r="S240" s="406">
        <v>120000</v>
      </c>
      <c r="T240" s="425"/>
      <c r="U240" s="71"/>
      <c r="V240" s="426">
        <v>0</v>
      </c>
      <c r="W240" s="427">
        <v>0</v>
      </c>
      <c r="X240" s="427">
        <v>0</v>
      </c>
      <c r="Y240" s="428">
        <v>39011.32</v>
      </c>
      <c r="Z240" s="429">
        <v>42012.189999999995</v>
      </c>
      <c r="AA240" s="429">
        <v>52515.23</v>
      </c>
      <c r="AB240" s="363">
        <v>13080</v>
      </c>
      <c r="AC240" s="363"/>
      <c r="AD240" s="363"/>
      <c r="AE240" s="363"/>
      <c r="AF240" s="363"/>
      <c r="AG240" s="363"/>
      <c r="AH240" s="360">
        <f t="shared" si="14"/>
        <v>146618.74</v>
      </c>
      <c r="AI240" s="362">
        <f>ERP_5[[#This Row],[2026 Working Total]]-ERP_5[[#This Row],[LE2 Final Submission]]</f>
        <v>26618.739999999991</v>
      </c>
      <c r="AJ240" s="79">
        <v>35640</v>
      </c>
      <c r="AK240" s="79">
        <f t="shared" si="13"/>
        <v>16875.230000000003</v>
      </c>
      <c r="AL240" s="374">
        <f>SUM(ERP_5[[#This Row],[AP01]:[AP06]])-SUM(ERP_5[[#This Row],[AP01 LE2]:[AP06 LE2]])</f>
        <v>26618.739999999991</v>
      </c>
      <c r="AM240" s="80"/>
      <c r="AN240" s="79">
        <f>ERP_5[[#This Row],[2026 Working Total to Budget/LE]]-ERP_5[[#This Row],[Giveback]]</f>
        <v>26618.739999999991</v>
      </c>
      <c r="AO240" s="81" t="s">
        <v>1490</v>
      </c>
      <c r="AP240" s="375">
        <v>0</v>
      </c>
      <c r="AQ240" s="375">
        <v>0</v>
      </c>
      <c r="AR240" s="375">
        <v>0</v>
      </c>
      <c r="AS240" s="375">
        <v>35640</v>
      </c>
      <c r="AT240" s="375">
        <v>35640</v>
      </c>
      <c r="AU240" s="375">
        <v>35640</v>
      </c>
      <c r="AV240" s="375">
        <v>13080</v>
      </c>
      <c r="AW240" s="375"/>
      <c r="AX240" s="375"/>
      <c r="AY240" s="375"/>
      <c r="AZ240" s="375"/>
      <c r="BA240" s="375"/>
      <c r="BB240" s="375">
        <v>120000</v>
      </c>
      <c r="BC240" s="79"/>
      <c r="BD240" s="79"/>
      <c r="BE240" s="79"/>
      <c r="BF240" s="79"/>
      <c r="BG240" s="79"/>
      <c r="BH240" s="79"/>
      <c r="BI240" s="79">
        <v>20000</v>
      </c>
      <c r="BJ240" s="79">
        <v>20000</v>
      </c>
      <c r="BK240" s="79">
        <v>20000</v>
      </c>
      <c r="BL240" s="79">
        <v>20000</v>
      </c>
      <c r="BM240" s="79">
        <v>20000</v>
      </c>
      <c r="BN240" s="79">
        <v>20000</v>
      </c>
      <c r="BO240" s="79">
        <v>120000</v>
      </c>
    </row>
    <row r="241" spans="1:67" ht="15" customHeight="1">
      <c r="A241" s="66" t="s">
        <v>1382</v>
      </c>
      <c r="B241" s="66" t="s">
        <v>174</v>
      </c>
      <c r="C241" s="150" t="s">
        <v>1136</v>
      </c>
      <c r="D241" s="150" t="s">
        <v>1345</v>
      </c>
      <c r="E241" s="150" t="s">
        <v>1344</v>
      </c>
      <c r="F241" s="150" t="s">
        <v>1346</v>
      </c>
      <c r="G241" s="511" t="s">
        <v>49</v>
      </c>
      <c r="H241" s="392" t="s">
        <v>1383</v>
      </c>
      <c r="I241" s="343"/>
      <c r="J241" s="343"/>
      <c r="K241" s="70" t="s">
        <v>175</v>
      </c>
      <c r="L241" s="346"/>
      <c r="M241" s="343"/>
      <c r="N241" s="346"/>
      <c r="O241" s="150" t="s">
        <v>25</v>
      </c>
      <c r="P241" s="150"/>
      <c r="Q241" s="403"/>
      <c r="R241" s="406">
        <v>0</v>
      </c>
      <c r="S241" s="406">
        <v>0</v>
      </c>
      <c r="T241" s="425"/>
      <c r="U241" s="71"/>
      <c r="V241" s="426"/>
      <c r="W241" s="427"/>
      <c r="X241" s="427"/>
      <c r="Y241" s="428" t="s">
        <v>1142</v>
      </c>
      <c r="Z241" s="429">
        <v>0</v>
      </c>
      <c r="AA241" s="429">
        <v>0</v>
      </c>
      <c r="AB241" s="363">
        <v>0</v>
      </c>
      <c r="AC241" s="363">
        <v>0</v>
      </c>
      <c r="AD241" s="363">
        <v>0</v>
      </c>
      <c r="AE241" s="363">
        <v>0</v>
      </c>
      <c r="AF241" s="363">
        <v>0</v>
      </c>
      <c r="AG241" s="363">
        <v>0</v>
      </c>
      <c r="AH241" s="360">
        <f t="shared" si="14"/>
        <v>0</v>
      </c>
      <c r="AI241" s="362">
        <f>ERP_5[[#This Row],[2026 Working Total]]-ERP_5[[#This Row],[LE2 Final Submission]]</f>
        <v>0</v>
      </c>
      <c r="AJ241" s="79"/>
      <c r="AK241" s="79">
        <f t="shared" si="13"/>
        <v>0</v>
      </c>
      <c r="AL241" s="374">
        <f>SUM(ERP_5[[#This Row],[AP01]:[AP06]])-SUM(ERP_5[[#This Row],[AP01 LE2]:[AP06 LE2]])</f>
        <v>0</v>
      </c>
      <c r="AM241" s="80">
        <v>280000</v>
      </c>
      <c r="AN241" s="79">
        <f>ERP_5[[#This Row],[2026 Working Total to Budget/LE]]-ERP_5[[#This Row],[Giveback]]</f>
        <v>-280000</v>
      </c>
      <c r="AO241" s="81" t="s">
        <v>1384</v>
      </c>
      <c r="AP241" s="375"/>
      <c r="AQ241" s="375"/>
      <c r="AR241" s="375"/>
      <c r="AS241" s="375"/>
      <c r="AT241" s="375"/>
      <c r="AU241" s="375"/>
      <c r="AV241" s="375">
        <v>0</v>
      </c>
      <c r="AW241" s="375">
        <v>0</v>
      </c>
      <c r="AX241" s="375">
        <v>0</v>
      </c>
      <c r="AY241" s="375">
        <v>0</v>
      </c>
      <c r="AZ241" s="375">
        <v>0</v>
      </c>
      <c r="BA241" s="375">
        <v>0</v>
      </c>
      <c r="BB241" s="375">
        <v>0</v>
      </c>
      <c r="BC241" s="79"/>
      <c r="BD241" s="79"/>
      <c r="BE241" s="79"/>
      <c r="BF241" s="79"/>
      <c r="BG241" s="79"/>
      <c r="BH241" s="79"/>
      <c r="BI241" s="79">
        <v>46666.666666999998</v>
      </c>
      <c r="BJ241" s="79">
        <v>46666.666666999998</v>
      </c>
      <c r="BK241" s="79">
        <v>46666.666666999998</v>
      </c>
      <c r="BL241" s="79">
        <v>46666.666666999998</v>
      </c>
      <c r="BM241" s="79">
        <v>46666.666666999998</v>
      </c>
      <c r="BN241" s="79">
        <v>46666.666666999998</v>
      </c>
      <c r="BO241" s="79">
        <v>280000.00000199996</v>
      </c>
    </row>
    <row r="242" spans="1:67" ht="15" customHeight="1">
      <c r="A242" s="66" t="s">
        <v>2671</v>
      </c>
      <c r="B242" s="66" t="s">
        <v>2672</v>
      </c>
      <c r="C242" s="150" t="s">
        <v>1136</v>
      </c>
      <c r="D242" s="150" t="s">
        <v>1345</v>
      </c>
      <c r="E242" s="150" t="s">
        <v>1437</v>
      </c>
      <c r="F242" s="150" t="s">
        <v>1346</v>
      </c>
      <c r="G242" s="511" t="s">
        <v>639</v>
      </c>
      <c r="H242" s="392" t="s">
        <v>2673</v>
      </c>
      <c r="I242" s="343" t="s">
        <v>2674</v>
      </c>
      <c r="J242" s="346" t="s">
        <v>2675</v>
      </c>
      <c r="K242" s="70" t="s">
        <v>944</v>
      </c>
      <c r="L242" s="346"/>
      <c r="M242" s="346" t="s">
        <v>2676</v>
      </c>
      <c r="N242" s="346"/>
      <c r="O242" s="150" t="s">
        <v>25</v>
      </c>
      <c r="P242" s="150"/>
      <c r="Q242" s="403"/>
      <c r="R242" s="406">
        <v>0</v>
      </c>
      <c r="S242" s="406">
        <v>729.19</v>
      </c>
      <c r="T242" s="425"/>
      <c r="U242" s="71"/>
      <c r="V242" s="426">
        <v>139.72999999999999</v>
      </c>
      <c r="W242" s="427">
        <v>139.72999999999999</v>
      </c>
      <c r="X242" s="427">
        <v>449.73</v>
      </c>
      <c r="Y242" s="428">
        <v>139.72999999999999</v>
      </c>
      <c r="Z242" s="429">
        <v>139.72999999999999</v>
      </c>
      <c r="AA242" s="429">
        <v>139.72999999999999</v>
      </c>
      <c r="AB242" s="360">
        <v>0</v>
      </c>
      <c r="AC242" s="360">
        <v>0</v>
      </c>
      <c r="AD242" s="360">
        <v>0</v>
      </c>
      <c r="AE242" s="360">
        <v>0</v>
      </c>
      <c r="AF242" s="360">
        <v>0</v>
      </c>
      <c r="AG242" s="360">
        <v>0</v>
      </c>
      <c r="AH242" s="360">
        <f t="shared" si="14"/>
        <v>1148.3800000000001</v>
      </c>
      <c r="AI242" s="362">
        <f>ERP_5[[#This Row],[2026 Working Total]]-ERP_5[[#This Row],[LE2 Final Submission]]</f>
        <v>419.19000000000005</v>
      </c>
      <c r="AJ242" s="79">
        <v>0</v>
      </c>
      <c r="AK242" s="79">
        <f t="shared" si="13"/>
        <v>139.72999999999999</v>
      </c>
      <c r="AL242" s="374">
        <f>SUM(ERP_5[[#This Row],[AP01]:[AP06]])-SUM(ERP_5[[#This Row],[AP01 LE2]:[AP06 LE2]])</f>
        <v>419.19000000000005</v>
      </c>
      <c r="AM242" s="80"/>
      <c r="AN242" s="79">
        <f>ERP_5[[#This Row],[2026 Working Total to Budget/LE]]-ERP_5[[#This Row],[Giveback]]</f>
        <v>419.19000000000005</v>
      </c>
      <c r="AO242" s="81"/>
      <c r="AP242" s="375">
        <v>139.72999999999999</v>
      </c>
      <c r="AQ242" s="375">
        <v>139.72999999999999</v>
      </c>
      <c r="AR242" s="375">
        <v>449.73</v>
      </c>
      <c r="AS242" s="375">
        <v>0</v>
      </c>
      <c r="AT242" s="375">
        <v>0</v>
      </c>
      <c r="AU242" s="375">
        <v>0</v>
      </c>
      <c r="AV242" s="375">
        <v>0</v>
      </c>
      <c r="AW242" s="375">
        <v>0</v>
      </c>
      <c r="AX242" s="375">
        <v>0</v>
      </c>
      <c r="AY242" s="375">
        <v>0</v>
      </c>
      <c r="AZ242" s="375">
        <v>0</v>
      </c>
      <c r="BA242" s="375">
        <v>0</v>
      </c>
      <c r="BB242" s="375">
        <v>729.19</v>
      </c>
      <c r="BC242" s="79">
        <v>139.72999999999999</v>
      </c>
      <c r="BD242" s="79">
        <v>139.72999999999999</v>
      </c>
      <c r="BE242" s="79">
        <v>449.73</v>
      </c>
      <c r="BF242" s="79">
        <v>0</v>
      </c>
      <c r="BG242" s="79">
        <v>0</v>
      </c>
      <c r="BH242" s="79">
        <v>0</v>
      </c>
      <c r="BI242" s="79">
        <v>0</v>
      </c>
      <c r="BJ242" s="79">
        <v>0</v>
      </c>
      <c r="BK242" s="79">
        <v>0</v>
      </c>
      <c r="BL242" s="79">
        <v>0</v>
      </c>
      <c r="BM242" s="79">
        <v>0</v>
      </c>
      <c r="BN242" s="79">
        <v>0</v>
      </c>
      <c r="BO242" s="79">
        <v>729.19</v>
      </c>
    </row>
    <row r="243" spans="1:67" ht="15" customHeight="1">
      <c r="A243" s="66" t="s">
        <v>1261</v>
      </c>
      <c r="B243" s="66" t="s">
        <v>110</v>
      </c>
      <c r="C243" s="150" t="s">
        <v>1136</v>
      </c>
      <c r="D243" s="150" t="s">
        <v>1135</v>
      </c>
      <c r="E243" s="150" t="s">
        <v>1135</v>
      </c>
      <c r="F243" s="150" t="s">
        <v>1137</v>
      </c>
      <c r="G243" s="511" t="s">
        <v>49</v>
      </c>
      <c r="H243" s="392" t="s">
        <v>1262</v>
      </c>
      <c r="I243" s="343" t="s">
        <v>1263</v>
      </c>
      <c r="J243" s="346" t="s">
        <v>1264</v>
      </c>
      <c r="K243" s="70" t="s">
        <v>111</v>
      </c>
      <c r="L243" s="346"/>
      <c r="M243" s="346" t="s">
        <v>1265</v>
      </c>
      <c r="N243" s="346"/>
      <c r="O243" s="150" t="s">
        <v>25</v>
      </c>
      <c r="P243" s="150"/>
      <c r="Q243" s="403"/>
      <c r="R243" s="406">
        <v>100000</v>
      </c>
      <c r="S243" s="406">
        <v>100000</v>
      </c>
      <c r="T243" s="425"/>
      <c r="U243" s="71"/>
      <c r="V243" s="426"/>
      <c r="W243" s="427"/>
      <c r="X243" s="427"/>
      <c r="Y243" s="428" t="s">
        <v>1142</v>
      </c>
      <c r="Z243" s="429">
        <v>0</v>
      </c>
      <c r="AA243" s="429">
        <v>0</v>
      </c>
      <c r="AB243" s="532">
        <v>14286</v>
      </c>
      <c r="AC243" s="532">
        <v>14286</v>
      </c>
      <c r="AD243" s="532">
        <v>14286</v>
      </c>
      <c r="AE243" s="532">
        <v>14286</v>
      </c>
      <c r="AF243" s="532">
        <v>14286</v>
      </c>
      <c r="AG243" s="532">
        <v>14286</v>
      </c>
      <c r="AH243" s="360">
        <f t="shared" si="14"/>
        <v>85716</v>
      </c>
      <c r="AI243" s="362">
        <f>ERP_5[[#This Row],[2026 Working Total]]-ERP_5[[#This Row],[LE2 Final Submission]]</f>
        <v>-14284</v>
      </c>
      <c r="AJ243" s="79">
        <v>11111</v>
      </c>
      <c r="AK243" s="79">
        <f t="shared" si="13"/>
        <v>-11111</v>
      </c>
      <c r="AL243" s="374">
        <f>SUM(ERP_5[[#This Row],[AP01]:[AP06]])-SUM(ERP_5[[#This Row],[AP01 LE2]:[AP06 LE2]])</f>
        <v>-33333</v>
      </c>
      <c r="AM243" s="80"/>
      <c r="AN243" s="79">
        <f>ERP_5[[#This Row],[2026 Working Total to Budget/LE]]-ERP_5[[#This Row],[Giveback]]</f>
        <v>-14284</v>
      </c>
      <c r="AO243" s="81"/>
      <c r="AP243" s="375"/>
      <c r="AQ243" s="375"/>
      <c r="AR243" s="375"/>
      <c r="AS243" s="375">
        <v>11111</v>
      </c>
      <c r="AT243" s="375">
        <v>11111</v>
      </c>
      <c r="AU243" s="375">
        <v>11111</v>
      </c>
      <c r="AV243" s="375">
        <v>11111</v>
      </c>
      <c r="AW243" s="375">
        <v>11111</v>
      </c>
      <c r="AX243" s="375">
        <v>11111</v>
      </c>
      <c r="AY243" s="375">
        <v>11111</v>
      </c>
      <c r="AZ243" s="375">
        <v>11111</v>
      </c>
      <c r="BA243" s="375">
        <v>11112</v>
      </c>
      <c r="BB243" s="375">
        <v>100000</v>
      </c>
      <c r="BC243" s="79"/>
      <c r="BD243" s="79"/>
      <c r="BE243" s="79"/>
      <c r="BF243" s="79">
        <v>11111</v>
      </c>
      <c r="BG243" s="79">
        <v>11111</v>
      </c>
      <c r="BH243" s="79">
        <v>11111</v>
      </c>
      <c r="BI243" s="79">
        <v>11111</v>
      </c>
      <c r="BJ243" s="79">
        <v>11111</v>
      </c>
      <c r="BK243" s="79">
        <v>11111</v>
      </c>
      <c r="BL243" s="79">
        <v>11111</v>
      </c>
      <c r="BM243" s="79">
        <v>11111</v>
      </c>
      <c r="BN243" s="79">
        <v>11112</v>
      </c>
      <c r="BO243" s="79">
        <v>100000</v>
      </c>
    </row>
    <row r="244" spans="1:67" ht="15" customHeight="1">
      <c r="A244" s="66" t="s">
        <v>1266</v>
      </c>
      <c r="B244" s="66" t="s">
        <v>1267</v>
      </c>
      <c r="C244" s="150" t="s">
        <v>1136</v>
      </c>
      <c r="D244" s="150" t="s">
        <v>1135</v>
      </c>
      <c r="E244" s="150" t="s">
        <v>1165</v>
      </c>
      <c r="F244" s="150" t="s">
        <v>1137</v>
      </c>
      <c r="G244" s="511" t="s">
        <v>49</v>
      </c>
      <c r="H244" s="392" t="s">
        <v>1268</v>
      </c>
      <c r="I244" s="343"/>
      <c r="J244" s="343"/>
      <c r="K244" s="70" t="s">
        <v>113</v>
      </c>
      <c r="L244" s="346"/>
      <c r="M244" s="343"/>
      <c r="N244" s="346"/>
      <c r="O244" s="150" t="s">
        <v>114</v>
      </c>
      <c r="P244" s="150"/>
      <c r="Q244" s="403"/>
      <c r="R244" s="406">
        <v>39781.000000000015</v>
      </c>
      <c r="S244" s="406">
        <v>37314.43</v>
      </c>
      <c r="T244" s="425"/>
      <c r="U244" s="71"/>
      <c r="V244" s="426">
        <v>3217.02</v>
      </c>
      <c r="W244" s="427">
        <v>2578.4899999999998</v>
      </c>
      <c r="X244" s="427">
        <v>2874.84</v>
      </c>
      <c r="Y244" s="428">
        <v>3540.9</v>
      </c>
      <c r="Z244" s="429">
        <v>2797.94</v>
      </c>
      <c r="AA244" s="429">
        <v>2743.02</v>
      </c>
      <c r="AB244" s="363">
        <v>3159</v>
      </c>
      <c r="AC244" s="363">
        <v>3190</v>
      </c>
      <c r="AD244" s="363">
        <v>3150</v>
      </c>
      <c r="AE244" s="363">
        <v>3150</v>
      </c>
      <c r="AF244" s="363">
        <v>3150</v>
      </c>
      <c r="AG244" s="363">
        <v>3150</v>
      </c>
      <c r="AH244" s="360">
        <f t="shared" si="14"/>
        <v>36701.21</v>
      </c>
      <c r="AI244" s="362">
        <f>ERP_5[[#This Row],[2026 Working Total]]-ERP_5[[#This Row],[LE2 Final Submission]]</f>
        <v>-613.22000000000116</v>
      </c>
      <c r="AJ244" s="79">
        <v>3190</v>
      </c>
      <c r="AK244" s="79">
        <f t="shared" si="13"/>
        <v>-446.98</v>
      </c>
      <c r="AL244" s="374">
        <f>SUM(ERP_5[[#This Row],[AP01]:[AP06]])-SUM(ERP_5[[#This Row],[AP01 LE2]:[AP06 LE2]])</f>
        <v>-613.22000000000116</v>
      </c>
      <c r="AM244" s="80"/>
      <c r="AN244" s="79">
        <f>ERP_5[[#This Row],[2026 Working Total to Budget/LE]]-ERP_5[[#This Row],[Giveback]]</f>
        <v>-613.22000000000116</v>
      </c>
      <c r="AO244" s="81"/>
      <c r="AP244" s="375">
        <v>3217.02</v>
      </c>
      <c r="AQ244" s="375">
        <v>2578.4899999999998</v>
      </c>
      <c r="AR244" s="375">
        <v>2874.84</v>
      </c>
      <c r="AS244" s="375">
        <v>3315.08</v>
      </c>
      <c r="AT244" s="375">
        <v>3190</v>
      </c>
      <c r="AU244" s="375">
        <v>3190</v>
      </c>
      <c r="AV244" s="375">
        <v>3159</v>
      </c>
      <c r="AW244" s="375">
        <v>3190</v>
      </c>
      <c r="AX244" s="375">
        <v>3150</v>
      </c>
      <c r="AY244" s="375">
        <v>3150</v>
      </c>
      <c r="AZ244" s="375">
        <v>3150</v>
      </c>
      <c r="BA244" s="375">
        <v>3150</v>
      </c>
      <c r="BB244" s="375">
        <v>37314.43</v>
      </c>
      <c r="BC244" s="79">
        <v>3217.02</v>
      </c>
      <c r="BD244" s="79">
        <v>2578.4899999999998</v>
      </c>
      <c r="BE244" s="79">
        <v>2874.84</v>
      </c>
      <c r="BF244" s="79">
        <v>3315.08</v>
      </c>
      <c r="BG244" s="79">
        <v>3315.08</v>
      </c>
      <c r="BH244" s="79">
        <v>3315.08</v>
      </c>
      <c r="BI244" s="79">
        <v>3315.08</v>
      </c>
      <c r="BJ244" s="79">
        <v>3315.08</v>
      </c>
      <c r="BK244" s="79">
        <v>3315.08</v>
      </c>
      <c r="BL244" s="79">
        <v>3315.08</v>
      </c>
      <c r="BM244" s="79">
        <v>3315.08</v>
      </c>
      <c r="BN244" s="79">
        <v>3315.12</v>
      </c>
      <c r="BO244" s="79">
        <v>38506.110000000008</v>
      </c>
    </row>
    <row r="245" spans="1:67" ht="15" customHeight="1">
      <c r="A245" s="129" t="s">
        <v>2014</v>
      </c>
      <c r="B245" s="66" t="s">
        <v>525</v>
      </c>
      <c r="C245" s="150" t="s">
        <v>1136</v>
      </c>
      <c r="D245" s="150" t="s">
        <v>1345</v>
      </c>
      <c r="E245" s="150" t="s">
        <v>1345</v>
      </c>
      <c r="F245" s="331" t="s">
        <v>1345</v>
      </c>
      <c r="G245" s="511" t="s">
        <v>389</v>
      </c>
      <c r="H245" s="392" t="s">
        <v>1863</v>
      </c>
      <c r="I245" s="343"/>
      <c r="J245" s="331"/>
      <c r="K245" s="70" t="s">
        <v>526</v>
      </c>
      <c r="L245" s="343"/>
      <c r="M245" s="343"/>
      <c r="N245" s="346"/>
      <c r="O245" s="150" t="s">
        <v>57</v>
      </c>
      <c r="P245" s="346" t="s">
        <v>2021</v>
      </c>
      <c r="Q245" s="405"/>
      <c r="R245" s="359"/>
      <c r="S245" s="380">
        <v>63000</v>
      </c>
      <c r="T245" s="425"/>
      <c r="U245" s="71"/>
      <c r="V245" s="426"/>
      <c r="W245" s="427"/>
      <c r="X245" s="427"/>
      <c r="Y245" s="428" t="s">
        <v>1142</v>
      </c>
      <c r="Z245" s="429">
        <v>0</v>
      </c>
      <c r="AA245" s="429">
        <v>0</v>
      </c>
      <c r="AB245" s="364">
        <f t="shared" ref="AB245:AG245" si="15">(63000)/9</f>
        <v>7000</v>
      </c>
      <c r="AC245" s="364">
        <f t="shared" si="15"/>
        <v>7000</v>
      </c>
      <c r="AD245" s="364">
        <f t="shared" si="15"/>
        <v>7000</v>
      </c>
      <c r="AE245" s="364">
        <f t="shared" si="15"/>
        <v>7000</v>
      </c>
      <c r="AF245" s="364">
        <f t="shared" si="15"/>
        <v>7000</v>
      </c>
      <c r="AG245" s="364">
        <f t="shared" si="15"/>
        <v>7000</v>
      </c>
      <c r="AH245" s="360">
        <f t="shared" si="14"/>
        <v>42000</v>
      </c>
      <c r="AI245" s="362">
        <f>ERP_5[[#This Row],[2026 Working Total]]-ERP_5[[#This Row],[LE2 Final Submission]]</f>
        <v>-21000</v>
      </c>
      <c r="AJ245" s="79">
        <v>7000</v>
      </c>
      <c r="AK245" s="79">
        <f t="shared" si="13"/>
        <v>-7000</v>
      </c>
      <c r="AL245" s="374">
        <f>SUM(ERP_5[[#This Row],[AP01]:[AP06]])-SUM(ERP_5[[#This Row],[AP01 LE2]:[AP06 LE2]])</f>
        <v>-21000</v>
      </c>
      <c r="AM245" s="80"/>
      <c r="AN245" s="79"/>
      <c r="AO245" s="81"/>
      <c r="AP245" s="375"/>
      <c r="AQ245" s="375"/>
      <c r="AR245" s="375"/>
      <c r="AS245" s="375">
        <v>7000</v>
      </c>
      <c r="AT245" s="375">
        <v>7000</v>
      </c>
      <c r="AU245" s="375">
        <v>7000</v>
      </c>
      <c r="AV245" s="375">
        <v>7000</v>
      </c>
      <c r="AW245" s="375">
        <v>7000</v>
      </c>
      <c r="AX245" s="375">
        <v>7000</v>
      </c>
      <c r="AY245" s="375">
        <v>7000</v>
      </c>
      <c r="AZ245" s="375">
        <v>7000</v>
      </c>
      <c r="BA245" s="375">
        <v>7000</v>
      </c>
      <c r="BB245" s="375">
        <v>63000</v>
      </c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</row>
    <row r="246" spans="1:67" ht="15" customHeight="1">
      <c r="A246" s="66" t="s">
        <v>2051</v>
      </c>
      <c r="B246" s="66" t="s">
        <v>550</v>
      </c>
      <c r="C246" s="150" t="s">
        <v>1136</v>
      </c>
      <c r="D246" s="150" t="s">
        <v>1345</v>
      </c>
      <c r="E246" s="150" t="s">
        <v>1480</v>
      </c>
      <c r="F246" s="150" t="s">
        <v>1346</v>
      </c>
      <c r="G246" s="511" t="s">
        <v>389</v>
      </c>
      <c r="H246" s="392" t="s">
        <v>1863</v>
      </c>
      <c r="I246" s="343"/>
      <c r="J246" s="343"/>
      <c r="K246" s="70" t="s">
        <v>526</v>
      </c>
      <c r="L246" s="346"/>
      <c r="M246" s="343"/>
      <c r="N246" s="346"/>
      <c r="O246" s="150" t="s">
        <v>57</v>
      </c>
      <c r="P246" s="346" t="s">
        <v>2021</v>
      </c>
      <c r="Q246" s="403"/>
      <c r="R246" s="406">
        <v>84000</v>
      </c>
      <c r="S246" s="406">
        <v>-14686.309999999998</v>
      </c>
      <c r="T246" s="425"/>
      <c r="U246" s="71"/>
      <c r="V246" s="426">
        <v>6710.29</v>
      </c>
      <c r="W246" s="427">
        <v>-18265.05</v>
      </c>
      <c r="X246" s="427">
        <v>-3131.55</v>
      </c>
      <c r="Y246" s="428">
        <v>7060.4400000000005</v>
      </c>
      <c r="Z246" s="429">
        <v>6784.5</v>
      </c>
      <c r="AA246" s="429">
        <v>-12968.59</v>
      </c>
      <c r="AB246" s="363">
        <f t="shared" ref="AB246:AG246" si="16">7000-7000</f>
        <v>0</v>
      </c>
      <c r="AC246" s="363">
        <f t="shared" si="16"/>
        <v>0</v>
      </c>
      <c r="AD246" s="363">
        <f t="shared" si="16"/>
        <v>0</v>
      </c>
      <c r="AE246" s="363">
        <f t="shared" si="16"/>
        <v>0</v>
      </c>
      <c r="AF246" s="363">
        <f t="shared" si="16"/>
        <v>0</v>
      </c>
      <c r="AG246" s="363">
        <f t="shared" si="16"/>
        <v>0</v>
      </c>
      <c r="AH246" s="360">
        <f t="shared" si="14"/>
        <v>-13809.959999999997</v>
      </c>
      <c r="AI246" s="362">
        <f>ERP_5[[#This Row],[2026 Working Total]]-ERP_5[[#This Row],[LE2 Final Submission]]</f>
        <v>876.35000000000036</v>
      </c>
      <c r="AJ246" s="79">
        <v>0</v>
      </c>
      <c r="AK246" s="79">
        <f t="shared" si="13"/>
        <v>-12968.59</v>
      </c>
      <c r="AL246" s="374">
        <f>SUM(ERP_5[[#This Row],[AP01]:[AP06]])-SUM(ERP_5[[#This Row],[AP01 LE2]:[AP06 LE2]])</f>
        <v>876.35000000000036</v>
      </c>
      <c r="AM246" s="80"/>
      <c r="AN246" s="79">
        <f>ERP_5[[#This Row],[2026 Working Total to Budget/LE]]-ERP_5[[#This Row],[Giveback]]</f>
        <v>876.35000000000036</v>
      </c>
      <c r="AO246" s="81"/>
      <c r="AP246" s="375">
        <v>6710.29</v>
      </c>
      <c r="AQ246" s="375">
        <v>-18265.05</v>
      </c>
      <c r="AR246" s="375">
        <v>-3131.55</v>
      </c>
      <c r="AS246" s="375">
        <v>0</v>
      </c>
      <c r="AT246" s="375">
        <v>0</v>
      </c>
      <c r="AU246" s="375">
        <v>0</v>
      </c>
      <c r="AV246" s="375">
        <v>0</v>
      </c>
      <c r="AW246" s="375">
        <v>0</v>
      </c>
      <c r="AX246" s="375">
        <v>0</v>
      </c>
      <c r="AY246" s="375">
        <v>0</v>
      </c>
      <c r="AZ246" s="375">
        <v>0</v>
      </c>
      <c r="BA246" s="375">
        <v>0</v>
      </c>
      <c r="BB246" s="375">
        <v>-14686.309999999998</v>
      </c>
      <c r="BC246" s="79">
        <v>6710.29</v>
      </c>
      <c r="BD246" s="79">
        <v>-18265.05</v>
      </c>
      <c r="BE246" s="79">
        <v>-3131.55</v>
      </c>
      <c r="BF246" s="79">
        <v>7000</v>
      </c>
      <c r="BG246" s="79">
        <v>7000</v>
      </c>
      <c r="BH246" s="79">
        <v>7000</v>
      </c>
      <c r="BI246" s="79">
        <v>7000</v>
      </c>
      <c r="BJ246" s="79">
        <v>7000</v>
      </c>
      <c r="BK246" s="79">
        <v>7000</v>
      </c>
      <c r="BL246" s="79">
        <v>7000</v>
      </c>
      <c r="BM246" s="79">
        <v>7000</v>
      </c>
      <c r="BN246" s="79">
        <v>7000</v>
      </c>
      <c r="BO246" s="79">
        <v>48313.69</v>
      </c>
    </row>
    <row r="247" spans="1:67" ht="15" customHeight="1">
      <c r="A247" s="66" t="s">
        <v>1811</v>
      </c>
      <c r="B247" s="66" t="s">
        <v>1812</v>
      </c>
      <c r="C247" s="150" t="s">
        <v>1136</v>
      </c>
      <c r="D247" s="150" t="s">
        <v>1135</v>
      </c>
      <c r="E247" s="150" t="s">
        <v>1165</v>
      </c>
      <c r="F247" s="150" t="s">
        <v>1137</v>
      </c>
      <c r="G247" s="511" t="s">
        <v>389</v>
      </c>
      <c r="H247" s="392" t="s">
        <v>1813</v>
      </c>
      <c r="I247" s="343"/>
      <c r="J247" s="343"/>
      <c r="K247" s="70" t="s">
        <v>422</v>
      </c>
      <c r="L247" s="346"/>
      <c r="M247" s="343"/>
      <c r="N247" s="346"/>
      <c r="O247" s="150" t="s">
        <v>25</v>
      </c>
      <c r="P247" s="150"/>
      <c r="Q247" s="403"/>
      <c r="R247" s="406">
        <v>116304</v>
      </c>
      <c r="S247" s="406">
        <v>67844</v>
      </c>
      <c r="T247" s="425"/>
      <c r="U247" s="71"/>
      <c r="V247" s="426"/>
      <c r="W247" s="427"/>
      <c r="X247" s="427"/>
      <c r="Y247" s="428" t="s">
        <v>1142</v>
      </c>
      <c r="Z247" s="429">
        <v>0</v>
      </c>
      <c r="AA247" s="429">
        <v>0</v>
      </c>
      <c r="AB247" s="363">
        <v>9692</v>
      </c>
      <c r="AC247" s="363">
        <v>9692</v>
      </c>
      <c r="AD247" s="363">
        <v>9692</v>
      </c>
      <c r="AE247" s="363">
        <v>9692</v>
      </c>
      <c r="AF247" s="363">
        <v>9692</v>
      </c>
      <c r="AG247" s="363">
        <v>9692</v>
      </c>
      <c r="AH247" s="360">
        <f t="shared" si="14"/>
        <v>58152</v>
      </c>
      <c r="AI247" s="362">
        <f>ERP_5[[#This Row],[2026 Working Total]]-ERP_5[[#This Row],[LE2 Final Submission]]</f>
        <v>-9692</v>
      </c>
      <c r="AJ247" s="79"/>
      <c r="AK247" s="79">
        <f t="shared" si="13"/>
        <v>0</v>
      </c>
      <c r="AL247" s="374">
        <f>SUM(ERP_5[[#This Row],[AP01]:[AP06]])-SUM(ERP_5[[#This Row],[AP01 LE2]:[AP06 LE2]])</f>
        <v>-9692</v>
      </c>
      <c r="AM247" s="80">
        <v>-48460</v>
      </c>
      <c r="AN247" s="79">
        <f>ERP_5[[#This Row],[2026 Working Total to Budget/LE]]-ERP_5[[#This Row],[Giveback]]</f>
        <v>38768</v>
      </c>
      <c r="AO247" s="183" t="s">
        <v>1814</v>
      </c>
      <c r="AP247" s="183"/>
      <c r="AQ247" s="183"/>
      <c r="AR247" s="183"/>
      <c r="AS247" s="183"/>
      <c r="AT247" s="183"/>
      <c r="AU247" s="183">
        <v>9692</v>
      </c>
      <c r="AV247" s="183">
        <v>9692</v>
      </c>
      <c r="AW247" s="183">
        <v>9692</v>
      </c>
      <c r="AX247" s="183">
        <v>9692</v>
      </c>
      <c r="AY247" s="183">
        <v>9692</v>
      </c>
      <c r="AZ247" s="183">
        <v>9692</v>
      </c>
      <c r="BA247" s="183">
        <v>9692</v>
      </c>
      <c r="BB247" s="183">
        <v>67844</v>
      </c>
      <c r="BC247" s="79"/>
      <c r="BD247" s="79"/>
      <c r="BE247" s="79"/>
      <c r="BF247" s="79">
        <v>9692</v>
      </c>
      <c r="BG247" s="79">
        <v>9692</v>
      </c>
      <c r="BH247" s="79">
        <v>9692</v>
      </c>
      <c r="BI247" s="79">
        <v>9692</v>
      </c>
      <c r="BJ247" s="79">
        <v>9692</v>
      </c>
      <c r="BK247" s="79">
        <v>9692</v>
      </c>
      <c r="BL247" s="79">
        <v>9692</v>
      </c>
      <c r="BM247" s="79">
        <v>9692</v>
      </c>
      <c r="BN247" s="79">
        <v>9692</v>
      </c>
      <c r="BO247" s="79">
        <v>87228</v>
      </c>
    </row>
    <row r="248" spans="1:67" ht="15" customHeight="1">
      <c r="A248" s="66" t="s">
        <v>1815</v>
      </c>
      <c r="B248" s="66" t="s">
        <v>1816</v>
      </c>
      <c r="C248" s="150" t="s">
        <v>1136</v>
      </c>
      <c r="D248" s="150" t="s">
        <v>1135</v>
      </c>
      <c r="E248" s="150" t="s">
        <v>1156</v>
      </c>
      <c r="F248" s="150" t="s">
        <v>1137</v>
      </c>
      <c r="G248" s="511" t="s">
        <v>389</v>
      </c>
      <c r="H248" s="392" t="s">
        <v>1817</v>
      </c>
      <c r="I248" s="343"/>
      <c r="J248" s="343"/>
      <c r="K248" s="70" t="s">
        <v>424</v>
      </c>
      <c r="L248" s="346"/>
      <c r="M248" s="343"/>
      <c r="N248" s="346"/>
      <c r="O248" s="150" t="s">
        <v>67</v>
      </c>
      <c r="P248" s="150"/>
      <c r="Q248" s="403"/>
      <c r="R248" s="406">
        <v>588064.00000000012</v>
      </c>
      <c r="S248" s="406">
        <v>588064.16999999993</v>
      </c>
      <c r="T248" s="425"/>
      <c r="U248" s="71"/>
      <c r="V248" s="426">
        <v>40389</v>
      </c>
      <c r="W248" s="427">
        <v>55285.58</v>
      </c>
      <c r="X248" s="427">
        <v>47994.59</v>
      </c>
      <c r="Y248" s="428">
        <v>42517.659999999996</v>
      </c>
      <c r="Z248" s="429">
        <v>63850.67</v>
      </c>
      <c r="AA248" s="429">
        <v>47308.070000000007</v>
      </c>
      <c r="AB248" s="363">
        <v>49400</v>
      </c>
      <c r="AC248" s="363">
        <v>48000</v>
      </c>
      <c r="AD248" s="363">
        <v>48000</v>
      </c>
      <c r="AE248" s="363">
        <v>48000</v>
      </c>
      <c r="AF248" s="363">
        <v>48000</v>
      </c>
      <c r="AG248" s="363">
        <v>48000</v>
      </c>
      <c r="AH248" s="360">
        <f t="shared" si="14"/>
        <v>586745.57000000007</v>
      </c>
      <c r="AI248" s="362">
        <f>ERP_5[[#This Row],[2026 Working Total]]-ERP_5[[#This Row],[LE2 Final Submission]]</f>
        <v>-1318.5999999998603</v>
      </c>
      <c r="AJ248" s="79">
        <v>49500</v>
      </c>
      <c r="AK248" s="79">
        <f t="shared" si="13"/>
        <v>-2191.929999999993</v>
      </c>
      <c r="AL248" s="374">
        <f>SUM(ERP_5[[#This Row],[AP01]:[AP06]])-SUM(ERP_5[[#This Row],[AP01 LE2]:[AP06 LE2]])</f>
        <v>3681.4000000000233</v>
      </c>
      <c r="AM248" s="80"/>
      <c r="AN248" s="79">
        <f>ERP_5[[#This Row],[2026 Working Total to Budget/LE]]-ERP_5[[#This Row],[Giveback]]</f>
        <v>-1318.5999999998603</v>
      </c>
      <c r="AO248" s="81"/>
      <c r="AP248" s="375">
        <v>40389</v>
      </c>
      <c r="AQ248" s="375">
        <v>55285.58</v>
      </c>
      <c r="AR248" s="375">
        <v>47994.59</v>
      </c>
      <c r="AS248" s="375">
        <v>51000</v>
      </c>
      <c r="AT248" s="375">
        <v>49500</v>
      </c>
      <c r="AU248" s="375">
        <v>49495</v>
      </c>
      <c r="AV248" s="375">
        <v>49400</v>
      </c>
      <c r="AW248" s="375">
        <v>49000</v>
      </c>
      <c r="AX248" s="375">
        <v>49000</v>
      </c>
      <c r="AY248" s="375">
        <v>49000</v>
      </c>
      <c r="AZ248" s="375">
        <v>49000</v>
      </c>
      <c r="BA248" s="375">
        <v>49000</v>
      </c>
      <c r="BB248" s="375">
        <v>588064.16999999993</v>
      </c>
      <c r="BC248" s="79">
        <v>40389</v>
      </c>
      <c r="BD248" s="79">
        <v>55285.58</v>
      </c>
      <c r="BE248" s="79">
        <v>47994.59</v>
      </c>
      <c r="BF248" s="79">
        <v>49068</v>
      </c>
      <c r="BG248" s="79">
        <v>51240</v>
      </c>
      <c r="BH248" s="79">
        <v>37911</v>
      </c>
      <c r="BI248" s="79">
        <v>48731</v>
      </c>
      <c r="BJ248" s="79">
        <v>52076</v>
      </c>
      <c r="BK248" s="79">
        <v>52390</v>
      </c>
      <c r="BL248" s="79">
        <v>54876</v>
      </c>
      <c r="BM248" s="79">
        <v>42961</v>
      </c>
      <c r="BN248" s="79">
        <v>40649</v>
      </c>
      <c r="BO248" s="79">
        <v>573571.16999999993</v>
      </c>
    </row>
    <row r="249" spans="1:67" ht="15" customHeight="1">
      <c r="A249" s="66" t="s">
        <v>1273</v>
      </c>
      <c r="B249" s="66" t="s">
        <v>1274</v>
      </c>
      <c r="C249" s="150" t="s">
        <v>1136</v>
      </c>
      <c r="D249" s="150" t="s">
        <v>1135</v>
      </c>
      <c r="E249" s="150" t="s">
        <v>1145</v>
      </c>
      <c r="F249" s="150" t="s">
        <v>1137</v>
      </c>
      <c r="G249" s="511" t="s">
        <v>49</v>
      </c>
      <c r="H249" s="392" t="s">
        <v>1275</v>
      </c>
      <c r="I249" s="343"/>
      <c r="J249" s="346" t="s">
        <v>1152</v>
      </c>
      <c r="K249" s="70" t="s">
        <v>116</v>
      </c>
      <c r="L249" s="346"/>
      <c r="M249" s="346" t="s">
        <v>1187</v>
      </c>
      <c r="N249" s="346"/>
      <c r="O249" s="150" t="s">
        <v>67</v>
      </c>
      <c r="P249" s="150" t="s">
        <v>1276</v>
      </c>
      <c r="Q249" s="403"/>
      <c r="R249" s="406">
        <v>948000</v>
      </c>
      <c r="S249" s="406">
        <v>948000.73</v>
      </c>
      <c r="T249" s="425"/>
      <c r="U249" s="71"/>
      <c r="V249" s="426">
        <v>59013</v>
      </c>
      <c r="W249" s="427">
        <v>227334.86</v>
      </c>
      <c r="X249" s="427">
        <v>185217.87</v>
      </c>
      <c r="Y249" s="428" t="s">
        <v>1142</v>
      </c>
      <c r="Z249" s="429">
        <v>0</v>
      </c>
      <c r="AA249" s="429">
        <v>0</v>
      </c>
      <c r="AB249" s="363">
        <v>79161</v>
      </c>
      <c r="AC249" s="363">
        <v>79161</v>
      </c>
      <c r="AD249" s="363">
        <v>79161</v>
      </c>
      <c r="AE249" s="363">
        <v>79161</v>
      </c>
      <c r="AF249" s="363">
        <v>79161</v>
      </c>
      <c r="AG249" s="363">
        <f>79161+1469</f>
        <v>80630</v>
      </c>
      <c r="AH249" s="360">
        <f t="shared" si="14"/>
        <v>948000.73</v>
      </c>
      <c r="AI249" s="362">
        <f>ERP_5[[#This Row],[2026 Working Total]]-ERP_5[[#This Row],[LE2 Final Submission]]</f>
        <v>0</v>
      </c>
      <c r="AJ249" s="79">
        <v>29653</v>
      </c>
      <c r="AK249" s="79">
        <f t="shared" si="13"/>
        <v>-29653</v>
      </c>
      <c r="AL249" s="374">
        <f>SUM(ERP_5[[#This Row],[AP01]:[AP06]])-SUM(ERP_5[[#This Row],[AP01 LE2]:[AP06 LE2]])</f>
        <v>-108653</v>
      </c>
      <c r="AM249" s="80"/>
      <c r="AN249" s="79">
        <f>ERP_5[[#This Row],[2026 Working Total to Budget/LE]]-ERP_5[[#This Row],[Giveback]]</f>
        <v>0</v>
      </c>
      <c r="AO249" s="81"/>
      <c r="AP249" s="375">
        <v>59013</v>
      </c>
      <c r="AQ249" s="375">
        <v>227334.86</v>
      </c>
      <c r="AR249" s="375">
        <v>185217.87</v>
      </c>
      <c r="AS249" s="375">
        <v>79000</v>
      </c>
      <c r="AT249" s="375">
        <v>29653</v>
      </c>
      <c r="AU249" s="375">
        <v>0</v>
      </c>
      <c r="AV249" s="375">
        <v>61297</v>
      </c>
      <c r="AW249" s="375">
        <v>61297</v>
      </c>
      <c r="AX249" s="375">
        <v>61297</v>
      </c>
      <c r="AY249" s="375">
        <v>61297</v>
      </c>
      <c r="AZ249" s="375">
        <v>61297</v>
      </c>
      <c r="BA249" s="375">
        <v>61297</v>
      </c>
      <c r="BB249" s="375">
        <v>948000.73</v>
      </c>
      <c r="BC249" s="79">
        <v>59013</v>
      </c>
      <c r="BD249" s="79">
        <v>227334.86</v>
      </c>
      <c r="BE249" s="79">
        <v>185217.87</v>
      </c>
      <c r="BF249" s="79">
        <v>79000</v>
      </c>
      <c r="BG249" s="79">
        <v>29653</v>
      </c>
      <c r="BH249" s="79">
        <v>0</v>
      </c>
      <c r="BI249" s="79">
        <v>79000</v>
      </c>
      <c r="BJ249" s="79">
        <v>79000</v>
      </c>
      <c r="BK249" s="79">
        <v>79000</v>
      </c>
      <c r="BL249" s="79">
        <v>79000</v>
      </c>
      <c r="BM249" s="79">
        <v>79000</v>
      </c>
      <c r="BN249" s="79">
        <v>79000</v>
      </c>
      <c r="BO249" s="79">
        <v>1054218.73</v>
      </c>
    </row>
    <row r="250" spans="1:67" ht="15" customHeight="1">
      <c r="A250" s="66" t="s">
        <v>1277</v>
      </c>
      <c r="B250" s="66" t="s">
        <v>117</v>
      </c>
      <c r="C250" s="150" t="s">
        <v>1136</v>
      </c>
      <c r="D250" s="150" t="s">
        <v>1135</v>
      </c>
      <c r="E250" s="150" t="s">
        <v>1135</v>
      </c>
      <c r="F250" s="150" t="s">
        <v>1137</v>
      </c>
      <c r="G250" s="511" t="s">
        <v>49</v>
      </c>
      <c r="H250" s="392" t="s">
        <v>1278</v>
      </c>
      <c r="I250" s="343"/>
      <c r="J250" s="343"/>
      <c r="K250" s="70" t="s">
        <v>118</v>
      </c>
      <c r="L250" s="346"/>
      <c r="M250" s="346" t="s">
        <v>1221</v>
      </c>
      <c r="N250" s="346"/>
      <c r="O250" s="150" t="s">
        <v>119</v>
      </c>
      <c r="P250" s="150"/>
      <c r="Q250" s="403"/>
      <c r="R250" s="406">
        <v>71440</v>
      </c>
      <c r="S250" s="406">
        <v>71440</v>
      </c>
      <c r="T250" s="425"/>
      <c r="U250" s="71"/>
      <c r="V250" s="426"/>
      <c r="W250" s="427"/>
      <c r="X250" s="427"/>
      <c r="Y250" s="428" t="s">
        <v>1142</v>
      </c>
      <c r="Z250" s="429">
        <v>0</v>
      </c>
      <c r="AA250" s="429">
        <v>0</v>
      </c>
      <c r="AB250" s="363"/>
      <c r="AC250" s="363">
        <v>71440</v>
      </c>
      <c r="AD250" s="360">
        <v>0</v>
      </c>
      <c r="AE250" s="360">
        <v>0</v>
      </c>
      <c r="AF250" s="360">
        <v>0</v>
      </c>
      <c r="AG250" s="360">
        <v>0</v>
      </c>
      <c r="AH250" s="360">
        <f t="shared" si="14"/>
        <v>71440</v>
      </c>
      <c r="AI250" s="362">
        <f>ERP_5[[#This Row],[2026 Working Total]]-ERP_5[[#This Row],[LE2 Final Submission]]</f>
        <v>0</v>
      </c>
      <c r="AJ250" s="79"/>
      <c r="AK250" s="79">
        <f t="shared" si="13"/>
        <v>0</v>
      </c>
      <c r="AL250" s="374">
        <f>SUM(ERP_5[[#This Row],[AP01]:[AP06]])-SUM(ERP_5[[#This Row],[AP01 LE2]:[AP06 LE2]])</f>
        <v>0</v>
      </c>
      <c r="AM250" s="80"/>
      <c r="AN250" s="79">
        <f>ERP_5[[#This Row],[2026 Working Total to Budget/LE]]-ERP_5[[#This Row],[Giveback]]</f>
        <v>0</v>
      </c>
      <c r="AO250" s="81"/>
      <c r="AP250" s="375"/>
      <c r="AQ250" s="375"/>
      <c r="AR250" s="375"/>
      <c r="AS250" s="375"/>
      <c r="AT250" s="375"/>
      <c r="AU250" s="375"/>
      <c r="AV250" s="375"/>
      <c r="AW250" s="375">
        <v>71440</v>
      </c>
      <c r="AX250" s="375">
        <v>0</v>
      </c>
      <c r="AY250" s="375">
        <v>0</v>
      </c>
      <c r="AZ250" s="375">
        <v>0</v>
      </c>
      <c r="BA250" s="375">
        <v>0</v>
      </c>
      <c r="BB250" s="375">
        <v>71440</v>
      </c>
      <c r="BC250" s="79"/>
      <c r="BD250" s="79"/>
      <c r="BE250" s="79"/>
      <c r="BF250" s="79"/>
      <c r="BG250" s="79"/>
      <c r="BH250" s="79"/>
      <c r="BI250" s="79"/>
      <c r="BJ250" s="79">
        <v>71440</v>
      </c>
      <c r="BK250" s="79">
        <v>0</v>
      </c>
      <c r="BL250" s="79">
        <v>0</v>
      </c>
      <c r="BM250" s="79">
        <v>0</v>
      </c>
      <c r="BN250" s="79">
        <v>0</v>
      </c>
      <c r="BO250" s="79">
        <v>71440</v>
      </c>
    </row>
    <row r="251" spans="1:67" ht="15" customHeight="1">
      <c r="A251" s="66" t="s">
        <v>1279</v>
      </c>
      <c r="B251" s="66" t="s">
        <v>1280</v>
      </c>
      <c r="C251" s="150" t="s">
        <v>1136</v>
      </c>
      <c r="D251" s="150" t="s">
        <v>1135</v>
      </c>
      <c r="E251" s="150" t="s">
        <v>1137</v>
      </c>
      <c r="F251" s="150" t="s">
        <v>1137</v>
      </c>
      <c r="G251" s="511" t="s">
        <v>49</v>
      </c>
      <c r="H251" s="392" t="s">
        <v>1281</v>
      </c>
      <c r="I251" s="343"/>
      <c r="J251" s="343"/>
      <c r="K251" s="70" t="s">
        <v>121</v>
      </c>
      <c r="L251" s="346"/>
      <c r="M251" s="343"/>
      <c r="N251" s="346"/>
      <c r="O251" s="150" t="s">
        <v>122</v>
      </c>
      <c r="P251" s="150"/>
      <c r="Q251" s="404"/>
      <c r="R251" s="407">
        <v>0</v>
      </c>
      <c r="S251" s="407">
        <v>0</v>
      </c>
      <c r="T251" s="430"/>
      <c r="U251" s="137"/>
      <c r="V251" s="426">
        <v>10113</v>
      </c>
      <c r="W251" s="427">
        <v>11863.11</v>
      </c>
      <c r="X251" s="427">
        <v>-21976.11</v>
      </c>
      <c r="Y251" s="428">
        <v>0</v>
      </c>
      <c r="Z251" s="429">
        <v>0</v>
      </c>
      <c r="AA251" s="429">
        <v>0</v>
      </c>
      <c r="AB251" s="363"/>
      <c r="AC251" s="363"/>
      <c r="AD251" s="363"/>
      <c r="AE251" s="363"/>
      <c r="AF251" s="363"/>
      <c r="AG251" s="363"/>
      <c r="AH251" s="360">
        <f t="shared" si="14"/>
        <v>0</v>
      </c>
      <c r="AI251" s="362">
        <f>ERP_5[[#This Row],[2026 Working Total]]-ERP_5[[#This Row],[LE2 Final Submission]]</f>
        <v>0</v>
      </c>
      <c r="AJ251" s="79"/>
      <c r="AK251" s="79">
        <f t="shared" si="13"/>
        <v>0</v>
      </c>
      <c r="AL251" s="374">
        <f>SUM(ERP_5[[#This Row],[AP01]:[AP06]])-SUM(ERP_5[[#This Row],[AP01 LE2]:[AP06 LE2]])</f>
        <v>0</v>
      </c>
      <c r="AM251" s="80"/>
      <c r="AN251" s="79">
        <f>ERP_5[[#This Row],[2026 Working Total to Budget/LE]]-ERP_5[[#This Row],[Giveback]]</f>
        <v>0</v>
      </c>
      <c r="AO251" s="81"/>
      <c r="AP251" s="375">
        <v>10113</v>
      </c>
      <c r="AQ251" s="375">
        <v>11863.11</v>
      </c>
      <c r="AR251" s="375">
        <v>-21976.11</v>
      </c>
      <c r="AS251" s="375"/>
      <c r="AT251" s="375"/>
      <c r="AU251" s="375"/>
      <c r="AV251" s="375"/>
      <c r="AW251" s="375"/>
      <c r="AX251" s="375"/>
      <c r="AY251" s="375"/>
      <c r="AZ251" s="375"/>
      <c r="BA251" s="375"/>
      <c r="BB251" s="375">
        <v>0</v>
      </c>
      <c r="BC251" s="79">
        <v>10113</v>
      </c>
      <c r="BD251" s="79">
        <v>11863.11</v>
      </c>
      <c r="BE251" s="79">
        <v>-21976.11</v>
      </c>
      <c r="BF251" s="79"/>
      <c r="BG251" s="79"/>
      <c r="BH251" s="79"/>
      <c r="BI251" s="79"/>
      <c r="BJ251" s="79"/>
      <c r="BK251" s="79"/>
      <c r="BL251" s="79"/>
      <c r="BM251" s="79"/>
      <c r="BN251" s="79"/>
      <c r="BO251" s="79">
        <v>0</v>
      </c>
    </row>
    <row r="252" spans="1:67" ht="15" customHeight="1">
      <c r="A252" s="66" t="s">
        <v>1463</v>
      </c>
      <c r="B252" s="66" t="s">
        <v>213</v>
      </c>
      <c r="C252" s="150" t="s">
        <v>1136</v>
      </c>
      <c r="D252" s="150" t="s">
        <v>1345</v>
      </c>
      <c r="E252" s="150" t="s">
        <v>1450</v>
      </c>
      <c r="F252" s="150" t="s">
        <v>1346</v>
      </c>
      <c r="G252" s="511" t="s">
        <v>49</v>
      </c>
      <c r="H252" s="392" t="s">
        <v>1464</v>
      </c>
      <c r="I252" s="343"/>
      <c r="J252" s="343"/>
      <c r="K252" s="70" t="s">
        <v>214</v>
      </c>
      <c r="L252" s="346"/>
      <c r="M252" s="343"/>
      <c r="N252" s="346"/>
      <c r="O252" s="150" t="s">
        <v>188</v>
      </c>
      <c r="P252" s="150"/>
      <c r="Q252" s="403"/>
      <c r="R252" s="406">
        <v>35000</v>
      </c>
      <c r="S252" s="406">
        <v>0</v>
      </c>
      <c r="T252" s="425"/>
      <c r="U252" s="71"/>
      <c r="V252" s="426"/>
      <c r="W252" s="427"/>
      <c r="X252" s="427"/>
      <c r="Y252" s="428" t="s">
        <v>1142</v>
      </c>
      <c r="Z252" s="429">
        <v>0</v>
      </c>
      <c r="AA252" s="429">
        <v>0</v>
      </c>
      <c r="AB252" s="363"/>
      <c r="AC252" s="363"/>
      <c r="AD252" s="363"/>
      <c r="AE252" s="363"/>
      <c r="AF252" s="363"/>
      <c r="AG252" s="363"/>
      <c r="AH252" s="360">
        <f t="shared" si="14"/>
        <v>0</v>
      </c>
      <c r="AI252" s="362">
        <f>ERP_5[[#This Row],[2026 Working Total]]-ERP_5[[#This Row],[LE2 Final Submission]]</f>
        <v>0</v>
      </c>
      <c r="AJ252" s="79"/>
      <c r="AK252" s="79">
        <f t="shared" si="13"/>
        <v>0</v>
      </c>
      <c r="AL252" s="374">
        <f>SUM(ERP_5[[#This Row],[AP01]:[AP06]])-SUM(ERP_5[[#This Row],[AP01 LE2]:[AP06 LE2]])</f>
        <v>0</v>
      </c>
      <c r="AM252" s="80"/>
      <c r="AN252" s="79">
        <f>ERP_5[[#This Row],[2026 Working Total to Budget/LE]]-ERP_5[[#This Row],[Giveback]]</f>
        <v>0</v>
      </c>
      <c r="AO252" s="81" t="s">
        <v>1465</v>
      </c>
      <c r="AP252" s="375"/>
      <c r="AQ252" s="375"/>
      <c r="AR252" s="375"/>
      <c r="AS252" s="375"/>
      <c r="AT252" s="375"/>
      <c r="AU252" s="375"/>
      <c r="AV252" s="375"/>
      <c r="AW252" s="375"/>
      <c r="AX252" s="375"/>
      <c r="AY252" s="375"/>
      <c r="AZ252" s="375"/>
      <c r="BA252" s="375"/>
      <c r="BB252" s="375">
        <v>0</v>
      </c>
      <c r="BC252" s="79"/>
      <c r="BD252" s="79"/>
      <c r="BE252" s="79"/>
      <c r="BF252" s="79">
        <v>2917</v>
      </c>
      <c r="BG252" s="79">
        <v>2917</v>
      </c>
      <c r="BH252" s="79">
        <v>2917</v>
      </c>
      <c r="BI252" s="79">
        <v>2917</v>
      </c>
      <c r="BJ252" s="79">
        <v>2917</v>
      </c>
      <c r="BK252" s="79">
        <v>2916</v>
      </c>
      <c r="BL252" s="79">
        <v>2916</v>
      </c>
      <c r="BM252" s="79">
        <v>2916</v>
      </c>
      <c r="BN252" s="79">
        <v>2916</v>
      </c>
      <c r="BO252" s="79">
        <v>26249</v>
      </c>
    </row>
    <row r="253" spans="1:67" ht="15" customHeight="1">
      <c r="A253" s="66" t="s">
        <v>2036</v>
      </c>
      <c r="B253" s="66" t="s">
        <v>540</v>
      </c>
      <c r="C253" s="150" t="s">
        <v>1136</v>
      </c>
      <c r="D253" s="150" t="s">
        <v>1345</v>
      </c>
      <c r="E253" s="150" t="s">
        <v>1450</v>
      </c>
      <c r="F253" s="150" t="s">
        <v>1346</v>
      </c>
      <c r="G253" s="511" t="s">
        <v>389</v>
      </c>
      <c r="H253" s="392" t="s">
        <v>1464</v>
      </c>
      <c r="I253" s="343"/>
      <c r="J253" s="343"/>
      <c r="K253" s="70" t="s">
        <v>214</v>
      </c>
      <c r="L253" s="346"/>
      <c r="M253" s="343"/>
      <c r="N253" s="346"/>
      <c r="O253" s="150" t="s">
        <v>188</v>
      </c>
      <c r="P253" s="150"/>
      <c r="Q253" s="403"/>
      <c r="R253" s="406">
        <v>0</v>
      </c>
      <c r="S253" s="406">
        <v>35000</v>
      </c>
      <c r="T253" s="425"/>
      <c r="U253" s="71"/>
      <c r="V253" s="426"/>
      <c r="W253" s="427"/>
      <c r="X253" s="427">
        <v>8751</v>
      </c>
      <c r="Y253" s="428">
        <v>0</v>
      </c>
      <c r="Z253" s="429">
        <v>5834</v>
      </c>
      <c r="AA253" s="429">
        <v>0</v>
      </c>
      <c r="AB253" s="360">
        <v>2917</v>
      </c>
      <c r="AC253" s="360">
        <v>2917</v>
      </c>
      <c r="AD253" s="360">
        <v>2916</v>
      </c>
      <c r="AE253" s="360">
        <v>2916</v>
      </c>
      <c r="AF253" s="360">
        <v>2916</v>
      </c>
      <c r="AG253" s="360">
        <v>2916</v>
      </c>
      <c r="AH253" s="360">
        <f t="shared" si="14"/>
        <v>32083</v>
      </c>
      <c r="AI253" s="362">
        <f>ERP_5[[#This Row],[2026 Working Total]]-ERP_5[[#This Row],[LE2 Final Submission]]</f>
        <v>-2917</v>
      </c>
      <c r="AJ253" s="79">
        <v>2917</v>
      </c>
      <c r="AK253" s="79">
        <f t="shared" si="13"/>
        <v>-2917</v>
      </c>
      <c r="AL253" s="374">
        <f>SUM(ERP_5[[#This Row],[AP01]:[AP06]])-SUM(ERP_5[[#This Row],[AP01 LE2]:[AP06 LE2]])</f>
        <v>-2917</v>
      </c>
      <c r="AM253" s="80"/>
      <c r="AN253" s="79">
        <f>ERP_5[[#This Row],[2026 Working Total to Budget/LE]]-ERP_5[[#This Row],[Giveback]]</f>
        <v>-2917</v>
      </c>
      <c r="AO253" s="81" t="s">
        <v>2037</v>
      </c>
      <c r="AP253" s="375"/>
      <c r="AQ253" s="375"/>
      <c r="AR253" s="375">
        <v>8751</v>
      </c>
      <c r="AS253" s="375">
        <v>2917</v>
      </c>
      <c r="AT253" s="375">
        <v>2917</v>
      </c>
      <c r="AU253" s="375">
        <v>2917</v>
      </c>
      <c r="AV253" s="375">
        <v>2917</v>
      </c>
      <c r="AW253" s="375">
        <v>2917</v>
      </c>
      <c r="AX253" s="375">
        <v>2916</v>
      </c>
      <c r="AY253" s="375">
        <v>2916</v>
      </c>
      <c r="AZ253" s="375">
        <v>2916</v>
      </c>
      <c r="BA253" s="375">
        <v>2916</v>
      </c>
      <c r="BB253" s="375">
        <v>35000</v>
      </c>
      <c r="BC253" s="79"/>
      <c r="BD253" s="79"/>
      <c r="BE253" s="79">
        <v>8751</v>
      </c>
      <c r="BF253" s="79">
        <v>0</v>
      </c>
      <c r="BG253" s="79">
        <v>0</v>
      </c>
      <c r="BH253" s="79">
        <v>0</v>
      </c>
      <c r="BI253" s="79">
        <v>0</v>
      </c>
      <c r="BJ253" s="79">
        <v>0</v>
      </c>
      <c r="BK253" s="79">
        <v>0</v>
      </c>
      <c r="BL253" s="79">
        <v>0</v>
      </c>
      <c r="BM253" s="79">
        <v>0</v>
      </c>
      <c r="BN253" s="79">
        <v>0</v>
      </c>
      <c r="BO253" s="79">
        <v>8751</v>
      </c>
    </row>
    <row r="254" spans="1:67" ht="15" customHeight="1">
      <c r="A254" s="66" t="s">
        <v>1282</v>
      </c>
      <c r="B254" s="66" t="s">
        <v>1283</v>
      </c>
      <c r="C254" s="150" t="s">
        <v>1136</v>
      </c>
      <c r="D254" s="150" t="s">
        <v>1135</v>
      </c>
      <c r="E254" s="150" t="s">
        <v>1165</v>
      </c>
      <c r="F254" s="150" t="s">
        <v>1137</v>
      </c>
      <c r="G254" s="511" t="s">
        <v>49</v>
      </c>
      <c r="H254" s="392" t="s">
        <v>1281</v>
      </c>
      <c r="I254" s="343"/>
      <c r="J254" s="343"/>
      <c r="K254" s="70" t="s">
        <v>121</v>
      </c>
      <c r="L254" s="346"/>
      <c r="M254" s="343"/>
      <c r="N254" s="346"/>
      <c r="O254" s="150" t="s">
        <v>122</v>
      </c>
      <c r="P254" s="150"/>
      <c r="Q254" s="403"/>
      <c r="R254" s="406">
        <v>150000</v>
      </c>
      <c r="S254" s="406">
        <v>149999.65</v>
      </c>
      <c r="T254" s="425"/>
      <c r="U254" s="71"/>
      <c r="V254" s="426"/>
      <c r="W254" s="427"/>
      <c r="X254" s="427">
        <v>36597.65</v>
      </c>
      <c r="Y254" s="428">
        <v>17284.68</v>
      </c>
      <c r="Z254" s="429">
        <v>12179.44</v>
      </c>
      <c r="AA254" s="429">
        <v>11999.990000000002</v>
      </c>
      <c r="AB254" s="363">
        <v>12000</v>
      </c>
      <c r="AC254" s="363">
        <v>12000</v>
      </c>
      <c r="AD254" s="363">
        <v>12000</v>
      </c>
      <c r="AE254" s="363">
        <v>12000</v>
      </c>
      <c r="AF254" s="363">
        <v>12000</v>
      </c>
      <c r="AG254" s="363">
        <v>12000</v>
      </c>
      <c r="AH254" s="360">
        <f t="shared" si="14"/>
        <v>150061.76000000001</v>
      </c>
      <c r="AI254" s="362">
        <f>ERP_5[[#This Row],[2026 Working Total]]-ERP_5[[#This Row],[LE2 Final Submission]]</f>
        <v>62.110000000015134</v>
      </c>
      <c r="AJ254" s="79">
        <v>12900</v>
      </c>
      <c r="AK254" s="79">
        <f t="shared" si="13"/>
        <v>-900.0099999999984</v>
      </c>
      <c r="AL254" s="374">
        <f>SUM(ERP_5[[#This Row],[AP01]:[AP06]])-SUM(ERP_5[[#This Row],[AP01 LE2]:[AP06 LE2]])</f>
        <v>3062.1100000000151</v>
      </c>
      <c r="AM254" s="80"/>
      <c r="AN254" s="79">
        <f>ERP_5[[#This Row],[2026 Working Total to Budget/LE]]-ERP_5[[#This Row],[Giveback]]</f>
        <v>62.110000000015134</v>
      </c>
      <c r="AO254" s="81"/>
      <c r="AP254" s="375"/>
      <c r="AQ254" s="375"/>
      <c r="AR254" s="375">
        <v>36597.65</v>
      </c>
      <c r="AS254" s="375">
        <v>12900</v>
      </c>
      <c r="AT254" s="375">
        <v>12900</v>
      </c>
      <c r="AU254" s="375">
        <v>12602</v>
      </c>
      <c r="AV254" s="375">
        <v>12500</v>
      </c>
      <c r="AW254" s="375">
        <v>12500</v>
      </c>
      <c r="AX254" s="375">
        <v>12500</v>
      </c>
      <c r="AY254" s="375">
        <v>12500</v>
      </c>
      <c r="AZ254" s="375">
        <v>12500</v>
      </c>
      <c r="BA254" s="375">
        <v>12500</v>
      </c>
      <c r="BB254" s="375">
        <v>149999.65</v>
      </c>
      <c r="BC254" s="79"/>
      <c r="BD254" s="79"/>
      <c r="BE254" s="79">
        <v>36597.65</v>
      </c>
      <c r="BF254" s="79">
        <v>12500</v>
      </c>
      <c r="BG254" s="79">
        <v>12500</v>
      </c>
      <c r="BH254" s="79">
        <v>12500</v>
      </c>
      <c r="BI254" s="79">
        <v>12500</v>
      </c>
      <c r="BJ254" s="79">
        <v>12500</v>
      </c>
      <c r="BK254" s="79">
        <v>12500</v>
      </c>
      <c r="BL254" s="79">
        <v>12500</v>
      </c>
      <c r="BM254" s="79">
        <v>12500</v>
      </c>
      <c r="BN254" s="79">
        <v>12500</v>
      </c>
      <c r="BO254" s="79">
        <v>149097.65</v>
      </c>
    </row>
    <row r="255" spans="1:67" ht="15" customHeight="1">
      <c r="A255" s="66" t="s">
        <v>1818</v>
      </c>
      <c r="B255" s="66" t="s">
        <v>1819</v>
      </c>
      <c r="C255" s="150" t="s">
        <v>1136</v>
      </c>
      <c r="D255" s="150" t="s">
        <v>1135</v>
      </c>
      <c r="E255" s="150" t="s">
        <v>1165</v>
      </c>
      <c r="F255" s="150" t="s">
        <v>1137</v>
      </c>
      <c r="G255" s="511" t="s">
        <v>389</v>
      </c>
      <c r="H255" s="392" t="s">
        <v>1820</v>
      </c>
      <c r="I255" s="343"/>
      <c r="J255" s="343"/>
      <c r="K255" s="70" t="s">
        <v>426</v>
      </c>
      <c r="L255" s="346"/>
      <c r="M255" s="343"/>
      <c r="N255" s="346"/>
      <c r="O255" s="150" t="s">
        <v>427</v>
      </c>
      <c r="P255" s="184" t="s">
        <v>1821</v>
      </c>
      <c r="Q255" s="403"/>
      <c r="R255" s="406">
        <v>4651599.96</v>
      </c>
      <c r="S255" s="406">
        <v>4701598.17</v>
      </c>
      <c r="T255" s="425"/>
      <c r="U255" s="71"/>
      <c r="V255" s="426">
        <v>387633.4</v>
      </c>
      <c r="W255" s="427">
        <v>404902.73</v>
      </c>
      <c r="X255" s="427">
        <v>356492.04</v>
      </c>
      <c r="Y255" s="428">
        <v>363571.96</v>
      </c>
      <c r="Z255" s="429">
        <v>461544.87000000005</v>
      </c>
      <c r="AA255" s="429">
        <v>394829.05999999994</v>
      </c>
      <c r="AB255" s="363">
        <v>391800</v>
      </c>
      <c r="AC255" s="363">
        <v>391800</v>
      </c>
      <c r="AD255" s="363">
        <v>391800</v>
      </c>
      <c r="AE255" s="363">
        <v>391800</v>
      </c>
      <c r="AF255" s="363">
        <v>391800</v>
      </c>
      <c r="AG255" s="363">
        <v>387633</v>
      </c>
      <c r="AH255" s="360">
        <f t="shared" si="14"/>
        <v>4715607.0600000005</v>
      </c>
      <c r="AI255" s="504">
        <f>ERP_5[[#This Row],[2026 Working Total]]-ERP_5[[#This Row],[LE2 Final Submission]]</f>
        <v>14008.890000000596</v>
      </c>
      <c r="AJ255" s="79">
        <v>391800</v>
      </c>
      <c r="AK255" s="79">
        <f t="shared" si="13"/>
        <v>3029.0599999999395</v>
      </c>
      <c r="AL255" s="374">
        <f>SUM(ERP_5[[#This Row],[AP01]:[AP06]])-SUM(ERP_5[[#This Row],[AP01 LE2]:[AP06 LE2]])</f>
        <v>14008.89000000013</v>
      </c>
      <c r="AM255" s="80"/>
      <c r="AN255" s="79">
        <f>ERP_5[[#This Row],[2026 Working Total to Budget/LE]]-ERP_5[[#This Row],[Giveback]]</f>
        <v>14008.890000000596</v>
      </c>
      <c r="AO255" s="81"/>
      <c r="AP255" s="375">
        <v>387633.4</v>
      </c>
      <c r="AQ255" s="375">
        <v>404902.73</v>
      </c>
      <c r="AR255" s="375">
        <v>356492.04</v>
      </c>
      <c r="AS255" s="375">
        <v>422337</v>
      </c>
      <c r="AT255" s="375">
        <v>391800</v>
      </c>
      <c r="AU255" s="375">
        <v>391800</v>
      </c>
      <c r="AV255" s="375">
        <v>391800</v>
      </c>
      <c r="AW255" s="375">
        <v>391800</v>
      </c>
      <c r="AX255" s="375">
        <v>391800</v>
      </c>
      <c r="AY255" s="375">
        <v>391800</v>
      </c>
      <c r="AZ255" s="375">
        <v>391800</v>
      </c>
      <c r="BA255" s="375">
        <v>387633</v>
      </c>
      <c r="BB255" s="375">
        <v>4701598.17</v>
      </c>
      <c r="BC255" s="79">
        <v>387633.4</v>
      </c>
      <c r="BD255" s="79">
        <v>404902.73</v>
      </c>
      <c r="BE255" s="79">
        <v>356492.04</v>
      </c>
      <c r="BF255" s="79">
        <v>387633.33</v>
      </c>
      <c r="BG255" s="79">
        <v>387633.33</v>
      </c>
      <c r="BH255" s="79">
        <v>387633.33</v>
      </c>
      <c r="BI255" s="79">
        <v>387633.33</v>
      </c>
      <c r="BJ255" s="79">
        <v>387633.33</v>
      </c>
      <c r="BK255" s="79">
        <v>387633.33</v>
      </c>
      <c r="BL255" s="79">
        <v>387633.33</v>
      </c>
      <c r="BM255" s="79">
        <v>387633.33</v>
      </c>
      <c r="BN255" s="79">
        <v>387633.33</v>
      </c>
      <c r="BO255" s="79">
        <v>4637728.1400000006</v>
      </c>
    </row>
    <row r="256" spans="1:67" ht="15" customHeight="1">
      <c r="A256" s="79" t="s">
        <v>2099</v>
      </c>
      <c r="B256" s="296" t="s">
        <v>2100</v>
      </c>
      <c r="C256" s="150" t="s">
        <v>1136</v>
      </c>
      <c r="D256" s="332" t="s">
        <v>1345</v>
      </c>
      <c r="E256" s="383" t="s">
        <v>1346</v>
      </c>
      <c r="F256" s="331" t="s">
        <v>1346</v>
      </c>
      <c r="G256" s="512" t="s">
        <v>389</v>
      </c>
      <c r="H256" s="393" t="s">
        <v>2101</v>
      </c>
      <c r="I256" s="343"/>
      <c r="J256" s="331"/>
      <c r="K256" s="91" t="s">
        <v>571</v>
      </c>
      <c r="L256" s="343"/>
      <c r="M256" s="346" t="s">
        <v>1221</v>
      </c>
      <c r="N256" s="348"/>
      <c r="O256" s="386" t="s">
        <v>432</v>
      </c>
      <c r="P256" s="387" t="s">
        <v>2102</v>
      </c>
      <c r="Q256" s="432"/>
      <c r="R256" s="358">
        <v>1236</v>
      </c>
      <c r="S256" s="378">
        <v>0</v>
      </c>
      <c r="T256" s="425"/>
      <c r="U256" s="71"/>
      <c r="V256" s="433"/>
      <c r="W256" s="434"/>
      <c r="X256" s="434"/>
      <c r="Y256" s="428" t="s">
        <v>1142</v>
      </c>
      <c r="Z256" s="429">
        <v>0</v>
      </c>
      <c r="AA256" s="429">
        <v>0</v>
      </c>
      <c r="AB256" s="388">
        <v>0</v>
      </c>
      <c r="AC256" s="388">
        <v>0</v>
      </c>
      <c r="AD256" s="388">
        <v>0</v>
      </c>
      <c r="AE256" s="388">
        <v>0</v>
      </c>
      <c r="AF256" s="388">
        <v>0</v>
      </c>
      <c r="AG256" s="388">
        <v>0</v>
      </c>
      <c r="AH256" s="360">
        <f t="shared" si="14"/>
        <v>0</v>
      </c>
      <c r="AI256" s="362">
        <f>ERP_5[[#This Row],[2026 Working Total]]-ERP_5[[#This Row],[LE2 Final Submission]]</f>
        <v>0</v>
      </c>
      <c r="AJ256" s="79">
        <v>0</v>
      </c>
      <c r="AK256" s="79">
        <f t="shared" si="13"/>
        <v>0</v>
      </c>
      <c r="AL256" s="374">
        <f>SUM(ERP_5[[#This Row],[AP01]:[AP06]])-SUM(ERP_5[[#This Row],[AP01 LE2]:[AP06 LE2]])</f>
        <v>0</v>
      </c>
      <c r="AM256" s="80"/>
      <c r="AN256" s="79">
        <f>ERP_5[[#This Row],[2026 Working Total to Budget/LE]]-ERP_5[[#This Row],[Giveback]]</f>
        <v>0</v>
      </c>
      <c r="AO256" s="81"/>
      <c r="AP256" s="375"/>
      <c r="AQ256" s="375"/>
      <c r="AR256" s="375"/>
      <c r="AS256" s="375">
        <v>0</v>
      </c>
      <c r="AT256" s="375">
        <v>0</v>
      </c>
      <c r="AU256" s="375">
        <v>0</v>
      </c>
      <c r="AV256" s="375">
        <v>0</v>
      </c>
      <c r="AW256" s="375">
        <v>0</v>
      </c>
      <c r="AX256" s="375">
        <v>0</v>
      </c>
      <c r="AY256" s="375">
        <v>0</v>
      </c>
      <c r="AZ256" s="375">
        <v>0</v>
      </c>
      <c r="BA256" s="375">
        <v>0</v>
      </c>
      <c r="BB256" s="375">
        <v>0</v>
      </c>
      <c r="BC256" s="103">
        <v>412</v>
      </c>
      <c r="BD256" s="103">
        <v>412</v>
      </c>
      <c r="BE256" s="103">
        <v>412</v>
      </c>
      <c r="BF256" s="103">
        <v>0</v>
      </c>
      <c r="BG256" s="103">
        <v>0</v>
      </c>
      <c r="BH256" s="103">
        <v>0</v>
      </c>
      <c r="BI256" s="103">
        <v>0</v>
      </c>
      <c r="BJ256" s="103">
        <v>0</v>
      </c>
      <c r="BK256" s="103">
        <v>0</v>
      </c>
      <c r="BL256" s="103">
        <v>0</v>
      </c>
      <c r="BM256" s="103">
        <v>0</v>
      </c>
      <c r="BN256" s="103">
        <v>0</v>
      </c>
      <c r="BO256" s="79">
        <f>SUM(ERP_5[[#This Row],[2026 AP01]:[2026 AP12]])</f>
        <v>1236</v>
      </c>
    </row>
    <row r="257" spans="1:67" ht="15" customHeight="1">
      <c r="A257" s="66" t="s">
        <v>2052</v>
      </c>
      <c r="B257" s="66" t="s">
        <v>2053</v>
      </c>
      <c r="C257" s="150" t="s">
        <v>1136</v>
      </c>
      <c r="D257" s="150" t="s">
        <v>1345</v>
      </c>
      <c r="E257" s="150" t="s">
        <v>1346</v>
      </c>
      <c r="F257" s="150" t="s">
        <v>1346</v>
      </c>
      <c r="G257" s="511" t="s">
        <v>389</v>
      </c>
      <c r="H257" s="392" t="s">
        <v>2054</v>
      </c>
      <c r="I257" s="343"/>
      <c r="J257" s="343"/>
      <c r="K257" s="70" t="s">
        <v>573</v>
      </c>
      <c r="L257" s="346"/>
      <c r="M257" s="343"/>
      <c r="N257" s="346"/>
      <c r="O257" s="150" t="s">
        <v>432</v>
      </c>
      <c r="P257" s="150"/>
      <c r="Q257" s="403"/>
      <c r="R257" s="406">
        <v>42000</v>
      </c>
      <c r="S257" s="406">
        <v>37871.96</v>
      </c>
      <c r="T257" s="430"/>
      <c r="U257" s="137"/>
      <c r="V257" s="426">
        <v>1370.43</v>
      </c>
      <c r="W257" s="427">
        <v>3605.56</v>
      </c>
      <c r="X257" s="427">
        <v>1395.97</v>
      </c>
      <c r="Y257" s="428">
        <v>1255.79</v>
      </c>
      <c r="Z257" s="429">
        <v>2734.6699999999996</v>
      </c>
      <c r="AA257" s="429">
        <v>2056.0299999999997</v>
      </c>
      <c r="AB257" s="363">
        <v>3500</v>
      </c>
      <c r="AC257" s="363">
        <v>3500</v>
      </c>
      <c r="AD257" s="363">
        <v>3500</v>
      </c>
      <c r="AE257" s="363">
        <v>3500</v>
      </c>
      <c r="AF257" s="363">
        <v>3500</v>
      </c>
      <c r="AG257" s="363">
        <v>3500</v>
      </c>
      <c r="AH257" s="360">
        <f t="shared" si="14"/>
        <v>33418.449999999997</v>
      </c>
      <c r="AI257" s="362">
        <f>ERP_5[[#This Row],[2026 Working Total]]-ERP_5[[#This Row],[LE2 Final Submission]]</f>
        <v>-4453.510000000002</v>
      </c>
      <c r="AJ257" s="79">
        <v>3500</v>
      </c>
      <c r="AK257" s="79">
        <f t="shared" si="13"/>
        <v>-1443.9700000000003</v>
      </c>
      <c r="AL257" s="374">
        <f>SUM(ERP_5[[#This Row],[AP01]:[AP06]])-SUM(ERP_5[[#This Row],[AP01 LE2]:[AP06 LE2]])</f>
        <v>-4453.5099999999984</v>
      </c>
      <c r="AM257" s="80"/>
      <c r="AN257" s="79">
        <f>ERP_5[[#This Row],[2026 Working Total to Budget/LE]]-ERP_5[[#This Row],[Giveback]]</f>
        <v>-4453.510000000002</v>
      </c>
      <c r="AO257" s="81"/>
      <c r="AP257" s="375">
        <v>1370.43</v>
      </c>
      <c r="AQ257" s="375">
        <v>3605.56</v>
      </c>
      <c r="AR257" s="375">
        <v>1395.97</v>
      </c>
      <c r="AS257" s="375">
        <v>3500</v>
      </c>
      <c r="AT257" s="375">
        <v>3500</v>
      </c>
      <c r="AU257" s="375">
        <v>3500</v>
      </c>
      <c r="AV257" s="375">
        <v>3500</v>
      </c>
      <c r="AW257" s="375">
        <v>3500</v>
      </c>
      <c r="AX257" s="375">
        <v>3500</v>
      </c>
      <c r="AY257" s="375">
        <v>3500</v>
      </c>
      <c r="AZ257" s="375">
        <v>3500</v>
      </c>
      <c r="BA257" s="375">
        <v>3500</v>
      </c>
      <c r="BB257" s="375">
        <v>37871.96</v>
      </c>
      <c r="BC257" s="79">
        <v>1370.43</v>
      </c>
      <c r="BD257" s="79">
        <v>3605.56</v>
      </c>
      <c r="BE257" s="79">
        <v>1395.97</v>
      </c>
      <c r="BF257" s="79">
        <v>3500</v>
      </c>
      <c r="BG257" s="79">
        <v>3500</v>
      </c>
      <c r="BH257" s="79">
        <v>3500</v>
      </c>
      <c r="BI257" s="79">
        <v>3500</v>
      </c>
      <c r="BJ257" s="79">
        <v>3500</v>
      </c>
      <c r="BK257" s="79">
        <v>3500</v>
      </c>
      <c r="BL257" s="79">
        <v>3500</v>
      </c>
      <c r="BM257" s="79">
        <v>3500</v>
      </c>
      <c r="BN257" s="79">
        <v>3500</v>
      </c>
      <c r="BO257" s="79">
        <v>37871.96</v>
      </c>
    </row>
    <row r="258" spans="1:67" ht="15" customHeight="1">
      <c r="A258" s="66" t="s">
        <v>1822</v>
      </c>
      <c r="B258" s="66" t="s">
        <v>1823</v>
      </c>
      <c r="C258" s="150" t="s">
        <v>1136</v>
      </c>
      <c r="D258" s="150" t="s">
        <v>1135</v>
      </c>
      <c r="E258" s="150" t="s">
        <v>1165</v>
      </c>
      <c r="F258" s="150" t="s">
        <v>1137</v>
      </c>
      <c r="G258" s="511" t="s">
        <v>389</v>
      </c>
      <c r="H258" s="392" t="s">
        <v>1824</v>
      </c>
      <c r="I258" s="343"/>
      <c r="J258" s="343"/>
      <c r="K258" s="70" t="s">
        <v>429</v>
      </c>
      <c r="L258" s="346"/>
      <c r="M258" s="343"/>
      <c r="N258" s="346"/>
      <c r="O258" s="150" t="s">
        <v>427</v>
      </c>
      <c r="P258" s="482" t="s">
        <v>1825</v>
      </c>
      <c r="Q258" s="403"/>
      <c r="R258" s="406">
        <v>1832799.9600000002</v>
      </c>
      <c r="S258" s="406">
        <v>1832798.4200000002</v>
      </c>
      <c r="T258" s="425"/>
      <c r="U258" s="71"/>
      <c r="V258" s="426"/>
      <c r="W258" s="427">
        <v>293304.34999999998</v>
      </c>
      <c r="X258" s="427">
        <v>164894.1</v>
      </c>
      <c r="Y258" s="428">
        <v>142089.47</v>
      </c>
      <c r="Z258" s="429">
        <v>163378.12</v>
      </c>
      <c r="AA258" s="429">
        <v>152732.93000000002</v>
      </c>
      <c r="AB258" s="363">
        <v>172399</v>
      </c>
      <c r="AC258" s="363">
        <v>172399</v>
      </c>
      <c r="AD258" s="363">
        <v>172399</v>
      </c>
      <c r="AE258" s="363">
        <v>172399</v>
      </c>
      <c r="AF258" s="363">
        <v>172399</v>
      </c>
      <c r="AG258" s="363">
        <v>172399</v>
      </c>
      <c r="AH258" s="360">
        <f t="shared" si="14"/>
        <v>1950792.97</v>
      </c>
      <c r="AI258" s="504">
        <f>ERP_5[[#This Row],[2026 Working Total]]-ERP_5[[#This Row],[LE2 Final Submission]]</f>
        <v>117994.54999999981</v>
      </c>
      <c r="AJ258" s="79">
        <v>152733.32999999999</v>
      </c>
      <c r="AK258" s="79">
        <f t="shared" si="13"/>
        <v>-0.3999999999650754</v>
      </c>
      <c r="AL258" s="374">
        <f>SUM(ERP_5[[#This Row],[AP01]:[AP06]])-SUM(ERP_5[[#This Row],[AP01 LE2]:[AP06 LE2]])</f>
        <v>0.530000000144355</v>
      </c>
      <c r="AM258" s="80"/>
      <c r="AN258" s="79">
        <f>ERP_5[[#This Row],[2026 Working Total to Budget/LE]]-ERP_5[[#This Row],[Giveback]]</f>
        <v>117994.54999999981</v>
      </c>
      <c r="AO258" s="81"/>
      <c r="AP258" s="375"/>
      <c r="AQ258" s="375">
        <v>293304.34999999998</v>
      </c>
      <c r="AR258" s="375">
        <v>164894.1</v>
      </c>
      <c r="AS258" s="375">
        <v>152733.32999999999</v>
      </c>
      <c r="AT258" s="375">
        <v>152733.32999999999</v>
      </c>
      <c r="AU258" s="375">
        <v>152733.32999999999</v>
      </c>
      <c r="AV258" s="375">
        <v>152733.32999999999</v>
      </c>
      <c r="AW258" s="375">
        <v>152733.32999999999</v>
      </c>
      <c r="AX258" s="375">
        <v>152733.32999999999</v>
      </c>
      <c r="AY258" s="375">
        <v>152733.32999999999</v>
      </c>
      <c r="AZ258" s="375">
        <v>152733.32999999999</v>
      </c>
      <c r="BA258" s="375">
        <v>152733.32999999999</v>
      </c>
      <c r="BB258" s="375">
        <v>1832798.4200000002</v>
      </c>
      <c r="BC258" s="79"/>
      <c r="BD258" s="79">
        <v>293304.34999999998</v>
      </c>
      <c r="BE258" s="79">
        <v>164894.1</v>
      </c>
      <c r="BF258" s="79">
        <v>152733.32999999999</v>
      </c>
      <c r="BG258" s="79">
        <v>152733.32999999999</v>
      </c>
      <c r="BH258" s="79">
        <v>152733.32999999999</v>
      </c>
      <c r="BI258" s="79">
        <v>152733.32999999999</v>
      </c>
      <c r="BJ258" s="79">
        <v>152733.32999999999</v>
      </c>
      <c r="BK258" s="79">
        <v>152733.32999999999</v>
      </c>
      <c r="BL258" s="79">
        <v>152733.32999999999</v>
      </c>
      <c r="BM258" s="79">
        <v>152733.32999999999</v>
      </c>
      <c r="BN258" s="79">
        <v>152733.32999999999</v>
      </c>
      <c r="BO258" s="79">
        <v>1832798.4200000002</v>
      </c>
    </row>
    <row r="259" spans="1:67" ht="15" customHeight="1">
      <c r="A259" s="66" t="s">
        <v>1826</v>
      </c>
      <c r="B259" s="66" t="s">
        <v>1827</v>
      </c>
      <c r="C259" s="150" t="s">
        <v>1136</v>
      </c>
      <c r="D259" s="150" t="s">
        <v>1135</v>
      </c>
      <c r="E259" s="150" t="s">
        <v>1137</v>
      </c>
      <c r="F259" s="150" t="s">
        <v>1137</v>
      </c>
      <c r="G259" s="511" t="s">
        <v>389</v>
      </c>
      <c r="H259" s="392" t="s">
        <v>1828</v>
      </c>
      <c r="I259" s="343"/>
      <c r="J259" s="343"/>
      <c r="K259" s="70" t="s">
        <v>431</v>
      </c>
      <c r="L259" s="346"/>
      <c r="M259" s="343"/>
      <c r="N259" s="346"/>
      <c r="O259" s="150" t="s">
        <v>432</v>
      </c>
      <c r="P259" s="1" t="s">
        <v>1141</v>
      </c>
      <c r="Q259" s="403"/>
      <c r="R259" s="406">
        <v>18000</v>
      </c>
      <c r="S259" s="406">
        <v>19824.739999999998</v>
      </c>
      <c r="T259" s="425"/>
      <c r="U259" s="71"/>
      <c r="V259" s="426">
        <v>531.82000000000005</v>
      </c>
      <c r="W259" s="427">
        <v>3988.46</v>
      </c>
      <c r="X259" s="427">
        <v>1804.46</v>
      </c>
      <c r="Y259" s="428">
        <v>988.66</v>
      </c>
      <c r="Z259" s="429">
        <v>162.79999999999998</v>
      </c>
      <c r="AA259" s="429">
        <v>0</v>
      </c>
      <c r="AB259" s="363">
        <v>1500</v>
      </c>
      <c r="AC259" s="363">
        <v>1500</v>
      </c>
      <c r="AD259" s="363">
        <v>1500</v>
      </c>
      <c r="AE259" s="363">
        <v>1500</v>
      </c>
      <c r="AF259" s="363">
        <v>1500</v>
      </c>
      <c r="AG259" s="363">
        <v>1500</v>
      </c>
      <c r="AH259" s="360">
        <f t="shared" si="14"/>
        <v>16476.2</v>
      </c>
      <c r="AI259" s="362">
        <f>ERP_5[[#This Row],[2026 Working Total]]-ERP_5[[#This Row],[LE2 Final Submission]]</f>
        <v>-3348.5399999999972</v>
      </c>
      <c r="AJ259" s="79">
        <v>1500</v>
      </c>
      <c r="AK259" s="79">
        <f t="shared" si="13"/>
        <v>-1500</v>
      </c>
      <c r="AL259" s="374">
        <f>SUM(ERP_5[[#This Row],[AP01]:[AP06]])-SUM(ERP_5[[#This Row],[AP01 LE2]:[AP06 LE2]])</f>
        <v>-3348.54</v>
      </c>
      <c r="AM259" s="80"/>
      <c r="AN259" s="79">
        <f>ERP_5[[#This Row],[2026 Working Total to Budget/LE]]-ERP_5[[#This Row],[Giveback]]</f>
        <v>-3348.5399999999972</v>
      </c>
      <c r="AO259" s="81"/>
      <c r="AP259" s="375">
        <v>531.82000000000005</v>
      </c>
      <c r="AQ259" s="375">
        <v>3988.46</v>
      </c>
      <c r="AR259" s="375">
        <v>1804.46</v>
      </c>
      <c r="AS259" s="375">
        <v>1500</v>
      </c>
      <c r="AT259" s="375">
        <v>1500</v>
      </c>
      <c r="AU259" s="375">
        <v>1500</v>
      </c>
      <c r="AV259" s="375">
        <v>1500</v>
      </c>
      <c r="AW259" s="375">
        <v>1500</v>
      </c>
      <c r="AX259" s="375">
        <v>1500</v>
      </c>
      <c r="AY259" s="375">
        <v>1500</v>
      </c>
      <c r="AZ259" s="375">
        <v>1500</v>
      </c>
      <c r="BA259" s="375">
        <v>1500</v>
      </c>
      <c r="BB259" s="375">
        <v>19824.739999999998</v>
      </c>
      <c r="BC259" s="79">
        <v>531.82000000000005</v>
      </c>
      <c r="BD259" s="79">
        <v>3988.46</v>
      </c>
      <c r="BE259" s="79">
        <v>1804.46</v>
      </c>
      <c r="BF259" s="79">
        <v>1500</v>
      </c>
      <c r="BG259" s="79">
        <v>1500</v>
      </c>
      <c r="BH259" s="79">
        <v>1500</v>
      </c>
      <c r="BI259" s="79">
        <v>1500</v>
      </c>
      <c r="BJ259" s="79">
        <v>1500</v>
      </c>
      <c r="BK259" s="79">
        <v>1500</v>
      </c>
      <c r="BL259" s="79">
        <v>1500</v>
      </c>
      <c r="BM259" s="79">
        <v>1500</v>
      </c>
      <c r="BN259" s="79">
        <v>1500</v>
      </c>
      <c r="BO259" s="79">
        <v>19824.739999999998</v>
      </c>
    </row>
    <row r="260" spans="1:67" ht="15" customHeight="1">
      <c r="A260" s="150" t="s">
        <v>1439</v>
      </c>
      <c r="B260" s="296" t="s">
        <v>200</v>
      </c>
      <c r="C260" s="150" t="s">
        <v>1136</v>
      </c>
      <c r="D260" s="150" t="s">
        <v>1345</v>
      </c>
      <c r="E260" s="150" t="s">
        <v>1345</v>
      </c>
      <c r="F260" s="150" t="s">
        <v>1345</v>
      </c>
      <c r="G260" s="514" t="s">
        <v>49</v>
      </c>
      <c r="H260" s="394" t="s">
        <v>1440</v>
      </c>
      <c r="I260" s="333"/>
      <c r="J260" s="332" t="s">
        <v>1441</v>
      </c>
      <c r="K260" s="90" t="s">
        <v>201</v>
      </c>
      <c r="L260" s="347"/>
      <c r="M260" s="348" t="s">
        <v>1442</v>
      </c>
      <c r="N260" s="348"/>
      <c r="O260" s="348"/>
      <c r="P260" s="503" t="s">
        <v>2911</v>
      </c>
      <c r="Q260" s="402"/>
      <c r="R260" s="406"/>
      <c r="S260" s="406"/>
      <c r="T260" s="425"/>
      <c r="U260" s="71"/>
      <c r="V260" s="435"/>
      <c r="W260" s="436"/>
      <c r="X260" s="436"/>
      <c r="Y260" s="429"/>
      <c r="Z260" s="429">
        <v>50000</v>
      </c>
      <c r="AA260" s="429">
        <v>0</v>
      </c>
      <c r="AB260" s="364"/>
      <c r="AC260" s="364">
        <v>50000</v>
      </c>
      <c r="AD260" s="364"/>
      <c r="AE260" s="364">
        <v>50000</v>
      </c>
      <c r="AF260" s="364"/>
      <c r="AG260" s="364"/>
      <c r="AH260" s="360">
        <f t="shared" si="14"/>
        <v>150000</v>
      </c>
      <c r="AI260" s="362">
        <f>ERP_5[[#This Row],[2026 Working Total]]-ERP_5[[#This Row],[LE2 Final Submission]]</f>
        <v>150000</v>
      </c>
      <c r="AJ260" s="79"/>
      <c r="AK260" s="79">
        <f t="shared" si="13"/>
        <v>0</v>
      </c>
      <c r="AL260" s="374">
        <f>SUM(ERP_5[[#This Row],[AP01]:[AP06]])-SUM(ERP_5[[#This Row],[AP01 LE2]:[AP06 LE2]])</f>
        <v>50000</v>
      </c>
      <c r="AM260" s="80"/>
      <c r="AN260" s="79">
        <f>ERP_5[[#This Row],[2026 Working Total to Budget/LE]]-ERP_5[[#This Row],[Giveback]]</f>
        <v>150000</v>
      </c>
      <c r="AO260" s="81"/>
      <c r="AP260" s="375"/>
      <c r="AQ260" s="375"/>
      <c r="AR260" s="375"/>
      <c r="AS260" s="375"/>
      <c r="AT260" s="375"/>
      <c r="AU260" s="375"/>
      <c r="AV260" s="375"/>
      <c r="AW260" s="375"/>
      <c r="AX260" s="375"/>
      <c r="AY260" s="375"/>
      <c r="AZ260" s="375"/>
      <c r="BA260" s="375"/>
      <c r="BB260" s="375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</row>
    <row r="261" spans="1:67" ht="15" customHeight="1">
      <c r="A261" s="66" t="s">
        <v>2016</v>
      </c>
      <c r="B261" s="66" t="s">
        <v>527</v>
      </c>
      <c r="C261" s="150" t="s">
        <v>1136</v>
      </c>
      <c r="D261" s="150" t="s">
        <v>1345</v>
      </c>
      <c r="E261" s="150" t="s">
        <v>1345</v>
      </c>
      <c r="F261" s="150" t="s">
        <v>1346</v>
      </c>
      <c r="G261" s="511" t="s">
        <v>389</v>
      </c>
      <c r="H261" s="392" t="s">
        <v>1492</v>
      </c>
      <c r="I261" s="343"/>
      <c r="J261" s="343"/>
      <c r="K261" s="70" t="s">
        <v>201</v>
      </c>
      <c r="L261" s="346"/>
      <c r="M261" s="343"/>
      <c r="N261" s="346"/>
      <c r="O261" s="150" t="s">
        <v>232</v>
      </c>
      <c r="P261" s="503" t="s">
        <v>2911</v>
      </c>
      <c r="Q261" s="403"/>
      <c r="R261" s="406">
        <v>0</v>
      </c>
      <c r="S261" s="406">
        <v>200000</v>
      </c>
      <c r="T261" s="430"/>
      <c r="U261" s="137"/>
      <c r="V261" s="426"/>
      <c r="W261" s="427"/>
      <c r="X261" s="427">
        <v>50000</v>
      </c>
      <c r="Y261" s="428">
        <v>0</v>
      </c>
      <c r="Z261" s="429">
        <v>0</v>
      </c>
      <c r="AA261" s="429">
        <v>0</v>
      </c>
      <c r="AB261" s="360">
        <v>0</v>
      </c>
      <c r="AC261" s="363">
        <v>0</v>
      </c>
      <c r="AD261" s="360">
        <v>0</v>
      </c>
      <c r="AE261" s="363">
        <v>0</v>
      </c>
      <c r="AF261" s="360">
        <v>0</v>
      </c>
      <c r="AG261" s="360">
        <v>0</v>
      </c>
      <c r="AH261" s="360">
        <f t="shared" si="14"/>
        <v>50000</v>
      </c>
      <c r="AI261" s="362">
        <f>ERP_5[[#This Row],[2026 Working Total]]-ERP_5[[#This Row],[LE2 Final Submission]]</f>
        <v>-150000</v>
      </c>
      <c r="AJ261" s="79">
        <v>50000</v>
      </c>
      <c r="AK261" s="79">
        <f t="shared" si="13"/>
        <v>-50000</v>
      </c>
      <c r="AL261" s="374">
        <f>SUM(ERP_5[[#This Row],[AP01]:[AP06]])-SUM(ERP_5[[#This Row],[AP01 LE2]:[AP06 LE2]])</f>
        <v>-50000</v>
      </c>
      <c r="AM261" s="80"/>
      <c r="AN261" s="79">
        <f>ERP_5[[#This Row],[2026 Working Total to Budget/LE]]-ERP_5[[#This Row],[Giveback]]</f>
        <v>-150000</v>
      </c>
      <c r="AO261" s="81"/>
      <c r="AP261" s="375"/>
      <c r="AQ261" s="375"/>
      <c r="AR261" s="375">
        <v>50000</v>
      </c>
      <c r="AS261" s="375">
        <v>0</v>
      </c>
      <c r="AT261" s="375">
        <v>50000</v>
      </c>
      <c r="AU261" s="375">
        <v>0</v>
      </c>
      <c r="AV261" s="375">
        <v>0</v>
      </c>
      <c r="AW261" s="375">
        <v>50000</v>
      </c>
      <c r="AX261" s="375">
        <v>0</v>
      </c>
      <c r="AY261" s="375">
        <v>50000</v>
      </c>
      <c r="AZ261" s="375">
        <v>0</v>
      </c>
      <c r="BA261" s="375">
        <v>0</v>
      </c>
      <c r="BB261" s="375">
        <v>200000</v>
      </c>
      <c r="BC261" s="79"/>
      <c r="BD261" s="79"/>
      <c r="BE261" s="79">
        <v>50000</v>
      </c>
      <c r="BF261" s="79">
        <v>0</v>
      </c>
      <c r="BG261" s="79">
        <v>0</v>
      </c>
      <c r="BH261" s="79">
        <v>0</v>
      </c>
      <c r="BI261" s="79">
        <v>0</v>
      </c>
      <c r="BJ261" s="79">
        <v>0</v>
      </c>
      <c r="BK261" s="79">
        <v>0</v>
      </c>
      <c r="BL261" s="79">
        <v>0</v>
      </c>
      <c r="BM261" s="79">
        <v>0</v>
      </c>
      <c r="BN261" s="79">
        <v>0</v>
      </c>
      <c r="BO261" s="79">
        <v>50000</v>
      </c>
    </row>
    <row r="262" spans="1:67" ht="15" customHeight="1">
      <c r="A262" s="66" t="s">
        <v>1491</v>
      </c>
      <c r="B262" s="66" t="s">
        <v>231</v>
      </c>
      <c r="C262" s="150" t="s">
        <v>1136</v>
      </c>
      <c r="D262" s="150" t="s">
        <v>1345</v>
      </c>
      <c r="E262" s="150" t="s">
        <v>1480</v>
      </c>
      <c r="F262" s="150" t="s">
        <v>1346</v>
      </c>
      <c r="G262" s="511" t="s">
        <v>49</v>
      </c>
      <c r="H262" s="392" t="s">
        <v>1492</v>
      </c>
      <c r="I262" s="343"/>
      <c r="J262" s="343"/>
      <c r="K262" s="70" t="s">
        <v>201</v>
      </c>
      <c r="L262" s="346"/>
      <c r="M262" s="343"/>
      <c r="N262" s="346"/>
      <c r="O262" s="150" t="s">
        <v>232</v>
      </c>
      <c r="P262" s="150" t="s">
        <v>1494</v>
      </c>
      <c r="Q262" s="404"/>
      <c r="R262" s="407">
        <v>0</v>
      </c>
      <c r="S262" s="407">
        <v>0</v>
      </c>
      <c r="T262" s="430"/>
      <c r="U262" s="137"/>
      <c r="V262" s="426">
        <v>50000</v>
      </c>
      <c r="W262" s="431">
        <v>0</v>
      </c>
      <c r="X262" s="427">
        <v>-50000</v>
      </c>
      <c r="Y262" s="428">
        <v>50000</v>
      </c>
      <c r="Z262" s="429">
        <v>-50000</v>
      </c>
      <c r="AA262" s="429">
        <v>0</v>
      </c>
      <c r="AB262" s="363"/>
      <c r="AC262" s="363"/>
      <c r="AD262" s="363"/>
      <c r="AE262" s="363"/>
      <c r="AF262" s="363"/>
      <c r="AG262" s="363"/>
      <c r="AH262" s="360">
        <f t="shared" si="14"/>
        <v>0</v>
      </c>
      <c r="AI262" s="362">
        <f>ERP_5[[#This Row],[2026 Working Total]]-ERP_5[[#This Row],[LE2 Final Submission]]</f>
        <v>0</v>
      </c>
      <c r="AJ262" s="79">
        <v>-50000</v>
      </c>
      <c r="AK262" s="79">
        <f t="shared" si="13"/>
        <v>50000</v>
      </c>
      <c r="AL262" s="374">
        <f>SUM(ERP_5[[#This Row],[AP01]:[AP06]])-SUM(ERP_5[[#This Row],[AP01 LE2]:[AP06 LE2]])</f>
        <v>0</v>
      </c>
      <c r="AM262" s="80"/>
      <c r="AN262" s="79">
        <f>ERP_5[[#This Row],[2026 Working Total to Budget/LE]]-ERP_5[[#This Row],[Giveback]]</f>
        <v>0</v>
      </c>
      <c r="AO262" s="81"/>
      <c r="AP262" s="375">
        <v>50000</v>
      </c>
      <c r="AQ262" s="375">
        <v>0</v>
      </c>
      <c r="AR262" s="375">
        <v>-50000</v>
      </c>
      <c r="AS262" s="375">
        <v>50000</v>
      </c>
      <c r="AT262" s="375">
        <v>-50000</v>
      </c>
      <c r="AU262" s="375"/>
      <c r="AV262" s="375"/>
      <c r="AW262" s="375"/>
      <c r="AX262" s="375"/>
      <c r="AY262" s="375"/>
      <c r="AZ262" s="375"/>
      <c r="BA262" s="375"/>
      <c r="BB262" s="375">
        <v>0</v>
      </c>
      <c r="BC262" s="79">
        <v>50000</v>
      </c>
      <c r="BD262" s="79">
        <v>0</v>
      </c>
      <c r="BE262" s="79">
        <v>-50000</v>
      </c>
      <c r="BF262" s="79"/>
      <c r="BG262" s="79"/>
      <c r="BH262" s="79"/>
      <c r="BI262" s="79"/>
      <c r="BJ262" s="79"/>
      <c r="BK262" s="79"/>
      <c r="BL262" s="79"/>
      <c r="BM262" s="79"/>
      <c r="BN262" s="79"/>
      <c r="BO262" s="79">
        <v>0</v>
      </c>
    </row>
    <row r="263" spans="1:67" ht="15" customHeight="1">
      <c r="A263" s="66" t="s">
        <v>2056</v>
      </c>
      <c r="B263" s="66" t="s">
        <v>551</v>
      </c>
      <c r="C263" s="150" t="s">
        <v>1136</v>
      </c>
      <c r="D263" s="150" t="s">
        <v>1345</v>
      </c>
      <c r="E263" s="150" t="s">
        <v>1480</v>
      </c>
      <c r="F263" s="150" t="s">
        <v>1346</v>
      </c>
      <c r="G263" s="511" t="s">
        <v>389</v>
      </c>
      <c r="H263" s="392" t="s">
        <v>1492</v>
      </c>
      <c r="I263" s="343"/>
      <c r="J263" s="343"/>
      <c r="K263" s="70" t="s">
        <v>201</v>
      </c>
      <c r="L263" s="346"/>
      <c r="M263" s="343"/>
      <c r="N263" s="346"/>
      <c r="O263" s="150" t="s">
        <v>232</v>
      </c>
      <c r="P263" s="150" t="s">
        <v>2057</v>
      </c>
      <c r="Q263" s="403"/>
      <c r="R263" s="406">
        <v>200000</v>
      </c>
      <c r="S263" s="406">
        <v>0</v>
      </c>
      <c r="T263" s="430"/>
      <c r="U263" s="137"/>
      <c r="V263" s="426"/>
      <c r="W263" s="427"/>
      <c r="X263" s="427"/>
      <c r="Y263" s="428" t="s">
        <v>1142</v>
      </c>
      <c r="Z263" s="429">
        <v>0</v>
      </c>
      <c r="AA263" s="429">
        <v>0</v>
      </c>
      <c r="AB263" s="360">
        <v>0</v>
      </c>
      <c r="AC263" s="363">
        <v>0</v>
      </c>
      <c r="AD263" s="360">
        <v>0</v>
      </c>
      <c r="AE263" s="363">
        <v>0</v>
      </c>
      <c r="AF263" s="360">
        <v>0</v>
      </c>
      <c r="AG263" s="360">
        <v>0</v>
      </c>
      <c r="AH263" s="360">
        <f t="shared" si="14"/>
        <v>0</v>
      </c>
      <c r="AI263" s="362">
        <f>ERP_5[[#This Row],[2026 Working Total]]-ERP_5[[#This Row],[LE2 Final Submission]]</f>
        <v>0</v>
      </c>
      <c r="AJ263" s="79">
        <v>0</v>
      </c>
      <c r="AK263" s="79">
        <f t="shared" si="13"/>
        <v>0</v>
      </c>
      <c r="AL263" s="374">
        <f>SUM(ERP_5[[#This Row],[AP01]:[AP06]])-SUM(ERP_5[[#This Row],[AP01 LE2]:[AP06 LE2]])</f>
        <v>0</v>
      </c>
      <c r="AM263" s="80"/>
      <c r="AN263" s="79">
        <f>ERP_5[[#This Row],[2026 Working Total to Budget/LE]]-ERP_5[[#This Row],[Giveback]]</f>
        <v>0</v>
      </c>
      <c r="AO263" s="81"/>
      <c r="AP263" s="375"/>
      <c r="AQ263" s="375"/>
      <c r="AR263" s="375"/>
      <c r="AS263" s="375"/>
      <c r="AT263" s="375">
        <v>0</v>
      </c>
      <c r="AU263" s="375">
        <v>0</v>
      </c>
      <c r="AV263" s="375">
        <v>0</v>
      </c>
      <c r="AW263" s="375">
        <v>0</v>
      </c>
      <c r="AX263" s="375">
        <v>0</v>
      </c>
      <c r="AY263" s="375">
        <v>0</v>
      </c>
      <c r="AZ263" s="375">
        <v>0</v>
      </c>
      <c r="BA263" s="375">
        <v>0</v>
      </c>
      <c r="BB263" s="375">
        <v>0</v>
      </c>
      <c r="BC263" s="79"/>
      <c r="BD263" s="79"/>
      <c r="BE263" s="79"/>
      <c r="BF263" s="79"/>
      <c r="BG263" s="79">
        <v>50000</v>
      </c>
      <c r="BH263" s="79">
        <v>0</v>
      </c>
      <c r="BI263" s="79">
        <v>0</v>
      </c>
      <c r="BJ263" s="79">
        <v>50000</v>
      </c>
      <c r="BK263" s="79">
        <v>0</v>
      </c>
      <c r="BL263" s="79">
        <v>50000</v>
      </c>
      <c r="BM263" s="79">
        <v>0</v>
      </c>
      <c r="BN263" s="79">
        <v>0</v>
      </c>
      <c r="BO263" s="79">
        <v>150000</v>
      </c>
    </row>
    <row r="264" spans="1:67" ht="15" customHeight="1">
      <c r="A264" s="66" t="s">
        <v>1829</v>
      </c>
      <c r="B264" s="66" t="s">
        <v>1830</v>
      </c>
      <c r="C264" s="150" t="s">
        <v>1136</v>
      </c>
      <c r="D264" s="150" t="s">
        <v>1135</v>
      </c>
      <c r="E264" s="150" t="s">
        <v>1165</v>
      </c>
      <c r="F264" s="150" t="s">
        <v>1137</v>
      </c>
      <c r="G264" s="511" t="s">
        <v>389</v>
      </c>
      <c r="H264" s="392" t="s">
        <v>1831</v>
      </c>
      <c r="I264" s="343" t="s">
        <v>1832</v>
      </c>
      <c r="J264" s="343">
        <v>2430238</v>
      </c>
      <c r="K264" s="70" t="s">
        <v>124</v>
      </c>
      <c r="L264" s="346"/>
      <c r="M264" s="343">
        <v>9501133449</v>
      </c>
      <c r="N264" s="346"/>
      <c r="O264" s="150" t="s">
        <v>434</v>
      </c>
      <c r="P264" s="150"/>
      <c r="Q264" s="403"/>
      <c r="R264" s="406">
        <v>141887.51999999996</v>
      </c>
      <c r="S264" s="406">
        <v>62335.31</v>
      </c>
      <c r="T264" s="425"/>
      <c r="U264" s="71"/>
      <c r="V264" s="426">
        <v>11347.01</v>
      </c>
      <c r="W264" s="427">
        <v>7087.77</v>
      </c>
      <c r="X264" s="427">
        <v>10590.53</v>
      </c>
      <c r="Y264" s="428">
        <v>13238.160000000002</v>
      </c>
      <c r="Z264" s="429">
        <v>10590.539999999999</v>
      </c>
      <c r="AA264" s="429">
        <v>10590.54</v>
      </c>
      <c r="AB264" s="364"/>
      <c r="AC264" s="364"/>
      <c r="AD264" s="364"/>
      <c r="AE264" s="364"/>
      <c r="AF264" s="364"/>
      <c r="AG264" s="364"/>
      <c r="AH264" s="360">
        <f t="shared" si="14"/>
        <v>63444.55</v>
      </c>
      <c r="AI264" s="362">
        <f>ERP_5[[#This Row],[2026 Working Total]]-ERP_5[[#This Row],[LE2 Final Submission]]</f>
        <v>1109.2400000000052</v>
      </c>
      <c r="AJ264" s="79">
        <v>12130</v>
      </c>
      <c r="AK264" s="79">
        <f t="shared" ref="AK264:AK327" si="17">$AA264 - $AJ264</f>
        <v>-1539.4599999999991</v>
      </c>
      <c r="AL264" s="374">
        <f>SUM(ERP_5[[#This Row],[AP01]:[AP06]])-SUM(ERP_5[[#This Row],[AP01 LE2]:[AP06 LE2]])</f>
        <v>1109.2400000000052</v>
      </c>
      <c r="AM264" s="80"/>
      <c r="AN264" s="79">
        <f>ERP_5[[#This Row],[2026 Working Total to Budget/LE]]-ERP_5[[#This Row],[Giveback]]</f>
        <v>1109.2400000000052</v>
      </c>
      <c r="AO264" s="81"/>
      <c r="AP264" s="375">
        <v>11347.01</v>
      </c>
      <c r="AQ264" s="375">
        <v>7087.77</v>
      </c>
      <c r="AR264" s="375">
        <v>10590.53</v>
      </c>
      <c r="AS264" s="375">
        <v>10590</v>
      </c>
      <c r="AT264" s="375">
        <v>12130</v>
      </c>
      <c r="AU264" s="375">
        <v>10590</v>
      </c>
      <c r="AV264" s="375"/>
      <c r="AW264" s="375"/>
      <c r="AX264" s="375"/>
      <c r="AY264" s="375"/>
      <c r="AZ264" s="375"/>
      <c r="BA264" s="375"/>
      <c r="BB264" s="375">
        <v>62335.31</v>
      </c>
      <c r="BC264" s="79">
        <v>11347.01</v>
      </c>
      <c r="BD264" s="79">
        <v>7087.77</v>
      </c>
      <c r="BE264" s="79">
        <v>10590.53</v>
      </c>
      <c r="BF264" s="79">
        <v>11157</v>
      </c>
      <c r="BG264" s="79">
        <v>11157</v>
      </c>
      <c r="BH264" s="79">
        <v>11157</v>
      </c>
      <c r="BI264" s="79">
        <v>11157</v>
      </c>
      <c r="BJ264" s="79">
        <v>11157</v>
      </c>
      <c r="BK264" s="79">
        <v>11157</v>
      </c>
      <c r="BL264" s="79">
        <v>11157</v>
      </c>
      <c r="BM264" s="79">
        <v>11157</v>
      </c>
      <c r="BN264" s="79">
        <v>11157</v>
      </c>
      <c r="BO264" s="79">
        <v>129438.31</v>
      </c>
    </row>
    <row r="265" spans="1:67" ht="15" customHeight="1">
      <c r="A265" s="66" t="s">
        <v>1285</v>
      </c>
      <c r="B265" s="66" t="s">
        <v>1286</v>
      </c>
      <c r="C265" s="150" t="s">
        <v>1136</v>
      </c>
      <c r="D265" s="150" t="s">
        <v>1135</v>
      </c>
      <c r="E265" s="150" t="s">
        <v>1145</v>
      </c>
      <c r="F265" s="150" t="s">
        <v>1137</v>
      </c>
      <c r="G265" s="511" t="s">
        <v>49</v>
      </c>
      <c r="H265" s="392" t="s">
        <v>1287</v>
      </c>
      <c r="I265" s="343"/>
      <c r="J265" s="343"/>
      <c r="K265" s="157" t="s">
        <v>126</v>
      </c>
      <c r="L265" s="346"/>
      <c r="M265" s="343"/>
      <c r="N265" s="346"/>
      <c r="O265" s="150" t="s">
        <v>127</v>
      </c>
      <c r="P265" s="150"/>
      <c r="Q265" s="403"/>
      <c r="R265" s="406">
        <v>115200</v>
      </c>
      <c r="S265" s="406">
        <v>89600</v>
      </c>
      <c r="T265" s="425"/>
      <c r="U265" s="71"/>
      <c r="V265" s="426"/>
      <c r="W265" s="427"/>
      <c r="X265" s="427"/>
      <c r="Y265" s="428">
        <v>0</v>
      </c>
      <c r="Z265" s="429">
        <v>0</v>
      </c>
      <c r="AA265" s="429">
        <v>0</v>
      </c>
      <c r="AB265" s="363">
        <f>12800+3600</f>
        <v>16400</v>
      </c>
      <c r="AC265" s="363">
        <f>12800+3600</f>
        <v>16400</v>
      </c>
      <c r="AD265" s="363">
        <v>12800</v>
      </c>
      <c r="AE265" s="363">
        <v>12800</v>
      </c>
      <c r="AF265" s="363">
        <v>12800</v>
      </c>
      <c r="AG265" s="363">
        <v>12800</v>
      </c>
      <c r="AH265" s="360">
        <f t="shared" si="14"/>
        <v>84000</v>
      </c>
      <c r="AI265" s="362">
        <f>ERP_5[[#This Row],[2026 Working Total]]-ERP_5[[#This Row],[LE2 Final Submission]]</f>
        <v>-5600</v>
      </c>
      <c r="AJ265" s="79">
        <v>0</v>
      </c>
      <c r="AK265" s="79">
        <f t="shared" si="17"/>
        <v>0</v>
      </c>
      <c r="AL265" s="374">
        <f>SUM(ERP_5[[#This Row],[AP01]:[AP06]])-SUM(ERP_5[[#This Row],[AP01 LE2]:[AP06 LE2]])</f>
        <v>-12800</v>
      </c>
      <c r="AM265" s="80"/>
      <c r="AN265" s="79">
        <f>ERP_5[[#This Row],[2026 Working Total to Budget/LE]]-ERP_5[[#This Row],[Giveback]]</f>
        <v>-5600</v>
      </c>
      <c r="AO265" s="81"/>
      <c r="AP265" s="375"/>
      <c r="AQ265" s="375"/>
      <c r="AR265" s="375"/>
      <c r="AS265" s="375">
        <v>0</v>
      </c>
      <c r="AT265" s="375">
        <v>0</v>
      </c>
      <c r="AU265" s="375">
        <v>12800</v>
      </c>
      <c r="AV265" s="375">
        <v>12800</v>
      </c>
      <c r="AW265" s="375">
        <v>12800</v>
      </c>
      <c r="AX265" s="375">
        <v>12800</v>
      </c>
      <c r="AY265" s="375">
        <v>12800</v>
      </c>
      <c r="AZ265" s="375">
        <v>12800</v>
      </c>
      <c r="BA265" s="375">
        <v>12800</v>
      </c>
      <c r="BB265" s="375">
        <v>89600</v>
      </c>
      <c r="BC265" s="79"/>
      <c r="BD265" s="79"/>
      <c r="BE265" s="79"/>
      <c r="BF265" s="79">
        <v>12800</v>
      </c>
      <c r="BG265" s="79">
        <v>12800</v>
      </c>
      <c r="BH265" s="79">
        <v>12800</v>
      </c>
      <c r="BI265" s="79">
        <v>12800</v>
      </c>
      <c r="BJ265" s="79">
        <v>12800</v>
      </c>
      <c r="BK265" s="79">
        <v>12800</v>
      </c>
      <c r="BL265" s="79">
        <v>12800</v>
      </c>
      <c r="BM265" s="79">
        <v>12800</v>
      </c>
      <c r="BN265" s="79">
        <v>12800</v>
      </c>
      <c r="BO265" s="79">
        <v>115200</v>
      </c>
    </row>
    <row r="266" spans="1:67" ht="15" customHeight="1">
      <c r="A266" s="66" t="s">
        <v>1833</v>
      </c>
      <c r="B266" s="66" t="s">
        <v>1834</v>
      </c>
      <c r="C266" s="150" t="s">
        <v>1136</v>
      </c>
      <c r="D266" s="150" t="s">
        <v>1135</v>
      </c>
      <c r="E266" s="150" t="s">
        <v>1156</v>
      </c>
      <c r="F266" s="150" t="s">
        <v>1137</v>
      </c>
      <c r="G266" s="511" t="s">
        <v>389</v>
      </c>
      <c r="H266" s="392" t="s">
        <v>1835</v>
      </c>
      <c r="I266" s="343"/>
      <c r="J266" s="343"/>
      <c r="K266" s="70" t="s">
        <v>436</v>
      </c>
      <c r="L266" s="346"/>
      <c r="M266" s="343"/>
      <c r="N266" s="346"/>
      <c r="O266" s="150" t="s">
        <v>57</v>
      </c>
      <c r="P266" s="150" t="s">
        <v>2912</v>
      </c>
      <c r="Q266" s="403"/>
      <c r="R266" s="406">
        <v>4558</v>
      </c>
      <c r="S266" s="406">
        <v>3418.5099999999998</v>
      </c>
      <c r="T266" s="425"/>
      <c r="U266" s="71"/>
      <c r="V266" s="426"/>
      <c r="W266" s="427"/>
      <c r="X266" s="427"/>
      <c r="Y266" s="428" t="s">
        <v>1142</v>
      </c>
      <c r="Z266" s="429">
        <v>0</v>
      </c>
      <c r="AA266" s="429">
        <v>0</v>
      </c>
      <c r="AB266" s="363">
        <v>379.83</v>
      </c>
      <c r="AC266" s="363">
        <v>379.83</v>
      </c>
      <c r="AD266" s="363">
        <v>379.83</v>
      </c>
      <c r="AE266" s="363">
        <v>379.83</v>
      </c>
      <c r="AF266" s="363">
        <v>379.83</v>
      </c>
      <c r="AG266" s="363">
        <v>379.87</v>
      </c>
      <c r="AH266" s="360">
        <f t="shared" si="14"/>
        <v>2279.02</v>
      </c>
      <c r="AI266" s="362">
        <f>ERP_5[[#This Row],[2026 Working Total]]-ERP_5[[#This Row],[LE2 Final Submission]]</f>
        <v>-1139.4899999999998</v>
      </c>
      <c r="AJ266" s="79">
        <v>379.83</v>
      </c>
      <c r="AK266" s="79">
        <f t="shared" si="17"/>
        <v>-379.83</v>
      </c>
      <c r="AL266" s="374">
        <f>SUM(ERP_5[[#This Row],[AP01]:[AP06]])-SUM(ERP_5[[#This Row],[AP01 LE2]:[AP06 LE2]])</f>
        <v>-1139.49</v>
      </c>
      <c r="AM266" s="80"/>
      <c r="AN266" s="79">
        <f>ERP_5[[#This Row],[2026 Working Total to Budget/LE]]-ERP_5[[#This Row],[Giveback]]</f>
        <v>-1139.4899999999998</v>
      </c>
      <c r="AO266" s="81"/>
      <c r="AP266" s="375"/>
      <c r="AQ266" s="375"/>
      <c r="AR266" s="375"/>
      <c r="AS266" s="375">
        <v>379.83</v>
      </c>
      <c r="AT266" s="375">
        <v>379.83</v>
      </c>
      <c r="AU266" s="375">
        <v>379.83</v>
      </c>
      <c r="AV266" s="375">
        <v>379.83</v>
      </c>
      <c r="AW266" s="375">
        <v>379.83</v>
      </c>
      <c r="AX266" s="375">
        <v>379.83</v>
      </c>
      <c r="AY266" s="375">
        <v>379.83</v>
      </c>
      <c r="AZ266" s="375">
        <v>379.83</v>
      </c>
      <c r="BA266" s="375">
        <v>379.87</v>
      </c>
      <c r="BB266" s="375">
        <v>3418.5099999999998</v>
      </c>
      <c r="BC266" s="79"/>
      <c r="BD266" s="79"/>
      <c r="BE266" s="79"/>
      <c r="BF266" s="79">
        <v>379.83</v>
      </c>
      <c r="BG266" s="79">
        <v>379.83</v>
      </c>
      <c r="BH266" s="79">
        <v>379.83</v>
      </c>
      <c r="BI266" s="79">
        <v>379.83</v>
      </c>
      <c r="BJ266" s="79">
        <v>379.83</v>
      </c>
      <c r="BK266" s="79">
        <v>379.83</v>
      </c>
      <c r="BL266" s="79">
        <v>379.83</v>
      </c>
      <c r="BM266" s="79">
        <v>379.83</v>
      </c>
      <c r="BN266" s="79">
        <v>379.87</v>
      </c>
      <c r="BO266" s="79">
        <v>3418.5099999999998</v>
      </c>
    </row>
    <row r="267" spans="1:67" ht="15" customHeight="1">
      <c r="A267" s="66" t="s">
        <v>1837</v>
      </c>
      <c r="B267" s="66" t="s">
        <v>1838</v>
      </c>
      <c r="C267" s="150" t="s">
        <v>1136</v>
      </c>
      <c r="D267" s="150" t="s">
        <v>1135</v>
      </c>
      <c r="E267" s="150" t="s">
        <v>1165</v>
      </c>
      <c r="F267" s="150" t="s">
        <v>1137</v>
      </c>
      <c r="G267" s="511" t="s">
        <v>389</v>
      </c>
      <c r="H267" s="392" t="s">
        <v>1835</v>
      </c>
      <c r="I267" s="343"/>
      <c r="J267" s="343"/>
      <c r="K267" s="70" t="s">
        <v>436</v>
      </c>
      <c r="L267" s="346"/>
      <c r="M267" s="343"/>
      <c r="N267" s="346"/>
      <c r="O267" s="150" t="s">
        <v>57</v>
      </c>
      <c r="P267" s="150" t="s">
        <v>2912</v>
      </c>
      <c r="Q267" s="403"/>
      <c r="R267" s="406">
        <v>0</v>
      </c>
      <c r="S267" s="406">
        <v>1351.1499999999999</v>
      </c>
      <c r="T267" s="425"/>
      <c r="U267" s="71"/>
      <c r="V267" s="426">
        <v>696.35</v>
      </c>
      <c r="W267" s="427">
        <v>599.02</v>
      </c>
      <c r="X267" s="427">
        <v>55.78</v>
      </c>
      <c r="Y267" s="428">
        <v>27.89</v>
      </c>
      <c r="Z267" s="429">
        <v>596.58999999999992</v>
      </c>
      <c r="AA267" s="429">
        <v>549.04999999999995</v>
      </c>
      <c r="AB267" s="363">
        <v>0</v>
      </c>
      <c r="AC267" s="363">
        <v>0</v>
      </c>
      <c r="AD267" s="363">
        <v>0</v>
      </c>
      <c r="AE267" s="363">
        <v>0</v>
      </c>
      <c r="AF267" s="363">
        <v>0</v>
      </c>
      <c r="AG267" s="363">
        <v>0</v>
      </c>
      <c r="AH267" s="360">
        <f t="shared" si="14"/>
        <v>2524.6799999999998</v>
      </c>
      <c r="AI267" s="362">
        <f>ERP_5[[#This Row],[2026 Working Total]]-ERP_5[[#This Row],[LE2 Final Submission]]</f>
        <v>1173.53</v>
      </c>
      <c r="AJ267" s="79">
        <v>0</v>
      </c>
      <c r="AK267" s="79">
        <f t="shared" si="17"/>
        <v>549.04999999999995</v>
      </c>
      <c r="AL267" s="374">
        <f>SUM(ERP_5[[#This Row],[AP01]:[AP06]])-SUM(ERP_5[[#This Row],[AP01 LE2]:[AP06 LE2]])</f>
        <v>1173.53</v>
      </c>
      <c r="AM267" s="80"/>
      <c r="AN267" s="79">
        <f>ERP_5[[#This Row],[2026 Working Total to Budget/LE]]-ERP_5[[#This Row],[Giveback]]</f>
        <v>1173.53</v>
      </c>
      <c r="AO267" s="81"/>
      <c r="AP267" s="375">
        <v>696.35</v>
      </c>
      <c r="AQ267" s="375">
        <v>599.02</v>
      </c>
      <c r="AR267" s="375">
        <v>55.78</v>
      </c>
      <c r="AS267" s="375">
        <v>0</v>
      </c>
      <c r="AT267" s="375">
        <v>0</v>
      </c>
      <c r="AU267" s="375">
        <v>0</v>
      </c>
      <c r="AV267" s="375">
        <v>0</v>
      </c>
      <c r="AW267" s="375">
        <v>0</v>
      </c>
      <c r="AX267" s="375">
        <v>0</v>
      </c>
      <c r="AY267" s="375">
        <v>0</v>
      </c>
      <c r="AZ267" s="375">
        <v>0</v>
      </c>
      <c r="BA267" s="375">
        <v>0</v>
      </c>
      <c r="BB267" s="375">
        <v>1351.1499999999999</v>
      </c>
      <c r="BC267" s="79">
        <v>696.35</v>
      </c>
      <c r="BD267" s="79">
        <v>599.02</v>
      </c>
      <c r="BE267" s="79">
        <v>55.78</v>
      </c>
      <c r="BF267" s="79">
        <v>600</v>
      </c>
      <c r="BG267" s="79">
        <v>600</v>
      </c>
      <c r="BH267" s="79">
        <v>600</v>
      </c>
      <c r="BI267" s="79">
        <v>600</v>
      </c>
      <c r="BJ267" s="79">
        <v>600</v>
      </c>
      <c r="BK267" s="79">
        <v>600</v>
      </c>
      <c r="BL267" s="79">
        <v>600</v>
      </c>
      <c r="BM267" s="79">
        <v>600</v>
      </c>
      <c r="BN267" s="79">
        <v>600</v>
      </c>
      <c r="BO267" s="79">
        <v>6751.15</v>
      </c>
    </row>
    <row r="268" spans="1:67" ht="15" customHeight="1">
      <c r="A268" s="66" t="s">
        <v>1466</v>
      </c>
      <c r="B268" s="66" t="s">
        <v>215</v>
      </c>
      <c r="C268" s="150" t="s">
        <v>1136</v>
      </c>
      <c r="D268" s="150" t="s">
        <v>1345</v>
      </c>
      <c r="E268" s="150" t="s">
        <v>1450</v>
      </c>
      <c r="F268" s="150" t="s">
        <v>1346</v>
      </c>
      <c r="G268" s="511" t="s">
        <v>49</v>
      </c>
      <c r="H268" s="392" t="s">
        <v>1467</v>
      </c>
      <c r="I268" s="343"/>
      <c r="J268" s="343"/>
      <c r="K268" s="70" t="s">
        <v>216</v>
      </c>
      <c r="L268" s="346"/>
      <c r="M268" s="343"/>
      <c r="N268" s="346"/>
      <c r="O268" s="150" t="s">
        <v>217</v>
      </c>
      <c r="P268" s="150"/>
      <c r="Q268" s="403"/>
      <c r="R268" s="406">
        <v>6000</v>
      </c>
      <c r="S268" s="406">
        <v>0</v>
      </c>
      <c r="T268" s="425"/>
      <c r="U268" s="71"/>
      <c r="V268" s="426"/>
      <c r="W268" s="427"/>
      <c r="X268" s="427"/>
      <c r="Y268" s="428">
        <v>0</v>
      </c>
      <c r="Z268" s="429">
        <v>79.41</v>
      </c>
      <c r="AA268" s="429">
        <v>0</v>
      </c>
      <c r="AB268" s="363"/>
      <c r="AC268" s="363"/>
      <c r="AD268" s="363"/>
      <c r="AE268" s="363"/>
      <c r="AF268" s="363"/>
      <c r="AG268" s="363"/>
      <c r="AH268" s="360">
        <f t="shared" ref="AH268:AH331" si="18">SUM(V268:AG268)</f>
        <v>79.41</v>
      </c>
      <c r="AI268" s="362">
        <f>ERP_5[[#This Row],[2026 Working Total]]-ERP_5[[#This Row],[LE2 Final Submission]]</f>
        <v>79.41</v>
      </c>
      <c r="AJ268" s="79"/>
      <c r="AK268" s="79">
        <f t="shared" si="17"/>
        <v>0</v>
      </c>
      <c r="AL268" s="374">
        <f>SUM(ERP_5[[#This Row],[AP01]:[AP06]])-SUM(ERP_5[[#This Row],[AP01 LE2]:[AP06 LE2]])</f>
        <v>79.41</v>
      </c>
      <c r="AM268" s="80"/>
      <c r="AN268" s="79">
        <f>ERP_5[[#This Row],[2026 Working Total to Budget/LE]]-ERP_5[[#This Row],[Giveback]]</f>
        <v>79.41</v>
      </c>
      <c r="AO268" s="81" t="s">
        <v>1465</v>
      </c>
      <c r="AP268" s="375"/>
      <c r="AQ268" s="375"/>
      <c r="AR268" s="375"/>
      <c r="AS268" s="375"/>
      <c r="AT268" s="375"/>
      <c r="AU268" s="375"/>
      <c r="AV268" s="375"/>
      <c r="AW268" s="375"/>
      <c r="AX268" s="375"/>
      <c r="AY268" s="375"/>
      <c r="AZ268" s="375"/>
      <c r="BA268" s="375"/>
      <c r="BB268" s="375">
        <v>0</v>
      </c>
      <c r="BC268" s="79"/>
      <c r="BD268" s="79"/>
      <c r="BE268" s="79"/>
      <c r="BF268" s="79">
        <v>500</v>
      </c>
      <c r="BG268" s="79">
        <v>500</v>
      </c>
      <c r="BH268" s="79">
        <v>500</v>
      </c>
      <c r="BI268" s="79">
        <v>500</v>
      </c>
      <c r="BJ268" s="79">
        <v>500</v>
      </c>
      <c r="BK268" s="79">
        <v>500</v>
      </c>
      <c r="BL268" s="79">
        <v>500</v>
      </c>
      <c r="BM268" s="79">
        <v>500</v>
      </c>
      <c r="BN268" s="79">
        <v>500</v>
      </c>
      <c r="BO268" s="79">
        <v>4500</v>
      </c>
    </row>
    <row r="269" spans="1:67" ht="15" customHeight="1">
      <c r="A269" s="66" t="s">
        <v>2038</v>
      </c>
      <c r="B269" s="66" t="s">
        <v>541</v>
      </c>
      <c r="C269" s="150" t="s">
        <v>1136</v>
      </c>
      <c r="D269" s="150" t="s">
        <v>1345</v>
      </c>
      <c r="E269" s="150" t="s">
        <v>1450</v>
      </c>
      <c r="F269" s="150" t="s">
        <v>1346</v>
      </c>
      <c r="G269" s="511" t="s">
        <v>389</v>
      </c>
      <c r="H269" s="392" t="s">
        <v>1467</v>
      </c>
      <c r="I269" s="343"/>
      <c r="J269" s="343"/>
      <c r="K269" s="70" t="s">
        <v>216</v>
      </c>
      <c r="L269" s="346"/>
      <c r="M269" s="343"/>
      <c r="N269" s="346"/>
      <c r="O269" s="150" t="s">
        <v>217</v>
      </c>
      <c r="P269" s="150"/>
      <c r="Q269" s="403"/>
      <c r="R269" s="406">
        <v>0</v>
      </c>
      <c r="S269" s="406">
        <v>7906.64</v>
      </c>
      <c r="T269" s="425"/>
      <c r="U269" s="71"/>
      <c r="V269" s="426">
        <v>988.33</v>
      </c>
      <c r="W269" s="427">
        <v>988.33</v>
      </c>
      <c r="X269" s="427">
        <v>988.33</v>
      </c>
      <c r="Y269" s="428">
        <v>1792.83</v>
      </c>
      <c r="Z269" s="429">
        <v>988.32999999999993</v>
      </c>
      <c r="AA269" s="429">
        <v>10337.959999999999</v>
      </c>
      <c r="AB269" s="360">
        <v>988.33</v>
      </c>
      <c r="AC269" s="360">
        <v>988.33</v>
      </c>
      <c r="AD269" s="360">
        <v>0</v>
      </c>
      <c r="AE269" s="360">
        <v>0</v>
      </c>
      <c r="AF269" s="360">
        <v>0</v>
      </c>
      <c r="AG269" s="360">
        <v>0</v>
      </c>
      <c r="AH269" s="360">
        <f t="shared" si="18"/>
        <v>18060.77</v>
      </c>
      <c r="AI269" s="362">
        <f>ERP_5[[#This Row],[2026 Working Total]]-ERP_5[[#This Row],[LE2 Final Submission]]</f>
        <v>10154.130000000001</v>
      </c>
      <c r="AJ269" s="79">
        <v>988.33</v>
      </c>
      <c r="AK269" s="79">
        <f t="shared" si="17"/>
        <v>9349.6299999999992</v>
      </c>
      <c r="AL269" s="374">
        <f>SUM(ERP_5[[#This Row],[AP01]:[AP06]])-SUM(ERP_5[[#This Row],[AP01 LE2]:[AP06 LE2]])</f>
        <v>10154.129999999997</v>
      </c>
      <c r="AM269" s="80"/>
      <c r="AN269" s="79">
        <f>ERP_5[[#This Row],[2026 Working Total to Budget/LE]]-ERP_5[[#This Row],[Giveback]]</f>
        <v>10154.130000000001</v>
      </c>
      <c r="AO269" s="81" t="s">
        <v>2037</v>
      </c>
      <c r="AP269" s="375">
        <v>988.33</v>
      </c>
      <c r="AQ269" s="375">
        <v>988.33</v>
      </c>
      <c r="AR269" s="375">
        <v>988.33</v>
      </c>
      <c r="AS269" s="375">
        <v>988.33</v>
      </c>
      <c r="AT269" s="375">
        <v>988.33</v>
      </c>
      <c r="AU269" s="375">
        <v>988.33</v>
      </c>
      <c r="AV269" s="375">
        <v>988.33</v>
      </c>
      <c r="AW269" s="375">
        <v>988.33</v>
      </c>
      <c r="AX269" s="375">
        <v>0</v>
      </c>
      <c r="AY269" s="375">
        <v>0</v>
      </c>
      <c r="AZ269" s="375">
        <v>0</v>
      </c>
      <c r="BA269" s="375">
        <v>0</v>
      </c>
      <c r="BB269" s="375">
        <v>7906.64</v>
      </c>
      <c r="BC269" s="79">
        <v>988.33</v>
      </c>
      <c r="BD269" s="79">
        <v>988.33</v>
      </c>
      <c r="BE269" s="79">
        <v>988.33</v>
      </c>
      <c r="BF269" s="79">
        <v>0</v>
      </c>
      <c r="BG269" s="79">
        <v>0</v>
      </c>
      <c r="BH269" s="79">
        <v>0</v>
      </c>
      <c r="BI269" s="79">
        <v>0</v>
      </c>
      <c r="BJ269" s="79">
        <v>0</v>
      </c>
      <c r="BK269" s="79">
        <v>0</v>
      </c>
      <c r="BL269" s="79">
        <v>0</v>
      </c>
      <c r="BM269" s="79">
        <v>0</v>
      </c>
      <c r="BN269" s="79">
        <v>0</v>
      </c>
      <c r="BO269" s="79">
        <v>2964.9900000000002</v>
      </c>
    </row>
    <row r="270" spans="1:67" ht="15" customHeight="1">
      <c r="A270" s="66" t="s">
        <v>1385</v>
      </c>
      <c r="B270" s="66" t="s">
        <v>176</v>
      </c>
      <c r="C270" s="150" t="s">
        <v>1136</v>
      </c>
      <c r="D270" s="150" t="s">
        <v>1345</v>
      </c>
      <c r="E270" s="150" t="s">
        <v>1344</v>
      </c>
      <c r="F270" s="150" t="s">
        <v>1346</v>
      </c>
      <c r="G270" s="511" t="s">
        <v>49</v>
      </c>
      <c r="H270" s="392" t="s">
        <v>1386</v>
      </c>
      <c r="I270" s="343" t="s">
        <v>1387</v>
      </c>
      <c r="J270" s="346" t="s">
        <v>1363</v>
      </c>
      <c r="K270" s="70" t="s">
        <v>177</v>
      </c>
      <c r="L270" s="346"/>
      <c r="M270" s="346" t="s">
        <v>1388</v>
      </c>
      <c r="N270" s="346"/>
      <c r="O270" s="150" t="s">
        <v>25</v>
      </c>
      <c r="P270" s="150"/>
      <c r="Q270" s="403"/>
      <c r="R270" s="406">
        <v>1452300</v>
      </c>
      <c r="S270" s="406">
        <v>963567.79</v>
      </c>
      <c r="T270" s="425"/>
      <c r="U270" s="71"/>
      <c r="V270" s="426">
        <v>48462.57</v>
      </c>
      <c r="W270" s="427">
        <v>207334.66</v>
      </c>
      <c r="X270" s="427">
        <v>98620.56</v>
      </c>
      <c r="Y270" s="428">
        <v>116861</v>
      </c>
      <c r="Z270" s="429">
        <v>28181.629999999976</v>
      </c>
      <c r="AA270" s="429">
        <v>293546.2</v>
      </c>
      <c r="AB270" s="363">
        <v>70000</v>
      </c>
      <c r="AC270" s="363">
        <v>70000</v>
      </c>
      <c r="AD270" s="363">
        <v>70000</v>
      </c>
      <c r="AE270" s="363">
        <v>70000</v>
      </c>
      <c r="AF270" s="363">
        <v>70000</v>
      </c>
      <c r="AG270" s="363">
        <v>54107</v>
      </c>
      <c r="AH270" s="360">
        <f t="shared" si="18"/>
        <v>1197113.6200000001</v>
      </c>
      <c r="AI270" s="362">
        <f>ERP_5[[#This Row],[2026 Working Total]]-ERP_5[[#This Row],[LE2 Final Submission]]</f>
        <v>233545.83000000007</v>
      </c>
      <c r="AJ270" s="79">
        <v>132050</v>
      </c>
      <c r="AK270" s="79">
        <f t="shared" si="17"/>
        <v>161496.20000000001</v>
      </c>
      <c r="AL270" s="374">
        <f>SUM(ERP_5[[#This Row],[AP01]:[AP06]])-SUM(ERP_5[[#This Row],[AP01 LE2]:[AP06 LE2]])</f>
        <v>42438.830000000075</v>
      </c>
      <c r="AM270" s="80">
        <v>488000</v>
      </c>
      <c r="AN270" s="79">
        <f>ERP_5[[#This Row],[2026 Working Total to Budget/LE]]-ERP_5[[#This Row],[Giveback]]</f>
        <v>-254454.16999999993</v>
      </c>
      <c r="AO270" s="81" t="s">
        <v>1389</v>
      </c>
      <c r="AP270" s="375">
        <v>48462.57</v>
      </c>
      <c r="AQ270" s="375">
        <v>207334.66</v>
      </c>
      <c r="AR270" s="375">
        <v>98620.56</v>
      </c>
      <c r="AS270" s="375">
        <v>132050</v>
      </c>
      <c r="AT270" s="375">
        <v>132050</v>
      </c>
      <c r="AU270" s="375">
        <v>132050</v>
      </c>
      <c r="AV270" s="375">
        <v>68000</v>
      </c>
      <c r="AW270" s="375">
        <v>29000</v>
      </c>
      <c r="AX270" s="375">
        <v>29000</v>
      </c>
      <c r="AY270" s="375">
        <v>29000</v>
      </c>
      <c r="AZ270" s="375">
        <v>29000</v>
      </c>
      <c r="BA270" s="375">
        <v>29000</v>
      </c>
      <c r="BB270" s="375">
        <v>963567.79</v>
      </c>
      <c r="BC270" s="79">
        <v>48462.57</v>
      </c>
      <c r="BD270" s="79">
        <v>207334.66</v>
      </c>
      <c r="BE270" s="79">
        <v>98620.56</v>
      </c>
      <c r="BF270" s="79">
        <v>132050</v>
      </c>
      <c r="BG270" s="79">
        <v>132050</v>
      </c>
      <c r="BH270" s="79">
        <v>132050</v>
      </c>
      <c r="BI270" s="79">
        <v>108302.77</v>
      </c>
      <c r="BJ270" s="79">
        <v>100000</v>
      </c>
      <c r="BK270" s="79">
        <v>100000</v>
      </c>
      <c r="BL270" s="79">
        <v>100000</v>
      </c>
      <c r="BM270" s="79">
        <v>100000</v>
      </c>
      <c r="BN270" s="79">
        <v>100000</v>
      </c>
      <c r="BO270" s="79">
        <v>1358870.56</v>
      </c>
    </row>
    <row r="271" spans="1:67" ht="15" customHeight="1">
      <c r="A271" s="66" t="s">
        <v>1390</v>
      </c>
      <c r="B271" s="66" t="s">
        <v>178</v>
      </c>
      <c r="C271" s="150" t="s">
        <v>1136</v>
      </c>
      <c r="D271" s="150" t="s">
        <v>1345</v>
      </c>
      <c r="E271" s="150" t="s">
        <v>1344</v>
      </c>
      <c r="F271" s="150" t="s">
        <v>1346</v>
      </c>
      <c r="G271" s="511" t="s">
        <v>49</v>
      </c>
      <c r="H271" s="392" t="s">
        <v>1391</v>
      </c>
      <c r="I271" s="343" t="s">
        <v>1387</v>
      </c>
      <c r="J271" s="346" t="s">
        <v>1363</v>
      </c>
      <c r="K271" s="70" t="s">
        <v>179</v>
      </c>
      <c r="L271" s="346"/>
      <c r="M271" s="346" t="s">
        <v>1392</v>
      </c>
      <c r="N271" s="346"/>
      <c r="O271" s="150" t="s">
        <v>25</v>
      </c>
      <c r="P271" s="150"/>
      <c r="Q271" s="403"/>
      <c r="R271" s="406">
        <v>486372.24000000005</v>
      </c>
      <c r="S271" s="406">
        <v>426376.62</v>
      </c>
      <c r="T271" s="430"/>
      <c r="U271" s="137"/>
      <c r="V271" s="426">
        <v>58570.53</v>
      </c>
      <c r="W271" s="427">
        <v>65599.81</v>
      </c>
      <c r="X271" s="427">
        <v>81999.28</v>
      </c>
      <c r="Y271" s="428">
        <v>65599.430000000008</v>
      </c>
      <c r="Z271" s="429">
        <v>65599.420000000013</v>
      </c>
      <c r="AA271" s="429">
        <v>66848.250000000015</v>
      </c>
      <c r="AB271" s="363">
        <v>11682</v>
      </c>
      <c r="AC271" s="363">
        <v>0</v>
      </c>
      <c r="AD271" s="360">
        <v>0</v>
      </c>
      <c r="AE271" s="360">
        <v>0</v>
      </c>
      <c r="AF271" s="360">
        <v>0</v>
      </c>
      <c r="AG271" s="360">
        <v>0</v>
      </c>
      <c r="AH271" s="360">
        <f t="shared" si="18"/>
        <v>415898.72</v>
      </c>
      <c r="AI271" s="362">
        <f>ERP_5[[#This Row],[2026 Working Total]]-ERP_5[[#This Row],[LE2 Final Submission]]</f>
        <v>-10477.900000000023</v>
      </c>
      <c r="AJ271" s="79">
        <v>70019</v>
      </c>
      <c r="AK271" s="79">
        <f t="shared" si="17"/>
        <v>-3170.7499999999854</v>
      </c>
      <c r="AL271" s="374">
        <f>SUM(ERP_5[[#This Row],[AP01]:[AP06]])-SUM(ERP_5[[#This Row],[AP01 LE2]:[AP06 LE2]])</f>
        <v>-12009.900000000023</v>
      </c>
      <c r="AM271" s="80">
        <v>60000</v>
      </c>
      <c r="AN271" s="79">
        <f>ERP_5[[#This Row],[2026 Working Total to Budget/LE]]-ERP_5[[#This Row],[Giveback]]</f>
        <v>-70477.900000000023</v>
      </c>
      <c r="AO271" s="81" t="s">
        <v>1393</v>
      </c>
      <c r="AP271" s="375">
        <v>58570.53</v>
      </c>
      <c r="AQ271" s="375">
        <v>65599.81</v>
      </c>
      <c r="AR271" s="375">
        <v>81999.28</v>
      </c>
      <c r="AS271" s="375">
        <v>70019</v>
      </c>
      <c r="AT271" s="375">
        <v>70019</v>
      </c>
      <c r="AU271" s="375">
        <v>70019</v>
      </c>
      <c r="AV271" s="375">
        <v>10150</v>
      </c>
      <c r="AW271" s="375">
        <v>0</v>
      </c>
      <c r="AX271" s="375">
        <v>0</v>
      </c>
      <c r="AY271" s="375">
        <v>0</v>
      </c>
      <c r="AZ271" s="375">
        <v>0</v>
      </c>
      <c r="BA271" s="375">
        <v>0</v>
      </c>
      <c r="BB271" s="375">
        <v>426376.62</v>
      </c>
      <c r="BC271" s="79">
        <v>58570.53</v>
      </c>
      <c r="BD271" s="79">
        <v>65599.81</v>
      </c>
      <c r="BE271" s="79">
        <v>81999.28</v>
      </c>
      <c r="BF271" s="79">
        <v>69224</v>
      </c>
      <c r="BG271" s="79">
        <v>69224</v>
      </c>
      <c r="BH271" s="79">
        <v>69224</v>
      </c>
      <c r="BI271" s="79">
        <v>71025</v>
      </c>
      <c r="BJ271" s="79">
        <v>15160</v>
      </c>
      <c r="BK271" s="79">
        <v>0</v>
      </c>
      <c r="BL271" s="79">
        <v>0</v>
      </c>
      <c r="BM271" s="79">
        <v>0</v>
      </c>
      <c r="BN271" s="79">
        <v>0</v>
      </c>
      <c r="BO271" s="79">
        <v>500026.62</v>
      </c>
    </row>
    <row r="272" spans="1:67" ht="15" customHeight="1">
      <c r="A272" s="66" t="s">
        <v>1394</v>
      </c>
      <c r="B272" s="66" t="s">
        <v>180</v>
      </c>
      <c r="C272" s="150" t="s">
        <v>1136</v>
      </c>
      <c r="D272" s="150" t="s">
        <v>1345</v>
      </c>
      <c r="E272" s="150" t="s">
        <v>1344</v>
      </c>
      <c r="F272" s="150" t="s">
        <v>1346</v>
      </c>
      <c r="G272" s="511" t="s">
        <v>49</v>
      </c>
      <c r="H272" s="392" t="s">
        <v>1395</v>
      </c>
      <c r="I272" s="343"/>
      <c r="J272" s="343"/>
      <c r="K272" s="70" t="s">
        <v>181</v>
      </c>
      <c r="L272" s="346"/>
      <c r="M272" s="343"/>
      <c r="N272" s="346"/>
      <c r="O272" s="150" t="s">
        <v>119</v>
      </c>
      <c r="P272" s="150"/>
      <c r="Q272" s="403"/>
      <c r="R272" s="406">
        <v>50000</v>
      </c>
      <c r="S272" s="406">
        <v>50000</v>
      </c>
      <c r="T272" s="425"/>
      <c r="U272" s="71"/>
      <c r="V272" s="426"/>
      <c r="W272" s="427"/>
      <c r="X272" s="427"/>
      <c r="Y272" s="428" t="s">
        <v>1142</v>
      </c>
      <c r="Z272" s="429">
        <v>0</v>
      </c>
      <c r="AA272" s="429">
        <v>0</v>
      </c>
      <c r="AB272" s="363"/>
      <c r="AC272" s="363">
        <v>50000</v>
      </c>
      <c r="AD272" s="360">
        <v>0</v>
      </c>
      <c r="AE272" s="360">
        <v>0</v>
      </c>
      <c r="AF272" s="360">
        <v>0</v>
      </c>
      <c r="AG272" s="360">
        <v>0</v>
      </c>
      <c r="AH272" s="360">
        <f t="shared" si="18"/>
        <v>50000</v>
      </c>
      <c r="AI272" s="362">
        <f>ERP_5[[#This Row],[2026 Working Total]]-ERP_5[[#This Row],[LE2 Final Submission]]</f>
        <v>0</v>
      </c>
      <c r="AJ272" s="79"/>
      <c r="AK272" s="79">
        <f t="shared" si="17"/>
        <v>0</v>
      </c>
      <c r="AL272" s="374">
        <f>SUM(ERP_5[[#This Row],[AP01]:[AP06]])-SUM(ERP_5[[#This Row],[AP01 LE2]:[AP06 LE2]])</f>
        <v>0</v>
      </c>
      <c r="AM272" s="80"/>
      <c r="AN272" s="79">
        <f>ERP_5[[#This Row],[2026 Working Total to Budget/LE]]-ERP_5[[#This Row],[Giveback]]</f>
        <v>0</v>
      </c>
      <c r="AO272" s="81"/>
      <c r="AP272" s="375"/>
      <c r="AQ272" s="375"/>
      <c r="AR272" s="375"/>
      <c r="AS272" s="375"/>
      <c r="AT272" s="375"/>
      <c r="AU272" s="375"/>
      <c r="AV272" s="375"/>
      <c r="AW272" s="375">
        <v>50000</v>
      </c>
      <c r="AX272" s="375">
        <v>0</v>
      </c>
      <c r="AY272" s="375">
        <v>0</v>
      </c>
      <c r="AZ272" s="375">
        <v>0</v>
      </c>
      <c r="BA272" s="375">
        <v>0</v>
      </c>
      <c r="BB272" s="375">
        <v>50000</v>
      </c>
      <c r="BC272" s="79"/>
      <c r="BD272" s="79"/>
      <c r="BE272" s="79"/>
      <c r="BF272" s="79"/>
      <c r="BG272" s="79"/>
      <c r="BH272" s="79"/>
      <c r="BI272" s="79"/>
      <c r="BJ272" s="79">
        <v>50000</v>
      </c>
      <c r="BK272" s="79">
        <v>0</v>
      </c>
      <c r="BL272" s="79">
        <v>0</v>
      </c>
      <c r="BM272" s="79">
        <v>0</v>
      </c>
      <c r="BN272" s="79">
        <v>0</v>
      </c>
      <c r="BO272" s="79">
        <v>50000</v>
      </c>
    </row>
    <row r="273" spans="1:67" ht="15" customHeight="1">
      <c r="A273" s="66" t="s">
        <v>1654</v>
      </c>
      <c r="B273" s="66" t="s">
        <v>326</v>
      </c>
      <c r="C273" s="150" t="s">
        <v>1136</v>
      </c>
      <c r="D273" s="150" t="s">
        <v>1650</v>
      </c>
      <c r="E273" s="150" t="s">
        <v>1650</v>
      </c>
      <c r="F273" s="150" t="s">
        <v>1650</v>
      </c>
      <c r="G273" s="511" t="s">
        <v>49</v>
      </c>
      <c r="H273" s="392" t="s">
        <v>1655</v>
      </c>
      <c r="I273" s="343"/>
      <c r="J273" s="343"/>
      <c r="K273" s="70" t="s">
        <v>327</v>
      </c>
      <c r="L273" s="346"/>
      <c r="M273" s="343"/>
      <c r="N273" s="346"/>
      <c r="O273" s="150" t="s">
        <v>328</v>
      </c>
      <c r="P273" s="150" t="s">
        <v>1656</v>
      </c>
      <c r="Q273" s="403"/>
      <c r="R273" s="406">
        <v>224004</v>
      </c>
      <c r="S273" s="406">
        <v>53297.440000000002</v>
      </c>
      <c r="T273" s="425"/>
      <c r="U273" s="71"/>
      <c r="V273" s="426">
        <v>15089.11</v>
      </c>
      <c r="W273" s="427">
        <v>16899.45</v>
      </c>
      <c r="X273" s="427">
        <v>21308.880000000001</v>
      </c>
      <c r="Y273" s="428">
        <v>16899.62</v>
      </c>
      <c r="Z273" s="429">
        <v>-34566.71</v>
      </c>
      <c r="AA273" s="429">
        <v>0</v>
      </c>
      <c r="AB273" s="363">
        <v>0</v>
      </c>
      <c r="AC273" s="363">
        <v>0</v>
      </c>
      <c r="AD273" s="363">
        <v>0</v>
      </c>
      <c r="AE273" s="363">
        <v>0</v>
      </c>
      <c r="AF273" s="363">
        <v>0</v>
      </c>
      <c r="AG273" s="363">
        <v>0</v>
      </c>
      <c r="AH273" s="360">
        <f t="shared" si="18"/>
        <v>35630.35</v>
      </c>
      <c r="AI273" s="362">
        <f>ERP_5[[#This Row],[2026 Working Total]]-ERP_5[[#This Row],[LE2 Final Submission]]</f>
        <v>-17667.090000000004</v>
      </c>
      <c r="AJ273" s="79">
        <v>0</v>
      </c>
      <c r="AK273" s="79">
        <f t="shared" si="17"/>
        <v>0</v>
      </c>
      <c r="AL273" s="374">
        <f>SUM(ERP_5[[#This Row],[AP01]:[AP06]])-SUM(ERP_5[[#This Row],[AP01 LE2]:[AP06 LE2]])</f>
        <v>-17667.090000000004</v>
      </c>
      <c r="AM273" s="80"/>
      <c r="AN273" s="79">
        <f>ERP_5[[#This Row],[2026 Working Total to Budget/LE]]-ERP_5[[#This Row],[Giveback]]</f>
        <v>-17667.090000000004</v>
      </c>
      <c r="AO273" s="81"/>
      <c r="AP273" s="375">
        <v>15089.11</v>
      </c>
      <c r="AQ273" s="375">
        <v>16899.45</v>
      </c>
      <c r="AR273" s="375">
        <v>21308.880000000001</v>
      </c>
      <c r="AS273" s="375">
        <v>0</v>
      </c>
      <c r="AT273" s="375">
        <v>0</v>
      </c>
      <c r="AU273" s="375">
        <v>0</v>
      </c>
      <c r="AV273" s="375">
        <v>0</v>
      </c>
      <c r="AW273" s="375">
        <v>0</v>
      </c>
      <c r="AX273" s="375">
        <v>0</v>
      </c>
      <c r="AY273" s="375">
        <v>0</v>
      </c>
      <c r="AZ273" s="375">
        <v>0</v>
      </c>
      <c r="BA273" s="375">
        <v>0</v>
      </c>
      <c r="BB273" s="375">
        <v>53297.440000000002</v>
      </c>
      <c r="BC273" s="79">
        <v>15089.11</v>
      </c>
      <c r="BD273" s="79">
        <v>16899.45</v>
      </c>
      <c r="BE273" s="79">
        <v>21308.880000000001</v>
      </c>
      <c r="BF273" s="79">
        <v>18667</v>
      </c>
      <c r="BG273" s="79">
        <v>18667</v>
      </c>
      <c r="BH273" s="79">
        <v>18667</v>
      </c>
      <c r="BI273" s="79">
        <v>18667</v>
      </c>
      <c r="BJ273" s="79">
        <v>18667</v>
      </c>
      <c r="BK273" s="79">
        <v>18667</v>
      </c>
      <c r="BL273" s="79">
        <v>18667</v>
      </c>
      <c r="BM273" s="79">
        <v>18667</v>
      </c>
      <c r="BN273" s="79">
        <v>18667</v>
      </c>
      <c r="BO273" s="79">
        <v>221300.44</v>
      </c>
    </row>
    <row r="274" spans="1:67" ht="15" customHeight="1">
      <c r="A274" s="66" t="s">
        <v>1657</v>
      </c>
      <c r="B274" s="66" t="s">
        <v>329</v>
      </c>
      <c r="C274" s="150" t="s">
        <v>1136</v>
      </c>
      <c r="D274" s="150" t="s">
        <v>1650</v>
      </c>
      <c r="E274" s="150" t="s">
        <v>1650</v>
      </c>
      <c r="F274" s="150" t="s">
        <v>1650</v>
      </c>
      <c r="G274" s="511" t="s">
        <v>49</v>
      </c>
      <c r="H274" s="392" t="s">
        <v>1658</v>
      </c>
      <c r="I274" s="343"/>
      <c r="J274" s="343"/>
      <c r="K274" s="70" t="s">
        <v>330</v>
      </c>
      <c r="L274" s="346"/>
      <c r="M274" s="343"/>
      <c r="N274" s="346"/>
      <c r="O274" s="150" t="s">
        <v>67</v>
      </c>
      <c r="P274" s="150"/>
      <c r="Q274" s="403"/>
      <c r="R274" s="406">
        <v>0</v>
      </c>
      <c r="S274" s="406">
        <v>112717.21</v>
      </c>
      <c r="T274" s="425"/>
      <c r="U274" s="71"/>
      <c r="V274" s="426">
        <v>94047.88</v>
      </c>
      <c r="W274" s="427">
        <v>124852.13</v>
      </c>
      <c r="X274" s="427">
        <v>-106182.8</v>
      </c>
      <c r="Y274" s="428">
        <v>0</v>
      </c>
      <c r="Z274" s="429">
        <v>0</v>
      </c>
      <c r="AA274" s="429">
        <v>0</v>
      </c>
      <c r="AB274" s="360">
        <v>0</v>
      </c>
      <c r="AC274" s="360">
        <v>0</v>
      </c>
      <c r="AD274" s="360">
        <v>0</v>
      </c>
      <c r="AE274" s="360">
        <v>0</v>
      </c>
      <c r="AF274" s="360">
        <v>0</v>
      </c>
      <c r="AG274" s="360">
        <v>0</v>
      </c>
      <c r="AH274" s="360">
        <f t="shared" si="18"/>
        <v>112717.21</v>
      </c>
      <c r="AI274" s="362">
        <f>ERP_5[[#This Row],[2026 Working Total]]-ERP_5[[#This Row],[LE2 Final Submission]]</f>
        <v>0</v>
      </c>
      <c r="AJ274" s="79">
        <v>0</v>
      </c>
      <c r="AK274" s="79">
        <f t="shared" si="17"/>
        <v>0</v>
      </c>
      <c r="AL274" s="374">
        <f>SUM(ERP_5[[#This Row],[AP01]:[AP06]])-SUM(ERP_5[[#This Row],[AP01 LE2]:[AP06 LE2]])</f>
        <v>0</v>
      </c>
      <c r="AM274" s="80"/>
      <c r="AN274" s="79">
        <f>ERP_5[[#This Row],[2026 Working Total to Budget/LE]]-ERP_5[[#This Row],[Giveback]]</f>
        <v>0</v>
      </c>
      <c r="AO274" s="81"/>
      <c r="AP274" s="375">
        <v>94047.88</v>
      </c>
      <c r="AQ274" s="375">
        <v>124852.13</v>
      </c>
      <c r="AR274" s="375">
        <v>-106182.8</v>
      </c>
      <c r="AS274" s="375">
        <v>0</v>
      </c>
      <c r="AT274" s="375">
        <v>0</v>
      </c>
      <c r="AU274" s="375">
        <v>0</v>
      </c>
      <c r="AV274" s="375">
        <v>0</v>
      </c>
      <c r="AW274" s="375">
        <v>0</v>
      </c>
      <c r="AX274" s="375">
        <v>0</v>
      </c>
      <c r="AY274" s="375">
        <v>0</v>
      </c>
      <c r="AZ274" s="375">
        <v>0</v>
      </c>
      <c r="BA274" s="375">
        <v>0</v>
      </c>
      <c r="BB274" s="375">
        <v>112717.21</v>
      </c>
      <c r="BC274" s="79">
        <v>94047.88</v>
      </c>
      <c r="BD274" s="79">
        <v>124852.13</v>
      </c>
      <c r="BE274" s="79">
        <v>-106182.8</v>
      </c>
      <c r="BF274" s="79">
        <v>0</v>
      </c>
      <c r="BG274" s="79">
        <v>0</v>
      </c>
      <c r="BH274" s="79">
        <v>0</v>
      </c>
      <c r="BI274" s="79">
        <v>0</v>
      </c>
      <c r="BJ274" s="79">
        <v>0</v>
      </c>
      <c r="BK274" s="79">
        <v>0</v>
      </c>
      <c r="BL274" s="79">
        <v>0</v>
      </c>
      <c r="BM274" s="79">
        <v>0</v>
      </c>
      <c r="BN274" s="79">
        <v>0</v>
      </c>
      <c r="BO274" s="79">
        <v>112717.21</v>
      </c>
    </row>
    <row r="275" spans="1:67" ht="15" customHeight="1">
      <c r="A275" s="66" t="s">
        <v>2139</v>
      </c>
      <c r="B275" s="66" t="s">
        <v>594</v>
      </c>
      <c r="C275" s="150" t="s">
        <v>1136</v>
      </c>
      <c r="D275" s="150" t="s">
        <v>1650</v>
      </c>
      <c r="E275" s="150" t="s">
        <v>1650</v>
      </c>
      <c r="F275" s="150" t="s">
        <v>1650</v>
      </c>
      <c r="G275" s="511" t="s">
        <v>389</v>
      </c>
      <c r="H275" s="392" t="s">
        <v>1658</v>
      </c>
      <c r="I275" s="343"/>
      <c r="J275" s="343"/>
      <c r="K275" s="70" t="s">
        <v>330</v>
      </c>
      <c r="L275" s="346"/>
      <c r="M275" s="343"/>
      <c r="N275" s="346"/>
      <c r="O275" s="150" t="s">
        <v>67</v>
      </c>
      <c r="P275" s="150"/>
      <c r="Q275" s="403"/>
      <c r="R275" s="406">
        <v>1274196</v>
      </c>
      <c r="S275" s="406">
        <v>1157512.03</v>
      </c>
      <c r="T275" s="425"/>
      <c r="U275" s="71"/>
      <c r="V275" s="426"/>
      <c r="W275" s="427"/>
      <c r="X275" s="427">
        <v>201865.03</v>
      </c>
      <c r="Y275" s="428">
        <v>98015.38</v>
      </c>
      <c r="Z275" s="429">
        <v>98015.39</v>
      </c>
      <c r="AA275" s="429">
        <v>122519.23000000001</v>
      </c>
      <c r="AB275" s="363">
        <v>106183</v>
      </c>
      <c r="AC275" s="363">
        <v>106183</v>
      </c>
      <c r="AD275" s="363">
        <v>106183</v>
      </c>
      <c r="AE275" s="363">
        <v>106183</v>
      </c>
      <c r="AF275" s="363">
        <v>106183</v>
      </c>
      <c r="AG275" s="363">
        <v>106183</v>
      </c>
      <c r="AH275" s="360">
        <f t="shared" si="18"/>
        <v>1157513.03</v>
      </c>
      <c r="AI275" s="362">
        <f>ERP_5[[#This Row],[2026 Working Total]]-ERP_5[[#This Row],[LE2 Final Submission]]</f>
        <v>1</v>
      </c>
      <c r="AJ275" s="79">
        <v>106183</v>
      </c>
      <c r="AK275" s="79">
        <f t="shared" si="17"/>
        <v>16336.23000000001</v>
      </c>
      <c r="AL275" s="374">
        <f>SUM(ERP_5[[#This Row],[AP01]:[AP06]])-SUM(ERP_5[[#This Row],[AP01 LE2]:[AP06 LE2]])</f>
        <v>1</v>
      </c>
      <c r="AM275" s="80"/>
      <c r="AN275" s="79">
        <f>ERP_5[[#This Row],[2026 Working Total to Budget/LE]]-ERP_5[[#This Row],[Giveback]]</f>
        <v>1</v>
      </c>
      <c r="AO275" s="81"/>
      <c r="AP275" s="375"/>
      <c r="AQ275" s="375"/>
      <c r="AR275" s="375">
        <v>201865.03</v>
      </c>
      <c r="AS275" s="375">
        <v>106183</v>
      </c>
      <c r="AT275" s="375">
        <v>106183</v>
      </c>
      <c r="AU275" s="375">
        <v>106183</v>
      </c>
      <c r="AV275" s="375">
        <v>106183</v>
      </c>
      <c r="AW275" s="375">
        <v>106183</v>
      </c>
      <c r="AX275" s="375">
        <v>106183</v>
      </c>
      <c r="AY275" s="375">
        <v>106183</v>
      </c>
      <c r="AZ275" s="375">
        <v>106183</v>
      </c>
      <c r="BA275" s="375">
        <v>106183</v>
      </c>
      <c r="BB275" s="375">
        <v>1157512.03</v>
      </c>
      <c r="BC275" s="79"/>
      <c r="BD275" s="79"/>
      <c r="BE275" s="79">
        <v>201865.03</v>
      </c>
      <c r="BF275" s="79">
        <v>106183</v>
      </c>
      <c r="BG275" s="79">
        <v>106183</v>
      </c>
      <c r="BH275" s="79">
        <v>106183</v>
      </c>
      <c r="BI275" s="79">
        <v>106183</v>
      </c>
      <c r="BJ275" s="79">
        <v>106183</v>
      </c>
      <c r="BK275" s="79">
        <v>106183</v>
      </c>
      <c r="BL275" s="79">
        <v>106183</v>
      </c>
      <c r="BM275" s="79">
        <v>106183</v>
      </c>
      <c r="BN275" s="79">
        <v>106183</v>
      </c>
      <c r="BO275" s="79">
        <v>1157512.03</v>
      </c>
    </row>
    <row r="276" spans="1:67" ht="15" customHeight="1">
      <c r="A276" s="66" t="s">
        <v>2140</v>
      </c>
      <c r="B276" s="66" t="s">
        <v>595</v>
      </c>
      <c r="C276" s="150" t="s">
        <v>1136</v>
      </c>
      <c r="D276" s="150" t="s">
        <v>1650</v>
      </c>
      <c r="E276" s="150" t="s">
        <v>1650</v>
      </c>
      <c r="F276" s="150" t="s">
        <v>1650</v>
      </c>
      <c r="G276" s="511" t="s">
        <v>389</v>
      </c>
      <c r="H276" s="392" t="s">
        <v>1658</v>
      </c>
      <c r="I276" s="343"/>
      <c r="J276" s="343"/>
      <c r="K276" s="70" t="s">
        <v>596</v>
      </c>
      <c r="L276" s="346"/>
      <c r="M276" s="343"/>
      <c r="N276" s="346"/>
      <c r="O276" s="150" t="s">
        <v>67</v>
      </c>
      <c r="P276" s="150" t="s">
        <v>1652</v>
      </c>
      <c r="Q276" s="403"/>
      <c r="R276" s="406">
        <v>-12000</v>
      </c>
      <c r="S276" s="406">
        <v>0</v>
      </c>
      <c r="T276" s="425"/>
      <c r="U276" s="71"/>
      <c r="V276" s="426"/>
      <c r="W276" s="427"/>
      <c r="X276" s="427"/>
      <c r="Y276" s="428" t="s">
        <v>1142</v>
      </c>
      <c r="Z276" s="429">
        <v>0</v>
      </c>
      <c r="AA276" s="429">
        <v>0</v>
      </c>
      <c r="AB276" s="360">
        <v>0</v>
      </c>
      <c r="AC276" s="360">
        <v>0</v>
      </c>
      <c r="AD276" s="360">
        <v>0</v>
      </c>
      <c r="AE276" s="360">
        <v>0</v>
      </c>
      <c r="AF276" s="360">
        <v>0</v>
      </c>
      <c r="AG276" s="360">
        <v>0</v>
      </c>
      <c r="AH276" s="360">
        <f t="shared" si="18"/>
        <v>0</v>
      </c>
      <c r="AI276" s="362">
        <f>ERP_5[[#This Row],[2026 Working Total]]-ERP_5[[#This Row],[LE2 Final Submission]]</f>
        <v>0</v>
      </c>
      <c r="AJ276" s="79"/>
      <c r="AK276" s="79">
        <f t="shared" si="17"/>
        <v>0</v>
      </c>
      <c r="AL276" s="374">
        <f>SUM(ERP_5[[#This Row],[AP01]:[AP06]])-SUM(ERP_5[[#This Row],[AP01 LE2]:[AP06 LE2]])</f>
        <v>0</v>
      </c>
      <c r="AM276" s="80"/>
      <c r="AN276" s="79">
        <f>ERP_5[[#This Row],[2026 Working Total to Budget/LE]]-ERP_5[[#This Row],[Giveback]]</f>
        <v>0</v>
      </c>
      <c r="AO276" s="81"/>
      <c r="AP276" s="375"/>
      <c r="AQ276" s="375"/>
      <c r="AR276" s="375"/>
      <c r="AS276" s="375"/>
      <c r="AT276" s="375"/>
      <c r="AU276" s="375">
        <v>0</v>
      </c>
      <c r="AV276" s="375">
        <v>0</v>
      </c>
      <c r="AW276" s="375">
        <v>0</v>
      </c>
      <c r="AX276" s="375">
        <v>0</v>
      </c>
      <c r="AY276" s="375">
        <v>0</v>
      </c>
      <c r="AZ276" s="375">
        <v>0</v>
      </c>
      <c r="BA276" s="375">
        <v>0</v>
      </c>
      <c r="BB276" s="375">
        <v>0</v>
      </c>
      <c r="BC276" s="79"/>
      <c r="BD276" s="79"/>
      <c r="BE276" s="79"/>
      <c r="BF276" s="79"/>
      <c r="BG276" s="79"/>
      <c r="BH276" s="79">
        <v>-3000</v>
      </c>
      <c r="BI276" s="79">
        <v>0</v>
      </c>
      <c r="BJ276" s="79">
        <v>0</v>
      </c>
      <c r="BK276" s="79">
        <v>-3000</v>
      </c>
      <c r="BL276" s="79">
        <v>0</v>
      </c>
      <c r="BM276" s="79">
        <v>0</v>
      </c>
      <c r="BN276" s="79">
        <v>-3000</v>
      </c>
      <c r="BO276" s="79">
        <v>-9000</v>
      </c>
    </row>
    <row r="277" spans="1:67" ht="15" customHeight="1">
      <c r="A277" s="66" t="s">
        <v>1840</v>
      </c>
      <c r="B277" s="66" t="s">
        <v>1841</v>
      </c>
      <c r="C277" s="150" t="s">
        <v>1136</v>
      </c>
      <c r="D277" s="150" t="s">
        <v>1135</v>
      </c>
      <c r="E277" s="150" t="s">
        <v>1165</v>
      </c>
      <c r="F277" s="150" t="s">
        <v>1137</v>
      </c>
      <c r="G277" s="511" t="s">
        <v>389</v>
      </c>
      <c r="H277" s="392" t="s">
        <v>1842</v>
      </c>
      <c r="I277" s="343"/>
      <c r="J277" s="343"/>
      <c r="K277" s="70" t="s">
        <v>438</v>
      </c>
      <c r="L277" s="346"/>
      <c r="M277" s="343"/>
      <c r="N277" s="346"/>
      <c r="O277" s="150" t="s">
        <v>439</v>
      </c>
      <c r="P277" s="150"/>
      <c r="Q277" s="403"/>
      <c r="R277" s="406">
        <v>60000</v>
      </c>
      <c r="S277" s="406">
        <v>59587</v>
      </c>
      <c r="T277" s="425"/>
      <c r="U277" s="71"/>
      <c r="V277" s="426"/>
      <c r="W277" s="427"/>
      <c r="X277" s="427">
        <v>7840</v>
      </c>
      <c r="Y277" s="428">
        <v>4772.18</v>
      </c>
      <c r="Z277" s="429">
        <v>4772.17</v>
      </c>
      <c r="AA277" s="429">
        <v>4075.2199999999993</v>
      </c>
      <c r="AB277" s="363">
        <v>5000</v>
      </c>
      <c r="AC277" s="363">
        <v>5000</v>
      </c>
      <c r="AD277" s="363">
        <v>5000</v>
      </c>
      <c r="AE277" s="363">
        <v>5000</v>
      </c>
      <c r="AF277" s="363">
        <v>5000</v>
      </c>
      <c r="AG277" s="363">
        <v>5000</v>
      </c>
      <c r="AH277" s="360">
        <f t="shared" si="18"/>
        <v>51459.57</v>
      </c>
      <c r="AI277" s="362">
        <f>ERP_5[[#This Row],[2026 Working Total]]-ERP_5[[#This Row],[LE2 Final Submission]]</f>
        <v>-8127.43</v>
      </c>
      <c r="AJ277" s="79">
        <v>5000</v>
      </c>
      <c r="AK277" s="79">
        <f t="shared" si="17"/>
        <v>-924.78000000000065</v>
      </c>
      <c r="AL277" s="374">
        <f>SUM(ERP_5[[#This Row],[AP01]:[AP06]])-SUM(ERP_5[[#This Row],[AP01 LE2]:[AP06 LE2]])</f>
        <v>-8127.43</v>
      </c>
      <c r="AM277" s="80"/>
      <c r="AN277" s="79">
        <f>ERP_5[[#This Row],[2026 Working Total to Budget/LE]]-ERP_5[[#This Row],[Giveback]]</f>
        <v>-8127.43</v>
      </c>
      <c r="AO277" s="81"/>
      <c r="AP277" s="375"/>
      <c r="AQ277" s="375"/>
      <c r="AR277" s="375">
        <v>7840</v>
      </c>
      <c r="AS277" s="375">
        <v>11747</v>
      </c>
      <c r="AT277" s="375">
        <v>5000</v>
      </c>
      <c r="AU277" s="375">
        <v>5000</v>
      </c>
      <c r="AV277" s="375">
        <v>5000</v>
      </c>
      <c r="AW277" s="375">
        <v>5000</v>
      </c>
      <c r="AX277" s="375">
        <v>5000</v>
      </c>
      <c r="AY277" s="375">
        <v>5000</v>
      </c>
      <c r="AZ277" s="375">
        <v>5000</v>
      </c>
      <c r="BA277" s="375">
        <v>5000</v>
      </c>
      <c r="BB277" s="375">
        <v>59587</v>
      </c>
      <c r="BC277" s="79"/>
      <c r="BD277" s="79"/>
      <c r="BE277" s="79">
        <v>7840</v>
      </c>
      <c r="BF277" s="79">
        <v>5000</v>
      </c>
      <c r="BG277" s="79">
        <v>5000</v>
      </c>
      <c r="BH277" s="79">
        <v>5000</v>
      </c>
      <c r="BI277" s="79">
        <v>5000</v>
      </c>
      <c r="BJ277" s="79">
        <v>5000</v>
      </c>
      <c r="BK277" s="79">
        <v>5000</v>
      </c>
      <c r="BL277" s="79">
        <v>5000</v>
      </c>
      <c r="BM277" s="79">
        <v>5000</v>
      </c>
      <c r="BN277" s="79">
        <v>5000</v>
      </c>
      <c r="BO277" s="79">
        <v>52840</v>
      </c>
    </row>
    <row r="278" spans="1:67" ht="15" customHeight="1">
      <c r="A278" s="66" t="s">
        <v>1843</v>
      </c>
      <c r="B278" s="66" t="s">
        <v>440</v>
      </c>
      <c r="C278" s="150" t="s">
        <v>1136</v>
      </c>
      <c r="D278" s="150" t="s">
        <v>1135</v>
      </c>
      <c r="E278" s="150" t="s">
        <v>1135</v>
      </c>
      <c r="F278" s="150" t="s">
        <v>1137</v>
      </c>
      <c r="G278" s="511" t="s">
        <v>389</v>
      </c>
      <c r="H278" s="392" t="s">
        <v>1844</v>
      </c>
      <c r="I278" s="343"/>
      <c r="J278" s="343"/>
      <c r="K278" s="70" t="s">
        <v>441</v>
      </c>
      <c r="L278" s="346"/>
      <c r="M278" s="343"/>
      <c r="N278" s="346"/>
      <c r="O278" s="150" t="s">
        <v>57</v>
      </c>
      <c r="P278" s="150"/>
      <c r="Q278" s="403"/>
      <c r="R278" s="406">
        <v>0</v>
      </c>
      <c r="S278" s="406">
        <v>10582.559999999998</v>
      </c>
      <c r="T278" s="425"/>
      <c r="U278" s="71"/>
      <c r="V278" s="426">
        <v>881.88</v>
      </c>
      <c r="W278" s="427">
        <v>881.88</v>
      </c>
      <c r="X278" s="427">
        <v>881.88</v>
      </c>
      <c r="Y278" s="428">
        <v>881.88</v>
      </c>
      <c r="Z278" s="429">
        <v>881.88</v>
      </c>
      <c r="AA278" s="429">
        <v>881.88</v>
      </c>
      <c r="AB278" s="363">
        <v>881.88</v>
      </c>
      <c r="AC278" s="363">
        <v>881.88</v>
      </c>
      <c r="AD278" s="363">
        <v>881.88</v>
      </c>
      <c r="AE278" s="363">
        <v>881.88</v>
      </c>
      <c r="AF278" s="363">
        <v>881.88</v>
      </c>
      <c r="AG278" s="363">
        <v>881.88</v>
      </c>
      <c r="AH278" s="360">
        <f t="shared" si="18"/>
        <v>10582.559999999998</v>
      </c>
      <c r="AI278" s="362">
        <f>ERP_5[[#This Row],[2026 Working Total]]-ERP_5[[#This Row],[LE2 Final Submission]]</f>
        <v>0</v>
      </c>
      <c r="AJ278" s="79">
        <v>881.88</v>
      </c>
      <c r="AK278" s="79">
        <f t="shared" si="17"/>
        <v>0</v>
      </c>
      <c r="AL278" s="374">
        <f>SUM(ERP_5[[#This Row],[AP01]:[AP06]])-SUM(ERP_5[[#This Row],[AP01 LE2]:[AP06 LE2]])</f>
        <v>0</v>
      </c>
      <c r="AM278" s="80"/>
      <c r="AN278" s="79">
        <f>ERP_5[[#This Row],[2026 Working Total to Budget/LE]]-ERP_5[[#This Row],[Giveback]]</f>
        <v>0</v>
      </c>
      <c r="AO278" s="81"/>
      <c r="AP278" s="375">
        <v>881.88</v>
      </c>
      <c r="AQ278" s="375">
        <v>881.88</v>
      </c>
      <c r="AR278" s="375">
        <v>881.88</v>
      </c>
      <c r="AS278" s="375">
        <v>881.88</v>
      </c>
      <c r="AT278" s="375">
        <v>881.88</v>
      </c>
      <c r="AU278" s="375">
        <v>881.88</v>
      </c>
      <c r="AV278" s="375">
        <v>881.88</v>
      </c>
      <c r="AW278" s="375">
        <v>881.88</v>
      </c>
      <c r="AX278" s="375">
        <v>881.88</v>
      </c>
      <c r="AY278" s="375">
        <v>881.88</v>
      </c>
      <c r="AZ278" s="375">
        <v>881.88</v>
      </c>
      <c r="BA278" s="375">
        <v>881.88</v>
      </c>
      <c r="BB278" s="375">
        <v>10582.559999999998</v>
      </c>
      <c r="BC278" s="79">
        <v>881.88</v>
      </c>
      <c r="BD278" s="79">
        <v>881.88</v>
      </c>
      <c r="BE278" s="79">
        <v>881.88</v>
      </c>
      <c r="BF278" s="79">
        <v>0</v>
      </c>
      <c r="BG278" s="79">
        <v>0</v>
      </c>
      <c r="BH278" s="79">
        <v>0</v>
      </c>
      <c r="BI278" s="79">
        <v>0</v>
      </c>
      <c r="BJ278" s="79">
        <v>0</v>
      </c>
      <c r="BK278" s="79">
        <v>0</v>
      </c>
      <c r="BL278" s="79">
        <v>0</v>
      </c>
      <c r="BM278" s="79">
        <v>0</v>
      </c>
      <c r="BN278" s="79">
        <v>0</v>
      </c>
      <c r="BO278" s="79">
        <v>2645.64</v>
      </c>
    </row>
    <row r="279" spans="1:67" ht="15" customHeight="1">
      <c r="A279" s="66" t="s">
        <v>1845</v>
      </c>
      <c r="B279" s="66" t="s">
        <v>1846</v>
      </c>
      <c r="C279" s="150" t="s">
        <v>1136</v>
      </c>
      <c r="D279" s="150" t="s">
        <v>1135</v>
      </c>
      <c r="E279" s="150" t="s">
        <v>1165</v>
      </c>
      <c r="F279" s="150" t="s">
        <v>1137</v>
      </c>
      <c r="G279" s="511" t="s">
        <v>389</v>
      </c>
      <c r="H279" s="392" t="s">
        <v>1844</v>
      </c>
      <c r="I279" s="343"/>
      <c r="J279" s="343"/>
      <c r="K279" s="70" t="s">
        <v>441</v>
      </c>
      <c r="L279" s="346"/>
      <c r="M279" s="343"/>
      <c r="N279" s="346"/>
      <c r="O279" s="150" t="s">
        <v>57</v>
      </c>
      <c r="P279" s="150"/>
      <c r="Q279" s="403"/>
      <c r="R279" s="406">
        <v>10599.999996000004</v>
      </c>
      <c r="S279" s="406">
        <v>0</v>
      </c>
      <c r="T279" s="425"/>
      <c r="U279" s="71"/>
      <c r="V279" s="426"/>
      <c r="W279" s="427"/>
      <c r="X279" s="427"/>
      <c r="Y279" s="428" t="s">
        <v>1142</v>
      </c>
      <c r="Z279" s="429">
        <v>0</v>
      </c>
      <c r="AA279" s="429">
        <v>0</v>
      </c>
      <c r="AB279" s="363">
        <v>0</v>
      </c>
      <c r="AC279" s="363">
        <v>0</v>
      </c>
      <c r="AD279" s="363">
        <v>0</v>
      </c>
      <c r="AE279" s="363">
        <v>0</v>
      </c>
      <c r="AF279" s="363">
        <v>0</v>
      </c>
      <c r="AG279" s="363">
        <v>0</v>
      </c>
      <c r="AH279" s="360">
        <f t="shared" si="18"/>
        <v>0</v>
      </c>
      <c r="AI279" s="362">
        <f>ERP_5[[#This Row],[2026 Working Total]]-ERP_5[[#This Row],[LE2 Final Submission]]</f>
        <v>0</v>
      </c>
      <c r="AJ279" s="79">
        <v>0</v>
      </c>
      <c r="AK279" s="79">
        <f t="shared" si="17"/>
        <v>0</v>
      </c>
      <c r="AL279" s="374">
        <f>SUM(ERP_5[[#This Row],[AP01]:[AP06]])-SUM(ERP_5[[#This Row],[AP01 LE2]:[AP06 LE2]])</f>
        <v>0</v>
      </c>
      <c r="AM279" s="80">
        <v>-10600</v>
      </c>
      <c r="AN279" s="79">
        <f>ERP_5[[#This Row],[2026 Working Total to Budget/LE]]-ERP_5[[#This Row],[Giveback]]</f>
        <v>10600</v>
      </c>
      <c r="AO279" s="81"/>
      <c r="AP279" s="375"/>
      <c r="AQ279" s="375"/>
      <c r="AR279" s="375"/>
      <c r="AS279" s="375">
        <v>0</v>
      </c>
      <c r="AT279" s="375">
        <v>0</v>
      </c>
      <c r="AU279" s="375">
        <v>0</v>
      </c>
      <c r="AV279" s="375">
        <v>0</v>
      </c>
      <c r="AW279" s="375">
        <v>0</v>
      </c>
      <c r="AX279" s="375">
        <v>0</v>
      </c>
      <c r="AY279" s="375">
        <v>0</v>
      </c>
      <c r="AZ279" s="375">
        <v>0</v>
      </c>
      <c r="BA279" s="375">
        <v>0</v>
      </c>
      <c r="BB279" s="375">
        <v>0</v>
      </c>
      <c r="BC279" s="79"/>
      <c r="BD279" s="79"/>
      <c r="BE279" s="79"/>
      <c r="BF279" s="79">
        <v>883.33333300000004</v>
      </c>
      <c r="BG279" s="79">
        <v>883.33333300000004</v>
      </c>
      <c r="BH279" s="79">
        <v>883.33333300000004</v>
      </c>
      <c r="BI279" s="79">
        <v>883.33333300000004</v>
      </c>
      <c r="BJ279" s="79">
        <v>883.33333300000004</v>
      </c>
      <c r="BK279" s="79">
        <v>883.33333300000004</v>
      </c>
      <c r="BL279" s="79">
        <v>883.33333300000004</v>
      </c>
      <c r="BM279" s="79">
        <v>883.33333300000004</v>
      </c>
      <c r="BN279" s="79">
        <v>883.33333300000004</v>
      </c>
      <c r="BO279" s="79">
        <v>7949.9999970000026</v>
      </c>
    </row>
    <row r="280" spans="1:67" ht="15" customHeight="1">
      <c r="A280" s="66" t="s">
        <v>1847</v>
      </c>
      <c r="B280" s="66" t="s">
        <v>1848</v>
      </c>
      <c r="C280" s="150" t="s">
        <v>1136</v>
      </c>
      <c r="D280" s="150" t="s">
        <v>1135</v>
      </c>
      <c r="E280" s="150" t="s">
        <v>1165</v>
      </c>
      <c r="F280" s="150" t="s">
        <v>1137</v>
      </c>
      <c r="G280" s="511" t="s">
        <v>389</v>
      </c>
      <c r="H280" s="392" t="s">
        <v>1849</v>
      </c>
      <c r="I280" s="343"/>
      <c r="J280" s="343"/>
      <c r="K280" s="70" t="s">
        <v>443</v>
      </c>
      <c r="L280" s="346"/>
      <c r="M280" s="343"/>
      <c r="N280" s="346"/>
      <c r="O280" s="150" t="s">
        <v>57</v>
      </c>
      <c r="P280" s="150"/>
      <c r="Q280" s="403"/>
      <c r="R280" s="406">
        <v>10599.999996000004</v>
      </c>
      <c r="S280" s="406">
        <v>10595.639997000004</v>
      </c>
      <c r="T280" s="425"/>
      <c r="U280" s="71"/>
      <c r="V280" s="426">
        <v>881.88</v>
      </c>
      <c r="W280" s="427">
        <v>881.88</v>
      </c>
      <c r="X280" s="427">
        <v>881.88</v>
      </c>
      <c r="Y280" s="428">
        <v>881.88</v>
      </c>
      <c r="Z280" s="429">
        <v>881.88</v>
      </c>
      <c r="AA280" s="429">
        <v>881.88</v>
      </c>
      <c r="AB280" s="363">
        <v>883.33333300000004</v>
      </c>
      <c r="AC280" s="363">
        <v>883.33333300000004</v>
      </c>
      <c r="AD280" s="363">
        <v>883.33333300000004</v>
      </c>
      <c r="AE280" s="363">
        <v>883.33333300000004</v>
      </c>
      <c r="AF280" s="363">
        <v>883.33333300000004</v>
      </c>
      <c r="AG280" s="363">
        <v>883.33333300000004</v>
      </c>
      <c r="AH280" s="360">
        <f t="shared" si="18"/>
        <v>10591.279998000002</v>
      </c>
      <c r="AI280" s="362">
        <f>ERP_5[[#This Row],[2026 Working Total]]-ERP_5[[#This Row],[LE2 Final Submission]]</f>
        <v>-4.3599990000020625</v>
      </c>
      <c r="AJ280" s="79">
        <v>883.33333300000004</v>
      </c>
      <c r="AK280" s="79">
        <f t="shared" si="17"/>
        <v>-1.4533330000000433</v>
      </c>
      <c r="AL280" s="374">
        <f>SUM(ERP_5[[#This Row],[AP01]:[AP06]])-SUM(ERP_5[[#This Row],[AP01 LE2]:[AP06 LE2]])</f>
        <v>-4.359999000001153</v>
      </c>
      <c r="AM280" s="80"/>
      <c r="AN280" s="79">
        <f>ERP_5[[#This Row],[2026 Working Total to Budget/LE]]-ERP_5[[#This Row],[Giveback]]</f>
        <v>-4.3599990000020625</v>
      </c>
      <c r="AO280" s="81"/>
      <c r="AP280" s="375">
        <v>881.88</v>
      </c>
      <c r="AQ280" s="375">
        <v>881.88</v>
      </c>
      <c r="AR280" s="375">
        <v>881.88</v>
      </c>
      <c r="AS280" s="375">
        <v>883.33333300000004</v>
      </c>
      <c r="AT280" s="375">
        <v>883.33333300000004</v>
      </c>
      <c r="AU280" s="375">
        <v>883.33333300000004</v>
      </c>
      <c r="AV280" s="375">
        <v>883.33333300000004</v>
      </c>
      <c r="AW280" s="375">
        <v>883.33333300000004</v>
      </c>
      <c r="AX280" s="375">
        <v>883.33333300000004</v>
      </c>
      <c r="AY280" s="375">
        <v>883.33333300000004</v>
      </c>
      <c r="AZ280" s="375">
        <v>883.33333300000004</v>
      </c>
      <c r="BA280" s="375">
        <v>883.33333300000004</v>
      </c>
      <c r="BB280" s="375">
        <v>10595.639997000004</v>
      </c>
      <c r="BC280" s="79">
        <v>881.88</v>
      </c>
      <c r="BD280" s="79">
        <v>881.88</v>
      </c>
      <c r="BE280" s="79">
        <v>881.88</v>
      </c>
      <c r="BF280" s="79">
        <v>883.33333300000004</v>
      </c>
      <c r="BG280" s="79">
        <v>883.33333300000004</v>
      </c>
      <c r="BH280" s="79">
        <v>883.33333300000004</v>
      </c>
      <c r="BI280" s="79">
        <v>883.33333300000004</v>
      </c>
      <c r="BJ280" s="79">
        <v>883.33333300000004</v>
      </c>
      <c r="BK280" s="79">
        <v>883.33333300000004</v>
      </c>
      <c r="BL280" s="79">
        <v>883.33333300000004</v>
      </c>
      <c r="BM280" s="79">
        <v>883.33333300000004</v>
      </c>
      <c r="BN280" s="79">
        <v>883.33333300000004</v>
      </c>
      <c r="BO280" s="79">
        <v>10595.639997000004</v>
      </c>
    </row>
    <row r="281" spans="1:67" ht="15" customHeight="1">
      <c r="A281" s="66" t="s">
        <v>1288</v>
      </c>
      <c r="B281" s="66" t="s">
        <v>1289</v>
      </c>
      <c r="C281" s="150" t="s">
        <v>1136</v>
      </c>
      <c r="D281" s="150" t="s">
        <v>1135</v>
      </c>
      <c r="E281" s="150" t="s">
        <v>1165</v>
      </c>
      <c r="F281" s="150" t="s">
        <v>1137</v>
      </c>
      <c r="G281" s="511" t="s">
        <v>49</v>
      </c>
      <c r="H281" s="392" t="s">
        <v>1290</v>
      </c>
      <c r="I281" s="343"/>
      <c r="J281" s="343"/>
      <c r="K281" s="70" t="s">
        <v>129</v>
      </c>
      <c r="L281" s="346"/>
      <c r="M281" s="343"/>
      <c r="N281" s="346"/>
      <c r="O281" s="150" t="s">
        <v>114</v>
      </c>
      <c r="P281" s="150"/>
      <c r="Q281" s="403"/>
      <c r="R281" s="406">
        <v>73711</v>
      </c>
      <c r="S281" s="406">
        <v>70191.98000000001</v>
      </c>
      <c r="T281" s="425"/>
      <c r="U281" s="71"/>
      <c r="V281" s="426">
        <v>5439.05</v>
      </c>
      <c r="W281" s="427">
        <v>4406.87</v>
      </c>
      <c r="X281" s="427">
        <v>5062.8</v>
      </c>
      <c r="Y281" s="428">
        <v>6561.0900000000011</v>
      </c>
      <c r="Z281" s="429">
        <v>5184.41</v>
      </c>
      <c r="AA281" s="429">
        <v>5082.6499999999987</v>
      </c>
      <c r="AB281" s="363">
        <v>6142.58</v>
      </c>
      <c r="AC281" s="363">
        <v>6200</v>
      </c>
      <c r="AD281" s="363">
        <v>6200</v>
      </c>
      <c r="AE281" s="363">
        <v>6200</v>
      </c>
      <c r="AF281" s="363">
        <v>6200</v>
      </c>
      <c r="AG281" s="363">
        <v>6200</v>
      </c>
      <c r="AH281" s="360">
        <f t="shared" si="18"/>
        <v>68879.45</v>
      </c>
      <c r="AI281" s="362">
        <f>ERP_5[[#This Row],[2026 Working Total]]-ERP_5[[#This Row],[LE2 Final Submission]]</f>
        <v>-1312.5300000000134</v>
      </c>
      <c r="AJ281" s="79">
        <v>6142.58</v>
      </c>
      <c r="AK281" s="79">
        <f t="shared" si="17"/>
        <v>-1059.9300000000012</v>
      </c>
      <c r="AL281" s="374">
        <f>SUM(ERP_5[[#This Row],[AP01]:[AP06]])-SUM(ERP_5[[#This Row],[AP01 LE2]:[AP06 LE2]])</f>
        <v>-1599.5900000000074</v>
      </c>
      <c r="AM281" s="80"/>
      <c r="AN281" s="79">
        <f>ERP_5[[#This Row],[2026 Working Total to Budget/LE]]-ERP_5[[#This Row],[Giveback]]</f>
        <v>-1312.5300000000134</v>
      </c>
      <c r="AO281" s="81"/>
      <c r="AP281" s="375">
        <v>5439.05</v>
      </c>
      <c r="AQ281" s="375">
        <v>4406.87</v>
      </c>
      <c r="AR281" s="375">
        <v>5062.8</v>
      </c>
      <c r="AS281" s="375">
        <v>6142.58</v>
      </c>
      <c r="AT281" s="375">
        <v>6142.58</v>
      </c>
      <c r="AU281" s="375">
        <v>6142.58</v>
      </c>
      <c r="AV281" s="375">
        <v>6142.58</v>
      </c>
      <c r="AW281" s="375">
        <v>6142.58</v>
      </c>
      <c r="AX281" s="375">
        <v>6142.58</v>
      </c>
      <c r="AY281" s="375">
        <v>6142.58</v>
      </c>
      <c r="AZ281" s="375">
        <v>6142.58</v>
      </c>
      <c r="BA281" s="375">
        <v>6142.62</v>
      </c>
      <c r="BB281" s="375">
        <v>70191.98000000001</v>
      </c>
      <c r="BC281" s="79">
        <v>5439.05</v>
      </c>
      <c r="BD281" s="79">
        <v>4406.87</v>
      </c>
      <c r="BE281" s="79">
        <v>5062.8</v>
      </c>
      <c r="BF281" s="79">
        <v>6142.58</v>
      </c>
      <c r="BG281" s="79">
        <v>6142.58</v>
      </c>
      <c r="BH281" s="79">
        <v>6142.58</v>
      </c>
      <c r="BI281" s="79">
        <v>6142.58</v>
      </c>
      <c r="BJ281" s="79">
        <v>6142.58</v>
      </c>
      <c r="BK281" s="79">
        <v>6142.58</v>
      </c>
      <c r="BL281" s="79">
        <v>6142.58</v>
      </c>
      <c r="BM281" s="79">
        <v>6142.58</v>
      </c>
      <c r="BN281" s="79">
        <v>6142.62</v>
      </c>
      <c r="BO281" s="79">
        <v>70191.98000000001</v>
      </c>
    </row>
    <row r="282" spans="1:67" ht="15" customHeight="1">
      <c r="A282" s="66" t="s">
        <v>1291</v>
      </c>
      <c r="B282" s="66" t="s">
        <v>1292</v>
      </c>
      <c r="C282" s="150" t="s">
        <v>1136</v>
      </c>
      <c r="D282" s="150" t="s">
        <v>1135</v>
      </c>
      <c r="E282" s="150" t="s">
        <v>1165</v>
      </c>
      <c r="F282" s="150" t="s">
        <v>1137</v>
      </c>
      <c r="G282" s="511" t="s">
        <v>49</v>
      </c>
      <c r="H282" s="392" t="s">
        <v>1293</v>
      </c>
      <c r="I282" s="343"/>
      <c r="J282" s="343"/>
      <c r="K282" s="70" t="s">
        <v>131</v>
      </c>
      <c r="L282" s="346"/>
      <c r="M282" s="343"/>
      <c r="N282" s="346"/>
      <c r="O282" s="150" t="s">
        <v>114</v>
      </c>
      <c r="P282" s="150"/>
      <c r="Q282" s="403"/>
      <c r="R282" s="406">
        <v>9592.0000000000018</v>
      </c>
      <c r="S282" s="406">
        <v>9470.880000000001</v>
      </c>
      <c r="T282" s="425"/>
      <c r="U282" s="71"/>
      <c r="V282" s="426">
        <v>844.81</v>
      </c>
      <c r="W282" s="427">
        <v>677.12</v>
      </c>
      <c r="X282" s="427">
        <v>754.94</v>
      </c>
      <c r="Y282" s="428">
        <v>991.85</v>
      </c>
      <c r="Z282" s="429">
        <v>673.53</v>
      </c>
      <c r="AA282" s="429">
        <v>720.34</v>
      </c>
      <c r="AB282" s="363">
        <v>799.33</v>
      </c>
      <c r="AC282" s="363">
        <v>799.33</v>
      </c>
      <c r="AD282" s="363">
        <v>799.33</v>
      </c>
      <c r="AE282" s="363">
        <v>799.33</v>
      </c>
      <c r="AF282" s="363">
        <v>799.33</v>
      </c>
      <c r="AG282" s="363">
        <v>799.37</v>
      </c>
      <c r="AH282" s="360">
        <f t="shared" si="18"/>
        <v>9458.61</v>
      </c>
      <c r="AI282" s="362">
        <f>ERP_5[[#This Row],[2026 Working Total]]-ERP_5[[#This Row],[LE2 Final Submission]]</f>
        <v>-12.270000000000437</v>
      </c>
      <c r="AJ282" s="79">
        <v>799.33</v>
      </c>
      <c r="AK282" s="79">
        <f t="shared" si="17"/>
        <v>-78.990000000000009</v>
      </c>
      <c r="AL282" s="374">
        <f>SUM(ERP_5[[#This Row],[AP01]:[AP06]])-SUM(ERP_5[[#This Row],[AP01 LE2]:[AP06 LE2]])</f>
        <v>-12.269999999999527</v>
      </c>
      <c r="AM282" s="80"/>
      <c r="AN282" s="79">
        <f>ERP_5[[#This Row],[2026 Working Total to Budget/LE]]-ERP_5[[#This Row],[Giveback]]</f>
        <v>-12.270000000000437</v>
      </c>
      <c r="AO282" s="81"/>
      <c r="AP282" s="375">
        <v>844.81</v>
      </c>
      <c r="AQ282" s="375">
        <v>677.12</v>
      </c>
      <c r="AR282" s="375">
        <v>754.94</v>
      </c>
      <c r="AS282" s="375">
        <v>799.33</v>
      </c>
      <c r="AT282" s="375">
        <v>799.33</v>
      </c>
      <c r="AU282" s="375">
        <v>799.33</v>
      </c>
      <c r="AV282" s="375">
        <v>799.33</v>
      </c>
      <c r="AW282" s="375">
        <v>799.33</v>
      </c>
      <c r="AX282" s="375">
        <v>799.33</v>
      </c>
      <c r="AY282" s="375">
        <v>799.33</v>
      </c>
      <c r="AZ282" s="375">
        <v>799.33</v>
      </c>
      <c r="BA282" s="375">
        <v>799.37</v>
      </c>
      <c r="BB282" s="375">
        <v>9470.880000000001</v>
      </c>
      <c r="BC282" s="79">
        <v>844.81</v>
      </c>
      <c r="BD282" s="79">
        <v>677.12</v>
      </c>
      <c r="BE282" s="79">
        <v>754.94</v>
      </c>
      <c r="BF282" s="79">
        <v>799.33</v>
      </c>
      <c r="BG282" s="79">
        <v>799.33</v>
      </c>
      <c r="BH282" s="79">
        <v>799.33</v>
      </c>
      <c r="BI282" s="79">
        <v>799.33</v>
      </c>
      <c r="BJ282" s="79">
        <v>799.33</v>
      </c>
      <c r="BK282" s="79">
        <v>799.33</v>
      </c>
      <c r="BL282" s="79">
        <v>799.33</v>
      </c>
      <c r="BM282" s="79">
        <v>799.33</v>
      </c>
      <c r="BN282" s="79">
        <v>799.37</v>
      </c>
      <c r="BO282" s="79">
        <v>9470.880000000001</v>
      </c>
    </row>
    <row r="283" spans="1:67" ht="15" customHeight="1">
      <c r="A283" s="66" t="s">
        <v>1850</v>
      </c>
      <c r="B283" s="66" t="s">
        <v>1851</v>
      </c>
      <c r="C283" s="150" t="s">
        <v>1136</v>
      </c>
      <c r="D283" s="150" t="s">
        <v>1135</v>
      </c>
      <c r="E283" s="150" t="s">
        <v>1165</v>
      </c>
      <c r="F283" s="150" t="s">
        <v>1137</v>
      </c>
      <c r="G283" s="511" t="s">
        <v>389</v>
      </c>
      <c r="H283" s="392" t="s">
        <v>1852</v>
      </c>
      <c r="I283" s="343"/>
      <c r="J283" s="343"/>
      <c r="K283" s="70" t="s">
        <v>445</v>
      </c>
      <c r="L283" s="346"/>
      <c r="M283" s="343"/>
      <c r="N283" s="346"/>
      <c r="O283" s="150" t="s">
        <v>434</v>
      </c>
      <c r="P283" s="150"/>
      <c r="Q283" s="403"/>
      <c r="R283" s="406">
        <v>132431.04000000001</v>
      </c>
      <c r="S283" s="406">
        <v>123849.26</v>
      </c>
      <c r="T283" s="425"/>
      <c r="U283" s="71"/>
      <c r="V283" s="426">
        <v>10548.89</v>
      </c>
      <c r="W283" s="427">
        <v>8790.74</v>
      </c>
      <c r="X283" s="427">
        <v>9845.6299999999992</v>
      </c>
      <c r="Y283" s="428">
        <v>12307.019999999999</v>
      </c>
      <c r="Z283" s="429">
        <v>9845.619999999999</v>
      </c>
      <c r="AA283" s="429">
        <v>9845.64</v>
      </c>
      <c r="AB283" s="363">
        <v>10296</v>
      </c>
      <c r="AC283" s="363">
        <v>10296</v>
      </c>
      <c r="AD283" s="363">
        <v>10296</v>
      </c>
      <c r="AE283" s="363">
        <v>10296</v>
      </c>
      <c r="AF283" s="363">
        <v>10296</v>
      </c>
      <c r="AG283" s="363">
        <v>10296</v>
      </c>
      <c r="AH283" s="360">
        <f t="shared" si="18"/>
        <v>122959.54</v>
      </c>
      <c r="AI283" s="362">
        <f>ERP_5[[#This Row],[2026 Working Total]]-ERP_5[[#This Row],[LE2 Final Submission]]</f>
        <v>-889.72000000000116</v>
      </c>
      <c r="AJ283" s="79">
        <v>10296</v>
      </c>
      <c r="AK283" s="79">
        <f t="shared" si="17"/>
        <v>-450.36000000000058</v>
      </c>
      <c r="AL283" s="374">
        <f>SUM(ERP_5[[#This Row],[AP01]:[AP06]])-SUM(ERP_5[[#This Row],[AP01 LE2]:[AP06 LE2]])</f>
        <v>-889.72000000000116</v>
      </c>
      <c r="AM283" s="80"/>
      <c r="AN283" s="79">
        <f>ERP_5[[#This Row],[2026 Working Total to Budget/LE]]-ERP_5[[#This Row],[Giveback]]</f>
        <v>-889.72000000000116</v>
      </c>
      <c r="AO283" s="81"/>
      <c r="AP283" s="375">
        <v>10548.89</v>
      </c>
      <c r="AQ283" s="375">
        <v>8790.74</v>
      </c>
      <c r="AR283" s="375">
        <v>9845.6299999999992</v>
      </c>
      <c r="AS283" s="375">
        <v>12296</v>
      </c>
      <c r="AT283" s="375">
        <v>10296</v>
      </c>
      <c r="AU283" s="375">
        <v>10296</v>
      </c>
      <c r="AV283" s="375">
        <v>10296</v>
      </c>
      <c r="AW283" s="375">
        <v>10296</v>
      </c>
      <c r="AX283" s="375">
        <v>10296</v>
      </c>
      <c r="AY283" s="375">
        <v>10296</v>
      </c>
      <c r="AZ283" s="375">
        <v>10296</v>
      </c>
      <c r="BA283" s="375">
        <v>10296</v>
      </c>
      <c r="BB283" s="375">
        <v>123849.26</v>
      </c>
      <c r="BC283" s="79">
        <v>10548.89</v>
      </c>
      <c r="BD283" s="79">
        <v>8790.74</v>
      </c>
      <c r="BE283" s="79">
        <v>9845.6299999999992</v>
      </c>
      <c r="BF283" s="79">
        <v>11035.92</v>
      </c>
      <c r="BG283" s="79">
        <v>11035.92</v>
      </c>
      <c r="BH283" s="79">
        <v>11035.92</v>
      </c>
      <c r="BI283" s="79">
        <v>11035.92</v>
      </c>
      <c r="BJ283" s="79">
        <v>11035.92</v>
      </c>
      <c r="BK283" s="79">
        <v>11035.92</v>
      </c>
      <c r="BL283" s="79">
        <v>11035.92</v>
      </c>
      <c r="BM283" s="79">
        <v>11035.92</v>
      </c>
      <c r="BN283" s="79">
        <v>11035.92</v>
      </c>
      <c r="BO283" s="79">
        <v>128508.53999999998</v>
      </c>
    </row>
    <row r="284" spans="1:67" ht="15" customHeight="1">
      <c r="A284" s="66" t="s">
        <v>1396</v>
      </c>
      <c r="B284" s="66" t="s">
        <v>182</v>
      </c>
      <c r="C284" s="150" t="s">
        <v>1136</v>
      </c>
      <c r="D284" s="150" t="s">
        <v>1345</v>
      </c>
      <c r="E284" s="150" t="s">
        <v>1344</v>
      </c>
      <c r="F284" s="150" t="s">
        <v>1346</v>
      </c>
      <c r="G284" s="511" t="s">
        <v>49</v>
      </c>
      <c r="H284" s="392" t="s">
        <v>1397</v>
      </c>
      <c r="I284" s="343"/>
      <c r="J284" s="343"/>
      <c r="K284" s="70" t="s">
        <v>183</v>
      </c>
      <c r="L284" s="346"/>
      <c r="M284" s="343"/>
      <c r="N284" s="346"/>
      <c r="O284" s="150" t="s">
        <v>119</v>
      </c>
      <c r="P284" s="150"/>
      <c r="Q284" s="403"/>
      <c r="R284" s="406">
        <v>25000</v>
      </c>
      <c r="S284" s="406">
        <v>25000</v>
      </c>
      <c r="T284" s="425"/>
      <c r="U284" s="71"/>
      <c r="V284" s="426"/>
      <c r="W284" s="427"/>
      <c r="X284" s="427"/>
      <c r="Y284" s="428" t="s">
        <v>1142</v>
      </c>
      <c r="Z284" s="429">
        <v>0</v>
      </c>
      <c r="AA284" s="429">
        <v>0</v>
      </c>
      <c r="AB284" s="363"/>
      <c r="AC284" s="363">
        <v>25000</v>
      </c>
      <c r="AD284" s="360">
        <v>0</v>
      </c>
      <c r="AE284" s="360">
        <v>0</v>
      </c>
      <c r="AF284" s="360">
        <v>0</v>
      </c>
      <c r="AG284" s="360">
        <v>0</v>
      </c>
      <c r="AH284" s="360">
        <f t="shared" si="18"/>
        <v>25000</v>
      </c>
      <c r="AI284" s="362">
        <f>ERP_5[[#This Row],[2026 Working Total]]-ERP_5[[#This Row],[LE2 Final Submission]]</f>
        <v>0</v>
      </c>
      <c r="AJ284" s="79"/>
      <c r="AK284" s="79">
        <f t="shared" si="17"/>
        <v>0</v>
      </c>
      <c r="AL284" s="374">
        <f>SUM(ERP_5[[#This Row],[AP01]:[AP06]])-SUM(ERP_5[[#This Row],[AP01 LE2]:[AP06 LE2]])</f>
        <v>0</v>
      </c>
      <c r="AM284" s="80"/>
      <c r="AN284" s="79">
        <f>ERP_5[[#This Row],[2026 Working Total to Budget/LE]]-ERP_5[[#This Row],[Giveback]]</f>
        <v>0</v>
      </c>
      <c r="AO284" s="81"/>
      <c r="AP284" s="375"/>
      <c r="AQ284" s="375"/>
      <c r="AR284" s="375"/>
      <c r="AS284" s="375"/>
      <c r="AT284" s="375"/>
      <c r="AU284" s="375"/>
      <c r="AV284" s="375"/>
      <c r="AW284" s="375">
        <v>25000</v>
      </c>
      <c r="AX284" s="375">
        <v>0</v>
      </c>
      <c r="AY284" s="375">
        <v>0</v>
      </c>
      <c r="AZ284" s="375">
        <v>0</v>
      </c>
      <c r="BA284" s="375">
        <v>0</v>
      </c>
      <c r="BB284" s="375">
        <v>25000</v>
      </c>
      <c r="BC284" s="79"/>
      <c r="BD284" s="79"/>
      <c r="BE284" s="79"/>
      <c r="BF284" s="79"/>
      <c r="BG284" s="79"/>
      <c r="BH284" s="79"/>
      <c r="BI284" s="79"/>
      <c r="BJ284" s="79">
        <v>25000</v>
      </c>
      <c r="BK284" s="79">
        <v>0</v>
      </c>
      <c r="BL284" s="79">
        <v>0</v>
      </c>
      <c r="BM284" s="79">
        <v>0</v>
      </c>
      <c r="BN284" s="79">
        <v>0</v>
      </c>
      <c r="BO284" s="79">
        <v>25000</v>
      </c>
    </row>
    <row r="285" spans="1:67" ht="15" customHeight="1">
      <c r="A285" s="66" t="s">
        <v>1966</v>
      </c>
      <c r="B285" s="66" t="s">
        <v>494</v>
      </c>
      <c r="C285" s="150" t="s">
        <v>1136</v>
      </c>
      <c r="D285" s="150" t="s">
        <v>1345</v>
      </c>
      <c r="E285" s="150" t="s">
        <v>1344</v>
      </c>
      <c r="F285" s="150" t="s">
        <v>1346</v>
      </c>
      <c r="G285" s="511" t="s">
        <v>389</v>
      </c>
      <c r="H285" s="392" t="s">
        <v>1967</v>
      </c>
      <c r="I285" s="343"/>
      <c r="J285" s="343"/>
      <c r="K285" s="70" t="s">
        <v>495</v>
      </c>
      <c r="L285" s="346"/>
      <c r="M285" s="346" t="s">
        <v>1140</v>
      </c>
      <c r="N285" s="346"/>
      <c r="O285" s="150" t="s">
        <v>57</v>
      </c>
      <c r="P285" s="150"/>
      <c r="Q285" s="403"/>
      <c r="R285" s="406">
        <v>8600</v>
      </c>
      <c r="S285" s="406">
        <v>8392.24</v>
      </c>
      <c r="T285" s="425"/>
      <c r="U285" s="71"/>
      <c r="V285" s="426">
        <v>540.58000000000004</v>
      </c>
      <c r="W285" s="427">
        <v>540.04999999999995</v>
      </c>
      <c r="X285" s="427">
        <v>511.61</v>
      </c>
      <c r="Y285" s="428">
        <v>547.18999999999994</v>
      </c>
      <c r="Z285" s="429">
        <v>534.1099999999999</v>
      </c>
      <c r="AA285" s="429">
        <v>539.85</v>
      </c>
      <c r="AB285" s="363">
        <v>600</v>
      </c>
      <c r="AC285" s="363">
        <v>600</v>
      </c>
      <c r="AD285" s="363">
        <v>600</v>
      </c>
      <c r="AE285" s="363">
        <v>600</v>
      </c>
      <c r="AF285" s="363">
        <v>600</v>
      </c>
      <c r="AG285" s="363">
        <v>2000</v>
      </c>
      <c r="AH285" s="360">
        <f t="shared" si="18"/>
        <v>8213.39</v>
      </c>
      <c r="AI285" s="362">
        <f>ERP_5[[#This Row],[2026 Working Total]]-ERP_5[[#This Row],[LE2 Final Submission]]</f>
        <v>-178.85000000000036</v>
      </c>
      <c r="AJ285" s="79">
        <v>600</v>
      </c>
      <c r="AK285" s="79">
        <f t="shared" si="17"/>
        <v>-60.149999999999977</v>
      </c>
      <c r="AL285" s="374">
        <f>SUM(ERP_5[[#This Row],[AP01]:[AP06]])-SUM(ERP_5[[#This Row],[AP01 LE2]:[AP06 LE2]])</f>
        <v>-178.85000000000036</v>
      </c>
      <c r="AM285" s="80"/>
      <c r="AN285" s="79">
        <f>ERP_5[[#This Row],[2026 Working Total to Budget/LE]]-ERP_5[[#This Row],[Giveback]]</f>
        <v>-178.85000000000036</v>
      </c>
      <c r="AO285" s="81"/>
      <c r="AP285" s="375">
        <v>540.58000000000004</v>
      </c>
      <c r="AQ285" s="375">
        <v>540.04999999999995</v>
      </c>
      <c r="AR285" s="375">
        <v>511.61</v>
      </c>
      <c r="AS285" s="375">
        <v>600</v>
      </c>
      <c r="AT285" s="375">
        <v>600</v>
      </c>
      <c r="AU285" s="375">
        <v>600</v>
      </c>
      <c r="AV285" s="375">
        <v>600</v>
      </c>
      <c r="AW285" s="375">
        <v>600</v>
      </c>
      <c r="AX285" s="375">
        <v>600</v>
      </c>
      <c r="AY285" s="375">
        <v>600</v>
      </c>
      <c r="AZ285" s="375">
        <v>600</v>
      </c>
      <c r="BA285" s="375">
        <v>2000</v>
      </c>
      <c r="BB285" s="375">
        <v>8392.24</v>
      </c>
      <c r="BC285" s="79">
        <v>540.58000000000004</v>
      </c>
      <c r="BD285" s="79">
        <v>540.04999999999995</v>
      </c>
      <c r="BE285" s="79">
        <v>511.61</v>
      </c>
      <c r="BF285" s="79">
        <v>600</v>
      </c>
      <c r="BG285" s="79">
        <v>600</v>
      </c>
      <c r="BH285" s="79">
        <v>600</v>
      </c>
      <c r="BI285" s="79">
        <v>600</v>
      </c>
      <c r="BJ285" s="79">
        <v>600</v>
      </c>
      <c r="BK285" s="79">
        <v>600</v>
      </c>
      <c r="BL285" s="79">
        <v>600</v>
      </c>
      <c r="BM285" s="79">
        <v>600</v>
      </c>
      <c r="BN285" s="79">
        <v>2000</v>
      </c>
      <c r="BO285" s="79">
        <v>8392.24</v>
      </c>
    </row>
    <row r="286" spans="1:67" ht="15" customHeight="1">
      <c r="A286" s="66" t="s">
        <v>2609</v>
      </c>
      <c r="B286" s="66" t="s">
        <v>904</v>
      </c>
      <c r="C286" s="150" t="s">
        <v>1136</v>
      </c>
      <c r="D286" s="150" t="s">
        <v>1345</v>
      </c>
      <c r="E286" s="150" t="s">
        <v>1344</v>
      </c>
      <c r="F286" s="150" t="s">
        <v>1346</v>
      </c>
      <c r="G286" s="511" t="s">
        <v>639</v>
      </c>
      <c r="H286" s="392" t="s">
        <v>1967</v>
      </c>
      <c r="I286" s="343"/>
      <c r="J286" s="343"/>
      <c r="K286" s="70" t="s">
        <v>495</v>
      </c>
      <c r="L286" s="346"/>
      <c r="M286" s="346" t="s">
        <v>1140</v>
      </c>
      <c r="N286" s="346"/>
      <c r="O286" s="150" t="s">
        <v>57</v>
      </c>
      <c r="P286" s="150"/>
      <c r="Q286" s="403"/>
      <c r="R286" s="406">
        <v>3348</v>
      </c>
      <c r="S286" s="406">
        <v>3659.38</v>
      </c>
      <c r="T286" s="430"/>
      <c r="U286" s="137"/>
      <c r="V286" s="426">
        <v>279.45999999999998</v>
      </c>
      <c r="W286" s="427">
        <v>279.45999999999998</v>
      </c>
      <c r="X286" s="427">
        <v>589.46</v>
      </c>
      <c r="Y286" s="428">
        <v>279.45999999999998</v>
      </c>
      <c r="Z286" s="429">
        <v>279.45999999999998</v>
      </c>
      <c r="AA286" s="429">
        <v>279.45999999999998</v>
      </c>
      <c r="AB286" s="363">
        <v>279</v>
      </c>
      <c r="AC286" s="363">
        <v>279</v>
      </c>
      <c r="AD286" s="363">
        <v>279</v>
      </c>
      <c r="AE286" s="363">
        <v>279</v>
      </c>
      <c r="AF286" s="363">
        <v>279</v>
      </c>
      <c r="AG286" s="363">
        <v>279</v>
      </c>
      <c r="AH286" s="360">
        <f t="shared" si="18"/>
        <v>3660.76</v>
      </c>
      <c r="AI286" s="362">
        <f>ERP_5[[#This Row],[2026 Working Total]]-ERP_5[[#This Row],[LE2 Final Submission]]</f>
        <v>1.3800000000001091</v>
      </c>
      <c r="AJ286" s="79">
        <v>279</v>
      </c>
      <c r="AK286" s="79">
        <f t="shared" si="17"/>
        <v>0.45999999999997954</v>
      </c>
      <c r="AL286" s="374">
        <f>SUM(ERP_5[[#This Row],[AP01]:[AP06]])-SUM(ERP_5[[#This Row],[AP01 LE2]:[AP06 LE2]])</f>
        <v>1.3800000000001091</v>
      </c>
      <c r="AM286" s="80"/>
      <c r="AN286" s="79">
        <f>ERP_5[[#This Row],[2026 Working Total to Budget/LE]]-ERP_5[[#This Row],[Giveback]]</f>
        <v>1.3800000000001091</v>
      </c>
      <c r="AO286" s="81" t="s">
        <v>2610</v>
      </c>
      <c r="AP286" s="375">
        <v>279.45999999999998</v>
      </c>
      <c r="AQ286" s="375">
        <v>279.45999999999998</v>
      </c>
      <c r="AR286" s="375">
        <v>589.46</v>
      </c>
      <c r="AS286" s="375">
        <v>279</v>
      </c>
      <c r="AT286" s="375">
        <v>279</v>
      </c>
      <c r="AU286" s="375">
        <v>279</v>
      </c>
      <c r="AV286" s="375">
        <v>279</v>
      </c>
      <c r="AW286" s="375">
        <v>279</v>
      </c>
      <c r="AX286" s="375">
        <v>279</v>
      </c>
      <c r="AY286" s="375">
        <v>279</v>
      </c>
      <c r="AZ286" s="375">
        <v>279</v>
      </c>
      <c r="BA286" s="375">
        <v>279</v>
      </c>
      <c r="BB286" s="375">
        <v>3659.38</v>
      </c>
      <c r="BC286" s="79">
        <v>279.45999999999998</v>
      </c>
      <c r="BD286" s="79">
        <v>279.45999999999998</v>
      </c>
      <c r="BE286" s="79">
        <v>589.46</v>
      </c>
      <c r="BF286" s="79">
        <v>279</v>
      </c>
      <c r="BG286" s="79">
        <v>279</v>
      </c>
      <c r="BH286" s="79">
        <v>279</v>
      </c>
      <c r="BI286" s="79">
        <v>279</v>
      </c>
      <c r="BJ286" s="79">
        <v>279</v>
      </c>
      <c r="BK286" s="79">
        <v>279</v>
      </c>
      <c r="BL286" s="79">
        <v>279</v>
      </c>
      <c r="BM286" s="79">
        <v>279</v>
      </c>
      <c r="BN286" s="79">
        <v>279</v>
      </c>
      <c r="BO286" s="79">
        <v>3659.38</v>
      </c>
    </row>
    <row r="287" spans="1:67" ht="15" customHeight="1">
      <c r="A287" s="66" t="s">
        <v>1968</v>
      </c>
      <c r="B287" s="66" t="s">
        <v>496</v>
      </c>
      <c r="C287" s="150" t="s">
        <v>1136</v>
      </c>
      <c r="D287" s="150" t="s">
        <v>1345</v>
      </c>
      <c r="E287" s="150" t="s">
        <v>1344</v>
      </c>
      <c r="F287" s="150" t="s">
        <v>1346</v>
      </c>
      <c r="G287" s="511" t="s">
        <v>389</v>
      </c>
      <c r="H287" s="392" t="s">
        <v>1969</v>
      </c>
      <c r="I287" s="343"/>
      <c r="J287" s="343"/>
      <c r="K287" s="70" t="s">
        <v>497</v>
      </c>
      <c r="L287" s="346"/>
      <c r="M287" s="343"/>
      <c r="N287" s="346"/>
      <c r="O287" s="150" t="s">
        <v>25</v>
      </c>
      <c r="P287" s="150"/>
      <c r="Q287" s="403"/>
      <c r="R287" s="406">
        <v>1560</v>
      </c>
      <c r="S287" s="406">
        <v>1536.8899999999999</v>
      </c>
      <c r="T287" s="425"/>
      <c r="U287" s="71"/>
      <c r="V287" s="426">
        <v>124.95</v>
      </c>
      <c r="W287" s="427">
        <v>125.88</v>
      </c>
      <c r="X287" s="427">
        <v>116.06</v>
      </c>
      <c r="Y287" s="428">
        <v>129.38999999999999</v>
      </c>
      <c r="Z287" s="429">
        <v>122.35</v>
      </c>
      <c r="AA287" s="429">
        <v>125.51999999999998</v>
      </c>
      <c r="AB287" s="363">
        <v>130</v>
      </c>
      <c r="AC287" s="363">
        <v>130</v>
      </c>
      <c r="AD287" s="363">
        <v>130</v>
      </c>
      <c r="AE287" s="363">
        <v>130</v>
      </c>
      <c r="AF287" s="363">
        <v>130</v>
      </c>
      <c r="AG287" s="363">
        <v>130</v>
      </c>
      <c r="AH287" s="360">
        <f t="shared" si="18"/>
        <v>1524.15</v>
      </c>
      <c r="AI287" s="362">
        <f>ERP_5[[#This Row],[2026 Working Total]]-ERP_5[[#This Row],[LE2 Final Submission]]</f>
        <v>-12.739999999999782</v>
      </c>
      <c r="AJ287" s="79">
        <v>130</v>
      </c>
      <c r="AK287" s="79">
        <f t="shared" si="17"/>
        <v>-4.4800000000000182</v>
      </c>
      <c r="AL287" s="374">
        <f>SUM(ERP_5[[#This Row],[AP01]:[AP06]])-SUM(ERP_5[[#This Row],[AP01 LE2]:[AP06 LE2]])</f>
        <v>-12.740000000000009</v>
      </c>
      <c r="AM287" s="80"/>
      <c r="AN287" s="79">
        <f>ERP_5[[#This Row],[2026 Working Total to Budget/LE]]-ERP_5[[#This Row],[Giveback]]</f>
        <v>-12.739999999999782</v>
      </c>
      <c r="AO287" s="81"/>
      <c r="AP287" s="375">
        <v>124.95</v>
      </c>
      <c r="AQ287" s="375">
        <v>125.88</v>
      </c>
      <c r="AR287" s="375">
        <v>116.06</v>
      </c>
      <c r="AS287" s="375">
        <v>130</v>
      </c>
      <c r="AT287" s="375">
        <v>130</v>
      </c>
      <c r="AU287" s="375">
        <v>130</v>
      </c>
      <c r="AV287" s="375">
        <v>130</v>
      </c>
      <c r="AW287" s="375">
        <v>130</v>
      </c>
      <c r="AX287" s="375">
        <v>130</v>
      </c>
      <c r="AY287" s="375">
        <v>130</v>
      </c>
      <c r="AZ287" s="375">
        <v>130</v>
      </c>
      <c r="BA287" s="375">
        <v>130</v>
      </c>
      <c r="BB287" s="375">
        <v>1536.8899999999999</v>
      </c>
      <c r="BC287" s="79">
        <v>124.95</v>
      </c>
      <c r="BD287" s="79">
        <v>125.88</v>
      </c>
      <c r="BE287" s="79">
        <v>116.06</v>
      </c>
      <c r="BF287" s="79">
        <v>130</v>
      </c>
      <c r="BG287" s="79">
        <v>130</v>
      </c>
      <c r="BH287" s="79">
        <v>130</v>
      </c>
      <c r="BI287" s="79">
        <v>130</v>
      </c>
      <c r="BJ287" s="79">
        <v>130</v>
      </c>
      <c r="BK287" s="79">
        <v>130</v>
      </c>
      <c r="BL287" s="79">
        <v>130</v>
      </c>
      <c r="BM287" s="79">
        <v>130</v>
      </c>
      <c r="BN287" s="79">
        <v>130</v>
      </c>
      <c r="BO287" s="79">
        <v>1536.8899999999999</v>
      </c>
    </row>
    <row r="288" spans="1:67" ht="15" customHeight="1">
      <c r="A288" s="66" t="s">
        <v>2068</v>
      </c>
      <c r="B288" s="66" t="s">
        <v>556</v>
      </c>
      <c r="C288" s="150" t="s">
        <v>1136</v>
      </c>
      <c r="D288" s="150" t="s">
        <v>1345</v>
      </c>
      <c r="E288" s="150" t="s">
        <v>1515</v>
      </c>
      <c r="F288" s="150" t="s">
        <v>1346</v>
      </c>
      <c r="G288" s="511" t="s">
        <v>389</v>
      </c>
      <c r="H288" s="392" t="s">
        <v>1969</v>
      </c>
      <c r="I288" s="343"/>
      <c r="J288" s="343"/>
      <c r="K288" s="70" t="s">
        <v>497</v>
      </c>
      <c r="L288" s="346"/>
      <c r="M288" s="343"/>
      <c r="N288" s="346"/>
      <c r="O288" s="150" t="s">
        <v>25</v>
      </c>
      <c r="P288" s="150"/>
      <c r="Q288" s="403"/>
      <c r="R288" s="406">
        <v>4213</v>
      </c>
      <c r="S288" s="406">
        <v>3403</v>
      </c>
      <c r="T288" s="425"/>
      <c r="U288" s="71"/>
      <c r="V288" s="426"/>
      <c r="W288" s="427"/>
      <c r="X288" s="427"/>
      <c r="Y288" s="428" t="s">
        <v>1142</v>
      </c>
      <c r="Z288" s="429">
        <v>0</v>
      </c>
      <c r="AA288" s="429">
        <v>0</v>
      </c>
      <c r="AB288" s="363">
        <v>267</v>
      </c>
      <c r="AC288" s="363">
        <v>267</v>
      </c>
      <c r="AD288" s="363">
        <v>267</v>
      </c>
      <c r="AE288" s="363">
        <v>267</v>
      </c>
      <c r="AF288" s="363">
        <v>267</v>
      </c>
      <c r="AG288" s="363">
        <v>1267</v>
      </c>
      <c r="AH288" s="360">
        <f t="shared" si="18"/>
        <v>2602</v>
      </c>
      <c r="AI288" s="362">
        <f>ERP_5[[#This Row],[2026 Working Total]]-ERP_5[[#This Row],[LE2 Final Submission]]</f>
        <v>-801</v>
      </c>
      <c r="AJ288" s="79">
        <v>267</v>
      </c>
      <c r="AK288" s="79">
        <f t="shared" si="17"/>
        <v>-267</v>
      </c>
      <c r="AL288" s="374">
        <f>SUM(ERP_5[[#This Row],[AP01]:[AP06]])-SUM(ERP_5[[#This Row],[AP01 LE2]:[AP06 LE2]])</f>
        <v>-801</v>
      </c>
      <c r="AM288" s="80"/>
      <c r="AN288" s="79">
        <f>ERP_5[[#This Row],[2026 Working Total to Budget/LE]]-ERP_5[[#This Row],[Giveback]]</f>
        <v>-801</v>
      </c>
      <c r="AO288" s="81"/>
      <c r="AP288" s="375"/>
      <c r="AQ288" s="375"/>
      <c r="AR288" s="375"/>
      <c r="AS288" s="375">
        <v>267</v>
      </c>
      <c r="AT288" s="375">
        <v>267</v>
      </c>
      <c r="AU288" s="375">
        <v>267</v>
      </c>
      <c r="AV288" s="375">
        <v>267</v>
      </c>
      <c r="AW288" s="375">
        <v>267</v>
      </c>
      <c r="AX288" s="375">
        <v>267</v>
      </c>
      <c r="AY288" s="375">
        <v>267</v>
      </c>
      <c r="AZ288" s="375">
        <v>267</v>
      </c>
      <c r="BA288" s="375">
        <v>1267</v>
      </c>
      <c r="BB288" s="375">
        <v>3403</v>
      </c>
      <c r="BC288" s="79"/>
      <c r="BD288" s="79"/>
      <c r="BE288" s="79"/>
      <c r="BF288" s="79">
        <v>267</v>
      </c>
      <c r="BG288" s="79">
        <v>267</v>
      </c>
      <c r="BH288" s="79">
        <v>267</v>
      </c>
      <c r="BI288" s="79">
        <v>267</v>
      </c>
      <c r="BJ288" s="79">
        <v>267</v>
      </c>
      <c r="BK288" s="79">
        <v>267</v>
      </c>
      <c r="BL288" s="79">
        <v>267</v>
      </c>
      <c r="BM288" s="79">
        <v>267</v>
      </c>
      <c r="BN288" s="79">
        <v>1267</v>
      </c>
      <c r="BO288" s="79">
        <v>3403</v>
      </c>
    </row>
    <row r="289" spans="1:67" ht="15" customHeight="1">
      <c r="A289" s="66" t="s">
        <v>1970</v>
      </c>
      <c r="B289" s="66" t="s">
        <v>498</v>
      </c>
      <c r="C289" s="150" t="s">
        <v>1136</v>
      </c>
      <c r="D289" s="150" t="s">
        <v>1345</v>
      </c>
      <c r="E289" s="150" t="s">
        <v>1344</v>
      </c>
      <c r="F289" s="150" t="s">
        <v>1346</v>
      </c>
      <c r="G289" s="511" t="s">
        <v>389</v>
      </c>
      <c r="H289" s="392" t="s">
        <v>1971</v>
      </c>
      <c r="I289" s="343"/>
      <c r="J289" s="343"/>
      <c r="K289" s="70" t="s">
        <v>499</v>
      </c>
      <c r="L289" s="346"/>
      <c r="M289" s="343"/>
      <c r="N289" s="346"/>
      <c r="O289" s="150" t="s">
        <v>57</v>
      </c>
      <c r="P289" s="150"/>
      <c r="Q289" s="403"/>
      <c r="R289" s="406">
        <v>0</v>
      </c>
      <c r="S289" s="406">
        <v>354.76</v>
      </c>
      <c r="T289" s="430"/>
      <c r="U289" s="137"/>
      <c r="V289" s="426">
        <v>129.77000000000001</v>
      </c>
      <c r="W289" s="427">
        <v>129.72</v>
      </c>
      <c r="X289" s="427">
        <v>95.27</v>
      </c>
      <c r="Y289" s="428">
        <v>108.61</v>
      </c>
      <c r="Z289" s="429">
        <v>126.27000000000001</v>
      </c>
      <c r="AA289" s="429">
        <v>130.19999999999999</v>
      </c>
      <c r="AB289" s="360">
        <v>0</v>
      </c>
      <c r="AC289" s="360">
        <v>0</v>
      </c>
      <c r="AD289" s="360">
        <v>0</v>
      </c>
      <c r="AE289" s="360">
        <v>0</v>
      </c>
      <c r="AF289" s="360">
        <v>0</v>
      </c>
      <c r="AG289" s="360">
        <v>0</v>
      </c>
      <c r="AH289" s="360">
        <f t="shared" si="18"/>
        <v>719.83999999999992</v>
      </c>
      <c r="AI289" s="362">
        <f>ERP_5[[#This Row],[2026 Working Total]]-ERP_5[[#This Row],[LE2 Final Submission]]</f>
        <v>365.07999999999993</v>
      </c>
      <c r="AJ289" s="79">
        <v>0</v>
      </c>
      <c r="AK289" s="79">
        <f t="shared" si="17"/>
        <v>130.19999999999999</v>
      </c>
      <c r="AL289" s="374">
        <f>SUM(ERP_5[[#This Row],[AP01]:[AP06]])-SUM(ERP_5[[#This Row],[AP01 LE2]:[AP06 LE2]])</f>
        <v>365.07999999999993</v>
      </c>
      <c r="AM289" s="80"/>
      <c r="AN289" s="79">
        <f>ERP_5[[#This Row],[2026 Working Total to Budget/LE]]-ERP_5[[#This Row],[Giveback]]</f>
        <v>365.07999999999993</v>
      </c>
      <c r="AO289" s="81"/>
      <c r="AP289" s="375">
        <v>129.77000000000001</v>
      </c>
      <c r="AQ289" s="375">
        <v>129.72</v>
      </c>
      <c r="AR289" s="375">
        <v>95.27</v>
      </c>
      <c r="AS289" s="375">
        <v>0</v>
      </c>
      <c r="AT289" s="375">
        <v>0</v>
      </c>
      <c r="AU289" s="375">
        <v>0</v>
      </c>
      <c r="AV289" s="375">
        <v>0</v>
      </c>
      <c r="AW289" s="375">
        <v>0</v>
      </c>
      <c r="AX289" s="375">
        <v>0</v>
      </c>
      <c r="AY289" s="375">
        <v>0</v>
      </c>
      <c r="AZ289" s="375">
        <v>0</v>
      </c>
      <c r="BA289" s="375">
        <v>0</v>
      </c>
      <c r="BB289" s="375">
        <v>354.76</v>
      </c>
      <c r="BC289" s="79">
        <v>129.77000000000001</v>
      </c>
      <c r="BD289" s="79">
        <v>129.72</v>
      </c>
      <c r="BE289" s="79">
        <v>95.27</v>
      </c>
      <c r="BF289" s="79">
        <v>0</v>
      </c>
      <c r="BG289" s="79">
        <v>0</v>
      </c>
      <c r="BH289" s="79">
        <v>0</v>
      </c>
      <c r="BI289" s="79">
        <v>0</v>
      </c>
      <c r="BJ289" s="79">
        <v>0</v>
      </c>
      <c r="BK289" s="79">
        <v>0</v>
      </c>
      <c r="BL289" s="79">
        <v>0</v>
      </c>
      <c r="BM289" s="79">
        <v>0</v>
      </c>
      <c r="BN289" s="79">
        <v>0</v>
      </c>
      <c r="BO289" s="79">
        <v>354.76</v>
      </c>
    </row>
    <row r="290" spans="1:67" ht="15" customHeight="1">
      <c r="A290" s="66" t="s">
        <v>2069</v>
      </c>
      <c r="B290" s="66" t="s">
        <v>557</v>
      </c>
      <c r="C290" s="150" t="s">
        <v>1136</v>
      </c>
      <c r="D290" s="150" t="s">
        <v>1345</v>
      </c>
      <c r="E290" s="150" t="s">
        <v>1515</v>
      </c>
      <c r="F290" s="150" t="s">
        <v>1346</v>
      </c>
      <c r="G290" s="511" t="s">
        <v>389</v>
      </c>
      <c r="H290" s="392" t="s">
        <v>1971</v>
      </c>
      <c r="I290" s="343"/>
      <c r="J290" s="343"/>
      <c r="K290" s="70" t="s">
        <v>499</v>
      </c>
      <c r="L290" s="346"/>
      <c r="M290" s="343"/>
      <c r="N290" s="346"/>
      <c r="O290" s="150" t="s">
        <v>57</v>
      </c>
      <c r="P290" s="150"/>
      <c r="Q290" s="403"/>
      <c r="R290" s="406">
        <v>3260</v>
      </c>
      <c r="S290" s="406">
        <v>2780</v>
      </c>
      <c r="T290" s="425"/>
      <c r="U290" s="71"/>
      <c r="V290" s="426"/>
      <c r="W290" s="427"/>
      <c r="X290" s="427"/>
      <c r="Y290" s="428" t="s">
        <v>1142</v>
      </c>
      <c r="Z290" s="429">
        <v>0</v>
      </c>
      <c r="AA290" s="429">
        <v>0</v>
      </c>
      <c r="AB290" s="363">
        <v>160</v>
      </c>
      <c r="AC290" s="363">
        <v>160</v>
      </c>
      <c r="AD290" s="363">
        <v>160</v>
      </c>
      <c r="AE290" s="363">
        <v>160</v>
      </c>
      <c r="AF290" s="363">
        <v>160</v>
      </c>
      <c r="AG290" s="363">
        <v>1500</v>
      </c>
      <c r="AH290" s="360">
        <f t="shared" si="18"/>
        <v>2300</v>
      </c>
      <c r="AI290" s="362">
        <f>ERP_5[[#This Row],[2026 Working Total]]-ERP_5[[#This Row],[LE2 Final Submission]]</f>
        <v>-480</v>
      </c>
      <c r="AJ290" s="79">
        <v>160</v>
      </c>
      <c r="AK290" s="79">
        <f t="shared" si="17"/>
        <v>-160</v>
      </c>
      <c r="AL290" s="374">
        <f>SUM(ERP_5[[#This Row],[AP01]:[AP06]])-SUM(ERP_5[[#This Row],[AP01 LE2]:[AP06 LE2]])</f>
        <v>-480</v>
      </c>
      <c r="AM290" s="80"/>
      <c r="AN290" s="79">
        <f>ERP_5[[#This Row],[2026 Working Total to Budget/LE]]-ERP_5[[#This Row],[Giveback]]</f>
        <v>-480</v>
      </c>
      <c r="AO290" s="81"/>
      <c r="AP290" s="375"/>
      <c r="AQ290" s="375"/>
      <c r="AR290" s="375"/>
      <c r="AS290" s="375">
        <v>160</v>
      </c>
      <c r="AT290" s="375">
        <v>160</v>
      </c>
      <c r="AU290" s="375">
        <v>160</v>
      </c>
      <c r="AV290" s="375">
        <v>160</v>
      </c>
      <c r="AW290" s="375">
        <v>160</v>
      </c>
      <c r="AX290" s="375">
        <v>160</v>
      </c>
      <c r="AY290" s="375">
        <v>160</v>
      </c>
      <c r="AZ290" s="375">
        <v>160</v>
      </c>
      <c r="BA290" s="375">
        <v>1500</v>
      </c>
      <c r="BB290" s="375">
        <v>2780</v>
      </c>
      <c r="BC290" s="79"/>
      <c r="BD290" s="79"/>
      <c r="BE290" s="79"/>
      <c r="BF290" s="79">
        <v>160</v>
      </c>
      <c r="BG290" s="79">
        <v>160</v>
      </c>
      <c r="BH290" s="79">
        <v>160</v>
      </c>
      <c r="BI290" s="79">
        <v>160</v>
      </c>
      <c r="BJ290" s="79">
        <v>160</v>
      </c>
      <c r="BK290" s="79">
        <v>160</v>
      </c>
      <c r="BL290" s="79">
        <v>160</v>
      </c>
      <c r="BM290" s="79">
        <v>160</v>
      </c>
      <c r="BN290" s="79">
        <v>1500</v>
      </c>
      <c r="BO290" s="79">
        <v>2780</v>
      </c>
    </row>
    <row r="291" spans="1:67" ht="15" customHeight="1">
      <c r="A291" s="66" t="s">
        <v>1398</v>
      </c>
      <c r="B291" s="66" t="s">
        <v>184</v>
      </c>
      <c r="C291" s="150" t="s">
        <v>1136</v>
      </c>
      <c r="D291" s="150" t="s">
        <v>1345</v>
      </c>
      <c r="E291" s="150" t="s">
        <v>1344</v>
      </c>
      <c r="F291" s="150" t="s">
        <v>1346</v>
      </c>
      <c r="G291" s="511" t="s">
        <v>49</v>
      </c>
      <c r="H291" s="392" t="s">
        <v>1399</v>
      </c>
      <c r="I291" s="343"/>
      <c r="J291" s="343"/>
      <c r="K291" s="70" t="s">
        <v>185</v>
      </c>
      <c r="L291" s="346"/>
      <c r="M291" s="343"/>
      <c r="N291" s="346"/>
      <c r="O291" s="150" t="s">
        <v>25</v>
      </c>
      <c r="P291" s="150" t="s">
        <v>1400</v>
      </c>
      <c r="Q291" s="403"/>
      <c r="R291" s="406">
        <v>47697</v>
      </c>
      <c r="S291" s="406">
        <v>53620</v>
      </c>
      <c r="T291" s="430"/>
      <c r="U291" s="137"/>
      <c r="V291" s="426"/>
      <c r="W291" s="427"/>
      <c r="X291" s="427"/>
      <c r="Y291" s="428">
        <v>0</v>
      </c>
      <c r="Z291" s="429">
        <v>5850</v>
      </c>
      <c r="AA291" s="429">
        <v>0</v>
      </c>
      <c r="AB291" s="363">
        <v>20000</v>
      </c>
      <c r="AC291" s="360">
        <v>11847</v>
      </c>
      <c r="AD291" s="363"/>
      <c r="AE291" s="360">
        <v>0</v>
      </c>
      <c r="AF291" s="360">
        <v>0</v>
      </c>
      <c r="AG291" s="360">
        <v>0</v>
      </c>
      <c r="AH291" s="360">
        <f t="shared" si="18"/>
        <v>37697</v>
      </c>
      <c r="AI291" s="362">
        <f>ERP_5[[#This Row],[2026 Working Total]]-ERP_5[[#This Row],[LE2 Final Submission]]</f>
        <v>-15923</v>
      </c>
      <c r="AJ291" s="79">
        <v>5850</v>
      </c>
      <c r="AK291" s="79">
        <f t="shared" si="17"/>
        <v>-5850</v>
      </c>
      <c r="AL291" s="374">
        <f>SUM(ERP_5[[#This Row],[AP01]:[AP06]])-SUM(ERP_5[[#This Row],[AP01 LE2]:[AP06 LE2]])</f>
        <v>-15000</v>
      </c>
      <c r="AM291" s="80"/>
      <c r="AN291" s="79">
        <f>ERP_5[[#This Row],[2026 Working Total to Budget/LE]]-ERP_5[[#This Row],[Giveback]]</f>
        <v>-15923</v>
      </c>
      <c r="AO291" s="81"/>
      <c r="AP291" s="375"/>
      <c r="AQ291" s="375"/>
      <c r="AR291" s="375"/>
      <c r="AS291" s="375">
        <v>15000</v>
      </c>
      <c r="AT291" s="375">
        <v>5850</v>
      </c>
      <c r="AU291" s="375">
        <v>0</v>
      </c>
      <c r="AV291" s="375">
        <v>23247</v>
      </c>
      <c r="AW291" s="375">
        <v>0</v>
      </c>
      <c r="AX291" s="375">
        <v>9523</v>
      </c>
      <c r="AY291" s="375">
        <v>0</v>
      </c>
      <c r="AZ291" s="375">
        <v>0</v>
      </c>
      <c r="BA291" s="375">
        <v>0</v>
      </c>
      <c r="BB291" s="375">
        <v>53620</v>
      </c>
      <c r="BC291" s="79"/>
      <c r="BD291" s="79"/>
      <c r="BE291" s="79"/>
      <c r="BF291" s="79">
        <v>15000</v>
      </c>
      <c r="BG291" s="79">
        <v>0</v>
      </c>
      <c r="BH291" s="79">
        <v>0</v>
      </c>
      <c r="BI291" s="79">
        <v>23247</v>
      </c>
      <c r="BJ291" s="79">
        <v>0</v>
      </c>
      <c r="BK291" s="79">
        <v>9523</v>
      </c>
      <c r="BL291" s="79">
        <v>0</v>
      </c>
      <c r="BM291" s="79">
        <v>0</v>
      </c>
      <c r="BN291" s="79">
        <v>0</v>
      </c>
      <c r="BO291" s="79">
        <v>47770</v>
      </c>
    </row>
    <row r="292" spans="1:67" ht="15" customHeight="1">
      <c r="A292" s="66" t="s">
        <v>1972</v>
      </c>
      <c r="B292" s="66" t="s">
        <v>500</v>
      </c>
      <c r="C292" s="150" t="s">
        <v>1136</v>
      </c>
      <c r="D292" s="150" t="s">
        <v>1345</v>
      </c>
      <c r="E292" s="150" t="s">
        <v>1344</v>
      </c>
      <c r="F292" s="150" t="s">
        <v>1346</v>
      </c>
      <c r="G292" s="511" t="s">
        <v>389</v>
      </c>
      <c r="H292" s="392" t="s">
        <v>1399</v>
      </c>
      <c r="I292" s="343"/>
      <c r="J292" s="343"/>
      <c r="K292" s="70" t="s">
        <v>185</v>
      </c>
      <c r="L292" s="346"/>
      <c r="M292" s="343"/>
      <c r="N292" s="346"/>
      <c r="O292" s="150" t="s">
        <v>25</v>
      </c>
      <c r="P292" s="150" t="s">
        <v>1400</v>
      </c>
      <c r="Q292" s="403"/>
      <c r="R292" s="406">
        <v>0</v>
      </c>
      <c r="S292" s="406">
        <v>0</v>
      </c>
      <c r="T292" s="425"/>
      <c r="U292" s="71"/>
      <c r="V292" s="426"/>
      <c r="W292" s="427"/>
      <c r="X292" s="427">
        <v>5850</v>
      </c>
      <c r="Y292" s="428">
        <v>0</v>
      </c>
      <c r="Z292" s="429">
        <v>-5800.26</v>
      </c>
      <c r="AA292" s="429">
        <v>63.66</v>
      </c>
      <c r="AB292" s="360">
        <v>0</v>
      </c>
      <c r="AC292" s="360">
        <v>0</v>
      </c>
      <c r="AD292" s="360">
        <v>0</v>
      </c>
      <c r="AE292" s="360">
        <v>0</v>
      </c>
      <c r="AF292" s="360">
        <v>0</v>
      </c>
      <c r="AG292" s="360">
        <v>0</v>
      </c>
      <c r="AH292" s="360">
        <f t="shared" si="18"/>
        <v>113.39999999999978</v>
      </c>
      <c r="AI292" s="362">
        <f>ERP_5[[#This Row],[2026 Working Total]]-ERP_5[[#This Row],[LE2 Final Submission]]</f>
        <v>113.39999999999978</v>
      </c>
      <c r="AJ292" s="79">
        <v>-5850</v>
      </c>
      <c r="AK292" s="79">
        <f t="shared" si="17"/>
        <v>5913.66</v>
      </c>
      <c r="AL292" s="374">
        <f>SUM(ERP_5[[#This Row],[AP01]:[AP06]])-SUM(ERP_5[[#This Row],[AP01 LE2]:[AP06 LE2]])</f>
        <v>113.39999999999978</v>
      </c>
      <c r="AM292" s="80"/>
      <c r="AN292" s="79">
        <f>ERP_5[[#This Row],[2026 Working Total to Budget/LE]]-ERP_5[[#This Row],[Giveback]]</f>
        <v>113.39999999999978</v>
      </c>
      <c r="AO292" s="81"/>
      <c r="AP292" s="375"/>
      <c r="AQ292" s="375"/>
      <c r="AR292" s="375">
        <v>5850</v>
      </c>
      <c r="AS292" s="375"/>
      <c r="AT292" s="375">
        <v>-5850</v>
      </c>
      <c r="AU292" s="375">
        <v>0</v>
      </c>
      <c r="AV292" s="375">
        <v>0</v>
      </c>
      <c r="AW292" s="375">
        <v>0</v>
      </c>
      <c r="AX292" s="375">
        <v>0</v>
      </c>
      <c r="AY292" s="375">
        <v>0</v>
      </c>
      <c r="AZ292" s="375">
        <v>0</v>
      </c>
      <c r="BA292" s="375">
        <v>0</v>
      </c>
      <c r="BB292" s="375">
        <v>0</v>
      </c>
      <c r="BC292" s="79"/>
      <c r="BD292" s="79"/>
      <c r="BE292" s="79">
        <v>5850</v>
      </c>
      <c r="BF292" s="79">
        <v>0</v>
      </c>
      <c r="BG292" s="79">
        <v>0</v>
      </c>
      <c r="BH292" s="79">
        <v>0</v>
      </c>
      <c r="BI292" s="79">
        <v>0</v>
      </c>
      <c r="BJ292" s="79">
        <v>0</v>
      </c>
      <c r="BK292" s="79">
        <v>0</v>
      </c>
      <c r="BL292" s="79">
        <v>0</v>
      </c>
      <c r="BM292" s="79">
        <v>0</v>
      </c>
      <c r="BN292" s="79">
        <v>0</v>
      </c>
      <c r="BO292" s="79">
        <v>5850</v>
      </c>
    </row>
    <row r="293" spans="1:67" ht="15" customHeight="1">
      <c r="A293" s="79" t="s">
        <v>1853</v>
      </c>
      <c r="B293" s="296" t="s">
        <v>1854</v>
      </c>
      <c r="C293" s="150" t="s">
        <v>1136</v>
      </c>
      <c r="D293" s="332" t="s">
        <v>1135</v>
      </c>
      <c r="E293" s="383" t="s">
        <v>1137</v>
      </c>
      <c r="F293" s="331" t="s">
        <v>1137</v>
      </c>
      <c r="G293" s="512" t="s">
        <v>389</v>
      </c>
      <c r="H293" s="393" t="s">
        <v>1855</v>
      </c>
      <c r="I293" s="343"/>
      <c r="J293" s="331"/>
      <c r="K293" s="91" t="s">
        <v>447</v>
      </c>
      <c r="L293" s="343"/>
      <c r="M293" s="346" t="s">
        <v>1221</v>
      </c>
      <c r="N293" s="348"/>
      <c r="O293" s="386" t="s">
        <v>57</v>
      </c>
      <c r="P293" s="387" t="s">
        <v>1856</v>
      </c>
      <c r="Q293" s="432"/>
      <c r="R293" s="358">
        <v>6000</v>
      </c>
      <c r="S293" s="378">
        <v>4500</v>
      </c>
      <c r="T293" s="425"/>
      <c r="U293" s="71"/>
      <c r="V293" s="433"/>
      <c r="W293" s="434"/>
      <c r="X293" s="434"/>
      <c r="Y293" s="428" t="s">
        <v>1142</v>
      </c>
      <c r="Z293" s="429">
        <v>0</v>
      </c>
      <c r="AA293" s="429">
        <v>0</v>
      </c>
      <c r="AB293" s="388">
        <v>500</v>
      </c>
      <c r="AC293" s="388">
        <v>500</v>
      </c>
      <c r="AD293" s="388">
        <v>500</v>
      </c>
      <c r="AE293" s="388">
        <v>500</v>
      </c>
      <c r="AF293" s="388">
        <v>500</v>
      </c>
      <c r="AG293" s="388">
        <v>500</v>
      </c>
      <c r="AH293" s="360">
        <f t="shared" si="18"/>
        <v>3000</v>
      </c>
      <c r="AI293" s="362">
        <f>ERP_5[[#This Row],[2026 Working Total]]-ERP_5[[#This Row],[LE2 Final Submission]]</f>
        <v>-1500</v>
      </c>
      <c r="AJ293" s="79">
        <v>500</v>
      </c>
      <c r="AK293" s="79">
        <f t="shared" si="17"/>
        <v>-500</v>
      </c>
      <c r="AL293" s="374">
        <f>SUM(ERP_5[[#This Row],[AP01]:[AP06]])-SUM(ERP_5[[#This Row],[AP01 LE2]:[AP06 LE2]])</f>
        <v>-1500</v>
      </c>
      <c r="AM293" s="80"/>
      <c r="AN293" s="79">
        <f>ERP_5[[#This Row],[2026 Working Total to Budget/LE]]-ERP_5[[#This Row],[Giveback]]</f>
        <v>-1500</v>
      </c>
      <c r="AO293" s="81"/>
      <c r="AP293" s="375"/>
      <c r="AQ293" s="375"/>
      <c r="AR293" s="375"/>
      <c r="AS293" s="375">
        <v>500</v>
      </c>
      <c r="AT293" s="375">
        <v>500</v>
      </c>
      <c r="AU293" s="375">
        <v>500</v>
      </c>
      <c r="AV293" s="375">
        <v>500</v>
      </c>
      <c r="AW293" s="375">
        <v>500</v>
      </c>
      <c r="AX293" s="375">
        <v>500</v>
      </c>
      <c r="AY293" s="375">
        <v>500</v>
      </c>
      <c r="AZ293" s="375">
        <v>500</v>
      </c>
      <c r="BA293" s="375">
        <v>500</v>
      </c>
      <c r="BB293" s="375">
        <v>4500</v>
      </c>
      <c r="BC293" s="103">
        <v>500</v>
      </c>
      <c r="BD293" s="103">
        <v>500</v>
      </c>
      <c r="BE293" s="103">
        <v>500</v>
      </c>
      <c r="BF293" s="103">
        <v>500</v>
      </c>
      <c r="BG293" s="103">
        <v>500</v>
      </c>
      <c r="BH293" s="103">
        <v>500</v>
      </c>
      <c r="BI293" s="103">
        <v>500</v>
      </c>
      <c r="BJ293" s="103">
        <v>500</v>
      </c>
      <c r="BK293" s="103">
        <v>500</v>
      </c>
      <c r="BL293" s="103">
        <v>500</v>
      </c>
      <c r="BM293" s="103">
        <v>500</v>
      </c>
      <c r="BN293" s="103">
        <v>500</v>
      </c>
      <c r="BO293" s="79">
        <f>SUM(ERP_5[[#This Row],[2026 AP01]:[2026 AP12]])</f>
        <v>6000</v>
      </c>
    </row>
    <row r="294" spans="1:67" ht="15" customHeight="1">
      <c r="A294" s="66" t="s">
        <v>1857</v>
      </c>
      <c r="B294" s="66" t="s">
        <v>448</v>
      </c>
      <c r="C294" s="150" t="s">
        <v>1136</v>
      </c>
      <c r="D294" s="150" t="s">
        <v>1135</v>
      </c>
      <c r="E294" s="150" t="s">
        <v>1135</v>
      </c>
      <c r="F294" s="150" t="s">
        <v>1137</v>
      </c>
      <c r="G294" s="511" t="s">
        <v>389</v>
      </c>
      <c r="H294" s="392" t="s">
        <v>1858</v>
      </c>
      <c r="I294" s="343"/>
      <c r="J294" s="343"/>
      <c r="K294" s="70" t="s">
        <v>449</v>
      </c>
      <c r="L294" s="346"/>
      <c r="M294" s="346" t="s">
        <v>1140</v>
      </c>
      <c r="N294" s="346"/>
      <c r="O294" s="150" t="s">
        <v>57</v>
      </c>
      <c r="P294" s="150"/>
      <c r="Q294" s="403"/>
      <c r="R294" s="406">
        <v>0</v>
      </c>
      <c r="S294" s="406">
        <v>9126</v>
      </c>
      <c r="T294" s="425"/>
      <c r="U294" s="71"/>
      <c r="V294" s="426"/>
      <c r="W294" s="427"/>
      <c r="X294" s="427"/>
      <c r="Y294" s="428" t="s">
        <v>1142</v>
      </c>
      <c r="Z294" s="429">
        <v>0</v>
      </c>
      <c r="AA294" s="429">
        <v>0</v>
      </c>
      <c r="AB294" s="363">
        <v>1300</v>
      </c>
      <c r="AC294" s="363">
        <v>1300</v>
      </c>
      <c r="AD294" s="363">
        <v>1300</v>
      </c>
      <c r="AE294" s="363">
        <v>1300</v>
      </c>
      <c r="AF294" s="363">
        <v>1300</v>
      </c>
      <c r="AG294" s="363">
        <v>1326</v>
      </c>
      <c r="AH294" s="360">
        <f t="shared" si="18"/>
        <v>7826</v>
      </c>
      <c r="AI294" s="362">
        <f>ERP_5[[#This Row],[2026 Working Total]]-ERP_5[[#This Row],[LE2 Final Submission]]</f>
        <v>-1300</v>
      </c>
      <c r="AJ294" s="79">
        <v>1014</v>
      </c>
      <c r="AK294" s="79">
        <f t="shared" si="17"/>
        <v>-1014</v>
      </c>
      <c r="AL294" s="374">
        <f>SUM(ERP_5[[#This Row],[AP01]:[AP06]])-SUM(ERP_5[[#This Row],[AP01 LE2]:[AP06 LE2]])</f>
        <v>-3042</v>
      </c>
      <c r="AM294" s="80"/>
      <c r="AN294" s="79">
        <f>ERP_5[[#This Row],[2026 Working Total to Budget/LE]]-ERP_5[[#This Row],[Giveback]]</f>
        <v>-1300</v>
      </c>
      <c r="AO294" s="81"/>
      <c r="AP294" s="375"/>
      <c r="AQ294" s="375"/>
      <c r="AR294" s="375"/>
      <c r="AS294" s="375">
        <v>1014</v>
      </c>
      <c r="AT294" s="375">
        <v>1014</v>
      </c>
      <c r="AU294" s="375">
        <v>1014</v>
      </c>
      <c r="AV294" s="375">
        <v>1014</v>
      </c>
      <c r="AW294" s="375">
        <v>1014</v>
      </c>
      <c r="AX294" s="375">
        <v>1014</v>
      </c>
      <c r="AY294" s="375">
        <v>1014</v>
      </c>
      <c r="AZ294" s="375">
        <v>1014</v>
      </c>
      <c r="BA294" s="375">
        <v>1014</v>
      </c>
      <c r="BB294" s="375">
        <v>9126</v>
      </c>
      <c r="BC294" s="79"/>
      <c r="BD294" s="79"/>
      <c r="BE294" s="79"/>
      <c r="BF294" s="79">
        <v>1014</v>
      </c>
      <c r="BG294" s="79">
        <v>1014</v>
      </c>
      <c r="BH294" s="79">
        <v>1014</v>
      </c>
      <c r="BI294" s="79">
        <v>1014</v>
      </c>
      <c r="BJ294" s="79">
        <v>1014</v>
      </c>
      <c r="BK294" s="79">
        <v>1014</v>
      </c>
      <c r="BL294" s="79">
        <v>1014</v>
      </c>
      <c r="BM294" s="79">
        <v>1014</v>
      </c>
      <c r="BN294" s="79">
        <v>1014</v>
      </c>
      <c r="BO294" s="79">
        <v>9126</v>
      </c>
    </row>
    <row r="295" spans="1:67" ht="15" customHeight="1">
      <c r="A295" s="66" t="s">
        <v>1859</v>
      </c>
      <c r="B295" s="66" t="s">
        <v>1860</v>
      </c>
      <c r="C295" s="150" t="s">
        <v>1136</v>
      </c>
      <c r="D295" s="150" t="s">
        <v>1135</v>
      </c>
      <c r="E295" s="150" t="s">
        <v>1165</v>
      </c>
      <c r="F295" s="150" t="s">
        <v>1137</v>
      </c>
      <c r="G295" s="511" t="s">
        <v>389</v>
      </c>
      <c r="H295" s="392" t="s">
        <v>1858</v>
      </c>
      <c r="I295" s="343"/>
      <c r="J295" s="343"/>
      <c r="K295" s="70" t="s">
        <v>449</v>
      </c>
      <c r="L295" s="346"/>
      <c r="M295" s="346" t="s">
        <v>1140</v>
      </c>
      <c r="N295" s="346"/>
      <c r="O295" s="150" t="s">
        <v>57</v>
      </c>
      <c r="P295" s="150"/>
      <c r="Q295" s="403"/>
      <c r="R295" s="406">
        <v>12168</v>
      </c>
      <c r="S295" s="406">
        <v>9604.119999999999</v>
      </c>
      <c r="T295" s="425"/>
      <c r="U295" s="71"/>
      <c r="V295" s="426">
        <v>243.06</v>
      </c>
      <c r="W295" s="427">
        <v>235.06</v>
      </c>
      <c r="X295" s="431">
        <v>0</v>
      </c>
      <c r="Y295" s="428">
        <v>527.16999999999996</v>
      </c>
      <c r="Z295" s="429">
        <v>288.64999999999998</v>
      </c>
      <c r="AA295" s="429">
        <v>209.08999999999997</v>
      </c>
      <c r="AB295" s="363">
        <v>1014</v>
      </c>
      <c r="AC295" s="363">
        <v>1014</v>
      </c>
      <c r="AD295" s="363">
        <v>1014</v>
      </c>
      <c r="AE295" s="363">
        <v>1014</v>
      </c>
      <c r="AF295" s="363">
        <v>1014</v>
      </c>
      <c r="AG295" s="363">
        <v>1014</v>
      </c>
      <c r="AH295" s="360">
        <f t="shared" si="18"/>
        <v>7587.03</v>
      </c>
      <c r="AI295" s="362">
        <f>ERP_5[[#This Row],[2026 Working Total]]-ERP_5[[#This Row],[LE2 Final Submission]]</f>
        <v>-2017.0899999999992</v>
      </c>
      <c r="AJ295" s="79">
        <v>1014</v>
      </c>
      <c r="AK295" s="79">
        <f t="shared" si="17"/>
        <v>-804.91000000000008</v>
      </c>
      <c r="AL295" s="374">
        <f>SUM(ERP_5[[#This Row],[AP01]:[AP06]])-SUM(ERP_5[[#This Row],[AP01 LE2]:[AP06 LE2]])</f>
        <v>-2017.09</v>
      </c>
      <c r="AM295" s="80"/>
      <c r="AN295" s="79">
        <f>ERP_5[[#This Row],[2026 Working Total to Budget/LE]]-ERP_5[[#This Row],[Giveback]]</f>
        <v>-2017.0899999999992</v>
      </c>
      <c r="AO295" s="81"/>
      <c r="AP295" s="375">
        <v>243.06</v>
      </c>
      <c r="AQ295" s="375">
        <v>235.06</v>
      </c>
      <c r="AR295" s="375">
        <v>0</v>
      </c>
      <c r="AS295" s="375">
        <v>1014</v>
      </c>
      <c r="AT295" s="375">
        <v>1014</v>
      </c>
      <c r="AU295" s="375">
        <v>1014</v>
      </c>
      <c r="AV295" s="375">
        <v>1014</v>
      </c>
      <c r="AW295" s="375">
        <v>1014</v>
      </c>
      <c r="AX295" s="375">
        <v>1014</v>
      </c>
      <c r="AY295" s="375">
        <v>1014</v>
      </c>
      <c r="AZ295" s="375">
        <v>1014</v>
      </c>
      <c r="BA295" s="375">
        <v>1014</v>
      </c>
      <c r="BB295" s="375">
        <v>9604.119999999999</v>
      </c>
      <c r="BC295" s="79">
        <v>243.06</v>
      </c>
      <c r="BD295" s="79">
        <v>235.06</v>
      </c>
      <c r="BE295" s="79">
        <v>0</v>
      </c>
      <c r="BF295" s="79">
        <v>1014</v>
      </c>
      <c r="BG295" s="79">
        <v>1014</v>
      </c>
      <c r="BH295" s="79">
        <v>1014</v>
      </c>
      <c r="BI295" s="79">
        <v>1014</v>
      </c>
      <c r="BJ295" s="79">
        <v>1014</v>
      </c>
      <c r="BK295" s="79">
        <v>1014</v>
      </c>
      <c r="BL295" s="79">
        <v>1014</v>
      </c>
      <c r="BM295" s="79">
        <v>1014</v>
      </c>
      <c r="BN295" s="79">
        <v>1014</v>
      </c>
      <c r="BO295" s="79">
        <v>9604.119999999999</v>
      </c>
    </row>
    <row r="296" spans="1:67" ht="15" customHeight="1">
      <c r="A296" s="66" t="s">
        <v>2265</v>
      </c>
      <c r="B296" s="66" t="s">
        <v>2266</v>
      </c>
      <c r="C296" s="150" t="s">
        <v>1136</v>
      </c>
      <c r="D296" s="150" t="s">
        <v>1135</v>
      </c>
      <c r="E296" s="150" t="s">
        <v>1165</v>
      </c>
      <c r="F296" s="150" t="s">
        <v>1137</v>
      </c>
      <c r="G296" s="511" t="s">
        <v>639</v>
      </c>
      <c r="H296" s="392" t="s">
        <v>1858</v>
      </c>
      <c r="I296" s="343"/>
      <c r="J296" s="343"/>
      <c r="K296" s="70" t="s">
        <v>449</v>
      </c>
      <c r="L296" s="346"/>
      <c r="M296" s="346" t="s">
        <v>1140</v>
      </c>
      <c r="N296" s="346"/>
      <c r="O296" s="150" t="s">
        <v>57</v>
      </c>
      <c r="P296" s="150"/>
      <c r="Q296" s="403"/>
      <c r="R296" s="406">
        <v>0</v>
      </c>
      <c r="S296" s="406">
        <v>838.37999999999988</v>
      </c>
      <c r="T296" s="425"/>
      <c r="U296" s="71"/>
      <c r="V296" s="426">
        <v>279.45999999999998</v>
      </c>
      <c r="W296" s="427">
        <v>279.45999999999998</v>
      </c>
      <c r="X296" s="427">
        <v>279.45999999999998</v>
      </c>
      <c r="Y296" s="428">
        <v>279.45999999999998</v>
      </c>
      <c r="Z296" s="429">
        <v>139.72999999999999</v>
      </c>
      <c r="AA296" s="429">
        <v>139.72999999999999</v>
      </c>
      <c r="AB296" s="360">
        <v>0</v>
      </c>
      <c r="AC296" s="360">
        <v>0</v>
      </c>
      <c r="AD296" s="360">
        <v>0</v>
      </c>
      <c r="AE296" s="360">
        <v>0</v>
      </c>
      <c r="AF296" s="360">
        <v>0</v>
      </c>
      <c r="AG296" s="360">
        <v>0</v>
      </c>
      <c r="AH296" s="360">
        <f t="shared" si="18"/>
        <v>1397.3</v>
      </c>
      <c r="AI296" s="362">
        <f>ERP_5[[#This Row],[2026 Working Total]]-ERP_5[[#This Row],[LE2 Final Submission]]</f>
        <v>558.92000000000007</v>
      </c>
      <c r="AJ296" s="79">
        <v>0</v>
      </c>
      <c r="AK296" s="79">
        <f t="shared" si="17"/>
        <v>139.72999999999999</v>
      </c>
      <c r="AL296" s="374">
        <f>SUM(ERP_5[[#This Row],[AP01]:[AP06]])-SUM(ERP_5[[#This Row],[AP01 LE2]:[AP06 LE2]])</f>
        <v>558.92000000000007</v>
      </c>
      <c r="AM296" s="80"/>
      <c r="AN296" s="79">
        <f>ERP_5[[#This Row],[2026 Working Total to Budget/LE]]-ERP_5[[#This Row],[Giveback]]</f>
        <v>558.92000000000007</v>
      </c>
      <c r="AO296" s="81"/>
      <c r="AP296" s="375">
        <v>279.45999999999998</v>
      </c>
      <c r="AQ296" s="375">
        <v>279.45999999999998</v>
      </c>
      <c r="AR296" s="375">
        <v>279.45999999999998</v>
      </c>
      <c r="AS296" s="375">
        <v>0</v>
      </c>
      <c r="AT296" s="375">
        <v>0</v>
      </c>
      <c r="AU296" s="375">
        <v>0</v>
      </c>
      <c r="AV296" s="375">
        <v>0</v>
      </c>
      <c r="AW296" s="375">
        <v>0</v>
      </c>
      <c r="AX296" s="375">
        <v>0</v>
      </c>
      <c r="AY296" s="375">
        <v>0</v>
      </c>
      <c r="AZ296" s="375">
        <v>0</v>
      </c>
      <c r="BA296" s="375">
        <v>0</v>
      </c>
      <c r="BB296" s="375">
        <v>838.37999999999988</v>
      </c>
      <c r="BC296" s="79">
        <v>279.45999999999998</v>
      </c>
      <c r="BD296" s="79">
        <v>279.45999999999998</v>
      </c>
      <c r="BE296" s="79">
        <v>279.45999999999998</v>
      </c>
      <c r="BF296" s="79">
        <v>0</v>
      </c>
      <c r="BG296" s="79">
        <v>0</v>
      </c>
      <c r="BH296" s="79">
        <v>0</v>
      </c>
      <c r="BI296" s="79">
        <v>0</v>
      </c>
      <c r="BJ296" s="79">
        <v>0</v>
      </c>
      <c r="BK296" s="79">
        <v>0</v>
      </c>
      <c r="BL296" s="79">
        <v>0</v>
      </c>
      <c r="BM296" s="79">
        <v>0</v>
      </c>
      <c r="BN296" s="79">
        <v>0</v>
      </c>
      <c r="BO296" s="79">
        <v>838.37999999999988</v>
      </c>
    </row>
    <row r="297" spans="1:67" ht="15" customHeight="1">
      <c r="A297" s="66" t="s">
        <v>1861</v>
      </c>
      <c r="B297" s="66" t="s">
        <v>1862</v>
      </c>
      <c r="C297" s="150" t="s">
        <v>1136</v>
      </c>
      <c r="D297" s="150" t="s">
        <v>1135</v>
      </c>
      <c r="E297" s="150" t="s">
        <v>1165</v>
      </c>
      <c r="F297" s="150" t="s">
        <v>1137</v>
      </c>
      <c r="G297" s="511" t="s">
        <v>389</v>
      </c>
      <c r="H297" s="392" t="s">
        <v>1863</v>
      </c>
      <c r="I297" s="343"/>
      <c r="J297" s="343"/>
      <c r="K297" s="70" t="s">
        <v>451</v>
      </c>
      <c r="L297" s="346"/>
      <c r="M297" s="346" t="s">
        <v>1140</v>
      </c>
      <c r="N297" s="346"/>
      <c r="O297" s="150" t="s">
        <v>57</v>
      </c>
      <c r="P297" s="150"/>
      <c r="Q297" s="403"/>
      <c r="R297" s="406">
        <v>26558.000004000005</v>
      </c>
      <c r="S297" s="406">
        <v>24873.730003000001</v>
      </c>
      <c r="T297" s="425"/>
      <c r="U297" s="71"/>
      <c r="V297" s="426">
        <v>1680.68</v>
      </c>
      <c r="W297" s="427">
        <v>1679.61</v>
      </c>
      <c r="X297" s="427">
        <v>1594.94</v>
      </c>
      <c r="Y297" s="428">
        <v>1713.8500000000004</v>
      </c>
      <c r="Z297" s="429">
        <v>1788.77</v>
      </c>
      <c r="AA297" s="429">
        <v>1781.77</v>
      </c>
      <c r="AB297" s="363">
        <v>2213.166667</v>
      </c>
      <c r="AC297" s="363">
        <v>2213.166667</v>
      </c>
      <c r="AD297" s="363">
        <v>2213.166667</v>
      </c>
      <c r="AE297" s="363">
        <v>2213.166667</v>
      </c>
      <c r="AF297" s="363">
        <v>2213.166667</v>
      </c>
      <c r="AG297" s="363">
        <v>2213.166667</v>
      </c>
      <c r="AH297" s="360">
        <f t="shared" si="18"/>
        <v>23518.620002000003</v>
      </c>
      <c r="AI297" s="362">
        <f>ERP_5[[#This Row],[2026 Working Total]]-ERP_5[[#This Row],[LE2 Final Submission]]</f>
        <v>-1355.1100009999973</v>
      </c>
      <c r="AJ297" s="79">
        <v>2213.166667</v>
      </c>
      <c r="AK297" s="79">
        <f t="shared" si="17"/>
        <v>-431.39666699999998</v>
      </c>
      <c r="AL297" s="374">
        <f>SUM(ERP_5[[#This Row],[AP01]:[AP06]])-SUM(ERP_5[[#This Row],[AP01 LE2]:[AP06 LE2]])</f>
        <v>-1355.1100009999973</v>
      </c>
      <c r="AM297" s="80"/>
      <c r="AN297" s="79">
        <f>ERP_5[[#This Row],[2026 Working Total to Budget/LE]]-ERP_5[[#This Row],[Giveback]]</f>
        <v>-1355.1100009999973</v>
      </c>
      <c r="AO297" s="81"/>
      <c r="AP297" s="375">
        <v>1680.68</v>
      </c>
      <c r="AQ297" s="375">
        <v>1679.61</v>
      </c>
      <c r="AR297" s="375">
        <v>1594.94</v>
      </c>
      <c r="AS297" s="375">
        <v>2213.166667</v>
      </c>
      <c r="AT297" s="375">
        <v>2213.166667</v>
      </c>
      <c r="AU297" s="375">
        <v>2213.166667</v>
      </c>
      <c r="AV297" s="375">
        <v>2213.166667</v>
      </c>
      <c r="AW297" s="375">
        <v>2213.166667</v>
      </c>
      <c r="AX297" s="375">
        <v>2213.166667</v>
      </c>
      <c r="AY297" s="375">
        <v>2213.166667</v>
      </c>
      <c r="AZ297" s="375">
        <v>2213.166667</v>
      </c>
      <c r="BA297" s="375">
        <v>2213.166667</v>
      </c>
      <c r="BB297" s="375">
        <v>24873.730003000001</v>
      </c>
      <c r="BC297" s="79">
        <v>1680.68</v>
      </c>
      <c r="BD297" s="79">
        <v>1679.61</v>
      </c>
      <c r="BE297" s="79">
        <v>1594.94</v>
      </c>
      <c r="BF297" s="79">
        <v>2213.166667</v>
      </c>
      <c r="BG297" s="79">
        <v>2213.166667</v>
      </c>
      <c r="BH297" s="79">
        <v>2213.166667</v>
      </c>
      <c r="BI297" s="79">
        <v>2213.166667</v>
      </c>
      <c r="BJ297" s="79">
        <v>2213.166667</v>
      </c>
      <c r="BK297" s="79">
        <v>2213.166667</v>
      </c>
      <c r="BL297" s="79">
        <v>2213.166667</v>
      </c>
      <c r="BM297" s="79">
        <v>2213.166667</v>
      </c>
      <c r="BN297" s="79">
        <v>2213.166667</v>
      </c>
      <c r="BO297" s="79">
        <v>24873.730003000001</v>
      </c>
    </row>
    <row r="298" spans="1:67" ht="15" customHeight="1">
      <c r="A298" s="66" t="s">
        <v>2267</v>
      </c>
      <c r="B298" s="66" t="s">
        <v>2268</v>
      </c>
      <c r="C298" s="150" t="s">
        <v>1136</v>
      </c>
      <c r="D298" s="150" t="s">
        <v>1135</v>
      </c>
      <c r="E298" s="150" t="s">
        <v>1165</v>
      </c>
      <c r="F298" s="150" t="s">
        <v>1137</v>
      </c>
      <c r="G298" s="511" t="s">
        <v>639</v>
      </c>
      <c r="H298" s="392" t="s">
        <v>1863</v>
      </c>
      <c r="I298" s="343"/>
      <c r="J298" s="343"/>
      <c r="K298" s="70" t="s">
        <v>451</v>
      </c>
      <c r="L298" s="346"/>
      <c r="M298" s="346" t="s">
        <v>1140</v>
      </c>
      <c r="N298" s="346"/>
      <c r="O298" s="150" t="s">
        <v>57</v>
      </c>
      <c r="P298" s="150"/>
      <c r="Q298" s="403"/>
      <c r="R298" s="406">
        <v>1854.9999960000002</v>
      </c>
      <c r="S298" s="406">
        <v>2120.4399970000004</v>
      </c>
      <c r="T298" s="425"/>
      <c r="U298" s="71"/>
      <c r="V298" s="426">
        <v>139.72999999999999</v>
      </c>
      <c r="W298" s="427">
        <v>139.72999999999999</v>
      </c>
      <c r="X298" s="427">
        <v>449.73</v>
      </c>
      <c r="Y298" s="428">
        <v>139.72999999999999</v>
      </c>
      <c r="Z298" s="429">
        <v>139.72999999999999</v>
      </c>
      <c r="AA298" s="429">
        <v>139.72999999999999</v>
      </c>
      <c r="AB298" s="363">
        <v>154.58333300000001</v>
      </c>
      <c r="AC298" s="363">
        <v>154.58333300000001</v>
      </c>
      <c r="AD298" s="363">
        <v>154.58333300000001</v>
      </c>
      <c r="AE298" s="363">
        <v>154.58333300000001</v>
      </c>
      <c r="AF298" s="363">
        <v>154.58333300000001</v>
      </c>
      <c r="AG298" s="363">
        <v>154.58333300000001</v>
      </c>
      <c r="AH298" s="360">
        <f t="shared" si="18"/>
        <v>2075.8799980000003</v>
      </c>
      <c r="AI298" s="362">
        <f>ERP_5[[#This Row],[2026 Working Total]]-ERP_5[[#This Row],[LE2 Final Submission]]</f>
        <v>-44.559999000000062</v>
      </c>
      <c r="AJ298" s="79">
        <v>154.58333300000001</v>
      </c>
      <c r="AK298" s="79">
        <f t="shared" si="17"/>
        <v>-14.853333000000021</v>
      </c>
      <c r="AL298" s="374">
        <f>SUM(ERP_5[[#This Row],[AP01]:[AP06]])-SUM(ERP_5[[#This Row],[AP01 LE2]:[AP06 LE2]])</f>
        <v>-44.559999000000062</v>
      </c>
      <c r="AM298" s="80"/>
      <c r="AN298" s="79">
        <f>ERP_5[[#This Row],[2026 Working Total to Budget/LE]]-ERP_5[[#This Row],[Giveback]]</f>
        <v>-44.559999000000062</v>
      </c>
      <c r="AO298" s="81"/>
      <c r="AP298" s="375">
        <v>139.72999999999999</v>
      </c>
      <c r="AQ298" s="375">
        <v>139.72999999999999</v>
      </c>
      <c r="AR298" s="375">
        <v>449.73</v>
      </c>
      <c r="AS298" s="375">
        <v>154.58333300000001</v>
      </c>
      <c r="AT298" s="375">
        <v>154.58333300000001</v>
      </c>
      <c r="AU298" s="375">
        <v>154.58333300000001</v>
      </c>
      <c r="AV298" s="375">
        <v>154.58333300000001</v>
      </c>
      <c r="AW298" s="375">
        <v>154.58333300000001</v>
      </c>
      <c r="AX298" s="375">
        <v>154.58333300000001</v>
      </c>
      <c r="AY298" s="375">
        <v>154.58333300000001</v>
      </c>
      <c r="AZ298" s="375">
        <v>154.58333300000001</v>
      </c>
      <c r="BA298" s="375">
        <v>154.58333300000001</v>
      </c>
      <c r="BB298" s="375">
        <v>2120.4399970000004</v>
      </c>
      <c r="BC298" s="79">
        <v>139.72999999999999</v>
      </c>
      <c r="BD298" s="79">
        <v>139.72999999999999</v>
      </c>
      <c r="BE298" s="79">
        <v>449.73</v>
      </c>
      <c r="BF298" s="79">
        <v>154.58333300000001</v>
      </c>
      <c r="BG298" s="79">
        <v>154.58333300000001</v>
      </c>
      <c r="BH298" s="79">
        <v>154.58333300000001</v>
      </c>
      <c r="BI298" s="79">
        <v>154.58333300000001</v>
      </c>
      <c r="BJ298" s="79">
        <v>154.58333300000001</v>
      </c>
      <c r="BK298" s="79">
        <v>154.58333300000001</v>
      </c>
      <c r="BL298" s="79">
        <v>154.58333300000001</v>
      </c>
      <c r="BM298" s="79">
        <v>154.58333300000001</v>
      </c>
      <c r="BN298" s="79">
        <v>154.58333300000001</v>
      </c>
      <c r="BO298" s="79">
        <v>2120.4399970000004</v>
      </c>
    </row>
    <row r="299" spans="1:67" ht="15" customHeight="1">
      <c r="A299" s="66" t="s">
        <v>1864</v>
      </c>
      <c r="B299" s="66" t="s">
        <v>452</v>
      </c>
      <c r="C299" s="150" t="s">
        <v>1136</v>
      </c>
      <c r="D299" s="150" t="s">
        <v>1135</v>
      </c>
      <c r="E299" s="150" t="s">
        <v>1135</v>
      </c>
      <c r="F299" s="150" t="s">
        <v>1137</v>
      </c>
      <c r="G299" s="511" t="s">
        <v>389</v>
      </c>
      <c r="H299" s="392" t="s">
        <v>1863</v>
      </c>
      <c r="I299" s="343"/>
      <c r="J299" s="343"/>
      <c r="K299" s="70" t="s">
        <v>453</v>
      </c>
      <c r="L299" s="346"/>
      <c r="M299" s="343"/>
      <c r="N299" s="346"/>
      <c r="O299" s="150" t="s">
        <v>57</v>
      </c>
      <c r="P299" s="150"/>
      <c r="Q299" s="403"/>
      <c r="R299" s="406">
        <v>60000</v>
      </c>
      <c r="S299" s="406">
        <v>58916.17</v>
      </c>
      <c r="T299" s="430"/>
      <c r="U299" s="137"/>
      <c r="V299" s="426">
        <v>5046.78</v>
      </c>
      <c r="W299" s="427">
        <v>4733.08</v>
      </c>
      <c r="X299" s="427">
        <v>4136.3100000000004</v>
      </c>
      <c r="Y299" s="428">
        <v>1611.3500000000001</v>
      </c>
      <c r="Z299" s="429">
        <v>1548.42</v>
      </c>
      <c r="AA299" s="429">
        <v>448.77000000000004</v>
      </c>
      <c r="AB299" s="363">
        <v>5000</v>
      </c>
      <c r="AC299" s="363">
        <v>5000</v>
      </c>
      <c r="AD299" s="363">
        <v>5000</v>
      </c>
      <c r="AE299" s="363">
        <v>5000</v>
      </c>
      <c r="AF299" s="363">
        <v>5000</v>
      </c>
      <c r="AG299" s="363">
        <v>5000</v>
      </c>
      <c r="AH299" s="360">
        <f t="shared" si="18"/>
        <v>47524.710000000006</v>
      </c>
      <c r="AI299" s="362">
        <f>ERP_5[[#This Row],[2026 Working Total]]-ERP_5[[#This Row],[LE2 Final Submission]]</f>
        <v>-11391.459999999992</v>
      </c>
      <c r="AJ299" s="79">
        <v>5000</v>
      </c>
      <c r="AK299" s="79">
        <f t="shared" si="17"/>
        <v>-4551.2299999999996</v>
      </c>
      <c r="AL299" s="374">
        <f>SUM(ERP_5[[#This Row],[AP01]:[AP06]])-SUM(ERP_5[[#This Row],[AP01 LE2]:[AP06 LE2]])</f>
        <v>-11391.46</v>
      </c>
      <c r="AM299" s="80"/>
      <c r="AN299" s="79">
        <f>ERP_5[[#This Row],[2026 Working Total to Budget/LE]]-ERP_5[[#This Row],[Giveback]]</f>
        <v>-11391.459999999992</v>
      </c>
      <c r="AO299" s="81"/>
      <c r="AP299" s="375">
        <v>5046.78</v>
      </c>
      <c r="AQ299" s="375">
        <v>4733.08</v>
      </c>
      <c r="AR299" s="375">
        <v>4136.3100000000004</v>
      </c>
      <c r="AS299" s="375">
        <v>5000</v>
      </c>
      <c r="AT299" s="375">
        <v>5000</v>
      </c>
      <c r="AU299" s="375">
        <v>5000</v>
      </c>
      <c r="AV299" s="375">
        <v>5000</v>
      </c>
      <c r="AW299" s="375">
        <v>5000</v>
      </c>
      <c r="AX299" s="375">
        <v>5000</v>
      </c>
      <c r="AY299" s="375">
        <v>5000</v>
      </c>
      <c r="AZ299" s="375">
        <v>5000</v>
      </c>
      <c r="BA299" s="375">
        <v>5000</v>
      </c>
      <c r="BB299" s="375">
        <v>58916.17</v>
      </c>
      <c r="BC299" s="79">
        <v>5046.78</v>
      </c>
      <c r="BD299" s="79">
        <v>4733.08</v>
      </c>
      <c r="BE299" s="79">
        <v>4136.3100000000004</v>
      </c>
      <c r="BF299" s="79">
        <v>5000</v>
      </c>
      <c r="BG299" s="79">
        <v>5000</v>
      </c>
      <c r="BH299" s="79">
        <v>5000</v>
      </c>
      <c r="BI299" s="79">
        <v>5000</v>
      </c>
      <c r="BJ299" s="79">
        <v>5000</v>
      </c>
      <c r="BK299" s="79">
        <v>5000</v>
      </c>
      <c r="BL299" s="79">
        <v>5000</v>
      </c>
      <c r="BM299" s="79">
        <v>5000</v>
      </c>
      <c r="BN299" s="79">
        <v>5000</v>
      </c>
      <c r="BO299" s="79">
        <v>58916.17</v>
      </c>
    </row>
    <row r="300" spans="1:67" ht="15" customHeight="1">
      <c r="A300" s="66" t="s">
        <v>1865</v>
      </c>
      <c r="B300" s="66" t="s">
        <v>1866</v>
      </c>
      <c r="C300" s="150" t="s">
        <v>1136</v>
      </c>
      <c r="D300" s="150" t="s">
        <v>1135</v>
      </c>
      <c r="E300" s="150" t="s">
        <v>1145</v>
      </c>
      <c r="F300" s="150" t="s">
        <v>1137</v>
      </c>
      <c r="G300" s="511" t="s">
        <v>389</v>
      </c>
      <c r="H300" s="392" t="s">
        <v>1863</v>
      </c>
      <c r="I300" s="343"/>
      <c r="J300" s="343"/>
      <c r="K300" s="157" t="s">
        <v>453</v>
      </c>
      <c r="L300" s="346"/>
      <c r="M300" s="343"/>
      <c r="N300" s="346"/>
      <c r="O300" s="150" t="s">
        <v>57</v>
      </c>
      <c r="P300" s="150"/>
      <c r="Q300" s="403"/>
      <c r="R300" s="406">
        <v>0</v>
      </c>
      <c r="S300" s="406">
        <v>81</v>
      </c>
      <c r="T300" s="425"/>
      <c r="U300" s="71"/>
      <c r="V300" s="426">
        <v>1.65</v>
      </c>
      <c r="W300" s="427">
        <v>76.819999999999993</v>
      </c>
      <c r="X300" s="427">
        <v>2.5299999999999998</v>
      </c>
      <c r="Y300" s="428">
        <v>1008.71</v>
      </c>
      <c r="Z300" s="429">
        <v>1060.44</v>
      </c>
      <c r="AA300" s="429">
        <v>17.300000000000068</v>
      </c>
      <c r="AB300" s="360">
        <v>0</v>
      </c>
      <c r="AC300" s="360">
        <v>0</v>
      </c>
      <c r="AD300" s="360">
        <v>0</v>
      </c>
      <c r="AE300" s="360">
        <v>0</v>
      </c>
      <c r="AF300" s="360">
        <v>0</v>
      </c>
      <c r="AG300" s="360">
        <v>0</v>
      </c>
      <c r="AH300" s="360">
        <f t="shared" si="18"/>
        <v>2167.4500000000003</v>
      </c>
      <c r="AI300" s="362">
        <f>ERP_5[[#This Row],[2026 Working Total]]-ERP_5[[#This Row],[LE2 Final Submission]]</f>
        <v>2086.4500000000003</v>
      </c>
      <c r="AJ300" s="79">
        <v>0</v>
      </c>
      <c r="AK300" s="79">
        <f t="shared" si="17"/>
        <v>17.300000000000068</v>
      </c>
      <c r="AL300" s="374">
        <f>SUM(ERP_5[[#This Row],[AP01]:[AP06]])-SUM(ERP_5[[#This Row],[AP01 LE2]:[AP06 LE2]])</f>
        <v>2086.4500000000003</v>
      </c>
      <c r="AM300" s="80"/>
      <c r="AN300" s="79">
        <f>ERP_5[[#This Row],[2026 Working Total to Budget/LE]]-ERP_5[[#This Row],[Giveback]]</f>
        <v>2086.4500000000003</v>
      </c>
      <c r="AO300" s="81"/>
      <c r="AP300" s="375">
        <v>1.65</v>
      </c>
      <c r="AQ300" s="375">
        <v>76.819999999999993</v>
      </c>
      <c r="AR300" s="375">
        <v>2.5299999999999998</v>
      </c>
      <c r="AS300" s="375">
        <v>0</v>
      </c>
      <c r="AT300" s="375">
        <v>0</v>
      </c>
      <c r="AU300" s="375">
        <v>0</v>
      </c>
      <c r="AV300" s="375">
        <v>0</v>
      </c>
      <c r="AW300" s="375">
        <v>0</v>
      </c>
      <c r="AX300" s="375">
        <v>0</v>
      </c>
      <c r="AY300" s="375">
        <v>0</v>
      </c>
      <c r="AZ300" s="375">
        <v>0</v>
      </c>
      <c r="BA300" s="375">
        <v>0</v>
      </c>
      <c r="BB300" s="375">
        <v>81</v>
      </c>
      <c r="BC300" s="79">
        <v>1.65</v>
      </c>
      <c r="BD300" s="79">
        <v>76.819999999999993</v>
      </c>
      <c r="BE300" s="79">
        <v>2.5299999999999998</v>
      </c>
      <c r="BF300" s="79">
        <v>0</v>
      </c>
      <c r="BG300" s="79">
        <v>0</v>
      </c>
      <c r="BH300" s="79">
        <v>0</v>
      </c>
      <c r="BI300" s="79">
        <v>0</v>
      </c>
      <c r="BJ300" s="79">
        <v>0</v>
      </c>
      <c r="BK300" s="79">
        <v>0</v>
      </c>
      <c r="BL300" s="79">
        <v>0</v>
      </c>
      <c r="BM300" s="79">
        <v>0</v>
      </c>
      <c r="BN300" s="79">
        <v>0</v>
      </c>
      <c r="BO300" s="79">
        <v>81</v>
      </c>
    </row>
    <row r="301" spans="1:67" ht="15" customHeight="1">
      <c r="A301" s="66" t="s">
        <v>1867</v>
      </c>
      <c r="B301" s="66" t="s">
        <v>1868</v>
      </c>
      <c r="C301" s="150" t="s">
        <v>1136</v>
      </c>
      <c r="D301" s="150" t="s">
        <v>1135</v>
      </c>
      <c r="E301" s="150" t="s">
        <v>1165</v>
      </c>
      <c r="F301" s="150" t="s">
        <v>1137</v>
      </c>
      <c r="G301" s="511" t="s">
        <v>389</v>
      </c>
      <c r="H301" s="392" t="s">
        <v>1863</v>
      </c>
      <c r="I301" s="343"/>
      <c r="J301" s="343"/>
      <c r="K301" s="70" t="s">
        <v>453</v>
      </c>
      <c r="L301" s="346"/>
      <c r="M301" s="343"/>
      <c r="N301" s="346"/>
      <c r="O301" s="150" t="s">
        <v>57</v>
      </c>
      <c r="P301" s="150"/>
      <c r="Q301" s="403"/>
      <c r="R301" s="406">
        <v>14400</v>
      </c>
      <c r="S301" s="406">
        <v>11192.33</v>
      </c>
      <c r="T301" s="425"/>
      <c r="U301" s="71"/>
      <c r="V301" s="426">
        <v>200.57</v>
      </c>
      <c r="W301" s="427">
        <v>191.76</v>
      </c>
      <c r="X301" s="431">
        <v>0</v>
      </c>
      <c r="Y301" s="428">
        <v>14.350000000000001</v>
      </c>
      <c r="Z301" s="429">
        <v>11.24</v>
      </c>
      <c r="AA301" s="429">
        <v>0</v>
      </c>
      <c r="AB301" s="363">
        <v>1200</v>
      </c>
      <c r="AC301" s="363">
        <v>1200</v>
      </c>
      <c r="AD301" s="363">
        <v>1200</v>
      </c>
      <c r="AE301" s="363">
        <v>1200</v>
      </c>
      <c r="AF301" s="363">
        <v>1200</v>
      </c>
      <c r="AG301" s="363">
        <v>1200</v>
      </c>
      <c r="AH301" s="360">
        <f t="shared" si="18"/>
        <v>7617.92</v>
      </c>
      <c r="AI301" s="362">
        <f>ERP_5[[#This Row],[2026 Working Total]]-ERP_5[[#This Row],[LE2 Final Submission]]</f>
        <v>-3574.41</v>
      </c>
      <c r="AJ301" s="79">
        <v>1200</v>
      </c>
      <c r="AK301" s="79">
        <f t="shared" si="17"/>
        <v>-1200</v>
      </c>
      <c r="AL301" s="374">
        <f>SUM(ERP_5[[#This Row],[AP01]:[AP06]])-SUM(ERP_5[[#This Row],[AP01 LE2]:[AP06 LE2]])</f>
        <v>-3574.41</v>
      </c>
      <c r="AM301" s="80"/>
      <c r="AN301" s="79">
        <f>ERP_5[[#This Row],[2026 Working Total to Budget/LE]]-ERP_5[[#This Row],[Giveback]]</f>
        <v>-3574.41</v>
      </c>
      <c r="AO301" s="81"/>
      <c r="AP301" s="375">
        <v>200.57</v>
      </c>
      <c r="AQ301" s="375">
        <v>191.76</v>
      </c>
      <c r="AR301" s="375">
        <v>0</v>
      </c>
      <c r="AS301" s="375">
        <v>1200</v>
      </c>
      <c r="AT301" s="375">
        <v>1200</v>
      </c>
      <c r="AU301" s="375">
        <v>1200</v>
      </c>
      <c r="AV301" s="375">
        <v>1200</v>
      </c>
      <c r="AW301" s="375">
        <v>1200</v>
      </c>
      <c r="AX301" s="375">
        <v>1200</v>
      </c>
      <c r="AY301" s="375">
        <v>1200</v>
      </c>
      <c r="AZ301" s="375">
        <v>1200</v>
      </c>
      <c r="BA301" s="375">
        <v>1200</v>
      </c>
      <c r="BB301" s="375">
        <v>11192.33</v>
      </c>
      <c r="BC301" s="79">
        <v>200.57</v>
      </c>
      <c r="BD301" s="79">
        <v>191.76</v>
      </c>
      <c r="BE301" s="79">
        <v>0</v>
      </c>
      <c r="BF301" s="79">
        <v>1200</v>
      </c>
      <c r="BG301" s="79">
        <v>1200</v>
      </c>
      <c r="BH301" s="79">
        <v>1200</v>
      </c>
      <c r="BI301" s="79">
        <v>1200</v>
      </c>
      <c r="BJ301" s="79">
        <v>1200</v>
      </c>
      <c r="BK301" s="79">
        <v>1200</v>
      </c>
      <c r="BL301" s="79">
        <v>1200</v>
      </c>
      <c r="BM301" s="79">
        <v>1200</v>
      </c>
      <c r="BN301" s="79">
        <v>1200</v>
      </c>
      <c r="BO301" s="79">
        <v>11192.33</v>
      </c>
    </row>
    <row r="302" spans="1:67" ht="15" customHeight="1">
      <c r="A302" s="66" t="s">
        <v>1468</v>
      </c>
      <c r="B302" s="66" t="s">
        <v>218</v>
      </c>
      <c r="C302" s="150" t="s">
        <v>1136</v>
      </c>
      <c r="D302" s="150" t="s">
        <v>1345</v>
      </c>
      <c r="E302" s="150" t="s">
        <v>1450</v>
      </c>
      <c r="F302" s="150" t="s">
        <v>1346</v>
      </c>
      <c r="G302" s="511" t="s">
        <v>49</v>
      </c>
      <c r="H302" s="392" t="s">
        <v>1469</v>
      </c>
      <c r="I302" s="343"/>
      <c r="J302" s="343"/>
      <c r="K302" s="70" t="s">
        <v>219</v>
      </c>
      <c r="L302" s="346"/>
      <c r="M302" s="343"/>
      <c r="N302" s="346"/>
      <c r="O302" s="150" t="s">
        <v>67</v>
      </c>
      <c r="P302" s="150"/>
      <c r="Q302" s="403"/>
      <c r="R302" s="406">
        <v>50000</v>
      </c>
      <c r="S302" s="406">
        <v>50000</v>
      </c>
      <c r="T302" s="430"/>
      <c r="U302" s="137"/>
      <c r="V302" s="426"/>
      <c r="W302" s="427"/>
      <c r="X302" s="427"/>
      <c r="Y302" s="428">
        <v>0</v>
      </c>
      <c r="Z302" s="429">
        <v>49060</v>
      </c>
      <c r="AA302" s="429">
        <v>0</v>
      </c>
      <c r="AB302" s="360">
        <v>0</v>
      </c>
      <c r="AC302" s="360">
        <v>0</v>
      </c>
      <c r="AD302" s="360">
        <v>0</v>
      </c>
      <c r="AE302" s="360">
        <v>0</v>
      </c>
      <c r="AF302" s="360">
        <v>0</v>
      </c>
      <c r="AG302" s="360">
        <v>0</v>
      </c>
      <c r="AH302" s="360">
        <f t="shared" si="18"/>
        <v>49060</v>
      </c>
      <c r="AI302" s="362">
        <f>ERP_5[[#This Row],[2026 Working Total]]-ERP_5[[#This Row],[LE2 Final Submission]]</f>
        <v>-940</v>
      </c>
      <c r="AJ302" s="79">
        <v>50000</v>
      </c>
      <c r="AK302" s="79">
        <f t="shared" si="17"/>
        <v>-50000</v>
      </c>
      <c r="AL302" s="374">
        <f>SUM(ERP_5[[#This Row],[AP01]:[AP06]])-SUM(ERP_5[[#This Row],[AP01 LE2]:[AP06 LE2]])</f>
        <v>-940</v>
      </c>
      <c r="AM302" s="80"/>
      <c r="AN302" s="79">
        <f>ERP_5[[#This Row],[2026 Working Total to Budget/LE]]-ERP_5[[#This Row],[Giveback]]</f>
        <v>-940</v>
      </c>
      <c r="AO302" s="81"/>
      <c r="AP302" s="375"/>
      <c r="AQ302" s="375"/>
      <c r="AR302" s="375"/>
      <c r="AS302" s="375">
        <v>0</v>
      </c>
      <c r="AT302" s="375">
        <v>50000</v>
      </c>
      <c r="AU302" s="375">
        <v>0</v>
      </c>
      <c r="AV302" s="375">
        <v>0</v>
      </c>
      <c r="AW302" s="375">
        <v>0</v>
      </c>
      <c r="AX302" s="375">
        <v>0</v>
      </c>
      <c r="AY302" s="375">
        <v>0</v>
      </c>
      <c r="AZ302" s="375">
        <v>0</v>
      </c>
      <c r="BA302" s="375">
        <v>0</v>
      </c>
      <c r="BB302" s="375">
        <v>50000</v>
      </c>
      <c r="BC302" s="79"/>
      <c r="BD302" s="79"/>
      <c r="BE302" s="79"/>
      <c r="BF302" s="79">
        <v>50000</v>
      </c>
      <c r="BG302" s="79">
        <v>0</v>
      </c>
      <c r="BH302" s="79">
        <v>0</v>
      </c>
      <c r="BI302" s="79">
        <v>0</v>
      </c>
      <c r="BJ302" s="79">
        <v>0</v>
      </c>
      <c r="BK302" s="79">
        <v>0</v>
      </c>
      <c r="BL302" s="79">
        <v>0</v>
      </c>
      <c r="BM302" s="79">
        <v>0</v>
      </c>
      <c r="BN302" s="79">
        <v>0</v>
      </c>
      <c r="BO302" s="79">
        <v>50000</v>
      </c>
    </row>
    <row r="303" spans="1:67" ht="15" customHeight="1">
      <c r="A303" s="66" t="s">
        <v>1614</v>
      </c>
      <c r="B303" s="66" t="s">
        <v>1615</v>
      </c>
      <c r="C303" s="150" t="s">
        <v>1136</v>
      </c>
      <c r="D303" s="150" t="s">
        <v>1567</v>
      </c>
      <c r="E303" s="150" t="s">
        <v>1567</v>
      </c>
      <c r="F303" s="150" t="s">
        <v>1567</v>
      </c>
      <c r="G303" s="511" t="s">
        <v>49</v>
      </c>
      <c r="H303" s="392" t="s">
        <v>1616</v>
      </c>
      <c r="I303" s="343"/>
      <c r="J303" s="343"/>
      <c r="K303" s="70" t="s">
        <v>300</v>
      </c>
      <c r="L303" s="346"/>
      <c r="M303" s="343"/>
      <c r="N303" s="346"/>
      <c r="O303" s="505" t="s">
        <v>272</v>
      </c>
      <c r="P303" s="150"/>
      <c r="Q303" s="403"/>
      <c r="R303" s="406">
        <v>-1080865</v>
      </c>
      <c r="S303" s="406">
        <v>-1080865</v>
      </c>
      <c r="T303" s="425"/>
      <c r="U303" s="71"/>
      <c r="V303" s="426"/>
      <c r="W303" s="427"/>
      <c r="X303" s="427">
        <v>-180144.16</v>
      </c>
      <c r="Y303" s="428">
        <v>0</v>
      </c>
      <c r="Z303" s="429">
        <v>-270216.24</v>
      </c>
      <c r="AA303" s="429">
        <v>-90072.08</v>
      </c>
      <c r="AB303" s="360">
        <v>0</v>
      </c>
      <c r="AC303" s="363">
        <v>-180144</v>
      </c>
      <c r="AD303" s="363">
        <v>-90072</v>
      </c>
      <c r="AE303" s="360">
        <v>0</v>
      </c>
      <c r="AF303" s="363">
        <v>-180144</v>
      </c>
      <c r="AG303" s="363">
        <v>-90072.84</v>
      </c>
      <c r="AH303" s="360">
        <f t="shared" si="18"/>
        <v>-1080865.32</v>
      </c>
      <c r="AI303" s="362">
        <f>ERP_5[[#This Row],[2026 Working Total]]-ERP_5[[#This Row],[LE2 Final Submission]]</f>
        <v>-0.32000000006519258</v>
      </c>
      <c r="AJ303" s="79">
        <v>-270216</v>
      </c>
      <c r="AK303" s="79">
        <f t="shared" si="17"/>
        <v>180143.91999999998</v>
      </c>
      <c r="AL303" s="374">
        <f>SUM(ERP_5[[#This Row],[AP01]:[AP06]])-SUM(ERP_5[[#This Row],[AP01 LE2]:[AP06 LE2]])</f>
        <v>-0.31999999994877726</v>
      </c>
      <c r="AM303" s="80"/>
      <c r="AN303" s="79">
        <f>ERP_5[[#This Row],[2026 Working Total to Budget/LE]]-ERP_5[[#This Row],[Giveback]]</f>
        <v>-0.32000000006519258</v>
      </c>
      <c r="AO303" s="81"/>
      <c r="AP303" s="375"/>
      <c r="AQ303" s="375"/>
      <c r="AR303" s="375">
        <v>-180144.16</v>
      </c>
      <c r="AS303" s="375">
        <v>0</v>
      </c>
      <c r="AT303" s="375">
        <v>-270216</v>
      </c>
      <c r="AU303" s="375">
        <v>-90072</v>
      </c>
      <c r="AV303" s="375">
        <v>0</v>
      </c>
      <c r="AW303" s="375">
        <v>-180144</v>
      </c>
      <c r="AX303" s="375">
        <v>-90072</v>
      </c>
      <c r="AY303" s="375">
        <v>0</v>
      </c>
      <c r="AZ303" s="375">
        <v>-180144</v>
      </c>
      <c r="BA303" s="375">
        <v>-90072.84</v>
      </c>
      <c r="BB303" s="375">
        <v>-1080865</v>
      </c>
      <c r="BC303" s="79"/>
      <c r="BD303" s="79"/>
      <c r="BE303" s="79">
        <v>-180144.16</v>
      </c>
      <c r="BF303" s="79">
        <v>0</v>
      </c>
      <c r="BG303" s="79">
        <v>-180144.16</v>
      </c>
      <c r="BH303" s="79">
        <v>-90072.08</v>
      </c>
      <c r="BI303" s="79">
        <v>0</v>
      </c>
      <c r="BJ303" s="79">
        <v>-180144.16</v>
      </c>
      <c r="BK303" s="79">
        <v>-90072.08</v>
      </c>
      <c r="BL303" s="79">
        <v>0</v>
      </c>
      <c r="BM303" s="79">
        <v>-180144.16</v>
      </c>
      <c r="BN303" s="79">
        <v>-90072.12</v>
      </c>
      <c r="BO303" s="79">
        <v>-990792.92</v>
      </c>
    </row>
    <row r="304" spans="1:67" ht="15" customHeight="1">
      <c r="A304" s="66" t="s">
        <v>1869</v>
      </c>
      <c r="B304" s="66" t="s">
        <v>1870</v>
      </c>
      <c r="C304" s="150" t="s">
        <v>1136</v>
      </c>
      <c r="D304" s="150" t="s">
        <v>1135</v>
      </c>
      <c r="E304" s="150" t="s">
        <v>1165</v>
      </c>
      <c r="F304" s="150" t="s">
        <v>1137</v>
      </c>
      <c r="G304" s="511" t="s">
        <v>389</v>
      </c>
      <c r="H304" s="392" t="s">
        <v>1871</v>
      </c>
      <c r="I304" s="343"/>
      <c r="J304" s="343"/>
      <c r="K304" s="70" t="s">
        <v>455</v>
      </c>
      <c r="L304" s="346"/>
      <c r="M304" s="343"/>
      <c r="N304" s="346"/>
      <c r="O304" s="150" t="s">
        <v>427</v>
      </c>
      <c r="P304" s="150"/>
      <c r="Q304" s="403"/>
      <c r="R304" s="406">
        <v>376200</v>
      </c>
      <c r="S304" s="406">
        <v>376200.45999999996</v>
      </c>
      <c r="T304" s="425"/>
      <c r="U304" s="71"/>
      <c r="V304" s="426">
        <v>25838</v>
      </c>
      <c r="W304" s="427">
        <v>36872.379999999997</v>
      </c>
      <c r="X304" s="427">
        <v>31340.080000000002</v>
      </c>
      <c r="Y304" s="428">
        <v>25837.46</v>
      </c>
      <c r="Z304" s="429">
        <v>36862.460000000006</v>
      </c>
      <c r="AA304" s="429">
        <v>31349.62</v>
      </c>
      <c r="AB304" s="363">
        <v>31350</v>
      </c>
      <c r="AC304" s="363">
        <v>31350</v>
      </c>
      <c r="AD304" s="363">
        <v>31350</v>
      </c>
      <c r="AE304" s="363">
        <v>31350</v>
      </c>
      <c r="AF304" s="363">
        <v>31350</v>
      </c>
      <c r="AG304" s="363">
        <v>31350</v>
      </c>
      <c r="AH304" s="360">
        <f t="shared" si="18"/>
        <v>376200</v>
      </c>
      <c r="AI304" s="362">
        <f>ERP_5[[#This Row],[2026 Working Total]]-ERP_5[[#This Row],[LE2 Final Submission]]</f>
        <v>-0.4599999999627471</v>
      </c>
      <c r="AJ304" s="79">
        <v>31350</v>
      </c>
      <c r="AK304" s="79">
        <f t="shared" si="17"/>
        <v>-0.38000000000101863</v>
      </c>
      <c r="AL304" s="374">
        <f>SUM(ERP_5[[#This Row],[AP01]:[AP06]])-SUM(ERP_5[[#This Row],[AP01 LE2]:[AP06 LE2]])</f>
        <v>-0.45999999999185093</v>
      </c>
      <c r="AM304" s="80"/>
      <c r="AN304" s="79">
        <f>ERP_5[[#This Row],[2026 Working Total to Budget/LE]]-ERP_5[[#This Row],[Giveback]]</f>
        <v>-0.4599999999627471</v>
      </c>
      <c r="AO304" s="81"/>
      <c r="AP304" s="375">
        <v>25838</v>
      </c>
      <c r="AQ304" s="375">
        <v>36872.379999999997</v>
      </c>
      <c r="AR304" s="375">
        <v>31340.080000000002</v>
      </c>
      <c r="AS304" s="375">
        <v>31350</v>
      </c>
      <c r="AT304" s="375">
        <v>31350</v>
      </c>
      <c r="AU304" s="375">
        <v>31350</v>
      </c>
      <c r="AV304" s="375">
        <v>31350</v>
      </c>
      <c r="AW304" s="375">
        <v>31350</v>
      </c>
      <c r="AX304" s="375">
        <v>31350</v>
      </c>
      <c r="AY304" s="375">
        <v>31350</v>
      </c>
      <c r="AZ304" s="375">
        <v>31350</v>
      </c>
      <c r="BA304" s="375">
        <v>31350</v>
      </c>
      <c r="BB304" s="375">
        <v>376200.45999999996</v>
      </c>
      <c r="BC304" s="79">
        <v>25838</v>
      </c>
      <c r="BD304" s="79">
        <v>36872.379999999997</v>
      </c>
      <c r="BE304" s="79">
        <v>31340.080000000002</v>
      </c>
      <c r="BF304" s="79">
        <v>31350</v>
      </c>
      <c r="BG304" s="79">
        <v>31350</v>
      </c>
      <c r="BH304" s="79">
        <v>31350</v>
      </c>
      <c r="BI304" s="79">
        <v>31350</v>
      </c>
      <c r="BJ304" s="79">
        <v>31350</v>
      </c>
      <c r="BK304" s="79">
        <v>31350</v>
      </c>
      <c r="BL304" s="79">
        <v>31350</v>
      </c>
      <c r="BM304" s="79">
        <v>31350</v>
      </c>
      <c r="BN304" s="79">
        <v>31350</v>
      </c>
      <c r="BO304" s="79">
        <v>376200.45999999996</v>
      </c>
    </row>
    <row r="305" spans="1:67" ht="15" customHeight="1">
      <c r="A305" s="66" t="s">
        <v>1554</v>
      </c>
      <c r="B305" s="66" t="s">
        <v>262</v>
      </c>
      <c r="C305" s="150" t="s">
        <v>1136</v>
      </c>
      <c r="D305" s="150" t="s">
        <v>1345</v>
      </c>
      <c r="E305" s="150" t="s">
        <v>1515</v>
      </c>
      <c r="F305" s="150" t="s">
        <v>1346</v>
      </c>
      <c r="G305" s="511" t="s">
        <v>49</v>
      </c>
      <c r="H305" s="392" t="s">
        <v>1555</v>
      </c>
      <c r="I305" s="343"/>
      <c r="J305" s="346" t="s">
        <v>1531</v>
      </c>
      <c r="K305" s="70" t="s">
        <v>263</v>
      </c>
      <c r="L305" s="346"/>
      <c r="M305" s="346" t="s">
        <v>1556</v>
      </c>
      <c r="N305" s="346"/>
      <c r="O305" s="150" t="s">
        <v>25</v>
      </c>
      <c r="P305" s="150"/>
      <c r="Q305" s="403"/>
      <c r="R305" s="406">
        <v>357309.48</v>
      </c>
      <c r="S305" s="406">
        <v>263234.2</v>
      </c>
      <c r="T305" s="425"/>
      <c r="U305" s="71"/>
      <c r="V305" s="426"/>
      <c r="W305" s="427"/>
      <c r="X305" s="427">
        <v>168756.2</v>
      </c>
      <c r="Y305" s="428">
        <v>54312.340000000011</v>
      </c>
      <c r="Z305" s="429">
        <v>54312.34</v>
      </c>
      <c r="AA305" s="429">
        <v>67890.420000000013</v>
      </c>
      <c r="AB305" s="363">
        <v>11809.75</v>
      </c>
      <c r="AC305" s="363">
        <v>11809.75</v>
      </c>
      <c r="AD305" s="363">
        <v>11809.75</v>
      </c>
      <c r="AE305" s="363">
        <v>11809.75</v>
      </c>
      <c r="AF305" s="363">
        <v>11809.75</v>
      </c>
      <c r="AG305" s="363">
        <v>11809.75</v>
      </c>
      <c r="AH305" s="360">
        <f t="shared" si="18"/>
        <v>416129.80000000005</v>
      </c>
      <c r="AI305" s="362">
        <f>ERP_5[[#This Row],[2026 Working Total]]-ERP_5[[#This Row],[LE2 Final Submission]]</f>
        <v>152895.60000000003</v>
      </c>
      <c r="AJ305" s="79">
        <v>11809.75</v>
      </c>
      <c r="AK305" s="79">
        <f t="shared" si="17"/>
        <v>56080.670000000013</v>
      </c>
      <c r="AL305" s="374">
        <f>SUM(ERP_5[[#This Row],[AP01]:[AP06]])-SUM(ERP_5[[#This Row],[AP01 LE2]:[AP06 LE2]])</f>
        <v>152895.60000000003</v>
      </c>
      <c r="AM305" s="80"/>
      <c r="AN305" s="79">
        <f>ERP_5[[#This Row],[2026 Working Total to Budget/LE]]-ERP_5[[#This Row],[Giveback]]</f>
        <v>152895.60000000003</v>
      </c>
      <c r="AO305" s="81"/>
      <c r="AP305" s="375"/>
      <c r="AQ305" s="375"/>
      <c r="AR305" s="375">
        <v>168756.2</v>
      </c>
      <c r="AS305" s="375">
        <v>0</v>
      </c>
      <c r="AT305" s="375">
        <v>11809.75</v>
      </c>
      <c r="AU305" s="375">
        <v>11809.75</v>
      </c>
      <c r="AV305" s="375">
        <v>11809.75</v>
      </c>
      <c r="AW305" s="375">
        <v>11809.75</v>
      </c>
      <c r="AX305" s="375">
        <v>11809.75</v>
      </c>
      <c r="AY305" s="375">
        <v>11809.75</v>
      </c>
      <c r="AZ305" s="375">
        <v>11809.75</v>
      </c>
      <c r="BA305" s="375">
        <v>11809.75</v>
      </c>
      <c r="BB305" s="375">
        <v>263234.2</v>
      </c>
      <c r="BC305" s="79"/>
      <c r="BD305" s="79"/>
      <c r="BE305" s="79">
        <v>168756.2</v>
      </c>
      <c r="BF305" s="79">
        <v>29775.79</v>
      </c>
      <c r="BG305" s="79">
        <v>29775.79</v>
      </c>
      <c r="BH305" s="79">
        <v>29775.79</v>
      </c>
      <c r="BI305" s="79">
        <v>29775.79</v>
      </c>
      <c r="BJ305" s="79">
        <v>29775.79</v>
      </c>
      <c r="BK305" s="79">
        <v>29775.79</v>
      </c>
      <c r="BL305" s="79">
        <v>29775.79</v>
      </c>
      <c r="BM305" s="79">
        <v>29775.79</v>
      </c>
      <c r="BN305" s="79">
        <v>29775.79</v>
      </c>
      <c r="BO305" s="79">
        <v>436738.30999999994</v>
      </c>
    </row>
    <row r="306" spans="1:67" ht="15" customHeight="1">
      <c r="A306" s="66" t="s">
        <v>1872</v>
      </c>
      <c r="B306" s="66" t="s">
        <v>1873</v>
      </c>
      <c r="C306" s="150" t="s">
        <v>1136</v>
      </c>
      <c r="D306" s="150" t="s">
        <v>1135</v>
      </c>
      <c r="E306" s="150" t="s">
        <v>1165</v>
      </c>
      <c r="F306" s="150" t="s">
        <v>1137</v>
      </c>
      <c r="G306" s="511" t="s">
        <v>389</v>
      </c>
      <c r="H306" s="392" t="s">
        <v>1874</v>
      </c>
      <c r="I306" s="343"/>
      <c r="J306" s="343"/>
      <c r="K306" s="70" t="s">
        <v>457</v>
      </c>
      <c r="L306" s="346"/>
      <c r="M306" s="343"/>
      <c r="N306" s="346"/>
      <c r="O306" s="150" t="s">
        <v>25</v>
      </c>
      <c r="P306" s="150"/>
      <c r="Q306" s="403"/>
      <c r="R306" s="406">
        <v>335904</v>
      </c>
      <c r="S306" s="406">
        <v>335903.61</v>
      </c>
      <c r="T306" s="425"/>
      <c r="U306" s="71"/>
      <c r="V306" s="426">
        <v>0.04</v>
      </c>
      <c r="W306" s="427">
        <v>55984.1</v>
      </c>
      <c r="X306" s="427">
        <v>27991.47</v>
      </c>
      <c r="Y306" s="428">
        <v>23070.760000000002</v>
      </c>
      <c r="Z306" s="429">
        <v>32913.769999999997</v>
      </c>
      <c r="AA306" s="429">
        <v>27991.9</v>
      </c>
      <c r="AB306" s="363">
        <v>27992</v>
      </c>
      <c r="AC306" s="363">
        <v>27992</v>
      </c>
      <c r="AD306" s="363">
        <v>27992</v>
      </c>
      <c r="AE306" s="363">
        <v>27992</v>
      </c>
      <c r="AF306" s="363">
        <v>27992</v>
      </c>
      <c r="AG306" s="363">
        <v>27992</v>
      </c>
      <c r="AH306" s="360">
        <f t="shared" si="18"/>
        <v>335904.04</v>
      </c>
      <c r="AI306" s="362">
        <f>ERP_5[[#This Row],[2026 Working Total]]-ERP_5[[#This Row],[LE2 Final Submission]]</f>
        <v>0.42999999999301508</v>
      </c>
      <c r="AJ306" s="79">
        <v>27992</v>
      </c>
      <c r="AK306" s="79">
        <f t="shared" si="17"/>
        <v>-9.9999999998544808E-2</v>
      </c>
      <c r="AL306" s="374">
        <f>SUM(ERP_5[[#This Row],[AP01]:[AP06]])-SUM(ERP_5[[#This Row],[AP01 LE2]:[AP06 LE2]])</f>
        <v>0.42999999999301508</v>
      </c>
      <c r="AM306" s="80"/>
      <c r="AN306" s="79">
        <f>ERP_5[[#This Row],[2026 Working Total to Budget/LE]]-ERP_5[[#This Row],[Giveback]]</f>
        <v>0.42999999999301508</v>
      </c>
      <c r="AO306" s="81"/>
      <c r="AP306" s="375">
        <v>0.04</v>
      </c>
      <c r="AQ306" s="375">
        <v>55984.1</v>
      </c>
      <c r="AR306" s="375">
        <v>27991.47</v>
      </c>
      <c r="AS306" s="375">
        <v>27992</v>
      </c>
      <c r="AT306" s="375">
        <v>27992</v>
      </c>
      <c r="AU306" s="375">
        <v>27992</v>
      </c>
      <c r="AV306" s="375">
        <v>27992</v>
      </c>
      <c r="AW306" s="375">
        <v>27992</v>
      </c>
      <c r="AX306" s="375">
        <v>27992</v>
      </c>
      <c r="AY306" s="375">
        <v>27992</v>
      </c>
      <c r="AZ306" s="375">
        <v>27992</v>
      </c>
      <c r="BA306" s="375">
        <v>27992</v>
      </c>
      <c r="BB306" s="375">
        <v>335903.61</v>
      </c>
      <c r="BC306" s="79">
        <v>0.04</v>
      </c>
      <c r="BD306" s="79">
        <v>55984.1</v>
      </c>
      <c r="BE306" s="79">
        <v>27991.47</v>
      </c>
      <c r="BF306" s="79">
        <v>27992</v>
      </c>
      <c r="BG306" s="79">
        <v>27992</v>
      </c>
      <c r="BH306" s="79">
        <v>27992</v>
      </c>
      <c r="BI306" s="79">
        <v>27992</v>
      </c>
      <c r="BJ306" s="79">
        <v>27992</v>
      </c>
      <c r="BK306" s="79">
        <v>27992</v>
      </c>
      <c r="BL306" s="79">
        <v>27992</v>
      </c>
      <c r="BM306" s="79">
        <v>27992</v>
      </c>
      <c r="BN306" s="79">
        <v>27992</v>
      </c>
      <c r="BO306" s="79">
        <v>335903.61</v>
      </c>
    </row>
    <row r="307" spans="1:67" ht="15" customHeight="1">
      <c r="A307" s="66" t="s">
        <v>2017</v>
      </c>
      <c r="B307" s="66" t="s">
        <v>2018</v>
      </c>
      <c r="C307" s="150" t="s">
        <v>1136</v>
      </c>
      <c r="D307" s="150" t="s">
        <v>1345</v>
      </c>
      <c r="E307" s="150" t="s">
        <v>1437</v>
      </c>
      <c r="F307" s="150" t="s">
        <v>1346</v>
      </c>
      <c r="G307" s="511" t="s">
        <v>389</v>
      </c>
      <c r="H307" s="392" t="s">
        <v>1878</v>
      </c>
      <c r="I307" s="343"/>
      <c r="J307" s="343"/>
      <c r="K307" s="70" t="s">
        <v>459</v>
      </c>
      <c r="L307" s="346"/>
      <c r="M307" s="343"/>
      <c r="N307" s="346"/>
      <c r="O307" s="150" t="s">
        <v>57</v>
      </c>
      <c r="P307" s="150"/>
      <c r="Q307" s="403"/>
      <c r="R307" s="406">
        <v>6600</v>
      </c>
      <c r="S307" s="406">
        <v>497.06000000000006</v>
      </c>
      <c r="T307" s="425"/>
      <c r="U307" s="71"/>
      <c r="V307" s="426">
        <v>521.38</v>
      </c>
      <c r="W307" s="427">
        <v>527.30999999999995</v>
      </c>
      <c r="X307" s="427">
        <v>-551.63</v>
      </c>
      <c r="Y307" s="428">
        <v>523.94000000000005</v>
      </c>
      <c r="Z307" s="429">
        <v>21.2</v>
      </c>
      <c r="AA307" s="429">
        <v>0</v>
      </c>
      <c r="AB307" s="360">
        <v>0</v>
      </c>
      <c r="AC307" s="360">
        <v>0</v>
      </c>
      <c r="AD307" s="360">
        <v>0</v>
      </c>
      <c r="AE307" s="360">
        <v>0</v>
      </c>
      <c r="AF307" s="360">
        <v>0</v>
      </c>
      <c r="AG307" s="360">
        <v>0</v>
      </c>
      <c r="AH307" s="360">
        <f t="shared" si="18"/>
        <v>1042.2</v>
      </c>
      <c r="AI307" s="362">
        <f>ERP_5[[#This Row],[2026 Working Total]]-ERP_5[[#This Row],[LE2 Final Submission]]</f>
        <v>545.14</v>
      </c>
      <c r="AJ307" s="79">
        <v>0</v>
      </c>
      <c r="AK307" s="79">
        <f t="shared" si="17"/>
        <v>0</v>
      </c>
      <c r="AL307" s="374">
        <f>SUM(ERP_5[[#This Row],[AP01]:[AP06]])-SUM(ERP_5[[#This Row],[AP01 LE2]:[AP06 LE2]])</f>
        <v>545.14</v>
      </c>
      <c r="AM307" s="80"/>
      <c r="AN307" s="79">
        <f>ERP_5[[#This Row],[2026 Working Total to Budget/LE]]-ERP_5[[#This Row],[Giveback]]</f>
        <v>545.14</v>
      </c>
      <c r="AO307" s="81"/>
      <c r="AP307" s="375">
        <v>521.38</v>
      </c>
      <c r="AQ307" s="375">
        <v>527.30999999999995</v>
      </c>
      <c r="AR307" s="375">
        <v>-551.63</v>
      </c>
      <c r="AS307" s="375">
        <v>0</v>
      </c>
      <c r="AT307" s="375">
        <v>0</v>
      </c>
      <c r="AU307" s="375">
        <v>0</v>
      </c>
      <c r="AV307" s="375">
        <v>0</v>
      </c>
      <c r="AW307" s="375">
        <v>0</v>
      </c>
      <c r="AX307" s="375">
        <v>0</v>
      </c>
      <c r="AY307" s="375">
        <v>0</v>
      </c>
      <c r="AZ307" s="375">
        <v>0</v>
      </c>
      <c r="BA307" s="375">
        <v>0</v>
      </c>
      <c r="BB307" s="375">
        <v>497.06000000000006</v>
      </c>
      <c r="BC307" s="79">
        <v>521.38</v>
      </c>
      <c r="BD307" s="79">
        <v>527.30999999999995</v>
      </c>
      <c r="BE307" s="79">
        <v>-551.63</v>
      </c>
      <c r="BF307" s="79">
        <v>0</v>
      </c>
      <c r="BG307" s="79">
        <v>0</v>
      </c>
      <c r="BH307" s="79">
        <v>0</v>
      </c>
      <c r="BI307" s="79">
        <v>0</v>
      </c>
      <c r="BJ307" s="79">
        <v>0</v>
      </c>
      <c r="BK307" s="79">
        <v>0</v>
      </c>
      <c r="BL307" s="79">
        <v>0</v>
      </c>
      <c r="BM307" s="79">
        <v>0</v>
      </c>
      <c r="BN307" s="79">
        <v>0</v>
      </c>
      <c r="BO307" s="79">
        <v>497.06000000000006</v>
      </c>
    </row>
    <row r="308" spans="1:67" ht="15" customHeight="1">
      <c r="A308" s="66" t="s">
        <v>1876</v>
      </c>
      <c r="B308" s="66" t="s">
        <v>1877</v>
      </c>
      <c r="C308" s="150" t="s">
        <v>1136</v>
      </c>
      <c r="D308" s="150" t="s">
        <v>1135</v>
      </c>
      <c r="E308" s="150" t="s">
        <v>1165</v>
      </c>
      <c r="F308" s="150" t="s">
        <v>1137</v>
      </c>
      <c r="G308" s="511" t="s">
        <v>389</v>
      </c>
      <c r="H308" s="392" t="s">
        <v>1878</v>
      </c>
      <c r="I308" s="343"/>
      <c r="J308" s="343"/>
      <c r="K308" s="70" t="s">
        <v>459</v>
      </c>
      <c r="L308" s="346"/>
      <c r="M308" s="343"/>
      <c r="N308" s="346"/>
      <c r="O308" s="150" t="s">
        <v>57</v>
      </c>
      <c r="P308" s="150"/>
      <c r="Q308" s="404"/>
      <c r="R308" s="407">
        <v>4212</v>
      </c>
      <c r="S308" s="407">
        <v>0</v>
      </c>
      <c r="T308" s="425"/>
      <c r="U308" s="425"/>
      <c r="V308" s="426">
        <v>212.71</v>
      </c>
      <c r="W308" s="427">
        <v>212.88</v>
      </c>
      <c r="X308" s="427">
        <v>-425.59</v>
      </c>
      <c r="Y308" s="428">
        <v>421.78999999999996</v>
      </c>
      <c r="Z308" s="429">
        <v>11.3</v>
      </c>
      <c r="AA308" s="429">
        <v>0</v>
      </c>
      <c r="AB308" s="363"/>
      <c r="AC308" s="363"/>
      <c r="AD308" s="363"/>
      <c r="AE308" s="363"/>
      <c r="AF308" s="363"/>
      <c r="AG308" s="363"/>
      <c r="AH308" s="360">
        <f t="shared" si="18"/>
        <v>433.09000000000003</v>
      </c>
      <c r="AI308" s="362">
        <f>ERP_5[[#This Row],[2026 Working Total]]-ERP_5[[#This Row],[LE2 Final Submission]]</f>
        <v>433.09000000000003</v>
      </c>
      <c r="AJ308" s="79"/>
      <c r="AK308" s="79">
        <f t="shared" si="17"/>
        <v>0</v>
      </c>
      <c r="AL308" s="374">
        <f>SUM(ERP_5[[#This Row],[AP01]:[AP06]])-SUM(ERP_5[[#This Row],[AP01 LE2]:[AP06 LE2]])</f>
        <v>433.09000000000003</v>
      </c>
      <c r="AM308" s="80"/>
      <c r="AN308" s="79">
        <f>ERP_5[[#This Row],[2026 Working Total to Budget/LE]]-ERP_5[[#This Row],[Giveback]]</f>
        <v>433.09000000000003</v>
      </c>
      <c r="AO308" s="81"/>
      <c r="AP308" s="375">
        <v>212.71</v>
      </c>
      <c r="AQ308" s="375">
        <v>212.88</v>
      </c>
      <c r="AR308" s="375">
        <v>-425.59</v>
      </c>
      <c r="AS308" s="375"/>
      <c r="AT308" s="375"/>
      <c r="AU308" s="375"/>
      <c r="AV308" s="375"/>
      <c r="AW308" s="375"/>
      <c r="AX308" s="375"/>
      <c r="AY308" s="375"/>
      <c r="AZ308" s="375"/>
      <c r="BA308" s="375"/>
      <c r="BB308" s="375">
        <v>0</v>
      </c>
      <c r="BC308" s="79">
        <v>212.71</v>
      </c>
      <c r="BD308" s="79">
        <v>212.88</v>
      </c>
      <c r="BE308" s="79">
        <v>-425.59</v>
      </c>
      <c r="BF308" s="79"/>
      <c r="BG308" s="79"/>
      <c r="BH308" s="79"/>
      <c r="BI308" s="79"/>
      <c r="BJ308" s="79"/>
      <c r="BK308" s="79"/>
      <c r="BL308" s="79"/>
      <c r="BM308" s="79"/>
      <c r="BN308" s="79"/>
      <c r="BO308" s="79">
        <v>0</v>
      </c>
    </row>
    <row r="309" spans="1:67" ht="15" customHeight="1">
      <c r="A309" s="150" t="s">
        <v>1294</v>
      </c>
      <c r="B309" s="296" t="s">
        <v>1295</v>
      </c>
      <c r="C309" s="150" t="s">
        <v>1136</v>
      </c>
      <c r="D309" s="150" t="s">
        <v>1135</v>
      </c>
      <c r="E309" s="332" t="s">
        <v>1165</v>
      </c>
      <c r="F309" s="333" t="s">
        <v>1165</v>
      </c>
      <c r="G309" s="514" t="s">
        <v>49</v>
      </c>
      <c r="H309" s="394" t="s">
        <v>1296</v>
      </c>
      <c r="I309" s="333"/>
      <c r="J309" s="332" t="s">
        <v>1284</v>
      </c>
      <c r="K309" s="90" t="s">
        <v>133</v>
      </c>
      <c r="L309" s="347"/>
      <c r="M309" s="347"/>
      <c r="N309" s="348"/>
      <c r="O309" s="348"/>
      <c r="P309" s="348"/>
      <c r="Q309" s="402"/>
      <c r="R309" s="406"/>
      <c r="S309" s="406"/>
      <c r="T309" s="425"/>
      <c r="U309" s="425"/>
      <c r="V309" s="435"/>
      <c r="W309" s="436"/>
      <c r="X309" s="436"/>
      <c r="Y309" s="436"/>
      <c r="Z309" s="429">
        <v>28.36</v>
      </c>
      <c r="AA309" s="429">
        <v>0</v>
      </c>
      <c r="AB309" s="364"/>
      <c r="AC309" s="364"/>
      <c r="AD309" s="364"/>
      <c r="AE309" s="364"/>
      <c r="AF309" s="364"/>
      <c r="AG309" s="364"/>
      <c r="AH309" s="360">
        <f t="shared" si="18"/>
        <v>28.36</v>
      </c>
      <c r="AI309" s="362">
        <f>ERP_5[[#This Row],[2026 Working Total]]-ERP_5[[#This Row],[LE2 Final Submission]]</f>
        <v>28.36</v>
      </c>
      <c r="AJ309" s="79"/>
      <c r="AK309" s="79">
        <f t="shared" si="17"/>
        <v>0</v>
      </c>
      <c r="AL309" s="374">
        <f>SUM(ERP_5[[#This Row],[AP01]:[AP06]])-SUM(ERP_5[[#This Row],[AP01 LE2]:[AP06 LE2]])</f>
        <v>28.36</v>
      </c>
      <c r="AM309" s="80"/>
      <c r="AN309" s="79">
        <f>ERP_5[[#This Row],[2026 Working Total to Budget/LE]]-ERP_5[[#This Row],[Giveback]]</f>
        <v>28.36</v>
      </c>
      <c r="AO309" s="81"/>
      <c r="AP309" s="375"/>
      <c r="AQ309" s="375"/>
      <c r="AR309" s="375"/>
      <c r="AS309" s="375"/>
      <c r="AT309" s="375"/>
      <c r="AU309" s="375"/>
      <c r="AV309" s="375"/>
      <c r="AW309" s="375"/>
      <c r="AX309" s="375"/>
      <c r="AY309" s="375"/>
      <c r="AZ309" s="375"/>
      <c r="BA309" s="375"/>
      <c r="BB309" s="375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</row>
    <row r="310" spans="1:67" ht="15" customHeight="1">
      <c r="A310" s="66" t="s">
        <v>1557</v>
      </c>
      <c r="B310" s="66" t="s">
        <v>264</v>
      </c>
      <c r="C310" s="150" t="s">
        <v>1136</v>
      </c>
      <c r="D310" s="150" t="s">
        <v>1345</v>
      </c>
      <c r="E310" s="150" t="s">
        <v>1515</v>
      </c>
      <c r="F310" s="150" t="s">
        <v>1346</v>
      </c>
      <c r="G310" s="511" t="s">
        <v>49</v>
      </c>
      <c r="H310" s="392" t="s">
        <v>1558</v>
      </c>
      <c r="I310" s="343"/>
      <c r="J310" s="343"/>
      <c r="K310" s="70" t="s">
        <v>265</v>
      </c>
      <c r="L310" s="346"/>
      <c r="M310" s="343"/>
      <c r="N310" s="346"/>
      <c r="O310" s="150" t="s">
        <v>119</v>
      </c>
      <c r="P310" s="150"/>
      <c r="Q310" s="403"/>
      <c r="R310" s="406">
        <v>25000</v>
      </c>
      <c r="S310" s="406">
        <v>25000</v>
      </c>
      <c r="T310" s="425"/>
      <c r="U310" s="425"/>
      <c r="V310" s="426"/>
      <c r="W310" s="427"/>
      <c r="X310" s="427"/>
      <c r="Y310" s="428" t="s">
        <v>1142</v>
      </c>
      <c r="Z310" s="429">
        <v>0</v>
      </c>
      <c r="AA310" s="429">
        <v>0</v>
      </c>
      <c r="AB310" s="363"/>
      <c r="AC310" s="363">
        <v>25000</v>
      </c>
      <c r="AD310" s="360">
        <v>0</v>
      </c>
      <c r="AE310" s="360">
        <v>0</v>
      </c>
      <c r="AF310" s="360">
        <v>0</v>
      </c>
      <c r="AG310" s="360">
        <v>0</v>
      </c>
      <c r="AH310" s="360">
        <f t="shared" si="18"/>
        <v>25000</v>
      </c>
      <c r="AI310" s="362">
        <f>ERP_5[[#This Row],[2026 Working Total]]-ERP_5[[#This Row],[LE2 Final Submission]]</f>
        <v>0</v>
      </c>
      <c r="AJ310" s="79"/>
      <c r="AK310" s="79">
        <f t="shared" si="17"/>
        <v>0</v>
      </c>
      <c r="AL310" s="374">
        <f>SUM(ERP_5[[#This Row],[AP01]:[AP06]])-SUM(ERP_5[[#This Row],[AP01 LE2]:[AP06 LE2]])</f>
        <v>0</v>
      </c>
      <c r="AM310" s="80"/>
      <c r="AN310" s="79">
        <f>ERP_5[[#This Row],[2026 Working Total to Budget/LE]]-ERP_5[[#This Row],[Giveback]]</f>
        <v>0</v>
      </c>
      <c r="AO310" s="81"/>
      <c r="AP310" s="375"/>
      <c r="AQ310" s="375"/>
      <c r="AR310" s="375"/>
      <c r="AS310" s="375"/>
      <c r="AT310" s="375"/>
      <c r="AU310" s="375"/>
      <c r="AV310" s="375"/>
      <c r="AW310" s="375">
        <v>25000</v>
      </c>
      <c r="AX310" s="375">
        <v>0</v>
      </c>
      <c r="AY310" s="375">
        <v>0</v>
      </c>
      <c r="AZ310" s="375">
        <v>0</v>
      </c>
      <c r="BA310" s="375">
        <v>0</v>
      </c>
      <c r="BB310" s="375">
        <v>25000</v>
      </c>
      <c r="BC310" s="79"/>
      <c r="BD310" s="79"/>
      <c r="BE310" s="79"/>
      <c r="BF310" s="79"/>
      <c r="BG310" s="79"/>
      <c r="BH310" s="79"/>
      <c r="BI310" s="79"/>
      <c r="BJ310" s="79">
        <v>25000</v>
      </c>
      <c r="BK310" s="79">
        <v>0</v>
      </c>
      <c r="BL310" s="79">
        <v>0</v>
      </c>
      <c r="BM310" s="79">
        <v>0</v>
      </c>
      <c r="BN310" s="79">
        <v>0</v>
      </c>
      <c r="BO310" s="79">
        <v>25000</v>
      </c>
    </row>
    <row r="311" spans="1:67" ht="15" customHeight="1">
      <c r="A311" s="66" t="s">
        <v>2070</v>
      </c>
      <c r="B311" s="66" t="s">
        <v>558</v>
      </c>
      <c r="C311" s="150" t="s">
        <v>1136</v>
      </c>
      <c r="D311" s="150" t="s">
        <v>1345</v>
      </c>
      <c r="E311" s="150" t="s">
        <v>1515</v>
      </c>
      <c r="F311" s="150" t="s">
        <v>1346</v>
      </c>
      <c r="G311" s="511" t="s">
        <v>389</v>
      </c>
      <c r="H311" s="392" t="s">
        <v>2071</v>
      </c>
      <c r="I311" s="343"/>
      <c r="J311" s="343"/>
      <c r="K311" s="70" t="s">
        <v>559</v>
      </c>
      <c r="L311" s="346"/>
      <c r="M311" s="343"/>
      <c r="N311" s="346"/>
      <c r="O311" s="150" t="s">
        <v>57</v>
      </c>
      <c r="P311" s="150"/>
      <c r="Q311" s="403"/>
      <c r="R311" s="406">
        <v>17000</v>
      </c>
      <c r="S311" s="406">
        <v>13700</v>
      </c>
      <c r="T311" s="425"/>
      <c r="U311" s="425"/>
      <c r="V311" s="426"/>
      <c r="W311" s="427"/>
      <c r="X311" s="427"/>
      <c r="Y311" s="428" t="s">
        <v>1142</v>
      </c>
      <c r="Z311" s="429">
        <v>0</v>
      </c>
      <c r="AA311" s="429">
        <v>0</v>
      </c>
      <c r="AB311" s="363">
        <v>1100</v>
      </c>
      <c r="AC311" s="363">
        <v>1100</v>
      </c>
      <c r="AD311" s="363">
        <v>1100</v>
      </c>
      <c r="AE311" s="363">
        <v>1100</v>
      </c>
      <c r="AF311" s="363">
        <v>3000</v>
      </c>
      <c r="AG311" s="363">
        <v>3000</v>
      </c>
      <c r="AH311" s="360">
        <f t="shared" si="18"/>
        <v>10400</v>
      </c>
      <c r="AI311" s="362">
        <f>ERP_5[[#This Row],[2026 Working Total]]-ERP_5[[#This Row],[LE2 Final Submission]]</f>
        <v>-3300</v>
      </c>
      <c r="AJ311" s="79">
        <v>1100</v>
      </c>
      <c r="AK311" s="79">
        <f t="shared" si="17"/>
        <v>-1100</v>
      </c>
      <c r="AL311" s="374">
        <f>SUM(ERP_5[[#This Row],[AP01]:[AP06]])-SUM(ERP_5[[#This Row],[AP01 LE2]:[AP06 LE2]])</f>
        <v>-3300</v>
      </c>
      <c r="AM311" s="80"/>
      <c r="AN311" s="79">
        <f>ERP_5[[#This Row],[2026 Working Total to Budget/LE]]-ERP_5[[#This Row],[Giveback]]</f>
        <v>-3300</v>
      </c>
      <c r="AO311" s="81"/>
      <c r="AP311" s="375"/>
      <c r="AQ311" s="375"/>
      <c r="AR311" s="375"/>
      <c r="AS311" s="375">
        <v>1100</v>
      </c>
      <c r="AT311" s="375">
        <v>1100</v>
      </c>
      <c r="AU311" s="375">
        <v>1100</v>
      </c>
      <c r="AV311" s="375">
        <v>1100</v>
      </c>
      <c r="AW311" s="375">
        <v>1100</v>
      </c>
      <c r="AX311" s="375">
        <v>1100</v>
      </c>
      <c r="AY311" s="375">
        <v>1100</v>
      </c>
      <c r="AZ311" s="375">
        <v>3000</v>
      </c>
      <c r="BA311" s="375">
        <v>3000</v>
      </c>
      <c r="BB311" s="375">
        <v>13700</v>
      </c>
      <c r="BC311" s="79"/>
      <c r="BD311" s="79"/>
      <c r="BE311" s="79"/>
      <c r="BF311" s="79">
        <v>1100</v>
      </c>
      <c r="BG311" s="79">
        <v>1100</v>
      </c>
      <c r="BH311" s="79">
        <v>1100</v>
      </c>
      <c r="BI311" s="79">
        <v>1100</v>
      </c>
      <c r="BJ311" s="79">
        <v>1100</v>
      </c>
      <c r="BK311" s="79">
        <v>1100</v>
      </c>
      <c r="BL311" s="79">
        <v>1100</v>
      </c>
      <c r="BM311" s="79">
        <v>3000</v>
      </c>
      <c r="BN311" s="79">
        <v>3000</v>
      </c>
      <c r="BO311" s="79">
        <v>13700</v>
      </c>
    </row>
    <row r="312" spans="1:67" ht="15" customHeight="1">
      <c r="A312" s="66" t="s">
        <v>1401</v>
      </c>
      <c r="B312" s="66" t="s">
        <v>186</v>
      </c>
      <c r="C312" s="150" t="s">
        <v>1136</v>
      </c>
      <c r="D312" s="150" t="s">
        <v>1345</v>
      </c>
      <c r="E312" s="150" t="s">
        <v>1344</v>
      </c>
      <c r="F312" s="150" t="s">
        <v>1346</v>
      </c>
      <c r="G312" s="511" t="s">
        <v>49</v>
      </c>
      <c r="H312" s="392" t="s">
        <v>1402</v>
      </c>
      <c r="I312" s="343"/>
      <c r="J312" s="343"/>
      <c r="K312" s="70" t="s">
        <v>187</v>
      </c>
      <c r="L312" s="346"/>
      <c r="M312" s="343"/>
      <c r="N312" s="346"/>
      <c r="O312" s="150" t="s">
        <v>188</v>
      </c>
      <c r="P312" s="150" t="s">
        <v>1403</v>
      </c>
      <c r="Q312" s="403"/>
      <c r="R312" s="406">
        <v>25200</v>
      </c>
      <c r="S312" s="406">
        <v>0</v>
      </c>
      <c r="T312" s="425"/>
      <c r="U312" s="425"/>
      <c r="V312" s="426"/>
      <c r="W312" s="427"/>
      <c r="X312" s="427"/>
      <c r="Y312" s="428" t="s">
        <v>1142</v>
      </c>
      <c r="Z312" s="429">
        <v>0</v>
      </c>
      <c r="AA312" s="429">
        <v>0</v>
      </c>
      <c r="AB312" s="363">
        <f t="shared" ref="AB312:AG312" si="19">2100-2100</f>
        <v>0</v>
      </c>
      <c r="AC312" s="363">
        <f t="shared" si="19"/>
        <v>0</v>
      </c>
      <c r="AD312" s="363">
        <f t="shared" si="19"/>
        <v>0</v>
      </c>
      <c r="AE312" s="363">
        <f t="shared" si="19"/>
        <v>0</v>
      </c>
      <c r="AF312" s="363">
        <f t="shared" si="19"/>
        <v>0</v>
      </c>
      <c r="AG312" s="363">
        <f t="shared" si="19"/>
        <v>0</v>
      </c>
      <c r="AH312" s="360">
        <f t="shared" si="18"/>
        <v>0</v>
      </c>
      <c r="AI312" s="362">
        <f>ERP_5[[#This Row],[2026 Working Total]]-ERP_5[[#This Row],[LE2 Final Submission]]</f>
        <v>0</v>
      </c>
      <c r="AJ312" s="79">
        <v>0</v>
      </c>
      <c r="AK312" s="79">
        <f t="shared" si="17"/>
        <v>0</v>
      </c>
      <c r="AL312" s="374">
        <f>SUM(ERP_5[[#This Row],[AP01]:[AP06]])-SUM(ERP_5[[#This Row],[AP01 LE2]:[AP06 LE2]])</f>
        <v>0</v>
      </c>
      <c r="AM312" s="80"/>
      <c r="AN312" s="79">
        <f>ERP_5[[#This Row],[2026 Working Total to Budget/LE]]-ERP_5[[#This Row],[Giveback]]</f>
        <v>0</v>
      </c>
      <c r="AO312" s="81"/>
      <c r="AP312" s="375"/>
      <c r="AQ312" s="375"/>
      <c r="AR312" s="375"/>
      <c r="AS312" s="375">
        <v>0</v>
      </c>
      <c r="AT312" s="375">
        <v>0</v>
      </c>
      <c r="AU312" s="375">
        <v>0</v>
      </c>
      <c r="AV312" s="375">
        <v>0</v>
      </c>
      <c r="AW312" s="375">
        <v>0</v>
      </c>
      <c r="AX312" s="375">
        <v>0</v>
      </c>
      <c r="AY312" s="375">
        <v>0</v>
      </c>
      <c r="AZ312" s="375">
        <v>0</v>
      </c>
      <c r="BA312" s="375">
        <v>0</v>
      </c>
      <c r="BB312" s="375">
        <v>0</v>
      </c>
      <c r="BC312" s="79"/>
      <c r="BD312" s="79"/>
      <c r="BE312" s="79"/>
      <c r="BF312" s="79">
        <v>2100</v>
      </c>
      <c r="BG312" s="79">
        <v>2100</v>
      </c>
      <c r="BH312" s="79">
        <v>2100</v>
      </c>
      <c r="BI312" s="79">
        <v>2100</v>
      </c>
      <c r="BJ312" s="79">
        <v>2100</v>
      </c>
      <c r="BK312" s="79">
        <v>2100</v>
      </c>
      <c r="BL312" s="79">
        <v>2100</v>
      </c>
      <c r="BM312" s="79">
        <v>2100</v>
      </c>
      <c r="BN312" s="79">
        <v>2100</v>
      </c>
      <c r="BO312" s="79">
        <v>18900</v>
      </c>
    </row>
    <row r="313" spans="1:67" ht="15" customHeight="1">
      <c r="A313" s="66" t="s">
        <v>1973</v>
      </c>
      <c r="B313" s="66" t="s">
        <v>501</v>
      </c>
      <c r="C313" s="150" t="s">
        <v>1136</v>
      </c>
      <c r="D313" s="150" t="s">
        <v>1345</v>
      </c>
      <c r="E313" s="150" t="s">
        <v>1344</v>
      </c>
      <c r="F313" s="150" t="s">
        <v>1346</v>
      </c>
      <c r="G313" s="511" t="s">
        <v>389</v>
      </c>
      <c r="H313" s="392" t="s">
        <v>1402</v>
      </c>
      <c r="I313" s="343"/>
      <c r="J313" s="343"/>
      <c r="K313" s="70" t="s">
        <v>187</v>
      </c>
      <c r="L313" s="346"/>
      <c r="M313" s="343"/>
      <c r="N313" s="346"/>
      <c r="O313" s="150" t="s">
        <v>188</v>
      </c>
      <c r="P313" s="150" t="s">
        <v>1403</v>
      </c>
      <c r="Q313" s="403"/>
      <c r="R313" s="406">
        <v>0</v>
      </c>
      <c r="S313" s="406">
        <v>25200</v>
      </c>
      <c r="T313" s="425"/>
      <c r="U313" s="425"/>
      <c r="V313" s="426"/>
      <c r="W313" s="427"/>
      <c r="X313" s="427">
        <v>6300</v>
      </c>
      <c r="Y313" s="428">
        <v>0</v>
      </c>
      <c r="Z313" s="429">
        <v>4200</v>
      </c>
      <c r="AA313" s="429">
        <v>0</v>
      </c>
      <c r="AB313" s="360">
        <v>2100</v>
      </c>
      <c r="AC313" s="360">
        <v>2100</v>
      </c>
      <c r="AD313" s="360">
        <v>2100</v>
      </c>
      <c r="AE313" s="360">
        <v>2100</v>
      </c>
      <c r="AF313" s="360">
        <v>2100</v>
      </c>
      <c r="AG313" s="360">
        <v>2100</v>
      </c>
      <c r="AH313" s="360">
        <f t="shared" si="18"/>
        <v>23100</v>
      </c>
      <c r="AI313" s="362">
        <f>ERP_5[[#This Row],[2026 Working Total]]-ERP_5[[#This Row],[LE2 Final Submission]]</f>
        <v>-2100</v>
      </c>
      <c r="AJ313" s="79">
        <v>2100</v>
      </c>
      <c r="AK313" s="79">
        <f t="shared" si="17"/>
        <v>-2100</v>
      </c>
      <c r="AL313" s="374">
        <f>SUM(ERP_5[[#This Row],[AP01]:[AP06]])-SUM(ERP_5[[#This Row],[AP01 LE2]:[AP06 LE2]])</f>
        <v>-2100</v>
      </c>
      <c r="AM313" s="80"/>
      <c r="AN313" s="79">
        <f>ERP_5[[#This Row],[2026 Working Total to Budget/LE]]-ERP_5[[#This Row],[Giveback]]</f>
        <v>-2100</v>
      </c>
      <c r="AO313" s="81"/>
      <c r="AP313" s="375"/>
      <c r="AQ313" s="375"/>
      <c r="AR313" s="375">
        <v>6300</v>
      </c>
      <c r="AS313" s="375">
        <v>2100</v>
      </c>
      <c r="AT313" s="375">
        <v>2100</v>
      </c>
      <c r="AU313" s="375">
        <v>2100</v>
      </c>
      <c r="AV313" s="375">
        <v>2100</v>
      </c>
      <c r="AW313" s="375">
        <v>2100</v>
      </c>
      <c r="AX313" s="375">
        <v>2100</v>
      </c>
      <c r="AY313" s="375">
        <v>2100</v>
      </c>
      <c r="AZ313" s="375">
        <v>2100</v>
      </c>
      <c r="BA313" s="375">
        <v>2100</v>
      </c>
      <c r="BB313" s="375">
        <v>25200</v>
      </c>
      <c r="BC313" s="79"/>
      <c r="BD313" s="79"/>
      <c r="BE313" s="79">
        <v>6300</v>
      </c>
      <c r="BF313" s="79">
        <v>0</v>
      </c>
      <c r="BG313" s="79">
        <v>0</v>
      </c>
      <c r="BH313" s="79">
        <v>0</v>
      </c>
      <c r="BI313" s="79">
        <v>0</v>
      </c>
      <c r="BJ313" s="79">
        <v>0</v>
      </c>
      <c r="BK313" s="79">
        <v>0</v>
      </c>
      <c r="BL313" s="79">
        <v>0</v>
      </c>
      <c r="BM313" s="79">
        <v>0</v>
      </c>
      <c r="BN313" s="79">
        <v>0</v>
      </c>
      <c r="BO313" s="79">
        <v>6300</v>
      </c>
    </row>
    <row r="314" spans="1:67" ht="15" customHeight="1">
      <c r="A314" s="66" t="s">
        <v>1974</v>
      </c>
      <c r="B314" s="66" t="s">
        <v>502</v>
      </c>
      <c r="C314" s="150" t="s">
        <v>1136</v>
      </c>
      <c r="D314" s="150" t="s">
        <v>1345</v>
      </c>
      <c r="E314" s="150" t="s">
        <v>1344</v>
      </c>
      <c r="F314" s="150" t="s">
        <v>1346</v>
      </c>
      <c r="G314" s="511" t="s">
        <v>389</v>
      </c>
      <c r="H314" s="392" t="s">
        <v>1471</v>
      </c>
      <c r="I314" s="343"/>
      <c r="J314" s="343"/>
      <c r="K314" s="70" t="s">
        <v>221</v>
      </c>
      <c r="L314" s="346"/>
      <c r="M314" s="343"/>
      <c r="N314" s="346"/>
      <c r="O314" s="150" t="s">
        <v>188</v>
      </c>
      <c r="P314" s="150"/>
      <c r="Q314" s="403"/>
      <c r="R314" s="406">
        <v>0</v>
      </c>
      <c r="S314" s="406">
        <v>8751</v>
      </c>
      <c r="T314" s="425"/>
      <c r="U314" s="425"/>
      <c r="V314" s="426"/>
      <c r="W314" s="427"/>
      <c r="X314" s="427">
        <v>8751</v>
      </c>
      <c r="Y314" s="428">
        <v>0</v>
      </c>
      <c r="Z314" s="429">
        <v>5834</v>
      </c>
      <c r="AA314" s="429">
        <v>0</v>
      </c>
      <c r="AB314" s="360">
        <v>0</v>
      </c>
      <c r="AC314" s="360">
        <v>0</v>
      </c>
      <c r="AD314" s="360">
        <v>0</v>
      </c>
      <c r="AE314" s="360">
        <v>0</v>
      </c>
      <c r="AF314" s="360">
        <v>0</v>
      </c>
      <c r="AG314" s="360">
        <v>0</v>
      </c>
      <c r="AH314" s="360">
        <f t="shared" si="18"/>
        <v>14585</v>
      </c>
      <c r="AI314" s="362">
        <f>ERP_5[[#This Row],[2026 Working Total]]-ERP_5[[#This Row],[LE2 Final Submission]]</f>
        <v>5834</v>
      </c>
      <c r="AJ314" s="79">
        <v>0</v>
      </c>
      <c r="AK314" s="79">
        <f t="shared" si="17"/>
        <v>0</v>
      </c>
      <c r="AL314" s="374">
        <f>SUM(ERP_5[[#This Row],[AP01]:[AP06]])-SUM(ERP_5[[#This Row],[AP01 LE2]:[AP06 LE2]])</f>
        <v>5834</v>
      </c>
      <c r="AM314" s="80"/>
      <c r="AN314" s="79">
        <f>ERP_5[[#This Row],[2026 Working Total to Budget/LE]]-ERP_5[[#This Row],[Giveback]]</f>
        <v>5834</v>
      </c>
      <c r="AO314" s="81"/>
      <c r="AP314" s="375"/>
      <c r="AQ314" s="375"/>
      <c r="AR314" s="375">
        <v>8751</v>
      </c>
      <c r="AS314" s="375">
        <v>0</v>
      </c>
      <c r="AT314" s="375">
        <v>0</v>
      </c>
      <c r="AU314" s="375">
        <v>0</v>
      </c>
      <c r="AV314" s="375">
        <v>0</v>
      </c>
      <c r="AW314" s="375">
        <v>0</v>
      </c>
      <c r="AX314" s="375">
        <v>0</v>
      </c>
      <c r="AY314" s="375">
        <v>0</v>
      </c>
      <c r="AZ314" s="375">
        <v>0</v>
      </c>
      <c r="BA314" s="375">
        <v>0</v>
      </c>
      <c r="BB314" s="375">
        <v>8751</v>
      </c>
      <c r="BC314" s="79"/>
      <c r="BD314" s="79"/>
      <c r="BE314" s="79">
        <v>8751</v>
      </c>
      <c r="BF314" s="79">
        <v>0</v>
      </c>
      <c r="BG314" s="79">
        <v>0</v>
      </c>
      <c r="BH314" s="79">
        <v>0</v>
      </c>
      <c r="BI314" s="79">
        <v>0</v>
      </c>
      <c r="BJ314" s="79">
        <v>0</v>
      </c>
      <c r="BK314" s="79">
        <v>0</v>
      </c>
      <c r="BL314" s="79">
        <v>0</v>
      </c>
      <c r="BM314" s="79">
        <v>0</v>
      </c>
      <c r="BN314" s="79">
        <v>0</v>
      </c>
      <c r="BO314" s="79">
        <v>8751</v>
      </c>
    </row>
    <row r="315" spans="1:67" ht="15" customHeight="1">
      <c r="A315" s="66" t="s">
        <v>1470</v>
      </c>
      <c r="B315" s="66" t="s">
        <v>220</v>
      </c>
      <c r="C315" s="150" t="s">
        <v>1136</v>
      </c>
      <c r="D315" s="150" t="s">
        <v>1345</v>
      </c>
      <c r="E315" s="150" t="s">
        <v>1450</v>
      </c>
      <c r="F315" s="150" t="s">
        <v>1346</v>
      </c>
      <c r="G315" s="511" t="s">
        <v>49</v>
      </c>
      <c r="H315" s="392" t="s">
        <v>1471</v>
      </c>
      <c r="I315" s="343"/>
      <c r="J315" s="343"/>
      <c r="K315" s="70" t="s">
        <v>221</v>
      </c>
      <c r="L315" s="346"/>
      <c r="M315" s="343"/>
      <c r="N315" s="346"/>
      <c r="O315" s="150" t="s">
        <v>188</v>
      </c>
      <c r="P315" s="150"/>
      <c r="Q315" s="403"/>
      <c r="R315" s="406">
        <v>35000</v>
      </c>
      <c r="S315" s="406">
        <v>26249</v>
      </c>
      <c r="T315" s="425"/>
      <c r="U315" s="425"/>
      <c r="V315" s="426"/>
      <c r="W315" s="427"/>
      <c r="X315" s="427"/>
      <c r="Y315" s="428" t="s">
        <v>1142</v>
      </c>
      <c r="Z315" s="429">
        <v>0</v>
      </c>
      <c r="AA315" s="429">
        <v>0</v>
      </c>
      <c r="AB315" s="363"/>
      <c r="AC315" s="363">
        <v>8751</v>
      </c>
      <c r="AD315" s="363">
        <v>2916</v>
      </c>
      <c r="AE315" s="363">
        <v>2916</v>
      </c>
      <c r="AF315" s="363">
        <v>2916</v>
      </c>
      <c r="AG315" s="363">
        <v>2916</v>
      </c>
      <c r="AH315" s="360">
        <f t="shared" si="18"/>
        <v>20415</v>
      </c>
      <c r="AI315" s="362">
        <f>ERP_5[[#This Row],[2026 Working Total]]-ERP_5[[#This Row],[LE2 Final Submission]]</f>
        <v>-5834</v>
      </c>
      <c r="AJ315" s="79">
        <v>2917</v>
      </c>
      <c r="AK315" s="79">
        <f t="shared" si="17"/>
        <v>-2917</v>
      </c>
      <c r="AL315" s="374">
        <f>SUM(ERP_5[[#This Row],[AP01]:[AP06]])-SUM(ERP_5[[#This Row],[AP01 LE2]:[AP06 LE2]])</f>
        <v>-8751</v>
      </c>
      <c r="AM315" s="80"/>
      <c r="AN315" s="79">
        <f>ERP_5[[#This Row],[2026 Working Total to Budget/LE]]-ERP_5[[#This Row],[Giveback]]</f>
        <v>-5834</v>
      </c>
      <c r="AO315" s="81"/>
      <c r="AP315" s="375"/>
      <c r="AQ315" s="375"/>
      <c r="AR315" s="375"/>
      <c r="AS315" s="375">
        <v>2917</v>
      </c>
      <c r="AT315" s="375">
        <v>2917</v>
      </c>
      <c r="AU315" s="375">
        <v>2917</v>
      </c>
      <c r="AV315" s="375">
        <v>2917</v>
      </c>
      <c r="AW315" s="375">
        <v>2917</v>
      </c>
      <c r="AX315" s="375">
        <v>2916</v>
      </c>
      <c r="AY315" s="375">
        <v>2916</v>
      </c>
      <c r="AZ315" s="375">
        <v>2916</v>
      </c>
      <c r="BA315" s="375">
        <v>2916</v>
      </c>
      <c r="BB315" s="375">
        <v>26249</v>
      </c>
      <c r="BC315" s="79"/>
      <c r="BD315" s="79"/>
      <c r="BE315" s="79"/>
      <c r="BF315" s="79">
        <v>2917</v>
      </c>
      <c r="BG315" s="79">
        <v>2917</v>
      </c>
      <c r="BH315" s="79">
        <v>2917</v>
      </c>
      <c r="BI315" s="79">
        <v>2917</v>
      </c>
      <c r="BJ315" s="79">
        <v>2917</v>
      </c>
      <c r="BK315" s="79">
        <v>2916</v>
      </c>
      <c r="BL315" s="79">
        <v>2916</v>
      </c>
      <c r="BM315" s="79">
        <v>2916</v>
      </c>
      <c r="BN315" s="79">
        <v>2916</v>
      </c>
      <c r="BO315" s="79">
        <v>26249</v>
      </c>
    </row>
    <row r="316" spans="1:67" ht="15" customHeight="1">
      <c r="A316" s="66" t="s">
        <v>1879</v>
      </c>
      <c r="B316" s="66" t="s">
        <v>1880</v>
      </c>
      <c r="C316" s="150" t="s">
        <v>1136</v>
      </c>
      <c r="D316" s="150" t="s">
        <v>1135</v>
      </c>
      <c r="E316" s="150" t="s">
        <v>1165</v>
      </c>
      <c r="F316" s="150" t="s">
        <v>1137</v>
      </c>
      <c r="G316" s="511" t="s">
        <v>389</v>
      </c>
      <c r="H316" s="392" t="s">
        <v>1881</v>
      </c>
      <c r="I316" s="343"/>
      <c r="J316" s="343"/>
      <c r="K316" s="70" t="s">
        <v>133</v>
      </c>
      <c r="L316" s="346"/>
      <c r="M316" s="343"/>
      <c r="N316" s="346"/>
      <c r="O316" s="150" t="s">
        <v>25</v>
      </c>
      <c r="P316" s="150"/>
      <c r="Q316" s="404"/>
      <c r="R316" s="407">
        <v>0</v>
      </c>
      <c r="S316" s="407">
        <v>0</v>
      </c>
      <c r="T316" s="425"/>
      <c r="U316" s="425"/>
      <c r="V316" s="426">
        <v>95.28</v>
      </c>
      <c r="W316" s="427">
        <v>31.62</v>
      </c>
      <c r="X316" s="427">
        <v>-126.9</v>
      </c>
      <c r="Y316" s="428">
        <v>66.959999999999994</v>
      </c>
      <c r="Z316" s="429">
        <v>61.6</v>
      </c>
      <c r="AA316" s="429">
        <v>63.66</v>
      </c>
      <c r="AB316" s="363"/>
      <c r="AC316" s="363"/>
      <c r="AD316" s="363"/>
      <c r="AE316" s="363"/>
      <c r="AF316" s="363"/>
      <c r="AG316" s="363"/>
      <c r="AH316" s="360">
        <f t="shared" si="18"/>
        <v>192.22</v>
      </c>
      <c r="AI316" s="362">
        <f>ERP_5[[#This Row],[2026 Working Total]]-ERP_5[[#This Row],[LE2 Final Submission]]</f>
        <v>192.22</v>
      </c>
      <c r="AJ316" s="79"/>
      <c r="AK316" s="79">
        <f t="shared" si="17"/>
        <v>63.66</v>
      </c>
      <c r="AL316" s="374">
        <f>SUM(ERP_5[[#This Row],[AP01]:[AP06]])-SUM(ERP_5[[#This Row],[AP01 LE2]:[AP06 LE2]])</f>
        <v>192.22</v>
      </c>
      <c r="AM316" s="80"/>
      <c r="AN316" s="79">
        <f>ERP_5[[#This Row],[2026 Working Total to Budget/LE]]-ERP_5[[#This Row],[Giveback]]</f>
        <v>192.22</v>
      </c>
      <c r="AO316" s="81"/>
      <c r="AP316" s="375">
        <v>95.28</v>
      </c>
      <c r="AQ316" s="375">
        <v>31.62</v>
      </c>
      <c r="AR316" s="375">
        <v>-126.9</v>
      </c>
      <c r="AS316" s="375"/>
      <c r="AT316" s="375"/>
      <c r="AU316" s="375"/>
      <c r="AV316" s="375"/>
      <c r="AW316" s="375"/>
      <c r="AX316" s="375"/>
      <c r="AY316" s="375"/>
      <c r="AZ316" s="375"/>
      <c r="BA316" s="375"/>
      <c r="BB316" s="375">
        <v>0</v>
      </c>
      <c r="BC316" s="79">
        <v>95.28</v>
      </c>
      <c r="BD316" s="79">
        <v>31.62</v>
      </c>
      <c r="BE316" s="79">
        <v>-126.9</v>
      </c>
      <c r="BF316" s="79"/>
      <c r="BG316" s="79"/>
      <c r="BH316" s="79"/>
      <c r="BI316" s="79"/>
      <c r="BJ316" s="79"/>
      <c r="BK316" s="79"/>
      <c r="BL316" s="79"/>
      <c r="BM316" s="79"/>
      <c r="BN316" s="79"/>
      <c r="BO316" s="79">
        <v>0</v>
      </c>
    </row>
    <row r="317" spans="1:67" ht="15" customHeight="1">
      <c r="A317" s="150" t="s">
        <v>1882</v>
      </c>
      <c r="B317" s="296" t="s">
        <v>1883</v>
      </c>
      <c r="C317" s="150" t="s">
        <v>1136</v>
      </c>
      <c r="D317" s="150" t="s">
        <v>1135</v>
      </c>
      <c r="E317" s="332" t="s">
        <v>1156</v>
      </c>
      <c r="F317" s="333" t="s">
        <v>1156</v>
      </c>
      <c r="G317" s="514" t="s">
        <v>389</v>
      </c>
      <c r="H317" s="394" t="s">
        <v>1884</v>
      </c>
      <c r="I317" s="401" t="s">
        <v>1885</v>
      </c>
      <c r="J317" s="332" t="s">
        <v>1804</v>
      </c>
      <c r="K317" s="90" t="s">
        <v>135</v>
      </c>
      <c r="L317" s="347"/>
      <c r="M317" s="348" t="s">
        <v>1886</v>
      </c>
      <c r="N317" s="348"/>
      <c r="O317" s="348"/>
      <c r="P317" s="348"/>
      <c r="Q317" s="402"/>
      <c r="R317" s="406"/>
      <c r="S317" s="406"/>
      <c r="T317" s="425"/>
      <c r="U317" s="425"/>
      <c r="V317" s="435"/>
      <c r="W317" s="436"/>
      <c r="X317" s="436"/>
      <c r="Y317" s="436"/>
      <c r="Z317" s="429">
        <v>76500</v>
      </c>
      <c r="AA317" s="429">
        <v>12000</v>
      </c>
      <c r="AB317" s="364">
        <v>12000</v>
      </c>
      <c r="AC317" s="364">
        <v>12000</v>
      </c>
      <c r="AD317" s="364">
        <v>12000</v>
      </c>
      <c r="AE317" s="364">
        <v>12000</v>
      </c>
      <c r="AF317" s="364">
        <v>12000</v>
      </c>
      <c r="AG317" s="364">
        <v>12000</v>
      </c>
      <c r="AH317" s="360">
        <f t="shared" si="18"/>
        <v>160500</v>
      </c>
      <c r="AI317" s="362">
        <f>ERP_5[[#This Row],[2026 Working Total]]-ERP_5[[#This Row],[LE2 Final Submission]]</f>
        <v>160500</v>
      </c>
      <c r="AJ317" s="79"/>
      <c r="AK317" s="79">
        <f t="shared" si="17"/>
        <v>12000</v>
      </c>
      <c r="AL317" s="374">
        <f>SUM(ERP_5[[#This Row],[AP01]:[AP06]])-SUM(ERP_5[[#This Row],[AP01 LE2]:[AP06 LE2]])</f>
        <v>88500</v>
      </c>
      <c r="AM317" s="80"/>
      <c r="AN317" s="79">
        <f>ERP_5[[#This Row],[2026 Working Total to Budget/LE]]-ERP_5[[#This Row],[Giveback]]</f>
        <v>160500</v>
      </c>
      <c r="AO317" s="81"/>
      <c r="AP317" s="375"/>
      <c r="AQ317" s="375"/>
      <c r="AR317" s="375"/>
      <c r="AS317" s="375"/>
      <c r="AT317" s="375"/>
      <c r="AU317" s="375"/>
      <c r="AV317" s="375"/>
      <c r="AW317" s="375"/>
      <c r="AX317" s="375"/>
      <c r="AY317" s="375"/>
      <c r="AZ317" s="375"/>
      <c r="BA317" s="375"/>
      <c r="BB317" s="375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</row>
    <row r="318" spans="1:67" ht="15" customHeight="1">
      <c r="A318" s="66" t="s">
        <v>1404</v>
      </c>
      <c r="B318" s="66" t="s">
        <v>189</v>
      </c>
      <c r="C318" s="150" t="s">
        <v>1136</v>
      </c>
      <c r="D318" s="150" t="s">
        <v>1345</v>
      </c>
      <c r="E318" s="150" t="s">
        <v>1344</v>
      </c>
      <c r="F318" s="150" t="s">
        <v>1346</v>
      </c>
      <c r="G318" s="511" t="s">
        <v>49</v>
      </c>
      <c r="H318" s="392" t="s">
        <v>1405</v>
      </c>
      <c r="I318" s="343" t="s">
        <v>1387</v>
      </c>
      <c r="J318" s="346" t="s">
        <v>1363</v>
      </c>
      <c r="K318" s="70" t="s">
        <v>190</v>
      </c>
      <c r="L318" s="346" t="s">
        <v>1153</v>
      </c>
      <c r="M318" s="346" t="s">
        <v>1406</v>
      </c>
      <c r="N318" s="346"/>
      <c r="O318" s="150" t="s">
        <v>25</v>
      </c>
      <c r="P318" s="150" t="s">
        <v>1407</v>
      </c>
      <c r="Q318" s="403"/>
      <c r="R318" s="406">
        <v>1129982.58</v>
      </c>
      <c r="S318" s="406">
        <v>874707.09</v>
      </c>
      <c r="T318" s="425"/>
      <c r="U318" s="71"/>
      <c r="V318" s="426">
        <v>77285</v>
      </c>
      <c r="W318" s="427">
        <v>177053.54</v>
      </c>
      <c r="X318" s="427">
        <v>-2920.45</v>
      </c>
      <c r="Y318" s="428">
        <v>86558.849999999991</v>
      </c>
      <c r="Z318" s="429">
        <v>86558.85</v>
      </c>
      <c r="AA318" s="429">
        <v>98924.389999999985</v>
      </c>
      <c r="AB318" s="363">
        <v>62406</v>
      </c>
      <c r="AC318" s="363">
        <v>62406</v>
      </c>
      <c r="AD318" s="363">
        <v>62406</v>
      </c>
      <c r="AE318" s="363">
        <v>55438</v>
      </c>
      <c r="AF318" s="363">
        <v>55438</v>
      </c>
      <c r="AG318" s="363">
        <v>55438</v>
      </c>
      <c r="AH318" s="360">
        <f t="shared" si="18"/>
        <v>876992.18</v>
      </c>
      <c r="AI318" s="362">
        <f>ERP_5[[#This Row],[2026 Working Total]]-ERP_5[[#This Row],[LE2 Final Submission]]</f>
        <v>2285.0900000000838</v>
      </c>
      <c r="AJ318" s="79">
        <v>97087</v>
      </c>
      <c r="AK318" s="79">
        <f t="shared" si="17"/>
        <v>1837.3899999999849</v>
      </c>
      <c r="AL318" s="374">
        <f>SUM(ERP_5[[#This Row],[AP01]:[AP06]])-SUM(ERP_5[[#This Row],[AP01 LE2]:[AP06 LE2]])</f>
        <v>-19218.909999999916</v>
      </c>
      <c r="AM318" s="80">
        <v>255000</v>
      </c>
      <c r="AN318" s="79">
        <f>ERP_5[[#This Row],[2026 Working Total to Budget/LE]]-ERP_5[[#This Row],[Giveback]]</f>
        <v>-252714.90999999992</v>
      </c>
      <c r="AO318" s="81" t="s">
        <v>1408</v>
      </c>
      <c r="AP318" s="375">
        <v>77285</v>
      </c>
      <c r="AQ318" s="375">
        <v>177053.54</v>
      </c>
      <c r="AR318" s="375">
        <v>-2920.45</v>
      </c>
      <c r="AS318" s="375">
        <v>97087</v>
      </c>
      <c r="AT318" s="375">
        <v>97087</v>
      </c>
      <c r="AU318" s="375">
        <v>97087</v>
      </c>
      <c r="AV318" s="375">
        <v>55338</v>
      </c>
      <c r="AW318" s="375">
        <v>55338</v>
      </c>
      <c r="AX318" s="375">
        <v>55338</v>
      </c>
      <c r="AY318" s="375">
        <v>55338</v>
      </c>
      <c r="AZ318" s="375">
        <v>55338</v>
      </c>
      <c r="BA318" s="375">
        <v>55338</v>
      </c>
      <c r="BB318" s="375">
        <v>874707.09</v>
      </c>
      <c r="BC318" s="79">
        <v>77285</v>
      </c>
      <c r="BD318" s="79">
        <v>177053.54</v>
      </c>
      <c r="BE318" s="79">
        <v>-2920.45</v>
      </c>
      <c r="BF318" s="79">
        <v>90495</v>
      </c>
      <c r="BG318" s="79">
        <v>90495</v>
      </c>
      <c r="BH318" s="79">
        <v>99200</v>
      </c>
      <c r="BI318" s="79">
        <v>54165</v>
      </c>
      <c r="BJ318" s="79">
        <v>54165</v>
      </c>
      <c r="BK318" s="79">
        <v>54165</v>
      </c>
      <c r="BL318" s="79">
        <v>54165</v>
      </c>
      <c r="BM318" s="79">
        <v>54165</v>
      </c>
      <c r="BN318" s="79">
        <v>54165</v>
      </c>
      <c r="BO318" s="79">
        <v>856598.09</v>
      </c>
    </row>
    <row r="319" spans="1:67" ht="15" customHeight="1">
      <c r="A319" s="66" t="s">
        <v>2611</v>
      </c>
      <c r="B319" s="66" t="s">
        <v>905</v>
      </c>
      <c r="C319" s="150" t="s">
        <v>1136</v>
      </c>
      <c r="D319" s="150" t="s">
        <v>1345</v>
      </c>
      <c r="E319" s="150" t="s">
        <v>1344</v>
      </c>
      <c r="F319" s="150" t="s">
        <v>1346</v>
      </c>
      <c r="G319" s="511" t="s">
        <v>639</v>
      </c>
      <c r="H319" s="392" t="s">
        <v>1405</v>
      </c>
      <c r="I319" s="343"/>
      <c r="J319" s="343"/>
      <c r="K319" s="70" t="s">
        <v>190</v>
      </c>
      <c r="L319" s="346" t="s">
        <v>1153</v>
      </c>
      <c r="M319" s="346" t="s">
        <v>1406</v>
      </c>
      <c r="N319" s="346"/>
      <c r="O319" s="150" t="s">
        <v>25</v>
      </c>
      <c r="P319" s="150"/>
      <c r="Q319" s="403"/>
      <c r="R319" s="406">
        <v>0</v>
      </c>
      <c r="S319" s="406">
        <v>292.39999999999998</v>
      </c>
      <c r="T319" s="425"/>
      <c r="U319" s="71"/>
      <c r="V319" s="426"/>
      <c r="W319" s="427"/>
      <c r="X319" s="427">
        <v>292.39999999999998</v>
      </c>
      <c r="Y319" s="428">
        <v>0</v>
      </c>
      <c r="Z319" s="429">
        <v>0</v>
      </c>
      <c r="AA319" s="429">
        <v>0</v>
      </c>
      <c r="AB319" s="360">
        <v>0</v>
      </c>
      <c r="AC319" s="360">
        <v>0</v>
      </c>
      <c r="AD319" s="360">
        <v>0</v>
      </c>
      <c r="AE319" s="360">
        <v>0</v>
      </c>
      <c r="AF319" s="360">
        <v>0</v>
      </c>
      <c r="AG319" s="360">
        <v>0</v>
      </c>
      <c r="AH319" s="360">
        <f t="shared" si="18"/>
        <v>292.39999999999998</v>
      </c>
      <c r="AI319" s="362">
        <f>ERP_5[[#This Row],[2026 Working Total]]-ERP_5[[#This Row],[LE2 Final Submission]]</f>
        <v>0</v>
      </c>
      <c r="AJ319" s="79">
        <v>0</v>
      </c>
      <c r="AK319" s="79">
        <f t="shared" si="17"/>
        <v>0</v>
      </c>
      <c r="AL319" s="374">
        <f>SUM(ERP_5[[#This Row],[AP01]:[AP06]])-SUM(ERP_5[[#This Row],[AP01 LE2]:[AP06 LE2]])</f>
        <v>0</v>
      </c>
      <c r="AM319" s="80"/>
      <c r="AN319" s="79">
        <f>ERP_5[[#This Row],[2026 Working Total to Budget/LE]]-ERP_5[[#This Row],[Giveback]]</f>
        <v>0</v>
      </c>
      <c r="AO319" s="81" t="s">
        <v>2612</v>
      </c>
      <c r="AP319" s="375"/>
      <c r="AQ319" s="375"/>
      <c r="AR319" s="375">
        <v>292.39999999999998</v>
      </c>
      <c r="AS319" s="375">
        <v>0</v>
      </c>
      <c r="AT319" s="375">
        <v>0</v>
      </c>
      <c r="AU319" s="375">
        <v>0</v>
      </c>
      <c r="AV319" s="375">
        <v>0</v>
      </c>
      <c r="AW319" s="375">
        <v>0</v>
      </c>
      <c r="AX319" s="375">
        <v>0</v>
      </c>
      <c r="AY319" s="375">
        <v>0</v>
      </c>
      <c r="AZ319" s="375">
        <v>0</v>
      </c>
      <c r="BA319" s="375">
        <v>0</v>
      </c>
      <c r="BB319" s="375">
        <v>292.39999999999998</v>
      </c>
      <c r="BC319" s="79"/>
      <c r="BD319" s="79"/>
      <c r="BE319" s="79">
        <v>292.39999999999998</v>
      </c>
      <c r="BF319" s="79">
        <v>0</v>
      </c>
      <c r="BG319" s="79">
        <v>0</v>
      </c>
      <c r="BH319" s="79">
        <v>0</v>
      </c>
      <c r="BI319" s="79">
        <v>0</v>
      </c>
      <c r="BJ319" s="79">
        <v>0</v>
      </c>
      <c r="BK319" s="79">
        <v>0</v>
      </c>
      <c r="BL319" s="79">
        <v>0</v>
      </c>
      <c r="BM319" s="79">
        <v>0</v>
      </c>
      <c r="BN319" s="79">
        <v>0</v>
      </c>
      <c r="BO319" s="79">
        <v>292.39999999999998</v>
      </c>
    </row>
    <row r="320" spans="1:67" ht="15" customHeight="1">
      <c r="A320" s="66" t="s">
        <v>1559</v>
      </c>
      <c r="B320" s="66" t="s">
        <v>266</v>
      </c>
      <c r="C320" s="150" t="s">
        <v>1136</v>
      </c>
      <c r="D320" s="150" t="s">
        <v>1345</v>
      </c>
      <c r="E320" s="150" t="s">
        <v>1515</v>
      </c>
      <c r="F320" s="150" t="s">
        <v>1346</v>
      </c>
      <c r="G320" s="511" t="s">
        <v>49</v>
      </c>
      <c r="H320" s="392" t="s">
        <v>1560</v>
      </c>
      <c r="I320" s="343"/>
      <c r="J320" s="346" t="s">
        <v>1531</v>
      </c>
      <c r="K320" s="70" t="s">
        <v>267</v>
      </c>
      <c r="L320" s="346"/>
      <c r="M320" s="346" t="s">
        <v>1187</v>
      </c>
      <c r="N320" s="346"/>
      <c r="O320" s="150" t="s">
        <v>25</v>
      </c>
      <c r="P320" s="150" t="s">
        <v>1561</v>
      </c>
      <c r="Q320" s="403"/>
      <c r="R320" s="406">
        <v>325000.08000000007</v>
      </c>
      <c r="S320" s="406">
        <v>378801.32</v>
      </c>
      <c r="T320" s="425"/>
      <c r="U320" s="71"/>
      <c r="V320" s="426">
        <v>43362</v>
      </c>
      <c r="W320" s="427">
        <v>48564.89</v>
      </c>
      <c r="X320" s="427">
        <v>60706.43</v>
      </c>
      <c r="Y320" s="428">
        <v>-38405.19000000001</v>
      </c>
      <c r="Z320" s="429">
        <v>41122.75</v>
      </c>
      <c r="AA320" s="429">
        <v>42728.490000000005</v>
      </c>
      <c r="AB320" s="363">
        <v>29000</v>
      </c>
      <c r="AC320" s="363">
        <v>29000</v>
      </c>
      <c r="AD320" s="363">
        <v>28000</v>
      </c>
      <c r="AE320" s="363">
        <v>28500</v>
      </c>
      <c r="AF320" s="363">
        <v>28500</v>
      </c>
      <c r="AG320" s="363">
        <v>28500</v>
      </c>
      <c r="AH320" s="360">
        <f t="shared" si="18"/>
        <v>369579.37</v>
      </c>
      <c r="AI320" s="362">
        <f>ERP_5[[#This Row],[2026 Working Total]]-ERP_5[[#This Row],[LE2 Final Submission]]</f>
        <v>-9221.9500000000116</v>
      </c>
      <c r="AJ320" s="79">
        <v>11500</v>
      </c>
      <c r="AK320" s="79">
        <f t="shared" si="17"/>
        <v>31228.490000000005</v>
      </c>
      <c r="AL320" s="374">
        <f>SUM(ERP_5[[#This Row],[AP01]:[AP06]])-SUM(ERP_5[[#This Row],[AP01 LE2]:[AP06 LE2]])</f>
        <v>-9221.9500000000116</v>
      </c>
      <c r="AM320" s="80"/>
      <c r="AN320" s="79">
        <f>ERP_5[[#This Row],[2026 Working Total to Budget/LE]]-ERP_5[[#This Row],[Giveback]]</f>
        <v>-9221.9500000000116</v>
      </c>
      <c r="AO320" s="189" t="s">
        <v>1518</v>
      </c>
      <c r="AP320" s="377">
        <v>43362</v>
      </c>
      <c r="AQ320" s="377">
        <v>48564.89</v>
      </c>
      <c r="AR320" s="377">
        <v>60706.43</v>
      </c>
      <c r="AS320" s="377">
        <v>31668</v>
      </c>
      <c r="AT320" s="377">
        <v>11500</v>
      </c>
      <c r="AU320" s="377">
        <v>11500</v>
      </c>
      <c r="AV320" s="377">
        <v>29000</v>
      </c>
      <c r="AW320" s="377">
        <v>29000</v>
      </c>
      <c r="AX320" s="377">
        <v>28000</v>
      </c>
      <c r="AY320" s="377">
        <v>28500</v>
      </c>
      <c r="AZ320" s="377">
        <v>28500</v>
      </c>
      <c r="BA320" s="377">
        <v>28500</v>
      </c>
      <c r="BB320" s="377">
        <v>378801.32</v>
      </c>
      <c r="BC320" s="79">
        <v>43362</v>
      </c>
      <c r="BD320" s="79">
        <v>48564.89</v>
      </c>
      <c r="BE320" s="79">
        <v>60706.43</v>
      </c>
      <c r="BF320" s="79">
        <v>49897</v>
      </c>
      <c r="BG320" s="79">
        <v>49897</v>
      </c>
      <c r="BH320" s="79">
        <v>49897</v>
      </c>
      <c r="BI320" s="79">
        <v>49897</v>
      </c>
      <c r="BJ320" s="79">
        <v>49897</v>
      </c>
      <c r="BK320" s="79">
        <v>49897</v>
      </c>
      <c r="BL320" s="79">
        <v>49897</v>
      </c>
      <c r="BM320" s="79">
        <v>49897</v>
      </c>
      <c r="BN320" s="79">
        <v>49897</v>
      </c>
      <c r="BO320" s="79">
        <v>601706.32000000007</v>
      </c>
    </row>
    <row r="321" spans="1:67" ht="15" customHeight="1">
      <c r="A321" s="66" t="s">
        <v>1409</v>
      </c>
      <c r="B321" s="66" t="s">
        <v>191</v>
      </c>
      <c r="C321" s="150" t="s">
        <v>1136</v>
      </c>
      <c r="D321" s="150" t="s">
        <v>1345</v>
      </c>
      <c r="E321" s="150" t="s">
        <v>1344</v>
      </c>
      <c r="F321" s="150" t="s">
        <v>1346</v>
      </c>
      <c r="G321" s="511" t="s">
        <v>49</v>
      </c>
      <c r="H321" s="392" t="s">
        <v>1410</v>
      </c>
      <c r="I321" s="343"/>
      <c r="J321" s="343"/>
      <c r="K321" s="70" t="s">
        <v>192</v>
      </c>
      <c r="L321" s="346"/>
      <c r="M321" s="343"/>
      <c r="N321" s="346"/>
      <c r="O321" s="150" t="s">
        <v>25</v>
      </c>
      <c r="P321" s="150"/>
      <c r="Q321" s="403"/>
      <c r="R321" s="406">
        <v>513000</v>
      </c>
      <c r="S321" s="406">
        <v>384928.75</v>
      </c>
      <c r="T321" s="430"/>
      <c r="U321" s="137"/>
      <c r="V321" s="426">
        <v>98474.5</v>
      </c>
      <c r="W321" s="427">
        <v>-21757.25</v>
      </c>
      <c r="X321" s="427">
        <v>-81628.5</v>
      </c>
      <c r="Y321" s="428">
        <v>-18382.5</v>
      </c>
      <c r="Z321" s="429">
        <v>0</v>
      </c>
      <c r="AA321" s="429">
        <v>0</v>
      </c>
      <c r="AB321" s="363">
        <v>69140</v>
      </c>
      <c r="AC321" s="363">
        <v>69140</v>
      </c>
      <c r="AD321" s="363">
        <v>69140</v>
      </c>
      <c r="AE321" s="363">
        <v>69140</v>
      </c>
      <c r="AF321" s="363">
        <v>69140</v>
      </c>
      <c r="AG321" s="363">
        <v>62523</v>
      </c>
      <c r="AH321" s="360">
        <f t="shared" si="18"/>
        <v>384929.25</v>
      </c>
      <c r="AI321" s="362">
        <f>ERP_5[[#This Row],[2026 Working Total]]-ERP_5[[#This Row],[LE2 Final Submission]]</f>
        <v>0.5</v>
      </c>
      <c r="AJ321" s="79">
        <v>0</v>
      </c>
      <c r="AK321" s="79">
        <f t="shared" si="17"/>
        <v>0</v>
      </c>
      <c r="AL321" s="374">
        <f>SUM(ERP_5[[#This Row],[AP01]:[AP06]])-SUM(ERP_5[[#This Row],[AP01 LE2]:[AP06 LE2]])</f>
        <v>-18382.5</v>
      </c>
      <c r="AM321" s="80">
        <v>128000</v>
      </c>
      <c r="AN321" s="79">
        <f>ERP_5[[#This Row],[2026 Working Total to Budget/LE]]-ERP_5[[#This Row],[Giveback]]</f>
        <v>-127999.5</v>
      </c>
      <c r="AO321" s="81" t="s">
        <v>1411</v>
      </c>
      <c r="AP321" s="375">
        <v>98474.5</v>
      </c>
      <c r="AQ321" s="375">
        <v>-21757.25</v>
      </c>
      <c r="AR321" s="375">
        <v>-81628.5</v>
      </c>
      <c r="AS321" s="375">
        <v>0</v>
      </c>
      <c r="AT321" s="375">
        <v>0</v>
      </c>
      <c r="AU321" s="375">
        <v>0</v>
      </c>
      <c r="AV321" s="375">
        <v>64140</v>
      </c>
      <c r="AW321" s="375">
        <v>64140</v>
      </c>
      <c r="AX321" s="375">
        <v>64140</v>
      </c>
      <c r="AY321" s="375">
        <v>64140</v>
      </c>
      <c r="AZ321" s="375">
        <v>64140</v>
      </c>
      <c r="BA321" s="375">
        <v>69140</v>
      </c>
      <c r="BB321" s="375">
        <v>384928.75</v>
      </c>
      <c r="BC321" s="79">
        <v>98474.5</v>
      </c>
      <c r="BD321" s="79">
        <v>-21757.25</v>
      </c>
      <c r="BE321" s="79">
        <v>-81628.5</v>
      </c>
      <c r="BF321" s="79">
        <v>7667</v>
      </c>
      <c r="BG321" s="79">
        <v>9667</v>
      </c>
      <c r="BH321" s="79">
        <v>15667</v>
      </c>
      <c r="BI321" s="79">
        <v>70892</v>
      </c>
      <c r="BJ321" s="79">
        <v>65000</v>
      </c>
      <c r="BK321" s="79">
        <v>65000</v>
      </c>
      <c r="BL321" s="79">
        <v>65000</v>
      </c>
      <c r="BM321" s="79">
        <v>65000</v>
      </c>
      <c r="BN321" s="79">
        <v>65000</v>
      </c>
      <c r="BO321" s="79">
        <v>423981.75</v>
      </c>
    </row>
    <row r="322" spans="1:67" ht="15" customHeight="1">
      <c r="A322" s="79" t="s">
        <v>1975</v>
      </c>
      <c r="B322" s="296" t="s">
        <v>503</v>
      </c>
      <c r="C322" s="150" t="s">
        <v>1136</v>
      </c>
      <c r="D322" s="332" t="s">
        <v>1345</v>
      </c>
      <c r="E322" s="383" t="s">
        <v>1344</v>
      </c>
      <c r="F322" s="331" t="s">
        <v>1346</v>
      </c>
      <c r="G322" s="512" t="s">
        <v>389</v>
      </c>
      <c r="H322" s="393" t="s">
        <v>1976</v>
      </c>
      <c r="I322" s="343"/>
      <c r="J322" s="331"/>
      <c r="K322" s="91" t="s">
        <v>504</v>
      </c>
      <c r="L322" s="343"/>
      <c r="M322" s="346" t="s">
        <v>1221</v>
      </c>
      <c r="N322" s="348"/>
      <c r="O322" s="386" t="s">
        <v>25</v>
      </c>
      <c r="P322" s="387" t="s">
        <v>1348</v>
      </c>
      <c r="Q322" s="432"/>
      <c r="R322" s="358">
        <v>12500</v>
      </c>
      <c r="S322" s="378">
        <v>0</v>
      </c>
      <c r="T322" s="425"/>
      <c r="U322" s="71"/>
      <c r="V322" s="433"/>
      <c r="W322" s="434"/>
      <c r="X322" s="434"/>
      <c r="Y322" s="428" t="s">
        <v>1142</v>
      </c>
      <c r="Z322" s="429">
        <v>0</v>
      </c>
      <c r="AA322" s="429">
        <v>0</v>
      </c>
      <c r="AB322" s="388">
        <v>0</v>
      </c>
      <c r="AC322" s="388">
        <v>0</v>
      </c>
      <c r="AD322" s="388">
        <v>0</v>
      </c>
      <c r="AE322" s="388">
        <v>0</v>
      </c>
      <c r="AF322" s="388">
        <v>0</v>
      </c>
      <c r="AG322" s="388">
        <v>0</v>
      </c>
      <c r="AH322" s="360">
        <f t="shared" si="18"/>
        <v>0</v>
      </c>
      <c r="AI322" s="362">
        <f>ERP_5[[#This Row],[2026 Working Total]]-ERP_5[[#This Row],[LE2 Final Submission]]</f>
        <v>0</v>
      </c>
      <c r="AJ322" s="79">
        <v>0</v>
      </c>
      <c r="AK322" s="79">
        <f t="shared" si="17"/>
        <v>0</v>
      </c>
      <c r="AL322" s="374">
        <f>SUM(ERP_5[[#This Row],[AP01]:[AP06]])-SUM(ERP_5[[#This Row],[AP01 LE2]:[AP06 LE2]])</f>
        <v>0</v>
      </c>
      <c r="AM322" s="80"/>
      <c r="AN322" s="79">
        <f>ERP_5[[#This Row],[2026 Working Total to Budget/LE]]-ERP_5[[#This Row],[Giveback]]</f>
        <v>0</v>
      </c>
      <c r="AO322" s="81"/>
      <c r="AP322" s="375"/>
      <c r="AQ322" s="375"/>
      <c r="AR322" s="375"/>
      <c r="AS322" s="375">
        <v>0</v>
      </c>
      <c r="AT322" s="375">
        <v>0</v>
      </c>
      <c r="AU322" s="375">
        <v>0</v>
      </c>
      <c r="AV322" s="375">
        <v>0</v>
      </c>
      <c r="AW322" s="375">
        <v>0</v>
      </c>
      <c r="AX322" s="375">
        <v>0</v>
      </c>
      <c r="AY322" s="375">
        <v>0</v>
      </c>
      <c r="AZ322" s="375">
        <v>0</v>
      </c>
      <c r="BA322" s="375">
        <v>0</v>
      </c>
      <c r="BB322" s="375">
        <v>0</v>
      </c>
      <c r="BC322" s="103">
        <v>0</v>
      </c>
      <c r="BD322" s="103">
        <v>0</v>
      </c>
      <c r="BE322" s="103">
        <v>12500</v>
      </c>
      <c r="BF322" s="103">
        <v>0</v>
      </c>
      <c r="BG322" s="103">
        <v>0</v>
      </c>
      <c r="BH322" s="103">
        <v>0</v>
      </c>
      <c r="BI322" s="103">
        <v>0</v>
      </c>
      <c r="BJ322" s="103">
        <v>0</v>
      </c>
      <c r="BK322" s="103">
        <v>0</v>
      </c>
      <c r="BL322" s="103">
        <v>0</v>
      </c>
      <c r="BM322" s="103">
        <v>0</v>
      </c>
      <c r="BN322" s="103">
        <v>0</v>
      </c>
      <c r="BO322" s="79">
        <f>SUM(ERP_5[[#This Row],[2026 AP01]:[2026 AP12]])</f>
        <v>12500</v>
      </c>
    </row>
    <row r="323" spans="1:67" ht="15" customHeight="1">
      <c r="A323" s="79" t="s">
        <v>1977</v>
      </c>
      <c r="B323" s="296" t="s">
        <v>505</v>
      </c>
      <c r="C323" s="150" t="s">
        <v>1136</v>
      </c>
      <c r="D323" s="332" t="s">
        <v>1345</v>
      </c>
      <c r="E323" s="383" t="s">
        <v>1344</v>
      </c>
      <c r="F323" s="331" t="s">
        <v>1346</v>
      </c>
      <c r="G323" s="512" t="s">
        <v>389</v>
      </c>
      <c r="H323" s="393" t="s">
        <v>1976</v>
      </c>
      <c r="I323" s="343"/>
      <c r="J323" s="331"/>
      <c r="K323" s="91" t="s">
        <v>506</v>
      </c>
      <c r="L323" s="343"/>
      <c r="M323" s="343"/>
      <c r="N323" s="348"/>
      <c r="O323" s="386" t="s">
        <v>25</v>
      </c>
      <c r="P323" s="387" t="s">
        <v>1348</v>
      </c>
      <c r="Q323" s="432"/>
      <c r="R323" s="358">
        <v>-12500</v>
      </c>
      <c r="S323" s="378">
        <v>0</v>
      </c>
      <c r="T323" s="425"/>
      <c r="U323" s="71"/>
      <c r="V323" s="433"/>
      <c r="W323" s="434"/>
      <c r="X323" s="434"/>
      <c r="Y323" s="428" t="s">
        <v>1142</v>
      </c>
      <c r="Z323" s="429">
        <v>0</v>
      </c>
      <c r="AA323" s="429">
        <v>0</v>
      </c>
      <c r="AB323" s="388">
        <v>0</v>
      </c>
      <c r="AC323" s="388">
        <v>0</v>
      </c>
      <c r="AD323" s="388">
        <v>0</v>
      </c>
      <c r="AE323" s="388">
        <v>0</v>
      </c>
      <c r="AF323" s="388">
        <v>0</v>
      </c>
      <c r="AG323" s="388">
        <v>0</v>
      </c>
      <c r="AH323" s="360">
        <f t="shared" si="18"/>
        <v>0</v>
      </c>
      <c r="AI323" s="362">
        <f>ERP_5[[#This Row],[2026 Working Total]]-ERP_5[[#This Row],[LE2 Final Submission]]</f>
        <v>0</v>
      </c>
      <c r="AJ323" s="79">
        <v>0</v>
      </c>
      <c r="AK323" s="79">
        <f t="shared" si="17"/>
        <v>0</v>
      </c>
      <c r="AL323" s="374">
        <f>SUM(ERP_5[[#This Row],[AP01]:[AP06]])-SUM(ERP_5[[#This Row],[AP01 LE2]:[AP06 LE2]])</f>
        <v>0</v>
      </c>
      <c r="AM323" s="80"/>
      <c r="AN323" s="79">
        <f>ERP_5[[#This Row],[2026 Working Total to Budget/LE]]-ERP_5[[#This Row],[Giveback]]</f>
        <v>0</v>
      </c>
      <c r="AO323" s="81"/>
      <c r="AP323" s="375"/>
      <c r="AQ323" s="375"/>
      <c r="AR323" s="375"/>
      <c r="AS323" s="375">
        <v>0</v>
      </c>
      <c r="AT323" s="375">
        <v>0</v>
      </c>
      <c r="AU323" s="375">
        <v>0</v>
      </c>
      <c r="AV323" s="375">
        <v>0</v>
      </c>
      <c r="AW323" s="375">
        <v>0</v>
      </c>
      <c r="AX323" s="375">
        <v>0</v>
      </c>
      <c r="AY323" s="375">
        <v>0</v>
      </c>
      <c r="AZ323" s="375">
        <v>0</v>
      </c>
      <c r="BA323" s="375">
        <v>0</v>
      </c>
      <c r="BB323" s="375">
        <v>0</v>
      </c>
      <c r="BC323" s="103">
        <v>0</v>
      </c>
      <c r="BD323" s="103">
        <v>0</v>
      </c>
      <c r="BE323" s="103">
        <v>-12500</v>
      </c>
      <c r="BF323" s="103">
        <v>0</v>
      </c>
      <c r="BG323" s="103">
        <v>0</v>
      </c>
      <c r="BH323" s="103">
        <v>0</v>
      </c>
      <c r="BI323" s="103">
        <v>0</v>
      </c>
      <c r="BJ323" s="103">
        <v>0</v>
      </c>
      <c r="BK323" s="103">
        <v>0</v>
      </c>
      <c r="BL323" s="103">
        <v>0</v>
      </c>
      <c r="BM323" s="103">
        <v>0</v>
      </c>
      <c r="BN323" s="103">
        <v>0</v>
      </c>
      <c r="BO323" s="79">
        <f>SUM(ERP_5[[#This Row],[2026 AP01]:[2026 AP12]])</f>
        <v>-12500</v>
      </c>
    </row>
    <row r="324" spans="1:67" ht="15" customHeight="1">
      <c r="A324" s="66" t="s">
        <v>1980</v>
      </c>
      <c r="B324" s="66" t="s">
        <v>1981</v>
      </c>
      <c r="C324" s="150" t="s">
        <v>1136</v>
      </c>
      <c r="D324" s="150" t="s">
        <v>1345</v>
      </c>
      <c r="E324" s="150" t="s">
        <v>1346</v>
      </c>
      <c r="F324" s="150" t="s">
        <v>1346</v>
      </c>
      <c r="G324" s="511" t="s">
        <v>389</v>
      </c>
      <c r="H324" s="392" t="s">
        <v>1979</v>
      </c>
      <c r="I324" s="343"/>
      <c r="J324" s="343"/>
      <c r="K324" s="70" t="s">
        <v>508</v>
      </c>
      <c r="L324" s="346"/>
      <c r="M324" s="343"/>
      <c r="N324" s="346"/>
      <c r="O324" s="150" t="s">
        <v>432</v>
      </c>
      <c r="P324" s="150"/>
      <c r="Q324" s="403"/>
      <c r="R324" s="406">
        <v>0</v>
      </c>
      <c r="S324" s="406">
        <v>3866.47</v>
      </c>
      <c r="T324" s="425"/>
      <c r="U324" s="71"/>
      <c r="V324" s="426">
        <v>387.61</v>
      </c>
      <c r="W324" s="427">
        <v>1445.99</v>
      </c>
      <c r="X324" s="427">
        <v>2032.87</v>
      </c>
      <c r="Y324" s="428">
        <v>1085.24</v>
      </c>
      <c r="Z324" s="429">
        <v>866.11</v>
      </c>
      <c r="AA324" s="429">
        <v>938.15</v>
      </c>
      <c r="AB324" s="360">
        <v>0</v>
      </c>
      <c r="AC324" s="360">
        <v>0</v>
      </c>
      <c r="AD324" s="360">
        <v>0</v>
      </c>
      <c r="AE324" s="360">
        <v>0</v>
      </c>
      <c r="AF324" s="360">
        <v>0</v>
      </c>
      <c r="AG324" s="360">
        <v>0</v>
      </c>
      <c r="AH324" s="360">
        <f t="shared" si="18"/>
        <v>6755.9699999999993</v>
      </c>
      <c r="AI324" s="362">
        <f>ERP_5[[#This Row],[2026 Working Total]]-ERP_5[[#This Row],[LE2 Final Submission]]</f>
        <v>2889.4999999999995</v>
      </c>
      <c r="AJ324" s="79">
        <v>0</v>
      </c>
      <c r="AK324" s="79">
        <f t="shared" si="17"/>
        <v>938.15</v>
      </c>
      <c r="AL324" s="374">
        <f>SUM(ERP_5[[#This Row],[AP01]:[AP06]])-SUM(ERP_5[[#This Row],[AP01 LE2]:[AP06 LE2]])</f>
        <v>2889.4999999999995</v>
      </c>
      <c r="AM324" s="80"/>
      <c r="AN324" s="79">
        <f>ERP_5[[#This Row],[2026 Working Total to Budget/LE]]-ERP_5[[#This Row],[Giveback]]</f>
        <v>2889.4999999999995</v>
      </c>
      <c r="AO324" s="81"/>
      <c r="AP324" s="375">
        <v>387.61</v>
      </c>
      <c r="AQ324" s="375">
        <v>1445.99</v>
      </c>
      <c r="AR324" s="375">
        <v>2032.87</v>
      </c>
      <c r="AS324" s="375">
        <v>0</v>
      </c>
      <c r="AT324" s="375">
        <v>0</v>
      </c>
      <c r="AU324" s="375">
        <v>0</v>
      </c>
      <c r="AV324" s="375">
        <v>0</v>
      </c>
      <c r="AW324" s="375">
        <v>0</v>
      </c>
      <c r="AX324" s="375">
        <v>0</v>
      </c>
      <c r="AY324" s="375">
        <v>0</v>
      </c>
      <c r="AZ324" s="375">
        <v>0</v>
      </c>
      <c r="BA324" s="375">
        <v>0</v>
      </c>
      <c r="BB324" s="375">
        <v>3866.47</v>
      </c>
      <c r="BC324" s="79">
        <v>387.61</v>
      </c>
      <c r="BD324" s="79">
        <v>1445.99</v>
      </c>
      <c r="BE324" s="79">
        <v>2032.87</v>
      </c>
      <c r="BF324" s="79">
        <v>0</v>
      </c>
      <c r="BG324" s="79">
        <v>0</v>
      </c>
      <c r="BH324" s="79">
        <v>0</v>
      </c>
      <c r="BI324" s="79">
        <v>0</v>
      </c>
      <c r="BJ324" s="79">
        <v>0</v>
      </c>
      <c r="BK324" s="79">
        <v>0</v>
      </c>
      <c r="BL324" s="79">
        <v>0</v>
      </c>
      <c r="BM324" s="79">
        <v>0</v>
      </c>
      <c r="BN324" s="79">
        <v>0</v>
      </c>
      <c r="BO324" s="79">
        <v>3866.47</v>
      </c>
    </row>
    <row r="325" spans="1:67" ht="15" customHeight="1">
      <c r="A325" s="66" t="s">
        <v>1978</v>
      </c>
      <c r="B325" s="66" t="s">
        <v>507</v>
      </c>
      <c r="C325" s="150" t="s">
        <v>1136</v>
      </c>
      <c r="D325" s="150" t="s">
        <v>1345</v>
      </c>
      <c r="E325" s="150" t="s">
        <v>1344</v>
      </c>
      <c r="F325" s="150" t="s">
        <v>1346</v>
      </c>
      <c r="G325" s="511" t="s">
        <v>389</v>
      </c>
      <c r="H325" s="392" t="s">
        <v>1979</v>
      </c>
      <c r="I325" s="343"/>
      <c r="J325" s="343"/>
      <c r="K325" s="70" t="s">
        <v>508</v>
      </c>
      <c r="L325" s="346"/>
      <c r="M325" s="343"/>
      <c r="N325" s="346"/>
      <c r="O325" s="150" t="s">
        <v>432</v>
      </c>
      <c r="P325" s="150"/>
      <c r="Q325" s="403"/>
      <c r="R325" s="406">
        <v>14400</v>
      </c>
      <c r="S325" s="406">
        <v>10800</v>
      </c>
      <c r="T325" s="430"/>
      <c r="U325" s="137"/>
      <c r="V325" s="426"/>
      <c r="W325" s="427"/>
      <c r="X325" s="427"/>
      <c r="Y325" s="428" t="s">
        <v>1142</v>
      </c>
      <c r="Z325" s="429">
        <v>0</v>
      </c>
      <c r="AA325" s="429">
        <v>0</v>
      </c>
      <c r="AB325" s="363">
        <v>1200</v>
      </c>
      <c r="AC325" s="363">
        <v>1200</v>
      </c>
      <c r="AD325" s="363">
        <v>1200</v>
      </c>
      <c r="AE325" s="363">
        <v>1200</v>
      </c>
      <c r="AF325" s="363">
        <v>1200</v>
      </c>
      <c r="AG325" s="363">
        <v>1200</v>
      </c>
      <c r="AH325" s="360">
        <f t="shared" si="18"/>
        <v>7200</v>
      </c>
      <c r="AI325" s="362">
        <f>ERP_5[[#This Row],[2026 Working Total]]-ERP_5[[#This Row],[LE2 Final Submission]]</f>
        <v>-3600</v>
      </c>
      <c r="AJ325" s="79">
        <v>1200</v>
      </c>
      <c r="AK325" s="79">
        <f t="shared" si="17"/>
        <v>-1200</v>
      </c>
      <c r="AL325" s="374">
        <f>SUM(ERP_5[[#This Row],[AP01]:[AP06]])-SUM(ERP_5[[#This Row],[AP01 LE2]:[AP06 LE2]])</f>
        <v>-3600</v>
      </c>
      <c r="AM325" s="80"/>
      <c r="AN325" s="79">
        <f>ERP_5[[#This Row],[2026 Working Total to Budget/LE]]-ERP_5[[#This Row],[Giveback]]</f>
        <v>-3600</v>
      </c>
      <c r="AO325" s="81"/>
      <c r="AP325" s="375"/>
      <c r="AQ325" s="375"/>
      <c r="AR325" s="375"/>
      <c r="AS325" s="375">
        <v>1200</v>
      </c>
      <c r="AT325" s="375">
        <v>1200</v>
      </c>
      <c r="AU325" s="375">
        <v>1200</v>
      </c>
      <c r="AV325" s="375">
        <v>1200</v>
      </c>
      <c r="AW325" s="375">
        <v>1200</v>
      </c>
      <c r="AX325" s="375">
        <v>1200</v>
      </c>
      <c r="AY325" s="375">
        <v>1200</v>
      </c>
      <c r="AZ325" s="375">
        <v>1200</v>
      </c>
      <c r="BA325" s="375">
        <v>1200</v>
      </c>
      <c r="BB325" s="375">
        <v>10800</v>
      </c>
      <c r="BC325" s="79"/>
      <c r="BD325" s="79"/>
      <c r="BE325" s="79"/>
      <c r="BF325" s="79">
        <v>1200</v>
      </c>
      <c r="BG325" s="79">
        <v>1200</v>
      </c>
      <c r="BH325" s="79">
        <v>1200</v>
      </c>
      <c r="BI325" s="79">
        <v>1200</v>
      </c>
      <c r="BJ325" s="79">
        <v>1200</v>
      </c>
      <c r="BK325" s="79">
        <v>1200</v>
      </c>
      <c r="BL325" s="79">
        <v>1200</v>
      </c>
      <c r="BM325" s="79">
        <v>1200</v>
      </c>
      <c r="BN325" s="79">
        <v>1200</v>
      </c>
      <c r="BO325" s="79">
        <v>10800</v>
      </c>
    </row>
    <row r="326" spans="1:67" ht="15" customHeight="1">
      <c r="A326" s="66" t="s">
        <v>1984</v>
      </c>
      <c r="B326" s="66" t="s">
        <v>509</v>
      </c>
      <c r="C326" s="150" t="s">
        <v>1136</v>
      </c>
      <c r="D326" s="150" t="s">
        <v>1345</v>
      </c>
      <c r="E326" s="150" t="s">
        <v>1344</v>
      </c>
      <c r="F326" s="150" t="s">
        <v>1346</v>
      </c>
      <c r="G326" s="511" t="s">
        <v>389</v>
      </c>
      <c r="H326" s="392" t="s">
        <v>1985</v>
      </c>
      <c r="I326" s="343"/>
      <c r="J326" s="343"/>
      <c r="K326" s="70" t="s">
        <v>510</v>
      </c>
      <c r="L326" s="346"/>
      <c r="M326" s="343"/>
      <c r="N326" s="346"/>
      <c r="O326" s="150" t="s">
        <v>432</v>
      </c>
      <c r="P326" s="150"/>
      <c r="Q326" s="403"/>
      <c r="R326" s="406">
        <v>3000</v>
      </c>
      <c r="S326" s="406">
        <v>2250</v>
      </c>
      <c r="T326" s="425"/>
      <c r="U326" s="71"/>
      <c r="V326" s="426"/>
      <c r="W326" s="427"/>
      <c r="X326" s="427"/>
      <c r="Y326" s="428" t="s">
        <v>1142</v>
      </c>
      <c r="Z326" s="429">
        <v>0</v>
      </c>
      <c r="AA326" s="429">
        <v>0</v>
      </c>
      <c r="AB326" s="363">
        <v>250</v>
      </c>
      <c r="AC326" s="363">
        <v>250</v>
      </c>
      <c r="AD326" s="363">
        <v>250</v>
      </c>
      <c r="AE326" s="363">
        <v>250</v>
      </c>
      <c r="AF326" s="363">
        <v>250</v>
      </c>
      <c r="AG326" s="363">
        <v>250</v>
      </c>
      <c r="AH326" s="360">
        <f t="shared" si="18"/>
        <v>1500</v>
      </c>
      <c r="AI326" s="362">
        <f>ERP_5[[#This Row],[2026 Working Total]]-ERP_5[[#This Row],[LE2 Final Submission]]</f>
        <v>-750</v>
      </c>
      <c r="AJ326" s="79">
        <v>250</v>
      </c>
      <c r="AK326" s="79">
        <f t="shared" si="17"/>
        <v>-250</v>
      </c>
      <c r="AL326" s="374">
        <f>SUM(ERP_5[[#This Row],[AP01]:[AP06]])-SUM(ERP_5[[#This Row],[AP01 LE2]:[AP06 LE2]])</f>
        <v>-750</v>
      </c>
      <c r="AM326" s="80"/>
      <c r="AN326" s="79">
        <f>ERP_5[[#This Row],[2026 Working Total to Budget/LE]]-ERP_5[[#This Row],[Giveback]]</f>
        <v>-750</v>
      </c>
      <c r="AO326" s="81"/>
      <c r="AP326" s="375"/>
      <c r="AQ326" s="375"/>
      <c r="AR326" s="375"/>
      <c r="AS326" s="375">
        <v>250</v>
      </c>
      <c r="AT326" s="375">
        <v>250</v>
      </c>
      <c r="AU326" s="375">
        <v>250</v>
      </c>
      <c r="AV326" s="375">
        <v>250</v>
      </c>
      <c r="AW326" s="375">
        <v>250</v>
      </c>
      <c r="AX326" s="375">
        <v>250</v>
      </c>
      <c r="AY326" s="375">
        <v>250</v>
      </c>
      <c r="AZ326" s="375">
        <v>250</v>
      </c>
      <c r="BA326" s="375">
        <v>250</v>
      </c>
      <c r="BB326" s="375">
        <v>2250</v>
      </c>
      <c r="BC326" s="79"/>
      <c r="BD326" s="79"/>
      <c r="BE326" s="79"/>
      <c r="BF326" s="79">
        <v>250</v>
      </c>
      <c r="BG326" s="79">
        <v>250</v>
      </c>
      <c r="BH326" s="79">
        <v>250</v>
      </c>
      <c r="BI326" s="79">
        <v>250</v>
      </c>
      <c r="BJ326" s="79">
        <v>250</v>
      </c>
      <c r="BK326" s="79">
        <v>250</v>
      </c>
      <c r="BL326" s="79">
        <v>250</v>
      </c>
      <c r="BM326" s="79">
        <v>250</v>
      </c>
      <c r="BN326" s="79">
        <v>250</v>
      </c>
      <c r="BO326" s="79">
        <v>2250</v>
      </c>
    </row>
    <row r="327" spans="1:67" ht="15" customHeight="1">
      <c r="A327" s="66" t="s">
        <v>1297</v>
      </c>
      <c r="B327" s="66" t="s">
        <v>1298</v>
      </c>
      <c r="C327" s="150" t="s">
        <v>1136</v>
      </c>
      <c r="D327" s="150" t="s">
        <v>1135</v>
      </c>
      <c r="E327" s="150" t="s">
        <v>1156</v>
      </c>
      <c r="F327" s="150" t="s">
        <v>1137</v>
      </c>
      <c r="G327" s="511" t="s">
        <v>49</v>
      </c>
      <c r="H327" s="392" t="s">
        <v>1299</v>
      </c>
      <c r="I327" s="343"/>
      <c r="J327" s="343">
        <v>2321511</v>
      </c>
      <c r="K327" s="70" t="s">
        <v>135</v>
      </c>
      <c r="L327" s="346"/>
      <c r="M327" s="522" t="s">
        <v>1300</v>
      </c>
      <c r="N327" s="346"/>
      <c r="O327" s="150" t="s">
        <v>25</v>
      </c>
      <c r="P327" s="184" t="s">
        <v>1301</v>
      </c>
      <c r="Q327" s="403"/>
      <c r="R327" s="406">
        <v>499304.03999999986</v>
      </c>
      <c r="S327" s="406">
        <v>502636.17</v>
      </c>
      <c r="T327" s="425"/>
      <c r="U327" s="71"/>
      <c r="V327" s="426">
        <v>30113.96</v>
      </c>
      <c r="W327" s="427">
        <v>19240.66</v>
      </c>
      <c r="X327" s="427">
        <v>44681.55</v>
      </c>
      <c r="Y327" s="428">
        <v>28059.239999999998</v>
      </c>
      <c r="Z327" s="429">
        <v>37177.21</v>
      </c>
      <c r="AA327" s="429">
        <v>-26229.880000000005</v>
      </c>
      <c r="AB327" s="363">
        <v>11200</v>
      </c>
      <c r="AC327" s="363">
        <v>14000</v>
      </c>
      <c r="AD327" s="363">
        <v>11200</v>
      </c>
      <c r="AE327" s="363">
        <v>14000</v>
      </c>
      <c r="AF327" s="363">
        <v>11200</v>
      </c>
      <c r="AG327" s="363">
        <v>12000</v>
      </c>
      <c r="AH327" s="360">
        <f t="shared" si="18"/>
        <v>206642.74</v>
      </c>
      <c r="AI327" s="362">
        <f>ERP_5[[#This Row],[2026 Working Total]]-ERP_5[[#This Row],[LE2 Final Submission]]</f>
        <v>-295993.43</v>
      </c>
      <c r="AJ327" s="79">
        <v>90000</v>
      </c>
      <c r="AK327" s="79">
        <f t="shared" si="17"/>
        <v>-116229.88</v>
      </c>
      <c r="AL327" s="374">
        <f>SUM(ERP_5[[#This Row],[AP01]:[AP06]])-SUM(ERP_5[[#This Row],[AP01 LE2]:[AP06 LE2]])</f>
        <v>-134993.43</v>
      </c>
      <c r="AM327" s="80"/>
      <c r="AN327" s="79">
        <f>ERP_5[[#This Row],[2026 Working Total to Budget/LE]]-ERP_5[[#This Row],[Giveback]]</f>
        <v>-295993.43</v>
      </c>
      <c r="AO327" s="81"/>
      <c r="AP327" s="375">
        <v>30113.96</v>
      </c>
      <c r="AQ327" s="375">
        <v>19240.66</v>
      </c>
      <c r="AR327" s="375">
        <v>44681.55</v>
      </c>
      <c r="AS327" s="375">
        <v>40000</v>
      </c>
      <c r="AT327" s="375">
        <v>90000</v>
      </c>
      <c r="AU327" s="375">
        <v>44000</v>
      </c>
      <c r="AV327" s="375">
        <v>35600</v>
      </c>
      <c r="AW327" s="375">
        <v>44000</v>
      </c>
      <c r="AX327" s="375">
        <v>36000</v>
      </c>
      <c r="AY327" s="375">
        <v>40000</v>
      </c>
      <c r="AZ327" s="375">
        <v>36000</v>
      </c>
      <c r="BA327" s="375">
        <v>43000</v>
      </c>
      <c r="BB327" s="375">
        <v>502636.17</v>
      </c>
      <c r="BC327" s="79">
        <v>30113.96</v>
      </c>
      <c r="BD327" s="79">
        <v>19240.66</v>
      </c>
      <c r="BE327" s="79">
        <v>44681.55</v>
      </c>
      <c r="BF327" s="79">
        <v>44995</v>
      </c>
      <c r="BG327" s="79">
        <v>44995</v>
      </c>
      <c r="BH327" s="79">
        <v>44995</v>
      </c>
      <c r="BI327" s="79">
        <v>44995</v>
      </c>
      <c r="BJ327" s="79">
        <v>44995</v>
      </c>
      <c r="BK327" s="79">
        <v>44995</v>
      </c>
      <c r="BL327" s="79">
        <v>44995</v>
      </c>
      <c r="BM327" s="79">
        <v>44995</v>
      </c>
      <c r="BN327" s="79">
        <v>44995</v>
      </c>
      <c r="BO327" s="79">
        <v>498991.17</v>
      </c>
    </row>
    <row r="328" spans="1:67" ht="15" customHeight="1">
      <c r="A328" s="66" t="s">
        <v>2058</v>
      </c>
      <c r="B328" s="66" t="s">
        <v>552</v>
      </c>
      <c r="C328" s="150" t="s">
        <v>1136</v>
      </c>
      <c r="D328" s="150" t="s">
        <v>1345</v>
      </c>
      <c r="E328" s="150" t="s">
        <v>1480</v>
      </c>
      <c r="F328" s="150" t="s">
        <v>1346</v>
      </c>
      <c r="G328" s="511" t="s">
        <v>389</v>
      </c>
      <c r="H328" s="392" t="s">
        <v>2020</v>
      </c>
      <c r="I328" s="343"/>
      <c r="J328" s="343"/>
      <c r="K328" s="70" t="s">
        <v>530</v>
      </c>
      <c r="L328" s="346"/>
      <c r="M328" s="343"/>
      <c r="N328" s="346"/>
      <c r="O328" s="150" t="s">
        <v>531</v>
      </c>
      <c r="P328" s="346" t="s">
        <v>2021</v>
      </c>
      <c r="Q328" s="403"/>
      <c r="R328" s="406">
        <v>26000</v>
      </c>
      <c r="S328" s="406">
        <v>0</v>
      </c>
      <c r="T328" s="425"/>
      <c r="U328" s="71"/>
      <c r="V328" s="426"/>
      <c r="W328" s="427"/>
      <c r="X328" s="427"/>
      <c r="Y328" s="428" t="s">
        <v>1142</v>
      </c>
      <c r="Z328" s="429">
        <v>0</v>
      </c>
      <c r="AA328" s="429">
        <v>0</v>
      </c>
      <c r="AB328" s="360">
        <v>0</v>
      </c>
      <c r="AC328" s="360">
        <v>0</v>
      </c>
      <c r="AD328" s="360">
        <v>0</v>
      </c>
      <c r="AE328" s="363">
        <f>13000-13000</f>
        <v>0</v>
      </c>
      <c r="AF328" s="360">
        <v>0</v>
      </c>
      <c r="AG328" s="360">
        <v>0</v>
      </c>
      <c r="AH328" s="360">
        <f t="shared" si="18"/>
        <v>0</v>
      </c>
      <c r="AI328" s="362">
        <f>ERP_5[[#This Row],[2026 Working Total]]-ERP_5[[#This Row],[LE2 Final Submission]]</f>
        <v>0</v>
      </c>
      <c r="AJ328" s="79">
        <v>0</v>
      </c>
      <c r="AK328" s="79">
        <f t="shared" ref="AK328:AK391" si="20">$AA328 - $AJ328</f>
        <v>0</v>
      </c>
      <c r="AL328" s="374">
        <f>SUM(ERP_5[[#This Row],[AP01]:[AP06]])-SUM(ERP_5[[#This Row],[AP01 LE2]:[AP06 LE2]])</f>
        <v>0</v>
      </c>
      <c r="AM328" s="80"/>
      <c r="AN328" s="79">
        <f>ERP_5[[#This Row],[2026 Working Total to Budget/LE]]-ERP_5[[#This Row],[Giveback]]</f>
        <v>0</v>
      </c>
      <c r="AO328" s="81"/>
      <c r="AP328" s="375"/>
      <c r="AQ328" s="375"/>
      <c r="AR328" s="375"/>
      <c r="AS328" s="375"/>
      <c r="AT328" s="375">
        <v>0</v>
      </c>
      <c r="AU328" s="375">
        <v>0</v>
      </c>
      <c r="AV328" s="375">
        <v>0</v>
      </c>
      <c r="AW328" s="375">
        <v>0</v>
      </c>
      <c r="AX328" s="375">
        <v>0</v>
      </c>
      <c r="AY328" s="375">
        <v>0</v>
      </c>
      <c r="AZ328" s="375">
        <v>0</v>
      </c>
      <c r="BA328" s="375">
        <v>0</v>
      </c>
      <c r="BB328" s="375">
        <v>0</v>
      </c>
      <c r="BC328" s="79"/>
      <c r="BD328" s="79"/>
      <c r="BE328" s="79"/>
      <c r="BF328" s="79"/>
      <c r="BG328" s="79">
        <v>13000</v>
      </c>
      <c r="BH328" s="79">
        <v>0</v>
      </c>
      <c r="BI328" s="79">
        <v>0</v>
      </c>
      <c r="BJ328" s="79">
        <v>0</v>
      </c>
      <c r="BK328" s="79">
        <v>0</v>
      </c>
      <c r="BL328" s="79">
        <v>13000</v>
      </c>
      <c r="BM328" s="79">
        <v>0</v>
      </c>
      <c r="BN328" s="79">
        <v>0</v>
      </c>
      <c r="BO328" s="79">
        <v>26000</v>
      </c>
    </row>
    <row r="329" spans="1:67" ht="15" customHeight="1">
      <c r="A329" s="79" t="s">
        <v>2019</v>
      </c>
      <c r="B329" s="66" t="s">
        <v>529</v>
      </c>
      <c r="C329" s="150" t="s">
        <v>1136</v>
      </c>
      <c r="D329" s="150" t="s">
        <v>1345</v>
      </c>
      <c r="E329" s="150" t="s">
        <v>1345</v>
      </c>
      <c r="F329" s="150" t="s">
        <v>1345</v>
      </c>
      <c r="G329" s="511" t="s">
        <v>389</v>
      </c>
      <c r="H329" s="392" t="s">
        <v>2020</v>
      </c>
      <c r="I329" s="343"/>
      <c r="J329" s="331"/>
      <c r="K329" s="70" t="s">
        <v>530</v>
      </c>
      <c r="L329" s="343"/>
      <c r="M329" s="343"/>
      <c r="N329" s="346"/>
      <c r="O329" s="150" t="s">
        <v>531</v>
      </c>
      <c r="P329" s="346" t="s">
        <v>2021</v>
      </c>
      <c r="Q329" s="405"/>
      <c r="R329" s="359"/>
      <c r="S329" s="380">
        <v>26000</v>
      </c>
      <c r="T329" s="425"/>
      <c r="U329" s="71"/>
      <c r="V329" s="426"/>
      <c r="W329" s="427"/>
      <c r="X329" s="427"/>
      <c r="Y329" s="428" t="s">
        <v>1142</v>
      </c>
      <c r="Z329" s="429">
        <v>0</v>
      </c>
      <c r="AA329" s="429">
        <v>0</v>
      </c>
      <c r="AB329" s="364"/>
      <c r="AC329" s="364"/>
      <c r="AD329" s="364"/>
      <c r="AE329" s="364">
        <v>13000</v>
      </c>
      <c r="AF329" s="364"/>
      <c r="AG329" s="364"/>
      <c r="AH329" s="360">
        <f t="shared" si="18"/>
        <v>13000</v>
      </c>
      <c r="AI329" s="362">
        <f>ERP_5[[#This Row],[2026 Working Total]]-ERP_5[[#This Row],[LE2 Final Submission]]</f>
        <v>-13000</v>
      </c>
      <c r="AJ329" s="79">
        <v>13000</v>
      </c>
      <c r="AK329" s="79">
        <f t="shared" si="20"/>
        <v>-13000</v>
      </c>
      <c r="AL329" s="374">
        <f>SUM(ERP_5[[#This Row],[AP01]:[AP06]])-SUM(ERP_5[[#This Row],[AP01 LE2]:[AP06 LE2]])</f>
        <v>-13000</v>
      </c>
      <c r="AM329" s="80"/>
      <c r="AN329" s="79"/>
      <c r="AO329" s="81"/>
      <c r="AP329" s="375"/>
      <c r="AQ329" s="375"/>
      <c r="AR329" s="375"/>
      <c r="AS329" s="375"/>
      <c r="AT329" s="375">
        <v>13000</v>
      </c>
      <c r="AU329" s="375"/>
      <c r="AV329" s="375"/>
      <c r="AW329" s="375"/>
      <c r="AX329" s="375"/>
      <c r="AY329" s="375">
        <v>13000</v>
      </c>
      <c r="AZ329" s="375"/>
      <c r="BA329" s="375"/>
      <c r="BB329" s="375">
        <v>26000</v>
      </c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</row>
    <row r="330" spans="1:67" ht="15" customHeight="1">
      <c r="A330" s="66" t="s">
        <v>1302</v>
      </c>
      <c r="B330" s="66" t="s">
        <v>1303</v>
      </c>
      <c r="C330" s="150" t="s">
        <v>1136</v>
      </c>
      <c r="D330" s="150" t="s">
        <v>1135</v>
      </c>
      <c r="E330" s="150" t="s">
        <v>1156</v>
      </c>
      <c r="F330" s="150" t="s">
        <v>1137</v>
      </c>
      <c r="G330" s="511" t="s">
        <v>49</v>
      </c>
      <c r="H330" s="392" t="s">
        <v>1304</v>
      </c>
      <c r="I330" s="343"/>
      <c r="J330" s="343">
        <v>2321511</v>
      </c>
      <c r="K330" s="70" t="s">
        <v>137</v>
      </c>
      <c r="L330" s="346"/>
      <c r="M330" s="343"/>
      <c r="N330" s="346"/>
      <c r="O330" s="150" t="s">
        <v>25</v>
      </c>
      <c r="P330" s="150"/>
      <c r="Q330" s="403"/>
      <c r="R330" s="406">
        <v>216000</v>
      </c>
      <c r="S330" s="406">
        <v>178669.02</v>
      </c>
      <c r="T330" s="425"/>
      <c r="U330" s="71"/>
      <c r="V330" s="426">
        <v>13712.98</v>
      </c>
      <c r="W330" s="427">
        <v>15359.13</v>
      </c>
      <c r="X330" s="427">
        <v>67493.539999999994</v>
      </c>
      <c r="Y330" s="428">
        <v>42271.619999999995</v>
      </c>
      <c r="Z330" s="429">
        <v>42271.62000000001</v>
      </c>
      <c r="AA330" s="429">
        <v>-40929.350000000006</v>
      </c>
      <c r="AB330" s="363"/>
      <c r="AC330" s="363"/>
      <c r="AD330" s="363"/>
      <c r="AE330" s="363"/>
      <c r="AF330" s="363"/>
      <c r="AG330" s="363"/>
      <c r="AH330" s="360">
        <f t="shared" si="18"/>
        <v>140179.54</v>
      </c>
      <c r="AI330" s="362">
        <f>ERP_5[[#This Row],[2026 Working Total]]-ERP_5[[#This Row],[LE2 Final Submission]]</f>
        <v>-38489.479999999981</v>
      </c>
      <c r="AJ330" s="79">
        <v>35803.370000000003</v>
      </c>
      <c r="AK330" s="79">
        <f t="shared" si="20"/>
        <v>-76732.72</v>
      </c>
      <c r="AL330" s="374">
        <f>SUM(ERP_5[[#This Row],[AP01]:[AP06]])-SUM(ERP_5[[#This Row],[AP01 LE2]:[AP06 LE2]])</f>
        <v>-2489.4799999999814</v>
      </c>
      <c r="AM330" s="80">
        <v>-32339</v>
      </c>
      <c r="AN330" s="79">
        <f>ERP_5[[#This Row],[2026 Working Total to Budget/LE]]-ERP_5[[#This Row],[Giveback]]</f>
        <v>-6150.4799999999814</v>
      </c>
      <c r="AO330" s="81" t="s">
        <v>1179</v>
      </c>
      <c r="AP330" s="375">
        <v>13712.98</v>
      </c>
      <c r="AQ330" s="375">
        <v>15359.13</v>
      </c>
      <c r="AR330" s="375">
        <v>67493.539999999994</v>
      </c>
      <c r="AS330" s="375">
        <v>4300</v>
      </c>
      <c r="AT330" s="375">
        <v>35803.370000000003</v>
      </c>
      <c r="AU330" s="375">
        <v>6000</v>
      </c>
      <c r="AV330" s="375">
        <v>6000</v>
      </c>
      <c r="AW330" s="375">
        <v>6000</v>
      </c>
      <c r="AX330" s="375">
        <v>6000</v>
      </c>
      <c r="AY330" s="375">
        <v>6000</v>
      </c>
      <c r="AZ330" s="375">
        <v>6000</v>
      </c>
      <c r="BA330" s="375">
        <v>6000</v>
      </c>
      <c r="BB330" s="375">
        <v>178669.02</v>
      </c>
      <c r="BC330" s="79">
        <v>13712.98</v>
      </c>
      <c r="BD330" s="79">
        <v>15359.13</v>
      </c>
      <c r="BE330" s="79">
        <v>67493.539999999994</v>
      </c>
      <c r="BF330" s="79">
        <v>18693</v>
      </c>
      <c r="BG330" s="79">
        <v>18693</v>
      </c>
      <c r="BH330" s="79">
        <v>18693</v>
      </c>
      <c r="BI330" s="79">
        <v>18693</v>
      </c>
      <c r="BJ330" s="79">
        <v>18693</v>
      </c>
      <c r="BK330" s="79">
        <v>18693</v>
      </c>
      <c r="BL330" s="79">
        <v>18693</v>
      </c>
      <c r="BM330" s="79">
        <v>18693</v>
      </c>
      <c r="BN330" s="79">
        <v>18693</v>
      </c>
      <c r="BO330" s="79">
        <v>264802.65000000002</v>
      </c>
    </row>
    <row r="331" spans="1:67" ht="15" customHeight="1">
      <c r="A331" s="66" t="s">
        <v>2105</v>
      </c>
      <c r="B331" s="66" t="s">
        <v>2106</v>
      </c>
      <c r="C331" s="150" t="s">
        <v>1136</v>
      </c>
      <c r="D331" s="150" t="s">
        <v>1567</v>
      </c>
      <c r="E331" s="150" t="s">
        <v>1567</v>
      </c>
      <c r="F331" s="150" t="s">
        <v>1567</v>
      </c>
      <c r="G331" s="511" t="s">
        <v>389</v>
      </c>
      <c r="H331" s="392" t="s">
        <v>2107</v>
      </c>
      <c r="I331" s="343"/>
      <c r="J331" s="343"/>
      <c r="K331" s="70" t="s">
        <v>576</v>
      </c>
      <c r="L331" s="346"/>
      <c r="M331" s="343"/>
      <c r="N331" s="346"/>
      <c r="O331" s="505" t="s">
        <v>272</v>
      </c>
      <c r="P331" s="150"/>
      <c r="Q331" s="403"/>
      <c r="R331" s="406">
        <v>-30</v>
      </c>
      <c r="S331" s="406">
        <v>-30</v>
      </c>
      <c r="T331" s="425"/>
      <c r="U331" s="71"/>
      <c r="V331" s="426"/>
      <c r="W331" s="427"/>
      <c r="X331" s="427">
        <v>-30</v>
      </c>
      <c r="Y331" s="428">
        <v>0</v>
      </c>
      <c r="Z331" s="429">
        <v>0</v>
      </c>
      <c r="AA331" s="429">
        <v>650</v>
      </c>
      <c r="AB331" s="360">
        <v>0</v>
      </c>
      <c r="AC331" s="360">
        <v>0</v>
      </c>
      <c r="AD331" s="363">
        <v>1550</v>
      </c>
      <c r="AE331" s="360">
        <v>0</v>
      </c>
      <c r="AF331" s="360">
        <v>0</v>
      </c>
      <c r="AG331" s="363">
        <v>0</v>
      </c>
      <c r="AH331" s="360">
        <f t="shared" si="18"/>
        <v>2170</v>
      </c>
      <c r="AI331" s="362">
        <f>ERP_5[[#This Row],[2026 Working Total]]-ERP_5[[#This Row],[LE2 Final Submission]]</f>
        <v>2200</v>
      </c>
      <c r="AJ331" s="79">
        <v>0</v>
      </c>
      <c r="AK331" s="79">
        <f t="shared" si="20"/>
        <v>650</v>
      </c>
      <c r="AL331" s="374">
        <f>SUM(ERP_5[[#This Row],[AP01]:[AP06]])-SUM(ERP_5[[#This Row],[AP01 LE2]:[AP06 LE2]])</f>
        <v>650</v>
      </c>
      <c r="AM331" s="80"/>
      <c r="AN331" s="79">
        <f>ERP_5[[#This Row],[2026 Working Total to Budget/LE]]-ERP_5[[#This Row],[Giveback]]</f>
        <v>2200</v>
      </c>
      <c r="AO331" s="81"/>
      <c r="AP331" s="375"/>
      <c r="AQ331" s="375"/>
      <c r="AR331" s="375">
        <v>-30</v>
      </c>
      <c r="AS331" s="375">
        <v>0</v>
      </c>
      <c r="AT331" s="375">
        <v>0</v>
      </c>
      <c r="AU331" s="375">
        <v>0</v>
      </c>
      <c r="AV331" s="375">
        <v>0</v>
      </c>
      <c r="AW331" s="375">
        <v>0</v>
      </c>
      <c r="AX331" s="375">
        <v>0</v>
      </c>
      <c r="AY331" s="375">
        <v>0</v>
      </c>
      <c r="AZ331" s="375">
        <v>0</v>
      </c>
      <c r="BA331" s="375">
        <v>0</v>
      </c>
      <c r="BB331" s="375">
        <v>-30</v>
      </c>
      <c r="BC331" s="79"/>
      <c r="BD331" s="79"/>
      <c r="BE331" s="79">
        <v>-30</v>
      </c>
      <c r="BF331" s="79">
        <v>0</v>
      </c>
      <c r="BG331" s="79">
        <v>0</v>
      </c>
      <c r="BH331" s="79">
        <v>5000</v>
      </c>
      <c r="BI331" s="79">
        <v>0</v>
      </c>
      <c r="BJ331" s="79">
        <v>0</v>
      </c>
      <c r="BK331" s="79">
        <v>5000</v>
      </c>
      <c r="BL331" s="79">
        <v>0</v>
      </c>
      <c r="BM331" s="79">
        <v>0</v>
      </c>
      <c r="BN331" s="79">
        <v>-15000</v>
      </c>
      <c r="BO331" s="79">
        <v>-5030</v>
      </c>
    </row>
    <row r="332" spans="1:67" ht="15" customHeight="1">
      <c r="A332" s="66" t="s">
        <v>1306</v>
      </c>
      <c r="B332" s="66" t="s">
        <v>1307</v>
      </c>
      <c r="C332" s="150" t="s">
        <v>1136</v>
      </c>
      <c r="D332" s="150" t="s">
        <v>1135</v>
      </c>
      <c r="E332" s="150" t="s">
        <v>1156</v>
      </c>
      <c r="F332" s="150" t="s">
        <v>1137</v>
      </c>
      <c r="G332" s="511" t="s">
        <v>49</v>
      </c>
      <c r="H332" s="392" t="s">
        <v>1308</v>
      </c>
      <c r="I332" s="343"/>
      <c r="J332" s="343"/>
      <c r="K332" s="70" t="s">
        <v>139</v>
      </c>
      <c r="L332" s="346"/>
      <c r="M332" s="343" t="s">
        <v>1309</v>
      </c>
      <c r="N332" s="346"/>
      <c r="O332" s="150" t="s">
        <v>25</v>
      </c>
      <c r="P332" s="150"/>
      <c r="Q332" s="403"/>
      <c r="R332" s="406">
        <v>96720</v>
      </c>
      <c r="S332" s="406">
        <v>96720.44</v>
      </c>
      <c r="T332" s="425"/>
      <c r="U332" s="71"/>
      <c r="V332" s="426">
        <v>6643.44</v>
      </c>
      <c r="W332" s="427">
        <v>5644</v>
      </c>
      <c r="X332" s="427">
        <v>8304</v>
      </c>
      <c r="Y332" s="428">
        <v>6762</v>
      </c>
      <c r="Z332" s="429">
        <v>9499</v>
      </c>
      <c r="AA332" s="429">
        <v>8310.9599999999991</v>
      </c>
      <c r="AB332" s="363">
        <v>8600</v>
      </c>
      <c r="AC332" s="363">
        <v>7900</v>
      </c>
      <c r="AD332" s="363">
        <v>8600</v>
      </c>
      <c r="AE332" s="363">
        <v>8600</v>
      </c>
      <c r="AF332" s="363">
        <v>8600</v>
      </c>
      <c r="AG332" s="363">
        <v>8968</v>
      </c>
      <c r="AH332" s="360">
        <f t="shared" ref="AH332:AH395" si="21">SUM(V332:AG332)</f>
        <v>96431.4</v>
      </c>
      <c r="AI332" s="362">
        <f>ERP_5[[#This Row],[2026 Working Total]]-ERP_5[[#This Row],[LE2 Final Submission]]</f>
        <v>-289.04000000000815</v>
      </c>
      <c r="AJ332" s="79">
        <v>7812</v>
      </c>
      <c r="AK332" s="79">
        <f t="shared" si="20"/>
        <v>498.95999999999913</v>
      </c>
      <c r="AL332" s="374">
        <f>SUM(ERP_5[[#This Row],[AP01]:[AP06]])-SUM(ERP_5[[#This Row],[AP01 LE2]:[AP06 LE2]])</f>
        <v>-2453.0400000000009</v>
      </c>
      <c r="AM332" s="80"/>
      <c r="AN332" s="79">
        <f>ERP_5[[#This Row],[2026 Working Total to Budget/LE]]-ERP_5[[#This Row],[Giveback]]</f>
        <v>-289.04000000000815</v>
      </c>
      <c r="AO332" s="81"/>
      <c r="AP332" s="375">
        <v>6643.44</v>
      </c>
      <c r="AQ332" s="375">
        <v>5644</v>
      </c>
      <c r="AR332" s="375">
        <v>8304</v>
      </c>
      <c r="AS332" s="375">
        <v>11029</v>
      </c>
      <c r="AT332" s="375">
        <v>7812</v>
      </c>
      <c r="AU332" s="375">
        <v>8184</v>
      </c>
      <c r="AV332" s="375">
        <v>8556</v>
      </c>
      <c r="AW332" s="375">
        <v>7812</v>
      </c>
      <c r="AX332" s="375">
        <v>8184</v>
      </c>
      <c r="AY332" s="375">
        <v>8184</v>
      </c>
      <c r="AZ332" s="375">
        <v>7812</v>
      </c>
      <c r="BA332" s="375">
        <v>8556</v>
      </c>
      <c r="BB332" s="375">
        <v>96720.44</v>
      </c>
      <c r="BC332" s="79">
        <v>6643.44</v>
      </c>
      <c r="BD332" s="79">
        <v>5644</v>
      </c>
      <c r="BE332" s="79">
        <v>8304</v>
      </c>
      <c r="BF332" s="79">
        <v>8184</v>
      </c>
      <c r="BG332" s="79">
        <v>7812</v>
      </c>
      <c r="BH332" s="79">
        <v>8184</v>
      </c>
      <c r="BI332" s="79">
        <v>8556</v>
      </c>
      <c r="BJ332" s="79">
        <v>7812</v>
      </c>
      <c r="BK332" s="79">
        <v>8184</v>
      </c>
      <c r="BL332" s="79">
        <v>8184</v>
      </c>
      <c r="BM332" s="79">
        <v>7812</v>
      </c>
      <c r="BN332" s="79">
        <v>8556</v>
      </c>
      <c r="BO332" s="79">
        <v>93875.44</v>
      </c>
    </row>
    <row r="333" spans="1:67" ht="15" customHeight="1">
      <c r="A333" s="66" t="s">
        <v>1310</v>
      </c>
      <c r="B333" s="66" t="s">
        <v>1311</v>
      </c>
      <c r="C333" s="150" t="s">
        <v>1136</v>
      </c>
      <c r="D333" s="150" t="s">
        <v>1135</v>
      </c>
      <c r="E333" s="150" t="s">
        <v>1145</v>
      </c>
      <c r="F333" s="150" t="s">
        <v>1137</v>
      </c>
      <c r="G333" s="511" t="s">
        <v>49</v>
      </c>
      <c r="H333" s="392" t="s">
        <v>1312</v>
      </c>
      <c r="I333" s="343"/>
      <c r="J333" s="346" t="s">
        <v>1186</v>
      </c>
      <c r="K333" s="70" t="s">
        <v>141</v>
      </c>
      <c r="L333" s="346"/>
      <c r="M333" s="346" t="s">
        <v>1313</v>
      </c>
      <c r="N333" s="346"/>
      <c r="O333" s="150" t="s">
        <v>25</v>
      </c>
      <c r="P333" s="150"/>
      <c r="Q333" s="403"/>
      <c r="R333" s="406">
        <v>49000</v>
      </c>
      <c r="S333" s="406">
        <v>48800.63</v>
      </c>
      <c r="T333" s="425"/>
      <c r="U333" s="71"/>
      <c r="V333" s="426">
        <v>3356.36</v>
      </c>
      <c r="W333" s="427">
        <v>3758.72</v>
      </c>
      <c r="X333" s="427">
        <v>4698.63</v>
      </c>
      <c r="Y333" s="428">
        <v>3758.8999999999978</v>
      </c>
      <c r="Z333" s="429">
        <v>659.46</v>
      </c>
      <c r="AA333" s="429">
        <v>4698.630000000001</v>
      </c>
      <c r="AB333" s="360">
        <v>0</v>
      </c>
      <c r="AC333" s="360">
        <v>0</v>
      </c>
      <c r="AD333" s="364"/>
      <c r="AE333" s="363">
        <v>12250</v>
      </c>
      <c r="AF333" s="363">
        <v>12250</v>
      </c>
      <c r="AG333" s="363">
        <v>8000</v>
      </c>
      <c r="AH333" s="360">
        <f t="shared" si="21"/>
        <v>53430.7</v>
      </c>
      <c r="AI333" s="362">
        <f>ERP_5[[#This Row],[2026 Working Total]]-ERP_5[[#This Row],[LE2 Final Submission]]</f>
        <v>4630.07</v>
      </c>
      <c r="AJ333" s="79">
        <v>0</v>
      </c>
      <c r="AK333" s="79">
        <f t="shared" si="20"/>
        <v>4698.630000000001</v>
      </c>
      <c r="AL333" s="374">
        <f>SUM(ERP_5[[#This Row],[AP01]:[AP06]])-SUM(ERP_5[[#This Row],[AP01 LE2]:[AP06 LE2]])</f>
        <v>-8267.93</v>
      </c>
      <c r="AM333" s="80"/>
      <c r="AN333" s="79">
        <f>ERP_5[[#This Row],[2026 Working Total to Budget/LE]]-ERP_5[[#This Row],[Giveback]]</f>
        <v>4630.07</v>
      </c>
      <c r="AO333" s="81"/>
      <c r="AP333" s="375">
        <v>3356.36</v>
      </c>
      <c r="AQ333" s="375">
        <v>3758.72</v>
      </c>
      <c r="AR333" s="375">
        <v>4698.63</v>
      </c>
      <c r="AS333" s="375">
        <v>0</v>
      </c>
      <c r="AT333" s="375">
        <v>0</v>
      </c>
      <c r="AU333" s="375">
        <v>17384.919999999998</v>
      </c>
      <c r="AV333" s="375">
        <v>0</v>
      </c>
      <c r="AW333" s="375">
        <v>0</v>
      </c>
      <c r="AX333" s="375">
        <v>12250</v>
      </c>
      <c r="AY333" s="375">
        <v>0</v>
      </c>
      <c r="AZ333" s="375">
        <v>0</v>
      </c>
      <c r="BA333" s="375">
        <v>7352</v>
      </c>
      <c r="BB333" s="375">
        <v>48800.63</v>
      </c>
      <c r="BC333" s="79">
        <v>3356.36</v>
      </c>
      <c r="BD333" s="79">
        <v>3758.72</v>
      </c>
      <c r="BE333" s="79">
        <v>4698.63</v>
      </c>
      <c r="BF333" s="79">
        <v>0</v>
      </c>
      <c r="BG333" s="79">
        <v>0</v>
      </c>
      <c r="BH333" s="79">
        <v>17384.919999999998</v>
      </c>
      <c r="BI333" s="79">
        <v>0</v>
      </c>
      <c r="BJ333" s="79">
        <v>0</v>
      </c>
      <c r="BK333" s="79">
        <v>12250</v>
      </c>
      <c r="BL333" s="79">
        <v>0</v>
      </c>
      <c r="BM333" s="79">
        <v>0</v>
      </c>
      <c r="BN333" s="79">
        <v>12250</v>
      </c>
      <c r="BO333" s="79">
        <v>53698.63</v>
      </c>
    </row>
    <row r="334" spans="1:67" ht="15" customHeight="1">
      <c r="A334" s="66" t="s">
        <v>1617</v>
      </c>
      <c r="B334" s="66" t="s">
        <v>1618</v>
      </c>
      <c r="C334" s="150" t="s">
        <v>1136</v>
      </c>
      <c r="D334" s="150" t="s">
        <v>1567</v>
      </c>
      <c r="E334" s="150" t="s">
        <v>1567</v>
      </c>
      <c r="F334" s="150" t="s">
        <v>1567</v>
      </c>
      <c r="G334" s="511" t="s">
        <v>49</v>
      </c>
      <c r="H334" s="392" t="s">
        <v>1619</v>
      </c>
      <c r="I334" s="343"/>
      <c r="J334" s="343"/>
      <c r="K334" s="70" t="s">
        <v>302</v>
      </c>
      <c r="L334" s="346"/>
      <c r="M334" s="343"/>
      <c r="N334" s="346"/>
      <c r="O334" s="505" t="s">
        <v>303</v>
      </c>
      <c r="P334" s="150"/>
      <c r="Q334" s="403"/>
      <c r="R334" s="406">
        <v>-2578</v>
      </c>
      <c r="S334" s="406">
        <v>-51385.37</v>
      </c>
      <c r="T334" s="425"/>
      <c r="U334" s="71"/>
      <c r="V334" s="426"/>
      <c r="W334" s="427"/>
      <c r="X334" s="427">
        <v>-2578.37</v>
      </c>
      <c r="Y334" s="428">
        <v>0</v>
      </c>
      <c r="Z334" s="429">
        <v>0</v>
      </c>
      <c r="AA334" s="429">
        <v>0</v>
      </c>
      <c r="AB334" s="360">
        <v>0</v>
      </c>
      <c r="AC334" s="360">
        <v>0</v>
      </c>
      <c r="AD334" s="360">
        <v>0</v>
      </c>
      <c r="AE334" s="360">
        <v>0</v>
      </c>
      <c r="AF334" s="360">
        <v>0</v>
      </c>
      <c r="AG334" s="360">
        <v>0</v>
      </c>
      <c r="AH334" s="360">
        <f t="shared" si="21"/>
        <v>-2578.37</v>
      </c>
      <c r="AI334" s="362">
        <f>ERP_5[[#This Row],[2026 Working Total]]-ERP_5[[#This Row],[LE2 Final Submission]]</f>
        <v>48807</v>
      </c>
      <c r="AJ334" s="79">
        <v>-48807</v>
      </c>
      <c r="AK334" s="79">
        <f t="shared" si="20"/>
        <v>48807</v>
      </c>
      <c r="AL334" s="374">
        <f>SUM(ERP_5[[#This Row],[AP01]:[AP06]])-SUM(ERP_5[[#This Row],[AP01 LE2]:[AP06 LE2]])</f>
        <v>48807</v>
      </c>
      <c r="AM334" s="80"/>
      <c r="AN334" s="79">
        <f>ERP_5[[#This Row],[2026 Working Total to Budget/LE]]-ERP_5[[#This Row],[Giveback]]</f>
        <v>48807</v>
      </c>
      <c r="AO334" s="81"/>
      <c r="AP334" s="375"/>
      <c r="AQ334" s="375"/>
      <c r="AR334" s="375">
        <v>-2578.37</v>
      </c>
      <c r="AS334" s="375">
        <v>0</v>
      </c>
      <c r="AT334" s="375">
        <v>-48807</v>
      </c>
      <c r="AU334" s="375">
        <v>0</v>
      </c>
      <c r="AV334" s="375">
        <v>0</v>
      </c>
      <c r="AW334" s="375">
        <v>0</v>
      </c>
      <c r="AX334" s="375">
        <v>0</v>
      </c>
      <c r="AY334" s="375">
        <v>0</v>
      </c>
      <c r="AZ334" s="375">
        <v>0</v>
      </c>
      <c r="BA334" s="375">
        <v>0</v>
      </c>
      <c r="BB334" s="375">
        <v>-51385.37</v>
      </c>
      <c r="BC334" s="79"/>
      <c r="BD334" s="79"/>
      <c r="BE334" s="79">
        <v>-2578.37</v>
      </c>
      <c r="BF334" s="79">
        <v>0</v>
      </c>
      <c r="BG334" s="79">
        <v>0</v>
      </c>
      <c r="BH334" s="79">
        <v>0</v>
      </c>
      <c r="BI334" s="79">
        <v>0</v>
      </c>
      <c r="BJ334" s="79">
        <v>0</v>
      </c>
      <c r="BK334" s="79">
        <v>0</v>
      </c>
      <c r="BL334" s="79">
        <v>0</v>
      </c>
      <c r="BM334" s="79">
        <v>0</v>
      </c>
      <c r="BN334" s="79">
        <v>0</v>
      </c>
      <c r="BO334" s="79">
        <v>-2578.37</v>
      </c>
    </row>
    <row r="335" spans="1:67" ht="15" customHeight="1">
      <c r="A335" s="66" t="s">
        <v>1887</v>
      </c>
      <c r="B335" s="66" t="s">
        <v>1888</v>
      </c>
      <c r="C335" s="150" t="s">
        <v>1136</v>
      </c>
      <c r="D335" s="150" t="s">
        <v>1345</v>
      </c>
      <c r="E335" s="150" t="s">
        <v>1346</v>
      </c>
      <c r="F335" s="150" t="s">
        <v>1346</v>
      </c>
      <c r="G335" s="511" t="s">
        <v>389</v>
      </c>
      <c r="H335" s="392" t="s">
        <v>1889</v>
      </c>
      <c r="I335" s="343"/>
      <c r="J335" s="343"/>
      <c r="K335" s="70" t="s">
        <v>578</v>
      </c>
      <c r="L335" s="346"/>
      <c r="M335" s="346" t="s">
        <v>1221</v>
      </c>
      <c r="N335" s="346"/>
      <c r="O335" s="150" t="s">
        <v>272</v>
      </c>
      <c r="P335" s="150"/>
      <c r="Q335" s="403"/>
      <c r="R335" s="406">
        <v>0</v>
      </c>
      <c r="S335" s="406">
        <v>275.15000000000055</v>
      </c>
      <c r="T335" s="425"/>
      <c r="U335" s="71"/>
      <c r="V335" s="426">
        <v>2699.63</v>
      </c>
      <c r="W335" s="427">
        <v>2847.71</v>
      </c>
      <c r="X335" s="427">
        <v>-5272.19</v>
      </c>
      <c r="Y335" s="428">
        <v>3353.36</v>
      </c>
      <c r="Z335" s="429">
        <v>2931.3300000000004</v>
      </c>
      <c r="AA335" s="429">
        <v>3022.73</v>
      </c>
      <c r="AB335" s="363">
        <v>0</v>
      </c>
      <c r="AC335" s="363">
        <v>0</v>
      </c>
      <c r="AD335" s="363">
        <v>0</v>
      </c>
      <c r="AE335" s="363">
        <v>0</v>
      </c>
      <c r="AF335" s="363">
        <v>0</v>
      </c>
      <c r="AG335" s="363">
        <v>0</v>
      </c>
      <c r="AH335" s="360">
        <f t="shared" si="21"/>
        <v>9582.5700000000015</v>
      </c>
      <c r="AI335" s="362">
        <f>ERP_5[[#This Row],[2026 Working Total]]-ERP_5[[#This Row],[LE2 Final Submission]]</f>
        <v>9307.4200000000019</v>
      </c>
      <c r="AJ335" s="79">
        <v>0</v>
      </c>
      <c r="AK335" s="79">
        <f t="shared" si="20"/>
        <v>3022.73</v>
      </c>
      <c r="AL335" s="374">
        <f>SUM(ERP_5[[#This Row],[AP01]:[AP06]])-SUM(ERP_5[[#This Row],[AP01 LE2]:[AP06 LE2]])</f>
        <v>9307.4200000000019</v>
      </c>
      <c r="AM335" s="80"/>
      <c r="AN335" s="79">
        <f>ERP_5[[#This Row],[2026 Working Total to Budget/LE]]-ERP_5[[#This Row],[Giveback]]</f>
        <v>9307.4200000000019</v>
      </c>
      <c r="AO335" s="81"/>
      <c r="AP335" s="375">
        <v>2699.63</v>
      </c>
      <c r="AQ335" s="375">
        <v>2847.71</v>
      </c>
      <c r="AR335" s="375">
        <v>-5272.19</v>
      </c>
      <c r="AS335" s="375">
        <v>0</v>
      </c>
      <c r="AT335" s="375">
        <v>0</v>
      </c>
      <c r="AU335" s="375">
        <v>0</v>
      </c>
      <c r="AV335" s="375">
        <v>0</v>
      </c>
      <c r="AW335" s="375">
        <v>0</v>
      </c>
      <c r="AX335" s="375">
        <v>0</v>
      </c>
      <c r="AY335" s="375">
        <v>0</v>
      </c>
      <c r="AZ335" s="375">
        <v>0</v>
      </c>
      <c r="BA335" s="375">
        <v>0</v>
      </c>
      <c r="BB335" s="375">
        <v>275.15000000000055</v>
      </c>
      <c r="BC335" s="79">
        <v>2699.63</v>
      </c>
      <c r="BD335" s="79">
        <v>2847.71</v>
      </c>
      <c r="BE335" s="79">
        <v>-5272.19</v>
      </c>
      <c r="BF335" s="79">
        <v>2847.71</v>
      </c>
      <c r="BG335" s="79">
        <v>2847.71</v>
      </c>
      <c r="BH335" s="79">
        <v>2847.71</v>
      </c>
      <c r="BI335" s="79">
        <v>2847.71</v>
      </c>
      <c r="BJ335" s="79">
        <v>2847.71</v>
      </c>
      <c r="BK335" s="79">
        <v>2847.71</v>
      </c>
      <c r="BL335" s="79">
        <v>2847.71</v>
      </c>
      <c r="BM335" s="79">
        <v>2847.71</v>
      </c>
      <c r="BN335" s="79">
        <v>2847.71</v>
      </c>
      <c r="BO335" s="79">
        <v>25904.539999999997</v>
      </c>
    </row>
    <row r="336" spans="1:67" ht="15" customHeight="1">
      <c r="A336" s="66" t="s">
        <v>2269</v>
      </c>
      <c r="B336" s="66" t="s">
        <v>2270</v>
      </c>
      <c r="C336" s="150" t="s">
        <v>1136</v>
      </c>
      <c r="D336" s="150" t="s">
        <v>1345</v>
      </c>
      <c r="E336" s="150" t="s">
        <v>1346</v>
      </c>
      <c r="F336" s="150" t="s">
        <v>1346</v>
      </c>
      <c r="G336" s="511" t="s">
        <v>639</v>
      </c>
      <c r="H336" s="392" t="s">
        <v>1889</v>
      </c>
      <c r="I336" s="343"/>
      <c r="J336" s="343"/>
      <c r="K336" s="70" t="s">
        <v>578</v>
      </c>
      <c r="L336" s="346"/>
      <c r="M336" s="346" t="s">
        <v>1221</v>
      </c>
      <c r="N336" s="346"/>
      <c r="O336" s="150" t="s">
        <v>272</v>
      </c>
      <c r="P336" s="150"/>
      <c r="Q336" s="403"/>
      <c r="R336" s="406">
        <v>0</v>
      </c>
      <c r="S336" s="406">
        <v>139.72999999999999</v>
      </c>
      <c r="T336" s="425"/>
      <c r="U336" s="71"/>
      <c r="V336" s="426">
        <v>139.72999999999999</v>
      </c>
      <c r="W336" s="427">
        <v>139.72999999999999</v>
      </c>
      <c r="X336" s="427">
        <v>-139.72999999999999</v>
      </c>
      <c r="Y336" s="428">
        <v>0</v>
      </c>
      <c r="Z336" s="429">
        <v>0</v>
      </c>
      <c r="AA336" s="429">
        <v>0</v>
      </c>
      <c r="AB336" s="363">
        <v>0</v>
      </c>
      <c r="AC336" s="363">
        <v>0</v>
      </c>
      <c r="AD336" s="363">
        <v>0</v>
      </c>
      <c r="AE336" s="363">
        <v>0</v>
      </c>
      <c r="AF336" s="363">
        <v>0</v>
      </c>
      <c r="AG336" s="363">
        <v>0</v>
      </c>
      <c r="AH336" s="367">
        <f t="shared" si="21"/>
        <v>139.72999999999999</v>
      </c>
      <c r="AI336" s="362">
        <f>ERP_5[[#This Row],[2026 Working Total]]-ERP_5[[#This Row],[LE2 Final Submission]]</f>
        <v>0</v>
      </c>
      <c r="AJ336" s="79">
        <v>0</v>
      </c>
      <c r="AK336" s="79">
        <f t="shared" si="20"/>
        <v>0</v>
      </c>
      <c r="AL336" s="374">
        <f>SUM(ERP_5[[#This Row],[AP01]:[AP06]])-SUM(ERP_5[[#This Row],[AP01 LE2]:[AP06 LE2]])</f>
        <v>0</v>
      </c>
      <c r="AM336" s="80"/>
      <c r="AN336" s="79">
        <f>ERP_5[[#This Row],[2026 Working Total to Budget/LE]]-ERP_5[[#This Row],[Giveback]]</f>
        <v>0</v>
      </c>
      <c r="AO336" s="81"/>
      <c r="AP336" s="375">
        <v>139.72999999999999</v>
      </c>
      <c r="AQ336" s="375">
        <v>139.72999999999999</v>
      </c>
      <c r="AR336" s="375">
        <v>-139.72999999999999</v>
      </c>
      <c r="AS336" s="375">
        <v>0</v>
      </c>
      <c r="AT336" s="375">
        <v>0</v>
      </c>
      <c r="AU336" s="375">
        <v>0</v>
      </c>
      <c r="AV336" s="375">
        <v>0</v>
      </c>
      <c r="AW336" s="375">
        <v>0</v>
      </c>
      <c r="AX336" s="375">
        <v>0</v>
      </c>
      <c r="AY336" s="375">
        <v>0</v>
      </c>
      <c r="AZ336" s="375">
        <v>0</v>
      </c>
      <c r="BA336" s="375">
        <v>0</v>
      </c>
      <c r="BB336" s="375">
        <v>139.72999999999999</v>
      </c>
      <c r="BC336" s="79">
        <v>139.72999999999999</v>
      </c>
      <c r="BD336" s="79">
        <v>139.72999999999999</v>
      </c>
      <c r="BE336" s="79">
        <v>-139.72999999999999</v>
      </c>
      <c r="BF336" s="79">
        <v>139.72999999999999</v>
      </c>
      <c r="BG336" s="79">
        <v>139.72999999999999</v>
      </c>
      <c r="BH336" s="79">
        <v>139.72999999999999</v>
      </c>
      <c r="BI336" s="79">
        <v>139.72999999999999</v>
      </c>
      <c r="BJ336" s="79">
        <v>139.72999999999999</v>
      </c>
      <c r="BK336" s="79">
        <v>139.72999999999999</v>
      </c>
      <c r="BL336" s="79">
        <v>139.72999999999999</v>
      </c>
      <c r="BM336" s="79">
        <v>139.72999999999999</v>
      </c>
      <c r="BN336" s="79">
        <v>139.72999999999999</v>
      </c>
      <c r="BO336" s="79">
        <v>1397.3</v>
      </c>
    </row>
    <row r="337" spans="1:67" ht="15" customHeight="1">
      <c r="A337" s="79" t="s">
        <v>1621</v>
      </c>
      <c r="B337" s="296" t="s">
        <v>1622</v>
      </c>
      <c r="C337" s="150" t="s">
        <v>1136</v>
      </c>
      <c r="D337" s="383" t="s">
        <v>1567</v>
      </c>
      <c r="E337" s="382" t="s">
        <v>1567</v>
      </c>
      <c r="F337" s="333" t="s">
        <v>1567</v>
      </c>
      <c r="G337" s="512" t="s">
        <v>49</v>
      </c>
      <c r="H337" s="394" t="s">
        <v>1623</v>
      </c>
      <c r="I337" s="343"/>
      <c r="J337" s="333"/>
      <c r="K337" s="70" t="s">
        <v>305</v>
      </c>
      <c r="L337" s="347"/>
      <c r="M337" s="343"/>
      <c r="N337" s="346"/>
      <c r="O337" s="384" t="s">
        <v>272</v>
      </c>
      <c r="P337" s="346" t="s">
        <v>1348</v>
      </c>
      <c r="Q337" s="432"/>
      <c r="R337" s="358">
        <v>1078625</v>
      </c>
      <c r="S337" s="378">
        <v>0</v>
      </c>
      <c r="T337" s="425"/>
      <c r="U337" s="71"/>
      <c r="V337" s="433"/>
      <c r="W337" s="434"/>
      <c r="X337" s="434"/>
      <c r="Y337" s="428" t="s">
        <v>1142</v>
      </c>
      <c r="Z337" s="429">
        <v>0</v>
      </c>
      <c r="AA337" s="429">
        <v>0</v>
      </c>
      <c r="AB337" s="388"/>
      <c r="AC337" s="388"/>
      <c r="AD337" s="388"/>
      <c r="AE337" s="388"/>
      <c r="AF337" s="388"/>
      <c r="AG337" s="388"/>
      <c r="AH337" s="360">
        <f t="shared" si="21"/>
        <v>0</v>
      </c>
      <c r="AI337" s="362">
        <f>ERP_5[[#This Row],[2026 Working Total]]-ERP_5[[#This Row],[LE2 Final Submission]]</f>
        <v>0</v>
      </c>
      <c r="AJ337" s="79"/>
      <c r="AK337" s="79">
        <f t="shared" si="20"/>
        <v>0</v>
      </c>
      <c r="AL337" s="374">
        <f>SUM(ERP_5[[#This Row],[AP01]:[AP06]])-SUM(ERP_5[[#This Row],[AP01 LE2]:[AP06 LE2]])</f>
        <v>0</v>
      </c>
      <c r="AM337" s="80"/>
      <c r="AN337" s="79">
        <f>ERP_5[[#This Row],[2026 Working Total to Budget/LE]]-ERP_5[[#This Row],[Giveback]]</f>
        <v>0</v>
      </c>
      <c r="AO337" s="81"/>
      <c r="AP337" s="375"/>
      <c r="AQ337" s="375"/>
      <c r="AR337" s="375"/>
      <c r="AS337" s="375"/>
      <c r="AT337" s="375"/>
      <c r="AU337" s="375"/>
      <c r="AV337" s="375"/>
      <c r="AW337" s="375"/>
      <c r="AX337" s="375"/>
      <c r="AY337" s="375"/>
      <c r="AZ337" s="375"/>
      <c r="BA337" s="375"/>
      <c r="BB337" s="375">
        <v>0</v>
      </c>
      <c r="BC337" s="103">
        <v>63566</v>
      </c>
      <c r="BD337" s="103">
        <v>71261</v>
      </c>
      <c r="BE337" s="103">
        <v>89885</v>
      </c>
      <c r="BF337" s="103">
        <v>89885</v>
      </c>
      <c r="BG337" s="103">
        <v>134828</v>
      </c>
      <c r="BH337" s="103">
        <v>134828</v>
      </c>
      <c r="BI337" s="103">
        <v>134828</v>
      </c>
      <c r="BJ337" s="103">
        <v>91283</v>
      </c>
      <c r="BK337" s="103">
        <v>89885</v>
      </c>
      <c r="BL337" s="103">
        <v>89885</v>
      </c>
      <c r="BM337" s="103">
        <v>44942</v>
      </c>
      <c r="BN337" s="103">
        <v>43549</v>
      </c>
      <c r="BO337" s="79">
        <f>SUM(ERP_5[[#This Row],[2026 AP01]:[2026 AP12]])</f>
        <v>1078625</v>
      </c>
    </row>
    <row r="338" spans="1:67" ht="15" customHeight="1">
      <c r="A338" s="66" t="s">
        <v>2109</v>
      </c>
      <c r="B338" s="66" t="s">
        <v>2110</v>
      </c>
      <c r="C338" s="150" t="s">
        <v>1136</v>
      </c>
      <c r="D338" s="150" t="s">
        <v>1567</v>
      </c>
      <c r="E338" s="150" t="s">
        <v>1567</v>
      </c>
      <c r="F338" s="150" t="s">
        <v>1567</v>
      </c>
      <c r="G338" s="511" t="s">
        <v>389</v>
      </c>
      <c r="H338" s="392" t="s">
        <v>1626</v>
      </c>
      <c r="I338" s="343"/>
      <c r="J338" s="343"/>
      <c r="K338" s="70" t="s">
        <v>307</v>
      </c>
      <c r="L338" s="346"/>
      <c r="M338" s="343"/>
      <c r="N338" s="346"/>
      <c r="O338" s="505" t="s">
        <v>272</v>
      </c>
      <c r="P338" s="150"/>
      <c r="Q338" s="403"/>
      <c r="R338" s="406">
        <v>0</v>
      </c>
      <c r="S338" s="406">
        <v>2089.6999999999998</v>
      </c>
      <c r="T338" s="425"/>
      <c r="U338" s="71"/>
      <c r="V338" s="426"/>
      <c r="W338" s="427"/>
      <c r="X338" s="427">
        <v>2089.6999999999998</v>
      </c>
      <c r="Y338" s="428">
        <v>0</v>
      </c>
      <c r="Z338" s="429">
        <v>2520.12</v>
      </c>
      <c r="AA338" s="429">
        <v>0</v>
      </c>
      <c r="AB338" s="360">
        <v>0</v>
      </c>
      <c r="AC338" s="360">
        <v>3240</v>
      </c>
      <c r="AD338" s="360">
        <v>0</v>
      </c>
      <c r="AE338" s="360">
        <v>0</v>
      </c>
      <c r="AF338" s="360">
        <v>0</v>
      </c>
      <c r="AG338" s="360">
        <v>0</v>
      </c>
      <c r="AH338" s="360">
        <f t="shared" si="21"/>
        <v>7849.82</v>
      </c>
      <c r="AI338" s="362">
        <f>ERP_5[[#This Row],[2026 Working Total]]-ERP_5[[#This Row],[LE2 Final Submission]]</f>
        <v>5760.12</v>
      </c>
      <c r="AJ338" s="79">
        <v>0</v>
      </c>
      <c r="AK338" s="79">
        <f t="shared" si="20"/>
        <v>0</v>
      </c>
      <c r="AL338" s="374">
        <f>SUM(ERP_5[[#This Row],[AP01]:[AP06]])-SUM(ERP_5[[#This Row],[AP01 LE2]:[AP06 LE2]])</f>
        <v>2520.12</v>
      </c>
      <c r="AM338" s="80"/>
      <c r="AN338" s="79">
        <f>ERP_5[[#This Row],[2026 Working Total to Budget/LE]]-ERP_5[[#This Row],[Giveback]]</f>
        <v>5760.12</v>
      </c>
      <c r="AO338" s="81"/>
      <c r="AP338" s="375"/>
      <c r="AQ338" s="375"/>
      <c r="AR338" s="375">
        <v>2089.6999999999998</v>
      </c>
      <c r="AS338" s="375">
        <v>0</v>
      </c>
      <c r="AT338" s="375">
        <v>0</v>
      </c>
      <c r="AU338" s="375">
        <v>0</v>
      </c>
      <c r="AV338" s="375">
        <v>0</v>
      </c>
      <c r="AW338" s="375">
        <v>0</v>
      </c>
      <c r="AX338" s="375">
        <v>0</v>
      </c>
      <c r="AY338" s="375">
        <v>0</v>
      </c>
      <c r="AZ338" s="375">
        <v>0</v>
      </c>
      <c r="BA338" s="375">
        <v>0</v>
      </c>
      <c r="BB338" s="375">
        <v>2089.6999999999998</v>
      </c>
      <c r="BC338" s="79"/>
      <c r="BD338" s="79"/>
      <c r="BE338" s="79">
        <v>2089.6999999999998</v>
      </c>
      <c r="BF338" s="79">
        <v>0</v>
      </c>
      <c r="BG338" s="79">
        <v>0</v>
      </c>
      <c r="BH338" s="79">
        <v>0</v>
      </c>
      <c r="BI338" s="79">
        <v>0</v>
      </c>
      <c r="BJ338" s="79">
        <v>0</v>
      </c>
      <c r="BK338" s="79">
        <v>0</v>
      </c>
      <c r="BL338" s="79">
        <v>0</v>
      </c>
      <c r="BM338" s="79">
        <v>0</v>
      </c>
      <c r="BN338" s="79">
        <v>0</v>
      </c>
      <c r="BO338" s="79">
        <v>2089.6999999999998</v>
      </c>
    </row>
    <row r="339" spans="1:67" ht="15" customHeight="1">
      <c r="A339" s="79" t="s">
        <v>1624</v>
      </c>
      <c r="B339" s="296" t="s">
        <v>1625</v>
      </c>
      <c r="C339" s="150" t="s">
        <v>1136</v>
      </c>
      <c r="D339" s="383" t="s">
        <v>1567</v>
      </c>
      <c r="E339" s="382" t="s">
        <v>1567</v>
      </c>
      <c r="F339" s="333" t="s">
        <v>1567</v>
      </c>
      <c r="G339" s="512" t="s">
        <v>49</v>
      </c>
      <c r="H339" s="394" t="s">
        <v>1626</v>
      </c>
      <c r="I339" s="343"/>
      <c r="J339" s="333"/>
      <c r="K339" s="70" t="s">
        <v>307</v>
      </c>
      <c r="L339" s="347"/>
      <c r="M339" s="343"/>
      <c r="N339" s="346"/>
      <c r="O339" s="507" t="s">
        <v>272</v>
      </c>
      <c r="P339" s="346" t="s">
        <v>1348</v>
      </c>
      <c r="Q339" s="432"/>
      <c r="R339" s="358">
        <v>7850</v>
      </c>
      <c r="S339" s="378">
        <v>0</v>
      </c>
      <c r="T339" s="425"/>
      <c r="U339" s="71"/>
      <c r="V339" s="433"/>
      <c r="W339" s="434"/>
      <c r="X339" s="434"/>
      <c r="Y339" s="428" t="s">
        <v>1142</v>
      </c>
      <c r="Z339" s="429">
        <v>0</v>
      </c>
      <c r="AA339" s="429">
        <v>0</v>
      </c>
      <c r="AB339" s="388">
        <v>0</v>
      </c>
      <c r="AC339" s="388">
        <v>0</v>
      </c>
      <c r="AD339" s="388">
        <v>0</v>
      </c>
      <c r="AE339" s="388">
        <v>0</v>
      </c>
      <c r="AF339" s="388">
        <v>0</v>
      </c>
      <c r="AG339" s="388"/>
      <c r="AH339" s="360">
        <f t="shared" si="21"/>
        <v>0</v>
      </c>
      <c r="AI339" s="362">
        <f>ERP_5[[#This Row],[2026 Working Total]]-ERP_5[[#This Row],[LE2 Final Submission]]</f>
        <v>0</v>
      </c>
      <c r="AJ339" s="79">
        <v>0</v>
      </c>
      <c r="AK339" s="79">
        <f t="shared" si="20"/>
        <v>0</v>
      </c>
      <c r="AL339" s="374">
        <f>SUM(ERP_5[[#This Row],[AP01]:[AP06]])-SUM(ERP_5[[#This Row],[AP01 LE2]:[AP06 LE2]])</f>
        <v>0</v>
      </c>
      <c r="AM339" s="80"/>
      <c r="AN339" s="79">
        <f>ERP_5[[#This Row],[2026 Working Total to Budget/LE]]-ERP_5[[#This Row],[Giveback]]</f>
        <v>0</v>
      </c>
      <c r="AO339" s="81"/>
      <c r="AP339" s="375"/>
      <c r="AQ339" s="375"/>
      <c r="AR339" s="375"/>
      <c r="AS339" s="375">
        <v>0</v>
      </c>
      <c r="AT339" s="375">
        <v>0</v>
      </c>
      <c r="AU339" s="375">
        <v>0</v>
      </c>
      <c r="AV339" s="375">
        <v>0</v>
      </c>
      <c r="AW339" s="375">
        <v>0</v>
      </c>
      <c r="AX339" s="375">
        <v>0</v>
      </c>
      <c r="AY339" s="375">
        <v>0</v>
      </c>
      <c r="AZ339" s="375">
        <v>0</v>
      </c>
      <c r="BA339" s="375"/>
      <c r="BB339" s="375">
        <v>0</v>
      </c>
      <c r="BC339" s="103">
        <v>2090</v>
      </c>
      <c r="BD339" s="103">
        <v>0</v>
      </c>
      <c r="BE339" s="103">
        <v>0</v>
      </c>
      <c r="BF339" s="103">
        <v>0</v>
      </c>
      <c r="BG339" s="103">
        <v>0</v>
      </c>
      <c r="BH339" s="103">
        <v>0</v>
      </c>
      <c r="BI339" s="103">
        <v>0</v>
      </c>
      <c r="BJ339" s="103">
        <v>0</v>
      </c>
      <c r="BK339" s="103">
        <v>0</v>
      </c>
      <c r="BL339" s="103">
        <v>0</v>
      </c>
      <c r="BM339" s="103">
        <v>0</v>
      </c>
      <c r="BN339" s="103">
        <v>5760</v>
      </c>
      <c r="BO339" s="79">
        <f>SUM(ERP_5[[#This Row],[2026 AP01]:[2026 AP12]])</f>
        <v>7850</v>
      </c>
    </row>
    <row r="340" spans="1:67" ht="15" customHeight="1">
      <c r="A340" s="150" t="s">
        <v>1631</v>
      </c>
      <c r="B340" s="296" t="s">
        <v>1632</v>
      </c>
      <c r="C340" s="150" t="s">
        <v>1136</v>
      </c>
      <c r="D340" s="332" t="s">
        <v>1567</v>
      </c>
      <c r="E340" s="332" t="s">
        <v>1567</v>
      </c>
      <c r="F340" s="333" t="s">
        <v>1567</v>
      </c>
      <c r="G340" s="514" t="s">
        <v>49</v>
      </c>
      <c r="H340" s="394" t="s">
        <v>1633</v>
      </c>
      <c r="I340" s="333"/>
      <c r="J340" s="332" t="s">
        <v>1634</v>
      </c>
      <c r="K340" s="90" t="s">
        <v>309</v>
      </c>
      <c r="L340" s="347"/>
      <c r="M340" s="348" t="s">
        <v>1635</v>
      </c>
      <c r="N340" s="348"/>
      <c r="O340" s="506" t="s">
        <v>310</v>
      </c>
      <c r="P340" s="348"/>
      <c r="Q340" s="402"/>
      <c r="R340" s="406"/>
      <c r="S340" s="406"/>
      <c r="T340" s="425"/>
      <c r="U340" s="71"/>
      <c r="V340" s="435"/>
      <c r="W340" s="436"/>
      <c r="X340" s="436"/>
      <c r="Y340" s="429"/>
      <c r="Z340" s="429">
        <v>-48806.7</v>
      </c>
      <c r="AA340" s="429">
        <v>0</v>
      </c>
      <c r="AB340" s="364"/>
      <c r="AC340" s="364"/>
      <c r="AD340" s="364"/>
      <c r="AE340" s="364"/>
      <c r="AF340" s="364"/>
      <c r="AG340" s="364"/>
      <c r="AH340" s="360">
        <f t="shared" si="21"/>
        <v>-48806.7</v>
      </c>
      <c r="AI340" s="362">
        <f>ERP_5[[#This Row],[2026 Working Total]]-ERP_5[[#This Row],[LE2 Final Submission]]</f>
        <v>-48806.7</v>
      </c>
      <c r="AJ340" s="79"/>
      <c r="AK340" s="79">
        <f t="shared" si="20"/>
        <v>0</v>
      </c>
      <c r="AL340" s="374">
        <f>SUM(ERP_5[[#This Row],[AP01]:[AP06]])-SUM(ERP_5[[#This Row],[AP01 LE2]:[AP06 LE2]])</f>
        <v>-48806.7</v>
      </c>
      <c r="AM340" s="80"/>
      <c r="AN340" s="79">
        <f>ERP_5[[#This Row],[2026 Working Total to Budget/LE]]-ERP_5[[#This Row],[Giveback]]</f>
        <v>-48806.7</v>
      </c>
      <c r="AO340" s="81"/>
      <c r="AP340" s="375"/>
      <c r="AQ340" s="375"/>
      <c r="AR340" s="375"/>
      <c r="AS340" s="375"/>
      <c r="AT340" s="375"/>
      <c r="AU340" s="375"/>
      <c r="AV340" s="375"/>
      <c r="AW340" s="375"/>
      <c r="AX340" s="375"/>
      <c r="AY340" s="375"/>
      <c r="AZ340" s="375"/>
      <c r="BA340" s="375"/>
      <c r="BB340" s="375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</row>
    <row r="341" spans="1:67" ht="15" customHeight="1">
      <c r="A341" s="150" t="s">
        <v>1495</v>
      </c>
      <c r="B341" s="296" t="s">
        <v>1496</v>
      </c>
      <c r="C341" s="150" t="s">
        <v>1136</v>
      </c>
      <c r="D341" s="150" t="s">
        <v>1345</v>
      </c>
      <c r="E341" s="150" t="s">
        <v>1346</v>
      </c>
      <c r="F341" s="150" t="s">
        <v>1345</v>
      </c>
      <c r="G341" s="514" t="s">
        <v>49</v>
      </c>
      <c r="H341" s="394" t="s">
        <v>1497</v>
      </c>
      <c r="I341" s="333" t="s">
        <v>1498</v>
      </c>
      <c r="J341" s="332" t="s">
        <v>1499</v>
      </c>
      <c r="K341" s="90" t="s">
        <v>312</v>
      </c>
      <c r="L341" s="347"/>
      <c r="M341" s="348" t="s">
        <v>1500</v>
      </c>
      <c r="N341" s="348"/>
      <c r="O341" s="348"/>
      <c r="P341" s="348"/>
      <c r="Q341" s="402"/>
      <c r="R341" s="406"/>
      <c r="S341" s="406"/>
      <c r="T341" s="425"/>
      <c r="U341" s="71"/>
      <c r="V341" s="435"/>
      <c r="W341" s="436"/>
      <c r="X341" s="436"/>
      <c r="Y341" s="481">
        <v>12507.9</v>
      </c>
      <c r="Z341" s="481">
        <v>13470.05</v>
      </c>
      <c r="AA341" s="429">
        <v>13318.529999999999</v>
      </c>
      <c r="AB341" s="364"/>
      <c r="AC341" s="364"/>
      <c r="AD341" s="364"/>
      <c r="AE341" s="364"/>
      <c r="AF341" s="364"/>
      <c r="AG341" s="364"/>
      <c r="AH341" s="367">
        <f t="shared" si="21"/>
        <v>39296.479999999996</v>
      </c>
      <c r="AI341" s="362">
        <f>ERP_5[[#This Row],[2026 Working Total]]-ERP_5[[#This Row],[LE2 Final Submission]]</f>
        <v>39296.479999999996</v>
      </c>
      <c r="AJ341" s="79"/>
      <c r="AK341" s="79">
        <f t="shared" si="20"/>
        <v>13318.529999999999</v>
      </c>
      <c r="AL341" s="374">
        <f>SUM(ERP_5[[#This Row],[AP01]:[AP06]])-SUM(ERP_5[[#This Row],[AP01 LE2]:[AP06 LE2]])</f>
        <v>39296.479999999996</v>
      </c>
      <c r="AM341" s="80"/>
      <c r="AN341" s="79">
        <f>ERP_5[[#This Row],[2026 Working Total to Budget/LE]]-ERP_5[[#This Row],[Giveback]]</f>
        <v>39296.479999999996</v>
      </c>
      <c r="AO341" s="81"/>
      <c r="AP341" s="375"/>
      <c r="AQ341" s="375"/>
      <c r="AR341" s="375"/>
      <c r="AS341" s="375"/>
      <c r="AT341" s="375"/>
      <c r="AU341" s="375"/>
      <c r="AV341" s="375"/>
      <c r="AW341" s="375"/>
      <c r="AX341" s="375"/>
      <c r="AY341" s="375"/>
      <c r="AZ341" s="375"/>
      <c r="BA341" s="375"/>
      <c r="BB341" s="375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</row>
    <row r="342" spans="1:67" ht="15" customHeight="1">
      <c r="A342" s="66" t="s">
        <v>1314</v>
      </c>
      <c r="B342" s="66" t="s">
        <v>1315</v>
      </c>
      <c r="C342" s="150" t="s">
        <v>1136</v>
      </c>
      <c r="D342" s="150" t="s">
        <v>1135</v>
      </c>
      <c r="E342" s="150" t="s">
        <v>1145</v>
      </c>
      <c r="F342" s="150" t="s">
        <v>1137</v>
      </c>
      <c r="G342" s="511" t="s">
        <v>49</v>
      </c>
      <c r="H342" s="392" t="s">
        <v>1316</v>
      </c>
      <c r="I342" s="343"/>
      <c r="J342" s="346" t="s">
        <v>1186</v>
      </c>
      <c r="K342" s="70" t="s">
        <v>143</v>
      </c>
      <c r="L342" s="346"/>
      <c r="M342" s="346" t="s">
        <v>1317</v>
      </c>
      <c r="N342" s="346"/>
      <c r="O342" s="150" t="s">
        <v>25</v>
      </c>
      <c r="P342" s="150"/>
      <c r="Q342" s="403"/>
      <c r="R342" s="406">
        <v>23000</v>
      </c>
      <c r="S342" s="406">
        <v>21621.640000000003</v>
      </c>
      <c r="T342" s="425"/>
      <c r="U342" s="71"/>
      <c r="V342" s="426">
        <v>1355</v>
      </c>
      <c r="W342" s="427">
        <v>1517.05</v>
      </c>
      <c r="X342" s="427">
        <v>1896.64</v>
      </c>
      <c r="Y342" s="428">
        <v>4517.2999999999993</v>
      </c>
      <c r="Z342" s="429">
        <v>-462.13999999999965</v>
      </c>
      <c r="AA342" s="429">
        <v>1896.6400000000003</v>
      </c>
      <c r="AB342" s="360">
        <v>0</v>
      </c>
      <c r="AC342" s="360">
        <v>0</v>
      </c>
      <c r="AD342" s="364"/>
      <c r="AE342" s="363">
        <v>9000</v>
      </c>
      <c r="AF342" s="363">
        <v>3852.95</v>
      </c>
      <c r="AG342" s="360">
        <v>0</v>
      </c>
      <c r="AH342" s="360">
        <f t="shared" si="21"/>
        <v>23573.440000000002</v>
      </c>
      <c r="AI342" s="362">
        <f>ERP_5[[#This Row],[2026 Working Total]]-ERP_5[[#This Row],[LE2 Final Submission]]</f>
        <v>1951.7999999999993</v>
      </c>
      <c r="AJ342" s="79">
        <v>0</v>
      </c>
      <c r="AK342" s="79">
        <f t="shared" si="20"/>
        <v>1896.6400000000003</v>
      </c>
      <c r="AL342" s="374">
        <f>SUM(ERP_5[[#This Row],[AP01]:[AP06]])-SUM(ERP_5[[#This Row],[AP01 LE2]:[AP06 LE2]])</f>
        <v>-7048.2000000000007</v>
      </c>
      <c r="AM342" s="80"/>
      <c r="AN342" s="79">
        <f>ERP_5[[#This Row],[2026 Working Total to Budget/LE]]-ERP_5[[#This Row],[Giveback]]</f>
        <v>1951.7999999999993</v>
      </c>
      <c r="AO342" s="81"/>
      <c r="AP342" s="375">
        <v>1355</v>
      </c>
      <c r="AQ342" s="375">
        <v>1517.05</v>
      </c>
      <c r="AR342" s="375">
        <v>1896.64</v>
      </c>
      <c r="AS342" s="375">
        <v>0</v>
      </c>
      <c r="AT342" s="375">
        <v>0</v>
      </c>
      <c r="AU342" s="375">
        <v>13000</v>
      </c>
      <c r="AV342" s="375">
        <v>0</v>
      </c>
      <c r="AW342" s="375">
        <v>0</v>
      </c>
      <c r="AX342" s="375">
        <v>3852.95</v>
      </c>
      <c r="AY342" s="375">
        <v>0</v>
      </c>
      <c r="AZ342" s="375">
        <v>0</v>
      </c>
      <c r="BA342" s="375">
        <v>0</v>
      </c>
      <c r="BB342" s="375">
        <v>21621.640000000003</v>
      </c>
      <c r="BC342" s="79">
        <v>1355</v>
      </c>
      <c r="BD342" s="79">
        <v>1517.05</v>
      </c>
      <c r="BE342" s="79">
        <v>1896.64</v>
      </c>
      <c r="BF342" s="79">
        <v>0</v>
      </c>
      <c r="BG342" s="79">
        <v>0</v>
      </c>
      <c r="BH342" s="79">
        <v>13000</v>
      </c>
      <c r="BI342" s="79">
        <v>0</v>
      </c>
      <c r="BJ342" s="79">
        <v>0</v>
      </c>
      <c r="BK342" s="79">
        <v>3852.95</v>
      </c>
      <c r="BL342" s="79">
        <v>0</v>
      </c>
      <c r="BM342" s="79">
        <v>0</v>
      </c>
      <c r="BN342" s="79">
        <v>0</v>
      </c>
      <c r="BO342" s="79">
        <v>21621.640000000003</v>
      </c>
    </row>
    <row r="343" spans="1:67" ht="15" customHeight="1">
      <c r="A343" s="150" t="s">
        <v>1891</v>
      </c>
      <c r="B343" s="296" t="s">
        <v>1892</v>
      </c>
      <c r="C343" s="150" t="s">
        <v>1136</v>
      </c>
      <c r="D343" s="150" t="s">
        <v>1135</v>
      </c>
      <c r="E343" s="150" t="s">
        <v>1165</v>
      </c>
      <c r="F343" s="150" t="s">
        <v>1165</v>
      </c>
      <c r="G343" s="514" t="s">
        <v>389</v>
      </c>
      <c r="H343" s="394" t="s">
        <v>1893</v>
      </c>
      <c r="I343" s="333"/>
      <c r="J343" s="332" t="s">
        <v>1284</v>
      </c>
      <c r="K343" s="90" t="s">
        <v>463</v>
      </c>
      <c r="L343" s="347"/>
      <c r="M343" s="347"/>
      <c r="N343" s="348"/>
      <c r="O343" s="348"/>
      <c r="P343" s="348"/>
      <c r="Q343" s="402"/>
      <c r="R343" s="406"/>
      <c r="S343" s="406"/>
      <c r="T343" s="425"/>
      <c r="U343" s="71"/>
      <c r="V343" s="435"/>
      <c r="W343" s="436"/>
      <c r="X343" s="436"/>
      <c r="Y343" s="429">
        <v>18.2</v>
      </c>
      <c r="Z343" s="429">
        <v>0</v>
      </c>
      <c r="AA343" s="429">
        <v>0</v>
      </c>
      <c r="AB343" s="364"/>
      <c r="AC343" s="364"/>
      <c r="AD343" s="364"/>
      <c r="AE343" s="364"/>
      <c r="AF343" s="364"/>
      <c r="AG343" s="364"/>
      <c r="AH343" s="360">
        <f t="shared" si="21"/>
        <v>18.2</v>
      </c>
      <c r="AI343" s="362">
        <f>ERP_5[[#This Row],[2026 Working Total]]-ERP_5[[#This Row],[LE2 Final Submission]]</f>
        <v>18.2</v>
      </c>
      <c r="AJ343" s="79"/>
      <c r="AK343" s="79">
        <f t="shared" si="20"/>
        <v>0</v>
      </c>
      <c r="AL343" s="374">
        <f>SUM(ERP_5[[#This Row],[AP01]:[AP06]])-SUM(ERP_5[[#This Row],[AP01 LE2]:[AP06 LE2]])</f>
        <v>18.2</v>
      </c>
      <c r="AM343" s="80"/>
      <c r="AN343" s="79">
        <f>ERP_5[[#This Row],[2026 Working Total to Budget/LE]]-ERP_5[[#This Row],[Giveback]]</f>
        <v>18.2</v>
      </c>
      <c r="AO343" s="81"/>
      <c r="AP343" s="375"/>
      <c r="AQ343" s="375"/>
      <c r="AR343" s="375"/>
      <c r="AS343" s="375"/>
      <c r="AT343" s="375"/>
      <c r="AU343" s="375"/>
      <c r="AV343" s="375"/>
      <c r="AW343" s="375"/>
      <c r="AX343" s="375"/>
      <c r="AY343" s="375"/>
      <c r="AZ343" s="375"/>
      <c r="BA343" s="375"/>
      <c r="BB343" s="375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</row>
    <row r="344" spans="1:67" ht="15" customHeight="1">
      <c r="A344" s="66" t="s">
        <v>2272</v>
      </c>
      <c r="B344" s="66" t="s">
        <v>2273</v>
      </c>
      <c r="C344" s="150" t="s">
        <v>1136</v>
      </c>
      <c r="D344" s="150" t="s">
        <v>1135</v>
      </c>
      <c r="E344" s="150" t="s">
        <v>1145</v>
      </c>
      <c r="F344" s="150" t="s">
        <v>1137</v>
      </c>
      <c r="G344" s="511" t="s">
        <v>639</v>
      </c>
      <c r="H344" s="392" t="s">
        <v>2274</v>
      </c>
      <c r="I344" s="343"/>
      <c r="J344" s="343"/>
      <c r="K344" s="70" t="s">
        <v>673</v>
      </c>
      <c r="L344" s="346"/>
      <c r="M344" s="346" t="s">
        <v>1140</v>
      </c>
      <c r="N344" s="346"/>
      <c r="O344" s="150" t="s">
        <v>57</v>
      </c>
      <c r="P344" s="150"/>
      <c r="Q344" s="403"/>
      <c r="R344" s="406">
        <v>0</v>
      </c>
      <c r="S344" s="406">
        <v>616.66</v>
      </c>
      <c r="T344" s="425"/>
      <c r="U344" s="71"/>
      <c r="V344" s="426">
        <v>308.33</v>
      </c>
      <c r="W344" s="431">
        <v>0</v>
      </c>
      <c r="X344" s="427">
        <v>308.33</v>
      </c>
      <c r="Y344" s="428">
        <v>308.33</v>
      </c>
      <c r="Z344" s="429">
        <v>308.33</v>
      </c>
      <c r="AA344" s="429">
        <v>0</v>
      </c>
      <c r="AB344" s="360">
        <v>0</v>
      </c>
      <c r="AC344" s="360">
        <v>0</v>
      </c>
      <c r="AD344" s="360">
        <v>0</v>
      </c>
      <c r="AE344" s="360">
        <v>0</v>
      </c>
      <c r="AF344" s="360">
        <v>0</v>
      </c>
      <c r="AG344" s="360">
        <v>0</v>
      </c>
      <c r="AH344" s="360">
        <f t="shared" si="21"/>
        <v>1233.32</v>
      </c>
      <c r="AI344" s="362">
        <f>ERP_5[[#This Row],[2026 Working Total]]-ERP_5[[#This Row],[LE2 Final Submission]]</f>
        <v>616.66</v>
      </c>
      <c r="AJ344" s="79">
        <v>0</v>
      </c>
      <c r="AK344" s="79">
        <f t="shared" si="20"/>
        <v>0</v>
      </c>
      <c r="AL344" s="374">
        <f>SUM(ERP_5[[#This Row],[AP01]:[AP06]])-SUM(ERP_5[[#This Row],[AP01 LE2]:[AP06 LE2]])</f>
        <v>616.66</v>
      </c>
      <c r="AM344" s="80"/>
      <c r="AN344" s="79">
        <f>ERP_5[[#This Row],[2026 Working Total to Budget/LE]]-ERP_5[[#This Row],[Giveback]]</f>
        <v>616.66</v>
      </c>
      <c r="AO344" s="81"/>
      <c r="AP344" s="375">
        <v>308.33</v>
      </c>
      <c r="AQ344" s="375">
        <v>0</v>
      </c>
      <c r="AR344" s="375">
        <v>308.33</v>
      </c>
      <c r="AS344" s="375">
        <v>0</v>
      </c>
      <c r="AT344" s="375">
        <v>0</v>
      </c>
      <c r="AU344" s="375">
        <v>0</v>
      </c>
      <c r="AV344" s="375">
        <v>0</v>
      </c>
      <c r="AW344" s="375">
        <v>0</v>
      </c>
      <c r="AX344" s="375">
        <v>0</v>
      </c>
      <c r="AY344" s="375">
        <v>0</v>
      </c>
      <c r="AZ344" s="375">
        <v>0</v>
      </c>
      <c r="BA344" s="375">
        <v>0</v>
      </c>
      <c r="BB344" s="375">
        <v>616.66</v>
      </c>
      <c r="BC344" s="79">
        <v>308.33</v>
      </c>
      <c r="BD344" s="79">
        <v>0</v>
      </c>
      <c r="BE344" s="79">
        <v>308.33</v>
      </c>
      <c r="BF344" s="79">
        <v>0</v>
      </c>
      <c r="BG344" s="79">
        <v>0</v>
      </c>
      <c r="BH344" s="79">
        <v>0</v>
      </c>
      <c r="BI344" s="79">
        <v>0</v>
      </c>
      <c r="BJ344" s="79">
        <v>0</v>
      </c>
      <c r="BK344" s="79">
        <v>0</v>
      </c>
      <c r="BL344" s="79">
        <v>0</v>
      </c>
      <c r="BM344" s="79">
        <v>0</v>
      </c>
      <c r="BN344" s="79">
        <v>0</v>
      </c>
      <c r="BO344" s="79">
        <v>616.66</v>
      </c>
    </row>
    <row r="345" spans="1:67" ht="15" customHeight="1">
      <c r="A345" s="66" t="s">
        <v>2677</v>
      </c>
      <c r="B345" s="66" t="s">
        <v>2678</v>
      </c>
      <c r="C345" s="150" t="s">
        <v>1136</v>
      </c>
      <c r="D345" s="150" t="s">
        <v>1345</v>
      </c>
      <c r="E345" s="150" t="s">
        <v>1437</v>
      </c>
      <c r="F345" s="150" t="s">
        <v>1346</v>
      </c>
      <c r="G345" s="511" t="s">
        <v>639</v>
      </c>
      <c r="H345" s="392" t="s">
        <v>2274</v>
      </c>
      <c r="I345" s="343"/>
      <c r="J345" s="343"/>
      <c r="K345" s="70" t="s">
        <v>673</v>
      </c>
      <c r="L345" s="346"/>
      <c r="M345" s="346" t="s">
        <v>1140</v>
      </c>
      <c r="N345" s="346"/>
      <c r="O345" s="150" t="s">
        <v>57</v>
      </c>
      <c r="P345" s="150"/>
      <c r="Q345" s="403"/>
      <c r="R345" s="406">
        <v>18499.8</v>
      </c>
      <c r="S345" s="406">
        <v>16958.149999999998</v>
      </c>
      <c r="T345" s="425"/>
      <c r="U345" s="71"/>
      <c r="V345" s="426">
        <v>1541.65</v>
      </c>
      <c r="W345" s="431">
        <v>0</v>
      </c>
      <c r="X345" s="427">
        <v>1541.65</v>
      </c>
      <c r="Y345" s="428">
        <v>1541.65</v>
      </c>
      <c r="Z345" s="429">
        <v>1541.65</v>
      </c>
      <c r="AA345" s="429">
        <v>1541.65</v>
      </c>
      <c r="AB345" s="363">
        <v>1541.65</v>
      </c>
      <c r="AC345" s="363">
        <v>1541.65</v>
      </c>
      <c r="AD345" s="363">
        <v>1541.65</v>
      </c>
      <c r="AE345" s="363">
        <v>1541.65</v>
      </c>
      <c r="AF345" s="363">
        <v>1541.65</v>
      </c>
      <c r="AG345" s="363">
        <v>1541.65</v>
      </c>
      <c r="AH345" s="360">
        <f t="shared" si="21"/>
        <v>16958.149999999998</v>
      </c>
      <c r="AI345" s="362">
        <f>ERP_5[[#This Row],[2026 Working Total]]-ERP_5[[#This Row],[LE2 Final Submission]]</f>
        <v>0</v>
      </c>
      <c r="AJ345" s="79">
        <v>1541.65</v>
      </c>
      <c r="AK345" s="79">
        <f t="shared" si="20"/>
        <v>0</v>
      </c>
      <c r="AL345" s="374">
        <f>SUM(ERP_5[[#This Row],[AP01]:[AP06]])-SUM(ERP_5[[#This Row],[AP01 LE2]:[AP06 LE2]])</f>
        <v>0</v>
      </c>
      <c r="AM345" s="80"/>
      <c r="AN345" s="79">
        <f>ERP_5[[#This Row],[2026 Working Total to Budget/LE]]-ERP_5[[#This Row],[Giveback]]</f>
        <v>0</v>
      </c>
      <c r="AO345" s="81"/>
      <c r="AP345" s="375">
        <v>1541.65</v>
      </c>
      <c r="AQ345" s="375">
        <v>0</v>
      </c>
      <c r="AR345" s="375">
        <v>1541.65</v>
      </c>
      <c r="AS345" s="375">
        <v>1541.65</v>
      </c>
      <c r="AT345" s="375">
        <v>1541.65</v>
      </c>
      <c r="AU345" s="375">
        <v>1541.65</v>
      </c>
      <c r="AV345" s="375">
        <v>1541.65</v>
      </c>
      <c r="AW345" s="375">
        <v>1541.65</v>
      </c>
      <c r="AX345" s="375">
        <v>1541.65</v>
      </c>
      <c r="AY345" s="375">
        <v>1541.65</v>
      </c>
      <c r="AZ345" s="375">
        <v>1541.65</v>
      </c>
      <c r="BA345" s="375">
        <v>1541.65</v>
      </c>
      <c r="BB345" s="375">
        <v>16958.149999999998</v>
      </c>
      <c r="BC345" s="79">
        <v>1541.65</v>
      </c>
      <c r="BD345" s="79">
        <v>0</v>
      </c>
      <c r="BE345" s="79">
        <v>1541.65</v>
      </c>
      <c r="BF345" s="79">
        <v>1541.65</v>
      </c>
      <c r="BG345" s="79">
        <v>1541.65</v>
      </c>
      <c r="BH345" s="79">
        <v>1541.65</v>
      </c>
      <c r="BI345" s="79">
        <v>1541.65</v>
      </c>
      <c r="BJ345" s="79">
        <v>1541.65</v>
      </c>
      <c r="BK345" s="79">
        <v>1541.65</v>
      </c>
      <c r="BL345" s="79">
        <v>1541.65</v>
      </c>
      <c r="BM345" s="79">
        <v>1541.65</v>
      </c>
      <c r="BN345" s="79">
        <v>1541.65</v>
      </c>
      <c r="BO345" s="79">
        <v>16958.149999999998</v>
      </c>
    </row>
    <row r="346" spans="1:67" ht="15" customHeight="1">
      <c r="A346" s="150" t="s">
        <v>2781</v>
      </c>
      <c r="B346" s="296" t="s">
        <v>2782</v>
      </c>
      <c r="C346" s="150" t="s">
        <v>1136</v>
      </c>
      <c r="D346" s="150" t="s">
        <v>1345</v>
      </c>
      <c r="E346" s="150" t="s">
        <v>1346</v>
      </c>
      <c r="F346" s="331" t="s">
        <v>1346</v>
      </c>
      <c r="G346" s="514" t="s">
        <v>639</v>
      </c>
      <c r="H346" s="394" t="s">
        <v>2783</v>
      </c>
      <c r="I346" s="333"/>
      <c r="J346" s="332" t="s">
        <v>1499</v>
      </c>
      <c r="K346" s="90" t="s">
        <v>365</v>
      </c>
      <c r="L346" s="347"/>
      <c r="M346" s="347"/>
      <c r="N346" s="348"/>
      <c r="O346" s="348"/>
      <c r="P346" s="348"/>
      <c r="Q346" s="402"/>
      <c r="R346" s="406"/>
      <c r="S346" s="406"/>
      <c r="T346" s="425"/>
      <c r="U346" s="71"/>
      <c r="V346" s="435"/>
      <c r="W346" s="436"/>
      <c r="X346" s="436"/>
      <c r="Y346" s="429"/>
      <c r="Z346" s="429">
        <v>200</v>
      </c>
      <c r="AA346" s="429">
        <v>223.09</v>
      </c>
      <c r="AB346" s="364"/>
      <c r="AC346" s="364"/>
      <c r="AD346" s="364"/>
      <c r="AE346" s="364"/>
      <c r="AF346" s="364"/>
      <c r="AG346" s="364"/>
      <c r="AH346" s="360">
        <f t="shared" si="21"/>
        <v>423.09000000000003</v>
      </c>
      <c r="AI346" s="362">
        <f>ERP_5[[#This Row],[2026 Working Total]]-ERP_5[[#This Row],[LE2 Final Submission]]</f>
        <v>423.09000000000003</v>
      </c>
      <c r="AJ346" s="79"/>
      <c r="AK346" s="79">
        <f t="shared" si="20"/>
        <v>223.09</v>
      </c>
      <c r="AL346" s="374">
        <f>SUM(ERP_5[[#This Row],[AP01]:[AP06]])-SUM(ERP_5[[#This Row],[AP01 LE2]:[AP06 LE2]])</f>
        <v>423.09000000000003</v>
      </c>
      <c r="AM346" s="80"/>
      <c r="AN346" s="79">
        <f>ERP_5[[#This Row],[2026 Working Total to Budget/LE]]-ERP_5[[#This Row],[Giveback]]</f>
        <v>423.09000000000003</v>
      </c>
      <c r="AO346" s="81"/>
      <c r="AP346" s="375"/>
      <c r="AQ346" s="375"/>
      <c r="AR346" s="375"/>
      <c r="AS346" s="375"/>
      <c r="AT346" s="375"/>
      <c r="AU346" s="375"/>
      <c r="AV346" s="375"/>
      <c r="AW346" s="375"/>
      <c r="AX346" s="375"/>
      <c r="AY346" s="375"/>
      <c r="AZ346" s="375"/>
      <c r="BA346" s="375"/>
      <c r="BB346" s="375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</row>
    <row r="347" spans="1:67" ht="15" customHeight="1">
      <c r="A347" s="66" t="s">
        <v>1738</v>
      </c>
      <c r="B347" s="66" t="s">
        <v>1739</v>
      </c>
      <c r="C347" s="150" t="s">
        <v>1136</v>
      </c>
      <c r="D347" s="150" t="s">
        <v>1345</v>
      </c>
      <c r="E347" s="150" t="s">
        <v>1346</v>
      </c>
      <c r="F347" s="150" t="s">
        <v>1346</v>
      </c>
      <c r="G347" s="511" t="s">
        <v>342</v>
      </c>
      <c r="H347" s="392" t="s">
        <v>1703</v>
      </c>
      <c r="I347" s="343"/>
      <c r="J347" s="343"/>
      <c r="K347" s="70" t="s">
        <v>365</v>
      </c>
      <c r="L347" s="346"/>
      <c r="M347" s="346" t="s">
        <v>1140</v>
      </c>
      <c r="N347" s="346"/>
      <c r="O347" s="150" t="s">
        <v>57</v>
      </c>
      <c r="P347" s="150"/>
      <c r="Q347" s="403"/>
      <c r="R347" s="406">
        <v>0</v>
      </c>
      <c r="S347" s="406">
        <v>4063.1000000000004</v>
      </c>
      <c r="T347" s="425"/>
      <c r="U347" s="71"/>
      <c r="V347" s="426">
        <v>322.64</v>
      </c>
      <c r="W347" s="427">
        <v>376.04</v>
      </c>
      <c r="X347" s="427">
        <v>3364.42</v>
      </c>
      <c r="Y347" s="428">
        <v>389.04999999999995</v>
      </c>
      <c r="Z347" s="429">
        <v>3602.75</v>
      </c>
      <c r="AA347" s="429">
        <v>278.59000000000003</v>
      </c>
      <c r="AB347" s="360">
        <v>0</v>
      </c>
      <c r="AC347" s="360">
        <v>0</v>
      </c>
      <c r="AD347" s="360">
        <v>0</v>
      </c>
      <c r="AE347" s="360">
        <v>0</v>
      </c>
      <c r="AF347" s="360">
        <v>0</v>
      </c>
      <c r="AG347" s="360">
        <v>0</v>
      </c>
      <c r="AH347" s="360">
        <f t="shared" si="21"/>
        <v>8333.49</v>
      </c>
      <c r="AI347" s="362">
        <f>ERP_5[[#This Row],[2026 Working Total]]-ERP_5[[#This Row],[LE2 Final Submission]]</f>
        <v>4270.3899999999994</v>
      </c>
      <c r="AJ347" s="79">
        <v>0</v>
      </c>
      <c r="AK347" s="79">
        <f t="shared" si="20"/>
        <v>278.59000000000003</v>
      </c>
      <c r="AL347" s="374">
        <f>SUM(ERP_5[[#This Row],[AP01]:[AP06]])-SUM(ERP_5[[#This Row],[AP01 LE2]:[AP06 LE2]])</f>
        <v>4270.3899999999994</v>
      </c>
      <c r="AM347" s="80"/>
      <c r="AN347" s="79">
        <f>ERP_5[[#This Row],[2026 Working Total to Budget/LE]]-ERP_5[[#This Row],[Giveback]]</f>
        <v>4270.3899999999994</v>
      </c>
      <c r="AO347" s="81"/>
      <c r="AP347" s="375">
        <v>322.64</v>
      </c>
      <c r="AQ347" s="375">
        <v>376.04</v>
      </c>
      <c r="AR347" s="375">
        <v>3364.42</v>
      </c>
      <c r="AS347" s="375">
        <v>0</v>
      </c>
      <c r="AT347" s="375">
        <v>0</v>
      </c>
      <c r="AU347" s="375">
        <v>0</v>
      </c>
      <c r="AV347" s="375">
        <v>0</v>
      </c>
      <c r="AW347" s="375">
        <v>0</v>
      </c>
      <c r="AX347" s="375">
        <v>0</v>
      </c>
      <c r="AY347" s="375">
        <v>0</v>
      </c>
      <c r="AZ347" s="375">
        <v>0</v>
      </c>
      <c r="BA347" s="375">
        <v>0</v>
      </c>
      <c r="BB347" s="375">
        <v>4063.1000000000004</v>
      </c>
      <c r="BC347" s="79">
        <v>322.64</v>
      </c>
      <c r="BD347" s="79">
        <v>376.04</v>
      </c>
      <c r="BE347" s="79">
        <v>3364.42</v>
      </c>
      <c r="BF347" s="79">
        <v>0</v>
      </c>
      <c r="BG347" s="79">
        <v>0</v>
      </c>
      <c r="BH347" s="79">
        <v>0</v>
      </c>
      <c r="BI347" s="79">
        <v>0</v>
      </c>
      <c r="BJ347" s="79">
        <v>0</v>
      </c>
      <c r="BK347" s="79">
        <v>0</v>
      </c>
      <c r="BL347" s="79">
        <v>0</v>
      </c>
      <c r="BM347" s="79">
        <v>0</v>
      </c>
      <c r="BN347" s="79">
        <v>0</v>
      </c>
      <c r="BO347" s="79">
        <v>4063.1000000000004</v>
      </c>
    </row>
    <row r="348" spans="1:67" ht="15" customHeight="1">
      <c r="A348" s="66" t="s">
        <v>2112</v>
      </c>
      <c r="B348" s="66" t="s">
        <v>2113</v>
      </c>
      <c r="C348" s="150" t="s">
        <v>1136</v>
      </c>
      <c r="D348" s="150" t="s">
        <v>1345</v>
      </c>
      <c r="E348" s="150" t="s">
        <v>1346</v>
      </c>
      <c r="F348" s="150" t="s">
        <v>1346</v>
      </c>
      <c r="G348" s="511" t="s">
        <v>389</v>
      </c>
      <c r="H348" s="392" t="s">
        <v>1703</v>
      </c>
      <c r="I348" s="343"/>
      <c r="J348" s="343"/>
      <c r="K348" s="70" t="s">
        <v>365</v>
      </c>
      <c r="L348" s="346"/>
      <c r="M348" s="346" t="s">
        <v>1140</v>
      </c>
      <c r="N348" s="346"/>
      <c r="O348" s="150" t="s">
        <v>57</v>
      </c>
      <c r="P348" s="150"/>
      <c r="Q348" s="403"/>
      <c r="R348" s="406">
        <v>0</v>
      </c>
      <c r="S348" s="406">
        <v>2000</v>
      </c>
      <c r="T348" s="430"/>
      <c r="U348" s="137"/>
      <c r="V348" s="426">
        <v>2000</v>
      </c>
      <c r="W348" s="431">
        <v>0</v>
      </c>
      <c r="X348" s="431">
        <v>0</v>
      </c>
      <c r="Y348" s="428">
        <v>0</v>
      </c>
      <c r="Z348" s="429">
        <v>90.2</v>
      </c>
      <c r="AA348" s="429">
        <v>90.2</v>
      </c>
      <c r="AB348" s="360">
        <v>0</v>
      </c>
      <c r="AC348" s="360">
        <v>0</v>
      </c>
      <c r="AD348" s="360">
        <v>0</v>
      </c>
      <c r="AE348" s="360">
        <v>0</v>
      </c>
      <c r="AF348" s="360">
        <v>0</v>
      </c>
      <c r="AG348" s="360">
        <v>0</v>
      </c>
      <c r="AH348" s="360">
        <f t="shared" si="21"/>
        <v>2180.3999999999996</v>
      </c>
      <c r="AI348" s="362">
        <f>ERP_5[[#This Row],[2026 Working Total]]-ERP_5[[#This Row],[LE2 Final Submission]]</f>
        <v>180.39999999999964</v>
      </c>
      <c r="AJ348" s="79">
        <v>0</v>
      </c>
      <c r="AK348" s="79">
        <f t="shared" si="20"/>
        <v>90.2</v>
      </c>
      <c r="AL348" s="374">
        <f>SUM(ERP_5[[#This Row],[AP01]:[AP06]])-SUM(ERP_5[[#This Row],[AP01 LE2]:[AP06 LE2]])</f>
        <v>180.39999999999964</v>
      </c>
      <c r="AM348" s="80"/>
      <c r="AN348" s="79">
        <f>ERP_5[[#This Row],[2026 Working Total to Budget/LE]]-ERP_5[[#This Row],[Giveback]]</f>
        <v>180.39999999999964</v>
      </c>
      <c r="AO348" s="81"/>
      <c r="AP348" s="375">
        <v>2000</v>
      </c>
      <c r="AQ348" s="375">
        <v>0</v>
      </c>
      <c r="AR348" s="375">
        <v>0</v>
      </c>
      <c r="AS348" s="375">
        <v>0</v>
      </c>
      <c r="AT348" s="375">
        <v>0</v>
      </c>
      <c r="AU348" s="375">
        <v>0</v>
      </c>
      <c r="AV348" s="375">
        <v>0</v>
      </c>
      <c r="AW348" s="375">
        <v>0</v>
      </c>
      <c r="AX348" s="375">
        <v>0</v>
      </c>
      <c r="AY348" s="375">
        <v>0</v>
      </c>
      <c r="AZ348" s="375">
        <v>0</v>
      </c>
      <c r="BA348" s="375">
        <v>0</v>
      </c>
      <c r="BB348" s="375">
        <v>2000</v>
      </c>
      <c r="BC348" s="79">
        <v>2000</v>
      </c>
      <c r="BD348" s="79">
        <v>0</v>
      </c>
      <c r="BE348" s="79">
        <v>0</v>
      </c>
      <c r="BF348" s="79">
        <v>0</v>
      </c>
      <c r="BG348" s="79">
        <v>0</v>
      </c>
      <c r="BH348" s="79">
        <v>0</v>
      </c>
      <c r="BI348" s="79">
        <v>0</v>
      </c>
      <c r="BJ348" s="79">
        <v>0</v>
      </c>
      <c r="BK348" s="79">
        <v>0</v>
      </c>
      <c r="BL348" s="79">
        <v>0</v>
      </c>
      <c r="BM348" s="79">
        <v>0</v>
      </c>
      <c r="BN348" s="79">
        <v>0</v>
      </c>
      <c r="BO348" s="79">
        <v>2000</v>
      </c>
    </row>
    <row r="349" spans="1:67" ht="15" customHeight="1">
      <c r="A349" s="66" t="s">
        <v>2275</v>
      </c>
      <c r="B349" s="66" t="s">
        <v>2276</v>
      </c>
      <c r="C349" s="150" t="s">
        <v>1136</v>
      </c>
      <c r="D349" s="150" t="s">
        <v>1135</v>
      </c>
      <c r="E349" s="150" t="s">
        <v>1165</v>
      </c>
      <c r="F349" s="150" t="s">
        <v>1137</v>
      </c>
      <c r="G349" s="511" t="s">
        <v>639</v>
      </c>
      <c r="H349" s="392" t="s">
        <v>2274</v>
      </c>
      <c r="I349" s="343"/>
      <c r="J349" s="343"/>
      <c r="K349" s="70" t="s">
        <v>673</v>
      </c>
      <c r="L349" s="346"/>
      <c r="M349" s="346" t="s">
        <v>1140</v>
      </c>
      <c r="N349" s="346"/>
      <c r="O349" s="150" t="s">
        <v>57</v>
      </c>
      <c r="P349" s="150"/>
      <c r="Q349" s="403"/>
      <c r="R349" s="406">
        <v>11109.88</v>
      </c>
      <c r="S349" s="406">
        <v>9249.9</v>
      </c>
      <c r="T349" s="425"/>
      <c r="U349" s="71"/>
      <c r="V349" s="426">
        <v>616.66</v>
      </c>
      <c r="W349" s="431">
        <v>0</v>
      </c>
      <c r="X349" s="427">
        <v>308.33</v>
      </c>
      <c r="Y349" s="428">
        <v>308.33</v>
      </c>
      <c r="Z349" s="429">
        <v>308.33</v>
      </c>
      <c r="AA349" s="429">
        <v>308.33</v>
      </c>
      <c r="AB349" s="363">
        <v>924.99</v>
      </c>
      <c r="AC349" s="363">
        <v>924.99</v>
      </c>
      <c r="AD349" s="363">
        <v>924.99</v>
      </c>
      <c r="AE349" s="363">
        <v>924.99</v>
      </c>
      <c r="AF349" s="363">
        <v>924.99</v>
      </c>
      <c r="AG349" s="363">
        <v>924.99</v>
      </c>
      <c r="AH349" s="360">
        <f t="shared" si="21"/>
        <v>7399.9199999999992</v>
      </c>
      <c r="AI349" s="362">
        <f>ERP_5[[#This Row],[2026 Working Total]]-ERP_5[[#This Row],[LE2 Final Submission]]</f>
        <v>-1849.9800000000005</v>
      </c>
      <c r="AJ349" s="79">
        <v>924.99</v>
      </c>
      <c r="AK349" s="79">
        <f t="shared" si="20"/>
        <v>-616.66000000000008</v>
      </c>
      <c r="AL349" s="374">
        <f>SUM(ERP_5[[#This Row],[AP01]:[AP06]])-SUM(ERP_5[[#This Row],[AP01 LE2]:[AP06 LE2]])</f>
        <v>-1849.9800000000002</v>
      </c>
      <c r="AM349" s="80"/>
      <c r="AN349" s="79">
        <f>ERP_5[[#This Row],[2026 Working Total to Budget/LE]]-ERP_5[[#This Row],[Giveback]]</f>
        <v>-1849.9800000000005</v>
      </c>
      <c r="AO349" s="81"/>
      <c r="AP349" s="375">
        <v>616.66</v>
      </c>
      <c r="AQ349" s="375">
        <v>0</v>
      </c>
      <c r="AR349" s="375">
        <v>308.33</v>
      </c>
      <c r="AS349" s="375">
        <v>924.99</v>
      </c>
      <c r="AT349" s="375">
        <v>924.99</v>
      </c>
      <c r="AU349" s="375">
        <v>924.99</v>
      </c>
      <c r="AV349" s="375">
        <v>924.99</v>
      </c>
      <c r="AW349" s="375">
        <v>924.99</v>
      </c>
      <c r="AX349" s="375">
        <v>924.99</v>
      </c>
      <c r="AY349" s="375">
        <v>924.99</v>
      </c>
      <c r="AZ349" s="375">
        <v>924.99</v>
      </c>
      <c r="BA349" s="375">
        <v>924.99</v>
      </c>
      <c r="BB349" s="375">
        <v>9249.9</v>
      </c>
      <c r="BC349" s="79">
        <v>616.66</v>
      </c>
      <c r="BD349" s="79">
        <v>0</v>
      </c>
      <c r="BE349" s="79">
        <v>308.33</v>
      </c>
      <c r="BF349" s="79">
        <v>924.99</v>
      </c>
      <c r="BG349" s="79">
        <v>924.99</v>
      </c>
      <c r="BH349" s="79">
        <v>924.99</v>
      </c>
      <c r="BI349" s="79">
        <v>924.99</v>
      </c>
      <c r="BJ349" s="79">
        <v>924.99</v>
      </c>
      <c r="BK349" s="79">
        <v>924.99</v>
      </c>
      <c r="BL349" s="79">
        <v>924.99</v>
      </c>
      <c r="BM349" s="79">
        <v>924.99</v>
      </c>
      <c r="BN349" s="79">
        <v>924.99</v>
      </c>
      <c r="BO349" s="79">
        <v>9249.9</v>
      </c>
    </row>
    <row r="350" spans="1:67" ht="15" customHeight="1">
      <c r="A350" s="79" t="s">
        <v>2271</v>
      </c>
      <c r="B350" s="296" t="s">
        <v>672</v>
      </c>
      <c r="C350" s="150" t="s">
        <v>1136</v>
      </c>
      <c r="D350" s="332" t="s">
        <v>1135</v>
      </c>
      <c r="E350" s="332" t="s">
        <v>1135</v>
      </c>
      <c r="F350" s="333" t="s">
        <v>1135</v>
      </c>
      <c r="G350" s="514" t="s">
        <v>639</v>
      </c>
      <c r="H350" s="394"/>
      <c r="I350" s="333"/>
      <c r="J350" s="333"/>
      <c r="K350" s="90" t="s">
        <v>673</v>
      </c>
      <c r="L350" s="347"/>
      <c r="M350" s="347"/>
      <c r="N350" s="348"/>
      <c r="O350" s="348"/>
      <c r="P350" s="348"/>
      <c r="Q350" s="402"/>
      <c r="R350" s="358"/>
      <c r="S350" s="379"/>
      <c r="T350" s="425"/>
      <c r="U350" s="71"/>
      <c r="V350" s="435"/>
      <c r="W350" s="436"/>
      <c r="X350" s="436"/>
      <c r="Y350" s="429"/>
      <c r="Z350" s="429"/>
      <c r="AA350" s="429">
        <v>308.33</v>
      </c>
      <c r="AB350" s="364"/>
      <c r="AC350" s="364"/>
      <c r="AD350" s="364"/>
      <c r="AE350" s="364"/>
      <c r="AF350" s="364"/>
      <c r="AG350" s="364"/>
      <c r="AH350" s="360">
        <f t="shared" si="21"/>
        <v>308.33</v>
      </c>
      <c r="AI350" s="362">
        <f>ERP_5[[#This Row],[2026 Working Total]]-ERP_5[[#This Row],[LE2 Final Submission]]</f>
        <v>308.33</v>
      </c>
      <c r="AJ350" s="79"/>
      <c r="AK350" s="79">
        <f t="shared" si="20"/>
        <v>308.33</v>
      </c>
      <c r="AL350" s="391">
        <f>SUM(ERP_5[[#This Row],[AP01]:[AP06]])-SUM(ERP_5[[#This Row],[AP01 LE2]:[AP06 LE2]])</f>
        <v>308.33</v>
      </c>
      <c r="AM350" s="80"/>
      <c r="AN350" s="79">
        <f>ERP_5[[#This Row],[2026 Working Total to Budget/LE]]-ERP_5[[#This Row],[Giveback]]</f>
        <v>308.33</v>
      </c>
      <c r="AO350" s="81"/>
      <c r="AP350" s="375"/>
      <c r="AQ350" s="375"/>
      <c r="AR350" s="375"/>
      <c r="AS350" s="375"/>
      <c r="AT350" s="375"/>
      <c r="AU350" s="375"/>
      <c r="AV350" s="375"/>
      <c r="AW350" s="375"/>
      <c r="AX350" s="375"/>
      <c r="AY350" s="375"/>
      <c r="AZ350" s="375"/>
      <c r="BA350" s="375"/>
      <c r="BB350" s="375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</row>
    <row r="351" spans="1:67" ht="15" customHeight="1">
      <c r="A351" s="66" t="s">
        <v>1702</v>
      </c>
      <c r="B351" s="66" t="s">
        <v>364</v>
      </c>
      <c r="C351" s="150" t="s">
        <v>1136</v>
      </c>
      <c r="D351" s="150" t="s">
        <v>1135</v>
      </c>
      <c r="E351" s="150" t="s">
        <v>1135</v>
      </c>
      <c r="F351" s="150" t="s">
        <v>1137</v>
      </c>
      <c r="G351" s="511" t="s">
        <v>342</v>
      </c>
      <c r="H351" s="392" t="s">
        <v>1703</v>
      </c>
      <c r="I351" s="343"/>
      <c r="J351" s="343"/>
      <c r="K351" s="70" t="s">
        <v>365</v>
      </c>
      <c r="L351" s="346"/>
      <c r="M351" s="346" t="s">
        <v>1140</v>
      </c>
      <c r="N351" s="346"/>
      <c r="O351" s="150" t="s">
        <v>57</v>
      </c>
      <c r="P351" s="150"/>
      <c r="Q351" s="403"/>
      <c r="R351" s="406">
        <v>0</v>
      </c>
      <c r="S351" s="406">
        <v>20</v>
      </c>
      <c r="T351" s="425"/>
      <c r="U351" s="71"/>
      <c r="V351" s="426">
        <v>20</v>
      </c>
      <c r="W351" s="431">
        <v>0</v>
      </c>
      <c r="X351" s="431">
        <v>0</v>
      </c>
      <c r="Y351" s="428">
        <v>22</v>
      </c>
      <c r="Z351" s="429">
        <v>0</v>
      </c>
      <c r="AA351" s="429">
        <v>2147</v>
      </c>
      <c r="AB351" s="360">
        <v>0</v>
      </c>
      <c r="AC351" s="360">
        <v>0</v>
      </c>
      <c r="AD351" s="360">
        <v>0</v>
      </c>
      <c r="AE351" s="360">
        <v>0</v>
      </c>
      <c r="AF351" s="360">
        <v>0</v>
      </c>
      <c r="AG351" s="360">
        <v>0</v>
      </c>
      <c r="AH351" s="360">
        <f t="shared" si="21"/>
        <v>2189</v>
      </c>
      <c r="AI351" s="362">
        <f>ERP_5[[#This Row],[2026 Working Total]]-ERP_5[[#This Row],[LE2 Final Submission]]</f>
        <v>2169</v>
      </c>
      <c r="AJ351" s="79">
        <v>0</v>
      </c>
      <c r="AK351" s="79">
        <f t="shared" si="20"/>
        <v>2147</v>
      </c>
      <c r="AL351" s="374">
        <f>SUM(ERP_5[[#This Row],[AP01]:[AP06]])-SUM(ERP_5[[#This Row],[AP01 LE2]:[AP06 LE2]])</f>
        <v>2169</v>
      </c>
      <c r="AM351" s="80"/>
      <c r="AN351" s="79">
        <f>ERP_5[[#This Row],[2026 Working Total to Budget/LE]]-ERP_5[[#This Row],[Giveback]]</f>
        <v>2169</v>
      </c>
      <c r="AO351" s="81"/>
      <c r="AP351" s="375">
        <v>20</v>
      </c>
      <c r="AQ351" s="375">
        <v>0</v>
      </c>
      <c r="AR351" s="375">
        <v>0</v>
      </c>
      <c r="AS351" s="375">
        <v>0</v>
      </c>
      <c r="AT351" s="375">
        <v>0</v>
      </c>
      <c r="AU351" s="375">
        <v>0</v>
      </c>
      <c r="AV351" s="375">
        <v>0</v>
      </c>
      <c r="AW351" s="375">
        <v>0</v>
      </c>
      <c r="AX351" s="375">
        <v>0</v>
      </c>
      <c r="AY351" s="375">
        <v>0</v>
      </c>
      <c r="AZ351" s="375">
        <v>0</v>
      </c>
      <c r="BA351" s="375">
        <v>0</v>
      </c>
      <c r="BB351" s="375">
        <v>20</v>
      </c>
      <c r="BC351" s="79">
        <v>20</v>
      </c>
      <c r="BD351" s="79">
        <v>0</v>
      </c>
      <c r="BE351" s="79">
        <v>0</v>
      </c>
      <c r="BF351" s="79">
        <v>0</v>
      </c>
      <c r="BG351" s="79">
        <v>0</v>
      </c>
      <c r="BH351" s="79">
        <v>0</v>
      </c>
      <c r="BI351" s="79">
        <v>0</v>
      </c>
      <c r="BJ351" s="79">
        <v>0</v>
      </c>
      <c r="BK351" s="79">
        <v>0</v>
      </c>
      <c r="BL351" s="79">
        <v>0</v>
      </c>
      <c r="BM351" s="79">
        <v>0</v>
      </c>
      <c r="BN351" s="79">
        <v>0</v>
      </c>
      <c r="BO351" s="79">
        <v>20</v>
      </c>
    </row>
    <row r="352" spans="1:67" ht="15" customHeight="1">
      <c r="A352" s="66" t="s">
        <v>2039</v>
      </c>
      <c r="B352" s="66" t="s">
        <v>542</v>
      </c>
      <c r="C352" s="150" t="s">
        <v>1136</v>
      </c>
      <c r="D352" s="150" t="s">
        <v>1345</v>
      </c>
      <c r="E352" s="150" t="s">
        <v>1450</v>
      </c>
      <c r="F352" s="150" t="s">
        <v>1346</v>
      </c>
      <c r="G352" s="511" t="s">
        <v>389</v>
      </c>
      <c r="H352" s="392" t="s">
        <v>1703</v>
      </c>
      <c r="I352" s="343"/>
      <c r="J352" s="343"/>
      <c r="K352" s="70" t="s">
        <v>365</v>
      </c>
      <c r="L352" s="346"/>
      <c r="M352" s="346" t="s">
        <v>1140</v>
      </c>
      <c r="N352" s="346"/>
      <c r="O352" s="150" t="s">
        <v>57</v>
      </c>
      <c r="P352" s="150"/>
      <c r="Q352" s="403"/>
      <c r="R352" s="406">
        <v>8220</v>
      </c>
      <c r="S352" s="406">
        <v>7536.92</v>
      </c>
      <c r="T352" s="430"/>
      <c r="U352" s="137"/>
      <c r="V352" s="426">
        <v>685.96</v>
      </c>
      <c r="W352" s="427">
        <v>685.96</v>
      </c>
      <c r="X352" s="431">
        <v>0</v>
      </c>
      <c r="Y352" s="428">
        <v>510.91</v>
      </c>
      <c r="Z352" s="429">
        <v>685.96</v>
      </c>
      <c r="AA352" s="429">
        <v>685.96</v>
      </c>
      <c r="AB352" s="363">
        <v>685</v>
      </c>
      <c r="AC352" s="363">
        <v>685</v>
      </c>
      <c r="AD352" s="363">
        <v>685</v>
      </c>
      <c r="AE352" s="363">
        <v>685</v>
      </c>
      <c r="AF352" s="363">
        <v>685</v>
      </c>
      <c r="AG352" s="363">
        <v>685</v>
      </c>
      <c r="AH352" s="360">
        <f t="shared" si="21"/>
        <v>7364.75</v>
      </c>
      <c r="AI352" s="362">
        <f>ERP_5[[#This Row],[2026 Working Total]]-ERP_5[[#This Row],[LE2 Final Submission]]</f>
        <v>-172.17000000000007</v>
      </c>
      <c r="AJ352" s="79">
        <v>685</v>
      </c>
      <c r="AK352" s="79">
        <f t="shared" si="20"/>
        <v>0.96000000000003638</v>
      </c>
      <c r="AL352" s="374">
        <f>SUM(ERP_5[[#This Row],[AP01]:[AP06]])-SUM(ERP_5[[#This Row],[AP01 LE2]:[AP06 LE2]])</f>
        <v>-172.17000000000007</v>
      </c>
      <c r="AM352" s="80"/>
      <c r="AN352" s="79">
        <f>ERP_5[[#This Row],[2026 Working Total to Budget/LE]]-ERP_5[[#This Row],[Giveback]]</f>
        <v>-172.17000000000007</v>
      </c>
      <c r="AO352" s="81"/>
      <c r="AP352" s="375">
        <v>685.96</v>
      </c>
      <c r="AQ352" s="375">
        <v>685.96</v>
      </c>
      <c r="AR352" s="375">
        <v>0</v>
      </c>
      <c r="AS352" s="375">
        <v>685</v>
      </c>
      <c r="AT352" s="375">
        <v>685</v>
      </c>
      <c r="AU352" s="375">
        <v>685</v>
      </c>
      <c r="AV352" s="375">
        <v>685</v>
      </c>
      <c r="AW352" s="375">
        <v>685</v>
      </c>
      <c r="AX352" s="375">
        <v>685</v>
      </c>
      <c r="AY352" s="375">
        <v>685</v>
      </c>
      <c r="AZ352" s="375">
        <v>685</v>
      </c>
      <c r="BA352" s="375">
        <v>685</v>
      </c>
      <c r="BB352" s="375">
        <v>7536.92</v>
      </c>
      <c r="BC352" s="79">
        <v>685.96</v>
      </c>
      <c r="BD352" s="79">
        <v>685.96</v>
      </c>
      <c r="BE352" s="79">
        <v>0</v>
      </c>
      <c r="BF352" s="79">
        <v>685</v>
      </c>
      <c r="BG352" s="79">
        <v>685</v>
      </c>
      <c r="BH352" s="79">
        <v>685</v>
      </c>
      <c r="BI352" s="79">
        <v>685</v>
      </c>
      <c r="BJ352" s="79">
        <v>685</v>
      </c>
      <c r="BK352" s="79">
        <v>685</v>
      </c>
      <c r="BL352" s="79">
        <v>685</v>
      </c>
      <c r="BM352" s="79">
        <v>685</v>
      </c>
      <c r="BN352" s="79">
        <v>685</v>
      </c>
      <c r="BO352" s="79">
        <v>7536.92</v>
      </c>
    </row>
    <row r="353" spans="1:67" ht="15" customHeight="1">
      <c r="A353" s="66" t="s">
        <v>1894</v>
      </c>
      <c r="B353" s="66" t="s">
        <v>464</v>
      </c>
      <c r="C353" s="150" t="s">
        <v>1136</v>
      </c>
      <c r="D353" s="150" t="s">
        <v>1135</v>
      </c>
      <c r="E353" s="150" t="s">
        <v>1135</v>
      </c>
      <c r="F353" s="150" t="s">
        <v>1137</v>
      </c>
      <c r="G353" s="511" t="s">
        <v>389</v>
      </c>
      <c r="H353" s="392" t="s">
        <v>1703</v>
      </c>
      <c r="I353" s="343"/>
      <c r="J353" s="343"/>
      <c r="K353" s="70" t="s">
        <v>365</v>
      </c>
      <c r="L353" s="346"/>
      <c r="M353" s="346" t="s">
        <v>1140</v>
      </c>
      <c r="N353" s="346"/>
      <c r="O353" s="150" t="s">
        <v>57</v>
      </c>
      <c r="P353" s="150"/>
      <c r="Q353" s="403"/>
      <c r="R353" s="406">
        <v>0</v>
      </c>
      <c r="S353" s="406">
        <v>5151.76</v>
      </c>
      <c r="T353" s="425"/>
      <c r="U353" s="71"/>
      <c r="V353" s="426">
        <v>1210.3599999999999</v>
      </c>
      <c r="W353" s="427">
        <v>1569.34</v>
      </c>
      <c r="X353" s="427">
        <v>2372.06</v>
      </c>
      <c r="Y353" s="428">
        <v>345.21</v>
      </c>
      <c r="Z353" s="429">
        <v>674.56</v>
      </c>
      <c r="AA353" s="429">
        <v>13726.56</v>
      </c>
      <c r="AB353" s="360">
        <v>0</v>
      </c>
      <c r="AC353" s="360">
        <v>0</v>
      </c>
      <c r="AD353" s="360">
        <v>0</v>
      </c>
      <c r="AE353" s="360">
        <v>0</v>
      </c>
      <c r="AF353" s="360">
        <v>0</v>
      </c>
      <c r="AG353" s="360">
        <v>0</v>
      </c>
      <c r="AH353" s="360">
        <f t="shared" si="21"/>
        <v>19898.09</v>
      </c>
      <c r="AI353" s="362">
        <f>ERP_5[[#This Row],[2026 Working Total]]-ERP_5[[#This Row],[LE2 Final Submission]]</f>
        <v>14746.33</v>
      </c>
      <c r="AJ353" s="79">
        <v>0</v>
      </c>
      <c r="AK353" s="79">
        <f t="shared" si="20"/>
        <v>13726.56</v>
      </c>
      <c r="AL353" s="374">
        <f>SUM(ERP_5[[#This Row],[AP01]:[AP06]])-SUM(ERP_5[[#This Row],[AP01 LE2]:[AP06 LE2]])</f>
        <v>14746.33</v>
      </c>
      <c r="AM353" s="80"/>
      <c r="AN353" s="79">
        <f>ERP_5[[#This Row],[2026 Working Total to Budget/LE]]-ERP_5[[#This Row],[Giveback]]</f>
        <v>14746.33</v>
      </c>
      <c r="AO353" s="81"/>
      <c r="AP353" s="375">
        <v>1210.3599999999999</v>
      </c>
      <c r="AQ353" s="375">
        <v>1569.34</v>
      </c>
      <c r="AR353" s="375">
        <v>2372.06</v>
      </c>
      <c r="AS353" s="375">
        <v>0</v>
      </c>
      <c r="AT353" s="375">
        <v>0</v>
      </c>
      <c r="AU353" s="375">
        <v>0</v>
      </c>
      <c r="AV353" s="375">
        <v>0</v>
      </c>
      <c r="AW353" s="375">
        <v>0</v>
      </c>
      <c r="AX353" s="375">
        <v>0</v>
      </c>
      <c r="AY353" s="375">
        <v>0</v>
      </c>
      <c r="AZ353" s="375">
        <v>0</v>
      </c>
      <c r="BA353" s="375">
        <v>0</v>
      </c>
      <c r="BB353" s="375">
        <v>5151.76</v>
      </c>
      <c r="BC353" s="79">
        <v>1210.3599999999999</v>
      </c>
      <c r="BD353" s="79">
        <v>1569.34</v>
      </c>
      <c r="BE353" s="79">
        <v>2372.06</v>
      </c>
      <c r="BF353" s="79">
        <v>0</v>
      </c>
      <c r="BG353" s="79">
        <v>0</v>
      </c>
      <c r="BH353" s="79">
        <v>0</v>
      </c>
      <c r="BI353" s="79">
        <v>0</v>
      </c>
      <c r="BJ353" s="79">
        <v>0</v>
      </c>
      <c r="BK353" s="79">
        <v>0</v>
      </c>
      <c r="BL353" s="79">
        <v>0</v>
      </c>
      <c r="BM353" s="79">
        <v>0</v>
      </c>
      <c r="BN353" s="79">
        <v>0</v>
      </c>
      <c r="BO353" s="79">
        <v>5151.76</v>
      </c>
    </row>
    <row r="354" spans="1:67" ht="15" customHeight="1">
      <c r="A354" s="66" t="s">
        <v>2277</v>
      </c>
      <c r="B354" s="66" t="s">
        <v>674</v>
      </c>
      <c r="C354" s="150" t="s">
        <v>1136</v>
      </c>
      <c r="D354" s="150" t="s">
        <v>1135</v>
      </c>
      <c r="E354" s="150" t="s">
        <v>1135</v>
      </c>
      <c r="F354" s="150" t="s">
        <v>1137</v>
      </c>
      <c r="G354" s="511" t="s">
        <v>639</v>
      </c>
      <c r="H354" s="392" t="s">
        <v>1703</v>
      </c>
      <c r="I354" s="343"/>
      <c r="J354" s="343"/>
      <c r="K354" s="70" t="s">
        <v>365</v>
      </c>
      <c r="L354" s="346"/>
      <c r="M354" s="346" t="s">
        <v>1140</v>
      </c>
      <c r="N354" s="346"/>
      <c r="O354" s="150" t="s">
        <v>57</v>
      </c>
      <c r="P354" s="150"/>
      <c r="Q354" s="403"/>
      <c r="R354" s="406">
        <v>0</v>
      </c>
      <c r="S354" s="406">
        <v>288</v>
      </c>
      <c r="T354" s="430"/>
      <c r="U354" s="137"/>
      <c r="V354" s="426"/>
      <c r="W354" s="427">
        <v>288</v>
      </c>
      <c r="X354" s="431">
        <v>0</v>
      </c>
      <c r="Y354" s="428">
        <v>0</v>
      </c>
      <c r="Z354" s="429">
        <v>800</v>
      </c>
      <c r="AA354" s="429">
        <v>0</v>
      </c>
      <c r="AB354" s="360">
        <v>0</v>
      </c>
      <c r="AC354" s="360">
        <v>0</v>
      </c>
      <c r="AD354" s="360">
        <v>0</v>
      </c>
      <c r="AE354" s="360">
        <v>0</v>
      </c>
      <c r="AF354" s="360">
        <v>0</v>
      </c>
      <c r="AG354" s="360">
        <v>0</v>
      </c>
      <c r="AH354" s="360">
        <f t="shared" si="21"/>
        <v>1088</v>
      </c>
      <c r="AI354" s="362">
        <f>ERP_5[[#This Row],[2026 Working Total]]-ERP_5[[#This Row],[LE2 Final Submission]]</f>
        <v>800</v>
      </c>
      <c r="AJ354" s="79">
        <v>0</v>
      </c>
      <c r="AK354" s="79">
        <f t="shared" si="20"/>
        <v>0</v>
      </c>
      <c r="AL354" s="374">
        <f>SUM(ERP_5[[#This Row],[AP01]:[AP06]])-SUM(ERP_5[[#This Row],[AP01 LE2]:[AP06 LE2]])</f>
        <v>800</v>
      </c>
      <c r="AM354" s="80"/>
      <c r="AN354" s="79">
        <f>ERP_5[[#This Row],[2026 Working Total to Budget/LE]]-ERP_5[[#This Row],[Giveback]]</f>
        <v>800</v>
      </c>
      <c r="AO354" s="81"/>
      <c r="AP354" s="375"/>
      <c r="AQ354" s="375">
        <v>288</v>
      </c>
      <c r="AR354" s="375">
        <v>0</v>
      </c>
      <c r="AS354" s="375">
        <v>0</v>
      </c>
      <c r="AT354" s="375">
        <v>0</v>
      </c>
      <c r="AU354" s="375">
        <v>0</v>
      </c>
      <c r="AV354" s="375">
        <v>0</v>
      </c>
      <c r="AW354" s="375">
        <v>0</v>
      </c>
      <c r="AX354" s="375">
        <v>0</v>
      </c>
      <c r="AY354" s="375">
        <v>0</v>
      </c>
      <c r="AZ354" s="375">
        <v>0</v>
      </c>
      <c r="BA354" s="375">
        <v>0</v>
      </c>
      <c r="BB354" s="375">
        <v>288</v>
      </c>
      <c r="BC354" s="79"/>
      <c r="BD354" s="79">
        <v>288</v>
      </c>
      <c r="BE354" s="79">
        <v>0</v>
      </c>
      <c r="BF354" s="79">
        <v>0</v>
      </c>
      <c r="BG354" s="79">
        <v>0</v>
      </c>
      <c r="BH354" s="79">
        <v>0</v>
      </c>
      <c r="BI354" s="79">
        <v>0</v>
      </c>
      <c r="BJ354" s="79">
        <v>0</v>
      </c>
      <c r="BK354" s="79">
        <v>0</v>
      </c>
      <c r="BL354" s="79">
        <v>0</v>
      </c>
      <c r="BM354" s="79">
        <v>0</v>
      </c>
      <c r="BN354" s="79">
        <v>0</v>
      </c>
      <c r="BO354" s="79">
        <v>288</v>
      </c>
    </row>
    <row r="355" spans="1:67" ht="15" customHeight="1">
      <c r="A355" s="66" t="s">
        <v>1704</v>
      </c>
      <c r="B355" s="66" t="s">
        <v>1705</v>
      </c>
      <c r="C355" s="150" t="s">
        <v>1136</v>
      </c>
      <c r="D355" s="150" t="s">
        <v>1135</v>
      </c>
      <c r="E355" s="150" t="s">
        <v>1137</v>
      </c>
      <c r="F355" s="150" t="s">
        <v>1137</v>
      </c>
      <c r="G355" s="511" t="s">
        <v>342</v>
      </c>
      <c r="H355" s="392" t="s">
        <v>1703</v>
      </c>
      <c r="I355" s="343"/>
      <c r="J355" s="343"/>
      <c r="K355" s="70" t="s">
        <v>365</v>
      </c>
      <c r="L355" s="346"/>
      <c r="M355" s="346" t="s">
        <v>1140</v>
      </c>
      <c r="N355" s="346"/>
      <c r="O355" s="150" t="s">
        <v>57</v>
      </c>
      <c r="P355" s="1" t="s">
        <v>1141</v>
      </c>
      <c r="Q355" s="403"/>
      <c r="R355" s="406">
        <v>0</v>
      </c>
      <c r="S355" s="406">
        <v>2955.3</v>
      </c>
      <c r="T355" s="425"/>
      <c r="U355" s="71"/>
      <c r="V355" s="426">
        <v>1146.01</v>
      </c>
      <c r="W355" s="431">
        <v>0</v>
      </c>
      <c r="X355" s="427">
        <v>1809.29</v>
      </c>
      <c r="Y355" s="428">
        <v>5504.11</v>
      </c>
      <c r="Z355" s="429">
        <v>299.02999999999997</v>
      </c>
      <c r="AA355" s="429">
        <v>0</v>
      </c>
      <c r="AB355" s="360">
        <v>0</v>
      </c>
      <c r="AC355" s="360">
        <v>0</v>
      </c>
      <c r="AD355" s="360">
        <v>0</v>
      </c>
      <c r="AE355" s="360">
        <v>0</v>
      </c>
      <c r="AF355" s="360">
        <v>0</v>
      </c>
      <c r="AG355" s="360">
        <v>0</v>
      </c>
      <c r="AH355" s="360">
        <f t="shared" si="21"/>
        <v>8758.44</v>
      </c>
      <c r="AI355" s="362">
        <f>ERP_5[[#This Row],[2026 Working Total]]-ERP_5[[#This Row],[LE2 Final Submission]]</f>
        <v>5803.14</v>
      </c>
      <c r="AJ355" s="79">
        <v>0</v>
      </c>
      <c r="AK355" s="79">
        <f t="shared" si="20"/>
        <v>0</v>
      </c>
      <c r="AL355" s="374">
        <f>SUM(ERP_5[[#This Row],[AP01]:[AP06]])-SUM(ERP_5[[#This Row],[AP01 LE2]:[AP06 LE2]])</f>
        <v>5803.14</v>
      </c>
      <c r="AM355" s="80"/>
      <c r="AN355" s="79">
        <f>ERP_5[[#This Row],[2026 Working Total to Budget/LE]]-ERP_5[[#This Row],[Giveback]]</f>
        <v>5803.14</v>
      </c>
      <c r="AO355" s="81"/>
      <c r="AP355" s="375">
        <v>1146.01</v>
      </c>
      <c r="AQ355" s="375">
        <v>0</v>
      </c>
      <c r="AR355" s="375">
        <v>1809.29</v>
      </c>
      <c r="AS355" s="375">
        <v>0</v>
      </c>
      <c r="AT355" s="375">
        <v>0</v>
      </c>
      <c r="AU355" s="375">
        <v>0</v>
      </c>
      <c r="AV355" s="375">
        <v>0</v>
      </c>
      <c r="AW355" s="375">
        <v>0</v>
      </c>
      <c r="AX355" s="375">
        <v>0</v>
      </c>
      <c r="AY355" s="375">
        <v>0</v>
      </c>
      <c r="AZ355" s="375">
        <v>0</v>
      </c>
      <c r="BA355" s="375">
        <v>0</v>
      </c>
      <c r="BB355" s="375">
        <v>2955.3</v>
      </c>
      <c r="BC355" s="79">
        <v>1146.01</v>
      </c>
      <c r="BD355" s="79">
        <v>0</v>
      </c>
      <c r="BE355" s="79">
        <v>1809.29</v>
      </c>
      <c r="BF355" s="79">
        <v>0</v>
      </c>
      <c r="BG355" s="79">
        <v>0</v>
      </c>
      <c r="BH355" s="79">
        <v>0</v>
      </c>
      <c r="BI355" s="79">
        <v>0</v>
      </c>
      <c r="BJ355" s="79">
        <v>0</v>
      </c>
      <c r="BK355" s="79">
        <v>0</v>
      </c>
      <c r="BL355" s="79">
        <v>0</v>
      </c>
      <c r="BM355" s="79">
        <v>0</v>
      </c>
      <c r="BN355" s="79">
        <v>0</v>
      </c>
      <c r="BO355" s="79">
        <v>2955.3</v>
      </c>
    </row>
    <row r="356" spans="1:67" ht="15" customHeight="1">
      <c r="A356" s="66" t="s">
        <v>2115</v>
      </c>
      <c r="B356" s="66" t="s">
        <v>2116</v>
      </c>
      <c r="C356" s="150" t="s">
        <v>1136</v>
      </c>
      <c r="D356" s="150" t="s">
        <v>1567</v>
      </c>
      <c r="E356" s="150" t="s">
        <v>1567</v>
      </c>
      <c r="F356" s="150" t="s">
        <v>1567</v>
      </c>
      <c r="G356" s="511" t="s">
        <v>389</v>
      </c>
      <c r="H356" s="392" t="s">
        <v>1703</v>
      </c>
      <c r="I356" s="343"/>
      <c r="J356" s="343"/>
      <c r="K356" s="70" t="s">
        <v>365</v>
      </c>
      <c r="L356" s="346"/>
      <c r="M356" s="346" t="s">
        <v>1140</v>
      </c>
      <c r="N356" s="346"/>
      <c r="O356" s="150" t="s">
        <v>57</v>
      </c>
      <c r="P356" s="150"/>
      <c r="Q356" s="403"/>
      <c r="R356" s="406">
        <v>18000</v>
      </c>
      <c r="S356" s="406">
        <v>15727.5</v>
      </c>
      <c r="T356" s="425"/>
      <c r="U356" s="71"/>
      <c r="V356" s="426">
        <v>2227.5</v>
      </c>
      <c r="W356" s="431">
        <v>0</v>
      </c>
      <c r="X356" s="431">
        <v>0</v>
      </c>
      <c r="Y356" s="428">
        <v>0</v>
      </c>
      <c r="Z356" s="429">
        <v>1.86</v>
      </c>
      <c r="AA356" s="429">
        <v>388.92</v>
      </c>
      <c r="AB356" s="363">
        <v>1500</v>
      </c>
      <c r="AC356" s="363">
        <v>1500</v>
      </c>
      <c r="AD356" s="363">
        <v>1500</v>
      </c>
      <c r="AE356" s="363">
        <v>1500</v>
      </c>
      <c r="AF356" s="363">
        <v>1500</v>
      </c>
      <c r="AG356" s="363">
        <v>1500</v>
      </c>
      <c r="AH356" s="360">
        <f t="shared" si="21"/>
        <v>11618.28</v>
      </c>
      <c r="AI356" s="362">
        <f>ERP_5[[#This Row],[2026 Working Total]]-ERP_5[[#This Row],[LE2 Final Submission]]</f>
        <v>-4109.2199999999993</v>
      </c>
      <c r="AJ356" s="79">
        <v>1500</v>
      </c>
      <c r="AK356" s="79">
        <f t="shared" si="20"/>
        <v>-1111.08</v>
      </c>
      <c r="AL356" s="374">
        <f>SUM(ERP_5[[#This Row],[AP01]:[AP06]])-SUM(ERP_5[[#This Row],[AP01 LE2]:[AP06 LE2]])</f>
        <v>-4109.2199999999993</v>
      </c>
      <c r="AM356" s="80"/>
      <c r="AN356" s="79">
        <f>ERP_5[[#This Row],[2026 Working Total to Budget/LE]]-ERP_5[[#This Row],[Giveback]]</f>
        <v>-4109.2199999999993</v>
      </c>
      <c r="AO356" s="81"/>
      <c r="AP356" s="375">
        <v>2227.5</v>
      </c>
      <c r="AQ356" s="375">
        <v>0</v>
      </c>
      <c r="AR356" s="375">
        <v>0</v>
      </c>
      <c r="AS356" s="375">
        <v>1500</v>
      </c>
      <c r="AT356" s="375">
        <v>1500</v>
      </c>
      <c r="AU356" s="375">
        <v>1500</v>
      </c>
      <c r="AV356" s="375">
        <v>1500</v>
      </c>
      <c r="AW356" s="375">
        <v>1500</v>
      </c>
      <c r="AX356" s="375">
        <v>1500</v>
      </c>
      <c r="AY356" s="375">
        <v>1500</v>
      </c>
      <c r="AZ356" s="375">
        <v>1500</v>
      </c>
      <c r="BA356" s="375">
        <v>1500</v>
      </c>
      <c r="BB356" s="375">
        <v>15727.5</v>
      </c>
      <c r="BC356" s="79">
        <v>2227.5</v>
      </c>
      <c r="BD356" s="79">
        <v>0</v>
      </c>
      <c r="BE356" s="79">
        <v>0</v>
      </c>
      <c r="BF356" s="79">
        <v>1500</v>
      </c>
      <c r="BG356" s="79">
        <v>1500</v>
      </c>
      <c r="BH356" s="79">
        <v>1500</v>
      </c>
      <c r="BI356" s="79">
        <v>1500</v>
      </c>
      <c r="BJ356" s="79">
        <v>1500</v>
      </c>
      <c r="BK356" s="79">
        <v>1500</v>
      </c>
      <c r="BL356" s="79">
        <v>1500</v>
      </c>
      <c r="BM356" s="79">
        <v>1500</v>
      </c>
      <c r="BN356" s="79">
        <v>1500</v>
      </c>
      <c r="BO356" s="79">
        <v>15727.5</v>
      </c>
    </row>
    <row r="357" spans="1:67" ht="15" customHeight="1">
      <c r="A357" s="66" t="s">
        <v>1749</v>
      </c>
      <c r="B357" s="66" t="s">
        <v>386</v>
      </c>
      <c r="C357" s="150" t="s">
        <v>1136</v>
      </c>
      <c r="D357" s="150" t="s">
        <v>1650</v>
      </c>
      <c r="E357" s="150" t="s">
        <v>1650</v>
      </c>
      <c r="F357" s="150" t="s">
        <v>1650</v>
      </c>
      <c r="G357" s="511" t="s">
        <v>342</v>
      </c>
      <c r="H357" s="392" t="s">
        <v>1703</v>
      </c>
      <c r="I357" s="343"/>
      <c r="J357" s="343"/>
      <c r="K357" s="70" t="s">
        <v>365</v>
      </c>
      <c r="L357" s="346"/>
      <c r="M357" s="346" t="s">
        <v>1140</v>
      </c>
      <c r="N357" s="346"/>
      <c r="O357" s="150" t="s">
        <v>57</v>
      </c>
      <c r="P357" s="150"/>
      <c r="Q357" s="403"/>
      <c r="R357" s="406">
        <v>0</v>
      </c>
      <c r="S357" s="406">
        <v>2902.66</v>
      </c>
      <c r="T357" s="425"/>
      <c r="U357" s="71"/>
      <c r="V357" s="426"/>
      <c r="W357" s="427"/>
      <c r="X357" s="427">
        <v>2902.66</v>
      </c>
      <c r="Y357" s="428">
        <v>229.1</v>
      </c>
      <c r="Z357" s="429">
        <v>87.28</v>
      </c>
      <c r="AA357" s="429">
        <v>0</v>
      </c>
      <c r="AB357" s="360">
        <v>0</v>
      </c>
      <c r="AC357" s="360">
        <v>0</v>
      </c>
      <c r="AD357" s="360">
        <v>0</v>
      </c>
      <c r="AE357" s="360">
        <v>0</v>
      </c>
      <c r="AF357" s="360">
        <v>0</v>
      </c>
      <c r="AG357" s="360">
        <v>0</v>
      </c>
      <c r="AH357" s="360">
        <f t="shared" si="21"/>
        <v>3219.04</v>
      </c>
      <c r="AI357" s="362">
        <f>ERP_5[[#This Row],[2026 Working Total]]-ERP_5[[#This Row],[LE2 Final Submission]]</f>
        <v>316.38000000000011</v>
      </c>
      <c r="AJ357" s="79">
        <v>0</v>
      </c>
      <c r="AK357" s="79">
        <f t="shared" si="20"/>
        <v>0</v>
      </c>
      <c r="AL357" s="374">
        <f>SUM(ERP_5[[#This Row],[AP01]:[AP06]])-SUM(ERP_5[[#This Row],[AP01 LE2]:[AP06 LE2]])</f>
        <v>316.38000000000011</v>
      </c>
      <c r="AM357" s="80"/>
      <c r="AN357" s="79">
        <f>ERP_5[[#This Row],[2026 Working Total to Budget/LE]]-ERP_5[[#This Row],[Giveback]]</f>
        <v>316.38000000000011</v>
      </c>
      <c r="AO357" s="81"/>
      <c r="AP357" s="375"/>
      <c r="AQ357" s="375"/>
      <c r="AR357" s="375">
        <v>2902.66</v>
      </c>
      <c r="AS357" s="375">
        <v>0</v>
      </c>
      <c r="AT357" s="375">
        <v>0</v>
      </c>
      <c r="AU357" s="375">
        <v>0</v>
      </c>
      <c r="AV357" s="375">
        <v>0</v>
      </c>
      <c r="AW357" s="375">
        <v>0</v>
      </c>
      <c r="AX357" s="375">
        <v>0</v>
      </c>
      <c r="AY357" s="375">
        <v>0</v>
      </c>
      <c r="AZ357" s="375">
        <v>0</v>
      </c>
      <c r="BA357" s="375">
        <v>0</v>
      </c>
      <c r="BB357" s="375">
        <v>2902.66</v>
      </c>
      <c r="BC357" s="79"/>
      <c r="BD357" s="79"/>
      <c r="BE357" s="79">
        <v>2902.66</v>
      </c>
      <c r="BF357" s="79">
        <v>0</v>
      </c>
      <c r="BG357" s="79">
        <v>0</v>
      </c>
      <c r="BH357" s="79">
        <v>0</v>
      </c>
      <c r="BI357" s="79">
        <v>0</v>
      </c>
      <c r="BJ357" s="79">
        <v>0</v>
      </c>
      <c r="BK357" s="79">
        <v>0</v>
      </c>
      <c r="BL357" s="79">
        <v>0</v>
      </c>
      <c r="BM357" s="79">
        <v>0</v>
      </c>
      <c r="BN357" s="79">
        <v>0</v>
      </c>
      <c r="BO357" s="79">
        <v>2902.66</v>
      </c>
    </row>
    <row r="358" spans="1:67" ht="15" customHeight="1">
      <c r="A358" s="66" t="s">
        <v>1895</v>
      </c>
      <c r="B358" s="66" t="s">
        <v>1896</v>
      </c>
      <c r="C358" s="150" t="s">
        <v>1136</v>
      </c>
      <c r="D358" s="150" t="s">
        <v>1135</v>
      </c>
      <c r="E358" s="150" t="s">
        <v>1137</v>
      </c>
      <c r="F358" s="150" t="s">
        <v>1137</v>
      </c>
      <c r="G358" s="511" t="s">
        <v>389</v>
      </c>
      <c r="H358" s="392" t="s">
        <v>1703</v>
      </c>
      <c r="I358" s="343"/>
      <c r="J358" s="343"/>
      <c r="K358" s="70" t="s">
        <v>365</v>
      </c>
      <c r="L358" s="346"/>
      <c r="M358" s="346" t="s">
        <v>1140</v>
      </c>
      <c r="N358" s="346"/>
      <c r="O358" s="150" t="s">
        <v>57</v>
      </c>
      <c r="P358" s="1" t="s">
        <v>1141</v>
      </c>
      <c r="Q358" s="403"/>
      <c r="R358" s="406">
        <v>3300</v>
      </c>
      <c r="S358" s="406">
        <v>1500</v>
      </c>
      <c r="T358" s="425"/>
      <c r="U358" s="71"/>
      <c r="V358" s="426"/>
      <c r="W358" s="427"/>
      <c r="X358" s="427"/>
      <c r="Y358" s="428">
        <v>0</v>
      </c>
      <c r="Z358" s="429">
        <v>0</v>
      </c>
      <c r="AA358" s="429">
        <v>-1.6999999999999886</v>
      </c>
      <c r="AB358" s="363">
        <v>300</v>
      </c>
      <c r="AC358" s="363">
        <v>300</v>
      </c>
      <c r="AD358" s="360">
        <v>0</v>
      </c>
      <c r="AE358" s="360">
        <v>0</v>
      </c>
      <c r="AF358" s="360">
        <v>0</v>
      </c>
      <c r="AG358" s="360">
        <v>0</v>
      </c>
      <c r="AH358" s="360">
        <f t="shared" si="21"/>
        <v>598.29999999999995</v>
      </c>
      <c r="AI358" s="362">
        <f>ERP_5[[#This Row],[2026 Working Total]]-ERP_5[[#This Row],[LE2 Final Submission]]</f>
        <v>-901.7</v>
      </c>
      <c r="AJ358" s="79">
        <v>300</v>
      </c>
      <c r="AK358" s="79">
        <f t="shared" si="20"/>
        <v>-301.7</v>
      </c>
      <c r="AL358" s="374">
        <f>SUM(ERP_5[[#This Row],[AP01]:[AP06]])-SUM(ERP_5[[#This Row],[AP01 LE2]:[AP06 LE2]])</f>
        <v>-901.7</v>
      </c>
      <c r="AM358" s="80"/>
      <c r="AN358" s="79">
        <f>ERP_5[[#This Row],[2026 Working Total to Budget/LE]]-ERP_5[[#This Row],[Giveback]]</f>
        <v>-901.7</v>
      </c>
      <c r="AO358" s="81"/>
      <c r="AP358" s="375"/>
      <c r="AQ358" s="375"/>
      <c r="AR358" s="375"/>
      <c r="AS358" s="375">
        <v>300</v>
      </c>
      <c r="AT358" s="375">
        <v>300</v>
      </c>
      <c r="AU358" s="375">
        <v>300</v>
      </c>
      <c r="AV358" s="375">
        <v>300</v>
      </c>
      <c r="AW358" s="375">
        <v>300</v>
      </c>
      <c r="AX358" s="375">
        <v>0</v>
      </c>
      <c r="AY358" s="375">
        <v>0</v>
      </c>
      <c r="AZ358" s="375">
        <v>0</v>
      </c>
      <c r="BA358" s="375">
        <v>0</v>
      </c>
      <c r="BB358" s="375">
        <v>1500</v>
      </c>
      <c r="BC358" s="79"/>
      <c r="BD358" s="79"/>
      <c r="BE358" s="79"/>
      <c r="BF358" s="79">
        <v>300</v>
      </c>
      <c r="BG358" s="79">
        <v>300</v>
      </c>
      <c r="BH358" s="79">
        <v>300</v>
      </c>
      <c r="BI358" s="79">
        <v>300</v>
      </c>
      <c r="BJ358" s="79">
        <v>300</v>
      </c>
      <c r="BK358" s="79">
        <v>0</v>
      </c>
      <c r="BL358" s="79">
        <v>0</v>
      </c>
      <c r="BM358" s="79">
        <v>0</v>
      </c>
      <c r="BN358" s="79">
        <v>0</v>
      </c>
      <c r="BO358" s="79">
        <v>1500</v>
      </c>
    </row>
    <row r="359" spans="1:67" ht="15" customHeight="1">
      <c r="A359" s="66" t="s">
        <v>1897</v>
      </c>
      <c r="B359" s="66" t="s">
        <v>1898</v>
      </c>
      <c r="C359" s="150" t="s">
        <v>1136</v>
      </c>
      <c r="D359" s="150" t="s">
        <v>1135</v>
      </c>
      <c r="E359" s="150" t="s">
        <v>1145</v>
      </c>
      <c r="F359" s="150" t="s">
        <v>1137</v>
      </c>
      <c r="G359" s="511" t="s">
        <v>389</v>
      </c>
      <c r="H359" s="392" t="s">
        <v>1703</v>
      </c>
      <c r="I359" s="343"/>
      <c r="J359" s="343"/>
      <c r="K359" s="70" t="s">
        <v>365</v>
      </c>
      <c r="L359" s="346"/>
      <c r="M359" s="346" t="s">
        <v>1140</v>
      </c>
      <c r="N359" s="346"/>
      <c r="O359" s="150" t="s">
        <v>57</v>
      </c>
      <c r="P359" s="150"/>
      <c r="Q359" s="403"/>
      <c r="R359" s="406">
        <v>240000</v>
      </c>
      <c r="S359" s="406">
        <v>230345.91999999998</v>
      </c>
      <c r="T359" s="425"/>
      <c r="U359" s="71"/>
      <c r="V359" s="426">
        <v>18590.2</v>
      </c>
      <c r="W359" s="427">
        <v>19113.38</v>
      </c>
      <c r="X359" s="427">
        <v>12642.34</v>
      </c>
      <c r="Y359" s="428">
        <v>21280.7</v>
      </c>
      <c r="Z359" s="429">
        <v>14563.560000000001</v>
      </c>
      <c r="AA359" s="429">
        <v>26235.370000000003</v>
      </c>
      <c r="AB359" s="363">
        <v>19000</v>
      </c>
      <c r="AC359" s="363">
        <v>19000</v>
      </c>
      <c r="AD359" s="363">
        <v>19000</v>
      </c>
      <c r="AE359" s="363">
        <v>19000</v>
      </c>
      <c r="AF359" s="363">
        <v>19000</v>
      </c>
      <c r="AG359" s="363">
        <v>19000</v>
      </c>
      <c r="AH359" s="360">
        <f t="shared" si="21"/>
        <v>226425.55</v>
      </c>
      <c r="AI359" s="362">
        <f>ERP_5[[#This Row],[2026 Working Total]]-ERP_5[[#This Row],[LE2 Final Submission]]</f>
        <v>-3920.3699999999953</v>
      </c>
      <c r="AJ359" s="79">
        <v>20000</v>
      </c>
      <c r="AK359" s="79">
        <f t="shared" si="20"/>
        <v>6235.3700000000026</v>
      </c>
      <c r="AL359" s="374">
        <f>SUM(ERP_5[[#This Row],[AP01]:[AP06]])-SUM(ERP_5[[#This Row],[AP01 LE2]:[AP06 LE2]])</f>
        <v>2079.6299999999901</v>
      </c>
      <c r="AM359" s="80"/>
      <c r="AN359" s="79">
        <f>ERP_5[[#This Row],[2026 Working Total to Budget/LE]]-ERP_5[[#This Row],[Giveback]]</f>
        <v>-3920.3699999999953</v>
      </c>
      <c r="AO359" s="81"/>
      <c r="AP359" s="375">
        <v>18590.2</v>
      </c>
      <c r="AQ359" s="375">
        <v>19113.38</v>
      </c>
      <c r="AR359" s="375">
        <v>12642.34</v>
      </c>
      <c r="AS359" s="375">
        <v>20000</v>
      </c>
      <c r="AT359" s="375">
        <v>20000</v>
      </c>
      <c r="AU359" s="375">
        <v>20000</v>
      </c>
      <c r="AV359" s="375">
        <v>20000</v>
      </c>
      <c r="AW359" s="375">
        <v>20000</v>
      </c>
      <c r="AX359" s="375">
        <v>20000</v>
      </c>
      <c r="AY359" s="375">
        <v>20000</v>
      </c>
      <c r="AZ359" s="375">
        <v>20000</v>
      </c>
      <c r="BA359" s="375">
        <v>20000</v>
      </c>
      <c r="BB359" s="375">
        <v>230345.91999999998</v>
      </c>
      <c r="BC359" s="79">
        <v>18590.2</v>
      </c>
      <c r="BD359" s="79">
        <v>19113.38</v>
      </c>
      <c r="BE359" s="79">
        <v>12642.34</v>
      </c>
      <c r="BF359" s="79">
        <v>20000</v>
      </c>
      <c r="BG359" s="79">
        <v>20000</v>
      </c>
      <c r="BH359" s="79">
        <v>20000</v>
      </c>
      <c r="BI359" s="79">
        <v>20000</v>
      </c>
      <c r="BJ359" s="79">
        <v>20000</v>
      </c>
      <c r="BK359" s="79">
        <v>20000</v>
      </c>
      <c r="BL359" s="79">
        <v>20000</v>
      </c>
      <c r="BM359" s="79">
        <v>20000</v>
      </c>
      <c r="BN359" s="79">
        <v>20000</v>
      </c>
      <c r="BO359" s="79">
        <v>230345.91999999998</v>
      </c>
    </row>
    <row r="360" spans="1:67" ht="15" customHeight="1">
      <c r="A360" s="66" t="s">
        <v>2022</v>
      </c>
      <c r="B360" s="66" t="s">
        <v>2023</v>
      </c>
      <c r="C360" s="150" t="s">
        <v>1136</v>
      </c>
      <c r="D360" s="150" t="s">
        <v>1345</v>
      </c>
      <c r="E360" s="150" t="s">
        <v>1437</v>
      </c>
      <c r="F360" s="150" t="s">
        <v>1346</v>
      </c>
      <c r="G360" s="511" t="s">
        <v>389</v>
      </c>
      <c r="H360" s="392" t="s">
        <v>1703</v>
      </c>
      <c r="I360" s="343"/>
      <c r="J360" s="343"/>
      <c r="K360" s="70" t="s">
        <v>365</v>
      </c>
      <c r="L360" s="346"/>
      <c r="M360" s="346" t="s">
        <v>1140</v>
      </c>
      <c r="N360" s="346"/>
      <c r="O360" s="150" t="s">
        <v>57</v>
      </c>
      <c r="P360" s="150"/>
      <c r="Q360" s="403"/>
      <c r="R360" s="406">
        <v>29055.720000000005</v>
      </c>
      <c r="S360" s="406">
        <v>28350.190000000002</v>
      </c>
      <c r="T360" s="425"/>
      <c r="U360" s="71"/>
      <c r="V360" s="426">
        <v>2204.83</v>
      </c>
      <c r="W360" s="427">
        <v>2275.48</v>
      </c>
      <c r="X360" s="427">
        <v>2078.09</v>
      </c>
      <c r="Y360" s="428">
        <v>6776.0599999999995</v>
      </c>
      <c r="Z360" s="429">
        <v>5361.06</v>
      </c>
      <c r="AA360" s="429">
        <v>754.37999999999988</v>
      </c>
      <c r="AB360" s="363">
        <v>2421.31</v>
      </c>
      <c r="AC360" s="363">
        <v>2421.31</v>
      </c>
      <c r="AD360" s="363">
        <v>2421.31</v>
      </c>
      <c r="AE360" s="363">
        <v>2421.31</v>
      </c>
      <c r="AF360" s="363">
        <v>2421.31</v>
      </c>
      <c r="AG360" s="363">
        <v>2421.31</v>
      </c>
      <c r="AH360" s="360">
        <f t="shared" si="21"/>
        <v>33977.760000000009</v>
      </c>
      <c r="AI360" s="362">
        <f>ERP_5[[#This Row],[2026 Working Total]]-ERP_5[[#This Row],[LE2 Final Submission]]</f>
        <v>5627.570000000007</v>
      </c>
      <c r="AJ360" s="79">
        <v>2421.31</v>
      </c>
      <c r="AK360" s="79">
        <f t="shared" si="20"/>
        <v>-1666.93</v>
      </c>
      <c r="AL360" s="374">
        <f>SUM(ERP_5[[#This Row],[AP01]:[AP06]])-SUM(ERP_5[[#This Row],[AP01 LE2]:[AP06 LE2]])</f>
        <v>5627.5700000000033</v>
      </c>
      <c r="AM360" s="80"/>
      <c r="AN360" s="79">
        <f>ERP_5[[#This Row],[2026 Working Total to Budget/LE]]-ERP_5[[#This Row],[Giveback]]</f>
        <v>5627.570000000007</v>
      </c>
      <c r="AO360" s="81"/>
      <c r="AP360" s="375">
        <v>2204.83</v>
      </c>
      <c r="AQ360" s="375">
        <v>2275.48</v>
      </c>
      <c r="AR360" s="375">
        <v>2078.09</v>
      </c>
      <c r="AS360" s="375">
        <v>2421.31</v>
      </c>
      <c r="AT360" s="375">
        <v>2421.31</v>
      </c>
      <c r="AU360" s="375">
        <v>2421.31</v>
      </c>
      <c r="AV360" s="375">
        <v>2421.31</v>
      </c>
      <c r="AW360" s="375">
        <v>2421.31</v>
      </c>
      <c r="AX360" s="375">
        <v>2421.31</v>
      </c>
      <c r="AY360" s="375">
        <v>2421.31</v>
      </c>
      <c r="AZ360" s="375">
        <v>2421.31</v>
      </c>
      <c r="BA360" s="375">
        <v>2421.31</v>
      </c>
      <c r="BB360" s="375">
        <v>28350.190000000002</v>
      </c>
      <c r="BC360" s="79">
        <v>2204.83</v>
      </c>
      <c r="BD360" s="79">
        <v>2275.48</v>
      </c>
      <c r="BE360" s="79">
        <v>2078.09</v>
      </c>
      <c r="BF360" s="79">
        <v>2421.31</v>
      </c>
      <c r="BG360" s="79">
        <v>2421.31</v>
      </c>
      <c r="BH360" s="79">
        <v>2421.31</v>
      </c>
      <c r="BI360" s="79">
        <v>2421.31</v>
      </c>
      <c r="BJ360" s="79">
        <v>2421.31</v>
      </c>
      <c r="BK360" s="79">
        <v>2421.31</v>
      </c>
      <c r="BL360" s="79">
        <v>2421.31</v>
      </c>
      <c r="BM360" s="79">
        <v>2421.31</v>
      </c>
      <c r="BN360" s="79">
        <v>2421.31</v>
      </c>
      <c r="BO360" s="79">
        <v>28350.190000000002</v>
      </c>
    </row>
    <row r="361" spans="1:67" ht="15" customHeight="1">
      <c r="A361" s="150" t="s">
        <v>2613</v>
      </c>
      <c r="B361" s="296" t="s">
        <v>906</v>
      </c>
      <c r="C361" s="150" t="s">
        <v>1136</v>
      </c>
      <c r="D361" s="150" t="s">
        <v>1345</v>
      </c>
      <c r="E361" s="332" t="s">
        <v>1344</v>
      </c>
      <c r="F361" s="331" t="s">
        <v>1346</v>
      </c>
      <c r="G361" s="514" t="s">
        <v>639</v>
      </c>
      <c r="H361" s="394" t="s">
        <v>2614</v>
      </c>
      <c r="I361" s="333"/>
      <c r="J361" s="332" t="s">
        <v>1363</v>
      </c>
      <c r="K361" s="90" t="s">
        <v>676</v>
      </c>
      <c r="L361" s="347"/>
      <c r="M361" s="347"/>
      <c r="N361" s="348"/>
      <c r="O361" s="348"/>
      <c r="P361" s="348"/>
      <c r="Q361" s="402"/>
      <c r="R361" s="406"/>
      <c r="S361" s="406"/>
      <c r="T361" s="425"/>
      <c r="U361" s="71"/>
      <c r="V361" s="435"/>
      <c r="W361" s="436"/>
      <c r="X361" s="436"/>
      <c r="Y361" s="429">
        <v>454</v>
      </c>
      <c r="Z361" s="429">
        <v>227</v>
      </c>
      <c r="AA361" s="429">
        <v>227</v>
      </c>
      <c r="AB361" s="364"/>
      <c r="AC361" s="364"/>
      <c r="AD361" s="364"/>
      <c r="AE361" s="364"/>
      <c r="AF361" s="364"/>
      <c r="AG361" s="364"/>
      <c r="AH361" s="360">
        <f t="shared" si="21"/>
        <v>908</v>
      </c>
      <c r="AI361" s="362">
        <f>ERP_5[[#This Row],[2026 Working Total]]-ERP_5[[#This Row],[LE2 Final Submission]]</f>
        <v>908</v>
      </c>
      <c r="AJ361" s="79"/>
      <c r="AK361" s="79">
        <f t="shared" si="20"/>
        <v>227</v>
      </c>
      <c r="AL361" s="374">
        <f>SUM(ERP_5[[#This Row],[AP01]:[AP06]])-SUM(ERP_5[[#This Row],[AP01 LE2]:[AP06 LE2]])</f>
        <v>908</v>
      </c>
      <c r="AM361" s="80"/>
      <c r="AN361" s="79">
        <f>ERP_5[[#This Row],[2026 Working Total to Budget/LE]]-ERP_5[[#This Row],[Giveback]]</f>
        <v>908</v>
      </c>
      <c r="AO361" s="81"/>
      <c r="AP361" s="375"/>
      <c r="AQ361" s="375"/>
      <c r="AR361" s="375"/>
      <c r="AS361" s="375"/>
      <c r="AT361" s="375"/>
      <c r="AU361" s="375"/>
      <c r="AV361" s="375"/>
      <c r="AW361" s="375"/>
      <c r="AX361" s="375"/>
      <c r="AY361" s="375"/>
      <c r="AZ361" s="375"/>
      <c r="BA361" s="375"/>
      <c r="BB361" s="375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</row>
    <row r="362" spans="1:67" ht="15" customHeight="1">
      <c r="A362" s="66" t="s">
        <v>2784</v>
      </c>
      <c r="B362" s="66" t="s">
        <v>2785</v>
      </c>
      <c r="C362" s="150" t="s">
        <v>1136</v>
      </c>
      <c r="D362" s="150" t="s">
        <v>1345</v>
      </c>
      <c r="E362" s="150" t="s">
        <v>1346</v>
      </c>
      <c r="F362" s="150" t="s">
        <v>1346</v>
      </c>
      <c r="G362" s="511" t="s">
        <v>639</v>
      </c>
      <c r="H362" s="392" t="s">
        <v>2285</v>
      </c>
      <c r="I362" s="343"/>
      <c r="J362" s="343"/>
      <c r="K362" s="70" t="s">
        <v>676</v>
      </c>
      <c r="L362" s="346"/>
      <c r="M362" s="346" t="s">
        <v>1140</v>
      </c>
      <c r="N362" s="346"/>
      <c r="O362" s="150" t="s">
        <v>677</v>
      </c>
      <c r="P362" s="150"/>
      <c r="Q362" s="403"/>
      <c r="R362" s="406">
        <v>6000</v>
      </c>
      <c r="S362" s="406">
        <v>13404.42</v>
      </c>
      <c r="T362" s="425"/>
      <c r="U362" s="71"/>
      <c r="V362" s="426">
        <v>542.75</v>
      </c>
      <c r="W362" s="427">
        <v>6823.51</v>
      </c>
      <c r="X362" s="427">
        <v>1538.16</v>
      </c>
      <c r="Y362" s="428">
        <v>1141.3400000000001</v>
      </c>
      <c r="Z362" s="429">
        <v>2127.96</v>
      </c>
      <c r="AA362" s="429">
        <v>672.49</v>
      </c>
      <c r="AB362" s="363">
        <v>500</v>
      </c>
      <c r="AC362" s="363">
        <v>500</v>
      </c>
      <c r="AD362" s="363">
        <v>500</v>
      </c>
      <c r="AE362" s="363">
        <v>500</v>
      </c>
      <c r="AF362" s="363">
        <v>500</v>
      </c>
      <c r="AG362" s="363">
        <v>500</v>
      </c>
      <c r="AH362" s="360">
        <f t="shared" si="21"/>
        <v>15846.210000000001</v>
      </c>
      <c r="AI362" s="362">
        <f>ERP_5[[#This Row],[2026 Working Total]]-ERP_5[[#This Row],[LE2 Final Submission]]</f>
        <v>2441.7900000000009</v>
      </c>
      <c r="AJ362" s="79">
        <v>500</v>
      </c>
      <c r="AK362" s="79">
        <f t="shared" si="20"/>
        <v>172.49</v>
      </c>
      <c r="AL362" s="374">
        <f>SUM(ERP_5[[#This Row],[AP01]:[AP06]])-SUM(ERP_5[[#This Row],[AP01 LE2]:[AP06 LE2]])</f>
        <v>2441.7900000000009</v>
      </c>
      <c r="AM362" s="80"/>
      <c r="AN362" s="79">
        <f>ERP_5[[#This Row],[2026 Working Total to Budget/LE]]-ERP_5[[#This Row],[Giveback]]</f>
        <v>2441.7900000000009</v>
      </c>
      <c r="AO362" s="81"/>
      <c r="AP362" s="375">
        <v>542.75</v>
      </c>
      <c r="AQ362" s="375">
        <v>6823.51</v>
      </c>
      <c r="AR362" s="375">
        <v>1538.16</v>
      </c>
      <c r="AS362" s="375">
        <v>500</v>
      </c>
      <c r="AT362" s="375">
        <v>500</v>
      </c>
      <c r="AU362" s="375">
        <v>500</v>
      </c>
      <c r="AV362" s="375">
        <v>500</v>
      </c>
      <c r="AW362" s="375">
        <v>500</v>
      </c>
      <c r="AX362" s="375">
        <v>500</v>
      </c>
      <c r="AY362" s="375">
        <v>500</v>
      </c>
      <c r="AZ362" s="375">
        <v>500</v>
      </c>
      <c r="BA362" s="375">
        <v>500</v>
      </c>
      <c r="BB362" s="375">
        <v>13404.42</v>
      </c>
      <c r="BC362" s="79">
        <v>542.75</v>
      </c>
      <c r="BD362" s="79">
        <v>6823.51</v>
      </c>
      <c r="BE362" s="79">
        <v>1538.16</v>
      </c>
      <c r="BF362" s="79">
        <v>500</v>
      </c>
      <c r="BG362" s="79">
        <v>500</v>
      </c>
      <c r="BH362" s="79">
        <v>500</v>
      </c>
      <c r="BI362" s="79">
        <v>500</v>
      </c>
      <c r="BJ362" s="79">
        <v>500</v>
      </c>
      <c r="BK362" s="79">
        <v>500</v>
      </c>
      <c r="BL362" s="79">
        <v>500</v>
      </c>
      <c r="BM362" s="79">
        <v>500</v>
      </c>
      <c r="BN362" s="79">
        <v>500</v>
      </c>
      <c r="BO362" s="79">
        <v>13404.42</v>
      </c>
    </row>
    <row r="363" spans="1:67" ht="15" customHeight="1">
      <c r="A363" s="66" t="s">
        <v>1899</v>
      </c>
      <c r="B363" s="66" t="s">
        <v>1900</v>
      </c>
      <c r="C363" s="150" t="s">
        <v>1136</v>
      </c>
      <c r="D363" s="150" t="s">
        <v>1135</v>
      </c>
      <c r="E363" s="150" t="s">
        <v>1165</v>
      </c>
      <c r="F363" s="150" t="s">
        <v>1137</v>
      </c>
      <c r="G363" s="511" t="s">
        <v>389</v>
      </c>
      <c r="H363" s="392" t="s">
        <v>1703</v>
      </c>
      <c r="I363" s="343"/>
      <c r="J363" s="343"/>
      <c r="K363" s="70" t="s">
        <v>365</v>
      </c>
      <c r="L363" s="346"/>
      <c r="M363" s="346" t="s">
        <v>1140</v>
      </c>
      <c r="N363" s="346"/>
      <c r="O363" s="150" t="s">
        <v>57</v>
      </c>
      <c r="P363" s="150"/>
      <c r="Q363" s="403"/>
      <c r="R363" s="406">
        <v>12000</v>
      </c>
      <c r="S363" s="406">
        <v>20372.89</v>
      </c>
      <c r="T363" s="425"/>
      <c r="U363" s="71"/>
      <c r="V363" s="426">
        <v>3485.94</v>
      </c>
      <c r="W363" s="427">
        <v>4743.4799999999996</v>
      </c>
      <c r="X363" s="427">
        <v>3143.47</v>
      </c>
      <c r="Y363" s="428">
        <v>1703.44</v>
      </c>
      <c r="Z363" s="429">
        <v>1676.8800000000003</v>
      </c>
      <c r="AA363" s="429">
        <v>3062.17</v>
      </c>
      <c r="AB363" s="363">
        <v>1000</v>
      </c>
      <c r="AC363" s="363">
        <v>1000</v>
      </c>
      <c r="AD363" s="363">
        <v>1000</v>
      </c>
      <c r="AE363" s="363">
        <v>1000</v>
      </c>
      <c r="AF363" s="363">
        <v>1000</v>
      </c>
      <c r="AG363" s="363">
        <v>1000</v>
      </c>
      <c r="AH363" s="360">
        <f t="shared" si="21"/>
        <v>23815.38</v>
      </c>
      <c r="AI363" s="362">
        <f>ERP_5[[#This Row],[2026 Working Total]]-ERP_5[[#This Row],[LE2 Final Submission]]</f>
        <v>3442.4900000000016</v>
      </c>
      <c r="AJ363" s="79">
        <v>1000</v>
      </c>
      <c r="AK363" s="79">
        <f t="shared" si="20"/>
        <v>2062.17</v>
      </c>
      <c r="AL363" s="374">
        <f>SUM(ERP_5[[#This Row],[AP01]:[AP06]])-SUM(ERP_5[[#This Row],[AP01 LE2]:[AP06 LE2]])</f>
        <v>3442.4900000000016</v>
      </c>
      <c r="AM363" s="80"/>
      <c r="AN363" s="79">
        <f>ERP_5[[#This Row],[2026 Working Total to Budget/LE]]-ERP_5[[#This Row],[Giveback]]</f>
        <v>3442.4900000000016</v>
      </c>
      <c r="AO363" s="81"/>
      <c r="AP363" s="375">
        <v>3485.94</v>
      </c>
      <c r="AQ363" s="375">
        <v>4743.4799999999996</v>
      </c>
      <c r="AR363" s="375">
        <v>3143.47</v>
      </c>
      <c r="AS363" s="375">
        <v>1000</v>
      </c>
      <c r="AT363" s="375">
        <v>1000</v>
      </c>
      <c r="AU363" s="375">
        <v>1000</v>
      </c>
      <c r="AV363" s="375">
        <v>1000</v>
      </c>
      <c r="AW363" s="375">
        <v>1000</v>
      </c>
      <c r="AX363" s="375">
        <v>1000</v>
      </c>
      <c r="AY363" s="375">
        <v>1000</v>
      </c>
      <c r="AZ363" s="375">
        <v>1000</v>
      </c>
      <c r="BA363" s="375">
        <v>1000</v>
      </c>
      <c r="BB363" s="375">
        <v>20372.89</v>
      </c>
      <c r="BC363" s="79">
        <v>3485.94</v>
      </c>
      <c r="BD363" s="79">
        <v>4743.4799999999996</v>
      </c>
      <c r="BE363" s="79">
        <v>3143.47</v>
      </c>
      <c r="BF363" s="79">
        <v>1000</v>
      </c>
      <c r="BG363" s="79">
        <v>1000</v>
      </c>
      <c r="BH363" s="79">
        <v>1000</v>
      </c>
      <c r="BI363" s="79">
        <v>1000</v>
      </c>
      <c r="BJ363" s="79">
        <v>1000</v>
      </c>
      <c r="BK363" s="79">
        <v>1000</v>
      </c>
      <c r="BL363" s="79">
        <v>1000</v>
      </c>
      <c r="BM363" s="79">
        <v>1000</v>
      </c>
      <c r="BN363" s="79">
        <v>1000</v>
      </c>
      <c r="BO363" s="79">
        <v>20372.89</v>
      </c>
    </row>
    <row r="364" spans="1:67" ht="15" customHeight="1">
      <c r="A364" s="66" t="s">
        <v>2679</v>
      </c>
      <c r="B364" s="66" t="s">
        <v>946</v>
      </c>
      <c r="C364" s="150" t="s">
        <v>1136</v>
      </c>
      <c r="D364" s="150" t="s">
        <v>1345</v>
      </c>
      <c r="E364" s="150" t="s">
        <v>1345</v>
      </c>
      <c r="F364" s="150" t="s">
        <v>1346</v>
      </c>
      <c r="G364" s="511" t="s">
        <v>639</v>
      </c>
      <c r="H364" s="392" t="s">
        <v>2285</v>
      </c>
      <c r="I364" s="343"/>
      <c r="J364" s="343"/>
      <c r="K364" s="70" t="s">
        <v>676</v>
      </c>
      <c r="L364" s="346"/>
      <c r="M364" s="346" t="s">
        <v>1140</v>
      </c>
      <c r="N364" s="346"/>
      <c r="O364" s="150" t="s">
        <v>677</v>
      </c>
      <c r="P364" s="150"/>
      <c r="Q364" s="403"/>
      <c r="R364" s="406">
        <v>275</v>
      </c>
      <c r="S364" s="406">
        <v>227</v>
      </c>
      <c r="T364" s="425"/>
      <c r="U364" s="71"/>
      <c r="V364" s="426"/>
      <c r="W364" s="427">
        <v>227</v>
      </c>
      <c r="X364" s="431">
        <v>0</v>
      </c>
      <c r="Y364" s="428">
        <v>0</v>
      </c>
      <c r="Z364" s="429">
        <v>0</v>
      </c>
      <c r="AA364" s="429">
        <v>0</v>
      </c>
      <c r="AB364" s="360">
        <v>0</v>
      </c>
      <c r="AC364" s="360">
        <v>0</v>
      </c>
      <c r="AD364" s="360">
        <v>0</v>
      </c>
      <c r="AE364" s="360">
        <v>0</v>
      </c>
      <c r="AF364" s="360">
        <v>0</v>
      </c>
      <c r="AG364" s="360">
        <v>0</v>
      </c>
      <c r="AH364" s="360">
        <f t="shared" si="21"/>
        <v>227</v>
      </c>
      <c r="AI364" s="362">
        <f>ERP_5[[#This Row],[2026 Working Total]]-ERP_5[[#This Row],[LE2 Final Submission]]</f>
        <v>0</v>
      </c>
      <c r="AJ364" s="79">
        <v>0</v>
      </c>
      <c r="AK364" s="79">
        <f t="shared" si="20"/>
        <v>0</v>
      </c>
      <c r="AL364" s="374">
        <f>SUM(ERP_5[[#This Row],[AP01]:[AP06]])-SUM(ERP_5[[#This Row],[AP01 LE2]:[AP06 LE2]])</f>
        <v>0</v>
      </c>
      <c r="AM364" s="80"/>
      <c r="AN364" s="79">
        <f>ERP_5[[#This Row],[2026 Working Total to Budget/LE]]-ERP_5[[#This Row],[Giveback]]</f>
        <v>0</v>
      </c>
      <c r="AO364" s="81"/>
      <c r="AP364" s="375"/>
      <c r="AQ364" s="375">
        <v>227</v>
      </c>
      <c r="AR364" s="375">
        <v>0</v>
      </c>
      <c r="AS364" s="375">
        <v>0</v>
      </c>
      <c r="AT364" s="375">
        <v>0</v>
      </c>
      <c r="AU364" s="375">
        <v>0</v>
      </c>
      <c r="AV364" s="375">
        <v>0</v>
      </c>
      <c r="AW364" s="375">
        <v>0</v>
      </c>
      <c r="AX364" s="375">
        <v>0</v>
      </c>
      <c r="AY364" s="375">
        <v>0</v>
      </c>
      <c r="AZ364" s="375">
        <v>0</v>
      </c>
      <c r="BA364" s="375">
        <v>0</v>
      </c>
      <c r="BB364" s="375">
        <v>227</v>
      </c>
      <c r="BC364" s="79"/>
      <c r="BD364" s="79">
        <v>227</v>
      </c>
      <c r="BE364" s="79">
        <v>0</v>
      </c>
      <c r="BF364" s="79">
        <v>0</v>
      </c>
      <c r="BG364" s="79">
        <v>0</v>
      </c>
      <c r="BH364" s="79">
        <v>0</v>
      </c>
      <c r="BI364" s="79">
        <v>0</v>
      </c>
      <c r="BJ364" s="79">
        <v>0</v>
      </c>
      <c r="BK364" s="79">
        <v>0</v>
      </c>
      <c r="BL364" s="79">
        <v>0</v>
      </c>
      <c r="BM364" s="79">
        <v>0</v>
      </c>
      <c r="BN364" s="79">
        <v>0</v>
      </c>
      <c r="BO364" s="79">
        <v>227</v>
      </c>
    </row>
    <row r="365" spans="1:67" ht="15" customHeight="1">
      <c r="A365" s="66" t="s">
        <v>2717</v>
      </c>
      <c r="B365" s="66" t="s">
        <v>967</v>
      </c>
      <c r="C365" s="150" t="s">
        <v>1136</v>
      </c>
      <c r="D365" s="150" t="s">
        <v>1345</v>
      </c>
      <c r="E365" s="150" t="s">
        <v>1480</v>
      </c>
      <c r="F365" s="150" t="s">
        <v>1346</v>
      </c>
      <c r="G365" s="511" t="s">
        <v>639</v>
      </c>
      <c r="H365" s="392" t="s">
        <v>2285</v>
      </c>
      <c r="I365" s="343"/>
      <c r="J365" s="343"/>
      <c r="K365" s="70" t="s">
        <v>676</v>
      </c>
      <c r="L365" s="346"/>
      <c r="M365" s="346" t="s">
        <v>1140</v>
      </c>
      <c r="N365" s="346"/>
      <c r="O365" s="150" t="s">
        <v>677</v>
      </c>
      <c r="P365" s="150"/>
      <c r="Q365" s="403"/>
      <c r="R365" s="406">
        <v>1100</v>
      </c>
      <c r="S365" s="406">
        <v>825</v>
      </c>
      <c r="T365" s="425"/>
      <c r="U365" s="71"/>
      <c r="V365" s="426"/>
      <c r="W365" s="427"/>
      <c r="X365" s="427"/>
      <c r="Y365" s="428" t="s">
        <v>1142</v>
      </c>
      <c r="Z365" s="429">
        <v>0</v>
      </c>
      <c r="AA365" s="429">
        <v>0</v>
      </c>
      <c r="AB365" s="360">
        <v>0</v>
      </c>
      <c r="AC365" s="360">
        <v>0</v>
      </c>
      <c r="AD365" s="363">
        <v>275</v>
      </c>
      <c r="AE365" s="360">
        <v>0</v>
      </c>
      <c r="AF365" s="360">
        <v>0</v>
      </c>
      <c r="AG365" s="363">
        <v>275</v>
      </c>
      <c r="AH365" s="360">
        <f t="shared" si="21"/>
        <v>550</v>
      </c>
      <c r="AI365" s="362">
        <f>ERP_5[[#This Row],[2026 Working Total]]-ERP_5[[#This Row],[LE2 Final Submission]]</f>
        <v>-275</v>
      </c>
      <c r="AJ365" s="79"/>
      <c r="AK365" s="79">
        <f t="shared" si="20"/>
        <v>0</v>
      </c>
      <c r="AL365" s="374">
        <f>SUM(ERP_5[[#This Row],[AP01]:[AP06]])-SUM(ERP_5[[#This Row],[AP01 LE2]:[AP06 LE2]])</f>
        <v>-275</v>
      </c>
      <c r="AM365" s="80"/>
      <c r="AN365" s="79">
        <f>ERP_5[[#This Row],[2026 Working Total to Budget/LE]]-ERP_5[[#This Row],[Giveback]]</f>
        <v>-275</v>
      </c>
      <c r="AO365" s="81"/>
      <c r="AP365" s="375"/>
      <c r="AQ365" s="375"/>
      <c r="AR365" s="375"/>
      <c r="AS365" s="375"/>
      <c r="AT365" s="375"/>
      <c r="AU365" s="375">
        <v>275</v>
      </c>
      <c r="AV365" s="375">
        <v>0</v>
      </c>
      <c r="AW365" s="375">
        <v>0</v>
      </c>
      <c r="AX365" s="375">
        <v>275</v>
      </c>
      <c r="AY365" s="375">
        <v>0</v>
      </c>
      <c r="AZ365" s="375">
        <v>0</v>
      </c>
      <c r="BA365" s="375">
        <v>275</v>
      </c>
      <c r="BB365" s="375">
        <v>825</v>
      </c>
      <c r="BC365" s="79"/>
      <c r="BD365" s="79"/>
      <c r="BE365" s="79"/>
      <c r="BF365" s="79"/>
      <c r="BG365" s="79"/>
      <c r="BH365" s="79">
        <v>275</v>
      </c>
      <c r="BI365" s="79">
        <v>0</v>
      </c>
      <c r="BJ365" s="79">
        <v>0</v>
      </c>
      <c r="BK365" s="79">
        <v>275</v>
      </c>
      <c r="BL365" s="79">
        <v>0</v>
      </c>
      <c r="BM365" s="79">
        <v>0</v>
      </c>
      <c r="BN365" s="79">
        <v>275</v>
      </c>
      <c r="BO365" s="79">
        <v>825</v>
      </c>
    </row>
    <row r="366" spans="1:67" ht="15" customHeight="1">
      <c r="A366" s="66" t="s">
        <v>2747</v>
      </c>
      <c r="B366" s="66" t="s">
        <v>984</v>
      </c>
      <c r="C366" s="150" t="s">
        <v>1136</v>
      </c>
      <c r="D366" s="150" t="s">
        <v>1345</v>
      </c>
      <c r="E366" s="150" t="s">
        <v>1515</v>
      </c>
      <c r="F366" s="150" t="s">
        <v>1346</v>
      </c>
      <c r="G366" s="511" t="s">
        <v>639</v>
      </c>
      <c r="H366" s="392" t="s">
        <v>2285</v>
      </c>
      <c r="I366" s="343"/>
      <c r="J366" s="343"/>
      <c r="K366" s="70" t="s">
        <v>676</v>
      </c>
      <c r="L366" s="346"/>
      <c r="M366" s="346" t="s">
        <v>1140</v>
      </c>
      <c r="N366" s="346"/>
      <c r="O366" s="150" t="s">
        <v>677</v>
      </c>
      <c r="P366" s="150"/>
      <c r="Q366" s="403"/>
      <c r="R366" s="406">
        <v>0</v>
      </c>
      <c r="S366" s="406">
        <v>218.38</v>
      </c>
      <c r="T366" s="425"/>
      <c r="U366" s="71"/>
      <c r="V366" s="426"/>
      <c r="W366" s="427"/>
      <c r="X366" s="427">
        <v>218.38</v>
      </c>
      <c r="Y366" s="428">
        <v>0</v>
      </c>
      <c r="Z366" s="429">
        <v>0</v>
      </c>
      <c r="AA366" s="429">
        <v>0</v>
      </c>
      <c r="AB366" s="360">
        <v>0</v>
      </c>
      <c r="AC366" s="360">
        <v>0</v>
      </c>
      <c r="AD366" s="360">
        <v>0</v>
      </c>
      <c r="AE366" s="360">
        <v>0</v>
      </c>
      <c r="AF366" s="360">
        <v>0</v>
      </c>
      <c r="AG366" s="360">
        <v>0</v>
      </c>
      <c r="AH366" s="360">
        <f t="shared" si="21"/>
        <v>218.38</v>
      </c>
      <c r="AI366" s="362">
        <f>ERP_5[[#This Row],[2026 Working Total]]-ERP_5[[#This Row],[LE2 Final Submission]]</f>
        <v>0</v>
      </c>
      <c r="AJ366" s="79">
        <v>0</v>
      </c>
      <c r="AK366" s="79">
        <f t="shared" si="20"/>
        <v>0</v>
      </c>
      <c r="AL366" s="374">
        <f>SUM(ERP_5[[#This Row],[AP01]:[AP06]])-SUM(ERP_5[[#This Row],[AP01 LE2]:[AP06 LE2]])</f>
        <v>0</v>
      </c>
      <c r="AM366" s="80"/>
      <c r="AN366" s="79">
        <f>ERP_5[[#This Row],[2026 Working Total to Budget/LE]]-ERP_5[[#This Row],[Giveback]]</f>
        <v>0</v>
      </c>
      <c r="AO366" s="81"/>
      <c r="AP366" s="375"/>
      <c r="AQ366" s="375"/>
      <c r="AR366" s="375">
        <v>218.38</v>
      </c>
      <c r="AS366" s="375">
        <v>0</v>
      </c>
      <c r="AT366" s="375">
        <v>0</v>
      </c>
      <c r="AU366" s="375">
        <v>0</v>
      </c>
      <c r="AV366" s="375">
        <v>0</v>
      </c>
      <c r="AW366" s="375">
        <v>0</v>
      </c>
      <c r="AX366" s="375">
        <v>0</v>
      </c>
      <c r="AY366" s="375">
        <v>0</v>
      </c>
      <c r="AZ366" s="375">
        <v>0</v>
      </c>
      <c r="BA366" s="375">
        <v>0</v>
      </c>
      <c r="BB366" s="375">
        <v>218.38</v>
      </c>
      <c r="BC366" s="79"/>
      <c r="BD366" s="79"/>
      <c r="BE366" s="79">
        <v>218.38</v>
      </c>
      <c r="BF366" s="79">
        <v>0</v>
      </c>
      <c r="BG366" s="79">
        <v>0</v>
      </c>
      <c r="BH366" s="79">
        <v>0</v>
      </c>
      <c r="BI366" s="79">
        <v>0</v>
      </c>
      <c r="BJ366" s="79">
        <v>0</v>
      </c>
      <c r="BK366" s="79">
        <v>0</v>
      </c>
      <c r="BL366" s="79">
        <v>0</v>
      </c>
      <c r="BM366" s="79">
        <v>0</v>
      </c>
      <c r="BN366" s="79">
        <v>0</v>
      </c>
      <c r="BO366" s="79">
        <v>218.38</v>
      </c>
    </row>
    <row r="367" spans="1:67" ht="15" customHeight="1">
      <c r="A367" s="66" t="s">
        <v>2280</v>
      </c>
      <c r="B367" s="66" t="s">
        <v>2281</v>
      </c>
      <c r="C367" s="150" t="s">
        <v>1136</v>
      </c>
      <c r="D367" s="150" t="s">
        <v>1135</v>
      </c>
      <c r="E367" s="150" t="s">
        <v>1165</v>
      </c>
      <c r="F367" s="150" t="s">
        <v>1137</v>
      </c>
      <c r="G367" s="511" t="s">
        <v>639</v>
      </c>
      <c r="H367" s="392" t="s">
        <v>1703</v>
      </c>
      <c r="I367" s="343"/>
      <c r="J367" s="343"/>
      <c r="K367" s="70" t="s">
        <v>365</v>
      </c>
      <c r="L367" s="346"/>
      <c r="M367" s="346" t="s">
        <v>1140</v>
      </c>
      <c r="N367" s="346"/>
      <c r="O367" s="150" t="s">
        <v>57</v>
      </c>
      <c r="P367" s="150"/>
      <c r="Q367" s="403"/>
      <c r="R367" s="406">
        <v>0</v>
      </c>
      <c r="S367" s="406">
        <v>18.920000000000002</v>
      </c>
      <c r="T367" s="425"/>
      <c r="U367" s="71"/>
      <c r="V367" s="426"/>
      <c r="W367" s="427">
        <v>18.920000000000002</v>
      </c>
      <c r="X367" s="431">
        <v>0</v>
      </c>
      <c r="Y367" s="428">
        <v>0</v>
      </c>
      <c r="Z367" s="429">
        <v>0</v>
      </c>
      <c r="AA367" s="429">
        <v>0</v>
      </c>
      <c r="AB367" s="360">
        <v>0</v>
      </c>
      <c r="AC367" s="360">
        <v>0</v>
      </c>
      <c r="AD367" s="360">
        <v>0</v>
      </c>
      <c r="AE367" s="360">
        <v>0</v>
      </c>
      <c r="AF367" s="360">
        <v>0</v>
      </c>
      <c r="AG367" s="360">
        <v>0</v>
      </c>
      <c r="AH367" s="360">
        <f t="shared" si="21"/>
        <v>18.920000000000002</v>
      </c>
      <c r="AI367" s="362">
        <f>ERP_5[[#This Row],[2026 Working Total]]-ERP_5[[#This Row],[LE2 Final Submission]]</f>
        <v>0</v>
      </c>
      <c r="AJ367" s="79">
        <v>0</v>
      </c>
      <c r="AK367" s="79">
        <f t="shared" si="20"/>
        <v>0</v>
      </c>
      <c r="AL367" s="374">
        <f>SUM(ERP_5[[#This Row],[AP01]:[AP06]])-SUM(ERP_5[[#This Row],[AP01 LE2]:[AP06 LE2]])</f>
        <v>0</v>
      </c>
      <c r="AM367" s="80"/>
      <c r="AN367" s="79">
        <f>ERP_5[[#This Row],[2026 Working Total to Budget/LE]]-ERP_5[[#This Row],[Giveback]]</f>
        <v>0</v>
      </c>
      <c r="AO367" s="81"/>
      <c r="AP367" s="375"/>
      <c r="AQ367" s="375">
        <v>18.920000000000002</v>
      </c>
      <c r="AR367" s="375">
        <v>0</v>
      </c>
      <c r="AS367" s="375">
        <v>0</v>
      </c>
      <c r="AT367" s="375">
        <v>0</v>
      </c>
      <c r="AU367" s="375">
        <v>0</v>
      </c>
      <c r="AV367" s="375">
        <v>0</v>
      </c>
      <c r="AW367" s="375">
        <v>0</v>
      </c>
      <c r="AX367" s="375">
        <v>0</v>
      </c>
      <c r="AY367" s="375">
        <v>0</v>
      </c>
      <c r="AZ367" s="375">
        <v>0</v>
      </c>
      <c r="BA367" s="375">
        <v>0</v>
      </c>
      <c r="BB367" s="375">
        <v>18.920000000000002</v>
      </c>
      <c r="BC367" s="79"/>
      <c r="BD367" s="79">
        <v>18.920000000000002</v>
      </c>
      <c r="BE367" s="79">
        <v>0</v>
      </c>
      <c r="BF367" s="79">
        <v>0</v>
      </c>
      <c r="BG367" s="79">
        <v>0</v>
      </c>
      <c r="BH367" s="79">
        <v>0</v>
      </c>
      <c r="BI367" s="79">
        <v>0</v>
      </c>
      <c r="BJ367" s="79">
        <v>0</v>
      </c>
      <c r="BK367" s="79">
        <v>0</v>
      </c>
      <c r="BL367" s="79">
        <v>0</v>
      </c>
      <c r="BM367" s="79">
        <v>0</v>
      </c>
      <c r="BN367" s="79">
        <v>0</v>
      </c>
      <c r="BO367" s="79">
        <v>18.920000000000002</v>
      </c>
    </row>
    <row r="368" spans="1:67" ht="15" customHeight="1">
      <c r="A368" s="79" t="s">
        <v>2278</v>
      </c>
      <c r="B368" s="296" t="s">
        <v>2279</v>
      </c>
      <c r="C368" s="150" t="s">
        <v>1136</v>
      </c>
      <c r="D368" s="332" t="s">
        <v>1135</v>
      </c>
      <c r="E368" s="332" t="s">
        <v>1137</v>
      </c>
      <c r="F368" s="333" t="s">
        <v>1135</v>
      </c>
      <c r="G368" s="514" t="s">
        <v>639</v>
      </c>
      <c r="H368" s="394"/>
      <c r="I368" s="333"/>
      <c r="J368" s="333"/>
      <c r="K368" s="90" t="s">
        <v>365</v>
      </c>
      <c r="L368" s="347"/>
      <c r="M368" s="347"/>
      <c r="N368" s="348"/>
      <c r="O368" s="348"/>
      <c r="P368" s="1" t="s">
        <v>1141</v>
      </c>
      <c r="Q368" s="402"/>
      <c r="R368" s="358"/>
      <c r="S368" s="379"/>
      <c r="T368" s="425"/>
      <c r="U368" s="71"/>
      <c r="V368" s="435"/>
      <c r="W368" s="436"/>
      <c r="X368" s="436"/>
      <c r="Y368" s="429"/>
      <c r="Z368" s="429"/>
      <c r="AA368" s="429">
        <v>446.19</v>
      </c>
      <c r="AB368" s="364"/>
      <c r="AC368" s="364"/>
      <c r="AD368" s="364"/>
      <c r="AE368" s="364"/>
      <c r="AF368" s="364"/>
      <c r="AG368" s="364"/>
      <c r="AH368" s="360">
        <f t="shared" si="21"/>
        <v>446.19</v>
      </c>
      <c r="AI368" s="362">
        <f>ERP_5[[#This Row],[2026 Working Total]]-ERP_5[[#This Row],[LE2 Final Submission]]</f>
        <v>446.19</v>
      </c>
      <c r="AJ368" s="79"/>
      <c r="AK368" s="79">
        <f t="shared" si="20"/>
        <v>446.19</v>
      </c>
      <c r="AL368" s="391">
        <f>SUM(ERP_5[[#This Row],[AP01]:[AP06]])-SUM(ERP_5[[#This Row],[AP01 LE2]:[AP06 LE2]])</f>
        <v>446.19</v>
      </c>
      <c r="AM368" s="80"/>
      <c r="AN368" s="79">
        <f>ERP_5[[#This Row],[2026 Working Total to Budget/LE]]-ERP_5[[#This Row],[Giveback]]</f>
        <v>446.19</v>
      </c>
      <c r="AO368" s="81"/>
      <c r="AP368" s="375"/>
      <c r="AQ368" s="375"/>
      <c r="AR368" s="375"/>
      <c r="AS368" s="375"/>
      <c r="AT368" s="375"/>
      <c r="AU368" s="375"/>
      <c r="AV368" s="375"/>
      <c r="AW368" s="375"/>
      <c r="AX368" s="375"/>
      <c r="AY368" s="375"/>
      <c r="AZ368" s="375"/>
      <c r="BA368" s="375"/>
      <c r="BB368" s="375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</row>
    <row r="369" spans="1:67" ht="15" customHeight="1">
      <c r="A369" s="66" t="s">
        <v>2786</v>
      </c>
      <c r="B369" s="66" t="s">
        <v>2787</v>
      </c>
      <c r="C369" s="150" t="s">
        <v>1136</v>
      </c>
      <c r="D369" s="150" t="s">
        <v>1567</v>
      </c>
      <c r="E369" s="150" t="s">
        <v>1567</v>
      </c>
      <c r="F369" s="150" t="s">
        <v>1567</v>
      </c>
      <c r="G369" s="511" t="s">
        <v>639</v>
      </c>
      <c r="H369" s="392" t="s">
        <v>2285</v>
      </c>
      <c r="I369" s="343"/>
      <c r="J369" s="343"/>
      <c r="K369" s="70" t="s">
        <v>676</v>
      </c>
      <c r="L369" s="346"/>
      <c r="M369" s="346" t="s">
        <v>1140</v>
      </c>
      <c r="N369" s="346"/>
      <c r="O369" s="150" t="s">
        <v>677</v>
      </c>
      <c r="P369" s="150"/>
      <c r="Q369" s="403"/>
      <c r="R369" s="406">
        <v>0</v>
      </c>
      <c r="S369" s="406">
        <v>934.17</v>
      </c>
      <c r="T369" s="425"/>
      <c r="U369" s="71"/>
      <c r="V369" s="426">
        <v>253.17</v>
      </c>
      <c r="W369" s="427">
        <v>681</v>
      </c>
      <c r="X369" s="431">
        <v>0</v>
      </c>
      <c r="Y369" s="428">
        <v>0</v>
      </c>
      <c r="Z369" s="429">
        <v>681</v>
      </c>
      <c r="AA369" s="429">
        <v>0</v>
      </c>
      <c r="AB369" s="360">
        <v>0</v>
      </c>
      <c r="AC369" s="360">
        <v>0</v>
      </c>
      <c r="AD369" s="360">
        <v>0</v>
      </c>
      <c r="AE369" s="360">
        <v>0</v>
      </c>
      <c r="AF369" s="360">
        <v>0</v>
      </c>
      <c r="AG369" s="360">
        <v>0</v>
      </c>
      <c r="AH369" s="360">
        <f t="shared" si="21"/>
        <v>1615.17</v>
      </c>
      <c r="AI369" s="362">
        <f>ERP_5[[#This Row],[2026 Working Total]]-ERP_5[[#This Row],[LE2 Final Submission]]</f>
        <v>681.00000000000011</v>
      </c>
      <c r="AJ369" s="79">
        <v>0</v>
      </c>
      <c r="AK369" s="79">
        <f t="shared" si="20"/>
        <v>0</v>
      </c>
      <c r="AL369" s="374">
        <f>SUM(ERP_5[[#This Row],[AP01]:[AP06]])-SUM(ERP_5[[#This Row],[AP01 LE2]:[AP06 LE2]])</f>
        <v>681.00000000000011</v>
      </c>
      <c r="AM369" s="80"/>
      <c r="AN369" s="79">
        <f>ERP_5[[#This Row],[2026 Working Total to Budget/LE]]-ERP_5[[#This Row],[Giveback]]</f>
        <v>681.00000000000011</v>
      </c>
      <c r="AO369" s="81"/>
      <c r="AP369" s="375">
        <v>253.17</v>
      </c>
      <c r="AQ369" s="375">
        <v>681</v>
      </c>
      <c r="AR369" s="375">
        <v>0</v>
      </c>
      <c r="AS369" s="375">
        <v>0</v>
      </c>
      <c r="AT369" s="375">
        <v>0</v>
      </c>
      <c r="AU369" s="375">
        <v>0</v>
      </c>
      <c r="AV369" s="375">
        <v>0</v>
      </c>
      <c r="AW369" s="375">
        <v>0</v>
      </c>
      <c r="AX369" s="375">
        <v>0</v>
      </c>
      <c r="AY369" s="375">
        <v>0</v>
      </c>
      <c r="AZ369" s="375">
        <v>0</v>
      </c>
      <c r="BA369" s="375">
        <v>0</v>
      </c>
      <c r="BB369" s="375">
        <v>934.17</v>
      </c>
      <c r="BC369" s="79">
        <v>253.17</v>
      </c>
      <c r="BD369" s="79">
        <v>681</v>
      </c>
      <c r="BE369" s="79">
        <v>0</v>
      </c>
      <c r="BF369" s="79">
        <v>0</v>
      </c>
      <c r="BG369" s="79">
        <v>0</v>
      </c>
      <c r="BH369" s="79">
        <v>0</v>
      </c>
      <c r="BI369" s="79">
        <v>0</v>
      </c>
      <c r="BJ369" s="79">
        <v>0</v>
      </c>
      <c r="BK369" s="79">
        <v>0</v>
      </c>
      <c r="BL369" s="79">
        <v>0</v>
      </c>
      <c r="BM369" s="79">
        <v>0</v>
      </c>
      <c r="BN369" s="79">
        <v>0</v>
      </c>
      <c r="BO369" s="79">
        <v>934.17</v>
      </c>
    </row>
    <row r="370" spans="1:67" ht="15" customHeight="1">
      <c r="A370" s="66" t="s">
        <v>2810</v>
      </c>
      <c r="B370" s="66" t="s">
        <v>1017</v>
      </c>
      <c r="C370" s="150" t="s">
        <v>1136</v>
      </c>
      <c r="D370" s="150" t="s">
        <v>1650</v>
      </c>
      <c r="E370" s="150" t="s">
        <v>1650</v>
      </c>
      <c r="F370" s="150" t="s">
        <v>1650</v>
      </c>
      <c r="G370" s="511" t="s">
        <v>639</v>
      </c>
      <c r="H370" s="392" t="s">
        <v>2285</v>
      </c>
      <c r="I370" s="343"/>
      <c r="J370" s="343"/>
      <c r="K370" s="70" t="s">
        <v>676</v>
      </c>
      <c r="L370" s="346"/>
      <c r="M370" s="346" t="s">
        <v>1140</v>
      </c>
      <c r="N370" s="346"/>
      <c r="O370" s="150" t="s">
        <v>677</v>
      </c>
      <c r="P370" s="150"/>
      <c r="Q370" s="403"/>
      <c r="R370" s="406">
        <v>838.44</v>
      </c>
      <c r="S370" s="406">
        <v>1759.95</v>
      </c>
      <c r="T370" s="425"/>
      <c r="U370" s="71"/>
      <c r="V370" s="426"/>
      <c r="W370" s="427">
        <v>921.51</v>
      </c>
      <c r="X370" s="431">
        <v>0</v>
      </c>
      <c r="Y370" s="428">
        <v>717.38</v>
      </c>
      <c r="Z370" s="429">
        <v>227</v>
      </c>
      <c r="AA370" s="429">
        <v>0</v>
      </c>
      <c r="AB370" s="360">
        <v>0</v>
      </c>
      <c r="AC370" s="363">
        <v>550</v>
      </c>
      <c r="AD370" s="363">
        <v>288.44</v>
      </c>
      <c r="AE370" s="360">
        <v>0</v>
      </c>
      <c r="AF370" s="360">
        <v>0</v>
      </c>
      <c r="AG370" s="360">
        <v>0</v>
      </c>
      <c r="AH370" s="360">
        <f t="shared" si="21"/>
        <v>2704.33</v>
      </c>
      <c r="AI370" s="362">
        <f>ERP_5[[#This Row],[2026 Working Total]]-ERP_5[[#This Row],[LE2 Final Submission]]</f>
        <v>944.37999999999988</v>
      </c>
      <c r="AJ370" s="79">
        <v>0</v>
      </c>
      <c r="AK370" s="79">
        <f t="shared" si="20"/>
        <v>0</v>
      </c>
      <c r="AL370" s="374">
        <f>SUM(ERP_5[[#This Row],[AP01]:[AP06]])-SUM(ERP_5[[#This Row],[AP01 LE2]:[AP06 LE2]])</f>
        <v>944.37999999999988</v>
      </c>
      <c r="AM370" s="80"/>
      <c r="AN370" s="79">
        <f>ERP_5[[#This Row],[2026 Working Total to Budget/LE]]-ERP_5[[#This Row],[Giveback]]</f>
        <v>944.37999999999988</v>
      </c>
      <c r="AO370" s="81"/>
      <c r="AP370" s="375"/>
      <c r="AQ370" s="375">
        <v>921.51</v>
      </c>
      <c r="AR370" s="375">
        <v>0</v>
      </c>
      <c r="AS370" s="375">
        <v>0</v>
      </c>
      <c r="AT370" s="375">
        <v>0</v>
      </c>
      <c r="AU370" s="375">
        <v>0</v>
      </c>
      <c r="AV370" s="375">
        <v>0</v>
      </c>
      <c r="AW370" s="375">
        <v>550</v>
      </c>
      <c r="AX370" s="375">
        <v>288.44</v>
      </c>
      <c r="AY370" s="375">
        <v>0</v>
      </c>
      <c r="AZ370" s="375">
        <v>0</v>
      </c>
      <c r="BA370" s="375">
        <v>0</v>
      </c>
      <c r="BB370" s="375">
        <v>1759.95</v>
      </c>
      <c r="BC370" s="79"/>
      <c r="BD370" s="79">
        <v>921.51</v>
      </c>
      <c r="BE370" s="79">
        <v>0</v>
      </c>
      <c r="BF370" s="79">
        <v>0</v>
      </c>
      <c r="BG370" s="79">
        <v>0</v>
      </c>
      <c r="BH370" s="79">
        <v>0</v>
      </c>
      <c r="BI370" s="79">
        <v>0</v>
      </c>
      <c r="BJ370" s="79">
        <v>550</v>
      </c>
      <c r="BK370" s="79">
        <v>288.44</v>
      </c>
      <c r="BL370" s="79">
        <v>0</v>
      </c>
      <c r="BM370" s="79">
        <v>0</v>
      </c>
      <c r="BN370" s="79">
        <v>0</v>
      </c>
      <c r="BO370" s="79">
        <v>1759.95</v>
      </c>
    </row>
    <row r="371" spans="1:67" ht="15" customHeight="1">
      <c r="A371" s="66" t="s">
        <v>2117</v>
      </c>
      <c r="B371" s="66" t="s">
        <v>2118</v>
      </c>
      <c r="C371" s="150" t="s">
        <v>1136</v>
      </c>
      <c r="D371" s="150" t="s">
        <v>1345</v>
      </c>
      <c r="E371" s="150" t="s">
        <v>1346</v>
      </c>
      <c r="F371" s="150" t="s">
        <v>1346</v>
      </c>
      <c r="G371" s="511" t="s">
        <v>389</v>
      </c>
      <c r="H371" s="392" t="s">
        <v>1855</v>
      </c>
      <c r="I371" s="343"/>
      <c r="J371" s="343"/>
      <c r="K371" s="70" t="s">
        <v>466</v>
      </c>
      <c r="L371" s="346"/>
      <c r="M371" s="346" t="s">
        <v>1140</v>
      </c>
      <c r="N371" s="346"/>
      <c r="O371" s="150" t="s">
        <v>57</v>
      </c>
      <c r="P371" s="150"/>
      <c r="Q371" s="403"/>
      <c r="R371" s="406">
        <v>60000</v>
      </c>
      <c r="S371" s="406">
        <v>76216.11</v>
      </c>
      <c r="T371" s="425"/>
      <c r="U371" s="71"/>
      <c r="V371" s="426">
        <v>14407.17</v>
      </c>
      <c r="W371" s="427">
        <v>13803.08</v>
      </c>
      <c r="X371" s="427">
        <v>3005.86</v>
      </c>
      <c r="Y371" s="428">
        <v>15296.21</v>
      </c>
      <c r="Z371" s="429">
        <v>17035.269999999997</v>
      </c>
      <c r="AA371" s="429">
        <v>17290.900000000001</v>
      </c>
      <c r="AB371" s="363">
        <v>5000</v>
      </c>
      <c r="AC371" s="363">
        <v>5000</v>
      </c>
      <c r="AD371" s="363">
        <v>5000</v>
      </c>
      <c r="AE371" s="363">
        <v>5000</v>
      </c>
      <c r="AF371" s="363">
        <v>5000</v>
      </c>
      <c r="AG371" s="363">
        <v>5000</v>
      </c>
      <c r="AH371" s="360">
        <f t="shared" si="21"/>
        <v>110838.48999999999</v>
      </c>
      <c r="AI371" s="362">
        <f>ERP_5[[#This Row],[2026 Working Total]]-ERP_5[[#This Row],[LE2 Final Submission]]</f>
        <v>34622.37999999999</v>
      </c>
      <c r="AJ371" s="79">
        <v>5000</v>
      </c>
      <c r="AK371" s="79">
        <f t="shared" si="20"/>
        <v>12290.900000000001</v>
      </c>
      <c r="AL371" s="374">
        <f>SUM(ERP_5[[#This Row],[AP01]:[AP06]])-SUM(ERP_5[[#This Row],[AP01 LE2]:[AP06 LE2]])</f>
        <v>34622.37999999999</v>
      </c>
      <c r="AM371" s="80"/>
      <c r="AN371" s="79">
        <f>ERP_5[[#This Row],[2026 Working Total to Budget/LE]]-ERP_5[[#This Row],[Giveback]]</f>
        <v>34622.37999999999</v>
      </c>
      <c r="AO371" s="81"/>
      <c r="AP371" s="375">
        <v>14407.17</v>
      </c>
      <c r="AQ371" s="375">
        <v>13803.08</v>
      </c>
      <c r="AR371" s="375">
        <v>3005.86</v>
      </c>
      <c r="AS371" s="375">
        <v>5000</v>
      </c>
      <c r="AT371" s="375">
        <v>5000</v>
      </c>
      <c r="AU371" s="375">
        <v>5000</v>
      </c>
      <c r="AV371" s="375">
        <v>5000</v>
      </c>
      <c r="AW371" s="375">
        <v>5000</v>
      </c>
      <c r="AX371" s="375">
        <v>5000</v>
      </c>
      <c r="AY371" s="375">
        <v>5000</v>
      </c>
      <c r="AZ371" s="375">
        <v>5000</v>
      </c>
      <c r="BA371" s="375">
        <v>5000</v>
      </c>
      <c r="BB371" s="375">
        <v>76216.11</v>
      </c>
      <c r="BC371" s="79">
        <v>14407.17</v>
      </c>
      <c r="BD371" s="79">
        <v>13803.08</v>
      </c>
      <c r="BE371" s="79">
        <v>3005.86</v>
      </c>
      <c r="BF371" s="79">
        <v>5000</v>
      </c>
      <c r="BG371" s="79">
        <v>5000</v>
      </c>
      <c r="BH371" s="79">
        <v>5000</v>
      </c>
      <c r="BI371" s="79">
        <v>5000</v>
      </c>
      <c r="BJ371" s="79">
        <v>5000</v>
      </c>
      <c r="BK371" s="79">
        <v>5000</v>
      </c>
      <c r="BL371" s="79">
        <v>5000</v>
      </c>
      <c r="BM371" s="79">
        <v>5000</v>
      </c>
      <c r="BN371" s="79">
        <v>5000</v>
      </c>
      <c r="BO371" s="79">
        <v>76216.11</v>
      </c>
    </row>
    <row r="372" spans="1:67" ht="15" customHeight="1">
      <c r="A372" s="66" t="s">
        <v>2284</v>
      </c>
      <c r="B372" s="66" t="s">
        <v>675</v>
      </c>
      <c r="C372" s="150" t="s">
        <v>1136</v>
      </c>
      <c r="D372" s="150" t="s">
        <v>1135</v>
      </c>
      <c r="E372" s="150" t="s">
        <v>1135</v>
      </c>
      <c r="F372" s="150" t="s">
        <v>1137</v>
      </c>
      <c r="G372" s="511" t="s">
        <v>639</v>
      </c>
      <c r="H372" s="392" t="s">
        <v>2285</v>
      </c>
      <c r="I372" s="343"/>
      <c r="J372" s="343"/>
      <c r="K372" s="70" t="s">
        <v>676</v>
      </c>
      <c r="L372" s="346"/>
      <c r="M372" s="346" t="s">
        <v>1140</v>
      </c>
      <c r="N372" s="346"/>
      <c r="O372" s="150" t="s">
        <v>677</v>
      </c>
      <c r="P372" s="150"/>
      <c r="Q372" s="403"/>
      <c r="R372" s="406">
        <v>6000</v>
      </c>
      <c r="S372" s="406">
        <v>10540</v>
      </c>
      <c r="T372" s="425"/>
      <c r="U372" s="71"/>
      <c r="V372" s="426"/>
      <c r="W372" s="427">
        <v>4313</v>
      </c>
      <c r="X372" s="427">
        <v>227</v>
      </c>
      <c r="Y372" s="428">
        <v>0</v>
      </c>
      <c r="Z372" s="429">
        <v>1362</v>
      </c>
      <c r="AA372" s="429">
        <v>0</v>
      </c>
      <c r="AB372" s="360">
        <v>0</v>
      </c>
      <c r="AC372" s="363">
        <v>6000</v>
      </c>
      <c r="AD372" s="360">
        <v>0</v>
      </c>
      <c r="AE372" s="360">
        <v>0</v>
      </c>
      <c r="AF372" s="360">
        <v>0</v>
      </c>
      <c r="AG372" s="360">
        <v>0</v>
      </c>
      <c r="AH372" s="360">
        <f t="shared" si="21"/>
        <v>11902</v>
      </c>
      <c r="AI372" s="362">
        <f>ERP_5[[#This Row],[2026 Working Total]]-ERP_5[[#This Row],[LE2 Final Submission]]</f>
        <v>1362</v>
      </c>
      <c r="AJ372" s="79">
        <v>0</v>
      </c>
      <c r="AK372" s="79">
        <f t="shared" si="20"/>
        <v>0</v>
      </c>
      <c r="AL372" s="374">
        <f>SUM(ERP_5[[#This Row],[AP01]:[AP06]])-SUM(ERP_5[[#This Row],[AP01 LE2]:[AP06 LE2]])</f>
        <v>1362</v>
      </c>
      <c r="AM372" s="80"/>
      <c r="AN372" s="79">
        <f>ERP_5[[#This Row],[2026 Working Total to Budget/LE]]-ERP_5[[#This Row],[Giveback]]</f>
        <v>1362</v>
      </c>
      <c r="AO372" s="81"/>
      <c r="AP372" s="375"/>
      <c r="AQ372" s="375">
        <v>4313</v>
      </c>
      <c r="AR372" s="375">
        <v>227</v>
      </c>
      <c r="AS372" s="375">
        <v>0</v>
      </c>
      <c r="AT372" s="375">
        <v>0</v>
      </c>
      <c r="AU372" s="375">
        <v>0</v>
      </c>
      <c r="AV372" s="375">
        <v>0</v>
      </c>
      <c r="AW372" s="375">
        <v>6000</v>
      </c>
      <c r="AX372" s="375">
        <v>0</v>
      </c>
      <c r="AY372" s="375">
        <v>0</v>
      </c>
      <c r="AZ372" s="375">
        <v>0</v>
      </c>
      <c r="BA372" s="375">
        <v>0</v>
      </c>
      <c r="BB372" s="375">
        <v>10540</v>
      </c>
      <c r="BC372" s="79"/>
      <c r="BD372" s="79">
        <v>4313</v>
      </c>
      <c r="BE372" s="79">
        <v>227</v>
      </c>
      <c r="BF372" s="79">
        <v>0</v>
      </c>
      <c r="BG372" s="79">
        <v>0</v>
      </c>
      <c r="BH372" s="79">
        <v>0</v>
      </c>
      <c r="BI372" s="79">
        <v>0</v>
      </c>
      <c r="BJ372" s="79">
        <v>6000</v>
      </c>
      <c r="BK372" s="79">
        <v>0</v>
      </c>
      <c r="BL372" s="79">
        <v>0</v>
      </c>
      <c r="BM372" s="79">
        <v>0</v>
      </c>
      <c r="BN372" s="79">
        <v>0</v>
      </c>
      <c r="BO372" s="79">
        <v>10540</v>
      </c>
    </row>
    <row r="373" spans="1:67" ht="15" customHeight="1">
      <c r="A373" s="66" t="s">
        <v>1986</v>
      </c>
      <c r="B373" s="66" t="s">
        <v>511</v>
      </c>
      <c r="C373" s="150" t="s">
        <v>1136</v>
      </c>
      <c r="D373" s="150" t="s">
        <v>1345</v>
      </c>
      <c r="E373" s="150" t="s">
        <v>1344</v>
      </c>
      <c r="F373" s="150" t="s">
        <v>1346</v>
      </c>
      <c r="G373" s="511" t="s">
        <v>389</v>
      </c>
      <c r="H373" s="392" t="s">
        <v>1855</v>
      </c>
      <c r="I373" s="343"/>
      <c r="J373" s="343"/>
      <c r="K373" s="70" t="s">
        <v>466</v>
      </c>
      <c r="L373" s="346"/>
      <c r="M373" s="346" t="s">
        <v>1140</v>
      </c>
      <c r="N373" s="346"/>
      <c r="O373" s="150" t="s">
        <v>57</v>
      </c>
      <c r="P373" s="150"/>
      <c r="Q373" s="403"/>
      <c r="R373" s="406">
        <v>26400</v>
      </c>
      <c r="S373" s="406">
        <v>26962</v>
      </c>
      <c r="T373" s="425"/>
      <c r="U373" s="71"/>
      <c r="V373" s="426">
        <v>2359</v>
      </c>
      <c r="W373" s="427">
        <v>1615</v>
      </c>
      <c r="X373" s="427">
        <v>3188</v>
      </c>
      <c r="Y373" s="428">
        <v>2158</v>
      </c>
      <c r="Z373" s="429">
        <v>2091</v>
      </c>
      <c r="AA373" s="429">
        <v>1890</v>
      </c>
      <c r="AB373" s="363">
        <v>2200</v>
      </c>
      <c r="AC373" s="363">
        <v>2200</v>
      </c>
      <c r="AD373" s="363">
        <v>2200</v>
      </c>
      <c r="AE373" s="363">
        <v>2200</v>
      </c>
      <c r="AF373" s="363">
        <v>2200</v>
      </c>
      <c r="AG373" s="363">
        <v>2200</v>
      </c>
      <c r="AH373" s="360">
        <f t="shared" si="21"/>
        <v>26501</v>
      </c>
      <c r="AI373" s="362">
        <f>ERP_5[[#This Row],[2026 Working Total]]-ERP_5[[#This Row],[LE2 Final Submission]]</f>
        <v>-461</v>
      </c>
      <c r="AJ373" s="79">
        <v>2200</v>
      </c>
      <c r="AK373" s="79">
        <f t="shared" si="20"/>
        <v>-310</v>
      </c>
      <c r="AL373" s="374">
        <f>SUM(ERP_5[[#This Row],[AP01]:[AP06]])-SUM(ERP_5[[#This Row],[AP01 LE2]:[AP06 LE2]])</f>
        <v>-461</v>
      </c>
      <c r="AM373" s="80"/>
      <c r="AN373" s="79">
        <f>ERP_5[[#This Row],[2026 Working Total to Budget/LE]]-ERP_5[[#This Row],[Giveback]]</f>
        <v>-461</v>
      </c>
      <c r="AO373" s="81"/>
      <c r="AP373" s="375">
        <v>2359</v>
      </c>
      <c r="AQ373" s="375">
        <v>1615</v>
      </c>
      <c r="AR373" s="375">
        <v>3188</v>
      </c>
      <c r="AS373" s="375">
        <v>2200</v>
      </c>
      <c r="AT373" s="375">
        <v>2200</v>
      </c>
      <c r="AU373" s="375">
        <v>2200</v>
      </c>
      <c r="AV373" s="375">
        <v>2200</v>
      </c>
      <c r="AW373" s="375">
        <v>2200</v>
      </c>
      <c r="AX373" s="375">
        <v>2200</v>
      </c>
      <c r="AY373" s="375">
        <v>2200</v>
      </c>
      <c r="AZ373" s="375">
        <v>2200</v>
      </c>
      <c r="BA373" s="375">
        <v>2200</v>
      </c>
      <c r="BB373" s="375">
        <v>26962</v>
      </c>
      <c r="BC373" s="79">
        <v>2359</v>
      </c>
      <c r="BD373" s="79">
        <v>1615</v>
      </c>
      <c r="BE373" s="79">
        <v>3188</v>
      </c>
      <c r="BF373" s="79">
        <v>2200</v>
      </c>
      <c r="BG373" s="79">
        <v>2200</v>
      </c>
      <c r="BH373" s="79">
        <v>2200</v>
      </c>
      <c r="BI373" s="79">
        <v>2200</v>
      </c>
      <c r="BJ373" s="79">
        <v>2200</v>
      </c>
      <c r="BK373" s="79">
        <v>2200</v>
      </c>
      <c r="BL373" s="79">
        <v>2200</v>
      </c>
      <c r="BM373" s="79">
        <v>2200</v>
      </c>
      <c r="BN373" s="79">
        <v>2200</v>
      </c>
      <c r="BO373" s="79">
        <v>26962</v>
      </c>
    </row>
    <row r="374" spans="1:67" ht="15" customHeight="1">
      <c r="A374" s="66" t="s">
        <v>2024</v>
      </c>
      <c r="B374" s="66" t="s">
        <v>533</v>
      </c>
      <c r="C374" s="150" t="s">
        <v>1136</v>
      </c>
      <c r="D374" s="150" t="s">
        <v>1345</v>
      </c>
      <c r="E374" s="150" t="s">
        <v>1345</v>
      </c>
      <c r="F374" s="150" t="s">
        <v>1346</v>
      </c>
      <c r="G374" s="511" t="s">
        <v>389</v>
      </c>
      <c r="H374" s="392" t="s">
        <v>1855</v>
      </c>
      <c r="I374" s="343"/>
      <c r="J374" s="343"/>
      <c r="K374" s="70" t="s">
        <v>466</v>
      </c>
      <c r="L374" s="346"/>
      <c r="M374" s="346" t="s">
        <v>1140</v>
      </c>
      <c r="N374" s="346"/>
      <c r="O374" s="150" t="s">
        <v>57</v>
      </c>
      <c r="P374" s="150"/>
      <c r="Q374" s="403"/>
      <c r="R374" s="406">
        <v>19176</v>
      </c>
      <c r="S374" s="406">
        <v>21479</v>
      </c>
      <c r="T374" s="425"/>
      <c r="U374" s="71"/>
      <c r="V374" s="426">
        <v>1566</v>
      </c>
      <c r="W374" s="427">
        <v>1439</v>
      </c>
      <c r="X374" s="427">
        <v>4092</v>
      </c>
      <c r="Y374" s="428">
        <v>1259</v>
      </c>
      <c r="Z374" s="429">
        <v>1259</v>
      </c>
      <c r="AA374" s="429">
        <v>1192</v>
      </c>
      <c r="AB374" s="363">
        <v>1598</v>
      </c>
      <c r="AC374" s="363">
        <v>1598</v>
      </c>
      <c r="AD374" s="363">
        <v>1598</v>
      </c>
      <c r="AE374" s="363">
        <v>1598</v>
      </c>
      <c r="AF374" s="363">
        <v>1598</v>
      </c>
      <c r="AG374" s="363">
        <v>1598</v>
      </c>
      <c r="AH374" s="360">
        <f t="shared" si="21"/>
        <v>20395</v>
      </c>
      <c r="AI374" s="362">
        <f>ERP_5[[#This Row],[2026 Working Total]]-ERP_5[[#This Row],[LE2 Final Submission]]</f>
        <v>-1084</v>
      </c>
      <c r="AJ374" s="79">
        <v>1598</v>
      </c>
      <c r="AK374" s="79">
        <f t="shared" si="20"/>
        <v>-406</v>
      </c>
      <c r="AL374" s="374">
        <f>SUM(ERP_5[[#This Row],[AP01]:[AP06]])-SUM(ERP_5[[#This Row],[AP01 LE2]:[AP06 LE2]])</f>
        <v>-1084</v>
      </c>
      <c r="AM374" s="80"/>
      <c r="AN374" s="79">
        <f>ERP_5[[#This Row],[2026 Working Total to Budget/LE]]-ERP_5[[#This Row],[Giveback]]</f>
        <v>-1084</v>
      </c>
      <c r="AO374" s="81"/>
      <c r="AP374" s="375">
        <v>1566</v>
      </c>
      <c r="AQ374" s="375">
        <v>1439</v>
      </c>
      <c r="AR374" s="375">
        <v>4092</v>
      </c>
      <c r="AS374" s="375">
        <v>1598</v>
      </c>
      <c r="AT374" s="375">
        <v>1598</v>
      </c>
      <c r="AU374" s="375">
        <v>1598</v>
      </c>
      <c r="AV374" s="375">
        <v>1598</v>
      </c>
      <c r="AW374" s="375">
        <v>1598</v>
      </c>
      <c r="AX374" s="375">
        <v>1598</v>
      </c>
      <c r="AY374" s="375">
        <v>1598</v>
      </c>
      <c r="AZ374" s="375">
        <v>1598</v>
      </c>
      <c r="BA374" s="375">
        <v>1598</v>
      </c>
      <c r="BB374" s="375">
        <v>21479</v>
      </c>
      <c r="BC374" s="79">
        <v>1566</v>
      </c>
      <c r="BD374" s="79">
        <v>1439</v>
      </c>
      <c r="BE374" s="79">
        <v>4092</v>
      </c>
      <c r="BF374" s="79">
        <v>1598</v>
      </c>
      <c r="BG374" s="79">
        <v>1598</v>
      </c>
      <c r="BH374" s="79">
        <v>1598</v>
      </c>
      <c r="BI374" s="79">
        <v>1598</v>
      </c>
      <c r="BJ374" s="79">
        <v>1598</v>
      </c>
      <c r="BK374" s="79">
        <v>1598</v>
      </c>
      <c r="BL374" s="79">
        <v>1598</v>
      </c>
      <c r="BM374" s="79">
        <v>1598</v>
      </c>
      <c r="BN374" s="79">
        <v>1598</v>
      </c>
      <c r="BO374" s="79">
        <v>21479</v>
      </c>
    </row>
    <row r="375" spans="1:67" ht="15" customHeight="1">
      <c r="A375" s="66" t="s">
        <v>2040</v>
      </c>
      <c r="B375" s="66" t="s">
        <v>543</v>
      </c>
      <c r="C375" s="150" t="s">
        <v>1136</v>
      </c>
      <c r="D375" s="150" t="s">
        <v>1345</v>
      </c>
      <c r="E375" s="150" t="s">
        <v>1450</v>
      </c>
      <c r="F375" s="150" t="s">
        <v>1346</v>
      </c>
      <c r="G375" s="511" t="s">
        <v>389</v>
      </c>
      <c r="H375" s="392" t="s">
        <v>1855</v>
      </c>
      <c r="I375" s="343"/>
      <c r="J375" s="343"/>
      <c r="K375" s="70" t="s">
        <v>466</v>
      </c>
      <c r="L375" s="346"/>
      <c r="M375" s="346" t="s">
        <v>1140</v>
      </c>
      <c r="N375" s="346"/>
      <c r="O375" s="150" t="s">
        <v>57</v>
      </c>
      <c r="P375" s="150"/>
      <c r="Q375" s="403"/>
      <c r="R375" s="406">
        <v>36000</v>
      </c>
      <c r="S375" s="406">
        <v>34822</v>
      </c>
      <c r="T375" s="425"/>
      <c r="U375" s="71"/>
      <c r="V375" s="426">
        <v>2137</v>
      </c>
      <c r="W375" s="427">
        <v>1809</v>
      </c>
      <c r="X375" s="427">
        <v>3876</v>
      </c>
      <c r="Y375" s="428">
        <v>1749</v>
      </c>
      <c r="Z375" s="429">
        <v>1548</v>
      </c>
      <c r="AA375" s="429">
        <v>1273</v>
      </c>
      <c r="AB375" s="363">
        <v>3000</v>
      </c>
      <c r="AC375" s="363">
        <v>3000</v>
      </c>
      <c r="AD375" s="363">
        <v>3000</v>
      </c>
      <c r="AE375" s="363">
        <v>3000</v>
      </c>
      <c r="AF375" s="363">
        <v>3000</v>
      </c>
      <c r="AG375" s="363">
        <v>3000</v>
      </c>
      <c r="AH375" s="360">
        <f t="shared" si="21"/>
        <v>30392</v>
      </c>
      <c r="AI375" s="362">
        <f>ERP_5[[#This Row],[2026 Working Total]]-ERP_5[[#This Row],[LE2 Final Submission]]</f>
        <v>-4430</v>
      </c>
      <c r="AJ375" s="79">
        <v>3000</v>
      </c>
      <c r="AK375" s="79">
        <f t="shared" si="20"/>
        <v>-1727</v>
      </c>
      <c r="AL375" s="374">
        <f>SUM(ERP_5[[#This Row],[AP01]:[AP06]])-SUM(ERP_5[[#This Row],[AP01 LE2]:[AP06 LE2]])</f>
        <v>-4430</v>
      </c>
      <c r="AM375" s="80"/>
      <c r="AN375" s="79">
        <f>ERP_5[[#This Row],[2026 Working Total to Budget/LE]]-ERP_5[[#This Row],[Giveback]]</f>
        <v>-4430</v>
      </c>
      <c r="AO375" s="81"/>
      <c r="AP375" s="375">
        <v>2137</v>
      </c>
      <c r="AQ375" s="375">
        <v>1809</v>
      </c>
      <c r="AR375" s="375">
        <v>3876</v>
      </c>
      <c r="AS375" s="375">
        <v>3000</v>
      </c>
      <c r="AT375" s="375">
        <v>3000</v>
      </c>
      <c r="AU375" s="375">
        <v>3000</v>
      </c>
      <c r="AV375" s="375">
        <v>3000</v>
      </c>
      <c r="AW375" s="375">
        <v>3000</v>
      </c>
      <c r="AX375" s="375">
        <v>3000</v>
      </c>
      <c r="AY375" s="375">
        <v>3000</v>
      </c>
      <c r="AZ375" s="375">
        <v>3000</v>
      </c>
      <c r="BA375" s="375">
        <v>3000</v>
      </c>
      <c r="BB375" s="375">
        <v>34822</v>
      </c>
      <c r="BC375" s="79">
        <v>2137</v>
      </c>
      <c r="BD375" s="79">
        <v>1809</v>
      </c>
      <c r="BE375" s="79">
        <v>3876</v>
      </c>
      <c r="BF375" s="79">
        <v>3000</v>
      </c>
      <c r="BG375" s="79">
        <v>3000</v>
      </c>
      <c r="BH375" s="79">
        <v>3000</v>
      </c>
      <c r="BI375" s="79">
        <v>3000</v>
      </c>
      <c r="BJ375" s="79">
        <v>3000</v>
      </c>
      <c r="BK375" s="79">
        <v>3000</v>
      </c>
      <c r="BL375" s="79">
        <v>3000</v>
      </c>
      <c r="BM375" s="79">
        <v>3000</v>
      </c>
      <c r="BN375" s="79">
        <v>3000</v>
      </c>
      <c r="BO375" s="79">
        <v>34822</v>
      </c>
    </row>
    <row r="376" spans="1:67" ht="15" customHeight="1">
      <c r="A376" s="66" t="s">
        <v>2059</v>
      </c>
      <c r="B376" s="66" t="s">
        <v>553</v>
      </c>
      <c r="C376" s="150" t="s">
        <v>1136</v>
      </c>
      <c r="D376" s="150" t="s">
        <v>1345</v>
      </c>
      <c r="E376" s="150" t="s">
        <v>1480</v>
      </c>
      <c r="F376" s="150" t="s">
        <v>1346</v>
      </c>
      <c r="G376" s="511" t="s">
        <v>389</v>
      </c>
      <c r="H376" s="392" t="s">
        <v>1855</v>
      </c>
      <c r="I376" s="343"/>
      <c r="J376" s="343"/>
      <c r="K376" s="70" t="s">
        <v>466</v>
      </c>
      <c r="L376" s="346"/>
      <c r="M376" s="346" t="s">
        <v>1140</v>
      </c>
      <c r="N376" s="346"/>
      <c r="O376" s="150" t="s">
        <v>57</v>
      </c>
      <c r="P376" s="150"/>
      <c r="Q376" s="403"/>
      <c r="R376" s="406">
        <v>27000</v>
      </c>
      <c r="S376" s="406">
        <v>26481</v>
      </c>
      <c r="T376" s="425"/>
      <c r="U376" s="71"/>
      <c r="V376" s="426">
        <v>1883</v>
      </c>
      <c r="W376" s="427">
        <v>1481</v>
      </c>
      <c r="X376" s="427">
        <v>2867</v>
      </c>
      <c r="Y376" s="428">
        <v>1442</v>
      </c>
      <c r="Z376" s="429">
        <v>1442</v>
      </c>
      <c r="AA376" s="429">
        <v>1375</v>
      </c>
      <c r="AB376" s="363">
        <v>2250</v>
      </c>
      <c r="AC376" s="363">
        <v>2250</v>
      </c>
      <c r="AD376" s="363">
        <v>2250</v>
      </c>
      <c r="AE376" s="363">
        <v>2250</v>
      </c>
      <c r="AF376" s="363">
        <v>2250</v>
      </c>
      <c r="AG376" s="363">
        <v>2250</v>
      </c>
      <c r="AH376" s="360">
        <f t="shared" si="21"/>
        <v>23990</v>
      </c>
      <c r="AI376" s="362">
        <f>ERP_5[[#This Row],[2026 Working Total]]-ERP_5[[#This Row],[LE2 Final Submission]]</f>
        <v>-2491</v>
      </c>
      <c r="AJ376" s="79">
        <v>2250</v>
      </c>
      <c r="AK376" s="79">
        <f t="shared" si="20"/>
        <v>-875</v>
      </c>
      <c r="AL376" s="374">
        <f>SUM(ERP_5[[#This Row],[AP01]:[AP06]])-SUM(ERP_5[[#This Row],[AP01 LE2]:[AP06 LE2]])</f>
        <v>-2491</v>
      </c>
      <c r="AM376" s="80"/>
      <c r="AN376" s="79">
        <f>ERP_5[[#This Row],[2026 Working Total to Budget/LE]]-ERP_5[[#This Row],[Giveback]]</f>
        <v>-2491</v>
      </c>
      <c r="AO376" s="81"/>
      <c r="AP376" s="375">
        <v>1883</v>
      </c>
      <c r="AQ376" s="375">
        <v>1481</v>
      </c>
      <c r="AR376" s="375">
        <v>2867</v>
      </c>
      <c r="AS376" s="375">
        <v>2250</v>
      </c>
      <c r="AT376" s="375">
        <v>2250</v>
      </c>
      <c r="AU376" s="375">
        <v>2250</v>
      </c>
      <c r="AV376" s="375">
        <v>2250</v>
      </c>
      <c r="AW376" s="375">
        <v>2250</v>
      </c>
      <c r="AX376" s="375">
        <v>2250</v>
      </c>
      <c r="AY376" s="375">
        <v>2250</v>
      </c>
      <c r="AZ376" s="375">
        <v>2250</v>
      </c>
      <c r="BA376" s="375">
        <v>2250</v>
      </c>
      <c r="BB376" s="375">
        <v>26481</v>
      </c>
      <c r="BC376" s="79">
        <v>1883</v>
      </c>
      <c r="BD376" s="79">
        <v>1481</v>
      </c>
      <c r="BE376" s="79">
        <v>2867</v>
      </c>
      <c r="BF376" s="79">
        <v>2250</v>
      </c>
      <c r="BG376" s="79">
        <v>2250</v>
      </c>
      <c r="BH376" s="79">
        <v>2250</v>
      </c>
      <c r="BI376" s="79">
        <v>2250</v>
      </c>
      <c r="BJ376" s="79">
        <v>2250</v>
      </c>
      <c r="BK376" s="79">
        <v>2250</v>
      </c>
      <c r="BL376" s="79">
        <v>2250</v>
      </c>
      <c r="BM376" s="79">
        <v>2250</v>
      </c>
      <c r="BN376" s="79">
        <v>2250</v>
      </c>
      <c r="BO376" s="79">
        <v>26481</v>
      </c>
    </row>
    <row r="377" spans="1:67" ht="15" customHeight="1">
      <c r="A377" s="66" t="s">
        <v>2072</v>
      </c>
      <c r="B377" s="66" t="s">
        <v>560</v>
      </c>
      <c r="C377" s="150" t="s">
        <v>1136</v>
      </c>
      <c r="D377" s="150" t="s">
        <v>1345</v>
      </c>
      <c r="E377" s="150" t="s">
        <v>1515</v>
      </c>
      <c r="F377" s="150" t="s">
        <v>1346</v>
      </c>
      <c r="G377" s="511" t="s">
        <v>389</v>
      </c>
      <c r="H377" s="392" t="s">
        <v>1855</v>
      </c>
      <c r="I377" s="343"/>
      <c r="J377" s="343"/>
      <c r="K377" s="70" t="s">
        <v>466</v>
      </c>
      <c r="L377" s="346"/>
      <c r="M377" s="346" t="s">
        <v>1140</v>
      </c>
      <c r="N377" s="346"/>
      <c r="O377" s="150" t="s">
        <v>57</v>
      </c>
      <c r="P377" s="150"/>
      <c r="Q377" s="403"/>
      <c r="R377" s="406">
        <v>0</v>
      </c>
      <c r="S377" s="406">
        <v>3562</v>
      </c>
      <c r="T377" s="425"/>
      <c r="U377" s="71"/>
      <c r="V377" s="426">
        <v>60</v>
      </c>
      <c r="W377" s="431">
        <v>0</v>
      </c>
      <c r="X377" s="427">
        <v>3502</v>
      </c>
      <c r="Y377" s="428">
        <v>0</v>
      </c>
      <c r="Z377" s="429">
        <v>0</v>
      </c>
      <c r="AA377" s="429">
        <v>60</v>
      </c>
      <c r="AB377" s="360">
        <v>0</v>
      </c>
      <c r="AC377" s="360">
        <v>0</v>
      </c>
      <c r="AD377" s="360">
        <v>0</v>
      </c>
      <c r="AE377" s="360">
        <v>0</v>
      </c>
      <c r="AF377" s="360">
        <v>0</v>
      </c>
      <c r="AG377" s="360">
        <v>0</v>
      </c>
      <c r="AH377" s="360">
        <f t="shared" si="21"/>
        <v>3622</v>
      </c>
      <c r="AI377" s="362">
        <f>ERP_5[[#This Row],[2026 Working Total]]-ERP_5[[#This Row],[LE2 Final Submission]]</f>
        <v>60</v>
      </c>
      <c r="AJ377" s="79">
        <v>0</v>
      </c>
      <c r="AK377" s="79">
        <f t="shared" si="20"/>
        <v>60</v>
      </c>
      <c r="AL377" s="374">
        <f>SUM(ERP_5[[#This Row],[AP01]:[AP06]])-SUM(ERP_5[[#This Row],[AP01 LE2]:[AP06 LE2]])</f>
        <v>60</v>
      </c>
      <c r="AM377" s="80"/>
      <c r="AN377" s="79">
        <f>ERP_5[[#This Row],[2026 Working Total to Budget/LE]]-ERP_5[[#This Row],[Giveback]]</f>
        <v>60</v>
      </c>
      <c r="AO377" s="81"/>
      <c r="AP377" s="375">
        <v>60</v>
      </c>
      <c r="AQ377" s="375">
        <v>0</v>
      </c>
      <c r="AR377" s="375">
        <v>3502</v>
      </c>
      <c r="AS377" s="375">
        <v>0</v>
      </c>
      <c r="AT377" s="375">
        <v>0</v>
      </c>
      <c r="AU377" s="375">
        <v>0</v>
      </c>
      <c r="AV377" s="375">
        <v>0</v>
      </c>
      <c r="AW377" s="375">
        <v>0</v>
      </c>
      <c r="AX377" s="375">
        <v>0</v>
      </c>
      <c r="AY377" s="375">
        <v>0</v>
      </c>
      <c r="AZ377" s="375">
        <v>0</v>
      </c>
      <c r="BA377" s="375">
        <v>0</v>
      </c>
      <c r="BB377" s="375">
        <v>3562</v>
      </c>
      <c r="BC377" s="79">
        <v>60</v>
      </c>
      <c r="BD377" s="79">
        <v>0</v>
      </c>
      <c r="BE377" s="79">
        <v>3502</v>
      </c>
      <c r="BF377" s="79">
        <v>0</v>
      </c>
      <c r="BG377" s="79">
        <v>0</v>
      </c>
      <c r="BH377" s="79">
        <v>0</v>
      </c>
      <c r="BI377" s="79">
        <v>0</v>
      </c>
      <c r="BJ377" s="79">
        <v>0</v>
      </c>
      <c r="BK377" s="79">
        <v>0</v>
      </c>
      <c r="BL377" s="79">
        <v>0</v>
      </c>
      <c r="BM377" s="79">
        <v>0</v>
      </c>
      <c r="BN377" s="79">
        <v>0</v>
      </c>
      <c r="BO377" s="79">
        <v>3562</v>
      </c>
    </row>
    <row r="378" spans="1:67" ht="15" customHeight="1">
      <c r="A378" s="66" t="s">
        <v>2286</v>
      </c>
      <c r="B378" s="66" t="s">
        <v>2287</v>
      </c>
      <c r="C378" s="150" t="s">
        <v>1136</v>
      </c>
      <c r="D378" s="150" t="s">
        <v>1135</v>
      </c>
      <c r="E378" s="150" t="s">
        <v>1137</v>
      </c>
      <c r="F378" s="150" t="s">
        <v>1137</v>
      </c>
      <c r="G378" s="511" t="s">
        <v>639</v>
      </c>
      <c r="H378" s="392" t="s">
        <v>2285</v>
      </c>
      <c r="I378" s="343"/>
      <c r="J378" s="343"/>
      <c r="K378" s="70" t="s">
        <v>676</v>
      </c>
      <c r="L378" s="346"/>
      <c r="M378" s="346" t="s">
        <v>1140</v>
      </c>
      <c r="N378" s="346"/>
      <c r="O378" s="150" t="s">
        <v>677</v>
      </c>
      <c r="P378" s="1" t="s">
        <v>1141</v>
      </c>
      <c r="Q378" s="403"/>
      <c r="R378" s="406">
        <v>10000</v>
      </c>
      <c r="S378" s="406">
        <v>12811.43</v>
      </c>
      <c r="T378" s="425"/>
      <c r="U378" s="71"/>
      <c r="V378" s="426">
        <v>553.5</v>
      </c>
      <c r="W378" s="427">
        <v>681</v>
      </c>
      <c r="X378" s="427">
        <v>1576.93</v>
      </c>
      <c r="Y378" s="428">
        <v>227</v>
      </c>
      <c r="Z378" s="429">
        <v>496.48</v>
      </c>
      <c r="AA378" s="429">
        <v>0</v>
      </c>
      <c r="AB378" s="360">
        <v>0</v>
      </c>
      <c r="AC378" s="360">
        <v>0</v>
      </c>
      <c r="AD378" s="360">
        <v>0</v>
      </c>
      <c r="AE378" s="360">
        <v>0</v>
      </c>
      <c r="AF378" s="360">
        <v>0</v>
      </c>
      <c r="AG378" s="363">
        <v>5000</v>
      </c>
      <c r="AH378" s="360">
        <f t="shared" si="21"/>
        <v>8534.91</v>
      </c>
      <c r="AI378" s="362">
        <f>ERP_5[[#This Row],[2026 Working Total]]-ERP_5[[#This Row],[LE2 Final Submission]]</f>
        <v>-4276.5200000000004</v>
      </c>
      <c r="AJ378" s="79">
        <v>0</v>
      </c>
      <c r="AK378" s="79">
        <f t="shared" si="20"/>
        <v>0</v>
      </c>
      <c r="AL378" s="374">
        <f>SUM(ERP_5[[#This Row],[AP01]:[AP06]])-SUM(ERP_5[[#This Row],[AP01 LE2]:[AP06 LE2]])</f>
        <v>-4276.5200000000004</v>
      </c>
      <c r="AM378" s="80"/>
      <c r="AN378" s="79">
        <f>ERP_5[[#This Row],[2026 Working Total to Budget/LE]]-ERP_5[[#This Row],[Giveback]]</f>
        <v>-4276.5200000000004</v>
      </c>
      <c r="AO378" s="81"/>
      <c r="AP378" s="375">
        <v>553.5</v>
      </c>
      <c r="AQ378" s="375">
        <v>681</v>
      </c>
      <c r="AR378" s="375">
        <v>1576.93</v>
      </c>
      <c r="AS378" s="375">
        <v>0</v>
      </c>
      <c r="AT378" s="375">
        <v>0</v>
      </c>
      <c r="AU378" s="375">
        <v>5000</v>
      </c>
      <c r="AV378" s="375">
        <v>0</v>
      </c>
      <c r="AW378" s="375">
        <v>0</v>
      </c>
      <c r="AX378" s="375">
        <v>0</v>
      </c>
      <c r="AY378" s="375">
        <v>0</v>
      </c>
      <c r="AZ378" s="375">
        <v>0</v>
      </c>
      <c r="BA378" s="375">
        <v>5000</v>
      </c>
      <c r="BB378" s="375">
        <v>12811.43</v>
      </c>
      <c r="BC378" s="79">
        <v>553.5</v>
      </c>
      <c r="BD378" s="79">
        <v>681</v>
      </c>
      <c r="BE378" s="79">
        <v>1576.93</v>
      </c>
      <c r="BF378" s="79">
        <v>0</v>
      </c>
      <c r="BG378" s="79">
        <v>0</v>
      </c>
      <c r="BH378" s="79">
        <v>5000</v>
      </c>
      <c r="BI378" s="79">
        <v>0</v>
      </c>
      <c r="BJ378" s="79">
        <v>0</v>
      </c>
      <c r="BK378" s="79">
        <v>0</v>
      </c>
      <c r="BL378" s="79">
        <v>0</v>
      </c>
      <c r="BM378" s="79">
        <v>0</v>
      </c>
      <c r="BN378" s="79">
        <v>5000</v>
      </c>
      <c r="BO378" s="79">
        <v>12811.43</v>
      </c>
    </row>
    <row r="379" spans="1:67" ht="15" customHeight="1">
      <c r="A379" s="66" t="s">
        <v>2288</v>
      </c>
      <c r="B379" s="66" t="s">
        <v>2289</v>
      </c>
      <c r="C379" s="150" t="s">
        <v>1136</v>
      </c>
      <c r="D379" s="150" t="s">
        <v>1135</v>
      </c>
      <c r="E379" s="150" t="s">
        <v>1145</v>
      </c>
      <c r="F379" s="150" t="s">
        <v>1137</v>
      </c>
      <c r="G379" s="511" t="s">
        <v>639</v>
      </c>
      <c r="H379" s="392" t="s">
        <v>2285</v>
      </c>
      <c r="I379" s="343"/>
      <c r="J379" s="343"/>
      <c r="K379" s="70" t="s">
        <v>676</v>
      </c>
      <c r="L379" s="346"/>
      <c r="M379" s="346" t="s">
        <v>1140</v>
      </c>
      <c r="N379" s="346"/>
      <c r="O379" s="150" t="s">
        <v>677</v>
      </c>
      <c r="P379" s="150"/>
      <c r="Q379" s="403"/>
      <c r="R379" s="406">
        <v>550</v>
      </c>
      <c r="S379" s="406">
        <v>777</v>
      </c>
      <c r="T379" s="425"/>
      <c r="U379" s="71"/>
      <c r="V379" s="426"/>
      <c r="W379" s="427">
        <v>227</v>
      </c>
      <c r="X379" s="431">
        <v>0</v>
      </c>
      <c r="Y379" s="428">
        <v>0</v>
      </c>
      <c r="Z379" s="429">
        <v>454</v>
      </c>
      <c r="AA379" s="429">
        <v>0</v>
      </c>
      <c r="AB379" s="360">
        <v>0</v>
      </c>
      <c r="AC379" s="360">
        <v>0</v>
      </c>
      <c r="AD379" s="360">
        <v>0</v>
      </c>
      <c r="AE379" s="360">
        <v>0</v>
      </c>
      <c r="AF379" s="360">
        <v>0</v>
      </c>
      <c r="AG379" s="360">
        <v>0</v>
      </c>
      <c r="AH379" s="360">
        <f t="shared" si="21"/>
        <v>681</v>
      </c>
      <c r="AI379" s="362">
        <f>ERP_5[[#This Row],[2026 Working Total]]-ERP_5[[#This Row],[LE2 Final Submission]]</f>
        <v>-96</v>
      </c>
      <c r="AJ379" s="79">
        <v>0</v>
      </c>
      <c r="AK379" s="79">
        <f t="shared" si="20"/>
        <v>0</v>
      </c>
      <c r="AL379" s="374">
        <f>SUM(ERP_5[[#This Row],[AP01]:[AP06]])-SUM(ERP_5[[#This Row],[AP01 LE2]:[AP06 LE2]])</f>
        <v>-96</v>
      </c>
      <c r="AM379" s="80"/>
      <c r="AN379" s="79">
        <f>ERP_5[[#This Row],[2026 Working Total to Budget/LE]]-ERP_5[[#This Row],[Giveback]]</f>
        <v>-96</v>
      </c>
      <c r="AO379" s="81"/>
      <c r="AP379" s="375"/>
      <c r="AQ379" s="375">
        <v>227</v>
      </c>
      <c r="AR379" s="375">
        <v>0</v>
      </c>
      <c r="AS379" s="375">
        <v>550</v>
      </c>
      <c r="AT379" s="375">
        <v>0</v>
      </c>
      <c r="AU379" s="375">
        <v>0</v>
      </c>
      <c r="AV379" s="375">
        <v>0</v>
      </c>
      <c r="AW379" s="375">
        <v>0</v>
      </c>
      <c r="AX379" s="375">
        <v>0</v>
      </c>
      <c r="AY379" s="375">
        <v>0</v>
      </c>
      <c r="AZ379" s="375">
        <v>0</v>
      </c>
      <c r="BA379" s="375">
        <v>0</v>
      </c>
      <c r="BB379" s="375">
        <v>777</v>
      </c>
      <c r="BC379" s="79"/>
      <c r="BD379" s="79">
        <v>227</v>
      </c>
      <c r="BE379" s="79">
        <v>0</v>
      </c>
      <c r="BF379" s="79">
        <v>550</v>
      </c>
      <c r="BG379" s="79">
        <v>0</v>
      </c>
      <c r="BH379" s="79">
        <v>0</v>
      </c>
      <c r="BI379" s="79">
        <v>0</v>
      </c>
      <c r="BJ379" s="79">
        <v>0</v>
      </c>
      <c r="BK379" s="79">
        <v>0</v>
      </c>
      <c r="BL379" s="79">
        <v>0</v>
      </c>
      <c r="BM379" s="79">
        <v>0</v>
      </c>
      <c r="BN379" s="79">
        <v>0</v>
      </c>
      <c r="BO379" s="79">
        <v>777</v>
      </c>
    </row>
    <row r="380" spans="1:67" ht="15" customHeight="1">
      <c r="A380" s="66" t="s">
        <v>2120</v>
      </c>
      <c r="B380" s="66" t="s">
        <v>2121</v>
      </c>
      <c r="C380" s="150" t="s">
        <v>1136</v>
      </c>
      <c r="D380" s="150" t="s">
        <v>1567</v>
      </c>
      <c r="E380" s="150" t="s">
        <v>1567</v>
      </c>
      <c r="F380" s="150" t="s">
        <v>1567</v>
      </c>
      <c r="G380" s="511" t="s">
        <v>389</v>
      </c>
      <c r="H380" s="392" t="s">
        <v>1855</v>
      </c>
      <c r="I380" s="343"/>
      <c r="J380" s="343"/>
      <c r="K380" s="70" t="s">
        <v>466</v>
      </c>
      <c r="L380" s="346"/>
      <c r="M380" s="346" t="s">
        <v>1140</v>
      </c>
      <c r="N380" s="346"/>
      <c r="O380" s="150" t="s">
        <v>57</v>
      </c>
      <c r="P380" s="150"/>
      <c r="Q380" s="403"/>
      <c r="R380" s="406">
        <v>0</v>
      </c>
      <c r="S380" s="406">
        <v>882</v>
      </c>
      <c r="T380" s="425"/>
      <c r="U380" s="71"/>
      <c r="V380" s="426">
        <v>194</v>
      </c>
      <c r="W380" s="427">
        <v>194</v>
      </c>
      <c r="X380" s="427">
        <v>494</v>
      </c>
      <c r="Y380" s="428">
        <v>688</v>
      </c>
      <c r="Z380" s="429">
        <v>501</v>
      </c>
      <c r="AA380" s="429">
        <v>441</v>
      </c>
      <c r="AB380" s="360">
        <v>0</v>
      </c>
      <c r="AC380" s="360">
        <v>0</v>
      </c>
      <c r="AD380" s="360">
        <v>0</v>
      </c>
      <c r="AE380" s="360">
        <v>0</v>
      </c>
      <c r="AF380" s="360">
        <v>0</v>
      </c>
      <c r="AG380" s="360">
        <v>0</v>
      </c>
      <c r="AH380" s="360">
        <f t="shared" si="21"/>
        <v>2512</v>
      </c>
      <c r="AI380" s="362">
        <f>ERP_5[[#This Row],[2026 Working Total]]-ERP_5[[#This Row],[LE2 Final Submission]]</f>
        <v>1630</v>
      </c>
      <c r="AJ380" s="79">
        <v>0</v>
      </c>
      <c r="AK380" s="79">
        <f t="shared" si="20"/>
        <v>441</v>
      </c>
      <c r="AL380" s="374">
        <f>SUM(ERP_5[[#This Row],[AP01]:[AP06]])-SUM(ERP_5[[#This Row],[AP01 LE2]:[AP06 LE2]])</f>
        <v>1630</v>
      </c>
      <c r="AM380" s="80"/>
      <c r="AN380" s="79">
        <f>ERP_5[[#This Row],[2026 Working Total to Budget/LE]]-ERP_5[[#This Row],[Giveback]]</f>
        <v>1630</v>
      </c>
      <c r="AO380" s="81"/>
      <c r="AP380" s="375">
        <v>194</v>
      </c>
      <c r="AQ380" s="375">
        <v>194</v>
      </c>
      <c r="AR380" s="375">
        <v>494</v>
      </c>
      <c r="AS380" s="375">
        <v>0</v>
      </c>
      <c r="AT380" s="375">
        <v>0</v>
      </c>
      <c r="AU380" s="375">
        <v>0</v>
      </c>
      <c r="AV380" s="375">
        <v>0</v>
      </c>
      <c r="AW380" s="375">
        <v>0</v>
      </c>
      <c r="AX380" s="375">
        <v>0</v>
      </c>
      <c r="AY380" s="375">
        <v>0</v>
      </c>
      <c r="AZ380" s="375">
        <v>0</v>
      </c>
      <c r="BA380" s="375">
        <v>0</v>
      </c>
      <c r="BB380" s="375">
        <v>882</v>
      </c>
      <c r="BC380" s="79">
        <v>194</v>
      </c>
      <c r="BD380" s="79">
        <v>194</v>
      </c>
      <c r="BE380" s="79">
        <v>494</v>
      </c>
      <c r="BF380" s="79">
        <v>0</v>
      </c>
      <c r="BG380" s="79">
        <v>0</v>
      </c>
      <c r="BH380" s="79">
        <v>0</v>
      </c>
      <c r="BI380" s="79">
        <v>0</v>
      </c>
      <c r="BJ380" s="79">
        <v>0</v>
      </c>
      <c r="BK380" s="79">
        <v>0</v>
      </c>
      <c r="BL380" s="79">
        <v>0</v>
      </c>
      <c r="BM380" s="79">
        <v>0</v>
      </c>
      <c r="BN380" s="79">
        <v>0</v>
      </c>
      <c r="BO380" s="79">
        <v>882</v>
      </c>
    </row>
    <row r="381" spans="1:67" ht="15" customHeight="1">
      <c r="A381" s="66" t="s">
        <v>1901</v>
      </c>
      <c r="B381" s="66" t="s">
        <v>465</v>
      </c>
      <c r="C381" s="150" t="s">
        <v>1136</v>
      </c>
      <c r="D381" s="150" t="s">
        <v>1135</v>
      </c>
      <c r="E381" s="150" t="s">
        <v>1135</v>
      </c>
      <c r="F381" s="150" t="s">
        <v>1137</v>
      </c>
      <c r="G381" s="511" t="s">
        <v>389</v>
      </c>
      <c r="H381" s="392" t="s">
        <v>1855</v>
      </c>
      <c r="I381" s="343"/>
      <c r="J381" s="343"/>
      <c r="K381" s="70" t="s">
        <v>466</v>
      </c>
      <c r="L381" s="346"/>
      <c r="M381" s="346" t="s">
        <v>1140</v>
      </c>
      <c r="N381" s="346"/>
      <c r="O381" s="150" t="s">
        <v>57</v>
      </c>
      <c r="P381" s="150"/>
      <c r="Q381" s="403"/>
      <c r="R381" s="406">
        <v>120000</v>
      </c>
      <c r="S381" s="406">
        <v>141134</v>
      </c>
      <c r="T381" s="425"/>
      <c r="U381" s="71"/>
      <c r="V381" s="426">
        <v>17770</v>
      </c>
      <c r="W381" s="427">
        <v>18328</v>
      </c>
      <c r="X381" s="427">
        <v>15036</v>
      </c>
      <c r="Y381" s="428">
        <v>16438</v>
      </c>
      <c r="Z381" s="429">
        <v>18792</v>
      </c>
      <c r="AA381" s="429">
        <v>20125</v>
      </c>
      <c r="AB381" s="363">
        <v>10000</v>
      </c>
      <c r="AC381" s="363">
        <v>10000</v>
      </c>
      <c r="AD381" s="363">
        <v>10000</v>
      </c>
      <c r="AE381" s="363">
        <v>10000</v>
      </c>
      <c r="AF381" s="363">
        <v>10000</v>
      </c>
      <c r="AG381" s="363">
        <v>10000</v>
      </c>
      <c r="AH381" s="360">
        <f t="shared" si="21"/>
        <v>166489</v>
      </c>
      <c r="AI381" s="362">
        <f>ERP_5[[#This Row],[2026 Working Total]]-ERP_5[[#This Row],[LE2 Final Submission]]</f>
        <v>25355</v>
      </c>
      <c r="AJ381" s="79">
        <v>10000</v>
      </c>
      <c r="AK381" s="79">
        <f t="shared" si="20"/>
        <v>10125</v>
      </c>
      <c r="AL381" s="374">
        <f>SUM(ERP_5[[#This Row],[AP01]:[AP06]])-SUM(ERP_5[[#This Row],[AP01 LE2]:[AP06 LE2]])</f>
        <v>25355</v>
      </c>
      <c r="AM381" s="80"/>
      <c r="AN381" s="79">
        <f>ERP_5[[#This Row],[2026 Working Total to Budget/LE]]-ERP_5[[#This Row],[Giveback]]</f>
        <v>25355</v>
      </c>
      <c r="AO381" s="81"/>
      <c r="AP381" s="375">
        <v>17770</v>
      </c>
      <c r="AQ381" s="375">
        <v>18328</v>
      </c>
      <c r="AR381" s="375">
        <v>15036</v>
      </c>
      <c r="AS381" s="375">
        <v>10000</v>
      </c>
      <c r="AT381" s="375">
        <v>10000</v>
      </c>
      <c r="AU381" s="375">
        <v>10000</v>
      </c>
      <c r="AV381" s="375">
        <v>10000</v>
      </c>
      <c r="AW381" s="375">
        <v>10000</v>
      </c>
      <c r="AX381" s="375">
        <v>10000</v>
      </c>
      <c r="AY381" s="375">
        <v>10000</v>
      </c>
      <c r="AZ381" s="375">
        <v>10000</v>
      </c>
      <c r="BA381" s="375">
        <v>10000</v>
      </c>
      <c r="BB381" s="375">
        <v>141134</v>
      </c>
      <c r="BC381" s="79">
        <v>17770</v>
      </c>
      <c r="BD381" s="79">
        <v>18328</v>
      </c>
      <c r="BE381" s="79">
        <v>15036</v>
      </c>
      <c r="BF381" s="79">
        <v>10000</v>
      </c>
      <c r="BG381" s="79">
        <v>10000</v>
      </c>
      <c r="BH381" s="79">
        <v>10000</v>
      </c>
      <c r="BI381" s="79">
        <v>10000</v>
      </c>
      <c r="BJ381" s="79">
        <v>10000</v>
      </c>
      <c r="BK381" s="79">
        <v>10000</v>
      </c>
      <c r="BL381" s="79">
        <v>10000</v>
      </c>
      <c r="BM381" s="79">
        <v>10000</v>
      </c>
      <c r="BN381" s="79">
        <v>10000</v>
      </c>
      <c r="BO381" s="79">
        <v>141134</v>
      </c>
    </row>
    <row r="382" spans="1:67" ht="15" customHeight="1">
      <c r="A382" s="66" t="s">
        <v>1903</v>
      </c>
      <c r="B382" s="66" t="s">
        <v>1904</v>
      </c>
      <c r="C382" s="150" t="s">
        <v>1136</v>
      </c>
      <c r="D382" s="150" t="s">
        <v>1135</v>
      </c>
      <c r="E382" s="150" t="s">
        <v>1137</v>
      </c>
      <c r="F382" s="150" t="s">
        <v>1137</v>
      </c>
      <c r="G382" s="511" t="s">
        <v>389</v>
      </c>
      <c r="H382" s="392" t="s">
        <v>1855</v>
      </c>
      <c r="I382" s="343"/>
      <c r="J382" s="343"/>
      <c r="K382" s="70" t="s">
        <v>466</v>
      </c>
      <c r="L382" s="346"/>
      <c r="M382" s="346" t="s">
        <v>1140</v>
      </c>
      <c r="N382" s="346"/>
      <c r="O382" s="150" t="s">
        <v>57</v>
      </c>
      <c r="P382" s="1" t="s">
        <v>1141</v>
      </c>
      <c r="Q382" s="403"/>
      <c r="R382" s="406">
        <v>0</v>
      </c>
      <c r="S382" s="406">
        <v>12459.34</v>
      </c>
      <c r="T382" s="425"/>
      <c r="U382" s="71"/>
      <c r="V382" s="426">
        <v>3067.29</v>
      </c>
      <c r="W382" s="427">
        <v>2981.39</v>
      </c>
      <c r="X382" s="427">
        <v>1910.66</v>
      </c>
      <c r="Y382" s="428">
        <v>1410.86</v>
      </c>
      <c r="Z382" s="429">
        <v>2830.8900000000003</v>
      </c>
      <c r="AA382" s="429">
        <v>2863</v>
      </c>
      <c r="AB382" s="363">
        <v>500</v>
      </c>
      <c r="AC382" s="363">
        <v>500</v>
      </c>
      <c r="AD382" s="363">
        <v>500</v>
      </c>
      <c r="AE382" s="363">
        <v>500</v>
      </c>
      <c r="AF382" s="363">
        <v>500</v>
      </c>
      <c r="AG382" s="363">
        <v>500</v>
      </c>
      <c r="AH382" s="360">
        <f t="shared" si="21"/>
        <v>18064.09</v>
      </c>
      <c r="AI382" s="362">
        <f>ERP_5[[#This Row],[2026 Working Total]]-ERP_5[[#This Row],[LE2 Final Submission]]</f>
        <v>5604.75</v>
      </c>
      <c r="AJ382" s="79">
        <v>500</v>
      </c>
      <c r="AK382" s="79">
        <f t="shared" si="20"/>
        <v>2363</v>
      </c>
      <c r="AL382" s="374">
        <f>SUM(ERP_5[[#This Row],[AP01]:[AP06]])-SUM(ERP_5[[#This Row],[AP01 LE2]:[AP06 LE2]])</f>
        <v>5604.75</v>
      </c>
      <c r="AM382" s="80"/>
      <c r="AN382" s="79">
        <f>ERP_5[[#This Row],[2026 Working Total to Budget/LE]]-ERP_5[[#This Row],[Giveback]]</f>
        <v>5604.75</v>
      </c>
      <c r="AO382" s="81"/>
      <c r="AP382" s="375">
        <v>3067.29</v>
      </c>
      <c r="AQ382" s="375">
        <v>2981.39</v>
      </c>
      <c r="AR382" s="375">
        <v>1910.66</v>
      </c>
      <c r="AS382" s="375">
        <v>500</v>
      </c>
      <c r="AT382" s="375">
        <v>500</v>
      </c>
      <c r="AU382" s="375">
        <v>500</v>
      </c>
      <c r="AV382" s="375">
        <v>500</v>
      </c>
      <c r="AW382" s="375">
        <v>500</v>
      </c>
      <c r="AX382" s="375">
        <v>500</v>
      </c>
      <c r="AY382" s="375">
        <v>500</v>
      </c>
      <c r="AZ382" s="375">
        <v>500</v>
      </c>
      <c r="BA382" s="375">
        <v>500</v>
      </c>
      <c r="BB382" s="375">
        <v>12459.34</v>
      </c>
      <c r="BC382" s="79">
        <v>3067.29</v>
      </c>
      <c r="BD382" s="79">
        <v>2981.39</v>
      </c>
      <c r="BE382" s="79">
        <v>1910.66</v>
      </c>
      <c r="BF382" s="79">
        <v>500</v>
      </c>
      <c r="BG382" s="79">
        <v>500</v>
      </c>
      <c r="BH382" s="79">
        <v>500</v>
      </c>
      <c r="BI382" s="79">
        <v>500</v>
      </c>
      <c r="BJ382" s="79">
        <v>500</v>
      </c>
      <c r="BK382" s="79">
        <v>500</v>
      </c>
      <c r="BL382" s="79">
        <v>500</v>
      </c>
      <c r="BM382" s="79">
        <v>500</v>
      </c>
      <c r="BN382" s="79">
        <v>500</v>
      </c>
      <c r="BO382" s="79">
        <v>12459.34</v>
      </c>
    </row>
    <row r="383" spans="1:67" ht="15" customHeight="1">
      <c r="A383" s="66" t="s">
        <v>2141</v>
      </c>
      <c r="B383" s="66" t="s">
        <v>597</v>
      </c>
      <c r="C383" s="150" t="s">
        <v>1136</v>
      </c>
      <c r="D383" s="150" t="s">
        <v>1650</v>
      </c>
      <c r="E383" s="150" t="s">
        <v>1650</v>
      </c>
      <c r="F383" s="150" t="s">
        <v>1650</v>
      </c>
      <c r="G383" s="511" t="s">
        <v>389</v>
      </c>
      <c r="H383" s="392" t="s">
        <v>1855</v>
      </c>
      <c r="I383" s="343"/>
      <c r="J383" s="343"/>
      <c r="K383" s="70" t="s">
        <v>466</v>
      </c>
      <c r="L383" s="346"/>
      <c r="M383" s="346" t="s">
        <v>1140</v>
      </c>
      <c r="N383" s="346"/>
      <c r="O383" s="150" t="s">
        <v>57</v>
      </c>
      <c r="P383" s="150"/>
      <c r="Q383" s="403"/>
      <c r="R383" s="406">
        <v>0</v>
      </c>
      <c r="S383" s="406">
        <v>11571</v>
      </c>
      <c r="T383" s="425"/>
      <c r="U383" s="71"/>
      <c r="V383" s="426">
        <v>681</v>
      </c>
      <c r="W383" s="427">
        <v>981</v>
      </c>
      <c r="X383" s="427">
        <v>2709</v>
      </c>
      <c r="Y383" s="428">
        <v>2441</v>
      </c>
      <c r="Z383" s="429">
        <v>2448</v>
      </c>
      <c r="AA383" s="429">
        <v>1771</v>
      </c>
      <c r="AB383" s="363">
        <v>800</v>
      </c>
      <c r="AC383" s="363">
        <v>800</v>
      </c>
      <c r="AD383" s="363">
        <v>800</v>
      </c>
      <c r="AE383" s="363">
        <v>800</v>
      </c>
      <c r="AF383" s="363">
        <v>800</v>
      </c>
      <c r="AG383" s="363">
        <v>800</v>
      </c>
      <c r="AH383" s="360">
        <f t="shared" si="21"/>
        <v>15831</v>
      </c>
      <c r="AI383" s="362">
        <f>ERP_5[[#This Row],[2026 Working Total]]-ERP_5[[#This Row],[LE2 Final Submission]]</f>
        <v>4260</v>
      </c>
      <c r="AJ383" s="79">
        <v>800</v>
      </c>
      <c r="AK383" s="79">
        <f t="shared" si="20"/>
        <v>971</v>
      </c>
      <c r="AL383" s="374">
        <f>SUM(ERP_5[[#This Row],[AP01]:[AP06]])-SUM(ERP_5[[#This Row],[AP01 LE2]:[AP06 LE2]])</f>
        <v>4260</v>
      </c>
      <c r="AM383" s="80"/>
      <c r="AN383" s="79">
        <f>ERP_5[[#This Row],[2026 Working Total to Budget/LE]]-ERP_5[[#This Row],[Giveback]]</f>
        <v>4260</v>
      </c>
      <c r="AO383" s="81"/>
      <c r="AP383" s="375">
        <v>681</v>
      </c>
      <c r="AQ383" s="375">
        <v>981</v>
      </c>
      <c r="AR383" s="375">
        <v>2709</v>
      </c>
      <c r="AS383" s="375">
        <v>800</v>
      </c>
      <c r="AT383" s="375">
        <v>800</v>
      </c>
      <c r="AU383" s="375">
        <v>800</v>
      </c>
      <c r="AV383" s="375">
        <v>800</v>
      </c>
      <c r="AW383" s="375">
        <v>800</v>
      </c>
      <c r="AX383" s="375">
        <v>800</v>
      </c>
      <c r="AY383" s="375">
        <v>800</v>
      </c>
      <c r="AZ383" s="375">
        <v>800</v>
      </c>
      <c r="BA383" s="375">
        <v>800</v>
      </c>
      <c r="BB383" s="375">
        <v>11571</v>
      </c>
      <c r="BC383" s="79">
        <v>681</v>
      </c>
      <c r="BD383" s="79">
        <v>981</v>
      </c>
      <c r="BE383" s="79">
        <v>2709</v>
      </c>
      <c r="BF383" s="79">
        <v>800</v>
      </c>
      <c r="BG383" s="79">
        <v>800</v>
      </c>
      <c r="BH383" s="79">
        <v>800</v>
      </c>
      <c r="BI383" s="79">
        <v>800</v>
      </c>
      <c r="BJ383" s="79">
        <v>800</v>
      </c>
      <c r="BK383" s="79">
        <v>800</v>
      </c>
      <c r="BL383" s="79">
        <v>800</v>
      </c>
      <c r="BM383" s="79">
        <v>800</v>
      </c>
      <c r="BN383" s="79">
        <v>800</v>
      </c>
      <c r="BO383" s="79">
        <v>11571</v>
      </c>
    </row>
    <row r="384" spans="1:67" ht="15" customHeight="1">
      <c r="A384" s="66" t="s">
        <v>1906</v>
      </c>
      <c r="B384" s="66" t="s">
        <v>1907</v>
      </c>
      <c r="C384" s="150" t="s">
        <v>1136</v>
      </c>
      <c r="D384" s="150" t="s">
        <v>1135</v>
      </c>
      <c r="E384" s="150" t="s">
        <v>1145</v>
      </c>
      <c r="F384" s="150" t="s">
        <v>1137</v>
      </c>
      <c r="G384" s="511" t="s">
        <v>389</v>
      </c>
      <c r="H384" s="392" t="s">
        <v>1855</v>
      </c>
      <c r="I384" s="343"/>
      <c r="J384" s="343"/>
      <c r="K384" s="70" t="s">
        <v>466</v>
      </c>
      <c r="L384" s="346"/>
      <c r="M384" s="346" t="s">
        <v>1140</v>
      </c>
      <c r="N384" s="346"/>
      <c r="O384" s="150" t="s">
        <v>57</v>
      </c>
      <c r="P384" s="150"/>
      <c r="Q384" s="403"/>
      <c r="R384" s="406">
        <v>42000</v>
      </c>
      <c r="S384" s="406">
        <v>31512</v>
      </c>
      <c r="T384" s="425"/>
      <c r="U384" s="71"/>
      <c r="V384" s="426">
        <v>3202</v>
      </c>
      <c r="W384" s="427">
        <v>2807</v>
      </c>
      <c r="X384" s="427">
        <v>240</v>
      </c>
      <c r="Y384" s="428">
        <v>2458</v>
      </c>
      <c r="Z384" s="429">
        <v>2458</v>
      </c>
      <c r="AA384" s="429">
        <v>2786</v>
      </c>
      <c r="AB384" s="363">
        <v>2458</v>
      </c>
      <c r="AC384" s="363">
        <v>2458</v>
      </c>
      <c r="AD384" s="363">
        <v>2458</v>
      </c>
      <c r="AE384" s="363">
        <v>2458</v>
      </c>
      <c r="AF384" s="363">
        <v>2458</v>
      </c>
      <c r="AG384" s="363">
        <v>2458</v>
      </c>
      <c r="AH384" s="360">
        <f t="shared" si="21"/>
        <v>28699</v>
      </c>
      <c r="AI384" s="362">
        <f>ERP_5[[#This Row],[2026 Working Total]]-ERP_5[[#This Row],[LE2 Final Submission]]</f>
        <v>-2813</v>
      </c>
      <c r="AJ384" s="79">
        <v>2807</v>
      </c>
      <c r="AK384" s="79">
        <f t="shared" si="20"/>
        <v>-21</v>
      </c>
      <c r="AL384" s="374">
        <f>SUM(ERP_5[[#This Row],[AP01]:[AP06]])-SUM(ERP_5[[#This Row],[AP01 LE2]:[AP06 LE2]])</f>
        <v>-719</v>
      </c>
      <c r="AM384" s="80"/>
      <c r="AN384" s="79">
        <f>ERP_5[[#This Row],[2026 Working Total to Budget/LE]]-ERP_5[[#This Row],[Giveback]]</f>
        <v>-2813</v>
      </c>
      <c r="AO384" s="81"/>
      <c r="AP384" s="375">
        <v>3202</v>
      </c>
      <c r="AQ384" s="375">
        <v>2807</v>
      </c>
      <c r="AR384" s="375">
        <v>240</v>
      </c>
      <c r="AS384" s="375">
        <v>2807</v>
      </c>
      <c r="AT384" s="375">
        <v>2807</v>
      </c>
      <c r="AU384" s="375">
        <v>2807</v>
      </c>
      <c r="AV384" s="375">
        <v>2807</v>
      </c>
      <c r="AW384" s="375">
        <v>2807</v>
      </c>
      <c r="AX384" s="375">
        <v>2807</v>
      </c>
      <c r="AY384" s="375">
        <v>2807</v>
      </c>
      <c r="AZ384" s="375">
        <v>2807</v>
      </c>
      <c r="BA384" s="375">
        <v>2807</v>
      </c>
      <c r="BB384" s="375">
        <v>31512</v>
      </c>
      <c r="BC384" s="79">
        <v>3202</v>
      </c>
      <c r="BD384" s="79">
        <v>2807</v>
      </c>
      <c r="BE384" s="79">
        <v>240</v>
      </c>
      <c r="BF384" s="79">
        <v>2807</v>
      </c>
      <c r="BG384" s="79">
        <v>2807</v>
      </c>
      <c r="BH384" s="79">
        <v>2807</v>
      </c>
      <c r="BI384" s="79">
        <v>2807</v>
      </c>
      <c r="BJ384" s="79">
        <v>2807</v>
      </c>
      <c r="BK384" s="79">
        <v>2807</v>
      </c>
      <c r="BL384" s="79">
        <v>2807</v>
      </c>
      <c r="BM384" s="79">
        <v>2807</v>
      </c>
      <c r="BN384" s="79">
        <v>2807</v>
      </c>
      <c r="BO384" s="79">
        <v>31512</v>
      </c>
    </row>
    <row r="385" spans="1:67" ht="15" customHeight="1">
      <c r="A385" s="66" t="s">
        <v>2061</v>
      </c>
      <c r="B385" s="66" t="s">
        <v>2062</v>
      </c>
      <c r="C385" s="150" t="s">
        <v>1136</v>
      </c>
      <c r="D385" s="150" t="s">
        <v>1345</v>
      </c>
      <c r="E385" s="150" t="s">
        <v>1481</v>
      </c>
      <c r="F385" s="150" t="s">
        <v>1346</v>
      </c>
      <c r="G385" s="511" t="s">
        <v>389</v>
      </c>
      <c r="H385" s="392" t="s">
        <v>1855</v>
      </c>
      <c r="I385" s="343"/>
      <c r="J385" s="343"/>
      <c r="K385" s="70" t="s">
        <v>466</v>
      </c>
      <c r="L385" s="346"/>
      <c r="M385" s="346" t="s">
        <v>1140</v>
      </c>
      <c r="N385" s="346"/>
      <c r="O385" s="150" t="s">
        <v>57</v>
      </c>
      <c r="P385" s="473" t="s">
        <v>1513</v>
      </c>
      <c r="Q385" s="403"/>
      <c r="R385" s="406">
        <v>18852</v>
      </c>
      <c r="S385" s="406">
        <v>18092</v>
      </c>
      <c r="T385" s="425"/>
      <c r="U385" s="71"/>
      <c r="V385" s="426">
        <v>1206</v>
      </c>
      <c r="W385" s="427">
        <v>1139</v>
      </c>
      <c r="X385" s="427">
        <v>1608</v>
      </c>
      <c r="Y385" s="428">
        <v>1206</v>
      </c>
      <c r="Z385" s="429">
        <v>1206</v>
      </c>
      <c r="AA385" s="429">
        <v>1206</v>
      </c>
      <c r="AB385" s="363">
        <v>1571</v>
      </c>
      <c r="AC385" s="363">
        <v>1571</v>
      </c>
      <c r="AD385" s="363">
        <v>1571</v>
      </c>
      <c r="AE385" s="363">
        <v>1571</v>
      </c>
      <c r="AF385" s="363">
        <v>1571</v>
      </c>
      <c r="AG385" s="363">
        <v>1571</v>
      </c>
      <c r="AH385" s="360">
        <f t="shared" si="21"/>
        <v>16997</v>
      </c>
      <c r="AI385" s="362">
        <f>ERP_5[[#This Row],[2026 Working Total]]-ERP_5[[#This Row],[LE2 Final Submission]]</f>
        <v>-1095</v>
      </c>
      <c r="AJ385" s="79">
        <v>1571</v>
      </c>
      <c r="AK385" s="79">
        <f t="shared" si="20"/>
        <v>-365</v>
      </c>
      <c r="AL385" s="374">
        <f>SUM(ERP_5[[#This Row],[AP01]:[AP06]])-SUM(ERP_5[[#This Row],[AP01 LE2]:[AP06 LE2]])</f>
        <v>-1095</v>
      </c>
      <c r="AM385" s="80"/>
      <c r="AN385" s="79">
        <f>ERP_5[[#This Row],[2026 Working Total to Budget/LE]]-ERP_5[[#This Row],[Giveback]]</f>
        <v>-1095</v>
      </c>
      <c r="AO385" s="81"/>
      <c r="AP385" s="375">
        <v>1206</v>
      </c>
      <c r="AQ385" s="375">
        <v>1139</v>
      </c>
      <c r="AR385" s="375">
        <v>1608</v>
      </c>
      <c r="AS385" s="375">
        <v>1571</v>
      </c>
      <c r="AT385" s="375">
        <v>1571</v>
      </c>
      <c r="AU385" s="375">
        <v>1571</v>
      </c>
      <c r="AV385" s="375">
        <v>1571</v>
      </c>
      <c r="AW385" s="375">
        <v>1571</v>
      </c>
      <c r="AX385" s="375">
        <v>1571</v>
      </c>
      <c r="AY385" s="375">
        <v>1571</v>
      </c>
      <c r="AZ385" s="375">
        <v>1571</v>
      </c>
      <c r="BA385" s="375">
        <v>1571</v>
      </c>
      <c r="BB385" s="375">
        <v>18092</v>
      </c>
      <c r="BC385" s="79">
        <v>1206</v>
      </c>
      <c r="BD385" s="79">
        <v>1139</v>
      </c>
      <c r="BE385" s="79">
        <v>1608</v>
      </c>
      <c r="BF385" s="79">
        <v>1571</v>
      </c>
      <c r="BG385" s="79">
        <v>1571</v>
      </c>
      <c r="BH385" s="79">
        <v>1571</v>
      </c>
      <c r="BI385" s="79">
        <v>1571</v>
      </c>
      <c r="BJ385" s="79">
        <v>1571</v>
      </c>
      <c r="BK385" s="79">
        <v>1571</v>
      </c>
      <c r="BL385" s="79">
        <v>1571</v>
      </c>
      <c r="BM385" s="79">
        <v>1571</v>
      </c>
      <c r="BN385" s="79">
        <v>1571</v>
      </c>
      <c r="BO385" s="79">
        <v>18092</v>
      </c>
    </row>
    <row r="386" spans="1:67" ht="15" customHeight="1">
      <c r="A386" s="66" t="s">
        <v>2025</v>
      </c>
      <c r="B386" s="66" t="s">
        <v>2026</v>
      </c>
      <c r="C386" s="150" t="s">
        <v>1136</v>
      </c>
      <c r="D386" s="150" t="s">
        <v>1345</v>
      </c>
      <c r="E386" s="150" t="s">
        <v>1437</v>
      </c>
      <c r="F386" s="150" t="s">
        <v>1346</v>
      </c>
      <c r="G386" s="511" t="s">
        <v>389</v>
      </c>
      <c r="H386" s="392" t="s">
        <v>1855</v>
      </c>
      <c r="I386" s="343"/>
      <c r="J386" s="343"/>
      <c r="K386" s="70" t="s">
        <v>466</v>
      </c>
      <c r="L386" s="346"/>
      <c r="M386" s="346" t="s">
        <v>1140</v>
      </c>
      <c r="N386" s="346"/>
      <c r="O386" s="150" t="s">
        <v>57</v>
      </c>
      <c r="P386" s="150"/>
      <c r="Q386" s="403"/>
      <c r="R386" s="406">
        <v>22800</v>
      </c>
      <c r="S386" s="406">
        <v>20679</v>
      </c>
      <c r="T386" s="425"/>
      <c r="U386" s="71"/>
      <c r="V386" s="426">
        <v>1636</v>
      </c>
      <c r="W386" s="427">
        <v>1153</v>
      </c>
      <c r="X386" s="427">
        <v>790</v>
      </c>
      <c r="Y386" s="428">
        <v>1287</v>
      </c>
      <c r="Z386" s="429">
        <v>1227</v>
      </c>
      <c r="AA386" s="429">
        <v>1227</v>
      </c>
      <c r="AB386" s="363">
        <v>1900</v>
      </c>
      <c r="AC386" s="363">
        <v>1900</v>
      </c>
      <c r="AD386" s="363">
        <v>1900</v>
      </c>
      <c r="AE386" s="363">
        <v>1900</v>
      </c>
      <c r="AF386" s="363">
        <v>1900</v>
      </c>
      <c r="AG386" s="363">
        <v>1900</v>
      </c>
      <c r="AH386" s="360">
        <f t="shared" si="21"/>
        <v>18720</v>
      </c>
      <c r="AI386" s="362">
        <f>ERP_5[[#This Row],[2026 Working Total]]-ERP_5[[#This Row],[LE2 Final Submission]]</f>
        <v>-1959</v>
      </c>
      <c r="AJ386" s="79">
        <v>1900</v>
      </c>
      <c r="AK386" s="79">
        <f t="shared" si="20"/>
        <v>-673</v>
      </c>
      <c r="AL386" s="374">
        <f>SUM(ERP_5[[#This Row],[AP01]:[AP06]])-SUM(ERP_5[[#This Row],[AP01 LE2]:[AP06 LE2]])</f>
        <v>-1959</v>
      </c>
      <c r="AM386" s="80"/>
      <c r="AN386" s="79">
        <f>ERP_5[[#This Row],[2026 Working Total to Budget/LE]]-ERP_5[[#This Row],[Giveback]]</f>
        <v>-1959</v>
      </c>
      <c r="AO386" s="81"/>
      <c r="AP386" s="375">
        <v>1636</v>
      </c>
      <c r="AQ386" s="375">
        <v>1153</v>
      </c>
      <c r="AR386" s="375">
        <v>790</v>
      </c>
      <c r="AS386" s="375">
        <v>1900</v>
      </c>
      <c r="AT386" s="375">
        <v>1900</v>
      </c>
      <c r="AU386" s="375">
        <v>1900</v>
      </c>
      <c r="AV386" s="375">
        <v>1900</v>
      </c>
      <c r="AW386" s="375">
        <v>1900</v>
      </c>
      <c r="AX386" s="375">
        <v>1900</v>
      </c>
      <c r="AY386" s="375">
        <v>1900</v>
      </c>
      <c r="AZ386" s="375">
        <v>1900</v>
      </c>
      <c r="BA386" s="375">
        <v>1900</v>
      </c>
      <c r="BB386" s="375">
        <v>20679</v>
      </c>
      <c r="BC386" s="79">
        <v>1636</v>
      </c>
      <c r="BD386" s="79">
        <v>1153</v>
      </c>
      <c r="BE386" s="79">
        <v>790</v>
      </c>
      <c r="BF386" s="79">
        <v>1900</v>
      </c>
      <c r="BG386" s="79">
        <v>1900</v>
      </c>
      <c r="BH386" s="79">
        <v>1900</v>
      </c>
      <c r="BI386" s="79">
        <v>1900</v>
      </c>
      <c r="BJ386" s="79">
        <v>1900</v>
      </c>
      <c r="BK386" s="79">
        <v>1900</v>
      </c>
      <c r="BL386" s="79">
        <v>1900</v>
      </c>
      <c r="BM386" s="79">
        <v>1900</v>
      </c>
      <c r="BN386" s="79">
        <v>1900</v>
      </c>
      <c r="BO386" s="79">
        <v>20679</v>
      </c>
    </row>
    <row r="387" spans="1:67" ht="15" customHeight="1">
      <c r="A387" s="150" t="s">
        <v>2748</v>
      </c>
      <c r="B387" s="296" t="s">
        <v>985</v>
      </c>
      <c r="C387" s="150" t="s">
        <v>1136</v>
      </c>
      <c r="D387" s="150" t="s">
        <v>1345</v>
      </c>
      <c r="E387" s="332" t="s">
        <v>1515</v>
      </c>
      <c r="F387" s="333" t="s">
        <v>1515</v>
      </c>
      <c r="G387" s="514" t="s">
        <v>639</v>
      </c>
      <c r="H387" s="394" t="s">
        <v>2749</v>
      </c>
      <c r="I387" s="333"/>
      <c r="J387" s="332" t="s">
        <v>2750</v>
      </c>
      <c r="K387" s="90" t="s">
        <v>679</v>
      </c>
      <c r="L387" s="347"/>
      <c r="M387" s="347"/>
      <c r="N387" s="348"/>
      <c r="O387" s="348"/>
      <c r="P387" s="348"/>
      <c r="Q387" s="402"/>
      <c r="R387" s="406"/>
      <c r="S387" s="406"/>
      <c r="T387" s="425"/>
      <c r="U387" s="71"/>
      <c r="V387" s="435"/>
      <c r="W387" s="436"/>
      <c r="X387" s="436"/>
      <c r="Y387" s="429"/>
      <c r="Z387" s="429">
        <v>417.44</v>
      </c>
      <c r="AA387" s="429">
        <v>0</v>
      </c>
      <c r="AB387" s="364"/>
      <c r="AC387" s="364"/>
      <c r="AD387" s="364"/>
      <c r="AE387" s="364"/>
      <c r="AF387" s="364"/>
      <c r="AG387" s="364"/>
      <c r="AH387" s="360">
        <f t="shared" si="21"/>
        <v>417.44</v>
      </c>
      <c r="AI387" s="362">
        <f>ERP_5[[#This Row],[2026 Working Total]]-ERP_5[[#This Row],[LE2 Final Submission]]</f>
        <v>417.44</v>
      </c>
      <c r="AJ387" s="79"/>
      <c r="AK387" s="79">
        <f t="shared" si="20"/>
        <v>0</v>
      </c>
      <c r="AL387" s="374">
        <f>SUM(ERP_5[[#This Row],[AP01]:[AP06]])-SUM(ERP_5[[#This Row],[AP01 LE2]:[AP06 LE2]])</f>
        <v>417.44</v>
      </c>
      <c r="AM387" s="80"/>
      <c r="AN387" s="79">
        <f>ERP_5[[#This Row],[2026 Working Total to Budget/LE]]-ERP_5[[#This Row],[Giveback]]</f>
        <v>417.44</v>
      </c>
      <c r="AO387" s="81"/>
      <c r="AP387" s="375"/>
      <c r="AQ387" s="375"/>
      <c r="AR387" s="375"/>
      <c r="AS387" s="375"/>
      <c r="AT387" s="375"/>
      <c r="AU387" s="375"/>
      <c r="AV387" s="375"/>
      <c r="AW387" s="375"/>
      <c r="AX387" s="375"/>
      <c r="AY387" s="375"/>
      <c r="AZ387" s="375"/>
      <c r="BA387" s="375"/>
      <c r="BB387" s="375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</row>
    <row r="388" spans="1:67" ht="15" customHeight="1">
      <c r="A388" s="66" t="s">
        <v>2788</v>
      </c>
      <c r="B388" s="66" t="s">
        <v>2789</v>
      </c>
      <c r="C388" s="150" t="s">
        <v>1136</v>
      </c>
      <c r="D388" s="150" t="s">
        <v>1345</v>
      </c>
      <c r="E388" s="150" t="s">
        <v>1346</v>
      </c>
      <c r="F388" s="150" t="s">
        <v>1346</v>
      </c>
      <c r="G388" s="511" t="s">
        <v>639</v>
      </c>
      <c r="H388" s="392" t="s">
        <v>2291</v>
      </c>
      <c r="I388" s="343"/>
      <c r="J388" s="343"/>
      <c r="K388" s="70" t="s">
        <v>679</v>
      </c>
      <c r="L388" s="346"/>
      <c r="M388" s="346" t="s">
        <v>1140</v>
      </c>
      <c r="N388" s="346"/>
      <c r="O388" s="150" t="s">
        <v>680</v>
      </c>
      <c r="P388" s="150"/>
      <c r="Q388" s="403"/>
      <c r="R388" s="406">
        <v>36000</v>
      </c>
      <c r="S388" s="406">
        <v>46414.39</v>
      </c>
      <c r="T388" s="430"/>
      <c r="U388" s="137"/>
      <c r="V388" s="426">
        <v>6465</v>
      </c>
      <c r="W388" s="427">
        <v>5197.6400000000003</v>
      </c>
      <c r="X388" s="427">
        <v>7751.75</v>
      </c>
      <c r="Y388" s="428">
        <v>17671</v>
      </c>
      <c r="Z388" s="429">
        <v>9482</v>
      </c>
      <c r="AA388" s="429">
        <v>14223</v>
      </c>
      <c r="AB388" s="363">
        <v>3000</v>
      </c>
      <c r="AC388" s="363">
        <v>3000</v>
      </c>
      <c r="AD388" s="363">
        <v>3000</v>
      </c>
      <c r="AE388" s="363">
        <v>3000</v>
      </c>
      <c r="AF388" s="363">
        <v>3000</v>
      </c>
      <c r="AG388" s="363">
        <v>3000</v>
      </c>
      <c r="AH388" s="360">
        <f t="shared" si="21"/>
        <v>78790.39</v>
      </c>
      <c r="AI388" s="362">
        <f>ERP_5[[#This Row],[2026 Working Total]]-ERP_5[[#This Row],[LE2 Final Submission]]</f>
        <v>32376</v>
      </c>
      <c r="AJ388" s="79">
        <v>3000</v>
      </c>
      <c r="AK388" s="79">
        <f t="shared" si="20"/>
        <v>11223</v>
      </c>
      <c r="AL388" s="374">
        <f>SUM(ERP_5[[#This Row],[AP01]:[AP06]])-SUM(ERP_5[[#This Row],[AP01 LE2]:[AP06 LE2]])</f>
        <v>32376</v>
      </c>
      <c r="AM388" s="80"/>
      <c r="AN388" s="79">
        <f>ERP_5[[#This Row],[2026 Working Total to Budget/LE]]-ERP_5[[#This Row],[Giveback]]</f>
        <v>32376</v>
      </c>
      <c r="AO388" s="81"/>
      <c r="AP388" s="375">
        <v>6465</v>
      </c>
      <c r="AQ388" s="375">
        <v>5197.6400000000003</v>
      </c>
      <c r="AR388" s="375">
        <v>7751.75</v>
      </c>
      <c r="AS388" s="375">
        <v>3000</v>
      </c>
      <c r="AT388" s="375">
        <v>3000</v>
      </c>
      <c r="AU388" s="375">
        <v>3000</v>
      </c>
      <c r="AV388" s="375">
        <v>3000</v>
      </c>
      <c r="AW388" s="375">
        <v>3000</v>
      </c>
      <c r="AX388" s="375">
        <v>3000</v>
      </c>
      <c r="AY388" s="375">
        <v>3000</v>
      </c>
      <c r="AZ388" s="375">
        <v>3000</v>
      </c>
      <c r="BA388" s="375">
        <v>3000</v>
      </c>
      <c r="BB388" s="375">
        <v>46414.39</v>
      </c>
      <c r="BC388" s="79">
        <v>6465</v>
      </c>
      <c r="BD388" s="79">
        <v>5197.6400000000003</v>
      </c>
      <c r="BE388" s="79">
        <v>7751.75</v>
      </c>
      <c r="BF388" s="79">
        <v>3000</v>
      </c>
      <c r="BG388" s="79">
        <v>3000</v>
      </c>
      <c r="BH388" s="79">
        <v>3000</v>
      </c>
      <c r="BI388" s="79">
        <v>3000</v>
      </c>
      <c r="BJ388" s="79">
        <v>3000</v>
      </c>
      <c r="BK388" s="79">
        <v>3000</v>
      </c>
      <c r="BL388" s="79">
        <v>3000</v>
      </c>
      <c r="BM388" s="79">
        <v>3000</v>
      </c>
      <c r="BN388" s="79">
        <v>3000</v>
      </c>
      <c r="BO388" s="79">
        <v>46414.39</v>
      </c>
    </row>
    <row r="389" spans="1:67" ht="15" customHeight="1">
      <c r="A389" s="66" t="s">
        <v>1908</v>
      </c>
      <c r="B389" s="66" t="s">
        <v>1909</v>
      </c>
      <c r="C389" s="150" t="s">
        <v>1136</v>
      </c>
      <c r="D389" s="150" t="s">
        <v>1135</v>
      </c>
      <c r="E389" s="150" t="s">
        <v>1156</v>
      </c>
      <c r="F389" s="150" t="s">
        <v>1137</v>
      </c>
      <c r="G389" s="511" t="s">
        <v>389</v>
      </c>
      <c r="H389" s="392" t="s">
        <v>1855</v>
      </c>
      <c r="I389" s="343"/>
      <c r="J389" s="343"/>
      <c r="K389" s="70" t="s">
        <v>466</v>
      </c>
      <c r="L389" s="346"/>
      <c r="M389" s="346" t="s">
        <v>1140</v>
      </c>
      <c r="N389" s="346"/>
      <c r="O389" s="150" t="s">
        <v>57</v>
      </c>
      <c r="P389" s="150"/>
      <c r="Q389" s="403"/>
      <c r="R389" s="406">
        <v>0</v>
      </c>
      <c r="S389" s="406">
        <v>3535</v>
      </c>
      <c r="T389" s="425"/>
      <c r="U389" s="71"/>
      <c r="V389" s="426">
        <v>60</v>
      </c>
      <c r="W389" s="431">
        <v>0</v>
      </c>
      <c r="X389" s="427">
        <v>3475</v>
      </c>
      <c r="Y389" s="428">
        <v>0</v>
      </c>
      <c r="Z389" s="429">
        <v>0</v>
      </c>
      <c r="AA389" s="429">
        <v>0</v>
      </c>
      <c r="AB389" s="360">
        <v>0</v>
      </c>
      <c r="AC389" s="360">
        <v>0</v>
      </c>
      <c r="AD389" s="360">
        <v>0</v>
      </c>
      <c r="AE389" s="360">
        <v>0</v>
      </c>
      <c r="AF389" s="360">
        <v>0</v>
      </c>
      <c r="AG389" s="360">
        <v>0</v>
      </c>
      <c r="AH389" s="360">
        <f t="shared" si="21"/>
        <v>3535</v>
      </c>
      <c r="AI389" s="362">
        <f>ERP_5[[#This Row],[2026 Working Total]]-ERP_5[[#This Row],[LE2 Final Submission]]</f>
        <v>0</v>
      </c>
      <c r="AJ389" s="79">
        <v>0</v>
      </c>
      <c r="AK389" s="79">
        <f t="shared" si="20"/>
        <v>0</v>
      </c>
      <c r="AL389" s="374">
        <f>SUM(ERP_5[[#This Row],[AP01]:[AP06]])-SUM(ERP_5[[#This Row],[AP01 LE2]:[AP06 LE2]])</f>
        <v>0</v>
      </c>
      <c r="AM389" s="80"/>
      <c r="AN389" s="79">
        <f>ERP_5[[#This Row],[2026 Working Total to Budget/LE]]-ERP_5[[#This Row],[Giveback]]</f>
        <v>0</v>
      </c>
      <c r="AO389" s="81"/>
      <c r="AP389" s="375">
        <v>60</v>
      </c>
      <c r="AQ389" s="375">
        <v>0</v>
      </c>
      <c r="AR389" s="375">
        <v>3475</v>
      </c>
      <c r="AS389" s="375">
        <v>0</v>
      </c>
      <c r="AT389" s="375">
        <v>0</v>
      </c>
      <c r="AU389" s="375">
        <v>0</v>
      </c>
      <c r="AV389" s="375">
        <v>0</v>
      </c>
      <c r="AW389" s="375">
        <v>0</v>
      </c>
      <c r="AX389" s="375">
        <v>0</v>
      </c>
      <c r="AY389" s="375">
        <v>0</v>
      </c>
      <c r="AZ389" s="375">
        <v>0</v>
      </c>
      <c r="BA389" s="375">
        <v>0</v>
      </c>
      <c r="BB389" s="375">
        <v>3535</v>
      </c>
      <c r="BC389" s="79">
        <v>60</v>
      </c>
      <c r="BD389" s="79">
        <v>0</v>
      </c>
      <c r="BE389" s="79">
        <v>3475</v>
      </c>
      <c r="BF389" s="79">
        <v>0</v>
      </c>
      <c r="BG389" s="79">
        <v>0</v>
      </c>
      <c r="BH389" s="79">
        <v>0</v>
      </c>
      <c r="BI389" s="79">
        <v>0</v>
      </c>
      <c r="BJ389" s="79">
        <v>0</v>
      </c>
      <c r="BK389" s="79">
        <v>0</v>
      </c>
      <c r="BL389" s="79">
        <v>0</v>
      </c>
      <c r="BM389" s="79">
        <v>0</v>
      </c>
      <c r="BN389" s="79">
        <v>0</v>
      </c>
      <c r="BO389" s="79">
        <v>3535</v>
      </c>
    </row>
    <row r="390" spans="1:67" ht="15" customHeight="1">
      <c r="A390" s="66" t="s">
        <v>2615</v>
      </c>
      <c r="B390" s="66" t="s">
        <v>907</v>
      </c>
      <c r="C390" s="150" t="s">
        <v>1136</v>
      </c>
      <c r="D390" s="150" t="s">
        <v>1345</v>
      </c>
      <c r="E390" s="150" t="s">
        <v>1344</v>
      </c>
      <c r="F390" s="150" t="s">
        <v>1346</v>
      </c>
      <c r="G390" s="511" t="s">
        <v>639</v>
      </c>
      <c r="H390" s="392" t="s">
        <v>2291</v>
      </c>
      <c r="I390" s="343"/>
      <c r="J390" s="343"/>
      <c r="K390" s="70" t="s">
        <v>679</v>
      </c>
      <c r="L390" s="346"/>
      <c r="M390" s="346" t="s">
        <v>1140</v>
      </c>
      <c r="N390" s="346"/>
      <c r="O390" s="150" t="s">
        <v>680</v>
      </c>
      <c r="P390" s="150"/>
      <c r="Q390" s="403"/>
      <c r="R390" s="406">
        <v>6000</v>
      </c>
      <c r="S390" s="406">
        <v>4931</v>
      </c>
      <c r="T390" s="425"/>
      <c r="U390" s="71"/>
      <c r="V390" s="426">
        <v>431</v>
      </c>
      <c r="W390" s="431">
        <v>0</v>
      </c>
      <c r="X390" s="431">
        <v>0</v>
      </c>
      <c r="Y390" s="428">
        <v>0</v>
      </c>
      <c r="Z390" s="429">
        <v>0</v>
      </c>
      <c r="AA390" s="429">
        <v>431</v>
      </c>
      <c r="AB390" s="363">
        <v>500</v>
      </c>
      <c r="AC390" s="363">
        <v>500</v>
      </c>
      <c r="AD390" s="363">
        <v>500</v>
      </c>
      <c r="AE390" s="363">
        <v>500</v>
      </c>
      <c r="AF390" s="363">
        <v>500</v>
      </c>
      <c r="AG390" s="363">
        <v>500</v>
      </c>
      <c r="AH390" s="360">
        <f t="shared" si="21"/>
        <v>3862</v>
      </c>
      <c r="AI390" s="362">
        <f>ERP_5[[#This Row],[2026 Working Total]]-ERP_5[[#This Row],[LE2 Final Submission]]</f>
        <v>-1069</v>
      </c>
      <c r="AJ390" s="79">
        <v>500</v>
      </c>
      <c r="AK390" s="79">
        <f t="shared" si="20"/>
        <v>-69</v>
      </c>
      <c r="AL390" s="374">
        <f>SUM(ERP_5[[#This Row],[AP01]:[AP06]])-SUM(ERP_5[[#This Row],[AP01 LE2]:[AP06 LE2]])</f>
        <v>-1069</v>
      </c>
      <c r="AM390" s="80"/>
      <c r="AN390" s="79">
        <f>ERP_5[[#This Row],[2026 Working Total to Budget/LE]]-ERP_5[[#This Row],[Giveback]]</f>
        <v>-1069</v>
      </c>
      <c r="AO390" s="81"/>
      <c r="AP390" s="375">
        <v>431</v>
      </c>
      <c r="AQ390" s="375">
        <v>0</v>
      </c>
      <c r="AR390" s="375">
        <v>0</v>
      </c>
      <c r="AS390" s="375">
        <v>500</v>
      </c>
      <c r="AT390" s="375">
        <v>500</v>
      </c>
      <c r="AU390" s="375">
        <v>500</v>
      </c>
      <c r="AV390" s="375">
        <v>500</v>
      </c>
      <c r="AW390" s="375">
        <v>500</v>
      </c>
      <c r="AX390" s="375">
        <v>500</v>
      </c>
      <c r="AY390" s="375">
        <v>500</v>
      </c>
      <c r="AZ390" s="375">
        <v>500</v>
      </c>
      <c r="BA390" s="375">
        <v>500</v>
      </c>
      <c r="BB390" s="375">
        <v>4931</v>
      </c>
      <c r="BC390" s="79">
        <v>431</v>
      </c>
      <c r="BD390" s="79">
        <v>0</v>
      </c>
      <c r="BE390" s="79">
        <v>0</v>
      </c>
      <c r="BF390" s="79">
        <v>500</v>
      </c>
      <c r="BG390" s="79">
        <v>500</v>
      </c>
      <c r="BH390" s="79">
        <v>500</v>
      </c>
      <c r="BI390" s="79">
        <v>500</v>
      </c>
      <c r="BJ390" s="79">
        <v>500</v>
      </c>
      <c r="BK390" s="79">
        <v>500</v>
      </c>
      <c r="BL390" s="79">
        <v>500</v>
      </c>
      <c r="BM390" s="79">
        <v>500</v>
      </c>
      <c r="BN390" s="79">
        <v>500</v>
      </c>
      <c r="BO390" s="79">
        <v>4931</v>
      </c>
    </row>
    <row r="391" spans="1:67" ht="15" customHeight="1">
      <c r="A391" s="66" t="s">
        <v>2718</v>
      </c>
      <c r="B391" s="66" t="s">
        <v>968</v>
      </c>
      <c r="C391" s="150" t="s">
        <v>1136</v>
      </c>
      <c r="D391" s="150" t="s">
        <v>1345</v>
      </c>
      <c r="E391" s="150" t="s">
        <v>1480</v>
      </c>
      <c r="F391" s="150" t="s">
        <v>1346</v>
      </c>
      <c r="G391" s="511" t="s">
        <v>639</v>
      </c>
      <c r="H391" s="392" t="s">
        <v>2291</v>
      </c>
      <c r="I391" s="343"/>
      <c r="J391" s="343"/>
      <c r="K391" s="70" t="s">
        <v>679</v>
      </c>
      <c r="L391" s="346"/>
      <c r="M391" s="346" t="s">
        <v>1140</v>
      </c>
      <c r="N391" s="346"/>
      <c r="O391" s="150" t="s">
        <v>680</v>
      </c>
      <c r="P391" s="150"/>
      <c r="Q391" s="403"/>
      <c r="R391" s="406">
        <v>370</v>
      </c>
      <c r="S391" s="406">
        <v>370</v>
      </c>
      <c r="T391" s="425"/>
      <c r="U391" s="71"/>
      <c r="V391" s="426"/>
      <c r="W391" s="427"/>
      <c r="X391" s="427"/>
      <c r="Y391" s="428" t="s">
        <v>1142</v>
      </c>
      <c r="Z391" s="429">
        <v>0</v>
      </c>
      <c r="AA391" s="429">
        <v>0</v>
      </c>
      <c r="AB391" s="360">
        <v>0</v>
      </c>
      <c r="AC391" s="360">
        <v>0</v>
      </c>
      <c r="AD391" s="360">
        <v>0</v>
      </c>
      <c r="AE391" s="360">
        <v>0</v>
      </c>
      <c r="AF391" s="360">
        <v>0</v>
      </c>
      <c r="AG391" s="360">
        <v>0</v>
      </c>
      <c r="AH391" s="360">
        <f t="shared" si="21"/>
        <v>0</v>
      </c>
      <c r="AI391" s="362">
        <f>ERP_5[[#This Row],[2026 Working Total]]-ERP_5[[#This Row],[LE2 Final Submission]]</f>
        <v>-370</v>
      </c>
      <c r="AJ391" s="79">
        <v>0</v>
      </c>
      <c r="AK391" s="79">
        <f t="shared" si="20"/>
        <v>0</v>
      </c>
      <c r="AL391" s="374">
        <f>SUM(ERP_5[[#This Row],[AP01]:[AP06]])-SUM(ERP_5[[#This Row],[AP01 LE2]:[AP06 LE2]])</f>
        <v>-370</v>
      </c>
      <c r="AM391" s="80"/>
      <c r="AN391" s="79">
        <f>ERP_5[[#This Row],[2026 Working Total to Budget/LE]]-ERP_5[[#This Row],[Giveback]]</f>
        <v>-370</v>
      </c>
      <c r="AO391" s="81"/>
      <c r="AP391" s="375"/>
      <c r="AQ391" s="375"/>
      <c r="AR391" s="375"/>
      <c r="AS391" s="375">
        <v>370</v>
      </c>
      <c r="AT391" s="375">
        <v>0</v>
      </c>
      <c r="AU391" s="375">
        <v>0</v>
      </c>
      <c r="AV391" s="375">
        <v>0</v>
      </c>
      <c r="AW391" s="375">
        <v>0</v>
      </c>
      <c r="AX391" s="375">
        <v>0</v>
      </c>
      <c r="AY391" s="375">
        <v>0</v>
      </c>
      <c r="AZ391" s="375">
        <v>0</v>
      </c>
      <c r="BA391" s="375">
        <v>0</v>
      </c>
      <c r="BB391" s="375">
        <v>370</v>
      </c>
      <c r="BC391" s="79"/>
      <c r="BD391" s="79"/>
      <c r="BE391" s="79"/>
      <c r="BF391" s="79">
        <v>370</v>
      </c>
      <c r="BG391" s="79">
        <v>0</v>
      </c>
      <c r="BH391" s="79">
        <v>0</v>
      </c>
      <c r="BI391" s="79">
        <v>0</v>
      </c>
      <c r="BJ391" s="79">
        <v>0</v>
      </c>
      <c r="BK391" s="79">
        <v>0</v>
      </c>
      <c r="BL391" s="79">
        <v>0</v>
      </c>
      <c r="BM391" s="79">
        <v>0</v>
      </c>
      <c r="BN391" s="79">
        <v>0</v>
      </c>
      <c r="BO391" s="79">
        <v>370</v>
      </c>
    </row>
    <row r="392" spans="1:67" ht="15" customHeight="1">
      <c r="A392" s="66" t="s">
        <v>1910</v>
      </c>
      <c r="B392" s="66" t="s">
        <v>1911</v>
      </c>
      <c r="C392" s="150" t="s">
        <v>1136</v>
      </c>
      <c r="D392" s="150" t="s">
        <v>1135</v>
      </c>
      <c r="E392" s="150" t="s">
        <v>1161</v>
      </c>
      <c r="F392" s="150" t="s">
        <v>1137</v>
      </c>
      <c r="G392" s="511" t="s">
        <v>389</v>
      </c>
      <c r="H392" s="392" t="s">
        <v>1855</v>
      </c>
      <c r="I392" s="343"/>
      <c r="J392" s="343"/>
      <c r="K392" s="70" t="s">
        <v>466</v>
      </c>
      <c r="L392" s="346"/>
      <c r="M392" s="346" t="s">
        <v>1140</v>
      </c>
      <c r="N392" s="346"/>
      <c r="O392" s="150" t="s">
        <v>57</v>
      </c>
      <c r="P392" s="150"/>
      <c r="Q392" s="403"/>
      <c r="R392" s="406">
        <v>0</v>
      </c>
      <c r="S392" s="406">
        <v>1245</v>
      </c>
      <c r="T392" s="425"/>
      <c r="U392" s="71"/>
      <c r="V392" s="426"/>
      <c r="W392" s="427"/>
      <c r="X392" s="427">
        <v>1245</v>
      </c>
      <c r="Y392" s="428">
        <v>0</v>
      </c>
      <c r="Z392" s="429">
        <v>0</v>
      </c>
      <c r="AA392" s="429">
        <v>0</v>
      </c>
      <c r="AB392" s="360">
        <v>0</v>
      </c>
      <c r="AC392" s="360">
        <v>0</v>
      </c>
      <c r="AD392" s="360">
        <v>0</v>
      </c>
      <c r="AE392" s="360">
        <v>0</v>
      </c>
      <c r="AF392" s="360">
        <v>0</v>
      </c>
      <c r="AG392" s="360">
        <v>0</v>
      </c>
      <c r="AH392" s="360">
        <f t="shared" si="21"/>
        <v>1245</v>
      </c>
      <c r="AI392" s="362">
        <f>ERP_5[[#This Row],[2026 Working Total]]-ERP_5[[#This Row],[LE2 Final Submission]]</f>
        <v>0</v>
      </c>
      <c r="AJ392" s="79">
        <v>0</v>
      </c>
      <c r="AK392" s="79">
        <f t="shared" ref="AK392:AK455" si="22">$AA392 - $AJ392</f>
        <v>0</v>
      </c>
      <c r="AL392" s="374">
        <f>SUM(ERP_5[[#This Row],[AP01]:[AP06]])-SUM(ERP_5[[#This Row],[AP01 LE2]:[AP06 LE2]])</f>
        <v>0</v>
      </c>
      <c r="AM392" s="80"/>
      <c r="AN392" s="79">
        <f>ERP_5[[#This Row],[2026 Working Total to Budget/LE]]-ERP_5[[#This Row],[Giveback]]</f>
        <v>0</v>
      </c>
      <c r="AO392" s="81"/>
      <c r="AP392" s="375"/>
      <c r="AQ392" s="375"/>
      <c r="AR392" s="375">
        <v>1245</v>
      </c>
      <c r="AS392" s="375">
        <v>0</v>
      </c>
      <c r="AT392" s="375">
        <v>0</v>
      </c>
      <c r="AU392" s="375">
        <v>0</v>
      </c>
      <c r="AV392" s="375">
        <v>0</v>
      </c>
      <c r="AW392" s="375">
        <v>0</v>
      </c>
      <c r="AX392" s="375">
        <v>0</v>
      </c>
      <c r="AY392" s="375">
        <v>0</v>
      </c>
      <c r="AZ392" s="375">
        <v>0</v>
      </c>
      <c r="BA392" s="375">
        <v>0</v>
      </c>
      <c r="BB392" s="375">
        <v>1245</v>
      </c>
      <c r="BC392" s="79"/>
      <c r="BD392" s="79"/>
      <c r="BE392" s="79">
        <v>1245</v>
      </c>
      <c r="BF392" s="79">
        <v>0</v>
      </c>
      <c r="BG392" s="79">
        <v>0</v>
      </c>
      <c r="BH392" s="79">
        <v>0</v>
      </c>
      <c r="BI392" s="79">
        <v>0</v>
      </c>
      <c r="BJ392" s="79">
        <v>0</v>
      </c>
      <c r="BK392" s="79">
        <v>0</v>
      </c>
      <c r="BL392" s="79">
        <v>0</v>
      </c>
      <c r="BM392" s="79">
        <v>0</v>
      </c>
      <c r="BN392" s="79">
        <v>0</v>
      </c>
      <c r="BO392" s="79">
        <v>1245</v>
      </c>
    </row>
    <row r="393" spans="1:67" ht="15" customHeight="1">
      <c r="A393" s="66" t="s">
        <v>1912</v>
      </c>
      <c r="B393" s="66" t="s">
        <v>1913</v>
      </c>
      <c r="C393" s="150" t="s">
        <v>1136</v>
      </c>
      <c r="D393" s="150" t="s">
        <v>1135</v>
      </c>
      <c r="E393" s="150" t="s">
        <v>1165</v>
      </c>
      <c r="F393" s="150" t="s">
        <v>1137</v>
      </c>
      <c r="G393" s="511" t="s">
        <v>389</v>
      </c>
      <c r="H393" s="392" t="s">
        <v>1855</v>
      </c>
      <c r="I393" s="343"/>
      <c r="J393" s="343"/>
      <c r="K393" s="70" t="s">
        <v>466</v>
      </c>
      <c r="L393" s="346"/>
      <c r="M393" s="346" t="s">
        <v>1140</v>
      </c>
      <c r="N393" s="346"/>
      <c r="O393" s="150" t="s">
        <v>57</v>
      </c>
      <c r="P393" s="150"/>
      <c r="Q393" s="403"/>
      <c r="R393" s="406">
        <v>120000</v>
      </c>
      <c r="S393" s="406">
        <v>114396</v>
      </c>
      <c r="T393" s="425"/>
      <c r="U393" s="71"/>
      <c r="V393" s="426">
        <v>8661</v>
      </c>
      <c r="W393" s="427">
        <v>6471</v>
      </c>
      <c r="X393" s="427">
        <v>9264</v>
      </c>
      <c r="Y393" s="428">
        <v>5219</v>
      </c>
      <c r="Z393" s="429">
        <v>5092</v>
      </c>
      <c r="AA393" s="429">
        <v>6559</v>
      </c>
      <c r="AB393" s="363">
        <v>10000</v>
      </c>
      <c r="AC393" s="363">
        <v>10000</v>
      </c>
      <c r="AD393" s="363">
        <v>10000</v>
      </c>
      <c r="AE393" s="363">
        <v>10000</v>
      </c>
      <c r="AF393" s="363">
        <v>10000</v>
      </c>
      <c r="AG393" s="363">
        <v>10000</v>
      </c>
      <c r="AH393" s="360">
        <f t="shared" si="21"/>
        <v>101266</v>
      </c>
      <c r="AI393" s="362">
        <f>ERP_5[[#This Row],[2026 Working Total]]-ERP_5[[#This Row],[LE2 Final Submission]]</f>
        <v>-13130</v>
      </c>
      <c r="AJ393" s="79">
        <v>10000</v>
      </c>
      <c r="AK393" s="79">
        <f t="shared" si="22"/>
        <v>-3441</v>
      </c>
      <c r="AL393" s="374">
        <f>SUM(ERP_5[[#This Row],[AP01]:[AP06]])-SUM(ERP_5[[#This Row],[AP01 LE2]:[AP06 LE2]])</f>
        <v>-13130</v>
      </c>
      <c r="AM393" s="80"/>
      <c r="AN393" s="79">
        <f>ERP_5[[#This Row],[2026 Working Total to Budget/LE]]-ERP_5[[#This Row],[Giveback]]</f>
        <v>-13130</v>
      </c>
      <c r="AO393" s="81"/>
      <c r="AP393" s="375">
        <v>8661</v>
      </c>
      <c r="AQ393" s="375">
        <v>6471</v>
      </c>
      <c r="AR393" s="375">
        <v>9264</v>
      </c>
      <c r="AS393" s="375">
        <v>10000</v>
      </c>
      <c r="AT393" s="375">
        <v>10000</v>
      </c>
      <c r="AU393" s="375">
        <v>10000</v>
      </c>
      <c r="AV393" s="375">
        <v>10000</v>
      </c>
      <c r="AW393" s="375">
        <v>10000</v>
      </c>
      <c r="AX393" s="375">
        <v>10000</v>
      </c>
      <c r="AY393" s="375">
        <v>10000</v>
      </c>
      <c r="AZ393" s="375">
        <v>10000</v>
      </c>
      <c r="BA393" s="375">
        <v>10000</v>
      </c>
      <c r="BB393" s="375">
        <v>114396</v>
      </c>
      <c r="BC393" s="79">
        <v>8661</v>
      </c>
      <c r="BD393" s="79">
        <v>6471</v>
      </c>
      <c r="BE393" s="79">
        <v>9264</v>
      </c>
      <c r="BF393" s="79">
        <v>10000</v>
      </c>
      <c r="BG393" s="79">
        <v>10000</v>
      </c>
      <c r="BH393" s="79">
        <v>10000</v>
      </c>
      <c r="BI393" s="79">
        <v>10000</v>
      </c>
      <c r="BJ393" s="79">
        <v>10000</v>
      </c>
      <c r="BK393" s="79">
        <v>10000</v>
      </c>
      <c r="BL393" s="79">
        <v>10000</v>
      </c>
      <c r="BM393" s="79">
        <v>10000</v>
      </c>
      <c r="BN393" s="79">
        <v>10000</v>
      </c>
      <c r="BO393" s="79">
        <v>114396</v>
      </c>
    </row>
    <row r="394" spans="1:67" ht="15" customHeight="1">
      <c r="A394" s="66" t="s">
        <v>2790</v>
      </c>
      <c r="B394" s="66" t="s">
        <v>2791</v>
      </c>
      <c r="C394" s="150" t="s">
        <v>1136</v>
      </c>
      <c r="D394" s="150" t="s">
        <v>1567</v>
      </c>
      <c r="E394" s="150" t="s">
        <v>1567</v>
      </c>
      <c r="F394" s="150" t="s">
        <v>1567</v>
      </c>
      <c r="G394" s="511" t="s">
        <v>639</v>
      </c>
      <c r="H394" s="392" t="s">
        <v>2291</v>
      </c>
      <c r="I394" s="343"/>
      <c r="J394" s="343"/>
      <c r="K394" s="70" t="s">
        <v>679</v>
      </c>
      <c r="L394" s="346"/>
      <c r="M394" s="346" t="s">
        <v>1140</v>
      </c>
      <c r="N394" s="346"/>
      <c r="O394" s="150" t="s">
        <v>680</v>
      </c>
      <c r="P394" s="150"/>
      <c r="Q394" s="403"/>
      <c r="R394" s="406">
        <v>0</v>
      </c>
      <c r="S394" s="406">
        <v>2155</v>
      </c>
      <c r="T394" s="425"/>
      <c r="U394" s="71"/>
      <c r="V394" s="426"/>
      <c r="W394" s="427"/>
      <c r="X394" s="427">
        <v>2155</v>
      </c>
      <c r="Y394" s="428">
        <v>0</v>
      </c>
      <c r="Z394" s="429">
        <v>0</v>
      </c>
      <c r="AA394" s="429">
        <v>0</v>
      </c>
      <c r="AB394" s="360">
        <v>0</v>
      </c>
      <c r="AC394" s="360">
        <v>0</v>
      </c>
      <c r="AD394" s="360">
        <v>0</v>
      </c>
      <c r="AE394" s="360">
        <v>0</v>
      </c>
      <c r="AF394" s="360">
        <v>0</v>
      </c>
      <c r="AG394" s="360">
        <v>0</v>
      </c>
      <c r="AH394" s="360">
        <f t="shared" si="21"/>
        <v>2155</v>
      </c>
      <c r="AI394" s="362">
        <f>ERP_5[[#This Row],[2026 Working Total]]-ERP_5[[#This Row],[LE2 Final Submission]]</f>
        <v>0</v>
      </c>
      <c r="AJ394" s="79">
        <v>0</v>
      </c>
      <c r="AK394" s="79">
        <f t="shared" si="22"/>
        <v>0</v>
      </c>
      <c r="AL394" s="374">
        <f>SUM(ERP_5[[#This Row],[AP01]:[AP06]])-SUM(ERP_5[[#This Row],[AP01 LE2]:[AP06 LE2]])</f>
        <v>0</v>
      </c>
      <c r="AM394" s="80"/>
      <c r="AN394" s="79">
        <f>ERP_5[[#This Row],[2026 Working Total to Budget/LE]]-ERP_5[[#This Row],[Giveback]]</f>
        <v>0</v>
      </c>
      <c r="AO394" s="81"/>
      <c r="AP394" s="375"/>
      <c r="AQ394" s="375"/>
      <c r="AR394" s="375">
        <v>2155</v>
      </c>
      <c r="AS394" s="375">
        <v>0</v>
      </c>
      <c r="AT394" s="375">
        <v>0</v>
      </c>
      <c r="AU394" s="375">
        <v>0</v>
      </c>
      <c r="AV394" s="375">
        <v>0</v>
      </c>
      <c r="AW394" s="375">
        <v>0</v>
      </c>
      <c r="AX394" s="375">
        <v>0</v>
      </c>
      <c r="AY394" s="375">
        <v>0</v>
      </c>
      <c r="AZ394" s="375">
        <v>0</v>
      </c>
      <c r="BA394" s="375">
        <v>0</v>
      </c>
      <c r="BB394" s="375">
        <v>2155</v>
      </c>
      <c r="BC394" s="79"/>
      <c r="BD394" s="79"/>
      <c r="BE394" s="79">
        <v>2155</v>
      </c>
      <c r="BF394" s="79">
        <v>0</v>
      </c>
      <c r="BG394" s="79">
        <v>0</v>
      </c>
      <c r="BH394" s="79">
        <v>0</v>
      </c>
      <c r="BI394" s="79">
        <v>0</v>
      </c>
      <c r="BJ394" s="79">
        <v>0</v>
      </c>
      <c r="BK394" s="79">
        <v>0</v>
      </c>
      <c r="BL394" s="79">
        <v>0</v>
      </c>
      <c r="BM394" s="79">
        <v>0</v>
      </c>
      <c r="BN394" s="79">
        <v>0</v>
      </c>
      <c r="BO394" s="79">
        <v>2155</v>
      </c>
    </row>
    <row r="395" spans="1:67" ht="15" customHeight="1">
      <c r="A395" s="66" t="s">
        <v>2811</v>
      </c>
      <c r="B395" s="66" t="s">
        <v>1018</v>
      </c>
      <c r="C395" s="150" t="s">
        <v>1136</v>
      </c>
      <c r="D395" s="150" t="s">
        <v>1650</v>
      </c>
      <c r="E395" s="150" t="s">
        <v>1650</v>
      </c>
      <c r="F395" s="150" t="s">
        <v>1650</v>
      </c>
      <c r="G395" s="511" t="s">
        <v>639</v>
      </c>
      <c r="H395" s="392" t="s">
        <v>2291</v>
      </c>
      <c r="I395" s="343"/>
      <c r="J395" s="343"/>
      <c r="K395" s="70" t="s">
        <v>679</v>
      </c>
      <c r="L395" s="346"/>
      <c r="M395" s="346" t="s">
        <v>1140</v>
      </c>
      <c r="N395" s="346"/>
      <c r="O395" s="150" t="s">
        <v>680</v>
      </c>
      <c r="P395" s="150"/>
      <c r="Q395" s="403"/>
      <c r="R395" s="406">
        <v>4500</v>
      </c>
      <c r="S395" s="406">
        <v>8574.7199999999993</v>
      </c>
      <c r="T395" s="425"/>
      <c r="U395" s="71"/>
      <c r="V395" s="426">
        <v>431</v>
      </c>
      <c r="W395" s="427">
        <v>2586</v>
      </c>
      <c r="X395" s="427">
        <v>2182.7199999999998</v>
      </c>
      <c r="Y395" s="428">
        <v>431</v>
      </c>
      <c r="Z395" s="429">
        <v>0</v>
      </c>
      <c r="AA395" s="429">
        <v>1724</v>
      </c>
      <c r="AB395" s="363">
        <v>375</v>
      </c>
      <c r="AC395" s="363">
        <v>375</v>
      </c>
      <c r="AD395" s="363">
        <v>375</v>
      </c>
      <c r="AE395" s="363">
        <v>375</v>
      </c>
      <c r="AF395" s="363">
        <v>375</v>
      </c>
      <c r="AG395" s="363">
        <v>375</v>
      </c>
      <c r="AH395" s="360">
        <f t="shared" si="21"/>
        <v>9604.7199999999993</v>
      </c>
      <c r="AI395" s="362">
        <f>ERP_5[[#This Row],[2026 Working Total]]-ERP_5[[#This Row],[LE2 Final Submission]]</f>
        <v>1030</v>
      </c>
      <c r="AJ395" s="79">
        <v>375</v>
      </c>
      <c r="AK395" s="79">
        <f t="shared" si="22"/>
        <v>1349</v>
      </c>
      <c r="AL395" s="374">
        <f>SUM(ERP_5[[#This Row],[AP01]:[AP06]])-SUM(ERP_5[[#This Row],[AP01 LE2]:[AP06 LE2]])</f>
        <v>1030</v>
      </c>
      <c r="AM395" s="80"/>
      <c r="AN395" s="79">
        <f>ERP_5[[#This Row],[2026 Working Total to Budget/LE]]-ERP_5[[#This Row],[Giveback]]</f>
        <v>1030</v>
      </c>
      <c r="AO395" s="81"/>
      <c r="AP395" s="375">
        <v>431</v>
      </c>
      <c r="AQ395" s="375">
        <v>2586</v>
      </c>
      <c r="AR395" s="375">
        <v>2182.7199999999998</v>
      </c>
      <c r="AS395" s="375">
        <v>375</v>
      </c>
      <c r="AT395" s="375">
        <v>375</v>
      </c>
      <c r="AU395" s="375">
        <v>375</v>
      </c>
      <c r="AV395" s="375">
        <v>375</v>
      </c>
      <c r="AW395" s="375">
        <v>375</v>
      </c>
      <c r="AX395" s="375">
        <v>375</v>
      </c>
      <c r="AY395" s="375">
        <v>375</v>
      </c>
      <c r="AZ395" s="375">
        <v>375</v>
      </c>
      <c r="BA395" s="375">
        <v>375</v>
      </c>
      <c r="BB395" s="375">
        <v>8574.7199999999993</v>
      </c>
      <c r="BC395" s="79">
        <v>431</v>
      </c>
      <c r="BD395" s="79">
        <v>2586</v>
      </c>
      <c r="BE395" s="79">
        <v>2182.7199999999998</v>
      </c>
      <c r="BF395" s="79">
        <v>375</v>
      </c>
      <c r="BG395" s="79">
        <v>375</v>
      </c>
      <c r="BH395" s="79">
        <v>375</v>
      </c>
      <c r="BI395" s="79">
        <v>375</v>
      </c>
      <c r="BJ395" s="79">
        <v>375</v>
      </c>
      <c r="BK395" s="79">
        <v>375</v>
      </c>
      <c r="BL395" s="79">
        <v>375</v>
      </c>
      <c r="BM395" s="79">
        <v>375</v>
      </c>
      <c r="BN395" s="79">
        <v>375</v>
      </c>
      <c r="BO395" s="79">
        <v>8574.7199999999993</v>
      </c>
    </row>
    <row r="396" spans="1:67" ht="15" customHeight="1">
      <c r="A396" s="66" t="s">
        <v>2290</v>
      </c>
      <c r="B396" s="66" t="s">
        <v>678</v>
      </c>
      <c r="C396" s="150" t="s">
        <v>1136</v>
      </c>
      <c r="D396" s="150" t="s">
        <v>1135</v>
      </c>
      <c r="E396" s="150" t="s">
        <v>1135</v>
      </c>
      <c r="F396" s="150" t="s">
        <v>1137</v>
      </c>
      <c r="G396" s="511" t="s">
        <v>639</v>
      </c>
      <c r="H396" s="392" t="s">
        <v>2291</v>
      </c>
      <c r="I396" s="343"/>
      <c r="J396" s="343"/>
      <c r="K396" s="70" t="s">
        <v>679</v>
      </c>
      <c r="L396" s="346" t="s">
        <v>1153</v>
      </c>
      <c r="M396" s="346" t="s">
        <v>1140</v>
      </c>
      <c r="N396" s="346"/>
      <c r="O396" s="150" t="s">
        <v>680</v>
      </c>
      <c r="P396" s="150"/>
      <c r="Q396" s="403"/>
      <c r="R396" s="406">
        <v>180000</v>
      </c>
      <c r="S396" s="406">
        <v>164308</v>
      </c>
      <c r="T396" s="425"/>
      <c r="U396" s="71"/>
      <c r="V396" s="426">
        <v>8189</v>
      </c>
      <c r="W396" s="427">
        <v>13361</v>
      </c>
      <c r="X396" s="427">
        <v>7758</v>
      </c>
      <c r="Y396" s="428">
        <v>16378</v>
      </c>
      <c r="Z396" s="429">
        <v>11637</v>
      </c>
      <c r="AA396" s="429">
        <v>10775</v>
      </c>
      <c r="AB396" s="363">
        <v>15500</v>
      </c>
      <c r="AC396" s="363">
        <v>15500</v>
      </c>
      <c r="AD396" s="363">
        <v>15500</v>
      </c>
      <c r="AE396" s="363">
        <v>15485</v>
      </c>
      <c r="AF396" s="363">
        <v>15000</v>
      </c>
      <c r="AG396" s="363">
        <v>15000</v>
      </c>
      <c r="AH396" s="360">
        <f t="shared" ref="AH396:AH459" si="23">SUM(V396:AG396)</f>
        <v>160083</v>
      </c>
      <c r="AI396" s="362">
        <f>ERP_5[[#This Row],[2026 Working Total]]-ERP_5[[#This Row],[LE2 Final Submission]]</f>
        <v>-4225</v>
      </c>
      <c r="AJ396" s="79">
        <v>15000</v>
      </c>
      <c r="AK396" s="79">
        <f t="shared" si="22"/>
        <v>-4225</v>
      </c>
      <c r="AL396" s="374">
        <f>SUM(ERP_5[[#This Row],[AP01]:[AP06]])-SUM(ERP_5[[#This Row],[AP01 LE2]:[AP06 LE2]])</f>
        <v>-6210</v>
      </c>
      <c r="AM396" s="80"/>
      <c r="AN396" s="79">
        <f>ERP_5[[#This Row],[2026 Working Total to Budget/LE]]-ERP_5[[#This Row],[Giveback]]</f>
        <v>-4225</v>
      </c>
      <c r="AO396" s="81"/>
      <c r="AP396" s="375">
        <v>8189</v>
      </c>
      <c r="AQ396" s="375">
        <v>13361</v>
      </c>
      <c r="AR396" s="375">
        <v>7758</v>
      </c>
      <c r="AS396" s="375">
        <v>15000</v>
      </c>
      <c r="AT396" s="375">
        <v>15000</v>
      </c>
      <c r="AU396" s="375">
        <v>15000</v>
      </c>
      <c r="AV396" s="375">
        <v>15000</v>
      </c>
      <c r="AW396" s="375">
        <v>15000</v>
      </c>
      <c r="AX396" s="375">
        <v>15000</v>
      </c>
      <c r="AY396" s="375">
        <v>15000</v>
      </c>
      <c r="AZ396" s="375">
        <v>15000</v>
      </c>
      <c r="BA396" s="375">
        <v>15000</v>
      </c>
      <c r="BB396" s="375">
        <v>164308</v>
      </c>
      <c r="BC396" s="79">
        <v>8189</v>
      </c>
      <c r="BD396" s="79">
        <v>13361</v>
      </c>
      <c r="BE396" s="79">
        <v>7758</v>
      </c>
      <c r="BF396" s="79">
        <v>15000</v>
      </c>
      <c r="BG396" s="79">
        <v>15000</v>
      </c>
      <c r="BH396" s="79">
        <v>15000</v>
      </c>
      <c r="BI396" s="79">
        <v>15000</v>
      </c>
      <c r="BJ396" s="79">
        <v>15000</v>
      </c>
      <c r="BK396" s="79">
        <v>15000</v>
      </c>
      <c r="BL396" s="79">
        <v>15000</v>
      </c>
      <c r="BM396" s="79">
        <v>15000</v>
      </c>
      <c r="BN396" s="79">
        <v>15000</v>
      </c>
      <c r="BO396" s="79">
        <v>164308</v>
      </c>
    </row>
    <row r="397" spans="1:67" ht="15" customHeight="1">
      <c r="A397" s="66" t="s">
        <v>2292</v>
      </c>
      <c r="B397" s="66" t="s">
        <v>2293</v>
      </c>
      <c r="C397" s="150" t="s">
        <v>1136</v>
      </c>
      <c r="D397" s="150" t="s">
        <v>1135</v>
      </c>
      <c r="E397" s="150" t="s">
        <v>1137</v>
      </c>
      <c r="F397" s="150" t="s">
        <v>1137</v>
      </c>
      <c r="G397" s="511" t="s">
        <v>639</v>
      </c>
      <c r="H397" s="392" t="s">
        <v>2291</v>
      </c>
      <c r="I397" s="343"/>
      <c r="J397" s="343"/>
      <c r="K397" s="70" t="s">
        <v>679</v>
      </c>
      <c r="L397" s="346" t="s">
        <v>1153</v>
      </c>
      <c r="M397" s="346" t="s">
        <v>1140</v>
      </c>
      <c r="N397" s="346"/>
      <c r="O397" s="150" t="s">
        <v>680</v>
      </c>
      <c r="P397" s="1" t="s">
        <v>1141</v>
      </c>
      <c r="Q397" s="403"/>
      <c r="R397" s="406">
        <v>12000</v>
      </c>
      <c r="S397" s="406">
        <v>13503.74</v>
      </c>
      <c r="T397" s="425"/>
      <c r="U397" s="71"/>
      <c r="V397" s="426">
        <v>3614.02</v>
      </c>
      <c r="W397" s="431">
        <v>0</v>
      </c>
      <c r="X397" s="427">
        <v>889.72</v>
      </c>
      <c r="Y397" s="428">
        <v>917.6</v>
      </c>
      <c r="Z397" s="429">
        <v>3154.91</v>
      </c>
      <c r="AA397" s="429">
        <v>4127.83</v>
      </c>
      <c r="AB397" s="363">
        <v>1000</v>
      </c>
      <c r="AC397" s="363">
        <v>1000</v>
      </c>
      <c r="AD397" s="363">
        <v>1000</v>
      </c>
      <c r="AE397" s="363">
        <v>1000</v>
      </c>
      <c r="AF397" s="363">
        <v>1000</v>
      </c>
      <c r="AG397" s="363">
        <v>1000</v>
      </c>
      <c r="AH397" s="360">
        <f t="shared" si="23"/>
        <v>18704.080000000002</v>
      </c>
      <c r="AI397" s="362">
        <f>ERP_5[[#This Row],[2026 Working Total]]-ERP_5[[#This Row],[LE2 Final Submission]]</f>
        <v>5200.340000000002</v>
      </c>
      <c r="AJ397" s="79">
        <v>1000</v>
      </c>
      <c r="AK397" s="79">
        <f t="shared" si="22"/>
        <v>3127.83</v>
      </c>
      <c r="AL397" s="374">
        <f>SUM(ERP_5[[#This Row],[AP01]:[AP06]])-SUM(ERP_5[[#This Row],[AP01 LE2]:[AP06 LE2]])</f>
        <v>5200.34</v>
      </c>
      <c r="AM397" s="80"/>
      <c r="AN397" s="79">
        <f>ERP_5[[#This Row],[2026 Working Total to Budget/LE]]-ERP_5[[#This Row],[Giveback]]</f>
        <v>5200.340000000002</v>
      </c>
      <c r="AO397" s="81"/>
      <c r="AP397" s="375">
        <v>3614.02</v>
      </c>
      <c r="AQ397" s="375">
        <v>0</v>
      </c>
      <c r="AR397" s="375">
        <v>889.72</v>
      </c>
      <c r="AS397" s="375">
        <v>1000</v>
      </c>
      <c r="AT397" s="375">
        <v>1000</v>
      </c>
      <c r="AU397" s="375">
        <v>1000</v>
      </c>
      <c r="AV397" s="375">
        <v>1000</v>
      </c>
      <c r="AW397" s="375">
        <v>1000</v>
      </c>
      <c r="AX397" s="375">
        <v>1000</v>
      </c>
      <c r="AY397" s="375">
        <v>1000</v>
      </c>
      <c r="AZ397" s="375">
        <v>1000</v>
      </c>
      <c r="BA397" s="375">
        <v>1000</v>
      </c>
      <c r="BB397" s="375">
        <v>13503.74</v>
      </c>
      <c r="BC397" s="79">
        <v>3614.02</v>
      </c>
      <c r="BD397" s="79">
        <v>0</v>
      </c>
      <c r="BE397" s="79">
        <v>889.72</v>
      </c>
      <c r="BF397" s="79">
        <v>1000</v>
      </c>
      <c r="BG397" s="79">
        <v>1000</v>
      </c>
      <c r="BH397" s="79">
        <v>1000</v>
      </c>
      <c r="BI397" s="79">
        <v>1000</v>
      </c>
      <c r="BJ397" s="79">
        <v>1000</v>
      </c>
      <c r="BK397" s="79">
        <v>1000</v>
      </c>
      <c r="BL397" s="79">
        <v>1000</v>
      </c>
      <c r="BM397" s="79">
        <v>1000</v>
      </c>
      <c r="BN397" s="79">
        <v>1000</v>
      </c>
      <c r="BO397" s="79">
        <v>13503.74</v>
      </c>
    </row>
    <row r="398" spans="1:67" ht="15" customHeight="1">
      <c r="A398" s="66" t="s">
        <v>2294</v>
      </c>
      <c r="B398" s="66" t="s">
        <v>2295</v>
      </c>
      <c r="C398" s="150" t="s">
        <v>1136</v>
      </c>
      <c r="D398" s="150" t="s">
        <v>1135</v>
      </c>
      <c r="E398" s="150" t="s">
        <v>1145</v>
      </c>
      <c r="F398" s="150" t="s">
        <v>1137</v>
      </c>
      <c r="G398" s="511" t="s">
        <v>639</v>
      </c>
      <c r="H398" s="392" t="s">
        <v>2291</v>
      </c>
      <c r="I398" s="343"/>
      <c r="J398" s="343"/>
      <c r="K398" s="70" t="s">
        <v>679</v>
      </c>
      <c r="L398" s="346" t="s">
        <v>1153</v>
      </c>
      <c r="M398" s="346" t="s">
        <v>1140</v>
      </c>
      <c r="N398" s="346"/>
      <c r="O398" s="150" t="s">
        <v>680</v>
      </c>
      <c r="P398" s="150"/>
      <c r="Q398" s="403"/>
      <c r="R398" s="406">
        <v>370</v>
      </c>
      <c r="S398" s="406">
        <v>370</v>
      </c>
      <c r="T398" s="425"/>
      <c r="U398" s="71"/>
      <c r="V398" s="426"/>
      <c r="W398" s="427"/>
      <c r="X398" s="427"/>
      <c r="Y398" s="428" t="s">
        <v>1142</v>
      </c>
      <c r="Z398" s="429">
        <v>0</v>
      </c>
      <c r="AA398" s="429">
        <v>0</v>
      </c>
      <c r="AB398" s="360">
        <v>0</v>
      </c>
      <c r="AC398" s="360">
        <v>0</v>
      </c>
      <c r="AD398" s="360">
        <v>0</v>
      </c>
      <c r="AE398" s="360">
        <v>0</v>
      </c>
      <c r="AF398" s="360">
        <v>0</v>
      </c>
      <c r="AG398" s="360">
        <v>0</v>
      </c>
      <c r="AH398" s="360">
        <f t="shared" si="23"/>
        <v>0</v>
      </c>
      <c r="AI398" s="362">
        <f>ERP_5[[#This Row],[2026 Working Total]]-ERP_5[[#This Row],[LE2 Final Submission]]</f>
        <v>-370</v>
      </c>
      <c r="AJ398" s="79">
        <v>0</v>
      </c>
      <c r="AK398" s="79">
        <f t="shared" si="22"/>
        <v>0</v>
      </c>
      <c r="AL398" s="374">
        <f>SUM(ERP_5[[#This Row],[AP01]:[AP06]])-SUM(ERP_5[[#This Row],[AP01 LE2]:[AP06 LE2]])</f>
        <v>-370</v>
      </c>
      <c r="AM398" s="80"/>
      <c r="AN398" s="79">
        <f>ERP_5[[#This Row],[2026 Working Total to Budget/LE]]-ERP_5[[#This Row],[Giveback]]</f>
        <v>-370</v>
      </c>
      <c r="AO398" s="81"/>
      <c r="AP398" s="375"/>
      <c r="AQ398" s="375"/>
      <c r="AR398" s="375"/>
      <c r="AS398" s="375">
        <v>370</v>
      </c>
      <c r="AT398" s="375">
        <v>0</v>
      </c>
      <c r="AU398" s="375">
        <v>0</v>
      </c>
      <c r="AV398" s="375">
        <v>0</v>
      </c>
      <c r="AW398" s="375">
        <v>0</v>
      </c>
      <c r="AX398" s="375">
        <v>0</v>
      </c>
      <c r="AY398" s="375">
        <v>0</v>
      </c>
      <c r="AZ398" s="375">
        <v>0</v>
      </c>
      <c r="BA398" s="375">
        <v>0</v>
      </c>
      <c r="BB398" s="375">
        <v>370</v>
      </c>
      <c r="BC398" s="79"/>
      <c r="BD398" s="79"/>
      <c r="BE398" s="79"/>
      <c r="BF398" s="79">
        <v>370</v>
      </c>
      <c r="BG398" s="79">
        <v>0</v>
      </c>
      <c r="BH398" s="79">
        <v>0</v>
      </c>
      <c r="BI398" s="79">
        <v>0</v>
      </c>
      <c r="BJ398" s="79">
        <v>0</v>
      </c>
      <c r="BK398" s="79">
        <v>0</v>
      </c>
      <c r="BL398" s="79">
        <v>0</v>
      </c>
      <c r="BM398" s="79">
        <v>0</v>
      </c>
      <c r="BN398" s="79">
        <v>0</v>
      </c>
      <c r="BO398" s="79">
        <v>370</v>
      </c>
    </row>
    <row r="399" spans="1:67" ht="15" customHeight="1">
      <c r="A399" s="66" t="s">
        <v>2296</v>
      </c>
      <c r="B399" s="66" t="s">
        <v>2297</v>
      </c>
      <c r="C399" s="150" t="s">
        <v>1136</v>
      </c>
      <c r="D399" s="150" t="s">
        <v>1135</v>
      </c>
      <c r="E399" s="150" t="s">
        <v>1165</v>
      </c>
      <c r="F399" s="150" t="s">
        <v>1137</v>
      </c>
      <c r="G399" s="511" t="s">
        <v>639</v>
      </c>
      <c r="H399" s="392" t="s">
        <v>2291</v>
      </c>
      <c r="I399" s="343"/>
      <c r="J399" s="343"/>
      <c r="K399" s="70" t="s">
        <v>679</v>
      </c>
      <c r="L399" s="346" t="s">
        <v>1153</v>
      </c>
      <c r="M399" s="346" t="s">
        <v>1140</v>
      </c>
      <c r="N399" s="346"/>
      <c r="O399" s="150" t="s">
        <v>680</v>
      </c>
      <c r="P399" s="150"/>
      <c r="Q399" s="403"/>
      <c r="R399" s="406">
        <v>0</v>
      </c>
      <c r="S399" s="406">
        <v>1293</v>
      </c>
      <c r="T399" s="425"/>
      <c r="U399" s="71"/>
      <c r="V399" s="426"/>
      <c r="W399" s="427">
        <v>1293</v>
      </c>
      <c r="X399" s="431">
        <v>0</v>
      </c>
      <c r="Y399" s="428">
        <v>0</v>
      </c>
      <c r="Z399" s="429">
        <v>0</v>
      </c>
      <c r="AA399" s="429">
        <v>431</v>
      </c>
      <c r="AB399" s="360">
        <v>0</v>
      </c>
      <c r="AC399" s="360">
        <v>0</v>
      </c>
      <c r="AD399" s="360">
        <v>0</v>
      </c>
      <c r="AE399" s="360">
        <v>0</v>
      </c>
      <c r="AF399" s="360">
        <v>0</v>
      </c>
      <c r="AG399" s="360">
        <v>0</v>
      </c>
      <c r="AH399" s="360">
        <f t="shared" si="23"/>
        <v>1724</v>
      </c>
      <c r="AI399" s="362">
        <f>ERP_5[[#This Row],[2026 Working Total]]-ERP_5[[#This Row],[LE2 Final Submission]]</f>
        <v>431</v>
      </c>
      <c r="AJ399" s="79">
        <v>0</v>
      </c>
      <c r="AK399" s="79">
        <f t="shared" si="22"/>
        <v>431</v>
      </c>
      <c r="AL399" s="374">
        <f>SUM(ERP_5[[#This Row],[AP01]:[AP06]])-SUM(ERP_5[[#This Row],[AP01 LE2]:[AP06 LE2]])</f>
        <v>431</v>
      </c>
      <c r="AM399" s="80"/>
      <c r="AN399" s="79">
        <f>ERP_5[[#This Row],[2026 Working Total to Budget/LE]]-ERP_5[[#This Row],[Giveback]]</f>
        <v>431</v>
      </c>
      <c r="AO399" s="81"/>
      <c r="AP399" s="375"/>
      <c r="AQ399" s="375">
        <v>1293</v>
      </c>
      <c r="AR399" s="375">
        <v>0</v>
      </c>
      <c r="AS399" s="375">
        <v>0</v>
      </c>
      <c r="AT399" s="375">
        <v>0</v>
      </c>
      <c r="AU399" s="375">
        <v>0</v>
      </c>
      <c r="AV399" s="375">
        <v>0</v>
      </c>
      <c r="AW399" s="375">
        <v>0</v>
      </c>
      <c r="AX399" s="375">
        <v>0</v>
      </c>
      <c r="AY399" s="375">
        <v>0</v>
      </c>
      <c r="AZ399" s="375">
        <v>0</v>
      </c>
      <c r="BA399" s="375">
        <v>0</v>
      </c>
      <c r="BB399" s="375">
        <v>1293</v>
      </c>
      <c r="BC399" s="79"/>
      <c r="BD399" s="79">
        <v>1293</v>
      </c>
      <c r="BE399" s="79">
        <v>0</v>
      </c>
      <c r="BF399" s="79">
        <v>0</v>
      </c>
      <c r="BG399" s="79">
        <v>0</v>
      </c>
      <c r="BH399" s="79">
        <v>0</v>
      </c>
      <c r="BI399" s="79">
        <v>0</v>
      </c>
      <c r="BJ399" s="79">
        <v>0</v>
      </c>
      <c r="BK399" s="79">
        <v>0</v>
      </c>
      <c r="BL399" s="79">
        <v>0</v>
      </c>
      <c r="BM399" s="79">
        <v>0</v>
      </c>
      <c r="BN399" s="79">
        <v>0</v>
      </c>
      <c r="BO399" s="79">
        <v>1293</v>
      </c>
    </row>
    <row r="400" spans="1:67" ht="15" customHeight="1">
      <c r="A400" s="79" t="s">
        <v>1706</v>
      </c>
      <c r="B400" s="296" t="s">
        <v>1707</v>
      </c>
      <c r="C400" s="150" t="s">
        <v>1136</v>
      </c>
      <c r="D400" s="332" t="s">
        <v>1135</v>
      </c>
      <c r="E400" s="383" t="s">
        <v>1145</v>
      </c>
      <c r="F400" s="331" t="s">
        <v>1137</v>
      </c>
      <c r="G400" s="512" t="s">
        <v>342</v>
      </c>
      <c r="H400" s="393" t="s">
        <v>1708</v>
      </c>
      <c r="I400" s="343"/>
      <c r="J400" s="331"/>
      <c r="K400" s="91" t="s">
        <v>367</v>
      </c>
      <c r="L400" s="343"/>
      <c r="M400" s="346" t="s">
        <v>1709</v>
      </c>
      <c r="N400" s="346" t="s">
        <v>1710</v>
      </c>
      <c r="O400" s="386" t="s">
        <v>368</v>
      </c>
      <c r="P400" s="346" t="s">
        <v>1348</v>
      </c>
      <c r="Q400" s="437"/>
      <c r="R400" s="358">
        <v>749252.78</v>
      </c>
      <c r="S400" s="378">
        <v>0</v>
      </c>
      <c r="T400" s="425"/>
      <c r="U400" s="71"/>
      <c r="V400" s="433"/>
      <c r="W400" s="434"/>
      <c r="X400" s="434"/>
      <c r="Y400" s="428" t="s">
        <v>1142</v>
      </c>
      <c r="Z400" s="429">
        <v>0</v>
      </c>
      <c r="AA400" s="429">
        <v>0</v>
      </c>
      <c r="AB400" s="388">
        <v>0</v>
      </c>
      <c r="AC400" s="388">
        <v>0</v>
      </c>
      <c r="AD400" s="388">
        <v>0</v>
      </c>
      <c r="AE400" s="388">
        <v>0</v>
      </c>
      <c r="AF400" s="388">
        <v>0</v>
      </c>
      <c r="AG400" s="388">
        <v>0</v>
      </c>
      <c r="AH400" s="360">
        <f t="shared" si="23"/>
        <v>0</v>
      </c>
      <c r="AI400" s="362">
        <f>ERP_5[[#This Row],[2026 Working Total]]-ERP_5[[#This Row],[LE2 Final Submission]]</f>
        <v>0</v>
      </c>
      <c r="AJ400" s="79">
        <v>0</v>
      </c>
      <c r="AK400" s="79">
        <f t="shared" si="22"/>
        <v>0</v>
      </c>
      <c r="AL400" s="374">
        <f>SUM(ERP_5[[#This Row],[AP01]:[AP06]])-SUM(ERP_5[[#This Row],[AP01 LE2]:[AP06 LE2]])</f>
        <v>0</v>
      </c>
      <c r="AM400" s="80"/>
      <c r="AN400" s="79">
        <f>ERP_5[[#This Row],[2026 Working Total to Budget/LE]]-ERP_5[[#This Row],[Giveback]]</f>
        <v>0</v>
      </c>
      <c r="AO400" s="81"/>
      <c r="AP400" s="375"/>
      <c r="AQ400" s="375"/>
      <c r="AR400" s="375"/>
      <c r="AS400" s="375">
        <v>0</v>
      </c>
      <c r="AT400" s="375">
        <v>0</v>
      </c>
      <c r="AU400" s="375">
        <v>0</v>
      </c>
      <c r="AV400" s="375">
        <v>0</v>
      </c>
      <c r="AW400" s="375">
        <v>0</v>
      </c>
      <c r="AX400" s="375">
        <v>0</v>
      </c>
      <c r="AY400" s="375">
        <v>0</v>
      </c>
      <c r="AZ400" s="375">
        <v>0</v>
      </c>
      <c r="BA400" s="375">
        <v>0</v>
      </c>
      <c r="BB400" s="375">
        <v>0</v>
      </c>
      <c r="BC400" s="103">
        <v>749252.78</v>
      </c>
      <c r="BD400" s="103">
        <v>0</v>
      </c>
      <c r="BE400" s="103">
        <v>0</v>
      </c>
      <c r="BF400" s="103">
        <v>0</v>
      </c>
      <c r="BG400" s="103">
        <v>0</v>
      </c>
      <c r="BH400" s="103">
        <v>0</v>
      </c>
      <c r="BI400" s="103">
        <v>0</v>
      </c>
      <c r="BJ400" s="103">
        <v>0</v>
      </c>
      <c r="BK400" s="103">
        <v>0</v>
      </c>
      <c r="BL400" s="103">
        <v>0</v>
      </c>
      <c r="BM400" s="103">
        <v>0</v>
      </c>
      <c r="BN400" s="103">
        <v>0</v>
      </c>
      <c r="BO400" s="79">
        <f>SUM(ERP_5[[#This Row],[2026 AP01]:[2026 AP12]])</f>
        <v>749252.78</v>
      </c>
    </row>
    <row r="401" spans="1:67" ht="15" customHeight="1">
      <c r="A401" s="79" t="s">
        <v>1711</v>
      </c>
      <c r="B401" s="296" t="s">
        <v>1712</v>
      </c>
      <c r="C401" s="150" t="s">
        <v>1136</v>
      </c>
      <c r="D401" s="332" t="s">
        <v>1135</v>
      </c>
      <c r="E401" s="383" t="s">
        <v>1145</v>
      </c>
      <c r="F401" s="331" t="s">
        <v>1137</v>
      </c>
      <c r="G401" s="512" t="s">
        <v>342</v>
      </c>
      <c r="H401" s="393" t="s">
        <v>1713</v>
      </c>
      <c r="I401" s="343"/>
      <c r="J401" s="331"/>
      <c r="K401" s="91" t="s">
        <v>370</v>
      </c>
      <c r="L401" s="343"/>
      <c r="M401" s="346" t="s">
        <v>1709</v>
      </c>
      <c r="N401" s="346" t="s">
        <v>1710</v>
      </c>
      <c r="O401" s="386" t="s">
        <v>368</v>
      </c>
      <c r="P401" s="346" t="s">
        <v>1348</v>
      </c>
      <c r="Q401" s="437"/>
      <c r="R401" s="358">
        <v>-749252.78</v>
      </c>
      <c r="S401" s="378">
        <v>0</v>
      </c>
      <c r="T401" s="425"/>
      <c r="U401" s="71"/>
      <c r="V401" s="433"/>
      <c r="W401" s="434"/>
      <c r="X401" s="434"/>
      <c r="Y401" s="428" t="s">
        <v>1142</v>
      </c>
      <c r="Z401" s="429">
        <v>0</v>
      </c>
      <c r="AA401" s="429">
        <v>0</v>
      </c>
      <c r="AB401" s="388">
        <v>0</v>
      </c>
      <c r="AC401" s="388">
        <v>0</v>
      </c>
      <c r="AD401" s="388">
        <v>0</v>
      </c>
      <c r="AE401" s="388">
        <v>0</v>
      </c>
      <c r="AF401" s="388">
        <v>0</v>
      </c>
      <c r="AG401" s="388">
        <v>0</v>
      </c>
      <c r="AH401" s="360">
        <f t="shared" si="23"/>
        <v>0</v>
      </c>
      <c r="AI401" s="362">
        <f>ERP_5[[#This Row],[2026 Working Total]]-ERP_5[[#This Row],[LE2 Final Submission]]</f>
        <v>0</v>
      </c>
      <c r="AJ401" s="79">
        <v>0</v>
      </c>
      <c r="AK401" s="79">
        <f t="shared" si="22"/>
        <v>0</v>
      </c>
      <c r="AL401" s="374">
        <f>SUM(ERP_5[[#This Row],[AP01]:[AP06]])-SUM(ERP_5[[#This Row],[AP01 LE2]:[AP06 LE2]])</f>
        <v>0</v>
      </c>
      <c r="AM401" s="80"/>
      <c r="AN401" s="79">
        <f>ERP_5[[#This Row],[2026 Working Total to Budget/LE]]-ERP_5[[#This Row],[Giveback]]</f>
        <v>0</v>
      </c>
      <c r="AO401" s="81"/>
      <c r="AP401" s="375"/>
      <c r="AQ401" s="375"/>
      <c r="AR401" s="375"/>
      <c r="AS401" s="375">
        <v>0</v>
      </c>
      <c r="AT401" s="375">
        <v>0</v>
      </c>
      <c r="AU401" s="375">
        <v>0</v>
      </c>
      <c r="AV401" s="375">
        <v>0</v>
      </c>
      <c r="AW401" s="375">
        <v>0</v>
      </c>
      <c r="AX401" s="375">
        <v>0</v>
      </c>
      <c r="AY401" s="375">
        <v>0</v>
      </c>
      <c r="AZ401" s="375">
        <v>0</v>
      </c>
      <c r="BA401" s="375">
        <v>0</v>
      </c>
      <c r="BB401" s="375">
        <v>0</v>
      </c>
      <c r="BC401" s="103">
        <v>-749252.78</v>
      </c>
      <c r="BD401" s="103">
        <v>0</v>
      </c>
      <c r="BE401" s="103">
        <v>0</v>
      </c>
      <c r="BF401" s="103">
        <v>0</v>
      </c>
      <c r="BG401" s="103">
        <v>0</v>
      </c>
      <c r="BH401" s="103">
        <v>0</v>
      </c>
      <c r="BI401" s="103">
        <v>0</v>
      </c>
      <c r="BJ401" s="103">
        <v>0</v>
      </c>
      <c r="BK401" s="103">
        <v>0</v>
      </c>
      <c r="BL401" s="103">
        <v>0</v>
      </c>
      <c r="BM401" s="103">
        <v>0</v>
      </c>
      <c r="BN401" s="103">
        <v>0</v>
      </c>
      <c r="BO401" s="79">
        <f>SUM(ERP_5[[#This Row],[2026 AP01]:[2026 AP12]])</f>
        <v>-749252.78</v>
      </c>
    </row>
    <row r="402" spans="1:67" ht="15" customHeight="1">
      <c r="A402" s="79" t="s">
        <v>1714</v>
      </c>
      <c r="B402" s="296" t="s">
        <v>1715</v>
      </c>
      <c r="C402" s="150" t="s">
        <v>1136</v>
      </c>
      <c r="D402" s="332" t="s">
        <v>1135</v>
      </c>
      <c r="E402" s="383" t="s">
        <v>1145</v>
      </c>
      <c r="F402" s="331" t="s">
        <v>1137</v>
      </c>
      <c r="G402" s="512" t="s">
        <v>342</v>
      </c>
      <c r="H402" s="393" t="s">
        <v>1716</v>
      </c>
      <c r="I402" s="343"/>
      <c r="J402" s="331"/>
      <c r="K402" s="91" t="s">
        <v>372</v>
      </c>
      <c r="L402" s="343"/>
      <c r="M402" s="346" t="s">
        <v>1717</v>
      </c>
      <c r="N402" s="346" t="s">
        <v>1710</v>
      </c>
      <c r="O402" s="386" t="s">
        <v>368</v>
      </c>
      <c r="P402" s="346" t="s">
        <v>1348</v>
      </c>
      <c r="Q402" s="437"/>
      <c r="R402" s="358">
        <v>783580.73</v>
      </c>
      <c r="S402" s="378">
        <v>0</v>
      </c>
      <c r="T402" s="425"/>
      <c r="U402" s="71"/>
      <c r="V402" s="433"/>
      <c r="W402" s="434"/>
      <c r="X402" s="434"/>
      <c r="Y402" s="428" t="s">
        <v>1142</v>
      </c>
      <c r="Z402" s="429">
        <v>0</v>
      </c>
      <c r="AA402" s="429">
        <v>0</v>
      </c>
      <c r="AB402" s="388">
        <v>0</v>
      </c>
      <c r="AC402" s="388">
        <v>0</v>
      </c>
      <c r="AD402" s="388">
        <v>0</v>
      </c>
      <c r="AE402" s="388">
        <v>0</v>
      </c>
      <c r="AF402" s="388">
        <v>0</v>
      </c>
      <c r="AG402" s="388">
        <v>0</v>
      </c>
      <c r="AH402" s="360">
        <f t="shared" si="23"/>
        <v>0</v>
      </c>
      <c r="AI402" s="362">
        <f>ERP_5[[#This Row],[2026 Working Total]]-ERP_5[[#This Row],[LE2 Final Submission]]</f>
        <v>0</v>
      </c>
      <c r="AJ402" s="79">
        <v>0</v>
      </c>
      <c r="AK402" s="79">
        <f t="shared" si="22"/>
        <v>0</v>
      </c>
      <c r="AL402" s="374">
        <f>SUM(ERP_5[[#This Row],[AP01]:[AP06]])-SUM(ERP_5[[#This Row],[AP01 LE2]:[AP06 LE2]])</f>
        <v>0</v>
      </c>
      <c r="AM402" s="80"/>
      <c r="AN402" s="79">
        <f>ERP_5[[#This Row],[2026 Working Total to Budget/LE]]-ERP_5[[#This Row],[Giveback]]</f>
        <v>0</v>
      </c>
      <c r="AO402" s="81"/>
      <c r="AP402" s="375"/>
      <c r="AQ402" s="375"/>
      <c r="AR402" s="375"/>
      <c r="AS402" s="375">
        <v>0</v>
      </c>
      <c r="AT402" s="375">
        <v>0</v>
      </c>
      <c r="AU402" s="375">
        <v>0</v>
      </c>
      <c r="AV402" s="375">
        <v>0</v>
      </c>
      <c r="AW402" s="375">
        <v>0</v>
      </c>
      <c r="AX402" s="375">
        <v>0</v>
      </c>
      <c r="AY402" s="375">
        <v>0</v>
      </c>
      <c r="AZ402" s="375">
        <v>0</v>
      </c>
      <c r="BA402" s="375">
        <v>0</v>
      </c>
      <c r="BB402" s="375">
        <v>0</v>
      </c>
      <c r="BC402" s="103">
        <v>783580.73</v>
      </c>
      <c r="BD402" s="103">
        <v>0</v>
      </c>
      <c r="BE402" s="103">
        <v>0</v>
      </c>
      <c r="BF402" s="103">
        <v>0</v>
      </c>
      <c r="BG402" s="103">
        <v>0</v>
      </c>
      <c r="BH402" s="103">
        <v>0</v>
      </c>
      <c r="BI402" s="103">
        <v>0</v>
      </c>
      <c r="BJ402" s="103">
        <v>0</v>
      </c>
      <c r="BK402" s="103">
        <v>0</v>
      </c>
      <c r="BL402" s="103">
        <v>0</v>
      </c>
      <c r="BM402" s="103">
        <v>0</v>
      </c>
      <c r="BN402" s="103">
        <v>0</v>
      </c>
      <c r="BO402" s="79">
        <f>SUM(ERP_5[[#This Row],[2026 AP01]:[2026 AP12]])</f>
        <v>783580.73</v>
      </c>
    </row>
    <row r="403" spans="1:67" ht="15" customHeight="1">
      <c r="A403" s="66" t="s">
        <v>1740</v>
      </c>
      <c r="B403" s="66" t="s">
        <v>1741</v>
      </c>
      <c r="C403" s="150" t="s">
        <v>1136</v>
      </c>
      <c r="D403" s="150" t="s">
        <v>1345</v>
      </c>
      <c r="E403" s="150" t="s">
        <v>1346</v>
      </c>
      <c r="F403" s="150" t="s">
        <v>1346</v>
      </c>
      <c r="G403" s="511" t="s">
        <v>342</v>
      </c>
      <c r="H403" s="392" t="s">
        <v>1742</v>
      </c>
      <c r="I403" s="343"/>
      <c r="J403" s="343"/>
      <c r="K403" s="70" t="s">
        <v>383</v>
      </c>
      <c r="L403" s="346"/>
      <c r="M403" s="343"/>
      <c r="N403" s="346"/>
      <c r="O403" s="150" t="s">
        <v>25</v>
      </c>
      <c r="P403" s="150"/>
      <c r="Q403" s="403"/>
      <c r="R403" s="406">
        <v>1659</v>
      </c>
      <c r="S403" s="406">
        <v>1209</v>
      </c>
      <c r="T403" s="425"/>
      <c r="U403" s="71"/>
      <c r="V403" s="426"/>
      <c r="W403" s="427"/>
      <c r="X403" s="427"/>
      <c r="Y403" s="428" t="s">
        <v>1142</v>
      </c>
      <c r="Z403" s="429">
        <v>0</v>
      </c>
      <c r="AA403" s="429">
        <v>0</v>
      </c>
      <c r="AB403" s="363">
        <v>150</v>
      </c>
      <c r="AC403" s="363">
        <v>150</v>
      </c>
      <c r="AD403" s="363">
        <v>150</v>
      </c>
      <c r="AE403" s="363">
        <v>150</v>
      </c>
      <c r="AF403" s="360">
        <v>0</v>
      </c>
      <c r="AG403" s="363">
        <v>150</v>
      </c>
      <c r="AH403" s="360">
        <f t="shared" si="23"/>
        <v>750</v>
      </c>
      <c r="AI403" s="362">
        <f>ERP_5[[#This Row],[2026 Working Total]]-ERP_5[[#This Row],[LE2 Final Submission]]</f>
        <v>-459</v>
      </c>
      <c r="AJ403" s="79">
        <v>159</v>
      </c>
      <c r="AK403" s="79">
        <f t="shared" si="22"/>
        <v>-159</v>
      </c>
      <c r="AL403" s="374">
        <f>SUM(ERP_5[[#This Row],[AP01]:[AP06]])-SUM(ERP_5[[#This Row],[AP01 LE2]:[AP06 LE2]])</f>
        <v>-459</v>
      </c>
      <c r="AM403" s="80"/>
      <c r="AN403" s="79">
        <f>ERP_5[[#This Row],[2026 Working Total to Budget/LE]]-ERP_5[[#This Row],[Giveback]]</f>
        <v>-459</v>
      </c>
      <c r="AO403" s="81"/>
      <c r="AP403" s="375"/>
      <c r="AQ403" s="375"/>
      <c r="AR403" s="375"/>
      <c r="AS403" s="375">
        <v>150</v>
      </c>
      <c r="AT403" s="375">
        <v>159</v>
      </c>
      <c r="AU403" s="375">
        <v>150</v>
      </c>
      <c r="AV403" s="375">
        <v>150</v>
      </c>
      <c r="AW403" s="375">
        <v>150</v>
      </c>
      <c r="AX403" s="375">
        <v>150</v>
      </c>
      <c r="AY403" s="375">
        <v>150</v>
      </c>
      <c r="AZ403" s="375">
        <v>0</v>
      </c>
      <c r="BA403" s="375">
        <v>150</v>
      </c>
      <c r="BB403" s="375">
        <v>1209</v>
      </c>
      <c r="BC403" s="79"/>
      <c r="BD403" s="79"/>
      <c r="BE403" s="79"/>
      <c r="BF403" s="79">
        <v>150</v>
      </c>
      <c r="BG403" s="79">
        <v>159</v>
      </c>
      <c r="BH403" s="79">
        <v>150</v>
      </c>
      <c r="BI403" s="79">
        <v>150</v>
      </c>
      <c r="BJ403" s="79">
        <v>150</v>
      </c>
      <c r="BK403" s="79">
        <v>150</v>
      </c>
      <c r="BL403" s="79">
        <v>150</v>
      </c>
      <c r="BM403" s="79">
        <v>0</v>
      </c>
      <c r="BN403" s="79">
        <v>150</v>
      </c>
      <c r="BO403" s="79">
        <v>1209</v>
      </c>
    </row>
    <row r="404" spans="1:67" ht="15" customHeight="1">
      <c r="A404" s="66" t="s">
        <v>2122</v>
      </c>
      <c r="B404" s="66" t="s">
        <v>2123</v>
      </c>
      <c r="C404" s="150" t="s">
        <v>1136</v>
      </c>
      <c r="D404" s="150" t="s">
        <v>1345</v>
      </c>
      <c r="E404" s="150" t="s">
        <v>1346</v>
      </c>
      <c r="F404" s="150" t="s">
        <v>1346</v>
      </c>
      <c r="G404" s="511" t="s">
        <v>389</v>
      </c>
      <c r="H404" s="392" t="s">
        <v>2124</v>
      </c>
      <c r="I404" s="343"/>
      <c r="J404" s="343"/>
      <c r="K404" s="70" t="s">
        <v>583</v>
      </c>
      <c r="L404" s="346"/>
      <c r="M404" s="343"/>
      <c r="N404" s="346"/>
      <c r="O404" s="150" t="s">
        <v>25</v>
      </c>
      <c r="P404" s="150"/>
      <c r="Q404" s="403"/>
      <c r="R404" s="406">
        <v>4032</v>
      </c>
      <c r="S404" s="406">
        <v>3024</v>
      </c>
      <c r="T404" s="425"/>
      <c r="U404" s="71"/>
      <c r="V404" s="426"/>
      <c r="W404" s="427"/>
      <c r="X404" s="427"/>
      <c r="Y404" s="428" t="s">
        <v>1142</v>
      </c>
      <c r="Z404" s="429">
        <v>0</v>
      </c>
      <c r="AA404" s="429">
        <v>0</v>
      </c>
      <c r="AB404" s="363">
        <v>336</v>
      </c>
      <c r="AC404" s="363">
        <v>336</v>
      </c>
      <c r="AD404" s="363">
        <v>336</v>
      </c>
      <c r="AE404" s="363">
        <v>336</v>
      </c>
      <c r="AF404" s="363">
        <v>336</v>
      </c>
      <c r="AG404" s="363">
        <v>336</v>
      </c>
      <c r="AH404" s="360">
        <f t="shared" si="23"/>
        <v>2016</v>
      </c>
      <c r="AI404" s="362">
        <f>ERP_5[[#This Row],[2026 Working Total]]-ERP_5[[#This Row],[LE2 Final Submission]]</f>
        <v>-1008</v>
      </c>
      <c r="AJ404" s="79">
        <v>336</v>
      </c>
      <c r="AK404" s="79">
        <f t="shared" si="22"/>
        <v>-336</v>
      </c>
      <c r="AL404" s="374">
        <f>SUM(ERP_5[[#This Row],[AP01]:[AP06]])-SUM(ERP_5[[#This Row],[AP01 LE2]:[AP06 LE2]])</f>
        <v>-1008</v>
      </c>
      <c r="AM404" s="80"/>
      <c r="AN404" s="79">
        <f>ERP_5[[#This Row],[2026 Working Total to Budget/LE]]-ERP_5[[#This Row],[Giveback]]</f>
        <v>-1008</v>
      </c>
      <c r="AO404" s="81"/>
      <c r="AP404" s="375"/>
      <c r="AQ404" s="375"/>
      <c r="AR404" s="375"/>
      <c r="AS404" s="375">
        <v>336</v>
      </c>
      <c r="AT404" s="375">
        <v>336</v>
      </c>
      <c r="AU404" s="375">
        <v>336</v>
      </c>
      <c r="AV404" s="375">
        <v>336</v>
      </c>
      <c r="AW404" s="375">
        <v>336</v>
      </c>
      <c r="AX404" s="375">
        <v>336</v>
      </c>
      <c r="AY404" s="375">
        <v>336</v>
      </c>
      <c r="AZ404" s="375">
        <v>336</v>
      </c>
      <c r="BA404" s="375">
        <v>336</v>
      </c>
      <c r="BB404" s="375">
        <v>3024</v>
      </c>
      <c r="BC404" s="79"/>
      <c r="BD404" s="79"/>
      <c r="BE404" s="79"/>
      <c r="BF404" s="79">
        <v>336</v>
      </c>
      <c r="BG404" s="79">
        <v>336</v>
      </c>
      <c r="BH404" s="79">
        <v>336</v>
      </c>
      <c r="BI404" s="79">
        <v>336</v>
      </c>
      <c r="BJ404" s="79">
        <v>336</v>
      </c>
      <c r="BK404" s="79">
        <v>336</v>
      </c>
      <c r="BL404" s="79">
        <v>336</v>
      </c>
      <c r="BM404" s="79">
        <v>336</v>
      </c>
      <c r="BN404" s="79">
        <v>336</v>
      </c>
      <c r="BO404" s="79">
        <v>3024</v>
      </c>
    </row>
    <row r="405" spans="1:67" ht="15" customHeight="1">
      <c r="A405" s="66" t="s">
        <v>2143</v>
      </c>
      <c r="B405" s="66" t="s">
        <v>598</v>
      </c>
      <c r="C405" s="150" t="s">
        <v>1136</v>
      </c>
      <c r="D405" s="150" t="s">
        <v>1650</v>
      </c>
      <c r="E405" s="150" t="s">
        <v>1650</v>
      </c>
      <c r="F405" s="150" t="s">
        <v>1650</v>
      </c>
      <c r="G405" s="511" t="s">
        <v>389</v>
      </c>
      <c r="H405" s="392" t="s">
        <v>2144</v>
      </c>
      <c r="I405" s="343"/>
      <c r="J405" s="343"/>
      <c r="K405" s="70" t="s">
        <v>599</v>
      </c>
      <c r="L405" s="346"/>
      <c r="M405" s="343"/>
      <c r="N405" s="346"/>
      <c r="O405" s="150" t="s">
        <v>25</v>
      </c>
      <c r="P405" s="150"/>
      <c r="Q405" s="403"/>
      <c r="R405" s="406">
        <v>12000</v>
      </c>
      <c r="S405" s="406">
        <v>12000</v>
      </c>
      <c r="T405" s="425"/>
      <c r="U405" s="71"/>
      <c r="V405" s="426"/>
      <c r="W405" s="427"/>
      <c r="X405" s="427"/>
      <c r="Y405" s="428" t="s">
        <v>1142</v>
      </c>
      <c r="Z405" s="429">
        <v>0</v>
      </c>
      <c r="AA405" s="429">
        <v>0</v>
      </c>
      <c r="AB405" s="360">
        <v>0</v>
      </c>
      <c r="AC405" s="360">
        <v>0</v>
      </c>
      <c r="AD405" s="360">
        <v>0</v>
      </c>
      <c r="AE405" s="360">
        <v>0</v>
      </c>
      <c r="AF405" s="360">
        <v>0</v>
      </c>
      <c r="AG405" s="360">
        <v>0</v>
      </c>
      <c r="AH405" s="360">
        <f t="shared" si="23"/>
        <v>0</v>
      </c>
      <c r="AI405" s="362">
        <f>ERP_5[[#This Row],[2026 Working Total]]-ERP_5[[#This Row],[LE2 Final Submission]]</f>
        <v>-12000</v>
      </c>
      <c r="AJ405" s="79"/>
      <c r="AK405" s="79">
        <f t="shared" si="22"/>
        <v>0</v>
      </c>
      <c r="AL405" s="374">
        <f>SUM(ERP_5[[#This Row],[AP01]:[AP06]])-SUM(ERP_5[[#This Row],[AP01 LE2]:[AP06 LE2]])</f>
        <v>-12000</v>
      </c>
      <c r="AM405" s="80"/>
      <c r="AN405" s="79">
        <f>ERP_5[[#This Row],[2026 Working Total to Budget/LE]]-ERP_5[[#This Row],[Giveback]]</f>
        <v>-12000</v>
      </c>
      <c r="AO405" s="81"/>
      <c r="AP405" s="375"/>
      <c r="AQ405" s="375"/>
      <c r="AR405" s="375"/>
      <c r="AS405" s="375"/>
      <c r="AT405" s="375"/>
      <c r="AU405" s="375">
        <v>12000</v>
      </c>
      <c r="AV405" s="375">
        <v>0</v>
      </c>
      <c r="AW405" s="375">
        <v>0</v>
      </c>
      <c r="AX405" s="375">
        <v>0</v>
      </c>
      <c r="AY405" s="375">
        <v>0</v>
      </c>
      <c r="AZ405" s="375">
        <v>0</v>
      </c>
      <c r="BA405" s="375">
        <v>0</v>
      </c>
      <c r="BB405" s="375">
        <v>12000</v>
      </c>
      <c r="BC405" s="79"/>
      <c r="BD405" s="79"/>
      <c r="BE405" s="79"/>
      <c r="BF405" s="79"/>
      <c r="BG405" s="79"/>
      <c r="BH405" s="79">
        <v>12000</v>
      </c>
      <c r="BI405" s="79">
        <v>0</v>
      </c>
      <c r="BJ405" s="79">
        <v>0</v>
      </c>
      <c r="BK405" s="79">
        <v>0</v>
      </c>
      <c r="BL405" s="79">
        <v>0</v>
      </c>
      <c r="BM405" s="79">
        <v>0</v>
      </c>
      <c r="BN405" s="79">
        <v>0</v>
      </c>
      <c r="BO405" s="79">
        <v>12000</v>
      </c>
    </row>
    <row r="406" spans="1:67" ht="15" customHeight="1">
      <c r="A406" s="79" t="s">
        <v>2812</v>
      </c>
      <c r="B406" s="296" t="s">
        <v>1019</v>
      </c>
      <c r="C406" s="150" t="s">
        <v>1136</v>
      </c>
      <c r="D406" s="383" t="s">
        <v>1650</v>
      </c>
      <c r="E406" s="382" t="s">
        <v>1650</v>
      </c>
      <c r="F406" s="333" t="s">
        <v>1650</v>
      </c>
      <c r="G406" s="512" t="s">
        <v>639</v>
      </c>
      <c r="H406" s="394" t="s">
        <v>2813</v>
      </c>
      <c r="I406" s="343"/>
      <c r="J406" s="333"/>
      <c r="K406" s="122" t="s">
        <v>1020</v>
      </c>
      <c r="L406" s="347"/>
      <c r="M406" s="346" t="s">
        <v>1140</v>
      </c>
      <c r="N406" s="348"/>
      <c r="O406" s="384" t="s">
        <v>1021</v>
      </c>
      <c r="P406" s="387" t="s">
        <v>2814</v>
      </c>
      <c r="Q406" s="432"/>
      <c r="R406" s="358">
        <v>340000</v>
      </c>
      <c r="S406" s="378">
        <v>340000</v>
      </c>
      <c r="T406" s="425"/>
      <c r="U406" s="71"/>
      <c r="V406" s="433"/>
      <c r="W406" s="434"/>
      <c r="X406" s="434"/>
      <c r="Y406" s="428" t="s">
        <v>1142</v>
      </c>
      <c r="Z406" s="429">
        <v>0</v>
      </c>
      <c r="AA406" s="429">
        <v>0</v>
      </c>
      <c r="AB406" s="388">
        <v>0</v>
      </c>
      <c r="AC406" s="508">
        <v>0</v>
      </c>
      <c r="AD406" s="388">
        <v>0</v>
      </c>
      <c r="AE406" s="388">
        <v>0</v>
      </c>
      <c r="AF406" s="388">
        <v>0</v>
      </c>
      <c r="AG406" s="388">
        <v>0</v>
      </c>
      <c r="AH406" s="360">
        <f t="shared" si="23"/>
        <v>0</v>
      </c>
      <c r="AI406" s="362">
        <f>ERP_5[[#This Row],[2026 Working Total]]-ERP_5[[#This Row],[LE2 Final Submission]]</f>
        <v>-340000</v>
      </c>
      <c r="AJ406" s="79">
        <v>0</v>
      </c>
      <c r="AK406" s="79">
        <f t="shared" si="22"/>
        <v>0</v>
      </c>
      <c r="AL406" s="374">
        <f>SUM(ERP_5[[#This Row],[AP01]:[AP06]])-SUM(ERP_5[[#This Row],[AP01 LE2]:[AP06 LE2]])</f>
        <v>0</v>
      </c>
      <c r="AM406" s="80"/>
      <c r="AN406" s="79">
        <f>ERP_5[[#This Row],[2026 Working Total to Budget/LE]]-ERP_5[[#This Row],[Giveback]]</f>
        <v>-340000</v>
      </c>
      <c r="AO406" s="81"/>
      <c r="AP406" s="375"/>
      <c r="AQ406" s="375"/>
      <c r="AR406" s="375"/>
      <c r="AS406" s="375">
        <v>0</v>
      </c>
      <c r="AT406" s="375">
        <v>0</v>
      </c>
      <c r="AU406" s="375">
        <v>0</v>
      </c>
      <c r="AV406" s="375">
        <v>0</v>
      </c>
      <c r="AW406" s="375">
        <v>340000</v>
      </c>
      <c r="AX406" s="375">
        <v>0</v>
      </c>
      <c r="AY406" s="375">
        <v>0</v>
      </c>
      <c r="AZ406" s="375">
        <v>0</v>
      </c>
      <c r="BA406" s="375">
        <v>0</v>
      </c>
      <c r="BB406" s="375">
        <v>340000</v>
      </c>
      <c r="BC406" s="103">
        <v>0</v>
      </c>
      <c r="BD406" s="103">
        <v>0</v>
      </c>
      <c r="BE406" s="103">
        <v>340000</v>
      </c>
      <c r="BF406" s="103">
        <v>0</v>
      </c>
      <c r="BG406" s="103">
        <v>0</v>
      </c>
      <c r="BH406" s="103">
        <v>0</v>
      </c>
      <c r="BI406" s="103">
        <v>0</v>
      </c>
      <c r="BJ406" s="103">
        <v>0</v>
      </c>
      <c r="BK406" s="103">
        <v>0</v>
      </c>
      <c r="BL406" s="103">
        <v>0</v>
      </c>
      <c r="BM406" s="103">
        <v>0</v>
      </c>
      <c r="BN406" s="103">
        <v>0</v>
      </c>
      <c r="BO406" s="79">
        <f>SUM(ERP_5[[#This Row],[2026 AP01]:[2026 AP12]])</f>
        <v>340000</v>
      </c>
    </row>
    <row r="407" spans="1:67" ht="15" customHeight="1">
      <c r="A407" s="79" t="s">
        <v>1718</v>
      </c>
      <c r="B407" s="296" t="s">
        <v>1719</v>
      </c>
      <c r="C407" s="150" t="s">
        <v>1136</v>
      </c>
      <c r="D407" s="332" t="s">
        <v>1135</v>
      </c>
      <c r="E407" s="383" t="s">
        <v>1145</v>
      </c>
      <c r="F407" s="331" t="s">
        <v>1137</v>
      </c>
      <c r="G407" s="512" t="s">
        <v>342</v>
      </c>
      <c r="H407" s="393" t="s">
        <v>1720</v>
      </c>
      <c r="I407" s="343"/>
      <c r="J407" s="331"/>
      <c r="K407" s="91" t="s">
        <v>374</v>
      </c>
      <c r="L407" s="343"/>
      <c r="M407" s="346" t="s">
        <v>1717</v>
      </c>
      <c r="N407" s="346" t="s">
        <v>1710</v>
      </c>
      <c r="O407" s="386" t="s">
        <v>368</v>
      </c>
      <c r="P407" s="346" t="s">
        <v>1348</v>
      </c>
      <c r="Q407" s="437"/>
      <c r="R407" s="358">
        <v>-783580.73</v>
      </c>
      <c r="S407" s="378">
        <v>0</v>
      </c>
      <c r="T407" s="425"/>
      <c r="U407" s="71"/>
      <c r="V407" s="433"/>
      <c r="W407" s="434"/>
      <c r="X407" s="434"/>
      <c r="Y407" s="428" t="s">
        <v>1142</v>
      </c>
      <c r="Z407" s="429">
        <v>0</v>
      </c>
      <c r="AA407" s="429">
        <v>0</v>
      </c>
      <c r="AB407" s="388">
        <v>0</v>
      </c>
      <c r="AC407" s="388">
        <v>0</v>
      </c>
      <c r="AD407" s="388">
        <v>0</v>
      </c>
      <c r="AE407" s="388">
        <v>0</v>
      </c>
      <c r="AF407" s="388">
        <v>0</v>
      </c>
      <c r="AG407" s="388">
        <v>0</v>
      </c>
      <c r="AH407" s="360">
        <f t="shared" si="23"/>
        <v>0</v>
      </c>
      <c r="AI407" s="362">
        <f>ERP_5[[#This Row],[2026 Working Total]]-ERP_5[[#This Row],[LE2 Final Submission]]</f>
        <v>0</v>
      </c>
      <c r="AJ407" s="79">
        <v>0</v>
      </c>
      <c r="AK407" s="79">
        <f t="shared" si="22"/>
        <v>0</v>
      </c>
      <c r="AL407" s="374">
        <f>SUM(ERP_5[[#This Row],[AP01]:[AP06]])-SUM(ERP_5[[#This Row],[AP01 LE2]:[AP06 LE2]])</f>
        <v>0</v>
      </c>
      <c r="AM407" s="80"/>
      <c r="AN407" s="79">
        <f>ERP_5[[#This Row],[2026 Working Total to Budget/LE]]-ERP_5[[#This Row],[Giveback]]</f>
        <v>0</v>
      </c>
      <c r="AO407" s="81"/>
      <c r="AP407" s="375"/>
      <c r="AQ407" s="375"/>
      <c r="AR407" s="375"/>
      <c r="AS407" s="375">
        <v>0</v>
      </c>
      <c r="AT407" s="375">
        <v>0</v>
      </c>
      <c r="AU407" s="375">
        <v>0</v>
      </c>
      <c r="AV407" s="375">
        <v>0</v>
      </c>
      <c r="AW407" s="375">
        <v>0</v>
      </c>
      <c r="AX407" s="375">
        <v>0</v>
      </c>
      <c r="AY407" s="375">
        <v>0</v>
      </c>
      <c r="AZ407" s="375">
        <v>0</v>
      </c>
      <c r="BA407" s="375">
        <v>0</v>
      </c>
      <c r="BB407" s="375">
        <v>0</v>
      </c>
      <c r="BC407" s="103">
        <v>-783580.73</v>
      </c>
      <c r="BD407" s="103">
        <v>0</v>
      </c>
      <c r="BE407" s="103">
        <v>0</v>
      </c>
      <c r="BF407" s="103">
        <v>0</v>
      </c>
      <c r="BG407" s="103">
        <v>0</v>
      </c>
      <c r="BH407" s="103">
        <v>0</v>
      </c>
      <c r="BI407" s="103">
        <v>0</v>
      </c>
      <c r="BJ407" s="103">
        <v>0</v>
      </c>
      <c r="BK407" s="103">
        <v>0</v>
      </c>
      <c r="BL407" s="103">
        <v>0</v>
      </c>
      <c r="BM407" s="103">
        <v>0</v>
      </c>
      <c r="BN407" s="103">
        <v>0</v>
      </c>
      <c r="BO407" s="79">
        <f>SUM(ERP_5[[#This Row],[2026 AP01]:[2026 AP12]])</f>
        <v>-783580.73</v>
      </c>
    </row>
    <row r="408" spans="1:67" ht="15" customHeight="1">
      <c r="A408" s="66" t="s">
        <v>1914</v>
      </c>
      <c r="B408" s="66" t="s">
        <v>1915</v>
      </c>
      <c r="C408" s="150" t="s">
        <v>1136</v>
      </c>
      <c r="D408" s="150" t="s">
        <v>1135</v>
      </c>
      <c r="E408" s="150" t="s">
        <v>1145</v>
      </c>
      <c r="F408" s="150" t="s">
        <v>1137</v>
      </c>
      <c r="G408" s="511" t="s">
        <v>389</v>
      </c>
      <c r="H408" s="392" t="s">
        <v>1916</v>
      </c>
      <c r="I408" s="343"/>
      <c r="J408" s="346" t="s">
        <v>1186</v>
      </c>
      <c r="K408" s="70" t="s">
        <v>468</v>
      </c>
      <c r="L408" s="346"/>
      <c r="M408" s="346" t="s">
        <v>1917</v>
      </c>
      <c r="N408" s="346"/>
      <c r="O408" s="150" t="s">
        <v>25</v>
      </c>
      <c r="P408" s="150" t="s">
        <v>1918</v>
      </c>
      <c r="Q408" s="403"/>
      <c r="R408" s="406">
        <v>301000</v>
      </c>
      <c r="S408" s="406">
        <v>305973.58</v>
      </c>
      <c r="T408" s="425"/>
      <c r="U408" s="71"/>
      <c r="V408" s="426">
        <v>80223.58</v>
      </c>
      <c r="W408" s="431">
        <v>0</v>
      </c>
      <c r="X408" s="431">
        <v>0</v>
      </c>
      <c r="Y408" s="428">
        <v>80223.58</v>
      </c>
      <c r="Z408" s="429">
        <v>0</v>
      </c>
      <c r="AA408" s="429">
        <v>0</v>
      </c>
      <c r="AB408" s="363">
        <v>0</v>
      </c>
      <c r="AC408" s="360">
        <v>70500</v>
      </c>
      <c r="AD408" s="360">
        <v>0</v>
      </c>
      <c r="AE408" s="360">
        <v>70500</v>
      </c>
      <c r="AF408" s="360">
        <v>0</v>
      </c>
      <c r="AG408" s="360">
        <v>0</v>
      </c>
      <c r="AH408" s="360">
        <f t="shared" si="23"/>
        <v>301447.16000000003</v>
      </c>
      <c r="AI408" s="362">
        <f>ERP_5[[#This Row],[2026 Working Total]]-ERP_5[[#This Row],[LE2 Final Submission]]</f>
        <v>-4526.4199999999837</v>
      </c>
      <c r="AJ408" s="79">
        <v>0</v>
      </c>
      <c r="AK408" s="79">
        <f t="shared" si="22"/>
        <v>0</v>
      </c>
      <c r="AL408" s="374">
        <f>SUM(ERP_5[[#This Row],[AP01]:[AP06]])-SUM(ERP_5[[#This Row],[AP01 LE2]:[AP06 LE2]])</f>
        <v>4973.5799999999872</v>
      </c>
      <c r="AM408" s="80"/>
      <c r="AN408" s="79">
        <f>ERP_5[[#This Row],[2026 Working Total to Budget/LE]]-ERP_5[[#This Row],[Giveback]]</f>
        <v>-4526.4199999999837</v>
      </c>
      <c r="AO408" s="81"/>
      <c r="AP408" s="375">
        <v>80223.58</v>
      </c>
      <c r="AQ408" s="375">
        <v>0</v>
      </c>
      <c r="AR408" s="375">
        <v>0</v>
      </c>
      <c r="AS408" s="375">
        <v>75250</v>
      </c>
      <c r="AT408" s="375">
        <v>0</v>
      </c>
      <c r="AU408" s="375">
        <v>0</v>
      </c>
      <c r="AV408" s="375">
        <v>75250</v>
      </c>
      <c r="AW408" s="375">
        <v>0</v>
      </c>
      <c r="AX408" s="375">
        <v>0</v>
      </c>
      <c r="AY408" s="375">
        <v>75250</v>
      </c>
      <c r="AZ408" s="375">
        <v>0</v>
      </c>
      <c r="BA408" s="375">
        <v>0</v>
      </c>
      <c r="BB408" s="375">
        <v>305973.58</v>
      </c>
      <c r="BC408" s="79">
        <v>80223.58</v>
      </c>
      <c r="BD408" s="79">
        <v>0</v>
      </c>
      <c r="BE408" s="79">
        <v>0</v>
      </c>
      <c r="BF408" s="79">
        <v>75250</v>
      </c>
      <c r="BG408" s="79">
        <v>0</v>
      </c>
      <c r="BH408" s="79">
        <v>0</v>
      </c>
      <c r="BI408" s="79">
        <v>75250</v>
      </c>
      <c r="BJ408" s="79">
        <v>0</v>
      </c>
      <c r="BK408" s="79">
        <v>0</v>
      </c>
      <c r="BL408" s="79">
        <v>75250</v>
      </c>
      <c r="BM408" s="79">
        <v>0</v>
      </c>
      <c r="BN408" s="79">
        <v>0</v>
      </c>
      <c r="BO408" s="79">
        <v>305973.58</v>
      </c>
    </row>
    <row r="409" spans="1:67" ht="15" customHeight="1">
      <c r="A409" s="66" t="s">
        <v>1919</v>
      </c>
      <c r="B409" s="66" t="s">
        <v>1920</v>
      </c>
      <c r="C409" s="150" t="s">
        <v>1136</v>
      </c>
      <c r="D409" s="150" t="s">
        <v>1135</v>
      </c>
      <c r="E409" s="150" t="s">
        <v>1145</v>
      </c>
      <c r="F409" s="150" t="s">
        <v>1137</v>
      </c>
      <c r="G409" s="511" t="s">
        <v>389</v>
      </c>
      <c r="H409" s="392" t="s">
        <v>1921</v>
      </c>
      <c r="I409" s="343"/>
      <c r="J409" s="346" t="s">
        <v>1186</v>
      </c>
      <c r="K409" s="70" t="s">
        <v>470</v>
      </c>
      <c r="L409" s="346"/>
      <c r="M409" s="346" t="s">
        <v>1922</v>
      </c>
      <c r="N409" s="346"/>
      <c r="O409" s="150" t="s">
        <v>25</v>
      </c>
      <c r="P409" s="150" t="s">
        <v>1923</v>
      </c>
      <c r="Q409" s="403"/>
      <c r="R409" s="406">
        <v>282792</v>
      </c>
      <c r="S409" s="406">
        <v>282791.93</v>
      </c>
      <c r="T409" s="425"/>
      <c r="U409" s="71"/>
      <c r="V409" s="426">
        <v>70697.440000000002</v>
      </c>
      <c r="W409" s="427">
        <v>0.49</v>
      </c>
      <c r="X409" s="431">
        <v>0</v>
      </c>
      <c r="Y409" s="428">
        <v>9484.4399999999951</v>
      </c>
      <c r="Z409" s="429">
        <v>0</v>
      </c>
      <c r="AA409" s="429">
        <v>0</v>
      </c>
      <c r="AB409" s="364"/>
      <c r="AC409" s="364">
        <v>60500</v>
      </c>
      <c r="AD409" s="360">
        <v>0</v>
      </c>
      <c r="AE409" s="363">
        <v>70698</v>
      </c>
      <c r="AF409" s="363">
        <v>70698</v>
      </c>
      <c r="AG409" s="360">
        <v>0</v>
      </c>
      <c r="AH409" s="360">
        <f t="shared" si="23"/>
        <v>282078.37</v>
      </c>
      <c r="AI409" s="362">
        <f>ERP_5[[#This Row],[2026 Working Total]]-ERP_5[[#This Row],[LE2 Final Submission]]</f>
        <v>-713.55999999999767</v>
      </c>
      <c r="AJ409" s="79">
        <v>0</v>
      </c>
      <c r="AK409" s="79">
        <f t="shared" si="22"/>
        <v>0</v>
      </c>
      <c r="AL409" s="374">
        <f>SUM(ERP_5[[#This Row],[AP01]:[AP06]])-SUM(ERP_5[[#This Row],[AP01 LE2]:[AP06 LE2]])</f>
        <v>-61213.56</v>
      </c>
      <c r="AM409" s="80"/>
      <c r="AN409" s="79">
        <f>ERP_5[[#This Row],[2026 Working Total to Budget/LE]]-ERP_5[[#This Row],[Giveback]]</f>
        <v>-713.55999999999767</v>
      </c>
      <c r="AO409" s="81"/>
      <c r="AP409" s="375">
        <v>70697.440000000002</v>
      </c>
      <c r="AQ409" s="375">
        <v>0.49</v>
      </c>
      <c r="AR409" s="375">
        <v>0</v>
      </c>
      <c r="AS409" s="375">
        <v>70698</v>
      </c>
      <c r="AT409" s="375">
        <v>0</v>
      </c>
      <c r="AU409" s="375">
        <v>0</v>
      </c>
      <c r="AV409" s="375">
        <v>70698</v>
      </c>
      <c r="AW409" s="375">
        <v>0</v>
      </c>
      <c r="AX409" s="375">
        <v>0</v>
      </c>
      <c r="AY409" s="375">
        <v>70698</v>
      </c>
      <c r="AZ409" s="375">
        <v>0</v>
      </c>
      <c r="BA409" s="375">
        <v>0</v>
      </c>
      <c r="BB409" s="375">
        <v>282791.93</v>
      </c>
      <c r="BC409" s="79">
        <v>70697.440000000002</v>
      </c>
      <c r="BD409" s="79">
        <v>0.49</v>
      </c>
      <c r="BE409" s="79">
        <v>0</v>
      </c>
      <c r="BF409" s="79">
        <v>70698</v>
      </c>
      <c r="BG409" s="79">
        <v>0</v>
      </c>
      <c r="BH409" s="79">
        <v>0</v>
      </c>
      <c r="BI409" s="79">
        <v>70698</v>
      </c>
      <c r="BJ409" s="79">
        <v>0</v>
      </c>
      <c r="BK409" s="79">
        <v>0</v>
      </c>
      <c r="BL409" s="79">
        <v>70698</v>
      </c>
      <c r="BM409" s="79">
        <v>0</v>
      </c>
      <c r="BN409" s="79">
        <v>0</v>
      </c>
      <c r="BO409" s="79">
        <v>282791.93</v>
      </c>
    </row>
    <row r="410" spans="1:67" ht="15" customHeight="1">
      <c r="A410" s="66" t="s">
        <v>1924</v>
      </c>
      <c r="B410" s="66" t="s">
        <v>471</v>
      </c>
      <c r="C410" s="150" t="s">
        <v>1136</v>
      </c>
      <c r="D410" s="150" t="s">
        <v>1135</v>
      </c>
      <c r="E410" s="150" t="s">
        <v>1135</v>
      </c>
      <c r="F410" s="150" t="s">
        <v>1137</v>
      </c>
      <c r="G410" s="511" t="s">
        <v>389</v>
      </c>
      <c r="H410" s="393" t="s">
        <v>1319</v>
      </c>
      <c r="I410" s="343"/>
      <c r="J410" s="343"/>
      <c r="K410" s="70" t="s">
        <v>145</v>
      </c>
      <c r="L410" s="346" t="s">
        <v>1139</v>
      </c>
      <c r="M410" s="343"/>
      <c r="N410" s="346"/>
      <c r="O410" s="150" t="s">
        <v>25</v>
      </c>
      <c r="P410" s="150"/>
      <c r="Q410" s="403"/>
      <c r="R410" s="406">
        <v>0</v>
      </c>
      <c r="S410" s="406">
        <v>1472196.6600000001</v>
      </c>
      <c r="T410" s="430"/>
      <c r="U410" s="137"/>
      <c r="V410" s="426"/>
      <c r="W410" s="427">
        <v>245366</v>
      </c>
      <c r="X410" s="427">
        <v>122683.66</v>
      </c>
      <c r="Y410" s="428">
        <v>101112.98</v>
      </c>
      <c r="Z410" s="429">
        <v>144254.16</v>
      </c>
      <c r="AA410" s="429">
        <v>122682.85</v>
      </c>
      <c r="AB410" s="363">
        <v>122683</v>
      </c>
      <c r="AC410" s="363">
        <v>122683</v>
      </c>
      <c r="AD410" s="363">
        <v>122683</v>
      </c>
      <c r="AE410" s="363">
        <v>122683</v>
      </c>
      <c r="AF410" s="363">
        <v>122683</v>
      </c>
      <c r="AG410" s="363">
        <v>122683</v>
      </c>
      <c r="AH410" s="360">
        <f t="shared" si="23"/>
        <v>1472197.65</v>
      </c>
      <c r="AI410" s="362">
        <f>ERP_5[[#This Row],[2026 Working Total]]-ERP_5[[#This Row],[LE2 Final Submission]]</f>
        <v>0.98999999975785613</v>
      </c>
      <c r="AJ410" s="79">
        <v>122683</v>
      </c>
      <c r="AK410" s="79">
        <f t="shared" si="22"/>
        <v>-0.14999999999417923</v>
      </c>
      <c r="AL410" s="374">
        <f>SUM(ERP_5[[#This Row],[AP01]:[AP06]])-SUM(ERP_5[[#This Row],[AP01 LE2]:[AP06 LE2]])</f>
        <v>0.98999999999068677</v>
      </c>
      <c r="AM410" s="80"/>
      <c r="AN410" s="79">
        <f>ERP_5[[#This Row],[2026 Working Total to Budget/LE]]-ERP_5[[#This Row],[Giveback]]</f>
        <v>0.98999999975785613</v>
      </c>
      <c r="AO410" s="81"/>
      <c r="AP410" s="375"/>
      <c r="AQ410" s="375">
        <v>245366</v>
      </c>
      <c r="AR410" s="375">
        <v>122683.66</v>
      </c>
      <c r="AS410" s="375">
        <v>122683</v>
      </c>
      <c r="AT410" s="375">
        <v>122683</v>
      </c>
      <c r="AU410" s="375">
        <v>122683</v>
      </c>
      <c r="AV410" s="375">
        <v>122683</v>
      </c>
      <c r="AW410" s="375">
        <v>122683</v>
      </c>
      <c r="AX410" s="375">
        <v>122683</v>
      </c>
      <c r="AY410" s="375">
        <v>122683</v>
      </c>
      <c r="AZ410" s="375">
        <v>122683</v>
      </c>
      <c r="BA410" s="375">
        <v>122683</v>
      </c>
      <c r="BB410" s="375">
        <v>1472196.6600000001</v>
      </c>
      <c r="BC410" s="79"/>
      <c r="BD410" s="79">
        <v>245366</v>
      </c>
      <c r="BE410" s="79">
        <v>122683.66</v>
      </c>
      <c r="BF410" s="79">
        <v>122683</v>
      </c>
      <c r="BG410" s="79">
        <v>122683</v>
      </c>
      <c r="BH410" s="79">
        <v>122683</v>
      </c>
      <c r="BI410" s="79">
        <v>122683</v>
      </c>
      <c r="BJ410" s="79">
        <v>122683</v>
      </c>
      <c r="BK410" s="79">
        <v>122683</v>
      </c>
      <c r="BL410" s="79">
        <v>122683</v>
      </c>
      <c r="BM410" s="79">
        <v>122683</v>
      </c>
      <c r="BN410" s="79">
        <v>122683</v>
      </c>
      <c r="BO410" s="79">
        <v>1472196.6600000001</v>
      </c>
    </row>
    <row r="411" spans="1:67" ht="15" customHeight="1">
      <c r="A411" s="79" t="s">
        <v>1318</v>
      </c>
      <c r="B411" s="296" t="s">
        <v>144</v>
      </c>
      <c r="C411" s="150" t="s">
        <v>1136</v>
      </c>
      <c r="D411" s="332" t="s">
        <v>1135</v>
      </c>
      <c r="E411" s="383" t="s">
        <v>1135</v>
      </c>
      <c r="F411" s="331" t="s">
        <v>1137</v>
      </c>
      <c r="G411" s="512" t="s">
        <v>49</v>
      </c>
      <c r="H411" s="393" t="s">
        <v>1319</v>
      </c>
      <c r="I411" s="343"/>
      <c r="J411" s="331"/>
      <c r="K411" s="91" t="s">
        <v>145</v>
      </c>
      <c r="L411" s="346" t="s">
        <v>1139</v>
      </c>
      <c r="M411" s="343"/>
      <c r="N411" s="348"/>
      <c r="O411" s="386" t="s">
        <v>25</v>
      </c>
      <c r="P411" s="387" t="s">
        <v>1320</v>
      </c>
      <c r="Q411" s="432"/>
      <c r="R411" s="358">
        <v>1472196</v>
      </c>
      <c r="S411" s="378">
        <v>0</v>
      </c>
      <c r="T411" s="430"/>
      <c r="U411" s="137"/>
      <c r="V411" s="433"/>
      <c r="W411" s="434"/>
      <c r="X411" s="434"/>
      <c r="Y411" s="428" t="s">
        <v>1142</v>
      </c>
      <c r="Z411" s="429">
        <v>0</v>
      </c>
      <c r="AA411" s="429">
        <v>0</v>
      </c>
      <c r="AB411" s="388">
        <f t="shared" ref="AB411:AG411" si="24">122683-122683</f>
        <v>0</v>
      </c>
      <c r="AC411" s="388">
        <f t="shared" si="24"/>
        <v>0</v>
      </c>
      <c r="AD411" s="388">
        <f t="shared" si="24"/>
        <v>0</v>
      </c>
      <c r="AE411" s="388">
        <f t="shared" si="24"/>
        <v>0</v>
      </c>
      <c r="AF411" s="388">
        <f t="shared" si="24"/>
        <v>0</v>
      </c>
      <c r="AG411" s="388">
        <f t="shared" si="24"/>
        <v>0</v>
      </c>
      <c r="AH411" s="360">
        <f t="shared" si="23"/>
        <v>0</v>
      </c>
      <c r="AI411" s="362">
        <f>ERP_5[[#This Row],[2026 Working Total]]-ERP_5[[#This Row],[LE2 Final Submission]]</f>
        <v>0</v>
      </c>
      <c r="AJ411" s="79">
        <v>0</v>
      </c>
      <c r="AK411" s="79">
        <f t="shared" si="22"/>
        <v>0</v>
      </c>
      <c r="AL411" s="374">
        <f>SUM(ERP_5[[#This Row],[AP01]:[AP06]])-SUM(ERP_5[[#This Row],[AP01 LE2]:[AP06 LE2]])</f>
        <v>0</v>
      </c>
      <c r="AM411" s="80"/>
      <c r="AN411" s="79">
        <f>ERP_5[[#This Row],[2026 Working Total to Budget/LE]]-ERP_5[[#This Row],[Giveback]]</f>
        <v>0</v>
      </c>
      <c r="AO411" s="81"/>
      <c r="AP411" s="375"/>
      <c r="AQ411" s="375"/>
      <c r="AR411" s="375"/>
      <c r="AS411" s="375">
        <v>0</v>
      </c>
      <c r="AT411" s="375">
        <v>0</v>
      </c>
      <c r="AU411" s="375">
        <v>0</v>
      </c>
      <c r="AV411" s="375">
        <v>0</v>
      </c>
      <c r="AW411" s="375">
        <v>0</v>
      </c>
      <c r="AX411" s="375">
        <v>0</v>
      </c>
      <c r="AY411" s="375">
        <v>0</v>
      </c>
      <c r="AZ411" s="375">
        <v>0</v>
      </c>
      <c r="BA411" s="375">
        <v>0</v>
      </c>
      <c r="BB411" s="375">
        <v>0</v>
      </c>
      <c r="BC411" s="103">
        <v>122683</v>
      </c>
      <c r="BD411" s="103">
        <v>122683</v>
      </c>
      <c r="BE411" s="103">
        <v>122683</v>
      </c>
      <c r="BF411" s="103">
        <v>122683</v>
      </c>
      <c r="BG411" s="103">
        <v>122683</v>
      </c>
      <c r="BH411" s="103">
        <v>122683</v>
      </c>
      <c r="BI411" s="103">
        <v>122683</v>
      </c>
      <c r="BJ411" s="103">
        <v>122683</v>
      </c>
      <c r="BK411" s="103">
        <v>122683</v>
      </c>
      <c r="BL411" s="103">
        <v>122683</v>
      </c>
      <c r="BM411" s="103">
        <v>122683</v>
      </c>
      <c r="BN411" s="103">
        <v>122683</v>
      </c>
      <c r="BO411" s="79">
        <f>SUM(ERP_5[[#This Row],[2026 AP01]:[2026 AP12]])</f>
        <v>1472196</v>
      </c>
    </row>
    <row r="412" spans="1:67" ht="15" customHeight="1">
      <c r="A412" s="79" t="s">
        <v>2298</v>
      </c>
      <c r="B412" s="296" t="s">
        <v>2299</v>
      </c>
      <c r="C412" s="150" t="s">
        <v>1136</v>
      </c>
      <c r="D412" s="150" t="s">
        <v>1135</v>
      </c>
      <c r="E412" s="150" t="s">
        <v>1165</v>
      </c>
      <c r="F412" s="150" t="s">
        <v>1165</v>
      </c>
      <c r="G412" s="514" t="s">
        <v>639</v>
      </c>
      <c r="H412" s="392" t="s">
        <v>1927</v>
      </c>
      <c r="I412" s="343"/>
      <c r="J412" s="333"/>
      <c r="K412" s="70" t="s">
        <v>473</v>
      </c>
      <c r="L412" s="347"/>
      <c r="M412" s="343"/>
      <c r="N412" s="348"/>
      <c r="O412" s="348"/>
      <c r="P412" s="150" t="s">
        <v>1928</v>
      </c>
      <c r="Q412" s="402"/>
      <c r="R412" s="358"/>
      <c r="S412" s="379">
        <v>123539</v>
      </c>
      <c r="T412" s="425"/>
      <c r="U412" s="71"/>
      <c r="V412" s="435"/>
      <c r="W412" s="436"/>
      <c r="X412" s="436"/>
      <c r="Y412" s="428" t="s">
        <v>1142</v>
      </c>
      <c r="Z412" s="429">
        <v>0</v>
      </c>
      <c r="AA412" s="429">
        <v>0</v>
      </c>
      <c r="AB412" s="364"/>
      <c r="AC412" s="364">
        <v>123539</v>
      </c>
      <c r="AD412" s="364"/>
      <c r="AE412" s="364"/>
      <c r="AF412" s="364"/>
      <c r="AG412" s="364"/>
      <c r="AH412" s="360">
        <f t="shared" si="23"/>
        <v>123539</v>
      </c>
      <c r="AI412" s="362">
        <f>ERP_5[[#This Row],[2026 Working Total]]-ERP_5[[#This Row],[LE2 Final Submission]]</f>
        <v>0</v>
      </c>
      <c r="AJ412" s="79"/>
      <c r="AK412" s="79">
        <f t="shared" si="22"/>
        <v>0</v>
      </c>
      <c r="AL412" s="374">
        <f>SUM(ERP_5[[#This Row],[AP01]:[AP06]])-SUM(ERP_5[[#This Row],[AP01 LE2]:[AP06 LE2]])</f>
        <v>0</v>
      </c>
      <c r="AM412" s="80"/>
      <c r="AN412" s="79">
        <f>ERP_5[[#This Row],[2026 Working Total to Budget/LE]]-ERP_5[[#This Row],[Giveback]]</f>
        <v>0</v>
      </c>
      <c r="AO412" s="81" t="s">
        <v>1929</v>
      </c>
      <c r="AP412" s="375"/>
      <c r="AQ412" s="375"/>
      <c r="AR412" s="375"/>
      <c r="AS412" s="375"/>
      <c r="AT412" s="375"/>
      <c r="AU412" s="375"/>
      <c r="AV412" s="375"/>
      <c r="AW412" s="375">
        <v>123539</v>
      </c>
      <c r="AX412" s="375"/>
      <c r="AY412" s="375"/>
      <c r="AZ412" s="375"/>
      <c r="BA412" s="375"/>
      <c r="BB412" s="375">
        <v>123539</v>
      </c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</row>
    <row r="413" spans="1:67" ht="15" customHeight="1">
      <c r="A413" s="66" t="s">
        <v>1925</v>
      </c>
      <c r="B413" s="66" t="s">
        <v>1926</v>
      </c>
      <c r="C413" s="150" t="s">
        <v>1136</v>
      </c>
      <c r="D413" s="150" t="s">
        <v>1135</v>
      </c>
      <c r="E413" s="150" t="s">
        <v>1165</v>
      </c>
      <c r="F413" s="150" t="s">
        <v>1137</v>
      </c>
      <c r="G413" s="511" t="s">
        <v>389</v>
      </c>
      <c r="H413" s="392" t="s">
        <v>1927</v>
      </c>
      <c r="I413" s="343"/>
      <c r="J413" s="343"/>
      <c r="K413" s="70" t="s">
        <v>473</v>
      </c>
      <c r="L413" s="346"/>
      <c r="M413" s="343"/>
      <c r="N413" s="346"/>
      <c r="O413" s="150" t="s">
        <v>25</v>
      </c>
      <c r="P413" s="150" t="s">
        <v>1928</v>
      </c>
      <c r="Q413" s="403"/>
      <c r="R413" s="406">
        <v>123538.99999999999</v>
      </c>
      <c r="S413" s="406">
        <v>0</v>
      </c>
      <c r="T413" s="425"/>
      <c r="U413" s="71"/>
      <c r="V413" s="426"/>
      <c r="W413" s="427"/>
      <c r="X413" s="427"/>
      <c r="Y413" s="428" t="s">
        <v>1142</v>
      </c>
      <c r="Z413" s="429">
        <v>0</v>
      </c>
      <c r="AA413" s="429">
        <v>0</v>
      </c>
      <c r="AB413" s="363">
        <v>0</v>
      </c>
      <c r="AC413" s="363">
        <f>88117-88117</f>
        <v>0</v>
      </c>
      <c r="AD413" s="363">
        <v>0</v>
      </c>
      <c r="AE413" s="363">
        <v>0</v>
      </c>
      <c r="AF413" s="363">
        <v>0</v>
      </c>
      <c r="AG413" s="363">
        <v>0</v>
      </c>
      <c r="AH413" s="360">
        <f t="shared" si="23"/>
        <v>0</v>
      </c>
      <c r="AI413" s="362">
        <f>ERP_5[[#This Row],[2026 Working Total]]-ERP_5[[#This Row],[LE2 Final Submission]]</f>
        <v>0</v>
      </c>
      <c r="AJ413" s="79">
        <v>0</v>
      </c>
      <c r="AK413" s="79">
        <f t="shared" si="22"/>
        <v>0</v>
      </c>
      <c r="AL413" s="374">
        <f>SUM(ERP_5[[#This Row],[AP01]:[AP06]])-SUM(ERP_5[[#This Row],[AP01 LE2]:[AP06 LE2]])</f>
        <v>0</v>
      </c>
      <c r="AM413" s="80"/>
      <c r="AN413" s="79">
        <f>ERP_5[[#This Row],[2026 Working Total to Budget/LE]]-ERP_5[[#This Row],[Giveback]]</f>
        <v>0</v>
      </c>
      <c r="AO413" s="81" t="s">
        <v>1929</v>
      </c>
      <c r="AP413" s="375"/>
      <c r="AQ413" s="375"/>
      <c r="AR413" s="375"/>
      <c r="AS413" s="375">
        <v>0</v>
      </c>
      <c r="AT413" s="375">
        <v>0</v>
      </c>
      <c r="AU413" s="375">
        <v>0</v>
      </c>
      <c r="AV413" s="375">
        <v>0</v>
      </c>
      <c r="AW413" s="375">
        <v>0</v>
      </c>
      <c r="AX413" s="375">
        <v>0</v>
      </c>
      <c r="AY413" s="375">
        <v>0</v>
      </c>
      <c r="AZ413" s="375">
        <v>0</v>
      </c>
      <c r="BA413" s="375">
        <v>0</v>
      </c>
      <c r="BB413" s="375">
        <v>0</v>
      </c>
      <c r="BC413" s="79"/>
      <c r="BD413" s="79"/>
      <c r="BE413" s="79"/>
      <c r="BF413" s="79">
        <v>10294.92</v>
      </c>
      <c r="BG413" s="79">
        <v>10294.92</v>
      </c>
      <c r="BH413" s="79">
        <v>10294.92</v>
      </c>
      <c r="BI413" s="79">
        <v>10294.92</v>
      </c>
      <c r="BJ413" s="79">
        <v>10294.92</v>
      </c>
      <c r="BK413" s="79">
        <v>10294.92</v>
      </c>
      <c r="BL413" s="79">
        <v>10294.92</v>
      </c>
      <c r="BM413" s="79">
        <v>10294.92</v>
      </c>
      <c r="BN413" s="79">
        <v>10294.92</v>
      </c>
      <c r="BO413" s="79">
        <v>92654.28</v>
      </c>
    </row>
    <row r="414" spans="1:67" ht="15" customHeight="1">
      <c r="A414" s="66" t="s">
        <v>1930</v>
      </c>
      <c r="B414" s="66" t="s">
        <v>1931</v>
      </c>
      <c r="C414" s="150" t="s">
        <v>1136</v>
      </c>
      <c r="D414" s="150" t="s">
        <v>1135</v>
      </c>
      <c r="E414" s="150" t="s">
        <v>1165</v>
      </c>
      <c r="F414" s="150" t="s">
        <v>1137</v>
      </c>
      <c r="G414" s="511" t="s">
        <v>389</v>
      </c>
      <c r="H414" s="392" t="s">
        <v>1932</v>
      </c>
      <c r="I414" s="343"/>
      <c r="J414" s="343"/>
      <c r="K414" s="70" t="s">
        <v>475</v>
      </c>
      <c r="L414" s="346"/>
      <c r="M414" s="343"/>
      <c r="N414" s="346"/>
      <c r="O414" s="150" t="s">
        <v>25</v>
      </c>
      <c r="P414" s="150"/>
      <c r="Q414" s="403"/>
      <c r="R414" s="406">
        <v>26400</v>
      </c>
      <c r="S414" s="406">
        <v>0</v>
      </c>
      <c r="T414" s="425"/>
      <c r="U414" s="71"/>
      <c r="V414" s="426"/>
      <c r="W414" s="427"/>
      <c r="X414" s="427"/>
      <c r="Y414" s="428" t="s">
        <v>1142</v>
      </c>
      <c r="Z414" s="429">
        <v>0</v>
      </c>
      <c r="AA414" s="429">
        <v>0</v>
      </c>
      <c r="AB414" s="363">
        <v>0</v>
      </c>
      <c r="AC414" s="363">
        <v>0</v>
      </c>
      <c r="AD414" s="363">
        <v>0</v>
      </c>
      <c r="AE414" s="363">
        <v>0</v>
      </c>
      <c r="AF414" s="363">
        <v>0</v>
      </c>
      <c r="AG414" s="363">
        <v>0</v>
      </c>
      <c r="AH414" s="360">
        <f t="shared" si="23"/>
        <v>0</v>
      </c>
      <c r="AI414" s="362">
        <f>ERP_5[[#This Row],[2026 Working Total]]-ERP_5[[#This Row],[LE2 Final Submission]]</f>
        <v>0</v>
      </c>
      <c r="AJ414" s="79">
        <v>0</v>
      </c>
      <c r="AK414" s="79">
        <f t="shared" si="22"/>
        <v>0</v>
      </c>
      <c r="AL414" s="374">
        <f>SUM(ERP_5[[#This Row],[AP01]:[AP06]])-SUM(ERP_5[[#This Row],[AP01 LE2]:[AP06 LE2]])</f>
        <v>0</v>
      </c>
      <c r="AM414" s="80">
        <v>-26400</v>
      </c>
      <c r="AN414" s="79">
        <f>ERP_5[[#This Row],[2026 Working Total to Budget/LE]]-ERP_5[[#This Row],[Giveback]]</f>
        <v>26400</v>
      </c>
      <c r="AO414" s="81"/>
      <c r="AP414" s="375"/>
      <c r="AQ414" s="375"/>
      <c r="AR414" s="375"/>
      <c r="AS414" s="375">
        <v>0</v>
      </c>
      <c r="AT414" s="375">
        <v>0</v>
      </c>
      <c r="AU414" s="375">
        <v>0</v>
      </c>
      <c r="AV414" s="375">
        <v>0</v>
      </c>
      <c r="AW414" s="375">
        <v>0</v>
      </c>
      <c r="AX414" s="375">
        <v>0</v>
      </c>
      <c r="AY414" s="375">
        <v>0</v>
      </c>
      <c r="AZ414" s="375">
        <v>0</v>
      </c>
      <c r="BA414" s="375">
        <v>0</v>
      </c>
      <c r="BB414" s="375">
        <v>0</v>
      </c>
      <c r="BC414" s="79"/>
      <c r="BD414" s="79"/>
      <c r="BE414" s="79"/>
      <c r="BF414" s="79">
        <v>2200</v>
      </c>
      <c r="BG414" s="79">
        <v>2200</v>
      </c>
      <c r="BH414" s="79">
        <v>2200</v>
      </c>
      <c r="BI414" s="79">
        <v>2200</v>
      </c>
      <c r="BJ414" s="79">
        <v>2200</v>
      </c>
      <c r="BK414" s="79">
        <v>2200</v>
      </c>
      <c r="BL414" s="79">
        <v>2200</v>
      </c>
      <c r="BM414" s="79">
        <v>2200</v>
      </c>
      <c r="BN414" s="79">
        <v>2200</v>
      </c>
      <c r="BO414" s="79">
        <v>19800</v>
      </c>
    </row>
    <row r="415" spans="1:67" ht="15" customHeight="1">
      <c r="A415" s="66" t="s">
        <v>1940</v>
      </c>
      <c r="B415" s="66" t="s">
        <v>1941</v>
      </c>
      <c r="C415" s="150" t="s">
        <v>1136</v>
      </c>
      <c r="D415" s="150" t="s">
        <v>1345</v>
      </c>
      <c r="E415" s="150" t="s">
        <v>1346</v>
      </c>
      <c r="F415" s="150" t="s">
        <v>1346</v>
      </c>
      <c r="G415" s="511" t="s">
        <v>389</v>
      </c>
      <c r="H415" s="392" t="s">
        <v>1942</v>
      </c>
      <c r="I415" s="343"/>
      <c r="J415" s="343"/>
      <c r="K415" s="70" t="s">
        <v>585</v>
      </c>
      <c r="L415" s="346"/>
      <c r="M415" s="346" t="s">
        <v>1140</v>
      </c>
      <c r="N415" s="346"/>
      <c r="O415" s="150" t="s">
        <v>57</v>
      </c>
      <c r="P415" s="150"/>
      <c r="Q415" s="403"/>
      <c r="R415" s="406">
        <v>0</v>
      </c>
      <c r="S415" s="406">
        <v>31176.729999999992</v>
      </c>
      <c r="T415" s="430"/>
      <c r="U415" s="137"/>
      <c r="V415" s="426"/>
      <c r="W415" s="427"/>
      <c r="X415" s="427">
        <v>5547.34</v>
      </c>
      <c r="Y415" s="428">
        <v>0</v>
      </c>
      <c r="Z415" s="429">
        <v>112.07</v>
      </c>
      <c r="AA415" s="429">
        <v>112.07</v>
      </c>
      <c r="AB415" s="360">
        <v>2847.71</v>
      </c>
      <c r="AC415" s="360">
        <v>2847.71</v>
      </c>
      <c r="AD415" s="360">
        <v>2847.71</v>
      </c>
      <c r="AE415" s="360">
        <v>2847.71</v>
      </c>
      <c r="AF415" s="360">
        <v>2847.71</v>
      </c>
      <c r="AG415" s="360">
        <v>2847.71</v>
      </c>
      <c r="AH415" s="360">
        <f t="shared" si="23"/>
        <v>22857.739999999994</v>
      </c>
      <c r="AI415" s="362">
        <f>ERP_5[[#This Row],[2026 Working Total]]-ERP_5[[#This Row],[LE2 Final Submission]]</f>
        <v>-8318.989999999998</v>
      </c>
      <c r="AJ415" s="79">
        <v>2847.71</v>
      </c>
      <c r="AK415" s="79">
        <f t="shared" si="22"/>
        <v>-2735.64</v>
      </c>
      <c r="AL415" s="374">
        <f>SUM(ERP_5[[#This Row],[AP01]:[AP06]])-SUM(ERP_5[[#This Row],[AP01 LE2]:[AP06 LE2]])</f>
        <v>-8318.989999999998</v>
      </c>
      <c r="AM415" s="80"/>
      <c r="AN415" s="79">
        <f>ERP_5[[#This Row],[2026 Working Total to Budget/LE]]-ERP_5[[#This Row],[Giveback]]</f>
        <v>-8318.989999999998</v>
      </c>
      <c r="AO415" s="81"/>
      <c r="AP415" s="375"/>
      <c r="AQ415" s="375"/>
      <c r="AR415" s="375">
        <v>5547.34</v>
      </c>
      <c r="AS415" s="375">
        <v>2847.71</v>
      </c>
      <c r="AT415" s="375">
        <v>2847.71</v>
      </c>
      <c r="AU415" s="375">
        <v>2847.71</v>
      </c>
      <c r="AV415" s="375">
        <v>2847.71</v>
      </c>
      <c r="AW415" s="375">
        <v>2847.71</v>
      </c>
      <c r="AX415" s="375">
        <v>2847.71</v>
      </c>
      <c r="AY415" s="375">
        <v>2847.71</v>
      </c>
      <c r="AZ415" s="375">
        <v>2847.71</v>
      </c>
      <c r="BA415" s="375">
        <v>2847.71</v>
      </c>
      <c r="BB415" s="375">
        <v>31176.729999999992</v>
      </c>
      <c r="BC415" s="79"/>
      <c r="BD415" s="79"/>
      <c r="BE415" s="79">
        <v>5547.34</v>
      </c>
      <c r="BF415" s="79">
        <v>0</v>
      </c>
      <c r="BG415" s="79">
        <v>0</v>
      </c>
      <c r="BH415" s="79">
        <v>0</v>
      </c>
      <c r="BI415" s="79">
        <v>0</v>
      </c>
      <c r="BJ415" s="79">
        <v>0</v>
      </c>
      <c r="BK415" s="79">
        <v>0</v>
      </c>
      <c r="BL415" s="79">
        <v>0</v>
      </c>
      <c r="BM415" s="79">
        <v>0</v>
      </c>
      <c r="BN415" s="79">
        <v>0</v>
      </c>
      <c r="BO415" s="79">
        <v>5547.34</v>
      </c>
    </row>
    <row r="416" spans="1:67" ht="15" customHeight="1">
      <c r="A416" s="66" t="s">
        <v>2300</v>
      </c>
      <c r="B416" s="66" t="s">
        <v>2301</v>
      </c>
      <c r="C416" s="150" t="s">
        <v>1136</v>
      </c>
      <c r="D416" s="150" t="s">
        <v>1345</v>
      </c>
      <c r="E416" s="150" t="s">
        <v>1346</v>
      </c>
      <c r="F416" s="150" t="s">
        <v>1346</v>
      </c>
      <c r="G416" s="511" t="s">
        <v>639</v>
      </c>
      <c r="H416" s="392" t="s">
        <v>1942</v>
      </c>
      <c r="I416" s="343"/>
      <c r="J416" s="343"/>
      <c r="K416" s="70" t="s">
        <v>585</v>
      </c>
      <c r="L416" s="346"/>
      <c r="M416" s="346" t="s">
        <v>1140</v>
      </c>
      <c r="N416" s="346"/>
      <c r="O416" s="150" t="s">
        <v>57</v>
      </c>
      <c r="P416" s="150"/>
      <c r="Q416" s="403"/>
      <c r="R416" s="406">
        <v>0</v>
      </c>
      <c r="S416" s="406">
        <v>1537.03</v>
      </c>
      <c r="T416" s="425"/>
      <c r="U416" s="71"/>
      <c r="V416" s="426"/>
      <c r="W416" s="427"/>
      <c r="X416" s="427">
        <v>279.45999999999998</v>
      </c>
      <c r="Y416" s="428">
        <v>139.72999999999999</v>
      </c>
      <c r="Z416" s="429">
        <v>139.72999999999999</v>
      </c>
      <c r="AA416" s="429">
        <v>139.72999999999999</v>
      </c>
      <c r="AB416" s="360">
        <v>139.72999999999999</v>
      </c>
      <c r="AC416" s="360">
        <v>139.72999999999999</v>
      </c>
      <c r="AD416" s="360">
        <v>139.72999999999999</v>
      </c>
      <c r="AE416" s="360">
        <v>139.72999999999999</v>
      </c>
      <c r="AF416" s="360">
        <v>139.72999999999999</v>
      </c>
      <c r="AG416" s="360">
        <v>139.72999999999999</v>
      </c>
      <c r="AH416" s="360">
        <f t="shared" si="23"/>
        <v>1537.03</v>
      </c>
      <c r="AI416" s="362">
        <f>ERP_5[[#This Row],[2026 Working Total]]-ERP_5[[#This Row],[LE2 Final Submission]]</f>
        <v>0</v>
      </c>
      <c r="AJ416" s="79">
        <v>139.72999999999999</v>
      </c>
      <c r="AK416" s="79">
        <f t="shared" si="22"/>
        <v>0</v>
      </c>
      <c r="AL416" s="374">
        <f>SUM(ERP_5[[#This Row],[AP01]:[AP06]])-SUM(ERP_5[[#This Row],[AP01 LE2]:[AP06 LE2]])</f>
        <v>0</v>
      </c>
      <c r="AM416" s="80"/>
      <c r="AN416" s="79">
        <f>ERP_5[[#This Row],[2026 Working Total to Budget/LE]]-ERP_5[[#This Row],[Giveback]]</f>
        <v>0</v>
      </c>
      <c r="AO416" s="81"/>
      <c r="AP416" s="375"/>
      <c r="AQ416" s="375"/>
      <c r="AR416" s="375">
        <v>279.45999999999998</v>
      </c>
      <c r="AS416" s="375">
        <v>139.72999999999999</v>
      </c>
      <c r="AT416" s="375">
        <v>139.72999999999999</v>
      </c>
      <c r="AU416" s="375">
        <v>139.72999999999999</v>
      </c>
      <c r="AV416" s="375">
        <v>139.72999999999999</v>
      </c>
      <c r="AW416" s="375">
        <v>139.72999999999999</v>
      </c>
      <c r="AX416" s="375">
        <v>139.72999999999999</v>
      </c>
      <c r="AY416" s="375">
        <v>139.72999999999999</v>
      </c>
      <c r="AZ416" s="375">
        <v>139.72999999999999</v>
      </c>
      <c r="BA416" s="375">
        <v>139.72999999999999</v>
      </c>
      <c r="BB416" s="375">
        <v>1537.03</v>
      </c>
      <c r="BC416" s="79"/>
      <c r="BD416" s="79"/>
      <c r="BE416" s="79">
        <v>279.45999999999998</v>
      </c>
      <c r="BF416" s="79">
        <v>0</v>
      </c>
      <c r="BG416" s="79">
        <v>0</v>
      </c>
      <c r="BH416" s="79">
        <v>0</v>
      </c>
      <c r="BI416" s="79">
        <v>0</v>
      </c>
      <c r="BJ416" s="79">
        <v>0</v>
      </c>
      <c r="BK416" s="79">
        <v>0</v>
      </c>
      <c r="BL416" s="79">
        <v>0</v>
      </c>
      <c r="BM416" s="79">
        <v>0</v>
      </c>
      <c r="BN416" s="79">
        <v>0</v>
      </c>
      <c r="BO416" s="79">
        <v>279.45999999999998</v>
      </c>
    </row>
    <row r="417" spans="1:67" ht="15" customHeight="1">
      <c r="A417" s="66" t="s">
        <v>1933</v>
      </c>
      <c r="B417" s="66" t="s">
        <v>1934</v>
      </c>
      <c r="C417" s="150" t="s">
        <v>1136</v>
      </c>
      <c r="D417" s="150" t="s">
        <v>1135</v>
      </c>
      <c r="E417" s="150" t="s">
        <v>1165</v>
      </c>
      <c r="F417" s="150" t="s">
        <v>1137</v>
      </c>
      <c r="G417" s="511" t="s">
        <v>389</v>
      </c>
      <c r="H417" s="392" t="s">
        <v>1935</v>
      </c>
      <c r="I417" s="343"/>
      <c r="J417" s="343"/>
      <c r="K417" s="70" t="s">
        <v>477</v>
      </c>
      <c r="L417" s="346"/>
      <c r="M417" s="343"/>
      <c r="N417" s="346"/>
      <c r="O417" s="150" t="s">
        <v>478</v>
      </c>
      <c r="P417" s="150"/>
      <c r="Q417" s="403"/>
      <c r="R417" s="406">
        <v>36000</v>
      </c>
      <c r="S417" s="406">
        <v>36000.300000000003</v>
      </c>
      <c r="T417" s="425"/>
      <c r="U417" s="71"/>
      <c r="V417" s="426"/>
      <c r="W417" s="427">
        <v>5999.76</v>
      </c>
      <c r="X417" s="427">
        <v>2703.54</v>
      </c>
      <c r="Y417" s="428">
        <v>2769.23</v>
      </c>
      <c r="Z417" s="429">
        <v>3527.23</v>
      </c>
      <c r="AA417" s="429">
        <v>2703.54</v>
      </c>
      <c r="AB417" s="363">
        <v>3000</v>
      </c>
      <c r="AC417" s="363">
        <v>3000</v>
      </c>
      <c r="AD417" s="363">
        <v>3000</v>
      </c>
      <c r="AE417" s="363">
        <v>3000</v>
      </c>
      <c r="AF417" s="363">
        <v>3000</v>
      </c>
      <c r="AG417" s="363">
        <v>3000</v>
      </c>
      <c r="AH417" s="360">
        <f t="shared" si="23"/>
        <v>35703.300000000003</v>
      </c>
      <c r="AI417" s="362">
        <f>ERP_5[[#This Row],[2026 Working Total]]-ERP_5[[#This Row],[LE2 Final Submission]]</f>
        <v>-297</v>
      </c>
      <c r="AJ417" s="79">
        <v>3000</v>
      </c>
      <c r="AK417" s="79">
        <f t="shared" si="22"/>
        <v>-296.46000000000004</v>
      </c>
      <c r="AL417" s="374">
        <f>SUM(ERP_5[[#This Row],[AP01]:[AP06]])-SUM(ERP_5[[#This Row],[AP01 LE2]:[AP06 LE2]])</f>
        <v>-297</v>
      </c>
      <c r="AM417" s="80"/>
      <c r="AN417" s="79">
        <f>ERP_5[[#This Row],[2026 Working Total to Budget/LE]]-ERP_5[[#This Row],[Giveback]]</f>
        <v>-297</v>
      </c>
      <c r="AO417" s="81"/>
      <c r="AP417" s="375"/>
      <c r="AQ417" s="375">
        <v>5999.76</v>
      </c>
      <c r="AR417" s="375">
        <v>2703.54</v>
      </c>
      <c r="AS417" s="375">
        <v>3297</v>
      </c>
      <c r="AT417" s="375">
        <v>3000</v>
      </c>
      <c r="AU417" s="375">
        <v>3000</v>
      </c>
      <c r="AV417" s="375">
        <v>3000</v>
      </c>
      <c r="AW417" s="375">
        <v>3000</v>
      </c>
      <c r="AX417" s="375">
        <v>3000</v>
      </c>
      <c r="AY417" s="375">
        <v>3000</v>
      </c>
      <c r="AZ417" s="375">
        <v>3000</v>
      </c>
      <c r="BA417" s="375">
        <v>3000</v>
      </c>
      <c r="BB417" s="375">
        <v>36000.300000000003</v>
      </c>
      <c r="BC417" s="79"/>
      <c r="BD417" s="79">
        <v>5999.76</v>
      </c>
      <c r="BE417" s="79">
        <v>2703.54</v>
      </c>
      <c r="BF417" s="79">
        <v>3000</v>
      </c>
      <c r="BG417" s="79">
        <v>3000</v>
      </c>
      <c r="BH417" s="79">
        <v>3000</v>
      </c>
      <c r="BI417" s="79">
        <v>3000</v>
      </c>
      <c r="BJ417" s="79">
        <v>3000</v>
      </c>
      <c r="BK417" s="79">
        <v>3000</v>
      </c>
      <c r="BL417" s="79">
        <v>3000</v>
      </c>
      <c r="BM417" s="79">
        <v>3000</v>
      </c>
      <c r="BN417" s="79">
        <v>3000</v>
      </c>
      <c r="BO417" s="79">
        <v>35703.300000000003</v>
      </c>
    </row>
    <row r="418" spans="1:67" ht="15" customHeight="1">
      <c r="A418" s="66" t="s">
        <v>2027</v>
      </c>
      <c r="B418" s="66" t="s">
        <v>2028</v>
      </c>
      <c r="C418" s="150" t="s">
        <v>1136</v>
      </c>
      <c r="D418" s="150" t="s">
        <v>1345</v>
      </c>
      <c r="E418" s="150" t="s">
        <v>1437</v>
      </c>
      <c r="F418" s="150" t="s">
        <v>1346</v>
      </c>
      <c r="G418" s="511" t="s">
        <v>389</v>
      </c>
      <c r="H418" s="392" t="s">
        <v>2029</v>
      </c>
      <c r="I418" s="343"/>
      <c r="J418" s="343"/>
      <c r="K418" s="70" t="s">
        <v>535</v>
      </c>
      <c r="L418" s="346"/>
      <c r="M418" s="343"/>
      <c r="N418" s="346"/>
      <c r="O418" s="150" t="s">
        <v>57</v>
      </c>
      <c r="P418" s="150"/>
      <c r="Q418" s="403"/>
      <c r="R418" s="406">
        <v>0</v>
      </c>
      <c r="S418" s="406">
        <v>5998.6900000000005</v>
      </c>
      <c r="T418" s="425"/>
      <c r="U418" s="71"/>
      <c r="V418" s="426"/>
      <c r="W418" s="427"/>
      <c r="X418" s="427">
        <v>1048.69</v>
      </c>
      <c r="Y418" s="428">
        <v>0</v>
      </c>
      <c r="Z418" s="429">
        <v>0</v>
      </c>
      <c r="AA418" s="429">
        <v>0</v>
      </c>
      <c r="AB418" s="363">
        <v>550</v>
      </c>
      <c r="AC418" s="363">
        <v>550</v>
      </c>
      <c r="AD418" s="363">
        <v>550</v>
      </c>
      <c r="AE418" s="363">
        <v>550</v>
      </c>
      <c r="AF418" s="363">
        <v>550</v>
      </c>
      <c r="AG418" s="363">
        <v>550</v>
      </c>
      <c r="AH418" s="360">
        <f t="shared" si="23"/>
        <v>4348.6900000000005</v>
      </c>
      <c r="AI418" s="362">
        <f>ERP_5[[#This Row],[2026 Working Total]]-ERP_5[[#This Row],[LE2 Final Submission]]</f>
        <v>-1650</v>
      </c>
      <c r="AJ418" s="79">
        <v>550</v>
      </c>
      <c r="AK418" s="79">
        <f t="shared" si="22"/>
        <v>-550</v>
      </c>
      <c r="AL418" s="374">
        <f>SUM(ERP_5[[#This Row],[AP01]:[AP06]])-SUM(ERP_5[[#This Row],[AP01 LE2]:[AP06 LE2]])</f>
        <v>-1650</v>
      </c>
      <c r="AM418" s="80"/>
      <c r="AN418" s="79">
        <f>ERP_5[[#This Row],[2026 Working Total to Budget/LE]]-ERP_5[[#This Row],[Giveback]]</f>
        <v>-1650</v>
      </c>
      <c r="AO418" s="81"/>
      <c r="AP418" s="375"/>
      <c r="AQ418" s="375"/>
      <c r="AR418" s="375">
        <v>1048.69</v>
      </c>
      <c r="AS418" s="375">
        <v>550</v>
      </c>
      <c r="AT418" s="375">
        <v>550</v>
      </c>
      <c r="AU418" s="375">
        <v>550</v>
      </c>
      <c r="AV418" s="375">
        <v>550</v>
      </c>
      <c r="AW418" s="375">
        <v>550</v>
      </c>
      <c r="AX418" s="375">
        <v>550</v>
      </c>
      <c r="AY418" s="375">
        <v>550</v>
      </c>
      <c r="AZ418" s="375">
        <v>550</v>
      </c>
      <c r="BA418" s="375">
        <v>550</v>
      </c>
      <c r="BB418" s="375">
        <v>5998.6900000000005</v>
      </c>
      <c r="BC418" s="79"/>
      <c r="BD418" s="79"/>
      <c r="BE418" s="79">
        <v>1048.69</v>
      </c>
      <c r="BF418" s="79">
        <v>550</v>
      </c>
      <c r="BG418" s="79">
        <v>550</v>
      </c>
      <c r="BH418" s="79">
        <v>550</v>
      </c>
      <c r="BI418" s="79">
        <v>550</v>
      </c>
      <c r="BJ418" s="79">
        <v>550</v>
      </c>
      <c r="BK418" s="79">
        <v>550</v>
      </c>
      <c r="BL418" s="79">
        <v>550</v>
      </c>
      <c r="BM418" s="79">
        <v>550</v>
      </c>
      <c r="BN418" s="79">
        <v>550</v>
      </c>
      <c r="BO418" s="79">
        <v>5998.6900000000005</v>
      </c>
    </row>
    <row r="419" spans="1:67" ht="15" customHeight="1">
      <c r="A419" s="66" t="s">
        <v>2163</v>
      </c>
      <c r="B419" s="66" t="s">
        <v>2164</v>
      </c>
      <c r="C419" s="150" t="s">
        <v>1136</v>
      </c>
      <c r="D419" s="150" t="s">
        <v>1345</v>
      </c>
      <c r="E419" s="150" t="s">
        <v>1481</v>
      </c>
      <c r="F419" s="150" t="s">
        <v>1346</v>
      </c>
      <c r="G419" s="511" t="s">
        <v>602</v>
      </c>
      <c r="H419" s="392" t="s">
        <v>2165</v>
      </c>
      <c r="I419" s="343"/>
      <c r="J419" s="343"/>
      <c r="K419" s="70" t="s">
        <v>615</v>
      </c>
      <c r="L419" s="346"/>
      <c r="M419" s="343"/>
      <c r="N419" s="346"/>
      <c r="O419" s="150" t="s">
        <v>25</v>
      </c>
      <c r="P419" s="184" t="s">
        <v>2166</v>
      </c>
      <c r="Q419" s="403"/>
      <c r="R419" s="406">
        <v>80000</v>
      </c>
      <c r="S419" s="406">
        <v>40000</v>
      </c>
      <c r="T419" s="425"/>
      <c r="U419" s="71"/>
      <c r="V419" s="426"/>
      <c r="W419" s="427"/>
      <c r="X419" s="427"/>
      <c r="Y419" s="428" t="s">
        <v>1142</v>
      </c>
      <c r="Z419" s="429">
        <v>0</v>
      </c>
      <c r="AA419" s="429">
        <v>0</v>
      </c>
      <c r="AB419" s="360">
        <v>0</v>
      </c>
      <c r="AC419" s="363">
        <v>10000</v>
      </c>
      <c r="AD419" s="360">
        <v>10000</v>
      </c>
      <c r="AE419" s="360">
        <v>10000</v>
      </c>
      <c r="AF419" s="360">
        <v>10000</v>
      </c>
      <c r="AG419" s="360">
        <v>0</v>
      </c>
      <c r="AH419" s="360">
        <f t="shared" si="23"/>
        <v>40000</v>
      </c>
      <c r="AI419" s="362">
        <f>ERP_5[[#This Row],[2026 Working Total]]-ERP_5[[#This Row],[LE2 Final Submission]]</f>
        <v>0</v>
      </c>
      <c r="AJ419" s="79">
        <v>0</v>
      </c>
      <c r="AK419" s="79">
        <f t="shared" si="22"/>
        <v>0</v>
      </c>
      <c r="AL419" s="374">
        <f>SUM(ERP_5[[#This Row],[AP01]:[AP06]])-SUM(ERP_5[[#This Row],[AP01 LE2]:[AP06 LE2]])</f>
        <v>0</v>
      </c>
      <c r="AM419" s="80"/>
      <c r="AN419" s="79">
        <f>ERP_5[[#This Row],[2026 Working Total to Budget/LE]]-ERP_5[[#This Row],[Giveback]]</f>
        <v>0</v>
      </c>
      <c r="AO419" s="81"/>
      <c r="AP419" s="375"/>
      <c r="AQ419" s="375"/>
      <c r="AR419" s="375"/>
      <c r="AS419" s="375">
        <v>0</v>
      </c>
      <c r="AT419" s="375">
        <v>0</v>
      </c>
      <c r="AU419" s="375">
        <v>0</v>
      </c>
      <c r="AV419" s="375">
        <v>0</v>
      </c>
      <c r="AW419" s="375">
        <v>10000</v>
      </c>
      <c r="AX419" s="375">
        <v>10000</v>
      </c>
      <c r="AY419" s="375">
        <v>10000</v>
      </c>
      <c r="AZ419" s="375">
        <v>10000</v>
      </c>
      <c r="BA419" s="375">
        <v>0</v>
      </c>
      <c r="BB419" s="375">
        <v>40000</v>
      </c>
      <c r="BC419" s="79"/>
      <c r="BD419" s="79"/>
      <c r="BE419" s="79"/>
      <c r="BF419" s="79">
        <v>20000</v>
      </c>
      <c r="BG419" s="79">
        <v>20000</v>
      </c>
      <c r="BH419" s="79">
        <v>20000</v>
      </c>
      <c r="BI419" s="79">
        <v>20000</v>
      </c>
      <c r="BJ419" s="79">
        <v>0</v>
      </c>
      <c r="BK419" s="79">
        <v>0</v>
      </c>
      <c r="BL419" s="79">
        <v>0</v>
      </c>
      <c r="BM419" s="79">
        <v>0</v>
      </c>
      <c r="BN419" s="79">
        <v>0</v>
      </c>
      <c r="BO419" s="79">
        <v>80000</v>
      </c>
    </row>
    <row r="420" spans="1:67" ht="15" customHeight="1">
      <c r="A420" s="66" t="s">
        <v>1472</v>
      </c>
      <c r="B420" s="66" t="s">
        <v>222</v>
      </c>
      <c r="C420" s="150" t="s">
        <v>1136</v>
      </c>
      <c r="D420" s="150" t="s">
        <v>1345</v>
      </c>
      <c r="E420" s="150" t="s">
        <v>1450</v>
      </c>
      <c r="F420" s="150" t="s">
        <v>1346</v>
      </c>
      <c r="G420" s="511" t="s">
        <v>49</v>
      </c>
      <c r="H420" s="392" t="s">
        <v>1473</v>
      </c>
      <c r="I420" s="343"/>
      <c r="J420" s="343"/>
      <c r="K420" s="345" t="s">
        <v>223</v>
      </c>
      <c r="L420" s="346"/>
      <c r="M420" s="343"/>
      <c r="N420" s="346"/>
      <c r="O420" s="150" t="s">
        <v>152</v>
      </c>
      <c r="P420" s="150"/>
      <c r="Q420" s="403"/>
      <c r="R420" s="406">
        <v>90000</v>
      </c>
      <c r="S420" s="406">
        <v>90000</v>
      </c>
      <c r="T420" s="425"/>
      <c r="U420" s="71"/>
      <c r="V420" s="426"/>
      <c r="W420" s="427"/>
      <c r="X420" s="427"/>
      <c r="Y420" s="428" t="s">
        <v>1142</v>
      </c>
      <c r="Z420" s="429">
        <v>0</v>
      </c>
      <c r="AA420" s="429">
        <v>82121</v>
      </c>
      <c r="AB420" s="363"/>
      <c r="AC420" s="363">
        <v>0</v>
      </c>
      <c r="AD420" s="363">
        <v>0</v>
      </c>
      <c r="AE420" s="363">
        <v>0</v>
      </c>
      <c r="AF420" s="363">
        <v>0</v>
      </c>
      <c r="AG420" s="363">
        <v>7879</v>
      </c>
      <c r="AH420" s="360">
        <f t="shared" si="23"/>
        <v>90000</v>
      </c>
      <c r="AI420" s="362">
        <f>ERP_5[[#This Row],[2026 Working Total]]-ERP_5[[#This Row],[LE2 Final Submission]]</f>
        <v>0</v>
      </c>
      <c r="AJ420" s="79">
        <v>82000</v>
      </c>
      <c r="AK420" s="79">
        <f t="shared" si="22"/>
        <v>121</v>
      </c>
      <c r="AL420" s="374">
        <f>SUM(ERP_5[[#This Row],[AP01]:[AP06]])-SUM(ERP_5[[#This Row],[AP01 LE2]:[AP06 LE2]])</f>
        <v>121</v>
      </c>
      <c r="AM420" s="80"/>
      <c r="AN420" s="79">
        <f>ERP_5[[#This Row],[2026 Working Total to Budget/LE]]-ERP_5[[#This Row],[Giveback]]</f>
        <v>0</v>
      </c>
      <c r="AO420" s="81"/>
      <c r="AP420" s="375"/>
      <c r="AQ420" s="375"/>
      <c r="AR420" s="375"/>
      <c r="AS420" s="375">
        <v>0</v>
      </c>
      <c r="AT420" s="375">
        <v>82000</v>
      </c>
      <c r="AU420" s="375">
        <v>0</v>
      </c>
      <c r="AV420" s="375">
        <v>0</v>
      </c>
      <c r="AW420" s="375">
        <v>4000</v>
      </c>
      <c r="AX420" s="375">
        <v>4000</v>
      </c>
      <c r="AY420" s="375">
        <v>0</v>
      </c>
      <c r="AZ420" s="375">
        <v>0</v>
      </c>
      <c r="BA420" s="375">
        <v>0</v>
      </c>
      <c r="BB420" s="375">
        <v>90000</v>
      </c>
      <c r="BC420" s="79"/>
      <c r="BD420" s="79"/>
      <c r="BE420" s="79"/>
      <c r="BF420" s="79">
        <v>8000</v>
      </c>
      <c r="BG420" s="79">
        <v>8000</v>
      </c>
      <c r="BH420" s="79">
        <v>8000</v>
      </c>
      <c r="BI420" s="79">
        <v>8000</v>
      </c>
      <c r="BJ420" s="79">
        <v>10000</v>
      </c>
      <c r="BK420" s="79">
        <v>10000</v>
      </c>
      <c r="BL420" s="79">
        <v>10000</v>
      </c>
      <c r="BM420" s="79">
        <v>10000</v>
      </c>
      <c r="BN420" s="79">
        <v>10000</v>
      </c>
      <c r="BO420" s="79">
        <v>82000</v>
      </c>
    </row>
    <row r="421" spans="1:67" ht="15" customHeight="1">
      <c r="A421" s="66" t="s">
        <v>1474</v>
      </c>
      <c r="B421" s="66" t="s">
        <v>224</v>
      </c>
      <c r="C421" s="150" t="s">
        <v>1136</v>
      </c>
      <c r="D421" s="150" t="s">
        <v>1345</v>
      </c>
      <c r="E421" s="150" t="s">
        <v>1450</v>
      </c>
      <c r="F421" s="150" t="s">
        <v>1346</v>
      </c>
      <c r="G421" s="511" t="s">
        <v>49</v>
      </c>
      <c r="H421" s="392" t="s">
        <v>1475</v>
      </c>
      <c r="I421" s="343"/>
      <c r="J421" s="343"/>
      <c r="K421" s="70" t="s">
        <v>225</v>
      </c>
      <c r="L421" s="346"/>
      <c r="M421" s="343"/>
      <c r="N421" s="346"/>
      <c r="O421" s="150" t="s">
        <v>25</v>
      </c>
      <c r="P421" s="150"/>
      <c r="Q421" s="403"/>
      <c r="R421" s="406">
        <v>0</v>
      </c>
      <c r="S421" s="406">
        <v>70950</v>
      </c>
      <c r="T421" s="430"/>
      <c r="U421" s="137"/>
      <c r="V421" s="426"/>
      <c r="W421" s="427"/>
      <c r="X421" s="427">
        <v>70950</v>
      </c>
      <c r="Y421" s="428">
        <v>0</v>
      </c>
      <c r="Z421" s="429">
        <v>0</v>
      </c>
      <c r="AA421" s="429">
        <v>0</v>
      </c>
      <c r="AB421" s="360">
        <v>0</v>
      </c>
      <c r="AC421" s="360">
        <v>0</v>
      </c>
      <c r="AD421" s="360">
        <v>0</v>
      </c>
      <c r="AE421" s="360">
        <v>0</v>
      </c>
      <c r="AF421" s="360">
        <v>0</v>
      </c>
      <c r="AG421" s="360">
        <v>0</v>
      </c>
      <c r="AH421" s="360">
        <f t="shared" si="23"/>
        <v>70950</v>
      </c>
      <c r="AI421" s="362">
        <f>ERP_5[[#This Row],[2026 Working Total]]-ERP_5[[#This Row],[LE2 Final Submission]]</f>
        <v>0</v>
      </c>
      <c r="AJ421" s="79">
        <v>0</v>
      </c>
      <c r="AK421" s="79">
        <f t="shared" si="22"/>
        <v>0</v>
      </c>
      <c r="AL421" s="374">
        <f>SUM(ERP_5[[#This Row],[AP01]:[AP06]])-SUM(ERP_5[[#This Row],[AP01 LE2]:[AP06 LE2]])</f>
        <v>0</v>
      </c>
      <c r="AM421" s="80"/>
      <c r="AN421" s="79">
        <f>ERP_5[[#This Row],[2026 Working Total to Budget/LE]]-ERP_5[[#This Row],[Giveback]]</f>
        <v>0</v>
      </c>
      <c r="AO421" s="81"/>
      <c r="AP421" s="375"/>
      <c r="AQ421" s="375"/>
      <c r="AR421" s="375">
        <v>70950</v>
      </c>
      <c r="AS421" s="375">
        <v>0</v>
      </c>
      <c r="AT421" s="375">
        <v>0</v>
      </c>
      <c r="AU421" s="375">
        <v>0</v>
      </c>
      <c r="AV421" s="375">
        <v>0</v>
      </c>
      <c r="AW421" s="375">
        <v>0</v>
      </c>
      <c r="AX421" s="375">
        <v>0</v>
      </c>
      <c r="AY421" s="375">
        <v>0</v>
      </c>
      <c r="AZ421" s="375">
        <v>0</v>
      </c>
      <c r="BA421" s="375">
        <v>0</v>
      </c>
      <c r="BB421" s="375">
        <v>70950</v>
      </c>
      <c r="BC421" s="79"/>
      <c r="BD421" s="79"/>
      <c r="BE421" s="79">
        <v>70950</v>
      </c>
      <c r="BF421" s="79">
        <v>0</v>
      </c>
      <c r="BG421" s="79">
        <v>0</v>
      </c>
      <c r="BH421" s="79">
        <v>0</v>
      </c>
      <c r="BI421" s="79">
        <v>0</v>
      </c>
      <c r="BJ421" s="79">
        <v>0</v>
      </c>
      <c r="BK421" s="79">
        <v>0</v>
      </c>
      <c r="BL421" s="79">
        <v>0</v>
      </c>
      <c r="BM421" s="79">
        <v>0</v>
      </c>
      <c r="BN421" s="79">
        <v>0</v>
      </c>
      <c r="BO421" s="79">
        <v>70950</v>
      </c>
    </row>
    <row r="422" spans="1:67" ht="15" customHeight="1">
      <c r="A422" s="66" t="s">
        <v>1412</v>
      </c>
      <c r="B422" s="66" t="s">
        <v>1413</v>
      </c>
      <c r="C422" s="150" t="s">
        <v>1136</v>
      </c>
      <c r="D422" s="150" t="s">
        <v>1345</v>
      </c>
      <c r="E422" s="150" t="s">
        <v>1346</v>
      </c>
      <c r="F422" s="150" t="s">
        <v>1346</v>
      </c>
      <c r="G422" s="511" t="s">
        <v>49</v>
      </c>
      <c r="H422" s="392" t="s">
        <v>1414</v>
      </c>
      <c r="I422" s="343"/>
      <c r="J422" s="346" t="s">
        <v>1415</v>
      </c>
      <c r="K422" s="70" t="s">
        <v>314</v>
      </c>
      <c r="L422" s="346"/>
      <c r="M422" s="346" t="s">
        <v>1416</v>
      </c>
      <c r="N422" s="346"/>
      <c r="O422" s="150" t="s">
        <v>25</v>
      </c>
      <c r="P422" s="150"/>
      <c r="Q422" s="403"/>
      <c r="R422" s="406">
        <v>0</v>
      </c>
      <c r="S422" s="406">
        <v>0.33000000000174623</v>
      </c>
      <c r="T422" s="425"/>
      <c r="U422" s="71"/>
      <c r="V422" s="426"/>
      <c r="W422" s="427">
        <v>63054.92</v>
      </c>
      <c r="X422" s="427">
        <v>-63054.59</v>
      </c>
      <c r="Y422" s="428">
        <v>0</v>
      </c>
      <c r="Z422" s="429">
        <v>0</v>
      </c>
      <c r="AA422" s="429">
        <v>0</v>
      </c>
      <c r="AB422" s="360">
        <v>0</v>
      </c>
      <c r="AC422" s="360">
        <v>0</v>
      </c>
      <c r="AD422" s="360">
        <v>0</v>
      </c>
      <c r="AE422" s="360">
        <v>0</v>
      </c>
      <c r="AF422" s="360">
        <v>0</v>
      </c>
      <c r="AG422" s="360">
        <v>0</v>
      </c>
      <c r="AH422" s="360">
        <f t="shared" si="23"/>
        <v>0.33000000000174623</v>
      </c>
      <c r="AI422" s="362">
        <f>ERP_5[[#This Row],[2026 Working Total]]-ERP_5[[#This Row],[LE2 Final Submission]]</f>
        <v>0</v>
      </c>
      <c r="AJ422" s="79">
        <v>0</v>
      </c>
      <c r="AK422" s="79">
        <f t="shared" si="22"/>
        <v>0</v>
      </c>
      <c r="AL422" s="374">
        <f>SUM(ERP_5[[#This Row],[AP01]:[AP06]])-SUM(ERP_5[[#This Row],[AP01 LE2]:[AP06 LE2]])</f>
        <v>0</v>
      </c>
      <c r="AM422" s="80"/>
      <c r="AN422" s="79">
        <f>ERP_5[[#This Row],[2026 Working Total to Budget/LE]]-ERP_5[[#This Row],[Giveback]]</f>
        <v>0</v>
      </c>
      <c r="AO422" s="81"/>
      <c r="AP422" s="375"/>
      <c r="AQ422" s="375">
        <v>63054.92</v>
      </c>
      <c r="AR422" s="375">
        <v>-63054.59</v>
      </c>
      <c r="AS422" s="375">
        <v>0</v>
      </c>
      <c r="AT422" s="375">
        <v>0</v>
      </c>
      <c r="AU422" s="375">
        <v>0</v>
      </c>
      <c r="AV422" s="375">
        <v>0</v>
      </c>
      <c r="AW422" s="375">
        <v>0</v>
      </c>
      <c r="AX422" s="375">
        <v>0</v>
      </c>
      <c r="AY422" s="375">
        <v>0</v>
      </c>
      <c r="AZ422" s="375">
        <v>0</v>
      </c>
      <c r="BA422" s="375">
        <v>0</v>
      </c>
      <c r="BB422" s="375">
        <v>0.33000000000174623</v>
      </c>
      <c r="BC422" s="79"/>
      <c r="BD422" s="79">
        <v>63054.92</v>
      </c>
      <c r="BE422" s="79">
        <v>-63054.59</v>
      </c>
      <c r="BF422" s="79">
        <v>0</v>
      </c>
      <c r="BG422" s="79">
        <v>0</v>
      </c>
      <c r="BH422" s="79">
        <v>0</v>
      </c>
      <c r="BI422" s="79">
        <v>0</v>
      </c>
      <c r="BJ422" s="79">
        <v>0</v>
      </c>
      <c r="BK422" s="79">
        <v>0</v>
      </c>
      <c r="BL422" s="79">
        <v>0</v>
      </c>
      <c r="BM422" s="79">
        <v>0</v>
      </c>
      <c r="BN422" s="79">
        <v>0</v>
      </c>
      <c r="BO422" s="79">
        <v>0.33000000000174623</v>
      </c>
    </row>
    <row r="423" spans="1:67" ht="15" customHeight="1">
      <c r="A423" s="66" t="s">
        <v>1418</v>
      </c>
      <c r="B423" s="66" t="s">
        <v>1419</v>
      </c>
      <c r="C423" s="150" t="s">
        <v>1136</v>
      </c>
      <c r="D423" s="150" t="s">
        <v>1345</v>
      </c>
      <c r="E423" s="150" t="s">
        <v>1346</v>
      </c>
      <c r="F423" s="150" t="s">
        <v>1346</v>
      </c>
      <c r="G423" s="511" t="s">
        <v>49</v>
      </c>
      <c r="H423" s="392" t="s">
        <v>1420</v>
      </c>
      <c r="I423" s="343"/>
      <c r="J423" s="346" t="s">
        <v>1415</v>
      </c>
      <c r="K423" s="70" t="s">
        <v>316</v>
      </c>
      <c r="L423" s="346"/>
      <c r="M423" s="346" t="s">
        <v>1421</v>
      </c>
      <c r="N423" s="346"/>
      <c r="O423" s="150" t="s">
        <v>25</v>
      </c>
      <c r="P423" s="150"/>
      <c r="Q423" s="404"/>
      <c r="R423" s="407">
        <v>0</v>
      </c>
      <c r="S423" s="407">
        <v>0</v>
      </c>
      <c r="T423" s="430"/>
      <c r="U423" s="137"/>
      <c r="V423" s="426"/>
      <c r="W423" s="427">
        <v>89550.8</v>
      </c>
      <c r="X423" s="427">
        <v>-89550.8</v>
      </c>
      <c r="Y423" s="428">
        <v>0</v>
      </c>
      <c r="Z423" s="429">
        <v>0</v>
      </c>
      <c r="AA423" s="429">
        <v>0</v>
      </c>
      <c r="AB423" s="363"/>
      <c r="AC423" s="363"/>
      <c r="AD423" s="363"/>
      <c r="AE423" s="363"/>
      <c r="AF423" s="363"/>
      <c r="AG423" s="363"/>
      <c r="AH423" s="360">
        <f t="shared" si="23"/>
        <v>0</v>
      </c>
      <c r="AI423" s="362">
        <f>ERP_5[[#This Row],[2026 Working Total]]-ERP_5[[#This Row],[LE2 Final Submission]]</f>
        <v>0</v>
      </c>
      <c r="AJ423" s="79"/>
      <c r="AK423" s="79">
        <f t="shared" si="22"/>
        <v>0</v>
      </c>
      <c r="AL423" s="374">
        <f>SUM(ERP_5[[#This Row],[AP01]:[AP06]])-SUM(ERP_5[[#This Row],[AP01 LE2]:[AP06 LE2]])</f>
        <v>0</v>
      </c>
      <c r="AM423" s="80"/>
      <c r="AN423" s="79">
        <f>ERP_5[[#This Row],[2026 Working Total to Budget/LE]]-ERP_5[[#This Row],[Giveback]]</f>
        <v>0</v>
      </c>
      <c r="AO423" s="81"/>
      <c r="AP423" s="375"/>
      <c r="AQ423" s="375">
        <v>89550.8</v>
      </c>
      <c r="AR423" s="375">
        <v>-89550.8</v>
      </c>
      <c r="AS423" s="375"/>
      <c r="AT423" s="375"/>
      <c r="AU423" s="375"/>
      <c r="AV423" s="375"/>
      <c r="AW423" s="375"/>
      <c r="AX423" s="375"/>
      <c r="AY423" s="375"/>
      <c r="AZ423" s="375"/>
      <c r="BA423" s="375"/>
      <c r="BB423" s="375">
        <v>0</v>
      </c>
      <c r="BC423" s="79"/>
      <c r="BD423" s="79">
        <v>89550.8</v>
      </c>
      <c r="BE423" s="79">
        <v>-89550.8</v>
      </c>
      <c r="BF423" s="79"/>
      <c r="BG423" s="79"/>
      <c r="BH423" s="79"/>
      <c r="BI423" s="79"/>
      <c r="BJ423" s="79"/>
      <c r="BK423" s="79"/>
      <c r="BL423" s="79"/>
      <c r="BM423" s="79"/>
      <c r="BN423" s="79"/>
      <c r="BO423" s="79">
        <v>0</v>
      </c>
    </row>
    <row r="424" spans="1:67" ht="15" customHeight="1">
      <c r="A424" s="66" t="s">
        <v>2854</v>
      </c>
      <c r="B424" s="66" t="s">
        <v>2855</v>
      </c>
      <c r="C424" s="150" t="s">
        <v>1136</v>
      </c>
      <c r="D424" s="150" t="s">
        <v>1345</v>
      </c>
      <c r="E424" s="150" t="s">
        <v>1346</v>
      </c>
      <c r="F424" s="150" t="s">
        <v>1346</v>
      </c>
      <c r="G424" s="511" t="s">
        <v>1037</v>
      </c>
      <c r="H424" s="392" t="s">
        <v>2856</v>
      </c>
      <c r="I424" s="343"/>
      <c r="J424" s="343"/>
      <c r="K424" s="70" t="s">
        <v>318</v>
      </c>
      <c r="L424" s="346"/>
      <c r="M424" s="343"/>
      <c r="N424" s="346"/>
      <c r="O424" s="150" t="s">
        <v>25</v>
      </c>
      <c r="P424" s="150"/>
      <c r="Q424" s="403"/>
      <c r="R424" s="406">
        <v>0</v>
      </c>
      <c r="S424" s="406">
        <v>1583.99</v>
      </c>
      <c r="T424" s="425"/>
      <c r="U424" s="71"/>
      <c r="V424" s="426"/>
      <c r="W424" s="427"/>
      <c r="X424" s="427">
        <v>1583.99</v>
      </c>
      <c r="Y424" s="428" t="s">
        <v>1142</v>
      </c>
      <c r="Z424" s="429">
        <v>0</v>
      </c>
      <c r="AA424" s="429">
        <v>0</v>
      </c>
      <c r="AB424" s="360">
        <v>0</v>
      </c>
      <c r="AC424" s="360">
        <v>0</v>
      </c>
      <c r="AD424" s="360">
        <v>0</v>
      </c>
      <c r="AE424" s="360">
        <v>0</v>
      </c>
      <c r="AF424" s="360">
        <v>0</v>
      </c>
      <c r="AG424" s="360">
        <v>0</v>
      </c>
      <c r="AH424" s="360">
        <f t="shared" si="23"/>
        <v>1583.99</v>
      </c>
      <c r="AI424" s="362">
        <f>ERP_5[[#This Row],[2026 Working Total]]-ERP_5[[#This Row],[LE2 Final Submission]]</f>
        <v>0</v>
      </c>
      <c r="AJ424" s="79">
        <v>0</v>
      </c>
      <c r="AK424" s="79">
        <f t="shared" si="22"/>
        <v>0</v>
      </c>
      <c r="AL424" s="374">
        <f>SUM(ERP_5[[#This Row],[AP01]:[AP06]])-SUM(ERP_5[[#This Row],[AP01 LE2]:[AP06 LE2]])</f>
        <v>0</v>
      </c>
      <c r="AM424" s="80"/>
      <c r="AN424" s="79">
        <f>ERP_5[[#This Row],[2026 Working Total to Budget/LE]]-ERP_5[[#This Row],[Giveback]]</f>
        <v>0</v>
      </c>
      <c r="AO424" s="81"/>
      <c r="AP424" s="375"/>
      <c r="AQ424" s="375"/>
      <c r="AR424" s="375">
        <v>1583.99</v>
      </c>
      <c r="AS424" s="375">
        <v>0</v>
      </c>
      <c r="AT424" s="375">
        <v>0</v>
      </c>
      <c r="AU424" s="375">
        <v>0</v>
      </c>
      <c r="AV424" s="375">
        <v>0</v>
      </c>
      <c r="AW424" s="375">
        <v>0</v>
      </c>
      <c r="AX424" s="375">
        <v>0</v>
      </c>
      <c r="AY424" s="375">
        <v>0</v>
      </c>
      <c r="AZ424" s="375">
        <v>0</v>
      </c>
      <c r="BA424" s="375">
        <v>0</v>
      </c>
      <c r="BB424" s="375">
        <v>1583.99</v>
      </c>
      <c r="BC424" s="79"/>
      <c r="BD424" s="79"/>
      <c r="BE424" s="79">
        <v>1583.99</v>
      </c>
      <c r="BF424" s="79">
        <v>0</v>
      </c>
      <c r="BG424" s="79">
        <v>0</v>
      </c>
      <c r="BH424" s="79">
        <v>0</v>
      </c>
      <c r="BI424" s="79">
        <v>0</v>
      </c>
      <c r="BJ424" s="79">
        <v>0</v>
      </c>
      <c r="BK424" s="79">
        <v>0</v>
      </c>
      <c r="BL424" s="79">
        <v>0</v>
      </c>
      <c r="BM424" s="79">
        <v>0</v>
      </c>
      <c r="BN424" s="79">
        <v>0</v>
      </c>
      <c r="BO424" s="79">
        <v>1583.99</v>
      </c>
    </row>
    <row r="425" spans="1:67" ht="15" customHeight="1">
      <c r="A425" s="66" t="s">
        <v>1936</v>
      </c>
      <c r="B425" s="66" t="s">
        <v>1937</v>
      </c>
      <c r="C425" s="150" t="s">
        <v>1136</v>
      </c>
      <c r="D425" s="150" t="s">
        <v>1135</v>
      </c>
      <c r="E425" s="150" t="s">
        <v>1165</v>
      </c>
      <c r="F425" s="150" t="s">
        <v>1137</v>
      </c>
      <c r="G425" s="511" t="s">
        <v>389</v>
      </c>
      <c r="H425" s="392" t="s">
        <v>1938</v>
      </c>
      <c r="I425" s="343"/>
      <c r="J425" s="343"/>
      <c r="K425" s="70" t="s">
        <v>480</v>
      </c>
      <c r="L425" s="346"/>
      <c r="M425" s="343"/>
      <c r="N425" s="346"/>
      <c r="O425" s="150" t="s">
        <v>478</v>
      </c>
      <c r="P425" s="150"/>
      <c r="Q425" s="403"/>
      <c r="R425" s="406">
        <v>345000</v>
      </c>
      <c r="S425" s="406">
        <v>333579.34999999998</v>
      </c>
      <c r="T425" s="425"/>
      <c r="U425" s="71"/>
      <c r="V425" s="426"/>
      <c r="W425" s="427"/>
      <c r="X425" s="427">
        <v>80924.350000000006</v>
      </c>
      <c r="Y425" s="428">
        <v>25748.649999999994</v>
      </c>
      <c r="Z425" s="429">
        <v>35684.65</v>
      </c>
      <c r="AA425" s="429">
        <v>28214.84</v>
      </c>
      <c r="AB425" s="363">
        <v>29498</v>
      </c>
      <c r="AC425" s="363">
        <v>26933</v>
      </c>
      <c r="AD425" s="363">
        <v>28215</v>
      </c>
      <c r="AE425" s="363">
        <v>28215</v>
      </c>
      <c r="AF425" s="363">
        <v>26933</v>
      </c>
      <c r="AG425" s="363">
        <v>29498</v>
      </c>
      <c r="AH425" s="360">
        <f t="shared" si="23"/>
        <v>339864.49</v>
      </c>
      <c r="AI425" s="362">
        <f>ERP_5[[#This Row],[2026 Working Total]]-ERP_5[[#This Row],[LE2 Final Submission]]</f>
        <v>6285.140000000014</v>
      </c>
      <c r="AJ425" s="79">
        <v>26933</v>
      </c>
      <c r="AK425" s="79">
        <f t="shared" si="22"/>
        <v>1281.8400000000001</v>
      </c>
      <c r="AL425" s="374">
        <f>SUM(ERP_5[[#This Row],[AP01]:[AP06]])-SUM(ERP_5[[#This Row],[AP01 LE2]:[AP06 LE2]])</f>
        <v>6285.1399999999849</v>
      </c>
      <c r="AM425" s="80"/>
      <c r="AN425" s="79">
        <f>ERP_5[[#This Row],[2026 Working Total to Budget/LE]]-ERP_5[[#This Row],[Giveback]]</f>
        <v>6285.140000000014</v>
      </c>
      <c r="AO425" s="81"/>
      <c r="AP425" s="375"/>
      <c r="AQ425" s="375"/>
      <c r="AR425" s="375">
        <v>80924.350000000006</v>
      </c>
      <c r="AS425" s="375">
        <v>28215</v>
      </c>
      <c r="AT425" s="375">
        <v>26933</v>
      </c>
      <c r="AU425" s="375">
        <v>28215</v>
      </c>
      <c r="AV425" s="375">
        <v>29498</v>
      </c>
      <c r="AW425" s="375">
        <v>26933</v>
      </c>
      <c r="AX425" s="375">
        <v>28215</v>
      </c>
      <c r="AY425" s="375">
        <v>28215</v>
      </c>
      <c r="AZ425" s="375">
        <v>26933</v>
      </c>
      <c r="BA425" s="375">
        <v>29498</v>
      </c>
      <c r="BB425" s="375">
        <v>333579.34999999998</v>
      </c>
      <c r="BC425" s="79"/>
      <c r="BD425" s="79"/>
      <c r="BE425" s="79">
        <v>80924.350000000006</v>
      </c>
      <c r="BF425" s="79">
        <v>27894</v>
      </c>
      <c r="BG425" s="79">
        <v>27894</v>
      </c>
      <c r="BH425" s="79">
        <v>27894</v>
      </c>
      <c r="BI425" s="79">
        <v>27894</v>
      </c>
      <c r="BJ425" s="79">
        <v>27894</v>
      </c>
      <c r="BK425" s="79">
        <v>27894</v>
      </c>
      <c r="BL425" s="79">
        <v>27894</v>
      </c>
      <c r="BM425" s="79">
        <v>27894</v>
      </c>
      <c r="BN425" s="79">
        <v>27894</v>
      </c>
      <c r="BO425" s="79">
        <v>331970.34999999998</v>
      </c>
    </row>
    <row r="426" spans="1:67" ht="15" customHeight="1">
      <c r="A426" s="66" t="s">
        <v>1939</v>
      </c>
      <c r="B426" s="66" t="s">
        <v>481</v>
      </c>
      <c r="C426" s="150" t="s">
        <v>1136</v>
      </c>
      <c r="D426" s="150" t="s">
        <v>1135</v>
      </c>
      <c r="E426" s="150" t="s">
        <v>1135</v>
      </c>
      <c r="F426" s="150" t="s">
        <v>1137</v>
      </c>
      <c r="G426" s="511" t="s">
        <v>389</v>
      </c>
      <c r="H426" s="392" t="s">
        <v>1778</v>
      </c>
      <c r="I426" s="343"/>
      <c r="J426" s="343"/>
      <c r="K426" s="70" t="s">
        <v>482</v>
      </c>
      <c r="L426" s="346"/>
      <c r="M426" s="343"/>
      <c r="N426" s="346"/>
      <c r="O426" s="150" t="s">
        <v>408</v>
      </c>
      <c r="P426" s="150"/>
      <c r="Q426" s="403"/>
      <c r="R426" s="406">
        <v>0</v>
      </c>
      <c r="S426" s="406">
        <v>-18450</v>
      </c>
      <c r="T426" s="425"/>
      <c r="U426" s="71"/>
      <c r="V426" s="426"/>
      <c r="W426" s="427"/>
      <c r="X426" s="427">
        <v>-3450</v>
      </c>
      <c r="Y426" s="428">
        <v>0</v>
      </c>
      <c r="Z426" s="429">
        <v>-7116.77</v>
      </c>
      <c r="AA426" s="429">
        <v>-3658.57</v>
      </c>
      <c r="AB426" s="363">
        <v>-1666.67</v>
      </c>
      <c r="AC426" s="363">
        <v>-1666.67</v>
      </c>
      <c r="AD426" s="363">
        <v>-1666.67</v>
      </c>
      <c r="AE426" s="360">
        <v>0</v>
      </c>
      <c r="AF426" s="360">
        <v>0</v>
      </c>
      <c r="AG426" s="360">
        <v>0</v>
      </c>
      <c r="AH426" s="360">
        <f t="shared" si="23"/>
        <v>-19225.349999999999</v>
      </c>
      <c r="AI426" s="362">
        <f>ERP_5[[#This Row],[2026 Working Total]]-ERP_5[[#This Row],[LE2 Final Submission]]</f>
        <v>-775.34999999999854</v>
      </c>
      <c r="AJ426" s="79">
        <v>-3333.33</v>
      </c>
      <c r="AK426" s="79">
        <f t="shared" si="22"/>
        <v>-325.24000000000024</v>
      </c>
      <c r="AL426" s="374">
        <f>SUM(ERP_5[[#This Row],[AP01]:[AP06]])-SUM(ERP_5[[#This Row],[AP01 LE2]:[AP06 LE2]])</f>
        <v>-775.35000000000036</v>
      </c>
      <c r="AM426" s="80"/>
      <c r="AN426" s="79">
        <f>ERP_5[[#This Row],[2026 Working Total to Budget/LE]]-ERP_5[[#This Row],[Giveback]]</f>
        <v>-775.34999999999854</v>
      </c>
      <c r="AO426" s="81"/>
      <c r="AP426" s="375"/>
      <c r="AQ426" s="375"/>
      <c r="AR426" s="375">
        <v>-3450</v>
      </c>
      <c r="AS426" s="375">
        <v>-3333.33</v>
      </c>
      <c r="AT426" s="375">
        <v>-3333.33</v>
      </c>
      <c r="AU426" s="375">
        <v>-3333.33</v>
      </c>
      <c r="AV426" s="375">
        <v>-1666.67</v>
      </c>
      <c r="AW426" s="375">
        <v>-1666.67</v>
      </c>
      <c r="AX426" s="375">
        <v>-1666.67</v>
      </c>
      <c r="AY426" s="375">
        <v>0</v>
      </c>
      <c r="AZ426" s="375">
        <v>0</v>
      </c>
      <c r="BA426" s="375">
        <v>0</v>
      </c>
      <c r="BB426" s="375">
        <v>-18450</v>
      </c>
      <c r="BC426" s="79"/>
      <c r="BD426" s="79"/>
      <c r="BE426" s="79">
        <v>-3450</v>
      </c>
      <c r="BF426" s="79">
        <v>-3333.33</v>
      </c>
      <c r="BG426" s="79">
        <v>-3333.33</v>
      </c>
      <c r="BH426" s="79">
        <v>-3333.33</v>
      </c>
      <c r="BI426" s="79">
        <v>-1666.67</v>
      </c>
      <c r="BJ426" s="79">
        <v>-1666.67</v>
      </c>
      <c r="BK426" s="79">
        <v>-1666.67</v>
      </c>
      <c r="BL426" s="79">
        <v>0</v>
      </c>
      <c r="BM426" s="79">
        <v>0</v>
      </c>
      <c r="BN426" s="79">
        <v>0</v>
      </c>
      <c r="BO426" s="79">
        <v>-18450</v>
      </c>
    </row>
    <row r="427" spans="1:67" ht="15" customHeight="1">
      <c r="A427" s="66" t="s">
        <v>1943</v>
      </c>
      <c r="B427" s="66" t="s">
        <v>1944</v>
      </c>
      <c r="C427" s="150" t="s">
        <v>1136</v>
      </c>
      <c r="D427" s="150" t="s">
        <v>1135</v>
      </c>
      <c r="E427" s="150" t="s">
        <v>1165</v>
      </c>
      <c r="F427" s="150" t="s">
        <v>1137</v>
      </c>
      <c r="G427" s="511" t="s">
        <v>389</v>
      </c>
      <c r="H427" s="392" t="s">
        <v>1945</v>
      </c>
      <c r="I427" s="343"/>
      <c r="J427" s="343"/>
      <c r="K427" s="70" t="s">
        <v>484</v>
      </c>
      <c r="L427" s="346"/>
      <c r="M427" s="343"/>
      <c r="N427" s="346"/>
      <c r="O427" s="150" t="s">
        <v>57</v>
      </c>
      <c r="P427" s="150"/>
      <c r="Q427" s="403"/>
      <c r="R427" s="406">
        <v>0</v>
      </c>
      <c r="S427" s="406">
        <v>3711.49</v>
      </c>
      <c r="T427" s="425"/>
      <c r="U427" s="71"/>
      <c r="V427" s="426"/>
      <c r="W427" s="427"/>
      <c r="X427" s="427">
        <v>552.49</v>
      </c>
      <c r="Y427" s="428">
        <v>0</v>
      </c>
      <c r="Z427" s="429">
        <v>0</v>
      </c>
      <c r="AA427" s="429">
        <v>0</v>
      </c>
      <c r="AB427" s="363">
        <v>351</v>
      </c>
      <c r="AC427" s="363">
        <v>351</v>
      </c>
      <c r="AD427" s="363">
        <v>351</v>
      </c>
      <c r="AE427" s="363">
        <v>351</v>
      </c>
      <c r="AF427" s="363">
        <v>351</v>
      </c>
      <c r="AG427" s="363">
        <v>351</v>
      </c>
      <c r="AH427" s="360">
        <f t="shared" si="23"/>
        <v>2658.49</v>
      </c>
      <c r="AI427" s="362">
        <f>ERP_5[[#This Row],[2026 Working Total]]-ERP_5[[#This Row],[LE2 Final Submission]]</f>
        <v>-1053</v>
      </c>
      <c r="AJ427" s="79">
        <v>351</v>
      </c>
      <c r="AK427" s="79">
        <f t="shared" si="22"/>
        <v>-351</v>
      </c>
      <c r="AL427" s="374">
        <f>SUM(ERP_5[[#This Row],[AP01]:[AP06]])-SUM(ERP_5[[#This Row],[AP01 LE2]:[AP06 LE2]])</f>
        <v>-1053</v>
      </c>
      <c r="AM427" s="80"/>
      <c r="AN427" s="79">
        <f>ERP_5[[#This Row],[2026 Working Total to Budget/LE]]-ERP_5[[#This Row],[Giveback]]</f>
        <v>-1053</v>
      </c>
      <c r="AO427" s="81"/>
      <c r="AP427" s="375"/>
      <c r="AQ427" s="375"/>
      <c r="AR427" s="375">
        <v>552.49</v>
      </c>
      <c r="AS427" s="375">
        <v>351</v>
      </c>
      <c r="AT427" s="375">
        <v>351</v>
      </c>
      <c r="AU427" s="375">
        <v>351</v>
      </c>
      <c r="AV427" s="375">
        <v>351</v>
      </c>
      <c r="AW427" s="375">
        <v>351</v>
      </c>
      <c r="AX427" s="375">
        <v>351</v>
      </c>
      <c r="AY427" s="375">
        <v>351</v>
      </c>
      <c r="AZ427" s="375">
        <v>351</v>
      </c>
      <c r="BA427" s="375">
        <v>351</v>
      </c>
      <c r="BB427" s="375">
        <v>3711.49</v>
      </c>
      <c r="BC427" s="79"/>
      <c r="BD427" s="79"/>
      <c r="BE427" s="79">
        <v>552.49</v>
      </c>
      <c r="BF427" s="79">
        <v>351</v>
      </c>
      <c r="BG427" s="79">
        <v>351</v>
      </c>
      <c r="BH427" s="79">
        <v>351</v>
      </c>
      <c r="BI427" s="79">
        <v>351</v>
      </c>
      <c r="BJ427" s="79">
        <v>351</v>
      </c>
      <c r="BK427" s="79">
        <v>351</v>
      </c>
      <c r="BL427" s="79">
        <v>351</v>
      </c>
      <c r="BM427" s="79">
        <v>351</v>
      </c>
      <c r="BN427" s="79">
        <v>351</v>
      </c>
      <c r="BO427" s="79">
        <v>3711.49</v>
      </c>
    </row>
    <row r="428" spans="1:67" ht="15" customHeight="1">
      <c r="A428" s="66" t="s">
        <v>2302</v>
      </c>
      <c r="B428" s="66" t="s">
        <v>2303</v>
      </c>
      <c r="C428" s="150" t="s">
        <v>1136</v>
      </c>
      <c r="D428" s="150" t="s">
        <v>1135</v>
      </c>
      <c r="E428" s="150" t="s">
        <v>1165</v>
      </c>
      <c r="F428" s="150" t="s">
        <v>1137</v>
      </c>
      <c r="G428" s="511" t="s">
        <v>639</v>
      </c>
      <c r="H428" s="392" t="s">
        <v>2304</v>
      </c>
      <c r="I428" s="343" t="s">
        <v>2305</v>
      </c>
      <c r="J428" s="346" t="s">
        <v>1252</v>
      </c>
      <c r="K428" s="70" t="s">
        <v>683</v>
      </c>
      <c r="L428" s="346"/>
      <c r="M428" s="346" t="s">
        <v>2306</v>
      </c>
      <c r="N428" s="346" t="s">
        <v>1710</v>
      </c>
      <c r="O428" s="150" t="s">
        <v>684</v>
      </c>
      <c r="P428" s="150"/>
      <c r="Q428" s="404"/>
      <c r="R428" s="407">
        <v>146492.82999999999</v>
      </c>
      <c r="S428" s="407">
        <v>-115764.16</v>
      </c>
      <c r="T428" s="425"/>
      <c r="U428" s="71"/>
      <c r="V428" s="426">
        <v>-115764.16</v>
      </c>
      <c r="W428" s="427">
        <f>115764.16-115764.16</f>
        <v>0</v>
      </c>
      <c r="X428" s="427"/>
      <c r="Y428" s="428">
        <v>0</v>
      </c>
      <c r="Z428" s="429">
        <v>0</v>
      </c>
      <c r="AA428" s="429">
        <v>0</v>
      </c>
      <c r="AB428" s="363"/>
      <c r="AC428" s="363"/>
      <c r="AD428" s="363"/>
      <c r="AE428" s="363"/>
      <c r="AF428" s="363"/>
      <c r="AG428" s="363"/>
      <c r="AH428" s="360">
        <f t="shared" si="23"/>
        <v>-115764.16</v>
      </c>
      <c r="AI428" s="362">
        <f>ERP_5[[#This Row],[2026 Working Total]]-ERP_5[[#This Row],[LE2 Final Submission]]</f>
        <v>0</v>
      </c>
      <c r="AJ428" s="79"/>
      <c r="AK428" s="79">
        <f t="shared" si="22"/>
        <v>0</v>
      </c>
      <c r="AL428" s="374">
        <f>SUM(ERP_5[[#This Row],[AP01]:[AP06]])-SUM(ERP_5[[#This Row],[AP01 LE2]:[AP06 LE2]])</f>
        <v>0</v>
      </c>
      <c r="AM428" s="80"/>
      <c r="AN428" s="79">
        <f>ERP_5[[#This Row],[2026 Working Total to Budget/LE]]-ERP_5[[#This Row],[Giveback]]</f>
        <v>0</v>
      </c>
      <c r="AO428" s="81"/>
      <c r="AP428" s="375">
        <v>-115764.16</v>
      </c>
      <c r="AQ428" s="375">
        <v>0</v>
      </c>
      <c r="AR428" s="375"/>
      <c r="AS428" s="375"/>
      <c r="AT428" s="375"/>
      <c r="AU428" s="375"/>
      <c r="AV428" s="375"/>
      <c r="AW428" s="375"/>
      <c r="AX428" s="375"/>
      <c r="AY428" s="375"/>
      <c r="AZ428" s="375"/>
      <c r="BA428" s="375"/>
      <c r="BB428" s="375">
        <v>-115764.16</v>
      </c>
      <c r="BC428" s="79">
        <v>-115764.16</v>
      </c>
      <c r="BD428" s="79">
        <v>115764.16</v>
      </c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>
        <v>0</v>
      </c>
    </row>
    <row r="429" spans="1:67" ht="15" customHeight="1">
      <c r="A429" s="66" t="s">
        <v>2616</v>
      </c>
      <c r="B429" s="66" t="s">
        <v>908</v>
      </c>
      <c r="C429" s="150" t="s">
        <v>1136</v>
      </c>
      <c r="D429" s="150" t="s">
        <v>1345</v>
      </c>
      <c r="E429" s="150" t="s">
        <v>1344</v>
      </c>
      <c r="F429" s="150" t="s">
        <v>1346</v>
      </c>
      <c r="G429" s="511" t="s">
        <v>639</v>
      </c>
      <c r="H429" s="392" t="s">
        <v>2617</v>
      </c>
      <c r="I429" s="343"/>
      <c r="J429" s="343"/>
      <c r="K429" s="70" t="s">
        <v>909</v>
      </c>
      <c r="L429" s="346"/>
      <c r="M429" s="343"/>
      <c r="N429" s="346"/>
      <c r="O429" s="150" t="s">
        <v>910</v>
      </c>
      <c r="P429" s="150"/>
      <c r="Q429" s="403"/>
      <c r="R429" s="406">
        <v>50000</v>
      </c>
      <c r="S429" s="406">
        <v>50000</v>
      </c>
      <c r="T429" s="430"/>
      <c r="U429" s="137"/>
      <c r="V429" s="426"/>
      <c r="W429" s="427"/>
      <c r="X429" s="427"/>
      <c r="Y429" s="428" t="s">
        <v>1142</v>
      </c>
      <c r="Z429" s="429">
        <v>0</v>
      </c>
      <c r="AA429" s="429">
        <v>0</v>
      </c>
      <c r="AB429" s="363"/>
      <c r="AC429" s="363"/>
      <c r="AD429" s="363"/>
      <c r="AE429" s="363">
        <v>50000</v>
      </c>
      <c r="AF429" s="360">
        <v>0</v>
      </c>
      <c r="AG429" s="360">
        <v>0</v>
      </c>
      <c r="AH429" s="360">
        <f t="shared" si="23"/>
        <v>50000</v>
      </c>
      <c r="AI429" s="362">
        <f>ERP_5[[#This Row],[2026 Working Total]]-ERP_5[[#This Row],[LE2 Final Submission]]</f>
        <v>0</v>
      </c>
      <c r="AJ429" s="79"/>
      <c r="AK429" s="79">
        <f t="shared" si="22"/>
        <v>0</v>
      </c>
      <c r="AL429" s="374">
        <f>SUM(ERP_5[[#This Row],[AP01]:[AP06]])-SUM(ERP_5[[#This Row],[AP01 LE2]:[AP06 LE2]])</f>
        <v>0</v>
      </c>
      <c r="AM429" s="80"/>
      <c r="AN429" s="79">
        <f>ERP_5[[#This Row],[2026 Working Total to Budget/LE]]-ERP_5[[#This Row],[Giveback]]</f>
        <v>0</v>
      </c>
      <c r="AO429" s="81"/>
      <c r="AP429" s="375"/>
      <c r="AQ429" s="375"/>
      <c r="AR429" s="375"/>
      <c r="AS429" s="375"/>
      <c r="AT429" s="375"/>
      <c r="AU429" s="375"/>
      <c r="AV429" s="375"/>
      <c r="AW429" s="375"/>
      <c r="AX429" s="375"/>
      <c r="AY429" s="375">
        <v>50000</v>
      </c>
      <c r="AZ429" s="375">
        <v>0</v>
      </c>
      <c r="BA429" s="375">
        <v>0</v>
      </c>
      <c r="BB429" s="375">
        <v>50000</v>
      </c>
      <c r="BC429" s="79"/>
      <c r="BD429" s="79"/>
      <c r="BE429" s="79"/>
      <c r="BF429" s="79"/>
      <c r="BG429" s="79"/>
      <c r="BH429" s="79"/>
      <c r="BI429" s="79"/>
      <c r="BJ429" s="79"/>
      <c r="BK429" s="79"/>
      <c r="BL429" s="79">
        <v>50000</v>
      </c>
      <c r="BM429" s="79">
        <v>0</v>
      </c>
      <c r="BN429" s="79">
        <v>0</v>
      </c>
      <c r="BO429" s="79">
        <v>50000</v>
      </c>
    </row>
    <row r="430" spans="1:67" ht="15" customHeight="1">
      <c r="A430" s="79" t="s">
        <v>2307</v>
      </c>
      <c r="B430" s="296" t="s">
        <v>2308</v>
      </c>
      <c r="C430" s="150" t="s">
        <v>1136</v>
      </c>
      <c r="D430" s="332" t="s">
        <v>1135</v>
      </c>
      <c r="E430" s="383" t="s">
        <v>1165</v>
      </c>
      <c r="F430" s="333" t="s">
        <v>1137</v>
      </c>
      <c r="G430" s="512" t="s">
        <v>639</v>
      </c>
      <c r="H430" s="393" t="s">
        <v>2309</v>
      </c>
      <c r="I430" s="343"/>
      <c r="J430" s="333"/>
      <c r="K430" s="91" t="s">
        <v>686</v>
      </c>
      <c r="L430" s="347"/>
      <c r="M430" s="346" t="s">
        <v>2306</v>
      </c>
      <c r="N430" s="346" t="s">
        <v>2310</v>
      </c>
      <c r="O430" s="386" t="s">
        <v>684</v>
      </c>
      <c r="P430" s="346" t="s">
        <v>1779</v>
      </c>
      <c r="Q430" s="437"/>
      <c r="R430" s="358">
        <v>-146492.82999999999</v>
      </c>
      <c r="S430" s="378">
        <v>115764.16</v>
      </c>
      <c r="T430" s="425"/>
      <c r="U430" s="71"/>
      <c r="V430" s="433"/>
      <c r="W430" s="434">
        <v>115764.16</v>
      </c>
      <c r="X430" s="434"/>
      <c r="Y430" s="428" t="s">
        <v>1142</v>
      </c>
      <c r="Z430" s="429">
        <v>0</v>
      </c>
      <c r="AA430" s="429">
        <v>0</v>
      </c>
      <c r="AB430" s="388">
        <v>0</v>
      </c>
      <c r="AC430" s="388">
        <v>0</v>
      </c>
      <c r="AD430" s="388">
        <v>0</v>
      </c>
      <c r="AE430" s="388">
        <v>0</v>
      </c>
      <c r="AF430" s="388">
        <v>0</v>
      </c>
      <c r="AG430" s="388">
        <v>0</v>
      </c>
      <c r="AH430" s="360">
        <f t="shared" si="23"/>
        <v>115764.16</v>
      </c>
      <c r="AI430" s="362">
        <f>ERP_5[[#This Row],[2026 Working Total]]-ERP_5[[#This Row],[LE2 Final Submission]]</f>
        <v>0</v>
      </c>
      <c r="AJ430" s="79">
        <v>0</v>
      </c>
      <c r="AK430" s="79">
        <f t="shared" si="22"/>
        <v>0</v>
      </c>
      <c r="AL430" s="374">
        <f>SUM(ERP_5[[#This Row],[AP01]:[AP06]])-SUM(ERP_5[[#This Row],[AP01 LE2]:[AP06 LE2]])</f>
        <v>0</v>
      </c>
      <c r="AM430" s="80"/>
      <c r="AN430" s="79">
        <f>ERP_5[[#This Row],[2026 Working Total to Budget/LE]]-ERP_5[[#This Row],[Giveback]]</f>
        <v>0</v>
      </c>
      <c r="AO430" s="81"/>
      <c r="AP430" s="375"/>
      <c r="AQ430" s="375">
        <v>115764.16</v>
      </c>
      <c r="AR430" s="375"/>
      <c r="AS430" s="375">
        <v>0</v>
      </c>
      <c r="AT430" s="375">
        <v>0</v>
      </c>
      <c r="AU430" s="375">
        <v>0</v>
      </c>
      <c r="AV430" s="375">
        <v>0</v>
      </c>
      <c r="AW430" s="375">
        <v>0</v>
      </c>
      <c r="AX430" s="375">
        <v>0</v>
      </c>
      <c r="AY430" s="375">
        <v>0</v>
      </c>
      <c r="AZ430" s="375">
        <v>0</v>
      </c>
      <c r="BA430" s="375">
        <v>0</v>
      </c>
      <c r="BB430" s="375">
        <v>115764.16</v>
      </c>
      <c r="BC430" s="103">
        <v>-146492.82999999999</v>
      </c>
      <c r="BD430" s="103">
        <v>0</v>
      </c>
      <c r="BE430" s="103">
        <v>0</v>
      </c>
      <c r="BF430" s="103">
        <v>0</v>
      </c>
      <c r="BG430" s="103">
        <v>0</v>
      </c>
      <c r="BH430" s="103">
        <v>0</v>
      </c>
      <c r="BI430" s="103">
        <v>0</v>
      </c>
      <c r="BJ430" s="103">
        <v>0</v>
      </c>
      <c r="BK430" s="103">
        <v>0</v>
      </c>
      <c r="BL430" s="103">
        <v>0</v>
      </c>
      <c r="BM430" s="103">
        <v>0</v>
      </c>
      <c r="BN430" s="103">
        <v>0</v>
      </c>
      <c r="BO430" s="79">
        <f>SUM(ERP_5[[#This Row],[2026 AP01]:[2026 AP12]])</f>
        <v>-146492.82999999999</v>
      </c>
    </row>
    <row r="431" spans="1:67" ht="15" customHeight="1">
      <c r="A431" s="79" t="s">
        <v>2311</v>
      </c>
      <c r="B431" s="296" t="s">
        <v>2312</v>
      </c>
      <c r="C431" s="150" t="s">
        <v>1136</v>
      </c>
      <c r="D431" s="332" t="s">
        <v>1135</v>
      </c>
      <c r="E431" s="383" t="s">
        <v>1165</v>
      </c>
      <c r="F431" s="333" t="s">
        <v>1137</v>
      </c>
      <c r="G431" s="512" t="s">
        <v>639</v>
      </c>
      <c r="H431" s="393" t="s">
        <v>2313</v>
      </c>
      <c r="I431" s="343" t="s">
        <v>2314</v>
      </c>
      <c r="J431" s="332" t="s">
        <v>1186</v>
      </c>
      <c r="K431" s="91" t="s">
        <v>688</v>
      </c>
      <c r="L431" s="347"/>
      <c r="M431" s="346" t="s">
        <v>2315</v>
      </c>
      <c r="N431" s="346" t="s">
        <v>1710</v>
      </c>
      <c r="O431" s="386" t="s">
        <v>689</v>
      </c>
      <c r="P431" s="346" t="s">
        <v>1348</v>
      </c>
      <c r="Q431" s="437"/>
      <c r="R431" s="358">
        <v>169727.17</v>
      </c>
      <c r="S431" s="378">
        <v>0</v>
      </c>
      <c r="T431" s="425"/>
      <c r="U431" s="71"/>
      <c r="V431" s="433"/>
      <c r="W431" s="434"/>
      <c r="X431" s="434"/>
      <c r="Y431" s="428" t="s">
        <v>1142</v>
      </c>
      <c r="Z431" s="429">
        <v>0</v>
      </c>
      <c r="AA431" s="429">
        <v>0</v>
      </c>
      <c r="AB431" s="388">
        <v>0</v>
      </c>
      <c r="AC431" s="388">
        <v>0</v>
      </c>
      <c r="AD431" s="388">
        <v>0</v>
      </c>
      <c r="AE431" s="388">
        <v>0</v>
      </c>
      <c r="AF431" s="388">
        <v>0</v>
      </c>
      <c r="AG431" s="388">
        <v>0</v>
      </c>
      <c r="AH431" s="360">
        <f t="shared" si="23"/>
        <v>0</v>
      </c>
      <c r="AI431" s="362">
        <f>ERP_5[[#This Row],[2026 Working Total]]-ERP_5[[#This Row],[LE2 Final Submission]]</f>
        <v>0</v>
      </c>
      <c r="AJ431" s="79">
        <v>0</v>
      </c>
      <c r="AK431" s="79">
        <f t="shared" si="22"/>
        <v>0</v>
      </c>
      <c r="AL431" s="374">
        <f>SUM(ERP_5[[#This Row],[AP01]:[AP06]])-SUM(ERP_5[[#This Row],[AP01 LE2]:[AP06 LE2]])</f>
        <v>0</v>
      </c>
      <c r="AM431" s="80"/>
      <c r="AN431" s="79">
        <f>ERP_5[[#This Row],[2026 Working Total to Budget/LE]]-ERP_5[[#This Row],[Giveback]]</f>
        <v>0</v>
      </c>
      <c r="AO431" s="81"/>
      <c r="AP431" s="375"/>
      <c r="AQ431" s="375"/>
      <c r="AR431" s="375"/>
      <c r="AS431" s="375">
        <v>0</v>
      </c>
      <c r="AT431" s="375">
        <v>0</v>
      </c>
      <c r="AU431" s="375">
        <v>0</v>
      </c>
      <c r="AV431" s="375">
        <v>0</v>
      </c>
      <c r="AW431" s="375">
        <v>0</v>
      </c>
      <c r="AX431" s="375">
        <v>0</v>
      </c>
      <c r="AY431" s="375">
        <v>0</v>
      </c>
      <c r="AZ431" s="375">
        <v>0</v>
      </c>
      <c r="BA431" s="375">
        <v>0</v>
      </c>
      <c r="BB431" s="375">
        <v>0</v>
      </c>
      <c r="BC431" s="103">
        <v>169727.17</v>
      </c>
      <c r="BD431" s="103">
        <v>0</v>
      </c>
      <c r="BE431" s="103">
        <v>0</v>
      </c>
      <c r="BF431" s="103">
        <v>0</v>
      </c>
      <c r="BG431" s="103">
        <v>0</v>
      </c>
      <c r="BH431" s="103">
        <v>0</v>
      </c>
      <c r="BI431" s="103">
        <v>0</v>
      </c>
      <c r="BJ431" s="103">
        <v>0</v>
      </c>
      <c r="BK431" s="103">
        <v>0</v>
      </c>
      <c r="BL431" s="103">
        <v>0</v>
      </c>
      <c r="BM431" s="103">
        <v>0</v>
      </c>
      <c r="BN431" s="103">
        <v>0</v>
      </c>
      <c r="BO431" s="79">
        <f>SUM(ERP_5[[#This Row],[2026 AP01]:[2026 AP12]])</f>
        <v>169727.17</v>
      </c>
    </row>
    <row r="432" spans="1:67" ht="15" customHeight="1">
      <c r="A432" s="79" t="s">
        <v>2316</v>
      </c>
      <c r="B432" s="296" t="s">
        <v>2317</v>
      </c>
      <c r="C432" s="150" t="s">
        <v>1136</v>
      </c>
      <c r="D432" s="332" t="s">
        <v>1135</v>
      </c>
      <c r="E432" s="383" t="s">
        <v>1165</v>
      </c>
      <c r="F432" s="333" t="s">
        <v>1137</v>
      </c>
      <c r="G432" s="512" t="s">
        <v>639</v>
      </c>
      <c r="H432" s="393" t="s">
        <v>2318</v>
      </c>
      <c r="I432" s="343"/>
      <c r="J432" s="333"/>
      <c r="K432" s="91" t="s">
        <v>691</v>
      </c>
      <c r="L432" s="347"/>
      <c r="M432" s="346" t="s">
        <v>2315</v>
      </c>
      <c r="N432" s="346" t="s">
        <v>1710</v>
      </c>
      <c r="O432" s="386" t="s">
        <v>689</v>
      </c>
      <c r="P432" s="346" t="s">
        <v>1348</v>
      </c>
      <c r="Q432" s="437"/>
      <c r="R432" s="358">
        <v>-169727.17</v>
      </c>
      <c r="S432" s="378">
        <v>0</v>
      </c>
      <c r="T432" s="425"/>
      <c r="U432" s="71"/>
      <c r="V432" s="433"/>
      <c r="W432" s="434"/>
      <c r="X432" s="434"/>
      <c r="Y432" s="428" t="s">
        <v>1142</v>
      </c>
      <c r="Z432" s="429">
        <v>0</v>
      </c>
      <c r="AA432" s="429">
        <v>0</v>
      </c>
      <c r="AB432" s="388">
        <v>0</v>
      </c>
      <c r="AC432" s="388">
        <v>0</v>
      </c>
      <c r="AD432" s="388">
        <v>0</v>
      </c>
      <c r="AE432" s="388">
        <v>0</v>
      </c>
      <c r="AF432" s="388">
        <v>0</v>
      </c>
      <c r="AG432" s="388">
        <v>0</v>
      </c>
      <c r="AH432" s="360">
        <f t="shared" si="23"/>
        <v>0</v>
      </c>
      <c r="AI432" s="362">
        <f>ERP_5[[#This Row],[2026 Working Total]]-ERP_5[[#This Row],[LE2 Final Submission]]</f>
        <v>0</v>
      </c>
      <c r="AJ432" s="79">
        <v>0</v>
      </c>
      <c r="AK432" s="79">
        <f t="shared" si="22"/>
        <v>0</v>
      </c>
      <c r="AL432" s="374">
        <f>SUM(ERP_5[[#This Row],[AP01]:[AP06]])-SUM(ERP_5[[#This Row],[AP01 LE2]:[AP06 LE2]])</f>
        <v>0</v>
      </c>
      <c r="AM432" s="80"/>
      <c r="AN432" s="79">
        <f>ERP_5[[#This Row],[2026 Working Total to Budget/LE]]-ERP_5[[#This Row],[Giveback]]</f>
        <v>0</v>
      </c>
      <c r="AO432" s="81"/>
      <c r="AP432" s="375"/>
      <c r="AQ432" s="375"/>
      <c r="AR432" s="375"/>
      <c r="AS432" s="375">
        <v>0</v>
      </c>
      <c r="AT432" s="375">
        <v>0</v>
      </c>
      <c r="AU432" s="375">
        <v>0</v>
      </c>
      <c r="AV432" s="375">
        <v>0</v>
      </c>
      <c r="AW432" s="375">
        <v>0</v>
      </c>
      <c r="AX432" s="375">
        <v>0</v>
      </c>
      <c r="AY432" s="375">
        <v>0</v>
      </c>
      <c r="AZ432" s="375">
        <v>0</v>
      </c>
      <c r="BA432" s="375">
        <v>0</v>
      </c>
      <c r="BB432" s="375">
        <v>0</v>
      </c>
      <c r="BC432" s="103">
        <v>-169727.17</v>
      </c>
      <c r="BD432" s="103">
        <v>0</v>
      </c>
      <c r="BE432" s="103">
        <v>0</v>
      </c>
      <c r="BF432" s="103">
        <v>0</v>
      </c>
      <c r="BG432" s="103">
        <v>0</v>
      </c>
      <c r="BH432" s="103">
        <v>0</v>
      </c>
      <c r="BI432" s="103">
        <v>0</v>
      </c>
      <c r="BJ432" s="103">
        <v>0</v>
      </c>
      <c r="BK432" s="103">
        <v>0</v>
      </c>
      <c r="BL432" s="103">
        <v>0</v>
      </c>
      <c r="BM432" s="103">
        <v>0</v>
      </c>
      <c r="BN432" s="103">
        <v>0</v>
      </c>
      <c r="BO432" s="79">
        <f>SUM(ERP_5[[#This Row],[2026 AP01]:[2026 AP12]])</f>
        <v>-169727.17</v>
      </c>
    </row>
    <row r="433" spans="1:67" ht="15" customHeight="1">
      <c r="A433" s="66" t="s">
        <v>2319</v>
      </c>
      <c r="B433" s="66" t="s">
        <v>2320</v>
      </c>
      <c r="C433" s="150" t="s">
        <v>1136</v>
      </c>
      <c r="D433" s="150" t="s">
        <v>1135</v>
      </c>
      <c r="E433" s="150" t="s">
        <v>1161</v>
      </c>
      <c r="F433" s="150" t="s">
        <v>1137</v>
      </c>
      <c r="G433" s="511" t="s">
        <v>639</v>
      </c>
      <c r="H433" s="392" t="s">
        <v>2321</v>
      </c>
      <c r="I433" s="343" t="s">
        <v>2322</v>
      </c>
      <c r="J433" s="346" t="s">
        <v>1252</v>
      </c>
      <c r="K433" s="70" t="s">
        <v>693</v>
      </c>
      <c r="L433" s="346"/>
      <c r="M433" s="346" t="s">
        <v>2323</v>
      </c>
      <c r="N433" s="346"/>
      <c r="O433" s="150" t="s">
        <v>25</v>
      </c>
      <c r="P433" s="150" t="s">
        <v>2324</v>
      </c>
      <c r="Q433" s="403"/>
      <c r="R433" s="406">
        <v>11026</v>
      </c>
      <c r="S433" s="406">
        <v>11026</v>
      </c>
      <c r="T433" s="425"/>
      <c r="U433" s="71"/>
      <c r="V433" s="426"/>
      <c r="W433" s="427"/>
      <c r="X433" s="427"/>
      <c r="Y433" s="428" t="s">
        <v>1142</v>
      </c>
      <c r="Z433" s="429">
        <v>0</v>
      </c>
      <c r="AA433" s="429">
        <v>0</v>
      </c>
      <c r="AB433" s="363"/>
      <c r="AC433" s="363"/>
      <c r="AD433" s="363"/>
      <c r="AE433" s="363"/>
      <c r="AF433" s="363">
        <v>11026</v>
      </c>
      <c r="AG433" s="360">
        <v>0</v>
      </c>
      <c r="AH433" s="360">
        <f t="shared" si="23"/>
        <v>11026</v>
      </c>
      <c r="AI433" s="362">
        <f>ERP_5[[#This Row],[2026 Working Total]]-ERP_5[[#This Row],[LE2 Final Submission]]</f>
        <v>0</v>
      </c>
      <c r="AJ433" s="79"/>
      <c r="AK433" s="79">
        <f t="shared" si="22"/>
        <v>0</v>
      </c>
      <c r="AL433" s="374">
        <f>SUM(ERP_5[[#This Row],[AP01]:[AP06]])-SUM(ERP_5[[#This Row],[AP01 LE2]:[AP06 LE2]])</f>
        <v>0</v>
      </c>
      <c r="AM433" s="80"/>
      <c r="AN433" s="79">
        <f>ERP_5[[#This Row],[2026 Working Total to Budget/LE]]-ERP_5[[#This Row],[Giveback]]</f>
        <v>0</v>
      </c>
      <c r="AO433" s="81"/>
      <c r="AP433" s="375"/>
      <c r="AQ433" s="375"/>
      <c r="AR433" s="375"/>
      <c r="AS433" s="375"/>
      <c r="AT433" s="375"/>
      <c r="AU433" s="375"/>
      <c r="AV433" s="375"/>
      <c r="AW433" s="375"/>
      <c r="AX433" s="375"/>
      <c r="AY433" s="375"/>
      <c r="AZ433" s="375">
        <v>11026</v>
      </c>
      <c r="BA433" s="375">
        <v>0</v>
      </c>
      <c r="BB433" s="375">
        <v>11026</v>
      </c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>
        <v>11026</v>
      </c>
      <c r="BN433" s="79">
        <v>0</v>
      </c>
      <c r="BO433" s="79">
        <v>11026</v>
      </c>
    </row>
    <row r="434" spans="1:67" ht="15" customHeight="1">
      <c r="A434" s="79" t="s">
        <v>2325</v>
      </c>
      <c r="B434" s="296" t="s">
        <v>2326</v>
      </c>
      <c r="C434" s="150" t="s">
        <v>1136</v>
      </c>
      <c r="D434" s="332" t="s">
        <v>1135</v>
      </c>
      <c r="E434" s="383" t="s">
        <v>1145</v>
      </c>
      <c r="F434" s="331" t="s">
        <v>1137</v>
      </c>
      <c r="G434" s="512" t="s">
        <v>639</v>
      </c>
      <c r="H434" s="393" t="s">
        <v>2327</v>
      </c>
      <c r="I434" s="343" t="s">
        <v>2328</v>
      </c>
      <c r="J434" s="150" t="s">
        <v>1171</v>
      </c>
      <c r="K434" s="91" t="s">
        <v>695</v>
      </c>
      <c r="L434" s="343"/>
      <c r="M434" s="346" t="s">
        <v>2329</v>
      </c>
      <c r="N434" s="346" t="s">
        <v>1710</v>
      </c>
      <c r="O434" s="386" t="s">
        <v>696</v>
      </c>
      <c r="P434" s="346" t="s">
        <v>1348</v>
      </c>
      <c r="Q434" s="437"/>
      <c r="R434" s="358">
        <v>325620</v>
      </c>
      <c r="S434" s="378">
        <v>0</v>
      </c>
      <c r="T434" s="425"/>
      <c r="U434" s="71"/>
      <c r="V434" s="433"/>
      <c r="W434" s="434"/>
      <c r="X434" s="434"/>
      <c r="Y434" s="428" t="s">
        <v>1142</v>
      </c>
      <c r="Z434" s="429">
        <v>0</v>
      </c>
      <c r="AA434" s="429">
        <v>0</v>
      </c>
      <c r="AB434" s="388">
        <v>0</v>
      </c>
      <c r="AC434" s="388">
        <v>0</v>
      </c>
      <c r="AD434" s="388">
        <v>0</v>
      </c>
      <c r="AE434" s="388">
        <v>0</v>
      </c>
      <c r="AF434" s="388">
        <v>0</v>
      </c>
      <c r="AG434" s="388">
        <v>0</v>
      </c>
      <c r="AH434" s="360">
        <f t="shared" si="23"/>
        <v>0</v>
      </c>
      <c r="AI434" s="362">
        <f>ERP_5[[#This Row],[2026 Working Total]]-ERP_5[[#This Row],[LE2 Final Submission]]</f>
        <v>0</v>
      </c>
      <c r="AJ434" s="79">
        <v>0</v>
      </c>
      <c r="AK434" s="79">
        <f t="shared" si="22"/>
        <v>0</v>
      </c>
      <c r="AL434" s="374">
        <f>SUM(ERP_5[[#This Row],[AP01]:[AP06]])-SUM(ERP_5[[#This Row],[AP01 LE2]:[AP06 LE2]])</f>
        <v>0</v>
      </c>
      <c r="AM434" s="80"/>
      <c r="AN434" s="79">
        <f>ERP_5[[#This Row],[2026 Working Total to Budget/LE]]-ERP_5[[#This Row],[Giveback]]</f>
        <v>0</v>
      </c>
      <c r="AO434" s="81"/>
      <c r="AP434" s="375"/>
      <c r="AQ434" s="375"/>
      <c r="AR434" s="375"/>
      <c r="AS434" s="375">
        <v>0</v>
      </c>
      <c r="AT434" s="375">
        <v>0</v>
      </c>
      <c r="AU434" s="375">
        <v>0</v>
      </c>
      <c r="AV434" s="375">
        <v>0</v>
      </c>
      <c r="AW434" s="375">
        <v>0</v>
      </c>
      <c r="AX434" s="375">
        <v>0</v>
      </c>
      <c r="AY434" s="375">
        <v>0</v>
      </c>
      <c r="AZ434" s="375">
        <v>0</v>
      </c>
      <c r="BA434" s="375">
        <v>0</v>
      </c>
      <c r="BB434" s="375">
        <v>0</v>
      </c>
      <c r="BC434" s="103">
        <v>325620</v>
      </c>
      <c r="BD434" s="103">
        <v>0</v>
      </c>
      <c r="BE434" s="103">
        <v>0</v>
      </c>
      <c r="BF434" s="103">
        <v>0</v>
      </c>
      <c r="BG434" s="103">
        <v>0</v>
      </c>
      <c r="BH434" s="103">
        <v>0</v>
      </c>
      <c r="BI434" s="103">
        <v>0</v>
      </c>
      <c r="BJ434" s="103">
        <v>0</v>
      </c>
      <c r="BK434" s="103">
        <v>0</v>
      </c>
      <c r="BL434" s="103">
        <v>0</v>
      </c>
      <c r="BM434" s="103">
        <v>0</v>
      </c>
      <c r="BN434" s="103">
        <v>0</v>
      </c>
      <c r="BO434" s="79">
        <f>SUM(ERP_5[[#This Row],[2026 AP01]:[2026 AP12]])</f>
        <v>325620</v>
      </c>
    </row>
    <row r="435" spans="1:67" ht="15" customHeight="1">
      <c r="A435" s="79" t="s">
        <v>2330</v>
      </c>
      <c r="B435" s="296" t="s">
        <v>2331</v>
      </c>
      <c r="C435" s="150" t="s">
        <v>1136</v>
      </c>
      <c r="D435" s="332" t="s">
        <v>1135</v>
      </c>
      <c r="E435" s="383" t="s">
        <v>1145</v>
      </c>
      <c r="F435" s="331" t="s">
        <v>1137</v>
      </c>
      <c r="G435" s="512" t="s">
        <v>639</v>
      </c>
      <c r="H435" s="393" t="s">
        <v>2332</v>
      </c>
      <c r="I435" s="343"/>
      <c r="J435" s="331"/>
      <c r="K435" s="91" t="s">
        <v>698</v>
      </c>
      <c r="L435" s="343"/>
      <c r="M435" s="346" t="s">
        <v>2329</v>
      </c>
      <c r="N435" s="346" t="s">
        <v>1710</v>
      </c>
      <c r="O435" s="386" t="s">
        <v>696</v>
      </c>
      <c r="P435" s="346" t="s">
        <v>1348</v>
      </c>
      <c r="Q435" s="437"/>
      <c r="R435" s="358">
        <v>-325620</v>
      </c>
      <c r="S435" s="378">
        <v>0</v>
      </c>
      <c r="T435" s="425"/>
      <c r="U435" s="71"/>
      <c r="V435" s="433"/>
      <c r="W435" s="434"/>
      <c r="X435" s="434"/>
      <c r="Y435" s="428" t="s">
        <v>1142</v>
      </c>
      <c r="Z435" s="429">
        <v>0</v>
      </c>
      <c r="AA435" s="429">
        <v>0</v>
      </c>
      <c r="AB435" s="388">
        <v>0</v>
      </c>
      <c r="AC435" s="388">
        <v>0</v>
      </c>
      <c r="AD435" s="388">
        <v>0</v>
      </c>
      <c r="AE435" s="388">
        <v>0</v>
      </c>
      <c r="AF435" s="388">
        <v>0</v>
      </c>
      <c r="AG435" s="388">
        <v>0</v>
      </c>
      <c r="AH435" s="360">
        <f t="shared" si="23"/>
        <v>0</v>
      </c>
      <c r="AI435" s="362">
        <f>ERP_5[[#This Row],[2026 Working Total]]-ERP_5[[#This Row],[LE2 Final Submission]]</f>
        <v>0</v>
      </c>
      <c r="AJ435" s="79">
        <v>0</v>
      </c>
      <c r="AK435" s="79">
        <f t="shared" si="22"/>
        <v>0</v>
      </c>
      <c r="AL435" s="374">
        <f>SUM(ERP_5[[#This Row],[AP01]:[AP06]])-SUM(ERP_5[[#This Row],[AP01 LE2]:[AP06 LE2]])</f>
        <v>0</v>
      </c>
      <c r="AM435" s="80"/>
      <c r="AN435" s="79">
        <f>ERP_5[[#This Row],[2026 Working Total to Budget/LE]]-ERP_5[[#This Row],[Giveback]]</f>
        <v>0</v>
      </c>
      <c r="AO435" s="81"/>
      <c r="AP435" s="375"/>
      <c r="AQ435" s="375"/>
      <c r="AR435" s="375"/>
      <c r="AS435" s="375">
        <v>0</v>
      </c>
      <c r="AT435" s="375">
        <v>0</v>
      </c>
      <c r="AU435" s="375">
        <v>0</v>
      </c>
      <c r="AV435" s="375">
        <v>0</v>
      </c>
      <c r="AW435" s="375">
        <v>0</v>
      </c>
      <c r="AX435" s="375">
        <v>0</v>
      </c>
      <c r="AY435" s="375">
        <v>0</v>
      </c>
      <c r="AZ435" s="375">
        <v>0</v>
      </c>
      <c r="BA435" s="375">
        <v>0</v>
      </c>
      <c r="BB435" s="375">
        <v>0</v>
      </c>
      <c r="BC435" s="103">
        <v>-325620</v>
      </c>
      <c r="BD435" s="103">
        <v>0</v>
      </c>
      <c r="BE435" s="103">
        <v>0</v>
      </c>
      <c r="BF435" s="103">
        <v>0</v>
      </c>
      <c r="BG435" s="103">
        <v>0</v>
      </c>
      <c r="BH435" s="103">
        <v>0</v>
      </c>
      <c r="BI435" s="103">
        <v>0</v>
      </c>
      <c r="BJ435" s="103">
        <v>0</v>
      </c>
      <c r="BK435" s="103">
        <v>0</v>
      </c>
      <c r="BL435" s="103">
        <v>0</v>
      </c>
      <c r="BM435" s="103">
        <v>0</v>
      </c>
      <c r="BN435" s="103">
        <v>0</v>
      </c>
      <c r="BO435" s="79">
        <f>SUM(ERP_5[[#This Row],[2026 AP01]:[2026 AP12]])</f>
        <v>-325620</v>
      </c>
    </row>
    <row r="436" spans="1:67" ht="15" customHeight="1">
      <c r="A436" s="66" t="s">
        <v>2333</v>
      </c>
      <c r="B436" s="66" t="s">
        <v>2334</v>
      </c>
      <c r="C436" s="150" t="s">
        <v>1136</v>
      </c>
      <c r="D436" s="150" t="s">
        <v>1135</v>
      </c>
      <c r="E436" s="150" t="s">
        <v>1145</v>
      </c>
      <c r="F436" s="150" t="s">
        <v>1137</v>
      </c>
      <c r="G436" s="511" t="s">
        <v>639</v>
      </c>
      <c r="H436" s="392" t="s">
        <v>2335</v>
      </c>
      <c r="I436" s="343" t="s">
        <v>2305</v>
      </c>
      <c r="J436" s="346" t="s">
        <v>1186</v>
      </c>
      <c r="K436" s="70" t="s">
        <v>700</v>
      </c>
      <c r="L436" s="346"/>
      <c r="M436" s="346" t="s">
        <v>2336</v>
      </c>
      <c r="N436" s="346"/>
      <c r="O436" s="150" t="s">
        <v>701</v>
      </c>
      <c r="P436" s="150"/>
      <c r="Q436" s="403"/>
      <c r="R436" s="406">
        <v>54093.63</v>
      </c>
      <c r="S436" s="406">
        <v>55716.44</v>
      </c>
      <c r="T436" s="425"/>
      <c r="U436" s="71"/>
      <c r="V436" s="426"/>
      <c r="W436" s="427">
        <v>55716.44</v>
      </c>
      <c r="X436" s="431">
        <v>0</v>
      </c>
      <c r="Y436" s="428">
        <v>0</v>
      </c>
      <c r="Z436" s="429">
        <v>0</v>
      </c>
      <c r="AA436" s="429">
        <v>0</v>
      </c>
      <c r="AB436" s="360">
        <v>0</v>
      </c>
      <c r="AC436" s="360">
        <v>0</v>
      </c>
      <c r="AD436" s="360">
        <v>0</v>
      </c>
      <c r="AE436" s="360">
        <v>0</v>
      </c>
      <c r="AF436" s="360">
        <v>0</v>
      </c>
      <c r="AG436" s="360">
        <v>0</v>
      </c>
      <c r="AH436" s="360">
        <f t="shared" si="23"/>
        <v>55716.44</v>
      </c>
      <c r="AI436" s="362">
        <f>ERP_5[[#This Row],[2026 Working Total]]-ERP_5[[#This Row],[LE2 Final Submission]]</f>
        <v>0</v>
      </c>
      <c r="AJ436" s="79">
        <v>0</v>
      </c>
      <c r="AK436" s="79">
        <f t="shared" si="22"/>
        <v>0</v>
      </c>
      <c r="AL436" s="374">
        <f>SUM(ERP_5[[#This Row],[AP01]:[AP06]])-SUM(ERP_5[[#This Row],[AP01 LE2]:[AP06 LE2]])</f>
        <v>0</v>
      </c>
      <c r="AM436" s="80"/>
      <c r="AN436" s="79">
        <f>ERP_5[[#This Row],[2026 Working Total to Budget/LE]]-ERP_5[[#This Row],[Giveback]]</f>
        <v>0</v>
      </c>
      <c r="AO436" s="81"/>
      <c r="AP436" s="375"/>
      <c r="AQ436" s="375">
        <v>55716.44</v>
      </c>
      <c r="AR436" s="375">
        <v>0</v>
      </c>
      <c r="AS436" s="375">
        <v>0</v>
      </c>
      <c r="AT436" s="375">
        <v>0</v>
      </c>
      <c r="AU436" s="375">
        <v>0</v>
      </c>
      <c r="AV436" s="375">
        <v>0</v>
      </c>
      <c r="AW436" s="375">
        <v>0</v>
      </c>
      <c r="AX436" s="375">
        <v>0</v>
      </c>
      <c r="AY436" s="375">
        <v>0</v>
      </c>
      <c r="AZ436" s="375">
        <v>0</v>
      </c>
      <c r="BA436" s="375">
        <v>0</v>
      </c>
      <c r="BB436" s="375">
        <v>55716.44</v>
      </c>
      <c r="BC436" s="79"/>
      <c r="BD436" s="79">
        <v>55716.44</v>
      </c>
      <c r="BE436" s="79">
        <v>0</v>
      </c>
      <c r="BF436" s="79">
        <v>0</v>
      </c>
      <c r="BG436" s="79">
        <v>0</v>
      </c>
      <c r="BH436" s="79">
        <v>0</v>
      </c>
      <c r="BI436" s="79">
        <v>0</v>
      </c>
      <c r="BJ436" s="79">
        <v>0</v>
      </c>
      <c r="BK436" s="79">
        <v>0</v>
      </c>
      <c r="BL436" s="79">
        <v>0</v>
      </c>
      <c r="BM436" s="79">
        <v>0</v>
      </c>
      <c r="BN436" s="79">
        <v>0</v>
      </c>
      <c r="BO436" s="79">
        <v>55716.44</v>
      </c>
    </row>
    <row r="437" spans="1:67" ht="15" customHeight="1">
      <c r="A437" s="66" t="s">
        <v>2337</v>
      </c>
      <c r="B437" s="66" t="s">
        <v>702</v>
      </c>
      <c r="C437" s="150" t="s">
        <v>1136</v>
      </c>
      <c r="D437" s="150" t="s">
        <v>1135</v>
      </c>
      <c r="E437" s="150" t="s">
        <v>1135</v>
      </c>
      <c r="F437" s="150" t="s">
        <v>1137</v>
      </c>
      <c r="G437" s="511" t="s">
        <v>639</v>
      </c>
      <c r="H437" s="392" t="s">
        <v>2338</v>
      </c>
      <c r="I437" s="343" t="s">
        <v>1231</v>
      </c>
      <c r="J437" s="346" t="s">
        <v>1171</v>
      </c>
      <c r="K437" s="70" t="s">
        <v>703</v>
      </c>
      <c r="L437" s="346"/>
      <c r="M437" s="346" t="s">
        <v>2339</v>
      </c>
      <c r="N437" s="346"/>
      <c r="O437" s="150" t="s">
        <v>704</v>
      </c>
      <c r="P437" s="150" t="s">
        <v>2340</v>
      </c>
      <c r="Q437" s="403"/>
      <c r="R437" s="406">
        <v>3581394.5999999992</v>
      </c>
      <c r="S437" s="406">
        <v>3026808.87</v>
      </c>
      <c r="T437" s="430"/>
      <c r="U437" s="137"/>
      <c r="V437" s="426">
        <v>3026811.49</v>
      </c>
      <c r="W437" s="427">
        <v>-3073725.16</v>
      </c>
      <c r="X437" s="427">
        <v>803616.54</v>
      </c>
      <c r="Y437" s="428">
        <v>0</v>
      </c>
      <c r="Z437" s="429">
        <v>1470681.36</v>
      </c>
      <c r="AA437" s="429">
        <v>735340.67999999993</v>
      </c>
      <c r="AB437" s="363">
        <f>252234-252234</f>
        <v>0</v>
      </c>
      <c r="AC437" s="363">
        <f>252234+252234</f>
        <v>504468</v>
      </c>
      <c r="AD437" s="363">
        <v>252234</v>
      </c>
      <c r="AE437" s="363">
        <f>252234-252234</f>
        <v>0</v>
      </c>
      <c r="AF437" s="363">
        <f>252234+252234</f>
        <v>504468</v>
      </c>
      <c r="AG437" s="363">
        <v>252234</v>
      </c>
      <c r="AH437" s="360">
        <f t="shared" si="23"/>
        <v>4476128.91</v>
      </c>
      <c r="AI437" s="362">
        <f>ERP_5[[#This Row],[2026 Working Total]]-ERP_5[[#This Row],[LE2 Final Submission]]</f>
        <v>1449320.04</v>
      </c>
      <c r="AJ437" s="79">
        <v>504468</v>
      </c>
      <c r="AK437" s="79">
        <f t="shared" si="22"/>
        <v>230872.67999999993</v>
      </c>
      <c r="AL437" s="374">
        <f>SUM(ERP_5[[#This Row],[AP01]:[AP06]])-SUM(ERP_5[[#This Row],[AP01 LE2]:[AP06 LE2]])</f>
        <v>1449320.04</v>
      </c>
      <c r="AM437" s="80"/>
      <c r="AN437" s="79">
        <f>ERP_5[[#This Row],[2026 Working Total to Budget/LE]]-ERP_5[[#This Row],[Giveback]]</f>
        <v>1449320.04</v>
      </c>
      <c r="AO437" s="81"/>
      <c r="AP437" s="375">
        <v>3026811.49</v>
      </c>
      <c r="AQ437" s="375">
        <v>-3073725.16</v>
      </c>
      <c r="AR437" s="375">
        <v>803616.54</v>
      </c>
      <c r="AS437" s="375">
        <v>0</v>
      </c>
      <c r="AT437" s="375">
        <v>504468</v>
      </c>
      <c r="AU437" s="375">
        <v>252234</v>
      </c>
      <c r="AV437" s="375">
        <v>0</v>
      </c>
      <c r="AW437" s="375">
        <v>504468</v>
      </c>
      <c r="AX437" s="375">
        <v>252234</v>
      </c>
      <c r="AY437" s="375">
        <v>0</v>
      </c>
      <c r="AZ437" s="375">
        <v>504468</v>
      </c>
      <c r="BA437" s="375">
        <v>252234</v>
      </c>
      <c r="BB437" s="375">
        <v>3026808.87</v>
      </c>
      <c r="BC437" s="79">
        <v>3026811.49</v>
      </c>
      <c r="BD437" s="79">
        <v>-3073725.16</v>
      </c>
      <c r="BE437" s="79">
        <v>803616.54</v>
      </c>
      <c r="BF437" s="79">
        <v>252234</v>
      </c>
      <c r="BG437" s="79">
        <v>252234</v>
      </c>
      <c r="BH437" s="79">
        <v>252234</v>
      </c>
      <c r="BI437" s="79">
        <v>252234</v>
      </c>
      <c r="BJ437" s="79">
        <v>252234</v>
      </c>
      <c r="BK437" s="79">
        <v>252234</v>
      </c>
      <c r="BL437" s="79">
        <v>252234</v>
      </c>
      <c r="BM437" s="79">
        <v>252234</v>
      </c>
      <c r="BN437" s="79">
        <v>252234</v>
      </c>
      <c r="BO437" s="79">
        <v>3026808.87</v>
      </c>
    </row>
    <row r="438" spans="1:67" ht="15" customHeight="1">
      <c r="A438" s="79" t="s">
        <v>2341</v>
      </c>
      <c r="B438" s="296" t="s">
        <v>705</v>
      </c>
      <c r="C438" s="150" t="s">
        <v>1136</v>
      </c>
      <c r="D438" s="332" t="s">
        <v>1135</v>
      </c>
      <c r="E438" s="383" t="s">
        <v>1135</v>
      </c>
      <c r="F438" s="331" t="s">
        <v>1137</v>
      </c>
      <c r="G438" s="512" t="s">
        <v>639</v>
      </c>
      <c r="H438" s="393" t="s">
        <v>2342</v>
      </c>
      <c r="I438" s="343" t="s">
        <v>2343</v>
      </c>
      <c r="J438" s="150" t="s">
        <v>1171</v>
      </c>
      <c r="K438" s="91" t="s">
        <v>706</v>
      </c>
      <c r="L438" s="343"/>
      <c r="M438" s="346" t="s">
        <v>2339</v>
      </c>
      <c r="N438" s="346" t="s">
        <v>1710</v>
      </c>
      <c r="O438" s="386" t="s">
        <v>707</v>
      </c>
      <c r="P438" s="387" t="s">
        <v>2344</v>
      </c>
      <c r="Q438" s="437"/>
      <c r="R438" s="358">
        <v>678893.73</v>
      </c>
      <c r="S438" s="378">
        <v>0</v>
      </c>
      <c r="T438" s="425"/>
      <c r="U438" s="71"/>
      <c r="V438" s="433"/>
      <c r="W438" s="434"/>
      <c r="X438" s="434"/>
      <c r="Y438" s="428" t="s">
        <v>1142</v>
      </c>
      <c r="Z438" s="429">
        <v>0</v>
      </c>
      <c r="AA438" s="429">
        <v>0</v>
      </c>
      <c r="AB438" s="388">
        <v>0</v>
      </c>
      <c r="AC438" s="388">
        <v>0</v>
      </c>
      <c r="AD438" s="388">
        <v>0</v>
      </c>
      <c r="AE438" s="388">
        <v>0</v>
      </c>
      <c r="AF438" s="388">
        <v>0</v>
      </c>
      <c r="AG438" s="388">
        <v>0</v>
      </c>
      <c r="AH438" s="360">
        <f t="shared" si="23"/>
        <v>0</v>
      </c>
      <c r="AI438" s="362">
        <f>ERP_5[[#This Row],[2026 Working Total]]-ERP_5[[#This Row],[LE2 Final Submission]]</f>
        <v>0</v>
      </c>
      <c r="AJ438" s="79">
        <v>0</v>
      </c>
      <c r="AK438" s="79">
        <f t="shared" si="22"/>
        <v>0</v>
      </c>
      <c r="AL438" s="374">
        <f>SUM(ERP_5[[#This Row],[AP01]:[AP06]])-SUM(ERP_5[[#This Row],[AP01 LE2]:[AP06 LE2]])</f>
        <v>0</v>
      </c>
      <c r="AM438" s="80"/>
      <c r="AN438" s="79">
        <f>ERP_5[[#This Row],[2026 Working Total to Budget/LE]]-ERP_5[[#This Row],[Giveback]]</f>
        <v>0</v>
      </c>
      <c r="AO438" s="81"/>
      <c r="AP438" s="375"/>
      <c r="AQ438" s="375"/>
      <c r="AR438" s="375"/>
      <c r="AS438" s="375">
        <v>0</v>
      </c>
      <c r="AT438" s="375">
        <v>0</v>
      </c>
      <c r="AU438" s="375">
        <v>0</v>
      </c>
      <c r="AV438" s="375">
        <v>0</v>
      </c>
      <c r="AW438" s="375">
        <v>0</v>
      </c>
      <c r="AX438" s="375">
        <v>0</v>
      </c>
      <c r="AY438" s="375">
        <v>0</v>
      </c>
      <c r="AZ438" s="375">
        <v>0</v>
      </c>
      <c r="BA438" s="375">
        <v>0</v>
      </c>
      <c r="BB438" s="375">
        <v>0</v>
      </c>
      <c r="BC438" s="103">
        <v>678893.73</v>
      </c>
      <c r="BD438" s="103">
        <v>0</v>
      </c>
      <c r="BE438" s="103">
        <v>0</v>
      </c>
      <c r="BF438" s="103">
        <v>0</v>
      </c>
      <c r="BG438" s="103">
        <v>0</v>
      </c>
      <c r="BH438" s="103">
        <v>0</v>
      </c>
      <c r="BI438" s="103">
        <v>0</v>
      </c>
      <c r="BJ438" s="103">
        <v>0</v>
      </c>
      <c r="BK438" s="103">
        <v>0</v>
      </c>
      <c r="BL438" s="103">
        <v>0</v>
      </c>
      <c r="BM438" s="103">
        <v>0</v>
      </c>
      <c r="BN438" s="103">
        <v>0</v>
      </c>
      <c r="BO438" s="79">
        <f>SUM(ERP_5[[#This Row],[2026 AP01]:[2026 AP12]])</f>
        <v>678893.73</v>
      </c>
    </row>
    <row r="439" spans="1:67" ht="15" customHeight="1">
      <c r="A439" s="79" t="s">
        <v>2345</v>
      </c>
      <c r="B439" s="296" t="s">
        <v>708</v>
      </c>
      <c r="C439" s="150" t="s">
        <v>1136</v>
      </c>
      <c r="D439" s="332" t="s">
        <v>1135</v>
      </c>
      <c r="E439" s="383" t="s">
        <v>1135</v>
      </c>
      <c r="F439" s="331" t="s">
        <v>1137</v>
      </c>
      <c r="G439" s="512" t="s">
        <v>639</v>
      </c>
      <c r="H439" s="393" t="s">
        <v>2346</v>
      </c>
      <c r="I439" s="343" t="s">
        <v>2343</v>
      </c>
      <c r="J439" s="150" t="s">
        <v>1171</v>
      </c>
      <c r="K439" s="91" t="s">
        <v>709</v>
      </c>
      <c r="L439" s="343"/>
      <c r="M439" s="346" t="s">
        <v>2339</v>
      </c>
      <c r="N439" s="346" t="s">
        <v>1710</v>
      </c>
      <c r="O439" s="386" t="s">
        <v>707</v>
      </c>
      <c r="P439" s="346" t="s">
        <v>1348</v>
      </c>
      <c r="Q439" s="437"/>
      <c r="R439" s="358">
        <v>-678893.73</v>
      </c>
      <c r="S439" s="378">
        <v>0</v>
      </c>
      <c r="T439" s="425"/>
      <c r="U439" s="71"/>
      <c r="V439" s="433"/>
      <c r="W439" s="434"/>
      <c r="X439" s="434"/>
      <c r="Y439" s="428" t="s">
        <v>1142</v>
      </c>
      <c r="Z439" s="429">
        <v>0</v>
      </c>
      <c r="AA439" s="429">
        <v>0</v>
      </c>
      <c r="AB439" s="388">
        <v>0</v>
      </c>
      <c r="AC439" s="388">
        <v>0</v>
      </c>
      <c r="AD439" s="388">
        <v>0</v>
      </c>
      <c r="AE439" s="388">
        <v>0</v>
      </c>
      <c r="AF439" s="388">
        <v>0</v>
      </c>
      <c r="AG439" s="388">
        <v>0</v>
      </c>
      <c r="AH439" s="360">
        <f t="shared" si="23"/>
        <v>0</v>
      </c>
      <c r="AI439" s="362">
        <f>ERP_5[[#This Row],[2026 Working Total]]-ERP_5[[#This Row],[LE2 Final Submission]]</f>
        <v>0</v>
      </c>
      <c r="AJ439" s="79">
        <v>0</v>
      </c>
      <c r="AK439" s="79">
        <f t="shared" si="22"/>
        <v>0</v>
      </c>
      <c r="AL439" s="374">
        <f>SUM(ERP_5[[#This Row],[AP01]:[AP06]])-SUM(ERP_5[[#This Row],[AP01 LE2]:[AP06 LE2]])</f>
        <v>0</v>
      </c>
      <c r="AM439" s="80"/>
      <c r="AN439" s="79">
        <f>ERP_5[[#This Row],[2026 Working Total to Budget/LE]]-ERP_5[[#This Row],[Giveback]]</f>
        <v>0</v>
      </c>
      <c r="AO439" s="81"/>
      <c r="AP439" s="375"/>
      <c r="AQ439" s="375"/>
      <c r="AR439" s="375"/>
      <c r="AS439" s="375">
        <v>0</v>
      </c>
      <c r="AT439" s="375">
        <v>0</v>
      </c>
      <c r="AU439" s="375">
        <v>0</v>
      </c>
      <c r="AV439" s="375">
        <v>0</v>
      </c>
      <c r="AW439" s="375">
        <v>0</v>
      </c>
      <c r="AX439" s="375">
        <v>0</v>
      </c>
      <c r="AY439" s="375">
        <v>0</v>
      </c>
      <c r="AZ439" s="375">
        <v>0</v>
      </c>
      <c r="BA439" s="375">
        <v>0</v>
      </c>
      <c r="BB439" s="375">
        <v>0</v>
      </c>
      <c r="BC439" s="103">
        <v>-678893.73</v>
      </c>
      <c r="BD439" s="103">
        <v>0</v>
      </c>
      <c r="BE439" s="103">
        <v>0</v>
      </c>
      <c r="BF439" s="103">
        <v>0</v>
      </c>
      <c r="BG439" s="103">
        <v>0</v>
      </c>
      <c r="BH439" s="103">
        <v>0</v>
      </c>
      <c r="BI439" s="103">
        <v>0</v>
      </c>
      <c r="BJ439" s="103">
        <v>0</v>
      </c>
      <c r="BK439" s="103">
        <v>0</v>
      </c>
      <c r="BL439" s="103">
        <v>0</v>
      </c>
      <c r="BM439" s="103">
        <v>0</v>
      </c>
      <c r="BN439" s="103">
        <v>0</v>
      </c>
      <c r="BO439" s="79">
        <f>SUM(ERP_5[[#This Row],[2026 AP01]:[2026 AP12]])</f>
        <v>-678893.73</v>
      </c>
    </row>
    <row r="440" spans="1:67" ht="15" customHeight="1">
      <c r="A440" s="79" t="s">
        <v>2347</v>
      </c>
      <c r="B440" s="296" t="s">
        <v>710</v>
      </c>
      <c r="C440" s="150" t="s">
        <v>1136</v>
      </c>
      <c r="D440" s="332" t="s">
        <v>1135</v>
      </c>
      <c r="E440" s="383" t="s">
        <v>1135</v>
      </c>
      <c r="F440" s="331" t="s">
        <v>1137</v>
      </c>
      <c r="G440" s="512" t="s">
        <v>639</v>
      </c>
      <c r="H440" s="393" t="s">
        <v>2348</v>
      </c>
      <c r="I440" s="343" t="s">
        <v>2343</v>
      </c>
      <c r="J440" s="150" t="s">
        <v>1171</v>
      </c>
      <c r="K440" s="91" t="s">
        <v>711</v>
      </c>
      <c r="L440" s="343"/>
      <c r="M440" s="346" t="s">
        <v>2339</v>
      </c>
      <c r="N440" s="346" t="s">
        <v>1710</v>
      </c>
      <c r="O440" s="386" t="s">
        <v>707</v>
      </c>
      <c r="P440" s="346" t="s">
        <v>1348</v>
      </c>
      <c r="Q440" s="437"/>
      <c r="R440" s="358">
        <v>4128.4799999999996</v>
      </c>
      <c r="S440" s="378">
        <v>0</v>
      </c>
      <c r="T440" s="430"/>
      <c r="U440" s="137"/>
      <c r="V440" s="433"/>
      <c r="W440" s="434"/>
      <c r="X440" s="434"/>
      <c r="Y440" s="428" t="s">
        <v>1142</v>
      </c>
      <c r="Z440" s="429">
        <v>0</v>
      </c>
      <c r="AA440" s="429">
        <v>0</v>
      </c>
      <c r="AB440" s="388">
        <v>0</v>
      </c>
      <c r="AC440" s="388">
        <v>0</v>
      </c>
      <c r="AD440" s="388">
        <v>0</v>
      </c>
      <c r="AE440" s="388">
        <v>0</v>
      </c>
      <c r="AF440" s="388">
        <v>0</v>
      </c>
      <c r="AG440" s="388">
        <v>0</v>
      </c>
      <c r="AH440" s="360">
        <f t="shared" si="23"/>
        <v>0</v>
      </c>
      <c r="AI440" s="362">
        <f>ERP_5[[#This Row],[2026 Working Total]]-ERP_5[[#This Row],[LE2 Final Submission]]</f>
        <v>0</v>
      </c>
      <c r="AJ440" s="79">
        <v>0</v>
      </c>
      <c r="AK440" s="79">
        <f t="shared" si="22"/>
        <v>0</v>
      </c>
      <c r="AL440" s="374">
        <f>SUM(ERP_5[[#This Row],[AP01]:[AP06]])-SUM(ERP_5[[#This Row],[AP01 LE2]:[AP06 LE2]])</f>
        <v>0</v>
      </c>
      <c r="AM440" s="80"/>
      <c r="AN440" s="79">
        <f>ERP_5[[#This Row],[2026 Working Total to Budget/LE]]-ERP_5[[#This Row],[Giveback]]</f>
        <v>0</v>
      </c>
      <c r="AO440" s="81"/>
      <c r="AP440" s="375"/>
      <c r="AQ440" s="375"/>
      <c r="AR440" s="375"/>
      <c r="AS440" s="375">
        <v>0</v>
      </c>
      <c r="AT440" s="375">
        <v>0</v>
      </c>
      <c r="AU440" s="375">
        <v>0</v>
      </c>
      <c r="AV440" s="375">
        <v>0</v>
      </c>
      <c r="AW440" s="375">
        <v>0</v>
      </c>
      <c r="AX440" s="375">
        <v>0</v>
      </c>
      <c r="AY440" s="375">
        <v>0</v>
      </c>
      <c r="AZ440" s="375">
        <v>0</v>
      </c>
      <c r="BA440" s="375">
        <v>0</v>
      </c>
      <c r="BB440" s="375">
        <v>0</v>
      </c>
      <c r="BC440" s="103">
        <v>4128.4799999999996</v>
      </c>
      <c r="BD440" s="103">
        <v>0</v>
      </c>
      <c r="BE440" s="103">
        <v>0</v>
      </c>
      <c r="BF440" s="103">
        <v>0</v>
      </c>
      <c r="BG440" s="103">
        <v>0</v>
      </c>
      <c r="BH440" s="103">
        <v>0</v>
      </c>
      <c r="BI440" s="103">
        <v>0</v>
      </c>
      <c r="BJ440" s="103">
        <v>0</v>
      </c>
      <c r="BK440" s="103">
        <v>0</v>
      </c>
      <c r="BL440" s="103">
        <v>0</v>
      </c>
      <c r="BM440" s="103">
        <v>0</v>
      </c>
      <c r="BN440" s="103">
        <v>0</v>
      </c>
      <c r="BO440" s="79">
        <f>SUM(ERP_5[[#This Row],[2026 AP01]:[2026 AP12]])</f>
        <v>4128.4799999999996</v>
      </c>
    </row>
    <row r="441" spans="1:67" ht="15" customHeight="1">
      <c r="A441" s="79" t="s">
        <v>2349</v>
      </c>
      <c r="B441" s="296" t="s">
        <v>712</v>
      </c>
      <c r="C441" s="150" t="s">
        <v>1136</v>
      </c>
      <c r="D441" s="332" t="s">
        <v>1135</v>
      </c>
      <c r="E441" s="383" t="s">
        <v>1135</v>
      </c>
      <c r="F441" s="331" t="s">
        <v>1137</v>
      </c>
      <c r="G441" s="512" t="s">
        <v>639</v>
      </c>
      <c r="H441" s="393" t="s">
        <v>2350</v>
      </c>
      <c r="I441" s="343" t="s">
        <v>2343</v>
      </c>
      <c r="J441" s="150" t="s">
        <v>1171</v>
      </c>
      <c r="K441" s="91" t="s">
        <v>713</v>
      </c>
      <c r="L441" s="343"/>
      <c r="M441" s="346" t="s">
        <v>2339</v>
      </c>
      <c r="N441" s="346" t="s">
        <v>1710</v>
      </c>
      <c r="O441" s="386" t="s">
        <v>707</v>
      </c>
      <c r="P441" s="346" t="s">
        <v>1348</v>
      </c>
      <c r="Q441" s="437"/>
      <c r="R441" s="358">
        <v>-4128.4799999999996</v>
      </c>
      <c r="S441" s="378">
        <v>0</v>
      </c>
      <c r="T441" s="425"/>
      <c r="U441" s="71"/>
      <c r="V441" s="433"/>
      <c r="W441" s="434"/>
      <c r="X441" s="434"/>
      <c r="Y441" s="428" t="s">
        <v>1142</v>
      </c>
      <c r="Z441" s="429">
        <v>0</v>
      </c>
      <c r="AA441" s="429">
        <v>0</v>
      </c>
      <c r="AB441" s="388">
        <v>0</v>
      </c>
      <c r="AC441" s="388">
        <v>0</v>
      </c>
      <c r="AD441" s="388">
        <v>0</v>
      </c>
      <c r="AE441" s="388">
        <v>0</v>
      </c>
      <c r="AF441" s="388">
        <v>0</v>
      </c>
      <c r="AG441" s="388">
        <v>0</v>
      </c>
      <c r="AH441" s="360">
        <f t="shared" si="23"/>
        <v>0</v>
      </c>
      <c r="AI441" s="362">
        <f>ERP_5[[#This Row],[2026 Working Total]]-ERP_5[[#This Row],[LE2 Final Submission]]</f>
        <v>0</v>
      </c>
      <c r="AJ441" s="79">
        <v>0</v>
      </c>
      <c r="AK441" s="79">
        <f t="shared" si="22"/>
        <v>0</v>
      </c>
      <c r="AL441" s="374">
        <f>SUM(ERP_5[[#This Row],[AP01]:[AP06]])-SUM(ERP_5[[#This Row],[AP01 LE2]:[AP06 LE2]])</f>
        <v>0</v>
      </c>
      <c r="AM441" s="80"/>
      <c r="AN441" s="79">
        <f>ERP_5[[#This Row],[2026 Working Total to Budget/LE]]-ERP_5[[#This Row],[Giveback]]</f>
        <v>0</v>
      </c>
      <c r="AO441" s="81"/>
      <c r="AP441" s="375"/>
      <c r="AQ441" s="375"/>
      <c r="AR441" s="375"/>
      <c r="AS441" s="375">
        <v>0</v>
      </c>
      <c r="AT441" s="375">
        <v>0</v>
      </c>
      <c r="AU441" s="375">
        <v>0</v>
      </c>
      <c r="AV441" s="375">
        <v>0</v>
      </c>
      <c r="AW441" s="375">
        <v>0</v>
      </c>
      <c r="AX441" s="375">
        <v>0</v>
      </c>
      <c r="AY441" s="375">
        <v>0</v>
      </c>
      <c r="AZ441" s="375">
        <v>0</v>
      </c>
      <c r="BA441" s="375">
        <v>0</v>
      </c>
      <c r="BB441" s="375">
        <v>0</v>
      </c>
      <c r="BC441" s="103">
        <v>-4128.4799999999996</v>
      </c>
      <c r="BD441" s="103">
        <v>0</v>
      </c>
      <c r="BE441" s="103">
        <v>0</v>
      </c>
      <c r="BF441" s="103">
        <v>0</v>
      </c>
      <c r="BG441" s="103">
        <v>0</v>
      </c>
      <c r="BH441" s="103">
        <v>0</v>
      </c>
      <c r="BI441" s="103">
        <v>0</v>
      </c>
      <c r="BJ441" s="103">
        <v>0</v>
      </c>
      <c r="BK441" s="103">
        <v>0</v>
      </c>
      <c r="BL441" s="103">
        <v>0</v>
      </c>
      <c r="BM441" s="103">
        <v>0</v>
      </c>
      <c r="BN441" s="103">
        <v>0</v>
      </c>
      <c r="BO441" s="79">
        <f>SUM(ERP_5[[#This Row],[2026 AP01]:[2026 AP12]])</f>
        <v>-4128.4799999999996</v>
      </c>
    </row>
    <row r="442" spans="1:67" ht="15" customHeight="1">
      <c r="A442" s="79" t="s">
        <v>2351</v>
      </c>
      <c r="B442" s="296" t="s">
        <v>714</v>
      </c>
      <c r="C442" s="150" t="s">
        <v>1136</v>
      </c>
      <c r="D442" s="332" t="s">
        <v>1135</v>
      </c>
      <c r="E442" s="383" t="s">
        <v>1135</v>
      </c>
      <c r="F442" s="331" t="s">
        <v>1137</v>
      </c>
      <c r="G442" s="512" t="s">
        <v>639</v>
      </c>
      <c r="H442" s="393" t="s">
        <v>2352</v>
      </c>
      <c r="I442" s="343" t="s">
        <v>2343</v>
      </c>
      <c r="J442" s="150" t="s">
        <v>1171</v>
      </c>
      <c r="K442" s="91" t="s">
        <v>715</v>
      </c>
      <c r="L442" s="343"/>
      <c r="M442" s="346" t="s">
        <v>2339</v>
      </c>
      <c r="N442" s="346" t="s">
        <v>1710</v>
      </c>
      <c r="O442" s="386" t="s">
        <v>707</v>
      </c>
      <c r="P442" s="346" t="s">
        <v>1348</v>
      </c>
      <c r="Q442" s="437"/>
      <c r="R442" s="358">
        <v>37248.410000000003</v>
      </c>
      <c r="S442" s="378">
        <v>0</v>
      </c>
      <c r="T442" s="425"/>
      <c r="U442" s="71"/>
      <c r="V442" s="433"/>
      <c r="W442" s="434"/>
      <c r="X442" s="434"/>
      <c r="Y442" s="428" t="s">
        <v>1142</v>
      </c>
      <c r="Z442" s="429">
        <v>0</v>
      </c>
      <c r="AA442" s="429">
        <v>0</v>
      </c>
      <c r="AB442" s="388">
        <v>0</v>
      </c>
      <c r="AC442" s="388">
        <v>0</v>
      </c>
      <c r="AD442" s="388">
        <v>0</v>
      </c>
      <c r="AE442" s="388">
        <v>0</v>
      </c>
      <c r="AF442" s="388">
        <v>0</v>
      </c>
      <c r="AG442" s="388">
        <v>0</v>
      </c>
      <c r="AH442" s="360">
        <f t="shared" si="23"/>
        <v>0</v>
      </c>
      <c r="AI442" s="362">
        <f>ERP_5[[#This Row],[2026 Working Total]]-ERP_5[[#This Row],[LE2 Final Submission]]</f>
        <v>0</v>
      </c>
      <c r="AJ442" s="79">
        <v>0</v>
      </c>
      <c r="AK442" s="79">
        <f t="shared" si="22"/>
        <v>0</v>
      </c>
      <c r="AL442" s="374">
        <f>SUM(ERP_5[[#This Row],[AP01]:[AP06]])-SUM(ERP_5[[#This Row],[AP01 LE2]:[AP06 LE2]])</f>
        <v>0</v>
      </c>
      <c r="AM442" s="80"/>
      <c r="AN442" s="79">
        <f>ERP_5[[#This Row],[2026 Working Total to Budget/LE]]-ERP_5[[#This Row],[Giveback]]</f>
        <v>0</v>
      </c>
      <c r="AO442" s="81"/>
      <c r="AP442" s="375"/>
      <c r="AQ442" s="375"/>
      <c r="AR442" s="375"/>
      <c r="AS442" s="375">
        <v>0</v>
      </c>
      <c r="AT442" s="375">
        <v>0</v>
      </c>
      <c r="AU442" s="375">
        <v>0</v>
      </c>
      <c r="AV442" s="375">
        <v>0</v>
      </c>
      <c r="AW442" s="375">
        <v>0</v>
      </c>
      <c r="AX442" s="375">
        <v>0</v>
      </c>
      <c r="AY442" s="375">
        <v>0</v>
      </c>
      <c r="AZ442" s="375">
        <v>0</v>
      </c>
      <c r="BA442" s="375">
        <v>0</v>
      </c>
      <c r="BB442" s="375">
        <v>0</v>
      </c>
      <c r="BC442" s="103">
        <v>37248.410000000003</v>
      </c>
      <c r="BD442" s="103">
        <v>0</v>
      </c>
      <c r="BE442" s="103">
        <v>0</v>
      </c>
      <c r="BF442" s="103">
        <v>0</v>
      </c>
      <c r="BG442" s="103">
        <v>0</v>
      </c>
      <c r="BH442" s="103">
        <v>0</v>
      </c>
      <c r="BI442" s="103">
        <v>0</v>
      </c>
      <c r="BJ442" s="103">
        <v>0</v>
      </c>
      <c r="BK442" s="103">
        <v>0</v>
      </c>
      <c r="BL442" s="103">
        <v>0</v>
      </c>
      <c r="BM442" s="103">
        <v>0</v>
      </c>
      <c r="BN442" s="103">
        <v>0</v>
      </c>
      <c r="BO442" s="79">
        <f>SUM(ERP_5[[#This Row],[2026 AP01]:[2026 AP12]])</f>
        <v>37248.410000000003</v>
      </c>
    </row>
    <row r="443" spans="1:67" ht="15" customHeight="1">
      <c r="A443" s="79" t="s">
        <v>2353</v>
      </c>
      <c r="B443" s="296" t="s">
        <v>716</v>
      </c>
      <c r="C443" s="150" t="s">
        <v>1136</v>
      </c>
      <c r="D443" s="332" t="s">
        <v>1135</v>
      </c>
      <c r="E443" s="383" t="s">
        <v>1135</v>
      </c>
      <c r="F443" s="331" t="s">
        <v>1137</v>
      </c>
      <c r="G443" s="512" t="s">
        <v>639</v>
      </c>
      <c r="H443" s="393" t="s">
        <v>2354</v>
      </c>
      <c r="I443" s="343" t="s">
        <v>2343</v>
      </c>
      <c r="J443" s="150" t="s">
        <v>1171</v>
      </c>
      <c r="K443" s="91" t="s">
        <v>717</v>
      </c>
      <c r="L443" s="343"/>
      <c r="M443" s="346" t="s">
        <v>2339</v>
      </c>
      <c r="N443" s="346" t="s">
        <v>1710</v>
      </c>
      <c r="O443" s="386" t="s">
        <v>707</v>
      </c>
      <c r="P443" s="346" t="s">
        <v>1348</v>
      </c>
      <c r="Q443" s="437"/>
      <c r="R443" s="358">
        <v>-37248.410000000003</v>
      </c>
      <c r="S443" s="378">
        <v>0</v>
      </c>
      <c r="T443" s="430"/>
      <c r="U443" s="137"/>
      <c r="V443" s="433"/>
      <c r="W443" s="434"/>
      <c r="X443" s="434"/>
      <c r="Y443" s="428" t="s">
        <v>1142</v>
      </c>
      <c r="Z443" s="429">
        <v>0</v>
      </c>
      <c r="AA443" s="429">
        <v>0</v>
      </c>
      <c r="AB443" s="388">
        <v>0</v>
      </c>
      <c r="AC443" s="388">
        <v>0</v>
      </c>
      <c r="AD443" s="388">
        <v>0</v>
      </c>
      <c r="AE443" s="388">
        <v>0</v>
      </c>
      <c r="AF443" s="388">
        <v>0</v>
      </c>
      <c r="AG443" s="388">
        <v>0</v>
      </c>
      <c r="AH443" s="360">
        <f t="shared" si="23"/>
        <v>0</v>
      </c>
      <c r="AI443" s="362">
        <f>ERP_5[[#This Row],[2026 Working Total]]-ERP_5[[#This Row],[LE2 Final Submission]]</f>
        <v>0</v>
      </c>
      <c r="AJ443" s="79">
        <v>0</v>
      </c>
      <c r="AK443" s="79">
        <f t="shared" si="22"/>
        <v>0</v>
      </c>
      <c r="AL443" s="374">
        <f>SUM(ERP_5[[#This Row],[AP01]:[AP06]])-SUM(ERP_5[[#This Row],[AP01 LE2]:[AP06 LE2]])</f>
        <v>0</v>
      </c>
      <c r="AM443" s="80"/>
      <c r="AN443" s="79">
        <f>ERP_5[[#This Row],[2026 Working Total to Budget/LE]]-ERP_5[[#This Row],[Giveback]]</f>
        <v>0</v>
      </c>
      <c r="AO443" s="81"/>
      <c r="AP443" s="375"/>
      <c r="AQ443" s="375"/>
      <c r="AR443" s="375"/>
      <c r="AS443" s="375">
        <v>0</v>
      </c>
      <c r="AT443" s="375">
        <v>0</v>
      </c>
      <c r="AU443" s="375">
        <v>0</v>
      </c>
      <c r="AV443" s="375">
        <v>0</v>
      </c>
      <c r="AW443" s="375">
        <v>0</v>
      </c>
      <c r="AX443" s="375">
        <v>0</v>
      </c>
      <c r="AY443" s="375">
        <v>0</v>
      </c>
      <c r="AZ443" s="375">
        <v>0</v>
      </c>
      <c r="BA443" s="375">
        <v>0</v>
      </c>
      <c r="BB443" s="375">
        <v>0</v>
      </c>
      <c r="BC443" s="103">
        <v>-37248.410000000003</v>
      </c>
      <c r="BD443" s="103">
        <v>0</v>
      </c>
      <c r="BE443" s="103">
        <v>0</v>
      </c>
      <c r="BF443" s="103">
        <v>0</v>
      </c>
      <c r="BG443" s="103">
        <v>0</v>
      </c>
      <c r="BH443" s="103">
        <v>0</v>
      </c>
      <c r="BI443" s="103">
        <v>0</v>
      </c>
      <c r="BJ443" s="103">
        <v>0</v>
      </c>
      <c r="BK443" s="103">
        <v>0</v>
      </c>
      <c r="BL443" s="103">
        <v>0</v>
      </c>
      <c r="BM443" s="103">
        <v>0</v>
      </c>
      <c r="BN443" s="103">
        <v>0</v>
      </c>
      <c r="BO443" s="79">
        <f>SUM(ERP_5[[#This Row],[2026 AP01]:[2026 AP12]])</f>
        <v>-37248.410000000003</v>
      </c>
    </row>
    <row r="444" spans="1:67" ht="15" customHeight="1">
      <c r="A444" s="79" t="s">
        <v>2355</v>
      </c>
      <c r="B444" s="296" t="s">
        <v>718</v>
      </c>
      <c r="C444" s="150" t="s">
        <v>1136</v>
      </c>
      <c r="D444" s="332" t="s">
        <v>1135</v>
      </c>
      <c r="E444" s="383" t="s">
        <v>1135</v>
      </c>
      <c r="F444" s="331" t="s">
        <v>1137</v>
      </c>
      <c r="G444" s="512" t="s">
        <v>639</v>
      </c>
      <c r="H444" s="393" t="s">
        <v>2356</v>
      </c>
      <c r="I444" s="343" t="s">
        <v>2343</v>
      </c>
      <c r="J444" s="150" t="s">
        <v>1171</v>
      </c>
      <c r="K444" s="91" t="s">
        <v>719</v>
      </c>
      <c r="L444" s="343"/>
      <c r="M444" s="346" t="s">
        <v>2339</v>
      </c>
      <c r="N444" s="346" t="s">
        <v>1710</v>
      </c>
      <c r="O444" s="386" t="s">
        <v>707</v>
      </c>
      <c r="P444" s="346" t="s">
        <v>1348</v>
      </c>
      <c r="Q444" s="437"/>
      <c r="R444" s="358">
        <v>40181.519999999997</v>
      </c>
      <c r="S444" s="378">
        <v>0</v>
      </c>
      <c r="T444" s="425"/>
      <c r="U444" s="71"/>
      <c r="V444" s="433"/>
      <c r="W444" s="434"/>
      <c r="X444" s="434"/>
      <c r="Y444" s="428" t="s">
        <v>1142</v>
      </c>
      <c r="Z444" s="429">
        <v>0</v>
      </c>
      <c r="AA444" s="429">
        <v>0</v>
      </c>
      <c r="AB444" s="388">
        <v>0</v>
      </c>
      <c r="AC444" s="388">
        <v>0</v>
      </c>
      <c r="AD444" s="388">
        <v>0</v>
      </c>
      <c r="AE444" s="388">
        <v>0</v>
      </c>
      <c r="AF444" s="388">
        <v>0</v>
      </c>
      <c r="AG444" s="388">
        <v>0</v>
      </c>
      <c r="AH444" s="360">
        <f t="shared" si="23"/>
        <v>0</v>
      </c>
      <c r="AI444" s="362">
        <f>ERP_5[[#This Row],[2026 Working Total]]-ERP_5[[#This Row],[LE2 Final Submission]]</f>
        <v>0</v>
      </c>
      <c r="AJ444" s="79">
        <v>0</v>
      </c>
      <c r="AK444" s="79">
        <f t="shared" si="22"/>
        <v>0</v>
      </c>
      <c r="AL444" s="374">
        <f>SUM(ERP_5[[#This Row],[AP01]:[AP06]])-SUM(ERP_5[[#This Row],[AP01 LE2]:[AP06 LE2]])</f>
        <v>0</v>
      </c>
      <c r="AM444" s="80"/>
      <c r="AN444" s="79">
        <f>ERP_5[[#This Row],[2026 Working Total to Budget/LE]]-ERP_5[[#This Row],[Giveback]]</f>
        <v>0</v>
      </c>
      <c r="AO444" s="81"/>
      <c r="AP444" s="375"/>
      <c r="AQ444" s="375"/>
      <c r="AR444" s="375"/>
      <c r="AS444" s="375">
        <v>0</v>
      </c>
      <c r="AT444" s="375">
        <v>0</v>
      </c>
      <c r="AU444" s="375">
        <v>0</v>
      </c>
      <c r="AV444" s="375">
        <v>0</v>
      </c>
      <c r="AW444" s="375">
        <v>0</v>
      </c>
      <c r="AX444" s="375">
        <v>0</v>
      </c>
      <c r="AY444" s="375">
        <v>0</v>
      </c>
      <c r="AZ444" s="375">
        <v>0</v>
      </c>
      <c r="BA444" s="375">
        <v>0</v>
      </c>
      <c r="BB444" s="375">
        <v>0</v>
      </c>
      <c r="BC444" s="103">
        <v>40181.519999999997</v>
      </c>
      <c r="BD444" s="103">
        <v>0</v>
      </c>
      <c r="BE444" s="103">
        <v>0</v>
      </c>
      <c r="BF444" s="103">
        <v>0</v>
      </c>
      <c r="BG444" s="103">
        <v>0</v>
      </c>
      <c r="BH444" s="103">
        <v>0</v>
      </c>
      <c r="BI444" s="103">
        <v>0</v>
      </c>
      <c r="BJ444" s="103">
        <v>0</v>
      </c>
      <c r="BK444" s="103">
        <v>0</v>
      </c>
      <c r="BL444" s="103">
        <v>0</v>
      </c>
      <c r="BM444" s="103">
        <v>0</v>
      </c>
      <c r="BN444" s="103">
        <v>0</v>
      </c>
      <c r="BO444" s="79">
        <f>SUM(ERP_5[[#This Row],[2026 AP01]:[2026 AP12]])</f>
        <v>40181.519999999997</v>
      </c>
    </row>
    <row r="445" spans="1:67" ht="15" customHeight="1">
      <c r="A445" s="79" t="s">
        <v>2357</v>
      </c>
      <c r="B445" s="296" t="s">
        <v>720</v>
      </c>
      <c r="C445" s="150" t="s">
        <v>1136</v>
      </c>
      <c r="D445" s="332" t="s">
        <v>1135</v>
      </c>
      <c r="E445" s="383" t="s">
        <v>1135</v>
      </c>
      <c r="F445" s="331" t="s">
        <v>1137</v>
      </c>
      <c r="G445" s="512" t="s">
        <v>639</v>
      </c>
      <c r="H445" s="393" t="s">
        <v>2358</v>
      </c>
      <c r="I445" s="343" t="s">
        <v>2343</v>
      </c>
      <c r="J445" s="150" t="s">
        <v>1171</v>
      </c>
      <c r="K445" s="91" t="s">
        <v>721</v>
      </c>
      <c r="L445" s="343"/>
      <c r="M445" s="346" t="s">
        <v>2339</v>
      </c>
      <c r="N445" s="346" t="s">
        <v>1710</v>
      </c>
      <c r="O445" s="386" t="s">
        <v>707</v>
      </c>
      <c r="P445" s="346" t="s">
        <v>1348</v>
      </c>
      <c r="Q445" s="437"/>
      <c r="R445" s="358">
        <v>-40181</v>
      </c>
      <c r="S445" s="378">
        <v>0</v>
      </c>
      <c r="T445" s="425"/>
      <c r="U445" s="71"/>
      <c r="V445" s="433"/>
      <c r="W445" s="434"/>
      <c r="X445" s="434"/>
      <c r="Y445" s="428" t="s">
        <v>1142</v>
      </c>
      <c r="Z445" s="429">
        <v>0</v>
      </c>
      <c r="AA445" s="429">
        <v>0</v>
      </c>
      <c r="AB445" s="388">
        <v>0</v>
      </c>
      <c r="AC445" s="388">
        <v>0</v>
      </c>
      <c r="AD445" s="388">
        <v>0</v>
      </c>
      <c r="AE445" s="388">
        <v>0</v>
      </c>
      <c r="AF445" s="388">
        <v>0</v>
      </c>
      <c r="AG445" s="388">
        <v>0</v>
      </c>
      <c r="AH445" s="360">
        <f t="shared" si="23"/>
        <v>0</v>
      </c>
      <c r="AI445" s="362">
        <f>ERP_5[[#This Row],[2026 Working Total]]-ERP_5[[#This Row],[LE2 Final Submission]]</f>
        <v>0</v>
      </c>
      <c r="AJ445" s="79">
        <v>0</v>
      </c>
      <c r="AK445" s="79">
        <f t="shared" si="22"/>
        <v>0</v>
      </c>
      <c r="AL445" s="374">
        <f>SUM(ERP_5[[#This Row],[AP01]:[AP06]])-SUM(ERP_5[[#This Row],[AP01 LE2]:[AP06 LE2]])</f>
        <v>0</v>
      </c>
      <c r="AM445" s="80"/>
      <c r="AN445" s="79">
        <f>ERP_5[[#This Row],[2026 Working Total to Budget/LE]]-ERP_5[[#This Row],[Giveback]]</f>
        <v>0</v>
      </c>
      <c r="AO445" s="81"/>
      <c r="AP445" s="375"/>
      <c r="AQ445" s="375"/>
      <c r="AR445" s="375"/>
      <c r="AS445" s="375">
        <v>0</v>
      </c>
      <c r="AT445" s="375">
        <v>0</v>
      </c>
      <c r="AU445" s="375">
        <v>0</v>
      </c>
      <c r="AV445" s="375">
        <v>0</v>
      </c>
      <c r="AW445" s="375">
        <v>0</v>
      </c>
      <c r="AX445" s="375">
        <v>0</v>
      </c>
      <c r="AY445" s="375">
        <v>0</v>
      </c>
      <c r="AZ445" s="375">
        <v>0</v>
      </c>
      <c r="BA445" s="375">
        <v>0</v>
      </c>
      <c r="BB445" s="375">
        <v>0</v>
      </c>
      <c r="BC445" s="103">
        <v>-40181</v>
      </c>
      <c r="BD445" s="103">
        <v>0</v>
      </c>
      <c r="BE445" s="103">
        <v>0</v>
      </c>
      <c r="BF445" s="103">
        <v>0</v>
      </c>
      <c r="BG445" s="103">
        <v>0</v>
      </c>
      <c r="BH445" s="103">
        <v>0</v>
      </c>
      <c r="BI445" s="103">
        <v>0</v>
      </c>
      <c r="BJ445" s="103">
        <v>0</v>
      </c>
      <c r="BK445" s="103">
        <v>0</v>
      </c>
      <c r="BL445" s="103">
        <v>0</v>
      </c>
      <c r="BM445" s="103">
        <v>0</v>
      </c>
      <c r="BN445" s="103">
        <v>0</v>
      </c>
      <c r="BO445" s="79">
        <f>SUM(ERP_5[[#This Row],[2026 AP01]:[2026 AP12]])</f>
        <v>-40181</v>
      </c>
    </row>
    <row r="446" spans="1:67" ht="15" customHeight="1">
      <c r="A446" s="79" t="s">
        <v>2359</v>
      </c>
      <c r="B446" s="296" t="s">
        <v>722</v>
      </c>
      <c r="C446" s="150" t="s">
        <v>1136</v>
      </c>
      <c r="D446" s="332" t="s">
        <v>1135</v>
      </c>
      <c r="E446" s="383" t="s">
        <v>1135</v>
      </c>
      <c r="F446" s="331" t="s">
        <v>1137</v>
      </c>
      <c r="G446" s="512" t="s">
        <v>639</v>
      </c>
      <c r="H446" s="393" t="s">
        <v>2360</v>
      </c>
      <c r="I446" s="343" t="s">
        <v>2343</v>
      </c>
      <c r="J446" s="150" t="s">
        <v>1171</v>
      </c>
      <c r="K446" s="91" t="s">
        <v>723</v>
      </c>
      <c r="L446" s="343"/>
      <c r="M446" s="346" t="s">
        <v>2339</v>
      </c>
      <c r="N446" s="346" t="s">
        <v>1710</v>
      </c>
      <c r="O446" s="386" t="s">
        <v>707</v>
      </c>
      <c r="P446" s="346" t="s">
        <v>1348</v>
      </c>
      <c r="Q446" s="437"/>
      <c r="R446" s="358">
        <v>253752.12</v>
      </c>
      <c r="S446" s="378">
        <v>0</v>
      </c>
      <c r="T446" s="430"/>
      <c r="U446" s="137"/>
      <c r="V446" s="433"/>
      <c r="W446" s="434"/>
      <c r="X446" s="434"/>
      <c r="Y446" s="428" t="s">
        <v>1142</v>
      </c>
      <c r="Z446" s="429">
        <v>0</v>
      </c>
      <c r="AA446" s="429">
        <v>0</v>
      </c>
      <c r="AB446" s="388">
        <v>0</v>
      </c>
      <c r="AC446" s="388">
        <v>0</v>
      </c>
      <c r="AD446" s="388">
        <v>0</v>
      </c>
      <c r="AE446" s="388">
        <v>0</v>
      </c>
      <c r="AF446" s="388">
        <v>0</v>
      </c>
      <c r="AG446" s="388">
        <v>0</v>
      </c>
      <c r="AH446" s="360">
        <f t="shared" si="23"/>
        <v>0</v>
      </c>
      <c r="AI446" s="362">
        <f>ERP_5[[#This Row],[2026 Working Total]]-ERP_5[[#This Row],[LE2 Final Submission]]</f>
        <v>0</v>
      </c>
      <c r="AJ446" s="79">
        <v>0</v>
      </c>
      <c r="AK446" s="79">
        <f t="shared" si="22"/>
        <v>0</v>
      </c>
      <c r="AL446" s="374">
        <f>SUM(ERP_5[[#This Row],[AP01]:[AP06]])-SUM(ERP_5[[#This Row],[AP01 LE2]:[AP06 LE2]])</f>
        <v>0</v>
      </c>
      <c r="AM446" s="80"/>
      <c r="AN446" s="79">
        <f>ERP_5[[#This Row],[2026 Working Total to Budget/LE]]-ERP_5[[#This Row],[Giveback]]</f>
        <v>0</v>
      </c>
      <c r="AO446" s="81"/>
      <c r="AP446" s="375"/>
      <c r="AQ446" s="375"/>
      <c r="AR446" s="375"/>
      <c r="AS446" s="375">
        <v>0</v>
      </c>
      <c r="AT446" s="375">
        <v>0</v>
      </c>
      <c r="AU446" s="375">
        <v>0</v>
      </c>
      <c r="AV446" s="375">
        <v>0</v>
      </c>
      <c r="AW446" s="375">
        <v>0</v>
      </c>
      <c r="AX446" s="375">
        <v>0</v>
      </c>
      <c r="AY446" s="375">
        <v>0</v>
      </c>
      <c r="AZ446" s="375">
        <v>0</v>
      </c>
      <c r="BA446" s="375">
        <v>0</v>
      </c>
      <c r="BB446" s="375">
        <v>0</v>
      </c>
      <c r="BC446" s="103">
        <v>253752.12</v>
      </c>
      <c r="BD446" s="103">
        <v>0</v>
      </c>
      <c r="BE446" s="103">
        <v>0</v>
      </c>
      <c r="BF446" s="103">
        <v>0</v>
      </c>
      <c r="BG446" s="103">
        <v>0</v>
      </c>
      <c r="BH446" s="103">
        <v>0</v>
      </c>
      <c r="BI446" s="103">
        <v>0</v>
      </c>
      <c r="BJ446" s="103">
        <v>0</v>
      </c>
      <c r="BK446" s="103">
        <v>0</v>
      </c>
      <c r="BL446" s="103">
        <v>0</v>
      </c>
      <c r="BM446" s="103">
        <v>0</v>
      </c>
      <c r="BN446" s="103">
        <v>0</v>
      </c>
      <c r="BO446" s="79">
        <f>SUM(ERP_5[[#This Row],[2026 AP01]:[2026 AP12]])</f>
        <v>253752.12</v>
      </c>
    </row>
    <row r="447" spans="1:67" ht="15" customHeight="1">
      <c r="A447" s="79" t="s">
        <v>2361</v>
      </c>
      <c r="B447" s="296" t="s">
        <v>724</v>
      </c>
      <c r="C447" s="150" t="s">
        <v>1136</v>
      </c>
      <c r="D447" s="332" t="s">
        <v>1135</v>
      </c>
      <c r="E447" s="383" t="s">
        <v>1135</v>
      </c>
      <c r="F447" s="331" t="s">
        <v>1137</v>
      </c>
      <c r="G447" s="512" t="s">
        <v>639</v>
      </c>
      <c r="H447" s="393" t="s">
        <v>2362</v>
      </c>
      <c r="I447" s="343" t="s">
        <v>2343</v>
      </c>
      <c r="J447" s="150" t="s">
        <v>1171</v>
      </c>
      <c r="K447" s="91" t="s">
        <v>725</v>
      </c>
      <c r="L447" s="343"/>
      <c r="M447" s="346" t="s">
        <v>2339</v>
      </c>
      <c r="N447" s="346" t="s">
        <v>1710</v>
      </c>
      <c r="O447" s="386" t="s">
        <v>707</v>
      </c>
      <c r="P447" s="346" t="s">
        <v>1348</v>
      </c>
      <c r="Q447" s="437"/>
      <c r="R447" s="358">
        <v>-253752.12</v>
      </c>
      <c r="S447" s="378">
        <v>0</v>
      </c>
      <c r="T447" s="425"/>
      <c r="U447" s="71"/>
      <c r="V447" s="433"/>
      <c r="W447" s="434"/>
      <c r="X447" s="434"/>
      <c r="Y447" s="428" t="s">
        <v>1142</v>
      </c>
      <c r="Z447" s="429">
        <v>0</v>
      </c>
      <c r="AA447" s="429">
        <v>0</v>
      </c>
      <c r="AB447" s="388">
        <v>0</v>
      </c>
      <c r="AC447" s="388">
        <v>0</v>
      </c>
      <c r="AD447" s="388">
        <v>0</v>
      </c>
      <c r="AE447" s="388">
        <v>0</v>
      </c>
      <c r="AF447" s="388">
        <v>0</v>
      </c>
      <c r="AG447" s="388">
        <v>0</v>
      </c>
      <c r="AH447" s="360">
        <f t="shared" si="23"/>
        <v>0</v>
      </c>
      <c r="AI447" s="362">
        <f>ERP_5[[#This Row],[2026 Working Total]]-ERP_5[[#This Row],[LE2 Final Submission]]</f>
        <v>0</v>
      </c>
      <c r="AJ447" s="79">
        <v>0</v>
      </c>
      <c r="AK447" s="79">
        <f t="shared" si="22"/>
        <v>0</v>
      </c>
      <c r="AL447" s="374">
        <f>SUM(ERP_5[[#This Row],[AP01]:[AP06]])-SUM(ERP_5[[#This Row],[AP01 LE2]:[AP06 LE2]])</f>
        <v>0</v>
      </c>
      <c r="AM447" s="80"/>
      <c r="AN447" s="79">
        <f>ERP_5[[#This Row],[2026 Working Total to Budget/LE]]-ERP_5[[#This Row],[Giveback]]</f>
        <v>0</v>
      </c>
      <c r="AO447" s="81"/>
      <c r="AP447" s="375"/>
      <c r="AQ447" s="375"/>
      <c r="AR447" s="375"/>
      <c r="AS447" s="375">
        <v>0</v>
      </c>
      <c r="AT447" s="375">
        <v>0</v>
      </c>
      <c r="AU447" s="375">
        <v>0</v>
      </c>
      <c r="AV447" s="375">
        <v>0</v>
      </c>
      <c r="AW447" s="375">
        <v>0</v>
      </c>
      <c r="AX447" s="375">
        <v>0</v>
      </c>
      <c r="AY447" s="375">
        <v>0</v>
      </c>
      <c r="AZ447" s="375">
        <v>0</v>
      </c>
      <c r="BA447" s="375">
        <v>0</v>
      </c>
      <c r="BB447" s="375">
        <v>0</v>
      </c>
      <c r="BC447" s="103">
        <v>-253752.12</v>
      </c>
      <c r="BD447" s="103">
        <v>0</v>
      </c>
      <c r="BE447" s="103">
        <v>0</v>
      </c>
      <c r="BF447" s="103">
        <v>0</v>
      </c>
      <c r="BG447" s="103">
        <v>0</v>
      </c>
      <c r="BH447" s="103">
        <v>0</v>
      </c>
      <c r="BI447" s="103">
        <v>0</v>
      </c>
      <c r="BJ447" s="103">
        <v>0</v>
      </c>
      <c r="BK447" s="103">
        <v>0</v>
      </c>
      <c r="BL447" s="103">
        <v>0</v>
      </c>
      <c r="BM447" s="103">
        <v>0</v>
      </c>
      <c r="BN447" s="103">
        <v>0</v>
      </c>
      <c r="BO447" s="79">
        <f>SUM(ERP_5[[#This Row],[2026 AP01]:[2026 AP12]])</f>
        <v>-253752.12</v>
      </c>
    </row>
    <row r="448" spans="1:67" ht="15" customHeight="1">
      <c r="A448" s="79" t="s">
        <v>2363</v>
      </c>
      <c r="B448" s="296" t="s">
        <v>726</v>
      </c>
      <c r="C448" s="150" t="s">
        <v>1136</v>
      </c>
      <c r="D448" s="332" t="s">
        <v>1135</v>
      </c>
      <c r="E448" s="383" t="s">
        <v>1135</v>
      </c>
      <c r="F448" s="331" t="s">
        <v>1137</v>
      </c>
      <c r="G448" s="512" t="s">
        <v>639</v>
      </c>
      <c r="H448" s="393" t="s">
        <v>2364</v>
      </c>
      <c r="I448" s="343" t="s">
        <v>2343</v>
      </c>
      <c r="J448" s="150" t="s">
        <v>1171</v>
      </c>
      <c r="K448" s="91" t="s">
        <v>727</v>
      </c>
      <c r="L448" s="343"/>
      <c r="M448" s="346" t="s">
        <v>2339</v>
      </c>
      <c r="N448" s="346" t="s">
        <v>1710</v>
      </c>
      <c r="O448" s="386" t="s">
        <v>707</v>
      </c>
      <c r="P448" s="346" t="s">
        <v>1348</v>
      </c>
      <c r="Q448" s="437"/>
      <c r="R448" s="358">
        <v>6285.51</v>
      </c>
      <c r="S448" s="378">
        <v>0</v>
      </c>
      <c r="T448" s="425"/>
      <c r="U448" s="71"/>
      <c r="V448" s="433"/>
      <c r="W448" s="434"/>
      <c r="X448" s="434"/>
      <c r="Y448" s="428" t="s">
        <v>1142</v>
      </c>
      <c r="Z448" s="429">
        <v>0</v>
      </c>
      <c r="AA448" s="429">
        <v>0</v>
      </c>
      <c r="AB448" s="388">
        <v>0</v>
      </c>
      <c r="AC448" s="388">
        <v>0</v>
      </c>
      <c r="AD448" s="388">
        <v>0</v>
      </c>
      <c r="AE448" s="388">
        <v>0</v>
      </c>
      <c r="AF448" s="388">
        <v>0</v>
      </c>
      <c r="AG448" s="388">
        <v>0</v>
      </c>
      <c r="AH448" s="360">
        <f t="shared" si="23"/>
        <v>0</v>
      </c>
      <c r="AI448" s="362">
        <f>ERP_5[[#This Row],[2026 Working Total]]-ERP_5[[#This Row],[LE2 Final Submission]]</f>
        <v>0</v>
      </c>
      <c r="AJ448" s="79">
        <v>0</v>
      </c>
      <c r="AK448" s="79">
        <f t="shared" si="22"/>
        <v>0</v>
      </c>
      <c r="AL448" s="374">
        <f>SUM(ERP_5[[#This Row],[AP01]:[AP06]])-SUM(ERP_5[[#This Row],[AP01 LE2]:[AP06 LE2]])</f>
        <v>0</v>
      </c>
      <c r="AM448" s="80"/>
      <c r="AN448" s="79">
        <f>ERP_5[[#This Row],[2026 Working Total to Budget/LE]]-ERP_5[[#This Row],[Giveback]]</f>
        <v>0</v>
      </c>
      <c r="AO448" s="81"/>
      <c r="AP448" s="375"/>
      <c r="AQ448" s="375"/>
      <c r="AR448" s="375"/>
      <c r="AS448" s="375">
        <v>0</v>
      </c>
      <c r="AT448" s="375">
        <v>0</v>
      </c>
      <c r="AU448" s="375">
        <v>0</v>
      </c>
      <c r="AV448" s="375">
        <v>0</v>
      </c>
      <c r="AW448" s="375">
        <v>0</v>
      </c>
      <c r="AX448" s="375">
        <v>0</v>
      </c>
      <c r="AY448" s="375">
        <v>0</v>
      </c>
      <c r="AZ448" s="375">
        <v>0</v>
      </c>
      <c r="BA448" s="375">
        <v>0</v>
      </c>
      <c r="BB448" s="375">
        <v>0</v>
      </c>
      <c r="BC448" s="103">
        <v>6285.51</v>
      </c>
      <c r="BD448" s="103">
        <v>0</v>
      </c>
      <c r="BE448" s="103">
        <v>0</v>
      </c>
      <c r="BF448" s="103">
        <v>0</v>
      </c>
      <c r="BG448" s="103">
        <v>0</v>
      </c>
      <c r="BH448" s="103">
        <v>0</v>
      </c>
      <c r="BI448" s="103">
        <v>0</v>
      </c>
      <c r="BJ448" s="103">
        <v>0</v>
      </c>
      <c r="BK448" s="103">
        <v>0</v>
      </c>
      <c r="BL448" s="103">
        <v>0</v>
      </c>
      <c r="BM448" s="103">
        <v>0</v>
      </c>
      <c r="BN448" s="103">
        <v>0</v>
      </c>
      <c r="BO448" s="79">
        <f>SUM(ERP_5[[#This Row],[2026 AP01]:[2026 AP12]])</f>
        <v>6285.51</v>
      </c>
    </row>
    <row r="449" spans="1:67" ht="15" customHeight="1">
      <c r="A449" s="79" t="s">
        <v>2365</v>
      </c>
      <c r="B449" s="296" t="s">
        <v>728</v>
      </c>
      <c r="C449" s="150" t="s">
        <v>1136</v>
      </c>
      <c r="D449" s="332" t="s">
        <v>1135</v>
      </c>
      <c r="E449" s="383" t="s">
        <v>1135</v>
      </c>
      <c r="F449" s="331" t="s">
        <v>1137</v>
      </c>
      <c r="G449" s="512" t="s">
        <v>639</v>
      </c>
      <c r="H449" s="393" t="s">
        <v>2366</v>
      </c>
      <c r="I449" s="343" t="s">
        <v>2343</v>
      </c>
      <c r="J449" s="150" t="s">
        <v>1171</v>
      </c>
      <c r="K449" s="91" t="s">
        <v>729</v>
      </c>
      <c r="L449" s="343"/>
      <c r="M449" s="346" t="s">
        <v>2339</v>
      </c>
      <c r="N449" s="346" t="s">
        <v>1710</v>
      </c>
      <c r="O449" s="386" t="s">
        <v>707</v>
      </c>
      <c r="P449" s="346" t="s">
        <v>1348</v>
      </c>
      <c r="Q449" s="437"/>
      <c r="R449" s="358">
        <v>-6285.51</v>
      </c>
      <c r="S449" s="378">
        <v>0</v>
      </c>
      <c r="T449" s="430"/>
      <c r="U449" s="137"/>
      <c r="V449" s="433"/>
      <c r="W449" s="434"/>
      <c r="X449" s="434"/>
      <c r="Y449" s="428" t="s">
        <v>1142</v>
      </c>
      <c r="Z449" s="429">
        <v>0</v>
      </c>
      <c r="AA449" s="429">
        <v>0</v>
      </c>
      <c r="AB449" s="388">
        <v>0</v>
      </c>
      <c r="AC449" s="388">
        <v>0</v>
      </c>
      <c r="AD449" s="388">
        <v>0</v>
      </c>
      <c r="AE449" s="388">
        <v>0</v>
      </c>
      <c r="AF449" s="388">
        <v>0</v>
      </c>
      <c r="AG449" s="388">
        <v>0</v>
      </c>
      <c r="AH449" s="360">
        <f t="shared" si="23"/>
        <v>0</v>
      </c>
      <c r="AI449" s="362">
        <f>ERP_5[[#This Row],[2026 Working Total]]-ERP_5[[#This Row],[LE2 Final Submission]]</f>
        <v>0</v>
      </c>
      <c r="AJ449" s="79">
        <v>0</v>
      </c>
      <c r="AK449" s="79">
        <f t="shared" si="22"/>
        <v>0</v>
      </c>
      <c r="AL449" s="374">
        <f>SUM(ERP_5[[#This Row],[AP01]:[AP06]])-SUM(ERP_5[[#This Row],[AP01 LE2]:[AP06 LE2]])</f>
        <v>0</v>
      </c>
      <c r="AM449" s="80"/>
      <c r="AN449" s="79">
        <f>ERP_5[[#This Row],[2026 Working Total to Budget/LE]]-ERP_5[[#This Row],[Giveback]]</f>
        <v>0</v>
      </c>
      <c r="AO449" s="81"/>
      <c r="AP449" s="375"/>
      <c r="AQ449" s="375"/>
      <c r="AR449" s="375"/>
      <c r="AS449" s="375">
        <v>0</v>
      </c>
      <c r="AT449" s="375">
        <v>0</v>
      </c>
      <c r="AU449" s="375">
        <v>0</v>
      </c>
      <c r="AV449" s="375">
        <v>0</v>
      </c>
      <c r="AW449" s="375">
        <v>0</v>
      </c>
      <c r="AX449" s="375">
        <v>0</v>
      </c>
      <c r="AY449" s="375">
        <v>0</v>
      </c>
      <c r="AZ449" s="375">
        <v>0</v>
      </c>
      <c r="BA449" s="375">
        <v>0</v>
      </c>
      <c r="BB449" s="375">
        <v>0</v>
      </c>
      <c r="BC449" s="103">
        <v>-6285.51</v>
      </c>
      <c r="BD449" s="103">
        <v>0</v>
      </c>
      <c r="BE449" s="103">
        <v>0</v>
      </c>
      <c r="BF449" s="103">
        <v>0</v>
      </c>
      <c r="BG449" s="103">
        <v>0</v>
      </c>
      <c r="BH449" s="103">
        <v>0</v>
      </c>
      <c r="BI449" s="103">
        <v>0</v>
      </c>
      <c r="BJ449" s="103">
        <v>0</v>
      </c>
      <c r="BK449" s="103">
        <v>0</v>
      </c>
      <c r="BL449" s="103">
        <v>0</v>
      </c>
      <c r="BM449" s="103">
        <v>0</v>
      </c>
      <c r="BN449" s="103">
        <v>0</v>
      </c>
      <c r="BO449" s="79">
        <f>SUM(ERP_5[[#This Row],[2026 AP01]:[2026 AP12]])</f>
        <v>-6285.51</v>
      </c>
    </row>
    <row r="450" spans="1:67" ht="15" customHeight="1">
      <c r="A450" s="79" t="s">
        <v>2367</v>
      </c>
      <c r="B450" s="296" t="s">
        <v>730</v>
      </c>
      <c r="C450" s="150" t="s">
        <v>1136</v>
      </c>
      <c r="D450" s="332" t="s">
        <v>1135</v>
      </c>
      <c r="E450" s="383" t="s">
        <v>1135</v>
      </c>
      <c r="F450" s="331" t="s">
        <v>1137</v>
      </c>
      <c r="G450" s="512" t="s">
        <v>639</v>
      </c>
      <c r="H450" s="393" t="s">
        <v>2368</v>
      </c>
      <c r="I450" s="343" t="s">
        <v>2343</v>
      </c>
      <c r="J450" s="150" t="s">
        <v>1171</v>
      </c>
      <c r="K450" s="91" t="s">
        <v>731</v>
      </c>
      <c r="L450" s="343"/>
      <c r="M450" s="346" t="s">
        <v>2339</v>
      </c>
      <c r="N450" s="346" t="s">
        <v>1710</v>
      </c>
      <c r="O450" s="386" t="s">
        <v>707</v>
      </c>
      <c r="P450" s="346" t="s">
        <v>1348</v>
      </c>
      <c r="Q450" s="437"/>
      <c r="R450" s="358">
        <v>30136.080000000002</v>
      </c>
      <c r="S450" s="378">
        <v>0</v>
      </c>
      <c r="T450" s="425"/>
      <c r="U450" s="71"/>
      <c r="V450" s="433"/>
      <c r="W450" s="434"/>
      <c r="X450" s="434"/>
      <c r="Y450" s="428" t="s">
        <v>1142</v>
      </c>
      <c r="Z450" s="429">
        <v>0</v>
      </c>
      <c r="AA450" s="429">
        <v>0</v>
      </c>
      <c r="AB450" s="388">
        <v>0</v>
      </c>
      <c r="AC450" s="388">
        <v>0</v>
      </c>
      <c r="AD450" s="388">
        <v>0</v>
      </c>
      <c r="AE450" s="388">
        <v>0</v>
      </c>
      <c r="AF450" s="388">
        <v>0</v>
      </c>
      <c r="AG450" s="388">
        <v>0</v>
      </c>
      <c r="AH450" s="360">
        <f t="shared" si="23"/>
        <v>0</v>
      </c>
      <c r="AI450" s="362">
        <f>ERP_5[[#This Row],[2026 Working Total]]-ERP_5[[#This Row],[LE2 Final Submission]]</f>
        <v>0</v>
      </c>
      <c r="AJ450" s="79">
        <v>0</v>
      </c>
      <c r="AK450" s="79">
        <f t="shared" si="22"/>
        <v>0</v>
      </c>
      <c r="AL450" s="374">
        <f>SUM(ERP_5[[#This Row],[AP01]:[AP06]])-SUM(ERP_5[[#This Row],[AP01 LE2]:[AP06 LE2]])</f>
        <v>0</v>
      </c>
      <c r="AM450" s="80"/>
      <c r="AN450" s="79">
        <f>ERP_5[[#This Row],[2026 Working Total to Budget/LE]]-ERP_5[[#This Row],[Giveback]]</f>
        <v>0</v>
      </c>
      <c r="AO450" s="81"/>
      <c r="AP450" s="375"/>
      <c r="AQ450" s="375"/>
      <c r="AR450" s="375"/>
      <c r="AS450" s="375">
        <v>0</v>
      </c>
      <c r="AT450" s="375">
        <v>0</v>
      </c>
      <c r="AU450" s="375">
        <v>0</v>
      </c>
      <c r="AV450" s="375">
        <v>0</v>
      </c>
      <c r="AW450" s="375">
        <v>0</v>
      </c>
      <c r="AX450" s="375">
        <v>0</v>
      </c>
      <c r="AY450" s="375">
        <v>0</v>
      </c>
      <c r="AZ450" s="375">
        <v>0</v>
      </c>
      <c r="BA450" s="375">
        <v>0</v>
      </c>
      <c r="BB450" s="375">
        <v>0</v>
      </c>
      <c r="BC450" s="103">
        <v>30136.080000000002</v>
      </c>
      <c r="BD450" s="103">
        <v>0</v>
      </c>
      <c r="BE450" s="103">
        <v>0</v>
      </c>
      <c r="BF450" s="103">
        <v>0</v>
      </c>
      <c r="BG450" s="103">
        <v>0</v>
      </c>
      <c r="BH450" s="103">
        <v>0</v>
      </c>
      <c r="BI450" s="103">
        <v>0</v>
      </c>
      <c r="BJ450" s="103">
        <v>0</v>
      </c>
      <c r="BK450" s="103">
        <v>0</v>
      </c>
      <c r="BL450" s="103">
        <v>0</v>
      </c>
      <c r="BM450" s="103">
        <v>0</v>
      </c>
      <c r="BN450" s="103">
        <v>0</v>
      </c>
      <c r="BO450" s="79">
        <f>SUM(ERP_5[[#This Row],[2026 AP01]:[2026 AP12]])</f>
        <v>30136.080000000002</v>
      </c>
    </row>
    <row r="451" spans="1:67" ht="15" customHeight="1">
      <c r="A451" s="79" t="s">
        <v>2369</v>
      </c>
      <c r="B451" s="296" t="s">
        <v>732</v>
      </c>
      <c r="C451" s="150" t="s">
        <v>1136</v>
      </c>
      <c r="D451" s="332" t="s">
        <v>1135</v>
      </c>
      <c r="E451" s="383" t="s">
        <v>1135</v>
      </c>
      <c r="F451" s="331" t="s">
        <v>1137</v>
      </c>
      <c r="G451" s="512" t="s">
        <v>639</v>
      </c>
      <c r="H451" s="393" t="s">
        <v>2370</v>
      </c>
      <c r="I451" s="343" t="s">
        <v>2343</v>
      </c>
      <c r="J451" s="150" t="s">
        <v>1171</v>
      </c>
      <c r="K451" s="91" t="s">
        <v>733</v>
      </c>
      <c r="L451" s="343"/>
      <c r="M451" s="346" t="s">
        <v>2339</v>
      </c>
      <c r="N451" s="346" t="s">
        <v>1710</v>
      </c>
      <c r="O451" s="386" t="s">
        <v>707</v>
      </c>
      <c r="P451" s="346" t="s">
        <v>1348</v>
      </c>
      <c r="Q451" s="437"/>
      <c r="R451" s="358">
        <v>-30136.080000000002</v>
      </c>
      <c r="S451" s="378">
        <v>0</v>
      </c>
      <c r="T451" s="425"/>
      <c r="U451" s="71"/>
      <c r="V451" s="433"/>
      <c r="W451" s="434"/>
      <c r="X451" s="434"/>
      <c r="Y451" s="428" t="s">
        <v>1142</v>
      </c>
      <c r="Z451" s="429">
        <v>0</v>
      </c>
      <c r="AA451" s="429">
        <v>0</v>
      </c>
      <c r="AB451" s="388">
        <v>0</v>
      </c>
      <c r="AC451" s="388">
        <v>0</v>
      </c>
      <c r="AD451" s="388">
        <v>0</v>
      </c>
      <c r="AE451" s="388">
        <v>0</v>
      </c>
      <c r="AF451" s="388">
        <v>0</v>
      </c>
      <c r="AG451" s="388">
        <v>0</v>
      </c>
      <c r="AH451" s="360">
        <f t="shared" si="23"/>
        <v>0</v>
      </c>
      <c r="AI451" s="362">
        <f>ERP_5[[#This Row],[2026 Working Total]]-ERP_5[[#This Row],[LE2 Final Submission]]</f>
        <v>0</v>
      </c>
      <c r="AJ451" s="79">
        <v>0</v>
      </c>
      <c r="AK451" s="79">
        <f t="shared" si="22"/>
        <v>0</v>
      </c>
      <c r="AL451" s="374">
        <f>SUM(ERP_5[[#This Row],[AP01]:[AP06]])-SUM(ERP_5[[#This Row],[AP01 LE2]:[AP06 LE2]])</f>
        <v>0</v>
      </c>
      <c r="AM451" s="80"/>
      <c r="AN451" s="79">
        <f>ERP_5[[#This Row],[2026 Working Total to Budget/LE]]-ERP_5[[#This Row],[Giveback]]</f>
        <v>0</v>
      </c>
      <c r="AO451" s="81"/>
      <c r="AP451" s="375"/>
      <c r="AQ451" s="375"/>
      <c r="AR451" s="375"/>
      <c r="AS451" s="375">
        <v>0</v>
      </c>
      <c r="AT451" s="375">
        <v>0</v>
      </c>
      <c r="AU451" s="375">
        <v>0</v>
      </c>
      <c r="AV451" s="375">
        <v>0</v>
      </c>
      <c r="AW451" s="375">
        <v>0</v>
      </c>
      <c r="AX451" s="375">
        <v>0</v>
      </c>
      <c r="AY451" s="375">
        <v>0</v>
      </c>
      <c r="AZ451" s="375">
        <v>0</v>
      </c>
      <c r="BA451" s="375">
        <v>0</v>
      </c>
      <c r="BB451" s="375">
        <v>0</v>
      </c>
      <c r="BC451" s="103">
        <v>-30136.080000000002</v>
      </c>
      <c r="BD451" s="103">
        <v>0</v>
      </c>
      <c r="BE451" s="103">
        <v>0</v>
      </c>
      <c r="BF451" s="103">
        <v>0</v>
      </c>
      <c r="BG451" s="103">
        <v>0</v>
      </c>
      <c r="BH451" s="103">
        <v>0</v>
      </c>
      <c r="BI451" s="103">
        <v>0</v>
      </c>
      <c r="BJ451" s="103">
        <v>0</v>
      </c>
      <c r="BK451" s="103">
        <v>0</v>
      </c>
      <c r="BL451" s="103">
        <v>0</v>
      </c>
      <c r="BM451" s="103">
        <v>0</v>
      </c>
      <c r="BN451" s="103">
        <v>0</v>
      </c>
      <c r="BO451" s="79">
        <f>SUM(ERP_5[[#This Row],[2026 AP01]:[2026 AP12]])</f>
        <v>-30136.080000000002</v>
      </c>
    </row>
    <row r="452" spans="1:67" ht="15" customHeight="1">
      <c r="A452" s="79" t="s">
        <v>2371</v>
      </c>
      <c r="B452" s="296" t="s">
        <v>734</v>
      </c>
      <c r="C452" s="150" t="s">
        <v>1136</v>
      </c>
      <c r="D452" s="332" t="s">
        <v>1135</v>
      </c>
      <c r="E452" s="383" t="s">
        <v>1135</v>
      </c>
      <c r="F452" s="331" t="s">
        <v>1137</v>
      </c>
      <c r="G452" s="512" t="s">
        <v>639</v>
      </c>
      <c r="H452" s="393" t="s">
        <v>2372</v>
      </c>
      <c r="I452" s="343" t="s">
        <v>2343</v>
      </c>
      <c r="J452" s="150" t="s">
        <v>1171</v>
      </c>
      <c r="K452" s="91" t="s">
        <v>735</v>
      </c>
      <c r="L452" s="343"/>
      <c r="M452" s="346" t="s">
        <v>2339</v>
      </c>
      <c r="N452" s="346" t="s">
        <v>1710</v>
      </c>
      <c r="O452" s="386" t="s">
        <v>707</v>
      </c>
      <c r="P452" s="346" t="s">
        <v>1348</v>
      </c>
      <c r="Q452" s="437"/>
      <c r="R452" s="358">
        <v>17349.84</v>
      </c>
      <c r="S452" s="378">
        <v>0</v>
      </c>
      <c r="T452" s="430"/>
      <c r="U452" s="137"/>
      <c r="V452" s="433"/>
      <c r="W452" s="434"/>
      <c r="X452" s="434"/>
      <c r="Y452" s="428" t="s">
        <v>1142</v>
      </c>
      <c r="Z452" s="429">
        <v>0</v>
      </c>
      <c r="AA452" s="429">
        <v>0</v>
      </c>
      <c r="AB452" s="388">
        <v>0</v>
      </c>
      <c r="AC452" s="388">
        <v>0</v>
      </c>
      <c r="AD452" s="388">
        <v>0</v>
      </c>
      <c r="AE452" s="388">
        <v>0</v>
      </c>
      <c r="AF452" s="388">
        <v>0</v>
      </c>
      <c r="AG452" s="388">
        <v>0</v>
      </c>
      <c r="AH452" s="360">
        <f t="shared" si="23"/>
        <v>0</v>
      </c>
      <c r="AI452" s="362">
        <f>ERP_5[[#This Row],[2026 Working Total]]-ERP_5[[#This Row],[LE2 Final Submission]]</f>
        <v>0</v>
      </c>
      <c r="AJ452" s="79">
        <v>0</v>
      </c>
      <c r="AK452" s="79">
        <f t="shared" si="22"/>
        <v>0</v>
      </c>
      <c r="AL452" s="374">
        <f>SUM(ERP_5[[#This Row],[AP01]:[AP06]])-SUM(ERP_5[[#This Row],[AP01 LE2]:[AP06 LE2]])</f>
        <v>0</v>
      </c>
      <c r="AM452" s="80"/>
      <c r="AN452" s="79">
        <f>ERP_5[[#This Row],[2026 Working Total to Budget/LE]]-ERP_5[[#This Row],[Giveback]]</f>
        <v>0</v>
      </c>
      <c r="AO452" s="81"/>
      <c r="AP452" s="375"/>
      <c r="AQ452" s="375"/>
      <c r="AR452" s="375"/>
      <c r="AS452" s="375">
        <v>0</v>
      </c>
      <c r="AT452" s="375">
        <v>0</v>
      </c>
      <c r="AU452" s="375">
        <v>0</v>
      </c>
      <c r="AV452" s="375">
        <v>0</v>
      </c>
      <c r="AW452" s="375">
        <v>0</v>
      </c>
      <c r="AX452" s="375">
        <v>0</v>
      </c>
      <c r="AY452" s="375">
        <v>0</v>
      </c>
      <c r="AZ452" s="375">
        <v>0</v>
      </c>
      <c r="BA452" s="375">
        <v>0</v>
      </c>
      <c r="BB452" s="375">
        <v>0</v>
      </c>
      <c r="BC452" s="103">
        <v>17349.84</v>
      </c>
      <c r="BD452" s="103">
        <v>0</v>
      </c>
      <c r="BE452" s="103">
        <v>0</v>
      </c>
      <c r="BF452" s="103">
        <v>0</v>
      </c>
      <c r="BG452" s="103">
        <v>0</v>
      </c>
      <c r="BH452" s="103">
        <v>0</v>
      </c>
      <c r="BI452" s="103">
        <v>0</v>
      </c>
      <c r="BJ452" s="103">
        <v>0</v>
      </c>
      <c r="BK452" s="103">
        <v>0</v>
      </c>
      <c r="BL452" s="103">
        <v>0</v>
      </c>
      <c r="BM452" s="103">
        <v>0</v>
      </c>
      <c r="BN452" s="103">
        <v>0</v>
      </c>
      <c r="BO452" s="79">
        <f>SUM(ERP_5[[#This Row],[2026 AP01]:[2026 AP12]])</f>
        <v>17349.84</v>
      </c>
    </row>
    <row r="453" spans="1:67" ht="15" customHeight="1">
      <c r="A453" s="79" t="s">
        <v>2373</v>
      </c>
      <c r="B453" s="296" t="s">
        <v>736</v>
      </c>
      <c r="C453" s="150" t="s">
        <v>1136</v>
      </c>
      <c r="D453" s="332" t="s">
        <v>1135</v>
      </c>
      <c r="E453" s="383" t="s">
        <v>1135</v>
      </c>
      <c r="F453" s="331" t="s">
        <v>1137</v>
      </c>
      <c r="G453" s="512" t="s">
        <v>639</v>
      </c>
      <c r="H453" s="393" t="s">
        <v>2374</v>
      </c>
      <c r="I453" s="343" t="s">
        <v>2343</v>
      </c>
      <c r="J453" s="150" t="s">
        <v>1171</v>
      </c>
      <c r="K453" s="91" t="s">
        <v>737</v>
      </c>
      <c r="L453" s="343"/>
      <c r="M453" s="346" t="s">
        <v>2339</v>
      </c>
      <c r="N453" s="346" t="s">
        <v>1710</v>
      </c>
      <c r="O453" s="386" t="s">
        <v>707</v>
      </c>
      <c r="P453" s="346" t="s">
        <v>1348</v>
      </c>
      <c r="Q453" s="437"/>
      <c r="R453" s="358">
        <v>-17349.84</v>
      </c>
      <c r="S453" s="378">
        <v>0</v>
      </c>
      <c r="T453" s="425"/>
      <c r="U453" s="71"/>
      <c r="V453" s="433"/>
      <c r="W453" s="434"/>
      <c r="X453" s="434"/>
      <c r="Y453" s="428" t="s">
        <v>1142</v>
      </c>
      <c r="Z453" s="429">
        <v>0</v>
      </c>
      <c r="AA453" s="429">
        <v>0</v>
      </c>
      <c r="AB453" s="388">
        <v>0</v>
      </c>
      <c r="AC453" s="388">
        <v>0</v>
      </c>
      <c r="AD453" s="388">
        <v>0</v>
      </c>
      <c r="AE453" s="388">
        <v>0</v>
      </c>
      <c r="AF453" s="388">
        <v>0</v>
      </c>
      <c r="AG453" s="388">
        <v>0</v>
      </c>
      <c r="AH453" s="360">
        <f t="shared" si="23"/>
        <v>0</v>
      </c>
      <c r="AI453" s="362">
        <f>ERP_5[[#This Row],[2026 Working Total]]-ERP_5[[#This Row],[LE2 Final Submission]]</f>
        <v>0</v>
      </c>
      <c r="AJ453" s="79">
        <v>0</v>
      </c>
      <c r="AK453" s="79">
        <f t="shared" si="22"/>
        <v>0</v>
      </c>
      <c r="AL453" s="374">
        <f>SUM(ERP_5[[#This Row],[AP01]:[AP06]])-SUM(ERP_5[[#This Row],[AP01 LE2]:[AP06 LE2]])</f>
        <v>0</v>
      </c>
      <c r="AM453" s="80"/>
      <c r="AN453" s="79">
        <f>ERP_5[[#This Row],[2026 Working Total to Budget/LE]]-ERP_5[[#This Row],[Giveback]]</f>
        <v>0</v>
      </c>
      <c r="AO453" s="81"/>
      <c r="AP453" s="375"/>
      <c r="AQ453" s="375"/>
      <c r="AR453" s="375"/>
      <c r="AS453" s="375">
        <v>0</v>
      </c>
      <c r="AT453" s="375">
        <v>0</v>
      </c>
      <c r="AU453" s="375">
        <v>0</v>
      </c>
      <c r="AV453" s="375">
        <v>0</v>
      </c>
      <c r="AW453" s="375">
        <v>0</v>
      </c>
      <c r="AX453" s="375">
        <v>0</v>
      </c>
      <c r="AY453" s="375">
        <v>0</v>
      </c>
      <c r="AZ453" s="375">
        <v>0</v>
      </c>
      <c r="BA453" s="375">
        <v>0</v>
      </c>
      <c r="BB453" s="375">
        <v>0</v>
      </c>
      <c r="BC453" s="103">
        <v>-17349.84</v>
      </c>
      <c r="BD453" s="103">
        <v>0</v>
      </c>
      <c r="BE453" s="103">
        <v>0</v>
      </c>
      <c r="BF453" s="103">
        <v>0</v>
      </c>
      <c r="BG453" s="103">
        <v>0</v>
      </c>
      <c r="BH453" s="103">
        <v>0</v>
      </c>
      <c r="BI453" s="103">
        <v>0</v>
      </c>
      <c r="BJ453" s="103">
        <v>0</v>
      </c>
      <c r="BK453" s="103">
        <v>0</v>
      </c>
      <c r="BL453" s="103">
        <v>0</v>
      </c>
      <c r="BM453" s="103">
        <v>0</v>
      </c>
      <c r="BN453" s="103">
        <v>0</v>
      </c>
      <c r="BO453" s="79">
        <f>SUM(ERP_5[[#This Row],[2026 AP01]:[2026 AP12]])</f>
        <v>-17349.84</v>
      </c>
    </row>
    <row r="454" spans="1:67" ht="15" customHeight="1">
      <c r="A454" s="79" t="s">
        <v>2375</v>
      </c>
      <c r="B454" s="296" t="s">
        <v>738</v>
      </c>
      <c r="C454" s="150" t="s">
        <v>1136</v>
      </c>
      <c r="D454" s="332" t="s">
        <v>1135</v>
      </c>
      <c r="E454" s="383" t="s">
        <v>1135</v>
      </c>
      <c r="F454" s="331" t="s">
        <v>1137</v>
      </c>
      <c r="G454" s="512" t="s">
        <v>639</v>
      </c>
      <c r="H454" s="393" t="s">
        <v>2376</v>
      </c>
      <c r="I454" s="343" t="s">
        <v>2343</v>
      </c>
      <c r="J454" s="150" t="s">
        <v>1171</v>
      </c>
      <c r="K454" s="91" t="s">
        <v>739</v>
      </c>
      <c r="L454" s="343"/>
      <c r="M454" s="346" t="s">
        <v>2339</v>
      </c>
      <c r="N454" s="346" t="s">
        <v>1710</v>
      </c>
      <c r="O454" s="386" t="s">
        <v>707</v>
      </c>
      <c r="P454" s="346" t="s">
        <v>1348</v>
      </c>
      <c r="Q454" s="437"/>
      <c r="R454" s="358">
        <v>5357.52</v>
      </c>
      <c r="S454" s="378">
        <v>0</v>
      </c>
      <c r="T454" s="425"/>
      <c r="U454" s="71"/>
      <c r="V454" s="433"/>
      <c r="W454" s="434"/>
      <c r="X454" s="434"/>
      <c r="Y454" s="428" t="s">
        <v>1142</v>
      </c>
      <c r="Z454" s="429">
        <v>0</v>
      </c>
      <c r="AA454" s="429">
        <v>0</v>
      </c>
      <c r="AB454" s="388">
        <v>0</v>
      </c>
      <c r="AC454" s="388">
        <v>0</v>
      </c>
      <c r="AD454" s="388">
        <v>0</v>
      </c>
      <c r="AE454" s="388">
        <v>0</v>
      </c>
      <c r="AF454" s="388">
        <v>0</v>
      </c>
      <c r="AG454" s="388">
        <v>0</v>
      </c>
      <c r="AH454" s="360">
        <f t="shared" si="23"/>
        <v>0</v>
      </c>
      <c r="AI454" s="362">
        <f>ERP_5[[#This Row],[2026 Working Total]]-ERP_5[[#This Row],[LE2 Final Submission]]</f>
        <v>0</v>
      </c>
      <c r="AJ454" s="79">
        <v>0</v>
      </c>
      <c r="AK454" s="79">
        <f t="shared" si="22"/>
        <v>0</v>
      </c>
      <c r="AL454" s="374">
        <f>SUM(ERP_5[[#This Row],[AP01]:[AP06]])-SUM(ERP_5[[#This Row],[AP01 LE2]:[AP06 LE2]])</f>
        <v>0</v>
      </c>
      <c r="AM454" s="80"/>
      <c r="AN454" s="79">
        <f>ERP_5[[#This Row],[2026 Working Total to Budget/LE]]-ERP_5[[#This Row],[Giveback]]</f>
        <v>0</v>
      </c>
      <c r="AO454" s="81"/>
      <c r="AP454" s="375"/>
      <c r="AQ454" s="375"/>
      <c r="AR454" s="375"/>
      <c r="AS454" s="375">
        <v>0</v>
      </c>
      <c r="AT454" s="375">
        <v>0</v>
      </c>
      <c r="AU454" s="375">
        <v>0</v>
      </c>
      <c r="AV454" s="375">
        <v>0</v>
      </c>
      <c r="AW454" s="375">
        <v>0</v>
      </c>
      <c r="AX454" s="375">
        <v>0</v>
      </c>
      <c r="AY454" s="375">
        <v>0</v>
      </c>
      <c r="AZ454" s="375">
        <v>0</v>
      </c>
      <c r="BA454" s="375">
        <v>0</v>
      </c>
      <c r="BB454" s="375">
        <v>0</v>
      </c>
      <c r="BC454" s="103">
        <v>5357.52</v>
      </c>
      <c r="BD454" s="103">
        <v>0</v>
      </c>
      <c r="BE454" s="103">
        <v>0</v>
      </c>
      <c r="BF454" s="103">
        <v>0</v>
      </c>
      <c r="BG454" s="103">
        <v>0</v>
      </c>
      <c r="BH454" s="103">
        <v>0</v>
      </c>
      <c r="BI454" s="103">
        <v>0</v>
      </c>
      <c r="BJ454" s="103">
        <v>0</v>
      </c>
      <c r="BK454" s="103">
        <v>0</v>
      </c>
      <c r="BL454" s="103">
        <v>0</v>
      </c>
      <c r="BM454" s="103">
        <v>0</v>
      </c>
      <c r="BN454" s="103">
        <v>0</v>
      </c>
      <c r="BO454" s="79">
        <f>SUM(ERP_5[[#This Row],[2026 AP01]:[2026 AP12]])</f>
        <v>5357.52</v>
      </c>
    </row>
    <row r="455" spans="1:67" ht="15" customHeight="1">
      <c r="A455" s="79" t="s">
        <v>2377</v>
      </c>
      <c r="B455" s="296" t="s">
        <v>740</v>
      </c>
      <c r="C455" s="150" t="s">
        <v>1136</v>
      </c>
      <c r="D455" s="332" t="s">
        <v>1135</v>
      </c>
      <c r="E455" s="383" t="s">
        <v>1135</v>
      </c>
      <c r="F455" s="331" t="s">
        <v>1137</v>
      </c>
      <c r="G455" s="512" t="s">
        <v>639</v>
      </c>
      <c r="H455" s="393" t="s">
        <v>2378</v>
      </c>
      <c r="I455" s="343" t="s">
        <v>2343</v>
      </c>
      <c r="J455" s="150" t="s">
        <v>1171</v>
      </c>
      <c r="K455" s="91" t="s">
        <v>741</v>
      </c>
      <c r="L455" s="343"/>
      <c r="M455" s="346" t="s">
        <v>2339</v>
      </c>
      <c r="N455" s="346" t="s">
        <v>1710</v>
      </c>
      <c r="O455" s="386" t="s">
        <v>707</v>
      </c>
      <c r="P455" s="346" t="s">
        <v>1348</v>
      </c>
      <c r="Q455" s="437"/>
      <c r="R455" s="358">
        <v>-5357.52</v>
      </c>
      <c r="S455" s="378">
        <v>0</v>
      </c>
      <c r="T455" s="430"/>
      <c r="U455" s="137"/>
      <c r="V455" s="433"/>
      <c r="W455" s="434"/>
      <c r="X455" s="434"/>
      <c r="Y455" s="428" t="s">
        <v>1142</v>
      </c>
      <c r="Z455" s="429">
        <v>0</v>
      </c>
      <c r="AA455" s="429">
        <v>0</v>
      </c>
      <c r="AB455" s="388">
        <v>0</v>
      </c>
      <c r="AC455" s="388">
        <v>0</v>
      </c>
      <c r="AD455" s="388">
        <v>0</v>
      </c>
      <c r="AE455" s="388">
        <v>0</v>
      </c>
      <c r="AF455" s="388">
        <v>0</v>
      </c>
      <c r="AG455" s="388">
        <v>0</v>
      </c>
      <c r="AH455" s="360">
        <f t="shared" si="23"/>
        <v>0</v>
      </c>
      <c r="AI455" s="362">
        <f>ERP_5[[#This Row],[2026 Working Total]]-ERP_5[[#This Row],[LE2 Final Submission]]</f>
        <v>0</v>
      </c>
      <c r="AJ455" s="79">
        <v>0</v>
      </c>
      <c r="AK455" s="79">
        <f t="shared" si="22"/>
        <v>0</v>
      </c>
      <c r="AL455" s="374">
        <f>SUM(ERP_5[[#This Row],[AP01]:[AP06]])-SUM(ERP_5[[#This Row],[AP01 LE2]:[AP06 LE2]])</f>
        <v>0</v>
      </c>
      <c r="AM455" s="80"/>
      <c r="AN455" s="79">
        <f>ERP_5[[#This Row],[2026 Working Total to Budget/LE]]-ERP_5[[#This Row],[Giveback]]</f>
        <v>0</v>
      </c>
      <c r="AO455" s="81"/>
      <c r="AP455" s="375"/>
      <c r="AQ455" s="375"/>
      <c r="AR455" s="375"/>
      <c r="AS455" s="375">
        <v>0</v>
      </c>
      <c r="AT455" s="375">
        <v>0</v>
      </c>
      <c r="AU455" s="375">
        <v>0</v>
      </c>
      <c r="AV455" s="375">
        <v>0</v>
      </c>
      <c r="AW455" s="375">
        <v>0</v>
      </c>
      <c r="AX455" s="375">
        <v>0</v>
      </c>
      <c r="AY455" s="375">
        <v>0</v>
      </c>
      <c r="AZ455" s="375">
        <v>0</v>
      </c>
      <c r="BA455" s="375">
        <v>0</v>
      </c>
      <c r="BB455" s="375">
        <v>0</v>
      </c>
      <c r="BC455" s="103">
        <v>-5357.52</v>
      </c>
      <c r="BD455" s="103">
        <v>0</v>
      </c>
      <c r="BE455" s="103">
        <v>0</v>
      </c>
      <c r="BF455" s="103">
        <v>0</v>
      </c>
      <c r="BG455" s="103">
        <v>0</v>
      </c>
      <c r="BH455" s="103">
        <v>0</v>
      </c>
      <c r="BI455" s="103">
        <v>0</v>
      </c>
      <c r="BJ455" s="103">
        <v>0</v>
      </c>
      <c r="BK455" s="103">
        <v>0</v>
      </c>
      <c r="BL455" s="103">
        <v>0</v>
      </c>
      <c r="BM455" s="103">
        <v>0</v>
      </c>
      <c r="BN455" s="103">
        <v>0</v>
      </c>
      <c r="BO455" s="79">
        <f>SUM(ERP_5[[#This Row],[2026 AP01]:[2026 AP12]])</f>
        <v>-5357.52</v>
      </c>
    </row>
    <row r="456" spans="1:67" ht="15" customHeight="1">
      <c r="A456" s="79" t="s">
        <v>2379</v>
      </c>
      <c r="B456" s="296" t="s">
        <v>742</v>
      </c>
      <c r="C456" s="150" t="s">
        <v>1136</v>
      </c>
      <c r="D456" s="332" t="s">
        <v>1135</v>
      </c>
      <c r="E456" s="383" t="s">
        <v>1135</v>
      </c>
      <c r="F456" s="331" t="s">
        <v>1137</v>
      </c>
      <c r="G456" s="512" t="s">
        <v>639</v>
      </c>
      <c r="H456" s="393" t="s">
        <v>2380</v>
      </c>
      <c r="I456" s="343" t="s">
        <v>2343</v>
      </c>
      <c r="J456" s="150" t="s">
        <v>1171</v>
      </c>
      <c r="K456" s="91" t="s">
        <v>743</v>
      </c>
      <c r="L456" s="343"/>
      <c r="M456" s="346" t="s">
        <v>2339</v>
      </c>
      <c r="N456" s="346" t="s">
        <v>1710</v>
      </c>
      <c r="O456" s="386" t="s">
        <v>707</v>
      </c>
      <c r="P456" s="346" t="s">
        <v>1348</v>
      </c>
      <c r="Q456" s="437"/>
      <c r="R456" s="358">
        <v>101279.37</v>
      </c>
      <c r="S456" s="378">
        <v>0</v>
      </c>
      <c r="T456" s="425"/>
      <c r="U456" s="71"/>
      <c r="V456" s="433"/>
      <c r="W456" s="434"/>
      <c r="X456" s="434"/>
      <c r="Y456" s="428" t="s">
        <v>1142</v>
      </c>
      <c r="Z456" s="429">
        <v>0</v>
      </c>
      <c r="AA456" s="429">
        <v>0</v>
      </c>
      <c r="AB456" s="388">
        <v>0</v>
      </c>
      <c r="AC456" s="388">
        <v>0</v>
      </c>
      <c r="AD456" s="388">
        <v>0</v>
      </c>
      <c r="AE456" s="388">
        <v>0</v>
      </c>
      <c r="AF456" s="388">
        <v>0</v>
      </c>
      <c r="AG456" s="388">
        <v>0</v>
      </c>
      <c r="AH456" s="360">
        <f t="shared" si="23"/>
        <v>0</v>
      </c>
      <c r="AI456" s="362">
        <f>ERP_5[[#This Row],[2026 Working Total]]-ERP_5[[#This Row],[LE2 Final Submission]]</f>
        <v>0</v>
      </c>
      <c r="AJ456" s="79">
        <v>0</v>
      </c>
      <c r="AK456" s="79">
        <f t="shared" ref="AK456:AK519" si="25">$AA456 - $AJ456</f>
        <v>0</v>
      </c>
      <c r="AL456" s="374">
        <f>SUM(ERP_5[[#This Row],[AP01]:[AP06]])-SUM(ERP_5[[#This Row],[AP01 LE2]:[AP06 LE2]])</f>
        <v>0</v>
      </c>
      <c r="AM456" s="80"/>
      <c r="AN456" s="79">
        <f>ERP_5[[#This Row],[2026 Working Total to Budget/LE]]-ERP_5[[#This Row],[Giveback]]</f>
        <v>0</v>
      </c>
      <c r="AO456" s="81"/>
      <c r="AP456" s="375"/>
      <c r="AQ456" s="375"/>
      <c r="AR456" s="375"/>
      <c r="AS456" s="375">
        <v>0</v>
      </c>
      <c r="AT456" s="375">
        <v>0</v>
      </c>
      <c r="AU456" s="375">
        <v>0</v>
      </c>
      <c r="AV456" s="375">
        <v>0</v>
      </c>
      <c r="AW456" s="375">
        <v>0</v>
      </c>
      <c r="AX456" s="375">
        <v>0</v>
      </c>
      <c r="AY456" s="375">
        <v>0</v>
      </c>
      <c r="AZ456" s="375">
        <v>0</v>
      </c>
      <c r="BA456" s="375">
        <v>0</v>
      </c>
      <c r="BB456" s="375">
        <v>0</v>
      </c>
      <c r="BC456" s="103">
        <v>101279.37</v>
      </c>
      <c r="BD456" s="103">
        <v>0</v>
      </c>
      <c r="BE456" s="103">
        <v>0</v>
      </c>
      <c r="BF456" s="103">
        <v>0</v>
      </c>
      <c r="BG456" s="103">
        <v>0</v>
      </c>
      <c r="BH456" s="103">
        <v>0</v>
      </c>
      <c r="BI456" s="103">
        <v>0</v>
      </c>
      <c r="BJ456" s="103">
        <v>0</v>
      </c>
      <c r="BK456" s="103">
        <v>0</v>
      </c>
      <c r="BL456" s="103">
        <v>0</v>
      </c>
      <c r="BM456" s="103">
        <v>0</v>
      </c>
      <c r="BN456" s="103">
        <v>0</v>
      </c>
      <c r="BO456" s="79">
        <f>SUM(ERP_5[[#This Row],[2026 AP01]:[2026 AP12]])</f>
        <v>101279.37</v>
      </c>
    </row>
    <row r="457" spans="1:67" ht="15" customHeight="1">
      <c r="A457" s="79" t="s">
        <v>2381</v>
      </c>
      <c r="B457" s="296" t="s">
        <v>744</v>
      </c>
      <c r="C457" s="150" t="s">
        <v>1136</v>
      </c>
      <c r="D457" s="332" t="s">
        <v>1135</v>
      </c>
      <c r="E457" s="383" t="s">
        <v>1135</v>
      </c>
      <c r="F457" s="331" t="s">
        <v>1137</v>
      </c>
      <c r="G457" s="512" t="s">
        <v>639</v>
      </c>
      <c r="H457" s="393" t="s">
        <v>2382</v>
      </c>
      <c r="I457" s="343" t="s">
        <v>2343</v>
      </c>
      <c r="J457" s="150" t="s">
        <v>1171</v>
      </c>
      <c r="K457" s="91" t="s">
        <v>745</v>
      </c>
      <c r="L457" s="343"/>
      <c r="M457" s="346" t="s">
        <v>2339</v>
      </c>
      <c r="N457" s="346" t="s">
        <v>1710</v>
      </c>
      <c r="O457" s="386" t="s">
        <v>707</v>
      </c>
      <c r="P457" s="346" t="s">
        <v>1348</v>
      </c>
      <c r="Q457" s="437"/>
      <c r="R457" s="358">
        <v>-101279.37</v>
      </c>
      <c r="S457" s="378">
        <v>0</v>
      </c>
      <c r="T457" s="425"/>
      <c r="U457" s="71"/>
      <c r="V457" s="433"/>
      <c r="W457" s="434"/>
      <c r="X457" s="434"/>
      <c r="Y457" s="428" t="s">
        <v>1142</v>
      </c>
      <c r="Z457" s="429">
        <v>0</v>
      </c>
      <c r="AA457" s="429">
        <v>0</v>
      </c>
      <c r="AB457" s="388">
        <v>0</v>
      </c>
      <c r="AC457" s="388">
        <v>0</v>
      </c>
      <c r="AD457" s="388">
        <v>0</v>
      </c>
      <c r="AE457" s="388">
        <v>0</v>
      </c>
      <c r="AF457" s="388">
        <v>0</v>
      </c>
      <c r="AG457" s="388">
        <v>0</v>
      </c>
      <c r="AH457" s="360">
        <f t="shared" si="23"/>
        <v>0</v>
      </c>
      <c r="AI457" s="362">
        <f>ERP_5[[#This Row],[2026 Working Total]]-ERP_5[[#This Row],[LE2 Final Submission]]</f>
        <v>0</v>
      </c>
      <c r="AJ457" s="79">
        <v>0</v>
      </c>
      <c r="AK457" s="79">
        <f t="shared" si="25"/>
        <v>0</v>
      </c>
      <c r="AL457" s="374">
        <f>SUM(ERP_5[[#This Row],[AP01]:[AP06]])-SUM(ERP_5[[#This Row],[AP01 LE2]:[AP06 LE2]])</f>
        <v>0</v>
      </c>
      <c r="AM457" s="80"/>
      <c r="AN457" s="79">
        <f>ERP_5[[#This Row],[2026 Working Total to Budget/LE]]-ERP_5[[#This Row],[Giveback]]</f>
        <v>0</v>
      </c>
      <c r="AO457" s="81"/>
      <c r="AP457" s="375"/>
      <c r="AQ457" s="375"/>
      <c r="AR457" s="375"/>
      <c r="AS457" s="375">
        <v>0</v>
      </c>
      <c r="AT457" s="375">
        <v>0</v>
      </c>
      <c r="AU457" s="375">
        <v>0</v>
      </c>
      <c r="AV457" s="375">
        <v>0</v>
      </c>
      <c r="AW457" s="375">
        <v>0</v>
      </c>
      <c r="AX457" s="375">
        <v>0</v>
      </c>
      <c r="AY457" s="375">
        <v>0</v>
      </c>
      <c r="AZ457" s="375">
        <v>0</v>
      </c>
      <c r="BA457" s="375">
        <v>0</v>
      </c>
      <c r="BB457" s="375">
        <v>0</v>
      </c>
      <c r="BC457" s="103">
        <v>-101279.37</v>
      </c>
      <c r="BD457" s="103">
        <v>0</v>
      </c>
      <c r="BE457" s="103">
        <v>0</v>
      </c>
      <c r="BF457" s="103">
        <v>0</v>
      </c>
      <c r="BG457" s="103">
        <v>0</v>
      </c>
      <c r="BH457" s="103">
        <v>0</v>
      </c>
      <c r="BI457" s="103">
        <v>0</v>
      </c>
      <c r="BJ457" s="103">
        <v>0</v>
      </c>
      <c r="BK457" s="103">
        <v>0</v>
      </c>
      <c r="BL457" s="103">
        <v>0</v>
      </c>
      <c r="BM457" s="103">
        <v>0</v>
      </c>
      <c r="BN457" s="103">
        <v>0</v>
      </c>
      <c r="BO457" s="79">
        <f>SUM(ERP_5[[#This Row],[2026 AP01]:[2026 AP12]])</f>
        <v>-101279.37</v>
      </c>
    </row>
    <row r="458" spans="1:67" ht="15" customHeight="1">
      <c r="A458" s="79" t="s">
        <v>2383</v>
      </c>
      <c r="B458" s="296" t="s">
        <v>746</v>
      </c>
      <c r="C458" s="150" t="s">
        <v>1136</v>
      </c>
      <c r="D458" s="332" t="s">
        <v>1135</v>
      </c>
      <c r="E458" s="383" t="s">
        <v>1135</v>
      </c>
      <c r="F458" s="331" t="s">
        <v>1137</v>
      </c>
      <c r="G458" s="512" t="s">
        <v>639</v>
      </c>
      <c r="H458" s="393" t="s">
        <v>2384</v>
      </c>
      <c r="I458" s="343" t="s">
        <v>2343</v>
      </c>
      <c r="J458" s="150" t="s">
        <v>1171</v>
      </c>
      <c r="K458" s="91" t="s">
        <v>747</v>
      </c>
      <c r="L458" s="343"/>
      <c r="M458" s="346" t="s">
        <v>2339</v>
      </c>
      <c r="N458" s="346" t="s">
        <v>1710</v>
      </c>
      <c r="O458" s="386" t="s">
        <v>707</v>
      </c>
      <c r="P458" s="346" t="s">
        <v>1348</v>
      </c>
      <c r="Q458" s="437"/>
      <c r="R458" s="358">
        <v>169017.36</v>
      </c>
      <c r="S458" s="378">
        <v>0</v>
      </c>
      <c r="T458" s="430"/>
      <c r="U458" s="137"/>
      <c r="V458" s="433"/>
      <c r="W458" s="434"/>
      <c r="X458" s="434"/>
      <c r="Y458" s="428" t="s">
        <v>1142</v>
      </c>
      <c r="Z458" s="429">
        <v>0</v>
      </c>
      <c r="AA458" s="429">
        <v>0</v>
      </c>
      <c r="AB458" s="388">
        <v>0</v>
      </c>
      <c r="AC458" s="388">
        <v>0</v>
      </c>
      <c r="AD458" s="388">
        <v>0</v>
      </c>
      <c r="AE458" s="388">
        <v>0</v>
      </c>
      <c r="AF458" s="388">
        <v>0</v>
      </c>
      <c r="AG458" s="388">
        <v>0</v>
      </c>
      <c r="AH458" s="360">
        <f t="shared" si="23"/>
        <v>0</v>
      </c>
      <c r="AI458" s="362">
        <f>ERP_5[[#This Row],[2026 Working Total]]-ERP_5[[#This Row],[LE2 Final Submission]]</f>
        <v>0</v>
      </c>
      <c r="AJ458" s="79">
        <v>0</v>
      </c>
      <c r="AK458" s="79">
        <f t="shared" si="25"/>
        <v>0</v>
      </c>
      <c r="AL458" s="374">
        <f>SUM(ERP_5[[#This Row],[AP01]:[AP06]])-SUM(ERP_5[[#This Row],[AP01 LE2]:[AP06 LE2]])</f>
        <v>0</v>
      </c>
      <c r="AM458" s="80"/>
      <c r="AN458" s="79">
        <f>ERP_5[[#This Row],[2026 Working Total to Budget/LE]]-ERP_5[[#This Row],[Giveback]]</f>
        <v>0</v>
      </c>
      <c r="AO458" s="81"/>
      <c r="AP458" s="375"/>
      <c r="AQ458" s="375"/>
      <c r="AR458" s="375"/>
      <c r="AS458" s="375">
        <v>0</v>
      </c>
      <c r="AT458" s="375">
        <v>0</v>
      </c>
      <c r="AU458" s="375">
        <v>0</v>
      </c>
      <c r="AV458" s="375">
        <v>0</v>
      </c>
      <c r="AW458" s="375">
        <v>0</v>
      </c>
      <c r="AX458" s="375">
        <v>0</v>
      </c>
      <c r="AY458" s="375">
        <v>0</v>
      </c>
      <c r="AZ458" s="375">
        <v>0</v>
      </c>
      <c r="BA458" s="375">
        <v>0</v>
      </c>
      <c r="BB458" s="375">
        <v>0</v>
      </c>
      <c r="BC458" s="103">
        <v>169017.36</v>
      </c>
      <c r="BD458" s="103">
        <v>0</v>
      </c>
      <c r="BE458" s="103">
        <v>0</v>
      </c>
      <c r="BF458" s="103">
        <v>0</v>
      </c>
      <c r="BG458" s="103">
        <v>0</v>
      </c>
      <c r="BH458" s="103">
        <v>0</v>
      </c>
      <c r="BI458" s="103">
        <v>0</v>
      </c>
      <c r="BJ458" s="103">
        <v>0</v>
      </c>
      <c r="BK458" s="103">
        <v>0</v>
      </c>
      <c r="BL458" s="103">
        <v>0</v>
      </c>
      <c r="BM458" s="103">
        <v>0</v>
      </c>
      <c r="BN458" s="103">
        <v>0</v>
      </c>
      <c r="BO458" s="79">
        <f>SUM(ERP_5[[#This Row],[2026 AP01]:[2026 AP12]])</f>
        <v>169017.36</v>
      </c>
    </row>
    <row r="459" spans="1:67" ht="15" customHeight="1">
      <c r="A459" s="79" t="s">
        <v>2385</v>
      </c>
      <c r="B459" s="296" t="s">
        <v>748</v>
      </c>
      <c r="C459" s="150" t="s">
        <v>1136</v>
      </c>
      <c r="D459" s="332" t="s">
        <v>1135</v>
      </c>
      <c r="E459" s="383" t="s">
        <v>1135</v>
      </c>
      <c r="F459" s="331" t="s">
        <v>1137</v>
      </c>
      <c r="G459" s="512" t="s">
        <v>639</v>
      </c>
      <c r="H459" s="393" t="s">
        <v>2386</v>
      </c>
      <c r="I459" s="343" t="s">
        <v>2343</v>
      </c>
      <c r="J459" s="150" t="s">
        <v>1171</v>
      </c>
      <c r="K459" s="91" t="s">
        <v>749</v>
      </c>
      <c r="L459" s="343"/>
      <c r="M459" s="346" t="s">
        <v>2339</v>
      </c>
      <c r="N459" s="346" t="s">
        <v>1710</v>
      </c>
      <c r="O459" s="386" t="s">
        <v>707</v>
      </c>
      <c r="P459" s="346" t="s">
        <v>1348</v>
      </c>
      <c r="Q459" s="437"/>
      <c r="R459" s="358">
        <v>-169017.36</v>
      </c>
      <c r="S459" s="378">
        <v>0</v>
      </c>
      <c r="T459" s="425"/>
      <c r="U459" s="71"/>
      <c r="V459" s="433"/>
      <c r="W459" s="434"/>
      <c r="X459" s="434"/>
      <c r="Y459" s="428" t="s">
        <v>1142</v>
      </c>
      <c r="Z459" s="429">
        <v>0</v>
      </c>
      <c r="AA459" s="429">
        <v>0</v>
      </c>
      <c r="AB459" s="388">
        <v>0</v>
      </c>
      <c r="AC459" s="388">
        <v>0</v>
      </c>
      <c r="AD459" s="388">
        <v>0</v>
      </c>
      <c r="AE459" s="388">
        <v>0</v>
      </c>
      <c r="AF459" s="388">
        <v>0</v>
      </c>
      <c r="AG459" s="388">
        <v>0</v>
      </c>
      <c r="AH459" s="360">
        <f t="shared" si="23"/>
        <v>0</v>
      </c>
      <c r="AI459" s="362">
        <f>ERP_5[[#This Row],[2026 Working Total]]-ERP_5[[#This Row],[LE2 Final Submission]]</f>
        <v>0</v>
      </c>
      <c r="AJ459" s="79">
        <v>0</v>
      </c>
      <c r="AK459" s="79">
        <f t="shared" si="25"/>
        <v>0</v>
      </c>
      <c r="AL459" s="374">
        <f>SUM(ERP_5[[#This Row],[AP01]:[AP06]])-SUM(ERP_5[[#This Row],[AP01 LE2]:[AP06 LE2]])</f>
        <v>0</v>
      </c>
      <c r="AM459" s="80"/>
      <c r="AN459" s="79">
        <f>ERP_5[[#This Row],[2026 Working Total to Budget/LE]]-ERP_5[[#This Row],[Giveback]]</f>
        <v>0</v>
      </c>
      <c r="AO459" s="81"/>
      <c r="AP459" s="375"/>
      <c r="AQ459" s="375"/>
      <c r="AR459" s="375"/>
      <c r="AS459" s="375">
        <v>0</v>
      </c>
      <c r="AT459" s="375">
        <v>0</v>
      </c>
      <c r="AU459" s="375">
        <v>0</v>
      </c>
      <c r="AV459" s="375">
        <v>0</v>
      </c>
      <c r="AW459" s="375">
        <v>0</v>
      </c>
      <c r="AX459" s="375">
        <v>0</v>
      </c>
      <c r="AY459" s="375">
        <v>0</v>
      </c>
      <c r="AZ459" s="375">
        <v>0</v>
      </c>
      <c r="BA459" s="375">
        <v>0</v>
      </c>
      <c r="BB459" s="375">
        <v>0</v>
      </c>
      <c r="BC459" s="103">
        <v>-169017.36</v>
      </c>
      <c r="BD459" s="103">
        <v>0</v>
      </c>
      <c r="BE459" s="103">
        <v>0</v>
      </c>
      <c r="BF459" s="103">
        <v>0</v>
      </c>
      <c r="BG459" s="103">
        <v>0</v>
      </c>
      <c r="BH459" s="103">
        <v>0</v>
      </c>
      <c r="BI459" s="103">
        <v>0</v>
      </c>
      <c r="BJ459" s="103">
        <v>0</v>
      </c>
      <c r="BK459" s="103">
        <v>0</v>
      </c>
      <c r="BL459" s="103">
        <v>0</v>
      </c>
      <c r="BM459" s="103">
        <v>0</v>
      </c>
      <c r="BN459" s="103">
        <v>0</v>
      </c>
      <c r="BO459" s="79">
        <f>SUM(ERP_5[[#This Row],[2026 AP01]:[2026 AP12]])</f>
        <v>-169017.36</v>
      </c>
    </row>
    <row r="460" spans="1:67" ht="15" customHeight="1">
      <c r="A460" s="79" t="s">
        <v>2387</v>
      </c>
      <c r="B460" s="296" t="s">
        <v>750</v>
      </c>
      <c r="C460" s="150" t="s">
        <v>1136</v>
      </c>
      <c r="D460" s="332" t="s">
        <v>1135</v>
      </c>
      <c r="E460" s="383" t="s">
        <v>1135</v>
      </c>
      <c r="F460" s="331" t="s">
        <v>1137</v>
      </c>
      <c r="G460" s="512" t="s">
        <v>639</v>
      </c>
      <c r="H460" s="393" t="s">
        <v>2388</v>
      </c>
      <c r="I460" s="343" t="s">
        <v>2343</v>
      </c>
      <c r="J460" s="150" t="s">
        <v>1171</v>
      </c>
      <c r="K460" s="91" t="s">
        <v>751</v>
      </c>
      <c r="L460" s="343"/>
      <c r="M460" s="346" t="s">
        <v>2339</v>
      </c>
      <c r="N460" s="346" t="s">
        <v>1710</v>
      </c>
      <c r="O460" s="386" t="s">
        <v>707</v>
      </c>
      <c r="P460" s="346" t="s">
        <v>1348</v>
      </c>
      <c r="Q460" s="437"/>
      <c r="R460" s="358">
        <v>872512.08</v>
      </c>
      <c r="S460" s="378">
        <v>0</v>
      </c>
      <c r="T460" s="425"/>
      <c r="U460" s="71"/>
      <c r="V460" s="433"/>
      <c r="W460" s="434"/>
      <c r="X460" s="434"/>
      <c r="Y460" s="428" t="s">
        <v>1142</v>
      </c>
      <c r="Z460" s="429">
        <v>0</v>
      </c>
      <c r="AA460" s="429">
        <v>0</v>
      </c>
      <c r="AB460" s="388">
        <v>0</v>
      </c>
      <c r="AC460" s="388">
        <v>0</v>
      </c>
      <c r="AD460" s="388">
        <v>0</v>
      </c>
      <c r="AE460" s="388">
        <v>0</v>
      </c>
      <c r="AF460" s="388">
        <v>0</v>
      </c>
      <c r="AG460" s="388">
        <v>0</v>
      </c>
      <c r="AH460" s="360">
        <f t="shared" ref="AH460:AH523" si="26">SUM(V460:AG460)</f>
        <v>0</v>
      </c>
      <c r="AI460" s="362">
        <f>ERP_5[[#This Row],[2026 Working Total]]-ERP_5[[#This Row],[LE2 Final Submission]]</f>
        <v>0</v>
      </c>
      <c r="AJ460" s="79">
        <v>0</v>
      </c>
      <c r="AK460" s="79">
        <f t="shared" si="25"/>
        <v>0</v>
      </c>
      <c r="AL460" s="374">
        <f>SUM(ERP_5[[#This Row],[AP01]:[AP06]])-SUM(ERP_5[[#This Row],[AP01 LE2]:[AP06 LE2]])</f>
        <v>0</v>
      </c>
      <c r="AM460" s="80"/>
      <c r="AN460" s="79">
        <f>ERP_5[[#This Row],[2026 Working Total to Budget/LE]]-ERP_5[[#This Row],[Giveback]]</f>
        <v>0</v>
      </c>
      <c r="AO460" s="81"/>
      <c r="AP460" s="375"/>
      <c r="AQ460" s="375"/>
      <c r="AR460" s="375"/>
      <c r="AS460" s="375">
        <v>0</v>
      </c>
      <c r="AT460" s="375">
        <v>0</v>
      </c>
      <c r="AU460" s="375">
        <v>0</v>
      </c>
      <c r="AV460" s="375">
        <v>0</v>
      </c>
      <c r="AW460" s="375">
        <v>0</v>
      </c>
      <c r="AX460" s="375">
        <v>0</v>
      </c>
      <c r="AY460" s="375">
        <v>0</v>
      </c>
      <c r="AZ460" s="375">
        <v>0</v>
      </c>
      <c r="BA460" s="375">
        <v>0</v>
      </c>
      <c r="BB460" s="375">
        <v>0</v>
      </c>
      <c r="BC460" s="103">
        <v>872512.08</v>
      </c>
      <c r="BD460" s="103">
        <v>0</v>
      </c>
      <c r="BE460" s="103">
        <v>0</v>
      </c>
      <c r="BF460" s="103">
        <v>0</v>
      </c>
      <c r="BG460" s="103">
        <v>0</v>
      </c>
      <c r="BH460" s="103">
        <v>0</v>
      </c>
      <c r="BI460" s="103">
        <v>0</v>
      </c>
      <c r="BJ460" s="103">
        <v>0</v>
      </c>
      <c r="BK460" s="103">
        <v>0</v>
      </c>
      <c r="BL460" s="103">
        <v>0</v>
      </c>
      <c r="BM460" s="103">
        <v>0</v>
      </c>
      <c r="BN460" s="103">
        <v>0</v>
      </c>
      <c r="BO460" s="79">
        <f>SUM(ERP_5[[#This Row],[2026 AP01]:[2026 AP12]])</f>
        <v>872512.08</v>
      </c>
    </row>
    <row r="461" spans="1:67" ht="15" customHeight="1">
      <c r="A461" s="79" t="s">
        <v>2389</v>
      </c>
      <c r="B461" s="296" t="s">
        <v>752</v>
      </c>
      <c r="C461" s="150" t="s">
        <v>1136</v>
      </c>
      <c r="D461" s="332" t="s">
        <v>1135</v>
      </c>
      <c r="E461" s="383" t="s">
        <v>1135</v>
      </c>
      <c r="F461" s="331" t="s">
        <v>1137</v>
      </c>
      <c r="G461" s="512" t="s">
        <v>639</v>
      </c>
      <c r="H461" s="393" t="s">
        <v>2390</v>
      </c>
      <c r="I461" s="343" t="s">
        <v>2343</v>
      </c>
      <c r="J461" s="150" t="s">
        <v>1171</v>
      </c>
      <c r="K461" s="91" t="s">
        <v>753</v>
      </c>
      <c r="L461" s="343"/>
      <c r="M461" s="346" t="s">
        <v>2339</v>
      </c>
      <c r="N461" s="346" t="s">
        <v>1710</v>
      </c>
      <c r="O461" s="386" t="s">
        <v>707</v>
      </c>
      <c r="P461" s="346" t="s">
        <v>1348</v>
      </c>
      <c r="Q461" s="437"/>
      <c r="R461" s="358">
        <v>-872512.08</v>
      </c>
      <c r="S461" s="378">
        <v>0</v>
      </c>
      <c r="T461" s="430"/>
      <c r="U461" s="137"/>
      <c r="V461" s="433"/>
      <c r="W461" s="434"/>
      <c r="X461" s="434"/>
      <c r="Y461" s="428" t="s">
        <v>1142</v>
      </c>
      <c r="Z461" s="429">
        <v>0</v>
      </c>
      <c r="AA461" s="429">
        <v>0</v>
      </c>
      <c r="AB461" s="388">
        <v>0</v>
      </c>
      <c r="AC461" s="388">
        <v>0</v>
      </c>
      <c r="AD461" s="388">
        <v>0</v>
      </c>
      <c r="AE461" s="388">
        <v>0</v>
      </c>
      <c r="AF461" s="388">
        <v>0</v>
      </c>
      <c r="AG461" s="388">
        <v>0</v>
      </c>
      <c r="AH461" s="360">
        <f t="shared" si="26"/>
        <v>0</v>
      </c>
      <c r="AI461" s="362">
        <f>ERP_5[[#This Row],[2026 Working Total]]-ERP_5[[#This Row],[LE2 Final Submission]]</f>
        <v>0</v>
      </c>
      <c r="AJ461" s="79">
        <v>0</v>
      </c>
      <c r="AK461" s="79">
        <f t="shared" si="25"/>
        <v>0</v>
      </c>
      <c r="AL461" s="374">
        <f>SUM(ERP_5[[#This Row],[AP01]:[AP06]])-SUM(ERP_5[[#This Row],[AP01 LE2]:[AP06 LE2]])</f>
        <v>0</v>
      </c>
      <c r="AM461" s="80"/>
      <c r="AN461" s="79">
        <f>ERP_5[[#This Row],[2026 Working Total to Budget/LE]]-ERP_5[[#This Row],[Giveback]]</f>
        <v>0</v>
      </c>
      <c r="AO461" s="81"/>
      <c r="AP461" s="375"/>
      <c r="AQ461" s="375"/>
      <c r="AR461" s="375"/>
      <c r="AS461" s="375">
        <v>0</v>
      </c>
      <c r="AT461" s="375">
        <v>0</v>
      </c>
      <c r="AU461" s="375">
        <v>0</v>
      </c>
      <c r="AV461" s="375">
        <v>0</v>
      </c>
      <c r="AW461" s="375">
        <v>0</v>
      </c>
      <c r="AX461" s="375">
        <v>0</v>
      </c>
      <c r="AY461" s="375">
        <v>0</v>
      </c>
      <c r="AZ461" s="375">
        <v>0</v>
      </c>
      <c r="BA461" s="375">
        <v>0</v>
      </c>
      <c r="BB461" s="375">
        <v>0</v>
      </c>
      <c r="BC461" s="103">
        <v>-872512.08</v>
      </c>
      <c r="BD461" s="103">
        <v>0</v>
      </c>
      <c r="BE461" s="103">
        <v>0</v>
      </c>
      <c r="BF461" s="103">
        <v>0</v>
      </c>
      <c r="BG461" s="103">
        <v>0</v>
      </c>
      <c r="BH461" s="103">
        <v>0</v>
      </c>
      <c r="BI461" s="103">
        <v>0</v>
      </c>
      <c r="BJ461" s="103">
        <v>0</v>
      </c>
      <c r="BK461" s="103">
        <v>0</v>
      </c>
      <c r="BL461" s="103">
        <v>0</v>
      </c>
      <c r="BM461" s="103">
        <v>0</v>
      </c>
      <c r="BN461" s="103">
        <v>0</v>
      </c>
      <c r="BO461" s="79">
        <f>SUM(ERP_5[[#This Row],[2026 AP01]:[2026 AP12]])</f>
        <v>-872512.08</v>
      </c>
    </row>
    <row r="462" spans="1:67" ht="15" customHeight="1">
      <c r="A462" s="79" t="s">
        <v>2391</v>
      </c>
      <c r="B462" s="296" t="s">
        <v>754</v>
      </c>
      <c r="C462" s="150" t="s">
        <v>1136</v>
      </c>
      <c r="D462" s="332" t="s">
        <v>1135</v>
      </c>
      <c r="E462" s="383" t="s">
        <v>1135</v>
      </c>
      <c r="F462" s="331" t="s">
        <v>1137</v>
      </c>
      <c r="G462" s="512" t="s">
        <v>639</v>
      </c>
      <c r="H462" s="393" t="s">
        <v>2392</v>
      </c>
      <c r="I462" s="343" t="s">
        <v>2343</v>
      </c>
      <c r="J462" s="150" t="s">
        <v>1171</v>
      </c>
      <c r="K462" s="91" t="s">
        <v>755</v>
      </c>
      <c r="L462" s="343"/>
      <c r="M462" s="346" t="s">
        <v>2339</v>
      </c>
      <c r="N462" s="346" t="s">
        <v>1710</v>
      </c>
      <c r="O462" s="386" t="s">
        <v>707</v>
      </c>
      <c r="P462" s="346" t="s">
        <v>1348</v>
      </c>
      <c r="Q462" s="437"/>
      <c r="R462" s="358">
        <v>267876.47999999998</v>
      </c>
      <c r="S462" s="378">
        <v>0</v>
      </c>
      <c r="T462" s="425"/>
      <c r="U462" s="71"/>
      <c r="V462" s="433"/>
      <c r="W462" s="434"/>
      <c r="X462" s="434"/>
      <c r="Y462" s="428" t="s">
        <v>1142</v>
      </c>
      <c r="Z462" s="429">
        <v>0</v>
      </c>
      <c r="AA462" s="429">
        <v>0</v>
      </c>
      <c r="AB462" s="388">
        <v>0</v>
      </c>
      <c r="AC462" s="388">
        <v>0</v>
      </c>
      <c r="AD462" s="388">
        <v>0</v>
      </c>
      <c r="AE462" s="388">
        <v>0</v>
      </c>
      <c r="AF462" s="388">
        <v>0</v>
      </c>
      <c r="AG462" s="388">
        <v>0</v>
      </c>
      <c r="AH462" s="360">
        <f t="shared" si="26"/>
        <v>0</v>
      </c>
      <c r="AI462" s="362">
        <f>ERP_5[[#This Row],[2026 Working Total]]-ERP_5[[#This Row],[LE2 Final Submission]]</f>
        <v>0</v>
      </c>
      <c r="AJ462" s="79">
        <v>0</v>
      </c>
      <c r="AK462" s="79">
        <f t="shared" si="25"/>
        <v>0</v>
      </c>
      <c r="AL462" s="374">
        <f>SUM(ERP_5[[#This Row],[AP01]:[AP06]])-SUM(ERP_5[[#This Row],[AP01 LE2]:[AP06 LE2]])</f>
        <v>0</v>
      </c>
      <c r="AM462" s="80"/>
      <c r="AN462" s="79">
        <f>ERP_5[[#This Row],[2026 Working Total to Budget/LE]]-ERP_5[[#This Row],[Giveback]]</f>
        <v>0</v>
      </c>
      <c r="AO462" s="81"/>
      <c r="AP462" s="375"/>
      <c r="AQ462" s="375"/>
      <c r="AR462" s="375"/>
      <c r="AS462" s="375">
        <v>0</v>
      </c>
      <c r="AT462" s="375">
        <v>0</v>
      </c>
      <c r="AU462" s="375">
        <v>0</v>
      </c>
      <c r="AV462" s="375">
        <v>0</v>
      </c>
      <c r="AW462" s="375">
        <v>0</v>
      </c>
      <c r="AX462" s="375">
        <v>0</v>
      </c>
      <c r="AY462" s="375">
        <v>0</v>
      </c>
      <c r="AZ462" s="375">
        <v>0</v>
      </c>
      <c r="BA462" s="375">
        <v>0</v>
      </c>
      <c r="BB462" s="375">
        <v>0</v>
      </c>
      <c r="BC462" s="103">
        <v>267876.47999999998</v>
      </c>
      <c r="BD462" s="103">
        <v>0</v>
      </c>
      <c r="BE462" s="103">
        <v>0</v>
      </c>
      <c r="BF462" s="103">
        <v>0</v>
      </c>
      <c r="BG462" s="103">
        <v>0</v>
      </c>
      <c r="BH462" s="103">
        <v>0</v>
      </c>
      <c r="BI462" s="103">
        <v>0</v>
      </c>
      <c r="BJ462" s="103">
        <v>0</v>
      </c>
      <c r="BK462" s="103">
        <v>0</v>
      </c>
      <c r="BL462" s="103">
        <v>0</v>
      </c>
      <c r="BM462" s="103">
        <v>0</v>
      </c>
      <c r="BN462" s="103">
        <v>0</v>
      </c>
      <c r="BO462" s="79">
        <f>SUM(ERP_5[[#This Row],[2026 AP01]:[2026 AP12]])</f>
        <v>267876.47999999998</v>
      </c>
    </row>
    <row r="463" spans="1:67" ht="15" customHeight="1">
      <c r="A463" s="79" t="s">
        <v>2393</v>
      </c>
      <c r="B463" s="296" t="s">
        <v>756</v>
      </c>
      <c r="C463" s="150" t="s">
        <v>1136</v>
      </c>
      <c r="D463" s="332" t="s">
        <v>1135</v>
      </c>
      <c r="E463" s="383" t="s">
        <v>1135</v>
      </c>
      <c r="F463" s="331" t="s">
        <v>1137</v>
      </c>
      <c r="G463" s="512" t="s">
        <v>639</v>
      </c>
      <c r="H463" s="393" t="s">
        <v>2394</v>
      </c>
      <c r="I463" s="343" t="s">
        <v>2343</v>
      </c>
      <c r="J463" s="150" t="s">
        <v>1171</v>
      </c>
      <c r="K463" s="91" t="s">
        <v>757</v>
      </c>
      <c r="L463" s="343"/>
      <c r="M463" s="346" t="s">
        <v>2339</v>
      </c>
      <c r="N463" s="346" t="s">
        <v>1710</v>
      </c>
      <c r="O463" s="386" t="s">
        <v>707</v>
      </c>
      <c r="P463" s="346" t="s">
        <v>1348</v>
      </c>
      <c r="Q463" s="437"/>
      <c r="R463" s="358">
        <v>-267876.47999999998</v>
      </c>
      <c r="S463" s="378">
        <v>0</v>
      </c>
      <c r="T463" s="425"/>
      <c r="U463" s="71"/>
      <c r="V463" s="433"/>
      <c r="W463" s="434"/>
      <c r="X463" s="434"/>
      <c r="Y463" s="428" t="s">
        <v>1142</v>
      </c>
      <c r="Z463" s="429">
        <v>0</v>
      </c>
      <c r="AA463" s="429">
        <v>0</v>
      </c>
      <c r="AB463" s="388">
        <v>0</v>
      </c>
      <c r="AC463" s="388">
        <v>0</v>
      </c>
      <c r="AD463" s="388">
        <v>0</v>
      </c>
      <c r="AE463" s="388">
        <v>0</v>
      </c>
      <c r="AF463" s="388">
        <v>0</v>
      </c>
      <c r="AG463" s="388">
        <v>0</v>
      </c>
      <c r="AH463" s="360">
        <f t="shared" si="26"/>
        <v>0</v>
      </c>
      <c r="AI463" s="362">
        <f>ERP_5[[#This Row],[2026 Working Total]]-ERP_5[[#This Row],[LE2 Final Submission]]</f>
        <v>0</v>
      </c>
      <c r="AJ463" s="79">
        <v>0</v>
      </c>
      <c r="AK463" s="79">
        <f t="shared" si="25"/>
        <v>0</v>
      </c>
      <c r="AL463" s="374">
        <f>SUM(ERP_5[[#This Row],[AP01]:[AP06]])-SUM(ERP_5[[#This Row],[AP01 LE2]:[AP06 LE2]])</f>
        <v>0</v>
      </c>
      <c r="AM463" s="80"/>
      <c r="AN463" s="79">
        <f>ERP_5[[#This Row],[2026 Working Total to Budget/LE]]-ERP_5[[#This Row],[Giveback]]</f>
        <v>0</v>
      </c>
      <c r="AO463" s="81"/>
      <c r="AP463" s="375"/>
      <c r="AQ463" s="375"/>
      <c r="AR463" s="375"/>
      <c r="AS463" s="375">
        <v>0</v>
      </c>
      <c r="AT463" s="375">
        <v>0</v>
      </c>
      <c r="AU463" s="375">
        <v>0</v>
      </c>
      <c r="AV463" s="375">
        <v>0</v>
      </c>
      <c r="AW463" s="375">
        <v>0</v>
      </c>
      <c r="AX463" s="375">
        <v>0</v>
      </c>
      <c r="AY463" s="375">
        <v>0</v>
      </c>
      <c r="AZ463" s="375">
        <v>0</v>
      </c>
      <c r="BA463" s="375">
        <v>0</v>
      </c>
      <c r="BB463" s="375">
        <v>0</v>
      </c>
      <c r="BC463" s="103">
        <v>-267876.47999999998</v>
      </c>
      <c r="BD463" s="103">
        <v>0</v>
      </c>
      <c r="BE463" s="103">
        <v>0</v>
      </c>
      <c r="BF463" s="103">
        <v>0</v>
      </c>
      <c r="BG463" s="103">
        <v>0</v>
      </c>
      <c r="BH463" s="103">
        <v>0</v>
      </c>
      <c r="BI463" s="103">
        <v>0</v>
      </c>
      <c r="BJ463" s="103">
        <v>0</v>
      </c>
      <c r="BK463" s="103">
        <v>0</v>
      </c>
      <c r="BL463" s="103">
        <v>0</v>
      </c>
      <c r="BM463" s="103">
        <v>0</v>
      </c>
      <c r="BN463" s="103">
        <v>0</v>
      </c>
      <c r="BO463" s="79">
        <f>SUM(ERP_5[[#This Row],[2026 AP01]:[2026 AP12]])</f>
        <v>-267876.47999999998</v>
      </c>
    </row>
    <row r="464" spans="1:67" ht="15" customHeight="1">
      <c r="A464" s="66" t="s">
        <v>2395</v>
      </c>
      <c r="B464" s="66" t="s">
        <v>758</v>
      </c>
      <c r="C464" s="150" t="s">
        <v>1136</v>
      </c>
      <c r="D464" s="150" t="s">
        <v>1135</v>
      </c>
      <c r="E464" s="150" t="s">
        <v>1135</v>
      </c>
      <c r="F464" s="150" t="s">
        <v>1137</v>
      </c>
      <c r="G464" s="511" t="s">
        <v>639</v>
      </c>
      <c r="H464" s="392" t="s">
        <v>2396</v>
      </c>
      <c r="I464" s="343" t="s">
        <v>1231</v>
      </c>
      <c r="J464" s="346" t="s">
        <v>1171</v>
      </c>
      <c r="K464" s="70" t="s">
        <v>759</v>
      </c>
      <c r="L464" s="346"/>
      <c r="M464" s="346" t="s">
        <v>2339</v>
      </c>
      <c r="N464" s="346"/>
      <c r="O464" s="150" t="s">
        <v>704</v>
      </c>
      <c r="P464" s="150" t="s">
        <v>2340</v>
      </c>
      <c r="Q464" s="403"/>
      <c r="R464" s="406">
        <v>2542329.3599999994</v>
      </c>
      <c r="S464" s="406">
        <v>2542329.36</v>
      </c>
      <c r="T464" s="430"/>
      <c r="U464" s="137"/>
      <c r="V464" s="426">
        <v>2542329.37</v>
      </c>
      <c r="W464" s="427">
        <v>-2118607.81</v>
      </c>
      <c r="X464" s="427">
        <v>211860.78</v>
      </c>
      <c r="Y464" s="428" t="s">
        <v>1142</v>
      </c>
      <c r="Z464" s="429">
        <v>0</v>
      </c>
      <c r="AA464" s="429">
        <v>0</v>
      </c>
      <c r="AB464" s="363">
        <f>211860.78-211860.78</f>
        <v>0</v>
      </c>
      <c r="AC464" s="363">
        <f>211860.78+211860.78</f>
        <v>423721.56</v>
      </c>
      <c r="AD464" s="363">
        <v>211860.78</v>
      </c>
      <c r="AE464" s="363">
        <f>211860.78-211860.78</f>
        <v>0</v>
      </c>
      <c r="AF464" s="363">
        <f>211860.78+211860.78</f>
        <v>423721.56</v>
      </c>
      <c r="AG464" s="363">
        <v>211860.78</v>
      </c>
      <c r="AH464" s="360">
        <f t="shared" si="26"/>
        <v>1906747.0200000003</v>
      </c>
      <c r="AI464" s="362">
        <f>ERP_5[[#This Row],[2026 Working Total]]-ERP_5[[#This Row],[LE2 Final Submission]]</f>
        <v>-635582.33999999962</v>
      </c>
      <c r="AJ464" s="79">
        <v>423721.56</v>
      </c>
      <c r="AK464" s="79">
        <f t="shared" si="25"/>
        <v>-423721.56</v>
      </c>
      <c r="AL464" s="374">
        <f>SUM(ERP_5[[#This Row],[AP01]:[AP06]])-SUM(ERP_5[[#This Row],[AP01 LE2]:[AP06 LE2]])</f>
        <v>-635582.34000000008</v>
      </c>
      <c r="AM464" s="80"/>
      <c r="AN464" s="79">
        <f>ERP_5[[#This Row],[2026 Working Total to Budget/LE]]-ERP_5[[#This Row],[Giveback]]</f>
        <v>-635582.33999999962</v>
      </c>
      <c r="AO464" s="81"/>
      <c r="AP464" s="375">
        <v>2542329.37</v>
      </c>
      <c r="AQ464" s="375">
        <v>-2118607.81</v>
      </c>
      <c r="AR464" s="375">
        <v>211860.78</v>
      </c>
      <c r="AS464" s="375">
        <v>0</v>
      </c>
      <c r="AT464" s="375">
        <v>423721.56</v>
      </c>
      <c r="AU464" s="375">
        <v>211860.78</v>
      </c>
      <c r="AV464" s="375">
        <v>0</v>
      </c>
      <c r="AW464" s="375">
        <v>423721.56</v>
      </c>
      <c r="AX464" s="375">
        <v>211860.78</v>
      </c>
      <c r="AY464" s="375">
        <v>0</v>
      </c>
      <c r="AZ464" s="375">
        <v>423721.56</v>
      </c>
      <c r="BA464" s="375">
        <v>211860.78</v>
      </c>
      <c r="BB464" s="375">
        <v>2542329.36</v>
      </c>
      <c r="BC464" s="79">
        <v>2542329.37</v>
      </c>
      <c r="BD464" s="79">
        <v>-2118607.81</v>
      </c>
      <c r="BE464" s="79">
        <v>211860.78</v>
      </c>
      <c r="BF464" s="79">
        <v>211860.78</v>
      </c>
      <c r="BG464" s="79">
        <v>211860.78</v>
      </c>
      <c r="BH464" s="79">
        <v>211860.78</v>
      </c>
      <c r="BI464" s="79">
        <v>211860.78</v>
      </c>
      <c r="BJ464" s="79">
        <v>211860.78</v>
      </c>
      <c r="BK464" s="79">
        <v>211860.78</v>
      </c>
      <c r="BL464" s="79">
        <v>211860.78</v>
      </c>
      <c r="BM464" s="79">
        <v>211860.78</v>
      </c>
      <c r="BN464" s="79">
        <v>211860.78</v>
      </c>
      <c r="BO464" s="79">
        <v>2542329.36</v>
      </c>
    </row>
    <row r="465" spans="1:67" ht="15" customHeight="1">
      <c r="A465" s="79" t="s">
        <v>2397</v>
      </c>
      <c r="B465" s="296" t="s">
        <v>760</v>
      </c>
      <c r="C465" s="150" t="s">
        <v>1136</v>
      </c>
      <c r="D465" s="332" t="s">
        <v>1135</v>
      </c>
      <c r="E465" s="383" t="s">
        <v>1135</v>
      </c>
      <c r="F465" s="331" t="s">
        <v>1137</v>
      </c>
      <c r="G465" s="512" t="s">
        <v>639</v>
      </c>
      <c r="H465" s="393" t="s">
        <v>2398</v>
      </c>
      <c r="I465" s="343" t="s">
        <v>2343</v>
      </c>
      <c r="J465" s="150" t="s">
        <v>1171</v>
      </c>
      <c r="K465" s="91" t="s">
        <v>761</v>
      </c>
      <c r="L465" s="343"/>
      <c r="M465" s="346" t="s">
        <v>2339</v>
      </c>
      <c r="N465" s="346" t="s">
        <v>1710</v>
      </c>
      <c r="O465" s="386" t="s">
        <v>707</v>
      </c>
      <c r="P465" s="346" t="s">
        <v>1348</v>
      </c>
      <c r="Q465" s="437"/>
      <c r="R465" s="358">
        <v>539731.92000000004</v>
      </c>
      <c r="S465" s="378">
        <v>0</v>
      </c>
      <c r="T465" s="425"/>
      <c r="U465" s="71"/>
      <c r="V465" s="433"/>
      <c r="W465" s="434"/>
      <c r="X465" s="434"/>
      <c r="Y465" s="428" t="s">
        <v>1142</v>
      </c>
      <c r="Z465" s="429">
        <v>0</v>
      </c>
      <c r="AA465" s="429">
        <v>0</v>
      </c>
      <c r="AB465" s="388">
        <v>0</v>
      </c>
      <c r="AC465" s="388">
        <v>0</v>
      </c>
      <c r="AD465" s="388">
        <v>0</v>
      </c>
      <c r="AE465" s="388">
        <v>0</v>
      </c>
      <c r="AF465" s="388">
        <v>0</v>
      </c>
      <c r="AG465" s="388">
        <v>0</v>
      </c>
      <c r="AH465" s="360">
        <f t="shared" si="26"/>
        <v>0</v>
      </c>
      <c r="AI465" s="362">
        <f>ERP_5[[#This Row],[2026 Working Total]]-ERP_5[[#This Row],[LE2 Final Submission]]</f>
        <v>0</v>
      </c>
      <c r="AJ465" s="79">
        <v>0</v>
      </c>
      <c r="AK465" s="79">
        <f t="shared" si="25"/>
        <v>0</v>
      </c>
      <c r="AL465" s="374">
        <f>SUM(ERP_5[[#This Row],[AP01]:[AP06]])-SUM(ERP_5[[#This Row],[AP01 LE2]:[AP06 LE2]])</f>
        <v>0</v>
      </c>
      <c r="AM465" s="80"/>
      <c r="AN465" s="79">
        <f>ERP_5[[#This Row],[2026 Working Total to Budget/LE]]-ERP_5[[#This Row],[Giveback]]</f>
        <v>0</v>
      </c>
      <c r="AO465" s="81"/>
      <c r="AP465" s="375"/>
      <c r="AQ465" s="375"/>
      <c r="AR465" s="375"/>
      <c r="AS465" s="375">
        <v>0</v>
      </c>
      <c r="AT465" s="375">
        <v>0</v>
      </c>
      <c r="AU465" s="375">
        <v>0</v>
      </c>
      <c r="AV465" s="375">
        <v>0</v>
      </c>
      <c r="AW465" s="375">
        <v>0</v>
      </c>
      <c r="AX465" s="375">
        <v>0</v>
      </c>
      <c r="AY465" s="375">
        <v>0</v>
      </c>
      <c r="AZ465" s="375">
        <v>0</v>
      </c>
      <c r="BA465" s="375">
        <v>0</v>
      </c>
      <c r="BB465" s="375">
        <v>0</v>
      </c>
      <c r="BC465" s="103">
        <v>539731.92000000004</v>
      </c>
      <c r="BD465" s="103">
        <v>0</v>
      </c>
      <c r="BE465" s="103">
        <v>0</v>
      </c>
      <c r="BF465" s="103">
        <v>0</v>
      </c>
      <c r="BG465" s="103">
        <v>0</v>
      </c>
      <c r="BH465" s="103">
        <v>0</v>
      </c>
      <c r="BI465" s="103">
        <v>0</v>
      </c>
      <c r="BJ465" s="103">
        <v>0</v>
      </c>
      <c r="BK465" s="103">
        <v>0</v>
      </c>
      <c r="BL465" s="103">
        <v>0</v>
      </c>
      <c r="BM465" s="103">
        <v>0</v>
      </c>
      <c r="BN465" s="103">
        <v>0</v>
      </c>
      <c r="BO465" s="79">
        <f>SUM(ERP_5[[#This Row],[2026 AP01]:[2026 AP12]])</f>
        <v>539731.92000000004</v>
      </c>
    </row>
    <row r="466" spans="1:67" ht="15" customHeight="1">
      <c r="A466" s="79" t="s">
        <v>2399</v>
      </c>
      <c r="B466" s="296" t="s">
        <v>762</v>
      </c>
      <c r="C466" s="150" t="s">
        <v>1136</v>
      </c>
      <c r="D466" s="332" t="s">
        <v>1135</v>
      </c>
      <c r="E466" s="383" t="s">
        <v>1135</v>
      </c>
      <c r="F466" s="331" t="s">
        <v>1137</v>
      </c>
      <c r="G466" s="512" t="s">
        <v>639</v>
      </c>
      <c r="H466" s="393" t="s">
        <v>2400</v>
      </c>
      <c r="I466" s="343" t="s">
        <v>2343</v>
      </c>
      <c r="J466" s="150" t="s">
        <v>1171</v>
      </c>
      <c r="K466" s="91" t="s">
        <v>763</v>
      </c>
      <c r="L466" s="343"/>
      <c r="M466" s="346" t="s">
        <v>2339</v>
      </c>
      <c r="N466" s="346" t="s">
        <v>1710</v>
      </c>
      <c r="O466" s="386" t="s">
        <v>707</v>
      </c>
      <c r="P466" s="346" t="s">
        <v>1348</v>
      </c>
      <c r="Q466" s="437"/>
      <c r="R466" s="358">
        <v>-539731.92000000004</v>
      </c>
      <c r="S466" s="378">
        <v>0</v>
      </c>
      <c r="T466" s="425"/>
      <c r="U466" s="71"/>
      <c r="V466" s="433"/>
      <c r="W466" s="434"/>
      <c r="X466" s="434"/>
      <c r="Y466" s="428" t="s">
        <v>1142</v>
      </c>
      <c r="Z466" s="429">
        <v>0</v>
      </c>
      <c r="AA466" s="429">
        <v>0</v>
      </c>
      <c r="AB466" s="388">
        <v>0</v>
      </c>
      <c r="AC466" s="388">
        <v>0</v>
      </c>
      <c r="AD466" s="388">
        <v>0</v>
      </c>
      <c r="AE466" s="388">
        <v>0</v>
      </c>
      <c r="AF466" s="388">
        <v>0</v>
      </c>
      <c r="AG466" s="388">
        <v>0</v>
      </c>
      <c r="AH466" s="360">
        <f t="shared" si="26"/>
        <v>0</v>
      </c>
      <c r="AI466" s="362">
        <f>ERP_5[[#This Row],[2026 Working Total]]-ERP_5[[#This Row],[LE2 Final Submission]]</f>
        <v>0</v>
      </c>
      <c r="AJ466" s="79">
        <v>0</v>
      </c>
      <c r="AK466" s="79">
        <f t="shared" si="25"/>
        <v>0</v>
      </c>
      <c r="AL466" s="374">
        <f>SUM(ERP_5[[#This Row],[AP01]:[AP06]])-SUM(ERP_5[[#This Row],[AP01 LE2]:[AP06 LE2]])</f>
        <v>0</v>
      </c>
      <c r="AM466" s="80"/>
      <c r="AN466" s="79">
        <f>ERP_5[[#This Row],[2026 Working Total to Budget/LE]]-ERP_5[[#This Row],[Giveback]]</f>
        <v>0</v>
      </c>
      <c r="AO466" s="81"/>
      <c r="AP466" s="375"/>
      <c r="AQ466" s="375"/>
      <c r="AR466" s="375"/>
      <c r="AS466" s="375">
        <v>0</v>
      </c>
      <c r="AT466" s="375">
        <v>0</v>
      </c>
      <c r="AU466" s="375">
        <v>0</v>
      </c>
      <c r="AV466" s="375">
        <v>0</v>
      </c>
      <c r="AW466" s="375">
        <v>0</v>
      </c>
      <c r="AX466" s="375">
        <v>0</v>
      </c>
      <c r="AY466" s="375">
        <v>0</v>
      </c>
      <c r="AZ466" s="375">
        <v>0</v>
      </c>
      <c r="BA466" s="375">
        <v>0</v>
      </c>
      <c r="BB466" s="375">
        <v>0</v>
      </c>
      <c r="BC466" s="103">
        <v>-539731.92000000004</v>
      </c>
      <c r="BD466" s="103">
        <v>0</v>
      </c>
      <c r="BE466" s="103">
        <v>0</v>
      </c>
      <c r="BF466" s="103">
        <v>0</v>
      </c>
      <c r="BG466" s="103">
        <v>0</v>
      </c>
      <c r="BH466" s="103">
        <v>0</v>
      </c>
      <c r="BI466" s="103">
        <v>0</v>
      </c>
      <c r="BJ466" s="103">
        <v>0</v>
      </c>
      <c r="BK466" s="103">
        <v>0</v>
      </c>
      <c r="BL466" s="103">
        <v>0</v>
      </c>
      <c r="BM466" s="103">
        <v>0</v>
      </c>
      <c r="BN466" s="103">
        <v>0</v>
      </c>
      <c r="BO466" s="79">
        <f>SUM(ERP_5[[#This Row],[2026 AP01]:[2026 AP12]])</f>
        <v>-539731.92000000004</v>
      </c>
    </row>
    <row r="467" spans="1:67" ht="15" customHeight="1">
      <c r="A467" s="79" t="s">
        <v>2401</v>
      </c>
      <c r="B467" s="296" t="s">
        <v>764</v>
      </c>
      <c r="C467" s="150" t="s">
        <v>1136</v>
      </c>
      <c r="D467" s="332" t="s">
        <v>1135</v>
      </c>
      <c r="E467" s="383" t="s">
        <v>1135</v>
      </c>
      <c r="F467" s="331" t="s">
        <v>1137</v>
      </c>
      <c r="G467" s="512" t="s">
        <v>639</v>
      </c>
      <c r="H467" s="393" t="s">
        <v>2402</v>
      </c>
      <c r="I467" s="343" t="s">
        <v>2343</v>
      </c>
      <c r="J467" s="150" t="s">
        <v>1171</v>
      </c>
      <c r="K467" s="91" t="s">
        <v>765</v>
      </c>
      <c r="L467" s="343"/>
      <c r="M467" s="346" t="s">
        <v>2339</v>
      </c>
      <c r="N467" s="346" t="s">
        <v>1710</v>
      </c>
      <c r="O467" s="386" t="s">
        <v>707</v>
      </c>
      <c r="P467" s="346" t="s">
        <v>1348</v>
      </c>
      <c r="Q467" s="437"/>
      <c r="R467" s="358">
        <v>60272.160000000003</v>
      </c>
      <c r="S467" s="378">
        <v>0</v>
      </c>
      <c r="T467" s="430"/>
      <c r="U467" s="137"/>
      <c r="V467" s="433"/>
      <c r="W467" s="434"/>
      <c r="X467" s="434"/>
      <c r="Y467" s="428" t="s">
        <v>1142</v>
      </c>
      <c r="Z467" s="429">
        <v>0</v>
      </c>
      <c r="AA467" s="429">
        <v>0</v>
      </c>
      <c r="AB467" s="388">
        <v>0</v>
      </c>
      <c r="AC467" s="388">
        <v>0</v>
      </c>
      <c r="AD467" s="388">
        <v>0</v>
      </c>
      <c r="AE467" s="388">
        <v>0</v>
      </c>
      <c r="AF467" s="388">
        <v>0</v>
      </c>
      <c r="AG467" s="388">
        <v>0</v>
      </c>
      <c r="AH467" s="360">
        <f t="shared" si="26"/>
        <v>0</v>
      </c>
      <c r="AI467" s="362">
        <f>ERP_5[[#This Row],[2026 Working Total]]-ERP_5[[#This Row],[LE2 Final Submission]]</f>
        <v>0</v>
      </c>
      <c r="AJ467" s="79">
        <v>0</v>
      </c>
      <c r="AK467" s="79">
        <f t="shared" si="25"/>
        <v>0</v>
      </c>
      <c r="AL467" s="374">
        <f>SUM(ERP_5[[#This Row],[AP01]:[AP06]])-SUM(ERP_5[[#This Row],[AP01 LE2]:[AP06 LE2]])</f>
        <v>0</v>
      </c>
      <c r="AM467" s="80"/>
      <c r="AN467" s="79">
        <f>ERP_5[[#This Row],[2026 Working Total to Budget/LE]]-ERP_5[[#This Row],[Giveback]]</f>
        <v>0</v>
      </c>
      <c r="AO467" s="81"/>
      <c r="AP467" s="375"/>
      <c r="AQ467" s="375"/>
      <c r="AR467" s="375"/>
      <c r="AS467" s="375">
        <v>0</v>
      </c>
      <c r="AT467" s="375">
        <v>0</v>
      </c>
      <c r="AU467" s="375">
        <v>0</v>
      </c>
      <c r="AV467" s="375">
        <v>0</v>
      </c>
      <c r="AW467" s="375">
        <v>0</v>
      </c>
      <c r="AX467" s="375">
        <v>0</v>
      </c>
      <c r="AY467" s="375">
        <v>0</v>
      </c>
      <c r="AZ467" s="375">
        <v>0</v>
      </c>
      <c r="BA467" s="375">
        <v>0</v>
      </c>
      <c r="BB467" s="375">
        <v>0</v>
      </c>
      <c r="BC467" s="103">
        <v>60272.160000000003</v>
      </c>
      <c r="BD467" s="103">
        <v>0</v>
      </c>
      <c r="BE467" s="103">
        <v>0</v>
      </c>
      <c r="BF467" s="103">
        <v>0</v>
      </c>
      <c r="BG467" s="103">
        <v>0</v>
      </c>
      <c r="BH467" s="103">
        <v>0</v>
      </c>
      <c r="BI467" s="103">
        <v>0</v>
      </c>
      <c r="BJ467" s="103">
        <v>0</v>
      </c>
      <c r="BK467" s="103">
        <v>0</v>
      </c>
      <c r="BL467" s="103">
        <v>0</v>
      </c>
      <c r="BM467" s="103">
        <v>0</v>
      </c>
      <c r="BN467" s="103">
        <v>0</v>
      </c>
      <c r="BO467" s="79">
        <f>SUM(ERP_5[[#This Row],[2026 AP01]:[2026 AP12]])</f>
        <v>60272.160000000003</v>
      </c>
    </row>
    <row r="468" spans="1:67" ht="15" customHeight="1">
      <c r="A468" s="79" t="s">
        <v>2403</v>
      </c>
      <c r="B468" s="296" t="s">
        <v>766</v>
      </c>
      <c r="C468" s="150" t="s">
        <v>1136</v>
      </c>
      <c r="D468" s="332" t="s">
        <v>1135</v>
      </c>
      <c r="E468" s="383" t="s">
        <v>1135</v>
      </c>
      <c r="F468" s="331" t="s">
        <v>1137</v>
      </c>
      <c r="G468" s="512" t="s">
        <v>639</v>
      </c>
      <c r="H468" s="393" t="s">
        <v>2404</v>
      </c>
      <c r="I468" s="343" t="s">
        <v>2343</v>
      </c>
      <c r="J468" s="150" t="s">
        <v>1171</v>
      </c>
      <c r="K468" s="91" t="s">
        <v>767</v>
      </c>
      <c r="L468" s="343"/>
      <c r="M468" s="346" t="s">
        <v>2339</v>
      </c>
      <c r="N468" s="346" t="s">
        <v>1710</v>
      </c>
      <c r="O468" s="386" t="s">
        <v>707</v>
      </c>
      <c r="P468" s="346" t="s">
        <v>1348</v>
      </c>
      <c r="Q468" s="437"/>
      <c r="R468" s="358">
        <v>-60272.160000000003</v>
      </c>
      <c r="S468" s="378">
        <v>0</v>
      </c>
      <c r="T468" s="425"/>
      <c r="U468" s="71"/>
      <c r="V468" s="433"/>
      <c r="W468" s="434"/>
      <c r="X468" s="434"/>
      <c r="Y468" s="428" t="s">
        <v>1142</v>
      </c>
      <c r="Z468" s="429">
        <v>0</v>
      </c>
      <c r="AA468" s="429">
        <v>0</v>
      </c>
      <c r="AB468" s="388">
        <v>0</v>
      </c>
      <c r="AC468" s="388">
        <v>0</v>
      </c>
      <c r="AD468" s="388">
        <v>0</v>
      </c>
      <c r="AE468" s="388">
        <v>0</v>
      </c>
      <c r="AF468" s="388">
        <v>0</v>
      </c>
      <c r="AG468" s="388">
        <v>0</v>
      </c>
      <c r="AH468" s="360">
        <f t="shared" si="26"/>
        <v>0</v>
      </c>
      <c r="AI468" s="362">
        <f>ERP_5[[#This Row],[2026 Working Total]]-ERP_5[[#This Row],[LE2 Final Submission]]</f>
        <v>0</v>
      </c>
      <c r="AJ468" s="79">
        <v>0</v>
      </c>
      <c r="AK468" s="79">
        <f t="shared" si="25"/>
        <v>0</v>
      </c>
      <c r="AL468" s="374">
        <f>SUM(ERP_5[[#This Row],[AP01]:[AP06]])-SUM(ERP_5[[#This Row],[AP01 LE2]:[AP06 LE2]])</f>
        <v>0</v>
      </c>
      <c r="AM468" s="80"/>
      <c r="AN468" s="79">
        <f>ERP_5[[#This Row],[2026 Working Total to Budget/LE]]-ERP_5[[#This Row],[Giveback]]</f>
        <v>0</v>
      </c>
      <c r="AO468" s="81"/>
      <c r="AP468" s="375"/>
      <c r="AQ468" s="375"/>
      <c r="AR468" s="375"/>
      <c r="AS468" s="375">
        <v>0</v>
      </c>
      <c r="AT468" s="375">
        <v>0</v>
      </c>
      <c r="AU468" s="375">
        <v>0</v>
      </c>
      <c r="AV468" s="375">
        <v>0</v>
      </c>
      <c r="AW468" s="375">
        <v>0</v>
      </c>
      <c r="AX468" s="375">
        <v>0</v>
      </c>
      <c r="AY468" s="375">
        <v>0</v>
      </c>
      <c r="AZ468" s="375">
        <v>0</v>
      </c>
      <c r="BA468" s="375">
        <v>0</v>
      </c>
      <c r="BB468" s="375">
        <v>0</v>
      </c>
      <c r="BC468" s="103">
        <v>-60272.160000000003</v>
      </c>
      <c r="BD468" s="103">
        <v>0</v>
      </c>
      <c r="BE468" s="103">
        <v>0</v>
      </c>
      <c r="BF468" s="103">
        <v>0</v>
      </c>
      <c r="BG468" s="103">
        <v>0</v>
      </c>
      <c r="BH468" s="103">
        <v>0</v>
      </c>
      <c r="BI468" s="103">
        <v>0</v>
      </c>
      <c r="BJ468" s="103">
        <v>0</v>
      </c>
      <c r="BK468" s="103">
        <v>0</v>
      </c>
      <c r="BL468" s="103">
        <v>0</v>
      </c>
      <c r="BM468" s="103">
        <v>0</v>
      </c>
      <c r="BN468" s="103">
        <v>0</v>
      </c>
      <c r="BO468" s="79">
        <f>SUM(ERP_5[[#This Row],[2026 AP01]:[2026 AP12]])</f>
        <v>-60272.160000000003</v>
      </c>
    </row>
    <row r="469" spans="1:67" ht="15" customHeight="1">
      <c r="A469" s="79" t="s">
        <v>2405</v>
      </c>
      <c r="B469" s="296" t="s">
        <v>768</v>
      </c>
      <c r="C469" s="150" t="s">
        <v>1136</v>
      </c>
      <c r="D469" s="332" t="s">
        <v>1135</v>
      </c>
      <c r="E469" s="383" t="s">
        <v>1135</v>
      </c>
      <c r="F469" s="331" t="s">
        <v>1137</v>
      </c>
      <c r="G469" s="512" t="s">
        <v>639</v>
      </c>
      <c r="H469" s="393" t="s">
        <v>2406</v>
      </c>
      <c r="I469" s="343" t="s">
        <v>2343</v>
      </c>
      <c r="J469" s="150" t="s">
        <v>1171</v>
      </c>
      <c r="K469" s="91" t="s">
        <v>769</v>
      </c>
      <c r="L469" s="343"/>
      <c r="M469" s="346" t="s">
        <v>2339</v>
      </c>
      <c r="N469" s="346" t="s">
        <v>1710</v>
      </c>
      <c r="O469" s="386" t="s">
        <v>707</v>
      </c>
      <c r="P469" s="346" t="s">
        <v>1348</v>
      </c>
      <c r="Q469" s="437"/>
      <c r="R469" s="358">
        <v>626867.82999999996</v>
      </c>
      <c r="S469" s="378">
        <v>0</v>
      </c>
      <c r="T469" s="425"/>
      <c r="U469" s="71"/>
      <c r="V469" s="433"/>
      <c r="W469" s="434"/>
      <c r="X469" s="434"/>
      <c r="Y469" s="428" t="s">
        <v>1142</v>
      </c>
      <c r="Z469" s="429">
        <v>0</v>
      </c>
      <c r="AA469" s="429">
        <v>0</v>
      </c>
      <c r="AB469" s="388">
        <v>0</v>
      </c>
      <c r="AC469" s="388">
        <v>0</v>
      </c>
      <c r="AD469" s="388">
        <v>0</v>
      </c>
      <c r="AE469" s="388">
        <v>0</v>
      </c>
      <c r="AF469" s="388">
        <v>0</v>
      </c>
      <c r="AG469" s="388">
        <v>0</v>
      </c>
      <c r="AH469" s="360">
        <f t="shared" si="26"/>
        <v>0</v>
      </c>
      <c r="AI469" s="362">
        <f>ERP_5[[#This Row],[2026 Working Total]]-ERP_5[[#This Row],[LE2 Final Submission]]</f>
        <v>0</v>
      </c>
      <c r="AJ469" s="79">
        <v>0</v>
      </c>
      <c r="AK469" s="79">
        <f t="shared" si="25"/>
        <v>0</v>
      </c>
      <c r="AL469" s="374">
        <f>SUM(ERP_5[[#This Row],[AP01]:[AP06]])-SUM(ERP_5[[#This Row],[AP01 LE2]:[AP06 LE2]])</f>
        <v>0</v>
      </c>
      <c r="AM469" s="80"/>
      <c r="AN469" s="79">
        <f>ERP_5[[#This Row],[2026 Working Total to Budget/LE]]-ERP_5[[#This Row],[Giveback]]</f>
        <v>0</v>
      </c>
      <c r="AO469" s="81"/>
      <c r="AP469" s="375"/>
      <c r="AQ469" s="375"/>
      <c r="AR469" s="375"/>
      <c r="AS469" s="375">
        <v>0</v>
      </c>
      <c r="AT469" s="375">
        <v>0</v>
      </c>
      <c r="AU469" s="375">
        <v>0</v>
      </c>
      <c r="AV469" s="375">
        <v>0</v>
      </c>
      <c r="AW469" s="375">
        <v>0</v>
      </c>
      <c r="AX469" s="375">
        <v>0</v>
      </c>
      <c r="AY469" s="375">
        <v>0</v>
      </c>
      <c r="AZ469" s="375">
        <v>0</v>
      </c>
      <c r="BA469" s="375">
        <v>0</v>
      </c>
      <c r="BB469" s="375">
        <v>0</v>
      </c>
      <c r="BC469" s="103">
        <v>626867.82999999996</v>
      </c>
      <c r="BD469" s="103">
        <v>0</v>
      </c>
      <c r="BE469" s="103">
        <v>0</v>
      </c>
      <c r="BF469" s="103">
        <v>0</v>
      </c>
      <c r="BG469" s="103">
        <v>0</v>
      </c>
      <c r="BH469" s="103">
        <v>0</v>
      </c>
      <c r="BI469" s="103">
        <v>0</v>
      </c>
      <c r="BJ469" s="103">
        <v>0</v>
      </c>
      <c r="BK469" s="103">
        <v>0</v>
      </c>
      <c r="BL469" s="103">
        <v>0</v>
      </c>
      <c r="BM469" s="103">
        <v>0</v>
      </c>
      <c r="BN469" s="103">
        <v>0</v>
      </c>
      <c r="BO469" s="79">
        <f>SUM(ERP_5[[#This Row],[2026 AP01]:[2026 AP12]])</f>
        <v>626867.82999999996</v>
      </c>
    </row>
    <row r="470" spans="1:67" ht="15" customHeight="1">
      <c r="A470" s="79" t="s">
        <v>2407</v>
      </c>
      <c r="B470" s="296" t="s">
        <v>770</v>
      </c>
      <c r="C470" s="150" t="s">
        <v>1136</v>
      </c>
      <c r="D470" s="332" t="s">
        <v>1135</v>
      </c>
      <c r="E470" s="383" t="s">
        <v>1135</v>
      </c>
      <c r="F470" s="331" t="s">
        <v>1137</v>
      </c>
      <c r="G470" s="512" t="s">
        <v>639</v>
      </c>
      <c r="H470" s="393" t="s">
        <v>2408</v>
      </c>
      <c r="I470" s="343" t="s">
        <v>2343</v>
      </c>
      <c r="J470" s="150" t="s">
        <v>1171</v>
      </c>
      <c r="K470" s="91" t="s">
        <v>771</v>
      </c>
      <c r="L470" s="343"/>
      <c r="M470" s="346" t="s">
        <v>2339</v>
      </c>
      <c r="N470" s="346" t="s">
        <v>1710</v>
      </c>
      <c r="O470" s="386" t="s">
        <v>707</v>
      </c>
      <c r="P470" s="346" t="s">
        <v>1348</v>
      </c>
      <c r="Q470" s="437"/>
      <c r="R470" s="358">
        <v>-626867.82999999996</v>
      </c>
      <c r="S470" s="378">
        <v>0</v>
      </c>
      <c r="T470" s="430"/>
      <c r="U470" s="137"/>
      <c r="V470" s="433"/>
      <c r="W470" s="434"/>
      <c r="X470" s="434"/>
      <c r="Y470" s="428" t="s">
        <v>1142</v>
      </c>
      <c r="Z470" s="429">
        <v>0</v>
      </c>
      <c r="AA470" s="429">
        <v>0</v>
      </c>
      <c r="AB470" s="388">
        <v>0</v>
      </c>
      <c r="AC470" s="388">
        <v>0</v>
      </c>
      <c r="AD470" s="388">
        <v>0</v>
      </c>
      <c r="AE470" s="388">
        <v>0</v>
      </c>
      <c r="AF470" s="388">
        <v>0</v>
      </c>
      <c r="AG470" s="388">
        <v>0</v>
      </c>
      <c r="AH470" s="360">
        <f t="shared" si="26"/>
        <v>0</v>
      </c>
      <c r="AI470" s="362">
        <f>ERP_5[[#This Row],[2026 Working Total]]-ERP_5[[#This Row],[LE2 Final Submission]]</f>
        <v>0</v>
      </c>
      <c r="AJ470" s="79">
        <v>0</v>
      </c>
      <c r="AK470" s="79">
        <f t="shared" si="25"/>
        <v>0</v>
      </c>
      <c r="AL470" s="374">
        <f>SUM(ERP_5[[#This Row],[AP01]:[AP06]])-SUM(ERP_5[[#This Row],[AP01 LE2]:[AP06 LE2]])</f>
        <v>0</v>
      </c>
      <c r="AM470" s="80"/>
      <c r="AN470" s="79">
        <f>ERP_5[[#This Row],[2026 Working Total to Budget/LE]]-ERP_5[[#This Row],[Giveback]]</f>
        <v>0</v>
      </c>
      <c r="AO470" s="81"/>
      <c r="AP470" s="375"/>
      <c r="AQ470" s="375"/>
      <c r="AR470" s="375"/>
      <c r="AS470" s="375">
        <v>0</v>
      </c>
      <c r="AT470" s="375">
        <v>0</v>
      </c>
      <c r="AU470" s="375">
        <v>0</v>
      </c>
      <c r="AV470" s="375">
        <v>0</v>
      </c>
      <c r="AW470" s="375">
        <v>0</v>
      </c>
      <c r="AX470" s="375">
        <v>0</v>
      </c>
      <c r="AY470" s="375">
        <v>0</v>
      </c>
      <c r="AZ470" s="375">
        <v>0</v>
      </c>
      <c r="BA470" s="375">
        <v>0</v>
      </c>
      <c r="BB470" s="375">
        <v>0</v>
      </c>
      <c r="BC470" s="103">
        <v>-626867.82999999996</v>
      </c>
      <c r="BD470" s="103">
        <v>0</v>
      </c>
      <c r="BE470" s="103">
        <v>0</v>
      </c>
      <c r="BF470" s="103">
        <v>0</v>
      </c>
      <c r="BG470" s="103">
        <v>0</v>
      </c>
      <c r="BH470" s="103">
        <v>0</v>
      </c>
      <c r="BI470" s="103">
        <v>0</v>
      </c>
      <c r="BJ470" s="103">
        <v>0</v>
      </c>
      <c r="BK470" s="103">
        <v>0</v>
      </c>
      <c r="BL470" s="103">
        <v>0</v>
      </c>
      <c r="BM470" s="103">
        <v>0</v>
      </c>
      <c r="BN470" s="103">
        <v>0</v>
      </c>
      <c r="BO470" s="79">
        <f>SUM(ERP_5[[#This Row],[2026 AP01]:[2026 AP12]])</f>
        <v>-626867.82999999996</v>
      </c>
    </row>
    <row r="471" spans="1:67" ht="15" customHeight="1">
      <c r="A471" s="79" t="s">
        <v>2409</v>
      </c>
      <c r="B471" s="296" t="s">
        <v>772</v>
      </c>
      <c r="C471" s="150" t="s">
        <v>1136</v>
      </c>
      <c r="D471" s="332" t="s">
        <v>1135</v>
      </c>
      <c r="E471" s="383" t="s">
        <v>1135</v>
      </c>
      <c r="F471" s="331" t="s">
        <v>1137</v>
      </c>
      <c r="G471" s="512" t="s">
        <v>639</v>
      </c>
      <c r="H471" s="393" t="s">
        <v>2410</v>
      </c>
      <c r="I471" s="343" t="s">
        <v>2343</v>
      </c>
      <c r="J471" s="150" t="s">
        <v>1171</v>
      </c>
      <c r="K471" s="91" t="s">
        <v>773</v>
      </c>
      <c r="L471" s="343"/>
      <c r="M471" s="346" t="s">
        <v>2339</v>
      </c>
      <c r="N471" s="346" t="s">
        <v>1710</v>
      </c>
      <c r="O471" s="386" t="s">
        <v>707</v>
      </c>
      <c r="P471" s="346" t="s">
        <v>1348</v>
      </c>
      <c r="Q471" s="437"/>
      <c r="R471" s="358">
        <v>15713.16</v>
      </c>
      <c r="S471" s="378">
        <v>0</v>
      </c>
      <c r="T471" s="425"/>
      <c r="U471" s="71"/>
      <c r="V471" s="433"/>
      <c r="W471" s="434"/>
      <c r="X471" s="434"/>
      <c r="Y471" s="428" t="s">
        <v>1142</v>
      </c>
      <c r="Z471" s="429">
        <v>0</v>
      </c>
      <c r="AA471" s="429">
        <v>0</v>
      </c>
      <c r="AB471" s="388">
        <v>0</v>
      </c>
      <c r="AC471" s="388">
        <v>0</v>
      </c>
      <c r="AD471" s="388">
        <v>0</v>
      </c>
      <c r="AE471" s="388">
        <v>0</v>
      </c>
      <c r="AF471" s="388">
        <v>0</v>
      </c>
      <c r="AG471" s="388">
        <v>0</v>
      </c>
      <c r="AH471" s="360">
        <f t="shared" si="26"/>
        <v>0</v>
      </c>
      <c r="AI471" s="362">
        <f>ERP_5[[#This Row],[2026 Working Total]]-ERP_5[[#This Row],[LE2 Final Submission]]</f>
        <v>0</v>
      </c>
      <c r="AJ471" s="79">
        <v>0</v>
      </c>
      <c r="AK471" s="79">
        <f t="shared" si="25"/>
        <v>0</v>
      </c>
      <c r="AL471" s="374">
        <f>SUM(ERP_5[[#This Row],[AP01]:[AP06]])-SUM(ERP_5[[#This Row],[AP01 LE2]:[AP06 LE2]])</f>
        <v>0</v>
      </c>
      <c r="AM471" s="80"/>
      <c r="AN471" s="79">
        <f>ERP_5[[#This Row],[2026 Working Total to Budget/LE]]-ERP_5[[#This Row],[Giveback]]</f>
        <v>0</v>
      </c>
      <c r="AO471" s="81"/>
      <c r="AP471" s="375"/>
      <c r="AQ471" s="375"/>
      <c r="AR471" s="375"/>
      <c r="AS471" s="375">
        <v>0</v>
      </c>
      <c r="AT471" s="375">
        <v>0</v>
      </c>
      <c r="AU471" s="375">
        <v>0</v>
      </c>
      <c r="AV471" s="375">
        <v>0</v>
      </c>
      <c r="AW471" s="375">
        <v>0</v>
      </c>
      <c r="AX471" s="375">
        <v>0</v>
      </c>
      <c r="AY471" s="375">
        <v>0</v>
      </c>
      <c r="AZ471" s="375">
        <v>0</v>
      </c>
      <c r="BA471" s="375">
        <v>0</v>
      </c>
      <c r="BB471" s="375">
        <v>0</v>
      </c>
      <c r="BC471" s="103">
        <v>15713.16</v>
      </c>
      <c r="BD471" s="103">
        <v>0</v>
      </c>
      <c r="BE471" s="103">
        <v>0</v>
      </c>
      <c r="BF471" s="103">
        <v>0</v>
      </c>
      <c r="BG471" s="103">
        <v>0</v>
      </c>
      <c r="BH471" s="103">
        <v>0</v>
      </c>
      <c r="BI471" s="103">
        <v>0</v>
      </c>
      <c r="BJ471" s="103">
        <v>0</v>
      </c>
      <c r="BK471" s="103">
        <v>0</v>
      </c>
      <c r="BL471" s="103">
        <v>0</v>
      </c>
      <c r="BM471" s="103">
        <v>0</v>
      </c>
      <c r="BN471" s="103">
        <v>0</v>
      </c>
      <c r="BO471" s="79">
        <f>SUM(ERP_5[[#This Row],[2026 AP01]:[2026 AP12]])</f>
        <v>15713.16</v>
      </c>
    </row>
    <row r="472" spans="1:67" ht="15" customHeight="1">
      <c r="A472" s="79" t="s">
        <v>2411</v>
      </c>
      <c r="B472" s="296" t="s">
        <v>774</v>
      </c>
      <c r="C472" s="150" t="s">
        <v>1136</v>
      </c>
      <c r="D472" s="332" t="s">
        <v>1135</v>
      </c>
      <c r="E472" s="383" t="s">
        <v>1135</v>
      </c>
      <c r="F472" s="331" t="s">
        <v>1137</v>
      </c>
      <c r="G472" s="512" t="s">
        <v>639</v>
      </c>
      <c r="H472" s="393" t="s">
        <v>2412</v>
      </c>
      <c r="I472" s="343" t="s">
        <v>2343</v>
      </c>
      <c r="J472" s="150" t="s">
        <v>1171</v>
      </c>
      <c r="K472" s="91" t="s">
        <v>775</v>
      </c>
      <c r="L472" s="343"/>
      <c r="M472" s="346" t="s">
        <v>2339</v>
      </c>
      <c r="N472" s="346" t="s">
        <v>1710</v>
      </c>
      <c r="O472" s="386" t="s">
        <v>707</v>
      </c>
      <c r="P472" s="346" t="s">
        <v>1348</v>
      </c>
      <c r="Q472" s="437"/>
      <c r="R472" s="358">
        <v>-15713.16</v>
      </c>
      <c r="S472" s="378">
        <v>0</v>
      </c>
      <c r="T472" s="425"/>
      <c r="U472" s="71"/>
      <c r="V472" s="433"/>
      <c r="W472" s="434"/>
      <c r="X472" s="434"/>
      <c r="Y472" s="428" t="s">
        <v>1142</v>
      </c>
      <c r="Z472" s="429">
        <v>0</v>
      </c>
      <c r="AA472" s="429">
        <v>0</v>
      </c>
      <c r="AB472" s="388">
        <v>0</v>
      </c>
      <c r="AC472" s="388">
        <v>0</v>
      </c>
      <c r="AD472" s="388">
        <v>0</v>
      </c>
      <c r="AE472" s="388">
        <v>0</v>
      </c>
      <c r="AF472" s="388">
        <v>0</v>
      </c>
      <c r="AG472" s="388">
        <v>0</v>
      </c>
      <c r="AH472" s="360">
        <f t="shared" si="26"/>
        <v>0</v>
      </c>
      <c r="AI472" s="362">
        <f>ERP_5[[#This Row],[2026 Working Total]]-ERP_5[[#This Row],[LE2 Final Submission]]</f>
        <v>0</v>
      </c>
      <c r="AJ472" s="79">
        <v>0</v>
      </c>
      <c r="AK472" s="79">
        <f t="shared" si="25"/>
        <v>0</v>
      </c>
      <c r="AL472" s="374">
        <f>SUM(ERP_5[[#This Row],[AP01]:[AP06]])-SUM(ERP_5[[#This Row],[AP01 LE2]:[AP06 LE2]])</f>
        <v>0</v>
      </c>
      <c r="AM472" s="80"/>
      <c r="AN472" s="79">
        <f>ERP_5[[#This Row],[2026 Working Total to Budget/LE]]-ERP_5[[#This Row],[Giveback]]</f>
        <v>0</v>
      </c>
      <c r="AO472" s="81"/>
      <c r="AP472" s="375"/>
      <c r="AQ472" s="375"/>
      <c r="AR472" s="375"/>
      <c r="AS472" s="375">
        <v>0</v>
      </c>
      <c r="AT472" s="375">
        <v>0</v>
      </c>
      <c r="AU472" s="375">
        <v>0</v>
      </c>
      <c r="AV472" s="375">
        <v>0</v>
      </c>
      <c r="AW472" s="375">
        <v>0</v>
      </c>
      <c r="AX472" s="375">
        <v>0</v>
      </c>
      <c r="AY472" s="375">
        <v>0</v>
      </c>
      <c r="AZ472" s="375">
        <v>0</v>
      </c>
      <c r="BA472" s="375">
        <v>0</v>
      </c>
      <c r="BB472" s="375">
        <v>0</v>
      </c>
      <c r="BC472" s="103">
        <v>-15713.16</v>
      </c>
      <c r="BD472" s="103">
        <v>0</v>
      </c>
      <c r="BE472" s="103">
        <v>0</v>
      </c>
      <c r="BF472" s="103">
        <v>0</v>
      </c>
      <c r="BG472" s="103">
        <v>0</v>
      </c>
      <c r="BH472" s="103">
        <v>0</v>
      </c>
      <c r="BI472" s="103">
        <v>0</v>
      </c>
      <c r="BJ472" s="103">
        <v>0</v>
      </c>
      <c r="BK472" s="103">
        <v>0</v>
      </c>
      <c r="BL472" s="103">
        <v>0</v>
      </c>
      <c r="BM472" s="103">
        <v>0</v>
      </c>
      <c r="BN472" s="103">
        <v>0</v>
      </c>
      <c r="BO472" s="79">
        <f>SUM(ERP_5[[#This Row],[2026 AP01]:[2026 AP12]])</f>
        <v>-15713.16</v>
      </c>
    </row>
    <row r="473" spans="1:67" ht="15" customHeight="1">
      <c r="A473" s="79" t="s">
        <v>2413</v>
      </c>
      <c r="B473" s="296" t="s">
        <v>776</v>
      </c>
      <c r="C473" s="150" t="s">
        <v>1136</v>
      </c>
      <c r="D473" s="332" t="s">
        <v>1135</v>
      </c>
      <c r="E473" s="383" t="s">
        <v>1135</v>
      </c>
      <c r="F473" s="331" t="s">
        <v>1137</v>
      </c>
      <c r="G473" s="512" t="s">
        <v>639</v>
      </c>
      <c r="H473" s="393" t="s">
        <v>2414</v>
      </c>
      <c r="I473" s="343" t="s">
        <v>2343</v>
      </c>
      <c r="J473" s="150" t="s">
        <v>1171</v>
      </c>
      <c r="K473" s="91" t="s">
        <v>777</v>
      </c>
      <c r="L473" s="343"/>
      <c r="M473" s="346" t="s">
        <v>2339</v>
      </c>
      <c r="N473" s="346" t="s">
        <v>1710</v>
      </c>
      <c r="O473" s="386" t="s">
        <v>707</v>
      </c>
      <c r="P473" s="346" t="s">
        <v>1348</v>
      </c>
      <c r="Q473" s="437"/>
      <c r="R473" s="358">
        <v>930750</v>
      </c>
      <c r="S473" s="378">
        <v>0</v>
      </c>
      <c r="T473" s="430"/>
      <c r="U473" s="137"/>
      <c r="V473" s="433"/>
      <c r="W473" s="434"/>
      <c r="X473" s="434"/>
      <c r="Y473" s="428" t="s">
        <v>1142</v>
      </c>
      <c r="Z473" s="429">
        <v>0</v>
      </c>
      <c r="AA473" s="429">
        <v>0</v>
      </c>
      <c r="AB473" s="388">
        <v>0</v>
      </c>
      <c r="AC473" s="388">
        <v>0</v>
      </c>
      <c r="AD473" s="388">
        <v>0</v>
      </c>
      <c r="AE473" s="388">
        <v>0</v>
      </c>
      <c r="AF473" s="388">
        <v>0</v>
      </c>
      <c r="AG473" s="388">
        <v>0</v>
      </c>
      <c r="AH473" s="360">
        <f t="shared" si="26"/>
        <v>0</v>
      </c>
      <c r="AI473" s="362">
        <f>ERP_5[[#This Row],[2026 Working Total]]-ERP_5[[#This Row],[LE2 Final Submission]]</f>
        <v>0</v>
      </c>
      <c r="AJ473" s="79">
        <v>0</v>
      </c>
      <c r="AK473" s="79">
        <f t="shared" si="25"/>
        <v>0</v>
      </c>
      <c r="AL473" s="374">
        <f>SUM(ERP_5[[#This Row],[AP01]:[AP06]])-SUM(ERP_5[[#This Row],[AP01 LE2]:[AP06 LE2]])</f>
        <v>0</v>
      </c>
      <c r="AM473" s="80"/>
      <c r="AN473" s="79">
        <f>ERP_5[[#This Row],[2026 Working Total to Budget/LE]]-ERP_5[[#This Row],[Giveback]]</f>
        <v>0</v>
      </c>
      <c r="AO473" s="81"/>
      <c r="AP473" s="375"/>
      <c r="AQ473" s="375"/>
      <c r="AR473" s="375"/>
      <c r="AS473" s="375">
        <v>0</v>
      </c>
      <c r="AT473" s="375">
        <v>0</v>
      </c>
      <c r="AU473" s="375">
        <v>0</v>
      </c>
      <c r="AV473" s="375">
        <v>0</v>
      </c>
      <c r="AW473" s="375">
        <v>0</v>
      </c>
      <c r="AX473" s="375">
        <v>0</v>
      </c>
      <c r="AY473" s="375">
        <v>0</v>
      </c>
      <c r="AZ473" s="375">
        <v>0</v>
      </c>
      <c r="BA473" s="375">
        <v>0</v>
      </c>
      <c r="BB473" s="375">
        <v>0</v>
      </c>
      <c r="BC473" s="103">
        <v>930750</v>
      </c>
      <c r="BD473" s="103">
        <v>0</v>
      </c>
      <c r="BE473" s="103">
        <v>0</v>
      </c>
      <c r="BF473" s="103">
        <v>0</v>
      </c>
      <c r="BG473" s="103">
        <v>0</v>
      </c>
      <c r="BH473" s="103">
        <v>0</v>
      </c>
      <c r="BI473" s="103">
        <v>0</v>
      </c>
      <c r="BJ473" s="103">
        <v>0</v>
      </c>
      <c r="BK473" s="103">
        <v>0</v>
      </c>
      <c r="BL473" s="103">
        <v>0</v>
      </c>
      <c r="BM473" s="103">
        <v>0</v>
      </c>
      <c r="BN473" s="103">
        <v>0</v>
      </c>
      <c r="BO473" s="79">
        <f>SUM(ERP_5[[#This Row],[2026 AP01]:[2026 AP12]])</f>
        <v>930750</v>
      </c>
    </row>
    <row r="474" spans="1:67" ht="15" customHeight="1">
      <c r="A474" s="79" t="s">
        <v>2415</v>
      </c>
      <c r="B474" s="296" t="s">
        <v>778</v>
      </c>
      <c r="C474" s="150" t="s">
        <v>1136</v>
      </c>
      <c r="D474" s="332" t="s">
        <v>1135</v>
      </c>
      <c r="E474" s="383" t="s">
        <v>1135</v>
      </c>
      <c r="F474" s="331" t="s">
        <v>1137</v>
      </c>
      <c r="G474" s="512" t="s">
        <v>639</v>
      </c>
      <c r="H474" s="393" t="s">
        <v>2416</v>
      </c>
      <c r="I474" s="343" t="s">
        <v>2343</v>
      </c>
      <c r="J474" s="150" t="s">
        <v>1171</v>
      </c>
      <c r="K474" s="91" t="s">
        <v>779</v>
      </c>
      <c r="L474" s="343"/>
      <c r="M474" s="346" t="s">
        <v>2339</v>
      </c>
      <c r="N474" s="346" t="s">
        <v>1710</v>
      </c>
      <c r="O474" s="386" t="s">
        <v>707</v>
      </c>
      <c r="P474" s="346" t="s">
        <v>1348</v>
      </c>
      <c r="Q474" s="437"/>
      <c r="R474" s="358">
        <v>-930750</v>
      </c>
      <c r="S474" s="378">
        <v>0</v>
      </c>
      <c r="T474" s="425"/>
      <c r="U474" s="71"/>
      <c r="V474" s="433"/>
      <c r="W474" s="434"/>
      <c r="X474" s="434"/>
      <c r="Y474" s="428" t="s">
        <v>1142</v>
      </c>
      <c r="Z474" s="429">
        <v>0</v>
      </c>
      <c r="AA474" s="429">
        <v>0</v>
      </c>
      <c r="AB474" s="388">
        <v>0</v>
      </c>
      <c r="AC474" s="388">
        <v>0</v>
      </c>
      <c r="AD474" s="388">
        <v>0</v>
      </c>
      <c r="AE474" s="388">
        <v>0</v>
      </c>
      <c r="AF474" s="388">
        <v>0</v>
      </c>
      <c r="AG474" s="388">
        <v>0</v>
      </c>
      <c r="AH474" s="360">
        <f t="shared" si="26"/>
        <v>0</v>
      </c>
      <c r="AI474" s="362">
        <f>ERP_5[[#This Row],[2026 Working Total]]-ERP_5[[#This Row],[LE2 Final Submission]]</f>
        <v>0</v>
      </c>
      <c r="AJ474" s="79">
        <v>0</v>
      </c>
      <c r="AK474" s="79">
        <f t="shared" si="25"/>
        <v>0</v>
      </c>
      <c r="AL474" s="374">
        <f>SUM(ERP_5[[#This Row],[AP01]:[AP06]])-SUM(ERP_5[[#This Row],[AP01 LE2]:[AP06 LE2]])</f>
        <v>0</v>
      </c>
      <c r="AM474" s="80"/>
      <c r="AN474" s="79">
        <f>ERP_5[[#This Row],[2026 Working Total to Budget/LE]]-ERP_5[[#This Row],[Giveback]]</f>
        <v>0</v>
      </c>
      <c r="AO474" s="81"/>
      <c r="AP474" s="375"/>
      <c r="AQ474" s="375"/>
      <c r="AR474" s="375"/>
      <c r="AS474" s="375">
        <v>0</v>
      </c>
      <c r="AT474" s="375">
        <v>0</v>
      </c>
      <c r="AU474" s="375">
        <v>0</v>
      </c>
      <c r="AV474" s="375">
        <v>0</v>
      </c>
      <c r="AW474" s="375">
        <v>0</v>
      </c>
      <c r="AX474" s="375">
        <v>0</v>
      </c>
      <c r="AY474" s="375">
        <v>0</v>
      </c>
      <c r="AZ474" s="375">
        <v>0</v>
      </c>
      <c r="BA474" s="375">
        <v>0</v>
      </c>
      <c r="BB474" s="375">
        <v>0</v>
      </c>
      <c r="BC474" s="103">
        <v>-930750</v>
      </c>
      <c r="BD474" s="103">
        <v>0</v>
      </c>
      <c r="BE474" s="103">
        <v>0</v>
      </c>
      <c r="BF474" s="103">
        <v>0</v>
      </c>
      <c r="BG474" s="103">
        <v>0</v>
      </c>
      <c r="BH474" s="103">
        <v>0</v>
      </c>
      <c r="BI474" s="103">
        <v>0</v>
      </c>
      <c r="BJ474" s="103">
        <v>0</v>
      </c>
      <c r="BK474" s="103">
        <v>0</v>
      </c>
      <c r="BL474" s="103">
        <v>0</v>
      </c>
      <c r="BM474" s="103">
        <v>0</v>
      </c>
      <c r="BN474" s="103">
        <v>0</v>
      </c>
      <c r="BO474" s="79">
        <f>SUM(ERP_5[[#This Row],[2026 AP01]:[2026 AP12]])</f>
        <v>-930750</v>
      </c>
    </row>
    <row r="475" spans="1:67" ht="15" customHeight="1">
      <c r="A475" s="79" t="s">
        <v>2417</v>
      </c>
      <c r="B475" s="296" t="s">
        <v>780</v>
      </c>
      <c r="C475" s="150" t="s">
        <v>1136</v>
      </c>
      <c r="D475" s="332" t="s">
        <v>1135</v>
      </c>
      <c r="E475" s="383" t="s">
        <v>1135</v>
      </c>
      <c r="F475" s="331" t="s">
        <v>1137</v>
      </c>
      <c r="G475" s="512" t="s">
        <v>639</v>
      </c>
      <c r="H475" s="393" t="s">
        <v>2418</v>
      </c>
      <c r="I475" s="343" t="s">
        <v>2343</v>
      </c>
      <c r="J475" s="150" t="s">
        <v>1171</v>
      </c>
      <c r="K475" s="91" t="s">
        <v>781</v>
      </c>
      <c r="L475" s="343"/>
      <c r="M475" s="346" t="s">
        <v>2339</v>
      </c>
      <c r="N475" s="346" t="s">
        <v>1710</v>
      </c>
      <c r="O475" s="386" t="s">
        <v>707</v>
      </c>
      <c r="P475" s="346" t="s">
        <v>1348</v>
      </c>
      <c r="Q475" s="437"/>
      <c r="R475" s="358">
        <v>9567</v>
      </c>
      <c r="S475" s="378">
        <v>0</v>
      </c>
      <c r="T475" s="425"/>
      <c r="U475" s="71"/>
      <c r="V475" s="433"/>
      <c r="W475" s="434"/>
      <c r="X475" s="434"/>
      <c r="Y475" s="428" t="s">
        <v>1142</v>
      </c>
      <c r="Z475" s="429">
        <v>0</v>
      </c>
      <c r="AA475" s="429">
        <v>0</v>
      </c>
      <c r="AB475" s="388">
        <v>0</v>
      </c>
      <c r="AC475" s="388">
        <v>0</v>
      </c>
      <c r="AD475" s="388">
        <v>0</v>
      </c>
      <c r="AE475" s="388">
        <v>0</v>
      </c>
      <c r="AF475" s="388">
        <v>0</v>
      </c>
      <c r="AG475" s="388">
        <v>0</v>
      </c>
      <c r="AH475" s="360">
        <f t="shared" si="26"/>
        <v>0</v>
      </c>
      <c r="AI475" s="362">
        <f>ERP_5[[#This Row],[2026 Working Total]]-ERP_5[[#This Row],[LE2 Final Submission]]</f>
        <v>0</v>
      </c>
      <c r="AJ475" s="79">
        <v>0</v>
      </c>
      <c r="AK475" s="79">
        <f t="shared" si="25"/>
        <v>0</v>
      </c>
      <c r="AL475" s="374">
        <f>SUM(ERP_5[[#This Row],[AP01]:[AP06]])-SUM(ERP_5[[#This Row],[AP01 LE2]:[AP06 LE2]])</f>
        <v>0</v>
      </c>
      <c r="AM475" s="80"/>
      <c r="AN475" s="79">
        <f>ERP_5[[#This Row],[2026 Working Total to Budget/LE]]-ERP_5[[#This Row],[Giveback]]</f>
        <v>0</v>
      </c>
      <c r="AO475" s="81"/>
      <c r="AP475" s="375"/>
      <c r="AQ475" s="375"/>
      <c r="AR475" s="375"/>
      <c r="AS475" s="375">
        <v>0</v>
      </c>
      <c r="AT475" s="375">
        <v>0</v>
      </c>
      <c r="AU475" s="375">
        <v>0</v>
      </c>
      <c r="AV475" s="375">
        <v>0</v>
      </c>
      <c r="AW475" s="375">
        <v>0</v>
      </c>
      <c r="AX475" s="375">
        <v>0</v>
      </c>
      <c r="AY475" s="375">
        <v>0</v>
      </c>
      <c r="AZ475" s="375">
        <v>0</v>
      </c>
      <c r="BA475" s="375">
        <v>0</v>
      </c>
      <c r="BB475" s="375">
        <v>0</v>
      </c>
      <c r="BC475" s="103">
        <v>9567</v>
      </c>
      <c r="BD475" s="103">
        <v>0</v>
      </c>
      <c r="BE475" s="103">
        <v>0</v>
      </c>
      <c r="BF475" s="103">
        <v>0</v>
      </c>
      <c r="BG475" s="103">
        <v>0</v>
      </c>
      <c r="BH475" s="103">
        <v>0</v>
      </c>
      <c r="BI475" s="103">
        <v>0</v>
      </c>
      <c r="BJ475" s="103">
        <v>0</v>
      </c>
      <c r="BK475" s="103">
        <v>0</v>
      </c>
      <c r="BL475" s="103">
        <v>0</v>
      </c>
      <c r="BM475" s="103">
        <v>0</v>
      </c>
      <c r="BN475" s="103">
        <v>0</v>
      </c>
      <c r="BO475" s="79">
        <f>SUM(ERP_5[[#This Row],[2026 AP01]:[2026 AP12]])</f>
        <v>9567</v>
      </c>
    </row>
    <row r="476" spans="1:67" ht="15" customHeight="1">
      <c r="A476" s="79" t="s">
        <v>2419</v>
      </c>
      <c r="B476" s="296" t="s">
        <v>782</v>
      </c>
      <c r="C476" s="150" t="s">
        <v>1136</v>
      </c>
      <c r="D476" s="332" t="s">
        <v>1135</v>
      </c>
      <c r="E476" s="383" t="s">
        <v>1135</v>
      </c>
      <c r="F476" s="331" t="s">
        <v>1137</v>
      </c>
      <c r="G476" s="512" t="s">
        <v>639</v>
      </c>
      <c r="H476" s="393" t="s">
        <v>2420</v>
      </c>
      <c r="I476" s="343" t="s">
        <v>2343</v>
      </c>
      <c r="J476" s="150" t="s">
        <v>1171</v>
      </c>
      <c r="K476" s="91" t="s">
        <v>783</v>
      </c>
      <c r="L476" s="343"/>
      <c r="M476" s="346" t="s">
        <v>2339</v>
      </c>
      <c r="N476" s="346" t="s">
        <v>1710</v>
      </c>
      <c r="O476" s="386" t="s">
        <v>707</v>
      </c>
      <c r="P476" s="346" t="s">
        <v>1348</v>
      </c>
      <c r="Q476" s="437"/>
      <c r="R476" s="358">
        <v>-9567</v>
      </c>
      <c r="S476" s="378">
        <v>0</v>
      </c>
      <c r="T476" s="430"/>
      <c r="U476" s="137"/>
      <c r="V476" s="433"/>
      <c r="W476" s="434"/>
      <c r="X476" s="434"/>
      <c r="Y476" s="428" t="s">
        <v>1142</v>
      </c>
      <c r="Z476" s="429">
        <v>0</v>
      </c>
      <c r="AA476" s="429">
        <v>0</v>
      </c>
      <c r="AB476" s="388">
        <v>0</v>
      </c>
      <c r="AC476" s="388">
        <v>0</v>
      </c>
      <c r="AD476" s="388">
        <v>0</v>
      </c>
      <c r="AE476" s="388">
        <v>0</v>
      </c>
      <c r="AF476" s="388">
        <v>0</v>
      </c>
      <c r="AG476" s="388">
        <v>0</v>
      </c>
      <c r="AH476" s="360">
        <f t="shared" si="26"/>
        <v>0</v>
      </c>
      <c r="AI476" s="362">
        <f>ERP_5[[#This Row],[2026 Working Total]]-ERP_5[[#This Row],[LE2 Final Submission]]</f>
        <v>0</v>
      </c>
      <c r="AJ476" s="79">
        <v>0</v>
      </c>
      <c r="AK476" s="79">
        <f t="shared" si="25"/>
        <v>0</v>
      </c>
      <c r="AL476" s="374">
        <f>SUM(ERP_5[[#This Row],[AP01]:[AP06]])-SUM(ERP_5[[#This Row],[AP01 LE2]:[AP06 LE2]])</f>
        <v>0</v>
      </c>
      <c r="AM476" s="80"/>
      <c r="AN476" s="79">
        <f>ERP_5[[#This Row],[2026 Working Total to Budget/LE]]-ERP_5[[#This Row],[Giveback]]</f>
        <v>0</v>
      </c>
      <c r="AO476" s="81"/>
      <c r="AP476" s="375"/>
      <c r="AQ476" s="375"/>
      <c r="AR476" s="375"/>
      <c r="AS476" s="375">
        <v>0</v>
      </c>
      <c r="AT476" s="375">
        <v>0</v>
      </c>
      <c r="AU476" s="375">
        <v>0</v>
      </c>
      <c r="AV476" s="375">
        <v>0</v>
      </c>
      <c r="AW476" s="375">
        <v>0</v>
      </c>
      <c r="AX476" s="375">
        <v>0</v>
      </c>
      <c r="AY476" s="375">
        <v>0</v>
      </c>
      <c r="AZ476" s="375">
        <v>0</v>
      </c>
      <c r="BA476" s="375">
        <v>0</v>
      </c>
      <c r="BB476" s="375">
        <v>0</v>
      </c>
      <c r="BC476" s="103">
        <v>-9567</v>
      </c>
      <c r="BD476" s="103">
        <v>0</v>
      </c>
      <c r="BE476" s="103">
        <v>0</v>
      </c>
      <c r="BF476" s="103">
        <v>0</v>
      </c>
      <c r="BG476" s="103">
        <v>0</v>
      </c>
      <c r="BH476" s="103">
        <v>0</v>
      </c>
      <c r="BI476" s="103">
        <v>0</v>
      </c>
      <c r="BJ476" s="103">
        <v>0</v>
      </c>
      <c r="BK476" s="103">
        <v>0</v>
      </c>
      <c r="BL476" s="103">
        <v>0</v>
      </c>
      <c r="BM476" s="103">
        <v>0</v>
      </c>
      <c r="BN476" s="103">
        <v>0</v>
      </c>
      <c r="BO476" s="79">
        <f>SUM(ERP_5[[#This Row],[2026 AP01]:[2026 AP12]])</f>
        <v>-9567</v>
      </c>
    </row>
    <row r="477" spans="1:67" ht="15" customHeight="1">
      <c r="A477" s="66" t="s">
        <v>2421</v>
      </c>
      <c r="B477" s="66" t="s">
        <v>784</v>
      </c>
      <c r="C477" s="150" t="s">
        <v>1136</v>
      </c>
      <c r="D477" s="150" t="s">
        <v>1135</v>
      </c>
      <c r="E477" s="150" t="s">
        <v>1135</v>
      </c>
      <c r="F477" s="150" t="s">
        <v>1137</v>
      </c>
      <c r="G477" s="511" t="s">
        <v>639</v>
      </c>
      <c r="H477" s="392" t="s">
        <v>2422</v>
      </c>
      <c r="I477" s="343"/>
      <c r="J477" s="343"/>
      <c r="K477" s="70" t="s">
        <v>785</v>
      </c>
      <c r="L477" s="346"/>
      <c r="M477" s="343"/>
      <c r="N477" s="346"/>
      <c r="O477" s="150" t="s">
        <v>67</v>
      </c>
      <c r="P477" s="150"/>
      <c r="Q477" s="403"/>
      <c r="R477" s="406">
        <v>-551382.25</v>
      </c>
      <c r="S477" s="406">
        <v>-551382.25</v>
      </c>
      <c r="T477" s="425"/>
      <c r="U477" s="71"/>
      <c r="V477" s="426"/>
      <c r="W477" s="427"/>
      <c r="X477" s="427">
        <v>-551382.25</v>
      </c>
      <c r="Y477" s="428" t="s">
        <v>1142</v>
      </c>
      <c r="Z477" s="429">
        <v>0</v>
      </c>
      <c r="AA477" s="429">
        <v>0</v>
      </c>
      <c r="AB477" s="360">
        <v>0</v>
      </c>
      <c r="AC477" s="360">
        <v>0</v>
      </c>
      <c r="AD477" s="360">
        <v>0</v>
      </c>
      <c r="AE477" s="360">
        <v>0</v>
      </c>
      <c r="AF477" s="360">
        <v>0</v>
      </c>
      <c r="AG477" s="360">
        <v>0</v>
      </c>
      <c r="AH477" s="360">
        <f t="shared" si="26"/>
        <v>-551382.25</v>
      </c>
      <c r="AI477" s="362">
        <f>ERP_5[[#This Row],[2026 Working Total]]-ERP_5[[#This Row],[LE2 Final Submission]]</f>
        <v>0</v>
      </c>
      <c r="AJ477" s="79">
        <v>0</v>
      </c>
      <c r="AK477" s="79">
        <f t="shared" si="25"/>
        <v>0</v>
      </c>
      <c r="AL477" s="374">
        <f>SUM(ERP_5[[#This Row],[AP01]:[AP06]])-SUM(ERP_5[[#This Row],[AP01 LE2]:[AP06 LE2]])</f>
        <v>0</v>
      </c>
      <c r="AM477" s="80"/>
      <c r="AN477" s="79">
        <f>ERP_5[[#This Row],[2026 Working Total to Budget/LE]]-ERP_5[[#This Row],[Giveback]]</f>
        <v>0</v>
      </c>
      <c r="AO477" s="81"/>
      <c r="AP477" s="375"/>
      <c r="AQ477" s="375"/>
      <c r="AR477" s="375">
        <v>-551382.25</v>
      </c>
      <c r="AS477" s="375">
        <v>0</v>
      </c>
      <c r="AT477" s="375">
        <v>0</v>
      </c>
      <c r="AU477" s="375">
        <v>0</v>
      </c>
      <c r="AV477" s="375">
        <v>0</v>
      </c>
      <c r="AW477" s="375">
        <v>0</v>
      </c>
      <c r="AX477" s="375">
        <v>0</v>
      </c>
      <c r="AY477" s="375">
        <v>0</v>
      </c>
      <c r="AZ477" s="375">
        <v>0</v>
      </c>
      <c r="BA477" s="375">
        <v>0</v>
      </c>
      <c r="BB477" s="375">
        <v>-551382.25</v>
      </c>
      <c r="BC477" s="79"/>
      <c r="BD477" s="79"/>
      <c r="BE477" s="79">
        <v>-551382.25</v>
      </c>
      <c r="BF477" s="79">
        <v>0</v>
      </c>
      <c r="BG477" s="79">
        <v>0</v>
      </c>
      <c r="BH477" s="79">
        <v>0</v>
      </c>
      <c r="BI477" s="79">
        <v>0</v>
      </c>
      <c r="BJ477" s="79">
        <v>0</v>
      </c>
      <c r="BK477" s="79">
        <v>0</v>
      </c>
      <c r="BL477" s="79">
        <v>0</v>
      </c>
      <c r="BM477" s="79">
        <v>0</v>
      </c>
      <c r="BN477" s="79">
        <v>0</v>
      </c>
      <c r="BO477" s="79">
        <v>-551382.25</v>
      </c>
    </row>
    <row r="478" spans="1:67" ht="15" customHeight="1">
      <c r="A478" s="66" t="s">
        <v>2148</v>
      </c>
      <c r="B478" s="66" t="s">
        <v>603</v>
      </c>
      <c r="C478" s="150" t="s">
        <v>1136</v>
      </c>
      <c r="D478" s="150" t="s">
        <v>1135</v>
      </c>
      <c r="E478" s="150" t="s">
        <v>1135</v>
      </c>
      <c r="F478" s="150" t="s">
        <v>1137</v>
      </c>
      <c r="G478" s="511" t="s">
        <v>602</v>
      </c>
      <c r="H478" s="392" t="s">
        <v>2149</v>
      </c>
      <c r="I478" s="343"/>
      <c r="J478" s="343"/>
      <c r="K478" s="70" t="s">
        <v>604</v>
      </c>
      <c r="L478" s="346"/>
      <c r="M478" s="343"/>
      <c r="N478" s="346"/>
      <c r="O478" s="150" t="s">
        <v>605</v>
      </c>
      <c r="P478" s="150"/>
      <c r="Q478" s="404"/>
      <c r="R478" s="407">
        <v>0</v>
      </c>
      <c r="S478" s="407">
        <v>0</v>
      </c>
      <c r="T478" s="425"/>
      <c r="U478" s="71"/>
      <c r="V478" s="426">
        <v>4356992.08</v>
      </c>
      <c r="W478" s="427">
        <v>-4356992.08</v>
      </c>
      <c r="X478" s="427"/>
      <c r="Y478" s="428" t="s">
        <v>1142</v>
      </c>
      <c r="Z478" s="429">
        <v>0</v>
      </c>
      <c r="AA478" s="429">
        <v>0</v>
      </c>
      <c r="AB478" s="363"/>
      <c r="AC478" s="363"/>
      <c r="AD478" s="363"/>
      <c r="AE478" s="363"/>
      <c r="AF478" s="363"/>
      <c r="AG478" s="363"/>
      <c r="AH478" s="360">
        <f t="shared" si="26"/>
        <v>0</v>
      </c>
      <c r="AI478" s="362">
        <f>ERP_5[[#This Row],[2026 Working Total]]-ERP_5[[#This Row],[LE2 Final Submission]]</f>
        <v>0</v>
      </c>
      <c r="AJ478" s="79"/>
      <c r="AK478" s="79">
        <f t="shared" si="25"/>
        <v>0</v>
      </c>
      <c r="AL478" s="374">
        <f>SUM(ERP_5[[#This Row],[AP01]:[AP06]])-SUM(ERP_5[[#This Row],[AP01 LE2]:[AP06 LE2]])</f>
        <v>0</v>
      </c>
      <c r="AM478" s="80"/>
      <c r="AN478" s="79">
        <f>ERP_5[[#This Row],[2026 Working Total to Budget/LE]]-ERP_5[[#This Row],[Giveback]]</f>
        <v>0</v>
      </c>
      <c r="AO478" s="81"/>
      <c r="AP478" s="375">
        <v>4356992.08</v>
      </c>
      <c r="AQ478" s="375">
        <v>-4356992.08</v>
      </c>
      <c r="AR478" s="375"/>
      <c r="AS478" s="375"/>
      <c r="AT478" s="375"/>
      <c r="AU478" s="375"/>
      <c r="AV478" s="375"/>
      <c r="AW478" s="375"/>
      <c r="AX478" s="375"/>
      <c r="AY478" s="375"/>
      <c r="AZ478" s="375"/>
      <c r="BA478" s="375"/>
      <c r="BB478" s="375">
        <v>0</v>
      </c>
      <c r="BC478" s="79">
        <v>4356992.08</v>
      </c>
      <c r="BD478" s="79">
        <v>-4356992.08</v>
      </c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>
        <v>0</v>
      </c>
    </row>
    <row r="479" spans="1:67" ht="15" customHeight="1">
      <c r="A479" s="66" t="s">
        <v>2423</v>
      </c>
      <c r="B479" s="66" t="s">
        <v>786</v>
      </c>
      <c r="C479" s="150" t="s">
        <v>1136</v>
      </c>
      <c r="D479" s="150" t="s">
        <v>1135</v>
      </c>
      <c r="E479" s="150" t="s">
        <v>1135</v>
      </c>
      <c r="F479" s="150" t="s">
        <v>1137</v>
      </c>
      <c r="G479" s="511" t="s">
        <v>639</v>
      </c>
      <c r="H479" s="392" t="s">
        <v>2149</v>
      </c>
      <c r="I479" s="343" t="s">
        <v>1231</v>
      </c>
      <c r="J479" s="346" t="s">
        <v>1171</v>
      </c>
      <c r="K479" s="70" t="s">
        <v>604</v>
      </c>
      <c r="L479" s="346"/>
      <c r="M479" s="346" t="s">
        <v>2424</v>
      </c>
      <c r="N479" s="346"/>
      <c r="O479" s="150" t="s">
        <v>605</v>
      </c>
      <c r="P479" s="150" t="s">
        <v>2425</v>
      </c>
      <c r="Q479" s="403"/>
      <c r="R479" s="406">
        <v>4356984</v>
      </c>
      <c r="S479" s="406">
        <v>4356986.0199999996</v>
      </c>
      <c r="T479" s="425"/>
      <c r="U479" s="71"/>
      <c r="V479" s="426"/>
      <c r="W479" s="427">
        <v>726165.35</v>
      </c>
      <c r="X479" s="427">
        <v>363082.67</v>
      </c>
      <c r="Y479" s="428">
        <v>0</v>
      </c>
      <c r="Z479" s="429">
        <v>726165.34</v>
      </c>
      <c r="AA479" s="429">
        <v>363082.67</v>
      </c>
      <c r="AB479" s="363">
        <f>363082-363082</f>
        <v>0</v>
      </c>
      <c r="AC479" s="363">
        <f>363082+363082</f>
        <v>726164</v>
      </c>
      <c r="AD479" s="363">
        <v>363082</v>
      </c>
      <c r="AE479" s="363">
        <f>363082-363082</f>
        <v>0</v>
      </c>
      <c r="AF479" s="363">
        <f>363082+363082</f>
        <v>726164</v>
      </c>
      <c r="AG479" s="363">
        <v>363082</v>
      </c>
      <c r="AH479" s="360">
        <f t="shared" si="26"/>
        <v>4356988.0299999993</v>
      </c>
      <c r="AI479" s="362">
        <f>ERP_5[[#This Row],[2026 Working Total]]-ERP_5[[#This Row],[LE2 Final Submission]]</f>
        <v>2.0099999997764826</v>
      </c>
      <c r="AJ479" s="79">
        <v>726164</v>
      </c>
      <c r="AK479" s="79">
        <f t="shared" si="25"/>
        <v>-363081.33</v>
      </c>
      <c r="AL479" s="374">
        <f>SUM(ERP_5[[#This Row],[AP01]:[AP06]])-SUM(ERP_5[[#This Row],[AP01 LE2]:[AP06 LE2]])</f>
        <v>2.0099999997764826</v>
      </c>
      <c r="AM479" s="80"/>
      <c r="AN479" s="79">
        <f>ERP_5[[#This Row],[2026 Working Total to Budget/LE]]-ERP_5[[#This Row],[Giveback]]</f>
        <v>2.0099999997764826</v>
      </c>
      <c r="AO479" s="81"/>
      <c r="AP479" s="375"/>
      <c r="AQ479" s="375">
        <v>726165.35</v>
      </c>
      <c r="AR479" s="375">
        <v>363082.67</v>
      </c>
      <c r="AS479" s="375">
        <v>0</v>
      </c>
      <c r="AT479" s="375">
        <v>726164</v>
      </c>
      <c r="AU479" s="375">
        <v>363082</v>
      </c>
      <c r="AV479" s="375">
        <v>0</v>
      </c>
      <c r="AW479" s="375">
        <v>726164</v>
      </c>
      <c r="AX479" s="375">
        <v>363082</v>
      </c>
      <c r="AY479" s="375">
        <v>0</v>
      </c>
      <c r="AZ479" s="375">
        <v>726164</v>
      </c>
      <c r="BA479" s="375">
        <v>363082</v>
      </c>
      <c r="BB479" s="375">
        <v>4356986.0199999996</v>
      </c>
      <c r="BC479" s="79"/>
      <c r="BD479" s="79">
        <v>726165.35</v>
      </c>
      <c r="BE479" s="79">
        <v>363082.67</v>
      </c>
      <c r="BF479" s="79">
        <v>363082</v>
      </c>
      <c r="BG479" s="79">
        <v>363082</v>
      </c>
      <c r="BH479" s="79">
        <v>363082</v>
      </c>
      <c r="BI479" s="79">
        <v>363082</v>
      </c>
      <c r="BJ479" s="79">
        <v>363082</v>
      </c>
      <c r="BK479" s="79">
        <v>363082</v>
      </c>
      <c r="BL479" s="79">
        <v>363082</v>
      </c>
      <c r="BM479" s="79">
        <v>363082</v>
      </c>
      <c r="BN479" s="79">
        <v>363082</v>
      </c>
      <c r="BO479" s="79">
        <v>4356986.0199999996</v>
      </c>
    </row>
    <row r="480" spans="1:67" ht="15" customHeight="1">
      <c r="A480" s="79" t="s">
        <v>2719</v>
      </c>
      <c r="B480" s="296" t="s">
        <v>969</v>
      </c>
      <c r="C480" s="150" t="s">
        <v>1136</v>
      </c>
      <c r="D480" s="332" t="s">
        <v>1345</v>
      </c>
      <c r="E480" s="383" t="s">
        <v>1480</v>
      </c>
      <c r="F480" s="331" t="s">
        <v>1346</v>
      </c>
      <c r="G480" s="512" t="s">
        <v>639</v>
      </c>
      <c r="H480" s="393" t="s">
        <v>2720</v>
      </c>
      <c r="I480" s="343" t="s">
        <v>2721</v>
      </c>
      <c r="J480" s="150" t="s">
        <v>1493</v>
      </c>
      <c r="K480" s="91" t="s">
        <v>970</v>
      </c>
      <c r="L480" s="343"/>
      <c r="M480" s="346" t="s">
        <v>2722</v>
      </c>
      <c r="N480" s="346" t="s">
        <v>1710</v>
      </c>
      <c r="O480" s="386" t="s">
        <v>863</v>
      </c>
      <c r="P480" s="346" t="s">
        <v>1348</v>
      </c>
      <c r="Q480" s="437"/>
      <c r="R480" s="358">
        <v>26967.21</v>
      </c>
      <c r="S480" s="378">
        <v>0</v>
      </c>
      <c r="T480" s="430"/>
      <c r="U480" s="137"/>
      <c r="V480" s="433"/>
      <c r="W480" s="434"/>
      <c r="X480" s="434"/>
      <c r="Y480" s="428">
        <v>0</v>
      </c>
      <c r="Z480" s="429">
        <v>0</v>
      </c>
      <c r="AA480" s="429">
        <v>0</v>
      </c>
      <c r="AB480" s="388">
        <v>0</v>
      </c>
      <c r="AC480" s="388">
        <v>0</v>
      </c>
      <c r="AD480" s="388">
        <v>0</v>
      </c>
      <c r="AE480" s="388">
        <v>0</v>
      </c>
      <c r="AF480" s="388">
        <v>0</v>
      </c>
      <c r="AG480" s="388">
        <v>0</v>
      </c>
      <c r="AH480" s="360">
        <f t="shared" si="26"/>
        <v>0</v>
      </c>
      <c r="AI480" s="362">
        <f>ERP_5[[#This Row],[2026 Working Total]]-ERP_5[[#This Row],[LE2 Final Submission]]</f>
        <v>0</v>
      </c>
      <c r="AJ480" s="79">
        <v>0</v>
      </c>
      <c r="AK480" s="79">
        <f t="shared" si="25"/>
        <v>0</v>
      </c>
      <c r="AL480" s="374">
        <f>SUM(ERP_5[[#This Row],[AP01]:[AP06]])-SUM(ERP_5[[#This Row],[AP01 LE2]:[AP06 LE2]])</f>
        <v>0</v>
      </c>
      <c r="AM480" s="80"/>
      <c r="AN480" s="79">
        <f>ERP_5[[#This Row],[2026 Working Total to Budget/LE]]-ERP_5[[#This Row],[Giveback]]</f>
        <v>0</v>
      </c>
      <c r="AO480" s="81"/>
      <c r="AP480" s="375"/>
      <c r="AQ480" s="375"/>
      <c r="AR480" s="375"/>
      <c r="AS480" s="375">
        <v>0</v>
      </c>
      <c r="AT480" s="375">
        <v>0</v>
      </c>
      <c r="AU480" s="375">
        <v>0</v>
      </c>
      <c r="AV480" s="375">
        <v>0</v>
      </c>
      <c r="AW480" s="375">
        <v>0</v>
      </c>
      <c r="AX480" s="375">
        <v>0</v>
      </c>
      <c r="AY480" s="375">
        <v>0</v>
      </c>
      <c r="AZ480" s="375">
        <v>0</v>
      </c>
      <c r="BA480" s="375">
        <v>0</v>
      </c>
      <c r="BB480" s="375">
        <v>0</v>
      </c>
      <c r="BC480" s="103">
        <v>26967.21</v>
      </c>
      <c r="BD480" s="103">
        <v>0</v>
      </c>
      <c r="BE480" s="103">
        <v>0</v>
      </c>
      <c r="BF480" s="103">
        <v>0</v>
      </c>
      <c r="BG480" s="103">
        <v>0</v>
      </c>
      <c r="BH480" s="103">
        <v>0</v>
      </c>
      <c r="BI480" s="103">
        <v>0</v>
      </c>
      <c r="BJ480" s="103">
        <v>0</v>
      </c>
      <c r="BK480" s="103">
        <v>0</v>
      </c>
      <c r="BL480" s="103">
        <v>0</v>
      </c>
      <c r="BM480" s="103">
        <v>0</v>
      </c>
      <c r="BN480" s="103">
        <v>0</v>
      </c>
      <c r="BO480" s="79">
        <f>SUM(ERP_5[[#This Row],[2026 AP01]:[2026 AP12]])</f>
        <v>26967.21</v>
      </c>
    </row>
    <row r="481" spans="1:67" ht="15" customHeight="1">
      <c r="A481" s="79" t="s">
        <v>2723</v>
      </c>
      <c r="B481" s="296" t="s">
        <v>971</v>
      </c>
      <c r="C481" s="150" t="s">
        <v>1136</v>
      </c>
      <c r="D481" s="332" t="s">
        <v>1345</v>
      </c>
      <c r="E481" s="383" t="s">
        <v>1480</v>
      </c>
      <c r="F481" s="331" t="s">
        <v>1346</v>
      </c>
      <c r="G481" s="512" t="s">
        <v>639</v>
      </c>
      <c r="H481" s="393" t="s">
        <v>2724</v>
      </c>
      <c r="I481" s="343" t="s">
        <v>2721</v>
      </c>
      <c r="J481" s="150" t="s">
        <v>1493</v>
      </c>
      <c r="K481" s="91" t="s">
        <v>972</v>
      </c>
      <c r="L481" s="343"/>
      <c r="M481" s="346" t="s">
        <v>2722</v>
      </c>
      <c r="N481" s="346" t="s">
        <v>1710</v>
      </c>
      <c r="O481" s="386" t="s">
        <v>863</v>
      </c>
      <c r="P481" s="346" t="s">
        <v>1348</v>
      </c>
      <c r="Q481" s="437"/>
      <c r="R481" s="358">
        <v>-26967.21</v>
      </c>
      <c r="S481" s="378">
        <v>0</v>
      </c>
      <c r="T481" s="425"/>
      <c r="U481" s="71"/>
      <c r="V481" s="433"/>
      <c r="W481" s="434"/>
      <c r="X481" s="434"/>
      <c r="Y481" s="428" t="s">
        <v>1142</v>
      </c>
      <c r="Z481" s="429">
        <v>0</v>
      </c>
      <c r="AA481" s="429">
        <v>0</v>
      </c>
      <c r="AB481" s="388">
        <v>0</v>
      </c>
      <c r="AC481" s="388">
        <v>0</v>
      </c>
      <c r="AD481" s="388">
        <v>0</v>
      </c>
      <c r="AE481" s="388">
        <v>0</v>
      </c>
      <c r="AF481" s="388">
        <v>0</v>
      </c>
      <c r="AG481" s="388">
        <v>0</v>
      </c>
      <c r="AH481" s="360">
        <f t="shared" si="26"/>
        <v>0</v>
      </c>
      <c r="AI481" s="362">
        <f>ERP_5[[#This Row],[2026 Working Total]]-ERP_5[[#This Row],[LE2 Final Submission]]</f>
        <v>0</v>
      </c>
      <c r="AJ481" s="79">
        <v>0</v>
      </c>
      <c r="AK481" s="79">
        <f t="shared" si="25"/>
        <v>0</v>
      </c>
      <c r="AL481" s="374">
        <f>SUM(ERP_5[[#This Row],[AP01]:[AP06]])-SUM(ERP_5[[#This Row],[AP01 LE2]:[AP06 LE2]])</f>
        <v>0</v>
      </c>
      <c r="AM481" s="80"/>
      <c r="AN481" s="79">
        <f>ERP_5[[#This Row],[2026 Working Total to Budget/LE]]-ERP_5[[#This Row],[Giveback]]</f>
        <v>0</v>
      </c>
      <c r="AO481" s="81"/>
      <c r="AP481" s="375"/>
      <c r="AQ481" s="375"/>
      <c r="AR481" s="375"/>
      <c r="AS481" s="375">
        <v>0</v>
      </c>
      <c r="AT481" s="375">
        <v>0</v>
      </c>
      <c r="AU481" s="375">
        <v>0</v>
      </c>
      <c r="AV481" s="375">
        <v>0</v>
      </c>
      <c r="AW481" s="375">
        <v>0</v>
      </c>
      <c r="AX481" s="375">
        <v>0</v>
      </c>
      <c r="AY481" s="375">
        <v>0</v>
      </c>
      <c r="AZ481" s="375">
        <v>0</v>
      </c>
      <c r="BA481" s="375">
        <v>0</v>
      </c>
      <c r="BB481" s="375">
        <v>0</v>
      </c>
      <c r="BC481" s="103">
        <v>-26967.21</v>
      </c>
      <c r="BD481" s="103">
        <v>0</v>
      </c>
      <c r="BE481" s="103">
        <v>0</v>
      </c>
      <c r="BF481" s="103">
        <v>0</v>
      </c>
      <c r="BG481" s="103">
        <v>0</v>
      </c>
      <c r="BH481" s="103">
        <v>0</v>
      </c>
      <c r="BI481" s="103">
        <v>0</v>
      </c>
      <c r="BJ481" s="103">
        <v>0</v>
      </c>
      <c r="BK481" s="103">
        <v>0</v>
      </c>
      <c r="BL481" s="103">
        <v>0</v>
      </c>
      <c r="BM481" s="103">
        <v>0</v>
      </c>
      <c r="BN481" s="103">
        <v>0</v>
      </c>
      <c r="BO481" s="79">
        <f>SUM(ERP_5[[#This Row],[2026 AP01]:[2026 AP12]])</f>
        <v>-26967.21</v>
      </c>
    </row>
    <row r="482" spans="1:67" ht="15" customHeight="1">
      <c r="A482" s="66" t="s">
        <v>2618</v>
      </c>
      <c r="B482" s="66" t="s">
        <v>911</v>
      </c>
      <c r="C482" s="150" t="s">
        <v>1136</v>
      </c>
      <c r="D482" s="150" t="s">
        <v>1345</v>
      </c>
      <c r="E482" s="150" t="s">
        <v>1344</v>
      </c>
      <c r="F482" s="150" t="s">
        <v>1346</v>
      </c>
      <c r="G482" s="511" t="s">
        <v>639</v>
      </c>
      <c r="H482" s="392" t="s">
        <v>2619</v>
      </c>
      <c r="I482" s="343"/>
      <c r="J482" s="343"/>
      <c r="K482" s="70" t="s">
        <v>912</v>
      </c>
      <c r="L482" s="346"/>
      <c r="M482" s="343"/>
      <c r="N482" s="346"/>
      <c r="O482" s="150" t="s">
        <v>25</v>
      </c>
      <c r="P482" s="150"/>
      <c r="Q482" s="403"/>
      <c r="R482" s="406">
        <v>5000</v>
      </c>
      <c r="S482" s="406">
        <v>5000</v>
      </c>
      <c r="T482" s="425"/>
      <c r="U482" s="71"/>
      <c r="V482" s="426"/>
      <c r="W482" s="427"/>
      <c r="X482" s="427"/>
      <c r="Y482" s="428" t="s">
        <v>1142</v>
      </c>
      <c r="Z482" s="429">
        <v>0</v>
      </c>
      <c r="AA482" s="429">
        <v>0</v>
      </c>
      <c r="AB482" s="363"/>
      <c r="AC482" s="363"/>
      <c r="AD482" s="363"/>
      <c r="AE482" s="363"/>
      <c r="AF482" s="363"/>
      <c r="AG482" s="363">
        <v>5000</v>
      </c>
      <c r="AH482" s="360">
        <f t="shared" si="26"/>
        <v>5000</v>
      </c>
      <c r="AI482" s="362">
        <f>ERP_5[[#This Row],[2026 Working Total]]-ERP_5[[#This Row],[LE2 Final Submission]]</f>
        <v>0</v>
      </c>
      <c r="AJ482" s="79"/>
      <c r="AK482" s="79">
        <f t="shared" si="25"/>
        <v>0</v>
      </c>
      <c r="AL482" s="374">
        <f>SUM(ERP_5[[#This Row],[AP01]:[AP06]])-SUM(ERP_5[[#This Row],[AP01 LE2]:[AP06 LE2]])</f>
        <v>0</v>
      </c>
      <c r="AM482" s="80"/>
      <c r="AN482" s="79">
        <f>ERP_5[[#This Row],[2026 Working Total to Budget/LE]]-ERP_5[[#This Row],[Giveback]]</f>
        <v>0</v>
      </c>
      <c r="AO482" s="81" t="s">
        <v>2620</v>
      </c>
      <c r="AP482" s="375"/>
      <c r="AQ482" s="375"/>
      <c r="AR482" s="375"/>
      <c r="AS482" s="375"/>
      <c r="AT482" s="375"/>
      <c r="AU482" s="375"/>
      <c r="AV482" s="375"/>
      <c r="AW482" s="375"/>
      <c r="AX482" s="375"/>
      <c r="AY482" s="375"/>
      <c r="AZ482" s="375"/>
      <c r="BA482" s="375">
        <v>5000</v>
      </c>
      <c r="BB482" s="375">
        <v>5000</v>
      </c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>
        <v>5000</v>
      </c>
      <c r="BO482" s="79">
        <v>5000</v>
      </c>
    </row>
    <row r="483" spans="1:67" ht="15" customHeight="1">
      <c r="A483" s="66" t="s">
        <v>2426</v>
      </c>
      <c r="B483" s="66" t="s">
        <v>787</v>
      </c>
      <c r="C483" s="150" t="s">
        <v>1136</v>
      </c>
      <c r="D483" s="150" t="s">
        <v>1135</v>
      </c>
      <c r="E483" s="150" t="s">
        <v>1135</v>
      </c>
      <c r="F483" s="150" t="s">
        <v>1137</v>
      </c>
      <c r="G483" s="511" t="s">
        <v>639</v>
      </c>
      <c r="H483" s="392" t="s">
        <v>2427</v>
      </c>
      <c r="I483" s="343" t="s">
        <v>2428</v>
      </c>
      <c r="J483" s="346" t="s">
        <v>1171</v>
      </c>
      <c r="K483" s="70" t="s">
        <v>788</v>
      </c>
      <c r="L483" s="346"/>
      <c r="M483" s="343"/>
      <c r="N483" s="346"/>
      <c r="O483" s="150" t="s">
        <v>789</v>
      </c>
      <c r="P483" s="150"/>
      <c r="Q483" s="403"/>
      <c r="R483" s="406">
        <v>5012</v>
      </c>
      <c r="S483" s="406">
        <v>2512</v>
      </c>
      <c r="T483" s="430"/>
      <c r="U483" s="137"/>
      <c r="V483" s="426"/>
      <c r="W483" s="427"/>
      <c r="X483" s="427"/>
      <c r="Y483" s="428" t="s">
        <v>1142</v>
      </c>
      <c r="Z483" s="429">
        <v>0</v>
      </c>
      <c r="AA483" s="429">
        <v>0</v>
      </c>
      <c r="AB483" s="360">
        <v>0</v>
      </c>
      <c r="AC483" s="360">
        <v>0</v>
      </c>
      <c r="AD483" s="360">
        <v>0</v>
      </c>
      <c r="AE483" s="360">
        <v>0</v>
      </c>
      <c r="AF483" s="363">
        <v>2512</v>
      </c>
      <c r="AG483" s="360">
        <v>0</v>
      </c>
      <c r="AH483" s="360">
        <f t="shared" si="26"/>
        <v>2512</v>
      </c>
      <c r="AI483" s="362">
        <f>ERP_5[[#This Row],[2026 Working Total]]-ERP_5[[#This Row],[LE2 Final Submission]]</f>
        <v>0</v>
      </c>
      <c r="AJ483" s="79"/>
      <c r="AK483" s="79">
        <f t="shared" si="25"/>
        <v>0</v>
      </c>
      <c r="AL483" s="374">
        <f>SUM(ERP_5[[#This Row],[AP01]:[AP06]])-SUM(ERP_5[[#This Row],[AP01 LE2]:[AP06 LE2]])</f>
        <v>0</v>
      </c>
      <c r="AM483" s="80"/>
      <c r="AN483" s="79">
        <f>ERP_5[[#This Row],[2026 Working Total to Budget/LE]]-ERP_5[[#This Row],[Giveback]]</f>
        <v>0</v>
      </c>
      <c r="AO483" s="81"/>
      <c r="AP483" s="375"/>
      <c r="AQ483" s="375"/>
      <c r="AR483" s="375"/>
      <c r="AS483" s="375"/>
      <c r="AT483" s="375"/>
      <c r="AU483" s="375"/>
      <c r="AV483" s="375">
        <v>0</v>
      </c>
      <c r="AW483" s="375">
        <v>0</v>
      </c>
      <c r="AX483" s="375">
        <v>0</v>
      </c>
      <c r="AY483" s="375">
        <v>0</v>
      </c>
      <c r="AZ483" s="375">
        <v>2512</v>
      </c>
      <c r="BA483" s="375">
        <v>0</v>
      </c>
      <c r="BB483" s="375">
        <v>2512</v>
      </c>
      <c r="BC483" s="79"/>
      <c r="BD483" s="79"/>
      <c r="BE483" s="79"/>
      <c r="BF483" s="79"/>
      <c r="BG483" s="79"/>
      <c r="BH483" s="79">
        <v>2500</v>
      </c>
      <c r="BI483" s="79">
        <v>0</v>
      </c>
      <c r="BJ483" s="79">
        <v>0</v>
      </c>
      <c r="BK483" s="79">
        <v>0</v>
      </c>
      <c r="BL483" s="79">
        <v>0</v>
      </c>
      <c r="BM483" s="79">
        <v>2512</v>
      </c>
      <c r="BN483" s="79">
        <v>0</v>
      </c>
      <c r="BO483" s="79">
        <v>5012</v>
      </c>
    </row>
    <row r="484" spans="1:67" ht="15" customHeight="1">
      <c r="A484" s="79" t="s">
        <v>2429</v>
      </c>
      <c r="B484" s="296" t="s">
        <v>2430</v>
      </c>
      <c r="C484" s="150" t="s">
        <v>1136</v>
      </c>
      <c r="D484" s="332" t="s">
        <v>1135</v>
      </c>
      <c r="E484" s="382" t="s">
        <v>1161</v>
      </c>
      <c r="F484" s="333" t="s">
        <v>1137</v>
      </c>
      <c r="G484" s="512" t="s">
        <v>639</v>
      </c>
      <c r="H484" s="394" t="s">
        <v>2431</v>
      </c>
      <c r="I484" s="343" t="s">
        <v>2432</v>
      </c>
      <c r="J484" s="332" t="s">
        <v>1252</v>
      </c>
      <c r="K484" s="122" t="s">
        <v>791</v>
      </c>
      <c r="L484" s="347"/>
      <c r="M484" s="346" t="s">
        <v>2433</v>
      </c>
      <c r="N484" s="346" t="s">
        <v>1710</v>
      </c>
      <c r="O484" s="384" t="s">
        <v>792</v>
      </c>
      <c r="P484" s="387" t="s">
        <v>2434</v>
      </c>
      <c r="Q484" s="437"/>
      <c r="R484" s="358">
        <v>56404</v>
      </c>
      <c r="S484" s="378">
        <v>0</v>
      </c>
      <c r="T484" s="425"/>
      <c r="U484" s="71"/>
      <c r="V484" s="433"/>
      <c r="W484" s="434"/>
      <c r="X484" s="434"/>
      <c r="Y484" s="428" t="s">
        <v>1142</v>
      </c>
      <c r="Z484" s="429">
        <v>0</v>
      </c>
      <c r="AA484" s="429">
        <v>0</v>
      </c>
      <c r="AB484" s="388">
        <v>0</v>
      </c>
      <c r="AC484" s="388">
        <v>0</v>
      </c>
      <c r="AD484" s="388">
        <v>0</v>
      </c>
      <c r="AE484" s="388">
        <v>0</v>
      </c>
      <c r="AF484" s="388">
        <v>0</v>
      </c>
      <c r="AG484" s="388">
        <v>0</v>
      </c>
      <c r="AH484" s="360">
        <f t="shared" si="26"/>
        <v>0</v>
      </c>
      <c r="AI484" s="362">
        <f>ERP_5[[#This Row],[2026 Working Total]]-ERP_5[[#This Row],[LE2 Final Submission]]</f>
        <v>0</v>
      </c>
      <c r="AJ484" s="79">
        <v>0</v>
      </c>
      <c r="AK484" s="79">
        <f t="shared" si="25"/>
        <v>0</v>
      </c>
      <c r="AL484" s="374">
        <f>SUM(ERP_5[[#This Row],[AP01]:[AP06]])-SUM(ERP_5[[#This Row],[AP01 LE2]:[AP06 LE2]])</f>
        <v>0</v>
      </c>
      <c r="AM484" s="80"/>
      <c r="AN484" s="79">
        <f>ERP_5[[#This Row],[2026 Working Total to Budget/LE]]-ERP_5[[#This Row],[Giveback]]</f>
        <v>0</v>
      </c>
      <c r="AO484" s="81"/>
      <c r="AP484" s="375"/>
      <c r="AQ484" s="375"/>
      <c r="AR484" s="375"/>
      <c r="AS484" s="375">
        <v>0</v>
      </c>
      <c r="AT484" s="375">
        <v>0</v>
      </c>
      <c r="AU484" s="375">
        <v>0</v>
      </c>
      <c r="AV484" s="375">
        <v>0</v>
      </c>
      <c r="AW484" s="375">
        <v>0</v>
      </c>
      <c r="AX484" s="375">
        <v>0</v>
      </c>
      <c r="AY484" s="375">
        <v>0</v>
      </c>
      <c r="AZ484" s="375">
        <v>0</v>
      </c>
      <c r="BA484" s="375">
        <v>0</v>
      </c>
      <c r="BB484" s="375">
        <v>0</v>
      </c>
      <c r="BC484" s="103">
        <v>56404</v>
      </c>
      <c r="BD484" s="103">
        <v>0</v>
      </c>
      <c r="BE484" s="103">
        <v>0</v>
      </c>
      <c r="BF484" s="103">
        <v>0</v>
      </c>
      <c r="BG484" s="103">
        <v>0</v>
      </c>
      <c r="BH484" s="103">
        <v>0</v>
      </c>
      <c r="BI484" s="103">
        <v>0</v>
      </c>
      <c r="BJ484" s="103">
        <v>0</v>
      </c>
      <c r="BK484" s="103">
        <v>0</v>
      </c>
      <c r="BL484" s="103">
        <v>0</v>
      </c>
      <c r="BM484" s="103">
        <v>0</v>
      </c>
      <c r="BN484" s="103">
        <v>0</v>
      </c>
      <c r="BO484" s="79">
        <f>SUM(ERP_5[[#This Row],[2026 AP01]:[2026 AP12]])</f>
        <v>56404</v>
      </c>
    </row>
    <row r="485" spans="1:67" ht="15" customHeight="1">
      <c r="A485" s="66" t="s">
        <v>2621</v>
      </c>
      <c r="B485" s="66" t="s">
        <v>913</v>
      </c>
      <c r="C485" s="150" t="s">
        <v>1136</v>
      </c>
      <c r="D485" s="150" t="s">
        <v>1345</v>
      </c>
      <c r="E485" s="150" t="s">
        <v>1344</v>
      </c>
      <c r="F485" s="150" t="s">
        <v>1346</v>
      </c>
      <c r="G485" s="511" t="s">
        <v>639</v>
      </c>
      <c r="H485" s="392" t="s">
        <v>2622</v>
      </c>
      <c r="I485" s="343"/>
      <c r="J485" s="343"/>
      <c r="K485" s="70" t="s">
        <v>914</v>
      </c>
      <c r="L485" s="346"/>
      <c r="M485" s="343"/>
      <c r="N485" s="346"/>
      <c r="O485" s="150" t="s">
        <v>119</v>
      </c>
      <c r="P485" s="150"/>
      <c r="Q485" s="403"/>
      <c r="R485" s="406">
        <v>25000</v>
      </c>
      <c r="S485" s="406">
        <v>25000</v>
      </c>
      <c r="T485" s="425"/>
      <c r="U485" s="71"/>
      <c r="V485" s="426"/>
      <c r="W485" s="427"/>
      <c r="X485" s="427"/>
      <c r="Y485" s="428" t="s">
        <v>1142</v>
      </c>
      <c r="Z485" s="429">
        <v>0</v>
      </c>
      <c r="AA485" s="429">
        <v>0</v>
      </c>
      <c r="AB485" s="363"/>
      <c r="AC485" s="363">
        <v>25000</v>
      </c>
      <c r="AD485" s="360">
        <v>0</v>
      </c>
      <c r="AE485" s="360">
        <v>0</v>
      </c>
      <c r="AF485" s="360">
        <v>0</v>
      </c>
      <c r="AG485" s="360">
        <v>0</v>
      </c>
      <c r="AH485" s="360">
        <f t="shared" si="26"/>
        <v>25000</v>
      </c>
      <c r="AI485" s="362">
        <f>ERP_5[[#This Row],[2026 Working Total]]-ERP_5[[#This Row],[LE2 Final Submission]]</f>
        <v>0</v>
      </c>
      <c r="AJ485" s="79"/>
      <c r="AK485" s="79">
        <f t="shared" si="25"/>
        <v>0</v>
      </c>
      <c r="AL485" s="374">
        <f>SUM(ERP_5[[#This Row],[AP01]:[AP06]])-SUM(ERP_5[[#This Row],[AP01 LE2]:[AP06 LE2]])</f>
        <v>0</v>
      </c>
      <c r="AM485" s="80"/>
      <c r="AN485" s="79">
        <f>ERP_5[[#This Row],[2026 Working Total to Budget/LE]]-ERP_5[[#This Row],[Giveback]]</f>
        <v>0</v>
      </c>
      <c r="AO485" s="81"/>
      <c r="AP485" s="375"/>
      <c r="AQ485" s="375"/>
      <c r="AR485" s="375"/>
      <c r="AS485" s="375"/>
      <c r="AT485" s="375"/>
      <c r="AU485" s="375"/>
      <c r="AV485" s="375"/>
      <c r="AW485" s="375">
        <v>25000</v>
      </c>
      <c r="AX485" s="375">
        <v>0</v>
      </c>
      <c r="AY485" s="375">
        <v>0</v>
      </c>
      <c r="AZ485" s="375">
        <v>0</v>
      </c>
      <c r="BA485" s="375">
        <v>0</v>
      </c>
      <c r="BB485" s="375">
        <v>25000</v>
      </c>
      <c r="BC485" s="79"/>
      <c r="BD485" s="79"/>
      <c r="BE485" s="79"/>
      <c r="BF485" s="79"/>
      <c r="BG485" s="79"/>
      <c r="BH485" s="79"/>
      <c r="BI485" s="79"/>
      <c r="BJ485" s="79">
        <v>25000</v>
      </c>
      <c r="BK485" s="79">
        <v>0</v>
      </c>
      <c r="BL485" s="79">
        <v>0</v>
      </c>
      <c r="BM485" s="79">
        <v>0</v>
      </c>
      <c r="BN485" s="79">
        <v>0</v>
      </c>
      <c r="BO485" s="79">
        <v>25000</v>
      </c>
    </row>
    <row r="486" spans="1:67" ht="15" customHeight="1">
      <c r="A486" s="66" t="s">
        <v>2680</v>
      </c>
      <c r="B486" s="66" t="s">
        <v>2681</v>
      </c>
      <c r="C486" s="150" t="s">
        <v>1136</v>
      </c>
      <c r="D486" s="150" t="s">
        <v>1345</v>
      </c>
      <c r="E486" s="150" t="s">
        <v>1437</v>
      </c>
      <c r="F486" s="150" t="s">
        <v>1346</v>
      </c>
      <c r="G486" s="511" t="s">
        <v>639</v>
      </c>
      <c r="H486" s="392" t="s">
        <v>2682</v>
      </c>
      <c r="I486" s="343"/>
      <c r="J486" s="343"/>
      <c r="K486" s="70" t="s">
        <v>948</v>
      </c>
      <c r="L486" s="346"/>
      <c r="M486" s="346" t="s">
        <v>2683</v>
      </c>
      <c r="N486" s="346"/>
      <c r="O486" s="150" t="s">
        <v>949</v>
      </c>
      <c r="P486" s="150" t="s">
        <v>2684</v>
      </c>
      <c r="Q486" s="403"/>
      <c r="R486" s="406">
        <v>7299999.96</v>
      </c>
      <c r="S486" s="406">
        <v>7299999.96</v>
      </c>
      <c r="T486" s="425"/>
      <c r="U486" s="71"/>
      <c r="V486" s="426"/>
      <c r="W486" s="427">
        <v>1216666.6599999999</v>
      </c>
      <c r="X486" s="427">
        <v>608333.32999999996</v>
      </c>
      <c r="Y486" s="428">
        <v>0</v>
      </c>
      <c r="Z486" s="429">
        <v>1216666.6599999999</v>
      </c>
      <c r="AA486" s="429">
        <v>608333.32999999996</v>
      </c>
      <c r="AB486" s="363">
        <f>608333.33-608333.33</f>
        <v>0</v>
      </c>
      <c r="AC486" s="363">
        <f>608333.33*2</f>
        <v>1216666.6599999999</v>
      </c>
      <c r="AD486" s="363">
        <v>608333.32999999996</v>
      </c>
      <c r="AE486" s="363">
        <f>608333.33-608333.33</f>
        <v>0</v>
      </c>
      <c r="AF486" s="363">
        <f>608333.33*2</f>
        <v>1216666.6599999999</v>
      </c>
      <c r="AG486" s="363">
        <v>608333.32999999996</v>
      </c>
      <c r="AH486" s="360">
        <f t="shared" si="26"/>
        <v>7299999.96</v>
      </c>
      <c r="AI486" s="362">
        <f>ERP_5[[#This Row],[2026 Working Total]]-ERP_5[[#This Row],[LE2 Final Submission]]</f>
        <v>0</v>
      </c>
      <c r="AJ486" s="79">
        <v>1216666.6599999999</v>
      </c>
      <c r="AK486" s="79">
        <f t="shared" si="25"/>
        <v>-608333.32999999996</v>
      </c>
      <c r="AL486" s="374">
        <f>SUM(ERP_5[[#This Row],[AP01]:[AP06]])-SUM(ERP_5[[#This Row],[AP01 LE2]:[AP06 LE2]])</f>
        <v>0</v>
      </c>
      <c r="AM486" s="80"/>
      <c r="AN486" s="79">
        <f>ERP_5[[#This Row],[2026 Working Total to Budget/LE]]-ERP_5[[#This Row],[Giveback]]</f>
        <v>0</v>
      </c>
      <c r="AO486" s="81"/>
      <c r="AP486" s="375"/>
      <c r="AQ486" s="375">
        <v>1216666.6599999999</v>
      </c>
      <c r="AR486" s="375">
        <v>608333.32999999996</v>
      </c>
      <c r="AS486" s="375">
        <v>0</v>
      </c>
      <c r="AT486" s="375">
        <v>1216666.6599999999</v>
      </c>
      <c r="AU486" s="375">
        <v>608333.32999999996</v>
      </c>
      <c r="AV486" s="375">
        <v>0</v>
      </c>
      <c r="AW486" s="375">
        <v>1216666.6599999999</v>
      </c>
      <c r="AX486" s="375">
        <v>608333.32999999996</v>
      </c>
      <c r="AY486" s="375">
        <v>0</v>
      </c>
      <c r="AZ486" s="375">
        <v>1216666.6599999999</v>
      </c>
      <c r="BA486" s="375">
        <v>608333.32999999996</v>
      </c>
      <c r="BB486" s="375">
        <v>7299999.96</v>
      </c>
      <c r="BC486" s="79"/>
      <c r="BD486" s="79">
        <v>1216666.6599999999</v>
      </c>
      <c r="BE486" s="79">
        <v>608333.32999999996</v>
      </c>
      <c r="BF486" s="79">
        <v>608333.32999999996</v>
      </c>
      <c r="BG486" s="79">
        <v>608333.32999999996</v>
      </c>
      <c r="BH486" s="79">
        <v>608333.32999999996</v>
      </c>
      <c r="BI486" s="79">
        <v>608333.32999999996</v>
      </c>
      <c r="BJ486" s="79">
        <v>608333.32999999996</v>
      </c>
      <c r="BK486" s="79">
        <v>608333.32999999996</v>
      </c>
      <c r="BL486" s="79">
        <v>608333.32999999996</v>
      </c>
      <c r="BM486" s="79">
        <v>608333.32999999996</v>
      </c>
      <c r="BN486" s="79">
        <v>608333.32999999996</v>
      </c>
      <c r="BO486" s="79">
        <v>7299999.96</v>
      </c>
    </row>
    <row r="487" spans="1:67" ht="15" customHeight="1">
      <c r="A487" s="79" t="s">
        <v>2435</v>
      </c>
      <c r="B487" s="296" t="s">
        <v>2436</v>
      </c>
      <c r="C487" s="150" t="s">
        <v>1136</v>
      </c>
      <c r="D487" s="332" t="s">
        <v>1135</v>
      </c>
      <c r="E487" s="382" t="s">
        <v>1161</v>
      </c>
      <c r="F487" s="333" t="s">
        <v>1137</v>
      </c>
      <c r="G487" s="512" t="s">
        <v>639</v>
      </c>
      <c r="H487" s="394" t="s">
        <v>2437</v>
      </c>
      <c r="I487" s="343" t="s">
        <v>2432</v>
      </c>
      <c r="J487" s="332" t="s">
        <v>1252</v>
      </c>
      <c r="K487" s="122" t="s">
        <v>794</v>
      </c>
      <c r="L487" s="347"/>
      <c r="M487" s="346" t="s">
        <v>2433</v>
      </c>
      <c r="N487" s="346" t="s">
        <v>1710</v>
      </c>
      <c r="O487" s="384" t="s">
        <v>792</v>
      </c>
      <c r="P487" s="387" t="s">
        <v>2438</v>
      </c>
      <c r="Q487" s="437"/>
      <c r="R487" s="358">
        <v>-56404</v>
      </c>
      <c r="S487" s="378">
        <v>0</v>
      </c>
      <c r="T487" s="425"/>
      <c r="U487" s="71"/>
      <c r="V487" s="433"/>
      <c r="W487" s="434"/>
      <c r="X487" s="434"/>
      <c r="Y487" s="428" t="s">
        <v>1142</v>
      </c>
      <c r="Z487" s="429">
        <v>0</v>
      </c>
      <c r="AA487" s="429">
        <v>0</v>
      </c>
      <c r="AB487" s="388">
        <v>0</v>
      </c>
      <c r="AC487" s="388">
        <v>0</v>
      </c>
      <c r="AD487" s="388">
        <v>0</v>
      </c>
      <c r="AE487" s="388">
        <v>0</v>
      </c>
      <c r="AF487" s="388">
        <v>0</v>
      </c>
      <c r="AG487" s="388">
        <v>0</v>
      </c>
      <c r="AH487" s="360">
        <f t="shared" si="26"/>
        <v>0</v>
      </c>
      <c r="AI487" s="362">
        <f>ERP_5[[#This Row],[2026 Working Total]]-ERP_5[[#This Row],[LE2 Final Submission]]</f>
        <v>0</v>
      </c>
      <c r="AJ487" s="79">
        <v>0</v>
      </c>
      <c r="AK487" s="79">
        <f t="shared" si="25"/>
        <v>0</v>
      </c>
      <c r="AL487" s="374">
        <f>SUM(ERP_5[[#This Row],[AP01]:[AP06]])-SUM(ERP_5[[#This Row],[AP01 LE2]:[AP06 LE2]])</f>
        <v>0</v>
      </c>
      <c r="AM487" s="80"/>
      <c r="AN487" s="79">
        <f>ERP_5[[#This Row],[2026 Working Total to Budget/LE]]-ERP_5[[#This Row],[Giveback]]</f>
        <v>0</v>
      </c>
      <c r="AO487" s="81"/>
      <c r="AP487" s="375"/>
      <c r="AQ487" s="375"/>
      <c r="AR487" s="375"/>
      <c r="AS487" s="375">
        <v>0</v>
      </c>
      <c r="AT487" s="375">
        <v>0</v>
      </c>
      <c r="AU487" s="375">
        <v>0</v>
      </c>
      <c r="AV487" s="375">
        <v>0</v>
      </c>
      <c r="AW487" s="375">
        <v>0</v>
      </c>
      <c r="AX487" s="375">
        <v>0</v>
      </c>
      <c r="AY487" s="375">
        <v>0</v>
      </c>
      <c r="AZ487" s="375">
        <v>0</v>
      </c>
      <c r="BA487" s="375">
        <v>0</v>
      </c>
      <c r="BB487" s="375">
        <v>0</v>
      </c>
      <c r="BC487" s="103">
        <v>-56404</v>
      </c>
      <c r="BD487" s="103">
        <v>0</v>
      </c>
      <c r="BE487" s="103">
        <v>0</v>
      </c>
      <c r="BF487" s="103">
        <v>0</v>
      </c>
      <c r="BG487" s="103">
        <v>0</v>
      </c>
      <c r="BH487" s="103">
        <v>0</v>
      </c>
      <c r="BI487" s="103">
        <v>0</v>
      </c>
      <c r="BJ487" s="103">
        <v>0</v>
      </c>
      <c r="BK487" s="103">
        <v>0</v>
      </c>
      <c r="BL487" s="103">
        <v>0</v>
      </c>
      <c r="BM487" s="103">
        <v>0</v>
      </c>
      <c r="BN487" s="103">
        <v>0</v>
      </c>
      <c r="BO487" s="79">
        <f>SUM(ERP_5[[#This Row],[2026 AP01]:[2026 AP12]])</f>
        <v>-56404</v>
      </c>
    </row>
    <row r="488" spans="1:67" ht="15" customHeight="1">
      <c r="A488" s="66" t="s">
        <v>2439</v>
      </c>
      <c r="B488" s="66" t="s">
        <v>2440</v>
      </c>
      <c r="C488" s="150" t="s">
        <v>1136</v>
      </c>
      <c r="D488" s="150" t="s">
        <v>1135</v>
      </c>
      <c r="E488" s="150" t="s">
        <v>1137</v>
      </c>
      <c r="F488" s="150" t="s">
        <v>1137</v>
      </c>
      <c r="G488" s="511" t="s">
        <v>639</v>
      </c>
      <c r="H488" s="392" t="s">
        <v>2441</v>
      </c>
      <c r="I488" s="343"/>
      <c r="J488" s="343"/>
      <c r="K488" s="70" t="s">
        <v>796</v>
      </c>
      <c r="L488" s="346"/>
      <c r="M488" s="343"/>
      <c r="N488" s="346"/>
      <c r="O488" s="150" t="s">
        <v>680</v>
      </c>
      <c r="P488" s="150"/>
      <c r="Q488" s="403"/>
      <c r="R488" s="406">
        <v>1200</v>
      </c>
      <c r="S488" s="406">
        <v>600</v>
      </c>
      <c r="T488" s="425"/>
      <c r="U488" s="71"/>
      <c r="V488" s="426"/>
      <c r="W488" s="427"/>
      <c r="X488" s="427"/>
      <c r="Y488" s="428" t="s">
        <v>1142</v>
      </c>
      <c r="Z488" s="429">
        <v>0</v>
      </c>
      <c r="AA488" s="429">
        <v>0</v>
      </c>
      <c r="AB488" s="363">
        <v>600</v>
      </c>
      <c r="AC488" s="360">
        <v>0</v>
      </c>
      <c r="AD488" s="360">
        <v>0</v>
      </c>
      <c r="AE488" s="360">
        <v>0</v>
      </c>
      <c r="AF488" s="360">
        <v>0</v>
      </c>
      <c r="AG488" s="360">
        <v>0</v>
      </c>
      <c r="AH488" s="360">
        <f t="shared" si="26"/>
        <v>600</v>
      </c>
      <c r="AI488" s="362">
        <f>ERP_5[[#This Row],[2026 Working Total]]-ERP_5[[#This Row],[LE2 Final Submission]]</f>
        <v>0</v>
      </c>
      <c r="AJ488" s="79"/>
      <c r="AK488" s="79">
        <f t="shared" si="25"/>
        <v>0</v>
      </c>
      <c r="AL488" s="374">
        <f>SUM(ERP_5[[#This Row],[AP01]:[AP06]])-SUM(ERP_5[[#This Row],[AP01 LE2]:[AP06 LE2]])</f>
        <v>0</v>
      </c>
      <c r="AM488" s="80"/>
      <c r="AN488" s="79">
        <f>ERP_5[[#This Row],[2026 Working Total to Budget/LE]]-ERP_5[[#This Row],[Giveback]]</f>
        <v>0</v>
      </c>
      <c r="AO488" s="81"/>
      <c r="AP488" s="375"/>
      <c r="AQ488" s="375"/>
      <c r="AR488" s="375"/>
      <c r="AS488" s="375"/>
      <c r="AT488" s="375"/>
      <c r="AU488" s="375"/>
      <c r="AV488" s="375">
        <v>600</v>
      </c>
      <c r="AW488" s="375">
        <v>0</v>
      </c>
      <c r="AX488" s="375">
        <v>0</v>
      </c>
      <c r="AY488" s="375">
        <v>0</v>
      </c>
      <c r="AZ488" s="375">
        <v>0</v>
      </c>
      <c r="BA488" s="375">
        <v>0</v>
      </c>
      <c r="BB488" s="375">
        <v>600</v>
      </c>
      <c r="BC488" s="79"/>
      <c r="BD488" s="79"/>
      <c r="BE488" s="79"/>
      <c r="BF488" s="79"/>
      <c r="BG488" s="79"/>
      <c r="BH488" s="79"/>
      <c r="BI488" s="79">
        <v>600</v>
      </c>
      <c r="BJ488" s="79">
        <v>0</v>
      </c>
      <c r="BK488" s="79">
        <v>0</v>
      </c>
      <c r="BL488" s="79">
        <v>0</v>
      </c>
      <c r="BM488" s="79">
        <v>0</v>
      </c>
      <c r="BN488" s="79">
        <v>0</v>
      </c>
      <c r="BO488" s="79">
        <v>600</v>
      </c>
    </row>
    <row r="489" spans="1:67" ht="15" customHeight="1">
      <c r="A489" s="66" t="s">
        <v>2442</v>
      </c>
      <c r="B489" s="66" t="s">
        <v>2443</v>
      </c>
      <c r="C489" s="150" t="s">
        <v>1136</v>
      </c>
      <c r="D489" s="150" t="s">
        <v>1135</v>
      </c>
      <c r="E489" s="150" t="s">
        <v>1137</v>
      </c>
      <c r="F489" s="150" t="s">
        <v>1137</v>
      </c>
      <c r="G489" s="511" t="s">
        <v>639</v>
      </c>
      <c r="H489" s="392" t="s">
        <v>2444</v>
      </c>
      <c r="I489" s="343"/>
      <c r="J489" s="343"/>
      <c r="K489" s="70" t="s">
        <v>798</v>
      </c>
      <c r="L489" s="346"/>
      <c r="M489" s="343"/>
      <c r="N489" s="346"/>
      <c r="O489" s="150" t="s">
        <v>680</v>
      </c>
      <c r="P489" s="1" t="s">
        <v>1141</v>
      </c>
      <c r="Q489" s="403"/>
      <c r="R489" s="406">
        <v>600</v>
      </c>
      <c r="S489" s="406">
        <v>600</v>
      </c>
      <c r="T489" s="425"/>
      <c r="U489" s="71"/>
      <c r="V489" s="426"/>
      <c r="W489" s="427"/>
      <c r="X489" s="427"/>
      <c r="Y489" s="428" t="s">
        <v>1142</v>
      </c>
      <c r="Z489" s="429">
        <v>0</v>
      </c>
      <c r="AA489" s="429">
        <v>0</v>
      </c>
      <c r="AB489" s="363"/>
      <c r="AC489" s="363"/>
      <c r="AD489" s="363"/>
      <c r="AE489" s="363"/>
      <c r="AF489" s="363"/>
      <c r="AG489" s="363">
        <v>600</v>
      </c>
      <c r="AH489" s="360">
        <f t="shared" si="26"/>
        <v>600</v>
      </c>
      <c r="AI489" s="362">
        <f>ERP_5[[#This Row],[2026 Working Total]]-ERP_5[[#This Row],[LE2 Final Submission]]</f>
        <v>0</v>
      </c>
      <c r="AJ489" s="79"/>
      <c r="AK489" s="79">
        <f t="shared" si="25"/>
        <v>0</v>
      </c>
      <c r="AL489" s="374">
        <f>SUM(ERP_5[[#This Row],[AP01]:[AP06]])-SUM(ERP_5[[#This Row],[AP01 LE2]:[AP06 LE2]])</f>
        <v>0</v>
      </c>
      <c r="AM489" s="80"/>
      <c r="AN489" s="79">
        <f>ERP_5[[#This Row],[2026 Working Total to Budget/LE]]-ERP_5[[#This Row],[Giveback]]</f>
        <v>0</v>
      </c>
      <c r="AO489" s="81"/>
      <c r="AP489" s="375"/>
      <c r="AQ489" s="375"/>
      <c r="AR489" s="375"/>
      <c r="AS489" s="375"/>
      <c r="AT489" s="375"/>
      <c r="AU489" s="375"/>
      <c r="AV489" s="375"/>
      <c r="AW489" s="375"/>
      <c r="AX489" s="375"/>
      <c r="AY489" s="375"/>
      <c r="AZ489" s="375"/>
      <c r="BA489" s="375">
        <v>600</v>
      </c>
      <c r="BB489" s="375">
        <v>600</v>
      </c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>
        <v>600</v>
      </c>
      <c r="BO489" s="79">
        <v>600</v>
      </c>
    </row>
    <row r="490" spans="1:67" ht="15" customHeight="1">
      <c r="A490" s="79" t="s">
        <v>2445</v>
      </c>
      <c r="B490" s="296" t="s">
        <v>2446</v>
      </c>
      <c r="C490" s="150" t="s">
        <v>1136</v>
      </c>
      <c r="D490" s="332" t="s">
        <v>1135</v>
      </c>
      <c r="E490" s="383" t="s">
        <v>1156</v>
      </c>
      <c r="F490" s="333" t="s">
        <v>1137</v>
      </c>
      <c r="G490" s="512" t="s">
        <v>639</v>
      </c>
      <c r="H490" s="393" t="s">
        <v>2447</v>
      </c>
      <c r="I490" s="343" t="s">
        <v>1251</v>
      </c>
      <c r="J490" s="332" t="s">
        <v>1252</v>
      </c>
      <c r="K490" s="91" t="s">
        <v>800</v>
      </c>
      <c r="L490" s="347"/>
      <c r="M490" s="346" t="s">
        <v>2448</v>
      </c>
      <c r="N490" s="348" t="s">
        <v>1710</v>
      </c>
      <c r="O490" s="386" t="s">
        <v>801</v>
      </c>
      <c r="P490" s="346" t="s">
        <v>2453</v>
      </c>
      <c r="Q490" s="432"/>
      <c r="R490" s="358">
        <v>120000</v>
      </c>
      <c r="S490" s="378">
        <v>0</v>
      </c>
      <c r="T490" s="425"/>
      <c r="U490" s="71"/>
      <c r="V490" s="433"/>
      <c r="W490" s="434"/>
      <c r="X490" s="434"/>
      <c r="Y490" s="428" t="s">
        <v>1142</v>
      </c>
      <c r="Z490" s="429">
        <v>0</v>
      </c>
      <c r="AA490" s="429">
        <v>0</v>
      </c>
      <c r="AB490" s="388">
        <v>0</v>
      </c>
      <c r="AC490" s="388">
        <v>0</v>
      </c>
      <c r="AD490" s="388">
        <v>0</v>
      </c>
      <c r="AE490" s="388">
        <v>0</v>
      </c>
      <c r="AF490" s="388">
        <v>0</v>
      </c>
      <c r="AG490" s="388">
        <v>0</v>
      </c>
      <c r="AH490" s="360">
        <f t="shared" si="26"/>
        <v>0</v>
      </c>
      <c r="AI490" s="362">
        <f>ERP_5[[#This Row],[2026 Working Total]]-ERP_5[[#This Row],[LE2 Final Submission]]</f>
        <v>0</v>
      </c>
      <c r="AJ490" s="79">
        <v>0</v>
      </c>
      <c r="AK490" s="79">
        <f t="shared" si="25"/>
        <v>0</v>
      </c>
      <c r="AL490" s="374">
        <f>SUM(ERP_5[[#This Row],[AP01]:[AP06]])-SUM(ERP_5[[#This Row],[AP01 LE2]:[AP06 LE2]])</f>
        <v>0</v>
      </c>
      <c r="AM490" s="80"/>
      <c r="AN490" s="79">
        <f>ERP_5[[#This Row],[2026 Working Total to Budget/LE]]-ERP_5[[#This Row],[Giveback]]</f>
        <v>0</v>
      </c>
      <c r="AO490" s="81"/>
      <c r="AP490" s="375"/>
      <c r="AQ490" s="375"/>
      <c r="AR490" s="375"/>
      <c r="AS490" s="375">
        <v>0</v>
      </c>
      <c r="AT490" s="375">
        <v>0</v>
      </c>
      <c r="AU490" s="375">
        <v>0</v>
      </c>
      <c r="AV490" s="375">
        <v>0</v>
      </c>
      <c r="AW490" s="375">
        <v>0</v>
      </c>
      <c r="AX490" s="375">
        <v>0</v>
      </c>
      <c r="AY490" s="375">
        <v>0</v>
      </c>
      <c r="AZ490" s="375">
        <v>0</v>
      </c>
      <c r="BA490" s="375">
        <v>0</v>
      </c>
      <c r="BB490" s="375">
        <v>0</v>
      </c>
      <c r="BC490" s="103">
        <v>120000</v>
      </c>
      <c r="BD490" s="103">
        <v>0</v>
      </c>
      <c r="BE490" s="103">
        <v>0</v>
      </c>
      <c r="BF490" s="103">
        <v>0</v>
      </c>
      <c r="BG490" s="103">
        <v>0</v>
      </c>
      <c r="BH490" s="103">
        <v>0</v>
      </c>
      <c r="BI490" s="103">
        <v>0</v>
      </c>
      <c r="BJ490" s="103">
        <v>0</v>
      </c>
      <c r="BK490" s="103">
        <v>0</v>
      </c>
      <c r="BL490" s="103">
        <v>0</v>
      </c>
      <c r="BM490" s="103">
        <v>0</v>
      </c>
      <c r="BN490" s="103">
        <v>0</v>
      </c>
      <c r="BO490" s="79">
        <f>SUM(ERP_5[[#This Row],[2026 AP01]:[2026 AP12]])</f>
        <v>120000</v>
      </c>
    </row>
    <row r="491" spans="1:67" ht="15" customHeight="1">
      <c r="A491" s="79" t="s">
        <v>2450</v>
      </c>
      <c r="B491" s="296" t="s">
        <v>2451</v>
      </c>
      <c r="C491" s="150" t="s">
        <v>1136</v>
      </c>
      <c r="D491" s="332" t="s">
        <v>1135</v>
      </c>
      <c r="E491" s="383" t="s">
        <v>1156</v>
      </c>
      <c r="F491" s="333" t="s">
        <v>1137</v>
      </c>
      <c r="G491" s="512" t="s">
        <v>639</v>
      </c>
      <c r="H491" s="393" t="s">
        <v>2452</v>
      </c>
      <c r="I491" s="343" t="s">
        <v>1251</v>
      </c>
      <c r="J491" s="332" t="s">
        <v>1252</v>
      </c>
      <c r="K491" s="91" t="s">
        <v>803</v>
      </c>
      <c r="L491" s="347"/>
      <c r="M491" s="346" t="s">
        <v>2448</v>
      </c>
      <c r="N491" s="348" t="s">
        <v>1710</v>
      </c>
      <c r="O491" s="386" t="s">
        <v>801</v>
      </c>
      <c r="P491" s="346" t="s">
        <v>2453</v>
      </c>
      <c r="Q491" s="432"/>
      <c r="R491" s="358">
        <v>-120000</v>
      </c>
      <c r="S491" s="378">
        <v>0</v>
      </c>
      <c r="T491" s="425"/>
      <c r="U491" s="71"/>
      <c r="V491" s="433"/>
      <c r="W491" s="434"/>
      <c r="X491" s="434"/>
      <c r="Y491" s="428" t="s">
        <v>1142</v>
      </c>
      <c r="Z491" s="429">
        <v>0</v>
      </c>
      <c r="AA491" s="429">
        <v>0</v>
      </c>
      <c r="AB491" s="388">
        <v>0</v>
      </c>
      <c r="AC491" s="388">
        <v>0</v>
      </c>
      <c r="AD491" s="388">
        <v>0</v>
      </c>
      <c r="AE491" s="388">
        <v>0</v>
      </c>
      <c r="AF491" s="388">
        <v>0</v>
      </c>
      <c r="AG491" s="388">
        <v>0</v>
      </c>
      <c r="AH491" s="360">
        <f t="shared" si="26"/>
        <v>0</v>
      </c>
      <c r="AI491" s="362">
        <f>ERP_5[[#This Row],[2026 Working Total]]-ERP_5[[#This Row],[LE2 Final Submission]]</f>
        <v>0</v>
      </c>
      <c r="AJ491" s="79">
        <v>0</v>
      </c>
      <c r="AK491" s="79">
        <f t="shared" si="25"/>
        <v>0</v>
      </c>
      <c r="AL491" s="374">
        <f>SUM(ERP_5[[#This Row],[AP01]:[AP06]])-SUM(ERP_5[[#This Row],[AP01 LE2]:[AP06 LE2]])</f>
        <v>0</v>
      </c>
      <c r="AM491" s="80"/>
      <c r="AN491" s="79">
        <f>ERP_5[[#This Row],[2026 Working Total to Budget/LE]]-ERP_5[[#This Row],[Giveback]]</f>
        <v>0</v>
      </c>
      <c r="AO491" s="81"/>
      <c r="AP491" s="375"/>
      <c r="AQ491" s="375"/>
      <c r="AR491" s="375"/>
      <c r="AS491" s="375">
        <v>0</v>
      </c>
      <c r="AT491" s="375">
        <v>0</v>
      </c>
      <c r="AU491" s="375">
        <v>0</v>
      </c>
      <c r="AV491" s="375">
        <v>0</v>
      </c>
      <c r="AW491" s="375">
        <v>0</v>
      </c>
      <c r="AX491" s="375">
        <v>0</v>
      </c>
      <c r="AY491" s="375">
        <v>0</v>
      </c>
      <c r="AZ491" s="375">
        <v>0</v>
      </c>
      <c r="BA491" s="375">
        <v>0</v>
      </c>
      <c r="BB491" s="375">
        <v>0</v>
      </c>
      <c r="BC491" s="103">
        <v>-120000</v>
      </c>
      <c r="BD491" s="103">
        <v>0</v>
      </c>
      <c r="BE491" s="103">
        <v>0</v>
      </c>
      <c r="BF491" s="103">
        <v>0</v>
      </c>
      <c r="BG491" s="103">
        <v>0</v>
      </c>
      <c r="BH491" s="103">
        <v>0</v>
      </c>
      <c r="BI491" s="103">
        <v>0</v>
      </c>
      <c r="BJ491" s="103">
        <v>0</v>
      </c>
      <c r="BK491" s="103">
        <v>0</v>
      </c>
      <c r="BL491" s="103">
        <v>0</v>
      </c>
      <c r="BM491" s="103">
        <v>0</v>
      </c>
      <c r="BN491" s="103">
        <v>0</v>
      </c>
      <c r="BO491" s="79">
        <f>SUM(ERP_5[[#This Row],[2026 AP01]:[2026 AP12]])</f>
        <v>-120000</v>
      </c>
    </row>
    <row r="492" spans="1:67" ht="15" customHeight="1">
      <c r="A492" s="79" t="s">
        <v>2454</v>
      </c>
      <c r="B492" s="296" t="s">
        <v>2455</v>
      </c>
      <c r="C492" s="150" t="s">
        <v>1136</v>
      </c>
      <c r="D492" s="332" t="s">
        <v>1135</v>
      </c>
      <c r="E492" s="383" t="s">
        <v>1145</v>
      </c>
      <c r="F492" s="331" t="s">
        <v>1137</v>
      </c>
      <c r="G492" s="512" t="s">
        <v>639</v>
      </c>
      <c r="H492" s="393" t="s">
        <v>2456</v>
      </c>
      <c r="I492" s="343" t="s">
        <v>2457</v>
      </c>
      <c r="J492" s="150" t="s">
        <v>1186</v>
      </c>
      <c r="K492" s="91" t="s">
        <v>805</v>
      </c>
      <c r="L492" s="343"/>
      <c r="M492" s="346" t="s">
        <v>2458</v>
      </c>
      <c r="N492" s="346" t="s">
        <v>1710</v>
      </c>
      <c r="O492" s="386" t="s">
        <v>806</v>
      </c>
      <c r="P492" s="346" t="s">
        <v>1348</v>
      </c>
      <c r="Q492" s="437"/>
      <c r="R492" s="358">
        <v>99064.42</v>
      </c>
      <c r="S492" s="378">
        <v>0</v>
      </c>
      <c r="T492" s="425"/>
      <c r="U492" s="71"/>
      <c r="V492" s="433"/>
      <c r="W492" s="434"/>
      <c r="X492" s="434"/>
      <c r="Y492" s="428" t="s">
        <v>1142</v>
      </c>
      <c r="Z492" s="429">
        <v>0</v>
      </c>
      <c r="AA492" s="429">
        <v>0</v>
      </c>
      <c r="AB492" s="388">
        <v>0</v>
      </c>
      <c r="AC492" s="388">
        <v>0</v>
      </c>
      <c r="AD492" s="388">
        <v>0</v>
      </c>
      <c r="AE492" s="388">
        <v>0</v>
      </c>
      <c r="AF492" s="388">
        <v>0</v>
      </c>
      <c r="AG492" s="388">
        <v>0</v>
      </c>
      <c r="AH492" s="360">
        <f t="shared" si="26"/>
        <v>0</v>
      </c>
      <c r="AI492" s="362">
        <f>ERP_5[[#This Row],[2026 Working Total]]-ERP_5[[#This Row],[LE2 Final Submission]]</f>
        <v>0</v>
      </c>
      <c r="AJ492" s="79">
        <v>0</v>
      </c>
      <c r="AK492" s="79">
        <f t="shared" si="25"/>
        <v>0</v>
      </c>
      <c r="AL492" s="374">
        <f>SUM(ERP_5[[#This Row],[AP01]:[AP06]])-SUM(ERP_5[[#This Row],[AP01 LE2]:[AP06 LE2]])</f>
        <v>0</v>
      </c>
      <c r="AM492" s="80"/>
      <c r="AN492" s="79">
        <f>ERP_5[[#This Row],[2026 Working Total to Budget/LE]]-ERP_5[[#This Row],[Giveback]]</f>
        <v>0</v>
      </c>
      <c r="AO492" s="81"/>
      <c r="AP492" s="375"/>
      <c r="AQ492" s="375"/>
      <c r="AR492" s="375"/>
      <c r="AS492" s="375">
        <v>0</v>
      </c>
      <c r="AT492" s="375">
        <v>0</v>
      </c>
      <c r="AU492" s="375">
        <v>0</v>
      </c>
      <c r="AV492" s="375">
        <v>0</v>
      </c>
      <c r="AW492" s="375">
        <v>0</v>
      </c>
      <c r="AX492" s="375">
        <v>0</v>
      </c>
      <c r="AY492" s="375">
        <v>0</v>
      </c>
      <c r="AZ492" s="375">
        <v>0</v>
      </c>
      <c r="BA492" s="375">
        <v>0</v>
      </c>
      <c r="BB492" s="375">
        <v>0</v>
      </c>
      <c r="BC492" s="103">
        <v>99064.42</v>
      </c>
      <c r="BD492" s="103">
        <v>0</v>
      </c>
      <c r="BE492" s="103">
        <v>0</v>
      </c>
      <c r="BF492" s="103">
        <v>0</v>
      </c>
      <c r="BG492" s="103">
        <v>0</v>
      </c>
      <c r="BH492" s="103">
        <v>0</v>
      </c>
      <c r="BI492" s="103">
        <v>0</v>
      </c>
      <c r="BJ492" s="103">
        <v>0</v>
      </c>
      <c r="BK492" s="103">
        <v>0</v>
      </c>
      <c r="BL492" s="103">
        <v>0</v>
      </c>
      <c r="BM492" s="103">
        <v>0</v>
      </c>
      <c r="BN492" s="103">
        <v>0</v>
      </c>
      <c r="BO492" s="79">
        <f>SUM(ERP_5[[#This Row],[2026 AP01]:[2026 AP12]])</f>
        <v>99064.42</v>
      </c>
    </row>
    <row r="493" spans="1:67" ht="15" customHeight="1">
      <c r="A493" s="79" t="s">
        <v>2459</v>
      </c>
      <c r="B493" s="296" t="s">
        <v>2460</v>
      </c>
      <c r="C493" s="150" t="s">
        <v>1136</v>
      </c>
      <c r="D493" s="332" t="s">
        <v>1135</v>
      </c>
      <c r="E493" s="383" t="s">
        <v>1145</v>
      </c>
      <c r="F493" s="331" t="s">
        <v>1137</v>
      </c>
      <c r="G493" s="512" t="s">
        <v>639</v>
      </c>
      <c r="H493" s="393" t="s">
        <v>2461</v>
      </c>
      <c r="I493" s="343" t="s">
        <v>2457</v>
      </c>
      <c r="J493" s="150" t="s">
        <v>1186</v>
      </c>
      <c r="K493" s="91" t="s">
        <v>808</v>
      </c>
      <c r="L493" s="343"/>
      <c r="M493" s="346" t="s">
        <v>2458</v>
      </c>
      <c r="N493" s="346" t="s">
        <v>1710</v>
      </c>
      <c r="O493" s="386" t="s">
        <v>806</v>
      </c>
      <c r="P493" s="346" t="s">
        <v>1348</v>
      </c>
      <c r="Q493" s="437"/>
      <c r="R493" s="358">
        <v>-99064.42</v>
      </c>
      <c r="S493" s="378">
        <v>0</v>
      </c>
      <c r="T493" s="425"/>
      <c r="U493" s="71"/>
      <c r="V493" s="433"/>
      <c r="W493" s="434"/>
      <c r="X493" s="434"/>
      <c r="Y493" s="428" t="s">
        <v>1142</v>
      </c>
      <c r="Z493" s="429">
        <v>0</v>
      </c>
      <c r="AA493" s="429">
        <v>0</v>
      </c>
      <c r="AB493" s="388">
        <v>0</v>
      </c>
      <c r="AC493" s="388">
        <v>0</v>
      </c>
      <c r="AD493" s="388">
        <v>0</v>
      </c>
      <c r="AE493" s="388">
        <v>0</v>
      </c>
      <c r="AF493" s="388">
        <v>0</v>
      </c>
      <c r="AG493" s="388">
        <v>0</v>
      </c>
      <c r="AH493" s="360">
        <f t="shared" si="26"/>
        <v>0</v>
      </c>
      <c r="AI493" s="362">
        <f>ERP_5[[#This Row],[2026 Working Total]]-ERP_5[[#This Row],[LE2 Final Submission]]</f>
        <v>0</v>
      </c>
      <c r="AJ493" s="79">
        <v>0</v>
      </c>
      <c r="AK493" s="79">
        <f t="shared" si="25"/>
        <v>0</v>
      </c>
      <c r="AL493" s="374">
        <f>SUM(ERP_5[[#This Row],[AP01]:[AP06]])-SUM(ERP_5[[#This Row],[AP01 LE2]:[AP06 LE2]])</f>
        <v>0</v>
      </c>
      <c r="AM493" s="80"/>
      <c r="AN493" s="79">
        <f>ERP_5[[#This Row],[2026 Working Total to Budget/LE]]-ERP_5[[#This Row],[Giveback]]</f>
        <v>0</v>
      </c>
      <c r="AO493" s="81"/>
      <c r="AP493" s="375"/>
      <c r="AQ493" s="375"/>
      <c r="AR493" s="375"/>
      <c r="AS493" s="375">
        <v>0</v>
      </c>
      <c r="AT493" s="375">
        <v>0</v>
      </c>
      <c r="AU493" s="375">
        <v>0</v>
      </c>
      <c r="AV493" s="375">
        <v>0</v>
      </c>
      <c r="AW493" s="375">
        <v>0</v>
      </c>
      <c r="AX493" s="375">
        <v>0</v>
      </c>
      <c r="AY493" s="375">
        <v>0</v>
      </c>
      <c r="AZ493" s="375">
        <v>0</v>
      </c>
      <c r="BA493" s="375">
        <v>0</v>
      </c>
      <c r="BB493" s="375">
        <v>0</v>
      </c>
      <c r="BC493" s="103">
        <v>-99064.42</v>
      </c>
      <c r="BD493" s="103">
        <v>0</v>
      </c>
      <c r="BE493" s="103">
        <v>0</v>
      </c>
      <c r="BF493" s="103">
        <v>0</v>
      </c>
      <c r="BG493" s="103">
        <v>0</v>
      </c>
      <c r="BH493" s="103">
        <v>0</v>
      </c>
      <c r="BI493" s="103">
        <v>0</v>
      </c>
      <c r="BJ493" s="103">
        <v>0</v>
      </c>
      <c r="BK493" s="103">
        <v>0</v>
      </c>
      <c r="BL493" s="103">
        <v>0</v>
      </c>
      <c r="BM493" s="103">
        <v>0</v>
      </c>
      <c r="BN493" s="103">
        <v>0</v>
      </c>
      <c r="BO493" s="79">
        <f>SUM(ERP_5[[#This Row],[2026 AP01]:[2026 AP12]])</f>
        <v>-99064.42</v>
      </c>
    </row>
    <row r="494" spans="1:67" ht="15" customHeight="1">
      <c r="A494" s="66" t="s">
        <v>2792</v>
      </c>
      <c r="B494" s="66" t="s">
        <v>2793</v>
      </c>
      <c r="C494" s="150" t="s">
        <v>1136</v>
      </c>
      <c r="D494" s="150" t="s">
        <v>1345</v>
      </c>
      <c r="E494" s="150" t="s">
        <v>1346</v>
      </c>
      <c r="F494" s="150" t="s">
        <v>1346</v>
      </c>
      <c r="G494" s="511" t="s">
        <v>639</v>
      </c>
      <c r="H494" s="392" t="s">
        <v>818</v>
      </c>
      <c r="I494" s="343"/>
      <c r="J494" s="343"/>
      <c r="K494" s="70" t="s">
        <v>817</v>
      </c>
      <c r="L494" s="346"/>
      <c r="M494" s="346" t="s">
        <v>1140</v>
      </c>
      <c r="N494" s="346"/>
      <c r="O494" s="150" t="s">
        <v>818</v>
      </c>
      <c r="P494" s="150"/>
      <c r="Q494" s="403"/>
      <c r="R494" s="406">
        <v>0</v>
      </c>
      <c r="S494" s="406">
        <v>3886.48</v>
      </c>
      <c r="T494" s="425"/>
      <c r="U494" s="71"/>
      <c r="V494" s="426"/>
      <c r="W494" s="427"/>
      <c r="X494" s="427">
        <v>3886.48</v>
      </c>
      <c r="Y494" s="428">
        <v>174.65</v>
      </c>
      <c r="Z494" s="429">
        <v>0</v>
      </c>
      <c r="AA494" s="429">
        <v>3826.04</v>
      </c>
      <c r="AB494" s="360">
        <v>0</v>
      </c>
      <c r="AC494" s="360">
        <v>0</v>
      </c>
      <c r="AD494" s="360">
        <v>0</v>
      </c>
      <c r="AE494" s="360">
        <v>0</v>
      </c>
      <c r="AF494" s="360">
        <v>0</v>
      </c>
      <c r="AG494" s="360">
        <v>0</v>
      </c>
      <c r="AH494" s="360">
        <f t="shared" si="26"/>
        <v>7887.17</v>
      </c>
      <c r="AI494" s="362">
        <f>ERP_5[[#This Row],[2026 Working Total]]-ERP_5[[#This Row],[LE2 Final Submission]]</f>
        <v>4000.69</v>
      </c>
      <c r="AJ494" s="79">
        <v>0</v>
      </c>
      <c r="AK494" s="79">
        <f t="shared" si="25"/>
        <v>3826.04</v>
      </c>
      <c r="AL494" s="374">
        <f>SUM(ERP_5[[#This Row],[AP01]:[AP06]])-SUM(ERP_5[[#This Row],[AP01 LE2]:[AP06 LE2]])</f>
        <v>4000.69</v>
      </c>
      <c r="AM494" s="80"/>
      <c r="AN494" s="79">
        <f>ERP_5[[#This Row],[2026 Working Total to Budget/LE]]-ERP_5[[#This Row],[Giveback]]</f>
        <v>4000.69</v>
      </c>
      <c r="AO494" s="81"/>
      <c r="AP494" s="375"/>
      <c r="AQ494" s="375"/>
      <c r="AR494" s="375">
        <v>3886.48</v>
      </c>
      <c r="AS494" s="375">
        <v>0</v>
      </c>
      <c r="AT494" s="375">
        <v>0</v>
      </c>
      <c r="AU494" s="375">
        <v>0</v>
      </c>
      <c r="AV494" s="375">
        <v>0</v>
      </c>
      <c r="AW494" s="375">
        <v>0</v>
      </c>
      <c r="AX494" s="375">
        <v>0</v>
      </c>
      <c r="AY494" s="375">
        <v>0</v>
      </c>
      <c r="AZ494" s="375">
        <v>0</v>
      </c>
      <c r="BA494" s="375">
        <v>0</v>
      </c>
      <c r="BB494" s="375">
        <v>3886.48</v>
      </c>
      <c r="BC494" s="79"/>
      <c r="BD494" s="79"/>
      <c r="BE494" s="79">
        <v>3886.48</v>
      </c>
      <c r="BF494" s="79">
        <v>0</v>
      </c>
      <c r="BG494" s="79">
        <v>0</v>
      </c>
      <c r="BH494" s="79">
        <v>0</v>
      </c>
      <c r="BI494" s="79">
        <v>0</v>
      </c>
      <c r="BJ494" s="79">
        <v>0</v>
      </c>
      <c r="BK494" s="79">
        <v>0</v>
      </c>
      <c r="BL494" s="79">
        <v>0</v>
      </c>
      <c r="BM494" s="79">
        <v>0</v>
      </c>
      <c r="BN494" s="79">
        <v>0</v>
      </c>
      <c r="BO494" s="79">
        <v>3886.48</v>
      </c>
    </row>
    <row r="495" spans="1:67" ht="15" customHeight="1">
      <c r="A495" s="66" t="s">
        <v>2462</v>
      </c>
      <c r="B495" s="66" t="s">
        <v>809</v>
      </c>
      <c r="C495" s="150" t="s">
        <v>1136</v>
      </c>
      <c r="D495" s="150" t="s">
        <v>1135</v>
      </c>
      <c r="E495" s="150" t="s">
        <v>1135</v>
      </c>
      <c r="F495" s="150" t="s">
        <v>1137</v>
      </c>
      <c r="G495" s="511" t="s">
        <v>639</v>
      </c>
      <c r="H495" s="392" t="s">
        <v>2463</v>
      </c>
      <c r="I495" s="343" t="s">
        <v>1231</v>
      </c>
      <c r="J495" s="346" t="s">
        <v>1171</v>
      </c>
      <c r="K495" s="70" t="s">
        <v>810</v>
      </c>
      <c r="L495" s="346"/>
      <c r="M495" s="343"/>
      <c r="N495" s="346"/>
      <c r="O495" s="150" t="s">
        <v>811</v>
      </c>
      <c r="P495" s="150" t="s">
        <v>2464</v>
      </c>
      <c r="Q495" s="403"/>
      <c r="R495" s="406">
        <v>1136537.76</v>
      </c>
      <c r="S495" s="406">
        <v>1100039.77</v>
      </c>
      <c r="T495" s="425"/>
      <c r="U495" s="71"/>
      <c r="V495" s="426">
        <v>818279</v>
      </c>
      <c r="W495" s="427">
        <v>-636439.42000000004</v>
      </c>
      <c r="X495" s="427">
        <v>90919.92</v>
      </c>
      <c r="Y495" s="428">
        <v>0</v>
      </c>
      <c r="Z495" s="429">
        <v>181839.84</v>
      </c>
      <c r="AA495" s="429">
        <v>90919.92</v>
      </c>
      <c r="AB495" s="363">
        <f>90919.92-90919.92</f>
        <v>0</v>
      </c>
      <c r="AC495" s="363">
        <f>90919.92+90919.92</f>
        <v>181839.84</v>
      </c>
      <c r="AD495" s="363">
        <v>90919.92</v>
      </c>
      <c r="AE495" s="363">
        <f>90919.92-90919.92</f>
        <v>0</v>
      </c>
      <c r="AF495" s="363">
        <f>(1127043/12)*2</f>
        <v>187840.5</v>
      </c>
      <c r="AG495" s="363">
        <v>93920.25</v>
      </c>
      <c r="AH495" s="360">
        <f t="shared" si="26"/>
        <v>1100039.77</v>
      </c>
      <c r="AI495" s="362">
        <f>ERP_5[[#This Row],[2026 Working Total]]-ERP_5[[#This Row],[LE2 Final Submission]]</f>
        <v>0</v>
      </c>
      <c r="AJ495" s="79">
        <v>181839.84</v>
      </c>
      <c r="AK495" s="79">
        <f t="shared" si="25"/>
        <v>-90919.92</v>
      </c>
      <c r="AL495" s="374">
        <f>SUM(ERP_5[[#This Row],[AP01]:[AP06]])-SUM(ERP_5[[#This Row],[AP01 LE2]:[AP06 LE2]])</f>
        <v>0</v>
      </c>
      <c r="AM495" s="80"/>
      <c r="AN495" s="79">
        <f>ERP_5[[#This Row],[2026 Working Total to Budget/LE]]-ERP_5[[#This Row],[Giveback]]</f>
        <v>0</v>
      </c>
      <c r="AO495" s="81"/>
      <c r="AP495" s="375">
        <v>818279</v>
      </c>
      <c r="AQ495" s="375">
        <v>-636439.42000000004</v>
      </c>
      <c r="AR495" s="375">
        <v>90919.92</v>
      </c>
      <c r="AS495" s="375">
        <v>0</v>
      </c>
      <c r="AT495" s="375">
        <v>181839.84</v>
      </c>
      <c r="AU495" s="375">
        <v>90919.92</v>
      </c>
      <c r="AV495" s="375">
        <v>0</v>
      </c>
      <c r="AW495" s="375">
        <v>181839.84</v>
      </c>
      <c r="AX495" s="375">
        <v>90919.92</v>
      </c>
      <c r="AY495" s="375">
        <v>0</v>
      </c>
      <c r="AZ495" s="375">
        <v>187840.5</v>
      </c>
      <c r="BA495" s="375">
        <v>93920.25</v>
      </c>
      <c r="BB495" s="375">
        <v>1100039.77</v>
      </c>
      <c r="BC495" s="79">
        <v>818279</v>
      </c>
      <c r="BD495" s="79">
        <v>-636439.42000000004</v>
      </c>
      <c r="BE495" s="79">
        <v>90919.92</v>
      </c>
      <c r="BF495" s="79">
        <v>90919.92</v>
      </c>
      <c r="BG495" s="79">
        <v>90919.92</v>
      </c>
      <c r="BH495" s="79">
        <v>90919.92</v>
      </c>
      <c r="BI495" s="79">
        <v>90919.92</v>
      </c>
      <c r="BJ495" s="79">
        <v>90919.92</v>
      </c>
      <c r="BK495" s="79">
        <v>90919.92</v>
      </c>
      <c r="BL495" s="79">
        <v>106085.92</v>
      </c>
      <c r="BM495" s="79">
        <v>106085.92</v>
      </c>
      <c r="BN495" s="79">
        <v>106085.92</v>
      </c>
      <c r="BO495" s="79">
        <v>1136536.78</v>
      </c>
    </row>
    <row r="496" spans="1:67" ht="15" customHeight="1">
      <c r="A496" s="66" t="s">
        <v>2623</v>
      </c>
      <c r="B496" s="66" t="s">
        <v>915</v>
      </c>
      <c r="C496" s="150" t="s">
        <v>1136</v>
      </c>
      <c r="D496" s="150" t="s">
        <v>1345</v>
      </c>
      <c r="E496" s="150" t="s">
        <v>1344</v>
      </c>
      <c r="F496" s="150" t="s">
        <v>1346</v>
      </c>
      <c r="G496" s="511" t="s">
        <v>639</v>
      </c>
      <c r="H496" s="392" t="s">
        <v>818</v>
      </c>
      <c r="I496" s="343"/>
      <c r="J496" s="343"/>
      <c r="K496" s="70" t="s">
        <v>817</v>
      </c>
      <c r="L496" s="346"/>
      <c r="M496" s="346" t="s">
        <v>1140</v>
      </c>
      <c r="N496" s="346"/>
      <c r="O496" s="150" t="s">
        <v>818</v>
      </c>
      <c r="P496" s="150"/>
      <c r="Q496" s="403"/>
      <c r="R496" s="406">
        <v>8000</v>
      </c>
      <c r="S496" s="406">
        <v>16362.7</v>
      </c>
      <c r="T496" s="430"/>
      <c r="U496" s="137"/>
      <c r="V496" s="426"/>
      <c r="W496" s="427"/>
      <c r="X496" s="427">
        <v>10362.700000000001</v>
      </c>
      <c r="Y496" s="428">
        <v>0</v>
      </c>
      <c r="Z496" s="429">
        <v>0</v>
      </c>
      <c r="AA496" s="429">
        <v>8211.1</v>
      </c>
      <c r="AB496" s="360">
        <v>0</v>
      </c>
      <c r="AC496" s="360">
        <v>0</v>
      </c>
      <c r="AD496" s="363">
        <v>2000</v>
      </c>
      <c r="AE496" s="360">
        <v>0</v>
      </c>
      <c r="AF496" s="363">
        <v>2000</v>
      </c>
      <c r="AG496" s="360">
        <v>0</v>
      </c>
      <c r="AH496" s="360">
        <f t="shared" si="26"/>
        <v>22573.800000000003</v>
      </c>
      <c r="AI496" s="362">
        <f>ERP_5[[#This Row],[2026 Working Total]]-ERP_5[[#This Row],[LE2 Final Submission]]</f>
        <v>6211.1000000000022</v>
      </c>
      <c r="AJ496" s="79">
        <v>0</v>
      </c>
      <c r="AK496" s="79">
        <f t="shared" si="25"/>
        <v>8211.1</v>
      </c>
      <c r="AL496" s="374">
        <f>SUM(ERP_5[[#This Row],[AP01]:[AP06]])-SUM(ERP_5[[#This Row],[AP01 LE2]:[AP06 LE2]])</f>
        <v>6211.1000000000022</v>
      </c>
      <c r="AM496" s="80"/>
      <c r="AN496" s="79">
        <f>ERP_5[[#This Row],[2026 Working Total to Budget/LE]]-ERP_5[[#This Row],[Giveback]]</f>
        <v>6211.1000000000022</v>
      </c>
      <c r="AO496" s="81"/>
      <c r="AP496" s="375"/>
      <c r="AQ496" s="375"/>
      <c r="AR496" s="375">
        <v>10362.700000000001</v>
      </c>
      <c r="AS496" s="375">
        <v>0</v>
      </c>
      <c r="AT496" s="375">
        <v>0</v>
      </c>
      <c r="AU496" s="375">
        <v>2000</v>
      </c>
      <c r="AV496" s="375">
        <v>0</v>
      </c>
      <c r="AW496" s="375">
        <v>0</v>
      </c>
      <c r="AX496" s="375">
        <v>2000</v>
      </c>
      <c r="AY496" s="375">
        <v>0</v>
      </c>
      <c r="AZ496" s="375">
        <v>2000</v>
      </c>
      <c r="BA496" s="375">
        <v>0</v>
      </c>
      <c r="BB496" s="375">
        <v>16362.7</v>
      </c>
      <c r="BC496" s="79"/>
      <c r="BD496" s="79"/>
      <c r="BE496" s="79">
        <v>10362.700000000001</v>
      </c>
      <c r="BF496" s="79">
        <v>0</v>
      </c>
      <c r="BG496" s="79">
        <v>0</v>
      </c>
      <c r="BH496" s="79">
        <v>2000</v>
      </c>
      <c r="BI496" s="79">
        <v>0</v>
      </c>
      <c r="BJ496" s="79">
        <v>0</v>
      </c>
      <c r="BK496" s="79">
        <v>2000</v>
      </c>
      <c r="BL496" s="79">
        <v>0</v>
      </c>
      <c r="BM496" s="79">
        <v>2000</v>
      </c>
      <c r="BN496" s="79">
        <v>0</v>
      </c>
      <c r="BO496" s="79">
        <v>16362.7</v>
      </c>
    </row>
    <row r="497" spans="1:67" ht="15" customHeight="1">
      <c r="A497" s="66" t="s">
        <v>2685</v>
      </c>
      <c r="B497" s="66" t="s">
        <v>950</v>
      </c>
      <c r="C497" s="150" t="s">
        <v>1136</v>
      </c>
      <c r="D497" s="150" t="s">
        <v>1345</v>
      </c>
      <c r="E497" s="150" t="s">
        <v>1345</v>
      </c>
      <c r="F497" s="150" t="s">
        <v>1346</v>
      </c>
      <c r="G497" s="511" t="s">
        <v>639</v>
      </c>
      <c r="H497" s="392" t="s">
        <v>818</v>
      </c>
      <c r="I497" s="343"/>
      <c r="J497" s="343"/>
      <c r="K497" s="70" t="s">
        <v>817</v>
      </c>
      <c r="L497" s="346"/>
      <c r="M497" s="346" t="s">
        <v>1140</v>
      </c>
      <c r="N497" s="346"/>
      <c r="O497" s="150" t="s">
        <v>818</v>
      </c>
      <c r="P497" s="150"/>
      <c r="Q497" s="403"/>
      <c r="R497" s="406">
        <v>13200</v>
      </c>
      <c r="S497" s="406">
        <v>19370.91</v>
      </c>
      <c r="T497" s="430"/>
      <c r="U497" s="137"/>
      <c r="V497" s="426"/>
      <c r="W497" s="427"/>
      <c r="X497" s="427">
        <v>9470.91</v>
      </c>
      <c r="Y497" s="428">
        <v>0</v>
      </c>
      <c r="Z497" s="429">
        <v>0</v>
      </c>
      <c r="AA497" s="429">
        <v>6148.3</v>
      </c>
      <c r="AB497" s="360">
        <v>0</v>
      </c>
      <c r="AC497" s="360">
        <v>0</v>
      </c>
      <c r="AD497" s="363">
        <v>3300</v>
      </c>
      <c r="AE497" s="360">
        <v>0</v>
      </c>
      <c r="AF497" s="360">
        <v>0</v>
      </c>
      <c r="AG497" s="363">
        <v>3300</v>
      </c>
      <c r="AH497" s="360">
        <f t="shared" si="26"/>
        <v>22219.21</v>
      </c>
      <c r="AI497" s="362">
        <f>ERP_5[[#This Row],[2026 Working Total]]-ERP_5[[#This Row],[LE2 Final Submission]]</f>
        <v>2848.2999999999993</v>
      </c>
      <c r="AJ497" s="79">
        <v>0</v>
      </c>
      <c r="AK497" s="79">
        <f t="shared" si="25"/>
        <v>6148.3</v>
      </c>
      <c r="AL497" s="374">
        <f>SUM(ERP_5[[#This Row],[AP01]:[AP06]])-SUM(ERP_5[[#This Row],[AP01 LE2]:[AP06 LE2]])</f>
        <v>2848.2999999999993</v>
      </c>
      <c r="AM497" s="80"/>
      <c r="AN497" s="79">
        <f>ERP_5[[#This Row],[2026 Working Total to Budget/LE]]-ERP_5[[#This Row],[Giveback]]</f>
        <v>2848.2999999999993</v>
      </c>
      <c r="AO497" s="81"/>
      <c r="AP497" s="375"/>
      <c r="AQ497" s="375"/>
      <c r="AR497" s="375">
        <v>9470.91</v>
      </c>
      <c r="AS497" s="375">
        <v>0</v>
      </c>
      <c r="AT497" s="375">
        <v>0</v>
      </c>
      <c r="AU497" s="375">
        <v>3300</v>
      </c>
      <c r="AV497" s="375">
        <v>0</v>
      </c>
      <c r="AW497" s="375">
        <v>0</v>
      </c>
      <c r="AX497" s="375">
        <v>3300</v>
      </c>
      <c r="AY497" s="375">
        <v>0</v>
      </c>
      <c r="AZ497" s="375">
        <v>0</v>
      </c>
      <c r="BA497" s="375">
        <v>3300</v>
      </c>
      <c r="BB497" s="375">
        <v>19370.91</v>
      </c>
      <c r="BC497" s="79"/>
      <c r="BD497" s="79"/>
      <c r="BE497" s="79">
        <v>9470.91</v>
      </c>
      <c r="BF497" s="79">
        <v>0</v>
      </c>
      <c r="BG497" s="79">
        <v>0</v>
      </c>
      <c r="BH497" s="79">
        <v>3300</v>
      </c>
      <c r="BI497" s="79">
        <v>0</v>
      </c>
      <c r="BJ497" s="79">
        <v>0</v>
      </c>
      <c r="BK497" s="79">
        <v>3300</v>
      </c>
      <c r="BL497" s="79">
        <v>0</v>
      </c>
      <c r="BM497" s="79">
        <v>0</v>
      </c>
      <c r="BN497" s="79">
        <v>3300</v>
      </c>
      <c r="BO497" s="79">
        <v>19370.91</v>
      </c>
    </row>
    <row r="498" spans="1:67" ht="15" customHeight="1">
      <c r="A498" s="66" t="s">
        <v>2703</v>
      </c>
      <c r="B498" s="66" t="s">
        <v>957</v>
      </c>
      <c r="C498" s="150" t="s">
        <v>1136</v>
      </c>
      <c r="D498" s="150" t="s">
        <v>1345</v>
      </c>
      <c r="E498" s="150" t="s">
        <v>1450</v>
      </c>
      <c r="F498" s="150" t="s">
        <v>1346</v>
      </c>
      <c r="G498" s="511" t="s">
        <v>639</v>
      </c>
      <c r="H498" s="392" t="s">
        <v>818</v>
      </c>
      <c r="I498" s="343"/>
      <c r="J498" s="343"/>
      <c r="K498" s="70" t="s">
        <v>817</v>
      </c>
      <c r="L498" s="346"/>
      <c r="M498" s="346" t="s">
        <v>1140</v>
      </c>
      <c r="N498" s="346"/>
      <c r="O498" s="150" t="s">
        <v>818</v>
      </c>
      <c r="P498" s="150"/>
      <c r="Q498" s="403"/>
      <c r="R498" s="406">
        <v>12000</v>
      </c>
      <c r="S498" s="406">
        <v>19022.099999999999</v>
      </c>
      <c r="T498" s="425"/>
      <c r="U498" s="71"/>
      <c r="V498" s="426"/>
      <c r="W498" s="427"/>
      <c r="X498" s="427">
        <v>10022.1</v>
      </c>
      <c r="Y498" s="428">
        <v>0</v>
      </c>
      <c r="Z498" s="429">
        <v>0</v>
      </c>
      <c r="AA498" s="429">
        <v>7983.4299999999994</v>
      </c>
      <c r="AB498" s="360">
        <v>0</v>
      </c>
      <c r="AC498" s="360">
        <v>0</v>
      </c>
      <c r="AD498" s="363">
        <v>10000</v>
      </c>
      <c r="AE498" s="360">
        <v>0</v>
      </c>
      <c r="AF498" s="360">
        <v>0</v>
      </c>
      <c r="AG498" s="363">
        <v>10000</v>
      </c>
      <c r="AH498" s="360">
        <f t="shared" si="26"/>
        <v>38005.53</v>
      </c>
      <c r="AI498" s="362">
        <f>ERP_5[[#This Row],[2026 Working Total]]-ERP_5[[#This Row],[LE2 Final Submission]]</f>
        <v>18983.43</v>
      </c>
      <c r="AJ498" s="79">
        <v>0</v>
      </c>
      <c r="AK498" s="79">
        <f t="shared" si="25"/>
        <v>7983.4299999999994</v>
      </c>
      <c r="AL498" s="374">
        <f>SUM(ERP_5[[#This Row],[AP01]:[AP06]])-SUM(ERP_5[[#This Row],[AP01 LE2]:[AP06 LE2]])</f>
        <v>4983.4299999999985</v>
      </c>
      <c r="AM498" s="80"/>
      <c r="AN498" s="79">
        <f>ERP_5[[#This Row],[2026 Working Total to Budget/LE]]-ERP_5[[#This Row],[Giveback]]</f>
        <v>18983.43</v>
      </c>
      <c r="AO498" s="81"/>
      <c r="AP498" s="375"/>
      <c r="AQ498" s="375"/>
      <c r="AR498" s="375">
        <v>10022.1</v>
      </c>
      <c r="AS498" s="375">
        <v>0</v>
      </c>
      <c r="AT498" s="375">
        <v>0</v>
      </c>
      <c r="AU498" s="375">
        <v>3000</v>
      </c>
      <c r="AV498" s="375">
        <v>0</v>
      </c>
      <c r="AW498" s="375">
        <v>0</v>
      </c>
      <c r="AX498" s="375">
        <v>3000</v>
      </c>
      <c r="AY498" s="375">
        <v>0</v>
      </c>
      <c r="AZ498" s="375">
        <v>0</v>
      </c>
      <c r="BA498" s="375">
        <v>3000</v>
      </c>
      <c r="BB498" s="375">
        <v>19022.099999999999</v>
      </c>
      <c r="BC498" s="79"/>
      <c r="BD498" s="79"/>
      <c r="BE498" s="79">
        <v>10022.1</v>
      </c>
      <c r="BF498" s="79">
        <v>0</v>
      </c>
      <c r="BG498" s="79">
        <v>0</v>
      </c>
      <c r="BH498" s="79">
        <v>3000</v>
      </c>
      <c r="BI498" s="79">
        <v>0</v>
      </c>
      <c r="BJ498" s="79">
        <v>0</v>
      </c>
      <c r="BK498" s="79">
        <v>3000</v>
      </c>
      <c r="BL498" s="79">
        <v>0</v>
      </c>
      <c r="BM498" s="79">
        <v>0</v>
      </c>
      <c r="BN498" s="79">
        <v>3000</v>
      </c>
      <c r="BO498" s="79">
        <v>19022.099999999999</v>
      </c>
    </row>
    <row r="499" spans="1:67" ht="15" customHeight="1">
      <c r="A499" s="66" t="s">
        <v>2725</v>
      </c>
      <c r="B499" s="66" t="s">
        <v>973</v>
      </c>
      <c r="C499" s="150" t="s">
        <v>1136</v>
      </c>
      <c r="D499" s="150" t="s">
        <v>1345</v>
      </c>
      <c r="E499" s="150" t="s">
        <v>1480</v>
      </c>
      <c r="F499" s="150" t="s">
        <v>1346</v>
      </c>
      <c r="G499" s="511" t="s">
        <v>639</v>
      </c>
      <c r="H499" s="392" t="s">
        <v>818</v>
      </c>
      <c r="I499" s="343"/>
      <c r="J499" s="343"/>
      <c r="K499" s="70" t="s">
        <v>817</v>
      </c>
      <c r="L499" s="346"/>
      <c r="M499" s="346" t="s">
        <v>1140</v>
      </c>
      <c r="N499" s="346"/>
      <c r="O499" s="150" t="s">
        <v>818</v>
      </c>
      <c r="P499" s="150"/>
      <c r="Q499" s="403"/>
      <c r="R499" s="406">
        <v>30000</v>
      </c>
      <c r="S499" s="406">
        <v>33718.54</v>
      </c>
      <c r="T499" s="425"/>
      <c r="U499" s="71"/>
      <c r="V499" s="426"/>
      <c r="W499" s="427"/>
      <c r="X499" s="427">
        <v>11218.54</v>
      </c>
      <c r="Y499" s="428">
        <v>0</v>
      </c>
      <c r="Z499" s="429">
        <v>0</v>
      </c>
      <c r="AA499" s="429">
        <v>15527.55</v>
      </c>
      <c r="AB499" s="360">
        <v>0</v>
      </c>
      <c r="AC499" s="360">
        <v>0</v>
      </c>
      <c r="AD499" s="363">
        <v>7500</v>
      </c>
      <c r="AE499" s="360">
        <v>0</v>
      </c>
      <c r="AF499" s="363">
        <v>7500</v>
      </c>
      <c r="AG499" s="360">
        <v>0</v>
      </c>
      <c r="AH499" s="360">
        <f t="shared" si="26"/>
        <v>41746.089999999997</v>
      </c>
      <c r="AI499" s="362">
        <f>ERP_5[[#This Row],[2026 Working Total]]-ERP_5[[#This Row],[LE2 Final Submission]]</f>
        <v>8027.5499999999956</v>
      </c>
      <c r="AJ499" s="79">
        <v>0</v>
      </c>
      <c r="AK499" s="79">
        <f t="shared" si="25"/>
        <v>15527.55</v>
      </c>
      <c r="AL499" s="374">
        <f>SUM(ERP_5[[#This Row],[AP01]:[AP06]])-SUM(ERP_5[[#This Row],[AP01 LE2]:[AP06 LE2]])</f>
        <v>8027.5499999999993</v>
      </c>
      <c r="AM499" s="80"/>
      <c r="AN499" s="79">
        <f>ERP_5[[#This Row],[2026 Working Total to Budget/LE]]-ERP_5[[#This Row],[Giveback]]</f>
        <v>8027.5499999999956</v>
      </c>
      <c r="AO499" s="81"/>
      <c r="AP499" s="375"/>
      <c r="AQ499" s="375"/>
      <c r="AR499" s="375">
        <v>11218.54</v>
      </c>
      <c r="AS499" s="375">
        <v>0</v>
      </c>
      <c r="AT499" s="375">
        <v>0</v>
      </c>
      <c r="AU499" s="375">
        <v>7500</v>
      </c>
      <c r="AV499" s="375">
        <v>0</v>
      </c>
      <c r="AW499" s="375">
        <v>0</v>
      </c>
      <c r="AX499" s="375">
        <v>7500</v>
      </c>
      <c r="AY499" s="375">
        <v>0</v>
      </c>
      <c r="AZ499" s="375">
        <v>7500</v>
      </c>
      <c r="BA499" s="375">
        <v>0</v>
      </c>
      <c r="BB499" s="375">
        <v>33718.54</v>
      </c>
      <c r="BC499" s="79"/>
      <c r="BD499" s="79"/>
      <c r="BE499" s="79">
        <v>11218.54</v>
      </c>
      <c r="BF499" s="79">
        <v>0</v>
      </c>
      <c r="BG499" s="79">
        <v>0</v>
      </c>
      <c r="BH499" s="79">
        <v>7500</v>
      </c>
      <c r="BI499" s="79">
        <v>0</v>
      </c>
      <c r="BJ499" s="79">
        <v>0</v>
      </c>
      <c r="BK499" s="79">
        <v>7500</v>
      </c>
      <c r="BL499" s="79">
        <v>0</v>
      </c>
      <c r="BM499" s="79">
        <v>7500</v>
      </c>
      <c r="BN499" s="79">
        <v>0</v>
      </c>
      <c r="BO499" s="79">
        <v>33718.54</v>
      </c>
    </row>
    <row r="500" spans="1:67" ht="15" customHeight="1">
      <c r="A500" s="66" t="s">
        <v>2751</v>
      </c>
      <c r="B500" s="66" t="s">
        <v>986</v>
      </c>
      <c r="C500" s="150" t="s">
        <v>1136</v>
      </c>
      <c r="D500" s="150" t="s">
        <v>1345</v>
      </c>
      <c r="E500" s="150" t="s">
        <v>1515</v>
      </c>
      <c r="F500" s="150" t="s">
        <v>1346</v>
      </c>
      <c r="G500" s="511" t="s">
        <v>639</v>
      </c>
      <c r="H500" s="392" t="s">
        <v>818</v>
      </c>
      <c r="I500" s="343"/>
      <c r="J500" s="343"/>
      <c r="K500" s="70" t="s">
        <v>817</v>
      </c>
      <c r="L500" s="346"/>
      <c r="M500" s="346" t="s">
        <v>1140</v>
      </c>
      <c r="N500" s="346"/>
      <c r="O500" s="150" t="s">
        <v>818</v>
      </c>
      <c r="P500" s="150"/>
      <c r="Q500" s="403"/>
      <c r="R500" s="406">
        <v>8000</v>
      </c>
      <c r="S500" s="406">
        <v>17389.7</v>
      </c>
      <c r="T500" s="425"/>
      <c r="U500" s="71"/>
      <c r="V500" s="426"/>
      <c r="W500" s="427"/>
      <c r="X500" s="427">
        <v>11389.7</v>
      </c>
      <c r="Y500" s="428">
        <v>0</v>
      </c>
      <c r="Z500" s="429">
        <v>0</v>
      </c>
      <c r="AA500" s="429">
        <v>8531.9</v>
      </c>
      <c r="AB500" s="360">
        <v>0</v>
      </c>
      <c r="AC500" s="360">
        <v>0</v>
      </c>
      <c r="AD500" s="363">
        <v>2000</v>
      </c>
      <c r="AE500" s="360">
        <v>0</v>
      </c>
      <c r="AF500" s="363">
        <v>2000</v>
      </c>
      <c r="AG500" s="360">
        <v>0</v>
      </c>
      <c r="AH500" s="360">
        <f t="shared" si="26"/>
        <v>23921.599999999999</v>
      </c>
      <c r="AI500" s="362">
        <f>ERP_5[[#This Row],[2026 Working Total]]-ERP_5[[#This Row],[LE2 Final Submission]]</f>
        <v>6531.8999999999978</v>
      </c>
      <c r="AJ500" s="79">
        <v>0</v>
      </c>
      <c r="AK500" s="79">
        <f t="shared" si="25"/>
        <v>8531.9</v>
      </c>
      <c r="AL500" s="374">
        <f>SUM(ERP_5[[#This Row],[AP01]:[AP06]])-SUM(ERP_5[[#This Row],[AP01 LE2]:[AP06 LE2]])</f>
        <v>6531.8999999999978</v>
      </c>
      <c r="AM500" s="80"/>
      <c r="AN500" s="79">
        <f>ERP_5[[#This Row],[2026 Working Total to Budget/LE]]-ERP_5[[#This Row],[Giveback]]</f>
        <v>6531.8999999999978</v>
      </c>
      <c r="AO500" s="81"/>
      <c r="AP500" s="375"/>
      <c r="AQ500" s="375"/>
      <c r="AR500" s="375">
        <v>11389.7</v>
      </c>
      <c r="AS500" s="375">
        <v>0</v>
      </c>
      <c r="AT500" s="375">
        <v>0</v>
      </c>
      <c r="AU500" s="375">
        <v>2000</v>
      </c>
      <c r="AV500" s="375">
        <v>0</v>
      </c>
      <c r="AW500" s="375">
        <v>0</v>
      </c>
      <c r="AX500" s="375">
        <v>2000</v>
      </c>
      <c r="AY500" s="375">
        <v>0</v>
      </c>
      <c r="AZ500" s="375">
        <v>2000</v>
      </c>
      <c r="BA500" s="375">
        <v>0</v>
      </c>
      <c r="BB500" s="375">
        <v>17389.7</v>
      </c>
      <c r="BC500" s="79"/>
      <c r="BD500" s="79"/>
      <c r="BE500" s="79">
        <v>11389.7</v>
      </c>
      <c r="BF500" s="79">
        <v>0</v>
      </c>
      <c r="BG500" s="79">
        <v>0</v>
      </c>
      <c r="BH500" s="79">
        <v>2000</v>
      </c>
      <c r="BI500" s="79">
        <v>0</v>
      </c>
      <c r="BJ500" s="79">
        <v>0</v>
      </c>
      <c r="BK500" s="79">
        <v>2000</v>
      </c>
      <c r="BL500" s="79">
        <v>0</v>
      </c>
      <c r="BM500" s="79">
        <v>2000</v>
      </c>
      <c r="BN500" s="79">
        <v>0</v>
      </c>
      <c r="BO500" s="79">
        <v>17389.7</v>
      </c>
    </row>
    <row r="501" spans="1:67" ht="15" customHeight="1">
      <c r="A501" s="66" t="s">
        <v>2465</v>
      </c>
      <c r="B501" s="66" t="s">
        <v>812</v>
      </c>
      <c r="C501" s="150" t="s">
        <v>1136</v>
      </c>
      <c r="D501" s="150" t="s">
        <v>1135</v>
      </c>
      <c r="E501" s="150" t="s">
        <v>1135</v>
      </c>
      <c r="F501" s="150" t="s">
        <v>1137</v>
      </c>
      <c r="G501" s="511" t="s">
        <v>639</v>
      </c>
      <c r="H501" s="392" t="s">
        <v>2466</v>
      </c>
      <c r="I501" s="343"/>
      <c r="J501" s="343"/>
      <c r="K501" s="70" t="s">
        <v>813</v>
      </c>
      <c r="L501" s="346"/>
      <c r="M501" s="343"/>
      <c r="N501" s="346"/>
      <c r="O501" s="150" t="s">
        <v>64</v>
      </c>
      <c r="P501" s="150" t="s">
        <v>2467</v>
      </c>
      <c r="Q501" s="403"/>
      <c r="R501" s="406">
        <v>287700</v>
      </c>
      <c r="S501" s="406">
        <v>297194</v>
      </c>
      <c r="T501" s="425"/>
      <c r="U501" s="71"/>
      <c r="V501" s="426"/>
      <c r="W501" s="427"/>
      <c r="X501" s="427"/>
      <c r="Y501" s="428" t="s">
        <v>1142</v>
      </c>
      <c r="Z501" s="429">
        <v>0</v>
      </c>
      <c r="AA501" s="429">
        <v>0</v>
      </c>
      <c r="AB501" s="363"/>
      <c r="AC501" s="363"/>
      <c r="AD501" s="363"/>
      <c r="AE501" s="363">
        <f>287700-287700+297194</f>
        <v>297194</v>
      </c>
      <c r="AF501" s="360">
        <v>0</v>
      </c>
      <c r="AG501" s="360">
        <v>0</v>
      </c>
      <c r="AH501" s="360">
        <f t="shared" si="26"/>
        <v>297194</v>
      </c>
      <c r="AI501" s="362">
        <f>ERP_5[[#This Row],[2026 Working Total]]-ERP_5[[#This Row],[LE2 Final Submission]]</f>
        <v>0</v>
      </c>
      <c r="AJ501" s="79"/>
      <c r="AK501" s="79">
        <f t="shared" si="25"/>
        <v>0</v>
      </c>
      <c r="AL501" s="374">
        <f>SUM(ERP_5[[#This Row],[AP01]:[AP06]])-SUM(ERP_5[[#This Row],[AP01 LE2]:[AP06 LE2]])</f>
        <v>0</v>
      </c>
      <c r="AM501" s="80"/>
      <c r="AN501" s="79">
        <f>ERP_5[[#This Row],[2026 Working Total to Budget/LE]]-ERP_5[[#This Row],[Giveback]]</f>
        <v>0</v>
      </c>
      <c r="AO501" s="81"/>
      <c r="AP501" s="375"/>
      <c r="AQ501" s="375"/>
      <c r="AR501" s="375"/>
      <c r="AS501" s="375"/>
      <c r="AT501" s="375"/>
      <c r="AU501" s="375"/>
      <c r="AV501" s="375"/>
      <c r="AW501" s="375"/>
      <c r="AX501" s="375"/>
      <c r="AY501" s="375">
        <v>297194</v>
      </c>
      <c r="AZ501" s="375">
        <v>0</v>
      </c>
      <c r="BA501" s="375">
        <v>0</v>
      </c>
      <c r="BB501" s="375">
        <v>297194</v>
      </c>
      <c r="BC501" s="79"/>
      <c r="BD501" s="79"/>
      <c r="BE501" s="79"/>
      <c r="BF501" s="79"/>
      <c r="BG501" s="79"/>
      <c r="BH501" s="79"/>
      <c r="BI501" s="79"/>
      <c r="BJ501" s="79"/>
      <c r="BK501" s="79"/>
      <c r="BL501" s="79">
        <v>287700</v>
      </c>
      <c r="BM501" s="79">
        <v>0</v>
      </c>
      <c r="BN501" s="79">
        <v>0</v>
      </c>
      <c r="BO501" s="79">
        <v>287700</v>
      </c>
    </row>
    <row r="502" spans="1:67" ht="15" customHeight="1">
      <c r="A502" s="66" t="s">
        <v>2468</v>
      </c>
      <c r="B502" s="66" t="s">
        <v>814</v>
      </c>
      <c r="C502" s="150" t="s">
        <v>1136</v>
      </c>
      <c r="D502" s="150" t="s">
        <v>1135</v>
      </c>
      <c r="E502" s="150" t="s">
        <v>1135</v>
      </c>
      <c r="F502" s="150" t="s">
        <v>1137</v>
      </c>
      <c r="G502" s="511" t="s">
        <v>639</v>
      </c>
      <c r="H502" s="392" t="s">
        <v>2469</v>
      </c>
      <c r="I502" s="343"/>
      <c r="J502" s="343"/>
      <c r="K502" s="70" t="s">
        <v>815</v>
      </c>
      <c r="L502" s="346"/>
      <c r="M502" s="343"/>
      <c r="N502" s="346"/>
      <c r="O502" s="150" t="s">
        <v>67</v>
      </c>
      <c r="P502" s="150"/>
      <c r="Q502" s="403"/>
      <c r="R502" s="406">
        <v>58000</v>
      </c>
      <c r="S502" s="406">
        <v>58000</v>
      </c>
      <c r="T502" s="430"/>
      <c r="U502" s="137"/>
      <c r="V502" s="426"/>
      <c r="W502" s="427"/>
      <c r="X502" s="427"/>
      <c r="Y502" s="428" t="s">
        <v>1142</v>
      </c>
      <c r="Z502" s="429">
        <v>0</v>
      </c>
      <c r="AA502" s="429">
        <v>0</v>
      </c>
      <c r="AB502" s="363"/>
      <c r="AC502" s="363"/>
      <c r="AD502" s="363">
        <v>22000</v>
      </c>
      <c r="AE502" s="360">
        <v>0</v>
      </c>
      <c r="AF502" s="363">
        <v>36000</v>
      </c>
      <c r="AG502" s="360">
        <v>0</v>
      </c>
      <c r="AH502" s="360">
        <f t="shared" si="26"/>
        <v>58000</v>
      </c>
      <c r="AI502" s="362">
        <f>ERP_5[[#This Row],[2026 Working Total]]-ERP_5[[#This Row],[LE2 Final Submission]]</f>
        <v>0</v>
      </c>
      <c r="AJ502" s="79"/>
      <c r="AK502" s="79">
        <f t="shared" si="25"/>
        <v>0</v>
      </c>
      <c r="AL502" s="374">
        <f>SUM(ERP_5[[#This Row],[AP01]:[AP06]])-SUM(ERP_5[[#This Row],[AP01 LE2]:[AP06 LE2]])</f>
        <v>0</v>
      </c>
      <c r="AM502" s="80"/>
      <c r="AN502" s="79">
        <f>ERP_5[[#This Row],[2026 Working Total to Budget/LE]]-ERP_5[[#This Row],[Giveback]]</f>
        <v>0</v>
      </c>
      <c r="AO502" s="81"/>
      <c r="AP502" s="375"/>
      <c r="AQ502" s="375"/>
      <c r="AR502" s="375"/>
      <c r="AS502" s="375"/>
      <c r="AT502" s="375"/>
      <c r="AU502" s="375"/>
      <c r="AV502" s="375"/>
      <c r="AW502" s="375"/>
      <c r="AX502" s="375">
        <v>22000</v>
      </c>
      <c r="AY502" s="375">
        <v>0</v>
      </c>
      <c r="AZ502" s="375">
        <v>36000</v>
      </c>
      <c r="BA502" s="375">
        <v>0</v>
      </c>
      <c r="BB502" s="375">
        <v>58000</v>
      </c>
      <c r="BC502" s="79"/>
      <c r="BD502" s="79"/>
      <c r="BE502" s="79"/>
      <c r="BF502" s="79"/>
      <c r="BG502" s="79"/>
      <c r="BH502" s="79"/>
      <c r="BI502" s="79"/>
      <c r="BJ502" s="79"/>
      <c r="BK502" s="79">
        <v>22000</v>
      </c>
      <c r="BL502" s="79">
        <v>0</v>
      </c>
      <c r="BM502" s="79">
        <v>36000</v>
      </c>
      <c r="BN502" s="79">
        <v>0</v>
      </c>
      <c r="BO502" s="79">
        <v>58000</v>
      </c>
    </row>
    <row r="503" spans="1:67" ht="15" customHeight="1">
      <c r="A503" s="66" t="s">
        <v>2794</v>
      </c>
      <c r="B503" s="66" t="s">
        <v>2795</v>
      </c>
      <c r="C503" s="150" t="s">
        <v>1136</v>
      </c>
      <c r="D503" s="150" t="s">
        <v>1567</v>
      </c>
      <c r="E503" s="150" t="s">
        <v>1567</v>
      </c>
      <c r="F503" s="150" t="s">
        <v>1567</v>
      </c>
      <c r="G503" s="511" t="s">
        <v>639</v>
      </c>
      <c r="H503" s="392" t="s">
        <v>818</v>
      </c>
      <c r="I503" s="343"/>
      <c r="J503" s="343"/>
      <c r="K503" s="70" t="s">
        <v>817</v>
      </c>
      <c r="L503" s="346"/>
      <c r="M503" s="346" t="s">
        <v>1140</v>
      </c>
      <c r="N503" s="346"/>
      <c r="O503" s="150" t="s">
        <v>818</v>
      </c>
      <c r="P503" s="150"/>
      <c r="Q503" s="403"/>
      <c r="R503" s="406">
        <v>0</v>
      </c>
      <c r="S503" s="406">
        <v>95.05</v>
      </c>
      <c r="T503" s="425"/>
      <c r="U503" s="71"/>
      <c r="V503" s="426"/>
      <c r="W503" s="427"/>
      <c r="X503" s="427">
        <v>95.05</v>
      </c>
      <c r="Y503" s="428">
        <v>0</v>
      </c>
      <c r="Z503" s="429">
        <v>0</v>
      </c>
      <c r="AA503" s="429">
        <v>160.29</v>
      </c>
      <c r="AB503" s="360">
        <v>0</v>
      </c>
      <c r="AC503" s="360">
        <v>0</v>
      </c>
      <c r="AD503" s="360">
        <v>0</v>
      </c>
      <c r="AE503" s="360">
        <v>0</v>
      </c>
      <c r="AF503" s="360">
        <v>0</v>
      </c>
      <c r="AG503" s="360">
        <v>0</v>
      </c>
      <c r="AH503" s="360">
        <f t="shared" si="26"/>
        <v>255.33999999999997</v>
      </c>
      <c r="AI503" s="362">
        <f>ERP_5[[#This Row],[2026 Working Total]]-ERP_5[[#This Row],[LE2 Final Submission]]</f>
        <v>160.28999999999996</v>
      </c>
      <c r="AJ503" s="79">
        <v>0</v>
      </c>
      <c r="AK503" s="79">
        <f t="shared" si="25"/>
        <v>160.29</v>
      </c>
      <c r="AL503" s="374">
        <f>SUM(ERP_5[[#This Row],[AP01]:[AP06]])-SUM(ERP_5[[#This Row],[AP01 LE2]:[AP06 LE2]])</f>
        <v>160.28999999999996</v>
      </c>
      <c r="AM503" s="80"/>
      <c r="AN503" s="79">
        <f>ERP_5[[#This Row],[2026 Working Total to Budget/LE]]-ERP_5[[#This Row],[Giveback]]</f>
        <v>160.28999999999996</v>
      </c>
      <c r="AO503" s="81"/>
      <c r="AP503" s="375"/>
      <c r="AQ503" s="375"/>
      <c r="AR503" s="375">
        <v>95.05</v>
      </c>
      <c r="AS503" s="375">
        <v>0</v>
      </c>
      <c r="AT503" s="375">
        <v>0</v>
      </c>
      <c r="AU503" s="375">
        <v>0</v>
      </c>
      <c r="AV503" s="375">
        <v>0</v>
      </c>
      <c r="AW503" s="375">
        <v>0</v>
      </c>
      <c r="AX503" s="375">
        <v>0</v>
      </c>
      <c r="AY503" s="375">
        <v>0</v>
      </c>
      <c r="AZ503" s="375">
        <v>0</v>
      </c>
      <c r="BA503" s="375">
        <v>0</v>
      </c>
      <c r="BB503" s="375">
        <v>95.05</v>
      </c>
      <c r="BC503" s="79"/>
      <c r="BD503" s="79"/>
      <c r="BE503" s="79">
        <v>95.05</v>
      </c>
      <c r="BF503" s="79">
        <v>0</v>
      </c>
      <c r="BG503" s="79">
        <v>0</v>
      </c>
      <c r="BH503" s="79">
        <v>0</v>
      </c>
      <c r="BI503" s="79">
        <v>0</v>
      </c>
      <c r="BJ503" s="79">
        <v>0</v>
      </c>
      <c r="BK503" s="79">
        <v>0</v>
      </c>
      <c r="BL503" s="79">
        <v>0</v>
      </c>
      <c r="BM503" s="79">
        <v>0</v>
      </c>
      <c r="BN503" s="79">
        <v>0</v>
      </c>
      <c r="BO503" s="79">
        <v>95.05</v>
      </c>
    </row>
    <row r="504" spans="1:67" ht="15" customHeight="1">
      <c r="A504" s="66" t="s">
        <v>2470</v>
      </c>
      <c r="B504" s="66" t="s">
        <v>816</v>
      </c>
      <c r="C504" s="150" t="s">
        <v>1136</v>
      </c>
      <c r="D504" s="150" t="s">
        <v>1135</v>
      </c>
      <c r="E504" s="150" t="s">
        <v>1135</v>
      </c>
      <c r="F504" s="150" t="s">
        <v>1137</v>
      </c>
      <c r="G504" s="511" t="s">
        <v>639</v>
      </c>
      <c r="H504" s="392" t="s">
        <v>818</v>
      </c>
      <c r="I504" s="343"/>
      <c r="J504" s="343"/>
      <c r="K504" s="70" t="s">
        <v>817</v>
      </c>
      <c r="L504" s="346"/>
      <c r="M504" s="346" t="s">
        <v>1140</v>
      </c>
      <c r="N504" s="346"/>
      <c r="O504" s="150" t="s">
        <v>818</v>
      </c>
      <c r="P504" s="150"/>
      <c r="Q504" s="403"/>
      <c r="R504" s="406">
        <v>124504</v>
      </c>
      <c r="S504" s="406">
        <v>146423.48000000001</v>
      </c>
      <c r="T504" s="425"/>
      <c r="U504" s="71"/>
      <c r="V504" s="426"/>
      <c r="W504" s="427"/>
      <c r="X504" s="427">
        <v>61919.48</v>
      </c>
      <c r="Y504" s="428">
        <v>0</v>
      </c>
      <c r="Z504" s="429">
        <v>0</v>
      </c>
      <c r="AA504" s="429">
        <v>45968.679999999993</v>
      </c>
      <c r="AB504" s="360">
        <v>0</v>
      </c>
      <c r="AC504" s="360">
        <v>0</v>
      </c>
      <c r="AD504" s="363">
        <v>40000</v>
      </c>
      <c r="AE504" s="360">
        <v>0</v>
      </c>
      <c r="AF504" s="363">
        <v>4504</v>
      </c>
      <c r="AG504" s="360">
        <v>0</v>
      </c>
      <c r="AH504" s="360">
        <f t="shared" si="26"/>
        <v>152392.16</v>
      </c>
      <c r="AI504" s="362">
        <f>ERP_5[[#This Row],[2026 Working Total]]-ERP_5[[#This Row],[LE2 Final Submission]]</f>
        <v>5968.679999999993</v>
      </c>
      <c r="AJ504" s="79">
        <v>0</v>
      </c>
      <c r="AK504" s="79">
        <f t="shared" si="25"/>
        <v>45968.679999999993</v>
      </c>
      <c r="AL504" s="374">
        <f>SUM(ERP_5[[#This Row],[AP01]:[AP06]])-SUM(ERP_5[[#This Row],[AP01 LE2]:[AP06 LE2]])</f>
        <v>5968.679999999993</v>
      </c>
      <c r="AM504" s="80"/>
      <c r="AN504" s="79">
        <f>ERP_5[[#This Row],[2026 Working Total to Budget/LE]]-ERP_5[[#This Row],[Giveback]]</f>
        <v>5968.679999999993</v>
      </c>
      <c r="AO504" s="81"/>
      <c r="AP504" s="375"/>
      <c r="AQ504" s="375"/>
      <c r="AR504" s="375">
        <v>61919.48</v>
      </c>
      <c r="AS504" s="375">
        <v>0</v>
      </c>
      <c r="AT504" s="375">
        <v>0</v>
      </c>
      <c r="AU504" s="375">
        <v>40000</v>
      </c>
      <c r="AV504" s="375">
        <v>0</v>
      </c>
      <c r="AW504" s="375">
        <v>0</v>
      </c>
      <c r="AX504" s="375">
        <v>40000</v>
      </c>
      <c r="AY504" s="375">
        <v>0</v>
      </c>
      <c r="AZ504" s="375">
        <v>4504</v>
      </c>
      <c r="BA504" s="375">
        <v>0</v>
      </c>
      <c r="BB504" s="375">
        <v>146423.48000000001</v>
      </c>
      <c r="BC504" s="79"/>
      <c r="BD504" s="79"/>
      <c r="BE504" s="79">
        <v>61919.48</v>
      </c>
      <c r="BF504" s="79">
        <v>0</v>
      </c>
      <c r="BG504" s="79">
        <v>0</v>
      </c>
      <c r="BH504" s="79">
        <v>40000</v>
      </c>
      <c r="BI504" s="79">
        <v>0</v>
      </c>
      <c r="BJ504" s="79">
        <v>0</v>
      </c>
      <c r="BK504" s="79">
        <v>40000</v>
      </c>
      <c r="BL504" s="79">
        <v>0</v>
      </c>
      <c r="BM504" s="79">
        <v>4504</v>
      </c>
      <c r="BN504" s="79">
        <v>0</v>
      </c>
      <c r="BO504" s="79">
        <v>146423.48000000001</v>
      </c>
    </row>
    <row r="505" spans="1:67" ht="15" customHeight="1">
      <c r="A505" s="66" t="s">
        <v>2471</v>
      </c>
      <c r="B505" s="66" t="s">
        <v>2472</v>
      </c>
      <c r="C505" s="150" t="s">
        <v>1136</v>
      </c>
      <c r="D505" s="150" t="s">
        <v>1135</v>
      </c>
      <c r="E505" s="150" t="s">
        <v>1137</v>
      </c>
      <c r="F505" s="150" t="s">
        <v>1137</v>
      </c>
      <c r="G505" s="511" t="s">
        <v>639</v>
      </c>
      <c r="H505" s="392" t="s">
        <v>818</v>
      </c>
      <c r="I505" s="343"/>
      <c r="J505" s="343"/>
      <c r="K505" s="70" t="s">
        <v>817</v>
      </c>
      <c r="L505" s="346"/>
      <c r="M505" s="346" t="s">
        <v>1140</v>
      </c>
      <c r="N505" s="346"/>
      <c r="O505" s="150" t="s">
        <v>818</v>
      </c>
      <c r="P505" s="1" t="s">
        <v>1141</v>
      </c>
      <c r="Q505" s="403"/>
      <c r="R505" s="406">
        <v>50000</v>
      </c>
      <c r="S505" s="406">
        <v>38665</v>
      </c>
      <c r="T505" s="425"/>
      <c r="U505" s="71"/>
      <c r="V505" s="426"/>
      <c r="W505" s="427"/>
      <c r="X505" s="427">
        <v>1165</v>
      </c>
      <c r="Y505" s="428">
        <v>0</v>
      </c>
      <c r="Z505" s="429">
        <v>0</v>
      </c>
      <c r="AA505" s="429">
        <v>1720.74</v>
      </c>
      <c r="AB505" s="360">
        <v>0</v>
      </c>
      <c r="AC505" s="360">
        <v>0</v>
      </c>
      <c r="AD505" s="363">
        <v>12500</v>
      </c>
      <c r="AE505" s="360">
        <v>0</v>
      </c>
      <c r="AF505" s="363">
        <v>12500</v>
      </c>
      <c r="AG505" s="360">
        <v>0</v>
      </c>
      <c r="AH505" s="360">
        <f t="shared" si="26"/>
        <v>27885.739999999998</v>
      </c>
      <c r="AI505" s="362">
        <f>ERP_5[[#This Row],[2026 Working Total]]-ERP_5[[#This Row],[LE2 Final Submission]]</f>
        <v>-10779.260000000002</v>
      </c>
      <c r="AJ505" s="79">
        <v>0</v>
      </c>
      <c r="AK505" s="79">
        <f t="shared" si="25"/>
        <v>1720.74</v>
      </c>
      <c r="AL505" s="374">
        <f>SUM(ERP_5[[#This Row],[AP01]:[AP06]])-SUM(ERP_5[[#This Row],[AP01 LE2]:[AP06 LE2]])</f>
        <v>-10779.26</v>
      </c>
      <c r="AM505" s="80"/>
      <c r="AN505" s="79">
        <f>ERP_5[[#This Row],[2026 Working Total to Budget/LE]]-ERP_5[[#This Row],[Giveback]]</f>
        <v>-10779.260000000002</v>
      </c>
      <c r="AO505" s="81"/>
      <c r="AP505" s="375"/>
      <c r="AQ505" s="375"/>
      <c r="AR505" s="375">
        <v>1165</v>
      </c>
      <c r="AS505" s="375">
        <v>0</v>
      </c>
      <c r="AT505" s="375">
        <v>0</v>
      </c>
      <c r="AU505" s="375">
        <v>12500</v>
      </c>
      <c r="AV505" s="375">
        <v>0</v>
      </c>
      <c r="AW505" s="375">
        <v>0</v>
      </c>
      <c r="AX505" s="375">
        <v>12500</v>
      </c>
      <c r="AY505" s="375">
        <v>0</v>
      </c>
      <c r="AZ505" s="375">
        <v>12500</v>
      </c>
      <c r="BA505" s="375">
        <v>0</v>
      </c>
      <c r="BB505" s="375">
        <v>38665</v>
      </c>
      <c r="BC505" s="79"/>
      <c r="BD505" s="79"/>
      <c r="BE505" s="79">
        <v>1165</v>
      </c>
      <c r="BF505" s="79">
        <v>0</v>
      </c>
      <c r="BG505" s="79">
        <v>0</v>
      </c>
      <c r="BH505" s="79">
        <v>12500</v>
      </c>
      <c r="BI505" s="79">
        <v>0</v>
      </c>
      <c r="BJ505" s="79">
        <v>0</v>
      </c>
      <c r="BK505" s="79">
        <v>12500</v>
      </c>
      <c r="BL505" s="79">
        <v>0</v>
      </c>
      <c r="BM505" s="79">
        <v>12500</v>
      </c>
      <c r="BN505" s="79">
        <v>0</v>
      </c>
      <c r="BO505" s="79">
        <v>38665</v>
      </c>
    </row>
    <row r="506" spans="1:67" ht="15" customHeight="1">
      <c r="A506" s="66" t="s">
        <v>2815</v>
      </c>
      <c r="B506" s="66" t="s">
        <v>1022</v>
      </c>
      <c r="C506" s="150" t="s">
        <v>1136</v>
      </c>
      <c r="D506" s="150" t="s">
        <v>1650</v>
      </c>
      <c r="E506" s="150" t="s">
        <v>1650</v>
      </c>
      <c r="F506" s="150" t="s">
        <v>1650</v>
      </c>
      <c r="G506" s="511" t="s">
        <v>639</v>
      </c>
      <c r="H506" s="392" t="s">
        <v>818</v>
      </c>
      <c r="I506" s="343"/>
      <c r="J506" s="343"/>
      <c r="K506" s="70" t="s">
        <v>817</v>
      </c>
      <c r="L506" s="346"/>
      <c r="M506" s="346" t="s">
        <v>1140</v>
      </c>
      <c r="N506" s="346"/>
      <c r="O506" s="150" t="s">
        <v>818</v>
      </c>
      <c r="P506" s="150" t="s">
        <v>2816</v>
      </c>
      <c r="Q506" s="403"/>
      <c r="R506" s="406">
        <v>17784.52</v>
      </c>
      <c r="S506" s="406">
        <v>32897.279999999999</v>
      </c>
      <c r="T506" s="425"/>
      <c r="U506" s="71"/>
      <c r="V506" s="426"/>
      <c r="W506" s="427"/>
      <c r="X506" s="427">
        <v>8224.32</v>
      </c>
      <c r="Y506" s="428">
        <v>0</v>
      </c>
      <c r="Z506" s="429">
        <v>0</v>
      </c>
      <c r="AA506" s="429">
        <v>10506.24</v>
      </c>
      <c r="AB506" s="360">
        <v>0</v>
      </c>
      <c r="AC506" s="360">
        <v>0</v>
      </c>
      <c r="AD506" s="363">
        <v>8224.32</v>
      </c>
      <c r="AE506" s="360">
        <v>0</v>
      </c>
      <c r="AF506" s="363">
        <v>8224.32</v>
      </c>
      <c r="AG506" s="360">
        <v>0</v>
      </c>
      <c r="AH506" s="360">
        <f t="shared" si="26"/>
        <v>35179.199999999997</v>
      </c>
      <c r="AI506" s="362">
        <f>ERP_5[[#This Row],[2026 Working Total]]-ERP_5[[#This Row],[LE2 Final Submission]]</f>
        <v>2281.9199999999983</v>
      </c>
      <c r="AJ506" s="79">
        <v>0</v>
      </c>
      <c r="AK506" s="79">
        <f t="shared" si="25"/>
        <v>10506.24</v>
      </c>
      <c r="AL506" s="374">
        <f>SUM(ERP_5[[#This Row],[AP01]:[AP06]])-SUM(ERP_5[[#This Row],[AP01 LE2]:[AP06 LE2]])</f>
        <v>2281.9199999999983</v>
      </c>
      <c r="AM506" s="80"/>
      <c r="AN506" s="79">
        <f>ERP_5[[#This Row],[2026 Working Total to Budget/LE]]-ERP_5[[#This Row],[Giveback]]</f>
        <v>2281.9199999999983</v>
      </c>
      <c r="AO506" s="81"/>
      <c r="AP506" s="375"/>
      <c r="AQ506" s="375"/>
      <c r="AR506" s="375">
        <v>8224.32</v>
      </c>
      <c r="AS506" s="375">
        <v>0</v>
      </c>
      <c r="AT506" s="375">
        <v>0</v>
      </c>
      <c r="AU506" s="375">
        <v>8224.32</v>
      </c>
      <c r="AV506" s="375">
        <v>0</v>
      </c>
      <c r="AW506" s="375">
        <v>0</v>
      </c>
      <c r="AX506" s="375">
        <v>8224.32</v>
      </c>
      <c r="AY506" s="375">
        <v>0</v>
      </c>
      <c r="AZ506" s="375">
        <v>8224.32</v>
      </c>
      <c r="BA506" s="375">
        <v>0</v>
      </c>
      <c r="BB506" s="375">
        <v>32897.279999999999</v>
      </c>
      <c r="BC506" s="79"/>
      <c r="BD506" s="79"/>
      <c r="BE506" s="79">
        <v>8224.32</v>
      </c>
      <c r="BF506" s="79">
        <v>0</v>
      </c>
      <c r="BG506" s="79">
        <v>0</v>
      </c>
      <c r="BH506" s="79">
        <v>4446.13</v>
      </c>
      <c r="BI506" s="79">
        <v>0</v>
      </c>
      <c r="BJ506" s="79">
        <v>0</v>
      </c>
      <c r="BK506" s="79">
        <v>4446.13</v>
      </c>
      <c r="BL506" s="79">
        <v>0</v>
      </c>
      <c r="BM506" s="79">
        <v>4446.13</v>
      </c>
      <c r="BN506" s="79">
        <v>0</v>
      </c>
      <c r="BO506" s="79">
        <v>21562.710000000003</v>
      </c>
    </row>
    <row r="507" spans="1:67" ht="15" customHeight="1">
      <c r="A507" s="66" t="s">
        <v>2473</v>
      </c>
      <c r="B507" s="66" t="s">
        <v>2474</v>
      </c>
      <c r="C507" s="150" t="s">
        <v>1136</v>
      </c>
      <c r="D507" s="150" t="s">
        <v>1135</v>
      </c>
      <c r="E507" s="150" t="s">
        <v>1145</v>
      </c>
      <c r="F507" s="150" t="s">
        <v>1137</v>
      </c>
      <c r="G507" s="511" t="s">
        <v>639</v>
      </c>
      <c r="H507" s="392" t="s">
        <v>818</v>
      </c>
      <c r="I507" s="343"/>
      <c r="J507" s="343"/>
      <c r="K507" s="70" t="s">
        <v>817</v>
      </c>
      <c r="L507" s="346"/>
      <c r="M507" s="346" t="s">
        <v>1140</v>
      </c>
      <c r="N507" s="346"/>
      <c r="O507" s="150" t="s">
        <v>818</v>
      </c>
      <c r="P507" s="150"/>
      <c r="Q507" s="403"/>
      <c r="R507" s="406">
        <v>3000</v>
      </c>
      <c r="S507" s="406">
        <v>3010.21</v>
      </c>
      <c r="T507" s="425"/>
      <c r="U507" s="71"/>
      <c r="V507" s="426"/>
      <c r="W507" s="427"/>
      <c r="X507" s="427">
        <v>410.21</v>
      </c>
      <c r="Y507" s="428">
        <v>0</v>
      </c>
      <c r="Z507" s="429">
        <v>0</v>
      </c>
      <c r="AA507" s="429">
        <v>398.24</v>
      </c>
      <c r="AB507" s="360">
        <v>0</v>
      </c>
      <c r="AC507" s="360">
        <v>0</v>
      </c>
      <c r="AD507" s="360">
        <v>0</v>
      </c>
      <c r="AE507" s="360">
        <v>0</v>
      </c>
      <c r="AF507" s="360">
        <v>0</v>
      </c>
      <c r="AG507" s="360">
        <v>0</v>
      </c>
      <c r="AH507" s="360">
        <f t="shared" si="26"/>
        <v>808.45</v>
      </c>
      <c r="AI507" s="362">
        <f>ERP_5[[#This Row],[2026 Working Total]]-ERP_5[[#This Row],[LE2 Final Submission]]</f>
        <v>-2201.7600000000002</v>
      </c>
      <c r="AJ507" s="79">
        <v>0</v>
      </c>
      <c r="AK507" s="79">
        <f t="shared" si="25"/>
        <v>398.24</v>
      </c>
      <c r="AL507" s="374">
        <f>SUM(ERP_5[[#This Row],[AP01]:[AP06]])-SUM(ERP_5[[#This Row],[AP01 LE2]:[AP06 LE2]])</f>
        <v>-2201.7600000000002</v>
      </c>
      <c r="AM507" s="80"/>
      <c r="AN507" s="79">
        <f>ERP_5[[#This Row],[2026 Working Total to Budget/LE]]-ERP_5[[#This Row],[Giveback]]</f>
        <v>-2201.7600000000002</v>
      </c>
      <c r="AO507" s="81"/>
      <c r="AP507" s="375"/>
      <c r="AQ507" s="375"/>
      <c r="AR507" s="375">
        <v>410.21</v>
      </c>
      <c r="AS507" s="375">
        <v>2600</v>
      </c>
      <c r="AT507" s="375">
        <v>0</v>
      </c>
      <c r="AU507" s="375">
        <v>0</v>
      </c>
      <c r="AV507" s="375">
        <v>0</v>
      </c>
      <c r="AW507" s="375">
        <v>0</v>
      </c>
      <c r="AX507" s="375">
        <v>0</v>
      </c>
      <c r="AY507" s="375">
        <v>0</v>
      </c>
      <c r="AZ507" s="375">
        <v>0</v>
      </c>
      <c r="BA507" s="375">
        <v>0</v>
      </c>
      <c r="BB507" s="375">
        <v>3010.21</v>
      </c>
      <c r="BC507" s="79"/>
      <c r="BD507" s="79"/>
      <c r="BE507" s="79">
        <v>410.21</v>
      </c>
      <c r="BF507" s="79">
        <v>3000</v>
      </c>
      <c r="BG507" s="79">
        <v>0</v>
      </c>
      <c r="BH507" s="79">
        <v>0</v>
      </c>
      <c r="BI507" s="79">
        <v>0</v>
      </c>
      <c r="BJ507" s="79">
        <v>0</v>
      </c>
      <c r="BK507" s="79">
        <v>0</v>
      </c>
      <c r="BL507" s="79">
        <v>0</v>
      </c>
      <c r="BM507" s="79">
        <v>0</v>
      </c>
      <c r="BN507" s="79">
        <v>0</v>
      </c>
      <c r="BO507" s="79">
        <v>3410.21</v>
      </c>
    </row>
    <row r="508" spans="1:67" ht="15" customHeight="1">
      <c r="A508" s="66" t="s">
        <v>2726</v>
      </c>
      <c r="B508" s="66" t="s">
        <v>2727</v>
      </c>
      <c r="C508" s="150" t="s">
        <v>1136</v>
      </c>
      <c r="D508" s="150" t="s">
        <v>1345</v>
      </c>
      <c r="E508" s="150" t="s">
        <v>1481</v>
      </c>
      <c r="F508" s="150" t="s">
        <v>1346</v>
      </c>
      <c r="G508" s="511" t="s">
        <v>639</v>
      </c>
      <c r="H508" s="392" t="s">
        <v>818</v>
      </c>
      <c r="I508" s="343"/>
      <c r="J508" s="343"/>
      <c r="K508" s="70" t="s">
        <v>817</v>
      </c>
      <c r="L508" s="346"/>
      <c r="M508" s="346" t="s">
        <v>1140</v>
      </c>
      <c r="N508" s="346"/>
      <c r="O508" s="150" t="s">
        <v>818</v>
      </c>
      <c r="P508" s="473" t="s">
        <v>1513</v>
      </c>
      <c r="Q508" s="403"/>
      <c r="R508" s="406">
        <v>7176</v>
      </c>
      <c r="S508" s="406">
        <v>11702.54</v>
      </c>
      <c r="T508" s="425"/>
      <c r="U508" s="71"/>
      <c r="V508" s="426"/>
      <c r="W508" s="427"/>
      <c r="X508" s="427">
        <v>6320.54</v>
      </c>
      <c r="Y508" s="428">
        <v>0</v>
      </c>
      <c r="Z508" s="429">
        <v>0</v>
      </c>
      <c r="AA508" s="429">
        <v>0</v>
      </c>
      <c r="AB508" s="360">
        <v>0</v>
      </c>
      <c r="AC508" s="360">
        <v>0</v>
      </c>
      <c r="AD508" s="363">
        <v>1794</v>
      </c>
      <c r="AE508" s="360">
        <v>0</v>
      </c>
      <c r="AF508" s="363">
        <v>1794</v>
      </c>
      <c r="AG508" s="360">
        <v>0</v>
      </c>
      <c r="AH508" s="360">
        <f t="shared" si="26"/>
        <v>9908.5400000000009</v>
      </c>
      <c r="AI508" s="362">
        <f>ERP_5[[#This Row],[2026 Working Total]]-ERP_5[[#This Row],[LE2 Final Submission]]</f>
        <v>-1794</v>
      </c>
      <c r="AJ508" s="79">
        <v>0</v>
      </c>
      <c r="AK508" s="79">
        <f t="shared" si="25"/>
        <v>0</v>
      </c>
      <c r="AL508" s="374">
        <f>SUM(ERP_5[[#This Row],[AP01]:[AP06]])-SUM(ERP_5[[#This Row],[AP01 LE2]:[AP06 LE2]])</f>
        <v>-1794</v>
      </c>
      <c r="AM508" s="80"/>
      <c r="AN508" s="79">
        <f>ERP_5[[#This Row],[2026 Working Total to Budget/LE]]-ERP_5[[#This Row],[Giveback]]</f>
        <v>-1794</v>
      </c>
      <c r="AO508" s="81"/>
      <c r="AP508" s="375"/>
      <c r="AQ508" s="375"/>
      <c r="AR508" s="375">
        <v>6320.54</v>
      </c>
      <c r="AS508" s="375">
        <v>0</v>
      </c>
      <c r="AT508" s="375">
        <v>0</v>
      </c>
      <c r="AU508" s="375">
        <v>1794</v>
      </c>
      <c r="AV508" s="375">
        <v>0</v>
      </c>
      <c r="AW508" s="375">
        <v>0</v>
      </c>
      <c r="AX508" s="375">
        <v>1794</v>
      </c>
      <c r="AY508" s="375">
        <v>0</v>
      </c>
      <c r="AZ508" s="375">
        <v>1794</v>
      </c>
      <c r="BA508" s="375">
        <v>0</v>
      </c>
      <c r="BB508" s="375">
        <v>11702.54</v>
      </c>
      <c r="BC508" s="79"/>
      <c r="BD508" s="79"/>
      <c r="BE508" s="79">
        <v>6320.54</v>
      </c>
      <c r="BF508" s="79">
        <v>0</v>
      </c>
      <c r="BG508" s="79">
        <v>0</v>
      </c>
      <c r="BH508" s="79">
        <v>1794</v>
      </c>
      <c r="BI508" s="79">
        <v>0</v>
      </c>
      <c r="BJ508" s="79">
        <v>0</v>
      </c>
      <c r="BK508" s="79">
        <v>1794</v>
      </c>
      <c r="BL508" s="79">
        <v>0</v>
      </c>
      <c r="BM508" s="79">
        <v>1794</v>
      </c>
      <c r="BN508" s="79">
        <v>0</v>
      </c>
      <c r="BO508" s="79">
        <v>11702.54</v>
      </c>
    </row>
    <row r="509" spans="1:67" ht="15" customHeight="1">
      <c r="A509" s="66" t="s">
        <v>1422</v>
      </c>
      <c r="B509" s="66" t="s">
        <v>193</v>
      </c>
      <c r="C509" s="150" t="s">
        <v>1136</v>
      </c>
      <c r="D509" s="150" t="s">
        <v>1345</v>
      </c>
      <c r="E509" s="150" t="s">
        <v>1344</v>
      </c>
      <c r="F509" s="150" t="s">
        <v>1346</v>
      </c>
      <c r="G509" s="511" t="s">
        <v>49</v>
      </c>
      <c r="H509" s="392" t="s">
        <v>1423</v>
      </c>
      <c r="I509" s="343"/>
      <c r="J509" s="343"/>
      <c r="K509" s="70" t="s">
        <v>194</v>
      </c>
      <c r="L509" s="346"/>
      <c r="M509" s="343"/>
      <c r="N509" s="346"/>
      <c r="O509" s="150" t="s">
        <v>25</v>
      </c>
      <c r="P509" s="150"/>
      <c r="Q509" s="403"/>
      <c r="R509" s="406">
        <v>0</v>
      </c>
      <c r="S509" s="406">
        <v>3710</v>
      </c>
      <c r="T509" s="425"/>
      <c r="U509" s="71"/>
      <c r="V509" s="426"/>
      <c r="W509" s="427">
        <v>3710</v>
      </c>
      <c r="X509" s="431">
        <v>0</v>
      </c>
      <c r="Y509" s="428">
        <v>0</v>
      </c>
      <c r="Z509" s="429">
        <v>0</v>
      </c>
      <c r="AA509" s="429">
        <v>0</v>
      </c>
      <c r="AB509" s="360">
        <v>0</v>
      </c>
      <c r="AC509" s="360">
        <v>0</v>
      </c>
      <c r="AD509" s="360">
        <v>0</v>
      </c>
      <c r="AE509" s="360">
        <v>0</v>
      </c>
      <c r="AF509" s="360">
        <v>0</v>
      </c>
      <c r="AG509" s="360">
        <v>0</v>
      </c>
      <c r="AH509" s="360">
        <f t="shared" si="26"/>
        <v>3710</v>
      </c>
      <c r="AI509" s="362">
        <f>ERP_5[[#This Row],[2026 Working Total]]-ERP_5[[#This Row],[LE2 Final Submission]]</f>
        <v>0</v>
      </c>
      <c r="AJ509" s="79">
        <v>0</v>
      </c>
      <c r="AK509" s="79">
        <f t="shared" si="25"/>
        <v>0</v>
      </c>
      <c r="AL509" s="374">
        <f>SUM(ERP_5[[#This Row],[AP01]:[AP06]])-SUM(ERP_5[[#This Row],[AP01 LE2]:[AP06 LE2]])</f>
        <v>0</v>
      </c>
      <c r="AM509" s="80"/>
      <c r="AN509" s="79">
        <f>ERP_5[[#This Row],[2026 Working Total to Budget/LE]]-ERP_5[[#This Row],[Giveback]]</f>
        <v>0</v>
      </c>
      <c r="AO509" s="155" t="s">
        <v>1424</v>
      </c>
      <c r="AP509" s="375"/>
      <c r="AQ509" s="375">
        <v>3710</v>
      </c>
      <c r="AR509" s="375">
        <v>0</v>
      </c>
      <c r="AS509" s="375">
        <v>0</v>
      </c>
      <c r="AT509" s="375">
        <v>0</v>
      </c>
      <c r="AU509" s="375">
        <v>0</v>
      </c>
      <c r="AV509" s="375">
        <v>0</v>
      </c>
      <c r="AW509" s="375">
        <v>0</v>
      </c>
      <c r="AX509" s="375">
        <v>0</v>
      </c>
      <c r="AY509" s="375">
        <v>0</v>
      </c>
      <c r="AZ509" s="375">
        <v>0</v>
      </c>
      <c r="BA509" s="375">
        <v>0</v>
      </c>
      <c r="BB509" s="375">
        <v>3710</v>
      </c>
      <c r="BC509" s="79"/>
      <c r="BD509" s="79">
        <v>3710</v>
      </c>
      <c r="BE509" s="79">
        <v>0</v>
      </c>
      <c r="BF509" s="79">
        <v>0</v>
      </c>
      <c r="BG509" s="79">
        <v>0</v>
      </c>
      <c r="BH509" s="79">
        <v>0</v>
      </c>
      <c r="BI509" s="79">
        <v>0</v>
      </c>
      <c r="BJ509" s="79">
        <v>0</v>
      </c>
      <c r="BK509" s="79">
        <v>0</v>
      </c>
      <c r="BL509" s="79">
        <v>0</v>
      </c>
      <c r="BM509" s="79">
        <v>0</v>
      </c>
      <c r="BN509" s="79">
        <v>0</v>
      </c>
      <c r="BO509" s="79">
        <v>3710</v>
      </c>
    </row>
    <row r="510" spans="1:67" ht="15" customHeight="1">
      <c r="A510" s="66" t="s">
        <v>2624</v>
      </c>
      <c r="B510" s="66" t="s">
        <v>916</v>
      </c>
      <c r="C510" s="150" t="s">
        <v>1136</v>
      </c>
      <c r="D510" s="150" t="s">
        <v>1345</v>
      </c>
      <c r="E510" s="150" t="s">
        <v>1344</v>
      </c>
      <c r="F510" s="150" t="s">
        <v>1346</v>
      </c>
      <c r="G510" s="511" t="s">
        <v>639</v>
      </c>
      <c r="H510" s="392" t="s">
        <v>1423</v>
      </c>
      <c r="I510" s="343"/>
      <c r="J510" s="343"/>
      <c r="K510" s="70" t="s">
        <v>194</v>
      </c>
      <c r="L510" s="346"/>
      <c r="M510" s="343"/>
      <c r="N510" s="346"/>
      <c r="O510" s="150" t="s">
        <v>25</v>
      </c>
      <c r="P510" s="150"/>
      <c r="Q510" s="403"/>
      <c r="R510" s="406">
        <v>21665.519999999993</v>
      </c>
      <c r="S510" s="406">
        <v>21665.52</v>
      </c>
      <c r="T510" s="425"/>
      <c r="U510" s="71"/>
      <c r="V510" s="426"/>
      <c r="W510" s="427"/>
      <c r="X510" s="427"/>
      <c r="Y510" s="428" t="s">
        <v>1142</v>
      </c>
      <c r="Z510" s="429">
        <v>0</v>
      </c>
      <c r="AA510" s="429">
        <v>0</v>
      </c>
      <c r="AB510" s="363"/>
      <c r="AC510" s="363"/>
      <c r="AD510" s="363"/>
      <c r="AE510" s="363">
        <v>21665.52</v>
      </c>
      <c r="AF510" s="363"/>
      <c r="AG510" s="363"/>
      <c r="AH510" s="360">
        <f t="shared" si="26"/>
        <v>21665.52</v>
      </c>
      <c r="AI510" s="362">
        <f>ERP_5[[#This Row],[2026 Working Total]]-ERP_5[[#This Row],[LE2 Final Submission]]</f>
        <v>0</v>
      </c>
      <c r="AJ510" s="79"/>
      <c r="AK510" s="79">
        <f t="shared" si="25"/>
        <v>0</v>
      </c>
      <c r="AL510" s="374">
        <f>SUM(ERP_5[[#This Row],[AP01]:[AP06]])-SUM(ERP_5[[#This Row],[AP01 LE2]:[AP06 LE2]])</f>
        <v>0</v>
      </c>
      <c r="AM510" s="80"/>
      <c r="AN510" s="79">
        <f>ERP_5[[#This Row],[2026 Working Total to Budget/LE]]-ERP_5[[#This Row],[Giveback]]</f>
        <v>0</v>
      </c>
      <c r="AO510" s="81" t="s">
        <v>1423</v>
      </c>
      <c r="AP510" s="375"/>
      <c r="AQ510" s="375"/>
      <c r="AR510" s="375"/>
      <c r="AS510" s="375"/>
      <c r="AT510" s="375"/>
      <c r="AU510" s="375"/>
      <c r="AV510" s="375"/>
      <c r="AW510" s="375"/>
      <c r="AX510" s="375"/>
      <c r="AY510" s="375">
        <v>21665.52</v>
      </c>
      <c r="AZ510" s="375"/>
      <c r="BA510" s="375"/>
      <c r="BB510" s="375">
        <v>21665.52</v>
      </c>
      <c r="BC510" s="79"/>
      <c r="BD510" s="79"/>
      <c r="BE510" s="79"/>
      <c r="BF510" s="79">
        <v>1805.46</v>
      </c>
      <c r="BG510" s="79">
        <v>1805.46</v>
      </c>
      <c r="BH510" s="79">
        <v>1805.46</v>
      </c>
      <c r="BI510" s="79">
        <v>1805.46</v>
      </c>
      <c r="BJ510" s="79">
        <v>1805.46</v>
      </c>
      <c r="BK510" s="79">
        <v>1805.46</v>
      </c>
      <c r="BL510" s="79">
        <v>1805.46</v>
      </c>
      <c r="BM510" s="79">
        <v>1805.46</v>
      </c>
      <c r="BN510" s="79">
        <v>1805.46</v>
      </c>
      <c r="BO510" s="79">
        <v>16249.139999999996</v>
      </c>
    </row>
    <row r="511" spans="1:67" ht="15" customHeight="1">
      <c r="A511" s="66" t="s">
        <v>2475</v>
      </c>
      <c r="B511" s="66" t="s">
        <v>2476</v>
      </c>
      <c r="C511" s="150" t="s">
        <v>1136</v>
      </c>
      <c r="D511" s="150" t="s">
        <v>1135</v>
      </c>
      <c r="E511" s="150" t="s">
        <v>1156</v>
      </c>
      <c r="F511" s="150" t="s">
        <v>1137</v>
      </c>
      <c r="G511" s="511" t="s">
        <v>639</v>
      </c>
      <c r="H511" s="392" t="s">
        <v>818</v>
      </c>
      <c r="I511" s="343"/>
      <c r="J511" s="343"/>
      <c r="K511" s="70" t="s">
        <v>817</v>
      </c>
      <c r="L511" s="346"/>
      <c r="M511" s="346" t="s">
        <v>1140</v>
      </c>
      <c r="N511" s="346"/>
      <c r="O511" s="150" t="s">
        <v>818</v>
      </c>
      <c r="P511" s="150" t="s">
        <v>2477</v>
      </c>
      <c r="Q511" s="403"/>
      <c r="R511" s="406">
        <v>2800</v>
      </c>
      <c r="S511" s="406">
        <v>11294.74</v>
      </c>
      <c r="T511" s="425"/>
      <c r="U511" s="71"/>
      <c r="V511" s="426"/>
      <c r="W511" s="427"/>
      <c r="X511" s="427">
        <v>3116.74</v>
      </c>
      <c r="Y511" s="428">
        <v>0</v>
      </c>
      <c r="Z511" s="429">
        <v>0</v>
      </c>
      <c r="AA511" s="429">
        <v>2380</v>
      </c>
      <c r="AB511" s="360">
        <v>0</v>
      </c>
      <c r="AC511" s="360">
        <v>0</v>
      </c>
      <c r="AD511" s="363">
        <v>2726</v>
      </c>
      <c r="AE511" s="360">
        <v>0</v>
      </c>
      <c r="AF511" s="363">
        <v>2726</v>
      </c>
      <c r="AG511" s="360">
        <v>0</v>
      </c>
      <c r="AH511" s="360">
        <f t="shared" si="26"/>
        <v>10948.74</v>
      </c>
      <c r="AI511" s="362">
        <f>ERP_5[[#This Row],[2026 Working Total]]-ERP_5[[#This Row],[LE2 Final Submission]]</f>
        <v>-346</v>
      </c>
      <c r="AJ511" s="79">
        <v>0</v>
      </c>
      <c r="AK511" s="79">
        <f t="shared" si="25"/>
        <v>2380</v>
      </c>
      <c r="AL511" s="374">
        <f>SUM(ERP_5[[#This Row],[AP01]:[AP06]])-SUM(ERP_5[[#This Row],[AP01 LE2]:[AP06 LE2]])</f>
        <v>-346</v>
      </c>
      <c r="AM511" s="80"/>
      <c r="AN511" s="79">
        <f>ERP_5[[#This Row],[2026 Working Total to Budget/LE]]-ERP_5[[#This Row],[Giveback]]</f>
        <v>-346</v>
      </c>
      <c r="AO511" s="81"/>
      <c r="AP511" s="375"/>
      <c r="AQ511" s="375"/>
      <c r="AR511" s="375">
        <v>3116.74</v>
      </c>
      <c r="AS511" s="375">
        <v>0</v>
      </c>
      <c r="AT511" s="375">
        <v>0</v>
      </c>
      <c r="AU511" s="375">
        <v>2726</v>
      </c>
      <c r="AV511" s="375">
        <v>0</v>
      </c>
      <c r="AW511" s="375">
        <v>0</v>
      </c>
      <c r="AX511" s="375">
        <v>2726</v>
      </c>
      <c r="AY511" s="375">
        <v>0</v>
      </c>
      <c r="AZ511" s="375">
        <v>2726</v>
      </c>
      <c r="BA511" s="375">
        <v>0</v>
      </c>
      <c r="BB511" s="375">
        <v>11294.74</v>
      </c>
      <c r="BC511" s="79"/>
      <c r="BD511" s="79"/>
      <c r="BE511" s="79">
        <v>3116.74</v>
      </c>
      <c r="BF511" s="79">
        <v>0</v>
      </c>
      <c r="BG511" s="79">
        <v>0</v>
      </c>
      <c r="BH511" s="79">
        <v>700</v>
      </c>
      <c r="BI511" s="79">
        <v>0</v>
      </c>
      <c r="BJ511" s="79">
        <v>0</v>
      </c>
      <c r="BK511" s="79">
        <v>700</v>
      </c>
      <c r="BL511" s="79">
        <v>0</v>
      </c>
      <c r="BM511" s="79">
        <v>700</v>
      </c>
      <c r="BN511" s="79">
        <v>0</v>
      </c>
      <c r="BO511" s="79">
        <v>5216.74</v>
      </c>
    </row>
    <row r="512" spans="1:67" ht="15" customHeight="1">
      <c r="A512" s="66" t="s">
        <v>2796</v>
      </c>
      <c r="B512" s="66" t="s">
        <v>2797</v>
      </c>
      <c r="C512" s="150" t="s">
        <v>1136</v>
      </c>
      <c r="D512" s="150" t="s">
        <v>1345</v>
      </c>
      <c r="E512" s="150" t="s">
        <v>1346</v>
      </c>
      <c r="F512" s="150" t="s">
        <v>1346</v>
      </c>
      <c r="G512" s="511" t="s">
        <v>639</v>
      </c>
      <c r="H512" s="392" t="s">
        <v>2798</v>
      </c>
      <c r="I512" s="343"/>
      <c r="J512" s="343"/>
      <c r="K512" s="70" t="s">
        <v>1008</v>
      </c>
      <c r="L512" s="346"/>
      <c r="M512" s="343"/>
      <c r="N512" s="346"/>
      <c r="O512" s="150" t="s">
        <v>57</v>
      </c>
      <c r="P512" s="150"/>
      <c r="Q512" s="403"/>
      <c r="R512" s="406">
        <v>3348</v>
      </c>
      <c r="S512" s="406">
        <v>2511</v>
      </c>
      <c r="T512" s="430"/>
      <c r="U512" s="137"/>
      <c r="V512" s="426"/>
      <c r="W512" s="427"/>
      <c r="X512" s="427"/>
      <c r="Y512" s="428" t="s">
        <v>1142</v>
      </c>
      <c r="Z512" s="429">
        <v>0</v>
      </c>
      <c r="AA512" s="429">
        <v>0</v>
      </c>
      <c r="AB512" s="363">
        <v>279</v>
      </c>
      <c r="AC512" s="363">
        <v>279</v>
      </c>
      <c r="AD512" s="363">
        <v>279</v>
      </c>
      <c r="AE512" s="363">
        <v>279</v>
      </c>
      <c r="AF512" s="363">
        <v>279</v>
      </c>
      <c r="AG512" s="363">
        <v>279</v>
      </c>
      <c r="AH512" s="360">
        <f t="shared" si="26"/>
        <v>1674</v>
      </c>
      <c r="AI512" s="362">
        <f>ERP_5[[#This Row],[2026 Working Total]]-ERP_5[[#This Row],[LE2 Final Submission]]</f>
        <v>-837</v>
      </c>
      <c r="AJ512" s="79">
        <v>279</v>
      </c>
      <c r="AK512" s="79">
        <f t="shared" si="25"/>
        <v>-279</v>
      </c>
      <c r="AL512" s="374">
        <f>SUM(ERP_5[[#This Row],[AP01]:[AP06]])-SUM(ERP_5[[#This Row],[AP01 LE2]:[AP06 LE2]])</f>
        <v>-837</v>
      </c>
      <c r="AM512" s="80"/>
      <c r="AN512" s="79">
        <f>ERP_5[[#This Row],[2026 Working Total to Budget/LE]]-ERP_5[[#This Row],[Giveback]]</f>
        <v>-837</v>
      </c>
      <c r="AO512" s="81"/>
      <c r="AP512" s="375"/>
      <c r="AQ512" s="375"/>
      <c r="AR512" s="375"/>
      <c r="AS512" s="375">
        <v>279</v>
      </c>
      <c r="AT512" s="375">
        <v>279</v>
      </c>
      <c r="AU512" s="375">
        <v>279</v>
      </c>
      <c r="AV512" s="375">
        <v>279</v>
      </c>
      <c r="AW512" s="375">
        <v>279</v>
      </c>
      <c r="AX512" s="375">
        <v>279</v>
      </c>
      <c r="AY512" s="375">
        <v>279</v>
      </c>
      <c r="AZ512" s="375">
        <v>279</v>
      </c>
      <c r="BA512" s="375">
        <v>279</v>
      </c>
      <c r="BB512" s="375">
        <v>2511</v>
      </c>
      <c r="BC512" s="79"/>
      <c r="BD512" s="79"/>
      <c r="BE512" s="79"/>
      <c r="BF512" s="79">
        <v>279</v>
      </c>
      <c r="BG512" s="79">
        <v>279</v>
      </c>
      <c r="BH512" s="79">
        <v>279</v>
      </c>
      <c r="BI512" s="79">
        <v>279</v>
      </c>
      <c r="BJ512" s="79">
        <v>279</v>
      </c>
      <c r="BK512" s="79">
        <v>279</v>
      </c>
      <c r="BL512" s="79">
        <v>279</v>
      </c>
      <c r="BM512" s="79">
        <v>279</v>
      </c>
      <c r="BN512" s="79">
        <v>279</v>
      </c>
      <c r="BO512" s="79">
        <v>2511</v>
      </c>
    </row>
    <row r="513" spans="1:67" ht="15" customHeight="1">
      <c r="A513" s="79" t="s">
        <v>2625</v>
      </c>
      <c r="B513" s="296" t="s">
        <v>917</v>
      </c>
      <c r="C513" s="150" t="s">
        <v>1136</v>
      </c>
      <c r="D513" s="332" t="s">
        <v>1345</v>
      </c>
      <c r="E513" s="383" t="s">
        <v>1344</v>
      </c>
      <c r="F513" s="331" t="s">
        <v>1346</v>
      </c>
      <c r="G513" s="512" t="s">
        <v>639</v>
      </c>
      <c r="H513" s="393" t="s">
        <v>2626</v>
      </c>
      <c r="I513" s="343"/>
      <c r="J513" s="331"/>
      <c r="K513" s="91" t="s">
        <v>918</v>
      </c>
      <c r="L513" s="343"/>
      <c r="M513" s="343"/>
      <c r="N513" s="348"/>
      <c r="O513" s="386" t="s">
        <v>25</v>
      </c>
      <c r="P513" s="387" t="s">
        <v>1348</v>
      </c>
      <c r="Q513" s="432"/>
      <c r="R513" s="358">
        <v>65000</v>
      </c>
      <c r="S513" s="378">
        <v>0</v>
      </c>
      <c r="T513" s="425"/>
      <c r="U513" s="71"/>
      <c r="V513" s="433"/>
      <c r="W513" s="434"/>
      <c r="X513" s="434"/>
      <c r="Y513" s="428" t="s">
        <v>1142</v>
      </c>
      <c r="Z513" s="429">
        <v>0</v>
      </c>
      <c r="AA513" s="429">
        <v>0</v>
      </c>
      <c r="AB513" s="388">
        <v>0</v>
      </c>
      <c r="AC513" s="388">
        <v>0</v>
      </c>
      <c r="AD513" s="388">
        <v>0</v>
      </c>
      <c r="AE513" s="388">
        <v>65000</v>
      </c>
      <c r="AF513" s="388">
        <v>0</v>
      </c>
      <c r="AG513" s="388">
        <v>0</v>
      </c>
      <c r="AH513" s="360">
        <f t="shared" si="26"/>
        <v>65000</v>
      </c>
      <c r="AI513" s="362">
        <f>ERP_5[[#This Row],[2026 Working Total]]-ERP_5[[#This Row],[LE2 Final Submission]]</f>
        <v>65000</v>
      </c>
      <c r="AJ513" s="79">
        <v>0</v>
      </c>
      <c r="AK513" s="79">
        <f t="shared" si="25"/>
        <v>0</v>
      </c>
      <c r="AL513" s="374">
        <f>SUM(ERP_5[[#This Row],[AP01]:[AP06]])-SUM(ERP_5[[#This Row],[AP01 LE2]:[AP06 LE2]])</f>
        <v>0</v>
      </c>
      <c r="AM513" s="80"/>
      <c r="AN513" s="79">
        <f>ERP_5[[#This Row],[2026 Working Total to Budget/LE]]-ERP_5[[#This Row],[Giveback]]</f>
        <v>65000</v>
      </c>
      <c r="AO513" s="81"/>
      <c r="AP513" s="375"/>
      <c r="AQ513" s="375"/>
      <c r="AR513" s="375"/>
      <c r="AS513" s="375">
        <v>0</v>
      </c>
      <c r="AT513" s="375">
        <v>0</v>
      </c>
      <c r="AU513" s="375">
        <v>0</v>
      </c>
      <c r="AV513" s="375">
        <v>0</v>
      </c>
      <c r="AW513" s="375">
        <v>0</v>
      </c>
      <c r="AX513" s="375">
        <v>0</v>
      </c>
      <c r="AY513" s="375">
        <v>0</v>
      </c>
      <c r="AZ513" s="375">
        <v>0</v>
      </c>
      <c r="BA513" s="375">
        <v>0</v>
      </c>
      <c r="BB513" s="375">
        <v>0</v>
      </c>
      <c r="BC513" s="103">
        <v>0</v>
      </c>
      <c r="BD513" s="103">
        <v>0</v>
      </c>
      <c r="BE513" s="103">
        <v>65000</v>
      </c>
      <c r="BF513" s="103">
        <v>0</v>
      </c>
      <c r="BG513" s="103">
        <v>0</v>
      </c>
      <c r="BH513" s="103">
        <v>0</v>
      </c>
      <c r="BI513" s="103">
        <v>0</v>
      </c>
      <c r="BJ513" s="103">
        <v>0</v>
      </c>
      <c r="BK513" s="103">
        <v>0</v>
      </c>
      <c r="BL513" s="103">
        <v>0</v>
      </c>
      <c r="BM513" s="103">
        <v>0</v>
      </c>
      <c r="BN513" s="103">
        <v>0</v>
      </c>
      <c r="BO513" s="79">
        <f>SUM(ERP_5[[#This Row],[2026 AP01]:[2026 AP12]])</f>
        <v>65000</v>
      </c>
    </row>
    <row r="514" spans="1:67" ht="15" customHeight="1">
      <c r="A514" s="66" t="s">
        <v>2478</v>
      </c>
      <c r="B514" s="66" t="s">
        <v>2479</v>
      </c>
      <c r="C514" s="150" t="s">
        <v>1136</v>
      </c>
      <c r="D514" s="150" t="s">
        <v>1135</v>
      </c>
      <c r="E514" s="150" t="s">
        <v>1161</v>
      </c>
      <c r="F514" s="150" t="s">
        <v>1137</v>
      </c>
      <c r="G514" s="511" t="s">
        <v>639</v>
      </c>
      <c r="H514" s="392" t="s">
        <v>818</v>
      </c>
      <c r="I514" s="343"/>
      <c r="J514" s="343"/>
      <c r="K514" s="70" t="s">
        <v>817</v>
      </c>
      <c r="L514" s="346"/>
      <c r="M514" s="346" t="s">
        <v>1140</v>
      </c>
      <c r="N514" s="346"/>
      <c r="O514" s="150" t="s">
        <v>818</v>
      </c>
      <c r="P514" s="150"/>
      <c r="Q514" s="403"/>
      <c r="R514" s="406">
        <v>800</v>
      </c>
      <c r="S514" s="406">
        <v>4147.87</v>
      </c>
      <c r="T514" s="425"/>
      <c r="U514" s="71"/>
      <c r="V514" s="426"/>
      <c r="W514" s="427"/>
      <c r="X514" s="427">
        <v>3547.87</v>
      </c>
      <c r="Y514" s="428">
        <v>0</v>
      </c>
      <c r="Z514" s="429">
        <v>0</v>
      </c>
      <c r="AA514" s="429">
        <v>3172.87</v>
      </c>
      <c r="AB514" s="360">
        <v>0</v>
      </c>
      <c r="AC514" s="360">
        <v>0</v>
      </c>
      <c r="AD514" s="363">
        <v>200</v>
      </c>
      <c r="AE514" s="360">
        <v>0</v>
      </c>
      <c r="AF514" s="363">
        <v>200</v>
      </c>
      <c r="AG514" s="360">
        <v>0</v>
      </c>
      <c r="AH514" s="360">
        <f t="shared" si="26"/>
        <v>7120.74</v>
      </c>
      <c r="AI514" s="362">
        <f>ERP_5[[#This Row],[2026 Working Total]]-ERP_5[[#This Row],[LE2 Final Submission]]</f>
        <v>2972.87</v>
      </c>
      <c r="AJ514" s="79">
        <v>0</v>
      </c>
      <c r="AK514" s="79">
        <f t="shared" si="25"/>
        <v>3172.87</v>
      </c>
      <c r="AL514" s="374">
        <f>SUM(ERP_5[[#This Row],[AP01]:[AP06]])-SUM(ERP_5[[#This Row],[AP01 LE2]:[AP06 LE2]])</f>
        <v>2972.87</v>
      </c>
      <c r="AM514" s="80"/>
      <c r="AN514" s="79">
        <f>ERP_5[[#This Row],[2026 Working Total to Budget/LE]]-ERP_5[[#This Row],[Giveback]]</f>
        <v>2972.87</v>
      </c>
      <c r="AO514" s="81"/>
      <c r="AP514" s="375"/>
      <c r="AQ514" s="375"/>
      <c r="AR514" s="375">
        <v>3547.87</v>
      </c>
      <c r="AS514" s="375">
        <v>0</v>
      </c>
      <c r="AT514" s="375">
        <v>0</v>
      </c>
      <c r="AU514" s="375">
        <v>200</v>
      </c>
      <c r="AV514" s="375">
        <v>0</v>
      </c>
      <c r="AW514" s="375">
        <v>0</v>
      </c>
      <c r="AX514" s="375">
        <v>200</v>
      </c>
      <c r="AY514" s="375">
        <v>0</v>
      </c>
      <c r="AZ514" s="375">
        <v>200</v>
      </c>
      <c r="BA514" s="375">
        <v>0</v>
      </c>
      <c r="BB514" s="375">
        <v>4147.87</v>
      </c>
      <c r="BC514" s="79"/>
      <c r="BD514" s="79"/>
      <c r="BE514" s="79">
        <v>3547.87</v>
      </c>
      <c r="BF514" s="79">
        <v>0</v>
      </c>
      <c r="BG514" s="79">
        <v>0</v>
      </c>
      <c r="BH514" s="79">
        <v>200</v>
      </c>
      <c r="BI514" s="79">
        <v>0</v>
      </c>
      <c r="BJ514" s="79">
        <v>0</v>
      </c>
      <c r="BK514" s="79">
        <v>200</v>
      </c>
      <c r="BL514" s="79">
        <v>0</v>
      </c>
      <c r="BM514" s="79">
        <v>200</v>
      </c>
      <c r="BN514" s="79">
        <v>0</v>
      </c>
      <c r="BO514" s="79">
        <v>4147.87</v>
      </c>
    </row>
    <row r="515" spans="1:67" ht="15" customHeight="1">
      <c r="A515" s="66" t="s">
        <v>2480</v>
      </c>
      <c r="B515" s="66" t="s">
        <v>2481</v>
      </c>
      <c r="C515" s="150" t="s">
        <v>1136</v>
      </c>
      <c r="D515" s="150" t="s">
        <v>1135</v>
      </c>
      <c r="E515" s="150" t="s">
        <v>1165</v>
      </c>
      <c r="F515" s="150" t="s">
        <v>1137</v>
      </c>
      <c r="G515" s="511" t="s">
        <v>639</v>
      </c>
      <c r="H515" s="392" t="s">
        <v>818</v>
      </c>
      <c r="I515" s="343"/>
      <c r="J515" s="343"/>
      <c r="K515" s="70" t="s">
        <v>817</v>
      </c>
      <c r="L515" s="346"/>
      <c r="M515" s="346" t="s">
        <v>1140</v>
      </c>
      <c r="N515" s="346"/>
      <c r="O515" s="150" t="s">
        <v>818</v>
      </c>
      <c r="P515" s="150"/>
      <c r="Q515" s="403"/>
      <c r="R515" s="406">
        <v>12119.24</v>
      </c>
      <c r="S515" s="406">
        <v>21230.870000000003</v>
      </c>
      <c r="T515" s="425"/>
      <c r="U515" s="71"/>
      <c r="V515" s="426"/>
      <c r="W515" s="427"/>
      <c r="X515" s="427">
        <v>12141.44</v>
      </c>
      <c r="Y515" s="428">
        <v>0</v>
      </c>
      <c r="Z515" s="429">
        <v>0</v>
      </c>
      <c r="AA515" s="429">
        <v>10504.75</v>
      </c>
      <c r="AB515" s="360">
        <v>0</v>
      </c>
      <c r="AC515" s="360">
        <v>0</v>
      </c>
      <c r="AD515" s="363">
        <v>3029.81</v>
      </c>
      <c r="AE515" s="360">
        <v>0</v>
      </c>
      <c r="AF515" s="363">
        <v>3029.81</v>
      </c>
      <c r="AG515" s="360">
        <v>0</v>
      </c>
      <c r="AH515" s="360">
        <f t="shared" si="26"/>
        <v>28705.810000000005</v>
      </c>
      <c r="AI515" s="362">
        <f>ERP_5[[#This Row],[2026 Working Total]]-ERP_5[[#This Row],[LE2 Final Submission]]</f>
        <v>7474.9400000000023</v>
      </c>
      <c r="AJ515" s="79">
        <v>0</v>
      </c>
      <c r="AK515" s="79">
        <f t="shared" si="25"/>
        <v>10504.75</v>
      </c>
      <c r="AL515" s="374">
        <f>SUM(ERP_5[[#This Row],[AP01]:[AP06]])-SUM(ERP_5[[#This Row],[AP01 LE2]:[AP06 LE2]])</f>
        <v>7474.9400000000023</v>
      </c>
      <c r="AM515" s="80"/>
      <c r="AN515" s="79">
        <f>ERP_5[[#This Row],[2026 Working Total to Budget/LE]]-ERP_5[[#This Row],[Giveback]]</f>
        <v>7474.9400000000023</v>
      </c>
      <c r="AO515" s="81"/>
      <c r="AP515" s="375"/>
      <c r="AQ515" s="375"/>
      <c r="AR515" s="375">
        <v>12141.44</v>
      </c>
      <c r="AS515" s="375">
        <v>0</v>
      </c>
      <c r="AT515" s="375">
        <v>0</v>
      </c>
      <c r="AU515" s="375">
        <v>3029.81</v>
      </c>
      <c r="AV515" s="375">
        <v>0</v>
      </c>
      <c r="AW515" s="375">
        <v>0</v>
      </c>
      <c r="AX515" s="375">
        <v>3029.81</v>
      </c>
      <c r="AY515" s="375">
        <v>0</v>
      </c>
      <c r="AZ515" s="375">
        <v>3029.81</v>
      </c>
      <c r="BA515" s="375">
        <v>0</v>
      </c>
      <c r="BB515" s="375">
        <v>21230.870000000003</v>
      </c>
      <c r="BC515" s="79"/>
      <c r="BD515" s="79"/>
      <c r="BE515" s="79">
        <v>12141.44</v>
      </c>
      <c r="BF515" s="79">
        <v>0</v>
      </c>
      <c r="BG515" s="79">
        <v>0</v>
      </c>
      <c r="BH515" s="79">
        <v>3029.81</v>
      </c>
      <c r="BI515" s="79">
        <v>0</v>
      </c>
      <c r="BJ515" s="79">
        <v>0</v>
      </c>
      <c r="BK515" s="79">
        <v>3029.81</v>
      </c>
      <c r="BL515" s="79">
        <v>0</v>
      </c>
      <c r="BM515" s="79">
        <v>3029.81</v>
      </c>
      <c r="BN515" s="79">
        <v>0</v>
      </c>
      <c r="BO515" s="79">
        <v>21230.870000000003</v>
      </c>
    </row>
    <row r="516" spans="1:67" ht="15" customHeight="1">
      <c r="A516" s="66" t="s">
        <v>2482</v>
      </c>
      <c r="B516" s="66" t="s">
        <v>819</v>
      </c>
      <c r="C516" s="150" t="s">
        <v>1136</v>
      </c>
      <c r="D516" s="150" t="s">
        <v>1135</v>
      </c>
      <c r="E516" s="150" t="s">
        <v>1135</v>
      </c>
      <c r="F516" s="150" t="s">
        <v>1137</v>
      </c>
      <c r="G516" s="511" t="s">
        <v>639</v>
      </c>
      <c r="H516" s="396" t="s">
        <v>2483</v>
      </c>
      <c r="I516" s="343" t="s">
        <v>2484</v>
      </c>
      <c r="J516" s="346" t="s">
        <v>1171</v>
      </c>
      <c r="K516" s="70" t="s">
        <v>820</v>
      </c>
      <c r="L516" s="346"/>
      <c r="M516" s="346" t="s">
        <v>1187</v>
      </c>
      <c r="N516" s="346"/>
      <c r="O516" s="385" t="s">
        <v>821</v>
      </c>
      <c r="P516" s="184" t="s">
        <v>2485</v>
      </c>
      <c r="Q516" s="403"/>
      <c r="R516" s="406">
        <v>280976</v>
      </c>
      <c r="S516" s="406">
        <v>290275.11</v>
      </c>
      <c r="T516" s="425"/>
      <c r="U516" s="71"/>
      <c r="V516" s="426"/>
      <c r="W516" s="427"/>
      <c r="X516" s="427"/>
      <c r="Y516" s="428" t="s">
        <v>1142</v>
      </c>
      <c r="Z516" s="429">
        <v>390539.25000000006</v>
      </c>
      <c r="AA516" s="429">
        <v>-88688.920000000013</v>
      </c>
      <c r="AB516" s="360"/>
      <c r="AC516" s="360">
        <v>0</v>
      </c>
      <c r="AD516" s="360">
        <v>0</v>
      </c>
      <c r="AE516" s="360">
        <v>0</v>
      </c>
      <c r="AF516" s="360">
        <v>0</v>
      </c>
      <c r="AG516" s="360">
        <v>0</v>
      </c>
      <c r="AH516" s="360">
        <f t="shared" si="26"/>
        <v>301850.33000000007</v>
      </c>
      <c r="AI516" s="362">
        <f>ERP_5[[#This Row],[2026 Working Total]]-ERP_5[[#This Row],[LE2 Final Submission]]</f>
        <v>11575.220000000088</v>
      </c>
      <c r="AJ516" s="79">
        <v>290275.11</v>
      </c>
      <c r="AK516" s="79">
        <f t="shared" si="25"/>
        <v>-378964.03</v>
      </c>
      <c r="AL516" s="374">
        <f>SUM(ERP_5[[#This Row],[AP01]:[AP06]])-SUM(ERP_5[[#This Row],[AP01 LE2]:[AP06 LE2]])</f>
        <v>11575.220000000088</v>
      </c>
      <c r="AM516" s="80"/>
      <c r="AN516" s="79">
        <f>ERP_5[[#This Row],[2026 Working Total to Budget/LE]]-ERP_5[[#This Row],[Giveback]]</f>
        <v>11575.220000000088</v>
      </c>
      <c r="AO516" s="81"/>
      <c r="AP516" s="375"/>
      <c r="AQ516" s="375"/>
      <c r="AR516" s="375"/>
      <c r="AS516" s="375"/>
      <c r="AT516" s="375">
        <v>290275.11</v>
      </c>
      <c r="AU516" s="375">
        <v>0</v>
      </c>
      <c r="AV516" s="375">
        <v>0</v>
      </c>
      <c r="AW516" s="375">
        <v>0</v>
      </c>
      <c r="AX516" s="375">
        <v>0</v>
      </c>
      <c r="AY516" s="375">
        <v>0</v>
      </c>
      <c r="AZ516" s="375">
        <v>0</v>
      </c>
      <c r="BA516" s="375">
        <v>0</v>
      </c>
      <c r="BB516" s="375">
        <v>290275.11</v>
      </c>
      <c r="BC516" s="79"/>
      <c r="BD516" s="79"/>
      <c r="BE516" s="79"/>
      <c r="BF516" s="79"/>
      <c r="BG516" s="79">
        <v>280976</v>
      </c>
      <c r="BH516" s="79">
        <v>0</v>
      </c>
      <c r="BI516" s="79">
        <v>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280976</v>
      </c>
    </row>
    <row r="517" spans="1:67" ht="15" customHeight="1">
      <c r="A517" s="66" t="s">
        <v>2486</v>
      </c>
      <c r="B517" s="66" t="s">
        <v>822</v>
      </c>
      <c r="C517" s="150" t="s">
        <v>1136</v>
      </c>
      <c r="D517" s="150" t="s">
        <v>1135</v>
      </c>
      <c r="E517" s="150" t="s">
        <v>1135</v>
      </c>
      <c r="F517" s="150" t="s">
        <v>1137</v>
      </c>
      <c r="G517" s="511" t="s">
        <v>639</v>
      </c>
      <c r="H517" s="392" t="s">
        <v>2487</v>
      </c>
      <c r="I517" s="343"/>
      <c r="J517" s="343"/>
      <c r="K517" s="70" t="s">
        <v>823</v>
      </c>
      <c r="L517" s="346"/>
      <c r="M517" s="343"/>
      <c r="N517" s="346"/>
      <c r="O517" s="150" t="s">
        <v>605</v>
      </c>
      <c r="P517" s="150"/>
      <c r="Q517" s="403"/>
      <c r="R517" s="406">
        <v>849804</v>
      </c>
      <c r="S517" s="406">
        <v>637353</v>
      </c>
      <c r="T517" s="430"/>
      <c r="U517" s="137"/>
      <c r="V517" s="426"/>
      <c r="W517" s="427"/>
      <c r="X517" s="427">
        <v>-212451</v>
      </c>
      <c r="Y517" s="428">
        <v>0</v>
      </c>
      <c r="Z517" s="429">
        <v>0</v>
      </c>
      <c r="AA517" s="429">
        <v>0</v>
      </c>
      <c r="AB517" s="360">
        <v>0</v>
      </c>
      <c r="AC517" s="360">
        <v>0</v>
      </c>
      <c r="AD517" s="363">
        <v>849804</v>
      </c>
      <c r="AE517" s="360">
        <v>0</v>
      </c>
      <c r="AF517" s="360">
        <v>0</v>
      </c>
      <c r="AG517" s="360">
        <v>0</v>
      </c>
      <c r="AH517" s="360">
        <f t="shared" si="26"/>
        <v>637353</v>
      </c>
      <c r="AI517" s="362">
        <f>ERP_5[[#This Row],[2026 Working Total]]-ERP_5[[#This Row],[LE2 Final Submission]]</f>
        <v>0</v>
      </c>
      <c r="AJ517" s="79">
        <v>0</v>
      </c>
      <c r="AK517" s="79">
        <f t="shared" si="25"/>
        <v>0</v>
      </c>
      <c r="AL517" s="374">
        <f>SUM(ERP_5[[#This Row],[AP01]:[AP06]])-SUM(ERP_5[[#This Row],[AP01 LE2]:[AP06 LE2]])</f>
        <v>0</v>
      </c>
      <c r="AM517" s="80"/>
      <c r="AN517" s="79">
        <f>ERP_5[[#This Row],[2026 Working Total to Budget/LE]]-ERP_5[[#This Row],[Giveback]]</f>
        <v>0</v>
      </c>
      <c r="AO517" s="81"/>
      <c r="AP517" s="375"/>
      <c r="AQ517" s="375"/>
      <c r="AR517" s="375">
        <v>-212451</v>
      </c>
      <c r="AS517" s="375">
        <v>0</v>
      </c>
      <c r="AT517" s="375">
        <v>0</v>
      </c>
      <c r="AU517" s="375">
        <v>0</v>
      </c>
      <c r="AV517" s="375">
        <v>0</v>
      </c>
      <c r="AW517" s="375">
        <v>0</v>
      </c>
      <c r="AX517" s="375">
        <v>849804</v>
      </c>
      <c r="AY517" s="375">
        <v>0</v>
      </c>
      <c r="AZ517" s="375">
        <v>0</v>
      </c>
      <c r="BA517" s="375">
        <v>0</v>
      </c>
      <c r="BB517" s="375">
        <v>637353</v>
      </c>
      <c r="BC517" s="79"/>
      <c r="BD517" s="79"/>
      <c r="BE517" s="79">
        <v>-212451</v>
      </c>
      <c r="BF517" s="79">
        <v>0</v>
      </c>
      <c r="BG517" s="79">
        <v>0</v>
      </c>
      <c r="BH517" s="79">
        <v>0</v>
      </c>
      <c r="BI517" s="79">
        <v>0</v>
      </c>
      <c r="BJ517" s="79">
        <v>0</v>
      </c>
      <c r="BK517" s="79">
        <v>849804</v>
      </c>
      <c r="BL517" s="79">
        <v>0</v>
      </c>
      <c r="BM517" s="79">
        <v>0</v>
      </c>
      <c r="BN517" s="79">
        <v>0</v>
      </c>
      <c r="BO517" s="79">
        <v>637353</v>
      </c>
    </row>
    <row r="518" spans="1:67" ht="15" customHeight="1">
      <c r="A518" s="79" t="s">
        <v>2488</v>
      </c>
      <c r="B518" s="296" t="s">
        <v>824</v>
      </c>
      <c r="C518" s="150" t="s">
        <v>1136</v>
      </c>
      <c r="D518" s="332" t="s">
        <v>1135</v>
      </c>
      <c r="E518" s="383" t="s">
        <v>1135</v>
      </c>
      <c r="F518" s="331" t="s">
        <v>1137</v>
      </c>
      <c r="G518" s="512" t="s">
        <v>639</v>
      </c>
      <c r="H518" s="393" t="s">
        <v>2489</v>
      </c>
      <c r="I518" s="343" t="s">
        <v>2484</v>
      </c>
      <c r="J518" s="150" t="s">
        <v>1171</v>
      </c>
      <c r="K518" s="91" t="s">
        <v>825</v>
      </c>
      <c r="L518" s="343"/>
      <c r="M518" s="346" t="s">
        <v>2490</v>
      </c>
      <c r="N518" s="346" t="s">
        <v>1710</v>
      </c>
      <c r="O518" s="386" t="s">
        <v>826</v>
      </c>
      <c r="P518" s="346" t="s">
        <v>1348</v>
      </c>
      <c r="Q518" s="437"/>
      <c r="R518" s="358">
        <v>44842</v>
      </c>
      <c r="S518" s="378">
        <v>0</v>
      </c>
      <c r="T518" s="425"/>
      <c r="U518" s="71"/>
      <c r="V518" s="433"/>
      <c r="W518" s="434"/>
      <c r="X518" s="434"/>
      <c r="Y518" s="428">
        <v>0</v>
      </c>
      <c r="Z518" s="429">
        <v>0</v>
      </c>
      <c r="AA518" s="429">
        <v>0</v>
      </c>
      <c r="AB518" s="388">
        <v>0</v>
      </c>
      <c r="AC518" s="388">
        <v>0</v>
      </c>
      <c r="AD518" s="388">
        <v>0</v>
      </c>
      <c r="AE518" s="388">
        <v>0</v>
      </c>
      <c r="AF518" s="388">
        <v>0</v>
      </c>
      <c r="AG518" s="388">
        <v>0</v>
      </c>
      <c r="AH518" s="360">
        <f t="shared" si="26"/>
        <v>0</v>
      </c>
      <c r="AI518" s="362">
        <f>ERP_5[[#This Row],[2026 Working Total]]-ERP_5[[#This Row],[LE2 Final Submission]]</f>
        <v>0</v>
      </c>
      <c r="AJ518" s="79">
        <v>0</v>
      </c>
      <c r="AK518" s="79">
        <f t="shared" si="25"/>
        <v>0</v>
      </c>
      <c r="AL518" s="374">
        <f>SUM(ERP_5[[#This Row],[AP01]:[AP06]])-SUM(ERP_5[[#This Row],[AP01 LE2]:[AP06 LE2]])</f>
        <v>0</v>
      </c>
      <c r="AM518" s="80"/>
      <c r="AN518" s="79">
        <f>ERP_5[[#This Row],[2026 Working Total to Budget/LE]]-ERP_5[[#This Row],[Giveback]]</f>
        <v>0</v>
      </c>
      <c r="AO518" s="81"/>
      <c r="AP518" s="375"/>
      <c r="AQ518" s="375"/>
      <c r="AR518" s="375"/>
      <c r="AS518" s="375">
        <v>0</v>
      </c>
      <c r="AT518" s="375">
        <v>0</v>
      </c>
      <c r="AU518" s="375">
        <v>0</v>
      </c>
      <c r="AV518" s="375">
        <v>0</v>
      </c>
      <c r="AW518" s="375">
        <v>0</v>
      </c>
      <c r="AX518" s="375">
        <v>0</v>
      </c>
      <c r="AY518" s="375">
        <v>0</v>
      </c>
      <c r="AZ518" s="375">
        <v>0</v>
      </c>
      <c r="BA518" s="375">
        <v>0</v>
      </c>
      <c r="BB518" s="375">
        <v>0</v>
      </c>
      <c r="BC518" s="103">
        <v>44842</v>
      </c>
      <c r="BD518" s="103">
        <v>0</v>
      </c>
      <c r="BE518" s="103">
        <v>0</v>
      </c>
      <c r="BF518" s="103">
        <v>0</v>
      </c>
      <c r="BG518" s="103">
        <v>0</v>
      </c>
      <c r="BH518" s="103">
        <v>0</v>
      </c>
      <c r="BI518" s="103">
        <v>0</v>
      </c>
      <c r="BJ518" s="103">
        <v>0</v>
      </c>
      <c r="BK518" s="103">
        <v>0</v>
      </c>
      <c r="BL518" s="103">
        <v>0</v>
      </c>
      <c r="BM518" s="103">
        <v>0</v>
      </c>
      <c r="BN518" s="103">
        <v>0</v>
      </c>
      <c r="BO518" s="79">
        <f>SUM(ERP_5[[#This Row],[2026 AP01]:[2026 AP12]])</f>
        <v>44842</v>
      </c>
    </row>
    <row r="519" spans="1:67" ht="15" customHeight="1">
      <c r="A519" s="79" t="s">
        <v>2491</v>
      </c>
      <c r="B519" s="296" t="s">
        <v>827</v>
      </c>
      <c r="C519" s="150" t="s">
        <v>1136</v>
      </c>
      <c r="D519" s="332" t="s">
        <v>1135</v>
      </c>
      <c r="E519" s="383" t="s">
        <v>1135</v>
      </c>
      <c r="F519" s="331" t="s">
        <v>1137</v>
      </c>
      <c r="G519" s="512" t="s">
        <v>639</v>
      </c>
      <c r="H519" s="393" t="s">
        <v>2492</v>
      </c>
      <c r="I519" s="343" t="s">
        <v>2484</v>
      </c>
      <c r="J519" s="150" t="s">
        <v>1171</v>
      </c>
      <c r="K519" s="91" t="s">
        <v>828</v>
      </c>
      <c r="L519" s="343"/>
      <c r="M519" s="346" t="s">
        <v>2490</v>
      </c>
      <c r="N519" s="346" t="s">
        <v>1710</v>
      </c>
      <c r="O519" s="386" t="s">
        <v>826</v>
      </c>
      <c r="P519" s="346" t="s">
        <v>1348</v>
      </c>
      <c r="Q519" s="437"/>
      <c r="R519" s="358">
        <v>-44842</v>
      </c>
      <c r="S519" s="378">
        <v>0</v>
      </c>
      <c r="T519" s="425"/>
      <c r="U519" s="71"/>
      <c r="V519" s="433"/>
      <c r="W519" s="434"/>
      <c r="X519" s="434"/>
      <c r="Y519" s="428" t="s">
        <v>1142</v>
      </c>
      <c r="Z519" s="429">
        <v>0</v>
      </c>
      <c r="AA519" s="429">
        <v>0</v>
      </c>
      <c r="AB519" s="388">
        <v>0</v>
      </c>
      <c r="AC519" s="388">
        <v>0</v>
      </c>
      <c r="AD519" s="388">
        <v>0</v>
      </c>
      <c r="AE519" s="388">
        <v>0</v>
      </c>
      <c r="AF519" s="388">
        <v>0</v>
      </c>
      <c r="AG519" s="388">
        <v>0</v>
      </c>
      <c r="AH519" s="360">
        <f t="shared" si="26"/>
        <v>0</v>
      </c>
      <c r="AI519" s="362">
        <f>ERP_5[[#This Row],[2026 Working Total]]-ERP_5[[#This Row],[LE2 Final Submission]]</f>
        <v>0</v>
      </c>
      <c r="AJ519" s="79">
        <v>0</v>
      </c>
      <c r="AK519" s="79">
        <f t="shared" si="25"/>
        <v>0</v>
      </c>
      <c r="AL519" s="374">
        <f>SUM(ERP_5[[#This Row],[AP01]:[AP06]])-SUM(ERP_5[[#This Row],[AP01 LE2]:[AP06 LE2]])</f>
        <v>0</v>
      </c>
      <c r="AM519" s="80"/>
      <c r="AN519" s="79">
        <f>ERP_5[[#This Row],[2026 Working Total to Budget/LE]]-ERP_5[[#This Row],[Giveback]]</f>
        <v>0</v>
      </c>
      <c r="AO519" s="81"/>
      <c r="AP519" s="375"/>
      <c r="AQ519" s="375"/>
      <c r="AR519" s="375"/>
      <c r="AS519" s="375">
        <v>0</v>
      </c>
      <c r="AT519" s="375">
        <v>0</v>
      </c>
      <c r="AU519" s="375">
        <v>0</v>
      </c>
      <c r="AV519" s="375">
        <v>0</v>
      </c>
      <c r="AW519" s="375">
        <v>0</v>
      </c>
      <c r="AX519" s="375">
        <v>0</v>
      </c>
      <c r="AY519" s="375">
        <v>0</v>
      </c>
      <c r="AZ519" s="375">
        <v>0</v>
      </c>
      <c r="BA519" s="375">
        <v>0</v>
      </c>
      <c r="BB519" s="375">
        <v>0</v>
      </c>
      <c r="BC519" s="103">
        <v>-44842</v>
      </c>
      <c r="BD519" s="103">
        <v>0</v>
      </c>
      <c r="BE519" s="103">
        <v>0</v>
      </c>
      <c r="BF519" s="103">
        <v>0</v>
      </c>
      <c r="BG519" s="103">
        <v>0</v>
      </c>
      <c r="BH519" s="103">
        <v>0</v>
      </c>
      <c r="BI519" s="103">
        <v>0</v>
      </c>
      <c r="BJ519" s="103">
        <v>0</v>
      </c>
      <c r="BK519" s="103">
        <v>0</v>
      </c>
      <c r="BL519" s="103">
        <v>0</v>
      </c>
      <c r="BM519" s="103">
        <v>0</v>
      </c>
      <c r="BN519" s="103">
        <v>0</v>
      </c>
      <c r="BO519" s="79">
        <f>SUM(ERP_5[[#This Row],[2026 AP01]:[2026 AP12]])</f>
        <v>-44842</v>
      </c>
    </row>
    <row r="520" spans="1:67" ht="15" customHeight="1">
      <c r="A520" s="79" t="s">
        <v>2493</v>
      </c>
      <c r="B520" s="296" t="s">
        <v>829</v>
      </c>
      <c r="C520" s="150" t="s">
        <v>1136</v>
      </c>
      <c r="D520" s="332" t="s">
        <v>1135</v>
      </c>
      <c r="E520" s="383" t="s">
        <v>1135</v>
      </c>
      <c r="F520" s="331" t="s">
        <v>1137</v>
      </c>
      <c r="G520" s="512" t="s">
        <v>639</v>
      </c>
      <c r="H520" s="393" t="s">
        <v>2494</v>
      </c>
      <c r="I520" s="343" t="s">
        <v>2484</v>
      </c>
      <c r="J520" s="150" t="s">
        <v>1171</v>
      </c>
      <c r="K520" s="91" t="s">
        <v>830</v>
      </c>
      <c r="L520" s="343"/>
      <c r="M520" s="346" t="s">
        <v>2495</v>
      </c>
      <c r="N520" s="346" t="s">
        <v>1710</v>
      </c>
      <c r="O520" s="386" t="s">
        <v>826</v>
      </c>
      <c r="P520" s="346" t="s">
        <v>2496</v>
      </c>
      <c r="Q520" s="437"/>
      <c r="R520" s="358">
        <v>664963</v>
      </c>
      <c r="S520" s="378">
        <v>0</v>
      </c>
      <c r="T520" s="430"/>
      <c r="U520" s="137"/>
      <c r="V520" s="433"/>
      <c r="W520" s="434"/>
      <c r="X520" s="434"/>
      <c r="Y520" s="428" t="s">
        <v>1142</v>
      </c>
      <c r="Z520" s="429">
        <v>0</v>
      </c>
      <c r="AA520" s="429">
        <v>0</v>
      </c>
      <c r="AB520" s="388">
        <v>0</v>
      </c>
      <c r="AC520" s="388">
        <v>0</v>
      </c>
      <c r="AD520" s="388">
        <v>0</v>
      </c>
      <c r="AE520" s="388">
        <v>0</v>
      </c>
      <c r="AF520" s="388">
        <v>0</v>
      </c>
      <c r="AG520" s="388">
        <v>0</v>
      </c>
      <c r="AH520" s="360">
        <f t="shared" si="26"/>
        <v>0</v>
      </c>
      <c r="AI520" s="362">
        <f>ERP_5[[#This Row],[2026 Working Total]]-ERP_5[[#This Row],[LE2 Final Submission]]</f>
        <v>0</v>
      </c>
      <c r="AJ520" s="79">
        <v>0</v>
      </c>
      <c r="AK520" s="79">
        <f t="shared" ref="AK520:AK583" si="27">$AA520 - $AJ520</f>
        <v>0</v>
      </c>
      <c r="AL520" s="374">
        <f>SUM(ERP_5[[#This Row],[AP01]:[AP06]])-SUM(ERP_5[[#This Row],[AP01 LE2]:[AP06 LE2]])</f>
        <v>0</v>
      </c>
      <c r="AM520" s="80"/>
      <c r="AN520" s="79">
        <f>ERP_5[[#This Row],[2026 Working Total to Budget/LE]]-ERP_5[[#This Row],[Giveback]]</f>
        <v>0</v>
      </c>
      <c r="AO520" s="81"/>
      <c r="AP520" s="375"/>
      <c r="AQ520" s="375"/>
      <c r="AR520" s="375"/>
      <c r="AS520" s="375">
        <v>0</v>
      </c>
      <c r="AT520" s="375">
        <v>0</v>
      </c>
      <c r="AU520" s="375">
        <v>0</v>
      </c>
      <c r="AV520" s="375">
        <v>0</v>
      </c>
      <c r="AW520" s="375">
        <v>0</v>
      </c>
      <c r="AX520" s="375">
        <v>0</v>
      </c>
      <c r="AY520" s="375">
        <v>0</v>
      </c>
      <c r="AZ520" s="375">
        <v>0</v>
      </c>
      <c r="BA520" s="375">
        <v>0</v>
      </c>
      <c r="BB520" s="375">
        <v>0</v>
      </c>
      <c r="BC520" s="103">
        <v>664963</v>
      </c>
      <c r="BD520" s="103">
        <v>0</v>
      </c>
      <c r="BE520" s="103">
        <v>0</v>
      </c>
      <c r="BF520" s="103">
        <v>0</v>
      </c>
      <c r="BG520" s="103">
        <v>0</v>
      </c>
      <c r="BH520" s="103">
        <v>0</v>
      </c>
      <c r="BI520" s="103">
        <v>0</v>
      </c>
      <c r="BJ520" s="103">
        <v>0</v>
      </c>
      <c r="BK520" s="103">
        <v>0</v>
      </c>
      <c r="BL520" s="103">
        <v>0</v>
      </c>
      <c r="BM520" s="103">
        <v>0</v>
      </c>
      <c r="BN520" s="103">
        <v>0</v>
      </c>
      <c r="BO520" s="79">
        <f>SUM(ERP_5[[#This Row],[2026 AP01]:[2026 AP12]])</f>
        <v>664963</v>
      </c>
    </row>
    <row r="521" spans="1:67" ht="15" customHeight="1">
      <c r="A521" s="79" t="s">
        <v>2497</v>
      </c>
      <c r="B521" s="296" t="s">
        <v>831</v>
      </c>
      <c r="C521" s="150" t="s">
        <v>1136</v>
      </c>
      <c r="D521" s="332" t="s">
        <v>1135</v>
      </c>
      <c r="E521" s="382" t="s">
        <v>1135</v>
      </c>
      <c r="F521" s="331" t="s">
        <v>1137</v>
      </c>
      <c r="G521" s="512" t="s">
        <v>639</v>
      </c>
      <c r="H521" s="394" t="s">
        <v>2498</v>
      </c>
      <c r="I521" s="343" t="s">
        <v>2484</v>
      </c>
      <c r="J521" s="150" t="s">
        <v>1171</v>
      </c>
      <c r="K521" s="122" t="s">
        <v>832</v>
      </c>
      <c r="L521" s="343"/>
      <c r="M521" s="346" t="s">
        <v>2495</v>
      </c>
      <c r="N521" s="346" t="s">
        <v>1710</v>
      </c>
      <c r="O521" s="384" t="s">
        <v>826</v>
      </c>
      <c r="P521" s="346" t="s">
        <v>2499</v>
      </c>
      <c r="Q521" s="437"/>
      <c r="R521" s="358">
        <v>-664963</v>
      </c>
      <c r="S521" s="378">
        <v>0</v>
      </c>
      <c r="T521" s="425"/>
      <c r="U521" s="71"/>
      <c r="V521" s="433"/>
      <c r="W521" s="434"/>
      <c r="X521" s="434"/>
      <c r="Y521" s="428" t="s">
        <v>1142</v>
      </c>
      <c r="Z521" s="429">
        <v>0</v>
      </c>
      <c r="AA521" s="429">
        <v>0</v>
      </c>
      <c r="AB521" s="388">
        <v>0</v>
      </c>
      <c r="AC521" s="388">
        <v>0</v>
      </c>
      <c r="AD521" s="388">
        <v>0</v>
      </c>
      <c r="AE521" s="388">
        <v>0</v>
      </c>
      <c r="AF521" s="388">
        <v>0</v>
      </c>
      <c r="AG521" s="388">
        <v>0</v>
      </c>
      <c r="AH521" s="360">
        <f t="shared" si="26"/>
        <v>0</v>
      </c>
      <c r="AI521" s="362">
        <f>ERP_5[[#This Row],[2026 Working Total]]-ERP_5[[#This Row],[LE2 Final Submission]]</f>
        <v>0</v>
      </c>
      <c r="AJ521" s="79">
        <v>0</v>
      </c>
      <c r="AK521" s="79">
        <f t="shared" si="27"/>
        <v>0</v>
      </c>
      <c r="AL521" s="374">
        <f>SUM(ERP_5[[#This Row],[AP01]:[AP06]])-SUM(ERP_5[[#This Row],[AP01 LE2]:[AP06 LE2]])</f>
        <v>0</v>
      </c>
      <c r="AM521" s="80"/>
      <c r="AN521" s="79">
        <f>ERP_5[[#This Row],[2026 Working Total to Budget/LE]]-ERP_5[[#This Row],[Giveback]]</f>
        <v>0</v>
      </c>
      <c r="AO521" s="81"/>
      <c r="AP521" s="375"/>
      <c r="AQ521" s="375"/>
      <c r="AR521" s="375"/>
      <c r="AS521" s="375">
        <v>0</v>
      </c>
      <c r="AT521" s="375">
        <v>0</v>
      </c>
      <c r="AU521" s="375">
        <v>0</v>
      </c>
      <c r="AV521" s="375">
        <v>0</v>
      </c>
      <c r="AW521" s="375">
        <v>0</v>
      </c>
      <c r="AX521" s="375">
        <v>0</v>
      </c>
      <c r="AY521" s="375">
        <v>0</v>
      </c>
      <c r="AZ521" s="375">
        <v>0</v>
      </c>
      <c r="BA521" s="375">
        <v>0</v>
      </c>
      <c r="BB521" s="375">
        <v>0</v>
      </c>
      <c r="BC521" s="103">
        <v>-664963</v>
      </c>
      <c r="BD521" s="103">
        <v>0</v>
      </c>
      <c r="BE521" s="103">
        <v>0</v>
      </c>
      <c r="BF521" s="103">
        <v>0</v>
      </c>
      <c r="BG521" s="103">
        <v>0</v>
      </c>
      <c r="BH521" s="103">
        <v>0</v>
      </c>
      <c r="BI521" s="103">
        <v>0</v>
      </c>
      <c r="BJ521" s="103">
        <v>0</v>
      </c>
      <c r="BK521" s="103">
        <v>0</v>
      </c>
      <c r="BL521" s="103">
        <v>0</v>
      </c>
      <c r="BM521" s="103">
        <v>0</v>
      </c>
      <c r="BN521" s="103">
        <v>0</v>
      </c>
      <c r="BO521" s="79">
        <f>SUM(ERP_5[[#This Row],[2026 AP01]:[2026 AP12]])</f>
        <v>-664963</v>
      </c>
    </row>
    <row r="522" spans="1:67" ht="15" customHeight="1">
      <c r="A522" s="227" t="s">
        <v>2500</v>
      </c>
      <c r="B522" s="330" t="s">
        <v>833</v>
      </c>
      <c r="C522" s="150" t="s">
        <v>1136</v>
      </c>
      <c r="D522" s="336" t="s">
        <v>1135</v>
      </c>
      <c r="E522" s="338" t="s">
        <v>1135</v>
      </c>
      <c r="F522" s="335" t="s">
        <v>1137</v>
      </c>
      <c r="G522" s="517" t="s">
        <v>639</v>
      </c>
      <c r="H522" s="399" t="s">
        <v>2501</v>
      </c>
      <c r="I522" s="343" t="s">
        <v>2484</v>
      </c>
      <c r="J522" s="334" t="s">
        <v>1171</v>
      </c>
      <c r="K522" s="235" t="s">
        <v>834</v>
      </c>
      <c r="L522" s="344"/>
      <c r="M522" s="346" t="s">
        <v>2502</v>
      </c>
      <c r="N522" s="349" t="s">
        <v>1710</v>
      </c>
      <c r="O522" s="352" t="s">
        <v>826</v>
      </c>
      <c r="P522" s="355" t="s">
        <v>2496</v>
      </c>
      <c r="Q522" s="437"/>
      <c r="R522" s="358">
        <v>663273</v>
      </c>
      <c r="S522" s="378">
        <v>0</v>
      </c>
      <c r="T522" s="425"/>
      <c r="U522" s="71"/>
      <c r="V522" s="409"/>
      <c r="W522" s="411"/>
      <c r="X522" s="411"/>
      <c r="Y522" s="428">
        <v>0</v>
      </c>
      <c r="Z522" s="429">
        <v>0</v>
      </c>
      <c r="AA522" s="429">
        <v>0</v>
      </c>
      <c r="AB522" s="370">
        <v>0</v>
      </c>
      <c r="AC522" s="370">
        <v>0</v>
      </c>
      <c r="AD522" s="370">
        <v>0</v>
      </c>
      <c r="AE522" s="370">
        <v>0</v>
      </c>
      <c r="AF522" s="370">
        <v>0</v>
      </c>
      <c r="AG522" s="370">
        <v>0</v>
      </c>
      <c r="AH522" s="367">
        <f t="shared" si="26"/>
        <v>0</v>
      </c>
      <c r="AI522" s="362">
        <f>ERP_5[[#This Row],[2026 Working Total]]-ERP_5[[#This Row],[LE2 Final Submission]]</f>
        <v>0</v>
      </c>
      <c r="AJ522" s="227">
        <v>0</v>
      </c>
      <c r="AK522" s="227">
        <f t="shared" si="27"/>
        <v>0</v>
      </c>
      <c r="AL522" s="374">
        <f>SUM(ERP_5[[#This Row],[AP01]:[AP06]])-SUM(ERP_5[[#This Row],[AP01 LE2]:[AP06 LE2]])</f>
        <v>0</v>
      </c>
      <c r="AM522" s="80"/>
      <c r="AN522" s="79">
        <f>ERP_5[[#This Row],[2026 Working Total to Budget/LE]]-ERP_5[[#This Row],[Giveback]]</f>
        <v>0</v>
      </c>
      <c r="AO522" s="81"/>
      <c r="AP522" s="375"/>
      <c r="AQ522" s="375"/>
      <c r="AR522" s="375"/>
      <c r="AS522" s="375">
        <v>0</v>
      </c>
      <c r="AT522" s="375">
        <v>0</v>
      </c>
      <c r="AU522" s="375">
        <v>0</v>
      </c>
      <c r="AV522" s="375">
        <v>0</v>
      </c>
      <c r="AW522" s="375">
        <v>0</v>
      </c>
      <c r="AX522" s="375">
        <v>0</v>
      </c>
      <c r="AY522" s="375">
        <v>0</v>
      </c>
      <c r="AZ522" s="375">
        <v>0</v>
      </c>
      <c r="BA522" s="375">
        <v>0</v>
      </c>
      <c r="BB522" s="375">
        <v>0</v>
      </c>
      <c r="BC522" s="246">
        <v>663273</v>
      </c>
      <c r="BD522" s="246">
        <v>0</v>
      </c>
      <c r="BE522" s="246">
        <v>0</v>
      </c>
      <c r="BF522" s="246">
        <v>0</v>
      </c>
      <c r="BG522" s="246">
        <v>0</v>
      </c>
      <c r="BH522" s="246">
        <v>0</v>
      </c>
      <c r="BI522" s="246">
        <v>0</v>
      </c>
      <c r="BJ522" s="246">
        <v>0</v>
      </c>
      <c r="BK522" s="246">
        <v>0</v>
      </c>
      <c r="BL522" s="246">
        <v>0</v>
      </c>
      <c r="BM522" s="246">
        <v>0</v>
      </c>
      <c r="BN522" s="246">
        <v>0</v>
      </c>
      <c r="BO522" s="227">
        <f>SUM(ERP_5[[#This Row],[2026 AP01]:[2026 AP12]])</f>
        <v>663273</v>
      </c>
    </row>
    <row r="523" spans="1:67" ht="15" customHeight="1">
      <c r="A523" s="227" t="s">
        <v>2503</v>
      </c>
      <c r="B523" s="330" t="s">
        <v>835</v>
      </c>
      <c r="C523" s="150" t="s">
        <v>1136</v>
      </c>
      <c r="D523" s="336" t="s">
        <v>1135</v>
      </c>
      <c r="E523" s="337" t="s">
        <v>1135</v>
      </c>
      <c r="F523" s="335" t="s">
        <v>1137</v>
      </c>
      <c r="G523" s="517" t="s">
        <v>639</v>
      </c>
      <c r="H523" s="397" t="s">
        <v>2504</v>
      </c>
      <c r="I523" s="343" t="s">
        <v>2484</v>
      </c>
      <c r="J523" s="334" t="s">
        <v>1171</v>
      </c>
      <c r="K523" s="253" t="s">
        <v>836</v>
      </c>
      <c r="L523" s="344"/>
      <c r="M523" s="346" t="s">
        <v>2502</v>
      </c>
      <c r="N523" s="349" t="s">
        <v>1710</v>
      </c>
      <c r="O523" s="350" t="s">
        <v>826</v>
      </c>
      <c r="P523" s="355" t="s">
        <v>2499</v>
      </c>
      <c r="Q523" s="437"/>
      <c r="R523" s="358">
        <v>-663273</v>
      </c>
      <c r="S523" s="378">
        <v>0</v>
      </c>
      <c r="T523" s="430"/>
      <c r="U523" s="137"/>
      <c r="V523" s="409"/>
      <c r="W523" s="411"/>
      <c r="X523" s="411"/>
      <c r="Y523" s="428" t="s">
        <v>1142</v>
      </c>
      <c r="Z523" s="429">
        <v>0</v>
      </c>
      <c r="AA523" s="429">
        <v>0</v>
      </c>
      <c r="AB523" s="370">
        <v>0</v>
      </c>
      <c r="AC523" s="370">
        <v>0</v>
      </c>
      <c r="AD523" s="370">
        <v>0</v>
      </c>
      <c r="AE523" s="370">
        <v>0</v>
      </c>
      <c r="AF523" s="370">
        <v>0</v>
      </c>
      <c r="AG523" s="370">
        <v>0</v>
      </c>
      <c r="AH523" s="367">
        <f t="shared" si="26"/>
        <v>0</v>
      </c>
      <c r="AI523" s="362">
        <f>ERP_5[[#This Row],[2026 Working Total]]-ERP_5[[#This Row],[LE2 Final Submission]]</f>
        <v>0</v>
      </c>
      <c r="AJ523" s="227">
        <v>0</v>
      </c>
      <c r="AK523" s="227">
        <f t="shared" si="27"/>
        <v>0</v>
      </c>
      <c r="AL523" s="374">
        <f>SUM(ERP_5[[#This Row],[AP01]:[AP06]])-SUM(ERP_5[[#This Row],[AP01 LE2]:[AP06 LE2]])</f>
        <v>0</v>
      </c>
      <c r="AM523" s="80"/>
      <c r="AN523" s="79">
        <f>ERP_5[[#This Row],[2026 Working Total to Budget/LE]]-ERP_5[[#This Row],[Giveback]]</f>
        <v>0</v>
      </c>
      <c r="AO523" s="81"/>
      <c r="AP523" s="375"/>
      <c r="AQ523" s="375"/>
      <c r="AR523" s="375"/>
      <c r="AS523" s="375">
        <v>0</v>
      </c>
      <c r="AT523" s="375">
        <v>0</v>
      </c>
      <c r="AU523" s="375">
        <v>0</v>
      </c>
      <c r="AV523" s="375">
        <v>0</v>
      </c>
      <c r="AW523" s="375">
        <v>0</v>
      </c>
      <c r="AX523" s="375">
        <v>0</v>
      </c>
      <c r="AY523" s="375">
        <v>0</v>
      </c>
      <c r="AZ523" s="375">
        <v>0</v>
      </c>
      <c r="BA523" s="375">
        <v>0</v>
      </c>
      <c r="BB523" s="375">
        <v>0</v>
      </c>
      <c r="BC523" s="246">
        <v>-663273</v>
      </c>
      <c r="BD523" s="246">
        <v>0</v>
      </c>
      <c r="BE523" s="246">
        <v>0</v>
      </c>
      <c r="BF523" s="246">
        <v>0</v>
      </c>
      <c r="BG523" s="246">
        <v>0</v>
      </c>
      <c r="BH523" s="246">
        <v>0</v>
      </c>
      <c r="BI523" s="246">
        <v>0</v>
      </c>
      <c r="BJ523" s="246">
        <v>0</v>
      </c>
      <c r="BK523" s="246">
        <v>0</v>
      </c>
      <c r="BL523" s="246">
        <v>0</v>
      </c>
      <c r="BM523" s="246">
        <v>0</v>
      </c>
      <c r="BN523" s="246">
        <v>0</v>
      </c>
      <c r="BO523" s="227">
        <f>SUM(ERP_5[[#This Row],[2026 AP01]:[2026 AP12]])</f>
        <v>-663273</v>
      </c>
    </row>
    <row r="524" spans="1:67" ht="15" customHeight="1">
      <c r="A524" s="215" t="s">
        <v>2505</v>
      </c>
      <c r="B524" s="215" t="s">
        <v>837</v>
      </c>
      <c r="C524" s="150" t="s">
        <v>1136</v>
      </c>
      <c r="D524" s="334" t="s">
        <v>1135</v>
      </c>
      <c r="E524" s="334" t="s">
        <v>1135</v>
      </c>
      <c r="F524" s="334" t="s">
        <v>1137</v>
      </c>
      <c r="G524" s="516" t="s">
        <v>639</v>
      </c>
      <c r="H524" s="398" t="s">
        <v>2506</v>
      </c>
      <c r="I524" s="343"/>
      <c r="J524" s="344"/>
      <c r="K524" s="219" t="s">
        <v>838</v>
      </c>
      <c r="L524" s="346"/>
      <c r="M524" s="343"/>
      <c r="N524" s="349"/>
      <c r="O524" s="334" t="s">
        <v>605</v>
      </c>
      <c r="P524" s="354"/>
      <c r="Q524" s="403"/>
      <c r="R524" s="406">
        <v>107212</v>
      </c>
      <c r="S524" s="406">
        <v>107212</v>
      </c>
      <c r="T524" s="425"/>
      <c r="U524" s="71"/>
      <c r="V524" s="408"/>
      <c r="W524" s="410"/>
      <c r="X524" s="410"/>
      <c r="Y524" s="428" t="s">
        <v>1142</v>
      </c>
      <c r="Z524" s="429">
        <v>0</v>
      </c>
      <c r="AA524" s="429">
        <v>0</v>
      </c>
      <c r="AB524" s="368">
        <v>0</v>
      </c>
      <c r="AC524" s="368">
        <v>0</v>
      </c>
      <c r="AD524" s="368">
        <v>0</v>
      </c>
      <c r="AE524" s="368">
        <v>0</v>
      </c>
      <c r="AF524" s="368">
        <v>0</v>
      </c>
      <c r="AG524" s="368">
        <v>0</v>
      </c>
      <c r="AH524" s="367">
        <f t="shared" ref="AH524:AH587" si="28">SUM(V524:AG524)</f>
        <v>0</v>
      </c>
      <c r="AI524" s="362">
        <f>ERP_5[[#This Row],[2026 Working Total]]-ERP_5[[#This Row],[LE2 Final Submission]]</f>
        <v>-107212</v>
      </c>
      <c r="AJ524" s="227">
        <v>107212</v>
      </c>
      <c r="AK524" s="227">
        <f t="shared" si="27"/>
        <v>-107212</v>
      </c>
      <c r="AL524" s="374">
        <f>SUM(ERP_5[[#This Row],[AP01]:[AP06]])-SUM(ERP_5[[#This Row],[AP01 LE2]:[AP06 LE2]])</f>
        <v>-107212</v>
      </c>
      <c r="AM524" s="80"/>
      <c r="AN524" s="79">
        <f>ERP_5[[#This Row],[2026 Working Total to Budget/LE]]-ERP_5[[#This Row],[Giveback]]</f>
        <v>-107212</v>
      </c>
      <c r="AO524" s="81"/>
      <c r="AP524" s="375"/>
      <c r="AQ524" s="375"/>
      <c r="AR524" s="375"/>
      <c r="AS524" s="375"/>
      <c r="AT524" s="375">
        <v>107212</v>
      </c>
      <c r="AU524" s="375">
        <v>0</v>
      </c>
      <c r="AV524" s="375">
        <v>0</v>
      </c>
      <c r="AW524" s="375">
        <v>0</v>
      </c>
      <c r="AX524" s="375">
        <v>0</v>
      </c>
      <c r="AY524" s="375">
        <v>0</v>
      </c>
      <c r="AZ524" s="375">
        <v>0</v>
      </c>
      <c r="BA524" s="375">
        <v>0</v>
      </c>
      <c r="BB524" s="375">
        <v>107212</v>
      </c>
      <c r="BC524" s="227"/>
      <c r="BD524" s="227"/>
      <c r="BE524" s="227"/>
      <c r="BF524" s="227"/>
      <c r="BG524" s="227">
        <v>107212</v>
      </c>
      <c r="BH524" s="227">
        <v>0</v>
      </c>
      <c r="BI524" s="227">
        <v>0</v>
      </c>
      <c r="BJ524" s="227">
        <v>0</v>
      </c>
      <c r="BK524" s="227">
        <v>0</v>
      </c>
      <c r="BL524" s="227">
        <v>0</v>
      </c>
      <c r="BM524" s="227">
        <v>0</v>
      </c>
      <c r="BN524" s="227">
        <v>0</v>
      </c>
      <c r="BO524" s="227">
        <v>107212</v>
      </c>
    </row>
    <row r="525" spans="1:67" ht="15" customHeight="1">
      <c r="A525" s="215" t="s">
        <v>2507</v>
      </c>
      <c r="B525" s="215" t="s">
        <v>839</v>
      </c>
      <c r="C525" s="150" t="s">
        <v>1136</v>
      </c>
      <c r="D525" s="334" t="s">
        <v>1135</v>
      </c>
      <c r="E525" s="334" t="s">
        <v>1135</v>
      </c>
      <c r="F525" s="334" t="s">
        <v>1137</v>
      </c>
      <c r="G525" s="516" t="s">
        <v>639</v>
      </c>
      <c r="H525" s="398" t="s">
        <v>2508</v>
      </c>
      <c r="I525" s="343" t="s">
        <v>1231</v>
      </c>
      <c r="J525" s="349" t="s">
        <v>1171</v>
      </c>
      <c r="K525" s="219" t="s">
        <v>840</v>
      </c>
      <c r="L525" s="346"/>
      <c r="M525" s="346" t="s">
        <v>2509</v>
      </c>
      <c r="N525" s="349"/>
      <c r="O525" s="334" t="s">
        <v>605</v>
      </c>
      <c r="P525" s="354" t="s">
        <v>2340</v>
      </c>
      <c r="Q525" s="403"/>
      <c r="R525" s="406">
        <v>1155056.04</v>
      </c>
      <c r="S525" s="406">
        <v>1155043.3</v>
      </c>
      <c r="T525" s="425"/>
      <c r="U525" s="71"/>
      <c r="V525" s="408">
        <v>1155005.0900000001</v>
      </c>
      <c r="W525" s="410">
        <v>-962504.24</v>
      </c>
      <c r="X525" s="410">
        <v>96250.42</v>
      </c>
      <c r="Y525" s="428">
        <v>0</v>
      </c>
      <c r="Z525" s="429">
        <v>192500.84</v>
      </c>
      <c r="AA525" s="429">
        <v>96250.42</v>
      </c>
      <c r="AB525" s="369">
        <f>96254.67-96254.67</f>
        <v>0</v>
      </c>
      <c r="AC525" s="369">
        <f>96254.67+96254.67</f>
        <v>192509.34</v>
      </c>
      <c r="AD525" s="369">
        <v>96254.67</v>
      </c>
      <c r="AE525" s="369">
        <f>96254.67-96254.67</f>
        <v>0</v>
      </c>
      <c r="AF525" s="369">
        <f>96254.67+96254.67</f>
        <v>192509.34</v>
      </c>
      <c r="AG525" s="369">
        <v>96254.67</v>
      </c>
      <c r="AH525" s="367">
        <f t="shared" si="28"/>
        <v>1155030.55</v>
      </c>
      <c r="AI525" s="362">
        <f>ERP_5[[#This Row],[2026 Working Total]]-ERP_5[[#This Row],[LE2 Final Submission]]</f>
        <v>-12.75</v>
      </c>
      <c r="AJ525" s="227">
        <v>192509.34</v>
      </c>
      <c r="AK525" s="227">
        <f t="shared" si="27"/>
        <v>-96258.92</v>
      </c>
      <c r="AL525" s="374">
        <f>SUM(ERP_5[[#This Row],[AP01]:[AP06]])-SUM(ERP_5[[#This Row],[AP01 LE2]:[AP06 LE2]])</f>
        <v>-12.75</v>
      </c>
      <c r="AM525" s="80"/>
      <c r="AN525" s="79">
        <f>ERP_5[[#This Row],[2026 Working Total to Budget/LE]]-ERP_5[[#This Row],[Giveback]]</f>
        <v>-12.75</v>
      </c>
      <c r="AO525" s="81"/>
      <c r="AP525" s="375">
        <v>1155005.0900000001</v>
      </c>
      <c r="AQ525" s="375">
        <v>-962504.24</v>
      </c>
      <c r="AR525" s="375">
        <v>96250.42</v>
      </c>
      <c r="AS525" s="375">
        <v>0</v>
      </c>
      <c r="AT525" s="375">
        <v>192509.34</v>
      </c>
      <c r="AU525" s="375">
        <v>96254.67</v>
      </c>
      <c r="AV525" s="375">
        <v>0</v>
      </c>
      <c r="AW525" s="375">
        <v>192509.34</v>
      </c>
      <c r="AX525" s="375">
        <v>96254.67</v>
      </c>
      <c r="AY525" s="375">
        <v>0</v>
      </c>
      <c r="AZ525" s="375">
        <v>192509.34</v>
      </c>
      <c r="BA525" s="375">
        <v>96254.67</v>
      </c>
      <c r="BB525" s="375">
        <v>1155043.3</v>
      </c>
      <c r="BC525" s="227">
        <v>1155005.0900000001</v>
      </c>
      <c r="BD525" s="227">
        <v>-962504.24</v>
      </c>
      <c r="BE525" s="227">
        <v>96250.42</v>
      </c>
      <c r="BF525" s="227">
        <v>96254.67</v>
      </c>
      <c r="BG525" s="227">
        <v>96254.67</v>
      </c>
      <c r="BH525" s="227">
        <v>96254.67</v>
      </c>
      <c r="BI525" s="227">
        <v>96254.67</v>
      </c>
      <c r="BJ525" s="227">
        <v>96254.67</v>
      </c>
      <c r="BK525" s="227">
        <v>96254.67</v>
      </c>
      <c r="BL525" s="227">
        <v>96254.67</v>
      </c>
      <c r="BM525" s="227">
        <v>96254.67</v>
      </c>
      <c r="BN525" s="227">
        <v>96254.67</v>
      </c>
      <c r="BO525" s="227">
        <v>1155043.3</v>
      </c>
    </row>
    <row r="526" spans="1:67" ht="15" customHeight="1">
      <c r="A526" s="215" t="s">
        <v>2510</v>
      </c>
      <c r="B526" s="215" t="s">
        <v>841</v>
      </c>
      <c r="C526" s="150" t="s">
        <v>1136</v>
      </c>
      <c r="D526" s="334" t="s">
        <v>1135</v>
      </c>
      <c r="E526" s="334" t="s">
        <v>1135</v>
      </c>
      <c r="F526" s="334" t="s">
        <v>1137</v>
      </c>
      <c r="G526" s="516" t="s">
        <v>639</v>
      </c>
      <c r="H526" s="398" t="s">
        <v>2511</v>
      </c>
      <c r="I526" s="343" t="s">
        <v>1231</v>
      </c>
      <c r="J526" s="349" t="s">
        <v>1171</v>
      </c>
      <c r="K526" s="219" t="s">
        <v>842</v>
      </c>
      <c r="L526" s="349"/>
      <c r="M526" s="346" t="s">
        <v>2339</v>
      </c>
      <c r="N526" s="349"/>
      <c r="O526" s="334" t="s">
        <v>843</v>
      </c>
      <c r="P526" s="354" t="s">
        <v>2340</v>
      </c>
      <c r="Q526" s="403"/>
      <c r="R526" s="406">
        <v>3290595.8399999994</v>
      </c>
      <c r="S526" s="406">
        <v>3254950.82</v>
      </c>
      <c r="T526" s="430"/>
      <c r="U526" s="137"/>
      <c r="V526" s="408">
        <v>3254947.27</v>
      </c>
      <c r="W526" s="410">
        <v>-2712456.06</v>
      </c>
      <c r="X526" s="410">
        <v>271245.61</v>
      </c>
      <c r="Y526" s="428" t="s">
        <v>1142</v>
      </c>
      <c r="Z526" s="429">
        <v>0</v>
      </c>
      <c r="AA526" s="429">
        <v>0</v>
      </c>
      <c r="AB526" s="369">
        <f>271246-271246</f>
        <v>0</v>
      </c>
      <c r="AC526" s="369">
        <f>271246+271246</f>
        <v>542492</v>
      </c>
      <c r="AD526" s="369">
        <v>271246</v>
      </c>
      <c r="AE526" s="369">
        <f>271246-271246</f>
        <v>0</v>
      </c>
      <c r="AF526" s="369">
        <f>271246+271246</f>
        <v>542492</v>
      </c>
      <c r="AG526" s="369">
        <v>271246</v>
      </c>
      <c r="AH526" s="367">
        <f t="shared" si="28"/>
        <v>2441212.8199999998</v>
      </c>
      <c r="AI526" s="362">
        <f>ERP_5[[#This Row],[2026 Working Total]]-ERP_5[[#This Row],[LE2 Final Submission]]</f>
        <v>-813738</v>
      </c>
      <c r="AJ526" s="227">
        <v>542492</v>
      </c>
      <c r="AK526" s="227">
        <f t="shared" si="27"/>
        <v>-542492</v>
      </c>
      <c r="AL526" s="374">
        <f>SUM(ERP_5[[#This Row],[AP01]:[AP06]])-SUM(ERP_5[[#This Row],[AP01 LE2]:[AP06 LE2]])</f>
        <v>-813737.99999999988</v>
      </c>
      <c r="AM526" s="80"/>
      <c r="AN526" s="79">
        <f>ERP_5[[#This Row],[2026 Working Total to Budget/LE]]-ERP_5[[#This Row],[Giveback]]</f>
        <v>-813738</v>
      </c>
      <c r="AO526" s="81"/>
      <c r="AP526" s="375">
        <v>3254947.27</v>
      </c>
      <c r="AQ526" s="375">
        <v>-2712456.06</v>
      </c>
      <c r="AR526" s="375">
        <v>271245.61</v>
      </c>
      <c r="AS526" s="375">
        <v>0</v>
      </c>
      <c r="AT526" s="375">
        <v>542492</v>
      </c>
      <c r="AU526" s="375">
        <v>271246</v>
      </c>
      <c r="AV526" s="375">
        <v>0</v>
      </c>
      <c r="AW526" s="375">
        <v>542492</v>
      </c>
      <c r="AX526" s="375">
        <v>271246</v>
      </c>
      <c r="AY526" s="375">
        <v>0</v>
      </c>
      <c r="AZ526" s="375">
        <v>542492</v>
      </c>
      <c r="BA526" s="375">
        <v>271246</v>
      </c>
      <c r="BB526" s="375">
        <v>3254950.82</v>
      </c>
      <c r="BC526" s="227">
        <v>3254947.27</v>
      </c>
      <c r="BD526" s="227">
        <v>-2712456.06</v>
      </c>
      <c r="BE526" s="227">
        <v>271245.61</v>
      </c>
      <c r="BF526" s="227">
        <v>271246</v>
      </c>
      <c r="BG526" s="227">
        <v>271246</v>
      </c>
      <c r="BH526" s="227">
        <v>271246</v>
      </c>
      <c r="BI526" s="227">
        <v>271246</v>
      </c>
      <c r="BJ526" s="227">
        <v>271246</v>
      </c>
      <c r="BK526" s="227">
        <v>271246</v>
      </c>
      <c r="BL526" s="227">
        <v>271246</v>
      </c>
      <c r="BM526" s="227">
        <v>271246</v>
      </c>
      <c r="BN526" s="227">
        <v>271246</v>
      </c>
      <c r="BO526" s="227">
        <v>3254950.82</v>
      </c>
    </row>
    <row r="527" spans="1:67" ht="15" customHeight="1">
      <c r="A527" s="215" t="s">
        <v>2151</v>
      </c>
      <c r="B527" s="215" t="s">
        <v>2152</v>
      </c>
      <c r="C527" s="150" t="s">
        <v>1136</v>
      </c>
      <c r="D527" s="334" t="s">
        <v>1135</v>
      </c>
      <c r="E527" s="334" t="s">
        <v>1145</v>
      </c>
      <c r="F527" s="334" t="s">
        <v>1137</v>
      </c>
      <c r="G527" s="516" t="s">
        <v>602</v>
      </c>
      <c r="H527" s="398" t="s">
        <v>2153</v>
      </c>
      <c r="I527" s="343"/>
      <c r="J527" s="334" t="s">
        <v>1186</v>
      </c>
      <c r="K527" s="219" t="s">
        <v>607</v>
      </c>
      <c r="L527" s="349" t="s">
        <v>1153</v>
      </c>
      <c r="M527" s="346" t="s">
        <v>2154</v>
      </c>
      <c r="N527" s="349" t="s">
        <v>1710</v>
      </c>
      <c r="O527" s="334" t="s">
        <v>608</v>
      </c>
      <c r="P527" s="354"/>
      <c r="Q527" s="404"/>
      <c r="R527" s="407">
        <v>0</v>
      </c>
      <c r="S527" s="407">
        <v>0</v>
      </c>
      <c r="T527" s="425"/>
      <c r="U527" s="71"/>
      <c r="V527" s="408">
        <v>-11125</v>
      </c>
      <c r="W527" s="410">
        <v>11125</v>
      </c>
      <c r="X527" s="410"/>
      <c r="Y527" s="428" t="s">
        <v>1142</v>
      </c>
      <c r="Z527" s="429">
        <v>0</v>
      </c>
      <c r="AA527" s="429">
        <v>0</v>
      </c>
      <c r="AB527" s="363"/>
      <c r="AC527" s="369"/>
      <c r="AD527" s="363"/>
      <c r="AE527" s="363"/>
      <c r="AF527" s="369"/>
      <c r="AG527" s="363"/>
      <c r="AH527" s="367">
        <f t="shared" si="28"/>
        <v>0</v>
      </c>
      <c r="AI527" s="362">
        <f>ERP_5[[#This Row],[2026 Working Total]]-ERP_5[[#This Row],[LE2 Final Submission]]</f>
        <v>0</v>
      </c>
      <c r="AJ527" s="227"/>
      <c r="AK527" s="227">
        <f t="shared" si="27"/>
        <v>0</v>
      </c>
      <c r="AL527" s="374">
        <f>SUM(ERP_5[[#This Row],[AP01]:[AP06]])-SUM(ERP_5[[#This Row],[AP01 LE2]:[AP06 LE2]])</f>
        <v>0</v>
      </c>
      <c r="AM527" s="80"/>
      <c r="AN527" s="79">
        <f>ERP_5[[#This Row],[2026 Working Total to Budget/LE]]-ERP_5[[#This Row],[Giveback]]</f>
        <v>0</v>
      </c>
      <c r="AO527" s="81"/>
      <c r="AP527" s="375">
        <v>-11125</v>
      </c>
      <c r="AQ527" s="375">
        <v>11125</v>
      </c>
      <c r="AR527" s="375"/>
      <c r="AS527" s="375"/>
      <c r="AT527" s="375"/>
      <c r="AU527" s="375"/>
      <c r="AV527" s="375"/>
      <c r="AW527" s="375"/>
      <c r="AX527" s="375"/>
      <c r="AY527" s="375"/>
      <c r="AZ527" s="375"/>
      <c r="BA527" s="375"/>
      <c r="BB527" s="375">
        <v>0</v>
      </c>
      <c r="BC527" s="227">
        <v>-11125</v>
      </c>
      <c r="BD527" s="227">
        <v>11125</v>
      </c>
      <c r="BE527" s="227"/>
      <c r="BF527" s="227"/>
      <c r="BG527" s="227"/>
      <c r="BH527" s="227"/>
      <c r="BI527" s="227"/>
      <c r="BJ527" s="227"/>
      <c r="BK527" s="227"/>
      <c r="BL527" s="227"/>
      <c r="BM527" s="227"/>
      <c r="BN527" s="227"/>
      <c r="BO527" s="227">
        <v>0</v>
      </c>
    </row>
    <row r="528" spans="1:67" ht="15" customHeight="1">
      <c r="A528" s="227" t="s">
        <v>2627</v>
      </c>
      <c r="B528" s="330" t="s">
        <v>919</v>
      </c>
      <c r="C528" s="150" t="s">
        <v>1136</v>
      </c>
      <c r="D528" s="336" t="s">
        <v>1345</v>
      </c>
      <c r="E528" s="338" t="s">
        <v>1344</v>
      </c>
      <c r="F528" s="335" t="s">
        <v>1346</v>
      </c>
      <c r="G528" s="517" t="s">
        <v>639</v>
      </c>
      <c r="H528" s="399" t="s">
        <v>2628</v>
      </c>
      <c r="I528" s="343"/>
      <c r="J528" s="335"/>
      <c r="K528" s="91" t="s">
        <v>920</v>
      </c>
      <c r="L528" s="344"/>
      <c r="M528" s="343"/>
      <c r="N528" s="353"/>
      <c r="O528" s="352" t="s">
        <v>25</v>
      </c>
      <c r="P528" s="356" t="s">
        <v>2629</v>
      </c>
      <c r="Q528" s="432"/>
      <c r="R528" s="358">
        <v>32000</v>
      </c>
      <c r="S528" s="378">
        <v>32000</v>
      </c>
      <c r="T528" s="430"/>
      <c r="U528" s="137"/>
      <c r="V528" s="409"/>
      <c r="W528" s="411"/>
      <c r="X528" s="411"/>
      <c r="Y528" s="428" t="s">
        <v>1142</v>
      </c>
      <c r="Z528" s="429">
        <v>0</v>
      </c>
      <c r="AA528" s="429">
        <v>0</v>
      </c>
      <c r="AB528" s="370">
        <v>0</v>
      </c>
      <c r="AC528" s="370">
        <v>0</v>
      </c>
      <c r="AD528" s="370">
        <v>0</v>
      </c>
      <c r="AE528" s="370">
        <v>32000</v>
      </c>
      <c r="AF528" s="370">
        <v>0</v>
      </c>
      <c r="AG528" s="370">
        <v>0</v>
      </c>
      <c r="AH528" s="367">
        <f t="shared" si="28"/>
        <v>32000</v>
      </c>
      <c r="AI528" s="362">
        <f>ERP_5[[#This Row],[2026 Working Total]]-ERP_5[[#This Row],[LE2 Final Submission]]</f>
        <v>0</v>
      </c>
      <c r="AJ528" s="227">
        <v>0</v>
      </c>
      <c r="AK528" s="227">
        <f t="shared" si="27"/>
        <v>0</v>
      </c>
      <c r="AL528" s="374">
        <f>SUM(ERP_5[[#This Row],[AP01]:[AP06]])-SUM(ERP_5[[#This Row],[AP01 LE2]:[AP06 LE2]])</f>
        <v>0</v>
      </c>
      <c r="AM528" s="80"/>
      <c r="AN528" s="79">
        <f>ERP_5[[#This Row],[2026 Working Total to Budget/LE]]-ERP_5[[#This Row],[Giveback]]</f>
        <v>0</v>
      </c>
      <c r="AO528" s="155" t="s">
        <v>2630</v>
      </c>
      <c r="AP528" s="375"/>
      <c r="AQ528" s="375"/>
      <c r="AR528" s="375"/>
      <c r="AS528" s="375">
        <v>0</v>
      </c>
      <c r="AT528" s="375">
        <v>0</v>
      </c>
      <c r="AU528" s="375">
        <v>0</v>
      </c>
      <c r="AV528" s="375">
        <v>0</v>
      </c>
      <c r="AW528" s="375">
        <v>0</v>
      </c>
      <c r="AX528" s="375">
        <v>0</v>
      </c>
      <c r="AY528" s="375">
        <v>32000</v>
      </c>
      <c r="AZ528" s="375">
        <v>0</v>
      </c>
      <c r="BA528" s="375">
        <v>0</v>
      </c>
      <c r="BB528" s="375">
        <v>32000</v>
      </c>
      <c r="BC528" s="246">
        <v>0</v>
      </c>
      <c r="BD528" s="246">
        <v>32000</v>
      </c>
      <c r="BE528" s="246">
        <v>0</v>
      </c>
      <c r="BF528" s="246">
        <v>0</v>
      </c>
      <c r="BG528" s="246">
        <v>0</v>
      </c>
      <c r="BH528" s="246">
        <v>0</v>
      </c>
      <c r="BI528" s="246">
        <v>0</v>
      </c>
      <c r="BJ528" s="246">
        <v>0</v>
      </c>
      <c r="BK528" s="246">
        <v>0</v>
      </c>
      <c r="BL528" s="246">
        <v>0</v>
      </c>
      <c r="BM528" s="246">
        <v>0</v>
      </c>
      <c r="BN528" s="246">
        <v>0</v>
      </c>
      <c r="BO528" s="227">
        <f>SUM(ERP_5[[#This Row],[2026 AP01]:[2026 AP12]])</f>
        <v>32000</v>
      </c>
    </row>
    <row r="529" spans="1:67" ht="15" customHeight="1">
      <c r="A529" s="215" t="s">
        <v>2631</v>
      </c>
      <c r="B529" s="215" t="s">
        <v>921</v>
      </c>
      <c r="C529" s="150" t="s">
        <v>1136</v>
      </c>
      <c r="D529" s="334" t="s">
        <v>1345</v>
      </c>
      <c r="E529" s="334" t="s">
        <v>1344</v>
      </c>
      <c r="F529" s="334" t="s">
        <v>1346</v>
      </c>
      <c r="G529" s="516" t="s">
        <v>639</v>
      </c>
      <c r="H529" s="398" t="s">
        <v>2632</v>
      </c>
      <c r="I529" s="343"/>
      <c r="J529" s="344"/>
      <c r="K529" s="219" t="s">
        <v>922</v>
      </c>
      <c r="L529" s="349"/>
      <c r="M529" s="343"/>
      <c r="N529" s="349"/>
      <c r="O529" s="334" t="s">
        <v>25</v>
      </c>
      <c r="P529" s="354"/>
      <c r="Q529" s="403"/>
      <c r="R529" s="406">
        <v>5000</v>
      </c>
      <c r="S529" s="406">
        <v>5000</v>
      </c>
      <c r="T529" s="425"/>
      <c r="U529" s="71"/>
      <c r="V529" s="408"/>
      <c r="W529" s="410"/>
      <c r="X529" s="410"/>
      <c r="Y529" s="428" t="s">
        <v>1142</v>
      </c>
      <c r="Z529" s="429">
        <v>0</v>
      </c>
      <c r="AA529" s="429">
        <v>0</v>
      </c>
      <c r="AB529" s="369"/>
      <c r="AC529" s="369"/>
      <c r="AD529" s="369">
        <v>5000</v>
      </c>
      <c r="AE529" s="368">
        <v>0</v>
      </c>
      <c r="AF529" s="368">
        <v>0</v>
      </c>
      <c r="AG529" s="368">
        <v>0</v>
      </c>
      <c r="AH529" s="367">
        <f t="shared" si="28"/>
        <v>5000</v>
      </c>
      <c r="AI529" s="362">
        <f>ERP_5[[#This Row],[2026 Working Total]]-ERP_5[[#This Row],[LE2 Final Submission]]</f>
        <v>0</v>
      </c>
      <c r="AJ529" s="227"/>
      <c r="AK529" s="227">
        <f t="shared" si="27"/>
        <v>0</v>
      </c>
      <c r="AL529" s="374">
        <f>SUM(ERP_5[[#This Row],[AP01]:[AP06]])-SUM(ERP_5[[#This Row],[AP01 LE2]:[AP06 LE2]])</f>
        <v>0</v>
      </c>
      <c r="AM529" s="80"/>
      <c r="AN529" s="79">
        <f>ERP_5[[#This Row],[2026 Working Total to Budget/LE]]-ERP_5[[#This Row],[Giveback]]</f>
        <v>0</v>
      </c>
      <c r="AO529" s="81"/>
      <c r="AP529" s="375"/>
      <c r="AQ529" s="375"/>
      <c r="AR529" s="375"/>
      <c r="AS529" s="375"/>
      <c r="AT529" s="375"/>
      <c r="AU529" s="375"/>
      <c r="AV529" s="375"/>
      <c r="AW529" s="375"/>
      <c r="AX529" s="375">
        <v>5000</v>
      </c>
      <c r="AY529" s="375">
        <v>0</v>
      </c>
      <c r="AZ529" s="375">
        <v>0</v>
      </c>
      <c r="BA529" s="375">
        <v>0</v>
      </c>
      <c r="BB529" s="375">
        <v>5000</v>
      </c>
      <c r="BC529" s="227"/>
      <c r="BD529" s="227"/>
      <c r="BE529" s="227"/>
      <c r="BF529" s="227"/>
      <c r="BG529" s="227"/>
      <c r="BH529" s="227"/>
      <c r="BI529" s="227"/>
      <c r="BJ529" s="227"/>
      <c r="BK529" s="227">
        <v>5000</v>
      </c>
      <c r="BL529" s="227">
        <v>0</v>
      </c>
      <c r="BM529" s="227">
        <v>0</v>
      </c>
      <c r="BN529" s="227">
        <v>0</v>
      </c>
      <c r="BO529" s="227">
        <v>5000</v>
      </c>
    </row>
    <row r="530" spans="1:67" ht="15" customHeight="1">
      <c r="A530" s="215" t="s">
        <v>2633</v>
      </c>
      <c r="B530" s="215" t="s">
        <v>923</v>
      </c>
      <c r="C530" s="150" t="s">
        <v>1136</v>
      </c>
      <c r="D530" s="334" t="s">
        <v>1345</v>
      </c>
      <c r="E530" s="334" t="s">
        <v>1344</v>
      </c>
      <c r="F530" s="334" t="s">
        <v>1346</v>
      </c>
      <c r="G530" s="516" t="s">
        <v>639</v>
      </c>
      <c r="H530" s="398" t="s">
        <v>2634</v>
      </c>
      <c r="I530" s="343"/>
      <c r="J530" s="344"/>
      <c r="K530" s="219" t="s">
        <v>924</v>
      </c>
      <c r="L530" s="349"/>
      <c r="M530" s="343"/>
      <c r="N530" s="349"/>
      <c r="O530" s="334" t="s">
        <v>25</v>
      </c>
      <c r="P530" s="354"/>
      <c r="Q530" s="403"/>
      <c r="R530" s="406">
        <v>6000</v>
      </c>
      <c r="S530" s="406">
        <v>4500</v>
      </c>
      <c r="T530" s="425"/>
      <c r="U530" s="71"/>
      <c r="V530" s="408"/>
      <c r="W530" s="410"/>
      <c r="X530" s="410"/>
      <c r="Y530" s="428" t="s">
        <v>1142</v>
      </c>
      <c r="Z530" s="429">
        <v>0</v>
      </c>
      <c r="AA530" s="429">
        <v>2323.36</v>
      </c>
      <c r="AB530" s="368">
        <v>0</v>
      </c>
      <c r="AC530" s="368">
        <v>0</v>
      </c>
      <c r="AD530" s="369">
        <v>1500</v>
      </c>
      <c r="AE530" s="368">
        <v>0</v>
      </c>
      <c r="AF530" s="368">
        <v>0</v>
      </c>
      <c r="AG530" s="369">
        <v>1500</v>
      </c>
      <c r="AH530" s="367">
        <f t="shared" si="28"/>
        <v>5323.3600000000006</v>
      </c>
      <c r="AI530" s="362">
        <f>ERP_5[[#This Row],[2026 Working Total]]-ERP_5[[#This Row],[LE2 Final Submission]]</f>
        <v>823.36000000000058</v>
      </c>
      <c r="AJ530" s="227"/>
      <c r="AK530" s="227">
        <f t="shared" si="27"/>
        <v>2323.36</v>
      </c>
      <c r="AL530" s="374">
        <f>SUM(ERP_5[[#This Row],[AP01]:[AP06]])-SUM(ERP_5[[#This Row],[AP01 LE2]:[AP06 LE2]])</f>
        <v>823.36000000000013</v>
      </c>
      <c r="AM530" s="80"/>
      <c r="AN530" s="79">
        <f>ERP_5[[#This Row],[2026 Working Total to Budget/LE]]-ERP_5[[#This Row],[Giveback]]</f>
        <v>823.36000000000058</v>
      </c>
      <c r="AO530" s="81"/>
      <c r="AP530" s="375"/>
      <c r="AQ530" s="375"/>
      <c r="AR530" s="375"/>
      <c r="AS530" s="375"/>
      <c r="AT530" s="375"/>
      <c r="AU530" s="375">
        <v>1500</v>
      </c>
      <c r="AV530" s="375">
        <v>0</v>
      </c>
      <c r="AW530" s="375">
        <v>0</v>
      </c>
      <c r="AX530" s="375">
        <v>1500</v>
      </c>
      <c r="AY530" s="375">
        <v>0</v>
      </c>
      <c r="AZ530" s="375">
        <v>0</v>
      </c>
      <c r="BA530" s="375">
        <v>1500</v>
      </c>
      <c r="BB530" s="375">
        <v>4500</v>
      </c>
      <c r="BC530" s="227"/>
      <c r="BD530" s="227"/>
      <c r="BE530" s="227"/>
      <c r="BF530" s="227"/>
      <c r="BG530" s="227"/>
      <c r="BH530" s="227">
        <v>1500</v>
      </c>
      <c r="BI530" s="227">
        <v>0</v>
      </c>
      <c r="BJ530" s="227">
        <v>0</v>
      </c>
      <c r="BK530" s="227">
        <v>1500</v>
      </c>
      <c r="BL530" s="227">
        <v>0</v>
      </c>
      <c r="BM530" s="227">
        <v>0</v>
      </c>
      <c r="BN530" s="227">
        <v>1500</v>
      </c>
      <c r="BO530" s="227">
        <v>4500</v>
      </c>
    </row>
    <row r="531" spans="1:67" ht="15" customHeight="1">
      <c r="A531" s="227" t="s">
        <v>2635</v>
      </c>
      <c r="B531" s="330" t="s">
        <v>925</v>
      </c>
      <c r="C531" s="150" t="s">
        <v>1136</v>
      </c>
      <c r="D531" s="336" t="s">
        <v>1345</v>
      </c>
      <c r="E531" s="338" t="s">
        <v>1344</v>
      </c>
      <c r="F531" s="335" t="s">
        <v>1346</v>
      </c>
      <c r="G531" s="517" t="s">
        <v>639</v>
      </c>
      <c r="H531" s="399" t="s">
        <v>2636</v>
      </c>
      <c r="I531" s="343" t="s">
        <v>2637</v>
      </c>
      <c r="J531" s="334" t="s">
        <v>1363</v>
      </c>
      <c r="K531" s="235" t="s">
        <v>926</v>
      </c>
      <c r="L531" s="344"/>
      <c r="M531" s="346" t="s">
        <v>2638</v>
      </c>
      <c r="N531" s="349" t="s">
        <v>1710</v>
      </c>
      <c r="O531" s="352" t="s">
        <v>863</v>
      </c>
      <c r="P531" s="355" t="s">
        <v>2639</v>
      </c>
      <c r="Q531" s="437"/>
      <c r="R531" s="358">
        <v>111372.91</v>
      </c>
      <c r="S531" s="378">
        <v>0</v>
      </c>
      <c r="T531" s="430"/>
      <c r="U531" s="137"/>
      <c r="V531" s="409"/>
      <c r="W531" s="411"/>
      <c r="X531" s="411"/>
      <c r="Y531" s="428" t="s">
        <v>1142</v>
      </c>
      <c r="Z531" s="429">
        <v>0</v>
      </c>
      <c r="AA531" s="429">
        <v>0</v>
      </c>
      <c r="AB531" s="370">
        <v>0</v>
      </c>
      <c r="AC531" s="370">
        <v>0</v>
      </c>
      <c r="AD531" s="370">
        <v>0</v>
      </c>
      <c r="AE531" s="370">
        <f>115000-115000</f>
        <v>0</v>
      </c>
      <c r="AF531" s="370">
        <v>0</v>
      </c>
      <c r="AG531" s="371"/>
      <c r="AH531" s="367">
        <f t="shared" si="28"/>
        <v>0</v>
      </c>
      <c r="AI531" s="362">
        <f>ERP_5[[#This Row],[2026 Working Total]]-ERP_5[[#This Row],[LE2 Final Submission]]</f>
        <v>0</v>
      </c>
      <c r="AJ531" s="227">
        <v>0</v>
      </c>
      <c r="AK531" s="227">
        <f t="shared" si="27"/>
        <v>0</v>
      </c>
      <c r="AL531" s="374">
        <f>SUM(ERP_5[[#This Row],[AP01]:[AP06]])-SUM(ERP_5[[#This Row],[AP01 LE2]:[AP06 LE2]])</f>
        <v>0</v>
      </c>
      <c r="AM531" s="80"/>
      <c r="AN531" s="79">
        <f>ERP_5[[#This Row],[2026 Working Total to Budget/LE]]-ERP_5[[#This Row],[Giveback]]</f>
        <v>0</v>
      </c>
      <c r="AO531" s="81" t="s">
        <v>2640</v>
      </c>
      <c r="AP531" s="375"/>
      <c r="AQ531" s="375"/>
      <c r="AR531" s="375"/>
      <c r="AS531" s="375">
        <v>0</v>
      </c>
      <c r="AT531" s="375">
        <v>0</v>
      </c>
      <c r="AU531" s="375">
        <v>0</v>
      </c>
      <c r="AV531" s="375">
        <v>0</v>
      </c>
      <c r="AW531" s="375">
        <v>0</v>
      </c>
      <c r="AX531" s="375">
        <v>0</v>
      </c>
      <c r="AY531" s="375">
        <v>0</v>
      </c>
      <c r="AZ531" s="375">
        <v>0</v>
      </c>
      <c r="BA531" s="375"/>
      <c r="BB531" s="375">
        <v>0</v>
      </c>
      <c r="BC531" s="246">
        <v>111372.91</v>
      </c>
      <c r="BD531" s="246">
        <v>0</v>
      </c>
      <c r="BE531" s="246">
        <v>0</v>
      </c>
      <c r="BF531" s="246">
        <v>0</v>
      </c>
      <c r="BG531" s="246">
        <v>0</v>
      </c>
      <c r="BH531" s="246">
        <v>0</v>
      </c>
      <c r="BI531" s="246">
        <v>0</v>
      </c>
      <c r="BJ531" s="246">
        <v>0</v>
      </c>
      <c r="BK531" s="246">
        <v>0</v>
      </c>
      <c r="BL531" s="246">
        <v>0</v>
      </c>
      <c r="BM531" s="246">
        <v>0</v>
      </c>
      <c r="BN531" s="246">
        <v>0</v>
      </c>
      <c r="BO531" s="227">
        <f>SUM(ERP_5[[#This Row],[2026 AP01]:[2026 AP12]])</f>
        <v>111372.91</v>
      </c>
    </row>
    <row r="532" spans="1:67" ht="15" customHeight="1">
      <c r="A532" s="227" t="s">
        <v>2641</v>
      </c>
      <c r="B532" s="330" t="s">
        <v>927</v>
      </c>
      <c r="C532" s="150" t="s">
        <v>1136</v>
      </c>
      <c r="D532" s="336" t="s">
        <v>1345</v>
      </c>
      <c r="E532" s="338" t="s">
        <v>1344</v>
      </c>
      <c r="F532" s="335" t="s">
        <v>1346</v>
      </c>
      <c r="G532" s="517" t="s">
        <v>639</v>
      </c>
      <c r="H532" s="399" t="s">
        <v>2642</v>
      </c>
      <c r="I532" s="343" t="s">
        <v>2637</v>
      </c>
      <c r="J532" s="334" t="s">
        <v>1363</v>
      </c>
      <c r="K532" s="235" t="s">
        <v>928</v>
      </c>
      <c r="L532" s="344"/>
      <c r="M532" s="346" t="s">
        <v>2638</v>
      </c>
      <c r="N532" s="349" t="s">
        <v>1710</v>
      </c>
      <c r="O532" s="352" t="s">
        <v>863</v>
      </c>
      <c r="P532" s="355" t="s">
        <v>2643</v>
      </c>
      <c r="Q532" s="437"/>
      <c r="R532" s="358">
        <v>-111372.91</v>
      </c>
      <c r="S532" s="378">
        <v>0</v>
      </c>
      <c r="T532" s="425"/>
      <c r="U532" s="71"/>
      <c r="V532" s="409"/>
      <c r="W532" s="411"/>
      <c r="X532" s="411"/>
      <c r="Y532" s="428" t="s">
        <v>1142</v>
      </c>
      <c r="Z532" s="429">
        <v>0</v>
      </c>
      <c r="AA532" s="429">
        <v>0</v>
      </c>
      <c r="AB532" s="370">
        <v>0</v>
      </c>
      <c r="AC532" s="370">
        <v>0</v>
      </c>
      <c r="AD532" s="370">
        <v>0</v>
      </c>
      <c r="AE532" s="370">
        <f>-115000+115000</f>
        <v>0</v>
      </c>
      <c r="AF532" s="370">
        <v>0</v>
      </c>
      <c r="AG532" s="370">
        <v>0</v>
      </c>
      <c r="AH532" s="367">
        <f t="shared" si="28"/>
        <v>0</v>
      </c>
      <c r="AI532" s="362">
        <f>ERP_5[[#This Row],[2026 Working Total]]-ERP_5[[#This Row],[LE2 Final Submission]]</f>
        <v>0</v>
      </c>
      <c r="AJ532" s="227">
        <v>0</v>
      </c>
      <c r="AK532" s="227">
        <f t="shared" si="27"/>
        <v>0</v>
      </c>
      <c r="AL532" s="374">
        <f>SUM(ERP_5[[#This Row],[AP01]:[AP06]])-SUM(ERP_5[[#This Row],[AP01 LE2]:[AP06 LE2]])</f>
        <v>0</v>
      </c>
      <c r="AM532" s="80"/>
      <c r="AN532" s="79">
        <f>ERP_5[[#This Row],[2026 Working Total to Budget/LE]]-ERP_5[[#This Row],[Giveback]]</f>
        <v>0</v>
      </c>
      <c r="AO532" s="81" t="s">
        <v>2640</v>
      </c>
      <c r="AP532" s="375"/>
      <c r="AQ532" s="375"/>
      <c r="AR532" s="375"/>
      <c r="AS532" s="375">
        <v>0</v>
      </c>
      <c r="AT532" s="375">
        <v>0</v>
      </c>
      <c r="AU532" s="375">
        <v>0</v>
      </c>
      <c r="AV532" s="375">
        <v>0</v>
      </c>
      <c r="AW532" s="375">
        <v>0</v>
      </c>
      <c r="AX532" s="375">
        <v>0</v>
      </c>
      <c r="AY532" s="375">
        <v>0</v>
      </c>
      <c r="AZ532" s="375">
        <v>0</v>
      </c>
      <c r="BA532" s="375">
        <v>0</v>
      </c>
      <c r="BB532" s="375">
        <v>0</v>
      </c>
      <c r="BC532" s="246">
        <v>-111372.91</v>
      </c>
      <c r="BD532" s="246">
        <v>0</v>
      </c>
      <c r="BE532" s="246">
        <v>0</v>
      </c>
      <c r="BF532" s="246">
        <v>0</v>
      </c>
      <c r="BG532" s="246">
        <v>0</v>
      </c>
      <c r="BH532" s="246">
        <v>0</v>
      </c>
      <c r="BI532" s="246">
        <v>0</v>
      </c>
      <c r="BJ532" s="246">
        <v>0</v>
      </c>
      <c r="BK532" s="246">
        <v>0</v>
      </c>
      <c r="BL532" s="246">
        <v>0</v>
      </c>
      <c r="BM532" s="246">
        <v>0</v>
      </c>
      <c r="BN532" s="246">
        <v>0</v>
      </c>
      <c r="BO532" s="227">
        <f>SUM(ERP_5[[#This Row],[2026 AP01]:[2026 AP12]])</f>
        <v>-111372.91</v>
      </c>
    </row>
    <row r="533" spans="1:67" ht="15" customHeight="1">
      <c r="A533" s="227" t="s">
        <v>2512</v>
      </c>
      <c r="B533" s="330" t="s">
        <v>2513</v>
      </c>
      <c r="C533" s="150" t="s">
        <v>1136</v>
      </c>
      <c r="D533" s="336" t="s">
        <v>1135</v>
      </c>
      <c r="E533" s="338" t="s">
        <v>1145</v>
      </c>
      <c r="F533" s="335" t="s">
        <v>1137</v>
      </c>
      <c r="G533" s="517" t="s">
        <v>639</v>
      </c>
      <c r="H533" s="399" t="s">
        <v>2514</v>
      </c>
      <c r="I533" s="343"/>
      <c r="J533" s="334" t="s">
        <v>1186</v>
      </c>
      <c r="K533" s="235" t="s">
        <v>607</v>
      </c>
      <c r="L533" s="349" t="s">
        <v>1153</v>
      </c>
      <c r="M533" s="346" t="s">
        <v>2154</v>
      </c>
      <c r="N533" s="349" t="s">
        <v>1710</v>
      </c>
      <c r="O533" s="352" t="s">
        <v>608</v>
      </c>
      <c r="P533" s="355" t="s">
        <v>1779</v>
      </c>
      <c r="Q533" s="437"/>
      <c r="R533" s="358">
        <v>11125</v>
      </c>
      <c r="S533" s="378">
        <v>0</v>
      </c>
      <c r="T533" s="425"/>
      <c r="U533" s="71"/>
      <c r="V533" s="409"/>
      <c r="W533" s="411"/>
      <c r="X533" s="411"/>
      <c r="Y533" s="428" t="s">
        <v>1142</v>
      </c>
      <c r="Z533" s="429">
        <v>0</v>
      </c>
      <c r="AA533" s="429">
        <v>0</v>
      </c>
      <c r="AB533" s="370">
        <v>0</v>
      </c>
      <c r="AC533" s="370">
        <v>0</v>
      </c>
      <c r="AD533" s="370">
        <v>0</v>
      </c>
      <c r="AE533" s="370">
        <v>0</v>
      </c>
      <c r="AF533" s="370">
        <v>0</v>
      </c>
      <c r="AG533" s="370">
        <v>0</v>
      </c>
      <c r="AH533" s="367">
        <f t="shared" si="28"/>
        <v>0</v>
      </c>
      <c r="AI533" s="362">
        <f>ERP_5[[#This Row],[2026 Working Total]]-ERP_5[[#This Row],[LE2 Final Submission]]</f>
        <v>0</v>
      </c>
      <c r="AJ533" s="227">
        <v>0</v>
      </c>
      <c r="AK533" s="227">
        <f t="shared" si="27"/>
        <v>0</v>
      </c>
      <c r="AL533" s="374">
        <f>SUM(ERP_5[[#This Row],[AP01]:[AP06]])-SUM(ERP_5[[#This Row],[AP01 LE2]:[AP06 LE2]])</f>
        <v>0</v>
      </c>
      <c r="AM533" s="80"/>
      <c r="AN533" s="79">
        <f>ERP_5[[#This Row],[2026 Working Total to Budget/LE]]-ERP_5[[#This Row],[Giveback]]</f>
        <v>0</v>
      </c>
      <c r="AO533" s="81"/>
      <c r="AP533" s="375"/>
      <c r="AQ533" s="375"/>
      <c r="AR533" s="375"/>
      <c r="AS533" s="375">
        <v>0</v>
      </c>
      <c r="AT533" s="375">
        <v>0</v>
      </c>
      <c r="AU533" s="375">
        <v>0</v>
      </c>
      <c r="AV533" s="375">
        <v>0</v>
      </c>
      <c r="AW533" s="375">
        <v>0</v>
      </c>
      <c r="AX533" s="375">
        <v>0</v>
      </c>
      <c r="AY533" s="375">
        <v>0</v>
      </c>
      <c r="AZ533" s="375">
        <v>0</v>
      </c>
      <c r="BA533" s="375">
        <v>0</v>
      </c>
      <c r="BB533" s="375">
        <v>0</v>
      </c>
      <c r="BC533" s="246">
        <v>11125</v>
      </c>
      <c r="BD533" s="246">
        <v>0</v>
      </c>
      <c r="BE533" s="246">
        <v>0</v>
      </c>
      <c r="BF533" s="246">
        <v>0</v>
      </c>
      <c r="BG533" s="246">
        <v>0</v>
      </c>
      <c r="BH533" s="246">
        <v>0</v>
      </c>
      <c r="BI533" s="246">
        <v>0</v>
      </c>
      <c r="BJ533" s="246">
        <v>0</v>
      </c>
      <c r="BK533" s="246">
        <v>0</v>
      </c>
      <c r="BL533" s="246">
        <v>0</v>
      </c>
      <c r="BM533" s="246">
        <v>0</v>
      </c>
      <c r="BN533" s="246">
        <v>0</v>
      </c>
      <c r="BO533" s="227">
        <f>SUM(ERP_5[[#This Row],[2026 AP01]:[2026 AP12]])</f>
        <v>11125</v>
      </c>
    </row>
    <row r="534" spans="1:67" ht="15" customHeight="1">
      <c r="A534" s="227" t="s">
        <v>2515</v>
      </c>
      <c r="B534" s="330" t="s">
        <v>2516</v>
      </c>
      <c r="C534" s="150" t="s">
        <v>1136</v>
      </c>
      <c r="D534" s="336" t="s">
        <v>1135</v>
      </c>
      <c r="E534" s="338" t="s">
        <v>1145</v>
      </c>
      <c r="F534" s="335" t="s">
        <v>1137</v>
      </c>
      <c r="G534" s="517" t="s">
        <v>639</v>
      </c>
      <c r="H534" s="399" t="s">
        <v>2517</v>
      </c>
      <c r="I534" s="343" t="s">
        <v>2484</v>
      </c>
      <c r="J534" s="334" t="s">
        <v>1186</v>
      </c>
      <c r="K534" s="91" t="s">
        <v>846</v>
      </c>
      <c r="L534" s="344"/>
      <c r="M534" s="346" t="s">
        <v>2154</v>
      </c>
      <c r="N534" s="349" t="s">
        <v>1710</v>
      </c>
      <c r="O534" s="352" t="s">
        <v>608</v>
      </c>
      <c r="P534" s="355" t="s">
        <v>1348</v>
      </c>
      <c r="Q534" s="437"/>
      <c r="R534" s="358">
        <v>-11125</v>
      </c>
      <c r="S534" s="378">
        <v>0</v>
      </c>
      <c r="T534" s="425"/>
      <c r="U534" s="71"/>
      <c r="V534" s="409"/>
      <c r="W534" s="411"/>
      <c r="X534" s="411"/>
      <c r="Y534" s="428" t="s">
        <v>1142</v>
      </c>
      <c r="Z534" s="429">
        <v>0</v>
      </c>
      <c r="AA534" s="429">
        <v>0</v>
      </c>
      <c r="AB534" s="370">
        <v>0</v>
      </c>
      <c r="AC534" s="370">
        <v>0</v>
      </c>
      <c r="AD534" s="370">
        <v>0</v>
      </c>
      <c r="AE534" s="370">
        <v>0</v>
      </c>
      <c r="AF534" s="370">
        <v>0</v>
      </c>
      <c r="AG534" s="370">
        <v>0</v>
      </c>
      <c r="AH534" s="367">
        <f t="shared" si="28"/>
        <v>0</v>
      </c>
      <c r="AI534" s="362">
        <f>ERP_5[[#This Row],[2026 Working Total]]-ERP_5[[#This Row],[LE2 Final Submission]]</f>
        <v>0</v>
      </c>
      <c r="AJ534" s="227">
        <v>0</v>
      </c>
      <c r="AK534" s="227">
        <f t="shared" si="27"/>
        <v>0</v>
      </c>
      <c r="AL534" s="374">
        <f>SUM(ERP_5[[#This Row],[AP01]:[AP06]])-SUM(ERP_5[[#This Row],[AP01 LE2]:[AP06 LE2]])</f>
        <v>0</v>
      </c>
      <c r="AM534" s="80"/>
      <c r="AN534" s="79">
        <f>ERP_5[[#This Row],[2026 Working Total to Budget/LE]]-ERP_5[[#This Row],[Giveback]]</f>
        <v>0</v>
      </c>
      <c r="AO534" s="81"/>
      <c r="AP534" s="375"/>
      <c r="AQ534" s="375"/>
      <c r="AR534" s="375"/>
      <c r="AS534" s="375">
        <v>0</v>
      </c>
      <c r="AT534" s="375">
        <v>0</v>
      </c>
      <c r="AU534" s="375">
        <v>0</v>
      </c>
      <c r="AV534" s="375">
        <v>0</v>
      </c>
      <c r="AW534" s="375">
        <v>0</v>
      </c>
      <c r="AX534" s="375">
        <v>0</v>
      </c>
      <c r="AY534" s="375">
        <v>0</v>
      </c>
      <c r="AZ534" s="375">
        <v>0</v>
      </c>
      <c r="BA534" s="375">
        <v>0</v>
      </c>
      <c r="BB534" s="375">
        <v>0</v>
      </c>
      <c r="BC534" s="246">
        <v>-11125</v>
      </c>
      <c r="BD534" s="246">
        <v>0</v>
      </c>
      <c r="BE534" s="246">
        <v>0</v>
      </c>
      <c r="BF534" s="246">
        <v>0</v>
      </c>
      <c r="BG534" s="246">
        <v>0</v>
      </c>
      <c r="BH534" s="246">
        <v>0</v>
      </c>
      <c r="BI534" s="246">
        <v>0</v>
      </c>
      <c r="BJ534" s="246">
        <v>0</v>
      </c>
      <c r="BK534" s="246">
        <v>0</v>
      </c>
      <c r="BL534" s="246">
        <v>0</v>
      </c>
      <c r="BM534" s="246">
        <v>0</v>
      </c>
      <c r="BN534" s="246">
        <v>0</v>
      </c>
      <c r="BO534" s="227">
        <f>SUM(ERP_5[[#This Row],[2026 AP01]:[2026 AP12]])</f>
        <v>-11125</v>
      </c>
    </row>
    <row r="535" spans="1:67" ht="15" customHeight="1">
      <c r="A535" s="215" t="s">
        <v>2644</v>
      </c>
      <c r="B535" s="215" t="s">
        <v>929</v>
      </c>
      <c r="C535" s="150" t="s">
        <v>1136</v>
      </c>
      <c r="D535" s="334" t="s">
        <v>1345</v>
      </c>
      <c r="E535" s="334" t="s">
        <v>1344</v>
      </c>
      <c r="F535" s="334" t="s">
        <v>1346</v>
      </c>
      <c r="G535" s="516" t="s">
        <v>639</v>
      </c>
      <c r="H535" s="398" t="s">
        <v>2645</v>
      </c>
      <c r="I535" s="343"/>
      <c r="J535" s="344"/>
      <c r="K535" s="219" t="s">
        <v>930</v>
      </c>
      <c r="L535" s="349"/>
      <c r="M535" s="343"/>
      <c r="N535" s="349"/>
      <c r="O535" s="334" t="s">
        <v>677</v>
      </c>
      <c r="P535" s="354"/>
      <c r="Q535" s="403"/>
      <c r="R535" s="406">
        <v>0</v>
      </c>
      <c r="S535" s="406">
        <v>227</v>
      </c>
      <c r="T535" s="425"/>
      <c r="U535" s="71"/>
      <c r="V535" s="408"/>
      <c r="W535" s="410">
        <v>227</v>
      </c>
      <c r="X535" s="412">
        <v>0</v>
      </c>
      <c r="Y535" s="428">
        <v>0</v>
      </c>
      <c r="Z535" s="429">
        <v>0</v>
      </c>
      <c r="AA535" s="429">
        <v>0</v>
      </c>
      <c r="AB535" s="368">
        <v>0</v>
      </c>
      <c r="AC535" s="368">
        <v>0</v>
      </c>
      <c r="AD535" s="368">
        <v>0</v>
      </c>
      <c r="AE535" s="368">
        <v>0</v>
      </c>
      <c r="AF535" s="368">
        <v>0</v>
      </c>
      <c r="AG535" s="368">
        <v>0</v>
      </c>
      <c r="AH535" s="367">
        <f t="shared" si="28"/>
        <v>227</v>
      </c>
      <c r="AI535" s="362">
        <f>ERP_5[[#This Row],[2026 Working Total]]-ERP_5[[#This Row],[LE2 Final Submission]]</f>
        <v>0</v>
      </c>
      <c r="AJ535" s="227">
        <v>0</v>
      </c>
      <c r="AK535" s="227">
        <f t="shared" si="27"/>
        <v>0</v>
      </c>
      <c r="AL535" s="374">
        <f>SUM(ERP_5[[#This Row],[AP01]:[AP06]])-SUM(ERP_5[[#This Row],[AP01 LE2]:[AP06 LE2]])</f>
        <v>0</v>
      </c>
      <c r="AM535" s="80"/>
      <c r="AN535" s="79">
        <f>ERP_5[[#This Row],[2026 Working Total to Budget/LE]]-ERP_5[[#This Row],[Giveback]]</f>
        <v>0</v>
      </c>
      <c r="AO535" s="81"/>
      <c r="AP535" s="375"/>
      <c r="AQ535" s="375">
        <v>227</v>
      </c>
      <c r="AR535" s="375">
        <v>0</v>
      </c>
      <c r="AS535" s="375">
        <v>0</v>
      </c>
      <c r="AT535" s="375">
        <v>0</v>
      </c>
      <c r="AU535" s="375">
        <v>0</v>
      </c>
      <c r="AV535" s="375">
        <v>0</v>
      </c>
      <c r="AW535" s="375">
        <v>0</v>
      </c>
      <c r="AX535" s="375">
        <v>0</v>
      </c>
      <c r="AY535" s="375">
        <v>0</v>
      </c>
      <c r="AZ535" s="375">
        <v>0</v>
      </c>
      <c r="BA535" s="375">
        <v>0</v>
      </c>
      <c r="BB535" s="375">
        <v>227</v>
      </c>
      <c r="BC535" s="227"/>
      <c r="BD535" s="227">
        <v>227</v>
      </c>
      <c r="BE535" s="227">
        <v>0</v>
      </c>
      <c r="BF535" s="227">
        <v>0</v>
      </c>
      <c r="BG535" s="227">
        <v>0</v>
      </c>
      <c r="BH535" s="227">
        <v>0</v>
      </c>
      <c r="BI535" s="227">
        <v>0</v>
      </c>
      <c r="BJ535" s="227">
        <v>0</v>
      </c>
      <c r="BK535" s="227">
        <v>0</v>
      </c>
      <c r="BL535" s="227">
        <v>0</v>
      </c>
      <c r="BM535" s="227">
        <v>0</v>
      </c>
      <c r="BN535" s="227">
        <v>0</v>
      </c>
      <c r="BO535" s="227">
        <v>227</v>
      </c>
    </row>
    <row r="536" spans="1:67" ht="15" customHeight="1">
      <c r="A536" s="215" t="s">
        <v>2518</v>
      </c>
      <c r="B536" s="215" t="s">
        <v>2519</v>
      </c>
      <c r="C536" s="150" t="s">
        <v>1136</v>
      </c>
      <c r="D536" s="334" t="s">
        <v>1135</v>
      </c>
      <c r="E536" s="334" t="s">
        <v>1145</v>
      </c>
      <c r="F536" s="334" t="s">
        <v>1137</v>
      </c>
      <c r="G536" s="516" t="s">
        <v>639</v>
      </c>
      <c r="H536" s="398" t="s">
        <v>2520</v>
      </c>
      <c r="I536" s="343"/>
      <c r="J536" s="349" t="s">
        <v>1186</v>
      </c>
      <c r="K536" s="219" t="s">
        <v>848</v>
      </c>
      <c r="L536" s="349"/>
      <c r="M536" s="346" t="s">
        <v>1187</v>
      </c>
      <c r="N536" s="349"/>
      <c r="O536" s="334" t="s">
        <v>849</v>
      </c>
      <c r="P536" s="354" t="s">
        <v>2521</v>
      </c>
      <c r="Q536" s="403"/>
      <c r="R536" s="406">
        <v>307237.74</v>
      </c>
      <c r="S536" s="406">
        <v>331713.26</v>
      </c>
      <c r="T536" s="425"/>
      <c r="U536" s="71"/>
      <c r="V536" s="408">
        <v>67277.88</v>
      </c>
      <c r="W536" s="410">
        <v>13527.14</v>
      </c>
      <c r="X536" s="410">
        <v>16908.240000000002</v>
      </c>
      <c r="Y536" s="428">
        <v>36231.229999999996</v>
      </c>
      <c r="Z536" s="429">
        <v>37708.980000000003</v>
      </c>
      <c r="AA536" s="429">
        <v>0</v>
      </c>
      <c r="AB536" s="371">
        <v>47249</v>
      </c>
      <c r="AC536" s="369"/>
      <c r="AD536" s="371"/>
      <c r="AE536" s="371">
        <v>47249</v>
      </c>
      <c r="AF536" s="368">
        <v>0</v>
      </c>
      <c r="AG536" s="371">
        <v>47249</v>
      </c>
      <c r="AH536" s="367">
        <f t="shared" si="28"/>
        <v>313400.46999999997</v>
      </c>
      <c r="AI536" s="362">
        <f>ERP_5[[#This Row],[2026 Working Total]]-ERP_5[[#This Row],[LE2 Final Submission]]</f>
        <v>-18312.790000000037</v>
      </c>
      <c r="AJ536" s="227">
        <v>0</v>
      </c>
      <c r="AK536" s="227">
        <f t="shared" si="27"/>
        <v>0</v>
      </c>
      <c r="AL536" s="374">
        <f>SUM(ERP_5[[#This Row],[AP01]:[AP06]])-SUM(ERP_5[[#This Row],[AP01 LE2]:[AP06 LE2]])</f>
        <v>-4059.7900000000081</v>
      </c>
      <c r="AM536" s="80"/>
      <c r="AN536" s="79">
        <f>ERP_5[[#This Row],[2026 Working Total to Budget/LE]]-ERP_5[[#This Row],[Giveback]]</f>
        <v>-18312.790000000037</v>
      </c>
      <c r="AO536" s="81"/>
      <c r="AP536" s="375">
        <v>67277.88</v>
      </c>
      <c r="AQ536" s="375">
        <v>13527.14</v>
      </c>
      <c r="AR536" s="375">
        <v>16908.240000000002</v>
      </c>
      <c r="AS536" s="375">
        <v>0</v>
      </c>
      <c r="AT536" s="375">
        <v>0</v>
      </c>
      <c r="AU536" s="375">
        <v>78000</v>
      </c>
      <c r="AV536" s="375">
        <v>0</v>
      </c>
      <c r="AW536" s="375">
        <v>0</v>
      </c>
      <c r="AX536" s="375">
        <v>78000</v>
      </c>
      <c r="AY536" s="375">
        <v>0</v>
      </c>
      <c r="AZ536" s="375">
        <v>0</v>
      </c>
      <c r="BA536" s="375">
        <v>78000</v>
      </c>
      <c r="BB536" s="375">
        <v>331713.26</v>
      </c>
      <c r="BC536" s="227">
        <v>67277.88</v>
      </c>
      <c r="BD536" s="227">
        <v>13527.14</v>
      </c>
      <c r="BE536" s="227">
        <v>16908.240000000002</v>
      </c>
      <c r="BF536" s="227">
        <v>0</v>
      </c>
      <c r="BG536" s="227">
        <v>0</v>
      </c>
      <c r="BH536" s="227">
        <v>78000</v>
      </c>
      <c r="BI536" s="227">
        <v>0</v>
      </c>
      <c r="BJ536" s="227">
        <v>0</v>
      </c>
      <c r="BK536" s="227">
        <v>78000</v>
      </c>
      <c r="BL536" s="227">
        <v>0</v>
      </c>
      <c r="BM536" s="227">
        <v>0</v>
      </c>
      <c r="BN536" s="227">
        <v>78000</v>
      </c>
      <c r="BO536" s="227">
        <v>331713.26</v>
      </c>
    </row>
    <row r="537" spans="1:67" ht="15" customHeight="1">
      <c r="A537" s="215" t="s">
        <v>2522</v>
      </c>
      <c r="B537" s="215" t="s">
        <v>850</v>
      </c>
      <c r="C537" s="150" t="s">
        <v>1136</v>
      </c>
      <c r="D537" s="334" t="s">
        <v>1135</v>
      </c>
      <c r="E537" s="334" t="s">
        <v>1135</v>
      </c>
      <c r="F537" s="334" t="s">
        <v>1137</v>
      </c>
      <c r="G537" s="516" t="s">
        <v>639</v>
      </c>
      <c r="H537" s="398" t="s">
        <v>2523</v>
      </c>
      <c r="I537" s="343"/>
      <c r="J537" s="344"/>
      <c r="K537" s="219" t="s">
        <v>851</v>
      </c>
      <c r="L537" s="349" t="s">
        <v>1153</v>
      </c>
      <c r="M537" s="343"/>
      <c r="N537" s="349"/>
      <c r="O537" s="334" t="s">
        <v>64</v>
      </c>
      <c r="P537" s="354"/>
      <c r="Q537" s="403"/>
      <c r="R537" s="406">
        <v>1527544</v>
      </c>
      <c r="S537" s="406">
        <v>1513628.4099999997</v>
      </c>
      <c r="T537" s="425"/>
      <c r="U537" s="71"/>
      <c r="V537" s="408"/>
      <c r="W537" s="410"/>
      <c r="X537" s="410">
        <v>367969.99</v>
      </c>
      <c r="Y537" s="428">
        <v>0</v>
      </c>
      <c r="Z537" s="429">
        <v>254590.76</v>
      </c>
      <c r="AA537" s="429">
        <v>127295.38</v>
      </c>
      <c r="AB537" s="369">
        <v>127295.38</v>
      </c>
      <c r="AC537" s="369">
        <v>127295.38</v>
      </c>
      <c r="AD537" s="369">
        <v>127295.38</v>
      </c>
      <c r="AE537" s="369">
        <v>127295.38</v>
      </c>
      <c r="AF537" s="369">
        <v>127295.38</v>
      </c>
      <c r="AG537" s="369">
        <v>127295.38</v>
      </c>
      <c r="AH537" s="367">
        <f t="shared" si="28"/>
        <v>1513628.4099999997</v>
      </c>
      <c r="AI537" s="362">
        <f>ERP_5[[#This Row],[2026 Working Total]]-ERP_5[[#This Row],[LE2 Final Submission]]</f>
        <v>0</v>
      </c>
      <c r="AJ537" s="227">
        <v>127295.38</v>
      </c>
      <c r="AK537" s="227">
        <f t="shared" si="27"/>
        <v>0</v>
      </c>
      <c r="AL537" s="374">
        <f>SUM(ERP_5[[#This Row],[AP01]:[AP06]])-SUM(ERP_5[[#This Row],[AP01 LE2]:[AP06 LE2]])</f>
        <v>0</v>
      </c>
      <c r="AM537" s="80"/>
      <c r="AN537" s="79">
        <f>ERP_5[[#This Row],[2026 Working Total to Budget/LE]]-ERP_5[[#This Row],[Giveback]]</f>
        <v>0</v>
      </c>
      <c r="AO537" s="81"/>
      <c r="AP537" s="375"/>
      <c r="AQ537" s="375"/>
      <c r="AR537" s="375">
        <v>367969.99</v>
      </c>
      <c r="AS537" s="375">
        <v>127295.38</v>
      </c>
      <c r="AT537" s="375">
        <v>127295.38</v>
      </c>
      <c r="AU537" s="375">
        <v>127295.38</v>
      </c>
      <c r="AV537" s="375">
        <v>127295.38</v>
      </c>
      <c r="AW537" s="375">
        <v>127295.38</v>
      </c>
      <c r="AX537" s="375">
        <v>127295.38</v>
      </c>
      <c r="AY537" s="375">
        <v>127295.38</v>
      </c>
      <c r="AZ537" s="375">
        <v>127295.38</v>
      </c>
      <c r="BA537" s="375">
        <v>127295.38</v>
      </c>
      <c r="BB537" s="375">
        <v>1513628.4099999997</v>
      </c>
      <c r="BC537" s="227"/>
      <c r="BD537" s="227"/>
      <c r="BE537" s="227">
        <v>367969.99</v>
      </c>
      <c r="BF537" s="227">
        <v>127295.38</v>
      </c>
      <c r="BG537" s="227">
        <v>127295.38</v>
      </c>
      <c r="BH537" s="227">
        <v>127295.38</v>
      </c>
      <c r="BI537" s="227">
        <v>127295.38</v>
      </c>
      <c r="BJ537" s="227">
        <v>127295.38</v>
      </c>
      <c r="BK537" s="227">
        <v>127295.38</v>
      </c>
      <c r="BL537" s="227">
        <v>127295.38</v>
      </c>
      <c r="BM537" s="227">
        <v>127295.38</v>
      </c>
      <c r="BN537" s="227">
        <v>127295.38</v>
      </c>
      <c r="BO537" s="227">
        <v>1513628.4099999997</v>
      </c>
    </row>
    <row r="538" spans="1:67" ht="15" customHeight="1">
      <c r="A538" s="215" t="s">
        <v>2524</v>
      </c>
      <c r="B538" s="215" t="s">
        <v>2525</v>
      </c>
      <c r="C538" s="150" t="s">
        <v>1136</v>
      </c>
      <c r="D538" s="334" t="s">
        <v>1135</v>
      </c>
      <c r="E538" s="334" t="s">
        <v>1145</v>
      </c>
      <c r="F538" s="334" t="s">
        <v>1137</v>
      </c>
      <c r="G538" s="516" t="s">
        <v>639</v>
      </c>
      <c r="H538" s="398" t="s">
        <v>2523</v>
      </c>
      <c r="I538" s="343"/>
      <c r="J538" s="344"/>
      <c r="K538" s="219" t="s">
        <v>851</v>
      </c>
      <c r="L538" s="349" t="s">
        <v>1153</v>
      </c>
      <c r="M538" s="343"/>
      <c r="N538" s="349"/>
      <c r="O538" s="334" t="s">
        <v>64</v>
      </c>
      <c r="P538" s="354"/>
      <c r="Q538" s="404"/>
      <c r="R538" s="407">
        <v>0</v>
      </c>
      <c r="S538" s="407">
        <v>0</v>
      </c>
      <c r="T538" s="425"/>
      <c r="U538" s="71"/>
      <c r="V538" s="408">
        <v>127295.39</v>
      </c>
      <c r="W538" s="410">
        <v>113379.22</v>
      </c>
      <c r="X538" s="410">
        <v>-240674.61</v>
      </c>
      <c r="Y538" s="428">
        <v>0</v>
      </c>
      <c r="Z538" s="429">
        <v>0</v>
      </c>
      <c r="AA538" s="429">
        <v>0</v>
      </c>
      <c r="AB538" s="369"/>
      <c r="AC538" s="369"/>
      <c r="AD538" s="369"/>
      <c r="AE538" s="369"/>
      <c r="AF538" s="369"/>
      <c r="AG538" s="369"/>
      <c r="AH538" s="367">
        <f t="shared" si="28"/>
        <v>0</v>
      </c>
      <c r="AI538" s="362">
        <f>ERP_5[[#This Row],[2026 Working Total]]-ERP_5[[#This Row],[LE2 Final Submission]]</f>
        <v>0</v>
      </c>
      <c r="AJ538" s="227"/>
      <c r="AK538" s="227">
        <f t="shared" si="27"/>
        <v>0</v>
      </c>
      <c r="AL538" s="374">
        <f>SUM(ERP_5[[#This Row],[AP01]:[AP06]])-SUM(ERP_5[[#This Row],[AP01 LE2]:[AP06 LE2]])</f>
        <v>0</v>
      </c>
      <c r="AM538" s="80"/>
      <c r="AN538" s="79">
        <f>ERP_5[[#This Row],[2026 Working Total to Budget/LE]]-ERP_5[[#This Row],[Giveback]]</f>
        <v>0</v>
      </c>
      <c r="AO538" s="81"/>
      <c r="AP538" s="375">
        <v>127295.39</v>
      </c>
      <c r="AQ538" s="375">
        <v>113379.22</v>
      </c>
      <c r="AR538" s="375">
        <v>-240674.61</v>
      </c>
      <c r="AS538" s="375"/>
      <c r="AT538" s="375"/>
      <c r="AU538" s="375"/>
      <c r="AV538" s="375"/>
      <c r="AW538" s="375"/>
      <c r="AX538" s="375"/>
      <c r="AY538" s="375"/>
      <c r="AZ538" s="375"/>
      <c r="BA538" s="375"/>
      <c r="BB538" s="375">
        <v>0</v>
      </c>
      <c r="BC538" s="227">
        <v>127295.39</v>
      </c>
      <c r="BD538" s="227">
        <v>113379.22</v>
      </c>
      <c r="BE538" s="227">
        <v>-240674.61</v>
      </c>
      <c r="BF538" s="227"/>
      <c r="BG538" s="227"/>
      <c r="BH538" s="227"/>
      <c r="BI538" s="227"/>
      <c r="BJ538" s="227"/>
      <c r="BK538" s="227"/>
      <c r="BL538" s="227"/>
      <c r="BM538" s="227"/>
      <c r="BN538" s="227"/>
      <c r="BO538" s="227">
        <v>0</v>
      </c>
    </row>
    <row r="539" spans="1:67" ht="15" customHeight="1">
      <c r="A539" s="215" t="s">
        <v>1946</v>
      </c>
      <c r="B539" s="215" t="s">
        <v>485</v>
      </c>
      <c r="C539" s="150" t="s">
        <v>1136</v>
      </c>
      <c r="D539" s="334" t="s">
        <v>1135</v>
      </c>
      <c r="E539" s="334" t="s">
        <v>1135</v>
      </c>
      <c r="F539" s="334" t="s">
        <v>1137</v>
      </c>
      <c r="G539" s="516" t="s">
        <v>389</v>
      </c>
      <c r="H539" s="398" t="s">
        <v>1947</v>
      </c>
      <c r="I539" s="343"/>
      <c r="J539" s="344"/>
      <c r="K539" s="219" t="s">
        <v>486</v>
      </c>
      <c r="L539" s="349" t="s">
        <v>1153</v>
      </c>
      <c r="M539" s="343"/>
      <c r="N539" s="349"/>
      <c r="O539" s="334" t="s">
        <v>487</v>
      </c>
      <c r="P539" s="354"/>
      <c r="Q539" s="403"/>
      <c r="R539" s="406">
        <v>-608600</v>
      </c>
      <c r="S539" s="406">
        <v>-597160</v>
      </c>
      <c r="T539" s="425"/>
      <c r="U539" s="71"/>
      <c r="V539" s="408"/>
      <c r="W539" s="410"/>
      <c r="X539" s="410">
        <v>-123760</v>
      </c>
      <c r="Y539" s="428">
        <v>0</v>
      </c>
      <c r="Z539" s="429">
        <v>-113731.04000000001</v>
      </c>
      <c r="AA539" s="429">
        <v>-60567.46</v>
      </c>
      <c r="AB539" s="369">
        <v>-52600</v>
      </c>
      <c r="AC539" s="369">
        <v>-52600</v>
      </c>
      <c r="AD539" s="369">
        <v>-52600</v>
      </c>
      <c r="AE539" s="369">
        <v>-52600</v>
      </c>
      <c r="AF539" s="369">
        <v>-52600</v>
      </c>
      <c r="AG539" s="369">
        <v>-52600</v>
      </c>
      <c r="AH539" s="367">
        <f t="shared" si="28"/>
        <v>-613658.5</v>
      </c>
      <c r="AI539" s="362">
        <f>ERP_5[[#This Row],[2026 Working Total]]-ERP_5[[#This Row],[LE2 Final Submission]]</f>
        <v>-16498.5</v>
      </c>
      <c r="AJ539" s="227">
        <v>-52600</v>
      </c>
      <c r="AK539" s="227">
        <f t="shared" si="27"/>
        <v>-7967.4599999999991</v>
      </c>
      <c r="AL539" s="374">
        <f>SUM(ERP_5[[#This Row],[AP01]:[AP06]])-SUM(ERP_5[[#This Row],[AP01 LE2]:[AP06 LE2]])</f>
        <v>-16498.5</v>
      </c>
      <c r="AM539" s="80"/>
      <c r="AN539" s="79">
        <f>ERP_5[[#This Row],[2026 Working Total to Budget/LE]]-ERP_5[[#This Row],[Giveback]]</f>
        <v>-16498.5</v>
      </c>
      <c r="AO539" s="81"/>
      <c r="AP539" s="375"/>
      <c r="AQ539" s="375"/>
      <c r="AR539" s="375">
        <v>-123760</v>
      </c>
      <c r="AS539" s="375">
        <v>-52600</v>
      </c>
      <c r="AT539" s="375">
        <v>-52600</v>
      </c>
      <c r="AU539" s="375">
        <v>-52600</v>
      </c>
      <c r="AV539" s="375">
        <v>-52600</v>
      </c>
      <c r="AW539" s="375">
        <v>-52600</v>
      </c>
      <c r="AX539" s="375">
        <v>-52600</v>
      </c>
      <c r="AY539" s="375">
        <v>-52600</v>
      </c>
      <c r="AZ539" s="375">
        <v>-52600</v>
      </c>
      <c r="BA539" s="375">
        <v>-52600</v>
      </c>
      <c r="BB539" s="375">
        <v>-597160</v>
      </c>
      <c r="BC539" s="227"/>
      <c r="BD539" s="227"/>
      <c r="BE539" s="227">
        <v>-123760</v>
      </c>
      <c r="BF539" s="227">
        <v>-52600</v>
      </c>
      <c r="BG539" s="227">
        <v>-52600</v>
      </c>
      <c r="BH539" s="227">
        <v>-52600</v>
      </c>
      <c r="BI539" s="227">
        <v>-52600</v>
      </c>
      <c r="BJ539" s="227">
        <v>-52600</v>
      </c>
      <c r="BK539" s="227">
        <v>-52600</v>
      </c>
      <c r="BL539" s="227">
        <v>-52600</v>
      </c>
      <c r="BM539" s="227">
        <v>-52600</v>
      </c>
      <c r="BN539" s="227">
        <v>-52600</v>
      </c>
      <c r="BO539" s="227">
        <v>-597160</v>
      </c>
    </row>
    <row r="540" spans="1:67" ht="15" customHeight="1">
      <c r="A540" s="215" t="s">
        <v>2526</v>
      </c>
      <c r="B540" s="215" t="s">
        <v>852</v>
      </c>
      <c r="C540" s="150" t="s">
        <v>1136</v>
      </c>
      <c r="D540" s="334" t="s">
        <v>1135</v>
      </c>
      <c r="E540" s="334" t="s">
        <v>1135</v>
      </c>
      <c r="F540" s="334" t="s">
        <v>1137</v>
      </c>
      <c r="G540" s="516" t="s">
        <v>639</v>
      </c>
      <c r="H540" s="398" t="s">
        <v>1947</v>
      </c>
      <c r="I540" s="343"/>
      <c r="J540" s="344"/>
      <c r="K540" s="219" t="s">
        <v>486</v>
      </c>
      <c r="L540" s="349" t="s">
        <v>1153</v>
      </c>
      <c r="M540" s="343"/>
      <c r="N540" s="349"/>
      <c r="O540" s="334" t="s">
        <v>487</v>
      </c>
      <c r="P540" s="354"/>
      <c r="Q540" s="403"/>
      <c r="R540" s="406">
        <v>-937488</v>
      </c>
      <c r="S540" s="406">
        <v>-925916</v>
      </c>
      <c r="T540" s="425"/>
      <c r="U540" s="71"/>
      <c r="V540" s="408"/>
      <c r="W540" s="410"/>
      <c r="X540" s="410">
        <v>-222800</v>
      </c>
      <c r="Y540" s="428">
        <v>0</v>
      </c>
      <c r="Z540" s="429">
        <v>-128741.87</v>
      </c>
      <c r="AA540" s="429">
        <v>-52011.25</v>
      </c>
      <c r="AB540" s="369">
        <v>-78124</v>
      </c>
      <c r="AC540" s="369">
        <v>-78124</v>
      </c>
      <c r="AD540" s="369">
        <v>-78124</v>
      </c>
      <c r="AE540" s="369">
        <v>-78124</v>
      </c>
      <c r="AF540" s="369">
        <v>-78124</v>
      </c>
      <c r="AG540" s="369">
        <v>-78124</v>
      </c>
      <c r="AH540" s="367">
        <f t="shared" si="28"/>
        <v>-872297.12</v>
      </c>
      <c r="AI540" s="362">
        <f>ERP_5[[#This Row],[2026 Working Total]]-ERP_5[[#This Row],[LE2 Final Submission]]</f>
        <v>53618.880000000005</v>
      </c>
      <c r="AJ540" s="227">
        <v>-78124</v>
      </c>
      <c r="AK540" s="227">
        <f t="shared" si="27"/>
        <v>26112.75</v>
      </c>
      <c r="AL540" s="374">
        <f>SUM(ERP_5[[#This Row],[AP01]:[AP06]])-SUM(ERP_5[[#This Row],[AP01 LE2]:[AP06 LE2]])</f>
        <v>53618.880000000005</v>
      </c>
      <c r="AM540" s="80"/>
      <c r="AN540" s="79">
        <f>ERP_5[[#This Row],[2026 Working Total to Budget/LE]]-ERP_5[[#This Row],[Giveback]]</f>
        <v>53618.880000000005</v>
      </c>
      <c r="AO540" s="81"/>
      <c r="AP540" s="375"/>
      <c r="AQ540" s="375"/>
      <c r="AR540" s="375">
        <v>-222800</v>
      </c>
      <c r="AS540" s="375">
        <v>-78124</v>
      </c>
      <c r="AT540" s="375">
        <v>-78124</v>
      </c>
      <c r="AU540" s="375">
        <v>-78124</v>
      </c>
      <c r="AV540" s="375">
        <v>-78124</v>
      </c>
      <c r="AW540" s="375">
        <v>-78124</v>
      </c>
      <c r="AX540" s="375">
        <v>-78124</v>
      </c>
      <c r="AY540" s="375">
        <v>-78124</v>
      </c>
      <c r="AZ540" s="375">
        <v>-78124</v>
      </c>
      <c r="BA540" s="375">
        <v>-78124</v>
      </c>
      <c r="BB540" s="375">
        <v>-925916</v>
      </c>
      <c r="BC540" s="227"/>
      <c r="BD540" s="227"/>
      <c r="BE540" s="227">
        <v>-222800</v>
      </c>
      <c r="BF540" s="227">
        <v>-78124</v>
      </c>
      <c r="BG540" s="227">
        <v>-78124</v>
      </c>
      <c r="BH540" s="227">
        <v>-78124</v>
      </c>
      <c r="BI540" s="227">
        <v>-78124</v>
      </c>
      <c r="BJ540" s="227">
        <v>-78124</v>
      </c>
      <c r="BK540" s="227">
        <v>-78124</v>
      </c>
      <c r="BL540" s="227">
        <v>-78124</v>
      </c>
      <c r="BM540" s="227">
        <v>-78124</v>
      </c>
      <c r="BN540" s="227">
        <v>-78124</v>
      </c>
      <c r="BO540" s="227">
        <v>-925916</v>
      </c>
    </row>
    <row r="541" spans="1:67" ht="15" customHeight="1">
      <c r="A541" s="215" t="s">
        <v>1948</v>
      </c>
      <c r="B541" s="215" t="s">
        <v>1949</v>
      </c>
      <c r="C541" s="150" t="s">
        <v>1136</v>
      </c>
      <c r="D541" s="334" t="s">
        <v>1135</v>
      </c>
      <c r="E541" s="334" t="s">
        <v>1145</v>
      </c>
      <c r="F541" s="334" t="s">
        <v>1137</v>
      </c>
      <c r="G541" s="516" t="s">
        <v>389</v>
      </c>
      <c r="H541" s="398" t="s">
        <v>1947</v>
      </c>
      <c r="I541" s="343"/>
      <c r="J541" s="344"/>
      <c r="K541" s="219" t="s">
        <v>486</v>
      </c>
      <c r="L541" s="349" t="s">
        <v>1153</v>
      </c>
      <c r="M541" s="343"/>
      <c r="N541" s="349"/>
      <c r="O541" s="334" t="s">
        <v>487</v>
      </c>
      <c r="P541" s="354"/>
      <c r="Q541" s="404"/>
      <c r="R541" s="407">
        <v>0</v>
      </c>
      <c r="S541" s="407">
        <v>0</v>
      </c>
      <c r="T541" s="425"/>
      <c r="U541" s="71"/>
      <c r="V541" s="408"/>
      <c r="W541" s="410">
        <v>-68030</v>
      </c>
      <c r="X541" s="410">
        <v>68030</v>
      </c>
      <c r="Y541" s="428">
        <v>0</v>
      </c>
      <c r="Z541" s="429">
        <v>0</v>
      </c>
      <c r="AA541" s="429">
        <v>0</v>
      </c>
      <c r="AB541" s="369"/>
      <c r="AC541" s="369"/>
      <c r="AD541" s="369"/>
      <c r="AE541" s="369"/>
      <c r="AF541" s="369"/>
      <c r="AG541" s="369"/>
      <c r="AH541" s="367">
        <f t="shared" si="28"/>
        <v>0</v>
      </c>
      <c r="AI541" s="362">
        <f>ERP_5[[#This Row],[2026 Working Total]]-ERP_5[[#This Row],[LE2 Final Submission]]</f>
        <v>0</v>
      </c>
      <c r="AJ541" s="227"/>
      <c r="AK541" s="227">
        <f t="shared" si="27"/>
        <v>0</v>
      </c>
      <c r="AL541" s="374">
        <f>SUM(ERP_5[[#This Row],[AP01]:[AP06]])-SUM(ERP_5[[#This Row],[AP01 LE2]:[AP06 LE2]])</f>
        <v>0</v>
      </c>
      <c r="AM541" s="80"/>
      <c r="AN541" s="79">
        <f>ERP_5[[#This Row],[2026 Working Total to Budget/LE]]-ERP_5[[#This Row],[Giveback]]</f>
        <v>0</v>
      </c>
      <c r="AO541" s="81"/>
      <c r="AP541" s="375"/>
      <c r="AQ541" s="375">
        <v>-68030</v>
      </c>
      <c r="AR541" s="375">
        <v>68030</v>
      </c>
      <c r="AS541" s="375"/>
      <c r="AT541" s="375"/>
      <c r="AU541" s="375"/>
      <c r="AV541" s="375"/>
      <c r="AW541" s="375"/>
      <c r="AX541" s="375"/>
      <c r="AY541" s="375"/>
      <c r="AZ541" s="375"/>
      <c r="BA541" s="375"/>
      <c r="BB541" s="375">
        <v>0</v>
      </c>
      <c r="BC541" s="227"/>
      <c r="BD541" s="227">
        <v>-68030</v>
      </c>
      <c r="BE541" s="227">
        <v>68030</v>
      </c>
      <c r="BF541" s="227"/>
      <c r="BG541" s="227"/>
      <c r="BH541" s="227"/>
      <c r="BI541" s="227"/>
      <c r="BJ541" s="227"/>
      <c r="BK541" s="227"/>
      <c r="BL541" s="227"/>
      <c r="BM541" s="227"/>
      <c r="BN541" s="227"/>
      <c r="BO541" s="227">
        <v>0</v>
      </c>
    </row>
    <row r="542" spans="1:67" ht="15" customHeight="1">
      <c r="A542" s="215" t="s">
        <v>2527</v>
      </c>
      <c r="B542" s="215" t="s">
        <v>2528</v>
      </c>
      <c r="C542" s="150" t="s">
        <v>1136</v>
      </c>
      <c r="D542" s="334" t="s">
        <v>1135</v>
      </c>
      <c r="E542" s="334" t="s">
        <v>1145</v>
      </c>
      <c r="F542" s="334" t="s">
        <v>1137</v>
      </c>
      <c r="G542" s="516" t="s">
        <v>639</v>
      </c>
      <c r="H542" s="398" t="s">
        <v>1947</v>
      </c>
      <c r="I542" s="343"/>
      <c r="J542" s="344"/>
      <c r="K542" s="219" t="s">
        <v>486</v>
      </c>
      <c r="L542" s="349" t="s">
        <v>1153</v>
      </c>
      <c r="M542" s="343"/>
      <c r="N542" s="349"/>
      <c r="O542" s="334" t="s">
        <v>487</v>
      </c>
      <c r="P542" s="354"/>
      <c r="Q542" s="404"/>
      <c r="R542" s="407">
        <v>0</v>
      </c>
      <c r="S542" s="407">
        <v>0</v>
      </c>
      <c r="T542" s="425"/>
      <c r="U542" s="71"/>
      <c r="V542" s="408"/>
      <c r="W542" s="410">
        <v>-158800</v>
      </c>
      <c r="X542" s="410">
        <v>158800</v>
      </c>
      <c r="Y542" s="428">
        <v>0</v>
      </c>
      <c r="Z542" s="429">
        <v>0</v>
      </c>
      <c r="AA542" s="429">
        <v>0</v>
      </c>
      <c r="AB542" s="369"/>
      <c r="AC542" s="369"/>
      <c r="AD542" s="369"/>
      <c r="AE542" s="369"/>
      <c r="AF542" s="369"/>
      <c r="AG542" s="369"/>
      <c r="AH542" s="367">
        <f t="shared" si="28"/>
        <v>0</v>
      </c>
      <c r="AI542" s="362">
        <f>ERP_5[[#This Row],[2026 Working Total]]-ERP_5[[#This Row],[LE2 Final Submission]]</f>
        <v>0</v>
      </c>
      <c r="AJ542" s="227"/>
      <c r="AK542" s="227">
        <f t="shared" si="27"/>
        <v>0</v>
      </c>
      <c r="AL542" s="374">
        <f>SUM(ERP_5[[#This Row],[AP01]:[AP06]])-SUM(ERP_5[[#This Row],[AP01 LE2]:[AP06 LE2]])</f>
        <v>0</v>
      </c>
      <c r="AM542" s="80"/>
      <c r="AN542" s="79">
        <f>ERP_5[[#This Row],[2026 Working Total to Budget/LE]]-ERP_5[[#This Row],[Giveback]]</f>
        <v>0</v>
      </c>
      <c r="AO542" s="81"/>
      <c r="AP542" s="375"/>
      <c r="AQ542" s="375">
        <v>-158800</v>
      </c>
      <c r="AR542" s="375">
        <v>158800</v>
      </c>
      <c r="AS542" s="375"/>
      <c r="AT542" s="375"/>
      <c r="AU542" s="375"/>
      <c r="AV542" s="375"/>
      <c r="AW542" s="375"/>
      <c r="AX542" s="375"/>
      <c r="AY542" s="375"/>
      <c r="AZ542" s="375"/>
      <c r="BA542" s="375"/>
      <c r="BB542" s="375">
        <v>0</v>
      </c>
      <c r="BC542" s="227"/>
      <c r="BD542" s="227">
        <v>-158800</v>
      </c>
      <c r="BE542" s="227">
        <v>158800</v>
      </c>
      <c r="BF542" s="227"/>
      <c r="BG542" s="227"/>
      <c r="BH542" s="227"/>
      <c r="BI542" s="227"/>
      <c r="BJ542" s="227"/>
      <c r="BK542" s="227"/>
      <c r="BL542" s="227"/>
      <c r="BM542" s="227"/>
      <c r="BN542" s="227"/>
      <c r="BO542" s="227">
        <v>0</v>
      </c>
    </row>
    <row r="543" spans="1:67" ht="15" customHeight="1">
      <c r="A543" s="227" t="s">
        <v>2529</v>
      </c>
      <c r="B543" s="330" t="s">
        <v>2530</v>
      </c>
      <c r="C543" s="150" t="s">
        <v>1136</v>
      </c>
      <c r="D543" s="336" t="s">
        <v>1135</v>
      </c>
      <c r="E543" s="338" t="s">
        <v>1145</v>
      </c>
      <c r="F543" s="335" t="s">
        <v>1137</v>
      </c>
      <c r="G543" s="517" t="s">
        <v>639</v>
      </c>
      <c r="H543" s="399" t="s">
        <v>2531</v>
      </c>
      <c r="I543" s="343" t="s">
        <v>2532</v>
      </c>
      <c r="J543" s="334" t="s">
        <v>1186</v>
      </c>
      <c r="K543" s="235" t="s">
        <v>854</v>
      </c>
      <c r="L543" s="344"/>
      <c r="M543" s="346" t="s">
        <v>1717</v>
      </c>
      <c r="N543" s="349" t="s">
        <v>1710</v>
      </c>
      <c r="O543" s="352" t="s">
        <v>368</v>
      </c>
      <c r="P543" s="355" t="s">
        <v>1348</v>
      </c>
      <c r="Q543" s="437"/>
      <c r="R543" s="358">
        <v>40902.519999999997</v>
      </c>
      <c r="S543" s="378">
        <v>0</v>
      </c>
      <c r="T543" s="425"/>
      <c r="U543" s="71"/>
      <c r="V543" s="409"/>
      <c r="W543" s="411"/>
      <c r="X543" s="411"/>
      <c r="Y543" s="428" t="s">
        <v>1142</v>
      </c>
      <c r="Z543" s="429">
        <v>0</v>
      </c>
      <c r="AA543" s="429">
        <v>0</v>
      </c>
      <c r="AB543" s="370">
        <v>0</v>
      </c>
      <c r="AC543" s="370">
        <v>0</v>
      </c>
      <c r="AD543" s="370">
        <v>0</v>
      </c>
      <c r="AE543" s="370">
        <v>0</v>
      </c>
      <c r="AF543" s="370">
        <v>0</v>
      </c>
      <c r="AG543" s="370">
        <v>0</v>
      </c>
      <c r="AH543" s="367">
        <f t="shared" si="28"/>
        <v>0</v>
      </c>
      <c r="AI543" s="362">
        <f>ERP_5[[#This Row],[2026 Working Total]]-ERP_5[[#This Row],[LE2 Final Submission]]</f>
        <v>0</v>
      </c>
      <c r="AJ543" s="227">
        <v>0</v>
      </c>
      <c r="AK543" s="227">
        <f t="shared" si="27"/>
        <v>0</v>
      </c>
      <c r="AL543" s="374">
        <f>SUM(ERP_5[[#This Row],[AP01]:[AP06]])-SUM(ERP_5[[#This Row],[AP01 LE2]:[AP06 LE2]])</f>
        <v>0</v>
      </c>
      <c r="AM543" s="80"/>
      <c r="AN543" s="79">
        <f>ERP_5[[#This Row],[2026 Working Total to Budget/LE]]-ERP_5[[#This Row],[Giveback]]</f>
        <v>0</v>
      </c>
      <c r="AO543" s="81"/>
      <c r="AP543" s="375"/>
      <c r="AQ543" s="375"/>
      <c r="AR543" s="375"/>
      <c r="AS543" s="375">
        <v>0</v>
      </c>
      <c r="AT543" s="375">
        <v>0</v>
      </c>
      <c r="AU543" s="375">
        <v>0</v>
      </c>
      <c r="AV543" s="375">
        <v>0</v>
      </c>
      <c r="AW543" s="375">
        <v>0</v>
      </c>
      <c r="AX543" s="375">
        <v>0</v>
      </c>
      <c r="AY543" s="375">
        <v>0</v>
      </c>
      <c r="AZ543" s="375">
        <v>0</v>
      </c>
      <c r="BA543" s="375">
        <v>0</v>
      </c>
      <c r="BB543" s="375">
        <v>0</v>
      </c>
      <c r="BC543" s="246">
        <v>40902.519999999997</v>
      </c>
      <c r="BD543" s="246">
        <v>0</v>
      </c>
      <c r="BE543" s="246">
        <v>0</v>
      </c>
      <c r="BF543" s="246">
        <v>0</v>
      </c>
      <c r="BG543" s="246">
        <v>0</v>
      </c>
      <c r="BH543" s="246">
        <v>0</v>
      </c>
      <c r="BI543" s="246">
        <v>0</v>
      </c>
      <c r="BJ543" s="246">
        <v>0</v>
      </c>
      <c r="BK543" s="246">
        <v>0</v>
      </c>
      <c r="BL543" s="246">
        <v>0</v>
      </c>
      <c r="BM543" s="246">
        <v>0</v>
      </c>
      <c r="BN543" s="246">
        <v>0</v>
      </c>
      <c r="BO543" s="227">
        <f>SUM(ERP_5[[#This Row],[2026 AP01]:[2026 AP12]])</f>
        <v>40902.519999999997</v>
      </c>
    </row>
    <row r="544" spans="1:67" ht="15" customHeight="1">
      <c r="A544" s="215" t="s">
        <v>2799</v>
      </c>
      <c r="B544" s="215" t="s">
        <v>2800</v>
      </c>
      <c r="C544" s="150" t="s">
        <v>1136</v>
      </c>
      <c r="D544" s="334" t="s">
        <v>1345</v>
      </c>
      <c r="E544" s="334" t="s">
        <v>1346</v>
      </c>
      <c r="F544" s="334" t="s">
        <v>1346</v>
      </c>
      <c r="G544" s="516" t="s">
        <v>639</v>
      </c>
      <c r="H544" s="398" t="s">
        <v>2801</v>
      </c>
      <c r="I544" s="343"/>
      <c r="J544" s="344"/>
      <c r="K544" s="219" t="s">
        <v>1010</v>
      </c>
      <c r="L544" s="349"/>
      <c r="M544" s="343"/>
      <c r="N544" s="349"/>
      <c r="O544" s="334" t="s">
        <v>25</v>
      </c>
      <c r="P544" s="354"/>
      <c r="Q544" s="403"/>
      <c r="R544" s="406">
        <v>500</v>
      </c>
      <c r="S544" s="406">
        <v>500</v>
      </c>
      <c r="T544" s="425"/>
      <c r="U544" s="71"/>
      <c r="V544" s="408"/>
      <c r="W544" s="410"/>
      <c r="X544" s="410"/>
      <c r="Y544" s="428" t="s">
        <v>1142</v>
      </c>
      <c r="Z544" s="429">
        <v>0</v>
      </c>
      <c r="AA544" s="429">
        <v>0</v>
      </c>
      <c r="AB544" s="369"/>
      <c r="AC544" s="369"/>
      <c r="AD544" s="369"/>
      <c r="AE544" s="369"/>
      <c r="AF544" s="369">
        <v>500</v>
      </c>
      <c r="AG544" s="368">
        <v>0</v>
      </c>
      <c r="AH544" s="367">
        <f t="shared" si="28"/>
        <v>500</v>
      </c>
      <c r="AI544" s="362">
        <f>ERP_5[[#This Row],[2026 Working Total]]-ERP_5[[#This Row],[LE2 Final Submission]]</f>
        <v>0</v>
      </c>
      <c r="AJ544" s="227"/>
      <c r="AK544" s="227">
        <f t="shared" si="27"/>
        <v>0</v>
      </c>
      <c r="AL544" s="374">
        <f>SUM(ERP_5[[#This Row],[AP01]:[AP06]])-SUM(ERP_5[[#This Row],[AP01 LE2]:[AP06 LE2]])</f>
        <v>0</v>
      </c>
      <c r="AM544" s="80"/>
      <c r="AN544" s="79">
        <f>ERP_5[[#This Row],[2026 Working Total to Budget/LE]]-ERP_5[[#This Row],[Giveback]]</f>
        <v>0</v>
      </c>
      <c r="AO544" s="81"/>
      <c r="AP544" s="375"/>
      <c r="AQ544" s="375"/>
      <c r="AR544" s="375"/>
      <c r="AS544" s="375"/>
      <c r="AT544" s="375"/>
      <c r="AU544" s="375"/>
      <c r="AV544" s="375"/>
      <c r="AW544" s="375"/>
      <c r="AX544" s="375"/>
      <c r="AY544" s="375"/>
      <c r="AZ544" s="375">
        <v>500</v>
      </c>
      <c r="BA544" s="375">
        <v>0</v>
      </c>
      <c r="BB544" s="375">
        <v>500</v>
      </c>
      <c r="BC544" s="227"/>
      <c r="BD544" s="227"/>
      <c r="BE544" s="227"/>
      <c r="BF544" s="227"/>
      <c r="BG544" s="227"/>
      <c r="BH544" s="227"/>
      <c r="BI544" s="227"/>
      <c r="BJ544" s="227"/>
      <c r="BK544" s="227"/>
      <c r="BL544" s="227"/>
      <c r="BM544" s="227">
        <v>500</v>
      </c>
      <c r="BN544" s="227">
        <v>0</v>
      </c>
      <c r="BO544" s="227">
        <v>500</v>
      </c>
    </row>
    <row r="545" spans="1:67" ht="15" customHeight="1">
      <c r="A545" s="215" t="s">
        <v>2802</v>
      </c>
      <c r="B545" s="215" t="s">
        <v>2803</v>
      </c>
      <c r="C545" s="150" t="s">
        <v>1136</v>
      </c>
      <c r="D545" s="334" t="s">
        <v>1345</v>
      </c>
      <c r="E545" s="334" t="s">
        <v>1346</v>
      </c>
      <c r="F545" s="334" t="s">
        <v>1346</v>
      </c>
      <c r="G545" s="516" t="s">
        <v>639</v>
      </c>
      <c r="H545" s="398" t="s">
        <v>2804</v>
      </c>
      <c r="I545" s="343"/>
      <c r="J545" s="344"/>
      <c r="K545" s="219" t="s">
        <v>1012</v>
      </c>
      <c r="L545" s="349"/>
      <c r="M545" s="343"/>
      <c r="N545" s="349"/>
      <c r="O545" s="334" t="s">
        <v>25</v>
      </c>
      <c r="P545" s="354"/>
      <c r="Q545" s="403"/>
      <c r="R545" s="406">
        <v>130</v>
      </c>
      <c r="S545" s="406">
        <v>130</v>
      </c>
      <c r="T545" s="425"/>
      <c r="U545" s="71"/>
      <c r="V545" s="408"/>
      <c r="W545" s="410"/>
      <c r="X545" s="410"/>
      <c r="Y545" s="428" t="s">
        <v>1142</v>
      </c>
      <c r="Z545" s="429">
        <v>0</v>
      </c>
      <c r="AA545" s="429">
        <v>0</v>
      </c>
      <c r="AB545" s="368">
        <v>0</v>
      </c>
      <c r="AC545" s="368">
        <v>0</v>
      </c>
      <c r="AD545" s="368">
        <v>0</v>
      </c>
      <c r="AE545" s="368">
        <v>0</v>
      </c>
      <c r="AF545" s="368">
        <v>0</v>
      </c>
      <c r="AG545" s="368">
        <v>0</v>
      </c>
      <c r="AH545" s="367">
        <f t="shared" si="28"/>
        <v>0</v>
      </c>
      <c r="AI545" s="362">
        <f>ERP_5[[#This Row],[2026 Working Total]]-ERP_5[[#This Row],[LE2 Final Submission]]</f>
        <v>-130</v>
      </c>
      <c r="AJ545" s="227"/>
      <c r="AK545" s="227">
        <f t="shared" si="27"/>
        <v>0</v>
      </c>
      <c r="AL545" s="374">
        <f>SUM(ERP_5[[#This Row],[AP01]:[AP06]])-SUM(ERP_5[[#This Row],[AP01 LE2]:[AP06 LE2]])</f>
        <v>-130</v>
      </c>
      <c r="AM545" s="80"/>
      <c r="AN545" s="79">
        <f>ERP_5[[#This Row],[2026 Working Total to Budget/LE]]-ERP_5[[#This Row],[Giveback]]</f>
        <v>-130</v>
      </c>
      <c r="AO545" s="81"/>
      <c r="AP545" s="375"/>
      <c r="AQ545" s="375"/>
      <c r="AR545" s="375"/>
      <c r="AS545" s="375"/>
      <c r="AT545" s="375"/>
      <c r="AU545" s="375">
        <v>130</v>
      </c>
      <c r="AV545" s="375">
        <v>0</v>
      </c>
      <c r="AW545" s="375">
        <v>0</v>
      </c>
      <c r="AX545" s="375">
        <v>0</v>
      </c>
      <c r="AY545" s="375">
        <v>0</v>
      </c>
      <c r="AZ545" s="375">
        <v>0</v>
      </c>
      <c r="BA545" s="375">
        <v>0</v>
      </c>
      <c r="BB545" s="375">
        <v>130</v>
      </c>
      <c r="BC545" s="227"/>
      <c r="BD545" s="227"/>
      <c r="BE545" s="227"/>
      <c r="BF545" s="227"/>
      <c r="BG545" s="227"/>
      <c r="BH545" s="227">
        <v>130</v>
      </c>
      <c r="BI545" s="227">
        <v>0</v>
      </c>
      <c r="BJ545" s="227">
        <v>0</v>
      </c>
      <c r="BK545" s="227">
        <v>0</v>
      </c>
      <c r="BL545" s="227">
        <v>0</v>
      </c>
      <c r="BM545" s="227">
        <v>0</v>
      </c>
      <c r="BN545" s="227">
        <v>0</v>
      </c>
      <c r="BO545" s="227">
        <v>130</v>
      </c>
    </row>
    <row r="546" spans="1:67" ht="15" customHeight="1">
      <c r="A546" s="215" t="s">
        <v>2688</v>
      </c>
      <c r="B546" s="215" t="s">
        <v>2689</v>
      </c>
      <c r="C546" s="150" t="s">
        <v>1136</v>
      </c>
      <c r="D546" s="334" t="s">
        <v>1345</v>
      </c>
      <c r="E546" s="334" t="s">
        <v>1346</v>
      </c>
      <c r="F546" s="334" t="s">
        <v>1346</v>
      </c>
      <c r="G546" s="516" t="s">
        <v>639</v>
      </c>
      <c r="H546" s="398" t="s">
        <v>2690</v>
      </c>
      <c r="I546" s="343"/>
      <c r="J546" s="344"/>
      <c r="K546" s="219" t="s">
        <v>1014</v>
      </c>
      <c r="L546" s="349"/>
      <c r="M546" s="343"/>
      <c r="N546" s="349"/>
      <c r="O546" s="334" t="s">
        <v>25</v>
      </c>
      <c r="P546" s="354" t="s">
        <v>2913</v>
      </c>
      <c r="Q546" s="403"/>
      <c r="R546" s="406">
        <v>250000</v>
      </c>
      <c r="S546" s="406">
        <v>250000</v>
      </c>
      <c r="T546" s="430"/>
      <c r="U546" s="137"/>
      <c r="V546" s="408"/>
      <c r="W546" s="410"/>
      <c r="X546" s="410"/>
      <c r="Y546" s="428" t="s">
        <v>1142</v>
      </c>
      <c r="Z546" s="429">
        <v>0</v>
      </c>
      <c r="AA546" s="429">
        <v>0</v>
      </c>
      <c r="AB546" s="368">
        <v>0</v>
      </c>
      <c r="AC546" s="368">
        <v>0</v>
      </c>
      <c r="AD546" s="368">
        <v>0</v>
      </c>
      <c r="AE546" s="368">
        <v>0</v>
      </c>
      <c r="AF546" s="368">
        <v>0</v>
      </c>
      <c r="AG546" s="368">
        <v>0</v>
      </c>
      <c r="AH546" s="367">
        <f t="shared" si="28"/>
        <v>0</v>
      </c>
      <c r="AI546" s="362">
        <f>ERP_5[[#This Row],[2026 Working Total]]-ERP_5[[#This Row],[LE2 Final Submission]]</f>
        <v>-250000</v>
      </c>
      <c r="AJ546" s="227"/>
      <c r="AK546" s="227">
        <f t="shared" si="27"/>
        <v>0</v>
      </c>
      <c r="AL546" s="374">
        <f>SUM(ERP_5[[#This Row],[AP01]:[AP06]])-SUM(ERP_5[[#This Row],[AP01 LE2]:[AP06 LE2]])</f>
        <v>-250000</v>
      </c>
      <c r="AM546" s="80"/>
      <c r="AN546" s="79">
        <f>ERP_5[[#This Row],[2026 Working Total to Budget/LE]]-ERP_5[[#This Row],[Giveback]]</f>
        <v>-250000</v>
      </c>
      <c r="AO546" s="81"/>
      <c r="AP546" s="375"/>
      <c r="AQ546" s="375"/>
      <c r="AR546" s="375"/>
      <c r="AS546" s="375"/>
      <c r="AT546" s="375"/>
      <c r="AU546" s="375">
        <v>250000</v>
      </c>
      <c r="AV546" s="375">
        <v>0</v>
      </c>
      <c r="AW546" s="375">
        <v>0</v>
      </c>
      <c r="AX546" s="375">
        <v>0</v>
      </c>
      <c r="AY546" s="375">
        <v>0</v>
      </c>
      <c r="AZ546" s="375">
        <v>0</v>
      </c>
      <c r="BA546" s="375">
        <v>0</v>
      </c>
      <c r="BB546" s="375">
        <v>250000</v>
      </c>
      <c r="BC546" s="227"/>
      <c r="BD546" s="227"/>
      <c r="BE546" s="227"/>
      <c r="BF546" s="227"/>
      <c r="BG546" s="227"/>
      <c r="BH546" s="227">
        <v>250000</v>
      </c>
      <c r="BI546" s="227">
        <v>0</v>
      </c>
      <c r="BJ546" s="227">
        <v>0</v>
      </c>
      <c r="BK546" s="227">
        <v>0</v>
      </c>
      <c r="BL546" s="227">
        <v>0</v>
      </c>
      <c r="BM546" s="227">
        <v>0</v>
      </c>
      <c r="BN546" s="227">
        <v>0</v>
      </c>
      <c r="BO546" s="227">
        <v>250000</v>
      </c>
    </row>
    <row r="547" spans="1:67" ht="15" customHeight="1">
      <c r="A547" s="227" t="s">
        <v>2533</v>
      </c>
      <c r="B547" s="330" t="s">
        <v>2534</v>
      </c>
      <c r="C547" s="150" t="s">
        <v>1136</v>
      </c>
      <c r="D547" s="336" t="s">
        <v>1135</v>
      </c>
      <c r="E547" s="338" t="s">
        <v>1145</v>
      </c>
      <c r="F547" s="335" t="s">
        <v>1137</v>
      </c>
      <c r="G547" s="517" t="s">
        <v>639</v>
      </c>
      <c r="H547" s="399" t="s">
        <v>2535</v>
      </c>
      <c r="I547" s="343" t="s">
        <v>2532</v>
      </c>
      <c r="J547" s="334" t="s">
        <v>1186</v>
      </c>
      <c r="K547" s="235" t="s">
        <v>856</v>
      </c>
      <c r="L547" s="344"/>
      <c r="M547" s="346" t="s">
        <v>1717</v>
      </c>
      <c r="N547" s="349" t="s">
        <v>1710</v>
      </c>
      <c r="O547" s="352" t="s">
        <v>368</v>
      </c>
      <c r="P547" s="355" t="s">
        <v>1348</v>
      </c>
      <c r="Q547" s="437"/>
      <c r="R547" s="358">
        <v>-40902.519999999997</v>
      </c>
      <c r="S547" s="378">
        <v>0</v>
      </c>
      <c r="T547" s="425"/>
      <c r="U547" s="71"/>
      <c r="V547" s="409"/>
      <c r="W547" s="411"/>
      <c r="X547" s="411"/>
      <c r="Y547" s="428" t="s">
        <v>1142</v>
      </c>
      <c r="Z547" s="429">
        <v>0</v>
      </c>
      <c r="AA547" s="429">
        <v>0</v>
      </c>
      <c r="AB547" s="370">
        <v>0</v>
      </c>
      <c r="AC547" s="370">
        <v>0</v>
      </c>
      <c r="AD547" s="370">
        <v>0</v>
      </c>
      <c r="AE547" s="370">
        <v>0</v>
      </c>
      <c r="AF547" s="370">
        <v>0</v>
      </c>
      <c r="AG547" s="370">
        <v>0</v>
      </c>
      <c r="AH547" s="367">
        <f t="shared" si="28"/>
        <v>0</v>
      </c>
      <c r="AI547" s="362">
        <f>ERP_5[[#This Row],[2026 Working Total]]-ERP_5[[#This Row],[LE2 Final Submission]]</f>
        <v>0</v>
      </c>
      <c r="AJ547" s="227">
        <v>0</v>
      </c>
      <c r="AK547" s="227">
        <f t="shared" si="27"/>
        <v>0</v>
      </c>
      <c r="AL547" s="374">
        <f>SUM(ERP_5[[#This Row],[AP01]:[AP06]])-SUM(ERP_5[[#This Row],[AP01 LE2]:[AP06 LE2]])</f>
        <v>0</v>
      </c>
      <c r="AM547" s="80"/>
      <c r="AN547" s="79">
        <f>ERP_5[[#This Row],[2026 Working Total to Budget/LE]]-ERP_5[[#This Row],[Giveback]]</f>
        <v>0</v>
      </c>
      <c r="AO547" s="81"/>
      <c r="AP547" s="375"/>
      <c r="AQ547" s="375"/>
      <c r="AR547" s="375"/>
      <c r="AS547" s="375">
        <v>0</v>
      </c>
      <c r="AT547" s="375">
        <v>0</v>
      </c>
      <c r="AU547" s="375">
        <v>0</v>
      </c>
      <c r="AV547" s="375">
        <v>0</v>
      </c>
      <c r="AW547" s="375">
        <v>0</v>
      </c>
      <c r="AX547" s="375">
        <v>0</v>
      </c>
      <c r="AY547" s="375">
        <v>0</v>
      </c>
      <c r="AZ547" s="375">
        <v>0</v>
      </c>
      <c r="BA547" s="375">
        <v>0</v>
      </c>
      <c r="BB547" s="375">
        <v>0</v>
      </c>
      <c r="BC547" s="246">
        <v>-40902.519999999997</v>
      </c>
      <c r="BD547" s="246">
        <v>0</v>
      </c>
      <c r="BE547" s="246">
        <v>0</v>
      </c>
      <c r="BF547" s="246">
        <v>0</v>
      </c>
      <c r="BG547" s="246">
        <v>0</v>
      </c>
      <c r="BH547" s="246">
        <v>0</v>
      </c>
      <c r="BI547" s="246">
        <v>0</v>
      </c>
      <c r="BJ547" s="246">
        <v>0</v>
      </c>
      <c r="BK547" s="246">
        <v>0</v>
      </c>
      <c r="BL547" s="246">
        <v>0</v>
      </c>
      <c r="BM547" s="246">
        <v>0</v>
      </c>
      <c r="BN547" s="246">
        <v>0</v>
      </c>
      <c r="BO547" s="227">
        <f>SUM(ERP_5[[#This Row],[2026 AP01]:[2026 AP12]])</f>
        <v>-40902.519999999997</v>
      </c>
    </row>
    <row r="548" spans="1:67" ht="15" customHeight="1">
      <c r="A548" s="227" t="s">
        <v>2536</v>
      </c>
      <c r="B548" s="330" t="s">
        <v>2537</v>
      </c>
      <c r="C548" s="150" t="s">
        <v>1136</v>
      </c>
      <c r="D548" s="336" t="s">
        <v>1135</v>
      </c>
      <c r="E548" s="338" t="s">
        <v>1145</v>
      </c>
      <c r="F548" s="335" t="s">
        <v>1137</v>
      </c>
      <c r="G548" s="517" t="s">
        <v>639</v>
      </c>
      <c r="H548" s="399" t="s">
        <v>2538</v>
      </c>
      <c r="I548" s="343" t="s">
        <v>2532</v>
      </c>
      <c r="J548" s="334" t="s">
        <v>1186</v>
      </c>
      <c r="K548" s="235" t="s">
        <v>858</v>
      </c>
      <c r="L548" s="344"/>
      <c r="M548" s="346" t="s">
        <v>1709</v>
      </c>
      <c r="N548" s="349" t="s">
        <v>1710</v>
      </c>
      <c r="O548" s="352" t="s">
        <v>368</v>
      </c>
      <c r="P548" s="355" t="s">
        <v>1348</v>
      </c>
      <c r="Q548" s="437"/>
      <c r="R548" s="358">
        <v>26386.85</v>
      </c>
      <c r="S548" s="378">
        <v>0</v>
      </c>
      <c r="T548" s="425"/>
      <c r="U548" s="71"/>
      <c r="V548" s="409"/>
      <c r="W548" s="411"/>
      <c r="X548" s="411"/>
      <c r="Y548" s="428" t="s">
        <v>1142</v>
      </c>
      <c r="Z548" s="429">
        <v>0</v>
      </c>
      <c r="AA548" s="429">
        <v>0</v>
      </c>
      <c r="AB548" s="370">
        <v>0</v>
      </c>
      <c r="AC548" s="370">
        <v>0</v>
      </c>
      <c r="AD548" s="370">
        <v>0</v>
      </c>
      <c r="AE548" s="370">
        <v>0</v>
      </c>
      <c r="AF548" s="370">
        <v>0</v>
      </c>
      <c r="AG548" s="370">
        <v>0</v>
      </c>
      <c r="AH548" s="367">
        <f t="shared" si="28"/>
        <v>0</v>
      </c>
      <c r="AI548" s="362">
        <f>ERP_5[[#This Row],[2026 Working Total]]-ERP_5[[#This Row],[LE2 Final Submission]]</f>
        <v>0</v>
      </c>
      <c r="AJ548" s="227">
        <v>0</v>
      </c>
      <c r="AK548" s="227">
        <f t="shared" si="27"/>
        <v>0</v>
      </c>
      <c r="AL548" s="374">
        <f>SUM(ERP_5[[#This Row],[AP01]:[AP06]])-SUM(ERP_5[[#This Row],[AP01 LE2]:[AP06 LE2]])</f>
        <v>0</v>
      </c>
      <c r="AM548" s="80"/>
      <c r="AN548" s="79">
        <f>ERP_5[[#This Row],[2026 Working Total to Budget/LE]]-ERP_5[[#This Row],[Giveback]]</f>
        <v>0</v>
      </c>
      <c r="AO548" s="81"/>
      <c r="AP548" s="375"/>
      <c r="AQ548" s="375"/>
      <c r="AR548" s="375"/>
      <c r="AS548" s="375">
        <v>0</v>
      </c>
      <c r="AT548" s="375">
        <v>0</v>
      </c>
      <c r="AU548" s="375">
        <v>0</v>
      </c>
      <c r="AV548" s="375">
        <v>0</v>
      </c>
      <c r="AW548" s="375">
        <v>0</v>
      </c>
      <c r="AX548" s="375">
        <v>0</v>
      </c>
      <c r="AY548" s="375">
        <v>0</v>
      </c>
      <c r="AZ548" s="375">
        <v>0</v>
      </c>
      <c r="BA548" s="375">
        <v>0</v>
      </c>
      <c r="BB548" s="375">
        <v>0</v>
      </c>
      <c r="BC548" s="246">
        <v>26386.85</v>
      </c>
      <c r="BD548" s="246">
        <v>0</v>
      </c>
      <c r="BE548" s="246">
        <v>0</v>
      </c>
      <c r="BF548" s="246">
        <v>0</v>
      </c>
      <c r="BG548" s="246">
        <v>0</v>
      </c>
      <c r="BH548" s="246">
        <v>0</v>
      </c>
      <c r="BI548" s="246">
        <v>0</v>
      </c>
      <c r="BJ548" s="246">
        <v>0</v>
      </c>
      <c r="BK548" s="246">
        <v>0</v>
      </c>
      <c r="BL548" s="246">
        <v>0</v>
      </c>
      <c r="BM548" s="246">
        <v>0</v>
      </c>
      <c r="BN548" s="246">
        <v>0</v>
      </c>
      <c r="BO548" s="227">
        <f>SUM(ERP_5[[#This Row],[2026 AP01]:[2026 AP12]])</f>
        <v>26386.85</v>
      </c>
    </row>
    <row r="549" spans="1:67" ht="15" customHeight="1">
      <c r="A549" s="227" t="s">
        <v>2539</v>
      </c>
      <c r="B549" s="330" t="s">
        <v>2540</v>
      </c>
      <c r="C549" s="150" t="s">
        <v>1136</v>
      </c>
      <c r="D549" s="336" t="s">
        <v>1135</v>
      </c>
      <c r="E549" s="338" t="s">
        <v>1145</v>
      </c>
      <c r="F549" s="335" t="s">
        <v>1137</v>
      </c>
      <c r="G549" s="517" t="s">
        <v>639</v>
      </c>
      <c r="H549" s="399" t="s">
        <v>2541</v>
      </c>
      <c r="I549" s="343" t="s">
        <v>2532</v>
      </c>
      <c r="J549" s="334" t="s">
        <v>1186</v>
      </c>
      <c r="K549" s="235" t="s">
        <v>860</v>
      </c>
      <c r="L549" s="344"/>
      <c r="M549" s="346" t="s">
        <v>1709</v>
      </c>
      <c r="N549" s="349" t="s">
        <v>1710</v>
      </c>
      <c r="O549" s="352" t="s">
        <v>368</v>
      </c>
      <c r="P549" s="355" t="s">
        <v>1348</v>
      </c>
      <c r="Q549" s="437"/>
      <c r="R549" s="358">
        <v>-26386.85</v>
      </c>
      <c r="S549" s="378">
        <v>0</v>
      </c>
      <c r="T549" s="425"/>
      <c r="U549" s="71"/>
      <c r="V549" s="409"/>
      <c r="W549" s="411"/>
      <c r="X549" s="411"/>
      <c r="Y549" s="428" t="s">
        <v>1142</v>
      </c>
      <c r="Z549" s="429">
        <v>0</v>
      </c>
      <c r="AA549" s="429">
        <v>0</v>
      </c>
      <c r="AB549" s="370">
        <v>0</v>
      </c>
      <c r="AC549" s="370">
        <v>0</v>
      </c>
      <c r="AD549" s="370">
        <v>0</v>
      </c>
      <c r="AE549" s="370">
        <v>0</v>
      </c>
      <c r="AF549" s="370">
        <v>0</v>
      </c>
      <c r="AG549" s="370">
        <v>0</v>
      </c>
      <c r="AH549" s="367">
        <f t="shared" si="28"/>
        <v>0</v>
      </c>
      <c r="AI549" s="362">
        <f>ERP_5[[#This Row],[2026 Working Total]]-ERP_5[[#This Row],[LE2 Final Submission]]</f>
        <v>0</v>
      </c>
      <c r="AJ549" s="227">
        <v>0</v>
      </c>
      <c r="AK549" s="227">
        <f t="shared" si="27"/>
        <v>0</v>
      </c>
      <c r="AL549" s="374">
        <f>SUM(ERP_5[[#This Row],[AP01]:[AP06]])-SUM(ERP_5[[#This Row],[AP01 LE2]:[AP06 LE2]])</f>
        <v>0</v>
      </c>
      <c r="AM549" s="80"/>
      <c r="AN549" s="79">
        <f>ERP_5[[#This Row],[2026 Working Total to Budget/LE]]-ERP_5[[#This Row],[Giveback]]</f>
        <v>0</v>
      </c>
      <c r="AO549" s="81"/>
      <c r="AP549" s="375"/>
      <c r="AQ549" s="375"/>
      <c r="AR549" s="375"/>
      <c r="AS549" s="375">
        <v>0</v>
      </c>
      <c r="AT549" s="375">
        <v>0</v>
      </c>
      <c r="AU549" s="375">
        <v>0</v>
      </c>
      <c r="AV549" s="375">
        <v>0</v>
      </c>
      <c r="AW549" s="375">
        <v>0</v>
      </c>
      <c r="AX549" s="375">
        <v>0</v>
      </c>
      <c r="AY549" s="375">
        <v>0</v>
      </c>
      <c r="AZ549" s="375">
        <v>0</v>
      </c>
      <c r="BA549" s="375">
        <v>0</v>
      </c>
      <c r="BB549" s="375">
        <v>0</v>
      </c>
      <c r="BC549" s="246">
        <v>-26386.85</v>
      </c>
      <c r="BD549" s="246">
        <v>0</v>
      </c>
      <c r="BE549" s="246">
        <v>0</v>
      </c>
      <c r="BF549" s="246">
        <v>0</v>
      </c>
      <c r="BG549" s="246">
        <v>0</v>
      </c>
      <c r="BH549" s="246">
        <v>0</v>
      </c>
      <c r="BI549" s="246">
        <v>0</v>
      </c>
      <c r="BJ549" s="246">
        <v>0</v>
      </c>
      <c r="BK549" s="246">
        <v>0</v>
      </c>
      <c r="BL549" s="246">
        <v>0</v>
      </c>
      <c r="BM549" s="246">
        <v>0</v>
      </c>
      <c r="BN549" s="246">
        <v>0</v>
      </c>
      <c r="BO549" s="227">
        <f>SUM(ERP_5[[#This Row],[2026 AP01]:[2026 AP12]])</f>
        <v>-26386.85</v>
      </c>
    </row>
    <row r="550" spans="1:67" ht="15" customHeight="1">
      <c r="A550" s="227" t="s">
        <v>2542</v>
      </c>
      <c r="B550" s="330" t="s">
        <v>2543</v>
      </c>
      <c r="C550" s="150" t="s">
        <v>1136</v>
      </c>
      <c r="D550" s="336" t="s">
        <v>1135</v>
      </c>
      <c r="E550" s="338" t="s">
        <v>1145</v>
      </c>
      <c r="F550" s="335" t="s">
        <v>1137</v>
      </c>
      <c r="G550" s="517" t="s">
        <v>639</v>
      </c>
      <c r="H550" s="399" t="s">
        <v>2544</v>
      </c>
      <c r="I550" s="343" t="s">
        <v>2545</v>
      </c>
      <c r="J550" s="334" t="s">
        <v>1186</v>
      </c>
      <c r="K550" s="235" t="s">
        <v>862</v>
      </c>
      <c r="L550" s="344"/>
      <c r="M550" s="346" t="s">
        <v>2546</v>
      </c>
      <c r="N550" s="349" t="s">
        <v>1710</v>
      </c>
      <c r="O550" s="352" t="s">
        <v>863</v>
      </c>
      <c r="P550" s="355" t="s">
        <v>1348</v>
      </c>
      <c r="Q550" s="437"/>
      <c r="R550" s="358">
        <v>21386.720000000001</v>
      </c>
      <c r="S550" s="378">
        <v>0</v>
      </c>
      <c r="T550" s="425"/>
      <c r="U550" s="71"/>
      <c r="V550" s="409"/>
      <c r="W550" s="411"/>
      <c r="X550" s="411"/>
      <c r="Y550" s="428" t="s">
        <v>1142</v>
      </c>
      <c r="Z550" s="429">
        <v>0</v>
      </c>
      <c r="AA550" s="429">
        <v>0</v>
      </c>
      <c r="AB550" s="370">
        <v>0</v>
      </c>
      <c r="AC550" s="370">
        <v>0</v>
      </c>
      <c r="AD550" s="370">
        <v>0</v>
      </c>
      <c r="AE550" s="370">
        <v>0</v>
      </c>
      <c r="AF550" s="370">
        <v>0</v>
      </c>
      <c r="AG550" s="370">
        <v>0</v>
      </c>
      <c r="AH550" s="367">
        <f t="shared" si="28"/>
        <v>0</v>
      </c>
      <c r="AI550" s="362">
        <f>ERP_5[[#This Row],[2026 Working Total]]-ERP_5[[#This Row],[LE2 Final Submission]]</f>
        <v>0</v>
      </c>
      <c r="AJ550" s="227">
        <v>0</v>
      </c>
      <c r="AK550" s="227">
        <f t="shared" si="27"/>
        <v>0</v>
      </c>
      <c r="AL550" s="374">
        <f>SUM(ERP_5[[#This Row],[AP01]:[AP06]])-SUM(ERP_5[[#This Row],[AP01 LE2]:[AP06 LE2]])</f>
        <v>0</v>
      </c>
      <c r="AM550" s="80"/>
      <c r="AN550" s="79">
        <f>ERP_5[[#This Row],[2026 Working Total to Budget/LE]]-ERP_5[[#This Row],[Giveback]]</f>
        <v>0</v>
      </c>
      <c r="AO550" s="81"/>
      <c r="AP550" s="375"/>
      <c r="AQ550" s="375"/>
      <c r="AR550" s="375"/>
      <c r="AS550" s="375">
        <v>0</v>
      </c>
      <c r="AT550" s="375">
        <v>0</v>
      </c>
      <c r="AU550" s="375">
        <v>0</v>
      </c>
      <c r="AV550" s="375">
        <v>0</v>
      </c>
      <c r="AW550" s="375">
        <v>0</v>
      </c>
      <c r="AX550" s="375">
        <v>0</v>
      </c>
      <c r="AY550" s="375">
        <v>0</v>
      </c>
      <c r="AZ550" s="375">
        <v>0</v>
      </c>
      <c r="BA550" s="375">
        <v>0</v>
      </c>
      <c r="BB550" s="375">
        <v>0</v>
      </c>
      <c r="BC550" s="246">
        <v>21386.720000000001</v>
      </c>
      <c r="BD550" s="246">
        <v>0</v>
      </c>
      <c r="BE550" s="246">
        <v>0</v>
      </c>
      <c r="BF550" s="246">
        <v>0</v>
      </c>
      <c r="BG550" s="246">
        <v>0</v>
      </c>
      <c r="BH550" s="246">
        <v>0</v>
      </c>
      <c r="BI550" s="246">
        <v>0</v>
      </c>
      <c r="BJ550" s="246">
        <v>0</v>
      </c>
      <c r="BK550" s="246">
        <v>0</v>
      </c>
      <c r="BL550" s="246">
        <v>0</v>
      </c>
      <c r="BM550" s="246">
        <v>0</v>
      </c>
      <c r="BN550" s="246">
        <v>0</v>
      </c>
      <c r="BO550" s="227">
        <f>SUM(ERP_5[[#This Row],[2026 AP01]:[2026 AP12]])</f>
        <v>21386.720000000001</v>
      </c>
    </row>
    <row r="551" spans="1:67" ht="15" customHeight="1">
      <c r="A551" s="227" t="s">
        <v>2547</v>
      </c>
      <c r="B551" s="330" t="s">
        <v>2548</v>
      </c>
      <c r="C551" s="150" t="s">
        <v>1136</v>
      </c>
      <c r="D551" s="336" t="s">
        <v>1135</v>
      </c>
      <c r="E551" s="338" t="s">
        <v>1145</v>
      </c>
      <c r="F551" s="335" t="s">
        <v>1137</v>
      </c>
      <c r="G551" s="517" t="s">
        <v>639</v>
      </c>
      <c r="H551" s="399" t="s">
        <v>2549</v>
      </c>
      <c r="I551" s="343" t="s">
        <v>2545</v>
      </c>
      <c r="J551" s="334" t="s">
        <v>1186</v>
      </c>
      <c r="K551" s="235" t="s">
        <v>865</v>
      </c>
      <c r="L551" s="344"/>
      <c r="M551" s="346" t="s">
        <v>2546</v>
      </c>
      <c r="N551" s="349" t="s">
        <v>1710</v>
      </c>
      <c r="O551" s="352" t="s">
        <v>863</v>
      </c>
      <c r="P551" s="355" t="s">
        <v>1348</v>
      </c>
      <c r="Q551" s="437"/>
      <c r="R551" s="358">
        <v>-21386.720000000001</v>
      </c>
      <c r="S551" s="378">
        <v>0</v>
      </c>
      <c r="T551" s="425"/>
      <c r="U551" s="71"/>
      <c r="V551" s="409"/>
      <c r="W551" s="411"/>
      <c r="X551" s="411"/>
      <c r="Y551" s="428" t="s">
        <v>1142</v>
      </c>
      <c r="Z551" s="429">
        <v>0</v>
      </c>
      <c r="AA551" s="429">
        <v>0</v>
      </c>
      <c r="AB551" s="370">
        <v>0</v>
      </c>
      <c r="AC551" s="370">
        <v>0</v>
      </c>
      <c r="AD551" s="370">
        <v>0</v>
      </c>
      <c r="AE551" s="370">
        <v>0</v>
      </c>
      <c r="AF551" s="370">
        <v>0</v>
      </c>
      <c r="AG551" s="370">
        <v>0</v>
      </c>
      <c r="AH551" s="367">
        <f t="shared" si="28"/>
        <v>0</v>
      </c>
      <c r="AI551" s="362">
        <f>ERP_5[[#This Row],[2026 Working Total]]-ERP_5[[#This Row],[LE2 Final Submission]]</f>
        <v>0</v>
      </c>
      <c r="AJ551" s="227">
        <v>0</v>
      </c>
      <c r="AK551" s="227">
        <f t="shared" si="27"/>
        <v>0</v>
      </c>
      <c r="AL551" s="374">
        <f>SUM(ERP_5[[#This Row],[AP01]:[AP06]])-SUM(ERP_5[[#This Row],[AP01 LE2]:[AP06 LE2]])</f>
        <v>0</v>
      </c>
      <c r="AM551" s="80"/>
      <c r="AN551" s="79">
        <f>ERP_5[[#This Row],[2026 Working Total to Budget/LE]]-ERP_5[[#This Row],[Giveback]]</f>
        <v>0</v>
      </c>
      <c r="AO551" s="81"/>
      <c r="AP551" s="375"/>
      <c r="AQ551" s="375"/>
      <c r="AR551" s="375"/>
      <c r="AS551" s="375">
        <v>0</v>
      </c>
      <c r="AT551" s="375">
        <v>0</v>
      </c>
      <c r="AU551" s="375">
        <v>0</v>
      </c>
      <c r="AV551" s="375">
        <v>0</v>
      </c>
      <c r="AW551" s="375">
        <v>0</v>
      </c>
      <c r="AX551" s="375">
        <v>0</v>
      </c>
      <c r="AY551" s="375">
        <v>0</v>
      </c>
      <c r="AZ551" s="375">
        <v>0</v>
      </c>
      <c r="BA551" s="375">
        <v>0</v>
      </c>
      <c r="BB551" s="375">
        <v>0</v>
      </c>
      <c r="BC551" s="246">
        <v>-21386.720000000001</v>
      </c>
      <c r="BD551" s="246">
        <v>0</v>
      </c>
      <c r="BE551" s="246">
        <v>0</v>
      </c>
      <c r="BF551" s="246">
        <v>0</v>
      </c>
      <c r="BG551" s="246">
        <v>0</v>
      </c>
      <c r="BH551" s="246">
        <v>0</v>
      </c>
      <c r="BI551" s="246">
        <v>0</v>
      </c>
      <c r="BJ551" s="246">
        <v>0</v>
      </c>
      <c r="BK551" s="246">
        <v>0</v>
      </c>
      <c r="BL551" s="246">
        <v>0</v>
      </c>
      <c r="BM551" s="246">
        <v>0</v>
      </c>
      <c r="BN551" s="246">
        <v>0</v>
      </c>
      <c r="BO551" s="227">
        <f>SUM(ERP_5[[#This Row],[2026 AP01]:[2026 AP12]])</f>
        <v>-21386.720000000001</v>
      </c>
    </row>
    <row r="552" spans="1:67" ht="15" customHeight="1">
      <c r="A552" s="215" t="s">
        <v>2550</v>
      </c>
      <c r="B552" s="215" t="s">
        <v>866</v>
      </c>
      <c r="C552" s="150" t="s">
        <v>1136</v>
      </c>
      <c r="D552" s="334" t="s">
        <v>1135</v>
      </c>
      <c r="E552" s="334" t="s">
        <v>1135</v>
      </c>
      <c r="F552" s="334" t="s">
        <v>1137</v>
      </c>
      <c r="G552" s="516" t="s">
        <v>639</v>
      </c>
      <c r="H552" s="398" t="s">
        <v>2551</v>
      </c>
      <c r="I552" s="343" t="s">
        <v>1167</v>
      </c>
      <c r="J552" s="349" t="s">
        <v>1171</v>
      </c>
      <c r="K552" s="219" t="s">
        <v>867</v>
      </c>
      <c r="L552" s="349"/>
      <c r="M552" s="346" t="s">
        <v>2552</v>
      </c>
      <c r="N552" s="349"/>
      <c r="O552" s="334" t="s">
        <v>64</v>
      </c>
      <c r="P552" s="354"/>
      <c r="Q552" s="403"/>
      <c r="R552" s="406">
        <v>207900</v>
      </c>
      <c r="S552" s="406">
        <v>196875</v>
      </c>
      <c r="T552" s="430"/>
      <c r="U552" s="137"/>
      <c r="V552" s="408">
        <v>15750</v>
      </c>
      <c r="W552" s="410">
        <v>15750</v>
      </c>
      <c r="X552" s="410">
        <v>15750</v>
      </c>
      <c r="Y552" s="428">
        <v>15750</v>
      </c>
      <c r="Z552" s="429">
        <v>15750</v>
      </c>
      <c r="AA552" s="429">
        <v>15750</v>
      </c>
      <c r="AB552" s="369">
        <v>15750</v>
      </c>
      <c r="AC552" s="369">
        <v>17325</v>
      </c>
      <c r="AD552" s="369">
        <v>17325</v>
      </c>
      <c r="AE552" s="369">
        <v>17325</v>
      </c>
      <c r="AF552" s="369">
        <v>17325</v>
      </c>
      <c r="AG552" s="369">
        <v>17325</v>
      </c>
      <c r="AH552" s="367">
        <f t="shared" si="28"/>
        <v>196875</v>
      </c>
      <c r="AI552" s="362">
        <f>ERP_5[[#This Row],[2026 Working Total]]-ERP_5[[#This Row],[LE2 Final Submission]]</f>
        <v>0</v>
      </c>
      <c r="AJ552" s="227">
        <v>15750</v>
      </c>
      <c r="AK552" s="227">
        <f t="shared" si="27"/>
        <v>0</v>
      </c>
      <c r="AL552" s="374">
        <f>SUM(ERP_5[[#This Row],[AP01]:[AP06]])-SUM(ERP_5[[#This Row],[AP01 LE2]:[AP06 LE2]])</f>
        <v>0</v>
      </c>
      <c r="AM552" s="80"/>
      <c r="AN552" s="79">
        <f>ERP_5[[#This Row],[2026 Working Total to Budget/LE]]-ERP_5[[#This Row],[Giveback]]</f>
        <v>0</v>
      </c>
      <c r="AO552" s="81"/>
      <c r="AP552" s="375">
        <v>15750</v>
      </c>
      <c r="AQ552" s="375">
        <v>15750</v>
      </c>
      <c r="AR552" s="375">
        <v>15750</v>
      </c>
      <c r="AS552" s="375">
        <v>15750</v>
      </c>
      <c r="AT552" s="375">
        <v>15750</v>
      </c>
      <c r="AU552" s="375">
        <v>15750</v>
      </c>
      <c r="AV552" s="375">
        <v>15750</v>
      </c>
      <c r="AW552" s="375">
        <v>17325</v>
      </c>
      <c r="AX552" s="375">
        <v>17325</v>
      </c>
      <c r="AY552" s="375">
        <v>17325</v>
      </c>
      <c r="AZ552" s="375">
        <v>17325</v>
      </c>
      <c r="BA552" s="375">
        <v>17325</v>
      </c>
      <c r="BB552" s="375">
        <v>196875</v>
      </c>
      <c r="BC552" s="227">
        <v>15750</v>
      </c>
      <c r="BD552" s="227">
        <v>15750</v>
      </c>
      <c r="BE552" s="227">
        <v>15750</v>
      </c>
      <c r="BF552" s="227">
        <v>17325</v>
      </c>
      <c r="BG552" s="227">
        <v>17325</v>
      </c>
      <c r="BH552" s="227">
        <v>17325</v>
      </c>
      <c r="BI552" s="227">
        <v>17325</v>
      </c>
      <c r="BJ552" s="227">
        <v>17325</v>
      </c>
      <c r="BK552" s="227">
        <v>17325</v>
      </c>
      <c r="BL552" s="227">
        <v>17325</v>
      </c>
      <c r="BM552" s="227">
        <v>17325</v>
      </c>
      <c r="BN552" s="227">
        <v>17325</v>
      </c>
      <c r="BO552" s="227">
        <v>203175</v>
      </c>
    </row>
    <row r="553" spans="1:67" ht="15" customHeight="1">
      <c r="A553" s="215" t="s">
        <v>2553</v>
      </c>
      <c r="B553" s="215" t="s">
        <v>868</v>
      </c>
      <c r="C553" s="150" t="s">
        <v>1136</v>
      </c>
      <c r="D553" s="334" t="s">
        <v>1135</v>
      </c>
      <c r="E553" s="334" t="s">
        <v>1135</v>
      </c>
      <c r="F553" s="334" t="s">
        <v>1137</v>
      </c>
      <c r="G553" s="516" t="s">
        <v>639</v>
      </c>
      <c r="H553" s="398" t="s">
        <v>2554</v>
      </c>
      <c r="I553" s="343"/>
      <c r="J553" s="344"/>
      <c r="K553" s="219" t="s">
        <v>869</v>
      </c>
      <c r="L553" s="349"/>
      <c r="M553" s="343"/>
      <c r="N553" s="349"/>
      <c r="O553" s="334" t="s">
        <v>152</v>
      </c>
      <c r="P553" s="354"/>
      <c r="Q553" s="403"/>
      <c r="R553" s="406">
        <v>37661</v>
      </c>
      <c r="S553" s="406">
        <v>37661</v>
      </c>
      <c r="T553" s="425"/>
      <c r="U553" s="71"/>
      <c r="V553" s="408"/>
      <c r="W553" s="410"/>
      <c r="X553" s="410"/>
      <c r="Y553" s="428" t="s">
        <v>1142</v>
      </c>
      <c r="Z553" s="429">
        <v>0</v>
      </c>
      <c r="AA553" s="429">
        <v>0</v>
      </c>
      <c r="AB553" s="369"/>
      <c r="AC553" s="369"/>
      <c r="AD553" s="369"/>
      <c r="AE553" s="369">
        <v>37661</v>
      </c>
      <c r="AF553" s="368">
        <v>0</v>
      </c>
      <c r="AG553" s="368">
        <v>0</v>
      </c>
      <c r="AH553" s="367">
        <f t="shared" si="28"/>
        <v>37661</v>
      </c>
      <c r="AI553" s="362">
        <f>ERP_5[[#This Row],[2026 Working Total]]-ERP_5[[#This Row],[LE2 Final Submission]]</f>
        <v>0</v>
      </c>
      <c r="AJ553" s="227"/>
      <c r="AK553" s="227">
        <f t="shared" si="27"/>
        <v>0</v>
      </c>
      <c r="AL553" s="374">
        <f>SUM(ERP_5[[#This Row],[AP01]:[AP06]])-SUM(ERP_5[[#This Row],[AP01 LE2]:[AP06 LE2]])</f>
        <v>0</v>
      </c>
      <c r="AM553" s="80"/>
      <c r="AN553" s="79">
        <f>ERP_5[[#This Row],[2026 Working Total to Budget/LE]]-ERP_5[[#This Row],[Giveback]]</f>
        <v>0</v>
      </c>
      <c r="AO553" s="81"/>
      <c r="AP553" s="375"/>
      <c r="AQ553" s="375"/>
      <c r="AR553" s="375"/>
      <c r="AS553" s="375"/>
      <c r="AT553" s="375"/>
      <c r="AU553" s="375"/>
      <c r="AV553" s="375"/>
      <c r="AW553" s="375"/>
      <c r="AX553" s="375"/>
      <c r="AY553" s="375">
        <v>37661</v>
      </c>
      <c r="AZ553" s="375">
        <v>0</v>
      </c>
      <c r="BA553" s="375">
        <v>0</v>
      </c>
      <c r="BB553" s="375">
        <v>37661</v>
      </c>
      <c r="BC553" s="227"/>
      <c r="BD553" s="227"/>
      <c r="BE553" s="227"/>
      <c r="BF553" s="227"/>
      <c r="BG553" s="227"/>
      <c r="BH553" s="227"/>
      <c r="BI553" s="227"/>
      <c r="BJ553" s="227"/>
      <c r="BK553" s="227"/>
      <c r="BL553" s="227">
        <v>37661</v>
      </c>
      <c r="BM553" s="227">
        <v>0</v>
      </c>
      <c r="BN553" s="227">
        <v>0</v>
      </c>
      <c r="BO553" s="227">
        <v>37661</v>
      </c>
    </row>
    <row r="554" spans="1:67" ht="15" customHeight="1">
      <c r="A554" s="215" t="s">
        <v>2555</v>
      </c>
      <c r="B554" s="215" t="s">
        <v>870</v>
      </c>
      <c r="C554" s="150" t="s">
        <v>1136</v>
      </c>
      <c r="D554" s="334" t="s">
        <v>1135</v>
      </c>
      <c r="E554" s="334" t="s">
        <v>1135</v>
      </c>
      <c r="F554" s="334" t="s">
        <v>1137</v>
      </c>
      <c r="G554" s="516" t="s">
        <v>639</v>
      </c>
      <c r="H554" s="398" t="s">
        <v>2556</v>
      </c>
      <c r="I554" s="343"/>
      <c r="J554" s="344"/>
      <c r="K554" s="219" t="s">
        <v>871</v>
      </c>
      <c r="L554" s="349"/>
      <c r="M554" s="343"/>
      <c r="N554" s="349"/>
      <c r="O554" s="334" t="s">
        <v>25</v>
      </c>
      <c r="P554" s="354"/>
      <c r="Q554" s="403"/>
      <c r="R554" s="406">
        <v>24500</v>
      </c>
      <c r="S554" s="406">
        <v>24500</v>
      </c>
      <c r="T554" s="425"/>
      <c r="U554" s="71"/>
      <c r="V554" s="408"/>
      <c r="W554" s="410"/>
      <c r="X554" s="410"/>
      <c r="Y554" s="428" t="s">
        <v>1142</v>
      </c>
      <c r="Z554" s="429">
        <v>0</v>
      </c>
      <c r="AA554" s="429">
        <v>0</v>
      </c>
      <c r="AB554" s="369"/>
      <c r="AC554" s="369"/>
      <c r="AD554" s="369">
        <v>24500</v>
      </c>
      <c r="AE554" s="368">
        <v>0</v>
      </c>
      <c r="AF554" s="368">
        <v>0</v>
      </c>
      <c r="AG554" s="368">
        <v>0</v>
      </c>
      <c r="AH554" s="367">
        <f t="shared" si="28"/>
        <v>24500</v>
      </c>
      <c r="AI554" s="362">
        <f>ERP_5[[#This Row],[2026 Working Total]]-ERP_5[[#This Row],[LE2 Final Submission]]</f>
        <v>0</v>
      </c>
      <c r="AJ554" s="227"/>
      <c r="AK554" s="227">
        <f t="shared" si="27"/>
        <v>0</v>
      </c>
      <c r="AL554" s="374">
        <f>SUM(ERP_5[[#This Row],[AP01]:[AP06]])-SUM(ERP_5[[#This Row],[AP01 LE2]:[AP06 LE2]])</f>
        <v>0</v>
      </c>
      <c r="AM554" s="80"/>
      <c r="AN554" s="79">
        <f>ERP_5[[#This Row],[2026 Working Total to Budget/LE]]-ERP_5[[#This Row],[Giveback]]</f>
        <v>0</v>
      </c>
      <c r="AO554" s="81"/>
      <c r="AP554" s="375"/>
      <c r="AQ554" s="375"/>
      <c r="AR554" s="375"/>
      <c r="AS554" s="375"/>
      <c r="AT554" s="375"/>
      <c r="AU554" s="375"/>
      <c r="AV554" s="375"/>
      <c r="AW554" s="375"/>
      <c r="AX554" s="375">
        <v>24500</v>
      </c>
      <c r="AY554" s="375">
        <v>0</v>
      </c>
      <c r="AZ554" s="375">
        <v>0</v>
      </c>
      <c r="BA554" s="375">
        <v>0</v>
      </c>
      <c r="BB554" s="375">
        <v>24500</v>
      </c>
      <c r="BC554" s="227"/>
      <c r="BD554" s="227"/>
      <c r="BE554" s="227"/>
      <c r="BF554" s="227"/>
      <c r="BG554" s="227"/>
      <c r="BH554" s="227"/>
      <c r="BI554" s="227"/>
      <c r="BJ554" s="227"/>
      <c r="BK554" s="227">
        <v>24500</v>
      </c>
      <c r="BL554" s="227">
        <v>0</v>
      </c>
      <c r="BM554" s="227">
        <v>0</v>
      </c>
      <c r="BN554" s="227">
        <v>0</v>
      </c>
      <c r="BO554" s="227">
        <v>24500</v>
      </c>
    </row>
    <row r="555" spans="1:67" ht="15" customHeight="1">
      <c r="A555" s="215" t="s">
        <v>2557</v>
      </c>
      <c r="B555" s="215" t="s">
        <v>2558</v>
      </c>
      <c r="C555" s="150" t="s">
        <v>1136</v>
      </c>
      <c r="D555" s="334" t="s">
        <v>1135</v>
      </c>
      <c r="E555" s="334" t="s">
        <v>1145</v>
      </c>
      <c r="F555" s="334" t="s">
        <v>1137</v>
      </c>
      <c r="G555" s="516" t="s">
        <v>639</v>
      </c>
      <c r="H555" s="398" t="s">
        <v>2559</v>
      </c>
      <c r="I555" s="343" t="s">
        <v>1167</v>
      </c>
      <c r="J555" s="349" t="s">
        <v>1186</v>
      </c>
      <c r="K555" s="219" t="s">
        <v>873</v>
      </c>
      <c r="L555" s="349"/>
      <c r="M555" s="346" t="s">
        <v>2560</v>
      </c>
      <c r="N555" s="349" t="s">
        <v>1710</v>
      </c>
      <c r="O555" s="334" t="s">
        <v>874</v>
      </c>
      <c r="P555" s="354"/>
      <c r="Q555" s="404"/>
      <c r="R555" s="407">
        <v>14353.4</v>
      </c>
      <c r="S555" s="407">
        <v>0</v>
      </c>
      <c r="T555" s="425"/>
      <c r="U555" s="71"/>
      <c r="V555" s="408">
        <v>0.28000000000000003</v>
      </c>
      <c r="W555" s="410">
        <v>-0.28000000000000003</v>
      </c>
      <c r="X555" s="410"/>
      <c r="Y555" s="428">
        <v>-11391.72</v>
      </c>
      <c r="Z555" s="429">
        <v>0</v>
      </c>
      <c r="AA555" s="429">
        <v>0</v>
      </c>
      <c r="AB555" s="369"/>
      <c r="AC555" s="369"/>
      <c r="AD555" s="369"/>
      <c r="AE555" s="369"/>
      <c r="AF555" s="369"/>
      <c r="AG555" s="369"/>
      <c r="AH555" s="367">
        <f t="shared" si="28"/>
        <v>-11391.72</v>
      </c>
      <c r="AI555" s="362">
        <f>ERP_5[[#This Row],[2026 Working Total]]-ERP_5[[#This Row],[LE2 Final Submission]]</f>
        <v>-11391.72</v>
      </c>
      <c r="AJ555" s="227"/>
      <c r="AK555" s="227">
        <f t="shared" si="27"/>
        <v>0</v>
      </c>
      <c r="AL555" s="374">
        <f>SUM(ERP_5[[#This Row],[AP01]:[AP06]])-SUM(ERP_5[[#This Row],[AP01 LE2]:[AP06 LE2]])</f>
        <v>-11391.72</v>
      </c>
      <c r="AM555" s="80"/>
      <c r="AN555" s="79">
        <f>ERP_5[[#This Row],[2026 Working Total to Budget/LE]]-ERP_5[[#This Row],[Giveback]]</f>
        <v>-11391.72</v>
      </c>
      <c r="AO555" s="81"/>
      <c r="AP555" s="375">
        <v>0.28000000000000003</v>
      </c>
      <c r="AQ555" s="375">
        <v>-0.28000000000000003</v>
      </c>
      <c r="AR555" s="375"/>
      <c r="AS555" s="375"/>
      <c r="AT555" s="375"/>
      <c r="AU555" s="375"/>
      <c r="AV555" s="375"/>
      <c r="AW555" s="375"/>
      <c r="AX555" s="375"/>
      <c r="AY555" s="375"/>
      <c r="AZ555" s="375"/>
      <c r="BA555" s="375"/>
      <c r="BB555" s="375">
        <v>0</v>
      </c>
      <c r="BC555" s="227">
        <v>0.28000000000000003</v>
      </c>
      <c r="BD555" s="227">
        <v>-0.28000000000000003</v>
      </c>
      <c r="BE555" s="227"/>
      <c r="BF555" s="227"/>
      <c r="BG555" s="227"/>
      <c r="BH555" s="227"/>
      <c r="BI555" s="227"/>
      <c r="BJ555" s="227"/>
      <c r="BK555" s="227"/>
      <c r="BL555" s="227"/>
      <c r="BM555" s="227"/>
      <c r="BN555" s="227"/>
      <c r="BO555" s="227">
        <v>0</v>
      </c>
    </row>
    <row r="556" spans="1:67" ht="15" customHeight="1">
      <c r="A556" s="227" t="s">
        <v>2561</v>
      </c>
      <c r="B556" s="330" t="s">
        <v>2562</v>
      </c>
      <c r="C556" s="150" t="s">
        <v>1136</v>
      </c>
      <c r="D556" s="336" t="s">
        <v>1135</v>
      </c>
      <c r="E556" s="338" t="s">
        <v>1145</v>
      </c>
      <c r="F556" s="335" t="s">
        <v>1137</v>
      </c>
      <c r="G556" s="517" t="s">
        <v>639</v>
      </c>
      <c r="H556" s="399" t="s">
        <v>2563</v>
      </c>
      <c r="I556" s="343" t="s">
        <v>1167</v>
      </c>
      <c r="J556" s="334" t="s">
        <v>1186</v>
      </c>
      <c r="K556" s="235" t="s">
        <v>876</v>
      </c>
      <c r="L556" s="344"/>
      <c r="M556" s="346" t="s">
        <v>2560</v>
      </c>
      <c r="N556" s="349" t="s">
        <v>2310</v>
      </c>
      <c r="O556" s="352" t="s">
        <v>874</v>
      </c>
      <c r="P556" s="355" t="s">
        <v>1779</v>
      </c>
      <c r="Q556" s="437"/>
      <c r="R556" s="358">
        <v>-14353.4</v>
      </c>
      <c r="S556" s="378">
        <v>0</v>
      </c>
      <c r="T556" s="425"/>
      <c r="U556" s="71"/>
      <c r="V556" s="409"/>
      <c r="W556" s="411"/>
      <c r="X556" s="411"/>
      <c r="Y556" s="428" t="s">
        <v>1142</v>
      </c>
      <c r="Z556" s="429">
        <v>0</v>
      </c>
      <c r="AA556" s="429">
        <v>0</v>
      </c>
      <c r="AB556" s="370">
        <v>0</v>
      </c>
      <c r="AC556" s="370">
        <v>0</v>
      </c>
      <c r="AD556" s="370">
        <v>0</v>
      </c>
      <c r="AE556" s="370">
        <v>0</v>
      </c>
      <c r="AF556" s="370">
        <v>0</v>
      </c>
      <c r="AG556" s="370">
        <v>0</v>
      </c>
      <c r="AH556" s="367">
        <f t="shared" si="28"/>
        <v>0</v>
      </c>
      <c r="AI556" s="362">
        <f>ERP_5[[#This Row],[2026 Working Total]]-ERP_5[[#This Row],[LE2 Final Submission]]</f>
        <v>0</v>
      </c>
      <c r="AJ556" s="227">
        <v>0</v>
      </c>
      <c r="AK556" s="227">
        <f t="shared" si="27"/>
        <v>0</v>
      </c>
      <c r="AL556" s="374">
        <f>SUM(ERP_5[[#This Row],[AP01]:[AP06]])-SUM(ERP_5[[#This Row],[AP01 LE2]:[AP06 LE2]])</f>
        <v>0</v>
      </c>
      <c r="AM556" s="80"/>
      <c r="AN556" s="79">
        <f>ERP_5[[#This Row],[2026 Working Total to Budget/LE]]-ERP_5[[#This Row],[Giveback]]</f>
        <v>0</v>
      </c>
      <c r="AO556" s="81"/>
      <c r="AP556" s="375"/>
      <c r="AQ556" s="375"/>
      <c r="AR556" s="375"/>
      <c r="AS556" s="375">
        <v>0</v>
      </c>
      <c r="AT556" s="375">
        <v>0</v>
      </c>
      <c r="AU556" s="375">
        <v>0</v>
      </c>
      <c r="AV556" s="375">
        <v>0</v>
      </c>
      <c r="AW556" s="375">
        <v>0</v>
      </c>
      <c r="AX556" s="375">
        <v>0</v>
      </c>
      <c r="AY556" s="375">
        <v>0</v>
      </c>
      <c r="AZ556" s="375">
        <v>0</v>
      </c>
      <c r="BA556" s="375">
        <v>0</v>
      </c>
      <c r="BB556" s="375">
        <v>0</v>
      </c>
      <c r="BC556" s="246">
        <v>-14353.4</v>
      </c>
      <c r="BD556" s="246">
        <v>0</v>
      </c>
      <c r="BE556" s="246">
        <v>0</v>
      </c>
      <c r="BF556" s="246">
        <v>0</v>
      </c>
      <c r="BG556" s="246">
        <v>0</v>
      </c>
      <c r="BH556" s="246">
        <v>0</v>
      </c>
      <c r="BI556" s="246">
        <v>0</v>
      </c>
      <c r="BJ556" s="246">
        <v>0</v>
      </c>
      <c r="BK556" s="246">
        <v>0</v>
      </c>
      <c r="BL556" s="246">
        <v>0</v>
      </c>
      <c r="BM556" s="246">
        <v>0</v>
      </c>
      <c r="BN556" s="246">
        <v>0</v>
      </c>
      <c r="BO556" s="227">
        <f>SUM(ERP_5[[#This Row],[2026 AP01]:[2026 AP12]])</f>
        <v>-14353.4</v>
      </c>
    </row>
    <row r="557" spans="1:67" ht="15" customHeight="1">
      <c r="A557" s="215" t="s">
        <v>2564</v>
      </c>
      <c r="B557" s="215" t="s">
        <v>2565</v>
      </c>
      <c r="C557" s="150" t="s">
        <v>1136</v>
      </c>
      <c r="D557" s="334" t="s">
        <v>1135</v>
      </c>
      <c r="E557" s="334" t="s">
        <v>1145</v>
      </c>
      <c r="F557" s="334" t="s">
        <v>1137</v>
      </c>
      <c r="G557" s="516" t="s">
        <v>639</v>
      </c>
      <c r="H557" s="398" t="s">
        <v>2566</v>
      </c>
      <c r="I557" s="343"/>
      <c r="J557" s="344"/>
      <c r="K557" s="219" t="s">
        <v>878</v>
      </c>
      <c r="L557" s="349"/>
      <c r="M557" s="343"/>
      <c r="N557" s="349"/>
      <c r="O557" s="334" t="s">
        <v>849</v>
      </c>
      <c r="P557" s="354"/>
      <c r="Q557" s="403"/>
      <c r="R557" s="406">
        <v>4000</v>
      </c>
      <c r="S557" s="406">
        <v>4000</v>
      </c>
      <c r="T557" s="425"/>
      <c r="U557" s="71"/>
      <c r="V557" s="408">
        <v>0.1</v>
      </c>
      <c r="W557" s="410">
        <v>-0.1</v>
      </c>
      <c r="X557" s="410"/>
      <c r="Y557" s="428">
        <v>0</v>
      </c>
      <c r="Z557" s="429">
        <v>0</v>
      </c>
      <c r="AA557" s="429">
        <v>0</v>
      </c>
      <c r="AB557" s="369">
        <v>4000</v>
      </c>
      <c r="AC557" s="368">
        <v>0</v>
      </c>
      <c r="AD557" s="368">
        <v>0</v>
      </c>
      <c r="AE557" s="368">
        <v>0</v>
      </c>
      <c r="AF557" s="368">
        <v>0</v>
      </c>
      <c r="AG557" s="368">
        <v>0</v>
      </c>
      <c r="AH557" s="367">
        <f t="shared" si="28"/>
        <v>4000</v>
      </c>
      <c r="AI557" s="362">
        <f>ERP_5[[#This Row],[2026 Working Total]]-ERP_5[[#This Row],[LE2 Final Submission]]</f>
        <v>0</v>
      </c>
      <c r="AJ557" s="227"/>
      <c r="AK557" s="227">
        <f t="shared" si="27"/>
        <v>0</v>
      </c>
      <c r="AL557" s="374">
        <f>SUM(ERP_5[[#This Row],[AP01]:[AP06]])-SUM(ERP_5[[#This Row],[AP01 LE2]:[AP06 LE2]])</f>
        <v>-2000</v>
      </c>
      <c r="AM557" s="80"/>
      <c r="AN557" s="79">
        <f>ERP_5[[#This Row],[2026 Working Total to Budget/LE]]-ERP_5[[#This Row],[Giveback]]</f>
        <v>0</v>
      </c>
      <c r="AO557" s="81"/>
      <c r="AP557" s="375">
        <v>0.1</v>
      </c>
      <c r="AQ557" s="375">
        <v>-0.1</v>
      </c>
      <c r="AR557" s="375"/>
      <c r="AS557" s="375"/>
      <c r="AT557" s="375"/>
      <c r="AU557" s="375">
        <v>2000</v>
      </c>
      <c r="AV557" s="375">
        <v>2000</v>
      </c>
      <c r="AW557" s="375">
        <v>0</v>
      </c>
      <c r="AX557" s="375">
        <v>0</v>
      </c>
      <c r="AY557" s="375">
        <v>0</v>
      </c>
      <c r="AZ557" s="375">
        <v>0</v>
      </c>
      <c r="BA557" s="375">
        <v>0</v>
      </c>
      <c r="BB557" s="375">
        <v>4000</v>
      </c>
      <c r="BC557" s="227">
        <v>0.1</v>
      </c>
      <c r="BD557" s="227">
        <v>-0.1</v>
      </c>
      <c r="BE557" s="227"/>
      <c r="BF557" s="227"/>
      <c r="BG557" s="227"/>
      <c r="BH557" s="227">
        <v>2000</v>
      </c>
      <c r="BI557" s="227">
        <v>2000</v>
      </c>
      <c r="BJ557" s="227">
        <v>0</v>
      </c>
      <c r="BK557" s="227">
        <v>0</v>
      </c>
      <c r="BL557" s="227">
        <v>0</v>
      </c>
      <c r="BM557" s="227">
        <v>0</v>
      </c>
      <c r="BN557" s="227">
        <v>0</v>
      </c>
      <c r="BO557" s="227">
        <v>4000</v>
      </c>
    </row>
    <row r="558" spans="1:67" ht="15" customHeight="1">
      <c r="A558" s="215" t="s">
        <v>2567</v>
      </c>
      <c r="B558" s="215" t="s">
        <v>879</v>
      </c>
      <c r="C558" s="150" t="s">
        <v>1136</v>
      </c>
      <c r="D558" s="334" t="s">
        <v>1135</v>
      </c>
      <c r="E558" s="334" t="s">
        <v>1135</v>
      </c>
      <c r="F558" s="334" t="s">
        <v>1137</v>
      </c>
      <c r="G558" s="516" t="s">
        <v>639</v>
      </c>
      <c r="H558" s="398" t="s">
        <v>2568</v>
      </c>
      <c r="I558" s="343"/>
      <c r="J558" s="344"/>
      <c r="K558" s="219" t="s">
        <v>880</v>
      </c>
      <c r="L558" s="349"/>
      <c r="M558" s="346" t="s">
        <v>2569</v>
      </c>
      <c r="N558" s="349"/>
      <c r="O558" s="334" t="s">
        <v>64</v>
      </c>
      <c r="P558" s="354"/>
      <c r="Q558" s="403"/>
      <c r="R558" s="406">
        <v>144819</v>
      </c>
      <c r="S558" s="406">
        <v>144819</v>
      </c>
      <c r="T558" s="430"/>
      <c r="U558" s="137"/>
      <c r="V558" s="408"/>
      <c r="W558" s="410"/>
      <c r="X558" s="410"/>
      <c r="Y558" s="428" t="s">
        <v>1142</v>
      </c>
      <c r="Z558" s="429">
        <v>0</v>
      </c>
      <c r="AA558" s="429">
        <v>159302.39999999999</v>
      </c>
      <c r="AB558" s="368">
        <v>0</v>
      </c>
      <c r="AC558" s="368">
        <v>0</v>
      </c>
      <c r="AD558" s="368">
        <v>0</v>
      </c>
      <c r="AE558" s="368">
        <v>0</v>
      </c>
      <c r="AF558" s="368">
        <v>0</v>
      </c>
      <c r="AG558" s="368">
        <v>0</v>
      </c>
      <c r="AH558" s="367">
        <f t="shared" si="28"/>
        <v>159302.39999999999</v>
      </c>
      <c r="AI558" s="362">
        <f>ERP_5[[#This Row],[2026 Working Total]]-ERP_5[[#This Row],[LE2 Final Submission]]</f>
        <v>14483.399999999994</v>
      </c>
      <c r="AJ558" s="227">
        <v>144819</v>
      </c>
      <c r="AK558" s="227">
        <f t="shared" si="27"/>
        <v>14483.399999999994</v>
      </c>
      <c r="AL558" s="374">
        <f>SUM(ERP_5[[#This Row],[AP01]:[AP06]])-SUM(ERP_5[[#This Row],[AP01 LE2]:[AP06 LE2]])</f>
        <v>14483.399999999994</v>
      </c>
      <c r="AM558" s="80"/>
      <c r="AN558" s="79">
        <f>ERP_5[[#This Row],[2026 Working Total to Budget/LE]]-ERP_5[[#This Row],[Giveback]]</f>
        <v>14483.399999999994</v>
      </c>
      <c r="AO558" s="81"/>
      <c r="AP558" s="375"/>
      <c r="AQ558" s="375"/>
      <c r="AR558" s="375"/>
      <c r="AS558" s="375"/>
      <c r="AT558" s="375">
        <v>144819</v>
      </c>
      <c r="AU558" s="375">
        <v>0</v>
      </c>
      <c r="AV558" s="375">
        <v>0</v>
      </c>
      <c r="AW558" s="375">
        <v>0</v>
      </c>
      <c r="AX558" s="375">
        <v>0</v>
      </c>
      <c r="AY558" s="375">
        <v>0</v>
      </c>
      <c r="AZ558" s="375">
        <v>0</v>
      </c>
      <c r="BA558" s="375">
        <v>0</v>
      </c>
      <c r="BB558" s="375">
        <v>144819</v>
      </c>
      <c r="BC558" s="227"/>
      <c r="BD558" s="227"/>
      <c r="BE558" s="227"/>
      <c r="BF558" s="227">
        <v>144819</v>
      </c>
      <c r="BG558" s="227">
        <v>0</v>
      </c>
      <c r="BH558" s="227">
        <v>0</v>
      </c>
      <c r="BI558" s="227">
        <v>0</v>
      </c>
      <c r="BJ558" s="227">
        <v>0</v>
      </c>
      <c r="BK558" s="227">
        <v>0</v>
      </c>
      <c r="BL558" s="227">
        <v>0</v>
      </c>
      <c r="BM558" s="227">
        <v>0</v>
      </c>
      <c r="BN558" s="227">
        <v>0</v>
      </c>
      <c r="BO558" s="227">
        <v>144819</v>
      </c>
    </row>
    <row r="559" spans="1:67" ht="15" customHeight="1">
      <c r="A559" s="227" t="s">
        <v>2570</v>
      </c>
      <c r="B559" s="330" t="s">
        <v>881</v>
      </c>
      <c r="C559" s="150" t="s">
        <v>1136</v>
      </c>
      <c r="D559" s="336" t="s">
        <v>1135</v>
      </c>
      <c r="E559" s="338" t="s">
        <v>1135</v>
      </c>
      <c r="F559" s="335" t="s">
        <v>1137</v>
      </c>
      <c r="G559" s="517" t="s">
        <v>639</v>
      </c>
      <c r="H559" s="399" t="s">
        <v>2571</v>
      </c>
      <c r="I559" s="343" t="s">
        <v>2572</v>
      </c>
      <c r="J559" s="334" t="s">
        <v>1171</v>
      </c>
      <c r="K559" s="235" t="s">
        <v>882</v>
      </c>
      <c r="L559" s="344"/>
      <c r="M559" s="346" t="s">
        <v>2329</v>
      </c>
      <c r="N559" s="349" t="s">
        <v>1710</v>
      </c>
      <c r="O559" s="352" t="s">
        <v>883</v>
      </c>
      <c r="P559" s="355" t="s">
        <v>1779</v>
      </c>
      <c r="Q559" s="437"/>
      <c r="R559" s="358">
        <v>64566</v>
      </c>
      <c r="S559" s="378">
        <v>0</v>
      </c>
      <c r="T559" s="425"/>
      <c r="U559" s="71"/>
      <c r="V559" s="409"/>
      <c r="W559" s="411"/>
      <c r="X559" s="411"/>
      <c r="Y559" s="428">
        <v>0</v>
      </c>
      <c r="Z559" s="429">
        <v>0</v>
      </c>
      <c r="AA559" s="429">
        <v>0</v>
      </c>
      <c r="AB559" s="370">
        <v>0</v>
      </c>
      <c r="AC559" s="370">
        <v>0</v>
      </c>
      <c r="AD559" s="370">
        <v>0</v>
      </c>
      <c r="AE559" s="370">
        <v>0</v>
      </c>
      <c r="AF559" s="370">
        <v>0</v>
      </c>
      <c r="AG559" s="370">
        <v>0</v>
      </c>
      <c r="AH559" s="367">
        <f t="shared" si="28"/>
        <v>0</v>
      </c>
      <c r="AI559" s="362">
        <f>ERP_5[[#This Row],[2026 Working Total]]-ERP_5[[#This Row],[LE2 Final Submission]]</f>
        <v>0</v>
      </c>
      <c r="AJ559" s="227">
        <v>0</v>
      </c>
      <c r="AK559" s="227">
        <f t="shared" si="27"/>
        <v>0</v>
      </c>
      <c r="AL559" s="374">
        <f>SUM(ERP_5[[#This Row],[AP01]:[AP06]])-SUM(ERP_5[[#This Row],[AP01 LE2]:[AP06 LE2]])</f>
        <v>0</v>
      </c>
      <c r="AM559" s="80"/>
      <c r="AN559" s="79">
        <f>ERP_5[[#This Row],[2026 Working Total to Budget/LE]]-ERP_5[[#This Row],[Giveback]]</f>
        <v>0</v>
      </c>
      <c r="AO559" s="81"/>
      <c r="AP559" s="375"/>
      <c r="AQ559" s="375"/>
      <c r="AR559" s="375"/>
      <c r="AS559" s="375">
        <v>0</v>
      </c>
      <c r="AT559" s="375">
        <v>0</v>
      </c>
      <c r="AU559" s="375">
        <v>0</v>
      </c>
      <c r="AV559" s="375">
        <v>0</v>
      </c>
      <c r="AW559" s="375">
        <v>0</v>
      </c>
      <c r="AX559" s="375">
        <v>0</v>
      </c>
      <c r="AY559" s="375">
        <v>0</v>
      </c>
      <c r="AZ559" s="375">
        <v>0</v>
      </c>
      <c r="BA559" s="375">
        <v>0</v>
      </c>
      <c r="BB559" s="375">
        <v>0</v>
      </c>
      <c r="BC559" s="246">
        <v>64566</v>
      </c>
      <c r="BD559" s="246">
        <v>0</v>
      </c>
      <c r="BE559" s="246">
        <v>0</v>
      </c>
      <c r="BF559" s="246">
        <v>0</v>
      </c>
      <c r="BG559" s="246">
        <v>0</v>
      </c>
      <c r="BH559" s="246">
        <v>0</v>
      </c>
      <c r="BI559" s="246">
        <v>0</v>
      </c>
      <c r="BJ559" s="246">
        <v>0</v>
      </c>
      <c r="BK559" s="246">
        <v>0</v>
      </c>
      <c r="BL559" s="246">
        <v>0</v>
      </c>
      <c r="BM559" s="246">
        <v>0</v>
      </c>
      <c r="BN559" s="246">
        <v>0</v>
      </c>
      <c r="BO559" s="227">
        <f>SUM(ERP_5[[#This Row],[2026 AP01]:[2026 AP12]])</f>
        <v>64566</v>
      </c>
    </row>
    <row r="560" spans="1:67" ht="15" customHeight="1">
      <c r="A560" s="227" t="s">
        <v>2573</v>
      </c>
      <c r="B560" s="330" t="s">
        <v>884</v>
      </c>
      <c r="C560" s="150" t="s">
        <v>1136</v>
      </c>
      <c r="D560" s="336" t="s">
        <v>1135</v>
      </c>
      <c r="E560" s="337" t="s">
        <v>1135</v>
      </c>
      <c r="F560" s="335" t="s">
        <v>1137</v>
      </c>
      <c r="G560" s="517" t="s">
        <v>639</v>
      </c>
      <c r="H560" s="397" t="s">
        <v>2574</v>
      </c>
      <c r="I560" s="343" t="s">
        <v>2572</v>
      </c>
      <c r="J560" s="334" t="s">
        <v>1171</v>
      </c>
      <c r="K560" s="253" t="s">
        <v>885</v>
      </c>
      <c r="L560" s="344"/>
      <c r="M560" s="346" t="s">
        <v>2329</v>
      </c>
      <c r="N560" s="349" t="s">
        <v>1710</v>
      </c>
      <c r="O560" s="350" t="s">
        <v>883</v>
      </c>
      <c r="P560" s="355" t="s">
        <v>2499</v>
      </c>
      <c r="Q560" s="437"/>
      <c r="R560" s="358">
        <v>-64566</v>
      </c>
      <c r="S560" s="378">
        <v>0</v>
      </c>
      <c r="T560" s="425"/>
      <c r="U560" s="71"/>
      <c r="V560" s="409"/>
      <c r="W560" s="411"/>
      <c r="X560" s="411"/>
      <c r="Y560" s="428" t="s">
        <v>1142</v>
      </c>
      <c r="Z560" s="429">
        <v>0</v>
      </c>
      <c r="AA560" s="429">
        <v>0</v>
      </c>
      <c r="AB560" s="370">
        <v>0</v>
      </c>
      <c r="AC560" s="370">
        <v>0</v>
      </c>
      <c r="AD560" s="370">
        <v>0</v>
      </c>
      <c r="AE560" s="370">
        <v>0</v>
      </c>
      <c r="AF560" s="370">
        <v>0</v>
      </c>
      <c r="AG560" s="370">
        <v>0</v>
      </c>
      <c r="AH560" s="367">
        <f t="shared" si="28"/>
        <v>0</v>
      </c>
      <c r="AI560" s="362">
        <f>ERP_5[[#This Row],[2026 Working Total]]-ERP_5[[#This Row],[LE2 Final Submission]]</f>
        <v>0</v>
      </c>
      <c r="AJ560" s="227">
        <v>0</v>
      </c>
      <c r="AK560" s="227">
        <f t="shared" si="27"/>
        <v>0</v>
      </c>
      <c r="AL560" s="374">
        <f>SUM(ERP_5[[#This Row],[AP01]:[AP06]])-SUM(ERP_5[[#This Row],[AP01 LE2]:[AP06 LE2]])</f>
        <v>0</v>
      </c>
      <c r="AM560" s="80"/>
      <c r="AN560" s="79">
        <f>ERP_5[[#This Row],[2026 Working Total to Budget/LE]]-ERP_5[[#This Row],[Giveback]]</f>
        <v>0</v>
      </c>
      <c r="AO560" s="81"/>
      <c r="AP560" s="375"/>
      <c r="AQ560" s="375"/>
      <c r="AR560" s="375"/>
      <c r="AS560" s="375">
        <v>0</v>
      </c>
      <c r="AT560" s="375">
        <v>0</v>
      </c>
      <c r="AU560" s="375">
        <v>0</v>
      </c>
      <c r="AV560" s="375">
        <v>0</v>
      </c>
      <c r="AW560" s="375">
        <v>0</v>
      </c>
      <c r="AX560" s="375">
        <v>0</v>
      </c>
      <c r="AY560" s="375">
        <v>0</v>
      </c>
      <c r="AZ560" s="375">
        <v>0</v>
      </c>
      <c r="BA560" s="375">
        <v>0</v>
      </c>
      <c r="BB560" s="375">
        <v>0</v>
      </c>
      <c r="BC560" s="246">
        <v>-64566</v>
      </c>
      <c r="BD560" s="246">
        <v>0</v>
      </c>
      <c r="BE560" s="246">
        <v>0</v>
      </c>
      <c r="BF560" s="246">
        <v>0</v>
      </c>
      <c r="BG560" s="246">
        <v>0</v>
      </c>
      <c r="BH560" s="246">
        <v>0</v>
      </c>
      <c r="BI560" s="246">
        <v>0</v>
      </c>
      <c r="BJ560" s="246">
        <v>0</v>
      </c>
      <c r="BK560" s="246">
        <v>0</v>
      </c>
      <c r="BL560" s="246">
        <v>0</v>
      </c>
      <c r="BM560" s="246">
        <v>0</v>
      </c>
      <c r="BN560" s="246">
        <v>0</v>
      </c>
      <c r="BO560" s="227">
        <f>SUM(ERP_5[[#This Row],[2026 AP01]:[2026 AP12]])</f>
        <v>-64566</v>
      </c>
    </row>
    <row r="561" spans="1:67" ht="15" customHeight="1">
      <c r="A561" s="215" t="s">
        <v>2575</v>
      </c>
      <c r="B561" s="215" t="s">
        <v>886</v>
      </c>
      <c r="C561" s="150" t="s">
        <v>1136</v>
      </c>
      <c r="D561" s="334" t="s">
        <v>1135</v>
      </c>
      <c r="E561" s="334" t="s">
        <v>1135</v>
      </c>
      <c r="F561" s="334" t="s">
        <v>1137</v>
      </c>
      <c r="G561" s="516" t="s">
        <v>639</v>
      </c>
      <c r="H561" s="398" t="s">
        <v>2576</v>
      </c>
      <c r="I561" s="343" t="s">
        <v>2577</v>
      </c>
      <c r="J561" s="349" t="s">
        <v>1171</v>
      </c>
      <c r="K561" s="219" t="s">
        <v>887</v>
      </c>
      <c r="L561" s="349"/>
      <c r="M561" s="346" t="s">
        <v>2578</v>
      </c>
      <c r="N561" s="349"/>
      <c r="O561" s="334" t="s">
        <v>64</v>
      </c>
      <c r="P561" s="354"/>
      <c r="Q561" s="403"/>
      <c r="R561" s="406">
        <v>0</v>
      </c>
      <c r="S561" s="406">
        <v>5298.95</v>
      </c>
      <c r="T561" s="430"/>
      <c r="U561" s="137"/>
      <c r="V561" s="408"/>
      <c r="W561" s="410"/>
      <c r="X561" s="410">
        <v>5298.95</v>
      </c>
      <c r="Y561" s="428">
        <v>0</v>
      </c>
      <c r="Z561" s="429">
        <v>0</v>
      </c>
      <c r="AA561" s="429">
        <v>0</v>
      </c>
      <c r="AB561" s="368">
        <v>0</v>
      </c>
      <c r="AC561" s="368">
        <v>0</v>
      </c>
      <c r="AD561" s="368">
        <v>0</v>
      </c>
      <c r="AE561" s="368">
        <v>0</v>
      </c>
      <c r="AF561" s="368">
        <v>0</v>
      </c>
      <c r="AG561" s="368">
        <v>0</v>
      </c>
      <c r="AH561" s="367">
        <f t="shared" si="28"/>
        <v>5298.95</v>
      </c>
      <c r="AI561" s="362">
        <f>ERP_5[[#This Row],[2026 Working Total]]-ERP_5[[#This Row],[LE2 Final Submission]]</f>
        <v>0</v>
      </c>
      <c r="AJ561" s="227">
        <v>0</v>
      </c>
      <c r="AK561" s="227">
        <f t="shared" si="27"/>
        <v>0</v>
      </c>
      <c r="AL561" s="374">
        <f>SUM(ERP_5[[#This Row],[AP01]:[AP06]])-SUM(ERP_5[[#This Row],[AP01 LE2]:[AP06 LE2]])</f>
        <v>0</v>
      </c>
      <c r="AM561" s="80"/>
      <c r="AN561" s="79">
        <f>ERP_5[[#This Row],[2026 Working Total to Budget/LE]]-ERP_5[[#This Row],[Giveback]]</f>
        <v>0</v>
      </c>
      <c r="AO561" s="81"/>
      <c r="AP561" s="375"/>
      <c r="AQ561" s="375"/>
      <c r="AR561" s="375">
        <v>5298.95</v>
      </c>
      <c r="AS561" s="375">
        <v>0</v>
      </c>
      <c r="AT561" s="375">
        <v>0</v>
      </c>
      <c r="AU561" s="375">
        <v>0</v>
      </c>
      <c r="AV561" s="375">
        <v>0</v>
      </c>
      <c r="AW561" s="375">
        <v>0</v>
      </c>
      <c r="AX561" s="375">
        <v>0</v>
      </c>
      <c r="AY561" s="375">
        <v>0</v>
      </c>
      <c r="AZ561" s="375">
        <v>0</v>
      </c>
      <c r="BA561" s="375">
        <v>0</v>
      </c>
      <c r="BB561" s="375">
        <v>5298.95</v>
      </c>
      <c r="BC561" s="227"/>
      <c r="BD561" s="227"/>
      <c r="BE561" s="227">
        <v>5298.95</v>
      </c>
      <c r="BF561" s="227">
        <v>0</v>
      </c>
      <c r="BG561" s="227">
        <v>0</v>
      </c>
      <c r="BH561" s="227">
        <v>0</v>
      </c>
      <c r="BI561" s="227">
        <v>0</v>
      </c>
      <c r="BJ561" s="227">
        <v>0</v>
      </c>
      <c r="BK561" s="227">
        <v>0</v>
      </c>
      <c r="BL561" s="227">
        <v>0</v>
      </c>
      <c r="BM561" s="227">
        <v>0</v>
      </c>
      <c r="BN561" s="227">
        <v>0</v>
      </c>
      <c r="BO561" s="227">
        <v>5298.95</v>
      </c>
    </row>
    <row r="562" spans="1:67" ht="15" customHeight="1">
      <c r="A562" s="215" t="s">
        <v>2030</v>
      </c>
      <c r="B562" s="215" t="s">
        <v>536</v>
      </c>
      <c r="C562" s="150" t="s">
        <v>1136</v>
      </c>
      <c r="D562" s="334" t="s">
        <v>1345</v>
      </c>
      <c r="E562" s="334" t="s">
        <v>1345</v>
      </c>
      <c r="F562" s="334" t="s">
        <v>1346</v>
      </c>
      <c r="G562" s="516" t="s">
        <v>389</v>
      </c>
      <c r="H562" s="398" t="s">
        <v>2031</v>
      </c>
      <c r="I562" s="343"/>
      <c r="J562" s="344"/>
      <c r="K562" s="219" t="s">
        <v>537</v>
      </c>
      <c r="L562" s="349"/>
      <c r="M562" s="343"/>
      <c r="N562" s="349"/>
      <c r="O562" s="334" t="s">
        <v>25</v>
      </c>
      <c r="P562" s="354"/>
      <c r="Q562" s="403"/>
      <c r="R562" s="406">
        <v>9476.7599999999984</v>
      </c>
      <c r="S562" s="406">
        <v>8989.8399999999983</v>
      </c>
      <c r="T562" s="430"/>
      <c r="U562" s="137"/>
      <c r="V562" s="408">
        <v>730.3</v>
      </c>
      <c r="W562" s="410">
        <v>738.84</v>
      </c>
      <c r="X562" s="410">
        <v>752.07</v>
      </c>
      <c r="Y562" s="428">
        <v>738.27</v>
      </c>
      <c r="Z562" s="429">
        <v>704.13</v>
      </c>
      <c r="AA562" s="429">
        <v>719.83999999999992</v>
      </c>
      <c r="AB562" s="369">
        <v>752.07</v>
      </c>
      <c r="AC562" s="369">
        <v>752.07</v>
      </c>
      <c r="AD562" s="369">
        <v>752.07</v>
      </c>
      <c r="AE562" s="369">
        <v>752.07</v>
      </c>
      <c r="AF562" s="369">
        <v>752.07</v>
      </c>
      <c r="AG562" s="369">
        <v>752.07</v>
      </c>
      <c r="AH562" s="367">
        <f t="shared" si="28"/>
        <v>8895.869999999999</v>
      </c>
      <c r="AI562" s="362">
        <f>ERP_5[[#This Row],[2026 Working Total]]-ERP_5[[#This Row],[LE2 Final Submission]]</f>
        <v>-93.969999999999345</v>
      </c>
      <c r="AJ562" s="227">
        <v>752.07</v>
      </c>
      <c r="AK562" s="227">
        <f t="shared" si="27"/>
        <v>-32.230000000000132</v>
      </c>
      <c r="AL562" s="374">
        <f>SUM(ERP_5[[#This Row],[AP01]:[AP06]])-SUM(ERP_5[[#This Row],[AP01 LE2]:[AP06 LE2]])</f>
        <v>-93.970000000000255</v>
      </c>
      <c r="AM562" s="80"/>
      <c r="AN562" s="79">
        <f>ERP_5[[#This Row],[2026 Working Total to Budget/LE]]-ERP_5[[#This Row],[Giveback]]</f>
        <v>-93.969999999999345</v>
      </c>
      <c r="AO562" s="81"/>
      <c r="AP562" s="375">
        <v>730.3</v>
      </c>
      <c r="AQ562" s="375">
        <v>738.84</v>
      </c>
      <c r="AR562" s="375">
        <v>752.07</v>
      </c>
      <c r="AS562" s="375">
        <v>752.07</v>
      </c>
      <c r="AT562" s="375">
        <v>752.07</v>
      </c>
      <c r="AU562" s="375">
        <v>752.07</v>
      </c>
      <c r="AV562" s="375">
        <v>752.07</v>
      </c>
      <c r="AW562" s="375">
        <v>752.07</v>
      </c>
      <c r="AX562" s="375">
        <v>752.07</v>
      </c>
      <c r="AY562" s="375">
        <v>752.07</v>
      </c>
      <c r="AZ562" s="375">
        <v>752.07</v>
      </c>
      <c r="BA562" s="375">
        <v>752.07</v>
      </c>
      <c r="BB562" s="375">
        <v>8989.8399999999983</v>
      </c>
      <c r="BC562" s="227">
        <v>730.3</v>
      </c>
      <c r="BD562" s="227">
        <v>738.84</v>
      </c>
      <c r="BE562" s="227">
        <v>752.07</v>
      </c>
      <c r="BF562" s="227">
        <v>789.73</v>
      </c>
      <c r="BG562" s="227">
        <v>789.73</v>
      </c>
      <c r="BH562" s="227">
        <v>789.73</v>
      </c>
      <c r="BI562" s="227">
        <v>789.73</v>
      </c>
      <c r="BJ562" s="227">
        <v>789.73</v>
      </c>
      <c r="BK562" s="227">
        <v>789.73</v>
      </c>
      <c r="BL562" s="227">
        <v>789.73</v>
      </c>
      <c r="BM562" s="227">
        <v>789.73</v>
      </c>
      <c r="BN562" s="227">
        <v>789.73</v>
      </c>
      <c r="BO562" s="227">
        <v>9328.779999999997</v>
      </c>
    </row>
    <row r="563" spans="1:67" ht="15" customHeight="1">
      <c r="A563" s="215" t="s">
        <v>2579</v>
      </c>
      <c r="B563" s="215" t="s">
        <v>2580</v>
      </c>
      <c r="C563" s="150" t="s">
        <v>1136</v>
      </c>
      <c r="D563" s="334" t="s">
        <v>1135</v>
      </c>
      <c r="E563" s="334" t="s">
        <v>1145</v>
      </c>
      <c r="F563" s="334" t="s">
        <v>1137</v>
      </c>
      <c r="G563" s="516" t="s">
        <v>639</v>
      </c>
      <c r="H563" s="398" t="s">
        <v>2581</v>
      </c>
      <c r="I563" s="343"/>
      <c r="J563" s="344"/>
      <c r="K563" s="219" t="s">
        <v>889</v>
      </c>
      <c r="L563" s="349"/>
      <c r="M563" s="343"/>
      <c r="N563" s="349"/>
      <c r="O563" s="334" t="s">
        <v>25</v>
      </c>
      <c r="P563" s="354"/>
      <c r="Q563" s="403"/>
      <c r="R563" s="406">
        <v>1190.6600000000001</v>
      </c>
      <c r="S563" s="406">
        <v>1190.6600000000001</v>
      </c>
      <c r="T563" s="425"/>
      <c r="U563" s="71"/>
      <c r="V563" s="408"/>
      <c r="W563" s="410"/>
      <c r="X563" s="410"/>
      <c r="Y563" s="428" t="s">
        <v>1142</v>
      </c>
      <c r="Z563" s="429">
        <v>0</v>
      </c>
      <c r="AA563" s="429">
        <v>0</v>
      </c>
      <c r="AB563" s="368">
        <v>0</v>
      </c>
      <c r="AC563" s="368">
        <v>0</v>
      </c>
      <c r="AD563" s="368">
        <v>0</v>
      </c>
      <c r="AE563" s="368">
        <v>0</v>
      </c>
      <c r="AF563" s="368">
        <v>0</v>
      </c>
      <c r="AG563" s="368">
        <v>0</v>
      </c>
      <c r="AH563" s="367">
        <f t="shared" si="28"/>
        <v>0</v>
      </c>
      <c r="AI563" s="362">
        <f>ERP_5[[#This Row],[2026 Working Total]]-ERP_5[[#This Row],[LE2 Final Submission]]</f>
        <v>-1190.6600000000001</v>
      </c>
      <c r="AJ563" s="227"/>
      <c r="AK563" s="227">
        <f t="shared" si="27"/>
        <v>0</v>
      </c>
      <c r="AL563" s="374">
        <f>SUM(ERP_5[[#This Row],[AP01]:[AP06]])-SUM(ERP_5[[#This Row],[AP01 LE2]:[AP06 LE2]])</f>
        <v>-1190.6600000000001</v>
      </c>
      <c r="AM563" s="80"/>
      <c r="AN563" s="79">
        <f>ERP_5[[#This Row],[2026 Working Total to Budget/LE]]-ERP_5[[#This Row],[Giveback]]</f>
        <v>-1190.6600000000001</v>
      </c>
      <c r="AO563" s="81"/>
      <c r="AP563" s="375"/>
      <c r="AQ563" s="375"/>
      <c r="AR563" s="375"/>
      <c r="AS563" s="375"/>
      <c r="AT563" s="375"/>
      <c r="AU563" s="375">
        <v>1190.6600000000001</v>
      </c>
      <c r="AV563" s="375">
        <v>0</v>
      </c>
      <c r="AW563" s="375">
        <v>0</v>
      </c>
      <c r="AX563" s="375">
        <v>0</v>
      </c>
      <c r="AY563" s="375">
        <v>0</v>
      </c>
      <c r="AZ563" s="375">
        <v>0</v>
      </c>
      <c r="BA563" s="375">
        <v>0</v>
      </c>
      <c r="BB563" s="375">
        <v>1190.6600000000001</v>
      </c>
      <c r="BC563" s="227"/>
      <c r="BD563" s="227"/>
      <c r="BE563" s="227"/>
      <c r="BF563" s="227"/>
      <c r="BG563" s="227"/>
      <c r="BH563" s="227">
        <v>1190.6600000000001</v>
      </c>
      <c r="BI563" s="227">
        <v>0</v>
      </c>
      <c r="BJ563" s="227">
        <v>0</v>
      </c>
      <c r="BK563" s="227">
        <v>0</v>
      </c>
      <c r="BL563" s="227">
        <v>0</v>
      </c>
      <c r="BM563" s="227">
        <v>0</v>
      </c>
      <c r="BN563" s="227">
        <v>0</v>
      </c>
      <c r="BO563" s="227">
        <v>1190.6600000000001</v>
      </c>
    </row>
    <row r="564" spans="1:67" ht="15" customHeight="1">
      <c r="A564" s="215" t="s">
        <v>2125</v>
      </c>
      <c r="B564" s="215" t="s">
        <v>2126</v>
      </c>
      <c r="C564" s="150" t="s">
        <v>1136</v>
      </c>
      <c r="D564" s="334" t="s">
        <v>1567</v>
      </c>
      <c r="E564" s="334" t="s">
        <v>1567</v>
      </c>
      <c r="F564" s="334" t="s">
        <v>1567</v>
      </c>
      <c r="G564" s="516" t="s">
        <v>389</v>
      </c>
      <c r="H564" s="398" t="s">
        <v>2127</v>
      </c>
      <c r="I564" s="343"/>
      <c r="J564" s="344"/>
      <c r="K564" s="219" t="s">
        <v>587</v>
      </c>
      <c r="L564" s="349"/>
      <c r="M564" s="343"/>
      <c r="N564" s="349"/>
      <c r="O564" s="334" t="s">
        <v>25</v>
      </c>
      <c r="P564" s="354"/>
      <c r="Q564" s="403"/>
      <c r="R564" s="406">
        <v>0</v>
      </c>
      <c r="S564" s="406">
        <v>21.89</v>
      </c>
      <c r="T564" s="425"/>
      <c r="U564" s="71"/>
      <c r="V564" s="408">
        <v>11.06</v>
      </c>
      <c r="W564" s="410">
        <v>5.54</v>
      </c>
      <c r="X564" s="410">
        <v>5.29</v>
      </c>
      <c r="Y564" s="428">
        <v>5.5299999999999994</v>
      </c>
      <c r="Z564" s="429">
        <v>5.33</v>
      </c>
      <c r="AA564" s="429">
        <v>5.5299999999999994</v>
      </c>
      <c r="AB564" s="368">
        <v>0</v>
      </c>
      <c r="AC564" s="368">
        <v>0</v>
      </c>
      <c r="AD564" s="368">
        <v>0</v>
      </c>
      <c r="AE564" s="368">
        <v>0</v>
      </c>
      <c r="AF564" s="368">
        <v>0</v>
      </c>
      <c r="AG564" s="368">
        <v>0</v>
      </c>
      <c r="AH564" s="367">
        <f t="shared" si="28"/>
        <v>38.28</v>
      </c>
      <c r="AI564" s="362">
        <f>ERP_5[[#This Row],[2026 Working Total]]-ERP_5[[#This Row],[LE2 Final Submission]]</f>
        <v>16.39</v>
      </c>
      <c r="AJ564" s="227">
        <v>0</v>
      </c>
      <c r="AK564" s="227">
        <f t="shared" si="27"/>
        <v>5.5299999999999994</v>
      </c>
      <c r="AL564" s="374">
        <f>SUM(ERP_5[[#This Row],[AP01]:[AP06]])-SUM(ERP_5[[#This Row],[AP01 LE2]:[AP06 LE2]])</f>
        <v>16.39</v>
      </c>
      <c r="AM564" s="80"/>
      <c r="AN564" s="79">
        <f>ERP_5[[#This Row],[2026 Working Total to Budget/LE]]-ERP_5[[#This Row],[Giveback]]</f>
        <v>16.39</v>
      </c>
      <c r="AO564" s="81"/>
      <c r="AP564" s="375">
        <v>11.06</v>
      </c>
      <c r="AQ564" s="375">
        <v>5.54</v>
      </c>
      <c r="AR564" s="375">
        <v>5.29</v>
      </c>
      <c r="AS564" s="375">
        <v>0</v>
      </c>
      <c r="AT564" s="375">
        <v>0</v>
      </c>
      <c r="AU564" s="375">
        <v>0</v>
      </c>
      <c r="AV564" s="375">
        <v>0</v>
      </c>
      <c r="AW564" s="375">
        <v>0</v>
      </c>
      <c r="AX564" s="375">
        <v>0</v>
      </c>
      <c r="AY564" s="375">
        <v>0</v>
      </c>
      <c r="AZ564" s="375">
        <v>0</v>
      </c>
      <c r="BA564" s="375">
        <v>0</v>
      </c>
      <c r="BB564" s="375">
        <v>21.89</v>
      </c>
      <c r="BC564" s="227">
        <v>11.06</v>
      </c>
      <c r="BD564" s="227">
        <v>5.54</v>
      </c>
      <c r="BE564" s="227">
        <v>5.29</v>
      </c>
      <c r="BF564" s="227">
        <v>0</v>
      </c>
      <c r="BG564" s="227">
        <v>0</v>
      </c>
      <c r="BH564" s="227">
        <v>0</v>
      </c>
      <c r="BI564" s="227">
        <v>0</v>
      </c>
      <c r="BJ564" s="227">
        <v>0</v>
      </c>
      <c r="BK564" s="227">
        <v>0</v>
      </c>
      <c r="BL564" s="227">
        <v>0</v>
      </c>
      <c r="BM564" s="227">
        <v>0</v>
      </c>
      <c r="BN564" s="227">
        <v>0</v>
      </c>
      <c r="BO564" s="227">
        <v>21.89</v>
      </c>
    </row>
    <row r="565" spans="1:67" ht="15" customHeight="1">
      <c r="A565" s="215" t="s">
        <v>1950</v>
      </c>
      <c r="B565" s="215" t="s">
        <v>1951</v>
      </c>
      <c r="C565" s="150" t="s">
        <v>1136</v>
      </c>
      <c r="D565" s="334" t="s">
        <v>1135</v>
      </c>
      <c r="E565" s="334" t="s">
        <v>1165</v>
      </c>
      <c r="F565" s="334" t="s">
        <v>1137</v>
      </c>
      <c r="G565" s="516" t="s">
        <v>389</v>
      </c>
      <c r="H565" s="398" t="s">
        <v>1952</v>
      </c>
      <c r="I565" s="343"/>
      <c r="J565" s="344"/>
      <c r="K565" s="219" t="s">
        <v>489</v>
      </c>
      <c r="L565" s="349" t="s">
        <v>1153</v>
      </c>
      <c r="M565" s="343"/>
      <c r="N565" s="349"/>
      <c r="O565" s="334" t="s">
        <v>490</v>
      </c>
      <c r="P565" s="354"/>
      <c r="Q565" s="403"/>
      <c r="R565" s="406">
        <v>3999.9999999999995</v>
      </c>
      <c r="S565" s="406">
        <v>4632.7199999999993</v>
      </c>
      <c r="T565" s="425"/>
      <c r="U565" s="71"/>
      <c r="V565" s="408">
        <v>571.28</v>
      </c>
      <c r="W565" s="410">
        <v>587.64</v>
      </c>
      <c r="X565" s="410">
        <v>473.79</v>
      </c>
      <c r="Y565" s="428">
        <v>590.85</v>
      </c>
      <c r="Z565" s="429">
        <v>588.03</v>
      </c>
      <c r="AA565" s="429">
        <v>718.07</v>
      </c>
      <c r="AB565" s="369">
        <v>333.33</v>
      </c>
      <c r="AC565" s="369">
        <v>333.33</v>
      </c>
      <c r="AD565" s="369">
        <v>333.33</v>
      </c>
      <c r="AE565" s="369">
        <v>333.33</v>
      </c>
      <c r="AF565" s="369">
        <v>333.33</v>
      </c>
      <c r="AG565" s="369">
        <v>333.37</v>
      </c>
      <c r="AH565" s="367">
        <f t="shared" si="28"/>
        <v>5529.68</v>
      </c>
      <c r="AI565" s="362">
        <f>ERP_5[[#This Row],[2026 Working Total]]-ERP_5[[#This Row],[LE2 Final Submission]]</f>
        <v>896.96000000000095</v>
      </c>
      <c r="AJ565" s="227">
        <v>333.33</v>
      </c>
      <c r="AK565" s="227">
        <f t="shared" si="27"/>
        <v>384.74000000000007</v>
      </c>
      <c r="AL565" s="374">
        <f>SUM(ERP_5[[#This Row],[AP01]:[AP06]])-SUM(ERP_5[[#This Row],[AP01 LE2]:[AP06 LE2]])</f>
        <v>896.96000000000049</v>
      </c>
      <c r="AM565" s="80"/>
      <c r="AN565" s="79">
        <f>ERP_5[[#This Row],[2026 Working Total to Budget/LE]]-ERP_5[[#This Row],[Giveback]]</f>
        <v>896.96000000000095</v>
      </c>
      <c r="AO565" s="81"/>
      <c r="AP565" s="375">
        <v>571.28</v>
      </c>
      <c r="AQ565" s="375">
        <v>587.64</v>
      </c>
      <c r="AR565" s="375">
        <v>473.79</v>
      </c>
      <c r="AS565" s="375">
        <v>333.33</v>
      </c>
      <c r="AT565" s="375">
        <v>333.33</v>
      </c>
      <c r="AU565" s="375">
        <v>333.33</v>
      </c>
      <c r="AV565" s="375">
        <v>333.33</v>
      </c>
      <c r="AW565" s="375">
        <v>333.33</v>
      </c>
      <c r="AX565" s="375">
        <v>333.33</v>
      </c>
      <c r="AY565" s="375">
        <v>333.33</v>
      </c>
      <c r="AZ565" s="375">
        <v>333.33</v>
      </c>
      <c r="BA565" s="375">
        <v>333.37</v>
      </c>
      <c r="BB565" s="375">
        <v>4632.7199999999993</v>
      </c>
      <c r="BC565" s="227">
        <v>571.28</v>
      </c>
      <c r="BD565" s="227">
        <v>587.64</v>
      </c>
      <c r="BE565" s="227">
        <v>473.79</v>
      </c>
      <c r="BF565" s="227">
        <v>333.33</v>
      </c>
      <c r="BG565" s="227">
        <v>333.33</v>
      </c>
      <c r="BH565" s="227">
        <v>333.33</v>
      </c>
      <c r="BI565" s="227">
        <v>333.33</v>
      </c>
      <c r="BJ565" s="227">
        <v>333.33</v>
      </c>
      <c r="BK565" s="227">
        <v>333.33</v>
      </c>
      <c r="BL565" s="227">
        <v>333.33</v>
      </c>
      <c r="BM565" s="227">
        <v>333.33</v>
      </c>
      <c r="BN565" s="227">
        <v>333.37</v>
      </c>
      <c r="BO565" s="227">
        <v>4632.7199999999993</v>
      </c>
    </row>
    <row r="566" spans="1:67" ht="15" customHeight="1">
      <c r="A566" s="227" t="s">
        <v>2692</v>
      </c>
      <c r="B566" s="330" t="s">
        <v>2693</v>
      </c>
      <c r="C566" s="150" t="s">
        <v>1136</v>
      </c>
      <c r="D566" s="336" t="s">
        <v>1345</v>
      </c>
      <c r="E566" s="338" t="s">
        <v>1437</v>
      </c>
      <c r="F566" s="339" t="s">
        <v>1346</v>
      </c>
      <c r="G566" s="517" t="s">
        <v>639</v>
      </c>
      <c r="H566" s="399" t="s">
        <v>2694</v>
      </c>
      <c r="I566" s="343" t="s">
        <v>949</v>
      </c>
      <c r="J566" s="336" t="s">
        <v>1438</v>
      </c>
      <c r="K566" s="235" t="s">
        <v>952</v>
      </c>
      <c r="L566" s="351"/>
      <c r="M566" s="346" t="s">
        <v>2695</v>
      </c>
      <c r="N566" s="349" t="s">
        <v>1710</v>
      </c>
      <c r="O566" s="352" t="s">
        <v>863</v>
      </c>
      <c r="P566" s="355" t="s">
        <v>1348</v>
      </c>
      <c r="Q566" s="437"/>
      <c r="R566" s="358">
        <v>231903.75</v>
      </c>
      <c r="S566" s="378">
        <v>0</v>
      </c>
      <c r="T566" s="425"/>
      <c r="U566" s="71"/>
      <c r="V566" s="409"/>
      <c r="W566" s="411"/>
      <c r="X566" s="411"/>
      <c r="Y566" s="428" t="s">
        <v>1142</v>
      </c>
      <c r="Z566" s="429">
        <v>0</v>
      </c>
      <c r="AA566" s="429">
        <v>0</v>
      </c>
      <c r="AB566" s="370">
        <v>0</v>
      </c>
      <c r="AC566" s="370">
        <v>0</v>
      </c>
      <c r="AD566" s="370">
        <v>0</v>
      </c>
      <c r="AE566" s="370">
        <v>0</v>
      </c>
      <c r="AF566" s="370">
        <v>0</v>
      </c>
      <c r="AG566" s="370">
        <v>0</v>
      </c>
      <c r="AH566" s="367">
        <f t="shared" si="28"/>
        <v>0</v>
      </c>
      <c r="AI566" s="362">
        <f>ERP_5[[#This Row],[2026 Working Total]]-ERP_5[[#This Row],[LE2 Final Submission]]</f>
        <v>0</v>
      </c>
      <c r="AJ566" s="227">
        <v>0</v>
      </c>
      <c r="AK566" s="227">
        <f t="shared" si="27"/>
        <v>0</v>
      </c>
      <c r="AL566" s="374">
        <f>SUM(ERP_5[[#This Row],[AP01]:[AP06]])-SUM(ERP_5[[#This Row],[AP01 LE2]:[AP06 LE2]])</f>
        <v>0</v>
      </c>
      <c r="AM566" s="80"/>
      <c r="AN566" s="79">
        <f>ERP_5[[#This Row],[2026 Working Total to Budget/LE]]-ERP_5[[#This Row],[Giveback]]</f>
        <v>0</v>
      </c>
      <c r="AO566" s="81"/>
      <c r="AP566" s="375"/>
      <c r="AQ566" s="375"/>
      <c r="AR566" s="375"/>
      <c r="AS566" s="375">
        <v>0</v>
      </c>
      <c r="AT566" s="375">
        <v>0</v>
      </c>
      <c r="AU566" s="375">
        <v>0</v>
      </c>
      <c r="AV566" s="375">
        <v>0</v>
      </c>
      <c r="AW566" s="375">
        <v>0</v>
      </c>
      <c r="AX566" s="375">
        <v>0</v>
      </c>
      <c r="AY566" s="375">
        <v>0</v>
      </c>
      <c r="AZ566" s="375">
        <v>0</v>
      </c>
      <c r="BA566" s="375">
        <v>0</v>
      </c>
      <c r="BB566" s="375">
        <v>0</v>
      </c>
      <c r="BC566" s="246">
        <v>231903.75</v>
      </c>
      <c r="BD566" s="246">
        <v>0</v>
      </c>
      <c r="BE566" s="246">
        <v>0</v>
      </c>
      <c r="BF566" s="246">
        <v>0</v>
      </c>
      <c r="BG566" s="246">
        <v>0</v>
      </c>
      <c r="BH566" s="246">
        <v>0</v>
      </c>
      <c r="BI566" s="246">
        <v>0</v>
      </c>
      <c r="BJ566" s="246">
        <v>0</v>
      </c>
      <c r="BK566" s="246">
        <v>0</v>
      </c>
      <c r="BL566" s="246">
        <v>0</v>
      </c>
      <c r="BM566" s="246">
        <v>0</v>
      </c>
      <c r="BN566" s="246">
        <v>0</v>
      </c>
      <c r="BO566" s="227">
        <f>SUM(ERP_5[[#This Row],[2026 AP01]:[2026 AP12]])</f>
        <v>231903.75</v>
      </c>
    </row>
    <row r="567" spans="1:67" ht="15" customHeight="1">
      <c r="A567" s="227" t="s">
        <v>2696</v>
      </c>
      <c r="B567" s="330" t="s">
        <v>2697</v>
      </c>
      <c r="C567" s="150" t="s">
        <v>1136</v>
      </c>
      <c r="D567" s="336" t="s">
        <v>1345</v>
      </c>
      <c r="E567" s="338" t="s">
        <v>1437</v>
      </c>
      <c r="F567" s="339" t="s">
        <v>1346</v>
      </c>
      <c r="G567" s="517" t="s">
        <v>639</v>
      </c>
      <c r="H567" s="399" t="s">
        <v>2698</v>
      </c>
      <c r="I567" s="343" t="s">
        <v>949</v>
      </c>
      <c r="J567" s="336" t="s">
        <v>1438</v>
      </c>
      <c r="K567" s="235" t="s">
        <v>954</v>
      </c>
      <c r="L567" s="351"/>
      <c r="M567" s="346" t="s">
        <v>2695</v>
      </c>
      <c r="N567" s="349" t="s">
        <v>1710</v>
      </c>
      <c r="O567" s="352" t="s">
        <v>863</v>
      </c>
      <c r="P567" s="355" t="s">
        <v>1348</v>
      </c>
      <c r="Q567" s="437"/>
      <c r="R567" s="358">
        <v>-231903.75</v>
      </c>
      <c r="S567" s="378">
        <v>0</v>
      </c>
      <c r="T567" s="425"/>
      <c r="U567" s="71"/>
      <c r="V567" s="409"/>
      <c r="W567" s="411"/>
      <c r="X567" s="411"/>
      <c r="Y567" s="428" t="s">
        <v>1142</v>
      </c>
      <c r="Z567" s="429">
        <v>0</v>
      </c>
      <c r="AA567" s="429">
        <v>0</v>
      </c>
      <c r="AB567" s="370">
        <v>0</v>
      </c>
      <c r="AC567" s="370">
        <v>0</v>
      </c>
      <c r="AD567" s="370">
        <v>0</v>
      </c>
      <c r="AE567" s="370">
        <v>0</v>
      </c>
      <c r="AF567" s="370">
        <v>0</v>
      </c>
      <c r="AG567" s="370">
        <v>0</v>
      </c>
      <c r="AH567" s="367">
        <f t="shared" si="28"/>
        <v>0</v>
      </c>
      <c r="AI567" s="362">
        <f>ERP_5[[#This Row],[2026 Working Total]]-ERP_5[[#This Row],[LE2 Final Submission]]</f>
        <v>0</v>
      </c>
      <c r="AJ567" s="227">
        <v>0</v>
      </c>
      <c r="AK567" s="227">
        <f t="shared" si="27"/>
        <v>0</v>
      </c>
      <c r="AL567" s="374">
        <f>SUM(ERP_5[[#This Row],[AP01]:[AP06]])-SUM(ERP_5[[#This Row],[AP01 LE2]:[AP06 LE2]])</f>
        <v>0</v>
      </c>
      <c r="AM567" s="80"/>
      <c r="AN567" s="79">
        <f>ERP_5[[#This Row],[2026 Working Total to Budget/LE]]-ERP_5[[#This Row],[Giveback]]</f>
        <v>0</v>
      </c>
      <c r="AO567" s="81"/>
      <c r="AP567" s="375"/>
      <c r="AQ567" s="375"/>
      <c r="AR567" s="375"/>
      <c r="AS567" s="375">
        <v>0</v>
      </c>
      <c r="AT567" s="375">
        <v>0</v>
      </c>
      <c r="AU567" s="375">
        <v>0</v>
      </c>
      <c r="AV567" s="375">
        <v>0</v>
      </c>
      <c r="AW567" s="375">
        <v>0</v>
      </c>
      <c r="AX567" s="375">
        <v>0</v>
      </c>
      <c r="AY567" s="375">
        <v>0</v>
      </c>
      <c r="AZ567" s="375">
        <v>0</v>
      </c>
      <c r="BA567" s="375">
        <v>0</v>
      </c>
      <c r="BB567" s="375">
        <v>0</v>
      </c>
      <c r="BC567" s="246">
        <v>-231903.75</v>
      </c>
      <c r="BD567" s="246">
        <v>0</v>
      </c>
      <c r="BE567" s="246">
        <v>0</v>
      </c>
      <c r="BF567" s="246">
        <v>0</v>
      </c>
      <c r="BG567" s="246">
        <v>0</v>
      </c>
      <c r="BH567" s="246">
        <v>0</v>
      </c>
      <c r="BI567" s="246">
        <v>0</v>
      </c>
      <c r="BJ567" s="246">
        <v>0</v>
      </c>
      <c r="BK567" s="246">
        <v>0</v>
      </c>
      <c r="BL567" s="246">
        <v>0</v>
      </c>
      <c r="BM567" s="246">
        <v>0</v>
      </c>
      <c r="BN567" s="246">
        <v>0</v>
      </c>
      <c r="BO567" s="227">
        <f>SUM(ERP_5[[#This Row],[2026 AP01]:[2026 AP12]])</f>
        <v>-231903.75</v>
      </c>
    </row>
    <row r="568" spans="1:67" ht="15" customHeight="1">
      <c r="A568" s="215" t="s">
        <v>2817</v>
      </c>
      <c r="B568" s="215" t="s">
        <v>1023</v>
      </c>
      <c r="C568" s="150" t="s">
        <v>1136</v>
      </c>
      <c r="D568" s="334" t="s">
        <v>1650</v>
      </c>
      <c r="E568" s="334" t="s">
        <v>1650</v>
      </c>
      <c r="F568" s="334" t="s">
        <v>1650</v>
      </c>
      <c r="G568" s="516" t="s">
        <v>639</v>
      </c>
      <c r="H568" s="398" t="s">
        <v>2818</v>
      </c>
      <c r="I568" s="343"/>
      <c r="J568" s="344"/>
      <c r="K568" s="219" t="s">
        <v>1024</v>
      </c>
      <c r="L568" s="349"/>
      <c r="M568" s="343"/>
      <c r="N568" s="349"/>
      <c r="O568" s="334" t="s">
        <v>25</v>
      </c>
      <c r="P568" s="354"/>
      <c r="Q568" s="403"/>
      <c r="R568" s="406">
        <v>156778.01999999999</v>
      </c>
      <c r="S568" s="406">
        <v>156778.01999999999</v>
      </c>
      <c r="T568" s="425"/>
      <c r="U568" s="71"/>
      <c r="V568" s="408">
        <v>10768</v>
      </c>
      <c r="W568" s="410">
        <v>146010.01999999999</v>
      </c>
      <c r="X568" s="412">
        <v>0</v>
      </c>
      <c r="Y568" s="428">
        <v>0</v>
      </c>
      <c r="Z568" s="429">
        <v>0</v>
      </c>
      <c r="AA568" s="429">
        <v>0</v>
      </c>
      <c r="AB568" s="368">
        <v>0</v>
      </c>
      <c r="AC568" s="368">
        <v>0</v>
      </c>
      <c r="AD568" s="368">
        <v>0</v>
      </c>
      <c r="AE568" s="368">
        <v>0</v>
      </c>
      <c r="AF568" s="368">
        <v>0</v>
      </c>
      <c r="AG568" s="368">
        <v>0</v>
      </c>
      <c r="AH568" s="367">
        <f t="shared" si="28"/>
        <v>156778.01999999999</v>
      </c>
      <c r="AI568" s="362">
        <f>ERP_5[[#This Row],[2026 Working Total]]-ERP_5[[#This Row],[LE2 Final Submission]]</f>
        <v>0</v>
      </c>
      <c r="AJ568" s="227">
        <v>0</v>
      </c>
      <c r="AK568" s="227">
        <f t="shared" si="27"/>
        <v>0</v>
      </c>
      <c r="AL568" s="374">
        <f>SUM(ERP_5[[#This Row],[AP01]:[AP06]])-SUM(ERP_5[[#This Row],[AP01 LE2]:[AP06 LE2]])</f>
        <v>0</v>
      </c>
      <c r="AM568" s="80"/>
      <c r="AN568" s="79">
        <f>ERP_5[[#This Row],[2026 Working Total to Budget/LE]]-ERP_5[[#This Row],[Giveback]]</f>
        <v>0</v>
      </c>
      <c r="AO568" s="81"/>
      <c r="AP568" s="375">
        <v>10768</v>
      </c>
      <c r="AQ568" s="375">
        <v>146010.01999999999</v>
      </c>
      <c r="AR568" s="375">
        <v>0</v>
      </c>
      <c r="AS568" s="375">
        <v>0</v>
      </c>
      <c r="AT568" s="375">
        <v>0</v>
      </c>
      <c r="AU568" s="375">
        <v>0</v>
      </c>
      <c r="AV568" s="375">
        <v>0</v>
      </c>
      <c r="AW568" s="375">
        <v>0</v>
      </c>
      <c r="AX568" s="375">
        <v>0</v>
      </c>
      <c r="AY568" s="375">
        <v>0</v>
      </c>
      <c r="AZ568" s="375">
        <v>0</v>
      </c>
      <c r="BA568" s="375">
        <v>0</v>
      </c>
      <c r="BB568" s="375">
        <v>156778.01999999999</v>
      </c>
      <c r="BC568" s="227">
        <v>10768</v>
      </c>
      <c r="BD568" s="227">
        <v>146010.01999999999</v>
      </c>
      <c r="BE568" s="227">
        <v>0</v>
      </c>
      <c r="BF568" s="227">
        <v>0</v>
      </c>
      <c r="BG568" s="227">
        <v>0</v>
      </c>
      <c r="BH568" s="227">
        <v>0</v>
      </c>
      <c r="BI568" s="227">
        <v>0</v>
      </c>
      <c r="BJ568" s="227">
        <v>0</v>
      </c>
      <c r="BK568" s="227">
        <v>0</v>
      </c>
      <c r="BL568" s="227">
        <v>0</v>
      </c>
      <c r="BM568" s="227">
        <v>0</v>
      </c>
      <c r="BN568" s="227">
        <v>0</v>
      </c>
      <c r="BO568" s="227">
        <v>156778.01999999999</v>
      </c>
    </row>
    <row r="569" spans="1:67" ht="15" customHeight="1">
      <c r="A569" s="215" t="s">
        <v>2582</v>
      </c>
      <c r="B569" s="215" t="s">
        <v>2583</v>
      </c>
      <c r="C569" s="150" t="s">
        <v>1136</v>
      </c>
      <c r="D569" s="334" t="s">
        <v>1135</v>
      </c>
      <c r="E569" s="334" t="s">
        <v>1165</v>
      </c>
      <c r="F569" s="334" t="s">
        <v>1137</v>
      </c>
      <c r="G569" s="516" t="s">
        <v>639</v>
      </c>
      <c r="H569" s="398" t="s">
        <v>1952</v>
      </c>
      <c r="I569" s="343"/>
      <c r="J569" s="344"/>
      <c r="K569" s="219" t="s">
        <v>489</v>
      </c>
      <c r="L569" s="349" t="s">
        <v>1153</v>
      </c>
      <c r="M569" s="343"/>
      <c r="N569" s="349"/>
      <c r="O569" s="334" t="s">
        <v>490</v>
      </c>
      <c r="P569" s="354"/>
      <c r="Q569" s="403"/>
      <c r="R569" s="406">
        <v>23000</v>
      </c>
      <c r="S569" s="406">
        <v>21098.22</v>
      </c>
      <c r="T569" s="425"/>
      <c r="U569" s="71"/>
      <c r="V569" s="408"/>
      <c r="W569" s="410"/>
      <c r="X569" s="410">
        <v>21098.22</v>
      </c>
      <c r="Y569" s="428">
        <v>0</v>
      </c>
      <c r="Z569" s="429">
        <v>0</v>
      </c>
      <c r="AA569" s="429">
        <v>0</v>
      </c>
      <c r="AB569" s="368">
        <v>0</v>
      </c>
      <c r="AC569" s="368">
        <v>0</v>
      </c>
      <c r="AD569" s="368">
        <v>0</v>
      </c>
      <c r="AE569" s="368">
        <v>0</v>
      </c>
      <c r="AF569" s="368">
        <v>0</v>
      </c>
      <c r="AG569" s="368">
        <v>0</v>
      </c>
      <c r="AH569" s="367">
        <f t="shared" si="28"/>
        <v>21098.22</v>
      </c>
      <c r="AI569" s="362">
        <f>ERP_5[[#This Row],[2026 Working Total]]-ERP_5[[#This Row],[LE2 Final Submission]]</f>
        <v>0</v>
      </c>
      <c r="AJ569" s="227">
        <v>0</v>
      </c>
      <c r="AK569" s="227">
        <f t="shared" si="27"/>
        <v>0</v>
      </c>
      <c r="AL569" s="374">
        <f>SUM(ERP_5[[#This Row],[AP01]:[AP06]])-SUM(ERP_5[[#This Row],[AP01 LE2]:[AP06 LE2]])</f>
        <v>0</v>
      </c>
      <c r="AM569" s="80"/>
      <c r="AN569" s="79">
        <f>ERP_5[[#This Row],[2026 Working Total to Budget/LE]]-ERP_5[[#This Row],[Giveback]]</f>
        <v>0</v>
      </c>
      <c r="AO569" s="81"/>
      <c r="AP569" s="375"/>
      <c r="AQ569" s="375"/>
      <c r="AR569" s="375">
        <v>21098.22</v>
      </c>
      <c r="AS569" s="375">
        <v>0</v>
      </c>
      <c r="AT569" s="375">
        <v>0</v>
      </c>
      <c r="AU569" s="375">
        <v>0</v>
      </c>
      <c r="AV569" s="375">
        <v>0</v>
      </c>
      <c r="AW569" s="375">
        <v>0</v>
      </c>
      <c r="AX569" s="375">
        <v>0</v>
      </c>
      <c r="AY569" s="375">
        <v>0</v>
      </c>
      <c r="AZ569" s="375">
        <v>0</v>
      </c>
      <c r="BA569" s="375">
        <v>0</v>
      </c>
      <c r="BB569" s="375">
        <v>21098.22</v>
      </c>
      <c r="BC569" s="227"/>
      <c r="BD569" s="227"/>
      <c r="BE569" s="227">
        <v>21098.22</v>
      </c>
      <c r="BF569" s="227">
        <v>21098.22</v>
      </c>
      <c r="BG569" s="227">
        <v>0</v>
      </c>
      <c r="BH569" s="227">
        <v>0</v>
      </c>
      <c r="BI569" s="227">
        <v>0</v>
      </c>
      <c r="BJ569" s="227">
        <v>0</v>
      </c>
      <c r="BK569" s="227">
        <v>0</v>
      </c>
      <c r="BL569" s="227">
        <v>0</v>
      </c>
      <c r="BM569" s="227">
        <v>0</v>
      </c>
      <c r="BN569" s="227">
        <v>0</v>
      </c>
      <c r="BO569" s="227">
        <v>42196.44</v>
      </c>
    </row>
    <row r="570" spans="1:67" ht="15" customHeight="1">
      <c r="A570" s="215" t="s">
        <v>2584</v>
      </c>
      <c r="B570" s="215" t="s">
        <v>2585</v>
      </c>
      <c r="C570" s="150" t="s">
        <v>1136</v>
      </c>
      <c r="D570" s="334" t="s">
        <v>1135</v>
      </c>
      <c r="E570" s="334" t="s">
        <v>1165</v>
      </c>
      <c r="F570" s="334" t="s">
        <v>1137</v>
      </c>
      <c r="G570" s="516" t="s">
        <v>639</v>
      </c>
      <c r="H570" s="398" t="s">
        <v>2586</v>
      </c>
      <c r="I570" s="343"/>
      <c r="J570" s="344"/>
      <c r="K570" s="219" t="s">
        <v>892</v>
      </c>
      <c r="L570" s="349"/>
      <c r="M570" s="343"/>
      <c r="N570" s="349"/>
      <c r="O570" s="334" t="s">
        <v>490</v>
      </c>
      <c r="P570" s="354"/>
      <c r="Q570" s="403"/>
      <c r="R570" s="406">
        <v>35569</v>
      </c>
      <c r="S570" s="406">
        <v>35569</v>
      </c>
      <c r="T570" s="425"/>
      <c r="U570" s="71"/>
      <c r="V570" s="408"/>
      <c r="W570" s="410"/>
      <c r="X570" s="410"/>
      <c r="Y570" s="428" t="s">
        <v>1142</v>
      </c>
      <c r="Z570" s="429">
        <v>0</v>
      </c>
      <c r="AA570" s="429">
        <v>0</v>
      </c>
      <c r="AB570" s="368"/>
      <c r="AC570" s="368">
        <v>35569</v>
      </c>
      <c r="AD570" s="368">
        <v>0</v>
      </c>
      <c r="AE570" s="368">
        <v>0</v>
      </c>
      <c r="AF570" s="368">
        <v>0</v>
      </c>
      <c r="AG570" s="368">
        <v>0</v>
      </c>
      <c r="AH570" s="367">
        <f t="shared" si="28"/>
        <v>35569</v>
      </c>
      <c r="AI570" s="362">
        <f>ERP_5[[#This Row],[2026 Working Total]]-ERP_5[[#This Row],[LE2 Final Submission]]</f>
        <v>0</v>
      </c>
      <c r="AJ570" s="227"/>
      <c r="AK570" s="227">
        <f t="shared" si="27"/>
        <v>0</v>
      </c>
      <c r="AL570" s="374">
        <f>SUM(ERP_5[[#This Row],[AP01]:[AP06]])-SUM(ERP_5[[#This Row],[AP01 LE2]:[AP06 LE2]])</f>
        <v>-35569</v>
      </c>
      <c r="AM570" s="80"/>
      <c r="AN570" s="79">
        <f>ERP_5[[#This Row],[2026 Working Total to Budget/LE]]-ERP_5[[#This Row],[Giveback]]</f>
        <v>0</v>
      </c>
      <c r="AO570" s="81"/>
      <c r="AP570" s="375"/>
      <c r="AQ570" s="375"/>
      <c r="AR570" s="375"/>
      <c r="AS570" s="375"/>
      <c r="AT570" s="375"/>
      <c r="AU570" s="375">
        <v>35569</v>
      </c>
      <c r="AV570" s="375">
        <v>0</v>
      </c>
      <c r="AW570" s="375">
        <v>0</v>
      </c>
      <c r="AX570" s="375">
        <v>0</v>
      </c>
      <c r="AY570" s="375">
        <v>0</v>
      </c>
      <c r="AZ570" s="375">
        <v>0</v>
      </c>
      <c r="BA570" s="375">
        <v>0</v>
      </c>
      <c r="BB570" s="375">
        <v>35569</v>
      </c>
      <c r="BC570" s="227"/>
      <c r="BD570" s="227"/>
      <c r="BE570" s="227"/>
      <c r="BF570" s="227"/>
      <c r="BG570" s="227"/>
      <c r="BH570" s="227">
        <v>35569</v>
      </c>
      <c r="BI570" s="227">
        <v>0</v>
      </c>
      <c r="BJ570" s="227">
        <v>0</v>
      </c>
      <c r="BK570" s="227">
        <v>0</v>
      </c>
      <c r="BL570" s="227">
        <v>0</v>
      </c>
      <c r="BM570" s="227">
        <v>0</v>
      </c>
      <c r="BN570" s="227">
        <v>0</v>
      </c>
      <c r="BO570" s="227">
        <v>35569</v>
      </c>
    </row>
    <row r="571" spans="1:67" ht="15" customHeight="1">
      <c r="A571" s="215" t="s">
        <v>1502</v>
      </c>
      <c r="B571" s="215" t="s">
        <v>1503</v>
      </c>
      <c r="C571" s="150" t="s">
        <v>1136</v>
      </c>
      <c r="D571" s="334" t="s">
        <v>1345</v>
      </c>
      <c r="E571" s="334" t="s">
        <v>1481</v>
      </c>
      <c r="F571" s="334" t="s">
        <v>1346</v>
      </c>
      <c r="G571" s="516" t="s">
        <v>49</v>
      </c>
      <c r="H571" s="398" t="s">
        <v>1504</v>
      </c>
      <c r="I571" s="343"/>
      <c r="J571" s="344"/>
      <c r="K571" s="219" t="s">
        <v>234</v>
      </c>
      <c r="L571" s="349"/>
      <c r="M571" s="343"/>
      <c r="N571" s="349"/>
      <c r="O571" s="334" t="s">
        <v>25</v>
      </c>
      <c r="P571" s="357" t="s">
        <v>1505</v>
      </c>
      <c r="Q571" s="404"/>
      <c r="R571" s="407">
        <v>0</v>
      </c>
      <c r="S571" s="407">
        <v>0</v>
      </c>
      <c r="T571" s="425"/>
      <c r="U571" s="71"/>
      <c r="V571" s="408"/>
      <c r="W571" s="410">
        <v>304987.09999999998</v>
      </c>
      <c r="X571" s="410">
        <v>-304987.09999999998</v>
      </c>
      <c r="Y571" s="428">
        <v>0</v>
      </c>
      <c r="Z571" s="429">
        <v>0</v>
      </c>
      <c r="AA571" s="429">
        <v>0</v>
      </c>
      <c r="AB571" s="369"/>
      <c r="AC571" s="369"/>
      <c r="AD571" s="369"/>
      <c r="AE571" s="369"/>
      <c r="AF571" s="369"/>
      <c r="AG571" s="369"/>
      <c r="AH571" s="367">
        <f t="shared" si="28"/>
        <v>0</v>
      </c>
      <c r="AI571" s="362">
        <f>ERP_5[[#This Row],[2026 Working Total]]-ERP_5[[#This Row],[LE2 Final Submission]]</f>
        <v>0</v>
      </c>
      <c r="AJ571" s="227"/>
      <c r="AK571" s="227">
        <f t="shared" si="27"/>
        <v>0</v>
      </c>
      <c r="AL571" s="374">
        <f>SUM(ERP_5[[#This Row],[AP01]:[AP06]])-SUM(ERP_5[[#This Row],[AP01 LE2]:[AP06 LE2]])</f>
        <v>0</v>
      </c>
      <c r="AM571" s="80"/>
      <c r="AN571" s="79">
        <f>ERP_5[[#This Row],[2026 Working Total to Budget/LE]]-ERP_5[[#This Row],[Giveback]]</f>
        <v>0</v>
      </c>
      <c r="AO571" s="81"/>
      <c r="AP571" s="375"/>
      <c r="AQ571" s="375">
        <v>304987.09999999998</v>
      </c>
      <c r="AR571" s="375">
        <v>-304987.09999999998</v>
      </c>
      <c r="AS571" s="375"/>
      <c r="AT571" s="375"/>
      <c r="AU571" s="375"/>
      <c r="AV571" s="375"/>
      <c r="AW571" s="375"/>
      <c r="AX571" s="375"/>
      <c r="AY571" s="375"/>
      <c r="AZ571" s="375"/>
      <c r="BA571" s="375"/>
      <c r="BB571" s="375">
        <v>0</v>
      </c>
      <c r="BC571" s="227"/>
      <c r="BD571" s="227">
        <v>304987.09999999998</v>
      </c>
      <c r="BE571" s="227">
        <v>-304987.09999999998</v>
      </c>
      <c r="BF571" s="227"/>
      <c r="BG571" s="227"/>
      <c r="BH571" s="227"/>
      <c r="BI571" s="227"/>
      <c r="BJ571" s="227"/>
      <c r="BK571" s="227"/>
      <c r="BL571" s="227"/>
      <c r="BM571" s="227"/>
      <c r="BN571" s="227"/>
      <c r="BO571" s="227">
        <v>0</v>
      </c>
    </row>
    <row r="572" spans="1:67" ht="15" customHeight="1">
      <c r="A572" s="215" t="s">
        <v>2728</v>
      </c>
      <c r="B572" s="215" t="s">
        <v>2729</v>
      </c>
      <c r="C572" s="150" t="s">
        <v>1136</v>
      </c>
      <c r="D572" s="334" t="s">
        <v>1345</v>
      </c>
      <c r="E572" s="334" t="s">
        <v>1481</v>
      </c>
      <c r="F572" s="334" t="s">
        <v>1346</v>
      </c>
      <c r="G572" s="516" t="s">
        <v>639</v>
      </c>
      <c r="H572" s="398" t="s">
        <v>1504</v>
      </c>
      <c r="I572" s="343"/>
      <c r="J572" s="344"/>
      <c r="K572" s="219" t="s">
        <v>234</v>
      </c>
      <c r="L572" s="349"/>
      <c r="M572" s="343"/>
      <c r="N572" s="349"/>
      <c r="O572" s="334" t="s">
        <v>25</v>
      </c>
      <c r="P572" s="354" t="s">
        <v>1483</v>
      </c>
      <c r="Q572" s="403"/>
      <c r="R572" s="406">
        <v>353631</v>
      </c>
      <c r="S572" s="406">
        <v>353631</v>
      </c>
      <c r="T572" s="425"/>
      <c r="U572" s="71"/>
      <c r="V572" s="408"/>
      <c r="W572" s="410"/>
      <c r="X572" s="410">
        <v>304987.09999999998</v>
      </c>
      <c r="Y572" s="428">
        <v>0</v>
      </c>
      <c r="Z572" s="429">
        <v>0</v>
      </c>
      <c r="AA572" s="429">
        <v>0</v>
      </c>
      <c r="AB572" s="368">
        <v>0</v>
      </c>
      <c r="AC572" s="368">
        <v>0</v>
      </c>
      <c r="AD572" s="369">
        <v>48643.9</v>
      </c>
      <c r="AE572" s="368">
        <v>0</v>
      </c>
      <c r="AF572" s="368">
        <v>0</v>
      </c>
      <c r="AG572" s="368">
        <v>0</v>
      </c>
      <c r="AH572" s="367">
        <f t="shared" si="28"/>
        <v>353631</v>
      </c>
      <c r="AI572" s="362">
        <f>ERP_5[[#This Row],[2026 Working Total]]-ERP_5[[#This Row],[LE2 Final Submission]]</f>
        <v>0</v>
      </c>
      <c r="AJ572" s="227">
        <v>0</v>
      </c>
      <c r="AK572" s="227">
        <f t="shared" si="27"/>
        <v>0</v>
      </c>
      <c r="AL572" s="374">
        <f>SUM(ERP_5[[#This Row],[AP01]:[AP06]])-SUM(ERP_5[[#This Row],[AP01 LE2]:[AP06 LE2]])</f>
        <v>0</v>
      </c>
      <c r="AM572" s="80"/>
      <c r="AN572" s="79">
        <f>ERP_5[[#This Row],[2026 Working Total to Budget/LE]]-ERP_5[[#This Row],[Giveback]]</f>
        <v>0</v>
      </c>
      <c r="AO572" s="81"/>
      <c r="AP572" s="375"/>
      <c r="AQ572" s="375"/>
      <c r="AR572" s="375">
        <v>304987.09999999998</v>
      </c>
      <c r="AS572" s="375">
        <v>0</v>
      </c>
      <c r="AT572" s="375">
        <v>0</v>
      </c>
      <c r="AU572" s="375">
        <v>0</v>
      </c>
      <c r="AV572" s="375">
        <v>0</v>
      </c>
      <c r="AW572" s="375">
        <v>0</v>
      </c>
      <c r="AX572" s="375">
        <v>48643.9</v>
      </c>
      <c r="AY572" s="375">
        <v>0</v>
      </c>
      <c r="AZ572" s="375">
        <v>0</v>
      </c>
      <c r="BA572" s="375">
        <v>0</v>
      </c>
      <c r="BB572" s="375">
        <v>353631</v>
      </c>
      <c r="BC572" s="227"/>
      <c r="BD572" s="227"/>
      <c r="BE572" s="227">
        <v>304987.09999999998</v>
      </c>
      <c r="BF572" s="227">
        <v>0</v>
      </c>
      <c r="BG572" s="227">
        <v>0</v>
      </c>
      <c r="BH572" s="227">
        <v>0</v>
      </c>
      <c r="BI572" s="227">
        <v>24321.95</v>
      </c>
      <c r="BJ572" s="227">
        <v>24321.95</v>
      </c>
      <c r="BK572" s="227">
        <v>0</v>
      </c>
      <c r="BL572" s="227">
        <v>0</v>
      </c>
      <c r="BM572" s="227">
        <v>0</v>
      </c>
      <c r="BN572" s="227">
        <v>0</v>
      </c>
      <c r="BO572" s="227">
        <v>353631</v>
      </c>
    </row>
    <row r="573" spans="1:67" ht="15" customHeight="1">
      <c r="A573" s="215" t="s">
        <v>1506</v>
      </c>
      <c r="B573" s="215" t="s">
        <v>1507</v>
      </c>
      <c r="C573" s="150" t="s">
        <v>1136</v>
      </c>
      <c r="D573" s="334" t="s">
        <v>1345</v>
      </c>
      <c r="E573" s="334" t="s">
        <v>1481</v>
      </c>
      <c r="F573" s="334" t="s">
        <v>1346</v>
      </c>
      <c r="G573" s="516" t="s">
        <v>49</v>
      </c>
      <c r="H573" s="398" t="s">
        <v>1508</v>
      </c>
      <c r="I573" s="343"/>
      <c r="J573" s="344"/>
      <c r="K573" s="219" t="s">
        <v>236</v>
      </c>
      <c r="L573" s="349"/>
      <c r="M573" s="343"/>
      <c r="N573" s="349"/>
      <c r="O573" s="334" t="s">
        <v>25</v>
      </c>
      <c r="P573" s="357" t="s">
        <v>1509</v>
      </c>
      <c r="Q573" s="404"/>
      <c r="R573" s="407">
        <v>0</v>
      </c>
      <c r="S573" s="407">
        <v>0</v>
      </c>
      <c r="T573" s="425"/>
      <c r="U573" s="71"/>
      <c r="V573" s="408"/>
      <c r="W573" s="410">
        <v>331000</v>
      </c>
      <c r="X573" s="410">
        <v>-331000</v>
      </c>
      <c r="Y573" s="428">
        <v>0</v>
      </c>
      <c r="Z573" s="429">
        <v>0</v>
      </c>
      <c r="AA573" s="429">
        <v>9981.0499999999993</v>
      </c>
      <c r="AB573" s="369"/>
      <c r="AC573" s="369"/>
      <c r="AD573" s="369"/>
      <c r="AE573" s="369"/>
      <c r="AF573" s="369"/>
      <c r="AG573" s="369"/>
      <c r="AH573" s="367">
        <f t="shared" si="28"/>
        <v>9981.0499999999993</v>
      </c>
      <c r="AI573" s="362">
        <f>ERP_5[[#This Row],[2026 Working Total]]-ERP_5[[#This Row],[LE2 Final Submission]]</f>
        <v>9981.0499999999993</v>
      </c>
      <c r="AJ573" s="227"/>
      <c r="AK573" s="227">
        <f t="shared" si="27"/>
        <v>9981.0499999999993</v>
      </c>
      <c r="AL573" s="374">
        <f>SUM(ERP_5[[#This Row],[AP01]:[AP06]])-SUM(ERP_5[[#This Row],[AP01 LE2]:[AP06 LE2]])</f>
        <v>9981.0499999999993</v>
      </c>
      <c r="AM573" s="80"/>
      <c r="AN573" s="79">
        <f>ERP_5[[#This Row],[2026 Working Total to Budget/LE]]-ERP_5[[#This Row],[Giveback]]</f>
        <v>9981.0499999999993</v>
      </c>
      <c r="AO573" s="81"/>
      <c r="AP573" s="375"/>
      <c r="AQ573" s="375">
        <v>331000</v>
      </c>
      <c r="AR573" s="375">
        <v>-331000</v>
      </c>
      <c r="AS573" s="375"/>
      <c r="AT573" s="375"/>
      <c r="AU573" s="375"/>
      <c r="AV573" s="375"/>
      <c r="AW573" s="375"/>
      <c r="AX573" s="375"/>
      <c r="AY573" s="375"/>
      <c r="AZ573" s="375"/>
      <c r="BA573" s="375"/>
      <c r="BB573" s="375">
        <v>0</v>
      </c>
      <c r="BC573" s="227"/>
      <c r="BD573" s="227">
        <v>331000</v>
      </c>
      <c r="BE573" s="227">
        <v>-331000</v>
      </c>
      <c r="BF573" s="227"/>
      <c r="BG573" s="227"/>
      <c r="BH573" s="227"/>
      <c r="BI573" s="227"/>
      <c r="BJ573" s="227"/>
      <c r="BK573" s="227"/>
      <c r="BL573" s="227"/>
      <c r="BM573" s="227"/>
      <c r="BN573" s="227"/>
      <c r="BO573" s="227">
        <v>0</v>
      </c>
    </row>
    <row r="574" spans="1:67" ht="15" customHeight="1">
      <c r="A574" s="215" t="s">
        <v>2730</v>
      </c>
      <c r="B574" s="215" t="s">
        <v>2731</v>
      </c>
      <c r="C574" s="150" t="s">
        <v>1136</v>
      </c>
      <c r="D574" s="334" t="s">
        <v>1345</v>
      </c>
      <c r="E574" s="334" t="s">
        <v>1481</v>
      </c>
      <c r="F574" s="334" t="s">
        <v>1346</v>
      </c>
      <c r="G574" s="516" t="s">
        <v>639</v>
      </c>
      <c r="H574" s="398" t="s">
        <v>1508</v>
      </c>
      <c r="I574" s="343"/>
      <c r="J574" s="344"/>
      <c r="K574" s="219" t="s">
        <v>236</v>
      </c>
      <c r="L574" s="349"/>
      <c r="M574" s="343"/>
      <c r="N574" s="349"/>
      <c r="O574" s="334" t="s">
        <v>25</v>
      </c>
      <c r="P574" s="354" t="s">
        <v>1483</v>
      </c>
      <c r="Q574" s="403"/>
      <c r="R574" s="406">
        <v>434000</v>
      </c>
      <c r="S574" s="406">
        <v>434000</v>
      </c>
      <c r="T574" s="425"/>
      <c r="U574" s="71"/>
      <c r="V574" s="408"/>
      <c r="W574" s="410"/>
      <c r="X574" s="410">
        <v>331000</v>
      </c>
      <c r="Y574" s="428">
        <v>0</v>
      </c>
      <c r="Z574" s="429">
        <v>0</v>
      </c>
      <c r="AA574" s="429">
        <v>0</v>
      </c>
      <c r="AB574" s="368">
        <v>0</v>
      </c>
      <c r="AC574" s="368">
        <v>0</v>
      </c>
      <c r="AD574" s="368">
        <v>0</v>
      </c>
      <c r="AE574" s="368">
        <v>22000</v>
      </c>
      <c r="AF574" s="368">
        <v>0</v>
      </c>
      <c r="AG574" s="368">
        <v>0</v>
      </c>
      <c r="AH574" s="367">
        <f t="shared" si="28"/>
        <v>353000</v>
      </c>
      <c r="AI574" s="362">
        <f>ERP_5[[#This Row],[2026 Working Total]]-ERP_5[[#This Row],[LE2 Final Submission]]</f>
        <v>-81000</v>
      </c>
      <c r="AJ574" s="227">
        <v>0</v>
      </c>
      <c r="AK574" s="227">
        <f t="shared" si="27"/>
        <v>0</v>
      </c>
      <c r="AL574" s="374">
        <f>SUM(ERP_5[[#This Row],[AP01]:[AP06]])-SUM(ERP_5[[#This Row],[AP01 LE2]:[AP06 LE2]])</f>
        <v>-81000</v>
      </c>
      <c r="AM574" s="80"/>
      <c r="AN574" s="79">
        <f>ERP_5[[#This Row],[2026 Working Total to Budget/LE]]-ERP_5[[#This Row],[Giveback]]</f>
        <v>-81000</v>
      </c>
      <c r="AO574" s="81"/>
      <c r="AP574" s="375"/>
      <c r="AQ574" s="375"/>
      <c r="AR574" s="375">
        <v>331000</v>
      </c>
      <c r="AS574" s="375">
        <v>0</v>
      </c>
      <c r="AT574" s="375">
        <v>0</v>
      </c>
      <c r="AU574" s="375">
        <v>81000</v>
      </c>
      <c r="AV574" s="375">
        <v>0</v>
      </c>
      <c r="AW574" s="375">
        <v>0</v>
      </c>
      <c r="AX574" s="375">
        <v>0</v>
      </c>
      <c r="AY574" s="375">
        <v>22000</v>
      </c>
      <c r="AZ574" s="375">
        <v>0</v>
      </c>
      <c r="BA574" s="375">
        <v>0</v>
      </c>
      <c r="BB574" s="375">
        <v>434000</v>
      </c>
      <c r="BC574" s="227"/>
      <c r="BD574" s="227"/>
      <c r="BE574" s="227">
        <v>331000</v>
      </c>
      <c r="BF574" s="227">
        <v>0</v>
      </c>
      <c r="BG574" s="227">
        <v>0</v>
      </c>
      <c r="BH574" s="227">
        <v>0</v>
      </c>
      <c r="BI574" s="227">
        <v>0</v>
      </c>
      <c r="BJ574" s="227">
        <v>103000</v>
      </c>
      <c r="BK574" s="227">
        <v>0</v>
      </c>
      <c r="BL574" s="227">
        <v>0</v>
      </c>
      <c r="BM574" s="227">
        <v>0</v>
      </c>
      <c r="BN574" s="227">
        <v>0</v>
      </c>
      <c r="BO574" s="227">
        <v>434000</v>
      </c>
    </row>
    <row r="575" spans="1:67" ht="15" customHeight="1">
      <c r="A575" s="215" t="s">
        <v>2732</v>
      </c>
      <c r="B575" s="215" t="s">
        <v>2733</v>
      </c>
      <c r="C575" s="150" t="s">
        <v>1136</v>
      </c>
      <c r="D575" s="334" t="s">
        <v>1345</v>
      </c>
      <c r="E575" s="334" t="s">
        <v>1481</v>
      </c>
      <c r="F575" s="334" t="s">
        <v>1346</v>
      </c>
      <c r="G575" s="516" t="s">
        <v>639</v>
      </c>
      <c r="H575" s="398" t="s">
        <v>2734</v>
      </c>
      <c r="I575" s="343"/>
      <c r="J575" s="344"/>
      <c r="K575" s="219" t="s">
        <v>977</v>
      </c>
      <c r="L575" s="349"/>
      <c r="M575" s="343"/>
      <c r="N575" s="349"/>
      <c r="O575" s="334" t="s">
        <v>25</v>
      </c>
      <c r="P575" s="354" t="s">
        <v>2914</v>
      </c>
      <c r="Q575" s="403"/>
      <c r="R575" s="406">
        <v>15096</v>
      </c>
      <c r="S575" s="406">
        <v>0</v>
      </c>
      <c r="T575" s="425"/>
      <c r="U575" s="71"/>
      <c r="V575" s="408"/>
      <c r="W575" s="410"/>
      <c r="X575" s="410"/>
      <c r="Y575" s="428" t="s">
        <v>1142</v>
      </c>
      <c r="Z575" s="429">
        <v>0</v>
      </c>
      <c r="AA575" s="429">
        <v>0</v>
      </c>
      <c r="AB575" s="368">
        <v>0</v>
      </c>
      <c r="AC575" s="368">
        <v>0</v>
      </c>
      <c r="AD575" s="368">
        <v>0</v>
      </c>
      <c r="AE575" s="368">
        <v>0</v>
      </c>
      <c r="AF575" s="368">
        <v>0</v>
      </c>
      <c r="AG575" s="368">
        <v>0</v>
      </c>
      <c r="AH575" s="367">
        <f t="shared" si="28"/>
        <v>0</v>
      </c>
      <c r="AI575" s="362">
        <f>ERP_5[[#This Row],[2026 Working Total]]-ERP_5[[#This Row],[LE2 Final Submission]]</f>
        <v>0</v>
      </c>
      <c r="AJ575" s="227">
        <v>0</v>
      </c>
      <c r="AK575" s="227">
        <f t="shared" si="27"/>
        <v>0</v>
      </c>
      <c r="AL575" s="374">
        <f>SUM(ERP_5[[#This Row],[AP01]:[AP06]])-SUM(ERP_5[[#This Row],[AP01 LE2]:[AP06 LE2]])</f>
        <v>0</v>
      </c>
      <c r="AM575" s="80"/>
      <c r="AN575" s="79">
        <f>ERP_5[[#This Row],[2026 Working Total to Budget/LE]]-ERP_5[[#This Row],[Giveback]]</f>
        <v>0</v>
      </c>
      <c r="AO575" s="81"/>
      <c r="AP575" s="375"/>
      <c r="AQ575" s="375"/>
      <c r="AR575" s="375"/>
      <c r="AS575" s="375">
        <v>0</v>
      </c>
      <c r="AT575" s="375">
        <v>0</v>
      </c>
      <c r="AU575" s="375">
        <v>0</v>
      </c>
      <c r="AV575" s="375">
        <v>0</v>
      </c>
      <c r="AW575" s="375">
        <v>0</v>
      </c>
      <c r="AX575" s="375">
        <v>0</v>
      </c>
      <c r="AY575" s="375">
        <v>0</v>
      </c>
      <c r="AZ575" s="375">
        <v>0</v>
      </c>
      <c r="BA575" s="375">
        <v>0</v>
      </c>
      <c r="BB575" s="375">
        <v>0</v>
      </c>
      <c r="BC575" s="227"/>
      <c r="BD575" s="227"/>
      <c r="BE575" s="227"/>
      <c r="BF575" s="227"/>
      <c r="BG575" s="227"/>
      <c r="BH575" s="227">
        <v>15096</v>
      </c>
      <c r="BI575" s="227">
        <v>0</v>
      </c>
      <c r="BJ575" s="227">
        <v>0</v>
      </c>
      <c r="BK575" s="227">
        <v>0</v>
      </c>
      <c r="BL575" s="227">
        <v>0</v>
      </c>
      <c r="BM575" s="227">
        <v>0</v>
      </c>
      <c r="BN575" s="227">
        <v>0</v>
      </c>
      <c r="BO575" s="227">
        <v>15096</v>
      </c>
    </row>
    <row r="576" spans="1:67" ht="15" customHeight="1">
      <c r="A576" s="227" t="s">
        <v>2736</v>
      </c>
      <c r="B576" s="330" t="s">
        <v>2737</v>
      </c>
      <c r="C576" s="150" t="s">
        <v>1136</v>
      </c>
      <c r="D576" s="336" t="s">
        <v>1345</v>
      </c>
      <c r="E576" s="337" t="s">
        <v>1481</v>
      </c>
      <c r="F576" s="339" t="s">
        <v>1346</v>
      </c>
      <c r="G576" s="517" t="s">
        <v>639</v>
      </c>
      <c r="H576" s="397" t="s">
        <v>1486</v>
      </c>
      <c r="I576" s="343"/>
      <c r="J576" s="339"/>
      <c r="K576" s="253" t="s">
        <v>979</v>
      </c>
      <c r="L576" s="351"/>
      <c r="M576" s="343"/>
      <c r="N576" s="353"/>
      <c r="O576" s="350" t="s">
        <v>25</v>
      </c>
      <c r="P576" s="356" t="s">
        <v>2738</v>
      </c>
      <c r="Q576" s="432"/>
      <c r="R576" s="358">
        <v>120000</v>
      </c>
      <c r="S576" s="378">
        <v>0</v>
      </c>
      <c r="T576" s="425"/>
      <c r="U576" s="71"/>
      <c r="V576" s="409">
        <v>0</v>
      </c>
      <c r="W576" s="411">
        <v>0</v>
      </c>
      <c r="X576" s="411">
        <v>0</v>
      </c>
      <c r="Y576" s="428" t="s">
        <v>1142</v>
      </c>
      <c r="Z576" s="429">
        <v>0</v>
      </c>
      <c r="AA576" s="429">
        <v>0</v>
      </c>
      <c r="AB576" s="370">
        <f t="shared" ref="AB576:AG576" si="29">20000-20000</f>
        <v>0</v>
      </c>
      <c r="AC576" s="370">
        <f t="shared" si="29"/>
        <v>0</v>
      </c>
      <c r="AD576" s="370">
        <f t="shared" si="29"/>
        <v>0</v>
      </c>
      <c r="AE576" s="370">
        <f t="shared" si="29"/>
        <v>0</v>
      </c>
      <c r="AF576" s="370">
        <f t="shared" si="29"/>
        <v>0</v>
      </c>
      <c r="AG576" s="370">
        <f t="shared" si="29"/>
        <v>0</v>
      </c>
      <c r="AH576" s="367">
        <f t="shared" si="28"/>
        <v>0</v>
      </c>
      <c r="AI576" s="362">
        <f>ERP_5[[#This Row],[2026 Working Total]]-ERP_5[[#This Row],[LE2 Final Submission]]</f>
        <v>0</v>
      </c>
      <c r="AJ576" s="227">
        <v>0</v>
      </c>
      <c r="AK576" s="227">
        <f t="shared" si="27"/>
        <v>0</v>
      </c>
      <c r="AL576" s="374">
        <f>SUM(ERP_5[[#This Row],[AP01]:[AP06]])-SUM(ERP_5[[#This Row],[AP01 LE2]:[AP06 LE2]])</f>
        <v>0</v>
      </c>
      <c r="AM576" s="80"/>
      <c r="AN576" s="79">
        <f>ERP_5[[#This Row],[2026 Working Total to Budget/LE]]-ERP_5[[#This Row],[Giveback]]</f>
        <v>0</v>
      </c>
      <c r="AO576" s="81" t="s">
        <v>2739</v>
      </c>
      <c r="AP576" s="375">
        <v>0</v>
      </c>
      <c r="AQ576" s="375">
        <v>0</v>
      </c>
      <c r="AR576" s="375">
        <v>0</v>
      </c>
      <c r="AS576" s="375">
        <v>0</v>
      </c>
      <c r="AT576" s="375">
        <v>0</v>
      </c>
      <c r="AU576" s="375">
        <v>0</v>
      </c>
      <c r="AV576" s="375">
        <v>0</v>
      </c>
      <c r="AW576" s="375">
        <v>0</v>
      </c>
      <c r="AX576" s="375">
        <v>0</v>
      </c>
      <c r="AY576" s="375">
        <v>0</v>
      </c>
      <c r="AZ576" s="375">
        <v>0</v>
      </c>
      <c r="BA576" s="375">
        <v>0</v>
      </c>
      <c r="BB576" s="375">
        <v>0</v>
      </c>
      <c r="BC576" s="246">
        <v>0</v>
      </c>
      <c r="BD576" s="246">
        <v>0</v>
      </c>
      <c r="BE576" s="246">
        <v>0</v>
      </c>
      <c r="BF576" s="246">
        <v>0</v>
      </c>
      <c r="BG576" s="246">
        <v>0</v>
      </c>
      <c r="BH576" s="246">
        <v>0</v>
      </c>
      <c r="BI576" s="246">
        <v>20000</v>
      </c>
      <c r="BJ576" s="246">
        <v>20000</v>
      </c>
      <c r="BK576" s="246">
        <v>20000</v>
      </c>
      <c r="BL576" s="246">
        <v>20000</v>
      </c>
      <c r="BM576" s="246">
        <v>20000</v>
      </c>
      <c r="BN576" s="246">
        <v>20000</v>
      </c>
      <c r="BO576" s="227">
        <f>SUM(ERP_5[[#This Row],[2026 AP01]:[2026 AP12]])</f>
        <v>120000</v>
      </c>
    </row>
    <row r="577" spans="1:67" ht="15" customHeight="1">
      <c r="A577" s="215" t="s">
        <v>2192</v>
      </c>
      <c r="B577" s="215" t="s">
        <v>630</v>
      </c>
      <c r="C577" s="150" t="s">
        <v>1136</v>
      </c>
      <c r="D577" s="334" t="s">
        <v>1345</v>
      </c>
      <c r="E577" s="334" t="s">
        <v>1515</v>
      </c>
      <c r="F577" s="334" t="s">
        <v>1346</v>
      </c>
      <c r="G577" s="516" t="s">
        <v>629</v>
      </c>
      <c r="H577" s="398" t="s">
        <v>2193</v>
      </c>
      <c r="I577" s="343"/>
      <c r="J577" s="344"/>
      <c r="K577" s="219" t="s">
        <v>631</v>
      </c>
      <c r="L577" s="349"/>
      <c r="M577" s="343"/>
      <c r="N577" s="349"/>
      <c r="O577" s="334" t="s">
        <v>632</v>
      </c>
      <c r="P577" s="354"/>
      <c r="Q577" s="403"/>
      <c r="R577" s="406">
        <v>17000</v>
      </c>
      <c r="S577" s="406">
        <v>15576.84</v>
      </c>
      <c r="T577" s="425"/>
      <c r="U577" s="71"/>
      <c r="V577" s="408"/>
      <c r="W577" s="410">
        <v>1512.59</v>
      </c>
      <c r="X577" s="410">
        <v>814.25</v>
      </c>
      <c r="Y577" s="428" t="s">
        <v>1142</v>
      </c>
      <c r="Z577" s="429">
        <v>0</v>
      </c>
      <c r="AA577" s="429">
        <v>0</v>
      </c>
      <c r="AB577" s="369">
        <v>1500</v>
      </c>
      <c r="AC577" s="369">
        <v>1500</v>
      </c>
      <c r="AD577" s="369">
        <v>1500</v>
      </c>
      <c r="AE577" s="369">
        <v>1500</v>
      </c>
      <c r="AF577" s="369">
        <v>1500</v>
      </c>
      <c r="AG577" s="369">
        <v>1500</v>
      </c>
      <c r="AH577" s="367">
        <f t="shared" si="28"/>
        <v>11326.84</v>
      </c>
      <c r="AI577" s="362">
        <f>ERP_5[[#This Row],[2026 Working Total]]-ERP_5[[#This Row],[LE2 Final Submission]]</f>
        <v>-4250</v>
      </c>
      <c r="AJ577" s="227">
        <v>1500</v>
      </c>
      <c r="AK577" s="227">
        <f t="shared" si="27"/>
        <v>-1500</v>
      </c>
      <c r="AL577" s="374">
        <f>SUM(ERP_5[[#This Row],[AP01]:[AP06]])-SUM(ERP_5[[#This Row],[AP01 LE2]:[AP06 LE2]])</f>
        <v>-4250</v>
      </c>
      <c r="AM577" s="80"/>
      <c r="AN577" s="79">
        <f>ERP_5[[#This Row],[2026 Working Total to Budget/LE]]-ERP_5[[#This Row],[Giveback]]</f>
        <v>-4250</v>
      </c>
      <c r="AO577" s="81"/>
      <c r="AP577" s="375"/>
      <c r="AQ577" s="375">
        <v>1512.59</v>
      </c>
      <c r="AR577" s="375">
        <v>814.25</v>
      </c>
      <c r="AS577" s="375">
        <v>1250</v>
      </c>
      <c r="AT577" s="375">
        <v>1500</v>
      </c>
      <c r="AU577" s="375">
        <v>1500</v>
      </c>
      <c r="AV577" s="375">
        <v>1500</v>
      </c>
      <c r="AW577" s="375">
        <v>1500</v>
      </c>
      <c r="AX577" s="375">
        <v>1500</v>
      </c>
      <c r="AY577" s="375">
        <v>1500</v>
      </c>
      <c r="AZ577" s="375">
        <v>1500</v>
      </c>
      <c r="BA577" s="375">
        <v>1500</v>
      </c>
      <c r="BB577" s="375">
        <v>15576.84</v>
      </c>
      <c r="BC577" s="227"/>
      <c r="BD577" s="227">
        <v>1512.59</v>
      </c>
      <c r="BE577" s="227">
        <v>814.25</v>
      </c>
      <c r="BF577" s="227">
        <v>1250</v>
      </c>
      <c r="BG577" s="227">
        <v>1500</v>
      </c>
      <c r="BH577" s="227">
        <v>1500</v>
      </c>
      <c r="BI577" s="227">
        <v>1500</v>
      </c>
      <c r="BJ577" s="227">
        <v>1500</v>
      </c>
      <c r="BK577" s="227">
        <v>1500</v>
      </c>
      <c r="BL577" s="227">
        <v>1500</v>
      </c>
      <c r="BM577" s="227">
        <v>1500</v>
      </c>
      <c r="BN577" s="227">
        <v>1500</v>
      </c>
      <c r="BO577" s="227">
        <v>15576.84</v>
      </c>
    </row>
    <row r="578" spans="1:67" ht="15" customHeight="1">
      <c r="A578" s="334" t="s">
        <v>1444</v>
      </c>
      <c r="B578" s="330" t="s">
        <v>202</v>
      </c>
      <c r="C578" s="150" t="s">
        <v>1136</v>
      </c>
      <c r="D578" s="336" t="s">
        <v>1345</v>
      </c>
      <c r="E578" s="336" t="s">
        <v>1345</v>
      </c>
      <c r="F578" s="339" t="s">
        <v>1345</v>
      </c>
      <c r="G578" s="518" t="s">
        <v>49</v>
      </c>
      <c r="H578" s="397" t="s">
        <v>1327</v>
      </c>
      <c r="I578" s="333"/>
      <c r="J578" s="336" t="s">
        <v>1441</v>
      </c>
      <c r="K578" s="237" t="s">
        <v>147</v>
      </c>
      <c r="L578" s="351"/>
      <c r="M578" s="347"/>
      <c r="N578" s="353"/>
      <c r="O578" s="353"/>
      <c r="P578" s="452"/>
      <c r="Q578" s="402"/>
      <c r="R578" s="406"/>
      <c r="S578" s="406"/>
      <c r="T578" s="425"/>
      <c r="U578" s="71"/>
      <c r="V578" s="413"/>
      <c r="W578" s="414"/>
      <c r="X578" s="414"/>
      <c r="Y578" s="429"/>
      <c r="Z578" s="429">
        <v>0</v>
      </c>
      <c r="AA578" s="429">
        <v>0</v>
      </c>
      <c r="AB578" s="371"/>
      <c r="AC578" s="371"/>
      <c r="AD578" s="371"/>
      <c r="AE578" s="371"/>
      <c r="AF578" s="371"/>
      <c r="AG578" s="371"/>
      <c r="AH578" s="367">
        <f t="shared" si="28"/>
        <v>0</v>
      </c>
      <c r="AI578" s="362">
        <f>ERP_5[[#This Row],[2026 Working Total]]-ERP_5[[#This Row],[LE2 Final Submission]]</f>
        <v>0</v>
      </c>
      <c r="AJ578" s="227"/>
      <c r="AK578" s="227">
        <f t="shared" si="27"/>
        <v>0</v>
      </c>
      <c r="AL578" s="374">
        <f>SUM(ERP_5[[#This Row],[AP01]:[AP06]])-SUM(ERP_5[[#This Row],[AP01 LE2]:[AP06 LE2]])</f>
        <v>0</v>
      </c>
      <c r="AM578" s="80"/>
      <c r="AN578" s="79">
        <f>ERP_5[[#This Row],[2026 Working Total to Budget/LE]]-ERP_5[[#This Row],[Giveback]]</f>
        <v>0</v>
      </c>
      <c r="AO578" s="81"/>
      <c r="AP578" s="375"/>
      <c r="AQ578" s="375"/>
      <c r="AR578" s="375"/>
      <c r="AS578" s="375"/>
      <c r="AT578" s="375"/>
      <c r="AU578" s="375"/>
      <c r="AV578" s="375"/>
      <c r="AW578" s="375"/>
      <c r="AX578" s="375"/>
      <c r="AY578" s="375"/>
      <c r="AZ578" s="375"/>
      <c r="BA578" s="375"/>
      <c r="BB578" s="375"/>
      <c r="BC578" s="227"/>
      <c r="BD578" s="227"/>
      <c r="BE578" s="227"/>
      <c r="BF578" s="227"/>
      <c r="BG578" s="227"/>
      <c r="BH578" s="227"/>
      <c r="BI578" s="227"/>
      <c r="BJ578" s="227"/>
      <c r="BK578" s="227"/>
      <c r="BL578" s="227"/>
      <c r="BM578" s="227"/>
      <c r="BN578" s="227"/>
      <c r="BO578" s="227"/>
    </row>
    <row r="579" spans="1:67" ht="15" customHeight="1">
      <c r="A579" s="334" t="s">
        <v>1510</v>
      </c>
      <c r="B579" s="330" t="s">
        <v>237</v>
      </c>
      <c r="C579" s="150" t="s">
        <v>1136</v>
      </c>
      <c r="D579" s="336" t="s">
        <v>1345</v>
      </c>
      <c r="E579" s="336" t="s">
        <v>1480</v>
      </c>
      <c r="F579" s="339" t="s">
        <v>1480</v>
      </c>
      <c r="G579" s="518" t="s">
        <v>49</v>
      </c>
      <c r="H579" s="397" t="s">
        <v>1327</v>
      </c>
      <c r="I579" s="333"/>
      <c r="J579" s="336" t="s">
        <v>1493</v>
      </c>
      <c r="K579" s="237" t="s">
        <v>147</v>
      </c>
      <c r="L579" s="351"/>
      <c r="M579" s="347"/>
      <c r="N579" s="353"/>
      <c r="O579" s="353"/>
      <c r="P579" s="452"/>
      <c r="Q579" s="402"/>
      <c r="R579" s="406"/>
      <c r="S579" s="406"/>
      <c r="T579" s="425"/>
      <c r="U579" s="71"/>
      <c r="V579" s="413"/>
      <c r="W579" s="414"/>
      <c r="X579" s="414"/>
      <c r="Y579" s="429"/>
      <c r="Z579" s="429">
        <v>0</v>
      </c>
      <c r="AA579" s="429">
        <v>0</v>
      </c>
      <c r="AB579" s="371"/>
      <c r="AC579" s="371"/>
      <c r="AD579" s="371"/>
      <c r="AE579" s="371"/>
      <c r="AF579" s="371"/>
      <c r="AG579" s="371"/>
      <c r="AH579" s="367">
        <f t="shared" si="28"/>
        <v>0</v>
      </c>
      <c r="AI579" s="362">
        <f>ERP_5[[#This Row],[2026 Working Total]]-ERP_5[[#This Row],[LE2 Final Submission]]</f>
        <v>0</v>
      </c>
      <c r="AJ579" s="227"/>
      <c r="AK579" s="227">
        <f t="shared" si="27"/>
        <v>0</v>
      </c>
      <c r="AL579" s="374">
        <f>SUM(ERP_5[[#This Row],[AP01]:[AP06]])-SUM(ERP_5[[#This Row],[AP01 LE2]:[AP06 LE2]])</f>
        <v>0</v>
      </c>
      <c r="AM579" s="80"/>
      <c r="AN579" s="79">
        <f>ERP_5[[#This Row],[2026 Working Total to Budget/LE]]-ERP_5[[#This Row],[Giveback]]</f>
        <v>0</v>
      </c>
      <c r="AO579" s="81"/>
      <c r="AP579" s="375"/>
      <c r="AQ579" s="375"/>
      <c r="AR579" s="375"/>
      <c r="AS579" s="375"/>
      <c r="AT579" s="375"/>
      <c r="AU579" s="375"/>
      <c r="AV579" s="375"/>
      <c r="AW579" s="375"/>
      <c r="AX579" s="375"/>
      <c r="AY579" s="375"/>
      <c r="AZ579" s="375"/>
      <c r="BA579" s="375"/>
      <c r="BB579" s="375"/>
      <c r="BC579" s="227"/>
      <c r="BD579" s="227"/>
      <c r="BE579" s="227"/>
      <c r="BF579" s="227"/>
      <c r="BG579" s="227"/>
      <c r="BH579" s="227"/>
      <c r="BI579" s="227"/>
      <c r="BJ579" s="227"/>
      <c r="BK579" s="227"/>
      <c r="BL579" s="227"/>
      <c r="BM579" s="227"/>
      <c r="BN579" s="227"/>
      <c r="BO579" s="227"/>
    </row>
    <row r="580" spans="1:67" ht="15" customHeight="1">
      <c r="A580" s="334" t="s">
        <v>2197</v>
      </c>
      <c r="B580" s="330" t="s">
        <v>2198</v>
      </c>
      <c r="C580" s="150" t="s">
        <v>1136</v>
      </c>
      <c r="D580" s="336" t="s">
        <v>1567</v>
      </c>
      <c r="E580" s="336" t="s">
        <v>1567</v>
      </c>
      <c r="F580" s="339" t="s">
        <v>1567</v>
      </c>
      <c r="G580" s="518" t="s">
        <v>629</v>
      </c>
      <c r="H580" s="397" t="s">
        <v>1327</v>
      </c>
      <c r="I580" s="333"/>
      <c r="J580" s="336" t="s">
        <v>1593</v>
      </c>
      <c r="K580" s="237" t="s">
        <v>147</v>
      </c>
      <c r="L580" s="351"/>
      <c r="M580" s="347"/>
      <c r="N580" s="353"/>
      <c r="O580" s="353"/>
      <c r="P580" s="452"/>
      <c r="Q580" s="402"/>
      <c r="R580" s="406"/>
      <c r="S580" s="406"/>
      <c r="T580" s="425"/>
      <c r="U580" s="425"/>
      <c r="V580" s="413"/>
      <c r="W580" s="414"/>
      <c r="X580" s="414"/>
      <c r="Y580" s="436"/>
      <c r="Z580" s="429">
        <v>0</v>
      </c>
      <c r="AA580" s="429">
        <v>0</v>
      </c>
      <c r="AB580" s="371"/>
      <c r="AC580" s="371"/>
      <c r="AD580" s="371"/>
      <c r="AE580" s="371"/>
      <c r="AF580" s="371"/>
      <c r="AG580" s="371"/>
      <c r="AH580" s="367">
        <f t="shared" si="28"/>
        <v>0</v>
      </c>
      <c r="AI580" s="362">
        <f>ERP_5[[#This Row],[2026 Working Total]]-ERP_5[[#This Row],[LE2 Final Submission]]</f>
        <v>0</v>
      </c>
      <c r="AJ580" s="227"/>
      <c r="AK580" s="227">
        <f t="shared" si="27"/>
        <v>0</v>
      </c>
      <c r="AL580" s="374">
        <f>SUM(ERP_5[[#This Row],[AP01]:[AP06]])-SUM(ERP_5[[#This Row],[AP01 LE2]:[AP06 LE2]])</f>
        <v>0</v>
      </c>
      <c r="AM580" s="80"/>
      <c r="AN580" s="79">
        <f>ERP_5[[#This Row],[2026 Working Total to Budget/LE]]-ERP_5[[#This Row],[Giveback]]</f>
        <v>0</v>
      </c>
      <c r="AO580" s="81"/>
      <c r="AP580" s="375"/>
      <c r="AQ580" s="375"/>
      <c r="AR580" s="375"/>
      <c r="AS580" s="375"/>
      <c r="AT580" s="375"/>
      <c r="AU580" s="375"/>
      <c r="AV580" s="375"/>
      <c r="AW580" s="375"/>
      <c r="AX580" s="375"/>
      <c r="AY580" s="375"/>
      <c r="AZ580" s="375"/>
      <c r="BA580" s="375"/>
      <c r="BB580" s="375"/>
      <c r="BC580" s="227"/>
      <c r="BD580" s="227"/>
      <c r="BE580" s="227"/>
      <c r="BF580" s="227"/>
      <c r="BG580" s="227"/>
      <c r="BH580" s="227"/>
      <c r="BI580" s="227"/>
      <c r="BJ580" s="227"/>
      <c r="BK580" s="227"/>
      <c r="BL580" s="227"/>
      <c r="BM580" s="227"/>
      <c r="BN580" s="227"/>
      <c r="BO580" s="227"/>
    </row>
    <row r="581" spans="1:67" ht="15" customHeight="1">
      <c r="A581" s="334" t="s">
        <v>2064</v>
      </c>
      <c r="B581" s="330" t="s">
        <v>2065</v>
      </c>
      <c r="C581" s="150" t="s">
        <v>1136</v>
      </c>
      <c r="D581" s="336" t="s">
        <v>1345</v>
      </c>
      <c r="E581" s="336" t="s">
        <v>1481</v>
      </c>
      <c r="F581" s="336" t="s">
        <v>1481</v>
      </c>
      <c r="G581" s="518" t="s">
        <v>389</v>
      </c>
      <c r="H581" s="397" t="s">
        <v>1327</v>
      </c>
      <c r="I581" s="333"/>
      <c r="J581" s="336" t="s">
        <v>1487</v>
      </c>
      <c r="K581" s="237" t="s">
        <v>147</v>
      </c>
      <c r="L581" s="351"/>
      <c r="M581" s="347"/>
      <c r="N581" s="353"/>
      <c r="O581" s="353"/>
      <c r="P581" s="452"/>
      <c r="Q581" s="402"/>
      <c r="R581" s="406"/>
      <c r="S581" s="406"/>
      <c r="T581" s="425"/>
      <c r="U581" s="425"/>
      <c r="V581" s="413"/>
      <c r="W581" s="414"/>
      <c r="X581" s="414"/>
      <c r="Y581" s="436"/>
      <c r="Z581" s="429">
        <v>0</v>
      </c>
      <c r="AA581" s="429">
        <v>0</v>
      </c>
      <c r="AB581" s="371"/>
      <c r="AC581" s="371"/>
      <c r="AD581" s="371"/>
      <c r="AE581" s="371"/>
      <c r="AF581" s="371"/>
      <c r="AG581" s="371"/>
      <c r="AH581" s="367">
        <f t="shared" si="28"/>
        <v>0</v>
      </c>
      <c r="AI581" s="362">
        <f>ERP_5[[#This Row],[2026 Working Total]]-ERP_5[[#This Row],[LE2 Final Submission]]</f>
        <v>0</v>
      </c>
      <c r="AJ581" s="227"/>
      <c r="AK581" s="227">
        <f t="shared" si="27"/>
        <v>0</v>
      </c>
      <c r="AL581" s="374">
        <f>SUM(ERP_5[[#This Row],[AP01]:[AP06]])-SUM(ERP_5[[#This Row],[AP01 LE2]:[AP06 LE2]])</f>
        <v>0</v>
      </c>
      <c r="AM581" s="80"/>
      <c r="AN581" s="79">
        <f>ERP_5[[#This Row],[2026 Working Total to Budget/LE]]-ERP_5[[#This Row],[Giveback]]</f>
        <v>0</v>
      </c>
      <c r="AO581" s="81"/>
      <c r="AP581" s="375"/>
      <c r="AQ581" s="375"/>
      <c r="AR581" s="375"/>
      <c r="AS581" s="375"/>
      <c r="AT581" s="375"/>
      <c r="AU581" s="375"/>
      <c r="AV581" s="375"/>
      <c r="AW581" s="375"/>
      <c r="AX581" s="375"/>
      <c r="AY581" s="375"/>
      <c r="AZ581" s="375"/>
      <c r="BA581" s="375"/>
      <c r="BB581" s="375"/>
      <c r="BC581" s="227"/>
      <c r="BD581" s="227"/>
      <c r="BE581" s="227"/>
      <c r="BF581" s="227"/>
      <c r="BG581" s="227"/>
      <c r="BH581" s="227"/>
      <c r="BI581" s="227"/>
      <c r="BJ581" s="227"/>
      <c r="BK581" s="227"/>
      <c r="BL581" s="227"/>
      <c r="BM581" s="227"/>
      <c r="BN581" s="227"/>
      <c r="BO581" s="227"/>
    </row>
    <row r="582" spans="1:67" ht="15" customHeight="1">
      <c r="A582" s="215" t="s">
        <v>2587</v>
      </c>
      <c r="B582" s="215" t="s">
        <v>893</v>
      </c>
      <c r="C582" s="150" t="s">
        <v>1136</v>
      </c>
      <c r="D582" s="334" t="s">
        <v>1135</v>
      </c>
      <c r="E582" s="334" t="s">
        <v>1135</v>
      </c>
      <c r="F582" s="334" t="s">
        <v>1137</v>
      </c>
      <c r="G582" s="516" t="s">
        <v>639</v>
      </c>
      <c r="H582" s="398" t="s">
        <v>2588</v>
      </c>
      <c r="I582" s="343"/>
      <c r="J582" s="344"/>
      <c r="K582" s="219" t="s">
        <v>894</v>
      </c>
      <c r="L582" s="349"/>
      <c r="M582" s="343"/>
      <c r="N582" s="349"/>
      <c r="O582" s="334" t="s">
        <v>25</v>
      </c>
      <c r="P582" s="354"/>
      <c r="Q582" s="403"/>
      <c r="R582" s="406">
        <v>30000</v>
      </c>
      <c r="S582" s="406">
        <v>30000</v>
      </c>
      <c r="T582" s="425"/>
      <c r="U582" s="425"/>
      <c r="V582" s="408"/>
      <c r="W582" s="410"/>
      <c r="X582" s="410"/>
      <c r="Y582" s="428" t="s">
        <v>1142</v>
      </c>
      <c r="Z582" s="429">
        <v>0</v>
      </c>
      <c r="AA582" s="429">
        <v>0</v>
      </c>
      <c r="AB582" s="369"/>
      <c r="AC582" s="369">
        <v>30000</v>
      </c>
      <c r="AD582" s="368">
        <v>0</v>
      </c>
      <c r="AE582" s="368">
        <v>0</v>
      </c>
      <c r="AF582" s="368">
        <v>0</v>
      </c>
      <c r="AG582" s="360">
        <v>0</v>
      </c>
      <c r="AH582" s="367">
        <f t="shared" si="28"/>
        <v>30000</v>
      </c>
      <c r="AI582" s="362">
        <f>ERP_5[[#This Row],[2026 Working Total]]-ERP_5[[#This Row],[LE2 Final Submission]]</f>
        <v>0</v>
      </c>
      <c r="AJ582" s="227"/>
      <c r="AK582" s="227">
        <f t="shared" si="27"/>
        <v>0</v>
      </c>
      <c r="AL582" s="374">
        <f>SUM(ERP_5[[#This Row],[AP01]:[AP06]])-SUM(ERP_5[[#This Row],[AP01 LE2]:[AP06 LE2]])</f>
        <v>0</v>
      </c>
      <c r="AM582" s="80"/>
      <c r="AN582" s="79">
        <f>ERP_5[[#This Row],[2026 Working Total to Budget/LE]]-ERP_5[[#This Row],[Giveback]]</f>
        <v>0</v>
      </c>
      <c r="AO582" s="81"/>
      <c r="AP582" s="375"/>
      <c r="AQ582" s="375"/>
      <c r="AR582" s="375"/>
      <c r="AS582" s="375"/>
      <c r="AT582" s="375"/>
      <c r="AU582" s="375"/>
      <c r="AV582" s="375"/>
      <c r="AW582" s="375">
        <v>30000</v>
      </c>
      <c r="AX582" s="375">
        <v>0</v>
      </c>
      <c r="AY582" s="375">
        <v>0</v>
      </c>
      <c r="AZ582" s="375">
        <v>0</v>
      </c>
      <c r="BA582" s="375">
        <v>0</v>
      </c>
      <c r="BB582" s="375">
        <v>30000</v>
      </c>
      <c r="BC582" s="227"/>
      <c r="BD582" s="227"/>
      <c r="BE582" s="227"/>
      <c r="BF582" s="227"/>
      <c r="BG582" s="227"/>
      <c r="BH582" s="227"/>
      <c r="BI582" s="227"/>
      <c r="BJ582" s="227">
        <v>30000</v>
      </c>
      <c r="BK582" s="227">
        <v>0</v>
      </c>
      <c r="BL582" s="227">
        <v>0</v>
      </c>
      <c r="BM582" s="227">
        <v>0</v>
      </c>
      <c r="BN582" s="227">
        <v>0</v>
      </c>
      <c r="BO582" s="227">
        <v>30000</v>
      </c>
    </row>
    <row r="583" spans="1:67" ht="15" customHeight="1">
      <c r="A583" s="215" t="s">
        <v>1639</v>
      </c>
      <c r="B583" s="215" t="s">
        <v>1640</v>
      </c>
      <c r="C583" s="150" t="s">
        <v>1136</v>
      </c>
      <c r="D583" s="334" t="s">
        <v>1345</v>
      </c>
      <c r="E583" s="334" t="s">
        <v>1346</v>
      </c>
      <c r="F583" s="334" t="s">
        <v>1346</v>
      </c>
      <c r="G583" s="516" t="s">
        <v>49</v>
      </c>
      <c r="H583" s="398" t="s">
        <v>1327</v>
      </c>
      <c r="I583" s="343"/>
      <c r="J583" s="344"/>
      <c r="K583" s="219" t="s">
        <v>147</v>
      </c>
      <c r="L583" s="349"/>
      <c r="M583" s="343"/>
      <c r="N583" s="349"/>
      <c r="O583" s="334" t="s">
        <v>25</v>
      </c>
      <c r="P583" s="354"/>
      <c r="Q583" s="403"/>
      <c r="R583" s="406">
        <v>0</v>
      </c>
      <c r="S583" s="406">
        <v>19969.14</v>
      </c>
      <c r="T583" s="425"/>
      <c r="U583" s="71"/>
      <c r="V583" s="408">
        <v>6818.85</v>
      </c>
      <c r="W583" s="410">
        <v>9998.51</v>
      </c>
      <c r="X583" s="410">
        <v>3151.78</v>
      </c>
      <c r="Y583" s="428">
        <v>13245.82</v>
      </c>
      <c r="Z583" s="429">
        <v>11713.649999999994</v>
      </c>
      <c r="AA583" s="429">
        <v>24135.279999999999</v>
      </c>
      <c r="AB583" s="368">
        <v>0</v>
      </c>
      <c r="AC583" s="368">
        <v>0</v>
      </c>
      <c r="AD583" s="368">
        <v>0</v>
      </c>
      <c r="AE583" s="368">
        <v>0</v>
      </c>
      <c r="AF583" s="368">
        <v>0</v>
      </c>
      <c r="AG583" s="368">
        <v>0</v>
      </c>
      <c r="AH583" s="367">
        <f t="shared" si="28"/>
        <v>69063.889999999985</v>
      </c>
      <c r="AI583" s="362">
        <f>ERP_5[[#This Row],[2026 Working Total]]-ERP_5[[#This Row],[LE2 Final Submission]]</f>
        <v>49094.749999999985</v>
      </c>
      <c r="AJ583" s="227">
        <v>0</v>
      </c>
      <c r="AK583" s="227">
        <f t="shared" si="27"/>
        <v>24135.279999999999</v>
      </c>
      <c r="AL583" s="374">
        <f>SUM(ERP_5[[#This Row],[AP01]:[AP06]])-SUM(ERP_5[[#This Row],[AP01 LE2]:[AP06 LE2]])</f>
        <v>49094.749999999985</v>
      </c>
      <c r="AM583" s="80"/>
      <c r="AN583" s="79">
        <f>ERP_5[[#This Row],[2026 Working Total to Budget/LE]]-ERP_5[[#This Row],[Giveback]]</f>
        <v>49094.749999999985</v>
      </c>
      <c r="AO583" s="81"/>
      <c r="AP583" s="375">
        <v>6818.85</v>
      </c>
      <c r="AQ583" s="375">
        <v>9998.51</v>
      </c>
      <c r="AR583" s="375">
        <v>3151.78</v>
      </c>
      <c r="AS583" s="375">
        <v>0</v>
      </c>
      <c r="AT583" s="375">
        <v>0</v>
      </c>
      <c r="AU583" s="375">
        <v>0</v>
      </c>
      <c r="AV583" s="375">
        <v>0</v>
      </c>
      <c r="AW583" s="375">
        <v>0</v>
      </c>
      <c r="AX583" s="375">
        <v>0</v>
      </c>
      <c r="AY583" s="375">
        <v>0</v>
      </c>
      <c r="AZ583" s="375">
        <v>0</v>
      </c>
      <c r="BA583" s="375">
        <v>0</v>
      </c>
      <c r="BB583" s="375">
        <v>19969.14</v>
      </c>
      <c r="BC583" s="227">
        <v>6818.85</v>
      </c>
      <c r="BD583" s="227">
        <v>9998.51</v>
      </c>
      <c r="BE583" s="227">
        <v>3151.78</v>
      </c>
      <c r="BF583" s="227">
        <v>0</v>
      </c>
      <c r="BG583" s="227">
        <v>0</v>
      </c>
      <c r="BH583" s="227">
        <v>0</v>
      </c>
      <c r="BI583" s="227">
        <v>0</v>
      </c>
      <c r="BJ583" s="227">
        <v>0</v>
      </c>
      <c r="BK583" s="227">
        <v>0</v>
      </c>
      <c r="BL583" s="227">
        <v>0</v>
      </c>
      <c r="BM583" s="227">
        <v>0</v>
      </c>
      <c r="BN583" s="227">
        <v>0</v>
      </c>
      <c r="BO583" s="227">
        <v>19969.14</v>
      </c>
    </row>
    <row r="584" spans="1:67" ht="15" customHeight="1">
      <c r="A584" s="215" t="s">
        <v>1744</v>
      </c>
      <c r="B584" s="215" t="s">
        <v>1745</v>
      </c>
      <c r="C584" s="150" t="s">
        <v>1136</v>
      </c>
      <c r="D584" s="334" t="s">
        <v>1345</v>
      </c>
      <c r="E584" s="334" t="s">
        <v>1346</v>
      </c>
      <c r="F584" s="334" t="s">
        <v>1346</v>
      </c>
      <c r="G584" s="516" t="s">
        <v>342</v>
      </c>
      <c r="H584" s="398" t="s">
        <v>1327</v>
      </c>
      <c r="I584" s="343"/>
      <c r="J584" s="344"/>
      <c r="K584" s="219" t="s">
        <v>147</v>
      </c>
      <c r="L584" s="349"/>
      <c r="M584" s="343"/>
      <c r="N584" s="349"/>
      <c r="O584" s="334" t="s">
        <v>25</v>
      </c>
      <c r="P584" s="354"/>
      <c r="Q584" s="403"/>
      <c r="R584" s="406">
        <v>0</v>
      </c>
      <c r="S584" s="406">
        <v>835.42000000000007</v>
      </c>
      <c r="T584" s="425"/>
      <c r="U584" s="71"/>
      <c r="V584" s="408">
        <v>-0.14000000000000001</v>
      </c>
      <c r="W584" s="410">
        <v>464.29</v>
      </c>
      <c r="X584" s="410">
        <v>371.27</v>
      </c>
      <c r="Y584" s="428">
        <v>-0.06</v>
      </c>
      <c r="Z584" s="429">
        <v>2499.4899999999998</v>
      </c>
      <c r="AA584" s="429">
        <v>-0.11</v>
      </c>
      <c r="AB584" s="368">
        <v>0</v>
      </c>
      <c r="AC584" s="368">
        <v>0</v>
      </c>
      <c r="AD584" s="368">
        <v>0</v>
      </c>
      <c r="AE584" s="368">
        <v>0</v>
      </c>
      <c r="AF584" s="368">
        <v>0</v>
      </c>
      <c r="AG584" s="368">
        <v>0</v>
      </c>
      <c r="AH584" s="367">
        <f t="shared" si="28"/>
        <v>3334.74</v>
      </c>
      <c r="AI584" s="362">
        <f>ERP_5[[#This Row],[2026 Working Total]]-ERP_5[[#This Row],[LE2 Final Submission]]</f>
        <v>2499.3199999999997</v>
      </c>
      <c r="AJ584" s="227">
        <v>0</v>
      </c>
      <c r="AK584" s="227">
        <f t="shared" ref="AK584:AK647" si="30">$AA584 - $AJ584</f>
        <v>-0.11</v>
      </c>
      <c r="AL584" s="374">
        <f>SUM(ERP_5[[#This Row],[AP01]:[AP06]])-SUM(ERP_5[[#This Row],[AP01 LE2]:[AP06 LE2]])</f>
        <v>2499.3199999999997</v>
      </c>
      <c r="AM584" s="80"/>
      <c r="AN584" s="79">
        <f>ERP_5[[#This Row],[2026 Working Total to Budget/LE]]-ERP_5[[#This Row],[Giveback]]</f>
        <v>2499.3199999999997</v>
      </c>
      <c r="AO584" s="81"/>
      <c r="AP584" s="375">
        <v>-0.14000000000000001</v>
      </c>
      <c r="AQ584" s="375">
        <v>464.29</v>
      </c>
      <c r="AR584" s="375">
        <v>371.27</v>
      </c>
      <c r="AS584" s="375">
        <v>0</v>
      </c>
      <c r="AT584" s="375">
        <v>0</v>
      </c>
      <c r="AU584" s="375">
        <v>0</v>
      </c>
      <c r="AV584" s="375">
        <v>0</v>
      </c>
      <c r="AW584" s="375">
        <v>0</v>
      </c>
      <c r="AX584" s="375">
        <v>0</v>
      </c>
      <c r="AY584" s="375">
        <v>0</v>
      </c>
      <c r="AZ584" s="375">
        <v>0</v>
      </c>
      <c r="BA584" s="375">
        <v>0</v>
      </c>
      <c r="BB584" s="375">
        <v>835.42000000000007</v>
      </c>
      <c r="BC584" s="227">
        <v>-0.14000000000000001</v>
      </c>
      <c r="BD584" s="227">
        <v>464.29</v>
      </c>
      <c r="BE584" s="227">
        <v>371.27</v>
      </c>
      <c r="BF584" s="227">
        <v>0</v>
      </c>
      <c r="BG584" s="227">
        <v>0</v>
      </c>
      <c r="BH584" s="227">
        <v>0</v>
      </c>
      <c r="BI584" s="227">
        <v>0</v>
      </c>
      <c r="BJ584" s="227">
        <v>0</v>
      </c>
      <c r="BK584" s="227">
        <v>0</v>
      </c>
      <c r="BL584" s="227">
        <v>0</v>
      </c>
      <c r="BM584" s="227">
        <v>0</v>
      </c>
      <c r="BN584" s="227">
        <v>0</v>
      </c>
      <c r="BO584" s="227">
        <v>835.42000000000007</v>
      </c>
    </row>
    <row r="585" spans="1:67" ht="15" customHeight="1">
      <c r="A585" s="215" t="s">
        <v>2129</v>
      </c>
      <c r="B585" s="215" t="s">
        <v>2130</v>
      </c>
      <c r="C585" s="150" t="s">
        <v>1136</v>
      </c>
      <c r="D585" s="334" t="s">
        <v>1345</v>
      </c>
      <c r="E585" s="334" t="s">
        <v>1346</v>
      </c>
      <c r="F585" s="334" t="s">
        <v>1346</v>
      </c>
      <c r="G585" s="516" t="s">
        <v>389</v>
      </c>
      <c r="H585" s="398" t="s">
        <v>1327</v>
      </c>
      <c r="I585" s="343"/>
      <c r="J585" s="344"/>
      <c r="K585" s="219" t="s">
        <v>147</v>
      </c>
      <c r="L585" s="349"/>
      <c r="M585" s="343"/>
      <c r="N585" s="349"/>
      <c r="O585" s="334" t="s">
        <v>25</v>
      </c>
      <c r="P585" s="354"/>
      <c r="Q585" s="403"/>
      <c r="R585" s="406">
        <v>0</v>
      </c>
      <c r="S585" s="406">
        <v>-991.60999999999967</v>
      </c>
      <c r="T585" s="425"/>
      <c r="U585" s="71"/>
      <c r="V585" s="408">
        <v>2949.13</v>
      </c>
      <c r="W585" s="410">
        <v>-734.7</v>
      </c>
      <c r="X585" s="410">
        <v>-3206.04</v>
      </c>
      <c r="Y585" s="428">
        <v>1083.7399999999998</v>
      </c>
      <c r="Z585" s="429">
        <v>2193.66</v>
      </c>
      <c r="AA585" s="429">
        <v>2312.1299999999997</v>
      </c>
      <c r="AB585" s="368">
        <v>0</v>
      </c>
      <c r="AC585" s="368">
        <v>0</v>
      </c>
      <c r="AD585" s="368">
        <v>0</v>
      </c>
      <c r="AE585" s="368">
        <v>0</v>
      </c>
      <c r="AF585" s="368">
        <v>0</v>
      </c>
      <c r="AG585" s="368">
        <v>0</v>
      </c>
      <c r="AH585" s="367">
        <f t="shared" si="28"/>
        <v>4597.92</v>
      </c>
      <c r="AI585" s="362">
        <f>ERP_5[[#This Row],[2026 Working Total]]-ERP_5[[#This Row],[LE2 Final Submission]]</f>
        <v>5589.53</v>
      </c>
      <c r="AJ585" s="227">
        <v>0</v>
      </c>
      <c r="AK585" s="227">
        <f t="shared" si="30"/>
        <v>2312.1299999999997</v>
      </c>
      <c r="AL585" s="374">
        <f>SUM(ERP_5[[#This Row],[AP01]:[AP06]])-SUM(ERP_5[[#This Row],[AP01 LE2]:[AP06 LE2]])</f>
        <v>5589.53</v>
      </c>
      <c r="AM585" s="80"/>
      <c r="AN585" s="79">
        <f>ERP_5[[#This Row],[2026 Working Total to Budget/LE]]-ERP_5[[#This Row],[Giveback]]</f>
        <v>5589.53</v>
      </c>
      <c r="AO585" s="81"/>
      <c r="AP585" s="375">
        <v>2949.13</v>
      </c>
      <c r="AQ585" s="375">
        <v>-734.7</v>
      </c>
      <c r="AR585" s="375">
        <v>-3206.04</v>
      </c>
      <c r="AS585" s="375">
        <v>0</v>
      </c>
      <c r="AT585" s="375">
        <v>0</v>
      </c>
      <c r="AU585" s="375">
        <v>0</v>
      </c>
      <c r="AV585" s="375">
        <v>0</v>
      </c>
      <c r="AW585" s="375">
        <v>0</v>
      </c>
      <c r="AX585" s="375">
        <v>0</v>
      </c>
      <c r="AY585" s="375">
        <v>0</v>
      </c>
      <c r="AZ585" s="375">
        <v>0</v>
      </c>
      <c r="BA585" s="375">
        <v>0</v>
      </c>
      <c r="BB585" s="375">
        <v>-991.60999999999967</v>
      </c>
      <c r="BC585" s="227">
        <v>2949.13</v>
      </c>
      <c r="BD585" s="227">
        <v>-734.7</v>
      </c>
      <c r="BE585" s="227">
        <v>-3206.04</v>
      </c>
      <c r="BF585" s="227">
        <v>0</v>
      </c>
      <c r="BG585" s="227">
        <v>0</v>
      </c>
      <c r="BH585" s="227">
        <v>0</v>
      </c>
      <c r="BI585" s="227">
        <v>0</v>
      </c>
      <c r="BJ585" s="227">
        <v>0</v>
      </c>
      <c r="BK585" s="227">
        <v>0</v>
      </c>
      <c r="BL585" s="227">
        <v>0</v>
      </c>
      <c r="BM585" s="227">
        <v>0</v>
      </c>
      <c r="BN585" s="227">
        <v>0</v>
      </c>
      <c r="BO585" s="227">
        <v>-991.60999999999967</v>
      </c>
    </row>
    <row r="586" spans="1:67" ht="15" customHeight="1">
      <c r="A586" s="215" t="s">
        <v>2195</v>
      </c>
      <c r="B586" s="215" t="s">
        <v>2196</v>
      </c>
      <c r="C586" s="150" t="s">
        <v>1136</v>
      </c>
      <c r="D586" s="334" t="s">
        <v>1345</v>
      </c>
      <c r="E586" s="334" t="s">
        <v>1346</v>
      </c>
      <c r="F586" s="334" t="s">
        <v>1346</v>
      </c>
      <c r="G586" s="516" t="s">
        <v>629</v>
      </c>
      <c r="H586" s="398" t="s">
        <v>1327</v>
      </c>
      <c r="I586" s="343"/>
      <c r="J586" s="344"/>
      <c r="K586" s="219" t="s">
        <v>147</v>
      </c>
      <c r="L586" s="349"/>
      <c r="M586" s="343"/>
      <c r="N586" s="349"/>
      <c r="O586" s="334" t="s">
        <v>25</v>
      </c>
      <c r="P586" s="354"/>
      <c r="Q586" s="403"/>
      <c r="R586" s="406">
        <v>0</v>
      </c>
      <c r="S586" s="406">
        <v>7191.02</v>
      </c>
      <c r="T586" s="425"/>
      <c r="U586" s="71"/>
      <c r="V586" s="408">
        <v>843.69</v>
      </c>
      <c r="W586" s="410">
        <v>4879.99</v>
      </c>
      <c r="X586" s="410">
        <v>1467.34</v>
      </c>
      <c r="Y586" s="428" t="s">
        <v>1142</v>
      </c>
      <c r="Z586" s="429">
        <v>0</v>
      </c>
      <c r="AA586" s="429">
        <v>237.8</v>
      </c>
      <c r="AB586" s="368">
        <v>0</v>
      </c>
      <c r="AC586" s="368">
        <v>0</v>
      </c>
      <c r="AD586" s="368">
        <v>0</v>
      </c>
      <c r="AE586" s="368">
        <v>0</v>
      </c>
      <c r="AF586" s="368">
        <v>0</v>
      </c>
      <c r="AG586" s="368">
        <v>0</v>
      </c>
      <c r="AH586" s="367">
        <f t="shared" si="28"/>
        <v>7428.8200000000006</v>
      </c>
      <c r="AI586" s="362">
        <f>ERP_5[[#This Row],[2026 Working Total]]-ERP_5[[#This Row],[LE2 Final Submission]]</f>
        <v>237.80000000000018</v>
      </c>
      <c r="AJ586" s="227">
        <v>0</v>
      </c>
      <c r="AK586" s="227">
        <f t="shared" si="30"/>
        <v>237.8</v>
      </c>
      <c r="AL586" s="374">
        <f>SUM(ERP_5[[#This Row],[AP01]:[AP06]])-SUM(ERP_5[[#This Row],[AP01 LE2]:[AP06 LE2]])</f>
        <v>237.80000000000018</v>
      </c>
      <c r="AM586" s="80"/>
      <c r="AN586" s="79">
        <f>ERP_5[[#This Row],[2026 Working Total to Budget/LE]]-ERP_5[[#This Row],[Giveback]]</f>
        <v>237.80000000000018</v>
      </c>
      <c r="AO586" s="81"/>
      <c r="AP586" s="375">
        <v>843.69</v>
      </c>
      <c r="AQ586" s="375">
        <v>4879.99</v>
      </c>
      <c r="AR586" s="375">
        <v>1467.34</v>
      </c>
      <c r="AS586" s="375">
        <v>0</v>
      </c>
      <c r="AT586" s="375">
        <v>0</v>
      </c>
      <c r="AU586" s="375">
        <v>0</v>
      </c>
      <c r="AV586" s="375">
        <v>0</v>
      </c>
      <c r="AW586" s="375">
        <v>0</v>
      </c>
      <c r="AX586" s="375">
        <v>0</v>
      </c>
      <c r="AY586" s="375">
        <v>0</v>
      </c>
      <c r="AZ586" s="375">
        <v>0</v>
      </c>
      <c r="BA586" s="375">
        <v>0</v>
      </c>
      <c r="BB586" s="375">
        <v>7191.02</v>
      </c>
      <c r="BC586" s="227">
        <v>843.69</v>
      </c>
      <c r="BD586" s="227">
        <v>4879.99</v>
      </c>
      <c r="BE586" s="227">
        <v>1467.34</v>
      </c>
      <c r="BF586" s="227">
        <v>0</v>
      </c>
      <c r="BG586" s="227">
        <v>0</v>
      </c>
      <c r="BH586" s="227">
        <v>0</v>
      </c>
      <c r="BI586" s="227">
        <v>0</v>
      </c>
      <c r="BJ586" s="227">
        <v>0</v>
      </c>
      <c r="BK586" s="227">
        <v>0</v>
      </c>
      <c r="BL586" s="227">
        <v>0</v>
      </c>
      <c r="BM586" s="227">
        <v>0</v>
      </c>
      <c r="BN586" s="227">
        <v>0</v>
      </c>
      <c r="BO586" s="227">
        <v>7191.02</v>
      </c>
    </row>
    <row r="587" spans="1:67" ht="15" customHeight="1">
      <c r="A587" s="215" t="s">
        <v>2805</v>
      </c>
      <c r="B587" s="215" t="s">
        <v>2806</v>
      </c>
      <c r="C587" s="150" t="s">
        <v>1136</v>
      </c>
      <c r="D587" s="334" t="s">
        <v>1345</v>
      </c>
      <c r="E587" s="334" t="s">
        <v>1346</v>
      </c>
      <c r="F587" s="334" t="s">
        <v>1346</v>
      </c>
      <c r="G587" s="516" t="s">
        <v>639</v>
      </c>
      <c r="H587" s="398" t="s">
        <v>1327</v>
      </c>
      <c r="I587" s="343"/>
      <c r="J587" s="344"/>
      <c r="K587" s="219" t="s">
        <v>147</v>
      </c>
      <c r="L587" s="349"/>
      <c r="M587" s="343"/>
      <c r="N587" s="349"/>
      <c r="O587" s="334" t="s">
        <v>25</v>
      </c>
      <c r="P587" s="354"/>
      <c r="Q587" s="403"/>
      <c r="R587" s="406">
        <v>0</v>
      </c>
      <c r="S587" s="406">
        <v>2702.75</v>
      </c>
      <c r="T587" s="425"/>
      <c r="U587" s="71"/>
      <c r="V587" s="408">
        <v>45.54</v>
      </c>
      <c r="W587" s="410">
        <v>0.09</v>
      </c>
      <c r="X587" s="410">
        <v>2657.12</v>
      </c>
      <c r="Y587" s="428">
        <v>12.72</v>
      </c>
      <c r="Z587" s="429">
        <v>29.21</v>
      </c>
      <c r="AA587" s="429">
        <v>7.47</v>
      </c>
      <c r="AB587" s="368">
        <v>0</v>
      </c>
      <c r="AC587" s="368">
        <v>0</v>
      </c>
      <c r="AD587" s="368">
        <v>0</v>
      </c>
      <c r="AE587" s="368">
        <v>0</v>
      </c>
      <c r="AF587" s="368">
        <v>0</v>
      </c>
      <c r="AG587" s="368">
        <v>0</v>
      </c>
      <c r="AH587" s="367">
        <f t="shared" si="28"/>
        <v>2752.1499999999996</v>
      </c>
      <c r="AI587" s="362">
        <f>ERP_5[[#This Row],[2026 Working Total]]-ERP_5[[#This Row],[LE2 Final Submission]]</f>
        <v>49.399999999999636</v>
      </c>
      <c r="AJ587" s="227">
        <v>0</v>
      </c>
      <c r="AK587" s="227">
        <f t="shared" si="30"/>
        <v>7.47</v>
      </c>
      <c r="AL587" s="374">
        <f>SUM(ERP_5[[#This Row],[AP01]:[AP06]])-SUM(ERP_5[[#This Row],[AP01 LE2]:[AP06 LE2]])</f>
        <v>49.399999999999636</v>
      </c>
      <c r="AM587" s="80"/>
      <c r="AN587" s="79">
        <f>ERP_5[[#This Row],[2026 Working Total to Budget/LE]]-ERP_5[[#This Row],[Giveback]]</f>
        <v>49.399999999999636</v>
      </c>
      <c r="AO587" s="81"/>
      <c r="AP587" s="375">
        <v>45.54</v>
      </c>
      <c r="AQ587" s="375">
        <v>0.09</v>
      </c>
      <c r="AR587" s="375">
        <v>2657.12</v>
      </c>
      <c r="AS587" s="375">
        <v>0</v>
      </c>
      <c r="AT587" s="375">
        <v>0</v>
      </c>
      <c r="AU587" s="375">
        <v>0</v>
      </c>
      <c r="AV587" s="375">
        <v>0</v>
      </c>
      <c r="AW587" s="375">
        <v>0</v>
      </c>
      <c r="AX587" s="375">
        <v>0</v>
      </c>
      <c r="AY587" s="375">
        <v>0</v>
      </c>
      <c r="AZ587" s="375">
        <v>0</v>
      </c>
      <c r="BA587" s="375">
        <v>0</v>
      </c>
      <c r="BB587" s="375">
        <v>2702.75</v>
      </c>
      <c r="BC587" s="227">
        <v>45.54</v>
      </c>
      <c r="BD587" s="227">
        <v>0.09</v>
      </c>
      <c r="BE587" s="227">
        <v>2657.12</v>
      </c>
      <c r="BF587" s="227">
        <v>0</v>
      </c>
      <c r="BG587" s="227">
        <v>0</v>
      </c>
      <c r="BH587" s="227">
        <v>0</v>
      </c>
      <c r="BI587" s="227">
        <v>0</v>
      </c>
      <c r="BJ587" s="227">
        <v>0</v>
      </c>
      <c r="BK587" s="227">
        <v>0</v>
      </c>
      <c r="BL587" s="227">
        <v>0</v>
      </c>
      <c r="BM587" s="227">
        <v>0</v>
      </c>
      <c r="BN587" s="227">
        <v>0</v>
      </c>
      <c r="BO587" s="227">
        <v>2702.75</v>
      </c>
    </row>
    <row r="588" spans="1:67" ht="15" customHeight="1">
      <c r="A588" s="227" t="s">
        <v>2589</v>
      </c>
      <c r="B588" s="330" t="s">
        <v>895</v>
      </c>
      <c r="C588" s="150" t="s">
        <v>1136</v>
      </c>
      <c r="D588" s="336" t="s">
        <v>1135</v>
      </c>
      <c r="E588" s="338" t="s">
        <v>1135</v>
      </c>
      <c r="F588" s="335" t="s">
        <v>1137</v>
      </c>
      <c r="G588" s="517" t="s">
        <v>639</v>
      </c>
      <c r="H588" s="399" t="s">
        <v>2590</v>
      </c>
      <c r="I588" s="343" t="s">
        <v>2484</v>
      </c>
      <c r="J588" s="334" t="s">
        <v>1171</v>
      </c>
      <c r="K588" s="235" t="s">
        <v>896</v>
      </c>
      <c r="L588" s="344"/>
      <c r="M588" s="346" t="s">
        <v>2591</v>
      </c>
      <c r="N588" s="349" t="s">
        <v>1710</v>
      </c>
      <c r="O588" s="352" t="s">
        <v>863</v>
      </c>
      <c r="P588" s="355" t="s">
        <v>1779</v>
      </c>
      <c r="Q588" s="437"/>
      <c r="R588" s="358">
        <v>169614.9</v>
      </c>
      <c r="S588" s="378">
        <v>0</v>
      </c>
      <c r="T588" s="425"/>
      <c r="U588" s="71"/>
      <c r="V588" s="409"/>
      <c r="W588" s="411"/>
      <c r="X588" s="411"/>
      <c r="Y588" s="428" t="s">
        <v>1142</v>
      </c>
      <c r="Z588" s="429">
        <v>0</v>
      </c>
      <c r="AA588" s="429">
        <v>0</v>
      </c>
      <c r="AB588" s="370">
        <v>0</v>
      </c>
      <c r="AC588" s="370">
        <v>0</v>
      </c>
      <c r="AD588" s="370">
        <v>0</v>
      </c>
      <c r="AE588" s="370">
        <v>0</v>
      </c>
      <c r="AF588" s="370">
        <v>0</v>
      </c>
      <c r="AG588" s="370">
        <v>0</v>
      </c>
      <c r="AH588" s="367">
        <f t="shared" ref="AH588:AH651" si="31">SUM(V588:AG588)</f>
        <v>0</v>
      </c>
      <c r="AI588" s="362">
        <f>ERP_5[[#This Row],[2026 Working Total]]-ERP_5[[#This Row],[LE2 Final Submission]]</f>
        <v>0</v>
      </c>
      <c r="AJ588" s="227">
        <v>0</v>
      </c>
      <c r="AK588" s="227">
        <f t="shared" si="30"/>
        <v>0</v>
      </c>
      <c r="AL588" s="374">
        <f>SUM(ERP_5[[#This Row],[AP01]:[AP06]])-SUM(ERP_5[[#This Row],[AP01 LE2]:[AP06 LE2]])</f>
        <v>0</v>
      </c>
      <c r="AM588" s="80"/>
      <c r="AN588" s="79">
        <f>ERP_5[[#This Row],[2026 Working Total to Budget/LE]]-ERP_5[[#This Row],[Giveback]]</f>
        <v>0</v>
      </c>
      <c r="AO588" s="81"/>
      <c r="AP588" s="375"/>
      <c r="AQ588" s="375"/>
      <c r="AR588" s="375"/>
      <c r="AS588" s="375">
        <v>0</v>
      </c>
      <c r="AT588" s="375">
        <v>0</v>
      </c>
      <c r="AU588" s="375">
        <v>0</v>
      </c>
      <c r="AV588" s="375">
        <v>0</v>
      </c>
      <c r="AW588" s="375">
        <v>0</v>
      </c>
      <c r="AX588" s="375">
        <v>0</v>
      </c>
      <c r="AY588" s="375">
        <v>0</v>
      </c>
      <c r="AZ588" s="375">
        <v>0</v>
      </c>
      <c r="BA588" s="375">
        <v>0</v>
      </c>
      <c r="BB588" s="375">
        <v>0</v>
      </c>
      <c r="BC588" s="246">
        <v>169614.9</v>
      </c>
      <c r="BD588" s="246">
        <v>0</v>
      </c>
      <c r="BE588" s="246">
        <v>0</v>
      </c>
      <c r="BF588" s="246">
        <v>0</v>
      </c>
      <c r="BG588" s="246">
        <v>0</v>
      </c>
      <c r="BH588" s="246">
        <v>0</v>
      </c>
      <c r="BI588" s="246">
        <v>0</v>
      </c>
      <c r="BJ588" s="246">
        <v>0</v>
      </c>
      <c r="BK588" s="246">
        <v>0</v>
      </c>
      <c r="BL588" s="246">
        <v>0</v>
      </c>
      <c r="BM588" s="246">
        <v>0</v>
      </c>
      <c r="BN588" s="246">
        <v>0</v>
      </c>
      <c r="BO588" s="227">
        <f>SUM(ERP_5[[#This Row],[2026 AP01]:[2026 AP12]])</f>
        <v>169614.9</v>
      </c>
    </row>
    <row r="589" spans="1:67" ht="15" customHeight="1">
      <c r="A589" s="227" t="s">
        <v>2592</v>
      </c>
      <c r="B589" s="330" t="s">
        <v>897</v>
      </c>
      <c r="C589" s="150" t="s">
        <v>1136</v>
      </c>
      <c r="D589" s="336" t="s">
        <v>1135</v>
      </c>
      <c r="E589" s="337" t="s">
        <v>1135</v>
      </c>
      <c r="F589" s="335" t="s">
        <v>1137</v>
      </c>
      <c r="G589" s="517" t="s">
        <v>639</v>
      </c>
      <c r="H589" s="397" t="s">
        <v>2593</v>
      </c>
      <c r="I589" s="343" t="s">
        <v>2484</v>
      </c>
      <c r="J589" s="334" t="s">
        <v>1171</v>
      </c>
      <c r="K589" s="253" t="s">
        <v>898</v>
      </c>
      <c r="L589" s="344"/>
      <c r="M589" s="346" t="s">
        <v>2591</v>
      </c>
      <c r="N589" s="349" t="s">
        <v>1710</v>
      </c>
      <c r="O589" s="350" t="s">
        <v>863</v>
      </c>
      <c r="P589" s="355" t="s">
        <v>2499</v>
      </c>
      <c r="Q589" s="437"/>
      <c r="R589" s="358">
        <v>-169614.9</v>
      </c>
      <c r="S589" s="378">
        <v>0</v>
      </c>
      <c r="T589" s="430"/>
      <c r="U589" s="137"/>
      <c r="V589" s="409"/>
      <c r="W589" s="411"/>
      <c r="X589" s="411"/>
      <c r="Y589" s="428" t="s">
        <v>1142</v>
      </c>
      <c r="Z589" s="429">
        <v>0</v>
      </c>
      <c r="AA589" s="429">
        <v>0</v>
      </c>
      <c r="AB589" s="370">
        <v>0</v>
      </c>
      <c r="AC589" s="370">
        <v>0</v>
      </c>
      <c r="AD589" s="370">
        <v>0</v>
      </c>
      <c r="AE589" s="370">
        <v>0</v>
      </c>
      <c r="AF589" s="370">
        <v>0</v>
      </c>
      <c r="AG589" s="370">
        <v>0</v>
      </c>
      <c r="AH589" s="367">
        <f t="shared" si="31"/>
        <v>0</v>
      </c>
      <c r="AI589" s="362">
        <f>ERP_5[[#This Row],[2026 Working Total]]-ERP_5[[#This Row],[LE2 Final Submission]]</f>
        <v>0</v>
      </c>
      <c r="AJ589" s="227">
        <v>0</v>
      </c>
      <c r="AK589" s="227">
        <f t="shared" si="30"/>
        <v>0</v>
      </c>
      <c r="AL589" s="374">
        <f>SUM(ERP_5[[#This Row],[AP01]:[AP06]])-SUM(ERP_5[[#This Row],[AP01 LE2]:[AP06 LE2]])</f>
        <v>0</v>
      </c>
      <c r="AM589" s="80"/>
      <c r="AN589" s="79">
        <f>ERP_5[[#This Row],[2026 Working Total to Budget/LE]]-ERP_5[[#This Row],[Giveback]]</f>
        <v>0</v>
      </c>
      <c r="AO589" s="81"/>
      <c r="AP589" s="375"/>
      <c r="AQ589" s="375"/>
      <c r="AR589" s="375"/>
      <c r="AS589" s="375">
        <v>0</v>
      </c>
      <c r="AT589" s="375">
        <v>0</v>
      </c>
      <c r="AU589" s="375">
        <v>0</v>
      </c>
      <c r="AV589" s="375">
        <v>0</v>
      </c>
      <c r="AW589" s="375">
        <v>0</v>
      </c>
      <c r="AX589" s="375">
        <v>0</v>
      </c>
      <c r="AY589" s="375">
        <v>0</v>
      </c>
      <c r="AZ589" s="375">
        <v>0</v>
      </c>
      <c r="BA589" s="375">
        <v>0</v>
      </c>
      <c r="BB589" s="375">
        <v>0</v>
      </c>
      <c r="BC589" s="246">
        <v>-169614.9</v>
      </c>
      <c r="BD589" s="246">
        <v>0</v>
      </c>
      <c r="BE589" s="246">
        <v>0</v>
      </c>
      <c r="BF589" s="246">
        <v>0</v>
      </c>
      <c r="BG589" s="246">
        <v>0</v>
      </c>
      <c r="BH589" s="246">
        <v>0</v>
      </c>
      <c r="BI589" s="246">
        <v>0</v>
      </c>
      <c r="BJ589" s="246">
        <v>0</v>
      </c>
      <c r="BK589" s="246">
        <v>0</v>
      </c>
      <c r="BL589" s="246">
        <v>0</v>
      </c>
      <c r="BM589" s="246">
        <v>0</v>
      </c>
      <c r="BN589" s="246">
        <v>0</v>
      </c>
      <c r="BO589" s="227">
        <f>SUM(ERP_5[[#This Row],[2026 AP01]:[2026 AP12]])</f>
        <v>-169614.9</v>
      </c>
    </row>
    <row r="590" spans="1:67" ht="15" customHeight="1">
      <c r="A590" s="334" t="s">
        <v>1721</v>
      </c>
      <c r="B590" s="330" t="s">
        <v>375</v>
      </c>
      <c r="C590" s="150" t="s">
        <v>1136</v>
      </c>
      <c r="D590" s="336" t="s">
        <v>1135</v>
      </c>
      <c r="E590" s="336" t="s">
        <v>1135</v>
      </c>
      <c r="F590" s="339" t="s">
        <v>1135</v>
      </c>
      <c r="G590" s="518" t="s">
        <v>342</v>
      </c>
      <c r="H590" s="397" t="s">
        <v>1327</v>
      </c>
      <c r="I590" s="333"/>
      <c r="J590" s="336" t="s">
        <v>1171</v>
      </c>
      <c r="K590" s="237" t="s">
        <v>147</v>
      </c>
      <c r="L590" s="351"/>
      <c r="M590" s="347"/>
      <c r="N590" s="353"/>
      <c r="O590" s="353"/>
      <c r="P590" s="452"/>
      <c r="Q590" s="402"/>
      <c r="R590" s="402"/>
      <c r="S590" s="402"/>
      <c r="T590" s="425"/>
      <c r="U590" s="71"/>
      <c r="V590" s="413"/>
      <c r="W590" s="414"/>
      <c r="X590" s="414"/>
      <c r="Y590" s="436"/>
      <c r="Z590" s="429">
        <v>0</v>
      </c>
      <c r="AA590" s="429">
        <v>0</v>
      </c>
      <c r="AB590" s="371"/>
      <c r="AC590" s="371"/>
      <c r="AD590" s="371"/>
      <c r="AE590" s="371"/>
      <c r="AF590" s="371"/>
      <c r="AG590" s="371"/>
      <c r="AH590" s="367">
        <f t="shared" si="31"/>
        <v>0</v>
      </c>
      <c r="AI590" s="362">
        <f>ERP_5[[#This Row],[2026 Working Total]]-ERP_5[[#This Row],[LE2 Final Submission]]</f>
        <v>0</v>
      </c>
      <c r="AJ590" s="227"/>
      <c r="AK590" s="227">
        <f t="shared" si="30"/>
        <v>0</v>
      </c>
      <c r="AL590" s="374">
        <f>SUM(ERP_5[[#This Row],[AP01]:[AP06]])-SUM(ERP_5[[#This Row],[AP01 LE2]:[AP06 LE2]])</f>
        <v>0</v>
      </c>
      <c r="AM590" s="80"/>
      <c r="AN590" s="79">
        <f>ERP_5[[#This Row],[2026 Working Total to Budget/LE]]-ERP_5[[#This Row],[Giveback]]</f>
        <v>0</v>
      </c>
      <c r="AO590" s="81"/>
      <c r="AP590" s="375"/>
      <c r="AQ590" s="375"/>
      <c r="AR590" s="375"/>
      <c r="AS590" s="375"/>
      <c r="AT590" s="375"/>
      <c r="AU590" s="375"/>
      <c r="AV590" s="375"/>
      <c r="AW590" s="375"/>
      <c r="AX590" s="375"/>
      <c r="AY590" s="375"/>
      <c r="AZ590" s="375"/>
      <c r="BA590" s="375"/>
      <c r="BB590" s="375"/>
      <c r="BC590" s="227"/>
      <c r="BD590" s="227"/>
      <c r="BE590" s="227"/>
      <c r="BF590" s="227"/>
      <c r="BG590" s="227"/>
      <c r="BH590" s="227"/>
      <c r="BI590" s="227"/>
      <c r="BJ590" s="227"/>
      <c r="BK590" s="227"/>
      <c r="BL590" s="227"/>
      <c r="BM590" s="227"/>
      <c r="BN590" s="227"/>
      <c r="BO590" s="227"/>
    </row>
    <row r="591" spans="1:67" ht="15" customHeight="1">
      <c r="A591" s="215" t="s">
        <v>1425</v>
      </c>
      <c r="B591" s="215" t="s">
        <v>195</v>
      </c>
      <c r="C591" s="150" t="s">
        <v>1136</v>
      </c>
      <c r="D591" s="334" t="s">
        <v>1345</v>
      </c>
      <c r="E591" s="334" t="s">
        <v>1344</v>
      </c>
      <c r="F591" s="334" t="s">
        <v>1346</v>
      </c>
      <c r="G591" s="516" t="s">
        <v>49</v>
      </c>
      <c r="H591" s="398" t="s">
        <v>1327</v>
      </c>
      <c r="I591" s="343"/>
      <c r="J591" s="344"/>
      <c r="K591" s="219" t="s">
        <v>147</v>
      </c>
      <c r="L591" s="349"/>
      <c r="M591" s="343"/>
      <c r="N591" s="349"/>
      <c r="O591" s="334" t="s">
        <v>25</v>
      </c>
      <c r="P591" s="354"/>
      <c r="Q591" s="403"/>
      <c r="R591" s="406">
        <v>0</v>
      </c>
      <c r="S591" s="406">
        <v>-0.47</v>
      </c>
      <c r="T591" s="425"/>
      <c r="U591" s="71"/>
      <c r="V591" s="408">
        <v>-0.28999999999999998</v>
      </c>
      <c r="W591" s="410">
        <v>0.43</v>
      </c>
      <c r="X591" s="410">
        <v>-0.61</v>
      </c>
      <c r="Y591" s="428">
        <v>0.34</v>
      </c>
      <c r="Z591" s="429">
        <v>0.22</v>
      </c>
      <c r="AA591" s="429">
        <v>0.05</v>
      </c>
      <c r="AB591" s="368">
        <v>0</v>
      </c>
      <c r="AC591" s="368">
        <v>0</v>
      </c>
      <c r="AD591" s="368">
        <v>0</v>
      </c>
      <c r="AE591" s="368">
        <v>0</v>
      </c>
      <c r="AF591" s="368">
        <v>0</v>
      </c>
      <c r="AG591" s="368">
        <v>0</v>
      </c>
      <c r="AH591" s="367">
        <f t="shared" si="31"/>
        <v>0.14000000000000007</v>
      </c>
      <c r="AI591" s="362">
        <f>ERP_5[[#This Row],[2026 Working Total]]-ERP_5[[#This Row],[LE2 Final Submission]]</f>
        <v>0.6100000000000001</v>
      </c>
      <c r="AJ591" s="227">
        <v>0</v>
      </c>
      <c r="AK591" s="227">
        <f t="shared" si="30"/>
        <v>0.05</v>
      </c>
      <c r="AL591" s="374">
        <f>SUM(ERP_5[[#This Row],[AP01]:[AP06]])-SUM(ERP_5[[#This Row],[AP01 LE2]:[AP06 LE2]])</f>
        <v>0.6100000000000001</v>
      </c>
      <c r="AM591" s="80"/>
      <c r="AN591" s="79">
        <f>ERP_5[[#This Row],[2026 Working Total to Budget/LE]]-ERP_5[[#This Row],[Giveback]]</f>
        <v>0.6100000000000001</v>
      </c>
      <c r="AO591" s="81"/>
      <c r="AP591" s="375">
        <v>-0.28999999999999998</v>
      </c>
      <c r="AQ591" s="375">
        <v>0.43</v>
      </c>
      <c r="AR591" s="375">
        <v>-0.61</v>
      </c>
      <c r="AS591" s="375">
        <v>0</v>
      </c>
      <c r="AT591" s="375">
        <v>0</v>
      </c>
      <c r="AU591" s="375">
        <v>0</v>
      </c>
      <c r="AV591" s="375">
        <v>0</v>
      </c>
      <c r="AW591" s="375">
        <v>0</v>
      </c>
      <c r="AX591" s="375">
        <v>0</v>
      </c>
      <c r="AY591" s="375">
        <v>0</v>
      </c>
      <c r="AZ591" s="375">
        <v>0</v>
      </c>
      <c r="BA591" s="375">
        <v>0</v>
      </c>
      <c r="BB591" s="375">
        <v>-0.47</v>
      </c>
      <c r="BC591" s="227">
        <v>-0.28999999999999998</v>
      </c>
      <c r="BD591" s="227">
        <v>0.43</v>
      </c>
      <c r="BE591" s="227">
        <v>-0.61</v>
      </c>
      <c r="BF591" s="227">
        <v>0</v>
      </c>
      <c r="BG591" s="227">
        <v>0</v>
      </c>
      <c r="BH591" s="227">
        <v>0</v>
      </c>
      <c r="BI591" s="227">
        <v>0</v>
      </c>
      <c r="BJ591" s="227">
        <v>0</v>
      </c>
      <c r="BK591" s="227">
        <v>0</v>
      </c>
      <c r="BL591" s="227">
        <v>0</v>
      </c>
      <c r="BM591" s="227">
        <v>0</v>
      </c>
      <c r="BN591" s="227">
        <v>0</v>
      </c>
      <c r="BO591" s="227">
        <v>-0.47</v>
      </c>
    </row>
    <row r="592" spans="1:67" ht="15" customHeight="1">
      <c r="A592" s="215" t="s">
        <v>1987</v>
      </c>
      <c r="B592" s="215" t="s">
        <v>512</v>
      </c>
      <c r="C592" s="150" t="s">
        <v>1136</v>
      </c>
      <c r="D592" s="334" t="s">
        <v>1345</v>
      </c>
      <c r="E592" s="334" t="s">
        <v>1344</v>
      </c>
      <c r="F592" s="334" t="s">
        <v>1346</v>
      </c>
      <c r="G592" s="516" t="s">
        <v>389</v>
      </c>
      <c r="H592" s="398" t="s">
        <v>1327</v>
      </c>
      <c r="I592" s="343"/>
      <c r="J592" s="344"/>
      <c r="K592" s="219" t="s">
        <v>147</v>
      </c>
      <c r="L592" s="349"/>
      <c r="M592" s="343"/>
      <c r="N592" s="349"/>
      <c r="O592" s="334" t="s">
        <v>25</v>
      </c>
      <c r="P592" s="354"/>
      <c r="Q592" s="403"/>
      <c r="R592" s="406">
        <v>0</v>
      </c>
      <c r="S592" s="406">
        <v>799.29000000000008</v>
      </c>
      <c r="T592" s="430"/>
      <c r="U592" s="137"/>
      <c r="V592" s="408">
        <v>-79.28</v>
      </c>
      <c r="W592" s="410">
        <v>124.37</v>
      </c>
      <c r="X592" s="410">
        <v>754.2</v>
      </c>
      <c r="Y592" s="428">
        <v>171.12</v>
      </c>
      <c r="Z592" s="429">
        <v>538.97</v>
      </c>
      <c r="AA592" s="429">
        <v>255.20999999999992</v>
      </c>
      <c r="AB592" s="368">
        <v>0</v>
      </c>
      <c r="AC592" s="368">
        <v>0</v>
      </c>
      <c r="AD592" s="368">
        <v>0</v>
      </c>
      <c r="AE592" s="368">
        <v>0</v>
      </c>
      <c r="AF592" s="368">
        <v>0</v>
      </c>
      <c r="AG592" s="368">
        <v>0</v>
      </c>
      <c r="AH592" s="367">
        <f t="shared" si="31"/>
        <v>1764.5900000000001</v>
      </c>
      <c r="AI592" s="362">
        <f>ERP_5[[#This Row],[2026 Working Total]]-ERP_5[[#This Row],[LE2 Final Submission]]</f>
        <v>965.30000000000007</v>
      </c>
      <c r="AJ592" s="227">
        <v>0</v>
      </c>
      <c r="AK592" s="227">
        <f t="shared" si="30"/>
        <v>255.20999999999992</v>
      </c>
      <c r="AL592" s="374">
        <f>SUM(ERP_5[[#This Row],[AP01]:[AP06]])-SUM(ERP_5[[#This Row],[AP01 LE2]:[AP06 LE2]])</f>
        <v>965.30000000000007</v>
      </c>
      <c r="AM592" s="80"/>
      <c r="AN592" s="79">
        <f>ERP_5[[#This Row],[2026 Working Total to Budget/LE]]-ERP_5[[#This Row],[Giveback]]</f>
        <v>965.30000000000007</v>
      </c>
      <c r="AO592" s="81"/>
      <c r="AP592" s="375">
        <v>-79.28</v>
      </c>
      <c r="AQ592" s="375">
        <v>124.37</v>
      </c>
      <c r="AR592" s="375">
        <v>754.2</v>
      </c>
      <c r="AS592" s="375">
        <v>0</v>
      </c>
      <c r="AT592" s="375">
        <v>0</v>
      </c>
      <c r="AU592" s="375">
        <v>0</v>
      </c>
      <c r="AV592" s="375">
        <v>0</v>
      </c>
      <c r="AW592" s="375">
        <v>0</v>
      </c>
      <c r="AX592" s="375">
        <v>0</v>
      </c>
      <c r="AY592" s="375">
        <v>0</v>
      </c>
      <c r="AZ592" s="375">
        <v>0</v>
      </c>
      <c r="BA592" s="375">
        <v>0</v>
      </c>
      <c r="BB592" s="375">
        <v>799.29000000000008</v>
      </c>
      <c r="BC592" s="227">
        <v>-79.28</v>
      </c>
      <c r="BD592" s="227">
        <v>124.37</v>
      </c>
      <c r="BE592" s="227">
        <v>754.2</v>
      </c>
      <c r="BF592" s="227">
        <v>0</v>
      </c>
      <c r="BG592" s="227">
        <v>0</v>
      </c>
      <c r="BH592" s="227">
        <v>0</v>
      </c>
      <c r="BI592" s="227">
        <v>0</v>
      </c>
      <c r="BJ592" s="227">
        <v>0</v>
      </c>
      <c r="BK592" s="227">
        <v>0</v>
      </c>
      <c r="BL592" s="227">
        <v>0</v>
      </c>
      <c r="BM592" s="227">
        <v>0</v>
      </c>
      <c r="BN592" s="227">
        <v>0</v>
      </c>
      <c r="BO592" s="227">
        <v>799.29000000000008</v>
      </c>
    </row>
    <row r="593" spans="1:67" ht="15" customHeight="1">
      <c r="A593" s="215" t="s">
        <v>2646</v>
      </c>
      <c r="B593" s="215" t="s">
        <v>931</v>
      </c>
      <c r="C593" s="150" t="s">
        <v>1136</v>
      </c>
      <c r="D593" s="334" t="s">
        <v>1345</v>
      </c>
      <c r="E593" s="334" t="s">
        <v>1344</v>
      </c>
      <c r="F593" s="334" t="s">
        <v>1346</v>
      </c>
      <c r="G593" s="516" t="s">
        <v>639</v>
      </c>
      <c r="H593" s="398" t="s">
        <v>1327</v>
      </c>
      <c r="I593" s="343"/>
      <c r="J593" s="344"/>
      <c r="K593" s="219" t="s">
        <v>147</v>
      </c>
      <c r="L593" s="349"/>
      <c r="M593" s="343"/>
      <c r="N593" s="349"/>
      <c r="O593" s="334" t="s">
        <v>25</v>
      </c>
      <c r="P593" s="354"/>
      <c r="Q593" s="403"/>
      <c r="R593" s="406">
        <v>0</v>
      </c>
      <c r="S593" s="406">
        <v>44.39</v>
      </c>
      <c r="T593" s="430"/>
      <c r="U593" s="137"/>
      <c r="V593" s="408">
        <v>44.95</v>
      </c>
      <c r="W593" s="410">
        <v>-0.67</v>
      </c>
      <c r="X593" s="410">
        <v>0.11</v>
      </c>
      <c r="Y593" s="428">
        <v>0.56000000000000005</v>
      </c>
      <c r="Z593" s="429">
        <v>-0.46</v>
      </c>
      <c r="AA593" s="429">
        <v>0.08</v>
      </c>
      <c r="AB593" s="368">
        <v>0</v>
      </c>
      <c r="AC593" s="368">
        <v>0</v>
      </c>
      <c r="AD593" s="368">
        <v>0</v>
      </c>
      <c r="AE593" s="368">
        <v>0</v>
      </c>
      <c r="AF593" s="368">
        <v>0</v>
      </c>
      <c r="AG593" s="368">
        <v>0</v>
      </c>
      <c r="AH593" s="367">
        <f t="shared" si="31"/>
        <v>44.57</v>
      </c>
      <c r="AI593" s="362">
        <f>ERP_5[[#This Row],[2026 Working Total]]-ERP_5[[#This Row],[LE2 Final Submission]]</f>
        <v>0.17999999999999972</v>
      </c>
      <c r="AJ593" s="227">
        <v>0</v>
      </c>
      <c r="AK593" s="227">
        <f t="shared" si="30"/>
        <v>0.08</v>
      </c>
      <c r="AL593" s="374">
        <f>SUM(ERP_5[[#This Row],[AP01]:[AP06]])-SUM(ERP_5[[#This Row],[AP01 LE2]:[AP06 LE2]])</f>
        <v>0.17999999999999972</v>
      </c>
      <c r="AM593" s="80"/>
      <c r="AN593" s="79">
        <f>ERP_5[[#This Row],[2026 Working Total to Budget/LE]]-ERP_5[[#This Row],[Giveback]]</f>
        <v>0.17999999999999972</v>
      </c>
      <c r="AO593" s="81"/>
      <c r="AP593" s="375">
        <v>44.95</v>
      </c>
      <c r="AQ593" s="375">
        <v>-0.67</v>
      </c>
      <c r="AR593" s="375">
        <v>0.11</v>
      </c>
      <c r="AS593" s="375">
        <v>0</v>
      </c>
      <c r="AT593" s="375">
        <v>0</v>
      </c>
      <c r="AU593" s="375">
        <v>0</v>
      </c>
      <c r="AV593" s="375">
        <v>0</v>
      </c>
      <c r="AW593" s="375">
        <v>0</v>
      </c>
      <c r="AX593" s="375">
        <v>0</v>
      </c>
      <c r="AY593" s="375">
        <v>0</v>
      </c>
      <c r="AZ593" s="375">
        <v>0</v>
      </c>
      <c r="BA593" s="375">
        <v>0</v>
      </c>
      <c r="BB593" s="375">
        <v>44.39</v>
      </c>
      <c r="BC593" s="227">
        <v>44.95</v>
      </c>
      <c r="BD593" s="227">
        <v>-0.67</v>
      </c>
      <c r="BE593" s="227">
        <v>0.11</v>
      </c>
      <c r="BF593" s="227">
        <v>0</v>
      </c>
      <c r="BG593" s="227">
        <v>0</v>
      </c>
      <c r="BH593" s="227">
        <v>0</v>
      </c>
      <c r="BI593" s="227">
        <v>0</v>
      </c>
      <c r="BJ593" s="227">
        <v>0</v>
      </c>
      <c r="BK593" s="227">
        <v>0</v>
      </c>
      <c r="BL593" s="227">
        <v>0</v>
      </c>
      <c r="BM593" s="227">
        <v>0</v>
      </c>
      <c r="BN593" s="227">
        <v>0</v>
      </c>
      <c r="BO593" s="227">
        <v>44.39</v>
      </c>
    </row>
    <row r="594" spans="1:67" ht="15" customHeight="1">
      <c r="A594" s="215" t="s">
        <v>2032</v>
      </c>
      <c r="B594" s="215" t="s">
        <v>538</v>
      </c>
      <c r="C594" s="150" t="s">
        <v>1136</v>
      </c>
      <c r="D594" s="334" t="s">
        <v>1345</v>
      </c>
      <c r="E594" s="334" t="s">
        <v>1345</v>
      </c>
      <c r="F594" s="334" t="s">
        <v>1346</v>
      </c>
      <c r="G594" s="516" t="s">
        <v>389</v>
      </c>
      <c r="H594" s="398" t="s">
        <v>1327</v>
      </c>
      <c r="I594" s="343"/>
      <c r="J594" s="344"/>
      <c r="K594" s="219" t="s">
        <v>147</v>
      </c>
      <c r="L594" s="349"/>
      <c r="M594" s="343"/>
      <c r="N594" s="349"/>
      <c r="O594" s="334" t="s">
        <v>25</v>
      </c>
      <c r="P594" s="354"/>
      <c r="Q594" s="403"/>
      <c r="R594" s="406">
        <v>0</v>
      </c>
      <c r="S594" s="406">
        <v>0.11999999999999997</v>
      </c>
      <c r="T594" s="425"/>
      <c r="U594" s="71"/>
      <c r="V594" s="408">
        <v>-0.3</v>
      </c>
      <c r="W594" s="410">
        <v>0.57999999999999996</v>
      </c>
      <c r="X594" s="410">
        <v>-0.16</v>
      </c>
      <c r="Y594" s="428">
        <v>0.12</v>
      </c>
      <c r="Z594" s="429">
        <v>-0.5</v>
      </c>
      <c r="AA594" s="429">
        <v>0.41</v>
      </c>
      <c r="AB594" s="368">
        <v>0</v>
      </c>
      <c r="AC594" s="368">
        <v>0</v>
      </c>
      <c r="AD594" s="368">
        <v>0</v>
      </c>
      <c r="AE594" s="368">
        <v>0</v>
      </c>
      <c r="AF594" s="368">
        <v>0</v>
      </c>
      <c r="AG594" s="368">
        <v>0</v>
      </c>
      <c r="AH594" s="367">
        <f t="shared" si="31"/>
        <v>0.14999999999999997</v>
      </c>
      <c r="AI594" s="362">
        <f>ERP_5[[#This Row],[2026 Working Total]]-ERP_5[[#This Row],[LE2 Final Submission]]</f>
        <v>0.03</v>
      </c>
      <c r="AJ594" s="227">
        <v>0</v>
      </c>
      <c r="AK594" s="227">
        <f t="shared" si="30"/>
        <v>0.41</v>
      </c>
      <c r="AL594" s="374">
        <f>SUM(ERP_5[[#This Row],[AP01]:[AP06]])-SUM(ERP_5[[#This Row],[AP01 LE2]:[AP06 LE2]])</f>
        <v>0.03</v>
      </c>
      <c r="AM594" s="80"/>
      <c r="AN594" s="79">
        <f>ERP_5[[#This Row],[2026 Working Total to Budget/LE]]-ERP_5[[#This Row],[Giveback]]</f>
        <v>0.03</v>
      </c>
      <c r="AO594" s="81"/>
      <c r="AP594" s="375">
        <v>-0.3</v>
      </c>
      <c r="AQ594" s="375">
        <v>0.57999999999999996</v>
      </c>
      <c r="AR594" s="375">
        <v>-0.16</v>
      </c>
      <c r="AS594" s="375">
        <v>0</v>
      </c>
      <c r="AT594" s="375">
        <v>0</v>
      </c>
      <c r="AU594" s="375">
        <v>0</v>
      </c>
      <c r="AV594" s="375">
        <v>0</v>
      </c>
      <c r="AW594" s="375">
        <v>0</v>
      </c>
      <c r="AX594" s="375">
        <v>0</v>
      </c>
      <c r="AY594" s="375">
        <v>0</v>
      </c>
      <c r="AZ594" s="375">
        <v>0</v>
      </c>
      <c r="BA594" s="375">
        <v>0</v>
      </c>
      <c r="BB594" s="375">
        <v>0.11999999999999997</v>
      </c>
      <c r="BC594" s="227">
        <v>-0.3</v>
      </c>
      <c r="BD594" s="227">
        <v>0.57999999999999996</v>
      </c>
      <c r="BE594" s="227">
        <v>-0.16</v>
      </c>
      <c r="BF594" s="227">
        <v>0</v>
      </c>
      <c r="BG594" s="227">
        <v>0</v>
      </c>
      <c r="BH594" s="227">
        <v>0</v>
      </c>
      <c r="BI594" s="227">
        <v>0</v>
      </c>
      <c r="BJ594" s="227">
        <v>0</v>
      </c>
      <c r="BK594" s="227">
        <v>0</v>
      </c>
      <c r="BL594" s="227">
        <v>0</v>
      </c>
      <c r="BM594" s="227">
        <v>0</v>
      </c>
      <c r="BN594" s="227">
        <v>0</v>
      </c>
      <c r="BO594" s="227">
        <v>0.11999999999999997</v>
      </c>
    </row>
    <row r="595" spans="1:67" ht="15" customHeight="1">
      <c r="A595" s="215" t="s">
        <v>2699</v>
      </c>
      <c r="B595" s="215" t="s">
        <v>955</v>
      </c>
      <c r="C595" s="150" t="s">
        <v>1136</v>
      </c>
      <c r="D595" s="334" t="s">
        <v>1345</v>
      </c>
      <c r="E595" s="334" t="s">
        <v>1345</v>
      </c>
      <c r="F595" s="334" t="s">
        <v>1346</v>
      </c>
      <c r="G595" s="516" t="s">
        <v>639</v>
      </c>
      <c r="H595" s="398" t="s">
        <v>1327</v>
      </c>
      <c r="I595" s="343"/>
      <c r="J595" s="344"/>
      <c r="K595" s="219" t="s">
        <v>147</v>
      </c>
      <c r="L595" s="349"/>
      <c r="M595" s="343"/>
      <c r="N595" s="349"/>
      <c r="O595" s="334" t="s">
        <v>25</v>
      </c>
      <c r="P595" s="354"/>
      <c r="Q595" s="403"/>
      <c r="R595" s="406">
        <v>0</v>
      </c>
      <c r="S595" s="406">
        <v>0.32999999999999996</v>
      </c>
      <c r="T595" s="425"/>
      <c r="U595" s="71"/>
      <c r="V595" s="408"/>
      <c r="W595" s="410">
        <v>0.24</v>
      </c>
      <c r="X595" s="410">
        <v>0.09</v>
      </c>
      <c r="Y595" s="428">
        <v>0</v>
      </c>
      <c r="Z595" s="429">
        <v>0</v>
      </c>
      <c r="AA595" s="429">
        <v>-0.3</v>
      </c>
      <c r="AB595" s="368">
        <v>0</v>
      </c>
      <c r="AC595" s="368">
        <v>0</v>
      </c>
      <c r="AD595" s="368">
        <v>0</v>
      </c>
      <c r="AE595" s="368">
        <v>0</v>
      </c>
      <c r="AF595" s="368">
        <v>0</v>
      </c>
      <c r="AG595" s="368">
        <v>0</v>
      </c>
      <c r="AH595" s="367">
        <f t="shared" si="31"/>
        <v>2.9999999999999971E-2</v>
      </c>
      <c r="AI595" s="362">
        <f>ERP_5[[#This Row],[2026 Working Total]]-ERP_5[[#This Row],[LE2 Final Submission]]</f>
        <v>-0.3</v>
      </c>
      <c r="AJ595" s="227">
        <v>0</v>
      </c>
      <c r="AK595" s="227">
        <f t="shared" si="30"/>
        <v>-0.3</v>
      </c>
      <c r="AL595" s="374">
        <f>SUM(ERP_5[[#This Row],[AP01]:[AP06]])-SUM(ERP_5[[#This Row],[AP01 LE2]:[AP06 LE2]])</f>
        <v>-0.3</v>
      </c>
      <c r="AM595" s="80"/>
      <c r="AN595" s="79">
        <f>ERP_5[[#This Row],[2026 Working Total to Budget/LE]]-ERP_5[[#This Row],[Giveback]]</f>
        <v>-0.3</v>
      </c>
      <c r="AO595" s="81"/>
      <c r="AP595" s="375"/>
      <c r="AQ595" s="375">
        <v>0.24</v>
      </c>
      <c r="AR595" s="375">
        <v>0.09</v>
      </c>
      <c r="AS595" s="375">
        <v>0</v>
      </c>
      <c r="AT595" s="375">
        <v>0</v>
      </c>
      <c r="AU595" s="375">
        <v>0</v>
      </c>
      <c r="AV595" s="375">
        <v>0</v>
      </c>
      <c r="AW595" s="375">
        <v>0</v>
      </c>
      <c r="AX595" s="375">
        <v>0</v>
      </c>
      <c r="AY595" s="375">
        <v>0</v>
      </c>
      <c r="AZ595" s="375">
        <v>0</v>
      </c>
      <c r="BA595" s="375">
        <v>0</v>
      </c>
      <c r="BB595" s="375">
        <v>0.32999999999999996</v>
      </c>
      <c r="BC595" s="227"/>
      <c r="BD595" s="227">
        <v>0.24</v>
      </c>
      <c r="BE595" s="227">
        <v>0.09</v>
      </c>
      <c r="BF595" s="227">
        <v>0</v>
      </c>
      <c r="BG595" s="227">
        <v>0</v>
      </c>
      <c r="BH595" s="227">
        <v>0</v>
      </c>
      <c r="BI595" s="227">
        <v>0</v>
      </c>
      <c r="BJ595" s="227">
        <v>0</v>
      </c>
      <c r="BK595" s="227">
        <v>0</v>
      </c>
      <c r="BL595" s="227">
        <v>0</v>
      </c>
      <c r="BM595" s="227">
        <v>0</v>
      </c>
      <c r="BN595" s="227">
        <v>0</v>
      </c>
      <c r="BO595" s="227">
        <v>0.32999999999999996</v>
      </c>
    </row>
    <row r="596" spans="1:67" ht="15" customHeight="1">
      <c r="A596" s="215" t="s">
        <v>1476</v>
      </c>
      <c r="B596" s="215" t="s">
        <v>226</v>
      </c>
      <c r="C596" s="150" t="s">
        <v>1136</v>
      </c>
      <c r="D596" s="334" t="s">
        <v>1345</v>
      </c>
      <c r="E596" s="334" t="s">
        <v>1450</v>
      </c>
      <c r="F596" s="334" t="s">
        <v>1346</v>
      </c>
      <c r="G596" s="516" t="s">
        <v>49</v>
      </c>
      <c r="H596" s="398" t="s">
        <v>1327</v>
      </c>
      <c r="I596" s="343"/>
      <c r="J596" s="344"/>
      <c r="K596" s="219" t="s">
        <v>147</v>
      </c>
      <c r="L596" s="349"/>
      <c r="M596" s="343"/>
      <c r="N596" s="349"/>
      <c r="O596" s="334" t="s">
        <v>25</v>
      </c>
      <c r="P596" s="354"/>
      <c r="Q596" s="403"/>
      <c r="R596" s="406">
        <v>0</v>
      </c>
      <c r="S596" s="406">
        <v>-0.32999999999999996</v>
      </c>
      <c r="T596" s="425"/>
      <c r="U596" s="71"/>
      <c r="V596" s="408">
        <v>-0.15</v>
      </c>
      <c r="W596" s="410">
        <v>0.23</v>
      </c>
      <c r="X596" s="410">
        <v>-0.41</v>
      </c>
      <c r="Y596" s="428">
        <v>0.8</v>
      </c>
      <c r="Z596" s="429">
        <v>-0.17</v>
      </c>
      <c r="AA596" s="429">
        <v>-0.68</v>
      </c>
      <c r="AB596" s="368">
        <v>0</v>
      </c>
      <c r="AC596" s="368">
        <v>0</v>
      </c>
      <c r="AD596" s="368">
        <v>0</v>
      </c>
      <c r="AE596" s="368">
        <v>0</v>
      </c>
      <c r="AF596" s="368">
        <v>0</v>
      </c>
      <c r="AG596" s="368">
        <v>0</v>
      </c>
      <c r="AH596" s="367">
        <f t="shared" si="31"/>
        <v>-0.38</v>
      </c>
      <c r="AI596" s="362">
        <f>ERP_5[[#This Row],[2026 Working Total]]-ERP_5[[#This Row],[LE2 Final Submission]]</f>
        <v>-5.0000000000000044E-2</v>
      </c>
      <c r="AJ596" s="227">
        <v>0</v>
      </c>
      <c r="AK596" s="227">
        <f t="shared" si="30"/>
        <v>-0.68</v>
      </c>
      <c r="AL596" s="374">
        <f>SUM(ERP_5[[#This Row],[AP01]:[AP06]])-SUM(ERP_5[[#This Row],[AP01 LE2]:[AP06 LE2]])</f>
        <v>-5.0000000000000044E-2</v>
      </c>
      <c r="AM596" s="80"/>
      <c r="AN596" s="79">
        <f>ERP_5[[#This Row],[2026 Working Total to Budget/LE]]-ERP_5[[#This Row],[Giveback]]</f>
        <v>-5.0000000000000044E-2</v>
      </c>
      <c r="AO596" s="81"/>
      <c r="AP596" s="375">
        <v>-0.15</v>
      </c>
      <c r="AQ596" s="375">
        <v>0.23</v>
      </c>
      <c r="AR596" s="375">
        <v>-0.41</v>
      </c>
      <c r="AS596" s="375">
        <v>0</v>
      </c>
      <c r="AT596" s="375">
        <v>0</v>
      </c>
      <c r="AU596" s="375">
        <v>0</v>
      </c>
      <c r="AV596" s="375">
        <v>0</v>
      </c>
      <c r="AW596" s="375">
        <v>0</v>
      </c>
      <c r="AX596" s="375">
        <v>0</v>
      </c>
      <c r="AY596" s="375">
        <v>0</v>
      </c>
      <c r="AZ596" s="375">
        <v>0</v>
      </c>
      <c r="BA596" s="375">
        <v>0</v>
      </c>
      <c r="BB596" s="375">
        <v>-0.32999999999999996</v>
      </c>
      <c r="BC596" s="227">
        <v>-0.15</v>
      </c>
      <c r="BD596" s="227">
        <v>0.23</v>
      </c>
      <c r="BE596" s="227">
        <v>-0.41</v>
      </c>
      <c r="BF596" s="227">
        <v>0</v>
      </c>
      <c r="BG596" s="227">
        <v>0</v>
      </c>
      <c r="BH596" s="227">
        <v>0</v>
      </c>
      <c r="BI596" s="227">
        <v>0</v>
      </c>
      <c r="BJ596" s="227">
        <v>0</v>
      </c>
      <c r="BK596" s="227">
        <v>0</v>
      </c>
      <c r="BL596" s="227">
        <v>0</v>
      </c>
      <c r="BM596" s="227">
        <v>0</v>
      </c>
      <c r="BN596" s="227">
        <v>0</v>
      </c>
      <c r="BO596" s="227">
        <v>-0.32999999999999996</v>
      </c>
    </row>
    <row r="597" spans="1:67" ht="15" customHeight="1">
      <c r="A597" s="215" t="s">
        <v>2041</v>
      </c>
      <c r="B597" s="215" t="s">
        <v>544</v>
      </c>
      <c r="C597" s="150" t="s">
        <v>1136</v>
      </c>
      <c r="D597" s="334" t="s">
        <v>1345</v>
      </c>
      <c r="E597" s="334" t="s">
        <v>1450</v>
      </c>
      <c r="F597" s="334" t="s">
        <v>1346</v>
      </c>
      <c r="G597" s="516" t="s">
        <v>389</v>
      </c>
      <c r="H597" s="398" t="s">
        <v>1327</v>
      </c>
      <c r="I597" s="343"/>
      <c r="J597" s="344"/>
      <c r="K597" s="219" t="s">
        <v>147</v>
      </c>
      <c r="L597" s="349"/>
      <c r="M597" s="343"/>
      <c r="N597" s="349"/>
      <c r="O597" s="334" t="s">
        <v>25</v>
      </c>
      <c r="P597" s="354"/>
      <c r="Q597" s="403"/>
      <c r="R597" s="406">
        <v>0</v>
      </c>
      <c r="S597" s="406">
        <v>0.43</v>
      </c>
      <c r="T597" s="425"/>
      <c r="U597" s="71"/>
      <c r="V597" s="408">
        <v>0.32</v>
      </c>
      <c r="W597" s="410">
        <v>0.11</v>
      </c>
      <c r="X597" s="412">
        <v>0</v>
      </c>
      <c r="Y597" s="428">
        <v>0.06</v>
      </c>
      <c r="Z597" s="429">
        <v>-0.33</v>
      </c>
      <c r="AA597" s="429">
        <v>-0.46</v>
      </c>
      <c r="AB597" s="368">
        <v>0</v>
      </c>
      <c r="AC597" s="368">
        <v>0</v>
      </c>
      <c r="AD597" s="368">
        <v>0</v>
      </c>
      <c r="AE597" s="368">
        <v>0</v>
      </c>
      <c r="AF597" s="368">
        <v>0</v>
      </c>
      <c r="AG597" s="368">
        <v>0</v>
      </c>
      <c r="AH597" s="367">
        <f t="shared" si="31"/>
        <v>-0.30000000000000004</v>
      </c>
      <c r="AI597" s="362">
        <f>ERP_5[[#This Row],[2026 Working Total]]-ERP_5[[#This Row],[LE2 Final Submission]]</f>
        <v>-0.73</v>
      </c>
      <c r="AJ597" s="227">
        <v>0</v>
      </c>
      <c r="AK597" s="227">
        <f t="shared" si="30"/>
        <v>-0.46</v>
      </c>
      <c r="AL597" s="374">
        <f>SUM(ERP_5[[#This Row],[AP01]:[AP06]])-SUM(ERP_5[[#This Row],[AP01 LE2]:[AP06 LE2]])</f>
        <v>-0.73</v>
      </c>
      <c r="AM597" s="80"/>
      <c r="AN597" s="79">
        <f>ERP_5[[#This Row],[2026 Working Total to Budget/LE]]-ERP_5[[#This Row],[Giveback]]</f>
        <v>-0.73</v>
      </c>
      <c r="AO597" s="81"/>
      <c r="AP597" s="375">
        <v>0.32</v>
      </c>
      <c r="AQ597" s="375">
        <v>0.11</v>
      </c>
      <c r="AR597" s="375">
        <v>0</v>
      </c>
      <c r="AS597" s="375">
        <v>0</v>
      </c>
      <c r="AT597" s="375">
        <v>0</v>
      </c>
      <c r="AU597" s="375">
        <v>0</v>
      </c>
      <c r="AV597" s="375">
        <v>0</v>
      </c>
      <c r="AW597" s="375">
        <v>0</v>
      </c>
      <c r="AX597" s="375">
        <v>0</v>
      </c>
      <c r="AY597" s="375">
        <v>0</v>
      </c>
      <c r="AZ597" s="375">
        <v>0</v>
      </c>
      <c r="BA597" s="375">
        <v>0</v>
      </c>
      <c r="BB597" s="375">
        <v>0.43</v>
      </c>
      <c r="BC597" s="227">
        <v>0.32</v>
      </c>
      <c r="BD597" s="227">
        <v>0.11</v>
      </c>
      <c r="BE597" s="227">
        <v>0</v>
      </c>
      <c r="BF597" s="227">
        <v>0</v>
      </c>
      <c r="BG597" s="227">
        <v>0</v>
      </c>
      <c r="BH597" s="227">
        <v>0</v>
      </c>
      <c r="BI597" s="227">
        <v>0</v>
      </c>
      <c r="BJ597" s="227">
        <v>0</v>
      </c>
      <c r="BK597" s="227">
        <v>0</v>
      </c>
      <c r="BL597" s="227">
        <v>0</v>
      </c>
      <c r="BM597" s="227">
        <v>0</v>
      </c>
      <c r="BN597" s="227">
        <v>0</v>
      </c>
      <c r="BO597" s="227">
        <v>0.43</v>
      </c>
    </row>
    <row r="598" spans="1:67" ht="15" customHeight="1">
      <c r="A598" s="215" t="s">
        <v>2704</v>
      </c>
      <c r="B598" s="215" t="s">
        <v>958</v>
      </c>
      <c r="C598" s="150" t="s">
        <v>1136</v>
      </c>
      <c r="D598" s="334" t="s">
        <v>1345</v>
      </c>
      <c r="E598" s="334" t="s">
        <v>1450</v>
      </c>
      <c r="F598" s="334" t="s">
        <v>1346</v>
      </c>
      <c r="G598" s="516" t="s">
        <v>639</v>
      </c>
      <c r="H598" s="398" t="s">
        <v>1327</v>
      </c>
      <c r="I598" s="343"/>
      <c r="J598" s="344"/>
      <c r="K598" s="219" t="s">
        <v>147</v>
      </c>
      <c r="L598" s="349"/>
      <c r="M598" s="343"/>
      <c r="N598" s="349"/>
      <c r="O598" s="334" t="s">
        <v>25</v>
      </c>
      <c r="P598" s="354"/>
      <c r="Q598" s="403"/>
      <c r="R598" s="406">
        <v>0</v>
      </c>
      <c r="S598" s="406">
        <v>-0.13</v>
      </c>
      <c r="T598" s="425"/>
      <c r="U598" s="71"/>
      <c r="V598" s="408"/>
      <c r="W598" s="410">
        <v>-0.03</v>
      </c>
      <c r="X598" s="410">
        <v>-0.1</v>
      </c>
      <c r="Y598" s="428">
        <v>0</v>
      </c>
      <c r="Z598" s="429">
        <v>0</v>
      </c>
      <c r="AA598" s="429">
        <v>0.56999999999999995</v>
      </c>
      <c r="AB598" s="368">
        <v>0</v>
      </c>
      <c r="AC598" s="368">
        <v>0</v>
      </c>
      <c r="AD598" s="368">
        <v>0</v>
      </c>
      <c r="AE598" s="368">
        <v>0</v>
      </c>
      <c r="AF598" s="368">
        <v>0</v>
      </c>
      <c r="AG598" s="368">
        <v>0</v>
      </c>
      <c r="AH598" s="367">
        <f t="shared" si="31"/>
        <v>0.43999999999999995</v>
      </c>
      <c r="AI598" s="362">
        <f>ERP_5[[#This Row],[2026 Working Total]]-ERP_5[[#This Row],[LE2 Final Submission]]</f>
        <v>0.56999999999999995</v>
      </c>
      <c r="AJ598" s="227">
        <v>0</v>
      </c>
      <c r="AK598" s="227">
        <f t="shared" si="30"/>
        <v>0.56999999999999995</v>
      </c>
      <c r="AL598" s="374">
        <f>SUM(ERP_5[[#This Row],[AP01]:[AP06]])-SUM(ERP_5[[#This Row],[AP01 LE2]:[AP06 LE2]])</f>
        <v>0.56999999999999995</v>
      </c>
      <c r="AM598" s="80"/>
      <c r="AN598" s="79">
        <f>ERP_5[[#This Row],[2026 Working Total to Budget/LE]]-ERP_5[[#This Row],[Giveback]]</f>
        <v>0.56999999999999995</v>
      </c>
      <c r="AO598" s="81"/>
      <c r="AP598" s="375"/>
      <c r="AQ598" s="375">
        <v>-0.03</v>
      </c>
      <c r="AR598" s="375">
        <v>-0.1</v>
      </c>
      <c r="AS598" s="375">
        <v>0</v>
      </c>
      <c r="AT598" s="375">
        <v>0</v>
      </c>
      <c r="AU598" s="375">
        <v>0</v>
      </c>
      <c r="AV598" s="375">
        <v>0</v>
      </c>
      <c r="AW598" s="375">
        <v>0</v>
      </c>
      <c r="AX598" s="375">
        <v>0</v>
      </c>
      <c r="AY598" s="375">
        <v>0</v>
      </c>
      <c r="AZ598" s="375">
        <v>0</v>
      </c>
      <c r="BA598" s="375">
        <v>0</v>
      </c>
      <c r="BB598" s="375">
        <v>-0.13</v>
      </c>
      <c r="BC598" s="227"/>
      <c r="BD598" s="227">
        <v>-0.03</v>
      </c>
      <c r="BE598" s="227">
        <v>-0.1</v>
      </c>
      <c r="BF598" s="227">
        <v>0</v>
      </c>
      <c r="BG598" s="227">
        <v>0</v>
      </c>
      <c r="BH598" s="227">
        <v>0</v>
      </c>
      <c r="BI598" s="227">
        <v>0</v>
      </c>
      <c r="BJ598" s="227">
        <v>0</v>
      </c>
      <c r="BK598" s="227">
        <v>0</v>
      </c>
      <c r="BL598" s="227">
        <v>0</v>
      </c>
      <c r="BM598" s="227">
        <v>0</v>
      </c>
      <c r="BN598" s="227">
        <v>0</v>
      </c>
      <c r="BO598" s="227">
        <v>-0.13</v>
      </c>
    </row>
    <row r="599" spans="1:67" ht="15" customHeight="1">
      <c r="A599" s="215" t="s">
        <v>2063</v>
      </c>
      <c r="B599" s="215" t="s">
        <v>554</v>
      </c>
      <c r="C599" s="150" t="s">
        <v>1136</v>
      </c>
      <c r="D599" s="334" t="s">
        <v>1345</v>
      </c>
      <c r="E599" s="334" t="s">
        <v>1480</v>
      </c>
      <c r="F599" s="334" t="s">
        <v>1346</v>
      </c>
      <c r="G599" s="516" t="s">
        <v>389</v>
      </c>
      <c r="H599" s="398" t="s">
        <v>1327</v>
      </c>
      <c r="I599" s="343"/>
      <c r="J599" s="344"/>
      <c r="K599" s="219" t="s">
        <v>147</v>
      </c>
      <c r="L599" s="349"/>
      <c r="M599" s="343"/>
      <c r="N599" s="349"/>
      <c r="O599" s="334" t="s">
        <v>25</v>
      </c>
      <c r="P599" s="354"/>
      <c r="Q599" s="403"/>
      <c r="R599" s="406">
        <v>0</v>
      </c>
      <c r="S599" s="406">
        <v>-0.2</v>
      </c>
      <c r="T599" s="430"/>
      <c r="U599" s="137"/>
      <c r="V599" s="408">
        <v>-0.48</v>
      </c>
      <c r="W599" s="410">
        <v>0.28999999999999998</v>
      </c>
      <c r="X599" s="410">
        <v>-0.01</v>
      </c>
      <c r="Y599" s="428">
        <v>0.06</v>
      </c>
      <c r="Z599" s="429">
        <v>0.16</v>
      </c>
      <c r="AA599" s="429">
        <v>0.08</v>
      </c>
      <c r="AB599" s="368">
        <v>0</v>
      </c>
      <c r="AC599" s="368">
        <v>0</v>
      </c>
      <c r="AD599" s="368">
        <v>0</v>
      </c>
      <c r="AE599" s="368">
        <v>0</v>
      </c>
      <c r="AF599" s="368">
        <v>0</v>
      </c>
      <c r="AG599" s="368">
        <v>0</v>
      </c>
      <c r="AH599" s="367">
        <f t="shared" si="31"/>
        <v>9.9999999999999992E-2</v>
      </c>
      <c r="AI599" s="362">
        <f>ERP_5[[#This Row],[2026 Working Total]]-ERP_5[[#This Row],[LE2 Final Submission]]</f>
        <v>0.3</v>
      </c>
      <c r="AJ599" s="227">
        <v>0</v>
      </c>
      <c r="AK599" s="227">
        <f t="shared" si="30"/>
        <v>0.08</v>
      </c>
      <c r="AL599" s="374">
        <f>SUM(ERP_5[[#This Row],[AP01]:[AP06]])-SUM(ERP_5[[#This Row],[AP01 LE2]:[AP06 LE2]])</f>
        <v>0.3</v>
      </c>
      <c r="AM599" s="80"/>
      <c r="AN599" s="79">
        <f>ERP_5[[#This Row],[2026 Working Total to Budget/LE]]-ERP_5[[#This Row],[Giveback]]</f>
        <v>0.3</v>
      </c>
      <c r="AO599" s="81"/>
      <c r="AP599" s="375">
        <v>-0.48</v>
      </c>
      <c r="AQ599" s="375">
        <v>0.28999999999999998</v>
      </c>
      <c r="AR599" s="375">
        <v>-0.01</v>
      </c>
      <c r="AS599" s="375">
        <v>0</v>
      </c>
      <c r="AT599" s="375">
        <v>0</v>
      </c>
      <c r="AU599" s="375">
        <v>0</v>
      </c>
      <c r="AV599" s="375">
        <v>0</v>
      </c>
      <c r="AW599" s="375">
        <v>0</v>
      </c>
      <c r="AX599" s="375">
        <v>0</v>
      </c>
      <c r="AY599" s="375">
        <v>0</v>
      </c>
      <c r="AZ599" s="375">
        <v>0</v>
      </c>
      <c r="BA599" s="375">
        <v>0</v>
      </c>
      <c r="BB599" s="375">
        <v>-0.2</v>
      </c>
      <c r="BC599" s="227">
        <v>-0.48</v>
      </c>
      <c r="BD599" s="227">
        <v>0.28999999999999998</v>
      </c>
      <c r="BE599" s="227">
        <v>-0.01</v>
      </c>
      <c r="BF599" s="227">
        <v>0</v>
      </c>
      <c r="BG599" s="227">
        <v>0</v>
      </c>
      <c r="BH599" s="227">
        <v>0</v>
      </c>
      <c r="BI599" s="227">
        <v>0</v>
      </c>
      <c r="BJ599" s="227">
        <v>0</v>
      </c>
      <c r="BK599" s="227">
        <v>0</v>
      </c>
      <c r="BL599" s="227">
        <v>0</v>
      </c>
      <c r="BM599" s="227">
        <v>0</v>
      </c>
      <c r="BN599" s="227">
        <v>0</v>
      </c>
      <c r="BO599" s="227">
        <v>-0.2</v>
      </c>
    </row>
    <row r="600" spans="1:67" ht="15" customHeight="1">
      <c r="A600" s="215" t="s">
        <v>2740</v>
      </c>
      <c r="B600" s="215" t="s">
        <v>980</v>
      </c>
      <c r="C600" s="150" t="s">
        <v>1136</v>
      </c>
      <c r="D600" s="334" t="s">
        <v>1345</v>
      </c>
      <c r="E600" s="334" t="s">
        <v>1480</v>
      </c>
      <c r="F600" s="334" t="s">
        <v>1346</v>
      </c>
      <c r="G600" s="516" t="s">
        <v>639</v>
      </c>
      <c r="H600" s="398" t="s">
        <v>1327</v>
      </c>
      <c r="I600" s="343"/>
      <c r="J600" s="344"/>
      <c r="K600" s="219" t="s">
        <v>147</v>
      </c>
      <c r="L600" s="349"/>
      <c r="M600" s="343"/>
      <c r="N600" s="349"/>
      <c r="O600" s="334" t="s">
        <v>25</v>
      </c>
      <c r="P600" s="354"/>
      <c r="Q600" s="403"/>
      <c r="R600" s="406">
        <v>0</v>
      </c>
      <c r="S600" s="406">
        <v>16.46</v>
      </c>
      <c r="T600" s="430"/>
      <c r="U600" s="137"/>
      <c r="V600" s="408"/>
      <c r="W600" s="410">
        <v>18</v>
      </c>
      <c r="X600" s="410">
        <v>-1.54</v>
      </c>
      <c r="Y600" s="428">
        <v>-7.0000000000000007E-2</v>
      </c>
      <c r="Z600" s="429">
        <v>0.83</v>
      </c>
      <c r="AA600" s="429">
        <v>-0.54</v>
      </c>
      <c r="AB600" s="368">
        <v>0</v>
      </c>
      <c r="AC600" s="368">
        <v>0</v>
      </c>
      <c r="AD600" s="368">
        <v>0</v>
      </c>
      <c r="AE600" s="368">
        <v>0</v>
      </c>
      <c r="AF600" s="368">
        <v>0</v>
      </c>
      <c r="AG600" s="368">
        <v>0</v>
      </c>
      <c r="AH600" s="367">
        <f t="shared" si="31"/>
        <v>16.68</v>
      </c>
      <c r="AI600" s="362">
        <f>ERP_5[[#This Row],[2026 Working Total]]-ERP_5[[#This Row],[LE2 Final Submission]]</f>
        <v>0.21999999999999886</v>
      </c>
      <c r="AJ600" s="227">
        <v>0</v>
      </c>
      <c r="AK600" s="227">
        <f t="shared" si="30"/>
        <v>-0.54</v>
      </c>
      <c r="AL600" s="374">
        <f>SUM(ERP_5[[#This Row],[AP01]:[AP06]])-SUM(ERP_5[[#This Row],[AP01 LE2]:[AP06 LE2]])</f>
        <v>0.21999999999999886</v>
      </c>
      <c r="AM600" s="80"/>
      <c r="AN600" s="79">
        <f>ERP_5[[#This Row],[2026 Working Total to Budget/LE]]-ERP_5[[#This Row],[Giveback]]</f>
        <v>0.21999999999999886</v>
      </c>
      <c r="AO600" s="81"/>
      <c r="AP600" s="375"/>
      <c r="AQ600" s="375">
        <v>18</v>
      </c>
      <c r="AR600" s="375">
        <v>-1.54</v>
      </c>
      <c r="AS600" s="375">
        <v>0</v>
      </c>
      <c r="AT600" s="375">
        <v>0</v>
      </c>
      <c r="AU600" s="375">
        <v>0</v>
      </c>
      <c r="AV600" s="375">
        <v>0</v>
      </c>
      <c r="AW600" s="375">
        <v>0</v>
      </c>
      <c r="AX600" s="375">
        <v>0</v>
      </c>
      <c r="AY600" s="375">
        <v>0</v>
      </c>
      <c r="AZ600" s="375">
        <v>0</v>
      </c>
      <c r="BA600" s="375">
        <v>0</v>
      </c>
      <c r="BB600" s="375">
        <v>16.46</v>
      </c>
      <c r="BC600" s="227"/>
      <c r="BD600" s="227">
        <v>18</v>
      </c>
      <c r="BE600" s="227">
        <v>-1.54</v>
      </c>
      <c r="BF600" s="227">
        <v>0</v>
      </c>
      <c r="BG600" s="227">
        <v>0</v>
      </c>
      <c r="BH600" s="227">
        <v>0</v>
      </c>
      <c r="BI600" s="227">
        <v>0</v>
      </c>
      <c r="BJ600" s="227">
        <v>0</v>
      </c>
      <c r="BK600" s="227">
        <v>0</v>
      </c>
      <c r="BL600" s="227">
        <v>0</v>
      </c>
      <c r="BM600" s="227">
        <v>0</v>
      </c>
      <c r="BN600" s="227">
        <v>0</v>
      </c>
      <c r="BO600" s="227">
        <v>16.46</v>
      </c>
    </row>
    <row r="601" spans="1:67" ht="15" customHeight="1">
      <c r="A601" s="215" t="s">
        <v>1562</v>
      </c>
      <c r="B601" s="215" t="s">
        <v>268</v>
      </c>
      <c r="C601" s="150" t="s">
        <v>1136</v>
      </c>
      <c r="D601" s="334" t="s">
        <v>1345</v>
      </c>
      <c r="E601" s="334" t="s">
        <v>1515</v>
      </c>
      <c r="F601" s="334" t="s">
        <v>1346</v>
      </c>
      <c r="G601" s="516" t="s">
        <v>49</v>
      </c>
      <c r="H601" s="398" t="s">
        <v>1327</v>
      </c>
      <c r="I601" s="343"/>
      <c r="J601" s="344"/>
      <c r="K601" s="219" t="s">
        <v>147</v>
      </c>
      <c r="L601" s="349"/>
      <c r="M601" s="343"/>
      <c r="N601" s="349"/>
      <c r="O601" s="334" t="s">
        <v>25</v>
      </c>
      <c r="P601" s="354"/>
      <c r="Q601" s="403"/>
      <c r="R601" s="406">
        <v>0</v>
      </c>
      <c r="S601" s="406">
        <v>19639.919999999998</v>
      </c>
      <c r="T601" s="425"/>
      <c r="U601" s="71"/>
      <c r="V601" s="408">
        <v>-0.23</v>
      </c>
      <c r="W601" s="410">
        <v>-0.24</v>
      </c>
      <c r="X601" s="410">
        <v>19640.39</v>
      </c>
      <c r="Y601" s="428">
        <v>0.61</v>
      </c>
      <c r="Z601" s="481">
        <v>-19640.97</v>
      </c>
      <c r="AA601" s="429">
        <v>0.03</v>
      </c>
      <c r="AB601" s="368">
        <v>0</v>
      </c>
      <c r="AC601" s="368">
        <v>0</v>
      </c>
      <c r="AD601" s="368">
        <v>0</v>
      </c>
      <c r="AE601" s="368">
        <v>0</v>
      </c>
      <c r="AF601" s="368">
        <v>0</v>
      </c>
      <c r="AG601" s="368">
        <v>0</v>
      </c>
      <c r="AH601" s="367">
        <f t="shared" si="31"/>
        <v>-0.41000000000232828</v>
      </c>
      <c r="AI601" s="362">
        <f>ERP_5[[#This Row],[2026 Working Total]]-ERP_5[[#This Row],[LE2 Final Submission]]</f>
        <v>-19640.330000000002</v>
      </c>
      <c r="AJ601" s="227">
        <v>0</v>
      </c>
      <c r="AK601" s="227">
        <f t="shared" si="30"/>
        <v>0.03</v>
      </c>
      <c r="AL601" s="374">
        <f>SUM(ERP_5[[#This Row],[AP01]:[AP06]])-SUM(ERP_5[[#This Row],[AP01 LE2]:[AP06 LE2]])</f>
        <v>-19640.330000000002</v>
      </c>
      <c r="AM601" s="80"/>
      <c r="AN601" s="79">
        <f>ERP_5[[#This Row],[2026 Working Total to Budget/LE]]-ERP_5[[#This Row],[Giveback]]</f>
        <v>-19640.330000000002</v>
      </c>
      <c r="AO601" s="81"/>
      <c r="AP601" s="375">
        <v>-0.23</v>
      </c>
      <c r="AQ601" s="375">
        <v>-0.24</v>
      </c>
      <c r="AR601" s="375">
        <v>19640.39</v>
      </c>
      <c r="AS601" s="375">
        <v>0</v>
      </c>
      <c r="AT601" s="375">
        <v>0</v>
      </c>
      <c r="AU601" s="375">
        <v>0</v>
      </c>
      <c r="AV601" s="375">
        <v>0</v>
      </c>
      <c r="AW601" s="375">
        <v>0</v>
      </c>
      <c r="AX601" s="375">
        <v>0</v>
      </c>
      <c r="AY601" s="375">
        <v>0</v>
      </c>
      <c r="AZ601" s="375">
        <v>0</v>
      </c>
      <c r="BA601" s="375">
        <v>0</v>
      </c>
      <c r="BB601" s="375">
        <v>19639.919999999998</v>
      </c>
      <c r="BC601" s="227">
        <v>-0.23</v>
      </c>
      <c r="BD601" s="227">
        <v>-0.24</v>
      </c>
      <c r="BE601" s="227">
        <v>19640.39</v>
      </c>
      <c r="BF601" s="227">
        <v>0</v>
      </c>
      <c r="BG601" s="227">
        <v>0</v>
      </c>
      <c r="BH601" s="227">
        <v>0</v>
      </c>
      <c r="BI601" s="227">
        <v>0</v>
      </c>
      <c r="BJ601" s="227">
        <v>0</v>
      </c>
      <c r="BK601" s="227">
        <v>0</v>
      </c>
      <c r="BL601" s="227">
        <v>0</v>
      </c>
      <c r="BM601" s="227">
        <v>0</v>
      </c>
      <c r="BN601" s="227">
        <v>0</v>
      </c>
      <c r="BO601" s="227">
        <v>19639.919999999998</v>
      </c>
    </row>
    <row r="602" spans="1:67" ht="15" customHeight="1">
      <c r="A602" s="215" t="s">
        <v>2194</v>
      </c>
      <c r="B602" s="215" t="s">
        <v>633</v>
      </c>
      <c r="C602" s="150" t="s">
        <v>1136</v>
      </c>
      <c r="D602" s="334" t="s">
        <v>1345</v>
      </c>
      <c r="E602" s="334" t="s">
        <v>1515</v>
      </c>
      <c r="F602" s="334" t="s">
        <v>1346</v>
      </c>
      <c r="G602" s="516" t="s">
        <v>629</v>
      </c>
      <c r="H602" s="398" t="s">
        <v>1327</v>
      </c>
      <c r="I602" s="343"/>
      <c r="J602" s="344"/>
      <c r="K602" s="219" t="s">
        <v>147</v>
      </c>
      <c r="L602" s="346"/>
      <c r="M602" s="343"/>
      <c r="N602" s="349"/>
      <c r="O602" s="334" t="s">
        <v>25</v>
      </c>
      <c r="P602" s="354"/>
      <c r="Q602" s="403"/>
      <c r="R602" s="406">
        <v>0</v>
      </c>
      <c r="S602" s="406">
        <v>1.999999999999999E-2</v>
      </c>
      <c r="T602" s="425"/>
      <c r="U602" s="71"/>
      <c r="V602" s="408"/>
      <c r="W602" s="410">
        <v>0.21</v>
      </c>
      <c r="X602" s="410">
        <v>-0.19</v>
      </c>
      <c r="Y602" s="428">
        <v>0</v>
      </c>
      <c r="Z602" s="429">
        <v>2430.29</v>
      </c>
      <c r="AA602" s="429">
        <v>1250.79</v>
      </c>
      <c r="AB602" s="368">
        <v>0</v>
      </c>
      <c r="AC602" s="368">
        <v>0</v>
      </c>
      <c r="AD602" s="368">
        <v>0</v>
      </c>
      <c r="AE602" s="368">
        <v>0</v>
      </c>
      <c r="AF602" s="368">
        <v>0</v>
      </c>
      <c r="AG602" s="368">
        <v>0</v>
      </c>
      <c r="AH602" s="367">
        <f t="shared" si="31"/>
        <v>3681.1</v>
      </c>
      <c r="AI602" s="362">
        <f>ERP_5[[#This Row],[2026 Working Total]]-ERP_5[[#This Row],[LE2 Final Submission]]</f>
        <v>3681.08</v>
      </c>
      <c r="AJ602" s="227">
        <v>0</v>
      </c>
      <c r="AK602" s="227">
        <f t="shared" si="30"/>
        <v>1250.79</v>
      </c>
      <c r="AL602" s="374">
        <f>SUM(ERP_5[[#This Row],[AP01]:[AP06]])-SUM(ERP_5[[#This Row],[AP01 LE2]:[AP06 LE2]])</f>
        <v>3681.08</v>
      </c>
      <c r="AM602" s="80"/>
      <c r="AN602" s="79">
        <f>ERP_5[[#This Row],[2026 Working Total to Budget/LE]]-ERP_5[[#This Row],[Giveback]]</f>
        <v>3681.08</v>
      </c>
      <c r="AO602" s="81"/>
      <c r="AP602" s="375"/>
      <c r="AQ602" s="375">
        <v>0.21</v>
      </c>
      <c r="AR602" s="375">
        <v>-0.19</v>
      </c>
      <c r="AS602" s="375">
        <v>0</v>
      </c>
      <c r="AT602" s="375">
        <v>0</v>
      </c>
      <c r="AU602" s="375">
        <v>0</v>
      </c>
      <c r="AV602" s="375">
        <v>0</v>
      </c>
      <c r="AW602" s="375">
        <v>0</v>
      </c>
      <c r="AX602" s="375">
        <v>0</v>
      </c>
      <c r="AY602" s="375">
        <v>0</v>
      </c>
      <c r="AZ602" s="375">
        <v>0</v>
      </c>
      <c r="BA602" s="375">
        <v>0</v>
      </c>
      <c r="BB602" s="375">
        <v>1.999999999999999E-2</v>
      </c>
      <c r="BC602" s="227"/>
      <c r="BD602" s="227">
        <v>0.21</v>
      </c>
      <c r="BE602" s="227">
        <v>-0.19</v>
      </c>
      <c r="BF602" s="227">
        <v>0</v>
      </c>
      <c r="BG602" s="227">
        <v>0</v>
      </c>
      <c r="BH602" s="227">
        <v>0</v>
      </c>
      <c r="BI602" s="227">
        <v>0</v>
      </c>
      <c r="BJ602" s="227">
        <v>0</v>
      </c>
      <c r="BK602" s="227">
        <v>0</v>
      </c>
      <c r="BL602" s="227">
        <v>0</v>
      </c>
      <c r="BM602" s="227">
        <v>0</v>
      </c>
      <c r="BN602" s="227">
        <v>0</v>
      </c>
      <c r="BO602" s="227">
        <v>1.999999999999999E-2</v>
      </c>
    </row>
    <row r="603" spans="1:67" ht="15" customHeight="1">
      <c r="A603" s="215" t="s">
        <v>2752</v>
      </c>
      <c r="B603" s="215" t="s">
        <v>987</v>
      </c>
      <c r="C603" s="150" t="s">
        <v>1136</v>
      </c>
      <c r="D603" s="334" t="s">
        <v>1345</v>
      </c>
      <c r="E603" s="334" t="s">
        <v>1515</v>
      </c>
      <c r="F603" s="334" t="s">
        <v>1346</v>
      </c>
      <c r="G603" s="516" t="s">
        <v>639</v>
      </c>
      <c r="H603" s="398" t="s">
        <v>1327</v>
      </c>
      <c r="I603" s="343"/>
      <c r="J603" s="344"/>
      <c r="K603" s="219" t="s">
        <v>147</v>
      </c>
      <c r="L603" s="346"/>
      <c r="M603" s="343"/>
      <c r="N603" s="349"/>
      <c r="O603" s="334" t="s">
        <v>25</v>
      </c>
      <c r="P603" s="354"/>
      <c r="Q603" s="403"/>
      <c r="R603" s="406">
        <v>0</v>
      </c>
      <c r="S603" s="406">
        <v>0.63</v>
      </c>
      <c r="T603" s="425"/>
      <c r="U603" s="71"/>
      <c r="V603" s="408"/>
      <c r="W603" s="410"/>
      <c r="X603" s="410">
        <v>0.63</v>
      </c>
      <c r="Y603" s="428">
        <v>0</v>
      </c>
      <c r="Z603" s="429">
        <v>-0.28000000000000003</v>
      </c>
      <c r="AA603" s="429">
        <v>0.1</v>
      </c>
      <c r="AB603" s="368">
        <v>0</v>
      </c>
      <c r="AC603" s="368">
        <v>0</v>
      </c>
      <c r="AD603" s="368">
        <v>0</v>
      </c>
      <c r="AE603" s="368">
        <v>0</v>
      </c>
      <c r="AF603" s="368">
        <v>0</v>
      </c>
      <c r="AG603" s="368">
        <v>0</v>
      </c>
      <c r="AH603" s="367">
        <f t="shared" si="31"/>
        <v>0.44999999999999996</v>
      </c>
      <c r="AI603" s="362">
        <f>ERP_5[[#This Row],[2026 Working Total]]-ERP_5[[#This Row],[LE2 Final Submission]]</f>
        <v>-0.18000000000000005</v>
      </c>
      <c r="AJ603" s="227">
        <v>0</v>
      </c>
      <c r="AK603" s="227">
        <f t="shared" si="30"/>
        <v>0.1</v>
      </c>
      <c r="AL603" s="374">
        <f>SUM(ERP_5[[#This Row],[AP01]:[AP06]])-SUM(ERP_5[[#This Row],[AP01 LE2]:[AP06 LE2]])</f>
        <v>-0.18000000000000005</v>
      </c>
      <c r="AM603" s="80"/>
      <c r="AN603" s="79">
        <f>ERP_5[[#This Row],[2026 Working Total to Budget/LE]]-ERP_5[[#This Row],[Giveback]]</f>
        <v>-0.18000000000000005</v>
      </c>
      <c r="AO603" s="81"/>
      <c r="AP603" s="375"/>
      <c r="AQ603" s="375"/>
      <c r="AR603" s="375">
        <v>0.63</v>
      </c>
      <c r="AS603" s="375">
        <v>0</v>
      </c>
      <c r="AT603" s="375">
        <v>0</v>
      </c>
      <c r="AU603" s="375">
        <v>0</v>
      </c>
      <c r="AV603" s="375">
        <v>0</v>
      </c>
      <c r="AW603" s="375">
        <v>0</v>
      </c>
      <c r="AX603" s="375">
        <v>0</v>
      </c>
      <c r="AY603" s="375">
        <v>0</v>
      </c>
      <c r="AZ603" s="375">
        <v>0</v>
      </c>
      <c r="BA603" s="375">
        <v>0</v>
      </c>
      <c r="BB603" s="375">
        <v>0.63</v>
      </c>
      <c r="BC603" s="227"/>
      <c r="BD603" s="227"/>
      <c r="BE603" s="227">
        <v>0.63</v>
      </c>
      <c r="BF603" s="227">
        <v>0</v>
      </c>
      <c r="BG603" s="227">
        <v>0</v>
      </c>
      <c r="BH603" s="227">
        <v>0</v>
      </c>
      <c r="BI603" s="227">
        <v>0</v>
      </c>
      <c r="BJ603" s="227">
        <v>0</v>
      </c>
      <c r="BK603" s="227">
        <v>0</v>
      </c>
      <c r="BL603" s="227">
        <v>0</v>
      </c>
      <c r="BM603" s="227">
        <v>0</v>
      </c>
      <c r="BN603" s="227">
        <v>0</v>
      </c>
      <c r="BO603" s="227">
        <v>0.63</v>
      </c>
    </row>
    <row r="604" spans="1:67" ht="15" customHeight="1">
      <c r="A604" s="215" t="s">
        <v>1326</v>
      </c>
      <c r="B604" s="215" t="s">
        <v>146</v>
      </c>
      <c r="C604" s="150" t="s">
        <v>1136</v>
      </c>
      <c r="D604" s="334" t="s">
        <v>1135</v>
      </c>
      <c r="E604" s="334" t="s">
        <v>1135</v>
      </c>
      <c r="F604" s="334" t="s">
        <v>1137</v>
      </c>
      <c r="G604" s="516" t="s">
        <v>49</v>
      </c>
      <c r="H604" s="398" t="s">
        <v>1327</v>
      </c>
      <c r="I604" s="343"/>
      <c r="J604" s="344"/>
      <c r="K604" s="219" t="s">
        <v>147</v>
      </c>
      <c r="L604" s="346"/>
      <c r="M604" s="343"/>
      <c r="N604" s="349"/>
      <c r="O604" s="334" t="s">
        <v>25</v>
      </c>
      <c r="P604" s="150"/>
      <c r="Q604" s="403"/>
      <c r="R604" s="406">
        <v>0</v>
      </c>
      <c r="S604" s="406">
        <v>-0.11000000000058208</v>
      </c>
      <c r="T604" s="425"/>
      <c r="U604" s="71"/>
      <c r="V604" s="408">
        <v>20093.099999999999</v>
      </c>
      <c r="W604" s="410">
        <v>22504.89</v>
      </c>
      <c r="X604" s="410">
        <v>-42598.1</v>
      </c>
      <c r="Y604" s="428">
        <v>-0.33</v>
      </c>
      <c r="Z604" s="429">
        <v>0.71</v>
      </c>
      <c r="AA604" s="429">
        <v>-0.03</v>
      </c>
      <c r="AB604" s="368">
        <v>0</v>
      </c>
      <c r="AC604" s="368">
        <v>0</v>
      </c>
      <c r="AD604" s="368">
        <v>0</v>
      </c>
      <c r="AE604" s="368">
        <v>0</v>
      </c>
      <c r="AF604" s="368">
        <v>0</v>
      </c>
      <c r="AG604" s="368">
        <v>0</v>
      </c>
      <c r="AH604" s="367">
        <f t="shared" si="31"/>
        <v>0.23999999999941787</v>
      </c>
      <c r="AI604" s="362">
        <f>ERP_5[[#This Row],[2026 Working Total]]-ERP_5[[#This Row],[LE2 Final Submission]]</f>
        <v>0.35</v>
      </c>
      <c r="AJ604" s="227">
        <v>0</v>
      </c>
      <c r="AK604" s="227">
        <f t="shared" si="30"/>
        <v>-0.03</v>
      </c>
      <c r="AL604" s="374">
        <f>SUM(ERP_5[[#This Row],[AP01]:[AP06]])-SUM(ERP_5[[#This Row],[AP01 LE2]:[AP06 LE2]])</f>
        <v>0.35</v>
      </c>
      <c r="AM604" s="80"/>
      <c r="AN604" s="79">
        <f>ERP_5[[#This Row],[2026 Working Total to Budget/LE]]-ERP_5[[#This Row],[Giveback]]</f>
        <v>0.35</v>
      </c>
      <c r="AO604" s="81"/>
      <c r="AP604" s="375">
        <v>20093.099999999999</v>
      </c>
      <c r="AQ604" s="375">
        <v>22504.89</v>
      </c>
      <c r="AR604" s="375">
        <v>-42598.1</v>
      </c>
      <c r="AS604" s="375">
        <v>0</v>
      </c>
      <c r="AT604" s="375">
        <v>0</v>
      </c>
      <c r="AU604" s="375">
        <v>0</v>
      </c>
      <c r="AV604" s="375">
        <v>0</v>
      </c>
      <c r="AW604" s="375">
        <v>0</v>
      </c>
      <c r="AX604" s="375">
        <v>0</v>
      </c>
      <c r="AY604" s="375">
        <v>0</v>
      </c>
      <c r="AZ604" s="375">
        <v>0</v>
      </c>
      <c r="BA604" s="375">
        <v>0</v>
      </c>
      <c r="BB604" s="375">
        <v>-0.11000000000058208</v>
      </c>
      <c r="BC604" s="227">
        <v>20093.099999999999</v>
      </c>
      <c r="BD604" s="227">
        <v>22504.89</v>
      </c>
      <c r="BE604" s="227">
        <v>-42598.1</v>
      </c>
      <c r="BF604" s="227">
        <v>0</v>
      </c>
      <c r="BG604" s="227">
        <v>0</v>
      </c>
      <c r="BH604" s="227">
        <v>0</v>
      </c>
      <c r="BI604" s="227">
        <v>0</v>
      </c>
      <c r="BJ604" s="227">
        <v>0</v>
      </c>
      <c r="BK604" s="227">
        <v>0</v>
      </c>
      <c r="BL604" s="227">
        <v>0</v>
      </c>
      <c r="BM604" s="227">
        <v>0</v>
      </c>
      <c r="BN604" s="227">
        <v>0</v>
      </c>
      <c r="BO604" s="227">
        <v>-0.11000000000058208</v>
      </c>
    </row>
    <row r="605" spans="1:67" ht="15" customHeight="1">
      <c r="A605" s="215" t="s">
        <v>1953</v>
      </c>
      <c r="B605" s="215" t="s">
        <v>491</v>
      </c>
      <c r="C605" s="150" t="s">
        <v>1136</v>
      </c>
      <c r="D605" s="334" t="s">
        <v>1135</v>
      </c>
      <c r="E605" s="334" t="s">
        <v>1135</v>
      </c>
      <c r="F605" s="334" t="s">
        <v>1137</v>
      </c>
      <c r="G605" s="516" t="s">
        <v>389</v>
      </c>
      <c r="H605" s="398" t="s">
        <v>1327</v>
      </c>
      <c r="I605" s="343"/>
      <c r="J605" s="344"/>
      <c r="K605" s="219" t="s">
        <v>147</v>
      </c>
      <c r="L605" s="346"/>
      <c r="M605" s="343"/>
      <c r="N605" s="349"/>
      <c r="O605" s="334" t="s">
        <v>25</v>
      </c>
      <c r="P605" s="150"/>
      <c r="Q605" s="403"/>
      <c r="R605" s="406">
        <v>0</v>
      </c>
      <c r="S605" s="406">
        <v>0.03</v>
      </c>
      <c r="T605" s="430"/>
      <c r="U605" s="137"/>
      <c r="V605" s="408">
        <v>7.0000000000000007E-2</v>
      </c>
      <c r="W605" s="410">
        <v>-0.2</v>
      </c>
      <c r="X605" s="410">
        <v>0.16</v>
      </c>
      <c r="Y605" s="428">
        <v>-0.28999999999999998</v>
      </c>
      <c r="Z605" s="429">
        <v>71439.95</v>
      </c>
      <c r="AA605" s="429">
        <v>1.9999999999999997E-2</v>
      </c>
      <c r="AB605" s="368">
        <v>0</v>
      </c>
      <c r="AC605" s="368">
        <v>0</v>
      </c>
      <c r="AD605" s="368">
        <v>0</v>
      </c>
      <c r="AE605" s="368">
        <v>0</v>
      </c>
      <c r="AF605" s="368">
        <v>0</v>
      </c>
      <c r="AG605" s="368">
        <v>0</v>
      </c>
      <c r="AH605" s="367">
        <f t="shared" si="31"/>
        <v>71439.710000000006</v>
      </c>
      <c r="AI605" s="362">
        <f>ERP_5[[#This Row],[2026 Working Total]]-ERP_5[[#This Row],[LE2 Final Submission]]</f>
        <v>71439.680000000008</v>
      </c>
      <c r="AJ605" s="227">
        <v>0</v>
      </c>
      <c r="AK605" s="227">
        <f t="shared" si="30"/>
        <v>1.9999999999999997E-2</v>
      </c>
      <c r="AL605" s="374">
        <f>SUM(ERP_5[[#This Row],[AP01]:[AP06]])-SUM(ERP_5[[#This Row],[AP01 LE2]:[AP06 LE2]])</f>
        <v>71439.680000000008</v>
      </c>
      <c r="AM605" s="80"/>
      <c r="AN605" s="79">
        <f>ERP_5[[#This Row],[2026 Working Total to Budget/LE]]-ERP_5[[#This Row],[Giveback]]</f>
        <v>71439.680000000008</v>
      </c>
      <c r="AO605" s="81"/>
      <c r="AP605" s="375">
        <v>7.0000000000000007E-2</v>
      </c>
      <c r="AQ605" s="375">
        <v>-0.2</v>
      </c>
      <c r="AR605" s="375">
        <v>0.16</v>
      </c>
      <c r="AS605" s="375">
        <v>0</v>
      </c>
      <c r="AT605" s="375">
        <v>0</v>
      </c>
      <c r="AU605" s="375">
        <v>0</v>
      </c>
      <c r="AV605" s="375">
        <v>0</v>
      </c>
      <c r="AW605" s="375">
        <v>0</v>
      </c>
      <c r="AX605" s="375">
        <v>0</v>
      </c>
      <c r="AY605" s="375">
        <v>0</v>
      </c>
      <c r="AZ605" s="375">
        <v>0</v>
      </c>
      <c r="BA605" s="375">
        <v>0</v>
      </c>
      <c r="BB605" s="375">
        <v>0.03</v>
      </c>
      <c r="BC605" s="227">
        <v>7.0000000000000007E-2</v>
      </c>
      <c r="BD605" s="227">
        <v>-0.2</v>
      </c>
      <c r="BE605" s="227">
        <v>0.16</v>
      </c>
      <c r="BF605" s="227">
        <v>0</v>
      </c>
      <c r="BG605" s="227">
        <v>0</v>
      </c>
      <c r="BH605" s="227">
        <v>0</v>
      </c>
      <c r="BI605" s="227">
        <v>0</v>
      </c>
      <c r="BJ605" s="227">
        <v>0</v>
      </c>
      <c r="BK605" s="227">
        <v>0</v>
      </c>
      <c r="BL605" s="227">
        <v>0</v>
      </c>
      <c r="BM605" s="227">
        <v>0</v>
      </c>
      <c r="BN605" s="227">
        <v>0</v>
      </c>
      <c r="BO605" s="227">
        <v>0.03</v>
      </c>
    </row>
    <row r="606" spans="1:67" ht="15" customHeight="1">
      <c r="A606" s="215" t="s">
        <v>2594</v>
      </c>
      <c r="B606" s="215" t="s">
        <v>899</v>
      </c>
      <c r="C606" s="150" t="s">
        <v>1136</v>
      </c>
      <c r="D606" s="334" t="s">
        <v>1135</v>
      </c>
      <c r="E606" s="334" t="s">
        <v>1135</v>
      </c>
      <c r="F606" s="334" t="s">
        <v>1137</v>
      </c>
      <c r="G606" s="516" t="s">
        <v>639</v>
      </c>
      <c r="H606" s="398" t="s">
        <v>1327</v>
      </c>
      <c r="I606" s="343"/>
      <c r="J606" s="344"/>
      <c r="K606" s="219" t="s">
        <v>147</v>
      </c>
      <c r="L606" s="346"/>
      <c r="M606" s="343"/>
      <c r="N606" s="349"/>
      <c r="O606" s="334" t="s">
        <v>25</v>
      </c>
      <c r="P606" s="150"/>
      <c r="Q606" s="403"/>
      <c r="R606" s="406">
        <v>0</v>
      </c>
      <c r="S606" s="406">
        <v>0.3</v>
      </c>
      <c r="T606" s="425"/>
      <c r="U606" s="71"/>
      <c r="V606" s="408">
        <v>0.32</v>
      </c>
      <c r="W606" s="410">
        <v>-0.45</v>
      </c>
      <c r="X606" s="410">
        <v>0.43</v>
      </c>
      <c r="Y606" s="428">
        <v>-0.34</v>
      </c>
      <c r="Z606" s="429">
        <v>30694.750000000004</v>
      </c>
      <c r="AA606" s="429">
        <v>0.96</v>
      </c>
      <c r="AB606" s="368">
        <v>0</v>
      </c>
      <c r="AC606" s="368">
        <v>0</v>
      </c>
      <c r="AD606" s="368">
        <v>0</v>
      </c>
      <c r="AE606" s="368">
        <v>0</v>
      </c>
      <c r="AF606" s="368">
        <v>0</v>
      </c>
      <c r="AG606" s="368">
        <v>0</v>
      </c>
      <c r="AH606" s="367">
        <f t="shared" si="31"/>
        <v>30695.670000000002</v>
      </c>
      <c r="AI606" s="362">
        <f>ERP_5[[#This Row],[2026 Working Total]]-ERP_5[[#This Row],[LE2 Final Submission]]</f>
        <v>30695.370000000003</v>
      </c>
      <c r="AJ606" s="227">
        <v>0</v>
      </c>
      <c r="AK606" s="227">
        <f t="shared" si="30"/>
        <v>0.96</v>
      </c>
      <c r="AL606" s="374">
        <f>SUM(ERP_5[[#This Row],[AP01]:[AP06]])-SUM(ERP_5[[#This Row],[AP01 LE2]:[AP06 LE2]])</f>
        <v>30695.370000000003</v>
      </c>
      <c r="AM606" s="80"/>
      <c r="AN606" s="79">
        <f>ERP_5[[#This Row],[2026 Working Total to Budget/LE]]-ERP_5[[#This Row],[Giveback]]</f>
        <v>30695.370000000003</v>
      </c>
      <c r="AO606" s="81"/>
      <c r="AP606" s="375">
        <v>0.32</v>
      </c>
      <c r="AQ606" s="375">
        <v>-0.45</v>
      </c>
      <c r="AR606" s="375">
        <v>0.43</v>
      </c>
      <c r="AS606" s="375">
        <v>0</v>
      </c>
      <c r="AT606" s="375">
        <v>0</v>
      </c>
      <c r="AU606" s="375">
        <v>0</v>
      </c>
      <c r="AV606" s="375">
        <v>0</v>
      </c>
      <c r="AW606" s="375">
        <v>0</v>
      </c>
      <c r="AX606" s="375">
        <v>0</v>
      </c>
      <c r="AY606" s="375">
        <v>0</v>
      </c>
      <c r="AZ606" s="375">
        <v>0</v>
      </c>
      <c r="BA606" s="375">
        <v>0</v>
      </c>
      <c r="BB606" s="375">
        <v>0.3</v>
      </c>
      <c r="BC606" s="227">
        <v>0.32</v>
      </c>
      <c r="BD606" s="227">
        <v>-0.45</v>
      </c>
      <c r="BE606" s="227">
        <v>0.43</v>
      </c>
      <c r="BF606" s="227">
        <v>0</v>
      </c>
      <c r="BG606" s="227">
        <v>0</v>
      </c>
      <c r="BH606" s="227">
        <v>0</v>
      </c>
      <c r="BI606" s="227">
        <v>0</v>
      </c>
      <c r="BJ606" s="227">
        <v>0</v>
      </c>
      <c r="BK606" s="227">
        <v>0</v>
      </c>
      <c r="BL606" s="227">
        <v>0</v>
      </c>
      <c r="BM606" s="227">
        <v>0</v>
      </c>
      <c r="BN606" s="227">
        <v>0</v>
      </c>
      <c r="BO606" s="227">
        <v>0.3</v>
      </c>
    </row>
    <row r="607" spans="1:67" ht="15" customHeight="1">
      <c r="A607" s="215" t="s">
        <v>1328</v>
      </c>
      <c r="B607" s="215" t="s">
        <v>1329</v>
      </c>
      <c r="C607" s="150" t="s">
        <v>1136</v>
      </c>
      <c r="D607" s="334" t="s">
        <v>1135</v>
      </c>
      <c r="E607" s="334" t="s">
        <v>1137</v>
      </c>
      <c r="F607" s="334" t="s">
        <v>1137</v>
      </c>
      <c r="G607" s="516" t="s">
        <v>49</v>
      </c>
      <c r="H607" s="398" t="s">
        <v>1327</v>
      </c>
      <c r="I607" s="343"/>
      <c r="J607" s="344"/>
      <c r="K607" s="219" t="s">
        <v>147</v>
      </c>
      <c r="L607" s="346"/>
      <c r="M607" s="343"/>
      <c r="N607" s="349"/>
      <c r="O607" s="334" t="s">
        <v>25</v>
      </c>
      <c r="P607" s="1" t="s">
        <v>1141</v>
      </c>
      <c r="Q607" s="403"/>
      <c r="R607" s="406">
        <v>0</v>
      </c>
      <c r="S607" s="406">
        <v>1220.75</v>
      </c>
      <c r="T607" s="425"/>
      <c r="U607" s="71"/>
      <c r="V607" s="408">
        <v>669.53</v>
      </c>
      <c r="W607" s="410">
        <v>7.26</v>
      </c>
      <c r="X607" s="410">
        <v>543.96</v>
      </c>
      <c r="Y607" s="428">
        <v>129.34999999999997</v>
      </c>
      <c r="Z607" s="429">
        <v>286.95999999999998</v>
      </c>
      <c r="AA607" s="429">
        <v>206.12999999999997</v>
      </c>
      <c r="AB607" s="368">
        <v>0</v>
      </c>
      <c r="AC607" s="368">
        <v>0</v>
      </c>
      <c r="AD607" s="368">
        <v>0</v>
      </c>
      <c r="AE607" s="368">
        <v>0</v>
      </c>
      <c r="AF607" s="368">
        <v>0</v>
      </c>
      <c r="AG607" s="368">
        <v>0</v>
      </c>
      <c r="AH607" s="367">
        <f t="shared" si="31"/>
        <v>1843.1899999999998</v>
      </c>
      <c r="AI607" s="362">
        <f>ERP_5[[#This Row],[2026 Working Total]]-ERP_5[[#This Row],[LE2 Final Submission]]</f>
        <v>622.43999999999983</v>
      </c>
      <c r="AJ607" s="227">
        <v>0</v>
      </c>
      <c r="AK607" s="227">
        <f t="shared" si="30"/>
        <v>206.12999999999997</v>
      </c>
      <c r="AL607" s="374">
        <f>SUM(ERP_5[[#This Row],[AP01]:[AP06]])-SUM(ERP_5[[#This Row],[AP01 LE2]:[AP06 LE2]])</f>
        <v>622.43999999999983</v>
      </c>
      <c r="AM607" s="80"/>
      <c r="AN607" s="79">
        <f>ERP_5[[#This Row],[2026 Working Total to Budget/LE]]-ERP_5[[#This Row],[Giveback]]</f>
        <v>622.43999999999983</v>
      </c>
      <c r="AO607" s="81"/>
      <c r="AP607" s="375">
        <v>669.53</v>
      </c>
      <c r="AQ607" s="375">
        <v>7.26</v>
      </c>
      <c r="AR607" s="375">
        <v>543.96</v>
      </c>
      <c r="AS607" s="375">
        <v>0</v>
      </c>
      <c r="AT607" s="375">
        <v>0</v>
      </c>
      <c r="AU607" s="375">
        <v>0</v>
      </c>
      <c r="AV607" s="375">
        <v>0</v>
      </c>
      <c r="AW607" s="375">
        <v>0</v>
      </c>
      <c r="AX607" s="375">
        <v>0</v>
      </c>
      <c r="AY607" s="375">
        <v>0</v>
      </c>
      <c r="AZ607" s="375">
        <v>0</v>
      </c>
      <c r="BA607" s="375">
        <v>0</v>
      </c>
      <c r="BB607" s="375">
        <v>1220.75</v>
      </c>
      <c r="BC607" s="227">
        <v>669.53</v>
      </c>
      <c r="BD607" s="227">
        <v>7.26</v>
      </c>
      <c r="BE607" s="227">
        <v>543.96</v>
      </c>
      <c r="BF607" s="227">
        <v>0</v>
      </c>
      <c r="BG607" s="227">
        <v>0</v>
      </c>
      <c r="BH607" s="227">
        <v>0</v>
      </c>
      <c r="BI607" s="227">
        <v>0</v>
      </c>
      <c r="BJ607" s="227">
        <v>0</v>
      </c>
      <c r="BK607" s="227">
        <v>0</v>
      </c>
      <c r="BL607" s="227">
        <v>0</v>
      </c>
      <c r="BM607" s="227">
        <v>0</v>
      </c>
      <c r="BN607" s="227">
        <v>0</v>
      </c>
      <c r="BO607" s="227">
        <v>1220.75</v>
      </c>
    </row>
    <row r="608" spans="1:67" ht="15" customHeight="1">
      <c r="A608" s="215" t="s">
        <v>1722</v>
      </c>
      <c r="B608" s="215" t="s">
        <v>1723</v>
      </c>
      <c r="C608" s="150" t="s">
        <v>1136</v>
      </c>
      <c r="D608" s="334" t="s">
        <v>1135</v>
      </c>
      <c r="E608" s="334" t="s">
        <v>1137</v>
      </c>
      <c r="F608" s="334" t="s">
        <v>1137</v>
      </c>
      <c r="G608" s="516" t="s">
        <v>342</v>
      </c>
      <c r="H608" s="398" t="s">
        <v>1327</v>
      </c>
      <c r="I608" s="343"/>
      <c r="J608" s="344"/>
      <c r="K608" s="219" t="s">
        <v>147</v>
      </c>
      <c r="L608" s="349"/>
      <c r="M608" s="343"/>
      <c r="N608" s="349"/>
      <c r="O608" s="334" t="s">
        <v>25</v>
      </c>
      <c r="P608" s="525" t="s">
        <v>1141</v>
      </c>
      <c r="Q608" s="403"/>
      <c r="R608" s="406">
        <v>0</v>
      </c>
      <c r="S608" s="406">
        <v>0.62000000000000011</v>
      </c>
      <c r="T608" s="425"/>
      <c r="U608" s="71"/>
      <c r="V608" s="408">
        <v>-0.1</v>
      </c>
      <c r="W608" s="410">
        <v>-0.09</v>
      </c>
      <c r="X608" s="410">
        <v>0.81</v>
      </c>
      <c r="Y608" s="428">
        <v>-0.53</v>
      </c>
      <c r="Z608" s="429">
        <v>0.61</v>
      </c>
      <c r="AA608" s="429">
        <v>0</v>
      </c>
      <c r="AB608" s="368">
        <v>0</v>
      </c>
      <c r="AC608" s="368">
        <v>0</v>
      </c>
      <c r="AD608" s="368">
        <v>0</v>
      </c>
      <c r="AE608" s="368">
        <v>0</v>
      </c>
      <c r="AF608" s="368">
        <v>0</v>
      </c>
      <c r="AG608" s="368">
        <v>0</v>
      </c>
      <c r="AH608" s="367">
        <f t="shared" si="31"/>
        <v>0.70000000000000007</v>
      </c>
      <c r="AI608" s="362">
        <f>ERP_5[[#This Row],[2026 Working Total]]-ERP_5[[#This Row],[LE2 Final Submission]]</f>
        <v>7.999999999999996E-2</v>
      </c>
      <c r="AJ608" s="227">
        <v>0</v>
      </c>
      <c r="AK608" s="227">
        <f t="shared" si="30"/>
        <v>0</v>
      </c>
      <c r="AL608" s="374">
        <f>SUM(ERP_5[[#This Row],[AP01]:[AP06]])-SUM(ERP_5[[#This Row],[AP01 LE2]:[AP06 LE2]])</f>
        <v>7.999999999999996E-2</v>
      </c>
      <c r="AM608" s="80"/>
      <c r="AN608" s="79">
        <f>ERP_5[[#This Row],[2026 Working Total to Budget/LE]]-ERP_5[[#This Row],[Giveback]]</f>
        <v>7.999999999999996E-2</v>
      </c>
      <c r="AO608" s="81"/>
      <c r="AP608" s="375">
        <v>-0.1</v>
      </c>
      <c r="AQ608" s="375">
        <v>-0.09</v>
      </c>
      <c r="AR608" s="375">
        <v>0.81</v>
      </c>
      <c r="AS608" s="375">
        <v>0</v>
      </c>
      <c r="AT608" s="375">
        <v>0</v>
      </c>
      <c r="AU608" s="375">
        <v>0</v>
      </c>
      <c r="AV608" s="375">
        <v>0</v>
      </c>
      <c r="AW608" s="375">
        <v>0</v>
      </c>
      <c r="AX608" s="375">
        <v>0</v>
      </c>
      <c r="AY608" s="375">
        <v>0</v>
      </c>
      <c r="AZ608" s="375">
        <v>0</v>
      </c>
      <c r="BA608" s="375">
        <v>0</v>
      </c>
      <c r="BB608" s="375">
        <v>0.62000000000000011</v>
      </c>
      <c r="BC608" s="227">
        <v>-0.1</v>
      </c>
      <c r="BD608" s="227">
        <v>-0.09</v>
      </c>
      <c r="BE608" s="227">
        <v>0.81</v>
      </c>
      <c r="BF608" s="227">
        <v>0</v>
      </c>
      <c r="BG608" s="227">
        <v>0</v>
      </c>
      <c r="BH608" s="227">
        <v>0</v>
      </c>
      <c r="BI608" s="227">
        <v>0</v>
      </c>
      <c r="BJ608" s="227">
        <v>0</v>
      </c>
      <c r="BK608" s="227">
        <v>0</v>
      </c>
      <c r="BL608" s="227">
        <v>0</v>
      </c>
      <c r="BM608" s="227">
        <v>0</v>
      </c>
      <c r="BN608" s="227">
        <v>0</v>
      </c>
      <c r="BO608" s="227">
        <v>0.62000000000000011</v>
      </c>
    </row>
    <row r="609" spans="1:67" ht="15" customHeight="1">
      <c r="A609" s="215" t="s">
        <v>1954</v>
      </c>
      <c r="B609" s="215" t="s">
        <v>1955</v>
      </c>
      <c r="C609" s="150" t="s">
        <v>1136</v>
      </c>
      <c r="D609" s="334" t="s">
        <v>1135</v>
      </c>
      <c r="E609" s="334" t="s">
        <v>1137</v>
      </c>
      <c r="F609" s="334" t="s">
        <v>1137</v>
      </c>
      <c r="G609" s="516" t="s">
        <v>389</v>
      </c>
      <c r="H609" s="398" t="s">
        <v>1327</v>
      </c>
      <c r="I609" s="343"/>
      <c r="J609" s="344"/>
      <c r="K609" s="219" t="s">
        <v>147</v>
      </c>
      <c r="L609" s="349"/>
      <c r="M609" s="343"/>
      <c r="N609" s="349"/>
      <c r="O609" s="334" t="s">
        <v>25</v>
      </c>
      <c r="P609" s="525" t="s">
        <v>1141</v>
      </c>
      <c r="Q609" s="403"/>
      <c r="R609" s="406">
        <v>0</v>
      </c>
      <c r="S609" s="406">
        <v>1777.1799999999998</v>
      </c>
      <c r="T609" s="425"/>
      <c r="U609" s="71"/>
      <c r="V609" s="408">
        <v>843.63</v>
      </c>
      <c r="W609" s="410">
        <v>-313.26</v>
      </c>
      <c r="X609" s="410">
        <v>1246.81</v>
      </c>
      <c r="Y609" s="428">
        <v>1159.5900000000001</v>
      </c>
      <c r="Z609" s="429">
        <v>1531.64</v>
      </c>
      <c r="AA609" s="429">
        <v>324.64</v>
      </c>
      <c r="AB609" s="368">
        <v>0</v>
      </c>
      <c r="AC609" s="368">
        <v>0</v>
      </c>
      <c r="AD609" s="368">
        <v>0</v>
      </c>
      <c r="AE609" s="368">
        <v>0</v>
      </c>
      <c r="AF609" s="368">
        <v>0</v>
      </c>
      <c r="AG609" s="368">
        <v>0</v>
      </c>
      <c r="AH609" s="367">
        <f t="shared" si="31"/>
        <v>4793.05</v>
      </c>
      <c r="AI609" s="362">
        <f>ERP_5[[#This Row],[2026 Working Total]]-ERP_5[[#This Row],[LE2 Final Submission]]</f>
        <v>3015.8700000000003</v>
      </c>
      <c r="AJ609" s="227">
        <v>0</v>
      </c>
      <c r="AK609" s="227">
        <f t="shared" si="30"/>
        <v>324.64</v>
      </c>
      <c r="AL609" s="374">
        <f>SUM(ERP_5[[#This Row],[AP01]:[AP06]])-SUM(ERP_5[[#This Row],[AP01 LE2]:[AP06 LE2]])</f>
        <v>3015.8700000000003</v>
      </c>
      <c r="AM609" s="80"/>
      <c r="AN609" s="79">
        <f>ERP_5[[#This Row],[2026 Working Total to Budget/LE]]-ERP_5[[#This Row],[Giveback]]</f>
        <v>3015.8700000000003</v>
      </c>
      <c r="AO609" s="81"/>
      <c r="AP609" s="375">
        <v>843.63</v>
      </c>
      <c r="AQ609" s="375">
        <v>-313.26</v>
      </c>
      <c r="AR609" s="375">
        <v>1246.81</v>
      </c>
      <c r="AS609" s="375">
        <v>0</v>
      </c>
      <c r="AT609" s="375">
        <v>0</v>
      </c>
      <c r="AU609" s="375">
        <v>0</v>
      </c>
      <c r="AV609" s="375">
        <v>0</v>
      </c>
      <c r="AW609" s="375">
        <v>0</v>
      </c>
      <c r="AX609" s="375">
        <v>0</v>
      </c>
      <c r="AY609" s="375">
        <v>0</v>
      </c>
      <c r="AZ609" s="375">
        <v>0</v>
      </c>
      <c r="BA609" s="375">
        <v>0</v>
      </c>
      <c r="BB609" s="375">
        <v>1777.1799999999998</v>
      </c>
      <c r="BC609" s="227">
        <v>843.63</v>
      </c>
      <c r="BD609" s="227">
        <v>-313.26</v>
      </c>
      <c r="BE609" s="227">
        <v>1246.81</v>
      </c>
      <c r="BF609" s="227">
        <v>0</v>
      </c>
      <c r="BG609" s="227">
        <v>0</v>
      </c>
      <c r="BH609" s="227">
        <v>0</v>
      </c>
      <c r="BI609" s="227">
        <v>0</v>
      </c>
      <c r="BJ609" s="227">
        <v>0</v>
      </c>
      <c r="BK609" s="227">
        <v>0</v>
      </c>
      <c r="BL609" s="227">
        <v>0</v>
      </c>
      <c r="BM609" s="227">
        <v>0</v>
      </c>
      <c r="BN609" s="227">
        <v>0</v>
      </c>
      <c r="BO609" s="227">
        <v>1777.1799999999998</v>
      </c>
    </row>
    <row r="610" spans="1:67" ht="15" customHeight="1">
      <c r="A610" s="215" t="s">
        <v>2595</v>
      </c>
      <c r="B610" s="215" t="s">
        <v>2596</v>
      </c>
      <c r="C610" s="150" t="s">
        <v>1136</v>
      </c>
      <c r="D610" s="334" t="s">
        <v>1135</v>
      </c>
      <c r="E610" s="334" t="s">
        <v>1137</v>
      </c>
      <c r="F610" s="334" t="s">
        <v>1137</v>
      </c>
      <c r="G610" s="516" t="s">
        <v>639</v>
      </c>
      <c r="H610" s="398" t="s">
        <v>1327</v>
      </c>
      <c r="I610" s="343"/>
      <c r="J610" s="344"/>
      <c r="K610" s="219" t="s">
        <v>147</v>
      </c>
      <c r="L610" s="349"/>
      <c r="M610" s="343"/>
      <c r="N610" s="349"/>
      <c r="O610" s="334" t="s">
        <v>25</v>
      </c>
      <c r="P610" s="525" t="s">
        <v>1141</v>
      </c>
      <c r="Q610" s="403"/>
      <c r="R610" s="406">
        <v>0</v>
      </c>
      <c r="S610" s="406">
        <v>-1868.9199999999998</v>
      </c>
      <c r="T610" s="425"/>
      <c r="U610" s="71"/>
      <c r="V610" s="408">
        <v>0.19</v>
      </c>
      <c r="W610" s="410">
        <v>-0.3</v>
      </c>
      <c r="X610" s="410">
        <v>-1868.81</v>
      </c>
      <c r="Y610" s="428">
        <v>0</v>
      </c>
      <c r="Z610" s="429">
        <v>0</v>
      </c>
      <c r="AA610" s="429">
        <v>11.07</v>
      </c>
      <c r="AB610" s="368">
        <v>0</v>
      </c>
      <c r="AC610" s="368">
        <v>0</v>
      </c>
      <c r="AD610" s="368">
        <v>0</v>
      </c>
      <c r="AE610" s="368">
        <v>0</v>
      </c>
      <c r="AF610" s="368">
        <v>0</v>
      </c>
      <c r="AG610" s="368">
        <v>0</v>
      </c>
      <c r="AH610" s="367">
        <f t="shared" si="31"/>
        <v>-1857.85</v>
      </c>
      <c r="AI610" s="362">
        <f>ERP_5[[#This Row],[2026 Working Total]]-ERP_5[[#This Row],[LE2 Final Submission]]</f>
        <v>11.069999999999936</v>
      </c>
      <c r="AJ610" s="227">
        <v>0</v>
      </c>
      <c r="AK610" s="227">
        <f t="shared" si="30"/>
        <v>11.07</v>
      </c>
      <c r="AL610" s="374">
        <f>SUM(ERP_5[[#This Row],[AP01]:[AP06]])-SUM(ERP_5[[#This Row],[AP01 LE2]:[AP06 LE2]])</f>
        <v>11.069999999999936</v>
      </c>
      <c r="AM610" s="80"/>
      <c r="AN610" s="79">
        <f>ERP_5[[#This Row],[2026 Working Total to Budget/LE]]-ERP_5[[#This Row],[Giveback]]</f>
        <v>11.069999999999936</v>
      </c>
      <c r="AO610" s="81"/>
      <c r="AP610" s="375">
        <v>0.19</v>
      </c>
      <c r="AQ610" s="375">
        <v>-0.3</v>
      </c>
      <c r="AR610" s="375">
        <v>-1868.81</v>
      </c>
      <c r="AS610" s="375">
        <v>0</v>
      </c>
      <c r="AT610" s="375">
        <v>0</v>
      </c>
      <c r="AU610" s="375">
        <v>0</v>
      </c>
      <c r="AV610" s="375">
        <v>0</v>
      </c>
      <c r="AW610" s="375">
        <v>0</v>
      </c>
      <c r="AX610" s="375">
        <v>0</v>
      </c>
      <c r="AY610" s="375">
        <v>0</v>
      </c>
      <c r="AZ610" s="375">
        <v>0</v>
      </c>
      <c r="BA610" s="375">
        <v>0</v>
      </c>
      <c r="BB610" s="375">
        <v>-1868.9199999999998</v>
      </c>
      <c r="BC610" s="227">
        <v>0.19</v>
      </c>
      <c r="BD610" s="227">
        <v>-0.3</v>
      </c>
      <c r="BE610" s="227">
        <v>-1868.81</v>
      </c>
      <c r="BF610" s="227">
        <v>0</v>
      </c>
      <c r="BG610" s="227">
        <v>0</v>
      </c>
      <c r="BH610" s="227">
        <v>0</v>
      </c>
      <c r="BI610" s="227">
        <v>0</v>
      </c>
      <c r="BJ610" s="227">
        <v>0</v>
      </c>
      <c r="BK610" s="227">
        <v>0</v>
      </c>
      <c r="BL610" s="227">
        <v>0</v>
      </c>
      <c r="BM610" s="227">
        <v>0</v>
      </c>
      <c r="BN610" s="227">
        <v>0</v>
      </c>
      <c r="BO610" s="227">
        <v>-1868.9199999999998</v>
      </c>
    </row>
    <row r="611" spans="1:67" ht="15" customHeight="1">
      <c r="A611" s="215" t="s">
        <v>1641</v>
      </c>
      <c r="B611" s="215" t="s">
        <v>1642</v>
      </c>
      <c r="C611" s="150" t="s">
        <v>1136</v>
      </c>
      <c r="D611" s="334" t="s">
        <v>1567</v>
      </c>
      <c r="E611" s="334" t="s">
        <v>1567</v>
      </c>
      <c r="F611" s="334" t="s">
        <v>1567</v>
      </c>
      <c r="G611" s="516" t="s">
        <v>49</v>
      </c>
      <c r="H611" s="398" t="s">
        <v>1327</v>
      </c>
      <c r="I611" s="343"/>
      <c r="J611" s="344"/>
      <c r="K611" s="219" t="s">
        <v>147</v>
      </c>
      <c r="L611" s="349"/>
      <c r="M611" s="343"/>
      <c r="N611" s="349"/>
      <c r="O611" s="334" t="s">
        <v>25</v>
      </c>
      <c r="P611" s="354"/>
      <c r="Q611" s="403"/>
      <c r="R611" s="406">
        <v>0</v>
      </c>
      <c r="S611" s="406">
        <v>-2284.04</v>
      </c>
      <c r="T611" s="425"/>
      <c r="U611" s="71"/>
      <c r="V611" s="408">
        <v>0.08</v>
      </c>
      <c r="W611" s="410">
        <v>-0.17</v>
      </c>
      <c r="X611" s="410">
        <v>-2283.9499999999998</v>
      </c>
      <c r="Y611" s="428">
        <v>5124.1100000000006</v>
      </c>
      <c r="Z611" s="429">
        <v>-6526.2599999999993</v>
      </c>
      <c r="AA611" s="429">
        <v>97626.25</v>
      </c>
      <c r="AB611" s="368">
        <v>0</v>
      </c>
      <c r="AC611" s="368">
        <v>0</v>
      </c>
      <c r="AD611" s="368">
        <v>0</v>
      </c>
      <c r="AE611" s="368">
        <v>0</v>
      </c>
      <c r="AF611" s="368">
        <v>0</v>
      </c>
      <c r="AG611" s="368">
        <v>0</v>
      </c>
      <c r="AH611" s="367">
        <f t="shared" si="31"/>
        <v>93940.06</v>
      </c>
      <c r="AI611" s="362">
        <f>ERP_5[[#This Row],[2026 Working Total]]-ERP_5[[#This Row],[LE2 Final Submission]]</f>
        <v>96224.099999999991</v>
      </c>
      <c r="AJ611" s="227">
        <v>0</v>
      </c>
      <c r="AK611" s="227">
        <f t="shared" si="30"/>
        <v>97626.25</v>
      </c>
      <c r="AL611" s="374">
        <f>SUM(ERP_5[[#This Row],[AP01]:[AP06]])-SUM(ERP_5[[#This Row],[AP01 LE2]:[AP06 LE2]])</f>
        <v>96224.099999999991</v>
      </c>
      <c r="AM611" s="80"/>
      <c r="AN611" s="79">
        <f>ERP_5[[#This Row],[2026 Working Total to Budget/LE]]-ERP_5[[#This Row],[Giveback]]</f>
        <v>96224.099999999991</v>
      </c>
      <c r="AO611" s="81"/>
      <c r="AP611" s="375">
        <v>0.08</v>
      </c>
      <c r="AQ611" s="375">
        <v>-0.17</v>
      </c>
      <c r="AR611" s="375">
        <v>-2283.9499999999998</v>
      </c>
      <c r="AS611" s="375">
        <v>0</v>
      </c>
      <c r="AT611" s="375">
        <v>0</v>
      </c>
      <c r="AU611" s="375">
        <v>0</v>
      </c>
      <c r="AV611" s="375">
        <v>0</v>
      </c>
      <c r="AW611" s="375">
        <v>0</v>
      </c>
      <c r="AX611" s="375">
        <v>0</v>
      </c>
      <c r="AY611" s="375">
        <v>0</v>
      </c>
      <c r="AZ611" s="375">
        <v>0</v>
      </c>
      <c r="BA611" s="375">
        <v>0</v>
      </c>
      <c r="BB611" s="375">
        <v>-2284.04</v>
      </c>
      <c r="BC611" s="227">
        <v>0.08</v>
      </c>
      <c r="BD611" s="227">
        <v>-0.17</v>
      </c>
      <c r="BE611" s="227">
        <v>-2283.9499999999998</v>
      </c>
      <c r="BF611" s="227">
        <v>0</v>
      </c>
      <c r="BG611" s="227">
        <v>0</v>
      </c>
      <c r="BH611" s="227">
        <v>0</v>
      </c>
      <c r="BI611" s="227">
        <v>0</v>
      </c>
      <c r="BJ611" s="227">
        <v>0</v>
      </c>
      <c r="BK611" s="227">
        <v>0</v>
      </c>
      <c r="BL611" s="227">
        <v>0</v>
      </c>
      <c r="BM611" s="227">
        <v>0</v>
      </c>
      <c r="BN611" s="227">
        <v>0</v>
      </c>
      <c r="BO611" s="227">
        <v>-2284.04</v>
      </c>
    </row>
    <row r="612" spans="1:67" ht="15" customHeight="1">
      <c r="A612" s="215" t="s">
        <v>2807</v>
      </c>
      <c r="B612" s="215" t="s">
        <v>2808</v>
      </c>
      <c r="C612" s="150" t="s">
        <v>1136</v>
      </c>
      <c r="D612" s="334" t="s">
        <v>1567</v>
      </c>
      <c r="E612" s="334" t="s">
        <v>1567</v>
      </c>
      <c r="F612" s="334" t="s">
        <v>1567</v>
      </c>
      <c r="G612" s="516" t="s">
        <v>639</v>
      </c>
      <c r="H612" s="398" t="s">
        <v>1327</v>
      </c>
      <c r="I612" s="343"/>
      <c r="J612" s="344"/>
      <c r="K612" s="219" t="s">
        <v>147</v>
      </c>
      <c r="L612" s="349"/>
      <c r="M612" s="343"/>
      <c r="N612" s="349"/>
      <c r="O612" s="334" t="s">
        <v>25</v>
      </c>
      <c r="P612" s="354"/>
      <c r="Q612" s="403"/>
      <c r="R612" s="406">
        <v>0</v>
      </c>
      <c r="S612" s="406">
        <v>-711.61</v>
      </c>
      <c r="T612" s="425"/>
      <c r="U612" s="71"/>
      <c r="V612" s="408">
        <v>-0.39</v>
      </c>
      <c r="W612" s="410">
        <v>0.11</v>
      </c>
      <c r="X612" s="410">
        <v>-711.33</v>
      </c>
      <c r="Y612" s="428">
        <v>0</v>
      </c>
      <c r="Z612" s="429">
        <v>0</v>
      </c>
      <c r="AA612" s="429">
        <v>-0.28999999999999998</v>
      </c>
      <c r="AB612" s="368">
        <v>0</v>
      </c>
      <c r="AC612" s="368">
        <v>0</v>
      </c>
      <c r="AD612" s="368">
        <v>0</v>
      </c>
      <c r="AE612" s="368">
        <v>0</v>
      </c>
      <c r="AF612" s="368">
        <v>0</v>
      </c>
      <c r="AG612" s="368">
        <v>0</v>
      </c>
      <c r="AH612" s="367">
        <f t="shared" si="31"/>
        <v>-711.9</v>
      </c>
      <c r="AI612" s="362">
        <f>ERP_5[[#This Row],[2026 Working Total]]-ERP_5[[#This Row],[LE2 Final Submission]]</f>
        <v>-0.28999999999996362</v>
      </c>
      <c r="AJ612" s="227">
        <v>0</v>
      </c>
      <c r="AK612" s="227">
        <f t="shared" si="30"/>
        <v>-0.28999999999999998</v>
      </c>
      <c r="AL612" s="374">
        <f>SUM(ERP_5[[#This Row],[AP01]:[AP06]])-SUM(ERP_5[[#This Row],[AP01 LE2]:[AP06 LE2]])</f>
        <v>-0.28999999999996362</v>
      </c>
      <c r="AM612" s="80"/>
      <c r="AN612" s="79">
        <f>ERP_5[[#This Row],[2026 Working Total to Budget/LE]]-ERP_5[[#This Row],[Giveback]]</f>
        <v>-0.28999999999996362</v>
      </c>
      <c r="AO612" s="81"/>
      <c r="AP612" s="375">
        <v>-0.39</v>
      </c>
      <c r="AQ612" s="375">
        <v>0.11</v>
      </c>
      <c r="AR612" s="375">
        <v>-711.33</v>
      </c>
      <c r="AS612" s="375">
        <v>0</v>
      </c>
      <c r="AT612" s="375">
        <v>0</v>
      </c>
      <c r="AU612" s="375">
        <v>0</v>
      </c>
      <c r="AV612" s="375">
        <v>0</v>
      </c>
      <c r="AW612" s="375">
        <v>0</v>
      </c>
      <c r="AX612" s="375">
        <v>0</v>
      </c>
      <c r="AY612" s="375">
        <v>0</v>
      </c>
      <c r="AZ612" s="375">
        <v>0</v>
      </c>
      <c r="BA612" s="375">
        <v>0</v>
      </c>
      <c r="BB612" s="375">
        <v>-711.61</v>
      </c>
      <c r="BC612" s="227">
        <v>-0.39</v>
      </c>
      <c r="BD612" s="227">
        <v>0.11</v>
      </c>
      <c r="BE612" s="227">
        <v>-711.33</v>
      </c>
      <c r="BF612" s="227">
        <v>0</v>
      </c>
      <c r="BG612" s="227">
        <v>0</v>
      </c>
      <c r="BH612" s="227">
        <v>0</v>
      </c>
      <c r="BI612" s="227">
        <v>0</v>
      </c>
      <c r="BJ612" s="227">
        <v>0</v>
      </c>
      <c r="BK612" s="227">
        <v>0</v>
      </c>
      <c r="BL612" s="227">
        <v>0</v>
      </c>
      <c r="BM612" s="227">
        <v>0</v>
      </c>
      <c r="BN612" s="227">
        <v>0</v>
      </c>
      <c r="BO612" s="227">
        <v>-711.61</v>
      </c>
    </row>
    <row r="613" spans="1:67" ht="15" customHeight="1">
      <c r="A613" s="215" t="s">
        <v>1746</v>
      </c>
      <c r="B613" s="215" t="s">
        <v>1747</v>
      </c>
      <c r="C613" s="150" t="s">
        <v>1136</v>
      </c>
      <c r="D613" s="334" t="s">
        <v>1567</v>
      </c>
      <c r="E613" s="334" t="s">
        <v>1567</v>
      </c>
      <c r="F613" s="334" t="s">
        <v>1567</v>
      </c>
      <c r="G613" s="516" t="s">
        <v>342</v>
      </c>
      <c r="H613" s="398" t="s">
        <v>1327</v>
      </c>
      <c r="I613" s="343"/>
      <c r="J613" s="344"/>
      <c r="K613" s="219" t="s">
        <v>147</v>
      </c>
      <c r="L613" s="349"/>
      <c r="M613" s="343"/>
      <c r="N613" s="349"/>
      <c r="O613" s="334" t="s">
        <v>25</v>
      </c>
      <c r="P613" s="354"/>
      <c r="Q613" s="403"/>
      <c r="R613" s="406">
        <v>0</v>
      </c>
      <c r="S613" s="406">
        <v>-0.23</v>
      </c>
      <c r="T613" s="425"/>
      <c r="U613" s="71"/>
      <c r="V613" s="408"/>
      <c r="W613" s="410"/>
      <c r="X613" s="410">
        <v>-0.23</v>
      </c>
      <c r="Y613" s="428">
        <v>-0.01</v>
      </c>
      <c r="Z613" s="429">
        <v>0</v>
      </c>
      <c r="AA613" s="429">
        <v>0</v>
      </c>
      <c r="AB613" s="368">
        <v>0</v>
      </c>
      <c r="AC613" s="368">
        <v>0</v>
      </c>
      <c r="AD613" s="368">
        <v>0</v>
      </c>
      <c r="AE613" s="368">
        <v>0</v>
      </c>
      <c r="AF613" s="368">
        <v>0</v>
      </c>
      <c r="AG613" s="368">
        <v>0</v>
      </c>
      <c r="AH613" s="367">
        <f t="shared" si="31"/>
        <v>-0.24000000000000002</v>
      </c>
      <c r="AI613" s="362">
        <f>ERP_5[[#This Row],[2026 Working Total]]-ERP_5[[#This Row],[LE2 Final Submission]]</f>
        <v>-1.0000000000000009E-2</v>
      </c>
      <c r="AJ613" s="227">
        <v>0</v>
      </c>
      <c r="AK613" s="227">
        <f t="shared" si="30"/>
        <v>0</v>
      </c>
      <c r="AL613" s="374">
        <f>SUM(ERP_5[[#This Row],[AP01]:[AP06]])-SUM(ERP_5[[#This Row],[AP01 LE2]:[AP06 LE2]])</f>
        <v>-1.0000000000000009E-2</v>
      </c>
      <c r="AM613" s="80"/>
      <c r="AN613" s="79">
        <f>ERP_5[[#This Row],[2026 Working Total to Budget/LE]]-ERP_5[[#This Row],[Giveback]]</f>
        <v>-1.0000000000000009E-2</v>
      </c>
      <c r="AO613" s="81"/>
      <c r="AP613" s="375"/>
      <c r="AQ613" s="375"/>
      <c r="AR613" s="375">
        <v>-0.23</v>
      </c>
      <c r="AS613" s="375">
        <v>0</v>
      </c>
      <c r="AT613" s="375">
        <v>0</v>
      </c>
      <c r="AU613" s="375">
        <v>0</v>
      </c>
      <c r="AV613" s="375">
        <v>0</v>
      </c>
      <c r="AW613" s="375">
        <v>0</v>
      </c>
      <c r="AX613" s="375">
        <v>0</v>
      </c>
      <c r="AY613" s="375">
        <v>0</v>
      </c>
      <c r="AZ613" s="375">
        <v>0</v>
      </c>
      <c r="BA613" s="375">
        <v>0</v>
      </c>
      <c r="BB613" s="375">
        <v>-0.23</v>
      </c>
      <c r="BC613" s="227"/>
      <c r="BD613" s="227"/>
      <c r="BE613" s="227">
        <v>-0.23</v>
      </c>
      <c r="BF613" s="227">
        <v>0</v>
      </c>
      <c r="BG613" s="227">
        <v>0</v>
      </c>
      <c r="BH613" s="227">
        <v>0</v>
      </c>
      <c r="BI613" s="227">
        <v>0</v>
      </c>
      <c r="BJ613" s="227">
        <v>0</v>
      </c>
      <c r="BK613" s="227">
        <v>0</v>
      </c>
      <c r="BL613" s="227">
        <v>0</v>
      </c>
      <c r="BM613" s="227">
        <v>0</v>
      </c>
      <c r="BN613" s="227">
        <v>0</v>
      </c>
      <c r="BO613" s="227">
        <v>-0.23</v>
      </c>
    </row>
    <row r="614" spans="1:67" ht="15" customHeight="1">
      <c r="A614" s="215" t="s">
        <v>2131</v>
      </c>
      <c r="B614" s="215" t="s">
        <v>2132</v>
      </c>
      <c r="C614" s="150" t="s">
        <v>1136</v>
      </c>
      <c r="D614" s="334" t="s">
        <v>1567</v>
      </c>
      <c r="E614" s="334" t="s">
        <v>1567</v>
      </c>
      <c r="F614" s="334" t="s">
        <v>1567</v>
      </c>
      <c r="G614" s="516" t="s">
        <v>389</v>
      </c>
      <c r="H614" s="398" t="s">
        <v>1327</v>
      </c>
      <c r="I614" s="343"/>
      <c r="J614" s="344"/>
      <c r="K614" s="219" t="s">
        <v>147</v>
      </c>
      <c r="L614" s="349"/>
      <c r="M614" s="343"/>
      <c r="N614" s="349"/>
      <c r="O614" s="334" t="s">
        <v>25</v>
      </c>
      <c r="P614" s="354"/>
      <c r="Q614" s="403"/>
      <c r="R614" s="406">
        <v>0</v>
      </c>
      <c r="S614" s="406">
        <v>1501.59</v>
      </c>
      <c r="T614" s="425"/>
      <c r="U614" s="71"/>
      <c r="V614" s="408">
        <v>-0.46</v>
      </c>
      <c r="W614" s="410">
        <v>0.71</v>
      </c>
      <c r="X614" s="410">
        <v>1501.34</v>
      </c>
      <c r="Y614" s="428">
        <v>0.24</v>
      </c>
      <c r="Z614" s="429">
        <v>0.2</v>
      </c>
      <c r="AA614" s="429">
        <v>1249.95</v>
      </c>
      <c r="AB614" s="368">
        <v>0</v>
      </c>
      <c r="AC614" s="368">
        <v>0</v>
      </c>
      <c r="AD614" s="368">
        <v>0</v>
      </c>
      <c r="AE614" s="368">
        <v>0</v>
      </c>
      <c r="AF614" s="368">
        <v>0</v>
      </c>
      <c r="AG614" s="368">
        <v>0</v>
      </c>
      <c r="AH614" s="367">
        <f t="shared" si="31"/>
        <v>2751.98</v>
      </c>
      <c r="AI614" s="362">
        <f>ERP_5[[#This Row],[2026 Working Total]]-ERP_5[[#This Row],[LE2 Final Submission]]</f>
        <v>1250.3900000000001</v>
      </c>
      <c r="AJ614" s="227">
        <v>0</v>
      </c>
      <c r="AK614" s="227">
        <f t="shared" si="30"/>
        <v>1249.95</v>
      </c>
      <c r="AL614" s="374">
        <f>SUM(ERP_5[[#This Row],[AP01]:[AP06]])-SUM(ERP_5[[#This Row],[AP01 LE2]:[AP06 LE2]])</f>
        <v>1250.3900000000001</v>
      </c>
      <c r="AM614" s="80"/>
      <c r="AN614" s="79">
        <f>ERP_5[[#This Row],[2026 Working Total to Budget/LE]]-ERP_5[[#This Row],[Giveback]]</f>
        <v>1250.3900000000001</v>
      </c>
      <c r="AO614" s="81"/>
      <c r="AP614" s="375">
        <v>-0.46</v>
      </c>
      <c r="AQ614" s="375">
        <v>0.71</v>
      </c>
      <c r="AR614" s="375">
        <v>1501.34</v>
      </c>
      <c r="AS614" s="375">
        <v>0</v>
      </c>
      <c r="AT614" s="375">
        <v>0</v>
      </c>
      <c r="AU614" s="375">
        <v>0</v>
      </c>
      <c r="AV614" s="375">
        <v>0</v>
      </c>
      <c r="AW614" s="375">
        <v>0</v>
      </c>
      <c r="AX614" s="375">
        <v>0</v>
      </c>
      <c r="AY614" s="375">
        <v>0</v>
      </c>
      <c r="AZ614" s="375">
        <v>0</v>
      </c>
      <c r="BA614" s="375">
        <v>0</v>
      </c>
      <c r="BB614" s="375">
        <v>1501.59</v>
      </c>
      <c r="BC614" s="227">
        <v>-0.46</v>
      </c>
      <c r="BD614" s="227">
        <v>0.71</v>
      </c>
      <c r="BE614" s="227">
        <v>1501.34</v>
      </c>
      <c r="BF614" s="227">
        <v>0</v>
      </c>
      <c r="BG614" s="227">
        <v>0</v>
      </c>
      <c r="BH614" s="227">
        <v>0</v>
      </c>
      <c r="BI614" s="227">
        <v>0</v>
      </c>
      <c r="BJ614" s="227">
        <v>0</v>
      </c>
      <c r="BK614" s="227">
        <v>0</v>
      </c>
      <c r="BL614" s="227">
        <v>0</v>
      </c>
      <c r="BM614" s="227">
        <v>0</v>
      </c>
      <c r="BN614" s="227">
        <v>0</v>
      </c>
      <c r="BO614" s="227">
        <v>1501.59</v>
      </c>
    </row>
    <row r="615" spans="1:67" ht="15" customHeight="1">
      <c r="A615" s="215" t="s">
        <v>1330</v>
      </c>
      <c r="B615" s="215" t="s">
        <v>1331</v>
      </c>
      <c r="C615" s="150" t="s">
        <v>1136</v>
      </c>
      <c r="D615" s="334" t="s">
        <v>1135</v>
      </c>
      <c r="E615" s="334" t="s">
        <v>1145</v>
      </c>
      <c r="F615" s="334" t="s">
        <v>1137</v>
      </c>
      <c r="G615" s="516" t="s">
        <v>49</v>
      </c>
      <c r="H615" s="398" t="s">
        <v>1327</v>
      </c>
      <c r="I615" s="343"/>
      <c r="J615" s="344"/>
      <c r="K615" s="219" t="s">
        <v>147</v>
      </c>
      <c r="L615" s="349"/>
      <c r="M615" s="343"/>
      <c r="N615" s="349"/>
      <c r="O615" s="334" t="s">
        <v>25</v>
      </c>
      <c r="P615" s="354"/>
      <c r="Q615" s="403"/>
      <c r="R615" s="406">
        <v>0</v>
      </c>
      <c r="S615" s="406">
        <v>5030.5599999999995</v>
      </c>
      <c r="T615" s="425"/>
      <c r="U615" s="71"/>
      <c r="V615" s="408">
        <v>-0.36</v>
      </c>
      <c r="W615" s="410">
        <v>0.35</v>
      </c>
      <c r="X615" s="410">
        <v>5030.57</v>
      </c>
      <c r="Y615" s="428">
        <v>0.46</v>
      </c>
      <c r="Z615" s="429">
        <v>0.34</v>
      </c>
      <c r="AA615" s="429">
        <v>-0.41</v>
      </c>
      <c r="AB615" s="368">
        <v>0</v>
      </c>
      <c r="AC615" s="368">
        <v>0</v>
      </c>
      <c r="AD615" s="368">
        <v>0</v>
      </c>
      <c r="AE615" s="368">
        <v>0</v>
      </c>
      <c r="AF615" s="368">
        <v>0</v>
      </c>
      <c r="AG615" s="368">
        <v>0</v>
      </c>
      <c r="AH615" s="367">
        <f t="shared" si="31"/>
        <v>5030.95</v>
      </c>
      <c r="AI615" s="362">
        <f>ERP_5[[#This Row],[2026 Working Total]]-ERP_5[[#This Row],[LE2 Final Submission]]</f>
        <v>0.39000000000032742</v>
      </c>
      <c r="AJ615" s="227">
        <v>0</v>
      </c>
      <c r="AK615" s="227">
        <f t="shared" si="30"/>
        <v>-0.41</v>
      </c>
      <c r="AL615" s="374">
        <f>SUM(ERP_5[[#This Row],[AP01]:[AP06]])-SUM(ERP_5[[#This Row],[AP01 LE2]:[AP06 LE2]])</f>
        <v>0.39000000000032742</v>
      </c>
      <c r="AM615" s="80"/>
      <c r="AN615" s="79">
        <f>ERP_5[[#This Row],[2026 Working Total to Budget/LE]]-ERP_5[[#This Row],[Giveback]]</f>
        <v>0.39000000000032742</v>
      </c>
      <c r="AO615" s="81"/>
      <c r="AP615" s="375">
        <v>-0.36</v>
      </c>
      <c r="AQ615" s="375">
        <v>0.35</v>
      </c>
      <c r="AR615" s="375">
        <v>5030.57</v>
      </c>
      <c r="AS615" s="375">
        <v>0</v>
      </c>
      <c r="AT615" s="375">
        <v>0</v>
      </c>
      <c r="AU615" s="375">
        <v>0</v>
      </c>
      <c r="AV615" s="375">
        <v>0</v>
      </c>
      <c r="AW615" s="375">
        <v>0</v>
      </c>
      <c r="AX615" s="375">
        <v>0</v>
      </c>
      <c r="AY615" s="375">
        <v>0</v>
      </c>
      <c r="AZ615" s="375">
        <v>0</v>
      </c>
      <c r="BA615" s="375">
        <v>0</v>
      </c>
      <c r="BB615" s="375">
        <v>5030.5599999999995</v>
      </c>
      <c r="BC615" s="227">
        <v>-0.36</v>
      </c>
      <c r="BD615" s="227">
        <v>0.35</v>
      </c>
      <c r="BE615" s="227">
        <v>5030.57</v>
      </c>
      <c r="BF615" s="227">
        <v>0</v>
      </c>
      <c r="BG615" s="227">
        <v>0</v>
      </c>
      <c r="BH615" s="227">
        <v>0</v>
      </c>
      <c r="BI615" s="227">
        <v>0</v>
      </c>
      <c r="BJ615" s="227">
        <v>0</v>
      </c>
      <c r="BK615" s="227">
        <v>0</v>
      </c>
      <c r="BL615" s="227">
        <v>0</v>
      </c>
      <c r="BM615" s="227">
        <v>0</v>
      </c>
      <c r="BN615" s="227">
        <v>0</v>
      </c>
      <c r="BO615" s="227">
        <v>5030.5599999999995</v>
      </c>
    </row>
    <row r="616" spans="1:67" ht="15" customHeight="1">
      <c r="A616" s="215" t="s">
        <v>1957</v>
      </c>
      <c r="B616" s="215" t="s">
        <v>1958</v>
      </c>
      <c r="C616" s="150" t="s">
        <v>1136</v>
      </c>
      <c r="D616" s="334" t="s">
        <v>1135</v>
      </c>
      <c r="E616" s="334" t="s">
        <v>1145</v>
      </c>
      <c r="F616" s="334" t="s">
        <v>1137</v>
      </c>
      <c r="G616" s="516" t="s">
        <v>389</v>
      </c>
      <c r="H616" s="398" t="s">
        <v>1327</v>
      </c>
      <c r="I616" s="343"/>
      <c r="J616" s="344"/>
      <c r="K616" s="219" t="s">
        <v>147</v>
      </c>
      <c r="L616" s="349"/>
      <c r="M616" s="343"/>
      <c r="N616" s="349"/>
      <c r="O616" s="334" t="s">
        <v>25</v>
      </c>
      <c r="P616" s="354"/>
      <c r="Q616" s="403"/>
      <c r="R616" s="406">
        <v>0</v>
      </c>
      <c r="S616" s="406">
        <v>-0.12</v>
      </c>
      <c r="T616" s="425"/>
      <c r="U616" s="71"/>
      <c r="V616" s="408">
        <v>0.02</v>
      </c>
      <c r="W616" s="410">
        <v>0.04</v>
      </c>
      <c r="X616" s="410">
        <v>-0.18</v>
      </c>
      <c r="Y616" s="428">
        <v>-0.02</v>
      </c>
      <c r="Z616" s="429">
        <v>0.19</v>
      </c>
      <c r="AA616" s="429">
        <v>-0.36</v>
      </c>
      <c r="AB616" s="368">
        <v>0</v>
      </c>
      <c r="AC616" s="368">
        <v>0</v>
      </c>
      <c r="AD616" s="368">
        <v>0</v>
      </c>
      <c r="AE616" s="368">
        <v>0</v>
      </c>
      <c r="AF616" s="368">
        <v>0</v>
      </c>
      <c r="AG616" s="368">
        <v>0</v>
      </c>
      <c r="AH616" s="367">
        <f t="shared" si="31"/>
        <v>-0.30999999999999994</v>
      </c>
      <c r="AI616" s="362">
        <f>ERP_5[[#This Row],[2026 Working Total]]-ERP_5[[#This Row],[LE2 Final Submission]]</f>
        <v>-0.18999999999999995</v>
      </c>
      <c r="AJ616" s="227">
        <v>0</v>
      </c>
      <c r="AK616" s="227">
        <f t="shared" si="30"/>
        <v>-0.36</v>
      </c>
      <c r="AL616" s="374">
        <f>SUM(ERP_5[[#This Row],[AP01]:[AP06]])-SUM(ERP_5[[#This Row],[AP01 LE2]:[AP06 LE2]])</f>
        <v>-0.18999999999999995</v>
      </c>
      <c r="AM616" s="80"/>
      <c r="AN616" s="79">
        <f>ERP_5[[#This Row],[2026 Working Total to Budget/LE]]-ERP_5[[#This Row],[Giveback]]</f>
        <v>-0.18999999999999995</v>
      </c>
      <c r="AO616" s="81"/>
      <c r="AP616" s="375">
        <v>0.02</v>
      </c>
      <c r="AQ616" s="375">
        <v>0.04</v>
      </c>
      <c r="AR616" s="375">
        <v>-0.18</v>
      </c>
      <c r="AS616" s="375">
        <v>0</v>
      </c>
      <c r="AT616" s="375">
        <v>0</v>
      </c>
      <c r="AU616" s="375">
        <v>0</v>
      </c>
      <c r="AV616" s="375">
        <v>0</v>
      </c>
      <c r="AW616" s="375">
        <v>0</v>
      </c>
      <c r="AX616" s="375">
        <v>0</v>
      </c>
      <c r="AY616" s="375">
        <v>0</v>
      </c>
      <c r="AZ616" s="375">
        <v>0</v>
      </c>
      <c r="BA616" s="375">
        <v>0</v>
      </c>
      <c r="BB616" s="375">
        <v>-0.12</v>
      </c>
      <c r="BC616" s="227">
        <v>0.02</v>
      </c>
      <c r="BD616" s="227">
        <v>0.04</v>
      </c>
      <c r="BE616" s="227">
        <v>-0.18</v>
      </c>
      <c r="BF616" s="227">
        <v>0</v>
      </c>
      <c r="BG616" s="227">
        <v>0</v>
      </c>
      <c r="BH616" s="227">
        <v>0</v>
      </c>
      <c r="BI616" s="227">
        <v>0</v>
      </c>
      <c r="BJ616" s="227">
        <v>0</v>
      </c>
      <c r="BK616" s="227">
        <v>0</v>
      </c>
      <c r="BL616" s="227">
        <v>0</v>
      </c>
      <c r="BM616" s="227">
        <v>0</v>
      </c>
      <c r="BN616" s="227">
        <v>0</v>
      </c>
      <c r="BO616" s="227">
        <v>-0.12</v>
      </c>
    </row>
    <row r="617" spans="1:67" ht="15" customHeight="1">
      <c r="A617" s="215" t="s">
        <v>2597</v>
      </c>
      <c r="B617" s="215" t="s">
        <v>2598</v>
      </c>
      <c r="C617" s="150" t="s">
        <v>1136</v>
      </c>
      <c r="D617" s="334" t="s">
        <v>1135</v>
      </c>
      <c r="E617" s="334" t="s">
        <v>1145</v>
      </c>
      <c r="F617" s="334" t="s">
        <v>1137</v>
      </c>
      <c r="G617" s="516" t="s">
        <v>639</v>
      </c>
      <c r="H617" s="398" t="s">
        <v>1327</v>
      </c>
      <c r="I617" s="343"/>
      <c r="J617" s="344"/>
      <c r="K617" s="219" t="s">
        <v>147</v>
      </c>
      <c r="L617" s="349"/>
      <c r="M617" s="343"/>
      <c r="N617" s="349"/>
      <c r="O617" s="334" t="s">
        <v>25</v>
      </c>
      <c r="P617" s="354"/>
      <c r="Q617" s="403"/>
      <c r="R617" s="406">
        <v>0</v>
      </c>
      <c r="S617" s="406">
        <v>-0.26</v>
      </c>
      <c r="T617" s="425"/>
      <c r="U617" s="71"/>
      <c r="V617" s="408">
        <v>-0.15</v>
      </c>
      <c r="W617" s="410">
        <v>0.31</v>
      </c>
      <c r="X617" s="410">
        <v>-0.42</v>
      </c>
      <c r="Y617" s="428">
        <v>-8.9999999999918145E-2</v>
      </c>
      <c r="Z617" s="429">
        <v>0.44</v>
      </c>
      <c r="AA617" s="429">
        <v>-0.49</v>
      </c>
      <c r="AB617" s="368">
        <v>0</v>
      </c>
      <c r="AC617" s="368">
        <v>0</v>
      </c>
      <c r="AD617" s="368">
        <v>0</v>
      </c>
      <c r="AE617" s="368">
        <v>0</v>
      </c>
      <c r="AF617" s="368">
        <v>0</v>
      </c>
      <c r="AG617" s="368">
        <v>0</v>
      </c>
      <c r="AH617" s="367">
        <f t="shared" si="31"/>
        <v>-0.39999999999991814</v>
      </c>
      <c r="AI617" s="362">
        <f>ERP_5[[#This Row],[2026 Working Total]]-ERP_5[[#This Row],[LE2 Final Submission]]</f>
        <v>-0.13999999999991813</v>
      </c>
      <c r="AJ617" s="227">
        <v>0</v>
      </c>
      <c r="AK617" s="227">
        <f t="shared" si="30"/>
        <v>-0.49</v>
      </c>
      <c r="AL617" s="374">
        <f>SUM(ERP_5[[#This Row],[AP01]:[AP06]])-SUM(ERP_5[[#This Row],[AP01 LE2]:[AP06 LE2]])</f>
        <v>-0.13999999999991813</v>
      </c>
      <c r="AM617" s="80"/>
      <c r="AN617" s="79">
        <f>ERP_5[[#This Row],[2026 Working Total to Budget/LE]]-ERP_5[[#This Row],[Giveback]]</f>
        <v>-0.13999999999991813</v>
      </c>
      <c r="AO617" s="81"/>
      <c r="AP617" s="375">
        <v>-0.15</v>
      </c>
      <c r="AQ617" s="375">
        <v>0.31</v>
      </c>
      <c r="AR617" s="375">
        <v>-0.42</v>
      </c>
      <c r="AS617" s="375">
        <v>0</v>
      </c>
      <c r="AT617" s="375">
        <v>0</v>
      </c>
      <c r="AU617" s="375">
        <v>0</v>
      </c>
      <c r="AV617" s="375">
        <v>0</v>
      </c>
      <c r="AW617" s="375">
        <v>0</v>
      </c>
      <c r="AX617" s="375">
        <v>0</v>
      </c>
      <c r="AY617" s="375">
        <v>0</v>
      </c>
      <c r="AZ617" s="375">
        <v>0</v>
      </c>
      <c r="BA617" s="375">
        <v>0</v>
      </c>
      <c r="BB617" s="375">
        <v>-0.26</v>
      </c>
      <c r="BC617" s="227">
        <v>-0.15</v>
      </c>
      <c r="BD617" s="227">
        <v>0.31</v>
      </c>
      <c r="BE617" s="227">
        <v>-0.42</v>
      </c>
      <c r="BF617" s="227">
        <v>0</v>
      </c>
      <c r="BG617" s="227">
        <v>0</v>
      </c>
      <c r="BH617" s="227">
        <v>0</v>
      </c>
      <c r="BI617" s="227">
        <v>0</v>
      </c>
      <c r="BJ617" s="227">
        <v>0</v>
      </c>
      <c r="BK617" s="227">
        <v>0</v>
      </c>
      <c r="BL617" s="227">
        <v>0</v>
      </c>
      <c r="BM617" s="227">
        <v>0</v>
      </c>
      <c r="BN617" s="227">
        <v>0</v>
      </c>
      <c r="BO617" s="227">
        <v>-0.26</v>
      </c>
    </row>
    <row r="618" spans="1:67" ht="15" customHeight="1">
      <c r="A618" s="215" t="s">
        <v>1332</v>
      </c>
      <c r="B618" s="215" t="s">
        <v>1333</v>
      </c>
      <c r="C618" s="150" t="s">
        <v>1136</v>
      </c>
      <c r="D618" s="334" t="s">
        <v>1135</v>
      </c>
      <c r="E618" s="334" t="s">
        <v>1156</v>
      </c>
      <c r="F618" s="334" t="s">
        <v>1137</v>
      </c>
      <c r="G618" s="516" t="s">
        <v>49</v>
      </c>
      <c r="H618" s="398" t="s">
        <v>1327</v>
      </c>
      <c r="I618" s="343"/>
      <c r="J618" s="344"/>
      <c r="K618" s="219" t="s">
        <v>147</v>
      </c>
      <c r="L618" s="349"/>
      <c r="M618" s="343"/>
      <c r="N618" s="349"/>
      <c r="O618" s="334" t="s">
        <v>25</v>
      </c>
      <c r="P618" s="354"/>
      <c r="Q618" s="403"/>
      <c r="R618" s="406">
        <v>0</v>
      </c>
      <c r="S618" s="406">
        <v>-0.26</v>
      </c>
      <c r="T618" s="425"/>
      <c r="U618" s="71"/>
      <c r="V618" s="408">
        <v>-0.38</v>
      </c>
      <c r="W618" s="410">
        <v>0.21</v>
      </c>
      <c r="X618" s="410">
        <v>-0.09</v>
      </c>
      <c r="Y618" s="428">
        <v>0.14000000000000001</v>
      </c>
      <c r="Z618" s="429">
        <v>0.52</v>
      </c>
      <c r="AA618" s="429">
        <v>-0.63</v>
      </c>
      <c r="AB618" s="368">
        <v>0</v>
      </c>
      <c r="AC618" s="368">
        <v>0</v>
      </c>
      <c r="AD618" s="368">
        <v>0</v>
      </c>
      <c r="AE618" s="368">
        <v>0</v>
      </c>
      <c r="AF618" s="368">
        <v>0</v>
      </c>
      <c r="AG618" s="368">
        <v>0</v>
      </c>
      <c r="AH618" s="367">
        <f t="shared" si="31"/>
        <v>-0.22999999999999998</v>
      </c>
      <c r="AI618" s="362">
        <f>ERP_5[[#This Row],[2026 Working Total]]-ERP_5[[#This Row],[LE2 Final Submission]]</f>
        <v>3.0000000000000027E-2</v>
      </c>
      <c r="AJ618" s="227">
        <v>0</v>
      </c>
      <c r="AK618" s="227">
        <f t="shared" si="30"/>
        <v>-0.63</v>
      </c>
      <c r="AL618" s="374">
        <f>SUM(ERP_5[[#This Row],[AP01]:[AP06]])-SUM(ERP_5[[#This Row],[AP01 LE2]:[AP06 LE2]])</f>
        <v>3.0000000000000027E-2</v>
      </c>
      <c r="AM618" s="80"/>
      <c r="AN618" s="79">
        <f>ERP_5[[#This Row],[2026 Working Total to Budget/LE]]-ERP_5[[#This Row],[Giveback]]</f>
        <v>3.0000000000000027E-2</v>
      </c>
      <c r="AO618" s="81"/>
      <c r="AP618" s="375">
        <v>-0.38</v>
      </c>
      <c r="AQ618" s="375">
        <v>0.21</v>
      </c>
      <c r="AR618" s="375">
        <v>-0.09</v>
      </c>
      <c r="AS618" s="375">
        <v>0</v>
      </c>
      <c r="AT618" s="375">
        <v>0</v>
      </c>
      <c r="AU618" s="375">
        <v>0</v>
      </c>
      <c r="AV618" s="375">
        <v>0</v>
      </c>
      <c r="AW618" s="375">
        <v>0</v>
      </c>
      <c r="AX618" s="375">
        <v>0</v>
      </c>
      <c r="AY618" s="375">
        <v>0</v>
      </c>
      <c r="AZ618" s="375">
        <v>0</v>
      </c>
      <c r="BA618" s="375">
        <v>0</v>
      </c>
      <c r="BB618" s="375">
        <v>-0.26</v>
      </c>
      <c r="BC618" s="227">
        <v>-0.38</v>
      </c>
      <c r="BD618" s="227">
        <v>0.21</v>
      </c>
      <c r="BE618" s="227">
        <v>-0.09</v>
      </c>
      <c r="BF618" s="227">
        <v>0</v>
      </c>
      <c r="BG618" s="227">
        <v>0</v>
      </c>
      <c r="BH618" s="227">
        <v>0</v>
      </c>
      <c r="BI618" s="227">
        <v>0</v>
      </c>
      <c r="BJ618" s="227">
        <v>0</v>
      </c>
      <c r="BK618" s="227">
        <v>0</v>
      </c>
      <c r="BL618" s="227">
        <v>0</v>
      </c>
      <c r="BM618" s="227">
        <v>0</v>
      </c>
      <c r="BN618" s="227">
        <v>0</v>
      </c>
      <c r="BO618" s="227">
        <v>-0.26</v>
      </c>
    </row>
    <row r="619" spans="1:67" ht="15" customHeight="1">
      <c r="A619" s="215" t="s">
        <v>1659</v>
      </c>
      <c r="B619" s="215" t="s">
        <v>331</v>
      </c>
      <c r="C619" s="150" t="s">
        <v>1136</v>
      </c>
      <c r="D619" s="334" t="s">
        <v>1650</v>
      </c>
      <c r="E619" s="334" t="s">
        <v>1650</v>
      </c>
      <c r="F619" s="334" t="s">
        <v>1650</v>
      </c>
      <c r="G619" s="516" t="s">
        <v>49</v>
      </c>
      <c r="H619" s="398" t="s">
        <v>1327</v>
      </c>
      <c r="I619" s="343"/>
      <c r="J619" s="344"/>
      <c r="K619" s="219" t="s">
        <v>147</v>
      </c>
      <c r="L619" s="349"/>
      <c r="M619" s="343"/>
      <c r="N619" s="349"/>
      <c r="O619" s="334" t="s">
        <v>25</v>
      </c>
      <c r="P619" s="354"/>
      <c r="Q619" s="403"/>
      <c r="R619" s="406">
        <v>0</v>
      </c>
      <c r="S619" s="406">
        <v>79.110000000000298</v>
      </c>
      <c r="T619" s="425"/>
      <c r="U619" s="71"/>
      <c r="V619" s="408">
        <v>0.01</v>
      </c>
      <c r="W619" s="410">
        <v>0.42</v>
      </c>
      <c r="X619" s="412">
        <f>-54821.32+54900</f>
        <v>78.680000000000291</v>
      </c>
      <c r="Y619" s="428">
        <v>-0.62</v>
      </c>
      <c r="Z619" s="481">
        <v>-20720.55</v>
      </c>
      <c r="AA619" s="429">
        <v>0</v>
      </c>
      <c r="AB619" s="368">
        <v>0</v>
      </c>
      <c r="AC619" s="368">
        <v>0</v>
      </c>
      <c r="AD619" s="368">
        <v>0</v>
      </c>
      <c r="AE619" s="368">
        <v>0</v>
      </c>
      <c r="AF619" s="368">
        <v>0</v>
      </c>
      <c r="AG619" s="368">
        <v>0</v>
      </c>
      <c r="AH619" s="367">
        <f t="shared" si="31"/>
        <v>-20642.059999999998</v>
      </c>
      <c r="AI619" s="362">
        <f>ERP_5[[#This Row],[2026 Working Total]]-ERP_5[[#This Row],[LE2 Final Submission]]</f>
        <v>-20721.169999999998</v>
      </c>
      <c r="AJ619" s="227">
        <v>0</v>
      </c>
      <c r="AK619" s="227">
        <f t="shared" si="30"/>
        <v>0</v>
      </c>
      <c r="AL619" s="374">
        <f>SUM(ERP_5[[#This Row],[AP01]:[AP06]])-SUM(ERP_5[[#This Row],[AP01 LE2]:[AP06 LE2]])</f>
        <v>-20721.169999999998</v>
      </c>
      <c r="AM619" s="80"/>
      <c r="AN619" s="79">
        <f>ERP_5[[#This Row],[2026 Working Total to Budget/LE]]-ERP_5[[#This Row],[Giveback]]</f>
        <v>-20721.169999999998</v>
      </c>
      <c r="AO619" s="81"/>
      <c r="AP619" s="375">
        <v>0.01</v>
      </c>
      <c r="AQ619" s="375">
        <v>0.42</v>
      </c>
      <c r="AR619" s="375">
        <v>78.680000000000291</v>
      </c>
      <c r="AS619" s="375">
        <v>0</v>
      </c>
      <c r="AT619" s="375">
        <v>0</v>
      </c>
      <c r="AU619" s="375">
        <v>0</v>
      </c>
      <c r="AV619" s="375">
        <v>0</v>
      </c>
      <c r="AW619" s="375">
        <v>0</v>
      </c>
      <c r="AX619" s="375">
        <v>0</v>
      </c>
      <c r="AY619" s="375">
        <v>0</v>
      </c>
      <c r="AZ619" s="375">
        <v>0</v>
      </c>
      <c r="BA619" s="375">
        <v>0</v>
      </c>
      <c r="BB619" s="375">
        <v>79.110000000000298</v>
      </c>
      <c r="BC619" s="227">
        <v>0.01</v>
      </c>
      <c r="BD619" s="227">
        <v>0.42</v>
      </c>
      <c r="BE619" s="227">
        <v>-54821.32</v>
      </c>
      <c r="BF619" s="227">
        <v>0</v>
      </c>
      <c r="BG619" s="227">
        <v>0</v>
      </c>
      <c r="BH619" s="227">
        <v>0</v>
      </c>
      <c r="BI619" s="227">
        <v>0</v>
      </c>
      <c r="BJ619" s="227">
        <v>0</v>
      </c>
      <c r="BK619" s="227">
        <v>0</v>
      </c>
      <c r="BL619" s="227">
        <v>0</v>
      </c>
      <c r="BM619" s="227">
        <v>0</v>
      </c>
      <c r="BN619" s="227">
        <v>0</v>
      </c>
      <c r="BO619" s="227">
        <v>-54820.89</v>
      </c>
    </row>
    <row r="620" spans="1:67" ht="15" customHeight="1">
      <c r="A620" s="215" t="s">
        <v>1750</v>
      </c>
      <c r="B620" s="215" t="s">
        <v>387</v>
      </c>
      <c r="C620" s="150" t="s">
        <v>1136</v>
      </c>
      <c r="D620" s="334" t="s">
        <v>1650</v>
      </c>
      <c r="E620" s="334" t="s">
        <v>1650</v>
      </c>
      <c r="F620" s="334" t="s">
        <v>1650</v>
      </c>
      <c r="G620" s="516" t="s">
        <v>342</v>
      </c>
      <c r="H620" s="398" t="s">
        <v>1327</v>
      </c>
      <c r="I620" s="343"/>
      <c r="J620" s="344"/>
      <c r="K620" s="219" t="s">
        <v>147</v>
      </c>
      <c r="L620" s="349"/>
      <c r="M620" s="343"/>
      <c r="N620" s="349"/>
      <c r="O620" s="334" t="s">
        <v>25</v>
      </c>
      <c r="P620" s="354"/>
      <c r="Q620" s="403"/>
      <c r="R620" s="406">
        <v>0</v>
      </c>
      <c r="S620" s="406">
        <v>420.97</v>
      </c>
      <c r="T620" s="425"/>
      <c r="U620" s="71"/>
      <c r="V620" s="408"/>
      <c r="W620" s="410"/>
      <c r="X620" s="410">
        <v>420.97</v>
      </c>
      <c r="Y620" s="428">
        <v>-0.11</v>
      </c>
      <c r="Z620" s="429">
        <v>0.21</v>
      </c>
      <c r="AA620" s="429">
        <v>0</v>
      </c>
      <c r="AB620" s="368">
        <v>0</v>
      </c>
      <c r="AC620" s="368">
        <v>0</v>
      </c>
      <c r="AD620" s="368">
        <v>0</v>
      </c>
      <c r="AE620" s="368">
        <v>0</v>
      </c>
      <c r="AF620" s="368">
        <v>0</v>
      </c>
      <c r="AG620" s="368">
        <v>0</v>
      </c>
      <c r="AH620" s="367">
        <f t="shared" si="31"/>
        <v>421.07</v>
      </c>
      <c r="AI620" s="362">
        <f>ERP_5[[#This Row],[2026 Working Total]]-ERP_5[[#This Row],[LE2 Final Submission]]</f>
        <v>9.9999999999965894E-2</v>
      </c>
      <c r="AJ620" s="227">
        <v>0</v>
      </c>
      <c r="AK620" s="227">
        <f t="shared" si="30"/>
        <v>0</v>
      </c>
      <c r="AL620" s="374">
        <f>SUM(ERP_5[[#This Row],[AP01]:[AP06]])-SUM(ERP_5[[#This Row],[AP01 LE2]:[AP06 LE2]])</f>
        <v>9.9999999999965894E-2</v>
      </c>
      <c r="AM620" s="80"/>
      <c r="AN620" s="79">
        <f>ERP_5[[#This Row],[2026 Working Total to Budget/LE]]-ERP_5[[#This Row],[Giveback]]</f>
        <v>9.9999999999965894E-2</v>
      </c>
      <c r="AO620" s="81"/>
      <c r="AP620" s="375"/>
      <c r="AQ620" s="375"/>
      <c r="AR620" s="375">
        <v>420.97</v>
      </c>
      <c r="AS620" s="375">
        <v>0</v>
      </c>
      <c r="AT620" s="375">
        <v>0</v>
      </c>
      <c r="AU620" s="375">
        <v>0</v>
      </c>
      <c r="AV620" s="375">
        <v>0</v>
      </c>
      <c r="AW620" s="375">
        <v>0</v>
      </c>
      <c r="AX620" s="375">
        <v>0</v>
      </c>
      <c r="AY620" s="375">
        <v>0</v>
      </c>
      <c r="AZ620" s="375">
        <v>0</v>
      </c>
      <c r="BA620" s="375">
        <v>0</v>
      </c>
      <c r="BB620" s="375">
        <v>420.97</v>
      </c>
      <c r="BC620" s="227"/>
      <c r="BD620" s="227"/>
      <c r="BE620" s="227">
        <v>420.97</v>
      </c>
      <c r="BF620" s="227">
        <v>0</v>
      </c>
      <c r="BG620" s="227">
        <v>0</v>
      </c>
      <c r="BH620" s="227">
        <v>0</v>
      </c>
      <c r="BI620" s="227">
        <v>0</v>
      </c>
      <c r="BJ620" s="227">
        <v>0</v>
      </c>
      <c r="BK620" s="227">
        <v>0</v>
      </c>
      <c r="BL620" s="227">
        <v>0</v>
      </c>
      <c r="BM620" s="227">
        <v>0</v>
      </c>
      <c r="BN620" s="227">
        <v>0</v>
      </c>
      <c r="BO620" s="227">
        <v>420.97</v>
      </c>
    </row>
    <row r="621" spans="1:67" ht="15" customHeight="1">
      <c r="A621" s="215" t="s">
        <v>2145</v>
      </c>
      <c r="B621" s="215" t="s">
        <v>600</v>
      </c>
      <c r="C621" s="150" t="s">
        <v>1136</v>
      </c>
      <c r="D621" s="334" t="s">
        <v>1650</v>
      </c>
      <c r="E621" s="334" t="s">
        <v>1650</v>
      </c>
      <c r="F621" s="334" t="s">
        <v>1650</v>
      </c>
      <c r="G621" s="516" t="s">
        <v>389</v>
      </c>
      <c r="H621" s="398" t="s">
        <v>1327</v>
      </c>
      <c r="I621" s="343"/>
      <c r="J621" s="344"/>
      <c r="K621" s="219" t="s">
        <v>147</v>
      </c>
      <c r="L621" s="349"/>
      <c r="M621" s="343"/>
      <c r="N621" s="349"/>
      <c r="O621" s="334" t="s">
        <v>25</v>
      </c>
      <c r="P621" s="354" t="s">
        <v>2147</v>
      </c>
      <c r="Q621" s="403"/>
      <c r="R621" s="406">
        <v>0</v>
      </c>
      <c r="S621" s="406">
        <v>-0.03</v>
      </c>
      <c r="T621" s="425"/>
      <c r="U621" s="71"/>
      <c r="V621" s="408"/>
      <c r="W621" s="410"/>
      <c r="X621" s="410">
        <v>-0.03</v>
      </c>
      <c r="Y621" s="428">
        <v>-0.38</v>
      </c>
      <c r="Z621" s="429">
        <v>0.61</v>
      </c>
      <c r="AA621" s="429">
        <v>341292.15</v>
      </c>
      <c r="AB621" s="368">
        <v>0</v>
      </c>
      <c r="AC621" s="368">
        <v>0</v>
      </c>
      <c r="AD621" s="368">
        <v>0</v>
      </c>
      <c r="AE621" s="368">
        <v>0</v>
      </c>
      <c r="AF621" s="368">
        <v>0</v>
      </c>
      <c r="AG621" s="368">
        <v>0</v>
      </c>
      <c r="AH621" s="367">
        <f t="shared" si="31"/>
        <v>341292.35000000003</v>
      </c>
      <c r="AI621" s="362">
        <f>ERP_5[[#This Row],[2026 Working Total]]-ERP_5[[#This Row],[LE2 Final Submission]]</f>
        <v>341292.38000000006</v>
      </c>
      <c r="AJ621" s="227">
        <v>0</v>
      </c>
      <c r="AK621" s="227">
        <f t="shared" si="30"/>
        <v>341292.15</v>
      </c>
      <c r="AL621" s="374">
        <f>SUM(ERP_5[[#This Row],[AP01]:[AP06]])-SUM(ERP_5[[#This Row],[AP01 LE2]:[AP06 LE2]])</f>
        <v>341292.38000000006</v>
      </c>
      <c r="AM621" s="80"/>
      <c r="AN621" s="79">
        <f>ERP_5[[#This Row],[2026 Working Total to Budget/LE]]-ERP_5[[#This Row],[Giveback]]</f>
        <v>341292.38000000006</v>
      </c>
      <c r="AO621" s="81"/>
      <c r="AP621" s="375"/>
      <c r="AQ621" s="375"/>
      <c r="AR621" s="375">
        <v>-0.03</v>
      </c>
      <c r="AS621" s="375">
        <v>0</v>
      </c>
      <c r="AT621" s="375">
        <v>0</v>
      </c>
      <c r="AU621" s="375">
        <v>0</v>
      </c>
      <c r="AV621" s="375">
        <v>0</v>
      </c>
      <c r="AW621" s="375">
        <v>0</v>
      </c>
      <c r="AX621" s="375">
        <v>0</v>
      </c>
      <c r="AY621" s="375">
        <v>0</v>
      </c>
      <c r="AZ621" s="375">
        <v>0</v>
      </c>
      <c r="BA621" s="375">
        <v>0</v>
      </c>
      <c r="BB621" s="375">
        <v>-0.03</v>
      </c>
      <c r="BC621" s="227"/>
      <c r="BD621" s="227"/>
      <c r="BE621" s="227">
        <v>-0.03</v>
      </c>
      <c r="BF621" s="227">
        <v>0</v>
      </c>
      <c r="BG621" s="227">
        <v>0</v>
      </c>
      <c r="BH621" s="227">
        <v>0</v>
      </c>
      <c r="BI621" s="227">
        <v>0</v>
      </c>
      <c r="BJ621" s="227">
        <v>0</v>
      </c>
      <c r="BK621" s="227">
        <v>0</v>
      </c>
      <c r="BL621" s="227">
        <v>0</v>
      </c>
      <c r="BM621" s="227">
        <v>0</v>
      </c>
      <c r="BN621" s="227">
        <v>0</v>
      </c>
      <c r="BO621" s="227">
        <v>-0.03</v>
      </c>
    </row>
    <row r="622" spans="1:67" ht="15" customHeight="1">
      <c r="A622" s="215" t="s">
        <v>2819</v>
      </c>
      <c r="B622" s="215" t="s">
        <v>1025</v>
      </c>
      <c r="C622" s="150" t="s">
        <v>1136</v>
      </c>
      <c r="D622" s="334" t="s">
        <v>1650</v>
      </c>
      <c r="E622" s="334" t="s">
        <v>1650</v>
      </c>
      <c r="F622" s="334" t="s">
        <v>1650</v>
      </c>
      <c r="G622" s="516" t="s">
        <v>639</v>
      </c>
      <c r="H622" s="398" t="s">
        <v>1327</v>
      </c>
      <c r="I622" s="343"/>
      <c r="J622" s="344"/>
      <c r="K622" s="219" t="s">
        <v>147</v>
      </c>
      <c r="L622" s="349"/>
      <c r="M622" s="343"/>
      <c r="N622" s="349"/>
      <c r="O622" s="334" t="s">
        <v>25</v>
      </c>
      <c r="P622" s="354"/>
      <c r="Q622" s="403"/>
      <c r="R622" s="406">
        <v>0</v>
      </c>
      <c r="S622" s="406">
        <v>227.23999999999998</v>
      </c>
      <c r="T622" s="425"/>
      <c r="U622" s="71"/>
      <c r="V622" s="408"/>
      <c r="W622" s="410">
        <v>-0.02</v>
      </c>
      <c r="X622" s="410">
        <v>227.26</v>
      </c>
      <c r="Y622" s="428">
        <v>0</v>
      </c>
      <c r="Z622" s="429">
        <v>0</v>
      </c>
      <c r="AA622" s="429">
        <v>-0.24</v>
      </c>
      <c r="AB622" s="368">
        <v>0</v>
      </c>
      <c r="AC622" s="368">
        <v>0</v>
      </c>
      <c r="AD622" s="368">
        <v>0</v>
      </c>
      <c r="AE622" s="368">
        <v>0</v>
      </c>
      <c r="AF622" s="368">
        <v>0</v>
      </c>
      <c r="AG622" s="368">
        <v>0</v>
      </c>
      <c r="AH622" s="367">
        <f t="shared" si="31"/>
        <v>226.99999999999997</v>
      </c>
      <c r="AI622" s="362">
        <f>ERP_5[[#This Row],[2026 Working Total]]-ERP_5[[#This Row],[LE2 Final Submission]]</f>
        <v>-0.24000000000000909</v>
      </c>
      <c r="AJ622" s="227">
        <v>0</v>
      </c>
      <c r="AK622" s="227">
        <f t="shared" si="30"/>
        <v>-0.24</v>
      </c>
      <c r="AL622" s="374">
        <f>SUM(ERP_5[[#This Row],[AP01]:[AP06]])-SUM(ERP_5[[#This Row],[AP01 LE2]:[AP06 LE2]])</f>
        <v>-0.24000000000000909</v>
      </c>
      <c r="AM622" s="80"/>
      <c r="AN622" s="79">
        <f>ERP_5[[#This Row],[2026 Working Total to Budget/LE]]-ERP_5[[#This Row],[Giveback]]</f>
        <v>-0.24000000000000909</v>
      </c>
      <c r="AO622" s="81"/>
      <c r="AP622" s="375"/>
      <c r="AQ622" s="375">
        <v>-0.02</v>
      </c>
      <c r="AR622" s="375">
        <v>227.26</v>
      </c>
      <c r="AS622" s="375">
        <v>0</v>
      </c>
      <c r="AT622" s="375">
        <v>0</v>
      </c>
      <c r="AU622" s="375">
        <v>0</v>
      </c>
      <c r="AV622" s="375">
        <v>0</v>
      </c>
      <c r="AW622" s="375">
        <v>0</v>
      </c>
      <c r="AX622" s="375">
        <v>0</v>
      </c>
      <c r="AY622" s="375">
        <v>0</v>
      </c>
      <c r="AZ622" s="375">
        <v>0</v>
      </c>
      <c r="BA622" s="375">
        <v>0</v>
      </c>
      <c r="BB622" s="375">
        <v>227.23999999999998</v>
      </c>
      <c r="BC622" s="227"/>
      <c r="BD622" s="227">
        <v>-0.02</v>
      </c>
      <c r="BE622" s="227">
        <v>227.26</v>
      </c>
      <c r="BF622" s="227">
        <v>0</v>
      </c>
      <c r="BG622" s="227">
        <v>0</v>
      </c>
      <c r="BH622" s="227">
        <v>0</v>
      </c>
      <c r="BI622" s="227">
        <v>0</v>
      </c>
      <c r="BJ622" s="227">
        <v>0</v>
      </c>
      <c r="BK622" s="227">
        <v>0</v>
      </c>
      <c r="BL622" s="227">
        <v>0</v>
      </c>
      <c r="BM622" s="227">
        <v>0</v>
      </c>
      <c r="BN622" s="227">
        <v>0</v>
      </c>
      <c r="BO622" s="227">
        <v>227.23999999999998</v>
      </c>
    </row>
    <row r="623" spans="1:67" ht="15" customHeight="1">
      <c r="A623" s="215" t="s">
        <v>1959</v>
      </c>
      <c r="B623" s="215" t="s">
        <v>1960</v>
      </c>
      <c r="C623" s="150" t="s">
        <v>1136</v>
      </c>
      <c r="D623" s="334" t="s">
        <v>1135</v>
      </c>
      <c r="E623" s="334" t="s">
        <v>1156</v>
      </c>
      <c r="F623" s="334" t="s">
        <v>1137</v>
      </c>
      <c r="G623" s="516" t="s">
        <v>389</v>
      </c>
      <c r="H623" s="398" t="s">
        <v>1327</v>
      </c>
      <c r="I623" s="343"/>
      <c r="J623" s="344"/>
      <c r="K623" s="219" t="s">
        <v>147</v>
      </c>
      <c r="L623" s="349"/>
      <c r="M623" s="343"/>
      <c r="N623" s="349"/>
      <c r="O623" s="334" t="s">
        <v>25</v>
      </c>
      <c r="P623" s="354"/>
      <c r="Q623" s="403"/>
      <c r="R623" s="406">
        <v>0</v>
      </c>
      <c r="S623" s="406">
        <v>-0.16999999999999998</v>
      </c>
      <c r="T623" s="425"/>
      <c r="U623" s="71"/>
      <c r="V623" s="408"/>
      <c r="W623" s="410">
        <v>0.42</v>
      </c>
      <c r="X623" s="410">
        <v>-0.59</v>
      </c>
      <c r="Y623" s="428">
        <v>0.34</v>
      </c>
      <c r="Z623" s="429">
        <v>0.33</v>
      </c>
      <c r="AA623" s="429">
        <v>-0.56999999999999995</v>
      </c>
      <c r="AB623" s="368">
        <v>0</v>
      </c>
      <c r="AC623" s="368">
        <v>0</v>
      </c>
      <c r="AD623" s="368">
        <v>0</v>
      </c>
      <c r="AE623" s="368">
        <v>0</v>
      </c>
      <c r="AF623" s="368">
        <v>0</v>
      </c>
      <c r="AG623" s="368">
        <v>0</v>
      </c>
      <c r="AH623" s="367">
        <f t="shared" si="31"/>
        <v>-6.9999999999999951E-2</v>
      </c>
      <c r="AI623" s="362">
        <f>ERP_5[[#This Row],[2026 Working Total]]-ERP_5[[#This Row],[LE2 Final Submission]]</f>
        <v>0.10000000000000003</v>
      </c>
      <c r="AJ623" s="227">
        <v>0</v>
      </c>
      <c r="AK623" s="227">
        <f t="shared" si="30"/>
        <v>-0.56999999999999995</v>
      </c>
      <c r="AL623" s="374">
        <f>SUM(ERP_5[[#This Row],[AP01]:[AP06]])-SUM(ERP_5[[#This Row],[AP01 LE2]:[AP06 LE2]])</f>
        <v>0.10000000000000003</v>
      </c>
      <c r="AM623" s="80"/>
      <c r="AN623" s="79">
        <f>ERP_5[[#This Row],[2026 Working Total to Budget/LE]]-ERP_5[[#This Row],[Giveback]]</f>
        <v>0.10000000000000003</v>
      </c>
      <c r="AO623" s="81"/>
      <c r="AP623" s="375"/>
      <c r="AQ623" s="375">
        <v>0.42</v>
      </c>
      <c r="AR623" s="375">
        <v>-0.59</v>
      </c>
      <c r="AS623" s="375">
        <v>0</v>
      </c>
      <c r="AT623" s="375">
        <v>0</v>
      </c>
      <c r="AU623" s="375">
        <v>0</v>
      </c>
      <c r="AV623" s="375">
        <v>0</v>
      </c>
      <c r="AW623" s="375">
        <v>0</v>
      </c>
      <c r="AX623" s="375">
        <v>0</v>
      </c>
      <c r="AY623" s="375">
        <v>0</v>
      </c>
      <c r="AZ623" s="375">
        <v>0</v>
      </c>
      <c r="BA623" s="375">
        <v>0</v>
      </c>
      <c r="BB623" s="375">
        <v>-0.16999999999999998</v>
      </c>
      <c r="BC623" s="227"/>
      <c r="BD623" s="227">
        <v>0.42</v>
      </c>
      <c r="BE623" s="227">
        <v>-0.59</v>
      </c>
      <c r="BF623" s="227">
        <v>0</v>
      </c>
      <c r="BG623" s="227">
        <v>0</v>
      </c>
      <c r="BH623" s="227">
        <v>0</v>
      </c>
      <c r="BI623" s="227">
        <v>0</v>
      </c>
      <c r="BJ623" s="227">
        <v>0</v>
      </c>
      <c r="BK623" s="227">
        <v>0</v>
      </c>
      <c r="BL623" s="227">
        <v>0</v>
      </c>
      <c r="BM623" s="227">
        <v>0</v>
      </c>
      <c r="BN623" s="227">
        <v>0</v>
      </c>
      <c r="BO623" s="227">
        <v>-0.16999999999999998</v>
      </c>
    </row>
    <row r="624" spans="1:67" ht="15" customHeight="1">
      <c r="A624" s="215" t="s">
        <v>2599</v>
      </c>
      <c r="B624" s="215" t="s">
        <v>2600</v>
      </c>
      <c r="C624" s="150" t="s">
        <v>1136</v>
      </c>
      <c r="D624" s="334" t="s">
        <v>1135</v>
      </c>
      <c r="E624" s="334" t="s">
        <v>1156</v>
      </c>
      <c r="F624" s="334" t="s">
        <v>1137</v>
      </c>
      <c r="G624" s="516" t="s">
        <v>639</v>
      </c>
      <c r="H624" s="398" t="s">
        <v>1327</v>
      </c>
      <c r="I624" s="343"/>
      <c r="J624" s="344"/>
      <c r="K624" s="219" t="s">
        <v>147</v>
      </c>
      <c r="L624" s="349"/>
      <c r="M624" s="343"/>
      <c r="N624" s="349"/>
      <c r="O624" s="334" t="s">
        <v>25</v>
      </c>
      <c r="P624" s="354"/>
      <c r="Q624" s="403"/>
      <c r="R624" s="406">
        <v>0</v>
      </c>
      <c r="S624" s="406">
        <v>0.26</v>
      </c>
      <c r="T624" s="425"/>
      <c r="U624" s="71"/>
      <c r="V624" s="408"/>
      <c r="W624" s="410"/>
      <c r="X624" s="410">
        <v>0.26</v>
      </c>
      <c r="Y624" s="428">
        <v>0</v>
      </c>
      <c r="Z624" s="429">
        <v>0</v>
      </c>
      <c r="AA624" s="429">
        <v>0</v>
      </c>
      <c r="AB624" s="368">
        <v>0</v>
      </c>
      <c r="AC624" s="368">
        <v>0</v>
      </c>
      <c r="AD624" s="368">
        <v>0</v>
      </c>
      <c r="AE624" s="368">
        <v>0</v>
      </c>
      <c r="AF624" s="368">
        <v>0</v>
      </c>
      <c r="AG624" s="368">
        <v>0</v>
      </c>
      <c r="AH624" s="367">
        <f t="shared" si="31"/>
        <v>0.26</v>
      </c>
      <c r="AI624" s="362">
        <f>ERP_5[[#This Row],[2026 Working Total]]-ERP_5[[#This Row],[LE2 Final Submission]]</f>
        <v>0</v>
      </c>
      <c r="AJ624" s="227">
        <v>0</v>
      </c>
      <c r="AK624" s="227">
        <f t="shared" si="30"/>
        <v>0</v>
      </c>
      <c r="AL624" s="374">
        <f>SUM(ERP_5[[#This Row],[AP01]:[AP06]])-SUM(ERP_5[[#This Row],[AP01 LE2]:[AP06 LE2]])</f>
        <v>0</v>
      </c>
      <c r="AM624" s="80"/>
      <c r="AN624" s="79">
        <f>ERP_5[[#This Row],[2026 Working Total to Budget/LE]]-ERP_5[[#This Row],[Giveback]]</f>
        <v>0</v>
      </c>
      <c r="AO624" s="81"/>
      <c r="AP624" s="375"/>
      <c r="AQ624" s="375"/>
      <c r="AR624" s="375">
        <v>0.26</v>
      </c>
      <c r="AS624" s="375">
        <v>0</v>
      </c>
      <c r="AT624" s="375">
        <v>0</v>
      </c>
      <c r="AU624" s="375">
        <v>0</v>
      </c>
      <c r="AV624" s="375">
        <v>0</v>
      </c>
      <c r="AW624" s="375">
        <v>0</v>
      </c>
      <c r="AX624" s="375">
        <v>0</v>
      </c>
      <c r="AY624" s="375">
        <v>0</v>
      </c>
      <c r="AZ624" s="375">
        <v>0</v>
      </c>
      <c r="BA624" s="375">
        <v>0</v>
      </c>
      <c r="BB624" s="375">
        <v>0.26</v>
      </c>
      <c r="BC624" s="227"/>
      <c r="BD624" s="227"/>
      <c r="BE624" s="227">
        <v>0.26</v>
      </c>
      <c r="BF624" s="227">
        <v>0</v>
      </c>
      <c r="BG624" s="227">
        <v>0</v>
      </c>
      <c r="BH624" s="227">
        <v>0</v>
      </c>
      <c r="BI624" s="227">
        <v>0</v>
      </c>
      <c r="BJ624" s="227">
        <v>0</v>
      </c>
      <c r="BK624" s="227">
        <v>0</v>
      </c>
      <c r="BL624" s="227">
        <v>0</v>
      </c>
      <c r="BM624" s="227">
        <v>0</v>
      </c>
      <c r="BN624" s="227">
        <v>0</v>
      </c>
      <c r="BO624" s="227">
        <v>0.26</v>
      </c>
    </row>
    <row r="625" spans="1:67" ht="15" customHeight="1">
      <c r="A625" s="215" t="s">
        <v>2601</v>
      </c>
      <c r="B625" s="215" t="s">
        <v>2602</v>
      </c>
      <c r="C625" s="150" t="s">
        <v>1136</v>
      </c>
      <c r="D625" s="334" t="s">
        <v>1135</v>
      </c>
      <c r="E625" s="334" t="s">
        <v>1161</v>
      </c>
      <c r="F625" s="334" t="s">
        <v>1137</v>
      </c>
      <c r="G625" s="516" t="s">
        <v>639</v>
      </c>
      <c r="H625" s="398" t="s">
        <v>1327</v>
      </c>
      <c r="I625" s="343"/>
      <c r="J625" s="344"/>
      <c r="K625" s="219" t="s">
        <v>147</v>
      </c>
      <c r="L625" s="349"/>
      <c r="M625" s="343"/>
      <c r="N625" s="349"/>
      <c r="O625" s="334" t="s">
        <v>25</v>
      </c>
      <c r="P625" s="354"/>
      <c r="Q625" s="403"/>
      <c r="R625" s="406">
        <v>0</v>
      </c>
      <c r="S625" s="406">
        <v>0.13</v>
      </c>
      <c r="T625" s="425"/>
      <c r="U625" s="71"/>
      <c r="V625" s="408"/>
      <c r="W625" s="410"/>
      <c r="X625" s="410">
        <v>0.13</v>
      </c>
      <c r="Y625" s="428">
        <v>0</v>
      </c>
      <c r="Z625" s="429">
        <v>0</v>
      </c>
      <c r="AA625" s="429">
        <v>0.13</v>
      </c>
      <c r="AB625" s="368">
        <v>0</v>
      </c>
      <c r="AC625" s="368">
        <v>0</v>
      </c>
      <c r="AD625" s="368">
        <v>0</v>
      </c>
      <c r="AE625" s="368">
        <v>0</v>
      </c>
      <c r="AF625" s="368">
        <v>0</v>
      </c>
      <c r="AG625" s="368">
        <v>0</v>
      </c>
      <c r="AH625" s="367">
        <f t="shared" si="31"/>
        <v>0.26</v>
      </c>
      <c r="AI625" s="362">
        <f>ERP_5[[#This Row],[2026 Working Total]]-ERP_5[[#This Row],[LE2 Final Submission]]</f>
        <v>0.13</v>
      </c>
      <c r="AJ625" s="227">
        <v>0</v>
      </c>
      <c r="AK625" s="227">
        <f t="shared" si="30"/>
        <v>0.13</v>
      </c>
      <c r="AL625" s="374">
        <f>SUM(ERP_5[[#This Row],[AP01]:[AP06]])-SUM(ERP_5[[#This Row],[AP01 LE2]:[AP06 LE2]])</f>
        <v>0.13</v>
      </c>
      <c r="AM625" s="80"/>
      <c r="AN625" s="79">
        <f>ERP_5[[#This Row],[2026 Working Total to Budget/LE]]-ERP_5[[#This Row],[Giveback]]</f>
        <v>0.13</v>
      </c>
      <c r="AO625" s="81"/>
      <c r="AP625" s="375"/>
      <c r="AQ625" s="375"/>
      <c r="AR625" s="375">
        <v>0.13</v>
      </c>
      <c r="AS625" s="375">
        <v>0</v>
      </c>
      <c r="AT625" s="375">
        <v>0</v>
      </c>
      <c r="AU625" s="375">
        <v>0</v>
      </c>
      <c r="AV625" s="375">
        <v>0</v>
      </c>
      <c r="AW625" s="375">
        <v>0</v>
      </c>
      <c r="AX625" s="375">
        <v>0</v>
      </c>
      <c r="AY625" s="375">
        <v>0</v>
      </c>
      <c r="AZ625" s="375">
        <v>0</v>
      </c>
      <c r="BA625" s="375">
        <v>0</v>
      </c>
      <c r="BB625" s="375">
        <v>0.13</v>
      </c>
      <c r="BC625" s="227"/>
      <c r="BD625" s="227"/>
      <c r="BE625" s="227">
        <v>0.13</v>
      </c>
      <c r="BF625" s="227">
        <v>0</v>
      </c>
      <c r="BG625" s="227">
        <v>0</v>
      </c>
      <c r="BH625" s="227">
        <v>0</v>
      </c>
      <c r="BI625" s="227">
        <v>0</v>
      </c>
      <c r="BJ625" s="227">
        <v>0</v>
      </c>
      <c r="BK625" s="227">
        <v>0</v>
      </c>
      <c r="BL625" s="227">
        <v>0</v>
      </c>
      <c r="BM625" s="227">
        <v>0</v>
      </c>
      <c r="BN625" s="227">
        <v>0</v>
      </c>
      <c r="BO625" s="227">
        <v>0.13</v>
      </c>
    </row>
    <row r="626" spans="1:67" ht="15" customHeight="1">
      <c r="A626" s="215" t="s">
        <v>1511</v>
      </c>
      <c r="B626" s="264" t="s">
        <v>1512</v>
      </c>
      <c r="C626" s="150" t="s">
        <v>1136</v>
      </c>
      <c r="D626" s="340" t="s">
        <v>1345</v>
      </c>
      <c r="E626" s="341" t="s">
        <v>1481</v>
      </c>
      <c r="F626" s="334" t="s">
        <v>1346</v>
      </c>
      <c r="G626" s="519" t="s">
        <v>49</v>
      </c>
      <c r="H626" s="400" t="s">
        <v>1327</v>
      </c>
      <c r="I626" s="343"/>
      <c r="J626" s="344"/>
      <c r="K626" s="269" t="s">
        <v>147</v>
      </c>
      <c r="L626" s="349"/>
      <c r="M626" s="343"/>
      <c r="N626" s="349"/>
      <c r="O626" s="341" t="s">
        <v>25</v>
      </c>
      <c r="P626" s="390" t="s">
        <v>1513</v>
      </c>
      <c r="Q626" s="404"/>
      <c r="R626" s="407">
        <v>0</v>
      </c>
      <c r="S626" s="407">
        <v>0</v>
      </c>
      <c r="T626" s="425"/>
      <c r="U626" s="71"/>
      <c r="V626" s="417"/>
      <c r="W626" s="417">
        <v>-0.1</v>
      </c>
      <c r="X626" s="417">
        <v>0.1</v>
      </c>
      <c r="Y626" s="428">
        <v>-0.32</v>
      </c>
      <c r="Z626" s="429">
        <v>0.81</v>
      </c>
      <c r="AA626" s="429">
        <v>-0.28000000000000003</v>
      </c>
      <c r="AB626" s="373"/>
      <c r="AC626" s="373"/>
      <c r="AD626" s="373"/>
      <c r="AE626" s="373"/>
      <c r="AF626" s="373"/>
      <c r="AG626" s="373"/>
      <c r="AH626" s="367">
        <f t="shared" si="31"/>
        <v>0.21000000000000002</v>
      </c>
      <c r="AI626" s="362">
        <f>ERP_5[[#This Row],[2026 Working Total]]-ERP_5[[#This Row],[LE2 Final Submission]]</f>
        <v>0.21000000000000002</v>
      </c>
      <c r="AJ626" s="227"/>
      <c r="AK626" s="227">
        <f t="shared" si="30"/>
        <v>-0.28000000000000003</v>
      </c>
      <c r="AL626" s="374">
        <f>SUM(ERP_5[[#This Row],[AP01]:[AP06]])-SUM(ERP_5[[#This Row],[AP01 LE2]:[AP06 LE2]])</f>
        <v>0.21000000000000002</v>
      </c>
      <c r="AM626" s="80"/>
      <c r="AN626" s="79">
        <f>ERP_5[[#This Row],[2026 Working Total to Budget/LE]]-ERP_5[[#This Row],[Giveback]]</f>
        <v>0.21000000000000002</v>
      </c>
      <c r="AO626" s="81"/>
      <c r="AP626" s="375"/>
      <c r="AQ626" s="375">
        <v>-0.1</v>
      </c>
      <c r="AR626" s="375">
        <v>0.1</v>
      </c>
      <c r="AS626" s="375"/>
      <c r="AT626" s="375"/>
      <c r="AU626" s="375"/>
      <c r="AV626" s="375"/>
      <c r="AW626" s="375"/>
      <c r="AX626" s="375"/>
      <c r="AY626" s="375"/>
      <c r="AZ626" s="375"/>
      <c r="BA626" s="375"/>
      <c r="BB626" s="375">
        <v>0</v>
      </c>
      <c r="BC626" s="276"/>
      <c r="BD626" s="276">
        <v>-0.1</v>
      </c>
      <c r="BE626" s="276">
        <v>0.1</v>
      </c>
      <c r="BF626" s="276"/>
      <c r="BG626" s="276"/>
      <c r="BH626" s="276"/>
      <c r="BI626" s="276"/>
      <c r="BJ626" s="276"/>
      <c r="BK626" s="276"/>
      <c r="BL626" s="276"/>
      <c r="BM626" s="276"/>
      <c r="BN626" s="276"/>
      <c r="BO626" s="227">
        <v>0</v>
      </c>
    </row>
    <row r="627" spans="1:67" ht="15" customHeight="1">
      <c r="A627" s="215" t="s">
        <v>2741</v>
      </c>
      <c r="B627" s="264" t="s">
        <v>2742</v>
      </c>
      <c r="C627" s="150" t="s">
        <v>1136</v>
      </c>
      <c r="D627" s="340" t="s">
        <v>1345</v>
      </c>
      <c r="E627" s="341" t="s">
        <v>1481</v>
      </c>
      <c r="F627" s="334" t="s">
        <v>1346</v>
      </c>
      <c r="G627" s="519" t="s">
        <v>639</v>
      </c>
      <c r="H627" s="400" t="s">
        <v>1327</v>
      </c>
      <c r="I627" s="343"/>
      <c r="J627" s="344"/>
      <c r="K627" s="269" t="s">
        <v>147</v>
      </c>
      <c r="L627" s="349"/>
      <c r="M627" s="343"/>
      <c r="N627" s="349"/>
      <c r="O627" s="341" t="s">
        <v>25</v>
      </c>
      <c r="P627" s="390" t="s">
        <v>1513</v>
      </c>
      <c r="Q627" s="403"/>
      <c r="R627" s="406">
        <v>0</v>
      </c>
      <c r="S627" s="406">
        <v>0.36</v>
      </c>
      <c r="T627" s="425"/>
      <c r="U627" s="71"/>
      <c r="V627" s="417"/>
      <c r="W627" s="417"/>
      <c r="X627" s="417">
        <v>0.36</v>
      </c>
      <c r="Y627" s="428">
        <v>0</v>
      </c>
      <c r="Z627" s="429">
        <v>0</v>
      </c>
      <c r="AA627" s="429">
        <v>0</v>
      </c>
      <c r="AB627" s="372">
        <v>0</v>
      </c>
      <c r="AC627" s="372">
        <v>0</v>
      </c>
      <c r="AD627" s="372">
        <v>0</v>
      </c>
      <c r="AE627" s="372">
        <v>0</v>
      </c>
      <c r="AF627" s="372">
        <v>0</v>
      </c>
      <c r="AG627" s="372">
        <v>0</v>
      </c>
      <c r="AH627" s="367">
        <f t="shared" si="31"/>
        <v>0.36</v>
      </c>
      <c r="AI627" s="362">
        <f>ERP_5[[#This Row],[2026 Working Total]]-ERP_5[[#This Row],[LE2 Final Submission]]</f>
        <v>0</v>
      </c>
      <c r="AJ627" s="227">
        <v>0</v>
      </c>
      <c r="AK627" s="227">
        <f t="shared" si="30"/>
        <v>0</v>
      </c>
      <c r="AL627" s="374">
        <f>SUM(ERP_5[[#This Row],[AP01]:[AP06]])-SUM(ERP_5[[#This Row],[AP01 LE2]:[AP06 LE2]])</f>
        <v>0</v>
      </c>
      <c r="AM627" s="80"/>
      <c r="AN627" s="79">
        <f>ERP_5[[#This Row],[2026 Working Total to Budget/LE]]-ERP_5[[#This Row],[Giveback]]</f>
        <v>0</v>
      </c>
      <c r="AO627" s="81"/>
      <c r="AP627" s="375"/>
      <c r="AQ627" s="375"/>
      <c r="AR627" s="375">
        <v>0.36</v>
      </c>
      <c r="AS627" s="375">
        <v>0</v>
      </c>
      <c r="AT627" s="375">
        <v>0</v>
      </c>
      <c r="AU627" s="375">
        <v>0</v>
      </c>
      <c r="AV627" s="375">
        <v>0</v>
      </c>
      <c r="AW627" s="375">
        <v>0</v>
      </c>
      <c r="AX627" s="375">
        <v>0</v>
      </c>
      <c r="AY627" s="375">
        <v>0</v>
      </c>
      <c r="AZ627" s="375">
        <v>0</v>
      </c>
      <c r="BA627" s="375">
        <v>0</v>
      </c>
      <c r="BB627" s="375">
        <v>0.36</v>
      </c>
      <c r="BC627" s="276"/>
      <c r="BD627" s="276"/>
      <c r="BE627" s="276">
        <v>0.36</v>
      </c>
      <c r="BF627" s="276">
        <v>0</v>
      </c>
      <c r="BG627" s="276">
        <v>0</v>
      </c>
      <c r="BH627" s="276">
        <v>0</v>
      </c>
      <c r="BI627" s="276">
        <v>0</v>
      </c>
      <c r="BJ627" s="276">
        <v>0</v>
      </c>
      <c r="BK627" s="276">
        <v>0</v>
      </c>
      <c r="BL627" s="276">
        <v>0</v>
      </c>
      <c r="BM627" s="276">
        <v>0</v>
      </c>
      <c r="BN627" s="276">
        <v>0</v>
      </c>
      <c r="BO627" s="227">
        <v>0.36</v>
      </c>
    </row>
    <row r="628" spans="1:67" ht="15" customHeight="1">
      <c r="A628" s="215" t="s">
        <v>1445</v>
      </c>
      <c r="B628" s="264" t="s">
        <v>1446</v>
      </c>
      <c r="C628" s="150" t="s">
        <v>1136</v>
      </c>
      <c r="D628" s="340" t="s">
        <v>1345</v>
      </c>
      <c r="E628" s="341" t="s">
        <v>1437</v>
      </c>
      <c r="F628" s="334" t="s">
        <v>1346</v>
      </c>
      <c r="G628" s="519" t="s">
        <v>49</v>
      </c>
      <c r="H628" s="400" t="s">
        <v>1327</v>
      </c>
      <c r="I628" s="343"/>
      <c r="J628" s="344"/>
      <c r="K628" s="269" t="s">
        <v>147</v>
      </c>
      <c r="L628" s="349"/>
      <c r="M628" s="343"/>
      <c r="N628" s="349"/>
      <c r="O628" s="341" t="s">
        <v>25</v>
      </c>
      <c r="P628" s="354"/>
      <c r="Q628" s="403"/>
      <c r="R628" s="406">
        <v>0</v>
      </c>
      <c r="S628" s="406">
        <v>0.33999999999999997</v>
      </c>
      <c r="T628" s="425"/>
      <c r="U628" s="71"/>
      <c r="V628" s="417">
        <v>-0.1</v>
      </c>
      <c r="W628" s="418">
        <v>0</v>
      </c>
      <c r="X628" s="417">
        <v>0.44</v>
      </c>
      <c r="Y628" s="428">
        <v>0</v>
      </c>
      <c r="Z628" s="429">
        <v>0</v>
      </c>
      <c r="AA628" s="429">
        <v>0</v>
      </c>
      <c r="AB628" s="372">
        <v>0</v>
      </c>
      <c r="AC628" s="372">
        <v>0</v>
      </c>
      <c r="AD628" s="372">
        <v>0</v>
      </c>
      <c r="AE628" s="372">
        <v>0</v>
      </c>
      <c r="AF628" s="372">
        <v>0</v>
      </c>
      <c r="AG628" s="372">
        <v>0</v>
      </c>
      <c r="AH628" s="367">
        <f t="shared" si="31"/>
        <v>0.33999999999999997</v>
      </c>
      <c r="AI628" s="362">
        <f>ERP_5[[#This Row],[2026 Working Total]]-ERP_5[[#This Row],[LE2 Final Submission]]</f>
        <v>0</v>
      </c>
      <c r="AJ628" s="227">
        <v>0</v>
      </c>
      <c r="AK628" s="227">
        <f t="shared" si="30"/>
        <v>0</v>
      </c>
      <c r="AL628" s="374">
        <f>SUM(ERP_5[[#This Row],[AP01]:[AP06]])-SUM(ERP_5[[#This Row],[AP01 LE2]:[AP06 LE2]])</f>
        <v>0</v>
      </c>
      <c r="AM628" s="80"/>
      <c r="AN628" s="79">
        <f>ERP_5[[#This Row],[2026 Working Total to Budget/LE]]-ERP_5[[#This Row],[Giveback]]</f>
        <v>0</v>
      </c>
      <c r="AO628" s="81"/>
      <c r="AP628" s="375">
        <v>-0.1</v>
      </c>
      <c r="AQ628" s="375">
        <v>0</v>
      </c>
      <c r="AR628" s="375">
        <v>0.44</v>
      </c>
      <c r="AS628" s="375">
        <v>0</v>
      </c>
      <c r="AT628" s="375">
        <v>0</v>
      </c>
      <c r="AU628" s="375">
        <v>0</v>
      </c>
      <c r="AV628" s="375">
        <v>0</v>
      </c>
      <c r="AW628" s="375">
        <v>0</v>
      </c>
      <c r="AX628" s="375">
        <v>0</v>
      </c>
      <c r="AY628" s="375">
        <v>0</v>
      </c>
      <c r="AZ628" s="375">
        <v>0</v>
      </c>
      <c r="BA628" s="375">
        <v>0</v>
      </c>
      <c r="BB628" s="375">
        <v>0.33999999999999997</v>
      </c>
      <c r="BC628" s="276">
        <v>-0.1</v>
      </c>
      <c r="BD628" s="276">
        <v>0</v>
      </c>
      <c r="BE628" s="276">
        <v>0.44</v>
      </c>
      <c r="BF628" s="276">
        <v>0</v>
      </c>
      <c r="BG628" s="276">
        <v>0</v>
      </c>
      <c r="BH628" s="276">
        <v>0</v>
      </c>
      <c r="BI628" s="276">
        <v>0</v>
      </c>
      <c r="BJ628" s="276">
        <v>0</v>
      </c>
      <c r="BK628" s="276">
        <v>0</v>
      </c>
      <c r="BL628" s="276">
        <v>0</v>
      </c>
      <c r="BM628" s="276">
        <v>0</v>
      </c>
      <c r="BN628" s="276">
        <v>0</v>
      </c>
      <c r="BO628" s="227">
        <v>0.33999999999999997</v>
      </c>
    </row>
    <row r="629" spans="1:67" ht="15" customHeight="1">
      <c r="A629" s="215" t="s">
        <v>2033</v>
      </c>
      <c r="B629" s="264" t="s">
        <v>2034</v>
      </c>
      <c r="C629" s="150" t="s">
        <v>1136</v>
      </c>
      <c r="D629" s="340" t="s">
        <v>1345</v>
      </c>
      <c r="E629" s="341" t="s">
        <v>1437</v>
      </c>
      <c r="F629" s="334" t="s">
        <v>1346</v>
      </c>
      <c r="G629" s="519" t="s">
        <v>389</v>
      </c>
      <c r="H629" s="400" t="s">
        <v>1327</v>
      </c>
      <c r="I629" s="343"/>
      <c r="J629" s="344"/>
      <c r="K629" s="269" t="s">
        <v>147</v>
      </c>
      <c r="L629" s="349"/>
      <c r="M629" s="343"/>
      <c r="N629" s="349"/>
      <c r="O629" s="341" t="s">
        <v>25</v>
      </c>
      <c r="P629" s="354"/>
      <c r="Q629" s="403"/>
      <c r="R629" s="406">
        <v>0</v>
      </c>
      <c r="S629" s="406">
        <v>-0.18000000000000002</v>
      </c>
      <c r="T629" s="425"/>
      <c r="U629" s="71"/>
      <c r="V629" s="417">
        <v>-0.24</v>
      </c>
      <c r="W629" s="417">
        <v>-0.17</v>
      </c>
      <c r="X629" s="417">
        <v>0.23</v>
      </c>
      <c r="Y629" s="428">
        <v>0.67</v>
      </c>
      <c r="Z629" s="429">
        <v>-0.61</v>
      </c>
      <c r="AA629" s="429">
        <v>-0.32</v>
      </c>
      <c r="AB629" s="372">
        <v>0</v>
      </c>
      <c r="AC629" s="372">
        <v>0</v>
      </c>
      <c r="AD629" s="372">
        <v>0</v>
      </c>
      <c r="AE629" s="372">
        <v>0</v>
      </c>
      <c r="AF629" s="372">
        <v>0</v>
      </c>
      <c r="AG629" s="372">
        <v>0</v>
      </c>
      <c r="AH629" s="367">
        <f t="shared" si="31"/>
        <v>-0.44</v>
      </c>
      <c r="AI629" s="362">
        <f>ERP_5[[#This Row],[2026 Working Total]]-ERP_5[[#This Row],[LE2 Final Submission]]</f>
        <v>-0.26</v>
      </c>
      <c r="AJ629" s="227">
        <v>0</v>
      </c>
      <c r="AK629" s="227">
        <f t="shared" si="30"/>
        <v>-0.32</v>
      </c>
      <c r="AL629" s="374">
        <f>SUM(ERP_5[[#This Row],[AP01]:[AP06]])-SUM(ERP_5[[#This Row],[AP01 LE2]:[AP06 LE2]])</f>
        <v>-0.26</v>
      </c>
      <c r="AM629" s="80"/>
      <c r="AN629" s="79">
        <f>ERP_5[[#This Row],[2026 Working Total to Budget/LE]]-ERP_5[[#This Row],[Giveback]]</f>
        <v>-0.26</v>
      </c>
      <c r="AO629" s="81"/>
      <c r="AP629" s="375">
        <v>-0.24</v>
      </c>
      <c r="AQ629" s="375">
        <v>-0.17</v>
      </c>
      <c r="AR629" s="375">
        <v>0.23</v>
      </c>
      <c r="AS629" s="375">
        <v>0</v>
      </c>
      <c r="AT629" s="375">
        <v>0</v>
      </c>
      <c r="AU629" s="375">
        <v>0</v>
      </c>
      <c r="AV629" s="375">
        <v>0</v>
      </c>
      <c r="AW629" s="375">
        <v>0</v>
      </c>
      <c r="AX629" s="375">
        <v>0</v>
      </c>
      <c r="AY629" s="375">
        <v>0</v>
      </c>
      <c r="AZ629" s="375">
        <v>0</v>
      </c>
      <c r="BA629" s="375">
        <v>0</v>
      </c>
      <c r="BB629" s="375">
        <v>-0.18000000000000002</v>
      </c>
      <c r="BC629" s="276">
        <v>-0.24</v>
      </c>
      <c r="BD629" s="276">
        <v>-0.17</v>
      </c>
      <c r="BE629" s="276">
        <v>0.23</v>
      </c>
      <c r="BF629" s="276">
        <v>0</v>
      </c>
      <c r="BG629" s="276">
        <v>0</v>
      </c>
      <c r="BH629" s="276">
        <v>0</v>
      </c>
      <c r="BI629" s="276">
        <v>0</v>
      </c>
      <c r="BJ629" s="276">
        <v>0</v>
      </c>
      <c r="BK629" s="276">
        <v>0</v>
      </c>
      <c r="BL629" s="276">
        <v>0</v>
      </c>
      <c r="BM629" s="276">
        <v>0</v>
      </c>
      <c r="BN629" s="276">
        <v>0</v>
      </c>
      <c r="BO629" s="227">
        <v>-0.18000000000000002</v>
      </c>
    </row>
    <row r="630" spans="1:67" ht="15" customHeight="1">
      <c r="A630" s="215" t="s">
        <v>2700</v>
      </c>
      <c r="B630" s="264" t="s">
        <v>2701</v>
      </c>
      <c r="C630" s="150" t="s">
        <v>1136</v>
      </c>
      <c r="D630" s="340" t="s">
        <v>1345</v>
      </c>
      <c r="E630" s="341" t="s">
        <v>1437</v>
      </c>
      <c r="F630" s="334" t="s">
        <v>1346</v>
      </c>
      <c r="G630" s="519" t="s">
        <v>639</v>
      </c>
      <c r="H630" s="400" t="s">
        <v>1327</v>
      </c>
      <c r="I630" s="343"/>
      <c r="J630" s="344"/>
      <c r="K630" s="269" t="s">
        <v>147</v>
      </c>
      <c r="L630" s="349"/>
      <c r="M630" s="343"/>
      <c r="N630" s="349"/>
      <c r="O630" s="341" t="s">
        <v>25</v>
      </c>
      <c r="P630" s="354"/>
      <c r="Q630" s="403"/>
      <c r="R630" s="406">
        <v>0</v>
      </c>
      <c r="S630" s="406">
        <v>1.999999999999999E-2</v>
      </c>
      <c r="T630" s="425"/>
      <c r="U630" s="71"/>
      <c r="V630" s="417">
        <v>0.13</v>
      </c>
      <c r="W630" s="417">
        <v>0.09</v>
      </c>
      <c r="X630" s="417">
        <v>-0.2</v>
      </c>
      <c r="Y630" s="428">
        <v>0.13</v>
      </c>
      <c r="Z630" s="429">
        <v>-0.53</v>
      </c>
      <c r="AA630" s="429">
        <v>0.73</v>
      </c>
      <c r="AB630" s="372">
        <v>0</v>
      </c>
      <c r="AC630" s="372">
        <v>0</v>
      </c>
      <c r="AD630" s="372">
        <v>0</v>
      </c>
      <c r="AE630" s="372">
        <v>0</v>
      </c>
      <c r="AF630" s="372">
        <v>0</v>
      </c>
      <c r="AG630" s="372">
        <v>0</v>
      </c>
      <c r="AH630" s="367">
        <f t="shared" si="31"/>
        <v>0.35</v>
      </c>
      <c r="AI630" s="362">
        <f>ERP_5[[#This Row],[2026 Working Total]]-ERP_5[[#This Row],[LE2 Final Submission]]</f>
        <v>0.32999999999999996</v>
      </c>
      <c r="AJ630" s="227">
        <v>0</v>
      </c>
      <c r="AK630" s="227">
        <f t="shared" si="30"/>
        <v>0.73</v>
      </c>
      <c r="AL630" s="374">
        <f>SUM(ERP_5[[#This Row],[AP01]:[AP06]])-SUM(ERP_5[[#This Row],[AP01 LE2]:[AP06 LE2]])</f>
        <v>0.32999999999999996</v>
      </c>
      <c r="AM630" s="80"/>
      <c r="AN630" s="79">
        <f>ERP_5[[#This Row],[2026 Working Total to Budget/LE]]-ERP_5[[#This Row],[Giveback]]</f>
        <v>0.32999999999999996</v>
      </c>
      <c r="AO630" s="81"/>
      <c r="AP630" s="375">
        <v>0.13</v>
      </c>
      <c r="AQ630" s="375">
        <v>0.09</v>
      </c>
      <c r="AR630" s="375">
        <v>-0.2</v>
      </c>
      <c r="AS630" s="375">
        <v>0</v>
      </c>
      <c r="AT630" s="375">
        <v>0</v>
      </c>
      <c r="AU630" s="375">
        <v>0</v>
      </c>
      <c r="AV630" s="375">
        <v>0</v>
      </c>
      <c r="AW630" s="375">
        <v>0</v>
      </c>
      <c r="AX630" s="375">
        <v>0</v>
      </c>
      <c r="AY630" s="375">
        <v>0</v>
      </c>
      <c r="AZ630" s="375">
        <v>0</v>
      </c>
      <c r="BA630" s="375">
        <v>0</v>
      </c>
      <c r="BB630" s="375">
        <v>1.999999999999999E-2</v>
      </c>
      <c r="BC630" s="276">
        <v>0.13</v>
      </c>
      <c r="BD630" s="276">
        <v>0.09</v>
      </c>
      <c r="BE630" s="276">
        <v>-0.2</v>
      </c>
      <c r="BF630" s="276">
        <v>0</v>
      </c>
      <c r="BG630" s="276">
        <v>0</v>
      </c>
      <c r="BH630" s="276">
        <v>0</v>
      </c>
      <c r="BI630" s="276">
        <v>0</v>
      </c>
      <c r="BJ630" s="276">
        <v>0</v>
      </c>
      <c r="BK630" s="276">
        <v>0</v>
      </c>
      <c r="BL630" s="276">
        <v>0</v>
      </c>
      <c r="BM630" s="276">
        <v>0</v>
      </c>
      <c r="BN630" s="276">
        <v>0</v>
      </c>
      <c r="BO630" s="227">
        <v>1.999999999999999E-2</v>
      </c>
    </row>
    <row r="631" spans="1:67" ht="15" customHeight="1">
      <c r="A631" s="215" t="s">
        <v>2174</v>
      </c>
      <c r="B631" s="264" t="s">
        <v>2175</v>
      </c>
      <c r="C631" s="150" t="s">
        <v>1136</v>
      </c>
      <c r="D631" s="340" t="s">
        <v>1345</v>
      </c>
      <c r="E631" s="341" t="s">
        <v>1346</v>
      </c>
      <c r="F631" s="334" t="s">
        <v>1346</v>
      </c>
      <c r="G631" s="519" t="s">
        <v>602</v>
      </c>
      <c r="H631" s="400" t="s">
        <v>2176</v>
      </c>
      <c r="I631" s="343"/>
      <c r="J631" s="344"/>
      <c r="K631" s="269" t="s">
        <v>620</v>
      </c>
      <c r="L631" s="349"/>
      <c r="M631" s="343"/>
      <c r="N631" s="349"/>
      <c r="O631" s="341" t="s">
        <v>25</v>
      </c>
      <c r="P631" s="354"/>
      <c r="Q631" s="403"/>
      <c r="R631" s="406">
        <v>0</v>
      </c>
      <c r="S631" s="406">
        <v>614.69000000000005</v>
      </c>
      <c r="T631" s="430"/>
      <c r="U631" s="137"/>
      <c r="V631" s="417"/>
      <c r="W631" s="417">
        <v>260.76</v>
      </c>
      <c r="X631" s="417">
        <v>353.93</v>
      </c>
      <c r="Y631" s="428" t="s">
        <v>1142</v>
      </c>
      <c r="Z631" s="429">
        <v>0</v>
      </c>
      <c r="AA631" s="429">
        <v>0</v>
      </c>
      <c r="AB631" s="372">
        <v>0</v>
      </c>
      <c r="AC631" s="372">
        <v>0</v>
      </c>
      <c r="AD631" s="372">
        <v>0</v>
      </c>
      <c r="AE631" s="372">
        <v>0</v>
      </c>
      <c r="AF631" s="372">
        <v>0</v>
      </c>
      <c r="AG631" s="372">
        <v>0</v>
      </c>
      <c r="AH631" s="367">
        <f t="shared" si="31"/>
        <v>614.69000000000005</v>
      </c>
      <c r="AI631" s="362">
        <f>ERP_5[[#This Row],[2026 Working Total]]-ERP_5[[#This Row],[LE2 Final Submission]]</f>
        <v>0</v>
      </c>
      <c r="AJ631" s="227">
        <v>0</v>
      </c>
      <c r="AK631" s="227">
        <f t="shared" si="30"/>
        <v>0</v>
      </c>
      <c r="AL631" s="374">
        <f>SUM(ERP_5[[#This Row],[AP01]:[AP06]])-SUM(ERP_5[[#This Row],[AP01 LE2]:[AP06 LE2]])</f>
        <v>0</v>
      </c>
      <c r="AM631" s="80"/>
      <c r="AN631" s="79">
        <f>ERP_5[[#This Row],[2026 Working Total to Budget/LE]]-ERP_5[[#This Row],[Giveback]]</f>
        <v>0</v>
      </c>
      <c r="AO631" s="81"/>
      <c r="AP631" s="375"/>
      <c r="AQ631" s="375">
        <v>260.76</v>
      </c>
      <c r="AR631" s="375">
        <v>353.93</v>
      </c>
      <c r="AS631" s="375">
        <v>0</v>
      </c>
      <c r="AT631" s="375">
        <v>0</v>
      </c>
      <c r="AU631" s="375">
        <v>0</v>
      </c>
      <c r="AV631" s="375">
        <v>0</v>
      </c>
      <c r="AW631" s="375">
        <v>0</v>
      </c>
      <c r="AX631" s="375">
        <v>0</v>
      </c>
      <c r="AY631" s="375">
        <v>0</v>
      </c>
      <c r="AZ631" s="375">
        <v>0</v>
      </c>
      <c r="BA631" s="375">
        <v>0</v>
      </c>
      <c r="BB631" s="375">
        <v>614.69000000000005</v>
      </c>
      <c r="BC631" s="276"/>
      <c r="BD631" s="276">
        <v>260.76</v>
      </c>
      <c r="BE631" s="276">
        <v>353.93</v>
      </c>
      <c r="BF631" s="276">
        <v>0</v>
      </c>
      <c r="BG631" s="276">
        <v>0</v>
      </c>
      <c r="BH631" s="276">
        <v>0</v>
      </c>
      <c r="BI631" s="276">
        <v>0</v>
      </c>
      <c r="BJ631" s="276">
        <v>0</v>
      </c>
      <c r="BK631" s="276">
        <v>0</v>
      </c>
      <c r="BL631" s="276">
        <v>0</v>
      </c>
      <c r="BM631" s="276">
        <v>0</v>
      </c>
      <c r="BN631" s="276">
        <v>0</v>
      </c>
      <c r="BO631" s="227">
        <v>614.69000000000005</v>
      </c>
    </row>
    <row r="632" spans="1:67" ht="15" customHeight="1">
      <c r="A632" s="215" t="s">
        <v>2177</v>
      </c>
      <c r="B632" s="264" t="s">
        <v>2178</v>
      </c>
      <c r="C632" s="150" t="s">
        <v>1136</v>
      </c>
      <c r="D632" s="340" t="s">
        <v>1567</v>
      </c>
      <c r="E632" s="341" t="s">
        <v>1567</v>
      </c>
      <c r="F632" s="334" t="s">
        <v>1567</v>
      </c>
      <c r="G632" s="519" t="s">
        <v>602</v>
      </c>
      <c r="H632" s="400" t="s">
        <v>2176</v>
      </c>
      <c r="I632" s="343"/>
      <c r="J632" s="344"/>
      <c r="K632" s="269" t="s">
        <v>620</v>
      </c>
      <c r="L632" s="349"/>
      <c r="M632" s="343"/>
      <c r="N632" s="349"/>
      <c r="O632" s="341" t="s">
        <v>25</v>
      </c>
      <c r="P632" s="354"/>
      <c r="Q632" s="403"/>
      <c r="R632" s="406">
        <v>0</v>
      </c>
      <c r="S632" s="406">
        <v>11815.17</v>
      </c>
      <c r="T632" s="425"/>
      <c r="U632" s="71"/>
      <c r="V632" s="417"/>
      <c r="W632" s="417">
        <v>11815.17</v>
      </c>
      <c r="X632" s="418">
        <v>0</v>
      </c>
      <c r="Y632" s="428" t="s">
        <v>1142</v>
      </c>
      <c r="Z632" s="429">
        <v>0</v>
      </c>
      <c r="AA632" s="429">
        <v>0</v>
      </c>
      <c r="AB632" s="372">
        <v>0</v>
      </c>
      <c r="AC632" s="372">
        <v>0</v>
      </c>
      <c r="AD632" s="372">
        <v>0</v>
      </c>
      <c r="AE632" s="372">
        <v>0</v>
      </c>
      <c r="AF632" s="372">
        <v>0</v>
      </c>
      <c r="AG632" s="372">
        <v>0</v>
      </c>
      <c r="AH632" s="367">
        <f t="shared" si="31"/>
        <v>11815.17</v>
      </c>
      <c r="AI632" s="362">
        <f>ERP_5[[#This Row],[2026 Working Total]]-ERP_5[[#This Row],[LE2 Final Submission]]</f>
        <v>0</v>
      </c>
      <c r="AJ632" s="227">
        <v>0</v>
      </c>
      <c r="AK632" s="227">
        <f t="shared" si="30"/>
        <v>0</v>
      </c>
      <c r="AL632" s="374">
        <f>SUM(ERP_5[[#This Row],[AP01]:[AP06]])-SUM(ERP_5[[#This Row],[AP01 LE2]:[AP06 LE2]])</f>
        <v>0</v>
      </c>
      <c r="AM632" s="80"/>
      <c r="AN632" s="79">
        <f>ERP_5[[#This Row],[2026 Working Total to Budget/LE]]-ERP_5[[#This Row],[Giveback]]</f>
        <v>0</v>
      </c>
      <c r="AO632" s="81"/>
      <c r="AP632" s="375"/>
      <c r="AQ632" s="375">
        <v>11815.17</v>
      </c>
      <c r="AR632" s="375">
        <v>0</v>
      </c>
      <c r="AS632" s="375">
        <v>0</v>
      </c>
      <c r="AT632" s="375">
        <v>0</v>
      </c>
      <c r="AU632" s="375">
        <v>0</v>
      </c>
      <c r="AV632" s="375">
        <v>0</v>
      </c>
      <c r="AW632" s="375">
        <v>0</v>
      </c>
      <c r="AX632" s="375">
        <v>0</v>
      </c>
      <c r="AY632" s="375">
        <v>0</v>
      </c>
      <c r="AZ632" s="375">
        <v>0</v>
      </c>
      <c r="BA632" s="375">
        <v>0</v>
      </c>
      <c r="BB632" s="375">
        <v>11815.17</v>
      </c>
      <c r="BC632" s="276"/>
      <c r="BD632" s="276">
        <v>11815.17</v>
      </c>
      <c r="BE632" s="276">
        <v>0</v>
      </c>
      <c r="BF632" s="276">
        <v>0</v>
      </c>
      <c r="BG632" s="276">
        <v>0</v>
      </c>
      <c r="BH632" s="276">
        <v>0</v>
      </c>
      <c r="BI632" s="276">
        <v>0</v>
      </c>
      <c r="BJ632" s="276">
        <v>0</v>
      </c>
      <c r="BK632" s="276">
        <v>0</v>
      </c>
      <c r="BL632" s="276">
        <v>0</v>
      </c>
      <c r="BM632" s="276">
        <v>0</v>
      </c>
      <c r="BN632" s="276">
        <v>0</v>
      </c>
      <c r="BO632" s="227">
        <v>11815.17</v>
      </c>
    </row>
    <row r="633" spans="1:67" ht="15" customHeight="1">
      <c r="A633" s="215" t="s">
        <v>2134</v>
      </c>
      <c r="B633" s="264" t="s">
        <v>2135</v>
      </c>
      <c r="C633" s="150" t="s">
        <v>1136</v>
      </c>
      <c r="D633" s="340" t="s">
        <v>1567</v>
      </c>
      <c r="E633" s="341" t="s">
        <v>1567</v>
      </c>
      <c r="F633" s="334" t="s">
        <v>1567</v>
      </c>
      <c r="G633" s="519" t="s">
        <v>389</v>
      </c>
      <c r="H633" s="400" t="s">
        <v>2136</v>
      </c>
      <c r="I633" s="343"/>
      <c r="J633" s="344"/>
      <c r="K633" s="70" t="s">
        <v>590</v>
      </c>
      <c r="L633" s="349"/>
      <c r="M633" s="343"/>
      <c r="N633" s="349"/>
      <c r="O633" s="341" t="s">
        <v>44</v>
      </c>
      <c r="P633" s="354"/>
      <c r="Q633" s="403"/>
      <c r="R633" s="406">
        <v>-338500</v>
      </c>
      <c r="S633" s="406">
        <v>-435500</v>
      </c>
      <c r="T633" s="425"/>
      <c r="U633" s="71"/>
      <c r="V633" s="417"/>
      <c r="W633" s="417"/>
      <c r="X633" s="417"/>
      <c r="Y633" s="428" t="s">
        <v>1142</v>
      </c>
      <c r="Z633" s="429">
        <v>0</v>
      </c>
      <c r="AA633" s="429">
        <v>0</v>
      </c>
      <c r="AB633" s="372">
        <v>0</v>
      </c>
      <c r="AC633" s="372">
        <v>0</v>
      </c>
      <c r="AD633" s="373">
        <v>-203100</v>
      </c>
      <c r="AE633" s="372">
        <v>0</v>
      </c>
      <c r="AF633" s="372">
        <v>0</v>
      </c>
      <c r="AG633" s="373">
        <v>-97000</v>
      </c>
      <c r="AH633" s="367">
        <f t="shared" si="31"/>
        <v>-300100</v>
      </c>
      <c r="AI633" s="362">
        <f>ERP_5[[#This Row],[2026 Working Total]]-ERP_5[[#This Row],[LE2 Final Submission]]</f>
        <v>135400</v>
      </c>
      <c r="AJ633" s="227"/>
      <c r="AK633" s="227">
        <f t="shared" si="30"/>
        <v>0</v>
      </c>
      <c r="AL633" s="374">
        <f>SUM(ERP_5[[#This Row],[AP01]:[AP06]])-SUM(ERP_5[[#This Row],[AP01 LE2]:[AP06 LE2]])</f>
        <v>135400</v>
      </c>
      <c r="AM633" s="80"/>
      <c r="AN633" s="79">
        <f>ERP_5[[#This Row],[2026 Working Total to Budget/LE]]-ERP_5[[#This Row],[Giveback]]</f>
        <v>135400</v>
      </c>
      <c r="AO633" s="81"/>
      <c r="AP633" s="375"/>
      <c r="AQ633" s="375"/>
      <c r="AR633" s="375"/>
      <c r="AS633" s="375"/>
      <c r="AT633" s="375"/>
      <c r="AU633" s="375">
        <v>-135400</v>
      </c>
      <c r="AV633" s="375">
        <v>0</v>
      </c>
      <c r="AW633" s="375">
        <v>0</v>
      </c>
      <c r="AX633" s="375">
        <v>-203100</v>
      </c>
      <c r="AY633" s="375">
        <v>0</v>
      </c>
      <c r="AZ633" s="375">
        <v>0</v>
      </c>
      <c r="BA633" s="375">
        <v>-97000</v>
      </c>
      <c r="BB633" s="375">
        <v>-435500</v>
      </c>
      <c r="BC633" s="276"/>
      <c r="BD633" s="276"/>
      <c r="BE633" s="276"/>
      <c r="BF633" s="276"/>
      <c r="BG633" s="276"/>
      <c r="BH633" s="276">
        <v>-135400</v>
      </c>
      <c r="BI633" s="276">
        <v>0</v>
      </c>
      <c r="BJ633" s="276">
        <v>0</v>
      </c>
      <c r="BK633" s="276">
        <v>-203100</v>
      </c>
      <c r="BL633" s="276">
        <v>0</v>
      </c>
      <c r="BM633" s="276">
        <v>0</v>
      </c>
      <c r="BN633" s="276">
        <v>-97000</v>
      </c>
      <c r="BO633" s="227">
        <v>-435500</v>
      </c>
    </row>
    <row r="634" spans="1:67" ht="15" customHeight="1">
      <c r="A634" s="342" t="s">
        <v>2167</v>
      </c>
      <c r="B634" s="460" t="s">
        <v>616</v>
      </c>
      <c r="C634" s="150" t="s">
        <v>1136</v>
      </c>
      <c r="D634" s="461" t="s">
        <v>1345</v>
      </c>
      <c r="E634" s="465" t="s">
        <v>1480</v>
      </c>
      <c r="F634" s="466" t="s">
        <v>1480</v>
      </c>
      <c r="G634" s="520" t="s">
        <v>602</v>
      </c>
      <c r="H634" s="468" t="s">
        <v>2168</v>
      </c>
      <c r="I634" s="333"/>
      <c r="J634" s="462" t="s">
        <v>1493</v>
      </c>
      <c r="K634" s="469" t="s">
        <v>610</v>
      </c>
      <c r="L634" s="470"/>
      <c r="M634" s="347"/>
      <c r="N634" s="463"/>
      <c r="O634" s="472"/>
      <c r="P634" s="474"/>
      <c r="Q634" s="402"/>
      <c r="R634" s="406"/>
      <c r="S634" s="406"/>
      <c r="T634" s="425"/>
      <c r="U634" s="71"/>
      <c r="V634" s="477"/>
      <c r="W634" s="477"/>
      <c r="X634" s="477"/>
      <c r="Y634" s="429"/>
      <c r="Z634" s="429">
        <v>693</v>
      </c>
      <c r="AA634" s="429">
        <v>0</v>
      </c>
      <c r="AB634" s="478"/>
      <c r="AC634" s="478"/>
      <c r="AD634" s="478"/>
      <c r="AE634" s="478"/>
      <c r="AF634" s="478"/>
      <c r="AG634" s="478"/>
      <c r="AH634" s="367">
        <f t="shared" si="31"/>
        <v>693</v>
      </c>
      <c r="AI634" s="362">
        <f>ERP_5[[#This Row],[2026 Working Total]]-ERP_5[[#This Row],[LE2 Final Submission]]</f>
        <v>693</v>
      </c>
      <c r="AJ634" s="294"/>
      <c r="AK634" s="294">
        <f t="shared" si="30"/>
        <v>0</v>
      </c>
      <c r="AL634" s="374">
        <f>SUM(ERP_5[[#This Row],[AP01]:[AP06]])-SUM(ERP_5[[#This Row],[AP01 LE2]:[AP06 LE2]])</f>
        <v>693</v>
      </c>
      <c r="AM634" s="80"/>
      <c r="AN634" s="79">
        <f>ERP_5[[#This Row],[2026 Working Total to Budget/LE]]-ERP_5[[#This Row],[Giveback]]</f>
        <v>693</v>
      </c>
      <c r="AO634" s="81"/>
      <c r="AP634" s="375"/>
      <c r="AQ634" s="375"/>
      <c r="AR634" s="375"/>
      <c r="AS634" s="375"/>
      <c r="AT634" s="375"/>
      <c r="AU634" s="375"/>
      <c r="AV634" s="375"/>
      <c r="AW634" s="375"/>
      <c r="AX634" s="375"/>
      <c r="AY634" s="375"/>
      <c r="AZ634" s="375"/>
      <c r="BA634" s="375"/>
      <c r="BB634" s="375"/>
      <c r="BC634" s="295"/>
      <c r="BD634" s="295"/>
      <c r="BE634" s="295"/>
      <c r="BF634" s="295"/>
      <c r="BG634" s="295"/>
      <c r="BH634" s="295"/>
      <c r="BI634" s="295"/>
      <c r="BJ634" s="295"/>
      <c r="BK634" s="295"/>
      <c r="BL634" s="295"/>
      <c r="BM634" s="295"/>
      <c r="BN634" s="295"/>
      <c r="BO634" s="227"/>
    </row>
    <row r="635" spans="1:67" ht="15" customHeight="1">
      <c r="A635" s="66" t="s">
        <v>1335</v>
      </c>
      <c r="B635" s="66" t="s">
        <v>1336</v>
      </c>
      <c r="C635" s="150" t="s">
        <v>1136</v>
      </c>
      <c r="D635" s="334" t="s">
        <v>1135</v>
      </c>
      <c r="E635" s="342" t="s">
        <v>1165</v>
      </c>
      <c r="F635" s="342" t="s">
        <v>1137</v>
      </c>
      <c r="G635" s="521" t="s">
        <v>49</v>
      </c>
      <c r="H635" s="451" t="s">
        <v>1327</v>
      </c>
      <c r="I635" s="343"/>
      <c r="J635" s="343"/>
      <c r="K635" s="70" t="s">
        <v>147</v>
      </c>
      <c r="L635" s="346"/>
      <c r="M635" s="343"/>
      <c r="N635" s="346"/>
      <c r="O635" s="150" t="s">
        <v>25</v>
      </c>
      <c r="P635" s="482" t="s">
        <v>1338</v>
      </c>
      <c r="Q635" s="403"/>
      <c r="R635" s="406">
        <v>0</v>
      </c>
      <c r="S635" s="406">
        <v>0.35000000000000003</v>
      </c>
      <c r="T635" s="425"/>
      <c r="U635" s="71"/>
      <c r="V635" s="530"/>
      <c r="W635" s="530">
        <v>0.01</v>
      </c>
      <c r="X635" s="530">
        <v>0.34</v>
      </c>
      <c r="Y635" s="531">
        <v>-0.67</v>
      </c>
      <c r="Z635" s="531">
        <v>0.2</v>
      </c>
      <c r="AA635" s="429">
        <v>8111.01</v>
      </c>
      <c r="AB635" s="360">
        <v>0</v>
      </c>
      <c r="AC635" s="360">
        <v>0</v>
      </c>
      <c r="AD635" s="360">
        <v>0</v>
      </c>
      <c r="AE635" s="360">
        <v>0</v>
      </c>
      <c r="AF635" s="360">
        <v>0</v>
      </c>
      <c r="AG635" s="360">
        <v>0</v>
      </c>
      <c r="AH635" s="367">
        <f t="shared" si="31"/>
        <v>8110.89</v>
      </c>
      <c r="AI635" s="362">
        <f>ERP_5[[#This Row],[2026 Working Total]]-ERP_5[[#This Row],[LE2 Final Submission]]</f>
        <v>8110.54</v>
      </c>
      <c r="AJ635" s="79">
        <v>0</v>
      </c>
      <c r="AK635" s="79">
        <f t="shared" si="30"/>
        <v>8111.01</v>
      </c>
      <c r="AL635" s="374">
        <f>SUM(ERP_5[[#This Row],[AP01]:[AP06]])-SUM(ERP_5[[#This Row],[AP01 LE2]:[AP06 LE2]])</f>
        <v>8110.54</v>
      </c>
      <c r="AM635" s="80"/>
      <c r="AN635" s="79">
        <f>ERP_5[[#This Row],[2026 Working Total to Budget/LE]]-ERP_5[[#This Row],[Giveback]]</f>
        <v>8110.54</v>
      </c>
      <c r="AO635" s="81"/>
      <c r="AP635" s="375"/>
      <c r="AQ635" s="375">
        <v>0.01</v>
      </c>
      <c r="AR635" s="375">
        <v>0.34</v>
      </c>
      <c r="AS635" s="375">
        <v>0</v>
      </c>
      <c r="AT635" s="375">
        <v>0</v>
      </c>
      <c r="AU635" s="375">
        <v>0</v>
      </c>
      <c r="AV635" s="375">
        <v>0</v>
      </c>
      <c r="AW635" s="375">
        <v>0</v>
      </c>
      <c r="AX635" s="375">
        <v>0</v>
      </c>
      <c r="AY635" s="375">
        <v>0</v>
      </c>
      <c r="AZ635" s="375">
        <v>0</v>
      </c>
      <c r="BA635" s="375">
        <v>0</v>
      </c>
      <c r="BB635" s="375">
        <v>0.35000000000000003</v>
      </c>
      <c r="BC635" s="79"/>
      <c r="BD635" s="79">
        <v>0.01</v>
      </c>
      <c r="BE635" s="79">
        <v>0.34</v>
      </c>
      <c r="BF635" s="79">
        <v>0</v>
      </c>
      <c r="BG635" s="79">
        <v>0</v>
      </c>
      <c r="BH635" s="79">
        <v>0</v>
      </c>
      <c r="BI635" s="79">
        <v>0</v>
      </c>
      <c r="BJ635" s="79">
        <v>0</v>
      </c>
      <c r="BK635" s="79">
        <v>0</v>
      </c>
      <c r="BL635" s="79">
        <v>0</v>
      </c>
      <c r="BM635" s="79">
        <v>0</v>
      </c>
      <c r="BN635" s="79">
        <v>0</v>
      </c>
      <c r="BO635" s="79">
        <v>0.35000000000000003</v>
      </c>
    </row>
    <row r="636" spans="1:67" ht="15" customHeight="1">
      <c r="A636" s="66" t="s">
        <v>2180</v>
      </c>
      <c r="B636" s="66" t="s">
        <v>2181</v>
      </c>
      <c r="C636" s="150" t="s">
        <v>1136</v>
      </c>
      <c r="D636" s="342" t="s">
        <v>1345</v>
      </c>
      <c r="E636" s="342" t="s">
        <v>1346</v>
      </c>
      <c r="F636" s="342" t="s">
        <v>1346</v>
      </c>
      <c r="G636" s="521" t="s">
        <v>602</v>
      </c>
      <c r="H636" s="451" t="s">
        <v>611</v>
      </c>
      <c r="I636" s="343"/>
      <c r="J636" s="343"/>
      <c r="K636" s="70" t="s">
        <v>610</v>
      </c>
      <c r="L636" s="346"/>
      <c r="M636" s="343"/>
      <c r="N636" s="346"/>
      <c r="O636" s="150" t="s">
        <v>611</v>
      </c>
      <c r="P636" s="150"/>
      <c r="Q636" s="403"/>
      <c r="R636" s="406">
        <v>0</v>
      </c>
      <c r="S636" s="406">
        <v>9893.24</v>
      </c>
      <c r="T636" s="425"/>
      <c r="U636" s="71"/>
      <c r="V636" s="427">
        <v>478.59</v>
      </c>
      <c r="W636" s="427">
        <v>9120.75</v>
      </c>
      <c r="X636" s="427">
        <v>293.89999999999998</v>
      </c>
      <c r="Y636" s="428">
        <v>94.080000000000013</v>
      </c>
      <c r="Z636" s="429">
        <v>275.29999999999984</v>
      </c>
      <c r="AA636" s="429">
        <v>-458.89999999999986</v>
      </c>
      <c r="AB636" s="360">
        <v>0</v>
      </c>
      <c r="AC636" s="360">
        <v>0</v>
      </c>
      <c r="AD636" s="360">
        <v>0</v>
      </c>
      <c r="AE636" s="360">
        <v>0</v>
      </c>
      <c r="AF636" s="360">
        <v>0</v>
      </c>
      <c r="AG636" s="360">
        <v>0</v>
      </c>
      <c r="AH636" s="367">
        <f t="shared" si="31"/>
        <v>9803.7199999999993</v>
      </c>
      <c r="AI636" s="455">
        <f>ERP_5[[#This Row],[2026 Working Total]]-ERP_5[[#This Row],[LE2 Final Submission]]</f>
        <v>-89.520000000000437</v>
      </c>
      <c r="AJ636" s="79">
        <v>0</v>
      </c>
      <c r="AK636" s="79">
        <f t="shared" si="30"/>
        <v>-458.89999999999986</v>
      </c>
      <c r="AL636" s="374">
        <f>SUM(ERP_5[[#This Row],[AP01]:[AP06]])-SUM(ERP_5[[#This Row],[AP01 LE2]:[AP06 LE2]])</f>
        <v>-89.520000000000437</v>
      </c>
      <c r="AM636" s="80"/>
      <c r="AN636" s="79">
        <f>ERP_5[[#This Row],[2026 Working Total to Budget/LE]]-ERP_5[[#This Row],[Giveback]]</f>
        <v>-89.520000000000437</v>
      </c>
      <c r="AO636" s="81"/>
      <c r="AP636" s="375">
        <v>478.59</v>
      </c>
      <c r="AQ636" s="375">
        <v>9120.75</v>
      </c>
      <c r="AR636" s="375">
        <v>293.89999999999998</v>
      </c>
      <c r="AS636" s="375">
        <v>0</v>
      </c>
      <c r="AT636" s="375">
        <v>0</v>
      </c>
      <c r="AU636" s="375">
        <v>0</v>
      </c>
      <c r="AV636" s="375">
        <v>0</v>
      </c>
      <c r="AW636" s="375">
        <v>0</v>
      </c>
      <c r="AX636" s="375">
        <v>0</v>
      </c>
      <c r="AY636" s="375">
        <v>0</v>
      </c>
      <c r="AZ636" s="375">
        <v>0</v>
      </c>
      <c r="BA636" s="375">
        <v>0</v>
      </c>
      <c r="BB636" s="375">
        <v>9893.24</v>
      </c>
      <c r="BC636" s="79">
        <v>478.59</v>
      </c>
      <c r="BD636" s="79">
        <v>9120.75</v>
      </c>
      <c r="BE636" s="79">
        <v>293.89999999999998</v>
      </c>
      <c r="BF636" s="79">
        <v>0</v>
      </c>
      <c r="BG636" s="79">
        <v>0</v>
      </c>
      <c r="BH636" s="79">
        <v>0</v>
      </c>
      <c r="BI636" s="79">
        <v>0</v>
      </c>
      <c r="BJ636" s="79">
        <v>0</v>
      </c>
      <c r="BK636" s="79">
        <v>0</v>
      </c>
      <c r="BL636" s="79">
        <v>0</v>
      </c>
      <c r="BM636" s="79">
        <v>0</v>
      </c>
      <c r="BN636" s="79">
        <v>0</v>
      </c>
      <c r="BO636" s="79">
        <v>9893.24</v>
      </c>
    </row>
    <row r="637" spans="1:67" ht="15" customHeight="1">
      <c r="A637" s="66" t="s">
        <v>2188</v>
      </c>
      <c r="B637" s="66" t="s">
        <v>2189</v>
      </c>
      <c r="C637" s="150" t="s">
        <v>1136</v>
      </c>
      <c r="D637" s="150" t="s">
        <v>1345</v>
      </c>
      <c r="E637" s="150" t="s">
        <v>1346</v>
      </c>
      <c r="F637" s="150" t="s">
        <v>1346</v>
      </c>
      <c r="G637" s="511" t="s">
        <v>625</v>
      </c>
      <c r="H637" s="392" t="s">
        <v>611</v>
      </c>
      <c r="I637" s="343"/>
      <c r="J637" s="343"/>
      <c r="K637" s="70" t="s">
        <v>610</v>
      </c>
      <c r="L637" s="346"/>
      <c r="M637" s="343"/>
      <c r="N637" s="346"/>
      <c r="O637" s="150" t="s">
        <v>611</v>
      </c>
      <c r="P637" s="150"/>
      <c r="Q637" s="403"/>
      <c r="R637" s="406">
        <v>0</v>
      </c>
      <c r="S637" s="406">
        <v>20.21</v>
      </c>
      <c r="T637" s="430"/>
      <c r="U637" s="137"/>
      <c r="V637" s="427">
        <v>16.29</v>
      </c>
      <c r="W637" s="431">
        <v>0</v>
      </c>
      <c r="X637" s="427">
        <v>3.92</v>
      </c>
      <c r="Y637" s="428" t="s">
        <v>1142</v>
      </c>
      <c r="Z637" s="429">
        <v>0</v>
      </c>
      <c r="AA637" s="429">
        <v>0</v>
      </c>
      <c r="AB637" s="360">
        <v>0</v>
      </c>
      <c r="AC637" s="360">
        <v>0</v>
      </c>
      <c r="AD637" s="360">
        <v>0</v>
      </c>
      <c r="AE637" s="360">
        <v>0</v>
      </c>
      <c r="AF637" s="360">
        <v>0</v>
      </c>
      <c r="AG637" s="360">
        <v>0</v>
      </c>
      <c r="AH637" s="367">
        <f t="shared" si="31"/>
        <v>20.21</v>
      </c>
      <c r="AI637" s="455">
        <f>ERP_5[[#This Row],[2026 Working Total]]-ERP_5[[#This Row],[LE2 Final Submission]]</f>
        <v>0</v>
      </c>
      <c r="AJ637" s="79">
        <v>0</v>
      </c>
      <c r="AK637" s="79">
        <f t="shared" si="30"/>
        <v>0</v>
      </c>
      <c r="AL637" s="374">
        <f>SUM(ERP_5[[#This Row],[AP01]:[AP06]])-SUM(ERP_5[[#This Row],[AP01 LE2]:[AP06 LE2]])</f>
        <v>0</v>
      </c>
      <c r="AM637" s="80"/>
      <c r="AN637" s="79">
        <f>ERP_5[[#This Row],[2026 Working Total to Budget/LE]]-ERP_5[[#This Row],[Giveback]]</f>
        <v>0</v>
      </c>
      <c r="AO637" s="81"/>
      <c r="AP637" s="375">
        <v>16.29</v>
      </c>
      <c r="AQ637" s="375">
        <v>0</v>
      </c>
      <c r="AR637" s="375">
        <v>3.92</v>
      </c>
      <c r="AS637" s="375">
        <v>0</v>
      </c>
      <c r="AT637" s="375">
        <v>0</v>
      </c>
      <c r="AU637" s="375">
        <v>0</v>
      </c>
      <c r="AV637" s="375">
        <v>0</v>
      </c>
      <c r="AW637" s="375">
        <v>0</v>
      </c>
      <c r="AX637" s="375">
        <v>0</v>
      </c>
      <c r="AY637" s="375">
        <v>0</v>
      </c>
      <c r="AZ637" s="375">
        <v>0</v>
      </c>
      <c r="BA637" s="375">
        <v>0</v>
      </c>
      <c r="BB637" s="375">
        <v>20.21</v>
      </c>
      <c r="BC637" s="79">
        <v>16.29</v>
      </c>
      <c r="BD637" s="79">
        <v>0</v>
      </c>
      <c r="BE637" s="79">
        <v>3.92</v>
      </c>
      <c r="BF637" s="79">
        <v>0</v>
      </c>
      <c r="BG637" s="79">
        <v>0</v>
      </c>
      <c r="BH637" s="79">
        <v>0</v>
      </c>
      <c r="BI637" s="79">
        <v>0</v>
      </c>
      <c r="BJ637" s="79">
        <v>0</v>
      </c>
      <c r="BK637" s="79">
        <v>0</v>
      </c>
      <c r="BL637" s="79">
        <v>0</v>
      </c>
      <c r="BM637" s="79">
        <v>0</v>
      </c>
      <c r="BN637" s="79">
        <v>0</v>
      </c>
      <c r="BO637" s="79">
        <v>20.21</v>
      </c>
    </row>
    <row r="638" spans="1:67" ht="15" customHeight="1">
      <c r="A638" s="66" t="s">
        <v>1961</v>
      </c>
      <c r="B638" s="66" t="s">
        <v>1962</v>
      </c>
      <c r="C638" s="150" t="s">
        <v>1136</v>
      </c>
      <c r="D638" s="150" t="s">
        <v>1135</v>
      </c>
      <c r="E638" s="150" t="s">
        <v>1165</v>
      </c>
      <c r="F638" s="150" t="s">
        <v>1137</v>
      </c>
      <c r="G638" s="511" t="s">
        <v>389</v>
      </c>
      <c r="H638" s="451" t="s">
        <v>1327</v>
      </c>
      <c r="I638" s="343"/>
      <c r="J638" s="343"/>
      <c r="K638" s="70" t="s">
        <v>147</v>
      </c>
      <c r="L638" s="346"/>
      <c r="M638" s="343"/>
      <c r="N638" s="346"/>
      <c r="O638" s="150" t="s">
        <v>25</v>
      </c>
      <c r="P638" s="482" t="s">
        <v>1338</v>
      </c>
      <c r="Q638" s="403"/>
      <c r="R638" s="406">
        <v>0</v>
      </c>
      <c r="S638" s="406">
        <v>39996</v>
      </c>
      <c r="T638" s="425"/>
      <c r="U638" s="71"/>
      <c r="V638" s="427">
        <v>0.22</v>
      </c>
      <c r="W638" s="427">
        <v>45000.28</v>
      </c>
      <c r="X638" s="427">
        <v>-5004.5</v>
      </c>
      <c r="Y638" s="428">
        <v>-0.6</v>
      </c>
      <c r="Z638" s="429">
        <v>-84995.74</v>
      </c>
      <c r="AA638" s="429">
        <v>44999.83</v>
      </c>
      <c r="AB638" s="360">
        <v>0</v>
      </c>
      <c r="AC638" s="360">
        <v>0</v>
      </c>
      <c r="AD638" s="360">
        <v>0</v>
      </c>
      <c r="AE638" s="360">
        <v>0</v>
      </c>
      <c r="AF638" s="360">
        <v>0</v>
      </c>
      <c r="AG638" s="360">
        <v>0</v>
      </c>
      <c r="AH638" s="367">
        <f t="shared" si="31"/>
        <v>-0.51000000000203727</v>
      </c>
      <c r="AI638" s="455">
        <f>ERP_5[[#This Row],[2026 Working Total]]-ERP_5[[#This Row],[LE2 Final Submission]]</f>
        <v>-39996.51</v>
      </c>
      <c r="AJ638" s="79">
        <v>0</v>
      </c>
      <c r="AK638" s="79">
        <f t="shared" si="30"/>
        <v>44999.83</v>
      </c>
      <c r="AL638" s="374">
        <f>SUM(ERP_5[[#This Row],[AP01]:[AP06]])-SUM(ERP_5[[#This Row],[AP01 LE2]:[AP06 LE2]])</f>
        <v>-39996.51</v>
      </c>
      <c r="AM638" s="80"/>
      <c r="AN638" s="79">
        <f>ERP_5[[#This Row],[2026 Working Total to Budget/LE]]-ERP_5[[#This Row],[Giveback]]</f>
        <v>-39996.51</v>
      </c>
      <c r="AO638" s="81"/>
      <c r="AP638" s="375">
        <v>0.22</v>
      </c>
      <c r="AQ638" s="375">
        <v>45000.28</v>
      </c>
      <c r="AR638" s="375">
        <v>-5004.5</v>
      </c>
      <c r="AS638" s="375">
        <v>0</v>
      </c>
      <c r="AT638" s="375">
        <v>0</v>
      </c>
      <c r="AU638" s="375">
        <v>0</v>
      </c>
      <c r="AV638" s="375">
        <v>0</v>
      </c>
      <c r="AW638" s="375">
        <v>0</v>
      </c>
      <c r="AX638" s="375">
        <v>0</v>
      </c>
      <c r="AY638" s="375">
        <v>0</v>
      </c>
      <c r="AZ638" s="375">
        <v>0</v>
      </c>
      <c r="BA638" s="375">
        <v>0</v>
      </c>
      <c r="BB638" s="375">
        <v>39996</v>
      </c>
      <c r="BC638" s="79">
        <v>0.22</v>
      </c>
      <c r="BD638" s="79">
        <v>45000.28</v>
      </c>
      <c r="BE638" s="79">
        <v>-5004.5</v>
      </c>
      <c r="BF638" s="79">
        <v>0</v>
      </c>
      <c r="BG638" s="79">
        <v>0</v>
      </c>
      <c r="BH638" s="79">
        <v>0</v>
      </c>
      <c r="BI638" s="79">
        <v>0</v>
      </c>
      <c r="BJ638" s="79">
        <v>0</v>
      </c>
      <c r="BK638" s="79">
        <v>0</v>
      </c>
      <c r="BL638" s="79">
        <v>0</v>
      </c>
      <c r="BM638" s="79">
        <v>0</v>
      </c>
      <c r="BN638" s="79">
        <v>0</v>
      </c>
      <c r="BO638" s="79">
        <v>39996</v>
      </c>
    </row>
    <row r="639" spans="1:67" ht="15" customHeight="1">
      <c r="A639" s="66" t="s">
        <v>2161</v>
      </c>
      <c r="B639" s="66" t="s">
        <v>612</v>
      </c>
      <c r="C639" s="150" t="s">
        <v>1136</v>
      </c>
      <c r="D639" s="150" t="s">
        <v>1345</v>
      </c>
      <c r="E639" s="150" t="s">
        <v>1344</v>
      </c>
      <c r="F639" s="150" t="s">
        <v>1346</v>
      </c>
      <c r="G639" s="511" t="s">
        <v>602</v>
      </c>
      <c r="H639" s="451" t="s">
        <v>611</v>
      </c>
      <c r="I639" s="343"/>
      <c r="J639" s="343"/>
      <c r="K639" s="70" t="s">
        <v>610</v>
      </c>
      <c r="L639" s="346"/>
      <c r="M639" s="343"/>
      <c r="N639" s="346"/>
      <c r="O639" s="150" t="s">
        <v>611</v>
      </c>
      <c r="P639" s="150"/>
      <c r="Q639" s="403"/>
      <c r="R639" s="406">
        <v>0</v>
      </c>
      <c r="S639" s="406">
        <v>85.04</v>
      </c>
      <c r="T639" s="425"/>
      <c r="U639" s="71"/>
      <c r="V639" s="427">
        <v>38.450000000000003</v>
      </c>
      <c r="W639" s="431">
        <v>0</v>
      </c>
      <c r="X639" s="427">
        <v>46.59</v>
      </c>
      <c r="Y639" s="428">
        <v>0</v>
      </c>
      <c r="Z639" s="429">
        <v>91.13</v>
      </c>
      <c r="AA639" s="429">
        <v>37.570000000000007</v>
      </c>
      <c r="AB639" s="360">
        <v>0</v>
      </c>
      <c r="AC639" s="360">
        <v>0</v>
      </c>
      <c r="AD639" s="360">
        <v>0</v>
      </c>
      <c r="AE639" s="360">
        <v>0</v>
      </c>
      <c r="AF639" s="360">
        <v>0</v>
      </c>
      <c r="AG639" s="360">
        <v>0</v>
      </c>
      <c r="AH639" s="367">
        <f t="shared" si="31"/>
        <v>213.74</v>
      </c>
      <c r="AI639" s="455">
        <f>ERP_5[[#This Row],[2026 Working Total]]-ERP_5[[#This Row],[LE2 Final Submission]]</f>
        <v>128.69999999999999</v>
      </c>
      <c r="AJ639" s="79">
        <v>0</v>
      </c>
      <c r="AK639" s="79">
        <f t="shared" si="30"/>
        <v>37.570000000000007</v>
      </c>
      <c r="AL639" s="374">
        <f>SUM(ERP_5[[#This Row],[AP01]:[AP06]])-SUM(ERP_5[[#This Row],[AP01 LE2]:[AP06 LE2]])</f>
        <v>128.69999999999999</v>
      </c>
      <c r="AM639" s="80"/>
      <c r="AN639" s="79">
        <f>ERP_5[[#This Row],[2026 Working Total to Budget/LE]]-ERP_5[[#This Row],[Giveback]]</f>
        <v>128.69999999999999</v>
      </c>
      <c r="AO639" s="81"/>
      <c r="AP639" s="375">
        <v>38.450000000000003</v>
      </c>
      <c r="AQ639" s="375">
        <v>0</v>
      </c>
      <c r="AR639" s="375">
        <v>46.59</v>
      </c>
      <c r="AS639" s="375">
        <v>0</v>
      </c>
      <c r="AT639" s="375">
        <v>0</v>
      </c>
      <c r="AU639" s="375">
        <v>0</v>
      </c>
      <c r="AV639" s="375">
        <v>0</v>
      </c>
      <c r="AW639" s="375">
        <v>0</v>
      </c>
      <c r="AX639" s="375">
        <v>0</v>
      </c>
      <c r="AY639" s="375">
        <v>0</v>
      </c>
      <c r="AZ639" s="375">
        <v>0</v>
      </c>
      <c r="BA639" s="375">
        <v>0</v>
      </c>
      <c r="BB639" s="375">
        <v>85.04</v>
      </c>
      <c r="BC639" s="79">
        <v>38.450000000000003</v>
      </c>
      <c r="BD639" s="79">
        <v>0</v>
      </c>
      <c r="BE639" s="79">
        <v>46.59</v>
      </c>
      <c r="BF639" s="79">
        <v>0</v>
      </c>
      <c r="BG639" s="79">
        <v>0</v>
      </c>
      <c r="BH639" s="79">
        <v>0</v>
      </c>
      <c r="BI639" s="79">
        <v>0</v>
      </c>
      <c r="BJ639" s="79">
        <v>0</v>
      </c>
      <c r="BK639" s="79">
        <v>0</v>
      </c>
      <c r="BL639" s="79">
        <v>0</v>
      </c>
      <c r="BM639" s="79">
        <v>0</v>
      </c>
      <c r="BN639" s="79">
        <v>0</v>
      </c>
      <c r="BO639" s="79">
        <v>85.04</v>
      </c>
    </row>
    <row r="640" spans="1:67" ht="15" customHeight="1">
      <c r="A640" s="66" t="s">
        <v>2162</v>
      </c>
      <c r="B640" s="66" t="s">
        <v>613</v>
      </c>
      <c r="C640" s="150" t="s">
        <v>1136</v>
      </c>
      <c r="D640" s="150" t="s">
        <v>1345</v>
      </c>
      <c r="E640" s="150" t="s">
        <v>1345</v>
      </c>
      <c r="F640" s="150" t="s">
        <v>1346</v>
      </c>
      <c r="G640" s="511" t="s">
        <v>602</v>
      </c>
      <c r="H640" s="451" t="s">
        <v>611</v>
      </c>
      <c r="I640" s="343"/>
      <c r="J640" s="343"/>
      <c r="K640" s="70" t="s">
        <v>610</v>
      </c>
      <c r="L640" s="346"/>
      <c r="M640" s="343"/>
      <c r="N640" s="346"/>
      <c r="O640" s="150" t="s">
        <v>611</v>
      </c>
      <c r="P640" s="150"/>
      <c r="Q640" s="403"/>
      <c r="R640" s="406">
        <v>0</v>
      </c>
      <c r="S640" s="406">
        <v>57</v>
      </c>
      <c r="T640" s="425"/>
      <c r="U640" s="71"/>
      <c r="V640" s="427">
        <v>57</v>
      </c>
      <c r="W640" s="431">
        <v>0</v>
      </c>
      <c r="X640" s="431">
        <v>0</v>
      </c>
      <c r="Y640" s="428">
        <v>0</v>
      </c>
      <c r="Z640" s="429">
        <v>16</v>
      </c>
      <c r="AA640" s="429">
        <v>0</v>
      </c>
      <c r="AB640" s="360">
        <v>0</v>
      </c>
      <c r="AC640" s="360">
        <v>0</v>
      </c>
      <c r="AD640" s="360">
        <v>0</v>
      </c>
      <c r="AE640" s="360">
        <v>0</v>
      </c>
      <c r="AF640" s="360">
        <v>0</v>
      </c>
      <c r="AG640" s="360">
        <v>0</v>
      </c>
      <c r="AH640" s="367">
        <f t="shared" si="31"/>
        <v>73</v>
      </c>
      <c r="AI640" s="455">
        <f>ERP_5[[#This Row],[2026 Working Total]]-ERP_5[[#This Row],[LE2 Final Submission]]</f>
        <v>16</v>
      </c>
      <c r="AJ640" s="79">
        <v>0</v>
      </c>
      <c r="AK640" s="79">
        <f t="shared" si="30"/>
        <v>0</v>
      </c>
      <c r="AL640" s="374">
        <f>SUM(ERP_5[[#This Row],[AP01]:[AP06]])-SUM(ERP_5[[#This Row],[AP01 LE2]:[AP06 LE2]])</f>
        <v>16</v>
      </c>
      <c r="AM640" s="80"/>
      <c r="AN640" s="79">
        <f>ERP_5[[#This Row],[2026 Working Total to Budget/LE]]-ERP_5[[#This Row],[Giveback]]</f>
        <v>16</v>
      </c>
      <c r="AO640" s="81"/>
      <c r="AP640" s="375">
        <v>57</v>
      </c>
      <c r="AQ640" s="375">
        <v>0</v>
      </c>
      <c r="AR640" s="375">
        <v>0</v>
      </c>
      <c r="AS640" s="375">
        <v>0</v>
      </c>
      <c r="AT640" s="375">
        <v>0</v>
      </c>
      <c r="AU640" s="375">
        <v>0</v>
      </c>
      <c r="AV640" s="375">
        <v>0</v>
      </c>
      <c r="AW640" s="375">
        <v>0</v>
      </c>
      <c r="AX640" s="375">
        <v>0</v>
      </c>
      <c r="AY640" s="375">
        <v>0</v>
      </c>
      <c r="AZ640" s="375">
        <v>0</v>
      </c>
      <c r="BA640" s="375">
        <v>0</v>
      </c>
      <c r="BB640" s="375">
        <v>57</v>
      </c>
      <c r="BC640" s="79">
        <v>57</v>
      </c>
      <c r="BD640" s="79">
        <v>0</v>
      </c>
      <c r="BE640" s="79">
        <v>0</v>
      </c>
      <c r="BF640" s="79">
        <v>0</v>
      </c>
      <c r="BG640" s="79">
        <v>0</v>
      </c>
      <c r="BH640" s="79">
        <v>0</v>
      </c>
      <c r="BI640" s="79">
        <v>0</v>
      </c>
      <c r="BJ640" s="79">
        <v>0</v>
      </c>
      <c r="BK640" s="79">
        <v>0</v>
      </c>
      <c r="BL640" s="79">
        <v>0</v>
      </c>
      <c r="BM640" s="79">
        <v>0</v>
      </c>
      <c r="BN640" s="79">
        <v>0</v>
      </c>
      <c r="BO640" s="79">
        <v>57</v>
      </c>
    </row>
    <row r="641" spans="1:67" ht="15" customHeight="1">
      <c r="A641" s="66" t="s">
        <v>2169</v>
      </c>
      <c r="B641" s="66" t="s">
        <v>617</v>
      </c>
      <c r="C641" s="150" t="s">
        <v>1136</v>
      </c>
      <c r="D641" s="150" t="s">
        <v>1345</v>
      </c>
      <c r="E641" s="150" t="s">
        <v>1515</v>
      </c>
      <c r="F641" s="150" t="s">
        <v>1346</v>
      </c>
      <c r="G641" s="511" t="s">
        <v>602</v>
      </c>
      <c r="H641" s="451" t="s">
        <v>611</v>
      </c>
      <c r="I641" s="343"/>
      <c r="J641" s="343"/>
      <c r="K641" s="70" t="s">
        <v>610</v>
      </c>
      <c r="L641" s="346"/>
      <c r="M641" s="343"/>
      <c r="N641" s="346"/>
      <c r="O641" s="150" t="s">
        <v>611</v>
      </c>
      <c r="P641" s="150"/>
      <c r="Q641" s="403"/>
      <c r="R641" s="406">
        <v>0</v>
      </c>
      <c r="S641" s="406">
        <v>414.36</v>
      </c>
      <c r="T641" s="425"/>
      <c r="U641" s="71"/>
      <c r="V641" s="427"/>
      <c r="W641" s="427"/>
      <c r="X641" s="427">
        <v>414.36</v>
      </c>
      <c r="Y641" s="428">
        <v>0</v>
      </c>
      <c r="Z641" s="429">
        <v>0</v>
      </c>
      <c r="AA641" s="429">
        <v>0</v>
      </c>
      <c r="AB641" s="360">
        <v>0</v>
      </c>
      <c r="AC641" s="360">
        <v>0</v>
      </c>
      <c r="AD641" s="360">
        <v>0</v>
      </c>
      <c r="AE641" s="360">
        <v>0</v>
      </c>
      <c r="AF641" s="360">
        <v>0</v>
      </c>
      <c r="AG641" s="360">
        <v>0</v>
      </c>
      <c r="AH641" s="367">
        <f t="shared" si="31"/>
        <v>414.36</v>
      </c>
      <c r="AI641" s="455">
        <f>ERP_5[[#This Row],[2026 Working Total]]-ERP_5[[#This Row],[LE2 Final Submission]]</f>
        <v>0</v>
      </c>
      <c r="AJ641" s="79">
        <v>0</v>
      </c>
      <c r="AK641" s="79">
        <f t="shared" si="30"/>
        <v>0</v>
      </c>
      <c r="AL641" s="374">
        <f>SUM(ERP_5[[#This Row],[AP01]:[AP06]])-SUM(ERP_5[[#This Row],[AP01 LE2]:[AP06 LE2]])</f>
        <v>0</v>
      </c>
      <c r="AM641" s="80"/>
      <c r="AN641" s="79">
        <f>ERP_5[[#This Row],[2026 Working Total to Budget/LE]]-ERP_5[[#This Row],[Giveback]]</f>
        <v>0</v>
      </c>
      <c r="AO641" s="81"/>
      <c r="AP641" s="375"/>
      <c r="AQ641" s="375"/>
      <c r="AR641" s="375">
        <v>414.36</v>
      </c>
      <c r="AS641" s="375">
        <v>0</v>
      </c>
      <c r="AT641" s="375">
        <v>0</v>
      </c>
      <c r="AU641" s="375">
        <v>0</v>
      </c>
      <c r="AV641" s="375">
        <v>0</v>
      </c>
      <c r="AW641" s="375">
        <v>0</v>
      </c>
      <c r="AX641" s="375">
        <v>0</v>
      </c>
      <c r="AY641" s="375">
        <v>0</v>
      </c>
      <c r="AZ641" s="375">
        <v>0</v>
      </c>
      <c r="BA641" s="375">
        <v>0</v>
      </c>
      <c r="BB641" s="375">
        <v>414.36</v>
      </c>
      <c r="BC641" s="79"/>
      <c r="BD641" s="79"/>
      <c r="BE641" s="79">
        <v>414.36</v>
      </c>
      <c r="BF641" s="79">
        <v>0</v>
      </c>
      <c r="BG641" s="79">
        <v>0</v>
      </c>
      <c r="BH641" s="79">
        <v>0</v>
      </c>
      <c r="BI641" s="79">
        <v>0</v>
      </c>
      <c r="BJ641" s="79">
        <v>0</v>
      </c>
      <c r="BK641" s="79">
        <v>0</v>
      </c>
      <c r="BL641" s="79">
        <v>0</v>
      </c>
      <c r="BM641" s="79">
        <v>0</v>
      </c>
      <c r="BN641" s="79">
        <v>0</v>
      </c>
      <c r="BO641" s="79">
        <v>414.36</v>
      </c>
    </row>
    <row r="642" spans="1:67" ht="15" customHeight="1">
      <c r="A642" s="66" t="s">
        <v>2603</v>
      </c>
      <c r="B642" s="66" t="s">
        <v>2604</v>
      </c>
      <c r="C642" s="150" t="s">
        <v>1136</v>
      </c>
      <c r="D642" s="150" t="s">
        <v>1135</v>
      </c>
      <c r="E642" s="150" t="s">
        <v>1165</v>
      </c>
      <c r="F642" s="150" t="s">
        <v>1137</v>
      </c>
      <c r="G642" s="511" t="s">
        <v>639</v>
      </c>
      <c r="H642" s="451" t="s">
        <v>1327</v>
      </c>
      <c r="I642" s="343"/>
      <c r="J642" s="343"/>
      <c r="K642" s="70" t="s">
        <v>147</v>
      </c>
      <c r="L642" s="346"/>
      <c r="M642" s="343"/>
      <c r="N642" s="346"/>
      <c r="O642" s="150" t="s">
        <v>25</v>
      </c>
      <c r="P642" s="482" t="s">
        <v>1338</v>
      </c>
      <c r="Q642" s="403"/>
      <c r="R642" s="406">
        <v>0</v>
      </c>
      <c r="S642" s="406">
        <v>0.19999999999999996</v>
      </c>
      <c r="T642" s="425"/>
      <c r="U642" s="71"/>
      <c r="V642" s="427">
        <v>-0.34</v>
      </c>
      <c r="W642" s="427">
        <v>-0.09</v>
      </c>
      <c r="X642" s="427">
        <v>0.63</v>
      </c>
      <c r="Y642" s="428">
        <v>-0.98</v>
      </c>
      <c r="Z642" s="429">
        <v>0.75</v>
      </c>
      <c r="AA642" s="429">
        <v>0</v>
      </c>
      <c r="AB642" s="360">
        <v>0</v>
      </c>
      <c r="AC642" s="360">
        <v>0</v>
      </c>
      <c r="AD642" s="360">
        <v>0</v>
      </c>
      <c r="AE642" s="360">
        <v>0</v>
      </c>
      <c r="AF642" s="360">
        <v>0</v>
      </c>
      <c r="AG642" s="360">
        <v>0</v>
      </c>
      <c r="AH642" s="367">
        <f t="shared" si="31"/>
        <v>-3.0000000000000027E-2</v>
      </c>
      <c r="AI642" s="455">
        <f>ERP_5[[#This Row],[2026 Working Total]]-ERP_5[[#This Row],[LE2 Final Submission]]</f>
        <v>-0.22999999999999998</v>
      </c>
      <c r="AJ642" s="79">
        <v>0</v>
      </c>
      <c r="AK642" s="79">
        <f t="shared" si="30"/>
        <v>0</v>
      </c>
      <c r="AL642" s="374">
        <f>SUM(ERP_5[[#This Row],[AP01]:[AP06]])-SUM(ERP_5[[#This Row],[AP01 LE2]:[AP06 LE2]])</f>
        <v>-0.22999999999999998</v>
      </c>
      <c r="AM642" s="80"/>
      <c r="AN642" s="79">
        <f>ERP_5[[#This Row],[2026 Working Total to Budget/LE]]-ERP_5[[#This Row],[Giveback]]</f>
        <v>-0.22999999999999998</v>
      </c>
      <c r="AO642" s="81"/>
      <c r="AP642" s="375">
        <v>-0.34</v>
      </c>
      <c r="AQ642" s="375">
        <v>-0.09</v>
      </c>
      <c r="AR642" s="375">
        <v>0.63</v>
      </c>
      <c r="AS642" s="375">
        <v>0</v>
      </c>
      <c r="AT642" s="375">
        <v>0</v>
      </c>
      <c r="AU642" s="375">
        <v>0</v>
      </c>
      <c r="AV642" s="375">
        <v>0</v>
      </c>
      <c r="AW642" s="375">
        <v>0</v>
      </c>
      <c r="AX642" s="375">
        <v>0</v>
      </c>
      <c r="AY642" s="375">
        <v>0</v>
      </c>
      <c r="AZ642" s="375">
        <v>0</v>
      </c>
      <c r="BA642" s="375">
        <v>0</v>
      </c>
      <c r="BB642" s="375">
        <v>0.19999999999999996</v>
      </c>
      <c r="BC642" s="79">
        <v>-0.34</v>
      </c>
      <c r="BD642" s="79">
        <v>-0.09</v>
      </c>
      <c r="BE642" s="79">
        <v>0.63</v>
      </c>
      <c r="BF642" s="79">
        <v>0</v>
      </c>
      <c r="BG642" s="79">
        <v>0</v>
      </c>
      <c r="BH642" s="79">
        <v>0</v>
      </c>
      <c r="BI642" s="79">
        <v>0</v>
      </c>
      <c r="BJ642" s="79">
        <v>0</v>
      </c>
      <c r="BK642" s="79">
        <v>0</v>
      </c>
      <c r="BL642" s="79">
        <v>0</v>
      </c>
      <c r="BM642" s="79">
        <v>0</v>
      </c>
      <c r="BN642" s="79">
        <v>0</v>
      </c>
      <c r="BO642" s="79">
        <v>0.19999999999999996</v>
      </c>
    </row>
    <row r="643" spans="1:67" ht="15" customHeight="1">
      <c r="A643" s="66" t="s">
        <v>2182</v>
      </c>
      <c r="B643" s="66" t="s">
        <v>2183</v>
      </c>
      <c r="C643" s="150" t="s">
        <v>1136</v>
      </c>
      <c r="D643" s="150" t="s">
        <v>1567</v>
      </c>
      <c r="E643" s="150" t="s">
        <v>1567</v>
      </c>
      <c r="F643" s="150" t="s">
        <v>1567</v>
      </c>
      <c r="G643" s="511" t="s">
        <v>602</v>
      </c>
      <c r="H643" s="451" t="s">
        <v>611</v>
      </c>
      <c r="I643" s="343"/>
      <c r="J643" s="343"/>
      <c r="K643" s="70" t="s">
        <v>610</v>
      </c>
      <c r="L643" s="346"/>
      <c r="M643" s="343"/>
      <c r="N643" s="346"/>
      <c r="O643" s="150" t="s">
        <v>611</v>
      </c>
      <c r="P643" s="150"/>
      <c r="Q643" s="403"/>
      <c r="R643" s="406">
        <v>0</v>
      </c>
      <c r="S643" s="406">
        <v>18.829999999999998</v>
      </c>
      <c r="T643" s="425"/>
      <c r="U643" s="71"/>
      <c r="V643" s="427">
        <v>19</v>
      </c>
      <c r="W643" s="427">
        <v>-0.17</v>
      </c>
      <c r="X643" s="431">
        <v>0</v>
      </c>
      <c r="Y643" s="428">
        <v>4245.9400000000005</v>
      </c>
      <c r="Z643" s="429">
        <v>16</v>
      </c>
      <c r="AA643" s="429">
        <v>0</v>
      </c>
      <c r="AB643" s="360">
        <v>0</v>
      </c>
      <c r="AC643" s="360">
        <v>0</v>
      </c>
      <c r="AD643" s="360">
        <v>0</v>
      </c>
      <c r="AE643" s="360">
        <v>0</v>
      </c>
      <c r="AF643" s="360">
        <v>0</v>
      </c>
      <c r="AG643" s="360">
        <v>0</v>
      </c>
      <c r="AH643" s="367">
        <f t="shared" si="31"/>
        <v>4280.7700000000004</v>
      </c>
      <c r="AI643" s="455">
        <f>ERP_5[[#This Row],[2026 Working Total]]-ERP_5[[#This Row],[LE2 Final Submission]]</f>
        <v>4261.9400000000005</v>
      </c>
      <c r="AJ643" s="79">
        <v>0</v>
      </c>
      <c r="AK643" s="79">
        <f t="shared" si="30"/>
        <v>0</v>
      </c>
      <c r="AL643" s="374">
        <f>SUM(ERP_5[[#This Row],[AP01]:[AP06]])-SUM(ERP_5[[#This Row],[AP01 LE2]:[AP06 LE2]])</f>
        <v>4261.9400000000005</v>
      </c>
      <c r="AM643" s="80"/>
      <c r="AN643" s="79">
        <f>ERP_5[[#This Row],[2026 Working Total to Budget/LE]]-ERP_5[[#This Row],[Giveback]]</f>
        <v>4261.9400000000005</v>
      </c>
      <c r="AO643" s="81"/>
      <c r="AP643" s="375">
        <v>19</v>
      </c>
      <c r="AQ643" s="375">
        <v>-0.17</v>
      </c>
      <c r="AR643" s="375">
        <v>0</v>
      </c>
      <c r="AS643" s="375">
        <v>0</v>
      </c>
      <c r="AT643" s="375">
        <v>0</v>
      </c>
      <c r="AU643" s="375">
        <v>0</v>
      </c>
      <c r="AV643" s="375">
        <v>0</v>
      </c>
      <c r="AW643" s="375">
        <v>0</v>
      </c>
      <c r="AX643" s="375">
        <v>0</v>
      </c>
      <c r="AY643" s="375">
        <v>0</v>
      </c>
      <c r="AZ643" s="375">
        <v>0</v>
      </c>
      <c r="BA643" s="375">
        <v>0</v>
      </c>
      <c r="BB643" s="375">
        <v>18.829999999999998</v>
      </c>
      <c r="BC643" s="79">
        <v>19</v>
      </c>
      <c r="BD643" s="79">
        <v>-0.17</v>
      </c>
      <c r="BE643" s="79">
        <v>0</v>
      </c>
      <c r="BF643" s="79">
        <v>0</v>
      </c>
      <c r="BG643" s="79">
        <v>0</v>
      </c>
      <c r="BH643" s="79">
        <v>0</v>
      </c>
      <c r="BI643" s="79">
        <v>0</v>
      </c>
      <c r="BJ643" s="79">
        <v>0</v>
      </c>
      <c r="BK643" s="79">
        <v>0</v>
      </c>
      <c r="BL643" s="79">
        <v>0</v>
      </c>
      <c r="BM643" s="79">
        <v>0</v>
      </c>
      <c r="BN643" s="79">
        <v>0</v>
      </c>
      <c r="BO643" s="79">
        <v>18.829999999999998</v>
      </c>
    </row>
    <row r="644" spans="1:67" ht="15" customHeight="1">
      <c r="A644" s="66" t="s">
        <v>2186</v>
      </c>
      <c r="B644" s="66" t="s">
        <v>623</v>
      </c>
      <c r="C644" s="150" t="s">
        <v>1136</v>
      </c>
      <c r="D644" s="150" t="s">
        <v>1650</v>
      </c>
      <c r="E644" s="150" t="s">
        <v>1650</v>
      </c>
      <c r="F644" s="150" t="s">
        <v>1650</v>
      </c>
      <c r="G644" s="511" t="s">
        <v>602</v>
      </c>
      <c r="H644" s="451" t="s">
        <v>611</v>
      </c>
      <c r="I644" s="343"/>
      <c r="J644" s="343"/>
      <c r="K644" s="70" t="s">
        <v>610</v>
      </c>
      <c r="L644" s="346"/>
      <c r="M644" s="343"/>
      <c r="N644" s="346"/>
      <c r="O644" s="150" t="s">
        <v>611</v>
      </c>
      <c r="P644" s="150"/>
      <c r="Q644" s="403"/>
      <c r="R644" s="406">
        <v>0</v>
      </c>
      <c r="S644" s="406">
        <v>28.1</v>
      </c>
      <c r="T644" s="425"/>
      <c r="U644" s="71"/>
      <c r="V644" s="427"/>
      <c r="W644" s="427">
        <v>27.55</v>
      </c>
      <c r="X644" s="427">
        <v>0.55000000000000004</v>
      </c>
      <c r="Y644" s="428">
        <v>2.16</v>
      </c>
      <c r="Z644" s="429">
        <v>4.129999999999999</v>
      </c>
      <c r="AA644" s="429">
        <v>57.92</v>
      </c>
      <c r="AB644" s="360">
        <v>0</v>
      </c>
      <c r="AC644" s="360">
        <v>0</v>
      </c>
      <c r="AD644" s="360">
        <v>0</v>
      </c>
      <c r="AE644" s="360">
        <v>0</v>
      </c>
      <c r="AF644" s="360">
        <v>0</v>
      </c>
      <c r="AG644" s="360">
        <v>0</v>
      </c>
      <c r="AH644" s="367">
        <f t="shared" si="31"/>
        <v>92.31</v>
      </c>
      <c r="AI644" s="455">
        <f>ERP_5[[#This Row],[2026 Working Total]]-ERP_5[[#This Row],[LE2 Final Submission]]</f>
        <v>64.210000000000008</v>
      </c>
      <c r="AJ644" s="79">
        <v>0</v>
      </c>
      <c r="AK644" s="79">
        <f t="shared" si="30"/>
        <v>57.92</v>
      </c>
      <c r="AL644" s="374">
        <f>SUM(ERP_5[[#This Row],[AP01]:[AP06]])-SUM(ERP_5[[#This Row],[AP01 LE2]:[AP06 LE2]])</f>
        <v>64.210000000000008</v>
      </c>
      <c r="AM644" s="80"/>
      <c r="AN644" s="79">
        <f>ERP_5[[#This Row],[2026 Working Total to Budget/LE]]-ERP_5[[#This Row],[Giveback]]</f>
        <v>64.210000000000008</v>
      </c>
      <c r="AO644" s="81"/>
      <c r="AP644" s="375"/>
      <c r="AQ644" s="375">
        <v>27.55</v>
      </c>
      <c r="AR644" s="375">
        <v>0.55000000000000004</v>
      </c>
      <c r="AS644" s="375">
        <v>0</v>
      </c>
      <c r="AT644" s="375">
        <v>0</v>
      </c>
      <c r="AU644" s="375">
        <v>0</v>
      </c>
      <c r="AV644" s="375">
        <v>0</v>
      </c>
      <c r="AW644" s="375">
        <v>0</v>
      </c>
      <c r="AX644" s="375">
        <v>0</v>
      </c>
      <c r="AY644" s="375">
        <v>0</v>
      </c>
      <c r="AZ644" s="375">
        <v>0</v>
      </c>
      <c r="BA644" s="375">
        <v>0</v>
      </c>
      <c r="BB644" s="375">
        <v>28.1</v>
      </c>
      <c r="BC644" s="79"/>
      <c r="BD644" s="79">
        <v>27.55</v>
      </c>
      <c r="BE644" s="79">
        <v>0.55000000000000004</v>
      </c>
      <c r="BF644" s="79">
        <v>0</v>
      </c>
      <c r="BG644" s="79">
        <v>0</v>
      </c>
      <c r="BH644" s="79">
        <v>0</v>
      </c>
      <c r="BI644" s="79">
        <v>0</v>
      </c>
      <c r="BJ644" s="79">
        <v>0</v>
      </c>
      <c r="BK644" s="79">
        <v>0</v>
      </c>
      <c r="BL644" s="79">
        <v>0</v>
      </c>
      <c r="BM644" s="79">
        <v>0</v>
      </c>
      <c r="BN644" s="79">
        <v>0</v>
      </c>
      <c r="BO644" s="79">
        <v>28.1</v>
      </c>
    </row>
    <row r="645" spans="1:67" ht="15" customHeight="1">
      <c r="A645" s="150" t="s">
        <v>2158</v>
      </c>
      <c r="B645" s="445" t="s">
        <v>2159</v>
      </c>
      <c r="C645" s="150" t="s">
        <v>1136</v>
      </c>
      <c r="D645" s="446" t="s">
        <v>1135</v>
      </c>
      <c r="E645" s="446" t="s">
        <v>1145</v>
      </c>
      <c r="F645" s="523" t="s">
        <v>1145</v>
      </c>
      <c r="G645" s="524" t="s">
        <v>602</v>
      </c>
      <c r="H645" s="467" t="s">
        <v>2160</v>
      </c>
      <c r="I645" s="333" t="s">
        <v>2160</v>
      </c>
      <c r="J645" s="446" t="s">
        <v>1186</v>
      </c>
      <c r="K645" s="447" t="s">
        <v>610</v>
      </c>
      <c r="L645" s="448"/>
      <c r="M645" s="449"/>
      <c r="N645" s="449"/>
      <c r="O645" s="449"/>
      <c r="P645" s="449"/>
      <c r="Q645" s="402"/>
      <c r="R645" s="402"/>
      <c r="S645" s="402"/>
      <c r="T645" s="425"/>
      <c r="U645" s="71"/>
      <c r="V645" s="436"/>
      <c r="W645" s="436"/>
      <c r="X645" s="436"/>
      <c r="Y645" s="436"/>
      <c r="Z645" s="436">
        <v>16</v>
      </c>
      <c r="AA645" s="429">
        <v>0</v>
      </c>
      <c r="AB645" s="450"/>
      <c r="AC645" s="450"/>
      <c r="AD645" s="450"/>
      <c r="AE645" s="450"/>
      <c r="AF645" s="450"/>
      <c r="AG645" s="450"/>
      <c r="AH645" s="479">
        <f t="shared" si="31"/>
        <v>16</v>
      </c>
      <c r="AI645" s="455">
        <f>ERP_5[[#This Row],[2026 Working Total]]-ERP_5[[#This Row],[LE2 Final Submission]]</f>
        <v>16</v>
      </c>
      <c r="AJ645" s="172"/>
      <c r="AK645" s="172">
        <f t="shared" si="30"/>
        <v>0</v>
      </c>
      <c r="AL645" s="374">
        <f>SUM(ERP_5[[#This Row],[AP01]:[AP06]])-SUM(ERP_5[[#This Row],[AP01 LE2]:[AP06 LE2]])</f>
        <v>16</v>
      </c>
      <c r="AM645" s="80"/>
      <c r="AN645" s="79">
        <f>ERP_5[[#This Row],[2026 Working Total to Budget/LE]]-ERP_5[[#This Row],[Giveback]]</f>
        <v>16</v>
      </c>
      <c r="AO645" s="81"/>
      <c r="AP645" s="375"/>
      <c r="AQ645" s="375"/>
      <c r="AR645" s="375"/>
      <c r="AS645" s="375"/>
      <c r="AT645" s="375"/>
      <c r="AU645" s="375"/>
      <c r="AV645" s="375"/>
      <c r="AW645" s="375"/>
      <c r="AX645" s="375"/>
      <c r="AY645" s="375"/>
      <c r="AZ645" s="375"/>
      <c r="BA645" s="375"/>
      <c r="BB645" s="375"/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172"/>
    </row>
    <row r="646" spans="1:67" ht="15" customHeight="1">
      <c r="A646" s="66" t="s">
        <v>1426</v>
      </c>
      <c r="B646" s="464" t="s">
        <v>196</v>
      </c>
      <c r="C646" s="150" t="s">
        <v>1136</v>
      </c>
      <c r="D646" s="150" t="s">
        <v>1345</v>
      </c>
      <c r="E646" s="150" t="s">
        <v>1344</v>
      </c>
      <c r="F646" s="150" t="s">
        <v>1346</v>
      </c>
      <c r="G646" s="511" t="s">
        <v>49</v>
      </c>
      <c r="H646" s="451" t="s">
        <v>1340</v>
      </c>
      <c r="I646" s="343"/>
      <c r="J646" s="343"/>
      <c r="K646" s="70" t="s">
        <v>149</v>
      </c>
      <c r="L646" s="346" t="s">
        <v>1139</v>
      </c>
      <c r="M646" s="343"/>
      <c r="N646" s="346"/>
      <c r="O646" s="150" t="s">
        <v>25</v>
      </c>
      <c r="P646" s="150"/>
      <c r="Q646" s="453"/>
      <c r="R646" s="406">
        <v>0</v>
      </c>
      <c r="S646" s="406">
        <v>-8178.7199999999993</v>
      </c>
      <c r="T646" s="430"/>
      <c r="U646" s="137"/>
      <c r="V646" s="427">
        <v>-879.72</v>
      </c>
      <c r="W646" s="427">
        <v>-0.18</v>
      </c>
      <c r="X646" s="427">
        <v>-7298.82</v>
      </c>
      <c r="Y646" s="428">
        <v>0</v>
      </c>
      <c r="Z646" s="429">
        <v>0</v>
      </c>
      <c r="AA646" s="429">
        <v>0</v>
      </c>
      <c r="AB646" s="360">
        <v>0</v>
      </c>
      <c r="AC646" s="360">
        <v>0</v>
      </c>
      <c r="AD646" s="360">
        <v>0</v>
      </c>
      <c r="AE646" s="360">
        <v>0</v>
      </c>
      <c r="AF646" s="360">
        <v>0</v>
      </c>
      <c r="AG646" s="360">
        <v>0</v>
      </c>
      <c r="AH646" s="360">
        <f t="shared" si="31"/>
        <v>-8178.7199999999993</v>
      </c>
      <c r="AI646" s="455">
        <f>ERP_5[[#This Row],[2026 Working Total]]-ERP_5[[#This Row],[LE2 Final Submission]]</f>
        <v>0</v>
      </c>
      <c r="AJ646" s="79">
        <v>0</v>
      </c>
      <c r="AK646" s="79">
        <f t="shared" si="30"/>
        <v>0</v>
      </c>
      <c r="AL646" s="374">
        <f>SUM(ERP_5[[#This Row],[AP01]:[AP06]])-SUM(ERP_5[[#This Row],[AP01 LE2]:[AP06 LE2]])</f>
        <v>0</v>
      </c>
      <c r="AM646" s="80"/>
      <c r="AN646" s="79">
        <f>ERP_5[[#This Row],[2026 Working Total to Budget/LE]]-ERP_5[[#This Row],[Giveback]]</f>
        <v>0</v>
      </c>
      <c r="AO646" s="81"/>
      <c r="AP646" s="375">
        <v>-879.72</v>
      </c>
      <c r="AQ646" s="375">
        <v>-0.18</v>
      </c>
      <c r="AR646" s="375">
        <v>-7298.82</v>
      </c>
      <c r="AS646" s="375">
        <v>0</v>
      </c>
      <c r="AT646" s="375">
        <v>0</v>
      </c>
      <c r="AU646" s="375">
        <v>0</v>
      </c>
      <c r="AV646" s="375">
        <v>0</v>
      </c>
      <c r="AW646" s="375">
        <v>0</v>
      </c>
      <c r="AX646" s="375">
        <v>0</v>
      </c>
      <c r="AY646" s="375">
        <v>0</v>
      </c>
      <c r="AZ646" s="375">
        <v>0</v>
      </c>
      <c r="BA646" s="375">
        <v>0</v>
      </c>
      <c r="BB646" s="375">
        <v>-8178.7199999999993</v>
      </c>
      <c r="BC646" s="79">
        <v>-879.72</v>
      </c>
      <c r="BD646" s="79">
        <v>-0.18</v>
      </c>
      <c r="BE646" s="79">
        <v>-7298.82</v>
      </c>
      <c r="BF646" s="79">
        <v>0</v>
      </c>
      <c r="BG646" s="79">
        <v>0</v>
      </c>
      <c r="BH646" s="79">
        <v>0</v>
      </c>
      <c r="BI646" s="79">
        <v>0</v>
      </c>
      <c r="BJ646" s="79">
        <v>0</v>
      </c>
      <c r="BK646" s="79">
        <v>0</v>
      </c>
      <c r="BL646" s="79">
        <v>0</v>
      </c>
      <c r="BM646" s="79">
        <v>0</v>
      </c>
      <c r="BN646" s="79">
        <v>0</v>
      </c>
      <c r="BO646" s="79">
        <v>-8178.7199999999993</v>
      </c>
    </row>
    <row r="647" spans="1:67" ht="15" customHeight="1">
      <c r="A647" s="66" t="s">
        <v>1477</v>
      </c>
      <c r="B647" s="66" t="s">
        <v>227</v>
      </c>
      <c r="C647" s="150" t="s">
        <v>1136</v>
      </c>
      <c r="D647" s="150" t="s">
        <v>1345</v>
      </c>
      <c r="E647" s="150" t="s">
        <v>1450</v>
      </c>
      <c r="F647" s="150" t="s">
        <v>1346</v>
      </c>
      <c r="G647" s="511" t="s">
        <v>49</v>
      </c>
      <c r="H647" s="451" t="s">
        <v>1340</v>
      </c>
      <c r="I647" s="343"/>
      <c r="J647" s="343"/>
      <c r="K647" s="70" t="s">
        <v>149</v>
      </c>
      <c r="L647" s="346" t="s">
        <v>1139</v>
      </c>
      <c r="M647" s="343"/>
      <c r="N647" s="346"/>
      <c r="O647" s="150" t="s">
        <v>25</v>
      </c>
      <c r="P647" s="150"/>
      <c r="Q647" s="453"/>
      <c r="R647" s="406">
        <v>0</v>
      </c>
      <c r="S647" s="406">
        <v>-4283.6499999999996</v>
      </c>
      <c r="T647" s="425"/>
      <c r="U647" s="71"/>
      <c r="V647" s="427">
        <v>-487.65</v>
      </c>
      <c r="W647" s="427">
        <v>-3796</v>
      </c>
      <c r="X647" s="431">
        <v>0</v>
      </c>
      <c r="Y647" s="428">
        <v>0</v>
      </c>
      <c r="Z647" s="429">
        <v>0</v>
      </c>
      <c r="AA647" s="429">
        <v>0</v>
      </c>
      <c r="AB647" s="360">
        <v>0</v>
      </c>
      <c r="AC647" s="360">
        <v>0</v>
      </c>
      <c r="AD647" s="360">
        <v>0</v>
      </c>
      <c r="AE647" s="360">
        <v>0</v>
      </c>
      <c r="AF647" s="360">
        <v>0</v>
      </c>
      <c r="AG647" s="360">
        <v>0</v>
      </c>
      <c r="AH647" s="360">
        <f t="shared" si="31"/>
        <v>-4283.6499999999996</v>
      </c>
      <c r="AI647" s="455">
        <f>ERP_5[[#This Row],[2026 Working Total]]-ERP_5[[#This Row],[LE2 Final Submission]]</f>
        <v>0</v>
      </c>
      <c r="AJ647" s="79">
        <v>0</v>
      </c>
      <c r="AK647" s="79">
        <f t="shared" si="30"/>
        <v>0</v>
      </c>
      <c r="AL647" s="374">
        <f>SUM(ERP_5[[#This Row],[AP01]:[AP06]])-SUM(ERP_5[[#This Row],[AP01 LE2]:[AP06 LE2]])</f>
        <v>0</v>
      </c>
      <c r="AM647" s="80"/>
      <c r="AN647" s="79">
        <f>ERP_5[[#This Row],[2026 Working Total to Budget/LE]]-ERP_5[[#This Row],[Giveback]]</f>
        <v>0</v>
      </c>
      <c r="AO647" s="81"/>
      <c r="AP647" s="375">
        <v>-487.65</v>
      </c>
      <c r="AQ647" s="375">
        <v>-3796</v>
      </c>
      <c r="AR647" s="375">
        <v>0</v>
      </c>
      <c r="AS647" s="375">
        <v>0</v>
      </c>
      <c r="AT647" s="375">
        <v>0</v>
      </c>
      <c r="AU647" s="375">
        <v>0</v>
      </c>
      <c r="AV647" s="375">
        <v>0</v>
      </c>
      <c r="AW647" s="375">
        <v>0</v>
      </c>
      <c r="AX647" s="375">
        <v>0</v>
      </c>
      <c r="AY647" s="375">
        <v>0</v>
      </c>
      <c r="AZ647" s="375">
        <v>0</v>
      </c>
      <c r="BA647" s="375">
        <v>0</v>
      </c>
      <c r="BB647" s="375">
        <v>-4283.6499999999996</v>
      </c>
      <c r="BC647" s="79">
        <v>-487.65</v>
      </c>
      <c r="BD647" s="79">
        <v>-3796</v>
      </c>
      <c r="BE647" s="79">
        <v>0</v>
      </c>
      <c r="BF647" s="79">
        <v>0</v>
      </c>
      <c r="BG647" s="79">
        <v>0</v>
      </c>
      <c r="BH647" s="79">
        <v>0</v>
      </c>
      <c r="BI647" s="79">
        <v>0</v>
      </c>
      <c r="BJ647" s="79">
        <v>0</v>
      </c>
      <c r="BK647" s="79">
        <v>0</v>
      </c>
      <c r="BL647" s="79">
        <v>0</v>
      </c>
      <c r="BM647" s="79">
        <v>0</v>
      </c>
      <c r="BN647" s="79">
        <v>0</v>
      </c>
      <c r="BO647" s="79">
        <v>-4283.6499999999996</v>
      </c>
    </row>
    <row r="648" spans="1:67" ht="15" customHeight="1">
      <c r="A648" s="66" t="s">
        <v>1563</v>
      </c>
      <c r="B648" s="66" t="s">
        <v>269</v>
      </c>
      <c r="C648" s="150" t="s">
        <v>1136</v>
      </c>
      <c r="D648" s="150" t="s">
        <v>1345</v>
      </c>
      <c r="E648" s="150" t="s">
        <v>1515</v>
      </c>
      <c r="F648" s="150" t="s">
        <v>1346</v>
      </c>
      <c r="G648" s="511" t="s">
        <v>49</v>
      </c>
      <c r="H648" s="451" t="s">
        <v>1340</v>
      </c>
      <c r="I648" s="343"/>
      <c r="J648" s="343"/>
      <c r="K648" s="70" t="s">
        <v>149</v>
      </c>
      <c r="L648" s="346" t="s">
        <v>1139</v>
      </c>
      <c r="M648" s="343"/>
      <c r="N648" s="346"/>
      <c r="O648" s="150" t="s">
        <v>25</v>
      </c>
      <c r="P648" s="150"/>
      <c r="Q648" s="453"/>
      <c r="R648" s="406">
        <v>0</v>
      </c>
      <c r="S648" s="406">
        <v>-54295.289999999994</v>
      </c>
      <c r="T648" s="425"/>
      <c r="U648" s="71"/>
      <c r="V648" s="427">
        <v>-4506.29</v>
      </c>
      <c r="W648" s="427">
        <v>-29540.02</v>
      </c>
      <c r="X648" s="427">
        <v>-20248.98</v>
      </c>
      <c r="Y648" s="428">
        <v>0</v>
      </c>
      <c r="Z648" s="429">
        <v>0</v>
      </c>
      <c r="AA648" s="429">
        <v>0</v>
      </c>
      <c r="AB648" s="360">
        <v>0</v>
      </c>
      <c r="AC648" s="360">
        <v>0</v>
      </c>
      <c r="AD648" s="360">
        <v>0</v>
      </c>
      <c r="AE648" s="360">
        <v>0</v>
      </c>
      <c r="AF648" s="360">
        <v>0</v>
      </c>
      <c r="AG648" s="360">
        <v>0</v>
      </c>
      <c r="AH648" s="360">
        <f t="shared" si="31"/>
        <v>-54295.289999999994</v>
      </c>
      <c r="AI648" s="455">
        <f>ERP_5[[#This Row],[2026 Working Total]]-ERP_5[[#This Row],[LE2 Final Submission]]</f>
        <v>0</v>
      </c>
      <c r="AJ648" s="79">
        <v>0</v>
      </c>
      <c r="AK648" s="79">
        <f t="shared" ref="AK648:AK687" si="32">$AA648 - $AJ648</f>
        <v>0</v>
      </c>
      <c r="AL648" s="374">
        <f>SUM(ERP_5[[#This Row],[AP01]:[AP06]])-SUM(ERP_5[[#This Row],[AP01 LE2]:[AP06 LE2]])</f>
        <v>0</v>
      </c>
      <c r="AM648" s="80"/>
      <c r="AN648" s="79">
        <f>ERP_5[[#This Row],[2026 Working Total to Budget/LE]]-ERP_5[[#This Row],[Giveback]]</f>
        <v>0</v>
      </c>
      <c r="AO648" s="81"/>
      <c r="AP648" s="375">
        <v>-4506.29</v>
      </c>
      <c r="AQ648" s="375">
        <v>-29540.02</v>
      </c>
      <c r="AR648" s="375">
        <v>-20248.98</v>
      </c>
      <c r="AS648" s="375">
        <v>0</v>
      </c>
      <c r="AT648" s="375">
        <v>0</v>
      </c>
      <c r="AU648" s="375">
        <v>0</v>
      </c>
      <c r="AV648" s="375">
        <v>0</v>
      </c>
      <c r="AW648" s="375">
        <v>0</v>
      </c>
      <c r="AX648" s="375">
        <v>0</v>
      </c>
      <c r="AY648" s="375">
        <v>0</v>
      </c>
      <c r="AZ648" s="375">
        <v>0</v>
      </c>
      <c r="BA648" s="375">
        <v>0</v>
      </c>
      <c r="BB648" s="375">
        <v>-54295.289999999994</v>
      </c>
      <c r="BC648" s="79">
        <v>-4506.29</v>
      </c>
      <c r="BD648" s="79">
        <v>-29540.02</v>
      </c>
      <c r="BE648" s="79">
        <v>-20248.98</v>
      </c>
      <c r="BF648" s="79">
        <v>0</v>
      </c>
      <c r="BG648" s="79">
        <v>0</v>
      </c>
      <c r="BH648" s="79">
        <v>0</v>
      </c>
      <c r="BI648" s="79">
        <v>0</v>
      </c>
      <c r="BJ648" s="79">
        <v>0</v>
      </c>
      <c r="BK648" s="79">
        <v>0</v>
      </c>
      <c r="BL648" s="79">
        <v>0</v>
      </c>
      <c r="BM648" s="79">
        <v>0</v>
      </c>
      <c r="BN648" s="79">
        <v>0</v>
      </c>
      <c r="BO648" s="79">
        <v>-54295.289999999994</v>
      </c>
    </row>
    <row r="649" spans="1:67" ht="15" customHeight="1">
      <c r="A649" s="66" t="s">
        <v>2155</v>
      </c>
      <c r="B649" s="66" t="s">
        <v>609</v>
      </c>
      <c r="C649" s="150" t="s">
        <v>1136</v>
      </c>
      <c r="D649" s="150" t="s">
        <v>1135</v>
      </c>
      <c r="E649" s="150" t="s">
        <v>1135</v>
      </c>
      <c r="F649" s="150" t="s">
        <v>1137</v>
      </c>
      <c r="G649" s="511" t="s">
        <v>602</v>
      </c>
      <c r="H649" s="451" t="s">
        <v>611</v>
      </c>
      <c r="I649" s="343"/>
      <c r="J649" s="343"/>
      <c r="K649" s="70" t="s">
        <v>610</v>
      </c>
      <c r="L649" s="346"/>
      <c r="M649" s="343"/>
      <c r="N649" s="346"/>
      <c r="O649" s="150" t="s">
        <v>611</v>
      </c>
      <c r="P649" s="150"/>
      <c r="Q649" s="453"/>
      <c r="R649" s="406">
        <v>0</v>
      </c>
      <c r="S649" s="406">
        <v>69</v>
      </c>
      <c r="T649" s="425"/>
      <c r="U649" s="71"/>
      <c r="V649" s="427">
        <v>-0.08</v>
      </c>
      <c r="W649" s="427">
        <v>69.08</v>
      </c>
      <c r="X649" s="431">
        <v>0</v>
      </c>
      <c r="Y649" s="428">
        <v>61</v>
      </c>
      <c r="Z649" s="429">
        <v>104</v>
      </c>
      <c r="AA649" s="429">
        <v>88</v>
      </c>
      <c r="AB649" s="360">
        <v>0</v>
      </c>
      <c r="AC649" s="360">
        <v>0</v>
      </c>
      <c r="AD649" s="360">
        <v>0</v>
      </c>
      <c r="AE649" s="360">
        <v>0</v>
      </c>
      <c r="AF649" s="360">
        <v>0</v>
      </c>
      <c r="AG649" s="360">
        <v>0</v>
      </c>
      <c r="AH649" s="360">
        <f t="shared" si="31"/>
        <v>322</v>
      </c>
      <c r="AI649" s="455">
        <f>ERP_5[[#This Row],[2026 Working Total]]-ERP_5[[#This Row],[LE2 Final Submission]]</f>
        <v>253</v>
      </c>
      <c r="AJ649" s="79">
        <v>0</v>
      </c>
      <c r="AK649" s="79">
        <f t="shared" si="32"/>
        <v>88</v>
      </c>
      <c r="AL649" s="374">
        <f>SUM(ERP_5[[#This Row],[AP01]:[AP06]])-SUM(ERP_5[[#This Row],[AP01 LE2]:[AP06 LE2]])</f>
        <v>253</v>
      </c>
      <c r="AM649" s="80"/>
      <c r="AN649" s="79">
        <f>ERP_5[[#This Row],[2026 Working Total to Budget/LE]]-ERP_5[[#This Row],[Giveback]]</f>
        <v>253</v>
      </c>
      <c r="AO649" s="81"/>
      <c r="AP649" s="375">
        <v>-0.08</v>
      </c>
      <c r="AQ649" s="375">
        <v>69.08</v>
      </c>
      <c r="AR649" s="375">
        <v>0</v>
      </c>
      <c r="AS649" s="375">
        <v>0</v>
      </c>
      <c r="AT649" s="375">
        <v>0</v>
      </c>
      <c r="AU649" s="375">
        <v>0</v>
      </c>
      <c r="AV649" s="375">
        <v>0</v>
      </c>
      <c r="AW649" s="375">
        <v>0</v>
      </c>
      <c r="AX649" s="375">
        <v>0</v>
      </c>
      <c r="AY649" s="375">
        <v>0</v>
      </c>
      <c r="AZ649" s="375">
        <v>0</v>
      </c>
      <c r="BA649" s="375">
        <v>0</v>
      </c>
      <c r="BB649" s="375">
        <v>69</v>
      </c>
      <c r="BC649" s="79">
        <v>-0.08</v>
      </c>
      <c r="BD649" s="79">
        <v>69.08</v>
      </c>
      <c r="BE649" s="79">
        <v>0</v>
      </c>
      <c r="BF649" s="79">
        <v>0</v>
      </c>
      <c r="BG649" s="79">
        <v>0</v>
      </c>
      <c r="BH649" s="79">
        <v>0</v>
      </c>
      <c r="BI649" s="79">
        <v>0</v>
      </c>
      <c r="BJ649" s="79">
        <v>0</v>
      </c>
      <c r="BK649" s="79">
        <v>0</v>
      </c>
      <c r="BL649" s="79">
        <v>0</v>
      </c>
      <c r="BM649" s="79">
        <v>0</v>
      </c>
      <c r="BN649" s="79">
        <v>0</v>
      </c>
      <c r="BO649" s="79">
        <v>69</v>
      </c>
    </row>
    <row r="650" spans="1:67" ht="15" customHeight="1">
      <c r="A650" s="66" t="s">
        <v>1447</v>
      </c>
      <c r="B650" s="66" t="s">
        <v>1448</v>
      </c>
      <c r="C650" s="150" t="s">
        <v>1136</v>
      </c>
      <c r="D650" s="150" t="s">
        <v>1345</v>
      </c>
      <c r="E650" s="150" t="s">
        <v>1437</v>
      </c>
      <c r="F650" s="150" t="s">
        <v>1346</v>
      </c>
      <c r="G650" s="511" t="s">
        <v>49</v>
      </c>
      <c r="H650" s="451" t="s">
        <v>1340</v>
      </c>
      <c r="I650" s="343"/>
      <c r="J650" s="343"/>
      <c r="K650" s="70" t="s">
        <v>149</v>
      </c>
      <c r="L650" s="346" t="s">
        <v>1139</v>
      </c>
      <c r="M650" s="343"/>
      <c r="N650" s="346"/>
      <c r="O650" s="150" t="s">
        <v>25</v>
      </c>
      <c r="P650" s="150"/>
      <c r="Q650" s="453"/>
      <c r="R650" s="406">
        <v>0</v>
      </c>
      <c r="S650" s="406">
        <v>-4133.1400000000003</v>
      </c>
      <c r="T650" s="425"/>
      <c r="U650" s="71"/>
      <c r="V650" s="427">
        <v>-4133.1400000000003</v>
      </c>
      <c r="W650" s="431">
        <v>0</v>
      </c>
      <c r="X650" s="431">
        <v>0</v>
      </c>
      <c r="Y650" s="428">
        <v>0</v>
      </c>
      <c r="Z650" s="429">
        <v>0</v>
      </c>
      <c r="AA650" s="429">
        <v>0</v>
      </c>
      <c r="AB650" s="360">
        <v>0</v>
      </c>
      <c r="AC650" s="360">
        <v>0</v>
      </c>
      <c r="AD650" s="360">
        <v>0</v>
      </c>
      <c r="AE650" s="360">
        <v>0</v>
      </c>
      <c r="AF650" s="360">
        <v>0</v>
      </c>
      <c r="AG650" s="360">
        <v>0</v>
      </c>
      <c r="AH650" s="360">
        <f t="shared" si="31"/>
        <v>-4133.1400000000003</v>
      </c>
      <c r="AI650" s="455">
        <f>ERP_5[[#This Row],[2026 Working Total]]-ERP_5[[#This Row],[LE2 Final Submission]]</f>
        <v>0</v>
      </c>
      <c r="AJ650" s="79">
        <v>0</v>
      </c>
      <c r="AK650" s="79">
        <f t="shared" si="32"/>
        <v>0</v>
      </c>
      <c r="AL650" s="374">
        <f>SUM(ERP_5[[#This Row],[AP01]:[AP06]])-SUM(ERP_5[[#This Row],[AP01 LE2]:[AP06 LE2]])</f>
        <v>0</v>
      </c>
      <c r="AM650" s="80"/>
      <c r="AN650" s="79">
        <f>ERP_5[[#This Row],[2026 Working Total to Budget/LE]]-ERP_5[[#This Row],[Giveback]]</f>
        <v>0</v>
      </c>
      <c r="AO650" s="81"/>
      <c r="AP650" s="375">
        <v>-4133.1400000000003</v>
      </c>
      <c r="AQ650" s="375">
        <v>0</v>
      </c>
      <c r="AR650" s="375">
        <v>0</v>
      </c>
      <c r="AS650" s="375">
        <v>0</v>
      </c>
      <c r="AT650" s="375">
        <v>0</v>
      </c>
      <c r="AU650" s="375">
        <v>0</v>
      </c>
      <c r="AV650" s="375">
        <v>0</v>
      </c>
      <c r="AW650" s="375">
        <v>0</v>
      </c>
      <c r="AX650" s="375">
        <v>0</v>
      </c>
      <c r="AY650" s="375">
        <v>0</v>
      </c>
      <c r="AZ650" s="375">
        <v>0</v>
      </c>
      <c r="BA650" s="375">
        <v>0</v>
      </c>
      <c r="BB650" s="375">
        <v>-4133.1400000000003</v>
      </c>
      <c r="BC650" s="79">
        <v>-4133.1400000000003</v>
      </c>
      <c r="BD650" s="79">
        <v>0</v>
      </c>
      <c r="BE650" s="79">
        <v>0</v>
      </c>
      <c r="BF650" s="79">
        <v>0</v>
      </c>
      <c r="BG650" s="79">
        <v>0</v>
      </c>
      <c r="BH650" s="79">
        <v>0</v>
      </c>
      <c r="BI650" s="79">
        <v>0</v>
      </c>
      <c r="BJ650" s="79">
        <v>0</v>
      </c>
      <c r="BK650" s="79">
        <v>0</v>
      </c>
      <c r="BL650" s="79">
        <v>0</v>
      </c>
      <c r="BM650" s="79">
        <v>0</v>
      </c>
      <c r="BN650" s="79">
        <v>0</v>
      </c>
      <c r="BO650" s="79">
        <v>-4133.1400000000003</v>
      </c>
    </row>
    <row r="651" spans="1:67" ht="15" customHeight="1">
      <c r="A651" s="66" t="s">
        <v>1988</v>
      </c>
      <c r="B651" s="66" t="s">
        <v>513</v>
      </c>
      <c r="C651" s="150" t="s">
        <v>1136</v>
      </c>
      <c r="D651" s="150" t="s">
        <v>1345</v>
      </c>
      <c r="E651" s="150" t="s">
        <v>1344</v>
      </c>
      <c r="F651" s="150" t="s">
        <v>1346</v>
      </c>
      <c r="G651" s="511" t="s">
        <v>389</v>
      </c>
      <c r="H651" s="451" t="s">
        <v>1645</v>
      </c>
      <c r="I651" s="343"/>
      <c r="J651" s="343"/>
      <c r="K651" s="70" t="s">
        <v>514</v>
      </c>
      <c r="L651" s="346"/>
      <c r="M651" s="343"/>
      <c r="N651" s="346"/>
      <c r="O651" s="150" t="s">
        <v>25</v>
      </c>
      <c r="P651" s="150"/>
      <c r="Q651" s="453"/>
      <c r="R651" s="406">
        <v>0</v>
      </c>
      <c r="S651" s="406">
        <v>298.89999999999998</v>
      </c>
      <c r="T651" s="425"/>
      <c r="U651" s="71"/>
      <c r="V651" s="427"/>
      <c r="W651" s="427">
        <v>256.18</v>
      </c>
      <c r="X651" s="427">
        <v>42.72</v>
      </c>
      <c r="Y651" s="428">
        <v>0</v>
      </c>
      <c r="Z651" s="429">
        <v>0</v>
      </c>
      <c r="AA651" s="429">
        <v>0</v>
      </c>
      <c r="AB651" s="360">
        <v>0</v>
      </c>
      <c r="AC651" s="360">
        <v>0</v>
      </c>
      <c r="AD651" s="360">
        <v>0</v>
      </c>
      <c r="AE651" s="360">
        <v>0</v>
      </c>
      <c r="AF651" s="360">
        <v>0</v>
      </c>
      <c r="AG651" s="360">
        <v>0</v>
      </c>
      <c r="AH651" s="360">
        <f t="shared" si="31"/>
        <v>298.89999999999998</v>
      </c>
      <c r="AI651" s="455">
        <f>ERP_5[[#This Row],[2026 Working Total]]-ERP_5[[#This Row],[LE2 Final Submission]]</f>
        <v>0</v>
      </c>
      <c r="AJ651" s="79">
        <v>0</v>
      </c>
      <c r="AK651" s="79">
        <f t="shared" si="32"/>
        <v>0</v>
      </c>
      <c r="AL651" s="374">
        <f>SUM(ERP_5[[#This Row],[AP01]:[AP06]])-SUM(ERP_5[[#This Row],[AP01 LE2]:[AP06 LE2]])</f>
        <v>0</v>
      </c>
      <c r="AM651" s="80"/>
      <c r="AN651" s="79">
        <f>ERP_5[[#This Row],[2026 Working Total to Budget/LE]]-ERP_5[[#This Row],[Giveback]]</f>
        <v>0</v>
      </c>
      <c r="AO651" s="81"/>
      <c r="AP651" s="375"/>
      <c r="AQ651" s="375">
        <v>256.18</v>
      </c>
      <c r="AR651" s="375">
        <v>42.72</v>
      </c>
      <c r="AS651" s="375">
        <v>0</v>
      </c>
      <c r="AT651" s="375">
        <v>0</v>
      </c>
      <c r="AU651" s="375">
        <v>0</v>
      </c>
      <c r="AV651" s="375">
        <v>0</v>
      </c>
      <c r="AW651" s="375">
        <v>0</v>
      </c>
      <c r="AX651" s="375">
        <v>0</v>
      </c>
      <c r="AY651" s="375">
        <v>0</v>
      </c>
      <c r="AZ651" s="375">
        <v>0</v>
      </c>
      <c r="BA651" s="375">
        <v>0</v>
      </c>
      <c r="BB651" s="375">
        <v>298.89999999999998</v>
      </c>
      <c r="BC651" s="79"/>
      <c r="BD651" s="79">
        <v>256.18</v>
      </c>
      <c r="BE651" s="79">
        <v>42.72</v>
      </c>
      <c r="BF651" s="79">
        <v>0</v>
      </c>
      <c r="BG651" s="79">
        <v>0</v>
      </c>
      <c r="BH651" s="79">
        <v>0</v>
      </c>
      <c r="BI651" s="79">
        <v>0</v>
      </c>
      <c r="BJ651" s="79">
        <v>0</v>
      </c>
      <c r="BK651" s="79">
        <v>0</v>
      </c>
      <c r="BL651" s="79">
        <v>0</v>
      </c>
      <c r="BM651" s="79">
        <v>0</v>
      </c>
      <c r="BN651" s="79">
        <v>0</v>
      </c>
      <c r="BO651" s="79">
        <v>298.89999999999998</v>
      </c>
    </row>
    <row r="652" spans="1:67" ht="15" customHeight="1">
      <c r="A652" s="66" t="s">
        <v>2835</v>
      </c>
      <c r="B652" s="66" t="s">
        <v>2836</v>
      </c>
      <c r="C652" s="150" t="s">
        <v>1136</v>
      </c>
      <c r="D652" s="150" t="s">
        <v>1567</v>
      </c>
      <c r="E652" s="150" t="s">
        <v>1567</v>
      </c>
      <c r="F652" s="150" t="s">
        <v>1567</v>
      </c>
      <c r="G652" s="511" t="s">
        <v>1027</v>
      </c>
      <c r="H652" s="451" t="s">
        <v>1645</v>
      </c>
      <c r="I652" s="343"/>
      <c r="J652" s="343"/>
      <c r="K652" s="70" t="s">
        <v>321</v>
      </c>
      <c r="L652" s="346"/>
      <c r="M652" s="343"/>
      <c r="N652" s="346"/>
      <c r="O652" s="150" t="s">
        <v>25</v>
      </c>
      <c r="P652" s="150"/>
      <c r="Q652" s="453"/>
      <c r="R652" s="406">
        <v>0</v>
      </c>
      <c r="S652" s="406">
        <v>8.51</v>
      </c>
      <c r="T652" s="425"/>
      <c r="U652" s="71"/>
      <c r="V652" s="427"/>
      <c r="W652" s="427">
        <v>8.51</v>
      </c>
      <c r="X652" s="431">
        <v>0</v>
      </c>
      <c r="Y652" s="428" t="s">
        <v>1142</v>
      </c>
      <c r="Z652" s="429">
        <v>0</v>
      </c>
      <c r="AA652" s="429">
        <v>0</v>
      </c>
      <c r="AB652" s="360">
        <v>0</v>
      </c>
      <c r="AC652" s="360">
        <v>0</v>
      </c>
      <c r="AD652" s="360">
        <v>0</v>
      </c>
      <c r="AE652" s="360">
        <v>0</v>
      </c>
      <c r="AF652" s="360">
        <v>0</v>
      </c>
      <c r="AG652" s="360">
        <v>0</v>
      </c>
      <c r="AH652" s="360">
        <f t="shared" ref="AH652:AH687" si="33">SUM(V652:AG652)</f>
        <v>8.51</v>
      </c>
      <c r="AI652" s="455">
        <f>ERP_5[[#This Row],[2026 Working Total]]-ERP_5[[#This Row],[LE2 Final Submission]]</f>
        <v>0</v>
      </c>
      <c r="AJ652" s="79">
        <v>0</v>
      </c>
      <c r="AK652" s="79">
        <f t="shared" si="32"/>
        <v>0</v>
      </c>
      <c r="AL652" s="374">
        <f>SUM(ERP_5[[#This Row],[AP01]:[AP06]])-SUM(ERP_5[[#This Row],[AP01 LE2]:[AP06 LE2]])</f>
        <v>0</v>
      </c>
      <c r="AM652" s="80"/>
      <c r="AN652" s="79">
        <f>ERP_5[[#This Row],[2026 Working Total to Budget/LE]]-ERP_5[[#This Row],[Giveback]]</f>
        <v>0</v>
      </c>
      <c r="AO652" s="81"/>
      <c r="AP652" s="375"/>
      <c r="AQ652" s="375">
        <v>8.51</v>
      </c>
      <c r="AR652" s="375">
        <v>0</v>
      </c>
      <c r="AS652" s="375">
        <v>0</v>
      </c>
      <c r="AT652" s="375">
        <v>0</v>
      </c>
      <c r="AU652" s="375">
        <v>0</v>
      </c>
      <c r="AV652" s="375">
        <v>0</v>
      </c>
      <c r="AW652" s="375">
        <v>0</v>
      </c>
      <c r="AX652" s="375">
        <v>0</v>
      </c>
      <c r="AY652" s="375">
        <v>0</v>
      </c>
      <c r="AZ652" s="375">
        <v>0</v>
      </c>
      <c r="BA652" s="375">
        <v>0</v>
      </c>
      <c r="BB652" s="375">
        <v>8.51</v>
      </c>
      <c r="BC652" s="79"/>
      <c r="BD652" s="79">
        <v>8.51</v>
      </c>
      <c r="BE652" s="79">
        <v>0</v>
      </c>
      <c r="BF652" s="79">
        <v>0</v>
      </c>
      <c r="BG652" s="79">
        <v>0</v>
      </c>
      <c r="BH652" s="79">
        <v>0</v>
      </c>
      <c r="BI652" s="79">
        <v>0</v>
      </c>
      <c r="BJ652" s="79">
        <v>0</v>
      </c>
      <c r="BK652" s="79">
        <v>0</v>
      </c>
      <c r="BL652" s="79">
        <v>0</v>
      </c>
      <c r="BM652" s="79">
        <v>0</v>
      </c>
      <c r="BN652" s="79">
        <v>0</v>
      </c>
      <c r="BO652" s="79">
        <v>8.51</v>
      </c>
    </row>
    <row r="653" spans="1:67" ht="15" customHeight="1">
      <c r="A653" s="66" t="s">
        <v>1643</v>
      </c>
      <c r="B653" s="66" t="s">
        <v>1644</v>
      </c>
      <c r="C653" s="150" t="s">
        <v>1136</v>
      </c>
      <c r="D653" s="334" t="s">
        <v>1567</v>
      </c>
      <c r="E653" s="334" t="s">
        <v>1567</v>
      </c>
      <c r="F653" s="334" t="s">
        <v>1567</v>
      </c>
      <c r="G653" s="511" t="s">
        <v>49</v>
      </c>
      <c r="H653" s="451" t="s">
        <v>1645</v>
      </c>
      <c r="I653" s="343"/>
      <c r="J653" s="343"/>
      <c r="K653" s="70" t="s">
        <v>321</v>
      </c>
      <c r="L653" s="346"/>
      <c r="M653" s="343"/>
      <c r="N653" s="346"/>
      <c r="O653" s="150" t="s">
        <v>25</v>
      </c>
      <c r="P653" s="150"/>
      <c r="Q653" s="475"/>
      <c r="R653" s="406">
        <v>0</v>
      </c>
      <c r="S653" s="406">
        <v>7271.4</v>
      </c>
      <c r="T653" s="425"/>
      <c r="U653" s="71"/>
      <c r="V653" s="427"/>
      <c r="W653" s="427">
        <v>7271.4</v>
      </c>
      <c r="X653" s="431">
        <v>0</v>
      </c>
      <c r="Y653" s="428">
        <v>0</v>
      </c>
      <c r="Z653" s="429">
        <v>0</v>
      </c>
      <c r="AA653" s="429">
        <v>0</v>
      </c>
      <c r="AB653" s="360">
        <v>0</v>
      </c>
      <c r="AC653" s="360">
        <v>0</v>
      </c>
      <c r="AD653" s="360">
        <v>0</v>
      </c>
      <c r="AE653" s="360">
        <v>0</v>
      </c>
      <c r="AF653" s="360">
        <v>0</v>
      </c>
      <c r="AG653" s="360">
        <v>0</v>
      </c>
      <c r="AH653" s="360">
        <f t="shared" si="33"/>
        <v>7271.4</v>
      </c>
      <c r="AI653" s="455">
        <f>ERP_5[[#This Row],[2026 Working Total]]-ERP_5[[#This Row],[LE2 Final Submission]]</f>
        <v>0</v>
      </c>
      <c r="AJ653" s="79">
        <v>0</v>
      </c>
      <c r="AK653" s="79">
        <f t="shared" si="32"/>
        <v>0</v>
      </c>
      <c r="AL653" s="374">
        <f>SUM(ERP_5[[#This Row],[AP01]:[AP06]])-SUM(ERP_5[[#This Row],[AP01 LE2]:[AP06 LE2]])</f>
        <v>0</v>
      </c>
      <c r="AM653" s="80"/>
      <c r="AN653" s="79">
        <f>ERP_5[[#This Row],[2026 Working Total to Budget/LE]]-ERP_5[[#This Row],[Giveback]]</f>
        <v>0</v>
      </c>
      <c r="AO653" s="81"/>
      <c r="AP653" s="375"/>
      <c r="AQ653" s="375">
        <v>7271.4</v>
      </c>
      <c r="AR653" s="375">
        <v>0</v>
      </c>
      <c r="AS653" s="375">
        <v>0</v>
      </c>
      <c r="AT653" s="375">
        <v>0</v>
      </c>
      <c r="AU653" s="375">
        <v>0</v>
      </c>
      <c r="AV653" s="375">
        <v>0</v>
      </c>
      <c r="AW653" s="375">
        <v>0</v>
      </c>
      <c r="AX653" s="375">
        <v>0</v>
      </c>
      <c r="AY653" s="375">
        <v>0</v>
      </c>
      <c r="AZ653" s="375">
        <v>0</v>
      </c>
      <c r="BA653" s="375">
        <v>0</v>
      </c>
      <c r="BB653" s="375">
        <v>7271.4</v>
      </c>
      <c r="BC653" s="79"/>
      <c r="BD653" s="79">
        <v>7271.4</v>
      </c>
      <c r="BE653" s="79">
        <v>0</v>
      </c>
      <c r="BF653" s="79">
        <v>0</v>
      </c>
      <c r="BG653" s="79">
        <v>0</v>
      </c>
      <c r="BH653" s="79">
        <v>0</v>
      </c>
      <c r="BI653" s="79">
        <v>0</v>
      </c>
      <c r="BJ653" s="79">
        <v>0</v>
      </c>
      <c r="BK653" s="79">
        <v>0</v>
      </c>
      <c r="BL653" s="79">
        <v>0</v>
      </c>
      <c r="BM653" s="79">
        <v>0</v>
      </c>
      <c r="BN653" s="79">
        <v>0</v>
      </c>
      <c r="BO653" s="79">
        <v>7271.4</v>
      </c>
    </row>
    <row r="654" spans="1:67" ht="15" customHeight="1">
      <c r="A654" s="66" t="s">
        <v>2199</v>
      </c>
      <c r="B654" s="215" t="s">
        <v>2200</v>
      </c>
      <c r="C654" s="150" t="s">
        <v>1136</v>
      </c>
      <c r="D654" s="334" t="s">
        <v>1345</v>
      </c>
      <c r="E654" s="334" t="s">
        <v>1346</v>
      </c>
      <c r="F654" s="334" t="s">
        <v>1346</v>
      </c>
      <c r="G654" s="511" t="s">
        <v>629</v>
      </c>
      <c r="H654" s="392" t="s">
        <v>1648</v>
      </c>
      <c r="I654" s="343"/>
      <c r="J654" s="343"/>
      <c r="K654" s="70" t="s">
        <v>636</v>
      </c>
      <c r="L654" s="346"/>
      <c r="M654" s="343"/>
      <c r="N654" s="346"/>
      <c r="O654" s="150" t="s">
        <v>25</v>
      </c>
      <c r="P654" s="150"/>
      <c r="Q654" s="475"/>
      <c r="R654" s="406">
        <v>0</v>
      </c>
      <c r="S654" s="406">
        <v>961.71</v>
      </c>
      <c r="T654" s="430"/>
      <c r="U654" s="137"/>
      <c r="V654" s="427"/>
      <c r="W654" s="427">
        <v>961.71</v>
      </c>
      <c r="X654" s="431">
        <v>0</v>
      </c>
      <c r="Y654" s="428" t="s">
        <v>1142</v>
      </c>
      <c r="Z654" s="429">
        <v>0</v>
      </c>
      <c r="AA654" s="429">
        <v>0</v>
      </c>
      <c r="AB654" s="360">
        <v>0</v>
      </c>
      <c r="AC654" s="360">
        <v>0</v>
      </c>
      <c r="AD654" s="360">
        <v>0</v>
      </c>
      <c r="AE654" s="360">
        <v>0</v>
      </c>
      <c r="AF654" s="360">
        <v>0</v>
      </c>
      <c r="AG654" s="360">
        <v>0</v>
      </c>
      <c r="AH654" s="360">
        <f t="shared" si="33"/>
        <v>961.71</v>
      </c>
      <c r="AI654" s="455">
        <f>ERP_5[[#This Row],[2026 Working Total]]-ERP_5[[#This Row],[LE2 Final Submission]]</f>
        <v>0</v>
      </c>
      <c r="AJ654" s="79">
        <v>0</v>
      </c>
      <c r="AK654" s="79">
        <f t="shared" si="32"/>
        <v>0</v>
      </c>
      <c r="AL654" s="374">
        <f>SUM(ERP_5[[#This Row],[AP01]:[AP06]])-SUM(ERP_5[[#This Row],[AP01 LE2]:[AP06 LE2]])</f>
        <v>0</v>
      </c>
      <c r="AM654" s="80"/>
      <c r="AN654" s="79">
        <f>ERP_5[[#This Row],[2026 Working Total to Budget/LE]]-ERP_5[[#This Row],[Giveback]]</f>
        <v>0</v>
      </c>
      <c r="AO654" s="81"/>
      <c r="AP654" s="375"/>
      <c r="AQ654" s="375">
        <v>961.71</v>
      </c>
      <c r="AR654" s="375">
        <v>0</v>
      </c>
      <c r="AS654" s="375">
        <v>0</v>
      </c>
      <c r="AT654" s="375">
        <v>0</v>
      </c>
      <c r="AU654" s="375">
        <v>0</v>
      </c>
      <c r="AV654" s="375">
        <v>0</v>
      </c>
      <c r="AW654" s="375">
        <v>0</v>
      </c>
      <c r="AX654" s="375">
        <v>0</v>
      </c>
      <c r="AY654" s="375">
        <v>0</v>
      </c>
      <c r="AZ654" s="375">
        <v>0</v>
      </c>
      <c r="BA654" s="375">
        <v>0</v>
      </c>
      <c r="BB654" s="375">
        <v>961.71</v>
      </c>
      <c r="BC654" s="79"/>
      <c r="BD654" s="79">
        <v>961.71</v>
      </c>
      <c r="BE654" s="79">
        <v>0</v>
      </c>
      <c r="BF654" s="79">
        <v>0</v>
      </c>
      <c r="BG654" s="79">
        <v>0</v>
      </c>
      <c r="BH654" s="79">
        <v>0</v>
      </c>
      <c r="BI654" s="79">
        <v>0</v>
      </c>
      <c r="BJ654" s="79">
        <v>0</v>
      </c>
      <c r="BK654" s="79">
        <v>0</v>
      </c>
      <c r="BL654" s="79">
        <v>0</v>
      </c>
      <c r="BM654" s="79">
        <v>0</v>
      </c>
      <c r="BN654" s="79">
        <v>0</v>
      </c>
      <c r="BO654" s="79">
        <v>961.71</v>
      </c>
    </row>
    <row r="655" spans="1:67" ht="15" customHeight="1">
      <c r="A655" s="66" t="s">
        <v>2837</v>
      </c>
      <c r="B655" s="66" t="s">
        <v>2838</v>
      </c>
      <c r="C655" s="150" t="s">
        <v>1136</v>
      </c>
      <c r="D655" s="334" t="s">
        <v>1345</v>
      </c>
      <c r="E655" s="334" t="s">
        <v>1346</v>
      </c>
      <c r="F655" s="334" t="s">
        <v>1346</v>
      </c>
      <c r="G655" s="511" t="s">
        <v>1027</v>
      </c>
      <c r="H655" s="451" t="s">
        <v>1648</v>
      </c>
      <c r="I655" s="343"/>
      <c r="J655" s="343"/>
      <c r="K655" s="70" t="s">
        <v>636</v>
      </c>
      <c r="L655" s="346"/>
      <c r="M655" s="343"/>
      <c r="N655" s="346"/>
      <c r="O655" s="150" t="s">
        <v>25</v>
      </c>
      <c r="P655" s="150"/>
      <c r="Q655" s="475"/>
      <c r="R655" s="406">
        <v>0</v>
      </c>
      <c r="S655" s="406">
        <v>11.32</v>
      </c>
      <c r="T655" s="425"/>
      <c r="U655" s="71"/>
      <c r="V655" s="427"/>
      <c r="W655" s="427">
        <v>11.32</v>
      </c>
      <c r="X655" s="431">
        <v>0</v>
      </c>
      <c r="Y655" s="428" t="s">
        <v>1142</v>
      </c>
      <c r="Z655" s="429">
        <v>0</v>
      </c>
      <c r="AA655" s="429">
        <v>0</v>
      </c>
      <c r="AB655" s="360">
        <v>0</v>
      </c>
      <c r="AC655" s="360">
        <v>0</v>
      </c>
      <c r="AD655" s="360">
        <v>0</v>
      </c>
      <c r="AE655" s="360">
        <v>0</v>
      </c>
      <c r="AF655" s="360">
        <v>0</v>
      </c>
      <c r="AG655" s="360">
        <v>0</v>
      </c>
      <c r="AH655" s="360">
        <f t="shared" si="33"/>
        <v>11.32</v>
      </c>
      <c r="AI655" s="455">
        <f>ERP_5[[#This Row],[2026 Working Total]]-ERP_5[[#This Row],[LE2 Final Submission]]</f>
        <v>0</v>
      </c>
      <c r="AJ655" s="79">
        <v>0</v>
      </c>
      <c r="AK655" s="79">
        <f t="shared" si="32"/>
        <v>0</v>
      </c>
      <c r="AL655" s="374">
        <f>SUM(ERP_5[[#This Row],[AP01]:[AP06]])-SUM(ERP_5[[#This Row],[AP01 LE2]:[AP06 LE2]])</f>
        <v>0</v>
      </c>
      <c r="AM655" s="80"/>
      <c r="AN655" s="79">
        <f>ERP_5[[#This Row],[2026 Working Total to Budget/LE]]-ERP_5[[#This Row],[Giveback]]</f>
        <v>0</v>
      </c>
      <c r="AO655" s="81"/>
      <c r="AP655" s="375"/>
      <c r="AQ655" s="375">
        <v>11.32</v>
      </c>
      <c r="AR655" s="375">
        <v>0</v>
      </c>
      <c r="AS655" s="375">
        <v>0</v>
      </c>
      <c r="AT655" s="375">
        <v>0</v>
      </c>
      <c r="AU655" s="375">
        <v>0</v>
      </c>
      <c r="AV655" s="375">
        <v>0</v>
      </c>
      <c r="AW655" s="375">
        <v>0</v>
      </c>
      <c r="AX655" s="375">
        <v>0</v>
      </c>
      <c r="AY655" s="375">
        <v>0</v>
      </c>
      <c r="AZ655" s="375">
        <v>0</v>
      </c>
      <c r="BA655" s="375">
        <v>0</v>
      </c>
      <c r="BB655" s="375">
        <v>11.32</v>
      </c>
      <c r="BC655" s="79"/>
      <c r="BD655" s="79">
        <v>11.32</v>
      </c>
      <c r="BE655" s="79">
        <v>0</v>
      </c>
      <c r="BF655" s="79">
        <v>0</v>
      </c>
      <c r="BG655" s="79">
        <v>0</v>
      </c>
      <c r="BH655" s="79">
        <v>0</v>
      </c>
      <c r="BI655" s="79">
        <v>0</v>
      </c>
      <c r="BJ655" s="79">
        <v>0</v>
      </c>
      <c r="BK655" s="79">
        <v>0</v>
      </c>
      <c r="BL655" s="79">
        <v>0</v>
      </c>
      <c r="BM655" s="79">
        <v>0</v>
      </c>
      <c r="BN655" s="79">
        <v>0</v>
      </c>
      <c r="BO655" s="79">
        <v>11.32</v>
      </c>
    </row>
    <row r="656" spans="1:67" ht="15" customHeight="1">
      <c r="A656" s="66" t="s">
        <v>1646</v>
      </c>
      <c r="B656" s="66" t="s">
        <v>1647</v>
      </c>
      <c r="C656" s="150" t="s">
        <v>1136</v>
      </c>
      <c r="D656" s="150" t="s">
        <v>1345</v>
      </c>
      <c r="E656" s="150" t="s">
        <v>1346</v>
      </c>
      <c r="F656" s="150" t="s">
        <v>1346</v>
      </c>
      <c r="G656" s="511" t="s">
        <v>49</v>
      </c>
      <c r="H656" s="451" t="s">
        <v>1648</v>
      </c>
      <c r="I656" s="343"/>
      <c r="J656" s="343"/>
      <c r="K656" s="70" t="s">
        <v>323</v>
      </c>
      <c r="L656" s="346"/>
      <c r="M656" s="343"/>
      <c r="N656" s="346"/>
      <c r="O656" s="150" t="s">
        <v>25</v>
      </c>
      <c r="P656" s="150"/>
      <c r="Q656" s="475"/>
      <c r="R656" s="406">
        <v>0</v>
      </c>
      <c r="S656" s="406">
        <v>130.62</v>
      </c>
      <c r="T656" s="425"/>
      <c r="U656" s="71"/>
      <c r="V656" s="427"/>
      <c r="W656" s="427">
        <v>130.62</v>
      </c>
      <c r="X656" s="431">
        <v>0</v>
      </c>
      <c r="Y656" s="428" t="s">
        <v>1142</v>
      </c>
      <c r="Z656" s="429">
        <v>0</v>
      </c>
      <c r="AA656" s="429">
        <v>0</v>
      </c>
      <c r="AB656" s="360">
        <v>0</v>
      </c>
      <c r="AC656" s="360">
        <v>0</v>
      </c>
      <c r="AD656" s="360">
        <v>0</v>
      </c>
      <c r="AE656" s="360">
        <v>0</v>
      </c>
      <c r="AF656" s="360">
        <v>0</v>
      </c>
      <c r="AG656" s="360">
        <v>0</v>
      </c>
      <c r="AH656" s="360">
        <f t="shared" si="33"/>
        <v>130.62</v>
      </c>
      <c r="AI656" s="455">
        <f>ERP_5[[#This Row],[2026 Working Total]]-ERP_5[[#This Row],[LE2 Final Submission]]</f>
        <v>0</v>
      </c>
      <c r="AJ656" s="79">
        <v>0</v>
      </c>
      <c r="AK656" s="79">
        <f t="shared" si="32"/>
        <v>0</v>
      </c>
      <c r="AL656" s="374">
        <f>SUM(ERP_5[[#This Row],[AP01]:[AP06]])-SUM(ERP_5[[#This Row],[AP01 LE2]:[AP06 LE2]])</f>
        <v>0</v>
      </c>
      <c r="AM656" s="80"/>
      <c r="AN656" s="79">
        <f>ERP_5[[#This Row],[2026 Working Total to Budget/LE]]-ERP_5[[#This Row],[Giveback]]</f>
        <v>0</v>
      </c>
      <c r="AO656" s="81"/>
      <c r="AP656" s="375"/>
      <c r="AQ656" s="375">
        <v>130.62</v>
      </c>
      <c r="AR656" s="375">
        <v>0</v>
      </c>
      <c r="AS656" s="375">
        <v>0</v>
      </c>
      <c r="AT656" s="375">
        <v>0</v>
      </c>
      <c r="AU656" s="375">
        <v>0</v>
      </c>
      <c r="AV656" s="375">
        <v>0</v>
      </c>
      <c r="AW656" s="375">
        <v>0</v>
      </c>
      <c r="AX656" s="375">
        <v>0</v>
      </c>
      <c r="AY656" s="375">
        <v>0</v>
      </c>
      <c r="AZ656" s="375">
        <v>0</v>
      </c>
      <c r="BA656" s="375">
        <v>0</v>
      </c>
      <c r="BB656" s="375">
        <v>130.62</v>
      </c>
      <c r="BC656" s="79"/>
      <c r="BD656" s="79">
        <v>130.62</v>
      </c>
      <c r="BE656" s="79">
        <v>0</v>
      </c>
      <c r="BF656" s="79">
        <v>0</v>
      </c>
      <c r="BG656" s="79">
        <v>0</v>
      </c>
      <c r="BH656" s="79">
        <v>0</v>
      </c>
      <c r="BI656" s="79">
        <v>0</v>
      </c>
      <c r="BJ656" s="79">
        <v>0</v>
      </c>
      <c r="BK656" s="79">
        <v>0</v>
      </c>
      <c r="BL656" s="79">
        <v>0</v>
      </c>
      <c r="BM656" s="79">
        <v>0</v>
      </c>
      <c r="BN656" s="79">
        <v>0</v>
      </c>
      <c r="BO656" s="79">
        <v>130.62</v>
      </c>
    </row>
    <row r="657" spans="1:67" ht="15" customHeight="1">
      <c r="A657" s="66" t="s">
        <v>2137</v>
      </c>
      <c r="B657" s="66" t="s">
        <v>2138</v>
      </c>
      <c r="C657" s="150" t="s">
        <v>1136</v>
      </c>
      <c r="D657" s="150" t="s">
        <v>1345</v>
      </c>
      <c r="E657" s="150" t="s">
        <v>1346</v>
      </c>
      <c r="F657" s="150" t="s">
        <v>1346</v>
      </c>
      <c r="G657" s="511" t="s">
        <v>389</v>
      </c>
      <c r="H657" s="451" t="s">
        <v>1648</v>
      </c>
      <c r="I657" s="343"/>
      <c r="J657" s="343"/>
      <c r="K657" s="70" t="s">
        <v>323</v>
      </c>
      <c r="L657" s="346"/>
      <c r="M657" s="343"/>
      <c r="N657" s="346"/>
      <c r="O657" s="150" t="s">
        <v>25</v>
      </c>
      <c r="P657" s="150"/>
      <c r="Q657" s="475"/>
      <c r="R657" s="406">
        <v>0</v>
      </c>
      <c r="S657" s="406">
        <v>356.72</v>
      </c>
      <c r="T657" s="425"/>
      <c r="U657" s="71"/>
      <c r="V657" s="427"/>
      <c r="W657" s="427">
        <v>356.72</v>
      </c>
      <c r="X657" s="431">
        <v>0</v>
      </c>
      <c r="Y657" s="428" t="s">
        <v>1142</v>
      </c>
      <c r="Z657" s="429">
        <v>0</v>
      </c>
      <c r="AA657" s="429">
        <v>0</v>
      </c>
      <c r="AB657" s="360">
        <v>0</v>
      </c>
      <c r="AC657" s="360">
        <v>0</v>
      </c>
      <c r="AD657" s="360">
        <v>0</v>
      </c>
      <c r="AE657" s="360">
        <v>0</v>
      </c>
      <c r="AF657" s="360">
        <v>0</v>
      </c>
      <c r="AG657" s="360">
        <v>0</v>
      </c>
      <c r="AH657" s="360">
        <f t="shared" si="33"/>
        <v>356.72</v>
      </c>
      <c r="AI657" s="455">
        <f>ERP_5[[#This Row],[2026 Working Total]]-ERP_5[[#This Row],[LE2 Final Submission]]</f>
        <v>0</v>
      </c>
      <c r="AJ657" s="79">
        <v>0</v>
      </c>
      <c r="AK657" s="79">
        <f t="shared" si="32"/>
        <v>0</v>
      </c>
      <c r="AL657" s="374">
        <f>SUM(ERP_5[[#This Row],[AP01]:[AP06]])-SUM(ERP_5[[#This Row],[AP01 LE2]:[AP06 LE2]])</f>
        <v>0</v>
      </c>
      <c r="AM657" s="80"/>
      <c r="AN657" s="79">
        <f>ERP_5[[#This Row],[2026 Working Total to Budget/LE]]-ERP_5[[#This Row],[Giveback]]</f>
        <v>0</v>
      </c>
      <c r="AO657" s="81"/>
      <c r="AP657" s="375"/>
      <c r="AQ657" s="375">
        <v>356.72</v>
      </c>
      <c r="AR657" s="375">
        <v>0</v>
      </c>
      <c r="AS657" s="375">
        <v>0</v>
      </c>
      <c r="AT657" s="375">
        <v>0</v>
      </c>
      <c r="AU657" s="375">
        <v>0</v>
      </c>
      <c r="AV657" s="375">
        <v>0</v>
      </c>
      <c r="AW657" s="375">
        <v>0</v>
      </c>
      <c r="AX657" s="375">
        <v>0</v>
      </c>
      <c r="AY657" s="375">
        <v>0</v>
      </c>
      <c r="AZ657" s="375">
        <v>0</v>
      </c>
      <c r="BA657" s="375">
        <v>0</v>
      </c>
      <c r="BB657" s="375">
        <v>356.72</v>
      </c>
      <c r="BC657" s="79"/>
      <c r="BD657" s="79">
        <v>356.72</v>
      </c>
      <c r="BE657" s="79">
        <v>0</v>
      </c>
      <c r="BF657" s="79">
        <v>0</v>
      </c>
      <c r="BG657" s="79">
        <v>0</v>
      </c>
      <c r="BH657" s="79">
        <v>0</v>
      </c>
      <c r="BI657" s="79">
        <v>0</v>
      </c>
      <c r="BJ657" s="79">
        <v>0</v>
      </c>
      <c r="BK657" s="79">
        <v>0</v>
      </c>
      <c r="BL657" s="79">
        <v>0</v>
      </c>
      <c r="BM657" s="79">
        <v>0</v>
      </c>
      <c r="BN657" s="79">
        <v>0</v>
      </c>
      <c r="BO657" s="79">
        <v>356.72</v>
      </c>
    </row>
    <row r="658" spans="1:67" ht="15" customHeight="1">
      <c r="A658" s="66" t="s">
        <v>2184</v>
      </c>
      <c r="B658" s="66" t="s">
        <v>2185</v>
      </c>
      <c r="C658" s="150" t="s">
        <v>1136</v>
      </c>
      <c r="D658" s="150" t="s">
        <v>1345</v>
      </c>
      <c r="E658" s="150" t="s">
        <v>1346</v>
      </c>
      <c r="F658" s="150" t="s">
        <v>1346</v>
      </c>
      <c r="G658" s="511" t="s">
        <v>602</v>
      </c>
      <c r="H658" s="451" t="s">
        <v>1648</v>
      </c>
      <c r="I658" s="343"/>
      <c r="J658" s="343"/>
      <c r="K658" s="70" t="s">
        <v>323</v>
      </c>
      <c r="L658" s="346"/>
      <c r="M658" s="343"/>
      <c r="N658" s="346"/>
      <c r="O658" s="150" t="s">
        <v>25</v>
      </c>
      <c r="P658" s="150"/>
      <c r="Q658" s="475"/>
      <c r="R658" s="406">
        <v>0</v>
      </c>
      <c r="S658" s="406">
        <v>220.29</v>
      </c>
      <c r="T658" s="425"/>
      <c r="U658" s="71"/>
      <c r="V658" s="427"/>
      <c r="W658" s="427">
        <v>220.29</v>
      </c>
      <c r="X658" s="431">
        <v>0</v>
      </c>
      <c r="Y658" s="428" t="s">
        <v>1142</v>
      </c>
      <c r="Z658" s="429">
        <v>0</v>
      </c>
      <c r="AA658" s="429">
        <v>0</v>
      </c>
      <c r="AB658" s="360">
        <v>0</v>
      </c>
      <c r="AC658" s="360">
        <v>0</v>
      </c>
      <c r="AD658" s="360">
        <v>0</v>
      </c>
      <c r="AE658" s="360">
        <v>0</v>
      </c>
      <c r="AF658" s="360">
        <v>0</v>
      </c>
      <c r="AG658" s="360">
        <v>0</v>
      </c>
      <c r="AH658" s="360">
        <f t="shared" si="33"/>
        <v>220.29</v>
      </c>
      <c r="AI658" s="455">
        <f>ERP_5[[#This Row],[2026 Working Total]]-ERP_5[[#This Row],[LE2 Final Submission]]</f>
        <v>0</v>
      </c>
      <c r="AJ658" s="79">
        <v>0</v>
      </c>
      <c r="AK658" s="79">
        <f t="shared" si="32"/>
        <v>0</v>
      </c>
      <c r="AL658" s="374">
        <f>SUM(ERP_5[[#This Row],[AP01]:[AP06]])-SUM(ERP_5[[#This Row],[AP01 LE2]:[AP06 LE2]])</f>
        <v>0</v>
      </c>
      <c r="AM658" s="80"/>
      <c r="AN658" s="79">
        <f>ERP_5[[#This Row],[2026 Working Total to Budget/LE]]-ERP_5[[#This Row],[Giveback]]</f>
        <v>0</v>
      </c>
      <c r="AO658" s="81"/>
      <c r="AP658" s="375"/>
      <c r="AQ658" s="375">
        <v>220.29</v>
      </c>
      <c r="AR658" s="375">
        <v>0</v>
      </c>
      <c r="AS658" s="375">
        <v>0</v>
      </c>
      <c r="AT658" s="375">
        <v>0</v>
      </c>
      <c r="AU658" s="375">
        <v>0</v>
      </c>
      <c r="AV658" s="375">
        <v>0</v>
      </c>
      <c r="AW658" s="375">
        <v>0</v>
      </c>
      <c r="AX658" s="375">
        <v>0</v>
      </c>
      <c r="AY658" s="375">
        <v>0</v>
      </c>
      <c r="AZ658" s="375">
        <v>0</v>
      </c>
      <c r="BA658" s="375">
        <v>0</v>
      </c>
      <c r="BB658" s="375">
        <v>220.29</v>
      </c>
      <c r="BC658" s="79"/>
      <c r="BD658" s="79">
        <v>220.29</v>
      </c>
      <c r="BE658" s="79">
        <v>0</v>
      </c>
      <c r="BF658" s="79">
        <v>0</v>
      </c>
      <c r="BG658" s="79">
        <v>0</v>
      </c>
      <c r="BH658" s="79">
        <v>0</v>
      </c>
      <c r="BI658" s="79">
        <v>0</v>
      </c>
      <c r="BJ658" s="79">
        <v>0</v>
      </c>
      <c r="BK658" s="79">
        <v>0</v>
      </c>
      <c r="BL658" s="79">
        <v>0</v>
      </c>
      <c r="BM658" s="79">
        <v>0</v>
      </c>
      <c r="BN658" s="79">
        <v>0</v>
      </c>
      <c r="BO658" s="79">
        <v>220.29</v>
      </c>
    </row>
    <row r="659" spans="1:67" ht="15" customHeight="1">
      <c r="A659" s="66" t="s">
        <v>2190</v>
      </c>
      <c r="B659" s="66" t="s">
        <v>2191</v>
      </c>
      <c r="C659" s="150" t="s">
        <v>1136</v>
      </c>
      <c r="D659" s="150" t="s">
        <v>1345</v>
      </c>
      <c r="E659" s="150" t="s">
        <v>1346</v>
      </c>
      <c r="F659" s="150" t="s">
        <v>1346</v>
      </c>
      <c r="G659" s="511" t="s">
        <v>625</v>
      </c>
      <c r="H659" s="451" t="s">
        <v>1648</v>
      </c>
      <c r="I659" s="343"/>
      <c r="J659" s="343"/>
      <c r="K659" s="70" t="s">
        <v>323</v>
      </c>
      <c r="L659" s="346"/>
      <c r="M659" s="343"/>
      <c r="N659" s="346"/>
      <c r="O659" s="150" t="s">
        <v>25</v>
      </c>
      <c r="P659" s="150"/>
      <c r="Q659" s="475"/>
      <c r="R659" s="406">
        <v>0</v>
      </c>
      <c r="S659" s="406">
        <v>3.5</v>
      </c>
      <c r="T659" s="425"/>
      <c r="U659" s="71"/>
      <c r="V659" s="427"/>
      <c r="W659" s="427">
        <v>3.5</v>
      </c>
      <c r="X659" s="431">
        <v>0</v>
      </c>
      <c r="Y659" s="428" t="s">
        <v>1142</v>
      </c>
      <c r="Z659" s="429">
        <v>0</v>
      </c>
      <c r="AA659" s="429">
        <v>0</v>
      </c>
      <c r="AB659" s="360">
        <v>0</v>
      </c>
      <c r="AC659" s="360">
        <v>0</v>
      </c>
      <c r="AD659" s="360">
        <v>0</v>
      </c>
      <c r="AE659" s="360">
        <v>0</v>
      </c>
      <c r="AF659" s="360">
        <v>0</v>
      </c>
      <c r="AG659" s="360">
        <v>0</v>
      </c>
      <c r="AH659" s="360">
        <f t="shared" si="33"/>
        <v>3.5</v>
      </c>
      <c r="AI659" s="455">
        <f>ERP_5[[#This Row],[2026 Working Total]]-ERP_5[[#This Row],[LE2 Final Submission]]</f>
        <v>0</v>
      </c>
      <c r="AJ659" s="79">
        <v>0</v>
      </c>
      <c r="AK659" s="79">
        <f t="shared" si="32"/>
        <v>0</v>
      </c>
      <c r="AL659" s="374">
        <f>SUM(ERP_5[[#This Row],[AP01]:[AP06]])-SUM(ERP_5[[#This Row],[AP01 LE2]:[AP06 LE2]])</f>
        <v>0</v>
      </c>
      <c r="AM659" s="80"/>
      <c r="AN659" s="79">
        <f>ERP_5[[#This Row],[2026 Working Total to Budget/LE]]-ERP_5[[#This Row],[Giveback]]</f>
        <v>0</v>
      </c>
      <c r="AO659" s="81"/>
      <c r="AP659" s="375"/>
      <c r="AQ659" s="375">
        <v>3.5</v>
      </c>
      <c r="AR659" s="375">
        <v>0</v>
      </c>
      <c r="AS659" s="375">
        <v>0</v>
      </c>
      <c r="AT659" s="375">
        <v>0</v>
      </c>
      <c r="AU659" s="375">
        <v>0</v>
      </c>
      <c r="AV659" s="375">
        <v>0</v>
      </c>
      <c r="AW659" s="375">
        <v>0</v>
      </c>
      <c r="AX659" s="375">
        <v>0</v>
      </c>
      <c r="AY659" s="375">
        <v>0</v>
      </c>
      <c r="AZ659" s="375">
        <v>0</v>
      </c>
      <c r="BA659" s="375">
        <v>0</v>
      </c>
      <c r="BB659" s="375">
        <v>3.5</v>
      </c>
      <c r="BC659" s="79"/>
      <c r="BD659" s="79">
        <v>3.5</v>
      </c>
      <c r="BE659" s="79">
        <v>0</v>
      </c>
      <c r="BF659" s="79">
        <v>0</v>
      </c>
      <c r="BG659" s="79">
        <v>0</v>
      </c>
      <c r="BH659" s="79">
        <v>0</v>
      </c>
      <c r="BI659" s="79">
        <v>0</v>
      </c>
      <c r="BJ659" s="79">
        <v>0</v>
      </c>
      <c r="BK659" s="79">
        <v>0</v>
      </c>
      <c r="BL659" s="79">
        <v>0</v>
      </c>
      <c r="BM659" s="79">
        <v>0</v>
      </c>
      <c r="BN659" s="79">
        <v>0</v>
      </c>
      <c r="BO659" s="79">
        <v>3.5</v>
      </c>
    </row>
    <row r="660" spans="1:67" ht="15" customHeight="1">
      <c r="A660" s="66" t="s">
        <v>2201</v>
      </c>
      <c r="B660" s="66" t="s">
        <v>2202</v>
      </c>
      <c r="C660" s="150" t="s">
        <v>1136</v>
      </c>
      <c r="D660" s="150" t="s">
        <v>1345</v>
      </c>
      <c r="E660" s="150" t="s">
        <v>1346</v>
      </c>
      <c r="F660" s="150" t="s">
        <v>1346</v>
      </c>
      <c r="G660" s="511" t="s">
        <v>629</v>
      </c>
      <c r="H660" s="451" t="s">
        <v>1648</v>
      </c>
      <c r="I660" s="343"/>
      <c r="J660" s="343"/>
      <c r="K660" s="70" t="s">
        <v>323</v>
      </c>
      <c r="L660" s="346"/>
      <c r="M660" s="343"/>
      <c r="N660" s="346"/>
      <c r="O660" s="150" t="s">
        <v>25</v>
      </c>
      <c r="P660" s="150"/>
      <c r="Q660" s="475"/>
      <c r="R660" s="406">
        <v>0</v>
      </c>
      <c r="S660" s="406">
        <v>1672.26</v>
      </c>
      <c r="T660" s="425"/>
      <c r="U660" s="71"/>
      <c r="V660" s="427"/>
      <c r="W660" s="427">
        <v>1672.26</v>
      </c>
      <c r="X660" s="431">
        <v>0</v>
      </c>
      <c r="Y660" s="428" t="s">
        <v>1142</v>
      </c>
      <c r="Z660" s="429">
        <v>0</v>
      </c>
      <c r="AA660" s="429">
        <v>0</v>
      </c>
      <c r="AB660" s="360">
        <v>0</v>
      </c>
      <c r="AC660" s="360">
        <v>0</v>
      </c>
      <c r="AD660" s="360">
        <v>0</v>
      </c>
      <c r="AE660" s="360">
        <v>0</v>
      </c>
      <c r="AF660" s="360">
        <v>0</v>
      </c>
      <c r="AG660" s="360">
        <v>0</v>
      </c>
      <c r="AH660" s="360">
        <f t="shared" si="33"/>
        <v>1672.26</v>
      </c>
      <c r="AI660" s="455">
        <f>ERP_5[[#This Row],[2026 Working Total]]-ERP_5[[#This Row],[LE2 Final Submission]]</f>
        <v>0</v>
      </c>
      <c r="AJ660" s="79">
        <v>0</v>
      </c>
      <c r="AK660" s="79">
        <f t="shared" si="32"/>
        <v>0</v>
      </c>
      <c r="AL660" s="374">
        <f>SUM(ERP_5[[#This Row],[AP01]:[AP06]])-SUM(ERP_5[[#This Row],[AP01 LE2]:[AP06 LE2]])</f>
        <v>0</v>
      </c>
      <c r="AM660" s="80"/>
      <c r="AN660" s="79">
        <f>ERP_5[[#This Row],[2026 Working Total to Budget/LE]]-ERP_5[[#This Row],[Giveback]]</f>
        <v>0</v>
      </c>
      <c r="AO660" s="81"/>
      <c r="AP660" s="375"/>
      <c r="AQ660" s="375">
        <v>1672.26</v>
      </c>
      <c r="AR660" s="375">
        <v>0</v>
      </c>
      <c r="AS660" s="375">
        <v>0</v>
      </c>
      <c r="AT660" s="375">
        <v>0</v>
      </c>
      <c r="AU660" s="375">
        <v>0</v>
      </c>
      <c r="AV660" s="375">
        <v>0</v>
      </c>
      <c r="AW660" s="375">
        <v>0</v>
      </c>
      <c r="AX660" s="375">
        <v>0</v>
      </c>
      <c r="AY660" s="375">
        <v>0</v>
      </c>
      <c r="AZ660" s="375">
        <v>0</v>
      </c>
      <c r="BA660" s="375">
        <v>0</v>
      </c>
      <c r="BB660" s="375">
        <v>1672.26</v>
      </c>
      <c r="BC660" s="79"/>
      <c r="BD660" s="79">
        <v>1672.26</v>
      </c>
      <c r="BE660" s="79">
        <v>0</v>
      </c>
      <c r="BF660" s="79">
        <v>0</v>
      </c>
      <c r="BG660" s="79">
        <v>0</v>
      </c>
      <c r="BH660" s="79">
        <v>0</v>
      </c>
      <c r="BI660" s="79">
        <v>0</v>
      </c>
      <c r="BJ660" s="79">
        <v>0</v>
      </c>
      <c r="BK660" s="79">
        <v>0</v>
      </c>
      <c r="BL660" s="79">
        <v>0</v>
      </c>
      <c r="BM660" s="79">
        <v>0</v>
      </c>
      <c r="BN660" s="79">
        <v>0</v>
      </c>
      <c r="BO660" s="79">
        <v>1672.26</v>
      </c>
    </row>
    <row r="661" spans="1:67" ht="15" customHeight="1">
      <c r="A661" s="66" t="s">
        <v>2857</v>
      </c>
      <c r="B661" s="66" t="s">
        <v>2858</v>
      </c>
      <c r="C661" s="150" t="s">
        <v>1136</v>
      </c>
      <c r="D661" s="150" t="s">
        <v>1345</v>
      </c>
      <c r="E661" s="150" t="s">
        <v>1346</v>
      </c>
      <c r="F661" s="150" t="s">
        <v>1346</v>
      </c>
      <c r="G661" s="511" t="s">
        <v>1037</v>
      </c>
      <c r="H661" s="451" t="s">
        <v>1648</v>
      </c>
      <c r="I661" s="343"/>
      <c r="J661" s="343"/>
      <c r="K661" s="70" t="s">
        <v>323</v>
      </c>
      <c r="L661" s="346"/>
      <c r="M661" s="343"/>
      <c r="N661" s="346"/>
      <c r="O661" s="150" t="s">
        <v>25</v>
      </c>
      <c r="P661" s="150"/>
      <c r="Q661" s="453"/>
      <c r="R661" s="406">
        <v>0</v>
      </c>
      <c r="S661" s="406">
        <v>64.67</v>
      </c>
      <c r="T661" s="430"/>
      <c r="U661" s="137"/>
      <c r="V661" s="427"/>
      <c r="W661" s="427">
        <v>64.67</v>
      </c>
      <c r="X661" s="431">
        <v>0</v>
      </c>
      <c r="Y661" s="428" t="s">
        <v>1142</v>
      </c>
      <c r="Z661" s="429">
        <v>0</v>
      </c>
      <c r="AA661" s="429">
        <v>0</v>
      </c>
      <c r="AB661" s="360">
        <v>0</v>
      </c>
      <c r="AC661" s="360">
        <v>0</v>
      </c>
      <c r="AD661" s="360">
        <v>0</v>
      </c>
      <c r="AE661" s="360">
        <v>0</v>
      </c>
      <c r="AF661" s="360">
        <v>0</v>
      </c>
      <c r="AG661" s="360">
        <v>0</v>
      </c>
      <c r="AH661" s="360">
        <f t="shared" si="33"/>
        <v>64.67</v>
      </c>
      <c r="AI661" s="455">
        <f>ERP_5[[#This Row],[2026 Working Total]]-ERP_5[[#This Row],[LE2 Final Submission]]</f>
        <v>0</v>
      </c>
      <c r="AJ661" s="79">
        <v>0</v>
      </c>
      <c r="AK661" s="79">
        <f t="shared" si="32"/>
        <v>0</v>
      </c>
      <c r="AL661" s="374">
        <f>SUM(ERP_5[[#This Row],[AP01]:[AP06]])-SUM(ERP_5[[#This Row],[AP01 LE2]:[AP06 LE2]])</f>
        <v>0</v>
      </c>
      <c r="AM661" s="80"/>
      <c r="AN661" s="79">
        <f>ERP_5[[#This Row],[2026 Working Total to Budget/LE]]-ERP_5[[#This Row],[Giveback]]</f>
        <v>0</v>
      </c>
      <c r="AO661" s="81"/>
      <c r="AP661" s="375"/>
      <c r="AQ661" s="375">
        <v>64.67</v>
      </c>
      <c r="AR661" s="375">
        <v>0</v>
      </c>
      <c r="AS661" s="375">
        <v>0</v>
      </c>
      <c r="AT661" s="375">
        <v>0</v>
      </c>
      <c r="AU661" s="375">
        <v>0</v>
      </c>
      <c r="AV661" s="375">
        <v>0</v>
      </c>
      <c r="AW661" s="375">
        <v>0</v>
      </c>
      <c r="AX661" s="375">
        <v>0</v>
      </c>
      <c r="AY661" s="375">
        <v>0</v>
      </c>
      <c r="AZ661" s="375">
        <v>0</v>
      </c>
      <c r="BA661" s="375">
        <v>0</v>
      </c>
      <c r="BB661" s="375">
        <v>64.67</v>
      </c>
      <c r="BC661" s="79"/>
      <c r="BD661" s="79">
        <v>64.67</v>
      </c>
      <c r="BE661" s="79">
        <v>0</v>
      </c>
      <c r="BF661" s="79">
        <v>0</v>
      </c>
      <c r="BG661" s="79">
        <v>0</v>
      </c>
      <c r="BH661" s="79">
        <v>0</v>
      </c>
      <c r="BI661" s="79">
        <v>0</v>
      </c>
      <c r="BJ661" s="79">
        <v>0</v>
      </c>
      <c r="BK661" s="79">
        <v>0</v>
      </c>
      <c r="BL661" s="79">
        <v>0</v>
      </c>
      <c r="BM661" s="79">
        <v>0</v>
      </c>
      <c r="BN661" s="79">
        <v>0</v>
      </c>
      <c r="BO661" s="79">
        <v>64.67</v>
      </c>
    </row>
    <row r="662" spans="1:67" ht="15" customHeight="1">
      <c r="A662" s="66" t="s">
        <v>2840</v>
      </c>
      <c r="B662" s="66" t="s">
        <v>2841</v>
      </c>
      <c r="C662" s="150" t="s">
        <v>1136</v>
      </c>
      <c r="D662" s="150" t="s">
        <v>1345</v>
      </c>
      <c r="E662" s="150" t="s">
        <v>1346</v>
      </c>
      <c r="F662" s="150" t="s">
        <v>1346</v>
      </c>
      <c r="G662" s="511" t="s">
        <v>1027</v>
      </c>
      <c r="H662" s="451" t="s">
        <v>2830</v>
      </c>
      <c r="I662" s="343"/>
      <c r="J662" s="343"/>
      <c r="K662" s="70" t="s">
        <v>1029</v>
      </c>
      <c r="L662" s="346"/>
      <c r="M662" s="343"/>
      <c r="N662" s="346"/>
      <c r="O662" s="150" t="s">
        <v>25</v>
      </c>
      <c r="P662" s="150"/>
      <c r="Q662" s="453"/>
      <c r="R662" s="406">
        <v>157900</v>
      </c>
      <c r="S662" s="406">
        <v>130982.95</v>
      </c>
      <c r="T662" s="430"/>
      <c r="U662" s="137"/>
      <c r="V662" s="427">
        <v>2896.56</v>
      </c>
      <c r="W662" s="427">
        <v>3761.9</v>
      </c>
      <c r="X662" s="427">
        <v>4324.49</v>
      </c>
      <c r="Y662" s="428">
        <v>5457.6899999999987</v>
      </c>
      <c r="Z662" s="429">
        <v>8526.0100000000039</v>
      </c>
      <c r="AA662" s="429">
        <v>5199.119999999999</v>
      </c>
      <c r="AB662" s="363">
        <v>13500</v>
      </c>
      <c r="AC662" s="363">
        <v>13700</v>
      </c>
      <c r="AD662" s="363">
        <v>13700</v>
      </c>
      <c r="AE662" s="363">
        <v>13700</v>
      </c>
      <c r="AF662" s="363">
        <v>13800</v>
      </c>
      <c r="AG662" s="363">
        <v>13800</v>
      </c>
      <c r="AH662" s="360">
        <f t="shared" si="33"/>
        <v>112365.77</v>
      </c>
      <c r="AI662" s="455">
        <f>ERP_5[[#This Row],[2026 Working Total]]-ERP_5[[#This Row],[LE2 Final Submission]]</f>
        <v>-18617.179999999993</v>
      </c>
      <c r="AJ662" s="79">
        <v>12300</v>
      </c>
      <c r="AK662" s="79">
        <f t="shared" si="32"/>
        <v>-7100.880000000001</v>
      </c>
      <c r="AL662" s="374">
        <f>SUM(ERP_5[[#This Row],[AP01]:[AP06]])-SUM(ERP_5[[#This Row],[AP01 LE2]:[AP06 LE2]])</f>
        <v>-18617.179999999997</v>
      </c>
      <c r="AM662" s="80"/>
      <c r="AN662" s="79">
        <f>ERP_5[[#This Row],[2026 Working Total to Budget/LE]]-ERP_5[[#This Row],[Giveback]]</f>
        <v>-18617.179999999993</v>
      </c>
      <c r="AO662" s="81"/>
      <c r="AP662" s="375">
        <v>2896.56</v>
      </c>
      <c r="AQ662" s="375">
        <v>3761.9</v>
      </c>
      <c r="AR662" s="375">
        <v>4324.49</v>
      </c>
      <c r="AS662" s="375">
        <v>12300</v>
      </c>
      <c r="AT662" s="375">
        <v>12300</v>
      </c>
      <c r="AU662" s="375">
        <v>13200</v>
      </c>
      <c r="AV662" s="375">
        <v>13500</v>
      </c>
      <c r="AW662" s="375">
        <v>13700</v>
      </c>
      <c r="AX662" s="375">
        <v>13700</v>
      </c>
      <c r="AY662" s="375">
        <v>13700</v>
      </c>
      <c r="AZ662" s="375">
        <v>13800</v>
      </c>
      <c r="BA662" s="375">
        <v>13800</v>
      </c>
      <c r="BB662" s="375">
        <v>130982.95</v>
      </c>
      <c r="BC662" s="79">
        <v>2896.56</v>
      </c>
      <c r="BD662" s="79">
        <v>3761.9</v>
      </c>
      <c r="BE662" s="79">
        <v>4324.49</v>
      </c>
      <c r="BF662" s="79">
        <v>12300</v>
      </c>
      <c r="BG662" s="79">
        <v>12300</v>
      </c>
      <c r="BH662" s="79">
        <v>13200</v>
      </c>
      <c r="BI662" s="79">
        <v>13500</v>
      </c>
      <c r="BJ662" s="79">
        <v>13700</v>
      </c>
      <c r="BK662" s="79">
        <v>13700</v>
      </c>
      <c r="BL662" s="79">
        <v>13700</v>
      </c>
      <c r="BM662" s="79">
        <v>13800</v>
      </c>
      <c r="BN662" s="79">
        <v>13800</v>
      </c>
      <c r="BO662" s="79">
        <v>130982.95</v>
      </c>
    </row>
    <row r="663" spans="1:67" ht="15" customHeight="1">
      <c r="A663" s="66" t="s">
        <v>2156</v>
      </c>
      <c r="B663" s="66" t="s">
        <v>2157</v>
      </c>
      <c r="C663" s="150" t="s">
        <v>1136</v>
      </c>
      <c r="D663" s="150" t="s">
        <v>1135</v>
      </c>
      <c r="E663" s="150" t="s">
        <v>1137</v>
      </c>
      <c r="F663" s="150" t="s">
        <v>1137</v>
      </c>
      <c r="G663" s="511" t="s">
        <v>602</v>
      </c>
      <c r="H663" s="451" t="s">
        <v>611</v>
      </c>
      <c r="I663" s="343"/>
      <c r="J663" s="343"/>
      <c r="K663" s="70" t="s">
        <v>610</v>
      </c>
      <c r="L663" s="346"/>
      <c r="M663" s="343"/>
      <c r="N663" s="346"/>
      <c r="O663" s="150" t="s">
        <v>611</v>
      </c>
      <c r="P663" s="1" t="s">
        <v>1141</v>
      </c>
      <c r="Q663" s="453"/>
      <c r="R663" s="406">
        <v>0</v>
      </c>
      <c r="S663" s="406">
        <v>9271.2199999999993</v>
      </c>
      <c r="T663" s="425"/>
      <c r="U663" s="71"/>
      <c r="V663" s="427">
        <v>497.32</v>
      </c>
      <c r="W663" s="427">
        <v>7672.35</v>
      </c>
      <c r="X663" s="427">
        <v>1101.55</v>
      </c>
      <c r="Y663" s="428">
        <v>216.08999999999983</v>
      </c>
      <c r="Z663" s="429">
        <v>402.42000000000007</v>
      </c>
      <c r="AA663" s="429">
        <v>209.19</v>
      </c>
      <c r="AB663" s="360">
        <v>0</v>
      </c>
      <c r="AC663" s="360">
        <v>0</v>
      </c>
      <c r="AD663" s="360">
        <v>0</v>
      </c>
      <c r="AE663" s="360">
        <v>0</v>
      </c>
      <c r="AF663" s="360">
        <v>0</v>
      </c>
      <c r="AG663" s="360">
        <v>0</v>
      </c>
      <c r="AH663" s="360">
        <f t="shared" si="33"/>
        <v>10098.92</v>
      </c>
      <c r="AI663" s="455">
        <f>ERP_5[[#This Row],[2026 Working Total]]-ERP_5[[#This Row],[LE2 Final Submission]]</f>
        <v>827.70000000000073</v>
      </c>
      <c r="AJ663" s="79">
        <v>0</v>
      </c>
      <c r="AK663" s="79">
        <f t="shared" si="32"/>
        <v>209.19</v>
      </c>
      <c r="AL663" s="374">
        <f>SUM(ERP_5[[#This Row],[AP01]:[AP06]])-SUM(ERP_5[[#This Row],[AP01 LE2]:[AP06 LE2]])</f>
        <v>827.70000000000073</v>
      </c>
      <c r="AM663" s="80"/>
      <c r="AN663" s="79">
        <f>ERP_5[[#This Row],[2026 Working Total to Budget/LE]]-ERP_5[[#This Row],[Giveback]]</f>
        <v>827.70000000000073</v>
      </c>
      <c r="AO663" s="81"/>
      <c r="AP663" s="375">
        <v>497.32</v>
      </c>
      <c r="AQ663" s="375">
        <v>7672.35</v>
      </c>
      <c r="AR663" s="375">
        <v>1101.55</v>
      </c>
      <c r="AS663" s="375">
        <v>0</v>
      </c>
      <c r="AT663" s="375">
        <v>0</v>
      </c>
      <c r="AU663" s="375">
        <v>0</v>
      </c>
      <c r="AV663" s="375">
        <v>0</v>
      </c>
      <c r="AW663" s="375">
        <v>0</v>
      </c>
      <c r="AX663" s="375">
        <v>0</v>
      </c>
      <c r="AY663" s="375">
        <v>0</v>
      </c>
      <c r="AZ663" s="375">
        <v>0</v>
      </c>
      <c r="BA663" s="375">
        <v>0</v>
      </c>
      <c r="BB663" s="375">
        <v>9271.2199999999993</v>
      </c>
      <c r="BC663" s="79">
        <v>497.32</v>
      </c>
      <c r="BD663" s="79">
        <v>7672.35</v>
      </c>
      <c r="BE663" s="79">
        <v>1101.55</v>
      </c>
      <c r="BF663" s="79">
        <v>0</v>
      </c>
      <c r="BG663" s="79">
        <v>0</v>
      </c>
      <c r="BH663" s="79">
        <v>0</v>
      </c>
      <c r="BI663" s="79">
        <v>0</v>
      </c>
      <c r="BJ663" s="79">
        <v>0</v>
      </c>
      <c r="BK663" s="79">
        <v>0</v>
      </c>
      <c r="BL663" s="79">
        <v>0</v>
      </c>
      <c r="BM663" s="79">
        <v>0</v>
      </c>
      <c r="BN663" s="79">
        <v>0</v>
      </c>
      <c r="BO663" s="79">
        <v>9271.2199999999993</v>
      </c>
    </row>
    <row r="664" spans="1:67" ht="15" customHeight="1">
      <c r="A664" s="66" t="s">
        <v>2833</v>
      </c>
      <c r="B664" s="66" t="s">
        <v>1030</v>
      </c>
      <c r="C664" s="150" t="s">
        <v>1136</v>
      </c>
      <c r="D664" s="334" t="s">
        <v>1345</v>
      </c>
      <c r="E664" s="334" t="s">
        <v>1344</v>
      </c>
      <c r="F664" s="334" t="s">
        <v>1346</v>
      </c>
      <c r="G664" s="511" t="s">
        <v>1027</v>
      </c>
      <c r="H664" s="451" t="s">
        <v>2830</v>
      </c>
      <c r="I664" s="343"/>
      <c r="J664" s="343"/>
      <c r="K664" s="70" t="s">
        <v>1029</v>
      </c>
      <c r="L664" s="346"/>
      <c r="M664" s="343"/>
      <c r="N664" s="346"/>
      <c r="O664" s="150" t="s">
        <v>25</v>
      </c>
      <c r="P664" s="150"/>
      <c r="Q664" s="453"/>
      <c r="R664" s="406">
        <v>0</v>
      </c>
      <c r="S664" s="406">
        <v>39.089999999999996</v>
      </c>
      <c r="T664" s="425"/>
      <c r="U664" s="71"/>
      <c r="V664" s="427">
        <v>-39.24</v>
      </c>
      <c r="W664" s="427">
        <v>78.33</v>
      </c>
      <c r="X664" s="431">
        <v>0</v>
      </c>
      <c r="Y664" s="428">
        <v>101.53</v>
      </c>
      <c r="Z664" s="429">
        <v>0</v>
      </c>
      <c r="AA664" s="429">
        <v>0</v>
      </c>
      <c r="AB664" s="360">
        <v>0</v>
      </c>
      <c r="AC664" s="360">
        <v>0</v>
      </c>
      <c r="AD664" s="360">
        <v>0</v>
      </c>
      <c r="AE664" s="360">
        <v>0</v>
      </c>
      <c r="AF664" s="360">
        <v>0</v>
      </c>
      <c r="AG664" s="360">
        <v>0</v>
      </c>
      <c r="AH664" s="360">
        <f t="shared" si="33"/>
        <v>140.62</v>
      </c>
      <c r="AI664" s="455">
        <f>ERP_5[[#This Row],[2026 Working Total]]-ERP_5[[#This Row],[LE2 Final Submission]]</f>
        <v>101.53</v>
      </c>
      <c r="AJ664" s="79">
        <v>0</v>
      </c>
      <c r="AK664" s="79">
        <f t="shared" si="32"/>
        <v>0</v>
      </c>
      <c r="AL664" s="374">
        <f>SUM(ERP_5[[#This Row],[AP01]:[AP06]])-SUM(ERP_5[[#This Row],[AP01 LE2]:[AP06 LE2]])</f>
        <v>101.53</v>
      </c>
      <c r="AM664" s="80"/>
      <c r="AN664" s="79">
        <f>ERP_5[[#This Row],[2026 Working Total to Budget/LE]]-ERP_5[[#This Row],[Giveback]]</f>
        <v>101.53</v>
      </c>
      <c r="AO664" s="81"/>
      <c r="AP664" s="375">
        <v>-39.24</v>
      </c>
      <c r="AQ664" s="375">
        <v>78.33</v>
      </c>
      <c r="AR664" s="375">
        <v>0</v>
      </c>
      <c r="AS664" s="375">
        <v>0</v>
      </c>
      <c r="AT664" s="375">
        <v>0</v>
      </c>
      <c r="AU664" s="375">
        <v>0</v>
      </c>
      <c r="AV664" s="375">
        <v>0</v>
      </c>
      <c r="AW664" s="375">
        <v>0</v>
      </c>
      <c r="AX664" s="375">
        <v>0</v>
      </c>
      <c r="AY664" s="375">
        <v>0</v>
      </c>
      <c r="AZ664" s="375">
        <v>0</v>
      </c>
      <c r="BA664" s="375">
        <v>0</v>
      </c>
      <c r="BB664" s="375">
        <v>39.089999999999996</v>
      </c>
      <c r="BC664" s="79">
        <v>-39.24</v>
      </c>
      <c r="BD664" s="79">
        <v>78.33</v>
      </c>
      <c r="BE664" s="79">
        <v>0</v>
      </c>
      <c r="BF664" s="79">
        <v>0</v>
      </c>
      <c r="BG664" s="79">
        <v>0</v>
      </c>
      <c r="BH664" s="79">
        <v>0</v>
      </c>
      <c r="BI664" s="79">
        <v>0</v>
      </c>
      <c r="BJ664" s="79">
        <v>0</v>
      </c>
      <c r="BK664" s="79">
        <v>0</v>
      </c>
      <c r="BL664" s="79">
        <v>0</v>
      </c>
      <c r="BM664" s="79">
        <v>0</v>
      </c>
      <c r="BN664" s="79">
        <v>0</v>
      </c>
      <c r="BO664" s="79">
        <v>39.089999999999996</v>
      </c>
    </row>
    <row r="665" spans="1:67" ht="15" customHeight="1">
      <c r="A665" s="66" t="s">
        <v>2834</v>
      </c>
      <c r="B665" s="66" t="s">
        <v>1031</v>
      </c>
      <c r="C665" s="150" t="s">
        <v>1136</v>
      </c>
      <c r="D665" s="150" t="s">
        <v>1345</v>
      </c>
      <c r="E665" s="150" t="s">
        <v>1515</v>
      </c>
      <c r="F665" s="150" t="s">
        <v>1346</v>
      </c>
      <c r="G665" s="511" t="s">
        <v>1027</v>
      </c>
      <c r="H665" s="451" t="s">
        <v>2830</v>
      </c>
      <c r="I665" s="343"/>
      <c r="J665" s="343"/>
      <c r="K665" s="70" t="s">
        <v>1029</v>
      </c>
      <c r="L665" s="346"/>
      <c r="M665" s="343"/>
      <c r="N665" s="346"/>
      <c r="O665" s="150" t="s">
        <v>25</v>
      </c>
      <c r="P665" s="150"/>
      <c r="Q665" s="453"/>
      <c r="R665" s="406">
        <v>0</v>
      </c>
      <c r="S665" s="406">
        <v>208.93</v>
      </c>
      <c r="T665" s="425"/>
      <c r="U665" s="71"/>
      <c r="V665" s="427">
        <v>-76.86</v>
      </c>
      <c r="W665" s="427">
        <v>111.1</v>
      </c>
      <c r="X665" s="427">
        <v>174.69</v>
      </c>
      <c r="Y665" s="428">
        <v>0</v>
      </c>
      <c r="Z665" s="429">
        <v>108.31</v>
      </c>
      <c r="AA665" s="429">
        <v>60.089999999999996</v>
      </c>
      <c r="AB665" s="360">
        <v>0</v>
      </c>
      <c r="AC665" s="360">
        <v>0</v>
      </c>
      <c r="AD665" s="360">
        <v>0</v>
      </c>
      <c r="AE665" s="360">
        <v>0</v>
      </c>
      <c r="AF665" s="360">
        <v>0</v>
      </c>
      <c r="AG665" s="360">
        <v>0</v>
      </c>
      <c r="AH665" s="360">
        <f t="shared" si="33"/>
        <v>377.33</v>
      </c>
      <c r="AI665" s="455">
        <f>ERP_5[[#This Row],[2026 Working Total]]-ERP_5[[#This Row],[LE2 Final Submission]]</f>
        <v>168.39999999999998</v>
      </c>
      <c r="AJ665" s="79">
        <v>0</v>
      </c>
      <c r="AK665" s="79">
        <f t="shared" si="32"/>
        <v>60.089999999999996</v>
      </c>
      <c r="AL665" s="374">
        <f>SUM(ERP_5[[#This Row],[AP01]:[AP06]])-SUM(ERP_5[[#This Row],[AP01 LE2]:[AP06 LE2]])</f>
        <v>168.39999999999998</v>
      </c>
      <c r="AM665" s="80"/>
      <c r="AN665" s="79">
        <f>ERP_5[[#This Row],[2026 Working Total to Budget/LE]]-ERP_5[[#This Row],[Giveback]]</f>
        <v>168.39999999999998</v>
      </c>
      <c r="AO665" s="81"/>
      <c r="AP665" s="375">
        <v>-76.86</v>
      </c>
      <c r="AQ665" s="375">
        <v>111.1</v>
      </c>
      <c r="AR665" s="375">
        <v>174.69</v>
      </c>
      <c r="AS665" s="375">
        <v>0</v>
      </c>
      <c r="AT665" s="375">
        <v>0</v>
      </c>
      <c r="AU665" s="375">
        <v>0</v>
      </c>
      <c r="AV665" s="375">
        <v>0</v>
      </c>
      <c r="AW665" s="375">
        <v>0</v>
      </c>
      <c r="AX665" s="375">
        <v>0</v>
      </c>
      <c r="AY665" s="375">
        <v>0</v>
      </c>
      <c r="AZ665" s="375">
        <v>0</v>
      </c>
      <c r="BA665" s="375">
        <v>0</v>
      </c>
      <c r="BB665" s="375">
        <v>208.93</v>
      </c>
      <c r="BC665" s="79">
        <v>-76.86</v>
      </c>
      <c r="BD665" s="79">
        <v>111.1</v>
      </c>
      <c r="BE665" s="79">
        <v>174.69</v>
      </c>
      <c r="BF665" s="79">
        <v>0</v>
      </c>
      <c r="BG665" s="79">
        <v>0</v>
      </c>
      <c r="BH665" s="79">
        <v>0</v>
      </c>
      <c r="BI665" s="79">
        <v>0</v>
      </c>
      <c r="BJ665" s="79">
        <v>0</v>
      </c>
      <c r="BK665" s="79">
        <v>0</v>
      </c>
      <c r="BL665" s="79">
        <v>0</v>
      </c>
      <c r="BM665" s="79">
        <v>0</v>
      </c>
      <c r="BN665" s="79">
        <v>0</v>
      </c>
      <c r="BO665" s="79">
        <v>208.93</v>
      </c>
    </row>
    <row r="666" spans="1:67" ht="15" customHeight="1">
      <c r="A666" s="66" t="s">
        <v>1339</v>
      </c>
      <c r="B666" s="66" t="s">
        <v>148</v>
      </c>
      <c r="C666" s="150" t="s">
        <v>1136</v>
      </c>
      <c r="D666" s="150" t="s">
        <v>1135</v>
      </c>
      <c r="E666" s="150" t="s">
        <v>1135</v>
      </c>
      <c r="F666" s="150" t="s">
        <v>1137</v>
      </c>
      <c r="G666" s="511" t="s">
        <v>49</v>
      </c>
      <c r="H666" s="451" t="s">
        <v>1340</v>
      </c>
      <c r="I666" s="343"/>
      <c r="J666" s="343"/>
      <c r="K666" s="70" t="s">
        <v>149</v>
      </c>
      <c r="L666" s="346" t="s">
        <v>1139</v>
      </c>
      <c r="M666" s="343"/>
      <c r="N666" s="346"/>
      <c r="O666" s="150" t="s">
        <v>25</v>
      </c>
      <c r="P666" s="150"/>
      <c r="Q666" s="453"/>
      <c r="R666" s="406">
        <v>0</v>
      </c>
      <c r="S666" s="406">
        <v>-16166.66</v>
      </c>
      <c r="T666" s="425"/>
      <c r="U666" s="71"/>
      <c r="V666" s="427">
        <v>0.34</v>
      </c>
      <c r="W666" s="427">
        <v>-10499.16</v>
      </c>
      <c r="X666" s="427">
        <v>-5667.84</v>
      </c>
      <c r="Y666" s="428">
        <v>0</v>
      </c>
      <c r="Z666" s="429">
        <v>0</v>
      </c>
      <c r="AA666" s="429">
        <v>0</v>
      </c>
      <c r="AB666" s="360">
        <v>0</v>
      </c>
      <c r="AC666" s="360">
        <v>0</v>
      </c>
      <c r="AD666" s="360">
        <v>0</v>
      </c>
      <c r="AE666" s="360">
        <v>0</v>
      </c>
      <c r="AF666" s="360">
        <v>0</v>
      </c>
      <c r="AG666" s="360">
        <v>0</v>
      </c>
      <c r="AH666" s="360">
        <f t="shared" si="33"/>
        <v>-16166.66</v>
      </c>
      <c r="AI666" s="455">
        <f>ERP_5[[#This Row],[2026 Working Total]]-ERP_5[[#This Row],[LE2 Final Submission]]</f>
        <v>0</v>
      </c>
      <c r="AJ666" s="79">
        <v>0</v>
      </c>
      <c r="AK666" s="79">
        <f t="shared" si="32"/>
        <v>0</v>
      </c>
      <c r="AL666" s="374">
        <f>SUM(ERP_5[[#This Row],[AP01]:[AP06]])-SUM(ERP_5[[#This Row],[AP01 LE2]:[AP06 LE2]])</f>
        <v>0</v>
      </c>
      <c r="AM666" s="80"/>
      <c r="AN666" s="79">
        <f>ERP_5[[#This Row],[2026 Working Total to Budget/LE]]-ERP_5[[#This Row],[Giveback]]</f>
        <v>0</v>
      </c>
      <c r="AO666" s="81"/>
      <c r="AP666" s="375">
        <v>0.34</v>
      </c>
      <c r="AQ666" s="375">
        <v>-10499.16</v>
      </c>
      <c r="AR666" s="375">
        <v>-5667.84</v>
      </c>
      <c r="AS666" s="375">
        <v>0</v>
      </c>
      <c r="AT666" s="375">
        <v>0</v>
      </c>
      <c r="AU666" s="375">
        <v>0</v>
      </c>
      <c r="AV666" s="375">
        <v>0</v>
      </c>
      <c r="AW666" s="375">
        <v>0</v>
      </c>
      <c r="AX666" s="375">
        <v>0</v>
      </c>
      <c r="AY666" s="375">
        <v>0</v>
      </c>
      <c r="AZ666" s="375">
        <v>0</v>
      </c>
      <c r="BA666" s="375">
        <v>0</v>
      </c>
      <c r="BB666" s="375">
        <v>-16166.66</v>
      </c>
      <c r="BC666" s="79">
        <v>0.34</v>
      </c>
      <c r="BD666" s="79">
        <v>-10499.16</v>
      </c>
      <c r="BE666" s="79">
        <v>-5667.84</v>
      </c>
      <c r="BF666" s="79">
        <v>0</v>
      </c>
      <c r="BG666" s="79">
        <v>0</v>
      </c>
      <c r="BH666" s="79">
        <v>0</v>
      </c>
      <c r="BI666" s="79">
        <v>0</v>
      </c>
      <c r="BJ666" s="79">
        <v>0</v>
      </c>
      <c r="BK666" s="79">
        <v>0</v>
      </c>
      <c r="BL666" s="79">
        <v>0</v>
      </c>
      <c r="BM666" s="79">
        <v>0</v>
      </c>
      <c r="BN666" s="79">
        <v>0</v>
      </c>
      <c r="BO666" s="79">
        <v>-16166.66</v>
      </c>
    </row>
    <row r="667" spans="1:67" ht="15" customHeight="1">
      <c r="A667" s="66" t="s">
        <v>2842</v>
      </c>
      <c r="B667" s="66" t="s">
        <v>2843</v>
      </c>
      <c r="C667" s="150" t="s">
        <v>1136</v>
      </c>
      <c r="D667" s="150" t="s">
        <v>1567</v>
      </c>
      <c r="E667" s="150" t="s">
        <v>1567</v>
      </c>
      <c r="F667" s="150" t="s">
        <v>1567</v>
      </c>
      <c r="G667" s="511" t="s">
        <v>1027</v>
      </c>
      <c r="H667" s="451" t="s">
        <v>2830</v>
      </c>
      <c r="I667" s="343"/>
      <c r="J667" s="343"/>
      <c r="K667" s="70" t="s">
        <v>1029</v>
      </c>
      <c r="L667" s="346"/>
      <c r="M667" s="343"/>
      <c r="N667" s="346"/>
      <c r="O667" s="150" t="s">
        <v>25</v>
      </c>
      <c r="P667" s="150"/>
      <c r="Q667" s="453"/>
      <c r="R667" s="406">
        <v>3200</v>
      </c>
      <c r="S667" s="406">
        <v>4217.2800000000007</v>
      </c>
      <c r="T667" s="425"/>
      <c r="U667" s="71"/>
      <c r="V667" s="427">
        <v>470.66</v>
      </c>
      <c r="W667" s="427">
        <v>1081.01</v>
      </c>
      <c r="X667" s="427">
        <v>665.61</v>
      </c>
      <c r="Y667" s="428">
        <v>309.95</v>
      </c>
      <c r="Z667" s="429">
        <v>41.64</v>
      </c>
      <c r="AA667" s="429">
        <v>76.3</v>
      </c>
      <c r="AB667" s="363">
        <v>200</v>
      </c>
      <c r="AC667" s="363">
        <v>200</v>
      </c>
      <c r="AD667" s="363">
        <v>200</v>
      </c>
      <c r="AE667" s="363">
        <v>200</v>
      </c>
      <c r="AF667" s="363">
        <v>200</v>
      </c>
      <c r="AG667" s="363">
        <v>200</v>
      </c>
      <c r="AH667" s="360">
        <f t="shared" si="33"/>
        <v>3845.17</v>
      </c>
      <c r="AI667" s="455">
        <f>ERP_5[[#This Row],[2026 Working Total]]-ERP_5[[#This Row],[LE2 Final Submission]]</f>
        <v>-372.11000000000058</v>
      </c>
      <c r="AJ667" s="79">
        <v>300</v>
      </c>
      <c r="AK667" s="79">
        <f t="shared" si="32"/>
        <v>-223.7</v>
      </c>
      <c r="AL667" s="374">
        <f>SUM(ERP_5[[#This Row],[AP01]:[AP06]])-SUM(ERP_5[[#This Row],[AP01 LE2]:[AP06 LE2]])</f>
        <v>-372.11000000000013</v>
      </c>
      <c r="AM667" s="80"/>
      <c r="AN667" s="79">
        <f>ERP_5[[#This Row],[2026 Working Total to Budget/LE]]-ERP_5[[#This Row],[Giveback]]</f>
        <v>-372.11000000000058</v>
      </c>
      <c r="AO667" s="81"/>
      <c r="AP667" s="375">
        <v>470.66</v>
      </c>
      <c r="AQ667" s="375">
        <v>1081.01</v>
      </c>
      <c r="AR667" s="375">
        <v>665.61</v>
      </c>
      <c r="AS667" s="375">
        <v>200</v>
      </c>
      <c r="AT667" s="375">
        <v>300</v>
      </c>
      <c r="AU667" s="375">
        <v>300</v>
      </c>
      <c r="AV667" s="375">
        <v>200</v>
      </c>
      <c r="AW667" s="375">
        <v>200</v>
      </c>
      <c r="AX667" s="375">
        <v>200</v>
      </c>
      <c r="AY667" s="375">
        <v>200</v>
      </c>
      <c r="AZ667" s="375">
        <v>200</v>
      </c>
      <c r="BA667" s="375">
        <v>200</v>
      </c>
      <c r="BB667" s="375">
        <v>4217.2800000000007</v>
      </c>
      <c r="BC667" s="79">
        <v>470.66</v>
      </c>
      <c r="BD667" s="79">
        <v>1081.01</v>
      </c>
      <c r="BE667" s="79">
        <v>665.61</v>
      </c>
      <c r="BF667" s="79">
        <v>200</v>
      </c>
      <c r="BG667" s="79">
        <v>300</v>
      </c>
      <c r="BH667" s="79">
        <v>300</v>
      </c>
      <c r="BI667" s="79">
        <v>200</v>
      </c>
      <c r="BJ667" s="79">
        <v>200</v>
      </c>
      <c r="BK667" s="79">
        <v>200</v>
      </c>
      <c r="BL667" s="79">
        <v>200</v>
      </c>
      <c r="BM667" s="79">
        <v>200</v>
      </c>
      <c r="BN667" s="79">
        <v>200</v>
      </c>
      <c r="BO667" s="79">
        <v>4217.2800000000007</v>
      </c>
    </row>
    <row r="668" spans="1:67" ht="15" customHeight="1">
      <c r="A668" s="66" t="s">
        <v>2844</v>
      </c>
      <c r="B668" s="66" t="s">
        <v>1035</v>
      </c>
      <c r="C668" s="150" t="s">
        <v>1136</v>
      </c>
      <c r="D668" s="150" t="s">
        <v>1650</v>
      </c>
      <c r="E668" s="150" t="s">
        <v>1650</v>
      </c>
      <c r="F668" s="150" t="s">
        <v>1650</v>
      </c>
      <c r="G668" s="511" t="s">
        <v>1027</v>
      </c>
      <c r="H668" s="451" t="s">
        <v>2830</v>
      </c>
      <c r="I668" s="343"/>
      <c r="J668" s="343"/>
      <c r="K668" s="70" t="s">
        <v>1029</v>
      </c>
      <c r="L668" s="346"/>
      <c r="M668" s="343"/>
      <c r="N668" s="346"/>
      <c r="O668" s="150" t="s">
        <v>25</v>
      </c>
      <c r="P668" s="150"/>
      <c r="Q668" s="453"/>
      <c r="R668" s="406">
        <v>18800</v>
      </c>
      <c r="S668" s="406">
        <v>15498</v>
      </c>
      <c r="T668" s="425"/>
      <c r="U668" s="71"/>
      <c r="V668" s="427">
        <v>102</v>
      </c>
      <c r="W668" s="427">
        <v>121</v>
      </c>
      <c r="X668" s="427">
        <v>675</v>
      </c>
      <c r="Y668" s="428">
        <v>1883.5499999999997</v>
      </c>
      <c r="Z668" s="429">
        <v>861.93999999999994</v>
      </c>
      <c r="AA668" s="429">
        <v>234.03</v>
      </c>
      <c r="AB668" s="363">
        <v>1500</v>
      </c>
      <c r="AC668" s="363">
        <v>1700</v>
      </c>
      <c r="AD668" s="363">
        <v>1700</v>
      </c>
      <c r="AE668" s="363">
        <v>1700</v>
      </c>
      <c r="AF668" s="363">
        <v>1700</v>
      </c>
      <c r="AG668" s="363">
        <v>1700</v>
      </c>
      <c r="AH668" s="360">
        <f t="shared" si="33"/>
        <v>13877.52</v>
      </c>
      <c r="AI668" s="455">
        <f>ERP_5[[#This Row],[2026 Working Total]]-ERP_5[[#This Row],[LE2 Final Submission]]</f>
        <v>-1620.4799999999996</v>
      </c>
      <c r="AJ668" s="79">
        <v>1500</v>
      </c>
      <c r="AK668" s="79">
        <f t="shared" si="32"/>
        <v>-1265.97</v>
      </c>
      <c r="AL668" s="374">
        <f>SUM(ERP_5[[#This Row],[AP01]:[AP06]])-SUM(ERP_5[[#This Row],[AP01 LE2]:[AP06 LE2]])</f>
        <v>-1620.48</v>
      </c>
      <c r="AM668" s="80"/>
      <c r="AN668" s="79">
        <f>ERP_5[[#This Row],[2026 Working Total to Budget/LE]]-ERP_5[[#This Row],[Giveback]]</f>
        <v>-1620.4799999999996</v>
      </c>
      <c r="AO668" s="81"/>
      <c r="AP668" s="375">
        <v>102</v>
      </c>
      <c r="AQ668" s="375">
        <v>121</v>
      </c>
      <c r="AR668" s="375">
        <v>675</v>
      </c>
      <c r="AS668" s="375">
        <v>1600</v>
      </c>
      <c r="AT668" s="375">
        <v>1500</v>
      </c>
      <c r="AU668" s="375">
        <v>1500</v>
      </c>
      <c r="AV668" s="375">
        <v>1500</v>
      </c>
      <c r="AW668" s="375">
        <v>1700</v>
      </c>
      <c r="AX668" s="375">
        <v>1700</v>
      </c>
      <c r="AY668" s="375">
        <v>1700</v>
      </c>
      <c r="AZ668" s="375">
        <v>1700</v>
      </c>
      <c r="BA668" s="375">
        <v>1700</v>
      </c>
      <c r="BB668" s="375">
        <v>15498</v>
      </c>
      <c r="BC668" s="79">
        <v>102</v>
      </c>
      <c r="BD668" s="79">
        <v>121</v>
      </c>
      <c r="BE668" s="79">
        <v>675</v>
      </c>
      <c r="BF668" s="79">
        <v>1600</v>
      </c>
      <c r="BG668" s="79">
        <v>1500</v>
      </c>
      <c r="BH668" s="79">
        <v>1500</v>
      </c>
      <c r="BI668" s="79">
        <v>1500</v>
      </c>
      <c r="BJ668" s="79">
        <v>1700</v>
      </c>
      <c r="BK668" s="79">
        <v>1700</v>
      </c>
      <c r="BL668" s="79">
        <v>1700</v>
      </c>
      <c r="BM668" s="79">
        <v>1700</v>
      </c>
      <c r="BN668" s="79">
        <v>1700</v>
      </c>
      <c r="BO668" s="79">
        <v>15498</v>
      </c>
    </row>
    <row r="669" spans="1:67" ht="15" customHeight="1">
      <c r="A669" s="66" t="s">
        <v>2860</v>
      </c>
      <c r="B669" s="66" t="s">
        <v>2861</v>
      </c>
      <c r="C669" s="150" t="s">
        <v>1136</v>
      </c>
      <c r="D669" s="150" t="s">
        <v>1345</v>
      </c>
      <c r="E669" s="150" t="s">
        <v>1346</v>
      </c>
      <c r="F669" s="150" t="s">
        <v>1346</v>
      </c>
      <c r="G669" s="511" t="s">
        <v>1037</v>
      </c>
      <c r="H669" s="451" t="s">
        <v>2846</v>
      </c>
      <c r="I669" s="343"/>
      <c r="J669" s="343"/>
      <c r="K669" s="70" t="s">
        <v>1039</v>
      </c>
      <c r="L669" s="346"/>
      <c r="M669" s="346" t="s">
        <v>1140</v>
      </c>
      <c r="N669" s="346"/>
      <c r="O669" s="150" t="s">
        <v>1040</v>
      </c>
      <c r="P669" s="150"/>
      <c r="Q669" s="475"/>
      <c r="R669" s="406">
        <v>0</v>
      </c>
      <c r="S669" s="406">
        <v>23976.370000000003</v>
      </c>
      <c r="T669" s="425"/>
      <c r="U669" s="71"/>
      <c r="V669" s="427">
        <v>10095.790000000001</v>
      </c>
      <c r="W669" s="427">
        <v>9921.4500000000007</v>
      </c>
      <c r="X669" s="427">
        <v>3959.13</v>
      </c>
      <c r="Y669" s="428">
        <v>7339.65</v>
      </c>
      <c r="Z669" s="429">
        <v>-891.2900000000003</v>
      </c>
      <c r="AA669" s="429">
        <v>4400.72</v>
      </c>
      <c r="AB669" s="360">
        <v>0</v>
      </c>
      <c r="AC669" s="360">
        <v>0</v>
      </c>
      <c r="AD669" s="360">
        <v>0</v>
      </c>
      <c r="AE669" s="360">
        <v>0</v>
      </c>
      <c r="AF669" s="360">
        <v>0</v>
      </c>
      <c r="AG669" s="360">
        <v>0</v>
      </c>
      <c r="AH669" s="360">
        <f t="shared" si="33"/>
        <v>34825.450000000004</v>
      </c>
      <c r="AI669" s="455">
        <f>ERP_5[[#This Row],[2026 Working Total]]-ERP_5[[#This Row],[LE2 Final Submission]]</f>
        <v>10849.080000000002</v>
      </c>
      <c r="AJ669" s="79">
        <v>0</v>
      </c>
      <c r="AK669" s="79">
        <f t="shared" si="32"/>
        <v>4400.72</v>
      </c>
      <c r="AL669" s="374">
        <f>SUM(ERP_5[[#This Row],[AP01]:[AP06]])-SUM(ERP_5[[#This Row],[AP01 LE2]:[AP06 LE2]])</f>
        <v>10849.080000000002</v>
      </c>
      <c r="AM669" s="80"/>
      <c r="AN669" s="79">
        <f>ERP_5[[#This Row],[2026 Working Total to Budget/LE]]-ERP_5[[#This Row],[Giveback]]</f>
        <v>10849.080000000002</v>
      </c>
      <c r="AO669" s="81"/>
      <c r="AP669" s="375">
        <v>10095.790000000001</v>
      </c>
      <c r="AQ669" s="375">
        <v>9921.4500000000007</v>
      </c>
      <c r="AR669" s="375">
        <v>3959.13</v>
      </c>
      <c r="AS669" s="375">
        <v>0</v>
      </c>
      <c r="AT669" s="375">
        <v>0</v>
      </c>
      <c r="AU669" s="375">
        <v>0</v>
      </c>
      <c r="AV669" s="375">
        <v>0</v>
      </c>
      <c r="AW669" s="375">
        <v>0</v>
      </c>
      <c r="AX669" s="375">
        <v>0</v>
      </c>
      <c r="AY669" s="375">
        <v>0</v>
      </c>
      <c r="AZ669" s="375">
        <v>0</v>
      </c>
      <c r="BA669" s="375">
        <v>0</v>
      </c>
      <c r="BB669" s="375">
        <v>23976.370000000003</v>
      </c>
      <c r="BC669" s="79">
        <v>10095.790000000001</v>
      </c>
      <c r="BD669" s="79">
        <v>9921.4500000000007</v>
      </c>
      <c r="BE669" s="79">
        <v>3959.13</v>
      </c>
      <c r="BF669" s="79">
        <v>0</v>
      </c>
      <c r="BG669" s="79">
        <v>0</v>
      </c>
      <c r="BH669" s="79">
        <v>0</v>
      </c>
      <c r="BI669" s="79">
        <v>0</v>
      </c>
      <c r="BJ669" s="79">
        <v>0</v>
      </c>
      <c r="BK669" s="79">
        <v>0</v>
      </c>
      <c r="BL669" s="79">
        <v>0</v>
      </c>
      <c r="BM669" s="79">
        <v>0</v>
      </c>
      <c r="BN669" s="79">
        <v>0</v>
      </c>
      <c r="BO669" s="79">
        <v>23976.370000000003</v>
      </c>
    </row>
    <row r="670" spans="1:67" ht="15" customHeight="1">
      <c r="A670" s="66" t="s">
        <v>1341</v>
      </c>
      <c r="B670" s="66" t="s">
        <v>1342</v>
      </c>
      <c r="C670" s="150" t="s">
        <v>1136</v>
      </c>
      <c r="D670" s="150" t="s">
        <v>1135</v>
      </c>
      <c r="E670" s="150" t="s">
        <v>1156</v>
      </c>
      <c r="F670" s="150" t="s">
        <v>1137</v>
      </c>
      <c r="G670" s="511" t="s">
        <v>49</v>
      </c>
      <c r="H670" s="451" t="s">
        <v>1340</v>
      </c>
      <c r="I670" s="343"/>
      <c r="J670" s="343"/>
      <c r="K670" s="70" t="s">
        <v>149</v>
      </c>
      <c r="L670" s="346" t="s">
        <v>1139</v>
      </c>
      <c r="M670" s="343"/>
      <c r="N670" s="346"/>
      <c r="O670" s="150" t="s">
        <v>25</v>
      </c>
      <c r="P670" s="150"/>
      <c r="Q670" s="453"/>
      <c r="R670" s="406">
        <v>0</v>
      </c>
      <c r="S670" s="406">
        <v>-14694</v>
      </c>
      <c r="T670" s="425"/>
      <c r="U670" s="71"/>
      <c r="V670" s="427"/>
      <c r="W670" s="427"/>
      <c r="X670" s="427">
        <v>-14694</v>
      </c>
      <c r="Y670" s="428">
        <v>0</v>
      </c>
      <c r="Z670" s="429">
        <v>0</v>
      </c>
      <c r="AA670" s="429">
        <v>0</v>
      </c>
      <c r="AB670" s="360">
        <v>0</v>
      </c>
      <c r="AC670" s="360">
        <v>0</v>
      </c>
      <c r="AD670" s="360">
        <v>0</v>
      </c>
      <c r="AE670" s="360">
        <v>0</v>
      </c>
      <c r="AF670" s="360">
        <v>0</v>
      </c>
      <c r="AG670" s="360">
        <v>0</v>
      </c>
      <c r="AH670" s="360">
        <f t="shared" si="33"/>
        <v>-14694</v>
      </c>
      <c r="AI670" s="455">
        <f>ERP_5[[#This Row],[2026 Working Total]]-ERP_5[[#This Row],[LE2 Final Submission]]</f>
        <v>0</v>
      </c>
      <c r="AJ670" s="79">
        <v>0</v>
      </c>
      <c r="AK670" s="79">
        <f t="shared" si="32"/>
        <v>0</v>
      </c>
      <c r="AL670" s="374">
        <f>SUM(ERP_5[[#This Row],[AP01]:[AP06]])-SUM(ERP_5[[#This Row],[AP01 LE2]:[AP06 LE2]])</f>
        <v>0</v>
      </c>
      <c r="AM670" s="80"/>
      <c r="AN670" s="79">
        <f>ERP_5[[#This Row],[2026 Working Total to Budget/LE]]-ERP_5[[#This Row],[Giveback]]</f>
        <v>0</v>
      </c>
      <c r="AO670" s="81"/>
      <c r="AP670" s="375"/>
      <c r="AQ670" s="375"/>
      <c r="AR670" s="375">
        <v>-14694</v>
      </c>
      <c r="AS670" s="375">
        <v>0</v>
      </c>
      <c r="AT670" s="375">
        <v>0</v>
      </c>
      <c r="AU670" s="375">
        <v>0</v>
      </c>
      <c r="AV670" s="375">
        <v>0</v>
      </c>
      <c r="AW670" s="375">
        <v>0</v>
      </c>
      <c r="AX670" s="375">
        <v>0</v>
      </c>
      <c r="AY670" s="375">
        <v>0</v>
      </c>
      <c r="AZ670" s="375">
        <v>0</v>
      </c>
      <c r="BA670" s="375">
        <v>0</v>
      </c>
      <c r="BB670" s="375">
        <v>-14694</v>
      </c>
      <c r="BC670" s="79"/>
      <c r="BD670" s="79"/>
      <c r="BE670" s="79">
        <v>-14694</v>
      </c>
      <c r="BF670" s="79">
        <v>0</v>
      </c>
      <c r="BG670" s="79">
        <v>0</v>
      </c>
      <c r="BH670" s="79">
        <v>0</v>
      </c>
      <c r="BI670" s="79">
        <v>0</v>
      </c>
      <c r="BJ670" s="79">
        <v>0</v>
      </c>
      <c r="BK670" s="79">
        <v>0</v>
      </c>
      <c r="BL670" s="79">
        <v>0</v>
      </c>
      <c r="BM670" s="79">
        <v>0</v>
      </c>
      <c r="BN670" s="79">
        <v>0</v>
      </c>
      <c r="BO670" s="79">
        <v>-14694</v>
      </c>
    </row>
    <row r="671" spans="1:67" s="15" customFormat="1" ht="15" customHeight="1">
      <c r="A671" s="66" t="s">
        <v>2849</v>
      </c>
      <c r="B671" s="66" t="s">
        <v>1041</v>
      </c>
      <c r="C671" s="150" t="s">
        <v>1136</v>
      </c>
      <c r="D671" s="150" t="s">
        <v>1345</v>
      </c>
      <c r="E671" s="150" t="s">
        <v>1344</v>
      </c>
      <c r="F671" s="150" t="s">
        <v>1346</v>
      </c>
      <c r="G671" s="511" t="s">
        <v>1037</v>
      </c>
      <c r="H671" s="451" t="s">
        <v>2846</v>
      </c>
      <c r="I671" s="343"/>
      <c r="J671" s="343"/>
      <c r="K671" s="70" t="s">
        <v>1039</v>
      </c>
      <c r="L671" s="346"/>
      <c r="M671" s="346" t="s">
        <v>1140</v>
      </c>
      <c r="N671" s="346"/>
      <c r="O671" s="150" t="s">
        <v>1040</v>
      </c>
      <c r="P671" s="150"/>
      <c r="Q671" s="453"/>
      <c r="R671" s="406">
        <v>0</v>
      </c>
      <c r="S671" s="406">
        <v>995.34</v>
      </c>
      <c r="T671" s="425"/>
      <c r="U671" s="71"/>
      <c r="V671" s="427">
        <v>948.99</v>
      </c>
      <c r="W671" s="431">
        <v>0</v>
      </c>
      <c r="X671" s="427">
        <v>46.35</v>
      </c>
      <c r="Y671" s="428">
        <v>0</v>
      </c>
      <c r="Z671" s="429">
        <v>0</v>
      </c>
      <c r="AA671" s="429">
        <v>0</v>
      </c>
      <c r="AB671" s="360">
        <v>0</v>
      </c>
      <c r="AC671" s="360">
        <v>0</v>
      </c>
      <c r="AD671" s="360">
        <v>0</v>
      </c>
      <c r="AE671" s="360">
        <v>0</v>
      </c>
      <c r="AF671" s="360">
        <v>0</v>
      </c>
      <c r="AG671" s="360">
        <v>0</v>
      </c>
      <c r="AH671" s="360">
        <f t="shared" si="33"/>
        <v>995.34</v>
      </c>
      <c r="AI671" s="455">
        <f>ERP_5[[#This Row],[2026 Working Total]]-ERP_5[[#This Row],[LE2 Final Submission]]</f>
        <v>0</v>
      </c>
      <c r="AJ671" s="79">
        <v>0</v>
      </c>
      <c r="AK671" s="79">
        <f t="shared" si="32"/>
        <v>0</v>
      </c>
      <c r="AL671" s="374">
        <f>SUM(ERP_5[[#This Row],[AP01]:[AP06]])-SUM(ERP_5[[#This Row],[AP01 LE2]:[AP06 LE2]])</f>
        <v>0</v>
      </c>
      <c r="AM671" s="80"/>
      <c r="AN671" s="79">
        <f>ERP_5[[#This Row],[2026 Working Total to Budget/LE]]-ERP_5[[#This Row],[Giveback]]</f>
        <v>0</v>
      </c>
      <c r="AO671" s="81"/>
      <c r="AP671" s="375">
        <v>948.99</v>
      </c>
      <c r="AQ671" s="375">
        <v>0</v>
      </c>
      <c r="AR671" s="375">
        <v>46.35</v>
      </c>
      <c r="AS671" s="375">
        <v>0</v>
      </c>
      <c r="AT671" s="375">
        <v>0</v>
      </c>
      <c r="AU671" s="375">
        <v>0</v>
      </c>
      <c r="AV671" s="375">
        <v>0</v>
      </c>
      <c r="AW671" s="375">
        <v>0</v>
      </c>
      <c r="AX671" s="375">
        <v>0</v>
      </c>
      <c r="AY671" s="375">
        <v>0</v>
      </c>
      <c r="AZ671" s="375">
        <v>0</v>
      </c>
      <c r="BA671" s="375">
        <v>0</v>
      </c>
      <c r="BB671" s="375">
        <v>995.34</v>
      </c>
      <c r="BC671" s="79">
        <v>948.99</v>
      </c>
      <c r="BD671" s="79">
        <v>0</v>
      </c>
      <c r="BE671" s="79">
        <v>46.35</v>
      </c>
      <c r="BF671" s="79">
        <v>0</v>
      </c>
      <c r="BG671" s="79">
        <v>0</v>
      </c>
      <c r="BH671" s="79">
        <v>0</v>
      </c>
      <c r="BI671" s="79">
        <v>0</v>
      </c>
      <c r="BJ671" s="79">
        <v>0</v>
      </c>
      <c r="BK671" s="79">
        <v>0</v>
      </c>
      <c r="BL671" s="79">
        <v>0</v>
      </c>
      <c r="BM671" s="79">
        <v>0</v>
      </c>
      <c r="BN671" s="79">
        <v>0</v>
      </c>
      <c r="BO671" s="79">
        <v>995.34</v>
      </c>
    </row>
    <row r="672" spans="1:67" ht="15" customHeight="1">
      <c r="A672" s="66" t="s">
        <v>2850</v>
      </c>
      <c r="B672" s="66" t="s">
        <v>1042</v>
      </c>
      <c r="C672" s="150" t="s">
        <v>1136</v>
      </c>
      <c r="D672" s="150" t="s">
        <v>1345</v>
      </c>
      <c r="E672" s="150" t="s">
        <v>1515</v>
      </c>
      <c r="F672" s="150" t="s">
        <v>1346</v>
      </c>
      <c r="G672" s="511" t="s">
        <v>1037</v>
      </c>
      <c r="H672" s="451" t="s">
        <v>2846</v>
      </c>
      <c r="I672" s="343"/>
      <c r="J672" s="343"/>
      <c r="K672" s="70" t="s">
        <v>1039</v>
      </c>
      <c r="L672" s="346"/>
      <c r="M672" s="346" t="s">
        <v>1140</v>
      </c>
      <c r="N672" s="346"/>
      <c r="O672" s="150" t="s">
        <v>1040</v>
      </c>
      <c r="P672" s="150"/>
      <c r="Q672" s="453"/>
      <c r="R672" s="406">
        <v>0</v>
      </c>
      <c r="S672" s="406">
        <v>1947.4499999999998</v>
      </c>
      <c r="T672" s="425"/>
      <c r="U672" s="71"/>
      <c r="V672" s="427">
        <v>1400.32</v>
      </c>
      <c r="W672" s="427">
        <v>547.13</v>
      </c>
      <c r="X672" s="431">
        <v>0</v>
      </c>
      <c r="Y672" s="428">
        <v>0</v>
      </c>
      <c r="Z672" s="429">
        <v>0</v>
      </c>
      <c r="AA672" s="429">
        <v>0</v>
      </c>
      <c r="AB672" s="360">
        <v>0</v>
      </c>
      <c r="AC672" s="360">
        <v>0</v>
      </c>
      <c r="AD672" s="360">
        <v>0</v>
      </c>
      <c r="AE672" s="360">
        <v>0</v>
      </c>
      <c r="AF672" s="360">
        <v>0</v>
      </c>
      <c r="AG672" s="360">
        <v>0</v>
      </c>
      <c r="AH672" s="360">
        <f t="shared" si="33"/>
        <v>1947.4499999999998</v>
      </c>
      <c r="AI672" s="455">
        <f>ERP_5[[#This Row],[2026 Working Total]]-ERP_5[[#This Row],[LE2 Final Submission]]</f>
        <v>0</v>
      </c>
      <c r="AJ672" s="79">
        <v>0</v>
      </c>
      <c r="AK672" s="79">
        <f t="shared" si="32"/>
        <v>0</v>
      </c>
      <c r="AL672" s="374">
        <f>SUM(ERP_5[[#This Row],[AP01]:[AP06]])-SUM(ERP_5[[#This Row],[AP01 LE2]:[AP06 LE2]])</f>
        <v>0</v>
      </c>
      <c r="AM672" s="80"/>
      <c r="AN672" s="79">
        <f>ERP_5[[#This Row],[2026 Working Total to Budget/LE]]-ERP_5[[#This Row],[Giveback]]</f>
        <v>0</v>
      </c>
      <c r="AO672" s="81"/>
      <c r="AP672" s="375">
        <v>1400.32</v>
      </c>
      <c r="AQ672" s="375">
        <v>547.13</v>
      </c>
      <c r="AR672" s="375">
        <v>0</v>
      </c>
      <c r="AS672" s="375">
        <v>0</v>
      </c>
      <c r="AT672" s="375">
        <v>0</v>
      </c>
      <c r="AU672" s="375">
        <v>0</v>
      </c>
      <c r="AV672" s="375">
        <v>0</v>
      </c>
      <c r="AW672" s="375">
        <v>0</v>
      </c>
      <c r="AX672" s="375">
        <v>0</v>
      </c>
      <c r="AY672" s="375">
        <v>0</v>
      </c>
      <c r="AZ672" s="375">
        <v>0</v>
      </c>
      <c r="BA672" s="375">
        <v>0</v>
      </c>
      <c r="BB672" s="375">
        <v>1947.4499999999998</v>
      </c>
      <c r="BC672" s="79">
        <v>1400.32</v>
      </c>
      <c r="BD672" s="79">
        <v>547.13</v>
      </c>
      <c r="BE672" s="79">
        <v>0</v>
      </c>
      <c r="BF672" s="79">
        <v>0</v>
      </c>
      <c r="BG672" s="79">
        <v>0</v>
      </c>
      <c r="BH672" s="79">
        <v>0</v>
      </c>
      <c r="BI672" s="79">
        <v>0</v>
      </c>
      <c r="BJ672" s="79">
        <v>0</v>
      </c>
      <c r="BK672" s="79">
        <v>0</v>
      </c>
      <c r="BL672" s="79">
        <v>0</v>
      </c>
      <c r="BM672" s="79">
        <v>0</v>
      </c>
      <c r="BN672" s="79">
        <v>0</v>
      </c>
      <c r="BO672" s="79">
        <v>1947.4499999999998</v>
      </c>
    </row>
    <row r="673" spans="1:67" ht="15" customHeight="1">
      <c r="A673" s="66" t="s">
        <v>2829</v>
      </c>
      <c r="B673" s="66" t="s">
        <v>1028</v>
      </c>
      <c r="C673" s="150" t="s">
        <v>1136</v>
      </c>
      <c r="D673" s="150" t="s">
        <v>1135</v>
      </c>
      <c r="E673" s="150" t="s">
        <v>1135</v>
      </c>
      <c r="F673" s="150" t="s">
        <v>1137</v>
      </c>
      <c r="G673" s="511" t="s">
        <v>1027</v>
      </c>
      <c r="H673" s="451" t="s">
        <v>2830</v>
      </c>
      <c r="I673" s="343"/>
      <c r="J673" s="343"/>
      <c r="K673" s="70" t="s">
        <v>1029</v>
      </c>
      <c r="L673" s="346"/>
      <c r="M673" s="343"/>
      <c r="N673" s="346"/>
      <c r="O673" s="150" t="s">
        <v>25</v>
      </c>
      <c r="P673" s="150"/>
      <c r="Q673" s="453"/>
      <c r="R673" s="406">
        <v>0</v>
      </c>
      <c r="S673" s="406">
        <v>4741</v>
      </c>
      <c r="T673" s="425"/>
      <c r="U673" s="71"/>
      <c r="V673" s="427">
        <v>876</v>
      </c>
      <c r="W673" s="427">
        <v>1712</v>
      </c>
      <c r="X673" s="427">
        <v>2153</v>
      </c>
      <c r="Y673" s="428">
        <v>1577</v>
      </c>
      <c r="Z673" s="429">
        <v>1546.0000000000002</v>
      </c>
      <c r="AA673" s="429">
        <v>2107.0000000000005</v>
      </c>
      <c r="AB673" s="360">
        <v>0</v>
      </c>
      <c r="AC673" s="360">
        <v>0</v>
      </c>
      <c r="AD673" s="360">
        <v>0</v>
      </c>
      <c r="AE673" s="360">
        <v>0</v>
      </c>
      <c r="AF673" s="360">
        <v>0</v>
      </c>
      <c r="AG673" s="360">
        <v>0</v>
      </c>
      <c r="AH673" s="360">
        <f t="shared" si="33"/>
        <v>9971</v>
      </c>
      <c r="AI673" s="455">
        <f>ERP_5[[#This Row],[2026 Working Total]]-ERP_5[[#This Row],[LE2 Final Submission]]</f>
        <v>5230</v>
      </c>
      <c r="AJ673" s="79">
        <v>0</v>
      </c>
      <c r="AK673" s="79">
        <f t="shared" si="32"/>
        <v>2107.0000000000005</v>
      </c>
      <c r="AL673" s="374">
        <f>SUM(ERP_5[[#This Row],[AP01]:[AP06]])-SUM(ERP_5[[#This Row],[AP01 LE2]:[AP06 LE2]])</f>
        <v>5230</v>
      </c>
      <c r="AM673" s="80"/>
      <c r="AN673" s="79">
        <f>ERP_5[[#This Row],[2026 Working Total to Budget/LE]]-ERP_5[[#This Row],[Giveback]]</f>
        <v>5230</v>
      </c>
      <c r="AO673" s="81"/>
      <c r="AP673" s="375">
        <v>876</v>
      </c>
      <c r="AQ673" s="375">
        <v>1712</v>
      </c>
      <c r="AR673" s="375">
        <v>2153</v>
      </c>
      <c r="AS673" s="375">
        <v>0</v>
      </c>
      <c r="AT673" s="375">
        <v>0</v>
      </c>
      <c r="AU673" s="375">
        <v>0</v>
      </c>
      <c r="AV673" s="375">
        <v>0</v>
      </c>
      <c r="AW673" s="375">
        <v>0</v>
      </c>
      <c r="AX673" s="375">
        <v>0</v>
      </c>
      <c r="AY673" s="375">
        <v>0</v>
      </c>
      <c r="AZ673" s="375">
        <v>0</v>
      </c>
      <c r="BA673" s="375">
        <v>0</v>
      </c>
      <c r="BB673" s="375">
        <v>4741</v>
      </c>
      <c r="BC673" s="79">
        <v>876</v>
      </c>
      <c r="BD673" s="79">
        <v>1712</v>
      </c>
      <c r="BE673" s="79">
        <v>2153</v>
      </c>
      <c r="BF673" s="79">
        <v>0</v>
      </c>
      <c r="BG673" s="79">
        <v>0</v>
      </c>
      <c r="BH673" s="79">
        <v>0</v>
      </c>
      <c r="BI673" s="79">
        <v>0</v>
      </c>
      <c r="BJ673" s="79">
        <v>0</v>
      </c>
      <c r="BK673" s="79">
        <v>0</v>
      </c>
      <c r="BL673" s="79">
        <v>0</v>
      </c>
      <c r="BM673" s="79">
        <v>0</v>
      </c>
      <c r="BN673" s="79">
        <v>0</v>
      </c>
      <c r="BO673" s="79">
        <v>4741</v>
      </c>
    </row>
    <row r="674" spans="1:67" ht="15" customHeight="1">
      <c r="A674" s="66" t="s">
        <v>2862</v>
      </c>
      <c r="B674" s="66" t="s">
        <v>2863</v>
      </c>
      <c r="C674" s="150" t="s">
        <v>1136</v>
      </c>
      <c r="D674" s="150" t="s">
        <v>1567</v>
      </c>
      <c r="E674" s="150" t="s">
        <v>1567</v>
      </c>
      <c r="F674" s="150" t="s">
        <v>1567</v>
      </c>
      <c r="G674" s="511" t="s">
        <v>1037</v>
      </c>
      <c r="H674" s="451" t="s">
        <v>2846</v>
      </c>
      <c r="I674" s="343"/>
      <c r="J674" s="343"/>
      <c r="K674" s="70" t="s">
        <v>1039</v>
      </c>
      <c r="L674" s="346"/>
      <c r="M674" s="346" t="s">
        <v>1140</v>
      </c>
      <c r="N674" s="346"/>
      <c r="O674" s="150" t="s">
        <v>1040</v>
      </c>
      <c r="P674" s="150"/>
      <c r="Q674" s="453"/>
      <c r="R674" s="406">
        <v>0</v>
      </c>
      <c r="S674" s="406">
        <v>-468023.23</v>
      </c>
      <c r="T674" s="425"/>
      <c r="U674" s="71"/>
      <c r="V674" s="427">
        <v>-478537.04</v>
      </c>
      <c r="W674" s="427">
        <v>11513.92</v>
      </c>
      <c r="X674" s="427">
        <v>-1000.11</v>
      </c>
      <c r="Y674" s="428">
        <v>5133</v>
      </c>
      <c r="Z674" s="429">
        <v>288</v>
      </c>
      <c r="AA674" s="429">
        <v>864</v>
      </c>
      <c r="AB674" s="360">
        <v>0</v>
      </c>
      <c r="AC674" s="360">
        <v>0</v>
      </c>
      <c r="AD674" s="360">
        <v>0</v>
      </c>
      <c r="AE674" s="360">
        <v>0</v>
      </c>
      <c r="AF674" s="360">
        <v>0</v>
      </c>
      <c r="AG674" s="360">
        <v>0</v>
      </c>
      <c r="AH674" s="360">
        <f t="shared" si="33"/>
        <v>-461738.23</v>
      </c>
      <c r="AI674" s="455">
        <f>ERP_5[[#This Row],[2026 Working Total]]-ERP_5[[#This Row],[LE2 Final Submission]]</f>
        <v>6285</v>
      </c>
      <c r="AJ674" s="79">
        <v>0</v>
      </c>
      <c r="AK674" s="79">
        <f t="shared" si="32"/>
        <v>864</v>
      </c>
      <c r="AL674" s="374">
        <f>SUM(ERP_5[[#This Row],[AP01]:[AP06]])-SUM(ERP_5[[#This Row],[AP01 LE2]:[AP06 LE2]])</f>
        <v>6285</v>
      </c>
      <c r="AM674" s="80"/>
      <c r="AN674" s="79">
        <f>ERP_5[[#This Row],[2026 Working Total to Budget/LE]]-ERP_5[[#This Row],[Giveback]]</f>
        <v>6285</v>
      </c>
      <c r="AO674" s="81"/>
      <c r="AP674" s="375">
        <v>-478537.04</v>
      </c>
      <c r="AQ674" s="375">
        <v>11513.92</v>
      </c>
      <c r="AR674" s="375">
        <v>-1000.11</v>
      </c>
      <c r="AS674" s="375">
        <v>0</v>
      </c>
      <c r="AT674" s="375">
        <v>0</v>
      </c>
      <c r="AU674" s="375">
        <v>0</v>
      </c>
      <c r="AV674" s="375">
        <v>0</v>
      </c>
      <c r="AW674" s="375">
        <v>0</v>
      </c>
      <c r="AX674" s="375">
        <v>0</v>
      </c>
      <c r="AY674" s="375">
        <v>0</v>
      </c>
      <c r="AZ674" s="375">
        <v>0</v>
      </c>
      <c r="BA674" s="375">
        <v>0</v>
      </c>
      <c r="BB674" s="375">
        <v>-468023.23</v>
      </c>
      <c r="BC674" s="79">
        <v>-478537.04</v>
      </c>
      <c r="BD674" s="79">
        <v>11513.92</v>
      </c>
      <c r="BE674" s="79">
        <v>-1000.11</v>
      </c>
      <c r="BF674" s="79">
        <v>0</v>
      </c>
      <c r="BG674" s="79">
        <v>0</v>
      </c>
      <c r="BH674" s="79">
        <v>0</v>
      </c>
      <c r="BI674" s="79">
        <v>0</v>
      </c>
      <c r="BJ674" s="79">
        <v>0</v>
      </c>
      <c r="BK674" s="79">
        <v>0</v>
      </c>
      <c r="BL674" s="79">
        <v>0</v>
      </c>
      <c r="BM674" s="79">
        <v>0</v>
      </c>
      <c r="BN674" s="79">
        <v>0</v>
      </c>
      <c r="BO674" s="79">
        <v>-468023.23</v>
      </c>
    </row>
    <row r="675" spans="1:67" ht="15" customHeight="1">
      <c r="A675" s="66" t="s">
        <v>2866</v>
      </c>
      <c r="B675" s="66" t="s">
        <v>1050</v>
      </c>
      <c r="C675" s="150" t="s">
        <v>1136</v>
      </c>
      <c r="D675" s="150" t="s">
        <v>1650</v>
      </c>
      <c r="E675" s="150" t="s">
        <v>1650</v>
      </c>
      <c r="F675" s="150" t="s">
        <v>1650</v>
      </c>
      <c r="G675" s="511" t="s">
        <v>1037</v>
      </c>
      <c r="H675" s="451" t="s">
        <v>2846</v>
      </c>
      <c r="I675" s="343"/>
      <c r="J675" s="343"/>
      <c r="K675" s="70" t="s">
        <v>1039</v>
      </c>
      <c r="L675" s="346"/>
      <c r="M675" s="346" t="s">
        <v>1140</v>
      </c>
      <c r="N675" s="346"/>
      <c r="O675" s="150" t="s">
        <v>1040</v>
      </c>
      <c r="P675" s="150"/>
      <c r="Q675" s="453"/>
      <c r="R675" s="406">
        <v>0</v>
      </c>
      <c r="S675" s="406">
        <v>17997.310000000001</v>
      </c>
      <c r="T675" s="425"/>
      <c r="U675" s="71"/>
      <c r="V675" s="427">
        <v>401</v>
      </c>
      <c r="W675" s="427">
        <v>11440.6</v>
      </c>
      <c r="X675" s="427">
        <v>6155.71</v>
      </c>
      <c r="Y675" s="428">
        <v>1364.6499999999996</v>
      </c>
      <c r="Z675" s="429">
        <v>535.48</v>
      </c>
      <c r="AA675" s="429">
        <v>1808.77</v>
      </c>
      <c r="AB675" s="360">
        <v>0</v>
      </c>
      <c r="AC675" s="360">
        <v>0</v>
      </c>
      <c r="AD675" s="360">
        <v>0</v>
      </c>
      <c r="AE675" s="360">
        <v>0</v>
      </c>
      <c r="AF675" s="360">
        <v>0</v>
      </c>
      <c r="AG675" s="360">
        <v>0</v>
      </c>
      <c r="AH675" s="360">
        <f t="shared" si="33"/>
        <v>21706.21</v>
      </c>
      <c r="AI675" s="455">
        <f>ERP_5[[#This Row],[2026 Working Total]]-ERP_5[[#This Row],[LE2 Final Submission]]</f>
        <v>3708.8999999999978</v>
      </c>
      <c r="AJ675" s="79">
        <v>0</v>
      </c>
      <c r="AK675" s="79">
        <f t="shared" si="32"/>
        <v>1808.77</v>
      </c>
      <c r="AL675" s="374">
        <f>SUM(ERP_5[[#This Row],[AP01]:[AP06]])-SUM(ERP_5[[#This Row],[AP01 LE2]:[AP06 LE2]])</f>
        <v>3708.8999999999978</v>
      </c>
      <c r="AM675" s="80"/>
      <c r="AN675" s="79">
        <f>ERP_5[[#This Row],[2026 Working Total to Budget/LE]]-ERP_5[[#This Row],[Giveback]]</f>
        <v>3708.8999999999978</v>
      </c>
      <c r="AO675" s="81"/>
      <c r="AP675" s="375">
        <v>401</v>
      </c>
      <c r="AQ675" s="375">
        <v>11440.6</v>
      </c>
      <c r="AR675" s="375">
        <v>6155.71</v>
      </c>
      <c r="AS675" s="375">
        <v>0</v>
      </c>
      <c r="AT675" s="375">
        <v>0</v>
      </c>
      <c r="AU675" s="375">
        <v>0</v>
      </c>
      <c r="AV675" s="375">
        <v>0</v>
      </c>
      <c r="AW675" s="375">
        <v>0</v>
      </c>
      <c r="AX675" s="375">
        <v>0</v>
      </c>
      <c r="AY675" s="375">
        <v>0</v>
      </c>
      <c r="AZ675" s="375">
        <v>0</v>
      </c>
      <c r="BA675" s="375">
        <v>0</v>
      </c>
      <c r="BB675" s="375">
        <v>17997.310000000001</v>
      </c>
      <c r="BC675" s="79">
        <v>401</v>
      </c>
      <c r="BD675" s="79">
        <v>11440.6</v>
      </c>
      <c r="BE675" s="79">
        <v>6155.71</v>
      </c>
      <c r="BF675" s="79">
        <v>0</v>
      </c>
      <c r="BG675" s="79">
        <v>0</v>
      </c>
      <c r="BH675" s="79">
        <v>0</v>
      </c>
      <c r="BI675" s="79">
        <v>0</v>
      </c>
      <c r="BJ675" s="79">
        <v>0</v>
      </c>
      <c r="BK675" s="79">
        <v>0</v>
      </c>
      <c r="BL675" s="79">
        <v>0</v>
      </c>
      <c r="BM675" s="79">
        <v>0</v>
      </c>
      <c r="BN675" s="79">
        <v>0</v>
      </c>
      <c r="BO675" s="79">
        <v>17997.310000000001</v>
      </c>
    </row>
    <row r="676" spans="1:67" ht="15" customHeight="1">
      <c r="A676" s="66" t="s">
        <v>2864</v>
      </c>
      <c r="B676" s="66" t="s">
        <v>2865</v>
      </c>
      <c r="C676" s="150" t="s">
        <v>1136</v>
      </c>
      <c r="D676" s="150" t="s">
        <v>1567</v>
      </c>
      <c r="E676" s="150" t="s">
        <v>1567</v>
      </c>
      <c r="F676" s="150" t="s">
        <v>1567</v>
      </c>
      <c r="G676" s="511" t="s">
        <v>1037</v>
      </c>
      <c r="H676" s="451" t="s">
        <v>1049</v>
      </c>
      <c r="I676" s="343"/>
      <c r="J676" s="343"/>
      <c r="K676" s="70" t="s">
        <v>1049</v>
      </c>
      <c r="L676" s="346"/>
      <c r="M676" s="346" t="s">
        <v>1140</v>
      </c>
      <c r="N676" s="346"/>
      <c r="O676" s="150" t="s">
        <v>44</v>
      </c>
      <c r="P676" s="150"/>
      <c r="Q676" s="453"/>
      <c r="R676" s="406">
        <v>285714.29000400001</v>
      </c>
      <c r="S676" s="406">
        <v>214285.71750299999</v>
      </c>
      <c r="T676" s="425"/>
      <c r="U676" s="71"/>
      <c r="V676" s="427"/>
      <c r="W676" s="427"/>
      <c r="X676" s="427"/>
      <c r="Y676" s="428" t="s">
        <v>1142</v>
      </c>
      <c r="Z676" s="429">
        <v>0</v>
      </c>
      <c r="AA676" s="429">
        <v>0</v>
      </c>
      <c r="AB676" s="363">
        <v>23809.524167</v>
      </c>
      <c r="AC676" s="363">
        <v>23809.524167</v>
      </c>
      <c r="AD676" s="363">
        <v>23809.524167</v>
      </c>
      <c r="AE676" s="363">
        <v>23809.524167</v>
      </c>
      <c r="AF676" s="363">
        <v>23809.524167</v>
      </c>
      <c r="AG676" s="363">
        <v>23809.524167</v>
      </c>
      <c r="AH676" s="360">
        <f t="shared" si="33"/>
        <v>142857.145002</v>
      </c>
      <c r="AI676" s="455">
        <f>ERP_5[[#This Row],[2026 Working Total]]-ERP_5[[#This Row],[LE2 Final Submission]]</f>
        <v>-71428.572500999988</v>
      </c>
      <c r="AJ676" s="79">
        <v>23809.524167</v>
      </c>
      <c r="AK676" s="79">
        <f t="shared" si="32"/>
        <v>-23809.524167</v>
      </c>
      <c r="AL676" s="374">
        <f>SUM(ERP_5[[#This Row],[AP01]:[AP06]])-SUM(ERP_5[[#This Row],[AP01 LE2]:[AP06 LE2]])</f>
        <v>-71428.572501000002</v>
      </c>
      <c r="AM676" s="80"/>
      <c r="AN676" s="79">
        <f>ERP_5[[#This Row],[2026 Working Total to Budget/LE]]-ERP_5[[#This Row],[Giveback]]</f>
        <v>-71428.572500999988</v>
      </c>
      <c r="AO676" s="81"/>
      <c r="AP676" s="375"/>
      <c r="AQ676" s="375"/>
      <c r="AR676" s="375"/>
      <c r="AS676" s="375">
        <v>23809.524167</v>
      </c>
      <c r="AT676" s="375">
        <v>23809.524167</v>
      </c>
      <c r="AU676" s="375">
        <v>23809.524167</v>
      </c>
      <c r="AV676" s="375">
        <v>23809.524167</v>
      </c>
      <c r="AW676" s="375">
        <v>23809.524167</v>
      </c>
      <c r="AX676" s="375">
        <v>23809.524167</v>
      </c>
      <c r="AY676" s="375">
        <v>23809.524167</v>
      </c>
      <c r="AZ676" s="375">
        <v>23809.524167</v>
      </c>
      <c r="BA676" s="375">
        <v>23809.524167</v>
      </c>
      <c r="BB676" s="375">
        <v>214285.71750299999</v>
      </c>
      <c r="BC676" s="79"/>
      <c r="BD676" s="79"/>
      <c r="BE676" s="79"/>
      <c r="BF676" s="79">
        <v>23809.524167</v>
      </c>
      <c r="BG676" s="79">
        <v>23809.524167</v>
      </c>
      <c r="BH676" s="79">
        <v>23809.524167</v>
      </c>
      <c r="BI676" s="79">
        <v>23809.524167</v>
      </c>
      <c r="BJ676" s="79">
        <v>23809.524167</v>
      </c>
      <c r="BK676" s="79">
        <v>23809.524167</v>
      </c>
      <c r="BL676" s="79">
        <v>23809.524167</v>
      </c>
      <c r="BM676" s="79">
        <v>23809.524167</v>
      </c>
      <c r="BN676" s="79">
        <v>23809.524167</v>
      </c>
      <c r="BO676" s="79">
        <v>214285.71750299999</v>
      </c>
    </row>
    <row r="677" spans="1:67" ht="15" customHeight="1">
      <c r="A677" s="66" t="s">
        <v>2893</v>
      </c>
      <c r="B677" s="66" t="s">
        <v>2894</v>
      </c>
      <c r="C677" s="150" t="s">
        <v>1136</v>
      </c>
      <c r="D677" s="150" t="s">
        <v>1567</v>
      </c>
      <c r="E677" s="150" t="s">
        <v>1567</v>
      </c>
      <c r="F677" s="150" t="s">
        <v>1567</v>
      </c>
      <c r="G677" s="511" t="s">
        <v>22</v>
      </c>
      <c r="H677" s="451" t="s">
        <v>2895</v>
      </c>
      <c r="I677" s="343"/>
      <c r="J677" s="343"/>
      <c r="K677" s="70" t="s">
        <v>43</v>
      </c>
      <c r="L677" s="346"/>
      <c r="M677" s="346" t="s">
        <v>1140</v>
      </c>
      <c r="N677" s="346"/>
      <c r="O677" s="150" t="s">
        <v>44</v>
      </c>
      <c r="P677" s="150"/>
      <c r="Q677" s="453"/>
      <c r="R677" s="406">
        <v>-472222.21000000008</v>
      </c>
      <c r="S677" s="406">
        <v>-160000</v>
      </c>
      <c r="T677" s="425"/>
      <c r="U677" s="71"/>
      <c r="V677" s="427"/>
      <c r="W677" s="427"/>
      <c r="X677" s="427"/>
      <c r="Y677" s="428" t="s">
        <v>1142</v>
      </c>
      <c r="Z677" s="429">
        <v>0</v>
      </c>
      <c r="AA677" s="429">
        <v>0</v>
      </c>
      <c r="AB677" s="363">
        <v>-20000</v>
      </c>
      <c r="AC677" s="363">
        <v>-20000</v>
      </c>
      <c r="AD677" s="363">
        <v>-20000</v>
      </c>
      <c r="AE677" s="363">
        <v>-20000</v>
      </c>
      <c r="AF677" s="363">
        <v>-20000</v>
      </c>
      <c r="AG677" s="363">
        <v>-20000</v>
      </c>
      <c r="AH677" s="360">
        <f t="shared" si="33"/>
        <v>-120000</v>
      </c>
      <c r="AI677" s="455">
        <f>ERP_5[[#This Row],[2026 Working Total]]-ERP_5[[#This Row],[LE2 Final Submission]]</f>
        <v>40000</v>
      </c>
      <c r="AJ677" s="79">
        <v>-20000</v>
      </c>
      <c r="AK677" s="79">
        <f t="shared" si="32"/>
        <v>20000</v>
      </c>
      <c r="AL677" s="374">
        <f>SUM(ERP_5[[#This Row],[AP01]:[AP06]])-SUM(ERP_5[[#This Row],[AP01 LE2]:[AP06 LE2]])</f>
        <v>40000</v>
      </c>
      <c r="AM677" s="80"/>
      <c r="AN677" s="79">
        <f>ERP_5[[#This Row],[2026 Working Total to Budget/LE]]-ERP_5[[#This Row],[Giveback]]</f>
        <v>40000</v>
      </c>
      <c r="AO677" s="81"/>
      <c r="AP677" s="375"/>
      <c r="AQ677" s="375"/>
      <c r="AR677" s="375"/>
      <c r="AS677" s="375"/>
      <c r="AT677" s="375">
        <v>-20000</v>
      </c>
      <c r="AU677" s="375">
        <v>-20000</v>
      </c>
      <c r="AV677" s="375">
        <v>-20000</v>
      </c>
      <c r="AW677" s="375">
        <v>-20000</v>
      </c>
      <c r="AX677" s="375">
        <v>-20000</v>
      </c>
      <c r="AY677" s="375">
        <v>-20000</v>
      </c>
      <c r="AZ677" s="375">
        <v>-20000</v>
      </c>
      <c r="BA677" s="375">
        <v>-20000</v>
      </c>
      <c r="BB677" s="375">
        <v>-160000</v>
      </c>
      <c r="BC677" s="79"/>
      <c r="BD677" s="79"/>
      <c r="BE677" s="79"/>
      <c r="BF677" s="79">
        <v>-47222.220999999998</v>
      </c>
      <c r="BG677" s="79">
        <v>-47222.220999999998</v>
      </c>
      <c r="BH677" s="79">
        <v>-47222.220999999998</v>
      </c>
      <c r="BI677" s="79">
        <v>-47222.220999999998</v>
      </c>
      <c r="BJ677" s="79">
        <v>-47222.220999999998</v>
      </c>
      <c r="BK677" s="79">
        <v>-47222.220999999998</v>
      </c>
      <c r="BL677" s="79">
        <v>-47222.220999999998</v>
      </c>
      <c r="BM677" s="79">
        <v>-47222.220999999998</v>
      </c>
      <c r="BN677" s="79">
        <v>-47222.220999999998</v>
      </c>
      <c r="BO677" s="79">
        <v>-424999.98900000006</v>
      </c>
    </row>
    <row r="678" spans="1:67" ht="15" customHeight="1">
      <c r="A678" s="79" t="s">
        <v>2647</v>
      </c>
      <c r="B678" s="296" t="s">
        <v>2648</v>
      </c>
      <c r="C678" s="150" t="s">
        <v>1136</v>
      </c>
      <c r="D678" s="150" t="s">
        <v>1345</v>
      </c>
      <c r="E678" s="332" t="s">
        <v>1344</v>
      </c>
      <c r="F678" s="331" t="s">
        <v>1346</v>
      </c>
      <c r="G678" s="514" t="s">
        <v>639</v>
      </c>
      <c r="H678" s="401" t="s">
        <v>2649</v>
      </c>
      <c r="I678" s="343" t="s">
        <v>2206</v>
      </c>
      <c r="J678" s="333"/>
      <c r="K678" s="90"/>
      <c r="L678" s="347"/>
      <c r="M678" s="343"/>
      <c r="N678" s="348"/>
      <c r="O678" s="348"/>
      <c r="P678" s="348" t="s">
        <v>2915</v>
      </c>
      <c r="Q678" s="440"/>
      <c r="R678" s="358"/>
      <c r="S678" s="379">
        <v>143000</v>
      </c>
      <c r="T678" s="430"/>
      <c r="U678" s="137"/>
      <c r="V678" s="436"/>
      <c r="W678" s="436"/>
      <c r="X678" s="436"/>
      <c r="Y678" s="428" t="s">
        <v>1142</v>
      </c>
      <c r="Z678" s="429">
        <v>0</v>
      </c>
      <c r="AA678" s="429">
        <v>0</v>
      </c>
      <c r="AB678" s="364"/>
      <c r="AC678" s="364"/>
      <c r="AD678" s="364"/>
      <c r="AE678" s="364">
        <v>143000</v>
      </c>
      <c r="AF678" s="364"/>
      <c r="AG678" s="364"/>
      <c r="AH678" s="360">
        <f t="shared" si="33"/>
        <v>143000</v>
      </c>
      <c r="AI678" s="455">
        <f>ERP_5[[#This Row],[2026 Working Total]]-ERP_5[[#This Row],[LE2 Final Submission]]</f>
        <v>0</v>
      </c>
      <c r="AJ678" s="79"/>
      <c r="AK678" s="79">
        <f t="shared" si="32"/>
        <v>0</v>
      </c>
      <c r="AL678" s="374">
        <f>SUM(ERP_5[[#This Row],[AP01]:[AP06]])-SUM(ERP_5[[#This Row],[AP01 LE2]:[AP06 LE2]])</f>
        <v>0</v>
      </c>
      <c r="AM678" s="80"/>
      <c r="AN678" s="79">
        <f>ERP_5[[#This Row],[2026 Working Total to Budget/LE]]-ERP_5[[#This Row],[Giveback]]</f>
        <v>0</v>
      </c>
      <c r="AO678" s="81"/>
      <c r="AP678" s="375"/>
      <c r="AQ678" s="375"/>
      <c r="AR678" s="375"/>
      <c r="AS678" s="375"/>
      <c r="AT678" s="375"/>
      <c r="AU678" s="375"/>
      <c r="AV678" s="375"/>
      <c r="AW678" s="375"/>
      <c r="AX678" s="375"/>
      <c r="AY678" s="375">
        <v>143000</v>
      </c>
      <c r="AZ678" s="375"/>
      <c r="BA678" s="375"/>
      <c r="BB678" s="375">
        <v>143000</v>
      </c>
      <c r="BC678" s="79"/>
      <c r="BD678" s="79"/>
      <c r="BE678" s="79"/>
      <c r="BF678" s="79"/>
      <c r="BG678" s="79"/>
      <c r="BH678" s="79"/>
      <c r="BI678" s="79"/>
      <c r="BJ678" s="79"/>
      <c r="BK678" s="79"/>
      <c r="BL678" s="79"/>
      <c r="BM678" s="79"/>
      <c r="BN678" s="79"/>
      <c r="BO678" s="79"/>
    </row>
    <row r="679" spans="1:67" ht="15" customHeight="1">
      <c r="A679" s="66" t="s">
        <v>2831</v>
      </c>
      <c r="B679" s="66" t="s">
        <v>2832</v>
      </c>
      <c r="C679" s="150" t="s">
        <v>1136</v>
      </c>
      <c r="D679" s="150" t="s">
        <v>1135</v>
      </c>
      <c r="E679" s="150" t="s">
        <v>1137</v>
      </c>
      <c r="F679" s="150" t="s">
        <v>1137</v>
      </c>
      <c r="G679" s="511" t="s">
        <v>1027</v>
      </c>
      <c r="H679" s="451" t="s">
        <v>2830</v>
      </c>
      <c r="I679" s="343"/>
      <c r="J679" s="343"/>
      <c r="K679" s="70" t="s">
        <v>1029</v>
      </c>
      <c r="L679" s="346"/>
      <c r="M679" s="343"/>
      <c r="N679" s="346"/>
      <c r="O679" s="150" t="s">
        <v>25</v>
      </c>
      <c r="P679" s="1" t="s">
        <v>1141</v>
      </c>
      <c r="Q679" s="453"/>
      <c r="R679" s="406">
        <v>78300</v>
      </c>
      <c r="S679" s="406">
        <v>62093.21</v>
      </c>
      <c r="T679" s="425"/>
      <c r="U679" s="71"/>
      <c r="V679" s="427">
        <v>350.82</v>
      </c>
      <c r="W679" s="427">
        <v>683.3</v>
      </c>
      <c r="X679" s="427">
        <v>1259.0899999999999</v>
      </c>
      <c r="Y679" s="428">
        <v>404.51000000000005</v>
      </c>
      <c r="Z679" s="429">
        <v>2183.5099999999993</v>
      </c>
      <c r="AA679" s="429">
        <v>2294.7200000000003</v>
      </c>
      <c r="AB679" s="363">
        <v>6500</v>
      </c>
      <c r="AC679" s="363">
        <v>6500</v>
      </c>
      <c r="AD679" s="363">
        <v>6900</v>
      </c>
      <c r="AE679" s="363">
        <v>6900</v>
      </c>
      <c r="AF679" s="363">
        <v>6900</v>
      </c>
      <c r="AG679" s="363">
        <v>6900</v>
      </c>
      <c r="AH679" s="360">
        <f t="shared" si="33"/>
        <v>47775.95</v>
      </c>
      <c r="AI679" s="455">
        <f>ERP_5[[#This Row],[2026 Working Total]]-ERP_5[[#This Row],[LE2 Final Submission]]</f>
        <v>-14317.260000000002</v>
      </c>
      <c r="AJ679" s="79">
        <v>6400</v>
      </c>
      <c r="AK679" s="79">
        <f t="shared" si="32"/>
        <v>-4105.28</v>
      </c>
      <c r="AL679" s="374">
        <f>SUM(ERP_5[[#This Row],[AP01]:[AP06]])-SUM(ERP_5[[#This Row],[AP01 LE2]:[AP06 LE2]])</f>
        <v>-14317.259999999998</v>
      </c>
      <c r="AM679" s="80"/>
      <c r="AN679" s="79">
        <f>ERP_5[[#This Row],[2026 Working Total to Budget/LE]]-ERP_5[[#This Row],[Giveback]]</f>
        <v>-14317.260000000002</v>
      </c>
      <c r="AO679" s="81"/>
      <c r="AP679" s="375">
        <v>350.82</v>
      </c>
      <c r="AQ679" s="375">
        <v>683.3</v>
      </c>
      <c r="AR679" s="375">
        <v>1259.0899999999999</v>
      </c>
      <c r="AS679" s="375">
        <v>6400</v>
      </c>
      <c r="AT679" s="375">
        <v>6400</v>
      </c>
      <c r="AU679" s="375">
        <v>6400</v>
      </c>
      <c r="AV679" s="375">
        <v>6500</v>
      </c>
      <c r="AW679" s="375">
        <v>6500</v>
      </c>
      <c r="AX679" s="375">
        <v>6900</v>
      </c>
      <c r="AY679" s="375">
        <v>6900</v>
      </c>
      <c r="AZ679" s="375">
        <v>6900</v>
      </c>
      <c r="BA679" s="375">
        <v>6900</v>
      </c>
      <c r="BB679" s="375">
        <v>62093.21</v>
      </c>
      <c r="BC679" s="79">
        <v>350.82</v>
      </c>
      <c r="BD679" s="79">
        <v>683.3</v>
      </c>
      <c r="BE679" s="79">
        <v>1259.0899999999999</v>
      </c>
      <c r="BF679" s="79">
        <v>6400</v>
      </c>
      <c r="BG679" s="79">
        <v>6400</v>
      </c>
      <c r="BH679" s="79">
        <v>6400</v>
      </c>
      <c r="BI679" s="79">
        <v>6500</v>
      </c>
      <c r="BJ679" s="79">
        <v>6500</v>
      </c>
      <c r="BK679" s="79">
        <v>6900</v>
      </c>
      <c r="BL679" s="79">
        <v>6900</v>
      </c>
      <c r="BM679" s="79">
        <v>6900</v>
      </c>
      <c r="BN679" s="79">
        <v>6900</v>
      </c>
      <c r="BO679" s="79">
        <v>62093.21</v>
      </c>
    </row>
    <row r="680" spans="1:67" ht="15" customHeight="1">
      <c r="A680" s="79" t="s">
        <v>2170</v>
      </c>
      <c r="B680" s="296" t="s">
        <v>2171</v>
      </c>
      <c r="C680" s="150" t="s">
        <v>1136</v>
      </c>
      <c r="D680" s="332" t="s">
        <v>1567</v>
      </c>
      <c r="E680" s="332" t="s">
        <v>1567</v>
      </c>
      <c r="F680" s="150" t="s">
        <v>1567</v>
      </c>
      <c r="G680" s="514" t="s">
        <v>602</v>
      </c>
      <c r="H680" s="401" t="s">
        <v>2172</v>
      </c>
      <c r="I680" s="343"/>
      <c r="J680" s="333"/>
      <c r="K680" s="90"/>
      <c r="L680" s="347"/>
      <c r="M680" s="343"/>
      <c r="N680" s="348"/>
      <c r="O680" s="348"/>
      <c r="P680" s="348" t="s">
        <v>2173</v>
      </c>
      <c r="Q680" s="440"/>
      <c r="R680" s="454"/>
      <c r="S680" s="476">
        <v>-6407318.4800000004</v>
      </c>
      <c r="T680" s="425"/>
      <c r="U680" s="71"/>
      <c r="V680" s="436"/>
      <c r="W680" s="436"/>
      <c r="X680" s="436"/>
      <c r="Y680" s="428" t="s">
        <v>1142</v>
      </c>
      <c r="Z680" s="429">
        <v>0</v>
      </c>
      <c r="AA680" s="429">
        <v>0</v>
      </c>
      <c r="AB680" s="364"/>
      <c r="AC680" s="364"/>
      <c r="AD680" s="364">
        <v>-1601829.62</v>
      </c>
      <c r="AE680" s="364">
        <v>-1601829.62</v>
      </c>
      <c r="AF680" s="364">
        <v>-1601829.62</v>
      </c>
      <c r="AG680" s="364">
        <v>-1601829.62</v>
      </c>
      <c r="AH680" s="360">
        <f t="shared" si="33"/>
        <v>-6407318.4800000004</v>
      </c>
      <c r="AI680" s="455">
        <f>ERP_5[[#This Row],[2026 Working Total]]-ERP_5[[#This Row],[LE2 Final Submission]]</f>
        <v>0</v>
      </c>
      <c r="AJ680" s="79"/>
      <c r="AK680" s="79">
        <f t="shared" si="32"/>
        <v>0</v>
      </c>
      <c r="AL680" s="374">
        <f>SUM(ERP_5[[#This Row],[AP01]:[AP06]])-SUM(ERP_5[[#This Row],[AP01 LE2]:[AP06 LE2]])</f>
        <v>0</v>
      </c>
      <c r="AM680" s="80"/>
      <c r="AN680" s="79">
        <f>ERP_5[[#This Row],[2026 Working Total to Budget/LE]]-ERP_5[[#This Row],[Giveback]]</f>
        <v>0</v>
      </c>
      <c r="AO680" s="81"/>
      <c r="AP680" s="375"/>
      <c r="AQ680" s="375"/>
      <c r="AR680" s="375"/>
      <c r="AS680" s="375"/>
      <c r="AT680" s="375"/>
      <c r="AU680" s="375"/>
      <c r="AV680" s="375"/>
      <c r="AW680" s="375"/>
      <c r="AX680" s="375">
        <v>-1601829.62</v>
      </c>
      <c r="AY680" s="375">
        <v>-1601829.62</v>
      </c>
      <c r="AZ680" s="375">
        <v>-1601829.62</v>
      </c>
      <c r="BA680" s="375">
        <v>-1601829.62</v>
      </c>
      <c r="BB680" s="375">
        <v>-6407318.4800000004</v>
      </c>
      <c r="BC680" s="79"/>
      <c r="BD680" s="79"/>
      <c r="BE680" s="79"/>
      <c r="BF680" s="79"/>
      <c r="BG680" s="79"/>
      <c r="BH680" s="79"/>
      <c r="BI680" s="79"/>
      <c r="BJ680" s="79"/>
      <c r="BK680" s="79"/>
      <c r="BL680" s="79"/>
      <c r="BM680" s="79"/>
      <c r="BN680" s="79"/>
      <c r="BO680" s="79"/>
    </row>
    <row r="681" spans="1:67" ht="15" customHeight="1">
      <c r="A681" s="79" t="s">
        <v>1606</v>
      </c>
      <c r="B681" s="296" t="s">
        <v>1607</v>
      </c>
      <c r="C681" s="150" t="s">
        <v>1136</v>
      </c>
      <c r="D681" s="150" t="s">
        <v>1345</v>
      </c>
      <c r="E681" s="332" t="s">
        <v>1346</v>
      </c>
      <c r="F681" s="333" t="s">
        <v>1346</v>
      </c>
      <c r="G681" s="514" t="s">
        <v>49</v>
      </c>
      <c r="H681" s="401"/>
      <c r="I681" s="333"/>
      <c r="J681" s="333"/>
      <c r="K681" s="90" t="s">
        <v>258</v>
      </c>
      <c r="L681" s="347"/>
      <c r="M681" s="347"/>
      <c r="N681" s="348"/>
      <c r="O681" s="348"/>
      <c r="P681" s="348"/>
      <c r="Q681" s="440"/>
      <c r="R681" s="454"/>
      <c r="S681" s="509"/>
      <c r="T681" s="425"/>
      <c r="U681" s="425"/>
      <c r="V681" s="436"/>
      <c r="W681" s="436"/>
      <c r="X681" s="436"/>
      <c r="Y681" s="429"/>
      <c r="Z681" s="429"/>
      <c r="AA681" s="429">
        <v>80877.63</v>
      </c>
      <c r="AB681" s="364"/>
      <c r="AC681" s="364"/>
      <c r="AD681" s="364"/>
      <c r="AE681" s="364"/>
      <c r="AF681" s="364"/>
      <c r="AG681" s="364"/>
      <c r="AH681" s="360">
        <f t="shared" si="33"/>
        <v>80877.63</v>
      </c>
      <c r="AI681" s="455">
        <f>ERP_5[[#This Row],[2026 Working Total]]-ERP_5[[#This Row],[LE2 Final Submission]]</f>
        <v>80877.63</v>
      </c>
      <c r="AJ681" s="79"/>
      <c r="AK681" s="79">
        <f t="shared" si="32"/>
        <v>80877.63</v>
      </c>
      <c r="AL681" s="391">
        <f>SUM(ERP_5[[#This Row],[AP01]:[AP06]])-SUM(ERP_5[[#This Row],[AP01 LE2]:[AP06 LE2]])</f>
        <v>80877.63</v>
      </c>
      <c r="AM681" s="80"/>
      <c r="AN681" s="79">
        <f>ERP_5[[#This Row],[2026 Working Total to Budget/LE]]-ERP_5[[#This Row],[Giveback]]</f>
        <v>80877.63</v>
      </c>
      <c r="AO681" s="81"/>
      <c r="AP681" s="375"/>
      <c r="AQ681" s="375"/>
      <c r="AR681" s="375"/>
      <c r="AS681" s="375"/>
      <c r="AT681" s="375"/>
      <c r="AU681" s="375"/>
      <c r="AV681" s="375"/>
      <c r="AW681" s="375"/>
      <c r="AX681" s="375"/>
      <c r="AY681" s="375"/>
      <c r="AZ681" s="375"/>
      <c r="BA681" s="375"/>
      <c r="BB681" s="375"/>
      <c r="BC681" s="79"/>
      <c r="BD681" s="79"/>
      <c r="BE681" s="79"/>
      <c r="BF681" s="79"/>
      <c r="BG681" s="79"/>
      <c r="BH681" s="79"/>
      <c r="BI681" s="79"/>
      <c r="BJ681" s="79"/>
      <c r="BK681" s="79"/>
      <c r="BL681" s="79"/>
      <c r="BM681" s="79"/>
      <c r="BN681" s="79"/>
      <c r="BO681" s="79"/>
    </row>
    <row r="682" spans="1:67" ht="15" customHeight="1">
      <c r="A682" s="79" t="s">
        <v>1637</v>
      </c>
      <c r="B682" s="296" t="s">
        <v>1638</v>
      </c>
      <c r="C682" s="150" t="s">
        <v>1136</v>
      </c>
      <c r="D682" s="150" t="s">
        <v>1345</v>
      </c>
      <c r="E682" s="332" t="s">
        <v>1346</v>
      </c>
      <c r="F682" s="333" t="s">
        <v>1346</v>
      </c>
      <c r="G682" s="514" t="s">
        <v>49</v>
      </c>
      <c r="H682" s="401"/>
      <c r="I682" s="333"/>
      <c r="J682" s="333"/>
      <c r="K682" s="90" t="s">
        <v>318</v>
      </c>
      <c r="L682" s="347"/>
      <c r="M682" s="347"/>
      <c r="N682" s="348"/>
      <c r="O682" s="348"/>
      <c r="P682" s="348"/>
      <c r="Q682" s="440"/>
      <c r="R682" s="454"/>
      <c r="S682" s="509"/>
      <c r="T682" s="425"/>
      <c r="U682" s="425"/>
      <c r="V682" s="436"/>
      <c r="W682" s="436"/>
      <c r="X682" s="436"/>
      <c r="Y682" s="429"/>
      <c r="Z682" s="429"/>
      <c r="AA682" s="429">
        <v>-1584</v>
      </c>
      <c r="AB682" s="364"/>
      <c r="AC682" s="364"/>
      <c r="AD682" s="364"/>
      <c r="AE682" s="364"/>
      <c r="AF682" s="364"/>
      <c r="AG682" s="364"/>
      <c r="AH682" s="360">
        <f t="shared" si="33"/>
        <v>-1584</v>
      </c>
      <c r="AI682" s="455">
        <f>ERP_5[[#This Row],[2026 Working Total]]-ERP_5[[#This Row],[LE2 Final Submission]]</f>
        <v>-1584</v>
      </c>
      <c r="AJ682" s="79"/>
      <c r="AK682" s="79">
        <f t="shared" si="32"/>
        <v>-1584</v>
      </c>
      <c r="AL682" s="391">
        <f>SUM(ERP_5[[#This Row],[AP01]:[AP06]])-SUM(ERP_5[[#This Row],[AP01 LE2]:[AP06 LE2]])</f>
        <v>-1584</v>
      </c>
      <c r="AM682" s="80"/>
      <c r="AN682" s="79">
        <f>ERP_5[[#This Row],[2026 Working Total to Budget/LE]]-ERP_5[[#This Row],[Giveback]]</f>
        <v>-1584</v>
      </c>
      <c r="AO682" s="81"/>
      <c r="AP682" s="375"/>
      <c r="AQ682" s="375"/>
      <c r="AR682" s="375"/>
      <c r="AS682" s="375"/>
      <c r="AT682" s="375"/>
      <c r="AU682" s="375"/>
      <c r="AV682" s="375"/>
      <c r="AW682" s="375"/>
      <c r="AX682" s="375"/>
      <c r="AY682" s="375"/>
      <c r="AZ682" s="375"/>
      <c r="BA682" s="375"/>
      <c r="BB682" s="375"/>
      <c r="BC682" s="79"/>
      <c r="BD682" s="79"/>
      <c r="BE682" s="79"/>
      <c r="BF682" s="79"/>
      <c r="BG682" s="79"/>
      <c r="BH682" s="79"/>
      <c r="BI682" s="79"/>
      <c r="BJ682" s="79"/>
      <c r="BK682" s="79"/>
      <c r="BL682" s="79"/>
      <c r="BM682" s="79"/>
      <c r="BN682" s="79"/>
      <c r="BO682" s="79"/>
    </row>
    <row r="683" spans="1:67" ht="15" customHeight="1">
      <c r="A683" s="66" t="s">
        <v>2845</v>
      </c>
      <c r="B683" s="66" t="s">
        <v>1038</v>
      </c>
      <c r="C683" s="150" t="s">
        <v>1136</v>
      </c>
      <c r="D683" s="150" t="s">
        <v>1135</v>
      </c>
      <c r="E683" s="150" t="s">
        <v>1135</v>
      </c>
      <c r="F683" s="150" t="s">
        <v>1137</v>
      </c>
      <c r="G683" s="511" t="s">
        <v>1037</v>
      </c>
      <c r="H683" s="451" t="s">
        <v>2846</v>
      </c>
      <c r="I683" s="343"/>
      <c r="J683" s="343"/>
      <c r="K683" s="70" t="s">
        <v>1039</v>
      </c>
      <c r="L683" s="346"/>
      <c r="M683" s="346" t="s">
        <v>1140</v>
      </c>
      <c r="N683" s="346"/>
      <c r="O683" s="150" t="s">
        <v>1040</v>
      </c>
      <c r="P683" s="150"/>
      <c r="Q683" s="453"/>
      <c r="R683" s="528">
        <v>0</v>
      </c>
      <c r="S683" s="529">
        <v>4</v>
      </c>
      <c r="T683" s="430"/>
      <c r="U683" s="430"/>
      <c r="V683" s="427"/>
      <c r="W683" s="427">
        <v>-101</v>
      </c>
      <c r="X683" s="427">
        <v>105</v>
      </c>
      <c r="Y683" s="428">
        <v>479</v>
      </c>
      <c r="Z683" s="429">
        <v>66</v>
      </c>
      <c r="AA683" s="429">
        <v>2208.0000000000005</v>
      </c>
      <c r="AB683" s="360">
        <v>0</v>
      </c>
      <c r="AC683" s="360">
        <v>0</v>
      </c>
      <c r="AD683" s="360">
        <v>0</v>
      </c>
      <c r="AE683" s="360">
        <v>0</v>
      </c>
      <c r="AF683" s="360">
        <v>0</v>
      </c>
      <c r="AG683" s="360">
        <v>0</v>
      </c>
      <c r="AH683" s="360">
        <f t="shared" si="33"/>
        <v>2757.0000000000005</v>
      </c>
      <c r="AI683" s="455">
        <f>ERP_5[[#This Row],[2026 Working Total]]-ERP_5[[#This Row],[LE2 Final Submission]]</f>
        <v>2753.0000000000005</v>
      </c>
      <c r="AJ683" s="79">
        <v>0</v>
      </c>
      <c r="AK683" s="79">
        <f t="shared" si="32"/>
        <v>2208.0000000000005</v>
      </c>
      <c r="AL683" s="374">
        <f>SUM(ERP_5[[#This Row],[AP01]:[AP06]])-SUM(ERP_5[[#This Row],[AP01 LE2]:[AP06 LE2]])</f>
        <v>2753.0000000000005</v>
      </c>
      <c r="AM683" s="80"/>
      <c r="AN683" s="79">
        <f>ERP_5[[#This Row],[2026 Working Total to Budget/LE]]-ERP_5[[#This Row],[Giveback]]</f>
        <v>2753.0000000000005</v>
      </c>
      <c r="AO683" s="81"/>
      <c r="AP683" s="375"/>
      <c r="AQ683" s="375">
        <v>-101</v>
      </c>
      <c r="AR683" s="375">
        <v>105</v>
      </c>
      <c r="AS683" s="375">
        <v>0</v>
      </c>
      <c r="AT683" s="375">
        <v>0</v>
      </c>
      <c r="AU683" s="375">
        <v>0</v>
      </c>
      <c r="AV683" s="375">
        <v>0</v>
      </c>
      <c r="AW683" s="375">
        <v>0</v>
      </c>
      <c r="AX683" s="375">
        <v>0</v>
      </c>
      <c r="AY683" s="375">
        <v>0</v>
      </c>
      <c r="AZ683" s="375">
        <v>0</v>
      </c>
      <c r="BA683" s="375">
        <v>0</v>
      </c>
      <c r="BB683" s="375">
        <v>4</v>
      </c>
      <c r="BC683" s="79"/>
      <c r="BD683" s="79">
        <v>-101</v>
      </c>
      <c r="BE683" s="79">
        <v>105</v>
      </c>
      <c r="BF683" s="79">
        <v>0</v>
      </c>
      <c r="BG683" s="79">
        <v>0</v>
      </c>
      <c r="BH683" s="79">
        <v>0</v>
      </c>
      <c r="BI683" s="79">
        <v>0</v>
      </c>
      <c r="BJ683" s="79">
        <v>0</v>
      </c>
      <c r="BK683" s="79">
        <v>0</v>
      </c>
      <c r="BL683" s="79">
        <v>0</v>
      </c>
      <c r="BM683" s="79">
        <v>0</v>
      </c>
      <c r="BN683" s="79">
        <v>0</v>
      </c>
      <c r="BO683" s="79">
        <v>4</v>
      </c>
    </row>
    <row r="684" spans="1:67" ht="15" customHeight="1">
      <c r="A684" s="79" t="s">
        <v>2007</v>
      </c>
      <c r="B684" s="296" t="s">
        <v>2008</v>
      </c>
      <c r="C684" s="150" t="s">
        <v>1136</v>
      </c>
      <c r="D684" s="150" t="s">
        <v>1345</v>
      </c>
      <c r="E684" s="332" t="s">
        <v>1437</v>
      </c>
      <c r="F684" s="333" t="s">
        <v>1437</v>
      </c>
      <c r="G684" s="514" t="s">
        <v>389</v>
      </c>
      <c r="H684" s="401"/>
      <c r="I684" s="333"/>
      <c r="J684" s="333"/>
      <c r="K684" s="90" t="s">
        <v>411</v>
      </c>
      <c r="L684" s="347"/>
      <c r="M684" s="347"/>
      <c r="N684" s="348"/>
      <c r="O684" s="348"/>
      <c r="P684" s="348"/>
      <c r="Q684" s="440"/>
      <c r="R684" s="454"/>
      <c r="S684" s="509"/>
      <c r="T684" s="425"/>
      <c r="U684" s="425"/>
      <c r="V684" s="436"/>
      <c r="W684" s="436"/>
      <c r="X684" s="436"/>
      <c r="Y684" s="429"/>
      <c r="Z684" s="429"/>
      <c r="AA684" s="429">
        <v>-2915.6</v>
      </c>
      <c r="AB684" s="364"/>
      <c r="AC684" s="364"/>
      <c r="AD684" s="364"/>
      <c r="AE684" s="364"/>
      <c r="AF684" s="364"/>
      <c r="AG684" s="364"/>
      <c r="AH684" s="360">
        <f t="shared" si="33"/>
        <v>-2915.6</v>
      </c>
      <c r="AI684" s="455">
        <f>ERP_5[[#This Row],[2026 Working Total]]-ERP_5[[#This Row],[LE2 Final Submission]]</f>
        <v>-2915.6</v>
      </c>
      <c r="AJ684" s="79"/>
      <c r="AK684" s="79">
        <f t="shared" si="32"/>
        <v>-2915.6</v>
      </c>
      <c r="AL684" s="391">
        <f>SUM(ERP_5[[#This Row],[AP01]:[AP06]])-SUM(ERP_5[[#This Row],[AP01 LE2]:[AP06 LE2]])</f>
        <v>-2915.6</v>
      </c>
      <c r="AM684" s="80"/>
      <c r="AN684" s="79">
        <f>ERP_5[[#This Row],[2026 Working Total to Budget/LE]]-ERP_5[[#This Row],[Giveback]]</f>
        <v>-2915.6</v>
      </c>
      <c r="AO684" s="81"/>
      <c r="AP684" s="375"/>
      <c r="AQ684" s="375"/>
      <c r="AR684" s="375"/>
      <c r="AS684" s="375"/>
      <c r="AT684" s="375"/>
      <c r="AU684" s="375"/>
      <c r="AV684" s="375"/>
      <c r="AW684" s="375"/>
      <c r="AX684" s="375"/>
      <c r="AY684" s="375"/>
      <c r="AZ684" s="375"/>
      <c r="BA684" s="375"/>
      <c r="BB684" s="375"/>
      <c r="BC684" s="79"/>
      <c r="BD684" s="79"/>
      <c r="BE684" s="79"/>
      <c r="BF684" s="79"/>
      <c r="BG684" s="79"/>
      <c r="BH684" s="79"/>
      <c r="BI684" s="79"/>
      <c r="BJ684" s="79"/>
      <c r="BK684" s="79"/>
      <c r="BL684" s="79"/>
      <c r="BM684" s="79"/>
      <c r="BN684" s="79"/>
      <c r="BO684" s="79"/>
    </row>
    <row r="685" spans="1:67" ht="15" customHeight="1">
      <c r="A685" s="66" t="s">
        <v>2847</v>
      </c>
      <c r="B685" s="66" t="s">
        <v>2848</v>
      </c>
      <c r="C685" s="150" t="s">
        <v>1136</v>
      </c>
      <c r="D685" s="150" t="s">
        <v>1135</v>
      </c>
      <c r="E685" s="150" t="s">
        <v>1137</v>
      </c>
      <c r="F685" s="150" t="s">
        <v>1137</v>
      </c>
      <c r="G685" s="511" t="s">
        <v>1037</v>
      </c>
      <c r="H685" s="451" t="s">
        <v>2846</v>
      </c>
      <c r="I685" s="343"/>
      <c r="J685" s="343"/>
      <c r="K685" s="70" t="s">
        <v>1039</v>
      </c>
      <c r="L685" s="346"/>
      <c r="M685" s="346" t="s">
        <v>1140</v>
      </c>
      <c r="N685" s="346"/>
      <c r="O685" s="150" t="s">
        <v>1040</v>
      </c>
      <c r="P685" s="1" t="s">
        <v>1141</v>
      </c>
      <c r="Q685" s="453"/>
      <c r="R685" s="528">
        <v>0</v>
      </c>
      <c r="S685" s="529">
        <v>7225.12</v>
      </c>
      <c r="T685" s="425"/>
      <c r="U685" s="425"/>
      <c r="V685" s="427">
        <v>302.32</v>
      </c>
      <c r="W685" s="427">
        <v>-468.02</v>
      </c>
      <c r="X685" s="427">
        <v>7390.82</v>
      </c>
      <c r="Y685" s="428">
        <v>10390.350000000002</v>
      </c>
      <c r="Z685" s="429">
        <v>-6560.7800000000007</v>
      </c>
      <c r="AA685" s="429">
        <v>1751.47</v>
      </c>
      <c r="AB685" s="360">
        <v>0</v>
      </c>
      <c r="AC685" s="360">
        <v>0</v>
      </c>
      <c r="AD685" s="360">
        <v>0</v>
      </c>
      <c r="AE685" s="360">
        <v>0</v>
      </c>
      <c r="AF685" s="360">
        <v>0</v>
      </c>
      <c r="AG685" s="360">
        <v>0</v>
      </c>
      <c r="AH685" s="360">
        <f t="shared" si="33"/>
        <v>12806.16</v>
      </c>
      <c r="AI685" s="455">
        <f>ERP_5[[#This Row],[2026 Working Total]]-ERP_5[[#This Row],[LE2 Final Submission]]</f>
        <v>5581.04</v>
      </c>
      <c r="AJ685" s="79">
        <v>0</v>
      </c>
      <c r="AK685" s="79">
        <f t="shared" si="32"/>
        <v>1751.47</v>
      </c>
      <c r="AL685" s="374">
        <f>SUM(ERP_5[[#This Row],[AP01]:[AP06]])-SUM(ERP_5[[#This Row],[AP01 LE2]:[AP06 LE2]])</f>
        <v>5581.04</v>
      </c>
      <c r="AM685" s="80"/>
      <c r="AN685" s="79">
        <f>ERP_5[[#This Row],[2026 Working Total to Budget/LE]]-ERP_5[[#This Row],[Giveback]]</f>
        <v>5581.04</v>
      </c>
      <c r="AO685" s="81"/>
      <c r="AP685" s="375">
        <v>302.32</v>
      </c>
      <c r="AQ685" s="375">
        <v>-468.02</v>
      </c>
      <c r="AR685" s="375">
        <v>7390.82</v>
      </c>
      <c r="AS685" s="375">
        <v>0</v>
      </c>
      <c r="AT685" s="375">
        <v>0</v>
      </c>
      <c r="AU685" s="375">
        <v>0</v>
      </c>
      <c r="AV685" s="375">
        <v>0</v>
      </c>
      <c r="AW685" s="375">
        <v>0</v>
      </c>
      <c r="AX685" s="375">
        <v>0</v>
      </c>
      <c r="AY685" s="375">
        <v>0</v>
      </c>
      <c r="AZ685" s="375">
        <v>0</v>
      </c>
      <c r="BA685" s="375">
        <v>0</v>
      </c>
      <c r="BB685" s="375">
        <v>7225.12</v>
      </c>
      <c r="BC685" s="79">
        <v>302.32</v>
      </c>
      <c r="BD685" s="79">
        <v>-468.02</v>
      </c>
      <c r="BE685" s="79">
        <v>7390.82</v>
      </c>
      <c r="BF685" s="79">
        <v>0</v>
      </c>
      <c r="BG685" s="79">
        <v>0</v>
      </c>
      <c r="BH685" s="79">
        <v>0</v>
      </c>
      <c r="BI685" s="79">
        <v>0</v>
      </c>
      <c r="BJ685" s="79">
        <v>0</v>
      </c>
      <c r="BK685" s="79">
        <v>0</v>
      </c>
      <c r="BL685" s="79">
        <v>0</v>
      </c>
      <c r="BM685" s="79">
        <v>0</v>
      </c>
      <c r="BN685" s="79">
        <v>0</v>
      </c>
      <c r="BO685" s="79">
        <v>7225.12</v>
      </c>
    </row>
    <row r="686" spans="1:67" ht="15" customHeight="1">
      <c r="A686" s="79" t="s">
        <v>2203</v>
      </c>
      <c r="B686" s="296" t="s">
        <v>2204</v>
      </c>
      <c r="C686" s="150" t="s">
        <v>1136</v>
      </c>
      <c r="D686" s="150" t="s">
        <v>1135</v>
      </c>
      <c r="E686" s="332" t="s">
        <v>1135</v>
      </c>
      <c r="F686" s="331" t="s">
        <v>1346</v>
      </c>
      <c r="G686" s="514" t="s">
        <v>639</v>
      </c>
      <c r="H686" s="401" t="s">
        <v>2205</v>
      </c>
      <c r="I686" s="343" t="s">
        <v>2206</v>
      </c>
      <c r="J686" s="333"/>
      <c r="K686" s="90"/>
      <c r="L686" s="347"/>
      <c r="M686" s="343"/>
      <c r="N686" s="348"/>
      <c r="O686" s="348"/>
      <c r="P686" s="348" t="s">
        <v>2207</v>
      </c>
      <c r="Q686" s="440"/>
      <c r="R686" s="454"/>
      <c r="S686" s="509">
        <v>624226</v>
      </c>
      <c r="T686" s="430"/>
      <c r="U686" s="430"/>
      <c r="V686" s="436"/>
      <c r="W686" s="436"/>
      <c r="X686" s="436"/>
      <c r="Y686" s="428" t="s">
        <v>1142</v>
      </c>
      <c r="Z686" s="429">
        <v>0</v>
      </c>
      <c r="AA686" s="429">
        <v>0</v>
      </c>
      <c r="AB686" s="364"/>
      <c r="AC686" s="364"/>
      <c r="AD686" s="364"/>
      <c r="AE686" s="364"/>
      <c r="AF686" s="364"/>
      <c r="AG686" s="364">
        <v>624226</v>
      </c>
      <c r="AH686" s="360">
        <f t="shared" si="33"/>
        <v>624226</v>
      </c>
      <c r="AI686" s="455">
        <f>ERP_5[[#This Row],[2026 Working Total]]-ERP_5[[#This Row],[LE2 Final Submission]]</f>
        <v>0</v>
      </c>
      <c r="AJ686" s="79"/>
      <c r="AK686" s="79">
        <f t="shared" si="32"/>
        <v>0</v>
      </c>
      <c r="AL686" s="374">
        <f>SUM(ERP_5[[#This Row],[AP01]:[AP06]])-SUM(ERP_5[[#This Row],[AP01 LE2]:[AP06 LE2]])</f>
        <v>0</v>
      </c>
      <c r="AM686" s="80"/>
      <c r="AN686" s="79">
        <f>ERP_5[[#This Row],[2026 Working Total to Budget/LE]]-ERP_5[[#This Row],[Giveback]]</f>
        <v>0</v>
      </c>
      <c r="AO686" s="81"/>
      <c r="AP686" s="375"/>
      <c r="AQ686" s="375"/>
      <c r="AR686" s="375"/>
      <c r="AS686" s="375"/>
      <c r="AT686" s="375"/>
      <c r="AU686" s="375"/>
      <c r="AV686" s="375"/>
      <c r="AW686" s="375"/>
      <c r="AX686" s="375"/>
      <c r="AY686" s="375"/>
      <c r="AZ686" s="375"/>
      <c r="BA686" s="375">
        <v>624226</v>
      </c>
      <c r="BB686" s="375">
        <v>624226</v>
      </c>
      <c r="BC686" s="79"/>
      <c r="BD686" s="79"/>
      <c r="BE686" s="79"/>
      <c r="BF686" s="79"/>
      <c r="BG686" s="79"/>
      <c r="BH686" s="79"/>
      <c r="BI686" s="79"/>
      <c r="BJ686" s="79"/>
      <c r="BK686" s="79"/>
      <c r="BL686" s="79"/>
      <c r="BM686" s="79"/>
      <c r="BN686" s="79"/>
      <c r="BO686" s="79"/>
    </row>
    <row r="687" spans="1:67" ht="15" customHeight="1">
      <c r="A687" s="79" t="s">
        <v>2686</v>
      </c>
      <c r="B687" s="296" t="s">
        <v>2687</v>
      </c>
      <c r="C687" s="150" t="s">
        <v>1136</v>
      </c>
      <c r="D687" s="150" t="s">
        <v>1345</v>
      </c>
      <c r="E687" s="332" t="s">
        <v>1437</v>
      </c>
      <c r="F687" s="333" t="s">
        <v>1437</v>
      </c>
      <c r="G687" s="514" t="s">
        <v>639</v>
      </c>
      <c r="H687" s="401"/>
      <c r="I687" s="333"/>
      <c r="J687" s="333"/>
      <c r="K687" s="90" t="s">
        <v>817</v>
      </c>
      <c r="L687" s="347"/>
      <c r="M687" s="347"/>
      <c r="N687" s="348"/>
      <c r="O687" s="348"/>
      <c r="P687" s="348"/>
      <c r="Q687" s="440"/>
      <c r="R687" s="454"/>
      <c r="S687" s="509"/>
      <c r="T687" s="425"/>
      <c r="U687" s="425"/>
      <c r="V687" s="436"/>
      <c r="W687" s="436"/>
      <c r="X687" s="436"/>
      <c r="Y687" s="429"/>
      <c r="Z687" s="429"/>
      <c r="AA687" s="429">
        <v>3285.0699999999997</v>
      </c>
      <c r="AB687" s="364"/>
      <c r="AC687" s="364"/>
      <c r="AD687" s="364"/>
      <c r="AE687" s="364"/>
      <c r="AF687" s="364"/>
      <c r="AG687" s="364"/>
      <c r="AH687" s="360">
        <f t="shared" si="33"/>
        <v>3285.0699999999997</v>
      </c>
      <c r="AI687" s="455">
        <f>ERP_5[[#This Row],[2026 Working Total]]-ERP_5[[#This Row],[LE2 Final Submission]]</f>
        <v>3285.0699999999997</v>
      </c>
      <c r="AJ687" s="79"/>
      <c r="AK687" s="79">
        <f t="shared" si="32"/>
        <v>3285.0699999999997</v>
      </c>
      <c r="AL687" s="391">
        <f>SUM(ERP_5[[#This Row],[AP01]:[AP06]])-SUM(ERP_5[[#This Row],[AP01 LE2]:[AP06 LE2]])</f>
        <v>3285.0699999999997</v>
      </c>
      <c r="AM687" s="80"/>
      <c r="AN687" s="79">
        <f>ERP_5[[#This Row],[2026 Working Total to Budget/LE]]-ERP_5[[#This Row],[Giveback]]</f>
        <v>3285.0699999999997</v>
      </c>
      <c r="AO687" s="81"/>
      <c r="AP687" s="375"/>
      <c r="AQ687" s="375"/>
      <c r="AR687" s="375"/>
      <c r="AS687" s="375"/>
      <c r="AT687" s="375"/>
      <c r="AU687" s="375"/>
      <c r="AV687" s="375"/>
      <c r="AW687" s="375"/>
      <c r="AX687" s="375"/>
      <c r="AY687" s="375"/>
      <c r="AZ687" s="375"/>
      <c r="BA687" s="375"/>
      <c r="BB687" s="375"/>
      <c r="BC687" s="79"/>
      <c r="BD687" s="79"/>
      <c r="BE687" s="79"/>
      <c r="BF687" s="79"/>
      <c r="BG687" s="79"/>
      <c r="BH687" s="79"/>
      <c r="BI687" s="79"/>
      <c r="BJ687" s="79"/>
      <c r="BK687" s="79"/>
      <c r="BL687" s="79"/>
      <c r="BM687" s="79"/>
      <c r="BN687" s="79"/>
      <c r="BO687" s="79"/>
    </row>
    <row r="688" spans="1:67" ht="15" customHeight="1">
      <c r="A688" s="79" t="s">
        <v>1321</v>
      </c>
      <c r="B688" s="296" t="s">
        <v>1322</v>
      </c>
      <c r="C688" s="332" t="s">
        <v>1136</v>
      </c>
      <c r="D688" s="332" t="s">
        <v>1135</v>
      </c>
      <c r="E688" s="332" t="s">
        <v>1165</v>
      </c>
      <c r="F688" s="333" t="s">
        <v>1165</v>
      </c>
      <c r="G688" s="514" t="s">
        <v>49</v>
      </c>
      <c r="H688" s="401" t="s">
        <v>1323</v>
      </c>
      <c r="I688" s="333" t="s">
        <v>1324</v>
      </c>
      <c r="J688" s="333">
        <v>2321403</v>
      </c>
      <c r="K688" s="90" t="s">
        <v>124</v>
      </c>
      <c r="L688" s="347"/>
      <c r="M688">
        <v>9501275938</v>
      </c>
      <c r="N688" s="348"/>
      <c r="O688" s="348"/>
      <c r="P688" s="348"/>
      <c r="Q688" s="440"/>
      <c r="R688" s="454"/>
      <c r="S688" s="509"/>
      <c r="T688" s="425"/>
      <c r="U688" s="425"/>
      <c r="V688" s="436"/>
      <c r="W688" s="436"/>
      <c r="X688" s="436"/>
      <c r="Y688" s="429"/>
      <c r="Z688" s="429"/>
      <c r="AA688" s="429"/>
      <c r="AB688" s="363">
        <v>9500</v>
      </c>
      <c r="AC688" s="363">
        <v>10125</v>
      </c>
      <c r="AD688" s="363">
        <v>9500</v>
      </c>
      <c r="AE688" s="363">
        <v>9500</v>
      </c>
      <c r="AF688" s="363">
        <v>10125</v>
      </c>
      <c r="AG688" s="363">
        <v>10125</v>
      </c>
      <c r="AH688" s="360">
        <f>SUM(V688:AG688)</f>
        <v>58875</v>
      </c>
      <c r="AI688" s="455">
        <f>ERP_5[[#This Row],[2026 Working Total]]-ERP_5[[#This Row],[LE2 Final Submission]]</f>
        <v>58875</v>
      </c>
      <c r="AJ688" s="79"/>
      <c r="AK688" s="79">
        <f>$AA688 - $AJ688</f>
        <v>0</v>
      </c>
      <c r="AL688" s="391">
        <f>SUM(ERP_5[[#This Row],[AP01]:[AP06]])-SUM(ERP_5[[#This Row],[AP01 LE2]:[AP06 LE2]])</f>
        <v>0</v>
      </c>
      <c r="AM688" s="80"/>
      <c r="AN688" s="79">
        <f>ERP_5[[#This Row],[2026 Working Total to Budget/LE]]-ERP_5[[#This Row],[Giveback]]</f>
        <v>58875</v>
      </c>
      <c r="AO688" s="81"/>
      <c r="AP688" s="375"/>
      <c r="AQ688" s="375"/>
      <c r="AR688" s="375"/>
      <c r="AS688" s="375"/>
      <c r="AT688" s="375"/>
      <c r="AU688" s="375"/>
      <c r="AV688" s="375"/>
      <c r="AW688" s="375"/>
      <c r="AX688" s="375"/>
      <c r="AY688" s="375"/>
      <c r="AZ688" s="375"/>
      <c r="BA688" s="375"/>
      <c r="BB688" s="375"/>
      <c r="BC688" s="79"/>
      <c r="BD688" s="79"/>
      <c r="BE688" s="79"/>
      <c r="BF688" s="79"/>
      <c r="BG688" s="79"/>
      <c r="BH688" s="79"/>
      <c r="BI688" s="79"/>
      <c r="BJ688" s="79"/>
      <c r="BK688" s="79"/>
      <c r="BL688" s="79"/>
      <c r="BM688" s="79"/>
      <c r="BN688" s="79"/>
      <c r="BO688" s="79"/>
    </row>
  </sheetData>
  <sheetProtection algorithmName="SHA-512" hashValue="+ouTwcYDuBaWyworWZYMwtzkHz39d03vX/qPJ9+M0VGTbMCAI/ixDYGitFPuwuW4ZSmMR0SAta/2Qf58S3qTew==" saltValue="GKqhLFZKUcsHptjRfp3ntw==" spinCount="100000" sheet="1" formatCells="0" formatColumns="0" formatRows="0" insertRows="0" sort="0" autoFilter="0" pivotTables="0"/>
  <conditionalFormatting sqref="B1:B1048576">
    <cfRule type="duplicateValues" dxfId="423" priority="1"/>
  </conditionalFormatting>
  <conditionalFormatting sqref="B8:B688">
    <cfRule type="duplicateValues" dxfId="422" priority="8"/>
  </conditionalFormatting>
  <conditionalFormatting sqref="K1:K659 K677:K1048576 K661:K675">
    <cfRule type="duplicateValues" dxfId="421" priority="7"/>
  </conditionalFormatting>
  <conditionalFormatting sqref="K522:K527 K529:K533 K535:K632 K634">
    <cfRule type="duplicateValues" dxfId="420" priority="5"/>
  </conditionalFormatting>
  <conditionalFormatting sqref="K626:K632 K634">
    <cfRule type="duplicateValues" dxfId="419" priority="4"/>
  </conditionalFormatting>
  <conditionalFormatting sqref="M1:M6">
    <cfRule type="duplicateValues" dxfId="418" priority="6"/>
  </conditionalFormatting>
  <conditionalFormatting sqref="AO26:BB26">
    <cfRule type="duplicateValues" dxfId="417" priority="3"/>
  </conditionalFormatting>
  <conditionalFormatting sqref="AO291:BB291">
    <cfRule type="duplicateValues" dxfId="416" priority="2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A9D-61BC-41B7-9535-FA2CEB1DFC1C}">
  <sheetPr>
    <pageSetUpPr fitToPage="1"/>
  </sheetPr>
  <dimension ref="A1:BY578"/>
  <sheetViews>
    <sheetView topLeftCell="A62" zoomScale="55" zoomScaleNormal="55" workbookViewId="0">
      <selection activeCell="C584" sqref="C584"/>
    </sheetView>
  </sheetViews>
  <sheetFormatPr defaultColWidth="9.140625" defaultRowHeight="15" customHeight="1" outlineLevelCol="2"/>
  <cols>
    <col min="1" max="1" width="12.140625" bestFit="1" customWidth="1"/>
    <col min="2" max="2" width="25.42578125" customWidth="1"/>
    <col min="3" max="3" width="67.140625" bestFit="1" customWidth="1" outlineLevel="1"/>
    <col min="4" max="4" width="4.85546875" customWidth="1" outlineLevel="1"/>
    <col min="5" max="5" width="8.85546875" customWidth="1" outlineLevel="1"/>
    <col min="6" max="7" width="19" customWidth="1" outlineLevel="1"/>
    <col min="8" max="8" width="18.85546875" customWidth="1"/>
    <col min="9" max="9" width="19.140625" customWidth="1" collapsed="1"/>
    <col min="10" max="10" width="20.5703125" customWidth="1"/>
    <col min="11" max="11" width="8" style="1" customWidth="1"/>
    <col min="12" max="12" width="17.5703125" style="318" customWidth="1"/>
    <col min="13" max="13" width="16.140625" style="10" customWidth="1"/>
    <col min="14" max="14" width="18.85546875" customWidth="1"/>
    <col min="15" max="15" width="21.42578125" customWidth="1"/>
    <col min="16" max="16" width="25.85546875" customWidth="1"/>
    <col min="17" max="17" width="21.85546875" customWidth="1"/>
    <col min="18" max="18" width="5.42578125" customWidth="1"/>
    <col min="19" max="19" width="19.5703125" customWidth="1"/>
    <col min="20" max="20" width="65.140625" customWidth="1"/>
    <col min="21" max="25" width="16.85546875" customWidth="1"/>
    <col min="26" max="26" width="18.140625" customWidth="1" outlineLevel="2"/>
    <col min="27" max="27" width="15.140625" customWidth="1" outlineLevel="2"/>
    <col min="28" max="28" width="16.42578125" customWidth="1" outlineLevel="2"/>
    <col min="29" max="29" width="12.140625" style="419" customWidth="1" outlineLevel="2"/>
    <col min="30" max="37" width="12.140625" customWidth="1" outlineLevel="2"/>
    <col min="38" max="38" width="14.42578125" customWidth="1"/>
    <col min="39" max="39" width="18.140625" customWidth="1"/>
    <col min="40" max="40" width="18.140625" customWidth="1" outlineLevel="1"/>
    <col min="41" max="41" width="21.5703125" customWidth="1" outlineLevel="1"/>
    <col min="42" max="42" width="26.140625" style="321" customWidth="1"/>
    <col min="43" max="43" width="18.140625" style="1" customWidth="1"/>
    <col min="44" max="44" width="18.140625" customWidth="1"/>
    <col min="45" max="45" width="18.140625" style="4" customWidth="1"/>
    <col min="46" max="57" width="18.140625" style="15" customWidth="1" outlineLevel="2"/>
    <col min="58" max="58" width="18.140625" style="15" customWidth="1"/>
    <col min="59" max="70" width="18.140625" customWidth="1" outlineLevel="1"/>
    <col min="71" max="71" width="18.140625" customWidth="1"/>
  </cols>
  <sheetData>
    <row r="1" spans="1:77" ht="15" customHeight="1">
      <c r="C1" s="1"/>
      <c r="D1" s="1"/>
      <c r="E1" s="1"/>
      <c r="F1" s="1"/>
      <c r="G1" s="1"/>
      <c r="H1" s="1"/>
      <c r="I1" s="1"/>
      <c r="J1" s="1"/>
      <c r="L1" s="2"/>
      <c r="M1" s="1"/>
      <c r="N1" s="1"/>
      <c r="O1" s="1"/>
      <c r="P1" s="1"/>
      <c r="Q1" s="1"/>
      <c r="R1" s="3"/>
      <c r="S1" s="3"/>
      <c r="T1" s="4"/>
      <c r="AE1" s="1"/>
      <c r="AF1" s="1"/>
      <c r="AG1" s="1"/>
      <c r="AH1" s="1"/>
      <c r="AI1" s="1"/>
      <c r="AJ1" s="1"/>
      <c r="AK1" s="1"/>
    </row>
    <row r="2" spans="1:77" s="5" customFormat="1" ht="15" customHeight="1">
      <c r="C2" s="6"/>
      <c r="D2" s="6"/>
      <c r="E2" s="6"/>
      <c r="F2" s="6"/>
      <c r="G2" s="6"/>
      <c r="H2" s="6"/>
      <c r="I2" s="6"/>
      <c r="J2" s="1"/>
      <c r="K2" s="510"/>
      <c r="L2" s="7"/>
      <c r="M2" s="322"/>
      <c r="N2" s="322"/>
      <c r="O2" s="6"/>
      <c r="P2" s="6"/>
      <c r="Q2" s="322"/>
      <c r="R2" s="8"/>
      <c r="S2" s="8"/>
      <c r="T2" s="6"/>
      <c r="V2" s="5">
        <f>V3-AL3</f>
        <v>1316740.1483364999</v>
      </c>
      <c r="AE2" s="6"/>
      <c r="AF2" s="6"/>
      <c r="AG2" s="6"/>
      <c r="AH2" s="6"/>
      <c r="AI2" s="6"/>
      <c r="AJ2" s="6"/>
      <c r="AK2" s="6"/>
      <c r="AQ2" s="6"/>
      <c r="AS2" s="9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</row>
    <row r="3" spans="1:77" ht="15" customHeight="1">
      <c r="A3" s="10"/>
      <c r="B3" s="10"/>
      <c r="C3" s="1"/>
      <c r="D3" s="1"/>
      <c r="E3" s="1"/>
      <c r="F3" s="1"/>
      <c r="G3" s="1"/>
      <c r="H3" s="1"/>
      <c r="I3" s="1"/>
      <c r="J3" s="1"/>
      <c r="L3" s="2"/>
      <c r="M3" s="1"/>
      <c r="N3" s="1"/>
      <c r="O3" s="1"/>
      <c r="P3" s="1"/>
      <c r="Q3" s="1"/>
      <c r="R3" s="3"/>
      <c r="S3" s="3"/>
      <c r="T3" s="4"/>
      <c r="U3" s="11">
        <f>V3-554586-35645</f>
        <v>127240052.05999395</v>
      </c>
      <c r="V3" s="11">
        <f>SUBTOTAL(9,ERP_26[2026 LE0])</f>
        <v>127830283.05999395</v>
      </c>
      <c r="W3" s="12">
        <f>SUBTOTAL(9,ERP_26[LE2 Final Submission])</f>
        <v>127543527.81019594</v>
      </c>
      <c r="X3" s="12">
        <f>SUBTOTAL(9,ERP_26[LE3 Final Submission])</f>
        <v>0</v>
      </c>
      <c r="Y3" s="12">
        <f>SUBTOTAL(9,ERP_26[LE4 Final Submission])</f>
        <v>0</v>
      </c>
      <c r="Z3" s="12">
        <f>SUBTOTAL(9,ERP_26[AP01])</f>
        <v>23640270.179999996</v>
      </c>
      <c r="AA3" s="12">
        <f>SUBTOTAL(9,ERP_26[AP02])</f>
        <v>-724044.3499999966</v>
      </c>
      <c r="AB3" s="12">
        <f>SUBTOTAL(9,ERP_26[AP03])</f>
        <v>10771438.809999997</v>
      </c>
      <c r="AC3" s="12">
        <f>SUBTOTAL(9,ERP_26[AP04])</f>
        <v>11177156.510000002</v>
      </c>
      <c r="AD3" s="12">
        <f>SUBTOTAL(9,ERP_26[AP05])</f>
        <v>10094877.150000002</v>
      </c>
      <c r="AE3" s="12">
        <f>SUBTOTAL(9,ERP_26[AP06])</f>
        <v>10120088.810000008</v>
      </c>
      <c r="AF3" s="12">
        <f>SUBTOTAL(9,ERP_26[AP07])</f>
        <v>8691798.0381572563</v>
      </c>
      <c r="AG3" s="12">
        <f>SUBTOTAL(9,ERP_26[AP08])</f>
        <v>13228254.215355605</v>
      </c>
      <c r="AH3" s="12">
        <f>SUBTOTAL(9,ERP_26[AP09])</f>
        <v>9856073.4886614382</v>
      </c>
      <c r="AI3" s="12">
        <f>SUBTOTAL(9,ERP_26[AP10])</f>
        <v>9104264.5268416032</v>
      </c>
      <c r="AJ3" s="12">
        <f>SUBTOTAL(9,ERP_26[AP11])</f>
        <v>11021883.415480496</v>
      </c>
      <c r="AK3" s="12">
        <f>SUBTOTAL(9,ERP_26[AP12])</f>
        <v>9531482.1171611603</v>
      </c>
      <c r="AL3" s="12">
        <f>SUBTOTAL(9,ERP_26[2026 Working Total])</f>
        <v>126513542.91165745</v>
      </c>
      <c r="AM3" s="13">
        <f>SUBTOTAL(9,ERP_26[2026 Working Total to Budget/LE])</f>
        <v>-1029984.8985383802</v>
      </c>
      <c r="AN3" s="12">
        <f>SUBTOTAL(9,ERP_26[Latest AP Snapshot])</f>
        <v>12423319.78991475</v>
      </c>
      <c r="AO3" s="12">
        <f>SUBTOTAL(9,ERP_26[Latest AP Variance to Snapshot])</f>
        <v>-2303230.979914749</v>
      </c>
      <c r="AP3" s="13">
        <f>SUBTOTAL(9,ERP_26[YTD Act to Bud/LE])</f>
        <v>-2603029.548982827</v>
      </c>
      <c r="AQ3" s="14">
        <f>SUBTOTAL(9,ERP_26[Giveback])</f>
        <v>1125865</v>
      </c>
      <c r="AR3" s="12">
        <f>SUBTOTAL(9,ERP_26[Other Allocation])</f>
        <v>-2121849.8985383804</v>
      </c>
      <c r="AS3" s="14"/>
      <c r="AT3" s="12">
        <f>SUBTOTAL(9,ERP_26[AP01 LE2])</f>
        <v>23640270.179999996</v>
      </c>
      <c r="AU3" s="12">
        <f>SUBTOTAL(9,ERP_26[AP02 LE2])</f>
        <v>-724044.3499999966</v>
      </c>
      <c r="AV3" s="12">
        <f>SUBTOTAL(9,ERP_26[AP03 LE2])</f>
        <v>10771438.809999997</v>
      </c>
      <c r="AW3" s="12">
        <f>SUBTOTAL(9,ERP_26[AP04 LE2])</f>
        <v>10725525.104166666</v>
      </c>
      <c r="AX3" s="12">
        <f>SUBTOTAL(9,ERP_26[AP05 LE2])</f>
        <v>11493275.49658175</v>
      </c>
      <c r="AY3" s="12">
        <f>SUBTOTAL(9,ERP_26[AP06 LE2])</f>
        <v>11776351.418234417</v>
      </c>
      <c r="AZ3" s="12">
        <f>SUBTOTAL(9,ERP_26[AP07 LE2])</f>
        <v>8764781.0693794787</v>
      </c>
      <c r="BA3" s="12">
        <f>SUBTOTAL(9,ERP_26[AP08 LE2])</f>
        <v>13268435.826577827</v>
      </c>
      <c r="BB3" s="12">
        <f>SUBTOTAL(9,ERP_26[AP09 LE2])</f>
        <v>9757694.0498836599</v>
      </c>
      <c r="BC3" s="12">
        <f>SUBTOTAL(9,ERP_26[AP10 LE2])</f>
        <v>7868848.1380638257</v>
      </c>
      <c r="BD3" s="12">
        <f>SUBTOTAL(9,ERP_26[AP11 LE2])</f>
        <v>10799280.18781383</v>
      </c>
      <c r="BE3" s="12">
        <f>SUBTOTAL(9,ERP_26[AP12 LE2])</f>
        <v>9401671.8794944938</v>
      </c>
      <c r="BF3" s="12">
        <f>SUBTOTAL(9,ERP_26[2026 LE2 Working Total])</f>
        <v>127543527.81019594</v>
      </c>
      <c r="BG3" s="12">
        <f>SUBTOTAL(9,ERP_26[2026 AP01])</f>
        <v>21874330.033332985</v>
      </c>
      <c r="BH3" s="12">
        <f>SUBTOTAL(9,ERP_26[2026 AP02])</f>
        <v>-2651906.8766669957</v>
      </c>
      <c r="BI3" s="12">
        <f>SUBTOTAL(9,ERP_26[2026 AP03])</f>
        <v>9559579.6433329992</v>
      </c>
      <c r="BJ3" s="12">
        <f>SUBTOTAL(9,ERP_26[2026 AP04])</f>
        <v>11041121.059833003</v>
      </c>
      <c r="BK3" s="12">
        <f>SUBTOTAL(9,ERP_26[2026 AP05])</f>
        <v>11104104.779833002</v>
      </c>
      <c r="BL3" s="12">
        <f>SUBTOTAL(9,ERP_26[2026 AP06])</f>
        <v>12109494.719833003</v>
      </c>
      <c r="BM3" s="12">
        <f>SUBTOTAL(9,ERP_26[2026 AP07])</f>
        <v>10909506.899833001</v>
      </c>
      <c r="BN3" s="12">
        <f>SUBTOTAL(9,ERP_26[2026 AP08])</f>
        <v>10950565.859833002</v>
      </c>
      <c r="BO3" s="12">
        <f>SUBTOTAL(9,ERP_26[2026 AP09])</f>
        <v>11307113.969833001</v>
      </c>
      <c r="BP3" s="12">
        <f>SUBTOTAL(9,ERP_26[2026 AP10])</f>
        <v>10955394.099833002</v>
      </c>
      <c r="BQ3" s="12">
        <f>SUBTOTAL(9,ERP_26[2026 AP11])</f>
        <v>10161596.419833001</v>
      </c>
      <c r="BR3" s="12">
        <f>SUBTOTAL(9,ERP_26[2026 AP12])</f>
        <v>10064231.209833002</v>
      </c>
      <c r="BS3" s="12">
        <f>SUBTOTAL(9,ERP_26[2026 LE0 Submission])</f>
        <v>127385131.81849597</v>
      </c>
      <c r="BY3" s="15"/>
    </row>
    <row r="4" spans="1:77" ht="15" customHeight="1">
      <c r="C4" s="1"/>
      <c r="D4" s="1"/>
      <c r="E4" s="1"/>
      <c r="F4" s="1"/>
      <c r="G4" s="1"/>
      <c r="H4" s="1"/>
      <c r="I4" s="1"/>
      <c r="J4" s="1"/>
      <c r="L4" s="16"/>
      <c r="M4" s="4"/>
      <c r="N4" s="1"/>
      <c r="O4" s="1"/>
      <c r="P4" s="1"/>
      <c r="Q4" s="1"/>
      <c r="R4" s="3"/>
      <c r="S4" s="3"/>
      <c r="T4" s="4"/>
      <c r="AE4" s="1"/>
      <c r="AF4" s="1"/>
      <c r="AG4" s="1"/>
      <c r="AH4" s="1"/>
      <c r="AI4" s="1"/>
      <c r="AJ4" s="1"/>
      <c r="AK4" s="1"/>
      <c r="BY4" s="15"/>
    </row>
    <row r="5" spans="1:77" s="10" customFormat="1" ht="15" customHeight="1">
      <c r="C5" s="21"/>
      <c r="D5" s="18"/>
      <c r="E5" s="18"/>
      <c r="F5" s="18"/>
      <c r="G5" s="18"/>
      <c r="H5" s="18"/>
      <c r="I5" s="18"/>
      <c r="J5" s="18"/>
      <c r="K5" s="18"/>
      <c r="L5" s="19"/>
      <c r="M5" s="18"/>
      <c r="N5" s="18"/>
      <c r="O5" s="20" t="s">
        <v>310</v>
      </c>
      <c r="P5" s="18"/>
      <c r="Q5" s="18"/>
      <c r="R5" s="21"/>
      <c r="S5" s="18"/>
      <c r="T5" s="22"/>
      <c r="U5" s="23" t="s">
        <v>1053</v>
      </c>
      <c r="V5" s="24" t="s">
        <v>1054</v>
      </c>
      <c r="W5" s="24"/>
      <c r="X5" s="24"/>
      <c r="Y5" s="24"/>
      <c r="Z5" s="25" t="s">
        <v>1055</v>
      </c>
      <c r="AA5" s="26"/>
      <c r="AB5" s="26"/>
      <c r="AC5" s="420"/>
      <c r="AD5" s="26"/>
      <c r="AE5" s="27"/>
      <c r="AF5" s="27"/>
      <c r="AG5" s="27"/>
      <c r="AH5" s="27"/>
      <c r="AI5" s="27"/>
      <c r="AJ5" s="27"/>
      <c r="AK5" s="27"/>
      <c r="AL5" s="26"/>
      <c r="AM5" s="28"/>
      <c r="AN5" s="29"/>
      <c r="AO5" s="29"/>
      <c r="AP5" s="327" t="s">
        <v>1056</v>
      </c>
      <c r="AQ5" s="31"/>
      <c r="AR5" s="29"/>
      <c r="AS5" s="32"/>
      <c r="AT5" s="326" t="s">
        <v>1057</v>
      </c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3" t="s">
        <v>1054</v>
      </c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443"/>
      <c r="BY5" s="35"/>
    </row>
    <row r="6" spans="1:77" s="47" customFormat="1" ht="15" customHeight="1">
      <c r="A6" s="36"/>
      <c r="B6" s="36"/>
      <c r="C6" s="37"/>
      <c r="D6" s="37"/>
      <c r="E6" s="37"/>
      <c r="F6" s="37"/>
      <c r="G6" s="37"/>
      <c r="H6" s="37"/>
      <c r="I6" s="37"/>
      <c r="J6" s="1"/>
      <c r="K6" s="37"/>
      <c r="L6" s="38"/>
      <c r="M6" s="37"/>
      <c r="N6" s="37"/>
      <c r="O6" s="37"/>
      <c r="P6" s="37"/>
      <c r="Q6" s="37"/>
      <c r="R6" s="37"/>
      <c r="S6" s="37"/>
      <c r="T6" s="39"/>
      <c r="U6" s="40"/>
      <c r="V6" s="456" t="s">
        <v>1058</v>
      </c>
      <c r="W6" s="457">
        <v>518</v>
      </c>
      <c r="X6" s="41">
        <v>821</v>
      </c>
      <c r="Y6" s="41">
        <v>1023</v>
      </c>
      <c r="Z6" s="42" t="s">
        <v>1059</v>
      </c>
      <c r="AA6" s="42" t="s">
        <v>1059</v>
      </c>
      <c r="AB6" s="42" t="s">
        <v>1059</v>
      </c>
      <c r="AC6" s="421" t="s">
        <v>1059</v>
      </c>
      <c r="AD6" s="42" t="s">
        <v>1059</v>
      </c>
      <c r="AE6" s="43" t="s">
        <v>1059</v>
      </c>
      <c r="AF6" s="43" t="s">
        <v>1060</v>
      </c>
      <c r="AG6" s="43" t="s">
        <v>1060</v>
      </c>
      <c r="AH6" s="43" t="s">
        <v>1060</v>
      </c>
      <c r="AI6" s="43" t="s">
        <v>1060</v>
      </c>
      <c r="AJ6" s="43" t="s">
        <v>1060</v>
      </c>
      <c r="AK6" s="43" t="s">
        <v>1060</v>
      </c>
      <c r="AL6" s="40"/>
      <c r="AM6" s="40"/>
      <c r="AN6" s="458" t="s">
        <v>1093</v>
      </c>
      <c r="AO6" s="458"/>
      <c r="AP6" s="328" t="s">
        <v>1062</v>
      </c>
      <c r="AQ6" s="44" t="s">
        <v>1063</v>
      </c>
      <c r="AR6" s="45" t="s">
        <v>1064</v>
      </c>
      <c r="AS6" s="46"/>
      <c r="AT6" s="42" t="s">
        <v>1065</v>
      </c>
      <c r="AU6" s="42" t="s">
        <v>1065</v>
      </c>
      <c r="AV6" s="42" t="s">
        <v>1065</v>
      </c>
      <c r="AW6" s="42" t="s">
        <v>1065</v>
      </c>
      <c r="AX6" s="42" t="s">
        <v>1065</v>
      </c>
      <c r="AY6" s="42" t="s">
        <v>1065</v>
      </c>
      <c r="AZ6" s="42" t="s">
        <v>1065</v>
      </c>
      <c r="BA6" s="42" t="s">
        <v>1065</v>
      </c>
      <c r="BB6" s="42" t="s">
        <v>1065</v>
      </c>
      <c r="BC6" s="42" t="s">
        <v>1065</v>
      </c>
      <c r="BD6" s="42" t="s">
        <v>1065</v>
      </c>
      <c r="BE6" s="42" t="s">
        <v>1065</v>
      </c>
      <c r="BF6" s="42" t="s">
        <v>1065</v>
      </c>
      <c r="BG6" s="42" t="s">
        <v>1066</v>
      </c>
      <c r="BH6" s="42" t="s">
        <v>1066</v>
      </c>
      <c r="BI6" s="42" t="s">
        <v>1066</v>
      </c>
      <c r="BJ6" s="42" t="s">
        <v>1066</v>
      </c>
      <c r="BK6" s="42" t="s">
        <v>1066</v>
      </c>
      <c r="BL6" s="42" t="s">
        <v>1066</v>
      </c>
      <c r="BM6" s="42" t="s">
        <v>1066</v>
      </c>
      <c r="BN6" s="42" t="s">
        <v>1066</v>
      </c>
      <c r="BO6" s="42" t="s">
        <v>1066</v>
      </c>
      <c r="BP6" s="42" t="s">
        <v>1066</v>
      </c>
      <c r="BQ6" s="42" t="s">
        <v>1066</v>
      </c>
      <c r="BR6" s="42" t="s">
        <v>1066</v>
      </c>
      <c r="BS6" s="42" t="s">
        <v>1066</v>
      </c>
      <c r="BY6" s="48"/>
    </row>
    <row r="7" spans="1:77" ht="30.95" customHeight="1" thickBot="1">
      <c r="A7" s="49" t="s">
        <v>1067</v>
      </c>
      <c r="B7" s="49" t="s">
        <v>2949</v>
      </c>
      <c r="C7" s="49" t="s">
        <v>1</v>
      </c>
      <c r="D7" s="49" t="s">
        <v>2918</v>
      </c>
      <c r="E7" s="50" t="s">
        <v>1072</v>
      </c>
      <c r="F7" s="539" t="s">
        <v>2919</v>
      </c>
      <c r="G7" s="539" t="s">
        <v>2920</v>
      </c>
      <c r="H7" s="539" t="s">
        <v>2921</v>
      </c>
      <c r="I7" s="49" t="s">
        <v>1073</v>
      </c>
      <c r="J7" s="51" t="s">
        <v>1074</v>
      </c>
      <c r="K7" s="49" t="s">
        <v>1075</v>
      </c>
      <c r="L7" s="52" t="s">
        <v>0</v>
      </c>
      <c r="M7" s="53" t="s">
        <v>1076</v>
      </c>
      <c r="N7" s="324" t="s">
        <v>1077</v>
      </c>
      <c r="O7" s="444" t="s">
        <v>1078</v>
      </c>
      <c r="P7" s="49" t="s">
        <v>2</v>
      </c>
      <c r="Q7" s="49" t="s">
        <v>1079</v>
      </c>
      <c r="R7" s="323" t="s">
        <v>1080</v>
      </c>
      <c r="S7" s="54" t="s">
        <v>1081</v>
      </c>
      <c r="T7" s="54" t="s">
        <v>3</v>
      </c>
      <c r="U7" s="54" t="s">
        <v>1082</v>
      </c>
      <c r="V7" s="422" t="s">
        <v>1083</v>
      </c>
      <c r="W7" s="423" t="s">
        <v>1084</v>
      </c>
      <c r="X7" s="423" t="s">
        <v>1085</v>
      </c>
      <c r="Y7" s="55" t="s">
        <v>1086</v>
      </c>
      <c r="Z7" s="55" t="s">
        <v>1087</v>
      </c>
      <c r="AA7" s="57" t="s">
        <v>1088</v>
      </c>
      <c r="AB7" s="49" t="s">
        <v>1089</v>
      </c>
      <c r="AC7" s="49" t="s">
        <v>1090</v>
      </c>
      <c r="AD7" s="424" t="s">
        <v>1091</v>
      </c>
      <c r="AE7" s="59" t="s">
        <v>1092</v>
      </c>
      <c r="AF7" s="59" t="s">
        <v>1093</v>
      </c>
      <c r="AG7" s="58" t="s">
        <v>1061</v>
      </c>
      <c r="AH7" s="59" t="s">
        <v>1094</v>
      </c>
      <c r="AI7" s="59" t="s">
        <v>1095</v>
      </c>
      <c r="AJ7" s="58" t="s">
        <v>1096</v>
      </c>
      <c r="AK7" s="59" t="s">
        <v>1097</v>
      </c>
      <c r="AL7" s="60" t="s">
        <v>1098</v>
      </c>
      <c r="AM7" s="61" t="s">
        <v>1099</v>
      </c>
      <c r="AN7" s="62" t="s">
        <v>1100</v>
      </c>
      <c r="AO7" s="63" t="s">
        <v>1101</v>
      </c>
      <c r="AP7" s="63" t="s">
        <v>1102</v>
      </c>
      <c r="AQ7" s="329" t="s">
        <v>1103</v>
      </c>
      <c r="AR7" s="64" t="s">
        <v>1104</v>
      </c>
      <c r="AS7" s="63" t="s">
        <v>1105</v>
      </c>
      <c r="AT7" s="64" t="s">
        <v>1106</v>
      </c>
      <c r="AU7" s="441" t="s">
        <v>1107</v>
      </c>
      <c r="AV7" s="441" t="s">
        <v>1108</v>
      </c>
      <c r="AW7" s="441" t="s">
        <v>1109</v>
      </c>
      <c r="AX7" s="441" t="s">
        <v>1110</v>
      </c>
      <c r="AY7" s="441" t="s">
        <v>1111</v>
      </c>
      <c r="AZ7" s="441" t="s">
        <v>1112</v>
      </c>
      <c r="BA7" s="441" t="s">
        <v>1113</v>
      </c>
      <c r="BB7" s="441" t="s">
        <v>1114</v>
      </c>
      <c r="BC7" s="441" t="s">
        <v>1115</v>
      </c>
      <c r="BD7" s="441" t="s">
        <v>1116</v>
      </c>
      <c r="BE7" s="441" t="s">
        <v>1117</v>
      </c>
      <c r="BF7" s="441" t="s">
        <v>1118</v>
      </c>
      <c r="BG7" s="441" t="s">
        <v>1119</v>
      </c>
      <c r="BH7" s="442" t="s">
        <v>1120</v>
      </c>
      <c r="BI7" s="442" t="s">
        <v>1121</v>
      </c>
      <c r="BJ7" s="442" t="s">
        <v>1122</v>
      </c>
      <c r="BK7" s="442" t="s">
        <v>1123</v>
      </c>
      <c r="BL7" s="442" t="s">
        <v>1124</v>
      </c>
      <c r="BM7" s="442" t="s">
        <v>1125</v>
      </c>
      <c r="BN7" s="442" t="s">
        <v>1126</v>
      </c>
      <c r="BO7" s="442" t="s">
        <v>1127</v>
      </c>
      <c r="BP7" s="442" t="s">
        <v>1128</v>
      </c>
      <c r="BQ7" s="442" t="s">
        <v>1129</v>
      </c>
      <c r="BR7" s="442" t="s">
        <v>1130</v>
      </c>
      <c r="BS7" s="442" t="s">
        <v>1131</v>
      </c>
      <c r="BT7" s="442" t="s">
        <v>1132</v>
      </c>
    </row>
    <row r="8" spans="1:77" ht="15" customHeight="1">
      <c r="A8" s="66" t="s">
        <v>2906</v>
      </c>
      <c r="B8" s="66" t="s">
        <v>2950</v>
      </c>
      <c r="C8" s="66" t="s">
        <v>28</v>
      </c>
      <c r="D8" s="66" t="s">
        <v>2907</v>
      </c>
      <c r="E8" s="150" t="s">
        <v>1136</v>
      </c>
      <c r="F8" s="482" t="s">
        <v>1566</v>
      </c>
      <c r="G8" s="150" t="s">
        <v>1135</v>
      </c>
      <c r="H8" s="150" t="s">
        <v>1135</v>
      </c>
      <c r="I8" s="150" t="s">
        <v>1135</v>
      </c>
      <c r="J8" s="150" t="s">
        <v>1137</v>
      </c>
      <c r="K8" s="150" t="s">
        <v>1137</v>
      </c>
      <c r="L8" s="511" t="s">
        <v>22</v>
      </c>
      <c r="M8" s="392" t="s">
        <v>2872</v>
      </c>
      <c r="N8" s="343"/>
      <c r="O8" s="343"/>
      <c r="P8" s="70" t="s">
        <v>29</v>
      </c>
      <c r="Q8" s="346" t="s">
        <v>1139</v>
      </c>
      <c r="R8" s="346" t="s">
        <v>1140</v>
      </c>
      <c r="S8" s="346"/>
      <c r="T8" s="150" t="s">
        <v>25</v>
      </c>
      <c r="U8" s="1" t="s">
        <v>1141</v>
      </c>
      <c r="V8" s="403"/>
      <c r="W8" s="406">
        <v>9831851.3300000001</v>
      </c>
      <c r="X8" s="406">
        <v>15406112.624272117</v>
      </c>
      <c r="Y8" s="425"/>
      <c r="Z8" s="71"/>
      <c r="AA8" s="426">
        <v>1402914.3999999987</v>
      </c>
      <c r="AB8" s="427">
        <v>1397677.6399999992</v>
      </c>
      <c r="AC8" s="427">
        <v>1375284.8299999998</v>
      </c>
      <c r="AD8" s="428">
        <v>1433399.4699999997</v>
      </c>
      <c r="AE8" s="429">
        <v>1510809.23</v>
      </c>
      <c r="AF8" s="429">
        <v>372672.31999999989</v>
      </c>
      <c r="AG8" s="363">
        <v>1208851.7277970032</v>
      </c>
      <c r="AH8" s="363">
        <v>1221091.4455470033</v>
      </c>
      <c r="AI8" s="363">
        <v>1194419.2817703367</v>
      </c>
      <c r="AJ8" s="363">
        <v>1239489.2742341459</v>
      </c>
      <c r="AK8" s="363">
        <v>1239489.2742341459</v>
      </c>
      <c r="AL8" s="363">
        <v>1254635.0692481461</v>
      </c>
      <c r="AM8" s="560">
        <f t="shared" ref="AM8:AM71" si="0">SUM(AA8:AL8)</f>
        <v>14850733.96283078</v>
      </c>
      <c r="AN8" s="361">
        <f>ERP_26[[#This Row],[2026 Working Total]]-ERP_26[[#This Row],[LE2 Final Submission]]</f>
        <v>-555378.66144133732</v>
      </c>
      <c r="AO8" s="79">
        <v>1250571.8632276698</v>
      </c>
      <c r="AP8" s="79">
        <f t="shared" ref="AP8:AP71" si="1">$AF8 - $AO8</f>
        <v>-877899.54322767002</v>
      </c>
      <c r="AQ8" s="374">
        <f>SUM(ERP_26[[#This Row],[AP01]:[AP06]])-SUM(ERP_26[[#This Row],[AP01 LE2]:[AP06 LE2]])</f>
        <v>-555378.66144133732</v>
      </c>
      <c r="AR8" s="80"/>
      <c r="AS8" s="79">
        <f>ERP_26[[#This Row],[2026 Working Total to Budget/LE]]-ERP_26[[#This Row],[Giveback]]</f>
        <v>-555378.66144133732</v>
      </c>
      <c r="AT8" s="81"/>
      <c r="AU8" s="375">
        <v>1402914.3999999987</v>
      </c>
      <c r="AV8" s="375">
        <v>1397677.6399999992</v>
      </c>
      <c r="AW8" s="375">
        <v>1375284.8299999998</v>
      </c>
      <c r="AX8" s="375">
        <v>1386261.7499999984</v>
      </c>
      <c r="AY8" s="375">
        <v>1250571.8632276698</v>
      </c>
      <c r="AZ8" s="375">
        <v>1235426.0682136698</v>
      </c>
      <c r="BA8" s="375">
        <v>1208851.7277970032</v>
      </c>
      <c r="BB8" s="375">
        <v>1221091.4455470033</v>
      </c>
      <c r="BC8" s="375">
        <v>1194419.2817703367</v>
      </c>
      <c r="BD8" s="375">
        <v>1239489.2742341459</v>
      </c>
      <c r="BE8" s="375">
        <v>1239489.2742341459</v>
      </c>
      <c r="BF8" s="375">
        <v>1254635.0692481461</v>
      </c>
      <c r="BG8" s="375">
        <v>15406112.624272117</v>
      </c>
      <c r="BH8" s="79">
        <v>270417.52</v>
      </c>
      <c r="BI8" s="79">
        <v>276999.43</v>
      </c>
      <c r="BJ8" s="79">
        <v>232520.6</v>
      </c>
      <c r="BK8" s="79">
        <v>809656.43</v>
      </c>
      <c r="BL8" s="79">
        <v>809656.43</v>
      </c>
      <c r="BM8" s="79">
        <v>809656.43</v>
      </c>
      <c r="BN8" s="79">
        <v>829249.26</v>
      </c>
      <c r="BO8" s="79">
        <v>829249.26</v>
      </c>
      <c r="BP8" s="79">
        <v>854062.66</v>
      </c>
      <c r="BQ8" s="79">
        <v>854062.66</v>
      </c>
      <c r="BR8" s="79">
        <v>854062.66</v>
      </c>
      <c r="BS8" s="79">
        <v>854062.66</v>
      </c>
      <c r="BT8" s="79">
        <v>8283656.0000000009</v>
      </c>
    </row>
    <row r="9" spans="1:77" ht="15" customHeight="1">
      <c r="A9" s="66" t="s">
        <v>1133</v>
      </c>
      <c r="B9" s="66" t="s">
        <v>2950</v>
      </c>
      <c r="C9" s="66" t="s">
        <v>50</v>
      </c>
      <c r="D9" s="66" t="s">
        <v>1134</v>
      </c>
      <c r="E9" s="150" t="s">
        <v>1136</v>
      </c>
      <c r="F9" s="482" t="s">
        <v>1566</v>
      </c>
      <c r="G9" s="150" t="s">
        <v>1135</v>
      </c>
      <c r="H9" s="150" t="s">
        <v>1135</v>
      </c>
      <c r="I9" s="150" t="s">
        <v>1135</v>
      </c>
      <c r="J9" s="150" t="s">
        <v>1137</v>
      </c>
      <c r="K9" s="150" t="s">
        <v>1137</v>
      </c>
      <c r="L9" s="511" t="s">
        <v>49</v>
      </c>
      <c r="M9" s="392" t="s">
        <v>1138</v>
      </c>
      <c r="N9" s="343"/>
      <c r="O9" s="343"/>
      <c r="P9" s="70" t="s">
        <v>51</v>
      </c>
      <c r="Q9" s="346" t="s">
        <v>1139</v>
      </c>
      <c r="R9" s="346" t="s">
        <v>1140</v>
      </c>
      <c r="S9" s="346"/>
      <c r="T9" s="150" t="s">
        <v>25</v>
      </c>
      <c r="U9" s="1" t="s">
        <v>1141</v>
      </c>
      <c r="V9" s="403"/>
      <c r="W9" s="406">
        <v>1214.4000000000003</v>
      </c>
      <c r="X9" s="406">
        <v>910.80000000000018</v>
      </c>
      <c r="Y9" s="425"/>
      <c r="Z9" s="71"/>
      <c r="AA9" s="426"/>
      <c r="AB9" s="427"/>
      <c r="AC9" s="427"/>
      <c r="AD9" s="428" t="s">
        <v>1142</v>
      </c>
      <c r="AE9" s="429">
        <v>0</v>
      </c>
      <c r="AF9" s="429">
        <v>0</v>
      </c>
      <c r="AG9" s="363">
        <v>101.2</v>
      </c>
      <c r="AH9" s="363">
        <v>101.2</v>
      </c>
      <c r="AI9" s="363">
        <v>101.2</v>
      </c>
      <c r="AJ9" s="363">
        <v>101.2</v>
      </c>
      <c r="AK9" s="363">
        <v>101.2</v>
      </c>
      <c r="AL9" s="363">
        <v>101.2</v>
      </c>
      <c r="AM9" s="560">
        <f t="shared" si="0"/>
        <v>607.20000000000005</v>
      </c>
      <c r="AN9" s="362">
        <f>ERP_26[[#This Row],[2026 Working Total]]-ERP_26[[#This Row],[LE2 Final Submission]]</f>
        <v>-303.60000000000014</v>
      </c>
      <c r="AO9" s="79">
        <v>101.2</v>
      </c>
      <c r="AP9" s="79">
        <f t="shared" si="1"/>
        <v>-101.2</v>
      </c>
      <c r="AQ9" s="374">
        <f>SUM(ERP_26[[#This Row],[AP01]:[AP06]])-SUM(ERP_26[[#This Row],[AP01 LE2]:[AP06 LE2]])</f>
        <v>-303.60000000000002</v>
      </c>
      <c r="AR9" s="80"/>
      <c r="AS9" s="79">
        <f>ERP_26[[#This Row],[2026 Working Total to Budget/LE]]-ERP_26[[#This Row],[Giveback]]</f>
        <v>-303.60000000000014</v>
      </c>
      <c r="AT9" s="81"/>
      <c r="AU9" s="375"/>
      <c r="AV9" s="375"/>
      <c r="AW9" s="375"/>
      <c r="AX9" s="375">
        <v>101.2</v>
      </c>
      <c r="AY9" s="375">
        <v>101.2</v>
      </c>
      <c r="AZ9" s="375">
        <v>101.2</v>
      </c>
      <c r="BA9" s="375">
        <v>101.2</v>
      </c>
      <c r="BB9" s="375">
        <v>101.2</v>
      </c>
      <c r="BC9" s="375">
        <v>101.2</v>
      </c>
      <c r="BD9" s="375">
        <v>101.2</v>
      </c>
      <c r="BE9" s="375">
        <v>101.2</v>
      </c>
      <c r="BF9" s="375">
        <v>101.2</v>
      </c>
      <c r="BG9" s="375">
        <v>910.80000000000018</v>
      </c>
      <c r="BH9" s="79"/>
      <c r="BI9" s="79"/>
      <c r="BJ9" s="79"/>
      <c r="BK9" s="79">
        <v>101.2</v>
      </c>
      <c r="BL9" s="79">
        <v>101.2</v>
      </c>
      <c r="BM9" s="79">
        <v>101.2</v>
      </c>
      <c r="BN9" s="79">
        <v>101.2</v>
      </c>
      <c r="BO9" s="79">
        <v>101.2</v>
      </c>
      <c r="BP9" s="79">
        <v>101.2</v>
      </c>
      <c r="BQ9" s="79">
        <v>101.2</v>
      </c>
      <c r="BR9" s="79">
        <v>101.2</v>
      </c>
      <c r="BS9" s="79">
        <v>101.2</v>
      </c>
      <c r="BT9" s="79">
        <v>910.80000000000018</v>
      </c>
    </row>
    <row r="10" spans="1:77" ht="15" customHeight="1">
      <c r="A10" s="66" t="s">
        <v>1176</v>
      </c>
      <c r="B10" s="66"/>
      <c r="C10" s="66" t="s">
        <v>58</v>
      </c>
      <c r="D10" s="66" t="s">
        <v>1177</v>
      </c>
      <c r="E10" s="150" t="s">
        <v>1136</v>
      </c>
      <c r="F10" s="482" t="s">
        <v>1566</v>
      </c>
      <c r="G10" s="150" t="s">
        <v>1135</v>
      </c>
      <c r="H10" s="150" t="s">
        <v>1156</v>
      </c>
      <c r="I10" s="150" t="s">
        <v>1135</v>
      </c>
      <c r="J10" s="150" t="s">
        <v>1156</v>
      </c>
      <c r="K10" s="150" t="s">
        <v>1137</v>
      </c>
      <c r="L10" s="511" t="s">
        <v>49</v>
      </c>
      <c r="M10" s="392" t="s">
        <v>1178</v>
      </c>
      <c r="N10" s="343"/>
      <c r="O10" s="343"/>
      <c r="P10" s="70" t="s">
        <v>59</v>
      </c>
      <c r="Q10" s="346"/>
      <c r="R10" s="343"/>
      <c r="S10" s="346"/>
      <c r="T10" s="150" t="s">
        <v>25</v>
      </c>
      <c r="U10" s="150"/>
      <c r="V10" s="403"/>
      <c r="W10" s="406">
        <v>551723.03999999992</v>
      </c>
      <c r="X10" s="406">
        <v>460642</v>
      </c>
      <c r="Y10" s="425"/>
      <c r="Z10" s="71"/>
      <c r="AA10" s="426"/>
      <c r="AB10" s="427"/>
      <c r="AC10" s="427"/>
      <c r="AD10" s="428">
        <v>0</v>
      </c>
      <c r="AE10" s="429">
        <v>29102.65</v>
      </c>
      <c r="AF10" s="429">
        <v>67355.899999999994</v>
      </c>
      <c r="AG10" s="363">
        <v>58020</v>
      </c>
      <c r="AH10" s="363">
        <v>58020</v>
      </c>
      <c r="AI10" s="363">
        <f>42525+20000</f>
        <v>62525</v>
      </c>
      <c r="AJ10" s="363">
        <v>48020</v>
      </c>
      <c r="AK10" s="363">
        <v>42525</v>
      </c>
      <c r="AL10" s="363">
        <v>34020</v>
      </c>
      <c r="AM10" s="360">
        <f t="shared" si="0"/>
        <v>399588.55</v>
      </c>
      <c r="AN10" s="362">
        <f>ERP_26[[#This Row],[2026 Working Total]]-ERP_26[[#This Row],[LE2 Final Submission]]</f>
        <v>-61053.450000000012</v>
      </c>
      <c r="AO10" s="79">
        <v>141912</v>
      </c>
      <c r="AP10" s="79">
        <f t="shared" si="1"/>
        <v>-74556.100000000006</v>
      </c>
      <c r="AQ10" s="374">
        <f>SUM(ERP_26[[#This Row],[AP01]:[AP06]])-SUM(ERP_26[[#This Row],[AP01 LE2]:[AP06 LE2]])</f>
        <v>-131967.45000000001</v>
      </c>
      <c r="AR10" s="80">
        <v>-91081</v>
      </c>
      <c r="AS10" s="79">
        <f>ERP_26[[#This Row],[2026 Working Total to Budget/LE]]-ERP_26[[#This Row],[Giveback]]</f>
        <v>30027.549999999988</v>
      </c>
      <c r="AT10" s="81" t="s">
        <v>1179</v>
      </c>
      <c r="AU10" s="375"/>
      <c r="AV10" s="375"/>
      <c r="AW10" s="375"/>
      <c r="AX10" s="375">
        <v>36666</v>
      </c>
      <c r="AY10" s="375">
        <v>141912</v>
      </c>
      <c r="AZ10" s="375">
        <v>49848</v>
      </c>
      <c r="BA10" s="375">
        <v>40857</v>
      </c>
      <c r="BB10" s="375">
        <v>40681</v>
      </c>
      <c r="BC10" s="375">
        <v>37645</v>
      </c>
      <c r="BD10" s="375">
        <v>37694</v>
      </c>
      <c r="BE10" s="375">
        <v>37645</v>
      </c>
      <c r="BF10" s="375">
        <v>37694</v>
      </c>
      <c r="BG10" s="375">
        <v>460642</v>
      </c>
      <c r="BH10" s="79"/>
      <c r="BI10" s="79"/>
      <c r="BJ10" s="79"/>
      <c r="BK10" s="79">
        <v>61303</v>
      </c>
      <c r="BL10" s="79">
        <v>61303</v>
      </c>
      <c r="BM10" s="79">
        <v>61303</v>
      </c>
      <c r="BN10" s="79">
        <v>61303</v>
      </c>
      <c r="BO10" s="79">
        <v>61303</v>
      </c>
      <c r="BP10" s="79">
        <v>61303</v>
      </c>
      <c r="BQ10" s="79">
        <v>61303</v>
      </c>
      <c r="BR10" s="79">
        <v>61303</v>
      </c>
      <c r="BS10" s="79">
        <v>61303</v>
      </c>
      <c r="BT10" s="79">
        <v>551727</v>
      </c>
    </row>
    <row r="11" spans="1:77" ht="15" customHeight="1">
      <c r="A11" s="66" t="s">
        <v>1180</v>
      </c>
      <c r="B11" s="66"/>
      <c r="C11" s="66" t="s">
        <v>60</v>
      </c>
      <c r="D11" s="66" t="s">
        <v>1181</v>
      </c>
      <c r="E11" s="150" t="s">
        <v>1136</v>
      </c>
      <c r="F11" s="482" t="s">
        <v>1566</v>
      </c>
      <c r="G11" s="150" t="s">
        <v>1135</v>
      </c>
      <c r="H11" s="150" t="s">
        <v>1135</v>
      </c>
      <c r="I11" s="150" t="s">
        <v>1135</v>
      </c>
      <c r="J11" s="150" t="s">
        <v>1137</v>
      </c>
      <c r="K11" s="150" t="s">
        <v>1137</v>
      </c>
      <c r="L11" s="511" t="s">
        <v>49</v>
      </c>
      <c r="M11" s="392" t="s">
        <v>1182</v>
      </c>
      <c r="N11" s="343"/>
      <c r="O11" s="343"/>
      <c r="P11" s="70" t="s">
        <v>61</v>
      </c>
      <c r="Q11" s="346"/>
      <c r="R11" s="343"/>
      <c r="S11" s="346"/>
      <c r="T11" s="150" t="s">
        <v>25</v>
      </c>
      <c r="U11" s="150"/>
      <c r="V11" s="403"/>
      <c r="W11" s="406">
        <v>0</v>
      </c>
      <c r="X11" s="406">
        <v>214.49</v>
      </c>
      <c r="Y11" s="425"/>
      <c r="Z11" s="71"/>
      <c r="AA11" s="426">
        <v>215.71</v>
      </c>
      <c r="AB11" s="427">
        <v>-1.22</v>
      </c>
      <c r="AC11" s="431">
        <v>0</v>
      </c>
      <c r="AD11" s="428" t="s">
        <v>1142</v>
      </c>
      <c r="AE11" s="429">
        <v>0</v>
      </c>
      <c r="AF11" s="429">
        <v>0</v>
      </c>
      <c r="AG11" s="360">
        <v>0</v>
      </c>
      <c r="AH11" s="360">
        <v>0</v>
      </c>
      <c r="AI11" s="360">
        <v>0</v>
      </c>
      <c r="AJ11" s="360">
        <v>0</v>
      </c>
      <c r="AK11" s="360">
        <v>0</v>
      </c>
      <c r="AL11" s="360">
        <v>0</v>
      </c>
      <c r="AM11" s="360">
        <f t="shared" si="0"/>
        <v>214.49</v>
      </c>
      <c r="AN11" s="362">
        <f>ERP_26[[#This Row],[2026 Working Total]]-ERP_26[[#This Row],[LE2 Final Submission]]</f>
        <v>0</v>
      </c>
      <c r="AO11" s="79">
        <v>0</v>
      </c>
      <c r="AP11" s="79">
        <f t="shared" si="1"/>
        <v>0</v>
      </c>
      <c r="AQ11" s="374">
        <f>SUM(ERP_26[[#This Row],[AP01]:[AP06]])-SUM(ERP_26[[#This Row],[AP01 LE2]:[AP06 LE2]])</f>
        <v>0</v>
      </c>
      <c r="AR11" s="80"/>
      <c r="AS11" s="79">
        <f>ERP_26[[#This Row],[2026 Working Total to Budget/LE]]-ERP_26[[#This Row],[Giveback]]</f>
        <v>0</v>
      </c>
      <c r="AT11" s="81"/>
      <c r="AU11" s="375">
        <v>215.71</v>
      </c>
      <c r="AV11" s="375">
        <v>-1.22</v>
      </c>
      <c r="AW11" s="375">
        <v>0</v>
      </c>
      <c r="AX11" s="375">
        <v>0</v>
      </c>
      <c r="AY11" s="375">
        <v>0</v>
      </c>
      <c r="AZ11" s="375">
        <v>0</v>
      </c>
      <c r="BA11" s="375">
        <v>0</v>
      </c>
      <c r="BB11" s="375">
        <v>0</v>
      </c>
      <c r="BC11" s="375">
        <v>0</v>
      </c>
      <c r="BD11" s="375">
        <v>0</v>
      </c>
      <c r="BE11" s="375">
        <v>0</v>
      </c>
      <c r="BF11" s="375">
        <v>0</v>
      </c>
      <c r="BG11" s="375">
        <v>214.49</v>
      </c>
      <c r="BH11" s="79">
        <v>215.71</v>
      </c>
      <c r="BI11" s="79">
        <v>-1.22</v>
      </c>
      <c r="BJ11" s="79">
        <v>0</v>
      </c>
      <c r="BK11" s="79">
        <v>0</v>
      </c>
      <c r="BL11" s="79">
        <v>0</v>
      </c>
      <c r="BM11" s="79">
        <v>0</v>
      </c>
      <c r="BN11" s="79">
        <v>0</v>
      </c>
      <c r="BO11" s="79">
        <v>0</v>
      </c>
      <c r="BP11" s="79">
        <v>0</v>
      </c>
      <c r="BQ11" s="79">
        <v>0</v>
      </c>
      <c r="BR11" s="79">
        <v>0</v>
      </c>
      <c r="BS11" s="79">
        <v>0</v>
      </c>
      <c r="BT11" s="79">
        <v>214.49</v>
      </c>
    </row>
    <row r="12" spans="1:77" ht="15" customHeight="1">
      <c r="A12" s="66" t="s">
        <v>1183</v>
      </c>
      <c r="B12" s="66"/>
      <c r="C12" s="66" t="s">
        <v>62</v>
      </c>
      <c r="D12" s="66" t="s">
        <v>1184</v>
      </c>
      <c r="E12" s="150" t="s">
        <v>1136</v>
      </c>
      <c r="F12" s="482" t="s">
        <v>1566</v>
      </c>
      <c r="G12" s="150" t="s">
        <v>1135</v>
      </c>
      <c r="H12" s="150" t="s">
        <v>1145</v>
      </c>
      <c r="I12" s="150" t="s">
        <v>1135</v>
      </c>
      <c r="J12" s="150" t="s">
        <v>1145</v>
      </c>
      <c r="K12" s="150" t="s">
        <v>1137</v>
      </c>
      <c r="L12" s="511" t="s">
        <v>49</v>
      </c>
      <c r="M12" s="392" t="s">
        <v>1185</v>
      </c>
      <c r="N12" s="343"/>
      <c r="O12" s="346" t="s">
        <v>1186</v>
      </c>
      <c r="P12" s="70" t="s">
        <v>63</v>
      </c>
      <c r="Q12" s="346"/>
      <c r="R12" s="346" t="s">
        <v>1187</v>
      </c>
      <c r="S12" s="346"/>
      <c r="T12" s="150" t="s">
        <v>64</v>
      </c>
      <c r="U12" s="150"/>
      <c r="V12" s="403"/>
      <c r="W12" s="406">
        <v>345518.86</v>
      </c>
      <c r="X12" s="406">
        <v>345670.24</v>
      </c>
      <c r="Y12" s="425"/>
      <c r="Z12" s="71"/>
      <c r="AA12" s="426">
        <v>35812</v>
      </c>
      <c r="AB12" s="427">
        <v>40109.440000000002</v>
      </c>
      <c r="AC12" s="427">
        <v>50136.800000000003</v>
      </c>
      <c r="AD12" s="428">
        <v>40109.449999999997</v>
      </c>
      <c r="AE12" s="429">
        <v>40109.449999999997</v>
      </c>
      <c r="AF12" s="429">
        <v>29136.779999999995</v>
      </c>
      <c r="AG12" s="363">
        <v>22297</v>
      </c>
      <c r="AH12" s="363">
        <v>19127</v>
      </c>
      <c r="AI12" s="363">
        <v>19127</v>
      </c>
      <c r="AJ12" s="363">
        <v>19127</v>
      </c>
      <c r="AK12" s="363">
        <v>19127</v>
      </c>
      <c r="AL12" s="363">
        <v>19127</v>
      </c>
      <c r="AM12" s="360">
        <f t="shared" si="0"/>
        <v>353345.92000000004</v>
      </c>
      <c r="AN12" s="362">
        <f>ERP_26[[#This Row],[2026 Working Total]]-ERP_26[[#This Row],[LE2 Final Submission]]</f>
        <v>7675.6800000000512</v>
      </c>
      <c r="AO12" s="79">
        <v>28897</v>
      </c>
      <c r="AP12" s="79">
        <f t="shared" si="1"/>
        <v>239.7799999999952</v>
      </c>
      <c r="AQ12" s="374">
        <f>SUM(ERP_26[[#This Row],[AP01]:[AP06]])-SUM(ERP_26[[#This Row],[AP01 LE2]:[AP06 LE2]])</f>
        <v>11561.680000000022</v>
      </c>
      <c r="AR12" s="80"/>
      <c r="AS12" s="79">
        <f>ERP_26[[#This Row],[2026 Working Total to Budget/LE]]-ERP_26[[#This Row],[Giveback]]</f>
        <v>7675.6800000000512</v>
      </c>
      <c r="AT12" s="81"/>
      <c r="AU12" s="375">
        <v>35812</v>
      </c>
      <c r="AV12" s="375">
        <v>40109.440000000002</v>
      </c>
      <c r="AW12" s="375">
        <v>50136.800000000003</v>
      </c>
      <c r="AX12" s="375">
        <v>40000</v>
      </c>
      <c r="AY12" s="375">
        <v>28897</v>
      </c>
      <c r="AZ12" s="375">
        <v>28897</v>
      </c>
      <c r="BA12" s="375">
        <v>23013</v>
      </c>
      <c r="BB12" s="375">
        <v>22297</v>
      </c>
      <c r="BC12" s="375">
        <v>19127</v>
      </c>
      <c r="BD12" s="375">
        <v>19127</v>
      </c>
      <c r="BE12" s="375">
        <v>19127</v>
      </c>
      <c r="BF12" s="375">
        <v>19127</v>
      </c>
      <c r="BG12" s="375">
        <v>345670.24</v>
      </c>
      <c r="BH12" s="79">
        <v>35812</v>
      </c>
      <c r="BI12" s="79">
        <v>40109.440000000002</v>
      </c>
      <c r="BJ12" s="79">
        <v>50136.800000000003</v>
      </c>
      <c r="BK12" s="79">
        <v>40000</v>
      </c>
      <c r="BL12" s="79">
        <v>28897</v>
      </c>
      <c r="BM12" s="79">
        <v>28897</v>
      </c>
      <c r="BN12" s="79">
        <v>23013</v>
      </c>
      <c r="BO12" s="79">
        <v>22297</v>
      </c>
      <c r="BP12" s="79">
        <v>22297</v>
      </c>
      <c r="BQ12" s="79">
        <v>22297</v>
      </c>
      <c r="BR12" s="79">
        <v>22297</v>
      </c>
      <c r="BS12" s="79">
        <v>22297</v>
      </c>
      <c r="BT12" s="79">
        <v>358350.24</v>
      </c>
    </row>
    <row r="13" spans="1:77" ht="15" customHeight="1">
      <c r="A13" s="66" t="s">
        <v>1188</v>
      </c>
      <c r="B13" s="66"/>
      <c r="C13" s="66" t="s">
        <v>65</v>
      </c>
      <c r="D13" s="66" t="s">
        <v>65</v>
      </c>
      <c r="E13" s="150" t="s">
        <v>1136</v>
      </c>
      <c r="F13" s="482" t="s">
        <v>1566</v>
      </c>
      <c r="G13" s="150" t="s">
        <v>1135</v>
      </c>
      <c r="H13" s="150" t="s">
        <v>1135</v>
      </c>
      <c r="I13" s="150" t="s">
        <v>1135</v>
      </c>
      <c r="J13" s="150" t="s">
        <v>1135</v>
      </c>
      <c r="K13" s="150" t="s">
        <v>1137</v>
      </c>
      <c r="L13" s="511" t="s">
        <v>49</v>
      </c>
      <c r="M13" s="392" t="s">
        <v>1189</v>
      </c>
      <c r="N13" s="343" t="s">
        <v>2910</v>
      </c>
      <c r="O13" s="346" t="s">
        <v>1191</v>
      </c>
      <c r="P13" s="70" t="s">
        <v>66</v>
      </c>
      <c r="Q13" s="346"/>
      <c r="R13" s="346" t="s">
        <v>1192</v>
      </c>
      <c r="S13" s="346"/>
      <c r="T13" s="150" t="s">
        <v>67</v>
      </c>
      <c r="U13" s="150"/>
      <c r="V13" s="403"/>
      <c r="W13" s="406">
        <v>216000</v>
      </c>
      <c r="X13" s="406">
        <v>197423.06</v>
      </c>
      <c r="Y13" s="430"/>
      <c r="Z13" s="137"/>
      <c r="AA13" s="426">
        <v>14166</v>
      </c>
      <c r="AB13" s="427">
        <v>18835.37</v>
      </c>
      <c r="AC13" s="427">
        <v>16863.689999999999</v>
      </c>
      <c r="AD13" s="428">
        <v>15866.15</v>
      </c>
      <c r="AE13" s="429">
        <v>15866.160000000003</v>
      </c>
      <c r="AF13" s="429">
        <v>19832.689999999999</v>
      </c>
      <c r="AG13" s="363">
        <v>17000</v>
      </c>
      <c r="AH13" s="363">
        <v>17000</v>
      </c>
      <c r="AI13" s="363">
        <v>17000</v>
      </c>
      <c r="AJ13" s="363">
        <v>17000</v>
      </c>
      <c r="AK13" s="363">
        <v>17000</v>
      </c>
      <c r="AL13" s="363">
        <v>17000</v>
      </c>
      <c r="AM13" s="360">
        <f t="shared" si="0"/>
        <v>203430.06</v>
      </c>
      <c r="AN13" s="362">
        <f>ERP_26[[#This Row],[2026 Working Total]]-ERP_26[[#This Row],[LE2 Final Submission]]</f>
        <v>6007</v>
      </c>
      <c r="AO13" s="79">
        <v>17000</v>
      </c>
      <c r="AP13" s="79">
        <f t="shared" si="1"/>
        <v>2832.6899999999987</v>
      </c>
      <c r="AQ13" s="374">
        <f>SUM(ERP_26[[#This Row],[AP01]:[AP06]])-SUM(ERP_26[[#This Row],[AP01 LE2]:[AP06 LE2]])</f>
        <v>6007</v>
      </c>
      <c r="AR13" s="80"/>
      <c r="AS13" s="79">
        <f>ERP_26[[#This Row],[2026 Working Total to Budget/LE]]-ERP_26[[#This Row],[Giveback]]</f>
        <v>6007</v>
      </c>
      <c r="AT13" s="81"/>
      <c r="AU13" s="375">
        <v>14166</v>
      </c>
      <c r="AV13" s="375">
        <v>18835.37</v>
      </c>
      <c r="AW13" s="375">
        <v>16863.689999999999</v>
      </c>
      <c r="AX13" s="375">
        <v>11558</v>
      </c>
      <c r="AY13" s="375">
        <v>17000</v>
      </c>
      <c r="AZ13" s="375">
        <v>17000</v>
      </c>
      <c r="BA13" s="375">
        <v>17000</v>
      </c>
      <c r="BB13" s="375">
        <v>17000</v>
      </c>
      <c r="BC13" s="375">
        <v>17000</v>
      </c>
      <c r="BD13" s="375">
        <v>17000</v>
      </c>
      <c r="BE13" s="375">
        <v>17000</v>
      </c>
      <c r="BF13" s="375">
        <v>17000</v>
      </c>
      <c r="BG13" s="375">
        <v>197423.06</v>
      </c>
      <c r="BH13" s="79">
        <v>14166</v>
      </c>
      <c r="BI13" s="79">
        <v>18835.37</v>
      </c>
      <c r="BJ13" s="79">
        <v>16863.689999999999</v>
      </c>
      <c r="BK13" s="79">
        <v>18000</v>
      </c>
      <c r="BL13" s="79">
        <v>18000</v>
      </c>
      <c r="BM13" s="79">
        <v>18000</v>
      </c>
      <c r="BN13" s="79">
        <v>18000</v>
      </c>
      <c r="BO13" s="79">
        <v>18000</v>
      </c>
      <c r="BP13" s="79">
        <v>18000</v>
      </c>
      <c r="BQ13" s="79">
        <v>18000</v>
      </c>
      <c r="BR13" s="79">
        <v>18000</v>
      </c>
      <c r="BS13" s="79">
        <v>18000</v>
      </c>
      <c r="BT13" s="79">
        <v>211865.06</v>
      </c>
    </row>
    <row r="14" spans="1:77" ht="15" customHeight="1">
      <c r="A14" s="66" t="s">
        <v>1193</v>
      </c>
      <c r="B14" s="66"/>
      <c r="C14" s="66" t="s">
        <v>68</v>
      </c>
      <c r="D14" s="66" t="s">
        <v>68</v>
      </c>
      <c r="E14" s="150" t="s">
        <v>1136</v>
      </c>
      <c r="F14" s="482" t="s">
        <v>1566</v>
      </c>
      <c r="G14" s="150" t="s">
        <v>1135</v>
      </c>
      <c r="H14" s="150" t="s">
        <v>1135</v>
      </c>
      <c r="I14" s="150" t="s">
        <v>1135</v>
      </c>
      <c r="J14" s="150" t="s">
        <v>1135</v>
      </c>
      <c r="K14" s="150" t="s">
        <v>1137</v>
      </c>
      <c r="L14" s="511" t="s">
        <v>49</v>
      </c>
      <c r="M14" s="392" t="s">
        <v>1194</v>
      </c>
      <c r="N14" s="343" t="s">
        <v>1195</v>
      </c>
      <c r="O14" s="346" t="s">
        <v>1171</v>
      </c>
      <c r="P14" s="70" t="s">
        <v>69</v>
      </c>
      <c r="Q14" s="346"/>
      <c r="R14" s="346" t="s">
        <v>1196</v>
      </c>
      <c r="S14" s="346"/>
      <c r="T14" s="150" t="s">
        <v>67</v>
      </c>
      <c r="U14" s="150"/>
      <c r="V14" s="403"/>
      <c r="W14" s="406">
        <v>237888</v>
      </c>
      <c r="X14" s="406">
        <v>236045.4</v>
      </c>
      <c r="Y14" s="425"/>
      <c r="Z14" s="71"/>
      <c r="AA14" s="426">
        <v>16372</v>
      </c>
      <c r="AB14" s="427">
        <v>18336.62</v>
      </c>
      <c r="AC14" s="427">
        <v>22920.78</v>
      </c>
      <c r="AD14" s="428">
        <v>18336.629999999997</v>
      </c>
      <c r="AE14" s="429">
        <v>18336.63</v>
      </c>
      <c r="AF14" s="429">
        <v>22920.78</v>
      </c>
      <c r="AG14" s="363">
        <v>19824</v>
      </c>
      <c r="AH14" s="363">
        <v>19824</v>
      </c>
      <c r="AI14" s="363">
        <v>19824</v>
      </c>
      <c r="AJ14" s="363">
        <v>19824</v>
      </c>
      <c r="AK14" s="363">
        <v>19824</v>
      </c>
      <c r="AL14" s="363">
        <v>19824</v>
      </c>
      <c r="AM14" s="360">
        <f t="shared" si="0"/>
        <v>236167.44</v>
      </c>
      <c r="AN14" s="362">
        <f>ERP_26[[#This Row],[2026 Working Total]]-ERP_26[[#This Row],[LE2 Final Submission]]</f>
        <v>122.04000000000815</v>
      </c>
      <c r="AO14" s="79">
        <v>19824</v>
      </c>
      <c r="AP14" s="79">
        <f t="shared" si="1"/>
        <v>3096.7799999999988</v>
      </c>
      <c r="AQ14" s="374">
        <f>SUM(ERP_26[[#This Row],[AP01]:[AP06]])-SUM(ERP_26[[#This Row],[AP01 LE2]:[AP06 LE2]])</f>
        <v>122.04000000000815</v>
      </c>
      <c r="AR14" s="80"/>
      <c r="AS14" s="79">
        <f>ERP_26[[#This Row],[2026 Working Total to Budget/LE]]-ERP_26[[#This Row],[Giveback]]</f>
        <v>122.04000000000815</v>
      </c>
      <c r="AT14" s="81"/>
      <c r="AU14" s="375">
        <v>16372</v>
      </c>
      <c r="AV14" s="375">
        <v>18336.62</v>
      </c>
      <c r="AW14" s="375">
        <v>22920.78</v>
      </c>
      <c r="AX14" s="375">
        <v>19824</v>
      </c>
      <c r="AY14" s="375">
        <v>19824</v>
      </c>
      <c r="AZ14" s="375">
        <v>19824</v>
      </c>
      <c r="BA14" s="375">
        <v>19824</v>
      </c>
      <c r="BB14" s="375">
        <v>19824</v>
      </c>
      <c r="BC14" s="375">
        <v>19824</v>
      </c>
      <c r="BD14" s="375">
        <v>19824</v>
      </c>
      <c r="BE14" s="375">
        <v>19824</v>
      </c>
      <c r="BF14" s="375">
        <v>19824</v>
      </c>
      <c r="BG14" s="375">
        <v>236045.4</v>
      </c>
      <c r="BH14" s="79">
        <v>16372</v>
      </c>
      <c r="BI14" s="79">
        <v>18336.62</v>
      </c>
      <c r="BJ14" s="79">
        <v>22920.78</v>
      </c>
      <c r="BK14" s="79">
        <v>19824</v>
      </c>
      <c r="BL14" s="79">
        <v>19824</v>
      </c>
      <c r="BM14" s="79">
        <v>19824</v>
      </c>
      <c r="BN14" s="79">
        <v>19824</v>
      </c>
      <c r="BO14" s="79">
        <v>19824</v>
      </c>
      <c r="BP14" s="79">
        <v>19824</v>
      </c>
      <c r="BQ14" s="79">
        <v>19824</v>
      </c>
      <c r="BR14" s="79">
        <v>19824</v>
      </c>
      <c r="BS14" s="79">
        <v>19824</v>
      </c>
      <c r="BT14" s="79">
        <v>236045.4</v>
      </c>
    </row>
    <row r="15" spans="1:77" ht="15" customHeight="1">
      <c r="A15" s="66" t="s">
        <v>1197</v>
      </c>
      <c r="B15" s="66"/>
      <c r="C15" s="66" t="s">
        <v>70</v>
      </c>
      <c r="D15" s="66" t="s">
        <v>70</v>
      </c>
      <c r="E15" s="150" t="s">
        <v>1136</v>
      </c>
      <c r="F15" s="482" t="s">
        <v>1566</v>
      </c>
      <c r="G15" s="150" t="s">
        <v>1135</v>
      </c>
      <c r="H15" s="150" t="s">
        <v>1135</v>
      </c>
      <c r="I15" s="150" t="s">
        <v>1135</v>
      </c>
      <c r="J15" s="150" t="s">
        <v>1135</v>
      </c>
      <c r="K15" s="150" t="s">
        <v>1137</v>
      </c>
      <c r="L15" s="511" t="s">
        <v>49</v>
      </c>
      <c r="M15" s="392" t="s">
        <v>1198</v>
      </c>
      <c r="N15" s="343" t="s">
        <v>1190</v>
      </c>
      <c r="O15" s="346" t="s">
        <v>1171</v>
      </c>
      <c r="P15" s="70" t="s">
        <v>71</v>
      </c>
      <c r="Q15" s="346"/>
      <c r="R15" s="346" t="s">
        <v>1199</v>
      </c>
      <c r="S15" s="346"/>
      <c r="T15" s="150" t="s">
        <v>64</v>
      </c>
      <c r="U15" s="150"/>
      <c r="V15" s="403"/>
      <c r="W15" s="406">
        <v>230004</v>
      </c>
      <c r="X15" s="406">
        <v>211390.3</v>
      </c>
      <c r="Y15" s="425"/>
      <c r="Z15" s="71"/>
      <c r="AA15" s="426">
        <v>14973</v>
      </c>
      <c r="AB15" s="427">
        <v>18162.759999999998</v>
      </c>
      <c r="AC15" s="427">
        <v>19567.54</v>
      </c>
      <c r="AD15" s="428">
        <v>16769.23</v>
      </c>
      <c r="AE15" s="429">
        <v>16769.23</v>
      </c>
      <c r="AF15" s="429">
        <v>-21713.759999999998</v>
      </c>
      <c r="AG15" s="363">
        <v>17440</v>
      </c>
      <c r="AH15" s="363">
        <v>17440</v>
      </c>
      <c r="AI15" s="363">
        <v>17440</v>
      </c>
      <c r="AJ15" s="363">
        <v>17440</v>
      </c>
      <c r="AK15" s="363">
        <v>17440</v>
      </c>
      <c r="AL15" s="363">
        <v>17440</v>
      </c>
      <c r="AM15" s="360">
        <f t="shared" si="0"/>
        <v>169168</v>
      </c>
      <c r="AN15" s="362">
        <f>ERP_26[[#This Row],[2026 Working Total]]-ERP_26[[#This Row],[LE2 Final Submission]]</f>
        <v>-42222.299999999988</v>
      </c>
      <c r="AO15" s="79">
        <v>17440</v>
      </c>
      <c r="AP15" s="79">
        <f t="shared" si="1"/>
        <v>-39153.759999999995</v>
      </c>
      <c r="AQ15" s="374">
        <f>SUM(ERP_26[[#This Row],[AP01]:[AP06]])-SUM(ERP_26[[#This Row],[AP01 LE2]:[AP06 LE2]])</f>
        <v>-42222.299999999988</v>
      </c>
      <c r="AR15" s="80"/>
      <c r="AS15" s="79">
        <f>ERP_26[[#This Row],[2026 Working Total to Budget/LE]]-ERP_26[[#This Row],[Giveback]]</f>
        <v>-42222.299999999988</v>
      </c>
      <c r="AT15" s="81"/>
      <c r="AU15" s="375">
        <v>14973</v>
      </c>
      <c r="AV15" s="375">
        <v>18162.759999999998</v>
      </c>
      <c r="AW15" s="375">
        <v>19567.54</v>
      </c>
      <c r="AX15" s="375">
        <v>19167</v>
      </c>
      <c r="AY15" s="375">
        <v>17440</v>
      </c>
      <c r="AZ15" s="375">
        <v>17440</v>
      </c>
      <c r="BA15" s="375">
        <v>17440</v>
      </c>
      <c r="BB15" s="375">
        <v>17440</v>
      </c>
      <c r="BC15" s="375">
        <v>17440</v>
      </c>
      <c r="BD15" s="375">
        <v>17440</v>
      </c>
      <c r="BE15" s="375">
        <v>17440</v>
      </c>
      <c r="BF15" s="375">
        <v>17440</v>
      </c>
      <c r="BG15" s="375">
        <v>211390.3</v>
      </c>
      <c r="BH15" s="79">
        <v>14973</v>
      </c>
      <c r="BI15" s="79">
        <v>18162.759999999998</v>
      </c>
      <c r="BJ15" s="79">
        <v>19567.54</v>
      </c>
      <c r="BK15" s="79">
        <v>19167</v>
      </c>
      <c r="BL15" s="79">
        <v>19167</v>
      </c>
      <c r="BM15" s="79">
        <v>19167</v>
      </c>
      <c r="BN15" s="79">
        <v>19167</v>
      </c>
      <c r="BO15" s="79">
        <v>19167</v>
      </c>
      <c r="BP15" s="79">
        <v>19167</v>
      </c>
      <c r="BQ15" s="79">
        <v>19167</v>
      </c>
      <c r="BR15" s="79">
        <v>19167</v>
      </c>
      <c r="BS15" s="79">
        <v>19167</v>
      </c>
      <c r="BT15" s="79">
        <v>225206.3</v>
      </c>
    </row>
    <row r="16" spans="1:77" ht="15" customHeight="1">
      <c r="A16" s="66" t="s">
        <v>1200</v>
      </c>
      <c r="B16" s="66"/>
      <c r="C16" s="66" t="s">
        <v>72</v>
      </c>
      <c r="D16" s="66" t="s">
        <v>72</v>
      </c>
      <c r="E16" s="150" t="s">
        <v>1136</v>
      </c>
      <c r="F16" s="482" t="s">
        <v>1566</v>
      </c>
      <c r="G16" s="150" t="s">
        <v>1135</v>
      </c>
      <c r="H16" s="150" t="s">
        <v>1135</v>
      </c>
      <c r="I16" s="150" t="s">
        <v>1135</v>
      </c>
      <c r="J16" s="150" t="s">
        <v>1135</v>
      </c>
      <c r="K16" s="150" t="s">
        <v>1137</v>
      </c>
      <c r="L16" s="511" t="s">
        <v>49</v>
      </c>
      <c r="M16" s="392" t="s">
        <v>1201</v>
      </c>
      <c r="N16" s="343" t="s">
        <v>1202</v>
      </c>
      <c r="O16" s="346" t="s">
        <v>1171</v>
      </c>
      <c r="P16" s="70" t="s">
        <v>73</v>
      </c>
      <c r="Q16" s="346"/>
      <c r="R16" s="346" t="s">
        <v>1203</v>
      </c>
      <c r="S16" s="346"/>
      <c r="T16" s="150" t="s">
        <v>64</v>
      </c>
      <c r="U16" s="150"/>
      <c r="V16" s="403"/>
      <c r="W16" s="406">
        <v>187200</v>
      </c>
      <c r="X16" s="406">
        <v>185657.15</v>
      </c>
      <c r="Y16" s="430"/>
      <c r="Z16" s="137"/>
      <c r="AA16" s="426">
        <v>12857</v>
      </c>
      <c r="AB16" s="427">
        <v>18823.150000000001</v>
      </c>
      <c r="AC16" s="427">
        <v>13577</v>
      </c>
      <c r="AD16" s="428">
        <v>14400</v>
      </c>
      <c r="AE16" s="429">
        <v>17263</v>
      </c>
      <c r="AF16" s="429">
        <v>36956.74</v>
      </c>
      <c r="AG16" s="363">
        <v>15600</v>
      </c>
      <c r="AH16" s="363">
        <v>15600</v>
      </c>
      <c r="AI16" s="363">
        <v>15600</v>
      </c>
      <c r="AJ16" s="363">
        <v>15600</v>
      </c>
      <c r="AK16" s="363">
        <v>15600</v>
      </c>
      <c r="AL16" s="363">
        <v>15600</v>
      </c>
      <c r="AM16" s="360">
        <f t="shared" si="0"/>
        <v>207476.88999999998</v>
      </c>
      <c r="AN16" s="362">
        <f>ERP_26[[#This Row],[2026 Working Total]]-ERP_26[[#This Row],[LE2 Final Submission]]</f>
        <v>21819.739999999991</v>
      </c>
      <c r="AO16" s="79">
        <v>15600</v>
      </c>
      <c r="AP16" s="79">
        <f t="shared" si="1"/>
        <v>21356.739999999998</v>
      </c>
      <c r="AQ16" s="374">
        <f>SUM(ERP_26[[#This Row],[AP01]:[AP06]])-SUM(ERP_26[[#This Row],[AP01 LE2]:[AP06 LE2]])</f>
        <v>21819.739999999991</v>
      </c>
      <c r="AR16" s="80"/>
      <c r="AS16" s="79">
        <f>ERP_26[[#This Row],[2026 Working Total to Budget/LE]]-ERP_26[[#This Row],[Giveback]]</f>
        <v>21819.739999999991</v>
      </c>
      <c r="AT16" s="81"/>
      <c r="AU16" s="375">
        <v>12857</v>
      </c>
      <c r="AV16" s="375">
        <v>18823.150000000001</v>
      </c>
      <c r="AW16" s="375">
        <v>13577</v>
      </c>
      <c r="AX16" s="375">
        <v>15600</v>
      </c>
      <c r="AY16" s="375">
        <v>15600</v>
      </c>
      <c r="AZ16" s="375">
        <v>15600</v>
      </c>
      <c r="BA16" s="375">
        <v>15600</v>
      </c>
      <c r="BB16" s="375">
        <v>15600</v>
      </c>
      <c r="BC16" s="375">
        <v>15600</v>
      </c>
      <c r="BD16" s="375">
        <v>15600</v>
      </c>
      <c r="BE16" s="375">
        <v>15600</v>
      </c>
      <c r="BF16" s="375">
        <v>15600</v>
      </c>
      <c r="BG16" s="375">
        <v>185657.15</v>
      </c>
      <c r="BH16" s="79">
        <v>12857</v>
      </c>
      <c r="BI16" s="79">
        <v>18823.150000000001</v>
      </c>
      <c r="BJ16" s="79">
        <v>13577</v>
      </c>
      <c r="BK16" s="79">
        <v>15600</v>
      </c>
      <c r="BL16" s="79">
        <v>15600</v>
      </c>
      <c r="BM16" s="79">
        <v>15600</v>
      </c>
      <c r="BN16" s="79">
        <v>15600</v>
      </c>
      <c r="BO16" s="79">
        <v>15600</v>
      </c>
      <c r="BP16" s="79">
        <v>15600</v>
      </c>
      <c r="BQ16" s="79">
        <v>15600</v>
      </c>
      <c r="BR16" s="79">
        <v>15600</v>
      </c>
      <c r="BS16" s="79">
        <v>15600</v>
      </c>
      <c r="BT16" s="79">
        <v>185657.15</v>
      </c>
    </row>
    <row r="17" spans="1:72" ht="15" customHeight="1">
      <c r="A17" s="66" t="s">
        <v>1204</v>
      </c>
      <c r="B17" s="66"/>
      <c r="C17" s="66" t="s">
        <v>74</v>
      </c>
      <c r="D17" s="66" t="s">
        <v>74</v>
      </c>
      <c r="E17" s="150" t="s">
        <v>1136</v>
      </c>
      <c r="F17" s="482" t="s">
        <v>1566</v>
      </c>
      <c r="G17" s="150" t="s">
        <v>1135</v>
      </c>
      <c r="H17" s="150" t="s">
        <v>1135</v>
      </c>
      <c r="I17" s="150" t="s">
        <v>1135</v>
      </c>
      <c r="J17" s="150" t="s">
        <v>1135</v>
      </c>
      <c r="K17" s="150" t="s">
        <v>1137</v>
      </c>
      <c r="L17" s="511" t="s">
        <v>49</v>
      </c>
      <c r="M17" s="392" t="s">
        <v>1205</v>
      </c>
      <c r="N17" s="343" t="s">
        <v>1206</v>
      </c>
      <c r="O17" s="346" t="s">
        <v>1171</v>
      </c>
      <c r="P17" s="70" t="s">
        <v>75</v>
      </c>
      <c r="Q17" s="346"/>
      <c r="R17" s="346" t="s">
        <v>1207</v>
      </c>
      <c r="S17" s="346"/>
      <c r="T17" s="150" t="s">
        <v>64</v>
      </c>
      <c r="U17" s="150"/>
      <c r="V17" s="403"/>
      <c r="W17" s="406">
        <v>141310.95000000001</v>
      </c>
      <c r="X17" s="406">
        <v>132735.51</v>
      </c>
      <c r="Y17" s="425"/>
      <c r="Z17" s="71"/>
      <c r="AA17" s="426">
        <v>9654</v>
      </c>
      <c r="AB17" s="427">
        <v>14825.74</v>
      </c>
      <c r="AC17" s="427">
        <v>12851.77</v>
      </c>
      <c r="AD17" s="428">
        <v>7463.62</v>
      </c>
      <c r="AE17" s="429">
        <v>16343.609999999997</v>
      </c>
      <c r="AF17" s="429">
        <v>13997.279999999999</v>
      </c>
      <c r="AG17" s="363">
        <v>6534</v>
      </c>
      <c r="AH17" s="363">
        <v>6534</v>
      </c>
      <c r="AI17" s="363">
        <v>6534</v>
      </c>
      <c r="AJ17" s="363">
        <v>6534</v>
      </c>
      <c r="AK17" s="363">
        <v>6534</v>
      </c>
      <c r="AL17" s="363">
        <v>6534</v>
      </c>
      <c r="AM17" s="360">
        <f t="shared" si="0"/>
        <v>114340.01999999999</v>
      </c>
      <c r="AN17" s="362">
        <f>ERP_26[[#This Row],[2026 Working Total]]-ERP_26[[#This Row],[LE2 Final Submission]]</f>
        <v>-18395.49000000002</v>
      </c>
      <c r="AO17" s="79">
        <v>10718</v>
      </c>
      <c r="AP17" s="79">
        <f t="shared" si="1"/>
        <v>3279.2799999999988</v>
      </c>
      <c r="AQ17" s="374">
        <f>SUM(ERP_26[[#This Row],[AP01]:[AP06]])-SUM(ERP_26[[#This Row],[AP01 LE2]:[AP06 LE2]])</f>
        <v>5554.5099999999948</v>
      </c>
      <c r="AR17" s="80"/>
      <c r="AS17" s="79">
        <f>ERP_26[[#This Row],[2026 Working Total to Budget/LE]]-ERP_26[[#This Row],[Giveback]]</f>
        <v>-18395.49000000002</v>
      </c>
      <c r="AT17" s="81"/>
      <c r="AU17" s="375">
        <v>9654</v>
      </c>
      <c r="AV17" s="375">
        <v>14825.74</v>
      </c>
      <c r="AW17" s="375">
        <v>12851.77</v>
      </c>
      <c r="AX17" s="375">
        <v>11942</v>
      </c>
      <c r="AY17" s="375">
        <v>10718</v>
      </c>
      <c r="AZ17" s="375">
        <v>9590</v>
      </c>
      <c r="BA17" s="375">
        <v>9590</v>
      </c>
      <c r="BB17" s="375">
        <v>10718</v>
      </c>
      <c r="BC17" s="375">
        <v>11090</v>
      </c>
      <c r="BD17" s="375">
        <v>11090</v>
      </c>
      <c r="BE17" s="375">
        <v>9590</v>
      </c>
      <c r="BF17" s="375">
        <v>11076</v>
      </c>
      <c r="BG17" s="375">
        <v>132735.51</v>
      </c>
      <c r="BH17" s="79">
        <v>9654</v>
      </c>
      <c r="BI17" s="79">
        <v>14825.74</v>
      </c>
      <c r="BJ17" s="79">
        <v>12851.77</v>
      </c>
      <c r="BK17" s="79">
        <v>10870.45</v>
      </c>
      <c r="BL17" s="79">
        <v>11986</v>
      </c>
      <c r="BM17" s="79">
        <v>11986</v>
      </c>
      <c r="BN17" s="79">
        <v>11986</v>
      </c>
      <c r="BO17" s="79">
        <v>11986</v>
      </c>
      <c r="BP17" s="79">
        <v>11986</v>
      </c>
      <c r="BQ17" s="79">
        <v>11986</v>
      </c>
      <c r="BR17" s="79">
        <v>11986</v>
      </c>
      <c r="BS17" s="79">
        <v>11986</v>
      </c>
      <c r="BT17" s="79">
        <v>144089.96</v>
      </c>
    </row>
    <row r="18" spans="1:72" ht="15" customHeight="1">
      <c r="A18" s="66" t="s">
        <v>1208</v>
      </c>
      <c r="B18" s="66"/>
      <c r="C18" s="66" t="s">
        <v>76</v>
      </c>
      <c r="D18" s="66" t="s">
        <v>76</v>
      </c>
      <c r="E18" s="150" t="s">
        <v>1136</v>
      </c>
      <c r="F18" s="482" t="s">
        <v>1566</v>
      </c>
      <c r="G18" s="150" t="s">
        <v>1135</v>
      </c>
      <c r="H18" s="150" t="s">
        <v>1135</v>
      </c>
      <c r="I18" s="150" t="s">
        <v>1135</v>
      </c>
      <c r="J18" s="150" t="s">
        <v>1135</v>
      </c>
      <c r="K18" s="150" t="s">
        <v>1137</v>
      </c>
      <c r="L18" s="511" t="s">
        <v>49</v>
      </c>
      <c r="M18" s="392" t="s">
        <v>1209</v>
      </c>
      <c r="N18" s="343" t="s">
        <v>1210</v>
      </c>
      <c r="O18" s="346" t="s">
        <v>1171</v>
      </c>
      <c r="P18" s="70" t="s">
        <v>77</v>
      </c>
      <c r="Q18" s="346"/>
      <c r="R18" s="346" t="s">
        <v>1211</v>
      </c>
      <c r="S18" s="346"/>
      <c r="T18" s="150" t="s">
        <v>25</v>
      </c>
      <c r="U18" s="150"/>
      <c r="V18" s="403"/>
      <c r="W18" s="406">
        <v>97500</v>
      </c>
      <c r="X18" s="406">
        <v>90751.67</v>
      </c>
      <c r="Y18" s="425"/>
      <c r="Z18" s="71"/>
      <c r="AA18" s="426">
        <v>10704.42</v>
      </c>
      <c r="AB18" s="427">
        <v>11988.8</v>
      </c>
      <c r="AC18" s="427">
        <v>9558.4500000000007</v>
      </c>
      <c r="AD18" s="428">
        <v>6923.07</v>
      </c>
      <c r="AE18" s="429">
        <v>8819.08</v>
      </c>
      <c r="AF18" s="429">
        <v>6012.1100000000006</v>
      </c>
      <c r="AG18" s="363">
        <v>6000</v>
      </c>
      <c r="AH18" s="363">
        <v>6000</v>
      </c>
      <c r="AI18" s="363">
        <v>6000</v>
      </c>
      <c r="AJ18" s="363">
        <v>7500</v>
      </c>
      <c r="AK18" s="363">
        <v>7500</v>
      </c>
      <c r="AL18" s="363">
        <v>7500</v>
      </c>
      <c r="AM18" s="360">
        <f t="shared" si="0"/>
        <v>94505.930000000008</v>
      </c>
      <c r="AN18" s="362">
        <f>ERP_26[[#This Row],[2026 Working Total]]-ERP_26[[#This Row],[LE2 Final Submission]]</f>
        <v>3754.2600000000093</v>
      </c>
      <c r="AO18" s="79">
        <v>6000</v>
      </c>
      <c r="AP18" s="79">
        <f t="shared" si="1"/>
        <v>12.110000000000582</v>
      </c>
      <c r="AQ18" s="374">
        <f>SUM(ERP_26[[#This Row],[AP01]:[AP06]])-SUM(ERP_26[[#This Row],[AP01 LE2]:[AP06 LE2]])</f>
        <v>3754.2600000000093</v>
      </c>
      <c r="AR18" s="80"/>
      <c r="AS18" s="79">
        <f>ERP_26[[#This Row],[2026 Working Total to Budget/LE]]-ERP_26[[#This Row],[Giveback]]</f>
        <v>3754.2600000000093</v>
      </c>
      <c r="AT18" s="81"/>
      <c r="AU18" s="375">
        <v>10704.42</v>
      </c>
      <c r="AV18" s="375">
        <v>11988.8</v>
      </c>
      <c r="AW18" s="375">
        <v>9558.4500000000007</v>
      </c>
      <c r="AX18" s="375">
        <v>6000</v>
      </c>
      <c r="AY18" s="375">
        <v>6000</v>
      </c>
      <c r="AZ18" s="375">
        <v>6000</v>
      </c>
      <c r="BA18" s="375">
        <v>6000</v>
      </c>
      <c r="BB18" s="375">
        <v>6000</v>
      </c>
      <c r="BC18" s="375">
        <v>6000</v>
      </c>
      <c r="BD18" s="375">
        <v>7500</v>
      </c>
      <c r="BE18" s="375">
        <v>7500</v>
      </c>
      <c r="BF18" s="375">
        <v>7500</v>
      </c>
      <c r="BG18" s="375">
        <v>90751.67</v>
      </c>
      <c r="BH18" s="79">
        <v>10704.42</v>
      </c>
      <c r="BI18" s="79">
        <v>11988.8</v>
      </c>
      <c r="BJ18" s="79">
        <v>9558.4500000000007</v>
      </c>
      <c r="BK18" s="79">
        <v>8125</v>
      </c>
      <c r="BL18" s="79">
        <v>8125</v>
      </c>
      <c r="BM18" s="79">
        <v>8125</v>
      </c>
      <c r="BN18" s="79">
        <v>8125</v>
      </c>
      <c r="BO18" s="79">
        <v>8125</v>
      </c>
      <c r="BP18" s="79">
        <v>8125</v>
      </c>
      <c r="BQ18" s="79">
        <v>8125</v>
      </c>
      <c r="BR18" s="79">
        <v>8125</v>
      </c>
      <c r="BS18" s="79">
        <v>8125</v>
      </c>
      <c r="BT18" s="79">
        <v>105376.67</v>
      </c>
    </row>
    <row r="19" spans="1:72" ht="15" customHeight="1">
      <c r="A19" s="66" t="s">
        <v>1212</v>
      </c>
      <c r="B19" s="66"/>
      <c r="C19" s="66" t="s">
        <v>78</v>
      </c>
      <c r="D19" s="66" t="s">
        <v>78</v>
      </c>
      <c r="E19" s="150" t="s">
        <v>1136</v>
      </c>
      <c r="F19" s="482" t="s">
        <v>1566</v>
      </c>
      <c r="G19" s="150" t="s">
        <v>1135</v>
      </c>
      <c r="H19" s="150" t="s">
        <v>1135</v>
      </c>
      <c r="I19" s="150" t="s">
        <v>1135</v>
      </c>
      <c r="J19" s="150" t="s">
        <v>1135</v>
      </c>
      <c r="K19" s="150" t="s">
        <v>1137</v>
      </c>
      <c r="L19" s="511" t="s">
        <v>49</v>
      </c>
      <c r="M19" s="392" t="s">
        <v>1213</v>
      </c>
      <c r="N19" s="343" t="s">
        <v>1210</v>
      </c>
      <c r="O19" s="346" t="s">
        <v>1171</v>
      </c>
      <c r="P19" s="70" t="s">
        <v>79</v>
      </c>
      <c r="Q19" s="346"/>
      <c r="R19" s="346" t="s">
        <v>1214</v>
      </c>
      <c r="S19" s="346"/>
      <c r="T19" s="150" t="s">
        <v>25</v>
      </c>
      <c r="U19" s="150"/>
      <c r="V19" s="403"/>
      <c r="W19" s="406">
        <v>107910</v>
      </c>
      <c r="X19" s="406">
        <v>99679.13</v>
      </c>
      <c r="Y19" s="430"/>
      <c r="Z19" s="137"/>
      <c r="AA19" s="426">
        <v>6841</v>
      </c>
      <c r="AB19" s="427">
        <v>9759.2000000000007</v>
      </c>
      <c r="AC19" s="427">
        <v>7478.93</v>
      </c>
      <c r="AD19" s="428">
        <v>7661.53</v>
      </c>
      <c r="AE19" s="429">
        <v>9759.5400000000009</v>
      </c>
      <c r="AF19" s="429">
        <v>8299.7900000000009</v>
      </c>
      <c r="AG19" s="363">
        <v>8300</v>
      </c>
      <c r="AH19" s="363">
        <v>8300</v>
      </c>
      <c r="AI19" s="363">
        <v>8300</v>
      </c>
      <c r="AJ19" s="363">
        <v>8300</v>
      </c>
      <c r="AK19" s="363">
        <v>8300</v>
      </c>
      <c r="AL19" s="363">
        <v>8300</v>
      </c>
      <c r="AM19" s="360">
        <f t="shared" si="0"/>
        <v>99599.989999999991</v>
      </c>
      <c r="AN19" s="362">
        <f>ERP_26[[#This Row],[2026 Working Total]]-ERP_26[[#This Row],[LE2 Final Submission]]</f>
        <v>-79.14000000001397</v>
      </c>
      <c r="AO19" s="79">
        <v>8400</v>
      </c>
      <c r="AP19" s="79">
        <f t="shared" si="1"/>
        <v>-100.20999999999913</v>
      </c>
      <c r="AQ19" s="374">
        <f>SUM(ERP_26[[#This Row],[AP01]:[AP06]])-SUM(ERP_26[[#This Row],[AP01 LE2]:[AP06 LE2]])</f>
        <v>520.85999999999331</v>
      </c>
      <c r="AR19" s="80"/>
      <c r="AS19" s="79">
        <f>ERP_26[[#This Row],[2026 Working Total to Budget/LE]]-ERP_26[[#This Row],[Giveback]]</f>
        <v>-79.14000000001397</v>
      </c>
      <c r="AT19" s="81"/>
      <c r="AU19" s="375">
        <v>6841</v>
      </c>
      <c r="AV19" s="375">
        <v>9759.2000000000007</v>
      </c>
      <c r="AW19" s="375">
        <v>7478.93</v>
      </c>
      <c r="AX19" s="375">
        <v>8400</v>
      </c>
      <c r="AY19" s="375">
        <v>8400</v>
      </c>
      <c r="AZ19" s="375">
        <v>8400</v>
      </c>
      <c r="BA19" s="375">
        <v>8400</v>
      </c>
      <c r="BB19" s="375">
        <v>8400</v>
      </c>
      <c r="BC19" s="375">
        <v>8400</v>
      </c>
      <c r="BD19" s="375">
        <v>8400</v>
      </c>
      <c r="BE19" s="375">
        <v>8400</v>
      </c>
      <c r="BF19" s="375">
        <v>8400</v>
      </c>
      <c r="BG19" s="375">
        <v>99679.13</v>
      </c>
      <c r="BH19" s="79">
        <v>6841</v>
      </c>
      <c r="BI19" s="79">
        <v>9759.2000000000007</v>
      </c>
      <c r="BJ19" s="79">
        <v>7478.93</v>
      </c>
      <c r="BK19" s="79">
        <v>8992.5</v>
      </c>
      <c r="BL19" s="79">
        <v>8992.5</v>
      </c>
      <c r="BM19" s="79">
        <v>8992.5</v>
      </c>
      <c r="BN19" s="79">
        <v>8992.5</v>
      </c>
      <c r="BO19" s="79">
        <v>8992.5</v>
      </c>
      <c r="BP19" s="79">
        <v>8992.5</v>
      </c>
      <c r="BQ19" s="79">
        <v>8992.5</v>
      </c>
      <c r="BR19" s="79">
        <v>8992.5</v>
      </c>
      <c r="BS19" s="79">
        <v>8992.5</v>
      </c>
      <c r="BT19" s="79">
        <v>105011.63</v>
      </c>
    </row>
    <row r="20" spans="1:72" ht="15" customHeight="1">
      <c r="A20" s="66" t="s">
        <v>1215</v>
      </c>
      <c r="B20" s="66"/>
      <c r="C20" s="66" t="s">
        <v>80</v>
      </c>
      <c r="D20" s="66" t="s">
        <v>80</v>
      </c>
      <c r="E20" s="150" t="s">
        <v>1136</v>
      </c>
      <c r="F20" s="482" t="s">
        <v>1566</v>
      </c>
      <c r="G20" s="150" t="s">
        <v>1135</v>
      </c>
      <c r="H20" s="150" t="s">
        <v>1135</v>
      </c>
      <c r="I20" s="150" t="s">
        <v>1135</v>
      </c>
      <c r="J20" s="150" t="s">
        <v>1135</v>
      </c>
      <c r="K20" s="150" t="s">
        <v>1137</v>
      </c>
      <c r="L20" s="511" t="s">
        <v>49</v>
      </c>
      <c r="M20" s="392" t="s">
        <v>1216</v>
      </c>
      <c r="N20" s="343" t="s">
        <v>1190</v>
      </c>
      <c r="O20" s="346" t="s">
        <v>1171</v>
      </c>
      <c r="P20" s="70" t="s">
        <v>81</v>
      </c>
      <c r="Q20" s="346"/>
      <c r="R20" s="346" t="s">
        <v>1217</v>
      </c>
      <c r="S20" s="346"/>
      <c r="T20" s="150" t="s">
        <v>25</v>
      </c>
      <c r="U20" s="150"/>
      <c r="V20" s="403"/>
      <c r="W20" s="406">
        <v>87360</v>
      </c>
      <c r="X20" s="406">
        <v>83873.7</v>
      </c>
      <c r="Y20" s="425"/>
      <c r="Z20" s="71"/>
      <c r="AA20" s="426">
        <v>11538</v>
      </c>
      <c r="AB20" s="427">
        <v>8258.77</v>
      </c>
      <c r="AC20" s="427">
        <v>1796.93</v>
      </c>
      <c r="AD20" s="428">
        <v>5175.54</v>
      </c>
      <c r="AE20" s="429">
        <v>10565.529999999999</v>
      </c>
      <c r="AF20" s="429">
        <v>3972.9300000000003</v>
      </c>
      <c r="AG20" s="363">
        <v>7000</v>
      </c>
      <c r="AH20" s="363">
        <v>7000</v>
      </c>
      <c r="AI20" s="363">
        <v>7000</v>
      </c>
      <c r="AJ20" s="363">
        <v>7000</v>
      </c>
      <c r="AK20" s="363">
        <v>7000</v>
      </c>
      <c r="AL20" s="363">
        <v>7000</v>
      </c>
      <c r="AM20" s="360">
        <f t="shared" si="0"/>
        <v>83307.700000000012</v>
      </c>
      <c r="AN20" s="362">
        <f>ERP_26[[#This Row],[2026 Working Total]]-ERP_26[[#This Row],[LE2 Final Submission]]</f>
        <v>-565.99999999998545</v>
      </c>
      <c r="AO20" s="79">
        <v>7000</v>
      </c>
      <c r="AP20" s="79">
        <f t="shared" si="1"/>
        <v>-3027.0699999999997</v>
      </c>
      <c r="AQ20" s="374">
        <f>SUM(ERP_26[[#This Row],[AP01]:[AP06]])-SUM(ERP_26[[#This Row],[AP01 LE2]:[AP06 LE2]])</f>
        <v>-285.99999999999272</v>
      </c>
      <c r="AR20" s="80"/>
      <c r="AS20" s="79">
        <f>ERP_26[[#This Row],[2026 Working Total to Budget/LE]]-ERP_26[[#This Row],[Giveback]]</f>
        <v>-565.99999999998545</v>
      </c>
      <c r="AT20" s="81"/>
      <c r="AU20" s="375">
        <v>11538</v>
      </c>
      <c r="AV20" s="375">
        <v>8258.77</v>
      </c>
      <c r="AW20" s="375">
        <v>1796.93</v>
      </c>
      <c r="AX20" s="375">
        <v>6000</v>
      </c>
      <c r="AY20" s="375">
        <v>7000</v>
      </c>
      <c r="AZ20" s="375">
        <v>7000</v>
      </c>
      <c r="BA20" s="375">
        <v>7000</v>
      </c>
      <c r="BB20" s="375">
        <v>7000</v>
      </c>
      <c r="BC20" s="375">
        <v>7000</v>
      </c>
      <c r="BD20" s="375">
        <v>7000</v>
      </c>
      <c r="BE20" s="375">
        <v>7000</v>
      </c>
      <c r="BF20" s="375">
        <v>7280</v>
      </c>
      <c r="BG20" s="375">
        <v>83873.7</v>
      </c>
      <c r="BH20" s="79">
        <v>11538</v>
      </c>
      <c r="BI20" s="79">
        <v>8258.77</v>
      </c>
      <c r="BJ20" s="79">
        <v>1796.93</v>
      </c>
      <c r="BK20" s="79">
        <v>7280</v>
      </c>
      <c r="BL20" s="79">
        <v>7280</v>
      </c>
      <c r="BM20" s="79">
        <v>7280</v>
      </c>
      <c r="BN20" s="79">
        <v>7280</v>
      </c>
      <c r="BO20" s="79">
        <v>7280</v>
      </c>
      <c r="BP20" s="79">
        <v>7280</v>
      </c>
      <c r="BQ20" s="79">
        <v>7280</v>
      </c>
      <c r="BR20" s="79">
        <v>7280</v>
      </c>
      <c r="BS20" s="79">
        <v>7280</v>
      </c>
      <c r="BT20" s="79">
        <v>87113.7</v>
      </c>
    </row>
    <row r="21" spans="1:72" ht="15" customHeight="1">
      <c r="A21" s="66" t="s">
        <v>1218</v>
      </c>
      <c r="B21" s="66"/>
      <c r="C21" s="66" t="s">
        <v>82</v>
      </c>
      <c r="D21" s="66" t="s">
        <v>1219</v>
      </c>
      <c r="E21" s="150" t="s">
        <v>1136</v>
      </c>
      <c r="F21" s="482" t="s">
        <v>1566</v>
      </c>
      <c r="G21" s="150" t="s">
        <v>1135</v>
      </c>
      <c r="H21" s="150" t="s">
        <v>1156</v>
      </c>
      <c r="I21" s="150" t="s">
        <v>1135</v>
      </c>
      <c r="J21" s="150" t="s">
        <v>1156</v>
      </c>
      <c r="K21" s="150" t="s">
        <v>1137</v>
      </c>
      <c r="L21" s="511" t="s">
        <v>49</v>
      </c>
      <c r="M21" s="392" t="s">
        <v>1220</v>
      </c>
      <c r="N21" s="343"/>
      <c r="O21" s="343"/>
      <c r="P21" s="70" t="s">
        <v>83</v>
      </c>
      <c r="Q21" s="346"/>
      <c r="R21" s="346" t="s">
        <v>1221</v>
      </c>
      <c r="S21" s="346"/>
      <c r="T21" s="150" t="s">
        <v>25</v>
      </c>
      <c r="U21" s="150" t="s">
        <v>1222</v>
      </c>
      <c r="V21" s="403"/>
      <c r="W21" s="406">
        <v>750</v>
      </c>
      <c r="X21" s="406">
        <v>0</v>
      </c>
      <c r="Y21" s="425"/>
      <c r="Z21" s="71"/>
      <c r="AA21" s="426"/>
      <c r="AB21" s="427"/>
      <c r="AC21" s="427"/>
      <c r="AD21" s="428" t="s">
        <v>1142</v>
      </c>
      <c r="AE21" s="429">
        <v>0</v>
      </c>
      <c r="AF21" s="429">
        <v>0</v>
      </c>
      <c r="AG21" s="363"/>
      <c r="AH21" s="363"/>
      <c r="AI21" s="363"/>
      <c r="AJ21" s="363"/>
      <c r="AK21" s="363"/>
      <c r="AL21" s="363"/>
      <c r="AM21" s="360">
        <f t="shared" si="0"/>
        <v>0</v>
      </c>
      <c r="AN21" s="362">
        <f>ERP_26[[#This Row],[2026 Working Total]]-ERP_26[[#This Row],[LE2 Final Submission]]</f>
        <v>0</v>
      </c>
      <c r="AO21" s="79"/>
      <c r="AP21" s="79">
        <f t="shared" si="1"/>
        <v>0</v>
      </c>
      <c r="AQ21" s="374">
        <f>SUM(ERP_26[[#This Row],[AP01]:[AP06]])-SUM(ERP_26[[#This Row],[AP01 LE2]:[AP06 LE2]])</f>
        <v>0</v>
      </c>
      <c r="AR21" s="80">
        <v>-750</v>
      </c>
      <c r="AS21" s="79">
        <f>ERP_26[[#This Row],[2026 Working Total to Budget/LE]]-ERP_26[[#This Row],[Giveback]]</f>
        <v>750</v>
      </c>
      <c r="AT21" s="81" t="s">
        <v>1223</v>
      </c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>
        <v>0</v>
      </c>
      <c r="BH21" s="79"/>
      <c r="BI21" s="79"/>
      <c r="BJ21" s="79"/>
      <c r="BK21" s="79">
        <v>62.5</v>
      </c>
      <c r="BL21" s="79">
        <v>62.5</v>
      </c>
      <c r="BM21" s="79">
        <v>62.5</v>
      </c>
      <c r="BN21" s="79">
        <v>62.5</v>
      </c>
      <c r="BO21" s="79">
        <v>62.5</v>
      </c>
      <c r="BP21" s="79">
        <v>62.5</v>
      </c>
      <c r="BQ21" s="79">
        <v>62.5</v>
      </c>
      <c r="BR21" s="79">
        <v>62.5</v>
      </c>
      <c r="BS21" s="79">
        <v>62.5</v>
      </c>
      <c r="BT21" s="79">
        <v>562.5</v>
      </c>
    </row>
    <row r="22" spans="1:72" ht="15" customHeight="1">
      <c r="A22" s="66" t="s">
        <v>1224</v>
      </c>
      <c r="B22" s="66"/>
      <c r="C22" s="66" t="s">
        <v>84</v>
      </c>
      <c r="D22" s="66" t="s">
        <v>1225</v>
      </c>
      <c r="E22" s="150" t="s">
        <v>1136</v>
      </c>
      <c r="F22" s="482" t="s">
        <v>1566</v>
      </c>
      <c r="G22" s="150" t="s">
        <v>1135</v>
      </c>
      <c r="H22" s="150" t="s">
        <v>1145</v>
      </c>
      <c r="I22" s="150" t="s">
        <v>1135</v>
      </c>
      <c r="J22" s="150" t="s">
        <v>1145</v>
      </c>
      <c r="K22" s="150" t="s">
        <v>1137</v>
      </c>
      <c r="L22" s="511" t="s">
        <v>49</v>
      </c>
      <c r="M22" s="392" t="s">
        <v>1226</v>
      </c>
      <c r="N22" s="343"/>
      <c r="O22" s="346" t="s">
        <v>1186</v>
      </c>
      <c r="P22" s="70" t="s">
        <v>85</v>
      </c>
      <c r="Q22" s="346"/>
      <c r="R22" s="346" t="s">
        <v>1227</v>
      </c>
      <c r="S22" s="346"/>
      <c r="T22" s="150" t="s">
        <v>25</v>
      </c>
      <c r="U22" s="150" t="s">
        <v>1228</v>
      </c>
      <c r="V22" s="403"/>
      <c r="W22" s="406">
        <v>357000</v>
      </c>
      <c r="X22" s="406">
        <v>356999.8</v>
      </c>
      <c r="Y22" s="425"/>
      <c r="Z22" s="71"/>
      <c r="AA22" s="426">
        <v>24570</v>
      </c>
      <c r="AB22" s="427">
        <v>27517.439999999999</v>
      </c>
      <c r="AC22" s="427">
        <v>34397.360000000001</v>
      </c>
      <c r="AD22" s="428">
        <v>27517.89</v>
      </c>
      <c r="AE22" s="429">
        <v>27517.89</v>
      </c>
      <c r="AF22" s="429">
        <v>34397.360000000001</v>
      </c>
      <c r="AG22" s="363">
        <v>29750</v>
      </c>
      <c r="AH22" s="363">
        <v>29750</v>
      </c>
      <c r="AI22" s="363">
        <f>29750+7300</f>
        <v>37050</v>
      </c>
      <c r="AJ22" s="363">
        <v>29750</v>
      </c>
      <c r="AK22" s="363">
        <v>29750</v>
      </c>
      <c r="AL22" s="363">
        <v>29750</v>
      </c>
      <c r="AM22" s="360">
        <f t="shared" si="0"/>
        <v>361717.94</v>
      </c>
      <c r="AN22" s="362">
        <f>ERP_26[[#This Row],[2026 Working Total]]-ERP_26[[#This Row],[LE2 Final Submission]]</f>
        <v>4718.140000000014</v>
      </c>
      <c r="AO22" s="79">
        <v>29750</v>
      </c>
      <c r="AP22" s="79">
        <f t="shared" si="1"/>
        <v>4647.3600000000006</v>
      </c>
      <c r="AQ22" s="374">
        <f>SUM(ERP_26[[#This Row],[AP01]:[AP06]])-SUM(ERP_26[[#This Row],[AP01 LE2]:[AP06 LE2]])</f>
        <v>-2581.859999999986</v>
      </c>
      <c r="AR22" s="80"/>
      <c r="AS22" s="79">
        <f>ERP_26[[#This Row],[2026 Working Total to Budget/LE]]-ERP_26[[#This Row],[Giveback]]</f>
        <v>4718.140000000014</v>
      </c>
      <c r="AT22" s="81"/>
      <c r="AU22" s="375">
        <v>24570</v>
      </c>
      <c r="AV22" s="375">
        <v>27517.439999999999</v>
      </c>
      <c r="AW22" s="375">
        <v>34397.360000000001</v>
      </c>
      <c r="AX22" s="375">
        <v>32515</v>
      </c>
      <c r="AY22" s="375">
        <v>29750</v>
      </c>
      <c r="AZ22" s="375">
        <v>29750</v>
      </c>
      <c r="BA22" s="375">
        <v>29750</v>
      </c>
      <c r="BB22" s="375">
        <v>29750</v>
      </c>
      <c r="BC22" s="375">
        <v>29750</v>
      </c>
      <c r="BD22" s="375">
        <v>29750</v>
      </c>
      <c r="BE22" s="375">
        <v>29750</v>
      </c>
      <c r="BF22" s="375">
        <v>29750</v>
      </c>
      <c r="BG22" s="375">
        <v>356999.8</v>
      </c>
      <c r="BH22" s="79">
        <v>24570</v>
      </c>
      <c r="BI22" s="79">
        <v>27517.439999999999</v>
      </c>
      <c r="BJ22" s="79">
        <v>34397.360000000001</v>
      </c>
      <c r="BK22" s="79">
        <v>37163</v>
      </c>
      <c r="BL22" s="79">
        <v>29750</v>
      </c>
      <c r="BM22" s="79">
        <v>29750</v>
      </c>
      <c r="BN22" s="79">
        <v>29750</v>
      </c>
      <c r="BO22" s="79">
        <v>29750</v>
      </c>
      <c r="BP22" s="79">
        <v>29750</v>
      </c>
      <c r="BQ22" s="79">
        <v>29750</v>
      </c>
      <c r="BR22" s="79">
        <v>29750</v>
      </c>
      <c r="BS22" s="79">
        <v>29750</v>
      </c>
      <c r="BT22" s="79">
        <v>361647.8</v>
      </c>
    </row>
    <row r="23" spans="1:72" ht="15" customHeight="1">
      <c r="A23" s="66" t="s">
        <v>1229</v>
      </c>
      <c r="B23" s="66"/>
      <c r="C23" s="66" t="s">
        <v>86</v>
      </c>
      <c r="D23" s="66" t="s">
        <v>86</v>
      </c>
      <c r="E23" s="150" t="s">
        <v>1136</v>
      </c>
      <c r="F23" s="482" t="s">
        <v>1566</v>
      </c>
      <c r="G23" s="150" t="s">
        <v>1135</v>
      </c>
      <c r="H23" s="150" t="s">
        <v>1135</v>
      </c>
      <c r="I23" s="150" t="s">
        <v>1135</v>
      </c>
      <c r="J23" s="150" t="s">
        <v>1135</v>
      </c>
      <c r="K23" s="150" t="s">
        <v>1137</v>
      </c>
      <c r="L23" s="511" t="s">
        <v>49</v>
      </c>
      <c r="M23" s="392" t="s">
        <v>1230</v>
      </c>
      <c r="N23" s="343" t="s">
        <v>1231</v>
      </c>
      <c r="O23" s="346" t="s">
        <v>1171</v>
      </c>
      <c r="P23" s="70" t="s">
        <v>87</v>
      </c>
      <c r="Q23" s="346"/>
      <c r="R23" s="346" t="s">
        <v>1232</v>
      </c>
      <c r="S23" s="346"/>
      <c r="T23" s="150" t="s">
        <v>25</v>
      </c>
      <c r="U23" s="150" t="s">
        <v>1233</v>
      </c>
      <c r="V23" s="403"/>
      <c r="W23" s="406">
        <v>1678341.6000000003</v>
      </c>
      <c r="X23" s="406">
        <v>1647348.3599999999</v>
      </c>
      <c r="Y23" s="425"/>
      <c r="Z23" s="71"/>
      <c r="AA23" s="426">
        <v>113142.14</v>
      </c>
      <c r="AB23" s="427">
        <v>160853.85999999999</v>
      </c>
      <c r="AC23" s="427">
        <v>137841.35999999999</v>
      </c>
      <c r="AD23" s="428">
        <v>0</v>
      </c>
      <c r="AE23" s="429">
        <v>274558.24</v>
      </c>
      <c r="AF23" s="429">
        <v>137279.12</v>
      </c>
      <c r="AG23" s="363">
        <f>136998-136998</f>
        <v>0</v>
      </c>
      <c r="AH23" s="363">
        <f>136998-136998+137279+137279</f>
        <v>274558</v>
      </c>
      <c r="AI23" s="363">
        <f>136998-136998+137279</f>
        <v>137279</v>
      </c>
      <c r="AJ23" s="363">
        <f>136998-136998</f>
        <v>0</v>
      </c>
      <c r="AK23" s="363">
        <f>136998-136998+137279+137279</f>
        <v>274558</v>
      </c>
      <c r="AL23" s="363">
        <f>136998-136998+137279</f>
        <v>137279</v>
      </c>
      <c r="AM23" s="360">
        <f t="shared" si="0"/>
        <v>1647348.72</v>
      </c>
      <c r="AN23" s="362">
        <f>ERP_26[[#This Row],[2026 Working Total]]-ERP_26[[#This Row],[LE2 Final Submission]]</f>
        <v>0.36000000010244548</v>
      </c>
      <c r="AO23" s="79">
        <v>274558</v>
      </c>
      <c r="AP23" s="79">
        <f t="shared" si="1"/>
        <v>-137278.88</v>
      </c>
      <c r="AQ23" s="374">
        <f>SUM(ERP_26[[#This Row],[AP01]:[AP06]])-SUM(ERP_26[[#This Row],[AP01 LE2]:[AP06 LE2]])</f>
        <v>0.35999999998603016</v>
      </c>
      <c r="AR23" s="80"/>
      <c r="AS23" s="79">
        <f>ERP_26[[#This Row],[2026 Working Total to Budget/LE]]-ERP_26[[#This Row],[Giveback]]</f>
        <v>0.36000000010244548</v>
      </c>
      <c r="AT23" s="81" t="s">
        <v>1234</v>
      </c>
      <c r="AU23" s="375">
        <v>113142.14</v>
      </c>
      <c r="AV23" s="375">
        <v>160853.85999999999</v>
      </c>
      <c r="AW23" s="375">
        <v>137841.35999999999</v>
      </c>
      <c r="AX23" s="375">
        <v>0</v>
      </c>
      <c r="AY23" s="375">
        <v>274558</v>
      </c>
      <c r="AZ23" s="375">
        <v>137279</v>
      </c>
      <c r="BA23" s="375">
        <v>0</v>
      </c>
      <c r="BB23" s="375">
        <v>274558</v>
      </c>
      <c r="BC23" s="375">
        <v>137279</v>
      </c>
      <c r="BD23" s="375">
        <v>0</v>
      </c>
      <c r="BE23" s="375">
        <v>274558</v>
      </c>
      <c r="BF23" s="375">
        <v>137279</v>
      </c>
      <c r="BG23" s="375">
        <v>1647348.3599999999</v>
      </c>
      <c r="BH23" s="79">
        <v>113142.14</v>
      </c>
      <c r="BI23" s="79">
        <v>160853.85999999999</v>
      </c>
      <c r="BJ23" s="79">
        <v>137841.35999999999</v>
      </c>
      <c r="BK23" s="79">
        <v>136998</v>
      </c>
      <c r="BL23" s="79">
        <v>136998</v>
      </c>
      <c r="BM23" s="79">
        <v>136998</v>
      </c>
      <c r="BN23" s="79">
        <v>136998</v>
      </c>
      <c r="BO23" s="79">
        <v>136998</v>
      </c>
      <c r="BP23" s="79">
        <v>136998</v>
      </c>
      <c r="BQ23" s="79">
        <v>136998</v>
      </c>
      <c r="BR23" s="79">
        <v>136998</v>
      </c>
      <c r="BS23" s="79">
        <v>136998</v>
      </c>
      <c r="BT23" s="79">
        <v>1644819.3599999999</v>
      </c>
    </row>
    <row r="24" spans="1:72" ht="15" customHeight="1">
      <c r="A24" s="79" t="s">
        <v>1235</v>
      </c>
      <c r="B24" s="79"/>
      <c r="C24" s="79" t="s">
        <v>88</v>
      </c>
      <c r="D24" s="296" t="s">
        <v>88</v>
      </c>
      <c r="E24" s="150" t="s">
        <v>1136</v>
      </c>
      <c r="F24" s="482" t="s">
        <v>1566</v>
      </c>
      <c r="G24" s="150" t="s">
        <v>1135</v>
      </c>
      <c r="H24" s="150" t="s">
        <v>1135</v>
      </c>
      <c r="I24" s="332" t="s">
        <v>1135</v>
      </c>
      <c r="J24" s="382" t="s">
        <v>1135</v>
      </c>
      <c r="K24" s="331" t="s">
        <v>1137</v>
      </c>
      <c r="L24" s="512" t="s">
        <v>49</v>
      </c>
      <c r="M24" s="394" t="s">
        <v>1236</v>
      </c>
      <c r="N24" s="343"/>
      <c r="O24" s="331"/>
      <c r="P24" s="122" t="s">
        <v>89</v>
      </c>
      <c r="Q24" s="343"/>
      <c r="R24" s="346" t="s">
        <v>1232</v>
      </c>
      <c r="S24" s="471"/>
      <c r="T24" s="384" t="s">
        <v>25</v>
      </c>
      <c r="U24" s="150"/>
      <c r="V24" s="432"/>
      <c r="W24" s="358">
        <f>-213108+213108</f>
        <v>0</v>
      </c>
      <c r="X24" s="378">
        <v>0</v>
      </c>
      <c r="Y24" s="430"/>
      <c r="Z24" s="137"/>
      <c r="AA24" s="433"/>
      <c r="AB24" s="434"/>
      <c r="AC24" s="434"/>
      <c r="AD24" s="428" t="s">
        <v>1142</v>
      </c>
      <c r="AE24" s="429">
        <v>0</v>
      </c>
      <c r="AF24" s="429">
        <v>0</v>
      </c>
      <c r="AG24" s="388">
        <v>0</v>
      </c>
      <c r="AH24" s="388">
        <v>0</v>
      </c>
      <c r="AI24" s="388">
        <v>0</v>
      </c>
      <c r="AJ24" s="388">
        <v>0</v>
      </c>
      <c r="AK24" s="388">
        <v>0</v>
      </c>
      <c r="AL24" s="388"/>
      <c r="AM24" s="360">
        <f t="shared" si="0"/>
        <v>0</v>
      </c>
      <c r="AN24" s="362">
        <f>ERP_26[[#This Row],[2026 Working Total]]-ERP_26[[#This Row],[LE2 Final Submission]]</f>
        <v>0</v>
      </c>
      <c r="AO24" s="79">
        <v>0</v>
      </c>
      <c r="AP24" s="79">
        <f t="shared" si="1"/>
        <v>0</v>
      </c>
      <c r="AQ24" s="374">
        <f>SUM(ERP_26[[#This Row],[AP01]:[AP06]])-SUM(ERP_26[[#This Row],[AP01 LE2]:[AP06 LE2]])</f>
        <v>0</v>
      </c>
      <c r="AR24" s="80"/>
      <c r="AS24" s="79">
        <f>ERP_26[[#This Row],[2026 Working Total to Budget/LE]]-ERP_26[[#This Row],[Giveback]]</f>
        <v>0</v>
      </c>
      <c r="AT24" s="81"/>
      <c r="AU24" s="375"/>
      <c r="AV24" s="375"/>
      <c r="AW24" s="375"/>
      <c r="AX24" s="375">
        <v>0</v>
      </c>
      <c r="AY24" s="375">
        <v>0</v>
      </c>
      <c r="AZ24" s="375">
        <v>0</v>
      </c>
      <c r="BA24" s="375">
        <v>0</v>
      </c>
      <c r="BB24" s="375">
        <v>0</v>
      </c>
      <c r="BC24" s="375">
        <v>0</v>
      </c>
      <c r="BD24" s="375">
        <v>0</v>
      </c>
      <c r="BE24" s="375">
        <v>0</v>
      </c>
      <c r="BF24" s="375"/>
      <c r="BG24" s="375">
        <v>0</v>
      </c>
      <c r="BH24" s="103">
        <v>0</v>
      </c>
      <c r="BI24" s="103">
        <v>0</v>
      </c>
      <c r="BJ24" s="103">
        <v>0</v>
      </c>
      <c r="BK24" s="103">
        <v>0</v>
      </c>
      <c r="BL24" s="103">
        <v>0</v>
      </c>
      <c r="BM24" s="103">
        <v>-213108</v>
      </c>
      <c r="BN24" s="103">
        <v>0</v>
      </c>
      <c r="BO24" s="103">
        <v>0</v>
      </c>
      <c r="BP24" s="103">
        <v>0</v>
      </c>
      <c r="BQ24" s="103">
        <v>0</v>
      </c>
      <c r="BR24" s="103">
        <v>0</v>
      </c>
      <c r="BS24" s="103">
        <v>0</v>
      </c>
      <c r="BT24" s="79">
        <f>SUM(ERP_26[[#This Row],[2026 AP01]:[2026 AP12]])</f>
        <v>-213108</v>
      </c>
    </row>
    <row r="25" spans="1:72" ht="15" customHeight="1">
      <c r="A25" s="79" t="s">
        <v>1237</v>
      </c>
      <c r="B25" s="79"/>
      <c r="C25" s="79" t="s">
        <v>90</v>
      </c>
      <c r="D25" s="296" t="s">
        <v>90</v>
      </c>
      <c r="E25" s="150" t="s">
        <v>1136</v>
      </c>
      <c r="F25" s="482" t="s">
        <v>1566</v>
      </c>
      <c r="G25" s="150" t="s">
        <v>1135</v>
      </c>
      <c r="H25" s="150" t="s">
        <v>1135</v>
      </c>
      <c r="I25" s="332" t="s">
        <v>1135</v>
      </c>
      <c r="J25" s="382" t="s">
        <v>1135</v>
      </c>
      <c r="K25" s="331" t="s">
        <v>1137</v>
      </c>
      <c r="L25" s="512" t="s">
        <v>49</v>
      </c>
      <c r="M25" s="394" t="s">
        <v>1238</v>
      </c>
      <c r="N25" s="343"/>
      <c r="O25" s="331"/>
      <c r="P25" s="122" t="s">
        <v>91</v>
      </c>
      <c r="Q25" s="343"/>
      <c r="R25" s="346" t="s">
        <v>1232</v>
      </c>
      <c r="S25" s="471"/>
      <c r="T25" s="384" t="s">
        <v>25</v>
      </c>
      <c r="U25" s="150"/>
      <c r="V25" s="432"/>
      <c r="W25" s="358">
        <f>76110+-76110</f>
        <v>0</v>
      </c>
      <c r="X25" s="378">
        <v>0</v>
      </c>
      <c r="Y25" s="425"/>
      <c r="Z25" s="71"/>
      <c r="AA25" s="433"/>
      <c r="AB25" s="434"/>
      <c r="AC25" s="434"/>
      <c r="AD25" s="428" t="s">
        <v>1142</v>
      </c>
      <c r="AE25" s="429">
        <v>0</v>
      </c>
      <c r="AF25" s="429">
        <v>0</v>
      </c>
      <c r="AG25" s="388">
        <v>0</v>
      </c>
      <c r="AH25" s="388">
        <v>0</v>
      </c>
      <c r="AI25" s="388">
        <v>0</v>
      </c>
      <c r="AJ25" s="388">
        <v>0</v>
      </c>
      <c r="AK25" s="388">
        <v>0</v>
      </c>
      <c r="AL25" s="388"/>
      <c r="AM25" s="360">
        <f t="shared" si="0"/>
        <v>0</v>
      </c>
      <c r="AN25" s="362">
        <f>ERP_26[[#This Row],[2026 Working Total]]-ERP_26[[#This Row],[LE2 Final Submission]]</f>
        <v>0</v>
      </c>
      <c r="AO25" s="79">
        <v>0</v>
      </c>
      <c r="AP25" s="79">
        <f t="shared" si="1"/>
        <v>0</v>
      </c>
      <c r="AQ25" s="374">
        <f>SUM(ERP_26[[#This Row],[AP01]:[AP06]])-SUM(ERP_26[[#This Row],[AP01 LE2]:[AP06 LE2]])</f>
        <v>0</v>
      </c>
      <c r="AR25" s="80"/>
      <c r="AS25" s="79">
        <f>ERP_26[[#This Row],[2026 Working Total to Budget/LE]]-ERP_26[[#This Row],[Giveback]]</f>
        <v>0</v>
      </c>
      <c r="AT25" s="81"/>
      <c r="AU25" s="375"/>
      <c r="AV25" s="375"/>
      <c r="AW25" s="375"/>
      <c r="AX25" s="375">
        <v>0</v>
      </c>
      <c r="AY25" s="375">
        <v>0</v>
      </c>
      <c r="AZ25" s="375">
        <v>0</v>
      </c>
      <c r="BA25" s="375">
        <v>0</v>
      </c>
      <c r="BB25" s="375">
        <v>0</v>
      </c>
      <c r="BC25" s="375">
        <v>0</v>
      </c>
      <c r="BD25" s="375">
        <v>0</v>
      </c>
      <c r="BE25" s="375">
        <v>0</v>
      </c>
      <c r="BF25" s="375"/>
      <c r="BG25" s="375">
        <v>0</v>
      </c>
      <c r="BH25" s="103">
        <v>0</v>
      </c>
      <c r="BI25" s="103">
        <v>0</v>
      </c>
      <c r="BJ25" s="103">
        <v>0</v>
      </c>
      <c r="BK25" s="103">
        <v>0</v>
      </c>
      <c r="BL25" s="103">
        <v>0</v>
      </c>
      <c r="BM25" s="103">
        <v>-76110</v>
      </c>
      <c r="BN25" s="103">
        <v>0</v>
      </c>
      <c r="BO25" s="103">
        <v>0</v>
      </c>
      <c r="BP25" s="103">
        <v>0</v>
      </c>
      <c r="BQ25" s="103">
        <v>0</v>
      </c>
      <c r="BR25" s="103">
        <v>0</v>
      </c>
      <c r="BS25" s="103">
        <v>0</v>
      </c>
      <c r="BT25" s="79">
        <f>SUM(ERP_26[[#This Row],[2026 AP01]:[2026 AP12]])</f>
        <v>-76110</v>
      </c>
    </row>
    <row r="26" spans="1:72" ht="15" customHeight="1">
      <c r="A26" s="79" t="s">
        <v>1239</v>
      </c>
      <c r="B26" s="79"/>
      <c r="C26" s="79" t="s">
        <v>92</v>
      </c>
      <c r="D26" s="296" t="s">
        <v>92</v>
      </c>
      <c r="E26" s="150" t="s">
        <v>1136</v>
      </c>
      <c r="F26" s="482" t="s">
        <v>1566</v>
      </c>
      <c r="G26" s="150" t="s">
        <v>1135</v>
      </c>
      <c r="H26" s="150" t="s">
        <v>1135</v>
      </c>
      <c r="I26" s="332" t="s">
        <v>1135</v>
      </c>
      <c r="J26" s="382" t="s">
        <v>1135</v>
      </c>
      <c r="K26" s="331" t="s">
        <v>1137</v>
      </c>
      <c r="L26" s="512" t="s">
        <v>49</v>
      </c>
      <c r="M26" s="394" t="s">
        <v>1240</v>
      </c>
      <c r="N26" s="343"/>
      <c r="O26" s="331"/>
      <c r="P26" s="122" t="s">
        <v>93</v>
      </c>
      <c r="Q26" s="343"/>
      <c r="R26" s="346" t="s">
        <v>1232</v>
      </c>
      <c r="S26" s="471"/>
      <c r="T26" s="384" t="s">
        <v>25</v>
      </c>
      <c r="U26" s="150"/>
      <c r="V26" s="432"/>
      <c r="W26" s="358">
        <f>-91332+91332</f>
        <v>0</v>
      </c>
      <c r="X26" s="378">
        <v>0</v>
      </c>
      <c r="Y26" s="425"/>
      <c r="Z26" s="71"/>
      <c r="AA26" s="433"/>
      <c r="AB26" s="434"/>
      <c r="AC26" s="434"/>
      <c r="AD26" s="428" t="s">
        <v>1142</v>
      </c>
      <c r="AE26" s="429">
        <v>0</v>
      </c>
      <c r="AF26" s="429">
        <v>0</v>
      </c>
      <c r="AG26" s="388">
        <v>0</v>
      </c>
      <c r="AH26" s="388">
        <v>0</v>
      </c>
      <c r="AI26" s="388">
        <v>0</v>
      </c>
      <c r="AJ26" s="388">
        <v>0</v>
      </c>
      <c r="AK26" s="388">
        <v>0</v>
      </c>
      <c r="AL26" s="388"/>
      <c r="AM26" s="360">
        <f t="shared" si="0"/>
        <v>0</v>
      </c>
      <c r="AN26" s="362">
        <f>ERP_26[[#This Row],[2026 Working Total]]-ERP_26[[#This Row],[LE2 Final Submission]]</f>
        <v>0</v>
      </c>
      <c r="AO26" s="79">
        <v>0</v>
      </c>
      <c r="AP26" s="79">
        <f t="shared" si="1"/>
        <v>0</v>
      </c>
      <c r="AQ26" s="374">
        <f>SUM(ERP_26[[#This Row],[AP01]:[AP06]])-SUM(ERP_26[[#This Row],[AP01 LE2]:[AP06 LE2]])</f>
        <v>0</v>
      </c>
      <c r="AR26" s="80"/>
      <c r="AS26" s="79">
        <f>ERP_26[[#This Row],[2026 Working Total to Budget/LE]]-ERP_26[[#This Row],[Giveback]]</f>
        <v>0</v>
      </c>
      <c r="AT26" s="81"/>
      <c r="AU26" s="375"/>
      <c r="AV26" s="375"/>
      <c r="AW26" s="375"/>
      <c r="AX26" s="375">
        <v>0</v>
      </c>
      <c r="AY26" s="375">
        <v>0</v>
      </c>
      <c r="AZ26" s="375">
        <v>0</v>
      </c>
      <c r="BA26" s="375">
        <v>0</v>
      </c>
      <c r="BB26" s="375">
        <v>0</v>
      </c>
      <c r="BC26" s="375">
        <v>0</v>
      </c>
      <c r="BD26" s="375">
        <v>0</v>
      </c>
      <c r="BE26" s="375">
        <v>0</v>
      </c>
      <c r="BF26" s="375"/>
      <c r="BG26" s="375">
        <v>0</v>
      </c>
      <c r="BH26" s="103">
        <v>0</v>
      </c>
      <c r="BI26" s="103">
        <v>0</v>
      </c>
      <c r="BJ26" s="103">
        <v>0</v>
      </c>
      <c r="BK26" s="103">
        <v>0</v>
      </c>
      <c r="BL26" s="103">
        <v>0</v>
      </c>
      <c r="BM26" s="103">
        <v>-91332</v>
      </c>
      <c r="BN26" s="103">
        <v>0</v>
      </c>
      <c r="BO26" s="103">
        <v>0</v>
      </c>
      <c r="BP26" s="103">
        <v>0</v>
      </c>
      <c r="BQ26" s="103">
        <v>0</v>
      </c>
      <c r="BR26" s="103">
        <v>0</v>
      </c>
      <c r="BS26" s="103">
        <v>0</v>
      </c>
      <c r="BT26" s="79">
        <f>SUM(ERP_26[[#This Row],[2026 AP01]:[2026 AP12]])</f>
        <v>-91332</v>
      </c>
    </row>
    <row r="27" spans="1:72" ht="15" customHeight="1">
      <c r="A27" s="79" t="s">
        <v>1241</v>
      </c>
      <c r="B27" s="79"/>
      <c r="C27" s="79" t="s">
        <v>94</v>
      </c>
      <c r="D27" s="296" t="s">
        <v>94</v>
      </c>
      <c r="E27" s="150" t="s">
        <v>1136</v>
      </c>
      <c r="F27" s="482" t="s">
        <v>1566</v>
      </c>
      <c r="G27" s="150" t="s">
        <v>1135</v>
      </c>
      <c r="H27" s="150" t="s">
        <v>1135</v>
      </c>
      <c r="I27" s="332" t="s">
        <v>1135</v>
      </c>
      <c r="J27" s="382" t="s">
        <v>1135</v>
      </c>
      <c r="K27" s="331" t="s">
        <v>1137</v>
      </c>
      <c r="L27" s="512" t="s">
        <v>49</v>
      </c>
      <c r="M27" s="394" t="s">
        <v>1242</v>
      </c>
      <c r="N27" s="343"/>
      <c r="O27" s="331"/>
      <c r="P27" s="122" t="s">
        <v>95</v>
      </c>
      <c r="Q27" s="343"/>
      <c r="R27" s="346" t="s">
        <v>1232</v>
      </c>
      <c r="S27" s="471"/>
      <c r="T27" s="384" t="s">
        <v>25</v>
      </c>
      <c r="U27" s="150"/>
      <c r="V27" s="432"/>
      <c r="W27" s="358">
        <f>-76110+76110</f>
        <v>0</v>
      </c>
      <c r="X27" s="378">
        <v>0</v>
      </c>
      <c r="Y27" s="430"/>
      <c r="Z27" s="137"/>
      <c r="AA27" s="433"/>
      <c r="AB27" s="434"/>
      <c r="AC27" s="434"/>
      <c r="AD27" s="428" t="s">
        <v>1142</v>
      </c>
      <c r="AE27" s="429">
        <v>0</v>
      </c>
      <c r="AF27" s="429">
        <v>0</v>
      </c>
      <c r="AG27" s="388">
        <v>0</v>
      </c>
      <c r="AH27" s="388">
        <v>0</v>
      </c>
      <c r="AI27" s="388">
        <v>0</v>
      </c>
      <c r="AJ27" s="388">
        <v>0</v>
      </c>
      <c r="AK27" s="388">
        <v>0</v>
      </c>
      <c r="AL27" s="388"/>
      <c r="AM27" s="360">
        <f t="shared" si="0"/>
        <v>0</v>
      </c>
      <c r="AN27" s="362">
        <f>ERP_26[[#This Row],[2026 Working Total]]-ERP_26[[#This Row],[LE2 Final Submission]]</f>
        <v>0</v>
      </c>
      <c r="AO27" s="79">
        <v>0</v>
      </c>
      <c r="AP27" s="79">
        <f t="shared" si="1"/>
        <v>0</v>
      </c>
      <c r="AQ27" s="374">
        <f>SUM(ERP_26[[#This Row],[AP01]:[AP06]])-SUM(ERP_26[[#This Row],[AP01 LE2]:[AP06 LE2]])</f>
        <v>0</v>
      </c>
      <c r="AR27" s="80"/>
      <c r="AS27" s="79">
        <f>ERP_26[[#This Row],[2026 Working Total to Budget/LE]]-ERP_26[[#This Row],[Giveback]]</f>
        <v>0</v>
      </c>
      <c r="AT27" s="81"/>
      <c r="AU27" s="375"/>
      <c r="AV27" s="375"/>
      <c r="AW27" s="375"/>
      <c r="AX27" s="375">
        <v>0</v>
      </c>
      <c r="AY27" s="375">
        <v>0</v>
      </c>
      <c r="AZ27" s="375">
        <v>0</v>
      </c>
      <c r="BA27" s="375">
        <v>0</v>
      </c>
      <c r="BB27" s="375">
        <v>0</v>
      </c>
      <c r="BC27" s="375">
        <v>0</v>
      </c>
      <c r="BD27" s="375">
        <v>0</v>
      </c>
      <c r="BE27" s="375">
        <v>0</v>
      </c>
      <c r="BF27" s="375"/>
      <c r="BG27" s="375">
        <v>0</v>
      </c>
      <c r="BH27" s="103">
        <v>0</v>
      </c>
      <c r="BI27" s="103">
        <v>0</v>
      </c>
      <c r="BJ27" s="103">
        <v>0</v>
      </c>
      <c r="BK27" s="103">
        <v>0</v>
      </c>
      <c r="BL27" s="103">
        <v>0</v>
      </c>
      <c r="BM27" s="103">
        <v>-76110</v>
      </c>
      <c r="BN27" s="103">
        <v>0</v>
      </c>
      <c r="BO27" s="103">
        <v>0</v>
      </c>
      <c r="BP27" s="103">
        <v>0</v>
      </c>
      <c r="BQ27" s="103">
        <v>0</v>
      </c>
      <c r="BR27" s="103">
        <v>0</v>
      </c>
      <c r="BS27" s="103">
        <v>0</v>
      </c>
      <c r="BT27" s="79">
        <f>SUM(ERP_26[[#This Row],[2026 AP01]:[2026 AP12]])</f>
        <v>-76110</v>
      </c>
    </row>
    <row r="28" spans="1:72" ht="15" customHeight="1">
      <c r="A28" s="66" t="s">
        <v>1243</v>
      </c>
      <c r="B28" s="66"/>
      <c r="C28" s="66" t="s">
        <v>96</v>
      </c>
      <c r="D28" s="66" t="s">
        <v>96</v>
      </c>
      <c r="E28" s="150" t="s">
        <v>1136</v>
      </c>
      <c r="F28" s="482" t="s">
        <v>1566</v>
      </c>
      <c r="G28" s="150" t="s">
        <v>1135</v>
      </c>
      <c r="H28" s="150" t="s">
        <v>1135</v>
      </c>
      <c r="I28" s="150" t="s">
        <v>1135</v>
      </c>
      <c r="J28" s="150" t="s">
        <v>1135</v>
      </c>
      <c r="K28" s="150" t="s">
        <v>1137</v>
      </c>
      <c r="L28" s="511" t="s">
        <v>49</v>
      </c>
      <c r="M28" s="392" t="s">
        <v>1238</v>
      </c>
      <c r="N28" s="343"/>
      <c r="O28" s="343"/>
      <c r="P28" s="70" t="s">
        <v>97</v>
      </c>
      <c r="Q28" s="346"/>
      <c r="R28" s="346" t="s">
        <v>1232</v>
      </c>
      <c r="S28" s="346"/>
      <c r="T28" s="150" t="s">
        <v>25</v>
      </c>
      <c r="U28" s="150" t="s">
        <v>1244</v>
      </c>
      <c r="V28" s="403"/>
      <c r="W28" s="406">
        <v>0</v>
      </c>
      <c r="X28" s="406">
        <v>-76110</v>
      </c>
      <c r="Y28" s="425"/>
      <c r="Z28" s="71"/>
      <c r="AA28" s="426"/>
      <c r="AB28" s="427"/>
      <c r="AC28" s="427"/>
      <c r="AD28" s="428" t="s">
        <v>1142</v>
      </c>
      <c r="AE28" s="429">
        <v>-76110</v>
      </c>
      <c r="AF28" s="429">
        <v>0</v>
      </c>
      <c r="AG28" s="360">
        <v>0</v>
      </c>
      <c r="AH28" s="360">
        <v>0</v>
      </c>
      <c r="AI28" s="360">
        <v>0</v>
      </c>
      <c r="AJ28" s="360">
        <v>0</v>
      </c>
      <c r="AK28" s="360">
        <v>0</v>
      </c>
      <c r="AL28" s="360">
        <v>0</v>
      </c>
      <c r="AM28" s="360">
        <f t="shared" si="0"/>
        <v>-76110</v>
      </c>
      <c r="AN28" s="362">
        <f>ERP_26[[#This Row],[2026 Working Total]]-ERP_26[[#This Row],[LE2 Final Submission]]</f>
        <v>0</v>
      </c>
      <c r="AO28" s="79"/>
      <c r="AP28" s="79">
        <f t="shared" si="1"/>
        <v>0</v>
      </c>
      <c r="AQ28" s="374">
        <f>SUM(ERP_26[[#This Row],[AP01]:[AP06]])-SUM(ERP_26[[#This Row],[AP01 LE2]:[AP06 LE2]])</f>
        <v>0</v>
      </c>
      <c r="AR28" s="80"/>
      <c r="AS28" s="79">
        <f>ERP_26[[#This Row],[2026 Working Total to Budget/LE]]-ERP_26[[#This Row],[Giveback]]</f>
        <v>0</v>
      </c>
      <c r="AT28" s="81"/>
      <c r="AU28" s="375"/>
      <c r="AV28" s="375"/>
      <c r="AW28" s="375"/>
      <c r="AX28" s="375"/>
      <c r="AY28" s="375"/>
      <c r="AZ28" s="375">
        <v>-76110</v>
      </c>
      <c r="BA28" s="375">
        <v>0</v>
      </c>
      <c r="BB28" s="375">
        <v>0</v>
      </c>
      <c r="BC28" s="375">
        <v>0</v>
      </c>
      <c r="BD28" s="375">
        <v>0</v>
      </c>
      <c r="BE28" s="375">
        <v>0</v>
      </c>
      <c r="BF28" s="375">
        <v>0</v>
      </c>
      <c r="BG28" s="375">
        <v>-76110</v>
      </c>
      <c r="BH28" s="79"/>
      <c r="BI28" s="79"/>
      <c r="BJ28" s="79"/>
      <c r="BK28" s="79"/>
      <c r="BL28" s="79"/>
      <c r="BM28" s="79">
        <v>-76110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0</v>
      </c>
      <c r="BT28" s="79">
        <v>-76110</v>
      </c>
    </row>
    <row r="29" spans="1:72" ht="15" customHeight="1">
      <c r="A29" s="66" t="s">
        <v>1245</v>
      </c>
      <c r="B29" s="66"/>
      <c r="C29" s="66" t="s">
        <v>98</v>
      </c>
      <c r="D29" s="66" t="s">
        <v>98</v>
      </c>
      <c r="E29" s="150" t="s">
        <v>1136</v>
      </c>
      <c r="F29" s="482" t="s">
        <v>1566</v>
      </c>
      <c r="G29" s="150" t="s">
        <v>1135</v>
      </c>
      <c r="H29" s="150" t="s">
        <v>1135</v>
      </c>
      <c r="I29" s="150" t="s">
        <v>1135</v>
      </c>
      <c r="J29" s="150" t="s">
        <v>1135</v>
      </c>
      <c r="K29" s="150" t="s">
        <v>1137</v>
      </c>
      <c r="L29" s="511" t="s">
        <v>49</v>
      </c>
      <c r="M29" s="392" t="s">
        <v>1242</v>
      </c>
      <c r="N29" s="343"/>
      <c r="O29" s="343"/>
      <c r="P29" s="70" t="s">
        <v>99</v>
      </c>
      <c r="Q29" s="346"/>
      <c r="R29" s="346" t="s">
        <v>1232</v>
      </c>
      <c r="S29" s="346"/>
      <c r="T29" s="150" t="s">
        <v>25</v>
      </c>
      <c r="U29" s="150" t="s">
        <v>1244</v>
      </c>
      <c r="V29" s="403"/>
      <c r="W29" s="406">
        <v>0</v>
      </c>
      <c r="X29" s="406">
        <v>-136110</v>
      </c>
      <c r="Y29" s="425"/>
      <c r="Z29" s="71"/>
      <c r="AA29" s="426"/>
      <c r="AB29" s="427"/>
      <c r="AC29" s="427">
        <v>-60000</v>
      </c>
      <c r="AD29" s="428">
        <v>0</v>
      </c>
      <c r="AE29" s="429">
        <v>-76110</v>
      </c>
      <c r="AF29" s="429">
        <v>0</v>
      </c>
      <c r="AG29" s="360">
        <v>0</v>
      </c>
      <c r="AH29" s="360">
        <v>0</v>
      </c>
      <c r="AI29" s="360">
        <v>0</v>
      </c>
      <c r="AJ29" s="360">
        <v>0</v>
      </c>
      <c r="AK29" s="360">
        <v>0</v>
      </c>
      <c r="AL29" s="360">
        <v>0</v>
      </c>
      <c r="AM29" s="360">
        <f t="shared" si="0"/>
        <v>-136110</v>
      </c>
      <c r="AN29" s="362">
        <f>ERP_26[[#This Row],[2026 Working Total]]-ERP_26[[#This Row],[LE2 Final Submission]]</f>
        <v>0</v>
      </c>
      <c r="AO29" s="79">
        <v>0</v>
      </c>
      <c r="AP29" s="79">
        <f t="shared" si="1"/>
        <v>0</v>
      </c>
      <c r="AQ29" s="374">
        <f>SUM(ERP_26[[#This Row],[AP01]:[AP06]])-SUM(ERP_26[[#This Row],[AP01 LE2]:[AP06 LE2]])</f>
        <v>0</v>
      </c>
      <c r="AR29" s="80"/>
      <c r="AS29" s="79">
        <f>ERP_26[[#This Row],[2026 Working Total to Budget/LE]]-ERP_26[[#This Row],[Giveback]]</f>
        <v>0</v>
      </c>
      <c r="AT29" s="81"/>
      <c r="AU29" s="375"/>
      <c r="AV29" s="375"/>
      <c r="AW29" s="375">
        <v>-60000</v>
      </c>
      <c r="AX29" s="375">
        <v>0</v>
      </c>
      <c r="AY29" s="375">
        <v>0</v>
      </c>
      <c r="AZ29" s="375">
        <v>-76110</v>
      </c>
      <c r="BA29" s="375">
        <v>0</v>
      </c>
      <c r="BB29" s="375">
        <v>0</v>
      </c>
      <c r="BC29" s="375">
        <v>0</v>
      </c>
      <c r="BD29" s="375">
        <v>0</v>
      </c>
      <c r="BE29" s="375">
        <v>0</v>
      </c>
      <c r="BF29" s="375">
        <v>0</v>
      </c>
      <c r="BG29" s="375">
        <v>-136110</v>
      </c>
      <c r="BH29" s="79"/>
      <c r="BI29" s="79"/>
      <c r="BJ29" s="79">
        <v>-60000</v>
      </c>
      <c r="BK29" s="79">
        <v>0</v>
      </c>
      <c r="BL29" s="79">
        <v>0</v>
      </c>
      <c r="BM29" s="79">
        <v>-76110</v>
      </c>
      <c r="BN29" s="79">
        <v>0</v>
      </c>
      <c r="BO29" s="79">
        <v>0</v>
      </c>
      <c r="BP29" s="79">
        <v>0</v>
      </c>
      <c r="BQ29" s="79">
        <v>0</v>
      </c>
      <c r="BR29" s="79">
        <v>0</v>
      </c>
      <c r="BS29" s="79">
        <v>0</v>
      </c>
      <c r="BT29" s="79">
        <v>-136110</v>
      </c>
    </row>
    <row r="30" spans="1:72" ht="15" customHeight="1">
      <c r="A30" s="66" t="s">
        <v>1246</v>
      </c>
      <c r="B30" s="66"/>
      <c r="C30" s="66" t="s">
        <v>100</v>
      </c>
      <c r="D30" s="66" t="s">
        <v>100</v>
      </c>
      <c r="E30" s="150" t="s">
        <v>1136</v>
      </c>
      <c r="F30" s="482" t="s">
        <v>1566</v>
      </c>
      <c r="G30" s="150" t="s">
        <v>1135</v>
      </c>
      <c r="H30" s="150" t="s">
        <v>1135</v>
      </c>
      <c r="I30" s="150" t="s">
        <v>1135</v>
      </c>
      <c r="J30" s="150" t="s">
        <v>1135</v>
      </c>
      <c r="K30" s="150" t="s">
        <v>1137</v>
      </c>
      <c r="L30" s="511" t="s">
        <v>49</v>
      </c>
      <c r="M30" s="392" t="s">
        <v>1240</v>
      </c>
      <c r="N30" s="343"/>
      <c r="O30" s="343"/>
      <c r="P30" s="70" t="s">
        <v>101</v>
      </c>
      <c r="Q30" s="346"/>
      <c r="R30" s="346" t="s">
        <v>1232</v>
      </c>
      <c r="S30" s="346"/>
      <c r="T30" s="150" t="s">
        <v>25</v>
      </c>
      <c r="U30" s="150" t="s">
        <v>1244</v>
      </c>
      <c r="V30" s="403"/>
      <c r="W30" s="406">
        <v>0</v>
      </c>
      <c r="X30" s="406">
        <v>-91332</v>
      </c>
      <c r="Y30" s="430"/>
      <c r="Z30" s="137"/>
      <c r="AA30" s="426"/>
      <c r="AB30" s="427"/>
      <c r="AC30" s="427"/>
      <c r="AD30" s="428" t="s">
        <v>1142</v>
      </c>
      <c r="AE30" s="429">
        <v>-91332</v>
      </c>
      <c r="AF30" s="429">
        <v>0</v>
      </c>
      <c r="AG30" s="360">
        <v>0</v>
      </c>
      <c r="AH30" s="360">
        <v>0</v>
      </c>
      <c r="AI30" s="360">
        <v>0</v>
      </c>
      <c r="AJ30" s="360">
        <v>0</v>
      </c>
      <c r="AK30" s="360">
        <v>0</v>
      </c>
      <c r="AL30" s="360">
        <v>0</v>
      </c>
      <c r="AM30" s="360">
        <f t="shared" si="0"/>
        <v>-91332</v>
      </c>
      <c r="AN30" s="362">
        <f>ERP_26[[#This Row],[2026 Working Total]]-ERP_26[[#This Row],[LE2 Final Submission]]</f>
        <v>0</v>
      </c>
      <c r="AO30" s="79"/>
      <c r="AP30" s="79">
        <f t="shared" si="1"/>
        <v>0</v>
      </c>
      <c r="AQ30" s="374">
        <f>SUM(ERP_26[[#This Row],[AP01]:[AP06]])-SUM(ERP_26[[#This Row],[AP01 LE2]:[AP06 LE2]])</f>
        <v>0</v>
      </c>
      <c r="AR30" s="80"/>
      <c r="AS30" s="79">
        <f>ERP_26[[#This Row],[2026 Working Total to Budget/LE]]-ERP_26[[#This Row],[Giveback]]</f>
        <v>0</v>
      </c>
      <c r="AT30" s="81"/>
      <c r="AU30" s="375"/>
      <c r="AV30" s="375"/>
      <c r="AW30" s="375"/>
      <c r="AX30" s="375"/>
      <c r="AY30" s="375"/>
      <c r="AZ30" s="375">
        <v>-91332</v>
      </c>
      <c r="BA30" s="375">
        <v>0</v>
      </c>
      <c r="BB30" s="375">
        <v>0</v>
      </c>
      <c r="BC30" s="375">
        <v>0</v>
      </c>
      <c r="BD30" s="375">
        <v>0</v>
      </c>
      <c r="BE30" s="375">
        <v>0</v>
      </c>
      <c r="BF30" s="375">
        <v>0</v>
      </c>
      <c r="BG30" s="375">
        <v>-91332</v>
      </c>
      <c r="BH30" s="79"/>
      <c r="BI30" s="79"/>
      <c r="BJ30" s="79"/>
      <c r="BK30" s="79"/>
      <c r="BL30" s="79"/>
      <c r="BM30" s="79">
        <v>-91332</v>
      </c>
      <c r="BN30" s="79">
        <v>0</v>
      </c>
      <c r="BO30" s="79">
        <v>0</v>
      </c>
      <c r="BP30" s="79">
        <v>0</v>
      </c>
      <c r="BQ30" s="79">
        <v>0</v>
      </c>
      <c r="BR30" s="79">
        <v>0</v>
      </c>
      <c r="BS30" s="79">
        <v>0</v>
      </c>
      <c r="BT30" s="79">
        <v>-91332</v>
      </c>
    </row>
    <row r="31" spans="1:72" ht="15" customHeight="1">
      <c r="A31" s="66" t="s">
        <v>1247</v>
      </c>
      <c r="B31" s="66"/>
      <c r="C31" s="66" t="s">
        <v>102</v>
      </c>
      <c r="D31" s="66" t="s">
        <v>102</v>
      </c>
      <c r="E31" s="150" t="s">
        <v>1136</v>
      </c>
      <c r="F31" s="482" t="s">
        <v>1566</v>
      </c>
      <c r="G31" s="150" t="s">
        <v>1135</v>
      </c>
      <c r="H31" s="150" t="s">
        <v>1135</v>
      </c>
      <c r="I31" s="150" t="s">
        <v>1135</v>
      </c>
      <c r="J31" s="150" t="s">
        <v>1135</v>
      </c>
      <c r="K31" s="150" t="s">
        <v>1137</v>
      </c>
      <c r="L31" s="511" t="s">
        <v>49</v>
      </c>
      <c r="M31" s="392" t="s">
        <v>1236</v>
      </c>
      <c r="N31" s="343"/>
      <c r="O31" s="343"/>
      <c r="P31" s="70" t="s">
        <v>103</v>
      </c>
      <c r="Q31" s="346"/>
      <c r="R31" s="346" t="s">
        <v>1232</v>
      </c>
      <c r="S31" s="346"/>
      <c r="T31" s="150" t="s">
        <v>25</v>
      </c>
      <c r="U31" s="150" t="s">
        <v>1244</v>
      </c>
      <c r="V31" s="403"/>
      <c r="W31" s="406">
        <v>0</v>
      </c>
      <c r="X31" s="406">
        <v>-213108</v>
      </c>
      <c r="Y31" s="425"/>
      <c r="Z31" s="71"/>
      <c r="AA31" s="426"/>
      <c r="AB31" s="427"/>
      <c r="AC31" s="427"/>
      <c r="AD31" s="428" t="s">
        <v>1142</v>
      </c>
      <c r="AE31" s="429">
        <v>-213108</v>
      </c>
      <c r="AF31" s="429">
        <v>0</v>
      </c>
      <c r="AG31" s="360">
        <v>0</v>
      </c>
      <c r="AH31" s="360">
        <v>0</v>
      </c>
      <c r="AI31" s="360">
        <v>0</v>
      </c>
      <c r="AJ31" s="360">
        <v>0</v>
      </c>
      <c r="AK31" s="360">
        <v>0</v>
      </c>
      <c r="AL31" s="360">
        <v>0</v>
      </c>
      <c r="AM31" s="360">
        <f t="shared" si="0"/>
        <v>-213108</v>
      </c>
      <c r="AN31" s="362">
        <f>ERP_26[[#This Row],[2026 Working Total]]-ERP_26[[#This Row],[LE2 Final Submission]]</f>
        <v>0</v>
      </c>
      <c r="AO31" s="79"/>
      <c r="AP31" s="79">
        <f t="shared" si="1"/>
        <v>0</v>
      </c>
      <c r="AQ31" s="374">
        <f>SUM(ERP_26[[#This Row],[AP01]:[AP06]])-SUM(ERP_26[[#This Row],[AP01 LE2]:[AP06 LE2]])</f>
        <v>0</v>
      </c>
      <c r="AR31" s="80"/>
      <c r="AS31" s="79">
        <f>ERP_26[[#This Row],[2026 Working Total to Budget/LE]]-ERP_26[[#This Row],[Giveback]]</f>
        <v>0</v>
      </c>
      <c r="AT31" s="81"/>
      <c r="AU31" s="375"/>
      <c r="AV31" s="375"/>
      <c r="AW31" s="375"/>
      <c r="AX31" s="375"/>
      <c r="AY31" s="375"/>
      <c r="AZ31" s="375">
        <v>-213108</v>
      </c>
      <c r="BA31" s="375">
        <v>0</v>
      </c>
      <c r="BB31" s="375">
        <v>0</v>
      </c>
      <c r="BC31" s="375">
        <v>0</v>
      </c>
      <c r="BD31" s="375">
        <v>0</v>
      </c>
      <c r="BE31" s="375">
        <v>0</v>
      </c>
      <c r="BF31" s="375">
        <v>0</v>
      </c>
      <c r="BG31" s="375">
        <v>-213108</v>
      </c>
      <c r="BH31" s="79"/>
      <c r="BI31" s="79"/>
      <c r="BJ31" s="79"/>
      <c r="BK31" s="79"/>
      <c r="BL31" s="79"/>
      <c r="BM31" s="79">
        <v>-213108</v>
      </c>
      <c r="BN31" s="79">
        <v>0</v>
      </c>
      <c r="BO31" s="79">
        <v>0</v>
      </c>
      <c r="BP31" s="79">
        <v>0</v>
      </c>
      <c r="BQ31" s="79">
        <v>0</v>
      </c>
      <c r="BR31" s="79">
        <v>0</v>
      </c>
      <c r="BS31" s="79">
        <v>0</v>
      </c>
      <c r="BT31" s="79">
        <v>-213108</v>
      </c>
    </row>
    <row r="32" spans="1:72" ht="15" customHeight="1">
      <c r="A32" s="79" t="s">
        <v>1248</v>
      </c>
      <c r="B32" s="79"/>
      <c r="C32" s="79" t="s">
        <v>104</v>
      </c>
      <c r="D32" s="296" t="s">
        <v>1249</v>
      </c>
      <c r="E32" s="150" t="s">
        <v>1136</v>
      </c>
      <c r="F32" s="482" t="s">
        <v>1566</v>
      </c>
      <c r="G32" s="150" t="s">
        <v>1135</v>
      </c>
      <c r="H32" s="383" t="s">
        <v>1156</v>
      </c>
      <c r="I32" s="332" t="s">
        <v>1135</v>
      </c>
      <c r="J32" s="383" t="s">
        <v>1156</v>
      </c>
      <c r="K32" s="333" t="s">
        <v>1137</v>
      </c>
      <c r="L32" s="512" t="s">
        <v>49</v>
      </c>
      <c r="M32" s="393" t="s">
        <v>1250</v>
      </c>
      <c r="N32" s="343" t="s">
        <v>1251</v>
      </c>
      <c r="O32" s="332" t="s">
        <v>1252</v>
      </c>
      <c r="P32" s="91" t="s">
        <v>105</v>
      </c>
      <c r="Q32" s="347"/>
      <c r="R32" s="346" t="s">
        <v>1253</v>
      </c>
      <c r="S32" s="348"/>
      <c r="T32" s="386" t="s">
        <v>25</v>
      </c>
      <c r="U32" s="387" t="s">
        <v>1254</v>
      </c>
      <c r="V32" s="432"/>
      <c r="W32" s="358">
        <v>1</v>
      </c>
      <c r="X32" s="378">
        <v>0</v>
      </c>
      <c r="Y32" s="425"/>
      <c r="Z32" s="71"/>
      <c r="AA32" s="433"/>
      <c r="AB32" s="434"/>
      <c r="AC32" s="434"/>
      <c r="AD32" s="428" t="s">
        <v>1142</v>
      </c>
      <c r="AE32" s="429">
        <v>0</v>
      </c>
      <c r="AF32" s="429">
        <v>0</v>
      </c>
      <c r="AG32" s="388">
        <v>0</v>
      </c>
      <c r="AH32" s="388">
        <v>0</v>
      </c>
      <c r="AI32" s="388">
        <v>0</v>
      </c>
      <c r="AJ32" s="388">
        <v>0</v>
      </c>
      <c r="AK32" s="388">
        <v>0</v>
      </c>
      <c r="AL32" s="388">
        <v>0</v>
      </c>
      <c r="AM32" s="360">
        <f t="shared" si="0"/>
        <v>0</v>
      </c>
      <c r="AN32" s="362">
        <f>ERP_26[[#This Row],[2026 Working Total]]-ERP_26[[#This Row],[LE2 Final Submission]]</f>
        <v>0</v>
      </c>
      <c r="AO32" s="79">
        <v>0</v>
      </c>
      <c r="AP32" s="79">
        <f t="shared" si="1"/>
        <v>0</v>
      </c>
      <c r="AQ32" s="374">
        <f>SUM(ERP_26[[#This Row],[AP01]:[AP06]])-SUM(ERP_26[[#This Row],[AP01 LE2]:[AP06 LE2]])</f>
        <v>0</v>
      </c>
      <c r="AR32" s="80"/>
      <c r="AS32" s="79">
        <f>ERP_26[[#This Row],[2026 Working Total to Budget/LE]]-ERP_26[[#This Row],[Giveback]]</f>
        <v>0</v>
      </c>
      <c r="AT32" s="81"/>
      <c r="AU32" s="375"/>
      <c r="AV32" s="375"/>
      <c r="AW32" s="375"/>
      <c r="AX32" s="375">
        <v>0</v>
      </c>
      <c r="AY32" s="375">
        <v>0</v>
      </c>
      <c r="AZ32" s="375">
        <v>0</v>
      </c>
      <c r="BA32" s="375">
        <v>0</v>
      </c>
      <c r="BB32" s="375">
        <v>0</v>
      </c>
      <c r="BC32" s="375">
        <v>0</v>
      </c>
      <c r="BD32" s="375">
        <v>0</v>
      </c>
      <c r="BE32" s="375">
        <v>0</v>
      </c>
      <c r="BF32" s="375">
        <v>0</v>
      </c>
      <c r="BG32" s="375">
        <v>0</v>
      </c>
      <c r="BH32" s="103">
        <v>0</v>
      </c>
      <c r="BI32" s="103">
        <v>0</v>
      </c>
      <c r="BJ32" s="103">
        <v>0</v>
      </c>
      <c r="BK32" s="103">
        <v>0</v>
      </c>
      <c r="BL32" s="103">
        <v>0</v>
      </c>
      <c r="BM32" s="103">
        <v>0</v>
      </c>
      <c r="BN32" s="103">
        <v>0</v>
      </c>
      <c r="BO32" s="103">
        <v>0</v>
      </c>
      <c r="BP32" s="103">
        <v>0</v>
      </c>
      <c r="BQ32" s="103">
        <v>0</v>
      </c>
      <c r="BR32" s="103">
        <v>0</v>
      </c>
      <c r="BS32" s="103">
        <v>1</v>
      </c>
      <c r="BT32" s="79">
        <f>SUM(ERP_26[[#This Row],[2026 AP01]:[2026 AP12]])</f>
        <v>1</v>
      </c>
    </row>
    <row r="33" spans="1:72" ht="15" customHeight="1">
      <c r="A33" s="66" t="s">
        <v>1255</v>
      </c>
      <c r="B33" s="66"/>
      <c r="C33" s="66" t="s">
        <v>106</v>
      </c>
      <c r="D33" s="66" t="s">
        <v>106</v>
      </c>
      <c r="E33" s="150" t="s">
        <v>1136</v>
      </c>
      <c r="F33" s="482" t="s">
        <v>1566</v>
      </c>
      <c r="G33" s="150" t="s">
        <v>1135</v>
      </c>
      <c r="H33" s="150" t="s">
        <v>1135</v>
      </c>
      <c r="I33" s="150" t="s">
        <v>1135</v>
      </c>
      <c r="J33" s="150" t="s">
        <v>1135</v>
      </c>
      <c r="K33" s="150" t="s">
        <v>1137</v>
      </c>
      <c r="L33" s="511" t="s">
        <v>49</v>
      </c>
      <c r="M33" s="392" t="s">
        <v>1256</v>
      </c>
      <c r="N33" s="343" t="s">
        <v>1206</v>
      </c>
      <c r="O33" s="346" t="s">
        <v>1171</v>
      </c>
      <c r="P33" s="70" t="s">
        <v>107</v>
      </c>
      <c r="Q33" s="346"/>
      <c r="R33" s="346" t="s">
        <v>1257</v>
      </c>
      <c r="S33" s="346"/>
      <c r="T33" s="150" t="s">
        <v>25</v>
      </c>
      <c r="U33" s="150"/>
      <c r="V33" s="403"/>
      <c r="W33" s="406">
        <v>178000</v>
      </c>
      <c r="X33" s="406">
        <v>136206.91999999998</v>
      </c>
      <c r="Y33" s="425"/>
      <c r="Z33" s="71"/>
      <c r="AA33" s="426"/>
      <c r="AB33" s="427">
        <v>53852.77</v>
      </c>
      <c r="AC33" s="427">
        <v>35563.15</v>
      </c>
      <c r="AD33" s="428">
        <v>1016.0800000000017</v>
      </c>
      <c r="AE33" s="429">
        <v>-9701</v>
      </c>
      <c r="AF33" s="429">
        <v>0</v>
      </c>
      <c r="AG33" s="360">
        <v>0</v>
      </c>
      <c r="AH33" s="360">
        <v>0</v>
      </c>
      <c r="AI33" s="360">
        <v>0</v>
      </c>
      <c r="AJ33" s="360">
        <v>0</v>
      </c>
      <c r="AK33" s="360">
        <v>0</v>
      </c>
      <c r="AL33" s="360">
        <v>0</v>
      </c>
      <c r="AM33" s="360">
        <f t="shared" si="0"/>
        <v>80731</v>
      </c>
      <c r="AN33" s="362">
        <f>ERP_26[[#This Row],[2026 Working Total]]-ERP_26[[#This Row],[LE2 Final Submission]]</f>
        <v>-55475.919999999984</v>
      </c>
      <c r="AO33" s="79">
        <v>27738</v>
      </c>
      <c r="AP33" s="79">
        <f t="shared" si="1"/>
        <v>-27738</v>
      </c>
      <c r="AQ33" s="374">
        <f>SUM(ERP_26[[#This Row],[AP01]:[AP06]])-SUM(ERP_26[[#This Row],[AP01 LE2]:[AP06 LE2]])</f>
        <v>-55475.919999999984</v>
      </c>
      <c r="AR33" s="80"/>
      <c r="AS33" s="79">
        <f>ERP_26[[#This Row],[2026 Working Total to Budget/LE]]-ERP_26[[#This Row],[Giveback]]</f>
        <v>-55475.919999999984</v>
      </c>
      <c r="AT33" s="81"/>
      <c r="AU33" s="375"/>
      <c r="AV33" s="375">
        <v>53852.77</v>
      </c>
      <c r="AW33" s="375">
        <v>35563.15</v>
      </c>
      <c r="AX33" s="375">
        <v>19053</v>
      </c>
      <c r="AY33" s="375">
        <v>27738</v>
      </c>
      <c r="AZ33" s="375"/>
      <c r="BA33" s="375">
        <v>0</v>
      </c>
      <c r="BB33" s="375">
        <v>0</v>
      </c>
      <c r="BC33" s="375">
        <v>0</v>
      </c>
      <c r="BD33" s="375">
        <v>0</v>
      </c>
      <c r="BE33" s="375">
        <v>0</v>
      </c>
      <c r="BF33" s="375">
        <v>0</v>
      </c>
      <c r="BG33" s="375">
        <v>136206.91999999998</v>
      </c>
      <c r="BH33" s="79"/>
      <c r="BI33" s="79">
        <v>53852.77</v>
      </c>
      <c r="BJ33" s="79">
        <v>35563.15</v>
      </c>
      <c r="BK33" s="79">
        <v>29666.67</v>
      </c>
      <c r="BL33" s="79">
        <v>29666.67</v>
      </c>
      <c r="BM33" s="79">
        <v>29666.67</v>
      </c>
      <c r="BN33" s="79">
        <v>0</v>
      </c>
      <c r="BO33" s="79">
        <v>0</v>
      </c>
      <c r="BP33" s="79">
        <v>0</v>
      </c>
      <c r="BQ33" s="79">
        <v>0</v>
      </c>
      <c r="BR33" s="79">
        <v>0</v>
      </c>
      <c r="BS33" s="79">
        <v>0</v>
      </c>
      <c r="BT33" s="79">
        <v>178415.93</v>
      </c>
    </row>
    <row r="34" spans="1:72" ht="15" customHeight="1">
      <c r="A34" s="66" t="s">
        <v>1258</v>
      </c>
      <c r="B34" s="66"/>
      <c r="C34" s="66" t="s">
        <v>108</v>
      </c>
      <c r="D34" s="66" t="s">
        <v>108</v>
      </c>
      <c r="E34" s="150" t="s">
        <v>1136</v>
      </c>
      <c r="F34" s="482" t="s">
        <v>1566</v>
      </c>
      <c r="G34" s="150" t="s">
        <v>1135</v>
      </c>
      <c r="H34" s="150" t="s">
        <v>1135</v>
      </c>
      <c r="I34" s="150" t="s">
        <v>1135</v>
      </c>
      <c r="J34" s="150" t="s">
        <v>1135</v>
      </c>
      <c r="K34" s="150" t="s">
        <v>1137</v>
      </c>
      <c r="L34" s="511" t="s">
        <v>49</v>
      </c>
      <c r="M34" s="392" t="s">
        <v>1259</v>
      </c>
      <c r="N34" s="343" t="s">
        <v>1206</v>
      </c>
      <c r="O34" s="346" t="s">
        <v>1171</v>
      </c>
      <c r="P34" s="70" t="s">
        <v>109</v>
      </c>
      <c r="Q34" s="346"/>
      <c r="R34" s="346" t="s">
        <v>1260</v>
      </c>
      <c r="S34" s="346"/>
      <c r="T34" s="150" t="s">
        <v>25</v>
      </c>
      <c r="U34" s="150"/>
      <c r="V34" s="403"/>
      <c r="W34" s="406">
        <v>222000</v>
      </c>
      <c r="X34" s="406">
        <v>134302.39999999999</v>
      </c>
      <c r="Y34" s="430"/>
      <c r="Z34" s="137"/>
      <c r="AA34" s="426"/>
      <c r="AB34" s="427">
        <v>72114.23</v>
      </c>
      <c r="AC34" s="427">
        <v>40652.339999999997</v>
      </c>
      <c r="AD34" s="428">
        <v>64472.479999999989</v>
      </c>
      <c r="AE34" s="429">
        <v>-4813.7299999999959</v>
      </c>
      <c r="AF34" s="429">
        <v>-14788.650000000001</v>
      </c>
      <c r="AG34" s="360">
        <v>0</v>
      </c>
      <c r="AH34" s="360">
        <v>0</v>
      </c>
      <c r="AI34" s="360">
        <v>0</v>
      </c>
      <c r="AJ34" s="360">
        <v>0</v>
      </c>
      <c r="AK34" s="360">
        <v>0</v>
      </c>
      <c r="AL34" s="360">
        <v>0</v>
      </c>
      <c r="AM34" s="360">
        <f t="shared" si="0"/>
        <v>157636.67000000001</v>
      </c>
      <c r="AN34" s="362">
        <f>ERP_26[[#This Row],[2026 Working Total]]-ERP_26[[#This Row],[LE2 Final Submission]]</f>
        <v>23334.270000000019</v>
      </c>
      <c r="AO34" s="79">
        <v>33359.4</v>
      </c>
      <c r="AP34" s="79">
        <f t="shared" si="1"/>
        <v>-48148.05</v>
      </c>
      <c r="AQ34" s="374">
        <f>SUM(ERP_26[[#This Row],[AP01]:[AP06]])-SUM(ERP_26[[#This Row],[AP01 LE2]:[AP06 LE2]])</f>
        <v>23334.270000000019</v>
      </c>
      <c r="AR34" s="80"/>
      <c r="AS34" s="79">
        <f>ERP_26[[#This Row],[2026 Working Total to Budget/LE]]-ERP_26[[#This Row],[Giveback]]</f>
        <v>23334.270000000019</v>
      </c>
      <c r="AT34" s="81"/>
      <c r="AU34" s="375"/>
      <c r="AV34" s="375">
        <v>72114.23</v>
      </c>
      <c r="AW34" s="375">
        <v>40652.339999999997</v>
      </c>
      <c r="AX34" s="375">
        <v>-11823.57</v>
      </c>
      <c r="AY34" s="375">
        <v>33359.4</v>
      </c>
      <c r="AZ34" s="375"/>
      <c r="BA34" s="375">
        <v>0</v>
      </c>
      <c r="BB34" s="375">
        <v>0</v>
      </c>
      <c r="BC34" s="375">
        <v>0</v>
      </c>
      <c r="BD34" s="375">
        <v>0</v>
      </c>
      <c r="BE34" s="375">
        <v>0</v>
      </c>
      <c r="BF34" s="375">
        <v>0</v>
      </c>
      <c r="BG34" s="375">
        <v>134302.39999999999</v>
      </c>
      <c r="BH34" s="79"/>
      <c r="BI34" s="79">
        <v>72114.23</v>
      </c>
      <c r="BJ34" s="79">
        <v>40652.339999999997</v>
      </c>
      <c r="BK34" s="79">
        <v>37000</v>
      </c>
      <c r="BL34" s="79">
        <v>37000</v>
      </c>
      <c r="BM34" s="79">
        <v>37000</v>
      </c>
      <c r="BN34" s="79">
        <v>0</v>
      </c>
      <c r="BO34" s="79">
        <v>0</v>
      </c>
      <c r="BP34" s="79">
        <v>0</v>
      </c>
      <c r="BQ34" s="79">
        <v>0</v>
      </c>
      <c r="BR34" s="79">
        <v>0</v>
      </c>
      <c r="BS34" s="79">
        <v>0</v>
      </c>
      <c r="BT34" s="79">
        <v>223766.57</v>
      </c>
    </row>
    <row r="35" spans="1:72" ht="15" customHeight="1">
      <c r="A35" s="66" t="s">
        <v>1261</v>
      </c>
      <c r="B35" s="66"/>
      <c r="C35" s="66" t="s">
        <v>110</v>
      </c>
      <c r="D35" s="66" t="s">
        <v>110</v>
      </c>
      <c r="E35" s="150" t="s">
        <v>1136</v>
      </c>
      <c r="F35" s="482" t="s">
        <v>1566</v>
      </c>
      <c r="G35" s="150" t="s">
        <v>1135</v>
      </c>
      <c r="H35" s="150" t="s">
        <v>1135</v>
      </c>
      <c r="I35" s="150" t="s">
        <v>1135</v>
      </c>
      <c r="J35" s="150" t="s">
        <v>1135</v>
      </c>
      <c r="K35" s="150" t="s">
        <v>1137</v>
      </c>
      <c r="L35" s="511" t="s">
        <v>49</v>
      </c>
      <c r="M35" s="392" t="s">
        <v>1262</v>
      </c>
      <c r="N35" s="343" t="s">
        <v>1263</v>
      </c>
      <c r="O35" s="346" t="s">
        <v>1264</v>
      </c>
      <c r="P35" s="70" t="s">
        <v>111</v>
      </c>
      <c r="Q35" s="346"/>
      <c r="R35" s="346" t="s">
        <v>1265</v>
      </c>
      <c r="S35" s="346"/>
      <c r="T35" s="150" t="s">
        <v>25</v>
      </c>
      <c r="U35" s="150"/>
      <c r="V35" s="403"/>
      <c r="W35" s="406">
        <v>100000</v>
      </c>
      <c r="X35" s="406">
        <v>100000</v>
      </c>
      <c r="Y35" s="425"/>
      <c r="Z35" s="71"/>
      <c r="AA35" s="426"/>
      <c r="AB35" s="427"/>
      <c r="AC35" s="427"/>
      <c r="AD35" s="428" t="s">
        <v>1142</v>
      </c>
      <c r="AE35" s="429">
        <v>0</v>
      </c>
      <c r="AF35" s="429">
        <v>0</v>
      </c>
      <c r="AG35" s="532">
        <v>14286</v>
      </c>
      <c r="AH35" s="532">
        <v>14286</v>
      </c>
      <c r="AI35" s="532">
        <v>14286</v>
      </c>
      <c r="AJ35" s="532">
        <v>14286</v>
      </c>
      <c r="AK35" s="532">
        <v>14286</v>
      </c>
      <c r="AL35" s="532">
        <v>14286</v>
      </c>
      <c r="AM35" s="360">
        <f t="shared" si="0"/>
        <v>85716</v>
      </c>
      <c r="AN35" s="362">
        <f>ERP_26[[#This Row],[2026 Working Total]]-ERP_26[[#This Row],[LE2 Final Submission]]</f>
        <v>-14284</v>
      </c>
      <c r="AO35" s="79">
        <v>11111</v>
      </c>
      <c r="AP35" s="79">
        <f t="shared" si="1"/>
        <v>-11111</v>
      </c>
      <c r="AQ35" s="374">
        <f>SUM(ERP_26[[#This Row],[AP01]:[AP06]])-SUM(ERP_26[[#This Row],[AP01 LE2]:[AP06 LE2]])</f>
        <v>-33333</v>
      </c>
      <c r="AR35" s="80"/>
      <c r="AS35" s="79">
        <f>ERP_26[[#This Row],[2026 Working Total to Budget/LE]]-ERP_26[[#This Row],[Giveback]]</f>
        <v>-14284</v>
      </c>
      <c r="AT35" s="81"/>
      <c r="AU35" s="375"/>
      <c r="AV35" s="375"/>
      <c r="AW35" s="375"/>
      <c r="AX35" s="375">
        <v>11111</v>
      </c>
      <c r="AY35" s="375">
        <v>11111</v>
      </c>
      <c r="AZ35" s="375">
        <v>11111</v>
      </c>
      <c r="BA35" s="375">
        <v>11111</v>
      </c>
      <c r="BB35" s="375">
        <v>11111</v>
      </c>
      <c r="BC35" s="375">
        <v>11111</v>
      </c>
      <c r="BD35" s="375">
        <v>11111</v>
      </c>
      <c r="BE35" s="375">
        <v>11111</v>
      </c>
      <c r="BF35" s="375">
        <v>11112</v>
      </c>
      <c r="BG35" s="375">
        <v>100000</v>
      </c>
      <c r="BH35" s="79"/>
      <c r="BI35" s="79"/>
      <c r="BJ35" s="79"/>
      <c r="BK35" s="79">
        <v>11111</v>
      </c>
      <c r="BL35" s="79">
        <v>11111</v>
      </c>
      <c r="BM35" s="79">
        <v>11111</v>
      </c>
      <c r="BN35" s="79">
        <v>11111</v>
      </c>
      <c r="BO35" s="79">
        <v>11111</v>
      </c>
      <c r="BP35" s="79">
        <v>11111</v>
      </c>
      <c r="BQ35" s="79">
        <v>11111</v>
      </c>
      <c r="BR35" s="79">
        <v>11111</v>
      </c>
      <c r="BS35" s="79">
        <v>11112</v>
      </c>
      <c r="BT35" s="79">
        <v>100000</v>
      </c>
    </row>
    <row r="36" spans="1:72" ht="15" customHeight="1">
      <c r="A36" s="66" t="s">
        <v>1266</v>
      </c>
      <c r="B36" s="66"/>
      <c r="C36" s="66" t="s">
        <v>112</v>
      </c>
      <c r="D36" s="66" t="s">
        <v>1267</v>
      </c>
      <c r="E36" s="150" t="s">
        <v>1136</v>
      </c>
      <c r="F36" s="482" t="s">
        <v>1566</v>
      </c>
      <c r="G36" s="150" t="s">
        <v>1135</v>
      </c>
      <c r="H36" s="150" t="s">
        <v>1165</v>
      </c>
      <c r="I36" s="150" t="s">
        <v>1135</v>
      </c>
      <c r="J36" s="150" t="s">
        <v>1165</v>
      </c>
      <c r="K36" s="150" t="s">
        <v>1137</v>
      </c>
      <c r="L36" s="511" t="s">
        <v>49</v>
      </c>
      <c r="M36" s="392" t="s">
        <v>1268</v>
      </c>
      <c r="N36" s="343"/>
      <c r="O36" s="343"/>
      <c r="P36" s="70" t="s">
        <v>113</v>
      </c>
      <c r="Q36" s="346"/>
      <c r="R36" s="343"/>
      <c r="S36" s="346"/>
      <c r="T36" s="150" t="s">
        <v>114</v>
      </c>
      <c r="U36" s="150"/>
      <c r="V36" s="403"/>
      <c r="W36" s="406">
        <v>39781.000000000015</v>
      </c>
      <c r="X36" s="406">
        <v>37314.43</v>
      </c>
      <c r="Y36" s="425"/>
      <c r="Z36" s="71"/>
      <c r="AA36" s="426">
        <v>3217.02</v>
      </c>
      <c r="AB36" s="427">
        <v>2578.4899999999998</v>
      </c>
      <c r="AC36" s="427">
        <v>2874.84</v>
      </c>
      <c r="AD36" s="428">
        <v>3540.9</v>
      </c>
      <c r="AE36" s="429">
        <v>2797.94</v>
      </c>
      <c r="AF36" s="429">
        <v>2743.02</v>
      </c>
      <c r="AG36" s="363">
        <v>3159</v>
      </c>
      <c r="AH36" s="363">
        <v>3190</v>
      </c>
      <c r="AI36" s="363">
        <v>3150</v>
      </c>
      <c r="AJ36" s="363">
        <v>3150</v>
      </c>
      <c r="AK36" s="363">
        <v>3150</v>
      </c>
      <c r="AL36" s="363">
        <v>3150</v>
      </c>
      <c r="AM36" s="360">
        <f t="shared" si="0"/>
        <v>36701.21</v>
      </c>
      <c r="AN36" s="362">
        <f>ERP_26[[#This Row],[2026 Working Total]]-ERP_26[[#This Row],[LE2 Final Submission]]</f>
        <v>-613.22000000000116</v>
      </c>
      <c r="AO36" s="79">
        <v>3190</v>
      </c>
      <c r="AP36" s="79">
        <f t="shared" si="1"/>
        <v>-446.98</v>
      </c>
      <c r="AQ36" s="374">
        <f>SUM(ERP_26[[#This Row],[AP01]:[AP06]])-SUM(ERP_26[[#This Row],[AP01 LE2]:[AP06 LE2]])</f>
        <v>-613.22000000000116</v>
      </c>
      <c r="AR36" s="80"/>
      <c r="AS36" s="79">
        <f>ERP_26[[#This Row],[2026 Working Total to Budget/LE]]-ERP_26[[#This Row],[Giveback]]</f>
        <v>-613.22000000000116</v>
      </c>
      <c r="AT36" s="81"/>
      <c r="AU36" s="375">
        <v>3217.02</v>
      </c>
      <c r="AV36" s="375">
        <v>2578.4899999999998</v>
      </c>
      <c r="AW36" s="375">
        <v>2874.84</v>
      </c>
      <c r="AX36" s="375">
        <v>3315.08</v>
      </c>
      <c r="AY36" s="375">
        <v>3190</v>
      </c>
      <c r="AZ36" s="375">
        <v>3190</v>
      </c>
      <c r="BA36" s="375">
        <v>3159</v>
      </c>
      <c r="BB36" s="375">
        <v>3190</v>
      </c>
      <c r="BC36" s="375">
        <v>3150</v>
      </c>
      <c r="BD36" s="375">
        <v>3150</v>
      </c>
      <c r="BE36" s="375">
        <v>3150</v>
      </c>
      <c r="BF36" s="375">
        <v>3150</v>
      </c>
      <c r="BG36" s="375">
        <v>37314.43</v>
      </c>
      <c r="BH36" s="79">
        <v>3217.02</v>
      </c>
      <c r="BI36" s="79">
        <v>2578.4899999999998</v>
      </c>
      <c r="BJ36" s="79">
        <v>2874.84</v>
      </c>
      <c r="BK36" s="79">
        <v>3315.08</v>
      </c>
      <c r="BL36" s="79">
        <v>3315.08</v>
      </c>
      <c r="BM36" s="79">
        <v>3315.08</v>
      </c>
      <c r="BN36" s="79">
        <v>3315.08</v>
      </c>
      <c r="BO36" s="79">
        <v>3315.08</v>
      </c>
      <c r="BP36" s="79">
        <v>3315.08</v>
      </c>
      <c r="BQ36" s="79">
        <v>3315.08</v>
      </c>
      <c r="BR36" s="79">
        <v>3315.08</v>
      </c>
      <c r="BS36" s="79">
        <v>3315.12</v>
      </c>
      <c r="BT36" s="79">
        <v>38506.110000000008</v>
      </c>
    </row>
    <row r="37" spans="1:72" ht="15" customHeight="1">
      <c r="A37" s="66" t="s">
        <v>1273</v>
      </c>
      <c r="B37" s="66"/>
      <c r="C37" s="66" t="s">
        <v>115</v>
      </c>
      <c r="D37" s="66" t="s">
        <v>1274</v>
      </c>
      <c r="E37" s="150" t="s">
        <v>1136</v>
      </c>
      <c r="F37" s="482" t="s">
        <v>1566</v>
      </c>
      <c r="G37" s="150" t="s">
        <v>1135</v>
      </c>
      <c r="H37" s="150" t="s">
        <v>1145</v>
      </c>
      <c r="I37" s="150" t="s">
        <v>1135</v>
      </c>
      <c r="J37" s="150" t="s">
        <v>1145</v>
      </c>
      <c r="K37" s="150" t="s">
        <v>1137</v>
      </c>
      <c r="L37" s="511" t="s">
        <v>49</v>
      </c>
      <c r="M37" s="392" t="s">
        <v>1275</v>
      </c>
      <c r="N37" s="343"/>
      <c r="O37" s="346" t="s">
        <v>1152</v>
      </c>
      <c r="P37" s="70" t="s">
        <v>116</v>
      </c>
      <c r="Q37" s="346"/>
      <c r="R37" s="346" t="s">
        <v>1187</v>
      </c>
      <c r="S37" s="346"/>
      <c r="T37" s="150" t="s">
        <v>67</v>
      </c>
      <c r="U37" s="150" t="s">
        <v>1276</v>
      </c>
      <c r="V37" s="403"/>
      <c r="W37" s="406">
        <v>948000</v>
      </c>
      <c r="X37" s="406">
        <v>948000.73</v>
      </c>
      <c r="Y37" s="425"/>
      <c r="Z37" s="71"/>
      <c r="AA37" s="426">
        <v>59013</v>
      </c>
      <c r="AB37" s="427">
        <v>227334.86</v>
      </c>
      <c r="AC37" s="427">
        <v>185217.87</v>
      </c>
      <c r="AD37" s="428" t="s">
        <v>1142</v>
      </c>
      <c r="AE37" s="429">
        <v>0</v>
      </c>
      <c r="AF37" s="429">
        <v>0</v>
      </c>
      <c r="AG37" s="363">
        <v>79161</v>
      </c>
      <c r="AH37" s="363">
        <v>79161</v>
      </c>
      <c r="AI37" s="363">
        <v>79161</v>
      </c>
      <c r="AJ37" s="363">
        <v>79161</v>
      </c>
      <c r="AK37" s="363">
        <v>79161</v>
      </c>
      <c r="AL37" s="363">
        <f>79161+1469</f>
        <v>80630</v>
      </c>
      <c r="AM37" s="360">
        <f t="shared" si="0"/>
        <v>948000.73</v>
      </c>
      <c r="AN37" s="362">
        <f>ERP_26[[#This Row],[2026 Working Total]]-ERP_26[[#This Row],[LE2 Final Submission]]</f>
        <v>0</v>
      </c>
      <c r="AO37" s="79">
        <v>29653</v>
      </c>
      <c r="AP37" s="79">
        <f t="shared" si="1"/>
        <v>-29653</v>
      </c>
      <c r="AQ37" s="374">
        <f>SUM(ERP_26[[#This Row],[AP01]:[AP06]])-SUM(ERP_26[[#This Row],[AP01 LE2]:[AP06 LE2]])</f>
        <v>-108653</v>
      </c>
      <c r="AR37" s="80"/>
      <c r="AS37" s="79">
        <f>ERP_26[[#This Row],[2026 Working Total to Budget/LE]]-ERP_26[[#This Row],[Giveback]]</f>
        <v>0</v>
      </c>
      <c r="AT37" s="81"/>
      <c r="AU37" s="375">
        <v>59013</v>
      </c>
      <c r="AV37" s="375">
        <v>227334.86</v>
      </c>
      <c r="AW37" s="375">
        <v>185217.87</v>
      </c>
      <c r="AX37" s="375">
        <v>79000</v>
      </c>
      <c r="AY37" s="375">
        <v>29653</v>
      </c>
      <c r="AZ37" s="375">
        <v>0</v>
      </c>
      <c r="BA37" s="375">
        <v>61297</v>
      </c>
      <c r="BB37" s="375">
        <v>61297</v>
      </c>
      <c r="BC37" s="375">
        <v>61297</v>
      </c>
      <c r="BD37" s="375">
        <v>61297</v>
      </c>
      <c r="BE37" s="375">
        <v>61297</v>
      </c>
      <c r="BF37" s="375">
        <v>61297</v>
      </c>
      <c r="BG37" s="375">
        <v>948000.73</v>
      </c>
      <c r="BH37" s="79">
        <v>59013</v>
      </c>
      <c r="BI37" s="79">
        <v>227334.86</v>
      </c>
      <c r="BJ37" s="79">
        <v>185217.87</v>
      </c>
      <c r="BK37" s="79">
        <v>79000</v>
      </c>
      <c r="BL37" s="79">
        <v>29653</v>
      </c>
      <c r="BM37" s="79">
        <v>0</v>
      </c>
      <c r="BN37" s="79">
        <v>79000</v>
      </c>
      <c r="BO37" s="79">
        <v>79000</v>
      </c>
      <c r="BP37" s="79">
        <v>79000</v>
      </c>
      <c r="BQ37" s="79">
        <v>79000</v>
      </c>
      <c r="BR37" s="79">
        <v>79000</v>
      </c>
      <c r="BS37" s="79">
        <v>79000</v>
      </c>
      <c r="BT37" s="79">
        <v>1054218.73</v>
      </c>
    </row>
    <row r="38" spans="1:72" ht="15" customHeight="1">
      <c r="A38" s="66" t="s">
        <v>1277</v>
      </c>
      <c r="B38" s="66"/>
      <c r="C38" s="66" t="s">
        <v>117</v>
      </c>
      <c r="D38" s="66" t="s">
        <v>117</v>
      </c>
      <c r="E38" s="150" t="s">
        <v>1136</v>
      </c>
      <c r="F38" s="482" t="s">
        <v>1566</v>
      </c>
      <c r="G38" s="150" t="s">
        <v>1135</v>
      </c>
      <c r="H38" s="150" t="s">
        <v>1135</v>
      </c>
      <c r="I38" s="150" t="s">
        <v>1135</v>
      </c>
      <c r="J38" s="150" t="s">
        <v>1135</v>
      </c>
      <c r="K38" s="150" t="s">
        <v>1137</v>
      </c>
      <c r="L38" s="511" t="s">
        <v>49</v>
      </c>
      <c r="M38" s="392" t="s">
        <v>1278</v>
      </c>
      <c r="N38" s="343"/>
      <c r="O38" s="343"/>
      <c r="P38" s="70" t="s">
        <v>118</v>
      </c>
      <c r="Q38" s="346"/>
      <c r="R38" s="346" t="s">
        <v>1221</v>
      </c>
      <c r="S38" s="346"/>
      <c r="T38" s="150" t="s">
        <v>119</v>
      </c>
      <c r="U38" s="150"/>
      <c r="V38" s="403"/>
      <c r="W38" s="406">
        <v>71440</v>
      </c>
      <c r="X38" s="406">
        <v>71440</v>
      </c>
      <c r="Y38" s="425"/>
      <c r="Z38" s="71"/>
      <c r="AA38" s="426"/>
      <c r="AB38" s="427"/>
      <c r="AC38" s="427"/>
      <c r="AD38" s="428" t="s">
        <v>1142</v>
      </c>
      <c r="AE38" s="429">
        <v>0</v>
      </c>
      <c r="AF38" s="429">
        <v>0</v>
      </c>
      <c r="AG38" s="363"/>
      <c r="AH38" s="363">
        <v>71440</v>
      </c>
      <c r="AI38" s="360">
        <v>0</v>
      </c>
      <c r="AJ38" s="360">
        <v>0</v>
      </c>
      <c r="AK38" s="360">
        <v>0</v>
      </c>
      <c r="AL38" s="360">
        <v>0</v>
      </c>
      <c r="AM38" s="360">
        <f t="shared" si="0"/>
        <v>71440</v>
      </c>
      <c r="AN38" s="362">
        <f>ERP_26[[#This Row],[2026 Working Total]]-ERP_26[[#This Row],[LE2 Final Submission]]</f>
        <v>0</v>
      </c>
      <c r="AO38" s="79"/>
      <c r="AP38" s="79">
        <f t="shared" si="1"/>
        <v>0</v>
      </c>
      <c r="AQ38" s="374">
        <f>SUM(ERP_26[[#This Row],[AP01]:[AP06]])-SUM(ERP_26[[#This Row],[AP01 LE2]:[AP06 LE2]])</f>
        <v>0</v>
      </c>
      <c r="AR38" s="80"/>
      <c r="AS38" s="79">
        <f>ERP_26[[#This Row],[2026 Working Total to Budget/LE]]-ERP_26[[#This Row],[Giveback]]</f>
        <v>0</v>
      </c>
      <c r="AT38" s="81"/>
      <c r="AU38" s="375"/>
      <c r="AV38" s="375"/>
      <c r="AW38" s="375"/>
      <c r="AX38" s="375"/>
      <c r="AY38" s="375"/>
      <c r="AZ38" s="375"/>
      <c r="BA38" s="375"/>
      <c r="BB38" s="375">
        <v>71440</v>
      </c>
      <c r="BC38" s="375">
        <v>0</v>
      </c>
      <c r="BD38" s="375">
        <v>0</v>
      </c>
      <c r="BE38" s="375">
        <v>0</v>
      </c>
      <c r="BF38" s="375">
        <v>0</v>
      </c>
      <c r="BG38" s="375">
        <v>71440</v>
      </c>
      <c r="BH38" s="79"/>
      <c r="BI38" s="79"/>
      <c r="BJ38" s="79"/>
      <c r="BK38" s="79"/>
      <c r="BL38" s="79"/>
      <c r="BM38" s="79"/>
      <c r="BN38" s="79"/>
      <c r="BO38" s="79">
        <v>71440</v>
      </c>
      <c r="BP38" s="79">
        <v>0</v>
      </c>
      <c r="BQ38" s="79">
        <v>0</v>
      </c>
      <c r="BR38" s="79">
        <v>0</v>
      </c>
      <c r="BS38" s="79">
        <v>0</v>
      </c>
      <c r="BT38" s="79">
        <v>71440</v>
      </c>
    </row>
    <row r="39" spans="1:72" ht="15" customHeight="1">
      <c r="A39" s="66" t="s">
        <v>1282</v>
      </c>
      <c r="B39" s="66" t="s">
        <v>2950</v>
      </c>
      <c r="C39" s="66" t="s">
        <v>120</v>
      </c>
      <c r="D39" s="66" t="s">
        <v>1283</v>
      </c>
      <c r="E39" s="150" t="s">
        <v>1136</v>
      </c>
      <c r="F39" s="482" t="s">
        <v>1566</v>
      </c>
      <c r="G39" s="150" t="s">
        <v>1135</v>
      </c>
      <c r="H39" s="150" t="s">
        <v>1165</v>
      </c>
      <c r="I39" s="150" t="s">
        <v>1135</v>
      </c>
      <c r="J39" s="150" t="s">
        <v>1165</v>
      </c>
      <c r="K39" s="150" t="s">
        <v>1137</v>
      </c>
      <c r="L39" s="511" t="s">
        <v>49</v>
      </c>
      <c r="M39" s="392" t="s">
        <v>1281</v>
      </c>
      <c r="N39" s="343"/>
      <c r="O39" s="343"/>
      <c r="P39" s="70" t="s">
        <v>121</v>
      </c>
      <c r="Q39" s="346"/>
      <c r="R39" s="343"/>
      <c r="S39" s="346"/>
      <c r="T39" s="150" t="s">
        <v>122</v>
      </c>
      <c r="U39" s="150"/>
      <c r="V39" s="403"/>
      <c r="W39" s="406">
        <v>150000</v>
      </c>
      <c r="X39" s="406">
        <v>149999.65</v>
      </c>
      <c r="Y39" s="425"/>
      <c r="Z39" s="71"/>
      <c r="AA39" s="426"/>
      <c r="AB39" s="427"/>
      <c r="AC39" s="427">
        <v>36597.65</v>
      </c>
      <c r="AD39" s="428">
        <v>17284.68</v>
      </c>
      <c r="AE39" s="429">
        <v>12179.44</v>
      </c>
      <c r="AF39" s="429">
        <v>11999.990000000002</v>
      </c>
      <c r="AG39" s="363">
        <v>12000</v>
      </c>
      <c r="AH39" s="363">
        <v>12000</v>
      </c>
      <c r="AI39" s="363">
        <v>12000</v>
      </c>
      <c r="AJ39" s="363">
        <v>12000</v>
      </c>
      <c r="AK39" s="363">
        <v>12000</v>
      </c>
      <c r="AL39" s="363">
        <v>12000</v>
      </c>
      <c r="AM39" s="560">
        <f t="shared" si="0"/>
        <v>150061.76000000001</v>
      </c>
      <c r="AN39" s="362">
        <f>ERP_26[[#This Row],[2026 Working Total]]-ERP_26[[#This Row],[LE2 Final Submission]]</f>
        <v>62.110000000015134</v>
      </c>
      <c r="AO39" s="79">
        <v>12900</v>
      </c>
      <c r="AP39" s="79">
        <f t="shared" si="1"/>
        <v>-900.0099999999984</v>
      </c>
      <c r="AQ39" s="374">
        <f>SUM(ERP_26[[#This Row],[AP01]:[AP06]])-SUM(ERP_26[[#This Row],[AP01 LE2]:[AP06 LE2]])</f>
        <v>3062.1100000000151</v>
      </c>
      <c r="AR39" s="80"/>
      <c r="AS39" s="79">
        <f>ERP_26[[#This Row],[2026 Working Total to Budget/LE]]-ERP_26[[#This Row],[Giveback]]</f>
        <v>62.110000000015134</v>
      </c>
      <c r="AT39" s="81"/>
      <c r="AU39" s="375"/>
      <c r="AV39" s="375"/>
      <c r="AW39" s="375">
        <v>36597.65</v>
      </c>
      <c r="AX39" s="375">
        <v>12900</v>
      </c>
      <c r="AY39" s="375">
        <v>12900</v>
      </c>
      <c r="AZ39" s="375">
        <v>12602</v>
      </c>
      <c r="BA39" s="375">
        <v>12500</v>
      </c>
      <c r="BB39" s="375">
        <v>12500</v>
      </c>
      <c r="BC39" s="375">
        <v>12500</v>
      </c>
      <c r="BD39" s="375">
        <v>12500</v>
      </c>
      <c r="BE39" s="375">
        <v>12500</v>
      </c>
      <c r="BF39" s="375">
        <v>12500</v>
      </c>
      <c r="BG39" s="375">
        <v>149999.65</v>
      </c>
      <c r="BH39" s="79"/>
      <c r="BI39" s="79"/>
      <c r="BJ39" s="79">
        <v>36597.65</v>
      </c>
      <c r="BK39" s="79">
        <v>12500</v>
      </c>
      <c r="BL39" s="79">
        <v>12500</v>
      </c>
      <c r="BM39" s="79">
        <v>12500</v>
      </c>
      <c r="BN39" s="79">
        <v>12500</v>
      </c>
      <c r="BO39" s="79">
        <v>12500</v>
      </c>
      <c r="BP39" s="79">
        <v>12500</v>
      </c>
      <c r="BQ39" s="79">
        <v>12500</v>
      </c>
      <c r="BR39" s="79">
        <v>12500</v>
      </c>
      <c r="BS39" s="79">
        <v>12500</v>
      </c>
      <c r="BT39" s="79">
        <v>149097.65</v>
      </c>
    </row>
    <row r="40" spans="1:72" ht="15" customHeight="1">
      <c r="A40" s="79" t="s">
        <v>1321</v>
      </c>
      <c r="B40" s="79"/>
      <c r="C40" s="79" t="s">
        <v>123</v>
      </c>
      <c r="D40" s="296" t="s">
        <v>1322</v>
      </c>
      <c r="E40" s="332" t="s">
        <v>1136</v>
      </c>
      <c r="F40" s="482" t="s">
        <v>1566</v>
      </c>
      <c r="G40" s="150" t="s">
        <v>1135</v>
      </c>
      <c r="H40" s="332" t="s">
        <v>1165</v>
      </c>
      <c r="I40" s="332" t="s">
        <v>1135</v>
      </c>
      <c r="J40" s="332" t="s">
        <v>1165</v>
      </c>
      <c r="K40" s="333" t="s">
        <v>1165</v>
      </c>
      <c r="L40" s="514" t="s">
        <v>49</v>
      </c>
      <c r="M40" s="394" t="s">
        <v>1323</v>
      </c>
      <c r="N40" s="333" t="s">
        <v>1324</v>
      </c>
      <c r="O40" s="333">
        <v>2321403</v>
      </c>
      <c r="P40" s="90" t="s">
        <v>124</v>
      </c>
      <c r="Q40" s="347"/>
      <c r="R40">
        <v>9501275938</v>
      </c>
      <c r="S40" s="348"/>
      <c r="T40" s="348"/>
      <c r="U40" s="348"/>
      <c r="V40" s="402"/>
      <c r="W40" s="358"/>
      <c r="X40" s="379"/>
      <c r="Y40" s="425"/>
      <c r="Z40" s="71"/>
      <c r="AA40" s="435"/>
      <c r="AB40" s="436"/>
      <c r="AC40" s="436"/>
      <c r="AD40" s="429"/>
      <c r="AE40" s="429"/>
      <c r="AF40" s="429"/>
      <c r="AG40" s="363">
        <v>9500</v>
      </c>
      <c r="AH40" s="363">
        <v>10125</v>
      </c>
      <c r="AI40" s="363">
        <v>9500</v>
      </c>
      <c r="AJ40" s="363">
        <v>9500</v>
      </c>
      <c r="AK40" s="363">
        <v>10125</v>
      </c>
      <c r="AL40" s="363">
        <v>10125</v>
      </c>
      <c r="AM40" s="360">
        <f t="shared" si="0"/>
        <v>58875</v>
      </c>
      <c r="AN40" s="362">
        <f>ERP_26[[#This Row],[2026 Working Total]]-ERP_26[[#This Row],[LE2 Final Submission]]</f>
        <v>58875</v>
      </c>
      <c r="AO40" s="79"/>
      <c r="AP40" s="79">
        <f t="shared" si="1"/>
        <v>0</v>
      </c>
      <c r="AQ40" s="391">
        <f>SUM(ERP_26[[#This Row],[AP01]:[AP06]])-SUM(ERP_26[[#This Row],[AP01 LE2]:[AP06 LE2]])</f>
        <v>0</v>
      </c>
      <c r="AR40" s="80"/>
      <c r="AS40" s="79">
        <f>ERP_26[[#This Row],[2026 Working Total to Budget/LE]]-ERP_26[[#This Row],[Giveback]]</f>
        <v>58875</v>
      </c>
      <c r="AT40" s="81"/>
      <c r="AU40" s="375"/>
      <c r="AV40" s="375"/>
      <c r="AW40" s="375"/>
      <c r="AX40" s="375"/>
      <c r="AY40" s="375"/>
      <c r="AZ40" s="375"/>
      <c r="BA40" s="375"/>
      <c r="BB40" s="375"/>
      <c r="BC40" s="375"/>
      <c r="BD40" s="375"/>
      <c r="BE40" s="375"/>
      <c r="BF40" s="375"/>
      <c r="BG40" s="375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</row>
    <row r="41" spans="1:72" ht="15" customHeight="1">
      <c r="A41" s="66" t="s">
        <v>1285</v>
      </c>
      <c r="B41" s="66"/>
      <c r="C41" s="66" t="s">
        <v>125</v>
      </c>
      <c r="D41" s="66" t="s">
        <v>1286</v>
      </c>
      <c r="E41" s="150" t="s">
        <v>1136</v>
      </c>
      <c r="F41" s="482" t="s">
        <v>1566</v>
      </c>
      <c r="G41" s="150" t="s">
        <v>1135</v>
      </c>
      <c r="H41" s="150" t="s">
        <v>1145</v>
      </c>
      <c r="I41" s="150" t="s">
        <v>1135</v>
      </c>
      <c r="J41" s="150" t="s">
        <v>1145</v>
      </c>
      <c r="K41" s="150" t="s">
        <v>1137</v>
      </c>
      <c r="L41" s="511" t="s">
        <v>49</v>
      </c>
      <c r="M41" s="392" t="s">
        <v>1287</v>
      </c>
      <c r="N41" s="343"/>
      <c r="O41" s="343"/>
      <c r="P41" s="157" t="s">
        <v>126</v>
      </c>
      <c r="Q41" s="346"/>
      <c r="R41" s="343"/>
      <c r="S41" s="346"/>
      <c r="T41" s="150" t="s">
        <v>127</v>
      </c>
      <c r="U41" s="150"/>
      <c r="V41" s="403"/>
      <c r="W41" s="406">
        <v>115200</v>
      </c>
      <c r="X41" s="406">
        <v>89600</v>
      </c>
      <c r="Y41" s="425"/>
      <c r="Z41" s="71"/>
      <c r="AA41" s="426"/>
      <c r="AB41" s="427"/>
      <c r="AC41" s="427"/>
      <c r="AD41" s="428">
        <v>0</v>
      </c>
      <c r="AE41" s="429">
        <v>0</v>
      </c>
      <c r="AF41" s="429">
        <v>0</v>
      </c>
      <c r="AG41" s="363">
        <f>12800+3600</f>
        <v>16400</v>
      </c>
      <c r="AH41" s="363">
        <f>12800+3600</f>
        <v>16400</v>
      </c>
      <c r="AI41" s="363">
        <v>12800</v>
      </c>
      <c r="AJ41" s="363">
        <v>12800</v>
      </c>
      <c r="AK41" s="363">
        <v>12800</v>
      </c>
      <c r="AL41" s="363">
        <v>12800</v>
      </c>
      <c r="AM41" s="360">
        <f t="shared" si="0"/>
        <v>84000</v>
      </c>
      <c r="AN41" s="362">
        <f>ERP_26[[#This Row],[2026 Working Total]]-ERP_26[[#This Row],[LE2 Final Submission]]</f>
        <v>-5600</v>
      </c>
      <c r="AO41" s="79">
        <v>0</v>
      </c>
      <c r="AP41" s="79">
        <f t="shared" si="1"/>
        <v>0</v>
      </c>
      <c r="AQ41" s="374">
        <f>SUM(ERP_26[[#This Row],[AP01]:[AP06]])-SUM(ERP_26[[#This Row],[AP01 LE2]:[AP06 LE2]])</f>
        <v>-12800</v>
      </c>
      <c r="AR41" s="80"/>
      <c r="AS41" s="79">
        <f>ERP_26[[#This Row],[2026 Working Total to Budget/LE]]-ERP_26[[#This Row],[Giveback]]</f>
        <v>-5600</v>
      </c>
      <c r="AT41" s="81"/>
      <c r="AU41" s="375"/>
      <c r="AV41" s="375"/>
      <c r="AW41" s="375"/>
      <c r="AX41" s="375">
        <v>0</v>
      </c>
      <c r="AY41" s="375">
        <v>0</v>
      </c>
      <c r="AZ41" s="375">
        <v>12800</v>
      </c>
      <c r="BA41" s="375">
        <v>12800</v>
      </c>
      <c r="BB41" s="375">
        <v>12800</v>
      </c>
      <c r="BC41" s="375">
        <v>12800</v>
      </c>
      <c r="BD41" s="375">
        <v>12800</v>
      </c>
      <c r="BE41" s="375">
        <v>12800</v>
      </c>
      <c r="BF41" s="375">
        <v>12800</v>
      </c>
      <c r="BG41" s="375">
        <v>89600</v>
      </c>
      <c r="BH41" s="79"/>
      <c r="BI41" s="79"/>
      <c r="BJ41" s="79"/>
      <c r="BK41" s="79">
        <v>12800</v>
      </c>
      <c r="BL41" s="79">
        <v>12800</v>
      </c>
      <c r="BM41" s="79">
        <v>12800</v>
      </c>
      <c r="BN41" s="79">
        <v>12800</v>
      </c>
      <c r="BO41" s="79">
        <v>12800</v>
      </c>
      <c r="BP41" s="79">
        <v>12800</v>
      </c>
      <c r="BQ41" s="79">
        <v>12800</v>
      </c>
      <c r="BR41" s="79">
        <v>12800</v>
      </c>
      <c r="BS41" s="79">
        <v>12800</v>
      </c>
      <c r="BT41" s="79">
        <v>115200</v>
      </c>
    </row>
    <row r="42" spans="1:72" ht="15" customHeight="1">
      <c r="A42" s="66" t="s">
        <v>1288</v>
      </c>
      <c r="B42" s="66"/>
      <c r="C42" s="66" t="s">
        <v>128</v>
      </c>
      <c r="D42" s="66" t="s">
        <v>1289</v>
      </c>
      <c r="E42" s="150" t="s">
        <v>1136</v>
      </c>
      <c r="F42" s="482" t="s">
        <v>1566</v>
      </c>
      <c r="G42" s="150" t="s">
        <v>1135</v>
      </c>
      <c r="H42" s="150" t="s">
        <v>1165</v>
      </c>
      <c r="I42" s="150" t="s">
        <v>1135</v>
      </c>
      <c r="J42" s="150" t="s">
        <v>1165</v>
      </c>
      <c r="K42" s="150" t="s">
        <v>1137</v>
      </c>
      <c r="L42" s="511" t="s">
        <v>49</v>
      </c>
      <c r="M42" s="392" t="s">
        <v>1290</v>
      </c>
      <c r="N42" s="343"/>
      <c r="O42" s="343"/>
      <c r="P42" s="70" t="s">
        <v>129</v>
      </c>
      <c r="Q42" s="346"/>
      <c r="R42" s="343"/>
      <c r="S42" s="346"/>
      <c r="T42" s="150" t="s">
        <v>114</v>
      </c>
      <c r="U42" s="150"/>
      <c r="V42" s="403"/>
      <c r="W42" s="406">
        <v>73711</v>
      </c>
      <c r="X42" s="406">
        <v>70191.98000000001</v>
      </c>
      <c r="Y42" s="425"/>
      <c r="Z42" s="71"/>
      <c r="AA42" s="426">
        <v>5439.05</v>
      </c>
      <c r="AB42" s="427">
        <v>4406.87</v>
      </c>
      <c r="AC42" s="427">
        <v>5062.8</v>
      </c>
      <c r="AD42" s="428">
        <v>6561.0900000000011</v>
      </c>
      <c r="AE42" s="429">
        <v>5184.41</v>
      </c>
      <c r="AF42" s="429">
        <v>5082.6499999999987</v>
      </c>
      <c r="AG42" s="363">
        <v>6142.58</v>
      </c>
      <c r="AH42" s="363">
        <v>6200</v>
      </c>
      <c r="AI42" s="363">
        <v>6200</v>
      </c>
      <c r="AJ42" s="363">
        <v>6200</v>
      </c>
      <c r="AK42" s="363">
        <v>6200</v>
      </c>
      <c r="AL42" s="363">
        <v>6200</v>
      </c>
      <c r="AM42" s="360">
        <f t="shared" si="0"/>
        <v>68879.45</v>
      </c>
      <c r="AN42" s="362">
        <f>ERP_26[[#This Row],[2026 Working Total]]-ERP_26[[#This Row],[LE2 Final Submission]]</f>
        <v>-1312.5300000000134</v>
      </c>
      <c r="AO42" s="79">
        <v>6142.58</v>
      </c>
      <c r="AP42" s="79">
        <f t="shared" si="1"/>
        <v>-1059.9300000000012</v>
      </c>
      <c r="AQ42" s="374">
        <f>SUM(ERP_26[[#This Row],[AP01]:[AP06]])-SUM(ERP_26[[#This Row],[AP01 LE2]:[AP06 LE2]])</f>
        <v>-1599.5900000000074</v>
      </c>
      <c r="AR42" s="80"/>
      <c r="AS42" s="79">
        <f>ERP_26[[#This Row],[2026 Working Total to Budget/LE]]-ERP_26[[#This Row],[Giveback]]</f>
        <v>-1312.5300000000134</v>
      </c>
      <c r="AT42" s="81"/>
      <c r="AU42" s="375">
        <v>5439.05</v>
      </c>
      <c r="AV42" s="375">
        <v>4406.87</v>
      </c>
      <c r="AW42" s="375">
        <v>5062.8</v>
      </c>
      <c r="AX42" s="375">
        <v>6142.58</v>
      </c>
      <c r="AY42" s="375">
        <v>6142.58</v>
      </c>
      <c r="AZ42" s="375">
        <v>6142.58</v>
      </c>
      <c r="BA42" s="375">
        <v>6142.58</v>
      </c>
      <c r="BB42" s="375">
        <v>6142.58</v>
      </c>
      <c r="BC42" s="375">
        <v>6142.58</v>
      </c>
      <c r="BD42" s="375">
        <v>6142.58</v>
      </c>
      <c r="BE42" s="375">
        <v>6142.58</v>
      </c>
      <c r="BF42" s="375">
        <v>6142.62</v>
      </c>
      <c r="BG42" s="375">
        <v>70191.98000000001</v>
      </c>
      <c r="BH42" s="79">
        <v>5439.05</v>
      </c>
      <c r="BI42" s="79">
        <v>4406.87</v>
      </c>
      <c r="BJ42" s="79">
        <v>5062.8</v>
      </c>
      <c r="BK42" s="79">
        <v>6142.58</v>
      </c>
      <c r="BL42" s="79">
        <v>6142.58</v>
      </c>
      <c r="BM42" s="79">
        <v>6142.58</v>
      </c>
      <c r="BN42" s="79">
        <v>6142.58</v>
      </c>
      <c r="BO42" s="79">
        <v>6142.58</v>
      </c>
      <c r="BP42" s="79">
        <v>6142.58</v>
      </c>
      <c r="BQ42" s="79">
        <v>6142.58</v>
      </c>
      <c r="BR42" s="79">
        <v>6142.58</v>
      </c>
      <c r="BS42" s="79">
        <v>6142.62</v>
      </c>
      <c r="BT42" s="79">
        <v>70191.98000000001</v>
      </c>
    </row>
    <row r="43" spans="1:72" ht="15" customHeight="1">
      <c r="A43" s="66" t="s">
        <v>1291</v>
      </c>
      <c r="B43" s="66"/>
      <c r="C43" s="66" t="s">
        <v>130</v>
      </c>
      <c r="D43" s="66" t="s">
        <v>1292</v>
      </c>
      <c r="E43" s="150" t="s">
        <v>1136</v>
      </c>
      <c r="F43" s="482" t="s">
        <v>1566</v>
      </c>
      <c r="G43" s="150" t="s">
        <v>1135</v>
      </c>
      <c r="H43" s="150" t="s">
        <v>1165</v>
      </c>
      <c r="I43" s="150" t="s">
        <v>1135</v>
      </c>
      <c r="J43" s="150" t="s">
        <v>1165</v>
      </c>
      <c r="K43" s="150" t="s">
        <v>1137</v>
      </c>
      <c r="L43" s="511" t="s">
        <v>49</v>
      </c>
      <c r="M43" s="392" t="s">
        <v>1293</v>
      </c>
      <c r="N43" s="343"/>
      <c r="O43" s="343"/>
      <c r="P43" s="70" t="s">
        <v>131</v>
      </c>
      <c r="Q43" s="346"/>
      <c r="R43" s="343"/>
      <c r="S43" s="346"/>
      <c r="T43" s="150" t="s">
        <v>114</v>
      </c>
      <c r="U43" s="150"/>
      <c r="V43" s="403"/>
      <c r="W43" s="406">
        <v>9592.0000000000018</v>
      </c>
      <c r="X43" s="406">
        <v>9470.880000000001</v>
      </c>
      <c r="Y43" s="425"/>
      <c r="Z43" s="71"/>
      <c r="AA43" s="426">
        <v>844.81</v>
      </c>
      <c r="AB43" s="427">
        <v>677.12</v>
      </c>
      <c r="AC43" s="427">
        <v>754.94</v>
      </c>
      <c r="AD43" s="428">
        <v>991.85</v>
      </c>
      <c r="AE43" s="429">
        <v>673.53</v>
      </c>
      <c r="AF43" s="429">
        <v>720.34</v>
      </c>
      <c r="AG43" s="363">
        <v>799.33</v>
      </c>
      <c r="AH43" s="363">
        <v>799.33</v>
      </c>
      <c r="AI43" s="363">
        <v>799.33</v>
      </c>
      <c r="AJ43" s="363">
        <v>799.33</v>
      </c>
      <c r="AK43" s="363">
        <v>799.33</v>
      </c>
      <c r="AL43" s="363">
        <v>799.37</v>
      </c>
      <c r="AM43" s="360">
        <f t="shared" si="0"/>
        <v>9458.61</v>
      </c>
      <c r="AN43" s="362">
        <f>ERP_26[[#This Row],[2026 Working Total]]-ERP_26[[#This Row],[LE2 Final Submission]]</f>
        <v>-12.270000000000437</v>
      </c>
      <c r="AO43" s="79">
        <v>799.33</v>
      </c>
      <c r="AP43" s="79">
        <f t="shared" si="1"/>
        <v>-78.990000000000009</v>
      </c>
      <c r="AQ43" s="374">
        <f>SUM(ERP_26[[#This Row],[AP01]:[AP06]])-SUM(ERP_26[[#This Row],[AP01 LE2]:[AP06 LE2]])</f>
        <v>-12.269999999999527</v>
      </c>
      <c r="AR43" s="80"/>
      <c r="AS43" s="79">
        <f>ERP_26[[#This Row],[2026 Working Total to Budget/LE]]-ERP_26[[#This Row],[Giveback]]</f>
        <v>-12.270000000000437</v>
      </c>
      <c r="AT43" s="81"/>
      <c r="AU43" s="375">
        <v>844.81</v>
      </c>
      <c r="AV43" s="375">
        <v>677.12</v>
      </c>
      <c r="AW43" s="375">
        <v>754.94</v>
      </c>
      <c r="AX43" s="375">
        <v>799.33</v>
      </c>
      <c r="AY43" s="375">
        <v>799.33</v>
      </c>
      <c r="AZ43" s="375">
        <v>799.33</v>
      </c>
      <c r="BA43" s="375">
        <v>799.33</v>
      </c>
      <c r="BB43" s="375">
        <v>799.33</v>
      </c>
      <c r="BC43" s="375">
        <v>799.33</v>
      </c>
      <c r="BD43" s="375">
        <v>799.33</v>
      </c>
      <c r="BE43" s="375">
        <v>799.33</v>
      </c>
      <c r="BF43" s="375">
        <v>799.37</v>
      </c>
      <c r="BG43" s="375">
        <v>9470.880000000001</v>
      </c>
      <c r="BH43" s="79">
        <v>844.81</v>
      </c>
      <c r="BI43" s="79">
        <v>677.12</v>
      </c>
      <c r="BJ43" s="79">
        <v>754.94</v>
      </c>
      <c r="BK43" s="79">
        <v>799.33</v>
      </c>
      <c r="BL43" s="79">
        <v>799.33</v>
      </c>
      <c r="BM43" s="79">
        <v>799.33</v>
      </c>
      <c r="BN43" s="79">
        <v>799.33</v>
      </c>
      <c r="BO43" s="79">
        <v>799.33</v>
      </c>
      <c r="BP43" s="79">
        <v>799.33</v>
      </c>
      <c r="BQ43" s="79">
        <v>799.33</v>
      </c>
      <c r="BR43" s="79">
        <v>799.33</v>
      </c>
      <c r="BS43" s="79">
        <v>799.37</v>
      </c>
      <c r="BT43" s="79">
        <v>9470.880000000001</v>
      </c>
    </row>
    <row r="44" spans="1:72" ht="15" customHeight="1">
      <c r="A44" s="150" t="s">
        <v>1294</v>
      </c>
      <c r="B44" s="150"/>
      <c r="C44" s="536" t="s">
        <v>132</v>
      </c>
      <c r="D44" s="296" t="s">
        <v>1295</v>
      </c>
      <c r="E44" s="150" t="s">
        <v>1136</v>
      </c>
      <c r="F44" s="482" t="s">
        <v>1566</v>
      </c>
      <c r="G44" s="150" t="s">
        <v>1135</v>
      </c>
      <c r="H44" s="332" t="s">
        <v>1165</v>
      </c>
      <c r="I44" s="150" t="s">
        <v>1135</v>
      </c>
      <c r="J44" s="332" t="s">
        <v>1165</v>
      </c>
      <c r="K44" s="333" t="s">
        <v>1165</v>
      </c>
      <c r="L44" s="514" t="s">
        <v>49</v>
      </c>
      <c r="M44" s="394" t="s">
        <v>1296</v>
      </c>
      <c r="N44" s="333"/>
      <c r="O44" s="332" t="s">
        <v>1284</v>
      </c>
      <c r="P44" s="90" t="s">
        <v>133</v>
      </c>
      <c r="Q44" s="347"/>
      <c r="R44" s="347"/>
      <c r="S44" s="348"/>
      <c r="T44" s="348"/>
      <c r="U44" s="348"/>
      <c r="V44" s="402"/>
      <c r="W44" s="406"/>
      <c r="X44" s="406"/>
      <c r="Y44" s="425"/>
      <c r="Z44" s="71"/>
      <c r="AA44" s="435"/>
      <c r="AB44" s="436"/>
      <c r="AC44" s="436"/>
      <c r="AD44" s="436"/>
      <c r="AE44" s="429">
        <v>28.36</v>
      </c>
      <c r="AF44" s="429">
        <v>0</v>
      </c>
      <c r="AG44" s="364"/>
      <c r="AH44" s="364"/>
      <c r="AI44" s="364"/>
      <c r="AJ44" s="364"/>
      <c r="AK44" s="364"/>
      <c r="AL44" s="364"/>
      <c r="AM44" s="360">
        <f t="shared" si="0"/>
        <v>28.36</v>
      </c>
      <c r="AN44" s="362">
        <f>ERP_26[[#This Row],[2026 Working Total]]-ERP_26[[#This Row],[LE2 Final Submission]]</f>
        <v>28.36</v>
      </c>
      <c r="AO44" s="79"/>
      <c r="AP44" s="79">
        <f t="shared" si="1"/>
        <v>0</v>
      </c>
      <c r="AQ44" s="374">
        <f>SUM(ERP_26[[#This Row],[AP01]:[AP06]])-SUM(ERP_26[[#This Row],[AP01 LE2]:[AP06 LE2]])</f>
        <v>28.36</v>
      </c>
      <c r="AR44" s="80"/>
      <c r="AS44" s="79">
        <f>ERP_26[[#This Row],[2026 Working Total to Budget/LE]]-ERP_26[[#This Row],[Giveback]]</f>
        <v>28.36</v>
      </c>
      <c r="AT44" s="81"/>
      <c r="AU44" s="375"/>
      <c r="AV44" s="375"/>
      <c r="AW44" s="375"/>
      <c r="AX44" s="375"/>
      <c r="AY44" s="375"/>
      <c r="AZ44" s="375"/>
      <c r="BA44" s="375"/>
      <c r="BB44" s="375"/>
      <c r="BC44" s="375"/>
      <c r="BD44" s="375"/>
      <c r="BE44" s="375"/>
      <c r="BF44" s="375"/>
      <c r="BG44" s="375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</row>
    <row r="45" spans="1:72" ht="15" customHeight="1">
      <c r="A45" s="66" t="s">
        <v>1297</v>
      </c>
      <c r="B45" s="66"/>
      <c r="C45" s="66" t="s">
        <v>134</v>
      </c>
      <c r="D45" s="66" t="s">
        <v>1298</v>
      </c>
      <c r="E45" s="150" t="s">
        <v>1136</v>
      </c>
      <c r="F45" s="482" t="s">
        <v>1566</v>
      </c>
      <c r="G45" s="150" t="s">
        <v>1135</v>
      </c>
      <c r="H45" s="150" t="s">
        <v>1156</v>
      </c>
      <c r="I45" s="150" t="s">
        <v>1135</v>
      </c>
      <c r="J45" s="150" t="s">
        <v>1156</v>
      </c>
      <c r="K45" s="150" t="s">
        <v>1137</v>
      </c>
      <c r="L45" s="511" t="s">
        <v>49</v>
      </c>
      <c r="M45" s="392" t="s">
        <v>1299</v>
      </c>
      <c r="N45" s="343"/>
      <c r="O45" s="343">
        <v>2321511</v>
      </c>
      <c r="P45" s="70" t="s">
        <v>135</v>
      </c>
      <c r="Q45" s="346"/>
      <c r="R45" s="522" t="s">
        <v>1300</v>
      </c>
      <c r="S45" s="346"/>
      <c r="T45" s="150" t="s">
        <v>25</v>
      </c>
      <c r="U45" s="184" t="s">
        <v>1301</v>
      </c>
      <c r="V45" s="403"/>
      <c r="W45" s="406">
        <v>499304.03999999986</v>
      </c>
      <c r="X45" s="406">
        <v>502636.17</v>
      </c>
      <c r="Y45" s="425"/>
      <c r="Z45" s="71"/>
      <c r="AA45" s="426">
        <v>30113.96</v>
      </c>
      <c r="AB45" s="427">
        <v>19240.66</v>
      </c>
      <c r="AC45" s="427">
        <v>44681.55</v>
      </c>
      <c r="AD45" s="428">
        <v>28059.239999999998</v>
      </c>
      <c r="AE45" s="429">
        <v>37177.21</v>
      </c>
      <c r="AF45" s="429">
        <v>-26229.880000000005</v>
      </c>
      <c r="AG45" s="363">
        <v>11200</v>
      </c>
      <c r="AH45" s="363">
        <v>14000</v>
      </c>
      <c r="AI45" s="363">
        <v>11200</v>
      </c>
      <c r="AJ45" s="363">
        <v>14000</v>
      </c>
      <c r="AK45" s="363">
        <v>11200</v>
      </c>
      <c r="AL45" s="363">
        <v>12000</v>
      </c>
      <c r="AM45" s="360">
        <f t="shared" si="0"/>
        <v>206642.74</v>
      </c>
      <c r="AN45" s="362">
        <f>ERP_26[[#This Row],[2026 Working Total]]-ERP_26[[#This Row],[LE2 Final Submission]]</f>
        <v>-295993.43</v>
      </c>
      <c r="AO45" s="79">
        <v>90000</v>
      </c>
      <c r="AP45" s="79">
        <f t="shared" si="1"/>
        <v>-116229.88</v>
      </c>
      <c r="AQ45" s="374">
        <f>SUM(ERP_26[[#This Row],[AP01]:[AP06]])-SUM(ERP_26[[#This Row],[AP01 LE2]:[AP06 LE2]])</f>
        <v>-134993.43</v>
      </c>
      <c r="AR45" s="80"/>
      <c r="AS45" s="79">
        <f>ERP_26[[#This Row],[2026 Working Total to Budget/LE]]-ERP_26[[#This Row],[Giveback]]</f>
        <v>-295993.43</v>
      </c>
      <c r="AT45" s="81"/>
      <c r="AU45" s="375">
        <v>30113.96</v>
      </c>
      <c r="AV45" s="375">
        <v>19240.66</v>
      </c>
      <c r="AW45" s="375">
        <v>44681.55</v>
      </c>
      <c r="AX45" s="375">
        <v>40000</v>
      </c>
      <c r="AY45" s="375">
        <v>90000</v>
      </c>
      <c r="AZ45" s="375">
        <v>44000</v>
      </c>
      <c r="BA45" s="375">
        <v>35600</v>
      </c>
      <c r="BB45" s="375">
        <v>44000</v>
      </c>
      <c r="BC45" s="375">
        <v>36000</v>
      </c>
      <c r="BD45" s="375">
        <v>40000</v>
      </c>
      <c r="BE45" s="375">
        <v>36000</v>
      </c>
      <c r="BF45" s="375">
        <v>43000</v>
      </c>
      <c r="BG45" s="375">
        <v>502636.17</v>
      </c>
      <c r="BH45" s="79">
        <v>30113.96</v>
      </c>
      <c r="BI45" s="79">
        <v>19240.66</v>
      </c>
      <c r="BJ45" s="79">
        <v>44681.55</v>
      </c>
      <c r="BK45" s="79">
        <v>44995</v>
      </c>
      <c r="BL45" s="79">
        <v>44995</v>
      </c>
      <c r="BM45" s="79">
        <v>44995</v>
      </c>
      <c r="BN45" s="79">
        <v>44995</v>
      </c>
      <c r="BO45" s="79">
        <v>44995</v>
      </c>
      <c r="BP45" s="79">
        <v>44995</v>
      </c>
      <c r="BQ45" s="79">
        <v>44995</v>
      </c>
      <c r="BR45" s="79">
        <v>44995</v>
      </c>
      <c r="BS45" s="79">
        <v>44995</v>
      </c>
      <c r="BT45" s="79">
        <v>498991.17</v>
      </c>
    </row>
    <row r="46" spans="1:72" ht="15" customHeight="1">
      <c r="A46" s="66" t="s">
        <v>1302</v>
      </c>
      <c r="B46" s="66"/>
      <c r="C46" s="66" t="s">
        <v>136</v>
      </c>
      <c r="D46" s="66" t="s">
        <v>1303</v>
      </c>
      <c r="E46" s="150" t="s">
        <v>1136</v>
      </c>
      <c r="F46" s="482" t="s">
        <v>1566</v>
      </c>
      <c r="G46" s="150" t="s">
        <v>1135</v>
      </c>
      <c r="H46" s="150" t="s">
        <v>1156</v>
      </c>
      <c r="I46" s="150" t="s">
        <v>1135</v>
      </c>
      <c r="J46" s="150" t="s">
        <v>1156</v>
      </c>
      <c r="K46" s="150" t="s">
        <v>1137</v>
      </c>
      <c r="L46" s="511" t="s">
        <v>49</v>
      </c>
      <c r="M46" s="392" t="s">
        <v>1304</v>
      </c>
      <c r="N46" s="343"/>
      <c r="O46" s="343">
        <v>2321511</v>
      </c>
      <c r="P46" s="70" t="s">
        <v>137</v>
      </c>
      <c r="Q46" s="346"/>
      <c r="R46" s="343"/>
      <c r="S46" s="346"/>
      <c r="T46" s="150" t="s">
        <v>25</v>
      </c>
      <c r="U46" s="150"/>
      <c r="V46" s="403"/>
      <c r="W46" s="406">
        <v>216000</v>
      </c>
      <c r="X46" s="406">
        <v>178669.02</v>
      </c>
      <c r="Y46" s="425"/>
      <c r="Z46" s="71"/>
      <c r="AA46" s="426">
        <v>13712.98</v>
      </c>
      <c r="AB46" s="427">
        <v>15359.13</v>
      </c>
      <c r="AC46" s="427">
        <v>67493.539999999994</v>
      </c>
      <c r="AD46" s="428">
        <v>42271.619999999995</v>
      </c>
      <c r="AE46" s="429">
        <v>42271.62000000001</v>
      </c>
      <c r="AF46" s="429">
        <v>-40929.350000000006</v>
      </c>
      <c r="AG46" s="363"/>
      <c r="AH46" s="363"/>
      <c r="AI46" s="363"/>
      <c r="AJ46" s="363"/>
      <c r="AK46" s="363"/>
      <c r="AL46" s="363"/>
      <c r="AM46" s="360">
        <f t="shared" si="0"/>
        <v>140179.54</v>
      </c>
      <c r="AN46" s="362">
        <f>ERP_26[[#This Row],[2026 Working Total]]-ERP_26[[#This Row],[LE2 Final Submission]]</f>
        <v>-38489.479999999981</v>
      </c>
      <c r="AO46" s="79">
        <v>35803.370000000003</v>
      </c>
      <c r="AP46" s="79">
        <f t="shared" si="1"/>
        <v>-76732.72</v>
      </c>
      <c r="AQ46" s="374">
        <f>SUM(ERP_26[[#This Row],[AP01]:[AP06]])-SUM(ERP_26[[#This Row],[AP01 LE2]:[AP06 LE2]])</f>
        <v>-2489.4799999999814</v>
      </c>
      <c r="AR46" s="80">
        <v>-32339</v>
      </c>
      <c r="AS46" s="79">
        <f>ERP_26[[#This Row],[2026 Working Total to Budget/LE]]-ERP_26[[#This Row],[Giveback]]</f>
        <v>-6150.4799999999814</v>
      </c>
      <c r="AT46" s="81" t="s">
        <v>1179</v>
      </c>
      <c r="AU46" s="375">
        <v>13712.98</v>
      </c>
      <c r="AV46" s="375">
        <v>15359.13</v>
      </c>
      <c r="AW46" s="375">
        <v>67493.539999999994</v>
      </c>
      <c r="AX46" s="375">
        <v>4300</v>
      </c>
      <c r="AY46" s="375">
        <v>35803.370000000003</v>
      </c>
      <c r="AZ46" s="375">
        <v>6000</v>
      </c>
      <c r="BA46" s="375">
        <v>6000</v>
      </c>
      <c r="BB46" s="375">
        <v>6000</v>
      </c>
      <c r="BC46" s="375">
        <v>6000</v>
      </c>
      <c r="BD46" s="375">
        <v>6000</v>
      </c>
      <c r="BE46" s="375">
        <v>6000</v>
      </c>
      <c r="BF46" s="375">
        <v>6000</v>
      </c>
      <c r="BG46" s="375">
        <v>178669.02</v>
      </c>
      <c r="BH46" s="79">
        <v>13712.98</v>
      </c>
      <c r="BI46" s="79">
        <v>15359.13</v>
      </c>
      <c r="BJ46" s="79">
        <v>67493.539999999994</v>
      </c>
      <c r="BK46" s="79">
        <v>18693</v>
      </c>
      <c r="BL46" s="79">
        <v>18693</v>
      </c>
      <c r="BM46" s="79">
        <v>18693</v>
      </c>
      <c r="BN46" s="79">
        <v>18693</v>
      </c>
      <c r="BO46" s="79">
        <v>18693</v>
      </c>
      <c r="BP46" s="79">
        <v>18693</v>
      </c>
      <c r="BQ46" s="79">
        <v>18693</v>
      </c>
      <c r="BR46" s="79">
        <v>18693</v>
      </c>
      <c r="BS46" s="79">
        <v>18693</v>
      </c>
      <c r="BT46" s="79">
        <v>264802.65000000002</v>
      </c>
    </row>
    <row r="47" spans="1:72" ht="15" customHeight="1">
      <c r="A47" s="66" t="s">
        <v>1306</v>
      </c>
      <c r="B47" s="66"/>
      <c r="C47" s="66" t="s">
        <v>138</v>
      </c>
      <c r="D47" s="66" t="s">
        <v>1307</v>
      </c>
      <c r="E47" s="150" t="s">
        <v>1136</v>
      </c>
      <c r="F47" s="482" t="s">
        <v>1566</v>
      </c>
      <c r="G47" s="150" t="s">
        <v>1135</v>
      </c>
      <c r="H47" s="150" t="s">
        <v>1156</v>
      </c>
      <c r="I47" s="150" t="s">
        <v>1135</v>
      </c>
      <c r="J47" s="150" t="s">
        <v>1156</v>
      </c>
      <c r="K47" s="150" t="s">
        <v>1137</v>
      </c>
      <c r="L47" s="511" t="s">
        <v>49</v>
      </c>
      <c r="M47" s="392" t="s">
        <v>1308</v>
      </c>
      <c r="N47" s="343"/>
      <c r="O47" s="343"/>
      <c r="P47" s="70" t="s">
        <v>139</v>
      </c>
      <c r="Q47" s="346"/>
      <c r="R47" s="343" t="s">
        <v>1309</v>
      </c>
      <c r="S47" s="346"/>
      <c r="T47" s="150" t="s">
        <v>25</v>
      </c>
      <c r="U47" s="150"/>
      <c r="V47" s="403"/>
      <c r="W47" s="406">
        <v>96720</v>
      </c>
      <c r="X47" s="406">
        <v>96720.44</v>
      </c>
      <c r="Y47" s="425"/>
      <c r="Z47" s="71"/>
      <c r="AA47" s="426">
        <v>6643.44</v>
      </c>
      <c r="AB47" s="427">
        <v>5644</v>
      </c>
      <c r="AC47" s="427">
        <v>8304</v>
      </c>
      <c r="AD47" s="428">
        <v>6762</v>
      </c>
      <c r="AE47" s="429">
        <v>9499</v>
      </c>
      <c r="AF47" s="429">
        <v>8310.9599999999991</v>
      </c>
      <c r="AG47" s="363">
        <v>8600</v>
      </c>
      <c r="AH47" s="363">
        <v>7900</v>
      </c>
      <c r="AI47" s="363">
        <v>8600</v>
      </c>
      <c r="AJ47" s="363">
        <v>8600</v>
      </c>
      <c r="AK47" s="363">
        <v>8600</v>
      </c>
      <c r="AL47" s="363">
        <v>8968</v>
      </c>
      <c r="AM47" s="360">
        <f t="shared" si="0"/>
        <v>96431.4</v>
      </c>
      <c r="AN47" s="362">
        <f>ERP_26[[#This Row],[2026 Working Total]]-ERP_26[[#This Row],[LE2 Final Submission]]</f>
        <v>-289.04000000000815</v>
      </c>
      <c r="AO47" s="79">
        <v>7812</v>
      </c>
      <c r="AP47" s="79">
        <f t="shared" si="1"/>
        <v>498.95999999999913</v>
      </c>
      <c r="AQ47" s="374">
        <f>SUM(ERP_26[[#This Row],[AP01]:[AP06]])-SUM(ERP_26[[#This Row],[AP01 LE2]:[AP06 LE2]])</f>
        <v>-2453.0400000000009</v>
      </c>
      <c r="AR47" s="80"/>
      <c r="AS47" s="79">
        <f>ERP_26[[#This Row],[2026 Working Total to Budget/LE]]-ERP_26[[#This Row],[Giveback]]</f>
        <v>-289.04000000000815</v>
      </c>
      <c r="AT47" s="81"/>
      <c r="AU47" s="375">
        <v>6643.44</v>
      </c>
      <c r="AV47" s="375">
        <v>5644</v>
      </c>
      <c r="AW47" s="375">
        <v>8304</v>
      </c>
      <c r="AX47" s="375">
        <v>11029</v>
      </c>
      <c r="AY47" s="375">
        <v>7812</v>
      </c>
      <c r="AZ47" s="375">
        <v>8184</v>
      </c>
      <c r="BA47" s="375">
        <v>8556</v>
      </c>
      <c r="BB47" s="375">
        <v>7812</v>
      </c>
      <c r="BC47" s="375">
        <v>8184</v>
      </c>
      <c r="BD47" s="375">
        <v>8184</v>
      </c>
      <c r="BE47" s="375">
        <v>7812</v>
      </c>
      <c r="BF47" s="375">
        <v>8556</v>
      </c>
      <c r="BG47" s="375">
        <v>96720.44</v>
      </c>
      <c r="BH47" s="79">
        <v>6643.44</v>
      </c>
      <c r="BI47" s="79">
        <v>5644</v>
      </c>
      <c r="BJ47" s="79">
        <v>8304</v>
      </c>
      <c r="BK47" s="79">
        <v>8184</v>
      </c>
      <c r="BL47" s="79">
        <v>7812</v>
      </c>
      <c r="BM47" s="79">
        <v>8184</v>
      </c>
      <c r="BN47" s="79">
        <v>8556</v>
      </c>
      <c r="BO47" s="79">
        <v>7812</v>
      </c>
      <c r="BP47" s="79">
        <v>8184</v>
      </c>
      <c r="BQ47" s="79">
        <v>8184</v>
      </c>
      <c r="BR47" s="79">
        <v>7812</v>
      </c>
      <c r="BS47" s="79">
        <v>8556</v>
      </c>
      <c r="BT47" s="79">
        <v>93875.44</v>
      </c>
    </row>
    <row r="48" spans="1:72" ht="15" customHeight="1">
      <c r="A48" s="66" t="s">
        <v>1310</v>
      </c>
      <c r="B48" s="66"/>
      <c r="C48" s="66" t="s">
        <v>140</v>
      </c>
      <c r="D48" s="66" t="s">
        <v>1311</v>
      </c>
      <c r="E48" s="150" t="s">
        <v>1136</v>
      </c>
      <c r="F48" s="482" t="s">
        <v>1566</v>
      </c>
      <c r="G48" s="150" t="s">
        <v>1135</v>
      </c>
      <c r="H48" s="150" t="s">
        <v>1145</v>
      </c>
      <c r="I48" s="150" t="s">
        <v>1135</v>
      </c>
      <c r="J48" s="150" t="s">
        <v>1145</v>
      </c>
      <c r="K48" s="150" t="s">
        <v>1137</v>
      </c>
      <c r="L48" s="511" t="s">
        <v>49</v>
      </c>
      <c r="M48" s="392" t="s">
        <v>1312</v>
      </c>
      <c r="N48" s="343"/>
      <c r="O48" s="346" t="s">
        <v>1186</v>
      </c>
      <c r="P48" s="70" t="s">
        <v>141</v>
      </c>
      <c r="Q48" s="346"/>
      <c r="R48" s="346" t="s">
        <v>1313</v>
      </c>
      <c r="S48" s="346"/>
      <c r="T48" s="150" t="s">
        <v>25</v>
      </c>
      <c r="U48" s="150"/>
      <c r="V48" s="403"/>
      <c r="W48" s="406">
        <v>49000</v>
      </c>
      <c r="X48" s="406">
        <v>48800.63</v>
      </c>
      <c r="Y48" s="425"/>
      <c r="Z48" s="71"/>
      <c r="AA48" s="426">
        <v>3356.36</v>
      </c>
      <c r="AB48" s="427">
        <v>3758.72</v>
      </c>
      <c r="AC48" s="427">
        <v>4698.63</v>
      </c>
      <c r="AD48" s="428">
        <v>3758.8999999999978</v>
      </c>
      <c r="AE48" s="429">
        <v>659.46</v>
      </c>
      <c r="AF48" s="429">
        <v>4698.630000000001</v>
      </c>
      <c r="AG48" s="360">
        <v>0</v>
      </c>
      <c r="AH48" s="360">
        <v>0</v>
      </c>
      <c r="AI48" s="364"/>
      <c r="AJ48" s="363">
        <v>12250</v>
      </c>
      <c r="AK48" s="363">
        <v>12250</v>
      </c>
      <c r="AL48" s="363">
        <v>8000</v>
      </c>
      <c r="AM48" s="360">
        <f t="shared" si="0"/>
        <v>53430.7</v>
      </c>
      <c r="AN48" s="362">
        <f>ERP_26[[#This Row],[2026 Working Total]]-ERP_26[[#This Row],[LE2 Final Submission]]</f>
        <v>4630.07</v>
      </c>
      <c r="AO48" s="79">
        <v>0</v>
      </c>
      <c r="AP48" s="79">
        <f t="shared" si="1"/>
        <v>4698.630000000001</v>
      </c>
      <c r="AQ48" s="374">
        <f>SUM(ERP_26[[#This Row],[AP01]:[AP06]])-SUM(ERP_26[[#This Row],[AP01 LE2]:[AP06 LE2]])</f>
        <v>-8267.93</v>
      </c>
      <c r="AR48" s="80"/>
      <c r="AS48" s="79">
        <f>ERP_26[[#This Row],[2026 Working Total to Budget/LE]]-ERP_26[[#This Row],[Giveback]]</f>
        <v>4630.07</v>
      </c>
      <c r="AT48" s="81"/>
      <c r="AU48" s="375">
        <v>3356.36</v>
      </c>
      <c r="AV48" s="375">
        <v>3758.72</v>
      </c>
      <c r="AW48" s="375">
        <v>4698.63</v>
      </c>
      <c r="AX48" s="375">
        <v>0</v>
      </c>
      <c r="AY48" s="375">
        <v>0</v>
      </c>
      <c r="AZ48" s="375">
        <v>17384.919999999998</v>
      </c>
      <c r="BA48" s="375">
        <v>0</v>
      </c>
      <c r="BB48" s="375">
        <v>0</v>
      </c>
      <c r="BC48" s="375">
        <v>12250</v>
      </c>
      <c r="BD48" s="375">
        <v>0</v>
      </c>
      <c r="BE48" s="375">
        <v>0</v>
      </c>
      <c r="BF48" s="375">
        <v>7352</v>
      </c>
      <c r="BG48" s="375">
        <v>48800.63</v>
      </c>
      <c r="BH48" s="79">
        <v>3356.36</v>
      </c>
      <c r="BI48" s="79">
        <v>3758.72</v>
      </c>
      <c r="BJ48" s="79">
        <v>4698.63</v>
      </c>
      <c r="BK48" s="79">
        <v>0</v>
      </c>
      <c r="BL48" s="79">
        <v>0</v>
      </c>
      <c r="BM48" s="79">
        <v>17384.919999999998</v>
      </c>
      <c r="BN48" s="79">
        <v>0</v>
      </c>
      <c r="BO48" s="79">
        <v>0</v>
      </c>
      <c r="BP48" s="79">
        <v>12250</v>
      </c>
      <c r="BQ48" s="79">
        <v>0</v>
      </c>
      <c r="BR48" s="79">
        <v>0</v>
      </c>
      <c r="BS48" s="79">
        <v>12250</v>
      </c>
      <c r="BT48" s="79">
        <v>53698.63</v>
      </c>
    </row>
    <row r="49" spans="1:72" ht="15" customHeight="1">
      <c r="A49" s="66" t="s">
        <v>1314</v>
      </c>
      <c r="B49" s="66"/>
      <c r="C49" s="66" t="s">
        <v>142</v>
      </c>
      <c r="D49" s="66" t="s">
        <v>1315</v>
      </c>
      <c r="E49" s="150" t="s">
        <v>1136</v>
      </c>
      <c r="F49" s="482" t="s">
        <v>1566</v>
      </c>
      <c r="G49" s="150" t="s">
        <v>1135</v>
      </c>
      <c r="H49" s="150" t="s">
        <v>1145</v>
      </c>
      <c r="I49" s="150" t="s">
        <v>1135</v>
      </c>
      <c r="J49" s="150" t="s">
        <v>1145</v>
      </c>
      <c r="K49" s="150" t="s">
        <v>1137</v>
      </c>
      <c r="L49" s="511" t="s">
        <v>49</v>
      </c>
      <c r="M49" s="392" t="s">
        <v>1316</v>
      </c>
      <c r="N49" s="343"/>
      <c r="O49" s="346" t="s">
        <v>1186</v>
      </c>
      <c r="P49" s="70" t="s">
        <v>143</v>
      </c>
      <c r="Q49" s="346"/>
      <c r="R49" s="346" t="s">
        <v>1317</v>
      </c>
      <c r="S49" s="346"/>
      <c r="T49" s="150" t="s">
        <v>25</v>
      </c>
      <c r="U49" s="150"/>
      <c r="V49" s="403"/>
      <c r="W49" s="406">
        <v>23000</v>
      </c>
      <c r="X49" s="406">
        <v>21621.640000000003</v>
      </c>
      <c r="Y49" s="425"/>
      <c r="Z49" s="71"/>
      <c r="AA49" s="426">
        <v>1355</v>
      </c>
      <c r="AB49" s="427">
        <v>1517.05</v>
      </c>
      <c r="AC49" s="427">
        <v>1896.64</v>
      </c>
      <c r="AD49" s="428">
        <v>4517.2999999999993</v>
      </c>
      <c r="AE49" s="429">
        <v>-462.13999999999965</v>
      </c>
      <c r="AF49" s="429">
        <v>1896.6400000000003</v>
      </c>
      <c r="AG49" s="360">
        <v>0</v>
      </c>
      <c r="AH49" s="360">
        <v>0</v>
      </c>
      <c r="AI49" s="364"/>
      <c r="AJ49" s="363">
        <v>9000</v>
      </c>
      <c r="AK49" s="363">
        <v>3852.95</v>
      </c>
      <c r="AL49" s="360">
        <v>0</v>
      </c>
      <c r="AM49" s="360">
        <f t="shared" si="0"/>
        <v>23573.440000000002</v>
      </c>
      <c r="AN49" s="362">
        <f>ERP_26[[#This Row],[2026 Working Total]]-ERP_26[[#This Row],[LE2 Final Submission]]</f>
        <v>1951.7999999999993</v>
      </c>
      <c r="AO49" s="79">
        <v>0</v>
      </c>
      <c r="AP49" s="79">
        <f t="shared" si="1"/>
        <v>1896.6400000000003</v>
      </c>
      <c r="AQ49" s="374">
        <f>SUM(ERP_26[[#This Row],[AP01]:[AP06]])-SUM(ERP_26[[#This Row],[AP01 LE2]:[AP06 LE2]])</f>
        <v>-7048.2000000000007</v>
      </c>
      <c r="AR49" s="80"/>
      <c r="AS49" s="79">
        <f>ERP_26[[#This Row],[2026 Working Total to Budget/LE]]-ERP_26[[#This Row],[Giveback]]</f>
        <v>1951.7999999999993</v>
      </c>
      <c r="AT49" s="81"/>
      <c r="AU49" s="375">
        <v>1355</v>
      </c>
      <c r="AV49" s="375">
        <v>1517.05</v>
      </c>
      <c r="AW49" s="375">
        <v>1896.64</v>
      </c>
      <c r="AX49" s="375">
        <v>0</v>
      </c>
      <c r="AY49" s="375">
        <v>0</v>
      </c>
      <c r="AZ49" s="375">
        <v>13000</v>
      </c>
      <c r="BA49" s="375">
        <v>0</v>
      </c>
      <c r="BB49" s="375">
        <v>0</v>
      </c>
      <c r="BC49" s="375">
        <v>3852.95</v>
      </c>
      <c r="BD49" s="375">
        <v>0</v>
      </c>
      <c r="BE49" s="375">
        <v>0</v>
      </c>
      <c r="BF49" s="375">
        <v>0</v>
      </c>
      <c r="BG49" s="375">
        <v>21621.640000000003</v>
      </c>
      <c r="BH49" s="79">
        <v>1355</v>
      </c>
      <c r="BI49" s="79">
        <v>1517.05</v>
      </c>
      <c r="BJ49" s="79">
        <v>1896.64</v>
      </c>
      <c r="BK49" s="79">
        <v>0</v>
      </c>
      <c r="BL49" s="79">
        <v>0</v>
      </c>
      <c r="BM49" s="79">
        <v>13000</v>
      </c>
      <c r="BN49" s="79">
        <v>0</v>
      </c>
      <c r="BO49" s="79">
        <v>0</v>
      </c>
      <c r="BP49" s="79">
        <v>3852.95</v>
      </c>
      <c r="BQ49" s="79">
        <v>0</v>
      </c>
      <c r="BR49" s="79">
        <v>0</v>
      </c>
      <c r="BS49" s="79">
        <v>0</v>
      </c>
      <c r="BT49" s="79">
        <v>21621.640000000003</v>
      </c>
    </row>
    <row r="50" spans="1:72" ht="15" customHeight="1">
      <c r="A50" s="79" t="s">
        <v>1318</v>
      </c>
      <c r="B50" s="79"/>
      <c r="C50" s="79" t="s">
        <v>144</v>
      </c>
      <c r="D50" s="296" t="s">
        <v>144</v>
      </c>
      <c r="E50" s="150" t="s">
        <v>1136</v>
      </c>
      <c r="F50" s="482" t="s">
        <v>1566</v>
      </c>
      <c r="G50" s="150" t="s">
        <v>1135</v>
      </c>
      <c r="H50" s="150" t="s">
        <v>1135</v>
      </c>
      <c r="I50" s="332" t="s">
        <v>1135</v>
      </c>
      <c r="J50" s="383" t="s">
        <v>1135</v>
      </c>
      <c r="K50" s="331" t="s">
        <v>1137</v>
      </c>
      <c r="L50" s="512" t="s">
        <v>49</v>
      </c>
      <c r="M50" s="393" t="s">
        <v>1319</v>
      </c>
      <c r="N50" s="343"/>
      <c r="O50" s="331"/>
      <c r="P50" s="91" t="s">
        <v>145</v>
      </c>
      <c r="Q50" s="346" t="s">
        <v>1139</v>
      </c>
      <c r="R50" s="343"/>
      <c r="S50" s="348"/>
      <c r="T50" s="386" t="s">
        <v>25</v>
      </c>
      <c r="U50" s="387" t="s">
        <v>1320</v>
      </c>
      <c r="V50" s="432"/>
      <c r="W50" s="358">
        <v>1472196</v>
      </c>
      <c r="X50" s="378">
        <v>0</v>
      </c>
      <c r="Y50" s="430"/>
      <c r="Z50" s="137"/>
      <c r="AA50" s="433"/>
      <c r="AB50" s="434"/>
      <c r="AC50" s="434"/>
      <c r="AD50" s="428" t="s">
        <v>1142</v>
      </c>
      <c r="AE50" s="429">
        <v>0</v>
      </c>
      <c r="AF50" s="429">
        <v>0</v>
      </c>
      <c r="AG50" s="388">
        <f t="shared" ref="AG50:AL50" si="2">122683-122683</f>
        <v>0</v>
      </c>
      <c r="AH50" s="388">
        <f t="shared" si="2"/>
        <v>0</v>
      </c>
      <c r="AI50" s="388">
        <f t="shared" si="2"/>
        <v>0</v>
      </c>
      <c r="AJ50" s="388">
        <f t="shared" si="2"/>
        <v>0</v>
      </c>
      <c r="AK50" s="388">
        <f t="shared" si="2"/>
        <v>0</v>
      </c>
      <c r="AL50" s="388">
        <f t="shared" si="2"/>
        <v>0</v>
      </c>
      <c r="AM50" s="360">
        <f t="shared" si="0"/>
        <v>0</v>
      </c>
      <c r="AN50" s="362">
        <f>ERP_26[[#This Row],[2026 Working Total]]-ERP_26[[#This Row],[LE2 Final Submission]]</f>
        <v>0</v>
      </c>
      <c r="AO50" s="79">
        <v>0</v>
      </c>
      <c r="AP50" s="79">
        <f t="shared" si="1"/>
        <v>0</v>
      </c>
      <c r="AQ50" s="374">
        <f>SUM(ERP_26[[#This Row],[AP01]:[AP06]])-SUM(ERP_26[[#This Row],[AP01 LE2]:[AP06 LE2]])</f>
        <v>0</v>
      </c>
      <c r="AR50" s="80"/>
      <c r="AS50" s="79">
        <f>ERP_26[[#This Row],[2026 Working Total to Budget/LE]]-ERP_26[[#This Row],[Giveback]]</f>
        <v>0</v>
      </c>
      <c r="AT50" s="81"/>
      <c r="AU50" s="375"/>
      <c r="AV50" s="375"/>
      <c r="AW50" s="375"/>
      <c r="AX50" s="375">
        <v>0</v>
      </c>
      <c r="AY50" s="375">
        <v>0</v>
      </c>
      <c r="AZ50" s="375">
        <v>0</v>
      </c>
      <c r="BA50" s="375">
        <v>0</v>
      </c>
      <c r="BB50" s="375">
        <v>0</v>
      </c>
      <c r="BC50" s="375">
        <v>0</v>
      </c>
      <c r="BD50" s="375">
        <v>0</v>
      </c>
      <c r="BE50" s="375">
        <v>0</v>
      </c>
      <c r="BF50" s="375">
        <v>0</v>
      </c>
      <c r="BG50" s="375">
        <v>0</v>
      </c>
      <c r="BH50" s="103">
        <v>122683</v>
      </c>
      <c r="BI50" s="103">
        <v>122683</v>
      </c>
      <c r="BJ50" s="103">
        <v>122683</v>
      </c>
      <c r="BK50" s="103">
        <v>122683</v>
      </c>
      <c r="BL50" s="103">
        <v>122683</v>
      </c>
      <c r="BM50" s="103">
        <v>122683</v>
      </c>
      <c r="BN50" s="103">
        <v>122683</v>
      </c>
      <c r="BO50" s="103">
        <v>122683</v>
      </c>
      <c r="BP50" s="103">
        <v>122683</v>
      </c>
      <c r="BQ50" s="103">
        <v>122683</v>
      </c>
      <c r="BR50" s="103">
        <v>122683</v>
      </c>
      <c r="BS50" s="103">
        <v>122683</v>
      </c>
      <c r="BT50" s="79">
        <f>SUM(ERP_26[[#This Row],[2026 AP01]:[2026 AP12]])</f>
        <v>1472196</v>
      </c>
    </row>
    <row r="51" spans="1:72" ht="15" customHeight="1">
      <c r="A51" s="66" t="s">
        <v>1661</v>
      </c>
      <c r="B51" s="66"/>
      <c r="C51" s="66" t="s">
        <v>334</v>
      </c>
      <c r="D51" s="66" t="s">
        <v>1662</v>
      </c>
      <c r="E51" s="150" t="s">
        <v>1136</v>
      </c>
      <c r="F51" s="482" t="s">
        <v>1566</v>
      </c>
      <c r="G51" s="150" t="s">
        <v>1135</v>
      </c>
      <c r="H51" s="150" t="s">
        <v>1135</v>
      </c>
      <c r="I51" s="150" t="s">
        <v>1135</v>
      </c>
      <c r="J51" s="150" t="s">
        <v>1137</v>
      </c>
      <c r="K51" s="150" t="s">
        <v>1137</v>
      </c>
      <c r="L51" s="511" t="s">
        <v>333</v>
      </c>
      <c r="M51" s="392" t="s">
        <v>1663</v>
      </c>
      <c r="N51" s="343"/>
      <c r="O51" s="343"/>
      <c r="P51" s="70" t="s">
        <v>336</v>
      </c>
      <c r="Q51" s="346"/>
      <c r="R51" s="346" t="s">
        <v>1140</v>
      </c>
      <c r="S51" s="346"/>
      <c r="T51" s="150" t="s">
        <v>25</v>
      </c>
      <c r="U51" s="150" t="s">
        <v>1664</v>
      </c>
      <c r="V51" s="403"/>
      <c r="W51" s="406">
        <v>0</v>
      </c>
      <c r="X51" s="406">
        <v>22573.91</v>
      </c>
      <c r="Y51" s="425"/>
      <c r="Z51" s="71"/>
      <c r="AA51" s="426">
        <v>656</v>
      </c>
      <c r="AB51" s="427">
        <v>1537.91</v>
      </c>
      <c r="AC51" s="427">
        <v>2038</v>
      </c>
      <c r="AD51" s="428">
        <v>1762</v>
      </c>
      <c r="AE51" s="429">
        <v>2888.0000000000005</v>
      </c>
      <c r="AF51" s="429">
        <v>1761.9999999999998</v>
      </c>
      <c r="AG51" s="363">
        <v>2038</v>
      </c>
      <c r="AH51" s="363">
        <v>2038</v>
      </c>
      <c r="AI51" s="363">
        <v>2038</v>
      </c>
      <c r="AJ51" s="363">
        <v>2038</v>
      </c>
      <c r="AK51" s="363">
        <v>2038</v>
      </c>
      <c r="AL51" s="363">
        <v>2038</v>
      </c>
      <c r="AM51" s="360">
        <f t="shared" si="0"/>
        <v>22871.91</v>
      </c>
      <c r="AN51" s="362">
        <f>ERP_26[[#This Row],[2026 Working Total]]-ERP_26[[#This Row],[LE2 Final Submission]]</f>
        <v>298</v>
      </c>
      <c r="AO51" s="79">
        <v>2038</v>
      </c>
      <c r="AP51" s="79">
        <f t="shared" si="1"/>
        <v>-276.00000000000023</v>
      </c>
      <c r="AQ51" s="374">
        <f>SUM(ERP_26[[#This Row],[AP01]:[AP06]])-SUM(ERP_26[[#This Row],[AP01 LE2]:[AP06 LE2]])</f>
        <v>298</v>
      </c>
      <c r="AR51" s="80"/>
      <c r="AS51" s="79">
        <f>ERP_26[[#This Row],[2026 Working Total to Budget/LE]]-ERP_26[[#This Row],[Giveback]]</f>
        <v>298</v>
      </c>
      <c r="AT51" s="81"/>
      <c r="AU51" s="375">
        <v>656</v>
      </c>
      <c r="AV51" s="375">
        <v>1537.91</v>
      </c>
      <c r="AW51" s="375">
        <v>2038</v>
      </c>
      <c r="AX51" s="375">
        <v>2038</v>
      </c>
      <c r="AY51" s="375">
        <v>2038</v>
      </c>
      <c r="AZ51" s="375">
        <v>2038</v>
      </c>
      <c r="BA51" s="375">
        <v>2038</v>
      </c>
      <c r="BB51" s="375">
        <v>2038</v>
      </c>
      <c r="BC51" s="375">
        <v>2038</v>
      </c>
      <c r="BD51" s="375">
        <v>2038</v>
      </c>
      <c r="BE51" s="375">
        <v>2038</v>
      </c>
      <c r="BF51" s="375">
        <v>2038</v>
      </c>
      <c r="BG51" s="375">
        <v>22573.91</v>
      </c>
      <c r="BH51" s="79">
        <v>656</v>
      </c>
      <c r="BI51" s="79">
        <v>1537.91</v>
      </c>
      <c r="BJ51" s="79">
        <v>2038</v>
      </c>
      <c r="BK51" s="79">
        <v>0</v>
      </c>
      <c r="BL51" s="79">
        <v>0</v>
      </c>
      <c r="BM51" s="79">
        <v>0</v>
      </c>
      <c r="BN51" s="79">
        <v>0</v>
      </c>
      <c r="BO51" s="79">
        <v>0</v>
      </c>
      <c r="BP51" s="79">
        <v>0</v>
      </c>
      <c r="BQ51" s="79">
        <v>0</v>
      </c>
      <c r="BR51" s="79">
        <v>0</v>
      </c>
      <c r="BS51" s="79">
        <v>0</v>
      </c>
      <c r="BT51" s="79">
        <v>4231.91</v>
      </c>
    </row>
    <row r="52" spans="1:72" ht="15" customHeight="1">
      <c r="A52" s="66" t="s">
        <v>1674</v>
      </c>
      <c r="B52" s="66"/>
      <c r="C52" s="66" t="s">
        <v>343</v>
      </c>
      <c r="D52" s="66" t="s">
        <v>1675</v>
      </c>
      <c r="E52" s="150" t="s">
        <v>1136</v>
      </c>
      <c r="F52" s="482" t="s">
        <v>1566</v>
      </c>
      <c r="G52" s="150" t="s">
        <v>1135</v>
      </c>
      <c r="H52" s="150" t="s">
        <v>1145</v>
      </c>
      <c r="I52" s="150" t="s">
        <v>1135</v>
      </c>
      <c r="J52" s="150" t="s">
        <v>1145</v>
      </c>
      <c r="K52" s="150" t="s">
        <v>1137</v>
      </c>
      <c r="L52" s="511" t="s">
        <v>342</v>
      </c>
      <c r="M52" s="392" t="s">
        <v>1676</v>
      </c>
      <c r="N52" s="343"/>
      <c r="O52" s="343"/>
      <c r="P52" s="70" t="s">
        <v>344</v>
      </c>
      <c r="Q52" s="346"/>
      <c r="R52" s="343"/>
      <c r="S52" s="346"/>
      <c r="T52" s="150" t="s">
        <v>152</v>
      </c>
      <c r="U52" s="150"/>
      <c r="V52" s="403"/>
      <c r="W52" s="406">
        <v>51615</v>
      </c>
      <c r="X52" s="406">
        <v>38711.25</v>
      </c>
      <c r="Y52" s="425"/>
      <c r="Z52" s="71"/>
      <c r="AA52" s="426"/>
      <c r="AB52" s="427"/>
      <c r="AC52" s="427"/>
      <c r="AD52" s="428" t="s">
        <v>1142</v>
      </c>
      <c r="AE52" s="429">
        <v>0</v>
      </c>
      <c r="AF52" s="429">
        <v>0</v>
      </c>
      <c r="AG52" s="363">
        <v>4301.25</v>
      </c>
      <c r="AH52" s="363">
        <v>4301.25</v>
      </c>
      <c r="AI52" s="363">
        <v>4301.25</v>
      </c>
      <c r="AJ52" s="363">
        <v>4301.25</v>
      </c>
      <c r="AK52" s="363">
        <v>4301.25</v>
      </c>
      <c r="AL52" s="363">
        <v>4301.25</v>
      </c>
      <c r="AM52" s="360">
        <f t="shared" si="0"/>
        <v>25807.5</v>
      </c>
      <c r="AN52" s="362">
        <f>ERP_26[[#This Row],[2026 Working Total]]-ERP_26[[#This Row],[LE2 Final Submission]]</f>
        <v>-12903.75</v>
      </c>
      <c r="AO52" s="79">
        <v>1000</v>
      </c>
      <c r="AP52" s="79">
        <f t="shared" si="1"/>
        <v>-1000</v>
      </c>
      <c r="AQ52" s="374">
        <f>SUM(ERP_26[[#This Row],[AP01]:[AP06]])-SUM(ERP_26[[#This Row],[AP01 LE2]:[AP06 LE2]])</f>
        <v>-12903.75</v>
      </c>
      <c r="AR52" s="80"/>
      <c r="AS52" s="79">
        <f>ERP_26[[#This Row],[2026 Working Total to Budget/LE]]-ERP_26[[#This Row],[Giveback]]</f>
        <v>-12903.75</v>
      </c>
      <c r="AT52" s="81"/>
      <c r="AU52" s="375"/>
      <c r="AV52" s="375"/>
      <c r="AW52" s="375"/>
      <c r="AX52" s="375">
        <v>4301.25</v>
      </c>
      <c r="AY52" s="375">
        <v>4301.25</v>
      </c>
      <c r="AZ52" s="375">
        <v>4301.25</v>
      </c>
      <c r="BA52" s="375">
        <v>4301.25</v>
      </c>
      <c r="BB52" s="375">
        <v>4301.25</v>
      </c>
      <c r="BC52" s="375">
        <v>4301.25</v>
      </c>
      <c r="BD52" s="375">
        <v>4301.25</v>
      </c>
      <c r="BE52" s="375">
        <v>4301.25</v>
      </c>
      <c r="BF52" s="375">
        <v>4301.25</v>
      </c>
      <c r="BG52" s="375">
        <v>38711.25</v>
      </c>
      <c r="BH52" s="79"/>
      <c r="BI52" s="79"/>
      <c r="BJ52" s="79"/>
      <c r="BK52" s="79">
        <v>4301.25</v>
      </c>
      <c r="BL52" s="79">
        <v>4301.25</v>
      </c>
      <c r="BM52" s="79">
        <v>4301.25</v>
      </c>
      <c r="BN52" s="79">
        <v>4301.25</v>
      </c>
      <c r="BO52" s="79">
        <v>4301.25</v>
      </c>
      <c r="BP52" s="79">
        <v>4301.25</v>
      </c>
      <c r="BQ52" s="79">
        <v>4301.25</v>
      </c>
      <c r="BR52" s="79">
        <v>4301.25</v>
      </c>
      <c r="BS52" s="79">
        <v>4301.25</v>
      </c>
      <c r="BT52" s="79">
        <v>38711.25</v>
      </c>
    </row>
    <row r="53" spans="1:72" ht="15" customHeight="1">
      <c r="A53" s="66" t="s">
        <v>1677</v>
      </c>
      <c r="B53" s="66"/>
      <c r="C53" s="66" t="s">
        <v>345</v>
      </c>
      <c r="D53" s="66" t="s">
        <v>1678</v>
      </c>
      <c r="E53" s="150" t="s">
        <v>1136</v>
      </c>
      <c r="F53" s="482" t="s">
        <v>1566</v>
      </c>
      <c r="G53" s="150" t="s">
        <v>1135</v>
      </c>
      <c r="H53" s="150" t="s">
        <v>1145</v>
      </c>
      <c r="I53" s="150" t="s">
        <v>1135</v>
      </c>
      <c r="J53" s="150" t="s">
        <v>1145</v>
      </c>
      <c r="K53" s="150" t="s">
        <v>1137</v>
      </c>
      <c r="L53" s="511" t="s">
        <v>342</v>
      </c>
      <c r="M53" s="392" t="s">
        <v>1679</v>
      </c>
      <c r="N53" s="343"/>
      <c r="O53" s="343"/>
      <c r="P53" s="70" t="s">
        <v>346</v>
      </c>
      <c r="Q53" s="346"/>
      <c r="R53" s="343"/>
      <c r="S53" s="346"/>
      <c r="T53" s="150" t="s">
        <v>152</v>
      </c>
      <c r="U53" s="150"/>
      <c r="V53" s="403"/>
      <c r="W53" s="406">
        <v>-12195</v>
      </c>
      <c r="X53" s="406">
        <v>-9146.25</v>
      </c>
      <c r="Y53" s="425"/>
      <c r="Z53" s="71"/>
      <c r="AA53" s="426"/>
      <c r="AB53" s="427"/>
      <c r="AC53" s="427"/>
      <c r="AD53" s="428" t="s">
        <v>1142</v>
      </c>
      <c r="AE53" s="429">
        <v>0</v>
      </c>
      <c r="AF53" s="429">
        <v>0</v>
      </c>
      <c r="AG53" s="363">
        <v>-1016.25</v>
      </c>
      <c r="AH53" s="363">
        <v>-1016.25</v>
      </c>
      <c r="AI53" s="363">
        <v>-1016.25</v>
      </c>
      <c r="AJ53" s="363">
        <v>-1016.25</v>
      </c>
      <c r="AK53" s="363">
        <v>-1016.25</v>
      </c>
      <c r="AL53" s="363">
        <v>-1016.25</v>
      </c>
      <c r="AM53" s="360">
        <f t="shared" si="0"/>
        <v>-6097.5</v>
      </c>
      <c r="AN53" s="362">
        <f>ERP_26[[#This Row],[2026 Working Total]]-ERP_26[[#This Row],[LE2 Final Submission]]</f>
        <v>3048.75</v>
      </c>
      <c r="AO53" s="79">
        <v>0</v>
      </c>
      <c r="AP53" s="79">
        <f t="shared" si="1"/>
        <v>0</v>
      </c>
      <c r="AQ53" s="374">
        <f>SUM(ERP_26[[#This Row],[AP01]:[AP06]])-SUM(ERP_26[[#This Row],[AP01 LE2]:[AP06 LE2]])</f>
        <v>3048.75</v>
      </c>
      <c r="AR53" s="80"/>
      <c r="AS53" s="79">
        <f>ERP_26[[#This Row],[2026 Working Total to Budget/LE]]-ERP_26[[#This Row],[Giveback]]</f>
        <v>3048.75</v>
      </c>
      <c r="AT53" s="81"/>
      <c r="AU53" s="375"/>
      <c r="AV53" s="375"/>
      <c r="AW53" s="375"/>
      <c r="AX53" s="375">
        <v>-1016.25</v>
      </c>
      <c r="AY53" s="375">
        <v>-1016.25</v>
      </c>
      <c r="AZ53" s="375">
        <v>-1016.25</v>
      </c>
      <c r="BA53" s="375">
        <v>-1016.25</v>
      </c>
      <c r="BB53" s="375">
        <v>-1016.25</v>
      </c>
      <c r="BC53" s="375">
        <v>-1016.25</v>
      </c>
      <c r="BD53" s="375">
        <v>-1016.25</v>
      </c>
      <c r="BE53" s="375">
        <v>-1016.25</v>
      </c>
      <c r="BF53" s="375">
        <v>-1016.25</v>
      </c>
      <c r="BG53" s="375">
        <v>-9146.25</v>
      </c>
      <c r="BH53" s="79"/>
      <c r="BI53" s="79"/>
      <c r="BJ53" s="79"/>
      <c r="BK53" s="79">
        <v>-1016.25</v>
      </c>
      <c r="BL53" s="79">
        <v>-1016.25</v>
      </c>
      <c r="BM53" s="79">
        <v>-1016.25</v>
      </c>
      <c r="BN53" s="79">
        <v>-1016.25</v>
      </c>
      <c r="BO53" s="79">
        <v>-1016.25</v>
      </c>
      <c r="BP53" s="79">
        <v>-1016.25</v>
      </c>
      <c r="BQ53" s="79">
        <v>-1016.25</v>
      </c>
      <c r="BR53" s="79">
        <v>-1016.25</v>
      </c>
      <c r="BS53" s="79">
        <v>-1016.25</v>
      </c>
      <c r="BT53" s="79">
        <v>-9146.25</v>
      </c>
    </row>
    <row r="54" spans="1:72" ht="15" customHeight="1">
      <c r="A54" s="66" t="s">
        <v>1680</v>
      </c>
      <c r="B54" s="66"/>
      <c r="C54" s="66" t="s">
        <v>347</v>
      </c>
      <c r="D54" s="66" t="s">
        <v>1681</v>
      </c>
      <c r="E54" s="150" t="s">
        <v>1136</v>
      </c>
      <c r="F54" s="482" t="s">
        <v>1566</v>
      </c>
      <c r="G54" s="150" t="s">
        <v>1135</v>
      </c>
      <c r="H54" s="150" t="s">
        <v>1145</v>
      </c>
      <c r="I54" s="150" t="s">
        <v>1135</v>
      </c>
      <c r="J54" s="150" t="s">
        <v>1145</v>
      </c>
      <c r="K54" s="150" t="s">
        <v>1137</v>
      </c>
      <c r="L54" s="511" t="s">
        <v>342</v>
      </c>
      <c r="M54" s="392" t="s">
        <v>1682</v>
      </c>
      <c r="N54" s="343"/>
      <c r="O54" s="343"/>
      <c r="P54" s="70" t="s">
        <v>348</v>
      </c>
      <c r="Q54" s="346"/>
      <c r="R54" s="343"/>
      <c r="S54" s="346"/>
      <c r="T54" s="150" t="s">
        <v>152</v>
      </c>
      <c r="U54" s="150"/>
      <c r="V54" s="403"/>
      <c r="W54" s="406">
        <v>-12195</v>
      </c>
      <c r="X54" s="406">
        <v>-9146.25</v>
      </c>
      <c r="Y54" s="425"/>
      <c r="Z54" s="71"/>
      <c r="AA54" s="426"/>
      <c r="AB54" s="427"/>
      <c r="AC54" s="427"/>
      <c r="AD54" s="428" t="s">
        <v>1142</v>
      </c>
      <c r="AE54" s="429">
        <v>0</v>
      </c>
      <c r="AF54" s="429">
        <v>0</v>
      </c>
      <c r="AG54" s="363">
        <v>-1016.25</v>
      </c>
      <c r="AH54" s="363">
        <v>-1016.25</v>
      </c>
      <c r="AI54" s="363">
        <v>-1016.25</v>
      </c>
      <c r="AJ54" s="363">
        <v>-1016.25</v>
      </c>
      <c r="AK54" s="363">
        <v>-1016.25</v>
      </c>
      <c r="AL54" s="363">
        <v>-1016.25</v>
      </c>
      <c r="AM54" s="360">
        <f t="shared" si="0"/>
        <v>-6097.5</v>
      </c>
      <c r="AN54" s="362">
        <f>ERP_26[[#This Row],[2026 Working Total]]-ERP_26[[#This Row],[LE2 Final Submission]]</f>
        <v>3048.75</v>
      </c>
      <c r="AO54" s="79">
        <v>10000</v>
      </c>
      <c r="AP54" s="79">
        <f t="shared" si="1"/>
        <v>-10000</v>
      </c>
      <c r="AQ54" s="374">
        <f>SUM(ERP_26[[#This Row],[AP01]:[AP06]])-SUM(ERP_26[[#This Row],[AP01 LE2]:[AP06 LE2]])</f>
        <v>3048.75</v>
      </c>
      <c r="AR54" s="80"/>
      <c r="AS54" s="79">
        <f>ERP_26[[#This Row],[2026 Working Total to Budget/LE]]-ERP_26[[#This Row],[Giveback]]</f>
        <v>3048.75</v>
      </c>
      <c r="AT54" s="81"/>
      <c r="AU54" s="375"/>
      <c r="AV54" s="375"/>
      <c r="AW54" s="375"/>
      <c r="AX54" s="375">
        <v>-1016.25</v>
      </c>
      <c r="AY54" s="375">
        <v>-1016.25</v>
      </c>
      <c r="AZ54" s="375">
        <v>-1016.25</v>
      </c>
      <c r="BA54" s="375">
        <v>-1016.25</v>
      </c>
      <c r="BB54" s="375">
        <v>-1016.25</v>
      </c>
      <c r="BC54" s="375">
        <v>-1016.25</v>
      </c>
      <c r="BD54" s="375">
        <v>-1016.25</v>
      </c>
      <c r="BE54" s="375">
        <v>-1016.25</v>
      </c>
      <c r="BF54" s="375">
        <v>-1016.25</v>
      </c>
      <c r="BG54" s="375">
        <v>-9146.25</v>
      </c>
      <c r="BH54" s="79"/>
      <c r="BI54" s="79"/>
      <c r="BJ54" s="79"/>
      <c r="BK54" s="79">
        <v>-1016.25</v>
      </c>
      <c r="BL54" s="79">
        <v>-1016.25</v>
      </c>
      <c r="BM54" s="79">
        <v>-1016.25</v>
      </c>
      <c r="BN54" s="79">
        <v>-1016.25</v>
      </c>
      <c r="BO54" s="79">
        <v>-1016.25</v>
      </c>
      <c r="BP54" s="79">
        <v>-1016.25</v>
      </c>
      <c r="BQ54" s="79">
        <v>-1016.25</v>
      </c>
      <c r="BR54" s="79">
        <v>-1016.25</v>
      </c>
      <c r="BS54" s="79">
        <v>-1016.25</v>
      </c>
      <c r="BT54" s="79">
        <v>-9146.25</v>
      </c>
    </row>
    <row r="55" spans="1:72" ht="15" customHeight="1">
      <c r="A55" s="66" t="s">
        <v>1683</v>
      </c>
      <c r="B55" s="66"/>
      <c r="C55" s="66" t="s">
        <v>2936</v>
      </c>
      <c r="D55" s="66" t="s">
        <v>1684</v>
      </c>
      <c r="E55" s="150" t="s">
        <v>1136</v>
      </c>
      <c r="F55" s="482" t="s">
        <v>1566</v>
      </c>
      <c r="G55" s="150" t="s">
        <v>1135</v>
      </c>
      <c r="H55" s="150" t="s">
        <v>1135</v>
      </c>
      <c r="I55" s="150" t="s">
        <v>1135</v>
      </c>
      <c r="J55" s="150" t="s">
        <v>1137</v>
      </c>
      <c r="K55" s="150" t="s">
        <v>1137</v>
      </c>
      <c r="L55" s="511" t="s">
        <v>342</v>
      </c>
      <c r="M55" s="392" t="s">
        <v>1685</v>
      </c>
      <c r="N55" s="343"/>
      <c r="O55" s="343"/>
      <c r="P55" s="70" t="s">
        <v>350</v>
      </c>
      <c r="Q55" s="346" t="s">
        <v>1139</v>
      </c>
      <c r="R55" s="346" t="s">
        <v>1140</v>
      </c>
      <c r="S55" s="346"/>
      <c r="T55" s="150" t="s">
        <v>25</v>
      </c>
      <c r="U55" s="1" t="s">
        <v>1141</v>
      </c>
      <c r="V55" s="403"/>
      <c r="W55" s="406">
        <v>0</v>
      </c>
      <c r="X55" s="406">
        <v>-904.37</v>
      </c>
      <c r="Y55" s="425"/>
      <c r="Z55" s="71"/>
      <c r="AA55" s="426"/>
      <c r="AB55" s="427">
        <v>-904.37</v>
      </c>
      <c r="AC55" s="431">
        <v>0</v>
      </c>
      <c r="AD55" s="428">
        <v>0</v>
      </c>
      <c r="AE55" s="429">
        <v>0</v>
      </c>
      <c r="AF55" s="429">
        <v>0</v>
      </c>
      <c r="AG55" s="360">
        <v>0</v>
      </c>
      <c r="AH55" s="360">
        <v>0</v>
      </c>
      <c r="AI55" s="360">
        <v>0</v>
      </c>
      <c r="AJ55" s="360">
        <v>0</v>
      </c>
      <c r="AK55" s="360">
        <v>0</v>
      </c>
      <c r="AL55" s="360">
        <v>0</v>
      </c>
      <c r="AM55" s="360">
        <f t="shared" si="0"/>
        <v>-904.37</v>
      </c>
      <c r="AN55" s="362">
        <f>ERP_26[[#This Row],[2026 Working Total]]-ERP_26[[#This Row],[LE2 Final Submission]]</f>
        <v>0</v>
      </c>
      <c r="AO55" s="79">
        <v>0</v>
      </c>
      <c r="AP55" s="79">
        <f t="shared" si="1"/>
        <v>0</v>
      </c>
      <c r="AQ55" s="374">
        <f>SUM(ERP_26[[#This Row],[AP01]:[AP06]])-SUM(ERP_26[[#This Row],[AP01 LE2]:[AP06 LE2]])</f>
        <v>0</v>
      </c>
      <c r="AR55" s="80"/>
      <c r="AS55" s="79">
        <f>ERP_26[[#This Row],[2026 Working Total to Budget/LE]]-ERP_26[[#This Row],[Giveback]]</f>
        <v>0</v>
      </c>
      <c r="AT55" s="81"/>
      <c r="AU55" s="375"/>
      <c r="AV55" s="375">
        <v>-904.37</v>
      </c>
      <c r="AW55" s="375">
        <v>0</v>
      </c>
      <c r="AX55" s="375">
        <v>0</v>
      </c>
      <c r="AY55" s="375">
        <v>0</v>
      </c>
      <c r="AZ55" s="375">
        <v>0</v>
      </c>
      <c r="BA55" s="375">
        <v>0</v>
      </c>
      <c r="BB55" s="375">
        <v>0</v>
      </c>
      <c r="BC55" s="375">
        <v>0</v>
      </c>
      <c r="BD55" s="375">
        <v>0</v>
      </c>
      <c r="BE55" s="375">
        <v>0</v>
      </c>
      <c r="BF55" s="375">
        <v>0</v>
      </c>
      <c r="BG55" s="375">
        <v>-904.37</v>
      </c>
      <c r="BH55" s="79"/>
      <c r="BI55" s="79">
        <v>-904.37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0</v>
      </c>
      <c r="BP55" s="79">
        <v>0</v>
      </c>
      <c r="BQ55" s="79">
        <v>0</v>
      </c>
      <c r="BR55" s="79">
        <v>0</v>
      </c>
      <c r="BS55" s="79">
        <v>0</v>
      </c>
      <c r="BT55" s="79">
        <v>-904.37</v>
      </c>
    </row>
    <row r="56" spans="1:72" ht="15" customHeight="1">
      <c r="A56" s="66" t="s">
        <v>1686</v>
      </c>
      <c r="B56" s="66"/>
      <c r="C56" s="66" t="s">
        <v>2929</v>
      </c>
      <c r="D56" s="66" t="s">
        <v>1687</v>
      </c>
      <c r="E56" s="150" t="s">
        <v>1136</v>
      </c>
      <c r="F56" s="482" t="s">
        <v>1566</v>
      </c>
      <c r="G56" s="150" t="s">
        <v>1135</v>
      </c>
      <c r="H56" s="150" t="s">
        <v>1135</v>
      </c>
      <c r="I56" s="150" t="s">
        <v>1135</v>
      </c>
      <c r="J56" s="150" t="s">
        <v>1137</v>
      </c>
      <c r="K56" s="150" t="s">
        <v>1137</v>
      </c>
      <c r="L56" s="511" t="s">
        <v>342</v>
      </c>
      <c r="M56" s="392" t="s">
        <v>352</v>
      </c>
      <c r="N56" s="343"/>
      <c r="O56" s="343"/>
      <c r="P56" s="70" t="s">
        <v>352</v>
      </c>
      <c r="Q56" s="346" t="s">
        <v>1139</v>
      </c>
      <c r="R56" s="346" t="s">
        <v>1140</v>
      </c>
      <c r="S56" s="346"/>
      <c r="T56" s="150" t="s">
        <v>25</v>
      </c>
      <c r="U56" s="1" t="s">
        <v>1141</v>
      </c>
      <c r="V56" s="404"/>
      <c r="W56" s="407">
        <v>0</v>
      </c>
      <c r="X56" s="407">
        <v>0</v>
      </c>
      <c r="Y56" s="430"/>
      <c r="Z56" s="137"/>
      <c r="AA56" s="426"/>
      <c r="AB56" s="427"/>
      <c r="AC56" s="431">
        <v>0</v>
      </c>
      <c r="AD56" s="428">
        <v>-12412.23</v>
      </c>
      <c r="AE56" s="429">
        <v>0</v>
      </c>
      <c r="AF56" s="429">
        <v>0</v>
      </c>
      <c r="AG56" s="360">
        <v>0</v>
      </c>
      <c r="AH56" s="360">
        <v>0</v>
      </c>
      <c r="AI56" s="360">
        <v>0</v>
      </c>
      <c r="AJ56" s="360">
        <v>0</v>
      </c>
      <c r="AK56" s="360">
        <v>0</v>
      </c>
      <c r="AL56" s="360">
        <v>0</v>
      </c>
      <c r="AM56" s="360">
        <f t="shared" si="0"/>
        <v>-12412.23</v>
      </c>
      <c r="AN56" s="362">
        <f>ERP_26[[#This Row],[2026 Working Total]]-ERP_26[[#This Row],[LE2 Final Submission]]</f>
        <v>-12412.23</v>
      </c>
      <c r="AO56" s="79">
        <v>0</v>
      </c>
      <c r="AP56" s="79">
        <f t="shared" si="1"/>
        <v>0</v>
      </c>
      <c r="AQ56" s="374">
        <f>SUM(ERP_26[[#This Row],[AP01]:[AP06]])-SUM(ERP_26[[#This Row],[AP01 LE2]:[AP06 LE2]])</f>
        <v>-12412.23</v>
      </c>
      <c r="AR56" s="80"/>
      <c r="AS56" s="79">
        <f>ERP_26[[#This Row],[2026 Working Total to Budget/LE]]-ERP_26[[#This Row],[Giveback]]</f>
        <v>-12412.23</v>
      </c>
      <c r="AT56" s="81"/>
      <c r="AU56" s="375"/>
      <c r="AV56" s="375"/>
      <c r="AW56" s="375">
        <v>0</v>
      </c>
      <c r="AX56" s="375">
        <v>0</v>
      </c>
      <c r="AY56" s="375">
        <v>0</v>
      </c>
      <c r="AZ56" s="375">
        <v>0</v>
      </c>
      <c r="BA56" s="375">
        <v>0</v>
      </c>
      <c r="BB56" s="375">
        <v>0</v>
      </c>
      <c r="BC56" s="375">
        <v>0</v>
      </c>
      <c r="BD56" s="375">
        <v>0</v>
      </c>
      <c r="BE56" s="375">
        <v>0</v>
      </c>
      <c r="BF56" s="375">
        <v>0</v>
      </c>
      <c r="BG56" s="375">
        <v>0</v>
      </c>
      <c r="BH56" s="79"/>
      <c r="BI56" s="79"/>
      <c r="BJ56" s="79">
        <v>0</v>
      </c>
      <c r="BK56" s="79">
        <v>0</v>
      </c>
      <c r="BL56" s="79">
        <v>0</v>
      </c>
      <c r="BM56" s="79">
        <v>0</v>
      </c>
      <c r="BN56" s="79">
        <v>0</v>
      </c>
      <c r="BO56" s="79">
        <v>0</v>
      </c>
      <c r="BP56" s="79">
        <v>0</v>
      </c>
      <c r="BQ56" s="79">
        <v>0</v>
      </c>
      <c r="BR56" s="79">
        <v>0</v>
      </c>
      <c r="BS56" s="79">
        <v>0</v>
      </c>
      <c r="BT56" s="79">
        <v>0</v>
      </c>
    </row>
    <row r="57" spans="1:72" ht="15" customHeight="1">
      <c r="A57" s="66" t="s">
        <v>1688</v>
      </c>
      <c r="B57" s="66"/>
      <c r="C57" s="66" t="s">
        <v>2923</v>
      </c>
      <c r="D57" s="66" t="s">
        <v>1689</v>
      </c>
      <c r="E57" s="150" t="s">
        <v>1136</v>
      </c>
      <c r="F57" s="482" t="s">
        <v>1566</v>
      </c>
      <c r="G57" s="150" t="s">
        <v>1135</v>
      </c>
      <c r="H57" s="150" t="s">
        <v>1135</v>
      </c>
      <c r="I57" s="150" t="s">
        <v>1135</v>
      </c>
      <c r="J57" s="150" t="s">
        <v>1137</v>
      </c>
      <c r="K57" s="150" t="s">
        <v>1137</v>
      </c>
      <c r="L57" s="511" t="s">
        <v>342</v>
      </c>
      <c r="M57" s="392" t="s">
        <v>354</v>
      </c>
      <c r="N57" s="343"/>
      <c r="O57" s="343"/>
      <c r="P57" s="70" t="s">
        <v>354</v>
      </c>
      <c r="Q57" s="346"/>
      <c r="R57" s="346" t="s">
        <v>1140</v>
      </c>
      <c r="S57" s="346"/>
      <c r="T57" s="150" t="s">
        <v>25</v>
      </c>
      <c r="U57" s="150"/>
      <c r="V57" s="404"/>
      <c r="W57" s="407">
        <v>0</v>
      </c>
      <c r="X57" s="407">
        <v>0</v>
      </c>
      <c r="Y57" s="430"/>
      <c r="Z57" s="137"/>
      <c r="AA57" s="426"/>
      <c r="AB57" s="431">
        <v>0</v>
      </c>
      <c r="AC57" s="431">
        <v>0</v>
      </c>
      <c r="AD57" s="428">
        <v>0</v>
      </c>
      <c r="AE57" s="429">
        <v>0</v>
      </c>
      <c r="AF57" s="429">
        <v>0</v>
      </c>
      <c r="AG57" s="360">
        <v>0</v>
      </c>
      <c r="AH57" s="360">
        <v>0</v>
      </c>
      <c r="AI57" s="360">
        <v>0</v>
      </c>
      <c r="AJ57" s="360">
        <v>0</v>
      </c>
      <c r="AK57" s="360">
        <v>0</v>
      </c>
      <c r="AL57" s="360">
        <v>0</v>
      </c>
      <c r="AM57" s="360">
        <f t="shared" si="0"/>
        <v>0</v>
      </c>
      <c r="AN57" s="362">
        <f>ERP_26[[#This Row],[2026 Working Total]]-ERP_26[[#This Row],[LE2 Final Submission]]</f>
        <v>0</v>
      </c>
      <c r="AO57" s="79">
        <v>0</v>
      </c>
      <c r="AP57" s="79">
        <f t="shared" si="1"/>
        <v>0</v>
      </c>
      <c r="AQ57" s="374">
        <f>SUM(ERP_26[[#This Row],[AP01]:[AP06]])-SUM(ERP_26[[#This Row],[AP01 LE2]:[AP06 LE2]])</f>
        <v>0</v>
      </c>
      <c r="AR57" s="80"/>
      <c r="AS57" s="79">
        <f>ERP_26[[#This Row],[2026 Working Total to Budget/LE]]-ERP_26[[#This Row],[Giveback]]</f>
        <v>0</v>
      </c>
      <c r="AT57" s="81"/>
      <c r="AU57" s="375"/>
      <c r="AV57" s="375">
        <v>0</v>
      </c>
      <c r="AW57" s="375">
        <v>0</v>
      </c>
      <c r="AX57" s="375">
        <v>0</v>
      </c>
      <c r="AY57" s="375">
        <v>0</v>
      </c>
      <c r="AZ57" s="375">
        <v>0</v>
      </c>
      <c r="BA57" s="375">
        <v>0</v>
      </c>
      <c r="BB57" s="375">
        <v>0</v>
      </c>
      <c r="BC57" s="375">
        <v>0</v>
      </c>
      <c r="BD57" s="375">
        <v>0</v>
      </c>
      <c r="BE57" s="375">
        <v>0</v>
      </c>
      <c r="BF57" s="375">
        <v>0</v>
      </c>
      <c r="BG57" s="375">
        <v>0</v>
      </c>
      <c r="BH57" s="79"/>
      <c r="BI57" s="79">
        <v>0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0</v>
      </c>
      <c r="BP57" s="79">
        <v>0</v>
      </c>
      <c r="BQ57" s="79">
        <v>0</v>
      </c>
      <c r="BR57" s="79">
        <v>0</v>
      </c>
      <c r="BS57" s="79">
        <v>0</v>
      </c>
      <c r="BT57" s="79">
        <v>0</v>
      </c>
    </row>
    <row r="58" spans="1:72" ht="15" customHeight="1">
      <c r="A58" s="66" t="s">
        <v>1690</v>
      </c>
      <c r="B58" s="66"/>
      <c r="C58" s="66" t="s">
        <v>2933</v>
      </c>
      <c r="D58" s="66" t="s">
        <v>1691</v>
      </c>
      <c r="E58" s="150" t="s">
        <v>1136</v>
      </c>
      <c r="F58" s="482" t="s">
        <v>1566</v>
      </c>
      <c r="G58" s="150" t="s">
        <v>1135</v>
      </c>
      <c r="H58" s="150" t="s">
        <v>1135</v>
      </c>
      <c r="I58" s="150" t="s">
        <v>1135</v>
      </c>
      <c r="J58" s="150" t="s">
        <v>1137</v>
      </c>
      <c r="K58" s="150" t="s">
        <v>1137</v>
      </c>
      <c r="L58" s="511" t="s">
        <v>342</v>
      </c>
      <c r="M58" s="392" t="s">
        <v>356</v>
      </c>
      <c r="N58" s="343"/>
      <c r="O58" s="343"/>
      <c r="P58" s="70" t="s">
        <v>356</v>
      </c>
      <c r="Q58" s="346" t="s">
        <v>1139</v>
      </c>
      <c r="R58" s="346" t="s">
        <v>1140</v>
      </c>
      <c r="S58" s="346"/>
      <c r="T58" s="150" t="s">
        <v>25</v>
      </c>
      <c r="U58" s="1" t="s">
        <v>1141</v>
      </c>
      <c r="V58" s="404"/>
      <c r="W58" s="407">
        <v>0</v>
      </c>
      <c r="X58" s="407">
        <v>0</v>
      </c>
      <c r="Y58" s="430"/>
      <c r="Z58" s="137"/>
      <c r="AA58" s="426"/>
      <c r="AB58" s="431">
        <v>0</v>
      </c>
      <c r="AC58" s="431">
        <v>0</v>
      </c>
      <c r="AD58" s="428">
        <v>-3033.45</v>
      </c>
      <c r="AE58" s="429">
        <v>0</v>
      </c>
      <c r="AF58" s="429">
        <v>0</v>
      </c>
      <c r="AG58" s="360">
        <v>0</v>
      </c>
      <c r="AH58" s="360">
        <v>0</v>
      </c>
      <c r="AI58" s="360">
        <v>0</v>
      </c>
      <c r="AJ58" s="360">
        <v>0</v>
      </c>
      <c r="AK58" s="360">
        <v>0</v>
      </c>
      <c r="AL58" s="360">
        <v>0</v>
      </c>
      <c r="AM58" s="360">
        <f t="shared" si="0"/>
        <v>-3033.45</v>
      </c>
      <c r="AN58" s="362">
        <f>ERP_26[[#This Row],[2026 Working Total]]-ERP_26[[#This Row],[LE2 Final Submission]]</f>
        <v>-3033.45</v>
      </c>
      <c r="AO58" s="79">
        <v>0</v>
      </c>
      <c r="AP58" s="79">
        <f t="shared" si="1"/>
        <v>0</v>
      </c>
      <c r="AQ58" s="374">
        <f>SUM(ERP_26[[#This Row],[AP01]:[AP06]])-SUM(ERP_26[[#This Row],[AP01 LE2]:[AP06 LE2]])</f>
        <v>-3033.45</v>
      </c>
      <c r="AR58" s="80"/>
      <c r="AS58" s="79">
        <f>ERP_26[[#This Row],[2026 Working Total to Budget/LE]]-ERP_26[[#This Row],[Giveback]]</f>
        <v>-3033.45</v>
      </c>
      <c r="AT58" s="81"/>
      <c r="AU58" s="375"/>
      <c r="AV58" s="375">
        <v>0</v>
      </c>
      <c r="AW58" s="375">
        <v>0</v>
      </c>
      <c r="AX58" s="375">
        <v>0</v>
      </c>
      <c r="AY58" s="375">
        <v>0</v>
      </c>
      <c r="AZ58" s="375">
        <v>0</v>
      </c>
      <c r="BA58" s="375">
        <v>0</v>
      </c>
      <c r="BB58" s="375">
        <v>0</v>
      </c>
      <c r="BC58" s="375">
        <v>0</v>
      </c>
      <c r="BD58" s="375">
        <v>0</v>
      </c>
      <c r="BE58" s="375">
        <v>0</v>
      </c>
      <c r="BF58" s="375">
        <v>0</v>
      </c>
      <c r="BG58" s="375">
        <v>0</v>
      </c>
      <c r="BH58" s="79"/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0</v>
      </c>
      <c r="BP58" s="79">
        <v>0</v>
      </c>
      <c r="BQ58" s="79">
        <v>0</v>
      </c>
      <c r="BR58" s="79">
        <v>0</v>
      </c>
      <c r="BS58" s="79">
        <v>0</v>
      </c>
      <c r="BT58" s="79">
        <v>0</v>
      </c>
    </row>
    <row r="59" spans="1:72" ht="15" customHeight="1">
      <c r="A59" s="150" t="s">
        <v>1692</v>
      </c>
      <c r="B59" s="150"/>
      <c r="C59" s="536" t="s">
        <v>357</v>
      </c>
      <c r="D59" s="296" t="s">
        <v>1693</v>
      </c>
      <c r="E59" s="150" t="s">
        <v>1136</v>
      </c>
      <c r="F59" s="482" t="s">
        <v>1566</v>
      </c>
      <c r="G59" s="150" t="s">
        <v>1135</v>
      </c>
      <c r="H59" s="150" t="s">
        <v>1135</v>
      </c>
      <c r="I59" s="150" t="s">
        <v>1135</v>
      </c>
      <c r="J59" s="150" t="s">
        <v>1137</v>
      </c>
      <c r="K59" s="150" t="s">
        <v>1137</v>
      </c>
      <c r="L59" s="514" t="s">
        <v>342</v>
      </c>
      <c r="M59" s="394" t="s">
        <v>1694</v>
      </c>
      <c r="N59" s="333"/>
      <c r="O59" s="332" t="s">
        <v>1695</v>
      </c>
      <c r="P59" s="90" t="s">
        <v>358</v>
      </c>
      <c r="Q59" s="347"/>
      <c r="R59" s="347"/>
      <c r="S59" s="348"/>
      <c r="T59" s="348"/>
      <c r="U59" s="1" t="s">
        <v>1141</v>
      </c>
      <c r="V59" s="402"/>
      <c r="W59" s="406"/>
      <c r="X59" s="406"/>
      <c r="Y59" s="425"/>
      <c r="Z59" s="71"/>
      <c r="AA59" s="435"/>
      <c r="AB59" s="436"/>
      <c r="AC59" s="436"/>
      <c r="AD59" s="429">
        <v>-638.70000000000005</v>
      </c>
      <c r="AE59" s="429">
        <v>0</v>
      </c>
      <c r="AF59" s="429">
        <v>0</v>
      </c>
      <c r="AG59" s="364"/>
      <c r="AH59" s="364"/>
      <c r="AI59" s="364"/>
      <c r="AJ59" s="364"/>
      <c r="AK59" s="364"/>
      <c r="AL59" s="364"/>
      <c r="AM59" s="360">
        <f t="shared" si="0"/>
        <v>-638.70000000000005</v>
      </c>
      <c r="AN59" s="362">
        <f>ERP_26[[#This Row],[2026 Working Total]]-ERP_26[[#This Row],[LE2 Final Submission]]</f>
        <v>-638.70000000000005</v>
      </c>
      <c r="AO59" s="79"/>
      <c r="AP59" s="79">
        <f t="shared" si="1"/>
        <v>0</v>
      </c>
      <c r="AQ59" s="374">
        <f>SUM(ERP_26[[#This Row],[AP01]:[AP06]])-SUM(ERP_26[[#This Row],[AP01 LE2]:[AP06 LE2]])</f>
        <v>-638.70000000000005</v>
      </c>
      <c r="AR59" s="80"/>
      <c r="AS59" s="79">
        <f>ERP_26[[#This Row],[2026 Working Total to Budget/LE]]-ERP_26[[#This Row],[Giveback]]</f>
        <v>-638.70000000000005</v>
      </c>
      <c r="AT59" s="81"/>
      <c r="AU59" s="375"/>
      <c r="AV59" s="375"/>
      <c r="AW59" s="375"/>
      <c r="AX59" s="375"/>
      <c r="AY59" s="375"/>
      <c r="AZ59" s="375"/>
      <c r="BA59" s="375"/>
      <c r="BB59" s="375"/>
      <c r="BC59" s="375"/>
      <c r="BD59" s="375"/>
      <c r="BE59" s="375"/>
      <c r="BF59" s="375"/>
      <c r="BG59" s="375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</row>
    <row r="60" spans="1:72" ht="15" customHeight="1">
      <c r="A60" s="66" t="s">
        <v>1696</v>
      </c>
      <c r="B60" s="66"/>
      <c r="C60" s="66" t="s">
        <v>2924</v>
      </c>
      <c r="D60" s="66" t="s">
        <v>1697</v>
      </c>
      <c r="E60" s="150" t="s">
        <v>1136</v>
      </c>
      <c r="F60" s="482" t="s">
        <v>1566</v>
      </c>
      <c r="G60" s="150" t="s">
        <v>1135</v>
      </c>
      <c r="H60" s="150" t="s">
        <v>1135</v>
      </c>
      <c r="I60" s="150" t="s">
        <v>1135</v>
      </c>
      <c r="J60" s="150" t="s">
        <v>1137</v>
      </c>
      <c r="K60" s="150" t="s">
        <v>1137</v>
      </c>
      <c r="L60" s="511" t="s">
        <v>342</v>
      </c>
      <c r="M60" s="392" t="s">
        <v>360</v>
      </c>
      <c r="N60" s="343"/>
      <c r="O60" s="343"/>
      <c r="P60" s="70" t="s">
        <v>360</v>
      </c>
      <c r="Q60" s="346"/>
      <c r="R60" s="346" t="s">
        <v>1140</v>
      </c>
      <c r="S60" s="346"/>
      <c r="T60" s="150" t="s">
        <v>25</v>
      </c>
      <c r="U60" s="150"/>
      <c r="V60" s="404"/>
      <c r="W60" s="407">
        <v>0</v>
      </c>
      <c r="X60" s="407">
        <v>0</v>
      </c>
      <c r="Y60" s="430"/>
      <c r="Z60" s="137"/>
      <c r="AA60" s="426"/>
      <c r="AB60" s="427"/>
      <c r="AC60" s="431">
        <v>0</v>
      </c>
      <c r="AD60" s="428">
        <v>0</v>
      </c>
      <c r="AE60" s="429">
        <v>0</v>
      </c>
      <c r="AF60" s="429">
        <v>0</v>
      </c>
      <c r="AG60" s="360">
        <v>0</v>
      </c>
      <c r="AH60" s="360">
        <v>0</v>
      </c>
      <c r="AI60" s="360">
        <v>0</v>
      </c>
      <c r="AJ60" s="360">
        <v>0</v>
      </c>
      <c r="AK60" s="360">
        <v>0</v>
      </c>
      <c r="AL60" s="360">
        <v>0</v>
      </c>
      <c r="AM60" s="360">
        <f t="shared" si="0"/>
        <v>0</v>
      </c>
      <c r="AN60" s="362">
        <f>ERP_26[[#This Row],[2026 Working Total]]-ERP_26[[#This Row],[LE2 Final Submission]]</f>
        <v>0</v>
      </c>
      <c r="AO60" s="79">
        <v>0</v>
      </c>
      <c r="AP60" s="79">
        <f t="shared" si="1"/>
        <v>0</v>
      </c>
      <c r="AQ60" s="374">
        <f>SUM(ERP_26[[#This Row],[AP01]:[AP06]])-SUM(ERP_26[[#This Row],[AP01 LE2]:[AP06 LE2]])</f>
        <v>0</v>
      </c>
      <c r="AR60" s="80"/>
      <c r="AS60" s="79">
        <f>ERP_26[[#This Row],[2026 Working Total to Budget/LE]]-ERP_26[[#This Row],[Giveback]]</f>
        <v>0</v>
      </c>
      <c r="AT60" s="81"/>
      <c r="AU60" s="375"/>
      <c r="AV60" s="375"/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375">
        <v>0</v>
      </c>
      <c r="BD60" s="375">
        <v>0</v>
      </c>
      <c r="BE60" s="375">
        <v>0</v>
      </c>
      <c r="BF60" s="375">
        <v>0</v>
      </c>
      <c r="BG60" s="375">
        <v>0</v>
      </c>
      <c r="BH60" s="79"/>
      <c r="BI60" s="79"/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</row>
    <row r="61" spans="1:72" ht="15" customHeight="1">
      <c r="A61" s="79" t="s">
        <v>1698</v>
      </c>
      <c r="B61" s="79"/>
      <c r="C61" s="79" t="s">
        <v>361</v>
      </c>
      <c r="D61" s="66" t="s">
        <v>361</v>
      </c>
      <c r="E61" s="150" t="s">
        <v>1136</v>
      </c>
      <c r="F61" s="482" t="s">
        <v>1566</v>
      </c>
      <c r="G61" s="150" t="s">
        <v>1135</v>
      </c>
      <c r="H61" s="150" t="s">
        <v>1135</v>
      </c>
      <c r="I61" t="s">
        <v>1135</v>
      </c>
      <c r="J61" t="s">
        <v>1135</v>
      </c>
      <c r="K61" t="s">
        <v>1135</v>
      </c>
      <c r="L61" s="514" t="s">
        <v>342</v>
      </c>
      <c r="M61" s="395" t="s">
        <v>1699</v>
      </c>
      <c r="N61" s="343"/>
      <c r="O61" s="333"/>
      <c r="P61" s="70" t="s">
        <v>362</v>
      </c>
      <c r="Q61" s="347"/>
      <c r="R61" s="343"/>
      <c r="S61" s="348"/>
      <c r="T61" s="348"/>
      <c r="U61" s="348" t="s">
        <v>1700</v>
      </c>
      <c r="V61" s="402"/>
      <c r="W61" s="358"/>
      <c r="X61" s="379">
        <v>0</v>
      </c>
      <c r="Y61" s="430"/>
      <c r="Z61" s="137"/>
      <c r="AA61" s="435"/>
      <c r="AB61" s="436"/>
      <c r="AC61" s="436"/>
      <c r="AD61" s="428" t="s">
        <v>1142</v>
      </c>
      <c r="AE61" s="429">
        <v>0</v>
      </c>
      <c r="AF61" s="429">
        <v>0</v>
      </c>
      <c r="AG61" s="364"/>
      <c r="AH61" s="364"/>
      <c r="AI61" s="364"/>
      <c r="AJ61" s="364"/>
      <c r="AK61" s="364"/>
      <c r="AL61" s="364"/>
      <c r="AM61" s="360">
        <f t="shared" si="0"/>
        <v>0</v>
      </c>
      <c r="AN61" s="362">
        <f>ERP_26[[#This Row],[2026 Working Total]]-ERP_26[[#This Row],[LE2 Final Submission]]</f>
        <v>0</v>
      </c>
      <c r="AO61" s="79">
        <v>16084.39</v>
      </c>
      <c r="AP61" s="79">
        <f t="shared" si="1"/>
        <v>-16084.39</v>
      </c>
      <c r="AQ61" s="374">
        <f>SUM(ERP_26[[#This Row],[AP01]:[AP06]])-SUM(ERP_26[[#This Row],[AP01 LE2]:[AP06 LE2]])</f>
        <v>0</v>
      </c>
      <c r="AR61" s="80"/>
      <c r="AS61" s="79">
        <f>ERP_26[[#This Row],[2026 Working Total to Budget/LE]]-ERP_26[[#This Row],[Giveback]]</f>
        <v>0</v>
      </c>
      <c r="AT61" s="81"/>
      <c r="AU61" s="375"/>
      <c r="AV61" s="375"/>
      <c r="AW61" s="375"/>
      <c r="AX61" s="375">
        <v>-16084.39</v>
      </c>
      <c r="AY61" s="375">
        <v>16084.39</v>
      </c>
      <c r="AZ61" s="375"/>
      <c r="BA61" s="375"/>
      <c r="BB61" s="375"/>
      <c r="BC61" s="375"/>
      <c r="BD61" s="375"/>
      <c r="BE61" s="375"/>
      <c r="BF61" s="375"/>
      <c r="BG61" s="375">
        <v>0</v>
      </c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</row>
    <row r="62" spans="1:72" ht="15" customHeight="1">
      <c r="A62" s="66" t="s">
        <v>1701</v>
      </c>
      <c r="B62" s="66"/>
      <c r="C62" s="66" t="s">
        <v>363</v>
      </c>
      <c r="D62" s="66" t="s">
        <v>363</v>
      </c>
      <c r="E62" s="150" t="s">
        <v>1136</v>
      </c>
      <c r="F62" s="482" t="s">
        <v>1566</v>
      </c>
      <c r="G62" s="150" t="s">
        <v>1135</v>
      </c>
      <c r="H62" s="150" t="s">
        <v>1135</v>
      </c>
      <c r="I62" s="150" t="s">
        <v>1135</v>
      </c>
      <c r="J62" s="150" t="s">
        <v>1135</v>
      </c>
      <c r="K62" s="150" t="s">
        <v>1137</v>
      </c>
      <c r="L62" s="511" t="s">
        <v>342</v>
      </c>
      <c r="M62" s="392" t="s">
        <v>1174</v>
      </c>
      <c r="N62" s="343"/>
      <c r="O62" s="343"/>
      <c r="P62" s="70" t="s">
        <v>56</v>
      </c>
      <c r="Q62" s="346" t="s">
        <v>1139</v>
      </c>
      <c r="R62" s="346" t="s">
        <v>1140</v>
      </c>
      <c r="S62" s="346"/>
      <c r="T62" s="150" t="s">
        <v>57</v>
      </c>
      <c r="U62" s="150"/>
      <c r="V62" s="403"/>
      <c r="W62" s="406">
        <v>0</v>
      </c>
      <c r="X62" s="406">
        <v>2120</v>
      </c>
      <c r="Y62" s="425"/>
      <c r="Z62" s="71"/>
      <c r="AA62" s="426">
        <v>2120</v>
      </c>
      <c r="AB62" s="431">
        <v>0</v>
      </c>
      <c r="AC62" s="431">
        <v>0</v>
      </c>
      <c r="AD62" s="428" t="s">
        <v>1142</v>
      </c>
      <c r="AE62" s="429">
        <v>0</v>
      </c>
      <c r="AF62" s="429">
        <v>0</v>
      </c>
      <c r="AG62" s="360">
        <v>0</v>
      </c>
      <c r="AH62" s="360">
        <v>0</v>
      </c>
      <c r="AI62" s="360">
        <v>0</v>
      </c>
      <c r="AJ62" s="360">
        <v>0</v>
      </c>
      <c r="AK62" s="360">
        <v>0</v>
      </c>
      <c r="AL62" s="360">
        <v>0</v>
      </c>
      <c r="AM62" s="360">
        <f t="shared" si="0"/>
        <v>2120</v>
      </c>
      <c r="AN62" s="362">
        <f>ERP_26[[#This Row],[2026 Working Total]]-ERP_26[[#This Row],[LE2 Final Submission]]</f>
        <v>0</v>
      </c>
      <c r="AO62" s="79">
        <v>0</v>
      </c>
      <c r="AP62" s="79">
        <f t="shared" si="1"/>
        <v>0</v>
      </c>
      <c r="AQ62" s="374">
        <f>SUM(ERP_26[[#This Row],[AP01]:[AP06]])-SUM(ERP_26[[#This Row],[AP01 LE2]:[AP06 LE2]])</f>
        <v>0</v>
      </c>
      <c r="AR62" s="80"/>
      <c r="AS62" s="79">
        <f>ERP_26[[#This Row],[2026 Working Total to Budget/LE]]-ERP_26[[#This Row],[Giveback]]</f>
        <v>0</v>
      </c>
      <c r="AT62" s="81"/>
      <c r="AU62" s="375">
        <v>2120</v>
      </c>
      <c r="AV62" s="375">
        <v>0</v>
      </c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0</v>
      </c>
      <c r="BC62" s="375">
        <v>0</v>
      </c>
      <c r="BD62" s="375">
        <v>0</v>
      </c>
      <c r="BE62" s="375">
        <v>0</v>
      </c>
      <c r="BF62" s="375">
        <v>0</v>
      </c>
      <c r="BG62" s="375">
        <v>2120</v>
      </c>
      <c r="BH62" s="79">
        <v>2120</v>
      </c>
      <c r="BI62" s="79">
        <v>0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0</v>
      </c>
      <c r="BP62" s="79">
        <v>0</v>
      </c>
      <c r="BQ62" s="79">
        <v>0</v>
      </c>
      <c r="BR62" s="79">
        <v>0</v>
      </c>
      <c r="BS62" s="79">
        <v>0</v>
      </c>
      <c r="BT62" s="79">
        <v>2120</v>
      </c>
    </row>
    <row r="63" spans="1:72" ht="15" customHeight="1">
      <c r="A63" s="79" t="s">
        <v>1706</v>
      </c>
      <c r="B63" s="79"/>
      <c r="C63" s="79" t="s">
        <v>366</v>
      </c>
      <c r="D63" s="296" t="s">
        <v>1707</v>
      </c>
      <c r="E63" s="150" t="s">
        <v>1136</v>
      </c>
      <c r="F63" s="482" t="s">
        <v>1566</v>
      </c>
      <c r="G63" s="150" t="s">
        <v>1135</v>
      </c>
      <c r="H63" s="383" t="s">
        <v>1145</v>
      </c>
      <c r="I63" s="332" t="s">
        <v>1135</v>
      </c>
      <c r="J63" s="383" t="s">
        <v>1145</v>
      </c>
      <c r="K63" s="331" t="s">
        <v>1137</v>
      </c>
      <c r="L63" s="512" t="s">
        <v>342</v>
      </c>
      <c r="M63" s="393" t="s">
        <v>1708</v>
      </c>
      <c r="N63" s="343"/>
      <c r="O63" s="331"/>
      <c r="P63" s="91" t="s">
        <v>367</v>
      </c>
      <c r="Q63" s="343"/>
      <c r="R63" s="346" t="s">
        <v>1709</v>
      </c>
      <c r="S63" s="346" t="s">
        <v>1710</v>
      </c>
      <c r="T63" s="386" t="s">
        <v>368</v>
      </c>
      <c r="U63" s="346" t="s">
        <v>1348</v>
      </c>
      <c r="V63" s="437"/>
      <c r="W63" s="358">
        <v>749252.78</v>
      </c>
      <c r="X63" s="378">
        <v>0</v>
      </c>
      <c r="Y63" s="425"/>
      <c r="Z63" s="71"/>
      <c r="AA63" s="433"/>
      <c r="AB63" s="434"/>
      <c r="AC63" s="434"/>
      <c r="AD63" s="428" t="s">
        <v>1142</v>
      </c>
      <c r="AE63" s="429">
        <v>0</v>
      </c>
      <c r="AF63" s="429">
        <v>0</v>
      </c>
      <c r="AG63" s="388">
        <v>0</v>
      </c>
      <c r="AH63" s="388">
        <v>0</v>
      </c>
      <c r="AI63" s="388">
        <v>0</v>
      </c>
      <c r="AJ63" s="388">
        <v>0</v>
      </c>
      <c r="AK63" s="388">
        <v>0</v>
      </c>
      <c r="AL63" s="388">
        <v>0</v>
      </c>
      <c r="AM63" s="360">
        <f t="shared" si="0"/>
        <v>0</v>
      </c>
      <c r="AN63" s="362">
        <f>ERP_26[[#This Row],[2026 Working Total]]-ERP_26[[#This Row],[LE2 Final Submission]]</f>
        <v>0</v>
      </c>
      <c r="AO63" s="79">
        <v>0</v>
      </c>
      <c r="AP63" s="79">
        <f t="shared" si="1"/>
        <v>0</v>
      </c>
      <c r="AQ63" s="374">
        <f>SUM(ERP_26[[#This Row],[AP01]:[AP06]])-SUM(ERP_26[[#This Row],[AP01 LE2]:[AP06 LE2]])</f>
        <v>0</v>
      </c>
      <c r="AR63" s="80"/>
      <c r="AS63" s="79">
        <f>ERP_26[[#This Row],[2026 Working Total to Budget/LE]]-ERP_26[[#This Row],[Giveback]]</f>
        <v>0</v>
      </c>
      <c r="AT63" s="81"/>
      <c r="AU63" s="375"/>
      <c r="AV63" s="375"/>
      <c r="AW63" s="375"/>
      <c r="AX63" s="375">
        <v>0</v>
      </c>
      <c r="AY63" s="375">
        <v>0</v>
      </c>
      <c r="AZ63" s="375">
        <v>0</v>
      </c>
      <c r="BA63" s="375">
        <v>0</v>
      </c>
      <c r="BB63" s="375">
        <v>0</v>
      </c>
      <c r="BC63" s="375">
        <v>0</v>
      </c>
      <c r="BD63" s="375">
        <v>0</v>
      </c>
      <c r="BE63" s="375">
        <v>0</v>
      </c>
      <c r="BF63" s="375">
        <v>0</v>
      </c>
      <c r="BG63" s="375">
        <v>0</v>
      </c>
      <c r="BH63" s="103">
        <v>749252.78</v>
      </c>
      <c r="BI63" s="103">
        <v>0</v>
      </c>
      <c r="BJ63" s="103">
        <v>0</v>
      </c>
      <c r="BK63" s="103">
        <v>0</v>
      </c>
      <c r="BL63" s="103">
        <v>0</v>
      </c>
      <c r="BM63" s="103">
        <v>0</v>
      </c>
      <c r="BN63" s="103">
        <v>0</v>
      </c>
      <c r="BO63" s="103">
        <v>0</v>
      </c>
      <c r="BP63" s="103">
        <v>0</v>
      </c>
      <c r="BQ63" s="103">
        <v>0</v>
      </c>
      <c r="BR63" s="103">
        <v>0</v>
      </c>
      <c r="BS63" s="103">
        <v>0</v>
      </c>
      <c r="BT63" s="79">
        <f>SUM(ERP_26[[#This Row],[2026 AP01]:[2026 AP12]])</f>
        <v>749252.78</v>
      </c>
    </row>
    <row r="64" spans="1:72" ht="15" customHeight="1">
      <c r="A64" s="79" t="s">
        <v>1711</v>
      </c>
      <c r="B64" s="79"/>
      <c r="C64" s="79" t="s">
        <v>369</v>
      </c>
      <c r="D64" s="296" t="s">
        <v>1712</v>
      </c>
      <c r="E64" s="150" t="s">
        <v>1136</v>
      </c>
      <c r="F64" s="482" t="s">
        <v>1566</v>
      </c>
      <c r="G64" s="150" t="s">
        <v>1135</v>
      </c>
      <c r="H64" s="383" t="s">
        <v>1145</v>
      </c>
      <c r="I64" s="332" t="s">
        <v>1135</v>
      </c>
      <c r="J64" s="383" t="s">
        <v>1145</v>
      </c>
      <c r="K64" s="331" t="s">
        <v>1137</v>
      </c>
      <c r="L64" s="512" t="s">
        <v>342</v>
      </c>
      <c r="M64" s="393" t="s">
        <v>1713</v>
      </c>
      <c r="N64" s="343"/>
      <c r="O64" s="331"/>
      <c r="P64" s="91" t="s">
        <v>370</v>
      </c>
      <c r="Q64" s="343"/>
      <c r="R64" s="346" t="s">
        <v>1709</v>
      </c>
      <c r="S64" s="346" t="s">
        <v>1710</v>
      </c>
      <c r="T64" s="386" t="s">
        <v>368</v>
      </c>
      <c r="U64" s="346" t="s">
        <v>1348</v>
      </c>
      <c r="V64" s="437"/>
      <c r="W64" s="358">
        <v>-749252.78</v>
      </c>
      <c r="X64" s="378">
        <v>0</v>
      </c>
      <c r="Y64" s="425"/>
      <c r="Z64" s="71"/>
      <c r="AA64" s="433"/>
      <c r="AB64" s="434"/>
      <c r="AC64" s="434"/>
      <c r="AD64" s="428" t="s">
        <v>1142</v>
      </c>
      <c r="AE64" s="429">
        <v>0</v>
      </c>
      <c r="AF64" s="429">
        <v>0</v>
      </c>
      <c r="AG64" s="388">
        <v>0</v>
      </c>
      <c r="AH64" s="388">
        <v>0</v>
      </c>
      <c r="AI64" s="388">
        <v>0</v>
      </c>
      <c r="AJ64" s="388">
        <v>0</v>
      </c>
      <c r="AK64" s="388">
        <v>0</v>
      </c>
      <c r="AL64" s="388">
        <v>0</v>
      </c>
      <c r="AM64" s="360">
        <f t="shared" si="0"/>
        <v>0</v>
      </c>
      <c r="AN64" s="362">
        <f>ERP_26[[#This Row],[2026 Working Total]]-ERP_26[[#This Row],[LE2 Final Submission]]</f>
        <v>0</v>
      </c>
      <c r="AO64" s="79">
        <v>0</v>
      </c>
      <c r="AP64" s="79">
        <f t="shared" si="1"/>
        <v>0</v>
      </c>
      <c r="AQ64" s="374">
        <f>SUM(ERP_26[[#This Row],[AP01]:[AP06]])-SUM(ERP_26[[#This Row],[AP01 LE2]:[AP06 LE2]])</f>
        <v>0</v>
      </c>
      <c r="AR64" s="80"/>
      <c r="AS64" s="79">
        <f>ERP_26[[#This Row],[2026 Working Total to Budget/LE]]-ERP_26[[#This Row],[Giveback]]</f>
        <v>0</v>
      </c>
      <c r="AT64" s="81"/>
      <c r="AU64" s="375"/>
      <c r="AV64" s="375"/>
      <c r="AW64" s="375"/>
      <c r="AX64" s="375">
        <v>0</v>
      </c>
      <c r="AY64" s="375">
        <v>0</v>
      </c>
      <c r="AZ64" s="375">
        <v>0</v>
      </c>
      <c r="BA64" s="375">
        <v>0</v>
      </c>
      <c r="BB64" s="375">
        <v>0</v>
      </c>
      <c r="BC64" s="375">
        <v>0</v>
      </c>
      <c r="BD64" s="375">
        <v>0</v>
      </c>
      <c r="BE64" s="375">
        <v>0</v>
      </c>
      <c r="BF64" s="375">
        <v>0</v>
      </c>
      <c r="BG64" s="375">
        <v>0</v>
      </c>
      <c r="BH64" s="103">
        <v>-749252.78</v>
      </c>
      <c r="BI64" s="103">
        <v>0</v>
      </c>
      <c r="BJ64" s="103">
        <v>0</v>
      </c>
      <c r="BK64" s="103">
        <v>0</v>
      </c>
      <c r="BL64" s="103">
        <v>0</v>
      </c>
      <c r="BM64" s="103">
        <v>0</v>
      </c>
      <c r="BN64" s="103">
        <v>0</v>
      </c>
      <c r="BO64" s="103">
        <v>0</v>
      </c>
      <c r="BP64" s="103">
        <v>0</v>
      </c>
      <c r="BQ64" s="103">
        <v>0</v>
      </c>
      <c r="BR64" s="103">
        <v>0</v>
      </c>
      <c r="BS64" s="103">
        <v>0</v>
      </c>
      <c r="BT64" s="79">
        <f>SUM(ERP_26[[#This Row],[2026 AP01]:[2026 AP12]])</f>
        <v>-749252.78</v>
      </c>
    </row>
    <row r="65" spans="1:72" ht="15" customHeight="1">
      <c r="A65" s="79" t="s">
        <v>1714</v>
      </c>
      <c r="B65" s="79"/>
      <c r="C65" s="79" t="s">
        <v>371</v>
      </c>
      <c r="D65" s="296" t="s">
        <v>1715</v>
      </c>
      <c r="E65" s="150" t="s">
        <v>1136</v>
      </c>
      <c r="F65" s="482" t="s">
        <v>1566</v>
      </c>
      <c r="G65" s="150" t="s">
        <v>1135</v>
      </c>
      <c r="H65" s="383" t="s">
        <v>1145</v>
      </c>
      <c r="I65" s="332" t="s">
        <v>1135</v>
      </c>
      <c r="J65" s="383" t="s">
        <v>1145</v>
      </c>
      <c r="K65" s="331" t="s">
        <v>1137</v>
      </c>
      <c r="L65" s="512" t="s">
        <v>342</v>
      </c>
      <c r="M65" s="393" t="s">
        <v>1716</v>
      </c>
      <c r="N65" s="343"/>
      <c r="O65" s="331"/>
      <c r="P65" s="91" t="s">
        <v>372</v>
      </c>
      <c r="Q65" s="343"/>
      <c r="R65" s="346" t="s">
        <v>1717</v>
      </c>
      <c r="S65" s="346" t="s">
        <v>1710</v>
      </c>
      <c r="T65" s="386" t="s">
        <v>368</v>
      </c>
      <c r="U65" s="346" t="s">
        <v>1348</v>
      </c>
      <c r="V65" s="437"/>
      <c r="W65" s="358">
        <v>783580.73</v>
      </c>
      <c r="X65" s="378">
        <v>0</v>
      </c>
      <c r="Y65" s="425"/>
      <c r="Z65" s="71"/>
      <c r="AA65" s="433"/>
      <c r="AB65" s="434"/>
      <c r="AC65" s="434"/>
      <c r="AD65" s="428" t="s">
        <v>1142</v>
      </c>
      <c r="AE65" s="429">
        <v>0</v>
      </c>
      <c r="AF65" s="429">
        <v>0</v>
      </c>
      <c r="AG65" s="388">
        <v>0</v>
      </c>
      <c r="AH65" s="388">
        <v>0</v>
      </c>
      <c r="AI65" s="388">
        <v>0</v>
      </c>
      <c r="AJ65" s="388">
        <v>0</v>
      </c>
      <c r="AK65" s="388">
        <v>0</v>
      </c>
      <c r="AL65" s="388">
        <v>0</v>
      </c>
      <c r="AM65" s="360">
        <f t="shared" si="0"/>
        <v>0</v>
      </c>
      <c r="AN65" s="362">
        <f>ERP_26[[#This Row],[2026 Working Total]]-ERP_26[[#This Row],[LE2 Final Submission]]</f>
        <v>0</v>
      </c>
      <c r="AO65" s="79">
        <v>0</v>
      </c>
      <c r="AP65" s="79">
        <f t="shared" si="1"/>
        <v>0</v>
      </c>
      <c r="AQ65" s="374">
        <f>SUM(ERP_26[[#This Row],[AP01]:[AP06]])-SUM(ERP_26[[#This Row],[AP01 LE2]:[AP06 LE2]])</f>
        <v>0</v>
      </c>
      <c r="AR65" s="80"/>
      <c r="AS65" s="79">
        <f>ERP_26[[#This Row],[2026 Working Total to Budget/LE]]-ERP_26[[#This Row],[Giveback]]</f>
        <v>0</v>
      </c>
      <c r="AT65" s="81"/>
      <c r="AU65" s="375"/>
      <c r="AV65" s="375"/>
      <c r="AW65" s="375"/>
      <c r="AX65" s="375">
        <v>0</v>
      </c>
      <c r="AY65" s="375">
        <v>0</v>
      </c>
      <c r="AZ65" s="375">
        <v>0</v>
      </c>
      <c r="BA65" s="375">
        <v>0</v>
      </c>
      <c r="BB65" s="375">
        <v>0</v>
      </c>
      <c r="BC65" s="375">
        <v>0</v>
      </c>
      <c r="BD65" s="375">
        <v>0</v>
      </c>
      <c r="BE65" s="375">
        <v>0</v>
      </c>
      <c r="BF65" s="375">
        <v>0</v>
      </c>
      <c r="BG65" s="375">
        <v>0</v>
      </c>
      <c r="BH65" s="103">
        <v>783580.73</v>
      </c>
      <c r="BI65" s="103">
        <v>0</v>
      </c>
      <c r="BJ65" s="103">
        <v>0</v>
      </c>
      <c r="BK65" s="103">
        <v>0</v>
      </c>
      <c r="BL65" s="103">
        <v>0</v>
      </c>
      <c r="BM65" s="103">
        <v>0</v>
      </c>
      <c r="BN65" s="103">
        <v>0</v>
      </c>
      <c r="BO65" s="103">
        <v>0</v>
      </c>
      <c r="BP65" s="103">
        <v>0</v>
      </c>
      <c r="BQ65" s="103">
        <v>0</v>
      </c>
      <c r="BR65" s="103">
        <v>0</v>
      </c>
      <c r="BS65" s="103">
        <v>0</v>
      </c>
      <c r="BT65" s="79">
        <f>SUM(ERP_26[[#This Row],[2026 AP01]:[2026 AP12]])</f>
        <v>783580.73</v>
      </c>
    </row>
    <row r="66" spans="1:72" ht="15" customHeight="1">
      <c r="A66" s="79" t="s">
        <v>1718</v>
      </c>
      <c r="B66" s="79"/>
      <c r="C66" s="79" t="s">
        <v>373</v>
      </c>
      <c r="D66" s="296" t="s">
        <v>1719</v>
      </c>
      <c r="E66" s="150" t="s">
        <v>1136</v>
      </c>
      <c r="F66" s="482" t="s">
        <v>1566</v>
      </c>
      <c r="G66" s="150" t="s">
        <v>1135</v>
      </c>
      <c r="H66" s="383" t="s">
        <v>1145</v>
      </c>
      <c r="I66" s="332" t="s">
        <v>1135</v>
      </c>
      <c r="J66" s="383" t="s">
        <v>1145</v>
      </c>
      <c r="K66" s="331" t="s">
        <v>1137</v>
      </c>
      <c r="L66" s="512" t="s">
        <v>342</v>
      </c>
      <c r="M66" s="393" t="s">
        <v>1720</v>
      </c>
      <c r="N66" s="343"/>
      <c r="O66" s="331"/>
      <c r="P66" s="91" t="s">
        <v>374</v>
      </c>
      <c r="Q66" s="343"/>
      <c r="R66" s="346" t="s">
        <v>1717</v>
      </c>
      <c r="S66" s="346" t="s">
        <v>1710</v>
      </c>
      <c r="T66" s="386" t="s">
        <v>368</v>
      </c>
      <c r="U66" s="346" t="s">
        <v>1348</v>
      </c>
      <c r="V66" s="437"/>
      <c r="W66" s="358">
        <v>-783580.73</v>
      </c>
      <c r="X66" s="378">
        <v>0</v>
      </c>
      <c r="Y66" s="425"/>
      <c r="Z66" s="71"/>
      <c r="AA66" s="433"/>
      <c r="AB66" s="434"/>
      <c r="AC66" s="434"/>
      <c r="AD66" s="428" t="s">
        <v>1142</v>
      </c>
      <c r="AE66" s="429">
        <v>0</v>
      </c>
      <c r="AF66" s="429">
        <v>0</v>
      </c>
      <c r="AG66" s="388">
        <v>0</v>
      </c>
      <c r="AH66" s="388">
        <v>0</v>
      </c>
      <c r="AI66" s="388">
        <v>0</v>
      </c>
      <c r="AJ66" s="388">
        <v>0</v>
      </c>
      <c r="AK66" s="388">
        <v>0</v>
      </c>
      <c r="AL66" s="388">
        <v>0</v>
      </c>
      <c r="AM66" s="360">
        <f t="shared" si="0"/>
        <v>0</v>
      </c>
      <c r="AN66" s="362">
        <f>ERP_26[[#This Row],[2026 Working Total]]-ERP_26[[#This Row],[LE2 Final Submission]]</f>
        <v>0</v>
      </c>
      <c r="AO66" s="79">
        <v>0</v>
      </c>
      <c r="AP66" s="79">
        <f t="shared" si="1"/>
        <v>0</v>
      </c>
      <c r="AQ66" s="374">
        <f>SUM(ERP_26[[#This Row],[AP01]:[AP06]])-SUM(ERP_26[[#This Row],[AP01 LE2]:[AP06 LE2]])</f>
        <v>0</v>
      </c>
      <c r="AR66" s="80"/>
      <c r="AS66" s="79">
        <f>ERP_26[[#This Row],[2026 Working Total to Budget/LE]]-ERP_26[[#This Row],[Giveback]]</f>
        <v>0</v>
      </c>
      <c r="AT66" s="81"/>
      <c r="AU66" s="375"/>
      <c r="AV66" s="375"/>
      <c r="AW66" s="375"/>
      <c r="AX66" s="375">
        <v>0</v>
      </c>
      <c r="AY66" s="375">
        <v>0</v>
      </c>
      <c r="AZ66" s="375">
        <v>0</v>
      </c>
      <c r="BA66" s="375">
        <v>0</v>
      </c>
      <c r="BB66" s="375">
        <v>0</v>
      </c>
      <c r="BC66" s="375">
        <v>0</v>
      </c>
      <c r="BD66" s="375">
        <v>0</v>
      </c>
      <c r="BE66" s="375">
        <v>0</v>
      </c>
      <c r="BF66" s="375">
        <v>0</v>
      </c>
      <c r="BG66" s="375">
        <v>0</v>
      </c>
      <c r="BH66" s="103">
        <v>-783580.73</v>
      </c>
      <c r="BI66" s="103">
        <v>0</v>
      </c>
      <c r="BJ66" s="103">
        <v>0</v>
      </c>
      <c r="BK66" s="103">
        <v>0</v>
      </c>
      <c r="BL66" s="103">
        <v>0</v>
      </c>
      <c r="BM66" s="103">
        <v>0</v>
      </c>
      <c r="BN66" s="103">
        <v>0</v>
      </c>
      <c r="BO66" s="103">
        <v>0</v>
      </c>
      <c r="BP66" s="103">
        <v>0</v>
      </c>
      <c r="BQ66" s="103">
        <v>0</v>
      </c>
      <c r="BR66" s="103">
        <v>0</v>
      </c>
      <c r="BS66" s="103">
        <v>0</v>
      </c>
      <c r="BT66" s="79">
        <f>SUM(ERP_26[[#This Row],[2026 AP01]:[2026 AP12]])</f>
        <v>-783580.73</v>
      </c>
    </row>
    <row r="67" spans="1:72" ht="15" customHeight="1">
      <c r="A67" s="79" t="s">
        <v>1751</v>
      </c>
      <c r="B67" s="79"/>
      <c r="C67" s="79" t="s">
        <v>390</v>
      </c>
      <c r="D67" s="296" t="s">
        <v>1752</v>
      </c>
      <c r="E67" s="150" t="s">
        <v>1136</v>
      </c>
      <c r="F67" s="482" t="s">
        <v>1566</v>
      </c>
      <c r="G67" s="150" t="s">
        <v>1135</v>
      </c>
      <c r="H67" s="383" t="s">
        <v>1165</v>
      </c>
      <c r="I67" s="332" t="s">
        <v>1135</v>
      </c>
      <c r="J67" s="383" t="s">
        <v>1165</v>
      </c>
      <c r="K67" s="150" t="s">
        <v>1137</v>
      </c>
      <c r="L67" s="512" t="s">
        <v>389</v>
      </c>
      <c r="M67" s="393" t="s">
        <v>1753</v>
      </c>
      <c r="N67" s="343"/>
      <c r="O67" s="333"/>
      <c r="P67" s="91" t="s">
        <v>391</v>
      </c>
      <c r="Q67" s="347"/>
      <c r="R67" s="343"/>
      <c r="S67" s="348"/>
      <c r="T67" s="386" t="s">
        <v>152</v>
      </c>
      <c r="U67" s="387" t="s">
        <v>1754</v>
      </c>
      <c r="V67" s="432"/>
      <c r="W67" s="358">
        <v>183105</v>
      </c>
      <c r="X67" s="378">
        <v>0</v>
      </c>
      <c r="Y67" s="425"/>
      <c r="Z67" s="71"/>
      <c r="AA67" s="433"/>
      <c r="AB67" s="434"/>
      <c r="AC67" s="434"/>
      <c r="AD67" s="428" t="s">
        <v>1142</v>
      </c>
      <c r="AE67" s="429">
        <v>0</v>
      </c>
      <c r="AF67" s="429">
        <v>0</v>
      </c>
      <c r="AG67" s="388"/>
      <c r="AH67" s="388"/>
      <c r="AI67" s="388"/>
      <c r="AJ67" s="388"/>
      <c r="AK67" s="388"/>
      <c r="AL67" s="388"/>
      <c r="AM67" s="360">
        <f t="shared" si="0"/>
        <v>0</v>
      </c>
      <c r="AN67" s="362">
        <f>ERP_26[[#This Row],[2026 Working Total]]-ERP_26[[#This Row],[LE2 Final Submission]]</f>
        <v>0</v>
      </c>
      <c r="AO67" s="79">
        <v>16071</v>
      </c>
      <c r="AP67" s="79">
        <f t="shared" si="1"/>
        <v>-16071</v>
      </c>
      <c r="AQ67" s="374">
        <f>SUM(ERP_26[[#This Row],[AP01]:[AP06]])-SUM(ERP_26[[#This Row],[AP01 LE2]:[AP06 LE2]])</f>
        <v>0</v>
      </c>
      <c r="AR67" s="80">
        <v>-183105</v>
      </c>
      <c r="AS67" s="79">
        <f>ERP_26[[#This Row],[2026 Working Total to Budget/LE]]-ERP_26[[#This Row],[Giveback]]</f>
        <v>183105</v>
      </c>
      <c r="AT67" s="81" t="s">
        <v>1755</v>
      </c>
      <c r="AU67" s="375"/>
      <c r="AV67" s="375"/>
      <c r="AW67" s="375"/>
      <c r="AX67" s="375"/>
      <c r="AY67" s="375"/>
      <c r="AZ67" s="375"/>
      <c r="BA67" s="375"/>
      <c r="BB67" s="375"/>
      <c r="BC67" s="375"/>
      <c r="BD67" s="375"/>
      <c r="BE67" s="375"/>
      <c r="BF67" s="375"/>
      <c r="BG67" s="375">
        <v>0</v>
      </c>
      <c r="BH67" s="103">
        <v>15258.75</v>
      </c>
      <c r="BI67" s="103">
        <v>15258.75</v>
      </c>
      <c r="BJ67" s="103">
        <v>15258.75</v>
      </c>
      <c r="BK67" s="103">
        <v>15258.75</v>
      </c>
      <c r="BL67" s="103">
        <v>15258.75</v>
      </c>
      <c r="BM67" s="103">
        <v>15258.75</v>
      </c>
      <c r="BN67" s="103">
        <v>15258.75</v>
      </c>
      <c r="BO67" s="103">
        <v>15258.75</v>
      </c>
      <c r="BP67" s="103">
        <v>15258.75</v>
      </c>
      <c r="BQ67" s="103">
        <v>15258.75</v>
      </c>
      <c r="BR67" s="103">
        <v>15258.75</v>
      </c>
      <c r="BS67" s="103">
        <v>15258.75</v>
      </c>
      <c r="BT67" s="79">
        <f>SUM(ERP_26[[#This Row],[2026 AP01]:[2026 AP12]])</f>
        <v>183105</v>
      </c>
    </row>
    <row r="68" spans="1:72" ht="15" customHeight="1">
      <c r="A68" s="66" t="s">
        <v>1756</v>
      </c>
      <c r="B68" s="66"/>
      <c r="C68" s="66" t="s">
        <v>392</v>
      </c>
      <c r="D68" s="66" t="s">
        <v>1757</v>
      </c>
      <c r="E68" s="150" t="s">
        <v>1136</v>
      </c>
      <c r="F68" s="482" t="s">
        <v>1566</v>
      </c>
      <c r="G68" s="150" t="s">
        <v>1135</v>
      </c>
      <c r="H68" s="150" t="s">
        <v>1165</v>
      </c>
      <c r="I68" s="150" t="s">
        <v>1135</v>
      </c>
      <c r="J68" s="150" t="s">
        <v>1165</v>
      </c>
      <c r="K68" s="150" t="s">
        <v>1137</v>
      </c>
      <c r="L68" s="511" t="s">
        <v>389</v>
      </c>
      <c r="M68" s="392" t="s">
        <v>1758</v>
      </c>
      <c r="N68" s="343"/>
      <c r="O68" s="343"/>
      <c r="P68" s="70" t="s">
        <v>393</v>
      </c>
      <c r="Q68" s="346"/>
      <c r="R68" s="343"/>
      <c r="S68" s="346"/>
      <c r="T68" s="150" t="s">
        <v>152</v>
      </c>
      <c r="U68" s="150"/>
      <c r="V68" s="403"/>
      <c r="W68" s="406">
        <v>0</v>
      </c>
      <c r="X68" s="406">
        <v>112500</v>
      </c>
      <c r="Y68" s="425"/>
      <c r="Z68" s="71"/>
      <c r="AA68" s="426"/>
      <c r="AB68" s="427"/>
      <c r="AC68" s="427"/>
      <c r="AD68" s="428" t="s">
        <v>1142</v>
      </c>
      <c r="AE68" s="429">
        <v>0</v>
      </c>
      <c r="AF68" s="429">
        <v>0</v>
      </c>
      <c r="AG68" s="363">
        <v>19000</v>
      </c>
      <c r="AH68" s="363">
        <v>19000</v>
      </c>
      <c r="AI68" s="363">
        <v>19000</v>
      </c>
      <c r="AJ68" s="363">
        <v>18500</v>
      </c>
      <c r="AK68" s="363">
        <v>18500</v>
      </c>
      <c r="AL68" s="363">
        <v>18500</v>
      </c>
      <c r="AM68" s="360">
        <f t="shared" si="0"/>
        <v>112500</v>
      </c>
      <c r="AN68" s="362">
        <f>ERP_26[[#This Row],[2026 Working Total]]-ERP_26[[#This Row],[LE2 Final Submission]]</f>
        <v>0</v>
      </c>
      <c r="AO68" s="79">
        <v>0</v>
      </c>
      <c r="AP68" s="79">
        <f t="shared" si="1"/>
        <v>0</v>
      </c>
      <c r="AQ68" s="374">
        <f>SUM(ERP_26[[#This Row],[AP01]:[AP06]])-SUM(ERP_26[[#This Row],[AP01 LE2]:[AP06 LE2]])</f>
        <v>-37500</v>
      </c>
      <c r="AR68" s="80"/>
      <c r="AS68" s="79">
        <f>ERP_26[[#This Row],[2026 Working Total to Budget/LE]]-ERP_26[[#This Row],[Giveback]]</f>
        <v>0</v>
      </c>
      <c r="AT68" s="81"/>
      <c r="AU68" s="375"/>
      <c r="AV68" s="375"/>
      <c r="AW68" s="375"/>
      <c r="AX68" s="375">
        <v>12500</v>
      </c>
      <c r="AY68" s="375">
        <v>12500</v>
      </c>
      <c r="AZ68" s="375">
        <v>12500</v>
      </c>
      <c r="BA68" s="375">
        <v>12500</v>
      </c>
      <c r="BB68" s="375">
        <v>12500</v>
      </c>
      <c r="BC68" s="375">
        <v>12500</v>
      </c>
      <c r="BD68" s="375">
        <v>12500</v>
      </c>
      <c r="BE68" s="375">
        <v>12500</v>
      </c>
      <c r="BF68" s="375">
        <v>12500</v>
      </c>
      <c r="BG68" s="375">
        <v>112500</v>
      </c>
      <c r="BH68" s="79"/>
      <c r="BI68" s="79"/>
      <c r="BJ68" s="79"/>
      <c r="BK68" s="79">
        <v>12500</v>
      </c>
      <c r="BL68" s="79">
        <v>12500</v>
      </c>
      <c r="BM68" s="79">
        <v>12500</v>
      </c>
      <c r="BN68" s="79">
        <v>12500</v>
      </c>
      <c r="BO68" s="79">
        <v>12500</v>
      </c>
      <c r="BP68" s="79">
        <v>12500</v>
      </c>
      <c r="BQ68" s="79">
        <v>12500</v>
      </c>
      <c r="BR68" s="79">
        <v>12500</v>
      </c>
      <c r="BS68" s="79">
        <v>12500</v>
      </c>
      <c r="BT68" s="79">
        <v>112500</v>
      </c>
    </row>
    <row r="69" spans="1:72" ht="15" customHeight="1">
      <c r="A69" s="66" t="s">
        <v>1759</v>
      </c>
      <c r="B69" s="66"/>
      <c r="C69" s="66" t="s">
        <v>394</v>
      </c>
      <c r="D69" s="66" t="s">
        <v>1760</v>
      </c>
      <c r="E69" s="150" t="s">
        <v>1136</v>
      </c>
      <c r="F69" s="482" t="s">
        <v>1566</v>
      </c>
      <c r="G69" s="150" t="s">
        <v>1135</v>
      </c>
      <c r="H69" s="150" t="s">
        <v>1165</v>
      </c>
      <c r="I69" s="150" t="s">
        <v>1135</v>
      </c>
      <c r="J69" s="150" t="s">
        <v>1165</v>
      </c>
      <c r="K69" s="150" t="s">
        <v>1137</v>
      </c>
      <c r="L69" s="511" t="s">
        <v>389</v>
      </c>
      <c r="M69" s="392" t="s">
        <v>1761</v>
      </c>
      <c r="N69" s="343"/>
      <c r="O69" s="343"/>
      <c r="P69" s="70" t="s">
        <v>395</v>
      </c>
      <c r="Q69" s="346"/>
      <c r="R69" s="343"/>
      <c r="S69" s="346"/>
      <c r="T69" s="150" t="s">
        <v>152</v>
      </c>
      <c r="U69" s="150"/>
      <c r="V69" s="403"/>
      <c r="W69" s="406">
        <v>0</v>
      </c>
      <c r="X69" s="406">
        <v>90000</v>
      </c>
      <c r="Y69" s="425"/>
      <c r="Z69" s="71"/>
      <c r="AA69" s="426"/>
      <c r="AB69" s="427"/>
      <c r="AC69" s="427"/>
      <c r="AD69" s="428" t="s">
        <v>1142</v>
      </c>
      <c r="AE69" s="429">
        <v>0</v>
      </c>
      <c r="AF69" s="429">
        <v>0</v>
      </c>
      <c r="AG69" s="363">
        <v>15000</v>
      </c>
      <c r="AH69" s="363">
        <v>15000</v>
      </c>
      <c r="AI69" s="363">
        <v>15000</v>
      </c>
      <c r="AJ69" s="363">
        <v>15000</v>
      </c>
      <c r="AK69" s="363">
        <v>15000</v>
      </c>
      <c r="AL69" s="363">
        <v>15000</v>
      </c>
      <c r="AM69" s="360">
        <f t="shared" si="0"/>
        <v>90000</v>
      </c>
      <c r="AN69" s="362">
        <f>ERP_26[[#This Row],[2026 Working Total]]-ERP_26[[#This Row],[LE2 Final Submission]]</f>
        <v>0</v>
      </c>
      <c r="AO69" s="79">
        <v>3190</v>
      </c>
      <c r="AP69" s="79">
        <f t="shared" si="1"/>
        <v>-3190</v>
      </c>
      <c r="AQ69" s="374">
        <f>SUM(ERP_26[[#This Row],[AP01]:[AP06]])-SUM(ERP_26[[#This Row],[AP01 LE2]:[AP06 LE2]])</f>
        <v>-30000</v>
      </c>
      <c r="AR69" s="80"/>
      <c r="AS69" s="79">
        <f>ERP_26[[#This Row],[2026 Working Total to Budget/LE]]-ERP_26[[#This Row],[Giveback]]</f>
        <v>0</v>
      </c>
      <c r="AT69" s="81"/>
      <c r="AU69" s="375"/>
      <c r="AV69" s="375"/>
      <c r="AW69" s="375"/>
      <c r="AX69" s="375">
        <v>10000</v>
      </c>
      <c r="AY69" s="375">
        <v>10000</v>
      </c>
      <c r="AZ69" s="375">
        <v>10000</v>
      </c>
      <c r="BA69" s="375">
        <v>10000</v>
      </c>
      <c r="BB69" s="375">
        <v>10000</v>
      </c>
      <c r="BC69" s="375">
        <v>10000</v>
      </c>
      <c r="BD69" s="375">
        <v>10000</v>
      </c>
      <c r="BE69" s="375">
        <v>10000</v>
      </c>
      <c r="BF69" s="375">
        <v>10000</v>
      </c>
      <c r="BG69" s="375">
        <v>90000</v>
      </c>
      <c r="BH69" s="79"/>
      <c r="BI69" s="79"/>
      <c r="BJ69" s="79"/>
      <c r="BK69" s="79">
        <v>10000</v>
      </c>
      <c r="BL69" s="79">
        <v>10000</v>
      </c>
      <c r="BM69" s="79">
        <v>10000</v>
      </c>
      <c r="BN69" s="79">
        <v>10000</v>
      </c>
      <c r="BO69" s="79">
        <v>10000</v>
      </c>
      <c r="BP69" s="79">
        <v>10000</v>
      </c>
      <c r="BQ69" s="79">
        <v>10000</v>
      </c>
      <c r="BR69" s="79">
        <v>10000</v>
      </c>
      <c r="BS69" s="79">
        <v>10000</v>
      </c>
      <c r="BT69" s="79">
        <v>90000</v>
      </c>
    </row>
    <row r="70" spans="1:72" ht="15" customHeight="1">
      <c r="A70" s="66" t="s">
        <v>1763</v>
      </c>
      <c r="B70" s="66"/>
      <c r="C70" s="66" t="s">
        <v>396</v>
      </c>
      <c r="D70" s="66" t="s">
        <v>1764</v>
      </c>
      <c r="E70" s="150" t="s">
        <v>1136</v>
      </c>
      <c r="F70" s="482" t="s">
        <v>1566</v>
      </c>
      <c r="G70" s="150" t="s">
        <v>1135</v>
      </c>
      <c r="H70" s="150" t="s">
        <v>1165</v>
      </c>
      <c r="I70" s="150" t="s">
        <v>1135</v>
      </c>
      <c r="J70" s="150" t="s">
        <v>1165</v>
      </c>
      <c r="K70" s="150" t="s">
        <v>1137</v>
      </c>
      <c r="L70" s="511" t="s">
        <v>389</v>
      </c>
      <c r="M70" s="392" t="s">
        <v>1765</v>
      </c>
      <c r="N70" s="343"/>
      <c r="O70" s="343"/>
      <c r="P70" s="70" t="s">
        <v>397</v>
      </c>
      <c r="Q70" s="346"/>
      <c r="R70" s="343"/>
      <c r="S70" s="346"/>
      <c r="T70" s="150" t="s">
        <v>398</v>
      </c>
      <c r="U70" s="150"/>
      <c r="V70" s="403"/>
      <c r="W70" s="406">
        <v>0</v>
      </c>
      <c r="X70" s="406">
        <v>56250</v>
      </c>
      <c r="Y70" s="425"/>
      <c r="Z70" s="71"/>
      <c r="AA70" s="426"/>
      <c r="AB70" s="427"/>
      <c r="AC70" s="427"/>
      <c r="AD70" s="428" t="s">
        <v>1142</v>
      </c>
      <c r="AE70" s="429">
        <v>0</v>
      </c>
      <c r="AF70" s="429">
        <v>0</v>
      </c>
      <c r="AG70" s="363">
        <v>9500</v>
      </c>
      <c r="AH70" s="363">
        <v>9250</v>
      </c>
      <c r="AI70" s="363">
        <v>9500</v>
      </c>
      <c r="AJ70" s="363">
        <v>9250</v>
      </c>
      <c r="AK70" s="363">
        <v>9500</v>
      </c>
      <c r="AL70" s="363">
        <v>9250</v>
      </c>
      <c r="AM70" s="360">
        <f t="shared" si="0"/>
        <v>56250</v>
      </c>
      <c r="AN70" s="362">
        <f>ERP_26[[#This Row],[2026 Working Total]]-ERP_26[[#This Row],[LE2 Final Submission]]</f>
        <v>0</v>
      </c>
      <c r="AO70" s="79">
        <v>12602</v>
      </c>
      <c r="AP70" s="79">
        <f t="shared" si="1"/>
        <v>-12602</v>
      </c>
      <c r="AQ70" s="374">
        <f>SUM(ERP_26[[#This Row],[AP01]:[AP06]])-SUM(ERP_26[[#This Row],[AP01 LE2]:[AP06 LE2]])</f>
        <v>-18750</v>
      </c>
      <c r="AR70" s="80"/>
      <c r="AS70" s="79">
        <f>ERP_26[[#This Row],[2026 Working Total to Budget/LE]]-ERP_26[[#This Row],[Giveback]]</f>
        <v>0</v>
      </c>
      <c r="AT70" s="81"/>
      <c r="AU70" s="375"/>
      <c r="AV70" s="375"/>
      <c r="AW70" s="375"/>
      <c r="AX70" s="375">
        <v>6250</v>
      </c>
      <c r="AY70" s="375">
        <v>6250</v>
      </c>
      <c r="AZ70" s="375">
        <v>6250</v>
      </c>
      <c r="BA70" s="375">
        <v>6250</v>
      </c>
      <c r="BB70" s="375">
        <v>6250</v>
      </c>
      <c r="BC70" s="375">
        <v>6250</v>
      </c>
      <c r="BD70" s="375">
        <v>6250</v>
      </c>
      <c r="BE70" s="375">
        <v>6250</v>
      </c>
      <c r="BF70" s="375">
        <v>6250</v>
      </c>
      <c r="BG70" s="375">
        <v>56250</v>
      </c>
      <c r="BH70" s="79"/>
      <c r="BI70" s="79"/>
      <c r="BJ70" s="79"/>
      <c r="BK70" s="79">
        <v>6250</v>
      </c>
      <c r="BL70" s="79">
        <v>6250</v>
      </c>
      <c r="BM70" s="79">
        <v>6250</v>
      </c>
      <c r="BN70" s="79">
        <v>6250</v>
      </c>
      <c r="BO70" s="79">
        <v>6250</v>
      </c>
      <c r="BP70" s="79">
        <v>6250</v>
      </c>
      <c r="BQ70" s="79">
        <v>6250</v>
      </c>
      <c r="BR70" s="79">
        <v>6250</v>
      </c>
      <c r="BS70" s="79">
        <v>6250</v>
      </c>
      <c r="BT70" s="79">
        <v>56250</v>
      </c>
    </row>
    <row r="71" spans="1:72" ht="15" customHeight="1">
      <c r="A71" s="150" t="s">
        <v>1767</v>
      </c>
      <c r="B71" s="150"/>
      <c r="C71" s="536" t="s">
        <v>399</v>
      </c>
      <c r="D71" s="296" t="s">
        <v>1768</v>
      </c>
      <c r="E71" s="150" t="s">
        <v>1136</v>
      </c>
      <c r="F71" s="482" t="s">
        <v>1566</v>
      </c>
      <c r="G71" s="150" t="s">
        <v>1135</v>
      </c>
      <c r="H71" s="383" t="s">
        <v>1145</v>
      </c>
      <c r="I71" s="332" t="s">
        <v>1135</v>
      </c>
      <c r="J71" s="383" t="s">
        <v>1145</v>
      </c>
      <c r="K71" s="383" t="s">
        <v>1145</v>
      </c>
      <c r="L71" s="514" t="s">
        <v>389</v>
      </c>
      <c r="M71" s="394" t="s">
        <v>1769</v>
      </c>
      <c r="N71" s="333"/>
      <c r="O71" s="332" t="s">
        <v>1186</v>
      </c>
      <c r="P71" s="90" t="s">
        <v>400</v>
      </c>
      <c r="Q71" s="347"/>
      <c r="R71" s="347"/>
      <c r="S71" s="348"/>
      <c r="T71" s="348"/>
      <c r="U71" s="348"/>
      <c r="V71" s="402"/>
      <c r="W71" s="406"/>
      <c r="X71" s="406"/>
      <c r="Y71" s="425"/>
      <c r="Z71" s="71"/>
      <c r="AA71" s="435"/>
      <c r="AB71" s="436"/>
      <c r="AC71" s="436"/>
      <c r="AD71" s="429">
        <v>19</v>
      </c>
      <c r="AE71" s="429">
        <v>0</v>
      </c>
      <c r="AF71" s="429">
        <v>0</v>
      </c>
      <c r="AG71" s="364"/>
      <c r="AH71" s="364"/>
      <c r="AI71" s="364"/>
      <c r="AJ71" s="364"/>
      <c r="AK71" s="364"/>
      <c r="AL71" s="364"/>
      <c r="AM71" s="360">
        <f t="shared" si="0"/>
        <v>19</v>
      </c>
      <c r="AN71" s="362">
        <f>ERP_26[[#This Row],[2026 Working Total]]-ERP_26[[#This Row],[LE2 Final Submission]]</f>
        <v>19</v>
      </c>
      <c r="AO71" s="79">
        <v>0</v>
      </c>
      <c r="AP71" s="79">
        <f t="shared" si="1"/>
        <v>0</v>
      </c>
      <c r="AQ71" s="374">
        <f>SUM(ERP_26[[#This Row],[AP01]:[AP06]])-SUM(ERP_26[[#This Row],[AP01 LE2]:[AP06 LE2]])</f>
        <v>19</v>
      </c>
      <c r="AR71" s="80"/>
      <c r="AS71" s="79">
        <f>ERP_26[[#This Row],[2026 Working Total to Budget/LE]]-ERP_26[[#This Row],[Giveback]]</f>
        <v>19</v>
      </c>
      <c r="AT71" s="81"/>
      <c r="AU71" s="375"/>
      <c r="AV71" s="375"/>
      <c r="AW71" s="375"/>
      <c r="AX71" s="375"/>
      <c r="AY71" s="375"/>
      <c r="AZ71" s="375"/>
      <c r="BA71" s="375"/>
      <c r="BB71" s="375"/>
      <c r="BC71" s="375"/>
      <c r="BD71" s="375"/>
      <c r="BE71" s="375"/>
      <c r="BF71" s="375"/>
      <c r="BG71" s="375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</row>
    <row r="72" spans="1:72" ht="15" customHeight="1">
      <c r="A72" s="150" t="s">
        <v>1770</v>
      </c>
      <c r="B72" s="150"/>
      <c r="C72" s="536" t="s">
        <v>401</v>
      </c>
      <c r="D72" s="296" t="s">
        <v>1771</v>
      </c>
      <c r="E72" s="150" t="s">
        <v>1136</v>
      </c>
      <c r="F72" s="482" t="s">
        <v>1566</v>
      </c>
      <c r="G72" s="150" t="s">
        <v>1135</v>
      </c>
      <c r="H72" s="383" t="s">
        <v>1145</v>
      </c>
      <c r="I72" s="332" t="s">
        <v>1135</v>
      </c>
      <c r="J72" s="383" t="s">
        <v>1145</v>
      </c>
      <c r="K72" s="383" t="s">
        <v>1145</v>
      </c>
      <c r="L72" s="514" t="s">
        <v>389</v>
      </c>
      <c r="M72" s="394" t="s">
        <v>1772</v>
      </c>
      <c r="N72" s="333"/>
      <c r="O72" s="332" t="s">
        <v>1186</v>
      </c>
      <c r="P72" s="90" t="s">
        <v>402</v>
      </c>
      <c r="Q72" s="347"/>
      <c r="R72" s="347"/>
      <c r="S72" s="348"/>
      <c r="T72" s="348"/>
      <c r="U72" s="348"/>
      <c r="V72" s="402"/>
      <c r="W72" s="406"/>
      <c r="X72" s="406"/>
      <c r="Y72" s="425"/>
      <c r="Z72" s="71"/>
      <c r="AA72" s="435"/>
      <c r="AB72" s="436"/>
      <c r="AC72" s="436"/>
      <c r="AD72" s="429">
        <v>190</v>
      </c>
      <c r="AE72" s="429">
        <v>0</v>
      </c>
      <c r="AF72" s="429">
        <v>0</v>
      </c>
      <c r="AG72" s="364"/>
      <c r="AH72" s="364"/>
      <c r="AI72" s="364"/>
      <c r="AJ72" s="364"/>
      <c r="AK72" s="364"/>
      <c r="AL72" s="364"/>
      <c r="AM72" s="360">
        <f t="shared" ref="AM72:AM135" si="3">SUM(AA72:AL72)</f>
        <v>190</v>
      </c>
      <c r="AN72" s="362">
        <f>ERP_26[[#This Row],[2026 Working Total]]-ERP_26[[#This Row],[LE2 Final Submission]]</f>
        <v>190</v>
      </c>
      <c r="AO72" s="79"/>
      <c r="AP72" s="79">
        <f t="shared" ref="AP72:AP135" si="4">$AF72 - $AO72</f>
        <v>0</v>
      </c>
      <c r="AQ72" s="374">
        <f>SUM(ERP_26[[#This Row],[AP01]:[AP06]])-SUM(ERP_26[[#This Row],[AP01 LE2]:[AP06 LE2]])</f>
        <v>190</v>
      </c>
      <c r="AR72" s="80"/>
      <c r="AS72" s="79">
        <f>ERP_26[[#This Row],[2026 Working Total to Budget/LE]]-ERP_26[[#This Row],[Giveback]]</f>
        <v>190</v>
      </c>
      <c r="AT72" s="81"/>
      <c r="AU72" s="375"/>
      <c r="AV72" s="375"/>
      <c r="AW72" s="375"/>
      <c r="AX72" s="375"/>
      <c r="AY72" s="375"/>
      <c r="AZ72" s="375"/>
      <c r="BA72" s="375"/>
      <c r="BB72" s="375"/>
      <c r="BC72" s="375"/>
      <c r="BD72" s="375"/>
      <c r="BE72" s="375"/>
      <c r="BF72" s="375"/>
      <c r="BG72" s="375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</row>
    <row r="73" spans="1:72" ht="15" customHeight="1">
      <c r="A73" s="66" t="s">
        <v>1773</v>
      </c>
      <c r="B73" s="66"/>
      <c r="C73" s="66" t="s">
        <v>2934</v>
      </c>
      <c r="D73" s="66" t="s">
        <v>1774</v>
      </c>
      <c r="E73" s="150" t="s">
        <v>1136</v>
      </c>
      <c r="F73" s="482" t="s">
        <v>1566</v>
      </c>
      <c r="G73" s="150" t="s">
        <v>1135</v>
      </c>
      <c r="H73" s="150" t="s">
        <v>1135</v>
      </c>
      <c r="I73" s="150" t="s">
        <v>1135</v>
      </c>
      <c r="J73" s="150" t="s">
        <v>1137</v>
      </c>
      <c r="K73" s="150" t="s">
        <v>1137</v>
      </c>
      <c r="L73" s="511" t="s">
        <v>389</v>
      </c>
      <c r="M73" s="392" t="s">
        <v>1775</v>
      </c>
      <c r="N73" s="343"/>
      <c r="O73" s="343"/>
      <c r="P73" s="70" t="s">
        <v>404</v>
      </c>
      <c r="Q73" s="346"/>
      <c r="R73" s="346" t="s">
        <v>1140</v>
      </c>
      <c r="S73" s="346"/>
      <c r="T73" s="150" t="s">
        <v>405</v>
      </c>
      <c r="U73" s="1" t="s">
        <v>1141</v>
      </c>
      <c r="V73" s="404"/>
      <c r="W73" s="407">
        <v>0</v>
      </c>
      <c r="X73" s="407">
        <v>0</v>
      </c>
      <c r="Y73" s="430"/>
      <c r="Z73" s="137"/>
      <c r="AA73" s="426"/>
      <c r="AB73" s="431">
        <v>0</v>
      </c>
      <c r="AC73" s="431">
        <v>0</v>
      </c>
      <c r="AD73" s="428">
        <v>-1732.97</v>
      </c>
      <c r="AE73" s="429">
        <v>0</v>
      </c>
      <c r="AF73" s="429">
        <v>0</v>
      </c>
      <c r="AG73" s="360">
        <v>0</v>
      </c>
      <c r="AH73" s="360">
        <v>0</v>
      </c>
      <c r="AI73" s="360">
        <v>0</v>
      </c>
      <c r="AJ73" s="360">
        <v>0</v>
      </c>
      <c r="AK73" s="360">
        <v>0</v>
      </c>
      <c r="AL73" s="360">
        <v>0</v>
      </c>
      <c r="AM73" s="360">
        <f t="shared" si="3"/>
        <v>-1732.97</v>
      </c>
      <c r="AN73" s="362">
        <f>ERP_26[[#This Row],[2026 Working Total]]-ERP_26[[#This Row],[LE2 Final Submission]]</f>
        <v>-1732.97</v>
      </c>
      <c r="AO73" s="79">
        <v>0</v>
      </c>
      <c r="AP73" s="79">
        <f t="shared" si="4"/>
        <v>0</v>
      </c>
      <c r="AQ73" s="374">
        <f>SUM(ERP_26[[#This Row],[AP01]:[AP06]])-SUM(ERP_26[[#This Row],[AP01 LE2]:[AP06 LE2]])</f>
        <v>-1732.97</v>
      </c>
      <c r="AR73" s="80"/>
      <c r="AS73" s="79">
        <f>ERP_26[[#This Row],[2026 Working Total to Budget/LE]]-ERP_26[[#This Row],[Giveback]]</f>
        <v>-1732.97</v>
      </c>
      <c r="AT73" s="81"/>
      <c r="AU73" s="375"/>
      <c r="AV73" s="375">
        <v>0</v>
      </c>
      <c r="AW73" s="375">
        <v>0</v>
      </c>
      <c r="AX73" s="375">
        <v>0</v>
      </c>
      <c r="AY73" s="375">
        <v>0</v>
      </c>
      <c r="AZ73" s="375">
        <v>0</v>
      </c>
      <c r="BA73" s="375">
        <v>0</v>
      </c>
      <c r="BB73" s="375">
        <v>0</v>
      </c>
      <c r="BC73" s="375">
        <v>0</v>
      </c>
      <c r="BD73" s="375">
        <v>0</v>
      </c>
      <c r="BE73" s="375">
        <v>0</v>
      </c>
      <c r="BF73" s="375">
        <v>0</v>
      </c>
      <c r="BG73" s="375">
        <v>0</v>
      </c>
      <c r="BH73" s="79"/>
      <c r="BI73" s="79">
        <v>0</v>
      </c>
      <c r="BJ73" s="79">
        <v>0</v>
      </c>
      <c r="BK73" s="79">
        <v>0</v>
      </c>
      <c r="BL73" s="79">
        <v>0</v>
      </c>
      <c r="BM73" s="79">
        <v>0</v>
      </c>
      <c r="BN73" s="79">
        <v>0</v>
      </c>
      <c r="BO73" s="79">
        <v>0</v>
      </c>
      <c r="BP73" s="79">
        <v>0</v>
      </c>
      <c r="BQ73" s="79">
        <v>0</v>
      </c>
      <c r="BR73" s="79">
        <v>0</v>
      </c>
      <c r="BS73" s="79">
        <v>0</v>
      </c>
      <c r="BT73" s="79">
        <v>0</v>
      </c>
    </row>
    <row r="74" spans="1:72" ht="15" customHeight="1">
      <c r="A74" s="79" t="s">
        <v>1777</v>
      </c>
      <c r="B74" s="79"/>
      <c r="C74" s="79" t="s">
        <v>406</v>
      </c>
      <c r="D74" s="296" t="s">
        <v>406</v>
      </c>
      <c r="E74" s="150" t="s">
        <v>1136</v>
      </c>
      <c r="F74" s="482" t="s">
        <v>1566</v>
      </c>
      <c r="G74" s="150" t="s">
        <v>1135</v>
      </c>
      <c r="H74" s="150" t="s">
        <v>1135</v>
      </c>
      <c r="I74" s="332" t="s">
        <v>1135</v>
      </c>
      <c r="J74" s="382" t="s">
        <v>1135</v>
      </c>
      <c r="K74" s="331" t="s">
        <v>1137</v>
      </c>
      <c r="L74" s="512" t="s">
        <v>389</v>
      </c>
      <c r="M74" s="394" t="s">
        <v>1778</v>
      </c>
      <c r="N74" s="343"/>
      <c r="O74" s="331"/>
      <c r="P74" s="122" t="s">
        <v>407</v>
      </c>
      <c r="Q74" s="343"/>
      <c r="R74" s="346" t="s">
        <v>1140</v>
      </c>
      <c r="S74" s="348"/>
      <c r="T74" s="384" t="s">
        <v>408</v>
      </c>
      <c r="U74" s="387" t="s">
        <v>1779</v>
      </c>
      <c r="V74" s="432"/>
      <c r="W74" s="358">
        <v>-21666.659999999996</v>
      </c>
      <c r="X74" s="378">
        <v>-15000</v>
      </c>
      <c r="Y74" s="430"/>
      <c r="Z74" s="137"/>
      <c r="AA74" s="433"/>
      <c r="AB74" s="434"/>
      <c r="AC74" s="434"/>
      <c r="AD74" s="428" t="s">
        <v>1142</v>
      </c>
      <c r="AE74" s="429">
        <v>0</v>
      </c>
      <c r="AF74" s="429">
        <v>0</v>
      </c>
      <c r="AG74" s="388">
        <v>-1666.67</v>
      </c>
      <c r="AH74" s="388">
        <v>-1666.67</v>
      </c>
      <c r="AI74" s="388">
        <v>-1666.67</v>
      </c>
      <c r="AJ74" s="388">
        <v>0</v>
      </c>
      <c r="AK74" s="388">
        <v>0</v>
      </c>
      <c r="AL74" s="388">
        <v>0</v>
      </c>
      <c r="AM74" s="360">
        <f t="shared" si="3"/>
        <v>-5000.01</v>
      </c>
      <c r="AN74" s="362">
        <f>ERP_26[[#This Row],[2026 Working Total]]-ERP_26[[#This Row],[LE2 Final Submission]]</f>
        <v>9999.99</v>
      </c>
      <c r="AO74" s="79">
        <v>0</v>
      </c>
      <c r="AP74" s="79">
        <f t="shared" si="4"/>
        <v>0</v>
      </c>
      <c r="AQ74" s="374">
        <f>SUM(ERP_26[[#This Row],[AP01]:[AP06]])-SUM(ERP_26[[#This Row],[AP01 LE2]:[AP06 LE2]])</f>
        <v>9999.99</v>
      </c>
      <c r="AR74" s="80"/>
      <c r="AS74" s="79">
        <f>ERP_26[[#This Row],[2026 Working Total to Budget/LE]]-ERP_26[[#This Row],[Giveback]]</f>
        <v>9999.99</v>
      </c>
      <c r="AT74" s="81"/>
      <c r="AU74" s="375"/>
      <c r="AV74" s="375"/>
      <c r="AW74" s="375"/>
      <c r="AX74" s="375">
        <v>-3333.33</v>
      </c>
      <c r="AY74" s="375">
        <v>-3333.33</v>
      </c>
      <c r="AZ74" s="375">
        <v>-3333.33</v>
      </c>
      <c r="BA74" s="375">
        <v>-1666.67</v>
      </c>
      <c r="BB74" s="375">
        <v>-1666.67</v>
      </c>
      <c r="BC74" s="375">
        <v>-1666.67</v>
      </c>
      <c r="BD74" s="375">
        <v>0</v>
      </c>
      <c r="BE74" s="375">
        <v>0</v>
      </c>
      <c r="BF74" s="375">
        <v>0</v>
      </c>
      <c r="BG74" s="375">
        <v>-15000</v>
      </c>
      <c r="BH74" s="103">
        <v>0</v>
      </c>
      <c r="BI74" s="103">
        <v>-3333.33</v>
      </c>
      <c r="BJ74" s="103">
        <v>-3333.33</v>
      </c>
      <c r="BK74" s="103">
        <v>-3333.33</v>
      </c>
      <c r="BL74" s="103">
        <v>-3333.33</v>
      </c>
      <c r="BM74" s="103">
        <v>-3333.33</v>
      </c>
      <c r="BN74" s="103">
        <v>-1666.67</v>
      </c>
      <c r="BO74" s="103">
        <v>-1666.67</v>
      </c>
      <c r="BP74" s="103">
        <v>-1666.67</v>
      </c>
      <c r="BQ74" s="103">
        <v>0</v>
      </c>
      <c r="BR74" s="103">
        <v>0</v>
      </c>
      <c r="BS74" s="103">
        <v>0</v>
      </c>
      <c r="BT74" s="79">
        <f>SUM(ERP_26[[#This Row],[2026 AP01]:[2026 AP12]])</f>
        <v>-21666.659999999996</v>
      </c>
    </row>
    <row r="75" spans="1:72" ht="15" customHeight="1">
      <c r="A75" s="66" t="s">
        <v>1780</v>
      </c>
      <c r="B75" s="66"/>
      <c r="C75" s="66" t="s">
        <v>2938</v>
      </c>
      <c r="D75" s="66" t="s">
        <v>1781</v>
      </c>
      <c r="E75" s="150" t="s">
        <v>1136</v>
      </c>
      <c r="F75" s="482" t="s">
        <v>1566</v>
      </c>
      <c r="G75" s="150" t="s">
        <v>1135</v>
      </c>
      <c r="H75" s="150" t="s">
        <v>1135</v>
      </c>
      <c r="I75" s="150" t="s">
        <v>1135</v>
      </c>
      <c r="J75" s="150" t="s">
        <v>1137</v>
      </c>
      <c r="K75" s="150" t="s">
        <v>1137</v>
      </c>
      <c r="L75" s="511" t="s">
        <v>389</v>
      </c>
      <c r="M75" s="392" t="s">
        <v>1685</v>
      </c>
      <c r="N75" s="343"/>
      <c r="O75" s="343"/>
      <c r="P75" s="70" t="s">
        <v>350</v>
      </c>
      <c r="Q75" s="346" t="s">
        <v>1139</v>
      </c>
      <c r="R75" s="346" t="s">
        <v>1140</v>
      </c>
      <c r="S75" s="346"/>
      <c r="T75" s="150" t="s">
        <v>25</v>
      </c>
      <c r="U75" s="1" t="s">
        <v>1141</v>
      </c>
      <c r="V75" s="403"/>
      <c r="W75" s="406">
        <v>0</v>
      </c>
      <c r="X75" s="406">
        <v>-108.52</v>
      </c>
      <c r="Y75" s="425"/>
      <c r="Z75" s="71"/>
      <c r="AA75" s="426"/>
      <c r="AB75" s="427">
        <v>-108.52</v>
      </c>
      <c r="AC75" s="431">
        <v>0</v>
      </c>
      <c r="AD75" s="428">
        <v>0</v>
      </c>
      <c r="AE75" s="429">
        <v>0</v>
      </c>
      <c r="AF75" s="429">
        <v>0</v>
      </c>
      <c r="AG75" s="360">
        <v>0</v>
      </c>
      <c r="AH75" s="360">
        <v>0</v>
      </c>
      <c r="AI75" s="360">
        <v>0</v>
      </c>
      <c r="AJ75" s="360">
        <v>0</v>
      </c>
      <c r="AK75" s="360">
        <v>0</v>
      </c>
      <c r="AL75" s="360">
        <v>0</v>
      </c>
      <c r="AM75" s="360">
        <f t="shared" si="3"/>
        <v>-108.52</v>
      </c>
      <c r="AN75" s="362">
        <f>ERP_26[[#This Row],[2026 Working Total]]-ERP_26[[#This Row],[LE2 Final Submission]]</f>
        <v>0</v>
      </c>
      <c r="AO75" s="79">
        <v>0</v>
      </c>
      <c r="AP75" s="79">
        <f t="shared" si="4"/>
        <v>0</v>
      </c>
      <c r="AQ75" s="374">
        <f>SUM(ERP_26[[#This Row],[AP01]:[AP06]])-SUM(ERP_26[[#This Row],[AP01 LE2]:[AP06 LE2]])</f>
        <v>0</v>
      </c>
      <c r="AR75" s="80"/>
      <c r="AS75" s="79">
        <f>ERP_26[[#This Row],[2026 Working Total to Budget/LE]]-ERP_26[[#This Row],[Giveback]]</f>
        <v>0</v>
      </c>
      <c r="AT75" s="81"/>
      <c r="AU75" s="375"/>
      <c r="AV75" s="375">
        <v>-108.52</v>
      </c>
      <c r="AW75" s="375">
        <v>0</v>
      </c>
      <c r="AX75" s="375">
        <v>0</v>
      </c>
      <c r="AY75" s="375">
        <v>0</v>
      </c>
      <c r="AZ75" s="375">
        <v>0</v>
      </c>
      <c r="BA75" s="375">
        <v>0</v>
      </c>
      <c r="BB75" s="375">
        <v>0</v>
      </c>
      <c r="BC75" s="375">
        <v>0</v>
      </c>
      <c r="BD75" s="375">
        <v>0</v>
      </c>
      <c r="BE75" s="375">
        <v>0</v>
      </c>
      <c r="BF75" s="375">
        <v>0</v>
      </c>
      <c r="BG75" s="375">
        <v>-108.52</v>
      </c>
      <c r="BH75" s="79"/>
      <c r="BI75" s="79">
        <v>-108.52</v>
      </c>
      <c r="BJ75" s="79">
        <v>0</v>
      </c>
      <c r="BK75" s="79">
        <v>0</v>
      </c>
      <c r="BL75" s="79">
        <v>0</v>
      </c>
      <c r="BM75" s="79">
        <v>0</v>
      </c>
      <c r="BN75" s="79">
        <v>0</v>
      </c>
      <c r="BO75" s="79">
        <v>0</v>
      </c>
      <c r="BP75" s="79">
        <v>0</v>
      </c>
      <c r="BQ75" s="79">
        <v>0</v>
      </c>
      <c r="BR75" s="79">
        <v>0</v>
      </c>
      <c r="BS75" s="79">
        <v>0</v>
      </c>
      <c r="BT75" s="79">
        <v>-108.52</v>
      </c>
    </row>
    <row r="76" spans="1:72" ht="15" customHeight="1">
      <c r="A76" s="79" t="s">
        <v>1782</v>
      </c>
      <c r="B76" s="79"/>
      <c r="C76" s="79" t="s">
        <v>410</v>
      </c>
      <c r="D76" s="296" t="s">
        <v>1783</v>
      </c>
      <c r="E76" s="150" t="s">
        <v>1136</v>
      </c>
      <c r="F76" s="482" t="s">
        <v>1566</v>
      </c>
      <c r="G76" s="150" t="s">
        <v>1135</v>
      </c>
      <c r="H76" s="332" t="s">
        <v>1165</v>
      </c>
      <c r="I76" s="332" t="s">
        <v>1135</v>
      </c>
      <c r="J76" s="332" t="s">
        <v>1165</v>
      </c>
      <c r="K76" s="333" t="s">
        <v>1165</v>
      </c>
      <c r="L76" s="514" t="s">
        <v>389</v>
      </c>
      <c r="M76" s="394"/>
      <c r="N76" s="333"/>
      <c r="O76" s="333"/>
      <c r="P76" s="90" t="s">
        <v>411</v>
      </c>
      <c r="Q76" s="347"/>
      <c r="R76" s="347"/>
      <c r="S76" s="348"/>
      <c r="T76" s="348"/>
      <c r="U76" s="348"/>
      <c r="V76" s="402"/>
      <c r="W76" s="358"/>
      <c r="X76" s="379"/>
      <c r="Y76" s="425"/>
      <c r="Z76" s="71"/>
      <c r="AA76" s="435"/>
      <c r="AB76" s="436"/>
      <c r="AC76" s="436"/>
      <c r="AD76" s="429"/>
      <c r="AE76" s="429"/>
      <c r="AF76" s="429">
        <v>-269.45</v>
      </c>
      <c r="AG76" s="364"/>
      <c r="AH76" s="364"/>
      <c r="AI76" s="364"/>
      <c r="AJ76" s="364"/>
      <c r="AK76" s="364"/>
      <c r="AL76" s="364"/>
      <c r="AM76" s="360">
        <f t="shared" si="3"/>
        <v>-269.45</v>
      </c>
      <c r="AN76" s="362">
        <f>ERP_26[[#This Row],[2026 Working Total]]-ERP_26[[#This Row],[LE2 Final Submission]]</f>
        <v>-269.45</v>
      </c>
      <c r="AO76" s="79"/>
      <c r="AP76" s="79">
        <f t="shared" si="4"/>
        <v>-269.45</v>
      </c>
      <c r="AQ76" s="391">
        <f>SUM(ERP_26[[#This Row],[AP01]:[AP06]])-SUM(ERP_26[[#This Row],[AP01 LE2]:[AP06 LE2]])</f>
        <v>-269.45</v>
      </c>
      <c r="AR76" s="80"/>
      <c r="AS76" s="79">
        <f>ERP_26[[#This Row],[2026 Working Total to Budget/LE]]-ERP_26[[#This Row],[Giveback]]</f>
        <v>-269.45</v>
      </c>
      <c r="AT76" s="81"/>
      <c r="AU76" s="375"/>
      <c r="AV76" s="375"/>
      <c r="AW76" s="375"/>
      <c r="AX76" s="375"/>
      <c r="AY76" s="375"/>
      <c r="AZ76" s="375"/>
      <c r="BA76" s="375"/>
      <c r="BB76" s="375"/>
      <c r="BC76" s="375"/>
      <c r="BD76" s="375"/>
      <c r="BE76" s="375"/>
      <c r="BF76" s="375"/>
      <c r="BG76" s="375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</row>
    <row r="77" spans="1:72" ht="15" customHeight="1">
      <c r="A77" s="66" t="s">
        <v>1784</v>
      </c>
      <c r="B77" s="66"/>
      <c r="C77" s="66" t="s">
        <v>2925</v>
      </c>
      <c r="D77" s="66" t="s">
        <v>1785</v>
      </c>
      <c r="E77" s="150" t="s">
        <v>1136</v>
      </c>
      <c r="F77" s="482" t="s">
        <v>1566</v>
      </c>
      <c r="G77" s="150" t="s">
        <v>1135</v>
      </c>
      <c r="H77" s="150" t="s">
        <v>1135</v>
      </c>
      <c r="I77" s="150" t="s">
        <v>1135</v>
      </c>
      <c r="J77" s="150" t="s">
        <v>1137</v>
      </c>
      <c r="K77" s="150" t="s">
        <v>1137</v>
      </c>
      <c r="L77" s="511" t="s">
        <v>389</v>
      </c>
      <c r="M77" s="392" t="s">
        <v>352</v>
      </c>
      <c r="N77" s="343"/>
      <c r="O77" s="343"/>
      <c r="P77" s="70" t="s">
        <v>352</v>
      </c>
      <c r="Q77" s="346" t="s">
        <v>1139</v>
      </c>
      <c r="R77" s="346" t="s">
        <v>1140</v>
      </c>
      <c r="S77" s="346"/>
      <c r="T77" s="150" t="s">
        <v>25</v>
      </c>
      <c r="U77" s="150"/>
      <c r="V77" s="404"/>
      <c r="W77" s="407">
        <v>0</v>
      </c>
      <c r="X77" s="407">
        <v>0</v>
      </c>
      <c r="Y77" s="430"/>
      <c r="Z77" s="137"/>
      <c r="AA77" s="426"/>
      <c r="AB77" s="427"/>
      <c r="AC77" s="431">
        <v>0</v>
      </c>
      <c r="AD77" s="428">
        <v>0</v>
      </c>
      <c r="AE77" s="429">
        <v>0</v>
      </c>
      <c r="AF77" s="429">
        <v>0</v>
      </c>
      <c r="AG77" s="360">
        <v>0</v>
      </c>
      <c r="AH77" s="360">
        <v>0</v>
      </c>
      <c r="AI77" s="360">
        <v>0</v>
      </c>
      <c r="AJ77" s="360">
        <v>0</v>
      </c>
      <c r="AK77" s="360">
        <v>0</v>
      </c>
      <c r="AL77" s="360">
        <v>0</v>
      </c>
      <c r="AM77" s="360">
        <f t="shared" si="3"/>
        <v>0</v>
      </c>
      <c r="AN77" s="362">
        <f>ERP_26[[#This Row],[2026 Working Total]]-ERP_26[[#This Row],[LE2 Final Submission]]</f>
        <v>0</v>
      </c>
      <c r="AO77" s="79">
        <v>0</v>
      </c>
      <c r="AP77" s="79">
        <f t="shared" si="4"/>
        <v>0</v>
      </c>
      <c r="AQ77" s="374">
        <f>SUM(ERP_26[[#This Row],[AP01]:[AP06]])-SUM(ERP_26[[#This Row],[AP01 LE2]:[AP06 LE2]])</f>
        <v>0</v>
      </c>
      <c r="AR77" s="80"/>
      <c r="AS77" s="79">
        <f>ERP_26[[#This Row],[2026 Working Total to Budget/LE]]-ERP_26[[#This Row],[Giveback]]</f>
        <v>0</v>
      </c>
      <c r="AT77" s="81"/>
      <c r="AU77" s="375"/>
      <c r="AV77" s="375"/>
      <c r="AW77" s="375">
        <v>0</v>
      </c>
      <c r="AX77" s="375">
        <v>0</v>
      </c>
      <c r="AY77" s="375">
        <v>0</v>
      </c>
      <c r="AZ77" s="375">
        <v>0</v>
      </c>
      <c r="BA77" s="375">
        <v>0</v>
      </c>
      <c r="BB77" s="375">
        <v>0</v>
      </c>
      <c r="BC77" s="375">
        <v>0</v>
      </c>
      <c r="BD77" s="375">
        <v>0</v>
      </c>
      <c r="BE77" s="375">
        <v>0</v>
      </c>
      <c r="BF77" s="375">
        <v>0</v>
      </c>
      <c r="BG77" s="375">
        <v>0</v>
      </c>
      <c r="BH77" s="79"/>
      <c r="BI77" s="79"/>
      <c r="BJ77" s="79">
        <v>0</v>
      </c>
      <c r="BK77" s="79">
        <v>0</v>
      </c>
      <c r="BL77" s="79">
        <v>0</v>
      </c>
      <c r="BM77" s="79">
        <v>0</v>
      </c>
      <c r="BN77" s="79">
        <v>0</v>
      </c>
      <c r="BO77" s="79">
        <v>0</v>
      </c>
      <c r="BP77" s="79">
        <v>0</v>
      </c>
      <c r="BQ77" s="79">
        <v>0</v>
      </c>
      <c r="BR77" s="79">
        <v>0</v>
      </c>
      <c r="BS77" s="79">
        <v>0</v>
      </c>
      <c r="BT77" s="79">
        <v>0</v>
      </c>
    </row>
    <row r="78" spans="1:72" ht="15" customHeight="1">
      <c r="A78" s="66" t="s">
        <v>1786</v>
      </c>
      <c r="B78" s="66"/>
      <c r="C78" s="66" t="s">
        <v>2931</v>
      </c>
      <c r="D78" s="66" t="s">
        <v>1787</v>
      </c>
      <c r="E78" s="150" t="s">
        <v>1136</v>
      </c>
      <c r="F78" s="482" t="s">
        <v>1566</v>
      </c>
      <c r="G78" s="150" t="s">
        <v>1135</v>
      </c>
      <c r="H78" s="150" t="s">
        <v>1135</v>
      </c>
      <c r="I78" s="150" t="s">
        <v>1135</v>
      </c>
      <c r="J78" s="150" t="s">
        <v>1137</v>
      </c>
      <c r="K78" s="150" t="s">
        <v>1137</v>
      </c>
      <c r="L78" s="511" t="s">
        <v>389</v>
      </c>
      <c r="M78" s="392" t="s">
        <v>414</v>
      </c>
      <c r="N78" s="343"/>
      <c r="O78" s="343"/>
      <c r="P78" s="70" t="s">
        <v>414</v>
      </c>
      <c r="Q78" s="346" t="s">
        <v>1139</v>
      </c>
      <c r="R78" s="346" t="s">
        <v>1140</v>
      </c>
      <c r="S78" s="346"/>
      <c r="T78" s="150" t="s">
        <v>25</v>
      </c>
      <c r="U78" s="1" t="s">
        <v>1141</v>
      </c>
      <c r="V78" s="404"/>
      <c r="W78" s="407">
        <v>0</v>
      </c>
      <c r="X78" s="407">
        <v>0</v>
      </c>
      <c r="Y78" s="430"/>
      <c r="Z78" s="137"/>
      <c r="AA78" s="426"/>
      <c r="AB78" s="431">
        <v>0</v>
      </c>
      <c r="AC78" s="431">
        <v>0</v>
      </c>
      <c r="AD78" s="428">
        <v>-10742.01</v>
      </c>
      <c r="AE78" s="429">
        <v>0</v>
      </c>
      <c r="AF78" s="429">
        <v>0</v>
      </c>
      <c r="AG78" s="360">
        <v>0</v>
      </c>
      <c r="AH78" s="360">
        <v>0</v>
      </c>
      <c r="AI78" s="360">
        <v>0</v>
      </c>
      <c r="AJ78" s="360">
        <v>0</v>
      </c>
      <c r="AK78" s="360">
        <v>0</v>
      </c>
      <c r="AL78" s="360">
        <v>0</v>
      </c>
      <c r="AM78" s="360">
        <f t="shared" si="3"/>
        <v>-10742.01</v>
      </c>
      <c r="AN78" s="362">
        <f>ERP_26[[#This Row],[2026 Working Total]]-ERP_26[[#This Row],[LE2 Final Submission]]</f>
        <v>-10742.01</v>
      </c>
      <c r="AO78" s="79">
        <v>0</v>
      </c>
      <c r="AP78" s="79">
        <f t="shared" si="4"/>
        <v>0</v>
      </c>
      <c r="AQ78" s="374">
        <f>SUM(ERP_26[[#This Row],[AP01]:[AP06]])-SUM(ERP_26[[#This Row],[AP01 LE2]:[AP06 LE2]])</f>
        <v>-10742.01</v>
      </c>
      <c r="AR78" s="80"/>
      <c r="AS78" s="79">
        <f>ERP_26[[#This Row],[2026 Working Total to Budget/LE]]-ERP_26[[#This Row],[Giveback]]</f>
        <v>-10742.01</v>
      </c>
      <c r="AT78" s="81"/>
      <c r="AU78" s="375"/>
      <c r="AV78" s="375">
        <v>0</v>
      </c>
      <c r="AW78" s="375">
        <v>0</v>
      </c>
      <c r="AX78" s="375">
        <v>0</v>
      </c>
      <c r="AY78" s="375">
        <v>0</v>
      </c>
      <c r="AZ78" s="375">
        <v>0</v>
      </c>
      <c r="BA78" s="375">
        <v>0</v>
      </c>
      <c r="BB78" s="375">
        <v>0</v>
      </c>
      <c r="BC78" s="375">
        <v>0</v>
      </c>
      <c r="BD78" s="375">
        <v>0</v>
      </c>
      <c r="BE78" s="375">
        <v>0</v>
      </c>
      <c r="BF78" s="375">
        <v>0</v>
      </c>
      <c r="BG78" s="375">
        <v>0</v>
      </c>
      <c r="BH78" s="79"/>
      <c r="BI78" s="79">
        <v>0</v>
      </c>
      <c r="BJ78" s="79">
        <v>0</v>
      </c>
      <c r="BK78" s="79">
        <v>0</v>
      </c>
      <c r="BL78" s="79">
        <v>0</v>
      </c>
      <c r="BM78" s="79">
        <v>0</v>
      </c>
      <c r="BN78" s="79">
        <v>0</v>
      </c>
      <c r="BO78" s="79">
        <v>0</v>
      </c>
      <c r="BP78" s="79">
        <v>0</v>
      </c>
      <c r="BQ78" s="79">
        <v>0</v>
      </c>
      <c r="BR78" s="79">
        <v>0</v>
      </c>
      <c r="BS78" s="79">
        <v>0</v>
      </c>
      <c r="BT78" s="79">
        <v>0</v>
      </c>
    </row>
    <row r="79" spans="1:72" ht="15" customHeight="1">
      <c r="A79" s="79" t="s">
        <v>1788</v>
      </c>
      <c r="B79" s="79"/>
      <c r="C79" s="79" t="s">
        <v>415</v>
      </c>
      <c r="D79" s="296" t="s">
        <v>415</v>
      </c>
      <c r="E79" s="150" t="s">
        <v>1136</v>
      </c>
      <c r="F79" s="482" t="s">
        <v>1566</v>
      </c>
      <c r="G79" s="150" t="s">
        <v>1135</v>
      </c>
      <c r="H79" s="150" t="s">
        <v>1135</v>
      </c>
      <c r="I79" t="s">
        <v>1135</v>
      </c>
      <c r="J79" t="s">
        <v>1135</v>
      </c>
      <c r="K79" t="s">
        <v>1135</v>
      </c>
      <c r="L79" s="514" t="s">
        <v>389</v>
      </c>
      <c r="M79" s="394" t="s">
        <v>1699</v>
      </c>
      <c r="N79" s="343"/>
      <c r="O79" s="333"/>
      <c r="P79" s="70" t="s">
        <v>362</v>
      </c>
      <c r="Q79" s="347"/>
      <c r="R79" s="343"/>
      <c r="S79" s="348"/>
      <c r="T79" s="348"/>
      <c r="U79" s="348" t="s">
        <v>1700</v>
      </c>
      <c r="V79" s="402"/>
      <c r="W79" s="358"/>
      <c r="X79" s="379">
        <v>0</v>
      </c>
      <c r="Y79" s="425"/>
      <c r="Z79" s="71"/>
      <c r="AA79" s="435"/>
      <c r="AB79" s="436"/>
      <c r="AC79" s="436"/>
      <c r="AD79" s="428" t="s">
        <v>1142</v>
      </c>
      <c r="AE79" s="429">
        <v>0</v>
      </c>
      <c r="AF79" s="429">
        <v>0</v>
      </c>
      <c r="AG79" s="364"/>
      <c r="AH79" s="364"/>
      <c r="AI79" s="364"/>
      <c r="AJ79" s="364"/>
      <c r="AK79" s="364"/>
      <c r="AL79" s="364"/>
      <c r="AM79" s="360">
        <f t="shared" si="3"/>
        <v>0</v>
      </c>
      <c r="AN79" s="362">
        <f>ERP_26[[#This Row],[2026 Working Total]]-ERP_26[[#This Row],[LE2 Final Submission]]</f>
        <v>0</v>
      </c>
      <c r="AO79" s="79">
        <v>9141.65</v>
      </c>
      <c r="AP79" s="79">
        <f t="shared" si="4"/>
        <v>-9141.65</v>
      </c>
      <c r="AQ79" s="374">
        <f>SUM(ERP_26[[#This Row],[AP01]:[AP06]])-SUM(ERP_26[[#This Row],[AP01 LE2]:[AP06 LE2]])</f>
        <v>0</v>
      </c>
      <c r="AR79" s="80"/>
      <c r="AS79" s="79">
        <f>ERP_26[[#This Row],[2026 Working Total to Budget/LE]]-ERP_26[[#This Row],[Giveback]]</f>
        <v>0</v>
      </c>
      <c r="AT79" s="81"/>
      <c r="AU79" s="375"/>
      <c r="AV79" s="375"/>
      <c r="AW79" s="375"/>
      <c r="AX79" s="375">
        <v>-9141.65</v>
      </c>
      <c r="AY79" s="375">
        <v>9141.65</v>
      </c>
      <c r="AZ79" s="375"/>
      <c r="BA79" s="375"/>
      <c r="BB79" s="375"/>
      <c r="BC79" s="375"/>
      <c r="BD79" s="375"/>
      <c r="BE79" s="375"/>
      <c r="BF79" s="375"/>
      <c r="BG79" s="375">
        <v>0</v>
      </c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</row>
    <row r="80" spans="1:72" ht="15" customHeight="1">
      <c r="A80" s="66" t="s">
        <v>1789</v>
      </c>
      <c r="B80" s="66"/>
      <c r="C80" s="66" t="s">
        <v>416</v>
      </c>
      <c r="D80" s="66" t="s">
        <v>416</v>
      </c>
      <c r="E80" s="150" t="s">
        <v>1136</v>
      </c>
      <c r="F80" s="482" t="s">
        <v>1566</v>
      </c>
      <c r="G80" s="150" t="s">
        <v>1135</v>
      </c>
      <c r="H80" s="150" t="s">
        <v>1135</v>
      </c>
      <c r="I80" s="150" t="s">
        <v>1135</v>
      </c>
      <c r="J80" s="150" t="s">
        <v>1135</v>
      </c>
      <c r="K80" s="150" t="s">
        <v>1137</v>
      </c>
      <c r="L80" s="511" t="s">
        <v>389</v>
      </c>
      <c r="M80" s="392" t="s">
        <v>1147</v>
      </c>
      <c r="N80" s="343"/>
      <c r="O80" s="343"/>
      <c r="P80" s="70" t="s">
        <v>53</v>
      </c>
      <c r="Q80" s="346" t="s">
        <v>1153</v>
      </c>
      <c r="R80" s="343"/>
      <c r="S80" s="346"/>
      <c r="T80" s="150" t="s">
        <v>25</v>
      </c>
      <c r="U80" s="150"/>
      <c r="V80" s="403"/>
      <c r="W80" s="406">
        <v>0</v>
      </c>
      <c r="X80" s="406">
        <v>2101</v>
      </c>
      <c r="Y80" s="425"/>
      <c r="Z80" s="71"/>
      <c r="AA80" s="426">
        <v>1821</v>
      </c>
      <c r="AB80" s="427">
        <v>140</v>
      </c>
      <c r="AC80" s="427">
        <v>140</v>
      </c>
      <c r="AD80" s="428">
        <v>139</v>
      </c>
      <c r="AE80" s="429">
        <v>2028.9999999999998</v>
      </c>
      <c r="AF80" s="429">
        <v>0</v>
      </c>
      <c r="AG80" s="360">
        <v>0</v>
      </c>
      <c r="AH80" s="360">
        <v>0</v>
      </c>
      <c r="AI80" s="360">
        <v>0</v>
      </c>
      <c r="AJ80" s="360">
        <v>0</v>
      </c>
      <c r="AK80" s="360">
        <v>0</v>
      </c>
      <c r="AL80" s="360">
        <v>0</v>
      </c>
      <c r="AM80" s="360">
        <f t="shared" si="3"/>
        <v>4269</v>
      </c>
      <c r="AN80" s="362">
        <f>ERP_26[[#This Row],[2026 Working Total]]-ERP_26[[#This Row],[LE2 Final Submission]]</f>
        <v>2168</v>
      </c>
      <c r="AO80" s="79">
        <v>0</v>
      </c>
      <c r="AP80" s="79">
        <f t="shared" si="4"/>
        <v>0</v>
      </c>
      <c r="AQ80" s="374">
        <f>SUM(ERP_26[[#This Row],[AP01]:[AP06]])-SUM(ERP_26[[#This Row],[AP01 LE2]:[AP06 LE2]])</f>
        <v>2168</v>
      </c>
      <c r="AR80" s="80"/>
      <c r="AS80" s="79">
        <f>ERP_26[[#This Row],[2026 Working Total to Budget/LE]]-ERP_26[[#This Row],[Giveback]]</f>
        <v>2168</v>
      </c>
      <c r="AT80" s="81"/>
      <c r="AU80" s="375">
        <v>1821</v>
      </c>
      <c r="AV80" s="375">
        <v>140</v>
      </c>
      <c r="AW80" s="375">
        <v>140</v>
      </c>
      <c r="AX80" s="375">
        <v>0</v>
      </c>
      <c r="AY80" s="375">
        <v>0</v>
      </c>
      <c r="AZ80" s="375">
        <v>0</v>
      </c>
      <c r="BA80" s="375">
        <v>0</v>
      </c>
      <c r="BB80" s="375">
        <v>0</v>
      </c>
      <c r="BC80" s="375">
        <v>0</v>
      </c>
      <c r="BD80" s="375">
        <v>0</v>
      </c>
      <c r="BE80" s="375">
        <v>0</v>
      </c>
      <c r="BF80" s="375">
        <v>0</v>
      </c>
      <c r="BG80" s="375">
        <v>2101</v>
      </c>
      <c r="BH80" s="79">
        <v>1821</v>
      </c>
      <c r="BI80" s="79">
        <v>140</v>
      </c>
      <c r="BJ80" s="79">
        <v>140</v>
      </c>
      <c r="BK80" s="79">
        <v>0</v>
      </c>
      <c r="BL80" s="79">
        <v>0</v>
      </c>
      <c r="BM80" s="79">
        <v>0</v>
      </c>
      <c r="BN80" s="79">
        <v>0</v>
      </c>
      <c r="BO80" s="79">
        <v>0</v>
      </c>
      <c r="BP80" s="79">
        <v>0</v>
      </c>
      <c r="BQ80" s="79">
        <v>0</v>
      </c>
      <c r="BR80" s="79">
        <v>0</v>
      </c>
      <c r="BS80" s="79">
        <v>0</v>
      </c>
      <c r="BT80" s="79">
        <v>2101</v>
      </c>
    </row>
    <row r="81" spans="1:72" ht="15" customHeight="1">
      <c r="A81" s="66" t="s">
        <v>1798</v>
      </c>
      <c r="B81" s="66"/>
      <c r="C81" s="66" t="s">
        <v>418</v>
      </c>
      <c r="D81" s="66" t="s">
        <v>1799</v>
      </c>
      <c r="E81" s="150" t="s">
        <v>1136</v>
      </c>
      <c r="F81" s="482" t="s">
        <v>1566</v>
      </c>
      <c r="G81" s="150" t="s">
        <v>1135</v>
      </c>
      <c r="H81" s="150" t="s">
        <v>1165</v>
      </c>
      <c r="I81" s="150" t="s">
        <v>1135</v>
      </c>
      <c r="J81" s="150" t="s">
        <v>1165</v>
      </c>
      <c r="K81" s="150" t="s">
        <v>1137</v>
      </c>
      <c r="L81" s="511" t="s">
        <v>389</v>
      </c>
      <c r="M81" s="392" t="s">
        <v>1800</v>
      </c>
      <c r="N81" s="343"/>
      <c r="O81" s="343"/>
      <c r="P81" s="70" t="s">
        <v>419</v>
      </c>
      <c r="Q81" s="346"/>
      <c r="R81" s="343"/>
      <c r="S81" s="346"/>
      <c r="T81" s="150" t="s">
        <v>25</v>
      </c>
      <c r="U81" s="150"/>
      <c r="V81" s="403"/>
      <c r="W81" s="406">
        <v>0</v>
      </c>
      <c r="X81" s="406">
        <v>2006.44</v>
      </c>
      <c r="Y81" s="425"/>
      <c r="Z81" s="71"/>
      <c r="AA81" s="426">
        <v>0.45</v>
      </c>
      <c r="AB81" s="427">
        <v>1838.45</v>
      </c>
      <c r="AC81" s="427">
        <v>167.54</v>
      </c>
      <c r="AD81" s="428">
        <v>3132.21</v>
      </c>
      <c r="AE81" s="429">
        <v>3012.3</v>
      </c>
      <c r="AF81" s="429">
        <v>0.82999999999992724</v>
      </c>
      <c r="AG81" s="360">
        <v>0</v>
      </c>
      <c r="AH81" s="360">
        <v>0</v>
      </c>
      <c r="AI81" s="360">
        <v>0</v>
      </c>
      <c r="AJ81" s="360">
        <v>0</v>
      </c>
      <c r="AK81" s="360">
        <v>0</v>
      </c>
      <c r="AL81" s="360">
        <v>0</v>
      </c>
      <c r="AM81" s="360">
        <f t="shared" si="3"/>
        <v>8151.78</v>
      </c>
      <c r="AN81" s="362">
        <f>ERP_26[[#This Row],[2026 Working Total]]-ERP_26[[#This Row],[LE2 Final Submission]]</f>
        <v>6145.34</v>
      </c>
      <c r="AO81" s="79">
        <v>0</v>
      </c>
      <c r="AP81" s="79">
        <f t="shared" si="4"/>
        <v>0.82999999999992724</v>
      </c>
      <c r="AQ81" s="374">
        <f>SUM(ERP_26[[#This Row],[AP01]:[AP06]])-SUM(ERP_26[[#This Row],[AP01 LE2]:[AP06 LE2]])</f>
        <v>6145.34</v>
      </c>
      <c r="AR81" s="80"/>
      <c r="AS81" s="79">
        <f>ERP_26[[#This Row],[2026 Working Total to Budget/LE]]-ERP_26[[#This Row],[Giveback]]</f>
        <v>6145.34</v>
      </c>
      <c r="AT81" s="81"/>
      <c r="AU81" s="375">
        <v>0.45</v>
      </c>
      <c r="AV81" s="375">
        <v>1838.45</v>
      </c>
      <c r="AW81" s="375">
        <v>167.54</v>
      </c>
      <c r="AX81" s="375">
        <v>0</v>
      </c>
      <c r="AY81" s="375">
        <v>0</v>
      </c>
      <c r="AZ81" s="375">
        <v>0</v>
      </c>
      <c r="BA81" s="375">
        <v>0</v>
      </c>
      <c r="BB81" s="375">
        <v>0</v>
      </c>
      <c r="BC81" s="375">
        <v>0</v>
      </c>
      <c r="BD81" s="375">
        <v>0</v>
      </c>
      <c r="BE81" s="375">
        <v>0</v>
      </c>
      <c r="BF81" s="375">
        <v>0</v>
      </c>
      <c r="BG81" s="375">
        <v>2006.44</v>
      </c>
      <c r="BH81" s="79">
        <v>0.45</v>
      </c>
      <c r="BI81" s="79">
        <v>1838.45</v>
      </c>
      <c r="BJ81" s="79">
        <v>167.54</v>
      </c>
      <c r="BK81" s="79">
        <v>0</v>
      </c>
      <c r="BL81" s="79">
        <v>0</v>
      </c>
      <c r="BM81" s="79">
        <v>0</v>
      </c>
      <c r="BN81" s="79">
        <v>0</v>
      </c>
      <c r="BO81" s="79">
        <v>0</v>
      </c>
      <c r="BP81" s="79">
        <v>0</v>
      </c>
      <c r="BQ81" s="79">
        <v>0</v>
      </c>
      <c r="BR81" s="79">
        <v>0</v>
      </c>
      <c r="BS81" s="79">
        <v>0</v>
      </c>
      <c r="BT81" s="79">
        <v>2006.44</v>
      </c>
    </row>
    <row r="82" spans="1:72" ht="15" customHeight="1">
      <c r="A82" s="66" t="s">
        <v>1811</v>
      </c>
      <c r="B82" s="66"/>
      <c r="C82" s="66" t="s">
        <v>421</v>
      </c>
      <c r="D82" s="66" t="s">
        <v>1812</v>
      </c>
      <c r="E82" s="150" t="s">
        <v>1136</v>
      </c>
      <c r="F82" s="482" t="s">
        <v>1566</v>
      </c>
      <c r="G82" s="150" t="s">
        <v>1135</v>
      </c>
      <c r="H82" s="150" t="s">
        <v>1165</v>
      </c>
      <c r="I82" s="150" t="s">
        <v>1135</v>
      </c>
      <c r="J82" s="150" t="s">
        <v>1165</v>
      </c>
      <c r="K82" s="150" t="s">
        <v>1137</v>
      </c>
      <c r="L82" s="511" t="s">
        <v>389</v>
      </c>
      <c r="M82" s="392" t="s">
        <v>1813</v>
      </c>
      <c r="N82" s="343"/>
      <c r="O82" s="343"/>
      <c r="P82" s="70" t="s">
        <v>422</v>
      </c>
      <c r="Q82" s="346"/>
      <c r="R82" s="343"/>
      <c r="S82" s="346"/>
      <c r="T82" s="150" t="s">
        <v>25</v>
      </c>
      <c r="U82" s="150"/>
      <c r="V82" s="403"/>
      <c r="W82" s="406">
        <v>116304</v>
      </c>
      <c r="X82" s="406">
        <v>67844</v>
      </c>
      <c r="Y82" s="425"/>
      <c r="Z82" s="71"/>
      <c r="AA82" s="426"/>
      <c r="AB82" s="427"/>
      <c r="AC82" s="427"/>
      <c r="AD82" s="428" t="s">
        <v>1142</v>
      </c>
      <c r="AE82" s="429">
        <v>0</v>
      </c>
      <c r="AF82" s="429">
        <v>0</v>
      </c>
      <c r="AG82" s="363">
        <v>9692</v>
      </c>
      <c r="AH82" s="363">
        <v>9692</v>
      </c>
      <c r="AI82" s="363">
        <v>9692</v>
      </c>
      <c r="AJ82" s="363">
        <v>9692</v>
      </c>
      <c r="AK82" s="363">
        <v>9692</v>
      </c>
      <c r="AL82" s="363">
        <v>9692</v>
      </c>
      <c r="AM82" s="360">
        <f t="shared" si="3"/>
        <v>58152</v>
      </c>
      <c r="AN82" s="362">
        <f>ERP_26[[#This Row],[2026 Working Total]]-ERP_26[[#This Row],[LE2 Final Submission]]</f>
        <v>-9692</v>
      </c>
      <c r="AO82" s="79"/>
      <c r="AP82" s="79">
        <f t="shared" si="4"/>
        <v>0</v>
      </c>
      <c r="AQ82" s="374">
        <f>SUM(ERP_26[[#This Row],[AP01]:[AP06]])-SUM(ERP_26[[#This Row],[AP01 LE2]:[AP06 LE2]])</f>
        <v>-9692</v>
      </c>
      <c r="AR82" s="80">
        <v>-48460</v>
      </c>
      <c r="AS82" s="79">
        <f>ERP_26[[#This Row],[2026 Working Total to Budget/LE]]-ERP_26[[#This Row],[Giveback]]</f>
        <v>38768</v>
      </c>
      <c r="AT82" s="183" t="s">
        <v>1814</v>
      </c>
      <c r="AU82" s="183"/>
      <c r="AV82" s="183"/>
      <c r="AW82" s="183"/>
      <c r="AX82" s="183"/>
      <c r="AY82" s="183"/>
      <c r="AZ82" s="183">
        <v>9692</v>
      </c>
      <c r="BA82" s="183">
        <v>9692</v>
      </c>
      <c r="BB82" s="183">
        <v>9692</v>
      </c>
      <c r="BC82" s="183">
        <v>9692</v>
      </c>
      <c r="BD82" s="183">
        <v>9692</v>
      </c>
      <c r="BE82" s="183">
        <v>9692</v>
      </c>
      <c r="BF82" s="183">
        <v>9692</v>
      </c>
      <c r="BG82" s="183">
        <v>67844</v>
      </c>
      <c r="BH82" s="79"/>
      <c r="BI82" s="79"/>
      <c r="BJ82" s="79"/>
      <c r="BK82" s="79">
        <v>9692</v>
      </c>
      <c r="BL82" s="79">
        <v>9692</v>
      </c>
      <c r="BM82" s="79">
        <v>9692</v>
      </c>
      <c r="BN82" s="79">
        <v>9692</v>
      </c>
      <c r="BO82" s="79">
        <v>9692</v>
      </c>
      <c r="BP82" s="79">
        <v>9692</v>
      </c>
      <c r="BQ82" s="79">
        <v>9692</v>
      </c>
      <c r="BR82" s="79">
        <v>9692</v>
      </c>
      <c r="BS82" s="79">
        <v>9692</v>
      </c>
      <c r="BT82" s="79">
        <v>87228</v>
      </c>
    </row>
    <row r="83" spans="1:72" ht="15" customHeight="1">
      <c r="A83" s="66" t="s">
        <v>1815</v>
      </c>
      <c r="B83" s="66"/>
      <c r="C83" s="66" t="s">
        <v>423</v>
      </c>
      <c r="D83" s="66" t="s">
        <v>1816</v>
      </c>
      <c r="E83" s="150" t="s">
        <v>1136</v>
      </c>
      <c r="F83" s="482" t="s">
        <v>1566</v>
      </c>
      <c r="G83" s="150" t="s">
        <v>1135</v>
      </c>
      <c r="H83" s="150" t="s">
        <v>1156</v>
      </c>
      <c r="I83" s="150" t="s">
        <v>1135</v>
      </c>
      <c r="J83" s="150" t="s">
        <v>1156</v>
      </c>
      <c r="K83" s="150" t="s">
        <v>1137</v>
      </c>
      <c r="L83" s="511" t="s">
        <v>389</v>
      </c>
      <c r="M83" s="544" t="s">
        <v>1817</v>
      </c>
      <c r="N83" s="343"/>
      <c r="O83" s="343"/>
      <c r="P83" s="70" t="s">
        <v>424</v>
      </c>
      <c r="Q83" s="346"/>
      <c r="R83" s="343"/>
      <c r="S83" s="346"/>
      <c r="T83" s="150" t="s">
        <v>67</v>
      </c>
      <c r="U83" s="150"/>
      <c r="V83" s="403"/>
      <c r="W83" s="406">
        <v>588064.00000000012</v>
      </c>
      <c r="X83" s="406">
        <v>588064.16999999993</v>
      </c>
      <c r="Y83" s="425"/>
      <c r="Z83" s="71"/>
      <c r="AA83" s="426">
        <v>40389</v>
      </c>
      <c r="AB83" s="427">
        <v>55285.58</v>
      </c>
      <c r="AC83" s="427">
        <v>47994.59</v>
      </c>
      <c r="AD83" s="428">
        <v>42517.659999999996</v>
      </c>
      <c r="AE83" s="429">
        <v>63850.67</v>
      </c>
      <c r="AF83" s="429">
        <v>47308.070000000007</v>
      </c>
      <c r="AG83" s="363">
        <v>49400</v>
      </c>
      <c r="AH83" s="363">
        <v>48000</v>
      </c>
      <c r="AI83" s="363">
        <v>48000</v>
      </c>
      <c r="AJ83" s="363">
        <v>48000</v>
      </c>
      <c r="AK83" s="363">
        <v>48000</v>
      </c>
      <c r="AL83" s="363">
        <v>48000</v>
      </c>
      <c r="AM83" s="360">
        <f t="shared" si="3"/>
        <v>586745.57000000007</v>
      </c>
      <c r="AN83" s="362">
        <f>ERP_26[[#This Row],[2026 Working Total]]-ERP_26[[#This Row],[LE2 Final Submission]]</f>
        <v>-1318.5999999998603</v>
      </c>
      <c r="AO83" s="79">
        <v>49500</v>
      </c>
      <c r="AP83" s="79">
        <f t="shared" si="4"/>
        <v>-2191.929999999993</v>
      </c>
      <c r="AQ83" s="374">
        <f>SUM(ERP_26[[#This Row],[AP01]:[AP06]])-SUM(ERP_26[[#This Row],[AP01 LE2]:[AP06 LE2]])</f>
        <v>3681.4000000000233</v>
      </c>
      <c r="AR83" s="80"/>
      <c r="AS83" s="79">
        <f>ERP_26[[#This Row],[2026 Working Total to Budget/LE]]-ERP_26[[#This Row],[Giveback]]</f>
        <v>-1318.5999999998603</v>
      </c>
      <c r="AT83" s="81"/>
      <c r="AU83" s="375">
        <v>40389</v>
      </c>
      <c r="AV83" s="375">
        <v>55285.58</v>
      </c>
      <c r="AW83" s="375">
        <v>47994.59</v>
      </c>
      <c r="AX83" s="375">
        <v>51000</v>
      </c>
      <c r="AY83" s="375">
        <v>49500</v>
      </c>
      <c r="AZ83" s="375">
        <v>49495</v>
      </c>
      <c r="BA83" s="375">
        <v>49400</v>
      </c>
      <c r="BB83" s="375">
        <v>49000</v>
      </c>
      <c r="BC83" s="375">
        <v>49000</v>
      </c>
      <c r="BD83" s="375">
        <v>49000</v>
      </c>
      <c r="BE83" s="375">
        <v>49000</v>
      </c>
      <c r="BF83" s="375">
        <v>49000</v>
      </c>
      <c r="BG83" s="375">
        <v>588064.16999999993</v>
      </c>
      <c r="BH83" s="79">
        <v>40389</v>
      </c>
      <c r="BI83" s="79">
        <v>55285.58</v>
      </c>
      <c r="BJ83" s="79">
        <v>47994.59</v>
      </c>
      <c r="BK83" s="79">
        <v>49068</v>
      </c>
      <c r="BL83" s="79">
        <v>51240</v>
      </c>
      <c r="BM83" s="79">
        <v>37911</v>
      </c>
      <c r="BN83" s="79">
        <v>48731</v>
      </c>
      <c r="BO83" s="79">
        <v>52076</v>
      </c>
      <c r="BP83" s="79">
        <v>52390</v>
      </c>
      <c r="BQ83" s="79">
        <v>54876</v>
      </c>
      <c r="BR83" s="79">
        <v>42961</v>
      </c>
      <c r="BS83" s="79">
        <v>40649</v>
      </c>
      <c r="BT83" s="79">
        <v>573571.16999999993</v>
      </c>
    </row>
    <row r="84" spans="1:72" ht="15" customHeight="1">
      <c r="A84" s="66" t="s">
        <v>1818</v>
      </c>
      <c r="B84" s="66"/>
      <c r="C84" s="66" t="s">
        <v>425</v>
      </c>
      <c r="D84" s="66" t="s">
        <v>1819</v>
      </c>
      <c r="E84" s="150" t="s">
        <v>1136</v>
      </c>
      <c r="F84" s="482" t="s">
        <v>1566</v>
      </c>
      <c r="G84" s="150" t="s">
        <v>1135</v>
      </c>
      <c r="H84" s="150" t="s">
        <v>1165</v>
      </c>
      <c r="I84" s="150" t="s">
        <v>1135</v>
      </c>
      <c r="J84" s="150" t="s">
        <v>1165</v>
      </c>
      <c r="K84" s="150" t="s">
        <v>1137</v>
      </c>
      <c r="L84" s="511" t="s">
        <v>389</v>
      </c>
      <c r="M84" s="392" t="s">
        <v>1820</v>
      </c>
      <c r="N84" s="343"/>
      <c r="O84" s="343"/>
      <c r="P84" s="70" t="s">
        <v>426</v>
      </c>
      <c r="Q84" s="346"/>
      <c r="R84" s="343"/>
      <c r="S84" s="346"/>
      <c r="T84" s="150" t="s">
        <v>427</v>
      </c>
      <c r="U84" s="184" t="s">
        <v>1821</v>
      </c>
      <c r="V84" s="403"/>
      <c r="W84" s="406">
        <v>4651599.96</v>
      </c>
      <c r="X84" s="406">
        <v>4701598.17</v>
      </c>
      <c r="Y84" s="425"/>
      <c r="Z84" s="71"/>
      <c r="AA84" s="426">
        <v>387633.4</v>
      </c>
      <c r="AB84" s="427">
        <v>404902.73</v>
      </c>
      <c r="AC84" s="427">
        <v>356492.04</v>
      </c>
      <c r="AD84" s="428">
        <v>363571.96</v>
      </c>
      <c r="AE84" s="429">
        <v>461544.87000000005</v>
      </c>
      <c r="AF84" s="429">
        <v>394829.05999999994</v>
      </c>
      <c r="AG84" s="363">
        <v>391800</v>
      </c>
      <c r="AH84" s="363">
        <v>391800</v>
      </c>
      <c r="AI84" s="363">
        <v>391800</v>
      </c>
      <c r="AJ84" s="363">
        <v>391800</v>
      </c>
      <c r="AK84" s="363">
        <v>391800</v>
      </c>
      <c r="AL84" s="363">
        <v>387633</v>
      </c>
      <c r="AM84" s="360">
        <f t="shared" si="3"/>
        <v>4715607.0600000005</v>
      </c>
      <c r="AN84" s="504">
        <f>ERP_26[[#This Row],[2026 Working Total]]-ERP_26[[#This Row],[LE2 Final Submission]]</f>
        <v>14008.890000000596</v>
      </c>
      <c r="AO84" s="79">
        <v>391800</v>
      </c>
      <c r="AP84" s="79">
        <f t="shared" si="4"/>
        <v>3029.0599999999395</v>
      </c>
      <c r="AQ84" s="374">
        <f>SUM(ERP_26[[#This Row],[AP01]:[AP06]])-SUM(ERP_26[[#This Row],[AP01 LE2]:[AP06 LE2]])</f>
        <v>14008.89000000013</v>
      </c>
      <c r="AR84" s="80"/>
      <c r="AS84" s="79">
        <f>ERP_26[[#This Row],[2026 Working Total to Budget/LE]]-ERP_26[[#This Row],[Giveback]]</f>
        <v>14008.890000000596</v>
      </c>
      <c r="AT84" s="81"/>
      <c r="AU84" s="375">
        <v>387633.4</v>
      </c>
      <c r="AV84" s="375">
        <v>404902.73</v>
      </c>
      <c r="AW84" s="375">
        <v>356492.04</v>
      </c>
      <c r="AX84" s="375">
        <v>422337</v>
      </c>
      <c r="AY84" s="375">
        <v>391800</v>
      </c>
      <c r="AZ84" s="375">
        <v>391800</v>
      </c>
      <c r="BA84" s="375">
        <v>391800</v>
      </c>
      <c r="BB84" s="375">
        <v>391800</v>
      </c>
      <c r="BC84" s="375">
        <v>391800</v>
      </c>
      <c r="BD84" s="375">
        <v>391800</v>
      </c>
      <c r="BE84" s="375">
        <v>391800</v>
      </c>
      <c r="BF84" s="375">
        <v>387633</v>
      </c>
      <c r="BG84" s="375">
        <v>4701598.17</v>
      </c>
      <c r="BH84" s="79">
        <v>387633.4</v>
      </c>
      <c r="BI84" s="79">
        <v>404902.73</v>
      </c>
      <c r="BJ84" s="79">
        <v>356492.04</v>
      </c>
      <c r="BK84" s="79">
        <v>387633.33</v>
      </c>
      <c r="BL84" s="79">
        <v>387633.33</v>
      </c>
      <c r="BM84" s="79">
        <v>387633.33</v>
      </c>
      <c r="BN84" s="79">
        <v>387633.33</v>
      </c>
      <c r="BO84" s="79">
        <v>387633.33</v>
      </c>
      <c r="BP84" s="79">
        <v>387633.33</v>
      </c>
      <c r="BQ84" s="79">
        <v>387633.33</v>
      </c>
      <c r="BR84" s="79">
        <v>387633.33</v>
      </c>
      <c r="BS84" s="79">
        <v>387633.33</v>
      </c>
      <c r="BT84" s="79">
        <v>4637728.1400000006</v>
      </c>
    </row>
    <row r="85" spans="1:72" ht="15" customHeight="1">
      <c r="A85" s="66" t="s">
        <v>1822</v>
      </c>
      <c r="B85" s="66"/>
      <c r="C85" s="66" t="s">
        <v>428</v>
      </c>
      <c r="D85" s="66" t="s">
        <v>1823</v>
      </c>
      <c r="E85" s="150" t="s">
        <v>1136</v>
      </c>
      <c r="F85" s="482" t="s">
        <v>1566</v>
      </c>
      <c r="G85" s="150" t="s">
        <v>1135</v>
      </c>
      <c r="H85" s="150" t="s">
        <v>1165</v>
      </c>
      <c r="I85" s="150" t="s">
        <v>1135</v>
      </c>
      <c r="J85" s="150" t="s">
        <v>1165</v>
      </c>
      <c r="K85" s="150" t="s">
        <v>1137</v>
      </c>
      <c r="L85" s="511" t="s">
        <v>389</v>
      </c>
      <c r="M85" s="392" t="s">
        <v>1824</v>
      </c>
      <c r="N85" s="343"/>
      <c r="O85" s="343"/>
      <c r="P85" s="70" t="s">
        <v>429</v>
      </c>
      <c r="Q85" s="346"/>
      <c r="R85" s="343"/>
      <c r="S85" s="346"/>
      <c r="T85" s="150" t="s">
        <v>427</v>
      </c>
      <c r="U85" s="482" t="s">
        <v>1825</v>
      </c>
      <c r="V85" s="403"/>
      <c r="W85" s="406">
        <v>1832799.9600000002</v>
      </c>
      <c r="X85" s="406">
        <v>1832798.4200000002</v>
      </c>
      <c r="Y85" s="425"/>
      <c r="Z85" s="71"/>
      <c r="AA85" s="426"/>
      <c r="AB85" s="427">
        <v>293304.34999999998</v>
      </c>
      <c r="AC85" s="427">
        <v>164894.1</v>
      </c>
      <c r="AD85" s="428">
        <v>142089.47</v>
      </c>
      <c r="AE85" s="429">
        <v>163378.12</v>
      </c>
      <c r="AF85" s="429">
        <v>152732.93000000002</v>
      </c>
      <c r="AG85" s="363">
        <v>172399</v>
      </c>
      <c r="AH85" s="363">
        <v>172399</v>
      </c>
      <c r="AI85" s="363">
        <v>172399</v>
      </c>
      <c r="AJ85" s="363">
        <v>172399</v>
      </c>
      <c r="AK85" s="363">
        <v>172399</v>
      </c>
      <c r="AL85" s="363">
        <v>172399</v>
      </c>
      <c r="AM85" s="360">
        <f t="shared" si="3"/>
        <v>1950792.97</v>
      </c>
      <c r="AN85" s="504">
        <f>ERP_26[[#This Row],[2026 Working Total]]-ERP_26[[#This Row],[LE2 Final Submission]]</f>
        <v>117994.54999999981</v>
      </c>
      <c r="AO85" s="79">
        <v>152733.32999999999</v>
      </c>
      <c r="AP85" s="79">
        <f t="shared" si="4"/>
        <v>-0.3999999999650754</v>
      </c>
      <c r="AQ85" s="374">
        <f>SUM(ERP_26[[#This Row],[AP01]:[AP06]])-SUM(ERP_26[[#This Row],[AP01 LE2]:[AP06 LE2]])</f>
        <v>0.530000000144355</v>
      </c>
      <c r="AR85" s="80"/>
      <c r="AS85" s="79">
        <f>ERP_26[[#This Row],[2026 Working Total to Budget/LE]]-ERP_26[[#This Row],[Giveback]]</f>
        <v>117994.54999999981</v>
      </c>
      <c r="AT85" s="81"/>
      <c r="AU85" s="375"/>
      <c r="AV85" s="375">
        <v>293304.34999999998</v>
      </c>
      <c r="AW85" s="375">
        <v>164894.1</v>
      </c>
      <c r="AX85" s="375">
        <v>152733.32999999999</v>
      </c>
      <c r="AY85" s="375">
        <v>152733.32999999999</v>
      </c>
      <c r="AZ85" s="375">
        <v>152733.32999999999</v>
      </c>
      <c r="BA85" s="375">
        <v>152733.32999999999</v>
      </c>
      <c r="BB85" s="375">
        <v>152733.32999999999</v>
      </c>
      <c r="BC85" s="375">
        <v>152733.32999999999</v>
      </c>
      <c r="BD85" s="375">
        <v>152733.32999999999</v>
      </c>
      <c r="BE85" s="375">
        <v>152733.32999999999</v>
      </c>
      <c r="BF85" s="375">
        <v>152733.32999999999</v>
      </c>
      <c r="BG85" s="375">
        <v>1832798.4200000002</v>
      </c>
      <c r="BH85" s="79"/>
      <c r="BI85" s="79">
        <v>293304.34999999998</v>
      </c>
      <c r="BJ85" s="79">
        <v>164894.1</v>
      </c>
      <c r="BK85" s="79">
        <v>152733.32999999999</v>
      </c>
      <c r="BL85" s="79">
        <v>152733.32999999999</v>
      </c>
      <c r="BM85" s="79">
        <v>152733.32999999999</v>
      </c>
      <c r="BN85" s="79">
        <v>152733.32999999999</v>
      </c>
      <c r="BO85" s="79">
        <v>152733.32999999999</v>
      </c>
      <c r="BP85" s="79">
        <v>152733.32999999999</v>
      </c>
      <c r="BQ85" s="79">
        <v>152733.32999999999</v>
      </c>
      <c r="BR85" s="79">
        <v>152733.32999999999</v>
      </c>
      <c r="BS85" s="79">
        <v>152733.32999999999</v>
      </c>
      <c r="BT85" s="79">
        <v>1832798.4200000002</v>
      </c>
    </row>
    <row r="86" spans="1:72" ht="15" customHeight="1">
      <c r="A86" s="66" t="s">
        <v>1826</v>
      </c>
      <c r="B86" s="66"/>
      <c r="C86" s="66" t="s">
        <v>430</v>
      </c>
      <c r="D86" s="66" t="s">
        <v>1827</v>
      </c>
      <c r="E86" s="150" t="s">
        <v>1136</v>
      </c>
      <c r="F86" s="482" t="s">
        <v>1566</v>
      </c>
      <c r="G86" s="150" t="s">
        <v>1135</v>
      </c>
      <c r="H86" s="150" t="s">
        <v>1135</v>
      </c>
      <c r="I86" s="150" t="s">
        <v>1135</v>
      </c>
      <c r="J86" s="150" t="s">
        <v>1137</v>
      </c>
      <c r="K86" s="150" t="s">
        <v>1137</v>
      </c>
      <c r="L86" s="511" t="s">
        <v>389</v>
      </c>
      <c r="M86" s="392" t="s">
        <v>1828</v>
      </c>
      <c r="N86" s="343"/>
      <c r="O86" s="343"/>
      <c r="P86" s="70" t="s">
        <v>431</v>
      </c>
      <c r="Q86" s="346"/>
      <c r="R86" s="343"/>
      <c r="S86" s="346"/>
      <c r="T86" s="150" t="s">
        <v>432</v>
      </c>
      <c r="U86" s="1" t="s">
        <v>1141</v>
      </c>
      <c r="V86" s="403"/>
      <c r="W86" s="406">
        <v>18000</v>
      </c>
      <c r="X86" s="406">
        <v>19824.739999999998</v>
      </c>
      <c r="Y86" s="425"/>
      <c r="Z86" s="71"/>
      <c r="AA86" s="426">
        <v>531.82000000000005</v>
      </c>
      <c r="AB86" s="427">
        <v>3988.46</v>
      </c>
      <c r="AC86" s="427">
        <v>1804.46</v>
      </c>
      <c r="AD86" s="428">
        <v>988.66</v>
      </c>
      <c r="AE86" s="429">
        <v>162.79999999999998</v>
      </c>
      <c r="AF86" s="429">
        <v>0</v>
      </c>
      <c r="AG86" s="363">
        <v>1500</v>
      </c>
      <c r="AH86" s="363">
        <v>1500</v>
      </c>
      <c r="AI86" s="363">
        <v>1500</v>
      </c>
      <c r="AJ86" s="363">
        <v>1500</v>
      </c>
      <c r="AK86" s="363">
        <v>1500</v>
      </c>
      <c r="AL86" s="363">
        <v>1500</v>
      </c>
      <c r="AM86" s="360">
        <f t="shared" si="3"/>
        <v>16476.2</v>
      </c>
      <c r="AN86" s="362">
        <f>ERP_26[[#This Row],[2026 Working Total]]-ERP_26[[#This Row],[LE2 Final Submission]]</f>
        <v>-3348.5399999999972</v>
      </c>
      <c r="AO86" s="79">
        <v>1500</v>
      </c>
      <c r="AP86" s="79">
        <f t="shared" si="4"/>
        <v>-1500</v>
      </c>
      <c r="AQ86" s="374">
        <f>SUM(ERP_26[[#This Row],[AP01]:[AP06]])-SUM(ERP_26[[#This Row],[AP01 LE2]:[AP06 LE2]])</f>
        <v>-3348.54</v>
      </c>
      <c r="AR86" s="80"/>
      <c r="AS86" s="79">
        <f>ERP_26[[#This Row],[2026 Working Total to Budget/LE]]-ERP_26[[#This Row],[Giveback]]</f>
        <v>-3348.5399999999972</v>
      </c>
      <c r="AT86" s="81"/>
      <c r="AU86" s="375">
        <v>531.82000000000005</v>
      </c>
      <c r="AV86" s="375">
        <v>3988.46</v>
      </c>
      <c r="AW86" s="375">
        <v>1804.46</v>
      </c>
      <c r="AX86" s="375">
        <v>1500</v>
      </c>
      <c r="AY86" s="375">
        <v>1500</v>
      </c>
      <c r="AZ86" s="375">
        <v>1500</v>
      </c>
      <c r="BA86" s="375">
        <v>1500</v>
      </c>
      <c r="BB86" s="375">
        <v>1500</v>
      </c>
      <c r="BC86" s="375">
        <v>1500</v>
      </c>
      <c r="BD86" s="375">
        <v>1500</v>
      </c>
      <c r="BE86" s="375">
        <v>1500</v>
      </c>
      <c r="BF86" s="375">
        <v>1500</v>
      </c>
      <c r="BG86" s="375">
        <v>19824.739999999998</v>
      </c>
      <c r="BH86" s="79">
        <v>531.82000000000005</v>
      </c>
      <c r="BI86" s="79">
        <v>3988.46</v>
      </c>
      <c r="BJ86" s="79">
        <v>1804.46</v>
      </c>
      <c r="BK86" s="79">
        <v>1500</v>
      </c>
      <c r="BL86" s="79">
        <v>1500</v>
      </c>
      <c r="BM86" s="79">
        <v>1500</v>
      </c>
      <c r="BN86" s="79">
        <v>1500</v>
      </c>
      <c r="BO86" s="79">
        <v>1500</v>
      </c>
      <c r="BP86" s="79">
        <v>1500</v>
      </c>
      <c r="BQ86" s="79">
        <v>1500</v>
      </c>
      <c r="BR86" s="79">
        <v>1500</v>
      </c>
      <c r="BS86" s="79">
        <v>1500</v>
      </c>
      <c r="BT86" s="79">
        <v>19824.739999999998</v>
      </c>
    </row>
    <row r="87" spans="1:72" ht="15" customHeight="1">
      <c r="A87" s="66" t="s">
        <v>1829</v>
      </c>
      <c r="B87" s="66"/>
      <c r="C87" s="66" t="s">
        <v>433</v>
      </c>
      <c r="D87" s="66" t="s">
        <v>1830</v>
      </c>
      <c r="E87" s="150" t="s">
        <v>1136</v>
      </c>
      <c r="F87" s="482" t="s">
        <v>1566</v>
      </c>
      <c r="G87" s="150" t="s">
        <v>1135</v>
      </c>
      <c r="H87" s="150" t="s">
        <v>1165</v>
      </c>
      <c r="I87" s="150" t="s">
        <v>1135</v>
      </c>
      <c r="J87" s="150" t="s">
        <v>1165</v>
      </c>
      <c r="K87" s="150" t="s">
        <v>1137</v>
      </c>
      <c r="L87" s="511" t="s">
        <v>389</v>
      </c>
      <c r="M87" s="392" t="s">
        <v>1831</v>
      </c>
      <c r="N87" s="343" t="s">
        <v>1832</v>
      </c>
      <c r="O87" s="343">
        <v>2430238</v>
      </c>
      <c r="P87" s="70" t="s">
        <v>124</v>
      </c>
      <c r="Q87" s="346"/>
      <c r="R87" s="343">
        <v>9501133449</v>
      </c>
      <c r="S87" s="346"/>
      <c r="T87" s="150" t="s">
        <v>434</v>
      </c>
      <c r="U87" s="150"/>
      <c r="V87" s="403"/>
      <c r="W87" s="406">
        <v>141887.51999999996</v>
      </c>
      <c r="X87" s="406">
        <v>62335.31</v>
      </c>
      <c r="Y87" s="425"/>
      <c r="Z87" s="71"/>
      <c r="AA87" s="426">
        <v>11347.01</v>
      </c>
      <c r="AB87" s="427">
        <v>7087.77</v>
      </c>
      <c r="AC87" s="427">
        <v>10590.53</v>
      </c>
      <c r="AD87" s="428">
        <v>13238.160000000002</v>
      </c>
      <c r="AE87" s="429">
        <v>10590.539999999999</v>
      </c>
      <c r="AF87" s="429">
        <v>10590.54</v>
      </c>
      <c r="AG87" s="364"/>
      <c r="AH87" s="364"/>
      <c r="AI87" s="364"/>
      <c r="AJ87" s="364"/>
      <c r="AK87" s="364"/>
      <c r="AL87" s="364"/>
      <c r="AM87" s="360">
        <f t="shared" si="3"/>
        <v>63444.55</v>
      </c>
      <c r="AN87" s="362">
        <f>ERP_26[[#This Row],[2026 Working Total]]-ERP_26[[#This Row],[LE2 Final Submission]]</f>
        <v>1109.2400000000052</v>
      </c>
      <c r="AO87" s="79">
        <v>12130</v>
      </c>
      <c r="AP87" s="79">
        <f t="shared" si="4"/>
        <v>-1539.4599999999991</v>
      </c>
      <c r="AQ87" s="374">
        <f>SUM(ERP_26[[#This Row],[AP01]:[AP06]])-SUM(ERP_26[[#This Row],[AP01 LE2]:[AP06 LE2]])</f>
        <v>1109.2400000000052</v>
      </c>
      <c r="AR87" s="80"/>
      <c r="AS87" s="79">
        <f>ERP_26[[#This Row],[2026 Working Total to Budget/LE]]-ERP_26[[#This Row],[Giveback]]</f>
        <v>1109.2400000000052</v>
      </c>
      <c r="AT87" s="81"/>
      <c r="AU87" s="375">
        <v>11347.01</v>
      </c>
      <c r="AV87" s="375">
        <v>7087.77</v>
      </c>
      <c r="AW87" s="375">
        <v>10590.53</v>
      </c>
      <c r="AX87" s="375">
        <v>10590</v>
      </c>
      <c r="AY87" s="375">
        <v>12130</v>
      </c>
      <c r="AZ87" s="375">
        <v>10590</v>
      </c>
      <c r="BA87" s="375"/>
      <c r="BB87" s="375"/>
      <c r="BC87" s="375"/>
      <c r="BD87" s="375"/>
      <c r="BE87" s="375"/>
      <c r="BF87" s="375"/>
      <c r="BG87" s="375">
        <v>62335.31</v>
      </c>
      <c r="BH87" s="79">
        <v>11347.01</v>
      </c>
      <c r="BI87" s="79">
        <v>7087.77</v>
      </c>
      <c r="BJ87" s="79">
        <v>10590.53</v>
      </c>
      <c r="BK87" s="79">
        <v>11157</v>
      </c>
      <c r="BL87" s="79">
        <v>11157</v>
      </c>
      <c r="BM87" s="79">
        <v>11157</v>
      </c>
      <c r="BN87" s="79">
        <v>11157</v>
      </c>
      <c r="BO87" s="79">
        <v>11157</v>
      </c>
      <c r="BP87" s="79">
        <v>11157</v>
      </c>
      <c r="BQ87" s="79">
        <v>11157</v>
      </c>
      <c r="BR87" s="79">
        <v>11157</v>
      </c>
      <c r="BS87" s="79">
        <v>11157</v>
      </c>
      <c r="BT87" s="79">
        <v>129438.31</v>
      </c>
    </row>
    <row r="88" spans="1:72" ht="15" customHeight="1">
      <c r="A88" s="66" t="s">
        <v>1833</v>
      </c>
      <c r="B88" s="66" t="s">
        <v>2950</v>
      </c>
      <c r="C88" s="66" t="s">
        <v>435</v>
      </c>
      <c r="D88" s="66" t="s">
        <v>1834</v>
      </c>
      <c r="E88" s="150" t="s">
        <v>1136</v>
      </c>
      <c r="F88" s="482" t="s">
        <v>1566</v>
      </c>
      <c r="G88" s="150" t="s">
        <v>1135</v>
      </c>
      <c r="H88" s="150" t="s">
        <v>1156</v>
      </c>
      <c r="I88" s="150" t="s">
        <v>1135</v>
      </c>
      <c r="J88" s="150" t="s">
        <v>1156</v>
      </c>
      <c r="K88" s="150" t="s">
        <v>1137</v>
      </c>
      <c r="L88" s="511" t="s">
        <v>389</v>
      </c>
      <c r="M88" s="392" t="s">
        <v>1835</v>
      </c>
      <c r="N88" s="343"/>
      <c r="O88" s="343"/>
      <c r="P88" s="70" t="s">
        <v>436</v>
      </c>
      <c r="Q88" s="346"/>
      <c r="R88" s="343"/>
      <c r="S88" s="346"/>
      <c r="T88" s="150" t="s">
        <v>57</v>
      </c>
      <c r="U88" s="150" t="s">
        <v>2912</v>
      </c>
      <c r="V88" s="403"/>
      <c r="W88" s="406">
        <v>4558</v>
      </c>
      <c r="X88" s="406">
        <v>3418.5099999999998</v>
      </c>
      <c r="Y88" s="425"/>
      <c r="Z88" s="71"/>
      <c r="AA88" s="426"/>
      <c r="AB88" s="427"/>
      <c r="AC88" s="427"/>
      <c r="AD88" s="428" t="s">
        <v>1142</v>
      </c>
      <c r="AE88" s="429">
        <v>0</v>
      </c>
      <c r="AF88" s="429">
        <v>0</v>
      </c>
      <c r="AG88" s="363">
        <v>379.83</v>
      </c>
      <c r="AH88" s="363">
        <v>379.83</v>
      </c>
      <c r="AI88" s="363">
        <v>379.83</v>
      </c>
      <c r="AJ88" s="363">
        <v>379.83</v>
      </c>
      <c r="AK88" s="363">
        <v>379.83</v>
      </c>
      <c r="AL88" s="363">
        <v>379.87</v>
      </c>
      <c r="AM88" s="560">
        <f t="shared" si="3"/>
        <v>2279.02</v>
      </c>
      <c r="AN88" s="362">
        <f>ERP_26[[#This Row],[2026 Working Total]]-ERP_26[[#This Row],[LE2 Final Submission]]</f>
        <v>-1139.4899999999998</v>
      </c>
      <c r="AO88" s="79">
        <v>379.83</v>
      </c>
      <c r="AP88" s="79">
        <f t="shared" si="4"/>
        <v>-379.83</v>
      </c>
      <c r="AQ88" s="374">
        <f>SUM(ERP_26[[#This Row],[AP01]:[AP06]])-SUM(ERP_26[[#This Row],[AP01 LE2]:[AP06 LE2]])</f>
        <v>-1139.49</v>
      </c>
      <c r="AR88" s="80"/>
      <c r="AS88" s="79">
        <f>ERP_26[[#This Row],[2026 Working Total to Budget/LE]]-ERP_26[[#This Row],[Giveback]]</f>
        <v>-1139.4899999999998</v>
      </c>
      <c r="AT88" s="81"/>
      <c r="AU88" s="375"/>
      <c r="AV88" s="375"/>
      <c r="AW88" s="375"/>
      <c r="AX88" s="375">
        <v>379.83</v>
      </c>
      <c r="AY88" s="375">
        <v>379.83</v>
      </c>
      <c r="AZ88" s="375">
        <v>379.83</v>
      </c>
      <c r="BA88" s="375">
        <v>379.83</v>
      </c>
      <c r="BB88" s="375">
        <v>379.83</v>
      </c>
      <c r="BC88" s="375">
        <v>379.83</v>
      </c>
      <c r="BD88" s="375">
        <v>379.83</v>
      </c>
      <c r="BE88" s="375">
        <v>379.83</v>
      </c>
      <c r="BF88" s="375">
        <v>379.87</v>
      </c>
      <c r="BG88" s="375">
        <v>3418.5099999999998</v>
      </c>
      <c r="BH88" s="79"/>
      <c r="BI88" s="79"/>
      <c r="BJ88" s="79"/>
      <c r="BK88" s="79">
        <v>379.83</v>
      </c>
      <c r="BL88" s="79">
        <v>379.83</v>
      </c>
      <c r="BM88" s="79">
        <v>379.83</v>
      </c>
      <c r="BN88" s="79">
        <v>379.83</v>
      </c>
      <c r="BO88" s="79">
        <v>379.83</v>
      </c>
      <c r="BP88" s="79">
        <v>379.83</v>
      </c>
      <c r="BQ88" s="79">
        <v>379.83</v>
      </c>
      <c r="BR88" s="79">
        <v>379.83</v>
      </c>
      <c r="BS88" s="79">
        <v>379.87</v>
      </c>
      <c r="BT88" s="79">
        <v>3418.5099999999998</v>
      </c>
    </row>
    <row r="89" spans="1:72" ht="15" customHeight="1">
      <c r="A89" s="66" t="s">
        <v>1840</v>
      </c>
      <c r="B89" s="66"/>
      <c r="C89" s="66" t="s">
        <v>437</v>
      </c>
      <c r="D89" s="66" t="s">
        <v>1841</v>
      </c>
      <c r="E89" s="150" t="s">
        <v>1136</v>
      </c>
      <c r="F89" s="482" t="s">
        <v>1566</v>
      </c>
      <c r="G89" s="150" t="s">
        <v>1135</v>
      </c>
      <c r="H89" s="150" t="s">
        <v>1165</v>
      </c>
      <c r="I89" s="150" t="s">
        <v>1135</v>
      </c>
      <c r="J89" s="150" t="s">
        <v>1165</v>
      </c>
      <c r="K89" s="150" t="s">
        <v>1137</v>
      </c>
      <c r="L89" s="511" t="s">
        <v>389</v>
      </c>
      <c r="M89" s="392" t="s">
        <v>1842</v>
      </c>
      <c r="N89" s="343"/>
      <c r="O89" s="343"/>
      <c r="P89" s="70" t="s">
        <v>438</v>
      </c>
      <c r="Q89" s="346"/>
      <c r="R89" s="343"/>
      <c r="S89" s="346"/>
      <c r="T89" s="150" t="s">
        <v>439</v>
      </c>
      <c r="U89" s="150"/>
      <c r="V89" s="403"/>
      <c r="W89" s="406">
        <v>60000</v>
      </c>
      <c r="X89" s="406">
        <v>59587</v>
      </c>
      <c r="Y89" s="425"/>
      <c r="Z89" s="71"/>
      <c r="AA89" s="426"/>
      <c r="AB89" s="427"/>
      <c r="AC89" s="427">
        <v>7840</v>
      </c>
      <c r="AD89" s="428">
        <v>4772.18</v>
      </c>
      <c r="AE89" s="429">
        <v>4772.17</v>
      </c>
      <c r="AF89" s="429">
        <v>4075.2199999999993</v>
      </c>
      <c r="AG89" s="363">
        <v>5000</v>
      </c>
      <c r="AH89" s="363">
        <v>5000</v>
      </c>
      <c r="AI89" s="363">
        <v>5000</v>
      </c>
      <c r="AJ89" s="363">
        <v>5000</v>
      </c>
      <c r="AK89" s="363">
        <v>5000</v>
      </c>
      <c r="AL89" s="363">
        <v>5000</v>
      </c>
      <c r="AM89" s="360">
        <f t="shared" si="3"/>
        <v>51459.57</v>
      </c>
      <c r="AN89" s="362">
        <f>ERP_26[[#This Row],[2026 Working Total]]-ERP_26[[#This Row],[LE2 Final Submission]]</f>
        <v>-8127.43</v>
      </c>
      <c r="AO89" s="79">
        <v>5000</v>
      </c>
      <c r="AP89" s="79">
        <f t="shared" si="4"/>
        <v>-924.78000000000065</v>
      </c>
      <c r="AQ89" s="374">
        <f>SUM(ERP_26[[#This Row],[AP01]:[AP06]])-SUM(ERP_26[[#This Row],[AP01 LE2]:[AP06 LE2]])</f>
        <v>-8127.43</v>
      </c>
      <c r="AR89" s="80"/>
      <c r="AS89" s="79">
        <f>ERP_26[[#This Row],[2026 Working Total to Budget/LE]]-ERP_26[[#This Row],[Giveback]]</f>
        <v>-8127.43</v>
      </c>
      <c r="AT89" s="81"/>
      <c r="AU89" s="375"/>
      <c r="AV89" s="375"/>
      <c r="AW89" s="375">
        <v>7840</v>
      </c>
      <c r="AX89" s="375">
        <v>11747</v>
      </c>
      <c r="AY89" s="375">
        <v>5000</v>
      </c>
      <c r="AZ89" s="375">
        <v>5000</v>
      </c>
      <c r="BA89" s="375">
        <v>5000</v>
      </c>
      <c r="BB89" s="375">
        <v>5000</v>
      </c>
      <c r="BC89" s="375">
        <v>5000</v>
      </c>
      <c r="BD89" s="375">
        <v>5000</v>
      </c>
      <c r="BE89" s="375">
        <v>5000</v>
      </c>
      <c r="BF89" s="375">
        <v>5000</v>
      </c>
      <c r="BG89" s="375">
        <v>59587</v>
      </c>
      <c r="BH89" s="79"/>
      <c r="BI89" s="79"/>
      <c r="BJ89" s="79">
        <v>7840</v>
      </c>
      <c r="BK89" s="79">
        <v>5000</v>
      </c>
      <c r="BL89" s="79">
        <v>5000</v>
      </c>
      <c r="BM89" s="79">
        <v>5000</v>
      </c>
      <c r="BN89" s="79">
        <v>5000</v>
      </c>
      <c r="BO89" s="79">
        <v>5000</v>
      </c>
      <c r="BP89" s="79">
        <v>5000</v>
      </c>
      <c r="BQ89" s="79">
        <v>5000</v>
      </c>
      <c r="BR89" s="79">
        <v>5000</v>
      </c>
      <c r="BS89" s="79">
        <v>5000</v>
      </c>
      <c r="BT89" s="79">
        <v>52840</v>
      </c>
    </row>
    <row r="90" spans="1:72" ht="15" customHeight="1">
      <c r="A90" s="66" t="s">
        <v>1843</v>
      </c>
      <c r="B90" s="66" t="s">
        <v>2950</v>
      </c>
      <c r="C90" s="66" t="s">
        <v>440</v>
      </c>
      <c r="D90" s="66" t="s">
        <v>440</v>
      </c>
      <c r="E90" s="150" t="s">
        <v>1136</v>
      </c>
      <c r="F90" s="482" t="s">
        <v>1566</v>
      </c>
      <c r="G90" s="150" t="s">
        <v>1135</v>
      </c>
      <c r="H90" s="150" t="s">
        <v>1135</v>
      </c>
      <c r="I90" s="150" t="s">
        <v>1135</v>
      </c>
      <c r="J90" s="150" t="s">
        <v>1135</v>
      </c>
      <c r="K90" s="150" t="s">
        <v>1137</v>
      </c>
      <c r="L90" s="511" t="s">
        <v>389</v>
      </c>
      <c r="M90" s="392" t="s">
        <v>1844</v>
      </c>
      <c r="N90" s="343"/>
      <c r="O90" s="343"/>
      <c r="P90" s="70" t="s">
        <v>441</v>
      </c>
      <c r="Q90" s="346"/>
      <c r="R90" s="343"/>
      <c r="S90" s="346"/>
      <c r="T90" s="150" t="s">
        <v>57</v>
      </c>
      <c r="U90" s="150"/>
      <c r="V90" s="403"/>
      <c r="W90" s="406">
        <v>0</v>
      </c>
      <c r="X90" s="406">
        <v>10582.559999999998</v>
      </c>
      <c r="Y90" s="425"/>
      <c r="Z90" s="425"/>
      <c r="AA90" s="426">
        <v>881.88</v>
      </c>
      <c r="AB90" s="427">
        <v>881.88</v>
      </c>
      <c r="AC90" s="427">
        <v>881.88</v>
      </c>
      <c r="AD90" s="428">
        <v>881.88</v>
      </c>
      <c r="AE90" s="429">
        <v>881.88</v>
      </c>
      <c r="AF90" s="429">
        <v>881.88</v>
      </c>
      <c r="AG90" s="363">
        <v>881.88</v>
      </c>
      <c r="AH90" s="363">
        <v>881.88</v>
      </c>
      <c r="AI90" s="363">
        <v>881.88</v>
      </c>
      <c r="AJ90" s="363">
        <v>881.88</v>
      </c>
      <c r="AK90" s="363">
        <v>881.88</v>
      </c>
      <c r="AL90" s="363">
        <v>881.88</v>
      </c>
      <c r="AM90" s="560">
        <f t="shared" si="3"/>
        <v>10582.559999999998</v>
      </c>
      <c r="AN90" s="362">
        <f>ERP_26[[#This Row],[2026 Working Total]]-ERP_26[[#This Row],[LE2 Final Submission]]</f>
        <v>0</v>
      </c>
      <c r="AO90" s="79">
        <v>881.88</v>
      </c>
      <c r="AP90" s="79">
        <f t="shared" si="4"/>
        <v>0</v>
      </c>
      <c r="AQ90" s="374">
        <f>SUM(ERP_26[[#This Row],[AP01]:[AP06]])-SUM(ERP_26[[#This Row],[AP01 LE2]:[AP06 LE2]])</f>
        <v>0</v>
      </c>
      <c r="AR90" s="80"/>
      <c r="AS90" s="79">
        <f>ERP_26[[#This Row],[2026 Working Total to Budget/LE]]-ERP_26[[#This Row],[Giveback]]</f>
        <v>0</v>
      </c>
      <c r="AT90" s="81"/>
      <c r="AU90" s="375">
        <v>881.88</v>
      </c>
      <c r="AV90" s="375">
        <v>881.88</v>
      </c>
      <c r="AW90" s="375">
        <v>881.88</v>
      </c>
      <c r="AX90" s="375">
        <v>881.88</v>
      </c>
      <c r="AY90" s="375">
        <v>881.88</v>
      </c>
      <c r="AZ90" s="375">
        <v>881.88</v>
      </c>
      <c r="BA90" s="375">
        <v>881.88</v>
      </c>
      <c r="BB90" s="375">
        <v>881.88</v>
      </c>
      <c r="BC90" s="375">
        <v>881.88</v>
      </c>
      <c r="BD90" s="375">
        <v>881.88</v>
      </c>
      <c r="BE90" s="375">
        <v>881.88</v>
      </c>
      <c r="BF90" s="375">
        <v>881.88</v>
      </c>
      <c r="BG90" s="375">
        <v>10582.559999999998</v>
      </c>
      <c r="BH90" s="79">
        <v>881.88</v>
      </c>
      <c r="BI90" s="79">
        <v>881.88</v>
      </c>
      <c r="BJ90" s="79">
        <v>881.88</v>
      </c>
      <c r="BK90" s="79">
        <v>0</v>
      </c>
      <c r="BL90" s="79">
        <v>0</v>
      </c>
      <c r="BM90" s="79">
        <v>0</v>
      </c>
      <c r="BN90" s="79">
        <v>0</v>
      </c>
      <c r="BO90" s="79">
        <v>0</v>
      </c>
      <c r="BP90" s="79">
        <v>0</v>
      </c>
      <c r="BQ90" s="79">
        <v>0</v>
      </c>
      <c r="BR90" s="79">
        <v>0</v>
      </c>
      <c r="BS90" s="79">
        <v>0</v>
      </c>
      <c r="BT90" s="79">
        <v>2645.64</v>
      </c>
    </row>
    <row r="91" spans="1:72" ht="15" customHeight="1">
      <c r="A91" s="66" t="s">
        <v>1847</v>
      </c>
      <c r="B91" s="66"/>
      <c r="C91" s="66" t="s">
        <v>442</v>
      </c>
      <c r="D91" s="66" t="s">
        <v>1848</v>
      </c>
      <c r="E91" s="150" t="s">
        <v>1136</v>
      </c>
      <c r="F91" s="482" t="s">
        <v>1566</v>
      </c>
      <c r="G91" s="150" t="s">
        <v>1135</v>
      </c>
      <c r="H91" s="150" t="s">
        <v>1165</v>
      </c>
      <c r="I91" s="150" t="s">
        <v>1135</v>
      </c>
      <c r="J91" s="150" t="s">
        <v>1165</v>
      </c>
      <c r="K91" s="150" t="s">
        <v>1137</v>
      </c>
      <c r="L91" s="511" t="s">
        <v>389</v>
      </c>
      <c r="M91" s="392" t="s">
        <v>1849</v>
      </c>
      <c r="N91" s="343"/>
      <c r="O91" s="343"/>
      <c r="P91" s="70" t="s">
        <v>443</v>
      </c>
      <c r="Q91" s="346"/>
      <c r="R91" s="343"/>
      <c r="S91" s="346"/>
      <c r="T91" s="150" t="s">
        <v>57</v>
      </c>
      <c r="U91" s="150"/>
      <c r="V91" s="403"/>
      <c r="W91" s="406">
        <v>10599.999996000004</v>
      </c>
      <c r="X91" s="406">
        <v>10595.639997000004</v>
      </c>
      <c r="Y91" s="425"/>
      <c r="Z91" s="71"/>
      <c r="AA91" s="426">
        <v>881.88</v>
      </c>
      <c r="AB91" s="427">
        <v>881.88</v>
      </c>
      <c r="AC91" s="427">
        <v>881.88</v>
      </c>
      <c r="AD91" s="428">
        <v>881.88</v>
      </c>
      <c r="AE91" s="429">
        <v>881.88</v>
      </c>
      <c r="AF91" s="429">
        <v>881.88</v>
      </c>
      <c r="AG91" s="363">
        <v>883.33333300000004</v>
      </c>
      <c r="AH91" s="363">
        <v>883.33333300000004</v>
      </c>
      <c r="AI91" s="363">
        <v>883.33333300000004</v>
      </c>
      <c r="AJ91" s="363">
        <v>883.33333300000004</v>
      </c>
      <c r="AK91" s="363">
        <v>883.33333300000004</v>
      </c>
      <c r="AL91" s="363">
        <v>883.33333300000004</v>
      </c>
      <c r="AM91" s="360">
        <f t="shared" si="3"/>
        <v>10591.279998000002</v>
      </c>
      <c r="AN91" s="362">
        <f>ERP_26[[#This Row],[2026 Working Total]]-ERP_26[[#This Row],[LE2 Final Submission]]</f>
        <v>-4.3599990000020625</v>
      </c>
      <c r="AO91" s="79">
        <v>883.33333300000004</v>
      </c>
      <c r="AP91" s="79">
        <f t="shared" si="4"/>
        <v>-1.4533330000000433</v>
      </c>
      <c r="AQ91" s="374">
        <f>SUM(ERP_26[[#This Row],[AP01]:[AP06]])-SUM(ERP_26[[#This Row],[AP01 LE2]:[AP06 LE2]])</f>
        <v>-4.359999000001153</v>
      </c>
      <c r="AR91" s="80"/>
      <c r="AS91" s="79">
        <f>ERP_26[[#This Row],[2026 Working Total to Budget/LE]]-ERP_26[[#This Row],[Giveback]]</f>
        <v>-4.3599990000020625</v>
      </c>
      <c r="AT91" s="81"/>
      <c r="AU91" s="375">
        <v>881.88</v>
      </c>
      <c r="AV91" s="375">
        <v>881.88</v>
      </c>
      <c r="AW91" s="375">
        <v>881.88</v>
      </c>
      <c r="AX91" s="375">
        <v>883.33333300000004</v>
      </c>
      <c r="AY91" s="375">
        <v>883.33333300000004</v>
      </c>
      <c r="AZ91" s="375">
        <v>883.33333300000004</v>
      </c>
      <c r="BA91" s="375">
        <v>883.33333300000004</v>
      </c>
      <c r="BB91" s="375">
        <v>883.33333300000004</v>
      </c>
      <c r="BC91" s="375">
        <v>883.33333300000004</v>
      </c>
      <c r="BD91" s="375">
        <v>883.33333300000004</v>
      </c>
      <c r="BE91" s="375">
        <v>883.33333300000004</v>
      </c>
      <c r="BF91" s="375">
        <v>883.33333300000004</v>
      </c>
      <c r="BG91" s="375">
        <v>10595.639997000004</v>
      </c>
      <c r="BH91" s="79">
        <v>881.88</v>
      </c>
      <c r="BI91" s="79">
        <v>881.88</v>
      </c>
      <c r="BJ91" s="79">
        <v>881.88</v>
      </c>
      <c r="BK91" s="79">
        <v>883.33333300000004</v>
      </c>
      <c r="BL91" s="79">
        <v>883.33333300000004</v>
      </c>
      <c r="BM91" s="79">
        <v>883.33333300000004</v>
      </c>
      <c r="BN91" s="79">
        <v>883.33333300000004</v>
      </c>
      <c r="BO91" s="79">
        <v>883.33333300000004</v>
      </c>
      <c r="BP91" s="79">
        <v>883.33333300000004</v>
      </c>
      <c r="BQ91" s="79">
        <v>883.33333300000004</v>
      </c>
      <c r="BR91" s="79">
        <v>883.33333300000004</v>
      </c>
      <c r="BS91" s="79">
        <v>883.33333300000004</v>
      </c>
      <c r="BT91" s="79">
        <v>10595.639997000004</v>
      </c>
    </row>
    <row r="92" spans="1:72" ht="15" customHeight="1">
      <c r="A92" s="66" t="s">
        <v>1850</v>
      </c>
      <c r="B92" s="66"/>
      <c r="C92" s="66" t="s">
        <v>444</v>
      </c>
      <c r="D92" s="66" t="s">
        <v>1851</v>
      </c>
      <c r="E92" s="150" t="s">
        <v>1136</v>
      </c>
      <c r="F92" s="482" t="s">
        <v>1566</v>
      </c>
      <c r="G92" s="150" t="s">
        <v>1135</v>
      </c>
      <c r="H92" s="150" t="s">
        <v>1165</v>
      </c>
      <c r="I92" s="150" t="s">
        <v>1135</v>
      </c>
      <c r="J92" s="150" t="s">
        <v>1165</v>
      </c>
      <c r="K92" s="150" t="s">
        <v>1137</v>
      </c>
      <c r="L92" s="511" t="s">
        <v>389</v>
      </c>
      <c r="M92" s="392" t="s">
        <v>1852</v>
      </c>
      <c r="N92" s="343"/>
      <c r="O92" s="343"/>
      <c r="P92" s="70" t="s">
        <v>445</v>
      </c>
      <c r="Q92" s="346"/>
      <c r="R92" s="343"/>
      <c r="S92" s="346"/>
      <c r="T92" s="150" t="s">
        <v>434</v>
      </c>
      <c r="U92" s="150"/>
      <c r="V92" s="403"/>
      <c r="W92" s="406">
        <v>132431.04000000001</v>
      </c>
      <c r="X92" s="406">
        <v>123849.26</v>
      </c>
      <c r="Y92" s="425"/>
      <c r="Z92" s="71"/>
      <c r="AA92" s="426">
        <v>10548.89</v>
      </c>
      <c r="AB92" s="427">
        <v>8790.74</v>
      </c>
      <c r="AC92" s="427">
        <v>9845.6299999999992</v>
      </c>
      <c r="AD92" s="428">
        <v>12307.019999999999</v>
      </c>
      <c r="AE92" s="429">
        <v>9845.619999999999</v>
      </c>
      <c r="AF92" s="429">
        <v>9845.64</v>
      </c>
      <c r="AG92" s="363">
        <v>10296</v>
      </c>
      <c r="AH92" s="363">
        <v>10296</v>
      </c>
      <c r="AI92" s="363">
        <v>10296</v>
      </c>
      <c r="AJ92" s="363">
        <v>10296</v>
      </c>
      <c r="AK92" s="363">
        <v>10296</v>
      </c>
      <c r="AL92" s="363">
        <v>10296</v>
      </c>
      <c r="AM92" s="360">
        <f t="shared" si="3"/>
        <v>122959.54</v>
      </c>
      <c r="AN92" s="362">
        <f>ERP_26[[#This Row],[2026 Working Total]]-ERP_26[[#This Row],[LE2 Final Submission]]</f>
        <v>-889.72000000000116</v>
      </c>
      <c r="AO92" s="79">
        <v>10296</v>
      </c>
      <c r="AP92" s="79">
        <f t="shared" si="4"/>
        <v>-450.36000000000058</v>
      </c>
      <c r="AQ92" s="374">
        <f>SUM(ERP_26[[#This Row],[AP01]:[AP06]])-SUM(ERP_26[[#This Row],[AP01 LE2]:[AP06 LE2]])</f>
        <v>-889.72000000000116</v>
      </c>
      <c r="AR92" s="80"/>
      <c r="AS92" s="79">
        <f>ERP_26[[#This Row],[2026 Working Total to Budget/LE]]-ERP_26[[#This Row],[Giveback]]</f>
        <v>-889.72000000000116</v>
      </c>
      <c r="AT92" s="81"/>
      <c r="AU92" s="375">
        <v>10548.89</v>
      </c>
      <c r="AV92" s="375">
        <v>8790.74</v>
      </c>
      <c r="AW92" s="375">
        <v>9845.6299999999992</v>
      </c>
      <c r="AX92" s="375">
        <v>12296</v>
      </c>
      <c r="AY92" s="375">
        <v>10296</v>
      </c>
      <c r="AZ92" s="375">
        <v>10296</v>
      </c>
      <c r="BA92" s="375">
        <v>10296</v>
      </c>
      <c r="BB92" s="375">
        <v>10296</v>
      </c>
      <c r="BC92" s="375">
        <v>10296</v>
      </c>
      <c r="BD92" s="375">
        <v>10296</v>
      </c>
      <c r="BE92" s="375">
        <v>10296</v>
      </c>
      <c r="BF92" s="375">
        <v>10296</v>
      </c>
      <c r="BG92" s="375">
        <v>123849.26</v>
      </c>
      <c r="BH92" s="79">
        <v>10548.89</v>
      </c>
      <c r="BI92" s="79">
        <v>8790.74</v>
      </c>
      <c r="BJ92" s="79">
        <v>9845.6299999999992</v>
      </c>
      <c r="BK92" s="79">
        <v>11035.92</v>
      </c>
      <c r="BL92" s="79">
        <v>11035.92</v>
      </c>
      <c r="BM92" s="79">
        <v>11035.92</v>
      </c>
      <c r="BN92" s="79">
        <v>11035.92</v>
      </c>
      <c r="BO92" s="79">
        <v>11035.92</v>
      </c>
      <c r="BP92" s="79">
        <v>11035.92</v>
      </c>
      <c r="BQ92" s="79">
        <v>11035.92</v>
      </c>
      <c r="BR92" s="79">
        <v>11035.92</v>
      </c>
      <c r="BS92" s="79">
        <v>11035.92</v>
      </c>
      <c r="BT92" s="79">
        <v>128508.53999999998</v>
      </c>
    </row>
    <row r="93" spans="1:72" ht="15" customHeight="1">
      <c r="A93" s="79" t="s">
        <v>1853</v>
      </c>
      <c r="B93" s="79"/>
      <c r="C93" s="79" t="s">
        <v>446</v>
      </c>
      <c r="D93" s="296" t="s">
        <v>1854</v>
      </c>
      <c r="E93" s="150" t="s">
        <v>1136</v>
      </c>
      <c r="F93" s="482" t="s">
        <v>1566</v>
      </c>
      <c r="G93" s="150" t="s">
        <v>1135</v>
      </c>
      <c r="H93" s="150" t="s">
        <v>1135</v>
      </c>
      <c r="I93" s="332" t="s">
        <v>1135</v>
      </c>
      <c r="J93" s="383" t="s">
        <v>1137</v>
      </c>
      <c r="K93" s="331" t="s">
        <v>1137</v>
      </c>
      <c r="L93" s="512" t="s">
        <v>389</v>
      </c>
      <c r="M93" s="393" t="s">
        <v>1855</v>
      </c>
      <c r="N93" s="343"/>
      <c r="O93" s="331"/>
      <c r="P93" s="91" t="s">
        <v>447</v>
      </c>
      <c r="Q93" s="343"/>
      <c r="R93" s="346" t="s">
        <v>1221</v>
      </c>
      <c r="S93" s="348"/>
      <c r="T93" s="386" t="s">
        <v>57</v>
      </c>
      <c r="U93" s="387" t="s">
        <v>1856</v>
      </c>
      <c r="V93" s="432"/>
      <c r="W93" s="358">
        <v>6000</v>
      </c>
      <c r="X93" s="378">
        <v>4500</v>
      </c>
      <c r="Y93" s="425"/>
      <c r="Z93" s="71"/>
      <c r="AA93" s="433"/>
      <c r="AB93" s="434"/>
      <c r="AC93" s="434"/>
      <c r="AD93" s="428" t="s">
        <v>1142</v>
      </c>
      <c r="AE93" s="429">
        <v>0</v>
      </c>
      <c r="AF93" s="429">
        <v>0</v>
      </c>
      <c r="AG93" s="388">
        <v>500</v>
      </c>
      <c r="AH93" s="388">
        <v>500</v>
      </c>
      <c r="AI93" s="388">
        <v>500</v>
      </c>
      <c r="AJ93" s="388">
        <v>500</v>
      </c>
      <c r="AK93" s="388">
        <v>500</v>
      </c>
      <c r="AL93" s="388">
        <v>500</v>
      </c>
      <c r="AM93" s="360">
        <f t="shared" si="3"/>
        <v>3000</v>
      </c>
      <c r="AN93" s="362">
        <f>ERP_26[[#This Row],[2026 Working Total]]-ERP_26[[#This Row],[LE2 Final Submission]]</f>
        <v>-1500</v>
      </c>
      <c r="AO93" s="79">
        <v>500</v>
      </c>
      <c r="AP93" s="79">
        <f t="shared" si="4"/>
        <v>-500</v>
      </c>
      <c r="AQ93" s="374">
        <f>SUM(ERP_26[[#This Row],[AP01]:[AP06]])-SUM(ERP_26[[#This Row],[AP01 LE2]:[AP06 LE2]])</f>
        <v>-1500</v>
      </c>
      <c r="AR93" s="80"/>
      <c r="AS93" s="79">
        <f>ERP_26[[#This Row],[2026 Working Total to Budget/LE]]-ERP_26[[#This Row],[Giveback]]</f>
        <v>-1500</v>
      </c>
      <c r="AT93" s="81"/>
      <c r="AU93" s="375"/>
      <c r="AV93" s="375"/>
      <c r="AW93" s="375"/>
      <c r="AX93" s="375">
        <v>500</v>
      </c>
      <c r="AY93" s="375">
        <v>500</v>
      </c>
      <c r="AZ93" s="375">
        <v>500</v>
      </c>
      <c r="BA93" s="375">
        <v>500</v>
      </c>
      <c r="BB93" s="375">
        <v>500</v>
      </c>
      <c r="BC93" s="375">
        <v>500</v>
      </c>
      <c r="BD93" s="375">
        <v>500</v>
      </c>
      <c r="BE93" s="375">
        <v>500</v>
      </c>
      <c r="BF93" s="375">
        <v>500</v>
      </c>
      <c r="BG93" s="375">
        <v>4500</v>
      </c>
      <c r="BH93" s="103">
        <v>500</v>
      </c>
      <c r="BI93" s="103">
        <v>500</v>
      </c>
      <c r="BJ93" s="103">
        <v>500</v>
      </c>
      <c r="BK93" s="103">
        <v>500</v>
      </c>
      <c r="BL93" s="103">
        <v>500</v>
      </c>
      <c r="BM93" s="103">
        <v>500</v>
      </c>
      <c r="BN93" s="103">
        <v>500</v>
      </c>
      <c r="BO93" s="103">
        <v>500</v>
      </c>
      <c r="BP93" s="103">
        <v>500</v>
      </c>
      <c r="BQ93" s="103">
        <v>500</v>
      </c>
      <c r="BR93" s="103">
        <v>500</v>
      </c>
      <c r="BS93" s="103">
        <v>500</v>
      </c>
      <c r="BT93" s="79">
        <f>SUM(ERP_26[[#This Row],[2026 AP01]:[2026 AP12]])</f>
        <v>6000</v>
      </c>
    </row>
    <row r="94" spans="1:72" ht="15" customHeight="1">
      <c r="A94" s="66" t="s">
        <v>1861</v>
      </c>
      <c r="B94" s="66"/>
      <c r="C94" s="66" t="s">
        <v>450</v>
      </c>
      <c r="D94" s="66" t="s">
        <v>1862</v>
      </c>
      <c r="E94" s="150" t="s">
        <v>1136</v>
      </c>
      <c r="F94" s="482" t="s">
        <v>1566</v>
      </c>
      <c r="G94" s="150" t="s">
        <v>1135</v>
      </c>
      <c r="H94" s="150" t="s">
        <v>1165</v>
      </c>
      <c r="I94" s="150" t="s">
        <v>1135</v>
      </c>
      <c r="J94" s="150" t="s">
        <v>1165</v>
      </c>
      <c r="K94" s="150" t="s">
        <v>1137</v>
      </c>
      <c r="L94" s="511" t="s">
        <v>389</v>
      </c>
      <c r="M94" s="392" t="s">
        <v>1863</v>
      </c>
      <c r="N94" s="343"/>
      <c r="O94" s="343"/>
      <c r="P94" s="70" t="s">
        <v>451</v>
      </c>
      <c r="Q94" s="346"/>
      <c r="R94" s="346" t="s">
        <v>1140</v>
      </c>
      <c r="S94" s="346"/>
      <c r="T94" s="150" t="s">
        <v>57</v>
      </c>
      <c r="U94" s="150"/>
      <c r="V94" s="403"/>
      <c r="W94" s="406">
        <v>26558.000004000005</v>
      </c>
      <c r="X94" s="406">
        <v>24873.730003000001</v>
      </c>
      <c r="Y94" s="425"/>
      <c r="Z94" s="71"/>
      <c r="AA94" s="426">
        <v>1680.68</v>
      </c>
      <c r="AB94" s="427">
        <v>1679.61</v>
      </c>
      <c r="AC94" s="427">
        <v>1594.94</v>
      </c>
      <c r="AD94" s="428">
        <v>1713.8500000000004</v>
      </c>
      <c r="AE94" s="429">
        <v>1788.77</v>
      </c>
      <c r="AF94" s="429">
        <v>1781.77</v>
      </c>
      <c r="AG94" s="363">
        <v>2213.166667</v>
      </c>
      <c r="AH94" s="363">
        <v>2213.166667</v>
      </c>
      <c r="AI94" s="363">
        <v>2213.166667</v>
      </c>
      <c r="AJ94" s="363">
        <v>2213.166667</v>
      </c>
      <c r="AK94" s="363">
        <v>2213.166667</v>
      </c>
      <c r="AL94" s="363">
        <v>2213.166667</v>
      </c>
      <c r="AM94" s="360">
        <f t="shared" si="3"/>
        <v>23518.620002000003</v>
      </c>
      <c r="AN94" s="362">
        <f>ERP_26[[#This Row],[2026 Working Total]]-ERP_26[[#This Row],[LE2 Final Submission]]</f>
        <v>-1355.1100009999973</v>
      </c>
      <c r="AO94" s="79">
        <v>2213.166667</v>
      </c>
      <c r="AP94" s="79">
        <f t="shared" si="4"/>
        <v>-431.39666699999998</v>
      </c>
      <c r="AQ94" s="374">
        <f>SUM(ERP_26[[#This Row],[AP01]:[AP06]])-SUM(ERP_26[[#This Row],[AP01 LE2]:[AP06 LE2]])</f>
        <v>-1355.1100009999973</v>
      </c>
      <c r="AR94" s="80"/>
      <c r="AS94" s="79">
        <f>ERP_26[[#This Row],[2026 Working Total to Budget/LE]]-ERP_26[[#This Row],[Giveback]]</f>
        <v>-1355.1100009999973</v>
      </c>
      <c r="AT94" s="81"/>
      <c r="AU94" s="375">
        <v>1680.68</v>
      </c>
      <c r="AV94" s="375">
        <v>1679.61</v>
      </c>
      <c r="AW94" s="375">
        <v>1594.94</v>
      </c>
      <c r="AX94" s="375">
        <v>2213.166667</v>
      </c>
      <c r="AY94" s="375">
        <v>2213.166667</v>
      </c>
      <c r="AZ94" s="375">
        <v>2213.166667</v>
      </c>
      <c r="BA94" s="375">
        <v>2213.166667</v>
      </c>
      <c r="BB94" s="375">
        <v>2213.166667</v>
      </c>
      <c r="BC94" s="375">
        <v>2213.166667</v>
      </c>
      <c r="BD94" s="375">
        <v>2213.166667</v>
      </c>
      <c r="BE94" s="375">
        <v>2213.166667</v>
      </c>
      <c r="BF94" s="375">
        <v>2213.166667</v>
      </c>
      <c r="BG94" s="375">
        <v>24873.730003000001</v>
      </c>
      <c r="BH94" s="79">
        <v>1680.68</v>
      </c>
      <c r="BI94" s="79">
        <v>1679.61</v>
      </c>
      <c r="BJ94" s="79">
        <v>1594.94</v>
      </c>
      <c r="BK94" s="79">
        <v>2213.166667</v>
      </c>
      <c r="BL94" s="79">
        <v>2213.166667</v>
      </c>
      <c r="BM94" s="79">
        <v>2213.166667</v>
      </c>
      <c r="BN94" s="79">
        <v>2213.166667</v>
      </c>
      <c r="BO94" s="79">
        <v>2213.166667</v>
      </c>
      <c r="BP94" s="79">
        <v>2213.166667</v>
      </c>
      <c r="BQ94" s="79">
        <v>2213.166667</v>
      </c>
      <c r="BR94" s="79">
        <v>2213.166667</v>
      </c>
      <c r="BS94" s="79">
        <v>2213.166667</v>
      </c>
      <c r="BT94" s="79">
        <v>24873.730003000001</v>
      </c>
    </row>
    <row r="95" spans="1:72" ht="15" customHeight="1">
      <c r="A95" s="66" t="s">
        <v>1869</v>
      </c>
      <c r="B95" s="66"/>
      <c r="C95" s="66" t="s">
        <v>454</v>
      </c>
      <c r="D95" s="66" t="s">
        <v>1870</v>
      </c>
      <c r="E95" s="150" t="s">
        <v>1136</v>
      </c>
      <c r="F95" s="482" t="s">
        <v>1566</v>
      </c>
      <c r="G95" s="150" t="s">
        <v>1135</v>
      </c>
      <c r="H95" s="150" t="s">
        <v>1165</v>
      </c>
      <c r="I95" s="150" t="s">
        <v>1135</v>
      </c>
      <c r="J95" s="150" t="s">
        <v>1165</v>
      </c>
      <c r="K95" s="150" t="s">
        <v>1137</v>
      </c>
      <c r="L95" s="511" t="s">
        <v>389</v>
      </c>
      <c r="M95" s="392" t="s">
        <v>1871</v>
      </c>
      <c r="N95" s="343"/>
      <c r="O95" s="343"/>
      <c r="P95" s="70" t="s">
        <v>455</v>
      </c>
      <c r="Q95" s="346"/>
      <c r="R95" s="343"/>
      <c r="S95" s="346"/>
      <c r="T95" s="150" t="s">
        <v>427</v>
      </c>
      <c r="U95" s="150"/>
      <c r="V95" s="403"/>
      <c r="W95" s="406">
        <v>376200</v>
      </c>
      <c r="X95" s="406">
        <v>376200.45999999996</v>
      </c>
      <c r="Y95" s="425"/>
      <c r="Z95" s="71"/>
      <c r="AA95" s="426">
        <v>25838</v>
      </c>
      <c r="AB95" s="427">
        <v>36872.379999999997</v>
      </c>
      <c r="AC95" s="427">
        <v>31340.080000000002</v>
      </c>
      <c r="AD95" s="428">
        <v>25837.46</v>
      </c>
      <c r="AE95" s="429">
        <v>36862.460000000006</v>
      </c>
      <c r="AF95" s="429">
        <v>31349.62</v>
      </c>
      <c r="AG95" s="363">
        <v>31350</v>
      </c>
      <c r="AH95" s="363">
        <v>31350</v>
      </c>
      <c r="AI95" s="363">
        <v>31350</v>
      </c>
      <c r="AJ95" s="363">
        <v>31350</v>
      </c>
      <c r="AK95" s="363">
        <v>31350</v>
      </c>
      <c r="AL95" s="363">
        <v>31350</v>
      </c>
      <c r="AM95" s="360">
        <f t="shared" si="3"/>
        <v>376200</v>
      </c>
      <c r="AN95" s="362">
        <f>ERP_26[[#This Row],[2026 Working Total]]-ERP_26[[#This Row],[LE2 Final Submission]]</f>
        <v>-0.4599999999627471</v>
      </c>
      <c r="AO95" s="79">
        <v>31350</v>
      </c>
      <c r="AP95" s="79">
        <f t="shared" si="4"/>
        <v>-0.38000000000101863</v>
      </c>
      <c r="AQ95" s="374">
        <f>SUM(ERP_26[[#This Row],[AP01]:[AP06]])-SUM(ERP_26[[#This Row],[AP01 LE2]:[AP06 LE2]])</f>
        <v>-0.45999999999185093</v>
      </c>
      <c r="AR95" s="80"/>
      <c r="AS95" s="79">
        <f>ERP_26[[#This Row],[2026 Working Total to Budget/LE]]-ERP_26[[#This Row],[Giveback]]</f>
        <v>-0.4599999999627471</v>
      </c>
      <c r="AT95" s="81"/>
      <c r="AU95" s="375">
        <v>25838</v>
      </c>
      <c r="AV95" s="375">
        <v>36872.379999999997</v>
      </c>
      <c r="AW95" s="375">
        <v>31340.080000000002</v>
      </c>
      <c r="AX95" s="375">
        <v>31350</v>
      </c>
      <c r="AY95" s="375">
        <v>31350</v>
      </c>
      <c r="AZ95" s="375">
        <v>31350</v>
      </c>
      <c r="BA95" s="375">
        <v>31350</v>
      </c>
      <c r="BB95" s="375">
        <v>31350</v>
      </c>
      <c r="BC95" s="375">
        <v>31350</v>
      </c>
      <c r="BD95" s="375">
        <v>31350</v>
      </c>
      <c r="BE95" s="375">
        <v>31350</v>
      </c>
      <c r="BF95" s="375">
        <v>31350</v>
      </c>
      <c r="BG95" s="375">
        <v>376200.45999999996</v>
      </c>
      <c r="BH95" s="79">
        <v>25838</v>
      </c>
      <c r="BI95" s="79">
        <v>36872.379999999997</v>
      </c>
      <c r="BJ95" s="79">
        <v>31340.080000000002</v>
      </c>
      <c r="BK95" s="79">
        <v>31350</v>
      </c>
      <c r="BL95" s="79">
        <v>31350</v>
      </c>
      <c r="BM95" s="79">
        <v>31350</v>
      </c>
      <c r="BN95" s="79">
        <v>31350</v>
      </c>
      <c r="BO95" s="79">
        <v>31350</v>
      </c>
      <c r="BP95" s="79">
        <v>31350</v>
      </c>
      <c r="BQ95" s="79">
        <v>31350</v>
      </c>
      <c r="BR95" s="79">
        <v>31350</v>
      </c>
      <c r="BS95" s="79">
        <v>31350</v>
      </c>
      <c r="BT95" s="79">
        <v>376200.45999999996</v>
      </c>
    </row>
    <row r="96" spans="1:72" ht="15" customHeight="1">
      <c r="A96" s="66" t="s">
        <v>1872</v>
      </c>
      <c r="B96" s="66"/>
      <c r="C96" s="66" t="s">
        <v>456</v>
      </c>
      <c r="D96" s="66" t="s">
        <v>1873</v>
      </c>
      <c r="E96" s="150" t="s">
        <v>1136</v>
      </c>
      <c r="F96" s="482" t="s">
        <v>1566</v>
      </c>
      <c r="G96" s="150" t="s">
        <v>1135</v>
      </c>
      <c r="H96" s="150" t="s">
        <v>1165</v>
      </c>
      <c r="I96" s="150" t="s">
        <v>1135</v>
      </c>
      <c r="J96" s="150" t="s">
        <v>1165</v>
      </c>
      <c r="K96" s="150" t="s">
        <v>1137</v>
      </c>
      <c r="L96" s="511" t="s">
        <v>389</v>
      </c>
      <c r="M96" s="392" t="s">
        <v>1874</v>
      </c>
      <c r="N96" s="343"/>
      <c r="O96" s="343"/>
      <c r="P96" s="70" t="s">
        <v>457</v>
      </c>
      <c r="Q96" s="346"/>
      <c r="R96" s="343"/>
      <c r="S96" s="346"/>
      <c r="T96" s="150" t="s">
        <v>25</v>
      </c>
      <c r="U96" s="150"/>
      <c r="V96" s="403"/>
      <c r="W96" s="406">
        <v>335904</v>
      </c>
      <c r="X96" s="406">
        <v>335903.61</v>
      </c>
      <c r="Y96" s="425"/>
      <c r="Z96" s="71"/>
      <c r="AA96" s="426">
        <v>0.04</v>
      </c>
      <c r="AB96" s="427">
        <v>55984.1</v>
      </c>
      <c r="AC96" s="427">
        <v>27991.47</v>
      </c>
      <c r="AD96" s="428">
        <v>23070.760000000002</v>
      </c>
      <c r="AE96" s="429">
        <v>32913.769999999997</v>
      </c>
      <c r="AF96" s="429">
        <v>27991.9</v>
      </c>
      <c r="AG96" s="363">
        <v>27992</v>
      </c>
      <c r="AH96" s="363">
        <v>27992</v>
      </c>
      <c r="AI96" s="363">
        <v>27992</v>
      </c>
      <c r="AJ96" s="363">
        <v>27992</v>
      </c>
      <c r="AK96" s="363">
        <v>27992</v>
      </c>
      <c r="AL96" s="363">
        <v>27992</v>
      </c>
      <c r="AM96" s="360">
        <f t="shared" si="3"/>
        <v>335904.04</v>
      </c>
      <c r="AN96" s="362">
        <f>ERP_26[[#This Row],[2026 Working Total]]-ERP_26[[#This Row],[LE2 Final Submission]]</f>
        <v>0.42999999999301508</v>
      </c>
      <c r="AO96" s="79">
        <v>27992</v>
      </c>
      <c r="AP96" s="79">
        <f t="shared" si="4"/>
        <v>-9.9999999998544808E-2</v>
      </c>
      <c r="AQ96" s="374">
        <f>SUM(ERP_26[[#This Row],[AP01]:[AP06]])-SUM(ERP_26[[#This Row],[AP01 LE2]:[AP06 LE2]])</f>
        <v>0.42999999999301508</v>
      </c>
      <c r="AR96" s="80"/>
      <c r="AS96" s="79">
        <f>ERP_26[[#This Row],[2026 Working Total to Budget/LE]]-ERP_26[[#This Row],[Giveback]]</f>
        <v>0.42999999999301508</v>
      </c>
      <c r="AT96" s="81"/>
      <c r="AU96" s="375">
        <v>0.04</v>
      </c>
      <c r="AV96" s="375">
        <v>55984.1</v>
      </c>
      <c r="AW96" s="375">
        <v>27991.47</v>
      </c>
      <c r="AX96" s="375">
        <v>27992</v>
      </c>
      <c r="AY96" s="375">
        <v>27992</v>
      </c>
      <c r="AZ96" s="375">
        <v>27992</v>
      </c>
      <c r="BA96" s="375">
        <v>27992</v>
      </c>
      <c r="BB96" s="375">
        <v>27992</v>
      </c>
      <c r="BC96" s="375">
        <v>27992</v>
      </c>
      <c r="BD96" s="375">
        <v>27992</v>
      </c>
      <c r="BE96" s="375">
        <v>27992</v>
      </c>
      <c r="BF96" s="375">
        <v>27992</v>
      </c>
      <c r="BG96" s="375">
        <v>335903.61</v>
      </c>
      <c r="BH96" s="79">
        <v>0.04</v>
      </c>
      <c r="BI96" s="79">
        <v>55984.1</v>
      </c>
      <c r="BJ96" s="79">
        <v>27991.47</v>
      </c>
      <c r="BK96" s="79">
        <v>27992</v>
      </c>
      <c r="BL96" s="79">
        <v>27992</v>
      </c>
      <c r="BM96" s="79">
        <v>27992</v>
      </c>
      <c r="BN96" s="79">
        <v>27992</v>
      </c>
      <c r="BO96" s="79">
        <v>27992</v>
      </c>
      <c r="BP96" s="79">
        <v>27992</v>
      </c>
      <c r="BQ96" s="79">
        <v>27992</v>
      </c>
      <c r="BR96" s="79">
        <v>27992</v>
      </c>
      <c r="BS96" s="79">
        <v>27992</v>
      </c>
      <c r="BT96" s="79">
        <v>335903.61</v>
      </c>
    </row>
    <row r="97" spans="1:72" ht="15" customHeight="1">
      <c r="A97" s="66" t="s">
        <v>1876</v>
      </c>
      <c r="B97" s="66"/>
      <c r="C97" s="66" t="s">
        <v>458</v>
      </c>
      <c r="D97" s="66" t="s">
        <v>1877</v>
      </c>
      <c r="E97" s="150" t="s">
        <v>1136</v>
      </c>
      <c r="F97" s="482" t="s">
        <v>1566</v>
      </c>
      <c r="G97" s="150" t="s">
        <v>1135</v>
      </c>
      <c r="H97" s="150" t="s">
        <v>1165</v>
      </c>
      <c r="I97" s="150" t="s">
        <v>1135</v>
      </c>
      <c r="J97" s="150" t="s">
        <v>1165</v>
      </c>
      <c r="K97" s="150" t="s">
        <v>1137</v>
      </c>
      <c r="L97" s="511" t="s">
        <v>389</v>
      </c>
      <c r="M97" s="392" t="s">
        <v>1878</v>
      </c>
      <c r="N97" s="343"/>
      <c r="O97" s="343"/>
      <c r="P97" s="70" t="s">
        <v>459</v>
      </c>
      <c r="Q97" s="346"/>
      <c r="R97" s="343"/>
      <c r="S97" s="346"/>
      <c r="T97" s="150" t="s">
        <v>57</v>
      </c>
      <c r="U97" s="150"/>
      <c r="V97" s="404"/>
      <c r="W97" s="407">
        <v>4212</v>
      </c>
      <c r="X97" s="407">
        <v>0</v>
      </c>
      <c r="Y97" s="425"/>
      <c r="Z97" s="71"/>
      <c r="AA97" s="426">
        <v>212.71</v>
      </c>
      <c r="AB97" s="427">
        <v>212.88</v>
      </c>
      <c r="AC97" s="427">
        <v>-425.59</v>
      </c>
      <c r="AD97" s="428">
        <v>421.78999999999996</v>
      </c>
      <c r="AE97" s="429">
        <v>11.3</v>
      </c>
      <c r="AF97" s="429">
        <v>0</v>
      </c>
      <c r="AG97" s="363"/>
      <c r="AH97" s="363"/>
      <c r="AI97" s="363"/>
      <c r="AJ97" s="363"/>
      <c r="AK97" s="363"/>
      <c r="AL97" s="363"/>
      <c r="AM97" s="360">
        <f t="shared" si="3"/>
        <v>433.09000000000003</v>
      </c>
      <c r="AN97" s="362">
        <f>ERP_26[[#This Row],[2026 Working Total]]-ERP_26[[#This Row],[LE2 Final Submission]]</f>
        <v>433.09000000000003</v>
      </c>
      <c r="AO97" s="79"/>
      <c r="AP97" s="79">
        <f t="shared" si="4"/>
        <v>0</v>
      </c>
      <c r="AQ97" s="374">
        <f>SUM(ERP_26[[#This Row],[AP01]:[AP06]])-SUM(ERP_26[[#This Row],[AP01 LE2]:[AP06 LE2]])</f>
        <v>433.09000000000003</v>
      </c>
      <c r="AR97" s="80"/>
      <c r="AS97" s="79">
        <f>ERP_26[[#This Row],[2026 Working Total to Budget/LE]]-ERP_26[[#This Row],[Giveback]]</f>
        <v>433.09000000000003</v>
      </c>
      <c r="AT97" s="81"/>
      <c r="AU97" s="375">
        <v>212.71</v>
      </c>
      <c r="AV97" s="375">
        <v>212.88</v>
      </c>
      <c r="AW97" s="375">
        <v>-425.59</v>
      </c>
      <c r="AX97" s="375"/>
      <c r="AY97" s="375"/>
      <c r="AZ97" s="375"/>
      <c r="BA97" s="375"/>
      <c r="BB97" s="375"/>
      <c r="BC97" s="375"/>
      <c r="BD97" s="375"/>
      <c r="BE97" s="375"/>
      <c r="BF97" s="375"/>
      <c r="BG97" s="375">
        <v>0</v>
      </c>
      <c r="BH97" s="79">
        <v>212.71</v>
      </c>
      <c r="BI97" s="79">
        <v>212.88</v>
      </c>
      <c r="BJ97" s="79">
        <v>-425.59</v>
      </c>
      <c r="BK97" s="79"/>
      <c r="BL97" s="79"/>
      <c r="BM97" s="79"/>
      <c r="BN97" s="79"/>
      <c r="BO97" s="79"/>
      <c r="BP97" s="79"/>
      <c r="BQ97" s="79"/>
      <c r="BR97" s="79"/>
      <c r="BS97" s="79"/>
      <c r="BT97" s="79">
        <v>0</v>
      </c>
    </row>
    <row r="98" spans="1:72" ht="15" customHeight="1">
      <c r="A98" s="66" t="s">
        <v>1879</v>
      </c>
      <c r="B98" s="66"/>
      <c r="C98" s="66" t="s">
        <v>460</v>
      </c>
      <c r="D98" s="66" t="s">
        <v>1880</v>
      </c>
      <c r="E98" s="150" t="s">
        <v>1136</v>
      </c>
      <c r="F98" s="482" t="s">
        <v>1566</v>
      </c>
      <c r="G98" s="150" t="s">
        <v>1135</v>
      </c>
      <c r="H98" s="150" t="s">
        <v>1165</v>
      </c>
      <c r="I98" s="150" t="s">
        <v>1135</v>
      </c>
      <c r="J98" s="150" t="s">
        <v>1165</v>
      </c>
      <c r="K98" s="150" t="s">
        <v>1137</v>
      </c>
      <c r="L98" s="511" t="s">
        <v>389</v>
      </c>
      <c r="M98" s="392" t="s">
        <v>1881</v>
      </c>
      <c r="N98" s="343"/>
      <c r="O98" s="343"/>
      <c r="P98" s="70" t="s">
        <v>133</v>
      </c>
      <c r="Q98" s="346"/>
      <c r="R98" s="343"/>
      <c r="S98" s="346"/>
      <c r="T98" s="150" t="s">
        <v>25</v>
      </c>
      <c r="U98" s="150"/>
      <c r="V98" s="404"/>
      <c r="W98" s="407">
        <v>0</v>
      </c>
      <c r="X98" s="407">
        <v>0</v>
      </c>
      <c r="Y98" s="425"/>
      <c r="Z98" s="71"/>
      <c r="AA98" s="426">
        <v>95.28</v>
      </c>
      <c r="AB98" s="427">
        <v>31.62</v>
      </c>
      <c r="AC98" s="427">
        <v>-126.9</v>
      </c>
      <c r="AD98" s="428">
        <v>66.959999999999994</v>
      </c>
      <c r="AE98" s="429">
        <v>61.6</v>
      </c>
      <c r="AF98" s="429">
        <v>63.66</v>
      </c>
      <c r="AG98" s="363"/>
      <c r="AH98" s="363"/>
      <c r="AI98" s="363"/>
      <c r="AJ98" s="363"/>
      <c r="AK98" s="363"/>
      <c r="AL98" s="363"/>
      <c r="AM98" s="360">
        <f t="shared" si="3"/>
        <v>192.22</v>
      </c>
      <c r="AN98" s="362">
        <f>ERP_26[[#This Row],[2026 Working Total]]-ERP_26[[#This Row],[LE2 Final Submission]]</f>
        <v>192.22</v>
      </c>
      <c r="AO98" s="79"/>
      <c r="AP98" s="79">
        <f t="shared" si="4"/>
        <v>63.66</v>
      </c>
      <c r="AQ98" s="374">
        <f>SUM(ERP_26[[#This Row],[AP01]:[AP06]])-SUM(ERP_26[[#This Row],[AP01 LE2]:[AP06 LE2]])</f>
        <v>192.22</v>
      </c>
      <c r="AR98" s="80"/>
      <c r="AS98" s="79">
        <f>ERP_26[[#This Row],[2026 Working Total to Budget/LE]]-ERP_26[[#This Row],[Giveback]]</f>
        <v>192.22</v>
      </c>
      <c r="AT98" s="81"/>
      <c r="AU98" s="375">
        <v>95.28</v>
      </c>
      <c r="AV98" s="375">
        <v>31.62</v>
      </c>
      <c r="AW98" s="375">
        <v>-126.9</v>
      </c>
      <c r="AX98" s="375"/>
      <c r="AY98" s="375"/>
      <c r="AZ98" s="375"/>
      <c r="BA98" s="375"/>
      <c r="BB98" s="375"/>
      <c r="BC98" s="375"/>
      <c r="BD98" s="375"/>
      <c r="BE98" s="375"/>
      <c r="BF98" s="375"/>
      <c r="BG98" s="375">
        <v>0</v>
      </c>
      <c r="BH98" s="79">
        <v>95.28</v>
      </c>
      <c r="BI98" s="79">
        <v>31.62</v>
      </c>
      <c r="BJ98" s="79">
        <v>-126.9</v>
      </c>
      <c r="BK98" s="79"/>
      <c r="BL98" s="79"/>
      <c r="BM98" s="79"/>
      <c r="BN98" s="79"/>
      <c r="BO98" s="79"/>
      <c r="BP98" s="79"/>
      <c r="BQ98" s="79"/>
      <c r="BR98" s="79"/>
      <c r="BS98" s="79"/>
      <c r="BT98" s="79">
        <v>0</v>
      </c>
    </row>
    <row r="99" spans="1:72" ht="15" customHeight="1">
      <c r="A99" s="150" t="s">
        <v>1882</v>
      </c>
      <c r="B99" s="150"/>
      <c r="C99" s="536" t="s">
        <v>461</v>
      </c>
      <c r="D99" s="296" t="s">
        <v>1883</v>
      </c>
      <c r="E99" s="150" t="s">
        <v>1136</v>
      </c>
      <c r="F99" s="482" t="s">
        <v>1566</v>
      </c>
      <c r="G99" s="150" t="s">
        <v>1135</v>
      </c>
      <c r="H99" s="332" t="s">
        <v>1156</v>
      </c>
      <c r="I99" s="150" t="s">
        <v>1135</v>
      </c>
      <c r="J99" s="332" t="s">
        <v>1156</v>
      </c>
      <c r="K99" s="333" t="s">
        <v>1156</v>
      </c>
      <c r="L99" s="514" t="s">
        <v>389</v>
      </c>
      <c r="M99" s="394" t="s">
        <v>1884</v>
      </c>
      <c r="N99" s="401" t="s">
        <v>1885</v>
      </c>
      <c r="O99" s="332" t="s">
        <v>1804</v>
      </c>
      <c r="P99" s="90" t="s">
        <v>135</v>
      </c>
      <c r="Q99" s="347"/>
      <c r="R99" s="348" t="s">
        <v>1886</v>
      </c>
      <c r="S99" s="348"/>
      <c r="T99" s="348"/>
      <c r="U99" s="348"/>
      <c r="V99" s="402"/>
      <c r="W99" s="406"/>
      <c r="X99" s="406"/>
      <c r="Y99" s="425"/>
      <c r="Z99" s="71"/>
      <c r="AA99" s="435"/>
      <c r="AB99" s="436"/>
      <c r="AC99" s="436"/>
      <c r="AD99" s="436"/>
      <c r="AE99" s="429">
        <v>76500</v>
      </c>
      <c r="AF99" s="429">
        <v>12000</v>
      </c>
      <c r="AG99" s="364">
        <v>12000</v>
      </c>
      <c r="AH99" s="364">
        <v>12000</v>
      </c>
      <c r="AI99" s="364">
        <v>12000</v>
      </c>
      <c r="AJ99" s="364">
        <v>12000</v>
      </c>
      <c r="AK99" s="364">
        <v>12000</v>
      </c>
      <c r="AL99" s="364">
        <v>12000</v>
      </c>
      <c r="AM99" s="360">
        <f t="shared" si="3"/>
        <v>160500</v>
      </c>
      <c r="AN99" s="362">
        <f>ERP_26[[#This Row],[2026 Working Total]]-ERP_26[[#This Row],[LE2 Final Submission]]</f>
        <v>160500</v>
      </c>
      <c r="AO99" s="79"/>
      <c r="AP99" s="79">
        <f t="shared" si="4"/>
        <v>12000</v>
      </c>
      <c r="AQ99" s="374">
        <f>SUM(ERP_26[[#This Row],[AP01]:[AP06]])-SUM(ERP_26[[#This Row],[AP01 LE2]:[AP06 LE2]])</f>
        <v>88500</v>
      </c>
      <c r="AR99" s="80"/>
      <c r="AS99" s="79">
        <f>ERP_26[[#This Row],[2026 Working Total to Budget/LE]]-ERP_26[[#This Row],[Giveback]]</f>
        <v>160500</v>
      </c>
      <c r="AT99" s="81"/>
      <c r="AU99" s="375"/>
      <c r="AV99" s="375"/>
      <c r="AW99" s="375"/>
      <c r="AX99" s="375"/>
      <c r="AY99" s="375"/>
      <c r="AZ99" s="375"/>
      <c r="BA99" s="375"/>
      <c r="BB99" s="375"/>
      <c r="BC99" s="375"/>
      <c r="BD99" s="375"/>
      <c r="BE99" s="375"/>
      <c r="BF99" s="375"/>
      <c r="BG99" s="375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</row>
    <row r="100" spans="1:72" ht="15" customHeight="1">
      <c r="A100" s="150" t="s">
        <v>1891</v>
      </c>
      <c r="B100" s="150"/>
      <c r="C100" s="536" t="s">
        <v>462</v>
      </c>
      <c r="D100" s="296" t="s">
        <v>1892</v>
      </c>
      <c r="E100" s="150" t="s">
        <v>1136</v>
      </c>
      <c r="F100" s="482" t="s">
        <v>1566</v>
      </c>
      <c r="G100" s="150" t="s">
        <v>1135</v>
      </c>
      <c r="H100" s="150" t="s">
        <v>1165</v>
      </c>
      <c r="I100" s="150" t="s">
        <v>1135</v>
      </c>
      <c r="J100" s="150" t="s">
        <v>1165</v>
      </c>
      <c r="K100" s="150" t="s">
        <v>1165</v>
      </c>
      <c r="L100" s="514" t="s">
        <v>389</v>
      </c>
      <c r="M100" s="394" t="s">
        <v>1893</v>
      </c>
      <c r="N100" s="333"/>
      <c r="O100" s="332" t="s">
        <v>1284</v>
      </c>
      <c r="P100" s="90" t="s">
        <v>463</v>
      </c>
      <c r="Q100" s="347"/>
      <c r="R100" s="347"/>
      <c r="S100" s="348"/>
      <c r="T100" s="348"/>
      <c r="U100" s="348"/>
      <c r="V100" s="402"/>
      <c r="W100" s="406"/>
      <c r="X100" s="406"/>
      <c r="Y100" s="425"/>
      <c r="Z100" s="71"/>
      <c r="AA100" s="435"/>
      <c r="AB100" s="436"/>
      <c r="AC100" s="436"/>
      <c r="AD100" s="429">
        <v>18.2</v>
      </c>
      <c r="AE100" s="429">
        <v>0</v>
      </c>
      <c r="AF100" s="429">
        <v>0</v>
      </c>
      <c r="AG100" s="364"/>
      <c r="AH100" s="364"/>
      <c r="AI100" s="364"/>
      <c r="AJ100" s="364"/>
      <c r="AK100" s="364"/>
      <c r="AL100" s="364"/>
      <c r="AM100" s="360">
        <f t="shared" si="3"/>
        <v>18.2</v>
      </c>
      <c r="AN100" s="362">
        <f>ERP_26[[#This Row],[2026 Working Total]]-ERP_26[[#This Row],[LE2 Final Submission]]</f>
        <v>18.2</v>
      </c>
      <c r="AO100" s="79"/>
      <c r="AP100" s="79">
        <f t="shared" si="4"/>
        <v>0</v>
      </c>
      <c r="AQ100" s="374">
        <f>SUM(ERP_26[[#This Row],[AP01]:[AP06]])-SUM(ERP_26[[#This Row],[AP01 LE2]:[AP06 LE2]])</f>
        <v>18.2</v>
      </c>
      <c r="AR100" s="80"/>
      <c r="AS100" s="79">
        <f>ERP_26[[#This Row],[2026 Working Total to Budget/LE]]-ERP_26[[#This Row],[Giveback]]</f>
        <v>18.2</v>
      </c>
      <c r="AT100" s="81"/>
      <c r="AU100" s="375"/>
      <c r="AV100" s="375"/>
      <c r="AW100" s="375"/>
      <c r="AX100" s="375"/>
      <c r="AY100" s="375"/>
      <c r="AZ100" s="375"/>
      <c r="BA100" s="375"/>
      <c r="BB100" s="375"/>
      <c r="BC100" s="375"/>
      <c r="BD100" s="375"/>
      <c r="BE100" s="375"/>
      <c r="BF100" s="375"/>
      <c r="BG100" s="375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</row>
    <row r="101" spans="1:72" ht="15" customHeight="1">
      <c r="A101" s="66" t="s">
        <v>1914</v>
      </c>
      <c r="B101" s="66"/>
      <c r="C101" s="66" t="s">
        <v>467</v>
      </c>
      <c r="D101" s="66" t="s">
        <v>1915</v>
      </c>
      <c r="E101" s="150" t="s">
        <v>1136</v>
      </c>
      <c r="F101" s="482" t="s">
        <v>1566</v>
      </c>
      <c r="G101" s="150" t="s">
        <v>1135</v>
      </c>
      <c r="H101" s="150" t="s">
        <v>1145</v>
      </c>
      <c r="I101" s="150" t="s">
        <v>1135</v>
      </c>
      <c r="J101" s="150" t="s">
        <v>1145</v>
      </c>
      <c r="K101" s="150" t="s">
        <v>1137</v>
      </c>
      <c r="L101" s="511" t="s">
        <v>389</v>
      </c>
      <c r="M101" s="392" t="s">
        <v>1916</v>
      </c>
      <c r="N101" s="343"/>
      <c r="O101" s="346" t="s">
        <v>1186</v>
      </c>
      <c r="P101" s="70" t="s">
        <v>468</v>
      </c>
      <c r="Q101" s="346"/>
      <c r="R101" s="346" t="s">
        <v>1917</v>
      </c>
      <c r="S101" s="346"/>
      <c r="T101" s="150" t="s">
        <v>25</v>
      </c>
      <c r="U101" s="150" t="s">
        <v>1918</v>
      </c>
      <c r="V101" s="403"/>
      <c r="W101" s="406">
        <v>301000</v>
      </c>
      <c r="X101" s="406">
        <v>305973.58</v>
      </c>
      <c r="Y101" s="425"/>
      <c r="Z101" s="71"/>
      <c r="AA101" s="426">
        <v>80223.58</v>
      </c>
      <c r="AB101" s="431">
        <v>0</v>
      </c>
      <c r="AC101" s="431">
        <v>0</v>
      </c>
      <c r="AD101" s="428">
        <v>80223.58</v>
      </c>
      <c r="AE101" s="429">
        <v>0</v>
      </c>
      <c r="AF101" s="429">
        <v>0</v>
      </c>
      <c r="AG101" s="363">
        <v>0</v>
      </c>
      <c r="AH101" s="360">
        <v>70500</v>
      </c>
      <c r="AI101" s="360">
        <v>0</v>
      </c>
      <c r="AJ101" s="360">
        <v>70500</v>
      </c>
      <c r="AK101" s="360">
        <v>0</v>
      </c>
      <c r="AL101" s="360">
        <v>0</v>
      </c>
      <c r="AM101" s="360">
        <f t="shared" si="3"/>
        <v>301447.16000000003</v>
      </c>
      <c r="AN101" s="362">
        <f>ERP_26[[#This Row],[2026 Working Total]]-ERP_26[[#This Row],[LE2 Final Submission]]</f>
        <v>-4526.4199999999837</v>
      </c>
      <c r="AO101" s="79">
        <v>0</v>
      </c>
      <c r="AP101" s="79">
        <f t="shared" si="4"/>
        <v>0</v>
      </c>
      <c r="AQ101" s="374">
        <f>SUM(ERP_26[[#This Row],[AP01]:[AP06]])-SUM(ERP_26[[#This Row],[AP01 LE2]:[AP06 LE2]])</f>
        <v>4973.5799999999872</v>
      </c>
      <c r="AR101" s="80"/>
      <c r="AS101" s="79">
        <f>ERP_26[[#This Row],[2026 Working Total to Budget/LE]]-ERP_26[[#This Row],[Giveback]]</f>
        <v>-4526.4199999999837</v>
      </c>
      <c r="AT101" s="81"/>
      <c r="AU101" s="375">
        <v>80223.58</v>
      </c>
      <c r="AV101" s="375">
        <v>0</v>
      </c>
      <c r="AW101" s="375">
        <v>0</v>
      </c>
      <c r="AX101" s="375">
        <v>75250</v>
      </c>
      <c r="AY101" s="375">
        <v>0</v>
      </c>
      <c r="AZ101" s="375">
        <v>0</v>
      </c>
      <c r="BA101" s="375">
        <v>75250</v>
      </c>
      <c r="BB101" s="375">
        <v>0</v>
      </c>
      <c r="BC101" s="375">
        <v>0</v>
      </c>
      <c r="BD101" s="375">
        <v>75250</v>
      </c>
      <c r="BE101" s="375">
        <v>0</v>
      </c>
      <c r="BF101" s="375">
        <v>0</v>
      </c>
      <c r="BG101" s="375">
        <v>305973.58</v>
      </c>
      <c r="BH101" s="79">
        <v>80223.58</v>
      </c>
      <c r="BI101" s="79">
        <v>0</v>
      </c>
      <c r="BJ101" s="79">
        <v>0</v>
      </c>
      <c r="BK101" s="79">
        <v>75250</v>
      </c>
      <c r="BL101" s="79">
        <v>0</v>
      </c>
      <c r="BM101" s="79">
        <v>0</v>
      </c>
      <c r="BN101" s="79">
        <v>75250</v>
      </c>
      <c r="BO101" s="79">
        <v>0</v>
      </c>
      <c r="BP101" s="79">
        <v>0</v>
      </c>
      <c r="BQ101" s="79">
        <v>75250</v>
      </c>
      <c r="BR101" s="79">
        <v>0</v>
      </c>
      <c r="BS101" s="79">
        <v>0</v>
      </c>
      <c r="BT101" s="79">
        <v>305973.58</v>
      </c>
    </row>
    <row r="102" spans="1:72" ht="15" customHeight="1">
      <c r="A102" s="66" t="s">
        <v>1919</v>
      </c>
      <c r="B102" s="66"/>
      <c r="C102" s="66" t="s">
        <v>469</v>
      </c>
      <c r="D102" s="66" t="s">
        <v>1920</v>
      </c>
      <c r="E102" s="150" t="s">
        <v>1136</v>
      </c>
      <c r="F102" s="482" t="s">
        <v>1566</v>
      </c>
      <c r="G102" s="150" t="s">
        <v>1135</v>
      </c>
      <c r="H102" s="150" t="s">
        <v>1145</v>
      </c>
      <c r="I102" s="150" t="s">
        <v>1135</v>
      </c>
      <c r="J102" s="150" t="s">
        <v>1145</v>
      </c>
      <c r="K102" s="150" t="s">
        <v>1137</v>
      </c>
      <c r="L102" s="511" t="s">
        <v>389</v>
      </c>
      <c r="M102" s="392" t="s">
        <v>1921</v>
      </c>
      <c r="N102" s="343"/>
      <c r="O102" s="346" t="s">
        <v>1186</v>
      </c>
      <c r="P102" s="70" t="s">
        <v>470</v>
      </c>
      <c r="Q102" s="346"/>
      <c r="R102" s="346" t="s">
        <v>1922</v>
      </c>
      <c r="S102" s="346"/>
      <c r="T102" s="150" t="s">
        <v>25</v>
      </c>
      <c r="U102" s="150" t="s">
        <v>1923</v>
      </c>
      <c r="V102" s="403"/>
      <c r="W102" s="406">
        <v>282792</v>
      </c>
      <c r="X102" s="406">
        <v>282791.93</v>
      </c>
      <c r="Y102" s="425"/>
      <c r="Z102" s="71"/>
      <c r="AA102" s="426">
        <v>70697.440000000002</v>
      </c>
      <c r="AB102" s="427">
        <v>0.49</v>
      </c>
      <c r="AC102" s="431">
        <v>0</v>
      </c>
      <c r="AD102" s="428">
        <v>9484.4399999999951</v>
      </c>
      <c r="AE102" s="429">
        <v>0</v>
      </c>
      <c r="AF102" s="429">
        <v>0</v>
      </c>
      <c r="AG102" s="364"/>
      <c r="AH102" s="364">
        <v>60500</v>
      </c>
      <c r="AI102" s="360">
        <v>0</v>
      </c>
      <c r="AJ102" s="363">
        <v>70698</v>
      </c>
      <c r="AK102" s="363">
        <v>70698</v>
      </c>
      <c r="AL102" s="360">
        <v>0</v>
      </c>
      <c r="AM102" s="360">
        <f t="shared" si="3"/>
        <v>282078.37</v>
      </c>
      <c r="AN102" s="362">
        <f>ERP_26[[#This Row],[2026 Working Total]]-ERP_26[[#This Row],[LE2 Final Submission]]</f>
        <v>-713.55999999999767</v>
      </c>
      <c r="AO102" s="79">
        <v>0</v>
      </c>
      <c r="AP102" s="79">
        <f t="shared" si="4"/>
        <v>0</v>
      </c>
      <c r="AQ102" s="374">
        <f>SUM(ERP_26[[#This Row],[AP01]:[AP06]])-SUM(ERP_26[[#This Row],[AP01 LE2]:[AP06 LE2]])</f>
        <v>-61213.56</v>
      </c>
      <c r="AR102" s="80"/>
      <c r="AS102" s="79">
        <f>ERP_26[[#This Row],[2026 Working Total to Budget/LE]]-ERP_26[[#This Row],[Giveback]]</f>
        <v>-713.55999999999767</v>
      </c>
      <c r="AT102" s="81"/>
      <c r="AU102" s="375">
        <v>70697.440000000002</v>
      </c>
      <c r="AV102" s="375">
        <v>0.49</v>
      </c>
      <c r="AW102" s="375">
        <v>0</v>
      </c>
      <c r="AX102" s="375">
        <v>70698</v>
      </c>
      <c r="AY102" s="375">
        <v>0</v>
      </c>
      <c r="AZ102" s="375">
        <v>0</v>
      </c>
      <c r="BA102" s="375">
        <v>70698</v>
      </c>
      <c r="BB102" s="375">
        <v>0</v>
      </c>
      <c r="BC102" s="375">
        <v>0</v>
      </c>
      <c r="BD102" s="375">
        <v>70698</v>
      </c>
      <c r="BE102" s="375">
        <v>0</v>
      </c>
      <c r="BF102" s="375">
        <v>0</v>
      </c>
      <c r="BG102" s="375">
        <v>282791.93</v>
      </c>
      <c r="BH102" s="79">
        <v>70697.440000000002</v>
      </c>
      <c r="BI102" s="79">
        <v>0.49</v>
      </c>
      <c r="BJ102" s="79">
        <v>0</v>
      </c>
      <c r="BK102" s="79">
        <v>70698</v>
      </c>
      <c r="BL102" s="79">
        <v>0</v>
      </c>
      <c r="BM102" s="79">
        <v>0</v>
      </c>
      <c r="BN102" s="79">
        <v>70698</v>
      </c>
      <c r="BO102" s="79">
        <v>0</v>
      </c>
      <c r="BP102" s="79">
        <v>0</v>
      </c>
      <c r="BQ102" s="79">
        <v>70698</v>
      </c>
      <c r="BR102" s="79">
        <v>0</v>
      </c>
      <c r="BS102" s="79">
        <v>0</v>
      </c>
      <c r="BT102" s="79">
        <v>282791.93</v>
      </c>
    </row>
    <row r="103" spans="1:72" ht="15" customHeight="1">
      <c r="A103" s="66" t="s">
        <v>1924</v>
      </c>
      <c r="B103" s="66"/>
      <c r="C103" s="66" t="s">
        <v>471</v>
      </c>
      <c r="D103" s="66" t="s">
        <v>471</v>
      </c>
      <c r="E103" s="150" t="s">
        <v>1136</v>
      </c>
      <c r="F103" s="482" t="s">
        <v>1566</v>
      </c>
      <c r="G103" s="150" t="s">
        <v>1135</v>
      </c>
      <c r="H103" s="150" t="s">
        <v>1135</v>
      </c>
      <c r="I103" s="150" t="s">
        <v>1135</v>
      </c>
      <c r="J103" s="150" t="s">
        <v>1135</v>
      </c>
      <c r="K103" s="150" t="s">
        <v>1137</v>
      </c>
      <c r="L103" s="511" t="s">
        <v>389</v>
      </c>
      <c r="M103" s="393" t="s">
        <v>1319</v>
      </c>
      <c r="N103" s="343"/>
      <c r="O103" s="343"/>
      <c r="P103" s="70" t="s">
        <v>145</v>
      </c>
      <c r="Q103" s="346" t="s">
        <v>1139</v>
      </c>
      <c r="R103" s="343"/>
      <c r="S103" s="346"/>
      <c r="T103" s="150" t="s">
        <v>25</v>
      </c>
      <c r="U103" s="150"/>
      <c r="V103" s="403"/>
      <c r="W103" s="406">
        <v>0</v>
      </c>
      <c r="X103" s="406">
        <v>1472196.6600000001</v>
      </c>
      <c r="Y103" s="430"/>
      <c r="Z103" s="137"/>
      <c r="AA103" s="426"/>
      <c r="AB103" s="427">
        <v>245366</v>
      </c>
      <c r="AC103" s="427">
        <v>122683.66</v>
      </c>
      <c r="AD103" s="428">
        <v>101112.98</v>
      </c>
      <c r="AE103" s="429">
        <v>144254.16</v>
      </c>
      <c r="AF103" s="429">
        <v>122682.85</v>
      </c>
      <c r="AG103" s="363">
        <v>122683</v>
      </c>
      <c r="AH103" s="363">
        <v>122683</v>
      </c>
      <c r="AI103" s="363">
        <v>122683</v>
      </c>
      <c r="AJ103" s="363">
        <v>122683</v>
      </c>
      <c r="AK103" s="363">
        <v>122683</v>
      </c>
      <c r="AL103" s="363">
        <v>122683</v>
      </c>
      <c r="AM103" s="360">
        <f t="shared" si="3"/>
        <v>1472197.65</v>
      </c>
      <c r="AN103" s="362">
        <f>ERP_26[[#This Row],[2026 Working Total]]-ERP_26[[#This Row],[LE2 Final Submission]]</f>
        <v>0.98999999975785613</v>
      </c>
      <c r="AO103" s="79">
        <v>122683</v>
      </c>
      <c r="AP103" s="79">
        <f t="shared" si="4"/>
        <v>-0.14999999999417923</v>
      </c>
      <c r="AQ103" s="374">
        <f>SUM(ERP_26[[#This Row],[AP01]:[AP06]])-SUM(ERP_26[[#This Row],[AP01 LE2]:[AP06 LE2]])</f>
        <v>0.98999999999068677</v>
      </c>
      <c r="AR103" s="80"/>
      <c r="AS103" s="79">
        <f>ERP_26[[#This Row],[2026 Working Total to Budget/LE]]-ERP_26[[#This Row],[Giveback]]</f>
        <v>0.98999999975785613</v>
      </c>
      <c r="AT103" s="81"/>
      <c r="AU103" s="375"/>
      <c r="AV103" s="375">
        <v>245366</v>
      </c>
      <c r="AW103" s="375">
        <v>122683.66</v>
      </c>
      <c r="AX103" s="375">
        <v>122683</v>
      </c>
      <c r="AY103" s="375">
        <v>122683</v>
      </c>
      <c r="AZ103" s="375">
        <v>122683</v>
      </c>
      <c r="BA103" s="375">
        <v>122683</v>
      </c>
      <c r="BB103" s="375">
        <v>122683</v>
      </c>
      <c r="BC103" s="375">
        <v>122683</v>
      </c>
      <c r="BD103" s="375">
        <v>122683</v>
      </c>
      <c r="BE103" s="375">
        <v>122683</v>
      </c>
      <c r="BF103" s="375">
        <v>122683</v>
      </c>
      <c r="BG103" s="375">
        <v>1472196.6600000001</v>
      </c>
      <c r="BH103" s="79"/>
      <c r="BI103" s="79">
        <v>245366</v>
      </c>
      <c r="BJ103" s="79">
        <v>122683.66</v>
      </c>
      <c r="BK103" s="79">
        <v>122683</v>
      </c>
      <c r="BL103" s="79">
        <v>122683</v>
      </c>
      <c r="BM103" s="79">
        <v>122683</v>
      </c>
      <c r="BN103" s="79">
        <v>122683</v>
      </c>
      <c r="BO103" s="79">
        <v>122683</v>
      </c>
      <c r="BP103" s="79">
        <v>122683</v>
      </c>
      <c r="BQ103" s="79">
        <v>122683</v>
      </c>
      <c r="BR103" s="79">
        <v>122683</v>
      </c>
      <c r="BS103" s="79">
        <v>122683</v>
      </c>
      <c r="BT103" s="79">
        <v>1472196.6600000001</v>
      </c>
    </row>
    <row r="104" spans="1:72" ht="15" customHeight="1">
      <c r="A104" s="66" t="s">
        <v>1925</v>
      </c>
      <c r="B104" s="66"/>
      <c r="C104" s="66" t="s">
        <v>472</v>
      </c>
      <c r="D104" s="66" t="s">
        <v>1926</v>
      </c>
      <c r="E104" s="150" t="s">
        <v>1136</v>
      </c>
      <c r="F104" s="482" t="s">
        <v>1566</v>
      </c>
      <c r="G104" s="150" t="s">
        <v>1135</v>
      </c>
      <c r="H104" s="150" t="s">
        <v>1165</v>
      </c>
      <c r="I104" s="150" t="s">
        <v>1135</v>
      </c>
      <c r="J104" s="150" t="s">
        <v>1165</v>
      </c>
      <c r="K104" s="150" t="s">
        <v>1137</v>
      </c>
      <c r="L104" s="511" t="s">
        <v>389</v>
      </c>
      <c r="M104" s="392" t="s">
        <v>1927</v>
      </c>
      <c r="N104" s="343"/>
      <c r="O104" s="343"/>
      <c r="P104" s="70" t="s">
        <v>473</v>
      </c>
      <c r="Q104" s="346"/>
      <c r="R104" s="343"/>
      <c r="S104" s="346"/>
      <c r="T104" s="150" t="s">
        <v>25</v>
      </c>
      <c r="U104" s="150" t="s">
        <v>1928</v>
      </c>
      <c r="V104" s="403"/>
      <c r="W104" s="406">
        <v>123538.99999999999</v>
      </c>
      <c r="X104" s="406">
        <v>0</v>
      </c>
      <c r="Y104" s="425"/>
      <c r="Z104" s="71"/>
      <c r="AA104" s="426"/>
      <c r="AB104" s="427"/>
      <c r="AC104" s="427"/>
      <c r="AD104" s="428" t="s">
        <v>1142</v>
      </c>
      <c r="AE104" s="429">
        <v>0</v>
      </c>
      <c r="AF104" s="429">
        <v>0</v>
      </c>
      <c r="AG104" s="363">
        <v>0</v>
      </c>
      <c r="AH104" s="363">
        <f>88117-88117</f>
        <v>0</v>
      </c>
      <c r="AI104" s="363">
        <v>0</v>
      </c>
      <c r="AJ104" s="363">
        <v>0</v>
      </c>
      <c r="AK104" s="363">
        <v>0</v>
      </c>
      <c r="AL104" s="363">
        <v>0</v>
      </c>
      <c r="AM104" s="360">
        <f t="shared" si="3"/>
        <v>0</v>
      </c>
      <c r="AN104" s="362">
        <f>ERP_26[[#This Row],[2026 Working Total]]-ERP_26[[#This Row],[LE2 Final Submission]]</f>
        <v>0</v>
      </c>
      <c r="AO104" s="79">
        <v>0</v>
      </c>
      <c r="AP104" s="79">
        <f t="shared" si="4"/>
        <v>0</v>
      </c>
      <c r="AQ104" s="374">
        <f>SUM(ERP_26[[#This Row],[AP01]:[AP06]])-SUM(ERP_26[[#This Row],[AP01 LE2]:[AP06 LE2]])</f>
        <v>0</v>
      </c>
      <c r="AR104" s="80"/>
      <c r="AS104" s="79">
        <f>ERP_26[[#This Row],[2026 Working Total to Budget/LE]]-ERP_26[[#This Row],[Giveback]]</f>
        <v>0</v>
      </c>
      <c r="AT104" s="81" t="s">
        <v>1929</v>
      </c>
      <c r="AU104" s="375"/>
      <c r="AV104" s="375"/>
      <c r="AW104" s="375"/>
      <c r="AX104" s="375">
        <v>0</v>
      </c>
      <c r="AY104" s="375">
        <v>0</v>
      </c>
      <c r="AZ104" s="375">
        <v>0</v>
      </c>
      <c r="BA104" s="375">
        <v>0</v>
      </c>
      <c r="BB104" s="375">
        <v>0</v>
      </c>
      <c r="BC104" s="375">
        <v>0</v>
      </c>
      <c r="BD104" s="375">
        <v>0</v>
      </c>
      <c r="BE104" s="375">
        <v>0</v>
      </c>
      <c r="BF104" s="375">
        <v>0</v>
      </c>
      <c r="BG104" s="375">
        <v>0</v>
      </c>
      <c r="BH104" s="79"/>
      <c r="BI104" s="79"/>
      <c r="BJ104" s="79"/>
      <c r="BK104" s="79">
        <v>10294.92</v>
      </c>
      <c r="BL104" s="79">
        <v>10294.92</v>
      </c>
      <c r="BM104" s="79">
        <v>10294.92</v>
      </c>
      <c r="BN104" s="79">
        <v>10294.92</v>
      </c>
      <c r="BO104" s="79">
        <v>10294.92</v>
      </c>
      <c r="BP104" s="79">
        <v>10294.92</v>
      </c>
      <c r="BQ104" s="79">
        <v>10294.92</v>
      </c>
      <c r="BR104" s="79">
        <v>10294.92</v>
      </c>
      <c r="BS104" s="79">
        <v>10294.92</v>
      </c>
      <c r="BT104" s="79">
        <v>92654.28</v>
      </c>
    </row>
    <row r="105" spans="1:72" ht="15" customHeight="1">
      <c r="A105" s="66" t="s">
        <v>1930</v>
      </c>
      <c r="B105" s="66"/>
      <c r="C105" s="66" t="s">
        <v>474</v>
      </c>
      <c r="D105" s="66" t="s">
        <v>1931</v>
      </c>
      <c r="E105" s="150" t="s">
        <v>1136</v>
      </c>
      <c r="F105" s="482" t="s">
        <v>1566</v>
      </c>
      <c r="G105" s="150" t="s">
        <v>1135</v>
      </c>
      <c r="H105" s="150" t="s">
        <v>1165</v>
      </c>
      <c r="I105" s="150" t="s">
        <v>1135</v>
      </c>
      <c r="J105" s="150" t="s">
        <v>1165</v>
      </c>
      <c r="K105" s="150" t="s">
        <v>1137</v>
      </c>
      <c r="L105" s="511" t="s">
        <v>389</v>
      </c>
      <c r="M105" s="392" t="s">
        <v>1932</v>
      </c>
      <c r="N105" s="343"/>
      <c r="O105" s="343"/>
      <c r="P105" s="70" t="s">
        <v>475</v>
      </c>
      <c r="Q105" s="346"/>
      <c r="R105" s="343"/>
      <c r="S105" s="346"/>
      <c r="T105" s="150" t="s">
        <v>25</v>
      </c>
      <c r="U105" s="150"/>
      <c r="V105" s="403"/>
      <c r="W105" s="406">
        <v>26400</v>
      </c>
      <c r="X105" s="406">
        <v>0</v>
      </c>
      <c r="Y105" s="425"/>
      <c r="Z105" s="71"/>
      <c r="AA105" s="426"/>
      <c r="AB105" s="427"/>
      <c r="AC105" s="427"/>
      <c r="AD105" s="428" t="s">
        <v>1142</v>
      </c>
      <c r="AE105" s="429">
        <v>0</v>
      </c>
      <c r="AF105" s="429">
        <v>0</v>
      </c>
      <c r="AG105" s="363">
        <v>0</v>
      </c>
      <c r="AH105" s="363">
        <v>0</v>
      </c>
      <c r="AI105" s="363">
        <v>0</v>
      </c>
      <c r="AJ105" s="363">
        <v>0</v>
      </c>
      <c r="AK105" s="363">
        <v>0</v>
      </c>
      <c r="AL105" s="363">
        <v>0</v>
      </c>
      <c r="AM105" s="360">
        <f t="shared" si="3"/>
        <v>0</v>
      </c>
      <c r="AN105" s="362">
        <f>ERP_26[[#This Row],[2026 Working Total]]-ERP_26[[#This Row],[LE2 Final Submission]]</f>
        <v>0</v>
      </c>
      <c r="AO105" s="79">
        <v>0</v>
      </c>
      <c r="AP105" s="79">
        <f t="shared" si="4"/>
        <v>0</v>
      </c>
      <c r="AQ105" s="374">
        <f>SUM(ERP_26[[#This Row],[AP01]:[AP06]])-SUM(ERP_26[[#This Row],[AP01 LE2]:[AP06 LE2]])</f>
        <v>0</v>
      </c>
      <c r="AR105" s="80">
        <v>-26400</v>
      </c>
      <c r="AS105" s="79">
        <f>ERP_26[[#This Row],[2026 Working Total to Budget/LE]]-ERP_26[[#This Row],[Giveback]]</f>
        <v>26400</v>
      </c>
      <c r="AT105" s="81"/>
      <c r="AU105" s="375"/>
      <c r="AV105" s="375"/>
      <c r="AW105" s="375"/>
      <c r="AX105" s="375">
        <v>0</v>
      </c>
      <c r="AY105" s="375">
        <v>0</v>
      </c>
      <c r="AZ105" s="375">
        <v>0</v>
      </c>
      <c r="BA105" s="375">
        <v>0</v>
      </c>
      <c r="BB105" s="375">
        <v>0</v>
      </c>
      <c r="BC105" s="375">
        <v>0</v>
      </c>
      <c r="BD105" s="375">
        <v>0</v>
      </c>
      <c r="BE105" s="375">
        <v>0</v>
      </c>
      <c r="BF105" s="375">
        <v>0</v>
      </c>
      <c r="BG105" s="375">
        <v>0</v>
      </c>
      <c r="BH105" s="79"/>
      <c r="BI105" s="79"/>
      <c r="BJ105" s="79"/>
      <c r="BK105" s="79">
        <v>2200</v>
      </c>
      <c r="BL105" s="79">
        <v>2200</v>
      </c>
      <c r="BM105" s="79">
        <v>2200</v>
      </c>
      <c r="BN105" s="79">
        <v>2200</v>
      </c>
      <c r="BO105" s="79">
        <v>2200</v>
      </c>
      <c r="BP105" s="79">
        <v>2200</v>
      </c>
      <c r="BQ105" s="79">
        <v>2200</v>
      </c>
      <c r="BR105" s="79">
        <v>2200</v>
      </c>
      <c r="BS105" s="79">
        <v>2200</v>
      </c>
      <c r="BT105" s="79">
        <v>19800</v>
      </c>
    </row>
    <row r="106" spans="1:72" ht="15" customHeight="1">
      <c r="A106" s="66" t="s">
        <v>1933</v>
      </c>
      <c r="B106" s="66"/>
      <c r="C106" s="66" t="s">
        <v>476</v>
      </c>
      <c r="D106" s="66" t="s">
        <v>1934</v>
      </c>
      <c r="E106" s="150" t="s">
        <v>1136</v>
      </c>
      <c r="F106" s="482" t="s">
        <v>1566</v>
      </c>
      <c r="G106" s="150" t="s">
        <v>1135</v>
      </c>
      <c r="H106" s="150" t="s">
        <v>1165</v>
      </c>
      <c r="I106" s="150" t="s">
        <v>1135</v>
      </c>
      <c r="J106" s="150" t="s">
        <v>1165</v>
      </c>
      <c r="K106" s="150" t="s">
        <v>1137</v>
      </c>
      <c r="L106" s="511" t="s">
        <v>389</v>
      </c>
      <c r="M106" s="392" t="s">
        <v>1935</v>
      </c>
      <c r="N106" s="343"/>
      <c r="O106" s="343"/>
      <c r="P106" s="70" t="s">
        <v>477</v>
      </c>
      <c r="Q106" s="346"/>
      <c r="R106" s="343"/>
      <c r="S106" s="346"/>
      <c r="T106" s="150" t="s">
        <v>478</v>
      </c>
      <c r="U106" s="150"/>
      <c r="V106" s="403"/>
      <c r="W106" s="406">
        <v>36000</v>
      </c>
      <c r="X106" s="406">
        <v>36000.300000000003</v>
      </c>
      <c r="Y106" s="425"/>
      <c r="Z106" s="71"/>
      <c r="AA106" s="426"/>
      <c r="AB106" s="427">
        <v>5999.76</v>
      </c>
      <c r="AC106" s="427">
        <v>2703.54</v>
      </c>
      <c r="AD106" s="429">
        <v>2769.23</v>
      </c>
      <c r="AE106" s="429">
        <v>3527.23</v>
      </c>
      <c r="AF106" s="429">
        <v>2703.54</v>
      </c>
      <c r="AG106" s="363">
        <v>3000</v>
      </c>
      <c r="AH106" s="363">
        <v>3000</v>
      </c>
      <c r="AI106" s="363">
        <v>3000</v>
      </c>
      <c r="AJ106" s="363">
        <v>3000</v>
      </c>
      <c r="AK106" s="363">
        <v>3000</v>
      </c>
      <c r="AL106" s="363">
        <v>3000</v>
      </c>
      <c r="AM106" s="360">
        <f t="shared" si="3"/>
        <v>35703.300000000003</v>
      </c>
      <c r="AN106" s="362">
        <f>ERP_26[[#This Row],[2026 Working Total]]-ERP_26[[#This Row],[LE2 Final Submission]]</f>
        <v>-297</v>
      </c>
      <c r="AO106" s="79">
        <v>3000</v>
      </c>
      <c r="AP106" s="79">
        <f t="shared" si="4"/>
        <v>-296.46000000000004</v>
      </c>
      <c r="AQ106" s="374">
        <f>SUM(ERP_26[[#This Row],[AP01]:[AP06]])-SUM(ERP_26[[#This Row],[AP01 LE2]:[AP06 LE2]])</f>
        <v>-297</v>
      </c>
      <c r="AR106" s="80"/>
      <c r="AS106" s="79">
        <f>ERP_26[[#This Row],[2026 Working Total to Budget/LE]]-ERP_26[[#This Row],[Giveback]]</f>
        <v>-297</v>
      </c>
      <c r="AT106" s="81"/>
      <c r="AU106" s="375"/>
      <c r="AV106" s="375">
        <v>5999.76</v>
      </c>
      <c r="AW106" s="375">
        <v>2703.54</v>
      </c>
      <c r="AX106" s="375">
        <v>3297</v>
      </c>
      <c r="AY106" s="375">
        <v>3000</v>
      </c>
      <c r="AZ106" s="375">
        <v>3000</v>
      </c>
      <c r="BA106" s="375">
        <v>3000</v>
      </c>
      <c r="BB106" s="375">
        <v>3000</v>
      </c>
      <c r="BC106" s="375">
        <v>3000</v>
      </c>
      <c r="BD106" s="375">
        <v>3000</v>
      </c>
      <c r="BE106" s="375">
        <v>3000</v>
      </c>
      <c r="BF106" s="375">
        <v>3000</v>
      </c>
      <c r="BG106" s="375">
        <v>36000.300000000003</v>
      </c>
      <c r="BH106" s="79"/>
      <c r="BI106" s="79">
        <v>5999.76</v>
      </c>
      <c r="BJ106" s="79">
        <v>2703.54</v>
      </c>
      <c r="BK106" s="79">
        <v>3000</v>
      </c>
      <c r="BL106" s="79">
        <v>3000</v>
      </c>
      <c r="BM106" s="79">
        <v>3000</v>
      </c>
      <c r="BN106" s="79">
        <v>3000</v>
      </c>
      <c r="BO106" s="79">
        <v>3000</v>
      </c>
      <c r="BP106" s="79">
        <v>3000</v>
      </c>
      <c r="BQ106" s="79">
        <v>3000</v>
      </c>
      <c r="BR106" s="79">
        <v>3000</v>
      </c>
      <c r="BS106" s="79">
        <v>3000</v>
      </c>
      <c r="BT106" s="79">
        <v>35703.300000000003</v>
      </c>
    </row>
    <row r="107" spans="1:72" ht="15" customHeight="1">
      <c r="A107" s="66" t="s">
        <v>1936</v>
      </c>
      <c r="B107" s="66"/>
      <c r="C107" s="66" t="s">
        <v>479</v>
      </c>
      <c r="D107" s="66" t="s">
        <v>1937</v>
      </c>
      <c r="E107" s="150" t="s">
        <v>1136</v>
      </c>
      <c r="F107" s="482" t="s">
        <v>1566</v>
      </c>
      <c r="G107" s="150" t="s">
        <v>1135</v>
      </c>
      <c r="H107" s="150" t="s">
        <v>1165</v>
      </c>
      <c r="I107" s="150" t="s">
        <v>1135</v>
      </c>
      <c r="J107" s="150" t="s">
        <v>1165</v>
      </c>
      <c r="K107" s="150" t="s">
        <v>1137</v>
      </c>
      <c r="L107" s="511" t="s">
        <v>389</v>
      </c>
      <c r="M107" s="392" t="s">
        <v>1938</v>
      </c>
      <c r="N107" s="343"/>
      <c r="O107" s="343"/>
      <c r="P107" s="70" t="s">
        <v>480</v>
      </c>
      <c r="Q107" s="346"/>
      <c r="R107" s="343"/>
      <c r="S107" s="346"/>
      <c r="T107" s="150" t="s">
        <v>478</v>
      </c>
      <c r="U107" s="150"/>
      <c r="V107" s="403"/>
      <c r="W107" s="406">
        <v>345000</v>
      </c>
      <c r="X107" s="406">
        <v>333579.34999999998</v>
      </c>
      <c r="Y107" s="425"/>
      <c r="Z107" s="71"/>
      <c r="AA107" s="426"/>
      <c r="AB107" s="427"/>
      <c r="AC107" s="427">
        <v>80924.350000000006</v>
      </c>
      <c r="AD107" s="428">
        <v>25748.649999999994</v>
      </c>
      <c r="AE107" s="429">
        <v>35684.65</v>
      </c>
      <c r="AF107" s="429">
        <v>28214.84</v>
      </c>
      <c r="AG107" s="363">
        <v>29498</v>
      </c>
      <c r="AH107" s="363">
        <v>26933</v>
      </c>
      <c r="AI107" s="363">
        <v>28215</v>
      </c>
      <c r="AJ107" s="363">
        <v>28215</v>
      </c>
      <c r="AK107" s="363">
        <v>26933</v>
      </c>
      <c r="AL107" s="363">
        <v>29498</v>
      </c>
      <c r="AM107" s="360">
        <f t="shared" si="3"/>
        <v>339864.49</v>
      </c>
      <c r="AN107" s="362">
        <f>ERP_26[[#This Row],[2026 Working Total]]-ERP_26[[#This Row],[LE2 Final Submission]]</f>
        <v>6285.140000000014</v>
      </c>
      <c r="AO107" s="79">
        <v>26933</v>
      </c>
      <c r="AP107" s="79">
        <f t="shared" si="4"/>
        <v>1281.8400000000001</v>
      </c>
      <c r="AQ107" s="374">
        <f>SUM(ERP_26[[#This Row],[AP01]:[AP06]])-SUM(ERP_26[[#This Row],[AP01 LE2]:[AP06 LE2]])</f>
        <v>6285.1399999999849</v>
      </c>
      <c r="AR107" s="80"/>
      <c r="AS107" s="79">
        <f>ERP_26[[#This Row],[2026 Working Total to Budget/LE]]-ERP_26[[#This Row],[Giveback]]</f>
        <v>6285.140000000014</v>
      </c>
      <c r="AT107" s="81"/>
      <c r="AU107" s="375"/>
      <c r="AV107" s="375"/>
      <c r="AW107" s="375">
        <v>80924.350000000006</v>
      </c>
      <c r="AX107" s="375">
        <v>28215</v>
      </c>
      <c r="AY107" s="375">
        <v>26933</v>
      </c>
      <c r="AZ107" s="375">
        <v>28215</v>
      </c>
      <c r="BA107" s="375">
        <v>29498</v>
      </c>
      <c r="BB107" s="375">
        <v>26933</v>
      </c>
      <c r="BC107" s="375">
        <v>28215</v>
      </c>
      <c r="BD107" s="375">
        <v>28215</v>
      </c>
      <c r="BE107" s="375">
        <v>26933</v>
      </c>
      <c r="BF107" s="375">
        <v>29498</v>
      </c>
      <c r="BG107" s="375">
        <v>333579.34999999998</v>
      </c>
      <c r="BH107" s="79"/>
      <c r="BI107" s="79"/>
      <c r="BJ107" s="79">
        <v>80924.350000000006</v>
      </c>
      <c r="BK107" s="79">
        <v>27894</v>
      </c>
      <c r="BL107" s="79">
        <v>27894</v>
      </c>
      <c r="BM107" s="79">
        <v>27894</v>
      </c>
      <c r="BN107" s="79">
        <v>27894</v>
      </c>
      <c r="BO107" s="79">
        <v>27894</v>
      </c>
      <c r="BP107" s="79">
        <v>27894</v>
      </c>
      <c r="BQ107" s="79">
        <v>27894</v>
      </c>
      <c r="BR107" s="79">
        <v>27894</v>
      </c>
      <c r="BS107" s="79">
        <v>27894</v>
      </c>
      <c r="BT107" s="79">
        <v>331970.34999999998</v>
      </c>
    </row>
    <row r="108" spans="1:72" ht="15" customHeight="1">
      <c r="A108" s="66" t="s">
        <v>1939</v>
      </c>
      <c r="B108" s="66"/>
      <c r="C108" s="66" t="s">
        <v>481</v>
      </c>
      <c r="D108" s="66" t="s">
        <v>481</v>
      </c>
      <c r="E108" s="150" t="s">
        <v>1136</v>
      </c>
      <c r="F108" s="482" t="s">
        <v>1566</v>
      </c>
      <c r="G108" s="150" t="s">
        <v>1135</v>
      </c>
      <c r="H108" s="150" t="s">
        <v>1135</v>
      </c>
      <c r="I108" s="150" t="s">
        <v>1135</v>
      </c>
      <c r="J108" s="150" t="s">
        <v>1135</v>
      </c>
      <c r="K108" s="150" t="s">
        <v>1137</v>
      </c>
      <c r="L108" s="511" t="s">
        <v>389</v>
      </c>
      <c r="M108" s="392" t="s">
        <v>1778</v>
      </c>
      <c r="N108" s="343"/>
      <c r="O108" s="343"/>
      <c r="P108" s="70" t="s">
        <v>482</v>
      </c>
      <c r="Q108" s="346"/>
      <c r="R108" s="343"/>
      <c r="S108" s="346"/>
      <c r="T108" s="150" t="s">
        <v>408</v>
      </c>
      <c r="U108" s="150"/>
      <c r="V108" s="403"/>
      <c r="W108" s="406">
        <v>0</v>
      </c>
      <c r="X108" s="406">
        <v>-18450</v>
      </c>
      <c r="Y108" s="425"/>
      <c r="Z108" s="71"/>
      <c r="AA108" s="426"/>
      <c r="AB108" s="427"/>
      <c r="AC108" s="427">
        <v>-3450</v>
      </c>
      <c r="AD108" s="428">
        <v>0</v>
      </c>
      <c r="AE108" s="429">
        <v>-7116.77</v>
      </c>
      <c r="AF108" s="429">
        <v>-3658.57</v>
      </c>
      <c r="AG108" s="363">
        <v>-1666.67</v>
      </c>
      <c r="AH108" s="363">
        <v>-1666.67</v>
      </c>
      <c r="AI108" s="363">
        <v>-1666.67</v>
      </c>
      <c r="AJ108" s="360">
        <v>0</v>
      </c>
      <c r="AK108" s="360">
        <v>0</v>
      </c>
      <c r="AL108" s="360">
        <v>0</v>
      </c>
      <c r="AM108" s="360">
        <f t="shared" si="3"/>
        <v>-19225.349999999999</v>
      </c>
      <c r="AN108" s="362">
        <f>ERP_26[[#This Row],[2026 Working Total]]-ERP_26[[#This Row],[LE2 Final Submission]]</f>
        <v>-775.34999999999854</v>
      </c>
      <c r="AO108" s="79">
        <v>-3333.33</v>
      </c>
      <c r="AP108" s="79">
        <f t="shared" si="4"/>
        <v>-325.24000000000024</v>
      </c>
      <c r="AQ108" s="374">
        <f>SUM(ERP_26[[#This Row],[AP01]:[AP06]])-SUM(ERP_26[[#This Row],[AP01 LE2]:[AP06 LE2]])</f>
        <v>-775.35000000000036</v>
      </c>
      <c r="AR108" s="80"/>
      <c r="AS108" s="79">
        <f>ERP_26[[#This Row],[2026 Working Total to Budget/LE]]-ERP_26[[#This Row],[Giveback]]</f>
        <v>-775.34999999999854</v>
      </c>
      <c r="AT108" s="81"/>
      <c r="AU108" s="375"/>
      <c r="AV108" s="375"/>
      <c r="AW108" s="375">
        <v>-3450</v>
      </c>
      <c r="AX108" s="375">
        <v>-3333.33</v>
      </c>
      <c r="AY108" s="375">
        <v>-3333.33</v>
      </c>
      <c r="AZ108" s="375">
        <v>-3333.33</v>
      </c>
      <c r="BA108" s="375">
        <v>-1666.67</v>
      </c>
      <c r="BB108" s="375">
        <v>-1666.67</v>
      </c>
      <c r="BC108" s="375">
        <v>-1666.67</v>
      </c>
      <c r="BD108" s="375">
        <v>0</v>
      </c>
      <c r="BE108" s="375">
        <v>0</v>
      </c>
      <c r="BF108" s="375">
        <v>0</v>
      </c>
      <c r="BG108" s="375">
        <v>-18450</v>
      </c>
      <c r="BH108" s="79"/>
      <c r="BI108" s="79"/>
      <c r="BJ108" s="79">
        <v>-3450</v>
      </c>
      <c r="BK108" s="79">
        <v>-3333.33</v>
      </c>
      <c r="BL108" s="79">
        <v>-3333.33</v>
      </c>
      <c r="BM108" s="79">
        <v>-3333.33</v>
      </c>
      <c r="BN108" s="79">
        <v>-1666.67</v>
      </c>
      <c r="BO108" s="79">
        <v>-1666.67</v>
      </c>
      <c r="BP108" s="79">
        <v>-1666.67</v>
      </c>
      <c r="BQ108" s="79">
        <v>0</v>
      </c>
      <c r="BR108" s="79">
        <v>0</v>
      </c>
      <c r="BS108" s="79">
        <v>0</v>
      </c>
      <c r="BT108" s="79">
        <v>-18450</v>
      </c>
    </row>
    <row r="109" spans="1:72" ht="15" customHeight="1">
      <c r="A109" s="66" t="s">
        <v>1943</v>
      </c>
      <c r="B109" s="66"/>
      <c r="C109" s="66" t="s">
        <v>483</v>
      </c>
      <c r="D109" s="66" t="s">
        <v>1944</v>
      </c>
      <c r="E109" s="150" t="s">
        <v>1136</v>
      </c>
      <c r="F109" s="482" t="s">
        <v>1566</v>
      </c>
      <c r="G109" s="150" t="s">
        <v>1135</v>
      </c>
      <c r="H109" s="150" t="s">
        <v>1165</v>
      </c>
      <c r="I109" s="150" t="s">
        <v>1135</v>
      </c>
      <c r="J109" s="150" t="s">
        <v>1165</v>
      </c>
      <c r="K109" s="150" t="s">
        <v>1137</v>
      </c>
      <c r="L109" s="511" t="s">
        <v>389</v>
      </c>
      <c r="M109" s="392" t="s">
        <v>1945</v>
      </c>
      <c r="N109" s="343"/>
      <c r="O109" s="343"/>
      <c r="P109" s="70" t="s">
        <v>484</v>
      </c>
      <c r="Q109" s="346"/>
      <c r="R109" s="343"/>
      <c r="S109" s="346"/>
      <c r="T109" s="150" t="s">
        <v>57</v>
      </c>
      <c r="U109" s="150"/>
      <c r="V109" s="403"/>
      <c r="W109" s="406">
        <v>0</v>
      </c>
      <c r="X109" s="406">
        <v>3711.49</v>
      </c>
      <c r="Y109" s="425"/>
      <c r="Z109" s="71"/>
      <c r="AA109" s="426"/>
      <c r="AB109" s="427"/>
      <c r="AC109" s="427">
        <v>552.49</v>
      </c>
      <c r="AD109" s="428">
        <v>0</v>
      </c>
      <c r="AE109" s="429">
        <v>0</v>
      </c>
      <c r="AF109" s="429">
        <v>0</v>
      </c>
      <c r="AG109" s="363">
        <v>351</v>
      </c>
      <c r="AH109" s="363">
        <v>351</v>
      </c>
      <c r="AI109" s="363">
        <v>351</v>
      </c>
      <c r="AJ109" s="363">
        <v>351</v>
      </c>
      <c r="AK109" s="363">
        <v>351</v>
      </c>
      <c r="AL109" s="363">
        <v>351</v>
      </c>
      <c r="AM109" s="360">
        <f t="shared" si="3"/>
        <v>2658.49</v>
      </c>
      <c r="AN109" s="362">
        <f>ERP_26[[#This Row],[2026 Working Total]]-ERP_26[[#This Row],[LE2 Final Submission]]</f>
        <v>-1053</v>
      </c>
      <c r="AO109" s="79">
        <v>351</v>
      </c>
      <c r="AP109" s="79">
        <f t="shared" si="4"/>
        <v>-351</v>
      </c>
      <c r="AQ109" s="374">
        <f>SUM(ERP_26[[#This Row],[AP01]:[AP06]])-SUM(ERP_26[[#This Row],[AP01 LE2]:[AP06 LE2]])</f>
        <v>-1053</v>
      </c>
      <c r="AR109" s="80"/>
      <c r="AS109" s="79">
        <f>ERP_26[[#This Row],[2026 Working Total to Budget/LE]]-ERP_26[[#This Row],[Giveback]]</f>
        <v>-1053</v>
      </c>
      <c r="AT109" s="81"/>
      <c r="AU109" s="375"/>
      <c r="AV109" s="375"/>
      <c r="AW109" s="375">
        <v>552.49</v>
      </c>
      <c r="AX109" s="375">
        <v>351</v>
      </c>
      <c r="AY109" s="375">
        <v>351</v>
      </c>
      <c r="AZ109" s="375">
        <v>351</v>
      </c>
      <c r="BA109" s="375">
        <v>351</v>
      </c>
      <c r="BB109" s="375">
        <v>351</v>
      </c>
      <c r="BC109" s="375">
        <v>351</v>
      </c>
      <c r="BD109" s="375">
        <v>351</v>
      </c>
      <c r="BE109" s="375">
        <v>351</v>
      </c>
      <c r="BF109" s="375">
        <v>351</v>
      </c>
      <c r="BG109" s="375">
        <v>3711.49</v>
      </c>
      <c r="BH109" s="79"/>
      <c r="BI109" s="79"/>
      <c r="BJ109" s="79">
        <v>552.49</v>
      </c>
      <c r="BK109" s="79">
        <v>351</v>
      </c>
      <c r="BL109" s="79">
        <v>351</v>
      </c>
      <c r="BM109" s="79">
        <v>351</v>
      </c>
      <c r="BN109" s="79">
        <v>351</v>
      </c>
      <c r="BO109" s="79">
        <v>351</v>
      </c>
      <c r="BP109" s="79">
        <v>351</v>
      </c>
      <c r="BQ109" s="79">
        <v>351</v>
      </c>
      <c r="BR109" s="79">
        <v>351</v>
      </c>
      <c r="BS109" s="79">
        <v>351</v>
      </c>
      <c r="BT109" s="79">
        <v>3711.49</v>
      </c>
    </row>
    <row r="110" spans="1:72" ht="15" customHeight="1">
      <c r="A110" s="66" t="s">
        <v>1946</v>
      </c>
      <c r="B110" s="66" t="s">
        <v>2950</v>
      </c>
      <c r="C110" s="66" t="s">
        <v>485</v>
      </c>
      <c r="D110" s="66" t="s">
        <v>485</v>
      </c>
      <c r="E110" s="150" t="s">
        <v>1136</v>
      </c>
      <c r="F110" s="482" t="s">
        <v>1566</v>
      </c>
      <c r="G110" s="150" t="s">
        <v>1135</v>
      </c>
      <c r="H110" s="150" t="s">
        <v>1135</v>
      </c>
      <c r="I110" s="150" t="s">
        <v>1135</v>
      </c>
      <c r="J110" s="150" t="s">
        <v>1135</v>
      </c>
      <c r="K110" s="150" t="s">
        <v>1137</v>
      </c>
      <c r="L110" s="511" t="s">
        <v>389</v>
      </c>
      <c r="M110" s="392" t="s">
        <v>1947</v>
      </c>
      <c r="N110" s="343"/>
      <c r="O110" s="343"/>
      <c r="P110" s="70" t="s">
        <v>486</v>
      </c>
      <c r="Q110" s="346" t="s">
        <v>1153</v>
      </c>
      <c r="R110" s="343"/>
      <c r="S110" s="346"/>
      <c r="T110" s="150" t="s">
        <v>487</v>
      </c>
      <c r="U110" s="150"/>
      <c r="V110" s="403"/>
      <c r="W110" s="406">
        <v>-608600</v>
      </c>
      <c r="X110" s="406">
        <v>-597160</v>
      </c>
      <c r="Y110" s="425"/>
      <c r="Z110" s="71"/>
      <c r="AA110" s="426"/>
      <c r="AB110" s="427"/>
      <c r="AC110" s="427">
        <v>-123760</v>
      </c>
      <c r="AD110" s="429">
        <v>0</v>
      </c>
      <c r="AE110" s="429">
        <v>-113731.04000000001</v>
      </c>
      <c r="AF110" s="429">
        <v>-60567.46</v>
      </c>
      <c r="AG110" s="363">
        <v>-52600</v>
      </c>
      <c r="AH110" s="363">
        <v>-52600</v>
      </c>
      <c r="AI110" s="363">
        <v>-52600</v>
      </c>
      <c r="AJ110" s="363">
        <v>-52600</v>
      </c>
      <c r="AK110" s="363">
        <v>-52600</v>
      </c>
      <c r="AL110" s="363">
        <v>-52600</v>
      </c>
      <c r="AM110" s="560">
        <f t="shared" si="3"/>
        <v>-613658.5</v>
      </c>
      <c r="AN110" s="362">
        <f>ERP_26[[#This Row],[2026 Working Total]]-ERP_26[[#This Row],[LE2 Final Submission]]</f>
        <v>-16498.5</v>
      </c>
      <c r="AO110" s="79">
        <v>-52600</v>
      </c>
      <c r="AP110" s="79">
        <f t="shared" si="4"/>
        <v>-7967.4599999999991</v>
      </c>
      <c r="AQ110" s="374">
        <f>SUM(ERP_26[[#This Row],[AP01]:[AP06]])-SUM(ERP_26[[#This Row],[AP01 LE2]:[AP06 LE2]])</f>
        <v>-16498.5</v>
      </c>
      <c r="AR110" s="80"/>
      <c r="AS110" s="79">
        <f>ERP_26[[#This Row],[2026 Working Total to Budget/LE]]-ERP_26[[#This Row],[Giveback]]</f>
        <v>-16498.5</v>
      </c>
      <c r="AT110" s="81"/>
      <c r="AU110" s="375"/>
      <c r="AV110" s="375"/>
      <c r="AW110" s="375">
        <v>-123760</v>
      </c>
      <c r="AX110" s="375">
        <v>-52600</v>
      </c>
      <c r="AY110" s="375">
        <v>-52600</v>
      </c>
      <c r="AZ110" s="375">
        <v>-52600</v>
      </c>
      <c r="BA110" s="375">
        <v>-52600</v>
      </c>
      <c r="BB110" s="375">
        <v>-52600</v>
      </c>
      <c r="BC110" s="375">
        <v>-52600</v>
      </c>
      <c r="BD110" s="375">
        <v>-52600</v>
      </c>
      <c r="BE110" s="375">
        <v>-52600</v>
      </c>
      <c r="BF110" s="375">
        <v>-52600</v>
      </c>
      <c r="BG110" s="375">
        <v>-597160</v>
      </c>
      <c r="BH110" s="79"/>
      <c r="BI110" s="79"/>
      <c r="BJ110" s="79">
        <v>-123760</v>
      </c>
      <c r="BK110" s="79">
        <v>-52600</v>
      </c>
      <c r="BL110" s="79">
        <v>-52600</v>
      </c>
      <c r="BM110" s="79">
        <v>-52600</v>
      </c>
      <c r="BN110" s="79">
        <v>-52600</v>
      </c>
      <c r="BO110" s="79">
        <v>-52600</v>
      </c>
      <c r="BP110" s="79">
        <v>-52600</v>
      </c>
      <c r="BQ110" s="79">
        <v>-52600</v>
      </c>
      <c r="BR110" s="79">
        <v>-52600</v>
      </c>
      <c r="BS110" s="79">
        <v>-52600</v>
      </c>
      <c r="BT110" s="79">
        <v>-597160</v>
      </c>
    </row>
    <row r="111" spans="1:72" ht="15" customHeight="1">
      <c r="A111" s="66" t="s">
        <v>1950</v>
      </c>
      <c r="B111" s="66"/>
      <c r="C111" s="66" t="s">
        <v>488</v>
      </c>
      <c r="D111" s="66" t="s">
        <v>1951</v>
      </c>
      <c r="E111" s="150" t="s">
        <v>1136</v>
      </c>
      <c r="F111" s="482" t="s">
        <v>1566</v>
      </c>
      <c r="G111" s="150" t="s">
        <v>1135</v>
      </c>
      <c r="H111" s="150" t="s">
        <v>1165</v>
      </c>
      <c r="I111" s="150" t="s">
        <v>1135</v>
      </c>
      <c r="J111" s="150" t="s">
        <v>1165</v>
      </c>
      <c r="K111" s="150" t="s">
        <v>1137</v>
      </c>
      <c r="L111" s="511" t="s">
        <v>389</v>
      </c>
      <c r="M111" s="392" t="s">
        <v>1952</v>
      </c>
      <c r="N111" s="343"/>
      <c r="O111" s="343"/>
      <c r="P111" s="70" t="s">
        <v>489</v>
      </c>
      <c r="Q111" s="346" t="s">
        <v>1153</v>
      </c>
      <c r="R111" s="343"/>
      <c r="S111" s="346"/>
      <c r="T111" s="150" t="s">
        <v>490</v>
      </c>
      <c r="U111" s="150"/>
      <c r="V111" s="403"/>
      <c r="W111" s="406">
        <v>3999.9999999999995</v>
      </c>
      <c r="X111" s="406">
        <v>4632.7199999999993</v>
      </c>
      <c r="Y111" s="425"/>
      <c r="Z111" s="71"/>
      <c r="AA111" s="426">
        <v>571.28</v>
      </c>
      <c r="AB111" s="427">
        <v>587.64</v>
      </c>
      <c r="AC111" s="427">
        <v>473.79</v>
      </c>
      <c r="AD111" s="428">
        <v>590.85</v>
      </c>
      <c r="AE111" s="429">
        <v>588.03</v>
      </c>
      <c r="AF111" s="429">
        <v>718.07</v>
      </c>
      <c r="AG111" s="363">
        <v>333.33</v>
      </c>
      <c r="AH111" s="363">
        <v>333.33</v>
      </c>
      <c r="AI111" s="363">
        <v>333.33</v>
      </c>
      <c r="AJ111" s="363">
        <v>333.33</v>
      </c>
      <c r="AK111" s="363">
        <v>333.33</v>
      </c>
      <c r="AL111" s="363">
        <v>333.37</v>
      </c>
      <c r="AM111" s="360">
        <f t="shared" si="3"/>
        <v>5529.68</v>
      </c>
      <c r="AN111" s="362">
        <f>ERP_26[[#This Row],[2026 Working Total]]-ERP_26[[#This Row],[LE2 Final Submission]]</f>
        <v>896.96000000000095</v>
      </c>
      <c r="AO111" s="79">
        <v>333.33</v>
      </c>
      <c r="AP111" s="79">
        <f t="shared" si="4"/>
        <v>384.74000000000007</v>
      </c>
      <c r="AQ111" s="374">
        <f>SUM(ERP_26[[#This Row],[AP01]:[AP06]])-SUM(ERP_26[[#This Row],[AP01 LE2]:[AP06 LE2]])</f>
        <v>896.96000000000049</v>
      </c>
      <c r="AR111" s="80"/>
      <c r="AS111" s="79">
        <f>ERP_26[[#This Row],[2026 Working Total to Budget/LE]]-ERP_26[[#This Row],[Giveback]]</f>
        <v>896.96000000000095</v>
      </c>
      <c r="AT111" s="81"/>
      <c r="AU111" s="375">
        <v>571.28</v>
      </c>
      <c r="AV111" s="375">
        <v>587.64</v>
      </c>
      <c r="AW111" s="375">
        <v>473.79</v>
      </c>
      <c r="AX111" s="375">
        <v>333.33</v>
      </c>
      <c r="AY111" s="375">
        <v>333.33</v>
      </c>
      <c r="AZ111" s="375">
        <v>333.33</v>
      </c>
      <c r="BA111" s="375">
        <v>333.33</v>
      </c>
      <c r="BB111" s="375">
        <v>333.33</v>
      </c>
      <c r="BC111" s="375">
        <v>333.33</v>
      </c>
      <c r="BD111" s="375">
        <v>333.33</v>
      </c>
      <c r="BE111" s="375">
        <v>333.33</v>
      </c>
      <c r="BF111" s="375">
        <v>333.37</v>
      </c>
      <c r="BG111" s="375">
        <v>4632.7199999999993</v>
      </c>
      <c r="BH111" s="79">
        <v>571.28</v>
      </c>
      <c r="BI111" s="79">
        <v>587.64</v>
      </c>
      <c r="BJ111" s="79">
        <v>473.79</v>
      </c>
      <c r="BK111" s="79">
        <v>333.33</v>
      </c>
      <c r="BL111" s="79">
        <v>333.33</v>
      </c>
      <c r="BM111" s="79">
        <v>333.33</v>
      </c>
      <c r="BN111" s="79">
        <v>333.33</v>
      </c>
      <c r="BO111" s="79">
        <v>333.33</v>
      </c>
      <c r="BP111" s="79">
        <v>333.33</v>
      </c>
      <c r="BQ111" s="79">
        <v>333.33</v>
      </c>
      <c r="BR111" s="79">
        <v>333.33</v>
      </c>
      <c r="BS111" s="79">
        <v>333.37</v>
      </c>
      <c r="BT111" s="79">
        <v>4632.7199999999993</v>
      </c>
    </row>
    <row r="112" spans="1:72" ht="15" customHeight="1">
      <c r="A112" s="66" t="s">
        <v>2148</v>
      </c>
      <c r="B112" s="66"/>
      <c r="C112" s="66" t="s">
        <v>603</v>
      </c>
      <c r="D112" s="66" t="s">
        <v>603</v>
      </c>
      <c r="E112" s="150" t="s">
        <v>1136</v>
      </c>
      <c r="F112" s="482" t="s">
        <v>1566</v>
      </c>
      <c r="G112" s="150" t="s">
        <v>1135</v>
      </c>
      <c r="H112" s="150" t="s">
        <v>1135</v>
      </c>
      <c r="I112" s="150" t="s">
        <v>1135</v>
      </c>
      <c r="J112" s="150" t="s">
        <v>1135</v>
      </c>
      <c r="K112" s="150" t="s">
        <v>1137</v>
      </c>
      <c r="L112" s="511" t="s">
        <v>602</v>
      </c>
      <c r="M112" s="392" t="s">
        <v>2149</v>
      </c>
      <c r="N112" s="343"/>
      <c r="O112" s="343"/>
      <c r="P112" s="70" t="s">
        <v>604</v>
      </c>
      <c r="Q112" s="346"/>
      <c r="R112" s="343"/>
      <c r="S112" s="346"/>
      <c r="T112" s="150" t="s">
        <v>605</v>
      </c>
      <c r="U112" s="150"/>
      <c r="V112" s="404"/>
      <c r="W112" s="407">
        <v>0</v>
      </c>
      <c r="X112" s="407">
        <v>0</v>
      </c>
      <c r="Y112" s="425"/>
      <c r="Z112" s="71"/>
      <c r="AA112" s="426">
        <v>4356992.08</v>
      </c>
      <c r="AB112" s="427">
        <v>-4356992.08</v>
      </c>
      <c r="AC112" s="427"/>
      <c r="AD112" s="428" t="s">
        <v>1142</v>
      </c>
      <c r="AE112" s="429">
        <v>0</v>
      </c>
      <c r="AF112" s="429">
        <v>0</v>
      </c>
      <c r="AG112" s="363"/>
      <c r="AH112" s="363"/>
      <c r="AI112" s="363"/>
      <c r="AJ112" s="363"/>
      <c r="AK112" s="363"/>
      <c r="AL112" s="363"/>
      <c r="AM112" s="360">
        <f t="shared" si="3"/>
        <v>0</v>
      </c>
      <c r="AN112" s="362">
        <f>ERP_26[[#This Row],[2026 Working Total]]-ERP_26[[#This Row],[LE2 Final Submission]]</f>
        <v>0</v>
      </c>
      <c r="AO112" s="79"/>
      <c r="AP112" s="79">
        <f t="shared" si="4"/>
        <v>0</v>
      </c>
      <c r="AQ112" s="374">
        <f>SUM(ERP_26[[#This Row],[AP01]:[AP06]])-SUM(ERP_26[[#This Row],[AP01 LE2]:[AP06 LE2]])</f>
        <v>0</v>
      </c>
      <c r="AR112" s="80"/>
      <c r="AS112" s="79">
        <f>ERP_26[[#This Row],[2026 Working Total to Budget/LE]]-ERP_26[[#This Row],[Giveback]]</f>
        <v>0</v>
      </c>
      <c r="AT112" s="81"/>
      <c r="AU112" s="375">
        <v>4356992.08</v>
      </c>
      <c r="AV112" s="375">
        <v>-4356992.08</v>
      </c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375"/>
      <c r="BG112" s="375">
        <v>0</v>
      </c>
      <c r="BH112" s="79">
        <v>4356992.08</v>
      </c>
      <c r="BI112" s="79">
        <v>-4356992.08</v>
      </c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>
        <v>0</v>
      </c>
    </row>
    <row r="113" spans="1:72" ht="15" customHeight="1">
      <c r="A113" s="66" t="s">
        <v>2151</v>
      </c>
      <c r="B113" s="66"/>
      <c r="C113" s="66" t="s">
        <v>606</v>
      </c>
      <c r="D113" s="66" t="s">
        <v>2152</v>
      </c>
      <c r="E113" s="150" t="s">
        <v>1136</v>
      </c>
      <c r="F113" s="482" t="s">
        <v>1566</v>
      </c>
      <c r="G113" s="150" t="s">
        <v>1135</v>
      </c>
      <c r="H113" s="150" t="s">
        <v>1145</v>
      </c>
      <c r="I113" s="150" t="s">
        <v>1135</v>
      </c>
      <c r="J113" s="150" t="s">
        <v>1145</v>
      </c>
      <c r="K113" s="150" t="s">
        <v>1137</v>
      </c>
      <c r="L113" s="511" t="s">
        <v>602</v>
      </c>
      <c r="M113" s="392" t="s">
        <v>2153</v>
      </c>
      <c r="N113" s="343"/>
      <c r="O113" s="150" t="s">
        <v>1186</v>
      </c>
      <c r="P113" s="70" t="s">
        <v>607</v>
      </c>
      <c r="Q113" s="346" t="s">
        <v>1153</v>
      </c>
      <c r="R113" s="346" t="s">
        <v>2154</v>
      </c>
      <c r="S113" s="346" t="s">
        <v>1710</v>
      </c>
      <c r="T113" s="150" t="s">
        <v>608</v>
      </c>
      <c r="U113" s="150"/>
      <c r="V113" s="404"/>
      <c r="W113" s="407">
        <v>0</v>
      </c>
      <c r="X113" s="407">
        <v>0</v>
      </c>
      <c r="Y113" s="425"/>
      <c r="Z113" s="71"/>
      <c r="AA113" s="426">
        <v>-11125</v>
      </c>
      <c r="AB113" s="427">
        <v>11125</v>
      </c>
      <c r="AC113" s="427"/>
      <c r="AD113" s="428" t="s">
        <v>1142</v>
      </c>
      <c r="AE113" s="429">
        <v>0</v>
      </c>
      <c r="AF113" s="429">
        <v>0</v>
      </c>
      <c r="AG113" s="363"/>
      <c r="AH113" s="363"/>
      <c r="AI113" s="363"/>
      <c r="AJ113" s="363"/>
      <c r="AK113" s="363"/>
      <c r="AL113" s="363"/>
      <c r="AM113" s="360">
        <f t="shared" si="3"/>
        <v>0</v>
      </c>
      <c r="AN113" s="362">
        <f>ERP_26[[#This Row],[2026 Working Total]]-ERP_26[[#This Row],[LE2 Final Submission]]</f>
        <v>0</v>
      </c>
      <c r="AO113" s="79"/>
      <c r="AP113" s="79">
        <f t="shared" si="4"/>
        <v>0</v>
      </c>
      <c r="AQ113" s="374">
        <f>SUM(ERP_26[[#This Row],[AP01]:[AP06]])-SUM(ERP_26[[#This Row],[AP01 LE2]:[AP06 LE2]])</f>
        <v>0</v>
      </c>
      <c r="AR113" s="80"/>
      <c r="AS113" s="79">
        <f>ERP_26[[#This Row],[2026 Working Total to Budget/LE]]-ERP_26[[#This Row],[Giveback]]</f>
        <v>0</v>
      </c>
      <c r="AT113" s="81"/>
      <c r="AU113" s="375">
        <v>-11125</v>
      </c>
      <c r="AV113" s="375">
        <v>11125</v>
      </c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375"/>
      <c r="BG113" s="375">
        <v>0</v>
      </c>
      <c r="BH113" s="79">
        <v>-11125</v>
      </c>
      <c r="BI113" s="79">
        <v>11125</v>
      </c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>
        <v>0</v>
      </c>
    </row>
    <row r="114" spans="1:72" ht="15" customHeight="1">
      <c r="A114" s="79" t="s">
        <v>2203</v>
      </c>
      <c r="B114" s="79"/>
      <c r="C114" s="79" t="s">
        <v>640</v>
      </c>
      <c r="D114" s="296" t="s">
        <v>2204</v>
      </c>
      <c r="E114" s="150" t="s">
        <v>1136</v>
      </c>
      <c r="F114" s="482" t="s">
        <v>1566</v>
      </c>
      <c r="G114" s="150" t="s">
        <v>1135</v>
      </c>
      <c r="H114" s="150" t="s">
        <v>1135</v>
      </c>
      <c r="I114" s="150" t="s">
        <v>1135</v>
      </c>
      <c r="J114" s="332" t="s">
        <v>1135</v>
      </c>
      <c r="K114" s="331" t="s">
        <v>1346</v>
      </c>
      <c r="L114" s="514" t="s">
        <v>639</v>
      </c>
      <c r="M114" s="394" t="s">
        <v>2205</v>
      </c>
      <c r="N114" s="343" t="s">
        <v>2206</v>
      </c>
      <c r="O114" s="333"/>
      <c r="P114" s="90"/>
      <c r="Q114" s="347"/>
      <c r="R114" s="343"/>
      <c r="S114" s="348"/>
      <c r="T114" s="348"/>
      <c r="U114" s="348" t="s">
        <v>2207</v>
      </c>
      <c r="V114" s="402"/>
      <c r="W114" s="358"/>
      <c r="X114" s="379">
        <v>624226</v>
      </c>
      <c r="Y114" s="430"/>
      <c r="Z114" s="137"/>
      <c r="AA114" s="435"/>
      <c r="AB114" s="436"/>
      <c r="AC114" s="436"/>
      <c r="AD114" s="428" t="s">
        <v>1142</v>
      </c>
      <c r="AE114" s="429">
        <v>0</v>
      </c>
      <c r="AF114" s="429">
        <v>0</v>
      </c>
      <c r="AG114" s="364"/>
      <c r="AH114" s="364"/>
      <c r="AI114" s="364"/>
      <c r="AJ114" s="364"/>
      <c r="AK114" s="364"/>
      <c r="AL114" s="364">
        <v>624226</v>
      </c>
      <c r="AM114" s="360">
        <f t="shared" si="3"/>
        <v>624226</v>
      </c>
      <c r="AN114" s="362">
        <f>ERP_26[[#This Row],[2026 Working Total]]-ERP_26[[#This Row],[LE2 Final Submission]]</f>
        <v>0</v>
      </c>
      <c r="AO114" s="79"/>
      <c r="AP114" s="79">
        <f t="shared" si="4"/>
        <v>0</v>
      </c>
      <c r="AQ114" s="374">
        <f>SUM(ERP_26[[#This Row],[AP01]:[AP06]])-SUM(ERP_26[[#This Row],[AP01 LE2]:[AP06 LE2]])</f>
        <v>0</v>
      </c>
      <c r="AR114" s="80"/>
      <c r="AS114" s="79">
        <f>ERP_26[[#This Row],[2026 Working Total to Budget/LE]]-ERP_26[[#This Row],[Giveback]]</f>
        <v>0</v>
      </c>
      <c r="AT114" s="81"/>
      <c r="AU114" s="375"/>
      <c r="AV114" s="375"/>
      <c r="AW114" s="375"/>
      <c r="AX114" s="375"/>
      <c r="AY114" s="375"/>
      <c r="AZ114" s="375"/>
      <c r="BA114" s="375"/>
      <c r="BB114" s="375"/>
      <c r="BC114" s="375"/>
      <c r="BD114" s="375"/>
      <c r="BE114" s="375"/>
      <c r="BF114" s="375">
        <v>624226</v>
      </c>
      <c r="BG114" s="375">
        <v>624226</v>
      </c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79"/>
      <c r="BS114" s="79"/>
      <c r="BT114" s="79"/>
    </row>
    <row r="115" spans="1:72" ht="15" customHeight="1">
      <c r="A115" s="66" t="s">
        <v>2208</v>
      </c>
      <c r="B115" s="66"/>
      <c r="C115" s="66" t="s">
        <v>641</v>
      </c>
      <c r="D115" s="66" t="s">
        <v>641</v>
      </c>
      <c r="E115" s="150" t="s">
        <v>1136</v>
      </c>
      <c r="F115" s="482" t="s">
        <v>1566</v>
      </c>
      <c r="G115" s="150" t="s">
        <v>1135</v>
      </c>
      <c r="H115" s="150" t="s">
        <v>1135</v>
      </c>
      <c r="I115" s="150" t="s">
        <v>1135</v>
      </c>
      <c r="J115" s="150" t="s">
        <v>1135</v>
      </c>
      <c r="K115" s="150" t="s">
        <v>1137</v>
      </c>
      <c r="L115" s="511" t="s">
        <v>639</v>
      </c>
      <c r="M115" s="392" t="s">
        <v>2209</v>
      </c>
      <c r="N115" s="343"/>
      <c r="O115" s="343"/>
      <c r="P115" s="157" t="s">
        <v>642</v>
      </c>
      <c r="Q115" s="346"/>
      <c r="R115" s="343"/>
      <c r="S115" s="346"/>
      <c r="T115" s="150" t="s">
        <v>152</v>
      </c>
      <c r="U115" s="150"/>
      <c r="V115" s="403"/>
      <c r="W115" s="406">
        <v>103465.00000000001</v>
      </c>
      <c r="X115" s="406">
        <v>77598.720000000001</v>
      </c>
      <c r="Y115" s="425"/>
      <c r="Z115" s="71"/>
      <c r="AA115" s="426"/>
      <c r="AB115" s="427"/>
      <c r="AC115" s="427"/>
      <c r="AD115" s="428" t="s">
        <v>1142</v>
      </c>
      <c r="AE115" s="429">
        <v>0</v>
      </c>
      <c r="AF115" s="429">
        <v>0</v>
      </c>
      <c r="AG115" s="363">
        <v>17244</v>
      </c>
      <c r="AH115" s="363">
        <v>17244</v>
      </c>
      <c r="AI115" s="363">
        <v>17244</v>
      </c>
      <c r="AJ115" s="363">
        <v>17244</v>
      </c>
      <c r="AK115" s="363">
        <v>17244</v>
      </c>
      <c r="AL115" s="363">
        <v>17244</v>
      </c>
      <c r="AM115" s="360">
        <f t="shared" si="3"/>
        <v>103464</v>
      </c>
      <c r="AN115" s="362">
        <f>ERP_26[[#This Row],[2026 Working Total]]-ERP_26[[#This Row],[LE2 Final Submission]]</f>
        <v>25865.279999999999</v>
      </c>
      <c r="AO115" s="79"/>
      <c r="AP115" s="79">
        <f t="shared" si="4"/>
        <v>0</v>
      </c>
      <c r="AQ115" s="374">
        <f>SUM(ERP_26[[#This Row],[AP01]:[AP06]])-SUM(ERP_26[[#This Row],[AP01 LE2]:[AP06 LE2]])</f>
        <v>-25866.239999999998</v>
      </c>
      <c r="AR115" s="80"/>
      <c r="AS115" s="79">
        <f>ERP_26[[#This Row],[2026 Working Total to Budget/LE]]-ERP_26[[#This Row],[Giveback]]</f>
        <v>25865.279999999999</v>
      </c>
      <c r="AT115" s="81"/>
      <c r="AU115" s="375"/>
      <c r="AV115" s="375"/>
      <c r="AW115" s="375"/>
      <c r="AX115" s="375">
        <v>8622.08</v>
      </c>
      <c r="AY115" s="375">
        <v>8622.08</v>
      </c>
      <c r="AZ115" s="375">
        <v>8622.08</v>
      </c>
      <c r="BA115" s="375">
        <v>8622.08</v>
      </c>
      <c r="BB115" s="375">
        <v>8622.08</v>
      </c>
      <c r="BC115" s="375">
        <v>8622.08</v>
      </c>
      <c r="BD115" s="375">
        <v>8622.08</v>
      </c>
      <c r="BE115" s="375">
        <v>8622.08</v>
      </c>
      <c r="BF115" s="375">
        <v>8622.08</v>
      </c>
      <c r="BG115" s="375">
        <v>77598.720000000001</v>
      </c>
      <c r="BH115" s="79"/>
      <c r="BI115" s="79"/>
      <c r="BJ115" s="79"/>
      <c r="BK115" s="79">
        <v>8622.08</v>
      </c>
      <c r="BL115" s="79">
        <v>8622.08</v>
      </c>
      <c r="BM115" s="79">
        <v>8622.08</v>
      </c>
      <c r="BN115" s="79">
        <v>8622.08</v>
      </c>
      <c r="BO115" s="79">
        <v>8622.08</v>
      </c>
      <c r="BP115" s="79">
        <v>8622.08</v>
      </c>
      <c r="BQ115" s="79">
        <v>8622.08</v>
      </c>
      <c r="BR115" s="79">
        <v>8622.08</v>
      </c>
      <c r="BS115" s="79">
        <v>8622.08</v>
      </c>
      <c r="BT115" s="79">
        <v>77598.720000000001</v>
      </c>
    </row>
    <row r="116" spans="1:72" ht="15" customHeight="1">
      <c r="A116" s="66" t="s">
        <v>2210</v>
      </c>
      <c r="B116" s="66"/>
      <c r="C116" s="66" t="s">
        <v>643</v>
      </c>
      <c r="D116" s="66" t="s">
        <v>643</v>
      </c>
      <c r="E116" s="150" t="s">
        <v>1136</v>
      </c>
      <c r="F116" s="482" t="s">
        <v>1566</v>
      </c>
      <c r="G116" s="150" t="s">
        <v>1135</v>
      </c>
      <c r="H116" s="150" t="s">
        <v>1135</v>
      </c>
      <c r="I116" s="150" t="s">
        <v>1135</v>
      </c>
      <c r="J116" s="150" t="s">
        <v>1135</v>
      </c>
      <c r="K116" s="150" t="s">
        <v>1137</v>
      </c>
      <c r="L116" s="511" t="s">
        <v>639</v>
      </c>
      <c r="M116" s="392" t="s">
        <v>2211</v>
      </c>
      <c r="N116" s="343"/>
      <c r="O116" s="343"/>
      <c r="P116" s="157" t="s">
        <v>644</v>
      </c>
      <c r="Q116" s="346"/>
      <c r="R116" s="343"/>
      <c r="S116" s="346"/>
      <c r="T116" s="150" t="s">
        <v>152</v>
      </c>
      <c r="U116" s="150" t="s">
        <v>2212</v>
      </c>
      <c r="V116" s="403"/>
      <c r="W116" s="406">
        <v>204127.99999999994</v>
      </c>
      <c r="X116" s="406">
        <v>204128</v>
      </c>
      <c r="Y116" s="425"/>
      <c r="Z116" s="71"/>
      <c r="AA116" s="426"/>
      <c r="AB116" s="427"/>
      <c r="AC116" s="427"/>
      <c r="AD116" s="428" t="s">
        <v>1142</v>
      </c>
      <c r="AE116" s="429">
        <v>0</v>
      </c>
      <c r="AF116" s="429">
        <v>0</v>
      </c>
      <c r="AG116" s="363">
        <f>17010.67-17010.67</f>
        <v>0</v>
      </c>
      <c r="AH116" s="363">
        <f>17010.67-17010.67</f>
        <v>0</v>
      </c>
      <c r="AI116" s="363">
        <f>17010.67-17010.67</f>
        <v>0</v>
      </c>
      <c r="AJ116" s="363">
        <f>17010.67-17010.67+204128</f>
        <v>204128</v>
      </c>
      <c r="AK116" s="363">
        <f>17010.67-17010.67</f>
        <v>0</v>
      </c>
      <c r="AL116" s="363">
        <f>17010.67-17010.67</f>
        <v>0</v>
      </c>
      <c r="AM116" s="360">
        <f t="shared" si="3"/>
        <v>204128</v>
      </c>
      <c r="AN116" s="362">
        <f>ERP_26[[#This Row],[2026 Working Total]]-ERP_26[[#This Row],[LE2 Final Submission]]</f>
        <v>0</v>
      </c>
      <c r="AO116" s="79">
        <v>14200</v>
      </c>
      <c r="AP116" s="79">
        <f t="shared" si="4"/>
        <v>-14200</v>
      </c>
      <c r="AQ116" s="374">
        <f>SUM(ERP_26[[#This Row],[AP01]:[AP06]])-SUM(ERP_26[[#This Row],[AP01 LE2]:[AP06 LE2]])</f>
        <v>0</v>
      </c>
      <c r="AR116" s="80"/>
      <c r="AS116" s="79">
        <f>ERP_26[[#This Row],[2026 Working Total to Budget/LE]]-ERP_26[[#This Row],[Giveback]]</f>
        <v>0</v>
      </c>
      <c r="AT116" s="81"/>
      <c r="AU116" s="375"/>
      <c r="AV116" s="375"/>
      <c r="AW116" s="375"/>
      <c r="AX116" s="375">
        <v>0</v>
      </c>
      <c r="AY116" s="375">
        <v>0</v>
      </c>
      <c r="AZ116" s="375">
        <v>0</v>
      </c>
      <c r="BA116" s="375">
        <v>0</v>
      </c>
      <c r="BB116" s="375">
        <v>0</v>
      </c>
      <c r="BC116" s="375">
        <v>0</v>
      </c>
      <c r="BD116" s="375">
        <v>204128</v>
      </c>
      <c r="BE116" s="375">
        <v>0</v>
      </c>
      <c r="BF116" s="375">
        <v>0</v>
      </c>
      <c r="BG116" s="375">
        <v>204128</v>
      </c>
      <c r="BH116" s="79"/>
      <c r="BI116" s="79"/>
      <c r="BJ116" s="79"/>
      <c r="BK116" s="79">
        <v>17010.669999999998</v>
      </c>
      <c r="BL116" s="79">
        <v>17010.669999999998</v>
      </c>
      <c r="BM116" s="79">
        <v>17010.669999999998</v>
      </c>
      <c r="BN116" s="79">
        <v>17010.669999999998</v>
      </c>
      <c r="BO116" s="79">
        <v>17010.669999999998</v>
      </c>
      <c r="BP116" s="79">
        <v>17010.669999999998</v>
      </c>
      <c r="BQ116" s="79">
        <v>17010.669999999998</v>
      </c>
      <c r="BR116" s="79">
        <v>17010.669999999998</v>
      </c>
      <c r="BS116" s="79">
        <v>17010.669999999998</v>
      </c>
      <c r="BT116" s="79">
        <v>153096.02999999997</v>
      </c>
    </row>
    <row r="117" spans="1:72" ht="15" customHeight="1">
      <c r="A117" s="66" t="s">
        <v>2213</v>
      </c>
      <c r="B117" s="66"/>
      <c r="C117" s="66" t="s">
        <v>645</v>
      </c>
      <c r="D117" s="66" t="s">
        <v>645</v>
      </c>
      <c r="E117" s="150" t="s">
        <v>1136</v>
      </c>
      <c r="F117" s="482" t="s">
        <v>1566</v>
      </c>
      <c r="G117" s="150" t="s">
        <v>1135</v>
      </c>
      <c r="H117" s="150" t="s">
        <v>1135</v>
      </c>
      <c r="I117" s="150" t="s">
        <v>1135</v>
      </c>
      <c r="J117" s="150" t="s">
        <v>1135</v>
      </c>
      <c r="K117" s="150" t="s">
        <v>1137</v>
      </c>
      <c r="L117" s="511" t="s">
        <v>639</v>
      </c>
      <c r="M117" s="392" t="s">
        <v>2214</v>
      </c>
      <c r="N117" s="343"/>
      <c r="O117" s="343"/>
      <c r="P117" s="70" t="s">
        <v>646</v>
      </c>
      <c r="Q117" s="346"/>
      <c r="R117" s="343"/>
      <c r="S117" s="346"/>
      <c r="T117" s="150" t="s">
        <v>152</v>
      </c>
      <c r="U117" s="150"/>
      <c r="V117" s="403"/>
      <c r="W117" s="406">
        <v>0</v>
      </c>
      <c r="X117" s="406">
        <v>650000</v>
      </c>
      <c r="Y117" s="430"/>
      <c r="Z117" s="137"/>
      <c r="AA117" s="426"/>
      <c r="AB117" s="427"/>
      <c r="AC117" s="427"/>
      <c r="AD117" s="428" t="s">
        <v>1142</v>
      </c>
      <c r="AE117" s="429">
        <v>0</v>
      </c>
      <c r="AF117" s="429">
        <v>0</v>
      </c>
      <c r="AG117" s="360">
        <v>0</v>
      </c>
      <c r="AH117" s="360">
        <v>0</v>
      </c>
      <c r="AI117" s="360">
        <v>0</v>
      </c>
      <c r="AJ117" s="360">
        <v>650000</v>
      </c>
      <c r="AK117" s="360">
        <v>0</v>
      </c>
      <c r="AL117" s="360">
        <v>0</v>
      </c>
      <c r="AM117" s="360">
        <f t="shared" si="3"/>
        <v>650000</v>
      </c>
      <c r="AN117" s="362">
        <f>ERP_26[[#This Row],[2026 Working Total]]-ERP_26[[#This Row],[LE2 Final Submission]]</f>
        <v>0</v>
      </c>
      <c r="AO117" s="79"/>
      <c r="AP117" s="79">
        <f t="shared" si="4"/>
        <v>0</v>
      </c>
      <c r="AQ117" s="374">
        <f>SUM(ERP_26[[#This Row],[AP01]:[AP06]])-SUM(ERP_26[[#This Row],[AP01 LE2]:[AP06 LE2]])</f>
        <v>-650000</v>
      </c>
      <c r="AR117" s="80"/>
      <c r="AS117" s="79">
        <f>ERP_26[[#This Row],[2026 Working Total to Budget/LE]]-ERP_26[[#This Row],[Giveback]]</f>
        <v>0</v>
      </c>
      <c r="AT117" s="81" t="s">
        <v>2216</v>
      </c>
      <c r="AU117" s="375"/>
      <c r="AV117" s="375"/>
      <c r="AW117" s="375"/>
      <c r="AX117" s="375"/>
      <c r="AY117" s="375"/>
      <c r="AZ117" s="375">
        <v>650000</v>
      </c>
      <c r="BA117" s="375">
        <v>0</v>
      </c>
      <c r="BB117" s="375">
        <v>0</v>
      </c>
      <c r="BC117" s="375">
        <v>0</v>
      </c>
      <c r="BD117" s="375">
        <v>0</v>
      </c>
      <c r="BE117" s="375">
        <v>0</v>
      </c>
      <c r="BF117" s="375">
        <v>0</v>
      </c>
      <c r="BG117" s="375">
        <v>650000</v>
      </c>
      <c r="BH117" s="79"/>
      <c r="BI117" s="79"/>
      <c r="BJ117" s="79"/>
      <c r="BK117" s="79"/>
      <c r="BL117" s="79"/>
      <c r="BM117" s="79">
        <v>650000</v>
      </c>
      <c r="BN117" s="79">
        <v>0</v>
      </c>
      <c r="BO117" s="79">
        <v>0</v>
      </c>
      <c r="BP117" s="79">
        <v>0</v>
      </c>
      <c r="BQ117" s="79">
        <v>0</v>
      </c>
      <c r="BR117" s="79">
        <v>0</v>
      </c>
      <c r="BS117" s="79">
        <v>0</v>
      </c>
      <c r="BT117" s="79">
        <v>650000</v>
      </c>
    </row>
    <row r="118" spans="1:72" ht="15" customHeight="1">
      <c r="A118" s="66" t="s">
        <v>2217</v>
      </c>
      <c r="B118" s="66"/>
      <c r="C118" s="66" t="s">
        <v>647</v>
      </c>
      <c r="D118" s="66" t="s">
        <v>647</v>
      </c>
      <c r="E118" s="150" t="s">
        <v>1136</v>
      </c>
      <c r="F118" s="482" t="s">
        <v>1566</v>
      </c>
      <c r="G118" s="150" t="s">
        <v>1135</v>
      </c>
      <c r="H118" s="150" t="s">
        <v>1135</v>
      </c>
      <c r="I118" s="150" t="s">
        <v>1135</v>
      </c>
      <c r="J118" s="150" t="s">
        <v>1135</v>
      </c>
      <c r="K118" s="150" t="s">
        <v>1137</v>
      </c>
      <c r="L118" s="511" t="s">
        <v>639</v>
      </c>
      <c r="M118" s="392" t="s">
        <v>2218</v>
      </c>
      <c r="N118" s="343"/>
      <c r="O118" s="343"/>
      <c r="P118" s="70" t="s">
        <v>648</v>
      </c>
      <c r="Q118" s="346"/>
      <c r="R118" s="343"/>
      <c r="S118" s="346"/>
      <c r="T118" s="150" t="s">
        <v>152</v>
      </c>
      <c r="U118" s="150"/>
      <c r="V118" s="403"/>
      <c r="W118" s="406">
        <v>0</v>
      </c>
      <c r="X118" s="406">
        <v>300000</v>
      </c>
      <c r="Y118" s="425"/>
      <c r="Z118" s="71"/>
      <c r="AA118" s="426"/>
      <c r="AB118" s="427"/>
      <c r="AC118" s="427"/>
      <c r="AD118" s="428" t="s">
        <v>1142</v>
      </c>
      <c r="AE118" s="429">
        <v>0</v>
      </c>
      <c r="AF118" s="429">
        <v>0</v>
      </c>
      <c r="AG118" s="360">
        <v>0</v>
      </c>
      <c r="AH118" s="360">
        <v>0</v>
      </c>
      <c r="AI118" s="360">
        <v>0</v>
      </c>
      <c r="AJ118" s="360">
        <v>300000</v>
      </c>
      <c r="AK118" s="360">
        <v>0</v>
      </c>
      <c r="AL118" s="360">
        <v>0</v>
      </c>
      <c r="AM118" s="360">
        <f t="shared" si="3"/>
        <v>300000</v>
      </c>
      <c r="AN118" s="362">
        <f>ERP_26[[#This Row],[2026 Working Total]]-ERP_26[[#This Row],[LE2 Final Submission]]</f>
        <v>0</v>
      </c>
      <c r="AO118" s="79">
        <v>62000</v>
      </c>
      <c r="AP118" s="79">
        <f t="shared" si="4"/>
        <v>-62000</v>
      </c>
      <c r="AQ118" s="374">
        <f>SUM(ERP_26[[#This Row],[AP01]:[AP06]])-SUM(ERP_26[[#This Row],[AP01 LE2]:[AP06 LE2]])</f>
        <v>-300000</v>
      </c>
      <c r="AR118" s="80"/>
      <c r="AS118" s="79">
        <f>ERP_26[[#This Row],[2026 Working Total to Budget/LE]]-ERP_26[[#This Row],[Giveback]]</f>
        <v>0</v>
      </c>
      <c r="AT118" s="81" t="s">
        <v>2216</v>
      </c>
      <c r="AU118" s="375"/>
      <c r="AV118" s="375"/>
      <c r="AW118" s="375"/>
      <c r="AX118" s="375"/>
      <c r="AY118" s="375"/>
      <c r="AZ118" s="375">
        <v>300000</v>
      </c>
      <c r="BA118" s="375">
        <v>0</v>
      </c>
      <c r="BB118" s="375">
        <v>0</v>
      </c>
      <c r="BC118" s="375">
        <v>0</v>
      </c>
      <c r="BD118" s="375">
        <v>0</v>
      </c>
      <c r="BE118" s="375">
        <v>0</v>
      </c>
      <c r="BF118" s="375">
        <v>0</v>
      </c>
      <c r="BG118" s="375">
        <v>300000</v>
      </c>
      <c r="BH118" s="79"/>
      <c r="BI118" s="79"/>
      <c r="BJ118" s="79"/>
      <c r="BK118" s="79"/>
      <c r="BL118" s="79"/>
      <c r="BM118" s="79">
        <v>300000</v>
      </c>
      <c r="BN118" s="79">
        <v>0</v>
      </c>
      <c r="BO118" s="79">
        <v>0</v>
      </c>
      <c r="BP118" s="79">
        <v>0</v>
      </c>
      <c r="BQ118" s="79">
        <v>0</v>
      </c>
      <c r="BR118" s="79">
        <v>0</v>
      </c>
      <c r="BS118" s="79">
        <v>0</v>
      </c>
      <c r="BT118" s="79">
        <v>300000</v>
      </c>
    </row>
    <row r="119" spans="1:72" ht="15" customHeight="1">
      <c r="A119" s="66" t="s">
        <v>2220</v>
      </c>
      <c r="B119" s="66"/>
      <c r="C119" s="66" t="s">
        <v>649</v>
      </c>
      <c r="D119" s="66" t="s">
        <v>649</v>
      </c>
      <c r="E119" s="150" t="s">
        <v>1136</v>
      </c>
      <c r="F119" s="482" t="s">
        <v>1566</v>
      </c>
      <c r="G119" s="150" t="s">
        <v>1135</v>
      </c>
      <c r="H119" s="150" t="s">
        <v>1135</v>
      </c>
      <c r="I119" s="150" t="s">
        <v>1135</v>
      </c>
      <c r="J119" s="150" t="s">
        <v>1135</v>
      </c>
      <c r="K119" s="150" t="s">
        <v>1137</v>
      </c>
      <c r="L119" s="511" t="s">
        <v>639</v>
      </c>
      <c r="M119" s="392" t="s">
        <v>2221</v>
      </c>
      <c r="N119" s="343"/>
      <c r="O119" s="343"/>
      <c r="P119" s="70" t="s">
        <v>650</v>
      </c>
      <c r="Q119" s="346"/>
      <c r="R119" s="343"/>
      <c r="S119" s="346"/>
      <c r="T119" s="150" t="s">
        <v>152</v>
      </c>
      <c r="U119" s="150"/>
      <c r="V119" s="403"/>
      <c r="W119" s="406">
        <v>0</v>
      </c>
      <c r="X119" s="406">
        <v>2475</v>
      </c>
      <c r="Y119" s="425"/>
      <c r="Z119" s="71"/>
      <c r="AA119" s="426"/>
      <c r="AB119" s="427"/>
      <c r="AC119" s="427"/>
      <c r="AD119" s="428" t="s">
        <v>1142</v>
      </c>
      <c r="AE119" s="429">
        <v>0</v>
      </c>
      <c r="AF119" s="429">
        <v>0</v>
      </c>
      <c r="AG119" s="363">
        <v>413</v>
      </c>
      <c r="AH119" s="363">
        <v>413</v>
      </c>
      <c r="AI119" s="363">
        <v>413</v>
      </c>
      <c r="AJ119" s="363">
        <v>412</v>
      </c>
      <c r="AK119" s="363">
        <v>412</v>
      </c>
      <c r="AL119" s="363">
        <v>412</v>
      </c>
      <c r="AM119" s="360">
        <f t="shared" si="3"/>
        <v>2475</v>
      </c>
      <c r="AN119" s="362">
        <f>ERP_26[[#This Row],[2026 Working Total]]-ERP_26[[#This Row],[LE2 Final Submission]]</f>
        <v>0</v>
      </c>
      <c r="AO119" s="79">
        <v>883.33333300000004</v>
      </c>
      <c r="AP119" s="79">
        <f t="shared" si="4"/>
        <v>-883.33333300000004</v>
      </c>
      <c r="AQ119" s="374">
        <f>SUM(ERP_26[[#This Row],[AP01]:[AP06]])-SUM(ERP_26[[#This Row],[AP01 LE2]:[AP06 LE2]])</f>
        <v>-825</v>
      </c>
      <c r="AR119" s="80"/>
      <c r="AS119" s="79">
        <f>ERP_26[[#This Row],[2026 Working Total to Budget/LE]]-ERP_26[[#This Row],[Giveback]]</f>
        <v>0</v>
      </c>
      <c r="AT119" s="81"/>
      <c r="AU119" s="375"/>
      <c r="AV119" s="375"/>
      <c r="AW119" s="375"/>
      <c r="AX119" s="375">
        <v>275</v>
      </c>
      <c r="AY119" s="375">
        <v>275</v>
      </c>
      <c r="AZ119" s="375">
        <v>275</v>
      </c>
      <c r="BA119" s="375">
        <v>275</v>
      </c>
      <c r="BB119" s="375">
        <v>275</v>
      </c>
      <c r="BC119" s="375">
        <v>275</v>
      </c>
      <c r="BD119" s="375">
        <v>275</v>
      </c>
      <c r="BE119" s="375">
        <v>275</v>
      </c>
      <c r="BF119" s="375">
        <v>275</v>
      </c>
      <c r="BG119" s="375">
        <v>2475</v>
      </c>
      <c r="BH119" s="79"/>
      <c r="BI119" s="79"/>
      <c r="BJ119" s="79"/>
      <c r="BK119" s="79">
        <v>275</v>
      </c>
      <c r="BL119" s="79">
        <v>275</v>
      </c>
      <c r="BM119" s="79">
        <v>275</v>
      </c>
      <c r="BN119" s="79">
        <v>275</v>
      </c>
      <c r="BO119" s="79">
        <v>275</v>
      </c>
      <c r="BP119" s="79">
        <v>275</v>
      </c>
      <c r="BQ119" s="79">
        <v>275</v>
      </c>
      <c r="BR119" s="79">
        <v>275</v>
      </c>
      <c r="BS119" s="79">
        <v>275</v>
      </c>
      <c r="BT119" s="79">
        <v>2475</v>
      </c>
    </row>
    <row r="120" spans="1:72" ht="15" customHeight="1">
      <c r="A120" s="66" t="s">
        <v>2222</v>
      </c>
      <c r="B120" s="66"/>
      <c r="C120" s="66" t="s">
        <v>651</v>
      </c>
      <c r="D120" s="66" t="s">
        <v>2223</v>
      </c>
      <c r="E120" s="150" t="s">
        <v>1136</v>
      </c>
      <c r="F120" s="482" t="s">
        <v>1566</v>
      </c>
      <c r="G120" s="150" t="s">
        <v>1135</v>
      </c>
      <c r="H120" s="150" t="s">
        <v>1165</v>
      </c>
      <c r="I120" s="150" t="s">
        <v>1135</v>
      </c>
      <c r="J120" s="150" t="s">
        <v>1165</v>
      </c>
      <c r="K120" s="150" t="s">
        <v>1137</v>
      </c>
      <c r="L120" s="511" t="s">
        <v>639</v>
      </c>
      <c r="M120" s="392" t="s">
        <v>2224</v>
      </c>
      <c r="N120" s="343"/>
      <c r="O120" s="343"/>
      <c r="P120" s="70" t="s">
        <v>652</v>
      </c>
      <c r="Q120" s="346"/>
      <c r="R120" s="343"/>
      <c r="S120" s="346"/>
      <c r="T120" s="150" t="s">
        <v>152</v>
      </c>
      <c r="U120" s="150"/>
      <c r="V120" s="403"/>
      <c r="W120" s="406">
        <v>0</v>
      </c>
      <c r="X120" s="406">
        <v>-118715.37</v>
      </c>
      <c r="Y120" s="425"/>
      <c r="Z120" s="71"/>
      <c r="AA120" s="426"/>
      <c r="AB120" s="427">
        <v>-118715.37</v>
      </c>
      <c r="AC120" s="431">
        <v>0</v>
      </c>
      <c r="AD120" s="428">
        <v>0</v>
      </c>
      <c r="AE120" s="429">
        <v>0</v>
      </c>
      <c r="AF120" s="429">
        <v>0</v>
      </c>
      <c r="AG120" s="360">
        <v>0</v>
      </c>
      <c r="AH120" s="360"/>
      <c r="AI120" s="360">
        <v>0</v>
      </c>
      <c r="AJ120" s="360">
        <v>0</v>
      </c>
      <c r="AK120" s="360">
        <v>0</v>
      </c>
      <c r="AL120" s="360">
        <v>0</v>
      </c>
      <c r="AM120" s="360">
        <f t="shared" si="3"/>
        <v>-118715.37</v>
      </c>
      <c r="AN120" s="362">
        <f>ERP_26[[#This Row],[2026 Working Total]]-ERP_26[[#This Row],[LE2 Final Submission]]</f>
        <v>0</v>
      </c>
      <c r="AO120" s="79">
        <v>10296</v>
      </c>
      <c r="AP120" s="79">
        <f t="shared" si="4"/>
        <v>-10296</v>
      </c>
      <c r="AQ120" s="374">
        <f>SUM(ERP_26[[#This Row],[AP01]:[AP06]])-SUM(ERP_26[[#This Row],[AP01 LE2]:[AP06 LE2]])</f>
        <v>0</v>
      </c>
      <c r="AR120" s="80"/>
      <c r="AS120" s="79">
        <f>ERP_26[[#This Row],[2026 Working Total to Budget/LE]]-ERP_26[[#This Row],[Giveback]]</f>
        <v>0</v>
      </c>
      <c r="AT120" s="81"/>
      <c r="AU120" s="375"/>
      <c r="AV120" s="375">
        <v>-118715.37</v>
      </c>
      <c r="AW120" s="375">
        <v>0</v>
      </c>
      <c r="AX120" s="375">
        <v>0</v>
      </c>
      <c r="AY120" s="375">
        <v>0</v>
      </c>
      <c r="AZ120" s="375">
        <v>0</v>
      </c>
      <c r="BA120" s="375">
        <v>0</v>
      </c>
      <c r="BB120" s="375"/>
      <c r="BC120" s="375">
        <v>0</v>
      </c>
      <c r="BD120" s="375">
        <v>0</v>
      </c>
      <c r="BE120" s="375">
        <v>0</v>
      </c>
      <c r="BF120" s="375">
        <v>0</v>
      </c>
      <c r="BG120" s="375">
        <v>-118715.37</v>
      </c>
      <c r="BH120" s="79"/>
      <c r="BI120" s="79">
        <v>-118715.37</v>
      </c>
      <c r="BJ120" s="79">
        <v>0</v>
      </c>
      <c r="BK120" s="79">
        <v>0</v>
      </c>
      <c r="BL120" s="79">
        <v>0</v>
      </c>
      <c r="BM120" s="79">
        <v>0</v>
      </c>
      <c r="BN120" s="79">
        <v>0</v>
      </c>
      <c r="BO120" s="79">
        <v>0</v>
      </c>
      <c r="BP120" s="79">
        <v>0</v>
      </c>
      <c r="BQ120" s="79">
        <v>0</v>
      </c>
      <c r="BR120" s="79">
        <v>0</v>
      </c>
      <c r="BS120" s="79">
        <v>0</v>
      </c>
      <c r="BT120" s="79">
        <v>-118715.37</v>
      </c>
    </row>
    <row r="121" spans="1:72" ht="15" customHeight="1">
      <c r="A121" s="79" t="s">
        <v>2225</v>
      </c>
      <c r="B121" s="79"/>
      <c r="C121" s="79" t="s">
        <v>653</v>
      </c>
      <c r="D121" s="296" t="s">
        <v>2226</v>
      </c>
      <c r="E121" s="150" t="s">
        <v>1136</v>
      </c>
      <c r="F121" s="482" t="s">
        <v>1566</v>
      </c>
      <c r="G121" s="150" t="s">
        <v>1135</v>
      </c>
      <c r="H121" s="383" t="s">
        <v>1156</v>
      </c>
      <c r="I121" s="332" t="s">
        <v>1135</v>
      </c>
      <c r="J121" s="383" t="s">
        <v>1156</v>
      </c>
      <c r="K121" s="333" t="s">
        <v>1137</v>
      </c>
      <c r="L121" s="512" t="s">
        <v>639</v>
      </c>
      <c r="M121" s="393" t="s">
        <v>2227</v>
      </c>
      <c r="N121" s="343"/>
      <c r="O121" s="333"/>
      <c r="P121" s="91" t="s">
        <v>654</v>
      </c>
      <c r="Q121" s="347"/>
      <c r="R121" s="343"/>
      <c r="S121" s="348"/>
      <c r="T121" s="386" t="s">
        <v>655</v>
      </c>
      <c r="U121" s="387" t="s">
        <v>2228</v>
      </c>
      <c r="V121" s="432"/>
      <c r="W121" s="358">
        <v>282999.99999599991</v>
      </c>
      <c r="X121" s="378">
        <v>0</v>
      </c>
      <c r="Y121" s="425"/>
      <c r="Z121" s="71"/>
      <c r="AA121" s="433"/>
      <c r="AB121" s="434"/>
      <c r="AC121" s="434"/>
      <c r="AD121" s="428" t="s">
        <v>1142</v>
      </c>
      <c r="AE121" s="429">
        <v>0</v>
      </c>
      <c r="AF121" s="429">
        <v>0</v>
      </c>
      <c r="AG121" s="388">
        <v>0</v>
      </c>
      <c r="AH121" s="388">
        <v>0</v>
      </c>
      <c r="AI121" s="388">
        <v>0</v>
      </c>
      <c r="AJ121" s="388">
        <v>0</v>
      </c>
      <c r="AK121" s="388">
        <v>0</v>
      </c>
      <c r="AL121" s="388">
        <v>0</v>
      </c>
      <c r="AM121" s="360">
        <f t="shared" si="3"/>
        <v>0</v>
      </c>
      <c r="AN121" s="362">
        <f>ERP_26[[#This Row],[2026 Working Total]]-ERP_26[[#This Row],[LE2 Final Submission]]</f>
        <v>0</v>
      </c>
      <c r="AO121" s="79"/>
      <c r="AP121" s="79">
        <f t="shared" si="4"/>
        <v>0</v>
      </c>
      <c r="AQ121" s="374">
        <f>SUM(ERP_26[[#This Row],[AP01]:[AP06]])-SUM(ERP_26[[#This Row],[AP01 LE2]:[AP06 LE2]])</f>
        <v>0</v>
      </c>
      <c r="AR121" s="80">
        <v>-283000</v>
      </c>
      <c r="AS121" s="79">
        <f>ERP_26[[#This Row],[2026 Working Total to Budget/LE]]-ERP_26[[#This Row],[Giveback]]</f>
        <v>283000</v>
      </c>
      <c r="AT121" s="128" t="s">
        <v>2229</v>
      </c>
      <c r="AU121" s="376"/>
      <c r="AV121" s="376"/>
      <c r="AW121" s="376"/>
      <c r="AX121" s="376">
        <v>0</v>
      </c>
      <c r="AY121" s="376">
        <v>0</v>
      </c>
      <c r="AZ121" s="376">
        <v>0</v>
      </c>
      <c r="BA121" s="376">
        <v>0</v>
      </c>
      <c r="BB121" s="376">
        <v>0</v>
      </c>
      <c r="BC121" s="376">
        <v>0</v>
      </c>
      <c r="BD121" s="376">
        <v>0</v>
      </c>
      <c r="BE121" s="376">
        <v>0</v>
      </c>
      <c r="BF121" s="376">
        <v>0</v>
      </c>
      <c r="BG121" s="376">
        <v>0</v>
      </c>
      <c r="BH121" s="103">
        <v>23583.333332999999</v>
      </c>
      <c r="BI121" s="103">
        <v>23583.333332999999</v>
      </c>
      <c r="BJ121" s="103">
        <v>23583.333332999999</v>
      </c>
      <c r="BK121" s="103">
        <v>23583.333332999999</v>
      </c>
      <c r="BL121" s="103">
        <v>23583.333332999999</v>
      </c>
      <c r="BM121" s="103">
        <v>23583.333332999999</v>
      </c>
      <c r="BN121" s="103">
        <v>23583.333332999999</v>
      </c>
      <c r="BO121" s="103">
        <v>23583.333332999999</v>
      </c>
      <c r="BP121" s="103">
        <v>23583.333332999999</v>
      </c>
      <c r="BQ121" s="103">
        <v>23583.333332999999</v>
      </c>
      <c r="BR121" s="103">
        <v>23583.333332999999</v>
      </c>
      <c r="BS121" s="103">
        <v>23583.333332999999</v>
      </c>
      <c r="BT121" s="79">
        <f>SUM(ERP_26[[#This Row],[2026 AP01]:[2026 AP12]])</f>
        <v>282999.99999599991</v>
      </c>
    </row>
    <row r="122" spans="1:72" ht="15" customHeight="1">
      <c r="A122" s="150" t="s">
        <v>2230</v>
      </c>
      <c r="B122" s="150"/>
      <c r="C122" s="536" t="s">
        <v>656</v>
      </c>
      <c r="D122" s="296" t="s">
        <v>2231</v>
      </c>
      <c r="E122" s="150" t="s">
        <v>1136</v>
      </c>
      <c r="F122" s="482" t="s">
        <v>1566</v>
      </c>
      <c r="G122" s="150" t="s">
        <v>1135</v>
      </c>
      <c r="H122" s="150" t="s">
        <v>1135</v>
      </c>
      <c r="I122" s="150" t="s">
        <v>1135</v>
      </c>
      <c r="J122" s="150" t="s">
        <v>1137</v>
      </c>
      <c r="K122" s="150" t="s">
        <v>1137</v>
      </c>
      <c r="L122" s="514" t="s">
        <v>639</v>
      </c>
      <c r="M122" s="394" t="s">
        <v>2232</v>
      </c>
      <c r="N122" s="333"/>
      <c r="O122" s="332" t="s">
        <v>1695</v>
      </c>
      <c r="P122" s="90" t="s">
        <v>657</v>
      </c>
      <c r="Q122" s="347"/>
      <c r="R122" s="347"/>
      <c r="S122" s="348"/>
      <c r="T122" s="348"/>
      <c r="U122" s="1" t="s">
        <v>1141</v>
      </c>
      <c r="V122" s="402"/>
      <c r="W122" s="406"/>
      <c r="X122" s="406"/>
      <c r="Y122" s="425"/>
      <c r="Z122" s="71"/>
      <c r="AA122" s="435"/>
      <c r="AB122" s="436"/>
      <c r="AC122" s="436"/>
      <c r="AD122" s="429">
        <v>-4832.8900000000003</v>
      </c>
      <c r="AE122" s="429">
        <v>0</v>
      </c>
      <c r="AF122" s="429">
        <v>0</v>
      </c>
      <c r="AG122" s="364"/>
      <c r="AH122" s="364"/>
      <c r="AI122" s="364"/>
      <c r="AJ122" s="364"/>
      <c r="AK122" s="364"/>
      <c r="AL122" s="364"/>
      <c r="AM122" s="360">
        <f t="shared" si="3"/>
        <v>-4832.8900000000003</v>
      </c>
      <c r="AN122" s="362">
        <f>ERP_26[[#This Row],[2026 Working Total]]-ERP_26[[#This Row],[LE2 Final Submission]]</f>
        <v>-4832.8900000000003</v>
      </c>
      <c r="AO122" s="79">
        <v>28215</v>
      </c>
      <c r="AP122" s="79">
        <f t="shared" si="4"/>
        <v>-28215</v>
      </c>
      <c r="AQ122" s="374">
        <f>SUM(ERP_26[[#This Row],[AP01]:[AP06]])-SUM(ERP_26[[#This Row],[AP01 LE2]:[AP06 LE2]])</f>
        <v>-4832.8900000000003</v>
      </c>
      <c r="AR122" s="80"/>
      <c r="AS122" s="79">
        <f>ERP_26[[#This Row],[2026 Working Total to Budget/LE]]-ERP_26[[#This Row],[Giveback]]</f>
        <v>-4832.8900000000003</v>
      </c>
      <c r="AT122" s="81"/>
      <c r="AU122" s="375"/>
      <c r="AV122" s="375"/>
      <c r="AW122" s="375"/>
      <c r="AX122" s="375"/>
      <c r="AY122" s="375"/>
      <c r="AZ122" s="375"/>
      <c r="BA122" s="375"/>
      <c r="BB122" s="375"/>
      <c r="BC122" s="375"/>
      <c r="BD122" s="375"/>
      <c r="BE122" s="375"/>
      <c r="BF122" s="375"/>
      <c r="BG122" s="375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</row>
    <row r="123" spans="1:72" ht="15" customHeight="1">
      <c r="A123" s="150" t="s">
        <v>2233</v>
      </c>
      <c r="B123" s="150"/>
      <c r="C123" s="536" t="s">
        <v>658</v>
      </c>
      <c r="D123" s="296" t="s">
        <v>2234</v>
      </c>
      <c r="E123" s="150" t="s">
        <v>1136</v>
      </c>
      <c r="F123" s="482" t="s">
        <v>1566</v>
      </c>
      <c r="G123" s="150" t="s">
        <v>1135</v>
      </c>
      <c r="H123" s="150" t="s">
        <v>1135</v>
      </c>
      <c r="I123" s="150" t="s">
        <v>1135</v>
      </c>
      <c r="J123" s="150" t="s">
        <v>1137</v>
      </c>
      <c r="K123" s="150" t="s">
        <v>1137</v>
      </c>
      <c r="L123" s="514" t="s">
        <v>639</v>
      </c>
      <c r="M123" s="394" t="s">
        <v>2235</v>
      </c>
      <c r="N123" s="333"/>
      <c r="O123" s="332" t="s">
        <v>1695</v>
      </c>
      <c r="P123" s="90" t="s">
        <v>659</v>
      </c>
      <c r="Q123" s="347"/>
      <c r="R123" s="347"/>
      <c r="S123" s="348"/>
      <c r="T123" s="348"/>
      <c r="U123" s="1" t="s">
        <v>1141</v>
      </c>
      <c r="V123" s="402"/>
      <c r="W123" s="406"/>
      <c r="X123" s="406"/>
      <c r="Y123" s="425"/>
      <c r="Z123" s="71"/>
      <c r="AA123" s="435"/>
      <c r="AB123" s="436"/>
      <c r="AC123" s="436"/>
      <c r="AD123" s="429">
        <v>-38080.83</v>
      </c>
      <c r="AE123" s="429">
        <v>0</v>
      </c>
      <c r="AF123" s="429">
        <v>0</v>
      </c>
      <c r="AG123" s="364"/>
      <c r="AH123" s="364"/>
      <c r="AI123" s="364"/>
      <c r="AJ123" s="364"/>
      <c r="AK123" s="364"/>
      <c r="AL123" s="364"/>
      <c r="AM123" s="360">
        <f t="shared" si="3"/>
        <v>-38080.83</v>
      </c>
      <c r="AN123" s="362">
        <f>ERP_26[[#This Row],[2026 Working Total]]-ERP_26[[#This Row],[LE2 Final Submission]]</f>
        <v>-38080.83</v>
      </c>
      <c r="AO123" s="79"/>
      <c r="AP123" s="79">
        <f t="shared" si="4"/>
        <v>0</v>
      </c>
      <c r="AQ123" s="374">
        <f>SUM(ERP_26[[#This Row],[AP01]:[AP06]])-SUM(ERP_26[[#This Row],[AP01 LE2]:[AP06 LE2]])</f>
        <v>-38080.83</v>
      </c>
      <c r="AR123" s="80"/>
      <c r="AS123" s="79">
        <f>ERP_26[[#This Row],[2026 Working Total to Budget/LE]]-ERP_26[[#This Row],[Giveback]]</f>
        <v>-38080.83</v>
      </c>
      <c r="AT123" s="81"/>
      <c r="AU123" s="375"/>
      <c r="AV123" s="375"/>
      <c r="AW123" s="375"/>
      <c r="AX123" s="375"/>
      <c r="AY123" s="375"/>
      <c r="AZ123" s="375"/>
      <c r="BA123" s="375"/>
      <c r="BB123" s="375"/>
      <c r="BC123" s="375"/>
      <c r="BD123" s="375"/>
      <c r="BE123" s="375"/>
      <c r="BF123" s="375"/>
      <c r="BG123" s="375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</row>
    <row r="124" spans="1:72" ht="15" customHeight="1">
      <c r="A124" s="66" t="s">
        <v>2236</v>
      </c>
      <c r="B124" s="66"/>
      <c r="C124" s="66" t="s">
        <v>660</v>
      </c>
      <c r="D124" s="66" t="s">
        <v>2237</v>
      </c>
      <c r="E124" s="150" t="s">
        <v>1136</v>
      </c>
      <c r="F124" s="482" t="s">
        <v>1566</v>
      </c>
      <c r="G124" s="150" t="s">
        <v>1135</v>
      </c>
      <c r="H124" s="150" t="s">
        <v>1135</v>
      </c>
      <c r="I124" s="150" t="s">
        <v>1135</v>
      </c>
      <c r="J124" s="150" t="s">
        <v>1137</v>
      </c>
      <c r="K124" s="150" t="s">
        <v>1137</v>
      </c>
      <c r="L124" s="511" t="s">
        <v>639</v>
      </c>
      <c r="M124" s="392" t="s">
        <v>1685</v>
      </c>
      <c r="N124" s="343"/>
      <c r="O124" s="343"/>
      <c r="P124" s="70" t="s">
        <v>661</v>
      </c>
      <c r="Q124" s="346" t="s">
        <v>1139</v>
      </c>
      <c r="R124" s="346" t="s">
        <v>1140</v>
      </c>
      <c r="S124" s="346"/>
      <c r="T124" s="150" t="s">
        <v>25</v>
      </c>
      <c r="U124" s="150"/>
      <c r="V124" s="404"/>
      <c r="W124" s="407">
        <v>0</v>
      </c>
      <c r="X124" s="407">
        <v>0</v>
      </c>
      <c r="Y124" s="425"/>
      <c r="Z124" s="71"/>
      <c r="AA124" s="426">
        <v>-18074.080000000002</v>
      </c>
      <c r="AB124" s="427">
        <v>18074.080000000002</v>
      </c>
      <c r="AC124" s="431">
        <v>0</v>
      </c>
      <c r="AD124" s="428" t="s">
        <v>1142</v>
      </c>
      <c r="AE124" s="429">
        <v>0</v>
      </c>
      <c r="AF124" s="429">
        <v>0</v>
      </c>
      <c r="AG124" s="360">
        <v>0</v>
      </c>
      <c r="AH124" s="360">
        <v>0</v>
      </c>
      <c r="AI124" s="360">
        <v>0</v>
      </c>
      <c r="AJ124" s="360">
        <v>0</v>
      </c>
      <c r="AK124" s="360">
        <v>0</v>
      </c>
      <c r="AL124" s="360">
        <v>0</v>
      </c>
      <c r="AM124" s="360">
        <f t="shared" si="3"/>
        <v>0</v>
      </c>
      <c r="AN124" s="362">
        <f>ERP_26[[#This Row],[2026 Working Total]]-ERP_26[[#This Row],[LE2 Final Submission]]</f>
        <v>0</v>
      </c>
      <c r="AO124" s="79">
        <v>0</v>
      </c>
      <c r="AP124" s="79">
        <f t="shared" si="4"/>
        <v>0</v>
      </c>
      <c r="AQ124" s="374">
        <f>SUM(ERP_26[[#This Row],[AP01]:[AP06]])-SUM(ERP_26[[#This Row],[AP01 LE2]:[AP06 LE2]])</f>
        <v>0</v>
      </c>
      <c r="AR124" s="80"/>
      <c r="AS124" s="79">
        <f>ERP_26[[#This Row],[2026 Working Total to Budget/LE]]-ERP_26[[#This Row],[Giveback]]</f>
        <v>0</v>
      </c>
      <c r="AT124" s="81"/>
      <c r="AU124" s="375">
        <v>-18074.080000000002</v>
      </c>
      <c r="AV124" s="375">
        <v>18074.080000000002</v>
      </c>
      <c r="AW124" s="375">
        <v>0</v>
      </c>
      <c r="AX124" s="375">
        <v>0</v>
      </c>
      <c r="AY124" s="375">
        <v>0</v>
      </c>
      <c r="AZ124" s="375">
        <v>0</v>
      </c>
      <c r="BA124" s="375">
        <v>0</v>
      </c>
      <c r="BB124" s="375">
        <v>0</v>
      </c>
      <c r="BC124" s="375">
        <v>0</v>
      </c>
      <c r="BD124" s="375">
        <v>0</v>
      </c>
      <c r="BE124" s="375">
        <v>0</v>
      </c>
      <c r="BF124" s="375">
        <v>0</v>
      </c>
      <c r="BG124" s="375">
        <v>0</v>
      </c>
      <c r="BH124" s="79">
        <v>-18074.080000000002</v>
      </c>
      <c r="BI124" s="79">
        <v>18074.080000000002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0</v>
      </c>
      <c r="BP124" s="79">
        <v>0</v>
      </c>
      <c r="BQ124" s="79">
        <v>0</v>
      </c>
      <c r="BR124" s="79">
        <v>0</v>
      </c>
      <c r="BS124" s="79">
        <v>0</v>
      </c>
      <c r="BT124" s="79">
        <v>0</v>
      </c>
    </row>
    <row r="125" spans="1:72" ht="15" customHeight="1">
      <c r="A125" s="66" t="s">
        <v>2238</v>
      </c>
      <c r="B125" s="66"/>
      <c r="C125" s="66" t="s">
        <v>662</v>
      </c>
      <c r="D125" s="66" t="s">
        <v>2239</v>
      </c>
      <c r="E125" s="150" t="s">
        <v>1136</v>
      </c>
      <c r="F125" s="482" t="s">
        <v>1566</v>
      </c>
      <c r="G125" s="150" t="s">
        <v>1135</v>
      </c>
      <c r="H125" s="150" t="s">
        <v>1135</v>
      </c>
      <c r="I125" s="150" t="s">
        <v>1135</v>
      </c>
      <c r="J125" s="150" t="s">
        <v>1137</v>
      </c>
      <c r="K125" s="150" t="s">
        <v>1137</v>
      </c>
      <c r="L125" s="511" t="s">
        <v>639</v>
      </c>
      <c r="M125" s="392" t="s">
        <v>1685</v>
      </c>
      <c r="N125" s="343"/>
      <c r="O125" s="343"/>
      <c r="P125" s="70" t="s">
        <v>663</v>
      </c>
      <c r="Q125" s="346" t="s">
        <v>1139</v>
      </c>
      <c r="R125" s="346" t="s">
        <v>1140</v>
      </c>
      <c r="S125" s="346"/>
      <c r="T125" s="150" t="s">
        <v>25</v>
      </c>
      <c r="U125" s="150"/>
      <c r="V125" s="404"/>
      <c r="W125" s="407">
        <v>0</v>
      </c>
      <c r="X125" s="407">
        <v>0</v>
      </c>
      <c r="Y125" s="425"/>
      <c r="Z125" s="71"/>
      <c r="AA125" s="426">
        <v>-1922.23</v>
      </c>
      <c r="AB125" s="427">
        <v>1922.23</v>
      </c>
      <c r="AC125" s="431">
        <v>0</v>
      </c>
      <c r="AD125" s="428" t="s">
        <v>1142</v>
      </c>
      <c r="AE125" s="429">
        <v>0</v>
      </c>
      <c r="AF125" s="429">
        <v>0</v>
      </c>
      <c r="AG125" s="360">
        <v>0</v>
      </c>
      <c r="AH125" s="360">
        <v>0</v>
      </c>
      <c r="AI125" s="360">
        <v>0</v>
      </c>
      <c r="AJ125" s="360">
        <v>0</v>
      </c>
      <c r="AK125" s="360">
        <v>0</v>
      </c>
      <c r="AL125" s="360">
        <v>0</v>
      </c>
      <c r="AM125" s="360">
        <f t="shared" si="3"/>
        <v>0</v>
      </c>
      <c r="AN125" s="362">
        <f>ERP_26[[#This Row],[2026 Working Total]]-ERP_26[[#This Row],[LE2 Final Submission]]</f>
        <v>0</v>
      </c>
      <c r="AO125" s="79">
        <v>3029.81</v>
      </c>
      <c r="AP125" s="79">
        <f t="shared" si="4"/>
        <v>-3029.81</v>
      </c>
      <c r="AQ125" s="374">
        <f>SUM(ERP_26[[#This Row],[AP01]:[AP06]])-SUM(ERP_26[[#This Row],[AP01 LE2]:[AP06 LE2]])</f>
        <v>0</v>
      </c>
      <c r="AR125" s="80"/>
      <c r="AS125" s="79">
        <f>ERP_26[[#This Row],[2026 Working Total to Budget/LE]]-ERP_26[[#This Row],[Giveback]]</f>
        <v>0</v>
      </c>
      <c r="AT125" s="81"/>
      <c r="AU125" s="375">
        <v>-1922.23</v>
      </c>
      <c r="AV125" s="375">
        <v>1922.23</v>
      </c>
      <c r="AW125" s="375">
        <v>0</v>
      </c>
      <c r="AX125" s="375">
        <v>0</v>
      </c>
      <c r="AY125" s="375">
        <v>0</v>
      </c>
      <c r="AZ125" s="375">
        <v>0</v>
      </c>
      <c r="BA125" s="375">
        <v>0</v>
      </c>
      <c r="BB125" s="375">
        <v>0</v>
      </c>
      <c r="BC125" s="375">
        <v>0</v>
      </c>
      <c r="BD125" s="375">
        <v>0</v>
      </c>
      <c r="BE125" s="375">
        <v>0</v>
      </c>
      <c r="BF125" s="375">
        <v>0</v>
      </c>
      <c r="BG125" s="375">
        <v>0</v>
      </c>
      <c r="BH125" s="79">
        <v>-1922.23</v>
      </c>
      <c r="BI125" s="79">
        <v>1922.23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0</v>
      </c>
      <c r="BP125" s="79">
        <v>0</v>
      </c>
      <c r="BQ125" s="79">
        <v>0</v>
      </c>
      <c r="BR125" s="79">
        <v>0</v>
      </c>
      <c r="BS125" s="79">
        <v>0</v>
      </c>
      <c r="BT125" s="79">
        <v>0</v>
      </c>
    </row>
    <row r="126" spans="1:72" ht="15" customHeight="1">
      <c r="A126" s="66" t="s">
        <v>2240</v>
      </c>
      <c r="B126" s="66"/>
      <c r="C126" s="66" t="s">
        <v>2940</v>
      </c>
      <c r="D126" s="66" t="s">
        <v>2241</v>
      </c>
      <c r="E126" s="150" t="s">
        <v>1136</v>
      </c>
      <c r="F126" s="482" t="s">
        <v>1566</v>
      </c>
      <c r="G126" s="150" t="s">
        <v>1135</v>
      </c>
      <c r="H126" s="150" t="s">
        <v>1135</v>
      </c>
      <c r="I126" s="150" t="s">
        <v>1135</v>
      </c>
      <c r="J126" s="150" t="s">
        <v>1137</v>
      </c>
      <c r="K126" s="150" t="s">
        <v>1137</v>
      </c>
      <c r="L126" s="511" t="s">
        <v>639</v>
      </c>
      <c r="M126" s="392" t="s">
        <v>1685</v>
      </c>
      <c r="N126" s="343"/>
      <c r="O126" s="343"/>
      <c r="P126" s="70" t="s">
        <v>2242</v>
      </c>
      <c r="Q126" s="346" t="s">
        <v>1139</v>
      </c>
      <c r="R126" s="346" t="s">
        <v>1140</v>
      </c>
      <c r="S126" s="346"/>
      <c r="T126" s="150" t="s">
        <v>25</v>
      </c>
      <c r="U126" s="150"/>
      <c r="V126" s="404"/>
      <c r="W126" s="407">
        <v>0</v>
      </c>
      <c r="X126" s="407">
        <v>0</v>
      </c>
      <c r="Y126" s="425"/>
      <c r="Z126" s="71"/>
      <c r="AA126" s="426">
        <v>-11.41</v>
      </c>
      <c r="AB126" s="427">
        <v>11.41</v>
      </c>
      <c r="AC126" s="431">
        <v>0</v>
      </c>
      <c r="AD126" s="428">
        <v>0</v>
      </c>
      <c r="AE126" s="429">
        <v>0</v>
      </c>
      <c r="AF126" s="429">
        <v>0</v>
      </c>
      <c r="AG126" s="360">
        <v>0</v>
      </c>
      <c r="AH126" s="360">
        <v>0</v>
      </c>
      <c r="AI126" s="360">
        <v>0</v>
      </c>
      <c r="AJ126" s="360">
        <v>0</v>
      </c>
      <c r="AK126" s="360">
        <v>0</v>
      </c>
      <c r="AL126" s="360">
        <v>0</v>
      </c>
      <c r="AM126" s="360">
        <f t="shared" si="3"/>
        <v>0</v>
      </c>
      <c r="AN126" s="362">
        <f>ERP_26[[#This Row],[2026 Working Total]]-ERP_26[[#This Row],[LE2 Final Submission]]</f>
        <v>0</v>
      </c>
      <c r="AO126" s="79">
        <v>0</v>
      </c>
      <c r="AP126" s="79">
        <f t="shared" si="4"/>
        <v>0</v>
      </c>
      <c r="AQ126" s="374">
        <f>SUM(ERP_26[[#This Row],[AP01]:[AP06]])-SUM(ERP_26[[#This Row],[AP01 LE2]:[AP06 LE2]])</f>
        <v>0</v>
      </c>
      <c r="AR126" s="80"/>
      <c r="AS126" s="79">
        <f>ERP_26[[#This Row],[2026 Working Total to Budget/LE]]-ERP_26[[#This Row],[Giveback]]</f>
        <v>0</v>
      </c>
      <c r="AT126" s="81"/>
      <c r="AU126" s="375">
        <v>-11.41</v>
      </c>
      <c r="AV126" s="375">
        <v>11.41</v>
      </c>
      <c r="AW126" s="375">
        <v>0</v>
      </c>
      <c r="AX126" s="375">
        <v>0</v>
      </c>
      <c r="AY126" s="375">
        <v>0</v>
      </c>
      <c r="AZ126" s="375">
        <v>0</v>
      </c>
      <c r="BA126" s="375">
        <v>0</v>
      </c>
      <c r="BB126" s="375">
        <v>0</v>
      </c>
      <c r="BC126" s="375">
        <v>0</v>
      </c>
      <c r="BD126" s="375">
        <v>0</v>
      </c>
      <c r="BE126" s="375">
        <v>0</v>
      </c>
      <c r="BF126" s="375">
        <v>0</v>
      </c>
      <c r="BG126" s="375">
        <v>0</v>
      </c>
      <c r="BH126" s="79">
        <v>-11.41</v>
      </c>
      <c r="BI126" s="79">
        <v>11.41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0</v>
      </c>
      <c r="BP126" s="79">
        <v>0</v>
      </c>
      <c r="BQ126" s="79">
        <v>0</v>
      </c>
      <c r="BR126" s="79">
        <v>0</v>
      </c>
      <c r="BS126" s="79">
        <v>0</v>
      </c>
      <c r="BT126" s="79">
        <v>0</v>
      </c>
    </row>
    <row r="127" spans="1:72" ht="15" customHeight="1">
      <c r="A127" s="150" t="s">
        <v>2243</v>
      </c>
      <c r="B127" s="150"/>
      <c r="C127" s="536" t="s">
        <v>665</v>
      </c>
      <c r="D127" s="296" t="s">
        <v>2244</v>
      </c>
      <c r="E127" s="150" t="s">
        <v>1136</v>
      </c>
      <c r="F127" s="482" t="s">
        <v>1566</v>
      </c>
      <c r="G127" s="150" t="s">
        <v>1135</v>
      </c>
      <c r="H127" s="150" t="s">
        <v>1135</v>
      </c>
      <c r="I127" s="150" t="s">
        <v>1135</v>
      </c>
      <c r="J127" s="150" t="s">
        <v>1137</v>
      </c>
      <c r="K127" s="150" t="s">
        <v>1137</v>
      </c>
      <c r="L127" s="514" t="s">
        <v>639</v>
      </c>
      <c r="M127" s="394" t="s">
        <v>2245</v>
      </c>
      <c r="N127" s="333"/>
      <c r="O127" s="332" t="s">
        <v>1695</v>
      </c>
      <c r="P127" s="90" t="s">
        <v>2246</v>
      </c>
      <c r="Q127" s="347"/>
      <c r="R127" s="347"/>
      <c r="S127" s="348"/>
      <c r="T127" s="348"/>
      <c r="U127" s="1" t="s">
        <v>1141</v>
      </c>
      <c r="V127" s="402"/>
      <c r="W127" s="406"/>
      <c r="X127" s="406"/>
      <c r="Y127" s="425"/>
      <c r="Z127" s="71"/>
      <c r="AA127" s="435"/>
      <c r="AB127" s="436"/>
      <c r="AC127" s="436"/>
      <c r="AD127" s="429">
        <v>-41167.729999999996</v>
      </c>
      <c r="AE127" s="429">
        <v>0</v>
      </c>
      <c r="AF127" s="429">
        <v>0</v>
      </c>
      <c r="AG127" s="364"/>
      <c r="AH127" s="364"/>
      <c r="AI127" s="364"/>
      <c r="AJ127" s="364"/>
      <c r="AK127" s="364"/>
      <c r="AL127" s="364"/>
      <c r="AM127" s="360">
        <f t="shared" si="3"/>
        <v>-41167.729999999996</v>
      </c>
      <c r="AN127" s="362">
        <f>ERP_26[[#This Row],[2026 Working Total]]-ERP_26[[#This Row],[LE2 Final Submission]]</f>
        <v>-41167.729999999996</v>
      </c>
      <c r="AO127" s="79"/>
      <c r="AP127" s="79">
        <f t="shared" si="4"/>
        <v>0</v>
      </c>
      <c r="AQ127" s="374">
        <f>SUM(ERP_26[[#This Row],[AP01]:[AP06]])-SUM(ERP_26[[#This Row],[AP01 LE2]:[AP06 LE2]])</f>
        <v>-41167.729999999996</v>
      </c>
      <c r="AR127" s="80"/>
      <c r="AS127" s="79">
        <f>ERP_26[[#This Row],[2026 Working Total to Budget/LE]]-ERP_26[[#This Row],[Giveback]]</f>
        <v>-41167.729999999996</v>
      </c>
      <c r="AT127" s="81"/>
      <c r="AU127" s="375"/>
      <c r="AV127" s="375"/>
      <c r="AW127" s="375"/>
      <c r="AX127" s="375"/>
      <c r="AY127" s="375"/>
      <c r="AZ127" s="375"/>
      <c r="BA127" s="375"/>
      <c r="BB127" s="375"/>
      <c r="BC127" s="375"/>
      <c r="BD127" s="375"/>
      <c r="BE127" s="375"/>
      <c r="BF127" s="375"/>
      <c r="BG127" s="375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</row>
    <row r="128" spans="1:72" ht="15" customHeight="1">
      <c r="A128" s="79" t="s">
        <v>2247</v>
      </c>
      <c r="B128" s="79"/>
      <c r="C128" s="79" t="s">
        <v>666</v>
      </c>
      <c r="D128" s="296" t="s">
        <v>666</v>
      </c>
      <c r="E128" s="150" t="s">
        <v>1136</v>
      </c>
      <c r="F128" s="482" t="s">
        <v>1566</v>
      </c>
      <c r="G128" s="150" t="s">
        <v>1135</v>
      </c>
      <c r="H128" s="150" t="s">
        <v>1135</v>
      </c>
      <c r="I128" t="s">
        <v>1135</v>
      </c>
      <c r="J128" t="s">
        <v>1135</v>
      </c>
      <c r="K128" t="s">
        <v>1135</v>
      </c>
      <c r="L128" s="514" t="s">
        <v>639</v>
      </c>
      <c r="M128" s="394" t="s">
        <v>1699</v>
      </c>
      <c r="N128" s="343"/>
      <c r="O128" s="333"/>
      <c r="P128" s="70" t="s">
        <v>362</v>
      </c>
      <c r="Q128" s="347"/>
      <c r="R128" s="343"/>
      <c r="S128" s="348"/>
      <c r="T128" s="348"/>
      <c r="U128" s="348" t="s">
        <v>1700</v>
      </c>
      <c r="V128" s="402"/>
      <c r="W128" s="358"/>
      <c r="X128" s="379">
        <v>0</v>
      </c>
      <c r="Y128" s="430"/>
      <c r="Z128" s="137"/>
      <c r="AA128" s="435"/>
      <c r="AB128" s="436"/>
      <c r="AC128" s="436"/>
      <c r="AD128" s="428" t="s">
        <v>1142</v>
      </c>
      <c r="AE128" s="429">
        <v>0</v>
      </c>
      <c r="AF128" s="429">
        <v>0</v>
      </c>
      <c r="AG128" s="364"/>
      <c r="AH128" s="364"/>
      <c r="AI128" s="364"/>
      <c r="AJ128" s="364"/>
      <c r="AK128" s="364"/>
      <c r="AL128" s="364"/>
      <c r="AM128" s="360">
        <f t="shared" si="3"/>
        <v>0</v>
      </c>
      <c r="AN128" s="362">
        <f>ERP_26[[#This Row],[2026 Working Total]]-ERP_26[[#This Row],[LE2 Final Submission]]</f>
        <v>0</v>
      </c>
      <c r="AO128" s="79">
        <v>84081.45</v>
      </c>
      <c r="AP128" s="79">
        <f t="shared" si="4"/>
        <v>-84081.45</v>
      </c>
      <c r="AQ128" s="374">
        <f>SUM(ERP_26[[#This Row],[AP01]:[AP06]])-SUM(ERP_26[[#This Row],[AP01 LE2]:[AP06 LE2]])</f>
        <v>0</v>
      </c>
      <c r="AR128" s="80"/>
      <c r="AS128" s="79">
        <f>ERP_26[[#This Row],[2026 Working Total to Budget/LE]]-ERP_26[[#This Row],[Giveback]]</f>
        <v>0</v>
      </c>
      <c r="AT128" s="81"/>
      <c r="AU128" s="375"/>
      <c r="AV128" s="375"/>
      <c r="AW128" s="375"/>
      <c r="AX128" s="375">
        <v>-84081.45</v>
      </c>
      <c r="AY128" s="375">
        <v>84081.45</v>
      </c>
      <c r="AZ128" s="375"/>
      <c r="BA128" s="375"/>
      <c r="BB128" s="375"/>
      <c r="BC128" s="375"/>
      <c r="BD128" s="375"/>
      <c r="BE128" s="375"/>
      <c r="BF128" s="375"/>
      <c r="BG128" s="375">
        <v>0</v>
      </c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</row>
    <row r="129" spans="1:72" ht="15" customHeight="1">
      <c r="A129" s="66" t="s">
        <v>2257</v>
      </c>
      <c r="B129" s="66"/>
      <c r="C129" s="66" t="s">
        <v>668</v>
      </c>
      <c r="D129" s="66" t="s">
        <v>2258</v>
      </c>
      <c r="E129" s="150" t="s">
        <v>1136</v>
      </c>
      <c r="F129" s="482" t="s">
        <v>1566</v>
      </c>
      <c r="G129" s="150" t="s">
        <v>1135</v>
      </c>
      <c r="H129" s="150" t="s">
        <v>1161</v>
      </c>
      <c r="I129" s="150" t="s">
        <v>1135</v>
      </c>
      <c r="J129" s="150" t="s">
        <v>1161</v>
      </c>
      <c r="K129" s="150" t="s">
        <v>1137</v>
      </c>
      <c r="L129" s="511" t="s">
        <v>639</v>
      </c>
      <c r="M129" s="392" t="s">
        <v>1147</v>
      </c>
      <c r="N129" s="343"/>
      <c r="O129" s="343"/>
      <c r="P129" s="70" t="s">
        <v>53</v>
      </c>
      <c r="Q129" s="346" t="s">
        <v>1153</v>
      </c>
      <c r="R129" s="346" t="s">
        <v>1140</v>
      </c>
      <c r="S129" s="346"/>
      <c r="T129" s="150" t="s">
        <v>25</v>
      </c>
      <c r="U129" s="150" t="s">
        <v>2259</v>
      </c>
      <c r="V129" s="403"/>
      <c r="W129" s="406">
        <v>0</v>
      </c>
      <c r="X129" s="406">
        <v>227</v>
      </c>
      <c r="Y129" s="425"/>
      <c r="Z129" s="71"/>
      <c r="AA129" s="426"/>
      <c r="AB129" s="427">
        <v>227</v>
      </c>
      <c r="AC129" s="431">
        <v>0</v>
      </c>
      <c r="AD129" s="428" t="s">
        <v>1142</v>
      </c>
      <c r="AE129" s="429">
        <v>0</v>
      </c>
      <c r="AF129" s="429">
        <v>0</v>
      </c>
      <c r="AG129" s="360">
        <v>0</v>
      </c>
      <c r="AH129" s="360">
        <v>0</v>
      </c>
      <c r="AI129" s="360">
        <v>0</v>
      </c>
      <c r="AJ129" s="360">
        <v>0</v>
      </c>
      <c r="AK129" s="360">
        <v>0</v>
      </c>
      <c r="AL129" s="360">
        <v>0</v>
      </c>
      <c r="AM129" s="360">
        <f t="shared" si="3"/>
        <v>227</v>
      </c>
      <c r="AN129" s="362">
        <f>ERP_26[[#This Row],[2026 Working Total]]-ERP_26[[#This Row],[LE2 Final Submission]]</f>
        <v>0</v>
      </c>
      <c r="AO129" s="79">
        <v>0</v>
      </c>
      <c r="AP129" s="79">
        <f t="shared" si="4"/>
        <v>0</v>
      </c>
      <c r="AQ129" s="374">
        <f>SUM(ERP_26[[#This Row],[AP01]:[AP06]])-SUM(ERP_26[[#This Row],[AP01 LE2]:[AP06 LE2]])</f>
        <v>0</v>
      </c>
      <c r="AR129" s="80"/>
      <c r="AS129" s="79">
        <f>ERP_26[[#This Row],[2026 Working Total to Budget/LE]]-ERP_26[[#This Row],[Giveback]]</f>
        <v>0</v>
      </c>
      <c r="AT129" s="81"/>
      <c r="AU129" s="375"/>
      <c r="AV129" s="375">
        <v>227</v>
      </c>
      <c r="AW129" s="375">
        <v>0</v>
      </c>
      <c r="AX129" s="375">
        <v>0</v>
      </c>
      <c r="AY129" s="375">
        <v>0</v>
      </c>
      <c r="AZ129" s="375">
        <v>0</v>
      </c>
      <c r="BA129" s="375">
        <v>0</v>
      </c>
      <c r="BB129" s="375">
        <v>0</v>
      </c>
      <c r="BC129" s="375">
        <v>0</v>
      </c>
      <c r="BD129" s="375">
        <v>0</v>
      </c>
      <c r="BE129" s="375">
        <v>0</v>
      </c>
      <c r="BF129" s="375">
        <v>0</v>
      </c>
      <c r="BG129" s="375">
        <v>227</v>
      </c>
      <c r="BH129" s="79"/>
      <c r="BI129" s="79">
        <v>227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227</v>
      </c>
    </row>
    <row r="130" spans="1:72" ht="15" customHeight="1">
      <c r="A130" s="66" t="s">
        <v>2265</v>
      </c>
      <c r="B130" s="66"/>
      <c r="C130" s="66" t="s">
        <v>670</v>
      </c>
      <c r="D130" s="66" t="s">
        <v>2266</v>
      </c>
      <c r="E130" s="150" t="s">
        <v>1136</v>
      </c>
      <c r="F130" s="482" t="s">
        <v>1566</v>
      </c>
      <c r="G130" s="150" t="s">
        <v>1135</v>
      </c>
      <c r="H130" s="150" t="s">
        <v>1165</v>
      </c>
      <c r="I130" s="150" t="s">
        <v>1135</v>
      </c>
      <c r="J130" s="150" t="s">
        <v>1165</v>
      </c>
      <c r="K130" s="150" t="s">
        <v>1137</v>
      </c>
      <c r="L130" s="511" t="s">
        <v>639</v>
      </c>
      <c r="M130" s="392" t="s">
        <v>1858</v>
      </c>
      <c r="N130" s="343"/>
      <c r="O130" s="343"/>
      <c r="P130" s="70" t="s">
        <v>449</v>
      </c>
      <c r="Q130" s="346"/>
      <c r="R130" s="346" t="s">
        <v>1140</v>
      </c>
      <c r="S130" s="346"/>
      <c r="T130" s="150" t="s">
        <v>57</v>
      </c>
      <c r="U130" s="150"/>
      <c r="V130" s="403"/>
      <c r="W130" s="406">
        <v>0</v>
      </c>
      <c r="X130" s="406">
        <v>838.37999999999988</v>
      </c>
      <c r="Y130" s="425"/>
      <c r="Z130" s="71"/>
      <c r="AA130" s="426">
        <v>279.45999999999998</v>
      </c>
      <c r="AB130" s="427">
        <v>279.45999999999998</v>
      </c>
      <c r="AC130" s="427">
        <v>279.45999999999998</v>
      </c>
      <c r="AD130" s="428">
        <v>279.45999999999998</v>
      </c>
      <c r="AE130" s="429">
        <v>139.72999999999999</v>
      </c>
      <c r="AF130" s="429">
        <v>139.72999999999999</v>
      </c>
      <c r="AG130" s="360">
        <v>0</v>
      </c>
      <c r="AH130" s="360">
        <v>0</v>
      </c>
      <c r="AI130" s="360">
        <v>0</v>
      </c>
      <c r="AJ130" s="360">
        <v>0</v>
      </c>
      <c r="AK130" s="360">
        <v>0</v>
      </c>
      <c r="AL130" s="360">
        <v>0</v>
      </c>
      <c r="AM130" s="360">
        <f t="shared" si="3"/>
        <v>1397.3</v>
      </c>
      <c r="AN130" s="362">
        <f>ERP_26[[#This Row],[2026 Working Total]]-ERP_26[[#This Row],[LE2 Final Submission]]</f>
        <v>558.92000000000007</v>
      </c>
      <c r="AO130" s="79">
        <v>0</v>
      </c>
      <c r="AP130" s="79">
        <f t="shared" si="4"/>
        <v>139.72999999999999</v>
      </c>
      <c r="AQ130" s="374">
        <f>SUM(ERP_26[[#This Row],[AP01]:[AP06]])-SUM(ERP_26[[#This Row],[AP01 LE2]:[AP06 LE2]])</f>
        <v>558.92000000000007</v>
      </c>
      <c r="AR130" s="80"/>
      <c r="AS130" s="79">
        <f>ERP_26[[#This Row],[2026 Working Total to Budget/LE]]-ERP_26[[#This Row],[Giveback]]</f>
        <v>558.92000000000007</v>
      </c>
      <c r="AT130" s="81"/>
      <c r="AU130" s="375">
        <v>279.45999999999998</v>
      </c>
      <c r="AV130" s="375">
        <v>279.45999999999998</v>
      </c>
      <c r="AW130" s="375">
        <v>279.45999999999998</v>
      </c>
      <c r="AX130" s="375">
        <v>0</v>
      </c>
      <c r="AY130" s="375">
        <v>0</v>
      </c>
      <c r="AZ130" s="375">
        <v>0</v>
      </c>
      <c r="BA130" s="375">
        <v>0</v>
      </c>
      <c r="BB130" s="375">
        <v>0</v>
      </c>
      <c r="BC130" s="375">
        <v>0</v>
      </c>
      <c r="BD130" s="375">
        <v>0</v>
      </c>
      <c r="BE130" s="375">
        <v>0</v>
      </c>
      <c r="BF130" s="375">
        <v>0</v>
      </c>
      <c r="BG130" s="375">
        <v>838.37999999999988</v>
      </c>
      <c r="BH130" s="79">
        <v>279.45999999999998</v>
      </c>
      <c r="BI130" s="79">
        <v>279.45999999999998</v>
      </c>
      <c r="BJ130" s="79">
        <v>279.45999999999998</v>
      </c>
      <c r="BK130" s="79">
        <v>0</v>
      </c>
      <c r="BL130" s="79">
        <v>0</v>
      </c>
      <c r="BM130" s="79">
        <v>0</v>
      </c>
      <c r="BN130" s="79">
        <v>0</v>
      </c>
      <c r="BO130" s="79">
        <v>0</v>
      </c>
      <c r="BP130" s="79">
        <v>0</v>
      </c>
      <c r="BQ130" s="79">
        <v>0</v>
      </c>
      <c r="BR130" s="79">
        <v>0</v>
      </c>
      <c r="BS130" s="79">
        <v>0</v>
      </c>
      <c r="BT130" s="79">
        <v>838.37999999999988</v>
      </c>
    </row>
    <row r="131" spans="1:72" ht="15" customHeight="1">
      <c r="A131" s="66" t="s">
        <v>2267</v>
      </c>
      <c r="B131" s="66"/>
      <c r="C131" s="66" t="s">
        <v>671</v>
      </c>
      <c r="D131" s="66" t="s">
        <v>2268</v>
      </c>
      <c r="E131" s="150" t="s">
        <v>1136</v>
      </c>
      <c r="F131" s="482" t="s">
        <v>1566</v>
      </c>
      <c r="G131" s="150" t="s">
        <v>1135</v>
      </c>
      <c r="H131" s="150" t="s">
        <v>1165</v>
      </c>
      <c r="I131" s="150" t="s">
        <v>1135</v>
      </c>
      <c r="J131" s="150" t="s">
        <v>1165</v>
      </c>
      <c r="K131" s="150" t="s">
        <v>1137</v>
      </c>
      <c r="L131" s="511" t="s">
        <v>639</v>
      </c>
      <c r="M131" s="392" t="s">
        <v>1863</v>
      </c>
      <c r="N131" s="343"/>
      <c r="O131" s="343"/>
      <c r="P131" s="70" t="s">
        <v>451</v>
      </c>
      <c r="Q131" s="346"/>
      <c r="R131" s="346" t="s">
        <v>1140</v>
      </c>
      <c r="S131" s="346"/>
      <c r="T131" s="150" t="s">
        <v>57</v>
      </c>
      <c r="U131" s="150"/>
      <c r="V131" s="403"/>
      <c r="W131" s="406">
        <v>1854.9999960000002</v>
      </c>
      <c r="X131" s="406">
        <v>2120.4399970000004</v>
      </c>
      <c r="Y131" s="425"/>
      <c r="Z131" s="71"/>
      <c r="AA131" s="426">
        <v>139.72999999999999</v>
      </c>
      <c r="AB131" s="427">
        <v>139.72999999999999</v>
      </c>
      <c r="AC131" s="427">
        <v>449.73</v>
      </c>
      <c r="AD131" s="428">
        <v>139.72999999999999</v>
      </c>
      <c r="AE131" s="429">
        <v>139.72999999999999</v>
      </c>
      <c r="AF131" s="429">
        <v>139.72999999999999</v>
      </c>
      <c r="AG131" s="363">
        <v>154.58333300000001</v>
      </c>
      <c r="AH131" s="363">
        <v>154.58333300000001</v>
      </c>
      <c r="AI131" s="363">
        <v>154.58333300000001</v>
      </c>
      <c r="AJ131" s="363">
        <v>154.58333300000001</v>
      </c>
      <c r="AK131" s="363">
        <v>154.58333300000001</v>
      </c>
      <c r="AL131" s="363">
        <v>154.58333300000001</v>
      </c>
      <c r="AM131" s="360">
        <f t="shared" si="3"/>
        <v>2075.8799980000003</v>
      </c>
      <c r="AN131" s="362">
        <f>ERP_26[[#This Row],[2026 Working Total]]-ERP_26[[#This Row],[LE2 Final Submission]]</f>
        <v>-44.559999000000062</v>
      </c>
      <c r="AO131" s="79">
        <v>154.58333300000001</v>
      </c>
      <c r="AP131" s="79">
        <f t="shared" si="4"/>
        <v>-14.853333000000021</v>
      </c>
      <c r="AQ131" s="374">
        <f>SUM(ERP_26[[#This Row],[AP01]:[AP06]])-SUM(ERP_26[[#This Row],[AP01 LE2]:[AP06 LE2]])</f>
        <v>-44.559999000000062</v>
      </c>
      <c r="AR131" s="80"/>
      <c r="AS131" s="79">
        <f>ERP_26[[#This Row],[2026 Working Total to Budget/LE]]-ERP_26[[#This Row],[Giveback]]</f>
        <v>-44.559999000000062</v>
      </c>
      <c r="AT131" s="81"/>
      <c r="AU131" s="375">
        <v>139.72999999999999</v>
      </c>
      <c r="AV131" s="375">
        <v>139.72999999999999</v>
      </c>
      <c r="AW131" s="375">
        <v>449.73</v>
      </c>
      <c r="AX131" s="375">
        <v>154.58333300000001</v>
      </c>
      <c r="AY131" s="375">
        <v>154.58333300000001</v>
      </c>
      <c r="AZ131" s="375">
        <v>154.58333300000001</v>
      </c>
      <c r="BA131" s="375">
        <v>154.58333300000001</v>
      </c>
      <c r="BB131" s="375">
        <v>154.58333300000001</v>
      </c>
      <c r="BC131" s="375">
        <v>154.58333300000001</v>
      </c>
      <c r="BD131" s="375">
        <v>154.58333300000001</v>
      </c>
      <c r="BE131" s="375">
        <v>154.58333300000001</v>
      </c>
      <c r="BF131" s="375">
        <v>154.58333300000001</v>
      </c>
      <c r="BG131" s="375">
        <v>2120.4399970000004</v>
      </c>
      <c r="BH131" s="79">
        <v>139.72999999999999</v>
      </c>
      <c r="BI131" s="79">
        <v>139.72999999999999</v>
      </c>
      <c r="BJ131" s="79">
        <v>449.73</v>
      </c>
      <c r="BK131" s="79">
        <v>154.58333300000001</v>
      </c>
      <c r="BL131" s="79">
        <v>154.58333300000001</v>
      </c>
      <c r="BM131" s="79">
        <v>154.58333300000001</v>
      </c>
      <c r="BN131" s="79">
        <v>154.58333300000001</v>
      </c>
      <c r="BO131" s="79">
        <v>154.58333300000001</v>
      </c>
      <c r="BP131" s="79">
        <v>154.58333300000001</v>
      </c>
      <c r="BQ131" s="79">
        <v>154.58333300000001</v>
      </c>
      <c r="BR131" s="79">
        <v>154.58333300000001</v>
      </c>
      <c r="BS131" s="79">
        <v>154.58333300000001</v>
      </c>
      <c r="BT131" s="79">
        <v>2120.4399970000004</v>
      </c>
    </row>
    <row r="132" spans="1:72" ht="15" customHeight="1">
      <c r="A132" s="66" t="s">
        <v>2275</v>
      </c>
      <c r="B132" s="66" t="s">
        <v>2950</v>
      </c>
      <c r="C132" s="66" t="s">
        <v>672</v>
      </c>
      <c r="D132" s="66" t="s">
        <v>2276</v>
      </c>
      <c r="E132" s="150" t="s">
        <v>1136</v>
      </c>
      <c r="F132" s="482" t="s">
        <v>1566</v>
      </c>
      <c r="G132" s="150" t="s">
        <v>1135</v>
      </c>
      <c r="H132" s="150" t="s">
        <v>1165</v>
      </c>
      <c r="I132" s="150" t="s">
        <v>1135</v>
      </c>
      <c r="J132" s="150" t="s">
        <v>1165</v>
      </c>
      <c r="K132" s="150" t="s">
        <v>1137</v>
      </c>
      <c r="L132" s="511" t="s">
        <v>639</v>
      </c>
      <c r="M132" s="392" t="s">
        <v>2274</v>
      </c>
      <c r="N132" s="343"/>
      <c r="O132" s="343"/>
      <c r="P132" s="70" t="s">
        <v>673</v>
      </c>
      <c r="Q132" s="346"/>
      <c r="R132" s="346" t="s">
        <v>1140</v>
      </c>
      <c r="S132" s="346"/>
      <c r="T132" s="150" t="s">
        <v>57</v>
      </c>
      <c r="U132" s="150"/>
      <c r="V132" s="403"/>
      <c r="W132" s="406">
        <v>11109.88</v>
      </c>
      <c r="X132" s="406">
        <v>9249.9</v>
      </c>
      <c r="Y132" s="425"/>
      <c r="Z132" s="71"/>
      <c r="AA132" s="426">
        <v>616.66</v>
      </c>
      <c r="AB132" s="431">
        <v>0</v>
      </c>
      <c r="AC132" s="427">
        <v>308.33</v>
      </c>
      <c r="AD132" s="428">
        <v>308.33</v>
      </c>
      <c r="AE132" s="429">
        <v>308.33</v>
      </c>
      <c r="AF132" s="429">
        <v>308.33</v>
      </c>
      <c r="AG132" s="363">
        <v>924.99</v>
      </c>
      <c r="AH132" s="363">
        <v>924.99</v>
      </c>
      <c r="AI132" s="363">
        <v>924.99</v>
      </c>
      <c r="AJ132" s="363">
        <v>924.99</v>
      </c>
      <c r="AK132" s="363">
        <v>924.99</v>
      </c>
      <c r="AL132" s="363">
        <v>924.99</v>
      </c>
      <c r="AM132" s="560">
        <f t="shared" si="3"/>
        <v>7399.9199999999992</v>
      </c>
      <c r="AN132" s="362">
        <f>ERP_26[[#This Row],[2026 Working Total]]-ERP_26[[#This Row],[LE2 Final Submission]]</f>
        <v>-1849.9800000000005</v>
      </c>
      <c r="AO132" s="79">
        <v>924.99</v>
      </c>
      <c r="AP132" s="79">
        <f t="shared" si="4"/>
        <v>-616.66000000000008</v>
      </c>
      <c r="AQ132" s="374">
        <f>SUM(ERP_26[[#This Row],[AP01]:[AP06]])-SUM(ERP_26[[#This Row],[AP01 LE2]:[AP06 LE2]])</f>
        <v>-1849.9800000000002</v>
      </c>
      <c r="AR132" s="80"/>
      <c r="AS132" s="79">
        <f>ERP_26[[#This Row],[2026 Working Total to Budget/LE]]-ERP_26[[#This Row],[Giveback]]</f>
        <v>-1849.9800000000005</v>
      </c>
      <c r="AT132" s="81"/>
      <c r="AU132" s="375">
        <v>616.66</v>
      </c>
      <c r="AV132" s="375">
        <v>0</v>
      </c>
      <c r="AW132" s="375">
        <v>308.33</v>
      </c>
      <c r="AX132" s="375">
        <v>924.99</v>
      </c>
      <c r="AY132" s="375">
        <v>924.99</v>
      </c>
      <c r="AZ132" s="375">
        <v>924.99</v>
      </c>
      <c r="BA132" s="375">
        <v>924.99</v>
      </c>
      <c r="BB132" s="375">
        <v>924.99</v>
      </c>
      <c r="BC132" s="375">
        <v>924.99</v>
      </c>
      <c r="BD132" s="375">
        <v>924.99</v>
      </c>
      <c r="BE132" s="375">
        <v>924.99</v>
      </c>
      <c r="BF132" s="375">
        <v>924.99</v>
      </c>
      <c r="BG132" s="375">
        <v>9249.9</v>
      </c>
      <c r="BH132" s="79">
        <v>616.66</v>
      </c>
      <c r="BI132" s="79">
        <v>0</v>
      </c>
      <c r="BJ132" s="79">
        <v>308.33</v>
      </c>
      <c r="BK132" s="79">
        <v>924.99</v>
      </c>
      <c r="BL132" s="79">
        <v>924.99</v>
      </c>
      <c r="BM132" s="79">
        <v>924.99</v>
      </c>
      <c r="BN132" s="79">
        <v>924.99</v>
      </c>
      <c r="BO132" s="79">
        <v>924.99</v>
      </c>
      <c r="BP132" s="79">
        <v>924.99</v>
      </c>
      <c r="BQ132" s="79">
        <v>924.99</v>
      </c>
      <c r="BR132" s="79">
        <v>924.99</v>
      </c>
      <c r="BS132" s="79">
        <v>924.99</v>
      </c>
      <c r="BT132" s="79">
        <v>9249.9</v>
      </c>
    </row>
    <row r="133" spans="1:72" ht="15" customHeight="1">
      <c r="A133" s="79" t="s">
        <v>2298</v>
      </c>
      <c r="B133" s="79"/>
      <c r="C133" s="79" t="s">
        <v>681</v>
      </c>
      <c r="D133" s="296" t="s">
        <v>2299</v>
      </c>
      <c r="E133" s="150" t="s">
        <v>1136</v>
      </c>
      <c r="F133" s="482" t="s">
        <v>1566</v>
      </c>
      <c r="G133" s="150" t="s">
        <v>1135</v>
      </c>
      <c r="H133" s="150" t="s">
        <v>1165</v>
      </c>
      <c r="I133" s="150" t="s">
        <v>1135</v>
      </c>
      <c r="J133" s="150" t="s">
        <v>1165</v>
      </c>
      <c r="K133" s="150" t="s">
        <v>1165</v>
      </c>
      <c r="L133" s="514" t="s">
        <v>639</v>
      </c>
      <c r="M133" s="392" t="s">
        <v>1927</v>
      </c>
      <c r="N133" s="343"/>
      <c r="O133" s="333"/>
      <c r="P133" s="70" t="s">
        <v>473</v>
      </c>
      <c r="Q133" s="347"/>
      <c r="R133" s="343"/>
      <c r="S133" s="348"/>
      <c r="T133" s="348"/>
      <c r="U133" s="150" t="s">
        <v>1928</v>
      </c>
      <c r="V133" s="402"/>
      <c r="W133" s="358"/>
      <c r="X133" s="379">
        <v>123539</v>
      </c>
      <c r="Y133" s="425"/>
      <c r="Z133" s="71"/>
      <c r="AA133" s="435"/>
      <c r="AB133" s="436"/>
      <c r="AC133" s="436"/>
      <c r="AD133" s="428" t="s">
        <v>1142</v>
      </c>
      <c r="AE133" s="429">
        <v>0</v>
      </c>
      <c r="AF133" s="429">
        <v>0</v>
      </c>
      <c r="AG133" s="364"/>
      <c r="AH133" s="364">
        <v>123539</v>
      </c>
      <c r="AI133" s="364"/>
      <c r="AJ133" s="364"/>
      <c r="AK133" s="364"/>
      <c r="AL133" s="364"/>
      <c r="AM133" s="360">
        <f t="shared" si="3"/>
        <v>123539</v>
      </c>
      <c r="AN133" s="362">
        <f>ERP_26[[#This Row],[2026 Working Total]]-ERP_26[[#This Row],[LE2 Final Submission]]</f>
        <v>0</v>
      </c>
      <c r="AO133" s="79"/>
      <c r="AP133" s="79">
        <f t="shared" si="4"/>
        <v>0</v>
      </c>
      <c r="AQ133" s="374">
        <f>SUM(ERP_26[[#This Row],[AP01]:[AP06]])-SUM(ERP_26[[#This Row],[AP01 LE2]:[AP06 LE2]])</f>
        <v>0</v>
      </c>
      <c r="AR133" s="80"/>
      <c r="AS133" s="79">
        <f>ERP_26[[#This Row],[2026 Working Total to Budget/LE]]-ERP_26[[#This Row],[Giveback]]</f>
        <v>0</v>
      </c>
      <c r="AT133" s="81" t="s">
        <v>1929</v>
      </c>
      <c r="AU133" s="375"/>
      <c r="AV133" s="375"/>
      <c r="AW133" s="375"/>
      <c r="AX133" s="375"/>
      <c r="AY133" s="375"/>
      <c r="AZ133" s="375"/>
      <c r="BA133" s="375"/>
      <c r="BB133" s="375">
        <v>123539</v>
      </c>
      <c r="BC133" s="375"/>
      <c r="BD133" s="375"/>
      <c r="BE133" s="375"/>
      <c r="BF133" s="375"/>
      <c r="BG133" s="375">
        <v>123539</v>
      </c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</row>
    <row r="134" spans="1:72" ht="15" customHeight="1">
      <c r="A134" s="66" t="s">
        <v>2302</v>
      </c>
      <c r="B134" s="66"/>
      <c r="C134" s="66" t="s">
        <v>682</v>
      </c>
      <c r="D134" s="66" t="s">
        <v>2303</v>
      </c>
      <c r="E134" s="150" t="s">
        <v>1136</v>
      </c>
      <c r="F134" s="482" t="s">
        <v>1566</v>
      </c>
      <c r="G134" s="150" t="s">
        <v>1135</v>
      </c>
      <c r="H134" s="150" t="s">
        <v>1165</v>
      </c>
      <c r="I134" s="150" t="s">
        <v>1135</v>
      </c>
      <c r="J134" s="150" t="s">
        <v>1165</v>
      </c>
      <c r="K134" s="150" t="s">
        <v>1137</v>
      </c>
      <c r="L134" s="511" t="s">
        <v>639</v>
      </c>
      <c r="M134" s="392" t="s">
        <v>2304</v>
      </c>
      <c r="N134" s="343" t="s">
        <v>2305</v>
      </c>
      <c r="O134" s="346" t="s">
        <v>1252</v>
      </c>
      <c r="P134" s="70" t="s">
        <v>683</v>
      </c>
      <c r="Q134" s="346"/>
      <c r="R134" s="346" t="s">
        <v>2306</v>
      </c>
      <c r="S134" s="346" t="s">
        <v>1710</v>
      </c>
      <c r="T134" s="150" t="s">
        <v>684</v>
      </c>
      <c r="U134" s="150"/>
      <c r="V134" s="404"/>
      <c r="W134" s="407">
        <v>146492.82999999999</v>
      </c>
      <c r="X134" s="407">
        <v>-115764.16</v>
      </c>
      <c r="Y134" s="425"/>
      <c r="Z134" s="71"/>
      <c r="AA134" s="426">
        <v>-115764.16</v>
      </c>
      <c r="AB134" s="427">
        <f>115764.16-115764.16</f>
        <v>0</v>
      </c>
      <c r="AC134" s="427"/>
      <c r="AD134" s="428">
        <v>0</v>
      </c>
      <c r="AE134" s="429">
        <v>0</v>
      </c>
      <c r="AF134" s="429">
        <v>0</v>
      </c>
      <c r="AG134" s="363"/>
      <c r="AH134" s="363"/>
      <c r="AI134" s="363"/>
      <c r="AJ134" s="363"/>
      <c r="AK134" s="363"/>
      <c r="AL134" s="363"/>
      <c r="AM134" s="360">
        <f t="shared" si="3"/>
        <v>-115764.16</v>
      </c>
      <c r="AN134" s="362">
        <f>ERP_26[[#This Row],[2026 Working Total]]-ERP_26[[#This Row],[LE2 Final Submission]]</f>
        <v>0</v>
      </c>
      <c r="AO134" s="79"/>
      <c r="AP134" s="79">
        <f t="shared" si="4"/>
        <v>0</v>
      </c>
      <c r="AQ134" s="374">
        <f>SUM(ERP_26[[#This Row],[AP01]:[AP06]])-SUM(ERP_26[[#This Row],[AP01 LE2]:[AP06 LE2]])</f>
        <v>0</v>
      </c>
      <c r="AR134" s="80"/>
      <c r="AS134" s="79">
        <f>ERP_26[[#This Row],[2026 Working Total to Budget/LE]]-ERP_26[[#This Row],[Giveback]]</f>
        <v>0</v>
      </c>
      <c r="AT134" s="81"/>
      <c r="AU134" s="375">
        <v>-115764.16</v>
      </c>
      <c r="AV134" s="375">
        <v>0</v>
      </c>
      <c r="AW134" s="375"/>
      <c r="AX134" s="375"/>
      <c r="AY134" s="375"/>
      <c r="AZ134" s="375"/>
      <c r="BA134" s="375"/>
      <c r="BB134" s="375"/>
      <c r="BC134" s="375"/>
      <c r="BD134" s="375"/>
      <c r="BE134" s="375"/>
      <c r="BF134" s="375"/>
      <c r="BG134" s="375">
        <v>-115764.16</v>
      </c>
      <c r="BH134" s="79">
        <v>-115764.16</v>
      </c>
      <c r="BI134" s="79">
        <v>115764.16</v>
      </c>
      <c r="BJ134" s="79"/>
      <c r="BK134" s="79"/>
      <c r="BL134" s="79"/>
      <c r="BM134" s="79"/>
      <c r="BN134" s="79"/>
      <c r="BO134" s="79"/>
      <c r="BP134" s="79"/>
      <c r="BQ134" s="79"/>
      <c r="BR134" s="79"/>
      <c r="BS134" s="79"/>
      <c r="BT134" s="79">
        <v>0</v>
      </c>
    </row>
    <row r="135" spans="1:72" ht="15" customHeight="1">
      <c r="A135" s="79" t="s">
        <v>2307</v>
      </c>
      <c r="B135" s="79"/>
      <c r="C135" s="79" t="s">
        <v>685</v>
      </c>
      <c r="D135" s="296" t="s">
        <v>2308</v>
      </c>
      <c r="E135" s="150" t="s">
        <v>1136</v>
      </c>
      <c r="F135" s="482" t="s">
        <v>1566</v>
      </c>
      <c r="G135" s="150" t="s">
        <v>1135</v>
      </c>
      <c r="H135" s="383" t="s">
        <v>1165</v>
      </c>
      <c r="I135" s="332" t="s">
        <v>1135</v>
      </c>
      <c r="J135" s="383" t="s">
        <v>1165</v>
      </c>
      <c r="K135" s="333" t="s">
        <v>1137</v>
      </c>
      <c r="L135" s="512" t="s">
        <v>639</v>
      </c>
      <c r="M135" s="393" t="s">
        <v>2309</v>
      </c>
      <c r="N135" s="343"/>
      <c r="O135" s="333"/>
      <c r="P135" s="91" t="s">
        <v>686</v>
      </c>
      <c r="Q135" s="347"/>
      <c r="R135" s="346" t="s">
        <v>2306</v>
      </c>
      <c r="S135" s="346" t="s">
        <v>2310</v>
      </c>
      <c r="T135" s="386" t="s">
        <v>684</v>
      </c>
      <c r="U135" s="346" t="s">
        <v>1779</v>
      </c>
      <c r="V135" s="437"/>
      <c r="W135" s="358">
        <v>-146492.82999999999</v>
      </c>
      <c r="X135" s="378">
        <v>115764.16</v>
      </c>
      <c r="Y135" s="425"/>
      <c r="Z135" s="71"/>
      <c r="AA135" s="433"/>
      <c r="AB135" s="434">
        <v>115764.16</v>
      </c>
      <c r="AC135" s="434"/>
      <c r="AD135" s="428" t="s">
        <v>1142</v>
      </c>
      <c r="AE135" s="429">
        <v>0</v>
      </c>
      <c r="AF135" s="429">
        <v>0</v>
      </c>
      <c r="AG135" s="388">
        <v>0</v>
      </c>
      <c r="AH135" s="388">
        <v>0</v>
      </c>
      <c r="AI135" s="388">
        <v>0</v>
      </c>
      <c r="AJ135" s="388">
        <v>0</v>
      </c>
      <c r="AK135" s="388">
        <v>0</v>
      </c>
      <c r="AL135" s="388">
        <v>0</v>
      </c>
      <c r="AM135" s="360">
        <f t="shared" si="3"/>
        <v>115764.16</v>
      </c>
      <c r="AN135" s="362">
        <f>ERP_26[[#This Row],[2026 Working Total]]-ERP_26[[#This Row],[LE2 Final Submission]]</f>
        <v>0</v>
      </c>
      <c r="AO135" s="79">
        <v>0</v>
      </c>
      <c r="AP135" s="79">
        <f t="shared" si="4"/>
        <v>0</v>
      </c>
      <c r="AQ135" s="374">
        <f>SUM(ERP_26[[#This Row],[AP01]:[AP06]])-SUM(ERP_26[[#This Row],[AP01 LE2]:[AP06 LE2]])</f>
        <v>0</v>
      </c>
      <c r="AR135" s="80"/>
      <c r="AS135" s="79">
        <f>ERP_26[[#This Row],[2026 Working Total to Budget/LE]]-ERP_26[[#This Row],[Giveback]]</f>
        <v>0</v>
      </c>
      <c r="AT135" s="81"/>
      <c r="AU135" s="375"/>
      <c r="AV135" s="375">
        <v>115764.16</v>
      </c>
      <c r="AW135" s="375"/>
      <c r="AX135" s="375">
        <v>0</v>
      </c>
      <c r="AY135" s="375">
        <v>0</v>
      </c>
      <c r="AZ135" s="375">
        <v>0</v>
      </c>
      <c r="BA135" s="375">
        <v>0</v>
      </c>
      <c r="BB135" s="375">
        <v>0</v>
      </c>
      <c r="BC135" s="375">
        <v>0</v>
      </c>
      <c r="BD135" s="375">
        <v>0</v>
      </c>
      <c r="BE135" s="375">
        <v>0</v>
      </c>
      <c r="BF135" s="375">
        <v>0</v>
      </c>
      <c r="BG135" s="375">
        <v>115764.16</v>
      </c>
      <c r="BH135" s="103">
        <v>-146492.82999999999</v>
      </c>
      <c r="BI135" s="103">
        <v>0</v>
      </c>
      <c r="BJ135" s="103">
        <v>0</v>
      </c>
      <c r="BK135" s="103">
        <v>0</v>
      </c>
      <c r="BL135" s="103">
        <v>0</v>
      </c>
      <c r="BM135" s="103">
        <v>0</v>
      </c>
      <c r="BN135" s="103">
        <v>0</v>
      </c>
      <c r="BO135" s="103">
        <v>0</v>
      </c>
      <c r="BP135" s="103">
        <v>0</v>
      </c>
      <c r="BQ135" s="103">
        <v>0</v>
      </c>
      <c r="BR135" s="103">
        <v>0</v>
      </c>
      <c r="BS135" s="103">
        <v>0</v>
      </c>
      <c r="BT135" s="79">
        <f>SUM(ERP_26[[#This Row],[2026 AP01]:[2026 AP12]])</f>
        <v>-146492.82999999999</v>
      </c>
    </row>
    <row r="136" spans="1:72" ht="15" customHeight="1">
      <c r="A136" s="79" t="s">
        <v>2311</v>
      </c>
      <c r="B136" s="79"/>
      <c r="C136" s="79" t="s">
        <v>687</v>
      </c>
      <c r="D136" s="296" t="s">
        <v>2312</v>
      </c>
      <c r="E136" s="150" t="s">
        <v>1136</v>
      </c>
      <c r="F136" s="482" t="s">
        <v>1566</v>
      </c>
      <c r="G136" s="150" t="s">
        <v>1135</v>
      </c>
      <c r="H136" s="383" t="s">
        <v>1165</v>
      </c>
      <c r="I136" s="332" t="s">
        <v>1135</v>
      </c>
      <c r="J136" s="383" t="s">
        <v>1165</v>
      </c>
      <c r="K136" s="333" t="s">
        <v>1137</v>
      </c>
      <c r="L136" s="512" t="s">
        <v>639</v>
      </c>
      <c r="M136" s="393" t="s">
        <v>2313</v>
      </c>
      <c r="N136" s="343" t="s">
        <v>2314</v>
      </c>
      <c r="O136" s="332" t="s">
        <v>1186</v>
      </c>
      <c r="P136" s="91" t="s">
        <v>688</v>
      </c>
      <c r="Q136" s="347"/>
      <c r="R136" s="346" t="s">
        <v>2315</v>
      </c>
      <c r="S136" s="346" t="s">
        <v>1710</v>
      </c>
      <c r="T136" s="386" t="s">
        <v>689</v>
      </c>
      <c r="U136" s="346" t="s">
        <v>1348</v>
      </c>
      <c r="V136" s="437"/>
      <c r="W136" s="358">
        <v>169727.17</v>
      </c>
      <c r="X136" s="378">
        <v>0</v>
      </c>
      <c r="Y136" s="425"/>
      <c r="Z136" s="71"/>
      <c r="AA136" s="433"/>
      <c r="AB136" s="434"/>
      <c r="AC136" s="434"/>
      <c r="AD136" s="428" t="s">
        <v>1142</v>
      </c>
      <c r="AE136" s="429">
        <v>0</v>
      </c>
      <c r="AF136" s="429">
        <v>0</v>
      </c>
      <c r="AG136" s="388">
        <v>0</v>
      </c>
      <c r="AH136" s="388">
        <v>0</v>
      </c>
      <c r="AI136" s="388">
        <v>0</v>
      </c>
      <c r="AJ136" s="388">
        <v>0</v>
      </c>
      <c r="AK136" s="388">
        <v>0</v>
      </c>
      <c r="AL136" s="388">
        <v>0</v>
      </c>
      <c r="AM136" s="360">
        <f t="shared" ref="AM136:AM199" si="5">SUM(AA136:AL136)</f>
        <v>0</v>
      </c>
      <c r="AN136" s="362">
        <f>ERP_26[[#This Row],[2026 Working Total]]-ERP_26[[#This Row],[LE2 Final Submission]]</f>
        <v>0</v>
      </c>
      <c r="AO136" s="79">
        <v>0</v>
      </c>
      <c r="AP136" s="79">
        <f t="shared" ref="AP136:AP199" si="6">$AF136 - $AO136</f>
        <v>0</v>
      </c>
      <c r="AQ136" s="374">
        <f>SUM(ERP_26[[#This Row],[AP01]:[AP06]])-SUM(ERP_26[[#This Row],[AP01 LE2]:[AP06 LE2]])</f>
        <v>0</v>
      </c>
      <c r="AR136" s="80"/>
      <c r="AS136" s="79">
        <f>ERP_26[[#This Row],[2026 Working Total to Budget/LE]]-ERP_26[[#This Row],[Giveback]]</f>
        <v>0</v>
      </c>
      <c r="AT136" s="81"/>
      <c r="AU136" s="375"/>
      <c r="AV136" s="375"/>
      <c r="AW136" s="375"/>
      <c r="AX136" s="375">
        <v>0</v>
      </c>
      <c r="AY136" s="375">
        <v>0</v>
      </c>
      <c r="AZ136" s="375">
        <v>0</v>
      </c>
      <c r="BA136" s="375">
        <v>0</v>
      </c>
      <c r="BB136" s="375">
        <v>0</v>
      </c>
      <c r="BC136" s="375">
        <v>0</v>
      </c>
      <c r="BD136" s="375">
        <v>0</v>
      </c>
      <c r="BE136" s="375">
        <v>0</v>
      </c>
      <c r="BF136" s="375">
        <v>0</v>
      </c>
      <c r="BG136" s="375">
        <v>0</v>
      </c>
      <c r="BH136" s="103">
        <v>169727.17</v>
      </c>
      <c r="BI136" s="103">
        <v>0</v>
      </c>
      <c r="BJ136" s="103">
        <v>0</v>
      </c>
      <c r="BK136" s="103">
        <v>0</v>
      </c>
      <c r="BL136" s="103">
        <v>0</v>
      </c>
      <c r="BM136" s="103">
        <v>0</v>
      </c>
      <c r="BN136" s="103">
        <v>0</v>
      </c>
      <c r="BO136" s="103">
        <v>0</v>
      </c>
      <c r="BP136" s="103">
        <v>0</v>
      </c>
      <c r="BQ136" s="103">
        <v>0</v>
      </c>
      <c r="BR136" s="103">
        <v>0</v>
      </c>
      <c r="BS136" s="103">
        <v>0</v>
      </c>
      <c r="BT136" s="79">
        <f>SUM(ERP_26[[#This Row],[2026 AP01]:[2026 AP12]])</f>
        <v>169727.17</v>
      </c>
    </row>
    <row r="137" spans="1:72" ht="15" customHeight="1">
      <c r="A137" s="79" t="s">
        <v>2316</v>
      </c>
      <c r="B137" s="79"/>
      <c r="C137" s="79" t="s">
        <v>690</v>
      </c>
      <c r="D137" s="296" t="s">
        <v>2317</v>
      </c>
      <c r="E137" s="150" t="s">
        <v>1136</v>
      </c>
      <c r="F137" s="482" t="s">
        <v>1566</v>
      </c>
      <c r="G137" s="150" t="s">
        <v>1135</v>
      </c>
      <c r="H137" s="383" t="s">
        <v>1165</v>
      </c>
      <c r="I137" s="332" t="s">
        <v>1135</v>
      </c>
      <c r="J137" s="383" t="s">
        <v>1165</v>
      </c>
      <c r="K137" s="333" t="s">
        <v>1137</v>
      </c>
      <c r="L137" s="512" t="s">
        <v>639</v>
      </c>
      <c r="M137" s="393" t="s">
        <v>2318</v>
      </c>
      <c r="N137" s="343"/>
      <c r="O137" s="333"/>
      <c r="P137" s="91" t="s">
        <v>691</v>
      </c>
      <c r="Q137" s="347"/>
      <c r="R137" s="346" t="s">
        <v>2315</v>
      </c>
      <c r="S137" s="346" t="s">
        <v>1710</v>
      </c>
      <c r="T137" s="386" t="s">
        <v>689</v>
      </c>
      <c r="U137" s="346" t="s">
        <v>1348</v>
      </c>
      <c r="V137" s="437"/>
      <c r="W137" s="358">
        <v>-169727.17</v>
      </c>
      <c r="X137" s="378">
        <v>0</v>
      </c>
      <c r="Y137" s="425"/>
      <c r="Z137" s="71"/>
      <c r="AA137" s="433"/>
      <c r="AB137" s="434"/>
      <c r="AC137" s="434"/>
      <c r="AD137" s="428" t="s">
        <v>1142</v>
      </c>
      <c r="AE137" s="429">
        <v>0</v>
      </c>
      <c r="AF137" s="429">
        <v>0</v>
      </c>
      <c r="AG137" s="388">
        <v>0</v>
      </c>
      <c r="AH137" s="388">
        <v>0</v>
      </c>
      <c r="AI137" s="388">
        <v>0</v>
      </c>
      <c r="AJ137" s="388">
        <v>0</v>
      </c>
      <c r="AK137" s="388">
        <v>0</v>
      </c>
      <c r="AL137" s="388">
        <v>0</v>
      </c>
      <c r="AM137" s="360">
        <f t="shared" si="5"/>
        <v>0</v>
      </c>
      <c r="AN137" s="362">
        <f>ERP_26[[#This Row],[2026 Working Total]]-ERP_26[[#This Row],[LE2 Final Submission]]</f>
        <v>0</v>
      </c>
      <c r="AO137" s="79">
        <v>0</v>
      </c>
      <c r="AP137" s="79">
        <f t="shared" si="6"/>
        <v>0</v>
      </c>
      <c r="AQ137" s="374">
        <f>SUM(ERP_26[[#This Row],[AP01]:[AP06]])-SUM(ERP_26[[#This Row],[AP01 LE2]:[AP06 LE2]])</f>
        <v>0</v>
      </c>
      <c r="AR137" s="80"/>
      <c r="AS137" s="79">
        <f>ERP_26[[#This Row],[2026 Working Total to Budget/LE]]-ERP_26[[#This Row],[Giveback]]</f>
        <v>0</v>
      </c>
      <c r="AT137" s="81"/>
      <c r="AU137" s="375"/>
      <c r="AV137" s="375"/>
      <c r="AW137" s="375"/>
      <c r="AX137" s="375">
        <v>0</v>
      </c>
      <c r="AY137" s="375">
        <v>0</v>
      </c>
      <c r="AZ137" s="375">
        <v>0</v>
      </c>
      <c r="BA137" s="375">
        <v>0</v>
      </c>
      <c r="BB137" s="375">
        <v>0</v>
      </c>
      <c r="BC137" s="375">
        <v>0</v>
      </c>
      <c r="BD137" s="375">
        <v>0</v>
      </c>
      <c r="BE137" s="375">
        <v>0</v>
      </c>
      <c r="BF137" s="375">
        <v>0</v>
      </c>
      <c r="BG137" s="375">
        <v>0</v>
      </c>
      <c r="BH137" s="103">
        <v>-169727.17</v>
      </c>
      <c r="BI137" s="103">
        <v>0</v>
      </c>
      <c r="BJ137" s="103">
        <v>0</v>
      </c>
      <c r="BK137" s="103">
        <v>0</v>
      </c>
      <c r="BL137" s="103">
        <v>0</v>
      </c>
      <c r="BM137" s="103">
        <v>0</v>
      </c>
      <c r="BN137" s="103">
        <v>0</v>
      </c>
      <c r="BO137" s="103">
        <v>0</v>
      </c>
      <c r="BP137" s="103">
        <v>0</v>
      </c>
      <c r="BQ137" s="103">
        <v>0</v>
      </c>
      <c r="BR137" s="103">
        <v>0</v>
      </c>
      <c r="BS137" s="103">
        <v>0</v>
      </c>
      <c r="BT137" s="79">
        <f>SUM(ERP_26[[#This Row],[2026 AP01]:[2026 AP12]])</f>
        <v>-169727.17</v>
      </c>
    </row>
    <row r="138" spans="1:72" ht="15" customHeight="1">
      <c r="A138" s="66" t="s">
        <v>2319</v>
      </c>
      <c r="B138" s="66"/>
      <c r="C138" s="66" t="s">
        <v>692</v>
      </c>
      <c r="D138" s="66" t="s">
        <v>2320</v>
      </c>
      <c r="E138" s="150" t="s">
        <v>1136</v>
      </c>
      <c r="F138" s="482" t="s">
        <v>1566</v>
      </c>
      <c r="G138" s="150" t="s">
        <v>1135</v>
      </c>
      <c r="H138" s="150" t="s">
        <v>1161</v>
      </c>
      <c r="I138" s="150" t="s">
        <v>1135</v>
      </c>
      <c r="J138" s="150" t="s">
        <v>1161</v>
      </c>
      <c r="K138" s="150" t="s">
        <v>1137</v>
      </c>
      <c r="L138" s="511" t="s">
        <v>639</v>
      </c>
      <c r="M138" s="392" t="s">
        <v>2321</v>
      </c>
      <c r="N138" s="343" t="s">
        <v>2322</v>
      </c>
      <c r="O138" s="346" t="s">
        <v>1252</v>
      </c>
      <c r="P138" s="70" t="s">
        <v>693</v>
      </c>
      <c r="Q138" s="346"/>
      <c r="R138" s="346" t="s">
        <v>2323</v>
      </c>
      <c r="S138" s="346"/>
      <c r="T138" s="150" t="s">
        <v>25</v>
      </c>
      <c r="U138" s="150" t="s">
        <v>2324</v>
      </c>
      <c r="V138" s="403"/>
      <c r="W138" s="406">
        <v>11026</v>
      </c>
      <c r="X138" s="406">
        <v>11026</v>
      </c>
      <c r="Y138" s="425"/>
      <c r="Z138" s="71"/>
      <c r="AA138" s="426"/>
      <c r="AB138" s="427"/>
      <c r="AC138" s="427"/>
      <c r="AD138" s="428" t="s">
        <v>1142</v>
      </c>
      <c r="AE138" s="429">
        <v>0</v>
      </c>
      <c r="AF138" s="429">
        <v>0</v>
      </c>
      <c r="AG138" s="363"/>
      <c r="AH138" s="363"/>
      <c r="AI138" s="363"/>
      <c r="AJ138" s="363"/>
      <c r="AK138" s="363">
        <v>11026</v>
      </c>
      <c r="AL138" s="360">
        <v>0</v>
      </c>
      <c r="AM138" s="360">
        <f t="shared" si="5"/>
        <v>11026</v>
      </c>
      <c r="AN138" s="362">
        <f>ERP_26[[#This Row],[2026 Working Total]]-ERP_26[[#This Row],[LE2 Final Submission]]</f>
        <v>0</v>
      </c>
      <c r="AO138" s="79"/>
      <c r="AP138" s="79">
        <f t="shared" si="6"/>
        <v>0</v>
      </c>
      <c r="AQ138" s="374">
        <f>SUM(ERP_26[[#This Row],[AP01]:[AP06]])-SUM(ERP_26[[#This Row],[AP01 LE2]:[AP06 LE2]])</f>
        <v>0</v>
      </c>
      <c r="AR138" s="80"/>
      <c r="AS138" s="79">
        <f>ERP_26[[#This Row],[2026 Working Total to Budget/LE]]-ERP_26[[#This Row],[Giveback]]</f>
        <v>0</v>
      </c>
      <c r="AT138" s="81"/>
      <c r="AU138" s="375"/>
      <c r="AV138" s="375"/>
      <c r="AW138" s="375"/>
      <c r="AX138" s="375"/>
      <c r="AY138" s="375"/>
      <c r="AZ138" s="375"/>
      <c r="BA138" s="375"/>
      <c r="BB138" s="375"/>
      <c r="BC138" s="375"/>
      <c r="BD138" s="375"/>
      <c r="BE138" s="375">
        <v>11026</v>
      </c>
      <c r="BF138" s="375">
        <v>0</v>
      </c>
      <c r="BG138" s="375">
        <v>11026</v>
      </c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>
        <v>11026</v>
      </c>
      <c r="BS138" s="79">
        <v>0</v>
      </c>
      <c r="BT138" s="79">
        <v>11026</v>
      </c>
    </row>
    <row r="139" spans="1:72" ht="15" customHeight="1">
      <c r="A139" s="79" t="s">
        <v>2325</v>
      </c>
      <c r="B139" s="79"/>
      <c r="C139" s="79" t="s">
        <v>694</v>
      </c>
      <c r="D139" s="296" t="s">
        <v>2326</v>
      </c>
      <c r="E139" s="150" t="s">
        <v>1136</v>
      </c>
      <c r="F139" s="482" t="s">
        <v>1566</v>
      </c>
      <c r="G139" s="150" t="s">
        <v>1135</v>
      </c>
      <c r="H139" s="383" t="s">
        <v>1145</v>
      </c>
      <c r="I139" s="332" t="s">
        <v>1135</v>
      </c>
      <c r="J139" s="383" t="s">
        <v>1145</v>
      </c>
      <c r="K139" s="331" t="s">
        <v>1137</v>
      </c>
      <c r="L139" s="512" t="s">
        <v>639</v>
      </c>
      <c r="M139" s="393" t="s">
        <v>2327</v>
      </c>
      <c r="N139" s="343" t="s">
        <v>2328</v>
      </c>
      <c r="O139" s="150" t="s">
        <v>1171</v>
      </c>
      <c r="P139" s="91" t="s">
        <v>695</v>
      </c>
      <c r="Q139" s="343"/>
      <c r="R139" s="346" t="s">
        <v>2329</v>
      </c>
      <c r="S139" s="346" t="s">
        <v>1710</v>
      </c>
      <c r="T139" s="386" t="s">
        <v>696</v>
      </c>
      <c r="U139" s="346" t="s">
        <v>1348</v>
      </c>
      <c r="V139" s="437"/>
      <c r="W139" s="358">
        <v>325620</v>
      </c>
      <c r="X139" s="378">
        <v>0</v>
      </c>
      <c r="Y139" s="425"/>
      <c r="Z139" s="71"/>
      <c r="AA139" s="433"/>
      <c r="AB139" s="434"/>
      <c r="AC139" s="434"/>
      <c r="AD139" s="428" t="s">
        <v>1142</v>
      </c>
      <c r="AE139" s="429">
        <v>0</v>
      </c>
      <c r="AF139" s="429">
        <v>0</v>
      </c>
      <c r="AG139" s="388">
        <v>0</v>
      </c>
      <c r="AH139" s="388">
        <v>0</v>
      </c>
      <c r="AI139" s="388">
        <v>0</v>
      </c>
      <c r="AJ139" s="388">
        <v>0</v>
      </c>
      <c r="AK139" s="388">
        <v>0</v>
      </c>
      <c r="AL139" s="388">
        <v>0</v>
      </c>
      <c r="AM139" s="360">
        <f t="shared" si="5"/>
        <v>0</v>
      </c>
      <c r="AN139" s="362">
        <f>ERP_26[[#This Row],[2026 Working Total]]-ERP_26[[#This Row],[LE2 Final Submission]]</f>
        <v>0</v>
      </c>
      <c r="AO139" s="79">
        <v>0</v>
      </c>
      <c r="AP139" s="79">
        <f t="shared" si="6"/>
        <v>0</v>
      </c>
      <c r="AQ139" s="374">
        <f>SUM(ERP_26[[#This Row],[AP01]:[AP06]])-SUM(ERP_26[[#This Row],[AP01 LE2]:[AP06 LE2]])</f>
        <v>0</v>
      </c>
      <c r="AR139" s="80"/>
      <c r="AS139" s="79">
        <f>ERP_26[[#This Row],[2026 Working Total to Budget/LE]]-ERP_26[[#This Row],[Giveback]]</f>
        <v>0</v>
      </c>
      <c r="AT139" s="81"/>
      <c r="AU139" s="375"/>
      <c r="AV139" s="375"/>
      <c r="AW139" s="375"/>
      <c r="AX139" s="375">
        <v>0</v>
      </c>
      <c r="AY139" s="375">
        <v>0</v>
      </c>
      <c r="AZ139" s="375">
        <v>0</v>
      </c>
      <c r="BA139" s="375">
        <v>0</v>
      </c>
      <c r="BB139" s="375">
        <v>0</v>
      </c>
      <c r="BC139" s="375">
        <v>0</v>
      </c>
      <c r="BD139" s="375">
        <v>0</v>
      </c>
      <c r="BE139" s="375">
        <v>0</v>
      </c>
      <c r="BF139" s="375">
        <v>0</v>
      </c>
      <c r="BG139" s="375">
        <v>0</v>
      </c>
      <c r="BH139" s="103">
        <v>325620</v>
      </c>
      <c r="BI139" s="103">
        <v>0</v>
      </c>
      <c r="BJ139" s="103">
        <v>0</v>
      </c>
      <c r="BK139" s="103">
        <v>0</v>
      </c>
      <c r="BL139" s="103">
        <v>0</v>
      </c>
      <c r="BM139" s="103">
        <v>0</v>
      </c>
      <c r="BN139" s="103">
        <v>0</v>
      </c>
      <c r="BO139" s="103">
        <v>0</v>
      </c>
      <c r="BP139" s="103">
        <v>0</v>
      </c>
      <c r="BQ139" s="103">
        <v>0</v>
      </c>
      <c r="BR139" s="103">
        <v>0</v>
      </c>
      <c r="BS139" s="103">
        <v>0</v>
      </c>
      <c r="BT139" s="79">
        <f>SUM(ERP_26[[#This Row],[2026 AP01]:[2026 AP12]])</f>
        <v>325620</v>
      </c>
    </row>
    <row r="140" spans="1:72" ht="15" customHeight="1">
      <c r="A140" s="79" t="s">
        <v>2330</v>
      </c>
      <c r="B140" s="79"/>
      <c r="C140" s="79" t="s">
        <v>697</v>
      </c>
      <c r="D140" s="296" t="s">
        <v>2331</v>
      </c>
      <c r="E140" s="150" t="s">
        <v>1136</v>
      </c>
      <c r="F140" s="482" t="s">
        <v>1566</v>
      </c>
      <c r="G140" s="150" t="s">
        <v>1135</v>
      </c>
      <c r="H140" s="383" t="s">
        <v>1145</v>
      </c>
      <c r="I140" s="332" t="s">
        <v>1135</v>
      </c>
      <c r="J140" s="383" t="s">
        <v>1145</v>
      </c>
      <c r="K140" s="331" t="s">
        <v>1137</v>
      </c>
      <c r="L140" s="512" t="s">
        <v>639</v>
      </c>
      <c r="M140" s="393" t="s">
        <v>2332</v>
      </c>
      <c r="N140" s="343"/>
      <c r="O140" s="331"/>
      <c r="P140" s="91" t="s">
        <v>698</v>
      </c>
      <c r="Q140" s="343"/>
      <c r="R140" s="346" t="s">
        <v>2329</v>
      </c>
      <c r="S140" s="346" t="s">
        <v>1710</v>
      </c>
      <c r="T140" s="386" t="s">
        <v>696</v>
      </c>
      <c r="U140" s="346" t="s">
        <v>1348</v>
      </c>
      <c r="V140" s="437"/>
      <c r="W140" s="358">
        <v>-325620</v>
      </c>
      <c r="X140" s="378">
        <v>0</v>
      </c>
      <c r="Y140" s="425"/>
      <c r="Z140" s="71"/>
      <c r="AA140" s="433"/>
      <c r="AB140" s="434"/>
      <c r="AC140" s="434"/>
      <c r="AD140" s="428" t="s">
        <v>1142</v>
      </c>
      <c r="AE140" s="429">
        <v>0</v>
      </c>
      <c r="AF140" s="429">
        <v>0</v>
      </c>
      <c r="AG140" s="388">
        <v>0</v>
      </c>
      <c r="AH140" s="388">
        <v>0</v>
      </c>
      <c r="AI140" s="388">
        <v>0</v>
      </c>
      <c r="AJ140" s="388">
        <v>0</v>
      </c>
      <c r="AK140" s="388">
        <v>0</v>
      </c>
      <c r="AL140" s="388">
        <v>0</v>
      </c>
      <c r="AM140" s="360">
        <f t="shared" si="5"/>
        <v>0</v>
      </c>
      <c r="AN140" s="362">
        <f>ERP_26[[#This Row],[2026 Working Total]]-ERP_26[[#This Row],[LE2 Final Submission]]</f>
        <v>0</v>
      </c>
      <c r="AO140" s="79">
        <v>0</v>
      </c>
      <c r="AP140" s="79">
        <f t="shared" si="6"/>
        <v>0</v>
      </c>
      <c r="AQ140" s="374">
        <f>SUM(ERP_26[[#This Row],[AP01]:[AP06]])-SUM(ERP_26[[#This Row],[AP01 LE2]:[AP06 LE2]])</f>
        <v>0</v>
      </c>
      <c r="AR140" s="80"/>
      <c r="AS140" s="79">
        <f>ERP_26[[#This Row],[2026 Working Total to Budget/LE]]-ERP_26[[#This Row],[Giveback]]</f>
        <v>0</v>
      </c>
      <c r="AT140" s="81"/>
      <c r="AU140" s="375"/>
      <c r="AV140" s="375"/>
      <c r="AW140" s="375"/>
      <c r="AX140" s="375">
        <v>0</v>
      </c>
      <c r="AY140" s="375">
        <v>0</v>
      </c>
      <c r="AZ140" s="375">
        <v>0</v>
      </c>
      <c r="BA140" s="375">
        <v>0</v>
      </c>
      <c r="BB140" s="375">
        <v>0</v>
      </c>
      <c r="BC140" s="375">
        <v>0</v>
      </c>
      <c r="BD140" s="375">
        <v>0</v>
      </c>
      <c r="BE140" s="375">
        <v>0</v>
      </c>
      <c r="BF140" s="375">
        <v>0</v>
      </c>
      <c r="BG140" s="375">
        <v>0</v>
      </c>
      <c r="BH140" s="103">
        <v>-325620</v>
      </c>
      <c r="BI140" s="103">
        <v>0</v>
      </c>
      <c r="BJ140" s="103">
        <v>0</v>
      </c>
      <c r="BK140" s="103">
        <v>0</v>
      </c>
      <c r="BL140" s="103">
        <v>0</v>
      </c>
      <c r="BM140" s="103">
        <v>0</v>
      </c>
      <c r="BN140" s="103">
        <v>0</v>
      </c>
      <c r="BO140" s="103">
        <v>0</v>
      </c>
      <c r="BP140" s="103">
        <v>0</v>
      </c>
      <c r="BQ140" s="103">
        <v>0</v>
      </c>
      <c r="BR140" s="103">
        <v>0</v>
      </c>
      <c r="BS140" s="103">
        <v>0</v>
      </c>
      <c r="BT140" s="79">
        <f>SUM(ERP_26[[#This Row],[2026 AP01]:[2026 AP12]])</f>
        <v>-325620</v>
      </c>
    </row>
    <row r="141" spans="1:72" ht="15" customHeight="1">
      <c r="A141" s="66" t="s">
        <v>2333</v>
      </c>
      <c r="B141" s="66"/>
      <c r="C141" s="66" t="s">
        <v>699</v>
      </c>
      <c r="D141" s="66" t="s">
        <v>2334</v>
      </c>
      <c r="E141" s="150" t="s">
        <v>1136</v>
      </c>
      <c r="F141" s="482" t="s">
        <v>1566</v>
      </c>
      <c r="G141" s="150" t="s">
        <v>1135</v>
      </c>
      <c r="H141" s="150" t="s">
        <v>1145</v>
      </c>
      <c r="I141" s="150" t="s">
        <v>1135</v>
      </c>
      <c r="J141" s="150" t="s">
        <v>1145</v>
      </c>
      <c r="K141" s="150" t="s">
        <v>1137</v>
      </c>
      <c r="L141" s="511" t="s">
        <v>639</v>
      </c>
      <c r="M141" s="392" t="s">
        <v>2335</v>
      </c>
      <c r="N141" s="343" t="s">
        <v>2305</v>
      </c>
      <c r="O141" s="346" t="s">
        <v>1186</v>
      </c>
      <c r="P141" s="70" t="s">
        <v>700</v>
      </c>
      <c r="Q141" s="346"/>
      <c r="R141" s="346" t="s">
        <v>2336</v>
      </c>
      <c r="S141" s="346"/>
      <c r="T141" s="150" t="s">
        <v>701</v>
      </c>
      <c r="U141" s="150"/>
      <c r="V141" s="403"/>
      <c r="W141" s="406">
        <v>54093.63</v>
      </c>
      <c r="X141" s="406">
        <v>55716.44</v>
      </c>
      <c r="Y141" s="425"/>
      <c r="Z141" s="71"/>
      <c r="AA141" s="426"/>
      <c r="AB141" s="427">
        <v>55716.44</v>
      </c>
      <c r="AC141" s="431">
        <v>0</v>
      </c>
      <c r="AD141" s="428">
        <v>0</v>
      </c>
      <c r="AE141" s="429">
        <v>0</v>
      </c>
      <c r="AF141" s="429">
        <v>0</v>
      </c>
      <c r="AG141" s="360">
        <v>0</v>
      </c>
      <c r="AH141" s="360">
        <v>0</v>
      </c>
      <c r="AI141" s="360">
        <v>0</v>
      </c>
      <c r="AJ141" s="360">
        <v>0</v>
      </c>
      <c r="AK141" s="360">
        <v>0</v>
      </c>
      <c r="AL141" s="360">
        <v>0</v>
      </c>
      <c r="AM141" s="360">
        <f t="shared" si="5"/>
        <v>55716.44</v>
      </c>
      <c r="AN141" s="362">
        <f>ERP_26[[#This Row],[2026 Working Total]]-ERP_26[[#This Row],[LE2 Final Submission]]</f>
        <v>0</v>
      </c>
      <c r="AO141" s="79">
        <v>0</v>
      </c>
      <c r="AP141" s="79">
        <f t="shared" si="6"/>
        <v>0</v>
      </c>
      <c r="AQ141" s="374">
        <f>SUM(ERP_26[[#This Row],[AP01]:[AP06]])-SUM(ERP_26[[#This Row],[AP01 LE2]:[AP06 LE2]])</f>
        <v>0</v>
      </c>
      <c r="AR141" s="80"/>
      <c r="AS141" s="79">
        <f>ERP_26[[#This Row],[2026 Working Total to Budget/LE]]-ERP_26[[#This Row],[Giveback]]</f>
        <v>0</v>
      </c>
      <c r="AT141" s="81"/>
      <c r="AU141" s="375"/>
      <c r="AV141" s="375">
        <v>55716.44</v>
      </c>
      <c r="AW141" s="375">
        <v>0</v>
      </c>
      <c r="AX141" s="375">
        <v>0</v>
      </c>
      <c r="AY141" s="375">
        <v>0</v>
      </c>
      <c r="AZ141" s="375">
        <v>0</v>
      </c>
      <c r="BA141" s="375">
        <v>0</v>
      </c>
      <c r="BB141" s="375">
        <v>0</v>
      </c>
      <c r="BC141" s="375">
        <v>0</v>
      </c>
      <c r="BD141" s="375">
        <v>0</v>
      </c>
      <c r="BE141" s="375">
        <v>0</v>
      </c>
      <c r="BF141" s="375">
        <v>0</v>
      </c>
      <c r="BG141" s="375">
        <v>55716.44</v>
      </c>
      <c r="BH141" s="79"/>
      <c r="BI141" s="79">
        <v>55716.44</v>
      </c>
      <c r="BJ141" s="79">
        <v>0</v>
      </c>
      <c r="BK141" s="79">
        <v>0</v>
      </c>
      <c r="BL141" s="79">
        <v>0</v>
      </c>
      <c r="BM141" s="79">
        <v>0</v>
      </c>
      <c r="BN141" s="79">
        <v>0</v>
      </c>
      <c r="BO141" s="79">
        <v>0</v>
      </c>
      <c r="BP141" s="79">
        <v>0</v>
      </c>
      <c r="BQ141" s="79">
        <v>0</v>
      </c>
      <c r="BR141" s="79">
        <v>0</v>
      </c>
      <c r="BS141" s="79">
        <v>0</v>
      </c>
      <c r="BT141" s="79">
        <v>55716.44</v>
      </c>
    </row>
    <row r="142" spans="1:72" ht="15" customHeight="1">
      <c r="A142" s="66" t="s">
        <v>2337</v>
      </c>
      <c r="B142" s="66"/>
      <c r="C142" s="66" t="s">
        <v>702</v>
      </c>
      <c r="D142" s="66" t="s">
        <v>702</v>
      </c>
      <c r="E142" s="150" t="s">
        <v>1136</v>
      </c>
      <c r="F142" s="482" t="s">
        <v>1566</v>
      </c>
      <c r="G142" s="150" t="s">
        <v>1135</v>
      </c>
      <c r="H142" s="150" t="s">
        <v>1135</v>
      </c>
      <c r="I142" s="150" t="s">
        <v>1135</v>
      </c>
      <c r="J142" s="150" t="s">
        <v>1135</v>
      </c>
      <c r="K142" s="150" t="s">
        <v>1137</v>
      </c>
      <c r="L142" s="511" t="s">
        <v>639</v>
      </c>
      <c r="M142" s="392" t="s">
        <v>2338</v>
      </c>
      <c r="N142" s="343" t="s">
        <v>1231</v>
      </c>
      <c r="O142" s="346" t="s">
        <v>1171</v>
      </c>
      <c r="P142" s="70" t="s">
        <v>703</v>
      </c>
      <c r="Q142" s="346"/>
      <c r="R142" s="346" t="s">
        <v>2339</v>
      </c>
      <c r="S142" s="346"/>
      <c r="T142" s="150" t="s">
        <v>704</v>
      </c>
      <c r="U142" s="150" t="s">
        <v>2340</v>
      </c>
      <c r="V142" s="403"/>
      <c r="W142" s="406">
        <v>3581394.5999999992</v>
      </c>
      <c r="X142" s="406">
        <v>3026808.87</v>
      </c>
      <c r="Y142" s="430"/>
      <c r="Z142" s="137"/>
      <c r="AA142" s="426">
        <v>3026811.49</v>
      </c>
      <c r="AB142" s="427">
        <v>-3073725.16</v>
      </c>
      <c r="AC142" s="427">
        <v>803616.54</v>
      </c>
      <c r="AD142" s="428">
        <v>0</v>
      </c>
      <c r="AE142" s="429">
        <v>1470681.36</v>
      </c>
      <c r="AF142" s="429">
        <v>735340.67999999993</v>
      </c>
      <c r="AG142" s="363">
        <f>252234-252234</f>
        <v>0</v>
      </c>
      <c r="AH142" s="363">
        <f>252234+252234</f>
        <v>504468</v>
      </c>
      <c r="AI142" s="363">
        <v>252234</v>
      </c>
      <c r="AJ142" s="363">
        <f>252234-252234</f>
        <v>0</v>
      </c>
      <c r="AK142" s="363">
        <f>252234+252234</f>
        <v>504468</v>
      </c>
      <c r="AL142" s="363">
        <v>252234</v>
      </c>
      <c r="AM142" s="360">
        <f t="shared" si="5"/>
        <v>4476128.91</v>
      </c>
      <c r="AN142" s="362">
        <f>ERP_26[[#This Row],[2026 Working Total]]-ERP_26[[#This Row],[LE2 Final Submission]]</f>
        <v>1449320.04</v>
      </c>
      <c r="AO142" s="79">
        <v>504468</v>
      </c>
      <c r="AP142" s="79">
        <f t="shared" si="6"/>
        <v>230872.67999999993</v>
      </c>
      <c r="AQ142" s="374">
        <f>SUM(ERP_26[[#This Row],[AP01]:[AP06]])-SUM(ERP_26[[#This Row],[AP01 LE2]:[AP06 LE2]])</f>
        <v>1449320.04</v>
      </c>
      <c r="AR142" s="80"/>
      <c r="AS142" s="79">
        <f>ERP_26[[#This Row],[2026 Working Total to Budget/LE]]-ERP_26[[#This Row],[Giveback]]</f>
        <v>1449320.04</v>
      </c>
      <c r="AT142" s="81"/>
      <c r="AU142" s="375">
        <v>3026811.49</v>
      </c>
      <c r="AV142" s="375">
        <v>-3073725.16</v>
      </c>
      <c r="AW142" s="375">
        <v>803616.54</v>
      </c>
      <c r="AX142" s="375">
        <v>0</v>
      </c>
      <c r="AY142" s="375">
        <v>504468</v>
      </c>
      <c r="AZ142" s="375">
        <v>252234</v>
      </c>
      <c r="BA142" s="375">
        <v>0</v>
      </c>
      <c r="BB142" s="375">
        <v>504468</v>
      </c>
      <c r="BC142" s="375">
        <v>252234</v>
      </c>
      <c r="BD142" s="375">
        <v>0</v>
      </c>
      <c r="BE142" s="375">
        <v>504468</v>
      </c>
      <c r="BF142" s="375">
        <v>252234</v>
      </c>
      <c r="BG142" s="375">
        <v>3026808.87</v>
      </c>
      <c r="BH142" s="79">
        <v>3026811.49</v>
      </c>
      <c r="BI142" s="79">
        <v>-3073725.16</v>
      </c>
      <c r="BJ142" s="79">
        <v>803616.54</v>
      </c>
      <c r="BK142" s="79">
        <v>252234</v>
      </c>
      <c r="BL142" s="79">
        <v>252234</v>
      </c>
      <c r="BM142" s="79">
        <v>252234</v>
      </c>
      <c r="BN142" s="79">
        <v>252234</v>
      </c>
      <c r="BO142" s="79">
        <v>252234</v>
      </c>
      <c r="BP142" s="79">
        <v>252234</v>
      </c>
      <c r="BQ142" s="79">
        <v>252234</v>
      </c>
      <c r="BR142" s="79">
        <v>252234</v>
      </c>
      <c r="BS142" s="79">
        <v>252234</v>
      </c>
      <c r="BT142" s="79">
        <v>3026808.87</v>
      </c>
    </row>
    <row r="143" spans="1:72" ht="15" customHeight="1">
      <c r="A143" s="79" t="s">
        <v>2341</v>
      </c>
      <c r="B143" s="79"/>
      <c r="C143" s="79" t="s">
        <v>705</v>
      </c>
      <c r="D143" s="296" t="s">
        <v>705</v>
      </c>
      <c r="E143" s="150" t="s">
        <v>1136</v>
      </c>
      <c r="F143" s="482" t="s">
        <v>1566</v>
      </c>
      <c r="G143" s="150" t="s">
        <v>1135</v>
      </c>
      <c r="H143" s="150" t="s">
        <v>1135</v>
      </c>
      <c r="I143" s="332" t="s">
        <v>1135</v>
      </c>
      <c r="J143" s="383" t="s">
        <v>1135</v>
      </c>
      <c r="K143" s="331" t="s">
        <v>1137</v>
      </c>
      <c r="L143" s="512" t="s">
        <v>639</v>
      </c>
      <c r="M143" s="393" t="s">
        <v>2342</v>
      </c>
      <c r="N143" s="343" t="s">
        <v>2343</v>
      </c>
      <c r="O143" s="150" t="s">
        <v>1171</v>
      </c>
      <c r="P143" s="91" t="s">
        <v>706</v>
      </c>
      <c r="Q143" s="343"/>
      <c r="R143" s="346" t="s">
        <v>2339</v>
      </c>
      <c r="S143" s="346" t="s">
        <v>1710</v>
      </c>
      <c r="T143" s="386" t="s">
        <v>707</v>
      </c>
      <c r="U143" s="387" t="s">
        <v>2344</v>
      </c>
      <c r="V143" s="437"/>
      <c r="W143" s="358">
        <v>678893.73</v>
      </c>
      <c r="X143" s="378">
        <v>0</v>
      </c>
      <c r="Y143" s="425"/>
      <c r="Z143" s="71"/>
      <c r="AA143" s="433"/>
      <c r="AB143" s="434"/>
      <c r="AC143" s="434"/>
      <c r="AD143" s="428" t="s">
        <v>1142</v>
      </c>
      <c r="AE143" s="429">
        <v>0</v>
      </c>
      <c r="AF143" s="429">
        <v>0</v>
      </c>
      <c r="AG143" s="388">
        <v>0</v>
      </c>
      <c r="AH143" s="388">
        <v>0</v>
      </c>
      <c r="AI143" s="388">
        <v>0</v>
      </c>
      <c r="AJ143" s="388">
        <v>0</v>
      </c>
      <c r="AK143" s="388">
        <v>0</v>
      </c>
      <c r="AL143" s="388">
        <v>0</v>
      </c>
      <c r="AM143" s="360">
        <f t="shared" si="5"/>
        <v>0</v>
      </c>
      <c r="AN143" s="362">
        <f>ERP_26[[#This Row],[2026 Working Total]]-ERP_26[[#This Row],[LE2 Final Submission]]</f>
        <v>0</v>
      </c>
      <c r="AO143" s="79">
        <v>0</v>
      </c>
      <c r="AP143" s="79">
        <f t="shared" si="6"/>
        <v>0</v>
      </c>
      <c r="AQ143" s="374">
        <f>SUM(ERP_26[[#This Row],[AP01]:[AP06]])-SUM(ERP_26[[#This Row],[AP01 LE2]:[AP06 LE2]])</f>
        <v>0</v>
      </c>
      <c r="AR143" s="80"/>
      <c r="AS143" s="79">
        <f>ERP_26[[#This Row],[2026 Working Total to Budget/LE]]-ERP_26[[#This Row],[Giveback]]</f>
        <v>0</v>
      </c>
      <c r="AT143" s="81"/>
      <c r="AU143" s="375"/>
      <c r="AV143" s="375"/>
      <c r="AW143" s="375"/>
      <c r="AX143" s="375">
        <v>0</v>
      </c>
      <c r="AY143" s="375">
        <v>0</v>
      </c>
      <c r="AZ143" s="375">
        <v>0</v>
      </c>
      <c r="BA143" s="375">
        <v>0</v>
      </c>
      <c r="BB143" s="375">
        <v>0</v>
      </c>
      <c r="BC143" s="375">
        <v>0</v>
      </c>
      <c r="BD143" s="375">
        <v>0</v>
      </c>
      <c r="BE143" s="375">
        <v>0</v>
      </c>
      <c r="BF143" s="375">
        <v>0</v>
      </c>
      <c r="BG143" s="375">
        <v>0</v>
      </c>
      <c r="BH143" s="103">
        <v>678893.73</v>
      </c>
      <c r="BI143" s="103">
        <v>0</v>
      </c>
      <c r="BJ143" s="103">
        <v>0</v>
      </c>
      <c r="BK143" s="103">
        <v>0</v>
      </c>
      <c r="BL143" s="103">
        <v>0</v>
      </c>
      <c r="BM143" s="103">
        <v>0</v>
      </c>
      <c r="BN143" s="103">
        <v>0</v>
      </c>
      <c r="BO143" s="103">
        <v>0</v>
      </c>
      <c r="BP143" s="103">
        <v>0</v>
      </c>
      <c r="BQ143" s="103">
        <v>0</v>
      </c>
      <c r="BR143" s="103">
        <v>0</v>
      </c>
      <c r="BS143" s="103">
        <v>0</v>
      </c>
      <c r="BT143" s="79">
        <f>SUM(ERP_26[[#This Row],[2026 AP01]:[2026 AP12]])</f>
        <v>678893.73</v>
      </c>
    </row>
    <row r="144" spans="1:72" ht="15" customHeight="1">
      <c r="A144" s="79" t="s">
        <v>2345</v>
      </c>
      <c r="B144" s="79"/>
      <c r="C144" s="79" t="s">
        <v>708</v>
      </c>
      <c r="D144" s="296" t="s">
        <v>708</v>
      </c>
      <c r="E144" s="150" t="s">
        <v>1136</v>
      </c>
      <c r="F144" s="482" t="s">
        <v>1566</v>
      </c>
      <c r="G144" s="150" t="s">
        <v>1135</v>
      </c>
      <c r="H144" s="150" t="s">
        <v>1135</v>
      </c>
      <c r="I144" s="332" t="s">
        <v>1135</v>
      </c>
      <c r="J144" s="383" t="s">
        <v>1135</v>
      </c>
      <c r="K144" s="331" t="s">
        <v>1137</v>
      </c>
      <c r="L144" s="512" t="s">
        <v>639</v>
      </c>
      <c r="M144" s="393" t="s">
        <v>2346</v>
      </c>
      <c r="N144" s="343" t="s">
        <v>2343</v>
      </c>
      <c r="O144" s="150" t="s">
        <v>1171</v>
      </c>
      <c r="P144" s="91" t="s">
        <v>709</v>
      </c>
      <c r="Q144" s="343"/>
      <c r="R144" s="346" t="s">
        <v>2339</v>
      </c>
      <c r="S144" s="346" t="s">
        <v>1710</v>
      </c>
      <c r="T144" s="386" t="s">
        <v>707</v>
      </c>
      <c r="U144" s="346" t="s">
        <v>1348</v>
      </c>
      <c r="V144" s="437"/>
      <c r="W144" s="358">
        <v>-678893.73</v>
      </c>
      <c r="X144" s="378">
        <v>0</v>
      </c>
      <c r="Y144" s="425"/>
      <c r="Z144" s="71"/>
      <c r="AA144" s="433"/>
      <c r="AB144" s="434"/>
      <c r="AC144" s="434"/>
      <c r="AD144" s="428" t="s">
        <v>1142</v>
      </c>
      <c r="AE144" s="429">
        <v>0</v>
      </c>
      <c r="AF144" s="429">
        <v>0</v>
      </c>
      <c r="AG144" s="388">
        <v>0</v>
      </c>
      <c r="AH144" s="388">
        <v>0</v>
      </c>
      <c r="AI144" s="388">
        <v>0</v>
      </c>
      <c r="AJ144" s="388">
        <v>0</v>
      </c>
      <c r="AK144" s="388">
        <v>0</v>
      </c>
      <c r="AL144" s="388">
        <v>0</v>
      </c>
      <c r="AM144" s="360">
        <f t="shared" si="5"/>
        <v>0</v>
      </c>
      <c r="AN144" s="362">
        <f>ERP_26[[#This Row],[2026 Working Total]]-ERP_26[[#This Row],[LE2 Final Submission]]</f>
        <v>0</v>
      </c>
      <c r="AO144" s="79">
        <v>0</v>
      </c>
      <c r="AP144" s="79">
        <f t="shared" si="6"/>
        <v>0</v>
      </c>
      <c r="AQ144" s="374">
        <f>SUM(ERP_26[[#This Row],[AP01]:[AP06]])-SUM(ERP_26[[#This Row],[AP01 LE2]:[AP06 LE2]])</f>
        <v>0</v>
      </c>
      <c r="AR144" s="80"/>
      <c r="AS144" s="79">
        <f>ERP_26[[#This Row],[2026 Working Total to Budget/LE]]-ERP_26[[#This Row],[Giveback]]</f>
        <v>0</v>
      </c>
      <c r="AT144" s="81"/>
      <c r="AU144" s="375"/>
      <c r="AV144" s="375"/>
      <c r="AW144" s="375"/>
      <c r="AX144" s="375">
        <v>0</v>
      </c>
      <c r="AY144" s="375">
        <v>0</v>
      </c>
      <c r="AZ144" s="375">
        <v>0</v>
      </c>
      <c r="BA144" s="375">
        <v>0</v>
      </c>
      <c r="BB144" s="375">
        <v>0</v>
      </c>
      <c r="BC144" s="375">
        <v>0</v>
      </c>
      <c r="BD144" s="375">
        <v>0</v>
      </c>
      <c r="BE144" s="375">
        <v>0</v>
      </c>
      <c r="BF144" s="375">
        <v>0</v>
      </c>
      <c r="BG144" s="375">
        <v>0</v>
      </c>
      <c r="BH144" s="103">
        <v>-678893.73</v>
      </c>
      <c r="BI144" s="103">
        <v>0</v>
      </c>
      <c r="BJ144" s="103">
        <v>0</v>
      </c>
      <c r="BK144" s="103">
        <v>0</v>
      </c>
      <c r="BL144" s="103">
        <v>0</v>
      </c>
      <c r="BM144" s="103">
        <v>0</v>
      </c>
      <c r="BN144" s="103">
        <v>0</v>
      </c>
      <c r="BO144" s="103">
        <v>0</v>
      </c>
      <c r="BP144" s="103">
        <v>0</v>
      </c>
      <c r="BQ144" s="103">
        <v>0</v>
      </c>
      <c r="BR144" s="103">
        <v>0</v>
      </c>
      <c r="BS144" s="103">
        <v>0</v>
      </c>
      <c r="BT144" s="79">
        <f>SUM(ERP_26[[#This Row],[2026 AP01]:[2026 AP12]])</f>
        <v>-678893.73</v>
      </c>
    </row>
    <row r="145" spans="1:72" ht="15" customHeight="1">
      <c r="A145" s="79" t="s">
        <v>2347</v>
      </c>
      <c r="B145" s="79"/>
      <c r="C145" s="79" t="s">
        <v>710</v>
      </c>
      <c r="D145" s="296" t="s">
        <v>710</v>
      </c>
      <c r="E145" s="150" t="s">
        <v>1136</v>
      </c>
      <c r="F145" s="482" t="s">
        <v>1566</v>
      </c>
      <c r="G145" s="150" t="s">
        <v>1135</v>
      </c>
      <c r="H145" s="150" t="s">
        <v>1135</v>
      </c>
      <c r="I145" s="332" t="s">
        <v>1135</v>
      </c>
      <c r="J145" s="383" t="s">
        <v>1135</v>
      </c>
      <c r="K145" s="331" t="s">
        <v>1137</v>
      </c>
      <c r="L145" s="512" t="s">
        <v>639</v>
      </c>
      <c r="M145" s="393" t="s">
        <v>2348</v>
      </c>
      <c r="N145" s="343" t="s">
        <v>2343</v>
      </c>
      <c r="O145" s="150" t="s">
        <v>1171</v>
      </c>
      <c r="P145" s="91" t="s">
        <v>711</v>
      </c>
      <c r="Q145" s="343"/>
      <c r="R145" s="346" t="s">
        <v>2339</v>
      </c>
      <c r="S145" s="346" t="s">
        <v>1710</v>
      </c>
      <c r="T145" s="386" t="s">
        <v>707</v>
      </c>
      <c r="U145" s="346" t="s">
        <v>1348</v>
      </c>
      <c r="V145" s="437"/>
      <c r="W145" s="358">
        <v>4128.4799999999996</v>
      </c>
      <c r="X145" s="378">
        <v>0</v>
      </c>
      <c r="Y145" s="430"/>
      <c r="Z145" s="137"/>
      <c r="AA145" s="433"/>
      <c r="AB145" s="434"/>
      <c r="AC145" s="434"/>
      <c r="AD145" s="428" t="s">
        <v>1142</v>
      </c>
      <c r="AE145" s="429">
        <v>0</v>
      </c>
      <c r="AF145" s="429">
        <v>0</v>
      </c>
      <c r="AG145" s="388">
        <v>0</v>
      </c>
      <c r="AH145" s="388">
        <v>0</v>
      </c>
      <c r="AI145" s="388">
        <v>0</v>
      </c>
      <c r="AJ145" s="388">
        <v>0</v>
      </c>
      <c r="AK145" s="388">
        <v>0</v>
      </c>
      <c r="AL145" s="388">
        <v>0</v>
      </c>
      <c r="AM145" s="360">
        <f t="shared" si="5"/>
        <v>0</v>
      </c>
      <c r="AN145" s="362">
        <f>ERP_26[[#This Row],[2026 Working Total]]-ERP_26[[#This Row],[LE2 Final Submission]]</f>
        <v>0</v>
      </c>
      <c r="AO145" s="79">
        <v>0</v>
      </c>
      <c r="AP145" s="79">
        <f t="shared" si="6"/>
        <v>0</v>
      </c>
      <c r="AQ145" s="374">
        <f>SUM(ERP_26[[#This Row],[AP01]:[AP06]])-SUM(ERP_26[[#This Row],[AP01 LE2]:[AP06 LE2]])</f>
        <v>0</v>
      </c>
      <c r="AR145" s="80"/>
      <c r="AS145" s="79">
        <f>ERP_26[[#This Row],[2026 Working Total to Budget/LE]]-ERP_26[[#This Row],[Giveback]]</f>
        <v>0</v>
      </c>
      <c r="AT145" s="81"/>
      <c r="AU145" s="375"/>
      <c r="AV145" s="375"/>
      <c r="AW145" s="375"/>
      <c r="AX145" s="375">
        <v>0</v>
      </c>
      <c r="AY145" s="375">
        <v>0</v>
      </c>
      <c r="AZ145" s="375">
        <v>0</v>
      </c>
      <c r="BA145" s="375">
        <v>0</v>
      </c>
      <c r="BB145" s="375">
        <v>0</v>
      </c>
      <c r="BC145" s="375">
        <v>0</v>
      </c>
      <c r="BD145" s="375">
        <v>0</v>
      </c>
      <c r="BE145" s="375">
        <v>0</v>
      </c>
      <c r="BF145" s="375">
        <v>0</v>
      </c>
      <c r="BG145" s="375">
        <v>0</v>
      </c>
      <c r="BH145" s="103">
        <v>4128.4799999999996</v>
      </c>
      <c r="BI145" s="103">
        <v>0</v>
      </c>
      <c r="BJ145" s="103">
        <v>0</v>
      </c>
      <c r="BK145" s="103">
        <v>0</v>
      </c>
      <c r="BL145" s="103">
        <v>0</v>
      </c>
      <c r="BM145" s="103">
        <v>0</v>
      </c>
      <c r="BN145" s="103">
        <v>0</v>
      </c>
      <c r="BO145" s="103">
        <v>0</v>
      </c>
      <c r="BP145" s="103">
        <v>0</v>
      </c>
      <c r="BQ145" s="103">
        <v>0</v>
      </c>
      <c r="BR145" s="103">
        <v>0</v>
      </c>
      <c r="BS145" s="103">
        <v>0</v>
      </c>
      <c r="BT145" s="79">
        <f>SUM(ERP_26[[#This Row],[2026 AP01]:[2026 AP12]])</f>
        <v>4128.4799999999996</v>
      </c>
    </row>
    <row r="146" spans="1:72" ht="15" customHeight="1">
      <c r="A146" s="79" t="s">
        <v>2349</v>
      </c>
      <c r="B146" s="79"/>
      <c r="C146" s="79" t="s">
        <v>712</v>
      </c>
      <c r="D146" s="296" t="s">
        <v>712</v>
      </c>
      <c r="E146" s="150" t="s">
        <v>1136</v>
      </c>
      <c r="F146" s="482" t="s">
        <v>1566</v>
      </c>
      <c r="G146" s="150" t="s">
        <v>1135</v>
      </c>
      <c r="H146" s="150" t="s">
        <v>1135</v>
      </c>
      <c r="I146" s="332" t="s">
        <v>1135</v>
      </c>
      <c r="J146" s="383" t="s">
        <v>1135</v>
      </c>
      <c r="K146" s="331" t="s">
        <v>1137</v>
      </c>
      <c r="L146" s="512" t="s">
        <v>639</v>
      </c>
      <c r="M146" s="393" t="s">
        <v>2350</v>
      </c>
      <c r="N146" s="343" t="s">
        <v>2343</v>
      </c>
      <c r="O146" s="150" t="s">
        <v>1171</v>
      </c>
      <c r="P146" s="91" t="s">
        <v>713</v>
      </c>
      <c r="Q146" s="343"/>
      <c r="R146" s="346" t="s">
        <v>2339</v>
      </c>
      <c r="S146" s="346" t="s">
        <v>1710</v>
      </c>
      <c r="T146" s="386" t="s">
        <v>707</v>
      </c>
      <c r="U146" s="346" t="s">
        <v>1348</v>
      </c>
      <c r="V146" s="437"/>
      <c r="W146" s="358">
        <v>-4128.4799999999996</v>
      </c>
      <c r="X146" s="378">
        <v>0</v>
      </c>
      <c r="Y146" s="425"/>
      <c r="Z146" s="71"/>
      <c r="AA146" s="433"/>
      <c r="AB146" s="434"/>
      <c r="AC146" s="434"/>
      <c r="AD146" s="428" t="s">
        <v>1142</v>
      </c>
      <c r="AE146" s="429">
        <v>0</v>
      </c>
      <c r="AF146" s="429">
        <v>0</v>
      </c>
      <c r="AG146" s="388">
        <v>0</v>
      </c>
      <c r="AH146" s="388">
        <v>0</v>
      </c>
      <c r="AI146" s="388">
        <v>0</v>
      </c>
      <c r="AJ146" s="388">
        <v>0</v>
      </c>
      <c r="AK146" s="388">
        <v>0</v>
      </c>
      <c r="AL146" s="388">
        <v>0</v>
      </c>
      <c r="AM146" s="360">
        <f t="shared" si="5"/>
        <v>0</v>
      </c>
      <c r="AN146" s="362">
        <f>ERP_26[[#This Row],[2026 Working Total]]-ERP_26[[#This Row],[LE2 Final Submission]]</f>
        <v>0</v>
      </c>
      <c r="AO146" s="79">
        <v>0</v>
      </c>
      <c r="AP146" s="79">
        <f t="shared" si="6"/>
        <v>0</v>
      </c>
      <c r="AQ146" s="374">
        <f>SUM(ERP_26[[#This Row],[AP01]:[AP06]])-SUM(ERP_26[[#This Row],[AP01 LE2]:[AP06 LE2]])</f>
        <v>0</v>
      </c>
      <c r="AR146" s="80"/>
      <c r="AS146" s="79">
        <f>ERP_26[[#This Row],[2026 Working Total to Budget/LE]]-ERP_26[[#This Row],[Giveback]]</f>
        <v>0</v>
      </c>
      <c r="AT146" s="81"/>
      <c r="AU146" s="375"/>
      <c r="AV146" s="375"/>
      <c r="AW146" s="375"/>
      <c r="AX146" s="375">
        <v>0</v>
      </c>
      <c r="AY146" s="375">
        <v>0</v>
      </c>
      <c r="AZ146" s="375">
        <v>0</v>
      </c>
      <c r="BA146" s="375">
        <v>0</v>
      </c>
      <c r="BB146" s="375">
        <v>0</v>
      </c>
      <c r="BC146" s="375">
        <v>0</v>
      </c>
      <c r="BD146" s="375">
        <v>0</v>
      </c>
      <c r="BE146" s="375">
        <v>0</v>
      </c>
      <c r="BF146" s="375">
        <v>0</v>
      </c>
      <c r="BG146" s="375">
        <v>0</v>
      </c>
      <c r="BH146" s="103">
        <v>-4128.4799999999996</v>
      </c>
      <c r="BI146" s="103">
        <v>0</v>
      </c>
      <c r="BJ146" s="103">
        <v>0</v>
      </c>
      <c r="BK146" s="103">
        <v>0</v>
      </c>
      <c r="BL146" s="103">
        <v>0</v>
      </c>
      <c r="BM146" s="103">
        <v>0</v>
      </c>
      <c r="BN146" s="103">
        <v>0</v>
      </c>
      <c r="BO146" s="103">
        <v>0</v>
      </c>
      <c r="BP146" s="103">
        <v>0</v>
      </c>
      <c r="BQ146" s="103">
        <v>0</v>
      </c>
      <c r="BR146" s="103">
        <v>0</v>
      </c>
      <c r="BS146" s="103">
        <v>0</v>
      </c>
      <c r="BT146" s="79">
        <f>SUM(ERP_26[[#This Row],[2026 AP01]:[2026 AP12]])</f>
        <v>-4128.4799999999996</v>
      </c>
    </row>
    <row r="147" spans="1:72" ht="15" customHeight="1">
      <c r="A147" s="79" t="s">
        <v>2351</v>
      </c>
      <c r="B147" s="79"/>
      <c r="C147" s="79" t="s">
        <v>714</v>
      </c>
      <c r="D147" s="296" t="s">
        <v>714</v>
      </c>
      <c r="E147" s="150" t="s">
        <v>1136</v>
      </c>
      <c r="F147" s="482" t="s">
        <v>1566</v>
      </c>
      <c r="G147" s="150" t="s">
        <v>1135</v>
      </c>
      <c r="H147" s="150" t="s">
        <v>1135</v>
      </c>
      <c r="I147" s="332" t="s">
        <v>1135</v>
      </c>
      <c r="J147" s="383" t="s">
        <v>1135</v>
      </c>
      <c r="K147" s="331" t="s">
        <v>1137</v>
      </c>
      <c r="L147" s="512" t="s">
        <v>639</v>
      </c>
      <c r="M147" s="393" t="s">
        <v>2352</v>
      </c>
      <c r="N147" s="343" t="s">
        <v>2343</v>
      </c>
      <c r="O147" s="150" t="s">
        <v>1171</v>
      </c>
      <c r="P147" s="91" t="s">
        <v>715</v>
      </c>
      <c r="Q147" s="343"/>
      <c r="R147" s="346" t="s">
        <v>2339</v>
      </c>
      <c r="S147" s="346" t="s">
        <v>1710</v>
      </c>
      <c r="T147" s="386" t="s">
        <v>707</v>
      </c>
      <c r="U147" s="346" t="s">
        <v>1348</v>
      </c>
      <c r="V147" s="437"/>
      <c r="W147" s="358">
        <v>37248.410000000003</v>
      </c>
      <c r="X147" s="378">
        <v>0</v>
      </c>
      <c r="Y147" s="425"/>
      <c r="Z147" s="71"/>
      <c r="AA147" s="433"/>
      <c r="AB147" s="434"/>
      <c r="AC147" s="434"/>
      <c r="AD147" s="428" t="s">
        <v>1142</v>
      </c>
      <c r="AE147" s="429">
        <v>0</v>
      </c>
      <c r="AF147" s="429">
        <v>0</v>
      </c>
      <c r="AG147" s="388">
        <v>0</v>
      </c>
      <c r="AH147" s="388">
        <v>0</v>
      </c>
      <c r="AI147" s="388">
        <v>0</v>
      </c>
      <c r="AJ147" s="388">
        <v>0</v>
      </c>
      <c r="AK147" s="388">
        <v>0</v>
      </c>
      <c r="AL147" s="388">
        <v>0</v>
      </c>
      <c r="AM147" s="360">
        <f t="shared" si="5"/>
        <v>0</v>
      </c>
      <c r="AN147" s="362">
        <f>ERP_26[[#This Row],[2026 Working Total]]-ERP_26[[#This Row],[LE2 Final Submission]]</f>
        <v>0</v>
      </c>
      <c r="AO147" s="79">
        <v>0</v>
      </c>
      <c r="AP147" s="79">
        <f t="shared" si="6"/>
        <v>0</v>
      </c>
      <c r="AQ147" s="374">
        <f>SUM(ERP_26[[#This Row],[AP01]:[AP06]])-SUM(ERP_26[[#This Row],[AP01 LE2]:[AP06 LE2]])</f>
        <v>0</v>
      </c>
      <c r="AR147" s="80"/>
      <c r="AS147" s="79">
        <f>ERP_26[[#This Row],[2026 Working Total to Budget/LE]]-ERP_26[[#This Row],[Giveback]]</f>
        <v>0</v>
      </c>
      <c r="AT147" s="81"/>
      <c r="AU147" s="375"/>
      <c r="AV147" s="375"/>
      <c r="AW147" s="375"/>
      <c r="AX147" s="375">
        <v>0</v>
      </c>
      <c r="AY147" s="375">
        <v>0</v>
      </c>
      <c r="AZ147" s="375">
        <v>0</v>
      </c>
      <c r="BA147" s="375">
        <v>0</v>
      </c>
      <c r="BB147" s="375">
        <v>0</v>
      </c>
      <c r="BC147" s="375">
        <v>0</v>
      </c>
      <c r="BD147" s="375">
        <v>0</v>
      </c>
      <c r="BE147" s="375">
        <v>0</v>
      </c>
      <c r="BF147" s="375">
        <v>0</v>
      </c>
      <c r="BG147" s="375">
        <v>0</v>
      </c>
      <c r="BH147" s="103">
        <v>37248.410000000003</v>
      </c>
      <c r="BI147" s="103">
        <v>0</v>
      </c>
      <c r="BJ147" s="103">
        <v>0</v>
      </c>
      <c r="BK147" s="103">
        <v>0</v>
      </c>
      <c r="BL147" s="103">
        <v>0</v>
      </c>
      <c r="BM147" s="103">
        <v>0</v>
      </c>
      <c r="BN147" s="103">
        <v>0</v>
      </c>
      <c r="BO147" s="103">
        <v>0</v>
      </c>
      <c r="BP147" s="103">
        <v>0</v>
      </c>
      <c r="BQ147" s="103">
        <v>0</v>
      </c>
      <c r="BR147" s="103">
        <v>0</v>
      </c>
      <c r="BS147" s="103">
        <v>0</v>
      </c>
      <c r="BT147" s="79">
        <f>SUM(ERP_26[[#This Row],[2026 AP01]:[2026 AP12]])</f>
        <v>37248.410000000003</v>
      </c>
    </row>
    <row r="148" spans="1:72" ht="15" customHeight="1">
      <c r="A148" s="79" t="s">
        <v>2353</v>
      </c>
      <c r="B148" s="79"/>
      <c r="C148" s="79" t="s">
        <v>716</v>
      </c>
      <c r="D148" s="296" t="s">
        <v>716</v>
      </c>
      <c r="E148" s="150" t="s">
        <v>1136</v>
      </c>
      <c r="F148" s="482" t="s">
        <v>1566</v>
      </c>
      <c r="G148" s="150" t="s">
        <v>1135</v>
      </c>
      <c r="H148" s="150" t="s">
        <v>1135</v>
      </c>
      <c r="I148" s="332" t="s">
        <v>1135</v>
      </c>
      <c r="J148" s="383" t="s">
        <v>1135</v>
      </c>
      <c r="K148" s="331" t="s">
        <v>1137</v>
      </c>
      <c r="L148" s="512" t="s">
        <v>639</v>
      </c>
      <c r="M148" s="393" t="s">
        <v>2354</v>
      </c>
      <c r="N148" s="343" t="s">
        <v>2343</v>
      </c>
      <c r="O148" s="150" t="s">
        <v>1171</v>
      </c>
      <c r="P148" s="91" t="s">
        <v>717</v>
      </c>
      <c r="Q148" s="343"/>
      <c r="R148" s="346" t="s">
        <v>2339</v>
      </c>
      <c r="S148" s="346" t="s">
        <v>1710</v>
      </c>
      <c r="T148" s="386" t="s">
        <v>707</v>
      </c>
      <c r="U148" s="346" t="s">
        <v>1348</v>
      </c>
      <c r="V148" s="437"/>
      <c r="W148" s="358">
        <v>-37248.410000000003</v>
      </c>
      <c r="X148" s="378">
        <v>0</v>
      </c>
      <c r="Y148" s="430"/>
      <c r="Z148" s="137"/>
      <c r="AA148" s="433"/>
      <c r="AB148" s="434"/>
      <c r="AC148" s="434"/>
      <c r="AD148" s="428" t="s">
        <v>1142</v>
      </c>
      <c r="AE148" s="429">
        <v>0</v>
      </c>
      <c r="AF148" s="429">
        <v>0</v>
      </c>
      <c r="AG148" s="388">
        <v>0</v>
      </c>
      <c r="AH148" s="388">
        <v>0</v>
      </c>
      <c r="AI148" s="388">
        <v>0</v>
      </c>
      <c r="AJ148" s="388">
        <v>0</v>
      </c>
      <c r="AK148" s="388">
        <v>0</v>
      </c>
      <c r="AL148" s="388">
        <v>0</v>
      </c>
      <c r="AM148" s="360">
        <f t="shared" si="5"/>
        <v>0</v>
      </c>
      <c r="AN148" s="362">
        <f>ERP_26[[#This Row],[2026 Working Total]]-ERP_26[[#This Row],[LE2 Final Submission]]</f>
        <v>0</v>
      </c>
      <c r="AO148" s="79">
        <v>0</v>
      </c>
      <c r="AP148" s="79">
        <f t="shared" si="6"/>
        <v>0</v>
      </c>
      <c r="AQ148" s="374">
        <f>SUM(ERP_26[[#This Row],[AP01]:[AP06]])-SUM(ERP_26[[#This Row],[AP01 LE2]:[AP06 LE2]])</f>
        <v>0</v>
      </c>
      <c r="AR148" s="80"/>
      <c r="AS148" s="79">
        <f>ERP_26[[#This Row],[2026 Working Total to Budget/LE]]-ERP_26[[#This Row],[Giveback]]</f>
        <v>0</v>
      </c>
      <c r="AT148" s="81"/>
      <c r="AU148" s="375"/>
      <c r="AV148" s="375"/>
      <c r="AW148" s="375"/>
      <c r="AX148" s="375">
        <v>0</v>
      </c>
      <c r="AY148" s="375">
        <v>0</v>
      </c>
      <c r="AZ148" s="375">
        <v>0</v>
      </c>
      <c r="BA148" s="375">
        <v>0</v>
      </c>
      <c r="BB148" s="375">
        <v>0</v>
      </c>
      <c r="BC148" s="375">
        <v>0</v>
      </c>
      <c r="BD148" s="375">
        <v>0</v>
      </c>
      <c r="BE148" s="375">
        <v>0</v>
      </c>
      <c r="BF148" s="375">
        <v>0</v>
      </c>
      <c r="BG148" s="375">
        <v>0</v>
      </c>
      <c r="BH148" s="103">
        <v>-37248.410000000003</v>
      </c>
      <c r="BI148" s="103">
        <v>0</v>
      </c>
      <c r="BJ148" s="103">
        <v>0</v>
      </c>
      <c r="BK148" s="103">
        <v>0</v>
      </c>
      <c r="BL148" s="103">
        <v>0</v>
      </c>
      <c r="BM148" s="103">
        <v>0</v>
      </c>
      <c r="BN148" s="103">
        <v>0</v>
      </c>
      <c r="BO148" s="103">
        <v>0</v>
      </c>
      <c r="BP148" s="103">
        <v>0</v>
      </c>
      <c r="BQ148" s="103">
        <v>0</v>
      </c>
      <c r="BR148" s="103">
        <v>0</v>
      </c>
      <c r="BS148" s="103">
        <v>0</v>
      </c>
      <c r="BT148" s="79">
        <f>SUM(ERP_26[[#This Row],[2026 AP01]:[2026 AP12]])</f>
        <v>-37248.410000000003</v>
      </c>
    </row>
    <row r="149" spans="1:72" ht="15" customHeight="1">
      <c r="A149" s="79" t="s">
        <v>2355</v>
      </c>
      <c r="B149" s="79"/>
      <c r="C149" s="79" t="s">
        <v>718</v>
      </c>
      <c r="D149" s="296" t="s">
        <v>718</v>
      </c>
      <c r="E149" s="150" t="s">
        <v>1136</v>
      </c>
      <c r="F149" s="482" t="s">
        <v>1566</v>
      </c>
      <c r="G149" s="150" t="s">
        <v>1135</v>
      </c>
      <c r="H149" s="150" t="s">
        <v>1135</v>
      </c>
      <c r="I149" s="332" t="s">
        <v>1135</v>
      </c>
      <c r="J149" s="383" t="s">
        <v>1135</v>
      </c>
      <c r="K149" s="331" t="s">
        <v>1137</v>
      </c>
      <c r="L149" s="512" t="s">
        <v>639</v>
      </c>
      <c r="M149" s="393" t="s">
        <v>2356</v>
      </c>
      <c r="N149" s="343" t="s">
        <v>2343</v>
      </c>
      <c r="O149" s="150" t="s">
        <v>1171</v>
      </c>
      <c r="P149" s="91" t="s">
        <v>719</v>
      </c>
      <c r="Q149" s="343"/>
      <c r="R149" s="346" t="s">
        <v>2339</v>
      </c>
      <c r="S149" s="346" t="s">
        <v>1710</v>
      </c>
      <c r="T149" s="386" t="s">
        <v>707</v>
      </c>
      <c r="U149" s="569" t="s">
        <v>1348</v>
      </c>
      <c r="V149" s="437"/>
      <c r="W149" s="358">
        <v>40181.519999999997</v>
      </c>
      <c r="X149" s="378">
        <v>0</v>
      </c>
      <c r="Y149" s="425"/>
      <c r="Z149" s="71"/>
      <c r="AA149" s="433"/>
      <c r="AB149" s="434"/>
      <c r="AC149" s="434"/>
      <c r="AD149" s="428" t="s">
        <v>1142</v>
      </c>
      <c r="AE149" s="429">
        <v>0</v>
      </c>
      <c r="AF149" s="429">
        <v>0</v>
      </c>
      <c r="AG149" s="388">
        <v>0</v>
      </c>
      <c r="AH149" s="388">
        <v>0</v>
      </c>
      <c r="AI149" s="388">
        <v>0</v>
      </c>
      <c r="AJ149" s="388">
        <v>0</v>
      </c>
      <c r="AK149" s="388">
        <v>0</v>
      </c>
      <c r="AL149" s="388">
        <v>0</v>
      </c>
      <c r="AM149" s="360">
        <f t="shared" si="5"/>
        <v>0</v>
      </c>
      <c r="AN149" s="362">
        <f>ERP_26[[#This Row],[2026 Working Total]]-ERP_26[[#This Row],[LE2 Final Submission]]</f>
        <v>0</v>
      </c>
      <c r="AO149" s="79">
        <v>0</v>
      </c>
      <c r="AP149" s="79">
        <f t="shared" si="6"/>
        <v>0</v>
      </c>
      <c r="AQ149" s="374">
        <f>SUM(ERP_26[[#This Row],[AP01]:[AP06]])-SUM(ERP_26[[#This Row],[AP01 LE2]:[AP06 LE2]])</f>
        <v>0</v>
      </c>
      <c r="AR149" s="80"/>
      <c r="AS149" s="79">
        <f>ERP_26[[#This Row],[2026 Working Total to Budget/LE]]-ERP_26[[#This Row],[Giveback]]</f>
        <v>0</v>
      </c>
      <c r="AT149" s="81"/>
      <c r="AU149" s="375"/>
      <c r="AV149" s="375"/>
      <c r="AW149" s="375"/>
      <c r="AX149" s="375">
        <v>0</v>
      </c>
      <c r="AY149" s="375">
        <v>0</v>
      </c>
      <c r="AZ149" s="375">
        <v>0</v>
      </c>
      <c r="BA149" s="375">
        <v>0</v>
      </c>
      <c r="BB149" s="375">
        <v>0</v>
      </c>
      <c r="BC149" s="375">
        <v>0</v>
      </c>
      <c r="BD149" s="375">
        <v>0</v>
      </c>
      <c r="BE149" s="375">
        <v>0</v>
      </c>
      <c r="BF149" s="375">
        <v>0</v>
      </c>
      <c r="BG149" s="375">
        <v>0</v>
      </c>
      <c r="BH149" s="103">
        <v>40181.519999999997</v>
      </c>
      <c r="BI149" s="103">
        <v>0</v>
      </c>
      <c r="BJ149" s="103">
        <v>0</v>
      </c>
      <c r="BK149" s="103">
        <v>0</v>
      </c>
      <c r="BL149" s="103">
        <v>0</v>
      </c>
      <c r="BM149" s="103">
        <v>0</v>
      </c>
      <c r="BN149" s="103">
        <v>0</v>
      </c>
      <c r="BO149" s="103">
        <v>0</v>
      </c>
      <c r="BP149" s="103">
        <v>0</v>
      </c>
      <c r="BQ149" s="103">
        <v>0</v>
      </c>
      <c r="BR149" s="103">
        <v>0</v>
      </c>
      <c r="BS149" s="103">
        <v>0</v>
      </c>
      <c r="BT149" s="79">
        <f>SUM(ERP_26[[#This Row],[2026 AP01]:[2026 AP12]])</f>
        <v>40181.519999999997</v>
      </c>
    </row>
    <row r="150" spans="1:72" ht="15" customHeight="1">
      <c r="A150" s="79" t="s">
        <v>2357</v>
      </c>
      <c r="B150" s="79"/>
      <c r="C150" s="79" t="s">
        <v>720</v>
      </c>
      <c r="D150" s="296" t="s">
        <v>720</v>
      </c>
      <c r="E150" s="150" t="s">
        <v>1136</v>
      </c>
      <c r="F150" s="482" t="s">
        <v>1566</v>
      </c>
      <c r="G150" s="150" t="s">
        <v>1135</v>
      </c>
      <c r="H150" s="150" t="s">
        <v>1135</v>
      </c>
      <c r="I150" s="332" t="s">
        <v>1135</v>
      </c>
      <c r="J150" s="383" t="s">
        <v>1135</v>
      </c>
      <c r="K150" s="331" t="s">
        <v>1137</v>
      </c>
      <c r="L150" s="512" t="s">
        <v>639</v>
      </c>
      <c r="M150" s="393" t="s">
        <v>2358</v>
      </c>
      <c r="N150" s="343" t="s">
        <v>2343</v>
      </c>
      <c r="O150" s="150" t="s">
        <v>1171</v>
      </c>
      <c r="P150" s="91" t="s">
        <v>721</v>
      </c>
      <c r="Q150" s="343"/>
      <c r="R150" s="346" t="s">
        <v>2339</v>
      </c>
      <c r="S150" s="346" t="s">
        <v>1710</v>
      </c>
      <c r="T150" s="386" t="s">
        <v>707</v>
      </c>
      <c r="U150" s="346" t="s">
        <v>1348</v>
      </c>
      <c r="V150" s="437"/>
      <c r="W150" s="358">
        <v>-40181</v>
      </c>
      <c r="X150" s="378">
        <v>0</v>
      </c>
      <c r="Y150" s="425"/>
      <c r="Z150" s="71"/>
      <c r="AA150" s="433"/>
      <c r="AB150" s="434"/>
      <c r="AC150" s="434"/>
      <c r="AD150" s="428" t="s">
        <v>1142</v>
      </c>
      <c r="AE150" s="429">
        <v>0</v>
      </c>
      <c r="AF150" s="429">
        <v>0</v>
      </c>
      <c r="AG150" s="388">
        <v>0</v>
      </c>
      <c r="AH150" s="388">
        <v>0</v>
      </c>
      <c r="AI150" s="388">
        <v>0</v>
      </c>
      <c r="AJ150" s="388">
        <v>0</v>
      </c>
      <c r="AK150" s="388">
        <v>0</v>
      </c>
      <c r="AL150" s="388">
        <v>0</v>
      </c>
      <c r="AM150" s="360">
        <f t="shared" si="5"/>
        <v>0</v>
      </c>
      <c r="AN150" s="362">
        <f>ERP_26[[#This Row],[2026 Working Total]]-ERP_26[[#This Row],[LE2 Final Submission]]</f>
        <v>0</v>
      </c>
      <c r="AO150" s="79">
        <v>0</v>
      </c>
      <c r="AP150" s="79">
        <f t="shared" si="6"/>
        <v>0</v>
      </c>
      <c r="AQ150" s="374">
        <f>SUM(ERP_26[[#This Row],[AP01]:[AP06]])-SUM(ERP_26[[#This Row],[AP01 LE2]:[AP06 LE2]])</f>
        <v>0</v>
      </c>
      <c r="AR150" s="80"/>
      <c r="AS150" s="79">
        <f>ERP_26[[#This Row],[2026 Working Total to Budget/LE]]-ERP_26[[#This Row],[Giveback]]</f>
        <v>0</v>
      </c>
      <c r="AT150" s="81"/>
      <c r="AU150" s="375"/>
      <c r="AV150" s="375"/>
      <c r="AW150" s="375"/>
      <c r="AX150" s="375">
        <v>0</v>
      </c>
      <c r="AY150" s="375">
        <v>0</v>
      </c>
      <c r="AZ150" s="375">
        <v>0</v>
      </c>
      <c r="BA150" s="375">
        <v>0</v>
      </c>
      <c r="BB150" s="375">
        <v>0</v>
      </c>
      <c r="BC150" s="375">
        <v>0</v>
      </c>
      <c r="BD150" s="375">
        <v>0</v>
      </c>
      <c r="BE150" s="375">
        <v>0</v>
      </c>
      <c r="BF150" s="375">
        <v>0</v>
      </c>
      <c r="BG150" s="375">
        <v>0</v>
      </c>
      <c r="BH150" s="103">
        <v>-40181</v>
      </c>
      <c r="BI150" s="103">
        <v>0</v>
      </c>
      <c r="BJ150" s="103">
        <v>0</v>
      </c>
      <c r="BK150" s="103">
        <v>0</v>
      </c>
      <c r="BL150" s="103">
        <v>0</v>
      </c>
      <c r="BM150" s="103">
        <v>0</v>
      </c>
      <c r="BN150" s="103">
        <v>0</v>
      </c>
      <c r="BO150" s="103">
        <v>0</v>
      </c>
      <c r="BP150" s="103">
        <v>0</v>
      </c>
      <c r="BQ150" s="103">
        <v>0</v>
      </c>
      <c r="BR150" s="103">
        <v>0</v>
      </c>
      <c r="BS150" s="103">
        <v>0</v>
      </c>
      <c r="BT150" s="79">
        <f>SUM(ERP_26[[#This Row],[2026 AP01]:[2026 AP12]])</f>
        <v>-40181</v>
      </c>
    </row>
    <row r="151" spans="1:72" ht="15" customHeight="1">
      <c r="A151" s="79" t="s">
        <v>2359</v>
      </c>
      <c r="B151" s="79"/>
      <c r="C151" s="79" t="s">
        <v>722</v>
      </c>
      <c r="D151" s="296" t="s">
        <v>722</v>
      </c>
      <c r="E151" s="150" t="s">
        <v>1136</v>
      </c>
      <c r="F151" s="482" t="s">
        <v>1566</v>
      </c>
      <c r="G151" s="150" t="s">
        <v>1135</v>
      </c>
      <c r="H151" s="150" t="s">
        <v>1135</v>
      </c>
      <c r="I151" s="332" t="s">
        <v>1135</v>
      </c>
      <c r="J151" s="383" t="s">
        <v>1135</v>
      </c>
      <c r="K151" s="331" t="s">
        <v>1137</v>
      </c>
      <c r="L151" s="512" t="s">
        <v>639</v>
      </c>
      <c r="M151" s="393" t="s">
        <v>2360</v>
      </c>
      <c r="N151" s="343" t="s">
        <v>2343</v>
      </c>
      <c r="O151" s="150" t="s">
        <v>1171</v>
      </c>
      <c r="P151" s="91" t="s">
        <v>723</v>
      </c>
      <c r="Q151" s="343"/>
      <c r="R151" s="346" t="s">
        <v>2339</v>
      </c>
      <c r="S151" s="346" t="s">
        <v>1710</v>
      </c>
      <c r="T151" s="386" t="s">
        <v>707</v>
      </c>
      <c r="U151" s="346" t="s">
        <v>1348</v>
      </c>
      <c r="V151" s="437"/>
      <c r="W151" s="358">
        <v>253752.12</v>
      </c>
      <c r="X151" s="378">
        <v>0</v>
      </c>
      <c r="Y151" s="430"/>
      <c r="Z151" s="137"/>
      <c r="AA151" s="433"/>
      <c r="AB151" s="434"/>
      <c r="AC151" s="434"/>
      <c r="AD151" s="428" t="s">
        <v>1142</v>
      </c>
      <c r="AE151" s="429">
        <v>0</v>
      </c>
      <c r="AF151" s="429">
        <v>0</v>
      </c>
      <c r="AG151" s="388">
        <v>0</v>
      </c>
      <c r="AH151" s="388">
        <v>0</v>
      </c>
      <c r="AI151" s="388">
        <v>0</v>
      </c>
      <c r="AJ151" s="388">
        <v>0</v>
      </c>
      <c r="AK151" s="388">
        <v>0</v>
      </c>
      <c r="AL151" s="388">
        <v>0</v>
      </c>
      <c r="AM151" s="360">
        <f t="shared" si="5"/>
        <v>0</v>
      </c>
      <c r="AN151" s="362">
        <f>ERP_26[[#This Row],[2026 Working Total]]-ERP_26[[#This Row],[LE2 Final Submission]]</f>
        <v>0</v>
      </c>
      <c r="AO151" s="79">
        <v>0</v>
      </c>
      <c r="AP151" s="79">
        <f t="shared" si="6"/>
        <v>0</v>
      </c>
      <c r="AQ151" s="374">
        <f>SUM(ERP_26[[#This Row],[AP01]:[AP06]])-SUM(ERP_26[[#This Row],[AP01 LE2]:[AP06 LE2]])</f>
        <v>0</v>
      </c>
      <c r="AR151" s="80"/>
      <c r="AS151" s="79">
        <f>ERP_26[[#This Row],[2026 Working Total to Budget/LE]]-ERP_26[[#This Row],[Giveback]]</f>
        <v>0</v>
      </c>
      <c r="AT151" s="81"/>
      <c r="AU151" s="375"/>
      <c r="AV151" s="375"/>
      <c r="AW151" s="375"/>
      <c r="AX151" s="375">
        <v>0</v>
      </c>
      <c r="AY151" s="375">
        <v>0</v>
      </c>
      <c r="AZ151" s="375">
        <v>0</v>
      </c>
      <c r="BA151" s="375">
        <v>0</v>
      </c>
      <c r="BB151" s="375">
        <v>0</v>
      </c>
      <c r="BC151" s="375">
        <v>0</v>
      </c>
      <c r="BD151" s="375">
        <v>0</v>
      </c>
      <c r="BE151" s="375">
        <v>0</v>
      </c>
      <c r="BF151" s="375">
        <v>0</v>
      </c>
      <c r="BG151" s="375">
        <v>0</v>
      </c>
      <c r="BH151" s="103">
        <v>253752.12</v>
      </c>
      <c r="BI151" s="103">
        <v>0</v>
      </c>
      <c r="BJ151" s="103">
        <v>0</v>
      </c>
      <c r="BK151" s="103">
        <v>0</v>
      </c>
      <c r="BL151" s="103">
        <v>0</v>
      </c>
      <c r="BM151" s="103">
        <v>0</v>
      </c>
      <c r="BN151" s="103">
        <v>0</v>
      </c>
      <c r="BO151" s="103">
        <v>0</v>
      </c>
      <c r="BP151" s="103">
        <v>0</v>
      </c>
      <c r="BQ151" s="103">
        <v>0</v>
      </c>
      <c r="BR151" s="103">
        <v>0</v>
      </c>
      <c r="BS151" s="103">
        <v>0</v>
      </c>
      <c r="BT151" s="79">
        <f>SUM(ERP_26[[#This Row],[2026 AP01]:[2026 AP12]])</f>
        <v>253752.12</v>
      </c>
    </row>
    <row r="152" spans="1:72" ht="15" customHeight="1">
      <c r="A152" s="79" t="s">
        <v>2361</v>
      </c>
      <c r="B152" s="79"/>
      <c r="C152" s="79" t="s">
        <v>724</v>
      </c>
      <c r="D152" s="296" t="s">
        <v>724</v>
      </c>
      <c r="E152" s="150" t="s">
        <v>1136</v>
      </c>
      <c r="F152" s="482" t="s">
        <v>1566</v>
      </c>
      <c r="G152" s="150" t="s">
        <v>1135</v>
      </c>
      <c r="H152" s="150" t="s">
        <v>1135</v>
      </c>
      <c r="I152" s="332" t="s">
        <v>1135</v>
      </c>
      <c r="J152" s="383" t="s">
        <v>1135</v>
      </c>
      <c r="K152" s="331" t="s">
        <v>1137</v>
      </c>
      <c r="L152" s="512" t="s">
        <v>639</v>
      </c>
      <c r="M152" s="393" t="s">
        <v>2362</v>
      </c>
      <c r="N152" s="343" t="s">
        <v>2343</v>
      </c>
      <c r="O152" s="150" t="s">
        <v>1171</v>
      </c>
      <c r="P152" s="91" t="s">
        <v>725</v>
      </c>
      <c r="Q152" s="343"/>
      <c r="R152" s="346" t="s">
        <v>2339</v>
      </c>
      <c r="S152" s="346" t="s">
        <v>1710</v>
      </c>
      <c r="T152" s="386" t="s">
        <v>707</v>
      </c>
      <c r="U152" s="346" t="s">
        <v>1348</v>
      </c>
      <c r="V152" s="437"/>
      <c r="W152" s="358">
        <v>-253752.12</v>
      </c>
      <c r="X152" s="378">
        <v>0</v>
      </c>
      <c r="Y152" s="425"/>
      <c r="Z152" s="71"/>
      <c r="AA152" s="433"/>
      <c r="AB152" s="434"/>
      <c r="AC152" s="434"/>
      <c r="AD152" s="428" t="s">
        <v>1142</v>
      </c>
      <c r="AE152" s="429">
        <v>0</v>
      </c>
      <c r="AF152" s="429">
        <v>0</v>
      </c>
      <c r="AG152" s="388">
        <v>0</v>
      </c>
      <c r="AH152" s="388">
        <v>0</v>
      </c>
      <c r="AI152" s="388">
        <v>0</v>
      </c>
      <c r="AJ152" s="388">
        <v>0</v>
      </c>
      <c r="AK152" s="388">
        <v>0</v>
      </c>
      <c r="AL152" s="388">
        <v>0</v>
      </c>
      <c r="AM152" s="360">
        <f t="shared" si="5"/>
        <v>0</v>
      </c>
      <c r="AN152" s="362">
        <f>ERP_26[[#This Row],[2026 Working Total]]-ERP_26[[#This Row],[LE2 Final Submission]]</f>
        <v>0</v>
      </c>
      <c r="AO152" s="79">
        <v>0</v>
      </c>
      <c r="AP152" s="79">
        <f t="shared" si="6"/>
        <v>0</v>
      </c>
      <c r="AQ152" s="374">
        <f>SUM(ERP_26[[#This Row],[AP01]:[AP06]])-SUM(ERP_26[[#This Row],[AP01 LE2]:[AP06 LE2]])</f>
        <v>0</v>
      </c>
      <c r="AR152" s="80"/>
      <c r="AS152" s="79">
        <f>ERP_26[[#This Row],[2026 Working Total to Budget/LE]]-ERP_26[[#This Row],[Giveback]]</f>
        <v>0</v>
      </c>
      <c r="AT152" s="81"/>
      <c r="AU152" s="375"/>
      <c r="AV152" s="375"/>
      <c r="AW152" s="375"/>
      <c r="AX152" s="375">
        <v>0</v>
      </c>
      <c r="AY152" s="375">
        <v>0</v>
      </c>
      <c r="AZ152" s="375">
        <v>0</v>
      </c>
      <c r="BA152" s="375">
        <v>0</v>
      </c>
      <c r="BB152" s="375">
        <v>0</v>
      </c>
      <c r="BC152" s="375">
        <v>0</v>
      </c>
      <c r="BD152" s="375">
        <v>0</v>
      </c>
      <c r="BE152" s="375">
        <v>0</v>
      </c>
      <c r="BF152" s="375">
        <v>0</v>
      </c>
      <c r="BG152" s="375">
        <v>0</v>
      </c>
      <c r="BH152" s="103">
        <v>-253752.12</v>
      </c>
      <c r="BI152" s="103">
        <v>0</v>
      </c>
      <c r="BJ152" s="103">
        <v>0</v>
      </c>
      <c r="BK152" s="103">
        <v>0</v>
      </c>
      <c r="BL152" s="103">
        <v>0</v>
      </c>
      <c r="BM152" s="103">
        <v>0</v>
      </c>
      <c r="BN152" s="103">
        <v>0</v>
      </c>
      <c r="BO152" s="103">
        <v>0</v>
      </c>
      <c r="BP152" s="103">
        <v>0</v>
      </c>
      <c r="BQ152" s="103">
        <v>0</v>
      </c>
      <c r="BR152" s="103">
        <v>0</v>
      </c>
      <c r="BS152" s="103">
        <v>0</v>
      </c>
      <c r="BT152" s="79">
        <f>SUM(ERP_26[[#This Row],[2026 AP01]:[2026 AP12]])</f>
        <v>-253752.12</v>
      </c>
    </row>
    <row r="153" spans="1:72" ht="15" customHeight="1">
      <c r="A153" s="79" t="s">
        <v>2363</v>
      </c>
      <c r="B153" s="79"/>
      <c r="C153" s="79" t="s">
        <v>726</v>
      </c>
      <c r="D153" s="296" t="s">
        <v>726</v>
      </c>
      <c r="E153" s="150" t="s">
        <v>1136</v>
      </c>
      <c r="F153" s="482" t="s">
        <v>1566</v>
      </c>
      <c r="G153" s="150" t="s">
        <v>1135</v>
      </c>
      <c r="H153" s="150" t="s">
        <v>1135</v>
      </c>
      <c r="I153" s="332" t="s">
        <v>1135</v>
      </c>
      <c r="J153" s="383" t="s">
        <v>1135</v>
      </c>
      <c r="K153" s="331" t="s">
        <v>1137</v>
      </c>
      <c r="L153" s="512" t="s">
        <v>639</v>
      </c>
      <c r="M153" s="393" t="s">
        <v>2364</v>
      </c>
      <c r="N153" s="343" t="s">
        <v>2343</v>
      </c>
      <c r="O153" s="150" t="s">
        <v>1171</v>
      </c>
      <c r="P153" s="91" t="s">
        <v>727</v>
      </c>
      <c r="Q153" s="343"/>
      <c r="R153" s="346" t="s">
        <v>2339</v>
      </c>
      <c r="S153" s="346" t="s">
        <v>1710</v>
      </c>
      <c r="T153" s="386" t="s">
        <v>707</v>
      </c>
      <c r="U153" s="346" t="s">
        <v>1348</v>
      </c>
      <c r="V153" s="437"/>
      <c r="W153" s="358">
        <v>6285.51</v>
      </c>
      <c r="X153" s="378">
        <v>0</v>
      </c>
      <c r="Y153" s="425"/>
      <c r="Z153" s="71"/>
      <c r="AA153" s="433"/>
      <c r="AB153" s="434"/>
      <c r="AC153" s="434"/>
      <c r="AD153" s="428" t="s">
        <v>1142</v>
      </c>
      <c r="AE153" s="429">
        <v>0</v>
      </c>
      <c r="AF153" s="429">
        <v>0</v>
      </c>
      <c r="AG153" s="388">
        <v>0</v>
      </c>
      <c r="AH153" s="388">
        <v>0</v>
      </c>
      <c r="AI153" s="388">
        <v>0</v>
      </c>
      <c r="AJ153" s="388">
        <v>0</v>
      </c>
      <c r="AK153" s="388">
        <v>0</v>
      </c>
      <c r="AL153" s="388">
        <v>0</v>
      </c>
      <c r="AM153" s="360">
        <f t="shared" si="5"/>
        <v>0</v>
      </c>
      <c r="AN153" s="362">
        <f>ERP_26[[#This Row],[2026 Working Total]]-ERP_26[[#This Row],[LE2 Final Submission]]</f>
        <v>0</v>
      </c>
      <c r="AO153" s="79">
        <v>0</v>
      </c>
      <c r="AP153" s="79">
        <f t="shared" si="6"/>
        <v>0</v>
      </c>
      <c r="AQ153" s="374">
        <f>SUM(ERP_26[[#This Row],[AP01]:[AP06]])-SUM(ERP_26[[#This Row],[AP01 LE2]:[AP06 LE2]])</f>
        <v>0</v>
      </c>
      <c r="AR153" s="80"/>
      <c r="AS153" s="79">
        <f>ERP_26[[#This Row],[2026 Working Total to Budget/LE]]-ERP_26[[#This Row],[Giveback]]</f>
        <v>0</v>
      </c>
      <c r="AT153" s="81"/>
      <c r="AU153" s="375"/>
      <c r="AV153" s="375"/>
      <c r="AW153" s="375"/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375">
        <v>0</v>
      </c>
      <c r="BD153" s="375">
        <v>0</v>
      </c>
      <c r="BE153" s="375">
        <v>0</v>
      </c>
      <c r="BF153" s="375">
        <v>0</v>
      </c>
      <c r="BG153" s="375">
        <v>0</v>
      </c>
      <c r="BH153" s="103">
        <v>6285.51</v>
      </c>
      <c r="BI153" s="103">
        <v>0</v>
      </c>
      <c r="BJ153" s="103">
        <v>0</v>
      </c>
      <c r="BK153" s="103">
        <v>0</v>
      </c>
      <c r="BL153" s="103">
        <v>0</v>
      </c>
      <c r="BM153" s="103">
        <v>0</v>
      </c>
      <c r="BN153" s="103">
        <v>0</v>
      </c>
      <c r="BO153" s="103">
        <v>0</v>
      </c>
      <c r="BP153" s="103">
        <v>0</v>
      </c>
      <c r="BQ153" s="103">
        <v>0</v>
      </c>
      <c r="BR153" s="103">
        <v>0</v>
      </c>
      <c r="BS153" s="103">
        <v>0</v>
      </c>
      <c r="BT153" s="79">
        <f>SUM(ERP_26[[#This Row],[2026 AP01]:[2026 AP12]])</f>
        <v>6285.51</v>
      </c>
    </row>
    <row r="154" spans="1:72" ht="15" customHeight="1">
      <c r="A154" s="79" t="s">
        <v>2365</v>
      </c>
      <c r="B154" s="79"/>
      <c r="C154" s="79" t="s">
        <v>728</v>
      </c>
      <c r="D154" s="296" t="s">
        <v>728</v>
      </c>
      <c r="E154" s="150" t="s">
        <v>1136</v>
      </c>
      <c r="F154" s="482" t="s">
        <v>1566</v>
      </c>
      <c r="G154" s="150" t="s">
        <v>1135</v>
      </c>
      <c r="H154" s="150" t="s">
        <v>1135</v>
      </c>
      <c r="I154" s="332" t="s">
        <v>1135</v>
      </c>
      <c r="J154" s="383" t="s">
        <v>1135</v>
      </c>
      <c r="K154" s="331" t="s">
        <v>1137</v>
      </c>
      <c r="L154" s="512" t="s">
        <v>639</v>
      </c>
      <c r="M154" s="393" t="s">
        <v>2366</v>
      </c>
      <c r="N154" s="343" t="s">
        <v>2343</v>
      </c>
      <c r="O154" s="150" t="s">
        <v>1171</v>
      </c>
      <c r="P154" s="91" t="s">
        <v>729</v>
      </c>
      <c r="Q154" s="343"/>
      <c r="R154" s="346" t="s">
        <v>2339</v>
      </c>
      <c r="S154" s="346" t="s">
        <v>1710</v>
      </c>
      <c r="T154" s="386" t="s">
        <v>707</v>
      </c>
      <c r="U154" s="346" t="s">
        <v>1348</v>
      </c>
      <c r="V154" s="437"/>
      <c r="W154" s="358">
        <v>-6285.51</v>
      </c>
      <c r="X154" s="378">
        <v>0</v>
      </c>
      <c r="Y154" s="430"/>
      <c r="Z154" s="137"/>
      <c r="AA154" s="433"/>
      <c r="AB154" s="434"/>
      <c r="AC154" s="434"/>
      <c r="AD154" s="428" t="s">
        <v>1142</v>
      </c>
      <c r="AE154" s="429">
        <v>0</v>
      </c>
      <c r="AF154" s="429">
        <v>0</v>
      </c>
      <c r="AG154" s="388">
        <v>0</v>
      </c>
      <c r="AH154" s="388">
        <v>0</v>
      </c>
      <c r="AI154" s="388">
        <v>0</v>
      </c>
      <c r="AJ154" s="388">
        <v>0</v>
      </c>
      <c r="AK154" s="388">
        <v>0</v>
      </c>
      <c r="AL154" s="388">
        <v>0</v>
      </c>
      <c r="AM154" s="360">
        <f t="shared" si="5"/>
        <v>0</v>
      </c>
      <c r="AN154" s="362">
        <f>ERP_26[[#This Row],[2026 Working Total]]-ERP_26[[#This Row],[LE2 Final Submission]]</f>
        <v>0</v>
      </c>
      <c r="AO154" s="79">
        <v>0</v>
      </c>
      <c r="AP154" s="79">
        <f t="shared" si="6"/>
        <v>0</v>
      </c>
      <c r="AQ154" s="374">
        <f>SUM(ERP_26[[#This Row],[AP01]:[AP06]])-SUM(ERP_26[[#This Row],[AP01 LE2]:[AP06 LE2]])</f>
        <v>0</v>
      </c>
      <c r="AR154" s="80"/>
      <c r="AS154" s="79">
        <f>ERP_26[[#This Row],[2026 Working Total to Budget/LE]]-ERP_26[[#This Row],[Giveback]]</f>
        <v>0</v>
      </c>
      <c r="AT154" s="81"/>
      <c r="AU154" s="375"/>
      <c r="AV154" s="375"/>
      <c r="AW154" s="375"/>
      <c r="AX154" s="375">
        <v>0</v>
      </c>
      <c r="AY154" s="375">
        <v>0</v>
      </c>
      <c r="AZ154" s="375">
        <v>0</v>
      </c>
      <c r="BA154" s="375">
        <v>0</v>
      </c>
      <c r="BB154" s="375">
        <v>0</v>
      </c>
      <c r="BC154" s="375">
        <v>0</v>
      </c>
      <c r="BD154" s="375">
        <v>0</v>
      </c>
      <c r="BE154" s="375">
        <v>0</v>
      </c>
      <c r="BF154" s="375">
        <v>0</v>
      </c>
      <c r="BG154" s="375">
        <v>0</v>
      </c>
      <c r="BH154" s="103">
        <v>-6285.51</v>
      </c>
      <c r="BI154" s="103">
        <v>0</v>
      </c>
      <c r="BJ154" s="103">
        <v>0</v>
      </c>
      <c r="BK154" s="103">
        <v>0</v>
      </c>
      <c r="BL154" s="103">
        <v>0</v>
      </c>
      <c r="BM154" s="103">
        <v>0</v>
      </c>
      <c r="BN154" s="103">
        <v>0</v>
      </c>
      <c r="BO154" s="103">
        <v>0</v>
      </c>
      <c r="BP154" s="103">
        <v>0</v>
      </c>
      <c r="BQ154" s="103">
        <v>0</v>
      </c>
      <c r="BR154" s="103">
        <v>0</v>
      </c>
      <c r="BS154" s="103">
        <v>0</v>
      </c>
      <c r="BT154" s="79">
        <f>SUM(ERP_26[[#This Row],[2026 AP01]:[2026 AP12]])</f>
        <v>-6285.51</v>
      </c>
    </row>
    <row r="155" spans="1:72" ht="15" customHeight="1">
      <c r="A155" s="79" t="s">
        <v>2367</v>
      </c>
      <c r="B155" s="79"/>
      <c r="C155" s="79" t="s">
        <v>730</v>
      </c>
      <c r="D155" s="296" t="s">
        <v>730</v>
      </c>
      <c r="E155" s="150" t="s">
        <v>1136</v>
      </c>
      <c r="F155" s="482" t="s">
        <v>1566</v>
      </c>
      <c r="G155" s="150" t="s">
        <v>1135</v>
      </c>
      <c r="H155" s="150" t="s">
        <v>1135</v>
      </c>
      <c r="I155" s="332" t="s">
        <v>1135</v>
      </c>
      <c r="J155" s="383" t="s">
        <v>1135</v>
      </c>
      <c r="K155" s="331" t="s">
        <v>1137</v>
      </c>
      <c r="L155" s="512" t="s">
        <v>639</v>
      </c>
      <c r="M155" s="393" t="s">
        <v>2368</v>
      </c>
      <c r="N155" s="343" t="s">
        <v>2343</v>
      </c>
      <c r="O155" s="150" t="s">
        <v>1171</v>
      </c>
      <c r="P155" s="91" t="s">
        <v>731</v>
      </c>
      <c r="Q155" s="343"/>
      <c r="R155" s="346" t="s">
        <v>2339</v>
      </c>
      <c r="S155" s="346" t="s">
        <v>1710</v>
      </c>
      <c r="T155" s="386" t="s">
        <v>707</v>
      </c>
      <c r="U155" s="346" t="s">
        <v>1348</v>
      </c>
      <c r="V155" s="437"/>
      <c r="W155" s="358">
        <v>30136.080000000002</v>
      </c>
      <c r="X155" s="378">
        <v>0</v>
      </c>
      <c r="Y155" s="425"/>
      <c r="Z155" s="71"/>
      <c r="AA155" s="433"/>
      <c r="AB155" s="434"/>
      <c r="AC155" s="434"/>
      <c r="AD155" s="428" t="s">
        <v>1142</v>
      </c>
      <c r="AE155" s="429">
        <v>0</v>
      </c>
      <c r="AF155" s="429">
        <v>0</v>
      </c>
      <c r="AG155" s="388">
        <v>0</v>
      </c>
      <c r="AH155" s="388">
        <v>0</v>
      </c>
      <c r="AI155" s="388">
        <v>0</v>
      </c>
      <c r="AJ155" s="388">
        <v>0</v>
      </c>
      <c r="AK155" s="388">
        <v>0</v>
      </c>
      <c r="AL155" s="388">
        <v>0</v>
      </c>
      <c r="AM155" s="360">
        <f t="shared" si="5"/>
        <v>0</v>
      </c>
      <c r="AN155" s="362">
        <f>ERP_26[[#This Row],[2026 Working Total]]-ERP_26[[#This Row],[LE2 Final Submission]]</f>
        <v>0</v>
      </c>
      <c r="AO155" s="79">
        <v>0</v>
      </c>
      <c r="AP155" s="79">
        <f t="shared" si="6"/>
        <v>0</v>
      </c>
      <c r="AQ155" s="374">
        <f>SUM(ERP_26[[#This Row],[AP01]:[AP06]])-SUM(ERP_26[[#This Row],[AP01 LE2]:[AP06 LE2]])</f>
        <v>0</v>
      </c>
      <c r="AR155" s="80"/>
      <c r="AS155" s="79">
        <f>ERP_26[[#This Row],[2026 Working Total to Budget/LE]]-ERP_26[[#This Row],[Giveback]]</f>
        <v>0</v>
      </c>
      <c r="AT155" s="81"/>
      <c r="AU155" s="375"/>
      <c r="AV155" s="375"/>
      <c r="AW155" s="375"/>
      <c r="AX155" s="375">
        <v>0</v>
      </c>
      <c r="AY155" s="375">
        <v>0</v>
      </c>
      <c r="AZ155" s="375">
        <v>0</v>
      </c>
      <c r="BA155" s="375">
        <v>0</v>
      </c>
      <c r="BB155" s="375">
        <v>0</v>
      </c>
      <c r="BC155" s="375">
        <v>0</v>
      </c>
      <c r="BD155" s="375">
        <v>0</v>
      </c>
      <c r="BE155" s="375">
        <v>0</v>
      </c>
      <c r="BF155" s="375">
        <v>0</v>
      </c>
      <c r="BG155" s="375">
        <v>0</v>
      </c>
      <c r="BH155" s="103">
        <v>30136.080000000002</v>
      </c>
      <c r="BI155" s="103">
        <v>0</v>
      </c>
      <c r="BJ155" s="103">
        <v>0</v>
      </c>
      <c r="BK155" s="103">
        <v>0</v>
      </c>
      <c r="BL155" s="103">
        <v>0</v>
      </c>
      <c r="BM155" s="103">
        <v>0</v>
      </c>
      <c r="BN155" s="103">
        <v>0</v>
      </c>
      <c r="BO155" s="103">
        <v>0</v>
      </c>
      <c r="BP155" s="103">
        <v>0</v>
      </c>
      <c r="BQ155" s="103">
        <v>0</v>
      </c>
      <c r="BR155" s="103">
        <v>0</v>
      </c>
      <c r="BS155" s="103">
        <v>0</v>
      </c>
      <c r="BT155" s="79">
        <f>SUM(ERP_26[[#This Row],[2026 AP01]:[2026 AP12]])</f>
        <v>30136.080000000002</v>
      </c>
    </row>
    <row r="156" spans="1:72" ht="15" customHeight="1">
      <c r="A156" s="79" t="s">
        <v>2369</v>
      </c>
      <c r="B156" s="79"/>
      <c r="C156" s="79" t="s">
        <v>732</v>
      </c>
      <c r="D156" s="296" t="s">
        <v>732</v>
      </c>
      <c r="E156" s="150" t="s">
        <v>1136</v>
      </c>
      <c r="F156" s="482" t="s">
        <v>1566</v>
      </c>
      <c r="G156" s="150" t="s">
        <v>1135</v>
      </c>
      <c r="H156" s="150" t="s">
        <v>1135</v>
      </c>
      <c r="I156" s="332" t="s">
        <v>1135</v>
      </c>
      <c r="J156" s="383" t="s">
        <v>1135</v>
      </c>
      <c r="K156" s="331" t="s">
        <v>1137</v>
      </c>
      <c r="L156" s="512" t="s">
        <v>639</v>
      </c>
      <c r="M156" s="393" t="s">
        <v>2370</v>
      </c>
      <c r="N156" s="343" t="s">
        <v>2343</v>
      </c>
      <c r="O156" s="150" t="s">
        <v>1171</v>
      </c>
      <c r="P156" s="91" t="s">
        <v>733</v>
      </c>
      <c r="Q156" s="343"/>
      <c r="R156" s="346" t="s">
        <v>2339</v>
      </c>
      <c r="S156" s="346" t="s">
        <v>1710</v>
      </c>
      <c r="T156" s="386" t="s">
        <v>707</v>
      </c>
      <c r="U156" s="346" t="s">
        <v>1348</v>
      </c>
      <c r="V156" s="437"/>
      <c r="W156" s="358">
        <v>-30136.080000000002</v>
      </c>
      <c r="X156" s="378">
        <v>0</v>
      </c>
      <c r="Y156" s="425"/>
      <c r="Z156" s="71"/>
      <c r="AA156" s="433"/>
      <c r="AB156" s="434"/>
      <c r="AC156" s="434"/>
      <c r="AD156" s="428" t="s">
        <v>1142</v>
      </c>
      <c r="AE156" s="429">
        <v>0</v>
      </c>
      <c r="AF156" s="429">
        <v>0</v>
      </c>
      <c r="AG156" s="388">
        <v>0</v>
      </c>
      <c r="AH156" s="388">
        <v>0</v>
      </c>
      <c r="AI156" s="388">
        <v>0</v>
      </c>
      <c r="AJ156" s="388">
        <v>0</v>
      </c>
      <c r="AK156" s="388">
        <v>0</v>
      </c>
      <c r="AL156" s="388">
        <v>0</v>
      </c>
      <c r="AM156" s="360">
        <f t="shared" si="5"/>
        <v>0</v>
      </c>
      <c r="AN156" s="362">
        <f>ERP_26[[#This Row],[2026 Working Total]]-ERP_26[[#This Row],[LE2 Final Submission]]</f>
        <v>0</v>
      </c>
      <c r="AO156" s="79">
        <v>0</v>
      </c>
      <c r="AP156" s="79">
        <f t="shared" si="6"/>
        <v>0</v>
      </c>
      <c r="AQ156" s="374">
        <f>SUM(ERP_26[[#This Row],[AP01]:[AP06]])-SUM(ERP_26[[#This Row],[AP01 LE2]:[AP06 LE2]])</f>
        <v>0</v>
      </c>
      <c r="AR156" s="80"/>
      <c r="AS156" s="79">
        <f>ERP_26[[#This Row],[2026 Working Total to Budget/LE]]-ERP_26[[#This Row],[Giveback]]</f>
        <v>0</v>
      </c>
      <c r="AT156" s="81"/>
      <c r="AU156" s="375"/>
      <c r="AV156" s="375"/>
      <c r="AW156" s="375"/>
      <c r="AX156" s="375">
        <v>0</v>
      </c>
      <c r="AY156" s="375">
        <v>0</v>
      </c>
      <c r="AZ156" s="375">
        <v>0</v>
      </c>
      <c r="BA156" s="375">
        <v>0</v>
      </c>
      <c r="BB156" s="375">
        <v>0</v>
      </c>
      <c r="BC156" s="375">
        <v>0</v>
      </c>
      <c r="BD156" s="375">
        <v>0</v>
      </c>
      <c r="BE156" s="375">
        <v>0</v>
      </c>
      <c r="BF156" s="375">
        <v>0</v>
      </c>
      <c r="BG156" s="375">
        <v>0</v>
      </c>
      <c r="BH156" s="103">
        <v>-30136.080000000002</v>
      </c>
      <c r="BI156" s="103">
        <v>0</v>
      </c>
      <c r="BJ156" s="103">
        <v>0</v>
      </c>
      <c r="BK156" s="103">
        <v>0</v>
      </c>
      <c r="BL156" s="103">
        <v>0</v>
      </c>
      <c r="BM156" s="103">
        <v>0</v>
      </c>
      <c r="BN156" s="103">
        <v>0</v>
      </c>
      <c r="BO156" s="103">
        <v>0</v>
      </c>
      <c r="BP156" s="103">
        <v>0</v>
      </c>
      <c r="BQ156" s="103">
        <v>0</v>
      </c>
      <c r="BR156" s="103">
        <v>0</v>
      </c>
      <c r="BS156" s="103">
        <v>0</v>
      </c>
      <c r="BT156" s="79">
        <f>SUM(ERP_26[[#This Row],[2026 AP01]:[2026 AP12]])</f>
        <v>-30136.080000000002</v>
      </c>
    </row>
    <row r="157" spans="1:72" ht="15" customHeight="1">
      <c r="A157" s="79" t="s">
        <v>2371</v>
      </c>
      <c r="B157" s="79"/>
      <c r="C157" s="79" t="s">
        <v>734</v>
      </c>
      <c r="D157" s="296" t="s">
        <v>734</v>
      </c>
      <c r="E157" s="150" t="s">
        <v>1136</v>
      </c>
      <c r="F157" s="482" t="s">
        <v>1566</v>
      </c>
      <c r="G157" s="150" t="s">
        <v>1135</v>
      </c>
      <c r="H157" s="150" t="s">
        <v>1135</v>
      </c>
      <c r="I157" s="332" t="s">
        <v>1135</v>
      </c>
      <c r="J157" s="383" t="s">
        <v>1135</v>
      </c>
      <c r="K157" s="331" t="s">
        <v>1137</v>
      </c>
      <c r="L157" s="512" t="s">
        <v>639</v>
      </c>
      <c r="M157" s="393" t="s">
        <v>2372</v>
      </c>
      <c r="N157" s="343" t="s">
        <v>2343</v>
      </c>
      <c r="O157" s="150" t="s">
        <v>1171</v>
      </c>
      <c r="P157" s="91" t="s">
        <v>735</v>
      </c>
      <c r="Q157" s="343"/>
      <c r="R157" s="346" t="s">
        <v>2339</v>
      </c>
      <c r="S157" s="346" t="s">
        <v>1710</v>
      </c>
      <c r="T157" s="386" t="s">
        <v>707</v>
      </c>
      <c r="U157" s="346" t="s">
        <v>1348</v>
      </c>
      <c r="V157" s="437"/>
      <c r="W157" s="358">
        <v>17349.84</v>
      </c>
      <c r="X157" s="378">
        <v>0</v>
      </c>
      <c r="Y157" s="430"/>
      <c r="Z157" s="137"/>
      <c r="AA157" s="433"/>
      <c r="AB157" s="434"/>
      <c r="AC157" s="434"/>
      <c r="AD157" s="428" t="s">
        <v>1142</v>
      </c>
      <c r="AE157" s="429">
        <v>0</v>
      </c>
      <c r="AF157" s="429">
        <v>0</v>
      </c>
      <c r="AG157" s="388">
        <v>0</v>
      </c>
      <c r="AH157" s="388">
        <v>0</v>
      </c>
      <c r="AI157" s="388">
        <v>0</v>
      </c>
      <c r="AJ157" s="388">
        <v>0</v>
      </c>
      <c r="AK157" s="388">
        <v>0</v>
      </c>
      <c r="AL157" s="388">
        <v>0</v>
      </c>
      <c r="AM157" s="360">
        <f t="shared" si="5"/>
        <v>0</v>
      </c>
      <c r="AN157" s="362">
        <f>ERP_26[[#This Row],[2026 Working Total]]-ERP_26[[#This Row],[LE2 Final Submission]]</f>
        <v>0</v>
      </c>
      <c r="AO157" s="79">
        <v>0</v>
      </c>
      <c r="AP157" s="79">
        <f t="shared" si="6"/>
        <v>0</v>
      </c>
      <c r="AQ157" s="374">
        <f>SUM(ERP_26[[#This Row],[AP01]:[AP06]])-SUM(ERP_26[[#This Row],[AP01 LE2]:[AP06 LE2]])</f>
        <v>0</v>
      </c>
      <c r="AR157" s="80"/>
      <c r="AS157" s="79">
        <f>ERP_26[[#This Row],[2026 Working Total to Budget/LE]]-ERP_26[[#This Row],[Giveback]]</f>
        <v>0</v>
      </c>
      <c r="AT157" s="81"/>
      <c r="AU157" s="375"/>
      <c r="AV157" s="375"/>
      <c r="AW157" s="375"/>
      <c r="AX157" s="375">
        <v>0</v>
      </c>
      <c r="AY157" s="375">
        <v>0</v>
      </c>
      <c r="AZ157" s="375">
        <v>0</v>
      </c>
      <c r="BA157" s="375">
        <v>0</v>
      </c>
      <c r="BB157" s="375">
        <v>0</v>
      </c>
      <c r="BC157" s="375">
        <v>0</v>
      </c>
      <c r="BD157" s="375">
        <v>0</v>
      </c>
      <c r="BE157" s="375">
        <v>0</v>
      </c>
      <c r="BF157" s="375">
        <v>0</v>
      </c>
      <c r="BG157" s="375">
        <v>0</v>
      </c>
      <c r="BH157" s="103">
        <v>17349.84</v>
      </c>
      <c r="BI157" s="103">
        <v>0</v>
      </c>
      <c r="BJ157" s="103">
        <v>0</v>
      </c>
      <c r="BK157" s="103">
        <v>0</v>
      </c>
      <c r="BL157" s="103">
        <v>0</v>
      </c>
      <c r="BM157" s="103">
        <v>0</v>
      </c>
      <c r="BN157" s="103">
        <v>0</v>
      </c>
      <c r="BO157" s="103">
        <v>0</v>
      </c>
      <c r="BP157" s="103">
        <v>0</v>
      </c>
      <c r="BQ157" s="103">
        <v>0</v>
      </c>
      <c r="BR157" s="103">
        <v>0</v>
      </c>
      <c r="BS157" s="103">
        <v>0</v>
      </c>
      <c r="BT157" s="79">
        <f>SUM(ERP_26[[#This Row],[2026 AP01]:[2026 AP12]])</f>
        <v>17349.84</v>
      </c>
    </row>
    <row r="158" spans="1:72" ht="15" customHeight="1">
      <c r="A158" s="79" t="s">
        <v>2373</v>
      </c>
      <c r="B158" s="79"/>
      <c r="C158" s="79" t="s">
        <v>736</v>
      </c>
      <c r="D158" s="296" t="s">
        <v>736</v>
      </c>
      <c r="E158" s="150" t="s">
        <v>1136</v>
      </c>
      <c r="F158" s="482" t="s">
        <v>1566</v>
      </c>
      <c r="G158" s="150" t="s">
        <v>1135</v>
      </c>
      <c r="H158" s="150" t="s">
        <v>1135</v>
      </c>
      <c r="I158" s="332" t="s">
        <v>1135</v>
      </c>
      <c r="J158" s="383" t="s">
        <v>1135</v>
      </c>
      <c r="K158" s="331" t="s">
        <v>1137</v>
      </c>
      <c r="L158" s="512" t="s">
        <v>639</v>
      </c>
      <c r="M158" s="393" t="s">
        <v>2374</v>
      </c>
      <c r="N158" s="343" t="s">
        <v>2343</v>
      </c>
      <c r="O158" s="150" t="s">
        <v>1171</v>
      </c>
      <c r="P158" s="91" t="s">
        <v>737</v>
      </c>
      <c r="Q158" s="343"/>
      <c r="R158" s="346" t="s">
        <v>2339</v>
      </c>
      <c r="S158" s="346" t="s">
        <v>1710</v>
      </c>
      <c r="T158" s="386" t="s">
        <v>707</v>
      </c>
      <c r="U158" s="346" t="s">
        <v>1348</v>
      </c>
      <c r="V158" s="437"/>
      <c r="W158" s="358">
        <v>-17349.84</v>
      </c>
      <c r="X158" s="378">
        <v>0</v>
      </c>
      <c r="Y158" s="425"/>
      <c r="Z158" s="71"/>
      <c r="AA158" s="433"/>
      <c r="AB158" s="434"/>
      <c r="AC158" s="434"/>
      <c r="AD158" s="428" t="s">
        <v>1142</v>
      </c>
      <c r="AE158" s="429">
        <v>0</v>
      </c>
      <c r="AF158" s="429">
        <v>0</v>
      </c>
      <c r="AG158" s="388">
        <v>0</v>
      </c>
      <c r="AH158" s="388">
        <v>0</v>
      </c>
      <c r="AI158" s="388">
        <v>0</v>
      </c>
      <c r="AJ158" s="388">
        <v>0</v>
      </c>
      <c r="AK158" s="388">
        <v>0</v>
      </c>
      <c r="AL158" s="388">
        <v>0</v>
      </c>
      <c r="AM158" s="360">
        <f t="shared" si="5"/>
        <v>0</v>
      </c>
      <c r="AN158" s="362">
        <f>ERP_26[[#This Row],[2026 Working Total]]-ERP_26[[#This Row],[LE2 Final Submission]]</f>
        <v>0</v>
      </c>
      <c r="AO158" s="79">
        <v>0</v>
      </c>
      <c r="AP158" s="79">
        <f t="shared" si="6"/>
        <v>0</v>
      </c>
      <c r="AQ158" s="374">
        <f>SUM(ERP_26[[#This Row],[AP01]:[AP06]])-SUM(ERP_26[[#This Row],[AP01 LE2]:[AP06 LE2]])</f>
        <v>0</v>
      </c>
      <c r="AR158" s="80"/>
      <c r="AS158" s="79">
        <f>ERP_26[[#This Row],[2026 Working Total to Budget/LE]]-ERP_26[[#This Row],[Giveback]]</f>
        <v>0</v>
      </c>
      <c r="AT158" s="81"/>
      <c r="AU158" s="375"/>
      <c r="AV158" s="375"/>
      <c r="AW158" s="375"/>
      <c r="AX158" s="375">
        <v>0</v>
      </c>
      <c r="AY158" s="375">
        <v>0</v>
      </c>
      <c r="AZ158" s="375">
        <v>0</v>
      </c>
      <c r="BA158" s="375">
        <v>0</v>
      </c>
      <c r="BB158" s="375">
        <v>0</v>
      </c>
      <c r="BC158" s="375">
        <v>0</v>
      </c>
      <c r="BD158" s="375">
        <v>0</v>
      </c>
      <c r="BE158" s="375">
        <v>0</v>
      </c>
      <c r="BF158" s="375">
        <v>0</v>
      </c>
      <c r="BG158" s="375">
        <v>0</v>
      </c>
      <c r="BH158" s="103">
        <v>-17349.84</v>
      </c>
      <c r="BI158" s="103">
        <v>0</v>
      </c>
      <c r="BJ158" s="103">
        <v>0</v>
      </c>
      <c r="BK158" s="103">
        <v>0</v>
      </c>
      <c r="BL158" s="103">
        <v>0</v>
      </c>
      <c r="BM158" s="103">
        <v>0</v>
      </c>
      <c r="BN158" s="103">
        <v>0</v>
      </c>
      <c r="BO158" s="103">
        <v>0</v>
      </c>
      <c r="BP158" s="103">
        <v>0</v>
      </c>
      <c r="BQ158" s="103">
        <v>0</v>
      </c>
      <c r="BR158" s="103">
        <v>0</v>
      </c>
      <c r="BS158" s="103">
        <v>0</v>
      </c>
      <c r="BT158" s="79">
        <f>SUM(ERP_26[[#This Row],[2026 AP01]:[2026 AP12]])</f>
        <v>-17349.84</v>
      </c>
    </row>
    <row r="159" spans="1:72" ht="15" customHeight="1">
      <c r="A159" s="79" t="s">
        <v>2375</v>
      </c>
      <c r="B159" s="79"/>
      <c r="C159" s="79" t="s">
        <v>738</v>
      </c>
      <c r="D159" s="296" t="s">
        <v>738</v>
      </c>
      <c r="E159" s="150" t="s">
        <v>1136</v>
      </c>
      <c r="F159" s="482" t="s">
        <v>1566</v>
      </c>
      <c r="G159" s="150" t="s">
        <v>1135</v>
      </c>
      <c r="H159" s="150" t="s">
        <v>1135</v>
      </c>
      <c r="I159" s="332" t="s">
        <v>1135</v>
      </c>
      <c r="J159" s="383" t="s">
        <v>1135</v>
      </c>
      <c r="K159" s="331" t="s">
        <v>1137</v>
      </c>
      <c r="L159" s="512" t="s">
        <v>639</v>
      </c>
      <c r="M159" s="393" t="s">
        <v>2376</v>
      </c>
      <c r="N159" s="343" t="s">
        <v>2343</v>
      </c>
      <c r="O159" s="150" t="s">
        <v>1171</v>
      </c>
      <c r="P159" s="91" t="s">
        <v>739</v>
      </c>
      <c r="Q159" s="343"/>
      <c r="R159" s="346" t="s">
        <v>2339</v>
      </c>
      <c r="S159" s="346" t="s">
        <v>1710</v>
      </c>
      <c r="T159" s="386" t="s">
        <v>707</v>
      </c>
      <c r="U159" s="346" t="s">
        <v>1348</v>
      </c>
      <c r="V159" s="437"/>
      <c r="W159" s="358">
        <v>5357.52</v>
      </c>
      <c r="X159" s="378">
        <v>0</v>
      </c>
      <c r="Y159" s="425"/>
      <c r="Z159" s="71"/>
      <c r="AA159" s="433"/>
      <c r="AB159" s="434"/>
      <c r="AC159" s="434"/>
      <c r="AD159" s="428" t="s">
        <v>1142</v>
      </c>
      <c r="AE159" s="429">
        <v>0</v>
      </c>
      <c r="AF159" s="429">
        <v>0</v>
      </c>
      <c r="AG159" s="388">
        <v>0</v>
      </c>
      <c r="AH159" s="388">
        <v>0</v>
      </c>
      <c r="AI159" s="388">
        <v>0</v>
      </c>
      <c r="AJ159" s="388">
        <v>0</v>
      </c>
      <c r="AK159" s="388">
        <v>0</v>
      </c>
      <c r="AL159" s="388">
        <v>0</v>
      </c>
      <c r="AM159" s="360">
        <f t="shared" si="5"/>
        <v>0</v>
      </c>
      <c r="AN159" s="362">
        <f>ERP_26[[#This Row],[2026 Working Total]]-ERP_26[[#This Row],[LE2 Final Submission]]</f>
        <v>0</v>
      </c>
      <c r="AO159" s="79">
        <v>0</v>
      </c>
      <c r="AP159" s="79">
        <f t="shared" si="6"/>
        <v>0</v>
      </c>
      <c r="AQ159" s="374">
        <f>SUM(ERP_26[[#This Row],[AP01]:[AP06]])-SUM(ERP_26[[#This Row],[AP01 LE2]:[AP06 LE2]])</f>
        <v>0</v>
      </c>
      <c r="AR159" s="80"/>
      <c r="AS159" s="79">
        <f>ERP_26[[#This Row],[2026 Working Total to Budget/LE]]-ERP_26[[#This Row],[Giveback]]</f>
        <v>0</v>
      </c>
      <c r="AT159" s="81"/>
      <c r="AU159" s="375"/>
      <c r="AV159" s="375"/>
      <c r="AW159" s="375"/>
      <c r="AX159" s="375">
        <v>0</v>
      </c>
      <c r="AY159" s="375">
        <v>0</v>
      </c>
      <c r="AZ159" s="375">
        <v>0</v>
      </c>
      <c r="BA159" s="375">
        <v>0</v>
      </c>
      <c r="BB159" s="375">
        <v>0</v>
      </c>
      <c r="BC159" s="375">
        <v>0</v>
      </c>
      <c r="BD159" s="375">
        <v>0</v>
      </c>
      <c r="BE159" s="375">
        <v>0</v>
      </c>
      <c r="BF159" s="375">
        <v>0</v>
      </c>
      <c r="BG159" s="375">
        <v>0</v>
      </c>
      <c r="BH159" s="103">
        <v>5357.52</v>
      </c>
      <c r="BI159" s="103">
        <v>0</v>
      </c>
      <c r="BJ159" s="103">
        <v>0</v>
      </c>
      <c r="BK159" s="103">
        <v>0</v>
      </c>
      <c r="BL159" s="103">
        <v>0</v>
      </c>
      <c r="BM159" s="103">
        <v>0</v>
      </c>
      <c r="BN159" s="103">
        <v>0</v>
      </c>
      <c r="BO159" s="103">
        <v>0</v>
      </c>
      <c r="BP159" s="103">
        <v>0</v>
      </c>
      <c r="BQ159" s="103">
        <v>0</v>
      </c>
      <c r="BR159" s="103">
        <v>0</v>
      </c>
      <c r="BS159" s="103">
        <v>0</v>
      </c>
      <c r="BT159" s="79">
        <f>SUM(ERP_26[[#This Row],[2026 AP01]:[2026 AP12]])</f>
        <v>5357.52</v>
      </c>
    </row>
    <row r="160" spans="1:72" ht="15" customHeight="1">
      <c r="A160" s="79" t="s">
        <v>2377</v>
      </c>
      <c r="B160" s="79"/>
      <c r="C160" s="79" t="s">
        <v>740</v>
      </c>
      <c r="D160" s="296" t="s">
        <v>740</v>
      </c>
      <c r="E160" s="150" t="s">
        <v>1136</v>
      </c>
      <c r="F160" s="482" t="s">
        <v>1566</v>
      </c>
      <c r="G160" s="150" t="s">
        <v>1135</v>
      </c>
      <c r="H160" s="150" t="s">
        <v>1135</v>
      </c>
      <c r="I160" s="332" t="s">
        <v>1135</v>
      </c>
      <c r="J160" s="383" t="s">
        <v>1135</v>
      </c>
      <c r="K160" s="331" t="s">
        <v>1137</v>
      </c>
      <c r="L160" s="512" t="s">
        <v>639</v>
      </c>
      <c r="M160" s="393" t="s">
        <v>2378</v>
      </c>
      <c r="N160" s="343" t="s">
        <v>2343</v>
      </c>
      <c r="O160" s="150" t="s">
        <v>1171</v>
      </c>
      <c r="P160" s="91" t="s">
        <v>741</v>
      </c>
      <c r="Q160" s="343"/>
      <c r="R160" s="346" t="s">
        <v>2339</v>
      </c>
      <c r="S160" s="346" t="s">
        <v>1710</v>
      </c>
      <c r="T160" s="386" t="s">
        <v>707</v>
      </c>
      <c r="U160" s="346" t="s">
        <v>1348</v>
      </c>
      <c r="V160" s="437"/>
      <c r="W160" s="358">
        <v>-5357.52</v>
      </c>
      <c r="X160" s="378">
        <v>0</v>
      </c>
      <c r="Y160" s="430"/>
      <c r="Z160" s="137"/>
      <c r="AA160" s="433"/>
      <c r="AB160" s="434"/>
      <c r="AC160" s="434"/>
      <c r="AD160" s="428" t="s">
        <v>1142</v>
      </c>
      <c r="AE160" s="429">
        <v>0</v>
      </c>
      <c r="AF160" s="429">
        <v>0</v>
      </c>
      <c r="AG160" s="388">
        <v>0</v>
      </c>
      <c r="AH160" s="388">
        <v>0</v>
      </c>
      <c r="AI160" s="388">
        <v>0</v>
      </c>
      <c r="AJ160" s="388">
        <v>0</v>
      </c>
      <c r="AK160" s="388">
        <v>0</v>
      </c>
      <c r="AL160" s="388">
        <v>0</v>
      </c>
      <c r="AM160" s="360">
        <f t="shared" si="5"/>
        <v>0</v>
      </c>
      <c r="AN160" s="362">
        <f>ERP_26[[#This Row],[2026 Working Total]]-ERP_26[[#This Row],[LE2 Final Submission]]</f>
        <v>0</v>
      </c>
      <c r="AO160" s="79">
        <v>0</v>
      </c>
      <c r="AP160" s="79">
        <f t="shared" si="6"/>
        <v>0</v>
      </c>
      <c r="AQ160" s="374">
        <f>SUM(ERP_26[[#This Row],[AP01]:[AP06]])-SUM(ERP_26[[#This Row],[AP01 LE2]:[AP06 LE2]])</f>
        <v>0</v>
      </c>
      <c r="AR160" s="80"/>
      <c r="AS160" s="79">
        <f>ERP_26[[#This Row],[2026 Working Total to Budget/LE]]-ERP_26[[#This Row],[Giveback]]</f>
        <v>0</v>
      </c>
      <c r="AT160" s="81"/>
      <c r="AU160" s="375"/>
      <c r="AV160" s="375"/>
      <c r="AW160" s="375"/>
      <c r="AX160" s="375">
        <v>0</v>
      </c>
      <c r="AY160" s="375">
        <v>0</v>
      </c>
      <c r="AZ160" s="375">
        <v>0</v>
      </c>
      <c r="BA160" s="375">
        <v>0</v>
      </c>
      <c r="BB160" s="375">
        <v>0</v>
      </c>
      <c r="BC160" s="375">
        <v>0</v>
      </c>
      <c r="BD160" s="375">
        <v>0</v>
      </c>
      <c r="BE160" s="375">
        <v>0</v>
      </c>
      <c r="BF160" s="375">
        <v>0</v>
      </c>
      <c r="BG160" s="375">
        <v>0</v>
      </c>
      <c r="BH160" s="103">
        <v>-5357.52</v>
      </c>
      <c r="BI160" s="103">
        <v>0</v>
      </c>
      <c r="BJ160" s="103">
        <v>0</v>
      </c>
      <c r="BK160" s="103">
        <v>0</v>
      </c>
      <c r="BL160" s="103">
        <v>0</v>
      </c>
      <c r="BM160" s="103">
        <v>0</v>
      </c>
      <c r="BN160" s="103">
        <v>0</v>
      </c>
      <c r="BO160" s="103">
        <v>0</v>
      </c>
      <c r="BP160" s="103">
        <v>0</v>
      </c>
      <c r="BQ160" s="103">
        <v>0</v>
      </c>
      <c r="BR160" s="103">
        <v>0</v>
      </c>
      <c r="BS160" s="103">
        <v>0</v>
      </c>
      <c r="BT160" s="79">
        <f>SUM(ERP_26[[#This Row],[2026 AP01]:[2026 AP12]])</f>
        <v>-5357.52</v>
      </c>
    </row>
    <row r="161" spans="1:72" ht="15" customHeight="1">
      <c r="A161" s="79" t="s">
        <v>2379</v>
      </c>
      <c r="B161" s="79"/>
      <c r="C161" s="79" t="s">
        <v>742</v>
      </c>
      <c r="D161" s="296" t="s">
        <v>742</v>
      </c>
      <c r="E161" s="150" t="s">
        <v>1136</v>
      </c>
      <c r="F161" s="482" t="s">
        <v>1566</v>
      </c>
      <c r="G161" s="150" t="s">
        <v>1135</v>
      </c>
      <c r="H161" s="150" t="s">
        <v>1135</v>
      </c>
      <c r="I161" s="332" t="s">
        <v>1135</v>
      </c>
      <c r="J161" s="383" t="s">
        <v>1135</v>
      </c>
      <c r="K161" s="331" t="s">
        <v>1137</v>
      </c>
      <c r="L161" s="512" t="s">
        <v>639</v>
      </c>
      <c r="M161" s="393" t="s">
        <v>2380</v>
      </c>
      <c r="N161" s="343" t="s">
        <v>2343</v>
      </c>
      <c r="O161" s="150" t="s">
        <v>1171</v>
      </c>
      <c r="P161" s="91" t="s">
        <v>743</v>
      </c>
      <c r="Q161" s="343"/>
      <c r="R161" s="346" t="s">
        <v>2339</v>
      </c>
      <c r="S161" s="346" t="s">
        <v>1710</v>
      </c>
      <c r="T161" s="386" t="s">
        <v>707</v>
      </c>
      <c r="U161" s="346" t="s">
        <v>1348</v>
      </c>
      <c r="V161" s="437"/>
      <c r="W161" s="358">
        <v>101279.37</v>
      </c>
      <c r="X161" s="378">
        <v>0</v>
      </c>
      <c r="Y161" s="425"/>
      <c r="Z161" s="71"/>
      <c r="AA161" s="433"/>
      <c r="AB161" s="434"/>
      <c r="AC161" s="434"/>
      <c r="AD161" s="428" t="s">
        <v>1142</v>
      </c>
      <c r="AE161" s="429">
        <v>0</v>
      </c>
      <c r="AF161" s="429">
        <v>0</v>
      </c>
      <c r="AG161" s="388">
        <v>0</v>
      </c>
      <c r="AH161" s="388">
        <v>0</v>
      </c>
      <c r="AI161" s="388">
        <v>0</v>
      </c>
      <c r="AJ161" s="388">
        <v>0</v>
      </c>
      <c r="AK161" s="388">
        <v>0</v>
      </c>
      <c r="AL161" s="388">
        <v>0</v>
      </c>
      <c r="AM161" s="360">
        <f t="shared" si="5"/>
        <v>0</v>
      </c>
      <c r="AN161" s="362">
        <f>ERP_26[[#This Row],[2026 Working Total]]-ERP_26[[#This Row],[LE2 Final Submission]]</f>
        <v>0</v>
      </c>
      <c r="AO161" s="79">
        <v>0</v>
      </c>
      <c r="AP161" s="79">
        <f t="shared" si="6"/>
        <v>0</v>
      </c>
      <c r="AQ161" s="374">
        <f>SUM(ERP_26[[#This Row],[AP01]:[AP06]])-SUM(ERP_26[[#This Row],[AP01 LE2]:[AP06 LE2]])</f>
        <v>0</v>
      </c>
      <c r="AR161" s="80"/>
      <c r="AS161" s="79">
        <f>ERP_26[[#This Row],[2026 Working Total to Budget/LE]]-ERP_26[[#This Row],[Giveback]]</f>
        <v>0</v>
      </c>
      <c r="AT161" s="81"/>
      <c r="AU161" s="375"/>
      <c r="AV161" s="375"/>
      <c r="AW161" s="375"/>
      <c r="AX161" s="375">
        <v>0</v>
      </c>
      <c r="AY161" s="375">
        <v>0</v>
      </c>
      <c r="AZ161" s="375">
        <v>0</v>
      </c>
      <c r="BA161" s="375">
        <v>0</v>
      </c>
      <c r="BB161" s="375">
        <v>0</v>
      </c>
      <c r="BC161" s="375">
        <v>0</v>
      </c>
      <c r="BD161" s="375">
        <v>0</v>
      </c>
      <c r="BE161" s="375">
        <v>0</v>
      </c>
      <c r="BF161" s="375">
        <v>0</v>
      </c>
      <c r="BG161" s="375">
        <v>0</v>
      </c>
      <c r="BH161" s="103">
        <v>101279.37</v>
      </c>
      <c r="BI161" s="103">
        <v>0</v>
      </c>
      <c r="BJ161" s="103">
        <v>0</v>
      </c>
      <c r="BK161" s="103">
        <v>0</v>
      </c>
      <c r="BL161" s="103">
        <v>0</v>
      </c>
      <c r="BM161" s="103">
        <v>0</v>
      </c>
      <c r="BN161" s="103">
        <v>0</v>
      </c>
      <c r="BO161" s="103">
        <v>0</v>
      </c>
      <c r="BP161" s="103">
        <v>0</v>
      </c>
      <c r="BQ161" s="103">
        <v>0</v>
      </c>
      <c r="BR161" s="103">
        <v>0</v>
      </c>
      <c r="BS161" s="103">
        <v>0</v>
      </c>
      <c r="BT161" s="79">
        <f>SUM(ERP_26[[#This Row],[2026 AP01]:[2026 AP12]])</f>
        <v>101279.37</v>
      </c>
    </row>
    <row r="162" spans="1:72" ht="15" customHeight="1">
      <c r="A162" s="79" t="s">
        <v>2381</v>
      </c>
      <c r="B162" s="79"/>
      <c r="C162" s="79" t="s">
        <v>744</v>
      </c>
      <c r="D162" s="296" t="s">
        <v>744</v>
      </c>
      <c r="E162" s="150" t="s">
        <v>1136</v>
      </c>
      <c r="F162" s="482" t="s">
        <v>1566</v>
      </c>
      <c r="G162" s="150" t="s">
        <v>1135</v>
      </c>
      <c r="H162" s="150" t="s">
        <v>1135</v>
      </c>
      <c r="I162" s="332" t="s">
        <v>1135</v>
      </c>
      <c r="J162" s="383" t="s">
        <v>1135</v>
      </c>
      <c r="K162" s="331" t="s">
        <v>1137</v>
      </c>
      <c r="L162" s="512" t="s">
        <v>639</v>
      </c>
      <c r="M162" s="393" t="s">
        <v>2382</v>
      </c>
      <c r="N162" s="343" t="s">
        <v>2343</v>
      </c>
      <c r="O162" s="150" t="s">
        <v>1171</v>
      </c>
      <c r="P162" s="91" t="s">
        <v>745</v>
      </c>
      <c r="Q162" s="343"/>
      <c r="R162" s="346" t="s">
        <v>2339</v>
      </c>
      <c r="S162" s="346" t="s">
        <v>1710</v>
      </c>
      <c r="T162" s="386" t="s">
        <v>707</v>
      </c>
      <c r="U162" s="346" t="s">
        <v>1348</v>
      </c>
      <c r="V162" s="437"/>
      <c r="W162" s="358">
        <v>-101279.37</v>
      </c>
      <c r="X162" s="378">
        <v>0</v>
      </c>
      <c r="Y162" s="425"/>
      <c r="Z162" s="71"/>
      <c r="AA162" s="433"/>
      <c r="AB162" s="434"/>
      <c r="AC162" s="434"/>
      <c r="AD162" s="428" t="s">
        <v>1142</v>
      </c>
      <c r="AE162" s="429">
        <v>0</v>
      </c>
      <c r="AF162" s="429">
        <v>0</v>
      </c>
      <c r="AG162" s="388">
        <v>0</v>
      </c>
      <c r="AH162" s="388">
        <v>0</v>
      </c>
      <c r="AI162" s="388">
        <v>0</v>
      </c>
      <c r="AJ162" s="388">
        <v>0</v>
      </c>
      <c r="AK162" s="388">
        <v>0</v>
      </c>
      <c r="AL162" s="388">
        <v>0</v>
      </c>
      <c r="AM162" s="360">
        <f t="shared" si="5"/>
        <v>0</v>
      </c>
      <c r="AN162" s="362">
        <f>ERP_26[[#This Row],[2026 Working Total]]-ERP_26[[#This Row],[LE2 Final Submission]]</f>
        <v>0</v>
      </c>
      <c r="AO162" s="79">
        <v>0</v>
      </c>
      <c r="AP162" s="79">
        <f t="shared" si="6"/>
        <v>0</v>
      </c>
      <c r="AQ162" s="374">
        <f>SUM(ERP_26[[#This Row],[AP01]:[AP06]])-SUM(ERP_26[[#This Row],[AP01 LE2]:[AP06 LE2]])</f>
        <v>0</v>
      </c>
      <c r="AR162" s="80"/>
      <c r="AS162" s="79">
        <f>ERP_26[[#This Row],[2026 Working Total to Budget/LE]]-ERP_26[[#This Row],[Giveback]]</f>
        <v>0</v>
      </c>
      <c r="AT162" s="81"/>
      <c r="AU162" s="375"/>
      <c r="AV162" s="375"/>
      <c r="AW162" s="375"/>
      <c r="AX162" s="375">
        <v>0</v>
      </c>
      <c r="AY162" s="375">
        <v>0</v>
      </c>
      <c r="AZ162" s="375">
        <v>0</v>
      </c>
      <c r="BA162" s="375">
        <v>0</v>
      </c>
      <c r="BB162" s="375">
        <v>0</v>
      </c>
      <c r="BC162" s="375">
        <v>0</v>
      </c>
      <c r="BD162" s="375">
        <v>0</v>
      </c>
      <c r="BE162" s="375">
        <v>0</v>
      </c>
      <c r="BF162" s="375">
        <v>0</v>
      </c>
      <c r="BG162" s="375">
        <v>0</v>
      </c>
      <c r="BH162" s="103">
        <v>-101279.37</v>
      </c>
      <c r="BI162" s="103">
        <v>0</v>
      </c>
      <c r="BJ162" s="103">
        <v>0</v>
      </c>
      <c r="BK162" s="103">
        <v>0</v>
      </c>
      <c r="BL162" s="103">
        <v>0</v>
      </c>
      <c r="BM162" s="103">
        <v>0</v>
      </c>
      <c r="BN162" s="103">
        <v>0</v>
      </c>
      <c r="BO162" s="103">
        <v>0</v>
      </c>
      <c r="BP162" s="103">
        <v>0</v>
      </c>
      <c r="BQ162" s="103">
        <v>0</v>
      </c>
      <c r="BR162" s="103">
        <v>0</v>
      </c>
      <c r="BS162" s="103">
        <v>0</v>
      </c>
      <c r="BT162" s="79">
        <f>SUM(ERP_26[[#This Row],[2026 AP01]:[2026 AP12]])</f>
        <v>-101279.37</v>
      </c>
    </row>
    <row r="163" spans="1:72" ht="15" customHeight="1">
      <c r="A163" s="79" t="s">
        <v>2383</v>
      </c>
      <c r="B163" s="79"/>
      <c r="C163" s="79" t="s">
        <v>746</v>
      </c>
      <c r="D163" s="296" t="s">
        <v>746</v>
      </c>
      <c r="E163" s="150" t="s">
        <v>1136</v>
      </c>
      <c r="F163" s="482" t="s">
        <v>1566</v>
      </c>
      <c r="G163" s="150" t="s">
        <v>1135</v>
      </c>
      <c r="H163" s="150" t="s">
        <v>1135</v>
      </c>
      <c r="I163" s="332" t="s">
        <v>1135</v>
      </c>
      <c r="J163" s="383" t="s">
        <v>1135</v>
      </c>
      <c r="K163" s="331" t="s">
        <v>1137</v>
      </c>
      <c r="L163" s="512" t="s">
        <v>639</v>
      </c>
      <c r="M163" s="393" t="s">
        <v>2384</v>
      </c>
      <c r="N163" s="343" t="s">
        <v>2343</v>
      </c>
      <c r="O163" s="150" t="s">
        <v>1171</v>
      </c>
      <c r="P163" s="91" t="s">
        <v>747</v>
      </c>
      <c r="Q163" s="343"/>
      <c r="R163" s="346" t="s">
        <v>2339</v>
      </c>
      <c r="S163" s="346" t="s">
        <v>1710</v>
      </c>
      <c r="T163" s="386" t="s">
        <v>707</v>
      </c>
      <c r="U163" s="346" t="s">
        <v>1348</v>
      </c>
      <c r="V163" s="437"/>
      <c r="W163" s="358">
        <v>169017.36</v>
      </c>
      <c r="X163" s="378">
        <v>0</v>
      </c>
      <c r="Y163" s="430"/>
      <c r="Z163" s="137"/>
      <c r="AA163" s="433"/>
      <c r="AB163" s="434"/>
      <c r="AC163" s="434"/>
      <c r="AD163" s="428" t="s">
        <v>1142</v>
      </c>
      <c r="AE163" s="429">
        <v>0</v>
      </c>
      <c r="AF163" s="429">
        <v>0</v>
      </c>
      <c r="AG163" s="388">
        <v>0</v>
      </c>
      <c r="AH163" s="388">
        <v>0</v>
      </c>
      <c r="AI163" s="388">
        <v>0</v>
      </c>
      <c r="AJ163" s="388">
        <v>0</v>
      </c>
      <c r="AK163" s="388">
        <v>0</v>
      </c>
      <c r="AL163" s="388">
        <v>0</v>
      </c>
      <c r="AM163" s="360">
        <f t="shared" si="5"/>
        <v>0</v>
      </c>
      <c r="AN163" s="362">
        <f>ERP_26[[#This Row],[2026 Working Total]]-ERP_26[[#This Row],[LE2 Final Submission]]</f>
        <v>0</v>
      </c>
      <c r="AO163" s="79">
        <v>0</v>
      </c>
      <c r="AP163" s="79">
        <f t="shared" si="6"/>
        <v>0</v>
      </c>
      <c r="AQ163" s="374">
        <f>SUM(ERP_26[[#This Row],[AP01]:[AP06]])-SUM(ERP_26[[#This Row],[AP01 LE2]:[AP06 LE2]])</f>
        <v>0</v>
      </c>
      <c r="AR163" s="80"/>
      <c r="AS163" s="79">
        <f>ERP_26[[#This Row],[2026 Working Total to Budget/LE]]-ERP_26[[#This Row],[Giveback]]</f>
        <v>0</v>
      </c>
      <c r="AT163" s="81"/>
      <c r="AU163" s="375"/>
      <c r="AV163" s="375"/>
      <c r="AW163" s="375"/>
      <c r="AX163" s="375">
        <v>0</v>
      </c>
      <c r="AY163" s="375">
        <v>0</v>
      </c>
      <c r="AZ163" s="375">
        <v>0</v>
      </c>
      <c r="BA163" s="375">
        <v>0</v>
      </c>
      <c r="BB163" s="375">
        <v>0</v>
      </c>
      <c r="BC163" s="375">
        <v>0</v>
      </c>
      <c r="BD163" s="375">
        <v>0</v>
      </c>
      <c r="BE163" s="375">
        <v>0</v>
      </c>
      <c r="BF163" s="375">
        <v>0</v>
      </c>
      <c r="BG163" s="375">
        <v>0</v>
      </c>
      <c r="BH163" s="103">
        <v>169017.36</v>
      </c>
      <c r="BI163" s="103">
        <v>0</v>
      </c>
      <c r="BJ163" s="103">
        <v>0</v>
      </c>
      <c r="BK163" s="103">
        <v>0</v>
      </c>
      <c r="BL163" s="103">
        <v>0</v>
      </c>
      <c r="BM163" s="103">
        <v>0</v>
      </c>
      <c r="BN163" s="103">
        <v>0</v>
      </c>
      <c r="BO163" s="103">
        <v>0</v>
      </c>
      <c r="BP163" s="103">
        <v>0</v>
      </c>
      <c r="BQ163" s="103">
        <v>0</v>
      </c>
      <c r="BR163" s="103">
        <v>0</v>
      </c>
      <c r="BS163" s="103">
        <v>0</v>
      </c>
      <c r="BT163" s="79">
        <f>SUM(ERP_26[[#This Row],[2026 AP01]:[2026 AP12]])</f>
        <v>169017.36</v>
      </c>
    </row>
    <row r="164" spans="1:72" ht="15" customHeight="1">
      <c r="A164" s="79" t="s">
        <v>2385</v>
      </c>
      <c r="B164" s="79"/>
      <c r="C164" s="79" t="s">
        <v>748</v>
      </c>
      <c r="D164" s="296" t="s">
        <v>748</v>
      </c>
      <c r="E164" s="150" t="s">
        <v>1136</v>
      </c>
      <c r="F164" s="482" t="s">
        <v>1566</v>
      </c>
      <c r="G164" s="150" t="s">
        <v>1135</v>
      </c>
      <c r="H164" s="150" t="s">
        <v>1135</v>
      </c>
      <c r="I164" s="332" t="s">
        <v>1135</v>
      </c>
      <c r="J164" s="383" t="s">
        <v>1135</v>
      </c>
      <c r="K164" s="331" t="s">
        <v>1137</v>
      </c>
      <c r="L164" s="512" t="s">
        <v>639</v>
      </c>
      <c r="M164" s="393" t="s">
        <v>2386</v>
      </c>
      <c r="N164" s="343" t="s">
        <v>2343</v>
      </c>
      <c r="O164" s="150" t="s">
        <v>1171</v>
      </c>
      <c r="P164" s="91" t="s">
        <v>749</v>
      </c>
      <c r="Q164" s="343"/>
      <c r="R164" s="346" t="s">
        <v>2339</v>
      </c>
      <c r="S164" s="346" t="s">
        <v>1710</v>
      </c>
      <c r="T164" s="386" t="s">
        <v>707</v>
      </c>
      <c r="U164" s="346" t="s">
        <v>1348</v>
      </c>
      <c r="V164" s="437"/>
      <c r="W164" s="358">
        <v>-169017.36</v>
      </c>
      <c r="X164" s="378">
        <v>0</v>
      </c>
      <c r="Y164" s="425"/>
      <c r="Z164" s="71"/>
      <c r="AA164" s="433"/>
      <c r="AB164" s="434"/>
      <c r="AC164" s="434"/>
      <c r="AD164" s="428" t="s">
        <v>1142</v>
      </c>
      <c r="AE164" s="429">
        <v>0</v>
      </c>
      <c r="AF164" s="429">
        <v>0</v>
      </c>
      <c r="AG164" s="388">
        <v>0</v>
      </c>
      <c r="AH164" s="388">
        <v>0</v>
      </c>
      <c r="AI164" s="388">
        <v>0</v>
      </c>
      <c r="AJ164" s="388">
        <v>0</v>
      </c>
      <c r="AK164" s="388">
        <v>0</v>
      </c>
      <c r="AL164" s="388">
        <v>0</v>
      </c>
      <c r="AM164" s="360">
        <f t="shared" si="5"/>
        <v>0</v>
      </c>
      <c r="AN164" s="362">
        <f>ERP_26[[#This Row],[2026 Working Total]]-ERP_26[[#This Row],[LE2 Final Submission]]</f>
        <v>0</v>
      </c>
      <c r="AO164" s="79">
        <v>0</v>
      </c>
      <c r="AP164" s="79">
        <f t="shared" si="6"/>
        <v>0</v>
      </c>
      <c r="AQ164" s="374">
        <f>SUM(ERP_26[[#This Row],[AP01]:[AP06]])-SUM(ERP_26[[#This Row],[AP01 LE2]:[AP06 LE2]])</f>
        <v>0</v>
      </c>
      <c r="AR164" s="80"/>
      <c r="AS164" s="79">
        <f>ERP_26[[#This Row],[2026 Working Total to Budget/LE]]-ERP_26[[#This Row],[Giveback]]</f>
        <v>0</v>
      </c>
      <c r="AT164" s="81"/>
      <c r="AU164" s="375"/>
      <c r="AV164" s="375"/>
      <c r="AW164" s="375"/>
      <c r="AX164" s="375">
        <v>0</v>
      </c>
      <c r="AY164" s="375">
        <v>0</v>
      </c>
      <c r="AZ164" s="375">
        <v>0</v>
      </c>
      <c r="BA164" s="375">
        <v>0</v>
      </c>
      <c r="BB164" s="375">
        <v>0</v>
      </c>
      <c r="BC164" s="375">
        <v>0</v>
      </c>
      <c r="BD164" s="375">
        <v>0</v>
      </c>
      <c r="BE164" s="375">
        <v>0</v>
      </c>
      <c r="BF164" s="375">
        <v>0</v>
      </c>
      <c r="BG164" s="375">
        <v>0</v>
      </c>
      <c r="BH164" s="103">
        <v>-169017.36</v>
      </c>
      <c r="BI164" s="103">
        <v>0</v>
      </c>
      <c r="BJ164" s="103">
        <v>0</v>
      </c>
      <c r="BK164" s="103">
        <v>0</v>
      </c>
      <c r="BL164" s="103">
        <v>0</v>
      </c>
      <c r="BM164" s="103">
        <v>0</v>
      </c>
      <c r="BN164" s="103">
        <v>0</v>
      </c>
      <c r="BO164" s="103">
        <v>0</v>
      </c>
      <c r="BP164" s="103">
        <v>0</v>
      </c>
      <c r="BQ164" s="103">
        <v>0</v>
      </c>
      <c r="BR164" s="103">
        <v>0</v>
      </c>
      <c r="BS164" s="103">
        <v>0</v>
      </c>
      <c r="BT164" s="79">
        <f>SUM(ERP_26[[#This Row],[2026 AP01]:[2026 AP12]])</f>
        <v>-169017.36</v>
      </c>
    </row>
    <row r="165" spans="1:72" ht="15" customHeight="1">
      <c r="A165" s="79" t="s">
        <v>2387</v>
      </c>
      <c r="B165" s="79"/>
      <c r="C165" s="79" t="s">
        <v>750</v>
      </c>
      <c r="D165" s="296" t="s">
        <v>750</v>
      </c>
      <c r="E165" s="150" t="s">
        <v>1136</v>
      </c>
      <c r="F165" s="482" t="s">
        <v>1566</v>
      </c>
      <c r="G165" s="150" t="s">
        <v>1135</v>
      </c>
      <c r="H165" s="150" t="s">
        <v>1135</v>
      </c>
      <c r="I165" s="332" t="s">
        <v>1135</v>
      </c>
      <c r="J165" s="383" t="s">
        <v>1135</v>
      </c>
      <c r="K165" s="331" t="s">
        <v>1137</v>
      </c>
      <c r="L165" s="512" t="s">
        <v>639</v>
      </c>
      <c r="M165" s="393" t="s">
        <v>2388</v>
      </c>
      <c r="N165" s="343" t="s">
        <v>2343</v>
      </c>
      <c r="O165" s="150" t="s">
        <v>1171</v>
      </c>
      <c r="P165" s="91" t="s">
        <v>751</v>
      </c>
      <c r="Q165" s="343"/>
      <c r="R165" s="346" t="s">
        <v>2339</v>
      </c>
      <c r="S165" s="346" t="s">
        <v>1710</v>
      </c>
      <c r="T165" s="386" t="s">
        <v>707</v>
      </c>
      <c r="U165" s="346" t="s">
        <v>1348</v>
      </c>
      <c r="V165" s="437"/>
      <c r="W165" s="358">
        <v>872512.08</v>
      </c>
      <c r="X165" s="378">
        <v>0</v>
      </c>
      <c r="Y165" s="425"/>
      <c r="Z165" s="71"/>
      <c r="AA165" s="433"/>
      <c r="AB165" s="434"/>
      <c r="AC165" s="434"/>
      <c r="AD165" s="428" t="s">
        <v>1142</v>
      </c>
      <c r="AE165" s="429">
        <v>0</v>
      </c>
      <c r="AF165" s="429">
        <v>0</v>
      </c>
      <c r="AG165" s="388">
        <v>0</v>
      </c>
      <c r="AH165" s="388">
        <v>0</v>
      </c>
      <c r="AI165" s="388">
        <v>0</v>
      </c>
      <c r="AJ165" s="388">
        <v>0</v>
      </c>
      <c r="AK165" s="388">
        <v>0</v>
      </c>
      <c r="AL165" s="388">
        <v>0</v>
      </c>
      <c r="AM165" s="360">
        <f t="shared" si="5"/>
        <v>0</v>
      </c>
      <c r="AN165" s="362">
        <f>ERP_26[[#This Row],[2026 Working Total]]-ERP_26[[#This Row],[LE2 Final Submission]]</f>
        <v>0</v>
      </c>
      <c r="AO165" s="79">
        <v>0</v>
      </c>
      <c r="AP165" s="79">
        <f t="shared" si="6"/>
        <v>0</v>
      </c>
      <c r="AQ165" s="374">
        <f>SUM(ERP_26[[#This Row],[AP01]:[AP06]])-SUM(ERP_26[[#This Row],[AP01 LE2]:[AP06 LE2]])</f>
        <v>0</v>
      </c>
      <c r="AR165" s="80"/>
      <c r="AS165" s="79">
        <f>ERP_26[[#This Row],[2026 Working Total to Budget/LE]]-ERP_26[[#This Row],[Giveback]]</f>
        <v>0</v>
      </c>
      <c r="AT165" s="81"/>
      <c r="AU165" s="375"/>
      <c r="AV165" s="375"/>
      <c r="AW165" s="375"/>
      <c r="AX165" s="375">
        <v>0</v>
      </c>
      <c r="AY165" s="375">
        <v>0</v>
      </c>
      <c r="AZ165" s="375">
        <v>0</v>
      </c>
      <c r="BA165" s="375">
        <v>0</v>
      </c>
      <c r="BB165" s="375">
        <v>0</v>
      </c>
      <c r="BC165" s="375">
        <v>0</v>
      </c>
      <c r="BD165" s="375">
        <v>0</v>
      </c>
      <c r="BE165" s="375">
        <v>0</v>
      </c>
      <c r="BF165" s="375">
        <v>0</v>
      </c>
      <c r="BG165" s="375">
        <v>0</v>
      </c>
      <c r="BH165" s="103">
        <v>872512.08</v>
      </c>
      <c r="BI165" s="103">
        <v>0</v>
      </c>
      <c r="BJ165" s="103">
        <v>0</v>
      </c>
      <c r="BK165" s="103">
        <v>0</v>
      </c>
      <c r="BL165" s="103">
        <v>0</v>
      </c>
      <c r="BM165" s="103">
        <v>0</v>
      </c>
      <c r="BN165" s="103">
        <v>0</v>
      </c>
      <c r="BO165" s="103">
        <v>0</v>
      </c>
      <c r="BP165" s="103">
        <v>0</v>
      </c>
      <c r="BQ165" s="103">
        <v>0</v>
      </c>
      <c r="BR165" s="103">
        <v>0</v>
      </c>
      <c r="BS165" s="103">
        <v>0</v>
      </c>
      <c r="BT165" s="79">
        <f>SUM(ERP_26[[#This Row],[2026 AP01]:[2026 AP12]])</f>
        <v>872512.08</v>
      </c>
    </row>
    <row r="166" spans="1:72" ht="15" customHeight="1">
      <c r="A166" s="79" t="s">
        <v>2389</v>
      </c>
      <c r="B166" s="79"/>
      <c r="C166" s="79" t="s">
        <v>752</v>
      </c>
      <c r="D166" s="296" t="s">
        <v>752</v>
      </c>
      <c r="E166" s="150" t="s">
        <v>1136</v>
      </c>
      <c r="F166" s="482" t="s">
        <v>1566</v>
      </c>
      <c r="G166" s="150" t="s">
        <v>1135</v>
      </c>
      <c r="H166" s="150" t="s">
        <v>1135</v>
      </c>
      <c r="I166" s="332" t="s">
        <v>1135</v>
      </c>
      <c r="J166" s="383" t="s">
        <v>1135</v>
      </c>
      <c r="K166" s="331" t="s">
        <v>1137</v>
      </c>
      <c r="L166" s="512" t="s">
        <v>639</v>
      </c>
      <c r="M166" s="393" t="s">
        <v>2390</v>
      </c>
      <c r="N166" s="343" t="s">
        <v>2343</v>
      </c>
      <c r="O166" s="150" t="s">
        <v>1171</v>
      </c>
      <c r="P166" s="91" t="s">
        <v>753</v>
      </c>
      <c r="Q166" s="343"/>
      <c r="R166" s="346" t="s">
        <v>2339</v>
      </c>
      <c r="S166" s="346" t="s">
        <v>1710</v>
      </c>
      <c r="T166" s="386" t="s">
        <v>707</v>
      </c>
      <c r="U166" s="346" t="s">
        <v>1348</v>
      </c>
      <c r="V166" s="437"/>
      <c r="W166" s="358">
        <v>-872512.08</v>
      </c>
      <c r="X166" s="378">
        <v>0</v>
      </c>
      <c r="Y166" s="430"/>
      <c r="Z166" s="137"/>
      <c r="AA166" s="433"/>
      <c r="AB166" s="434"/>
      <c r="AC166" s="434"/>
      <c r="AD166" s="428" t="s">
        <v>1142</v>
      </c>
      <c r="AE166" s="429">
        <v>0</v>
      </c>
      <c r="AF166" s="429">
        <v>0</v>
      </c>
      <c r="AG166" s="388">
        <v>0</v>
      </c>
      <c r="AH166" s="388">
        <v>0</v>
      </c>
      <c r="AI166" s="388">
        <v>0</v>
      </c>
      <c r="AJ166" s="388">
        <v>0</v>
      </c>
      <c r="AK166" s="388">
        <v>0</v>
      </c>
      <c r="AL166" s="388">
        <v>0</v>
      </c>
      <c r="AM166" s="360">
        <f t="shared" si="5"/>
        <v>0</v>
      </c>
      <c r="AN166" s="362">
        <f>ERP_26[[#This Row],[2026 Working Total]]-ERP_26[[#This Row],[LE2 Final Submission]]</f>
        <v>0</v>
      </c>
      <c r="AO166" s="79">
        <v>0</v>
      </c>
      <c r="AP166" s="79">
        <f t="shared" si="6"/>
        <v>0</v>
      </c>
      <c r="AQ166" s="374">
        <f>SUM(ERP_26[[#This Row],[AP01]:[AP06]])-SUM(ERP_26[[#This Row],[AP01 LE2]:[AP06 LE2]])</f>
        <v>0</v>
      </c>
      <c r="AR166" s="80"/>
      <c r="AS166" s="79">
        <f>ERP_26[[#This Row],[2026 Working Total to Budget/LE]]-ERP_26[[#This Row],[Giveback]]</f>
        <v>0</v>
      </c>
      <c r="AT166" s="81"/>
      <c r="AU166" s="375"/>
      <c r="AV166" s="375"/>
      <c r="AW166" s="375"/>
      <c r="AX166" s="375">
        <v>0</v>
      </c>
      <c r="AY166" s="375">
        <v>0</v>
      </c>
      <c r="AZ166" s="375">
        <v>0</v>
      </c>
      <c r="BA166" s="375">
        <v>0</v>
      </c>
      <c r="BB166" s="375">
        <v>0</v>
      </c>
      <c r="BC166" s="375">
        <v>0</v>
      </c>
      <c r="BD166" s="375">
        <v>0</v>
      </c>
      <c r="BE166" s="375">
        <v>0</v>
      </c>
      <c r="BF166" s="375">
        <v>0</v>
      </c>
      <c r="BG166" s="375">
        <v>0</v>
      </c>
      <c r="BH166" s="103">
        <v>-872512.08</v>
      </c>
      <c r="BI166" s="103">
        <v>0</v>
      </c>
      <c r="BJ166" s="103">
        <v>0</v>
      </c>
      <c r="BK166" s="103">
        <v>0</v>
      </c>
      <c r="BL166" s="103">
        <v>0</v>
      </c>
      <c r="BM166" s="103">
        <v>0</v>
      </c>
      <c r="BN166" s="103">
        <v>0</v>
      </c>
      <c r="BO166" s="103">
        <v>0</v>
      </c>
      <c r="BP166" s="103">
        <v>0</v>
      </c>
      <c r="BQ166" s="103">
        <v>0</v>
      </c>
      <c r="BR166" s="103">
        <v>0</v>
      </c>
      <c r="BS166" s="103">
        <v>0</v>
      </c>
      <c r="BT166" s="79">
        <f>SUM(ERP_26[[#This Row],[2026 AP01]:[2026 AP12]])</f>
        <v>-872512.08</v>
      </c>
    </row>
    <row r="167" spans="1:72" ht="15" customHeight="1">
      <c r="A167" s="79" t="s">
        <v>2391</v>
      </c>
      <c r="B167" s="79"/>
      <c r="C167" s="79" t="s">
        <v>754</v>
      </c>
      <c r="D167" s="296" t="s">
        <v>754</v>
      </c>
      <c r="E167" s="150" t="s">
        <v>1136</v>
      </c>
      <c r="F167" s="482" t="s">
        <v>1566</v>
      </c>
      <c r="G167" s="150" t="s">
        <v>1135</v>
      </c>
      <c r="H167" s="150" t="s">
        <v>1135</v>
      </c>
      <c r="I167" s="332" t="s">
        <v>1135</v>
      </c>
      <c r="J167" s="383" t="s">
        <v>1135</v>
      </c>
      <c r="K167" s="331" t="s">
        <v>1137</v>
      </c>
      <c r="L167" s="512" t="s">
        <v>639</v>
      </c>
      <c r="M167" s="393" t="s">
        <v>2392</v>
      </c>
      <c r="N167" s="343" t="s">
        <v>2343</v>
      </c>
      <c r="O167" s="150" t="s">
        <v>1171</v>
      </c>
      <c r="P167" s="91" t="s">
        <v>755</v>
      </c>
      <c r="Q167" s="343"/>
      <c r="R167" s="346" t="s">
        <v>2339</v>
      </c>
      <c r="S167" s="346" t="s">
        <v>1710</v>
      </c>
      <c r="T167" s="386" t="s">
        <v>707</v>
      </c>
      <c r="U167" s="346" t="s">
        <v>1348</v>
      </c>
      <c r="V167" s="437"/>
      <c r="W167" s="358">
        <v>267876.47999999998</v>
      </c>
      <c r="X167" s="378">
        <v>0</v>
      </c>
      <c r="Y167" s="425"/>
      <c r="Z167" s="71"/>
      <c r="AA167" s="433"/>
      <c r="AB167" s="434"/>
      <c r="AC167" s="434"/>
      <c r="AD167" s="428" t="s">
        <v>1142</v>
      </c>
      <c r="AE167" s="429">
        <v>0</v>
      </c>
      <c r="AF167" s="429">
        <v>0</v>
      </c>
      <c r="AG167" s="388">
        <v>0</v>
      </c>
      <c r="AH167" s="388">
        <v>0</v>
      </c>
      <c r="AI167" s="388">
        <v>0</v>
      </c>
      <c r="AJ167" s="388">
        <v>0</v>
      </c>
      <c r="AK167" s="388">
        <v>0</v>
      </c>
      <c r="AL167" s="388">
        <v>0</v>
      </c>
      <c r="AM167" s="360">
        <f t="shared" si="5"/>
        <v>0</v>
      </c>
      <c r="AN167" s="362">
        <f>ERP_26[[#This Row],[2026 Working Total]]-ERP_26[[#This Row],[LE2 Final Submission]]</f>
        <v>0</v>
      </c>
      <c r="AO167" s="79">
        <v>0</v>
      </c>
      <c r="AP167" s="79">
        <f t="shared" si="6"/>
        <v>0</v>
      </c>
      <c r="AQ167" s="374">
        <f>SUM(ERP_26[[#This Row],[AP01]:[AP06]])-SUM(ERP_26[[#This Row],[AP01 LE2]:[AP06 LE2]])</f>
        <v>0</v>
      </c>
      <c r="AR167" s="80"/>
      <c r="AS167" s="79">
        <f>ERP_26[[#This Row],[2026 Working Total to Budget/LE]]-ERP_26[[#This Row],[Giveback]]</f>
        <v>0</v>
      </c>
      <c r="AT167" s="81"/>
      <c r="AU167" s="375"/>
      <c r="AV167" s="375"/>
      <c r="AW167" s="375"/>
      <c r="AX167" s="375">
        <v>0</v>
      </c>
      <c r="AY167" s="375">
        <v>0</v>
      </c>
      <c r="AZ167" s="375">
        <v>0</v>
      </c>
      <c r="BA167" s="375">
        <v>0</v>
      </c>
      <c r="BB167" s="375">
        <v>0</v>
      </c>
      <c r="BC167" s="375">
        <v>0</v>
      </c>
      <c r="BD167" s="375">
        <v>0</v>
      </c>
      <c r="BE167" s="375">
        <v>0</v>
      </c>
      <c r="BF167" s="375">
        <v>0</v>
      </c>
      <c r="BG167" s="375">
        <v>0</v>
      </c>
      <c r="BH167" s="103">
        <v>267876.47999999998</v>
      </c>
      <c r="BI167" s="103">
        <v>0</v>
      </c>
      <c r="BJ167" s="103">
        <v>0</v>
      </c>
      <c r="BK167" s="103">
        <v>0</v>
      </c>
      <c r="BL167" s="103">
        <v>0</v>
      </c>
      <c r="BM167" s="103">
        <v>0</v>
      </c>
      <c r="BN167" s="103">
        <v>0</v>
      </c>
      <c r="BO167" s="103">
        <v>0</v>
      </c>
      <c r="BP167" s="103">
        <v>0</v>
      </c>
      <c r="BQ167" s="103">
        <v>0</v>
      </c>
      <c r="BR167" s="103">
        <v>0</v>
      </c>
      <c r="BS167" s="103">
        <v>0</v>
      </c>
      <c r="BT167" s="79">
        <f>SUM(ERP_26[[#This Row],[2026 AP01]:[2026 AP12]])</f>
        <v>267876.47999999998</v>
      </c>
    </row>
    <row r="168" spans="1:72" ht="15" customHeight="1">
      <c r="A168" s="79" t="s">
        <v>2393</v>
      </c>
      <c r="B168" s="79"/>
      <c r="C168" s="79" t="s">
        <v>756</v>
      </c>
      <c r="D168" s="296" t="s">
        <v>756</v>
      </c>
      <c r="E168" s="150" t="s">
        <v>1136</v>
      </c>
      <c r="F168" s="482" t="s">
        <v>1566</v>
      </c>
      <c r="G168" s="150" t="s">
        <v>1135</v>
      </c>
      <c r="H168" s="150" t="s">
        <v>1135</v>
      </c>
      <c r="I168" s="332" t="s">
        <v>1135</v>
      </c>
      <c r="J168" s="383" t="s">
        <v>1135</v>
      </c>
      <c r="K168" s="331" t="s">
        <v>1137</v>
      </c>
      <c r="L168" s="512" t="s">
        <v>639</v>
      </c>
      <c r="M168" s="393" t="s">
        <v>2394</v>
      </c>
      <c r="N168" s="343" t="s">
        <v>2343</v>
      </c>
      <c r="O168" s="150" t="s">
        <v>1171</v>
      </c>
      <c r="P168" s="91" t="s">
        <v>757</v>
      </c>
      <c r="Q168" s="343"/>
      <c r="R168" s="346" t="s">
        <v>2339</v>
      </c>
      <c r="S168" s="346" t="s">
        <v>1710</v>
      </c>
      <c r="T168" s="386" t="s">
        <v>707</v>
      </c>
      <c r="U168" s="346" t="s">
        <v>1348</v>
      </c>
      <c r="V168" s="437"/>
      <c r="W168" s="358">
        <v>-267876.47999999998</v>
      </c>
      <c r="X168" s="378">
        <v>0</v>
      </c>
      <c r="Y168" s="425"/>
      <c r="Z168" s="71"/>
      <c r="AA168" s="433"/>
      <c r="AB168" s="434"/>
      <c r="AC168" s="434"/>
      <c r="AD168" s="428" t="s">
        <v>1142</v>
      </c>
      <c r="AE168" s="429">
        <v>0</v>
      </c>
      <c r="AF168" s="429">
        <v>0</v>
      </c>
      <c r="AG168" s="388">
        <v>0</v>
      </c>
      <c r="AH168" s="388">
        <v>0</v>
      </c>
      <c r="AI168" s="388">
        <v>0</v>
      </c>
      <c r="AJ168" s="388">
        <v>0</v>
      </c>
      <c r="AK168" s="388">
        <v>0</v>
      </c>
      <c r="AL168" s="388">
        <v>0</v>
      </c>
      <c r="AM168" s="360">
        <f t="shared" si="5"/>
        <v>0</v>
      </c>
      <c r="AN168" s="362">
        <f>ERP_26[[#This Row],[2026 Working Total]]-ERP_26[[#This Row],[LE2 Final Submission]]</f>
        <v>0</v>
      </c>
      <c r="AO168" s="79">
        <v>0</v>
      </c>
      <c r="AP168" s="79">
        <f t="shared" si="6"/>
        <v>0</v>
      </c>
      <c r="AQ168" s="374">
        <f>SUM(ERP_26[[#This Row],[AP01]:[AP06]])-SUM(ERP_26[[#This Row],[AP01 LE2]:[AP06 LE2]])</f>
        <v>0</v>
      </c>
      <c r="AR168" s="80"/>
      <c r="AS168" s="79">
        <f>ERP_26[[#This Row],[2026 Working Total to Budget/LE]]-ERP_26[[#This Row],[Giveback]]</f>
        <v>0</v>
      </c>
      <c r="AT168" s="81"/>
      <c r="AU168" s="375"/>
      <c r="AV168" s="375"/>
      <c r="AW168" s="375"/>
      <c r="AX168" s="375">
        <v>0</v>
      </c>
      <c r="AY168" s="375">
        <v>0</v>
      </c>
      <c r="AZ168" s="375">
        <v>0</v>
      </c>
      <c r="BA168" s="375">
        <v>0</v>
      </c>
      <c r="BB168" s="375">
        <v>0</v>
      </c>
      <c r="BC168" s="375">
        <v>0</v>
      </c>
      <c r="BD168" s="375">
        <v>0</v>
      </c>
      <c r="BE168" s="375">
        <v>0</v>
      </c>
      <c r="BF168" s="375">
        <v>0</v>
      </c>
      <c r="BG168" s="375">
        <v>0</v>
      </c>
      <c r="BH168" s="103">
        <v>-267876.47999999998</v>
      </c>
      <c r="BI168" s="103">
        <v>0</v>
      </c>
      <c r="BJ168" s="103">
        <v>0</v>
      </c>
      <c r="BK168" s="103">
        <v>0</v>
      </c>
      <c r="BL168" s="103">
        <v>0</v>
      </c>
      <c r="BM168" s="103">
        <v>0</v>
      </c>
      <c r="BN168" s="103">
        <v>0</v>
      </c>
      <c r="BO168" s="103">
        <v>0</v>
      </c>
      <c r="BP168" s="103">
        <v>0</v>
      </c>
      <c r="BQ168" s="103">
        <v>0</v>
      </c>
      <c r="BR168" s="103">
        <v>0</v>
      </c>
      <c r="BS168" s="103">
        <v>0</v>
      </c>
      <c r="BT168" s="79">
        <f>SUM(ERP_26[[#This Row],[2026 AP01]:[2026 AP12]])</f>
        <v>-267876.47999999998</v>
      </c>
    </row>
    <row r="169" spans="1:72" ht="15" customHeight="1">
      <c r="A169" s="66" t="s">
        <v>2395</v>
      </c>
      <c r="B169" s="66"/>
      <c r="C169" s="66" t="s">
        <v>758</v>
      </c>
      <c r="D169" s="66" t="s">
        <v>758</v>
      </c>
      <c r="E169" s="150" t="s">
        <v>1136</v>
      </c>
      <c r="F169" s="482" t="s">
        <v>1566</v>
      </c>
      <c r="G169" s="150" t="s">
        <v>1135</v>
      </c>
      <c r="H169" s="150" t="s">
        <v>1135</v>
      </c>
      <c r="I169" s="150" t="s">
        <v>1135</v>
      </c>
      <c r="J169" s="150" t="s">
        <v>1135</v>
      </c>
      <c r="K169" s="150" t="s">
        <v>1137</v>
      </c>
      <c r="L169" s="511" t="s">
        <v>639</v>
      </c>
      <c r="M169" s="392" t="s">
        <v>2396</v>
      </c>
      <c r="N169" s="343" t="s">
        <v>1231</v>
      </c>
      <c r="O169" s="346" t="s">
        <v>1171</v>
      </c>
      <c r="P169" s="70" t="s">
        <v>759</v>
      </c>
      <c r="Q169" s="346"/>
      <c r="R169" s="346" t="s">
        <v>2339</v>
      </c>
      <c r="S169" s="346"/>
      <c r="T169" s="150" t="s">
        <v>704</v>
      </c>
      <c r="U169" s="150" t="s">
        <v>2340</v>
      </c>
      <c r="V169" s="403"/>
      <c r="W169" s="406">
        <v>2542329.3599999994</v>
      </c>
      <c r="X169" s="406">
        <v>2542329.36</v>
      </c>
      <c r="Y169" s="430"/>
      <c r="Z169" s="137"/>
      <c r="AA169" s="426">
        <v>2542329.37</v>
      </c>
      <c r="AB169" s="427">
        <v>-2118607.81</v>
      </c>
      <c r="AC169" s="427">
        <v>211860.78</v>
      </c>
      <c r="AD169" s="428" t="s">
        <v>1142</v>
      </c>
      <c r="AE169" s="429">
        <v>0</v>
      </c>
      <c r="AF169" s="429">
        <v>0</v>
      </c>
      <c r="AG169" s="363">
        <f>211860.78-211860.78</f>
        <v>0</v>
      </c>
      <c r="AH169" s="363">
        <f>211860.78+211860.78</f>
        <v>423721.56</v>
      </c>
      <c r="AI169" s="363">
        <v>211860.78</v>
      </c>
      <c r="AJ169" s="363">
        <f>211860.78-211860.78</f>
        <v>0</v>
      </c>
      <c r="AK169" s="363">
        <f>211860.78+211860.78</f>
        <v>423721.56</v>
      </c>
      <c r="AL169" s="363">
        <v>211860.78</v>
      </c>
      <c r="AM169" s="360">
        <f t="shared" si="5"/>
        <v>1906747.0200000003</v>
      </c>
      <c r="AN169" s="362">
        <f>ERP_26[[#This Row],[2026 Working Total]]-ERP_26[[#This Row],[LE2 Final Submission]]</f>
        <v>-635582.33999999962</v>
      </c>
      <c r="AO169" s="79">
        <v>423721.56</v>
      </c>
      <c r="AP169" s="79">
        <f t="shared" si="6"/>
        <v>-423721.56</v>
      </c>
      <c r="AQ169" s="374">
        <f>SUM(ERP_26[[#This Row],[AP01]:[AP06]])-SUM(ERP_26[[#This Row],[AP01 LE2]:[AP06 LE2]])</f>
        <v>-635582.34000000008</v>
      </c>
      <c r="AR169" s="80"/>
      <c r="AS169" s="79">
        <f>ERP_26[[#This Row],[2026 Working Total to Budget/LE]]-ERP_26[[#This Row],[Giveback]]</f>
        <v>-635582.33999999962</v>
      </c>
      <c r="AT169" s="81"/>
      <c r="AU169" s="375">
        <v>2542329.37</v>
      </c>
      <c r="AV169" s="375">
        <v>-2118607.81</v>
      </c>
      <c r="AW169" s="375">
        <v>211860.78</v>
      </c>
      <c r="AX169" s="375">
        <v>0</v>
      </c>
      <c r="AY169" s="375">
        <v>423721.56</v>
      </c>
      <c r="AZ169" s="375">
        <v>211860.78</v>
      </c>
      <c r="BA169" s="375">
        <v>0</v>
      </c>
      <c r="BB169" s="375">
        <v>423721.56</v>
      </c>
      <c r="BC169" s="375">
        <v>211860.78</v>
      </c>
      <c r="BD169" s="375">
        <v>0</v>
      </c>
      <c r="BE169" s="375">
        <v>423721.56</v>
      </c>
      <c r="BF169" s="375">
        <v>211860.78</v>
      </c>
      <c r="BG169" s="375">
        <v>2542329.36</v>
      </c>
      <c r="BH169" s="79">
        <v>2542329.37</v>
      </c>
      <c r="BI169" s="79">
        <v>-2118607.81</v>
      </c>
      <c r="BJ169" s="79">
        <v>211860.78</v>
      </c>
      <c r="BK169" s="79">
        <v>211860.78</v>
      </c>
      <c r="BL169" s="79">
        <v>211860.78</v>
      </c>
      <c r="BM169" s="79">
        <v>211860.78</v>
      </c>
      <c r="BN169" s="79">
        <v>211860.78</v>
      </c>
      <c r="BO169" s="79">
        <v>211860.78</v>
      </c>
      <c r="BP169" s="79">
        <v>211860.78</v>
      </c>
      <c r="BQ169" s="79">
        <v>211860.78</v>
      </c>
      <c r="BR169" s="79">
        <v>211860.78</v>
      </c>
      <c r="BS169" s="79">
        <v>211860.78</v>
      </c>
      <c r="BT169" s="79">
        <v>2542329.36</v>
      </c>
    </row>
    <row r="170" spans="1:72" ht="15" customHeight="1">
      <c r="A170" s="79" t="s">
        <v>2397</v>
      </c>
      <c r="B170" s="79"/>
      <c r="C170" s="79" t="s">
        <v>760</v>
      </c>
      <c r="D170" s="296" t="s">
        <v>760</v>
      </c>
      <c r="E170" s="150" t="s">
        <v>1136</v>
      </c>
      <c r="F170" s="482" t="s">
        <v>1566</v>
      </c>
      <c r="G170" s="150" t="s">
        <v>1135</v>
      </c>
      <c r="H170" s="150" t="s">
        <v>1135</v>
      </c>
      <c r="I170" s="332" t="s">
        <v>1135</v>
      </c>
      <c r="J170" s="383" t="s">
        <v>1135</v>
      </c>
      <c r="K170" s="331" t="s">
        <v>1137</v>
      </c>
      <c r="L170" s="512" t="s">
        <v>639</v>
      </c>
      <c r="M170" s="393" t="s">
        <v>2398</v>
      </c>
      <c r="N170" s="343" t="s">
        <v>2343</v>
      </c>
      <c r="O170" s="150" t="s">
        <v>1171</v>
      </c>
      <c r="P170" s="91" t="s">
        <v>761</v>
      </c>
      <c r="Q170" s="343"/>
      <c r="R170" s="346" t="s">
        <v>2339</v>
      </c>
      <c r="S170" s="346" t="s">
        <v>1710</v>
      </c>
      <c r="T170" s="386" t="s">
        <v>707</v>
      </c>
      <c r="U170" s="346" t="s">
        <v>1348</v>
      </c>
      <c r="V170" s="437"/>
      <c r="W170" s="358">
        <v>539731.92000000004</v>
      </c>
      <c r="X170" s="378">
        <v>0</v>
      </c>
      <c r="Y170" s="425"/>
      <c r="Z170" s="71"/>
      <c r="AA170" s="433"/>
      <c r="AB170" s="434"/>
      <c r="AC170" s="434"/>
      <c r="AD170" s="428" t="s">
        <v>1142</v>
      </c>
      <c r="AE170" s="429">
        <v>0</v>
      </c>
      <c r="AF170" s="429">
        <v>0</v>
      </c>
      <c r="AG170" s="388">
        <v>0</v>
      </c>
      <c r="AH170" s="388">
        <v>0</v>
      </c>
      <c r="AI170" s="388">
        <v>0</v>
      </c>
      <c r="AJ170" s="388">
        <v>0</v>
      </c>
      <c r="AK170" s="388">
        <v>0</v>
      </c>
      <c r="AL170" s="388">
        <v>0</v>
      </c>
      <c r="AM170" s="360">
        <f t="shared" si="5"/>
        <v>0</v>
      </c>
      <c r="AN170" s="362">
        <f>ERP_26[[#This Row],[2026 Working Total]]-ERP_26[[#This Row],[LE2 Final Submission]]</f>
        <v>0</v>
      </c>
      <c r="AO170" s="79">
        <v>0</v>
      </c>
      <c r="AP170" s="79">
        <f t="shared" si="6"/>
        <v>0</v>
      </c>
      <c r="AQ170" s="374">
        <f>SUM(ERP_26[[#This Row],[AP01]:[AP06]])-SUM(ERP_26[[#This Row],[AP01 LE2]:[AP06 LE2]])</f>
        <v>0</v>
      </c>
      <c r="AR170" s="80"/>
      <c r="AS170" s="79">
        <f>ERP_26[[#This Row],[2026 Working Total to Budget/LE]]-ERP_26[[#This Row],[Giveback]]</f>
        <v>0</v>
      </c>
      <c r="AT170" s="81"/>
      <c r="AU170" s="375"/>
      <c r="AV170" s="375"/>
      <c r="AW170" s="375"/>
      <c r="AX170" s="375">
        <v>0</v>
      </c>
      <c r="AY170" s="375">
        <v>0</v>
      </c>
      <c r="AZ170" s="375">
        <v>0</v>
      </c>
      <c r="BA170" s="375">
        <v>0</v>
      </c>
      <c r="BB170" s="375">
        <v>0</v>
      </c>
      <c r="BC170" s="375">
        <v>0</v>
      </c>
      <c r="BD170" s="375">
        <v>0</v>
      </c>
      <c r="BE170" s="375">
        <v>0</v>
      </c>
      <c r="BF170" s="375">
        <v>0</v>
      </c>
      <c r="BG170" s="375">
        <v>0</v>
      </c>
      <c r="BH170" s="103">
        <v>539731.92000000004</v>
      </c>
      <c r="BI170" s="103">
        <v>0</v>
      </c>
      <c r="BJ170" s="103">
        <v>0</v>
      </c>
      <c r="BK170" s="103">
        <v>0</v>
      </c>
      <c r="BL170" s="103">
        <v>0</v>
      </c>
      <c r="BM170" s="103">
        <v>0</v>
      </c>
      <c r="BN170" s="103">
        <v>0</v>
      </c>
      <c r="BO170" s="103">
        <v>0</v>
      </c>
      <c r="BP170" s="103">
        <v>0</v>
      </c>
      <c r="BQ170" s="103">
        <v>0</v>
      </c>
      <c r="BR170" s="103">
        <v>0</v>
      </c>
      <c r="BS170" s="103">
        <v>0</v>
      </c>
      <c r="BT170" s="79">
        <f>SUM(ERP_26[[#This Row],[2026 AP01]:[2026 AP12]])</f>
        <v>539731.92000000004</v>
      </c>
    </row>
    <row r="171" spans="1:72" ht="15" customHeight="1">
      <c r="A171" s="79" t="s">
        <v>2399</v>
      </c>
      <c r="B171" s="79"/>
      <c r="C171" s="79" t="s">
        <v>762</v>
      </c>
      <c r="D171" s="296" t="s">
        <v>762</v>
      </c>
      <c r="E171" s="150" t="s">
        <v>1136</v>
      </c>
      <c r="F171" s="482" t="s">
        <v>1566</v>
      </c>
      <c r="G171" s="150" t="s">
        <v>1135</v>
      </c>
      <c r="H171" s="150" t="s">
        <v>1135</v>
      </c>
      <c r="I171" s="332" t="s">
        <v>1135</v>
      </c>
      <c r="J171" s="383" t="s">
        <v>1135</v>
      </c>
      <c r="K171" s="331" t="s">
        <v>1137</v>
      </c>
      <c r="L171" s="512" t="s">
        <v>639</v>
      </c>
      <c r="M171" s="393" t="s">
        <v>2400</v>
      </c>
      <c r="N171" s="343" t="s">
        <v>2343</v>
      </c>
      <c r="O171" s="150" t="s">
        <v>1171</v>
      </c>
      <c r="P171" s="91" t="s">
        <v>763</v>
      </c>
      <c r="Q171" s="343"/>
      <c r="R171" s="346" t="s">
        <v>2339</v>
      </c>
      <c r="S171" s="346" t="s">
        <v>1710</v>
      </c>
      <c r="T171" s="386" t="s">
        <v>707</v>
      </c>
      <c r="U171" s="346" t="s">
        <v>1348</v>
      </c>
      <c r="V171" s="437"/>
      <c r="W171" s="358">
        <v>-539731.92000000004</v>
      </c>
      <c r="X171" s="378">
        <v>0</v>
      </c>
      <c r="Y171" s="425"/>
      <c r="Z171" s="71"/>
      <c r="AA171" s="433"/>
      <c r="AB171" s="434"/>
      <c r="AC171" s="434"/>
      <c r="AD171" s="428" t="s">
        <v>1142</v>
      </c>
      <c r="AE171" s="429">
        <v>0</v>
      </c>
      <c r="AF171" s="429">
        <v>0</v>
      </c>
      <c r="AG171" s="388">
        <v>0</v>
      </c>
      <c r="AH171" s="388">
        <v>0</v>
      </c>
      <c r="AI171" s="388">
        <v>0</v>
      </c>
      <c r="AJ171" s="388">
        <v>0</v>
      </c>
      <c r="AK171" s="388">
        <v>0</v>
      </c>
      <c r="AL171" s="388">
        <v>0</v>
      </c>
      <c r="AM171" s="360">
        <f t="shared" si="5"/>
        <v>0</v>
      </c>
      <c r="AN171" s="362">
        <f>ERP_26[[#This Row],[2026 Working Total]]-ERP_26[[#This Row],[LE2 Final Submission]]</f>
        <v>0</v>
      </c>
      <c r="AO171" s="79">
        <v>0</v>
      </c>
      <c r="AP171" s="79">
        <f t="shared" si="6"/>
        <v>0</v>
      </c>
      <c r="AQ171" s="374">
        <f>SUM(ERP_26[[#This Row],[AP01]:[AP06]])-SUM(ERP_26[[#This Row],[AP01 LE2]:[AP06 LE2]])</f>
        <v>0</v>
      </c>
      <c r="AR171" s="80"/>
      <c r="AS171" s="79">
        <f>ERP_26[[#This Row],[2026 Working Total to Budget/LE]]-ERP_26[[#This Row],[Giveback]]</f>
        <v>0</v>
      </c>
      <c r="AT171" s="81"/>
      <c r="AU171" s="375"/>
      <c r="AV171" s="375"/>
      <c r="AW171" s="375"/>
      <c r="AX171" s="375">
        <v>0</v>
      </c>
      <c r="AY171" s="375">
        <v>0</v>
      </c>
      <c r="AZ171" s="375">
        <v>0</v>
      </c>
      <c r="BA171" s="375">
        <v>0</v>
      </c>
      <c r="BB171" s="375">
        <v>0</v>
      </c>
      <c r="BC171" s="375">
        <v>0</v>
      </c>
      <c r="BD171" s="375">
        <v>0</v>
      </c>
      <c r="BE171" s="375">
        <v>0</v>
      </c>
      <c r="BF171" s="375">
        <v>0</v>
      </c>
      <c r="BG171" s="375">
        <v>0</v>
      </c>
      <c r="BH171" s="103">
        <v>-539731.92000000004</v>
      </c>
      <c r="BI171" s="103">
        <v>0</v>
      </c>
      <c r="BJ171" s="103">
        <v>0</v>
      </c>
      <c r="BK171" s="103">
        <v>0</v>
      </c>
      <c r="BL171" s="103">
        <v>0</v>
      </c>
      <c r="BM171" s="103">
        <v>0</v>
      </c>
      <c r="BN171" s="103">
        <v>0</v>
      </c>
      <c r="BO171" s="103">
        <v>0</v>
      </c>
      <c r="BP171" s="103">
        <v>0</v>
      </c>
      <c r="BQ171" s="103">
        <v>0</v>
      </c>
      <c r="BR171" s="103">
        <v>0</v>
      </c>
      <c r="BS171" s="103">
        <v>0</v>
      </c>
      <c r="BT171" s="79">
        <f>SUM(ERP_26[[#This Row],[2026 AP01]:[2026 AP12]])</f>
        <v>-539731.92000000004</v>
      </c>
    </row>
    <row r="172" spans="1:72" ht="15" customHeight="1">
      <c r="A172" s="79" t="s">
        <v>2401</v>
      </c>
      <c r="B172" s="79"/>
      <c r="C172" s="79" t="s">
        <v>764</v>
      </c>
      <c r="D172" s="296" t="s">
        <v>764</v>
      </c>
      <c r="E172" s="150" t="s">
        <v>1136</v>
      </c>
      <c r="F172" s="482" t="s">
        <v>1566</v>
      </c>
      <c r="G172" s="150" t="s">
        <v>1135</v>
      </c>
      <c r="H172" s="150" t="s">
        <v>1135</v>
      </c>
      <c r="I172" s="332" t="s">
        <v>1135</v>
      </c>
      <c r="J172" s="383" t="s">
        <v>1135</v>
      </c>
      <c r="K172" s="331" t="s">
        <v>1137</v>
      </c>
      <c r="L172" s="512" t="s">
        <v>639</v>
      </c>
      <c r="M172" s="393" t="s">
        <v>2402</v>
      </c>
      <c r="N172" s="343" t="s">
        <v>2343</v>
      </c>
      <c r="O172" s="150" t="s">
        <v>1171</v>
      </c>
      <c r="P172" s="91" t="s">
        <v>765</v>
      </c>
      <c r="Q172" s="343"/>
      <c r="R172" s="346" t="s">
        <v>2339</v>
      </c>
      <c r="S172" s="346" t="s">
        <v>1710</v>
      </c>
      <c r="T172" s="386" t="s">
        <v>707</v>
      </c>
      <c r="U172" s="346" t="s">
        <v>1348</v>
      </c>
      <c r="V172" s="437"/>
      <c r="W172" s="358">
        <v>60272.160000000003</v>
      </c>
      <c r="X172" s="378">
        <v>0</v>
      </c>
      <c r="Y172" s="430"/>
      <c r="Z172" s="137"/>
      <c r="AA172" s="433"/>
      <c r="AB172" s="434"/>
      <c r="AC172" s="434"/>
      <c r="AD172" s="428" t="s">
        <v>1142</v>
      </c>
      <c r="AE172" s="429">
        <v>0</v>
      </c>
      <c r="AF172" s="429">
        <v>0</v>
      </c>
      <c r="AG172" s="388">
        <v>0</v>
      </c>
      <c r="AH172" s="388">
        <v>0</v>
      </c>
      <c r="AI172" s="388">
        <v>0</v>
      </c>
      <c r="AJ172" s="388">
        <v>0</v>
      </c>
      <c r="AK172" s="388">
        <v>0</v>
      </c>
      <c r="AL172" s="388">
        <v>0</v>
      </c>
      <c r="AM172" s="360">
        <f t="shared" si="5"/>
        <v>0</v>
      </c>
      <c r="AN172" s="362">
        <f>ERP_26[[#This Row],[2026 Working Total]]-ERP_26[[#This Row],[LE2 Final Submission]]</f>
        <v>0</v>
      </c>
      <c r="AO172" s="79">
        <v>0</v>
      </c>
      <c r="AP172" s="79">
        <f t="shared" si="6"/>
        <v>0</v>
      </c>
      <c r="AQ172" s="374">
        <f>SUM(ERP_26[[#This Row],[AP01]:[AP06]])-SUM(ERP_26[[#This Row],[AP01 LE2]:[AP06 LE2]])</f>
        <v>0</v>
      </c>
      <c r="AR172" s="80"/>
      <c r="AS172" s="79">
        <f>ERP_26[[#This Row],[2026 Working Total to Budget/LE]]-ERP_26[[#This Row],[Giveback]]</f>
        <v>0</v>
      </c>
      <c r="AT172" s="81"/>
      <c r="AU172" s="375"/>
      <c r="AV172" s="375"/>
      <c r="AW172" s="375"/>
      <c r="AX172" s="375">
        <v>0</v>
      </c>
      <c r="AY172" s="375">
        <v>0</v>
      </c>
      <c r="AZ172" s="375">
        <v>0</v>
      </c>
      <c r="BA172" s="375">
        <v>0</v>
      </c>
      <c r="BB172" s="375">
        <v>0</v>
      </c>
      <c r="BC172" s="375">
        <v>0</v>
      </c>
      <c r="BD172" s="375">
        <v>0</v>
      </c>
      <c r="BE172" s="375">
        <v>0</v>
      </c>
      <c r="BF172" s="375">
        <v>0</v>
      </c>
      <c r="BG172" s="375">
        <v>0</v>
      </c>
      <c r="BH172" s="103">
        <v>60272.160000000003</v>
      </c>
      <c r="BI172" s="103">
        <v>0</v>
      </c>
      <c r="BJ172" s="103">
        <v>0</v>
      </c>
      <c r="BK172" s="103">
        <v>0</v>
      </c>
      <c r="BL172" s="103">
        <v>0</v>
      </c>
      <c r="BM172" s="103">
        <v>0</v>
      </c>
      <c r="BN172" s="103">
        <v>0</v>
      </c>
      <c r="BO172" s="103">
        <v>0</v>
      </c>
      <c r="BP172" s="103">
        <v>0</v>
      </c>
      <c r="BQ172" s="103">
        <v>0</v>
      </c>
      <c r="BR172" s="103">
        <v>0</v>
      </c>
      <c r="BS172" s="103">
        <v>0</v>
      </c>
      <c r="BT172" s="79">
        <f>SUM(ERP_26[[#This Row],[2026 AP01]:[2026 AP12]])</f>
        <v>60272.160000000003</v>
      </c>
    </row>
    <row r="173" spans="1:72" ht="15" customHeight="1">
      <c r="A173" s="79" t="s">
        <v>2403</v>
      </c>
      <c r="B173" s="79"/>
      <c r="C173" s="79" t="s">
        <v>766</v>
      </c>
      <c r="D173" s="296" t="s">
        <v>766</v>
      </c>
      <c r="E173" s="150" t="s">
        <v>1136</v>
      </c>
      <c r="F173" s="482" t="s">
        <v>1566</v>
      </c>
      <c r="G173" s="150" t="s">
        <v>1135</v>
      </c>
      <c r="H173" s="150" t="s">
        <v>1135</v>
      </c>
      <c r="I173" s="332" t="s">
        <v>1135</v>
      </c>
      <c r="J173" s="383" t="s">
        <v>1135</v>
      </c>
      <c r="K173" s="331" t="s">
        <v>1137</v>
      </c>
      <c r="L173" s="512" t="s">
        <v>639</v>
      </c>
      <c r="M173" s="393" t="s">
        <v>2404</v>
      </c>
      <c r="N173" s="343" t="s">
        <v>2343</v>
      </c>
      <c r="O173" s="150" t="s">
        <v>1171</v>
      </c>
      <c r="P173" s="91" t="s">
        <v>767</v>
      </c>
      <c r="Q173" s="343"/>
      <c r="R173" s="346" t="s">
        <v>2339</v>
      </c>
      <c r="S173" s="346" t="s">
        <v>1710</v>
      </c>
      <c r="T173" s="386" t="s">
        <v>707</v>
      </c>
      <c r="U173" s="346" t="s">
        <v>1348</v>
      </c>
      <c r="V173" s="437"/>
      <c r="W173" s="358">
        <v>-60272.160000000003</v>
      </c>
      <c r="X173" s="378">
        <v>0</v>
      </c>
      <c r="Y173" s="425"/>
      <c r="Z173" s="71"/>
      <c r="AA173" s="433"/>
      <c r="AB173" s="434"/>
      <c r="AC173" s="434"/>
      <c r="AD173" s="428" t="s">
        <v>1142</v>
      </c>
      <c r="AE173" s="429">
        <v>0</v>
      </c>
      <c r="AF173" s="429">
        <v>0</v>
      </c>
      <c r="AG173" s="388">
        <v>0</v>
      </c>
      <c r="AH173" s="388">
        <v>0</v>
      </c>
      <c r="AI173" s="388">
        <v>0</v>
      </c>
      <c r="AJ173" s="388">
        <v>0</v>
      </c>
      <c r="AK173" s="388">
        <v>0</v>
      </c>
      <c r="AL173" s="388">
        <v>0</v>
      </c>
      <c r="AM173" s="360">
        <f t="shared" si="5"/>
        <v>0</v>
      </c>
      <c r="AN173" s="362">
        <f>ERP_26[[#This Row],[2026 Working Total]]-ERP_26[[#This Row],[LE2 Final Submission]]</f>
        <v>0</v>
      </c>
      <c r="AO173" s="79">
        <v>0</v>
      </c>
      <c r="AP173" s="79">
        <f t="shared" si="6"/>
        <v>0</v>
      </c>
      <c r="AQ173" s="374">
        <f>SUM(ERP_26[[#This Row],[AP01]:[AP06]])-SUM(ERP_26[[#This Row],[AP01 LE2]:[AP06 LE2]])</f>
        <v>0</v>
      </c>
      <c r="AR173" s="80"/>
      <c r="AS173" s="79">
        <f>ERP_26[[#This Row],[2026 Working Total to Budget/LE]]-ERP_26[[#This Row],[Giveback]]</f>
        <v>0</v>
      </c>
      <c r="AT173" s="81"/>
      <c r="AU173" s="375"/>
      <c r="AV173" s="375"/>
      <c r="AW173" s="375"/>
      <c r="AX173" s="375">
        <v>0</v>
      </c>
      <c r="AY173" s="375">
        <v>0</v>
      </c>
      <c r="AZ173" s="375">
        <v>0</v>
      </c>
      <c r="BA173" s="375">
        <v>0</v>
      </c>
      <c r="BB173" s="375">
        <v>0</v>
      </c>
      <c r="BC173" s="375">
        <v>0</v>
      </c>
      <c r="BD173" s="375">
        <v>0</v>
      </c>
      <c r="BE173" s="375">
        <v>0</v>
      </c>
      <c r="BF173" s="375">
        <v>0</v>
      </c>
      <c r="BG173" s="375">
        <v>0</v>
      </c>
      <c r="BH173" s="103">
        <v>-60272.160000000003</v>
      </c>
      <c r="BI173" s="103">
        <v>0</v>
      </c>
      <c r="BJ173" s="103">
        <v>0</v>
      </c>
      <c r="BK173" s="103">
        <v>0</v>
      </c>
      <c r="BL173" s="103">
        <v>0</v>
      </c>
      <c r="BM173" s="103">
        <v>0</v>
      </c>
      <c r="BN173" s="103">
        <v>0</v>
      </c>
      <c r="BO173" s="103">
        <v>0</v>
      </c>
      <c r="BP173" s="103">
        <v>0</v>
      </c>
      <c r="BQ173" s="103">
        <v>0</v>
      </c>
      <c r="BR173" s="103">
        <v>0</v>
      </c>
      <c r="BS173" s="103">
        <v>0</v>
      </c>
      <c r="BT173" s="79">
        <f>SUM(ERP_26[[#This Row],[2026 AP01]:[2026 AP12]])</f>
        <v>-60272.160000000003</v>
      </c>
    </row>
    <row r="174" spans="1:72" ht="15" customHeight="1">
      <c r="A174" s="79" t="s">
        <v>2405</v>
      </c>
      <c r="B174" s="79"/>
      <c r="C174" s="79" t="s">
        <v>768</v>
      </c>
      <c r="D174" s="296" t="s">
        <v>768</v>
      </c>
      <c r="E174" s="150" t="s">
        <v>1136</v>
      </c>
      <c r="F174" s="482" t="s">
        <v>1566</v>
      </c>
      <c r="G174" s="150" t="s">
        <v>1135</v>
      </c>
      <c r="H174" s="150" t="s">
        <v>1135</v>
      </c>
      <c r="I174" s="332" t="s">
        <v>1135</v>
      </c>
      <c r="J174" s="383" t="s">
        <v>1135</v>
      </c>
      <c r="K174" s="331" t="s">
        <v>1137</v>
      </c>
      <c r="L174" s="512" t="s">
        <v>639</v>
      </c>
      <c r="M174" s="393" t="s">
        <v>2406</v>
      </c>
      <c r="N174" s="343" t="s">
        <v>2343</v>
      </c>
      <c r="O174" s="150" t="s">
        <v>1171</v>
      </c>
      <c r="P174" s="91" t="s">
        <v>769</v>
      </c>
      <c r="Q174" s="343"/>
      <c r="R174" s="346" t="s">
        <v>2339</v>
      </c>
      <c r="S174" s="346" t="s">
        <v>1710</v>
      </c>
      <c r="T174" s="386" t="s">
        <v>707</v>
      </c>
      <c r="U174" s="346" t="s">
        <v>1348</v>
      </c>
      <c r="V174" s="437"/>
      <c r="W174" s="358">
        <v>626867.82999999996</v>
      </c>
      <c r="X174" s="378">
        <v>0</v>
      </c>
      <c r="Y174" s="425"/>
      <c r="Z174" s="71"/>
      <c r="AA174" s="433"/>
      <c r="AB174" s="434"/>
      <c r="AC174" s="434"/>
      <c r="AD174" s="428" t="s">
        <v>1142</v>
      </c>
      <c r="AE174" s="429">
        <v>0</v>
      </c>
      <c r="AF174" s="429">
        <v>0</v>
      </c>
      <c r="AG174" s="388">
        <v>0</v>
      </c>
      <c r="AH174" s="388">
        <v>0</v>
      </c>
      <c r="AI174" s="388">
        <v>0</v>
      </c>
      <c r="AJ174" s="388">
        <v>0</v>
      </c>
      <c r="AK174" s="388">
        <v>0</v>
      </c>
      <c r="AL174" s="388">
        <v>0</v>
      </c>
      <c r="AM174" s="360">
        <f t="shared" si="5"/>
        <v>0</v>
      </c>
      <c r="AN174" s="362">
        <f>ERP_26[[#This Row],[2026 Working Total]]-ERP_26[[#This Row],[LE2 Final Submission]]</f>
        <v>0</v>
      </c>
      <c r="AO174" s="79">
        <v>0</v>
      </c>
      <c r="AP174" s="79">
        <f t="shared" si="6"/>
        <v>0</v>
      </c>
      <c r="AQ174" s="374">
        <f>SUM(ERP_26[[#This Row],[AP01]:[AP06]])-SUM(ERP_26[[#This Row],[AP01 LE2]:[AP06 LE2]])</f>
        <v>0</v>
      </c>
      <c r="AR174" s="80"/>
      <c r="AS174" s="79">
        <f>ERP_26[[#This Row],[2026 Working Total to Budget/LE]]-ERP_26[[#This Row],[Giveback]]</f>
        <v>0</v>
      </c>
      <c r="AT174" s="81"/>
      <c r="AU174" s="375"/>
      <c r="AV174" s="375"/>
      <c r="AW174" s="375"/>
      <c r="AX174" s="375">
        <v>0</v>
      </c>
      <c r="AY174" s="375">
        <v>0</v>
      </c>
      <c r="AZ174" s="375">
        <v>0</v>
      </c>
      <c r="BA174" s="375">
        <v>0</v>
      </c>
      <c r="BB174" s="375">
        <v>0</v>
      </c>
      <c r="BC174" s="375">
        <v>0</v>
      </c>
      <c r="BD174" s="375">
        <v>0</v>
      </c>
      <c r="BE174" s="375">
        <v>0</v>
      </c>
      <c r="BF174" s="375">
        <v>0</v>
      </c>
      <c r="BG174" s="375">
        <v>0</v>
      </c>
      <c r="BH174" s="103">
        <v>626867.82999999996</v>
      </c>
      <c r="BI174" s="103">
        <v>0</v>
      </c>
      <c r="BJ174" s="103">
        <v>0</v>
      </c>
      <c r="BK174" s="103">
        <v>0</v>
      </c>
      <c r="BL174" s="103">
        <v>0</v>
      </c>
      <c r="BM174" s="103">
        <v>0</v>
      </c>
      <c r="BN174" s="103">
        <v>0</v>
      </c>
      <c r="BO174" s="103">
        <v>0</v>
      </c>
      <c r="BP174" s="103">
        <v>0</v>
      </c>
      <c r="BQ174" s="103">
        <v>0</v>
      </c>
      <c r="BR174" s="103">
        <v>0</v>
      </c>
      <c r="BS174" s="103">
        <v>0</v>
      </c>
      <c r="BT174" s="79">
        <f>SUM(ERP_26[[#This Row],[2026 AP01]:[2026 AP12]])</f>
        <v>626867.82999999996</v>
      </c>
    </row>
    <row r="175" spans="1:72" ht="15" customHeight="1">
      <c r="A175" s="79" t="s">
        <v>2407</v>
      </c>
      <c r="B175" s="79"/>
      <c r="C175" s="79" t="s">
        <v>770</v>
      </c>
      <c r="D175" s="296" t="s">
        <v>770</v>
      </c>
      <c r="E175" s="150" t="s">
        <v>1136</v>
      </c>
      <c r="F175" s="482" t="s">
        <v>1566</v>
      </c>
      <c r="G175" s="150" t="s">
        <v>1135</v>
      </c>
      <c r="H175" s="150" t="s">
        <v>1135</v>
      </c>
      <c r="I175" s="332" t="s">
        <v>1135</v>
      </c>
      <c r="J175" s="383" t="s">
        <v>1135</v>
      </c>
      <c r="K175" s="331" t="s">
        <v>1137</v>
      </c>
      <c r="L175" s="512" t="s">
        <v>639</v>
      </c>
      <c r="M175" s="393" t="s">
        <v>2408</v>
      </c>
      <c r="N175" s="343" t="s">
        <v>2343</v>
      </c>
      <c r="O175" s="150" t="s">
        <v>1171</v>
      </c>
      <c r="P175" s="91" t="s">
        <v>771</v>
      </c>
      <c r="Q175" s="343"/>
      <c r="R175" s="346" t="s">
        <v>2339</v>
      </c>
      <c r="S175" s="346" t="s">
        <v>1710</v>
      </c>
      <c r="T175" s="386" t="s">
        <v>707</v>
      </c>
      <c r="U175" s="346" t="s">
        <v>1348</v>
      </c>
      <c r="V175" s="437"/>
      <c r="W175" s="358">
        <v>-626867.82999999996</v>
      </c>
      <c r="X175" s="378">
        <v>0</v>
      </c>
      <c r="Y175" s="430"/>
      <c r="Z175" s="137"/>
      <c r="AA175" s="433"/>
      <c r="AB175" s="434"/>
      <c r="AC175" s="434"/>
      <c r="AD175" s="428" t="s">
        <v>1142</v>
      </c>
      <c r="AE175" s="429">
        <v>0</v>
      </c>
      <c r="AF175" s="429">
        <v>0</v>
      </c>
      <c r="AG175" s="388">
        <v>0</v>
      </c>
      <c r="AH175" s="388">
        <v>0</v>
      </c>
      <c r="AI175" s="388">
        <v>0</v>
      </c>
      <c r="AJ175" s="388">
        <v>0</v>
      </c>
      <c r="AK175" s="388">
        <v>0</v>
      </c>
      <c r="AL175" s="388">
        <v>0</v>
      </c>
      <c r="AM175" s="360">
        <f t="shared" si="5"/>
        <v>0</v>
      </c>
      <c r="AN175" s="362">
        <f>ERP_26[[#This Row],[2026 Working Total]]-ERP_26[[#This Row],[LE2 Final Submission]]</f>
        <v>0</v>
      </c>
      <c r="AO175" s="79">
        <v>0</v>
      </c>
      <c r="AP175" s="79">
        <f t="shared" si="6"/>
        <v>0</v>
      </c>
      <c r="AQ175" s="374">
        <f>SUM(ERP_26[[#This Row],[AP01]:[AP06]])-SUM(ERP_26[[#This Row],[AP01 LE2]:[AP06 LE2]])</f>
        <v>0</v>
      </c>
      <c r="AR175" s="80"/>
      <c r="AS175" s="79">
        <f>ERP_26[[#This Row],[2026 Working Total to Budget/LE]]-ERP_26[[#This Row],[Giveback]]</f>
        <v>0</v>
      </c>
      <c r="AT175" s="81"/>
      <c r="AU175" s="375"/>
      <c r="AV175" s="375"/>
      <c r="AW175" s="375"/>
      <c r="AX175" s="375">
        <v>0</v>
      </c>
      <c r="AY175" s="375">
        <v>0</v>
      </c>
      <c r="AZ175" s="375">
        <v>0</v>
      </c>
      <c r="BA175" s="375">
        <v>0</v>
      </c>
      <c r="BB175" s="375">
        <v>0</v>
      </c>
      <c r="BC175" s="375">
        <v>0</v>
      </c>
      <c r="BD175" s="375">
        <v>0</v>
      </c>
      <c r="BE175" s="375">
        <v>0</v>
      </c>
      <c r="BF175" s="375">
        <v>0</v>
      </c>
      <c r="BG175" s="375">
        <v>0</v>
      </c>
      <c r="BH175" s="103">
        <v>-626867.82999999996</v>
      </c>
      <c r="BI175" s="103">
        <v>0</v>
      </c>
      <c r="BJ175" s="103">
        <v>0</v>
      </c>
      <c r="BK175" s="103">
        <v>0</v>
      </c>
      <c r="BL175" s="103">
        <v>0</v>
      </c>
      <c r="BM175" s="103">
        <v>0</v>
      </c>
      <c r="BN175" s="103">
        <v>0</v>
      </c>
      <c r="BO175" s="103">
        <v>0</v>
      </c>
      <c r="BP175" s="103">
        <v>0</v>
      </c>
      <c r="BQ175" s="103">
        <v>0</v>
      </c>
      <c r="BR175" s="103">
        <v>0</v>
      </c>
      <c r="BS175" s="103">
        <v>0</v>
      </c>
      <c r="BT175" s="79">
        <f>SUM(ERP_26[[#This Row],[2026 AP01]:[2026 AP12]])</f>
        <v>-626867.82999999996</v>
      </c>
    </row>
    <row r="176" spans="1:72" ht="15" customHeight="1">
      <c r="A176" s="79" t="s">
        <v>2409</v>
      </c>
      <c r="B176" s="79"/>
      <c r="C176" s="79" t="s">
        <v>772</v>
      </c>
      <c r="D176" s="296" t="s">
        <v>772</v>
      </c>
      <c r="E176" s="150" t="s">
        <v>1136</v>
      </c>
      <c r="F176" s="482" t="s">
        <v>1566</v>
      </c>
      <c r="G176" s="150" t="s">
        <v>1135</v>
      </c>
      <c r="H176" s="150" t="s">
        <v>1135</v>
      </c>
      <c r="I176" s="332" t="s">
        <v>1135</v>
      </c>
      <c r="J176" s="383" t="s">
        <v>1135</v>
      </c>
      <c r="K176" s="331" t="s">
        <v>1137</v>
      </c>
      <c r="L176" s="512" t="s">
        <v>639</v>
      </c>
      <c r="M176" s="393" t="s">
        <v>2410</v>
      </c>
      <c r="N176" s="343" t="s">
        <v>2343</v>
      </c>
      <c r="O176" s="150" t="s">
        <v>1171</v>
      </c>
      <c r="P176" s="91" t="s">
        <v>773</v>
      </c>
      <c r="Q176" s="343"/>
      <c r="R176" s="346" t="s">
        <v>2339</v>
      </c>
      <c r="S176" s="346" t="s">
        <v>1710</v>
      </c>
      <c r="T176" s="386" t="s">
        <v>707</v>
      </c>
      <c r="U176" s="346" t="s">
        <v>1348</v>
      </c>
      <c r="V176" s="437"/>
      <c r="W176" s="358">
        <v>15713.16</v>
      </c>
      <c r="X176" s="378">
        <v>0</v>
      </c>
      <c r="Y176" s="425"/>
      <c r="Z176" s="71"/>
      <c r="AA176" s="433"/>
      <c r="AB176" s="434"/>
      <c r="AC176" s="434"/>
      <c r="AD176" s="428" t="s">
        <v>1142</v>
      </c>
      <c r="AE176" s="429">
        <v>0</v>
      </c>
      <c r="AF176" s="429">
        <v>0</v>
      </c>
      <c r="AG176" s="388">
        <v>0</v>
      </c>
      <c r="AH176" s="388">
        <v>0</v>
      </c>
      <c r="AI176" s="388">
        <v>0</v>
      </c>
      <c r="AJ176" s="388">
        <v>0</v>
      </c>
      <c r="AK176" s="388">
        <v>0</v>
      </c>
      <c r="AL176" s="388">
        <v>0</v>
      </c>
      <c r="AM176" s="360">
        <f t="shared" si="5"/>
        <v>0</v>
      </c>
      <c r="AN176" s="362">
        <f>ERP_26[[#This Row],[2026 Working Total]]-ERP_26[[#This Row],[LE2 Final Submission]]</f>
        <v>0</v>
      </c>
      <c r="AO176" s="79">
        <v>0</v>
      </c>
      <c r="AP176" s="79">
        <f t="shared" si="6"/>
        <v>0</v>
      </c>
      <c r="AQ176" s="374">
        <f>SUM(ERP_26[[#This Row],[AP01]:[AP06]])-SUM(ERP_26[[#This Row],[AP01 LE2]:[AP06 LE2]])</f>
        <v>0</v>
      </c>
      <c r="AR176" s="80"/>
      <c r="AS176" s="79">
        <f>ERP_26[[#This Row],[2026 Working Total to Budget/LE]]-ERP_26[[#This Row],[Giveback]]</f>
        <v>0</v>
      </c>
      <c r="AT176" s="81"/>
      <c r="AU176" s="375"/>
      <c r="AV176" s="375"/>
      <c r="AW176" s="375"/>
      <c r="AX176" s="375">
        <v>0</v>
      </c>
      <c r="AY176" s="375">
        <v>0</v>
      </c>
      <c r="AZ176" s="375">
        <v>0</v>
      </c>
      <c r="BA176" s="375">
        <v>0</v>
      </c>
      <c r="BB176" s="375">
        <v>0</v>
      </c>
      <c r="BC176" s="375">
        <v>0</v>
      </c>
      <c r="BD176" s="375">
        <v>0</v>
      </c>
      <c r="BE176" s="375">
        <v>0</v>
      </c>
      <c r="BF176" s="375">
        <v>0</v>
      </c>
      <c r="BG176" s="375">
        <v>0</v>
      </c>
      <c r="BH176" s="103">
        <v>15713.16</v>
      </c>
      <c r="BI176" s="103">
        <v>0</v>
      </c>
      <c r="BJ176" s="103">
        <v>0</v>
      </c>
      <c r="BK176" s="103">
        <v>0</v>
      </c>
      <c r="BL176" s="103">
        <v>0</v>
      </c>
      <c r="BM176" s="103">
        <v>0</v>
      </c>
      <c r="BN176" s="103">
        <v>0</v>
      </c>
      <c r="BO176" s="103">
        <v>0</v>
      </c>
      <c r="BP176" s="103">
        <v>0</v>
      </c>
      <c r="BQ176" s="103">
        <v>0</v>
      </c>
      <c r="BR176" s="103">
        <v>0</v>
      </c>
      <c r="BS176" s="103">
        <v>0</v>
      </c>
      <c r="BT176" s="79">
        <f>SUM(ERP_26[[#This Row],[2026 AP01]:[2026 AP12]])</f>
        <v>15713.16</v>
      </c>
    </row>
    <row r="177" spans="1:72" ht="15" customHeight="1">
      <c r="A177" s="79" t="s">
        <v>2411</v>
      </c>
      <c r="B177" s="79"/>
      <c r="C177" s="79" t="s">
        <v>774</v>
      </c>
      <c r="D177" s="296" t="s">
        <v>774</v>
      </c>
      <c r="E177" s="150" t="s">
        <v>1136</v>
      </c>
      <c r="F177" s="482" t="s">
        <v>1566</v>
      </c>
      <c r="G177" s="150" t="s">
        <v>1135</v>
      </c>
      <c r="H177" s="150" t="s">
        <v>1135</v>
      </c>
      <c r="I177" s="332" t="s">
        <v>1135</v>
      </c>
      <c r="J177" s="383" t="s">
        <v>1135</v>
      </c>
      <c r="K177" s="331" t="s">
        <v>1137</v>
      </c>
      <c r="L177" s="512" t="s">
        <v>639</v>
      </c>
      <c r="M177" s="393" t="s">
        <v>2412</v>
      </c>
      <c r="N177" s="343" t="s">
        <v>2343</v>
      </c>
      <c r="O177" s="150" t="s">
        <v>1171</v>
      </c>
      <c r="P177" s="91" t="s">
        <v>775</v>
      </c>
      <c r="Q177" s="343"/>
      <c r="R177" s="346" t="s">
        <v>2339</v>
      </c>
      <c r="S177" s="346" t="s">
        <v>1710</v>
      </c>
      <c r="T177" s="386" t="s">
        <v>707</v>
      </c>
      <c r="U177" s="346" t="s">
        <v>1348</v>
      </c>
      <c r="V177" s="437"/>
      <c r="W177" s="358">
        <v>-15713.16</v>
      </c>
      <c r="X177" s="378">
        <v>0</v>
      </c>
      <c r="Y177" s="425"/>
      <c r="Z177" s="71"/>
      <c r="AA177" s="433"/>
      <c r="AB177" s="434"/>
      <c r="AC177" s="434"/>
      <c r="AD177" s="428" t="s">
        <v>1142</v>
      </c>
      <c r="AE177" s="429">
        <v>0</v>
      </c>
      <c r="AF177" s="429">
        <v>0</v>
      </c>
      <c r="AG177" s="388">
        <v>0</v>
      </c>
      <c r="AH177" s="388">
        <v>0</v>
      </c>
      <c r="AI177" s="388">
        <v>0</v>
      </c>
      <c r="AJ177" s="388">
        <v>0</v>
      </c>
      <c r="AK177" s="388">
        <v>0</v>
      </c>
      <c r="AL177" s="388">
        <v>0</v>
      </c>
      <c r="AM177" s="360">
        <f t="shared" si="5"/>
        <v>0</v>
      </c>
      <c r="AN177" s="362">
        <f>ERP_26[[#This Row],[2026 Working Total]]-ERP_26[[#This Row],[LE2 Final Submission]]</f>
        <v>0</v>
      </c>
      <c r="AO177" s="79">
        <v>0</v>
      </c>
      <c r="AP177" s="79">
        <f t="shared" si="6"/>
        <v>0</v>
      </c>
      <c r="AQ177" s="374">
        <f>SUM(ERP_26[[#This Row],[AP01]:[AP06]])-SUM(ERP_26[[#This Row],[AP01 LE2]:[AP06 LE2]])</f>
        <v>0</v>
      </c>
      <c r="AR177" s="80"/>
      <c r="AS177" s="79">
        <f>ERP_26[[#This Row],[2026 Working Total to Budget/LE]]-ERP_26[[#This Row],[Giveback]]</f>
        <v>0</v>
      </c>
      <c r="AT177" s="81"/>
      <c r="AU177" s="375"/>
      <c r="AV177" s="375"/>
      <c r="AW177" s="375"/>
      <c r="AX177" s="375">
        <v>0</v>
      </c>
      <c r="AY177" s="375">
        <v>0</v>
      </c>
      <c r="AZ177" s="375">
        <v>0</v>
      </c>
      <c r="BA177" s="375">
        <v>0</v>
      </c>
      <c r="BB177" s="375">
        <v>0</v>
      </c>
      <c r="BC177" s="375">
        <v>0</v>
      </c>
      <c r="BD177" s="375">
        <v>0</v>
      </c>
      <c r="BE177" s="375">
        <v>0</v>
      </c>
      <c r="BF177" s="375">
        <v>0</v>
      </c>
      <c r="BG177" s="375">
        <v>0</v>
      </c>
      <c r="BH177" s="103">
        <v>-15713.16</v>
      </c>
      <c r="BI177" s="103">
        <v>0</v>
      </c>
      <c r="BJ177" s="103">
        <v>0</v>
      </c>
      <c r="BK177" s="103">
        <v>0</v>
      </c>
      <c r="BL177" s="103">
        <v>0</v>
      </c>
      <c r="BM177" s="103">
        <v>0</v>
      </c>
      <c r="BN177" s="103">
        <v>0</v>
      </c>
      <c r="BO177" s="103">
        <v>0</v>
      </c>
      <c r="BP177" s="103">
        <v>0</v>
      </c>
      <c r="BQ177" s="103">
        <v>0</v>
      </c>
      <c r="BR177" s="103">
        <v>0</v>
      </c>
      <c r="BS177" s="103">
        <v>0</v>
      </c>
      <c r="BT177" s="79">
        <f>SUM(ERP_26[[#This Row],[2026 AP01]:[2026 AP12]])</f>
        <v>-15713.16</v>
      </c>
    </row>
    <row r="178" spans="1:72" ht="15" customHeight="1">
      <c r="A178" s="79" t="s">
        <v>2413</v>
      </c>
      <c r="B178" s="79"/>
      <c r="C178" s="79" t="s">
        <v>776</v>
      </c>
      <c r="D178" s="296" t="s">
        <v>776</v>
      </c>
      <c r="E178" s="150" t="s">
        <v>1136</v>
      </c>
      <c r="F178" s="482" t="s">
        <v>1566</v>
      </c>
      <c r="G178" s="150" t="s">
        <v>1135</v>
      </c>
      <c r="H178" s="150" t="s">
        <v>1135</v>
      </c>
      <c r="I178" s="332" t="s">
        <v>1135</v>
      </c>
      <c r="J178" s="383" t="s">
        <v>1135</v>
      </c>
      <c r="K178" s="331" t="s">
        <v>1137</v>
      </c>
      <c r="L178" s="512" t="s">
        <v>639</v>
      </c>
      <c r="M178" s="393" t="s">
        <v>2414</v>
      </c>
      <c r="N178" s="343" t="s">
        <v>2343</v>
      </c>
      <c r="O178" s="150" t="s">
        <v>1171</v>
      </c>
      <c r="P178" s="91" t="s">
        <v>777</v>
      </c>
      <c r="Q178" s="343"/>
      <c r="R178" s="346" t="s">
        <v>2339</v>
      </c>
      <c r="S178" s="346" t="s">
        <v>1710</v>
      </c>
      <c r="T178" s="386" t="s">
        <v>707</v>
      </c>
      <c r="U178" s="346" t="s">
        <v>1348</v>
      </c>
      <c r="V178" s="437"/>
      <c r="W178" s="358">
        <v>930750</v>
      </c>
      <c r="X178" s="378">
        <v>0</v>
      </c>
      <c r="Y178" s="430"/>
      <c r="Z178" s="137"/>
      <c r="AA178" s="433"/>
      <c r="AB178" s="434"/>
      <c r="AC178" s="434"/>
      <c r="AD178" s="428" t="s">
        <v>1142</v>
      </c>
      <c r="AE178" s="429">
        <v>0</v>
      </c>
      <c r="AF178" s="429">
        <v>0</v>
      </c>
      <c r="AG178" s="388">
        <v>0</v>
      </c>
      <c r="AH178" s="388">
        <v>0</v>
      </c>
      <c r="AI178" s="388">
        <v>0</v>
      </c>
      <c r="AJ178" s="388">
        <v>0</v>
      </c>
      <c r="AK178" s="388">
        <v>0</v>
      </c>
      <c r="AL178" s="388">
        <v>0</v>
      </c>
      <c r="AM178" s="360">
        <f t="shared" si="5"/>
        <v>0</v>
      </c>
      <c r="AN178" s="362">
        <f>ERP_26[[#This Row],[2026 Working Total]]-ERP_26[[#This Row],[LE2 Final Submission]]</f>
        <v>0</v>
      </c>
      <c r="AO178" s="79">
        <v>0</v>
      </c>
      <c r="AP178" s="79">
        <f t="shared" si="6"/>
        <v>0</v>
      </c>
      <c r="AQ178" s="374">
        <f>SUM(ERP_26[[#This Row],[AP01]:[AP06]])-SUM(ERP_26[[#This Row],[AP01 LE2]:[AP06 LE2]])</f>
        <v>0</v>
      </c>
      <c r="AR178" s="80"/>
      <c r="AS178" s="79">
        <f>ERP_26[[#This Row],[2026 Working Total to Budget/LE]]-ERP_26[[#This Row],[Giveback]]</f>
        <v>0</v>
      </c>
      <c r="AT178" s="81"/>
      <c r="AU178" s="375"/>
      <c r="AV178" s="375"/>
      <c r="AW178" s="375"/>
      <c r="AX178" s="375">
        <v>0</v>
      </c>
      <c r="AY178" s="375">
        <v>0</v>
      </c>
      <c r="AZ178" s="375">
        <v>0</v>
      </c>
      <c r="BA178" s="375">
        <v>0</v>
      </c>
      <c r="BB178" s="375">
        <v>0</v>
      </c>
      <c r="BC178" s="375">
        <v>0</v>
      </c>
      <c r="BD178" s="375">
        <v>0</v>
      </c>
      <c r="BE178" s="375">
        <v>0</v>
      </c>
      <c r="BF178" s="375">
        <v>0</v>
      </c>
      <c r="BG178" s="375">
        <v>0</v>
      </c>
      <c r="BH178" s="103">
        <v>930750</v>
      </c>
      <c r="BI178" s="103">
        <v>0</v>
      </c>
      <c r="BJ178" s="103">
        <v>0</v>
      </c>
      <c r="BK178" s="103">
        <v>0</v>
      </c>
      <c r="BL178" s="103">
        <v>0</v>
      </c>
      <c r="BM178" s="103">
        <v>0</v>
      </c>
      <c r="BN178" s="103">
        <v>0</v>
      </c>
      <c r="BO178" s="103">
        <v>0</v>
      </c>
      <c r="BP178" s="103">
        <v>0</v>
      </c>
      <c r="BQ178" s="103">
        <v>0</v>
      </c>
      <c r="BR178" s="103">
        <v>0</v>
      </c>
      <c r="BS178" s="103">
        <v>0</v>
      </c>
      <c r="BT178" s="79">
        <f>SUM(ERP_26[[#This Row],[2026 AP01]:[2026 AP12]])</f>
        <v>930750</v>
      </c>
    </row>
    <row r="179" spans="1:72" ht="15" customHeight="1">
      <c r="A179" s="79" t="s">
        <v>2415</v>
      </c>
      <c r="B179" s="79"/>
      <c r="C179" s="79" t="s">
        <v>778</v>
      </c>
      <c r="D179" s="296" t="s">
        <v>778</v>
      </c>
      <c r="E179" s="150" t="s">
        <v>1136</v>
      </c>
      <c r="F179" s="482" t="s">
        <v>1566</v>
      </c>
      <c r="G179" s="150" t="s">
        <v>1135</v>
      </c>
      <c r="H179" s="150" t="s">
        <v>1135</v>
      </c>
      <c r="I179" s="332" t="s">
        <v>1135</v>
      </c>
      <c r="J179" s="383" t="s">
        <v>1135</v>
      </c>
      <c r="K179" s="331" t="s">
        <v>1137</v>
      </c>
      <c r="L179" s="512" t="s">
        <v>639</v>
      </c>
      <c r="M179" s="393" t="s">
        <v>2416</v>
      </c>
      <c r="N179" s="343" t="s">
        <v>2343</v>
      </c>
      <c r="O179" s="150" t="s">
        <v>1171</v>
      </c>
      <c r="P179" s="91" t="s">
        <v>779</v>
      </c>
      <c r="Q179" s="343"/>
      <c r="R179" s="346" t="s">
        <v>2339</v>
      </c>
      <c r="S179" s="346" t="s">
        <v>1710</v>
      </c>
      <c r="T179" s="386" t="s">
        <v>707</v>
      </c>
      <c r="U179" s="346" t="s">
        <v>1348</v>
      </c>
      <c r="V179" s="437"/>
      <c r="W179" s="358">
        <v>-930750</v>
      </c>
      <c r="X179" s="378">
        <v>0</v>
      </c>
      <c r="Y179" s="425"/>
      <c r="Z179" s="71"/>
      <c r="AA179" s="433"/>
      <c r="AB179" s="434"/>
      <c r="AC179" s="434"/>
      <c r="AD179" s="428" t="s">
        <v>1142</v>
      </c>
      <c r="AE179" s="429">
        <v>0</v>
      </c>
      <c r="AF179" s="429">
        <v>0</v>
      </c>
      <c r="AG179" s="388">
        <v>0</v>
      </c>
      <c r="AH179" s="388">
        <v>0</v>
      </c>
      <c r="AI179" s="388">
        <v>0</v>
      </c>
      <c r="AJ179" s="388">
        <v>0</v>
      </c>
      <c r="AK179" s="388">
        <v>0</v>
      </c>
      <c r="AL179" s="388">
        <v>0</v>
      </c>
      <c r="AM179" s="360">
        <f t="shared" si="5"/>
        <v>0</v>
      </c>
      <c r="AN179" s="362">
        <f>ERP_26[[#This Row],[2026 Working Total]]-ERP_26[[#This Row],[LE2 Final Submission]]</f>
        <v>0</v>
      </c>
      <c r="AO179" s="79">
        <v>0</v>
      </c>
      <c r="AP179" s="79">
        <f t="shared" si="6"/>
        <v>0</v>
      </c>
      <c r="AQ179" s="374">
        <f>SUM(ERP_26[[#This Row],[AP01]:[AP06]])-SUM(ERP_26[[#This Row],[AP01 LE2]:[AP06 LE2]])</f>
        <v>0</v>
      </c>
      <c r="AR179" s="80"/>
      <c r="AS179" s="79">
        <f>ERP_26[[#This Row],[2026 Working Total to Budget/LE]]-ERP_26[[#This Row],[Giveback]]</f>
        <v>0</v>
      </c>
      <c r="AT179" s="81"/>
      <c r="AU179" s="375"/>
      <c r="AV179" s="375"/>
      <c r="AW179" s="375"/>
      <c r="AX179" s="375">
        <v>0</v>
      </c>
      <c r="AY179" s="375">
        <v>0</v>
      </c>
      <c r="AZ179" s="375">
        <v>0</v>
      </c>
      <c r="BA179" s="375">
        <v>0</v>
      </c>
      <c r="BB179" s="375">
        <v>0</v>
      </c>
      <c r="BC179" s="375">
        <v>0</v>
      </c>
      <c r="BD179" s="375">
        <v>0</v>
      </c>
      <c r="BE179" s="375">
        <v>0</v>
      </c>
      <c r="BF179" s="375">
        <v>0</v>
      </c>
      <c r="BG179" s="375">
        <v>0</v>
      </c>
      <c r="BH179" s="103">
        <v>-930750</v>
      </c>
      <c r="BI179" s="103">
        <v>0</v>
      </c>
      <c r="BJ179" s="103">
        <v>0</v>
      </c>
      <c r="BK179" s="103">
        <v>0</v>
      </c>
      <c r="BL179" s="103">
        <v>0</v>
      </c>
      <c r="BM179" s="103">
        <v>0</v>
      </c>
      <c r="BN179" s="103">
        <v>0</v>
      </c>
      <c r="BO179" s="103">
        <v>0</v>
      </c>
      <c r="BP179" s="103">
        <v>0</v>
      </c>
      <c r="BQ179" s="103">
        <v>0</v>
      </c>
      <c r="BR179" s="103">
        <v>0</v>
      </c>
      <c r="BS179" s="103">
        <v>0</v>
      </c>
      <c r="BT179" s="79">
        <f>SUM(ERP_26[[#This Row],[2026 AP01]:[2026 AP12]])</f>
        <v>-930750</v>
      </c>
    </row>
    <row r="180" spans="1:72" ht="15" customHeight="1">
      <c r="A180" s="79" t="s">
        <v>2417</v>
      </c>
      <c r="B180" s="79"/>
      <c r="C180" s="79" t="s">
        <v>780</v>
      </c>
      <c r="D180" s="296" t="s">
        <v>780</v>
      </c>
      <c r="E180" s="150" t="s">
        <v>1136</v>
      </c>
      <c r="F180" s="482" t="s">
        <v>1566</v>
      </c>
      <c r="G180" s="150" t="s">
        <v>1135</v>
      </c>
      <c r="H180" s="150" t="s">
        <v>1135</v>
      </c>
      <c r="I180" s="332" t="s">
        <v>1135</v>
      </c>
      <c r="J180" s="383" t="s">
        <v>1135</v>
      </c>
      <c r="K180" s="331" t="s">
        <v>1137</v>
      </c>
      <c r="L180" s="512" t="s">
        <v>639</v>
      </c>
      <c r="M180" s="393" t="s">
        <v>2418</v>
      </c>
      <c r="N180" s="343" t="s">
        <v>2343</v>
      </c>
      <c r="O180" s="150" t="s">
        <v>1171</v>
      </c>
      <c r="P180" s="91" t="s">
        <v>781</v>
      </c>
      <c r="Q180" s="343"/>
      <c r="R180" s="346" t="s">
        <v>2339</v>
      </c>
      <c r="S180" s="346" t="s">
        <v>1710</v>
      </c>
      <c r="T180" s="386" t="s">
        <v>707</v>
      </c>
      <c r="U180" s="346" t="s">
        <v>1348</v>
      </c>
      <c r="V180" s="437"/>
      <c r="W180" s="358">
        <v>9567</v>
      </c>
      <c r="X180" s="378">
        <v>0</v>
      </c>
      <c r="Y180" s="425"/>
      <c r="Z180" s="71"/>
      <c r="AA180" s="433"/>
      <c r="AB180" s="434"/>
      <c r="AC180" s="434"/>
      <c r="AD180" s="428" t="s">
        <v>1142</v>
      </c>
      <c r="AE180" s="429">
        <v>0</v>
      </c>
      <c r="AF180" s="429">
        <v>0</v>
      </c>
      <c r="AG180" s="388">
        <v>0</v>
      </c>
      <c r="AH180" s="388">
        <v>0</v>
      </c>
      <c r="AI180" s="388">
        <v>0</v>
      </c>
      <c r="AJ180" s="388">
        <v>0</v>
      </c>
      <c r="AK180" s="388">
        <v>0</v>
      </c>
      <c r="AL180" s="388">
        <v>0</v>
      </c>
      <c r="AM180" s="360">
        <f t="shared" si="5"/>
        <v>0</v>
      </c>
      <c r="AN180" s="362">
        <f>ERP_26[[#This Row],[2026 Working Total]]-ERP_26[[#This Row],[LE2 Final Submission]]</f>
        <v>0</v>
      </c>
      <c r="AO180" s="79">
        <v>0</v>
      </c>
      <c r="AP180" s="79">
        <f t="shared" si="6"/>
        <v>0</v>
      </c>
      <c r="AQ180" s="374">
        <f>SUM(ERP_26[[#This Row],[AP01]:[AP06]])-SUM(ERP_26[[#This Row],[AP01 LE2]:[AP06 LE2]])</f>
        <v>0</v>
      </c>
      <c r="AR180" s="80"/>
      <c r="AS180" s="79">
        <f>ERP_26[[#This Row],[2026 Working Total to Budget/LE]]-ERP_26[[#This Row],[Giveback]]</f>
        <v>0</v>
      </c>
      <c r="AT180" s="81"/>
      <c r="AU180" s="375"/>
      <c r="AV180" s="375"/>
      <c r="AW180" s="375"/>
      <c r="AX180" s="375">
        <v>0</v>
      </c>
      <c r="AY180" s="375">
        <v>0</v>
      </c>
      <c r="AZ180" s="375">
        <v>0</v>
      </c>
      <c r="BA180" s="375">
        <v>0</v>
      </c>
      <c r="BB180" s="375">
        <v>0</v>
      </c>
      <c r="BC180" s="375">
        <v>0</v>
      </c>
      <c r="BD180" s="375">
        <v>0</v>
      </c>
      <c r="BE180" s="375">
        <v>0</v>
      </c>
      <c r="BF180" s="375">
        <v>0</v>
      </c>
      <c r="BG180" s="375">
        <v>0</v>
      </c>
      <c r="BH180" s="103">
        <v>9567</v>
      </c>
      <c r="BI180" s="103">
        <v>0</v>
      </c>
      <c r="BJ180" s="103">
        <v>0</v>
      </c>
      <c r="BK180" s="103">
        <v>0</v>
      </c>
      <c r="BL180" s="103">
        <v>0</v>
      </c>
      <c r="BM180" s="103">
        <v>0</v>
      </c>
      <c r="BN180" s="103">
        <v>0</v>
      </c>
      <c r="BO180" s="103">
        <v>0</v>
      </c>
      <c r="BP180" s="103">
        <v>0</v>
      </c>
      <c r="BQ180" s="103">
        <v>0</v>
      </c>
      <c r="BR180" s="103">
        <v>0</v>
      </c>
      <c r="BS180" s="103">
        <v>0</v>
      </c>
      <c r="BT180" s="79">
        <f>SUM(ERP_26[[#This Row],[2026 AP01]:[2026 AP12]])</f>
        <v>9567</v>
      </c>
    </row>
    <row r="181" spans="1:72" ht="15" customHeight="1">
      <c r="A181" s="79" t="s">
        <v>2419</v>
      </c>
      <c r="B181" s="79"/>
      <c r="C181" s="79" t="s">
        <v>782</v>
      </c>
      <c r="D181" s="296" t="s">
        <v>782</v>
      </c>
      <c r="E181" s="150" t="s">
        <v>1136</v>
      </c>
      <c r="F181" s="482" t="s">
        <v>1566</v>
      </c>
      <c r="G181" s="150" t="s">
        <v>1135</v>
      </c>
      <c r="H181" s="150" t="s">
        <v>1135</v>
      </c>
      <c r="I181" s="332" t="s">
        <v>1135</v>
      </c>
      <c r="J181" s="383" t="s">
        <v>1135</v>
      </c>
      <c r="K181" s="331" t="s">
        <v>1137</v>
      </c>
      <c r="L181" s="512" t="s">
        <v>639</v>
      </c>
      <c r="M181" s="393" t="s">
        <v>2420</v>
      </c>
      <c r="N181" s="343" t="s">
        <v>2343</v>
      </c>
      <c r="O181" s="150" t="s">
        <v>1171</v>
      </c>
      <c r="P181" s="91" t="s">
        <v>783</v>
      </c>
      <c r="Q181" s="343"/>
      <c r="R181" s="346" t="s">
        <v>2339</v>
      </c>
      <c r="S181" s="346" t="s">
        <v>1710</v>
      </c>
      <c r="T181" s="386" t="s">
        <v>707</v>
      </c>
      <c r="U181" s="346" t="s">
        <v>1348</v>
      </c>
      <c r="V181" s="437"/>
      <c r="W181" s="358">
        <v>-9567</v>
      </c>
      <c r="X181" s="378">
        <v>0</v>
      </c>
      <c r="Y181" s="430"/>
      <c r="Z181" s="137"/>
      <c r="AA181" s="433"/>
      <c r="AB181" s="434"/>
      <c r="AC181" s="434"/>
      <c r="AD181" s="428" t="s">
        <v>1142</v>
      </c>
      <c r="AE181" s="429">
        <v>0</v>
      </c>
      <c r="AF181" s="429">
        <v>0</v>
      </c>
      <c r="AG181" s="388">
        <v>0</v>
      </c>
      <c r="AH181" s="388">
        <v>0</v>
      </c>
      <c r="AI181" s="388">
        <v>0</v>
      </c>
      <c r="AJ181" s="388">
        <v>0</v>
      </c>
      <c r="AK181" s="388">
        <v>0</v>
      </c>
      <c r="AL181" s="388">
        <v>0</v>
      </c>
      <c r="AM181" s="360">
        <f t="shared" si="5"/>
        <v>0</v>
      </c>
      <c r="AN181" s="362">
        <f>ERP_26[[#This Row],[2026 Working Total]]-ERP_26[[#This Row],[LE2 Final Submission]]</f>
        <v>0</v>
      </c>
      <c r="AO181" s="79">
        <v>0</v>
      </c>
      <c r="AP181" s="79">
        <f t="shared" si="6"/>
        <v>0</v>
      </c>
      <c r="AQ181" s="374">
        <f>SUM(ERP_26[[#This Row],[AP01]:[AP06]])-SUM(ERP_26[[#This Row],[AP01 LE2]:[AP06 LE2]])</f>
        <v>0</v>
      </c>
      <c r="AR181" s="80"/>
      <c r="AS181" s="79">
        <f>ERP_26[[#This Row],[2026 Working Total to Budget/LE]]-ERP_26[[#This Row],[Giveback]]</f>
        <v>0</v>
      </c>
      <c r="AT181" s="81"/>
      <c r="AU181" s="375"/>
      <c r="AV181" s="375"/>
      <c r="AW181" s="375"/>
      <c r="AX181" s="375">
        <v>0</v>
      </c>
      <c r="AY181" s="375">
        <v>0</v>
      </c>
      <c r="AZ181" s="375">
        <v>0</v>
      </c>
      <c r="BA181" s="375">
        <v>0</v>
      </c>
      <c r="BB181" s="375">
        <v>0</v>
      </c>
      <c r="BC181" s="375">
        <v>0</v>
      </c>
      <c r="BD181" s="375">
        <v>0</v>
      </c>
      <c r="BE181" s="375">
        <v>0</v>
      </c>
      <c r="BF181" s="375">
        <v>0</v>
      </c>
      <c r="BG181" s="375">
        <v>0</v>
      </c>
      <c r="BH181" s="103">
        <v>-9567</v>
      </c>
      <c r="BI181" s="103">
        <v>0</v>
      </c>
      <c r="BJ181" s="103">
        <v>0</v>
      </c>
      <c r="BK181" s="103">
        <v>0</v>
      </c>
      <c r="BL181" s="103">
        <v>0</v>
      </c>
      <c r="BM181" s="103">
        <v>0</v>
      </c>
      <c r="BN181" s="103">
        <v>0</v>
      </c>
      <c r="BO181" s="103">
        <v>0</v>
      </c>
      <c r="BP181" s="103">
        <v>0</v>
      </c>
      <c r="BQ181" s="103">
        <v>0</v>
      </c>
      <c r="BR181" s="103">
        <v>0</v>
      </c>
      <c r="BS181" s="103">
        <v>0</v>
      </c>
      <c r="BT181" s="79">
        <f>SUM(ERP_26[[#This Row],[2026 AP01]:[2026 AP12]])</f>
        <v>-9567</v>
      </c>
    </row>
    <row r="182" spans="1:72" ht="15" customHeight="1">
      <c r="A182" s="66" t="s">
        <v>2421</v>
      </c>
      <c r="B182" s="66"/>
      <c r="C182" s="66" t="s">
        <v>784</v>
      </c>
      <c r="D182" s="66" t="s">
        <v>784</v>
      </c>
      <c r="E182" s="150" t="s">
        <v>1136</v>
      </c>
      <c r="F182" s="482" t="s">
        <v>1566</v>
      </c>
      <c r="G182" s="150" t="s">
        <v>1135</v>
      </c>
      <c r="H182" s="150" t="s">
        <v>1135</v>
      </c>
      <c r="I182" s="150" t="s">
        <v>1135</v>
      </c>
      <c r="J182" s="150" t="s">
        <v>1135</v>
      </c>
      <c r="K182" s="150" t="s">
        <v>1137</v>
      </c>
      <c r="L182" s="511" t="s">
        <v>639</v>
      </c>
      <c r="M182" s="392" t="s">
        <v>2422</v>
      </c>
      <c r="N182" s="343"/>
      <c r="O182" s="343"/>
      <c r="P182" s="70" t="s">
        <v>785</v>
      </c>
      <c r="Q182" s="346"/>
      <c r="R182" s="343"/>
      <c r="S182" s="346"/>
      <c r="T182" s="150" t="s">
        <v>67</v>
      </c>
      <c r="U182" s="150"/>
      <c r="V182" s="403"/>
      <c r="W182" s="406">
        <v>-551382.25</v>
      </c>
      <c r="X182" s="406">
        <v>-551382.25</v>
      </c>
      <c r="Y182" s="425"/>
      <c r="Z182" s="71"/>
      <c r="AA182" s="426"/>
      <c r="AB182" s="427"/>
      <c r="AC182" s="427">
        <v>-551382.25</v>
      </c>
      <c r="AD182" s="428" t="s">
        <v>1142</v>
      </c>
      <c r="AE182" s="429">
        <v>0</v>
      </c>
      <c r="AF182" s="429">
        <v>0</v>
      </c>
      <c r="AG182" s="360">
        <v>0</v>
      </c>
      <c r="AH182" s="360">
        <v>0</v>
      </c>
      <c r="AI182" s="360">
        <v>0</v>
      </c>
      <c r="AJ182" s="360">
        <v>0</v>
      </c>
      <c r="AK182" s="360">
        <v>0</v>
      </c>
      <c r="AL182" s="360">
        <v>0</v>
      </c>
      <c r="AM182" s="360">
        <f t="shared" si="5"/>
        <v>-551382.25</v>
      </c>
      <c r="AN182" s="362">
        <f>ERP_26[[#This Row],[2026 Working Total]]-ERP_26[[#This Row],[LE2 Final Submission]]</f>
        <v>0</v>
      </c>
      <c r="AO182" s="79">
        <v>0</v>
      </c>
      <c r="AP182" s="79">
        <f t="shared" si="6"/>
        <v>0</v>
      </c>
      <c r="AQ182" s="374">
        <f>SUM(ERP_26[[#This Row],[AP01]:[AP06]])-SUM(ERP_26[[#This Row],[AP01 LE2]:[AP06 LE2]])</f>
        <v>0</v>
      </c>
      <c r="AR182" s="80"/>
      <c r="AS182" s="79">
        <f>ERP_26[[#This Row],[2026 Working Total to Budget/LE]]-ERP_26[[#This Row],[Giveback]]</f>
        <v>0</v>
      </c>
      <c r="AT182" s="81"/>
      <c r="AU182" s="375"/>
      <c r="AV182" s="375"/>
      <c r="AW182" s="375">
        <v>-551382.25</v>
      </c>
      <c r="AX182" s="375">
        <v>0</v>
      </c>
      <c r="AY182" s="375">
        <v>0</v>
      </c>
      <c r="AZ182" s="375">
        <v>0</v>
      </c>
      <c r="BA182" s="375">
        <v>0</v>
      </c>
      <c r="BB182" s="375">
        <v>0</v>
      </c>
      <c r="BC182" s="375">
        <v>0</v>
      </c>
      <c r="BD182" s="375">
        <v>0</v>
      </c>
      <c r="BE182" s="375">
        <v>0</v>
      </c>
      <c r="BF182" s="375">
        <v>0</v>
      </c>
      <c r="BG182" s="375">
        <v>-551382.25</v>
      </c>
      <c r="BH182" s="79"/>
      <c r="BI182" s="79"/>
      <c r="BJ182" s="79">
        <v>-551382.25</v>
      </c>
      <c r="BK182" s="79">
        <v>0</v>
      </c>
      <c r="BL182" s="79">
        <v>0</v>
      </c>
      <c r="BM182" s="79">
        <v>0</v>
      </c>
      <c r="BN182" s="79">
        <v>0</v>
      </c>
      <c r="BO182" s="79">
        <v>0</v>
      </c>
      <c r="BP182" s="79">
        <v>0</v>
      </c>
      <c r="BQ182" s="79">
        <v>0</v>
      </c>
      <c r="BR182" s="79">
        <v>0</v>
      </c>
      <c r="BS182" s="79">
        <v>0</v>
      </c>
      <c r="BT182" s="79">
        <v>-551382.25</v>
      </c>
    </row>
    <row r="183" spans="1:72" ht="15" customHeight="1">
      <c r="A183" s="66" t="s">
        <v>2423</v>
      </c>
      <c r="B183" s="66"/>
      <c r="C183" s="66" t="s">
        <v>786</v>
      </c>
      <c r="D183" s="66" t="s">
        <v>786</v>
      </c>
      <c r="E183" s="150" t="s">
        <v>1136</v>
      </c>
      <c r="F183" s="482" t="s">
        <v>1566</v>
      </c>
      <c r="G183" s="150" t="s">
        <v>1135</v>
      </c>
      <c r="H183" s="150" t="s">
        <v>1135</v>
      </c>
      <c r="I183" s="150" t="s">
        <v>1135</v>
      </c>
      <c r="J183" s="150" t="s">
        <v>1135</v>
      </c>
      <c r="K183" s="150" t="s">
        <v>1137</v>
      </c>
      <c r="L183" s="511" t="s">
        <v>639</v>
      </c>
      <c r="M183" s="392" t="s">
        <v>2149</v>
      </c>
      <c r="N183" s="343" t="s">
        <v>1231</v>
      </c>
      <c r="O183" s="346" t="s">
        <v>1171</v>
      </c>
      <c r="P183" s="70" t="s">
        <v>604</v>
      </c>
      <c r="Q183" s="346"/>
      <c r="R183" s="346" t="s">
        <v>2424</v>
      </c>
      <c r="S183" s="346"/>
      <c r="T183" s="150" t="s">
        <v>605</v>
      </c>
      <c r="U183" s="150" t="s">
        <v>2425</v>
      </c>
      <c r="V183" s="403"/>
      <c r="W183" s="406">
        <v>4356984</v>
      </c>
      <c r="X183" s="406">
        <v>4356986.0199999996</v>
      </c>
      <c r="Y183" s="425"/>
      <c r="Z183" s="71"/>
      <c r="AA183" s="426"/>
      <c r="AB183" s="427">
        <v>726165.35</v>
      </c>
      <c r="AC183" s="427">
        <v>363082.67</v>
      </c>
      <c r="AD183" s="428">
        <v>0</v>
      </c>
      <c r="AE183" s="429">
        <v>726165.34</v>
      </c>
      <c r="AF183" s="429">
        <v>363082.67</v>
      </c>
      <c r="AG183" s="363">
        <f>363082-363082</f>
        <v>0</v>
      </c>
      <c r="AH183" s="363">
        <f>363082+363082</f>
        <v>726164</v>
      </c>
      <c r="AI183" s="363">
        <v>363082</v>
      </c>
      <c r="AJ183" s="363">
        <f>363082-363082</f>
        <v>0</v>
      </c>
      <c r="AK183" s="363">
        <f>363082+363082</f>
        <v>726164</v>
      </c>
      <c r="AL183" s="363">
        <v>363082</v>
      </c>
      <c r="AM183" s="360">
        <f t="shared" si="5"/>
        <v>4356988.0299999993</v>
      </c>
      <c r="AN183" s="362">
        <f>ERP_26[[#This Row],[2026 Working Total]]-ERP_26[[#This Row],[LE2 Final Submission]]</f>
        <v>2.0099999997764826</v>
      </c>
      <c r="AO183" s="79">
        <v>726164</v>
      </c>
      <c r="AP183" s="79">
        <f t="shared" si="6"/>
        <v>-363081.33</v>
      </c>
      <c r="AQ183" s="374">
        <f>SUM(ERP_26[[#This Row],[AP01]:[AP06]])-SUM(ERP_26[[#This Row],[AP01 LE2]:[AP06 LE2]])</f>
        <v>2.0099999997764826</v>
      </c>
      <c r="AR183" s="80"/>
      <c r="AS183" s="79">
        <f>ERP_26[[#This Row],[2026 Working Total to Budget/LE]]-ERP_26[[#This Row],[Giveback]]</f>
        <v>2.0099999997764826</v>
      </c>
      <c r="AT183" s="81"/>
      <c r="AU183" s="375"/>
      <c r="AV183" s="375">
        <v>726165.35</v>
      </c>
      <c r="AW183" s="375">
        <v>363082.67</v>
      </c>
      <c r="AX183" s="375">
        <v>0</v>
      </c>
      <c r="AY183" s="375">
        <v>726164</v>
      </c>
      <c r="AZ183" s="375">
        <v>363082</v>
      </c>
      <c r="BA183" s="375">
        <v>0</v>
      </c>
      <c r="BB183" s="375">
        <v>726164</v>
      </c>
      <c r="BC183" s="375">
        <v>363082</v>
      </c>
      <c r="BD183" s="375">
        <v>0</v>
      </c>
      <c r="BE183" s="375">
        <v>726164</v>
      </c>
      <c r="BF183" s="375">
        <v>363082</v>
      </c>
      <c r="BG183" s="375">
        <v>4356986.0199999996</v>
      </c>
      <c r="BH183" s="79"/>
      <c r="BI183" s="79">
        <v>726165.35</v>
      </c>
      <c r="BJ183" s="79">
        <v>363082.67</v>
      </c>
      <c r="BK183" s="79">
        <v>363082</v>
      </c>
      <c r="BL183" s="79">
        <v>363082</v>
      </c>
      <c r="BM183" s="79">
        <v>363082</v>
      </c>
      <c r="BN183" s="79">
        <v>363082</v>
      </c>
      <c r="BO183" s="79">
        <v>363082</v>
      </c>
      <c r="BP183" s="79">
        <v>363082</v>
      </c>
      <c r="BQ183" s="79">
        <v>363082</v>
      </c>
      <c r="BR183" s="79">
        <v>363082</v>
      </c>
      <c r="BS183" s="79">
        <v>363082</v>
      </c>
      <c r="BT183" s="79">
        <v>4356986.0199999996</v>
      </c>
    </row>
    <row r="184" spans="1:72" ht="15" customHeight="1">
      <c r="A184" s="66" t="s">
        <v>2426</v>
      </c>
      <c r="B184" s="66"/>
      <c r="C184" s="66" t="s">
        <v>787</v>
      </c>
      <c r="D184" s="66" t="s">
        <v>787</v>
      </c>
      <c r="E184" s="150" t="s">
        <v>1136</v>
      </c>
      <c r="F184" s="482" t="s">
        <v>1566</v>
      </c>
      <c r="G184" s="150" t="s">
        <v>1135</v>
      </c>
      <c r="H184" s="150" t="s">
        <v>1135</v>
      </c>
      <c r="I184" s="150" t="s">
        <v>1135</v>
      </c>
      <c r="J184" s="150" t="s">
        <v>1135</v>
      </c>
      <c r="K184" s="150" t="s">
        <v>1137</v>
      </c>
      <c r="L184" s="511" t="s">
        <v>639</v>
      </c>
      <c r="M184" s="392" t="s">
        <v>2427</v>
      </c>
      <c r="N184" s="343" t="s">
        <v>2428</v>
      </c>
      <c r="O184" s="346" t="s">
        <v>1171</v>
      </c>
      <c r="P184" s="70" t="s">
        <v>788</v>
      </c>
      <c r="Q184" s="346"/>
      <c r="R184" s="343"/>
      <c r="S184" s="346"/>
      <c r="T184" s="150" t="s">
        <v>789</v>
      </c>
      <c r="U184" s="150"/>
      <c r="V184" s="403"/>
      <c r="W184" s="406">
        <v>5012</v>
      </c>
      <c r="X184" s="406">
        <v>2512</v>
      </c>
      <c r="Y184" s="430"/>
      <c r="Z184" s="137"/>
      <c r="AA184" s="426"/>
      <c r="AB184" s="427"/>
      <c r="AC184" s="427"/>
      <c r="AD184" s="428" t="s">
        <v>1142</v>
      </c>
      <c r="AE184" s="429">
        <v>0</v>
      </c>
      <c r="AF184" s="429">
        <v>0</v>
      </c>
      <c r="AG184" s="360">
        <v>0</v>
      </c>
      <c r="AH184" s="360">
        <v>0</v>
      </c>
      <c r="AI184" s="360">
        <v>0</v>
      </c>
      <c r="AJ184" s="360">
        <v>0</v>
      </c>
      <c r="AK184" s="363">
        <v>2512</v>
      </c>
      <c r="AL184" s="360">
        <v>0</v>
      </c>
      <c r="AM184" s="360">
        <f t="shared" si="5"/>
        <v>2512</v>
      </c>
      <c r="AN184" s="362">
        <f>ERP_26[[#This Row],[2026 Working Total]]-ERP_26[[#This Row],[LE2 Final Submission]]</f>
        <v>0</v>
      </c>
      <c r="AO184" s="79"/>
      <c r="AP184" s="79">
        <f t="shared" si="6"/>
        <v>0</v>
      </c>
      <c r="AQ184" s="374">
        <f>SUM(ERP_26[[#This Row],[AP01]:[AP06]])-SUM(ERP_26[[#This Row],[AP01 LE2]:[AP06 LE2]])</f>
        <v>0</v>
      </c>
      <c r="AR184" s="80"/>
      <c r="AS184" s="79">
        <f>ERP_26[[#This Row],[2026 Working Total to Budget/LE]]-ERP_26[[#This Row],[Giveback]]</f>
        <v>0</v>
      </c>
      <c r="AT184" s="81"/>
      <c r="AU184" s="375"/>
      <c r="AV184" s="375"/>
      <c r="AW184" s="375"/>
      <c r="AX184" s="375"/>
      <c r="AY184" s="375"/>
      <c r="AZ184" s="375"/>
      <c r="BA184" s="375">
        <v>0</v>
      </c>
      <c r="BB184" s="375">
        <v>0</v>
      </c>
      <c r="BC184" s="375">
        <v>0</v>
      </c>
      <c r="BD184" s="375">
        <v>0</v>
      </c>
      <c r="BE184" s="375">
        <v>2512</v>
      </c>
      <c r="BF184" s="375">
        <v>0</v>
      </c>
      <c r="BG184" s="375">
        <v>2512</v>
      </c>
      <c r="BH184" s="79"/>
      <c r="BI184" s="79"/>
      <c r="BJ184" s="79"/>
      <c r="BK184" s="79"/>
      <c r="BL184" s="79"/>
      <c r="BM184" s="79">
        <v>2500</v>
      </c>
      <c r="BN184" s="79">
        <v>0</v>
      </c>
      <c r="BO184" s="79">
        <v>0</v>
      </c>
      <c r="BP184" s="79">
        <v>0</v>
      </c>
      <c r="BQ184" s="79">
        <v>0</v>
      </c>
      <c r="BR184" s="79">
        <v>2512</v>
      </c>
      <c r="BS184" s="79">
        <v>0</v>
      </c>
      <c r="BT184" s="79">
        <v>5012</v>
      </c>
    </row>
    <row r="185" spans="1:72" ht="15" customHeight="1">
      <c r="A185" s="79" t="s">
        <v>2429</v>
      </c>
      <c r="B185" s="79"/>
      <c r="C185" s="79" t="s">
        <v>790</v>
      </c>
      <c r="D185" s="296" t="s">
        <v>2430</v>
      </c>
      <c r="E185" s="150" t="s">
        <v>1136</v>
      </c>
      <c r="F185" s="482" t="s">
        <v>1566</v>
      </c>
      <c r="G185" s="150" t="s">
        <v>1135</v>
      </c>
      <c r="H185" s="382" t="s">
        <v>1161</v>
      </c>
      <c r="I185" s="332" t="s">
        <v>1135</v>
      </c>
      <c r="J185" s="382" t="s">
        <v>1161</v>
      </c>
      <c r="K185" s="333" t="s">
        <v>1137</v>
      </c>
      <c r="L185" s="512" t="s">
        <v>639</v>
      </c>
      <c r="M185" s="394" t="s">
        <v>2431</v>
      </c>
      <c r="N185" s="343" t="s">
        <v>2432</v>
      </c>
      <c r="O185" s="332" t="s">
        <v>1252</v>
      </c>
      <c r="P185" s="122" t="s">
        <v>791</v>
      </c>
      <c r="Q185" s="347"/>
      <c r="R185" s="346" t="s">
        <v>2433</v>
      </c>
      <c r="S185" s="346" t="s">
        <v>1710</v>
      </c>
      <c r="T185" s="384" t="s">
        <v>792</v>
      </c>
      <c r="U185" s="387" t="s">
        <v>2434</v>
      </c>
      <c r="V185" s="437"/>
      <c r="W185" s="358">
        <v>56404</v>
      </c>
      <c r="X185" s="378">
        <v>0</v>
      </c>
      <c r="Y185" s="425"/>
      <c r="Z185" s="71"/>
      <c r="AA185" s="433"/>
      <c r="AB185" s="434"/>
      <c r="AC185" s="434"/>
      <c r="AD185" s="428" t="s">
        <v>1142</v>
      </c>
      <c r="AE185" s="429">
        <v>0</v>
      </c>
      <c r="AF185" s="429">
        <v>0</v>
      </c>
      <c r="AG185" s="388">
        <v>0</v>
      </c>
      <c r="AH185" s="388">
        <v>0</v>
      </c>
      <c r="AI185" s="388">
        <v>0</v>
      </c>
      <c r="AJ185" s="388">
        <v>0</v>
      </c>
      <c r="AK185" s="388">
        <v>0</v>
      </c>
      <c r="AL185" s="388">
        <v>0</v>
      </c>
      <c r="AM185" s="360">
        <f t="shared" si="5"/>
        <v>0</v>
      </c>
      <c r="AN185" s="362">
        <f>ERP_26[[#This Row],[2026 Working Total]]-ERP_26[[#This Row],[LE2 Final Submission]]</f>
        <v>0</v>
      </c>
      <c r="AO185" s="79">
        <v>0</v>
      </c>
      <c r="AP185" s="79">
        <f t="shared" si="6"/>
        <v>0</v>
      </c>
      <c r="AQ185" s="374">
        <f>SUM(ERP_26[[#This Row],[AP01]:[AP06]])-SUM(ERP_26[[#This Row],[AP01 LE2]:[AP06 LE2]])</f>
        <v>0</v>
      </c>
      <c r="AR185" s="80"/>
      <c r="AS185" s="79">
        <f>ERP_26[[#This Row],[2026 Working Total to Budget/LE]]-ERP_26[[#This Row],[Giveback]]</f>
        <v>0</v>
      </c>
      <c r="AT185" s="81"/>
      <c r="AU185" s="375"/>
      <c r="AV185" s="375"/>
      <c r="AW185" s="375"/>
      <c r="AX185" s="375">
        <v>0</v>
      </c>
      <c r="AY185" s="375">
        <v>0</v>
      </c>
      <c r="AZ185" s="375">
        <v>0</v>
      </c>
      <c r="BA185" s="375">
        <v>0</v>
      </c>
      <c r="BB185" s="375">
        <v>0</v>
      </c>
      <c r="BC185" s="375">
        <v>0</v>
      </c>
      <c r="BD185" s="375">
        <v>0</v>
      </c>
      <c r="BE185" s="375">
        <v>0</v>
      </c>
      <c r="BF185" s="375">
        <v>0</v>
      </c>
      <c r="BG185" s="375">
        <v>0</v>
      </c>
      <c r="BH185" s="103">
        <v>56404</v>
      </c>
      <c r="BI185" s="103">
        <v>0</v>
      </c>
      <c r="BJ185" s="103">
        <v>0</v>
      </c>
      <c r="BK185" s="103">
        <v>0</v>
      </c>
      <c r="BL185" s="103">
        <v>0</v>
      </c>
      <c r="BM185" s="103">
        <v>0</v>
      </c>
      <c r="BN185" s="103">
        <v>0</v>
      </c>
      <c r="BO185" s="103">
        <v>0</v>
      </c>
      <c r="BP185" s="103">
        <v>0</v>
      </c>
      <c r="BQ185" s="103">
        <v>0</v>
      </c>
      <c r="BR185" s="103">
        <v>0</v>
      </c>
      <c r="BS185" s="103">
        <v>0</v>
      </c>
      <c r="BT185" s="79">
        <f>SUM(ERP_26[[#This Row],[2026 AP01]:[2026 AP12]])</f>
        <v>56404</v>
      </c>
    </row>
    <row r="186" spans="1:72" ht="15" customHeight="1">
      <c r="A186" s="79" t="s">
        <v>2435</v>
      </c>
      <c r="B186" s="79"/>
      <c r="C186" s="79" t="s">
        <v>793</v>
      </c>
      <c r="D186" s="296" t="s">
        <v>2436</v>
      </c>
      <c r="E186" s="150" t="s">
        <v>1136</v>
      </c>
      <c r="F186" s="482" t="s">
        <v>1566</v>
      </c>
      <c r="G186" s="150" t="s">
        <v>1135</v>
      </c>
      <c r="H186" s="382" t="s">
        <v>1161</v>
      </c>
      <c r="I186" s="332" t="s">
        <v>1135</v>
      </c>
      <c r="J186" s="382" t="s">
        <v>1161</v>
      </c>
      <c r="K186" s="333" t="s">
        <v>1137</v>
      </c>
      <c r="L186" s="512" t="s">
        <v>639</v>
      </c>
      <c r="M186" s="394" t="s">
        <v>2437</v>
      </c>
      <c r="N186" s="343" t="s">
        <v>2432</v>
      </c>
      <c r="O186" s="332" t="s">
        <v>1252</v>
      </c>
      <c r="P186" s="122" t="s">
        <v>794</v>
      </c>
      <c r="Q186" s="347"/>
      <c r="R186" s="346" t="s">
        <v>2433</v>
      </c>
      <c r="S186" s="346" t="s">
        <v>1710</v>
      </c>
      <c r="T186" s="384" t="s">
        <v>792</v>
      </c>
      <c r="U186" s="387" t="s">
        <v>2438</v>
      </c>
      <c r="V186" s="437"/>
      <c r="W186" s="358">
        <v>-56404</v>
      </c>
      <c r="X186" s="378">
        <v>0</v>
      </c>
      <c r="Y186" s="425"/>
      <c r="Z186" s="71"/>
      <c r="AA186" s="433"/>
      <c r="AB186" s="434"/>
      <c r="AC186" s="434"/>
      <c r="AD186" s="428" t="s">
        <v>1142</v>
      </c>
      <c r="AE186" s="429">
        <v>0</v>
      </c>
      <c r="AF186" s="429">
        <v>0</v>
      </c>
      <c r="AG186" s="388">
        <v>0</v>
      </c>
      <c r="AH186" s="388">
        <v>0</v>
      </c>
      <c r="AI186" s="388">
        <v>0</v>
      </c>
      <c r="AJ186" s="388">
        <v>0</v>
      </c>
      <c r="AK186" s="388">
        <v>0</v>
      </c>
      <c r="AL186" s="388">
        <v>0</v>
      </c>
      <c r="AM186" s="360">
        <f t="shared" si="5"/>
        <v>0</v>
      </c>
      <c r="AN186" s="362">
        <f>ERP_26[[#This Row],[2026 Working Total]]-ERP_26[[#This Row],[LE2 Final Submission]]</f>
        <v>0</v>
      </c>
      <c r="AO186" s="79">
        <v>0</v>
      </c>
      <c r="AP186" s="79">
        <f t="shared" si="6"/>
        <v>0</v>
      </c>
      <c r="AQ186" s="374">
        <f>SUM(ERP_26[[#This Row],[AP01]:[AP06]])-SUM(ERP_26[[#This Row],[AP01 LE2]:[AP06 LE2]])</f>
        <v>0</v>
      </c>
      <c r="AR186" s="80"/>
      <c r="AS186" s="79">
        <f>ERP_26[[#This Row],[2026 Working Total to Budget/LE]]-ERP_26[[#This Row],[Giveback]]</f>
        <v>0</v>
      </c>
      <c r="AT186" s="81"/>
      <c r="AU186" s="375"/>
      <c r="AV186" s="375"/>
      <c r="AW186" s="375"/>
      <c r="AX186" s="375">
        <v>0</v>
      </c>
      <c r="AY186" s="375">
        <v>0</v>
      </c>
      <c r="AZ186" s="375">
        <v>0</v>
      </c>
      <c r="BA186" s="375">
        <v>0</v>
      </c>
      <c r="BB186" s="375">
        <v>0</v>
      </c>
      <c r="BC186" s="375">
        <v>0</v>
      </c>
      <c r="BD186" s="375">
        <v>0</v>
      </c>
      <c r="BE186" s="375">
        <v>0</v>
      </c>
      <c r="BF186" s="375">
        <v>0</v>
      </c>
      <c r="BG186" s="375">
        <v>0</v>
      </c>
      <c r="BH186" s="103">
        <v>-56404</v>
      </c>
      <c r="BI186" s="103">
        <v>0</v>
      </c>
      <c r="BJ186" s="103">
        <v>0</v>
      </c>
      <c r="BK186" s="103">
        <v>0</v>
      </c>
      <c r="BL186" s="103">
        <v>0</v>
      </c>
      <c r="BM186" s="103">
        <v>0</v>
      </c>
      <c r="BN186" s="103">
        <v>0</v>
      </c>
      <c r="BO186" s="103">
        <v>0</v>
      </c>
      <c r="BP186" s="103">
        <v>0</v>
      </c>
      <c r="BQ186" s="103">
        <v>0</v>
      </c>
      <c r="BR186" s="103">
        <v>0</v>
      </c>
      <c r="BS186" s="103">
        <v>0</v>
      </c>
      <c r="BT186" s="79">
        <f>SUM(ERP_26[[#This Row],[2026 AP01]:[2026 AP12]])</f>
        <v>-56404</v>
      </c>
    </row>
    <row r="187" spans="1:72" ht="15" customHeight="1">
      <c r="A187" s="66" t="s">
        <v>2439</v>
      </c>
      <c r="B187" s="66"/>
      <c r="C187" s="66" t="s">
        <v>795</v>
      </c>
      <c r="D187" s="66" t="s">
        <v>2440</v>
      </c>
      <c r="E187" s="150" t="s">
        <v>1136</v>
      </c>
      <c r="F187" s="482" t="s">
        <v>1566</v>
      </c>
      <c r="G187" s="150" t="s">
        <v>1135</v>
      </c>
      <c r="H187" s="150" t="s">
        <v>1135</v>
      </c>
      <c r="I187" s="150" t="s">
        <v>1135</v>
      </c>
      <c r="J187" s="150" t="s">
        <v>1137</v>
      </c>
      <c r="K187" s="150" t="s">
        <v>1137</v>
      </c>
      <c r="L187" s="511" t="s">
        <v>639</v>
      </c>
      <c r="M187" s="392" t="s">
        <v>2441</v>
      </c>
      <c r="N187" s="343"/>
      <c r="O187" s="343"/>
      <c r="P187" s="70" t="s">
        <v>796</v>
      </c>
      <c r="Q187" s="346"/>
      <c r="R187" s="343"/>
      <c r="S187" s="346"/>
      <c r="T187" s="150" t="s">
        <v>680</v>
      </c>
      <c r="U187" s="150"/>
      <c r="V187" s="403"/>
      <c r="W187" s="406">
        <v>1200</v>
      </c>
      <c r="X187" s="406">
        <v>600</v>
      </c>
      <c r="Y187" s="425"/>
      <c r="Z187" s="71"/>
      <c r="AA187" s="426"/>
      <c r="AB187" s="427"/>
      <c r="AC187" s="427"/>
      <c r="AD187" s="428" t="s">
        <v>1142</v>
      </c>
      <c r="AE187" s="429">
        <v>0</v>
      </c>
      <c r="AF187" s="429">
        <v>0</v>
      </c>
      <c r="AG187" s="363">
        <v>600</v>
      </c>
      <c r="AH187" s="360">
        <v>0</v>
      </c>
      <c r="AI187" s="360">
        <v>0</v>
      </c>
      <c r="AJ187" s="360">
        <v>0</v>
      </c>
      <c r="AK187" s="360">
        <v>0</v>
      </c>
      <c r="AL187" s="360">
        <v>0</v>
      </c>
      <c r="AM187" s="360">
        <f t="shared" si="5"/>
        <v>600</v>
      </c>
      <c r="AN187" s="362">
        <f>ERP_26[[#This Row],[2026 Working Total]]-ERP_26[[#This Row],[LE2 Final Submission]]</f>
        <v>0</v>
      </c>
      <c r="AO187" s="79"/>
      <c r="AP187" s="79">
        <f t="shared" si="6"/>
        <v>0</v>
      </c>
      <c r="AQ187" s="374">
        <f>SUM(ERP_26[[#This Row],[AP01]:[AP06]])-SUM(ERP_26[[#This Row],[AP01 LE2]:[AP06 LE2]])</f>
        <v>0</v>
      </c>
      <c r="AR187" s="80"/>
      <c r="AS187" s="79">
        <f>ERP_26[[#This Row],[2026 Working Total to Budget/LE]]-ERP_26[[#This Row],[Giveback]]</f>
        <v>0</v>
      </c>
      <c r="AT187" s="81"/>
      <c r="AU187" s="375"/>
      <c r="AV187" s="375"/>
      <c r="AW187" s="375"/>
      <c r="AX187" s="375"/>
      <c r="AY187" s="375"/>
      <c r="AZ187" s="375"/>
      <c r="BA187" s="375">
        <v>600</v>
      </c>
      <c r="BB187" s="375">
        <v>0</v>
      </c>
      <c r="BC187" s="375">
        <v>0</v>
      </c>
      <c r="BD187" s="375">
        <v>0</v>
      </c>
      <c r="BE187" s="375">
        <v>0</v>
      </c>
      <c r="BF187" s="375">
        <v>0</v>
      </c>
      <c r="BG187" s="375">
        <v>600</v>
      </c>
      <c r="BH187" s="79"/>
      <c r="BI187" s="79"/>
      <c r="BJ187" s="79"/>
      <c r="BK187" s="79"/>
      <c r="BL187" s="79"/>
      <c r="BM187" s="79"/>
      <c r="BN187" s="79">
        <v>600</v>
      </c>
      <c r="BO187" s="79">
        <v>0</v>
      </c>
      <c r="BP187" s="79">
        <v>0</v>
      </c>
      <c r="BQ187" s="79">
        <v>0</v>
      </c>
      <c r="BR187" s="79">
        <v>0</v>
      </c>
      <c r="BS187" s="79">
        <v>0</v>
      </c>
      <c r="BT187" s="79">
        <v>600</v>
      </c>
    </row>
    <row r="188" spans="1:72" ht="15" customHeight="1">
      <c r="A188" s="66" t="s">
        <v>2442</v>
      </c>
      <c r="B188" s="66"/>
      <c r="C188" s="66" t="s">
        <v>797</v>
      </c>
      <c r="D188" s="66" t="s">
        <v>2443</v>
      </c>
      <c r="E188" s="150" t="s">
        <v>1136</v>
      </c>
      <c r="F188" s="482" t="s">
        <v>1566</v>
      </c>
      <c r="G188" s="150" t="s">
        <v>1135</v>
      </c>
      <c r="H188" s="150" t="s">
        <v>1135</v>
      </c>
      <c r="I188" s="150" t="s">
        <v>1135</v>
      </c>
      <c r="J188" s="150" t="s">
        <v>1137</v>
      </c>
      <c r="K188" s="150" t="s">
        <v>1137</v>
      </c>
      <c r="L188" s="511" t="s">
        <v>639</v>
      </c>
      <c r="M188" s="392" t="s">
        <v>2444</v>
      </c>
      <c r="N188" s="343"/>
      <c r="O188" s="343"/>
      <c r="P188" s="70" t="s">
        <v>798</v>
      </c>
      <c r="Q188" s="346"/>
      <c r="R188" s="343"/>
      <c r="S188" s="346"/>
      <c r="T188" s="150" t="s">
        <v>680</v>
      </c>
      <c r="U188" s="1" t="s">
        <v>1141</v>
      </c>
      <c r="V188" s="403"/>
      <c r="W188" s="406">
        <v>600</v>
      </c>
      <c r="X188" s="406">
        <v>600</v>
      </c>
      <c r="Y188" s="425"/>
      <c r="Z188" s="71"/>
      <c r="AA188" s="426"/>
      <c r="AB188" s="427"/>
      <c r="AC188" s="427"/>
      <c r="AD188" s="428" t="s">
        <v>1142</v>
      </c>
      <c r="AE188" s="429">
        <v>0</v>
      </c>
      <c r="AF188" s="429">
        <v>0</v>
      </c>
      <c r="AG188" s="363"/>
      <c r="AH188" s="363"/>
      <c r="AI188" s="363"/>
      <c r="AJ188" s="363"/>
      <c r="AK188" s="363"/>
      <c r="AL188" s="363">
        <v>600</v>
      </c>
      <c r="AM188" s="360">
        <f t="shared" si="5"/>
        <v>600</v>
      </c>
      <c r="AN188" s="362">
        <f>ERP_26[[#This Row],[2026 Working Total]]-ERP_26[[#This Row],[LE2 Final Submission]]</f>
        <v>0</v>
      </c>
      <c r="AO188" s="79"/>
      <c r="AP188" s="79">
        <f t="shared" si="6"/>
        <v>0</v>
      </c>
      <c r="AQ188" s="374">
        <f>SUM(ERP_26[[#This Row],[AP01]:[AP06]])-SUM(ERP_26[[#This Row],[AP01 LE2]:[AP06 LE2]])</f>
        <v>0</v>
      </c>
      <c r="AR188" s="80"/>
      <c r="AS188" s="79">
        <f>ERP_26[[#This Row],[2026 Working Total to Budget/LE]]-ERP_26[[#This Row],[Giveback]]</f>
        <v>0</v>
      </c>
      <c r="AT188" s="81"/>
      <c r="AU188" s="375"/>
      <c r="AV188" s="375"/>
      <c r="AW188" s="375"/>
      <c r="AX188" s="375"/>
      <c r="AY188" s="375"/>
      <c r="AZ188" s="375"/>
      <c r="BA188" s="375"/>
      <c r="BB188" s="375"/>
      <c r="BC188" s="375"/>
      <c r="BD188" s="375"/>
      <c r="BE188" s="375"/>
      <c r="BF188" s="375">
        <v>600</v>
      </c>
      <c r="BG188" s="375">
        <v>600</v>
      </c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>
        <v>600</v>
      </c>
      <c r="BT188" s="79">
        <v>600</v>
      </c>
    </row>
    <row r="189" spans="1:72" ht="15" customHeight="1">
      <c r="A189" s="79" t="s">
        <v>2445</v>
      </c>
      <c r="B189" s="79"/>
      <c r="C189" s="79" t="s">
        <v>799</v>
      </c>
      <c r="D189" s="296" t="s">
        <v>2446</v>
      </c>
      <c r="E189" s="150" t="s">
        <v>1136</v>
      </c>
      <c r="F189" s="482" t="s">
        <v>1566</v>
      </c>
      <c r="G189" s="150" t="s">
        <v>1135</v>
      </c>
      <c r="H189" s="383" t="s">
        <v>1156</v>
      </c>
      <c r="I189" s="332" t="s">
        <v>1135</v>
      </c>
      <c r="J189" s="383" t="s">
        <v>1156</v>
      </c>
      <c r="K189" s="333" t="s">
        <v>1137</v>
      </c>
      <c r="L189" s="512" t="s">
        <v>639</v>
      </c>
      <c r="M189" s="393" t="s">
        <v>2447</v>
      </c>
      <c r="N189" s="343" t="s">
        <v>1251</v>
      </c>
      <c r="O189" s="332" t="s">
        <v>1252</v>
      </c>
      <c r="P189" s="91" t="s">
        <v>800</v>
      </c>
      <c r="Q189" s="347"/>
      <c r="R189" s="346" t="s">
        <v>2448</v>
      </c>
      <c r="S189" s="348" t="s">
        <v>1710</v>
      </c>
      <c r="T189" s="386" t="s">
        <v>801</v>
      </c>
      <c r="U189" s="346" t="s">
        <v>2453</v>
      </c>
      <c r="V189" s="432"/>
      <c r="W189" s="358">
        <v>120000</v>
      </c>
      <c r="X189" s="378">
        <v>0</v>
      </c>
      <c r="Y189" s="425"/>
      <c r="Z189" s="71"/>
      <c r="AA189" s="433"/>
      <c r="AB189" s="434"/>
      <c r="AC189" s="434"/>
      <c r="AD189" s="428" t="s">
        <v>1142</v>
      </c>
      <c r="AE189" s="429">
        <v>0</v>
      </c>
      <c r="AF189" s="429">
        <v>0</v>
      </c>
      <c r="AG189" s="388">
        <v>0</v>
      </c>
      <c r="AH189" s="388">
        <v>0</v>
      </c>
      <c r="AI189" s="388">
        <v>0</v>
      </c>
      <c r="AJ189" s="388">
        <v>0</v>
      </c>
      <c r="AK189" s="388">
        <v>0</v>
      </c>
      <c r="AL189" s="388">
        <v>0</v>
      </c>
      <c r="AM189" s="360">
        <f t="shared" si="5"/>
        <v>0</v>
      </c>
      <c r="AN189" s="362">
        <f>ERP_26[[#This Row],[2026 Working Total]]-ERP_26[[#This Row],[LE2 Final Submission]]</f>
        <v>0</v>
      </c>
      <c r="AO189" s="79">
        <v>0</v>
      </c>
      <c r="AP189" s="79">
        <f t="shared" si="6"/>
        <v>0</v>
      </c>
      <c r="AQ189" s="374">
        <f>SUM(ERP_26[[#This Row],[AP01]:[AP06]])-SUM(ERP_26[[#This Row],[AP01 LE2]:[AP06 LE2]])</f>
        <v>0</v>
      </c>
      <c r="AR189" s="80"/>
      <c r="AS189" s="79">
        <f>ERP_26[[#This Row],[2026 Working Total to Budget/LE]]-ERP_26[[#This Row],[Giveback]]</f>
        <v>0</v>
      </c>
      <c r="AT189" s="81"/>
      <c r="AU189" s="375"/>
      <c r="AV189" s="375"/>
      <c r="AW189" s="375"/>
      <c r="AX189" s="375">
        <v>0</v>
      </c>
      <c r="AY189" s="375">
        <v>0</v>
      </c>
      <c r="AZ189" s="375">
        <v>0</v>
      </c>
      <c r="BA189" s="375">
        <v>0</v>
      </c>
      <c r="BB189" s="375">
        <v>0</v>
      </c>
      <c r="BC189" s="375">
        <v>0</v>
      </c>
      <c r="BD189" s="375">
        <v>0</v>
      </c>
      <c r="BE189" s="375">
        <v>0</v>
      </c>
      <c r="BF189" s="375">
        <v>0</v>
      </c>
      <c r="BG189" s="375">
        <v>0</v>
      </c>
      <c r="BH189" s="103">
        <v>120000</v>
      </c>
      <c r="BI189" s="103">
        <v>0</v>
      </c>
      <c r="BJ189" s="103">
        <v>0</v>
      </c>
      <c r="BK189" s="103">
        <v>0</v>
      </c>
      <c r="BL189" s="103">
        <v>0</v>
      </c>
      <c r="BM189" s="103">
        <v>0</v>
      </c>
      <c r="BN189" s="103">
        <v>0</v>
      </c>
      <c r="BO189" s="103">
        <v>0</v>
      </c>
      <c r="BP189" s="103">
        <v>0</v>
      </c>
      <c r="BQ189" s="103">
        <v>0</v>
      </c>
      <c r="BR189" s="103">
        <v>0</v>
      </c>
      <c r="BS189" s="103">
        <v>0</v>
      </c>
      <c r="BT189" s="79">
        <f>SUM(ERP_26[[#This Row],[2026 AP01]:[2026 AP12]])</f>
        <v>120000</v>
      </c>
    </row>
    <row r="190" spans="1:72" ht="15" customHeight="1">
      <c r="A190" s="79" t="s">
        <v>2450</v>
      </c>
      <c r="B190" s="79"/>
      <c r="C190" s="79" t="s">
        <v>802</v>
      </c>
      <c r="D190" s="296" t="s">
        <v>2451</v>
      </c>
      <c r="E190" s="150" t="s">
        <v>1136</v>
      </c>
      <c r="F190" s="482" t="s">
        <v>1566</v>
      </c>
      <c r="G190" s="150" t="s">
        <v>1135</v>
      </c>
      <c r="H190" s="383" t="s">
        <v>1156</v>
      </c>
      <c r="I190" s="332" t="s">
        <v>1135</v>
      </c>
      <c r="J190" s="383" t="s">
        <v>1156</v>
      </c>
      <c r="K190" s="333" t="s">
        <v>1137</v>
      </c>
      <c r="L190" s="512" t="s">
        <v>639</v>
      </c>
      <c r="M190" s="393" t="s">
        <v>2452</v>
      </c>
      <c r="N190" s="343" t="s">
        <v>1251</v>
      </c>
      <c r="O190" s="332" t="s">
        <v>1252</v>
      </c>
      <c r="P190" s="91" t="s">
        <v>803</v>
      </c>
      <c r="Q190" s="347"/>
      <c r="R190" s="346" t="s">
        <v>2448</v>
      </c>
      <c r="S190" s="348" t="s">
        <v>1710</v>
      </c>
      <c r="T190" s="386" t="s">
        <v>801</v>
      </c>
      <c r="U190" s="346" t="s">
        <v>2453</v>
      </c>
      <c r="V190" s="432"/>
      <c r="W190" s="358">
        <v>-120000</v>
      </c>
      <c r="X190" s="378">
        <v>0</v>
      </c>
      <c r="Y190" s="425"/>
      <c r="Z190" s="71"/>
      <c r="AA190" s="433"/>
      <c r="AB190" s="434"/>
      <c r="AC190" s="434"/>
      <c r="AD190" s="428" t="s">
        <v>1142</v>
      </c>
      <c r="AE190" s="429">
        <v>0</v>
      </c>
      <c r="AF190" s="429">
        <v>0</v>
      </c>
      <c r="AG190" s="388">
        <v>0</v>
      </c>
      <c r="AH190" s="388">
        <v>0</v>
      </c>
      <c r="AI190" s="388">
        <v>0</v>
      </c>
      <c r="AJ190" s="388">
        <v>0</v>
      </c>
      <c r="AK190" s="388">
        <v>0</v>
      </c>
      <c r="AL190" s="388">
        <v>0</v>
      </c>
      <c r="AM190" s="360">
        <f t="shared" si="5"/>
        <v>0</v>
      </c>
      <c r="AN190" s="362">
        <f>ERP_26[[#This Row],[2026 Working Total]]-ERP_26[[#This Row],[LE2 Final Submission]]</f>
        <v>0</v>
      </c>
      <c r="AO190" s="79">
        <v>0</v>
      </c>
      <c r="AP190" s="79">
        <f t="shared" si="6"/>
        <v>0</v>
      </c>
      <c r="AQ190" s="374">
        <f>SUM(ERP_26[[#This Row],[AP01]:[AP06]])-SUM(ERP_26[[#This Row],[AP01 LE2]:[AP06 LE2]])</f>
        <v>0</v>
      </c>
      <c r="AR190" s="80"/>
      <c r="AS190" s="79">
        <f>ERP_26[[#This Row],[2026 Working Total to Budget/LE]]-ERP_26[[#This Row],[Giveback]]</f>
        <v>0</v>
      </c>
      <c r="AT190" s="81"/>
      <c r="AU190" s="375"/>
      <c r="AV190" s="375"/>
      <c r="AW190" s="375"/>
      <c r="AX190" s="375">
        <v>0</v>
      </c>
      <c r="AY190" s="375">
        <v>0</v>
      </c>
      <c r="AZ190" s="375">
        <v>0</v>
      </c>
      <c r="BA190" s="375">
        <v>0</v>
      </c>
      <c r="BB190" s="375">
        <v>0</v>
      </c>
      <c r="BC190" s="375">
        <v>0</v>
      </c>
      <c r="BD190" s="375">
        <v>0</v>
      </c>
      <c r="BE190" s="375">
        <v>0</v>
      </c>
      <c r="BF190" s="375">
        <v>0</v>
      </c>
      <c r="BG190" s="375">
        <v>0</v>
      </c>
      <c r="BH190" s="103">
        <v>-120000</v>
      </c>
      <c r="BI190" s="103">
        <v>0</v>
      </c>
      <c r="BJ190" s="103">
        <v>0</v>
      </c>
      <c r="BK190" s="103">
        <v>0</v>
      </c>
      <c r="BL190" s="103">
        <v>0</v>
      </c>
      <c r="BM190" s="103">
        <v>0</v>
      </c>
      <c r="BN190" s="103">
        <v>0</v>
      </c>
      <c r="BO190" s="103">
        <v>0</v>
      </c>
      <c r="BP190" s="103">
        <v>0</v>
      </c>
      <c r="BQ190" s="103">
        <v>0</v>
      </c>
      <c r="BR190" s="103">
        <v>0</v>
      </c>
      <c r="BS190" s="103">
        <v>0</v>
      </c>
      <c r="BT190" s="79">
        <f>SUM(ERP_26[[#This Row],[2026 AP01]:[2026 AP12]])</f>
        <v>-120000</v>
      </c>
    </row>
    <row r="191" spans="1:72" ht="15" customHeight="1">
      <c r="A191" s="79" t="s">
        <v>2454</v>
      </c>
      <c r="B191" s="79"/>
      <c r="C191" s="79" t="s">
        <v>804</v>
      </c>
      <c r="D191" s="296" t="s">
        <v>2455</v>
      </c>
      <c r="E191" s="150" t="s">
        <v>1136</v>
      </c>
      <c r="F191" s="482" t="s">
        <v>1566</v>
      </c>
      <c r="G191" s="150" t="s">
        <v>1135</v>
      </c>
      <c r="H191" s="383" t="s">
        <v>1145</v>
      </c>
      <c r="I191" s="332" t="s">
        <v>1135</v>
      </c>
      <c r="J191" s="383" t="s">
        <v>1145</v>
      </c>
      <c r="K191" s="331" t="s">
        <v>1137</v>
      </c>
      <c r="L191" s="512" t="s">
        <v>639</v>
      </c>
      <c r="M191" s="393" t="s">
        <v>2456</v>
      </c>
      <c r="N191" s="343" t="s">
        <v>2457</v>
      </c>
      <c r="O191" s="150" t="s">
        <v>1186</v>
      </c>
      <c r="P191" s="91" t="s">
        <v>805</v>
      </c>
      <c r="Q191" s="343"/>
      <c r="R191" s="346" t="s">
        <v>2458</v>
      </c>
      <c r="S191" s="346" t="s">
        <v>1710</v>
      </c>
      <c r="T191" s="386" t="s">
        <v>806</v>
      </c>
      <c r="U191" s="346" t="s">
        <v>1348</v>
      </c>
      <c r="V191" s="437"/>
      <c r="W191" s="358">
        <v>99064.42</v>
      </c>
      <c r="X191" s="378">
        <v>0</v>
      </c>
      <c r="Y191" s="425"/>
      <c r="Z191" s="71"/>
      <c r="AA191" s="433"/>
      <c r="AB191" s="434"/>
      <c r="AC191" s="434"/>
      <c r="AD191" s="428" t="s">
        <v>1142</v>
      </c>
      <c r="AE191" s="429">
        <v>0</v>
      </c>
      <c r="AF191" s="429">
        <v>0</v>
      </c>
      <c r="AG191" s="388">
        <v>0</v>
      </c>
      <c r="AH191" s="388">
        <v>0</v>
      </c>
      <c r="AI191" s="388">
        <v>0</v>
      </c>
      <c r="AJ191" s="388">
        <v>0</v>
      </c>
      <c r="AK191" s="388">
        <v>0</v>
      </c>
      <c r="AL191" s="388">
        <v>0</v>
      </c>
      <c r="AM191" s="360">
        <f t="shared" si="5"/>
        <v>0</v>
      </c>
      <c r="AN191" s="362">
        <f>ERP_26[[#This Row],[2026 Working Total]]-ERP_26[[#This Row],[LE2 Final Submission]]</f>
        <v>0</v>
      </c>
      <c r="AO191" s="79">
        <v>0</v>
      </c>
      <c r="AP191" s="79">
        <f t="shared" si="6"/>
        <v>0</v>
      </c>
      <c r="AQ191" s="374">
        <f>SUM(ERP_26[[#This Row],[AP01]:[AP06]])-SUM(ERP_26[[#This Row],[AP01 LE2]:[AP06 LE2]])</f>
        <v>0</v>
      </c>
      <c r="AR191" s="80"/>
      <c r="AS191" s="79">
        <f>ERP_26[[#This Row],[2026 Working Total to Budget/LE]]-ERP_26[[#This Row],[Giveback]]</f>
        <v>0</v>
      </c>
      <c r="AT191" s="81"/>
      <c r="AU191" s="375"/>
      <c r="AV191" s="375"/>
      <c r="AW191" s="375"/>
      <c r="AX191" s="375">
        <v>0</v>
      </c>
      <c r="AY191" s="375">
        <v>0</v>
      </c>
      <c r="AZ191" s="375">
        <v>0</v>
      </c>
      <c r="BA191" s="375">
        <v>0</v>
      </c>
      <c r="BB191" s="375">
        <v>0</v>
      </c>
      <c r="BC191" s="375">
        <v>0</v>
      </c>
      <c r="BD191" s="375">
        <v>0</v>
      </c>
      <c r="BE191" s="375">
        <v>0</v>
      </c>
      <c r="BF191" s="375">
        <v>0</v>
      </c>
      <c r="BG191" s="375">
        <v>0</v>
      </c>
      <c r="BH191" s="103">
        <v>99064.42</v>
      </c>
      <c r="BI191" s="103">
        <v>0</v>
      </c>
      <c r="BJ191" s="103">
        <v>0</v>
      </c>
      <c r="BK191" s="103">
        <v>0</v>
      </c>
      <c r="BL191" s="103">
        <v>0</v>
      </c>
      <c r="BM191" s="103">
        <v>0</v>
      </c>
      <c r="BN191" s="103">
        <v>0</v>
      </c>
      <c r="BO191" s="103">
        <v>0</v>
      </c>
      <c r="BP191" s="103">
        <v>0</v>
      </c>
      <c r="BQ191" s="103">
        <v>0</v>
      </c>
      <c r="BR191" s="103">
        <v>0</v>
      </c>
      <c r="BS191" s="103">
        <v>0</v>
      </c>
      <c r="BT191" s="79">
        <f>SUM(ERP_26[[#This Row],[2026 AP01]:[2026 AP12]])</f>
        <v>99064.42</v>
      </c>
    </row>
    <row r="192" spans="1:72" ht="15" customHeight="1">
      <c r="A192" s="79" t="s">
        <v>2459</v>
      </c>
      <c r="B192" s="79"/>
      <c r="C192" s="79" t="s">
        <v>807</v>
      </c>
      <c r="D192" s="296" t="s">
        <v>2460</v>
      </c>
      <c r="E192" s="150" t="s">
        <v>1136</v>
      </c>
      <c r="F192" s="482" t="s">
        <v>1566</v>
      </c>
      <c r="G192" s="150" t="s">
        <v>1135</v>
      </c>
      <c r="H192" s="383" t="s">
        <v>1145</v>
      </c>
      <c r="I192" s="332" t="s">
        <v>1135</v>
      </c>
      <c r="J192" s="383" t="s">
        <v>1145</v>
      </c>
      <c r="K192" s="331" t="s">
        <v>1137</v>
      </c>
      <c r="L192" s="512" t="s">
        <v>639</v>
      </c>
      <c r="M192" s="393" t="s">
        <v>2461</v>
      </c>
      <c r="N192" s="343" t="s">
        <v>2457</v>
      </c>
      <c r="O192" s="150" t="s">
        <v>1186</v>
      </c>
      <c r="P192" s="91" t="s">
        <v>808</v>
      </c>
      <c r="Q192" s="343"/>
      <c r="R192" s="346" t="s">
        <v>2458</v>
      </c>
      <c r="S192" s="346" t="s">
        <v>1710</v>
      </c>
      <c r="T192" s="386" t="s">
        <v>806</v>
      </c>
      <c r="U192" s="346" t="s">
        <v>1348</v>
      </c>
      <c r="V192" s="437"/>
      <c r="W192" s="358">
        <v>-99064.42</v>
      </c>
      <c r="X192" s="378">
        <v>0</v>
      </c>
      <c r="Y192" s="425"/>
      <c r="Z192" s="71"/>
      <c r="AA192" s="433"/>
      <c r="AB192" s="434"/>
      <c r="AC192" s="434"/>
      <c r="AD192" s="428" t="s">
        <v>1142</v>
      </c>
      <c r="AE192" s="429">
        <v>0</v>
      </c>
      <c r="AF192" s="429">
        <v>0</v>
      </c>
      <c r="AG192" s="388">
        <v>0</v>
      </c>
      <c r="AH192" s="388">
        <v>0</v>
      </c>
      <c r="AI192" s="388">
        <v>0</v>
      </c>
      <c r="AJ192" s="388">
        <v>0</v>
      </c>
      <c r="AK192" s="388">
        <v>0</v>
      </c>
      <c r="AL192" s="388">
        <v>0</v>
      </c>
      <c r="AM192" s="360">
        <f t="shared" si="5"/>
        <v>0</v>
      </c>
      <c r="AN192" s="362">
        <f>ERP_26[[#This Row],[2026 Working Total]]-ERP_26[[#This Row],[LE2 Final Submission]]</f>
        <v>0</v>
      </c>
      <c r="AO192" s="79">
        <v>0</v>
      </c>
      <c r="AP192" s="79">
        <f t="shared" si="6"/>
        <v>0</v>
      </c>
      <c r="AQ192" s="374">
        <f>SUM(ERP_26[[#This Row],[AP01]:[AP06]])-SUM(ERP_26[[#This Row],[AP01 LE2]:[AP06 LE2]])</f>
        <v>0</v>
      </c>
      <c r="AR192" s="80"/>
      <c r="AS192" s="79">
        <f>ERP_26[[#This Row],[2026 Working Total to Budget/LE]]-ERP_26[[#This Row],[Giveback]]</f>
        <v>0</v>
      </c>
      <c r="AT192" s="81"/>
      <c r="AU192" s="375"/>
      <c r="AV192" s="375"/>
      <c r="AW192" s="375"/>
      <c r="AX192" s="375">
        <v>0</v>
      </c>
      <c r="AY192" s="375">
        <v>0</v>
      </c>
      <c r="AZ192" s="375">
        <v>0</v>
      </c>
      <c r="BA192" s="375">
        <v>0</v>
      </c>
      <c r="BB192" s="375">
        <v>0</v>
      </c>
      <c r="BC192" s="375">
        <v>0</v>
      </c>
      <c r="BD192" s="375">
        <v>0</v>
      </c>
      <c r="BE192" s="375">
        <v>0</v>
      </c>
      <c r="BF192" s="375">
        <v>0</v>
      </c>
      <c r="BG192" s="375">
        <v>0</v>
      </c>
      <c r="BH192" s="103">
        <v>-99064.42</v>
      </c>
      <c r="BI192" s="103">
        <v>0</v>
      </c>
      <c r="BJ192" s="103">
        <v>0</v>
      </c>
      <c r="BK192" s="103">
        <v>0</v>
      </c>
      <c r="BL192" s="103">
        <v>0</v>
      </c>
      <c r="BM192" s="103">
        <v>0</v>
      </c>
      <c r="BN192" s="103">
        <v>0</v>
      </c>
      <c r="BO192" s="103">
        <v>0</v>
      </c>
      <c r="BP192" s="103">
        <v>0</v>
      </c>
      <c r="BQ192" s="103">
        <v>0</v>
      </c>
      <c r="BR192" s="103">
        <v>0</v>
      </c>
      <c r="BS192" s="103">
        <v>0</v>
      </c>
      <c r="BT192" s="79">
        <f>SUM(ERP_26[[#This Row],[2026 AP01]:[2026 AP12]])</f>
        <v>-99064.42</v>
      </c>
    </row>
    <row r="193" spans="1:72" ht="15" customHeight="1">
      <c r="A193" s="66" t="s">
        <v>2462</v>
      </c>
      <c r="B193" s="66"/>
      <c r="C193" s="66" t="s">
        <v>809</v>
      </c>
      <c r="D193" s="66" t="s">
        <v>809</v>
      </c>
      <c r="E193" s="150" t="s">
        <v>1136</v>
      </c>
      <c r="F193" s="482" t="s">
        <v>1566</v>
      </c>
      <c r="G193" s="150" t="s">
        <v>1135</v>
      </c>
      <c r="H193" s="150" t="s">
        <v>1135</v>
      </c>
      <c r="I193" s="150" t="s">
        <v>1135</v>
      </c>
      <c r="J193" s="150" t="s">
        <v>1135</v>
      </c>
      <c r="K193" s="150" t="s">
        <v>1137</v>
      </c>
      <c r="L193" s="511" t="s">
        <v>639</v>
      </c>
      <c r="M193" s="392" t="s">
        <v>2463</v>
      </c>
      <c r="N193" s="343" t="s">
        <v>1231</v>
      </c>
      <c r="O193" s="346" t="s">
        <v>1171</v>
      </c>
      <c r="P193" s="70" t="s">
        <v>810</v>
      </c>
      <c r="Q193" s="346"/>
      <c r="R193" s="343"/>
      <c r="S193" s="346"/>
      <c r="T193" s="150" t="s">
        <v>811</v>
      </c>
      <c r="U193" s="150" t="s">
        <v>2464</v>
      </c>
      <c r="V193" s="403"/>
      <c r="W193" s="406">
        <v>1136537.76</v>
      </c>
      <c r="X193" s="406">
        <v>1100039.77</v>
      </c>
      <c r="Y193" s="425"/>
      <c r="Z193" s="71"/>
      <c r="AA193" s="426">
        <v>818279</v>
      </c>
      <c r="AB193" s="427">
        <v>-636439.42000000004</v>
      </c>
      <c r="AC193" s="427">
        <v>90919.92</v>
      </c>
      <c r="AD193" s="428">
        <v>0</v>
      </c>
      <c r="AE193" s="429">
        <v>181839.84</v>
      </c>
      <c r="AF193" s="429">
        <v>90919.92</v>
      </c>
      <c r="AG193" s="363">
        <f>90919.92-90919.92</f>
        <v>0</v>
      </c>
      <c r="AH193" s="363">
        <f>90919.92+90919.92</f>
        <v>181839.84</v>
      </c>
      <c r="AI193" s="363">
        <v>90919.92</v>
      </c>
      <c r="AJ193" s="363">
        <f>90919.92-90919.92</f>
        <v>0</v>
      </c>
      <c r="AK193" s="363">
        <f>(1127043/12)*2</f>
        <v>187840.5</v>
      </c>
      <c r="AL193" s="363">
        <v>93920.25</v>
      </c>
      <c r="AM193" s="360">
        <f t="shared" si="5"/>
        <v>1100039.77</v>
      </c>
      <c r="AN193" s="362">
        <f>ERP_26[[#This Row],[2026 Working Total]]-ERP_26[[#This Row],[LE2 Final Submission]]</f>
        <v>0</v>
      </c>
      <c r="AO193" s="79">
        <v>181839.84</v>
      </c>
      <c r="AP193" s="79">
        <f t="shared" si="6"/>
        <v>-90919.92</v>
      </c>
      <c r="AQ193" s="374">
        <f>SUM(ERP_26[[#This Row],[AP01]:[AP06]])-SUM(ERP_26[[#This Row],[AP01 LE2]:[AP06 LE2]])</f>
        <v>0</v>
      </c>
      <c r="AR193" s="80"/>
      <c r="AS193" s="79">
        <f>ERP_26[[#This Row],[2026 Working Total to Budget/LE]]-ERP_26[[#This Row],[Giveback]]</f>
        <v>0</v>
      </c>
      <c r="AT193" s="81"/>
      <c r="AU193" s="375">
        <v>818279</v>
      </c>
      <c r="AV193" s="375">
        <v>-636439.42000000004</v>
      </c>
      <c r="AW193" s="375">
        <v>90919.92</v>
      </c>
      <c r="AX193" s="375">
        <v>0</v>
      </c>
      <c r="AY193" s="375">
        <v>181839.84</v>
      </c>
      <c r="AZ193" s="375">
        <v>90919.92</v>
      </c>
      <c r="BA193" s="375">
        <v>0</v>
      </c>
      <c r="BB193" s="375">
        <v>181839.84</v>
      </c>
      <c r="BC193" s="375">
        <v>90919.92</v>
      </c>
      <c r="BD193" s="375">
        <v>0</v>
      </c>
      <c r="BE193" s="375">
        <v>187840.5</v>
      </c>
      <c r="BF193" s="375">
        <v>93920.25</v>
      </c>
      <c r="BG193" s="375">
        <v>1100039.77</v>
      </c>
      <c r="BH193" s="79">
        <v>818279</v>
      </c>
      <c r="BI193" s="79">
        <v>-636439.42000000004</v>
      </c>
      <c r="BJ193" s="79">
        <v>90919.92</v>
      </c>
      <c r="BK193" s="79">
        <v>90919.92</v>
      </c>
      <c r="BL193" s="79">
        <v>90919.92</v>
      </c>
      <c r="BM193" s="79">
        <v>90919.92</v>
      </c>
      <c r="BN193" s="79">
        <v>90919.92</v>
      </c>
      <c r="BO193" s="79">
        <v>90919.92</v>
      </c>
      <c r="BP193" s="79">
        <v>90919.92</v>
      </c>
      <c r="BQ193" s="79">
        <v>106085.92</v>
      </c>
      <c r="BR193" s="79">
        <v>106085.92</v>
      </c>
      <c r="BS193" s="79">
        <v>106085.92</v>
      </c>
      <c r="BT193" s="79">
        <v>1136536.78</v>
      </c>
    </row>
    <row r="194" spans="1:72" ht="15" customHeight="1">
      <c r="A194" s="66" t="s">
        <v>2465</v>
      </c>
      <c r="B194" s="66"/>
      <c r="C194" s="66" t="s">
        <v>812</v>
      </c>
      <c r="D194" s="66" t="s">
        <v>812</v>
      </c>
      <c r="E194" s="150" t="s">
        <v>1136</v>
      </c>
      <c r="F194" s="482" t="s">
        <v>1566</v>
      </c>
      <c r="G194" s="150" t="s">
        <v>1135</v>
      </c>
      <c r="H194" s="150" t="s">
        <v>1135</v>
      </c>
      <c r="I194" s="150" t="s">
        <v>1135</v>
      </c>
      <c r="J194" s="150" t="s">
        <v>1135</v>
      </c>
      <c r="K194" s="150" t="s">
        <v>1137</v>
      </c>
      <c r="L194" s="511" t="s">
        <v>639</v>
      </c>
      <c r="M194" s="392" t="s">
        <v>2466</v>
      </c>
      <c r="N194" s="343"/>
      <c r="O194" s="343"/>
      <c r="P194" s="70" t="s">
        <v>813</v>
      </c>
      <c r="Q194" s="346"/>
      <c r="R194" s="343"/>
      <c r="S194" s="346"/>
      <c r="T194" s="150" t="s">
        <v>64</v>
      </c>
      <c r="U194" s="150" t="s">
        <v>2467</v>
      </c>
      <c r="V194" s="403"/>
      <c r="W194" s="406">
        <v>287700</v>
      </c>
      <c r="X194" s="406">
        <v>297194</v>
      </c>
      <c r="Y194" s="425"/>
      <c r="Z194" s="71"/>
      <c r="AA194" s="426"/>
      <c r="AB194" s="427"/>
      <c r="AC194" s="427"/>
      <c r="AD194" s="429" t="s">
        <v>1142</v>
      </c>
      <c r="AE194" s="429">
        <v>0</v>
      </c>
      <c r="AF194" s="429">
        <v>0</v>
      </c>
      <c r="AG194" s="363"/>
      <c r="AH194" s="363"/>
      <c r="AI194" s="363"/>
      <c r="AJ194" s="363">
        <f>287700-287700+297194</f>
        <v>297194</v>
      </c>
      <c r="AK194" s="360">
        <v>0</v>
      </c>
      <c r="AL194" s="360">
        <v>0</v>
      </c>
      <c r="AM194" s="360">
        <f t="shared" si="5"/>
        <v>297194</v>
      </c>
      <c r="AN194" s="362">
        <f>ERP_26[[#This Row],[2026 Working Total]]-ERP_26[[#This Row],[LE2 Final Submission]]</f>
        <v>0</v>
      </c>
      <c r="AO194" s="79"/>
      <c r="AP194" s="79">
        <f t="shared" si="6"/>
        <v>0</v>
      </c>
      <c r="AQ194" s="374">
        <f>SUM(ERP_26[[#This Row],[AP01]:[AP06]])-SUM(ERP_26[[#This Row],[AP01 LE2]:[AP06 LE2]])</f>
        <v>0</v>
      </c>
      <c r="AR194" s="80"/>
      <c r="AS194" s="79">
        <f>ERP_26[[#This Row],[2026 Working Total to Budget/LE]]-ERP_26[[#This Row],[Giveback]]</f>
        <v>0</v>
      </c>
      <c r="AT194" s="81"/>
      <c r="AU194" s="375"/>
      <c r="AV194" s="375"/>
      <c r="AW194" s="375"/>
      <c r="AX194" s="375"/>
      <c r="AY194" s="375"/>
      <c r="AZ194" s="375"/>
      <c r="BA194" s="375"/>
      <c r="BB194" s="375"/>
      <c r="BC194" s="375"/>
      <c r="BD194" s="375">
        <v>297194</v>
      </c>
      <c r="BE194" s="375">
        <v>0</v>
      </c>
      <c r="BF194" s="375">
        <v>0</v>
      </c>
      <c r="BG194" s="375">
        <v>297194</v>
      </c>
      <c r="BH194" s="79"/>
      <c r="BI194" s="79"/>
      <c r="BJ194" s="79"/>
      <c r="BK194" s="79"/>
      <c r="BL194" s="79"/>
      <c r="BM194" s="79"/>
      <c r="BN194" s="79"/>
      <c r="BO194" s="79"/>
      <c r="BP194" s="79"/>
      <c r="BQ194" s="79">
        <v>287700</v>
      </c>
      <c r="BR194" s="79">
        <v>0</v>
      </c>
      <c r="BS194" s="79">
        <v>0</v>
      </c>
      <c r="BT194" s="79">
        <v>287700</v>
      </c>
    </row>
    <row r="195" spans="1:72" s="501" customFormat="1" ht="15" customHeight="1">
      <c r="A195" s="66" t="s">
        <v>2468</v>
      </c>
      <c r="B195" s="66"/>
      <c r="C195" s="66" t="s">
        <v>814</v>
      </c>
      <c r="D195" s="66" t="s">
        <v>814</v>
      </c>
      <c r="E195" s="150" t="s">
        <v>1136</v>
      </c>
      <c r="F195" s="482" t="s">
        <v>1566</v>
      </c>
      <c r="G195" s="150" t="s">
        <v>1135</v>
      </c>
      <c r="H195" s="150" t="s">
        <v>1135</v>
      </c>
      <c r="I195" s="150" t="s">
        <v>1135</v>
      </c>
      <c r="J195" s="150" t="s">
        <v>1135</v>
      </c>
      <c r="K195" s="150" t="s">
        <v>1137</v>
      </c>
      <c r="L195" s="511" t="s">
        <v>639</v>
      </c>
      <c r="M195" s="392" t="s">
        <v>2469</v>
      </c>
      <c r="N195" s="343"/>
      <c r="O195" s="343"/>
      <c r="P195" s="70" t="s">
        <v>815</v>
      </c>
      <c r="Q195" s="346"/>
      <c r="R195" s="343"/>
      <c r="S195" s="346"/>
      <c r="T195" s="150" t="s">
        <v>67</v>
      </c>
      <c r="U195" s="150"/>
      <c r="V195" s="403"/>
      <c r="W195" s="406">
        <v>58000</v>
      </c>
      <c r="X195" s="406">
        <v>58000</v>
      </c>
      <c r="Y195" s="430"/>
      <c r="Z195" s="137"/>
      <c r="AA195" s="426"/>
      <c r="AB195" s="427"/>
      <c r="AC195" s="427"/>
      <c r="AD195" s="428" t="s">
        <v>1142</v>
      </c>
      <c r="AE195" s="429">
        <v>0</v>
      </c>
      <c r="AF195" s="429">
        <v>0</v>
      </c>
      <c r="AG195" s="363"/>
      <c r="AH195" s="363"/>
      <c r="AI195" s="363">
        <v>22000</v>
      </c>
      <c r="AJ195" s="360">
        <v>0</v>
      </c>
      <c r="AK195" s="363">
        <v>36000</v>
      </c>
      <c r="AL195" s="360">
        <v>0</v>
      </c>
      <c r="AM195" s="360">
        <f t="shared" si="5"/>
        <v>58000</v>
      </c>
      <c r="AN195" s="362">
        <f>ERP_26[[#This Row],[2026 Working Total]]-ERP_26[[#This Row],[LE2 Final Submission]]</f>
        <v>0</v>
      </c>
      <c r="AO195" s="79"/>
      <c r="AP195" s="79">
        <f t="shared" si="6"/>
        <v>0</v>
      </c>
      <c r="AQ195" s="374">
        <f>SUM(ERP_26[[#This Row],[AP01]:[AP06]])-SUM(ERP_26[[#This Row],[AP01 LE2]:[AP06 LE2]])</f>
        <v>0</v>
      </c>
      <c r="AR195" s="80"/>
      <c r="AS195" s="79">
        <f>ERP_26[[#This Row],[2026 Working Total to Budget/LE]]-ERP_26[[#This Row],[Giveback]]</f>
        <v>0</v>
      </c>
      <c r="AT195" s="81"/>
      <c r="AU195" s="375"/>
      <c r="AV195" s="375"/>
      <c r="AW195" s="375"/>
      <c r="AX195" s="375"/>
      <c r="AY195" s="375"/>
      <c r="AZ195" s="375"/>
      <c r="BA195" s="375"/>
      <c r="BB195" s="375"/>
      <c r="BC195" s="375">
        <v>22000</v>
      </c>
      <c r="BD195" s="375">
        <v>0</v>
      </c>
      <c r="BE195" s="375">
        <v>36000</v>
      </c>
      <c r="BF195" s="375">
        <v>0</v>
      </c>
      <c r="BG195" s="375">
        <v>58000</v>
      </c>
      <c r="BH195" s="79"/>
      <c r="BI195" s="79"/>
      <c r="BJ195" s="79"/>
      <c r="BK195" s="79"/>
      <c r="BL195" s="79"/>
      <c r="BM195" s="79"/>
      <c r="BN195" s="79"/>
      <c r="BO195" s="79"/>
      <c r="BP195" s="79">
        <v>22000</v>
      </c>
      <c r="BQ195" s="79">
        <v>0</v>
      </c>
      <c r="BR195" s="79">
        <v>36000</v>
      </c>
      <c r="BS195" s="79">
        <v>0</v>
      </c>
      <c r="BT195" s="79">
        <v>58000</v>
      </c>
    </row>
    <row r="196" spans="1:72" ht="15" customHeight="1">
      <c r="A196" s="66" t="s">
        <v>2482</v>
      </c>
      <c r="B196" s="66"/>
      <c r="C196" s="66" t="s">
        <v>819</v>
      </c>
      <c r="D196" s="66" t="s">
        <v>819</v>
      </c>
      <c r="E196" s="150" t="s">
        <v>1136</v>
      </c>
      <c r="F196" s="482" t="s">
        <v>1566</v>
      </c>
      <c r="G196" s="150" t="s">
        <v>1135</v>
      </c>
      <c r="H196" s="150" t="s">
        <v>1135</v>
      </c>
      <c r="I196" s="150" t="s">
        <v>1135</v>
      </c>
      <c r="J196" s="150" t="s">
        <v>1135</v>
      </c>
      <c r="K196" s="150" t="s">
        <v>1137</v>
      </c>
      <c r="L196" s="511" t="s">
        <v>639</v>
      </c>
      <c r="M196" s="396" t="s">
        <v>2483</v>
      </c>
      <c r="N196" s="343" t="s">
        <v>2484</v>
      </c>
      <c r="O196" s="346" t="s">
        <v>1171</v>
      </c>
      <c r="P196" s="70" t="s">
        <v>820</v>
      </c>
      <c r="Q196" s="346"/>
      <c r="R196" s="346" t="s">
        <v>1187</v>
      </c>
      <c r="S196" s="346"/>
      <c r="T196" s="385" t="s">
        <v>821</v>
      </c>
      <c r="U196" s="184" t="s">
        <v>2485</v>
      </c>
      <c r="V196" s="403"/>
      <c r="W196" s="406">
        <v>280976</v>
      </c>
      <c r="X196" s="406">
        <v>290275.11</v>
      </c>
      <c r="Y196" s="425"/>
      <c r="Z196" s="71"/>
      <c r="AA196" s="426"/>
      <c r="AB196" s="427"/>
      <c r="AC196" s="427"/>
      <c r="AD196" s="428" t="s">
        <v>1142</v>
      </c>
      <c r="AE196" s="429">
        <v>390539.25000000006</v>
      </c>
      <c r="AF196" s="429">
        <v>-88688.920000000013</v>
      </c>
      <c r="AG196" s="360"/>
      <c r="AH196" s="360">
        <v>0</v>
      </c>
      <c r="AI196" s="360">
        <v>0</v>
      </c>
      <c r="AJ196" s="360">
        <v>0</v>
      </c>
      <c r="AK196" s="360">
        <v>0</v>
      </c>
      <c r="AL196" s="360">
        <v>0</v>
      </c>
      <c r="AM196" s="360">
        <f t="shared" si="5"/>
        <v>301850.33000000007</v>
      </c>
      <c r="AN196" s="362">
        <f>ERP_26[[#This Row],[2026 Working Total]]-ERP_26[[#This Row],[LE2 Final Submission]]</f>
        <v>11575.220000000088</v>
      </c>
      <c r="AO196" s="79">
        <v>290275.11</v>
      </c>
      <c r="AP196" s="79">
        <f t="shared" si="6"/>
        <v>-378964.03</v>
      </c>
      <c r="AQ196" s="374">
        <f>SUM(ERP_26[[#This Row],[AP01]:[AP06]])-SUM(ERP_26[[#This Row],[AP01 LE2]:[AP06 LE2]])</f>
        <v>11575.220000000088</v>
      </c>
      <c r="AR196" s="80"/>
      <c r="AS196" s="79">
        <f>ERP_26[[#This Row],[2026 Working Total to Budget/LE]]-ERP_26[[#This Row],[Giveback]]</f>
        <v>11575.220000000088</v>
      </c>
      <c r="AT196" s="81"/>
      <c r="AU196" s="375"/>
      <c r="AV196" s="375"/>
      <c r="AW196" s="375"/>
      <c r="AX196" s="375"/>
      <c r="AY196" s="375">
        <v>290275.11</v>
      </c>
      <c r="AZ196" s="375">
        <v>0</v>
      </c>
      <c r="BA196" s="375">
        <v>0</v>
      </c>
      <c r="BB196" s="375">
        <v>0</v>
      </c>
      <c r="BC196" s="375">
        <v>0</v>
      </c>
      <c r="BD196" s="375">
        <v>0</v>
      </c>
      <c r="BE196" s="375">
        <v>0</v>
      </c>
      <c r="BF196" s="375">
        <v>0</v>
      </c>
      <c r="BG196" s="375">
        <v>290275.11</v>
      </c>
      <c r="BH196" s="79"/>
      <c r="BI196" s="79"/>
      <c r="BJ196" s="79"/>
      <c r="BK196" s="79"/>
      <c r="BL196" s="79">
        <v>280976</v>
      </c>
      <c r="BM196" s="79">
        <v>0</v>
      </c>
      <c r="BN196" s="79">
        <v>0</v>
      </c>
      <c r="BO196" s="79">
        <v>0</v>
      </c>
      <c r="BP196" s="79">
        <v>0</v>
      </c>
      <c r="BQ196" s="79">
        <v>0</v>
      </c>
      <c r="BR196" s="79">
        <v>0</v>
      </c>
      <c r="BS196" s="79">
        <v>0</v>
      </c>
      <c r="BT196" s="79">
        <v>280976</v>
      </c>
    </row>
    <row r="197" spans="1:72" ht="15" customHeight="1">
      <c r="A197" s="66" t="s">
        <v>2486</v>
      </c>
      <c r="B197" s="66"/>
      <c r="C197" s="66" t="s">
        <v>822</v>
      </c>
      <c r="D197" s="66" t="s">
        <v>822</v>
      </c>
      <c r="E197" s="150" t="s">
        <v>1136</v>
      </c>
      <c r="F197" s="482" t="s">
        <v>1566</v>
      </c>
      <c r="G197" s="150" t="s">
        <v>1135</v>
      </c>
      <c r="H197" s="150" t="s">
        <v>1135</v>
      </c>
      <c r="I197" s="150" t="s">
        <v>1135</v>
      </c>
      <c r="J197" s="150" t="s">
        <v>1135</v>
      </c>
      <c r="K197" s="150" t="s">
        <v>1137</v>
      </c>
      <c r="L197" s="511" t="s">
        <v>639</v>
      </c>
      <c r="M197" s="392" t="s">
        <v>2487</v>
      </c>
      <c r="N197" s="343"/>
      <c r="O197" s="343"/>
      <c r="P197" s="70" t="s">
        <v>823</v>
      </c>
      <c r="Q197" s="346"/>
      <c r="R197" s="343"/>
      <c r="S197" s="346"/>
      <c r="T197" s="150" t="s">
        <v>605</v>
      </c>
      <c r="U197" s="150"/>
      <c r="V197" s="403"/>
      <c r="W197" s="406">
        <v>849804</v>
      </c>
      <c r="X197" s="406">
        <v>637353</v>
      </c>
      <c r="Y197" s="430"/>
      <c r="Z197" s="137"/>
      <c r="AA197" s="426"/>
      <c r="AB197" s="427"/>
      <c r="AC197" s="427">
        <v>-212451</v>
      </c>
      <c r="AD197" s="428">
        <v>0</v>
      </c>
      <c r="AE197" s="429">
        <v>0</v>
      </c>
      <c r="AF197" s="429">
        <v>0</v>
      </c>
      <c r="AG197" s="360">
        <v>0</v>
      </c>
      <c r="AH197" s="360">
        <v>0</v>
      </c>
      <c r="AI197" s="363">
        <v>849804</v>
      </c>
      <c r="AJ197" s="360">
        <v>0</v>
      </c>
      <c r="AK197" s="360">
        <v>0</v>
      </c>
      <c r="AL197" s="360">
        <v>0</v>
      </c>
      <c r="AM197" s="360">
        <f t="shared" si="5"/>
        <v>637353</v>
      </c>
      <c r="AN197" s="362">
        <f>ERP_26[[#This Row],[2026 Working Total]]-ERP_26[[#This Row],[LE2 Final Submission]]</f>
        <v>0</v>
      </c>
      <c r="AO197" s="79">
        <v>0</v>
      </c>
      <c r="AP197" s="79">
        <f t="shared" si="6"/>
        <v>0</v>
      </c>
      <c r="AQ197" s="374">
        <f>SUM(ERP_26[[#This Row],[AP01]:[AP06]])-SUM(ERP_26[[#This Row],[AP01 LE2]:[AP06 LE2]])</f>
        <v>0</v>
      </c>
      <c r="AR197" s="80"/>
      <c r="AS197" s="79">
        <f>ERP_26[[#This Row],[2026 Working Total to Budget/LE]]-ERP_26[[#This Row],[Giveback]]</f>
        <v>0</v>
      </c>
      <c r="AT197" s="81"/>
      <c r="AU197" s="375"/>
      <c r="AV197" s="375"/>
      <c r="AW197" s="375">
        <v>-212451</v>
      </c>
      <c r="AX197" s="375">
        <v>0</v>
      </c>
      <c r="AY197" s="375">
        <v>0</v>
      </c>
      <c r="AZ197" s="375">
        <v>0</v>
      </c>
      <c r="BA197" s="375">
        <v>0</v>
      </c>
      <c r="BB197" s="375">
        <v>0</v>
      </c>
      <c r="BC197" s="375">
        <v>849804</v>
      </c>
      <c r="BD197" s="375">
        <v>0</v>
      </c>
      <c r="BE197" s="375">
        <v>0</v>
      </c>
      <c r="BF197" s="375">
        <v>0</v>
      </c>
      <c r="BG197" s="375">
        <v>637353</v>
      </c>
      <c r="BH197" s="79"/>
      <c r="BI197" s="79"/>
      <c r="BJ197" s="79">
        <v>-212451</v>
      </c>
      <c r="BK197" s="79">
        <v>0</v>
      </c>
      <c r="BL197" s="79">
        <v>0</v>
      </c>
      <c r="BM197" s="79">
        <v>0</v>
      </c>
      <c r="BN197" s="79">
        <v>0</v>
      </c>
      <c r="BO197" s="79">
        <v>0</v>
      </c>
      <c r="BP197" s="79">
        <v>849804</v>
      </c>
      <c r="BQ197" s="79">
        <v>0</v>
      </c>
      <c r="BR197" s="79">
        <v>0</v>
      </c>
      <c r="BS197" s="79">
        <v>0</v>
      </c>
      <c r="BT197" s="79">
        <v>637353</v>
      </c>
    </row>
    <row r="198" spans="1:72" ht="15" customHeight="1">
      <c r="A198" s="79" t="s">
        <v>2488</v>
      </c>
      <c r="B198" s="79"/>
      <c r="C198" s="79" t="s">
        <v>824</v>
      </c>
      <c r="D198" s="296" t="s">
        <v>824</v>
      </c>
      <c r="E198" s="150" t="s">
        <v>1136</v>
      </c>
      <c r="F198" s="482" t="s">
        <v>1566</v>
      </c>
      <c r="G198" s="150" t="s">
        <v>1135</v>
      </c>
      <c r="H198" s="150" t="s">
        <v>1135</v>
      </c>
      <c r="I198" s="332" t="s">
        <v>1135</v>
      </c>
      <c r="J198" s="383" t="s">
        <v>1135</v>
      </c>
      <c r="K198" s="331" t="s">
        <v>1137</v>
      </c>
      <c r="L198" s="512" t="s">
        <v>639</v>
      </c>
      <c r="M198" s="393" t="s">
        <v>2489</v>
      </c>
      <c r="N198" s="343" t="s">
        <v>2484</v>
      </c>
      <c r="O198" s="150" t="s">
        <v>1171</v>
      </c>
      <c r="P198" s="91" t="s">
        <v>825</v>
      </c>
      <c r="Q198" s="343"/>
      <c r="R198" s="346" t="s">
        <v>2490</v>
      </c>
      <c r="S198" s="346" t="s">
        <v>1710</v>
      </c>
      <c r="T198" s="386" t="s">
        <v>826</v>
      </c>
      <c r="U198" s="346" t="s">
        <v>1348</v>
      </c>
      <c r="V198" s="437"/>
      <c r="W198" s="358">
        <v>44842</v>
      </c>
      <c r="X198" s="378">
        <v>0</v>
      </c>
      <c r="Y198" s="425"/>
      <c r="Z198" s="71"/>
      <c r="AA198" s="433"/>
      <c r="AB198" s="434"/>
      <c r="AC198" s="434"/>
      <c r="AD198" s="428">
        <v>0</v>
      </c>
      <c r="AE198" s="429">
        <v>0</v>
      </c>
      <c r="AF198" s="429">
        <v>0</v>
      </c>
      <c r="AG198" s="388">
        <v>0</v>
      </c>
      <c r="AH198" s="388">
        <v>0</v>
      </c>
      <c r="AI198" s="388">
        <v>0</v>
      </c>
      <c r="AJ198" s="388">
        <v>0</v>
      </c>
      <c r="AK198" s="388">
        <v>0</v>
      </c>
      <c r="AL198" s="388">
        <v>0</v>
      </c>
      <c r="AM198" s="360">
        <f t="shared" si="5"/>
        <v>0</v>
      </c>
      <c r="AN198" s="362">
        <f>ERP_26[[#This Row],[2026 Working Total]]-ERP_26[[#This Row],[LE2 Final Submission]]</f>
        <v>0</v>
      </c>
      <c r="AO198" s="79">
        <v>0</v>
      </c>
      <c r="AP198" s="79">
        <f t="shared" si="6"/>
        <v>0</v>
      </c>
      <c r="AQ198" s="374">
        <f>SUM(ERP_26[[#This Row],[AP01]:[AP06]])-SUM(ERP_26[[#This Row],[AP01 LE2]:[AP06 LE2]])</f>
        <v>0</v>
      </c>
      <c r="AR198" s="80"/>
      <c r="AS198" s="79">
        <f>ERP_26[[#This Row],[2026 Working Total to Budget/LE]]-ERP_26[[#This Row],[Giveback]]</f>
        <v>0</v>
      </c>
      <c r="AT198" s="81"/>
      <c r="AU198" s="375"/>
      <c r="AV198" s="375"/>
      <c r="AW198" s="375"/>
      <c r="AX198" s="375">
        <v>0</v>
      </c>
      <c r="AY198" s="375">
        <v>0</v>
      </c>
      <c r="AZ198" s="375">
        <v>0</v>
      </c>
      <c r="BA198" s="375">
        <v>0</v>
      </c>
      <c r="BB198" s="375">
        <v>0</v>
      </c>
      <c r="BC198" s="375">
        <v>0</v>
      </c>
      <c r="BD198" s="375">
        <v>0</v>
      </c>
      <c r="BE198" s="375">
        <v>0</v>
      </c>
      <c r="BF198" s="375">
        <v>0</v>
      </c>
      <c r="BG198" s="375">
        <v>0</v>
      </c>
      <c r="BH198" s="103">
        <v>44842</v>
      </c>
      <c r="BI198" s="103">
        <v>0</v>
      </c>
      <c r="BJ198" s="103">
        <v>0</v>
      </c>
      <c r="BK198" s="103">
        <v>0</v>
      </c>
      <c r="BL198" s="103">
        <v>0</v>
      </c>
      <c r="BM198" s="103">
        <v>0</v>
      </c>
      <c r="BN198" s="103">
        <v>0</v>
      </c>
      <c r="BO198" s="103">
        <v>0</v>
      </c>
      <c r="BP198" s="103">
        <v>0</v>
      </c>
      <c r="BQ198" s="103">
        <v>0</v>
      </c>
      <c r="BR198" s="103">
        <v>0</v>
      </c>
      <c r="BS198" s="103">
        <v>0</v>
      </c>
      <c r="BT198" s="79">
        <f>SUM(ERP_26[[#This Row],[2026 AP01]:[2026 AP12]])</f>
        <v>44842</v>
      </c>
    </row>
    <row r="199" spans="1:72" ht="15" customHeight="1">
      <c r="A199" s="79" t="s">
        <v>2491</v>
      </c>
      <c r="B199" s="79"/>
      <c r="C199" s="79" t="s">
        <v>827</v>
      </c>
      <c r="D199" s="296" t="s">
        <v>827</v>
      </c>
      <c r="E199" s="150" t="s">
        <v>1136</v>
      </c>
      <c r="F199" s="482" t="s">
        <v>1566</v>
      </c>
      <c r="G199" s="150" t="s">
        <v>1135</v>
      </c>
      <c r="H199" s="150" t="s">
        <v>1135</v>
      </c>
      <c r="I199" s="332" t="s">
        <v>1135</v>
      </c>
      <c r="J199" s="383" t="s">
        <v>1135</v>
      </c>
      <c r="K199" s="331" t="s">
        <v>1137</v>
      </c>
      <c r="L199" s="512" t="s">
        <v>639</v>
      </c>
      <c r="M199" s="393" t="s">
        <v>2492</v>
      </c>
      <c r="N199" s="343" t="s">
        <v>2484</v>
      </c>
      <c r="O199" s="150" t="s">
        <v>1171</v>
      </c>
      <c r="P199" s="91" t="s">
        <v>828</v>
      </c>
      <c r="Q199" s="343"/>
      <c r="R199" s="346" t="s">
        <v>2490</v>
      </c>
      <c r="S199" s="346" t="s">
        <v>1710</v>
      </c>
      <c r="T199" s="386" t="s">
        <v>826</v>
      </c>
      <c r="U199" s="346" t="s">
        <v>1348</v>
      </c>
      <c r="V199" s="437"/>
      <c r="W199" s="358">
        <v>-44842</v>
      </c>
      <c r="X199" s="378">
        <v>0</v>
      </c>
      <c r="Y199" s="425"/>
      <c r="Z199" s="71"/>
      <c r="AA199" s="433"/>
      <c r="AB199" s="434"/>
      <c r="AC199" s="434"/>
      <c r="AD199" s="428" t="s">
        <v>1142</v>
      </c>
      <c r="AE199" s="429">
        <v>0</v>
      </c>
      <c r="AF199" s="429">
        <v>0</v>
      </c>
      <c r="AG199" s="388">
        <v>0</v>
      </c>
      <c r="AH199" s="388">
        <v>0</v>
      </c>
      <c r="AI199" s="388">
        <v>0</v>
      </c>
      <c r="AJ199" s="388">
        <v>0</v>
      </c>
      <c r="AK199" s="388">
        <v>0</v>
      </c>
      <c r="AL199" s="388">
        <v>0</v>
      </c>
      <c r="AM199" s="360">
        <f t="shared" si="5"/>
        <v>0</v>
      </c>
      <c r="AN199" s="362">
        <f>ERP_26[[#This Row],[2026 Working Total]]-ERP_26[[#This Row],[LE2 Final Submission]]</f>
        <v>0</v>
      </c>
      <c r="AO199" s="79">
        <v>0</v>
      </c>
      <c r="AP199" s="79">
        <f t="shared" si="6"/>
        <v>0</v>
      </c>
      <c r="AQ199" s="374">
        <f>SUM(ERP_26[[#This Row],[AP01]:[AP06]])-SUM(ERP_26[[#This Row],[AP01 LE2]:[AP06 LE2]])</f>
        <v>0</v>
      </c>
      <c r="AR199" s="80"/>
      <c r="AS199" s="79">
        <f>ERP_26[[#This Row],[2026 Working Total to Budget/LE]]-ERP_26[[#This Row],[Giveback]]</f>
        <v>0</v>
      </c>
      <c r="AT199" s="81"/>
      <c r="AU199" s="375"/>
      <c r="AV199" s="375"/>
      <c r="AW199" s="375"/>
      <c r="AX199" s="375">
        <v>0</v>
      </c>
      <c r="AY199" s="375">
        <v>0</v>
      </c>
      <c r="AZ199" s="375">
        <v>0</v>
      </c>
      <c r="BA199" s="375">
        <v>0</v>
      </c>
      <c r="BB199" s="375">
        <v>0</v>
      </c>
      <c r="BC199" s="375">
        <v>0</v>
      </c>
      <c r="BD199" s="375">
        <v>0</v>
      </c>
      <c r="BE199" s="375">
        <v>0</v>
      </c>
      <c r="BF199" s="375">
        <v>0</v>
      </c>
      <c r="BG199" s="375">
        <v>0</v>
      </c>
      <c r="BH199" s="103">
        <v>-44842</v>
      </c>
      <c r="BI199" s="103">
        <v>0</v>
      </c>
      <c r="BJ199" s="103">
        <v>0</v>
      </c>
      <c r="BK199" s="103">
        <v>0</v>
      </c>
      <c r="BL199" s="103">
        <v>0</v>
      </c>
      <c r="BM199" s="103">
        <v>0</v>
      </c>
      <c r="BN199" s="103">
        <v>0</v>
      </c>
      <c r="BO199" s="103">
        <v>0</v>
      </c>
      <c r="BP199" s="103">
        <v>0</v>
      </c>
      <c r="BQ199" s="103">
        <v>0</v>
      </c>
      <c r="BR199" s="103">
        <v>0</v>
      </c>
      <c r="BS199" s="103">
        <v>0</v>
      </c>
      <c r="BT199" s="79">
        <f>SUM(ERP_26[[#This Row],[2026 AP01]:[2026 AP12]])</f>
        <v>-44842</v>
      </c>
    </row>
    <row r="200" spans="1:72" ht="15" customHeight="1">
      <c r="A200" s="79" t="s">
        <v>2493</v>
      </c>
      <c r="B200" s="79"/>
      <c r="C200" s="79" t="s">
        <v>829</v>
      </c>
      <c r="D200" s="296" t="s">
        <v>829</v>
      </c>
      <c r="E200" s="150" t="s">
        <v>1136</v>
      </c>
      <c r="F200" s="482" t="s">
        <v>1566</v>
      </c>
      <c r="G200" s="150" t="s">
        <v>1135</v>
      </c>
      <c r="H200" s="150" t="s">
        <v>1135</v>
      </c>
      <c r="I200" s="332" t="s">
        <v>1135</v>
      </c>
      <c r="J200" s="383" t="s">
        <v>1135</v>
      </c>
      <c r="K200" s="331" t="s">
        <v>1137</v>
      </c>
      <c r="L200" s="512" t="s">
        <v>639</v>
      </c>
      <c r="M200" s="393" t="s">
        <v>2494</v>
      </c>
      <c r="N200" s="343" t="s">
        <v>2484</v>
      </c>
      <c r="O200" s="150" t="s">
        <v>1171</v>
      </c>
      <c r="P200" s="91" t="s">
        <v>830</v>
      </c>
      <c r="Q200" s="343"/>
      <c r="R200" s="346" t="s">
        <v>2495</v>
      </c>
      <c r="S200" s="346" t="s">
        <v>1710</v>
      </c>
      <c r="T200" s="386" t="s">
        <v>826</v>
      </c>
      <c r="U200" s="346" t="s">
        <v>2496</v>
      </c>
      <c r="V200" s="437"/>
      <c r="W200" s="358">
        <v>664963</v>
      </c>
      <c r="X200" s="378">
        <v>0</v>
      </c>
      <c r="Y200" s="430"/>
      <c r="Z200" s="137"/>
      <c r="AA200" s="433"/>
      <c r="AB200" s="434"/>
      <c r="AC200" s="434"/>
      <c r="AD200" s="428" t="s">
        <v>1142</v>
      </c>
      <c r="AE200" s="429">
        <v>0</v>
      </c>
      <c r="AF200" s="429">
        <v>0</v>
      </c>
      <c r="AG200" s="388">
        <v>0</v>
      </c>
      <c r="AH200" s="388">
        <v>0</v>
      </c>
      <c r="AI200" s="388">
        <v>0</v>
      </c>
      <c r="AJ200" s="388">
        <v>0</v>
      </c>
      <c r="AK200" s="388">
        <v>0</v>
      </c>
      <c r="AL200" s="388">
        <v>0</v>
      </c>
      <c r="AM200" s="360">
        <f t="shared" ref="AM200:AM263" si="7">SUM(AA200:AL200)</f>
        <v>0</v>
      </c>
      <c r="AN200" s="362">
        <f>ERP_26[[#This Row],[2026 Working Total]]-ERP_26[[#This Row],[LE2 Final Submission]]</f>
        <v>0</v>
      </c>
      <c r="AO200" s="79">
        <v>0</v>
      </c>
      <c r="AP200" s="79">
        <f t="shared" ref="AP200:AP263" si="8">$AF200 - $AO200</f>
        <v>0</v>
      </c>
      <c r="AQ200" s="374">
        <f>SUM(ERP_26[[#This Row],[AP01]:[AP06]])-SUM(ERP_26[[#This Row],[AP01 LE2]:[AP06 LE2]])</f>
        <v>0</v>
      </c>
      <c r="AR200" s="80"/>
      <c r="AS200" s="79">
        <f>ERP_26[[#This Row],[2026 Working Total to Budget/LE]]-ERP_26[[#This Row],[Giveback]]</f>
        <v>0</v>
      </c>
      <c r="AT200" s="81"/>
      <c r="AU200" s="375"/>
      <c r="AV200" s="375"/>
      <c r="AW200" s="375"/>
      <c r="AX200" s="375">
        <v>0</v>
      </c>
      <c r="AY200" s="375">
        <v>0</v>
      </c>
      <c r="AZ200" s="375">
        <v>0</v>
      </c>
      <c r="BA200" s="375">
        <v>0</v>
      </c>
      <c r="BB200" s="375">
        <v>0</v>
      </c>
      <c r="BC200" s="375">
        <v>0</v>
      </c>
      <c r="BD200" s="375">
        <v>0</v>
      </c>
      <c r="BE200" s="375">
        <v>0</v>
      </c>
      <c r="BF200" s="375">
        <v>0</v>
      </c>
      <c r="BG200" s="375">
        <v>0</v>
      </c>
      <c r="BH200" s="103">
        <v>664963</v>
      </c>
      <c r="BI200" s="103">
        <v>0</v>
      </c>
      <c r="BJ200" s="103">
        <v>0</v>
      </c>
      <c r="BK200" s="103">
        <v>0</v>
      </c>
      <c r="BL200" s="103">
        <v>0</v>
      </c>
      <c r="BM200" s="103">
        <v>0</v>
      </c>
      <c r="BN200" s="103">
        <v>0</v>
      </c>
      <c r="BO200" s="103">
        <v>0</v>
      </c>
      <c r="BP200" s="103">
        <v>0</v>
      </c>
      <c r="BQ200" s="103">
        <v>0</v>
      </c>
      <c r="BR200" s="103">
        <v>0</v>
      </c>
      <c r="BS200" s="103">
        <v>0</v>
      </c>
      <c r="BT200" s="79">
        <f>SUM(ERP_26[[#This Row],[2026 AP01]:[2026 AP12]])</f>
        <v>664963</v>
      </c>
    </row>
    <row r="201" spans="1:72" ht="15" customHeight="1">
      <c r="A201" s="79" t="s">
        <v>2497</v>
      </c>
      <c r="B201" s="79"/>
      <c r="C201" s="79" t="s">
        <v>831</v>
      </c>
      <c r="D201" s="296" t="s">
        <v>831</v>
      </c>
      <c r="E201" s="150" t="s">
        <v>1136</v>
      </c>
      <c r="F201" s="482" t="s">
        <v>1566</v>
      </c>
      <c r="G201" s="150" t="s">
        <v>1135</v>
      </c>
      <c r="H201" s="150" t="s">
        <v>1135</v>
      </c>
      <c r="I201" s="332" t="s">
        <v>1135</v>
      </c>
      <c r="J201" s="382" t="s">
        <v>1135</v>
      </c>
      <c r="K201" s="331" t="s">
        <v>1137</v>
      </c>
      <c r="L201" s="512" t="s">
        <v>639</v>
      </c>
      <c r="M201" s="394" t="s">
        <v>2498</v>
      </c>
      <c r="N201" s="343" t="s">
        <v>2484</v>
      </c>
      <c r="O201" s="150" t="s">
        <v>1171</v>
      </c>
      <c r="P201" s="122" t="s">
        <v>832</v>
      </c>
      <c r="Q201" s="343"/>
      <c r="R201" s="346" t="s">
        <v>2495</v>
      </c>
      <c r="S201" s="346" t="s">
        <v>1710</v>
      </c>
      <c r="T201" s="384" t="s">
        <v>826</v>
      </c>
      <c r="U201" s="346" t="s">
        <v>2499</v>
      </c>
      <c r="V201" s="437"/>
      <c r="W201" s="358">
        <v>-664963</v>
      </c>
      <c r="X201" s="378">
        <v>0</v>
      </c>
      <c r="Y201" s="425"/>
      <c r="Z201" s="71"/>
      <c r="AA201" s="433"/>
      <c r="AB201" s="434"/>
      <c r="AC201" s="434"/>
      <c r="AD201" s="428" t="s">
        <v>1142</v>
      </c>
      <c r="AE201" s="429">
        <v>0</v>
      </c>
      <c r="AF201" s="429">
        <v>0</v>
      </c>
      <c r="AG201" s="388">
        <v>0</v>
      </c>
      <c r="AH201" s="388">
        <v>0</v>
      </c>
      <c r="AI201" s="388">
        <v>0</v>
      </c>
      <c r="AJ201" s="388">
        <v>0</v>
      </c>
      <c r="AK201" s="388">
        <v>0</v>
      </c>
      <c r="AL201" s="388">
        <v>0</v>
      </c>
      <c r="AM201" s="360">
        <f t="shared" si="7"/>
        <v>0</v>
      </c>
      <c r="AN201" s="362">
        <f>ERP_26[[#This Row],[2026 Working Total]]-ERP_26[[#This Row],[LE2 Final Submission]]</f>
        <v>0</v>
      </c>
      <c r="AO201" s="79">
        <v>0</v>
      </c>
      <c r="AP201" s="79">
        <f t="shared" si="8"/>
        <v>0</v>
      </c>
      <c r="AQ201" s="374">
        <f>SUM(ERP_26[[#This Row],[AP01]:[AP06]])-SUM(ERP_26[[#This Row],[AP01 LE2]:[AP06 LE2]])</f>
        <v>0</v>
      </c>
      <c r="AR201" s="80"/>
      <c r="AS201" s="79">
        <f>ERP_26[[#This Row],[2026 Working Total to Budget/LE]]-ERP_26[[#This Row],[Giveback]]</f>
        <v>0</v>
      </c>
      <c r="AT201" s="81"/>
      <c r="AU201" s="375"/>
      <c r="AV201" s="375"/>
      <c r="AW201" s="375"/>
      <c r="AX201" s="375">
        <v>0</v>
      </c>
      <c r="AY201" s="375">
        <v>0</v>
      </c>
      <c r="AZ201" s="375">
        <v>0</v>
      </c>
      <c r="BA201" s="375">
        <v>0</v>
      </c>
      <c r="BB201" s="375">
        <v>0</v>
      </c>
      <c r="BC201" s="375">
        <v>0</v>
      </c>
      <c r="BD201" s="375">
        <v>0</v>
      </c>
      <c r="BE201" s="375">
        <v>0</v>
      </c>
      <c r="BF201" s="375">
        <v>0</v>
      </c>
      <c r="BG201" s="375">
        <v>0</v>
      </c>
      <c r="BH201" s="103">
        <v>-664963</v>
      </c>
      <c r="BI201" s="103">
        <v>0</v>
      </c>
      <c r="BJ201" s="103">
        <v>0</v>
      </c>
      <c r="BK201" s="103">
        <v>0</v>
      </c>
      <c r="BL201" s="103">
        <v>0</v>
      </c>
      <c r="BM201" s="103">
        <v>0</v>
      </c>
      <c r="BN201" s="103">
        <v>0</v>
      </c>
      <c r="BO201" s="103">
        <v>0</v>
      </c>
      <c r="BP201" s="103">
        <v>0</v>
      </c>
      <c r="BQ201" s="103">
        <v>0</v>
      </c>
      <c r="BR201" s="103">
        <v>0</v>
      </c>
      <c r="BS201" s="103">
        <v>0</v>
      </c>
      <c r="BT201" s="79">
        <f>SUM(ERP_26[[#This Row],[2026 AP01]:[2026 AP12]])</f>
        <v>-664963</v>
      </c>
    </row>
    <row r="202" spans="1:72" ht="15" customHeight="1">
      <c r="A202" s="79" t="s">
        <v>2500</v>
      </c>
      <c r="B202" s="79"/>
      <c r="C202" s="79" t="s">
        <v>833</v>
      </c>
      <c r="D202" s="296" t="s">
        <v>833</v>
      </c>
      <c r="E202" s="150" t="s">
        <v>1136</v>
      </c>
      <c r="F202" s="482" t="s">
        <v>1566</v>
      </c>
      <c r="G202" s="150" t="s">
        <v>1135</v>
      </c>
      <c r="H202" s="150" t="s">
        <v>1135</v>
      </c>
      <c r="I202" s="332" t="s">
        <v>1135</v>
      </c>
      <c r="J202" s="383" t="s">
        <v>1135</v>
      </c>
      <c r="K202" s="331" t="s">
        <v>1137</v>
      </c>
      <c r="L202" s="512" t="s">
        <v>639</v>
      </c>
      <c r="M202" s="393" t="s">
        <v>2501</v>
      </c>
      <c r="N202" s="343" t="s">
        <v>2484</v>
      </c>
      <c r="O202" s="150" t="s">
        <v>1171</v>
      </c>
      <c r="P202" s="91" t="s">
        <v>834</v>
      </c>
      <c r="Q202" s="343"/>
      <c r="R202" s="346" t="s">
        <v>2502</v>
      </c>
      <c r="S202" s="346" t="s">
        <v>1710</v>
      </c>
      <c r="T202" s="386" t="s">
        <v>826</v>
      </c>
      <c r="U202" s="346" t="s">
        <v>2496</v>
      </c>
      <c r="V202" s="437"/>
      <c r="W202" s="358">
        <v>663273</v>
      </c>
      <c r="X202" s="378">
        <v>0</v>
      </c>
      <c r="Y202" s="425"/>
      <c r="Z202" s="425"/>
      <c r="AA202" s="433"/>
      <c r="AB202" s="434"/>
      <c r="AC202" s="434"/>
      <c r="AD202" s="428">
        <v>0</v>
      </c>
      <c r="AE202" s="429">
        <v>0</v>
      </c>
      <c r="AF202" s="429">
        <v>0</v>
      </c>
      <c r="AG202" s="388">
        <v>0</v>
      </c>
      <c r="AH202" s="388">
        <v>0</v>
      </c>
      <c r="AI202" s="388">
        <v>0</v>
      </c>
      <c r="AJ202" s="388">
        <v>0</v>
      </c>
      <c r="AK202" s="388">
        <v>0</v>
      </c>
      <c r="AL202" s="388">
        <v>0</v>
      </c>
      <c r="AM202" s="360">
        <f t="shared" si="7"/>
        <v>0</v>
      </c>
      <c r="AN202" s="362">
        <f>ERP_26[[#This Row],[2026 Working Total]]-ERP_26[[#This Row],[LE2 Final Submission]]</f>
        <v>0</v>
      </c>
      <c r="AO202" s="79">
        <v>0</v>
      </c>
      <c r="AP202" s="79">
        <f t="shared" si="8"/>
        <v>0</v>
      </c>
      <c r="AQ202" s="374">
        <f>SUM(ERP_26[[#This Row],[AP01]:[AP06]])-SUM(ERP_26[[#This Row],[AP01 LE2]:[AP06 LE2]])</f>
        <v>0</v>
      </c>
      <c r="AR202" s="80"/>
      <c r="AS202" s="79">
        <f>ERP_26[[#This Row],[2026 Working Total to Budget/LE]]-ERP_26[[#This Row],[Giveback]]</f>
        <v>0</v>
      </c>
      <c r="AT202" s="81"/>
      <c r="AU202" s="375"/>
      <c r="AV202" s="375"/>
      <c r="AW202" s="375"/>
      <c r="AX202" s="375">
        <v>0</v>
      </c>
      <c r="AY202" s="375">
        <v>0</v>
      </c>
      <c r="AZ202" s="375">
        <v>0</v>
      </c>
      <c r="BA202" s="375">
        <v>0</v>
      </c>
      <c r="BB202" s="375">
        <v>0</v>
      </c>
      <c r="BC202" s="375">
        <v>0</v>
      </c>
      <c r="BD202" s="375">
        <v>0</v>
      </c>
      <c r="BE202" s="375">
        <v>0</v>
      </c>
      <c r="BF202" s="375">
        <v>0</v>
      </c>
      <c r="BG202" s="375">
        <v>0</v>
      </c>
      <c r="BH202" s="103">
        <v>663273</v>
      </c>
      <c r="BI202" s="103">
        <v>0</v>
      </c>
      <c r="BJ202" s="103">
        <v>0</v>
      </c>
      <c r="BK202" s="103">
        <v>0</v>
      </c>
      <c r="BL202" s="103">
        <v>0</v>
      </c>
      <c r="BM202" s="103">
        <v>0</v>
      </c>
      <c r="BN202" s="103">
        <v>0</v>
      </c>
      <c r="BO202" s="103">
        <v>0</v>
      </c>
      <c r="BP202" s="103">
        <v>0</v>
      </c>
      <c r="BQ202" s="103">
        <v>0</v>
      </c>
      <c r="BR202" s="103">
        <v>0</v>
      </c>
      <c r="BS202" s="103">
        <v>0</v>
      </c>
      <c r="BT202" s="79">
        <f>SUM(ERP_26[[#This Row],[2026 AP01]:[2026 AP12]])</f>
        <v>663273</v>
      </c>
    </row>
    <row r="203" spans="1:72" ht="15" customHeight="1">
      <c r="A203" s="79" t="s">
        <v>2503</v>
      </c>
      <c r="B203" s="79"/>
      <c r="C203" s="79" t="s">
        <v>835</v>
      </c>
      <c r="D203" s="296" t="s">
        <v>835</v>
      </c>
      <c r="E203" s="150" t="s">
        <v>1136</v>
      </c>
      <c r="F203" s="482" t="s">
        <v>1566</v>
      </c>
      <c r="G203" s="150" t="s">
        <v>1135</v>
      </c>
      <c r="H203" s="150" t="s">
        <v>1135</v>
      </c>
      <c r="I203" s="332" t="s">
        <v>1135</v>
      </c>
      <c r="J203" s="382" t="s">
        <v>1135</v>
      </c>
      <c r="K203" s="331" t="s">
        <v>1137</v>
      </c>
      <c r="L203" s="512" t="s">
        <v>639</v>
      </c>
      <c r="M203" s="394" t="s">
        <v>2504</v>
      </c>
      <c r="N203" s="343" t="s">
        <v>2484</v>
      </c>
      <c r="O203" s="150" t="s">
        <v>1171</v>
      </c>
      <c r="P203" s="122" t="s">
        <v>836</v>
      </c>
      <c r="Q203" s="343"/>
      <c r="R203" s="346" t="s">
        <v>2502</v>
      </c>
      <c r="S203" s="346" t="s">
        <v>1710</v>
      </c>
      <c r="T203" s="384" t="s">
        <v>826</v>
      </c>
      <c r="U203" s="346" t="s">
        <v>2499</v>
      </c>
      <c r="V203" s="437"/>
      <c r="W203" s="358">
        <v>-663273</v>
      </c>
      <c r="X203" s="378">
        <v>0</v>
      </c>
      <c r="Y203" s="430"/>
      <c r="Z203" s="137"/>
      <c r="AA203" s="433"/>
      <c r="AB203" s="434"/>
      <c r="AC203" s="434"/>
      <c r="AD203" s="428" t="s">
        <v>1142</v>
      </c>
      <c r="AE203" s="429">
        <v>0</v>
      </c>
      <c r="AF203" s="429">
        <v>0</v>
      </c>
      <c r="AG203" s="388">
        <v>0</v>
      </c>
      <c r="AH203" s="388">
        <v>0</v>
      </c>
      <c r="AI203" s="388">
        <v>0</v>
      </c>
      <c r="AJ203" s="388">
        <v>0</v>
      </c>
      <c r="AK203" s="388">
        <v>0</v>
      </c>
      <c r="AL203" s="388">
        <v>0</v>
      </c>
      <c r="AM203" s="360">
        <f t="shared" si="7"/>
        <v>0</v>
      </c>
      <c r="AN203" s="362">
        <f>ERP_26[[#This Row],[2026 Working Total]]-ERP_26[[#This Row],[LE2 Final Submission]]</f>
        <v>0</v>
      </c>
      <c r="AO203" s="79">
        <v>0</v>
      </c>
      <c r="AP203" s="79">
        <f t="shared" si="8"/>
        <v>0</v>
      </c>
      <c r="AQ203" s="374">
        <f>SUM(ERP_26[[#This Row],[AP01]:[AP06]])-SUM(ERP_26[[#This Row],[AP01 LE2]:[AP06 LE2]])</f>
        <v>0</v>
      </c>
      <c r="AR203" s="80"/>
      <c r="AS203" s="79">
        <f>ERP_26[[#This Row],[2026 Working Total to Budget/LE]]-ERP_26[[#This Row],[Giveback]]</f>
        <v>0</v>
      </c>
      <c r="AT203" s="81"/>
      <c r="AU203" s="375"/>
      <c r="AV203" s="375"/>
      <c r="AW203" s="375"/>
      <c r="AX203" s="375">
        <v>0</v>
      </c>
      <c r="AY203" s="375">
        <v>0</v>
      </c>
      <c r="AZ203" s="375">
        <v>0</v>
      </c>
      <c r="BA203" s="375">
        <v>0</v>
      </c>
      <c r="BB203" s="375">
        <v>0</v>
      </c>
      <c r="BC203" s="375">
        <v>0</v>
      </c>
      <c r="BD203" s="375">
        <v>0</v>
      </c>
      <c r="BE203" s="375">
        <v>0</v>
      </c>
      <c r="BF203" s="375">
        <v>0</v>
      </c>
      <c r="BG203" s="375">
        <v>0</v>
      </c>
      <c r="BH203" s="103">
        <v>-663273</v>
      </c>
      <c r="BI203" s="103">
        <v>0</v>
      </c>
      <c r="BJ203" s="103">
        <v>0</v>
      </c>
      <c r="BK203" s="103">
        <v>0</v>
      </c>
      <c r="BL203" s="103">
        <v>0</v>
      </c>
      <c r="BM203" s="103">
        <v>0</v>
      </c>
      <c r="BN203" s="103">
        <v>0</v>
      </c>
      <c r="BO203" s="103">
        <v>0</v>
      </c>
      <c r="BP203" s="103">
        <v>0</v>
      </c>
      <c r="BQ203" s="103">
        <v>0</v>
      </c>
      <c r="BR203" s="103">
        <v>0</v>
      </c>
      <c r="BS203" s="103">
        <v>0</v>
      </c>
      <c r="BT203" s="79">
        <f>SUM(ERP_26[[#This Row],[2026 AP01]:[2026 AP12]])</f>
        <v>-663273</v>
      </c>
    </row>
    <row r="204" spans="1:72" ht="15" customHeight="1">
      <c r="A204" s="66" t="s">
        <v>2505</v>
      </c>
      <c r="B204" s="66"/>
      <c r="C204" s="66" t="s">
        <v>837</v>
      </c>
      <c r="D204" s="66" t="s">
        <v>837</v>
      </c>
      <c r="E204" s="150" t="s">
        <v>1136</v>
      </c>
      <c r="F204" s="482" t="s">
        <v>1566</v>
      </c>
      <c r="G204" s="150" t="s">
        <v>1135</v>
      </c>
      <c r="H204" s="150" t="s">
        <v>1135</v>
      </c>
      <c r="I204" s="150" t="s">
        <v>1135</v>
      </c>
      <c r="J204" s="150" t="s">
        <v>1135</v>
      </c>
      <c r="K204" s="150" t="s">
        <v>1137</v>
      </c>
      <c r="L204" s="511" t="s">
        <v>639</v>
      </c>
      <c r="M204" s="392" t="s">
        <v>2506</v>
      </c>
      <c r="N204" s="343"/>
      <c r="O204" s="343"/>
      <c r="P204" s="70" t="s">
        <v>838</v>
      </c>
      <c r="Q204" s="346"/>
      <c r="R204" s="343"/>
      <c r="S204" s="346"/>
      <c r="T204" s="150" t="s">
        <v>605</v>
      </c>
      <c r="U204" s="150"/>
      <c r="V204" s="403"/>
      <c r="W204" s="406">
        <v>107212</v>
      </c>
      <c r="X204" s="406">
        <v>107212</v>
      </c>
      <c r="Y204" s="425"/>
      <c r="Z204" s="71"/>
      <c r="AA204" s="426"/>
      <c r="AB204" s="427"/>
      <c r="AC204" s="427"/>
      <c r="AD204" s="428" t="s">
        <v>1142</v>
      </c>
      <c r="AE204" s="429">
        <v>0</v>
      </c>
      <c r="AF204" s="429">
        <v>0</v>
      </c>
      <c r="AG204" s="360">
        <v>0</v>
      </c>
      <c r="AH204" s="360">
        <v>0</v>
      </c>
      <c r="AI204" s="360">
        <v>0</v>
      </c>
      <c r="AJ204" s="360">
        <v>0</v>
      </c>
      <c r="AK204" s="360">
        <v>0</v>
      </c>
      <c r="AL204" s="360">
        <v>0</v>
      </c>
      <c r="AM204" s="360">
        <f t="shared" si="7"/>
        <v>0</v>
      </c>
      <c r="AN204" s="362">
        <f>ERP_26[[#This Row],[2026 Working Total]]-ERP_26[[#This Row],[LE2 Final Submission]]</f>
        <v>-107212</v>
      </c>
      <c r="AO204" s="79">
        <v>107212</v>
      </c>
      <c r="AP204" s="79">
        <f t="shared" si="8"/>
        <v>-107212</v>
      </c>
      <c r="AQ204" s="374">
        <f>SUM(ERP_26[[#This Row],[AP01]:[AP06]])-SUM(ERP_26[[#This Row],[AP01 LE2]:[AP06 LE2]])</f>
        <v>-107212</v>
      </c>
      <c r="AR204" s="80"/>
      <c r="AS204" s="79">
        <f>ERP_26[[#This Row],[2026 Working Total to Budget/LE]]-ERP_26[[#This Row],[Giveback]]</f>
        <v>-107212</v>
      </c>
      <c r="AT204" s="81"/>
      <c r="AU204" s="375"/>
      <c r="AV204" s="375"/>
      <c r="AW204" s="375"/>
      <c r="AX204" s="375"/>
      <c r="AY204" s="375">
        <v>107212</v>
      </c>
      <c r="AZ204" s="375">
        <v>0</v>
      </c>
      <c r="BA204" s="375">
        <v>0</v>
      </c>
      <c r="BB204" s="375">
        <v>0</v>
      </c>
      <c r="BC204" s="375">
        <v>0</v>
      </c>
      <c r="BD204" s="375">
        <v>0</v>
      </c>
      <c r="BE204" s="375">
        <v>0</v>
      </c>
      <c r="BF204" s="375">
        <v>0</v>
      </c>
      <c r="BG204" s="375">
        <v>107212</v>
      </c>
      <c r="BH204" s="79"/>
      <c r="BI204" s="79"/>
      <c r="BJ204" s="79"/>
      <c r="BK204" s="79"/>
      <c r="BL204" s="79">
        <v>107212</v>
      </c>
      <c r="BM204" s="79">
        <v>0</v>
      </c>
      <c r="BN204" s="79">
        <v>0</v>
      </c>
      <c r="BO204" s="79">
        <v>0</v>
      </c>
      <c r="BP204" s="79">
        <v>0</v>
      </c>
      <c r="BQ204" s="79">
        <v>0</v>
      </c>
      <c r="BR204" s="79">
        <v>0</v>
      </c>
      <c r="BS204" s="79">
        <v>0</v>
      </c>
      <c r="BT204" s="79">
        <v>107212</v>
      </c>
    </row>
    <row r="205" spans="1:72" ht="15" customHeight="1">
      <c r="A205" s="66" t="s">
        <v>2507</v>
      </c>
      <c r="B205" s="66"/>
      <c r="C205" s="66" t="s">
        <v>839</v>
      </c>
      <c r="D205" s="66" t="s">
        <v>839</v>
      </c>
      <c r="E205" s="150" t="s">
        <v>1136</v>
      </c>
      <c r="F205" s="482" t="s">
        <v>1566</v>
      </c>
      <c r="G205" s="150" t="s">
        <v>1135</v>
      </c>
      <c r="H205" s="150" t="s">
        <v>1135</v>
      </c>
      <c r="I205" s="150" t="s">
        <v>1135</v>
      </c>
      <c r="J205" s="150" t="s">
        <v>1135</v>
      </c>
      <c r="K205" s="150" t="s">
        <v>1137</v>
      </c>
      <c r="L205" s="511" t="s">
        <v>639</v>
      </c>
      <c r="M205" s="392" t="s">
        <v>2508</v>
      </c>
      <c r="N205" s="343" t="s">
        <v>1231</v>
      </c>
      <c r="O205" s="346" t="s">
        <v>1171</v>
      </c>
      <c r="P205" s="70" t="s">
        <v>840</v>
      </c>
      <c r="Q205" s="346"/>
      <c r="R205" s="346" t="s">
        <v>2509</v>
      </c>
      <c r="S205" s="346"/>
      <c r="T205" s="150" t="s">
        <v>605</v>
      </c>
      <c r="U205" s="150" t="s">
        <v>2340</v>
      </c>
      <c r="V205" s="403"/>
      <c r="W205" s="406">
        <v>1155056.04</v>
      </c>
      <c r="X205" s="406">
        <v>1155043.3</v>
      </c>
      <c r="Y205" s="425"/>
      <c r="Z205" s="71"/>
      <c r="AA205" s="426">
        <v>1155005.0900000001</v>
      </c>
      <c r="AB205" s="427">
        <v>-962504.24</v>
      </c>
      <c r="AC205" s="427">
        <v>96250.42</v>
      </c>
      <c r="AD205" s="428">
        <v>0</v>
      </c>
      <c r="AE205" s="429">
        <v>192500.84</v>
      </c>
      <c r="AF205" s="429">
        <v>96250.42</v>
      </c>
      <c r="AG205" s="363">
        <f>96254.67-96254.67</f>
        <v>0</v>
      </c>
      <c r="AH205" s="363">
        <f>96254.67+96254.67</f>
        <v>192509.34</v>
      </c>
      <c r="AI205" s="363">
        <v>96254.67</v>
      </c>
      <c r="AJ205" s="363">
        <f>96254.67-96254.67</f>
        <v>0</v>
      </c>
      <c r="AK205" s="363">
        <f>96254.67+96254.67</f>
        <v>192509.34</v>
      </c>
      <c r="AL205" s="363">
        <v>96254.67</v>
      </c>
      <c r="AM205" s="360">
        <f t="shared" si="7"/>
        <v>1155030.55</v>
      </c>
      <c r="AN205" s="362">
        <f>ERP_26[[#This Row],[2026 Working Total]]-ERP_26[[#This Row],[LE2 Final Submission]]</f>
        <v>-12.75</v>
      </c>
      <c r="AO205" s="79">
        <v>192509.34</v>
      </c>
      <c r="AP205" s="79">
        <f t="shared" si="8"/>
        <v>-96258.92</v>
      </c>
      <c r="AQ205" s="374">
        <f>SUM(ERP_26[[#This Row],[AP01]:[AP06]])-SUM(ERP_26[[#This Row],[AP01 LE2]:[AP06 LE2]])</f>
        <v>-12.75</v>
      </c>
      <c r="AR205" s="80"/>
      <c r="AS205" s="79">
        <f>ERP_26[[#This Row],[2026 Working Total to Budget/LE]]-ERP_26[[#This Row],[Giveback]]</f>
        <v>-12.75</v>
      </c>
      <c r="AT205" s="81"/>
      <c r="AU205" s="375">
        <v>1155005.0900000001</v>
      </c>
      <c r="AV205" s="375">
        <v>-962504.24</v>
      </c>
      <c r="AW205" s="375">
        <v>96250.42</v>
      </c>
      <c r="AX205" s="375">
        <v>0</v>
      </c>
      <c r="AY205" s="375">
        <v>192509.34</v>
      </c>
      <c r="AZ205" s="375">
        <v>96254.67</v>
      </c>
      <c r="BA205" s="375">
        <v>0</v>
      </c>
      <c r="BB205" s="375">
        <v>192509.34</v>
      </c>
      <c r="BC205" s="375">
        <v>96254.67</v>
      </c>
      <c r="BD205" s="375">
        <v>0</v>
      </c>
      <c r="BE205" s="375">
        <v>192509.34</v>
      </c>
      <c r="BF205" s="375">
        <v>96254.67</v>
      </c>
      <c r="BG205" s="375">
        <v>1155043.3</v>
      </c>
      <c r="BH205" s="79">
        <v>1155005.0900000001</v>
      </c>
      <c r="BI205" s="79">
        <v>-962504.24</v>
      </c>
      <c r="BJ205" s="79">
        <v>96250.42</v>
      </c>
      <c r="BK205" s="79">
        <v>96254.67</v>
      </c>
      <c r="BL205" s="79">
        <v>96254.67</v>
      </c>
      <c r="BM205" s="79">
        <v>96254.67</v>
      </c>
      <c r="BN205" s="79">
        <v>96254.67</v>
      </c>
      <c r="BO205" s="79">
        <v>96254.67</v>
      </c>
      <c r="BP205" s="79">
        <v>96254.67</v>
      </c>
      <c r="BQ205" s="79">
        <v>96254.67</v>
      </c>
      <c r="BR205" s="79">
        <v>96254.67</v>
      </c>
      <c r="BS205" s="79">
        <v>96254.67</v>
      </c>
      <c r="BT205" s="79">
        <v>1155043.3</v>
      </c>
    </row>
    <row r="206" spans="1:72" ht="15" customHeight="1">
      <c r="A206" s="66" t="s">
        <v>2510</v>
      </c>
      <c r="B206" s="66"/>
      <c r="C206" s="66" t="s">
        <v>841</v>
      </c>
      <c r="D206" s="66" t="s">
        <v>841</v>
      </c>
      <c r="E206" s="150" t="s">
        <v>1136</v>
      </c>
      <c r="F206" s="482" t="s">
        <v>1566</v>
      </c>
      <c r="G206" s="150" t="s">
        <v>1135</v>
      </c>
      <c r="H206" s="150" t="s">
        <v>1135</v>
      </c>
      <c r="I206" s="150" t="s">
        <v>1135</v>
      </c>
      <c r="J206" s="150" t="s">
        <v>1135</v>
      </c>
      <c r="K206" s="150" t="s">
        <v>1137</v>
      </c>
      <c r="L206" s="511" t="s">
        <v>639</v>
      </c>
      <c r="M206" s="392" t="s">
        <v>2511</v>
      </c>
      <c r="N206" s="343" t="s">
        <v>1231</v>
      </c>
      <c r="O206" s="346" t="s">
        <v>1171</v>
      </c>
      <c r="P206" s="70" t="s">
        <v>842</v>
      </c>
      <c r="Q206" s="346"/>
      <c r="R206" s="346" t="s">
        <v>2339</v>
      </c>
      <c r="S206" s="346"/>
      <c r="T206" s="150" t="s">
        <v>843</v>
      </c>
      <c r="U206" s="150" t="s">
        <v>2340</v>
      </c>
      <c r="V206" s="403"/>
      <c r="W206" s="406">
        <v>3290595.8399999994</v>
      </c>
      <c r="X206" s="406">
        <v>3254950.82</v>
      </c>
      <c r="Y206" s="430"/>
      <c r="Z206" s="137"/>
      <c r="AA206" s="426">
        <v>3254947.27</v>
      </c>
      <c r="AB206" s="427">
        <v>-2712456.06</v>
      </c>
      <c r="AC206" s="427">
        <v>271245.61</v>
      </c>
      <c r="AD206" s="428" t="s">
        <v>1142</v>
      </c>
      <c r="AE206" s="429">
        <v>0</v>
      </c>
      <c r="AF206" s="429">
        <v>0</v>
      </c>
      <c r="AG206" s="363">
        <f>271246-271246</f>
        <v>0</v>
      </c>
      <c r="AH206" s="363">
        <f>271246+271246</f>
        <v>542492</v>
      </c>
      <c r="AI206" s="363">
        <v>271246</v>
      </c>
      <c r="AJ206" s="363">
        <f>271246-271246</f>
        <v>0</v>
      </c>
      <c r="AK206" s="363">
        <f>271246+271246</f>
        <v>542492</v>
      </c>
      <c r="AL206" s="363">
        <v>271246</v>
      </c>
      <c r="AM206" s="360">
        <f t="shared" si="7"/>
        <v>2441212.8199999998</v>
      </c>
      <c r="AN206" s="362">
        <f>ERP_26[[#This Row],[2026 Working Total]]-ERP_26[[#This Row],[LE2 Final Submission]]</f>
        <v>-813738</v>
      </c>
      <c r="AO206" s="79">
        <v>542492</v>
      </c>
      <c r="AP206" s="79">
        <f t="shared" si="8"/>
        <v>-542492</v>
      </c>
      <c r="AQ206" s="374">
        <f>SUM(ERP_26[[#This Row],[AP01]:[AP06]])-SUM(ERP_26[[#This Row],[AP01 LE2]:[AP06 LE2]])</f>
        <v>-813737.99999999988</v>
      </c>
      <c r="AR206" s="80"/>
      <c r="AS206" s="79">
        <f>ERP_26[[#This Row],[2026 Working Total to Budget/LE]]-ERP_26[[#This Row],[Giveback]]</f>
        <v>-813738</v>
      </c>
      <c r="AT206" s="81"/>
      <c r="AU206" s="375">
        <v>3254947.27</v>
      </c>
      <c r="AV206" s="375">
        <v>-2712456.06</v>
      </c>
      <c r="AW206" s="375">
        <v>271245.61</v>
      </c>
      <c r="AX206" s="375">
        <v>0</v>
      </c>
      <c r="AY206" s="375">
        <v>542492</v>
      </c>
      <c r="AZ206" s="375">
        <v>271246</v>
      </c>
      <c r="BA206" s="375">
        <v>0</v>
      </c>
      <c r="BB206" s="375">
        <v>542492</v>
      </c>
      <c r="BC206" s="375">
        <v>271246</v>
      </c>
      <c r="BD206" s="375">
        <v>0</v>
      </c>
      <c r="BE206" s="375">
        <v>542492</v>
      </c>
      <c r="BF206" s="375">
        <v>271246</v>
      </c>
      <c r="BG206" s="375">
        <v>3254950.82</v>
      </c>
      <c r="BH206" s="79">
        <v>3254947.27</v>
      </c>
      <c r="BI206" s="79">
        <v>-2712456.06</v>
      </c>
      <c r="BJ206" s="79">
        <v>271245.61</v>
      </c>
      <c r="BK206" s="79">
        <v>271246</v>
      </c>
      <c r="BL206" s="79">
        <v>271246</v>
      </c>
      <c r="BM206" s="79">
        <v>271246</v>
      </c>
      <c r="BN206" s="79">
        <v>271246</v>
      </c>
      <c r="BO206" s="79">
        <v>271246</v>
      </c>
      <c r="BP206" s="79">
        <v>271246</v>
      </c>
      <c r="BQ206" s="79">
        <v>271246</v>
      </c>
      <c r="BR206" s="79">
        <v>271246</v>
      </c>
      <c r="BS206" s="79">
        <v>271246</v>
      </c>
      <c r="BT206" s="79">
        <v>3254950.82</v>
      </c>
    </row>
    <row r="207" spans="1:72" ht="15" customHeight="1">
      <c r="A207" s="79" t="s">
        <v>2512</v>
      </c>
      <c r="B207" s="79"/>
      <c r="C207" s="79" t="s">
        <v>844</v>
      </c>
      <c r="D207" s="296" t="s">
        <v>2513</v>
      </c>
      <c r="E207" s="150" t="s">
        <v>1136</v>
      </c>
      <c r="F207" s="482" t="s">
        <v>1566</v>
      </c>
      <c r="G207" s="150" t="s">
        <v>1135</v>
      </c>
      <c r="H207" s="383" t="s">
        <v>1145</v>
      </c>
      <c r="I207" s="332" t="s">
        <v>1135</v>
      </c>
      <c r="J207" s="383" t="s">
        <v>1145</v>
      </c>
      <c r="K207" s="331" t="s">
        <v>1137</v>
      </c>
      <c r="L207" s="512" t="s">
        <v>639</v>
      </c>
      <c r="M207" s="393" t="s">
        <v>2514</v>
      </c>
      <c r="N207" s="343"/>
      <c r="O207" s="150" t="s">
        <v>1186</v>
      </c>
      <c r="P207" s="91" t="s">
        <v>607</v>
      </c>
      <c r="Q207" s="346" t="s">
        <v>1153</v>
      </c>
      <c r="R207" s="346" t="s">
        <v>2154</v>
      </c>
      <c r="S207" s="346" t="s">
        <v>1710</v>
      </c>
      <c r="T207" s="386" t="s">
        <v>608</v>
      </c>
      <c r="U207" s="346" t="s">
        <v>1779</v>
      </c>
      <c r="V207" s="437"/>
      <c r="W207" s="358">
        <v>11125</v>
      </c>
      <c r="X207" s="378">
        <v>0</v>
      </c>
      <c r="Y207" s="425"/>
      <c r="Z207" s="71"/>
      <c r="AA207" s="433"/>
      <c r="AB207" s="434"/>
      <c r="AC207" s="434"/>
      <c r="AD207" s="428" t="s">
        <v>1142</v>
      </c>
      <c r="AE207" s="429">
        <v>0</v>
      </c>
      <c r="AF207" s="429">
        <v>0</v>
      </c>
      <c r="AG207" s="388">
        <v>0</v>
      </c>
      <c r="AH207" s="388">
        <v>0</v>
      </c>
      <c r="AI207" s="388">
        <v>0</v>
      </c>
      <c r="AJ207" s="388">
        <v>0</v>
      </c>
      <c r="AK207" s="388">
        <v>0</v>
      </c>
      <c r="AL207" s="388">
        <v>0</v>
      </c>
      <c r="AM207" s="360">
        <f t="shared" si="7"/>
        <v>0</v>
      </c>
      <c r="AN207" s="362">
        <f>ERP_26[[#This Row],[2026 Working Total]]-ERP_26[[#This Row],[LE2 Final Submission]]</f>
        <v>0</v>
      </c>
      <c r="AO207" s="79">
        <v>0</v>
      </c>
      <c r="AP207" s="79">
        <f t="shared" si="8"/>
        <v>0</v>
      </c>
      <c r="AQ207" s="374">
        <f>SUM(ERP_26[[#This Row],[AP01]:[AP06]])-SUM(ERP_26[[#This Row],[AP01 LE2]:[AP06 LE2]])</f>
        <v>0</v>
      </c>
      <c r="AR207" s="80"/>
      <c r="AS207" s="79">
        <f>ERP_26[[#This Row],[2026 Working Total to Budget/LE]]-ERP_26[[#This Row],[Giveback]]</f>
        <v>0</v>
      </c>
      <c r="AT207" s="81"/>
      <c r="AU207" s="375"/>
      <c r="AV207" s="375"/>
      <c r="AW207" s="375"/>
      <c r="AX207" s="375">
        <v>0</v>
      </c>
      <c r="AY207" s="375">
        <v>0</v>
      </c>
      <c r="AZ207" s="375">
        <v>0</v>
      </c>
      <c r="BA207" s="375">
        <v>0</v>
      </c>
      <c r="BB207" s="375">
        <v>0</v>
      </c>
      <c r="BC207" s="375">
        <v>0</v>
      </c>
      <c r="BD207" s="375">
        <v>0</v>
      </c>
      <c r="BE207" s="375">
        <v>0</v>
      </c>
      <c r="BF207" s="375">
        <v>0</v>
      </c>
      <c r="BG207" s="375">
        <v>0</v>
      </c>
      <c r="BH207" s="103">
        <v>11125</v>
      </c>
      <c r="BI207" s="103">
        <v>0</v>
      </c>
      <c r="BJ207" s="103">
        <v>0</v>
      </c>
      <c r="BK207" s="103">
        <v>0</v>
      </c>
      <c r="BL207" s="103">
        <v>0</v>
      </c>
      <c r="BM207" s="103">
        <v>0</v>
      </c>
      <c r="BN207" s="103">
        <v>0</v>
      </c>
      <c r="BO207" s="103">
        <v>0</v>
      </c>
      <c r="BP207" s="103">
        <v>0</v>
      </c>
      <c r="BQ207" s="103">
        <v>0</v>
      </c>
      <c r="BR207" s="103">
        <v>0</v>
      </c>
      <c r="BS207" s="103">
        <v>0</v>
      </c>
      <c r="BT207" s="79">
        <f>SUM(ERP_26[[#This Row],[2026 AP01]:[2026 AP12]])</f>
        <v>11125</v>
      </c>
    </row>
    <row r="208" spans="1:72" ht="15" customHeight="1">
      <c r="A208" s="79" t="s">
        <v>2515</v>
      </c>
      <c r="B208" s="79"/>
      <c r="C208" s="79" t="s">
        <v>845</v>
      </c>
      <c r="D208" s="296" t="s">
        <v>2516</v>
      </c>
      <c r="E208" s="150" t="s">
        <v>1136</v>
      </c>
      <c r="F208" s="482" t="s">
        <v>1566</v>
      </c>
      <c r="G208" s="150" t="s">
        <v>1135</v>
      </c>
      <c r="H208" s="383" t="s">
        <v>1145</v>
      </c>
      <c r="I208" s="332" t="s">
        <v>1135</v>
      </c>
      <c r="J208" s="383" t="s">
        <v>1145</v>
      </c>
      <c r="K208" s="331" t="s">
        <v>1137</v>
      </c>
      <c r="L208" s="512" t="s">
        <v>639</v>
      </c>
      <c r="M208" s="393" t="s">
        <v>2517</v>
      </c>
      <c r="N208" s="343" t="s">
        <v>2484</v>
      </c>
      <c r="O208" s="150" t="s">
        <v>1186</v>
      </c>
      <c r="P208" s="91" t="s">
        <v>846</v>
      </c>
      <c r="Q208" s="343"/>
      <c r="R208" s="346" t="s">
        <v>2154</v>
      </c>
      <c r="S208" s="346" t="s">
        <v>1710</v>
      </c>
      <c r="T208" s="386" t="s">
        <v>608</v>
      </c>
      <c r="U208" s="346" t="s">
        <v>1348</v>
      </c>
      <c r="V208" s="437"/>
      <c r="W208" s="358">
        <v>-11125</v>
      </c>
      <c r="X208" s="378">
        <v>0</v>
      </c>
      <c r="Y208" s="425"/>
      <c r="Z208" s="71"/>
      <c r="AA208" s="433"/>
      <c r="AB208" s="434"/>
      <c r="AC208" s="434"/>
      <c r="AD208" s="428" t="s">
        <v>1142</v>
      </c>
      <c r="AE208" s="429">
        <v>0</v>
      </c>
      <c r="AF208" s="429">
        <v>0</v>
      </c>
      <c r="AG208" s="388">
        <v>0</v>
      </c>
      <c r="AH208" s="388">
        <v>0</v>
      </c>
      <c r="AI208" s="388">
        <v>0</v>
      </c>
      <c r="AJ208" s="388">
        <v>0</v>
      </c>
      <c r="AK208" s="388">
        <v>0</v>
      </c>
      <c r="AL208" s="388">
        <v>0</v>
      </c>
      <c r="AM208" s="360">
        <f t="shared" si="7"/>
        <v>0</v>
      </c>
      <c r="AN208" s="362">
        <f>ERP_26[[#This Row],[2026 Working Total]]-ERP_26[[#This Row],[LE2 Final Submission]]</f>
        <v>0</v>
      </c>
      <c r="AO208" s="79">
        <v>0</v>
      </c>
      <c r="AP208" s="79">
        <f t="shared" si="8"/>
        <v>0</v>
      </c>
      <c r="AQ208" s="374">
        <f>SUM(ERP_26[[#This Row],[AP01]:[AP06]])-SUM(ERP_26[[#This Row],[AP01 LE2]:[AP06 LE2]])</f>
        <v>0</v>
      </c>
      <c r="AR208" s="80"/>
      <c r="AS208" s="79">
        <f>ERP_26[[#This Row],[2026 Working Total to Budget/LE]]-ERP_26[[#This Row],[Giveback]]</f>
        <v>0</v>
      </c>
      <c r="AT208" s="81"/>
      <c r="AU208" s="375"/>
      <c r="AV208" s="375"/>
      <c r="AW208" s="375"/>
      <c r="AX208" s="375">
        <v>0</v>
      </c>
      <c r="AY208" s="375">
        <v>0</v>
      </c>
      <c r="AZ208" s="375">
        <v>0</v>
      </c>
      <c r="BA208" s="375">
        <v>0</v>
      </c>
      <c r="BB208" s="375">
        <v>0</v>
      </c>
      <c r="BC208" s="375">
        <v>0</v>
      </c>
      <c r="BD208" s="375">
        <v>0</v>
      </c>
      <c r="BE208" s="375">
        <v>0</v>
      </c>
      <c r="BF208" s="375">
        <v>0</v>
      </c>
      <c r="BG208" s="375">
        <v>0</v>
      </c>
      <c r="BH208" s="103">
        <v>-11125</v>
      </c>
      <c r="BI208" s="103">
        <v>0</v>
      </c>
      <c r="BJ208" s="103">
        <v>0</v>
      </c>
      <c r="BK208" s="103">
        <v>0</v>
      </c>
      <c r="BL208" s="103">
        <v>0</v>
      </c>
      <c r="BM208" s="103">
        <v>0</v>
      </c>
      <c r="BN208" s="103">
        <v>0</v>
      </c>
      <c r="BO208" s="103">
        <v>0</v>
      </c>
      <c r="BP208" s="103">
        <v>0</v>
      </c>
      <c r="BQ208" s="103">
        <v>0</v>
      </c>
      <c r="BR208" s="103">
        <v>0</v>
      </c>
      <c r="BS208" s="103">
        <v>0</v>
      </c>
      <c r="BT208" s="79">
        <f>SUM(ERP_26[[#This Row],[2026 AP01]:[2026 AP12]])</f>
        <v>-11125</v>
      </c>
    </row>
    <row r="209" spans="1:72" ht="15" customHeight="1">
      <c r="A209" s="66" t="s">
        <v>2518</v>
      </c>
      <c r="B209" s="66"/>
      <c r="C209" s="66" t="s">
        <v>847</v>
      </c>
      <c r="D209" s="66" t="s">
        <v>2519</v>
      </c>
      <c r="E209" s="150" t="s">
        <v>1136</v>
      </c>
      <c r="F209" s="482" t="s">
        <v>1566</v>
      </c>
      <c r="G209" s="150" t="s">
        <v>1135</v>
      </c>
      <c r="H209" s="150" t="s">
        <v>1145</v>
      </c>
      <c r="I209" s="150" t="s">
        <v>1135</v>
      </c>
      <c r="J209" s="150" t="s">
        <v>1145</v>
      </c>
      <c r="K209" s="150" t="s">
        <v>1137</v>
      </c>
      <c r="L209" s="511" t="s">
        <v>639</v>
      </c>
      <c r="M209" s="392" t="s">
        <v>2520</v>
      </c>
      <c r="N209" s="343"/>
      <c r="O209" s="346" t="s">
        <v>1186</v>
      </c>
      <c r="P209" s="70" t="s">
        <v>848</v>
      </c>
      <c r="Q209" s="346"/>
      <c r="R209" s="346" t="s">
        <v>1187</v>
      </c>
      <c r="S209" s="346"/>
      <c r="T209" s="150" t="s">
        <v>849</v>
      </c>
      <c r="U209" s="150" t="s">
        <v>2521</v>
      </c>
      <c r="V209" s="403"/>
      <c r="W209" s="406">
        <v>307237.74</v>
      </c>
      <c r="X209" s="406">
        <v>331713.26</v>
      </c>
      <c r="Y209" s="425"/>
      <c r="Z209" s="71"/>
      <c r="AA209" s="426">
        <v>67277.88</v>
      </c>
      <c r="AB209" s="427">
        <v>13527.14</v>
      </c>
      <c r="AC209" s="427">
        <v>16908.240000000002</v>
      </c>
      <c r="AD209" s="428">
        <v>36231.229999999996</v>
      </c>
      <c r="AE209" s="429">
        <v>37708.980000000003</v>
      </c>
      <c r="AF209" s="429">
        <v>0</v>
      </c>
      <c r="AG209" s="364">
        <v>47249</v>
      </c>
      <c r="AH209" s="363"/>
      <c r="AI209" s="364"/>
      <c r="AJ209" s="364">
        <v>47249</v>
      </c>
      <c r="AK209" s="360">
        <v>0</v>
      </c>
      <c r="AL209" s="364">
        <v>47249</v>
      </c>
      <c r="AM209" s="360">
        <f t="shared" si="7"/>
        <v>313400.46999999997</v>
      </c>
      <c r="AN209" s="362">
        <f>ERP_26[[#This Row],[2026 Working Total]]-ERP_26[[#This Row],[LE2 Final Submission]]</f>
        <v>-18312.790000000037</v>
      </c>
      <c r="AO209" s="79">
        <v>0</v>
      </c>
      <c r="AP209" s="79">
        <f t="shared" si="8"/>
        <v>0</v>
      </c>
      <c r="AQ209" s="374">
        <f>SUM(ERP_26[[#This Row],[AP01]:[AP06]])-SUM(ERP_26[[#This Row],[AP01 LE2]:[AP06 LE2]])</f>
        <v>-4059.7900000000081</v>
      </c>
      <c r="AR209" s="80"/>
      <c r="AS209" s="79">
        <f>ERP_26[[#This Row],[2026 Working Total to Budget/LE]]-ERP_26[[#This Row],[Giveback]]</f>
        <v>-18312.790000000037</v>
      </c>
      <c r="AT209" s="81"/>
      <c r="AU209" s="375">
        <v>67277.88</v>
      </c>
      <c r="AV209" s="375">
        <v>13527.14</v>
      </c>
      <c r="AW209" s="375">
        <v>16908.240000000002</v>
      </c>
      <c r="AX209" s="375">
        <v>0</v>
      </c>
      <c r="AY209" s="375">
        <v>0</v>
      </c>
      <c r="AZ209" s="375">
        <v>78000</v>
      </c>
      <c r="BA209" s="375">
        <v>0</v>
      </c>
      <c r="BB209" s="375">
        <v>0</v>
      </c>
      <c r="BC209" s="375">
        <v>78000</v>
      </c>
      <c r="BD209" s="375">
        <v>0</v>
      </c>
      <c r="BE209" s="375">
        <v>0</v>
      </c>
      <c r="BF209" s="375">
        <v>78000</v>
      </c>
      <c r="BG209" s="375">
        <v>331713.26</v>
      </c>
      <c r="BH209" s="79">
        <v>67277.88</v>
      </c>
      <c r="BI209" s="79">
        <v>13527.14</v>
      </c>
      <c r="BJ209" s="79">
        <v>16908.240000000002</v>
      </c>
      <c r="BK209" s="79">
        <v>0</v>
      </c>
      <c r="BL209" s="79">
        <v>0</v>
      </c>
      <c r="BM209" s="79">
        <v>78000</v>
      </c>
      <c r="BN209" s="79">
        <v>0</v>
      </c>
      <c r="BO209" s="79">
        <v>0</v>
      </c>
      <c r="BP209" s="79">
        <v>78000</v>
      </c>
      <c r="BQ209" s="79">
        <v>0</v>
      </c>
      <c r="BR209" s="79">
        <v>0</v>
      </c>
      <c r="BS209" s="79">
        <v>78000</v>
      </c>
      <c r="BT209" s="79">
        <v>331713.26</v>
      </c>
    </row>
    <row r="210" spans="1:72" ht="15" customHeight="1">
      <c r="A210" s="66" t="s">
        <v>2522</v>
      </c>
      <c r="B210" s="66" t="s">
        <v>2950</v>
      </c>
      <c r="C210" s="66" t="s">
        <v>850</v>
      </c>
      <c r="D210" s="66" t="s">
        <v>850</v>
      </c>
      <c r="E210" s="150" t="s">
        <v>1136</v>
      </c>
      <c r="F210" s="482" t="s">
        <v>1566</v>
      </c>
      <c r="G210" s="150" t="s">
        <v>1135</v>
      </c>
      <c r="H210" s="150" t="s">
        <v>1135</v>
      </c>
      <c r="I210" s="150" t="s">
        <v>1135</v>
      </c>
      <c r="J210" s="150" t="s">
        <v>1135</v>
      </c>
      <c r="K210" s="150" t="s">
        <v>1137</v>
      </c>
      <c r="L210" s="511" t="s">
        <v>639</v>
      </c>
      <c r="M210" s="392" t="s">
        <v>2523</v>
      </c>
      <c r="N210" s="343"/>
      <c r="O210" s="343"/>
      <c r="P210" s="70" t="s">
        <v>851</v>
      </c>
      <c r="Q210" s="346" t="s">
        <v>1153</v>
      </c>
      <c r="R210" s="343"/>
      <c r="S210" s="346"/>
      <c r="T210" s="150" t="s">
        <v>64</v>
      </c>
      <c r="U210" s="150"/>
      <c r="V210" s="403"/>
      <c r="W210" s="406">
        <v>1527544</v>
      </c>
      <c r="X210" s="406">
        <v>1513628.4099999997</v>
      </c>
      <c r="Y210" s="425"/>
      <c r="Z210" s="71"/>
      <c r="AA210" s="426"/>
      <c r="AB210" s="427"/>
      <c r="AC210" s="427">
        <v>367969.99</v>
      </c>
      <c r="AD210" s="428">
        <v>0</v>
      </c>
      <c r="AE210" s="429">
        <v>254590.76</v>
      </c>
      <c r="AF210" s="429">
        <v>127295.38</v>
      </c>
      <c r="AG210" s="363">
        <v>127295.38</v>
      </c>
      <c r="AH210" s="363">
        <v>127295.38</v>
      </c>
      <c r="AI210" s="363">
        <v>127295.38</v>
      </c>
      <c r="AJ210" s="363">
        <v>127295.38</v>
      </c>
      <c r="AK210" s="363">
        <v>127295.38</v>
      </c>
      <c r="AL210" s="363">
        <v>127295.38</v>
      </c>
      <c r="AM210" s="560">
        <f t="shared" si="7"/>
        <v>1513628.4099999997</v>
      </c>
      <c r="AN210" s="362">
        <f>ERP_26[[#This Row],[2026 Working Total]]-ERP_26[[#This Row],[LE2 Final Submission]]</f>
        <v>0</v>
      </c>
      <c r="AO210" s="79">
        <v>127295.38</v>
      </c>
      <c r="AP210" s="79">
        <f t="shared" si="8"/>
        <v>0</v>
      </c>
      <c r="AQ210" s="374">
        <f>SUM(ERP_26[[#This Row],[AP01]:[AP06]])-SUM(ERP_26[[#This Row],[AP01 LE2]:[AP06 LE2]])</f>
        <v>0</v>
      </c>
      <c r="AR210" s="80"/>
      <c r="AS210" s="79">
        <f>ERP_26[[#This Row],[2026 Working Total to Budget/LE]]-ERP_26[[#This Row],[Giveback]]</f>
        <v>0</v>
      </c>
      <c r="AT210" s="81"/>
      <c r="AU210" s="375"/>
      <c r="AV210" s="375"/>
      <c r="AW210" s="375">
        <v>367969.99</v>
      </c>
      <c r="AX210" s="375">
        <v>127295.38</v>
      </c>
      <c r="AY210" s="375">
        <v>127295.38</v>
      </c>
      <c r="AZ210" s="375">
        <v>127295.38</v>
      </c>
      <c r="BA210" s="375">
        <v>127295.38</v>
      </c>
      <c r="BB210" s="375">
        <v>127295.38</v>
      </c>
      <c r="BC210" s="375">
        <v>127295.38</v>
      </c>
      <c r="BD210" s="375">
        <v>127295.38</v>
      </c>
      <c r="BE210" s="375">
        <v>127295.38</v>
      </c>
      <c r="BF210" s="375">
        <v>127295.38</v>
      </c>
      <c r="BG210" s="375">
        <v>1513628.4099999997</v>
      </c>
      <c r="BH210" s="79"/>
      <c r="BI210" s="79"/>
      <c r="BJ210" s="79">
        <v>367969.99</v>
      </c>
      <c r="BK210" s="79">
        <v>127295.38</v>
      </c>
      <c r="BL210" s="79">
        <v>127295.38</v>
      </c>
      <c r="BM210" s="79">
        <v>127295.38</v>
      </c>
      <c r="BN210" s="79">
        <v>127295.38</v>
      </c>
      <c r="BO210" s="79">
        <v>127295.38</v>
      </c>
      <c r="BP210" s="79">
        <v>127295.38</v>
      </c>
      <c r="BQ210" s="79">
        <v>127295.38</v>
      </c>
      <c r="BR210" s="79">
        <v>127295.38</v>
      </c>
      <c r="BS210" s="79">
        <v>127295.38</v>
      </c>
      <c r="BT210" s="79">
        <v>1513628.4099999997</v>
      </c>
    </row>
    <row r="211" spans="1:72" ht="15" customHeight="1">
      <c r="A211" s="66" t="s">
        <v>2526</v>
      </c>
      <c r="B211" s="66" t="s">
        <v>2950</v>
      </c>
      <c r="C211" s="66" t="s">
        <v>852</v>
      </c>
      <c r="D211" s="66" t="s">
        <v>852</v>
      </c>
      <c r="E211" s="150" t="s">
        <v>1136</v>
      </c>
      <c r="F211" s="482" t="s">
        <v>1566</v>
      </c>
      <c r="G211" s="150" t="s">
        <v>1135</v>
      </c>
      <c r="H211" s="150" t="s">
        <v>1135</v>
      </c>
      <c r="I211" s="150" t="s">
        <v>1135</v>
      </c>
      <c r="J211" s="150" t="s">
        <v>1135</v>
      </c>
      <c r="K211" s="150" t="s">
        <v>1137</v>
      </c>
      <c r="L211" s="511" t="s">
        <v>639</v>
      </c>
      <c r="M211" s="392" t="s">
        <v>1947</v>
      </c>
      <c r="N211" s="343"/>
      <c r="O211" s="343"/>
      <c r="P211" s="70" t="s">
        <v>486</v>
      </c>
      <c r="Q211" s="346" t="s">
        <v>1153</v>
      </c>
      <c r="R211" s="343"/>
      <c r="S211" s="346"/>
      <c r="T211" s="150" t="s">
        <v>487</v>
      </c>
      <c r="U211" s="150"/>
      <c r="V211" s="403"/>
      <c r="W211" s="406">
        <v>-937488</v>
      </c>
      <c r="X211" s="406">
        <v>-925916</v>
      </c>
      <c r="Y211" s="425"/>
      <c r="Z211" s="71"/>
      <c r="AA211" s="426"/>
      <c r="AB211" s="427"/>
      <c r="AC211" s="427">
        <v>-222800</v>
      </c>
      <c r="AD211" s="428">
        <v>0</v>
      </c>
      <c r="AE211" s="429">
        <v>-128741.87</v>
      </c>
      <c r="AF211" s="429">
        <v>-52011.25</v>
      </c>
      <c r="AG211" s="363">
        <v>-78124</v>
      </c>
      <c r="AH211" s="363">
        <v>-78124</v>
      </c>
      <c r="AI211" s="363">
        <v>-78124</v>
      </c>
      <c r="AJ211" s="363">
        <v>-78124</v>
      </c>
      <c r="AK211" s="363">
        <v>-78124</v>
      </c>
      <c r="AL211" s="363">
        <v>-78124</v>
      </c>
      <c r="AM211" s="560">
        <f t="shared" si="7"/>
        <v>-872297.12</v>
      </c>
      <c r="AN211" s="362">
        <f>ERP_26[[#This Row],[2026 Working Total]]-ERP_26[[#This Row],[LE2 Final Submission]]</f>
        <v>53618.880000000005</v>
      </c>
      <c r="AO211" s="79">
        <v>-78124</v>
      </c>
      <c r="AP211" s="79">
        <f t="shared" si="8"/>
        <v>26112.75</v>
      </c>
      <c r="AQ211" s="374">
        <f>SUM(ERP_26[[#This Row],[AP01]:[AP06]])-SUM(ERP_26[[#This Row],[AP01 LE2]:[AP06 LE2]])</f>
        <v>53618.880000000005</v>
      </c>
      <c r="AR211" s="80"/>
      <c r="AS211" s="79">
        <f>ERP_26[[#This Row],[2026 Working Total to Budget/LE]]-ERP_26[[#This Row],[Giveback]]</f>
        <v>53618.880000000005</v>
      </c>
      <c r="AT211" s="81"/>
      <c r="AU211" s="375"/>
      <c r="AV211" s="375"/>
      <c r="AW211" s="375">
        <v>-222800</v>
      </c>
      <c r="AX211" s="375">
        <v>-78124</v>
      </c>
      <c r="AY211" s="375">
        <v>-78124</v>
      </c>
      <c r="AZ211" s="375">
        <v>-78124</v>
      </c>
      <c r="BA211" s="375">
        <v>-78124</v>
      </c>
      <c r="BB211" s="375">
        <v>-78124</v>
      </c>
      <c r="BC211" s="375">
        <v>-78124</v>
      </c>
      <c r="BD211" s="375">
        <v>-78124</v>
      </c>
      <c r="BE211" s="375">
        <v>-78124</v>
      </c>
      <c r="BF211" s="375">
        <v>-78124</v>
      </c>
      <c r="BG211" s="375">
        <v>-925916</v>
      </c>
      <c r="BH211" s="79"/>
      <c r="BI211" s="79"/>
      <c r="BJ211" s="79">
        <v>-222800</v>
      </c>
      <c r="BK211" s="79">
        <v>-78124</v>
      </c>
      <c r="BL211" s="79">
        <v>-78124</v>
      </c>
      <c r="BM211" s="79">
        <v>-78124</v>
      </c>
      <c r="BN211" s="79">
        <v>-78124</v>
      </c>
      <c r="BO211" s="79">
        <v>-78124</v>
      </c>
      <c r="BP211" s="79">
        <v>-78124</v>
      </c>
      <c r="BQ211" s="79">
        <v>-78124</v>
      </c>
      <c r="BR211" s="79">
        <v>-78124</v>
      </c>
      <c r="BS211" s="79">
        <v>-78124</v>
      </c>
      <c r="BT211" s="79">
        <v>-925916</v>
      </c>
    </row>
    <row r="212" spans="1:72" ht="15" customHeight="1">
      <c r="A212" s="79" t="s">
        <v>2529</v>
      </c>
      <c r="B212" s="79"/>
      <c r="C212" s="79" t="s">
        <v>853</v>
      </c>
      <c r="D212" s="296" t="s">
        <v>2530</v>
      </c>
      <c r="E212" s="150" t="s">
        <v>1136</v>
      </c>
      <c r="F212" s="482" t="s">
        <v>1566</v>
      </c>
      <c r="G212" s="150" t="s">
        <v>1135</v>
      </c>
      <c r="H212" s="383" t="s">
        <v>1145</v>
      </c>
      <c r="I212" s="332" t="s">
        <v>1135</v>
      </c>
      <c r="J212" s="383" t="s">
        <v>1145</v>
      </c>
      <c r="K212" s="331" t="s">
        <v>1137</v>
      </c>
      <c r="L212" s="512" t="s">
        <v>639</v>
      </c>
      <c r="M212" s="393" t="s">
        <v>2531</v>
      </c>
      <c r="N212" s="343" t="s">
        <v>2532</v>
      </c>
      <c r="O212" s="150" t="s">
        <v>1186</v>
      </c>
      <c r="P212" s="91" t="s">
        <v>854</v>
      </c>
      <c r="Q212" s="343"/>
      <c r="R212" s="346" t="s">
        <v>1717</v>
      </c>
      <c r="S212" s="346" t="s">
        <v>1710</v>
      </c>
      <c r="T212" s="386" t="s">
        <v>368</v>
      </c>
      <c r="U212" s="346" t="s">
        <v>1348</v>
      </c>
      <c r="V212" s="437"/>
      <c r="W212" s="358">
        <v>40902.519999999997</v>
      </c>
      <c r="X212" s="378">
        <v>0</v>
      </c>
      <c r="Y212" s="425"/>
      <c r="Z212" s="71"/>
      <c r="AA212" s="433"/>
      <c r="AB212" s="434"/>
      <c r="AC212" s="434"/>
      <c r="AD212" s="428" t="s">
        <v>1142</v>
      </c>
      <c r="AE212" s="429">
        <v>0</v>
      </c>
      <c r="AF212" s="429">
        <v>0</v>
      </c>
      <c r="AG212" s="388">
        <v>0</v>
      </c>
      <c r="AH212" s="388">
        <v>0</v>
      </c>
      <c r="AI212" s="388">
        <v>0</v>
      </c>
      <c r="AJ212" s="388">
        <v>0</v>
      </c>
      <c r="AK212" s="388">
        <v>0</v>
      </c>
      <c r="AL212" s="388">
        <v>0</v>
      </c>
      <c r="AM212" s="360">
        <f t="shared" si="7"/>
        <v>0</v>
      </c>
      <c r="AN212" s="362">
        <f>ERP_26[[#This Row],[2026 Working Total]]-ERP_26[[#This Row],[LE2 Final Submission]]</f>
        <v>0</v>
      </c>
      <c r="AO212" s="79">
        <v>0</v>
      </c>
      <c r="AP212" s="79">
        <f t="shared" si="8"/>
        <v>0</v>
      </c>
      <c r="AQ212" s="374">
        <f>SUM(ERP_26[[#This Row],[AP01]:[AP06]])-SUM(ERP_26[[#This Row],[AP01 LE2]:[AP06 LE2]])</f>
        <v>0</v>
      </c>
      <c r="AR212" s="80"/>
      <c r="AS212" s="79">
        <f>ERP_26[[#This Row],[2026 Working Total to Budget/LE]]-ERP_26[[#This Row],[Giveback]]</f>
        <v>0</v>
      </c>
      <c r="AT212" s="81"/>
      <c r="AU212" s="375"/>
      <c r="AV212" s="375"/>
      <c r="AW212" s="375"/>
      <c r="AX212" s="375">
        <v>0</v>
      </c>
      <c r="AY212" s="375">
        <v>0</v>
      </c>
      <c r="AZ212" s="375">
        <v>0</v>
      </c>
      <c r="BA212" s="375">
        <v>0</v>
      </c>
      <c r="BB212" s="375">
        <v>0</v>
      </c>
      <c r="BC212" s="375">
        <v>0</v>
      </c>
      <c r="BD212" s="375">
        <v>0</v>
      </c>
      <c r="BE212" s="375">
        <v>0</v>
      </c>
      <c r="BF212" s="375">
        <v>0</v>
      </c>
      <c r="BG212" s="375">
        <v>0</v>
      </c>
      <c r="BH212" s="103">
        <v>40902.519999999997</v>
      </c>
      <c r="BI212" s="103">
        <v>0</v>
      </c>
      <c r="BJ212" s="103">
        <v>0</v>
      </c>
      <c r="BK212" s="103">
        <v>0</v>
      </c>
      <c r="BL212" s="103">
        <v>0</v>
      </c>
      <c r="BM212" s="103">
        <v>0</v>
      </c>
      <c r="BN212" s="103">
        <v>0</v>
      </c>
      <c r="BO212" s="103">
        <v>0</v>
      </c>
      <c r="BP212" s="103">
        <v>0</v>
      </c>
      <c r="BQ212" s="103">
        <v>0</v>
      </c>
      <c r="BR212" s="103">
        <v>0</v>
      </c>
      <c r="BS212" s="103">
        <v>0</v>
      </c>
      <c r="BT212" s="79">
        <f>SUM(ERP_26[[#This Row],[2026 AP01]:[2026 AP12]])</f>
        <v>40902.519999999997</v>
      </c>
    </row>
    <row r="213" spans="1:72" ht="15" customHeight="1">
      <c r="A213" s="79" t="s">
        <v>2533</v>
      </c>
      <c r="B213" s="79"/>
      <c r="C213" s="79" t="s">
        <v>855</v>
      </c>
      <c r="D213" s="296" t="s">
        <v>2534</v>
      </c>
      <c r="E213" s="150" t="s">
        <v>1136</v>
      </c>
      <c r="F213" s="482" t="s">
        <v>1566</v>
      </c>
      <c r="G213" s="150" t="s">
        <v>1135</v>
      </c>
      <c r="H213" s="383" t="s">
        <v>1145</v>
      </c>
      <c r="I213" s="332" t="s">
        <v>1135</v>
      </c>
      <c r="J213" s="383" t="s">
        <v>1145</v>
      </c>
      <c r="K213" s="331" t="s">
        <v>1137</v>
      </c>
      <c r="L213" s="512" t="s">
        <v>639</v>
      </c>
      <c r="M213" s="393" t="s">
        <v>2535</v>
      </c>
      <c r="N213" s="343" t="s">
        <v>2532</v>
      </c>
      <c r="O213" s="150" t="s">
        <v>1186</v>
      </c>
      <c r="P213" s="91" t="s">
        <v>856</v>
      </c>
      <c r="Q213" s="343"/>
      <c r="R213" s="346" t="s">
        <v>1717</v>
      </c>
      <c r="S213" s="346" t="s">
        <v>1710</v>
      </c>
      <c r="T213" s="386" t="s">
        <v>368</v>
      </c>
      <c r="U213" s="346" t="s">
        <v>1348</v>
      </c>
      <c r="V213" s="437"/>
      <c r="W213" s="358">
        <v>-40902.519999999997</v>
      </c>
      <c r="X213" s="378">
        <v>0</v>
      </c>
      <c r="Y213" s="425"/>
      <c r="Z213" s="71"/>
      <c r="AA213" s="433"/>
      <c r="AB213" s="434"/>
      <c r="AC213" s="434"/>
      <c r="AD213" s="428" t="s">
        <v>1142</v>
      </c>
      <c r="AE213" s="429">
        <v>0</v>
      </c>
      <c r="AF213" s="429">
        <v>0</v>
      </c>
      <c r="AG213" s="388">
        <v>0</v>
      </c>
      <c r="AH213" s="388">
        <v>0</v>
      </c>
      <c r="AI213" s="388">
        <v>0</v>
      </c>
      <c r="AJ213" s="388">
        <v>0</v>
      </c>
      <c r="AK213" s="388">
        <v>0</v>
      </c>
      <c r="AL213" s="388">
        <v>0</v>
      </c>
      <c r="AM213" s="360">
        <f t="shared" si="7"/>
        <v>0</v>
      </c>
      <c r="AN213" s="362">
        <f>ERP_26[[#This Row],[2026 Working Total]]-ERP_26[[#This Row],[LE2 Final Submission]]</f>
        <v>0</v>
      </c>
      <c r="AO213" s="79">
        <v>0</v>
      </c>
      <c r="AP213" s="79">
        <f t="shared" si="8"/>
        <v>0</v>
      </c>
      <c r="AQ213" s="374">
        <f>SUM(ERP_26[[#This Row],[AP01]:[AP06]])-SUM(ERP_26[[#This Row],[AP01 LE2]:[AP06 LE2]])</f>
        <v>0</v>
      </c>
      <c r="AR213" s="80"/>
      <c r="AS213" s="79">
        <f>ERP_26[[#This Row],[2026 Working Total to Budget/LE]]-ERP_26[[#This Row],[Giveback]]</f>
        <v>0</v>
      </c>
      <c r="AT213" s="81"/>
      <c r="AU213" s="375"/>
      <c r="AV213" s="375"/>
      <c r="AW213" s="375"/>
      <c r="AX213" s="375">
        <v>0</v>
      </c>
      <c r="AY213" s="375">
        <v>0</v>
      </c>
      <c r="AZ213" s="375">
        <v>0</v>
      </c>
      <c r="BA213" s="375">
        <v>0</v>
      </c>
      <c r="BB213" s="375">
        <v>0</v>
      </c>
      <c r="BC213" s="375">
        <v>0</v>
      </c>
      <c r="BD213" s="375">
        <v>0</v>
      </c>
      <c r="BE213" s="375">
        <v>0</v>
      </c>
      <c r="BF213" s="375">
        <v>0</v>
      </c>
      <c r="BG213" s="375">
        <v>0</v>
      </c>
      <c r="BH213" s="103">
        <v>-40902.519999999997</v>
      </c>
      <c r="BI213" s="103">
        <v>0</v>
      </c>
      <c r="BJ213" s="103">
        <v>0</v>
      </c>
      <c r="BK213" s="103">
        <v>0</v>
      </c>
      <c r="BL213" s="103">
        <v>0</v>
      </c>
      <c r="BM213" s="103">
        <v>0</v>
      </c>
      <c r="BN213" s="103">
        <v>0</v>
      </c>
      <c r="BO213" s="103">
        <v>0</v>
      </c>
      <c r="BP213" s="103">
        <v>0</v>
      </c>
      <c r="BQ213" s="103">
        <v>0</v>
      </c>
      <c r="BR213" s="103">
        <v>0</v>
      </c>
      <c r="BS213" s="103">
        <v>0</v>
      </c>
      <c r="BT213" s="79">
        <f>SUM(ERP_26[[#This Row],[2026 AP01]:[2026 AP12]])</f>
        <v>-40902.519999999997</v>
      </c>
    </row>
    <row r="214" spans="1:72" ht="15" customHeight="1">
      <c r="A214" s="79" t="s">
        <v>2536</v>
      </c>
      <c r="B214" s="79"/>
      <c r="C214" s="79" t="s">
        <v>857</v>
      </c>
      <c r="D214" s="296" t="s">
        <v>2537</v>
      </c>
      <c r="E214" s="150" t="s">
        <v>1136</v>
      </c>
      <c r="F214" s="482" t="s">
        <v>1566</v>
      </c>
      <c r="G214" s="150" t="s">
        <v>1135</v>
      </c>
      <c r="H214" s="383" t="s">
        <v>1145</v>
      </c>
      <c r="I214" s="332" t="s">
        <v>1135</v>
      </c>
      <c r="J214" s="383" t="s">
        <v>1145</v>
      </c>
      <c r="K214" s="331" t="s">
        <v>1137</v>
      </c>
      <c r="L214" s="512" t="s">
        <v>639</v>
      </c>
      <c r="M214" s="393" t="s">
        <v>2538</v>
      </c>
      <c r="N214" s="343" t="s">
        <v>2532</v>
      </c>
      <c r="O214" s="150" t="s">
        <v>1186</v>
      </c>
      <c r="P214" s="91" t="s">
        <v>858</v>
      </c>
      <c r="Q214" s="343"/>
      <c r="R214" s="346" t="s">
        <v>1709</v>
      </c>
      <c r="S214" s="346" t="s">
        <v>1710</v>
      </c>
      <c r="T214" s="386" t="s">
        <v>368</v>
      </c>
      <c r="U214" s="346" t="s">
        <v>1348</v>
      </c>
      <c r="V214" s="437"/>
      <c r="W214" s="358">
        <v>26386.85</v>
      </c>
      <c r="X214" s="378">
        <v>0</v>
      </c>
      <c r="Y214" s="425"/>
      <c r="Z214" s="71"/>
      <c r="AA214" s="433"/>
      <c r="AB214" s="434"/>
      <c r="AC214" s="434"/>
      <c r="AD214" s="428" t="s">
        <v>1142</v>
      </c>
      <c r="AE214" s="429">
        <v>0</v>
      </c>
      <c r="AF214" s="429">
        <v>0</v>
      </c>
      <c r="AG214" s="388">
        <v>0</v>
      </c>
      <c r="AH214" s="388">
        <v>0</v>
      </c>
      <c r="AI214" s="388">
        <v>0</v>
      </c>
      <c r="AJ214" s="388">
        <v>0</v>
      </c>
      <c r="AK214" s="388">
        <v>0</v>
      </c>
      <c r="AL214" s="388">
        <v>0</v>
      </c>
      <c r="AM214" s="360">
        <f t="shared" si="7"/>
        <v>0</v>
      </c>
      <c r="AN214" s="362">
        <f>ERP_26[[#This Row],[2026 Working Total]]-ERP_26[[#This Row],[LE2 Final Submission]]</f>
        <v>0</v>
      </c>
      <c r="AO214" s="79">
        <v>0</v>
      </c>
      <c r="AP214" s="79">
        <f t="shared" si="8"/>
        <v>0</v>
      </c>
      <c r="AQ214" s="374">
        <f>SUM(ERP_26[[#This Row],[AP01]:[AP06]])-SUM(ERP_26[[#This Row],[AP01 LE2]:[AP06 LE2]])</f>
        <v>0</v>
      </c>
      <c r="AR214" s="80"/>
      <c r="AS214" s="79">
        <f>ERP_26[[#This Row],[2026 Working Total to Budget/LE]]-ERP_26[[#This Row],[Giveback]]</f>
        <v>0</v>
      </c>
      <c r="AT214" s="81"/>
      <c r="AU214" s="375"/>
      <c r="AV214" s="375"/>
      <c r="AW214" s="375"/>
      <c r="AX214" s="375">
        <v>0</v>
      </c>
      <c r="AY214" s="375">
        <v>0</v>
      </c>
      <c r="AZ214" s="375">
        <v>0</v>
      </c>
      <c r="BA214" s="375">
        <v>0</v>
      </c>
      <c r="BB214" s="375">
        <v>0</v>
      </c>
      <c r="BC214" s="375">
        <v>0</v>
      </c>
      <c r="BD214" s="375">
        <v>0</v>
      </c>
      <c r="BE214" s="375">
        <v>0</v>
      </c>
      <c r="BF214" s="375">
        <v>0</v>
      </c>
      <c r="BG214" s="375">
        <v>0</v>
      </c>
      <c r="BH214" s="103">
        <v>26386.85</v>
      </c>
      <c r="BI214" s="103">
        <v>0</v>
      </c>
      <c r="BJ214" s="103">
        <v>0</v>
      </c>
      <c r="BK214" s="103">
        <v>0</v>
      </c>
      <c r="BL214" s="103">
        <v>0</v>
      </c>
      <c r="BM214" s="103">
        <v>0</v>
      </c>
      <c r="BN214" s="103">
        <v>0</v>
      </c>
      <c r="BO214" s="103">
        <v>0</v>
      </c>
      <c r="BP214" s="103">
        <v>0</v>
      </c>
      <c r="BQ214" s="103">
        <v>0</v>
      </c>
      <c r="BR214" s="103">
        <v>0</v>
      </c>
      <c r="BS214" s="103">
        <v>0</v>
      </c>
      <c r="BT214" s="79">
        <f>SUM(ERP_26[[#This Row],[2026 AP01]:[2026 AP12]])</f>
        <v>26386.85</v>
      </c>
    </row>
    <row r="215" spans="1:72" ht="15" customHeight="1">
      <c r="A215" s="79" t="s">
        <v>2539</v>
      </c>
      <c r="B215" s="79"/>
      <c r="C215" s="79" t="s">
        <v>859</v>
      </c>
      <c r="D215" s="296" t="s">
        <v>2540</v>
      </c>
      <c r="E215" s="150" t="s">
        <v>1136</v>
      </c>
      <c r="F215" s="482" t="s">
        <v>1566</v>
      </c>
      <c r="G215" s="150" t="s">
        <v>1135</v>
      </c>
      <c r="H215" s="383" t="s">
        <v>1145</v>
      </c>
      <c r="I215" s="332" t="s">
        <v>1135</v>
      </c>
      <c r="J215" s="383" t="s">
        <v>1145</v>
      </c>
      <c r="K215" s="331" t="s">
        <v>1137</v>
      </c>
      <c r="L215" s="512" t="s">
        <v>639</v>
      </c>
      <c r="M215" s="393" t="s">
        <v>2541</v>
      </c>
      <c r="N215" s="343" t="s">
        <v>2532</v>
      </c>
      <c r="O215" s="150" t="s">
        <v>1186</v>
      </c>
      <c r="P215" s="91" t="s">
        <v>860</v>
      </c>
      <c r="Q215" s="343"/>
      <c r="R215" s="346" t="s">
        <v>1709</v>
      </c>
      <c r="S215" s="346" t="s">
        <v>1710</v>
      </c>
      <c r="T215" s="386" t="s">
        <v>368</v>
      </c>
      <c r="U215" s="346" t="s">
        <v>1348</v>
      </c>
      <c r="V215" s="437"/>
      <c r="W215" s="358">
        <v>-26386.85</v>
      </c>
      <c r="X215" s="378">
        <v>0</v>
      </c>
      <c r="Y215" s="425"/>
      <c r="Z215" s="71"/>
      <c r="AA215" s="433"/>
      <c r="AB215" s="434"/>
      <c r="AC215" s="434"/>
      <c r="AD215" s="428" t="s">
        <v>1142</v>
      </c>
      <c r="AE215" s="429">
        <v>0</v>
      </c>
      <c r="AF215" s="429">
        <v>0</v>
      </c>
      <c r="AG215" s="388">
        <v>0</v>
      </c>
      <c r="AH215" s="388">
        <v>0</v>
      </c>
      <c r="AI215" s="388">
        <v>0</v>
      </c>
      <c r="AJ215" s="388">
        <v>0</v>
      </c>
      <c r="AK215" s="388">
        <v>0</v>
      </c>
      <c r="AL215" s="388">
        <v>0</v>
      </c>
      <c r="AM215" s="360">
        <f t="shared" si="7"/>
        <v>0</v>
      </c>
      <c r="AN215" s="362">
        <f>ERP_26[[#This Row],[2026 Working Total]]-ERP_26[[#This Row],[LE2 Final Submission]]</f>
        <v>0</v>
      </c>
      <c r="AO215" s="79">
        <v>0</v>
      </c>
      <c r="AP215" s="79">
        <f t="shared" si="8"/>
        <v>0</v>
      </c>
      <c r="AQ215" s="374">
        <f>SUM(ERP_26[[#This Row],[AP01]:[AP06]])-SUM(ERP_26[[#This Row],[AP01 LE2]:[AP06 LE2]])</f>
        <v>0</v>
      </c>
      <c r="AR215" s="80"/>
      <c r="AS215" s="79">
        <f>ERP_26[[#This Row],[2026 Working Total to Budget/LE]]-ERP_26[[#This Row],[Giveback]]</f>
        <v>0</v>
      </c>
      <c r="AT215" s="81"/>
      <c r="AU215" s="375"/>
      <c r="AV215" s="375"/>
      <c r="AW215" s="375"/>
      <c r="AX215" s="375">
        <v>0</v>
      </c>
      <c r="AY215" s="375">
        <v>0</v>
      </c>
      <c r="AZ215" s="375">
        <v>0</v>
      </c>
      <c r="BA215" s="375">
        <v>0</v>
      </c>
      <c r="BB215" s="375">
        <v>0</v>
      </c>
      <c r="BC215" s="375">
        <v>0</v>
      </c>
      <c r="BD215" s="375">
        <v>0</v>
      </c>
      <c r="BE215" s="375">
        <v>0</v>
      </c>
      <c r="BF215" s="375">
        <v>0</v>
      </c>
      <c r="BG215" s="375">
        <v>0</v>
      </c>
      <c r="BH215" s="103">
        <v>-26386.85</v>
      </c>
      <c r="BI215" s="103">
        <v>0</v>
      </c>
      <c r="BJ215" s="103">
        <v>0</v>
      </c>
      <c r="BK215" s="103">
        <v>0</v>
      </c>
      <c r="BL215" s="103">
        <v>0</v>
      </c>
      <c r="BM215" s="103">
        <v>0</v>
      </c>
      <c r="BN215" s="103">
        <v>0</v>
      </c>
      <c r="BO215" s="103">
        <v>0</v>
      </c>
      <c r="BP215" s="103">
        <v>0</v>
      </c>
      <c r="BQ215" s="103">
        <v>0</v>
      </c>
      <c r="BR215" s="103">
        <v>0</v>
      </c>
      <c r="BS215" s="103">
        <v>0</v>
      </c>
      <c r="BT215" s="79">
        <f>SUM(ERP_26[[#This Row],[2026 AP01]:[2026 AP12]])</f>
        <v>-26386.85</v>
      </c>
    </row>
    <row r="216" spans="1:72" ht="15" customHeight="1">
      <c r="A216" s="79" t="s">
        <v>2542</v>
      </c>
      <c r="B216" s="79"/>
      <c r="C216" s="79" t="s">
        <v>861</v>
      </c>
      <c r="D216" s="296" t="s">
        <v>2543</v>
      </c>
      <c r="E216" s="150" t="s">
        <v>1136</v>
      </c>
      <c r="F216" s="482" t="s">
        <v>1566</v>
      </c>
      <c r="G216" s="150" t="s">
        <v>1135</v>
      </c>
      <c r="H216" s="383" t="s">
        <v>1145</v>
      </c>
      <c r="I216" s="332" t="s">
        <v>1135</v>
      </c>
      <c r="J216" s="383" t="s">
        <v>1145</v>
      </c>
      <c r="K216" s="331" t="s">
        <v>1137</v>
      </c>
      <c r="L216" s="512" t="s">
        <v>639</v>
      </c>
      <c r="M216" s="393" t="s">
        <v>2544</v>
      </c>
      <c r="N216" s="343" t="s">
        <v>2545</v>
      </c>
      <c r="O216" s="150" t="s">
        <v>1186</v>
      </c>
      <c r="P216" s="91" t="s">
        <v>862</v>
      </c>
      <c r="Q216" s="343"/>
      <c r="R216" s="346" t="s">
        <v>2546</v>
      </c>
      <c r="S216" s="346" t="s">
        <v>1710</v>
      </c>
      <c r="T216" s="386" t="s">
        <v>863</v>
      </c>
      <c r="U216" s="346" t="s">
        <v>1348</v>
      </c>
      <c r="V216" s="437"/>
      <c r="W216" s="358">
        <v>21386.720000000001</v>
      </c>
      <c r="X216" s="378">
        <v>0</v>
      </c>
      <c r="Y216" s="425"/>
      <c r="Z216" s="71"/>
      <c r="AA216" s="433"/>
      <c r="AB216" s="434"/>
      <c r="AC216" s="434"/>
      <c r="AD216" s="428" t="s">
        <v>1142</v>
      </c>
      <c r="AE216" s="429">
        <v>0</v>
      </c>
      <c r="AF216" s="429">
        <v>0</v>
      </c>
      <c r="AG216" s="388">
        <v>0</v>
      </c>
      <c r="AH216" s="388">
        <v>0</v>
      </c>
      <c r="AI216" s="388">
        <v>0</v>
      </c>
      <c r="AJ216" s="388">
        <v>0</v>
      </c>
      <c r="AK216" s="388">
        <v>0</v>
      </c>
      <c r="AL216" s="388">
        <v>0</v>
      </c>
      <c r="AM216" s="360">
        <f t="shared" si="7"/>
        <v>0</v>
      </c>
      <c r="AN216" s="362">
        <f>ERP_26[[#This Row],[2026 Working Total]]-ERP_26[[#This Row],[LE2 Final Submission]]</f>
        <v>0</v>
      </c>
      <c r="AO216" s="79">
        <v>0</v>
      </c>
      <c r="AP216" s="79">
        <f t="shared" si="8"/>
        <v>0</v>
      </c>
      <c r="AQ216" s="374">
        <f>SUM(ERP_26[[#This Row],[AP01]:[AP06]])-SUM(ERP_26[[#This Row],[AP01 LE2]:[AP06 LE2]])</f>
        <v>0</v>
      </c>
      <c r="AR216" s="80"/>
      <c r="AS216" s="79">
        <f>ERP_26[[#This Row],[2026 Working Total to Budget/LE]]-ERP_26[[#This Row],[Giveback]]</f>
        <v>0</v>
      </c>
      <c r="AT216" s="81"/>
      <c r="AU216" s="375"/>
      <c r="AV216" s="375"/>
      <c r="AW216" s="375"/>
      <c r="AX216" s="375">
        <v>0</v>
      </c>
      <c r="AY216" s="375">
        <v>0</v>
      </c>
      <c r="AZ216" s="375">
        <v>0</v>
      </c>
      <c r="BA216" s="375">
        <v>0</v>
      </c>
      <c r="BB216" s="375">
        <v>0</v>
      </c>
      <c r="BC216" s="375">
        <v>0</v>
      </c>
      <c r="BD216" s="375">
        <v>0</v>
      </c>
      <c r="BE216" s="375">
        <v>0</v>
      </c>
      <c r="BF216" s="375">
        <v>0</v>
      </c>
      <c r="BG216" s="375">
        <v>0</v>
      </c>
      <c r="BH216" s="103">
        <v>21386.720000000001</v>
      </c>
      <c r="BI216" s="103">
        <v>0</v>
      </c>
      <c r="BJ216" s="103">
        <v>0</v>
      </c>
      <c r="BK216" s="103">
        <v>0</v>
      </c>
      <c r="BL216" s="103">
        <v>0</v>
      </c>
      <c r="BM216" s="103">
        <v>0</v>
      </c>
      <c r="BN216" s="103">
        <v>0</v>
      </c>
      <c r="BO216" s="103">
        <v>0</v>
      </c>
      <c r="BP216" s="103">
        <v>0</v>
      </c>
      <c r="BQ216" s="103">
        <v>0</v>
      </c>
      <c r="BR216" s="103">
        <v>0</v>
      </c>
      <c r="BS216" s="103">
        <v>0</v>
      </c>
      <c r="BT216" s="79">
        <f>SUM(ERP_26[[#This Row],[2026 AP01]:[2026 AP12]])</f>
        <v>21386.720000000001</v>
      </c>
    </row>
    <row r="217" spans="1:72" ht="15" customHeight="1">
      <c r="A217" s="79" t="s">
        <v>2547</v>
      </c>
      <c r="B217" s="79"/>
      <c r="C217" s="79" t="s">
        <v>864</v>
      </c>
      <c r="D217" s="296" t="s">
        <v>2548</v>
      </c>
      <c r="E217" s="150" t="s">
        <v>1136</v>
      </c>
      <c r="F217" s="482" t="s">
        <v>1566</v>
      </c>
      <c r="G217" s="150" t="s">
        <v>1135</v>
      </c>
      <c r="H217" s="383" t="s">
        <v>1145</v>
      </c>
      <c r="I217" s="332" t="s">
        <v>1135</v>
      </c>
      <c r="J217" s="383" t="s">
        <v>1145</v>
      </c>
      <c r="K217" s="331" t="s">
        <v>1137</v>
      </c>
      <c r="L217" s="512" t="s">
        <v>639</v>
      </c>
      <c r="M217" s="393" t="s">
        <v>2549</v>
      </c>
      <c r="N217" s="343" t="s">
        <v>2545</v>
      </c>
      <c r="O217" s="150" t="s">
        <v>1186</v>
      </c>
      <c r="P217" s="91" t="s">
        <v>865</v>
      </c>
      <c r="Q217" s="343"/>
      <c r="R217" s="346" t="s">
        <v>2546</v>
      </c>
      <c r="S217" s="346" t="s">
        <v>1710</v>
      </c>
      <c r="T217" s="386" t="s">
        <v>863</v>
      </c>
      <c r="U217" s="346" t="s">
        <v>1348</v>
      </c>
      <c r="V217" s="437"/>
      <c r="W217" s="358">
        <v>-21386.720000000001</v>
      </c>
      <c r="X217" s="378">
        <v>0</v>
      </c>
      <c r="Y217" s="425"/>
      <c r="Z217" s="71"/>
      <c r="AA217" s="433"/>
      <c r="AB217" s="434"/>
      <c r="AC217" s="434"/>
      <c r="AD217" s="428" t="s">
        <v>1142</v>
      </c>
      <c r="AE217" s="429">
        <v>0</v>
      </c>
      <c r="AF217" s="429">
        <v>0</v>
      </c>
      <c r="AG217" s="388">
        <v>0</v>
      </c>
      <c r="AH217" s="388">
        <v>0</v>
      </c>
      <c r="AI217" s="388">
        <v>0</v>
      </c>
      <c r="AJ217" s="388">
        <v>0</v>
      </c>
      <c r="AK217" s="388">
        <v>0</v>
      </c>
      <c r="AL217" s="388">
        <v>0</v>
      </c>
      <c r="AM217" s="360">
        <f t="shared" si="7"/>
        <v>0</v>
      </c>
      <c r="AN217" s="362">
        <f>ERP_26[[#This Row],[2026 Working Total]]-ERP_26[[#This Row],[LE2 Final Submission]]</f>
        <v>0</v>
      </c>
      <c r="AO217" s="79">
        <v>0</v>
      </c>
      <c r="AP217" s="79">
        <f t="shared" si="8"/>
        <v>0</v>
      </c>
      <c r="AQ217" s="374">
        <f>SUM(ERP_26[[#This Row],[AP01]:[AP06]])-SUM(ERP_26[[#This Row],[AP01 LE2]:[AP06 LE2]])</f>
        <v>0</v>
      </c>
      <c r="AR217" s="80"/>
      <c r="AS217" s="79">
        <f>ERP_26[[#This Row],[2026 Working Total to Budget/LE]]-ERP_26[[#This Row],[Giveback]]</f>
        <v>0</v>
      </c>
      <c r="AT217" s="81"/>
      <c r="AU217" s="375"/>
      <c r="AV217" s="375"/>
      <c r="AW217" s="375"/>
      <c r="AX217" s="375">
        <v>0</v>
      </c>
      <c r="AY217" s="375">
        <v>0</v>
      </c>
      <c r="AZ217" s="375">
        <v>0</v>
      </c>
      <c r="BA217" s="375">
        <v>0</v>
      </c>
      <c r="BB217" s="375">
        <v>0</v>
      </c>
      <c r="BC217" s="375">
        <v>0</v>
      </c>
      <c r="BD217" s="375">
        <v>0</v>
      </c>
      <c r="BE217" s="375">
        <v>0</v>
      </c>
      <c r="BF217" s="375">
        <v>0</v>
      </c>
      <c r="BG217" s="375">
        <v>0</v>
      </c>
      <c r="BH217" s="103">
        <v>-21386.720000000001</v>
      </c>
      <c r="BI217" s="103">
        <v>0</v>
      </c>
      <c r="BJ217" s="103">
        <v>0</v>
      </c>
      <c r="BK217" s="103">
        <v>0</v>
      </c>
      <c r="BL217" s="103">
        <v>0</v>
      </c>
      <c r="BM217" s="103">
        <v>0</v>
      </c>
      <c r="BN217" s="103">
        <v>0</v>
      </c>
      <c r="BO217" s="103">
        <v>0</v>
      </c>
      <c r="BP217" s="103">
        <v>0</v>
      </c>
      <c r="BQ217" s="103">
        <v>0</v>
      </c>
      <c r="BR217" s="103">
        <v>0</v>
      </c>
      <c r="BS217" s="103">
        <v>0</v>
      </c>
      <c r="BT217" s="79">
        <f>SUM(ERP_26[[#This Row],[2026 AP01]:[2026 AP12]])</f>
        <v>-21386.720000000001</v>
      </c>
    </row>
    <row r="218" spans="1:72" ht="15" customHeight="1">
      <c r="A218" s="66" t="s">
        <v>2550</v>
      </c>
      <c r="B218" s="66"/>
      <c r="C218" s="66" t="s">
        <v>866</v>
      </c>
      <c r="D218" s="66" t="s">
        <v>866</v>
      </c>
      <c r="E218" s="150" t="s">
        <v>1136</v>
      </c>
      <c r="F218" s="482" t="s">
        <v>1566</v>
      </c>
      <c r="G218" s="150" t="s">
        <v>1135</v>
      </c>
      <c r="H218" s="150" t="s">
        <v>1135</v>
      </c>
      <c r="I218" s="150" t="s">
        <v>1135</v>
      </c>
      <c r="J218" s="150" t="s">
        <v>1135</v>
      </c>
      <c r="K218" s="150" t="s">
        <v>1137</v>
      </c>
      <c r="L218" s="511" t="s">
        <v>639</v>
      </c>
      <c r="M218" s="392" t="s">
        <v>2551</v>
      </c>
      <c r="N218" s="343" t="s">
        <v>1167</v>
      </c>
      <c r="O218" s="346" t="s">
        <v>1171</v>
      </c>
      <c r="P218" s="70" t="s">
        <v>867</v>
      </c>
      <c r="Q218" s="346"/>
      <c r="R218" s="346" t="s">
        <v>2552</v>
      </c>
      <c r="S218" s="346"/>
      <c r="T218" s="150" t="s">
        <v>64</v>
      </c>
      <c r="U218" s="150"/>
      <c r="V218" s="403"/>
      <c r="W218" s="406">
        <v>207900</v>
      </c>
      <c r="X218" s="406">
        <v>196875</v>
      </c>
      <c r="Y218" s="430"/>
      <c r="Z218" s="137"/>
      <c r="AA218" s="426">
        <v>15750</v>
      </c>
      <c r="AB218" s="427">
        <v>15750</v>
      </c>
      <c r="AC218" s="427">
        <v>15750</v>
      </c>
      <c r="AD218" s="428">
        <v>15750</v>
      </c>
      <c r="AE218" s="429">
        <v>15750</v>
      </c>
      <c r="AF218" s="429">
        <v>15750</v>
      </c>
      <c r="AG218" s="363">
        <v>15750</v>
      </c>
      <c r="AH218" s="363">
        <v>17325</v>
      </c>
      <c r="AI218" s="363">
        <v>17325</v>
      </c>
      <c r="AJ218" s="363">
        <v>17325</v>
      </c>
      <c r="AK218" s="363">
        <v>17325</v>
      </c>
      <c r="AL218" s="363">
        <v>17325</v>
      </c>
      <c r="AM218" s="360">
        <f t="shared" si="7"/>
        <v>196875</v>
      </c>
      <c r="AN218" s="362">
        <f>ERP_26[[#This Row],[2026 Working Total]]-ERP_26[[#This Row],[LE2 Final Submission]]</f>
        <v>0</v>
      </c>
      <c r="AO218" s="79">
        <v>15750</v>
      </c>
      <c r="AP218" s="79">
        <f t="shared" si="8"/>
        <v>0</v>
      </c>
      <c r="AQ218" s="374">
        <f>SUM(ERP_26[[#This Row],[AP01]:[AP06]])-SUM(ERP_26[[#This Row],[AP01 LE2]:[AP06 LE2]])</f>
        <v>0</v>
      </c>
      <c r="AR218" s="80"/>
      <c r="AS218" s="79">
        <f>ERP_26[[#This Row],[2026 Working Total to Budget/LE]]-ERP_26[[#This Row],[Giveback]]</f>
        <v>0</v>
      </c>
      <c r="AT218" s="81"/>
      <c r="AU218" s="375">
        <v>15750</v>
      </c>
      <c r="AV218" s="375">
        <v>15750</v>
      </c>
      <c r="AW218" s="375">
        <v>15750</v>
      </c>
      <c r="AX218" s="375">
        <v>15750</v>
      </c>
      <c r="AY218" s="375">
        <v>15750</v>
      </c>
      <c r="AZ218" s="375">
        <v>15750</v>
      </c>
      <c r="BA218" s="375">
        <v>15750</v>
      </c>
      <c r="BB218" s="375">
        <v>17325</v>
      </c>
      <c r="BC218" s="375">
        <v>17325</v>
      </c>
      <c r="BD218" s="375">
        <v>17325</v>
      </c>
      <c r="BE218" s="375">
        <v>17325</v>
      </c>
      <c r="BF218" s="375">
        <v>17325</v>
      </c>
      <c r="BG218" s="375">
        <v>196875</v>
      </c>
      <c r="BH218" s="79">
        <v>15750</v>
      </c>
      <c r="BI218" s="79">
        <v>15750</v>
      </c>
      <c r="BJ218" s="79">
        <v>15750</v>
      </c>
      <c r="BK218" s="79">
        <v>17325</v>
      </c>
      <c r="BL218" s="79">
        <v>17325</v>
      </c>
      <c r="BM218" s="79">
        <v>17325</v>
      </c>
      <c r="BN218" s="79">
        <v>17325</v>
      </c>
      <c r="BO218" s="79">
        <v>17325</v>
      </c>
      <c r="BP218" s="79">
        <v>17325</v>
      </c>
      <c r="BQ218" s="79">
        <v>17325</v>
      </c>
      <c r="BR218" s="79">
        <v>17325</v>
      </c>
      <c r="BS218" s="79">
        <v>17325</v>
      </c>
      <c r="BT218" s="79">
        <v>203175</v>
      </c>
    </row>
    <row r="219" spans="1:72" ht="15" customHeight="1">
      <c r="A219" s="66" t="s">
        <v>2553</v>
      </c>
      <c r="B219" s="66"/>
      <c r="C219" s="66" t="s">
        <v>868</v>
      </c>
      <c r="D219" s="66" t="s">
        <v>868</v>
      </c>
      <c r="E219" s="150" t="s">
        <v>1136</v>
      </c>
      <c r="F219" s="482" t="s">
        <v>1566</v>
      </c>
      <c r="G219" s="150" t="s">
        <v>1135</v>
      </c>
      <c r="H219" s="150" t="s">
        <v>1135</v>
      </c>
      <c r="I219" s="150" t="s">
        <v>1135</v>
      </c>
      <c r="J219" s="150" t="s">
        <v>1135</v>
      </c>
      <c r="K219" s="150" t="s">
        <v>1137</v>
      </c>
      <c r="L219" s="511" t="s">
        <v>639</v>
      </c>
      <c r="M219" s="392" t="s">
        <v>2554</v>
      </c>
      <c r="N219" s="343"/>
      <c r="O219" s="343"/>
      <c r="P219" s="70" t="s">
        <v>869</v>
      </c>
      <c r="Q219" s="346"/>
      <c r="R219" s="343"/>
      <c r="S219" s="346"/>
      <c r="T219" s="150" t="s">
        <v>152</v>
      </c>
      <c r="U219" s="150"/>
      <c r="V219" s="403"/>
      <c r="W219" s="406">
        <v>37661</v>
      </c>
      <c r="X219" s="406">
        <v>37661</v>
      </c>
      <c r="Y219" s="425"/>
      <c r="Z219" s="71"/>
      <c r="AA219" s="426"/>
      <c r="AB219" s="427"/>
      <c r="AC219" s="427"/>
      <c r="AD219" s="428" t="s">
        <v>1142</v>
      </c>
      <c r="AE219" s="429">
        <v>0</v>
      </c>
      <c r="AF219" s="429">
        <v>0</v>
      </c>
      <c r="AG219" s="363"/>
      <c r="AH219" s="363"/>
      <c r="AI219" s="363"/>
      <c r="AJ219" s="363">
        <v>37661</v>
      </c>
      <c r="AK219" s="360">
        <v>0</v>
      </c>
      <c r="AL219" s="360">
        <v>0</v>
      </c>
      <c r="AM219" s="360">
        <f t="shared" si="7"/>
        <v>37661</v>
      </c>
      <c r="AN219" s="362">
        <f>ERP_26[[#This Row],[2026 Working Total]]-ERP_26[[#This Row],[LE2 Final Submission]]</f>
        <v>0</v>
      </c>
      <c r="AO219" s="79"/>
      <c r="AP219" s="79">
        <f t="shared" si="8"/>
        <v>0</v>
      </c>
      <c r="AQ219" s="374">
        <f>SUM(ERP_26[[#This Row],[AP01]:[AP06]])-SUM(ERP_26[[#This Row],[AP01 LE2]:[AP06 LE2]])</f>
        <v>0</v>
      </c>
      <c r="AR219" s="80"/>
      <c r="AS219" s="79">
        <f>ERP_26[[#This Row],[2026 Working Total to Budget/LE]]-ERP_26[[#This Row],[Giveback]]</f>
        <v>0</v>
      </c>
      <c r="AT219" s="81"/>
      <c r="AU219" s="375"/>
      <c r="AV219" s="375"/>
      <c r="AW219" s="375"/>
      <c r="AX219" s="375"/>
      <c r="AY219" s="375"/>
      <c r="AZ219" s="375"/>
      <c r="BA219" s="375"/>
      <c r="BB219" s="375"/>
      <c r="BC219" s="375"/>
      <c r="BD219" s="375">
        <v>37661</v>
      </c>
      <c r="BE219" s="375">
        <v>0</v>
      </c>
      <c r="BF219" s="375">
        <v>0</v>
      </c>
      <c r="BG219" s="375">
        <v>37661</v>
      </c>
      <c r="BH219" s="79"/>
      <c r="BI219" s="79"/>
      <c r="BJ219" s="79"/>
      <c r="BK219" s="79"/>
      <c r="BL219" s="79"/>
      <c r="BM219" s="79"/>
      <c r="BN219" s="79"/>
      <c r="BO219" s="79"/>
      <c r="BP219" s="79"/>
      <c r="BQ219" s="79">
        <v>37661</v>
      </c>
      <c r="BR219" s="79">
        <v>0</v>
      </c>
      <c r="BS219" s="79">
        <v>0</v>
      </c>
      <c r="BT219" s="79">
        <v>37661</v>
      </c>
    </row>
    <row r="220" spans="1:72" ht="15" customHeight="1">
      <c r="A220" s="66" t="s">
        <v>2555</v>
      </c>
      <c r="B220" s="66"/>
      <c r="C220" s="66" t="s">
        <v>870</v>
      </c>
      <c r="D220" s="66" t="s">
        <v>870</v>
      </c>
      <c r="E220" s="150" t="s">
        <v>1136</v>
      </c>
      <c r="F220" s="482" t="s">
        <v>1566</v>
      </c>
      <c r="G220" s="150" t="s">
        <v>1135</v>
      </c>
      <c r="H220" s="150" t="s">
        <v>1135</v>
      </c>
      <c r="I220" s="150" t="s">
        <v>1135</v>
      </c>
      <c r="J220" s="150" t="s">
        <v>1135</v>
      </c>
      <c r="K220" s="150" t="s">
        <v>1137</v>
      </c>
      <c r="L220" s="511" t="s">
        <v>639</v>
      </c>
      <c r="M220" s="392" t="s">
        <v>2556</v>
      </c>
      <c r="N220" s="343"/>
      <c r="O220" s="343"/>
      <c r="P220" s="70" t="s">
        <v>871</v>
      </c>
      <c r="Q220" s="346"/>
      <c r="R220" s="343"/>
      <c r="S220" s="346"/>
      <c r="T220" s="150" t="s">
        <v>25</v>
      </c>
      <c r="U220" s="150"/>
      <c r="V220" s="403"/>
      <c r="W220" s="406">
        <v>24500</v>
      </c>
      <c r="X220" s="406">
        <v>24500</v>
      </c>
      <c r="Y220" s="425"/>
      <c r="Z220" s="71"/>
      <c r="AA220" s="426"/>
      <c r="AB220" s="427"/>
      <c r="AC220" s="427"/>
      <c r="AD220" s="428" t="s">
        <v>1142</v>
      </c>
      <c r="AE220" s="429">
        <v>0</v>
      </c>
      <c r="AF220" s="429">
        <v>0</v>
      </c>
      <c r="AG220" s="363"/>
      <c r="AH220" s="363"/>
      <c r="AI220" s="363">
        <v>24500</v>
      </c>
      <c r="AJ220" s="360">
        <v>0</v>
      </c>
      <c r="AK220" s="360">
        <v>0</v>
      </c>
      <c r="AL220" s="360">
        <v>0</v>
      </c>
      <c r="AM220" s="360">
        <f t="shared" si="7"/>
        <v>24500</v>
      </c>
      <c r="AN220" s="362">
        <f>ERP_26[[#This Row],[2026 Working Total]]-ERP_26[[#This Row],[LE2 Final Submission]]</f>
        <v>0</v>
      </c>
      <c r="AO220" s="79"/>
      <c r="AP220" s="79">
        <f t="shared" si="8"/>
        <v>0</v>
      </c>
      <c r="AQ220" s="374">
        <f>SUM(ERP_26[[#This Row],[AP01]:[AP06]])-SUM(ERP_26[[#This Row],[AP01 LE2]:[AP06 LE2]])</f>
        <v>0</v>
      </c>
      <c r="AR220" s="80"/>
      <c r="AS220" s="79">
        <f>ERP_26[[#This Row],[2026 Working Total to Budget/LE]]-ERP_26[[#This Row],[Giveback]]</f>
        <v>0</v>
      </c>
      <c r="AT220" s="81"/>
      <c r="AU220" s="375"/>
      <c r="AV220" s="375"/>
      <c r="AW220" s="375"/>
      <c r="AX220" s="375"/>
      <c r="AY220" s="375"/>
      <c r="AZ220" s="375"/>
      <c r="BA220" s="375"/>
      <c r="BB220" s="375"/>
      <c r="BC220" s="375">
        <v>24500</v>
      </c>
      <c r="BD220" s="375">
        <v>0</v>
      </c>
      <c r="BE220" s="375">
        <v>0</v>
      </c>
      <c r="BF220" s="375">
        <v>0</v>
      </c>
      <c r="BG220" s="375">
        <v>24500</v>
      </c>
      <c r="BH220" s="79"/>
      <c r="BI220" s="79"/>
      <c r="BJ220" s="79"/>
      <c r="BK220" s="79"/>
      <c r="BL220" s="79"/>
      <c r="BM220" s="79"/>
      <c r="BN220" s="79"/>
      <c r="BO220" s="79"/>
      <c r="BP220" s="79">
        <v>24500</v>
      </c>
      <c r="BQ220" s="79">
        <v>0</v>
      </c>
      <c r="BR220" s="79">
        <v>0</v>
      </c>
      <c r="BS220" s="79">
        <v>0</v>
      </c>
      <c r="BT220" s="79">
        <v>24500</v>
      </c>
    </row>
    <row r="221" spans="1:72" ht="15" customHeight="1">
      <c r="A221" s="66" t="s">
        <v>2557</v>
      </c>
      <c r="B221" s="66"/>
      <c r="C221" s="66" t="s">
        <v>872</v>
      </c>
      <c r="D221" s="66" t="s">
        <v>2558</v>
      </c>
      <c r="E221" s="150" t="s">
        <v>1136</v>
      </c>
      <c r="F221" s="482" t="s">
        <v>1566</v>
      </c>
      <c r="G221" s="150" t="s">
        <v>1135</v>
      </c>
      <c r="H221" s="150" t="s">
        <v>1145</v>
      </c>
      <c r="I221" s="150" t="s">
        <v>1135</v>
      </c>
      <c r="J221" s="150" t="s">
        <v>1145</v>
      </c>
      <c r="K221" s="150" t="s">
        <v>1137</v>
      </c>
      <c r="L221" s="511" t="s">
        <v>639</v>
      </c>
      <c r="M221" s="392" t="s">
        <v>2559</v>
      </c>
      <c r="N221" s="343" t="s">
        <v>1167</v>
      </c>
      <c r="O221" s="346" t="s">
        <v>1186</v>
      </c>
      <c r="P221" s="70" t="s">
        <v>873</v>
      </c>
      <c r="Q221" s="346"/>
      <c r="R221" s="346" t="s">
        <v>2560</v>
      </c>
      <c r="S221" s="346" t="s">
        <v>1710</v>
      </c>
      <c r="T221" s="150" t="s">
        <v>874</v>
      </c>
      <c r="U221" s="150"/>
      <c r="V221" s="404"/>
      <c r="W221" s="407">
        <v>14353.4</v>
      </c>
      <c r="X221" s="407">
        <v>0</v>
      </c>
      <c r="Y221" s="425"/>
      <c r="Z221" s="71"/>
      <c r="AA221" s="426">
        <v>0.28000000000000003</v>
      </c>
      <c r="AB221" s="427">
        <v>-0.28000000000000003</v>
      </c>
      <c r="AC221" s="427"/>
      <c r="AD221" s="428">
        <v>-11391.72</v>
      </c>
      <c r="AE221" s="429">
        <v>0</v>
      </c>
      <c r="AF221" s="429">
        <v>0</v>
      </c>
      <c r="AG221" s="363"/>
      <c r="AH221" s="363"/>
      <c r="AI221" s="363"/>
      <c r="AJ221" s="363"/>
      <c r="AK221" s="363"/>
      <c r="AL221" s="363"/>
      <c r="AM221" s="360">
        <f t="shared" si="7"/>
        <v>-11391.72</v>
      </c>
      <c r="AN221" s="362">
        <f>ERP_26[[#This Row],[2026 Working Total]]-ERP_26[[#This Row],[LE2 Final Submission]]</f>
        <v>-11391.72</v>
      </c>
      <c r="AO221" s="79"/>
      <c r="AP221" s="79">
        <f t="shared" si="8"/>
        <v>0</v>
      </c>
      <c r="AQ221" s="374">
        <f>SUM(ERP_26[[#This Row],[AP01]:[AP06]])-SUM(ERP_26[[#This Row],[AP01 LE2]:[AP06 LE2]])</f>
        <v>-11391.72</v>
      </c>
      <c r="AR221" s="80"/>
      <c r="AS221" s="79">
        <f>ERP_26[[#This Row],[2026 Working Total to Budget/LE]]-ERP_26[[#This Row],[Giveback]]</f>
        <v>-11391.72</v>
      </c>
      <c r="AT221" s="81"/>
      <c r="AU221" s="375">
        <v>0.28000000000000003</v>
      </c>
      <c r="AV221" s="375">
        <v>-0.28000000000000003</v>
      </c>
      <c r="AW221" s="375"/>
      <c r="AX221" s="375"/>
      <c r="AY221" s="375"/>
      <c r="AZ221" s="375"/>
      <c r="BA221" s="375"/>
      <c r="BB221" s="375"/>
      <c r="BC221" s="375"/>
      <c r="BD221" s="375"/>
      <c r="BE221" s="375"/>
      <c r="BF221" s="375"/>
      <c r="BG221" s="375">
        <v>0</v>
      </c>
      <c r="BH221" s="79">
        <v>0.28000000000000003</v>
      </c>
      <c r="BI221" s="79">
        <v>-0.28000000000000003</v>
      </c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>
        <v>0</v>
      </c>
    </row>
    <row r="222" spans="1:72" ht="15" customHeight="1">
      <c r="A222" s="79" t="s">
        <v>2561</v>
      </c>
      <c r="B222" s="79"/>
      <c r="C222" s="79" t="s">
        <v>875</v>
      </c>
      <c r="D222" s="296" t="s">
        <v>2562</v>
      </c>
      <c r="E222" s="150" t="s">
        <v>1136</v>
      </c>
      <c r="F222" s="482" t="s">
        <v>1566</v>
      </c>
      <c r="G222" s="150" t="s">
        <v>1135</v>
      </c>
      <c r="H222" s="383" t="s">
        <v>1145</v>
      </c>
      <c r="I222" s="332" t="s">
        <v>1135</v>
      </c>
      <c r="J222" s="383" t="s">
        <v>1145</v>
      </c>
      <c r="K222" s="331" t="s">
        <v>1137</v>
      </c>
      <c r="L222" s="512" t="s">
        <v>639</v>
      </c>
      <c r="M222" s="393" t="s">
        <v>2563</v>
      </c>
      <c r="N222" s="343" t="s">
        <v>1167</v>
      </c>
      <c r="O222" s="150" t="s">
        <v>1186</v>
      </c>
      <c r="P222" s="91" t="s">
        <v>876</v>
      </c>
      <c r="Q222" s="343"/>
      <c r="R222" s="346" t="s">
        <v>2560</v>
      </c>
      <c r="S222" s="346" t="s">
        <v>2310</v>
      </c>
      <c r="T222" s="386" t="s">
        <v>874</v>
      </c>
      <c r="U222" s="346" t="s">
        <v>1779</v>
      </c>
      <c r="V222" s="437"/>
      <c r="W222" s="358">
        <v>-14353.4</v>
      </c>
      <c r="X222" s="378">
        <v>0</v>
      </c>
      <c r="Y222" s="425"/>
      <c r="Z222" s="71"/>
      <c r="AA222" s="433"/>
      <c r="AB222" s="434"/>
      <c r="AC222" s="434"/>
      <c r="AD222" s="428" t="s">
        <v>1142</v>
      </c>
      <c r="AE222" s="429">
        <v>0</v>
      </c>
      <c r="AF222" s="429">
        <v>0</v>
      </c>
      <c r="AG222" s="388">
        <v>0</v>
      </c>
      <c r="AH222" s="388">
        <v>0</v>
      </c>
      <c r="AI222" s="388">
        <v>0</v>
      </c>
      <c r="AJ222" s="388">
        <v>0</v>
      </c>
      <c r="AK222" s="388">
        <v>0</v>
      </c>
      <c r="AL222" s="388">
        <v>0</v>
      </c>
      <c r="AM222" s="360">
        <f t="shared" si="7"/>
        <v>0</v>
      </c>
      <c r="AN222" s="362">
        <f>ERP_26[[#This Row],[2026 Working Total]]-ERP_26[[#This Row],[LE2 Final Submission]]</f>
        <v>0</v>
      </c>
      <c r="AO222" s="79">
        <v>0</v>
      </c>
      <c r="AP222" s="79">
        <f t="shared" si="8"/>
        <v>0</v>
      </c>
      <c r="AQ222" s="374">
        <f>SUM(ERP_26[[#This Row],[AP01]:[AP06]])-SUM(ERP_26[[#This Row],[AP01 LE2]:[AP06 LE2]])</f>
        <v>0</v>
      </c>
      <c r="AR222" s="80"/>
      <c r="AS222" s="79">
        <f>ERP_26[[#This Row],[2026 Working Total to Budget/LE]]-ERP_26[[#This Row],[Giveback]]</f>
        <v>0</v>
      </c>
      <c r="AT222" s="81"/>
      <c r="AU222" s="375"/>
      <c r="AV222" s="375"/>
      <c r="AW222" s="375"/>
      <c r="AX222" s="375">
        <v>0</v>
      </c>
      <c r="AY222" s="375">
        <v>0</v>
      </c>
      <c r="AZ222" s="375">
        <v>0</v>
      </c>
      <c r="BA222" s="375">
        <v>0</v>
      </c>
      <c r="BB222" s="375">
        <v>0</v>
      </c>
      <c r="BC222" s="375">
        <v>0</v>
      </c>
      <c r="BD222" s="375">
        <v>0</v>
      </c>
      <c r="BE222" s="375">
        <v>0</v>
      </c>
      <c r="BF222" s="375">
        <v>0</v>
      </c>
      <c r="BG222" s="375">
        <v>0</v>
      </c>
      <c r="BH222" s="103">
        <v>-14353.4</v>
      </c>
      <c r="BI222" s="103">
        <v>0</v>
      </c>
      <c r="BJ222" s="103">
        <v>0</v>
      </c>
      <c r="BK222" s="103">
        <v>0</v>
      </c>
      <c r="BL222" s="103">
        <v>0</v>
      </c>
      <c r="BM222" s="103">
        <v>0</v>
      </c>
      <c r="BN222" s="103">
        <v>0</v>
      </c>
      <c r="BO222" s="103">
        <v>0</v>
      </c>
      <c r="BP222" s="103">
        <v>0</v>
      </c>
      <c r="BQ222" s="103">
        <v>0</v>
      </c>
      <c r="BR222" s="103">
        <v>0</v>
      </c>
      <c r="BS222" s="103">
        <v>0</v>
      </c>
      <c r="BT222" s="79">
        <f>SUM(ERP_26[[#This Row],[2026 AP01]:[2026 AP12]])</f>
        <v>-14353.4</v>
      </c>
    </row>
    <row r="223" spans="1:72" ht="15" customHeight="1">
      <c r="A223" s="66" t="s">
        <v>2564</v>
      </c>
      <c r="B223" s="66"/>
      <c r="C223" s="66" t="s">
        <v>877</v>
      </c>
      <c r="D223" s="66" t="s">
        <v>2565</v>
      </c>
      <c r="E223" s="150" t="s">
        <v>1136</v>
      </c>
      <c r="F223" s="482" t="s">
        <v>1566</v>
      </c>
      <c r="G223" s="150" t="s">
        <v>1135</v>
      </c>
      <c r="H223" s="150" t="s">
        <v>1145</v>
      </c>
      <c r="I223" s="150" t="s">
        <v>1135</v>
      </c>
      <c r="J223" s="150" t="s">
        <v>1145</v>
      </c>
      <c r="K223" s="150" t="s">
        <v>1137</v>
      </c>
      <c r="L223" s="511" t="s">
        <v>639</v>
      </c>
      <c r="M223" s="392" t="s">
        <v>2566</v>
      </c>
      <c r="N223" s="343"/>
      <c r="O223" s="343"/>
      <c r="P223" s="70" t="s">
        <v>878</v>
      </c>
      <c r="Q223" s="346"/>
      <c r="R223" s="343"/>
      <c r="S223" s="346"/>
      <c r="T223" s="150" t="s">
        <v>849</v>
      </c>
      <c r="U223" s="150"/>
      <c r="V223" s="403"/>
      <c r="W223" s="406">
        <v>4000</v>
      </c>
      <c r="X223" s="406">
        <v>4000</v>
      </c>
      <c r="Y223" s="425"/>
      <c r="Z223" s="71"/>
      <c r="AA223" s="426">
        <v>0.1</v>
      </c>
      <c r="AB223" s="427">
        <v>-0.1</v>
      </c>
      <c r="AC223" s="427"/>
      <c r="AD223" s="428">
        <v>0</v>
      </c>
      <c r="AE223" s="429">
        <v>0</v>
      </c>
      <c r="AF223" s="429">
        <v>0</v>
      </c>
      <c r="AG223" s="363">
        <v>4000</v>
      </c>
      <c r="AH223" s="360">
        <v>0</v>
      </c>
      <c r="AI223" s="360">
        <v>0</v>
      </c>
      <c r="AJ223" s="360">
        <v>0</v>
      </c>
      <c r="AK223" s="360">
        <v>0</v>
      </c>
      <c r="AL223" s="360">
        <v>0</v>
      </c>
      <c r="AM223" s="360">
        <f t="shared" si="7"/>
        <v>4000</v>
      </c>
      <c r="AN223" s="362">
        <f>ERP_26[[#This Row],[2026 Working Total]]-ERP_26[[#This Row],[LE2 Final Submission]]</f>
        <v>0</v>
      </c>
      <c r="AO223" s="79"/>
      <c r="AP223" s="79">
        <f t="shared" si="8"/>
        <v>0</v>
      </c>
      <c r="AQ223" s="374">
        <f>SUM(ERP_26[[#This Row],[AP01]:[AP06]])-SUM(ERP_26[[#This Row],[AP01 LE2]:[AP06 LE2]])</f>
        <v>-2000</v>
      </c>
      <c r="AR223" s="80"/>
      <c r="AS223" s="79">
        <f>ERP_26[[#This Row],[2026 Working Total to Budget/LE]]-ERP_26[[#This Row],[Giveback]]</f>
        <v>0</v>
      </c>
      <c r="AT223" s="81"/>
      <c r="AU223" s="375">
        <v>0.1</v>
      </c>
      <c r="AV223" s="375">
        <v>-0.1</v>
      </c>
      <c r="AW223" s="375"/>
      <c r="AX223" s="375"/>
      <c r="AY223" s="375"/>
      <c r="AZ223" s="375">
        <v>2000</v>
      </c>
      <c r="BA223" s="375">
        <v>2000</v>
      </c>
      <c r="BB223" s="375">
        <v>0</v>
      </c>
      <c r="BC223" s="375">
        <v>0</v>
      </c>
      <c r="BD223" s="375">
        <v>0</v>
      </c>
      <c r="BE223" s="375">
        <v>0</v>
      </c>
      <c r="BF223" s="375">
        <v>0</v>
      </c>
      <c r="BG223" s="375">
        <v>4000</v>
      </c>
      <c r="BH223" s="79">
        <v>0.1</v>
      </c>
      <c r="BI223" s="79">
        <v>-0.1</v>
      </c>
      <c r="BJ223" s="79"/>
      <c r="BK223" s="79"/>
      <c r="BL223" s="79"/>
      <c r="BM223" s="79">
        <v>2000</v>
      </c>
      <c r="BN223" s="79">
        <v>2000</v>
      </c>
      <c r="BO223" s="79">
        <v>0</v>
      </c>
      <c r="BP223" s="79">
        <v>0</v>
      </c>
      <c r="BQ223" s="79">
        <v>0</v>
      </c>
      <c r="BR223" s="79">
        <v>0</v>
      </c>
      <c r="BS223" s="79">
        <v>0</v>
      </c>
      <c r="BT223" s="79">
        <v>4000</v>
      </c>
    </row>
    <row r="224" spans="1:72" ht="15" customHeight="1">
      <c r="A224" s="66" t="s">
        <v>2567</v>
      </c>
      <c r="B224" s="66"/>
      <c r="C224" s="66" t="s">
        <v>879</v>
      </c>
      <c r="D224" s="66" t="s">
        <v>879</v>
      </c>
      <c r="E224" s="150" t="s">
        <v>1136</v>
      </c>
      <c r="F224" s="482" t="s">
        <v>1566</v>
      </c>
      <c r="G224" s="150" t="s">
        <v>1135</v>
      </c>
      <c r="H224" s="150" t="s">
        <v>1135</v>
      </c>
      <c r="I224" s="150" t="s">
        <v>1135</v>
      </c>
      <c r="J224" s="150" t="s">
        <v>1135</v>
      </c>
      <c r="K224" s="150" t="s">
        <v>1137</v>
      </c>
      <c r="L224" s="511" t="s">
        <v>639</v>
      </c>
      <c r="M224" s="392" t="s">
        <v>2568</v>
      </c>
      <c r="N224" s="343"/>
      <c r="O224" s="343"/>
      <c r="P224" s="70" t="s">
        <v>880</v>
      </c>
      <c r="Q224" s="346"/>
      <c r="R224" s="346" t="s">
        <v>2569</v>
      </c>
      <c r="S224" s="346"/>
      <c r="T224" s="150" t="s">
        <v>64</v>
      </c>
      <c r="U224" s="150"/>
      <c r="V224" s="403"/>
      <c r="W224" s="406">
        <v>144819</v>
      </c>
      <c r="X224" s="406">
        <v>144819</v>
      </c>
      <c r="Y224" s="430"/>
      <c r="Z224" s="137"/>
      <c r="AA224" s="426"/>
      <c r="AB224" s="427"/>
      <c r="AC224" s="427"/>
      <c r="AD224" s="428" t="s">
        <v>1142</v>
      </c>
      <c r="AE224" s="429">
        <v>0</v>
      </c>
      <c r="AF224" s="429">
        <v>159302.39999999999</v>
      </c>
      <c r="AG224" s="360">
        <v>0</v>
      </c>
      <c r="AH224" s="360">
        <v>0</v>
      </c>
      <c r="AI224" s="360">
        <v>0</v>
      </c>
      <c r="AJ224" s="360">
        <v>0</v>
      </c>
      <c r="AK224" s="360">
        <v>0</v>
      </c>
      <c r="AL224" s="360">
        <v>0</v>
      </c>
      <c r="AM224" s="360">
        <f t="shared" si="7"/>
        <v>159302.39999999999</v>
      </c>
      <c r="AN224" s="362">
        <f>ERP_26[[#This Row],[2026 Working Total]]-ERP_26[[#This Row],[LE2 Final Submission]]</f>
        <v>14483.399999999994</v>
      </c>
      <c r="AO224" s="79">
        <v>144819</v>
      </c>
      <c r="AP224" s="79">
        <f t="shared" si="8"/>
        <v>14483.399999999994</v>
      </c>
      <c r="AQ224" s="374">
        <f>SUM(ERP_26[[#This Row],[AP01]:[AP06]])-SUM(ERP_26[[#This Row],[AP01 LE2]:[AP06 LE2]])</f>
        <v>14483.399999999994</v>
      </c>
      <c r="AR224" s="80"/>
      <c r="AS224" s="79">
        <f>ERP_26[[#This Row],[2026 Working Total to Budget/LE]]-ERP_26[[#This Row],[Giveback]]</f>
        <v>14483.399999999994</v>
      </c>
      <c r="AT224" s="81"/>
      <c r="AU224" s="375"/>
      <c r="AV224" s="375"/>
      <c r="AW224" s="375"/>
      <c r="AX224" s="375"/>
      <c r="AY224" s="375">
        <v>144819</v>
      </c>
      <c r="AZ224" s="375">
        <v>0</v>
      </c>
      <c r="BA224" s="375">
        <v>0</v>
      </c>
      <c r="BB224" s="375">
        <v>0</v>
      </c>
      <c r="BC224" s="375">
        <v>0</v>
      </c>
      <c r="BD224" s="375">
        <v>0</v>
      </c>
      <c r="BE224" s="375">
        <v>0</v>
      </c>
      <c r="BF224" s="375">
        <v>0</v>
      </c>
      <c r="BG224" s="375">
        <v>144819</v>
      </c>
      <c r="BH224" s="79"/>
      <c r="BI224" s="79"/>
      <c r="BJ224" s="79"/>
      <c r="BK224" s="79">
        <v>144819</v>
      </c>
      <c r="BL224" s="79">
        <v>0</v>
      </c>
      <c r="BM224" s="79">
        <v>0</v>
      </c>
      <c r="BN224" s="79">
        <v>0</v>
      </c>
      <c r="BO224" s="79">
        <v>0</v>
      </c>
      <c r="BP224" s="79">
        <v>0</v>
      </c>
      <c r="BQ224" s="79">
        <v>0</v>
      </c>
      <c r="BR224" s="79">
        <v>0</v>
      </c>
      <c r="BS224" s="79">
        <v>0</v>
      </c>
      <c r="BT224" s="79">
        <v>144819</v>
      </c>
    </row>
    <row r="225" spans="1:72" ht="15" customHeight="1">
      <c r="A225" s="79" t="s">
        <v>2570</v>
      </c>
      <c r="B225" s="79"/>
      <c r="C225" s="79" t="s">
        <v>881</v>
      </c>
      <c r="D225" s="296" t="s">
        <v>881</v>
      </c>
      <c r="E225" s="150" t="s">
        <v>1136</v>
      </c>
      <c r="F225" s="482" t="s">
        <v>1566</v>
      </c>
      <c r="G225" s="150" t="s">
        <v>1135</v>
      </c>
      <c r="H225" s="150" t="s">
        <v>1135</v>
      </c>
      <c r="I225" s="332" t="s">
        <v>1135</v>
      </c>
      <c r="J225" s="383" t="s">
        <v>1135</v>
      </c>
      <c r="K225" s="331" t="s">
        <v>1137</v>
      </c>
      <c r="L225" s="512" t="s">
        <v>639</v>
      </c>
      <c r="M225" s="393" t="s">
        <v>2571</v>
      </c>
      <c r="N225" s="343" t="s">
        <v>2572</v>
      </c>
      <c r="O225" s="150" t="s">
        <v>1171</v>
      </c>
      <c r="P225" s="91" t="s">
        <v>882</v>
      </c>
      <c r="Q225" s="343"/>
      <c r="R225" s="346" t="s">
        <v>2329</v>
      </c>
      <c r="S225" s="346" t="s">
        <v>1710</v>
      </c>
      <c r="T225" s="386" t="s">
        <v>883</v>
      </c>
      <c r="U225" s="346" t="s">
        <v>1779</v>
      </c>
      <c r="V225" s="437"/>
      <c r="W225" s="358">
        <v>64566</v>
      </c>
      <c r="X225" s="378">
        <v>0</v>
      </c>
      <c r="Y225" s="425"/>
      <c r="Z225" s="71"/>
      <c r="AA225" s="433"/>
      <c r="AB225" s="434"/>
      <c r="AC225" s="434"/>
      <c r="AD225" s="428">
        <v>0</v>
      </c>
      <c r="AE225" s="429">
        <v>0</v>
      </c>
      <c r="AF225" s="429">
        <v>0</v>
      </c>
      <c r="AG225" s="388">
        <v>0</v>
      </c>
      <c r="AH225" s="388">
        <v>0</v>
      </c>
      <c r="AI225" s="388">
        <v>0</v>
      </c>
      <c r="AJ225" s="388">
        <v>0</v>
      </c>
      <c r="AK225" s="388">
        <v>0</v>
      </c>
      <c r="AL225" s="388">
        <v>0</v>
      </c>
      <c r="AM225" s="360">
        <f t="shared" si="7"/>
        <v>0</v>
      </c>
      <c r="AN225" s="362">
        <f>ERP_26[[#This Row],[2026 Working Total]]-ERP_26[[#This Row],[LE2 Final Submission]]</f>
        <v>0</v>
      </c>
      <c r="AO225" s="79">
        <v>0</v>
      </c>
      <c r="AP225" s="79">
        <f t="shared" si="8"/>
        <v>0</v>
      </c>
      <c r="AQ225" s="374">
        <f>SUM(ERP_26[[#This Row],[AP01]:[AP06]])-SUM(ERP_26[[#This Row],[AP01 LE2]:[AP06 LE2]])</f>
        <v>0</v>
      </c>
      <c r="AR225" s="80"/>
      <c r="AS225" s="79">
        <f>ERP_26[[#This Row],[2026 Working Total to Budget/LE]]-ERP_26[[#This Row],[Giveback]]</f>
        <v>0</v>
      </c>
      <c r="AT225" s="81"/>
      <c r="AU225" s="375"/>
      <c r="AV225" s="375"/>
      <c r="AW225" s="375"/>
      <c r="AX225" s="375">
        <v>0</v>
      </c>
      <c r="AY225" s="375">
        <v>0</v>
      </c>
      <c r="AZ225" s="375">
        <v>0</v>
      </c>
      <c r="BA225" s="375">
        <v>0</v>
      </c>
      <c r="BB225" s="375">
        <v>0</v>
      </c>
      <c r="BC225" s="375">
        <v>0</v>
      </c>
      <c r="BD225" s="375">
        <v>0</v>
      </c>
      <c r="BE225" s="375">
        <v>0</v>
      </c>
      <c r="BF225" s="375">
        <v>0</v>
      </c>
      <c r="BG225" s="375">
        <v>0</v>
      </c>
      <c r="BH225" s="103">
        <v>64566</v>
      </c>
      <c r="BI225" s="103">
        <v>0</v>
      </c>
      <c r="BJ225" s="103">
        <v>0</v>
      </c>
      <c r="BK225" s="103">
        <v>0</v>
      </c>
      <c r="BL225" s="103">
        <v>0</v>
      </c>
      <c r="BM225" s="103">
        <v>0</v>
      </c>
      <c r="BN225" s="103">
        <v>0</v>
      </c>
      <c r="BO225" s="103">
        <v>0</v>
      </c>
      <c r="BP225" s="103">
        <v>0</v>
      </c>
      <c r="BQ225" s="103">
        <v>0</v>
      </c>
      <c r="BR225" s="103">
        <v>0</v>
      </c>
      <c r="BS225" s="103">
        <v>0</v>
      </c>
      <c r="BT225" s="79">
        <f>SUM(ERP_26[[#This Row],[2026 AP01]:[2026 AP12]])</f>
        <v>64566</v>
      </c>
    </row>
    <row r="226" spans="1:72" ht="15" customHeight="1">
      <c r="A226" s="79" t="s">
        <v>2573</v>
      </c>
      <c r="B226" s="79"/>
      <c r="C226" s="79" t="s">
        <v>884</v>
      </c>
      <c r="D226" s="296" t="s">
        <v>884</v>
      </c>
      <c r="E226" s="150" t="s">
        <v>1136</v>
      </c>
      <c r="F226" s="482" t="s">
        <v>1566</v>
      </c>
      <c r="G226" s="150" t="s">
        <v>1135</v>
      </c>
      <c r="H226" s="150" t="s">
        <v>1135</v>
      </c>
      <c r="I226" s="332" t="s">
        <v>1135</v>
      </c>
      <c r="J226" s="382" t="s">
        <v>1135</v>
      </c>
      <c r="K226" s="331" t="s">
        <v>1137</v>
      </c>
      <c r="L226" s="512" t="s">
        <v>639</v>
      </c>
      <c r="M226" s="394" t="s">
        <v>2574</v>
      </c>
      <c r="N226" s="343" t="s">
        <v>2572</v>
      </c>
      <c r="O226" s="150" t="s">
        <v>1171</v>
      </c>
      <c r="P226" s="122" t="s">
        <v>885</v>
      </c>
      <c r="Q226" s="343"/>
      <c r="R226" s="346" t="s">
        <v>2329</v>
      </c>
      <c r="S226" s="346" t="s">
        <v>1710</v>
      </c>
      <c r="T226" s="384" t="s">
        <v>883</v>
      </c>
      <c r="U226" s="346" t="s">
        <v>2499</v>
      </c>
      <c r="V226" s="437"/>
      <c r="W226" s="358">
        <v>-64566</v>
      </c>
      <c r="X226" s="378">
        <v>0</v>
      </c>
      <c r="Y226" s="425"/>
      <c r="Z226" s="71"/>
      <c r="AA226" s="433"/>
      <c r="AB226" s="434"/>
      <c r="AC226" s="434"/>
      <c r="AD226" s="428" t="s">
        <v>1142</v>
      </c>
      <c r="AE226" s="429">
        <v>0</v>
      </c>
      <c r="AF226" s="429">
        <v>0</v>
      </c>
      <c r="AG226" s="388">
        <v>0</v>
      </c>
      <c r="AH226" s="388">
        <v>0</v>
      </c>
      <c r="AI226" s="388">
        <v>0</v>
      </c>
      <c r="AJ226" s="388">
        <v>0</v>
      </c>
      <c r="AK226" s="388">
        <v>0</v>
      </c>
      <c r="AL226" s="388">
        <v>0</v>
      </c>
      <c r="AM226" s="360">
        <f t="shared" si="7"/>
        <v>0</v>
      </c>
      <c r="AN226" s="362">
        <f>ERP_26[[#This Row],[2026 Working Total]]-ERP_26[[#This Row],[LE2 Final Submission]]</f>
        <v>0</v>
      </c>
      <c r="AO226" s="79">
        <v>0</v>
      </c>
      <c r="AP226" s="79">
        <f t="shared" si="8"/>
        <v>0</v>
      </c>
      <c r="AQ226" s="374">
        <f>SUM(ERP_26[[#This Row],[AP01]:[AP06]])-SUM(ERP_26[[#This Row],[AP01 LE2]:[AP06 LE2]])</f>
        <v>0</v>
      </c>
      <c r="AR226" s="80"/>
      <c r="AS226" s="79">
        <f>ERP_26[[#This Row],[2026 Working Total to Budget/LE]]-ERP_26[[#This Row],[Giveback]]</f>
        <v>0</v>
      </c>
      <c r="AT226" s="81"/>
      <c r="AU226" s="375"/>
      <c r="AV226" s="375"/>
      <c r="AW226" s="375"/>
      <c r="AX226" s="375">
        <v>0</v>
      </c>
      <c r="AY226" s="375">
        <v>0</v>
      </c>
      <c r="AZ226" s="375">
        <v>0</v>
      </c>
      <c r="BA226" s="375">
        <v>0</v>
      </c>
      <c r="BB226" s="375">
        <v>0</v>
      </c>
      <c r="BC226" s="375">
        <v>0</v>
      </c>
      <c r="BD226" s="375">
        <v>0</v>
      </c>
      <c r="BE226" s="375">
        <v>0</v>
      </c>
      <c r="BF226" s="375">
        <v>0</v>
      </c>
      <c r="BG226" s="375">
        <v>0</v>
      </c>
      <c r="BH226" s="103">
        <v>-64566</v>
      </c>
      <c r="BI226" s="103">
        <v>0</v>
      </c>
      <c r="BJ226" s="103">
        <v>0</v>
      </c>
      <c r="BK226" s="103">
        <v>0</v>
      </c>
      <c r="BL226" s="103">
        <v>0</v>
      </c>
      <c r="BM226" s="103">
        <v>0</v>
      </c>
      <c r="BN226" s="103">
        <v>0</v>
      </c>
      <c r="BO226" s="103">
        <v>0</v>
      </c>
      <c r="BP226" s="103">
        <v>0</v>
      </c>
      <c r="BQ226" s="103">
        <v>0</v>
      </c>
      <c r="BR226" s="103">
        <v>0</v>
      </c>
      <c r="BS226" s="103">
        <v>0</v>
      </c>
      <c r="BT226" s="79">
        <f>SUM(ERP_26[[#This Row],[2026 AP01]:[2026 AP12]])</f>
        <v>-64566</v>
      </c>
    </row>
    <row r="227" spans="1:72" ht="15" customHeight="1">
      <c r="A227" s="66" t="s">
        <v>2575</v>
      </c>
      <c r="B227" s="66"/>
      <c r="C227" s="66" t="s">
        <v>886</v>
      </c>
      <c r="D227" s="66" t="s">
        <v>886</v>
      </c>
      <c r="E227" s="150" t="s">
        <v>1136</v>
      </c>
      <c r="F227" s="482" t="s">
        <v>1566</v>
      </c>
      <c r="G227" s="150" t="s">
        <v>1135</v>
      </c>
      <c r="H227" s="150" t="s">
        <v>1135</v>
      </c>
      <c r="I227" s="150" t="s">
        <v>1135</v>
      </c>
      <c r="J227" s="150" t="s">
        <v>1135</v>
      </c>
      <c r="K227" s="150" t="s">
        <v>1137</v>
      </c>
      <c r="L227" s="511" t="s">
        <v>639</v>
      </c>
      <c r="M227" s="392" t="s">
        <v>2576</v>
      </c>
      <c r="N227" s="343" t="s">
        <v>2577</v>
      </c>
      <c r="O227" s="346" t="s">
        <v>1171</v>
      </c>
      <c r="P227" s="70" t="s">
        <v>887</v>
      </c>
      <c r="Q227" s="346"/>
      <c r="R227" s="346" t="s">
        <v>2578</v>
      </c>
      <c r="S227" s="346"/>
      <c r="T227" s="150" t="s">
        <v>64</v>
      </c>
      <c r="U227" s="150"/>
      <c r="V227" s="403"/>
      <c r="W227" s="406">
        <v>0</v>
      </c>
      <c r="X227" s="406">
        <v>5298.95</v>
      </c>
      <c r="Y227" s="430"/>
      <c r="Z227" s="137"/>
      <c r="AA227" s="426"/>
      <c r="AB227" s="427"/>
      <c r="AC227" s="427">
        <v>5298.95</v>
      </c>
      <c r="AD227" s="428">
        <v>0</v>
      </c>
      <c r="AE227" s="429">
        <v>0</v>
      </c>
      <c r="AF227" s="429">
        <v>0</v>
      </c>
      <c r="AG227" s="360">
        <v>0</v>
      </c>
      <c r="AH227" s="360">
        <v>0</v>
      </c>
      <c r="AI227" s="360">
        <v>0</v>
      </c>
      <c r="AJ227" s="360">
        <v>0</v>
      </c>
      <c r="AK227" s="360">
        <v>0</v>
      </c>
      <c r="AL227" s="360">
        <v>0</v>
      </c>
      <c r="AM227" s="360">
        <f t="shared" si="7"/>
        <v>5298.95</v>
      </c>
      <c r="AN227" s="362">
        <f>ERP_26[[#This Row],[2026 Working Total]]-ERP_26[[#This Row],[LE2 Final Submission]]</f>
        <v>0</v>
      </c>
      <c r="AO227" s="79">
        <v>0</v>
      </c>
      <c r="AP227" s="79">
        <f t="shared" si="8"/>
        <v>0</v>
      </c>
      <c r="AQ227" s="374">
        <f>SUM(ERP_26[[#This Row],[AP01]:[AP06]])-SUM(ERP_26[[#This Row],[AP01 LE2]:[AP06 LE2]])</f>
        <v>0</v>
      </c>
      <c r="AR227" s="80"/>
      <c r="AS227" s="79">
        <f>ERP_26[[#This Row],[2026 Working Total to Budget/LE]]-ERP_26[[#This Row],[Giveback]]</f>
        <v>0</v>
      </c>
      <c r="AT227" s="81"/>
      <c r="AU227" s="375"/>
      <c r="AV227" s="375"/>
      <c r="AW227" s="375">
        <v>5298.95</v>
      </c>
      <c r="AX227" s="375">
        <v>0</v>
      </c>
      <c r="AY227" s="375">
        <v>0</v>
      </c>
      <c r="AZ227" s="375">
        <v>0</v>
      </c>
      <c r="BA227" s="375">
        <v>0</v>
      </c>
      <c r="BB227" s="375">
        <v>0</v>
      </c>
      <c r="BC227" s="375">
        <v>0</v>
      </c>
      <c r="BD227" s="375">
        <v>0</v>
      </c>
      <c r="BE227" s="375">
        <v>0</v>
      </c>
      <c r="BF227" s="375">
        <v>0</v>
      </c>
      <c r="BG227" s="375">
        <v>5298.95</v>
      </c>
      <c r="BH227" s="79"/>
      <c r="BI227" s="79"/>
      <c r="BJ227" s="79">
        <v>5298.95</v>
      </c>
      <c r="BK227" s="79">
        <v>0</v>
      </c>
      <c r="BL227" s="79">
        <v>0</v>
      </c>
      <c r="BM227" s="79">
        <v>0</v>
      </c>
      <c r="BN227" s="79">
        <v>0</v>
      </c>
      <c r="BO227" s="79">
        <v>0</v>
      </c>
      <c r="BP227" s="79">
        <v>0</v>
      </c>
      <c r="BQ227" s="79">
        <v>0</v>
      </c>
      <c r="BR227" s="79">
        <v>0</v>
      </c>
      <c r="BS227" s="79">
        <v>0</v>
      </c>
      <c r="BT227" s="79">
        <v>5298.95</v>
      </c>
    </row>
    <row r="228" spans="1:72" ht="15" customHeight="1">
      <c r="A228" s="66" t="s">
        <v>2579</v>
      </c>
      <c r="B228" s="66"/>
      <c r="C228" s="66" t="s">
        <v>888</v>
      </c>
      <c r="D228" s="66" t="s">
        <v>2580</v>
      </c>
      <c r="E228" s="150" t="s">
        <v>1136</v>
      </c>
      <c r="F228" s="482" t="s">
        <v>1566</v>
      </c>
      <c r="G228" s="150" t="s">
        <v>1135</v>
      </c>
      <c r="H228" s="150" t="s">
        <v>1145</v>
      </c>
      <c r="I228" s="150" t="s">
        <v>1135</v>
      </c>
      <c r="J228" s="150" t="s">
        <v>1145</v>
      </c>
      <c r="K228" s="150" t="s">
        <v>1137</v>
      </c>
      <c r="L228" s="511" t="s">
        <v>639</v>
      </c>
      <c r="M228" s="392" t="s">
        <v>2581</v>
      </c>
      <c r="N228" s="343"/>
      <c r="O228" s="343"/>
      <c r="P228" s="70" t="s">
        <v>889</v>
      </c>
      <c r="Q228" s="346"/>
      <c r="R228" s="343"/>
      <c r="S228" s="346"/>
      <c r="T228" s="150" t="s">
        <v>25</v>
      </c>
      <c r="U228" s="150"/>
      <c r="V228" s="403"/>
      <c r="W228" s="406">
        <v>1190.6600000000001</v>
      </c>
      <c r="X228" s="406">
        <v>1190.6600000000001</v>
      </c>
      <c r="Y228" s="425"/>
      <c r="Z228" s="71"/>
      <c r="AA228" s="426"/>
      <c r="AB228" s="427"/>
      <c r="AC228" s="427"/>
      <c r="AD228" s="428" t="s">
        <v>1142</v>
      </c>
      <c r="AE228" s="429">
        <v>0</v>
      </c>
      <c r="AF228" s="429">
        <v>0</v>
      </c>
      <c r="AG228" s="360">
        <v>0</v>
      </c>
      <c r="AH228" s="360">
        <v>0</v>
      </c>
      <c r="AI228" s="360">
        <v>0</v>
      </c>
      <c r="AJ228" s="360">
        <v>0</v>
      </c>
      <c r="AK228" s="360">
        <v>0</v>
      </c>
      <c r="AL228" s="360">
        <v>0</v>
      </c>
      <c r="AM228" s="360">
        <f t="shared" si="7"/>
        <v>0</v>
      </c>
      <c r="AN228" s="362">
        <f>ERP_26[[#This Row],[2026 Working Total]]-ERP_26[[#This Row],[LE2 Final Submission]]</f>
        <v>-1190.6600000000001</v>
      </c>
      <c r="AO228" s="79"/>
      <c r="AP228" s="79">
        <f t="shared" si="8"/>
        <v>0</v>
      </c>
      <c r="AQ228" s="374">
        <f>SUM(ERP_26[[#This Row],[AP01]:[AP06]])-SUM(ERP_26[[#This Row],[AP01 LE2]:[AP06 LE2]])</f>
        <v>-1190.6600000000001</v>
      </c>
      <c r="AR228" s="80"/>
      <c r="AS228" s="79">
        <f>ERP_26[[#This Row],[2026 Working Total to Budget/LE]]-ERP_26[[#This Row],[Giveback]]</f>
        <v>-1190.6600000000001</v>
      </c>
      <c r="AT228" s="81"/>
      <c r="AU228" s="375"/>
      <c r="AV228" s="375"/>
      <c r="AW228" s="375"/>
      <c r="AX228" s="375"/>
      <c r="AY228" s="375"/>
      <c r="AZ228" s="375">
        <v>1190.6600000000001</v>
      </c>
      <c r="BA228" s="375">
        <v>0</v>
      </c>
      <c r="BB228" s="375">
        <v>0</v>
      </c>
      <c r="BC228" s="375">
        <v>0</v>
      </c>
      <c r="BD228" s="375">
        <v>0</v>
      </c>
      <c r="BE228" s="375">
        <v>0</v>
      </c>
      <c r="BF228" s="375">
        <v>0</v>
      </c>
      <c r="BG228" s="375">
        <v>1190.6600000000001</v>
      </c>
      <c r="BH228" s="79"/>
      <c r="BI228" s="79"/>
      <c r="BJ228" s="79"/>
      <c r="BK228" s="79"/>
      <c r="BL228" s="79"/>
      <c r="BM228" s="79">
        <v>1190.6600000000001</v>
      </c>
      <c r="BN228" s="79">
        <v>0</v>
      </c>
      <c r="BO228" s="79">
        <v>0</v>
      </c>
      <c r="BP228" s="79">
        <v>0</v>
      </c>
      <c r="BQ228" s="79">
        <v>0</v>
      </c>
      <c r="BR228" s="79">
        <v>0</v>
      </c>
      <c r="BS228" s="79">
        <v>0</v>
      </c>
      <c r="BT228" s="79">
        <v>1190.6600000000001</v>
      </c>
    </row>
    <row r="229" spans="1:72" ht="15" customHeight="1">
      <c r="A229" s="66" t="s">
        <v>2582</v>
      </c>
      <c r="B229" s="66"/>
      <c r="C229" s="66" t="s">
        <v>890</v>
      </c>
      <c r="D229" s="66" t="s">
        <v>2583</v>
      </c>
      <c r="E229" s="150" t="s">
        <v>1136</v>
      </c>
      <c r="F229" s="482" t="s">
        <v>1566</v>
      </c>
      <c r="G229" s="150" t="s">
        <v>1135</v>
      </c>
      <c r="H229" s="150" t="s">
        <v>1165</v>
      </c>
      <c r="I229" s="150" t="s">
        <v>1135</v>
      </c>
      <c r="J229" s="150" t="s">
        <v>1165</v>
      </c>
      <c r="K229" s="150" t="s">
        <v>1137</v>
      </c>
      <c r="L229" s="511" t="s">
        <v>639</v>
      </c>
      <c r="M229" s="392" t="s">
        <v>1952</v>
      </c>
      <c r="N229" s="343"/>
      <c r="O229" s="343"/>
      <c r="P229" s="70" t="s">
        <v>489</v>
      </c>
      <c r="Q229" s="346" t="s">
        <v>1153</v>
      </c>
      <c r="R229" s="343"/>
      <c r="S229" s="346"/>
      <c r="T229" s="150" t="s">
        <v>490</v>
      </c>
      <c r="U229" s="150"/>
      <c r="V229" s="403"/>
      <c r="W229" s="406">
        <v>23000</v>
      </c>
      <c r="X229" s="406">
        <v>21098.22</v>
      </c>
      <c r="Y229" s="425"/>
      <c r="Z229" s="71"/>
      <c r="AA229" s="426"/>
      <c r="AB229" s="427"/>
      <c r="AC229" s="427">
        <v>21098.22</v>
      </c>
      <c r="AD229" s="428">
        <v>0</v>
      </c>
      <c r="AE229" s="429">
        <v>0</v>
      </c>
      <c r="AF229" s="429">
        <v>0</v>
      </c>
      <c r="AG229" s="360">
        <v>0</v>
      </c>
      <c r="AH229" s="360">
        <v>0</v>
      </c>
      <c r="AI229" s="360">
        <v>0</v>
      </c>
      <c r="AJ229" s="360">
        <v>0</v>
      </c>
      <c r="AK229" s="360">
        <v>0</v>
      </c>
      <c r="AL229" s="360">
        <v>0</v>
      </c>
      <c r="AM229" s="360">
        <f t="shared" si="7"/>
        <v>21098.22</v>
      </c>
      <c r="AN229" s="362">
        <f>ERP_26[[#This Row],[2026 Working Total]]-ERP_26[[#This Row],[LE2 Final Submission]]</f>
        <v>0</v>
      </c>
      <c r="AO229" s="79">
        <v>0</v>
      </c>
      <c r="AP229" s="79">
        <f t="shared" si="8"/>
        <v>0</v>
      </c>
      <c r="AQ229" s="374">
        <f>SUM(ERP_26[[#This Row],[AP01]:[AP06]])-SUM(ERP_26[[#This Row],[AP01 LE2]:[AP06 LE2]])</f>
        <v>0</v>
      </c>
      <c r="AR229" s="80"/>
      <c r="AS229" s="79">
        <f>ERP_26[[#This Row],[2026 Working Total to Budget/LE]]-ERP_26[[#This Row],[Giveback]]</f>
        <v>0</v>
      </c>
      <c r="AT229" s="81"/>
      <c r="AU229" s="375"/>
      <c r="AV229" s="375"/>
      <c r="AW229" s="375">
        <v>21098.22</v>
      </c>
      <c r="AX229" s="375">
        <v>0</v>
      </c>
      <c r="AY229" s="375">
        <v>0</v>
      </c>
      <c r="AZ229" s="375">
        <v>0</v>
      </c>
      <c r="BA229" s="375">
        <v>0</v>
      </c>
      <c r="BB229" s="375">
        <v>0</v>
      </c>
      <c r="BC229" s="375">
        <v>0</v>
      </c>
      <c r="BD229" s="375">
        <v>0</v>
      </c>
      <c r="BE229" s="375">
        <v>0</v>
      </c>
      <c r="BF229" s="375">
        <v>0</v>
      </c>
      <c r="BG229" s="375">
        <v>21098.22</v>
      </c>
      <c r="BH229" s="79"/>
      <c r="BI229" s="79"/>
      <c r="BJ229" s="79">
        <v>21098.22</v>
      </c>
      <c r="BK229" s="79">
        <v>21098.22</v>
      </c>
      <c r="BL229" s="79">
        <v>0</v>
      </c>
      <c r="BM229" s="79">
        <v>0</v>
      </c>
      <c r="BN229" s="79">
        <v>0</v>
      </c>
      <c r="BO229" s="79">
        <v>0</v>
      </c>
      <c r="BP229" s="79">
        <v>0</v>
      </c>
      <c r="BQ229" s="79">
        <v>0</v>
      </c>
      <c r="BR229" s="79">
        <v>0</v>
      </c>
      <c r="BS229" s="79">
        <v>0</v>
      </c>
      <c r="BT229" s="79">
        <v>42196.44</v>
      </c>
    </row>
    <row r="230" spans="1:72" ht="15" customHeight="1">
      <c r="A230" s="66" t="s">
        <v>2584</v>
      </c>
      <c r="B230" s="66"/>
      <c r="C230" s="66" t="s">
        <v>891</v>
      </c>
      <c r="D230" s="66" t="s">
        <v>2585</v>
      </c>
      <c r="E230" s="150" t="s">
        <v>1136</v>
      </c>
      <c r="F230" s="482" t="s">
        <v>1566</v>
      </c>
      <c r="G230" s="150" t="s">
        <v>1135</v>
      </c>
      <c r="H230" s="150" t="s">
        <v>1165</v>
      </c>
      <c r="I230" s="150" t="s">
        <v>1135</v>
      </c>
      <c r="J230" s="150" t="s">
        <v>1165</v>
      </c>
      <c r="K230" s="150" t="s">
        <v>1137</v>
      </c>
      <c r="L230" s="511" t="s">
        <v>639</v>
      </c>
      <c r="M230" s="392" t="s">
        <v>2586</v>
      </c>
      <c r="N230" s="343"/>
      <c r="O230" s="343"/>
      <c r="P230" s="70" t="s">
        <v>892</v>
      </c>
      <c r="Q230" s="346"/>
      <c r="R230" s="343"/>
      <c r="S230" s="346"/>
      <c r="T230" s="150" t="s">
        <v>490</v>
      </c>
      <c r="U230" s="150"/>
      <c r="V230" s="403"/>
      <c r="W230" s="406">
        <v>35569</v>
      </c>
      <c r="X230" s="406">
        <v>35569</v>
      </c>
      <c r="Y230" s="425"/>
      <c r="Z230" s="71"/>
      <c r="AA230" s="426"/>
      <c r="AB230" s="427"/>
      <c r="AC230" s="427"/>
      <c r="AD230" s="428" t="s">
        <v>1142</v>
      </c>
      <c r="AE230" s="429">
        <v>0</v>
      </c>
      <c r="AF230" s="429">
        <v>0</v>
      </c>
      <c r="AG230" s="360"/>
      <c r="AH230" s="360">
        <v>35569</v>
      </c>
      <c r="AI230" s="360">
        <v>0</v>
      </c>
      <c r="AJ230" s="360">
        <v>0</v>
      </c>
      <c r="AK230" s="360">
        <v>0</v>
      </c>
      <c r="AL230" s="360">
        <v>0</v>
      </c>
      <c r="AM230" s="360">
        <f t="shared" si="7"/>
        <v>35569</v>
      </c>
      <c r="AN230" s="362">
        <f>ERP_26[[#This Row],[2026 Working Total]]-ERP_26[[#This Row],[LE2 Final Submission]]</f>
        <v>0</v>
      </c>
      <c r="AO230" s="79"/>
      <c r="AP230" s="79">
        <f t="shared" si="8"/>
        <v>0</v>
      </c>
      <c r="AQ230" s="374">
        <f>SUM(ERP_26[[#This Row],[AP01]:[AP06]])-SUM(ERP_26[[#This Row],[AP01 LE2]:[AP06 LE2]])</f>
        <v>-35569</v>
      </c>
      <c r="AR230" s="80"/>
      <c r="AS230" s="79">
        <f>ERP_26[[#This Row],[2026 Working Total to Budget/LE]]-ERP_26[[#This Row],[Giveback]]</f>
        <v>0</v>
      </c>
      <c r="AT230" s="81"/>
      <c r="AU230" s="375"/>
      <c r="AV230" s="375"/>
      <c r="AW230" s="375"/>
      <c r="AX230" s="375"/>
      <c r="AY230" s="375"/>
      <c r="AZ230" s="375">
        <v>35569</v>
      </c>
      <c r="BA230" s="375">
        <v>0</v>
      </c>
      <c r="BB230" s="375">
        <v>0</v>
      </c>
      <c r="BC230" s="375">
        <v>0</v>
      </c>
      <c r="BD230" s="375">
        <v>0</v>
      </c>
      <c r="BE230" s="375">
        <v>0</v>
      </c>
      <c r="BF230" s="375">
        <v>0</v>
      </c>
      <c r="BG230" s="375">
        <v>35569</v>
      </c>
      <c r="BH230" s="79"/>
      <c r="BI230" s="79"/>
      <c r="BJ230" s="79"/>
      <c r="BK230" s="79"/>
      <c r="BL230" s="79"/>
      <c r="BM230" s="79">
        <v>35569</v>
      </c>
      <c r="BN230" s="79">
        <v>0</v>
      </c>
      <c r="BO230" s="79">
        <v>0</v>
      </c>
      <c r="BP230" s="79">
        <v>0</v>
      </c>
      <c r="BQ230" s="79">
        <v>0</v>
      </c>
      <c r="BR230" s="79">
        <v>0</v>
      </c>
      <c r="BS230" s="79">
        <v>0</v>
      </c>
      <c r="BT230" s="79">
        <v>35569</v>
      </c>
    </row>
    <row r="231" spans="1:72" ht="15" customHeight="1">
      <c r="A231" s="66" t="s">
        <v>2587</v>
      </c>
      <c r="B231" s="66"/>
      <c r="C231" s="66" t="s">
        <v>893</v>
      </c>
      <c r="D231" s="66" t="s">
        <v>893</v>
      </c>
      <c r="E231" s="150" t="s">
        <v>1136</v>
      </c>
      <c r="F231" s="482" t="s">
        <v>1566</v>
      </c>
      <c r="G231" s="150" t="s">
        <v>1135</v>
      </c>
      <c r="H231" s="150" t="s">
        <v>1135</v>
      </c>
      <c r="I231" s="150" t="s">
        <v>1135</v>
      </c>
      <c r="J231" s="150" t="s">
        <v>1135</v>
      </c>
      <c r="K231" s="150" t="s">
        <v>1137</v>
      </c>
      <c r="L231" s="511" t="s">
        <v>639</v>
      </c>
      <c r="M231" s="392" t="s">
        <v>2588</v>
      </c>
      <c r="N231" s="343"/>
      <c r="O231" s="343"/>
      <c r="P231" s="70" t="s">
        <v>894</v>
      </c>
      <c r="Q231" s="346"/>
      <c r="R231" s="343"/>
      <c r="S231" s="346"/>
      <c r="T231" s="150" t="s">
        <v>25</v>
      </c>
      <c r="U231" s="150"/>
      <c r="V231" s="403"/>
      <c r="W231" s="406">
        <v>30000</v>
      </c>
      <c r="X231" s="406">
        <v>30000</v>
      </c>
      <c r="Y231" s="425"/>
      <c r="Z231" s="71"/>
      <c r="AA231" s="426"/>
      <c r="AB231" s="427"/>
      <c r="AC231" s="427"/>
      <c r="AD231" s="428" t="s">
        <v>1142</v>
      </c>
      <c r="AE231" s="429">
        <v>0</v>
      </c>
      <c r="AF231" s="429">
        <v>0</v>
      </c>
      <c r="AG231" s="363"/>
      <c r="AH231" s="363">
        <v>30000</v>
      </c>
      <c r="AI231" s="360">
        <v>0</v>
      </c>
      <c r="AJ231" s="360">
        <v>0</v>
      </c>
      <c r="AK231" s="360">
        <v>0</v>
      </c>
      <c r="AL231" s="360">
        <v>0</v>
      </c>
      <c r="AM231" s="360">
        <f t="shared" si="7"/>
        <v>30000</v>
      </c>
      <c r="AN231" s="362">
        <f>ERP_26[[#This Row],[2026 Working Total]]-ERP_26[[#This Row],[LE2 Final Submission]]</f>
        <v>0</v>
      </c>
      <c r="AO231" s="79"/>
      <c r="AP231" s="79">
        <f t="shared" si="8"/>
        <v>0</v>
      </c>
      <c r="AQ231" s="374">
        <f>SUM(ERP_26[[#This Row],[AP01]:[AP06]])-SUM(ERP_26[[#This Row],[AP01 LE2]:[AP06 LE2]])</f>
        <v>0</v>
      </c>
      <c r="AR231" s="80"/>
      <c r="AS231" s="79">
        <f>ERP_26[[#This Row],[2026 Working Total to Budget/LE]]-ERP_26[[#This Row],[Giveback]]</f>
        <v>0</v>
      </c>
      <c r="AT231" s="81"/>
      <c r="AU231" s="375"/>
      <c r="AV231" s="375"/>
      <c r="AW231" s="375"/>
      <c r="AX231" s="375"/>
      <c r="AY231" s="375"/>
      <c r="AZ231" s="375"/>
      <c r="BA231" s="375"/>
      <c r="BB231" s="375">
        <v>30000</v>
      </c>
      <c r="BC231" s="375">
        <v>0</v>
      </c>
      <c r="BD231" s="375">
        <v>0</v>
      </c>
      <c r="BE231" s="375">
        <v>0</v>
      </c>
      <c r="BF231" s="375">
        <v>0</v>
      </c>
      <c r="BG231" s="375">
        <v>30000</v>
      </c>
      <c r="BH231" s="79"/>
      <c r="BI231" s="79"/>
      <c r="BJ231" s="79"/>
      <c r="BK231" s="79"/>
      <c r="BL231" s="79"/>
      <c r="BM231" s="79"/>
      <c r="BN231" s="79"/>
      <c r="BO231" s="79">
        <v>30000</v>
      </c>
      <c r="BP231" s="79">
        <v>0</v>
      </c>
      <c r="BQ231" s="79">
        <v>0</v>
      </c>
      <c r="BR231" s="79">
        <v>0</v>
      </c>
      <c r="BS231" s="79">
        <v>0</v>
      </c>
      <c r="BT231" s="79">
        <v>30000</v>
      </c>
    </row>
    <row r="232" spans="1:72" ht="15" customHeight="1">
      <c r="A232" s="79" t="s">
        <v>2589</v>
      </c>
      <c r="B232" s="79"/>
      <c r="C232" s="79" t="s">
        <v>895</v>
      </c>
      <c r="D232" s="296" t="s">
        <v>895</v>
      </c>
      <c r="E232" s="150" t="s">
        <v>1136</v>
      </c>
      <c r="F232" s="482" t="s">
        <v>1566</v>
      </c>
      <c r="G232" s="150" t="s">
        <v>1135</v>
      </c>
      <c r="H232" s="150" t="s">
        <v>1135</v>
      </c>
      <c r="I232" s="332" t="s">
        <v>1135</v>
      </c>
      <c r="J232" s="383" t="s">
        <v>1135</v>
      </c>
      <c r="K232" s="331" t="s">
        <v>1137</v>
      </c>
      <c r="L232" s="512" t="s">
        <v>639</v>
      </c>
      <c r="M232" s="393" t="s">
        <v>2590</v>
      </c>
      <c r="N232" s="343" t="s">
        <v>2484</v>
      </c>
      <c r="O232" s="150" t="s">
        <v>1171</v>
      </c>
      <c r="P232" s="91" t="s">
        <v>896</v>
      </c>
      <c r="Q232" s="343"/>
      <c r="R232" s="346" t="s">
        <v>2591</v>
      </c>
      <c r="S232" s="346" t="s">
        <v>1710</v>
      </c>
      <c r="T232" s="386" t="s">
        <v>863</v>
      </c>
      <c r="U232" s="346" t="s">
        <v>1779</v>
      </c>
      <c r="V232" s="437"/>
      <c r="W232" s="358">
        <v>169614.9</v>
      </c>
      <c r="X232" s="378">
        <v>0</v>
      </c>
      <c r="Y232" s="425"/>
      <c r="Z232" s="71"/>
      <c r="AA232" s="433"/>
      <c r="AB232" s="434"/>
      <c r="AC232" s="434"/>
      <c r="AD232" s="428" t="s">
        <v>1142</v>
      </c>
      <c r="AE232" s="429">
        <v>0</v>
      </c>
      <c r="AF232" s="429">
        <v>0</v>
      </c>
      <c r="AG232" s="388">
        <v>0</v>
      </c>
      <c r="AH232" s="388">
        <v>0</v>
      </c>
      <c r="AI232" s="388">
        <v>0</v>
      </c>
      <c r="AJ232" s="388">
        <v>0</v>
      </c>
      <c r="AK232" s="388">
        <v>0</v>
      </c>
      <c r="AL232" s="388">
        <v>0</v>
      </c>
      <c r="AM232" s="360">
        <f t="shared" si="7"/>
        <v>0</v>
      </c>
      <c r="AN232" s="362">
        <f>ERP_26[[#This Row],[2026 Working Total]]-ERP_26[[#This Row],[LE2 Final Submission]]</f>
        <v>0</v>
      </c>
      <c r="AO232" s="79">
        <v>0</v>
      </c>
      <c r="AP232" s="79">
        <f t="shared" si="8"/>
        <v>0</v>
      </c>
      <c r="AQ232" s="374">
        <f>SUM(ERP_26[[#This Row],[AP01]:[AP06]])-SUM(ERP_26[[#This Row],[AP01 LE2]:[AP06 LE2]])</f>
        <v>0</v>
      </c>
      <c r="AR232" s="80"/>
      <c r="AS232" s="79">
        <f>ERP_26[[#This Row],[2026 Working Total to Budget/LE]]-ERP_26[[#This Row],[Giveback]]</f>
        <v>0</v>
      </c>
      <c r="AT232" s="81"/>
      <c r="AU232" s="375"/>
      <c r="AV232" s="375"/>
      <c r="AW232" s="375"/>
      <c r="AX232" s="375">
        <v>0</v>
      </c>
      <c r="AY232" s="375">
        <v>0</v>
      </c>
      <c r="AZ232" s="375">
        <v>0</v>
      </c>
      <c r="BA232" s="375">
        <v>0</v>
      </c>
      <c r="BB232" s="375">
        <v>0</v>
      </c>
      <c r="BC232" s="375">
        <v>0</v>
      </c>
      <c r="BD232" s="375">
        <v>0</v>
      </c>
      <c r="BE232" s="375">
        <v>0</v>
      </c>
      <c r="BF232" s="375">
        <v>0</v>
      </c>
      <c r="BG232" s="375">
        <v>0</v>
      </c>
      <c r="BH232" s="103">
        <v>169614.9</v>
      </c>
      <c r="BI232" s="103">
        <v>0</v>
      </c>
      <c r="BJ232" s="103">
        <v>0</v>
      </c>
      <c r="BK232" s="103">
        <v>0</v>
      </c>
      <c r="BL232" s="103">
        <v>0</v>
      </c>
      <c r="BM232" s="103">
        <v>0</v>
      </c>
      <c r="BN232" s="103">
        <v>0</v>
      </c>
      <c r="BO232" s="103">
        <v>0</v>
      </c>
      <c r="BP232" s="103">
        <v>0</v>
      </c>
      <c r="BQ232" s="103">
        <v>0</v>
      </c>
      <c r="BR232" s="103">
        <v>0</v>
      </c>
      <c r="BS232" s="103">
        <v>0</v>
      </c>
      <c r="BT232" s="79">
        <f>SUM(ERP_26[[#This Row],[2026 AP01]:[2026 AP12]])</f>
        <v>169614.9</v>
      </c>
    </row>
    <row r="233" spans="1:72" ht="15" customHeight="1">
      <c r="A233" s="79" t="s">
        <v>2592</v>
      </c>
      <c r="B233" s="79"/>
      <c r="C233" s="79" t="s">
        <v>897</v>
      </c>
      <c r="D233" s="296" t="s">
        <v>897</v>
      </c>
      <c r="E233" s="150" t="s">
        <v>1136</v>
      </c>
      <c r="F233" s="482" t="s">
        <v>1566</v>
      </c>
      <c r="G233" s="150" t="s">
        <v>1135</v>
      </c>
      <c r="H233" s="150" t="s">
        <v>1135</v>
      </c>
      <c r="I233" s="332" t="s">
        <v>1135</v>
      </c>
      <c r="J233" s="382" t="s">
        <v>1135</v>
      </c>
      <c r="K233" s="331" t="s">
        <v>1137</v>
      </c>
      <c r="L233" s="512" t="s">
        <v>639</v>
      </c>
      <c r="M233" s="394" t="s">
        <v>2593</v>
      </c>
      <c r="N233" s="343" t="s">
        <v>2484</v>
      </c>
      <c r="O233" s="150" t="s">
        <v>1171</v>
      </c>
      <c r="P233" s="122" t="s">
        <v>898</v>
      </c>
      <c r="Q233" s="343"/>
      <c r="R233" s="346" t="s">
        <v>2591</v>
      </c>
      <c r="S233" s="346" t="s">
        <v>1710</v>
      </c>
      <c r="T233" s="384" t="s">
        <v>863</v>
      </c>
      <c r="U233" s="346" t="s">
        <v>2499</v>
      </c>
      <c r="V233" s="437"/>
      <c r="W233" s="358">
        <v>-169614.9</v>
      </c>
      <c r="X233" s="378">
        <v>0</v>
      </c>
      <c r="Y233" s="430"/>
      <c r="Z233" s="137"/>
      <c r="AA233" s="433"/>
      <c r="AB233" s="434"/>
      <c r="AC233" s="434"/>
      <c r="AD233" s="428" t="s">
        <v>1142</v>
      </c>
      <c r="AE233" s="429">
        <v>0</v>
      </c>
      <c r="AF233" s="429">
        <v>0</v>
      </c>
      <c r="AG233" s="388">
        <v>0</v>
      </c>
      <c r="AH233" s="388">
        <v>0</v>
      </c>
      <c r="AI233" s="388">
        <v>0</v>
      </c>
      <c r="AJ233" s="388">
        <v>0</v>
      </c>
      <c r="AK233" s="388">
        <v>0</v>
      </c>
      <c r="AL233" s="388">
        <v>0</v>
      </c>
      <c r="AM233" s="360">
        <f t="shared" si="7"/>
        <v>0</v>
      </c>
      <c r="AN233" s="362">
        <f>ERP_26[[#This Row],[2026 Working Total]]-ERP_26[[#This Row],[LE2 Final Submission]]</f>
        <v>0</v>
      </c>
      <c r="AO233" s="79">
        <v>0</v>
      </c>
      <c r="AP233" s="79">
        <f t="shared" si="8"/>
        <v>0</v>
      </c>
      <c r="AQ233" s="374">
        <f>SUM(ERP_26[[#This Row],[AP01]:[AP06]])-SUM(ERP_26[[#This Row],[AP01 LE2]:[AP06 LE2]])</f>
        <v>0</v>
      </c>
      <c r="AR233" s="80"/>
      <c r="AS233" s="79">
        <f>ERP_26[[#This Row],[2026 Working Total to Budget/LE]]-ERP_26[[#This Row],[Giveback]]</f>
        <v>0</v>
      </c>
      <c r="AT233" s="81"/>
      <c r="AU233" s="375"/>
      <c r="AV233" s="375"/>
      <c r="AW233" s="375"/>
      <c r="AX233" s="375">
        <v>0</v>
      </c>
      <c r="AY233" s="375">
        <v>0</v>
      </c>
      <c r="AZ233" s="375">
        <v>0</v>
      </c>
      <c r="BA233" s="375">
        <v>0</v>
      </c>
      <c r="BB233" s="375">
        <v>0</v>
      </c>
      <c r="BC233" s="375">
        <v>0</v>
      </c>
      <c r="BD233" s="375">
        <v>0</v>
      </c>
      <c r="BE233" s="375">
        <v>0</v>
      </c>
      <c r="BF233" s="375">
        <v>0</v>
      </c>
      <c r="BG233" s="375">
        <v>0</v>
      </c>
      <c r="BH233" s="103">
        <v>-169614.9</v>
      </c>
      <c r="BI233" s="103">
        <v>0</v>
      </c>
      <c r="BJ233" s="103">
        <v>0</v>
      </c>
      <c r="BK233" s="103">
        <v>0</v>
      </c>
      <c r="BL233" s="103">
        <v>0</v>
      </c>
      <c r="BM233" s="103">
        <v>0</v>
      </c>
      <c r="BN233" s="103">
        <v>0</v>
      </c>
      <c r="BO233" s="103">
        <v>0</v>
      </c>
      <c r="BP233" s="103">
        <v>0</v>
      </c>
      <c r="BQ233" s="103">
        <v>0</v>
      </c>
      <c r="BR233" s="103">
        <v>0</v>
      </c>
      <c r="BS233" s="103">
        <v>0</v>
      </c>
      <c r="BT233" s="79">
        <f>SUM(ERP_26[[#This Row],[2026 AP01]:[2026 AP12]])</f>
        <v>-169614.9</v>
      </c>
    </row>
    <row r="234" spans="1:72" ht="15" customHeight="1">
      <c r="A234" s="66" t="s">
        <v>2831</v>
      </c>
      <c r="B234" s="66" t="s">
        <v>2950</v>
      </c>
      <c r="C234" s="66" t="s">
        <v>1028</v>
      </c>
      <c r="D234" s="66" t="s">
        <v>2832</v>
      </c>
      <c r="E234" s="150" t="s">
        <v>1136</v>
      </c>
      <c r="F234" s="482" t="s">
        <v>1566</v>
      </c>
      <c r="G234" s="150" t="s">
        <v>1135</v>
      </c>
      <c r="H234" s="150" t="s">
        <v>1135</v>
      </c>
      <c r="I234" s="150" t="s">
        <v>1135</v>
      </c>
      <c r="J234" s="150" t="s">
        <v>1137</v>
      </c>
      <c r="K234" s="150" t="s">
        <v>1137</v>
      </c>
      <c r="L234" s="511" t="s">
        <v>1027</v>
      </c>
      <c r="M234" s="392" t="s">
        <v>2830</v>
      </c>
      <c r="N234" s="343"/>
      <c r="O234" s="343"/>
      <c r="P234" s="70" t="s">
        <v>1029</v>
      </c>
      <c r="Q234" s="346"/>
      <c r="R234" s="343"/>
      <c r="S234" s="346"/>
      <c r="T234" s="150" t="s">
        <v>25</v>
      </c>
      <c r="U234" s="1" t="s">
        <v>1141</v>
      </c>
      <c r="V234" s="403"/>
      <c r="W234" s="406">
        <v>78300</v>
      </c>
      <c r="X234" s="406">
        <v>62093.21</v>
      </c>
      <c r="Y234" s="425"/>
      <c r="Z234" s="71"/>
      <c r="AA234" s="426">
        <v>350.82</v>
      </c>
      <c r="AB234" s="427">
        <v>683.3</v>
      </c>
      <c r="AC234" s="427">
        <v>1259.0899999999999</v>
      </c>
      <c r="AD234" s="428">
        <v>404.51000000000005</v>
      </c>
      <c r="AE234" s="429">
        <v>2183.5099999999993</v>
      </c>
      <c r="AF234" s="429">
        <v>2294.7200000000003</v>
      </c>
      <c r="AG234" s="363">
        <v>6500</v>
      </c>
      <c r="AH234" s="363">
        <v>6500</v>
      </c>
      <c r="AI234" s="363">
        <v>6900</v>
      </c>
      <c r="AJ234" s="363">
        <v>6900</v>
      </c>
      <c r="AK234" s="363">
        <v>6900</v>
      </c>
      <c r="AL234" s="363">
        <v>6900</v>
      </c>
      <c r="AM234" s="560">
        <f t="shared" si="7"/>
        <v>47775.95</v>
      </c>
      <c r="AN234" s="362">
        <f>ERP_26[[#This Row],[2026 Working Total]]-ERP_26[[#This Row],[LE2 Final Submission]]</f>
        <v>-14317.260000000002</v>
      </c>
      <c r="AO234" s="79">
        <v>6400</v>
      </c>
      <c r="AP234" s="79">
        <f t="shared" si="8"/>
        <v>-4105.28</v>
      </c>
      <c r="AQ234" s="374">
        <f>SUM(ERP_26[[#This Row],[AP01]:[AP06]])-SUM(ERP_26[[#This Row],[AP01 LE2]:[AP06 LE2]])</f>
        <v>-14317.259999999998</v>
      </c>
      <c r="AR234" s="80"/>
      <c r="AS234" s="79">
        <f>ERP_26[[#This Row],[2026 Working Total to Budget/LE]]-ERP_26[[#This Row],[Giveback]]</f>
        <v>-14317.260000000002</v>
      </c>
      <c r="AT234" s="81"/>
      <c r="AU234" s="375">
        <v>350.82</v>
      </c>
      <c r="AV234" s="375">
        <v>683.3</v>
      </c>
      <c r="AW234" s="375">
        <v>1259.0899999999999</v>
      </c>
      <c r="AX234" s="375">
        <v>6400</v>
      </c>
      <c r="AY234" s="375">
        <v>6400</v>
      </c>
      <c r="AZ234" s="375">
        <v>6400</v>
      </c>
      <c r="BA234" s="375">
        <v>6500</v>
      </c>
      <c r="BB234" s="375">
        <v>6500</v>
      </c>
      <c r="BC234" s="375">
        <v>6900</v>
      </c>
      <c r="BD234" s="375">
        <v>6900</v>
      </c>
      <c r="BE234" s="375">
        <v>6900</v>
      </c>
      <c r="BF234" s="375">
        <v>6900</v>
      </c>
      <c r="BG234" s="375">
        <v>62093.21</v>
      </c>
      <c r="BH234" s="79">
        <v>350.82</v>
      </c>
      <c r="BI234" s="79">
        <v>683.3</v>
      </c>
      <c r="BJ234" s="79">
        <v>1259.0899999999999</v>
      </c>
      <c r="BK234" s="79">
        <v>6400</v>
      </c>
      <c r="BL234" s="79">
        <v>6400</v>
      </c>
      <c r="BM234" s="79">
        <v>6400</v>
      </c>
      <c r="BN234" s="79">
        <v>6500</v>
      </c>
      <c r="BO234" s="79">
        <v>6500</v>
      </c>
      <c r="BP234" s="79">
        <v>6900</v>
      </c>
      <c r="BQ234" s="79">
        <v>6900</v>
      </c>
      <c r="BR234" s="79">
        <v>6900</v>
      </c>
      <c r="BS234" s="79">
        <v>6900</v>
      </c>
      <c r="BT234" s="79">
        <v>62093.21</v>
      </c>
    </row>
    <row r="235" spans="1:72" ht="15" customHeight="1">
      <c r="A235" s="66" t="s">
        <v>2867</v>
      </c>
      <c r="B235" s="66"/>
      <c r="C235" s="66" t="s">
        <v>30</v>
      </c>
      <c r="D235" s="66" t="s">
        <v>30</v>
      </c>
      <c r="E235" s="150" t="s">
        <v>1136</v>
      </c>
      <c r="F235" s="482" t="s">
        <v>1566</v>
      </c>
      <c r="G235" s="383" t="s">
        <v>1344</v>
      </c>
      <c r="H235" s="383" t="s">
        <v>1344</v>
      </c>
      <c r="I235" s="150" t="s">
        <v>1345</v>
      </c>
      <c r="J235" s="150" t="s">
        <v>1344</v>
      </c>
      <c r="K235" s="150" t="s">
        <v>1346</v>
      </c>
      <c r="L235" s="511" t="s">
        <v>22</v>
      </c>
      <c r="M235" s="392" t="s">
        <v>2868</v>
      </c>
      <c r="N235" s="343"/>
      <c r="O235" s="343"/>
      <c r="P235" s="70" t="s">
        <v>24</v>
      </c>
      <c r="Q235" s="346" t="s">
        <v>1139</v>
      </c>
      <c r="R235" s="346" t="s">
        <v>1140</v>
      </c>
      <c r="S235" s="346"/>
      <c r="T235" s="150" t="s">
        <v>25</v>
      </c>
      <c r="U235" s="150"/>
      <c r="V235" s="403"/>
      <c r="W235" s="406">
        <v>0</v>
      </c>
      <c r="X235" s="406">
        <v>0</v>
      </c>
      <c r="Y235" s="425"/>
      <c r="Z235" s="71"/>
      <c r="AA235" s="426"/>
      <c r="AB235" s="427"/>
      <c r="AC235" s="427"/>
      <c r="AD235" s="428" t="s">
        <v>1142</v>
      </c>
      <c r="AE235" s="429">
        <v>0</v>
      </c>
      <c r="AF235" s="429">
        <v>0</v>
      </c>
      <c r="AG235" s="360">
        <v>0</v>
      </c>
      <c r="AH235" s="360">
        <v>0</v>
      </c>
      <c r="AI235" s="360">
        <v>0</v>
      </c>
      <c r="AJ235" s="360">
        <v>0</v>
      </c>
      <c r="AK235" s="360">
        <v>0</v>
      </c>
      <c r="AL235" s="360">
        <v>0</v>
      </c>
      <c r="AM235" s="360">
        <f t="shared" si="7"/>
        <v>0</v>
      </c>
      <c r="AN235" s="362">
        <f>ERP_26[[#This Row],[2026 Working Total]]-ERP_26[[#This Row],[LE2 Final Submission]]</f>
        <v>0</v>
      </c>
      <c r="AO235" s="79">
        <v>0</v>
      </c>
      <c r="AP235" s="79">
        <f t="shared" si="8"/>
        <v>0</v>
      </c>
      <c r="AQ235" s="374">
        <f>SUM(ERP_26[[#This Row],[AP01]:[AP06]])-SUM(ERP_26[[#This Row],[AP01 LE2]:[AP06 LE2]])</f>
        <v>0</v>
      </c>
      <c r="AR235" s="80"/>
      <c r="AS235" s="79">
        <f>ERP_26[[#This Row],[2026 Working Total to Budget/LE]]-ERP_26[[#This Row],[Giveback]]</f>
        <v>0</v>
      </c>
      <c r="AT235" s="81"/>
      <c r="AU235" s="375"/>
      <c r="AV235" s="375"/>
      <c r="AW235" s="375"/>
      <c r="AX235" s="375">
        <v>0</v>
      </c>
      <c r="AY235" s="375">
        <v>0</v>
      </c>
      <c r="AZ235" s="375">
        <v>0</v>
      </c>
      <c r="BA235" s="375">
        <v>0</v>
      </c>
      <c r="BB235" s="375">
        <v>0</v>
      </c>
      <c r="BC235" s="375">
        <v>0</v>
      </c>
      <c r="BD235" s="375">
        <v>0</v>
      </c>
      <c r="BE235" s="375">
        <v>0</v>
      </c>
      <c r="BF235" s="375">
        <v>0</v>
      </c>
      <c r="BG235" s="375">
        <v>0</v>
      </c>
      <c r="BH235" s="79">
        <v>3835.35</v>
      </c>
      <c r="BI235" s="79">
        <v>2416.25</v>
      </c>
      <c r="BJ235" s="79">
        <v>3735.66</v>
      </c>
      <c r="BK235" s="79">
        <v>0</v>
      </c>
      <c r="BL235" s="79">
        <v>0</v>
      </c>
      <c r="BM235" s="79">
        <v>0</v>
      </c>
      <c r="BN235" s="79">
        <v>0</v>
      </c>
      <c r="BO235" s="79">
        <v>0</v>
      </c>
      <c r="BP235" s="79">
        <v>0</v>
      </c>
      <c r="BQ235" s="79">
        <v>0</v>
      </c>
      <c r="BR235" s="79">
        <v>0</v>
      </c>
      <c r="BS235" s="79">
        <v>0</v>
      </c>
      <c r="BT235" s="79">
        <v>9987.26</v>
      </c>
    </row>
    <row r="236" spans="1:72" ht="15" customHeight="1">
      <c r="A236" s="66" t="s">
        <v>2869</v>
      </c>
      <c r="B236" s="66"/>
      <c r="C236" s="66" t="s">
        <v>31</v>
      </c>
      <c r="D236" s="66" t="s">
        <v>31</v>
      </c>
      <c r="E236" s="150" t="s">
        <v>1136</v>
      </c>
      <c r="F236" s="482" t="s">
        <v>1566</v>
      </c>
      <c r="G236" s="383" t="s">
        <v>1344</v>
      </c>
      <c r="H236" s="383" t="s">
        <v>1344</v>
      </c>
      <c r="I236" s="150" t="s">
        <v>1345</v>
      </c>
      <c r="J236" s="150" t="s">
        <v>1344</v>
      </c>
      <c r="K236" s="150" t="s">
        <v>1346</v>
      </c>
      <c r="L236" s="511" t="s">
        <v>22</v>
      </c>
      <c r="M236" s="392" t="s">
        <v>2870</v>
      </c>
      <c r="N236" s="343"/>
      <c r="O236" s="343"/>
      <c r="P236" s="70" t="s">
        <v>27</v>
      </c>
      <c r="Q236" s="346" t="s">
        <v>1139</v>
      </c>
      <c r="R236" s="346" t="s">
        <v>1140</v>
      </c>
      <c r="S236" s="346"/>
      <c r="T236" s="150" t="s">
        <v>25</v>
      </c>
      <c r="U236" s="150"/>
      <c r="V236" s="403"/>
      <c r="W236" s="406">
        <v>0</v>
      </c>
      <c r="X236" s="406">
        <v>0</v>
      </c>
      <c r="Y236" s="425"/>
      <c r="Z236" s="71"/>
      <c r="AA236" s="426"/>
      <c r="AB236" s="427"/>
      <c r="AC236" s="427"/>
      <c r="AD236" s="428" t="s">
        <v>1142</v>
      </c>
      <c r="AE236" s="429">
        <v>0</v>
      </c>
      <c r="AF236" s="429">
        <v>0</v>
      </c>
      <c r="AG236" s="360">
        <v>0</v>
      </c>
      <c r="AH236" s="360">
        <v>0</v>
      </c>
      <c r="AI236" s="360">
        <v>0</v>
      </c>
      <c r="AJ236" s="360">
        <v>0</v>
      </c>
      <c r="AK236" s="360">
        <v>0</v>
      </c>
      <c r="AL236" s="360">
        <v>0</v>
      </c>
      <c r="AM236" s="360">
        <f t="shared" si="7"/>
        <v>0</v>
      </c>
      <c r="AN236" s="362">
        <f>ERP_26[[#This Row],[2026 Working Total]]-ERP_26[[#This Row],[LE2 Final Submission]]</f>
        <v>0</v>
      </c>
      <c r="AO236" s="79">
        <v>0</v>
      </c>
      <c r="AP236" s="79">
        <f t="shared" si="8"/>
        <v>0</v>
      </c>
      <c r="AQ236" s="374">
        <f>SUM(ERP_26[[#This Row],[AP01]:[AP06]])-SUM(ERP_26[[#This Row],[AP01 LE2]:[AP06 LE2]])</f>
        <v>0</v>
      </c>
      <c r="AR236" s="80"/>
      <c r="AS236" s="79">
        <f>ERP_26[[#This Row],[2026 Working Total to Budget/LE]]-ERP_26[[#This Row],[Giveback]]</f>
        <v>0</v>
      </c>
      <c r="AT236" s="81"/>
      <c r="AU236" s="375"/>
      <c r="AV236" s="375"/>
      <c r="AW236" s="375"/>
      <c r="AX236" s="375">
        <v>0</v>
      </c>
      <c r="AY236" s="375">
        <v>0</v>
      </c>
      <c r="AZ236" s="375">
        <v>0</v>
      </c>
      <c r="BA236" s="375">
        <v>0</v>
      </c>
      <c r="BB236" s="375">
        <v>0</v>
      </c>
      <c r="BC236" s="375">
        <v>0</v>
      </c>
      <c r="BD236" s="375">
        <v>0</v>
      </c>
      <c r="BE236" s="375">
        <v>0</v>
      </c>
      <c r="BF236" s="375">
        <v>0</v>
      </c>
      <c r="BG236" s="375">
        <v>0</v>
      </c>
      <c r="BH236" s="79">
        <v>3779.53</v>
      </c>
      <c r="BI236" s="79">
        <v>7255.22</v>
      </c>
      <c r="BJ236" s="79">
        <v>5363.84</v>
      </c>
      <c r="BK236" s="79">
        <v>0</v>
      </c>
      <c r="BL236" s="79">
        <v>0</v>
      </c>
      <c r="BM236" s="79">
        <v>0</v>
      </c>
      <c r="BN236" s="79">
        <v>0</v>
      </c>
      <c r="BO236" s="79">
        <v>0</v>
      </c>
      <c r="BP236" s="79">
        <v>0</v>
      </c>
      <c r="BQ236" s="79">
        <v>0</v>
      </c>
      <c r="BR236" s="79">
        <v>0</v>
      </c>
      <c r="BS236" s="79">
        <v>0</v>
      </c>
      <c r="BT236" s="79">
        <v>16398.59</v>
      </c>
    </row>
    <row r="237" spans="1:72" ht="15" customHeight="1">
      <c r="A237" s="66" t="s">
        <v>2871</v>
      </c>
      <c r="B237" s="66"/>
      <c r="C237" s="66" t="s">
        <v>32</v>
      </c>
      <c r="D237" s="66" t="s">
        <v>32</v>
      </c>
      <c r="E237" s="150" t="s">
        <v>1136</v>
      </c>
      <c r="F237" s="482" t="s">
        <v>1566</v>
      </c>
      <c r="G237" s="383" t="s">
        <v>1344</v>
      </c>
      <c r="H237" s="383" t="s">
        <v>1344</v>
      </c>
      <c r="I237" s="150" t="s">
        <v>1345</v>
      </c>
      <c r="J237" s="150" t="s">
        <v>1344</v>
      </c>
      <c r="K237" s="150" t="s">
        <v>1346</v>
      </c>
      <c r="L237" s="511" t="s">
        <v>22</v>
      </c>
      <c r="M237" s="392" t="s">
        <v>2872</v>
      </c>
      <c r="N237" s="343"/>
      <c r="O237" s="343"/>
      <c r="P237" s="70" t="s">
        <v>29</v>
      </c>
      <c r="Q237" s="346" t="s">
        <v>1139</v>
      </c>
      <c r="R237" s="346" t="s">
        <v>1140</v>
      </c>
      <c r="S237" s="346"/>
      <c r="T237" s="150" t="s">
        <v>25</v>
      </c>
      <c r="U237" s="150"/>
      <c r="V237" s="403"/>
      <c r="W237" s="406">
        <v>0</v>
      </c>
      <c r="X237" s="406">
        <v>0</v>
      </c>
      <c r="Y237" s="430"/>
      <c r="Z237" s="137"/>
      <c r="AA237" s="426"/>
      <c r="AB237" s="427"/>
      <c r="AC237" s="427"/>
      <c r="AD237" s="480"/>
      <c r="AE237" s="481"/>
      <c r="AF237" s="429">
        <v>11264.339999999998</v>
      </c>
      <c r="AG237" s="360">
        <v>0</v>
      </c>
      <c r="AH237" s="360">
        <v>0</v>
      </c>
      <c r="AI237" s="360">
        <v>0</v>
      </c>
      <c r="AJ237" s="360">
        <v>0</v>
      </c>
      <c r="AK237" s="360">
        <v>0</v>
      </c>
      <c r="AL237" s="360">
        <v>0</v>
      </c>
      <c r="AM237" s="360">
        <f t="shared" si="7"/>
        <v>11264.339999999998</v>
      </c>
      <c r="AN237" s="362">
        <f>ERP_26[[#This Row],[2026 Working Total]]-ERP_26[[#This Row],[LE2 Final Submission]]</f>
        <v>11264.339999999998</v>
      </c>
      <c r="AO237" s="79">
        <v>0</v>
      </c>
      <c r="AP237" s="79">
        <f t="shared" si="8"/>
        <v>11264.339999999998</v>
      </c>
      <c r="AQ237" s="374">
        <f>SUM(ERP_26[[#This Row],[AP01]:[AP06]])-SUM(ERP_26[[#This Row],[AP01 LE2]:[AP06 LE2]])</f>
        <v>11264.339999999998</v>
      </c>
      <c r="AR237" s="80"/>
      <c r="AS237" s="79">
        <f>ERP_26[[#This Row],[2026 Working Total to Budget/LE]]-ERP_26[[#This Row],[Giveback]]</f>
        <v>11264.339999999998</v>
      </c>
      <c r="AT237" s="81"/>
      <c r="AU237" s="375"/>
      <c r="AV237" s="375"/>
      <c r="AW237" s="375"/>
      <c r="AX237" s="375">
        <v>0</v>
      </c>
      <c r="AY237" s="375">
        <v>0</v>
      </c>
      <c r="AZ237" s="375">
        <v>0</v>
      </c>
      <c r="BA237" s="375">
        <v>0</v>
      </c>
      <c r="BB237" s="375">
        <v>0</v>
      </c>
      <c r="BC237" s="375">
        <v>0</v>
      </c>
      <c r="BD237" s="375">
        <v>0</v>
      </c>
      <c r="BE237" s="375">
        <v>0</v>
      </c>
      <c r="BF237" s="375">
        <v>0</v>
      </c>
      <c r="BG237" s="375">
        <v>0</v>
      </c>
      <c r="BH237" s="79">
        <v>6685.48</v>
      </c>
      <c r="BI237" s="79">
        <v>-19872.71</v>
      </c>
      <c r="BJ237" s="79">
        <v>7440.92</v>
      </c>
      <c r="BK237" s="79">
        <v>0</v>
      </c>
      <c r="BL237" s="79">
        <v>0</v>
      </c>
      <c r="BM237" s="79">
        <v>0</v>
      </c>
      <c r="BN237" s="79">
        <v>0</v>
      </c>
      <c r="BO237" s="79">
        <v>0</v>
      </c>
      <c r="BP237" s="79">
        <v>0</v>
      </c>
      <c r="BQ237" s="79">
        <v>0</v>
      </c>
      <c r="BR237" s="79">
        <v>0</v>
      </c>
      <c r="BS237" s="79">
        <v>0</v>
      </c>
      <c r="BT237" s="79">
        <v>-5746.3099999999995</v>
      </c>
    </row>
    <row r="238" spans="1:72" ht="15" customHeight="1">
      <c r="A238" s="79" t="s">
        <v>1343</v>
      </c>
      <c r="B238" s="79"/>
      <c r="C238" s="79" t="s">
        <v>150</v>
      </c>
      <c r="D238" s="296" t="s">
        <v>150</v>
      </c>
      <c r="E238" s="150" t="s">
        <v>1136</v>
      </c>
      <c r="F238" s="482" t="s">
        <v>1566</v>
      </c>
      <c r="G238" s="383" t="s">
        <v>1344</v>
      </c>
      <c r="H238" s="383" t="s">
        <v>1344</v>
      </c>
      <c r="I238" s="332" t="s">
        <v>1345</v>
      </c>
      <c r="J238" s="383" t="s">
        <v>1344</v>
      </c>
      <c r="K238" s="331" t="s">
        <v>1346</v>
      </c>
      <c r="L238" s="512" t="s">
        <v>49</v>
      </c>
      <c r="M238" s="393" t="s">
        <v>1347</v>
      </c>
      <c r="N238" s="343"/>
      <c r="O238" s="331"/>
      <c r="P238" s="91" t="s">
        <v>151</v>
      </c>
      <c r="Q238" s="343"/>
      <c r="R238" s="343"/>
      <c r="S238" s="348"/>
      <c r="T238" s="386" t="s">
        <v>152</v>
      </c>
      <c r="U238" s="387" t="s">
        <v>1348</v>
      </c>
      <c r="V238" s="432"/>
      <c r="W238" s="358">
        <v>70000.000000000015</v>
      </c>
      <c r="X238" s="378">
        <v>0</v>
      </c>
      <c r="Y238" s="425"/>
      <c r="Z238" s="71"/>
      <c r="AA238" s="433"/>
      <c r="AB238" s="434"/>
      <c r="AC238" s="434"/>
      <c r="AD238" s="428" t="s">
        <v>1142</v>
      </c>
      <c r="AE238" s="429">
        <v>0</v>
      </c>
      <c r="AF238" s="429">
        <v>0</v>
      </c>
      <c r="AG238" s="388">
        <v>0</v>
      </c>
      <c r="AH238" s="388">
        <v>0</v>
      </c>
      <c r="AI238" s="388">
        <v>0</v>
      </c>
      <c r="AJ238" s="388">
        <v>0</v>
      </c>
      <c r="AK238" s="388">
        <v>0</v>
      </c>
      <c r="AL238" s="388">
        <v>0</v>
      </c>
      <c r="AM238" s="360">
        <f t="shared" si="7"/>
        <v>0</v>
      </c>
      <c r="AN238" s="362">
        <f>ERP_26[[#This Row],[2026 Working Total]]-ERP_26[[#This Row],[LE2 Final Submission]]</f>
        <v>0</v>
      </c>
      <c r="AO238" s="79">
        <v>270798</v>
      </c>
      <c r="AP238" s="79">
        <f t="shared" si="8"/>
        <v>-270798</v>
      </c>
      <c r="AQ238" s="374">
        <f>SUM(ERP_26[[#This Row],[AP01]:[AP06]])-SUM(ERP_26[[#This Row],[AP01 LE2]:[AP06 LE2]])</f>
        <v>0</v>
      </c>
      <c r="AR238" s="80">
        <v>70000</v>
      </c>
      <c r="AS238" s="79">
        <f>ERP_26[[#This Row],[2026 Working Total to Budget/LE]]-ERP_26[[#This Row],[Giveback]]</f>
        <v>-70000</v>
      </c>
      <c r="AT238" s="81" t="s">
        <v>1349</v>
      </c>
      <c r="AU238" s="375"/>
      <c r="AV238" s="375"/>
      <c r="AW238" s="375"/>
      <c r="AX238" s="375">
        <v>0</v>
      </c>
      <c r="AY238" s="375">
        <v>0</v>
      </c>
      <c r="AZ238" s="375">
        <v>0</v>
      </c>
      <c r="BA238" s="375">
        <v>0</v>
      </c>
      <c r="BB238" s="375">
        <v>0</v>
      </c>
      <c r="BC238" s="375">
        <v>0</v>
      </c>
      <c r="BD238" s="375">
        <v>0</v>
      </c>
      <c r="BE238" s="375">
        <v>0</v>
      </c>
      <c r="BF238" s="375">
        <v>0</v>
      </c>
      <c r="BG238" s="375">
        <v>0</v>
      </c>
      <c r="BH238" s="103">
        <v>5833.37</v>
      </c>
      <c r="BI238" s="103">
        <v>5833.33</v>
      </c>
      <c r="BJ238" s="103">
        <v>5833.33</v>
      </c>
      <c r="BK238" s="103">
        <v>5833.33</v>
      </c>
      <c r="BL238" s="103">
        <v>5833.33</v>
      </c>
      <c r="BM238" s="103">
        <v>5833.33</v>
      </c>
      <c r="BN238" s="103">
        <v>5833.33</v>
      </c>
      <c r="BO238" s="103">
        <v>5833.33</v>
      </c>
      <c r="BP238" s="103">
        <v>5833.33</v>
      </c>
      <c r="BQ238" s="103">
        <v>5833.33</v>
      </c>
      <c r="BR238" s="103">
        <v>5833.33</v>
      </c>
      <c r="BS238" s="103">
        <v>5833.33</v>
      </c>
      <c r="BT238" s="79">
        <f>SUM(ERP_26[[#This Row],[2026 AP01]:[2026 AP12]])</f>
        <v>70000.000000000015</v>
      </c>
    </row>
    <row r="239" spans="1:72" ht="15" customHeight="1">
      <c r="A239" s="79" t="s">
        <v>1350</v>
      </c>
      <c r="B239" s="79"/>
      <c r="C239" s="79" t="s">
        <v>153</v>
      </c>
      <c r="D239" s="296" t="s">
        <v>153</v>
      </c>
      <c r="E239" s="150" t="s">
        <v>1136</v>
      </c>
      <c r="F239" s="482" t="s">
        <v>1566</v>
      </c>
      <c r="G239" s="383" t="s">
        <v>1344</v>
      </c>
      <c r="H239" s="383" t="s">
        <v>1344</v>
      </c>
      <c r="I239" s="332" t="s">
        <v>1345</v>
      </c>
      <c r="J239" s="383" t="s">
        <v>1344</v>
      </c>
      <c r="K239" s="331" t="s">
        <v>1346</v>
      </c>
      <c r="L239" s="512" t="s">
        <v>49</v>
      </c>
      <c r="M239" s="393" t="s">
        <v>1351</v>
      </c>
      <c r="N239" s="343"/>
      <c r="O239" s="331"/>
      <c r="P239" s="91" t="s">
        <v>154</v>
      </c>
      <c r="Q239" s="343"/>
      <c r="R239" s="343"/>
      <c r="S239" s="348"/>
      <c r="T239" s="386" t="s">
        <v>152</v>
      </c>
      <c r="U239" s="387" t="s">
        <v>1352</v>
      </c>
      <c r="V239" s="432"/>
      <c r="W239" s="358">
        <v>120000</v>
      </c>
      <c r="X239" s="378">
        <v>0</v>
      </c>
      <c r="Y239" s="425"/>
      <c r="Z239" s="71"/>
      <c r="AA239" s="433"/>
      <c r="AB239" s="434"/>
      <c r="AC239" s="434"/>
      <c r="AD239" s="428" t="s">
        <v>1142</v>
      </c>
      <c r="AE239" s="429">
        <v>0</v>
      </c>
      <c r="AF239" s="429">
        <v>0</v>
      </c>
      <c r="AG239" s="548">
        <v>0</v>
      </c>
      <c r="AH239" s="548">
        <v>0</v>
      </c>
      <c r="AI239" s="548">
        <v>0</v>
      </c>
      <c r="AJ239" s="548">
        <v>0</v>
      </c>
      <c r="AK239" s="548">
        <v>0</v>
      </c>
      <c r="AL239" s="548">
        <v>0</v>
      </c>
      <c r="AM239" s="360">
        <f t="shared" si="7"/>
        <v>0</v>
      </c>
      <c r="AN239" s="362">
        <f>ERP_26[[#This Row],[2026 Working Total]]-ERP_26[[#This Row],[LE2 Final Submission]]</f>
        <v>0</v>
      </c>
      <c r="AO239" s="79">
        <v>8695</v>
      </c>
      <c r="AP239" s="79">
        <f t="shared" si="8"/>
        <v>-8695</v>
      </c>
      <c r="AQ239" s="374">
        <f>SUM(ERP_26[[#This Row],[AP01]:[AP06]])-SUM(ERP_26[[#This Row],[AP01 LE2]:[AP06 LE2]])</f>
        <v>0</v>
      </c>
      <c r="AR239" s="80">
        <v>120000</v>
      </c>
      <c r="AS239" s="79">
        <f>ERP_26[[#This Row],[2026 Working Total to Budget/LE]]-ERP_26[[#This Row],[Giveback]]</f>
        <v>-120000</v>
      </c>
      <c r="AT239" s="81" t="s">
        <v>1349</v>
      </c>
      <c r="AU239" s="375"/>
      <c r="AV239" s="375"/>
      <c r="AW239" s="375"/>
      <c r="AX239" s="375">
        <v>0</v>
      </c>
      <c r="AY239" s="375">
        <v>0</v>
      </c>
      <c r="AZ239" s="375">
        <v>0</v>
      </c>
      <c r="BA239" s="375">
        <v>0</v>
      </c>
      <c r="BB239" s="375">
        <v>0</v>
      </c>
      <c r="BC239" s="375">
        <v>0</v>
      </c>
      <c r="BD239" s="375">
        <v>0</v>
      </c>
      <c r="BE239" s="375">
        <v>0</v>
      </c>
      <c r="BF239" s="375">
        <v>0</v>
      </c>
      <c r="BG239" s="375">
        <v>0</v>
      </c>
      <c r="BH239" s="103">
        <v>10000</v>
      </c>
      <c r="BI239" s="103">
        <v>10000</v>
      </c>
      <c r="BJ239" s="103">
        <v>10000</v>
      </c>
      <c r="BK239" s="103">
        <v>10000</v>
      </c>
      <c r="BL239" s="103">
        <v>10000</v>
      </c>
      <c r="BM239" s="103">
        <v>10000</v>
      </c>
      <c r="BN239" s="103">
        <v>10000</v>
      </c>
      <c r="BO239" s="103">
        <v>10000</v>
      </c>
      <c r="BP239" s="103">
        <v>10000</v>
      </c>
      <c r="BQ239" s="103">
        <v>10000</v>
      </c>
      <c r="BR239" s="103">
        <v>10000</v>
      </c>
      <c r="BS239" s="103">
        <v>10000</v>
      </c>
      <c r="BT239" s="79">
        <f>SUM(ERP_26[[#This Row],[2026 AP01]:[2026 AP12]])</f>
        <v>120000</v>
      </c>
    </row>
    <row r="240" spans="1:72" s="15" customFormat="1" ht="15" customHeight="1">
      <c r="A240" s="79" t="s">
        <v>1353</v>
      </c>
      <c r="B240" s="79"/>
      <c r="C240" s="79" t="s">
        <v>155</v>
      </c>
      <c r="D240" s="296" t="s">
        <v>155</v>
      </c>
      <c r="E240" s="150" t="s">
        <v>1136</v>
      </c>
      <c r="F240" s="482" t="s">
        <v>1566</v>
      </c>
      <c r="G240" s="383" t="s">
        <v>1344</v>
      </c>
      <c r="H240" s="383" t="s">
        <v>1344</v>
      </c>
      <c r="I240" s="332" t="s">
        <v>1345</v>
      </c>
      <c r="J240" s="383" t="s">
        <v>1344</v>
      </c>
      <c r="K240" s="331" t="s">
        <v>1346</v>
      </c>
      <c r="L240" s="512" t="s">
        <v>49</v>
      </c>
      <c r="M240" s="393" t="s">
        <v>1354</v>
      </c>
      <c r="N240" s="343"/>
      <c r="O240" s="331"/>
      <c r="P240" s="91" t="s">
        <v>156</v>
      </c>
      <c r="Q240" s="343"/>
      <c r="R240" s="343"/>
      <c r="S240" s="348"/>
      <c r="T240" s="386" t="s">
        <v>152</v>
      </c>
      <c r="U240" s="387" t="s">
        <v>1348</v>
      </c>
      <c r="V240" s="432"/>
      <c r="W240" s="358">
        <v>70000.000000000015</v>
      </c>
      <c r="X240" s="378">
        <v>0</v>
      </c>
      <c r="Y240" s="430"/>
      <c r="Z240" s="137"/>
      <c r="AA240" s="433"/>
      <c r="AB240" s="434"/>
      <c r="AC240" s="434"/>
      <c r="AD240" s="428" t="s">
        <v>1142</v>
      </c>
      <c r="AE240" s="429">
        <v>0</v>
      </c>
      <c r="AF240" s="429">
        <v>0</v>
      </c>
      <c r="AG240" s="388">
        <v>0</v>
      </c>
      <c r="AH240" s="388">
        <v>0</v>
      </c>
      <c r="AI240" s="388">
        <v>0</v>
      </c>
      <c r="AJ240" s="388">
        <v>0</v>
      </c>
      <c r="AK240" s="388">
        <v>0</v>
      </c>
      <c r="AL240" s="388">
        <v>0</v>
      </c>
      <c r="AM240" s="360">
        <f t="shared" si="7"/>
        <v>0</v>
      </c>
      <c r="AN240" s="362">
        <f>ERP_26[[#This Row],[2026 Working Total]]-ERP_26[[#This Row],[LE2 Final Submission]]</f>
        <v>0</v>
      </c>
      <c r="AO240" s="79">
        <v>1014</v>
      </c>
      <c r="AP240" s="79">
        <f t="shared" si="8"/>
        <v>-1014</v>
      </c>
      <c r="AQ240" s="374">
        <f>SUM(ERP_26[[#This Row],[AP01]:[AP06]])-SUM(ERP_26[[#This Row],[AP01 LE2]:[AP06 LE2]])</f>
        <v>0</v>
      </c>
      <c r="AR240" s="80">
        <v>70000</v>
      </c>
      <c r="AS240" s="79">
        <f>ERP_26[[#This Row],[2026 Working Total to Budget/LE]]-ERP_26[[#This Row],[Giveback]]</f>
        <v>-70000</v>
      </c>
      <c r="AT240" s="81" t="s">
        <v>1349</v>
      </c>
      <c r="AU240" s="375"/>
      <c r="AV240" s="375"/>
      <c r="AW240" s="375"/>
      <c r="AX240" s="375">
        <v>0</v>
      </c>
      <c r="AY240" s="375">
        <v>0</v>
      </c>
      <c r="AZ240" s="375">
        <v>0</v>
      </c>
      <c r="BA240" s="375">
        <v>0</v>
      </c>
      <c r="BB240" s="375">
        <v>0</v>
      </c>
      <c r="BC240" s="375">
        <v>0</v>
      </c>
      <c r="BD240" s="375">
        <v>0</v>
      </c>
      <c r="BE240" s="375">
        <v>0</v>
      </c>
      <c r="BF240" s="375">
        <v>0</v>
      </c>
      <c r="BG240" s="375">
        <v>0</v>
      </c>
      <c r="BH240" s="103">
        <v>5833.37</v>
      </c>
      <c r="BI240" s="103">
        <v>5833.33</v>
      </c>
      <c r="BJ240" s="103">
        <v>5833.33</v>
      </c>
      <c r="BK240" s="103">
        <v>5833.33</v>
      </c>
      <c r="BL240" s="103">
        <v>5833.33</v>
      </c>
      <c r="BM240" s="103">
        <v>5833.33</v>
      </c>
      <c r="BN240" s="103">
        <v>5833.33</v>
      </c>
      <c r="BO240" s="103">
        <v>5833.33</v>
      </c>
      <c r="BP240" s="103">
        <v>5833.33</v>
      </c>
      <c r="BQ240" s="103">
        <v>5833.33</v>
      </c>
      <c r="BR240" s="103">
        <v>5833.33</v>
      </c>
      <c r="BS240" s="103">
        <v>5833.33</v>
      </c>
      <c r="BT240" s="79">
        <f>SUM(ERP_26[[#This Row],[2026 AP01]:[2026 AP12]])</f>
        <v>70000.000000000015</v>
      </c>
    </row>
    <row r="241" spans="1:72" ht="15" customHeight="1">
      <c r="A241" s="79" t="s">
        <v>1355</v>
      </c>
      <c r="B241" s="79"/>
      <c r="C241" s="79" t="s">
        <v>157</v>
      </c>
      <c r="D241" s="296" t="s">
        <v>157</v>
      </c>
      <c r="E241" s="150" t="s">
        <v>1136</v>
      </c>
      <c r="F241" s="482" t="s">
        <v>1566</v>
      </c>
      <c r="G241" s="383" t="s">
        <v>1344</v>
      </c>
      <c r="H241" s="383" t="s">
        <v>1344</v>
      </c>
      <c r="I241" s="332" t="s">
        <v>1345</v>
      </c>
      <c r="J241" s="383" t="s">
        <v>1344</v>
      </c>
      <c r="K241" s="331" t="s">
        <v>1346</v>
      </c>
      <c r="L241" s="512" t="s">
        <v>49</v>
      </c>
      <c r="M241" s="393" t="s">
        <v>1356</v>
      </c>
      <c r="N241" s="343"/>
      <c r="O241" s="331"/>
      <c r="P241" s="91" t="s">
        <v>158</v>
      </c>
      <c r="Q241" s="343"/>
      <c r="R241" s="343"/>
      <c r="S241" s="348"/>
      <c r="T241" s="386" t="s">
        <v>152</v>
      </c>
      <c r="U241" s="387" t="s">
        <v>1348</v>
      </c>
      <c r="V241" s="432"/>
      <c r="W241" s="358">
        <v>140000</v>
      </c>
      <c r="X241" s="378">
        <v>0</v>
      </c>
      <c r="Y241" s="425"/>
      <c r="Z241" s="71"/>
      <c r="AA241" s="433"/>
      <c r="AB241" s="434"/>
      <c r="AC241" s="434"/>
      <c r="AD241" s="428" t="s">
        <v>1142</v>
      </c>
      <c r="AE241" s="429">
        <v>0</v>
      </c>
      <c r="AF241" s="429">
        <v>0</v>
      </c>
      <c r="AG241" s="388">
        <v>0</v>
      </c>
      <c r="AH241" s="388">
        <v>0</v>
      </c>
      <c r="AI241" s="388">
        <v>0</v>
      </c>
      <c r="AJ241" s="388">
        <v>0</v>
      </c>
      <c r="AK241" s="388">
        <v>0</v>
      </c>
      <c r="AL241" s="388">
        <v>0</v>
      </c>
      <c r="AM241" s="360">
        <f t="shared" si="7"/>
        <v>0</v>
      </c>
      <c r="AN241" s="362">
        <f>ERP_26[[#This Row],[2026 Working Total]]-ERP_26[[#This Row],[LE2 Final Submission]]</f>
        <v>0</v>
      </c>
      <c r="AO241" s="79">
        <v>2213.166667</v>
      </c>
      <c r="AP241" s="79">
        <f t="shared" si="8"/>
        <v>-2213.166667</v>
      </c>
      <c r="AQ241" s="374">
        <f>SUM(ERP_26[[#This Row],[AP01]:[AP06]])-SUM(ERP_26[[#This Row],[AP01 LE2]:[AP06 LE2]])</f>
        <v>0</v>
      </c>
      <c r="AR241" s="80">
        <v>140000</v>
      </c>
      <c r="AS241" s="79">
        <f>ERP_26[[#This Row],[2026 Working Total to Budget/LE]]-ERP_26[[#This Row],[Giveback]]</f>
        <v>-140000</v>
      </c>
      <c r="AT241" s="81" t="s">
        <v>1349</v>
      </c>
      <c r="AU241" s="375"/>
      <c r="AV241" s="375"/>
      <c r="AW241" s="375"/>
      <c r="AX241" s="375">
        <v>0</v>
      </c>
      <c r="AY241" s="375">
        <v>0</v>
      </c>
      <c r="AZ241" s="375">
        <v>0</v>
      </c>
      <c r="BA241" s="375">
        <v>0</v>
      </c>
      <c r="BB241" s="375">
        <v>0</v>
      </c>
      <c r="BC241" s="375">
        <v>0</v>
      </c>
      <c r="BD241" s="375">
        <v>0</v>
      </c>
      <c r="BE241" s="375">
        <v>0</v>
      </c>
      <c r="BF241" s="375">
        <v>0</v>
      </c>
      <c r="BG241" s="375">
        <v>0</v>
      </c>
      <c r="BH241" s="103">
        <v>11666.63</v>
      </c>
      <c r="BI241" s="103">
        <v>11666.67</v>
      </c>
      <c r="BJ241" s="103">
        <v>11666.67</v>
      </c>
      <c r="BK241" s="103">
        <v>11666.67</v>
      </c>
      <c r="BL241" s="103">
        <v>11666.67</v>
      </c>
      <c r="BM241" s="103">
        <v>11666.67</v>
      </c>
      <c r="BN241" s="103">
        <v>11666.67</v>
      </c>
      <c r="BO241" s="103">
        <v>11666.67</v>
      </c>
      <c r="BP241" s="103">
        <v>11666.67</v>
      </c>
      <c r="BQ241" s="103">
        <v>11666.67</v>
      </c>
      <c r="BR241" s="103">
        <v>11666.67</v>
      </c>
      <c r="BS241" s="103">
        <v>11666.67</v>
      </c>
      <c r="BT241" s="79">
        <f>SUM(ERP_26[[#This Row],[2026 AP01]:[2026 AP12]])</f>
        <v>140000</v>
      </c>
    </row>
    <row r="242" spans="1:72" ht="15" customHeight="1">
      <c r="A242" s="66" t="s">
        <v>1357</v>
      </c>
      <c r="B242" s="66"/>
      <c r="C242" s="66" t="s">
        <v>159</v>
      </c>
      <c r="D242" s="66" t="s">
        <v>159</v>
      </c>
      <c r="E242" s="150" t="s">
        <v>1136</v>
      </c>
      <c r="F242" s="482" t="s">
        <v>1566</v>
      </c>
      <c r="G242" s="383" t="s">
        <v>1344</v>
      </c>
      <c r="H242" s="383" t="s">
        <v>1344</v>
      </c>
      <c r="I242" s="150" t="s">
        <v>1345</v>
      </c>
      <c r="J242" s="150" t="s">
        <v>1344</v>
      </c>
      <c r="K242" s="150" t="s">
        <v>1346</v>
      </c>
      <c r="L242" s="511" t="s">
        <v>49</v>
      </c>
      <c r="M242" s="392" t="s">
        <v>1147</v>
      </c>
      <c r="N242" s="343"/>
      <c r="O242" s="343"/>
      <c r="P242" s="70" t="s">
        <v>53</v>
      </c>
      <c r="Q242" s="346" t="s">
        <v>1153</v>
      </c>
      <c r="R242" s="343"/>
      <c r="S242" s="346"/>
      <c r="T242" s="150" t="s">
        <v>25</v>
      </c>
      <c r="U242" s="150" t="s">
        <v>1359</v>
      </c>
      <c r="V242" s="403"/>
      <c r="W242" s="406">
        <v>0</v>
      </c>
      <c r="X242" s="406">
        <v>130143</v>
      </c>
      <c r="Y242" s="425"/>
      <c r="Z242" s="71"/>
      <c r="AA242" s="426">
        <v>91657</v>
      </c>
      <c r="AB242" s="427">
        <v>-50311</v>
      </c>
      <c r="AC242" s="427">
        <v>88797</v>
      </c>
      <c r="AD242" s="428">
        <v>142812</v>
      </c>
      <c r="AE242" s="429">
        <v>-181452</v>
      </c>
      <c r="AF242" s="429">
        <v>124380</v>
      </c>
      <c r="AG242" s="360">
        <v>0</v>
      </c>
      <c r="AH242" s="360">
        <v>0</v>
      </c>
      <c r="AI242" s="360">
        <v>0</v>
      </c>
      <c r="AJ242" s="360">
        <v>0</v>
      </c>
      <c r="AK242" s="360">
        <v>0</v>
      </c>
      <c r="AL242" s="360">
        <v>38640</v>
      </c>
      <c r="AM242" s="360">
        <f t="shared" si="7"/>
        <v>254523</v>
      </c>
      <c r="AN242" s="362">
        <f>ERP_26[[#This Row],[2026 Working Total]]-ERP_26[[#This Row],[LE2 Final Submission]]</f>
        <v>124380</v>
      </c>
      <c r="AO242" s="79">
        <v>0</v>
      </c>
      <c r="AP242" s="79">
        <f t="shared" si="8"/>
        <v>124380</v>
      </c>
      <c r="AQ242" s="374">
        <f>SUM(ERP_26[[#This Row],[AP01]:[AP06]])-SUM(ERP_26[[#This Row],[AP01 LE2]:[AP06 LE2]])</f>
        <v>85740</v>
      </c>
      <c r="AR242" s="80"/>
      <c r="AS242" s="79">
        <f>ERP_26[[#This Row],[2026 Working Total to Budget/LE]]-ERP_26[[#This Row],[Giveback]]</f>
        <v>124380</v>
      </c>
      <c r="AT242" s="155" t="s">
        <v>1360</v>
      </c>
      <c r="AU242" s="375">
        <v>91657</v>
      </c>
      <c r="AV242" s="375">
        <v>-50311</v>
      </c>
      <c r="AW242" s="375">
        <v>88797</v>
      </c>
      <c r="AX242" s="375">
        <v>0</v>
      </c>
      <c r="AY242" s="375">
        <v>0</v>
      </c>
      <c r="AZ242" s="375">
        <v>0</v>
      </c>
      <c r="BA242" s="375">
        <v>0</v>
      </c>
      <c r="BB242" s="375">
        <v>0</v>
      </c>
      <c r="BC242" s="375">
        <v>0</v>
      </c>
      <c r="BD242" s="375">
        <v>0</v>
      </c>
      <c r="BE242" s="375">
        <v>0</v>
      </c>
      <c r="BF242" s="375">
        <v>0</v>
      </c>
      <c r="BG242" s="375">
        <v>130143</v>
      </c>
      <c r="BH242" s="79">
        <v>91657</v>
      </c>
      <c r="BI242" s="79">
        <v>-50311</v>
      </c>
      <c r="BJ242" s="79">
        <v>88797</v>
      </c>
      <c r="BK242" s="79">
        <v>0</v>
      </c>
      <c r="BL242" s="79">
        <v>0</v>
      </c>
      <c r="BM242" s="79">
        <v>0</v>
      </c>
      <c r="BN242" s="79">
        <v>0</v>
      </c>
      <c r="BO242" s="79">
        <v>0</v>
      </c>
      <c r="BP242" s="79">
        <v>0</v>
      </c>
      <c r="BQ242" s="79">
        <v>0</v>
      </c>
      <c r="BR242" s="79">
        <v>0</v>
      </c>
      <c r="BS242" s="79">
        <v>0</v>
      </c>
      <c r="BT242" s="79">
        <v>130143</v>
      </c>
    </row>
    <row r="243" spans="1:72" ht="15" customHeight="1">
      <c r="A243" s="66" t="s">
        <v>1361</v>
      </c>
      <c r="B243" s="66"/>
      <c r="C243" s="66" t="s">
        <v>160</v>
      </c>
      <c r="D243" s="66" t="s">
        <v>160</v>
      </c>
      <c r="E243" s="150" t="s">
        <v>1136</v>
      </c>
      <c r="F243" s="482" t="s">
        <v>1566</v>
      </c>
      <c r="G243" s="383" t="s">
        <v>1344</v>
      </c>
      <c r="H243" s="383" t="s">
        <v>1344</v>
      </c>
      <c r="I243" s="150" t="s">
        <v>1345</v>
      </c>
      <c r="J243" s="150" t="s">
        <v>1344</v>
      </c>
      <c r="K243" s="150" t="s">
        <v>1346</v>
      </c>
      <c r="L243" s="511" t="s">
        <v>49</v>
      </c>
      <c r="M243" s="392" t="s">
        <v>1362</v>
      </c>
      <c r="N243" s="343"/>
      <c r="O243" s="346" t="s">
        <v>1363</v>
      </c>
      <c r="P243" s="70" t="s">
        <v>161</v>
      </c>
      <c r="Q243" s="346"/>
      <c r="R243" s="346" t="s">
        <v>1364</v>
      </c>
      <c r="S243" s="346"/>
      <c r="T243" s="150" t="s">
        <v>25</v>
      </c>
      <c r="U243" s="150"/>
      <c r="V243" s="403"/>
      <c r="W243" s="406">
        <v>0</v>
      </c>
      <c r="X243" s="406">
        <v>0.1499999999996362</v>
      </c>
      <c r="Y243" s="430"/>
      <c r="Z243" s="137"/>
      <c r="AA243" s="426"/>
      <c r="AB243" s="427">
        <v>-16768</v>
      </c>
      <c r="AC243" s="427">
        <v>12756.15</v>
      </c>
      <c r="AD243" s="428">
        <v>6266.17</v>
      </c>
      <c r="AE243" s="429">
        <v>6266.17</v>
      </c>
      <c r="AF243" s="429">
        <v>7832.72</v>
      </c>
      <c r="AG243" s="360">
        <v>-8520</v>
      </c>
      <c r="AH243" s="360">
        <v>0</v>
      </c>
      <c r="AI243" s="360">
        <v>0</v>
      </c>
      <c r="AJ243" s="360">
        <v>0</v>
      </c>
      <c r="AK243" s="360">
        <v>0</v>
      </c>
      <c r="AL243" s="360">
        <v>0</v>
      </c>
      <c r="AM243" s="360">
        <f t="shared" si="7"/>
        <v>7833.2099999999991</v>
      </c>
      <c r="AN243" s="362">
        <f>ERP_26[[#This Row],[2026 Working Total]]-ERP_26[[#This Row],[LE2 Final Submission]]</f>
        <v>7833.0599999999995</v>
      </c>
      <c r="AO243" s="79">
        <v>4012</v>
      </c>
      <c r="AP243" s="79">
        <f t="shared" si="8"/>
        <v>3820.7200000000003</v>
      </c>
      <c r="AQ243" s="374">
        <f>SUM(ERP_26[[#This Row],[AP01]:[AP06]])-SUM(ERP_26[[#This Row],[AP01 LE2]:[AP06 LE2]])</f>
        <v>16353.06</v>
      </c>
      <c r="AR243" s="80"/>
      <c r="AS243" s="79">
        <f>ERP_26[[#This Row],[2026 Working Total to Budget/LE]]-ERP_26[[#This Row],[Giveback]]</f>
        <v>7833.0599999999995</v>
      </c>
      <c r="AT243" s="81" t="s">
        <v>1365</v>
      </c>
      <c r="AU243" s="375"/>
      <c r="AV243" s="375">
        <v>-16768</v>
      </c>
      <c r="AW243" s="375">
        <v>12756.15</v>
      </c>
      <c r="AX243" s="375">
        <v>0</v>
      </c>
      <c r="AY243" s="375">
        <v>4012</v>
      </c>
      <c r="AZ243" s="375">
        <v>0</v>
      </c>
      <c r="BA243" s="375">
        <v>0</v>
      </c>
      <c r="BB243" s="375">
        <v>0</v>
      </c>
      <c r="BC243" s="375">
        <v>0</v>
      </c>
      <c r="BD243" s="375">
        <v>0</v>
      </c>
      <c r="BE243" s="375">
        <v>0</v>
      </c>
      <c r="BF243" s="375">
        <v>0</v>
      </c>
      <c r="BG243" s="375">
        <v>0.1499999999996362</v>
      </c>
      <c r="BH243" s="79"/>
      <c r="BI243" s="79">
        <v>-16768</v>
      </c>
      <c r="BJ243" s="79">
        <v>12756.15</v>
      </c>
      <c r="BK243" s="79">
        <v>0</v>
      </c>
      <c r="BL243" s="79">
        <v>0</v>
      </c>
      <c r="BM243" s="79">
        <v>0</v>
      </c>
      <c r="BN243" s="79">
        <v>0</v>
      </c>
      <c r="BO243" s="79">
        <v>0</v>
      </c>
      <c r="BP243" s="79">
        <v>0</v>
      </c>
      <c r="BQ243" s="79">
        <v>0</v>
      </c>
      <c r="BR243" s="79">
        <v>0</v>
      </c>
      <c r="BS243" s="79">
        <v>0</v>
      </c>
      <c r="BT243" s="79">
        <v>-4011.8500000000004</v>
      </c>
    </row>
    <row r="244" spans="1:72" ht="15" customHeight="1">
      <c r="A244" s="162" t="s">
        <v>1366</v>
      </c>
      <c r="B244" s="162"/>
      <c r="C244" s="162" t="s">
        <v>162</v>
      </c>
      <c r="D244" s="66" t="s">
        <v>162</v>
      </c>
      <c r="E244" s="150" t="s">
        <v>1136</v>
      </c>
      <c r="F244" s="482" t="s">
        <v>1566</v>
      </c>
      <c r="G244" s="383" t="s">
        <v>1344</v>
      </c>
      <c r="H244" s="383" t="s">
        <v>1344</v>
      </c>
      <c r="I244" s="150" t="s">
        <v>1345</v>
      </c>
      <c r="J244" s="150" t="s">
        <v>1344</v>
      </c>
      <c r="K244" s="184" t="s">
        <v>1346</v>
      </c>
      <c r="L244" s="515" t="s">
        <v>49</v>
      </c>
      <c r="M244" s="392" t="s">
        <v>1367</v>
      </c>
      <c r="N244" s="343"/>
      <c r="O244" s="343"/>
      <c r="P244" s="92" t="s">
        <v>163</v>
      </c>
      <c r="Q244" s="346" t="s">
        <v>1139</v>
      </c>
      <c r="R244" s="343"/>
      <c r="S244" s="346"/>
      <c r="T244" s="150" t="s">
        <v>25</v>
      </c>
      <c r="U244" s="184"/>
      <c r="V244" s="415"/>
      <c r="W244" s="416">
        <v>0</v>
      </c>
      <c r="X244" s="416">
        <v>3558.41</v>
      </c>
      <c r="Y244" s="425"/>
      <c r="Z244" s="71"/>
      <c r="AA244" s="438">
        <v>3558.41</v>
      </c>
      <c r="AB244" s="439">
        <v>0</v>
      </c>
      <c r="AC244" s="439">
        <v>0</v>
      </c>
      <c r="AD244" s="428">
        <v>0</v>
      </c>
      <c r="AE244" s="429">
        <v>0</v>
      </c>
      <c r="AF244" s="429">
        <v>0</v>
      </c>
      <c r="AG244" s="366">
        <v>0</v>
      </c>
      <c r="AH244" s="366">
        <v>0</v>
      </c>
      <c r="AI244" s="366">
        <v>0</v>
      </c>
      <c r="AJ244" s="366">
        <v>0</v>
      </c>
      <c r="AK244" s="366">
        <v>0</v>
      </c>
      <c r="AL244" s="366">
        <v>0</v>
      </c>
      <c r="AM244" s="366">
        <f t="shared" si="7"/>
        <v>3558.41</v>
      </c>
      <c r="AN244" s="362">
        <f>ERP_26[[#This Row],[2026 Working Total]]-ERP_26[[#This Row],[LE2 Final Submission]]</f>
        <v>0</v>
      </c>
      <c r="AO244" s="172">
        <v>0</v>
      </c>
      <c r="AP244" s="172">
        <f t="shared" si="8"/>
        <v>0</v>
      </c>
      <c r="AQ244" s="374">
        <f>SUM(ERP_26[[#This Row],[AP01]:[AP06]])-SUM(ERP_26[[#This Row],[AP01 LE2]:[AP06 LE2]])</f>
        <v>0</v>
      </c>
      <c r="AR244" s="173"/>
      <c r="AS244" s="172">
        <f>ERP_26[[#This Row],[2026 Working Total to Budget/LE]]-ERP_26[[#This Row],[Giveback]]</f>
        <v>0</v>
      </c>
      <c r="AT244" s="155" t="s">
        <v>1368</v>
      </c>
      <c r="AU244" s="375">
        <v>3558.41</v>
      </c>
      <c r="AV244" s="375">
        <v>0</v>
      </c>
      <c r="AW244" s="375">
        <v>0</v>
      </c>
      <c r="AX244" s="375">
        <v>0</v>
      </c>
      <c r="AY244" s="375">
        <v>0</v>
      </c>
      <c r="AZ244" s="375">
        <v>0</v>
      </c>
      <c r="BA244" s="375">
        <v>0</v>
      </c>
      <c r="BB244" s="375">
        <v>0</v>
      </c>
      <c r="BC244" s="375">
        <v>0</v>
      </c>
      <c r="BD244" s="375">
        <v>0</v>
      </c>
      <c r="BE244" s="375">
        <v>0</v>
      </c>
      <c r="BF244" s="375">
        <v>0</v>
      </c>
      <c r="BG244" s="375">
        <v>3558.41</v>
      </c>
      <c r="BH244" s="172">
        <v>3558.41</v>
      </c>
      <c r="BI244" s="172">
        <v>0</v>
      </c>
      <c r="BJ244" s="172">
        <v>0</v>
      </c>
      <c r="BK244" s="172">
        <v>0</v>
      </c>
      <c r="BL244" s="172">
        <v>0</v>
      </c>
      <c r="BM244" s="172">
        <v>0</v>
      </c>
      <c r="BN244" s="172">
        <v>0</v>
      </c>
      <c r="BO244" s="172">
        <v>0</v>
      </c>
      <c r="BP244" s="172">
        <v>0</v>
      </c>
      <c r="BQ244" s="172">
        <v>0</v>
      </c>
      <c r="BR244" s="172">
        <v>0</v>
      </c>
      <c r="BS244" s="172">
        <v>0</v>
      </c>
      <c r="BT244" s="172">
        <v>3558.41</v>
      </c>
    </row>
    <row r="245" spans="1:72" ht="15" customHeight="1">
      <c r="A245" s="66" t="s">
        <v>1369</v>
      </c>
      <c r="B245" s="66"/>
      <c r="C245" s="66" t="s">
        <v>164</v>
      </c>
      <c r="D245" s="66" t="s">
        <v>164</v>
      </c>
      <c r="E245" s="150" t="s">
        <v>1136</v>
      </c>
      <c r="F245" s="482" t="s">
        <v>1566</v>
      </c>
      <c r="G245" s="383" t="s">
        <v>1344</v>
      </c>
      <c r="H245" s="383" t="s">
        <v>1344</v>
      </c>
      <c r="I245" s="150" t="s">
        <v>1345</v>
      </c>
      <c r="J245" s="150" t="s">
        <v>1344</v>
      </c>
      <c r="K245" s="150" t="s">
        <v>1346</v>
      </c>
      <c r="L245" s="511" t="s">
        <v>49</v>
      </c>
      <c r="M245" s="392" t="s">
        <v>1370</v>
      </c>
      <c r="N245" s="343"/>
      <c r="O245" s="343"/>
      <c r="P245" s="70" t="s">
        <v>165</v>
      </c>
      <c r="Q245" s="346" t="s">
        <v>1371</v>
      </c>
      <c r="R245" s="343"/>
      <c r="S245" s="346"/>
      <c r="T245" s="150" t="s">
        <v>152</v>
      </c>
      <c r="U245" s="150"/>
      <c r="V245" s="403"/>
      <c r="W245" s="406">
        <v>50000</v>
      </c>
      <c r="X245" s="406">
        <v>50000</v>
      </c>
      <c r="Y245" s="425"/>
      <c r="Z245" s="71"/>
      <c r="AA245" s="426"/>
      <c r="AB245" s="427"/>
      <c r="AC245" s="427"/>
      <c r="AD245" s="428" t="s">
        <v>1142</v>
      </c>
      <c r="AE245" s="429">
        <v>0</v>
      </c>
      <c r="AF245" s="429">
        <v>0</v>
      </c>
      <c r="AG245" s="363">
        <v>8520</v>
      </c>
      <c r="AH245" s="363">
        <v>10000</v>
      </c>
      <c r="AI245" s="363">
        <v>10000</v>
      </c>
      <c r="AJ245" s="363">
        <v>10000</v>
      </c>
      <c r="AK245" s="363">
        <v>11480</v>
      </c>
      <c r="AL245" s="360">
        <v>0</v>
      </c>
      <c r="AM245" s="360">
        <f t="shared" si="7"/>
        <v>50000</v>
      </c>
      <c r="AN245" s="362">
        <f>ERP_26[[#This Row],[2026 Working Total]]-ERP_26[[#This Row],[LE2 Final Submission]]</f>
        <v>0</v>
      </c>
      <c r="AO245" s="79">
        <v>11100</v>
      </c>
      <c r="AP245" s="79">
        <f t="shared" si="8"/>
        <v>-11100</v>
      </c>
      <c r="AQ245" s="374">
        <f>SUM(ERP_26[[#This Row],[AP01]:[AP06]])-SUM(ERP_26[[#This Row],[AP01 LE2]:[AP06 LE2]])</f>
        <v>-22500</v>
      </c>
      <c r="AR245" s="80"/>
      <c r="AS245" s="79">
        <f>ERP_26[[#This Row],[2026 Working Total to Budget/LE]]-ERP_26[[#This Row],[Giveback]]</f>
        <v>0</v>
      </c>
      <c r="AT245" s="81"/>
      <c r="AU245" s="375"/>
      <c r="AV245" s="375"/>
      <c r="AW245" s="375"/>
      <c r="AX245" s="375">
        <v>0</v>
      </c>
      <c r="AY245" s="375">
        <v>11100</v>
      </c>
      <c r="AZ245" s="375">
        <v>11400</v>
      </c>
      <c r="BA245" s="375">
        <v>0</v>
      </c>
      <c r="BB245" s="375">
        <v>0</v>
      </c>
      <c r="BC245" s="375">
        <v>9000</v>
      </c>
      <c r="BD245" s="375">
        <v>9000</v>
      </c>
      <c r="BE245" s="375">
        <v>9500</v>
      </c>
      <c r="BF245" s="375">
        <v>0</v>
      </c>
      <c r="BG245" s="375">
        <v>50000</v>
      </c>
      <c r="BH245" s="79"/>
      <c r="BI245" s="79"/>
      <c r="BJ245" s="79"/>
      <c r="BK245" s="79"/>
      <c r="BL245" s="79"/>
      <c r="BM245" s="79"/>
      <c r="BN245" s="79">
        <v>10000</v>
      </c>
      <c r="BO245" s="79">
        <v>10000</v>
      </c>
      <c r="BP245" s="79">
        <v>10000</v>
      </c>
      <c r="BQ245" s="79">
        <v>10000</v>
      </c>
      <c r="BR245" s="79">
        <v>10000</v>
      </c>
      <c r="BS245" s="79">
        <v>0</v>
      </c>
      <c r="BT245" s="79">
        <v>50000</v>
      </c>
    </row>
    <row r="246" spans="1:72" ht="15" customHeight="1">
      <c r="A246" s="66" t="s">
        <v>1372</v>
      </c>
      <c r="B246" s="66"/>
      <c r="C246" s="66" t="s">
        <v>166</v>
      </c>
      <c r="D246" s="66" t="s">
        <v>166</v>
      </c>
      <c r="E246" s="150" t="s">
        <v>1136</v>
      </c>
      <c r="F246" s="482" t="s">
        <v>1566</v>
      </c>
      <c r="G246" s="383" t="s">
        <v>1344</v>
      </c>
      <c r="H246" s="383" t="s">
        <v>1344</v>
      </c>
      <c r="I246" s="150" t="s">
        <v>1345</v>
      </c>
      <c r="J246" s="150" t="s">
        <v>1344</v>
      </c>
      <c r="K246" s="150" t="s">
        <v>1346</v>
      </c>
      <c r="L246" s="511" t="s">
        <v>49</v>
      </c>
      <c r="M246" s="392" t="s">
        <v>1373</v>
      </c>
      <c r="N246" s="343"/>
      <c r="O246" s="343"/>
      <c r="P246" s="70" t="s">
        <v>167</v>
      </c>
      <c r="Q246" s="346"/>
      <c r="R246" s="343"/>
      <c r="S246" s="346"/>
      <c r="T246" s="150" t="s">
        <v>25</v>
      </c>
      <c r="U246" s="150"/>
      <c r="V246" s="403"/>
      <c r="W246" s="406">
        <v>6000</v>
      </c>
      <c r="X246" s="406">
        <v>6000</v>
      </c>
      <c r="Y246" s="430"/>
      <c r="Z246" s="137"/>
      <c r="AA246" s="426"/>
      <c r="AB246" s="427"/>
      <c r="AC246" s="427"/>
      <c r="AD246" s="428" t="s">
        <v>1142</v>
      </c>
      <c r="AE246" s="429">
        <v>0</v>
      </c>
      <c r="AF246" s="429">
        <v>0</v>
      </c>
      <c r="AG246" s="363"/>
      <c r="AH246" s="363"/>
      <c r="AI246" s="363">
        <v>6000</v>
      </c>
      <c r="AJ246" s="360">
        <v>0</v>
      </c>
      <c r="AK246" s="360">
        <v>0</v>
      </c>
      <c r="AL246" s="360">
        <v>0</v>
      </c>
      <c r="AM246" s="360">
        <f t="shared" si="7"/>
        <v>6000</v>
      </c>
      <c r="AN246" s="362">
        <f>ERP_26[[#This Row],[2026 Working Total]]-ERP_26[[#This Row],[LE2 Final Submission]]</f>
        <v>0</v>
      </c>
      <c r="AO246" s="79"/>
      <c r="AP246" s="79">
        <f t="shared" si="8"/>
        <v>0</v>
      </c>
      <c r="AQ246" s="374">
        <f>SUM(ERP_26[[#This Row],[AP01]:[AP06]])-SUM(ERP_26[[#This Row],[AP01 LE2]:[AP06 LE2]])</f>
        <v>0</v>
      </c>
      <c r="AR246" s="80"/>
      <c r="AS246" s="79">
        <f>ERP_26[[#This Row],[2026 Working Total to Budget/LE]]-ERP_26[[#This Row],[Giveback]]</f>
        <v>0</v>
      </c>
      <c r="AT246" s="81"/>
      <c r="AU246" s="375"/>
      <c r="AV246" s="375"/>
      <c r="AW246" s="375"/>
      <c r="AX246" s="375"/>
      <c r="AY246" s="375"/>
      <c r="AZ246" s="375"/>
      <c r="BA246" s="375"/>
      <c r="BB246" s="375"/>
      <c r="BC246" s="375">
        <v>6000</v>
      </c>
      <c r="BD246" s="375">
        <v>0</v>
      </c>
      <c r="BE246" s="375">
        <v>0</v>
      </c>
      <c r="BF246" s="375">
        <v>0</v>
      </c>
      <c r="BG246" s="375">
        <v>6000</v>
      </c>
      <c r="BH246" s="79"/>
      <c r="BI246" s="79"/>
      <c r="BJ246" s="79"/>
      <c r="BK246" s="79"/>
      <c r="BL246" s="79"/>
      <c r="BM246" s="79"/>
      <c r="BN246" s="79"/>
      <c r="BO246" s="79"/>
      <c r="BP246" s="79">
        <v>6000</v>
      </c>
      <c r="BQ246" s="79">
        <v>0</v>
      </c>
      <c r="BR246" s="79">
        <v>0</v>
      </c>
      <c r="BS246" s="79">
        <v>0</v>
      </c>
      <c r="BT246" s="79">
        <v>6000</v>
      </c>
    </row>
    <row r="247" spans="1:72" ht="15" customHeight="1">
      <c r="A247" s="66" t="s">
        <v>1374</v>
      </c>
      <c r="B247" s="66"/>
      <c r="C247" s="66" t="s">
        <v>168</v>
      </c>
      <c r="D247" s="66" t="s">
        <v>168</v>
      </c>
      <c r="E247" s="150" t="s">
        <v>1136</v>
      </c>
      <c r="F247" s="482" t="s">
        <v>1566</v>
      </c>
      <c r="G247" s="383" t="s">
        <v>1344</v>
      </c>
      <c r="H247" s="383" t="s">
        <v>1344</v>
      </c>
      <c r="I247" s="150" t="s">
        <v>1345</v>
      </c>
      <c r="J247" s="150" t="s">
        <v>1344</v>
      </c>
      <c r="K247" s="150" t="s">
        <v>1346</v>
      </c>
      <c r="L247" s="511" t="s">
        <v>49</v>
      </c>
      <c r="M247" s="392" t="s">
        <v>1375</v>
      </c>
      <c r="N247" s="343"/>
      <c r="O247" s="343"/>
      <c r="P247" s="70" t="s">
        <v>169</v>
      </c>
      <c r="Q247" s="346"/>
      <c r="R247" s="343"/>
      <c r="S247" s="346"/>
      <c r="T247" s="150" t="s">
        <v>25</v>
      </c>
      <c r="U247" s="150"/>
      <c r="V247" s="403"/>
      <c r="W247" s="406">
        <v>6000</v>
      </c>
      <c r="X247" s="406">
        <v>6000</v>
      </c>
      <c r="Y247" s="425"/>
      <c r="Z247" s="71"/>
      <c r="AA247" s="426"/>
      <c r="AB247" s="427"/>
      <c r="AC247" s="427"/>
      <c r="AD247" s="428" t="s">
        <v>1142</v>
      </c>
      <c r="AE247" s="429">
        <v>0</v>
      </c>
      <c r="AF247" s="429">
        <v>0</v>
      </c>
      <c r="AG247" s="363"/>
      <c r="AH247" s="363"/>
      <c r="AI247" s="363">
        <v>6000</v>
      </c>
      <c r="AJ247" s="360">
        <v>0</v>
      </c>
      <c r="AK247" s="360">
        <v>0</v>
      </c>
      <c r="AL247" s="360">
        <v>0</v>
      </c>
      <c r="AM247" s="360">
        <f t="shared" si="7"/>
        <v>6000</v>
      </c>
      <c r="AN247" s="362">
        <f>ERP_26[[#This Row],[2026 Working Total]]-ERP_26[[#This Row],[LE2 Final Submission]]</f>
        <v>0</v>
      </c>
      <c r="AO247" s="79"/>
      <c r="AP247" s="79">
        <f t="shared" si="8"/>
        <v>0</v>
      </c>
      <c r="AQ247" s="374">
        <f>SUM(ERP_26[[#This Row],[AP01]:[AP06]])-SUM(ERP_26[[#This Row],[AP01 LE2]:[AP06 LE2]])</f>
        <v>0</v>
      </c>
      <c r="AR247" s="80"/>
      <c r="AS247" s="79">
        <f>ERP_26[[#This Row],[2026 Working Total to Budget/LE]]-ERP_26[[#This Row],[Giveback]]</f>
        <v>0</v>
      </c>
      <c r="AT247" s="81"/>
      <c r="AU247" s="375"/>
      <c r="AV247" s="375"/>
      <c r="AW247" s="375"/>
      <c r="AX247" s="375"/>
      <c r="AY247" s="375"/>
      <c r="AZ247" s="375"/>
      <c r="BA247" s="375"/>
      <c r="BB247" s="375"/>
      <c r="BC247" s="375">
        <v>6000</v>
      </c>
      <c r="BD247" s="375">
        <v>0</v>
      </c>
      <c r="BE247" s="375">
        <v>0</v>
      </c>
      <c r="BF247" s="375">
        <v>0</v>
      </c>
      <c r="BG247" s="375">
        <v>6000</v>
      </c>
      <c r="BH247" s="79"/>
      <c r="BI247" s="79"/>
      <c r="BJ247" s="79"/>
      <c r="BK247" s="79"/>
      <c r="BL247" s="79"/>
      <c r="BM247" s="79"/>
      <c r="BN247" s="79"/>
      <c r="BO247" s="79"/>
      <c r="BP247" s="79">
        <v>6000</v>
      </c>
      <c r="BQ247" s="79">
        <v>0</v>
      </c>
      <c r="BR247" s="79">
        <v>0</v>
      </c>
      <c r="BS247" s="79">
        <v>0</v>
      </c>
      <c r="BT247" s="79">
        <v>6000</v>
      </c>
    </row>
    <row r="248" spans="1:72" ht="15" customHeight="1">
      <c r="A248" s="66" t="s">
        <v>1376</v>
      </c>
      <c r="B248" s="66"/>
      <c r="C248" s="66" t="s">
        <v>170</v>
      </c>
      <c r="D248" s="66" t="s">
        <v>170</v>
      </c>
      <c r="E248" s="150" t="s">
        <v>1136</v>
      </c>
      <c r="F248" s="482" t="s">
        <v>1566</v>
      </c>
      <c r="G248" s="383" t="s">
        <v>1344</v>
      </c>
      <c r="H248" s="383" t="s">
        <v>1344</v>
      </c>
      <c r="I248" s="150" t="s">
        <v>1345</v>
      </c>
      <c r="J248" s="150" t="s">
        <v>1344</v>
      </c>
      <c r="K248" s="150" t="s">
        <v>1346</v>
      </c>
      <c r="L248" s="511" t="s">
        <v>49</v>
      </c>
      <c r="M248" s="392" t="s">
        <v>1377</v>
      </c>
      <c r="N248" s="343"/>
      <c r="O248" s="343"/>
      <c r="P248" s="70" t="s">
        <v>171</v>
      </c>
      <c r="Q248" s="346"/>
      <c r="R248" s="343"/>
      <c r="S248" s="346"/>
      <c r="T248" s="150" t="s">
        <v>25</v>
      </c>
      <c r="U248" s="150"/>
      <c r="V248" s="403"/>
      <c r="W248" s="406">
        <v>45000</v>
      </c>
      <c r="X248" s="406">
        <v>45000</v>
      </c>
      <c r="Y248" s="425"/>
      <c r="Z248" s="71"/>
      <c r="AA248" s="426"/>
      <c r="AB248" s="427"/>
      <c r="AC248" s="427"/>
      <c r="AD248" s="428" t="s">
        <v>1142</v>
      </c>
      <c r="AE248" s="429">
        <v>0</v>
      </c>
      <c r="AF248" s="429">
        <v>0</v>
      </c>
      <c r="AG248" s="363"/>
      <c r="AH248" s="363"/>
      <c r="AI248" s="363">
        <v>45000</v>
      </c>
      <c r="AJ248" s="360">
        <v>0</v>
      </c>
      <c r="AK248" s="360">
        <v>0</v>
      </c>
      <c r="AL248" s="360">
        <v>0</v>
      </c>
      <c r="AM248" s="360">
        <f t="shared" si="7"/>
        <v>45000</v>
      </c>
      <c r="AN248" s="362">
        <f>ERP_26[[#This Row],[2026 Working Total]]-ERP_26[[#This Row],[LE2 Final Submission]]</f>
        <v>0</v>
      </c>
      <c r="AO248" s="79"/>
      <c r="AP248" s="79">
        <f t="shared" si="8"/>
        <v>0</v>
      </c>
      <c r="AQ248" s="374">
        <f>SUM(ERP_26[[#This Row],[AP01]:[AP06]])-SUM(ERP_26[[#This Row],[AP01 LE2]:[AP06 LE2]])</f>
        <v>0</v>
      </c>
      <c r="AR248" s="80"/>
      <c r="AS248" s="79">
        <f>ERP_26[[#This Row],[2026 Working Total to Budget/LE]]-ERP_26[[#This Row],[Giveback]]</f>
        <v>0</v>
      </c>
      <c r="AT248" s="81"/>
      <c r="AU248" s="375"/>
      <c r="AV248" s="375"/>
      <c r="AW248" s="375"/>
      <c r="AX248" s="375"/>
      <c r="AY248" s="375"/>
      <c r="AZ248" s="375"/>
      <c r="BA248" s="375"/>
      <c r="BB248" s="375"/>
      <c r="BC248" s="375">
        <v>45000</v>
      </c>
      <c r="BD248" s="375">
        <v>0</v>
      </c>
      <c r="BE248" s="375">
        <v>0</v>
      </c>
      <c r="BF248" s="375">
        <v>0</v>
      </c>
      <c r="BG248" s="375">
        <v>45000</v>
      </c>
      <c r="BH248" s="79"/>
      <c r="BI248" s="79"/>
      <c r="BJ248" s="79"/>
      <c r="BK248" s="79"/>
      <c r="BL248" s="79"/>
      <c r="BM248" s="79"/>
      <c r="BN248" s="79"/>
      <c r="BO248" s="79"/>
      <c r="BP248" s="79">
        <v>45000</v>
      </c>
      <c r="BQ248" s="79">
        <v>0</v>
      </c>
      <c r="BR248" s="79">
        <v>0</v>
      </c>
      <c r="BS248" s="79">
        <v>0</v>
      </c>
      <c r="BT248" s="79">
        <v>45000</v>
      </c>
    </row>
    <row r="249" spans="1:72" ht="15" customHeight="1">
      <c r="A249" s="66" t="s">
        <v>1378</v>
      </c>
      <c r="B249" s="66"/>
      <c r="C249" s="66" t="s">
        <v>172</v>
      </c>
      <c r="D249" s="66" t="s">
        <v>172</v>
      </c>
      <c r="E249" s="150" t="s">
        <v>1136</v>
      </c>
      <c r="F249" s="482" t="s">
        <v>1566</v>
      </c>
      <c r="G249" s="383" t="s">
        <v>1344</v>
      </c>
      <c r="H249" s="383" t="s">
        <v>1344</v>
      </c>
      <c r="I249" s="150" t="s">
        <v>1345</v>
      </c>
      <c r="J249" s="150" t="s">
        <v>1344</v>
      </c>
      <c r="K249" s="150" t="s">
        <v>1346</v>
      </c>
      <c r="L249" s="511" t="s">
        <v>49</v>
      </c>
      <c r="M249" s="392" t="s">
        <v>1379</v>
      </c>
      <c r="N249" s="343"/>
      <c r="O249" s="346" t="s">
        <v>1363</v>
      </c>
      <c r="P249" s="70" t="s">
        <v>173</v>
      </c>
      <c r="Q249" s="346"/>
      <c r="R249" s="346" t="s">
        <v>1380</v>
      </c>
      <c r="S249" s="346"/>
      <c r="T249" s="150" t="s">
        <v>25</v>
      </c>
      <c r="U249" s="150"/>
      <c r="V249" s="403"/>
      <c r="W249" s="406">
        <v>515000</v>
      </c>
      <c r="X249" s="406">
        <v>335362.38</v>
      </c>
      <c r="Y249" s="430"/>
      <c r="Z249" s="137"/>
      <c r="AA249" s="426"/>
      <c r="AB249" s="427">
        <v>66916.990000000005</v>
      </c>
      <c r="AC249" s="427">
        <v>75010.39</v>
      </c>
      <c r="AD249" s="428">
        <v>45158.709999999992</v>
      </c>
      <c r="AE249" s="429">
        <v>45158.710000000006</v>
      </c>
      <c r="AF249" s="429">
        <v>56448.39</v>
      </c>
      <c r="AG249" s="363">
        <v>25000</v>
      </c>
      <c r="AH249" s="363">
        <v>22236</v>
      </c>
      <c r="AI249" s="363">
        <v>0</v>
      </c>
      <c r="AJ249" s="363">
        <v>0</v>
      </c>
      <c r="AK249" s="363">
        <v>0</v>
      </c>
      <c r="AL249" s="363">
        <v>0</v>
      </c>
      <c r="AM249" s="360">
        <f t="shared" si="7"/>
        <v>335929.19</v>
      </c>
      <c r="AN249" s="362">
        <f>ERP_26[[#This Row],[2026 Working Total]]-ERP_26[[#This Row],[LE2 Final Submission]]</f>
        <v>566.80999999999767</v>
      </c>
      <c r="AO249" s="79">
        <v>40792</v>
      </c>
      <c r="AP249" s="79">
        <f t="shared" si="8"/>
        <v>15656.39</v>
      </c>
      <c r="AQ249" s="374">
        <f>SUM(ERP_26[[#This Row],[AP01]:[AP06]])-SUM(ERP_26[[#This Row],[AP01 LE2]:[AP06 LE2]])</f>
        <v>22330.809999999998</v>
      </c>
      <c r="AR249" s="80">
        <v>180000</v>
      </c>
      <c r="AS249" s="79">
        <f>ERP_26[[#This Row],[2026 Working Total to Budget/LE]]-ERP_26[[#This Row],[Giveback]]</f>
        <v>-179433.19</v>
      </c>
      <c r="AT249" s="81" t="s">
        <v>1381</v>
      </c>
      <c r="AU249" s="375"/>
      <c r="AV249" s="375">
        <v>66916.990000000005</v>
      </c>
      <c r="AW249" s="375">
        <v>75010.39</v>
      </c>
      <c r="AX249" s="375">
        <v>40062</v>
      </c>
      <c r="AY249" s="375">
        <v>40792</v>
      </c>
      <c r="AZ249" s="375">
        <v>43581</v>
      </c>
      <c r="BA249" s="375">
        <v>35000</v>
      </c>
      <c r="BB249" s="375">
        <v>34000</v>
      </c>
      <c r="BC249" s="375">
        <v>0</v>
      </c>
      <c r="BD249" s="375">
        <v>0</v>
      </c>
      <c r="BE249" s="375">
        <v>0</v>
      </c>
      <c r="BF249" s="375">
        <v>0</v>
      </c>
      <c r="BG249" s="375">
        <v>335362.38</v>
      </c>
      <c r="BH249" s="79"/>
      <c r="BI249" s="79">
        <v>66916.990000000005</v>
      </c>
      <c r="BJ249" s="79">
        <v>75010.39</v>
      </c>
      <c r="BK249" s="79">
        <v>48286</v>
      </c>
      <c r="BL249" s="79">
        <v>48386</v>
      </c>
      <c r="BM249" s="79">
        <v>48286</v>
      </c>
      <c r="BN249" s="79">
        <v>38449</v>
      </c>
      <c r="BO249" s="79">
        <v>38449</v>
      </c>
      <c r="BP249" s="79">
        <v>44462</v>
      </c>
      <c r="BQ249" s="79">
        <v>44462</v>
      </c>
      <c r="BR249" s="79">
        <v>44462</v>
      </c>
      <c r="BS249" s="79">
        <v>44462</v>
      </c>
      <c r="BT249" s="79">
        <v>541631.38</v>
      </c>
    </row>
    <row r="250" spans="1:72" ht="15" customHeight="1">
      <c r="A250" s="66" t="s">
        <v>1382</v>
      </c>
      <c r="B250" s="66"/>
      <c r="C250" s="66" t="s">
        <v>174</v>
      </c>
      <c r="D250" s="66" t="s">
        <v>174</v>
      </c>
      <c r="E250" s="150" t="s">
        <v>1136</v>
      </c>
      <c r="F250" s="482" t="s">
        <v>1566</v>
      </c>
      <c r="G250" s="383" t="s">
        <v>1344</v>
      </c>
      <c r="H250" s="383" t="s">
        <v>1344</v>
      </c>
      <c r="I250" s="150" t="s">
        <v>1345</v>
      </c>
      <c r="J250" s="150" t="s">
        <v>1344</v>
      </c>
      <c r="K250" s="150" t="s">
        <v>1346</v>
      </c>
      <c r="L250" s="511" t="s">
        <v>49</v>
      </c>
      <c r="M250" s="392" t="s">
        <v>1383</v>
      </c>
      <c r="N250" s="343"/>
      <c r="O250" s="343"/>
      <c r="P250" s="70" t="s">
        <v>175</v>
      </c>
      <c r="Q250" s="346"/>
      <c r="R250" s="343"/>
      <c r="S250" s="346"/>
      <c r="T250" s="150" t="s">
        <v>25</v>
      </c>
      <c r="U250" s="150"/>
      <c r="V250" s="403"/>
      <c r="W250" s="406">
        <v>0</v>
      </c>
      <c r="X250" s="406">
        <v>0</v>
      </c>
      <c r="Y250" s="425"/>
      <c r="Z250" s="71"/>
      <c r="AA250" s="426"/>
      <c r="AB250" s="427"/>
      <c r="AC250" s="427"/>
      <c r="AD250" s="428" t="s">
        <v>1142</v>
      </c>
      <c r="AE250" s="429">
        <v>0</v>
      </c>
      <c r="AF250" s="429">
        <v>0</v>
      </c>
      <c r="AG250" s="363">
        <v>0</v>
      </c>
      <c r="AH250" s="363">
        <v>0</v>
      </c>
      <c r="AI250" s="363">
        <v>0</v>
      </c>
      <c r="AJ250" s="363">
        <v>0</v>
      </c>
      <c r="AK250" s="363">
        <v>0</v>
      </c>
      <c r="AL250" s="363">
        <v>0</v>
      </c>
      <c r="AM250" s="360">
        <f t="shared" si="7"/>
        <v>0</v>
      </c>
      <c r="AN250" s="362">
        <f>ERP_26[[#This Row],[2026 Working Total]]-ERP_26[[#This Row],[LE2 Final Submission]]</f>
        <v>0</v>
      </c>
      <c r="AO250" s="79"/>
      <c r="AP250" s="79">
        <f t="shared" si="8"/>
        <v>0</v>
      </c>
      <c r="AQ250" s="374">
        <f>SUM(ERP_26[[#This Row],[AP01]:[AP06]])-SUM(ERP_26[[#This Row],[AP01 LE2]:[AP06 LE2]])</f>
        <v>0</v>
      </c>
      <c r="AR250" s="80">
        <v>280000</v>
      </c>
      <c r="AS250" s="79">
        <f>ERP_26[[#This Row],[2026 Working Total to Budget/LE]]-ERP_26[[#This Row],[Giveback]]</f>
        <v>-280000</v>
      </c>
      <c r="AT250" s="81" t="s">
        <v>1384</v>
      </c>
      <c r="AU250" s="375"/>
      <c r="AV250" s="375"/>
      <c r="AW250" s="375"/>
      <c r="AX250" s="375"/>
      <c r="AY250" s="375"/>
      <c r="AZ250" s="375"/>
      <c r="BA250" s="375">
        <v>0</v>
      </c>
      <c r="BB250" s="375">
        <v>0</v>
      </c>
      <c r="BC250" s="375">
        <v>0</v>
      </c>
      <c r="BD250" s="375">
        <v>0</v>
      </c>
      <c r="BE250" s="375">
        <v>0</v>
      </c>
      <c r="BF250" s="375">
        <v>0</v>
      </c>
      <c r="BG250" s="375">
        <v>0</v>
      </c>
      <c r="BH250" s="79"/>
      <c r="BI250" s="79"/>
      <c r="BJ250" s="79"/>
      <c r="BK250" s="79"/>
      <c r="BL250" s="79"/>
      <c r="BM250" s="79"/>
      <c r="BN250" s="79">
        <v>46666.666666999998</v>
      </c>
      <c r="BO250" s="79">
        <v>46666.666666999998</v>
      </c>
      <c r="BP250" s="79">
        <v>46666.666666999998</v>
      </c>
      <c r="BQ250" s="79">
        <v>46666.666666999998</v>
      </c>
      <c r="BR250" s="79">
        <v>46666.666666999998</v>
      </c>
      <c r="BS250" s="79">
        <v>46666.666666999998</v>
      </c>
      <c r="BT250" s="79">
        <v>280000.00000199996</v>
      </c>
    </row>
    <row r="251" spans="1:72" ht="15" customHeight="1">
      <c r="A251" s="66" t="s">
        <v>1385</v>
      </c>
      <c r="B251" s="66"/>
      <c r="C251" s="66" t="s">
        <v>176</v>
      </c>
      <c r="D251" s="66" t="s">
        <v>176</v>
      </c>
      <c r="E251" s="150" t="s">
        <v>1136</v>
      </c>
      <c r="F251" s="482" t="s">
        <v>1566</v>
      </c>
      <c r="G251" s="383" t="s">
        <v>1344</v>
      </c>
      <c r="H251" s="383" t="s">
        <v>1344</v>
      </c>
      <c r="I251" s="150" t="s">
        <v>1345</v>
      </c>
      <c r="J251" s="150" t="s">
        <v>1344</v>
      </c>
      <c r="K251" s="150" t="s">
        <v>1346</v>
      </c>
      <c r="L251" s="511" t="s">
        <v>49</v>
      </c>
      <c r="M251" s="392" t="s">
        <v>1386</v>
      </c>
      <c r="N251" s="343" t="s">
        <v>1387</v>
      </c>
      <c r="O251" s="346" t="s">
        <v>1363</v>
      </c>
      <c r="P251" s="70" t="s">
        <v>177</v>
      </c>
      <c r="Q251" s="346"/>
      <c r="R251" s="346" t="s">
        <v>1388</v>
      </c>
      <c r="S251" s="346"/>
      <c r="T251" s="150" t="s">
        <v>25</v>
      </c>
      <c r="U251" s="150"/>
      <c r="V251" s="403"/>
      <c r="W251" s="406">
        <v>1452300</v>
      </c>
      <c r="X251" s="406">
        <v>963567.79</v>
      </c>
      <c r="Y251" s="425"/>
      <c r="Z251" s="71"/>
      <c r="AA251" s="426">
        <v>48462.57</v>
      </c>
      <c r="AB251" s="427">
        <v>207334.66</v>
      </c>
      <c r="AC251" s="427">
        <v>98620.56</v>
      </c>
      <c r="AD251" s="428">
        <v>116861</v>
      </c>
      <c r="AE251" s="429">
        <v>28181.629999999976</v>
      </c>
      <c r="AF251" s="429">
        <v>293546.2</v>
      </c>
      <c r="AG251" s="363">
        <v>70000</v>
      </c>
      <c r="AH251" s="363">
        <v>70000</v>
      </c>
      <c r="AI251" s="363">
        <v>70000</v>
      </c>
      <c r="AJ251" s="363">
        <v>70000</v>
      </c>
      <c r="AK251" s="363">
        <v>70000</v>
      </c>
      <c r="AL251" s="363">
        <v>54107</v>
      </c>
      <c r="AM251" s="360">
        <f t="shared" si="7"/>
        <v>1197113.6200000001</v>
      </c>
      <c r="AN251" s="362">
        <f>ERP_26[[#This Row],[2026 Working Total]]-ERP_26[[#This Row],[LE2 Final Submission]]</f>
        <v>233545.83000000007</v>
      </c>
      <c r="AO251" s="79">
        <v>132050</v>
      </c>
      <c r="AP251" s="79">
        <f t="shared" si="8"/>
        <v>161496.20000000001</v>
      </c>
      <c r="AQ251" s="374">
        <f>SUM(ERP_26[[#This Row],[AP01]:[AP06]])-SUM(ERP_26[[#This Row],[AP01 LE2]:[AP06 LE2]])</f>
        <v>42438.830000000075</v>
      </c>
      <c r="AR251" s="80">
        <v>488000</v>
      </c>
      <c r="AS251" s="79">
        <f>ERP_26[[#This Row],[2026 Working Total to Budget/LE]]-ERP_26[[#This Row],[Giveback]]</f>
        <v>-254454.16999999993</v>
      </c>
      <c r="AT251" s="81" t="s">
        <v>1389</v>
      </c>
      <c r="AU251" s="375">
        <v>48462.57</v>
      </c>
      <c r="AV251" s="375">
        <v>207334.66</v>
      </c>
      <c r="AW251" s="375">
        <v>98620.56</v>
      </c>
      <c r="AX251" s="375">
        <v>132050</v>
      </c>
      <c r="AY251" s="375">
        <v>132050</v>
      </c>
      <c r="AZ251" s="375">
        <v>132050</v>
      </c>
      <c r="BA251" s="375">
        <v>68000</v>
      </c>
      <c r="BB251" s="375">
        <v>29000</v>
      </c>
      <c r="BC251" s="375">
        <v>29000</v>
      </c>
      <c r="BD251" s="375">
        <v>29000</v>
      </c>
      <c r="BE251" s="375">
        <v>29000</v>
      </c>
      <c r="BF251" s="375">
        <v>29000</v>
      </c>
      <c r="BG251" s="375">
        <v>963567.79</v>
      </c>
      <c r="BH251" s="79">
        <v>48462.57</v>
      </c>
      <c r="BI251" s="79">
        <v>207334.66</v>
      </c>
      <c r="BJ251" s="79">
        <v>98620.56</v>
      </c>
      <c r="BK251" s="79">
        <v>132050</v>
      </c>
      <c r="BL251" s="79">
        <v>132050</v>
      </c>
      <c r="BM251" s="79">
        <v>132050</v>
      </c>
      <c r="BN251" s="79">
        <v>108302.77</v>
      </c>
      <c r="BO251" s="79">
        <v>100000</v>
      </c>
      <c r="BP251" s="79">
        <v>100000</v>
      </c>
      <c r="BQ251" s="79">
        <v>100000</v>
      </c>
      <c r="BR251" s="79">
        <v>100000</v>
      </c>
      <c r="BS251" s="79">
        <v>100000</v>
      </c>
      <c r="BT251" s="79">
        <v>1358870.56</v>
      </c>
    </row>
    <row r="252" spans="1:72" ht="15" customHeight="1">
      <c r="A252" s="66" t="s">
        <v>1390</v>
      </c>
      <c r="B252" s="66"/>
      <c r="C252" s="66" t="s">
        <v>178</v>
      </c>
      <c r="D252" s="66" t="s">
        <v>178</v>
      </c>
      <c r="E252" s="150" t="s">
        <v>1136</v>
      </c>
      <c r="F252" s="482" t="s">
        <v>1566</v>
      </c>
      <c r="G252" s="383" t="s">
        <v>1344</v>
      </c>
      <c r="H252" s="383" t="s">
        <v>1344</v>
      </c>
      <c r="I252" s="150" t="s">
        <v>1345</v>
      </c>
      <c r="J252" s="150" t="s">
        <v>1344</v>
      </c>
      <c r="K252" s="150" t="s">
        <v>1346</v>
      </c>
      <c r="L252" s="511" t="s">
        <v>49</v>
      </c>
      <c r="M252" s="392" t="s">
        <v>1391</v>
      </c>
      <c r="N252" s="343" t="s">
        <v>1387</v>
      </c>
      <c r="O252" s="346" t="s">
        <v>1363</v>
      </c>
      <c r="P252" s="70" t="s">
        <v>179</v>
      </c>
      <c r="Q252" s="346"/>
      <c r="R252" s="346" t="s">
        <v>1392</v>
      </c>
      <c r="S252" s="346"/>
      <c r="T252" s="150" t="s">
        <v>25</v>
      </c>
      <c r="U252" s="150"/>
      <c r="V252" s="403"/>
      <c r="W252" s="406">
        <v>486372.24000000005</v>
      </c>
      <c r="X252" s="406">
        <v>426376.62</v>
      </c>
      <c r="Y252" s="430"/>
      <c r="Z252" s="137"/>
      <c r="AA252" s="426">
        <v>58570.53</v>
      </c>
      <c r="AB252" s="427">
        <v>65599.81</v>
      </c>
      <c r="AC252" s="427">
        <v>81999.28</v>
      </c>
      <c r="AD252" s="428">
        <v>65599.430000000008</v>
      </c>
      <c r="AE252" s="429">
        <v>65599.420000000013</v>
      </c>
      <c r="AF252" s="429">
        <v>66848.250000000015</v>
      </c>
      <c r="AG252" s="363">
        <v>11682</v>
      </c>
      <c r="AH252" s="363">
        <v>0</v>
      </c>
      <c r="AI252" s="360">
        <v>0</v>
      </c>
      <c r="AJ252" s="360">
        <v>0</v>
      </c>
      <c r="AK252" s="360">
        <v>0</v>
      </c>
      <c r="AL252" s="360">
        <v>0</v>
      </c>
      <c r="AM252" s="360">
        <f t="shared" si="7"/>
        <v>415898.72</v>
      </c>
      <c r="AN252" s="362">
        <f>ERP_26[[#This Row],[2026 Working Total]]-ERP_26[[#This Row],[LE2 Final Submission]]</f>
        <v>-10477.900000000023</v>
      </c>
      <c r="AO252" s="79">
        <v>70019</v>
      </c>
      <c r="AP252" s="79">
        <f t="shared" si="8"/>
        <v>-3170.7499999999854</v>
      </c>
      <c r="AQ252" s="374">
        <f>SUM(ERP_26[[#This Row],[AP01]:[AP06]])-SUM(ERP_26[[#This Row],[AP01 LE2]:[AP06 LE2]])</f>
        <v>-12009.900000000023</v>
      </c>
      <c r="AR252" s="80">
        <v>60000</v>
      </c>
      <c r="AS252" s="79">
        <f>ERP_26[[#This Row],[2026 Working Total to Budget/LE]]-ERP_26[[#This Row],[Giveback]]</f>
        <v>-70477.900000000023</v>
      </c>
      <c r="AT252" s="81" t="s">
        <v>1393</v>
      </c>
      <c r="AU252" s="375">
        <v>58570.53</v>
      </c>
      <c r="AV252" s="375">
        <v>65599.81</v>
      </c>
      <c r="AW252" s="375">
        <v>81999.28</v>
      </c>
      <c r="AX252" s="375">
        <v>70019</v>
      </c>
      <c r="AY252" s="375">
        <v>70019</v>
      </c>
      <c r="AZ252" s="375">
        <v>70019</v>
      </c>
      <c r="BA252" s="375">
        <v>10150</v>
      </c>
      <c r="BB252" s="375">
        <v>0</v>
      </c>
      <c r="BC252" s="375">
        <v>0</v>
      </c>
      <c r="BD252" s="375">
        <v>0</v>
      </c>
      <c r="BE252" s="375">
        <v>0</v>
      </c>
      <c r="BF252" s="375">
        <v>0</v>
      </c>
      <c r="BG252" s="375">
        <v>426376.62</v>
      </c>
      <c r="BH252" s="79">
        <v>58570.53</v>
      </c>
      <c r="BI252" s="79">
        <v>65599.81</v>
      </c>
      <c r="BJ252" s="79">
        <v>81999.28</v>
      </c>
      <c r="BK252" s="79">
        <v>69224</v>
      </c>
      <c r="BL252" s="79">
        <v>69224</v>
      </c>
      <c r="BM252" s="79">
        <v>69224</v>
      </c>
      <c r="BN252" s="79">
        <v>71025</v>
      </c>
      <c r="BO252" s="79">
        <v>15160</v>
      </c>
      <c r="BP252" s="79">
        <v>0</v>
      </c>
      <c r="BQ252" s="79">
        <v>0</v>
      </c>
      <c r="BR252" s="79">
        <v>0</v>
      </c>
      <c r="BS252" s="79">
        <v>0</v>
      </c>
      <c r="BT252" s="79">
        <v>500026.62</v>
      </c>
    </row>
    <row r="253" spans="1:72" ht="15" customHeight="1">
      <c r="A253" s="66" t="s">
        <v>1394</v>
      </c>
      <c r="B253" s="66"/>
      <c r="C253" s="66" t="s">
        <v>180</v>
      </c>
      <c r="D253" s="66" t="s">
        <v>180</v>
      </c>
      <c r="E253" s="150" t="s">
        <v>1136</v>
      </c>
      <c r="F253" s="482" t="s">
        <v>1566</v>
      </c>
      <c r="G253" s="383" t="s">
        <v>1344</v>
      </c>
      <c r="H253" s="383" t="s">
        <v>1344</v>
      </c>
      <c r="I253" s="150" t="s">
        <v>1345</v>
      </c>
      <c r="J253" s="150" t="s">
        <v>1344</v>
      </c>
      <c r="K253" s="150" t="s">
        <v>1346</v>
      </c>
      <c r="L253" s="511" t="s">
        <v>49</v>
      </c>
      <c r="M253" s="392" t="s">
        <v>1395</v>
      </c>
      <c r="N253" s="343"/>
      <c r="O253" s="343"/>
      <c r="P253" s="70" t="s">
        <v>181</v>
      </c>
      <c r="Q253" s="346"/>
      <c r="R253" s="343"/>
      <c r="S253" s="346"/>
      <c r="T253" s="150" t="s">
        <v>119</v>
      </c>
      <c r="U253" s="150"/>
      <c r="V253" s="403"/>
      <c r="W253" s="406">
        <v>50000</v>
      </c>
      <c r="X253" s="406">
        <v>50000</v>
      </c>
      <c r="Y253" s="425"/>
      <c r="Z253" s="71"/>
      <c r="AA253" s="426"/>
      <c r="AB253" s="427"/>
      <c r="AC253" s="427"/>
      <c r="AD253" s="428" t="s">
        <v>1142</v>
      </c>
      <c r="AE253" s="429">
        <v>0</v>
      </c>
      <c r="AF253" s="429">
        <v>0</v>
      </c>
      <c r="AG253" s="363"/>
      <c r="AH253" s="363">
        <v>50000</v>
      </c>
      <c r="AI253" s="360">
        <v>0</v>
      </c>
      <c r="AJ253" s="360">
        <v>0</v>
      </c>
      <c r="AK253" s="360">
        <v>0</v>
      </c>
      <c r="AL253" s="360">
        <v>0</v>
      </c>
      <c r="AM253" s="360">
        <f t="shared" si="7"/>
        <v>50000</v>
      </c>
      <c r="AN253" s="362">
        <f>ERP_26[[#This Row],[2026 Working Total]]-ERP_26[[#This Row],[LE2 Final Submission]]</f>
        <v>0</v>
      </c>
      <c r="AO253" s="79"/>
      <c r="AP253" s="79">
        <f t="shared" si="8"/>
        <v>0</v>
      </c>
      <c r="AQ253" s="374">
        <f>SUM(ERP_26[[#This Row],[AP01]:[AP06]])-SUM(ERP_26[[#This Row],[AP01 LE2]:[AP06 LE2]])</f>
        <v>0</v>
      </c>
      <c r="AR253" s="80"/>
      <c r="AS253" s="79">
        <f>ERP_26[[#This Row],[2026 Working Total to Budget/LE]]-ERP_26[[#This Row],[Giveback]]</f>
        <v>0</v>
      </c>
      <c r="AT253" s="81"/>
      <c r="AU253" s="375"/>
      <c r="AV253" s="375"/>
      <c r="AW253" s="375"/>
      <c r="AX253" s="375"/>
      <c r="AY253" s="375"/>
      <c r="AZ253" s="375"/>
      <c r="BA253" s="375"/>
      <c r="BB253" s="375">
        <v>50000</v>
      </c>
      <c r="BC253" s="375">
        <v>0</v>
      </c>
      <c r="BD253" s="375">
        <v>0</v>
      </c>
      <c r="BE253" s="375">
        <v>0</v>
      </c>
      <c r="BF253" s="375">
        <v>0</v>
      </c>
      <c r="BG253" s="375">
        <v>50000</v>
      </c>
      <c r="BH253" s="79"/>
      <c r="BI253" s="79"/>
      <c r="BJ253" s="79"/>
      <c r="BK253" s="79"/>
      <c r="BL253" s="79"/>
      <c r="BM253" s="79"/>
      <c r="BN253" s="79"/>
      <c r="BO253" s="79">
        <v>50000</v>
      </c>
      <c r="BP253" s="79">
        <v>0</v>
      </c>
      <c r="BQ253" s="79">
        <v>0</v>
      </c>
      <c r="BR253" s="79">
        <v>0</v>
      </c>
      <c r="BS253" s="79">
        <v>0</v>
      </c>
      <c r="BT253" s="79">
        <v>50000</v>
      </c>
    </row>
    <row r="254" spans="1:72" ht="15" customHeight="1">
      <c r="A254" s="66" t="s">
        <v>1396</v>
      </c>
      <c r="B254" s="66"/>
      <c r="C254" s="66" t="s">
        <v>182</v>
      </c>
      <c r="D254" s="66" t="s">
        <v>182</v>
      </c>
      <c r="E254" s="150" t="s">
        <v>1136</v>
      </c>
      <c r="F254" s="482" t="s">
        <v>1566</v>
      </c>
      <c r="G254" s="383" t="s">
        <v>1344</v>
      </c>
      <c r="H254" s="383" t="s">
        <v>1344</v>
      </c>
      <c r="I254" s="150" t="s">
        <v>1345</v>
      </c>
      <c r="J254" s="150" t="s">
        <v>1344</v>
      </c>
      <c r="K254" s="150" t="s">
        <v>1346</v>
      </c>
      <c r="L254" s="511" t="s">
        <v>49</v>
      </c>
      <c r="M254" s="392" t="s">
        <v>1397</v>
      </c>
      <c r="N254" s="343"/>
      <c r="O254" s="343"/>
      <c r="P254" s="70" t="s">
        <v>183</v>
      </c>
      <c r="Q254" s="346"/>
      <c r="R254" s="343"/>
      <c r="S254" s="346"/>
      <c r="T254" s="150" t="s">
        <v>119</v>
      </c>
      <c r="U254" s="150"/>
      <c r="V254" s="403"/>
      <c r="W254" s="406">
        <v>25000</v>
      </c>
      <c r="X254" s="406">
        <v>25000</v>
      </c>
      <c r="Y254" s="425"/>
      <c r="Z254" s="71"/>
      <c r="AA254" s="426"/>
      <c r="AB254" s="427"/>
      <c r="AC254" s="427"/>
      <c r="AD254" s="428" t="s">
        <v>1142</v>
      </c>
      <c r="AE254" s="429">
        <v>0</v>
      </c>
      <c r="AF254" s="429">
        <v>0</v>
      </c>
      <c r="AG254" s="363"/>
      <c r="AH254" s="363">
        <v>25000</v>
      </c>
      <c r="AI254" s="360">
        <v>0</v>
      </c>
      <c r="AJ254" s="360">
        <v>0</v>
      </c>
      <c r="AK254" s="360">
        <v>0</v>
      </c>
      <c r="AL254" s="360">
        <v>0</v>
      </c>
      <c r="AM254" s="360">
        <f t="shared" si="7"/>
        <v>25000</v>
      </c>
      <c r="AN254" s="362">
        <f>ERP_26[[#This Row],[2026 Working Total]]-ERP_26[[#This Row],[LE2 Final Submission]]</f>
        <v>0</v>
      </c>
      <c r="AO254" s="79"/>
      <c r="AP254" s="79">
        <f t="shared" si="8"/>
        <v>0</v>
      </c>
      <c r="AQ254" s="374">
        <f>SUM(ERP_26[[#This Row],[AP01]:[AP06]])-SUM(ERP_26[[#This Row],[AP01 LE2]:[AP06 LE2]])</f>
        <v>0</v>
      </c>
      <c r="AR254" s="80"/>
      <c r="AS254" s="79">
        <f>ERP_26[[#This Row],[2026 Working Total to Budget/LE]]-ERP_26[[#This Row],[Giveback]]</f>
        <v>0</v>
      </c>
      <c r="AT254" s="81"/>
      <c r="AU254" s="375"/>
      <c r="AV254" s="375"/>
      <c r="AW254" s="375"/>
      <c r="AX254" s="375"/>
      <c r="AY254" s="375"/>
      <c r="AZ254" s="375"/>
      <c r="BA254" s="375"/>
      <c r="BB254" s="375">
        <v>25000</v>
      </c>
      <c r="BC254" s="375">
        <v>0</v>
      </c>
      <c r="BD254" s="375">
        <v>0</v>
      </c>
      <c r="BE254" s="375">
        <v>0</v>
      </c>
      <c r="BF254" s="375">
        <v>0</v>
      </c>
      <c r="BG254" s="375">
        <v>25000</v>
      </c>
      <c r="BH254" s="79"/>
      <c r="BI254" s="79"/>
      <c r="BJ254" s="79"/>
      <c r="BK254" s="79"/>
      <c r="BL254" s="79"/>
      <c r="BM254" s="79"/>
      <c r="BN254" s="79"/>
      <c r="BO254" s="79">
        <v>25000</v>
      </c>
      <c r="BP254" s="79">
        <v>0</v>
      </c>
      <c r="BQ254" s="79">
        <v>0</v>
      </c>
      <c r="BR254" s="79">
        <v>0</v>
      </c>
      <c r="BS254" s="79">
        <v>0</v>
      </c>
      <c r="BT254" s="79">
        <v>25000</v>
      </c>
    </row>
    <row r="255" spans="1:72" ht="15" customHeight="1">
      <c r="A255" s="66" t="s">
        <v>1398</v>
      </c>
      <c r="B255" s="66"/>
      <c r="C255" s="66" t="s">
        <v>184</v>
      </c>
      <c r="D255" s="66" t="s">
        <v>184</v>
      </c>
      <c r="E255" s="150" t="s">
        <v>1136</v>
      </c>
      <c r="F255" s="482" t="s">
        <v>1566</v>
      </c>
      <c r="G255" s="383" t="s">
        <v>1344</v>
      </c>
      <c r="H255" s="383" t="s">
        <v>1344</v>
      </c>
      <c r="I255" s="150" t="s">
        <v>1345</v>
      </c>
      <c r="J255" s="150" t="s">
        <v>1344</v>
      </c>
      <c r="K255" s="150" t="s">
        <v>1346</v>
      </c>
      <c r="L255" s="511" t="s">
        <v>49</v>
      </c>
      <c r="M255" s="392" t="s">
        <v>1399</v>
      </c>
      <c r="N255" s="343"/>
      <c r="O255" s="343"/>
      <c r="P255" s="70" t="s">
        <v>185</v>
      </c>
      <c r="Q255" s="346"/>
      <c r="R255" s="343"/>
      <c r="S255" s="346"/>
      <c r="T255" s="150" t="s">
        <v>25</v>
      </c>
      <c r="U255" s="150" t="s">
        <v>1400</v>
      </c>
      <c r="V255" s="403"/>
      <c r="W255" s="406">
        <v>47697</v>
      </c>
      <c r="X255" s="406">
        <v>53620</v>
      </c>
      <c r="Y255" s="430"/>
      <c r="Z255" s="137"/>
      <c r="AA255" s="426"/>
      <c r="AB255" s="427"/>
      <c r="AC255" s="427"/>
      <c r="AD255" s="428">
        <v>0</v>
      </c>
      <c r="AE255" s="429">
        <v>5850</v>
      </c>
      <c r="AF255" s="429">
        <v>0</v>
      </c>
      <c r="AG255" s="363">
        <v>20000</v>
      </c>
      <c r="AH255" s="360">
        <v>11847</v>
      </c>
      <c r="AI255" s="363"/>
      <c r="AJ255" s="360">
        <v>0</v>
      </c>
      <c r="AK255" s="360">
        <v>0</v>
      </c>
      <c r="AL255" s="360">
        <v>0</v>
      </c>
      <c r="AM255" s="360">
        <f t="shared" si="7"/>
        <v>37697</v>
      </c>
      <c r="AN255" s="362">
        <f>ERP_26[[#This Row],[2026 Working Total]]-ERP_26[[#This Row],[LE2 Final Submission]]</f>
        <v>-15923</v>
      </c>
      <c r="AO255" s="79">
        <v>5850</v>
      </c>
      <c r="AP255" s="79">
        <f t="shared" si="8"/>
        <v>-5850</v>
      </c>
      <c r="AQ255" s="374">
        <f>SUM(ERP_26[[#This Row],[AP01]:[AP06]])-SUM(ERP_26[[#This Row],[AP01 LE2]:[AP06 LE2]])</f>
        <v>-15000</v>
      </c>
      <c r="AR255" s="80"/>
      <c r="AS255" s="79">
        <f>ERP_26[[#This Row],[2026 Working Total to Budget/LE]]-ERP_26[[#This Row],[Giveback]]</f>
        <v>-15923</v>
      </c>
      <c r="AT255" s="81"/>
      <c r="AU255" s="375"/>
      <c r="AV255" s="375"/>
      <c r="AW255" s="375"/>
      <c r="AX255" s="375">
        <v>15000</v>
      </c>
      <c r="AY255" s="375">
        <v>5850</v>
      </c>
      <c r="AZ255" s="375">
        <v>0</v>
      </c>
      <c r="BA255" s="375">
        <v>23247</v>
      </c>
      <c r="BB255" s="375">
        <v>0</v>
      </c>
      <c r="BC255" s="375">
        <v>9523</v>
      </c>
      <c r="BD255" s="375">
        <v>0</v>
      </c>
      <c r="BE255" s="375">
        <v>0</v>
      </c>
      <c r="BF255" s="375">
        <v>0</v>
      </c>
      <c r="BG255" s="375">
        <v>53620</v>
      </c>
      <c r="BH255" s="79"/>
      <c r="BI255" s="79"/>
      <c r="BJ255" s="79"/>
      <c r="BK255" s="79">
        <v>15000</v>
      </c>
      <c r="BL255" s="79">
        <v>0</v>
      </c>
      <c r="BM255" s="79">
        <v>0</v>
      </c>
      <c r="BN255" s="79">
        <v>23247</v>
      </c>
      <c r="BO255" s="79">
        <v>0</v>
      </c>
      <c r="BP255" s="79">
        <v>9523</v>
      </c>
      <c r="BQ255" s="79">
        <v>0</v>
      </c>
      <c r="BR255" s="79">
        <v>0</v>
      </c>
      <c r="BS255" s="79">
        <v>0</v>
      </c>
      <c r="BT255" s="79">
        <v>47770</v>
      </c>
    </row>
    <row r="256" spans="1:72" ht="15" customHeight="1">
      <c r="A256" s="66" t="s">
        <v>1401</v>
      </c>
      <c r="B256" s="66"/>
      <c r="C256" s="66" t="s">
        <v>186</v>
      </c>
      <c r="D256" s="66" t="s">
        <v>186</v>
      </c>
      <c r="E256" s="150" t="s">
        <v>1136</v>
      </c>
      <c r="F256" s="482" t="s">
        <v>1566</v>
      </c>
      <c r="G256" s="383" t="s">
        <v>1344</v>
      </c>
      <c r="H256" s="383" t="s">
        <v>1344</v>
      </c>
      <c r="I256" s="150" t="s">
        <v>1345</v>
      </c>
      <c r="J256" s="150" t="s">
        <v>1344</v>
      </c>
      <c r="K256" s="150" t="s">
        <v>1346</v>
      </c>
      <c r="L256" s="511" t="s">
        <v>49</v>
      </c>
      <c r="M256" s="392" t="s">
        <v>1402</v>
      </c>
      <c r="N256" s="343"/>
      <c r="O256" s="343"/>
      <c r="P256" s="70" t="s">
        <v>187</v>
      </c>
      <c r="Q256" s="346"/>
      <c r="R256" s="343"/>
      <c r="S256" s="346"/>
      <c r="T256" s="150" t="s">
        <v>188</v>
      </c>
      <c r="U256" s="150" t="s">
        <v>1403</v>
      </c>
      <c r="V256" s="403"/>
      <c r="W256" s="406">
        <v>25200</v>
      </c>
      <c r="X256" s="406">
        <v>0</v>
      </c>
      <c r="Y256" s="425"/>
      <c r="Z256" s="71"/>
      <c r="AA256" s="426"/>
      <c r="AB256" s="427"/>
      <c r="AC256" s="427"/>
      <c r="AD256" s="428" t="s">
        <v>1142</v>
      </c>
      <c r="AE256" s="429">
        <v>0</v>
      </c>
      <c r="AF256" s="429">
        <v>0</v>
      </c>
      <c r="AG256" s="363">
        <f t="shared" ref="AG256:AL256" si="9">2100-2100</f>
        <v>0</v>
      </c>
      <c r="AH256" s="363">
        <f t="shared" si="9"/>
        <v>0</v>
      </c>
      <c r="AI256" s="363">
        <f t="shared" si="9"/>
        <v>0</v>
      </c>
      <c r="AJ256" s="363">
        <f t="shared" si="9"/>
        <v>0</v>
      </c>
      <c r="AK256" s="363">
        <f t="shared" si="9"/>
        <v>0</v>
      </c>
      <c r="AL256" s="363">
        <f t="shared" si="9"/>
        <v>0</v>
      </c>
      <c r="AM256" s="360">
        <f t="shared" si="7"/>
        <v>0</v>
      </c>
      <c r="AN256" s="362">
        <f>ERP_26[[#This Row],[2026 Working Total]]-ERP_26[[#This Row],[LE2 Final Submission]]</f>
        <v>0</v>
      </c>
      <c r="AO256" s="79">
        <v>0</v>
      </c>
      <c r="AP256" s="79">
        <f t="shared" si="8"/>
        <v>0</v>
      </c>
      <c r="AQ256" s="374">
        <f>SUM(ERP_26[[#This Row],[AP01]:[AP06]])-SUM(ERP_26[[#This Row],[AP01 LE2]:[AP06 LE2]])</f>
        <v>0</v>
      </c>
      <c r="AR256" s="80"/>
      <c r="AS256" s="79">
        <f>ERP_26[[#This Row],[2026 Working Total to Budget/LE]]-ERP_26[[#This Row],[Giveback]]</f>
        <v>0</v>
      </c>
      <c r="AT256" s="81"/>
      <c r="AU256" s="375"/>
      <c r="AV256" s="375"/>
      <c r="AW256" s="375"/>
      <c r="AX256" s="375">
        <v>0</v>
      </c>
      <c r="AY256" s="375">
        <v>0</v>
      </c>
      <c r="AZ256" s="375">
        <v>0</v>
      </c>
      <c r="BA256" s="375">
        <v>0</v>
      </c>
      <c r="BB256" s="375">
        <v>0</v>
      </c>
      <c r="BC256" s="375">
        <v>0</v>
      </c>
      <c r="BD256" s="375">
        <v>0</v>
      </c>
      <c r="BE256" s="375">
        <v>0</v>
      </c>
      <c r="BF256" s="375">
        <v>0</v>
      </c>
      <c r="BG256" s="375">
        <v>0</v>
      </c>
      <c r="BH256" s="79"/>
      <c r="BI256" s="79"/>
      <c r="BJ256" s="79"/>
      <c r="BK256" s="79">
        <v>2100</v>
      </c>
      <c r="BL256" s="79">
        <v>2100</v>
      </c>
      <c r="BM256" s="79">
        <v>2100</v>
      </c>
      <c r="BN256" s="79">
        <v>2100</v>
      </c>
      <c r="BO256" s="79">
        <v>2100</v>
      </c>
      <c r="BP256" s="79">
        <v>2100</v>
      </c>
      <c r="BQ256" s="79">
        <v>2100</v>
      </c>
      <c r="BR256" s="79">
        <v>2100</v>
      </c>
      <c r="BS256" s="79">
        <v>2100</v>
      </c>
      <c r="BT256" s="79">
        <v>18900</v>
      </c>
    </row>
    <row r="257" spans="1:72" ht="15" customHeight="1">
      <c r="A257" s="66" t="s">
        <v>1404</v>
      </c>
      <c r="B257" s="66"/>
      <c r="C257" s="66" t="s">
        <v>189</v>
      </c>
      <c r="D257" s="66" t="s">
        <v>189</v>
      </c>
      <c r="E257" s="150" t="s">
        <v>1136</v>
      </c>
      <c r="F257" s="482" t="s">
        <v>1566</v>
      </c>
      <c r="G257" s="383" t="s">
        <v>1344</v>
      </c>
      <c r="H257" s="383" t="s">
        <v>1344</v>
      </c>
      <c r="I257" s="150" t="s">
        <v>1345</v>
      </c>
      <c r="J257" s="150" t="s">
        <v>1344</v>
      </c>
      <c r="K257" s="150" t="s">
        <v>1346</v>
      </c>
      <c r="L257" s="511" t="s">
        <v>49</v>
      </c>
      <c r="M257" s="392" t="s">
        <v>1405</v>
      </c>
      <c r="N257" s="343" t="s">
        <v>1387</v>
      </c>
      <c r="O257" s="346" t="s">
        <v>1363</v>
      </c>
      <c r="P257" s="70" t="s">
        <v>190</v>
      </c>
      <c r="Q257" s="346" t="s">
        <v>1153</v>
      </c>
      <c r="R257" s="346" t="s">
        <v>1406</v>
      </c>
      <c r="S257" s="346"/>
      <c r="T257" s="150" t="s">
        <v>25</v>
      </c>
      <c r="U257" s="150" t="s">
        <v>1407</v>
      </c>
      <c r="V257" s="403"/>
      <c r="W257" s="406">
        <v>1129982.58</v>
      </c>
      <c r="X257" s="406">
        <v>874707.09</v>
      </c>
      <c r="Y257" s="425"/>
      <c r="Z257" s="71"/>
      <c r="AA257" s="426">
        <v>77285</v>
      </c>
      <c r="AB257" s="427">
        <v>177053.54</v>
      </c>
      <c r="AC257" s="427">
        <v>-2920.45</v>
      </c>
      <c r="AD257" s="428">
        <v>86558.849999999991</v>
      </c>
      <c r="AE257" s="429">
        <v>86558.85</v>
      </c>
      <c r="AF257" s="429">
        <v>98924.389999999985</v>
      </c>
      <c r="AG257" s="363">
        <v>62406</v>
      </c>
      <c r="AH257" s="363">
        <v>62406</v>
      </c>
      <c r="AI257" s="363">
        <v>62406</v>
      </c>
      <c r="AJ257" s="363">
        <v>55438</v>
      </c>
      <c r="AK257" s="363">
        <v>55438</v>
      </c>
      <c r="AL257" s="363">
        <v>55438</v>
      </c>
      <c r="AM257" s="360">
        <f t="shared" si="7"/>
        <v>876992.18</v>
      </c>
      <c r="AN257" s="362">
        <f>ERP_26[[#This Row],[2026 Working Total]]-ERP_26[[#This Row],[LE2 Final Submission]]</f>
        <v>2285.0900000000838</v>
      </c>
      <c r="AO257" s="79">
        <v>97087</v>
      </c>
      <c r="AP257" s="79">
        <f t="shared" si="8"/>
        <v>1837.3899999999849</v>
      </c>
      <c r="AQ257" s="374">
        <f>SUM(ERP_26[[#This Row],[AP01]:[AP06]])-SUM(ERP_26[[#This Row],[AP01 LE2]:[AP06 LE2]])</f>
        <v>-19218.909999999916</v>
      </c>
      <c r="AR257" s="80">
        <v>255000</v>
      </c>
      <c r="AS257" s="79">
        <f>ERP_26[[#This Row],[2026 Working Total to Budget/LE]]-ERP_26[[#This Row],[Giveback]]</f>
        <v>-252714.90999999992</v>
      </c>
      <c r="AT257" s="81" t="s">
        <v>1408</v>
      </c>
      <c r="AU257" s="375">
        <v>77285</v>
      </c>
      <c r="AV257" s="375">
        <v>177053.54</v>
      </c>
      <c r="AW257" s="375">
        <v>-2920.45</v>
      </c>
      <c r="AX257" s="375">
        <v>97087</v>
      </c>
      <c r="AY257" s="375">
        <v>97087</v>
      </c>
      <c r="AZ257" s="375">
        <v>97087</v>
      </c>
      <c r="BA257" s="375">
        <v>55338</v>
      </c>
      <c r="BB257" s="375">
        <v>55338</v>
      </c>
      <c r="BC257" s="375">
        <v>55338</v>
      </c>
      <c r="BD257" s="375">
        <v>55338</v>
      </c>
      <c r="BE257" s="375">
        <v>55338</v>
      </c>
      <c r="BF257" s="375">
        <v>55338</v>
      </c>
      <c r="BG257" s="375">
        <v>874707.09</v>
      </c>
      <c r="BH257" s="79">
        <v>77285</v>
      </c>
      <c r="BI257" s="79">
        <v>177053.54</v>
      </c>
      <c r="BJ257" s="79">
        <v>-2920.45</v>
      </c>
      <c r="BK257" s="79">
        <v>90495</v>
      </c>
      <c r="BL257" s="79">
        <v>90495</v>
      </c>
      <c r="BM257" s="79">
        <v>99200</v>
      </c>
      <c r="BN257" s="79">
        <v>54165</v>
      </c>
      <c r="BO257" s="79">
        <v>54165</v>
      </c>
      <c r="BP257" s="79">
        <v>54165</v>
      </c>
      <c r="BQ257" s="79">
        <v>54165</v>
      </c>
      <c r="BR257" s="79">
        <v>54165</v>
      </c>
      <c r="BS257" s="79">
        <v>54165</v>
      </c>
      <c r="BT257" s="79">
        <v>856598.09</v>
      </c>
    </row>
    <row r="258" spans="1:72" ht="15" customHeight="1">
      <c r="A258" s="66" t="s">
        <v>1409</v>
      </c>
      <c r="B258" s="66"/>
      <c r="C258" s="66" t="s">
        <v>191</v>
      </c>
      <c r="D258" s="66" t="s">
        <v>191</v>
      </c>
      <c r="E258" s="150" t="s">
        <v>1136</v>
      </c>
      <c r="F258" s="482" t="s">
        <v>1566</v>
      </c>
      <c r="G258" s="383" t="s">
        <v>1344</v>
      </c>
      <c r="H258" s="383" t="s">
        <v>1344</v>
      </c>
      <c r="I258" s="150" t="s">
        <v>1345</v>
      </c>
      <c r="J258" s="150" t="s">
        <v>1344</v>
      </c>
      <c r="K258" s="150" t="s">
        <v>1346</v>
      </c>
      <c r="L258" s="511" t="s">
        <v>49</v>
      </c>
      <c r="M258" s="392" t="s">
        <v>1410</v>
      </c>
      <c r="N258" s="343"/>
      <c r="O258" s="343"/>
      <c r="P258" s="70" t="s">
        <v>192</v>
      </c>
      <c r="Q258" s="346"/>
      <c r="R258" s="343"/>
      <c r="S258" s="346"/>
      <c r="T258" s="150" t="s">
        <v>25</v>
      </c>
      <c r="U258" s="150"/>
      <c r="V258" s="403"/>
      <c r="W258" s="406">
        <v>513000</v>
      </c>
      <c r="X258" s="406">
        <v>384928.75</v>
      </c>
      <c r="Y258" s="430"/>
      <c r="Z258" s="137"/>
      <c r="AA258" s="426">
        <v>98474.5</v>
      </c>
      <c r="AB258" s="427">
        <v>-21757.25</v>
      </c>
      <c r="AC258" s="427">
        <v>-81628.5</v>
      </c>
      <c r="AD258" s="428">
        <v>-18382.5</v>
      </c>
      <c r="AE258" s="429">
        <v>0</v>
      </c>
      <c r="AF258" s="429">
        <v>0</v>
      </c>
      <c r="AG258" s="363">
        <v>69140</v>
      </c>
      <c r="AH258" s="363">
        <v>69140</v>
      </c>
      <c r="AI258" s="363">
        <v>69140</v>
      </c>
      <c r="AJ258" s="363">
        <v>69140</v>
      </c>
      <c r="AK258" s="363">
        <v>69140</v>
      </c>
      <c r="AL258" s="363">
        <v>62523</v>
      </c>
      <c r="AM258" s="360">
        <f t="shared" si="7"/>
        <v>384929.25</v>
      </c>
      <c r="AN258" s="362">
        <f>ERP_26[[#This Row],[2026 Working Total]]-ERP_26[[#This Row],[LE2 Final Submission]]</f>
        <v>0.5</v>
      </c>
      <c r="AO258" s="79">
        <v>0</v>
      </c>
      <c r="AP258" s="79">
        <f t="shared" si="8"/>
        <v>0</v>
      </c>
      <c r="AQ258" s="374">
        <f>SUM(ERP_26[[#This Row],[AP01]:[AP06]])-SUM(ERP_26[[#This Row],[AP01 LE2]:[AP06 LE2]])</f>
        <v>-18382.5</v>
      </c>
      <c r="AR258" s="80">
        <v>128000</v>
      </c>
      <c r="AS258" s="79">
        <f>ERP_26[[#This Row],[2026 Working Total to Budget/LE]]-ERP_26[[#This Row],[Giveback]]</f>
        <v>-127999.5</v>
      </c>
      <c r="AT258" s="81" t="s">
        <v>1411</v>
      </c>
      <c r="AU258" s="375">
        <v>98474.5</v>
      </c>
      <c r="AV258" s="375">
        <v>-21757.25</v>
      </c>
      <c r="AW258" s="375">
        <v>-81628.5</v>
      </c>
      <c r="AX258" s="375">
        <v>0</v>
      </c>
      <c r="AY258" s="375">
        <v>0</v>
      </c>
      <c r="AZ258" s="375">
        <v>0</v>
      </c>
      <c r="BA258" s="375">
        <v>64140</v>
      </c>
      <c r="BB258" s="375">
        <v>64140</v>
      </c>
      <c r="BC258" s="375">
        <v>64140</v>
      </c>
      <c r="BD258" s="375">
        <v>64140</v>
      </c>
      <c r="BE258" s="375">
        <v>64140</v>
      </c>
      <c r="BF258" s="375">
        <v>69140</v>
      </c>
      <c r="BG258" s="375">
        <v>384928.75</v>
      </c>
      <c r="BH258" s="79">
        <v>98474.5</v>
      </c>
      <c r="BI258" s="79">
        <v>-21757.25</v>
      </c>
      <c r="BJ258" s="79">
        <v>-81628.5</v>
      </c>
      <c r="BK258" s="79">
        <v>7667</v>
      </c>
      <c r="BL258" s="79">
        <v>9667</v>
      </c>
      <c r="BM258" s="79">
        <v>15667</v>
      </c>
      <c r="BN258" s="79">
        <v>70892</v>
      </c>
      <c r="BO258" s="79">
        <v>65000</v>
      </c>
      <c r="BP258" s="79">
        <v>65000</v>
      </c>
      <c r="BQ258" s="79">
        <v>65000</v>
      </c>
      <c r="BR258" s="79">
        <v>65000</v>
      </c>
      <c r="BS258" s="79">
        <v>65000</v>
      </c>
      <c r="BT258" s="79">
        <v>423981.75</v>
      </c>
    </row>
    <row r="259" spans="1:72" ht="15" customHeight="1">
      <c r="A259" s="66" t="s">
        <v>1422</v>
      </c>
      <c r="B259" s="66"/>
      <c r="C259" s="66" t="s">
        <v>193</v>
      </c>
      <c r="D259" s="66" t="s">
        <v>193</v>
      </c>
      <c r="E259" s="150" t="s">
        <v>1136</v>
      </c>
      <c r="F259" s="482" t="s">
        <v>1566</v>
      </c>
      <c r="G259" s="383" t="s">
        <v>1344</v>
      </c>
      <c r="H259" s="383" t="s">
        <v>1344</v>
      </c>
      <c r="I259" s="150" t="s">
        <v>1345</v>
      </c>
      <c r="J259" s="150" t="s">
        <v>1344</v>
      </c>
      <c r="K259" s="150" t="s">
        <v>1346</v>
      </c>
      <c r="L259" s="511" t="s">
        <v>49</v>
      </c>
      <c r="M259" s="392" t="s">
        <v>1423</v>
      </c>
      <c r="N259" s="343"/>
      <c r="O259" s="343"/>
      <c r="P259" s="70" t="s">
        <v>194</v>
      </c>
      <c r="Q259" s="346"/>
      <c r="R259" s="343"/>
      <c r="S259" s="346"/>
      <c r="T259" s="150" t="s">
        <v>25</v>
      </c>
      <c r="U259" s="150"/>
      <c r="V259" s="403"/>
      <c r="W259" s="406">
        <v>0</v>
      </c>
      <c r="X259" s="406">
        <v>3710</v>
      </c>
      <c r="Y259" s="425"/>
      <c r="Z259" s="71"/>
      <c r="AA259" s="426"/>
      <c r="AB259" s="427">
        <v>3710</v>
      </c>
      <c r="AC259" s="431">
        <v>0</v>
      </c>
      <c r="AD259" s="428">
        <v>0</v>
      </c>
      <c r="AE259" s="429">
        <v>0</v>
      </c>
      <c r="AF259" s="429">
        <v>0</v>
      </c>
      <c r="AG259" s="360">
        <v>0</v>
      </c>
      <c r="AH259" s="360">
        <v>0</v>
      </c>
      <c r="AI259" s="360">
        <v>0</v>
      </c>
      <c r="AJ259" s="360">
        <v>0</v>
      </c>
      <c r="AK259" s="360">
        <v>0</v>
      </c>
      <c r="AL259" s="360">
        <v>0</v>
      </c>
      <c r="AM259" s="360">
        <f t="shared" si="7"/>
        <v>3710</v>
      </c>
      <c r="AN259" s="362">
        <f>ERP_26[[#This Row],[2026 Working Total]]-ERP_26[[#This Row],[LE2 Final Submission]]</f>
        <v>0</v>
      </c>
      <c r="AO259" s="79">
        <v>0</v>
      </c>
      <c r="AP259" s="79">
        <f t="shared" si="8"/>
        <v>0</v>
      </c>
      <c r="AQ259" s="374">
        <f>SUM(ERP_26[[#This Row],[AP01]:[AP06]])-SUM(ERP_26[[#This Row],[AP01 LE2]:[AP06 LE2]])</f>
        <v>0</v>
      </c>
      <c r="AR259" s="80"/>
      <c r="AS259" s="79">
        <f>ERP_26[[#This Row],[2026 Working Total to Budget/LE]]-ERP_26[[#This Row],[Giveback]]</f>
        <v>0</v>
      </c>
      <c r="AT259" s="155" t="s">
        <v>1424</v>
      </c>
      <c r="AU259" s="375"/>
      <c r="AV259" s="375">
        <v>3710</v>
      </c>
      <c r="AW259" s="375">
        <v>0</v>
      </c>
      <c r="AX259" s="375">
        <v>0</v>
      </c>
      <c r="AY259" s="375">
        <v>0</v>
      </c>
      <c r="AZ259" s="375">
        <v>0</v>
      </c>
      <c r="BA259" s="375">
        <v>0</v>
      </c>
      <c r="BB259" s="375">
        <v>0</v>
      </c>
      <c r="BC259" s="375">
        <v>0</v>
      </c>
      <c r="BD259" s="375">
        <v>0</v>
      </c>
      <c r="BE259" s="375">
        <v>0</v>
      </c>
      <c r="BF259" s="375">
        <v>0</v>
      </c>
      <c r="BG259" s="375">
        <v>3710</v>
      </c>
      <c r="BH259" s="79"/>
      <c r="BI259" s="79">
        <v>3710</v>
      </c>
      <c r="BJ259" s="79">
        <v>0</v>
      </c>
      <c r="BK259" s="79">
        <v>0</v>
      </c>
      <c r="BL259" s="79">
        <v>0</v>
      </c>
      <c r="BM259" s="79">
        <v>0</v>
      </c>
      <c r="BN259" s="79">
        <v>0</v>
      </c>
      <c r="BO259" s="79">
        <v>0</v>
      </c>
      <c r="BP259" s="79">
        <v>0</v>
      </c>
      <c r="BQ259" s="79">
        <v>0</v>
      </c>
      <c r="BR259" s="79">
        <v>0</v>
      </c>
      <c r="BS259" s="79">
        <v>0</v>
      </c>
      <c r="BT259" s="79">
        <v>3710</v>
      </c>
    </row>
    <row r="260" spans="1:72" ht="15" customHeight="1">
      <c r="A260" s="66" t="s">
        <v>1425</v>
      </c>
      <c r="B260" s="66"/>
      <c r="C260" s="66" t="s">
        <v>195</v>
      </c>
      <c r="D260" s="66" t="s">
        <v>195</v>
      </c>
      <c r="E260" s="150" t="s">
        <v>1136</v>
      </c>
      <c r="F260" s="482" t="s">
        <v>1566</v>
      </c>
      <c r="G260" s="383" t="s">
        <v>1344</v>
      </c>
      <c r="H260" s="383" t="s">
        <v>1344</v>
      </c>
      <c r="I260" s="150" t="s">
        <v>1345</v>
      </c>
      <c r="J260" s="150" t="s">
        <v>1344</v>
      </c>
      <c r="K260" s="150" t="s">
        <v>1346</v>
      </c>
      <c r="L260" s="511" t="s">
        <v>49</v>
      </c>
      <c r="M260" s="392" t="s">
        <v>1327</v>
      </c>
      <c r="N260" s="343"/>
      <c r="O260" s="343"/>
      <c r="P260" s="70" t="s">
        <v>147</v>
      </c>
      <c r="Q260" s="346"/>
      <c r="R260" s="343"/>
      <c r="S260" s="346"/>
      <c r="T260" s="150" t="s">
        <v>25</v>
      </c>
      <c r="U260" s="150"/>
      <c r="V260" s="403"/>
      <c r="W260" s="406">
        <v>0</v>
      </c>
      <c r="X260" s="406">
        <v>-0.47</v>
      </c>
      <c r="Y260" s="425"/>
      <c r="Z260" s="71"/>
      <c r="AA260" s="426">
        <v>-0.28999999999999998</v>
      </c>
      <c r="AB260" s="427">
        <v>0.43</v>
      </c>
      <c r="AC260" s="427">
        <v>-0.61</v>
      </c>
      <c r="AD260" s="428">
        <v>0.34</v>
      </c>
      <c r="AE260" s="429">
        <v>0.22</v>
      </c>
      <c r="AF260" s="429">
        <v>0.05</v>
      </c>
      <c r="AG260" s="360">
        <v>0</v>
      </c>
      <c r="AH260" s="360">
        <v>0</v>
      </c>
      <c r="AI260" s="360">
        <v>0</v>
      </c>
      <c r="AJ260" s="360">
        <v>0</v>
      </c>
      <c r="AK260" s="360">
        <v>0</v>
      </c>
      <c r="AL260" s="360">
        <v>0</v>
      </c>
      <c r="AM260" s="360">
        <f t="shared" si="7"/>
        <v>0.14000000000000007</v>
      </c>
      <c r="AN260" s="362">
        <f>ERP_26[[#This Row],[2026 Working Total]]-ERP_26[[#This Row],[LE2 Final Submission]]</f>
        <v>0.6100000000000001</v>
      </c>
      <c r="AO260" s="79">
        <v>0</v>
      </c>
      <c r="AP260" s="79">
        <f t="shared" si="8"/>
        <v>0.05</v>
      </c>
      <c r="AQ260" s="374">
        <f>SUM(ERP_26[[#This Row],[AP01]:[AP06]])-SUM(ERP_26[[#This Row],[AP01 LE2]:[AP06 LE2]])</f>
        <v>0.6100000000000001</v>
      </c>
      <c r="AR260" s="80"/>
      <c r="AS260" s="79">
        <f>ERP_26[[#This Row],[2026 Working Total to Budget/LE]]-ERP_26[[#This Row],[Giveback]]</f>
        <v>0.6100000000000001</v>
      </c>
      <c r="AT260" s="81"/>
      <c r="AU260" s="375">
        <v>-0.28999999999999998</v>
      </c>
      <c r="AV260" s="375">
        <v>0.43</v>
      </c>
      <c r="AW260" s="375">
        <v>-0.61</v>
      </c>
      <c r="AX260" s="375">
        <v>0</v>
      </c>
      <c r="AY260" s="375">
        <v>0</v>
      </c>
      <c r="AZ260" s="375">
        <v>0</v>
      </c>
      <c r="BA260" s="375">
        <v>0</v>
      </c>
      <c r="BB260" s="375">
        <v>0</v>
      </c>
      <c r="BC260" s="375">
        <v>0</v>
      </c>
      <c r="BD260" s="375">
        <v>0</v>
      </c>
      <c r="BE260" s="375">
        <v>0</v>
      </c>
      <c r="BF260" s="375">
        <v>0</v>
      </c>
      <c r="BG260" s="375">
        <v>-0.47</v>
      </c>
      <c r="BH260" s="79">
        <v>-0.28999999999999998</v>
      </c>
      <c r="BI260" s="79">
        <v>0.43</v>
      </c>
      <c r="BJ260" s="79">
        <v>-0.61</v>
      </c>
      <c r="BK260" s="79">
        <v>0</v>
      </c>
      <c r="BL260" s="79">
        <v>0</v>
      </c>
      <c r="BM260" s="79">
        <v>0</v>
      </c>
      <c r="BN260" s="79">
        <v>0</v>
      </c>
      <c r="BO260" s="79">
        <v>0</v>
      </c>
      <c r="BP260" s="79">
        <v>0</v>
      </c>
      <c r="BQ260" s="79">
        <v>0</v>
      </c>
      <c r="BR260" s="79">
        <v>0</v>
      </c>
      <c r="BS260" s="79">
        <v>0</v>
      </c>
      <c r="BT260" s="79">
        <v>-0.47</v>
      </c>
    </row>
    <row r="261" spans="1:72" ht="15" customHeight="1">
      <c r="A261" s="66" t="s">
        <v>1426</v>
      </c>
      <c r="B261" s="66"/>
      <c r="C261" s="66" t="s">
        <v>196</v>
      </c>
      <c r="D261" s="66" t="s">
        <v>196</v>
      </c>
      <c r="E261" s="150" t="s">
        <v>1136</v>
      </c>
      <c r="F261" s="482" t="s">
        <v>1566</v>
      </c>
      <c r="G261" s="383" t="s">
        <v>1344</v>
      </c>
      <c r="H261" s="383" t="s">
        <v>1344</v>
      </c>
      <c r="I261" s="150" t="s">
        <v>1345</v>
      </c>
      <c r="J261" s="150" t="s">
        <v>1344</v>
      </c>
      <c r="K261" s="150" t="s">
        <v>1346</v>
      </c>
      <c r="L261" s="511" t="s">
        <v>49</v>
      </c>
      <c r="M261" s="392" t="s">
        <v>1340</v>
      </c>
      <c r="N261" s="343"/>
      <c r="O261" s="343"/>
      <c r="P261" s="70" t="s">
        <v>149</v>
      </c>
      <c r="Q261" s="346" t="s">
        <v>1139</v>
      </c>
      <c r="R261" s="343"/>
      <c r="S261" s="346"/>
      <c r="T261" s="150" t="s">
        <v>25</v>
      </c>
      <c r="U261" s="150"/>
      <c r="V261" s="403"/>
      <c r="W261" s="406">
        <v>0</v>
      </c>
      <c r="X261" s="406">
        <v>-8178.7199999999993</v>
      </c>
      <c r="Y261" s="430"/>
      <c r="Z261" s="137"/>
      <c r="AA261" s="426">
        <v>-879.72</v>
      </c>
      <c r="AB261" s="427">
        <v>-0.18</v>
      </c>
      <c r="AC261" s="427">
        <v>-7298.82</v>
      </c>
      <c r="AD261" s="428">
        <v>0</v>
      </c>
      <c r="AE261" s="429">
        <v>0</v>
      </c>
      <c r="AF261" s="429">
        <v>0</v>
      </c>
      <c r="AG261" s="360">
        <v>0</v>
      </c>
      <c r="AH261" s="360">
        <v>0</v>
      </c>
      <c r="AI261" s="360">
        <v>0</v>
      </c>
      <c r="AJ261" s="360">
        <v>0</v>
      </c>
      <c r="AK261" s="360">
        <v>0</v>
      </c>
      <c r="AL261" s="360">
        <v>0</v>
      </c>
      <c r="AM261" s="360">
        <f t="shared" si="7"/>
        <v>-8178.7199999999993</v>
      </c>
      <c r="AN261" s="362">
        <f>ERP_26[[#This Row],[2026 Working Total]]-ERP_26[[#This Row],[LE2 Final Submission]]</f>
        <v>0</v>
      </c>
      <c r="AO261" s="79">
        <v>0</v>
      </c>
      <c r="AP261" s="79">
        <f t="shared" si="8"/>
        <v>0</v>
      </c>
      <c r="AQ261" s="374">
        <f>SUM(ERP_26[[#This Row],[AP01]:[AP06]])-SUM(ERP_26[[#This Row],[AP01 LE2]:[AP06 LE2]])</f>
        <v>0</v>
      </c>
      <c r="AR261" s="80"/>
      <c r="AS261" s="79">
        <f>ERP_26[[#This Row],[2026 Working Total to Budget/LE]]-ERP_26[[#This Row],[Giveback]]</f>
        <v>0</v>
      </c>
      <c r="AT261" s="81"/>
      <c r="AU261" s="375">
        <v>-879.72</v>
      </c>
      <c r="AV261" s="375">
        <v>-0.18</v>
      </c>
      <c r="AW261" s="375">
        <v>-7298.82</v>
      </c>
      <c r="AX261" s="375">
        <v>0</v>
      </c>
      <c r="AY261" s="375">
        <v>0</v>
      </c>
      <c r="AZ261" s="375">
        <v>0</v>
      </c>
      <c r="BA261" s="375">
        <v>0</v>
      </c>
      <c r="BB261" s="375">
        <v>0</v>
      </c>
      <c r="BC261" s="375">
        <v>0</v>
      </c>
      <c r="BD261" s="375">
        <v>0</v>
      </c>
      <c r="BE261" s="375">
        <v>0</v>
      </c>
      <c r="BF261" s="375">
        <v>0</v>
      </c>
      <c r="BG261" s="375">
        <v>-8178.7199999999993</v>
      </c>
      <c r="BH261" s="79">
        <v>-879.72</v>
      </c>
      <c r="BI261" s="79">
        <v>-0.18</v>
      </c>
      <c r="BJ261" s="79">
        <v>-7298.82</v>
      </c>
      <c r="BK261" s="79">
        <v>0</v>
      </c>
      <c r="BL261" s="79">
        <v>0</v>
      </c>
      <c r="BM261" s="79">
        <v>0</v>
      </c>
      <c r="BN261" s="79">
        <v>0</v>
      </c>
      <c r="BO261" s="79">
        <v>0</v>
      </c>
      <c r="BP261" s="79">
        <v>0</v>
      </c>
      <c r="BQ261" s="79">
        <v>0</v>
      </c>
      <c r="BR261" s="79">
        <v>0</v>
      </c>
      <c r="BS261" s="79">
        <v>0</v>
      </c>
      <c r="BT261" s="79">
        <v>-8178.7199999999993</v>
      </c>
    </row>
    <row r="262" spans="1:72" ht="15" customHeight="1">
      <c r="A262" s="66" t="s">
        <v>1665</v>
      </c>
      <c r="B262" s="66"/>
      <c r="C262" s="66" t="s">
        <v>335</v>
      </c>
      <c r="D262" s="66" t="s">
        <v>335</v>
      </c>
      <c r="E262" s="150" t="s">
        <v>1136</v>
      </c>
      <c r="F262" s="482" t="s">
        <v>1566</v>
      </c>
      <c r="G262" s="383" t="s">
        <v>1344</v>
      </c>
      <c r="H262" s="383" t="s">
        <v>1344</v>
      </c>
      <c r="I262" s="150" t="s">
        <v>1345</v>
      </c>
      <c r="J262" s="150" t="s">
        <v>1344</v>
      </c>
      <c r="K262" s="150" t="s">
        <v>1346</v>
      </c>
      <c r="L262" s="511" t="s">
        <v>333</v>
      </c>
      <c r="M262" s="392" t="s">
        <v>1663</v>
      </c>
      <c r="N262" s="343"/>
      <c r="O262" s="343"/>
      <c r="P262" s="70" t="s">
        <v>336</v>
      </c>
      <c r="Q262" s="346"/>
      <c r="R262" s="346" t="s">
        <v>1140</v>
      </c>
      <c r="S262" s="346"/>
      <c r="T262" s="150" t="s">
        <v>25</v>
      </c>
      <c r="U262" s="150" t="s">
        <v>1666</v>
      </c>
      <c r="V262" s="403"/>
      <c r="W262" s="406">
        <v>0</v>
      </c>
      <c r="X262" s="406">
        <v>6232.2000000000016</v>
      </c>
      <c r="Y262" s="425"/>
      <c r="Z262" s="71"/>
      <c r="AA262" s="426">
        <v>519.35</v>
      </c>
      <c r="AB262" s="427">
        <v>519.35</v>
      </c>
      <c r="AC262" s="427">
        <v>519.35</v>
      </c>
      <c r="AD262" s="428">
        <v>519.35</v>
      </c>
      <c r="AE262" s="429">
        <v>519.35</v>
      </c>
      <c r="AF262" s="429">
        <v>519.35</v>
      </c>
      <c r="AG262" s="363">
        <v>519.35</v>
      </c>
      <c r="AH262" s="363">
        <v>519.35</v>
      </c>
      <c r="AI262" s="363">
        <v>519.35</v>
      </c>
      <c r="AJ262" s="363">
        <v>519.35</v>
      </c>
      <c r="AK262" s="363">
        <v>519.35</v>
      </c>
      <c r="AL262" s="363">
        <v>519.35</v>
      </c>
      <c r="AM262" s="360">
        <f t="shared" si="7"/>
        <v>6232.2000000000016</v>
      </c>
      <c r="AN262" s="362">
        <f>ERP_26[[#This Row],[2026 Working Total]]-ERP_26[[#This Row],[LE2 Final Submission]]</f>
        <v>0</v>
      </c>
      <c r="AO262" s="79">
        <v>519.35</v>
      </c>
      <c r="AP262" s="79">
        <f t="shared" si="8"/>
        <v>0</v>
      </c>
      <c r="AQ262" s="374">
        <f>SUM(ERP_26[[#This Row],[AP01]:[AP06]])-SUM(ERP_26[[#This Row],[AP01 LE2]:[AP06 LE2]])</f>
        <v>0</v>
      </c>
      <c r="AR262" s="80"/>
      <c r="AS262" s="79">
        <f>ERP_26[[#This Row],[2026 Working Total to Budget/LE]]-ERP_26[[#This Row],[Giveback]]</f>
        <v>0</v>
      </c>
      <c r="AT262" s="81"/>
      <c r="AU262" s="375">
        <v>519.35</v>
      </c>
      <c r="AV262" s="375">
        <v>519.35</v>
      </c>
      <c r="AW262" s="375">
        <v>519.35</v>
      </c>
      <c r="AX262" s="375">
        <v>519.35</v>
      </c>
      <c r="AY262" s="375">
        <v>519.35</v>
      </c>
      <c r="AZ262" s="375">
        <v>519.35</v>
      </c>
      <c r="BA262" s="375">
        <v>519.35</v>
      </c>
      <c r="BB262" s="375">
        <v>519.35</v>
      </c>
      <c r="BC262" s="375">
        <v>519.35</v>
      </c>
      <c r="BD262" s="375">
        <v>519.35</v>
      </c>
      <c r="BE262" s="375">
        <v>519.35</v>
      </c>
      <c r="BF262" s="375">
        <v>519.35</v>
      </c>
      <c r="BG262" s="375">
        <v>6232.2000000000016</v>
      </c>
      <c r="BH262" s="79">
        <v>519.35</v>
      </c>
      <c r="BI262" s="79">
        <v>519.35</v>
      </c>
      <c r="BJ262" s="79">
        <v>519.35</v>
      </c>
      <c r="BK262" s="79">
        <v>0</v>
      </c>
      <c r="BL262" s="79">
        <v>0</v>
      </c>
      <c r="BM262" s="79">
        <v>0</v>
      </c>
      <c r="BN262" s="79">
        <v>0</v>
      </c>
      <c r="BO262" s="79">
        <v>0</v>
      </c>
      <c r="BP262" s="79">
        <v>0</v>
      </c>
      <c r="BQ262" s="79">
        <v>0</v>
      </c>
      <c r="BR262" s="79">
        <v>0</v>
      </c>
      <c r="BS262" s="79">
        <v>0</v>
      </c>
      <c r="BT262" s="79">
        <v>1558.0500000000002</v>
      </c>
    </row>
    <row r="263" spans="1:72" ht="15" customHeight="1">
      <c r="A263" s="66" t="s">
        <v>1963</v>
      </c>
      <c r="B263" s="66"/>
      <c r="C263" s="66" t="s">
        <v>492</v>
      </c>
      <c r="D263" s="66" t="s">
        <v>492</v>
      </c>
      <c r="E263" s="150" t="s">
        <v>1136</v>
      </c>
      <c r="F263" s="482" t="s">
        <v>1566</v>
      </c>
      <c r="G263" s="383" t="s">
        <v>1344</v>
      </c>
      <c r="H263" s="383" t="s">
        <v>1344</v>
      </c>
      <c r="I263" s="150" t="s">
        <v>1345</v>
      </c>
      <c r="J263" s="150" t="s">
        <v>1344</v>
      </c>
      <c r="K263" s="150" t="s">
        <v>1346</v>
      </c>
      <c r="L263" s="511" t="s">
        <v>389</v>
      </c>
      <c r="M263" s="392" t="s">
        <v>1147</v>
      </c>
      <c r="N263" s="343"/>
      <c r="O263" s="343"/>
      <c r="P263" s="70" t="s">
        <v>53</v>
      </c>
      <c r="Q263" s="346" t="s">
        <v>1153</v>
      </c>
      <c r="R263" s="343"/>
      <c r="S263" s="346"/>
      <c r="T263" s="150" t="s">
        <v>25</v>
      </c>
      <c r="U263" s="150"/>
      <c r="V263" s="403"/>
      <c r="W263" s="406">
        <v>0</v>
      </c>
      <c r="X263" s="406">
        <v>387</v>
      </c>
      <c r="Y263" s="425"/>
      <c r="Z263" s="71"/>
      <c r="AA263" s="426">
        <v>129</v>
      </c>
      <c r="AB263" s="427">
        <v>129</v>
      </c>
      <c r="AC263" s="427">
        <v>129</v>
      </c>
      <c r="AD263" s="428">
        <v>129</v>
      </c>
      <c r="AE263" s="429">
        <v>129</v>
      </c>
      <c r="AF263" s="429">
        <v>129</v>
      </c>
      <c r="AG263" s="360">
        <v>0</v>
      </c>
      <c r="AH263" s="360">
        <v>0</v>
      </c>
      <c r="AI263" s="360">
        <v>0</v>
      </c>
      <c r="AJ263" s="360">
        <v>0</v>
      </c>
      <c r="AK263" s="360">
        <v>0</v>
      </c>
      <c r="AL263" s="360">
        <v>0</v>
      </c>
      <c r="AM263" s="360">
        <f t="shared" si="7"/>
        <v>774</v>
      </c>
      <c r="AN263" s="362">
        <f>ERP_26[[#This Row],[2026 Working Total]]-ERP_26[[#This Row],[LE2 Final Submission]]</f>
        <v>387</v>
      </c>
      <c r="AO263" s="79">
        <v>0</v>
      </c>
      <c r="AP263" s="79">
        <f t="shared" si="8"/>
        <v>129</v>
      </c>
      <c r="AQ263" s="374">
        <f>SUM(ERP_26[[#This Row],[AP01]:[AP06]])-SUM(ERP_26[[#This Row],[AP01 LE2]:[AP06 LE2]])</f>
        <v>387</v>
      </c>
      <c r="AR263" s="80"/>
      <c r="AS263" s="79">
        <f>ERP_26[[#This Row],[2026 Working Total to Budget/LE]]-ERP_26[[#This Row],[Giveback]]</f>
        <v>387</v>
      </c>
      <c r="AT263" s="81"/>
      <c r="AU263" s="375">
        <v>129</v>
      </c>
      <c r="AV263" s="375">
        <v>129</v>
      </c>
      <c r="AW263" s="375">
        <v>129</v>
      </c>
      <c r="AX263" s="375">
        <v>0</v>
      </c>
      <c r="AY263" s="375">
        <v>0</v>
      </c>
      <c r="AZ263" s="375">
        <v>0</v>
      </c>
      <c r="BA263" s="375">
        <v>0</v>
      </c>
      <c r="BB263" s="375">
        <v>0</v>
      </c>
      <c r="BC263" s="375">
        <v>0</v>
      </c>
      <c r="BD263" s="375">
        <v>0</v>
      </c>
      <c r="BE263" s="375">
        <v>0</v>
      </c>
      <c r="BF263" s="375">
        <v>0</v>
      </c>
      <c r="BG263" s="375">
        <v>387</v>
      </c>
      <c r="BH263" s="79">
        <v>129</v>
      </c>
      <c r="BI263" s="79">
        <v>129</v>
      </c>
      <c r="BJ263" s="79">
        <v>129</v>
      </c>
      <c r="BK263" s="79">
        <v>0</v>
      </c>
      <c r="BL263" s="79">
        <v>0</v>
      </c>
      <c r="BM263" s="79">
        <v>0</v>
      </c>
      <c r="BN263" s="79">
        <v>0</v>
      </c>
      <c r="BO263" s="79">
        <v>0</v>
      </c>
      <c r="BP263" s="79">
        <v>0</v>
      </c>
      <c r="BQ263" s="79">
        <v>0</v>
      </c>
      <c r="BR263" s="79">
        <v>0</v>
      </c>
      <c r="BS263" s="79">
        <v>0</v>
      </c>
      <c r="BT263" s="79">
        <v>387</v>
      </c>
    </row>
    <row r="264" spans="1:72" ht="15" customHeight="1">
      <c r="A264" s="66" t="s">
        <v>1964</v>
      </c>
      <c r="B264" s="66"/>
      <c r="C264" s="66" t="s">
        <v>493</v>
      </c>
      <c r="D264" s="66" t="s">
        <v>493</v>
      </c>
      <c r="E264" s="150" t="s">
        <v>1136</v>
      </c>
      <c r="F264" s="482" t="s">
        <v>1566</v>
      </c>
      <c r="G264" s="383" t="s">
        <v>1344</v>
      </c>
      <c r="H264" s="383" t="s">
        <v>1344</v>
      </c>
      <c r="I264" s="150" t="s">
        <v>1345</v>
      </c>
      <c r="J264" s="150" t="s">
        <v>1344</v>
      </c>
      <c r="K264" s="150" t="s">
        <v>1346</v>
      </c>
      <c r="L264" s="511" t="s">
        <v>389</v>
      </c>
      <c r="M264" s="392" t="s">
        <v>1174</v>
      </c>
      <c r="N264" s="343"/>
      <c r="O264" s="343"/>
      <c r="P264" s="70" t="s">
        <v>56</v>
      </c>
      <c r="Q264" s="346"/>
      <c r="R264" s="346" t="s">
        <v>1140</v>
      </c>
      <c r="S264" s="346"/>
      <c r="T264" s="150" t="s">
        <v>57</v>
      </c>
      <c r="U264" s="150"/>
      <c r="V264" s="403"/>
      <c r="W264" s="406">
        <v>18000</v>
      </c>
      <c r="X264" s="406">
        <v>16521.98</v>
      </c>
      <c r="Y264" s="430"/>
      <c r="Z264" s="137"/>
      <c r="AA264" s="426">
        <v>920.95</v>
      </c>
      <c r="AB264" s="427">
        <v>1065.45</v>
      </c>
      <c r="AC264" s="427">
        <v>1035.58</v>
      </c>
      <c r="AD264" s="428">
        <v>1019.5500000000001</v>
      </c>
      <c r="AE264" s="429">
        <v>110.62</v>
      </c>
      <c r="AF264" s="429">
        <v>219.57999999999998</v>
      </c>
      <c r="AG264" s="363">
        <v>1500</v>
      </c>
      <c r="AH264" s="363">
        <v>1500</v>
      </c>
      <c r="AI264" s="363">
        <v>1500</v>
      </c>
      <c r="AJ264" s="363">
        <v>1500</v>
      </c>
      <c r="AK264" s="363">
        <v>1500</v>
      </c>
      <c r="AL264" s="363">
        <v>1500</v>
      </c>
      <c r="AM264" s="360">
        <f t="shared" ref="AM264:AM307" si="10">SUM(AA264:AL264)</f>
        <v>13371.73</v>
      </c>
      <c r="AN264" s="362">
        <f>ERP_26[[#This Row],[2026 Working Total]]-ERP_26[[#This Row],[LE2 Final Submission]]</f>
        <v>-3150.25</v>
      </c>
      <c r="AO264" s="79">
        <v>1500</v>
      </c>
      <c r="AP264" s="79">
        <f t="shared" ref="AP264:AP327" si="11">$AF264 - $AO264</f>
        <v>-1280.42</v>
      </c>
      <c r="AQ264" s="374">
        <f>SUM(ERP_26[[#This Row],[AP01]:[AP06]])-SUM(ERP_26[[#This Row],[AP01 LE2]:[AP06 LE2]])</f>
        <v>-3150.2499999999991</v>
      </c>
      <c r="AR264" s="80"/>
      <c r="AS264" s="79">
        <f>ERP_26[[#This Row],[2026 Working Total to Budget/LE]]-ERP_26[[#This Row],[Giveback]]</f>
        <v>-3150.25</v>
      </c>
      <c r="AT264" s="81"/>
      <c r="AU264" s="375">
        <v>920.95</v>
      </c>
      <c r="AV264" s="375">
        <v>1065.45</v>
      </c>
      <c r="AW264" s="375">
        <v>1035.58</v>
      </c>
      <c r="AX264" s="375">
        <v>1500</v>
      </c>
      <c r="AY264" s="375">
        <v>1500</v>
      </c>
      <c r="AZ264" s="375">
        <v>1500</v>
      </c>
      <c r="BA264" s="375">
        <v>1500</v>
      </c>
      <c r="BB264" s="375">
        <v>1500</v>
      </c>
      <c r="BC264" s="375">
        <v>1500</v>
      </c>
      <c r="BD264" s="375">
        <v>1500</v>
      </c>
      <c r="BE264" s="375">
        <v>1500</v>
      </c>
      <c r="BF264" s="375">
        <v>1500</v>
      </c>
      <c r="BG264" s="375">
        <v>16521.98</v>
      </c>
      <c r="BH264" s="79">
        <v>920.95</v>
      </c>
      <c r="BI264" s="79">
        <v>1065.45</v>
      </c>
      <c r="BJ264" s="79">
        <v>1035.58</v>
      </c>
      <c r="BK264" s="79">
        <v>1500</v>
      </c>
      <c r="BL264" s="79">
        <v>1500</v>
      </c>
      <c r="BM264" s="79">
        <v>1500</v>
      </c>
      <c r="BN264" s="79">
        <v>1500</v>
      </c>
      <c r="BO264" s="79">
        <v>1500</v>
      </c>
      <c r="BP264" s="79">
        <v>1500</v>
      </c>
      <c r="BQ264" s="79">
        <v>1500</v>
      </c>
      <c r="BR264" s="79">
        <v>1500</v>
      </c>
      <c r="BS264" s="79">
        <v>1500</v>
      </c>
      <c r="BT264" s="79">
        <v>16521.98</v>
      </c>
    </row>
    <row r="265" spans="1:72" ht="15" customHeight="1">
      <c r="A265" s="66" t="s">
        <v>1966</v>
      </c>
      <c r="B265" s="66"/>
      <c r="C265" s="66" t="s">
        <v>494</v>
      </c>
      <c r="D265" s="66" t="s">
        <v>494</v>
      </c>
      <c r="E265" s="150" t="s">
        <v>1136</v>
      </c>
      <c r="F265" s="482" t="s">
        <v>1566</v>
      </c>
      <c r="G265" s="383" t="s">
        <v>1344</v>
      </c>
      <c r="H265" s="383" t="s">
        <v>1344</v>
      </c>
      <c r="I265" s="150" t="s">
        <v>1345</v>
      </c>
      <c r="J265" s="150" t="s">
        <v>1344</v>
      </c>
      <c r="K265" s="150" t="s">
        <v>1346</v>
      </c>
      <c r="L265" s="511" t="s">
        <v>389</v>
      </c>
      <c r="M265" s="392" t="s">
        <v>1967</v>
      </c>
      <c r="N265" s="343"/>
      <c r="O265" s="343"/>
      <c r="P265" s="70" t="s">
        <v>495</v>
      </c>
      <c r="Q265" s="346"/>
      <c r="R265" s="346" t="s">
        <v>1140</v>
      </c>
      <c r="S265" s="346"/>
      <c r="T265" s="150" t="s">
        <v>57</v>
      </c>
      <c r="U265" s="150"/>
      <c r="V265" s="403"/>
      <c r="W265" s="406">
        <v>8600</v>
      </c>
      <c r="X265" s="406">
        <v>8392.24</v>
      </c>
      <c r="Y265" s="425"/>
      <c r="Z265" s="71"/>
      <c r="AA265" s="426">
        <v>540.58000000000004</v>
      </c>
      <c r="AB265" s="427">
        <v>540.04999999999995</v>
      </c>
      <c r="AC265" s="427">
        <v>511.61</v>
      </c>
      <c r="AD265" s="428">
        <v>547.18999999999994</v>
      </c>
      <c r="AE265" s="429">
        <v>534.1099999999999</v>
      </c>
      <c r="AF265" s="429">
        <v>539.85</v>
      </c>
      <c r="AG265" s="363">
        <v>600</v>
      </c>
      <c r="AH265" s="363">
        <v>600</v>
      </c>
      <c r="AI265" s="363">
        <v>600</v>
      </c>
      <c r="AJ265" s="363">
        <v>600</v>
      </c>
      <c r="AK265" s="363">
        <v>600</v>
      </c>
      <c r="AL265" s="363">
        <v>2000</v>
      </c>
      <c r="AM265" s="360">
        <f t="shared" si="10"/>
        <v>8213.39</v>
      </c>
      <c r="AN265" s="362">
        <f>ERP_26[[#This Row],[2026 Working Total]]-ERP_26[[#This Row],[LE2 Final Submission]]</f>
        <v>-178.85000000000036</v>
      </c>
      <c r="AO265" s="79">
        <v>600</v>
      </c>
      <c r="AP265" s="79">
        <f t="shared" si="11"/>
        <v>-60.149999999999977</v>
      </c>
      <c r="AQ265" s="374">
        <f>SUM(ERP_26[[#This Row],[AP01]:[AP06]])-SUM(ERP_26[[#This Row],[AP01 LE2]:[AP06 LE2]])</f>
        <v>-178.85000000000036</v>
      </c>
      <c r="AR265" s="80"/>
      <c r="AS265" s="79">
        <f>ERP_26[[#This Row],[2026 Working Total to Budget/LE]]-ERP_26[[#This Row],[Giveback]]</f>
        <v>-178.85000000000036</v>
      </c>
      <c r="AT265" s="81"/>
      <c r="AU265" s="375">
        <v>540.58000000000004</v>
      </c>
      <c r="AV265" s="375">
        <v>540.04999999999995</v>
      </c>
      <c r="AW265" s="375">
        <v>511.61</v>
      </c>
      <c r="AX265" s="375">
        <v>600</v>
      </c>
      <c r="AY265" s="375">
        <v>600</v>
      </c>
      <c r="AZ265" s="375">
        <v>600</v>
      </c>
      <c r="BA265" s="375">
        <v>600</v>
      </c>
      <c r="BB265" s="375">
        <v>600</v>
      </c>
      <c r="BC265" s="375">
        <v>600</v>
      </c>
      <c r="BD265" s="375">
        <v>600</v>
      </c>
      <c r="BE265" s="375">
        <v>600</v>
      </c>
      <c r="BF265" s="375">
        <v>2000</v>
      </c>
      <c r="BG265" s="375">
        <v>8392.24</v>
      </c>
      <c r="BH265" s="79">
        <v>540.58000000000004</v>
      </c>
      <c r="BI265" s="79">
        <v>540.04999999999995</v>
      </c>
      <c r="BJ265" s="79">
        <v>511.61</v>
      </c>
      <c r="BK265" s="79">
        <v>600</v>
      </c>
      <c r="BL265" s="79">
        <v>600</v>
      </c>
      <c r="BM265" s="79">
        <v>600</v>
      </c>
      <c r="BN265" s="79">
        <v>600</v>
      </c>
      <c r="BO265" s="79">
        <v>600</v>
      </c>
      <c r="BP265" s="79">
        <v>600</v>
      </c>
      <c r="BQ265" s="79">
        <v>600</v>
      </c>
      <c r="BR265" s="79">
        <v>600</v>
      </c>
      <c r="BS265" s="79">
        <v>2000</v>
      </c>
      <c r="BT265" s="79">
        <v>8392.24</v>
      </c>
    </row>
    <row r="266" spans="1:72" ht="15" customHeight="1">
      <c r="A266" s="66" t="s">
        <v>1968</v>
      </c>
      <c r="B266" s="66"/>
      <c r="C266" s="66" t="s">
        <v>496</v>
      </c>
      <c r="D266" s="66" t="s">
        <v>496</v>
      </c>
      <c r="E266" s="150" t="s">
        <v>1136</v>
      </c>
      <c r="F266" s="482" t="s">
        <v>1566</v>
      </c>
      <c r="G266" s="383" t="s">
        <v>1344</v>
      </c>
      <c r="H266" s="383" t="s">
        <v>1344</v>
      </c>
      <c r="I266" s="150" t="s">
        <v>1345</v>
      </c>
      <c r="J266" s="150" t="s">
        <v>1344</v>
      </c>
      <c r="K266" s="150" t="s">
        <v>1346</v>
      </c>
      <c r="L266" s="511" t="s">
        <v>389</v>
      </c>
      <c r="M266" s="392" t="s">
        <v>1969</v>
      </c>
      <c r="N266" s="343"/>
      <c r="O266" s="343"/>
      <c r="P266" s="70" t="s">
        <v>497</v>
      </c>
      <c r="Q266" s="346"/>
      <c r="R266" s="343"/>
      <c r="S266" s="346"/>
      <c r="T266" s="150" t="s">
        <v>25</v>
      </c>
      <c r="U266" s="150"/>
      <c r="V266" s="403"/>
      <c r="W266" s="406">
        <v>1560</v>
      </c>
      <c r="X266" s="406">
        <v>1536.8899999999999</v>
      </c>
      <c r="Y266" s="425"/>
      <c r="Z266" s="71"/>
      <c r="AA266" s="426">
        <v>124.95</v>
      </c>
      <c r="AB266" s="427">
        <v>125.88</v>
      </c>
      <c r="AC266" s="427">
        <v>116.06</v>
      </c>
      <c r="AD266" s="428">
        <v>129.38999999999999</v>
      </c>
      <c r="AE266" s="429">
        <v>122.35</v>
      </c>
      <c r="AF266" s="429">
        <v>125.51999999999998</v>
      </c>
      <c r="AG266" s="363">
        <v>130</v>
      </c>
      <c r="AH266" s="363">
        <v>130</v>
      </c>
      <c r="AI266" s="363">
        <v>130</v>
      </c>
      <c r="AJ266" s="363">
        <v>130</v>
      </c>
      <c r="AK266" s="363">
        <v>130</v>
      </c>
      <c r="AL266" s="363">
        <v>130</v>
      </c>
      <c r="AM266" s="360">
        <f t="shared" si="10"/>
        <v>1524.15</v>
      </c>
      <c r="AN266" s="362">
        <f>ERP_26[[#This Row],[2026 Working Total]]-ERP_26[[#This Row],[LE2 Final Submission]]</f>
        <v>-12.739999999999782</v>
      </c>
      <c r="AO266" s="79">
        <v>130</v>
      </c>
      <c r="AP266" s="79">
        <f t="shared" si="11"/>
        <v>-4.4800000000000182</v>
      </c>
      <c r="AQ266" s="374">
        <f>SUM(ERP_26[[#This Row],[AP01]:[AP06]])-SUM(ERP_26[[#This Row],[AP01 LE2]:[AP06 LE2]])</f>
        <v>-12.740000000000009</v>
      </c>
      <c r="AR266" s="80"/>
      <c r="AS266" s="79">
        <f>ERP_26[[#This Row],[2026 Working Total to Budget/LE]]-ERP_26[[#This Row],[Giveback]]</f>
        <v>-12.739999999999782</v>
      </c>
      <c r="AT266" s="81"/>
      <c r="AU266" s="375">
        <v>124.95</v>
      </c>
      <c r="AV266" s="375">
        <v>125.88</v>
      </c>
      <c r="AW266" s="375">
        <v>116.06</v>
      </c>
      <c r="AX266" s="375">
        <v>130</v>
      </c>
      <c r="AY266" s="375">
        <v>130</v>
      </c>
      <c r="AZ266" s="375">
        <v>130</v>
      </c>
      <c r="BA266" s="375">
        <v>130</v>
      </c>
      <c r="BB266" s="375">
        <v>130</v>
      </c>
      <c r="BC266" s="375">
        <v>130</v>
      </c>
      <c r="BD266" s="375">
        <v>130</v>
      </c>
      <c r="BE266" s="375">
        <v>130</v>
      </c>
      <c r="BF266" s="375">
        <v>130</v>
      </c>
      <c r="BG266" s="375">
        <v>1536.8899999999999</v>
      </c>
      <c r="BH266" s="79">
        <v>124.95</v>
      </c>
      <c r="BI266" s="79">
        <v>125.88</v>
      </c>
      <c r="BJ266" s="79">
        <v>116.06</v>
      </c>
      <c r="BK266" s="79">
        <v>130</v>
      </c>
      <c r="BL266" s="79">
        <v>130</v>
      </c>
      <c r="BM266" s="79">
        <v>130</v>
      </c>
      <c r="BN266" s="79">
        <v>130</v>
      </c>
      <c r="BO266" s="79">
        <v>130</v>
      </c>
      <c r="BP266" s="79">
        <v>130</v>
      </c>
      <c r="BQ266" s="79">
        <v>130</v>
      </c>
      <c r="BR266" s="79">
        <v>130</v>
      </c>
      <c r="BS266" s="79">
        <v>130</v>
      </c>
      <c r="BT266" s="79">
        <v>1536.8899999999999</v>
      </c>
    </row>
    <row r="267" spans="1:72" ht="15" customHeight="1">
      <c r="A267" s="66" t="s">
        <v>1970</v>
      </c>
      <c r="B267" s="66"/>
      <c r="C267" s="66" t="s">
        <v>498</v>
      </c>
      <c r="D267" s="66" t="s">
        <v>498</v>
      </c>
      <c r="E267" s="150" t="s">
        <v>1136</v>
      </c>
      <c r="F267" s="482" t="s">
        <v>1566</v>
      </c>
      <c r="G267" s="383" t="s">
        <v>1344</v>
      </c>
      <c r="H267" s="383" t="s">
        <v>1344</v>
      </c>
      <c r="I267" s="150" t="s">
        <v>1345</v>
      </c>
      <c r="J267" s="150" t="s">
        <v>1344</v>
      </c>
      <c r="K267" s="150" t="s">
        <v>1346</v>
      </c>
      <c r="L267" s="511" t="s">
        <v>389</v>
      </c>
      <c r="M267" s="392" t="s">
        <v>1971</v>
      </c>
      <c r="N267" s="343"/>
      <c r="O267" s="343"/>
      <c r="P267" s="70" t="s">
        <v>499</v>
      </c>
      <c r="Q267" s="346"/>
      <c r="R267" s="343"/>
      <c r="S267" s="346"/>
      <c r="T267" s="150" t="s">
        <v>57</v>
      </c>
      <c r="U267" s="150"/>
      <c r="V267" s="403"/>
      <c r="W267" s="406">
        <v>0</v>
      </c>
      <c r="X267" s="406">
        <v>354.76</v>
      </c>
      <c r="Y267" s="430"/>
      <c r="Z267" s="137"/>
      <c r="AA267" s="426">
        <v>129.77000000000001</v>
      </c>
      <c r="AB267" s="427">
        <v>129.72</v>
      </c>
      <c r="AC267" s="427">
        <v>95.27</v>
      </c>
      <c r="AD267" s="428">
        <v>108.61</v>
      </c>
      <c r="AE267" s="429">
        <v>126.27000000000001</v>
      </c>
      <c r="AF267" s="429">
        <v>130.19999999999999</v>
      </c>
      <c r="AG267" s="360">
        <v>0</v>
      </c>
      <c r="AH267" s="360">
        <v>0</v>
      </c>
      <c r="AI267" s="360">
        <v>0</v>
      </c>
      <c r="AJ267" s="360">
        <v>0</v>
      </c>
      <c r="AK267" s="360">
        <v>0</v>
      </c>
      <c r="AL267" s="360">
        <v>0</v>
      </c>
      <c r="AM267" s="360">
        <f t="shared" si="10"/>
        <v>719.83999999999992</v>
      </c>
      <c r="AN267" s="362">
        <f>ERP_26[[#This Row],[2026 Working Total]]-ERP_26[[#This Row],[LE2 Final Submission]]</f>
        <v>365.07999999999993</v>
      </c>
      <c r="AO267" s="79">
        <v>0</v>
      </c>
      <c r="AP267" s="79">
        <f t="shared" si="11"/>
        <v>130.19999999999999</v>
      </c>
      <c r="AQ267" s="374">
        <f>SUM(ERP_26[[#This Row],[AP01]:[AP06]])-SUM(ERP_26[[#This Row],[AP01 LE2]:[AP06 LE2]])</f>
        <v>365.07999999999993</v>
      </c>
      <c r="AR267" s="80"/>
      <c r="AS267" s="79">
        <f>ERP_26[[#This Row],[2026 Working Total to Budget/LE]]-ERP_26[[#This Row],[Giveback]]</f>
        <v>365.07999999999993</v>
      </c>
      <c r="AT267" s="81"/>
      <c r="AU267" s="375">
        <v>129.77000000000001</v>
      </c>
      <c r="AV267" s="375">
        <v>129.72</v>
      </c>
      <c r="AW267" s="375">
        <v>95.27</v>
      </c>
      <c r="AX267" s="375">
        <v>0</v>
      </c>
      <c r="AY267" s="375">
        <v>0</v>
      </c>
      <c r="AZ267" s="375">
        <v>0</v>
      </c>
      <c r="BA267" s="375">
        <v>0</v>
      </c>
      <c r="BB267" s="375">
        <v>0</v>
      </c>
      <c r="BC267" s="375">
        <v>0</v>
      </c>
      <c r="BD267" s="375">
        <v>0</v>
      </c>
      <c r="BE267" s="375">
        <v>0</v>
      </c>
      <c r="BF267" s="375">
        <v>0</v>
      </c>
      <c r="BG267" s="375">
        <v>354.76</v>
      </c>
      <c r="BH267" s="79">
        <v>129.77000000000001</v>
      </c>
      <c r="BI267" s="79">
        <v>129.72</v>
      </c>
      <c r="BJ267" s="79">
        <v>95.27</v>
      </c>
      <c r="BK267" s="79">
        <v>0</v>
      </c>
      <c r="BL267" s="79">
        <v>0</v>
      </c>
      <c r="BM267" s="79">
        <v>0</v>
      </c>
      <c r="BN267" s="79">
        <v>0</v>
      </c>
      <c r="BO267" s="79">
        <v>0</v>
      </c>
      <c r="BP267" s="79">
        <v>0</v>
      </c>
      <c r="BQ267" s="79">
        <v>0</v>
      </c>
      <c r="BR267" s="79">
        <v>0</v>
      </c>
      <c r="BS267" s="79">
        <v>0</v>
      </c>
      <c r="BT267" s="79">
        <v>354.76</v>
      </c>
    </row>
    <row r="268" spans="1:72" ht="15" customHeight="1">
      <c r="A268" s="66" t="s">
        <v>1972</v>
      </c>
      <c r="B268" s="66"/>
      <c r="C268" s="66" t="s">
        <v>500</v>
      </c>
      <c r="D268" s="66" t="s">
        <v>500</v>
      </c>
      <c r="E268" s="150" t="s">
        <v>1136</v>
      </c>
      <c r="F268" s="482" t="s">
        <v>1566</v>
      </c>
      <c r="G268" s="383" t="s">
        <v>1344</v>
      </c>
      <c r="H268" s="383" t="s">
        <v>1344</v>
      </c>
      <c r="I268" s="150" t="s">
        <v>1345</v>
      </c>
      <c r="J268" s="150" t="s">
        <v>1344</v>
      </c>
      <c r="K268" s="150" t="s">
        <v>1346</v>
      </c>
      <c r="L268" s="511" t="s">
        <v>389</v>
      </c>
      <c r="M268" s="392" t="s">
        <v>1399</v>
      </c>
      <c r="N268" s="343"/>
      <c r="O268" s="343"/>
      <c r="P268" s="70" t="s">
        <v>185</v>
      </c>
      <c r="Q268" s="346"/>
      <c r="R268" s="343"/>
      <c r="S268" s="346"/>
      <c r="T268" s="150" t="s">
        <v>25</v>
      </c>
      <c r="U268" s="150" t="s">
        <v>1400</v>
      </c>
      <c r="V268" s="403"/>
      <c r="W268" s="406">
        <v>0</v>
      </c>
      <c r="X268" s="406">
        <v>0</v>
      </c>
      <c r="Y268" s="425"/>
      <c r="Z268" s="71"/>
      <c r="AA268" s="426"/>
      <c r="AB268" s="427"/>
      <c r="AC268" s="427">
        <v>5850</v>
      </c>
      <c r="AD268" s="428">
        <v>0</v>
      </c>
      <c r="AE268" s="429">
        <v>-5800.26</v>
      </c>
      <c r="AF268" s="429">
        <v>63.66</v>
      </c>
      <c r="AG268" s="360">
        <v>0</v>
      </c>
      <c r="AH268" s="360">
        <v>0</v>
      </c>
      <c r="AI268" s="360">
        <v>0</v>
      </c>
      <c r="AJ268" s="360">
        <v>0</v>
      </c>
      <c r="AK268" s="360">
        <v>0</v>
      </c>
      <c r="AL268" s="360">
        <v>0</v>
      </c>
      <c r="AM268" s="360">
        <f t="shared" si="10"/>
        <v>113.39999999999978</v>
      </c>
      <c r="AN268" s="362">
        <f>ERP_26[[#This Row],[2026 Working Total]]-ERP_26[[#This Row],[LE2 Final Submission]]</f>
        <v>113.39999999999978</v>
      </c>
      <c r="AO268" s="79">
        <v>-5850</v>
      </c>
      <c r="AP268" s="79">
        <f t="shared" si="11"/>
        <v>5913.66</v>
      </c>
      <c r="AQ268" s="374">
        <f>SUM(ERP_26[[#This Row],[AP01]:[AP06]])-SUM(ERP_26[[#This Row],[AP01 LE2]:[AP06 LE2]])</f>
        <v>113.39999999999978</v>
      </c>
      <c r="AR268" s="80"/>
      <c r="AS268" s="79">
        <f>ERP_26[[#This Row],[2026 Working Total to Budget/LE]]-ERP_26[[#This Row],[Giveback]]</f>
        <v>113.39999999999978</v>
      </c>
      <c r="AT268" s="81"/>
      <c r="AU268" s="375"/>
      <c r="AV268" s="375"/>
      <c r="AW268" s="375">
        <v>5850</v>
      </c>
      <c r="AX268" s="375"/>
      <c r="AY268" s="375">
        <v>-5850</v>
      </c>
      <c r="AZ268" s="375">
        <v>0</v>
      </c>
      <c r="BA268" s="375">
        <v>0</v>
      </c>
      <c r="BB268" s="375">
        <v>0</v>
      </c>
      <c r="BC268" s="375">
        <v>0</v>
      </c>
      <c r="BD268" s="375">
        <v>0</v>
      </c>
      <c r="BE268" s="375">
        <v>0</v>
      </c>
      <c r="BF268" s="375">
        <v>0</v>
      </c>
      <c r="BG268" s="375">
        <v>0</v>
      </c>
      <c r="BH268" s="79"/>
      <c r="BI268" s="79"/>
      <c r="BJ268" s="79">
        <v>5850</v>
      </c>
      <c r="BK268" s="79">
        <v>0</v>
      </c>
      <c r="BL268" s="79">
        <v>0</v>
      </c>
      <c r="BM268" s="79">
        <v>0</v>
      </c>
      <c r="BN268" s="79">
        <v>0</v>
      </c>
      <c r="BO268" s="79">
        <v>0</v>
      </c>
      <c r="BP268" s="79">
        <v>0</v>
      </c>
      <c r="BQ268" s="79">
        <v>0</v>
      </c>
      <c r="BR268" s="79">
        <v>0</v>
      </c>
      <c r="BS268" s="79">
        <v>0</v>
      </c>
      <c r="BT268" s="79">
        <v>5850</v>
      </c>
    </row>
    <row r="269" spans="1:72" ht="15" customHeight="1">
      <c r="A269" s="66" t="s">
        <v>1973</v>
      </c>
      <c r="B269" s="66"/>
      <c r="C269" s="66" t="s">
        <v>501</v>
      </c>
      <c r="D269" s="66" t="s">
        <v>501</v>
      </c>
      <c r="E269" s="150" t="s">
        <v>1136</v>
      </c>
      <c r="F269" s="482" t="s">
        <v>1566</v>
      </c>
      <c r="G269" s="383" t="s">
        <v>1344</v>
      </c>
      <c r="H269" s="383" t="s">
        <v>1344</v>
      </c>
      <c r="I269" s="150" t="s">
        <v>1345</v>
      </c>
      <c r="J269" s="150" t="s">
        <v>1344</v>
      </c>
      <c r="K269" s="150" t="s">
        <v>1346</v>
      </c>
      <c r="L269" s="511" t="s">
        <v>389</v>
      </c>
      <c r="M269" s="392" t="s">
        <v>1402</v>
      </c>
      <c r="N269" s="343"/>
      <c r="O269" s="343"/>
      <c r="P269" s="70" t="s">
        <v>187</v>
      </c>
      <c r="Q269" s="346"/>
      <c r="R269" s="343"/>
      <c r="S269" s="346"/>
      <c r="T269" s="150" t="s">
        <v>188</v>
      </c>
      <c r="U269" s="150" t="s">
        <v>1403</v>
      </c>
      <c r="V269" s="403"/>
      <c r="W269" s="406">
        <v>0</v>
      </c>
      <c r="X269" s="406">
        <v>25200</v>
      </c>
      <c r="Y269" s="425"/>
      <c r="Z269" s="71"/>
      <c r="AA269" s="426"/>
      <c r="AB269" s="427"/>
      <c r="AC269" s="427">
        <v>6300</v>
      </c>
      <c r="AD269" s="428">
        <v>0</v>
      </c>
      <c r="AE269" s="429">
        <v>4200</v>
      </c>
      <c r="AF269" s="429">
        <v>0</v>
      </c>
      <c r="AG269" s="360">
        <v>2100</v>
      </c>
      <c r="AH269" s="360">
        <v>2100</v>
      </c>
      <c r="AI269" s="360">
        <v>2100</v>
      </c>
      <c r="AJ269" s="360">
        <v>2100</v>
      </c>
      <c r="AK269" s="360">
        <v>2100</v>
      </c>
      <c r="AL269" s="360">
        <v>2100</v>
      </c>
      <c r="AM269" s="360">
        <f t="shared" si="10"/>
        <v>23100</v>
      </c>
      <c r="AN269" s="362">
        <f>ERP_26[[#This Row],[2026 Working Total]]-ERP_26[[#This Row],[LE2 Final Submission]]</f>
        <v>-2100</v>
      </c>
      <c r="AO269" s="79">
        <v>2100</v>
      </c>
      <c r="AP269" s="79">
        <f t="shared" si="11"/>
        <v>-2100</v>
      </c>
      <c r="AQ269" s="374">
        <f>SUM(ERP_26[[#This Row],[AP01]:[AP06]])-SUM(ERP_26[[#This Row],[AP01 LE2]:[AP06 LE2]])</f>
        <v>-2100</v>
      </c>
      <c r="AR269" s="80"/>
      <c r="AS269" s="79">
        <f>ERP_26[[#This Row],[2026 Working Total to Budget/LE]]-ERP_26[[#This Row],[Giveback]]</f>
        <v>-2100</v>
      </c>
      <c r="AT269" s="81"/>
      <c r="AU269" s="375"/>
      <c r="AV269" s="375"/>
      <c r="AW269" s="375">
        <v>6300</v>
      </c>
      <c r="AX269" s="375">
        <v>2100</v>
      </c>
      <c r="AY269" s="375">
        <v>2100</v>
      </c>
      <c r="AZ269" s="375">
        <v>2100</v>
      </c>
      <c r="BA269" s="375">
        <v>2100</v>
      </c>
      <c r="BB269" s="375">
        <v>2100</v>
      </c>
      <c r="BC269" s="375">
        <v>2100</v>
      </c>
      <c r="BD269" s="375">
        <v>2100</v>
      </c>
      <c r="BE269" s="375">
        <v>2100</v>
      </c>
      <c r="BF269" s="375">
        <v>2100</v>
      </c>
      <c r="BG269" s="375">
        <v>25200</v>
      </c>
      <c r="BH269" s="79"/>
      <c r="BI269" s="79"/>
      <c r="BJ269" s="79">
        <v>6300</v>
      </c>
      <c r="BK269" s="79">
        <v>0</v>
      </c>
      <c r="BL269" s="79">
        <v>0</v>
      </c>
      <c r="BM269" s="79">
        <v>0</v>
      </c>
      <c r="BN269" s="79">
        <v>0</v>
      </c>
      <c r="BO269" s="79">
        <v>0</v>
      </c>
      <c r="BP269" s="79">
        <v>0</v>
      </c>
      <c r="BQ269" s="79">
        <v>0</v>
      </c>
      <c r="BR269" s="79">
        <v>0</v>
      </c>
      <c r="BS269" s="79">
        <v>0</v>
      </c>
      <c r="BT269" s="79">
        <v>6300</v>
      </c>
    </row>
    <row r="270" spans="1:72" ht="15" customHeight="1">
      <c r="A270" s="66" t="s">
        <v>1974</v>
      </c>
      <c r="B270" s="66"/>
      <c r="C270" s="66" t="s">
        <v>502</v>
      </c>
      <c r="D270" s="66" t="s">
        <v>502</v>
      </c>
      <c r="E270" s="150" t="s">
        <v>1136</v>
      </c>
      <c r="F270" s="482" t="s">
        <v>1566</v>
      </c>
      <c r="G270" s="383" t="s">
        <v>1344</v>
      </c>
      <c r="H270" s="383" t="s">
        <v>1344</v>
      </c>
      <c r="I270" s="150" t="s">
        <v>1345</v>
      </c>
      <c r="J270" s="150" t="s">
        <v>1344</v>
      </c>
      <c r="K270" s="150" t="s">
        <v>1346</v>
      </c>
      <c r="L270" s="511" t="s">
        <v>389</v>
      </c>
      <c r="M270" s="392" t="s">
        <v>1471</v>
      </c>
      <c r="N270" s="343"/>
      <c r="O270" s="343"/>
      <c r="P270" s="70" t="s">
        <v>221</v>
      </c>
      <c r="Q270" s="346"/>
      <c r="R270" s="343"/>
      <c r="S270" s="346"/>
      <c r="T270" s="150" t="s">
        <v>188</v>
      </c>
      <c r="U270" s="150"/>
      <c r="V270" s="403"/>
      <c r="W270" s="406">
        <v>0</v>
      </c>
      <c r="X270" s="406">
        <v>8751</v>
      </c>
      <c r="Y270" s="425"/>
      <c r="Z270" s="71"/>
      <c r="AA270" s="426"/>
      <c r="AB270" s="427"/>
      <c r="AC270" s="427">
        <v>8751</v>
      </c>
      <c r="AD270" s="428">
        <v>0</v>
      </c>
      <c r="AE270" s="429">
        <v>5834</v>
      </c>
      <c r="AF270" s="429">
        <v>0</v>
      </c>
      <c r="AG270" s="360">
        <v>0</v>
      </c>
      <c r="AH270" s="360">
        <v>0</v>
      </c>
      <c r="AI270" s="360">
        <v>0</v>
      </c>
      <c r="AJ270" s="360">
        <v>0</v>
      </c>
      <c r="AK270" s="360">
        <v>0</v>
      </c>
      <c r="AL270" s="360">
        <v>0</v>
      </c>
      <c r="AM270" s="360">
        <f t="shared" si="10"/>
        <v>14585</v>
      </c>
      <c r="AN270" s="362">
        <f>ERP_26[[#This Row],[2026 Working Total]]-ERP_26[[#This Row],[LE2 Final Submission]]</f>
        <v>5834</v>
      </c>
      <c r="AO270" s="79">
        <v>0</v>
      </c>
      <c r="AP270" s="79">
        <f t="shared" si="11"/>
        <v>0</v>
      </c>
      <c r="AQ270" s="374">
        <f>SUM(ERP_26[[#This Row],[AP01]:[AP06]])-SUM(ERP_26[[#This Row],[AP01 LE2]:[AP06 LE2]])</f>
        <v>5834</v>
      </c>
      <c r="AR270" s="80"/>
      <c r="AS270" s="79">
        <f>ERP_26[[#This Row],[2026 Working Total to Budget/LE]]-ERP_26[[#This Row],[Giveback]]</f>
        <v>5834</v>
      </c>
      <c r="AT270" s="81"/>
      <c r="AU270" s="375"/>
      <c r="AV270" s="375"/>
      <c r="AW270" s="375">
        <v>8751</v>
      </c>
      <c r="AX270" s="375">
        <v>0</v>
      </c>
      <c r="AY270" s="375">
        <v>0</v>
      </c>
      <c r="AZ270" s="375">
        <v>0</v>
      </c>
      <c r="BA270" s="375">
        <v>0</v>
      </c>
      <c r="BB270" s="375">
        <v>0</v>
      </c>
      <c r="BC270" s="375">
        <v>0</v>
      </c>
      <c r="BD270" s="375">
        <v>0</v>
      </c>
      <c r="BE270" s="375">
        <v>0</v>
      </c>
      <c r="BF270" s="375">
        <v>0</v>
      </c>
      <c r="BG270" s="375">
        <v>8751</v>
      </c>
      <c r="BH270" s="79"/>
      <c r="BI270" s="79"/>
      <c r="BJ270" s="79">
        <v>8751</v>
      </c>
      <c r="BK270" s="79">
        <v>0</v>
      </c>
      <c r="BL270" s="79">
        <v>0</v>
      </c>
      <c r="BM270" s="79">
        <v>0</v>
      </c>
      <c r="BN270" s="79">
        <v>0</v>
      </c>
      <c r="BO270" s="79">
        <v>0</v>
      </c>
      <c r="BP270" s="79">
        <v>0</v>
      </c>
      <c r="BQ270" s="79">
        <v>0</v>
      </c>
      <c r="BR270" s="79">
        <v>0</v>
      </c>
      <c r="BS270" s="79">
        <v>0</v>
      </c>
      <c r="BT270" s="79">
        <v>8751</v>
      </c>
    </row>
    <row r="271" spans="1:72" ht="15" customHeight="1">
      <c r="A271" s="79" t="s">
        <v>1975</v>
      </c>
      <c r="B271" s="79"/>
      <c r="C271" s="79" t="s">
        <v>503</v>
      </c>
      <c r="D271" s="296" t="s">
        <v>503</v>
      </c>
      <c r="E271" s="150" t="s">
        <v>1136</v>
      </c>
      <c r="F271" s="482" t="s">
        <v>1566</v>
      </c>
      <c r="G271" s="383" t="s">
        <v>1344</v>
      </c>
      <c r="H271" s="383" t="s">
        <v>1344</v>
      </c>
      <c r="I271" s="332" t="s">
        <v>1345</v>
      </c>
      <c r="J271" s="383" t="s">
        <v>1344</v>
      </c>
      <c r="K271" s="331" t="s">
        <v>1346</v>
      </c>
      <c r="L271" s="512" t="s">
        <v>389</v>
      </c>
      <c r="M271" s="393" t="s">
        <v>1976</v>
      </c>
      <c r="N271" s="343"/>
      <c r="O271" s="331"/>
      <c r="P271" s="91" t="s">
        <v>504</v>
      </c>
      <c r="Q271" s="343"/>
      <c r="R271" s="346" t="s">
        <v>1221</v>
      </c>
      <c r="S271" s="348"/>
      <c r="T271" s="386" t="s">
        <v>25</v>
      </c>
      <c r="U271" s="387" t="s">
        <v>1348</v>
      </c>
      <c r="V271" s="432"/>
      <c r="W271" s="358">
        <v>12500</v>
      </c>
      <c r="X271" s="378">
        <v>0</v>
      </c>
      <c r="Y271" s="425"/>
      <c r="Z271" s="71"/>
      <c r="AA271" s="433"/>
      <c r="AB271" s="434"/>
      <c r="AC271" s="434"/>
      <c r="AD271" s="428" t="s">
        <v>1142</v>
      </c>
      <c r="AE271" s="429">
        <v>0</v>
      </c>
      <c r="AF271" s="429">
        <v>0</v>
      </c>
      <c r="AG271" s="388">
        <v>0</v>
      </c>
      <c r="AH271" s="388">
        <v>0</v>
      </c>
      <c r="AI271" s="388">
        <v>0</v>
      </c>
      <c r="AJ271" s="388">
        <v>0</v>
      </c>
      <c r="AK271" s="388">
        <v>0</v>
      </c>
      <c r="AL271" s="388">
        <v>0</v>
      </c>
      <c r="AM271" s="360">
        <f t="shared" si="10"/>
        <v>0</v>
      </c>
      <c r="AN271" s="362">
        <f>ERP_26[[#This Row],[2026 Working Total]]-ERP_26[[#This Row],[LE2 Final Submission]]</f>
        <v>0</v>
      </c>
      <c r="AO271" s="79">
        <v>0</v>
      </c>
      <c r="AP271" s="79">
        <f t="shared" si="11"/>
        <v>0</v>
      </c>
      <c r="AQ271" s="374">
        <f>SUM(ERP_26[[#This Row],[AP01]:[AP06]])-SUM(ERP_26[[#This Row],[AP01 LE2]:[AP06 LE2]])</f>
        <v>0</v>
      </c>
      <c r="AR271" s="80"/>
      <c r="AS271" s="79">
        <f>ERP_26[[#This Row],[2026 Working Total to Budget/LE]]-ERP_26[[#This Row],[Giveback]]</f>
        <v>0</v>
      </c>
      <c r="AT271" s="81"/>
      <c r="AU271" s="375"/>
      <c r="AV271" s="375"/>
      <c r="AW271" s="375"/>
      <c r="AX271" s="375">
        <v>0</v>
      </c>
      <c r="AY271" s="375">
        <v>0</v>
      </c>
      <c r="AZ271" s="375">
        <v>0</v>
      </c>
      <c r="BA271" s="375">
        <v>0</v>
      </c>
      <c r="BB271" s="375">
        <v>0</v>
      </c>
      <c r="BC271" s="375">
        <v>0</v>
      </c>
      <c r="BD271" s="375">
        <v>0</v>
      </c>
      <c r="BE271" s="375">
        <v>0</v>
      </c>
      <c r="BF271" s="375">
        <v>0</v>
      </c>
      <c r="BG271" s="375">
        <v>0</v>
      </c>
      <c r="BH271" s="103">
        <v>0</v>
      </c>
      <c r="BI271" s="103">
        <v>0</v>
      </c>
      <c r="BJ271" s="103">
        <v>12500</v>
      </c>
      <c r="BK271" s="103">
        <v>0</v>
      </c>
      <c r="BL271" s="103">
        <v>0</v>
      </c>
      <c r="BM271" s="103">
        <v>0</v>
      </c>
      <c r="BN271" s="103">
        <v>0</v>
      </c>
      <c r="BO271" s="103">
        <v>0</v>
      </c>
      <c r="BP271" s="103">
        <v>0</v>
      </c>
      <c r="BQ271" s="103">
        <v>0</v>
      </c>
      <c r="BR271" s="103">
        <v>0</v>
      </c>
      <c r="BS271" s="103">
        <v>0</v>
      </c>
      <c r="BT271" s="79">
        <f>SUM(ERP_26[[#This Row],[2026 AP01]:[2026 AP12]])</f>
        <v>12500</v>
      </c>
    </row>
    <row r="272" spans="1:72" ht="15" customHeight="1">
      <c r="A272" s="79" t="s">
        <v>1977</v>
      </c>
      <c r="B272" s="79"/>
      <c r="C272" s="79" t="s">
        <v>505</v>
      </c>
      <c r="D272" s="296" t="s">
        <v>505</v>
      </c>
      <c r="E272" s="150" t="s">
        <v>1136</v>
      </c>
      <c r="F272" s="482" t="s">
        <v>1566</v>
      </c>
      <c r="G272" s="383" t="s">
        <v>1344</v>
      </c>
      <c r="H272" s="383" t="s">
        <v>1344</v>
      </c>
      <c r="I272" s="332" t="s">
        <v>1345</v>
      </c>
      <c r="J272" s="383" t="s">
        <v>1344</v>
      </c>
      <c r="K272" s="331" t="s">
        <v>1346</v>
      </c>
      <c r="L272" s="512" t="s">
        <v>389</v>
      </c>
      <c r="M272" s="393" t="s">
        <v>1976</v>
      </c>
      <c r="N272" s="343"/>
      <c r="O272" s="331"/>
      <c r="P272" s="91" t="s">
        <v>506</v>
      </c>
      <c r="Q272" s="343"/>
      <c r="R272" s="343"/>
      <c r="S272" s="348"/>
      <c r="T272" s="386" t="s">
        <v>25</v>
      </c>
      <c r="U272" s="387" t="s">
        <v>1348</v>
      </c>
      <c r="V272" s="432"/>
      <c r="W272" s="358">
        <v>-12500</v>
      </c>
      <c r="X272" s="378">
        <v>0</v>
      </c>
      <c r="Y272" s="425"/>
      <c r="Z272" s="71"/>
      <c r="AA272" s="433"/>
      <c r="AB272" s="434"/>
      <c r="AC272" s="434"/>
      <c r="AD272" s="428" t="s">
        <v>1142</v>
      </c>
      <c r="AE272" s="429">
        <v>0</v>
      </c>
      <c r="AF272" s="429">
        <v>0</v>
      </c>
      <c r="AG272" s="388">
        <v>0</v>
      </c>
      <c r="AH272" s="388">
        <v>0</v>
      </c>
      <c r="AI272" s="388">
        <v>0</v>
      </c>
      <c r="AJ272" s="388">
        <v>0</v>
      </c>
      <c r="AK272" s="388">
        <v>0</v>
      </c>
      <c r="AL272" s="388">
        <v>0</v>
      </c>
      <c r="AM272" s="360">
        <f t="shared" si="10"/>
        <v>0</v>
      </c>
      <c r="AN272" s="362">
        <f>ERP_26[[#This Row],[2026 Working Total]]-ERP_26[[#This Row],[LE2 Final Submission]]</f>
        <v>0</v>
      </c>
      <c r="AO272" s="79">
        <v>0</v>
      </c>
      <c r="AP272" s="79">
        <f t="shared" si="11"/>
        <v>0</v>
      </c>
      <c r="AQ272" s="374">
        <f>SUM(ERP_26[[#This Row],[AP01]:[AP06]])-SUM(ERP_26[[#This Row],[AP01 LE2]:[AP06 LE2]])</f>
        <v>0</v>
      </c>
      <c r="AR272" s="80"/>
      <c r="AS272" s="79">
        <f>ERP_26[[#This Row],[2026 Working Total to Budget/LE]]-ERP_26[[#This Row],[Giveback]]</f>
        <v>0</v>
      </c>
      <c r="AT272" s="81"/>
      <c r="AU272" s="375"/>
      <c r="AV272" s="375"/>
      <c r="AW272" s="375"/>
      <c r="AX272" s="375">
        <v>0</v>
      </c>
      <c r="AY272" s="375">
        <v>0</v>
      </c>
      <c r="AZ272" s="375">
        <v>0</v>
      </c>
      <c r="BA272" s="375">
        <v>0</v>
      </c>
      <c r="BB272" s="375">
        <v>0</v>
      </c>
      <c r="BC272" s="375">
        <v>0</v>
      </c>
      <c r="BD272" s="375">
        <v>0</v>
      </c>
      <c r="BE272" s="375">
        <v>0</v>
      </c>
      <c r="BF272" s="375">
        <v>0</v>
      </c>
      <c r="BG272" s="375">
        <v>0</v>
      </c>
      <c r="BH272" s="103">
        <v>0</v>
      </c>
      <c r="BI272" s="103">
        <v>0</v>
      </c>
      <c r="BJ272" s="103">
        <v>-12500</v>
      </c>
      <c r="BK272" s="103">
        <v>0</v>
      </c>
      <c r="BL272" s="103">
        <v>0</v>
      </c>
      <c r="BM272" s="103">
        <v>0</v>
      </c>
      <c r="BN272" s="103">
        <v>0</v>
      </c>
      <c r="BO272" s="103">
        <v>0</v>
      </c>
      <c r="BP272" s="103">
        <v>0</v>
      </c>
      <c r="BQ272" s="103">
        <v>0</v>
      </c>
      <c r="BR272" s="103">
        <v>0</v>
      </c>
      <c r="BS272" s="103">
        <v>0</v>
      </c>
      <c r="BT272" s="79">
        <f>SUM(ERP_26[[#This Row],[2026 AP01]:[2026 AP12]])</f>
        <v>-12500</v>
      </c>
    </row>
    <row r="273" spans="1:72" ht="15" customHeight="1">
      <c r="A273" s="66" t="s">
        <v>1978</v>
      </c>
      <c r="B273" s="66"/>
      <c r="C273" s="66" t="s">
        <v>507</v>
      </c>
      <c r="D273" s="66" t="s">
        <v>507</v>
      </c>
      <c r="E273" s="150" t="s">
        <v>1136</v>
      </c>
      <c r="F273" s="482" t="s">
        <v>1566</v>
      </c>
      <c r="G273" s="383" t="s">
        <v>1344</v>
      </c>
      <c r="H273" s="383" t="s">
        <v>1344</v>
      </c>
      <c r="I273" s="150" t="s">
        <v>1345</v>
      </c>
      <c r="J273" s="150" t="s">
        <v>1344</v>
      </c>
      <c r="K273" s="150" t="s">
        <v>1346</v>
      </c>
      <c r="L273" s="511" t="s">
        <v>389</v>
      </c>
      <c r="M273" s="392" t="s">
        <v>1979</v>
      </c>
      <c r="N273" s="343"/>
      <c r="O273" s="343"/>
      <c r="P273" s="70" t="s">
        <v>508</v>
      </c>
      <c r="Q273" s="346"/>
      <c r="R273" s="343"/>
      <c r="S273" s="346"/>
      <c r="T273" s="150" t="s">
        <v>432</v>
      </c>
      <c r="U273" s="150"/>
      <c r="V273" s="403"/>
      <c r="W273" s="406">
        <v>14400</v>
      </c>
      <c r="X273" s="406">
        <v>10800</v>
      </c>
      <c r="Y273" s="430"/>
      <c r="Z273" s="137"/>
      <c r="AA273" s="426"/>
      <c r="AB273" s="427"/>
      <c r="AC273" s="427"/>
      <c r="AD273" s="428" t="s">
        <v>1142</v>
      </c>
      <c r="AE273" s="429">
        <v>0</v>
      </c>
      <c r="AF273" s="429">
        <v>0</v>
      </c>
      <c r="AG273" s="363">
        <v>1200</v>
      </c>
      <c r="AH273" s="363">
        <v>1200</v>
      </c>
      <c r="AI273" s="363">
        <v>1200</v>
      </c>
      <c r="AJ273" s="363">
        <v>1200</v>
      </c>
      <c r="AK273" s="363">
        <v>1200</v>
      </c>
      <c r="AL273" s="363">
        <v>1200</v>
      </c>
      <c r="AM273" s="360">
        <f t="shared" si="10"/>
        <v>7200</v>
      </c>
      <c r="AN273" s="362">
        <f>ERP_26[[#This Row],[2026 Working Total]]-ERP_26[[#This Row],[LE2 Final Submission]]</f>
        <v>-3600</v>
      </c>
      <c r="AO273" s="79">
        <v>1200</v>
      </c>
      <c r="AP273" s="79">
        <f t="shared" si="11"/>
        <v>-1200</v>
      </c>
      <c r="AQ273" s="374">
        <f>SUM(ERP_26[[#This Row],[AP01]:[AP06]])-SUM(ERP_26[[#This Row],[AP01 LE2]:[AP06 LE2]])</f>
        <v>-3600</v>
      </c>
      <c r="AR273" s="80"/>
      <c r="AS273" s="79">
        <f>ERP_26[[#This Row],[2026 Working Total to Budget/LE]]-ERP_26[[#This Row],[Giveback]]</f>
        <v>-3600</v>
      </c>
      <c r="AT273" s="81"/>
      <c r="AU273" s="375"/>
      <c r="AV273" s="375"/>
      <c r="AW273" s="375"/>
      <c r="AX273" s="375">
        <v>1200</v>
      </c>
      <c r="AY273" s="375">
        <v>1200</v>
      </c>
      <c r="AZ273" s="375">
        <v>1200</v>
      </c>
      <c r="BA273" s="375">
        <v>1200</v>
      </c>
      <c r="BB273" s="375">
        <v>1200</v>
      </c>
      <c r="BC273" s="375">
        <v>1200</v>
      </c>
      <c r="BD273" s="375">
        <v>1200</v>
      </c>
      <c r="BE273" s="375">
        <v>1200</v>
      </c>
      <c r="BF273" s="375">
        <v>1200</v>
      </c>
      <c r="BG273" s="375">
        <v>10800</v>
      </c>
      <c r="BH273" s="79"/>
      <c r="BI273" s="79"/>
      <c r="BJ273" s="79"/>
      <c r="BK273" s="79">
        <v>1200</v>
      </c>
      <c r="BL273" s="79">
        <v>1200</v>
      </c>
      <c r="BM273" s="79">
        <v>1200</v>
      </c>
      <c r="BN273" s="79">
        <v>1200</v>
      </c>
      <c r="BO273" s="79">
        <v>1200</v>
      </c>
      <c r="BP273" s="79">
        <v>1200</v>
      </c>
      <c r="BQ273" s="79">
        <v>1200</v>
      </c>
      <c r="BR273" s="79">
        <v>1200</v>
      </c>
      <c r="BS273" s="79">
        <v>1200</v>
      </c>
      <c r="BT273" s="79">
        <v>10800</v>
      </c>
    </row>
    <row r="274" spans="1:72" ht="15" customHeight="1">
      <c r="A274" s="66" t="s">
        <v>1984</v>
      </c>
      <c r="B274" s="66"/>
      <c r="C274" s="66" t="s">
        <v>509</v>
      </c>
      <c r="D274" s="66" t="s">
        <v>509</v>
      </c>
      <c r="E274" s="150" t="s">
        <v>1136</v>
      </c>
      <c r="F274" s="482" t="s">
        <v>1566</v>
      </c>
      <c r="G274" s="383" t="s">
        <v>1344</v>
      </c>
      <c r="H274" s="383" t="s">
        <v>1344</v>
      </c>
      <c r="I274" s="150" t="s">
        <v>1345</v>
      </c>
      <c r="J274" s="150" t="s">
        <v>1344</v>
      </c>
      <c r="K274" s="150" t="s">
        <v>1346</v>
      </c>
      <c r="L274" s="511" t="s">
        <v>389</v>
      </c>
      <c r="M274" s="392" t="s">
        <v>1985</v>
      </c>
      <c r="N274" s="343"/>
      <c r="O274" s="343"/>
      <c r="P274" s="70" t="s">
        <v>510</v>
      </c>
      <c r="Q274" s="346"/>
      <c r="R274" s="343"/>
      <c r="S274" s="346"/>
      <c r="T274" s="150" t="s">
        <v>432</v>
      </c>
      <c r="U274" s="150"/>
      <c r="V274" s="403"/>
      <c r="W274" s="406">
        <v>3000</v>
      </c>
      <c r="X274" s="406">
        <v>2250</v>
      </c>
      <c r="Y274" s="425"/>
      <c r="Z274" s="71"/>
      <c r="AA274" s="426"/>
      <c r="AB274" s="427"/>
      <c r="AC274" s="427"/>
      <c r="AD274" s="428" t="s">
        <v>1142</v>
      </c>
      <c r="AE274" s="429">
        <v>0</v>
      </c>
      <c r="AF274" s="429">
        <v>0</v>
      </c>
      <c r="AG274" s="363">
        <v>250</v>
      </c>
      <c r="AH274" s="363">
        <v>250</v>
      </c>
      <c r="AI274" s="363">
        <v>250</v>
      </c>
      <c r="AJ274" s="363">
        <v>250</v>
      </c>
      <c r="AK274" s="363">
        <v>250</v>
      </c>
      <c r="AL274" s="363">
        <v>250</v>
      </c>
      <c r="AM274" s="360">
        <f t="shared" si="10"/>
        <v>1500</v>
      </c>
      <c r="AN274" s="362">
        <f>ERP_26[[#This Row],[2026 Working Total]]-ERP_26[[#This Row],[LE2 Final Submission]]</f>
        <v>-750</v>
      </c>
      <c r="AO274" s="79">
        <v>250</v>
      </c>
      <c r="AP274" s="79">
        <f t="shared" si="11"/>
        <v>-250</v>
      </c>
      <c r="AQ274" s="374">
        <f>SUM(ERP_26[[#This Row],[AP01]:[AP06]])-SUM(ERP_26[[#This Row],[AP01 LE2]:[AP06 LE2]])</f>
        <v>-750</v>
      </c>
      <c r="AR274" s="80"/>
      <c r="AS274" s="79">
        <f>ERP_26[[#This Row],[2026 Working Total to Budget/LE]]-ERP_26[[#This Row],[Giveback]]</f>
        <v>-750</v>
      </c>
      <c r="AT274" s="81"/>
      <c r="AU274" s="375"/>
      <c r="AV274" s="375"/>
      <c r="AW274" s="375"/>
      <c r="AX274" s="375">
        <v>250</v>
      </c>
      <c r="AY274" s="375">
        <v>250</v>
      </c>
      <c r="AZ274" s="375">
        <v>250</v>
      </c>
      <c r="BA274" s="375">
        <v>250</v>
      </c>
      <c r="BB274" s="375">
        <v>250</v>
      </c>
      <c r="BC274" s="375">
        <v>250</v>
      </c>
      <c r="BD274" s="375">
        <v>250</v>
      </c>
      <c r="BE274" s="375">
        <v>250</v>
      </c>
      <c r="BF274" s="375">
        <v>250</v>
      </c>
      <c r="BG274" s="375">
        <v>2250</v>
      </c>
      <c r="BH274" s="79"/>
      <c r="BI274" s="79"/>
      <c r="BJ274" s="79"/>
      <c r="BK274" s="79">
        <v>250</v>
      </c>
      <c r="BL274" s="79">
        <v>250</v>
      </c>
      <c r="BM274" s="79">
        <v>250</v>
      </c>
      <c r="BN274" s="79">
        <v>250</v>
      </c>
      <c r="BO274" s="79">
        <v>250</v>
      </c>
      <c r="BP274" s="79">
        <v>250</v>
      </c>
      <c r="BQ274" s="79">
        <v>250</v>
      </c>
      <c r="BR274" s="79">
        <v>250</v>
      </c>
      <c r="BS274" s="79">
        <v>250</v>
      </c>
      <c r="BT274" s="79">
        <v>2250</v>
      </c>
    </row>
    <row r="275" spans="1:72" ht="15" customHeight="1">
      <c r="A275" s="66" t="s">
        <v>1986</v>
      </c>
      <c r="B275" s="66"/>
      <c r="C275" s="66" t="s">
        <v>511</v>
      </c>
      <c r="D275" s="66" t="s">
        <v>511</v>
      </c>
      <c r="E275" s="150" t="s">
        <v>1136</v>
      </c>
      <c r="F275" s="482" t="s">
        <v>1566</v>
      </c>
      <c r="G275" s="383" t="s">
        <v>1344</v>
      </c>
      <c r="H275" s="383" t="s">
        <v>1344</v>
      </c>
      <c r="I275" s="150" t="s">
        <v>1345</v>
      </c>
      <c r="J275" s="150" t="s">
        <v>1344</v>
      </c>
      <c r="K275" s="150" t="s">
        <v>1346</v>
      </c>
      <c r="L275" s="511" t="s">
        <v>389</v>
      </c>
      <c r="M275" s="392" t="s">
        <v>1855</v>
      </c>
      <c r="N275" s="343"/>
      <c r="O275" s="343"/>
      <c r="P275" s="70" t="s">
        <v>466</v>
      </c>
      <c r="Q275" s="346"/>
      <c r="R275" s="346" t="s">
        <v>1140</v>
      </c>
      <c r="S275" s="346"/>
      <c r="T275" s="150" t="s">
        <v>57</v>
      </c>
      <c r="U275" s="150"/>
      <c r="V275" s="403"/>
      <c r="W275" s="406">
        <v>26400</v>
      </c>
      <c r="X275" s="406">
        <v>26962</v>
      </c>
      <c r="Y275" s="425"/>
      <c r="Z275" s="71"/>
      <c r="AA275" s="426">
        <v>2359</v>
      </c>
      <c r="AB275" s="427">
        <v>1615</v>
      </c>
      <c r="AC275" s="427">
        <v>3188</v>
      </c>
      <c r="AD275" s="428">
        <v>2158</v>
      </c>
      <c r="AE275" s="429">
        <v>2091</v>
      </c>
      <c r="AF275" s="429">
        <v>1890</v>
      </c>
      <c r="AG275" s="363">
        <v>2200</v>
      </c>
      <c r="AH275" s="363">
        <v>2200</v>
      </c>
      <c r="AI275" s="363">
        <v>2200</v>
      </c>
      <c r="AJ275" s="363">
        <v>2200</v>
      </c>
      <c r="AK275" s="363">
        <v>2200</v>
      </c>
      <c r="AL275" s="363">
        <v>2200</v>
      </c>
      <c r="AM275" s="360">
        <f t="shared" si="10"/>
        <v>26501</v>
      </c>
      <c r="AN275" s="362">
        <f>ERP_26[[#This Row],[2026 Working Total]]-ERP_26[[#This Row],[LE2 Final Submission]]</f>
        <v>-461</v>
      </c>
      <c r="AO275" s="79">
        <v>2200</v>
      </c>
      <c r="AP275" s="79">
        <f t="shared" si="11"/>
        <v>-310</v>
      </c>
      <c r="AQ275" s="374">
        <f>SUM(ERP_26[[#This Row],[AP01]:[AP06]])-SUM(ERP_26[[#This Row],[AP01 LE2]:[AP06 LE2]])</f>
        <v>-461</v>
      </c>
      <c r="AR275" s="80"/>
      <c r="AS275" s="79">
        <f>ERP_26[[#This Row],[2026 Working Total to Budget/LE]]-ERP_26[[#This Row],[Giveback]]</f>
        <v>-461</v>
      </c>
      <c r="AT275" s="81"/>
      <c r="AU275" s="375">
        <v>2359</v>
      </c>
      <c r="AV275" s="375">
        <v>1615</v>
      </c>
      <c r="AW275" s="375">
        <v>3188</v>
      </c>
      <c r="AX275" s="375">
        <v>2200</v>
      </c>
      <c r="AY275" s="375">
        <v>2200</v>
      </c>
      <c r="AZ275" s="375">
        <v>2200</v>
      </c>
      <c r="BA275" s="375">
        <v>2200</v>
      </c>
      <c r="BB275" s="375">
        <v>2200</v>
      </c>
      <c r="BC275" s="375">
        <v>2200</v>
      </c>
      <c r="BD275" s="375">
        <v>2200</v>
      </c>
      <c r="BE275" s="375">
        <v>2200</v>
      </c>
      <c r="BF275" s="375">
        <v>2200</v>
      </c>
      <c r="BG275" s="375">
        <v>26962</v>
      </c>
      <c r="BH275" s="79">
        <v>2359</v>
      </c>
      <c r="BI275" s="79">
        <v>1615</v>
      </c>
      <c r="BJ275" s="79">
        <v>3188</v>
      </c>
      <c r="BK275" s="79">
        <v>2200</v>
      </c>
      <c r="BL275" s="79">
        <v>2200</v>
      </c>
      <c r="BM275" s="79">
        <v>2200</v>
      </c>
      <c r="BN275" s="79">
        <v>2200</v>
      </c>
      <c r="BO275" s="79">
        <v>2200</v>
      </c>
      <c r="BP275" s="79">
        <v>2200</v>
      </c>
      <c r="BQ275" s="79">
        <v>2200</v>
      </c>
      <c r="BR275" s="79">
        <v>2200</v>
      </c>
      <c r="BS275" s="79">
        <v>2200</v>
      </c>
      <c r="BT275" s="79">
        <v>26962</v>
      </c>
    </row>
    <row r="276" spans="1:72" ht="15" customHeight="1">
      <c r="A276" s="66" t="s">
        <v>1987</v>
      </c>
      <c r="B276" s="66"/>
      <c r="C276" s="66" t="s">
        <v>512</v>
      </c>
      <c r="D276" s="66" t="s">
        <v>512</v>
      </c>
      <c r="E276" s="150" t="s">
        <v>1136</v>
      </c>
      <c r="F276" s="482" t="s">
        <v>1566</v>
      </c>
      <c r="G276" s="383" t="s">
        <v>1344</v>
      </c>
      <c r="H276" s="383" t="s">
        <v>1344</v>
      </c>
      <c r="I276" s="150" t="s">
        <v>1345</v>
      </c>
      <c r="J276" s="150" t="s">
        <v>1344</v>
      </c>
      <c r="K276" s="150" t="s">
        <v>1346</v>
      </c>
      <c r="L276" s="511" t="s">
        <v>389</v>
      </c>
      <c r="M276" s="392" t="s">
        <v>1327</v>
      </c>
      <c r="N276" s="343"/>
      <c r="O276" s="343"/>
      <c r="P276" s="70" t="s">
        <v>147</v>
      </c>
      <c r="Q276" s="346"/>
      <c r="R276" s="343"/>
      <c r="S276" s="346"/>
      <c r="T276" s="150" t="s">
        <v>25</v>
      </c>
      <c r="U276" s="150"/>
      <c r="V276" s="403"/>
      <c r="W276" s="406">
        <v>0</v>
      </c>
      <c r="X276" s="406">
        <v>799.29000000000008</v>
      </c>
      <c r="Y276" s="430"/>
      <c r="Z276" s="137"/>
      <c r="AA276" s="426">
        <v>-79.28</v>
      </c>
      <c r="AB276" s="427">
        <v>124.37</v>
      </c>
      <c r="AC276" s="427">
        <v>754.2</v>
      </c>
      <c r="AD276" s="428">
        <v>171.12</v>
      </c>
      <c r="AE276" s="429">
        <v>538.97</v>
      </c>
      <c r="AF276" s="429">
        <v>255.20999999999992</v>
      </c>
      <c r="AG276" s="360">
        <v>0</v>
      </c>
      <c r="AH276" s="360">
        <v>0</v>
      </c>
      <c r="AI276" s="360">
        <v>0</v>
      </c>
      <c r="AJ276" s="360">
        <v>0</v>
      </c>
      <c r="AK276" s="360">
        <v>0</v>
      </c>
      <c r="AL276" s="360">
        <v>0</v>
      </c>
      <c r="AM276" s="360">
        <f t="shared" si="10"/>
        <v>1764.5900000000001</v>
      </c>
      <c r="AN276" s="362">
        <f>ERP_26[[#This Row],[2026 Working Total]]-ERP_26[[#This Row],[LE2 Final Submission]]</f>
        <v>965.30000000000007</v>
      </c>
      <c r="AO276" s="79">
        <v>0</v>
      </c>
      <c r="AP276" s="79">
        <f t="shared" si="11"/>
        <v>255.20999999999992</v>
      </c>
      <c r="AQ276" s="374">
        <f>SUM(ERP_26[[#This Row],[AP01]:[AP06]])-SUM(ERP_26[[#This Row],[AP01 LE2]:[AP06 LE2]])</f>
        <v>965.30000000000007</v>
      </c>
      <c r="AR276" s="80"/>
      <c r="AS276" s="79">
        <f>ERP_26[[#This Row],[2026 Working Total to Budget/LE]]-ERP_26[[#This Row],[Giveback]]</f>
        <v>965.30000000000007</v>
      </c>
      <c r="AT276" s="81"/>
      <c r="AU276" s="375">
        <v>-79.28</v>
      </c>
      <c r="AV276" s="375">
        <v>124.37</v>
      </c>
      <c r="AW276" s="375">
        <v>754.2</v>
      </c>
      <c r="AX276" s="375">
        <v>0</v>
      </c>
      <c r="AY276" s="375">
        <v>0</v>
      </c>
      <c r="AZ276" s="375">
        <v>0</v>
      </c>
      <c r="BA276" s="375">
        <v>0</v>
      </c>
      <c r="BB276" s="375">
        <v>0</v>
      </c>
      <c r="BC276" s="375">
        <v>0</v>
      </c>
      <c r="BD276" s="375">
        <v>0</v>
      </c>
      <c r="BE276" s="375">
        <v>0</v>
      </c>
      <c r="BF276" s="375">
        <v>0</v>
      </c>
      <c r="BG276" s="375">
        <v>799.29000000000008</v>
      </c>
      <c r="BH276" s="79">
        <v>-79.28</v>
      </c>
      <c r="BI276" s="79">
        <v>124.37</v>
      </c>
      <c r="BJ276" s="79">
        <v>754.2</v>
      </c>
      <c r="BK276" s="79">
        <v>0</v>
      </c>
      <c r="BL276" s="79">
        <v>0</v>
      </c>
      <c r="BM276" s="79">
        <v>0</v>
      </c>
      <c r="BN276" s="79">
        <v>0</v>
      </c>
      <c r="BO276" s="79">
        <v>0</v>
      </c>
      <c r="BP276" s="79">
        <v>0</v>
      </c>
      <c r="BQ276" s="79">
        <v>0</v>
      </c>
      <c r="BR276" s="79">
        <v>0</v>
      </c>
      <c r="BS276" s="79">
        <v>0</v>
      </c>
      <c r="BT276" s="79">
        <v>799.29000000000008</v>
      </c>
    </row>
    <row r="277" spans="1:72" ht="15" customHeight="1">
      <c r="A277" s="66" t="s">
        <v>1988</v>
      </c>
      <c r="B277" s="66"/>
      <c r="C277" s="66" t="s">
        <v>513</v>
      </c>
      <c r="D277" s="66" t="s">
        <v>513</v>
      </c>
      <c r="E277" s="150" t="s">
        <v>1136</v>
      </c>
      <c r="F277" s="482" t="s">
        <v>1566</v>
      </c>
      <c r="G277" s="383" t="s">
        <v>1344</v>
      </c>
      <c r="H277" s="383" t="s">
        <v>1344</v>
      </c>
      <c r="I277" s="150" t="s">
        <v>1345</v>
      </c>
      <c r="J277" s="150" t="s">
        <v>1344</v>
      </c>
      <c r="K277" s="150" t="s">
        <v>1346</v>
      </c>
      <c r="L277" s="511" t="s">
        <v>389</v>
      </c>
      <c r="M277" s="392" t="s">
        <v>1645</v>
      </c>
      <c r="N277" s="343"/>
      <c r="O277" s="343"/>
      <c r="P277" s="70" t="s">
        <v>514</v>
      </c>
      <c r="Q277" s="346"/>
      <c r="R277" s="343"/>
      <c r="S277" s="346"/>
      <c r="T277" s="150" t="s">
        <v>25</v>
      </c>
      <c r="U277" s="150"/>
      <c r="V277" s="403"/>
      <c r="W277" s="406">
        <v>0</v>
      </c>
      <c r="X277" s="406">
        <v>298.89999999999998</v>
      </c>
      <c r="Y277" s="425"/>
      <c r="Z277" s="71"/>
      <c r="AA277" s="426"/>
      <c r="AB277" s="427">
        <v>256.18</v>
      </c>
      <c r="AC277" s="427">
        <v>42.72</v>
      </c>
      <c r="AD277" s="428">
        <v>0</v>
      </c>
      <c r="AE277" s="429">
        <v>0</v>
      </c>
      <c r="AF277" s="429">
        <v>0</v>
      </c>
      <c r="AG277" s="360">
        <v>0</v>
      </c>
      <c r="AH277" s="360">
        <v>0</v>
      </c>
      <c r="AI277" s="360">
        <v>0</v>
      </c>
      <c r="AJ277" s="360">
        <v>0</v>
      </c>
      <c r="AK277" s="360">
        <v>0</v>
      </c>
      <c r="AL277" s="360">
        <v>0</v>
      </c>
      <c r="AM277" s="360">
        <f t="shared" si="10"/>
        <v>298.89999999999998</v>
      </c>
      <c r="AN277" s="362">
        <f>ERP_26[[#This Row],[2026 Working Total]]-ERP_26[[#This Row],[LE2 Final Submission]]</f>
        <v>0</v>
      </c>
      <c r="AO277" s="79">
        <v>0</v>
      </c>
      <c r="AP277" s="79">
        <f t="shared" si="11"/>
        <v>0</v>
      </c>
      <c r="AQ277" s="374">
        <f>SUM(ERP_26[[#This Row],[AP01]:[AP06]])-SUM(ERP_26[[#This Row],[AP01 LE2]:[AP06 LE2]])</f>
        <v>0</v>
      </c>
      <c r="AR277" s="80"/>
      <c r="AS277" s="79">
        <f>ERP_26[[#This Row],[2026 Working Total to Budget/LE]]-ERP_26[[#This Row],[Giveback]]</f>
        <v>0</v>
      </c>
      <c r="AT277" s="81"/>
      <c r="AU277" s="375"/>
      <c r="AV277" s="375">
        <v>256.18</v>
      </c>
      <c r="AW277" s="375">
        <v>42.72</v>
      </c>
      <c r="AX277" s="375">
        <v>0</v>
      </c>
      <c r="AY277" s="375">
        <v>0</v>
      </c>
      <c r="AZ277" s="375">
        <v>0</v>
      </c>
      <c r="BA277" s="375">
        <v>0</v>
      </c>
      <c r="BB277" s="375">
        <v>0</v>
      </c>
      <c r="BC277" s="375">
        <v>0</v>
      </c>
      <c r="BD277" s="375">
        <v>0</v>
      </c>
      <c r="BE277" s="375">
        <v>0</v>
      </c>
      <c r="BF277" s="375">
        <v>0</v>
      </c>
      <c r="BG277" s="375">
        <v>298.89999999999998</v>
      </c>
      <c r="BH277" s="79"/>
      <c r="BI277" s="79">
        <v>256.18</v>
      </c>
      <c r="BJ277" s="79">
        <v>42.72</v>
      </c>
      <c r="BK277" s="79">
        <v>0</v>
      </c>
      <c r="BL277" s="79">
        <v>0</v>
      </c>
      <c r="BM277" s="79">
        <v>0</v>
      </c>
      <c r="BN277" s="79">
        <v>0</v>
      </c>
      <c r="BO277" s="79">
        <v>0</v>
      </c>
      <c r="BP277" s="79">
        <v>0</v>
      </c>
      <c r="BQ277" s="79">
        <v>0</v>
      </c>
      <c r="BR277" s="79">
        <v>0</v>
      </c>
      <c r="BS277" s="79">
        <v>0</v>
      </c>
      <c r="BT277" s="79">
        <v>298.89999999999998</v>
      </c>
    </row>
    <row r="278" spans="1:72" ht="15" customHeight="1">
      <c r="A278" s="66" t="s">
        <v>2161</v>
      </c>
      <c r="B278" s="66"/>
      <c r="C278" s="66" t="s">
        <v>612</v>
      </c>
      <c r="D278" s="66" t="s">
        <v>612</v>
      </c>
      <c r="E278" s="150" t="s">
        <v>1136</v>
      </c>
      <c r="F278" s="482" t="s">
        <v>1566</v>
      </c>
      <c r="G278" s="383" t="s">
        <v>1344</v>
      </c>
      <c r="H278" s="383" t="s">
        <v>1344</v>
      </c>
      <c r="I278" s="150" t="s">
        <v>1345</v>
      </c>
      <c r="J278" s="150" t="s">
        <v>1344</v>
      </c>
      <c r="K278" s="150" t="s">
        <v>1346</v>
      </c>
      <c r="L278" s="511" t="s">
        <v>602</v>
      </c>
      <c r="M278" s="392" t="s">
        <v>611</v>
      </c>
      <c r="N278" s="343"/>
      <c r="O278" s="343"/>
      <c r="P278" s="70" t="s">
        <v>610</v>
      </c>
      <c r="Q278" s="346"/>
      <c r="R278" s="343"/>
      <c r="S278" s="346"/>
      <c r="T278" s="150" t="s">
        <v>611</v>
      </c>
      <c r="U278" s="150"/>
      <c r="V278" s="403"/>
      <c r="W278" s="406">
        <v>0</v>
      </c>
      <c r="X278" s="406">
        <v>85.04</v>
      </c>
      <c r="Y278" s="425"/>
      <c r="Z278" s="71"/>
      <c r="AA278" s="426">
        <v>38.450000000000003</v>
      </c>
      <c r="AB278" s="431">
        <v>0</v>
      </c>
      <c r="AC278" s="427">
        <v>46.59</v>
      </c>
      <c r="AD278" s="428">
        <v>0</v>
      </c>
      <c r="AE278" s="429">
        <v>91.13</v>
      </c>
      <c r="AF278" s="429">
        <v>37.570000000000007</v>
      </c>
      <c r="AG278" s="360">
        <v>0</v>
      </c>
      <c r="AH278" s="360">
        <v>0</v>
      </c>
      <c r="AI278" s="360">
        <v>0</v>
      </c>
      <c r="AJ278" s="360">
        <v>0</v>
      </c>
      <c r="AK278" s="360">
        <v>0</v>
      </c>
      <c r="AL278" s="360">
        <v>0</v>
      </c>
      <c r="AM278" s="360">
        <f t="shared" si="10"/>
        <v>213.74</v>
      </c>
      <c r="AN278" s="362">
        <f>ERP_26[[#This Row],[2026 Working Total]]-ERP_26[[#This Row],[LE2 Final Submission]]</f>
        <v>128.69999999999999</v>
      </c>
      <c r="AO278" s="79">
        <v>0</v>
      </c>
      <c r="AP278" s="79">
        <f t="shared" si="11"/>
        <v>37.570000000000007</v>
      </c>
      <c r="AQ278" s="374">
        <f>SUM(ERP_26[[#This Row],[AP01]:[AP06]])-SUM(ERP_26[[#This Row],[AP01 LE2]:[AP06 LE2]])</f>
        <v>128.69999999999999</v>
      </c>
      <c r="AR278" s="80"/>
      <c r="AS278" s="79">
        <f>ERP_26[[#This Row],[2026 Working Total to Budget/LE]]-ERP_26[[#This Row],[Giveback]]</f>
        <v>128.69999999999999</v>
      </c>
      <c r="AT278" s="81"/>
      <c r="AU278" s="375">
        <v>38.450000000000003</v>
      </c>
      <c r="AV278" s="375">
        <v>0</v>
      </c>
      <c r="AW278" s="375">
        <v>46.59</v>
      </c>
      <c r="AX278" s="375">
        <v>0</v>
      </c>
      <c r="AY278" s="375">
        <v>0</v>
      </c>
      <c r="AZ278" s="375">
        <v>0</v>
      </c>
      <c r="BA278" s="375">
        <v>0</v>
      </c>
      <c r="BB278" s="375">
        <v>0</v>
      </c>
      <c r="BC278" s="375">
        <v>0</v>
      </c>
      <c r="BD278" s="375">
        <v>0</v>
      </c>
      <c r="BE278" s="375">
        <v>0</v>
      </c>
      <c r="BF278" s="375">
        <v>0</v>
      </c>
      <c r="BG278" s="375">
        <v>85.04</v>
      </c>
      <c r="BH278" s="79">
        <v>38.450000000000003</v>
      </c>
      <c r="BI278" s="79">
        <v>0</v>
      </c>
      <c r="BJ278" s="79">
        <v>46.59</v>
      </c>
      <c r="BK278" s="79">
        <v>0</v>
      </c>
      <c r="BL278" s="79">
        <v>0</v>
      </c>
      <c r="BM278" s="79">
        <v>0</v>
      </c>
      <c r="BN278" s="79">
        <v>0</v>
      </c>
      <c r="BO278" s="79">
        <v>0</v>
      </c>
      <c r="BP278" s="79">
        <v>0</v>
      </c>
      <c r="BQ278" s="79">
        <v>0</v>
      </c>
      <c r="BR278" s="79">
        <v>0</v>
      </c>
      <c r="BS278" s="79">
        <v>0</v>
      </c>
      <c r="BT278" s="79">
        <v>85.04</v>
      </c>
    </row>
    <row r="279" spans="1:72" ht="15" customHeight="1">
      <c r="A279" s="79" t="s">
        <v>2647</v>
      </c>
      <c r="B279" s="79"/>
      <c r="C279" s="79" t="s">
        <v>900</v>
      </c>
      <c r="D279" s="296" t="s">
        <v>2648</v>
      </c>
      <c r="E279" s="150" t="s">
        <v>1136</v>
      </c>
      <c r="F279" s="482" t="s">
        <v>1566</v>
      </c>
      <c r="G279" s="383" t="s">
        <v>1344</v>
      </c>
      <c r="H279" s="383" t="s">
        <v>1344</v>
      </c>
      <c r="I279" s="150" t="s">
        <v>1345</v>
      </c>
      <c r="J279" s="332" t="s">
        <v>1344</v>
      </c>
      <c r="K279" s="331" t="s">
        <v>1346</v>
      </c>
      <c r="L279" s="514" t="s">
        <v>639</v>
      </c>
      <c r="M279" s="394" t="s">
        <v>2649</v>
      </c>
      <c r="N279" s="343" t="s">
        <v>2206</v>
      </c>
      <c r="O279" s="333"/>
      <c r="P279" s="90"/>
      <c r="Q279" s="347"/>
      <c r="R279" s="343"/>
      <c r="S279" s="348"/>
      <c r="T279" s="348"/>
      <c r="U279" s="348" t="s">
        <v>2915</v>
      </c>
      <c r="V279" s="402"/>
      <c r="W279" s="358"/>
      <c r="X279" s="379">
        <v>143000</v>
      </c>
      <c r="Y279" s="430"/>
      <c r="Z279" s="137"/>
      <c r="AA279" s="435"/>
      <c r="AB279" s="436"/>
      <c r="AC279" s="436"/>
      <c r="AD279" s="428" t="s">
        <v>1142</v>
      </c>
      <c r="AE279" s="429">
        <v>0</v>
      </c>
      <c r="AF279" s="429">
        <v>0</v>
      </c>
      <c r="AG279" s="364"/>
      <c r="AH279" s="364"/>
      <c r="AI279" s="364"/>
      <c r="AJ279" s="364">
        <v>143000</v>
      </c>
      <c r="AK279" s="364"/>
      <c r="AL279" s="364"/>
      <c r="AM279" s="360">
        <f t="shared" si="10"/>
        <v>143000</v>
      </c>
      <c r="AN279" s="362">
        <f>ERP_26[[#This Row],[2026 Working Total]]-ERP_26[[#This Row],[LE2 Final Submission]]</f>
        <v>0</v>
      </c>
      <c r="AO279" s="79"/>
      <c r="AP279" s="79">
        <f t="shared" si="11"/>
        <v>0</v>
      </c>
      <c r="AQ279" s="374">
        <f>SUM(ERP_26[[#This Row],[AP01]:[AP06]])-SUM(ERP_26[[#This Row],[AP01 LE2]:[AP06 LE2]])</f>
        <v>0</v>
      </c>
      <c r="AR279" s="80"/>
      <c r="AS279" s="79">
        <f>ERP_26[[#This Row],[2026 Working Total to Budget/LE]]-ERP_26[[#This Row],[Giveback]]</f>
        <v>0</v>
      </c>
      <c r="AT279" s="81"/>
      <c r="AU279" s="375"/>
      <c r="AV279" s="375"/>
      <c r="AW279" s="375"/>
      <c r="AX279" s="375"/>
      <c r="AY279" s="375"/>
      <c r="AZ279" s="375"/>
      <c r="BA279" s="375"/>
      <c r="BB279" s="375"/>
      <c r="BC279" s="375"/>
      <c r="BD279" s="375">
        <v>143000</v>
      </c>
      <c r="BE279" s="375"/>
      <c r="BF279" s="375"/>
      <c r="BG279" s="375">
        <v>143000</v>
      </c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</row>
    <row r="280" spans="1:72" ht="15" customHeight="1">
      <c r="A280" s="66" t="s">
        <v>2605</v>
      </c>
      <c r="B280" s="66"/>
      <c r="C280" s="66" t="s">
        <v>901</v>
      </c>
      <c r="D280" s="66" t="s">
        <v>901</v>
      </c>
      <c r="E280" s="150" t="s">
        <v>1136</v>
      </c>
      <c r="F280" s="482" t="s">
        <v>1566</v>
      </c>
      <c r="G280" s="383" t="s">
        <v>1344</v>
      </c>
      <c r="H280" s="383" t="s">
        <v>1344</v>
      </c>
      <c r="I280" s="150" t="s">
        <v>1345</v>
      </c>
      <c r="J280" s="150" t="s">
        <v>1344</v>
      </c>
      <c r="K280" s="150" t="s">
        <v>1346</v>
      </c>
      <c r="L280" s="511" t="s">
        <v>639</v>
      </c>
      <c r="M280" s="392" t="s">
        <v>1138</v>
      </c>
      <c r="N280" s="343"/>
      <c r="O280" s="343"/>
      <c r="P280" s="70" t="s">
        <v>51</v>
      </c>
      <c r="Q280" s="346" t="s">
        <v>1139</v>
      </c>
      <c r="R280" s="346" t="s">
        <v>1140</v>
      </c>
      <c r="S280" s="346"/>
      <c r="T280" s="150" t="s">
        <v>25</v>
      </c>
      <c r="U280" s="150"/>
      <c r="V280" s="403"/>
      <c r="W280" s="406">
        <v>0</v>
      </c>
      <c r="X280" s="406">
        <v>2288.52</v>
      </c>
      <c r="Y280" s="425"/>
      <c r="Z280" s="71"/>
      <c r="AA280" s="426"/>
      <c r="AB280" s="427">
        <v>2188.1999999999998</v>
      </c>
      <c r="AC280" s="427">
        <v>100.32</v>
      </c>
      <c r="AD280" s="428">
        <v>0</v>
      </c>
      <c r="AE280" s="429">
        <v>0</v>
      </c>
      <c r="AF280" s="429">
        <v>0</v>
      </c>
      <c r="AG280" s="360">
        <v>0</v>
      </c>
      <c r="AH280" s="360">
        <v>0</v>
      </c>
      <c r="AI280" s="360">
        <v>0</v>
      </c>
      <c r="AJ280" s="360">
        <v>0</v>
      </c>
      <c r="AK280" s="360">
        <v>0</v>
      </c>
      <c r="AL280" s="360">
        <v>0</v>
      </c>
      <c r="AM280" s="360">
        <f t="shared" si="10"/>
        <v>2288.52</v>
      </c>
      <c r="AN280" s="362">
        <f>ERP_26[[#This Row],[2026 Working Total]]-ERP_26[[#This Row],[LE2 Final Submission]]</f>
        <v>0</v>
      </c>
      <c r="AO280" s="79">
        <v>0</v>
      </c>
      <c r="AP280" s="79">
        <f t="shared" si="11"/>
        <v>0</v>
      </c>
      <c r="AQ280" s="374">
        <f>SUM(ERP_26[[#This Row],[AP01]:[AP06]])-SUM(ERP_26[[#This Row],[AP01 LE2]:[AP06 LE2]])</f>
        <v>0</v>
      </c>
      <c r="AR280" s="80"/>
      <c r="AS280" s="79">
        <f>ERP_26[[#This Row],[2026 Working Total to Budget/LE]]-ERP_26[[#This Row],[Giveback]]</f>
        <v>0</v>
      </c>
      <c r="AT280" s="81"/>
      <c r="AU280" s="375"/>
      <c r="AV280" s="375">
        <v>2188.1999999999998</v>
      </c>
      <c r="AW280" s="375">
        <v>100.32</v>
      </c>
      <c r="AX280" s="375">
        <v>0</v>
      </c>
      <c r="AY280" s="375">
        <v>0</v>
      </c>
      <c r="AZ280" s="375">
        <v>0</v>
      </c>
      <c r="BA280" s="375">
        <v>0</v>
      </c>
      <c r="BB280" s="375">
        <v>0</v>
      </c>
      <c r="BC280" s="375">
        <v>0</v>
      </c>
      <c r="BD280" s="375">
        <v>0</v>
      </c>
      <c r="BE280" s="375">
        <v>0</v>
      </c>
      <c r="BF280" s="375">
        <v>0</v>
      </c>
      <c r="BG280" s="375">
        <v>2288.52</v>
      </c>
      <c r="BH280" s="79"/>
      <c r="BI280" s="79">
        <v>2188.1999999999998</v>
      </c>
      <c r="BJ280" s="79">
        <v>100.32</v>
      </c>
      <c r="BK280" s="79">
        <v>0</v>
      </c>
      <c r="BL280" s="79">
        <v>0</v>
      </c>
      <c r="BM280" s="79">
        <v>0</v>
      </c>
      <c r="BN280" s="79">
        <v>0</v>
      </c>
      <c r="BO280" s="79">
        <v>0</v>
      </c>
      <c r="BP280" s="79">
        <v>0</v>
      </c>
      <c r="BQ280" s="79">
        <v>0</v>
      </c>
      <c r="BR280" s="79">
        <v>0</v>
      </c>
      <c r="BS280" s="79">
        <v>0</v>
      </c>
      <c r="BT280" s="79">
        <v>2288.52</v>
      </c>
    </row>
    <row r="281" spans="1:72" ht="15" customHeight="1">
      <c r="A281" s="150" t="s">
        <v>2606</v>
      </c>
      <c r="B281" s="150"/>
      <c r="C281" s="536" t="s">
        <v>902</v>
      </c>
      <c r="D281" s="296" t="s">
        <v>902</v>
      </c>
      <c r="E281" s="150" t="s">
        <v>1136</v>
      </c>
      <c r="F281" s="482" t="s">
        <v>1566</v>
      </c>
      <c r="G281" s="383" t="s">
        <v>1344</v>
      </c>
      <c r="H281" s="383" t="s">
        <v>1344</v>
      </c>
      <c r="I281" s="150" t="s">
        <v>1345</v>
      </c>
      <c r="J281" s="332" t="s">
        <v>1344</v>
      </c>
      <c r="K281" s="331" t="s">
        <v>1346</v>
      </c>
      <c r="L281" s="514" t="s">
        <v>639</v>
      </c>
      <c r="M281" s="394" t="s">
        <v>2607</v>
      </c>
      <c r="N281" s="333"/>
      <c r="O281" s="332" t="s">
        <v>1358</v>
      </c>
      <c r="P281" s="90" t="s">
        <v>53</v>
      </c>
      <c r="Q281" s="347"/>
      <c r="R281" s="347"/>
      <c r="S281" s="348"/>
      <c r="T281" s="348"/>
      <c r="U281" s="348"/>
      <c r="V281" s="402"/>
      <c r="W281" s="406"/>
      <c r="X281" s="406"/>
      <c r="Y281" s="425"/>
      <c r="Z281" s="71"/>
      <c r="AA281" s="435"/>
      <c r="AB281" s="436"/>
      <c r="AC281" s="436"/>
      <c r="AD281" s="429">
        <v>90</v>
      </c>
      <c r="AE281" s="429">
        <v>0</v>
      </c>
      <c r="AF281" s="429">
        <v>0</v>
      </c>
      <c r="AG281" s="364"/>
      <c r="AH281" s="364"/>
      <c r="AI281" s="364"/>
      <c r="AJ281" s="364"/>
      <c r="AK281" s="364"/>
      <c r="AL281" s="364"/>
      <c r="AM281" s="360">
        <f t="shared" si="10"/>
        <v>90</v>
      </c>
      <c r="AN281" s="362">
        <f>ERP_26[[#This Row],[2026 Working Total]]-ERP_26[[#This Row],[LE2 Final Submission]]</f>
        <v>90</v>
      </c>
      <c r="AO281" s="79"/>
      <c r="AP281" s="79">
        <f t="shared" si="11"/>
        <v>0</v>
      </c>
      <c r="AQ281" s="374">
        <f>SUM(ERP_26[[#This Row],[AP01]:[AP06]])-SUM(ERP_26[[#This Row],[AP01 LE2]:[AP06 LE2]])</f>
        <v>90</v>
      </c>
      <c r="AR281" s="80"/>
      <c r="AS281" s="79">
        <f>ERP_26[[#This Row],[2026 Working Total to Budget/LE]]-ERP_26[[#This Row],[Giveback]]</f>
        <v>90</v>
      </c>
      <c r="AT281" s="81"/>
      <c r="AU281" s="375"/>
      <c r="AV281" s="375"/>
      <c r="AW281" s="375"/>
      <c r="AX281" s="375"/>
      <c r="AY281" s="375"/>
      <c r="AZ281" s="375"/>
      <c r="BA281" s="375"/>
      <c r="BB281" s="375"/>
      <c r="BC281" s="375"/>
      <c r="BD281" s="375"/>
      <c r="BE281" s="375"/>
      <c r="BF281" s="375"/>
      <c r="BG281" s="375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</row>
    <row r="282" spans="1:72" ht="15" customHeight="1">
      <c r="A282" s="66" t="s">
        <v>2608</v>
      </c>
      <c r="B282" s="66"/>
      <c r="C282" s="66" t="s">
        <v>903</v>
      </c>
      <c r="D282" s="66" t="s">
        <v>903</v>
      </c>
      <c r="E282" s="150" t="s">
        <v>1136</v>
      </c>
      <c r="F282" s="482" t="s">
        <v>1566</v>
      </c>
      <c r="G282" s="383" t="s">
        <v>1344</v>
      </c>
      <c r="H282" s="383" t="s">
        <v>1344</v>
      </c>
      <c r="I282" s="150" t="s">
        <v>1345</v>
      </c>
      <c r="J282" s="150" t="s">
        <v>1344</v>
      </c>
      <c r="K282" s="150" t="s">
        <v>1346</v>
      </c>
      <c r="L282" s="511" t="s">
        <v>639</v>
      </c>
      <c r="M282" s="392" t="s">
        <v>1174</v>
      </c>
      <c r="N282" s="343"/>
      <c r="O282" s="343"/>
      <c r="P282" s="70" t="s">
        <v>56</v>
      </c>
      <c r="Q282" s="346"/>
      <c r="R282" s="346" t="s">
        <v>1140</v>
      </c>
      <c r="S282" s="346"/>
      <c r="T282" s="150" t="s">
        <v>57</v>
      </c>
      <c r="U282" s="150"/>
      <c r="V282" s="403"/>
      <c r="W282" s="406">
        <v>4200</v>
      </c>
      <c r="X282" s="406">
        <v>3888.09</v>
      </c>
      <c r="Y282" s="425"/>
      <c r="Z282" s="71"/>
      <c r="AA282" s="426">
        <v>251.53</v>
      </c>
      <c r="AB282" s="427">
        <v>246.74</v>
      </c>
      <c r="AC282" s="427">
        <v>239.82</v>
      </c>
      <c r="AD282" s="428">
        <v>236.11</v>
      </c>
      <c r="AE282" s="429">
        <v>0</v>
      </c>
      <c r="AF282" s="429">
        <v>0</v>
      </c>
      <c r="AG282" s="363">
        <v>350</v>
      </c>
      <c r="AH282" s="363">
        <v>350</v>
      </c>
      <c r="AI282" s="363">
        <v>350</v>
      </c>
      <c r="AJ282" s="363">
        <v>350</v>
      </c>
      <c r="AK282" s="363">
        <v>350</v>
      </c>
      <c r="AL282" s="363">
        <v>350</v>
      </c>
      <c r="AM282" s="360">
        <f t="shared" si="10"/>
        <v>3074.2</v>
      </c>
      <c r="AN282" s="362">
        <f>ERP_26[[#This Row],[2026 Working Total]]-ERP_26[[#This Row],[LE2 Final Submission]]</f>
        <v>-813.89000000000033</v>
      </c>
      <c r="AO282" s="79">
        <v>350</v>
      </c>
      <c r="AP282" s="79">
        <f t="shared" si="11"/>
        <v>-350</v>
      </c>
      <c r="AQ282" s="374">
        <f>SUM(ERP_26[[#This Row],[AP01]:[AP06]])-SUM(ERP_26[[#This Row],[AP01 LE2]:[AP06 LE2]])</f>
        <v>-813.89</v>
      </c>
      <c r="AR282" s="80"/>
      <c r="AS282" s="79">
        <f>ERP_26[[#This Row],[2026 Working Total to Budget/LE]]-ERP_26[[#This Row],[Giveback]]</f>
        <v>-813.89000000000033</v>
      </c>
      <c r="AT282" s="81"/>
      <c r="AU282" s="375">
        <v>251.53</v>
      </c>
      <c r="AV282" s="375">
        <v>246.74</v>
      </c>
      <c r="AW282" s="375">
        <v>239.82</v>
      </c>
      <c r="AX282" s="375">
        <v>350</v>
      </c>
      <c r="AY282" s="375">
        <v>350</v>
      </c>
      <c r="AZ282" s="375">
        <v>350</v>
      </c>
      <c r="BA282" s="375">
        <v>350</v>
      </c>
      <c r="BB282" s="375">
        <v>350</v>
      </c>
      <c r="BC282" s="375">
        <v>350</v>
      </c>
      <c r="BD282" s="375">
        <v>350</v>
      </c>
      <c r="BE282" s="375">
        <v>350</v>
      </c>
      <c r="BF282" s="375">
        <v>350</v>
      </c>
      <c r="BG282" s="375">
        <v>3888.09</v>
      </c>
      <c r="BH282" s="79">
        <v>251.53</v>
      </c>
      <c r="BI282" s="79">
        <v>246.74</v>
      </c>
      <c r="BJ282" s="79">
        <v>239.82</v>
      </c>
      <c r="BK282" s="79">
        <v>350</v>
      </c>
      <c r="BL282" s="79">
        <v>350</v>
      </c>
      <c r="BM282" s="79">
        <v>350</v>
      </c>
      <c r="BN282" s="79">
        <v>350</v>
      </c>
      <c r="BO282" s="79">
        <v>350</v>
      </c>
      <c r="BP282" s="79">
        <v>350</v>
      </c>
      <c r="BQ282" s="79">
        <v>350</v>
      </c>
      <c r="BR282" s="79">
        <v>350</v>
      </c>
      <c r="BS282" s="79">
        <v>350</v>
      </c>
      <c r="BT282" s="79">
        <v>3888.09</v>
      </c>
    </row>
    <row r="283" spans="1:72" ht="15" customHeight="1">
      <c r="A283" s="66" t="s">
        <v>2609</v>
      </c>
      <c r="B283" s="66"/>
      <c r="C283" s="66" t="s">
        <v>904</v>
      </c>
      <c r="D283" s="66" t="s">
        <v>904</v>
      </c>
      <c r="E283" s="150" t="s">
        <v>1136</v>
      </c>
      <c r="F283" s="482" t="s">
        <v>1566</v>
      </c>
      <c r="G283" s="383" t="s">
        <v>1344</v>
      </c>
      <c r="H283" s="383" t="s">
        <v>1344</v>
      </c>
      <c r="I283" s="150" t="s">
        <v>1345</v>
      </c>
      <c r="J283" s="150" t="s">
        <v>1344</v>
      </c>
      <c r="K283" s="150" t="s">
        <v>1346</v>
      </c>
      <c r="L283" s="511" t="s">
        <v>639</v>
      </c>
      <c r="M283" s="392" t="s">
        <v>1967</v>
      </c>
      <c r="N283" s="343"/>
      <c r="O283" s="343"/>
      <c r="P283" s="70" t="s">
        <v>495</v>
      </c>
      <c r="Q283" s="346"/>
      <c r="R283" s="346" t="s">
        <v>1140</v>
      </c>
      <c r="S283" s="346"/>
      <c r="T283" s="150" t="s">
        <v>57</v>
      </c>
      <c r="U283" s="150"/>
      <c r="V283" s="403"/>
      <c r="W283" s="406">
        <v>3348</v>
      </c>
      <c r="X283" s="406">
        <v>3659.38</v>
      </c>
      <c r="Y283" s="430"/>
      <c r="Z283" s="137"/>
      <c r="AA283" s="426">
        <v>279.45999999999998</v>
      </c>
      <c r="AB283" s="427">
        <v>279.45999999999998</v>
      </c>
      <c r="AC283" s="427">
        <v>589.46</v>
      </c>
      <c r="AD283" s="428">
        <v>279.45999999999998</v>
      </c>
      <c r="AE283" s="429">
        <v>279.45999999999998</v>
      </c>
      <c r="AF283" s="429">
        <v>279.45999999999998</v>
      </c>
      <c r="AG283" s="363">
        <v>279</v>
      </c>
      <c r="AH283" s="363">
        <v>279</v>
      </c>
      <c r="AI283" s="363">
        <v>279</v>
      </c>
      <c r="AJ283" s="363">
        <v>279</v>
      </c>
      <c r="AK283" s="363">
        <v>279</v>
      </c>
      <c r="AL283" s="363">
        <v>279</v>
      </c>
      <c r="AM283" s="360">
        <f t="shared" si="10"/>
        <v>3660.76</v>
      </c>
      <c r="AN283" s="362">
        <f>ERP_26[[#This Row],[2026 Working Total]]-ERP_26[[#This Row],[LE2 Final Submission]]</f>
        <v>1.3800000000001091</v>
      </c>
      <c r="AO283" s="79">
        <v>279</v>
      </c>
      <c r="AP283" s="79">
        <f t="shared" si="11"/>
        <v>0.45999999999997954</v>
      </c>
      <c r="AQ283" s="374">
        <f>SUM(ERP_26[[#This Row],[AP01]:[AP06]])-SUM(ERP_26[[#This Row],[AP01 LE2]:[AP06 LE2]])</f>
        <v>1.3800000000001091</v>
      </c>
      <c r="AR283" s="80"/>
      <c r="AS283" s="79">
        <f>ERP_26[[#This Row],[2026 Working Total to Budget/LE]]-ERP_26[[#This Row],[Giveback]]</f>
        <v>1.3800000000001091</v>
      </c>
      <c r="AT283" s="81" t="s">
        <v>2610</v>
      </c>
      <c r="AU283" s="375">
        <v>279.45999999999998</v>
      </c>
      <c r="AV283" s="375">
        <v>279.45999999999998</v>
      </c>
      <c r="AW283" s="375">
        <v>589.46</v>
      </c>
      <c r="AX283" s="375">
        <v>279</v>
      </c>
      <c r="AY283" s="375">
        <v>279</v>
      </c>
      <c r="AZ283" s="375">
        <v>279</v>
      </c>
      <c r="BA283" s="375">
        <v>279</v>
      </c>
      <c r="BB283" s="375">
        <v>279</v>
      </c>
      <c r="BC283" s="375">
        <v>279</v>
      </c>
      <c r="BD283" s="375">
        <v>279</v>
      </c>
      <c r="BE283" s="375">
        <v>279</v>
      </c>
      <c r="BF283" s="375">
        <v>279</v>
      </c>
      <c r="BG283" s="375">
        <v>3659.38</v>
      </c>
      <c r="BH283" s="79">
        <v>279.45999999999998</v>
      </c>
      <c r="BI283" s="79">
        <v>279.45999999999998</v>
      </c>
      <c r="BJ283" s="79">
        <v>589.46</v>
      </c>
      <c r="BK283" s="79">
        <v>279</v>
      </c>
      <c r="BL283" s="79">
        <v>279</v>
      </c>
      <c r="BM283" s="79">
        <v>279</v>
      </c>
      <c r="BN283" s="79">
        <v>279</v>
      </c>
      <c r="BO283" s="79">
        <v>279</v>
      </c>
      <c r="BP283" s="79">
        <v>279</v>
      </c>
      <c r="BQ283" s="79">
        <v>279</v>
      </c>
      <c r="BR283" s="79">
        <v>279</v>
      </c>
      <c r="BS283" s="79">
        <v>279</v>
      </c>
      <c r="BT283" s="79">
        <v>3659.38</v>
      </c>
    </row>
    <row r="284" spans="1:72" ht="15" customHeight="1">
      <c r="A284" s="66" t="s">
        <v>2611</v>
      </c>
      <c r="B284" s="66"/>
      <c r="C284" s="66" t="s">
        <v>905</v>
      </c>
      <c r="D284" s="66" t="s">
        <v>905</v>
      </c>
      <c r="E284" s="150" t="s">
        <v>1136</v>
      </c>
      <c r="F284" s="482" t="s">
        <v>1566</v>
      </c>
      <c r="G284" s="383" t="s">
        <v>1344</v>
      </c>
      <c r="H284" s="383" t="s">
        <v>1344</v>
      </c>
      <c r="I284" s="150" t="s">
        <v>1345</v>
      </c>
      <c r="J284" s="150" t="s">
        <v>1344</v>
      </c>
      <c r="K284" s="150" t="s">
        <v>1346</v>
      </c>
      <c r="L284" s="511" t="s">
        <v>639</v>
      </c>
      <c r="M284" s="392" t="s">
        <v>1405</v>
      </c>
      <c r="N284" s="343"/>
      <c r="O284" s="343"/>
      <c r="P284" s="70" t="s">
        <v>190</v>
      </c>
      <c r="Q284" s="346" t="s">
        <v>1153</v>
      </c>
      <c r="R284" s="346" t="s">
        <v>1406</v>
      </c>
      <c r="S284" s="346"/>
      <c r="T284" s="150" t="s">
        <v>25</v>
      </c>
      <c r="U284" s="150"/>
      <c r="V284" s="403"/>
      <c r="W284" s="406">
        <v>0</v>
      </c>
      <c r="X284" s="406">
        <v>292.39999999999998</v>
      </c>
      <c r="Y284" s="425"/>
      <c r="Z284" s="71"/>
      <c r="AA284" s="426"/>
      <c r="AB284" s="427"/>
      <c r="AC284" s="427">
        <v>292.39999999999998</v>
      </c>
      <c r="AD284" s="428">
        <v>0</v>
      </c>
      <c r="AE284" s="429">
        <v>0</v>
      </c>
      <c r="AF284" s="429">
        <v>0</v>
      </c>
      <c r="AG284" s="360">
        <v>0</v>
      </c>
      <c r="AH284" s="360">
        <v>0</v>
      </c>
      <c r="AI284" s="360">
        <v>0</v>
      </c>
      <c r="AJ284" s="360">
        <v>0</v>
      </c>
      <c r="AK284" s="360">
        <v>0</v>
      </c>
      <c r="AL284" s="360">
        <v>0</v>
      </c>
      <c r="AM284" s="360">
        <f t="shared" si="10"/>
        <v>292.39999999999998</v>
      </c>
      <c r="AN284" s="362">
        <f>ERP_26[[#This Row],[2026 Working Total]]-ERP_26[[#This Row],[LE2 Final Submission]]</f>
        <v>0</v>
      </c>
      <c r="AO284" s="79">
        <v>0</v>
      </c>
      <c r="AP284" s="79">
        <f t="shared" si="11"/>
        <v>0</v>
      </c>
      <c r="AQ284" s="374">
        <f>SUM(ERP_26[[#This Row],[AP01]:[AP06]])-SUM(ERP_26[[#This Row],[AP01 LE2]:[AP06 LE2]])</f>
        <v>0</v>
      </c>
      <c r="AR284" s="80"/>
      <c r="AS284" s="79">
        <f>ERP_26[[#This Row],[2026 Working Total to Budget/LE]]-ERP_26[[#This Row],[Giveback]]</f>
        <v>0</v>
      </c>
      <c r="AT284" s="81" t="s">
        <v>2612</v>
      </c>
      <c r="AU284" s="375"/>
      <c r="AV284" s="375"/>
      <c r="AW284" s="375">
        <v>292.39999999999998</v>
      </c>
      <c r="AX284" s="375">
        <v>0</v>
      </c>
      <c r="AY284" s="375">
        <v>0</v>
      </c>
      <c r="AZ284" s="375">
        <v>0</v>
      </c>
      <c r="BA284" s="375">
        <v>0</v>
      </c>
      <c r="BB284" s="375">
        <v>0</v>
      </c>
      <c r="BC284" s="375">
        <v>0</v>
      </c>
      <c r="BD284" s="375">
        <v>0</v>
      </c>
      <c r="BE284" s="375">
        <v>0</v>
      </c>
      <c r="BF284" s="375">
        <v>0</v>
      </c>
      <c r="BG284" s="375">
        <v>292.39999999999998</v>
      </c>
      <c r="BH284" s="79"/>
      <c r="BI284" s="79"/>
      <c r="BJ284" s="79">
        <v>292.39999999999998</v>
      </c>
      <c r="BK284" s="79">
        <v>0</v>
      </c>
      <c r="BL284" s="79">
        <v>0</v>
      </c>
      <c r="BM284" s="79">
        <v>0</v>
      </c>
      <c r="BN284" s="79">
        <v>0</v>
      </c>
      <c r="BO284" s="79">
        <v>0</v>
      </c>
      <c r="BP284" s="79">
        <v>0</v>
      </c>
      <c r="BQ284" s="79">
        <v>0</v>
      </c>
      <c r="BR284" s="79">
        <v>0</v>
      </c>
      <c r="BS284" s="79">
        <v>0</v>
      </c>
      <c r="BT284" s="79">
        <v>292.39999999999998</v>
      </c>
    </row>
    <row r="285" spans="1:72" ht="15" customHeight="1">
      <c r="A285" s="150" t="s">
        <v>2613</v>
      </c>
      <c r="B285" s="150"/>
      <c r="C285" s="536" t="s">
        <v>906</v>
      </c>
      <c r="D285" s="296" t="s">
        <v>906</v>
      </c>
      <c r="E285" s="150" t="s">
        <v>1136</v>
      </c>
      <c r="F285" s="482" t="s">
        <v>1566</v>
      </c>
      <c r="G285" s="383" t="s">
        <v>1344</v>
      </c>
      <c r="H285" s="383" t="s">
        <v>1344</v>
      </c>
      <c r="I285" s="150" t="s">
        <v>1345</v>
      </c>
      <c r="J285" s="332" t="s">
        <v>1344</v>
      </c>
      <c r="K285" s="331" t="s">
        <v>1346</v>
      </c>
      <c r="L285" s="514" t="s">
        <v>639</v>
      </c>
      <c r="M285" s="394" t="s">
        <v>2614</v>
      </c>
      <c r="N285" s="333"/>
      <c r="O285" s="332" t="s">
        <v>1363</v>
      </c>
      <c r="P285" s="90" t="s">
        <v>676</v>
      </c>
      <c r="Q285" s="347"/>
      <c r="R285" s="347"/>
      <c r="S285" s="348"/>
      <c r="T285" s="348"/>
      <c r="U285" s="348"/>
      <c r="V285" s="402"/>
      <c r="W285" s="406"/>
      <c r="X285" s="406"/>
      <c r="Y285" s="425"/>
      <c r="Z285" s="71"/>
      <c r="AA285" s="435"/>
      <c r="AB285" s="436"/>
      <c r="AC285" s="436"/>
      <c r="AD285" s="429">
        <v>454</v>
      </c>
      <c r="AE285" s="429">
        <v>227</v>
      </c>
      <c r="AF285" s="429">
        <v>227</v>
      </c>
      <c r="AG285" s="364"/>
      <c r="AH285" s="364"/>
      <c r="AI285" s="364"/>
      <c r="AJ285" s="364"/>
      <c r="AK285" s="364"/>
      <c r="AL285" s="364"/>
      <c r="AM285" s="360">
        <f t="shared" si="10"/>
        <v>908</v>
      </c>
      <c r="AN285" s="362">
        <f>ERP_26[[#This Row],[2026 Working Total]]-ERP_26[[#This Row],[LE2 Final Submission]]</f>
        <v>908</v>
      </c>
      <c r="AO285" s="79"/>
      <c r="AP285" s="79">
        <f t="shared" si="11"/>
        <v>227</v>
      </c>
      <c r="AQ285" s="374">
        <f>SUM(ERP_26[[#This Row],[AP01]:[AP06]])-SUM(ERP_26[[#This Row],[AP01 LE2]:[AP06 LE2]])</f>
        <v>908</v>
      </c>
      <c r="AR285" s="80"/>
      <c r="AS285" s="79">
        <f>ERP_26[[#This Row],[2026 Working Total to Budget/LE]]-ERP_26[[#This Row],[Giveback]]</f>
        <v>908</v>
      </c>
      <c r="AT285" s="81"/>
      <c r="AU285" s="375"/>
      <c r="AV285" s="375"/>
      <c r="AW285" s="375"/>
      <c r="AX285" s="375"/>
      <c r="AY285" s="375"/>
      <c r="AZ285" s="375"/>
      <c r="BA285" s="375"/>
      <c r="BB285" s="375"/>
      <c r="BC285" s="375"/>
      <c r="BD285" s="375"/>
      <c r="BE285" s="375"/>
      <c r="BF285" s="375"/>
      <c r="BG285" s="375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</row>
    <row r="286" spans="1:72" ht="15" customHeight="1">
      <c r="A286" s="66" t="s">
        <v>2615</v>
      </c>
      <c r="B286" s="66"/>
      <c r="C286" s="66" t="s">
        <v>907</v>
      </c>
      <c r="D286" s="66" t="s">
        <v>907</v>
      </c>
      <c r="E286" s="150" t="s">
        <v>1136</v>
      </c>
      <c r="F286" s="482" t="s">
        <v>1566</v>
      </c>
      <c r="G286" s="383" t="s">
        <v>1344</v>
      </c>
      <c r="H286" s="383" t="s">
        <v>1344</v>
      </c>
      <c r="I286" s="150" t="s">
        <v>1345</v>
      </c>
      <c r="J286" s="150" t="s">
        <v>1344</v>
      </c>
      <c r="K286" s="150" t="s">
        <v>1346</v>
      </c>
      <c r="L286" s="511" t="s">
        <v>639</v>
      </c>
      <c r="M286" s="392" t="s">
        <v>2291</v>
      </c>
      <c r="N286" s="343"/>
      <c r="O286" s="343"/>
      <c r="P286" s="70" t="s">
        <v>679</v>
      </c>
      <c r="Q286" s="346"/>
      <c r="R286" s="346" t="s">
        <v>1140</v>
      </c>
      <c r="S286" s="346"/>
      <c r="T286" s="150" t="s">
        <v>680</v>
      </c>
      <c r="U286" s="150"/>
      <c r="V286" s="403"/>
      <c r="W286" s="406">
        <v>6000</v>
      </c>
      <c r="X286" s="406">
        <v>4931</v>
      </c>
      <c r="Y286" s="425"/>
      <c r="Z286" s="71"/>
      <c r="AA286" s="426">
        <v>431</v>
      </c>
      <c r="AB286" s="431">
        <v>0</v>
      </c>
      <c r="AC286" s="431">
        <v>0</v>
      </c>
      <c r="AD286" s="428">
        <v>0</v>
      </c>
      <c r="AE286" s="429">
        <v>0</v>
      </c>
      <c r="AF286" s="429">
        <v>431</v>
      </c>
      <c r="AG286" s="363">
        <v>500</v>
      </c>
      <c r="AH286" s="363">
        <v>500</v>
      </c>
      <c r="AI286" s="363">
        <v>500</v>
      </c>
      <c r="AJ286" s="363">
        <v>500</v>
      </c>
      <c r="AK286" s="363">
        <v>500</v>
      </c>
      <c r="AL286" s="363">
        <v>500</v>
      </c>
      <c r="AM286" s="360">
        <f t="shared" si="10"/>
        <v>3862</v>
      </c>
      <c r="AN286" s="362">
        <f>ERP_26[[#This Row],[2026 Working Total]]-ERP_26[[#This Row],[LE2 Final Submission]]</f>
        <v>-1069</v>
      </c>
      <c r="AO286" s="79">
        <v>500</v>
      </c>
      <c r="AP286" s="79">
        <f t="shared" si="11"/>
        <v>-69</v>
      </c>
      <c r="AQ286" s="374">
        <f>SUM(ERP_26[[#This Row],[AP01]:[AP06]])-SUM(ERP_26[[#This Row],[AP01 LE2]:[AP06 LE2]])</f>
        <v>-1069</v>
      </c>
      <c r="AR286" s="80"/>
      <c r="AS286" s="79">
        <f>ERP_26[[#This Row],[2026 Working Total to Budget/LE]]-ERP_26[[#This Row],[Giveback]]</f>
        <v>-1069</v>
      </c>
      <c r="AT286" s="81"/>
      <c r="AU286" s="375">
        <v>431</v>
      </c>
      <c r="AV286" s="375">
        <v>0</v>
      </c>
      <c r="AW286" s="375">
        <v>0</v>
      </c>
      <c r="AX286" s="375">
        <v>500</v>
      </c>
      <c r="AY286" s="375">
        <v>500</v>
      </c>
      <c r="AZ286" s="375">
        <v>500</v>
      </c>
      <c r="BA286" s="375">
        <v>500</v>
      </c>
      <c r="BB286" s="375">
        <v>500</v>
      </c>
      <c r="BC286" s="375">
        <v>500</v>
      </c>
      <c r="BD286" s="375">
        <v>500</v>
      </c>
      <c r="BE286" s="375">
        <v>500</v>
      </c>
      <c r="BF286" s="375">
        <v>500</v>
      </c>
      <c r="BG286" s="375">
        <v>4931</v>
      </c>
      <c r="BH286" s="79">
        <v>431</v>
      </c>
      <c r="BI286" s="79">
        <v>0</v>
      </c>
      <c r="BJ286" s="79">
        <v>0</v>
      </c>
      <c r="BK286" s="79">
        <v>500</v>
      </c>
      <c r="BL286" s="79">
        <v>500</v>
      </c>
      <c r="BM286" s="79">
        <v>500</v>
      </c>
      <c r="BN286" s="79">
        <v>500</v>
      </c>
      <c r="BO286" s="79">
        <v>500</v>
      </c>
      <c r="BP286" s="79">
        <v>500</v>
      </c>
      <c r="BQ286" s="79">
        <v>500</v>
      </c>
      <c r="BR286" s="79">
        <v>500</v>
      </c>
      <c r="BS286" s="79">
        <v>500</v>
      </c>
      <c r="BT286" s="79">
        <v>4931</v>
      </c>
    </row>
    <row r="287" spans="1:72" ht="15" customHeight="1">
      <c r="A287" s="66" t="s">
        <v>2616</v>
      </c>
      <c r="B287" s="66"/>
      <c r="C287" s="66" t="s">
        <v>908</v>
      </c>
      <c r="D287" s="66" t="s">
        <v>908</v>
      </c>
      <c r="E287" s="150" t="s">
        <v>1136</v>
      </c>
      <c r="F287" s="482" t="s">
        <v>1566</v>
      </c>
      <c r="G287" s="383" t="s">
        <v>1344</v>
      </c>
      <c r="H287" s="383" t="s">
        <v>1344</v>
      </c>
      <c r="I287" s="150" t="s">
        <v>1345</v>
      </c>
      <c r="J287" s="150" t="s">
        <v>1344</v>
      </c>
      <c r="K287" s="150" t="s">
        <v>1346</v>
      </c>
      <c r="L287" s="511" t="s">
        <v>639</v>
      </c>
      <c r="M287" s="392" t="s">
        <v>2617</v>
      </c>
      <c r="N287" s="343"/>
      <c r="O287" s="343"/>
      <c r="P287" s="70" t="s">
        <v>909</v>
      </c>
      <c r="Q287" s="346"/>
      <c r="R287" s="343"/>
      <c r="S287" s="346"/>
      <c r="T287" s="150" t="s">
        <v>910</v>
      </c>
      <c r="U287" s="150"/>
      <c r="V287" s="403"/>
      <c r="W287" s="406">
        <v>50000</v>
      </c>
      <c r="X287" s="406">
        <v>50000</v>
      </c>
      <c r="Y287" s="430"/>
      <c r="Z287" s="137"/>
      <c r="AA287" s="426"/>
      <c r="AB287" s="427"/>
      <c r="AC287" s="427"/>
      <c r="AD287" s="428" t="s">
        <v>1142</v>
      </c>
      <c r="AE287" s="429">
        <v>0</v>
      </c>
      <c r="AF287" s="429">
        <v>0</v>
      </c>
      <c r="AG287" s="363"/>
      <c r="AH287" s="363"/>
      <c r="AI287" s="363"/>
      <c r="AJ287" s="363">
        <v>50000</v>
      </c>
      <c r="AK287" s="360">
        <v>0</v>
      </c>
      <c r="AL287" s="360">
        <v>0</v>
      </c>
      <c r="AM287" s="360">
        <f t="shared" si="10"/>
        <v>50000</v>
      </c>
      <c r="AN287" s="362">
        <f>ERP_26[[#This Row],[2026 Working Total]]-ERP_26[[#This Row],[LE2 Final Submission]]</f>
        <v>0</v>
      </c>
      <c r="AO287" s="79"/>
      <c r="AP287" s="79">
        <f t="shared" si="11"/>
        <v>0</v>
      </c>
      <c r="AQ287" s="374">
        <f>SUM(ERP_26[[#This Row],[AP01]:[AP06]])-SUM(ERP_26[[#This Row],[AP01 LE2]:[AP06 LE2]])</f>
        <v>0</v>
      </c>
      <c r="AR287" s="80"/>
      <c r="AS287" s="79">
        <f>ERP_26[[#This Row],[2026 Working Total to Budget/LE]]-ERP_26[[#This Row],[Giveback]]</f>
        <v>0</v>
      </c>
      <c r="AT287" s="81"/>
      <c r="AU287" s="375"/>
      <c r="AV287" s="375"/>
      <c r="AW287" s="375"/>
      <c r="AX287" s="375"/>
      <c r="AY287" s="375"/>
      <c r="AZ287" s="375"/>
      <c r="BA287" s="375"/>
      <c r="BB287" s="375"/>
      <c r="BC287" s="375"/>
      <c r="BD287" s="375">
        <v>50000</v>
      </c>
      <c r="BE287" s="375">
        <v>0</v>
      </c>
      <c r="BF287" s="375">
        <v>0</v>
      </c>
      <c r="BG287" s="375">
        <v>50000</v>
      </c>
      <c r="BH287" s="79"/>
      <c r="BI287" s="79"/>
      <c r="BJ287" s="79"/>
      <c r="BK287" s="79"/>
      <c r="BL287" s="79"/>
      <c r="BM287" s="79"/>
      <c r="BN287" s="79"/>
      <c r="BO287" s="79"/>
      <c r="BP287" s="79"/>
      <c r="BQ287" s="79">
        <v>50000</v>
      </c>
      <c r="BR287" s="79">
        <v>0</v>
      </c>
      <c r="BS287" s="79">
        <v>0</v>
      </c>
      <c r="BT287" s="79">
        <v>50000</v>
      </c>
    </row>
    <row r="288" spans="1:72" ht="15" customHeight="1">
      <c r="A288" s="66" t="s">
        <v>2618</v>
      </c>
      <c r="B288" s="66"/>
      <c r="C288" s="66" t="s">
        <v>911</v>
      </c>
      <c r="D288" s="66" t="s">
        <v>911</v>
      </c>
      <c r="E288" s="150" t="s">
        <v>1136</v>
      </c>
      <c r="F288" s="482" t="s">
        <v>1566</v>
      </c>
      <c r="G288" s="383" t="s">
        <v>1344</v>
      </c>
      <c r="H288" s="383" t="s">
        <v>1344</v>
      </c>
      <c r="I288" s="150" t="s">
        <v>1345</v>
      </c>
      <c r="J288" s="150" t="s">
        <v>1344</v>
      </c>
      <c r="K288" s="150" t="s">
        <v>1346</v>
      </c>
      <c r="L288" s="511" t="s">
        <v>639</v>
      </c>
      <c r="M288" s="392" t="s">
        <v>2619</v>
      </c>
      <c r="N288" s="343"/>
      <c r="O288" s="343"/>
      <c r="P288" s="70" t="s">
        <v>912</v>
      </c>
      <c r="Q288" s="346"/>
      <c r="R288" s="343"/>
      <c r="S288" s="346"/>
      <c r="T288" s="150" t="s">
        <v>25</v>
      </c>
      <c r="U288" s="150"/>
      <c r="V288" s="403"/>
      <c r="W288" s="406">
        <v>5000</v>
      </c>
      <c r="X288" s="406">
        <v>5000</v>
      </c>
      <c r="Y288" s="425"/>
      <c r="Z288" s="71"/>
      <c r="AA288" s="426"/>
      <c r="AB288" s="427"/>
      <c r="AC288" s="427"/>
      <c r="AD288" s="428" t="s">
        <v>1142</v>
      </c>
      <c r="AE288" s="429">
        <v>0</v>
      </c>
      <c r="AF288" s="429">
        <v>0</v>
      </c>
      <c r="AG288" s="363"/>
      <c r="AH288" s="363"/>
      <c r="AI288" s="363"/>
      <c r="AJ288" s="363"/>
      <c r="AK288" s="363"/>
      <c r="AL288" s="363">
        <v>5000</v>
      </c>
      <c r="AM288" s="360">
        <f t="shared" si="10"/>
        <v>5000</v>
      </c>
      <c r="AN288" s="362">
        <f>ERP_26[[#This Row],[2026 Working Total]]-ERP_26[[#This Row],[LE2 Final Submission]]</f>
        <v>0</v>
      </c>
      <c r="AO288" s="79"/>
      <c r="AP288" s="79">
        <f t="shared" si="11"/>
        <v>0</v>
      </c>
      <c r="AQ288" s="374">
        <f>SUM(ERP_26[[#This Row],[AP01]:[AP06]])-SUM(ERP_26[[#This Row],[AP01 LE2]:[AP06 LE2]])</f>
        <v>0</v>
      </c>
      <c r="AR288" s="80"/>
      <c r="AS288" s="79">
        <f>ERP_26[[#This Row],[2026 Working Total to Budget/LE]]-ERP_26[[#This Row],[Giveback]]</f>
        <v>0</v>
      </c>
      <c r="AT288" s="81" t="s">
        <v>2620</v>
      </c>
      <c r="AU288" s="375"/>
      <c r="AV288" s="375"/>
      <c r="AW288" s="375"/>
      <c r="AX288" s="375"/>
      <c r="AY288" s="375"/>
      <c r="AZ288" s="375"/>
      <c r="BA288" s="375"/>
      <c r="BB288" s="375"/>
      <c r="BC288" s="375"/>
      <c r="BD288" s="375"/>
      <c r="BE288" s="375"/>
      <c r="BF288" s="375">
        <v>5000</v>
      </c>
      <c r="BG288" s="375">
        <v>5000</v>
      </c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>
        <v>5000</v>
      </c>
      <c r="BT288" s="79">
        <v>5000</v>
      </c>
    </row>
    <row r="289" spans="1:72" ht="15" customHeight="1">
      <c r="A289" s="66" t="s">
        <v>2621</v>
      </c>
      <c r="B289" s="66"/>
      <c r="C289" s="66" t="s">
        <v>913</v>
      </c>
      <c r="D289" s="66" t="s">
        <v>913</v>
      </c>
      <c r="E289" s="150" t="s">
        <v>1136</v>
      </c>
      <c r="F289" s="482" t="s">
        <v>1566</v>
      </c>
      <c r="G289" s="383" t="s">
        <v>1344</v>
      </c>
      <c r="H289" s="383" t="s">
        <v>1344</v>
      </c>
      <c r="I289" s="150" t="s">
        <v>1345</v>
      </c>
      <c r="J289" s="150" t="s">
        <v>1344</v>
      </c>
      <c r="K289" s="150" t="s">
        <v>1346</v>
      </c>
      <c r="L289" s="511" t="s">
        <v>639</v>
      </c>
      <c r="M289" s="392" t="s">
        <v>2622</v>
      </c>
      <c r="N289" s="343"/>
      <c r="O289" s="343"/>
      <c r="P289" s="70" t="s">
        <v>914</v>
      </c>
      <c r="Q289" s="346"/>
      <c r="R289" s="343"/>
      <c r="S289" s="346"/>
      <c r="T289" s="150" t="s">
        <v>119</v>
      </c>
      <c r="U289" s="150"/>
      <c r="V289" s="403"/>
      <c r="W289" s="406">
        <v>25000</v>
      </c>
      <c r="X289" s="406">
        <v>25000</v>
      </c>
      <c r="Y289" s="425"/>
      <c r="Z289" s="71"/>
      <c r="AA289" s="426"/>
      <c r="AB289" s="427"/>
      <c r="AC289" s="427"/>
      <c r="AD289" s="428" t="s">
        <v>1142</v>
      </c>
      <c r="AE289" s="429">
        <v>0</v>
      </c>
      <c r="AF289" s="429">
        <v>0</v>
      </c>
      <c r="AG289" s="363"/>
      <c r="AH289" s="363">
        <v>25000</v>
      </c>
      <c r="AI289" s="360">
        <v>0</v>
      </c>
      <c r="AJ289" s="360">
        <v>0</v>
      </c>
      <c r="AK289" s="360">
        <v>0</v>
      </c>
      <c r="AL289" s="360">
        <v>0</v>
      </c>
      <c r="AM289" s="360">
        <f t="shared" si="10"/>
        <v>25000</v>
      </c>
      <c r="AN289" s="362">
        <f>ERP_26[[#This Row],[2026 Working Total]]-ERP_26[[#This Row],[LE2 Final Submission]]</f>
        <v>0</v>
      </c>
      <c r="AO289" s="79"/>
      <c r="AP289" s="79">
        <f t="shared" si="11"/>
        <v>0</v>
      </c>
      <c r="AQ289" s="374">
        <f>SUM(ERP_26[[#This Row],[AP01]:[AP06]])-SUM(ERP_26[[#This Row],[AP01 LE2]:[AP06 LE2]])</f>
        <v>0</v>
      </c>
      <c r="AR289" s="80"/>
      <c r="AS289" s="79">
        <f>ERP_26[[#This Row],[2026 Working Total to Budget/LE]]-ERP_26[[#This Row],[Giveback]]</f>
        <v>0</v>
      </c>
      <c r="AT289" s="81"/>
      <c r="AU289" s="375"/>
      <c r="AV289" s="375"/>
      <c r="AW289" s="375"/>
      <c r="AX289" s="375"/>
      <c r="AY289" s="375"/>
      <c r="AZ289" s="375"/>
      <c r="BA289" s="375"/>
      <c r="BB289" s="375">
        <v>25000</v>
      </c>
      <c r="BC289" s="375">
        <v>0</v>
      </c>
      <c r="BD289" s="375">
        <v>0</v>
      </c>
      <c r="BE289" s="375">
        <v>0</v>
      </c>
      <c r="BF289" s="375">
        <v>0</v>
      </c>
      <c r="BG289" s="375">
        <v>25000</v>
      </c>
      <c r="BH289" s="79"/>
      <c r="BI289" s="79"/>
      <c r="BJ289" s="79"/>
      <c r="BK289" s="79"/>
      <c r="BL289" s="79"/>
      <c r="BM289" s="79"/>
      <c r="BN289" s="79"/>
      <c r="BO289" s="79">
        <v>25000</v>
      </c>
      <c r="BP289" s="79">
        <v>0</v>
      </c>
      <c r="BQ289" s="79">
        <v>0</v>
      </c>
      <c r="BR289" s="79">
        <v>0</v>
      </c>
      <c r="BS289" s="79">
        <v>0</v>
      </c>
      <c r="BT289" s="79">
        <v>25000</v>
      </c>
    </row>
    <row r="290" spans="1:72" ht="15" customHeight="1">
      <c r="A290" s="66" t="s">
        <v>2623</v>
      </c>
      <c r="B290" s="66"/>
      <c r="C290" s="66" t="s">
        <v>915</v>
      </c>
      <c r="D290" s="66" t="s">
        <v>915</v>
      </c>
      <c r="E290" s="150" t="s">
        <v>1136</v>
      </c>
      <c r="F290" s="482" t="s">
        <v>1566</v>
      </c>
      <c r="G290" s="383" t="s">
        <v>1344</v>
      </c>
      <c r="H290" s="383" t="s">
        <v>1344</v>
      </c>
      <c r="I290" s="150" t="s">
        <v>1345</v>
      </c>
      <c r="J290" s="150" t="s">
        <v>1344</v>
      </c>
      <c r="K290" s="150" t="s">
        <v>1346</v>
      </c>
      <c r="L290" s="511" t="s">
        <v>639</v>
      </c>
      <c r="M290" s="392" t="s">
        <v>818</v>
      </c>
      <c r="N290" s="343"/>
      <c r="O290" s="343"/>
      <c r="P290" s="70" t="s">
        <v>817</v>
      </c>
      <c r="Q290" s="346"/>
      <c r="R290" s="346" t="s">
        <v>1140</v>
      </c>
      <c r="S290" s="346"/>
      <c r="T290" s="150" t="s">
        <v>818</v>
      </c>
      <c r="U290" s="150"/>
      <c r="V290" s="403"/>
      <c r="W290" s="406">
        <v>8000</v>
      </c>
      <c r="X290" s="406">
        <v>16362.7</v>
      </c>
      <c r="Y290" s="430"/>
      <c r="Z290" s="137"/>
      <c r="AA290" s="426"/>
      <c r="AB290" s="427"/>
      <c r="AC290" s="427">
        <v>10362.700000000001</v>
      </c>
      <c r="AD290" s="428">
        <v>0</v>
      </c>
      <c r="AE290" s="429">
        <v>0</v>
      </c>
      <c r="AF290" s="429">
        <v>8211.1</v>
      </c>
      <c r="AG290" s="360">
        <v>0</v>
      </c>
      <c r="AH290" s="360">
        <v>0</v>
      </c>
      <c r="AI290" s="363">
        <v>2000</v>
      </c>
      <c r="AJ290" s="360">
        <v>0</v>
      </c>
      <c r="AK290" s="363">
        <v>2000</v>
      </c>
      <c r="AL290" s="360">
        <v>0</v>
      </c>
      <c r="AM290" s="360">
        <f t="shared" si="10"/>
        <v>22573.800000000003</v>
      </c>
      <c r="AN290" s="362">
        <f>ERP_26[[#This Row],[2026 Working Total]]-ERP_26[[#This Row],[LE2 Final Submission]]</f>
        <v>6211.1000000000022</v>
      </c>
      <c r="AO290" s="79">
        <v>0</v>
      </c>
      <c r="AP290" s="79">
        <f t="shared" si="11"/>
        <v>8211.1</v>
      </c>
      <c r="AQ290" s="374">
        <f>SUM(ERP_26[[#This Row],[AP01]:[AP06]])-SUM(ERP_26[[#This Row],[AP01 LE2]:[AP06 LE2]])</f>
        <v>6211.1000000000022</v>
      </c>
      <c r="AR290" s="80"/>
      <c r="AS290" s="79">
        <f>ERP_26[[#This Row],[2026 Working Total to Budget/LE]]-ERP_26[[#This Row],[Giveback]]</f>
        <v>6211.1000000000022</v>
      </c>
      <c r="AT290" s="81"/>
      <c r="AU290" s="375"/>
      <c r="AV290" s="375"/>
      <c r="AW290" s="375">
        <v>10362.700000000001</v>
      </c>
      <c r="AX290" s="375">
        <v>0</v>
      </c>
      <c r="AY290" s="375">
        <v>0</v>
      </c>
      <c r="AZ290" s="375">
        <v>2000</v>
      </c>
      <c r="BA290" s="375">
        <v>0</v>
      </c>
      <c r="BB290" s="375">
        <v>0</v>
      </c>
      <c r="BC290" s="375">
        <v>2000</v>
      </c>
      <c r="BD290" s="375">
        <v>0</v>
      </c>
      <c r="BE290" s="375">
        <v>2000</v>
      </c>
      <c r="BF290" s="375">
        <v>0</v>
      </c>
      <c r="BG290" s="375">
        <v>16362.7</v>
      </c>
      <c r="BH290" s="79"/>
      <c r="BI290" s="79"/>
      <c r="BJ290" s="79">
        <v>10362.700000000001</v>
      </c>
      <c r="BK290" s="79">
        <v>0</v>
      </c>
      <c r="BL290" s="79">
        <v>0</v>
      </c>
      <c r="BM290" s="79">
        <v>2000</v>
      </c>
      <c r="BN290" s="79">
        <v>0</v>
      </c>
      <c r="BO290" s="79">
        <v>0</v>
      </c>
      <c r="BP290" s="79">
        <v>2000</v>
      </c>
      <c r="BQ290" s="79">
        <v>0</v>
      </c>
      <c r="BR290" s="79">
        <v>2000</v>
      </c>
      <c r="BS290" s="79">
        <v>0</v>
      </c>
      <c r="BT290" s="79">
        <v>16362.7</v>
      </c>
    </row>
    <row r="291" spans="1:72" ht="15" customHeight="1">
      <c r="A291" s="66" t="s">
        <v>2624</v>
      </c>
      <c r="B291" s="66"/>
      <c r="C291" s="66" t="s">
        <v>916</v>
      </c>
      <c r="D291" s="66" t="s">
        <v>916</v>
      </c>
      <c r="E291" s="150" t="s">
        <v>1136</v>
      </c>
      <c r="F291" s="482" t="s">
        <v>1566</v>
      </c>
      <c r="G291" s="383" t="s">
        <v>1344</v>
      </c>
      <c r="H291" s="383" t="s">
        <v>1344</v>
      </c>
      <c r="I291" s="150" t="s">
        <v>1345</v>
      </c>
      <c r="J291" s="150" t="s">
        <v>1344</v>
      </c>
      <c r="K291" s="150" t="s">
        <v>1346</v>
      </c>
      <c r="L291" s="511" t="s">
        <v>639</v>
      </c>
      <c r="M291" s="392" t="s">
        <v>1423</v>
      </c>
      <c r="N291" s="343"/>
      <c r="O291" s="343"/>
      <c r="P291" s="70" t="s">
        <v>194</v>
      </c>
      <c r="Q291" s="346"/>
      <c r="R291" s="343"/>
      <c r="S291" s="346"/>
      <c r="T291" s="150" t="s">
        <v>25</v>
      </c>
      <c r="U291" s="150"/>
      <c r="V291" s="403"/>
      <c r="W291" s="406">
        <v>21665.519999999993</v>
      </c>
      <c r="X291" s="406">
        <v>21665.52</v>
      </c>
      <c r="Y291" s="425"/>
      <c r="Z291" s="71"/>
      <c r="AA291" s="426"/>
      <c r="AB291" s="427"/>
      <c r="AC291" s="427"/>
      <c r="AD291" s="428" t="s">
        <v>1142</v>
      </c>
      <c r="AE291" s="429">
        <v>0</v>
      </c>
      <c r="AF291" s="429">
        <v>0</v>
      </c>
      <c r="AG291" s="363"/>
      <c r="AH291" s="363"/>
      <c r="AI291" s="363"/>
      <c r="AJ291" s="363">
        <v>21665.52</v>
      </c>
      <c r="AK291" s="363"/>
      <c r="AL291" s="363"/>
      <c r="AM291" s="360">
        <f t="shared" si="10"/>
        <v>21665.52</v>
      </c>
      <c r="AN291" s="362">
        <f>ERP_26[[#This Row],[2026 Working Total]]-ERP_26[[#This Row],[LE2 Final Submission]]</f>
        <v>0</v>
      </c>
      <c r="AO291" s="79"/>
      <c r="AP291" s="79">
        <f t="shared" si="11"/>
        <v>0</v>
      </c>
      <c r="AQ291" s="374">
        <f>SUM(ERP_26[[#This Row],[AP01]:[AP06]])-SUM(ERP_26[[#This Row],[AP01 LE2]:[AP06 LE2]])</f>
        <v>0</v>
      </c>
      <c r="AR291" s="80"/>
      <c r="AS291" s="79">
        <f>ERP_26[[#This Row],[2026 Working Total to Budget/LE]]-ERP_26[[#This Row],[Giveback]]</f>
        <v>0</v>
      </c>
      <c r="AT291" s="81" t="s">
        <v>1423</v>
      </c>
      <c r="AU291" s="375"/>
      <c r="AV291" s="375"/>
      <c r="AW291" s="375"/>
      <c r="AX291" s="375"/>
      <c r="AY291" s="375"/>
      <c r="AZ291" s="375"/>
      <c r="BA291" s="375"/>
      <c r="BB291" s="375"/>
      <c r="BC291" s="375"/>
      <c r="BD291" s="375">
        <v>21665.52</v>
      </c>
      <c r="BE291" s="375"/>
      <c r="BF291" s="375"/>
      <c r="BG291" s="375">
        <v>21665.52</v>
      </c>
      <c r="BH291" s="79"/>
      <c r="BI291" s="79"/>
      <c r="BJ291" s="79"/>
      <c r="BK291" s="79">
        <v>1805.46</v>
      </c>
      <c r="BL291" s="79">
        <v>1805.46</v>
      </c>
      <c r="BM291" s="79">
        <v>1805.46</v>
      </c>
      <c r="BN291" s="79">
        <v>1805.46</v>
      </c>
      <c r="BO291" s="79">
        <v>1805.46</v>
      </c>
      <c r="BP291" s="79">
        <v>1805.46</v>
      </c>
      <c r="BQ291" s="79">
        <v>1805.46</v>
      </c>
      <c r="BR291" s="79">
        <v>1805.46</v>
      </c>
      <c r="BS291" s="79">
        <v>1805.46</v>
      </c>
      <c r="BT291" s="79">
        <v>16249.139999999996</v>
      </c>
    </row>
    <row r="292" spans="1:72" ht="15" customHeight="1">
      <c r="A292" s="79" t="s">
        <v>2625</v>
      </c>
      <c r="B292" s="79"/>
      <c r="C292" s="79" t="s">
        <v>917</v>
      </c>
      <c r="D292" s="296" t="s">
        <v>917</v>
      </c>
      <c r="E292" s="150" t="s">
        <v>1136</v>
      </c>
      <c r="F292" s="482" t="s">
        <v>1566</v>
      </c>
      <c r="G292" s="383" t="s">
        <v>1344</v>
      </c>
      <c r="H292" s="383" t="s">
        <v>1344</v>
      </c>
      <c r="I292" s="332" t="s">
        <v>1345</v>
      </c>
      <c r="J292" s="383" t="s">
        <v>1344</v>
      </c>
      <c r="K292" s="331" t="s">
        <v>1346</v>
      </c>
      <c r="L292" s="512" t="s">
        <v>639</v>
      </c>
      <c r="M292" s="393" t="s">
        <v>2626</v>
      </c>
      <c r="N292" s="343"/>
      <c r="O292" s="331"/>
      <c r="P292" s="91" t="s">
        <v>918</v>
      </c>
      <c r="Q292" s="343"/>
      <c r="R292" s="343"/>
      <c r="S292" s="348"/>
      <c r="T292" s="386" t="s">
        <v>25</v>
      </c>
      <c r="U292" s="387" t="s">
        <v>1348</v>
      </c>
      <c r="V292" s="432"/>
      <c r="W292" s="358">
        <v>65000</v>
      </c>
      <c r="X292" s="378">
        <v>0</v>
      </c>
      <c r="Y292" s="425"/>
      <c r="Z292" s="71"/>
      <c r="AA292" s="433"/>
      <c r="AB292" s="434"/>
      <c r="AC292" s="434"/>
      <c r="AD292" s="428" t="s">
        <v>1142</v>
      </c>
      <c r="AE292" s="429">
        <v>0</v>
      </c>
      <c r="AF292" s="429">
        <v>0</v>
      </c>
      <c r="AG292" s="388">
        <v>0</v>
      </c>
      <c r="AH292" s="388">
        <v>0</v>
      </c>
      <c r="AI292" s="388">
        <v>0</v>
      </c>
      <c r="AJ292" s="388">
        <v>65000</v>
      </c>
      <c r="AK292" s="388">
        <v>0</v>
      </c>
      <c r="AL292" s="388">
        <v>0</v>
      </c>
      <c r="AM292" s="360">
        <f t="shared" si="10"/>
        <v>65000</v>
      </c>
      <c r="AN292" s="362">
        <f>ERP_26[[#This Row],[2026 Working Total]]-ERP_26[[#This Row],[LE2 Final Submission]]</f>
        <v>65000</v>
      </c>
      <c r="AO292" s="79">
        <v>0</v>
      </c>
      <c r="AP292" s="79">
        <f t="shared" si="11"/>
        <v>0</v>
      </c>
      <c r="AQ292" s="374">
        <f>SUM(ERP_26[[#This Row],[AP01]:[AP06]])-SUM(ERP_26[[#This Row],[AP01 LE2]:[AP06 LE2]])</f>
        <v>0</v>
      </c>
      <c r="AR292" s="80"/>
      <c r="AS292" s="79">
        <f>ERP_26[[#This Row],[2026 Working Total to Budget/LE]]-ERP_26[[#This Row],[Giveback]]</f>
        <v>65000</v>
      </c>
      <c r="AT292" s="81"/>
      <c r="AU292" s="375"/>
      <c r="AV292" s="375"/>
      <c r="AW292" s="375"/>
      <c r="AX292" s="375">
        <v>0</v>
      </c>
      <c r="AY292" s="375">
        <v>0</v>
      </c>
      <c r="AZ292" s="375">
        <v>0</v>
      </c>
      <c r="BA292" s="375">
        <v>0</v>
      </c>
      <c r="BB292" s="375">
        <v>0</v>
      </c>
      <c r="BC292" s="375">
        <v>0</v>
      </c>
      <c r="BD292" s="375">
        <v>0</v>
      </c>
      <c r="BE292" s="375">
        <v>0</v>
      </c>
      <c r="BF292" s="375">
        <v>0</v>
      </c>
      <c r="BG292" s="375">
        <v>0</v>
      </c>
      <c r="BH292" s="103">
        <v>0</v>
      </c>
      <c r="BI292" s="103">
        <v>0</v>
      </c>
      <c r="BJ292" s="103">
        <v>65000</v>
      </c>
      <c r="BK292" s="103">
        <v>0</v>
      </c>
      <c r="BL292" s="103">
        <v>0</v>
      </c>
      <c r="BM292" s="103">
        <v>0</v>
      </c>
      <c r="BN292" s="103">
        <v>0</v>
      </c>
      <c r="BO292" s="103">
        <v>0</v>
      </c>
      <c r="BP292" s="103">
        <v>0</v>
      </c>
      <c r="BQ292" s="103">
        <v>0</v>
      </c>
      <c r="BR292" s="103">
        <v>0</v>
      </c>
      <c r="BS292" s="103">
        <v>0</v>
      </c>
      <c r="BT292" s="79">
        <f>SUM(ERP_26[[#This Row],[2026 AP01]:[2026 AP12]])</f>
        <v>65000</v>
      </c>
    </row>
    <row r="293" spans="1:72" ht="15" customHeight="1">
      <c r="A293" s="79" t="s">
        <v>2627</v>
      </c>
      <c r="B293" s="79"/>
      <c r="C293" s="79" t="s">
        <v>919</v>
      </c>
      <c r="D293" s="296" t="s">
        <v>919</v>
      </c>
      <c r="E293" s="150" t="s">
        <v>1136</v>
      </c>
      <c r="F293" s="482" t="s">
        <v>1566</v>
      </c>
      <c r="G293" s="383" t="s">
        <v>1344</v>
      </c>
      <c r="H293" s="383" t="s">
        <v>1344</v>
      </c>
      <c r="I293" s="332" t="s">
        <v>1345</v>
      </c>
      <c r="J293" s="383" t="s">
        <v>1344</v>
      </c>
      <c r="K293" s="331" t="s">
        <v>1346</v>
      </c>
      <c r="L293" s="512" t="s">
        <v>639</v>
      </c>
      <c r="M293" s="393" t="s">
        <v>2628</v>
      </c>
      <c r="N293" s="343"/>
      <c r="O293" s="331"/>
      <c r="P293" s="91" t="s">
        <v>920</v>
      </c>
      <c r="Q293" s="343"/>
      <c r="R293" s="343"/>
      <c r="S293" s="348"/>
      <c r="T293" s="386" t="s">
        <v>25</v>
      </c>
      <c r="U293" s="387" t="s">
        <v>2629</v>
      </c>
      <c r="V293" s="432"/>
      <c r="W293" s="358">
        <v>32000</v>
      </c>
      <c r="X293" s="378">
        <v>32000</v>
      </c>
      <c r="Y293" s="430"/>
      <c r="Z293" s="137"/>
      <c r="AA293" s="433"/>
      <c r="AB293" s="434"/>
      <c r="AC293" s="434"/>
      <c r="AD293" s="428" t="s">
        <v>1142</v>
      </c>
      <c r="AE293" s="429">
        <v>0</v>
      </c>
      <c r="AF293" s="429">
        <v>0</v>
      </c>
      <c r="AG293" s="388">
        <v>0</v>
      </c>
      <c r="AH293" s="388">
        <v>0</v>
      </c>
      <c r="AI293" s="388">
        <v>0</v>
      </c>
      <c r="AJ293" s="388">
        <v>32000</v>
      </c>
      <c r="AK293" s="388">
        <v>0</v>
      </c>
      <c r="AL293" s="388">
        <v>0</v>
      </c>
      <c r="AM293" s="360">
        <f t="shared" si="10"/>
        <v>32000</v>
      </c>
      <c r="AN293" s="362">
        <f>ERP_26[[#This Row],[2026 Working Total]]-ERP_26[[#This Row],[LE2 Final Submission]]</f>
        <v>0</v>
      </c>
      <c r="AO293" s="79">
        <v>0</v>
      </c>
      <c r="AP293" s="79">
        <f t="shared" si="11"/>
        <v>0</v>
      </c>
      <c r="AQ293" s="374">
        <f>SUM(ERP_26[[#This Row],[AP01]:[AP06]])-SUM(ERP_26[[#This Row],[AP01 LE2]:[AP06 LE2]])</f>
        <v>0</v>
      </c>
      <c r="AR293" s="80"/>
      <c r="AS293" s="79">
        <f>ERP_26[[#This Row],[2026 Working Total to Budget/LE]]-ERP_26[[#This Row],[Giveback]]</f>
        <v>0</v>
      </c>
      <c r="AT293" s="155" t="s">
        <v>2630</v>
      </c>
      <c r="AU293" s="375"/>
      <c r="AV293" s="375"/>
      <c r="AW293" s="375"/>
      <c r="AX293" s="375">
        <v>0</v>
      </c>
      <c r="AY293" s="375">
        <v>0</v>
      </c>
      <c r="AZ293" s="375">
        <v>0</v>
      </c>
      <c r="BA293" s="375">
        <v>0</v>
      </c>
      <c r="BB293" s="375">
        <v>0</v>
      </c>
      <c r="BC293" s="375">
        <v>0</v>
      </c>
      <c r="BD293" s="375">
        <v>32000</v>
      </c>
      <c r="BE293" s="375">
        <v>0</v>
      </c>
      <c r="BF293" s="375">
        <v>0</v>
      </c>
      <c r="BG293" s="375">
        <v>32000</v>
      </c>
      <c r="BH293" s="103">
        <v>0</v>
      </c>
      <c r="BI293" s="103">
        <v>32000</v>
      </c>
      <c r="BJ293" s="103">
        <v>0</v>
      </c>
      <c r="BK293" s="103">
        <v>0</v>
      </c>
      <c r="BL293" s="103">
        <v>0</v>
      </c>
      <c r="BM293" s="103">
        <v>0</v>
      </c>
      <c r="BN293" s="103">
        <v>0</v>
      </c>
      <c r="BO293" s="103">
        <v>0</v>
      </c>
      <c r="BP293" s="103">
        <v>0</v>
      </c>
      <c r="BQ293" s="103">
        <v>0</v>
      </c>
      <c r="BR293" s="103">
        <v>0</v>
      </c>
      <c r="BS293" s="103">
        <v>0</v>
      </c>
      <c r="BT293" s="79">
        <f>SUM(ERP_26[[#This Row],[2026 AP01]:[2026 AP12]])</f>
        <v>32000</v>
      </c>
    </row>
    <row r="294" spans="1:72" ht="15" customHeight="1">
      <c r="A294" s="66" t="s">
        <v>2631</v>
      </c>
      <c r="B294" s="66"/>
      <c r="C294" s="66" t="s">
        <v>921</v>
      </c>
      <c r="D294" s="66" t="s">
        <v>921</v>
      </c>
      <c r="E294" s="150" t="s">
        <v>1136</v>
      </c>
      <c r="F294" s="482" t="s">
        <v>1566</v>
      </c>
      <c r="G294" s="383" t="s">
        <v>1344</v>
      </c>
      <c r="H294" s="383" t="s">
        <v>1344</v>
      </c>
      <c r="I294" s="150" t="s">
        <v>1345</v>
      </c>
      <c r="J294" s="150" t="s">
        <v>1344</v>
      </c>
      <c r="K294" s="150" t="s">
        <v>1346</v>
      </c>
      <c r="L294" s="511" t="s">
        <v>639</v>
      </c>
      <c r="M294" s="392" t="s">
        <v>2632</v>
      </c>
      <c r="N294" s="343"/>
      <c r="O294" s="343"/>
      <c r="P294" s="70" t="s">
        <v>922</v>
      </c>
      <c r="Q294" s="346"/>
      <c r="R294" s="343"/>
      <c r="S294" s="346"/>
      <c r="T294" s="150" t="s">
        <v>25</v>
      </c>
      <c r="U294" s="150"/>
      <c r="V294" s="403"/>
      <c r="W294" s="406">
        <v>5000</v>
      </c>
      <c r="X294" s="406">
        <v>5000</v>
      </c>
      <c r="Y294" s="425"/>
      <c r="Z294" s="71"/>
      <c r="AA294" s="426"/>
      <c r="AB294" s="427"/>
      <c r="AC294" s="427"/>
      <c r="AD294" s="428" t="s">
        <v>1142</v>
      </c>
      <c r="AE294" s="429">
        <v>0</v>
      </c>
      <c r="AF294" s="429">
        <v>0</v>
      </c>
      <c r="AG294" s="363"/>
      <c r="AH294" s="363"/>
      <c r="AI294" s="363">
        <v>5000</v>
      </c>
      <c r="AJ294" s="360">
        <v>0</v>
      </c>
      <c r="AK294" s="360">
        <v>0</v>
      </c>
      <c r="AL294" s="360">
        <v>0</v>
      </c>
      <c r="AM294" s="360">
        <f t="shared" si="10"/>
        <v>5000</v>
      </c>
      <c r="AN294" s="362">
        <f>ERP_26[[#This Row],[2026 Working Total]]-ERP_26[[#This Row],[LE2 Final Submission]]</f>
        <v>0</v>
      </c>
      <c r="AO294" s="79"/>
      <c r="AP294" s="79">
        <f t="shared" si="11"/>
        <v>0</v>
      </c>
      <c r="AQ294" s="374">
        <f>SUM(ERP_26[[#This Row],[AP01]:[AP06]])-SUM(ERP_26[[#This Row],[AP01 LE2]:[AP06 LE2]])</f>
        <v>0</v>
      </c>
      <c r="AR294" s="80"/>
      <c r="AS294" s="79">
        <f>ERP_26[[#This Row],[2026 Working Total to Budget/LE]]-ERP_26[[#This Row],[Giveback]]</f>
        <v>0</v>
      </c>
      <c r="AT294" s="81"/>
      <c r="AU294" s="375"/>
      <c r="AV294" s="375"/>
      <c r="AW294" s="375"/>
      <c r="AX294" s="375"/>
      <c r="AY294" s="375"/>
      <c r="AZ294" s="375"/>
      <c r="BA294" s="375"/>
      <c r="BB294" s="375"/>
      <c r="BC294" s="375">
        <v>5000</v>
      </c>
      <c r="BD294" s="375">
        <v>0</v>
      </c>
      <c r="BE294" s="375">
        <v>0</v>
      </c>
      <c r="BF294" s="375">
        <v>0</v>
      </c>
      <c r="BG294" s="375">
        <v>5000</v>
      </c>
      <c r="BH294" s="79"/>
      <c r="BI294" s="79"/>
      <c r="BJ294" s="79"/>
      <c r="BK294" s="79"/>
      <c r="BL294" s="79"/>
      <c r="BM294" s="79"/>
      <c r="BN294" s="79"/>
      <c r="BO294" s="79"/>
      <c r="BP294" s="79">
        <v>5000</v>
      </c>
      <c r="BQ294" s="79">
        <v>0</v>
      </c>
      <c r="BR294" s="79">
        <v>0</v>
      </c>
      <c r="BS294" s="79">
        <v>0</v>
      </c>
      <c r="BT294" s="79">
        <v>5000</v>
      </c>
    </row>
    <row r="295" spans="1:72" ht="15" customHeight="1">
      <c r="A295" s="66" t="s">
        <v>2633</v>
      </c>
      <c r="B295" s="66"/>
      <c r="C295" s="66" t="s">
        <v>923</v>
      </c>
      <c r="D295" s="66" t="s">
        <v>923</v>
      </c>
      <c r="E295" s="150" t="s">
        <v>1136</v>
      </c>
      <c r="F295" s="482" t="s">
        <v>1566</v>
      </c>
      <c r="G295" s="383" t="s">
        <v>1344</v>
      </c>
      <c r="H295" s="383" t="s">
        <v>1344</v>
      </c>
      <c r="I295" s="150" t="s">
        <v>1345</v>
      </c>
      <c r="J295" s="150" t="s">
        <v>1344</v>
      </c>
      <c r="K295" s="150" t="s">
        <v>1346</v>
      </c>
      <c r="L295" s="511" t="s">
        <v>639</v>
      </c>
      <c r="M295" s="392" t="s">
        <v>2634</v>
      </c>
      <c r="N295" s="343"/>
      <c r="O295" s="343"/>
      <c r="P295" s="70" t="s">
        <v>924</v>
      </c>
      <c r="Q295" s="346"/>
      <c r="R295" s="343"/>
      <c r="S295" s="346"/>
      <c r="T295" s="150" t="s">
        <v>25</v>
      </c>
      <c r="U295" s="150"/>
      <c r="V295" s="403"/>
      <c r="W295" s="406">
        <v>6000</v>
      </c>
      <c r="X295" s="406">
        <v>4500</v>
      </c>
      <c r="Y295" s="425"/>
      <c r="Z295" s="71"/>
      <c r="AA295" s="426"/>
      <c r="AB295" s="427"/>
      <c r="AC295" s="427"/>
      <c r="AD295" s="428" t="s">
        <v>1142</v>
      </c>
      <c r="AE295" s="429">
        <v>0</v>
      </c>
      <c r="AF295" s="429">
        <v>2323.36</v>
      </c>
      <c r="AG295" s="360">
        <v>0</v>
      </c>
      <c r="AH295" s="360">
        <v>0</v>
      </c>
      <c r="AI295" s="363">
        <v>1500</v>
      </c>
      <c r="AJ295" s="360">
        <v>0</v>
      </c>
      <c r="AK295" s="360">
        <v>0</v>
      </c>
      <c r="AL295" s="363">
        <v>1500</v>
      </c>
      <c r="AM295" s="360">
        <f t="shared" si="10"/>
        <v>5323.3600000000006</v>
      </c>
      <c r="AN295" s="362">
        <f>ERP_26[[#This Row],[2026 Working Total]]-ERP_26[[#This Row],[LE2 Final Submission]]</f>
        <v>823.36000000000058</v>
      </c>
      <c r="AO295" s="79"/>
      <c r="AP295" s="79">
        <f t="shared" si="11"/>
        <v>2323.36</v>
      </c>
      <c r="AQ295" s="374">
        <f>SUM(ERP_26[[#This Row],[AP01]:[AP06]])-SUM(ERP_26[[#This Row],[AP01 LE2]:[AP06 LE2]])</f>
        <v>823.36000000000013</v>
      </c>
      <c r="AR295" s="80"/>
      <c r="AS295" s="79">
        <f>ERP_26[[#This Row],[2026 Working Total to Budget/LE]]-ERP_26[[#This Row],[Giveback]]</f>
        <v>823.36000000000058</v>
      </c>
      <c r="AT295" s="81"/>
      <c r="AU295" s="375"/>
      <c r="AV295" s="375"/>
      <c r="AW295" s="375"/>
      <c r="AX295" s="375"/>
      <c r="AY295" s="375"/>
      <c r="AZ295" s="375">
        <v>1500</v>
      </c>
      <c r="BA295" s="375">
        <v>0</v>
      </c>
      <c r="BB295" s="375">
        <v>0</v>
      </c>
      <c r="BC295" s="375">
        <v>1500</v>
      </c>
      <c r="BD295" s="375">
        <v>0</v>
      </c>
      <c r="BE295" s="375">
        <v>0</v>
      </c>
      <c r="BF295" s="375">
        <v>1500</v>
      </c>
      <c r="BG295" s="375">
        <v>4500</v>
      </c>
      <c r="BH295" s="79"/>
      <c r="BI295" s="79"/>
      <c r="BJ295" s="79"/>
      <c r="BK295" s="79"/>
      <c r="BL295" s="79"/>
      <c r="BM295" s="79">
        <v>1500</v>
      </c>
      <c r="BN295" s="79">
        <v>0</v>
      </c>
      <c r="BO295" s="79">
        <v>0</v>
      </c>
      <c r="BP295" s="79">
        <v>1500</v>
      </c>
      <c r="BQ295" s="79">
        <v>0</v>
      </c>
      <c r="BR295" s="79">
        <v>0</v>
      </c>
      <c r="BS295" s="79">
        <v>1500</v>
      </c>
      <c r="BT295" s="79">
        <v>4500</v>
      </c>
    </row>
    <row r="296" spans="1:72" ht="15" customHeight="1">
      <c r="A296" s="79" t="s">
        <v>2635</v>
      </c>
      <c r="B296" s="79"/>
      <c r="C296" s="79" t="s">
        <v>925</v>
      </c>
      <c r="D296" s="296" t="s">
        <v>925</v>
      </c>
      <c r="E296" s="150" t="s">
        <v>1136</v>
      </c>
      <c r="F296" s="482" t="s">
        <v>1566</v>
      </c>
      <c r="G296" s="383" t="s">
        <v>1344</v>
      </c>
      <c r="H296" s="383" t="s">
        <v>1344</v>
      </c>
      <c r="I296" s="332" t="s">
        <v>1345</v>
      </c>
      <c r="J296" s="383" t="s">
        <v>1344</v>
      </c>
      <c r="K296" s="331" t="s">
        <v>1346</v>
      </c>
      <c r="L296" s="512" t="s">
        <v>639</v>
      </c>
      <c r="M296" s="393" t="s">
        <v>2636</v>
      </c>
      <c r="N296" s="343" t="s">
        <v>2637</v>
      </c>
      <c r="O296" s="150" t="s">
        <v>1363</v>
      </c>
      <c r="P296" s="91" t="s">
        <v>926</v>
      </c>
      <c r="Q296" s="343"/>
      <c r="R296" s="346" t="s">
        <v>2638</v>
      </c>
      <c r="S296" s="346" t="s">
        <v>1710</v>
      </c>
      <c r="T296" s="386" t="s">
        <v>863</v>
      </c>
      <c r="U296" s="346" t="s">
        <v>2639</v>
      </c>
      <c r="V296" s="437"/>
      <c r="W296" s="358">
        <v>111372.91</v>
      </c>
      <c r="X296" s="378">
        <v>0</v>
      </c>
      <c r="Y296" s="430"/>
      <c r="Z296" s="137"/>
      <c r="AA296" s="433"/>
      <c r="AB296" s="434"/>
      <c r="AC296" s="434"/>
      <c r="AD296" s="428" t="s">
        <v>1142</v>
      </c>
      <c r="AE296" s="429">
        <v>0</v>
      </c>
      <c r="AF296" s="429">
        <v>0</v>
      </c>
      <c r="AG296" s="388">
        <v>0</v>
      </c>
      <c r="AH296" s="388">
        <v>0</v>
      </c>
      <c r="AI296" s="388">
        <v>0</v>
      </c>
      <c r="AJ296" s="388">
        <f>115000-115000</f>
        <v>0</v>
      </c>
      <c r="AK296" s="388">
        <v>0</v>
      </c>
      <c r="AL296" s="364"/>
      <c r="AM296" s="360">
        <f t="shared" si="10"/>
        <v>0</v>
      </c>
      <c r="AN296" s="362">
        <f>ERP_26[[#This Row],[2026 Working Total]]-ERP_26[[#This Row],[LE2 Final Submission]]</f>
        <v>0</v>
      </c>
      <c r="AO296" s="79">
        <v>0</v>
      </c>
      <c r="AP296" s="79">
        <f t="shared" si="11"/>
        <v>0</v>
      </c>
      <c r="AQ296" s="374">
        <f>SUM(ERP_26[[#This Row],[AP01]:[AP06]])-SUM(ERP_26[[#This Row],[AP01 LE2]:[AP06 LE2]])</f>
        <v>0</v>
      </c>
      <c r="AR296" s="80"/>
      <c r="AS296" s="79">
        <f>ERP_26[[#This Row],[2026 Working Total to Budget/LE]]-ERP_26[[#This Row],[Giveback]]</f>
        <v>0</v>
      </c>
      <c r="AT296" s="81" t="s">
        <v>2640</v>
      </c>
      <c r="AU296" s="375"/>
      <c r="AV296" s="375"/>
      <c r="AW296" s="375"/>
      <c r="AX296" s="375">
        <v>0</v>
      </c>
      <c r="AY296" s="375">
        <v>0</v>
      </c>
      <c r="AZ296" s="375">
        <v>0</v>
      </c>
      <c r="BA296" s="375">
        <v>0</v>
      </c>
      <c r="BB296" s="375">
        <v>0</v>
      </c>
      <c r="BC296" s="375">
        <v>0</v>
      </c>
      <c r="BD296" s="375">
        <v>0</v>
      </c>
      <c r="BE296" s="375">
        <v>0</v>
      </c>
      <c r="BF296" s="375"/>
      <c r="BG296" s="375">
        <v>0</v>
      </c>
      <c r="BH296" s="103">
        <v>111372.91</v>
      </c>
      <c r="BI296" s="103">
        <v>0</v>
      </c>
      <c r="BJ296" s="103">
        <v>0</v>
      </c>
      <c r="BK296" s="103">
        <v>0</v>
      </c>
      <c r="BL296" s="103">
        <v>0</v>
      </c>
      <c r="BM296" s="103">
        <v>0</v>
      </c>
      <c r="BN296" s="103">
        <v>0</v>
      </c>
      <c r="BO296" s="103">
        <v>0</v>
      </c>
      <c r="BP296" s="103">
        <v>0</v>
      </c>
      <c r="BQ296" s="103">
        <v>0</v>
      </c>
      <c r="BR296" s="103">
        <v>0</v>
      </c>
      <c r="BS296" s="103">
        <v>0</v>
      </c>
      <c r="BT296" s="79">
        <f>SUM(ERP_26[[#This Row],[2026 AP01]:[2026 AP12]])</f>
        <v>111372.91</v>
      </c>
    </row>
    <row r="297" spans="1:72" ht="15" customHeight="1">
      <c r="A297" s="79" t="s">
        <v>2641</v>
      </c>
      <c r="B297" s="79"/>
      <c r="C297" s="79" t="s">
        <v>927</v>
      </c>
      <c r="D297" s="296" t="s">
        <v>927</v>
      </c>
      <c r="E297" s="150" t="s">
        <v>1136</v>
      </c>
      <c r="F297" s="482" t="s">
        <v>1566</v>
      </c>
      <c r="G297" s="383" t="s">
        <v>1344</v>
      </c>
      <c r="H297" s="383" t="s">
        <v>1344</v>
      </c>
      <c r="I297" s="332" t="s">
        <v>1345</v>
      </c>
      <c r="J297" s="383" t="s">
        <v>1344</v>
      </c>
      <c r="K297" s="331" t="s">
        <v>1346</v>
      </c>
      <c r="L297" s="512" t="s">
        <v>639</v>
      </c>
      <c r="M297" s="393" t="s">
        <v>2642</v>
      </c>
      <c r="N297" s="343" t="s">
        <v>2637</v>
      </c>
      <c r="O297" s="150" t="s">
        <v>1363</v>
      </c>
      <c r="P297" s="91" t="s">
        <v>928</v>
      </c>
      <c r="Q297" s="343"/>
      <c r="R297" s="346" t="s">
        <v>2638</v>
      </c>
      <c r="S297" s="346" t="s">
        <v>1710</v>
      </c>
      <c r="T297" s="386" t="s">
        <v>863</v>
      </c>
      <c r="U297" s="346" t="s">
        <v>2643</v>
      </c>
      <c r="V297" s="437"/>
      <c r="W297" s="358">
        <v>-111372.91</v>
      </c>
      <c r="X297" s="378">
        <v>0</v>
      </c>
      <c r="Y297" s="425"/>
      <c r="Z297" s="71"/>
      <c r="AA297" s="433"/>
      <c r="AB297" s="434"/>
      <c r="AC297" s="434"/>
      <c r="AD297" s="428" t="s">
        <v>1142</v>
      </c>
      <c r="AE297" s="429">
        <v>0</v>
      </c>
      <c r="AF297" s="429">
        <v>0</v>
      </c>
      <c r="AG297" s="388">
        <v>0</v>
      </c>
      <c r="AH297" s="388">
        <v>0</v>
      </c>
      <c r="AI297" s="388">
        <v>0</v>
      </c>
      <c r="AJ297" s="388">
        <f>-115000+115000</f>
        <v>0</v>
      </c>
      <c r="AK297" s="388">
        <v>0</v>
      </c>
      <c r="AL297" s="388">
        <v>0</v>
      </c>
      <c r="AM297" s="360">
        <f t="shared" si="10"/>
        <v>0</v>
      </c>
      <c r="AN297" s="362">
        <f>ERP_26[[#This Row],[2026 Working Total]]-ERP_26[[#This Row],[LE2 Final Submission]]</f>
        <v>0</v>
      </c>
      <c r="AO297" s="79">
        <v>0</v>
      </c>
      <c r="AP297" s="79">
        <f t="shared" si="11"/>
        <v>0</v>
      </c>
      <c r="AQ297" s="374">
        <f>SUM(ERP_26[[#This Row],[AP01]:[AP06]])-SUM(ERP_26[[#This Row],[AP01 LE2]:[AP06 LE2]])</f>
        <v>0</v>
      </c>
      <c r="AR297" s="80"/>
      <c r="AS297" s="79">
        <f>ERP_26[[#This Row],[2026 Working Total to Budget/LE]]-ERP_26[[#This Row],[Giveback]]</f>
        <v>0</v>
      </c>
      <c r="AT297" s="81" t="s">
        <v>2640</v>
      </c>
      <c r="AU297" s="375"/>
      <c r="AV297" s="375"/>
      <c r="AW297" s="375"/>
      <c r="AX297" s="375">
        <v>0</v>
      </c>
      <c r="AY297" s="375">
        <v>0</v>
      </c>
      <c r="AZ297" s="375">
        <v>0</v>
      </c>
      <c r="BA297" s="375">
        <v>0</v>
      </c>
      <c r="BB297" s="375">
        <v>0</v>
      </c>
      <c r="BC297" s="375">
        <v>0</v>
      </c>
      <c r="BD297" s="375">
        <v>0</v>
      </c>
      <c r="BE297" s="375">
        <v>0</v>
      </c>
      <c r="BF297" s="375">
        <v>0</v>
      </c>
      <c r="BG297" s="375">
        <v>0</v>
      </c>
      <c r="BH297" s="103">
        <v>-111372.91</v>
      </c>
      <c r="BI297" s="103">
        <v>0</v>
      </c>
      <c r="BJ297" s="103">
        <v>0</v>
      </c>
      <c r="BK297" s="103">
        <v>0</v>
      </c>
      <c r="BL297" s="103">
        <v>0</v>
      </c>
      <c r="BM297" s="103">
        <v>0</v>
      </c>
      <c r="BN297" s="103">
        <v>0</v>
      </c>
      <c r="BO297" s="103">
        <v>0</v>
      </c>
      <c r="BP297" s="103">
        <v>0</v>
      </c>
      <c r="BQ297" s="103">
        <v>0</v>
      </c>
      <c r="BR297" s="103">
        <v>0</v>
      </c>
      <c r="BS297" s="103">
        <v>0</v>
      </c>
      <c r="BT297" s="79">
        <f>SUM(ERP_26[[#This Row],[2026 AP01]:[2026 AP12]])</f>
        <v>-111372.91</v>
      </c>
    </row>
    <row r="298" spans="1:72" ht="15" customHeight="1">
      <c r="A298" s="66" t="s">
        <v>2644</v>
      </c>
      <c r="B298" s="66"/>
      <c r="C298" s="66" t="s">
        <v>929</v>
      </c>
      <c r="D298" s="66" t="s">
        <v>929</v>
      </c>
      <c r="E298" s="150" t="s">
        <v>1136</v>
      </c>
      <c r="F298" s="482" t="s">
        <v>1566</v>
      </c>
      <c r="G298" s="383" t="s">
        <v>1344</v>
      </c>
      <c r="H298" s="383" t="s">
        <v>1344</v>
      </c>
      <c r="I298" s="150" t="s">
        <v>1345</v>
      </c>
      <c r="J298" s="150" t="s">
        <v>1344</v>
      </c>
      <c r="K298" s="150" t="s">
        <v>1346</v>
      </c>
      <c r="L298" s="511" t="s">
        <v>639</v>
      </c>
      <c r="M298" s="392" t="s">
        <v>2645</v>
      </c>
      <c r="N298" s="343"/>
      <c r="O298" s="343"/>
      <c r="P298" s="70" t="s">
        <v>930</v>
      </c>
      <c r="Q298" s="346"/>
      <c r="R298" s="343"/>
      <c r="S298" s="346"/>
      <c r="T298" s="150" t="s">
        <v>677</v>
      </c>
      <c r="U298" s="150"/>
      <c r="V298" s="403"/>
      <c r="W298" s="406">
        <v>0</v>
      </c>
      <c r="X298" s="406">
        <v>227</v>
      </c>
      <c r="Y298" s="425"/>
      <c r="Z298" s="71"/>
      <c r="AA298" s="426"/>
      <c r="AB298" s="427">
        <v>227</v>
      </c>
      <c r="AC298" s="431">
        <v>0</v>
      </c>
      <c r="AD298" s="428">
        <v>0</v>
      </c>
      <c r="AE298" s="429">
        <v>0</v>
      </c>
      <c r="AF298" s="429">
        <v>0</v>
      </c>
      <c r="AG298" s="360">
        <v>0</v>
      </c>
      <c r="AH298" s="360">
        <v>0</v>
      </c>
      <c r="AI298" s="360">
        <v>0</v>
      </c>
      <c r="AJ298" s="360">
        <v>0</v>
      </c>
      <c r="AK298" s="360">
        <v>0</v>
      </c>
      <c r="AL298" s="360">
        <v>0</v>
      </c>
      <c r="AM298" s="360">
        <f t="shared" si="10"/>
        <v>227</v>
      </c>
      <c r="AN298" s="362">
        <f>ERP_26[[#This Row],[2026 Working Total]]-ERP_26[[#This Row],[LE2 Final Submission]]</f>
        <v>0</v>
      </c>
      <c r="AO298" s="79">
        <v>0</v>
      </c>
      <c r="AP298" s="79">
        <f t="shared" si="11"/>
        <v>0</v>
      </c>
      <c r="AQ298" s="374">
        <f>SUM(ERP_26[[#This Row],[AP01]:[AP06]])-SUM(ERP_26[[#This Row],[AP01 LE2]:[AP06 LE2]])</f>
        <v>0</v>
      </c>
      <c r="AR298" s="80"/>
      <c r="AS298" s="79">
        <f>ERP_26[[#This Row],[2026 Working Total to Budget/LE]]-ERP_26[[#This Row],[Giveback]]</f>
        <v>0</v>
      </c>
      <c r="AT298" s="81"/>
      <c r="AU298" s="375"/>
      <c r="AV298" s="375">
        <v>227</v>
      </c>
      <c r="AW298" s="375">
        <v>0</v>
      </c>
      <c r="AX298" s="375">
        <v>0</v>
      </c>
      <c r="AY298" s="375">
        <v>0</v>
      </c>
      <c r="AZ298" s="375">
        <v>0</v>
      </c>
      <c r="BA298" s="375">
        <v>0</v>
      </c>
      <c r="BB298" s="375">
        <v>0</v>
      </c>
      <c r="BC298" s="375">
        <v>0</v>
      </c>
      <c r="BD298" s="375">
        <v>0</v>
      </c>
      <c r="BE298" s="375">
        <v>0</v>
      </c>
      <c r="BF298" s="375">
        <v>0</v>
      </c>
      <c r="BG298" s="375">
        <v>227</v>
      </c>
      <c r="BH298" s="79"/>
      <c r="BI298" s="79">
        <v>227</v>
      </c>
      <c r="BJ298" s="79">
        <v>0</v>
      </c>
      <c r="BK298" s="79">
        <v>0</v>
      </c>
      <c r="BL298" s="79">
        <v>0</v>
      </c>
      <c r="BM298" s="79">
        <v>0</v>
      </c>
      <c r="BN298" s="79">
        <v>0</v>
      </c>
      <c r="BO298" s="79">
        <v>0</v>
      </c>
      <c r="BP298" s="79">
        <v>0</v>
      </c>
      <c r="BQ298" s="79">
        <v>0</v>
      </c>
      <c r="BR298" s="79">
        <v>0</v>
      </c>
      <c r="BS298" s="79">
        <v>0</v>
      </c>
      <c r="BT298" s="79">
        <v>227</v>
      </c>
    </row>
    <row r="299" spans="1:72" ht="15" customHeight="1">
      <c r="A299" s="66" t="s">
        <v>2646</v>
      </c>
      <c r="B299" s="66"/>
      <c r="C299" s="66" t="s">
        <v>931</v>
      </c>
      <c r="D299" s="66" t="s">
        <v>931</v>
      </c>
      <c r="E299" s="150" t="s">
        <v>1136</v>
      </c>
      <c r="F299" s="482" t="s">
        <v>1566</v>
      </c>
      <c r="G299" s="383" t="s">
        <v>1344</v>
      </c>
      <c r="H299" s="383" t="s">
        <v>1344</v>
      </c>
      <c r="I299" s="150" t="s">
        <v>1345</v>
      </c>
      <c r="J299" s="150" t="s">
        <v>1344</v>
      </c>
      <c r="K299" s="150" t="s">
        <v>1346</v>
      </c>
      <c r="L299" s="511" t="s">
        <v>639</v>
      </c>
      <c r="M299" s="392" t="s">
        <v>1327</v>
      </c>
      <c r="N299" s="343"/>
      <c r="O299" s="343"/>
      <c r="P299" s="70" t="s">
        <v>147</v>
      </c>
      <c r="Q299" s="346"/>
      <c r="R299" s="343"/>
      <c r="S299" s="346"/>
      <c r="T299" s="150" t="s">
        <v>25</v>
      </c>
      <c r="U299" s="150"/>
      <c r="V299" s="403"/>
      <c r="W299" s="406">
        <v>0</v>
      </c>
      <c r="X299" s="406">
        <v>44.39</v>
      </c>
      <c r="Y299" s="430"/>
      <c r="Z299" s="137"/>
      <c r="AA299" s="426">
        <v>44.95</v>
      </c>
      <c r="AB299" s="427">
        <v>-0.67</v>
      </c>
      <c r="AC299" s="427">
        <v>0.11</v>
      </c>
      <c r="AD299" s="428">
        <v>0.56000000000000005</v>
      </c>
      <c r="AE299" s="429">
        <v>-0.46</v>
      </c>
      <c r="AF299" s="429">
        <v>0.08</v>
      </c>
      <c r="AG299" s="360">
        <v>0</v>
      </c>
      <c r="AH299" s="360">
        <v>0</v>
      </c>
      <c r="AI299" s="360">
        <v>0</v>
      </c>
      <c r="AJ299" s="360">
        <v>0</v>
      </c>
      <c r="AK299" s="360">
        <v>0</v>
      </c>
      <c r="AL299" s="360">
        <v>0</v>
      </c>
      <c r="AM299" s="360">
        <f t="shared" si="10"/>
        <v>44.57</v>
      </c>
      <c r="AN299" s="362">
        <f>ERP_26[[#This Row],[2026 Working Total]]-ERP_26[[#This Row],[LE2 Final Submission]]</f>
        <v>0.17999999999999972</v>
      </c>
      <c r="AO299" s="79">
        <v>0</v>
      </c>
      <c r="AP299" s="79">
        <f t="shared" si="11"/>
        <v>0.08</v>
      </c>
      <c r="AQ299" s="374">
        <f>SUM(ERP_26[[#This Row],[AP01]:[AP06]])-SUM(ERP_26[[#This Row],[AP01 LE2]:[AP06 LE2]])</f>
        <v>0.17999999999999972</v>
      </c>
      <c r="AR299" s="80"/>
      <c r="AS299" s="79">
        <f>ERP_26[[#This Row],[2026 Working Total to Budget/LE]]-ERP_26[[#This Row],[Giveback]]</f>
        <v>0.17999999999999972</v>
      </c>
      <c r="AT299" s="81"/>
      <c r="AU299" s="375">
        <v>44.95</v>
      </c>
      <c r="AV299" s="375">
        <v>-0.67</v>
      </c>
      <c r="AW299" s="375">
        <v>0.11</v>
      </c>
      <c r="AX299" s="375">
        <v>0</v>
      </c>
      <c r="AY299" s="375">
        <v>0</v>
      </c>
      <c r="AZ299" s="375">
        <v>0</v>
      </c>
      <c r="BA299" s="375">
        <v>0</v>
      </c>
      <c r="BB299" s="375">
        <v>0</v>
      </c>
      <c r="BC299" s="375">
        <v>0</v>
      </c>
      <c r="BD299" s="375">
        <v>0</v>
      </c>
      <c r="BE299" s="375">
        <v>0</v>
      </c>
      <c r="BF299" s="375">
        <v>0</v>
      </c>
      <c r="BG299" s="375">
        <v>44.39</v>
      </c>
      <c r="BH299" s="79">
        <v>44.95</v>
      </c>
      <c r="BI299" s="79">
        <v>-0.67</v>
      </c>
      <c r="BJ299" s="79">
        <v>0.11</v>
      </c>
      <c r="BK299" s="79">
        <v>0</v>
      </c>
      <c r="BL299" s="79">
        <v>0</v>
      </c>
      <c r="BM299" s="79">
        <v>0</v>
      </c>
      <c r="BN299" s="79">
        <v>0</v>
      </c>
      <c r="BO299" s="79">
        <v>0</v>
      </c>
      <c r="BP299" s="79">
        <v>0</v>
      </c>
      <c r="BQ299" s="79">
        <v>0</v>
      </c>
      <c r="BR299" s="79">
        <v>0</v>
      </c>
      <c r="BS299" s="79">
        <v>0</v>
      </c>
      <c r="BT299" s="79">
        <v>44.39</v>
      </c>
    </row>
    <row r="300" spans="1:72" ht="15" customHeight="1">
      <c r="A300" s="66" t="s">
        <v>2833</v>
      </c>
      <c r="B300" s="66"/>
      <c r="C300" s="66" t="s">
        <v>1030</v>
      </c>
      <c r="D300" s="66" t="s">
        <v>1030</v>
      </c>
      <c r="E300" s="150" t="s">
        <v>1136</v>
      </c>
      <c r="F300" s="482" t="s">
        <v>1566</v>
      </c>
      <c r="G300" s="383" t="s">
        <v>1344</v>
      </c>
      <c r="H300" s="383" t="s">
        <v>1344</v>
      </c>
      <c r="I300" s="150" t="s">
        <v>1345</v>
      </c>
      <c r="J300" s="150" t="s">
        <v>1344</v>
      </c>
      <c r="K300" s="150" t="s">
        <v>1346</v>
      </c>
      <c r="L300" s="511" t="s">
        <v>1027</v>
      </c>
      <c r="M300" s="392" t="s">
        <v>2830</v>
      </c>
      <c r="N300" s="343"/>
      <c r="O300" s="343"/>
      <c r="P300" s="70" t="s">
        <v>1029</v>
      </c>
      <c r="Q300" s="346"/>
      <c r="R300" s="343"/>
      <c r="S300" s="346"/>
      <c r="T300" s="150" t="s">
        <v>25</v>
      </c>
      <c r="U300" s="150"/>
      <c r="V300" s="403"/>
      <c r="W300" s="406">
        <v>0</v>
      </c>
      <c r="X300" s="406">
        <v>39.089999999999996</v>
      </c>
      <c r="Y300" s="425"/>
      <c r="Z300" s="71"/>
      <c r="AA300" s="426">
        <v>-39.24</v>
      </c>
      <c r="AB300" s="427">
        <v>78.33</v>
      </c>
      <c r="AC300" s="431">
        <v>0</v>
      </c>
      <c r="AD300" s="428">
        <v>101.53</v>
      </c>
      <c r="AE300" s="429">
        <v>0</v>
      </c>
      <c r="AF300" s="429">
        <v>0</v>
      </c>
      <c r="AG300" s="360">
        <v>0</v>
      </c>
      <c r="AH300" s="360">
        <v>0</v>
      </c>
      <c r="AI300" s="360">
        <v>0</v>
      </c>
      <c r="AJ300" s="360">
        <v>0</v>
      </c>
      <c r="AK300" s="360">
        <v>0</v>
      </c>
      <c r="AL300" s="360">
        <v>0</v>
      </c>
      <c r="AM300" s="360">
        <f t="shared" si="10"/>
        <v>140.62</v>
      </c>
      <c r="AN300" s="362">
        <f>ERP_26[[#This Row],[2026 Working Total]]-ERP_26[[#This Row],[LE2 Final Submission]]</f>
        <v>101.53</v>
      </c>
      <c r="AO300" s="79">
        <v>0</v>
      </c>
      <c r="AP300" s="79">
        <f t="shared" si="11"/>
        <v>0</v>
      </c>
      <c r="AQ300" s="374">
        <f>SUM(ERP_26[[#This Row],[AP01]:[AP06]])-SUM(ERP_26[[#This Row],[AP01 LE2]:[AP06 LE2]])</f>
        <v>101.53</v>
      </c>
      <c r="AR300" s="80"/>
      <c r="AS300" s="79">
        <f>ERP_26[[#This Row],[2026 Working Total to Budget/LE]]-ERP_26[[#This Row],[Giveback]]</f>
        <v>101.53</v>
      </c>
      <c r="AT300" s="81"/>
      <c r="AU300" s="375">
        <v>-39.24</v>
      </c>
      <c r="AV300" s="375">
        <v>78.33</v>
      </c>
      <c r="AW300" s="375">
        <v>0</v>
      </c>
      <c r="AX300" s="375">
        <v>0</v>
      </c>
      <c r="AY300" s="375">
        <v>0</v>
      </c>
      <c r="AZ300" s="375">
        <v>0</v>
      </c>
      <c r="BA300" s="375">
        <v>0</v>
      </c>
      <c r="BB300" s="375">
        <v>0</v>
      </c>
      <c r="BC300" s="375">
        <v>0</v>
      </c>
      <c r="BD300" s="375">
        <v>0</v>
      </c>
      <c r="BE300" s="375">
        <v>0</v>
      </c>
      <c r="BF300" s="375">
        <v>0</v>
      </c>
      <c r="BG300" s="375">
        <v>39.089999999999996</v>
      </c>
      <c r="BH300" s="79">
        <v>-39.24</v>
      </c>
      <c r="BI300" s="79">
        <v>78.33</v>
      </c>
      <c r="BJ300" s="79">
        <v>0</v>
      </c>
      <c r="BK300" s="79">
        <v>0</v>
      </c>
      <c r="BL300" s="79">
        <v>0</v>
      </c>
      <c r="BM300" s="79">
        <v>0</v>
      </c>
      <c r="BN300" s="79">
        <v>0</v>
      </c>
      <c r="BO300" s="79">
        <v>0</v>
      </c>
      <c r="BP300" s="79">
        <v>0</v>
      </c>
      <c r="BQ300" s="79">
        <v>0</v>
      </c>
      <c r="BR300" s="79">
        <v>0</v>
      </c>
      <c r="BS300" s="79">
        <v>0</v>
      </c>
      <c r="BT300" s="79">
        <v>39.089999999999996</v>
      </c>
    </row>
    <row r="301" spans="1:72" ht="15" customHeight="1">
      <c r="A301" s="66" t="s">
        <v>2849</v>
      </c>
      <c r="B301" s="66"/>
      <c r="C301" s="66" t="s">
        <v>1041</v>
      </c>
      <c r="D301" s="66" t="s">
        <v>1041</v>
      </c>
      <c r="E301" s="150" t="s">
        <v>1136</v>
      </c>
      <c r="F301" s="482" t="s">
        <v>1566</v>
      </c>
      <c r="G301" s="383" t="s">
        <v>1344</v>
      </c>
      <c r="H301" s="383" t="s">
        <v>1344</v>
      </c>
      <c r="I301" s="150" t="s">
        <v>1345</v>
      </c>
      <c r="J301" s="150" t="s">
        <v>1344</v>
      </c>
      <c r="K301" s="150" t="s">
        <v>1346</v>
      </c>
      <c r="L301" s="511" t="s">
        <v>1037</v>
      </c>
      <c r="M301" s="392" t="s">
        <v>2846</v>
      </c>
      <c r="N301" s="343"/>
      <c r="O301" s="343"/>
      <c r="P301" s="70" t="s">
        <v>1039</v>
      </c>
      <c r="Q301" s="346"/>
      <c r="R301" s="346" t="s">
        <v>1140</v>
      </c>
      <c r="S301" s="346"/>
      <c r="T301" s="150" t="s">
        <v>1040</v>
      </c>
      <c r="U301" s="150"/>
      <c r="V301" s="403"/>
      <c r="W301" s="406">
        <v>0</v>
      </c>
      <c r="X301" s="406">
        <v>995.34</v>
      </c>
      <c r="Y301" s="425"/>
      <c r="Z301" s="71"/>
      <c r="AA301" s="426">
        <v>948.99</v>
      </c>
      <c r="AB301" s="431">
        <v>0</v>
      </c>
      <c r="AC301" s="427">
        <v>46.35</v>
      </c>
      <c r="AD301" s="428">
        <v>0</v>
      </c>
      <c r="AE301" s="429">
        <v>0</v>
      </c>
      <c r="AF301" s="429">
        <v>0</v>
      </c>
      <c r="AG301" s="360">
        <v>0</v>
      </c>
      <c r="AH301" s="360">
        <v>0</v>
      </c>
      <c r="AI301" s="360">
        <v>0</v>
      </c>
      <c r="AJ301" s="360">
        <v>0</v>
      </c>
      <c r="AK301" s="360">
        <v>0</v>
      </c>
      <c r="AL301" s="360">
        <v>0</v>
      </c>
      <c r="AM301" s="360">
        <f t="shared" si="10"/>
        <v>995.34</v>
      </c>
      <c r="AN301" s="362">
        <f>ERP_26[[#This Row],[2026 Working Total]]-ERP_26[[#This Row],[LE2 Final Submission]]</f>
        <v>0</v>
      </c>
      <c r="AO301" s="79">
        <v>0</v>
      </c>
      <c r="AP301" s="79">
        <f t="shared" si="11"/>
        <v>0</v>
      </c>
      <c r="AQ301" s="374">
        <f>SUM(ERP_26[[#This Row],[AP01]:[AP06]])-SUM(ERP_26[[#This Row],[AP01 LE2]:[AP06 LE2]])</f>
        <v>0</v>
      </c>
      <c r="AR301" s="80"/>
      <c r="AS301" s="79">
        <f>ERP_26[[#This Row],[2026 Working Total to Budget/LE]]-ERP_26[[#This Row],[Giveback]]</f>
        <v>0</v>
      </c>
      <c r="AT301" s="81"/>
      <c r="AU301" s="375">
        <v>948.99</v>
      </c>
      <c r="AV301" s="375">
        <v>0</v>
      </c>
      <c r="AW301" s="375">
        <v>46.35</v>
      </c>
      <c r="AX301" s="375">
        <v>0</v>
      </c>
      <c r="AY301" s="375">
        <v>0</v>
      </c>
      <c r="AZ301" s="375">
        <v>0</v>
      </c>
      <c r="BA301" s="375">
        <v>0</v>
      </c>
      <c r="BB301" s="375">
        <v>0</v>
      </c>
      <c r="BC301" s="375">
        <v>0</v>
      </c>
      <c r="BD301" s="375">
        <v>0</v>
      </c>
      <c r="BE301" s="375">
        <v>0</v>
      </c>
      <c r="BF301" s="375">
        <v>0</v>
      </c>
      <c r="BG301" s="375">
        <v>995.34</v>
      </c>
      <c r="BH301" s="79">
        <v>948.99</v>
      </c>
      <c r="BI301" s="79">
        <v>0</v>
      </c>
      <c r="BJ301" s="79">
        <v>46.35</v>
      </c>
      <c r="BK301" s="79">
        <v>0</v>
      </c>
      <c r="BL301" s="79">
        <v>0</v>
      </c>
      <c r="BM301" s="79">
        <v>0</v>
      </c>
      <c r="BN301" s="79">
        <v>0</v>
      </c>
      <c r="BO301" s="79">
        <v>0</v>
      </c>
      <c r="BP301" s="79">
        <v>0</v>
      </c>
      <c r="BQ301" s="79">
        <v>0</v>
      </c>
      <c r="BR301" s="79">
        <v>0</v>
      </c>
      <c r="BS301" s="79">
        <v>0</v>
      </c>
      <c r="BT301" s="79">
        <v>995.34</v>
      </c>
    </row>
    <row r="302" spans="1:72" ht="15" customHeight="1">
      <c r="A302" s="66" t="s">
        <v>2873</v>
      </c>
      <c r="B302" s="66"/>
      <c r="C302" s="66" t="s">
        <v>33</v>
      </c>
      <c r="D302" s="66" t="s">
        <v>33</v>
      </c>
      <c r="E302" s="150" t="s">
        <v>1136</v>
      </c>
      <c r="F302" s="482" t="s">
        <v>1566</v>
      </c>
      <c r="G302" s="150" t="s">
        <v>1345</v>
      </c>
      <c r="H302" s="150" t="s">
        <v>1345</v>
      </c>
      <c r="I302" s="150" t="s">
        <v>1345</v>
      </c>
      <c r="J302" s="150" t="s">
        <v>1345</v>
      </c>
      <c r="K302" s="150" t="s">
        <v>1346</v>
      </c>
      <c r="L302" s="511" t="s">
        <v>22</v>
      </c>
      <c r="M302" s="392" t="s">
        <v>2872</v>
      </c>
      <c r="N302" s="343"/>
      <c r="O302" s="343"/>
      <c r="P302" s="70" t="s">
        <v>29</v>
      </c>
      <c r="Q302" s="346" t="s">
        <v>1139</v>
      </c>
      <c r="R302" s="346" t="s">
        <v>1140</v>
      </c>
      <c r="S302" s="346"/>
      <c r="T302" s="150" t="s">
        <v>25</v>
      </c>
      <c r="U302" s="150" t="s">
        <v>2874</v>
      </c>
      <c r="V302" s="403"/>
      <c r="W302" s="406">
        <v>16484280.790000003</v>
      </c>
      <c r="X302" s="406">
        <v>21816549.886619337</v>
      </c>
      <c r="Y302" s="425"/>
      <c r="Z302" s="71"/>
      <c r="AA302" s="426">
        <v>1733430.9899999991</v>
      </c>
      <c r="AB302" s="427">
        <v>2659121.5100000012</v>
      </c>
      <c r="AC302" s="427">
        <v>1591278.1799999983</v>
      </c>
      <c r="AD302" s="428">
        <v>2358182.7000000007</v>
      </c>
      <c r="AE302" s="429">
        <v>54442.760000000351</v>
      </c>
      <c r="AF302" s="429">
        <v>1905380.4099999985</v>
      </c>
      <c r="AG302" s="363">
        <v>1785306.7237904386</v>
      </c>
      <c r="AH302" s="363">
        <v>1781851.6968221199</v>
      </c>
      <c r="AI302" s="363">
        <v>1807055.77390462</v>
      </c>
      <c r="AJ302" s="363">
        <v>1862531.492714915</v>
      </c>
      <c r="AK302" s="363">
        <v>1871209.9824649149</v>
      </c>
      <c r="AL302" s="363">
        <v>1871209.9824649149</v>
      </c>
      <c r="AM302" s="360">
        <f t="shared" si="10"/>
        <v>21281002.202161916</v>
      </c>
      <c r="AN302" s="362">
        <f>ERP_26[[#This Row],[2026 Working Total]]-ERP_26[[#This Row],[LE2 Final Submission]]</f>
        <v>-535547.6844574213</v>
      </c>
      <c r="AO302" s="79">
        <v>657407.65222870966</v>
      </c>
      <c r="AP302" s="79">
        <f t="shared" si="11"/>
        <v>1247972.757771289</v>
      </c>
      <c r="AQ302" s="374">
        <f>SUM(ERP_26[[#This Row],[AP01]:[AP06]])-SUM(ERP_26[[#This Row],[AP01 LE2]:[AP06 LE2]])</f>
        <v>-535547.68445741944</v>
      </c>
      <c r="AR302" s="80"/>
      <c r="AS302" s="79">
        <f>ERP_26[[#This Row],[2026 Working Total to Budget/LE]]-ERP_26[[#This Row],[Giveback]]</f>
        <v>-535547.6844574213</v>
      </c>
      <c r="AT302" s="81"/>
      <c r="AU302" s="375">
        <v>1733430.9899999991</v>
      </c>
      <c r="AV302" s="375">
        <v>2659121.5100000012</v>
      </c>
      <c r="AW302" s="375">
        <v>1591278.1799999983</v>
      </c>
      <c r="AX302" s="375">
        <v>2405320.04</v>
      </c>
      <c r="AY302" s="375">
        <v>657407.65222870966</v>
      </c>
      <c r="AZ302" s="375">
        <v>1790825.862228709</v>
      </c>
      <c r="BA302" s="375">
        <v>1785306.7237904386</v>
      </c>
      <c r="BB302" s="375">
        <v>1781851.6968221199</v>
      </c>
      <c r="BC302" s="375">
        <v>1807055.77390462</v>
      </c>
      <c r="BD302" s="375">
        <v>1862531.492714915</v>
      </c>
      <c r="BE302" s="375">
        <v>1871209.9824649149</v>
      </c>
      <c r="BF302" s="375">
        <v>1871209.9824649149</v>
      </c>
      <c r="BG302" s="375">
        <v>21816549.886619337</v>
      </c>
      <c r="BH302" s="79">
        <v>1086387.3400000001</v>
      </c>
      <c r="BI302" s="79">
        <v>1551142.73</v>
      </c>
      <c r="BJ302" s="79">
        <v>857806.14</v>
      </c>
      <c r="BK302" s="79">
        <v>1328752.27</v>
      </c>
      <c r="BL302" s="79">
        <v>1328097.83</v>
      </c>
      <c r="BM302" s="79">
        <v>1371182.86</v>
      </c>
      <c r="BN302" s="79">
        <v>1392643.5</v>
      </c>
      <c r="BO302" s="79">
        <v>1403661.35</v>
      </c>
      <c r="BP302" s="79">
        <v>1403661.35</v>
      </c>
      <c r="BQ302" s="79">
        <v>1403661.35</v>
      </c>
      <c r="BR302" s="79">
        <v>1409426</v>
      </c>
      <c r="BS302" s="79">
        <v>1409426</v>
      </c>
      <c r="BT302" s="79">
        <v>15945848.720000001</v>
      </c>
    </row>
    <row r="303" spans="1:72" ht="15" customHeight="1">
      <c r="A303" s="79" t="s">
        <v>1431</v>
      </c>
      <c r="B303" s="79"/>
      <c r="C303" s="79" t="s">
        <v>197</v>
      </c>
      <c r="D303" s="296" t="s">
        <v>197</v>
      </c>
      <c r="E303" s="150" t="s">
        <v>1136</v>
      </c>
      <c r="F303" s="482" t="s">
        <v>1566</v>
      </c>
      <c r="G303" s="150" t="s">
        <v>1345</v>
      </c>
      <c r="H303" s="150" t="s">
        <v>1345</v>
      </c>
      <c r="I303" s="332" t="s">
        <v>1345</v>
      </c>
      <c r="J303" s="383" t="s">
        <v>1345</v>
      </c>
      <c r="K303" s="331" t="s">
        <v>1346</v>
      </c>
      <c r="L303" s="512" t="s">
        <v>49</v>
      </c>
      <c r="M303" s="393" t="s">
        <v>1138</v>
      </c>
      <c r="N303" s="343"/>
      <c r="O303" s="331"/>
      <c r="P303" s="91" t="s">
        <v>51</v>
      </c>
      <c r="Q303" s="346" t="s">
        <v>1139</v>
      </c>
      <c r="R303" s="346" t="s">
        <v>1140</v>
      </c>
      <c r="S303" s="348"/>
      <c r="T303" s="386" t="s">
        <v>25</v>
      </c>
      <c r="U303" s="387" t="s">
        <v>1348</v>
      </c>
      <c r="V303" s="432"/>
      <c r="W303" s="358">
        <v>437.38</v>
      </c>
      <c r="X303" s="378">
        <v>0</v>
      </c>
      <c r="Y303" s="430"/>
      <c r="Z303" s="137"/>
      <c r="AA303" s="433"/>
      <c r="AB303" s="434"/>
      <c r="AC303" s="434"/>
      <c r="AD303" s="428" t="s">
        <v>1142</v>
      </c>
      <c r="AE303" s="429">
        <v>0</v>
      </c>
      <c r="AF303" s="429">
        <v>0</v>
      </c>
      <c r="AG303" s="388">
        <v>0</v>
      </c>
      <c r="AH303" s="388">
        <v>0</v>
      </c>
      <c r="AI303" s="388">
        <v>0</v>
      </c>
      <c r="AJ303" s="388">
        <v>0</v>
      </c>
      <c r="AK303" s="388">
        <v>0</v>
      </c>
      <c r="AL303" s="388">
        <v>0</v>
      </c>
      <c r="AM303" s="360">
        <f t="shared" si="10"/>
        <v>0</v>
      </c>
      <c r="AN303" s="362">
        <f>ERP_26[[#This Row],[2026 Working Total]]-ERP_26[[#This Row],[LE2 Final Submission]]</f>
        <v>0</v>
      </c>
      <c r="AO303" s="79">
        <v>0</v>
      </c>
      <c r="AP303" s="79">
        <f t="shared" si="11"/>
        <v>0</v>
      </c>
      <c r="AQ303" s="374">
        <f>SUM(ERP_26[[#This Row],[AP01]:[AP06]])-SUM(ERP_26[[#This Row],[AP01 LE2]:[AP06 LE2]])</f>
        <v>0</v>
      </c>
      <c r="AR303" s="80"/>
      <c r="AS303" s="79">
        <f>ERP_26[[#This Row],[2026 Working Total to Budget/LE]]-ERP_26[[#This Row],[Giveback]]</f>
        <v>0</v>
      </c>
      <c r="AT303" s="81"/>
      <c r="AU303" s="375"/>
      <c r="AV303" s="375"/>
      <c r="AW303" s="375"/>
      <c r="AX303" s="375">
        <v>0</v>
      </c>
      <c r="AY303" s="375">
        <v>0</v>
      </c>
      <c r="AZ303" s="375">
        <v>0</v>
      </c>
      <c r="BA303" s="375">
        <v>0</v>
      </c>
      <c r="BB303" s="375">
        <v>0</v>
      </c>
      <c r="BC303" s="375">
        <v>0</v>
      </c>
      <c r="BD303" s="375">
        <v>0</v>
      </c>
      <c r="BE303" s="375">
        <v>0</v>
      </c>
      <c r="BF303" s="375">
        <v>0</v>
      </c>
      <c r="BG303" s="375">
        <v>0</v>
      </c>
      <c r="BH303" s="103">
        <v>0</v>
      </c>
      <c r="BI303" s="103">
        <v>437.38</v>
      </c>
      <c r="BJ303" s="103">
        <v>0</v>
      </c>
      <c r="BK303" s="103">
        <v>0</v>
      </c>
      <c r="BL303" s="103">
        <v>0</v>
      </c>
      <c r="BM303" s="103">
        <v>0</v>
      </c>
      <c r="BN303" s="103">
        <v>0</v>
      </c>
      <c r="BO303" s="103">
        <v>0</v>
      </c>
      <c r="BP303" s="103">
        <v>0</v>
      </c>
      <c r="BQ303" s="103">
        <v>0</v>
      </c>
      <c r="BR303" s="103">
        <v>0</v>
      </c>
      <c r="BS303" s="103">
        <v>0</v>
      </c>
      <c r="BT303" s="79">
        <f>SUM(ERP_26[[#This Row],[2026 AP01]:[2026 AP12]])</f>
        <v>437.38</v>
      </c>
    </row>
    <row r="304" spans="1:72" ht="15" customHeight="1">
      <c r="A304" s="66" t="s">
        <v>1432</v>
      </c>
      <c r="B304" s="66"/>
      <c r="C304" s="66" t="s">
        <v>198</v>
      </c>
      <c r="D304" s="66" t="s">
        <v>198</v>
      </c>
      <c r="E304" s="150" t="s">
        <v>1136</v>
      </c>
      <c r="F304" s="482" t="s">
        <v>1566</v>
      </c>
      <c r="G304" s="150" t="s">
        <v>1345</v>
      </c>
      <c r="H304" s="150" t="s">
        <v>1345</v>
      </c>
      <c r="I304" s="150" t="s">
        <v>1345</v>
      </c>
      <c r="J304" s="150" t="s">
        <v>1345</v>
      </c>
      <c r="K304" s="150" t="s">
        <v>1346</v>
      </c>
      <c r="L304" s="511" t="s">
        <v>49</v>
      </c>
      <c r="M304" s="392" t="s">
        <v>1147</v>
      </c>
      <c r="N304" s="343"/>
      <c r="O304" s="343"/>
      <c r="P304" s="70" t="s">
        <v>53</v>
      </c>
      <c r="Q304" s="346" t="s">
        <v>1153</v>
      </c>
      <c r="R304" s="343"/>
      <c r="S304" s="346"/>
      <c r="T304" s="150" t="s">
        <v>25</v>
      </c>
      <c r="U304" s="150" t="s">
        <v>1434</v>
      </c>
      <c r="V304" s="403"/>
      <c r="W304" s="406">
        <v>0</v>
      </c>
      <c r="X304" s="406">
        <v>0</v>
      </c>
      <c r="Y304" s="425"/>
      <c r="Z304" s="71"/>
      <c r="AA304" s="426">
        <v>579568</v>
      </c>
      <c r="AB304" s="427">
        <v>-598991</v>
      </c>
      <c r="AC304" s="427">
        <v>-317436</v>
      </c>
      <c r="AD304" s="428">
        <v>577046</v>
      </c>
      <c r="AE304" s="429">
        <v>-397395</v>
      </c>
      <c r="AF304" s="429">
        <v>179883.00000000012</v>
      </c>
      <c r="AG304" s="360"/>
      <c r="AH304" s="360"/>
      <c r="AI304" s="360"/>
      <c r="AJ304" s="360"/>
      <c r="AK304" s="360"/>
      <c r="AL304" s="360"/>
      <c r="AM304" s="360">
        <f t="shared" si="10"/>
        <v>22675.000000000116</v>
      </c>
      <c r="AN304" s="362">
        <f>ERP_26[[#This Row],[2026 Working Total]]-ERP_26[[#This Row],[LE2 Final Submission]]</f>
        <v>22675.000000000116</v>
      </c>
      <c r="AO304" s="79">
        <v>110000</v>
      </c>
      <c r="AP304" s="79">
        <f t="shared" si="11"/>
        <v>69883.000000000116</v>
      </c>
      <c r="AQ304" s="374">
        <f>SUM(ERP_26[[#This Row],[AP01]:[AP06]])-SUM(ERP_26[[#This Row],[AP01 LE2]:[AP06 LE2]])</f>
        <v>22675.000000000116</v>
      </c>
      <c r="AR304" s="80"/>
      <c r="AS304" s="79">
        <f>ERP_26[[#This Row],[2026 Working Total to Budget/LE]]-ERP_26[[#This Row],[Giveback]]</f>
        <v>22675.000000000116</v>
      </c>
      <c r="AT304" s="81"/>
      <c r="AU304" s="375">
        <v>579568</v>
      </c>
      <c r="AV304" s="375">
        <v>-598991</v>
      </c>
      <c r="AW304" s="375">
        <v>-317436</v>
      </c>
      <c r="AX304" s="375">
        <v>110000</v>
      </c>
      <c r="AY304" s="375">
        <v>110000</v>
      </c>
      <c r="AZ304" s="375">
        <v>116859</v>
      </c>
      <c r="BA304" s="375"/>
      <c r="BB304" s="375"/>
      <c r="BC304" s="375"/>
      <c r="BD304" s="375"/>
      <c r="BE304" s="375"/>
      <c r="BF304" s="375"/>
      <c r="BG304" s="375">
        <v>0</v>
      </c>
      <c r="BH304" s="79">
        <v>579568</v>
      </c>
      <c r="BI304" s="79">
        <v>-598991</v>
      </c>
      <c r="BJ304" s="79">
        <v>-317436</v>
      </c>
      <c r="BK304" s="79">
        <v>0</v>
      </c>
      <c r="BL304" s="79">
        <v>0</v>
      </c>
      <c r="BM304" s="79">
        <v>0</v>
      </c>
      <c r="BN304" s="79">
        <v>0</v>
      </c>
      <c r="BO304" s="79">
        <v>0</v>
      </c>
      <c r="BP304" s="79">
        <v>0</v>
      </c>
      <c r="BQ304" s="79">
        <v>0</v>
      </c>
      <c r="BR304" s="79">
        <v>0</v>
      </c>
      <c r="BS304" s="79">
        <v>0</v>
      </c>
      <c r="BT304" s="79">
        <v>-336859</v>
      </c>
    </row>
    <row r="305" spans="1:72" ht="15" customHeight="1">
      <c r="A305" s="66" t="s">
        <v>1435</v>
      </c>
      <c r="B305" s="66"/>
      <c r="C305" s="66" t="s">
        <v>199</v>
      </c>
      <c r="D305" s="66" t="s">
        <v>1436</v>
      </c>
      <c r="E305" s="150" t="s">
        <v>1136</v>
      </c>
      <c r="F305" s="482" t="s">
        <v>1566</v>
      </c>
      <c r="G305" s="150" t="s">
        <v>1345</v>
      </c>
      <c r="H305" s="150" t="s">
        <v>1437</v>
      </c>
      <c r="I305" s="150" t="s">
        <v>1345</v>
      </c>
      <c r="J305" s="150" t="s">
        <v>1437</v>
      </c>
      <c r="K305" s="150" t="s">
        <v>1346</v>
      </c>
      <c r="L305" s="511" t="s">
        <v>49</v>
      </c>
      <c r="M305" s="392" t="s">
        <v>1174</v>
      </c>
      <c r="N305" s="343"/>
      <c r="O305" s="343"/>
      <c r="P305" s="70" t="s">
        <v>56</v>
      </c>
      <c r="Q305" s="346"/>
      <c r="R305" s="346" t="s">
        <v>1140</v>
      </c>
      <c r="S305" s="346"/>
      <c r="T305" s="150" t="s">
        <v>57</v>
      </c>
      <c r="U305" s="150"/>
      <c r="V305" s="403"/>
      <c r="W305" s="406">
        <v>24000</v>
      </c>
      <c r="X305" s="406">
        <v>18457.8</v>
      </c>
      <c r="Y305" s="425"/>
      <c r="Z305" s="71"/>
      <c r="AA305" s="426">
        <v>366.24</v>
      </c>
      <c r="AB305" s="431">
        <v>0</v>
      </c>
      <c r="AC305" s="427">
        <v>91.56</v>
      </c>
      <c r="AD305" s="428">
        <v>0</v>
      </c>
      <c r="AE305" s="429">
        <v>0</v>
      </c>
      <c r="AF305" s="429">
        <v>0</v>
      </c>
      <c r="AG305" s="363">
        <v>2000</v>
      </c>
      <c r="AH305" s="363">
        <v>2000</v>
      </c>
      <c r="AI305" s="363">
        <v>2000</v>
      </c>
      <c r="AJ305" s="363">
        <v>2000</v>
      </c>
      <c r="AK305" s="363">
        <v>2000</v>
      </c>
      <c r="AL305" s="363">
        <v>2000</v>
      </c>
      <c r="AM305" s="360">
        <f t="shared" si="10"/>
        <v>12457.8</v>
      </c>
      <c r="AN305" s="362">
        <f>ERP_26[[#This Row],[2026 Working Total]]-ERP_26[[#This Row],[LE2 Final Submission]]</f>
        <v>-6000</v>
      </c>
      <c r="AO305" s="79">
        <v>2000</v>
      </c>
      <c r="AP305" s="79">
        <f t="shared" si="11"/>
        <v>-2000</v>
      </c>
      <c r="AQ305" s="374">
        <f>SUM(ERP_26[[#This Row],[AP01]:[AP06]])-SUM(ERP_26[[#This Row],[AP01 LE2]:[AP06 LE2]])</f>
        <v>-6000</v>
      </c>
      <c r="AR305" s="80"/>
      <c r="AS305" s="79">
        <f>ERP_26[[#This Row],[2026 Working Total to Budget/LE]]-ERP_26[[#This Row],[Giveback]]</f>
        <v>-6000</v>
      </c>
      <c r="AT305" s="81"/>
      <c r="AU305" s="375">
        <v>366.24</v>
      </c>
      <c r="AV305" s="375">
        <v>0</v>
      </c>
      <c r="AW305" s="375">
        <v>91.56</v>
      </c>
      <c r="AX305" s="375">
        <v>2000</v>
      </c>
      <c r="AY305" s="375">
        <v>2000</v>
      </c>
      <c r="AZ305" s="375">
        <v>2000</v>
      </c>
      <c r="BA305" s="375">
        <v>2000</v>
      </c>
      <c r="BB305" s="375">
        <v>2000</v>
      </c>
      <c r="BC305" s="375">
        <v>2000</v>
      </c>
      <c r="BD305" s="375">
        <v>2000</v>
      </c>
      <c r="BE305" s="375">
        <v>2000</v>
      </c>
      <c r="BF305" s="375">
        <v>2000</v>
      </c>
      <c r="BG305" s="375">
        <v>18457.8</v>
      </c>
      <c r="BH305" s="79">
        <v>366.24</v>
      </c>
      <c r="BI305" s="79">
        <v>0</v>
      </c>
      <c r="BJ305" s="79">
        <v>91.56</v>
      </c>
      <c r="BK305" s="79">
        <v>2000</v>
      </c>
      <c r="BL305" s="79">
        <v>2000</v>
      </c>
      <c r="BM305" s="79">
        <v>2000</v>
      </c>
      <c r="BN305" s="79">
        <v>2000</v>
      </c>
      <c r="BO305" s="79">
        <v>2000</v>
      </c>
      <c r="BP305" s="79">
        <v>2000</v>
      </c>
      <c r="BQ305" s="79">
        <v>2000</v>
      </c>
      <c r="BR305" s="79">
        <v>2000</v>
      </c>
      <c r="BS305" s="79">
        <v>2000</v>
      </c>
      <c r="BT305" s="79">
        <v>18457.8</v>
      </c>
    </row>
    <row r="306" spans="1:72" ht="15" customHeight="1">
      <c r="A306" s="150" t="s">
        <v>1439</v>
      </c>
      <c r="B306" s="150"/>
      <c r="C306" s="536" t="s">
        <v>200</v>
      </c>
      <c r="D306" s="296" t="s">
        <v>200</v>
      </c>
      <c r="E306" s="150" t="s">
        <v>1136</v>
      </c>
      <c r="F306" s="482" t="s">
        <v>1566</v>
      </c>
      <c r="G306" s="150" t="s">
        <v>1345</v>
      </c>
      <c r="H306" s="150" t="s">
        <v>1345</v>
      </c>
      <c r="I306" s="150" t="s">
        <v>1345</v>
      </c>
      <c r="J306" s="150" t="s">
        <v>1345</v>
      </c>
      <c r="K306" s="150" t="s">
        <v>1345</v>
      </c>
      <c r="L306" s="514" t="s">
        <v>49</v>
      </c>
      <c r="M306" s="394" t="s">
        <v>1440</v>
      </c>
      <c r="N306" s="333"/>
      <c r="O306" s="332" t="s">
        <v>1441</v>
      </c>
      <c r="P306" s="90" t="s">
        <v>201</v>
      </c>
      <c r="Q306" s="347"/>
      <c r="R306" s="348" t="s">
        <v>1442</v>
      </c>
      <c r="S306" s="348"/>
      <c r="T306" s="348"/>
      <c r="U306" s="503" t="s">
        <v>2911</v>
      </c>
      <c r="V306" s="402"/>
      <c r="W306" s="406"/>
      <c r="X306" s="406"/>
      <c r="Y306" s="425"/>
      <c r="Z306" s="71"/>
      <c r="AA306" s="435"/>
      <c r="AB306" s="436"/>
      <c r="AC306" s="436"/>
      <c r="AD306" s="429"/>
      <c r="AE306" s="429">
        <v>50000</v>
      </c>
      <c r="AF306" s="429">
        <v>0</v>
      </c>
      <c r="AG306" s="364"/>
      <c r="AH306" s="364">
        <v>50000</v>
      </c>
      <c r="AI306" s="364"/>
      <c r="AJ306" s="364">
        <v>50000</v>
      </c>
      <c r="AK306" s="364"/>
      <c r="AL306" s="364"/>
      <c r="AM306" s="360">
        <f t="shared" si="10"/>
        <v>150000</v>
      </c>
      <c r="AN306" s="362">
        <f>ERP_26[[#This Row],[2026 Working Total]]-ERP_26[[#This Row],[LE2 Final Submission]]</f>
        <v>150000</v>
      </c>
      <c r="AO306" s="79"/>
      <c r="AP306" s="79">
        <f t="shared" si="11"/>
        <v>0</v>
      </c>
      <c r="AQ306" s="374">
        <f>SUM(ERP_26[[#This Row],[AP01]:[AP06]])-SUM(ERP_26[[#This Row],[AP01 LE2]:[AP06 LE2]])</f>
        <v>50000</v>
      </c>
      <c r="AR306" s="80"/>
      <c r="AS306" s="79">
        <f>ERP_26[[#This Row],[2026 Working Total to Budget/LE]]-ERP_26[[#This Row],[Giveback]]</f>
        <v>150000</v>
      </c>
      <c r="AT306" s="81"/>
      <c r="AU306" s="375"/>
      <c r="AV306" s="375"/>
      <c r="AW306" s="375"/>
      <c r="AX306" s="375"/>
      <c r="AY306" s="375"/>
      <c r="AZ306" s="375"/>
      <c r="BA306" s="375"/>
      <c r="BB306" s="375"/>
      <c r="BC306" s="375"/>
      <c r="BD306" s="375"/>
      <c r="BE306" s="375"/>
      <c r="BF306" s="375"/>
      <c r="BG306" s="375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</row>
    <row r="307" spans="1:72" ht="15" customHeight="1">
      <c r="A307" s="66" t="s">
        <v>1447</v>
      </c>
      <c r="B307" s="66"/>
      <c r="C307" s="66" t="s">
        <v>203</v>
      </c>
      <c r="D307" s="66" t="s">
        <v>1448</v>
      </c>
      <c r="E307" s="150" t="s">
        <v>1136</v>
      </c>
      <c r="F307" s="482" t="s">
        <v>1566</v>
      </c>
      <c r="G307" s="150" t="s">
        <v>1345</v>
      </c>
      <c r="H307" s="150" t="s">
        <v>1437</v>
      </c>
      <c r="I307" s="150" t="s">
        <v>1345</v>
      </c>
      <c r="J307" s="150" t="s">
        <v>1437</v>
      </c>
      <c r="K307" s="150" t="s">
        <v>1346</v>
      </c>
      <c r="L307" s="511" t="s">
        <v>49</v>
      </c>
      <c r="M307" s="392" t="s">
        <v>1340</v>
      </c>
      <c r="N307" s="343"/>
      <c r="O307" s="343"/>
      <c r="P307" s="70" t="s">
        <v>149</v>
      </c>
      <c r="Q307" s="346" t="s">
        <v>1139</v>
      </c>
      <c r="R307" s="343"/>
      <c r="S307" s="346"/>
      <c r="T307" s="150" t="s">
        <v>25</v>
      </c>
      <c r="U307" s="150"/>
      <c r="V307" s="403"/>
      <c r="W307" s="406">
        <v>0</v>
      </c>
      <c r="X307" s="406">
        <v>-4133.1400000000003</v>
      </c>
      <c r="Y307" s="425"/>
      <c r="Z307" s="71"/>
      <c r="AA307" s="426">
        <v>-4133.1400000000003</v>
      </c>
      <c r="AB307" s="431">
        <v>0</v>
      </c>
      <c r="AC307" s="431">
        <v>0</v>
      </c>
      <c r="AD307" s="428">
        <v>0</v>
      </c>
      <c r="AE307" s="429">
        <v>0</v>
      </c>
      <c r="AF307" s="429">
        <v>0</v>
      </c>
      <c r="AG307" s="360">
        <v>0</v>
      </c>
      <c r="AH307" s="360">
        <v>0</v>
      </c>
      <c r="AI307" s="360">
        <v>0</v>
      </c>
      <c r="AJ307" s="360">
        <v>0</v>
      </c>
      <c r="AK307" s="360">
        <v>0</v>
      </c>
      <c r="AL307" s="360">
        <v>0</v>
      </c>
      <c r="AM307" s="360">
        <f t="shared" si="10"/>
        <v>-4133.1400000000003</v>
      </c>
      <c r="AN307" s="362">
        <f>ERP_26[[#This Row],[2026 Working Total]]-ERP_26[[#This Row],[LE2 Final Submission]]</f>
        <v>0</v>
      </c>
      <c r="AO307" s="79">
        <v>0</v>
      </c>
      <c r="AP307" s="79">
        <f t="shared" si="11"/>
        <v>0</v>
      </c>
      <c r="AQ307" s="374">
        <f>SUM(ERP_26[[#This Row],[AP01]:[AP06]])-SUM(ERP_26[[#This Row],[AP01 LE2]:[AP06 LE2]])</f>
        <v>0</v>
      </c>
      <c r="AR307" s="80"/>
      <c r="AS307" s="79">
        <f>ERP_26[[#This Row],[2026 Working Total to Budget/LE]]-ERP_26[[#This Row],[Giveback]]</f>
        <v>0</v>
      </c>
      <c r="AT307" s="81"/>
      <c r="AU307" s="375">
        <v>-4133.1400000000003</v>
      </c>
      <c r="AV307" s="375">
        <v>0</v>
      </c>
      <c r="AW307" s="375">
        <v>0</v>
      </c>
      <c r="AX307" s="375">
        <v>0</v>
      </c>
      <c r="AY307" s="375">
        <v>0</v>
      </c>
      <c r="AZ307" s="375">
        <v>0</v>
      </c>
      <c r="BA307" s="375">
        <v>0</v>
      </c>
      <c r="BB307" s="375">
        <v>0</v>
      </c>
      <c r="BC307" s="375">
        <v>0</v>
      </c>
      <c r="BD307" s="375">
        <v>0</v>
      </c>
      <c r="BE307" s="375">
        <v>0</v>
      </c>
      <c r="BF307" s="375">
        <v>0</v>
      </c>
      <c r="BG307" s="375">
        <v>-4133.1400000000003</v>
      </c>
      <c r="BH307" s="79">
        <v>-4133.1400000000003</v>
      </c>
      <c r="BI307" s="79">
        <v>0</v>
      </c>
      <c r="BJ307" s="79">
        <v>0</v>
      </c>
      <c r="BK307" s="79">
        <v>0</v>
      </c>
      <c r="BL307" s="79">
        <v>0</v>
      </c>
      <c r="BM307" s="79">
        <v>0</v>
      </c>
      <c r="BN307" s="79">
        <v>0</v>
      </c>
      <c r="BO307" s="79">
        <v>0</v>
      </c>
      <c r="BP307" s="79">
        <v>0</v>
      </c>
      <c r="BQ307" s="79">
        <v>0</v>
      </c>
      <c r="BR307" s="79">
        <v>0</v>
      </c>
      <c r="BS307" s="79">
        <v>0</v>
      </c>
      <c r="BT307" s="79">
        <v>-4133.1400000000003</v>
      </c>
    </row>
    <row r="308" spans="1:72" ht="15" customHeight="1">
      <c r="A308" s="66" t="s">
        <v>1989</v>
      </c>
      <c r="B308" s="66"/>
      <c r="C308" s="66" t="s">
        <v>515</v>
      </c>
      <c r="D308" s="66" t="s">
        <v>1990</v>
      </c>
      <c r="E308" s="150" t="s">
        <v>1136</v>
      </c>
      <c r="F308" s="482" t="s">
        <v>1566</v>
      </c>
      <c r="G308" s="150" t="s">
        <v>1345</v>
      </c>
      <c r="H308" s="150" t="s">
        <v>1437</v>
      </c>
      <c r="I308" s="150" t="s">
        <v>1345</v>
      </c>
      <c r="J308" s="150" t="s">
        <v>1437</v>
      </c>
      <c r="K308" s="150" t="s">
        <v>1346</v>
      </c>
      <c r="L308" s="511" t="s">
        <v>389</v>
      </c>
      <c r="M308" s="392" t="s">
        <v>1991</v>
      </c>
      <c r="N308" s="343"/>
      <c r="O308" s="343"/>
      <c r="P308" s="70" t="s">
        <v>516</v>
      </c>
      <c r="Q308" s="346"/>
      <c r="R308" s="343"/>
      <c r="S308" s="346"/>
      <c r="T308" s="150" t="s">
        <v>152</v>
      </c>
      <c r="U308" s="150" t="s">
        <v>1992</v>
      </c>
      <c r="V308" s="403"/>
      <c r="W308" s="406">
        <v>86119.999999999985</v>
      </c>
      <c r="X308" s="406"/>
      <c r="Y308" s="425"/>
      <c r="Z308" s="425"/>
      <c r="AA308" s="426"/>
      <c r="AB308" s="427"/>
      <c r="AC308" s="427"/>
      <c r="AD308" s="428" t="s">
        <v>1142</v>
      </c>
      <c r="AE308" s="429">
        <v>0</v>
      </c>
      <c r="AF308" s="429">
        <v>0</v>
      </c>
      <c r="AG308" s="363"/>
      <c r="AH308" s="363"/>
      <c r="AI308" s="363"/>
      <c r="AJ308" s="363"/>
      <c r="AK308" s="363"/>
      <c r="AL308" s="363"/>
      <c r="AM308" s="360"/>
      <c r="AN308" s="362">
        <f>ERP_26[[#This Row],[2026 Working Total]]-ERP_26[[#This Row],[LE2 Final Submission]]</f>
        <v>0</v>
      </c>
      <c r="AO308" s="79">
        <v>6250</v>
      </c>
      <c r="AP308" s="79">
        <f t="shared" si="11"/>
        <v>-6250</v>
      </c>
      <c r="AQ308" s="374">
        <f>SUM(ERP_26[[#This Row],[AP01]:[AP06]])-SUM(ERP_26[[#This Row],[AP01 LE2]:[AP06 LE2]])</f>
        <v>0</v>
      </c>
      <c r="AR308" s="80"/>
      <c r="AS308" s="79">
        <f>ERP_26[[#This Row],[2026 Working Total to Budget/LE]]-ERP_26[[#This Row],[Giveback]]</f>
        <v>0</v>
      </c>
      <c r="AT308" s="81" t="s">
        <v>1993</v>
      </c>
      <c r="AU308" s="375"/>
      <c r="AV308" s="375"/>
      <c r="AW308" s="375"/>
      <c r="AX308" s="375"/>
      <c r="AY308" s="375"/>
      <c r="AZ308" s="375"/>
      <c r="BA308" s="375"/>
      <c r="BB308" s="375"/>
      <c r="BC308" s="375"/>
      <c r="BD308" s="375"/>
      <c r="BE308" s="375"/>
      <c r="BF308" s="375"/>
      <c r="BG308" s="375"/>
      <c r="BH308" s="79"/>
      <c r="BI308" s="79"/>
      <c r="BJ308" s="79"/>
      <c r="BK308" s="79">
        <v>8612</v>
      </c>
      <c r="BL308" s="79">
        <v>8612</v>
      </c>
      <c r="BM308" s="79">
        <v>8612</v>
      </c>
      <c r="BN308" s="79">
        <v>8612</v>
      </c>
      <c r="BO308" s="79">
        <v>8612</v>
      </c>
      <c r="BP308" s="79">
        <v>8612</v>
      </c>
      <c r="BQ308" s="79">
        <v>8612</v>
      </c>
      <c r="BR308" s="79">
        <v>8612</v>
      </c>
      <c r="BS308" s="79">
        <v>8612</v>
      </c>
      <c r="BT308" s="79">
        <v>77508</v>
      </c>
    </row>
    <row r="309" spans="1:72" ht="15" customHeight="1">
      <c r="A309" s="66" t="s">
        <v>1994</v>
      </c>
      <c r="B309" s="66"/>
      <c r="C309" s="66" t="s">
        <v>517</v>
      </c>
      <c r="D309" s="66" t="s">
        <v>1995</v>
      </c>
      <c r="E309" s="150" t="s">
        <v>1136</v>
      </c>
      <c r="F309" s="482" t="s">
        <v>1566</v>
      </c>
      <c r="G309" s="150" t="s">
        <v>1345</v>
      </c>
      <c r="H309" s="150" t="s">
        <v>1437</v>
      </c>
      <c r="I309" s="150" t="s">
        <v>1345</v>
      </c>
      <c r="J309" s="150" t="s">
        <v>1437</v>
      </c>
      <c r="K309" s="150" t="s">
        <v>1346</v>
      </c>
      <c r="L309" s="511" t="s">
        <v>389</v>
      </c>
      <c r="M309" s="392" t="s">
        <v>1996</v>
      </c>
      <c r="N309" s="343"/>
      <c r="O309" s="343"/>
      <c r="P309" s="70" t="s">
        <v>518</v>
      </c>
      <c r="Q309" s="346"/>
      <c r="R309" s="343"/>
      <c r="S309" s="346"/>
      <c r="T309" s="150" t="s">
        <v>152</v>
      </c>
      <c r="U309" s="150" t="s">
        <v>1997</v>
      </c>
      <c r="V309" s="403"/>
      <c r="W309" s="406">
        <v>100000.00000000001</v>
      </c>
      <c r="X309" s="406">
        <v>60000</v>
      </c>
      <c r="Y309" s="425"/>
      <c r="Z309" s="425"/>
      <c r="AA309" s="426"/>
      <c r="AB309" s="427"/>
      <c r="AC309" s="427"/>
      <c r="AD309" s="428" t="s">
        <v>1142</v>
      </c>
      <c r="AE309" s="429">
        <v>0</v>
      </c>
      <c r="AF309" s="429">
        <v>0</v>
      </c>
      <c r="AG309" s="363">
        <v>10000</v>
      </c>
      <c r="AH309" s="363">
        <v>10000</v>
      </c>
      <c r="AI309" s="363">
        <v>10000</v>
      </c>
      <c r="AJ309" s="363">
        <v>10000</v>
      </c>
      <c r="AK309" s="363">
        <v>10000</v>
      </c>
      <c r="AL309" s="363">
        <v>10000</v>
      </c>
      <c r="AM309" s="360">
        <f t="shared" ref="AM309:AM372" si="12">SUM(AA309:AL309)</f>
        <v>60000</v>
      </c>
      <c r="AN309" s="362">
        <f>ERP_26[[#This Row],[2026 Working Total]]-ERP_26[[#This Row],[LE2 Final Submission]]</f>
        <v>0</v>
      </c>
      <c r="AO309" s="79">
        <v>0</v>
      </c>
      <c r="AP309" s="79">
        <f t="shared" si="11"/>
        <v>0</v>
      </c>
      <c r="AQ309" s="374">
        <f>SUM(ERP_26[[#This Row],[AP01]:[AP06]])-SUM(ERP_26[[#This Row],[AP01 LE2]:[AP06 LE2]])</f>
        <v>0</v>
      </c>
      <c r="AR309" s="80"/>
      <c r="AS309" s="79">
        <f>ERP_26[[#This Row],[2026 Working Total to Budget/LE]]-ERP_26[[#This Row],[Giveback]]</f>
        <v>0</v>
      </c>
      <c r="AT309" s="81" t="s">
        <v>1998</v>
      </c>
      <c r="AU309" s="375"/>
      <c r="AV309" s="375"/>
      <c r="AW309" s="375"/>
      <c r="AX309" s="375"/>
      <c r="AY309" s="375"/>
      <c r="AZ309" s="375"/>
      <c r="BA309" s="375">
        <v>10000</v>
      </c>
      <c r="BB309" s="375">
        <v>10000</v>
      </c>
      <c r="BC309" s="375">
        <v>10000</v>
      </c>
      <c r="BD309" s="375">
        <v>10000</v>
      </c>
      <c r="BE309" s="375">
        <v>10000</v>
      </c>
      <c r="BF309" s="375">
        <v>10000</v>
      </c>
      <c r="BG309" s="375">
        <v>60000</v>
      </c>
      <c r="BH309" s="79"/>
      <c r="BI309" s="79"/>
      <c r="BJ309" s="79"/>
      <c r="BK309" s="79">
        <v>10000</v>
      </c>
      <c r="BL309" s="79">
        <v>10000</v>
      </c>
      <c r="BM309" s="79">
        <v>10000</v>
      </c>
      <c r="BN309" s="79">
        <v>10000</v>
      </c>
      <c r="BO309" s="79">
        <v>10000</v>
      </c>
      <c r="BP309" s="79">
        <v>10000</v>
      </c>
      <c r="BQ309" s="79">
        <v>10000</v>
      </c>
      <c r="BR309" s="79">
        <v>10000</v>
      </c>
      <c r="BS309" s="79">
        <v>10000</v>
      </c>
      <c r="BT309" s="79">
        <v>90000</v>
      </c>
    </row>
    <row r="310" spans="1:72" ht="15" customHeight="1">
      <c r="A310" s="66" t="s">
        <v>1999</v>
      </c>
      <c r="B310" s="66"/>
      <c r="C310" s="66" t="s">
        <v>519</v>
      </c>
      <c r="D310" s="66" t="s">
        <v>2000</v>
      </c>
      <c r="E310" s="150" t="s">
        <v>1136</v>
      </c>
      <c r="F310" s="482" t="s">
        <v>1566</v>
      </c>
      <c r="G310" s="150" t="s">
        <v>1345</v>
      </c>
      <c r="H310" s="150" t="s">
        <v>1437</v>
      </c>
      <c r="I310" s="150" t="s">
        <v>1345</v>
      </c>
      <c r="J310" s="150" t="s">
        <v>1437</v>
      </c>
      <c r="K310" s="150" t="s">
        <v>1346</v>
      </c>
      <c r="L310" s="511" t="s">
        <v>389</v>
      </c>
      <c r="M310" s="392" t="s">
        <v>2001</v>
      </c>
      <c r="N310" s="343"/>
      <c r="O310" s="343"/>
      <c r="P310" s="70" t="s">
        <v>520</v>
      </c>
      <c r="Q310" s="346"/>
      <c r="R310" s="343"/>
      <c r="S310" s="346"/>
      <c r="T310" s="150" t="s">
        <v>152</v>
      </c>
      <c r="U310" s="150" t="s">
        <v>1997</v>
      </c>
      <c r="V310" s="403"/>
      <c r="W310" s="406">
        <v>64999.999999999985</v>
      </c>
      <c r="X310" s="406">
        <v>39000</v>
      </c>
      <c r="Y310" s="425"/>
      <c r="Z310" s="425"/>
      <c r="AA310" s="426"/>
      <c r="AB310" s="427"/>
      <c r="AC310" s="427"/>
      <c r="AD310" s="428" t="s">
        <v>1142</v>
      </c>
      <c r="AE310" s="429">
        <v>0</v>
      </c>
      <c r="AF310" s="429">
        <v>0</v>
      </c>
      <c r="AG310" s="363">
        <v>6500</v>
      </c>
      <c r="AH310" s="363">
        <v>6500</v>
      </c>
      <c r="AI310" s="363">
        <v>6500</v>
      </c>
      <c r="AJ310" s="363">
        <v>6500</v>
      </c>
      <c r="AK310" s="363">
        <v>6500</v>
      </c>
      <c r="AL310" s="363">
        <v>6500</v>
      </c>
      <c r="AM310" s="360">
        <f t="shared" si="12"/>
        <v>39000</v>
      </c>
      <c r="AN310" s="362">
        <f>ERP_26[[#This Row],[2026 Working Total]]-ERP_26[[#This Row],[LE2 Final Submission]]</f>
        <v>0</v>
      </c>
      <c r="AO310" s="79">
        <v>799.33</v>
      </c>
      <c r="AP310" s="79">
        <f t="shared" si="11"/>
        <v>-799.33</v>
      </c>
      <c r="AQ310" s="374">
        <f>SUM(ERP_26[[#This Row],[AP01]:[AP06]])-SUM(ERP_26[[#This Row],[AP01 LE2]:[AP06 LE2]])</f>
        <v>0</v>
      </c>
      <c r="AR310" s="80"/>
      <c r="AS310" s="79">
        <f>ERP_26[[#This Row],[2026 Working Total to Budget/LE]]-ERP_26[[#This Row],[Giveback]]</f>
        <v>0</v>
      </c>
      <c r="AT310" s="81" t="s">
        <v>1998</v>
      </c>
      <c r="AU310" s="375"/>
      <c r="AV310" s="375"/>
      <c r="AW310" s="375"/>
      <c r="AX310" s="375"/>
      <c r="AY310" s="375"/>
      <c r="AZ310" s="375"/>
      <c r="BA310" s="375">
        <v>6500</v>
      </c>
      <c r="BB310" s="375">
        <v>6500</v>
      </c>
      <c r="BC310" s="375">
        <v>6500</v>
      </c>
      <c r="BD310" s="375">
        <v>6500</v>
      </c>
      <c r="BE310" s="375">
        <v>6500</v>
      </c>
      <c r="BF310" s="375">
        <v>6500</v>
      </c>
      <c r="BG310" s="375">
        <v>39000</v>
      </c>
      <c r="BH310" s="79"/>
      <c r="BI310" s="79"/>
      <c r="BJ310" s="79"/>
      <c r="BK310" s="79">
        <v>6500</v>
      </c>
      <c r="BL310" s="79">
        <v>6500</v>
      </c>
      <c r="BM310" s="79">
        <v>6500</v>
      </c>
      <c r="BN310" s="79">
        <v>6500</v>
      </c>
      <c r="BO310" s="79">
        <v>6500</v>
      </c>
      <c r="BP310" s="79">
        <v>6500</v>
      </c>
      <c r="BQ310" s="79">
        <v>6500</v>
      </c>
      <c r="BR310" s="79">
        <v>6500</v>
      </c>
      <c r="BS310" s="79">
        <v>6500</v>
      </c>
      <c r="BT310" s="79">
        <v>58500</v>
      </c>
    </row>
    <row r="311" spans="1:72" ht="15" customHeight="1">
      <c r="A311" s="79" t="s">
        <v>2007</v>
      </c>
      <c r="B311" s="79"/>
      <c r="C311" s="79" t="s">
        <v>521</v>
      </c>
      <c r="D311" s="296" t="s">
        <v>2008</v>
      </c>
      <c r="E311" s="150" t="s">
        <v>1136</v>
      </c>
      <c r="F311" s="482" t="s">
        <v>1566</v>
      </c>
      <c r="G311" s="150" t="s">
        <v>1345</v>
      </c>
      <c r="H311" s="332" t="s">
        <v>1437</v>
      </c>
      <c r="I311" s="150" t="s">
        <v>1345</v>
      </c>
      <c r="J311" s="332" t="s">
        <v>1437</v>
      </c>
      <c r="K311" s="333" t="s">
        <v>1437</v>
      </c>
      <c r="L311" s="514" t="s">
        <v>389</v>
      </c>
      <c r="M311" s="394"/>
      <c r="N311" s="333"/>
      <c r="O311" s="333"/>
      <c r="P311" s="90" t="s">
        <v>411</v>
      </c>
      <c r="Q311" s="347"/>
      <c r="R311" s="347"/>
      <c r="S311" s="348"/>
      <c r="T311" s="348"/>
      <c r="U311" s="348"/>
      <c r="V311" s="402"/>
      <c r="W311" s="358"/>
      <c r="X311" s="379"/>
      <c r="Y311" s="425"/>
      <c r="Z311" s="425"/>
      <c r="AA311" s="435"/>
      <c r="AB311" s="436"/>
      <c r="AC311" s="436"/>
      <c r="AD311" s="429"/>
      <c r="AE311" s="429"/>
      <c r="AF311" s="429">
        <v>-2915.6</v>
      </c>
      <c r="AG311" s="364"/>
      <c r="AH311" s="364"/>
      <c r="AI311" s="364"/>
      <c r="AJ311" s="364"/>
      <c r="AK311" s="364"/>
      <c r="AL311" s="364"/>
      <c r="AM311" s="360">
        <f t="shared" si="12"/>
        <v>-2915.6</v>
      </c>
      <c r="AN311" s="362">
        <f>ERP_26[[#This Row],[2026 Working Total]]-ERP_26[[#This Row],[LE2 Final Submission]]</f>
        <v>-2915.6</v>
      </c>
      <c r="AO311" s="79"/>
      <c r="AP311" s="79">
        <f t="shared" si="11"/>
        <v>-2915.6</v>
      </c>
      <c r="AQ311" s="391">
        <f>SUM(ERP_26[[#This Row],[AP01]:[AP06]])-SUM(ERP_26[[#This Row],[AP01 LE2]:[AP06 LE2]])</f>
        <v>-2915.6</v>
      </c>
      <c r="AR311" s="80"/>
      <c r="AS311" s="79">
        <f>ERP_26[[#This Row],[2026 Working Total to Budget/LE]]-ERP_26[[#This Row],[Giveback]]</f>
        <v>-2915.6</v>
      </c>
      <c r="AT311" s="81"/>
      <c r="AU311" s="375"/>
      <c r="AV311" s="375"/>
      <c r="AW311" s="375"/>
      <c r="AX311" s="375"/>
      <c r="AY311" s="375"/>
      <c r="AZ311" s="375"/>
      <c r="BA311" s="375"/>
      <c r="BB311" s="375"/>
      <c r="BC311" s="375"/>
      <c r="BD311" s="375"/>
      <c r="BE311" s="375"/>
      <c r="BF311" s="375"/>
      <c r="BG311" s="375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</row>
    <row r="312" spans="1:72" ht="15" customHeight="1">
      <c r="A312" s="66" t="s">
        <v>2009</v>
      </c>
      <c r="B312" s="66"/>
      <c r="C312" s="66" t="s">
        <v>522</v>
      </c>
      <c r="D312" s="66" t="s">
        <v>522</v>
      </c>
      <c r="E312" s="150" t="s">
        <v>1136</v>
      </c>
      <c r="F312" s="482" t="s">
        <v>1566</v>
      </c>
      <c r="G312" s="150" t="s">
        <v>1345</v>
      </c>
      <c r="H312" s="150" t="s">
        <v>1345</v>
      </c>
      <c r="I312" s="150" t="s">
        <v>1345</v>
      </c>
      <c r="J312" s="150" t="s">
        <v>1345</v>
      </c>
      <c r="K312" s="150" t="s">
        <v>1346</v>
      </c>
      <c r="L312" s="511" t="s">
        <v>389</v>
      </c>
      <c r="M312" s="392" t="s">
        <v>1574</v>
      </c>
      <c r="N312" s="343"/>
      <c r="O312" s="343"/>
      <c r="P312" s="70" t="s">
        <v>274</v>
      </c>
      <c r="Q312" s="346" t="s">
        <v>1139</v>
      </c>
      <c r="R312" s="343"/>
      <c r="S312" s="346"/>
      <c r="T312" s="505" t="s">
        <v>275</v>
      </c>
      <c r="U312" s="150"/>
      <c r="V312" s="403"/>
      <c r="W312" s="406">
        <v>0</v>
      </c>
      <c r="X312" s="406">
        <v>2263.3900000000003</v>
      </c>
      <c r="Y312" s="425"/>
      <c r="Z312" s="425"/>
      <c r="AA312" s="426">
        <v>1841.45</v>
      </c>
      <c r="AB312" s="427">
        <v>1719.99</v>
      </c>
      <c r="AC312" s="427">
        <v>-1298.05</v>
      </c>
      <c r="AD312" s="428">
        <v>1990.16</v>
      </c>
      <c r="AE312" s="429">
        <v>-2552.9100000000003</v>
      </c>
      <c r="AF312" s="429">
        <v>903.75000000000023</v>
      </c>
      <c r="AG312" s="360">
        <v>0</v>
      </c>
      <c r="AH312" s="360">
        <v>0</v>
      </c>
      <c r="AI312" s="360">
        <v>0</v>
      </c>
      <c r="AJ312" s="360">
        <v>0</v>
      </c>
      <c r="AK312" s="360">
        <v>0</v>
      </c>
      <c r="AL312" s="360">
        <v>0</v>
      </c>
      <c r="AM312" s="360">
        <f t="shared" si="12"/>
        <v>2604.3900000000003</v>
      </c>
      <c r="AN312" s="362">
        <f>ERP_26[[#This Row],[2026 Working Total]]-ERP_26[[#This Row],[LE2 Final Submission]]</f>
        <v>341</v>
      </c>
      <c r="AO312" s="79">
        <v>0</v>
      </c>
      <c r="AP312" s="79">
        <f t="shared" si="11"/>
        <v>903.75000000000023</v>
      </c>
      <c r="AQ312" s="374">
        <f>SUM(ERP_26[[#This Row],[AP01]:[AP06]])-SUM(ERP_26[[#This Row],[AP01 LE2]:[AP06 LE2]])</f>
        <v>341</v>
      </c>
      <c r="AR312" s="80"/>
      <c r="AS312" s="79">
        <f>ERP_26[[#This Row],[2026 Working Total to Budget/LE]]-ERP_26[[#This Row],[Giveback]]</f>
        <v>341</v>
      </c>
      <c r="AT312" s="81"/>
      <c r="AU312" s="375">
        <v>1841.45</v>
      </c>
      <c r="AV312" s="375">
        <v>1719.99</v>
      </c>
      <c r="AW312" s="375">
        <v>-1298.05</v>
      </c>
      <c r="AX312" s="375">
        <v>0</v>
      </c>
      <c r="AY312" s="375">
        <v>0</v>
      </c>
      <c r="AZ312" s="375">
        <v>0</v>
      </c>
      <c r="BA312" s="375">
        <v>0</v>
      </c>
      <c r="BB312" s="375">
        <v>0</v>
      </c>
      <c r="BC312" s="375">
        <v>0</v>
      </c>
      <c r="BD312" s="375">
        <v>0</v>
      </c>
      <c r="BE312" s="375">
        <v>0</v>
      </c>
      <c r="BF312" s="375">
        <v>0</v>
      </c>
      <c r="BG312" s="375">
        <v>2263.3900000000003</v>
      </c>
      <c r="BH312" s="79">
        <v>1841.45</v>
      </c>
      <c r="BI312" s="79">
        <v>1719.99</v>
      </c>
      <c r="BJ312" s="79">
        <v>-1298.05</v>
      </c>
      <c r="BK312" s="79">
        <v>0</v>
      </c>
      <c r="BL312" s="79">
        <v>0</v>
      </c>
      <c r="BM312" s="79">
        <v>0</v>
      </c>
      <c r="BN312" s="79">
        <v>0</v>
      </c>
      <c r="BO312" s="79">
        <v>0</v>
      </c>
      <c r="BP312" s="79">
        <v>0</v>
      </c>
      <c r="BQ312" s="79">
        <v>0</v>
      </c>
      <c r="BR312" s="79">
        <v>0</v>
      </c>
      <c r="BS312" s="79">
        <v>0</v>
      </c>
      <c r="BT312" s="79">
        <v>2263.3900000000003</v>
      </c>
    </row>
    <row r="313" spans="1:72" ht="15" customHeight="1">
      <c r="A313" s="66" t="s">
        <v>2010</v>
      </c>
      <c r="B313" s="66"/>
      <c r="C313" s="66" t="s">
        <v>523</v>
      </c>
      <c r="D313" s="66" t="s">
        <v>523</v>
      </c>
      <c r="E313" s="150" t="s">
        <v>1136</v>
      </c>
      <c r="F313" s="482" t="s">
        <v>1566</v>
      </c>
      <c r="G313" s="150" t="s">
        <v>1345</v>
      </c>
      <c r="H313" s="150" t="s">
        <v>1345</v>
      </c>
      <c r="I313" s="150" t="s">
        <v>1345</v>
      </c>
      <c r="J313" s="150" t="s">
        <v>1345</v>
      </c>
      <c r="K313" s="150" t="s">
        <v>1346</v>
      </c>
      <c r="L313" s="511" t="s">
        <v>389</v>
      </c>
      <c r="M313" s="392" t="s">
        <v>1147</v>
      </c>
      <c r="N313" s="343"/>
      <c r="O313" s="343"/>
      <c r="P313" s="70" t="s">
        <v>53</v>
      </c>
      <c r="Q313" s="346" t="s">
        <v>1153</v>
      </c>
      <c r="R313" s="343"/>
      <c r="S313" s="346"/>
      <c r="T313" s="150" t="s">
        <v>25</v>
      </c>
      <c r="U313" s="150" t="s">
        <v>1434</v>
      </c>
      <c r="V313" s="403"/>
      <c r="W313" s="406">
        <v>0</v>
      </c>
      <c r="X313" s="406">
        <v>0</v>
      </c>
      <c r="Y313" s="430"/>
      <c r="Z313" s="430"/>
      <c r="AA313" s="426"/>
      <c r="AB313" s="427"/>
      <c r="AC313" s="427">
        <v>7840</v>
      </c>
      <c r="AD313" s="428">
        <v>4772</v>
      </c>
      <c r="AE313" s="429">
        <v>4772</v>
      </c>
      <c r="AF313" s="429">
        <v>5965.9999999999991</v>
      </c>
      <c r="AG313" s="360">
        <v>0</v>
      </c>
      <c r="AH313" s="360">
        <v>0</v>
      </c>
      <c r="AI313" s="360">
        <v>0</v>
      </c>
      <c r="AJ313" s="360">
        <v>0</v>
      </c>
      <c r="AK313" s="360">
        <v>0</v>
      </c>
      <c r="AL313" s="360">
        <v>0</v>
      </c>
      <c r="AM313" s="360">
        <f t="shared" si="12"/>
        <v>23350</v>
      </c>
      <c r="AN313" s="362">
        <f>ERP_26[[#This Row],[2026 Working Total]]-ERP_26[[#This Row],[LE2 Final Submission]]</f>
        <v>23350</v>
      </c>
      <c r="AO313" s="79">
        <v>-2500</v>
      </c>
      <c r="AP313" s="79">
        <f t="shared" si="11"/>
        <v>8466</v>
      </c>
      <c r="AQ313" s="374">
        <f>SUM(ERP_26[[#This Row],[AP01]:[AP06]])-SUM(ERP_26[[#This Row],[AP01 LE2]:[AP06 LE2]])</f>
        <v>23350</v>
      </c>
      <c r="AR313" s="80"/>
      <c r="AS313" s="79">
        <f>ERP_26[[#This Row],[2026 Working Total to Budget/LE]]-ERP_26[[#This Row],[Giveback]]</f>
        <v>23350</v>
      </c>
      <c r="AT313" s="81"/>
      <c r="AU313" s="375"/>
      <c r="AV313" s="375"/>
      <c r="AW313" s="375">
        <v>7840</v>
      </c>
      <c r="AX313" s="375">
        <v>-2500</v>
      </c>
      <c r="AY313" s="375">
        <v>-2500</v>
      </c>
      <c r="AZ313" s="375">
        <v>-2840</v>
      </c>
      <c r="BA313" s="375">
        <v>0</v>
      </c>
      <c r="BB313" s="375">
        <v>0</v>
      </c>
      <c r="BC313" s="375">
        <v>0</v>
      </c>
      <c r="BD313" s="375">
        <v>0</v>
      </c>
      <c r="BE313" s="375">
        <v>0</v>
      </c>
      <c r="BF313" s="375">
        <v>0</v>
      </c>
      <c r="BG313" s="375">
        <v>0</v>
      </c>
      <c r="BH313" s="79"/>
      <c r="BI313" s="79"/>
      <c r="BJ313" s="79">
        <v>7840</v>
      </c>
      <c r="BK313" s="79">
        <v>0</v>
      </c>
      <c r="BL313" s="79">
        <v>0</v>
      </c>
      <c r="BM313" s="79">
        <v>0</v>
      </c>
      <c r="BN313" s="79">
        <v>0</v>
      </c>
      <c r="BO313" s="79">
        <v>0</v>
      </c>
      <c r="BP313" s="79">
        <v>0</v>
      </c>
      <c r="BQ313" s="79">
        <v>0</v>
      </c>
      <c r="BR313" s="79">
        <v>0</v>
      </c>
      <c r="BS313" s="79">
        <v>0</v>
      </c>
      <c r="BT313" s="79">
        <v>7840</v>
      </c>
    </row>
    <row r="314" spans="1:72" ht="15" customHeight="1">
      <c r="A314" s="129" t="s">
        <v>2014</v>
      </c>
      <c r="B314" s="129"/>
      <c r="C314" s="129" t="s">
        <v>525</v>
      </c>
      <c r="D314" s="66" t="s">
        <v>525</v>
      </c>
      <c r="E314" s="150" t="s">
        <v>1136</v>
      </c>
      <c r="F314" s="482" t="s">
        <v>1566</v>
      </c>
      <c r="G314" s="150" t="s">
        <v>1345</v>
      </c>
      <c r="H314" s="150" t="s">
        <v>1345</v>
      </c>
      <c r="I314" s="150" t="s">
        <v>1345</v>
      </c>
      <c r="J314" s="150" t="s">
        <v>1345</v>
      </c>
      <c r="K314" s="331" t="s">
        <v>1345</v>
      </c>
      <c r="L314" s="511" t="s">
        <v>389</v>
      </c>
      <c r="M314" s="392" t="s">
        <v>1863</v>
      </c>
      <c r="N314" s="343"/>
      <c r="O314" s="331"/>
      <c r="P314" s="70" t="s">
        <v>526</v>
      </c>
      <c r="Q314" s="343"/>
      <c r="R314" s="343"/>
      <c r="S314" s="346"/>
      <c r="T314" s="150" t="s">
        <v>57</v>
      </c>
      <c r="U314" s="346" t="s">
        <v>2021</v>
      </c>
      <c r="V314" s="405"/>
      <c r="W314" s="359"/>
      <c r="X314" s="380">
        <v>63000</v>
      </c>
      <c r="Y314" s="425"/>
      <c r="Z314" s="425"/>
      <c r="AA314" s="426"/>
      <c r="AB314" s="427"/>
      <c r="AC314" s="427"/>
      <c r="AD314" s="428" t="s">
        <v>1142</v>
      </c>
      <c r="AE314" s="429">
        <v>0</v>
      </c>
      <c r="AF314" s="429">
        <v>0</v>
      </c>
      <c r="AG314" s="364">
        <f t="shared" ref="AG314:AL314" si="13">(63000)/9</f>
        <v>7000</v>
      </c>
      <c r="AH314" s="364">
        <f t="shared" si="13"/>
        <v>7000</v>
      </c>
      <c r="AI314" s="364">
        <f t="shared" si="13"/>
        <v>7000</v>
      </c>
      <c r="AJ314" s="364">
        <f t="shared" si="13"/>
        <v>7000</v>
      </c>
      <c r="AK314" s="364">
        <f t="shared" si="13"/>
        <v>7000</v>
      </c>
      <c r="AL314" s="364">
        <f t="shared" si="13"/>
        <v>7000</v>
      </c>
      <c r="AM314" s="360">
        <f t="shared" si="12"/>
        <v>42000</v>
      </c>
      <c r="AN314" s="362">
        <f>ERP_26[[#This Row],[2026 Working Total]]-ERP_26[[#This Row],[LE2 Final Submission]]</f>
        <v>-21000</v>
      </c>
      <c r="AO314" s="79">
        <v>7000</v>
      </c>
      <c r="AP314" s="79">
        <f t="shared" si="11"/>
        <v>-7000</v>
      </c>
      <c r="AQ314" s="374">
        <f>SUM(ERP_26[[#This Row],[AP01]:[AP06]])-SUM(ERP_26[[#This Row],[AP01 LE2]:[AP06 LE2]])</f>
        <v>-21000</v>
      </c>
      <c r="AR314" s="80"/>
      <c r="AS314" s="79"/>
      <c r="AT314" s="81"/>
      <c r="AU314" s="375"/>
      <c r="AV314" s="375"/>
      <c r="AW314" s="375"/>
      <c r="AX314" s="375">
        <v>7000</v>
      </c>
      <c r="AY314" s="375">
        <v>7000</v>
      </c>
      <c r="AZ314" s="375">
        <v>7000</v>
      </c>
      <c r="BA314" s="375">
        <v>7000</v>
      </c>
      <c r="BB314" s="375">
        <v>7000</v>
      </c>
      <c r="BC314" s="375">
        <v>7000</v>
      </c>
      <c r="BD314" s="375">
        <v>7000</v>
      </c>
      <c r="BE314" s="375">
        <v>7000</v>
      </c>
      <c r="BF314" s="375">
        <v>7000</v>
      </c>
      <c r="BG314" s="375">
        <v>63000</v>
      </c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</row>
    <row r="315" spans="1:72" ht="15" customHeight="1">
      <c r="A315" s="66" t="s">
        <v>2016</v>
      </c>
      <c r="B315" s="66"/>
      <c r="C315" s="66" t="s">
        <v>527</v>
      </c>
      <c r="D315" s="66" t="s">
        <v>527</v>
      </c>
      <c r="E315" s="150" t="s">
        <v>1136</v>
      </c>
      <c r="F315" s="482" t="s">
        <v>1566</v>
      </c>
      <c r="G315" s="150" t="s">
        <v>1345</v>
      </c>
      <c r="H315" s="150" t="s">
        <v>1345</v>
      </c>
      <c r="I315" s="150" t="s">
        <v>1345</v>
      </c>
      <c r="J315" s="150" t="s">
        <v>1345</v>
      </c>
      <c r="K315" s="150" t="s">
        <v>1346</v>
      </c>
      <c r="L315" s="511" t="s">
        <v>389</v>
      </c>
      <c r="M315" s="392" t="s">
        <v>1492</v>
      </c>
      <c r="N315" s="343"/>
      <c r="O315" s="343"/>
      <c r="P315" s="70" t="s">
        <v>201</v>
      </c>
      <c r="Q315" s="346"/>
      <c r="R315" s="343"/>
      <c r="S315" s="346"/>
      <c r="T315" s="150" t="s">
        <v>232</v>
      </c>
      <c r="U315" s="503" t="s">
        <v>2911</v>
      </c>
      <c r="V315" s="403"/>
      <c r="W315" s="406">
        <v>0</v>
      </c>
      <c r="X315" s="406">
        <v>200000</v>
      </c>
      <c r="Y315" s="430"/>
      <c r="Z315" s="430"/>
      <c r="AA315" s="426"/>
      <c r="AB315" s="427"/>
      <c r="AC315" s="427">
        <v>50000</v>
      </c>
      <c r="AD315" s="428">
        <v>0</v>
      </c>
      <c r="AE315" s="429">
        <v>0</v>
      </c>
      <c r="AF315" s="429">
        <v>0</v>
      </c>
      <c r="AG315" s="360">
        <v>0</v>
      </c>
      <c r="AH315" s="363">
        <v>0</v>
      </c>
      <c r="AI315" s="360">
        <v>0</v>
      </c>
      <c r="AJ315" s="363">
        <v>0</v>
      </c>
      <c r="AK315" s="360">
        <v>0</v>
      </c>
      <c r="AL315" s="360">
        <v>0</v>
      </c>
      <c r="AM315" s="360">
        <f t="shared" si="12"/>
        <v>50000</v>
      </c>
      <c r="AN315" s="362">
        <f>ERP_26[[#This Row],[2026 Working Total]]-ERP_26[[#This Row],[LE2 Final Submission]]</f>
        <v>-150000</v>
      </c>
      <c r="AO315" s="79">
        <v>50000</v>
      </c>
      <c r="AP315" s="79">
        <f t="shared" si="11"/>
        <v>-50000</v>
      </c>
      <c r="AQ315" s="374">
        <f>SUM(ERP_26[[#This Row],[AP01]:[AP06]])-SUM(ERP_26[[#This Row],[AP01 LE2]:[AP06 LE2]])</f>
        <v>-50000</v>
      </c>
      <c r="AR315" s="80"/>
      <c r="AS315" s="79">
        <f>ERP_26[[#This Row],[2026 Working Total to Budget/LE]]-ERP_26[[#This Row],[Giveback]]</f>
        <v>-150000</v>
      </c>
      <c r="AT315" s="81"/>
      <c r="AU315" s="375"/>
      <c r="AV315" s="375"/>
      <c r="AW315" s="375">
        <v>50000</v>
      </c>
      <c r="AX315" s="375">
        <v>0</v>
      </c>
      <c r="AY315" s="375">
        <v>50000</v>
      </c>
      <c r="AZ315" s="375">
        <v>0</v>
      </c>
      <c r="BA315" s="375">
        <v>0</v>
      </c>
      <c r="BB315" s="375">
        <v>50000</v>
      </c>
      <c r="BC315" s="375">
        <v>0</v>
      </c>
      <c r="BD315" s="375">
        <v>50000</v>
      </c>
      <c r="BE315" s="375">
        <v>0</v>
      </c>
      <c r="BF315" s="375">
        <v>0</v>
      </c>
      <c r="BG315" s="375">
        <v>200000</v>
      </c>
      <c r="BH315" s="79"/>
      <c r="BI315" s="79"/>
      <c r="BJ315" s="79">
        <v>50000</v>
      </c>
      <c r="BK315" s="79">
        <v>0</v>
      </c>
      <c r="BL315" s="79">
        <v>0</v>
      </c>
      <c r="BM315" s="79">
        <v>0</v>
      </c>
      <c r="BN315" s="79">
        <v>0</v>
      </c>
      <c r="BO315" s="79">
        <v>0</v>
      </c>
      <c r="BP315" s="79">
        <v>0</v>
      </c>
      <c r="BQ315" s="79">
        <v>0</v>
      </c>
      <c r="BR315" s="79">
        <v>0</v>
      </c>
      <c r="BS315" s="79">
        <v>0</v>
      </c>
      <c r="BT315" s="79">
        <v>50000</v>
      </c>
    </row>
    <row r="316" spans="1:72" ht="15" customHeight="1">
      <c r="A316" s="66" t="s">
        <v>2017</v>
      </c>
      <c r="B316" s="66"/>
      <c r="C316" s="66" t="s">
        <v>528</v>
      </c>
      <c r="D316" s="66" t="s">
        <v>2018</v>
      </c>
      <c r="E316" s="150" t="s">
        <v>1136</v>
      </c>
      <c r="F316" s="482" t="s">
        <v>1566</v>
      </c>
      <c r="G316" s="150" t="s">
        <v>1345</v>
      </c>
      <c r="H316" s="150" t="s">
        <v>1437</v>
      </c>
      <c r="I316" s="150" t="s">
        <v>1345</v>
      </c>
      <c r="J316" s="150" t="s">
        <v>1437</v>
      </c>
      <c r="K316" s="150" t="s">
        <v>1346</v>
      </c>
      <c r="L316" s="511" t="s">
        <v>389</v>
      </c>
      <c r="M316" s="392" t="s">
        <v>1878</v>
      </c>
      <c r="N316" s="343"/>
      <c r="O316" s="343"/>
      <c r="P316" s="70" t="s">
        <v>459</v>
      </c>
      <c r="Q316" s="346"/>
      <c r="R316" s="343"/>
      <c r="S316" s="346"/>
      <c r="T316" s="150" t="s">
        <v>57</v>
      </c>
      <c r="U316" s="150"/>
      <c r="V316" s="403"/>
      <c r="W316" s="406">
        <v>6600</v>
      </c>
      <c r="X316" s="406">
        <v>497.06000000000006</v>
      </c>
      <c r="Y316" s="425"/>
      <c r="Z316" s="425"/>
      <c r="AA316" s="426">
        <v>521.38</v>
      </c>
      <c r="AB316" s="427">
        <v>527.30999999999995</v>
      </c>
      <c r="AC316" s="427">
        <v>-551.63</v>
      </c>
      <c r="AD316" s="428">
        <v>523.94000000000005</v>
      </c>
      <c r="AE316" s="429">
        <v>21.2</v>
      </c>
      <c r="AF316" s="429">
        <v>0</v>
      </c>
      <c r="AG316" s="360">
        <v>0</v>
      </c>
      <c r="AH316" s="360">
        <v>0</v>
      </c>
      <c r="AI316" s="360">
        <v>0</v>
      </c>
      <c r="AJ316" s="360">
        <v>0</v>
      </c>
      <c r="AK316" s="360">
        <v>0</v>
      </c>
      <c r="AL316" s="360">
        <v>0</v>
      </c>
      <c r="AM316" s="360">
        <f t="shared" si="12"/>
        <v>1042.2</v>
      </c>
      <c r="AN316" s="362">
        <f>ERP_26[[#This Row],[2026 Working Total]]-ERP_26[[#This Row],[LE2 Final Submission]]</f>
        <v>545.14</v>
      </c>
      <c r="AO316" s="79">
        <v>0</v>
      </c>
      <c r="AP316" s="79">
        <f t="shared" si="11"/>
        <v>0</v>
      </c>
      <c r="AQ316" s="374">
        <f>SUM(ERP_26[[#This Row],[AP01]:[AP06]])-SUM(ERP_26[[#This Row],[AP01 LE2]:[AP06 LE2]])</f>
        <v>545.14</v>
      </c>
      <c r="AR316" s="80"/>
      <c r="AS316" s="79">
        <f>ERP_26[[#This Row],[2026 Working Total to Budget/LE]]-ERP_26[[#This Row],[Giveback]]</f>
        <v>545.14</v>
      </c>
      <c r="AT316" s="81"/>
      <c r="AU316" s="375">
        <v>521.38</v>
      </c>
      <c r="AV316" s="375">
        <v>527.30999999999995</v>
      </c>
      <c r="AW316" s="375">
        <v>-551.63</v>
      </c>
      <c r="AX316" s="375">
        <v>0</v>
      </c>
      <c r="AY316" s="375">
        <v>0</v>
      </c>
      <c r="AZ316" s="375">
        <v>0</v>
      </c>
      <c r="BA316" s="375">
        <v>0</v>
      </c>
      <c r="BB316" s="375">
        <v>0</v>
      </c>
      <c r="BC316" s="375">
        <v>0</v>
      </c>
      <c r="BD316" s="375">
        <v>0</v>
      </c>
      <c r="BE316" s="375">
        <v>0</v>
      </c>
      <c r="BF316" s="375">
        <v>0</v>
      </c>
      <c r="BG316" s="375">
        <v>497.06000000000006</v>
      </c>
      <c r="BH316" s="79">
        <v>521.38</v>
      </c>
      <c r="BI316" s="79">
        <v>527.30999999999995</v>
      </c>
      <c r="BJ316" s="79">
        <v>-551.63</v>
      </c>
      <c r="BK316" s="79">
        <v>0</v>
      </c>
      <c r="BL316" s="79">
        <v>0</v>
      </c>
      <c r="BM316" s="79">
        <v>0</v>
      </c>
      <c r="BN316" s="79">
        <v>0</v>
      </c>
      <c r="BO316" s="79">
        <v>0</v>
      </c>
      <c r="BP316" s="79">
        <v>0</v>
      </c>
      <c r="BQ316" s="79">
        <v>0</v>
      </c>
      <c r="BR316" s="79">
        <v>0</v>
      </c>
      <c r="BS316" s="79">
        <v>0</v>
      </c>
      <c r="BT316" s="79">
        <v>497.06000000000006</v>
      </c>
    </row>
    <row r="317" spans="1:72" ht="15" customHeight="1">
      <c r="A317" s="79" t="s">
        <v>2019</v>
      </c>
      <c r="B317" s="79"/>
      <c r="C317" s="79" t="s">
        <v>529</v>
      </c>
      <c r="D317" s="66" t="s">
        <v>529</v>
      </c>
      <c r="E317" s="150" t="s">
        <v>1136</v>
      </c>
      <c r="F317" s="482" t="s">
        <v>1566</v>
      </c>
      <c r="G317" s="150" t="s">
        <v>1345</v>
      </c>
      <c r="H317" s="150" t="s">
        <v>1345</v>
      </c>
      <c r="I317" s="150" t="s">
        <v>1345</v>
      </c>
      <c r="J317" s="150" t="s">
        <v>1345</v>
      </c>
      <c r="K317" s="150" t="s">
        <v>1345</v>
      </c>
      <c r="L317" s="511" t="s">
        <v>389</v>
      </c>
      <c r="M317" s="392" t="s">
        <v>2020</v>
      </c>
      <c r="N317" s="343"/>
      <c r="O317" s="331"/>
      <c r="P317" s="70" t="s">
        <v>530</v>
      </c>
      <c r="Q317" s="343"/>
      <c r="R317" s="343"/>
      <c r="S317" s="346"/>
      <c r="T317" s="150" t="s">
        <v>531</v>
      </c>
      <c r="U317" s="346" t="s">
        <v>2021</v>
      </c>
      <c r="V317" s="405"/>
      <c r="W317" s="359"/>
      <c r="X317" s="380">
        <v>26000</v>
      </c>
      <c r="Y317" s="425"/>
      <c r="Z317" s="425"/>
      <c r="AA317" s="426"/>
      <c r="AB317" s="427"/>
      <c r="AC317" s="427"/>
      <c r="AD317" s="428" t="s">
        <v>1142</v>
      </c>
      <c r="AE317" s="429">
        <v>0</v>
      </c>
      <c r="AF317" s="429">
        <v>0</v>
      </c>
      <c r="AG317" s="364"/>
      <c r="AH317" s="364"/>
      <c r="AI317" s="364"/>
      <c r="AJ317" s="364">
        <v>13000</v>
      </c>
      <c r="AK317" s="364"/>
      <c r="AL317" s="364"/>
      <c r="AM317" s="360">
        <f t="shared" si="12"/>
        <v>13000</v>
      </c>
      <c r="AN317" s="362">
        <f>ERP_26[[#This Row],[2026 Working Total]]-ERP_26[[#This Row],[LE2 Final Submission]]</f>
        <v>-13000</v>
      </c>
      <c r="AO317" s="79">
        <v>13000</v>
      </c>
      <c r="AP317" s="79">
        <f t="shared" si="11"/>
        <v>-13000</v>
      </c>
      <c r="AQ317" s="374">
        <f>SUM(ERP_26[[#This Row],[AP01]:[AP06]])-SUM(ERP_26[[#This Row],[AP01 LE2]:[AP06 LE2]])</f>
        <v>-13000</v>
      </c>
      <c r="AR317" s="80"/>
      <c r="AS317" s="79"/>
      <c r="AT317" s="81"/>
      <c r="AU317" s="375"/>
      <c r="AV317" s="375"/>
      <c r="AW317" s="375"/>
      <c r="AX317" s="375"/>
      <c r="AY317" s="375">
        <v>13000</v>
      </c>
      <c r="AZ317" s="375"/>
      <c r="BA317" s="375"/>
      <c r="BB317" s="375"/>
      <c r="BC317" s="375"/>
      <c r="BD317" s="375">
        <v>13000</v>
      </c>
      <c r="BE317" s="375"/>
      <c r="BF317" s="375"/>
      <c r="BG317" s="375">
        <v>26000</v>
      </c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</row>
    <row r="318" spans="1:72" ht="15" customHeight="1">
      <c r="A318" s="66" t="s">
        <v>2022</v>
      </c>
      <c r="B318" s="66"/>
      <c r="C318" s="66" t="s">
        <v>532</v>
      </c>
      <c r="D318" s="66" t="s">
        <v>2023</v>
      </c>
      <c r="E318" s="150" t="s">
        <v>1136</v>
      </c>
      <c r="F318" s="482" t="s">
        <v>1566</v>
      </c>
      <c r="G318" s="150" t="s">
        <v>1345</v>
      </c>
      <c r="H318" s="150" t="s">
        <v>1437</v>
      </c>
      <c r="I318" s="150" t="s">
        <v>1345</v>
      </c>
      <c r="J318" s="150" t="s">
        <v>1437</v>
      </c>
      <c r="K318" s="150" t="s">
        <v>1346</v>
      </c>
      <c r="L318" s="511" t="s">
        <v>389</v>
      </c>
      <c r="M318" s="392" t="s">
        <v>1703</v>
      </c>
      <c r="N318" s="343"/>
      <c r="O318" s="343"/>
      <c r="P318" s="70" t="s">
        <v>365</v>
      </c>
      <c r="Q318" s="346"/>
      <c r="R318" s="346" t="s">
        <v>1140</v>
      </c>
      <c r="S318" s="346"/>
      <c r="T318" s="150" t="s">
        <v>57</v>
      </c>
      <c r="U318" s="150"/>
      <c r="V318" s="403"/>
      <c r="W318" s="406">
        <v>29055.720000000005</v>
      </c>
      <c r="X318" s="406">
        <v>28350.190000000002</v>
      </c>
      <c r="Y318" s="425"/>
      <c r="Z318" s="71"/>
      <c r="AA318" s="426">
        <v>2204.83</v>
      </c>
      <c r="AB318" s="427">
        <v>2275.48</v>
      </c>
      <c r="AC318" s="427">
        <v>2078.09</v>
      </c>
      <c r="AD318" s="428">
        <v>6776.0599999999995</v>
      </c>
      <c r="AE318" s="429">
        <v>5361.06</v>
      </c>
      <c r="AF318" s="429">
        <v>754.37999999999988</v>
      </c>
      <c r="AG318" s="363">
        <v>2421.31</v>
      </c>
      <c r="AH318" s="363">
        <v>2421.31</v>
      </c>
      <c r="AI318" s="363">
        <v>2421.31</v>
      </c>
      <c r="AJ318" s="363">
        <v>2421.31</v>
      </c>
      <c r="AK318" s="363">
        <v>2421.31</v>
      </c>
      <c r="AL318" s="363">
        <v>2421.31</v>
      </c>
      <c r="AM318" s="360">
        <f t="shared" si="12"/>
        <v>33977.760000000009</v>
      </c>
      <c r="AN318" s="362">
        <f>ERP_26[[#This Row],[2026 Working Total]]-ERP_26[[#This Row],[LE2 Final Submission]]</f>
        <v>5627.570000000007</v>
      </c>
      <c r="AO318" s="79">
        <v>2421.31</v>
      </c>
      <c r="AP318" s="79">
        <f t="shared" si="11"/>
        <v>-1666.93</v>
      </c>
      <c r="AQ318" s="374">
        <f>SUM(ERP_26[[#This Row],[AP01]:[AP06]])-SUM(ERP_26[[#This Row],[AP01 LE2]:[AP06 LE2]])</f>
        <v>5627.5700000000033</v>
      </c>
      <c r="AR318" s="80"/>
      <c r="AS318" s="79">
        <f>ERP_26[[#This Row],[2026 Working Total to Budget/LE]]-ERP_26[[#This Row],[Giveback]]</f>
        <v>5627.570000000007</v>
      </c>
      <c r="AT318" s="81"/>
      <c r="AU318" s="375">
        <v>2204.83</v>
      </c>
      <c r="AV318" s="375">
        <v>2275.48</v>
      </c>
      <c r="AW318" s="375">
        <v>2078.09</v>
      </c>
      <c r="AX318" s="375">
        <v>2421.31</v>
      </c>
      <c r="AY318" s="375">
        <v>2421.31</v>
      </c>
      <c r="AZ318" s="375">
        <v>2421.31</v>
      </c>
      <c r="BA318" s="375">
        <v>2421.31</v>
      </c>
      <c r="BB318" s="375">
        <v>2421.31</v>
      </c>
      <c r="BC318" s="375">
        <v>2421.31</v>
      </c>
      <c r="BD318" s="375">
        <v>2421.31</v>
      </c>
      <c r="BE318" s="375">
        <v>2421.31</v>
      </c>
      <c r="BF318" s="375">
        <v>2421.31</v>
      </c>
      <c r="BG318" s="375">
        <v>28350.190000000002</v>
      </c>
      <c r="BH318" s="79">
        <v>2204.83</v>
      </c>
      <c r="BI318" s="79">
        <v>2275.48</v>
      </c>
      <c r="BJ318" s="79">
        <v>2078.09</v>
      </c>
      <c r="BK318" s="79">
        <v>2421.31</v>
      </c>
      <c r="BL318" s="79">
        <v>2421.31</v>
      </c>
      <c r="BM318" s="79">
        <v>2421.31</v>
      </c>
      <c r="BN318" s="79">
        <v>2421.31</v>
      </c>
      <c r="BO318" s="79">
        <v>2421.31</v>
      </c>
      <c r="BP318" s="79">
        <v>2421.31</v>
      </c>
      <c r="BQ318" s="79">
        <v>2421.31</v>
      </c>
      <c r="BR318" s="79">
        <v>2421.31</v>
      </c>
      <c r="BS318" s="79">
        <v>2421.31</v>
      </c>
      <c r="BT318" s="79">
        <v>28350.190000000002</v>
      </c>
    </row>
    <row r="319" spans="1:72" ht="15" customHeight="1">
      <c r="A319" s="66" t="s">
        <v>2027</v>
      </c>
      <c r="B319" s="66"/>
      <c r="C319" s="66" t="s">
        <v>534</v>
      </c>
      <c r="D319" s="66" t="s">
        <v>2028</v>
      </c>
      <c r="E319" s="150" t="s">
        <v>1136</v>
      </c>
      <c r="F319" s="482" t="s">
        <v>1566</v>
      </c>
      <c r="G319" s="150" t="s">
        <v>1345</v>
      </c>
      <c r="H319" s="150" t="s">
        <v>1437</v>
      </c>
      <c r="I319" s="150" t="s">
        <v>1345</v>
      </c>
      <c r="J319" s="150" t="s">
        <v>1437</v>
      </c>
      <c r="K319" s="150" t="s">
        <v>1346</v>
      </c>
      <c r="L319" s="511" t="s">
        <v>389</v>
      </c>
      <c r="M319" s="392" t="s">
        <v>2029</v>
      </c>
      <c r="N319" s="343"/>
      <c r="O319" s="343"/>
      <c r="P319" s="70" t="s">
        <v>535</v>
      </c>
      <c r="Q319" s="346"/>
      <c r="R319" s="343"/>
      <c r="S319" s="346"/>
      <c r="T319" s="150" t="s">
        <v>57</v>
      </c>
      <c r="U319" s="150"/>
      <c r="V319" s="403"/>
      <c r="W319" s="406">
        <v>0</v>
      </c>
      <c r="X319" s="406">
        <v>5998.6900000000005</v>
      </c>
      <c r="Y319" s="425"/>
      <c r="Z319" s="71"/>
      <c r="AA319" s="426"/>
      <c r="AB319" s="427"/>
      <c r="AC319" s="427">
        <v>1048.69</v>
      </c>
      <c r="AD319" s="428">
        <v>0</v>
      </c>
      <c r="AE319" s="429">
        <v>0</v>
      </c>
      <c r="AF319" s="429">
        <v>0</v>
      </c>
      <c r="AG319" s="363">
        <v>550</v>
      </c>
      <c r="AH319" s="363">
        <v>550</v>
      </c>
      <c r="AI319" s="363">
        <v>550</v>
      </c>
      <c r="AJ319" s="363">
        <v>550</v>
      </c>
      <c r="AK319" s="363">
        <v>550</v>
      </c>
      <c r="AL319" s="363">
        <v>550</v>
      </c>
      <c r="AM319" s="360">
        <f t="shared" si="12"/>
        <v>4348.6900000000005</v>
      </c>
      <c r="AN319" s="362">
        <f>ERP_26[[#This Row],[2026 Working Total]]-ERP_26[[#This Row],[LE2 Final Submission]]</f>
        <v>-1650</v>
      </c>
      <c r="AO319" s="79">
        <v>550</v>
      </c>
      <c r="AP319" s="79">
        <f t="shared" si="11"/>
        <v>-550</v>
      </c>
      <c r="AQ319" s="374">
        <f>SUM(ERP_26[[#This Row],[AP01]:[AP06]])-SUM(ERP_26[[#This Row],[AP01 LE2]:[AP06 LE2]])</f>
        <v>-1650</v>
      </c>
      <c r="AR319" s="80"/>
      <c r="AS319" s="79">
        <f>ERP_26[[#This Row],[2026 Working Total to Budget/LE]]-ERP_26[[#This Row],[Giveback]]</f>
        <v>-1650</v>
      </c>
      <c r="AT319" s="81"/>
      <c r="AU319" s="375"/>
      <c r="AV319" s="375"/>
      <c r="AW319" s="375">
        <v>1048.69</v>
      </c>
      <c r="AX319" s="375">
        <v>550</v>
      </c>
      <c r="AY319" s="375">
        <v>550</v>
      </c>
      <c r="AZ319" s="375">
        <v>550</v>
      </c>
      <c r="BA319" s="375">
        <v>550</v>
      </c>
      <c r="BB319" s="375">
        <v>550</v>
      </c>
      <c r="BC319" s="375">
        <v>550</v>
      </c>
      <c r="BD319" s="375">
        <v>550</v>
      </c>
      <c r="BE319" s="375">
        <v>550</v>
      </c>
      <c r="BF319" s="375">
        <v>550</v>
      </c>
      <c r="BG319" s="375">
        <v>5998.6900000000005</v>
      </c>
      <c r="BH319" s="79"/>
      <c r="BI319" s="79"/>
      <c r="BJ319" s="79">
        <v>1048.69</v>
      </c>
      <c r="BK319" s="79">
        <v>550</v>
      </c>
      <c r="BL319" s="79">
        <v>550</v>
      </c>
      <c r="BM319" s="79">
        <v>550</v>
      </c>
      <c r="BN319" s="79">
        <v>550</v>
      </c>
      <c r="BO319" s="79">
        <v>550</v>
      </c>
      <c r="BP319" s="79">
        <v>550</v>
      </c>
      <c r="BQ319" s="79">
        <v>550</v>
      </c>
      <c r="BR319" s="79">
        <v>550</v>
      </c>
      <c r="BS319" s="79">
        <v>550</v>
      </c>
      <c r="BT319" s="79">
        <v>5998.6900000000005</v>
      </c>
    </row>
    <row r="320" spans="1:72" ht="15" customHeight="1">
      <c r="A320" s="66" t="s">
        <v>2030</v>
      </c>
      <c r="B320" s="66"/>
      <c r="C320" s="66" t="s">
        <v>536</v>
      </c>
      <c r="D320" s="66" t="s">
        <v>536</v>
      </c>
      <c r="E320" s="150" t="s">
        <v>1136</v>
      </c>
      <c r="F320" s="482" t="s">
        <v>1566</v>
      </c>
      <c r="G320" s="150" t="s">
        <v>1345</v>
      </c>
      <c r="H320" s="150" t="s">
        <v>1345</v>
      </c>
      <c r="I320" s="150" t="s">
        <v>1345</v>
      </c>
      <c r="J320" s="150" t="s">
        <v>1345</v>
      </c>
      <c r="K320" s="150" t="s">
        <v>1346</v>
      </c>
      <c r="L320" s="511" t="s">
        <v>389</v>
      </c>
      <c r="M320" s="392" t="s">
        <v>2031</v>
      </c>
      <c r="N320" s="343"/>
      <c r="O320" s="343"/>
      <c r="P320" s="70" t="s">
        <v>537</v>
      </c>
      <c r="Q320" s="346"/>
      <c r="R320" s="343"/>
      <c r="S320" s="346"/>
      <c r="T320" s="150" t="s">
        <v>25</v>
      </c>
      <c r="U320" s="150"/>
      <c r="V320" s="403"/>
      <c r="W320" s="406">
        <v>9476.7599999999984</v>
      </c>
      <c r="X320" s="406">
        <v>8989.8399999999983</v>
      </c>
      <c r="Y320" s="430"/>
      <c r="Z320" s="137"/>
      <c r="AA320" s="426">
        <v>730.3</v>
      </c>
      <c r="AB320" s="427">
        <v>738.84</v>
      </c>
      <c r="AC320" s="427">
        <v>752.07</v>
      </c>
      <c r="AD320" s="428">
        <v>738.27</v>
      </c>
      <c r="AE320" s="429">
        <v>704.13</v>
      </c>
      <c r="AF320" s="429">
        <v>719.83999999999992</v>
      </c>
      <c r="AG320" s="363">
        <v>752.07</v>
      </c>
      <c r="AH320" s="363">
        <v>752.07</v>
      </c>
      <c r="AI320" s="363">
        <v>752.07</v>
      </c>
      <c r="AJ320" s="363">
        <v>752.07</v>
      </c>
      <c r="AK320" s="363">
        <v>752.07</v>
      </c>
      <c r="AL320" s="363">
        <v>752.07</v>
      </c>
      <c r="AM320" s="360">
        <f t="shared" si="12"/>
        <v>8895.869999999999</v>
      </c>
      <c r="AN320" s="362">
        <f>ERP_26[[#This Row],[2026 Working Total]]-ERP_26[[#This Row],[LE2 Final Submission]]</f>
        <v>-93.969999999999345</v>
      </c>
      <c r="AO320" s="79">
        <v>752.07</v>
      </c>
      <c r="AP320" s="79">
        <f t="shared" si="11"/>
        <v>-32.230000000000132</v>
      </c>
      <c r="AQ320" s="374">
        <f>SUM(ERP_26[[#This Row],[AP01]:[AP06]])-SUM(ERP_26[[#This Row],[AP01 LE2]:[AP06 LE2]])</f>
        <v>-93.970000000000255</v>
      </c>
      <c r="AR320" s="80"/>
      <c r="AS320" s="79">
        <f>ERP_26[[#This Row],[2026 Working Total to Budget/LE]]-ERP_26[[#This Row],[Giveback]]</f>
        <v>-93.969999999999345</v>
      </c>
      <c r="AT320" s="81"/>
      <c r="AU320" s="375">
        <v>730.3</v>
      </c>
      <c r="AV320" s="375">
        <v>738.84</v>
      </c>
      <c r="AW320" s="375">
        <v>752.07</v>
      </c>
      <c r="AX320" s="375">
        <v>752.07</v>
      </c>
      <c r="AY320" s="375">
        <v>752.07</v>
      </c>
      <c r="AZ320" s="375">
        <v>752.07</v>
      </c>
      <c r="BA320" s="375">
        <v>752.07</v>
      </c>
      <c r="BB320" s="375">
        <v>752.07</v>
      </c>
      <c r="BC320" s="375">
        <v>752.07</v>
      </c>
      <c r="BD320" s="375">
        <v>752.07</v>
      </c>
      <c r="BE320" s="375">
        <v>752.07</v>
      </c>
      <c r="BF320" s="375">
        <v>752.07</v>
      </c>
      <c r="BG320" s="375">
        <v>8989.8399999999983</v>
      </c>
      <c r="BH320" s="79">
        <v>730.3</v>
      </c>
      <c r="BI320" s="79">
        <v>738.84</v>
      </c>
      <c r="BJ320" s="79">
        <v>752.07</v>
      </c>
      <c r="BK320" s="79">
        <v>789.73</v>
      </c>
      <c r="BL320" s="79">
        <v>789.73</v>
      </c>
      <c r="BM320" s="79">
        <v>789.73</v>
      </c>
      <c r="BN320" s="79">
        <v>789.73</v>
      </c>
      <c r="BO320" s="79">
        <v>789.73</v>
      </c>
      <c r="BP320" s="79">
        <v>789.73</v>
      </c>
      <c r="BQ320" s="79">
        <v>789.73</v>
      </c>
      <c r="BR320" s="79">
        <v>789.73</v>
      </c>
      <c r="BS320" s="79">
        <v>789.73</v>
      </c>
      <c r="BT320" s="79">
        <v>9328.779999999997</v>
      </c>
    </row>
    <row r="321" spans="1:72" ht="15" customHeight="1">
      <c r="A321" s="66" t="s">
        <v>2162</v>
      </c>
      <c r="B321" s="66"/>
      <c r="C321" s="66" t="s">
        <v>613</v>
      </c>
      <c r="D321" s="66" t="s">
        <v>613</v>
      </c>
      <c r="E321" s="150" t="s">
        <v>1136</v>
      </c>
      <c r="F321" s="482" t="s">
        <v>1566</v>
      </c>
      <c r="G321" s="150" t="s">
        <v>1345</v>
      </c>
      <c r="H321" s="150" t="s">
        <v>1345</v>
      </c>
      <c r="I321" s="150" t="s">
        <v>1345</v>
      </c>
      <c r="J321" s="150" t="s">
        <v>1345</v>
      </c>
      <c r="K321" s="150" t="s">
        <v>1346</v>
      </c>
      <c r="L321" s="511" t="s">
        <v>602</v>
      </c>
      <c r="M321" s="392" t="s">
        <v>611</v>
      </c>
      <c r="N321" s="343"/>
      <c r="O321" s="343"/>
      <c r="P321" s="70" t="s">
        <v>610</v>
      </c>
      <c r="Q321" s="346"/>
      <c r="R321" s="343"/>
      <c r="S321" s="346"/>
      <c r="T321" s="150" t="s">
        <v>611</v>
      </c>
      <c r="U321" s="150"/>
      <c r="V321" s="403"/>
      <c r="W321" s="406">
        <v>0</v>
      </c>
      <c r="X321" s="406">
        <v>57</v>
      </c>
      <c r="Y321" s="425"/>
      <c r="Z321" s="71"/>
      <c r="AA321" s="426">
        <v>57</v>
      </c>
      <c r="AB321" s="431">
        <v>0</v>
      </c>
      <c r="AC321" s="431">
        <v>0</v>
      </c>
      <c r="AD321" s="428">
        <v>0</v>
      </c>
      <c r="AE321" s="429">
        <v>16</v>
      </c>
      <c r="AF321" s="429">
        <v>0</v>
      </c>
      <c r="AG321" s="360">
        <v>0</v>
      </c>
      <c r="AH321" s="360">
        <v>0</v>
      </c>
      <c r="AI321" s="360">
        <v>0</v>
      </c>
      <c r="AJ321" s="360">
        <v>0</v>
      </c>
      <c r="AK321" s="360">
        <v>0</v>
      </c>
      <c r="AL321" s="360">
        <v>0</v>
      </c>
      <c r="AM321" s="360">
        <f t="shared" si="12"/>
        <v>73</v>
      </c>
      <c r="AN321" s="362">
        <f>ERP_26[[#This Row],[2026 Working Total]]-ERP_26[[#This Row],[LE2 Final Submission]]</f>
        <v>16</v>
      </c>
      <c r="AO321" s="79">
        <v>0</v>
      </c>
      <c r="AP321" s="79">
        <f t="shared" si="11"/>
        <v>0</v>
      </c>
      <c r="AQ321" s="374">
        <f>SUM(ERP_26[[#This Row],[AP01]:[AP06]])-SUM(ERP_26[[#This Row],[AP01 LE2]:[AP06 LE2]])</f>
        <v>16</v>
      </c>
      <c r="AR321" s="80"/>
      <c r="AS321" s="79">
        <f>ERP_26[[#This Row],[2026 Working Total to Budget/LE]]-ERP_26[[#This Row],[Giveback]]</f>
        <v>16</v>
      </c>
      <c r="AT321" s="81"/>
      <c r="AU321" s="375">
        <v>57</v>
      </c>
      <c r="AV321" s="375">
        <v>0</v>
      </c>
      <c r="AW321" s="375">
        <v>0</v>
      </c>
      <c r="AX321" s="375">
        <v>0</v>
      </c>
      <c r="AY321" s="375">
        <v>0</v>
      </c>
      <c r="AZ321" s="375">
        <v>0</v>
      </c>
      <c r="BA321" s="375">
        <v>0</v>
      </c>
      <c r="BB321" s="375">
        <v>0</v>
      </c>
      <c r="BC321" s="375">
        <v>0</v>
      </c>
      <c r="BD321" s="375">
        <v>0</v>
      </c>
      <c r="BE321" s="375">
        <v>0</v>
      </c>
      <c r="BF321" s="375">
        <v>0</v>
      </c>
      <c r="BG321" s="375">
        <v>57</v>
      </c>
      <c r="BH321" s="79">
        <v>57</v>
      </c>
      <c r="BI321" s="79">
        <v>0</v>
      </c>
      <c r="BJ321" s="79">
        <v>0</v>
      </c>
      <c r="BK321" s="79">
        <v>0</v>
      </c>
      <c r="BL321" s="79">
        <v>0</v>
      </c>
      <c r="BM321" s="79">
        <v>0</v>
      </c>
      <c r="BN321" s="79">
        <v>0</v>
      </c>
      <c r="BO321" s="79">
        <v>0</v>
      </c>
      <c r="BP321" s="79">
        <v>0</v>
      </c>
      <c r="BQ321" s="79">
        <v>0</v>
      </c>
      <c r="BR321" s="79">
        <v>0</v>
      </c>
      <c r="BS321" s="79">
        <v>0</v>
      </c>
      <c r="BT321" s="79">
        <v>57</v>
      </c>
    </row>
    <row r="322" spans="1:72" ht="15" customHeight="1">
      <c r="A322" s="66" t="s">
        <v>2652</v>
      </c>
      <c r="B322" s="66"/>
      <c r="C322" s="66" t="s">
        <v>932</v>
      </c>
      <c r="D322" s="66" t="s">
        <v>2653</v>
      </c>
      <c r="E322" s="150" t="s">
        <v>1136</v>
      </c>
      <c r="F322" s="482" t="s">
        <v>1566</v>
      </c>
      <c r="G322" s="150" t="s">
        <v>1345</v>
      </c>
      <c r="H322" s="150" t="s">
        <v>1437</v>
      </c>
      <c r="I322" s="150" t="s">
        <v>1345</v>
      </c>
      <c r="J322" s="150" t="s">
        <v>1437</v>
      </c>
      <c r="K322" s="150" t="s">
        <v>1346</v>
      </c>
      <c r="L322" s="511" t="s">
        <v>639</v>
      </c>
      <c r="M322" s="392" t="s">
        <v>2654</v>
      </c>
      <c r="N322" s="343"/>
      <c r="O322" s="343"/>
      <c r="P322" s="70" t="s">
        <v>933</v>
      </c>
      <c r="Q322" s="346"/>
      <c r="R322" s="343"/>
      <c r="S322" s="346"/>
      <c r="T322" s="150" t="s">
        <v>152</v>
      </c>
      <c r="U322" s="150" t="s">
        <v>1992</v>
      </c>
      <c r="V322" s="403"/>
      <c r="W322" s="406">
        <v>39999.960000000014</v>
      </c>
      <c r="X322" s="406">
        <v>0</v>
      </c>
      <c r="Y322" s="425"/>
      <c r="Z322" s="71"/>
      <c r="AA322" s="426"/>
      <c r="AB322" s="427"/>
      <c r="AC322" s="427"/>
      <c r="AD322" s="428" t="s">
        <v>1142</v>
      </c>
      <c r="AE322" s="429">
        <v>0</v>
      </c>
      <c r="AF322" s="429">
        <v>0</v>
      </c>
      <c r="AG322" s="363"/>
      <c r="AH322" s="363"/>
      <c r="AI322" s="363"/>
      <c r="AJ322" s="363"/>
      <c r="AK322" s="363"/>
      <c r="AL322" s="363"/>
      <c r="AM322" s="360">
        <f t="shared" si="12"/>
        <v>0</v>
      </c>
      <c r="AN322" s="362">
        <f>ERP_26[[#This Row],[2026 Working Total]]-ERP_26[[#This Row],[LE2 Final Submission]]</f>
        <v>0</v>
      </c>
      <c r="AO322" s="79">
        <v>0</v>
      </c>
      <c r="AP322" s="79">
        <f t="shared" si="11"/>
        <v>0</v>
      </c>
      <c r="AQ322" s="374">
        <f>SUM(ERP_26[[#This Row],[AP01]:[AP06]])-SUM(ERP_26[[#This Row],[AP01 LE2]:[AP06 LE2]])</f>
        <v>0</v>
      </c>
      <c r="AR322" s="80"/>
      <c r="AS322" s="79">
        <f>ERP_26[[#This Row],[2026 Working Total to Budget/LE]]-ERP_26[[#This Row],[Giveback]]</f>
        <v>0</v>
      </c>
      <c r="AT322" s="81" t="s">
        <v>2655</v>
      </c>
      <c r="AU322" s="375"/>
      <c r="AV322" s="375"/>
      <c r="AW322" s="375"/>
      <c r="AX322" s="375"/>
      <c r="AY322" s="375"/>
      <c r="AZ322" s="375"/>
      <c r="BA322" s="375"/>
      <c r="BB322" s="375"/>
      <c r="BC322" s="375"/>
      <c r="BD322" s="375"/>
      <c r="BE322" s="375"/>
      <c r="BF322" s="375"/>
      <c r="BG322" s="375">
        <v>0</v>
      </c>
      <c r="BH322" s="79"/>
      <c r="BI322" s="79"/>
      <c r="BJ322" s="79"/>
      <c r="BK322" s="79">
        <v>4000</v>
      </c>
      <c r="BL322" s="79">
        <v>4000</v>
      </c>
      <c r="BM322" s="79">
        <v>4000</v>
      </c>
      <c r="BN322" s="79">
        <v>4000</v>
      </c>
      <c r="BO322" s="79">
        <v>4000</v>
      </c>
      <c r="BP322" s="79">
        <v>4000</v>
      </c>
      <c r="BQ322" s="79">
        <v>4000</v>
      </c>
      <c r="BR322" s="79">
        <v>4000</v>
      </c>
      <c r="BS322" s="79">
        <v>4000</v>
      </c>
      <c r="BT322" s="79">
        <v>36000</v>
      </c>
    </row>
    <row r="323" spans="1:72" ht="15" customHeight="1">
      <c r="A323" s="66" t="s">
        <v>2656</v>
      </c>
      <c r="B323" s="66"/>
      <c r="C323" s="66" t="s">
        <v>934</v>
      </c>
      <c r="D323" s="66" t="s">
        <v>934</v>
      </c>
      <c r="E323" s="150" t="s">
        <v>1136</v>
      </c>
      <c r="F323" s="482" t="s">
        <v>1566</v>
      </c>
      <c r="G323" s="150" t="s">
        <v>1345</v>
      </c>
      <c r="H323" s="150" t="s">
        <v>1345</v>
      </c>
      <c r="I323" s="150" t="s">
        <v>1345</v>
      </c>
      <c r="J323" s="150" t="s">
        <v>1345</v>
      </c>
      <c r="K323" s="150" t="s">
        <v>1346</v>
      </c>
      <c r="L323" s="511" t="s">
        <v>639</v>
      </c>
      <c r="M323" s="392" t="s">
        <v>2657</v>
      </c>
      <c r="N323" s="343"/>
      <c r="O323" s="343"/>
      <c r="P323" s="70" t="s">
        <v>935</v>
      </c>
      <c r="Q323" s="346"/>
      <c r="R323" s="343"/>
      <c r="S323" s="346"/>
      <c r="T323" s="150" t="s">
        <v>152</v>
      </c>
      <c r="U323" s="150" t="s">
        <v>2658</v>
      </c>
      <c r="V323" s="403"/>
      <c r="W323" s="406">
        <v>0</v>
      </c>
      <c r="X323" s="406">
        <v>0</v>
      </c>
      <c r="Y323" s="430"/>
      <c r="Z323" s="137"/>
      <c r="AA323" s="426"/>
      <c r="AB323" s="427"/>
      <c r="AC323" s="427"/>
      <c r="AD323" s="428" t="s">
        <v>1142</v>
      </c>
      <c r="AE323" s="429">
        <v>0</v>
      </c>
      <c r="AF323" s="429">
        <v>0</v>
      </c>
      <c r="AG323" s="363">
        <v>0</v>
      </c>
      <c r="AH323" s="363">
        <v>81120</v>
      </c>
      <c r="AI323" s="363">
        <v>-81120</v>
      </c>
      <c r="AJ323" s="363">
        <v>0</v>
      </c>
      <c r="AK323" s="363">
        <v>0</v>
      </c>
      <c r="AL323" s="363">
        <v>0</v>
      </c>
      <c r="AM323" s="360">
        <f t="shared" si="12"/>
        <v>0</v>
      </c>
      <c r="AN323" s="362">
        <f>ERP_26[[#This Row],[2026 Working Total]]-ERP_26[[#This Row],[LE2 Final Submission]]</f>
        <v>0</v>
      </c>
      <c r="AO323" s="79">
        <v>0</v>
      </c>
      <c r="AP323" s="79">
        <f t="shared" si="11"/>
        <v>0</v>
      </c>
      <c r="AQ323" s="374">
        <f>SUM(ERP_26[[#This Row],[AP01]:[AP06]])-SUM(ERP_26[[#This Row],[AP01 LE2]:[AP06 LE2]])</f>
        <v>0</v>
      </c>
      <c r="AR323" s="80"/>
      <c r="AS323" s="79">
        <f>ERP_26[[#This Row],[2026 Working Total to Budget/LE]]-ERP_26[[#This Row],[Giveback]]</f>
        <v>0</v>
      </c>
      <c r="AT323" s="81"/>
      <c r="AU323" s="375"/>
      <c r="AV323" s="375"/>
      <c r="AW323" s="375"/>
      <c r="AX323" s="375">
        <v>0</v>
      </c>
      <c r="AY323" s="375">
        <v>0</v>
      </c>
      <c r="AZ323" s="375">
        <v>0</v>
      </c>
      <c r="BA323" s="375">
        <v>0</v>
      </c>
      <c r="BB323" s="375">
        <v>81120</v>
      </c>
      <c r="BC323" s="375">
        <v>-81120</v>
      </c>
      <c r="BD323" s="375">
        <v>0</v>
      </c>
      <c r="BE323" s="375">
        <v>0</v>
      </c>
      <c r="BF323" s="375">
        <v>0</v>
      </c>
      <c r="BG323" s="375">
        <v>0</v>
      </c>
      <c r="BH323" s="79"/>
      <c r="BI323" s="79"/>
      <c r="BJ323" s="79"/>
      <c r="BK323" s="79">
        <v>3235.5</v>
      </c>
      <c r="BL323" s="79">
        <v>3235.5</v>
      </c>
      <c r="BM323" s="79">
        <v>3235.5</v>
      </c>
      <c r="BN323" s="79">
        <v>3235.5</v>
      </c>
      <c r="BO323" s="79">
        <v>3235.5</v>
      </c>
      <c r="BP323" s="79">
        <v>3235.5</v>
      </c>
      <c r="BQ323" s="79">
        <v>3235.5</v>
      </c>
      <c r="BR323" s="79">
        <v>3235.5</v>
      </c>
      <c r="BS323" s="79">
        <v>-35590.5</v>
      </c>
      <c r="BT323" s="79">
        <v>-9706.5</v>
      </c>
    </row>
    <row r="324" spans="1:72" ht="15" customHeight="1">
      <c r="A324" s="66" t="s">
        <v>2659</v>
      </c>
      <c r="B324" s="66"/>
      <c r="C324" s="66" t="s">
        <v>936</v>
      </c>
      <c r="D324" s="66" t="s">
        <v>936</v>
      </c>
      <c r="E324" s="150" t="s">
        <v>1136</v>
      </c>
      <c r="F324" s="482" t="s">
        <v>1566</v>
      </c>
      <c r="G324" s="150" t="s">
        <v>1345</v>
      </c>
      <c r="H324" s="150" t="s">
        <v>1345</v>
      </c>
      <c r="I324" s="150" t="s">
        <v>1345</v>
      </c>
      <c r="J324" s="150" t="s">
        <v>1345</v>
      </c>
      <c r="K324" s="150" t="s">
        <v>1346</v>
      </c>
      <c r="L324" s="511" t="s">
        <v>639</v>
      </c>
      <c r="M324" s="392" t="s">
        <v>2660</v>
      </c>
      <c r="N324" s="343"/>
      <c r="O324" s="343"/>
      <c r="P324" s="70" t="s">
        <v>937</v>
      </c>
      <c r="Q324" s="343" t="s">
        <v>1139</v>
      </c>
      <c r="R324" s="343"/>
      <c r="S324" s="346"/>
      <c r="T324" s="150" t="s">
        <v>152</v>
      </c>
      <c r="U324" s="150" t="s">
        <v>2661</v>
      </c>
      <c r="V324" s="403"/>
      <c r="W324" s="406">
        <v>174240</v>
      </c>
      <c r="X324" s="406">
        <v>0</v>
      </c>
      <c r="Y324" s="425"/>
      <c r="Z324" s="71"/>
      <c r="AA324" s="426"/>
      <c r="AB324" s="427"/>
      <c r="AC324" s="427"/>
      <c r="AD324" s="428" t="s">
        <v>1142</v>
      </c>
      <c r="AE324" s="429">
        <v>0</v>
      </c>
      <c r="AF324" s="429">
        <v>0</v>
      </c>
      <c r="AG324" s="363">
        <f t="shared" ref="AG324:AL324" si="14">14520-14520</f>
        <v>0</v>
      </c>
      <c r="AH324" s="363">
        <f t="shared" si="14"/>
        <v>0</v>
      </c>
      <c r="AI324" s="363">
        <f t="shared" si="14"/>
        <v>0</v>
      </c>
      <c r="AJ324" s="363">
        <f t="shared" si="14"/>
        <v>0</v>
      </c>
      <c r="AK324" s="363">
        <f t="shared" si="14"/>
        <v>0</v>
      </c>
      <c r="AL324" s="363">
        <f t="shared" si="14"/>
        <v>0</v>
      </c>
      <c r="AM324" s="360">
        <f t="shared" si="12"/>
        <v>0</v>
      </c>
      <c r="AN324" s="362">
        <f>ERP_26[[#This Row],[2026 Working Total]]-ERP_26[[#This Row],[LE2 Final Submission]]</f>
        <v>0</v>
      </c>
      <c r="AO324" s="79"/>
      <c r="AP324" s="79">
        <f t="shared" si="11"/>
        <v>0</v>
      </c>
      <c r="AQ324" s="374">
        <f>SUM(ERP_26[[#This Row],[AP01]:[AP06]])-SUM(ERP_26[[#This Row],[AP01 LE2]:[AP06 LE2]])</f>
        <v>0</v>
      </c>
      <c r="AR324" s="80"/>
      <c r="AS324" s="79">
        <f>ERP_26[[#This Row],[2026 Working Total to Budget/LE]]-ERP_26[[#This Row],[Giveback]]</f>
        <v>0</v>
      </c>
      <c r="AT324" s="81"/>
      <c r="AU324" s="375"/>
      <c r="AV324" s="375"/>
      <c r="AW324" s="375"/>
      <c r="AX324" s="375">
        <v>0</v>
      </c>
      <c r="AY324" s="375">
        <v>0</v>
      </c>
      <c r="AZ324" s="375">
        <v>0</v>
      </c>
      <c r="BA324" s="375">
        <v>0</v>
      </c>
      <c r="BB324" s="375">
        <v>0</v>
      </c>
      <c r="BC324" s="375">
        <v>0</v>
      </c>
      <c r="BD324" s="375">
        <v>0</v>
      </c>
      <c r="BE324" s="375">
        <v>0</v>
      </c>
      <c r="BF324" s="375">
        <v>0</v>
      </c>
      <c r="BG324" s="375">
        <v>0</v>
      </c>
      <c r="BH324" s="79"/>
      <c r="BI324" s="79"/>
      <c r="BJ324" s="79"/>
      <c r="BK324" s="79">
        <v>14520</v>
      </c>
      <c r="BL324" s="79">
        <v>14520</v>
      </c>
      <c r="BM324" s="79">
        <v>14520</v>
      </c>
      <c r="BN324" s="79">
        <v>14520</v>
      </c>
      <c r="BO324" s="79">
        <v>14520</v>
      </c>
      <c r="BP324" s="79">
        <v>14520</v>
      </c>
      <c r="BQ324" s="79">
        <v>14520</v>
      </c>
      <c r="BR324" s="79">
        <v>14520</v>
      </c>
      <c r="BS324" s="79">
        <v>14520</v>
      </c>
      <c r="BT324" s="79">
        <v>130680</v>
      </c>
    </row>
    <row r="325" spans="1:72" ht="15" customHeight="1">
      <c r="A325" s="66" t="s">
        <v>2662</v>
      </c>
      <c r="B325" s="66"/>
      <c r="C325" s="66" t="s">
        <v>938</v>
      </c>
      <c r="D325" s="66" t="s">
        <v>938</v>
      </c>
      <c r="E325" s="150" t="s">
        <v>1136</v>
      </c>
      <c r="F325" s="482" t="s">
        <v>1566</v>
      </c>
      <c r="G325" s="150" t="s">
        <v>1345</v>
      </c>
      <c r="H325" s="150" t="s">
        <v>1345</v>
      </c>
      <c r="I325" s="150" t="s">
        <v>1345</v>
      </c>
      <c r="J325" s="150" t="s">
        <v>1345</v>
      </c>
      <c r="K325" s="150" t="s">
        <v>1346</v>
      </c>
      <c r="L325" s="511" t="s">
        <v>639</v>
      </c>
      <c r="M325" s="392" t="s">
        <v>2663</v>
      </c>
      <c r="N325" s="343"/>
      <c r="O325" s="343"/>
      <c r="P325" s="70" t="s">
        <v>939</v>
      </c>
      <c r="Q325" s="343" t="s">
        <v>1139</v>
      </c>
      <c r="R325" s="343"/>
      <c r="S325" s="346"/>
      <c r="T325" s="150" t="s">
        <v>152</v>
      </c>
      <c r="U325" s="150" t="s">
        <v>2661</v>
      </c>
      <c r="V325" s="403"/>
      <c r="W325" s="406">
        <v>266860.99999999988</v>
      </c>
      <c r="X325" s="406">
        <v>0</v>
      </c>
      <c r="Y325" s="425"/>
      <c r="Z325" s="71"/>
      <c r="AA325" s="426"/>
      <c r="AB325" s="427"/>
      <c r="AC325" s="427"/>
      <c r="AD325" s="428" t="s">
        <v>1142</v>
      </c>
      <c r="AE325" s="429">
        <v>0</v>
      </c>
      <c r="AF325" s="429">
        <v>0</v>
      </c>
      <c r="AG325" s="363">
        <f t="shared" ref="AG325:AL325" si="15">22238.42-22238.42</f>
        <v>0</v>
      </c>
      <c r="AH325" s="363">
        <f t="shared" si="15"/>
        <v>0</v>
      </c>
      <c r="AI325" s="363">
        <f t="shared" si="15"/>
        <v>0</v>
      </c>
      <c r="AJ325" s="363">
        <f t="shared" si="15"/>
        <v>0</v>
      </c>
      <c r="AK325" s="363">
        <f t="shared" si="15"/>
        <v>0</v>
      </c>
      <c r="AL325" s="363">
        <f t="shared" si="15"/>
        <v>0</v>
      </c>
      <c r="AM325" s="360">
        <f t="shared" si="12"/>
        <v>0</v>
      </c>
      <c r="AN325" s="362">
        <f>ERP_26[[#This Row],[2026 Working Total]]-ERP_26[[#This Row],[LE2 Final Submission]]</f>
        <v>0</v>
      </c>
      <c r="AO325" s="79">
        <v>924.99</v>
      </c>
      <c r="AP325" s="79">
        <f t="shared" si="11"/>
        <v>-924.99</v>
      </c>
      <c r="AQ325" s="374">
        <f>SUM(ERP_26[[#This Row],[AP01]:[AP06]])-SUM(ERP_26[[#This Row],[AP01 LE2]:[AP06 LE2]])</f>
        <v>0</v>
      </c>
      <c r="AR325" s="80"/>
      <c r="AS325" s="79">
        <f>ERP_26[[#This Row],[2026 Working Total to Budget/LE]]-ERP_26[[#This Row],[Giveback]]</f>
        <v>0</v>
      </c>
      <c r="AT325" s="81"/>
      <c r="AU325" s="375"/>
      <c r="AV325" s="375"/>
      <c r="AW325" s="375"/>
      <c r="AX325" s="375">
        <v>0</v>
      </c>
      <c r="AY325" s="375">
        <v>0</v>
      </c>
      <c r="AZ325" s="375">
        <v>0</v>
      </c>
      <c r="BA325" s="375">
        <v>0</v>
      </c>
      <c r="BB325" s="375">
        <v>0</v>
      </c>
      <c r="BC325" s="375">
        <v>0</v>
      </c>
      <c r="BD325" s="375">
        <v>0</v>
      </c>
      <c r="BE325" s="375">
        <v>0</v>
      </c>
      <c r="BF325" s="375">
        <v>0</v>
      </c>
      <c r="BG325" s="375">
        <v>0</v>
      </c>
      <c r="BH325" s="79"/>
      <c r="BI325" s="79"/>
      <c r="BJ325" s="79"/>
      <c r="BK325" s="79">
        <v>22238.42</v>
      </c>
      <c r="BL325" s="79">
        <v>22238.42</v>
      </c>
      <c r="BM325" s="79">
        <v>22238.42</v>
      </c>
      <c r="BN325" s="79">
        <v>22238.42</v>
      </c>
      <c r="BO325" s="79">
        <v>22238.42</v>
      </c>
      <c r="BP325" s="79">
        <v>22238.42</v>
      </c>
      <c r="BQ325" s="79">
        <v>22238.42</v>
      </c>
      <c r="BR325" s="79">
        <v>22238.42</v>
      </c>
      <c r="BS325" s="79">
        <v>22238.42</v>
      </c>
      <c r="BT325" s="79">
        <v>200145.77999999997</v>
      </c>
    </row>
    <row r="326" spans="1:72" ht="15" customHeight="1">
      <c r="A326" s="79" t="s">
        <v>2667</v>
      </c>
      <c r="B326" s="79"/>
      <c r="C326" s="79" t="s">
        <v>941</v>
      </c>
      <c r="D326" s="296" t="s">
        <v>941</v>
      </c>
      <c r="E326" s="150" t="s">
        <v>1136</v>
      </c>
      <c r="F326" s="482" t="s">
        <v>1566</v>
      </c>
      <c r="G326" s="150" t="s">
        <v>1345</v>
      </c>
      <c r="H326" s="150" t="s">
        <v>1345</v>
      </c>
      <c r="I326" s="332" t="s">
        <v>1345</v>
      </c>
      <c r="J326" s="332" t="s">
        <v>1345</v>
      </c>
      <c r="K326" s="332" t="s">
        <v>1345</v>
      </c>
      <c r="L326" s="514" t="s">
        <v>639</v>
      </c>
      <c r="M326" s="394" t="s">
        <v>2668</v>
      </c>
      <c r="N326" s="343"/>
      <c r="O326" s="333"/>
      <c r="P326" s="70" t="s">
        <v>53</v>
      </c>
      <c r="Q326" s="347"/>
      <c r="R326" s="343"/>
      <c r="S326" s="348"/>
      <c r="T326" s="348"/>
      <c r="U326" s="348" t="s">
        <v>1700</v>
      </c>
      <c r="V326" s="402"/>
      <c r="W326" s="358"/>
      <c r="X326" s="379">
        <v>0</v>
      </c>
      <c r="Y326" s="425"/>
      <c r="Z326" s="71"/>
      <c r="AA326" s="435"/>
      <c r="AB326" s="436"/>
      <c r="AC326" s="436"/>
      <c r="AD326" s="428" t="s">
        <v>1142</v>
      </c>
      <c r="AE326" s="429">
        <v>0</v>
      </c>
      <c r="AF326" s="429">
        <v>0</v>
      </c>
      <c r="AG326" s="364"/>
      <c r="AH326" s="364"/>
      <c r="AI326" s="364"/>
      <c r="AJ326" s="364"/>
      <c r="AK326" s="364"/>
      <c r="AL326" s="364"/>
      <c r="AM326" s="360">
        <f t="shared" si="12"/>
        <v>0</v>
      </c>
      <c r="AN326" s="362">
        <f>ERP_26[[#This Row],[2026 Working Total]]-ERP_26[[#This Row],[LE2 Final Submission]]</f>
        <v>0</v>
      </c>
      <c r="AO326" s="79">
        <v>-180</v>
      </c>
      <c r="AP326" s="79">
        <f t="shared" si="11"/>
        <v>180</v>
      </c>
      <c r="AQ326" s="374">
        <f>SUM(ERP_26[[#This Row],[AP01]:[AP06]])-SUM(ERP_26[[#This Row],[AP01 LE2]:[AP06 LE2]])</f>
        <v>0</v>
      </c>
      <c r="AR326" s="80"/>
      <c r="AS326" s="79">
        <f>ERP_26[[#This Row],[2026 Working Total to Budget/LE]]-ERP_26[[#This Row],[Giveback]]</f>
        <v>0</v>
      </c>
      <c r="AT326" s="81"/>
      <c r="AU326" s="375"/>
      <c r="AV326" s="375"/>
      <c r="AW326" s="375"/>
      <c r="AX326" s="375">
        <v>180</v>
      </c>
      <c r="AY326" s="375">
        <v>-180</v>
      </c>
      <c r="AZ326" s="375"/>
      <c r="BA326" s="375"/>
      <c r="BB326" s="375"/>
      <c r="BC326" s="375"/>
      <c r="BD326" s="375"/>
      <c r="BE326" s="375"/>
      <c r="BF326" s="375"/>
      <c r="BG326" s="375">
        <v>0</v>
      </c>
      <c r="BH326" s="79"/>
      <c r="BI326" s="79"/>
      <c r="BJ326" s="79"/>
      <c r="BK326" s="79"/>
      <c r="BL326" s="79"/>
      <c r="BM326" s="79"/>
      <c r="BN326" s="79"/>
      <c r="BO326" s="79"/>
      <c r="BP326" s="79"/>
      <c r="BQ326" s="79"/>
      <c r="BR326" s="79"/>
      <c r="BS326" s="79"/>
      <c r="BT326" s="79"/>
    </row>
    <row r="327" spans="1:72" ht="15" customHeight="1">
      <c r="A327" s="66" t="s">
        <v>2669</v>
      </c>
      <c r="B327" s="66"/>
      <c r="C327" s="66" t="s">
        <v>942</v>
      </c>
      <c r="D327" s="66" t="s">
        <v>2670</v>
      </c>
      <c r="E327" s="150" t="s">
        <v>1136</v>
      </c>
      <c r="F327" s="482" t="s">
        <v>1566</v>
      </c>
      <c r="G327" s="150" t="s">
        <v>1345</v>
      </c>
      <c r="H327" s="150" t="s">
        <v>1437</v>
      </c>
      <c r="I327" s="150" t="s">
        <v>1345</v>
      </c>
      <c r="J327" s="150" t="s">
        <v>1437</v>
      </c>
      <c r="K327" s="150" t="s">
        <v>1346</v>
      </c>
      <c r="L327" s="511" t="s">
        <v>639</v>
      </c>
      <c r="M327" s="392" t="s">
        <v>1174</v>
      </c>
      <c r="N327" s="343"/>
      <c r="O327" s="343"/>
      <c r="P327" s="70" t="s">
        <v>56</v>
      </c>
      <c r="Q327" s="346"/>
      <c r="R327" s="346" t="s">
        <v>1140</v>
      </c>
      <c r="S327" s="346"/>
      <c r="T327" s="150" t="s">
        <v>57</v>
      </c>
      <c r="U327" s="150"/>
      <c r="V327" s="403"/>
      <c r="W327" s="406">
        <v>23474.640000000003</v>
      </c>
      <c r="X327" s="406">
        <v>27085.450000000004</v>
      </c>
      <c r="Y327" s="425"/>
      <c r="Z327" s="71"/>
      <c r="AA327" s="426">
        <v>1816.49</v>
      </c>
      <c r="AB327" s="427">
        <v>1816.49</v>
      </c>
      <c r="AC327" s="427">
        <v>5846.49</v>
      </c>
      <c r="AD327" s="428">
        <v>1816.49</v>
      </c>
      <c r="AE327" s="429">
        <v>1816.49</v>
      </c>
      <c r="AF327" s="429">
        <v>1816.49</v>
      </c>
      <c r="AG327" s="363">
        <v>1956.22</v>
      </c>
      <c r="AH327" s="363">
        <v>1956.22</v>
      </c>
      <c r="AI327" s="363">
        <v>1956.22</v>
      </c>
      <c r="AJ327" s="363">
        <v>1956.22</v>
      </c>
      <c r="AK327" s="363">
        <v>1956.22</v>
      </c>
      <c r="AL327" s="363">
        <v>1956.22</v>
      </c>
      <c r="AM327" s="360">
        <f t="shared" si="12"/>
        <v>26666.260000000006</v>
      </c>
      <c r="AN327" s="362">
        <f>ERP_26[[#This Row],[2026 Working Total]]-ERP_26[[#This Row],[LE2 Final Submission]]</f>
        <v>-419.18999999999869</v>
      </c>
      <c r="AO327" s="79">
        <v>1956.22</v>
      </c>
      <c r="AP327" s="79">
        <f t="shared" si="11"/>
        <v>-139.73000000000002</v>
      </c>
      <c r="AQ327" s="374">
        <f>SUM(ERP_26[[#This Row],[AP01]:[AP06]])-SUM(ERP_26[[#This Row],[AP01 LE2]:[AP06 LE2]])</f>
        <v>-419.18999999999869</v>
      </c>
      <c r="AR327" s="80"/>
      <c r="AS327" s="79">
        <f>ERP_26[[#This Row],[2026 Working Total to Budget/LE]]-ERP_26[[#This Row],[Giveback]]</f>
        <v>-419.18999999999869</v>
      </c>
      <c r="AT327" s="81"/>
      <c r="AU327" s="375">
        <v>1816.49</v>
      </c>
      <c r="AV327" s="375">
        <v>1816.49</v>
      </c>
      <c r="AW327" s="375">
        <v>5846.49</v>
      </c>
      <c r="AX327" s="375">
        <v>1956.22</v>
      </c>
      <c r="AY327" s="375">
        <v>1956.22</v>
      </c>
      <c r="AZ327" s="375">
        <v>1956.22</v>
      </c>
      <c r="BA327" s="375">
        <v>1956.22</v>
      </c>
      <c r="BB327" s="375">
        <v>1956.22</v>
      </c>
      <c r="BC327" s="375">
        <v>1956.22</v>
      </c>
      <c r="BD327" s="375">
        <v>1956.22</v>
      </c>
      <c r="BE327" s="375">
        <v>1956.22</v>
      </c>
      <c r="BF327" s="375">
        <v>1956.22</v>
      </c>
      <c r="BG327" s="375">
        <v>27085.450000000004</v>
      </c>
      <c r="BH327" s="79">
        <v>1816.49</v>
      </c>
      <c r="BI327" s="79">
        <v>1816.49</v>
      </c>
      <c r="BJ327" s="79">
        <v>5846.49</v>
      </c>
      <c r="BK327" s="79">
        <v>1956.22</v>
      </c>
      <c r="BL327" s="79">
        <v>1956.22</v>
      </c>
      <c r="BM327" s="79">
        <v>1956.22</v>
      </c>
      <c r="BN327" s="79">
        <v>1956.22</v>
      </c>
      <c r="BO327" s="79">
        <v>1956.22</v>
      </c>
      <c r="BP327" s="79">
        <v>1956.22</v>
      </c>
      <c r="BQ327" s="79">
        <v>1956.22</v>
      </c>
      <c r="BR327" s="79">
        <v>1956.22</v>
      </c>
      <c r="BS327" s="79">
        <v>1956.22</v>
      </c>
      <c r="BT327" s="79">
        <v>27085.450000000004</v>
      </c>
    </row>
    <row r="328" spans="1:72" ht="15" customHeight="1">
      <c r="A328" s="66" t="s">
        <v>2671</v>
      </c>
      <c r="B328" s="66"/>
      <c r="C328" s="66" t="s">
        <v>943</v>
      </c>
      <c r="D328" s="66" t="s">
        <v>2672</v>
      </c>
      <c r="E328" s="150" t="s">
        <v>1136</v>
      </c>
      <c r="F328" s="482" t="s">
        <v>1566</v>
      </c>
      <c r="G328" s="150" t="s">
        <v>1345</v>
      </c>
      <c r="H328" s="150" t="s">
        <v>1437</v>
      </c>
      <c r="I328" s="150" t="s">
        <v>1345</v>
      </c>
      <c r="J328" s="150" t="s">
        <v>1437</v>
      </c>
      <c r="K328" s="150" t="s">
        <v>1346</v>
      </c>
      <c r="L328" s="511" t="s">
        <v>639</v>
      </c>
      <c r="M328" s="392" t="s">
        <v>2673</v>
      </c>
      <c r="N328" s="343" t="s">
        <v>2674</v>
      </c>
      <c r="O328" s="346" t="s">
        <v>2675</v>
      </c>
      <c r="P328" s="70" t="s">
        <v>944</v>
      </c>
      <c r="Q328" s="346"/>
      <c r="R328" s="346" t="s">
        <v>2676</v>
      </c>
      <c r="S328" s="346"/>
      <c r="T328" s="150" t="s">
        <v>25</v>
      </c>
      <c r="U328" s="150"/>
      <c r="V328" s="403"/>
      <c r="W328" s="406">
        <v>0</v>
      </c>
      <c r="X328" s="406">
        <v>729.19</v>
      </c>
      <c r="Y328" s="425"/>
      <c r="Z328" s="71"/>
      <c r="AA328" s="426">
        <v>139.72999999999999</v>
      </c>
      <c r="AB328" s="427">
        <v>139.72999999999999</v>
      </c>
      <c r="AC328" s="427">
        <v>449.73</v>
      </c>
      <c r="AD328" s="428">
        <v>139.72999999999999</v>
      </c>
      <c r="AE328" s="429">
        <v>139.72999999999999</v>
      </c>
      <c r="AF328" s="429">
        <v>139.72999999999999</v>
      </c>
      <c r="AG328" s="360">
        <v>0</v>
      </c>
      <c r="AH328" s="360">
        <v>0</v>
      </c>
      <c r="AI328" s="360">
        <v>0</v>
      </c>
      <c r="AJ328" s="360">
        <v>0</v>
      </c>
      <c r="AK328" s="360">
        <v>0</v>
      </c>
      <c r="AL328" s="360">
        <v>0</v>
      </c>
      <c r="AM328" s="360">
        <f t="shared" si="12"/>
        <v>1148.3800000000001</v>
      </c>
      <c r="AN328" s="362">
        <f>ERP_26[[#This Row],[2026 Working Total]]-ERP_26[[#This Row],[LE2 Final Submission]]</f>
        <v>419.19000000000005</v>
      </c>
      <c r="AO328" s="79">
        <v>0</v>
      </c>
      <c r="AP328" s="79">
        <f t="shared" ref="AP328:AP391" si="16">$AF328 - $AO328</f>
        <v>139.72999999999999</v>
      </c>
      <c r="AQ328" s="374">
        <f>SUM(ERP_26[[#This Row],[AP01]:[AP06]])-SUM(ERP_26[[#This Row],[AP01 LE2]:[AP06 LE2]])</f>
        <v>419.19000000000005</v>
      </c>
      <c r="AR328" s="80"/>
      <c r="AS328" s="79">
        <f>ERP_26[[#This Row],[2026 Working Total to Budget/LE]]-ERP_26[[#This Row],[Giveback]]</f>
        <v>419.19000000000005</v>
      </c>
      <c r="AT328" s="81"/>
      <c r="AU328" s="375">
        <v>139.72999999999999</v>
      </c>
      <c r="AV328" s="375">
        <v>139.72999999999999</v>
      </c>
      <c r="AW328" s="375">
        <v>449.73</v>
      </c>
      <c r="AX328" s="375">
        <v>0</v>
      </c>
      <c r="AY328" s="375">
        <v>0</v>
      </c>
      <c r="AZ328" s="375">
        <v>0</v>
      </c>
      <c r="BA328" s="375">
        <v>0</v>
      </c>
      <c r="BB328" s="375">
        <v>0</v>
      </c>
      <c r="BC328" s="375">
        <v>0</v>
      </c>
      <c r="BD328" s="375">
        <v>0</v>
      </c>
      <c r="BE328" s="375">
        <v>0</v>
      </c>
      <c r="BF328" s="375">
        <v>0</v>
      </c>
      <c r="BG328" s="375">
        <v>729.19</v>
      </c>
      <c r="BH328" s="79">
        <v>139.72999999999999</v>
      </c>
      <c r="BI328" s="79">
        <v>139.72999999999999</v>
      </c>
      <c r="BJ328" s="79">
        <v>449.73</v>
      </c>
      <c r="BK328" s="79">
        <v>0</v>
      </c>
      <c r="BL328" s="79">
        <v>0</v>
      </c>
      <c r="BM328" s="79">
        <v>0</v>
      </c>
      <c r="BN328" s="79">
        <v>0</v>
      </c>
      <c r="BO328" s="79">
        <v>0</v>
      </c>
      <c r="BP328" s="79">
        <v>0</v>
      </c>
      <c r="BQ328" s="79">
        <v>0</v>
      </c>
      <c r="BR328" s="79">
        <v>0</v>
      </c>
      <c r="BS328" s="79">
        <v>0</v>
      </c>
      <c r="BT328" s="79">
        <v>729.19</v>
      </c>
    </row>
    <row r="329" spans="1:72" ht="15" customHeight="1">
      <c r="A329" s="66" t="s">
        <v>2677</v>
      </c>
      <c r="B329" s="66"/>
      <c r="C329" s="66" t="s">
        <v>945</v>
      </c>
      <c r="D329" s="66" t="s">
        <v>2678</v>
      </c>
      <c r="E329" s="150" t="s">
        <v>1136</v>
      </c>
      <c r="F329" s="482" t="s">
        <v>1566</v>
      </c>
      <c r="G329" s="150" t="s">
        <v>1345</v>
      </c>
      <c r="H329" s="150" t="s">
        <v>1437</v>
      </c>
      <c r="I329" s="150" t="s">
        <v>1345</v>
      </c>
      <c r="J329" s="150" t="s">
        <v>1437</v>
      </c>
      <c r="K329" s="150" t="s">
        <v>1346</v>
      </c>
      <c r="L329" s="511" t="s">
        <v>639</v>
      </c>
      <c r="M329" s="392" t="s">
        <v>2274</v>
      </c>
      <c r="N329" s="343"/>
      <c r="O329" s="343"/>
      <c r="P329" s="70" t="s">
        <v>673</v>
      </c>
      <c r="Q329" s="346"/>
      <c r="R329" s="346" t="s">
        <v>1140</v>
      </c>
      <c r="S329" s="346"/>
      <c r="T329" s="150" t="s">
        <v>57</v>
      </c>
      <c r="U329" s="150"/>
      <c r="V329" s="403"/>
      <c r="W329" s="406">
        <v>18499.8</v>
      </c>
      <c r="X329" s="406">
        <v>16958.149999999998</v>
      </c>
      <c r="Y329" s="425"/>
      <c r="Z329" s="71"/>
      <c r="AA329" s="426">
        <v>1541.65</v>
      </c>
      <c r="AB329" s="431">
        <v>0</v>
      </c>
      <c r="AC329" s="427">
        <v>1541.65</v>
      </c>
      <c r="AD329" s="428">
        <v>1541.65</v>
      </c>
      <c r="AE329" s="429">
        <v>1541.65</v>
      </c>
      <c r="AF329" s="429">
        <v>1541.65</v>
      </c>
      <c r="AG329" s="363">
        <v>1541.65</v>
      </c>
      <c r="AH329" s="363">
        <v>1541.65</v>
      </c>
      <c r="AI329" s="363">
        <v>1541.65</v>
      </c>
      <c r="AJ329" s="363">
        <v>1541.65</v>
      </c>
      <c r="AK329" s="363">
        <v>1541.65</v>
      </c>
      <c r="AL329" s="363">
        <v>1541.65</v>
      </c>
      <c r="AM329" s="360">
        <f t="shared" si="12"/>
        <v>16958.149999999998</v>
      </c>
      <c r="AN329" s="362">
        <f>ERP_26[[#This Row],[2026 Working Total]]-ERP_26[[#This Row],[LE2 Final Submission]]</f>
        <v>0</v>
      </c>
      <c r="AO329" s="79">
        <v>1541.65</v>
      </c>
      <c r="AP329" s="79">
        <f t="shared" si="16"/>
        <v>0</v>
      </c>
      <c r="AQ329" s="374">
        <f>SUM(ERP_26[[#This Row],[AP01]:[AP06]])-SUM(ERP_26[[#This Row],[AP01 LE2]:[AP06 LE2]])</f>
        <v>0</v>
      </c>
      <c r="AR329" s="80"/>
      <c r="AS329" s="79">
        <f>ERP_26[[#This Row],[2026 Working Total to Budget/LE]]-ERP_26[[#This Row],[Giveback]]</f>
        <v>0</v>
      </c>
      <c r="AT329" s="81"/>
      <c r="AU329" s="375">
        <v>1541.65</v>
      </c>
      <c r="AV329" s="375">
        <v>0</v>
      </c>
      <c r="AW329" s="375">
        <v>1541.65</v>
      </c>
      <c r="AX329" s="375">
        <v>1541.65</v>
      </c>
      <c r="AY329" s="375">
        <v>1541.65</v>
      </c>
      <c r="AZ329" s="375">
        <v>1541.65</v>
      </c>
      <c r="BA329" s="375">
        <v>1541.65</v>
      </c>
      <c r="BB329" s="375">
        <v>1541.65</v>
      </c>
      <c r="BC329" s="375">
        <v>1541.65</v>
      </c>
      <c r="BD329" s="375">
        <v>1541.65</v>
      </c>
      <c r="BE329" s="375">
        <v>1541.65</v>
      </c>
      <c r="BF329" s="375">
        <v>1541.65</v>
      </c>
      <c r="BG329" s="375">
        <v>16958.149999999998</v>
      </c>
      <c r="BH329" s="79">
        <v>1541.65</v>
      </c>
      <c r="BI329" s="79">
        <v>0</v>
      </c>
      <c r="BJ329" s="79">
        <v>1541.65</v>
      </c>
      <c r="BK329" s="79">
        <v>1541.65</v>
      </c>
      <c r="BL329" s="79">
        <v>1541.65</v>
      </c>
      <c r="BM329" s="79">
        <v>1541.65</v>
      </c>
      <c r="BN329" s="79">
        <v>1541.65</v>
      </c>
      <c r="BO329" s="79">
        <v>1541.65</v>
      </c>
      <c r="BP329" s="79">
        <v>1541.65</v>
      </c>
      <c r="BQ329" s="79">
        <v>1541.65</v>
      </c>
      <c r="BR329" s="79">
        <v>1541.65</v>
      </c>
      <c r="BS329" s="79">
        <v>1541.65</v>
      </c>
      <c r="BT329" s="79">
        <v>16958.149999999998</v>
      </c>
    </row>
    <row r="330" spans="1:72" ht="15" customHeight="1">
      <c r="A330" s="66" t="s">
        <v>2679</v>
      </c>
      <c r="B330" s="66"/>
      <c r="C330" s="66" t="s">
        <v>946</v>
      </c>
      <c r="D330" s="66" t="s">
        <v>946</v>
      </c>
      <c r="E330" s="150" t="s">
        <v>1136</v>
      </c>
      <c r="F330" s="482" t="s">
        <v>1566</v>
      </c>
      <c r="G330" s="150" t="s">
        <v>1345</v>
      </c>
      <c r="H330" s="150" t="s">
        <v>1345</v>
      </c>
      <c r="I330" s="150" t="s">
        <v>1345</v>
      </c>
      <c r="J330" s="150" t="s">
        <v>1345</v>
      </c>
      <c r="K330" s="150" t="s">
        <v>1346</v>
      </c>
      <c r="L330" s="511" t="s">
        <v>639</v>
      </c>
      <c r="M330" s="392" t="s">
        <v>2285</v>
      </c>
      <c r="N330" s="343"/>
      <c r="O330" s="343"/>
      <c r="P330" s="70" t="s">
        <v>676</v>
      </c>
      <c r="Q330" s="346"/>
      <c r="R330" s="346" t="s">
        <v>1140</v>
      </c>
      <c r="S330" s="346"/>
      <c r="T330" s="150" t="s">
        <v>677</v>
      </c>
      <c r="U330" s="150"/>
      <c r="V330" s="403"/>
      <c r="W330" s="406">
        <v>275</v>
      </c>
      <c r="X330" s="406">
        <v>227</v>
      </c>
      <c r="Y330" s="425"/>
      <c r="Z330" s="71"/>
      <c r="AA330" s="426"/>
      <c r="AB330" s="427">
        <v>227</v>
      </c>
      <c r="AC330" s="431">
        <v>0</v>
      </c>
      <c r="AD330" s="428">
        <v>0</v>
      </c>
      <c r="AE330" s="429">
        <v>0</v>
      </c>
      <c r="AF330" s="429">
        <v>0</v>
      </c>
      <c r="AG330" s="360">
        <v>0</v>
      </c>
      <c r="AH330" s="360">
        <v>0</v>
      </c>
      <c r="AI330" s="360">
        <v>0</v>
      </c>
      <c r="AJ330" s="360">
        <v>0</v>
      </c>
      <c r="AK330" s="360">
        <v>0</v>
      </c>
      <c r="AL330" s="360">
        <v>0</v>
      </c>
      <c r="AM330" s="360">
        <f t="shared" si="12"/>
        <v>227</v>
      </c>
      <c r="AN330" s="362">
        <f>ERP_26[[#This Row],[2026 Working Total]]-ERP_26[[#This Row],[LE2 Final Submission]]</f>
        <v>0</v>
      </c>
      <c r="AO330" s="79">
        <v>0</v>
      </c>
      <c r="AP330" s="79">
        <f t="shared" si="16"/>
        <v>0</v>
      </c>
      <c r="AQ330" s="374">
        <f>SUM(ERP_26[[#This Row],[AP01]:[AP06]])-SUM(ERP_26[[#This Row],[AP01 LE2]:[AP06 LE2]])</f>
        <v>0</v>
      </c>
      <c r="AR330" s="80"/>
      <c r="AS330" s="79">
        <f>ERP_26[[#This Row],[2026 Working Total to Budget/LE]]-ERP_26[[#This Row],[Giveback]]</f>
        <v>0</v>
      </c>
      <c r="AT330" s="81"/>
      <c r="AU330" s="375"/>
      <c r="AV330" s="375">
        <v>227</v>
      </c>
      <c r="AW330" s="375">
        <v>0</v>
      </c>
      <c r="AX330" s="375">
        <v>0</v>
      </c>
      <c r="AY330" s="375">
        <v>0</v>
      </c>
      <c r="AZ330" s="375">
        <v>0</v>
      </c>
      <c r="BA330" s="375">
        <v>0</v>
      </c>
      <c r="BB330" s="375">
        <v>0</v>
      </c>
      <c r="BC330" s="375">
        <v>0</v>
      </c>
      <c r="BD330" s="375">
        <v>0</v>
      </c>
      <c r="BE330" s="375">
        <v>0</v>
      </c>
      <c r="BF330" s="375">
        <v>0</v>
      </c>
      <c r="BG330" s="375">
        <v>227</v>
      </c>
      <c r="BH330" s="79"/>
      <c r="BI330" s="79">
        <v>227</v>
      </c>
      <c r="BJ330" s="79">
        <v>0</v>
      </c>
      <c r="BK330" s="79">
        <v>0</v>
      </c>
      <c r="BL330" s="79">
        <v>0</v>
      </c>
      <c r="BM330" s="79">
        <v>0</v>
      </c>
      <c r="BN330" s="79">
        <v>0</v>
      </c>
      <c r="BO330" s="79">
        <v>0</v>
      </c>
      <c r="BP330" s="79">
        <v>0</v>
      </c>
      <c r="BQ330" s="79">
        <v>0</v>
      </c>
      <c r="BR330" s="79">
        <v>0</v>
      </c>
      <c r="BS330" s="79">
        <v>0</v>
      </c>
      <c r="BT330" s="79">
        <v>227</v>
      </c>
    </row>
    <row r="331" spans="1:72" ht="15" customHeight="1">
      <c r="A331" s="66" t="s">
        <v>2680</v>
      </c>
      <c r="B331" s="66"/>
      <c r="C331" s="66" t="s">
        <v>947</v>
      </c>
      <c r="D331" s="66" t="s">
        <v>2681</v>
      </c>
      <c r="E331" s="150" t="s">
        <v>1136</v>
      </c>
      <c r="F331" s="482" t="s">
        <v>1566</v>
      </c>
      <c r="G331" s="150" t="s">
        <v>1345</v>
      </c>
      <c r="H331" s="150" t="s">
        <v>1437</v>
      </c>
      <c r="I331" s="150" t="s">
        <v>1345</v>
      </c>
      <c r="J331" s="150" t="s">
        <v>1437</v>
      </c>
      <c r="K331" s="150" t="s">
        <v>1346</v>
      </c>
      <c r="L331" s="511" t="s">
        <v>639</v>
      </c>
      <c r="M331" s="392" t="s">
        <v>2682</v>
      </c>
      <c r="N331" s="343"/>
      <c r="O331" s="343"/>
      <c r="P331" s="70" t="s">
        <v>948</v>
      </c>
      <c r="Q331" s="346"/>
      <c r="R331" s="346" t="s">
        <v>2683</v>
      </c>
      <c r="S331" s="346"/>
      <c r="T331" s="150" t="s">
        <v>949</v>
      </c>
      <c r="U331" s="150" t="s">
        <v>2684</v>
      </c>
      <c r="V331" s="403"/>
      <c r="W331" s="406">
        <v>7299999.96</v>
      </c>
      <c r="X331" s="406">
        <v>7299999.96</v>
      </c>
      <c r="Y331" s="425"/>
      <c r="Z331" s="71"/>
      <c r="AA331" s="426"/>
      <c r="AB331" s="427">
        <v>1216666.6599999999</v>
      </c>
      <c r="AC331" s="427">
        <v>608333.32999999996</v>
      </c>
      <c r="AD331" s="428">
        <v>0</v>
      </c>
      <c r="AE331" s="429">
        <v>1216666.6599999999</v>
      </c>
      <c r="AF331" s="429">
        <v>608333.32999999996</v>
      </c>
      <c r="AG331" s="363">
        <f>608333.33-608333.33</f>
        <v>0</v>
      </c>
      <c r="AH331" s="363">
        <f>608333.33*2</f>
        <v>1216666.6599999999</v>
      </c>
      <c r="AI331" s="363">
        <v>608333.32999999996</v>
      </c>
      <c r="AJ331" s="363">
        <f>608333.33-608333.33</f>
        <v>0</v>
      </c>
      <c r="AK331" s="363">
        <f>608333.33*2</f>
        <v>1216666.6599999999</v>
      </c>
      <c r="AL331" s="363">
        <v>608333.32999999996</v>
      </c>
      <c r="AM331" s="360">
        <f t="shared" si="12"/>
        <v>7299999.96</v>
      </c>
      <c r="AN331" s="362">
        <f>ERP_26[[#This Row],[2026 Working Total]]-ERP_26[[#This Row],[LE2 Final Submission]]</f>
        <v>0</v>
      </c>
      <c r="AO331" s="79">
        <v>1216666.6599999999</v>
      </c>
      <c r="AP331" s="79">
        <f t="shared" si="16"/>
        <v>-608333.32999999996</v>
      </c>
      <c r="AQ331" s="374">
        <f>SUM(ERP_26[[#This Row],[AP01]:[AP06]])-SUM(ERP_26[[#This Row],[AP01 LE2]:[AP06 LE2]])</f>
        <v>0</v>
      </c>
      <c r="AR331" s="80"/>
      <c r="AS331" s="79">
        <f>ERP_26[[#This Row],[2026 Working Total to Budget/LE]]-ERP_26[[#This Row],[Giveback]]</f>
        <v>0</v>
      </c>
      <c r="AT331" s="81"/>
      <c r="AU331" s="375"/>
      <c r="AV331" s="375">
        <v>1216666.6599999999</v>
      </c>
      <c r="AW331" s="375">
        <v>608333.32999999996</v>
      </c>
      <c r="AX331" s="375">
        <v>0</v>
      </c>
      <c r="AY331" s="375">
        <v>1216666.6599999999</v>
      </c>
      <c r="AZ331" s="375">
        <v>608333.32999999996</v>
      </c>
      <c r="BA331" s="375">
        <v>0</v>
      </c>
      <c r="BB331" s="375">
        <v>1216666.6599999999</v>
      </c>
      <c r="BC331" s="375">
        <v>608333.32999999996</v>
      </c>
      <c r="BD331" s="375">
        <v>0</v>
      </c>
      <c r="BE331" s="375">
        <v>1216666.6599999999</v>
      </c>
      <c r="BF331" s="375">
        <v>608333.32999999996</v>
      </c>
      <c r="BG331" s="375">
        <v>7299999.96</v>
      </c>
      <c r="BH331" s="79"/>
      <c r="BI331" s="79">
        <v>1216666.6599999999</v>
      </c>
      <c r="BJ331" s="79">
        <v>608333.32999999996</v>
      </c>
      <c r="BK331" s="79">
        <v>608333.32999999996</v>
      </c>
      <c r="BL331" s="79">
        <v>608333.32999999996</v>
      </c>
      <c r="BM331" s="79">
        <v>608333.32999999996</v>
      </c>
      <c r="BN331" s="79">
        <v>608333.32999999996</v>
      </c>
      <c r="BO331" s="79">
        <v>608333.32999999996</v>
      </c>
      <c r="BP331" s="79">
        <v>608333.32999999996</v>
      </c>
      <c r="BQ331" s="79">
        <v>608333.32999999996</v>
      </c>
      <c r="BR331" s="79">
        <v>608333.32999999996</v>
      </c>
      <c r="BS331" s="79">
        <v>608333.32999999996</v>
      </c>
      <c r="BT331" s="79">
        <v>7299999.96</v>
      </c>
    </row>
    <row r="332" spans="1:72" ht="15" customHeight="1">
      <c r="A332" s="66" t="s">
        <v>2685</v>
      </c>
      <c r="B332" s="66" t="s">
        <v>2950</v>
      </c>
      <c r="C332" s="66" t="s">
        <v>950</v>
      </c>
      <c r="D332" s="66" t="s">
        <v>950</v>
      </c>
      <c r="E332" s="150" t="s">
        <v>1136</v>
      </c>
      <c r="F332" s="482" t="s">
        <v>1566</v>
      </c>
      <c r="G332" s="150" t="s">
        <v>1345</v>
      </c>
      <c r="H332" s="150" t="s">
        <v>1345</v>
      </c>
      <c r="I332" s="150" t="s">
        <v>1345</v>
      </c>
      <c r="J332" s="150" t="s">
        <v>1345</v>
      </c>
      <c r="K332" s="150" t="s">
        <v>1346</v>
      </c>
      <c r="L332" s="511" t="s">
        <v>639</v>
      </c>
      <c r="M332" s="392" t="s">
        <v>818</v>
      </c>
      <c r="N332" s="343"/>
      <c r="O332" s="343"/>
      <c r="P332" s="70" t="s">
        <v>817</v>
      </c>
      <c r="Q332" s="346"/>
      <c r="R332" s="346" t="s">
        <v>1140</v>
      </c>
      <c r="S332" s="346"/>
      <c r="T332" s="150" t="s">
        <v>818</v>
      </c>
      <c r="U332" s="150"/>
      <c r="V332" s="403"/>
      <c r="W332" s="406">
        <v>13200</v>
      </c>
      <c r="X332" s="406">
        <v>19370.91</v>
      </c>
      <c r="Y332" s="430"/>
      <c r="Z332" s="137"/>
      <c r="AA332" s="426"/>
      <c r="AB332" s="427"/>
      <c r="AC332" s="427">
        <v>9470.91</v>
      </c>
      <c r="AD332" s="428">
        <v>0</v>
      </c>
      <c r="AE332" s="429">
        <v>0</v>
      </c>
      <c r="AF332" s="429">
        <v>6148.3</v>
      </c>
      <c r="AG332" s="360">
        <v>0</v>
      </c>
      <c r="AH332" s="360">
        <v>0</v>
      </c>
      <c r="AI332" s="363">
        <v>3300</v>
      </c>
      <c r="AJ332" s="360">
        <v>0</v>
      </c>
      <c r="AK332" s="360">
        <v>0</v>
      </c>
      <c r="AL332" s="363">
        <v>3300</v>
      </c>
      <c r="AM332" s="560">
        <f t="shared" si="12"/>
        <v>22219.21</v>
      </c>
      <c r="AN332" s="362">
        <f>ERP_26[[#This Row],[2026 Working Total]]-ERP_26[[#This Row],[LE2 Final Submission]]</f>
        <v>2848.2999999999993</v>
      </c>
      <c r="AO332" s="79">
        <v>0</v>
      </c>
      <c r="AP332" s="79">
        <f t="shared" si="16"/>
        <v>6148.3</v>
      </c>
      <c r="AQ332" s="374">
        <f>SUM(ERP_26[[#This Row],[AP01]:[AP06]])-SUM(ERP_26[[#This Row],[AP01 LE2]:[AP06 LE2]])</f>
        <v>2848.2999999999993</v>
      </c>
      <c r="AR332" s="80"/>
      <c r="AS332" s="79">
        <f>ERP_26[[#This Row],[2026 Working Total to Budget/LE]]-ERP_26[[#This Row],[Giveback]]</f>
        <v>2848.2999999999993</v>
      </c>
      <c r="AT332" s="81"/>
      <c r="AU332" s="375"/>
      <c r="AV332" s="375"/>
      <c r="AW332" s="375">
        <v>9470.91</v>
      </c>
      <c r="AX332" s="375">
        <v>0</v>
      </c>
      <c r="AY332" s="375">
        <v>0</v>
      </c>
      <c r="AZ332" s="375">
        <v>3300</v>
      </c>
      <c r="BA332" s="375">
        <v>0</v>
      </c>
      <c r="BB332" s="375">
        <v>0</v>
      </c>
      <c r="BC332" s="375">
        <v>3300</v>
      </c>
      <c r="BD332" s="375">
        <v>0</v>
      </c>
      <c r="BE332" s="375">
        <v>0</v>
      </c>
      <c r="BF332" s="375">
        <v>3300</v>
      </c>
      <c r="BG332" s="375">
        <v>19370.91</v>
      </c>
      <c r="BH332" s="79"/>
      <c r="BI332" s="79"/>
      <c r="BJ332" s="79">
        <v>9470.91</v>
      </c>
      <c r="BK332" s="79">
        <v>0</v>
      </c>
      <c r="BL332" s="79">
        <v>0</v>
      </c>
      <c r="BM332" s="79">
        <v>3300</v>
      </c>
      <c r="BN332" s="79">
        <v>0</v>
      </c>
      <c r="BO332" s="79">
        <v>0</v>
      </c>
      <c r="BP332" s="79">
        <v>3300</v>
      </c>
      <c r="BQ332" s="79">
        <v>0</v>
      </c>
      <c r="BR332" s="79">
        <v>0</v>
      </c>
      <c r="BS332" s="79">
        <v>3300</v>
      </c>
      <c r="BT332" s="79">
        <v>19370.91</v>
      </c>
    </row>
    <row r="333" spans="1:72" ht="15" customHeight="1">
      <c r="A333" s="79" t="s">
        <v>2692</v>
      </c>
      <c r="B333" s="79"/>
      <c r="C333" s="79" t="s">
        <v>951</v>
      </c>
      <c r="D333" s="296" t="s">
        <v>2693</v>
      </c>
      <c r="E333" s="150" t="s">
        <v>1136</v>
      </c>
      <c r="F333" s="482" t="s">
        <v>1566</v>
      </c>
      <c r="G333" s="332" t="s">
        <v>1345</v>
      </c>
      <c r="H333" s="383" t="s">
        <v>1437</v>
      </c>
      <c r="I333" s="332" t="s">
        <v>1345</v>
      </c>
      <c r="J333" s="383" t="s">
        <v>1437</v>
      </c>
      <c r="K333" s="333" t="s">
        <v>1346</v>
      </c>
      <c r="L333" s="512" t="s">
        <v>639</v>
      </c>
      <c r="M333" s="393" t="s">
        <v>2694</v>
      </c>
      <c r="N333" s="343" t="s">
        <v>949</v>
      </c>
      <c r="O333" s="332" t="s">
        <v>1438</v>
      </c>
      <c r="P333" s="91" t="s">
        <v>952</v>
      </c>
      <c r="Q333" s="347"/>
      <c r="R333" s="346" t="s">
        <v>2695</v>
      </c>
      <c r="S333" s="346" t="s">
        <v>1710</v>
      </c>
      <c r="T333" s="386" t="s">
        <v>863</v>
      </c>
      <c r="U333" s="346" t="s">
        <v>1348</v>
      </c>
      <c r="V333" s="437"/>
      <c r="W333" s="358">
        <v>231903.75</v>
      </c>
      <c r="X333" s="378">
        <v>0</v>
      </c>
      <c r="Y333" s="425"/>
      <c r="Z333" s="71"/>
      <c r="AA333" s="433"/>
      <c r="AB333" s="434"/>
      <c r="AC333" s="434"/>
      <c r="AD333" s="428" t="s">
        <v>1142</v>
      </c>
      <c r="AE333" s="429">
        <v>0</v>
      </c>
      <c r="AF333" s="429">
        <v>0</v>
      </c>
      <c r="AG333" s="388">
        <v>0</v>
      </c>
      <c r="AH333" s="388">
        <v>0</v>
      </c>
      <c r="AI333" s="388">
        <v>0</v>
      </c>
      <c r="AJ333" s="388">
        <v>0</v>
      </c>
      <c r="AK333" s="388">
        <v>0</v>
      </c>
      <c r="AL333" s="388">
        <v>0</v>
      </c>
      <c r="AM333" s="360">
        <f t="shared" si="12"/>
        <v>0</v>
      </c>
      <c r="AN333" s="362">
        <f>ERP_26[[#This Row],[2026 Working Total]]-ERP_26[[#This Row],[LE2 Final Submission]]</f>
        <v>0</v>
      </c>
      <c r="AO333" s="79">
        <v>0</v>
      </c>
      <c r="AP333" s="79">
        <f t="shared" si="16"/>
        <v>0</v>
      </c>
      <c r="AQ333" s="374">
        <f>SUM(ERP_26[[#This Row],[AP01]:[AP06]])-SUM(ERP_26[[#This Row],[AP01 LE2]:[AP06 LE2]])</f>
        <v>0</v>
      </c>
      <c r="AR333" s="80"/>
      <c r="AS333" s="79">
        <f>ERP_26[[#This Row],[2026 Working Total to Budget/LE]]-ERP_26[[#This Row],[Giveback]]</f>
        <v>0</v>
      </c>
      <c r="AT333" s="81"/>
      <c r="AU333" s="375"/>
      <c r="AV333" s="375"/>
      <c r="AW333" s="375"/>
      <c r="AX333" s="375">
        <v>0</v>
      </c>
      <c r="AY333" s="375">
        <v>0</v>
      </c>
      <c r="AZ333" s="375">
        <v>0</v>
      </c>
      <c r="BA333" s="375">
        <v>0</v>
      </c>
      <c r="BB333" s="375">
        <v>0</v>
      </c>
      <c r="BC333" s="375">
        <v>0</v>
      </c>
      <c r="BD333" s="375">
        <v>0</v>
      </c>
      <c r="BE333" s="375">
        <v>0</v>
      </c>
      <c r="BF333" s="375">
        <v>0</v>
      </c>
      <c r="BG333" s="375">
        <v>0</v>
      </c>
      <c r="BH333" s="103">
        <v>231903.75</v>
      </c>
      <c r="BI333" s="103">
        <v>0</v>
      </c>
      <c r="BJ333" s="103">
        <v>0</v>
      </c>
      <c r="BK333" s="103">
        <v>0</v>
      </c>
      <c r="BL333" s="103">
        <v>0</v>
      </c>
      <c r="BM333" s="103">
        <v>0</v>
      </c>
      <c r="BN333" s="103">
        <v>0</v>
      </c>
      <c r="BO333" s="103">
        <v>0</v>
      </c>
      <c r="BP333" s="103">
        <v>0</v>
      </c>
      <c r="BQ333" s="103">
        <v>0</v>
      </c>
      <c r="BR333" s="103">
        <v>0</v>
      </c>
      <c r="BS333" s="103">
        <v>0</v>
      </c>
      <c r="BT333" s="79">
        <f>SUM(ERP_26[[#This Row],[2026 AP01]:[2026 AP12]])</f>
        <v>231903.75</v>
      </c>
    </row>
    <row r="334" spans="1:72" ht="15" customHeight="1">
      <c r="A334" s="79" t="s">
        <v>2696</v>
      </c>
      <c r="B334" s="79"/>
      <c r="C334" s="79" t="s">
        <v>953</v>
      </c>
      <c r="D334" s="296" t="s">
        <v>2697</v>
      </c>
      <c r="E334" s="150" t="s">
        <v>1136</v>
      </c>
      <c r="F334" s="482" t="s">
        <v>1566</v>
      </c>
      <c r="G334" s="332" t="s">
        <v>1345</v>
      </c>
      <c r="H334" s="383" t="s">
        <v>1437</v>
      </c>
      <c r="I334" s="332" t="s">
        <v>1345</v>
      </c>
      <c r="J334" s="383" t="s">
        <v>1437</v>
      </c>
      <c r="K334" s="333" t="s">
        <v>1346</v>
      </c>
      <c r="L334" s="512" t="s">
        <v>639</v>
      </c>
      <c r="M334" s="393" t="s">
        <v>2698</v>
      </c>
      <c r="N334" s="343" t="s">
        <v>949</v>
      </c>
      <c r="O334" s="332" t="s">
        <v>1438</v>
      </c>
      <c r="P334" s="91" t="s">
        <v>954</v>
      </c>
      <c r="Q334" s="347"/>
      <c r="R334" s="346" t="s">
        <v>2695</v>
      </c>
      <c r="S334" s="346" t="s">
        <v>1710</v>
      </c>
      <c r="T334" s="386" t="s">
        <v>863</v>
      </c>
      <c r="U334" s="346" t="s">
        <v>1348</v>
      </c>
      <c r="V334" s="437"/>
      <c r="W334" s="358">
        <v>-231903.75</v>
      </c>
      <c r="X334" s="378">
        <v>0</v>
      </c>
      <c r="Y334" s="425"/>
      <c r="Z334" s="71"/>
      <c r="AA334" s="433"/>
      <c r="AB334" s="434"/>
      <c r="AC334" s="434"/>
      <c r="AD334" s="428" t="s">
        <v>1142</v>
      </c>
      <c r="AE334" s="429">
        <v>0</v>
      </c>
      <c r="AF334" s="429">
        <v>0</v>
      </c>
      <c r="AG334" s="388">
        <v>0</v>
      </c>
      <c r="AH334" s="388">
        <v>0</v>
      </c>
      <c r="AI334" s="388">
        <v>0</v>
      </c>
      <c r="AJ334" s="388">
        <v>0</v>
      </c>
      <c r="AK334" s="388">
        <v>0</v>
      </c>
      <c r="AL334" s="388">
        <v>0</v>
      </c>
      <c r="AM334" s="360">
        <f t="shared" si="12"/>
        <v>0</v>
      </c>
      <c r="AN334" s="362">
        <f>ERP_26[[#This Row],[2026 Working Total]]-ERP_26[[#This Row],[LE2 Final Submission]]</f>
        <v>0</v>
      </c>
      <c r="AO334" s="79">
        <v>0</v>
      </c>
      <c r="AP334" s="79">
        <f t="shared" si="16"/>
        <v>0</v>
      </c>
      <c r="AQ334" s="374">
        <f>SUM(ERP_26[[#This Row],[AP01]:[AP06]])-SUM(ERP_26[[#This Row],[AP01 LE2]:[AP06 LE2]])</f>
        <v>0</v>
      </c>
      <c r="AR334" s="80"/>
      <c r="AS334" s="79">
        <f>ERP_26[[#This Row],[2026 Working Total to Budget/LE]]-ERP_26[[#This Row],[Giveback]]</f>
        <v>0</v>
      </c>
      <c r="AT334" s="81"/>
      <c r="AU334" s="375"/>
      <c r="AV334" s="375"/>
      <c r="AW334" s="375"/>
      <c r="AX334" s="375">
        <v>0</v>
      </c>
      <c r="AY334" s="375">
        <v>0</v>
      </c>
      <c r="AZ334" s="375">
        <v>0</v>
      </c>
      <c r="BA334" s="375">
        <v>0</v>
      </c>
      <c r="BB334" s="375">
        <v>0</v>
      </c>
      <c r="BC334" s="375">
        <v>0</v>
      </c>
      <c r="BD334" s="375">
        <v>0</v>
      </c>
      <c r="BE334" s="375">
        <v>0</v>
      </c>
      <c r="BF334" s="375">
        <v>0</v>
      </c>
      <c r="BG334" s="375">
        <v>0</v>
      </c>
      <c r="BH334" s="103">
        <v>-231903.75</v>
      </c>
      <c r="BI334" s="103">
        <v>0</v>
      </c>
      <c r="BJ334" s="103">
        <v>0</v>
      </c>
      <c r="BK334" s="103">
        <v>0</v>
      </c>
      <c r="BL334" s="103">
        <v>0</v>
      </c>
      <c r="BM334" s="103">
        <v>0</v>
      </c>
      <c r="BN334" s="103">
        <v>0</v>
      </c>
      <c r="BO334" s="103">
        <v>0</v>
      </c>
      <c r="BP334" s="103">
        <v>0</v>
      </c>
      <c r="BQ334" s="103">
        <v>0</v>
      </c>
      <c r="BR334" s="103">
        <v>0</v>
      </c>
      <c r="BS334" s="103">
        <v>0</v>
      </c>
      <c r="BT334" s="79">
        <f>SUM(ERP_26[[#This Row],[2026 AP01]:[2026 AP12]])</f>
        <v>-231903.75</v>
      </c>
    </row>
    <row r="335" spans="1:72" ht="15" customHeight="1">
      <c r="A335" s="66" t="s">
        <v>1449</v>
      </c>
      <c r="B335" s="66"/>
      <c r="C335" s="66" t="s">
        <v>204</v>
      </c>
      <c r="D335" s="66" t="s">
        <v>204</v>
      </c>
      <c r="E335" s="150" t="s">
        <v>1136</v>
      </c>
      <c r="F335" s="482" t="s">
        <v>1566</v>
      </c>
      <c r="G335" s="150" t="s">
        <v>1450</v>
      </c>
      <c r="H335" s="150" t="s">
        <v>1450</v>
      </c>
      <c r="I335" s="150" t="s">
        <v>1345</v>
      </c>
      <c r="J335" s="150" t="s">
        <v>1450</v>
      </c>
      <c r="K335" s="150" t="s">
        <v>1346</v>
      </c>
      <c r="L335" s="511" t="s">
        <v>49</v>
      </c>
      <c r="M335" s="392" t="s">
        <v>1174</v>
      </c>
      <c r="N335" s="343"/>
      <c r="O335" s="343"/>
      <c r="P335" s="70" t="s">
        <v>56</v>
      </c>
      <c r="Q335" s="346"/>
      <c r="R335" s="346" t="s">
        <v>1140</v>
      </c>
      <c r="S335" s="346"/>
      <c r="T335" s="150" t="s">
        <v>57</v>
      </c>
      <c r="U335" s="150"/>
      <c r="V335" s="403"/>
      <c r="W335" s="406">
        <v>0</v>
      </c>
      <c r="X335" s="406">
        <v>2893.46</v>
      </c>
      <c r="Y335" s="425"/>
      <c r="Z335" s="71"/>
      <c r="AA335" s="426">
        <v>183.12</v>
      </c>
      <c r="AB335" s="427">
        <v>1029.04</v>
      </c>
      <c r="AC335" s="427">
        <v>1681.3</v>
      </c>
      <c r="AD335" s="428">
        <v>1593.8</v>
      </c>
      <c r="AE335" s="429">
        <v>85.08</v>
      </c>
      <c r="AF335" s="429">
        <v>0</v>
      </c>
      <c r="AG335" s="360">
        <v>0</v>
      </c>
      <c r="AH335" s="360">
        <v>0</v>
      </c>
      <c r="AI335" s="360">
        <v>0</v>
      </c>
      <c r="AJ335" s="360">
        <v>0</v>
      </c>
      <c r="AK335" s="360">
        <v>0</v>
      </c>
      <c r="AL335" s="360">
        <v>0</v>
      </c>
      <c r="AM335" s="360">
        <f t="shared" si="12"/>
        <v>4572.34</v>
      </c>
      <c r="AN335" s="362">
        <f>ERP_26[[#This Row],[2026 Working Total]]-ERP_26[[#This Row],[LE2 Final Submission]]</f>
        <v>1678.88</v>
      </c>
      <c r="AO335" s="79">
        <v>0</v>
      </c>
      <c r="AP335" s="79">
        <f t="shared" si="16"/>
        <v>0</v>
      </c>
      <c r="AQ335" s="374">
        <f>SUM(ERP_26[[#This Row],[AP01]:[AP06]])-SUM(ERP_26[[#This Row],[AP01 LE2]:[AP06 LE2]])</f>
        <v>1678.88</v>
      </c>
      <c r="AR335" s="80"/>
      <c r="AS335" s="79">
        <f>ERP_26[[#This Row],[2026 Working Total to Budget/LE]]-ERP_26[[#This Row],[Giveback]]</f>
        <v>1678.88</v>
      </c>
      <c r="AT335" s="81"/>
      <c r="AU335" s="375">
        <v>183.12</v>
      </c>
      <c r="AV335" s="375">
        <v>1029.04</v>
      </c>
      <c r="AW335" s="375">
        <v>1681.3</v>
      </c>
      <c r="AX335" s="375">
        <v>0</v>
      </c>
      <c r="AY335" s="375">
        <v>0</v>
      </c>
      <c r="AZ335" s="375">
        <v>0</v>
      </c>
      <c r="BA335" s="375">
        <v>0</v>
      </c>
      <c r="BB335" s="375">
        <v>0</v>
      </c>
      <c r="BC335" s="375">
        <v>0</v>
      </c>
      <c r="BD335" s="375">
        <v>0</v>
      </c>
      <c r="BE335" s="375">
        <v>0</v>
      </c>
      <c r="BF335" s="375">
        <v>0</v>
      </c>
      <c r="BG335" s="375">
        <v>2893.46</v>
      </c>
      <c r="BH335" s="79">
        <v>183.12</v>
      </c>
      <c r="BI335" s="79">
        <v>1029.04</v>
      </c>
      <c r="BJ335" s="79">
        <v>1681.3</v>
      </c>
      <c r="BK335" s="79">
        <v>0</v>
      </c>
      <c r="BL335" s="79">
        <v>0</v>
      </c>
      <c r="BM335" s="79">
        <v>0</v>
      </c>
      <c r="BN335" s="79">
        <v>0</v>
      </c>
      <c r="BO335" s="79">
        <v>0</v>
      </c>
      <c r="BP335" s="79">
        <v>0</v>
      </c>
      <c r="BQ335" s="79">
        <v>0</v>
      </c>
      <c r="BR335" s="79">
        <v>0</v>
      </c>
      <c r="BS335" s="79">
        <v>0</v>
      </c>
      <c r="BT335" s="79">
        <v>2893.46</v>
      </c>
    </row>
    <row r="336" spans="1:72" ht="15" customHeight="1">
      <c r="A336" s="66" t="s">
        <v>1452</v>
      </c>
      <c r="B336" s="66"/>
      <c r="C336" s="66" t="s">
        <v>205</v>
      </c>
      <c r="D336" s="66" t="s">
        <v>205</v>
      </c>
      <c r="E336" s="150" t="s">
        <v>1136</v>
      </c>
      <c r="F336" s="482" t="s">
        <v>1566</v>
      </c>
      <c r="G336" s="150" t="s">
        <v>1450</v>
      </c>
      <c r="H336" s="150" t="s">
        <v>1450</v>
      </c>
      <c r="I336" s="150" t="s">
        <v>1345</v>
      </c>
      <c r="J336" s="150" t="s">
        <v>1450</v>
      </c>
      <c r="K336" s="150" t="s">
        <v>1346</v>
      </c>
      <c r="L336" s="511" t="s">
        <v>49</v>
      </c>
      <c r="M336" s="392" t="s">
        <v>1453</v>
      </c>
      <c r="N336" s="343" t="s">
        <v>1206</v>
      </c>
      <c r="O336" s="346" t="s">
        <v>1451</v>
      </c>
      <c r="P336" s="70" t="s">
        <v>206</v>
      </c>
      <c r="Q336" s="346"/>
      <c r="R336" s="346" t="s">
        <v>1454</v>
      </c>
      <c r="S336" s="346"/>
      <c r="T336" s="150" t="s">
        <v>25</v>
      </c>
      <c r="U336" s="150"/>
      <c r="V336" s="403"/>
      <c r="W336" s="406">
        <v>400000</v>
      </c>
      <c r="X336" s="406">
        <v>300897.52</v>
      </c>
      <c r="Y336" s="430"/>
      <c r="Z336" s="137"/>
      <c r="AA336" s="426">
        <v>123337.5</v>
      </c>
      <c r="AB336" s="427">
        <v>19442.91</v>
      </c>
      <c r="AC336" s="427">
        <v>113117.11</v>
      </c>
      <c r="AD336" s="428">
        <v>5172.1500000000306</v>
      </c>
      <c r="AE336" s="429">
        <v>-24184.46000000001</v>
      </c>
      <c r="AF336" s="429">
        <v>-229891</v>
      </c>
      <c r="AG336" s="363">
        <v>-13416</v>
      </c>
      <c r="AH336" s="363">
        <v>61248</v>
      </c>
      <c r="AI336" s="363">
        <v>61248</v>
      </c>
      <c r="AJ336" s="363">
        <v>61248</v>
      </c>
      <c r="AK336" s="363">
        <v>61248</v>
      </c>
      <c r="AL336" s="363">
        <v>61248</v>
      </c>
      <c r="AM336" s="367">
        <f t="shared" si="12"/>
        <v>299818.21000000002</v>
      </c>
      <c r="AN336" s="362">
        <f>ERP_26[[#This Row],[2026 Working Total]]-ERP_26[[#This Row],[LE2 Final Submission]]</f>
        <v>-1079.3099999999977</v>
      </c>
      <c r="AO336" s="79">
        <v>-200000</v>
      </c>
      <c r="AP336" s="79">
        <f t="shared" si="16"/>
        <v>-29891</v>
      </c>
      <c r="AQ336" s="374">
        <f>SUM(ERP_26[[#This Row],[AP01]:[AP06]])-SUM(ERP_26[[#This Row],[AP01 LE2]:[AP06 LE2]])</f>
        <v>-83903.31</v>
      </c>
      <c r="AR336" s="80"/>
      <c r="AS336" s="79">
        <f>ERP_26[[#This Row],[2026 Working Total to Budget/LE]]-ERP_26[[#This Row],[Giveback]]</f>
        <v>-1079.3099999999977</v>
      </c>
      <c r="AT336" s="81" t="s">
        <v>1455</v>
      </c>
      <c r="AU336" s="375">
        <v>123337.5</v>
      </c>
      <c r="AV336" s="375">
        <v>19442.91</v>
      </c>
      <c r="AW336" s="375">
        <v>113117.11</v>
      </c>
      <c r="AX336" s="375">
        <v>5000</v>
      </c>
      <c r="AY336" s="375">
        <v>-200000</v>
      </c>
      <c r="AZ336" s="375">
        <v>30000</v>
      </c>
      <c r="BA336" s="375">
        <v>30000</v>
      </c>
      <c r="BB336" s="375">
        <v>30000</v>
      </c>
      <c r="BC336" s="375">
        <v>30000</v>
      </c>
      <c r="BD336" s="375">
        <v>40000</v>
      </c>
      <c r="BE336" s="375">
        <v>40000</v>
      </c>
      <c r="BF336" s="375">
        <v>40000</v>
      </c>
      <c r="BG336" s="375">
        <v>300897.52</v>
      </c>
      <c r="BH336" s="79">
        <v>123337.5</v>
      </c>
      <c r="BI336" s="79">
        <v>19442.91</v>
      </c>
      <c r="BJ336" s="79">
        <v>113117.11</v>
      </c>
      <c r="BK336" s="79">
        <v>30000</v>
      </c>
      <c r="BL336" s="79">
        <v>30000</v>
      </c>
      <c r="BM336" s="79">
        <v>30000</v>
      </c>
      <c r="BN336" s="79">
        <v>30000</v>
      </c>
      <c r="BO336" s="79">
        <v>30000</v>
      </c>
      <c r="BP336" s="79">
        <v>20000</v>
      </c>
      <c r="BQ336" s="79">
        <v>20000</v>
      </c>
      <c r="BR336" s="79">
        <v>20000</v>
      </c>
      <c r="BS336" s="79">
        <v>20000</v>
      </c>
      <c r="BT336" s="79">
        <v>485897.52</v>
      </c>
    </row>
    <row r="337" spans="1:72" ht="15" customHeight="1">
      <c r="A337" s="66" t="s">
        <v>1456</v>
      </c>
      <c r="B337" s="66"/>
      <c r="C337" s="66" t="s">
        <v>207</v>
      </c>
      <c r="D337" s="66" t="s">
        <v>207</v>
      </c>
      <c r="E337" s="150" t="s">
        <v>1136</v>
      </c>
      <c r="F337" s="482" t="s">
        <v>1566</v>
      </c>
      <c r="G337" s="150" t="s">
        <v>1450</v>
      </c>
      <c r="H337" s="150" t="s">
        <v>1450</v>
      </c>
      <c r="I337" s="150" t="s">
        <v>1345</v>
      </c>
      <c r="J337" s="150" t="s">
        <v>1450</v>
      </c>
      <c r="K337" s="150" t="s">
        <v>1346</v>
      </c>
      <c r="L337" s="511" t="s">
        <v>49</v>
      </c>
      <c r="M337" s="392" t="s">
        <v>1457</v>
      </c>
      <c r="N337" s="343" t="s">
        <v>1387</v>
      </c>
      <c r="O337" s="346" t="s">
        <v>1451</v>
      </c>
      <c r="P337" s="70" t="s">
        <v>208</v>
      </c>
      <c r="Q337" s="346"/>
      <c r="R337" s="346" t="s">
        <v>1458</v>
      </c>
      <c r="S337" s="346"/>
      <c r="T337" s="150" t="s">
        <v>25</v>
      </c>
      <c r="U337" s="150"/>
      <c r="V337" s="403"/>
      <c r="W337" s="406">
        <v>270000</v>
      </c>
      <c r="X337" s="406">
        <v>201492</v>
      </c>
      <c r="Y337" s="425"/>
      <c r="Z337" s="71"/>
      <c r="AA337" s="426">
        <v>-5507.82</v>
      </c>
      <c r="AB337" s="427">
        <v>-0.18</v>
      </c>
      <c r="AC337" s="431">
        <v>0</v>
      </c>
      <c r="AD337" s="428">
        <v>92692.25</v>
      </c>
      <c r="AE337" s="429">
        <v>25462.14</v>
      </c>
      <c r="AF337" s="429">
        <v>31827.680000000008</v>
      </c>
      <c r="AG337" s="363">
        <v>0</v>
      </c>
      <c r="AH337" s="363">
        <v>5434</v>
      </c>
      <c r="AI337" s="363">
        <v>12523</v>
      </c>
      <c r="AJ337" s="363">
        <v>12523</v>
      </c>
      <c r="AK337" s="363">
        <v>12523</v>
      </c>
      <c r="AL337" s="363">
        <v>12523</v>
      </c>
      <c r="AM337" s="360">
        <f t="shared" si="12"/>
        <v>200000.07</v>
      </c>
      <c r="AN337" s="362">
        <f>ERP_26[[#This Row],[2026 Working Total]]-ERP_26[[#This Row],[LE2 Final Submission]]</f>
        <v>-1491.929999999993</v>
      </c>
      <c r="AO337" s="79">
        <v>0</v>
      </c>
      <c r="AP337" s="79">
        <f t="shared" si="16"/>
        <v>31827.680000000008</v>
      </c>
      <c r="AQ337" s="374">
        <f>SUM(ERP_26[[#This Row],[AP01]:[AP06]])-SUM(ERP_26[[#This Row],[AP01 LE2]:[AP06 LE2]])</f>
        <v>27982.070000000007</v>
      </c>
      <c r="AR337" s="80"/>
      <c r="AS337" s="79">
        <f>ERP_26[[#This Row],[2026 Working Total to Budget/LE]]-ERP_26[[#This Row],[Giveback]]</f>
        <v>-1491.929999999993</v>
      </c>
      <c r="AT337" s="81" t="s">
        <v>1455</v>
      </c>
      <c r="AU337" s="375">
        <v>-5507.82</v>
      </c>
      <c r="AV337" s="375">
        <v>-0.18</v>
      </c>
      <c r="AW337" s="375">
        <v>0</v>
      </c>
      <c r="AX337" s="375">
        <v>102000</v>
      </c>
      <c r="AY337" s="375">
        <v>0</v>
      </c>
      <c r="AZ337" s="375">
        <v>20000</v>
      </c>
      <c r="BA337" s="375">
        <v>20000</v>
      </c>
      <c r="BB337" s="375">
        <v>20000</v>
      </c>
      <c r="BC337" s="375">
        <v>15000</v>
      </c>
      <c r="BD337" s="375">
        <v>10000</v>
      </c>
      <c r="BE337" s="375">
        <v>10000</v>
      </c>
      <c r="BF337" s="375">
        <v>10000</v>
      </c>
      <c r="BG337" s="375">
        <v>201492</v>
      </c>
      <c r="BH337" s="79">
        <v>-5507.82</v>
      </c>
      <c r="BI337" s="79">
        <v>-0.18</v>
      </c>
      <c r="BJ337" s="79">
        <v>0</v>
      </c>
      <c r="BK337" s="79">
        <v>20000</v>
      </c>
      <c r="BL337" s="79">
        <v>20000</v>
      </c>
      <c r="BM337" s="79">
        <v>25000</v>
      </c>
      <c r="BN337" s="79">
        <v>30000</v>
      </c>
      <c r="BO337" s="79">
        <v>30000</v>
      </c>
      <c r="BP337" s="79">
        <v>30000</v>
      </c>
      <c r="BQ337" s="79">
        <v>30000</v>
      </c>
      <c r="BR337" s="79">
        <v>30000</v>
      </c>
      <c r="BS337" s="79">
        <v>30000</v>
      </c>
      <c r="BT337" s="79">
        <v>239492</v>
      </c>
    </row>
    <row r="338" spans="1:72" ht="15" customHeight="1">
      <c r="A338" s="66" t="s">
        <v>1459</v>
      </c>
      <c r="B338" s="66"/>
      <c r="C338" s="66" t="s">
        <v>209</v>
      </c>
      <c r="D338" s="66" t="s">
        <v>209</v>
      </c>
      <c r="E338" s="150" t="s">
        <v>1136</v>
      </c>
      <c r="F338" s="482" t="s">
        <v>1566</v>
      </c>
      <c r="G338" s="150" t="s">
        <v>1450</v>
      </c>
      <c r="H338" s="150" t="s">
        <v>1450</v>
      </c>
      <c r="I338" s="150" t="s">
        <v>1345</v>
      </c>
      <c r="J338" s="150" t="s">
        <v>1450</v>
      </c>
      <c r="K338" s="150" t="s">
        <v>1346</v>
      </c>
      <c r="L338" s="511" t="s">
        <v>49</v>
      </c>
      <c r="M338" s="392" t="s">
        <v>1460</v>
      </c>
      <c r="N338" s="343"/>
      <c r="O338" s="343"/>
      <c r="P338" s="70" t="s">
        <v>210</v>
      </c>
      <c r="Q338" s="346"/>
      <c r="R338" s="346" t="s">
        <v>1221</v>
      </c>
      <c r="S338" s="346"/>
      <c r="T338" s="150" t="s">
        <v>25</v>
      </c>
      <c r="U338" s="150"/>
      <c r="V338" s="403"/>
      <c r="W338" s="406">
        <v>100000</v>
      </c>
      <c r="X338" s="406">
        <v>66000</v>
      </c>
      <c r="Y338" s="425"/>
      <c r="Z338" s="71"/>
      <c r="AA338" s="426"/>
      <c r="AB338" s="427"/>
      <c r="AC338" s="427"/>
      <c r="AD338" s="428" t="s">
        <v>1142</v>
      </c>
      <c r="AE338" s="429">
        <v>0</v>
      </c>
      <c r="AF338" s="429">
        <v>0</v>
      </c>
      <c r="AG338" s="363">
        <v>0</v>
      </c>
      <c r="AH338" s="363">
        <v>12000</v>
      </c>
      <c r="AI338" s="363">
        <v>13500</v>
      </c>
      <c r="AJ338" s="363">
        <v>13500</v>
      </c>
      <c r="AK338" s="363">
        <v>13500</v>
      </c>
      <c r="AL338" s="363">
        <v>13500</v>
      </c>
      <c r="AM338" s="360">
        <f t="shared" si="12"/>
        <v>66000</v>
      </c>
      <c r="AN338" s="362">
        <f>ERP_26[[#This Row],[2026 Working Total]]-ERP_26[[#This Row],[LE2 Final Submission]]</f>
        <v>0</v>
      </c>
      <c r="AO338" s="79">
        <v>5000</v>
      </c>
      <c r="AP338" s="79">
        <f t="shared" si="16"/>
        <v>-5000</v>
      </c>
      <c r="AQ338" s="374">
        <f>SUM(ERP_26[[#This Row],[AP01]:[AP06]])-SUM(ERP_26[[#This Row],[AP01 LE2]:[AP06 LE2]])</f>
        <v>-18000</v>
      </c>
      <c r="AR338" s="80"/>
      <c r="AS338" s="79">
        <f>ERP_26[[#This Row],[2026 Working Total to Budget/LE]]-ERP_26[[#This Row],[Giveback]]</f>
        <v>0</v>
      </c>
      <c r="AT338" s="81" t="s">
        <v>1455</v>
      </c>
      <c r="AU338" s="375"/>
      <c r="AV338" s="375"/>
      <c r="AW338" s="375"/>
      <c r="AX338" s="375">
        <v>5000</v>
      </c>
      <c r="AY338" s="375">
        <v>5000</v>
      </c>
      <c r="AZ338" s="375">
        <v>8000</v>
      </c>
      <c r="BA338" s="375">
        <v>8000</v>
      </c>
      <c r="BB338" s="375">
        <v>8000</v>
      </c>
      <c r="BC338" s="375">
        <v>8000</v>
      </c>
      <c r="BD338" s="375">
        <v>8000</v>
      </c>
      <c r="BE338" s="375">
        <v>8000</v>
      </c>
      <c r="BF338" s="375">
        <v>8000</v>
      </c>
      <c r="BG338" s="375">
        <v>66000</v>
      </c>
      <c r="BH338" s="79"/>
      <c r="BI338" s="79"/>
      <c r="BJ338" s="79"/>
      <c r="BK338" s="79">
        <v>10000</v>
      </c>
      <c r="BL338" s="79">
        <v>10000</v>
      </c>
      <c r="BM338" s="79">
        <v>10000</v>
      </c>
      <c r="BN338" s="79">
        <v>10000</v>
      </c>
      <c r="BO338" s="79">
        <v>10000</v>
      </c>
      <c r="BP338" s="79">
        <v>10000</v>
      </c>
      <c r="BQ338" s="79">
        <v>10000</v>
      </c>
      <c r="BR338" s="79">
        <v>10000</v>
      </c>
      <c r="BS338" s="79">
        <v>10000</v>
      </c>
      <c r="BT338" s="79">
        <v>90000</v>
      </c>
    </row>
    <row r="339" spans="1:72" ht="15" customHeight="1">
      <c r="A339" s="66" t="s">
        <v>1461</v>
      </c>
      <c r="B339" s="66"/>
      <c r="C339" s="66" t="s">
        <v>211</v>
      </c>
      <c r="D339" s="66" t="s">
        <v>211</v>
      </c>
      <c r="E339" s="150" t="s">
        <v>1136</v>
      </c>
      <c r="F339" s="482" t="s">
        <v>1566</v>
      </c>
      <c r="G339" s="150" t="s">
        <v>1450</v>
      </c>
      <c r="H339" s="150" t="s">
        <v>1450</v>
      </c>
      <c r="I339" s="150" t="s">
        <v>1345</v>
      </c>
      <c r="J339" s="150" t="s">
        <v>1450</v>
      </c>
      <c r="K339" s="150" t="s">
        <v>1346</v>
      </c>
      <c r="L339" s="511" t="s">
        <v>49</v>
      </c>
      <c r="M339" s="392" t="s">
        <v>1462</v>
      </c>
      <c r="N339" s="343"/>
      <c r="O339" s="343"/>
      <c r="P339" s="70" t="s">
        <v>212</v>
      </c>
      <c r="Q339" s="346"/>
      <c r="R339" s="346" t="s">
        <v>1221</v>
      </c>
      <c r="S339" s="346"/>
      <c r="T339" s="150" t="s">
        <v>25</v>
      </c>
      <c r="U339" s="150"/>
      <c r="V339" s="403"/>
      <c r="W339" s="406">
        <v>70000</v>
      </c>
      <c r="X339" s="406">
        <v>40000</v>
      </c>
      <c r="Y339" s="430"/>
      <c r="Z339" s="137"/>
      <c r="AA339" s="426"/>
      <c r="AB339" s="427"/>
      <c r="AC339" s="427"/>
      <c r="AD339" s="428" t="s">
        <v>1142</v>
      </c>
      <c r="AE339" s="429">
        <v>0</v>
      </c>
      <c r="AF339" s="429">
        <v>0</v>
      </c>
      <c r="AG339" s="363">
        <v>0</v>
      </c>
      <c r="AH339" s="363">
        <v>9500</v>
      </c>
      <c r="AI339" s="363">
        <v>0</v>
      </c>
      <c r="AJ339" s="363">
        <v>20000</v>
      </c>
      <c r="AK339" s="363">
        <v>0</v>
      </c>
      <c r="AL339" s="363">
        <v>20000</v>
      </c>
      <c r="AM339" s="360">
        <f t="shared" si="12"/>
        <v>49500</v>
      </c>
      <c r="AN339" s="362">
        <f>ERP_26[[#This Row],[2026 Working Total]]-ERP_26[[#This Row],[LE2 Final Submission]]</f>
        <v>9500</v>
      </c>
      <c r="AO339" s="79"/>
      <c r="AP339" s="79">
        <f t="shared" si="16"/>
        <v>0</v>
      </c>
      <c r="AQ339" s="374">
        <f>SUM(ERP_26[[#This Row],[AP01]:[AP06]])-SUM(ERP_26[[#This Row],[AP01 LE2]:[AP06 LE2]])</f>
        <v>-5000</v>
      </c>
      <c r="AR339" s="80"/>
      <c r="AS339" s="79">
        <f>ERP_26[[#This Row],[2026 Working Total to Budget/LE]]-ERP_26[[#This Row],[Giveback]]</f>
        <v>9500</v>
      </c>
      <c r="AT339" s="81" t="s">
        <v>1455</v>
      </c>
      <c r="AU339" s="375"/>
      <c r="AV339" s="375"/>
      <c r="AW339" s="375"/>
      <c r="AX339" s="375"/>
      <c r="AY339" s="375"/>
      <c r="AZ339" s="375">
        <v>5000</v>
      </c>
      <c r="BA339" s="375">
        <v>5000</v>
      </c>
      <c r="BB339" s="375">
        <v>5000</v>
      </c>
      <c r="BC339" s="375">
        <v>5000</v>
      </c>
      <c r="BD339" s="375">
        <v>5000</v>
      </c>
      <c r="BE339" s="375">
        <v>5000</v>
      </c>
      <c r="BF339" s="375">
        <v>10000</v>
      </c>
      <c r="BG339" s="375">
        <v>40000</v>
      </c>
      <c r="BH339" s="79"/>
      <c r="BI339" s="79"/>
      <c r="BJ339" s="79"/>
      <c r="BK339" s="79">
        <v>7000</v>
      </c>
      <c r="BL339" s="79">
        <v>7000</v>
      </c>
      <c r="BM339" s="79">
        <v>7000</v>
      </c>
      <c r="BN339" s="79">
        <v>7000</v>
      </c>
      <c r="BO339" s="79">
        <v>7000</v>
      </c>
      <c r="BP339" s="79">
        <v>7000</v>
      </c>
      <c r="BQ339" s="79">
        <v>7000</v>
      </c>
      <c r="BR339" s="79">
        <v>7000</v>
      </c>
      <c r="BS339" s="79">
        <v>7000</v>
      </c>
      <c r="BT339" s="79">
        <v>63000</v>
      </c>
    </row>
    <row r="340" spans="1:72" ht="15" customHeight="1">
      <c r="A340" s="66" t="s">
        <v>1463</v>
      </c>
      <c r="B340" s="66"/>
      <c r="C340" s="66" t="s">
        <v>213</v>
      </c>
      <c r="D340" s="66" t="s">
        <v>213</v>
      </c>
      <c r="E340" s="150" t="s">
        <v>1136</v>
      </c>
      <c r="F340" s="482" t="s">
        <v>1566</v>
      </c>
      <c r="G340" s="150" t="s">
        <v>1450</v>
      </c>
      <c r="H340" s="150" t="s">
        <v>1450</v>
      </c>
      <c r="I340" s="150" t="s">
        <v>1345</v>
      </c>
      <c r="J340" s="150" t="s">
        <v>1450</v>
      </c>
      <c r="K340" s="150" t="s">
        <v>1346</v>
      </c>
      <c r="L340" s="511" t="s">
        <v>49</v>
      </c>
      <c r="M340" s="392" t="s">
        <v>1464</v>
      </c>
      <c r="N340" s="343"/>
      <c r="O340" s="343"/>
      <c r="P340" s="70" t="s">
        <v>214</v>
      </c>
      <c r="Q340" s="346"/>
      <c r="R340" s="343"/>
      <c r="S340" s="346"/>
      <c r="T340" s="150" t="s">
        <v>188</v>
      </c>
      <c r="U340" s="150"/>
      <c r="V340" s="403"/>
      <c r="W340" s="406">
        <v>35000</v>
      </c>
      <c r="X340" s="406">
        <v>0</v>
      </c>
      <c r="Y340" s="425"/>
      <c r="Z340" s="71"/>
      <c r="AA340" s="426"/>
      <c r="AB340" s="427"/>
      <c r="AC340" s="427"/>
      <c r="AD340" s="428" t="s">
        <v>1142</v>
      </c>
      <c r="AE340" s="429">
        <v>0</v>
      </c>
      <c r="AF340" s="429">
        <v>0</v>
      </c>
      <c r="AG340" s="363"/>
      <c r="AH340" s="363"/>
      <c r="AI340" s="363"/>
      <c r="AJ340" s="363"/>
      <c r="AK340" s="363"/>
      <c r="AL340" s="363"/>
      <c r="AM340" s="360">
        <f t="shared" si="12"/>
        <v>0</v>
      </c>
      <c r="AN340" s="362">
        <f>ERP_26[[#This Row],[2026 Working Total]]-ERP_26[[#This Row],[LE2 Final Submission]]</f>
        <v>0</v>
      </c>
      <c r="AO340" s="79"/>
      <c r="AP340" s="79">
        <f t="shared" si="16"/>
        <v>0</v>
      </c>
      <c r="AQ340" s="374">
        <f>SUM(ERP_26[[#This Row],[AP01]:[AP06]])-SUM(ERP_26[[#This Row],[AP01 LE2]:[AP06 LE2]])</f>
        <v>0</v>
      </c>
      <c r="AR340" s="80"/>
      <c r="AS340" s="79">
        <f>ERP_26[[#This Row],[2026 Working Total to Budget/LE]]-ERP_26[[#This Row],[Giveback]]</f>
        <v>0</v>
      </c>
      <c r="AT340" s="81" t="s">
        <v>1465</v>
      </c>
      <c r="AU340" s="375"/>
      <c r="AV340" s="375"/>
      <c r="AW340" s="375"/>
      <c r="AX340" s="375"/>
      <c r="AY340" s="375"/>
      <c r="AZ340" s="375"/>
      <c r="BA340" s="375"/>
      <c r="BB340" s="375"/>
      <c r="BC340" s="375"/>
      <c r="BD340" s="375"/>
      <c r="BE340" s="375"/>
      <c r="BF340" s="375"/>
      <c r="BG340" s="375">
        <v>0</v>
      </c>
      <c r="BH340" s="79"/>
      <c r="BI340" s="79"/>
      <c r="BJ340" s="79"/>
      <c r="BK340" s="79">
        <v>2917</v>
      </c>
      <c r="BL340" s="79">
        <v>2917</v>
      </c>
      <c r="BM340" s="79">
        <v>2917</v>
      </c>
      <c r="BN340" s="79">
        <v>2917</v>
      </c>
      <c r="BO340" s="79">
        <v>2917</v>
      </c>
      <c r="BP340" s="79">
        <v>2916</v>
      </c>
      <c r="BQ340" s="79">
        <v>2916</v>
      </c>
      <c r="BR340" s="79">
        <v>2916</v>
      </c>
      <c r="BS340" s="79">
        <v>2916</v>
      </c>
      <c r="BT340" s="79">
        <v>26249</v>
      </c>
    </row>
    <row r="341" spans="1:72" ht="15" customHeight="1">
      <c r="A341" s="66" t="s">
        <v>1466</v>
      </c>
      <c r="B341" s="66"/>
      <c r="C341" s="66" t="s">
        <v>215</v>
      </c>
      <c r="D341" s="66" t="s">
        <v>215</v>
      </c>
      <c r="E341" s="150" t="s">
        <v>1136</v>
      </c>
      <c r="F341" s="482" t="s">
        <v>1566</v>
      </c>
      <c r="G341" s="150" t="s">
        <v>1450</v>
      </c>
      <c r="H341" s="150" t="s">
        <v>1450</v>
      </c>
      <c r="I341" s="150" t="s">
        <v>1345</v>
      </c>
      <c r="J341" s="150" t="s">
        <v>1450</v>
      </c>
      <c r="K341" s="150" t="s">
        <v>1346</v>
      </c>
      <c r="L341" s="511" t="s">
        <v>49</v>
      </c>
      <c r="M341" s="392" t="s">
        <v>1467</v>
      </c>
      <c r="N341" s="343"/>
      <c r="O341" s="343"/>
      <c r="P341" s="70" t="s">
        <v>216</v>
      </c>
      <c r="Q341" s="346"/>
      <c r="R341" s="343"/>
      <c r="S341" s="346"/>
      <c r="T341" s="150" t="s">
        <v>217</v>
      </c>
      <c r="U341" s="150"/>
      <c r="V341" s="403"/>
      <c r="W341" s="406">
        <v>6000</v>
      </c>
      <c r="X341" s="406">
        <v>0</v>
      </c>
      <c r="Y341" s="425"/>
      <c r="Z341" s="71"/>
      <c r="AA341" s="426"/>
      <c r="AB341" s="427"/>
      <c r="AC341" s="427"/>
      <c r="AD341" s="428">
        <v>0</v>
      </c>
      <c r="AE341" s="429">
        <v>79.41</v>
      </c>
      <c r="AF341" s="429">
        <v>0</v>
      </c>
      <c r="AG341" s="363"/>
      <c r="AH341" s="363"/>
      <c r="AI341" s="363"/>
      <c r="AJ341" s="363"/>
      <c r="AK341" s="363"/>
      <c r="AL341" s="363"/>
      <c r="AM341" s="367">
        <f t="shared" si="12"/>
        <v>79.41</v>
      </c>
      <c r="AN341" s="362">
        <f>ERP_26[[#This Row],[2026 Working Total]]-ERP_26[[#This Row],[LE2 Final Submission]]</f>
        <v>79.41</v>
      </c>
      <c r="AO341" s="79"/>
      <c r="AP341" s="79">
        <f t="shared" si="16"/>
        <v>0</v>
      </c>
      <c r="AQ341" s="374">
        <f>SUM(ERP_26[[#This Row],[AP01]:[AP06]])-SUM(ERP_26[[#This Row],[AP01 LE2]:[AP06 LE2]])</f>
        <v>79.41</v>
      </c>
      <c r="AR341" s="80"/>
      <c r="AS341" s="79">
        <f>ERP_26[[#This Row],[2026 Working Total to Budget/LE]]-ERP_26[[#This Row],[Giveback]]</f>
        <v>79.41</v>
      </c>
      <c r="AT341" s="81" t="s">
        <v>1465</v>
      </c>
      <c r="AU341" s="375"/>
      <c r="AV341" s="375"/>
      <c r="AW341" s="375"/>
      <c r="AX341" s="375"/>
      <c r="AY341" s="375"/>
      <c r="AZ341" s="375"/>
      <c r="BA341" s="375"/>
      <c r="BB341" s="375"/>
      <c r="BC341" s="375"/>
      <c r="BD341" s="375"/>
      <c r="BE341" s="375"/>
      <c r="BF341" s="375"/>
      <c r="BG341" s="375">
        <v>0</v>
      </c>
      <c r="BH341" s="79"/>
      <c r="BI341" s="79"/>
      <c r="BJ341" s="79"/>
      <c r="BK341" s="79">
        <v>500</v>
      </c>
      <c r="BL341" s="79">
        <v>500</v>
      </c>
      <c r="BM341" s="79">
        <v>500</v>
      </c>
      <c r="BN341" s="79">
        <v>500</v>
      </c>
      <c r="BO341" s="79">
        <v>500</v>
      </c>
      <c r="BP341" s="79">
        <v>500</v>
      </c>
      <c r="BQ341" s="79">
        <v>500</v>
      </c>
      <c r="BR341" s="79">
        <v>500</v>
      </c>
      <c r="BS341" s="79">
        <v>500</v>
      </c>
      <c r="BT341" s="79">
        <v>4500</v>
      </c>
    </row>
    <row r="342" spans="1:72" ht="15" customHeight="1">
      <c r="A342" s="66" t="s">
        <v>1468</v>
      </c>
      <c r="B342" s="66"/>
      <c r="C342" s="66" t="s">
        <v>218</v>
      </c>
      <c r="D342" s="66" t="s">
        <v>218</v>
      </c>
      <c r="E342" s="150" t="s">
        <v>1136</v>
      </c>
      <c r="F342" s="482" t="s">
        <v>1566</v>
      </c>
      <c r="G342" s="150" t="s">
        <v>1450</v>
      </c>
      <c r="H342" s="150" t="s">
        <v>1450</v>
      </c>
      <c r="I342" s="150" t="s">
        <v>1345</v>
      </c>
      <c r="J342" s="150" t="s">
        <v>1450</v>
      </c>
      <c r="K342" s="150" t="s">
        <v>1346</v>
      </c>
      <c r="L342" s="511" t="s">
        <v>49</v>
      </c>
      <c r="M342" s="392" t="s">
        <v>1469</v>
      </c>
      <c r="N342" s="343"/>
      <c r="O342" s="343"/>
      <c r="P342" s="70" t="s">
        <v>219</v>
      </c>
      <c r="Q342" s="346"/>
      <c r="R342" s="343"/>
      <c r="S342" s="346"/>
      <c r="T342" s="150" t="s">
        <v>67</v>
      </c>
      <c r="U342" s="150"/>
      <c r="V342" s="403"/>
      <c r="W342" s="406">
        <v>50000</v>
      </c>
      <c r="X342" s="406">
        <v>50000</v>
      </c>
      <c r="Y342" s="430"/>
      <c r="Z342" s="137"/>
      <c r="AA342" s="426"/>
      <c r="AB342" s="427"/>
      <c r="AC342" s="427"/>
      <c r="AD342" s="428">
        <v>0</v>
      </c>
      <c r="AE342" s="429">
        <v>49060</v>
      </c>
      <c r="AF342" s="429">
        <v>0</v>
      </c>
      <c r="AG342" s="360">
        <v>0</v>
      </c>
      <c r="AH342" s="360">
        <v>0</v>
      </c>
      <c r="AI342" s="360">
        <v>0</v>
      </c>
      <c r="AJ342" s="360">
        <v>0</v>
      </c>
      <c r="AK342" s="360">
        <v>0</v>
      </c>
      <c r="AL342" s="360">
        <v>0</v>
      </c>
      <c r="AM342" s="360">
        <f t="shared" si="12"/>
        <v>49060</v>
      </c>
      <c r="AN342" s="362">
        <f>ERP_26[[#This Row],[2026 Working Total]]-ERP_26[[#This Row],[LE2 Final Submission]]</f>
        <v>-940</v>
      </c>
      <c r="AO342" s="79">
        <v>50000</v>
      </c>
      <c r="AP342" s="79">
        <f t="shared" si="16"/>
        <v>-50000</v>
      </c>
      <c r="AQ342" s="374">
        <f>SUM(ERP_26[[#This Row],[AP01]:[AP06]])-SUM(ERP_26[[#This Row],[AP01 LE2]:[AP06 LE2]])</f>
        <v>-940</v>
      </c>
      <c r="AR342" s="80"/>
      <c r="AS342" s="79">
        <f>ERP_26[[#This Row],[2026 Working Total to Budget/LE]]-ERP_26[[#This Row],[Giveback]]</f>
        <v>-940</v>
      </c>
      <c r="AT342" s="81"/>
      <c r="AU342" s="375"/>
      <c r="AV342" s="375"/>
      <c r="AW342" s="375"/>
      <c r="AX342" s="375">
        <v>0</v>
      </c>
      <c r="AY342" s="375">
        <v>50000</v>
      </c>
      <c r="AZ342" s="375">
        <v>0</v>
      </c>
      <c r="BA342" s="375">
        <v>0</v>
      </c>
      <c r="BB342" s="375">
        <v>0</v>
      </c>
      <c r="BC342" s="375">
        <v>0</v>
      </c>
      <c r="BD342" s="375">
        <v>0</v>
      </c>
      <c r="BE342" s="375">
        <v>0</v>
      </c>
      <c r="BF342" s="375">
        <v>0</v>
      </c>
      <c r="BG342" s="375">
        <v>50000</v>
      </c>
      <c r="BH342" s="79"/>
      <c r="BI342" s="79"/>
      <c r="BJ342" s="79"/>
      <c r="BK342" s="79">
        <v>50000</v>
      </c>
      <c r="BL342" s="79">
        <v>0</v>
      </c>
      <c r="BM342" s="79">
        <v>0</v>
      </c>
      <c r="BN342" s="79">
        <v>0</v>
      </c>
      <c r="BO342" s="79">
        <v>0</v>
      </c>
      <c r="BP342" s="79">
        <v>0</v>
      </c>
      <c r="BQ342" s="79">
        <v>0</v>
      </c>
      <c r="BR342" s="79">
        <v>0</v>
      </c>
      <c r="BS342" s="79">
        <v>0</v>
      </c>
      <c r="BT342" s="79">
        <v>50000</v>
      </c>
    </row>
    <row r="343" spans="1:72" ht="15" customHeight="1">
      <c r="A343" s="66" t="s">
        <v>1470</v>
      </c>
      <c r="B343" s="66"/>
      <c r="C343" s="66" t="s">
        <v>220</v>
      </c>
      <c r="D343" s="66" t="s">
        <v>220</v>
      </c>
      <c r="E343" s="150" t="s">
        <v>1136</v>
      </c>
      <c r="F343" s="482" t="s">
        <v>1566</v>
      </c>
      <c r="G343" s="150" t="s">
        <v>1450</v>
      </c>
      <c r="H343" s="150" t="s">
        <v>1450</v>
      </c>
      <c r="I343" s="150" t="s">
        <v>1345</v>
      </c>
      <c r="J343" s="150" t="s">
        <v>1450</v>
      </c>
      <c r="K343" s="150" t="s">
        <v>1346</v>
      </c>
      <c r="L343" s="511" t="s">
        <v>49</v>
      </c>
      <c r="M343" s="392" t="s">
        <v>1471</v>
      </c>
      <c r="N343" s="343"/>
      <c r="O343" s="343"/>
      <c r="P343" s="70" t="s">
        <v>221</v>
      </c>
      <c r="Q343" s="346"/>
      <c r="R343" s="343"/>
      <c r="S343" s="346"/>
      <c r="T343" s="150" t="s">
        <v>188</v>
      </c>
      <c r="U343" s="150"/>
      <c r="V343" s="403"/>
      <c r="W343" s="406">
        <v>35000</v>
      </c>
      <c r="X343" s="406">
        <v>26249</v>
      </c>
      <c r="Y343" s="425"/>
      <c r="Z343" s="71"/>
      <c r="AA343" s="426"/>
      <c r="AB343" s="427"/>
      <c r="AC343" s="427"/>
      <c r="AD343" s="428" t="s">
        <v>1142</v>
      </c>
      <c r="AE343" s="429">
        <v>0</v>
      </c>
      <c r="AF343" s="429">
        <v>0</v>
      </c>
      <c r="AG343" s="363"/>
      <c r="AH343" s="363">
        <v>8751</v>
      </c>
      <c r="AI343" s="363">
        <v>2916</v>
      </c>
      <c r="AJ343" s="363">
        <v>2916</v>
      </c>
      <c r="AK343" s="363">
        <v>2916</v>
      </c>
      <c r="AL343" s="363">
        <v>2916</v>
      </c>
      <c r="AM343" s="360">
        <f t="shared" si="12"/>
        <v>20415</v>
      </c>
      <c r="AN343" s="362">
        <f>ERP_26[[#This Row],[2026 Working Total]]-ERP_26[[#This Row],[LE2 Final Submission]]</f>
        <v>-5834</v>
      </c>
      <c r="AO343" s="79">
        <v>2917</v>
      </c>
      <c r="AP343" s="79">
        <f t="shared" si="16"/>
        <v>-2917</v>
      </c>
      <c r="AQ343" s="374">
        <f>SUM(ERP_26[[#This Row],[AP01]:[AP06]])-SUM(ERP_26[[#This Row],[AP01 LE2]:[AP06 LE2]])</f>
        <v>-8751</v>
      </c>
      <c r="AR343" s="80"/>
      <c r="AS343" s="79">
        <f>ERP_26[[#This Row],[2026 Working Total to Budget/LE]]-ERP_26[[#This Row],[Giveback]]</f>
        <v>-5834</v>
      </c>
      <c r="AT343" s="81"/>
      <c r="AU343" s="375"/>
      <c r="AV343" s="375"/>
      <c r="AW343" s="375"/>
      <c r="AX343" s="375">
        <v>2917</v>
      </c>
      <c r="AY343" s="375">
        <v>2917</v>
      </c>
      <c r="AZ343" s="375">
        <v>2917</v>
      </c>
      <c r="BA343" s="375">
        <v>2917</v>
      </c>
      <c r="BB343" s="375">
        <v>2917</v>
      </c>
      <c r="BC343" s="375">
        <v>2916</v>
      </c>
      <c r="BD343" s="375">
        <v>2916</v>
      </c>
      <c r="BE343" s="375">
        <v>2916</v>
      </c>
      <c r="BF343" s="375">
        <v>2916</v>
      </c>
      <c r="BG343" s="375">
        <v>26249</v>
      </c>
      <c r="BH343" s="79"/>
      <c r="BI343" s="79"/>
      <c r="BJ343" s="79"/>
      <c r="BK343" s="79">
        <v>2917</v>
      </c>
      <c r="BL343" s="79">
        <v>2917</v>
      </c>
      <c r="BM343" s="79">
        <v>2917</v>
      </c>
      <c r="BN343" s="79">
        <v>2917</v>
      </c>
      <c r="BO343" s="79">
        <v>2917</v>
      </c>
      <c r="BP343" s="79">
        <v>2916</v>
      </c>
      <c r="BQ343" s="79">
        <v>2916</v>
      </c>
      <c r="BR343" s="79">
        <v>2916</v>
      </c>
      <c r="BS343" s="79">
        <v>2916</v>
      </c>
      <c r="BT343" s="79">
        <v>26249</v>
      </c>
    </row>
    <row r="344" spans="1:72" ht="15" customHeight="1">
      <c r="A344" s="66" t="s">
        <v>1472</v>
      </c>
      <c r="B344" s="66"/>
      <c r="C344" s="66" t="s">
        <v>222</v>
      </c>
      <c r="D344" s="66" t="s">
        <v>222</v>
      </c>
      <c r="E344" s="150" t="s">
        <v>1136</v>
      </c>
      <c r="F344" s="482" t="s">
        <v>1566</v>
      </c>
      <c r="G344" s="150" t="s">
        <v>1450</v>
      </c>
      <c r="H344" s="150" t="s">
        <v>1450</v>
      </c>
      <c r="I344" s="150" t="s">
        <v>1345</v>
      </c>
      <c r="J344" s="150" t="s">
        <v>1450</v>
      </c>
      <c r="K344" s="150" t="s">
        <v>1346</v>
      </c>
      <c r="L344" s="511" t="s">
        <v>49</v>
      </c>
      <c r="M344" s="392" t="s">
        <v>1473</v>
      </c>
      <c r="N344" s="343"/>
      <c r="O344" s="343"/>
      <c r="P344" s="345" t="s">
        <v>223</v>
      </c>
      <c r="Q344" s="346"/>
      <c r="R344" s="343"/>
      <c r="S344" s="346"/>
      <c r="T344" s="150" t="s">
        <v>152</v>
      </c>
      <c r="U344" s="150"/>
      <c r="V344" s="403"/>
      <c r="W344" s="406">
        <v>90000</v>
      </c>
      <c r="X344" s="406">
        <v>90000</v>
      </c>
      <c r="Y344" s="425"/>
      <c r="Z344" s="71"/>
      <c r="AA344" s="426"/>
      <c r="AB344" s="427"/>
      <c r="AC344" s="427"/>
      <c r="AD344" s="428" t="s">
        <v>1142</v>
      </c>
      <c r="AE344" s="429">
        <v>0</v>
      </c>
      <c r="AF344" s="429">
        <v>82121</v>
      </c>
      <c r="AG344" s="363"/>
      <c r="AH344" s="363">
        <v>0</v>
      </c>
      <c r="AI344" s="363">
        <v>0</v>
      </c>
      <c r="AJ344" s="363">
        <v>0</v>
      </c>
      <c r="AK344" s="363">
        <v>0</v>
      </c>
      <c r="AL344" s="363">
        <v>7879</v>
      </c>
      <c r="AM344" s="360">
        <f t="shared" si="12"/>
        <v>90000</v>
      </c>
      <c r="AN344" s="362">
        <f>ERP_26[[#This Row],[2026 Working Total]]-ERP_26[[#This Row],[LE2 Final Submission]]</f>
        <v>0</v>
      </c>
      <c r="AO344" s="79">
        <v>82000</v>
      </c>
      <c r="AP344" s="79">
        <f t="shared" si="16"/>
        <v>121</v>
      </c>
      <c r="AQ344" s="374">
        <f>SUM(ERP_26[[#This Row],[AP01]:[AP06]])-SUM(ERP_26[[#This Row],[AP01 LE2]:[AP06 LE2]])</f>
        <v>121</v>
      </c>
      <c r="AR344" s="80"/>
      <c r="AS344" s="79">
        <f>ERP_26[[#This Row],[2026 Working Total to Budget/LE]]-ERP_26[[#This Row],[Giveback]]</f>
        <v>0</v>
      </c>
      <c r="AT344" s="81"/>
      <c r="AU344" s="375"/>
      <c r="AV344" s="375"/>
      <c r="AW344" s="375"/>
      <c r="AX344" s="375">
        <v>0</v>
      </c>
      <c r="AY344" s="375">
        <v>82000</v>
      </c>
      <c r="AZ344" s="375">
        <v>0</v>
      </c>
      <c r="BA344" s="375">
        <v>0</v>
      </c>
      <c r="BB344" s="375">
        <v>4000</v>
      </c>
      <c r="BC344" s="375">
        <v>4000</v>
      </c>
      <c r="BD344" s="375">
        <v>0</v>
      </c>
      <c r="BE344" s="375">
        <v>0</v>
      </c>
      <c r="BF344" s="375">
        <v>0</v>
      </c>
      <c r="BG344" s="375">
        <v>90000</v>
      </c>
      <c r="BH344" s="79"/>
      <c r="BI344" s="79"/>
      <c r="BJ344" s="79"/>
      <c r="BK344" s="79">
        <v>8000</v>
      </c>
      <c r="BL344" s="79">
        <v>8000</v>
      </c>
      <c r="BM344" s="79">
        <v>8000</v>
      </c>
      <c r="BN344" s="79">
        <v>8000</v>
      </c>
      <c r="BO344" s="79">
        <v>10000</v>
      </c>
      <c r="BP344" s="79">
        <v>10000</v>
      </c>
      <c r="BQ344" s="79">
        <v>10000</v>
      </c>
      <c r="BR344" s="79">
        <v>10000</v>
      </c>
      <c r="BS344" s="79">
        <v>10000</v>
      </c>
      <c r="BT344" s="79">
        <v>82000</v>
      </c>
    </row>
    <row r="345" spans="1:72" ht="15" customHeight="1">
      <c r="A345" s="66" t="s">
        <v>1474</v>
      </c>
      <c r="B345" s="66"/>
      <c r="C345" s="66" t="s">
        <v>224</v>
      </c>
      <c r="D345" s="66" t="s">
        <v>224</v>
      </c>
      <c r="E345" s="150" t="s">
        <v>1136</v>
      </c>
      <c r="F345" s="482" t="s">
        <v>1566</v>
      </c>
      <c r="G345" s="150" t="s">
        <v>1450</v>
      </c>
      <c r="H345" s="150" t="s">
        <v>1450</v>
      </c>
      <c r="I345" s="150" t="s">
        <v>1345</v>
      </c>
      <c r="J345" s="150" t="s">
        <v>1450</v>
      </c>
      <c r="K345" s="150" t="s">
        <v>1346</v>
      </c>
      <c r="L345" s="511" t="s">
        <v>49</v>
      </c>
      <c r="M345" s="392" t="s">
        <v>1475</v>
      </c>
      <c r="N345" s="343"/>
      <c r="O345" s="343"/>
      <c r="P345" s="70" t="s">
        <v>225</v>
      </c>
      <c r="Q345" s="346"/>
      <c r="R345" s="343"/>
      <c r="S345" s="346"/>
      <c r="T345" s="150" t="s">
        <v>25</v>
      </c>
      <c r="U345" s="150"/>
      <c r="V345" s="403"/>
      <c r="W345" s="406">
        <v>0</v>
      </c>
      <c r="X345" s="406">
        <v>70950</v>
      </c>
      <c r="Y345" s="430"/>
      <c r="Z345" s="137"/>
      <c r="AA345" s="426"/>
      <c r="AB345" s="427"/>
      <c r="AC345" s="427">
        <v>70950</v>
      </c>
      <c r="AD345" s="428">
        <v>0</v>
      </c>
      <c r="AE345" s="429">
        <v>0</v>
      </c>
      <c r="AF345" s="429">
        <v>0</v>
      </c>
      <c r="AG345" s="360">
        <v>0</v>
      </c>
      <c r="AH345" s="360">
        <v>0</v>
      </c>
      <c r="AI345" s="360">
        <v>0</v>
      </c>
      <c r="AJ345" s="360">
        <v>0</v>
      </c>
      <c r="AK345" s="360">
        <v>0</v>
      </c>
      <c r="AL345" s="360">
        <v>0</v>
      </c>
      <c r="AM345" s="360">
        <f t="shared" si="12"/>
        <v>70950</v>
      </c>
      <c r="AN345" s="362">
        <f>ERP_26[[#This Row],[2026 Working Total]]-ERP_26[[#This Row],[LE2 Final Submission]]</f>
        <v>0</v>
      </c>
      <c r="AO345" s="79">
        <v>0</v>
      </c>
      <c r="AP345" s="79">
        <f t="shared" si="16"/>
        <v>0</v>
      </c>
      <c r="AQ345" s="374">
        <f>SUM(ERP_26[[#This Row],[AP01]:[AP06]])-SUM(ERP_26[[#This Row],[AP01 LE2]:[AP06 LE2]])</f>
        <v>0</v>
      </c>
      <c r="AR345" s="80"/>
      <c r="AS345" s="79">
        <f>ERP_26[[#This Row],[2026 Working Total to Budget/LE]]-ERP_26[[#This Row],[Giveback]]</f>
        <v>0</v>
      </c>
      <c r="AT345" s="81"/>
      <c r="AU345" s="375"/>
      <c r="AV345" s="375"/>
      <c r="AW345" s="375">
        <v>70950</v>
      </c>
      <c r="AX345" s="375">
        <v>0</v>
      </c>
      <c r="AY345" s="375">
        <v>0</v>
      </c>
      <c r="AZ345" s="375">
        <v>0</v>
      </c>
      <c r="BA345" s="375">
        <v>0</v>
      </c>
      <c r="BB345" s="375">
        <v>0</v>
      </c>
      <c r="BC345" s="375">
        <v>0</v>
      </c>
      <c r="BD345" s="375">
        <v>0</v>
      </c>
      <c r="BE345" s="375">
        <v>0</v>
      </c>
      <c r="BF345" s="375">
        <v>0</v>
      </c>
      <c r="BG345" s="375">
        <v>70950</v>
      </c>
      <c r="BH345" s="79"/>
      <c r="BI345" s="79"/>
      <c r="BJ345" s="79">
        <v>70950</v>
      </c>
      <c r="BK345" s="79">
        <v>0</v>
      </c>
      <c r="BL345" s="79">
        <v>0</v>
      </c>
      <c r="BM345" s="79">
        <v>0</v>
      </c>
      <c r="BN345" s="79">
        <v>0</v>
      </c>
      <c r="BO345" s="79">
        <v>0</v>
      </c>
      <c r="BP345" s="79">
        <v>0</v>
      </c>
      <c r="BQ345" s="79">
        <v>0</v>
      </c>
      <c r="BR345" s="79">
        <v>0</v>
      </c>
      <c r="BS345" s="79">
        <v>0</v>
      </c>
      <c r="BT345" s="79">
        <v>70950</v>
      </c>
    </row>
    <row r="346" spans="1:72" ht="15" customHeight="1">
      <c r="A346" s="66" t="s">
        <v>1476</v>
      </c>
      <c r="B346" s="66"/>
      <c r="C346" s="66" t="s">
        <v>226</v>
      </c>
      <c r="D346" s="66" t="s">
        <v>226</v>
      </c>
      <c r="E346" s="150" t="s">
        <v>1136</v>
      </c>
      <c r="F346" s="482" t="s">
        <v>1566</v>
      </c>
      <c r="G346" s="150" t="s">
        <v>1450</v>
      </c>
      <c r="H346" s="150" t="s">
        <v>1450</v>
      </c>
      <c r="I346" s="150" t="s">
        <v>1345</v>
      </c>
      <c r="J346" s="150" t="s">
        <v>1450</v>
      </c>
      <c r="K346" s="150" t="s">
        <v>1346</v>
      </c>
      <c r="L346" s="511" t="s">
        <v>49</v>
      </c>
      <c r="M346" s="392" t="s">
        <v>1327</v>
      </c>
      <c r="N346" s="343"/>
      <c r="O346" s="343"/>
      <c r="P346" s="70" t="s">
        <v>147</v>
      </c>
      <c r="Q346" s="346"/>
      <c r="R346" s="343"/>
      <c r="S346" s="346"/>
      <c r="T346" s="150" t="s">
        <v>25</v>
      </c>
      <c r="U346" s="150"/>
      <c r="V346" s="403"/>
      <c r="W346" s="406">
        <v>0</v>
      </c>
      <c r="X346" s="406">
        <v>-0.32999999999999996</v>
      </c>
      <c r="Y346" s="425"/>
      <c r="Z346" s="71"/>
      <c r="AA346" s="426">
        <v>-0.15</v>
      </c>
      <c r="AB346" s="427">
        <v>0.23</v>
      </c>
      <c r="AC346" s="427">
        <v>-0.41</v>
      </c>
      <c r="AD346" s="428">
        <v>0.8</v>
      </c>
      <c r="AE346" s="429">
        <v>-0.17</v>
      </c>
      <c r="AF346" s="429">
        <v>-0.68</v>
      </c>
      <c r="AG346" s="360">
        <v>0</v>
      </c>
      <c r="AH346" s="360">
        <v>0</v>
      </c>
      <c r="AI346" s="360">
        <v>0</v>
      </c>
      <c r="AJ346" s="360">
        <v>0</v>
      </c>
      <c r="AK346" s="360">
        <v>0</v>
      </c>
      <c r="AL346" s="360">
        <v>0</v>
      </c>
      <c r="AM346" s="360">
        <f t="shared" si="12"/>
        <v>-0.38</v>
      </c>
      <c r="AN346" s="362">
        <f>ERP_26[[#This Row],[2026 Working Total]]-ERP_26[[#This Row],[LE2 Final Submission]]</f>
        <v>-5.0000000000000044E-2</v>
      </c>
      <c r="AO346" s="79">
        <v>0</v>
      </c>
      <c r="AP346" s="79">
        <f t="shared" si="16"/>
        <v>-0.68</v>
      </c>
      <c r="AQ346" s="374">
        <f>SUM(ERP_26[[#This Row],[AP01]:[AP06]])-SUM(ERP_26[[#This Row],[AP01 LE2]:[AP06 LE2]])</f>
        <v>-5.0000000000000044E-2</v>
      </c>
      <c r="AR346" s="80"/>
      <c r="AS346" s="79">
        <f>ERP_26[[#This Row],[2026 Working Total to Budget/LE]]-ERP_26[[#This Row],[Giveback]]</f>
        <v>-5.0000000000000044E-2</v>
      </c>
      <c r="AT346" s="81"/>
      <c r="AU346" s="375">
        <v>-0.15</v>
      </c>
      <c r="AV346" s="375">
        <v>0.23</v>
      </c>
      <c r="AW346" s="375">
        <v>-0.41</v>
      </c>
      <c r="AX346" s="375">
        <v>0</v>
      </c>
      <c r="AY346" s="375">
        <v>0</v>
      </c>
      <c r="AZ346" s="375">
        <v>0</v>
      </c>
      <c r="BA346" s="375">
        <v>0</v>
      </c>
      <c r="BB346" s="375">
        <v>0</v>
      </c>
      <c r="BC346" s="375">
        <v>0</v>
      </c>
      <c r="BD346" s="375">
        <v>0</v>
      </c>
      <c r="BE346" s="375">
        <v>0</v>
      </c>
      <c r="BF346" s="375">
        <v>0</v>
      </c>
      <c r="BG346" s="375">
        <v>-0.32999999999999996</v>
      </c>
      <c r="BH346" s="79">
        <v>-0.15</v>
      </c>
      <c r="BI346" s="79">
        <v>0.23</v>
      </c>
      <c r="BJ346" s="79">
        <v>-0.41</v>
      </c>
      <c r="BK346" s="79">
        <v>0</v>
      </c>
      <c r="BL346" s="79">
        <v>0</v>
      </c>
      <c r="BM346" s="79">
        <v>0</v>
      </c>
      <c r="BN346" s="79">
        <v>0</v>
      </c>
      <c r="BO346" s="79">
        <v>0</v>
      </c>
      <c r="BP346" s="79">
        <v>0</v>
      </c>
      <c r="BQ346" s="79">
        <v>0</v>
      </c>
      <c r="BR346" s="79">
        <v>0</v>
      </c>
      <c r="BS346" s="79">
        <v>0</v>
      </c>
      <c r="BT346" s="79">
        <v>-0.32999999999999996</v>
      </c>
    </row>
    <row r="347" spans="1:72" ht="15" customHeight="1">
      <c r="A347" s="66" t="s">
        <v>1477</v>
      </c>
      <c r="B347" s="66"/>
      <c r="C347" s="66" t="s">
        <v>227</v>
      </c>
      <c r="D347" s="66" t="s">
        <v>227</v>
      </c>
      <c r="E347" s="150" t="s">
        <v>1136</v>
      </c>
      <c r="F347" s="482" t="s">
        <v>1566</v>
      </c>
      <c r="G347" s="150" t="s">
        <v>1450</v>
      </c>
      <c r="H347" s="150" t="s">
        <v>1450</v>
      </c>
      <c r="I347" s="150" t="s">
        <v>1345</v>
      </c>
      <c r="J347" s="150" t="s">
        <v>1450</v>
      </c>
      <c r="K347" s="150" t="s">
        <v>1346</v>
      </c>
      <c r="L347" s="511" t="s">
        <v>49</v>
      </c>
      <c r="M347" s="392" t="s">
        <v>1340</v>
      </c>
      <c r="N347" s="343"/>
      <c r="O347" s="343"/>
      <c r="P347" s="70" t="s">
        <v>149</v>
      </c>
      <c r="Q347" s="346" t="s">
        <v>1139</v>
      </c>
      <c r="R347" s="343"/>
      <c r="S347" s="346"/>
      <c r="T347" s="150" t="s">
        <v>25</v>
      </c>
      <c r="U347" s="150"/>
      <c r="V347" s="403"/>
      <c r="W347" s="406">
        <v>0</v>
      </c>
      <c r="X347" s="406">
        <v>-4283.6499999999996</v>
      </c>
      <c r="Y347" s="425"/>
      <c r="Z347" s="71"/>
      <c r="AA347" s="426">
        <v>-487.65</v>
      </c>
      <c r="AB347" s="427">
        <v>-3796</v>
      </c>
      <c r="AC347" s="431">
        <v>0</v>
      </c>
      <c r="AD347" s="428">
        <v>0</v>
      </c>
      <c r="AE347" s="429">
        <v>0</v>
      </c>
      <c r="AF347" s="429">
        <v>0</v>
      </c>
      <c r="AG347" s="360">
        <v>0</v>
      </c>
      <c r="AH347" s="360">
        <v>0</v>
      </c>
      <c r="AI347" s="360">
        <v>0</v>
      </c>
      <c r="AJ347" s="360">
        <v>0</v>
      </c>
      <c r="AK347" s="360">
        <v>0</v>
      </c>
      <c r="AL347" s="360">
        <v>0</v>
      </c>
      <c r="AM347" s="360">
        <f t="shared" si="12"/>
        <v>-4283.6499999999996</v>
      </c>
      <c r="AN347" s="362">
        <f>ERP_26[[#This Row],[2026 Working Total]]-ERP_26[[#This Row],[LE2 Final Submission]]</f>
        <v>0</v>
      </c>
      <c r="AO347" s="79">
        <v>0</v>
      </c>
      <c r="AP347" s="79">
        <f t="shared" si="16"/>
        <v>0</v>
      </c>
      <c r="AQ347" s="374">
        <f>SUM(ERP_26[[#This Row],[AP01]:[AP06]])-SUM(ERP_26[[#This Row],[AP01 LE2]:[AP06 LE2]])</f>
        <v>0</v>
      </c>
      <c r="AR347" s="80"/>
      <c r="AS347" s="79">
        <f>ERP_26[[#This Row],[2026 Working Total to Budget/LE]]-ERP_26[[#This Row],[Giveback]]</f>
        <v>0</v>
      </c>
      <c r="AT347" s="81"/>
      <c r="AU347" s="375">
        <v>-487.65</v>
      </c>
      <c r="AV347" s="375">
        <v>-3796</v>
      </c>
      <c r="AW347" s="375">
        <v>0</v>
      </c>
      <c r="AX347" s="375">
        <v>0</v>
      </c>
      <c r="AY347" s="375">
        <v>0</v>
      </c>
      <c r="AZ347" s="375">
        <v>0</v>
      </c>
      <c r="BA347" s="375">
        <v>0</v>
      </c>
      <c r="BB347" s="375">
        <v>0</v>
      </c>
      <c r="BC347" s="375">
        <v>0</v>
      </c>
      <c r="BD347" s="375">
        <v>0</v>
      </c>
      <c r="BE347" s="375">
        <v>0</v>
      </c>
      <c r="BF347" s="375">
        <v>0</v>
      </c>
      <c r="BG347" s="375">
        <v>-4283.6499999999996</v>
      </c>
      <c r="BH347" s="79">
        <v>-487.65</v>
      </c>
      <c r="BI347" s="79">
        <v>-3796</v>
      </c>
      <c r="BJ347" s="79">
        <v>0</v>
      </c>
      <c r="BK347" s="79">
        <v>0</v>
      </c>
      <c r="BL347" s="79">
        <v>0</v>
      </c>
      <c r="BM347" s="79">
        <v>0</v>
      </c>
      <c r="BN347" s="79">
        <v>0</v>
      </c>
      <c r="BO347" s="79">
        <v>0</v>
      </c>
      <c r="BP347" s="79">
        <v>0</v>
      </c>
      <c r="BQ347" s="79">
        <v>0</v>
      </c>
      <c r="BR347" s="79">
        <v>0</v>
      </c>
      <c r="BS347" s="79">
        <v>0</v>
      </c>
      <c r="BT347" s="79">
        <v>-4283.6499999999996</v>
      </c>
    </row>
    <row r="348" spans="1:72" ht="15" customHeight="1">
      <c r="A348" s="66" t="s">
        <v>2035</v>
      </c>
      <c r="B348" s="66"/>
      <c r="C348" s="66" t="s">
        <v>539</v>
      </c>
      <c r="D348" s="66" t="s">
        <v>539</v>
      </c>
      <c r="E348" s="150" t="s">
        <v>1136</v>
      </c>
      <c r="F348" s="482" t="s">
        <v>1566</v>
      </c>
      <c r="G348" s="150" t="s">
        <v>1450</v>
      </c>
      <c r="H348" s="150" t="s">
        <v>1450</v>
      </c>
      <c r="I348" s="150" t="s">
        <v>1345</v>
      </c>
      <c r="J348" s="150" t="s">
        <v>1450</v>
      </c>
      <c r="K348" s="150" t="s">
        <v>1346</v>
      </c>
      <c r="L348" s="511" t="s">
        <v>389</v>
      </c>
      <c r="M348" s="392" t="s">
        <v>1174</v>
      </c>
      <c r="N348" s="343"/>
      <c r="O348" s="343"/>
      <c r="P348" s="70" t="s">
        <v>56</v>
      </c>
      <c r="Q348" s="346"/>
      <c r="R348" s="346" t="s">
        <v>1140</v>
      </c>
      <c r="S348" s="346"/>
      <c r="T348" s="150" t="s">
        <v>57</v>
      </c>
      <c r="U348" s="150"/>
      <c r="V348" s="403"/>
      <c r="W348" s="406">
        <v>24000</v>
      </c>
      <c r="X348" s="406">
        <v>21077.66</v>
      </c>
      <c r="Y348" s="430"/>
      <c r="Z348" s="137"/>
      <c r="AA348" s="426">
        <v>1075.3900000000001</v>
      </c>
      <c r="AB348" s="427">
        <v>1075.5999999999999</v>
      </c>
      <c r="AC348" s="427">
        <v>926.67</v>
      </c>
      <c r="AD348" s="428">
        <v>1030.1999999999998</v>
      </c>
      <c r="AE348" s="429">
        <v>1176.04</v>
      </c>
      <c r="AF348" s="429">
        <v>1160.54</v>
      </c>
      <c r="AG348" s="363">
        <v>2000</v>
      </c>
      <c r="AH348" s="363">
        <v>2000</v>
      </c>
      <c r="AI348" s="363">
        <v>2000</v>
      </c>
      <c r="AJ348" s="363">
        <v>2000</v>
      </c>
      <c r="AK348" s="363">
        <v>2000</v>
      </c>
      <c r="AL348" s="363">
        <v>2000</v>
      </c>
      <c r="AM348" s="360">
        <f t="shared" si="12"/>
        <v>18444.439999999999</v>
      </c>
      <c r="AN348" s="362">
        <f>ERP_26[[#This Row],[2026 Working Total]]-ERP_26[[#This Row],[LE2 Final Submission]]</f>
        <v>-2633.2200000000012</v>
      </c>
      <c r="AO348" s="79">
        <v>2000</v>
      </c>
      <c r="AP348" s="79">
        <f t="shared" si="16"/>
        <v>-839.46</v>
      </c>
      <c r="AQ348" s="374">
        <f>SUM(ERP_26[[#This Row],[AP01]:[AP06]])-SUM(ERP_26[[#This Row],[AP01 LE2]:[AP06 LE2]])</f>
        <v>-2633.2200000000003</v>
      </c>
      <c r="AR348" s="80"/>
      <c r="AS348" s="79">
        <f>ERP_26[[#This Row],[2026 Working Total to Budget/LE]]-ERP_26[[#This Row],[Giveback]]</f>
        <v>-2633.2200000000012</v>
      </c>
      <c r="AT348" s="81"/>
      <c r="AU348" s="375">
        <v>1075.3900000000001</v>
      </c>
      <c r="AV348" s="375">
        <v>1075.5999999999999</v>
      </c>
      <c r="AW348" s="375">
        <v>926.67</v>
      </c>
      <c r="AX348" s="375">
        <v>2000</v>
      </c>
      <c r="AY348" s="375">
        <v>2000</v>
      </c>
      <c r="AZ348" s="375">
        <v>2000</v>
      </c>
      <c r="BA348" s="375">
        <v>2000</v>
      </c>
      <c r="BB348" s="375">
        <v>2000</v>
      </c>
      <c r="BC348" s="375">
        <v>2000</v>
      </c>
      <c r="BD348" s="375">
        <v>2000</v>
      </c>
      <c r="BE348" s="375">
        <v>2000</v>
      </c>
      <c r="BF348" s="375">
        <v>2000</v>
      </c>
      <c r="BG348" s="375">
        <v>21077.66</v>
      </c>
      <c r="BH348" s="79">
        <v>1075.3900000000001</v>
      </c>
      <c r="BI348" s="79">
        <v>1075.5999999999999</v>
      </c>
      <c r="BJ348" s="79">
        <v>926.67</v>
      </c>
      <c r="BK348" s="79">
        <v>2000</v>
      </c>
      <c r="BL348" s="79">
        <v>2000</v>
      </c>
      <c r="BM348" s="79">
        <v>2000</v>
      </c>
      <c r="BN348" s="79">
        <v>2000</v>
      </c>
      <c r="BO348" s="79">
        <v>2000</v>
      </c>
      <c r="BP348" s="79">
        <v>2000</v>
      </c>
      <c r="BQ348" s="79">
        <v>2000</v>
      </c>
      <c r="BR348" s="79">
        <v>2000</v>
      </c>
      <c r="BS348" s="79">
        <v>2000</v>
      </c>
      <c r="BT348" s="79">
        <v>21077.66</v>
      </c>
    </row>
    <row r="349" spans="1:72" ht="15" customHeight="1">
      <c r="A349" s="66" t="s">
        <v>2036</v>
      </c>
      <c r="B349" s="66"/>
      <c r="C349" s="66" t="s">
        <v>540</v>
      </c>
      <c r="D349" s="66" t="s">
        <v>540</v>
      </c>
      <c r="E349" s="150" t="s">
        <v>1136</v>
      </c>
      <c r="F349" s="482" t="s">
        <v>1566</v>
      </c>
      <c r="G349" s="150" t="s">
        <v>1450</v>
      </c>
      <c r="H349" s="150" t="s">
        <v>1450</v>
      </c>
      <c r="I349" s="150" t="s">
        <v>1345</v>
      </c>
      <c r="J349" s="150" t="s">
        <v>1450</v>
      </c>
      <c r="K349" s="150" t="s">
        <v>1346</v>
      </c>
      <c r="L349" s="511" t="s">
        <v>389</v>
      </c>
      <c r="M349" s="392" t="s">
        <v>1464</v>
      </c>
      <c r="N349" s="343"/>
      <c r="O349" s="343"/>
      <c r="P349" s="70" t="s">
        <v>214</v>
      </c>
      <c r="Q349" s="346"/>
      <c r="R349" s="343"/>
      <c r="S349" s="346"/>
      <c r="T349" s="150" t="s">
        <v>188</v>
      </c>
      <c r="U349" s="150"/>
      <c r="V349" s="403"/>
      <c r="W349" s="406">
        <v>0</v>
      </c>
      <c r="X349" s="406">
        <v>35000</v>
      </c>
      <c r="Y349" s="425"/>
      <c r="Z349" s="71"/>
      <c r="AA349" s="426"/>
      <c r="AB349" s="427"/>
      <c r="AC349" s="427">
        <v>8751</v>
      </c>
      <c r="AD349" s="428">
        <v>0</v>
      </c>
      <c r="AE349" s="429">
        <v>5834</v>
      </c>
      <c r="AF349" s="429">
        <v>0</v>
      </c>
      <c r="AG349" s="360">
        <v>2917</v>
      </c>
      <c r="AH349" s="360">
        <v>2917</v>
      </c>
      <c r="AI349" s="360">
        <v>2916</v>
      </c>
      <c r="AJ349" s="360">
        <v>2916</v>
      </c>
      <c r="AK349" s="360">
        <v>2916</v>
      </c>
      <c r="AL349" s="360">
        <v>2916</v>
      </c>
      <c r="AM349" s="360">
        <f t="shared" si="12"/>
        <v>32083</v>
      </c>
      <c r="AN349" s="362">
        <f>ERP_26[[#This Row],[2026 Working Total]]-ERP_26[[#This Row],[LE2 Final Submission]]</f>
        <v>-2917</v>
      </c>
      <c r="AO349" s="79">
        <v>2917</v>
      </c>
      <c r="AP349" s="79">
        <f t="shared" si="16"/>
        <v>-2917</v>
      </c>
      <c r="AQ349" s="374">
        <f>SUM(ERP_26[[#This Row],[AP01]:[AP06]])-SUM(ERP_26[[#This Row],[AP01 LE2]:[AP06 LE2]])</f>
        <v>-2917</v>
      </c>
      <c r="AR349" s="80"/>
      <c r="AS349" s="79">
        <f>ERP_26[[#This Row],[2026 Working Total to Budget/LE]]-ERP_26[[#This Row],[Giveback]]</f>
        <v>-2917</v>
      </c>
      <c r="AT349" s="81" t="s">
        <v>2037</v>
      </c>
      <c r="AU349" s="375"/>
      <c r="AV349" s="375"/>
      <c r="AW349" s="375">
        <v>8751</v>
      </c>
      <c r="AX349" s="375">
        <v>2917</v>
      </c>
      <c r="AY349" s="375">
        <v>2917</v>
      </c>
      <c r="AZ349" s="375">
        <v>2917</v>
      </c>
      <c r="BA349" s="375">
        <v>2917</v>
      </c>
      <c r="BB349" s="375">
        <v>2917</v>
      </c>
      <c r="BC349" s="375">
        <v>2916</v>
      </c>
      <c r="BD349" s="375">
        <v>2916</v>
      </c>
      <c r="BE349" s="375">
        <v>2916</v>
      </c>
      <c r="BF349" s="375">
        <v>2916</v>
      </c>
      <c r="BG349" s="375">
        <v>35000</v>
      </c>
      <c r="BH349" s="79"/>
      <c r="BI349" s="79"/>
      <c r="BJ349" s="79">
        <v>8751</v>
      </c>
      <c r="BK349" s="79">
        <v>0</v>
      </c>
      <c r="BL349" s="79">
        <v>0</v>
      </c>
      <c r="BM349" s="79">
        <v>0</v>
      </c>
      <c r="BN349" s="79">
        <v>0</v>
      </c>
      <c r="BO349" s="79">
        <v>0</v>
      </c>
      <c r="BP349" s="79">
        <v>0</v>
      </c>
      <c r="BQ349" s="79">
        <v>0</v>
      </c>
      <c r="BR349" s="79">
        <v>0</v>
      </c>
      <c r="BS349" s="79">
        <v>0</v>
      </c>
      <c r="BT349" s="79">
        <v>8751</v>
      </c>
    </row>
    <row r="350" spans="1:72" ht="15" customHeight="1">
      <c r="A350" s="66" t="s">
        <v>2038</v>
      </c>
      <c r="B350" s="66"/>
      <c r="C350" s="66" t="s">
        <v>541</v>
      </c>
      <c r="D350" s="66" t="s">
        <v>541</v>
      </c>
      <c r="E350" s="150" t="s">
        <v>1136</v>
      </c>
      <c r="F350" s="482" t="s">
        <v>1566</v>
      </c>
      <c r="G350" s="150" t="s">
        <v>1450</v>
      </c>
      <c r="H350" s="150" t="s">
        <v>1450</v>
      </c>
      <c r="I350" s="150" t="s">
        <v>1345</v>
      </c>
      <c r="J350" s="150" t="s">
        <v>1450</v>
      </c>
      <c r="K350" s="150" t="s">
        <v>1346</v>
      </c>
      <c r="L350" s="511" t="s">
        <v>389</v>
      </c>
      <c r="M350" s="392" t="s">
        <v>1467</v>
      </c>
      <c r="N350" s="343"/>
      <c r="O350" s="343"/>
      <c r="P350" s="70" t="s">
        <v>216</v>
      </c>
      <c r="Q350" s="346"/>
      <c r="R350" s="343"/>
      <c r="S350" s="346"/>
      <c r="T350" s="150" t="s">
        <v>217</v>
      </c>
      <c r="U350" s="150"/>
      <c r="V350" s="403"/>
      <c r="W350" s="406">
        <v>0</v>
      </c>
      <c r="X350" s="406">
        <v>7906.64</v>
      </c>
      <c r="Y350" s="425"/>
      <c r="Z350" s="71"/>
      <c r="AA350" s="426">
        <v>988.33</v>
      </c>
      <c r="AB350" s="427">
        <v>988.33</v>
      </c>
      <c r="AC350" s="427">
        <v>988.33</v>
      </c>
      <c r="AD350" s="428">
        <v>1792.83</v>
      </c>
      <c r="AE350" s="429">
        <v>988.32999999999993</v>
      </c>
      <c r="AF350" s="429">
        <v>10337.959999999999</v>
      </c>
      <c r="AG350" s="360">
        <v>988.33</v>
      </c>
      <c r="AH350" s="360">
        <v>988.33</v>
      </c>
      <c r="AI350" s="360">
        <v>0</v>
      </c>
      <c r="AJ350" s="360">
        <v>0</v>
      </c>
      <c r="AK350" s="360">
        <v>0</v>
      </c>
      <c r="AL350" s="360">
        <v>0</v>
      </c>
      <c r="AM350" s="360">
        <f t="shared" si="12"/>
        <v>18060.77</v>
      </c>
      <c r="AN350" s="362">
        <f>ERP_26[[#This Row],[2026 Working Total]]-ERP_26[[#This Row],[LE2 Final Submission]]</f>
        <v>10154.130000000001</v>
      </c>
      <c r="AO350" s="79">
        <v>988.33</v>
      </c>
      <c r="AP350" s="79">
        <f t="shared" si="16"/>
        <v>9349.6299999999992</v>
      </c>
      <c r="AQ350" s="374">
        <f>SUM(ERP_26[[#This Row],[AP01]:[AP06]])-SUM(ERP_26[[#This Row],[AP01 LE2]:[AP06 LE2]])</f>
        <v>10154.129999999997</v>
      </c>
      <c r="AR350" s="80"/>
      <c r="AS350" s="79">
        <f>ERP_26[[#This Row],[2026 Working Total to Budget/LE]]-ERP_26[[#This Row],[Giveback]]</f>
        <v>10154.130000000001</v>
      </c>
      <c r="AT350" s="81" t="s">
        <v>2037</v>
      </c>
      <c r="AU350" s="375">
        <v>988.33</v>
      </c>
      <c r="AV350" s="375">
        <v>988.33</v>
      </c>
      <c r="AW350" s="375">
        <v>988.33</v>
      </c>
      <c r="AX350" s="375">
        <v>988.33</v>
      </c>
      <c r="AY350" s="375">
        <v>988.33</v>
      </c>
      <c r="AZ350" s="375">
        <v>988.33</v>
      </c>
      <c r="BA350" s="375">
        <v>988.33</v>
      </c>
      <c r="BB350" s="375">
        <v>988.33</v>
      </c>
      <c r="BC350" s="375">
        <v>0</v>
      </c>
      <c r="BD350" s="375">
        <v>0</v>
      </c>
      <c r="BE350" s="375">
        <v>0</v>
      </c>
      <c r="BF350" s="375">
        <v>0</v>
      </c>
      <c r="BG350" s="375">
        <v>7906.64</v>
      </c>
      <c r="BH350" s="79">
        <v>988.33</v>
      </c>
      <c r="BI350" s="79">
        <v>988.33</v>
      </c>
      <c r="BJ350" s="79">
        <v>988.33</v>
      </c>
      <c r="BK350" s="79">
        <v>0</v>
      </c>
      <c r="BL350" s="79">
        <v>0</v>
      </c>
      <c r="BM350" s="79">
        <v>0</v>
      </c>
      <c r="BN350" s="79">
        <v>0</v>
      </c>
      <c r="BO350" s="79">
        <v>0</v>
      </c>
      <c r="BP350" s="79">
        <v>0</v>
      </c>
      <c r="BQ350" s="79">
        <v>0</v>
      </c>
      <c r="BR350" s="79">
        <v>0</v>
      </c>
      <c r="BS350" s="79">
        <v>0</v>
      </c>
      <c r="BT350" s="79">
        <v>2964.9900000000002</v>
      </c>
    </row>
    <row r="351" spans="1:72" ht="15" customHeight="1">
      <c r="A351" s="66" t="s">
        <v>2039</v>
      </c>
      <c r="B351" s="66"/>
      <c r="C351" s="66" t="s">
        <v>542</v>
      </c>
      <c r="D351" s="66" t="s">
        <v>542</v>
      </c>
      <c r="E351" s="150" t="s">
        <v>1136</v>
      </c>
      <c r="F351" s="482" t="s">
        <v>1566</v>
      </c>
      <c r="G351" s="150" t="s">
        <v>1450</v>
      </c>
      <c r="H351" s="150" t="s">
        <v>1450</v>
      </c>
      <c r="I351" s="150" t="s">
        <v>1345</v>
      </c>
      <c r="J351" s="150" t="s">
        <v>1450</v>
      </c>
      <c r="K351" s="150" t="s">
        <v>1346</v>
      </c>
      <c r="L351" s="511" t="s">
        <v>389</v>
      </c>
      <c r="M351" s="392" t="s">
        <v>1703</v>
      </c>
      <c r="N351" s="343"/>
      <c r="O351" s="343"/>
      <c r="P351" s="70" t="s">
        <v>365</v>
      </c>
      <c r="Q351" s="346"/>
      <c r="R351" s="346" t="s">
        <v>1140</v>
      </c>
      <c r="S351" s="346"/>
      <c r="T351" s="150" t="s">
        <v>57</v>
      </c>
      <c r="U351" s="150"/>
      <c r="V351" s="403"/>
      <c r="W351" s="406">
        <v>8220</v>
      </c>
      <c r="X351" s="406">
        <v>7536.92</v>
      </c>
      <c r="Y351" s="430"/>
      <c r="Z351" s="137"/>
      <c r="AA351" s="426">
        <v>685.96</v>
      </c>
      <c r="AB351" s="427">
        <v>685.96</v>
      </c>
      <c r="AC351" s="431">
        <v>0</v>
      </c>
      <c r="AD351" s="428">
        <v>510.91</v>
      </c>
      <c r="AE351" s="429">
        <v>685.96</v>
      </c>
      <c r="AF351" s="429">
        <v>685.96</v>
      </c>
      <c r="AG351" s="363">
        <v>685</v>
      </c>
      <c r="AH351" s="363">
        <v>685</v>
      </c>
      <c r="AI351" s="363">
        <v>685</v>
      </c>
      <c r="AJ351" s="363">
        <v>685</v>
      </c>
      <c r="AK351" s="363">
        <v>685</v>
      </c>
      <c r="AL351" s="363">
        <v>685</v>
      </c>
      <c r="AM351" s="360">
        <f t="shared" si="12"/>
        <v>7364.75</v>
      </c>
      <c r="AN351" s="362">
        <f>ERP_26[[#This Row],[2026 Working Total]]-ERP_26[[#This Row],[LE2 Final Submission]]</f>
        <v>-172.17000000000007</v>
      </c>
      <c r="AO351" s="79">
        <v>685</v>
      </c>
      <c r="AP351" s="79">
        <f t="shared" si="16"/>
        <v>0.96000000000003638</v>
      </c>
      <c r="AQ351" s="374">
        <f>SUM(ERP_26[[#This Row],[AP01]:[AP06]])-SUM(ERP_26[[#This Row],[AP01 LE2]:[AP06 LE2]])</f>
        <v>-172.17000000000007</v>
      </c>
      <c r="AR351" s="80"/>
      <c r="AS351" s="79">
        <f>ERP_26[[#This Row],[2026 Working Total to Budget/LE]]-ERP_26[[#This Row],[Giveback]]</f>
        <v>-172.17000000000007</v>
      </c>
      <c r="AT351" s="81"/>
      <c r="AU351" s="375">
        <v>685.96</v>
      </c>
      <c r="AV351" s="375">
        <v>685.96</v>
      </c>
      <c r="AW351" s="375">
        <v>0</v>
      </c>
      <c r="AX351" s="375">
        <v>685</v>
      </c>
      <c r="AY351" s="375">
        <v>685</v>
      </c>
      <c r="AZ351" s="375">
        <v>685</v>
      </c>
      <c r="BA351" s="375">
        <v>685</v>
      </c>
      <c r="BB351" s="375">
        <v>685</v>
      </c>
      <c r="BC351" s="375">
        <v>685</v>
      </c>
      <c r="BD351" s="375">
        <v>685</v>
      </c>
      <c r="BE351" s="375">
        <v>685</v>
      </c>
      <c r="BF351" s="375">
        <v>685</v>
      </c>
      <c r="BG351" s="375">
        <v>7536.92</v>
      </c>
      <c r="BH351" s="79">
        <v>685.96</v>
      </c>
      <c r="BI351" s="79">
        <v>685.96</v>
      </c>
      <c r="BJ351" s="79">
        <v>0</v>
      </c>
      <c r="BK351" s="79">
        <v>685</v>
      </c>
      <c r="BL351" s="79">
        <v>685</v>
      </c>
      <c r="BM351" s="79">
        <v>685</v>
      </c>
      <c r="BN351" s="79">
        <v>685</v>
      </c>
      <c r="BO351" s="79">
        <v>685</v>
      </c>
      <c r="BP351" s="79">
        <v>685</v>
      </c>
      <c r="BQ351" s="79">
        <v>685</v>
      </c>
      <c r="BR351" s="79">
        <v>685</v>
      </c>
      <c r="BS351" s="79">
        <v>685</v>
      </c>
      <c r="BT351" s="79">
        <v>7536.92</v>
      </c>
    </row>
    <row r="352" spans="1:72" ht="15" customHeight="1">
      <c r="A352" s="66" t="s">
        <v>2040</v>
      </c>
      <c r="B352" s="66"/>
      <c r="C352" s="66" t="s">
        <v>543</v>
      </c>
      <c r="D352" s="66" t="s">
        <v>543</v>
      </c>
      <c r="E352" s="150" t="s">
        <v>1136</v>
      </c>
      <c r="F352" s="482" t="s">
        <v>1566</v>
      </c>
      <c r="G352" s="150" t="s">
        <v>1450</v>
      </c>
      <c r="H352" s="150" t="s">
        <v>1450</v>
      </c>
      <c r="I352" s="150" t="s">
        <v>1345</v>
      </c>
      <c r="J352" s="150" t="s">
        <v>1450</v>
      </c>
      <c r="K352" s="150" t="s">
        <v>1346</v>
      </c>
      <c r="L352" s="511" t="s">
        <v>389</v>
      </c>
      <c r="M352" s="392" t="s">
        <v>1855</v>
      </c>
      <c r="N352" s="343"/>
      <c r="O352" s="343"/>
      <c r="P352" s="70" t="s">
        <v>466</v>
      </c>
      <c r="Q352" s="346"/>
      <c r="R352" s="346" t="s">
        <v>1140</v>
      </c>
      <c r="S352" s="346"/>
      <c r="T352" s="150" t="s">
        <v>57</v>
      </c>
      <c r="U352" s="150"/>
      <c r="V352" s="403"/>
      <c r="W352" s="406">
        <v>36000</v>
      </c>
      <c r="X352" s="406">
        <v>34822</v>
      </c>
      <c r="Y352" s="425"/>
      <c r="Z352" s="71"/>
      <c r="AA352" s="426">
        <v>2137</v>
      </c>
      <c r="AB352" s="427">
        <v>1809</v>
      </c>
      <c r="AC352" s="427">
        <v>3876</v>
      </c>
      <c r="AD352" s="428">
        <v>1749</v>
      </c>
      <c r="AE352" s="429">
        <v>1548</v>
      </c>
      <c r="AF352" s="429">
        <v>1273</v>
      </c>
      <c r="AG352" s="363">
        <v>3000</v>
      </c>
      <c r="AH352" s="363">
        <v>3000</v>
      </c>
      <c r="AI352" s="363">
        <v>3000</v>
      </c>
      <c r="AJ352" s="363">
        <v>3000</v>
      </c>
      <c r="AK352" s="363">
        <v>3000</v>
      </c>
      <c r="AL352" s="363">
        <v>3000</v>
      </c>
      <c r="AM352" s="360">
        <f t="shared" si="12"/>
        <v>30392</v>
      </c>
      <c r="AN352" s="362">
        <f>ERP_26[[#This Row],[2026 Working Total]]-ERP_26[[#This Row],[LE2 Final Submission]]</f>
        <v>-4430</v>
      </c>
      <c r="AO352" s="79">
        <v>3000</v>
      </c>
      <c r="AP352" s="79">
        <f t="shared" si="16"/>
        <v>-1727</v>
      </c>
      <c r="AQ352" s="374">
        <f>SUM(ERP_26[[#This Row],[AP01]:[AP06]])-SUM(ERP_26[[#This Row],[AP01 LE2]:[AP06 LE2]])</f>
        <v>-4430</v>
      </c>
      <c r="AR352" s="80"/>
      <c r="AS352" s="79">
        <f>ERP_26[[#This Row],[2026 Working Total to Budget/LE]]-ERP_26[[#This Row],[Giveback]]</f>
        <v>-4430</v>
      </c>
      <c r="AT352" s="81"/>
      <c r="AU352" s="375">
        <v>2137</v>
      </c>
      <c r="AV352" s="375">
        <v>1809</v>
      </c>
      <c r="AW352" s="375">
        <v>3876</v>
      </c>
      <c r="AX352" s="375">
        <v>3000</v>
      </c>
      <c r="AY352" s="375">
        <v>3000</v>
      </c>
      <c r="AZ352" s="375">
        <v>3000</v>
      </c>
      <c r="BA352" s="375">
        <v>3000</v>
      </c>
      <c r="BB352" s="375">
        <v>3000</v>
      </c>
      <c r="BC352" s="375">
        <v>3000</v>
      </c>
      <c r="BD352" s="375">
        <v>3000</v>
      </c>
      <c r="BE352" s="375">
        <v>3000</v>
      </c>
      <c r="BF352" s="375">
        <v>3000</v>
      </c>
      <c r="BG352" s="375">
        <v>34822</v>
      </c>
      <c r="BH352" s="79">
        <v>2137</v>
      </c>
      <c r="BI352" s="79">
        <v>1809</v>
      </c>
      <c r="BJ352" s="79">
        <v>3876</v>
      </c>
      <c r="BK352" s="79">
        <v>3000</v>
      </c>
      <c r="BL352" s="79">
        <v>3000</v>
      </c>
      <c r="BM352" s="79">
        <v>3000</v>
      </c>
      <c r="BN352" s="79">
        <v>3000</v>
      </c>
      <c r="BO352" s="79">
        <v>3000</v>
      </c>
      <c r="BP352" s="79">
        <v>3000</v>
      </c>
      <c r="BQ352" s="79">
        <v>3000</v>
      </c>
      <c r="BR352" s="79">
        <v>3000</v>
      </c>
      <c r="BS352" s="79">
        <v>3000</v>
      </c>
      <c r="BT352" s="79">
        <v>34822</v>
      </c>
    </row>
    <row r="353" spans="1:72" ht="15" customHeight="1">
      <c r="A353" s="66" t="s">
        <v>2041</v>
      </c>
      <c r="B353" s="66"/>
      <c r="C353" s="66" t="s">
        <v>544</v>
      </c>
      <c r="D353" s="66" t="s">
        <v>544</v>
      </c>
      <c r="E353" s="150" t="s">
        <v>1136</v>
      </c>
      <c r="F353" s="482" t="s">
        <v>1566</v>
      </c>
      <c r="G353" s="150" t="s">
        <v>1450</v>
      </c>
      <c r="H353" s="150" t="s">
        <v>1450</v>
      </c>
      <c r="I353" s="150" t="s">
        <v>1345</v>
      </c>
      <c r="J353" s="150" t="s">
        <v>1450</v>
      </c>
      <c r="K353" s="150" t="s">
        <v>1346</v>
      </c>
      <c r="L353" s="511" t="s">
        <v>389</v>
      </c>
      <c r="M353" s="392" t="s">
        <v>1327</v>
      </c>
      <c r="N353" s="343"/>
      <c r="O353" s="343"/>
      <c r="P353" s="70" t="s">
        <v>147</v>
      </c>
      <c r="Q353" s="346"/>
      <c r="R353" s="343"/>
      <c r="S353" s="346"/>
      <c r="T353" s="150" t="s">
        <v>25</v>
      </c>
      <c r="U353" s="150"/>
      <c r="V353" s="403"/>
      <c r="W353" s="406">
        <v>0</v>
      </c>
      <c r="X353" s="406">
        <v>0.43</v>
      </c>
      <c r="Y353" s="425"/>
      <c r="Z353" s="71"/>
      <c r="AA353" s="426">
        <v>0.32</v>
      </c>
      <c r="AB353" s="427">
        <v>0.11</v>
      </c>
      <c r="AC353" s="431">
        <v>0</v>
      </c>
      <c r="AD353" s="428">
        <v>0.06</v>
      </c>
      <c r="AE353" s="429">
        <v>-0.33</v>
      </c>
      <c r="AF353" s="429">
        <v>-0.46</v>
      </c>
      <c r="AG353" s="360">
        <v>0</v>
      </c>
      <c r="AH353" s="360">
        <v>0</v>
      </c>
      <c r="AI353" s="360">
        <v>0</v>
      </c>
      <c r="AJ353" s="360">
        <v>0</v>
      </c>
      <c r="AK353" s="360">
        <v>0</v>
      </c>
      <c r="AL353" s="360">
        <v>0</v>
      </c>
      <c r="AM353" s="360">
        <f t="shared" si="12"/>
        <v>-0.30000000000000004</v>
      </c>
      <c r="AN353" s="362">
        <f>ERP_26[[#This Row],[2026 Working Total]]-ERP_26[[#This Row],[LE2 Final Submission]]</f>
        <v>-0.73</v>
      </c>
      <c r="AO353" s="79">
        <v>0</v>
      </c>
      <c r="AP353" s="79">
        <f t="shared" si="16"/>
        <v>-0.46</v>
      </c>
      <c r="AQ353" s="374">
        <f>SUM(ERP_26[[#This Row],[AP01]:[AP06]])-SUM(ERP_26[[#This Row],[AP01 LE2]:[AP06 LE2]])</f>
        <v>-0.73</v>
      </c>
      <c r="AR353" s="80"/>
      <c r="AS353" s="79">
        <f>ERP_26[[#This Row],[2026 Working Total to Budget/LE]]-ERP_26[[#This Row],[Giveback]]</f>
        <v>-0.73</v>
      </c>
      <c r="AT353" s="81"/>
      <c r="AU353" s="375">
        <v>0.32</v>
      </c>
      <c r="AV353" s="375">
        <v>0.11</v>
      </c>
      <c r="AW353" s="375">
        <v>0</v>
      </c>
      <c r="AX353" s="375">
        <v>0</v>
      </c>
      <c r="AY353" s="375">
        <v>0</v>
      </c>
      <c r="AZ353" s="375">
        <v>0</v>
      </c>
      <c r="BA353" s="375">
        <v>0</v>
      </c>
      <c r="BB353" s="375">
        <v>0</v>
      </c>
      <c r="BC353" s="375">
        <v>0</v>
      </c>
      <c r="BD353" s="375">
        <v>0</v>
      </c>
      <c r="BE353" s="375">
        <v>0</v>
      </c>
      <c r="BF353" s="375">
        <v>0</v>
      </c>
      <c r="BG353" s="375">
        <v>0.43</v>
      </c>
      <c r="BH353" s="79">
        <v>0.32</v>
      </c>
      <c r="BI353" s="79">
        <v>0.11</v>
      </c>
      <c r="BJ353" s="79">
        <v>0</v>
      </c>
      <c r="BK353" s="79">
        <v>0</v>
      </c>
      <c r="BL353" s="79">
        <v>0</v>
      </c>
      <c r="BM353" s="79">
        <v>0</v>
      </c>
      <c r="BN353" s="79">
        <v>0</v>
      </c>
      <c r="BO353" s="79">
        <v>0</v>
      </c>
      <c r="BP353" s="79">
        <v>0</v>
      </c>
      <c r="BQ353" s="79">
        <v>0</v>
      </c>
      <c r="BR353" s="79">
        <v>0</v>
      </c>
      <c r="BS353" s="79">
        <v>0</v>
      </c>
      <c r="BT353" s="79">
        <v>0.43</v>
      </c>
    </row>
    <row r="354" spans="1:72" ht="15" customHeight="1">
      <c r="A354" s="66" t="s">
        <v>2702</v>
      </c>
      <c r="B354" s="66"/>
      <c r="C354" s="66" t="s">
        <v>956</v>
      </c>
      <c r="D354" s="66" t="s">
        <v>956</v>
      </c>
      <c r="E354" s="150" t="s">
        <v>1136</v>
      </c>
      <c r="F354" s="482" t="s">
        <v>1566</v>
      </c>
      <c r="G354" s="150" t="s">
        <v>1450</v>
      </c>
      <c r="H354" s="150" t="s">
        <v>1450</v>
      </c>
      <c r="I354" s="150" t="s">
        <v>1345</v>
      </c>
      <c r="J354" s="150" t="s">
        <v>1450</v>
      </c>
      <c r="K354" s="150" t="s">
        <v>1346</v>
      </c>
      <c r="L354" s="511" t="s">
        <v>639</v>
      </c>
      <c r="M354" s="392" t="s">
        <v>1138</v>
      </c>
      <c r="N354" s="343"/>
      <c r="O354" s="343"/>
      <c r="P354" s="70" t="s">
        <v>51</v>
      </c>
      <c r="Q354" s="346" t="s">
        <v>1139</v>
      </c>
      <c r="R354" s="346" t="s">
        <v>1140</v>
      </c>
      <c r="S354" s="346"/>
      <c r="T354" s="150" t="s">
        <v>25</v>
      </c>
      <c r="U354" s="150"/>
      <c r="V354" s="403"/>
      <c r="W354" s="406">
        <v>0</v>
      </c>
      <c r="X354" s="406">
        <v>431.03</v>
      </c>
      <c r="Y354" s="430"/>
      <c r="Z354" s="137"/>
      <c r="AA354" s="426"/>
      <c r="AB354" s="427">
        <v>431.03</v>
      </c>
      <c r="AC354" s="431">
        <v>0</v>
      </c>
      <c r="AD354" s="428">
        <v>0</v>
      </c>
      <c r="AE354" s="429">
        <v>0</v>
      </c>
      <c r="AF354" s="429">
        <v>0</v>
      </c>
      <c r="AG354" s="360">
        <v>0</v>
      </c>
      <c r="AH354" s="360">
        <v>0</v>
      </c>
      <c r="AI354" s="360">
        <v>0</v>
      </c>
      <c r="AJ354" s="360">
        <v>0</v>
      </c>
      <c r="AK354" s="360">
        <v>0</v>
      </c>
      <c r="AL354" s="360">
        <v>0</v>
      </c>
      <c r="AM354" s="360">
        <f t="shared" si="12"/>
        <v>431.03</v>
      </c>
      <c r="AN354" s="362">
        <f>ERP_26[[#This Row],[2026 Working Total]]-ERP_26[[#This Row],[LE2 Final Submission]]</f>
        <v>0</v>
      </c>
      <c r="AO354" s="79">
        <v>0</v>
      </c>
      <c r="AP354" s="79">
        <f t="shared" si="16"/>
        <v>0</v>
      </c>
      <c r="AQ354" s="374">
        <f>SUM(ERP_26[[#This Row],[AP01]:[AP06]])-SUM(ERP_26[[#This Row],[AP01 LE2]:[AP06 LE2]])</f>
        <v>0</v>
      </c>
      <c r="AR354" s="80"/>
      <c r="AS354" s="79">
        <f>ERP_26[[#This Row],[2026 Working Total to Budget/LE]]-ERP_26[[#This Row],[Giveback]]</f>
        <v>0</v>
      </c>
      <c r="AT354" s="81"/>
      <c r="AU354" s="375"/>
      <c r="AV354" s="375">
        <v>431.03</v>
      </c>
      <c r="AW354" s="375">
        <v>0</v>
      </c>
      <c r="AX354" s="375">
        <v>0</v>
      </c>
      <c r="AY354" s="375">
        <v>0</v>
      </c>
      <c r="AZ354" s="375">
        <v>0</v>
      </c>
      <c r="BA354" s="375">
        <v>0</v>
      </c>
      <c r="BB354" s="375">
        <v>0</v>
      </c>
      <c r="BC354" s="375">
        <v>0</v>
      </c>
      <c r="BD354" s="375">
        <v>0</v>
      </c>
      <c r="BE354" s="375">
        <v>0</v>
      </c>
      <c r="BF354" s="375">
        <v>0</v>
      </c>
      <c r="BG354" s="375">
        <v>431.03</v>
      </c>
      <c r="BH354" s="79"/>
      <c r="BI354" s="79">
        <v>431.03</v>
      </c>
      <c r="BJ354" s="79">
        <v>0</v>
      </c>
      <c r="BK354" s="79">
        <v>0</v>
      </c>
      <c r="BL354" s="79">
        <v>0</v>
      </c>
      <c r="BM354" s="79">
        <v>0</v>
      </c>
      <c r="BN354" s="79">
        <v>0</v>
      </c>
      <c r="BO354" s="79">
        <v>0</v>
      </c>
      <c r="BP354" s="79">
        <v>0</v>
      </c>
      <c r="BQ354" s="79">
        <v>0</v>
      </c>
      <c r="BR354" s="79">
        <v>0</v>
      </c>
      <c r="BS354" s="79">
        <v>0</v>
      </c>
      <c r="BT354" s="79">
        <v>431.03</v>
      </c>
    </row>
    <row r="355" spans="1:72" ht="15" customHeight="1">
      <c r="A355" s="66" t="s">
        <v>2703</v>
      </c>
      <c r="B355" s="66"/>
      <c r="C355" s="66" t="s">
        <v>957</v>
      </c>
      <c r="D355" s="66" t="s">
        <v>957</v>
      </c>
      <c r="E355" s="150" t="s">
        <v>1136</v>
      </c>
      <c r="F355" s="482" t="s">
        <v>1566</v>
      </c>
      <c r="G355" s="150" t="s">
        <v>1450</v>
      </c>
      <c r="H355" s="150" t="s">
        <v>1450</v>
      </c>
      <c r="I355" s="150" t="s">
        <v>1345</v>
      </c>
      <c r="J355" s="150" t="s">
        <v>1450</v>
      </c>
      <c r="K355" s="150" t="s">
        <v>1346</v>
      </c>
      <c r="L355" s="511" t="s">
        <v>639</v>
      </c>
      <c r="M355" s="392" t="s">
        <v>818</v>
      </c>
      <c r="N355" s="343"/>
      <c r="O355" s="343"/>
      <c r="P355" s="70" t="s">
        <v>817</v>
      </c>
      <c r="Q355" s="346"/>
      <c r="R355" s="346" t="s">
        <v>1140</v>
      </c>
      <c r="S355" s="346"/>
      <c r="T355" s="150" t="s">
        <v>818</v>
      </c>
      <c r="U355" s="150"/>
      <c r="V355" s="403"/>
      <c r="W355" s="406">
        <v>12000</v>
      </c>
      <c r="X355" s="406">
        <v>19022.099999999999</v>
      </c>
      <c r="Y355" s="425"/>
      <c r="Z355" s="71"/>
      <c r="AA355" s="426"/>
      <c r="AB355" s="427"/>
      <c r="AC355" s="427">
        <v>10022.1</v>
      </c>
      <c r="AD355" s="428">
        <v>0</v>
      </c>
      <c r="AE355" s="429">
        <v>0</v>
      </c>
      <c r="AF355" s="429">
        <v>7983.4299999999994</v>
      </c>
      <c r="AG355" s="360">
        <v>0</v>
      </c>
      <c r="AH355" s="360">
        <v>0</v>
      </c>
      <c r="AI355" s="363">
        <v>10000</v>
      </c>
      <c r="AJ355" s="360">
        <v>0</v>
      </c>
      <c r="AK355" s="360">
        <v>0</v>
      </c>
      <c r="AL355" s="363">
        <v>10000</v>
      </c>
      <c r="AM355" s="360">
        <f t="shared" si="12"/>
        <v>38005.53</v>
      </c>
      <c r="AN355" s="362">
        <f>ERP_26[[#This Row],[2026 Working Total]]-ERP_26[[#This Row],[LE2 Final Submission]]</f>
        <v>18983.43</v>
      </c>
      <c r="AO355" s="79">
        <v>0</v>
      </c>
      <c r="AP355" s="79">
        <f t="shared" si="16"/>
        <v>7983.4299999999994</v>
      </c>
      <c r="AQ355" s="374">
        <f>SUM(ERP_26[[#This Row],[AP01]:[AP06]])-SUM(ERP_26[[#This Row],[AP01 LE2]:[AP06 LE2]])</f>
        <v>4983.4299999999985</v>
      </c>
      <c r="AR355" s="80"/>
      <c r="AS355" s="79">
        <f>ERP_26[[#This Row],[2026 Working Total to Budget/LE]]-ERP_26[[#This Row],[Giveback]]</f>
        <v>18983.43</v>
      </c>
      <c r="AT355" s="81"/>
      <c r="AU355" s="375"/>
      <c r="AV355" s="375"/>
      <c r="AW355" s="375">
        <v>10022.1</v>
      </c>
      <c r="AX355" s="375">
        <v>0</v>
      </c>
      <c r="AY355" s="375">
        <v>0</v>
      </c>
      <c r="AZ355" s="375">
        <v>3000</v>
      </c>
      <c r="BA355" s="375">
        <v>0</v>
      </c>
      <c r="BB355" s="375">
        <v>0</v>
      </c>
      <c r="BC355" s="375">
        <v>3000</v>
      </c>
      <c r="BD355" s="375">
        <v>0</v>
      </c>
      <c r="BE355" s="375">
        <v>0</v>
      </c>
      <c r="BF355" s="375">
        <v>3000</v>
      </c>
      <c r="BG355" s="375">
        <v>19022.099999999999</v>
      </c>
      <c r="BH355" s="79"/>
      <c r="BI355" s="79"/>
      <c r="BJ355" s="79">
        <v>10022.1</v>
      </c>
      <c r="BK355" s="79">
        <v>0</v>
      </c>
      <c r="BL355" s="79">
        <v>0</v>
      </c>
      <c r="BM355" s="79">
        <v>3000</v>
      </c>
      <c r="BN355" s="79">
        <v>0</v>
      </c>
      <c r="BO355" s="79">
        <v>0</v>
      </c>
      <c r="BP355" s="79">
        <v>3000</v>
      </c>
      <c r="BQ355" s="79">
        <v>0</v>
      </c>
      <c r="BR355" s="79">
        <v>0</v>
      </c>
      <c r="BS355" s="79">
        <v>3000</v>
      </c>
      <c r="BT355" s="79">
        <v>19022.099999999999</v>
      </c>
    </row>
    <row r="356" spans="1:72" ht="15" customHeight="1">
      <c r="A356" s="66" t="s">
        <v>2704</v>
      </c>
      <c r="B356" s="66"/>
      <c r="C356" s="66" t="s">
        <v>958</v>
      </c>
      <c r="D356" s="66" t="s">
        <v>958</v>
      </c>
      <c r="E356" s="150" t="s">
        <v>1136</v>
      </c>
      <c r="F356" s="482" t="s">
        <v>1566</v>
      </c>
      <c r="G356" s="150" t="s">
        <v>1450</v>
      </c>
      <c r="H356" s="150" t="s">
        <v>1450</v>
      </c>
      <c r="I356" s="150" t="s">
        <v>1345</v>
      </c>
      <c r="J356" s="150" t="s">
        <v>1450</v>
      </c>
      <c r="K356" s="150" t="s">
        <v>1346</v>
      </c>
      <c r="L356" s="511" t="s">
        <v>639</v>
      </c>
      <c r="M356" s="392" t="s">
        <v>1327</v>
      </c>
      <c r="N356" s="343"/>
      <c r="O356" s="343"/>
      <c r="P356" s="70" t="s">
        <v>147</v>
      </c>
      <c r="Q356" s="346"/>
      <c r="R356" s="343"/>
      <c r="S356" s="346"/>
      <c r="T356" s="150" t="s">
        <v>25</v>
      </c>
      <c r="U356" s="150"/>
      <c r="V356" s="403"/>
      <c r="W356" s="406">
        <v>0</v>
      </c>
      <c r="X356" s="406">
        <v>-0.13</v>
      </c>
      <c r="Y356" s="425"/>
      <c r="Z356" s="71"/>
      <c r="AA356" s="426"/>
      <c r="AB356" s="427">
        <v>-0.03</v>
      </c>
      <c r="AC356" s="427">
        <v>-0.1</v>
      </c>
      <c r="AD356" s="428">
        <v>0</v>
      </c>
      <c r="AE356" s="429">
        <v>0</v>
      </c>
      <c r="AF356" s="429">
        <v>0.56999999999999995</v>
      </c>
      <c r="AG356" s="360">
        <v>0</v>
      </c>
      <c r="AH356" s="360">
        <v>0</v>
      </c>
      <c r="AI356" s="360">
        <v>0</v>
      </c>
      <c r="AJ356" s="360">
        <v>0</v>
      </c>
      <c r="AK356" s="360">
        <v>0</v>
      </c>
      <c r="AL356" s="360">
        <v>0</v>
      </c>
      <c r="AM356" s="360">
        <f t="shared" si="12"/>
        <v>0.43999999999999995</v>
      </c>
      <c r="AN356" s="362">
        <f>ERP_26[[#This Row],[2026 Working Total]]-ERP_26[[#This Row],[LE2 Final Submission]]</f>
        <v>0.56999999999999995</v>
      </c>
      <c r="AO356" s="79">
        <v>0</v>
      </c>
      <c r="AP356" s="79">
        <f t="shared" si="16"/>
        <v>0.56999999999999995</v>
      </c>
      <c r="AQ356" s="374">
        <f>SUM(ERP_26[[#This Row],[AP01]:[AP06]])-SUM(ERP_26[[#This Row],[AP01 LE2]:[AP06 LE2]])</f>
        <v>0.56999999999999995</v>
      </c>
      <c r="AR356" s="80"/>
      <c r="AS356" s="79">
        <f>ERP_26[[#This Row],[2026 Working Total to Budget/LE]]-ERP_26[[#This Row],[Giveback]]</f>
        <v>0.56999999999999995</v>
      </c>
      <c r="AT356" s="81"/>
      <c r="AU356" s="375"/>
      <c r="AV356" s="375">
        <v>-0.03</v>
      </c>
      <c r="AW356" s="375">
        <v>-0.1</v>
      </c>
      <c r="AX356" s="375">
        <v>0</v>
      </c>
      <c r="AY356" s="375">
        <v>0</v>
      </c>
      <c r="AZ356" s="375">
        <v>0</v>
      </c>
      <c r="BA356" s="375">
        <v>0</v>
      </c>
      <c r="BB356" s="375">
        <v>0</v>
      </c>
      <c r="BC356" s="375">
        <v>0</v>
      </c>
      <c r="BD356" s="375">
        <v>0</v>
      </c>
      <c r="BE356" s="375">
        <v>0</v>
      </c>
      <c r="BF356" s="375">
        <v>0</v>
      </c>
      <c r="BG356" s="375">
        <v>-0.13</v>
      </c>
      <c r="BH356" s="79"/>
      <c r="BI356" s="79">
        <v>-0.03</v>
      </c>
      <c r="BJ356" s="79">
        <v>-0.1</v>
      </c>
      <c r="BK356" s="79">
        <v>0</v>
      </c>
      <c r="BL356" s="79">
        <v>0</v>
      </c>
      <c r="BM356" s="79">
        <v>0</v>
      </c>
      <c r="BN356" s="79">
        <v>0</v>
      </c>
      <c r="BO356" s="79">
        <v>0</v>
      </c>
      <c r="BP356" s="79">
        <v>0</v>
      </c>
      <c r="BQ356" s="79">
        <v>0</v>
      </c>
      <c r="BR356" s="79">
        <v>0</v>
      </c>
      <c r="BS356" s="79">
        <v>0</v>
      </c>
      <c r="BT356" s="79">
        <v>-0.13</v>
      </c>
    </row>
    <row r="357" spans="1:72" ht="15" customHeight="1">
      <c r="A357" s="66" t="s">
        <v>1478</v>
      </c>
      <c r="B357" s="66"/>
      <c r="C357" s="66" t="s">
        <v>228</v>
      </c>
      <c r="D357" s="66" t="s">
        <v>1479</v>
      </c>
      <c r="E357" s="150" t="s">
        <v>1136</v>
      </c>
      <c r="F357" s="482" t="s">
        <v>1566</v>
      </c>
      <c r="G357" s="383" t="s">
        <v>1480</v>
      </c>
      <c r="H357" s="150" t="s">
        <v>1481</v>
      </c>
      <c r="I357" s="150" t="s">
        <v>1345</v>
      </c>
      <c r="J357" s="150" t="s">
        <v>1481</v>
      </c>
      <c r="K357" s="150" t="s">
        <v>1346</v>
      </c>
      <c r="L357" s="511" t="s">
        <v>49</v>
      </c>
      <c r="M357" s="392" t="s">
        <v>1147</v>
      </c>
      <c r="N357" s="343"/>
      <c r="O357" s="343"/>
      <c r="P357" s="70" t="s">
        <v>53</v>
      </c>
      <c r="Q357" s="346" t="s">
        <v>1153</v>
      </c>
      <c r="R357" s="343"/>
      <c r="S357" s="346"/>
      <c r="T357" s="150" t="s">
        <v>25</v>
      </c>
      <c r="U357" s="150" t="s">
        <v>1483</v>
      </c>
      <c r="V357" s="403"/>
      <c r="W357" s="406">
        <v>0</v>
      </c>
      <c r="X357" s="406">
        <v>0</v>
      </c>
      <c r="Y357" s="425"/>
      <c r="Z357" s="71"/>
      <c r="AA357" s="426">
        <v>279973</v>
      </c>
      <c r="AB357" s="427">
        <v>-451174</v>
      </c>
      <c r="AC357" s="427">
        <v>173459</v>
      </c>
      <c r="AD357" s="428">
        <v>771452.00000000012</v>
      </c>
      <c r="AE357" s="429">
        <v>-143797.00000000006</v>
      </c>
      <c r="AF357" s="429">
        <v>-449247</v>
      </c>
      <c r="AG357" s="360">
        <v>0</v>
      </c>
      <c r="AH357" s="360">
        <v>0</v>
      </c>
      <c r="AI357" s="360">
        <v>0</v>
      </c>
      <c r="AJ357" s="360">
        <v>0</v>
      </c>
      <c r="AK357" s="360">
        <v>0</v>
      </c>
      <c r="AL357" s="360">
        <v>0</v>
      </c>
      <c r="AM357" s="360">
        <f t="shared" si="12"/>
        <v>180666</v>
      </c>
      <c r="AN357" s="362">
        <f>ERP_26[[#This Row],[2026 Working Total]]-ERP_26[[#This Row],[LE2 Final Submission]]</f>
        <v>180666</v>
      </c>
      <c r="AO357" s="79">
        <v>-773710</v>
      </c>
      <c r="AP357" s="79">
        <f t="shared" si="16"/>
        <v>324463</v>
      </c>
      <c r="AQ357" s="374">
        <f>SUM(ERP_26[[#This Row],[AP01]:[AP06]])-SUM(ERP_26[[#This Row],[AP01 LE2]:[AP06 LE2]])</f>
        <v>180666</v>
      </c>
      <c r="AR357" s="80"/>
      <c r="AS357" s="79">
        <f>ERP_26[[#This Row],[2026 Working Total to Budget/LE]]-ERP_26[[#This Row],[Giveback]]</f>
        <v>180666</v>
      </c>
      <c r="AT357" s="81"/>
      <c r="AU357" s="375">
        <v>279973</v>
      </c>
      <c r="AV357" s="375">
        <v>-451174</v>
      </c>
      <c r="AW357" s="375">
        <v>173459</v>
      </c>
      <c r="AX357" s="375">
        <v>771452</v>
      </c>
      <c r="AY357" s="375">
        <v>-773710</v>
      </c>
      <c r="AZ357" s="375">
        <v>0</v>
      </c>
      <c r="BA357" s="375">
        <v>0</v>
      </c>
      <c r="BB357" s="375">
        <v>0</v>
      </c>
      <c r="BC357" s="375">
        <v>0</v>
      </c>
      <c r="BD357" s="375">
        <v>0</v>
      </c>
      <c r="BE357" s="375">
        <v>0</v>
      </c>
      <c r="BF357" s="375">
        <v>0</v>
      </c>
      <c r="BG357" s="375">
        <v>0</v>
      </c>
      <c r="BH357" s="79">
        <v>279973</v>
      </c>
      <c r="BI357" s="79">
        <v>-451174</v>
      </c>
      <c r="BJ357" s="79">
        <v>173459</v>
      </c>
      <c r="BK357" s="79">
        <v>0</v>
      </c>
      <c r="BL357" s="79">
        <v>51201</v>
      </c>
      <c r="BM357" s="79">
        <v>0</v>
      </c>
      <c r="BN357" s="79">
        <v>0</v>
      </c>
      <c r="BO357" s="79">
        <v>0</v>
      </c>
      <c r="BP357" s="79">
        <v>0</v>
      </c>
      <c r="BQ357" s="79">
        <v>0</v>
      </c>
      <c r="BR357" s="79">
        <v>0</v>
      </c>
      <c r="BS357" s="79">
        <v>0</v>
      </c>
      <c r="BT357" s="79">
        <v>53459</v>
      </c>
    </row>
    <row r="358" spans="1:72" ht="15" customHeight="1">
      <c r="A358" s="66" t="s">
        <v>1484</v>
      </c>
      <c r="B358" s="66"/>
      <c r="C358" s="66" t="s">
        <v>229</v>
      </c>
      <c r="D358" s="66" t="s">
        <v>1485</v>
      </c>
      <c r="E358" s="150" t="s">
        <v>1136</v>
      </c>
      <c r="F358" s="482" t="s">
        <v>1566</v>
      </c>
      <c r="G358" s="383" t="s">
        <v>1480</v>
      </c>
      <c r="H358" s="150" t="s">
        <v>1481</v>
      </c>
      <c r="I358" s="150" t="s">
        <v>1345</v>
      </c>
      <c r="J358" s="150" t="s">
        <v>1481</v>
      </c>
      <c r="K358" s="150" t="s">
        <v>1346</v>
      </c>
      <c r="L358" s="511" t="s">
        <v>49</v>
      </c>
      <c r="M358" s="392" t="s">
        <v>1486</v>
      </c>
      <c r="N358" s="343"/>
      <c r="O358" s="346" t="s">
        <v>1487</v>
      </c>
      <c r="P358" s="70" t="s">
        <v>230</v>
      </c>
      <c r="Q358" s="346"/>
      <c r="R358" s="346" t="s">
        <v>1488</v>
      </c>
      <c r="S358" s="346"/>
      <c r="T358" s="150" t="s">
        <v>25</v>
      </c>
      <c r="U358" s="184" t="s">
        <v>1489</v>
      </c>
      <c r="V358" s="403"/>
      <c r="W358" s="406">
        <v>0</v>
      </c>
      <c r="X358" s="406">
        <v>120000</v>
      </c>
      <c r="Y358" s="425"/>
      <c r="Z358" s="71"/>
      <c r="AA358" s="426">
        <v>0</v>
      </c>
      <c r="AB358" s="427">
        <v>0</v>
      </c>
      <c r="AC358" s="427">
        <v>0</v>
      </c>
      <c r="AD358" s="428">
        <v>39011.32</v>
      </c>
      <c r="AE358" s="429">
        <v>42012.189999999995</v>
      </c>
      <c r="AF358" s="429">
        <v>52515.23</v>
      </c>
      <c r="AG358" s="363">
        <v>13080</v>
      </c>
      <c r="AH358" s="363"/>
      <c r="AI358" s="363"/>
      <c r="AJ358" s="363"/>
      <c r="AK358" s="363"/>
      <c r="AL358" s="363"/>
      <c r="AM358" s="360">
        <f t="shared" si="12"/>
        <v>146618.74</v>
      </c>
      <c r="AN358" s="362">
        <f>ERP_26[[#This Row],[2026 Working Total]]-ERP_26[[#This Row],[LE2 Final Submission]]</f>
        <v>26618.739999999991</v>
      </c>
      <c r="AO358" s="79">
        <v>35640</v>
      </c>
      <c r="AP358" s="79">
        <f t="shared" si="16"/>
        <v>16875.230000000003</v>
      </c>
      <c r="AQ358" s="374">
        <f>SUM(ERP_26[[#This Row],[AP01]:[AP06]])-SUM(ERP_26[[#This Row],[AP01 LE2]:[AP06 LE2]])</f>
        <v>26618.739999999991</v>
      </c>
      <c r="AR358" s="80"/>
      <c r="AS358" s="79">
        <f>ERP_26[[#This Row],[2026 Working Total to Budget/LE]]-ERP_26[[#This Row],[Giveback]]</f>
        <v>26618.739999999991</v>
      </c>
      <c r="AT358" s="81" t="s">
        <v>1490</v>
      </c>
      <c r="AU358" s="375">
        <v>0</v>
      </c>
      <c r="AV358" s="375">
        <v>0</v>
      </c>
      <c r="AW358" s="375">
        <v>0</v>
      </c>
      <c r="AX358" s="375">
        <v>35640</v>
      </c>
      <c r="AY358" s="375">
        <v>35640</v>
      </c>
      <c r="AZ358" s="375">
        <v>35640</v>
      </c>
      <c r="BA358" s="375">
        <v>13080</v>
      </c>
      <c r="BB358" s="375"/>
      <c r="BC358" s="375"/>
      <c r="BD358" s="375"/>
      <c r="BE358" s="375"/>
      <c r="BF358" s="375"/>
      <c r="BG358" s="375">
        <v>120000</v>
      </c>
      <c r="BH358" s="79"/>
      <c r="BI358" s="79"/>
      <c r="BJ358" s="79"/>
      <c r="BK358" s="79"/>
      <c r="BL358" s="79"/>
      <c r="BM358" s="79"/>
      <c r="BN358" s="79">
        <v>20000</v>
      </c>
      <c r="BO358" s="79">
        <v>20000</v>
      </c>
      <c r="BP358" s="79">
        <v>20000</v>
      </c>
      <c r="BQ358" s="79">
        <v>20000</v>
      </c>
      <c r="BR358" s="79">
        <v>20000</v>
      </c>
      <c r="BS358" s="79">
        <v>20000</v>
      </c>
      <c r="BT358" s="79">
        <v>120000</v>
      </c>
    </row>
    <row r="359" spans="1:72" ht="15" customHeight="1">
      <c r="A359" s="66" t="s">
        <v>1491</v>
      </c>
      <c r="B359" s="66"/>
      <c r="C359" s="66" t="s">
        <v>231</v>
      </c>
      <c r="D359" s="66" t="s">
        <v>231</v>
      </c>
      <c r="E359" s="150" t="s">
        <v>1136</v>
      </c>
      <c r="F359" s="482" t="s">
        <v>1566</v>
      </c>
      <c r="G359" s="383" t="s">
        <v>1480</v>
      </c>
      <c r="H359" s="383" t="s">
        <v>1480</v>
      </c>
      <c r="I359" s="150" t="s">
        <v>1345</v>
      </c>
      <c r="J359" s="150" t="s">
        <v>1480</v>
      </c>
      <c r="K359" s="150" t="s">
        <v>1346</v>
      </c>
      <c r="L359" s="511" t="s">
        <v>49</v>
      </c>
      <c r="M359" s="392" t="s">
        <v>1492</v>
      </c>
      <c r="N359" s="343"/>
      <c r="O359" s="343"/>
      <c r="P359" s="70" t="s">
        <v>201</v>
      </c>
      <c r="Q359" s="346"/>
      <c r="R359" s="343"/>
      <c r="S359" s="346"/>
      <c r="T359" s="150" t="s">
        <v>232</v>
      </c>
      <c r="U359" s="150" t="s">
        <v>1494</v>
      </c>
      <c r="V359" s="404"/>
      <c r="W359" s="407">
        <v>0</v>
      </c>
      <c r="X359" s="407">
        <v>0</v>
      </c>
      <c r="Y359" s="430"/>
      <c r="Z359" s="137"/>
      <c r="AA359" s="426">
        <v>50000</v>
      </c>
      <c r="AB359" s="431">
        <v>0</v>
      </c>
      <c r="AC359" s="427">
        <v>-50000</v>
      </c>
      <c r="AD359" s="428">
        <v>50000</v>
      </c>
      <c r="AE359" s="429">
        <v>-50000</v>
      </c>
      <c r="AF359" s="429">
        <v>0</v>
      </c>
      <c r="AG359" s="363"/>
      <c r="AH359" s="363"/>
      <c r="AI359" s="363"/>
      <c r="AJ359" s="363"/>
      <c r="AK359" s="363"/>
      <c r="AL359" s="363"/>
      <c r="AM359" s="360">
        <f t="shared" si="12"/>
        <v>0</v>
      </c>
      <c r="AN359" s="362">
        <f>ERP_26[[#This Row],[2026 Working Total]]-ERP_26[[#This Row],[LE2 Final Submission]]</f>
        <v>0</v>
      </c>
      <c r="AO359" s="79">
        <v>-50000</v>
      </c>
      <c r="AP359" s="79">
        <f t="shared" si="16"/>
        <v>50000</v>
      </c>
      <c r="AQ359" s="374">
        <f>SUM(ERP_26[[#This Row],[AP01]:[AP06]])-SUM(ERP_26[[#This Row],[AP01 LE2]:[AP06 LE2]])</f>
        <v>0</v>
      </c>
      <c r="AR359" s="80"/>
      <c r="AS359" s="79">
        <f>ERP_26[[#This Row],[2026 Working Total to Budget/LE]]-ERP_26[[#This Row],[Giveback]]</f>
        <v>0</v>
      </c>
      <c r="AT359" s="81"/>
      <c r="AU359" s="375">
        <v>50000</v>
      </c>
      <c r="AV359" s="375">
        <v>0</v>
      </c>
      <c r="AW359" s="375">
        <v>-50000</v>
      </c>
      <c r="AX359" s="375">
        <v>50000</v>
      </c>
      <c r="AY359" s="375">
        <v>-50000</v>
      </c>
      <c r="AZ359" s="375"/>
      <c r="BA359" s="375"/>
      <c r="BB359" s="375"/>
      <c r="BC359" s="375"/>
      <c r="BD359" s="375"/>
      <c r="BE359" s="375"/>
      <c r="BF359" s="375"/>
      <c r="BG359" s="375">
        <v>0</v>
      </c>
      <c r="BH359" s="79">
        <v>50000</v>
      </c>
      <c r="BI359" s="79">
        <v>0</v>
      </c>
      <c r="BJ359" s="79">
        <v>-50000</v>
      </c>
      <c r="BK359" s="79"/>
      <c r="BL359" s="79"/>
      <c r="BM359" s="79"/>
      <c r="BN359" s="79"/>
      <c r="BO359" s="79"/>
      <c r="BP359" s="79"/>
      <c r="BQ359" s="79"/>
      <c r="BR359" s="79"/>
      <c r="BS359" s="79"/>
      <c r="BT359" s="79">
        <v>0</v>
      </c>
    </row>
    <row r="360" spans="1:72" ht="15" customHeight="1">
      <c r="A360" s="66" t="s">
        <v>1502</v>
      </c>
      <c r="B360" s="66"/>
      <c r="C360" s="66" t="s">
        <v>233</v>
      </c>
      <c r="D360" s="66" t="s">
        <v>1503</v>
      </c>
      <c r="E360" s="150" t="s">
        <v>1136</v>
      </c>
      <c r="F360" s="482" t="s">
        <v>1566</v>
      </c>
      <c r="G360" s="383" t="s">
        <v>1480</v>
      </c>
      <c r="H360" s="150" t="s">
        <v>1481</v>
      </c>
      <c r="I360" s="150" t="s">
        <v>1345</v>
      </c>
      <c r="J360" s="150" t="s">
        <v>1481</v>
      </c>
      <c r="K360" s="150" t="s">
        <v>1346</v>
      </c>
      <c r="L360" s="511" t="s">
        <v>49</v>
      </c>
      <c r="M360" s="392" t="s">
        <v>1504</v>
      </c>
      <c r="N360" s="343"/>
      <c r="O360" s="343"/>
      <c r="P360" s="70" t="s">
        <v>234</v>
      </c>
      <c r="Q360" s="346"/>
      <c r="R360" s="343"/>
      <c r="S360" s="346"/>
      <c r="T360" s="150" t="s">
        <v>25</v>
      </c>
      <c r="U360" s="184" t="s">
        <v>1505</v>
      </c>
      <c r="V360" s="404"/>
      <c r="W360" s="407">
        <v>0</v>
      </c>
      <c r="X360" s="407">
        <v>0</v>
      </c>
      <c r="Y360" s="425"/>
      <c r="Z360" s="71"/>
      <c r="AA360" s="426"/>
      <c r="AB360" s="427">
        <v>304987.09999999998</v>
      </c>
      <c r="AC360" s="427">
        <v>-304987.09999999998</v>
      </c>
      <c r="AD360" s="428">
        <v>0</v>
      </c>
      <c r="AE360" s="429">
        <v>0</v>
      </c>
      <c r="AF360" s="429">
        <v>0</v>
      </c>
      <c r="AG360" s="363"/>
      <c r="AH360" s="363"/>
      <c r="AI360" s="363"/>
      <c r="AJ360" s="363"/>
      <c r="AK360" s="363"/>
      <c r="AL360" s="363"/>
      <c r="AM360" s="360">
        <f t="shared" si="12"/>
        <v>0</v>
      </c>
      <c r="AN360" s="362">
        <f>ERP_26[[#This Row],[2026 Working Total]]-ERP_26[[#This Row],[LE2 Final Submission]]</f>
        <v>0</v>
      </c>
      <c r="AO360" s="79"/>
      <c r="AP360" s="79">
        <f t="shared" si="16"/>
        <v>0</v>
      </c>
      <c r="AQ360" s="374">
        <f>SUM(ERP_26[[#This Row],[AP01]:[AP06]])-SUM(ERP_26[[#This Row],[AP01 LE2]:[AP06 LE2]])</f>
        <v>0</v>
      </c>
      <c r="AR360" s="80"/>
      <c r="AS360" s="79">
        <f>ERP_26[[#This Row],[2026 Working Total to Budget/LE]]-ERP_26[[#This Row],[Giveback]]</f>
        <v>0</v>
      </c>
      <c r="AT360" s="81"/>
      <c r="AU360" s="375"/>
      <c r="AV360" s="375">
        <v>304987.09999999998</v>
      </c>
      <c r="AW360" s="375">
        <v>-304987.09999999998</v>
      </c>
      <c r="AX360" s="375"/>
      <c r="AY360" s="375"/>
      <c r="AZ360" s="375"/>
      <c r="BA360" s="375"/>
      <c r="BB360" s="375"/>
      <c r="BC360" s="375"/>
      <c r="BD360" s="375"/>
      <c r="BE360" s="375"/>
      <c r="BF360" s="375"/>
      <c r="BG360" s="375">
        <v>0</v>
      </c>
      <c r="BH360" s="79"/>
      <c r="BI360" s="79">
        <v>304987.09999999998</v>
      </c>
      <c r="BJ360" s="79">
        <v>-304987.09999999998</v>
      </c>
      <c r="BK360" s="79"/>
      <c r="BL360" s="79"/>
      <c r="BM360" s="79"/>
      <c r="BN360" s="79"/>
      <c r="BO360" s="79"/>
      <c r="BP360" s="79"/>
      <c r="BQ360" s="79"/>
      <c r="BR360" s="79"/>
      <c r="BS360" s="79"/>
      <c r="BT360" s="79">
        <v>0</v>
      </c>
    </row>
    <row r="361" spans="1:72" ht="15" customHeight="1">
      <c r="A361" s="66" t="s">
        <v>1506</v>
      </c>
      <c r="B361" s="66"/>
      <c r="C361" s="66" t="s">
        <v>235</v>
      </c>
      <c r="D361" s="66" t="s">
        <v>1507</v>
      </c>
      <c r="E361" s="150" t="s">
        <v>1136</v>
      </c>
      <c r="F361" s="482" t="s">
        <v>1566</v>
      </c>
      <c r="G361" s="383" t="s">
        <v>1480</v>
      </c>
      <c r="H361" s="150" t="s">
        <v>1481</v>
      </c>
      <c r="I361" s="150" t="s">
        <v>1345</v>
      </c>
      <c r="J361" s="150" t="s">
        <v>1481</v>
      </c>
      <c r="K361" s="150" t="s">
        <v>1346</v>
      </c>
      <c r="L361" s="511" t="s">
        <v>49</v>
      </c>
      <c r="M361" s="392" t="s">
        <v>1508</v>
      </c>
      <c r="N361" s="343"/>
      <c r="O361" s="343"/>
      <c r="P361" s="70" t="s">
        <v>236</v>
      </c>
      <c r="Q361" s="346"/>
      <c r="R361" s="343"/>
      <c r="S361" s="346"/>
      <c r="T361" s="150" t="s">
        <v>25</v>
      </c>
      <c r="U361" s="184" t="s">
        <v>1509</v>
      </c>
      <c r="V361" s="404"/>
      <c r="W361" s="407">
        <v>0</v>
      </c>
      <c r="X361" s="407">
        <v>0</v>
      </c>
      <c r="Y361" s="425"/>
      <c r="Z361" s="71"/>
      <c r="AA361" s="426"/>
      <c r="AB361" s="427">
        <v>331000</v>
      </c>
      <c r="AC361" s="427">
        <v>-331000</v>
      </c>
      <c r="AD361" s="428">
        <v>0</v>
      </c>
      <c r="AE361" s="429">
        <v>0</v>
      </c>
      <c r="AF361" s="429">
        <v>9981.0499999999993</v>
      </c>
      <c r="AG361" s="363"/>
      <c r="AH361" s="363"/>
      <c r="AI361" s="363"/>
      <c r="AJ361" s="363"/>
      <c r="AK361" s="363"/>
      <c r="AL361" s="363"/>
      <c r="AM361" s="360">
        <f t="shared" si="12"/>
        <v>9981.0499999999993</v>
      </c>
      <c r="AN361" s="362">
        <f>ERP_26[[#This Row],[2026 Working Total]]-ERP_26[[#This Row],[LE2 Final Submission]]</f>
        <v>9981.0499999999993</v>
      </c>
      <c r="AO361" s="79"/>
      <c r="AP361" s="79">
        <f t="shared" si="16"/>
        <v>9981.0499999999993</v>
      </c>
      <c r="AQ361" s="374">
        <f>SUM(ERP_26[[#This Row],[AP01]:[AP06]])-SUM(ERP_26[[#This Row],[AP01 LE2]:[AP06 LE2]])</f>
        <v>9981.0499999999993</v>
      </c>
      <c r="AR361" s="80"/>
      <c r="AS361" s="79">
        <f>ERP_26[[#This Row],[2026 Working Total to Budget/LE]]-ERP_26[[#This Row],[Giveback]]</f>
        <v>9981.0499999999993</v>
      </c>
      <c r="AT361" s="81"/>
      <c r="AU361" s="375"/>
      <c r="AV361" s="375">
        <v>331000</v>
      </c>
      <c r="AW361" s="375">
        <v>-331000</v>
      </c>
      <c r="AX361" s="375"/>
      <c r="AY361" s="375"/>
      <c r="AZ361" s="375"/>
      <c r="BA361" s="375"/>
      <c r="BB361" s="375"/>
      <c r="BC361" s="375"/>
      <c r="BD361" s="375"/>
      <c r="BE361" s="375"/>
      <c r="BF361" s="375"/>
      <c r="BG361" s="375">
        <v>0</v>
      </c>
      <c r="BH361" s="79"/>
      <c r="BI361" s="79">
        <v>331000</v>
      </c>
      <c r="BJ361" s="79">
        <v>-331000</v>
      </c>
      <c r="BK361" s="79"/>
      <c r="BL361" s="79"/>
      <c r="BM361" s="79"/>
      <c r="BN361" s="79"/>
      <c r="BO361" s="79"/>
      <c r="BP361" s="79"/>
      <c r="BQ361" s="79"/>
      <c r="BR361" s="79"/>
      <c r="BS361" s="79"/>
      <c r="BT361" s="79">
        <v>0</v>
      </c>
    </row>
    <row r="362" spans="1:72" ht="15" customHeight="1">
      <c r="A362" s="79" t="s">
        <v>2042</v>
      </c>
      <c r="B362" s="79"/>
      <c r="C362" s="79" t="s">
        <v>545</v>
      </c>
      <c r="D362" s="296" t="s">
        <v>545</v>
      </c>
      <c r="E362" s="150" t="s">
        <v>1136</v>
      </c>
      <c r="F362" s="482" t="s">
        <v>1566</v>
      </c>
      <c r="G362" s="383" t="s">
        <v>1480</v>
      </c>
      <c r="H362" s="383" t="s">
        <v>1480</v>
      </c>
      <c r="I362" s="332" t="s">
        <v>1345</v>
      </c>
      <c r="J362" s="383" t="s">
        <v>1480</v>
      </c>
      <c r="K362" s="331" t="s">
        <v>1346</v>
      </c>
      <c r="L362" s="512" t="s">
        <v>389</v>
      </c>
      <c r="M362" s="393" t="s">
        <v>1758</v>
      </c>
      <c r="N362" s="343"/>
      <c r="O362" s="331"/>
      <c r="P362" s="91" t="s">
        <v>393</v>
      </c>
      <c r="Q362" s="343"/>
      <c r="R362" s="343"/>
      <c r="S362" s="348"/>
      <c r="T362" s="386" t="s">
        <v>152</v>
      </c>
      <c r="U362" s="387" t="s">
        <v>2043</v>
      </c>
      <c r="V362" s="432"/>
      <c r="W362" s="358">
        <v>125000</v>
      </c>
      <c r="X362" s="378">
        <v>0</v>
      </c>
      <c r="Y362" s="425"/>
      <c r="Z362" s="71"/>
      <c r="AA362" s="433"/>
      <c r="AB362" s="434"/>
      <c r="AC362" s="434"/>
      <c r="AD362" s="428" t="s">
        <v>1142</v>
      </c>
      <c r="AE362" s="429">
        <v>0</v>
      </c>
      <c r="AF362" s="429">
        <v>0</v>
      </c>
      <c r="AG362" s="388">
        <f t="shared" ref="AG362:AL362" si="17">12500-12500</f>
        <v>0</v>
      </c>
      <c r="AH362" s="388">
        <f t="shared" si="17"/>
        <v>0</v>
      </c>
      <c r="AI362" s="388">
        <f t="shared" si="17"/>
        <v>0</v>
      </c>
      <c r="AJ362" s="388">
        <f t="shared" si="17"/>
        <v>0</v>
      </c>
      <c r="AK362" s="388">
        <f t="shared" si="17"/>
        <v>0</v>
      </c>
      <c r="AL362" s="388">
        <f t="shared" si="17"/>
        <v>0</v>
      </c>
      <c r="AM362" s="360">
        <f t="shared" si="12"/>
        <v>0</v>
      </c>
      <c r="AN362" s="362">
        <f>ERP_26[[#This Row],[2026 Working Total]]-ERP_26[[#This Row],[LE2 Final Submission]]</f>
        <v>0</v>
      </c>
      <c r="AO362" s="79"/>
      <c r="AP362" s="79">
        <f t="shared" si="16"/>
        <v>0</v>
      </c>
      <c r="AQ362" s="374">
        <f>SUM(ERP_26[[#This Row],[AP01]:[AP06]])-SUM(ERP_26[[#This Row],[AP01 LE2]:[AP06 LE2]])</f>
        <v>0</v>
      </c>
      <c r="AR362" s="80"/>
      <c r="AS362" s="79">
        <f>ERP_26[[#This Row],[2026 Working Total to Budget/LE]]-ERP_26[[#This Row],[Giveback]]</f>
        <v>0</v>
      </c>
      <c r="AT362" s="81"/>
      <c r="AU362" s="375"/>
      <c r="AV362" s="375"/>
      <c r="AW362" s="375"/>
      <c r="AX362" s="375">
        <v>0</v>
      </c>
      <c r="AY362" s="375">
        <v>0</v>
      </c>
      <c r="AZ362" s="375">
        <v>0</v>
      </c>
      <c r="BA362" s="375">
        <v>0</v>
      </c>
      <c r="BB362" s="375">
        <v>0</v>
      </c>
      <c r="BC362" s="375">
        <v>0</v>
      </c>
      <c r="BD362" s="375">
        <v>0</v>
      </c>
      <c r="BE362" s="375">
        <v>0</v>
      </c>
      <c r="BF362" s="375">
        <v>0</v>
      </c>
      <c r="BG362" s="375">
        <v>0</v>
      </c>
      <c r="BH362" s="103">
        <v>0</v>
      </c>
      <c r="BI362" s="103">
        <v>0</v>
      </c>
      <c r="BJ362" s="103">
        <v>12500</v>
      </c>
      <c r="BK362" s="103">
        <v>12500</v>
      </c>
      <c r="BL362" s="103">
        <v>12500</v>
      </c>
      <c r="BM362" s="103">
        <v>12500</v>
      </c>
      <c r="BN362" s="103">
        <v>12500</v>
      </c>
      <c r="BO362" s="103">
        <v>12500</v>
      </c>
      <c r="BP362" s="103">
        <v>12500</v>
      </c>
      <c r="BQ362" s="103">
        <v>12500</v>
      </c>
      <c r="BR362" s="103">
        <v>12500</v>
      </c>
      <c r="BS362" s="103">
        <v>12500</v>
      </c>
      <c r="BT362" s="79">
        <f>SUM(ERP_26[[#This Row],[2026 AP01]:[2026 AP12]])</f>
        <v>125000</v>
      </c>
    </row>
    <row r="363" spans="1:72" ht="15" customHeight="1">
      <c r="A363" s="79" t="s">
        <v>2044</v>
      </c>
      <c r="B363" s="79"/>
      <c r="C363" s="79" t="s">
        <v>546</v>
      </c>
      <c r="D363" s="296" t="s">
        <v>546</v>
      </c>
      <c r="E363" s="150" t="s">
        <v>1136</v>
      </c>
      <c r="F363" s="482" t="s">
        <v>1566</v>
      </c>
      <c r="G363" s="383" t="s">
        <v>1480</v>
      </c>
      <c r="H363" s="383" t="s">
        <v>1480</v>
      </c>
      <c r="I363" s="332" t="s">
        <v>1345</v>
      </c>
      <c r="J363" s="383" t="s">
        <v>1480</v>
      </c>
      <c r="K363" s="331" t="s">
        <v>1346</v>
      </c>
      <c r="L363" s="512" t="s">
        <v>389</v>
      </c>
      <c r="M363" s="393" t="s">
        <v>1761</v>
      </c>
      <c r="N363" s="343"/>
      <c r="O363" s="331"/>
      <c r="P363" s="91" t="s">
        <v>395</v>
      </c>
      <c r="Q363" s="343"/>
      <c r="R363" s="343"/>
      <c r="S363" s="348"/>
      <c r="T363" s="386" t="s">
        <v>152</v>
      </c>
      <c r="U363" s="387" t="s">
        <v>2043</v>
      </c>
      <c r="V363" s="432"/>
      <c r="W363" s="358">
        <v>100000</v>
      </c>
      <c r="X363" s="378">
        <v>0</v>
      </c>
      <c r="Y363" s="425"/>
      <c r="Z363" s="71"/>
      <c r="AA363" s="433"/>
      <c r="AB363" s="434"/>
      <c r="AC363" s="434"/>
      <c r="AD363" s="428" t="s">
        <v>1142</v>
      </c>
      <c r="AE363" s="429">
        <v>0</v>
      </c>
      <c r="AF363" s="429">
        <v>0</v>
      </c>
      <c r="AG363" s="388">
        <f t="shared" ref="AG363:AL363" si="18">10000-10000</f>
        <v>0</v>
      </c>
      <c r="AH363" s="388">
        <f t="shared" si="18"/>
        <v>0</v>
      </c>
      <c r="AI363" s="388">
        <f t="shared" si="18"/>
        <v>0</v>
      </c>
      <c r="AJ363" s="388">
        <f t="shared" si="18"/>
        <v>0</v>
      </c>
      <c r="AK363" s="388">
        <f t="shared" si="18"/>
        <v>0</v>
      </c>
      <c r="AL363" s="388">
        <f t="shared" si="18"/>
        <v>0</v>
      </c>
      <c r="AM363" s="360">
        <f t="shared" si="12"/>
        <v>0</v>
      </c>
      <c r="AN363" s="362">
        <f>ERP_26[[#This Row],[2026 Working Total]]-ERP_26[[#This Row],[LE2 Final Submission]]</f>
        <v>0</v>
      </c>
      <c r="AO363" s="79">
        <v>9692</v>
      </c>
      <c r="AP363" s="79">
        <f t="shared" si="16"/>
        <v>-9692</v>
      </c>
      <c r="AQ363" s="374">
        <f>SUM(ERP_26[[#This Row],[AP01]:[AP06]])-SUM(ERP_26[[#This Row],[AP01 LE2]:[AP06 LE2]])</f>
        <v>0</v>
      </c>
      <c r="AR363" s="80"/>
      <c r="AS363" s="79">
        <f>ERP_26[[#This Row],[2026 Working Total to Budget/LE]]-ERP_26[[#This Row],[Giveback]]</f>
        <v>0</v>
      </c>
      <c r="AT363" s="81"/>
      <c r="AU363" s="375"/>
      <c r="AV363" s="375"/>
      <c r="AW363" s="375"/>
      <c r="AX363" s="375">
        <v>0</v>
      </c>
      <c r="AY363" s="375">
        <v>0</v>
      </c>
      <c r="AZ363" s="375">
        <v>0</v>
      </c>
      <c r="BA363" s="375">
        <v>0</v>
      </c>
      <c r="BB363" s="375">
        <v>0</v>
      </c>
      <c r="BC363" s="375">
        <v>0</v>
      </c>
      <c r="BD363" s="375">
        <v>0</v>
      </c>
      <c r="BE363" s="375">
        <v>0</v>
      </c>
      <c r="BF363" s="375">
        <v>0</v>
      </c>
      <c r="BG363" s="375">
        <v>0</v>
      </c>
      <c r="BH363" s="103">
        <v>0</v>
      </c>
      <c r="BI363" s="103">
        <v>0</v>
      </c>
      <c r="BJ363" s="103">
        <v>10000</v>
      </c>
      <c r="BK363" s="103">
        <v>10000</v>
      </c>
      <c r="BL363" s="103">
        <v>10000</v>
      </c>
      <c r="BM363" s="103">
        <v>10000</v>
      </c>
      <c r="BN363" s="103">
        <v>10000</v>
      </c>
      <c r="BO363" s="103">
        <v>10000</v>
      </c>
      <c r="BP363" s="103">
        <v>10000</v>
      </c>
      <c r="BQ363" s="103">
        <v>10000</v>
      </c>
      <c r="BR363" s="103">
        <v>10000</v>
      </c>
      <c r="BS363" s="103">
        <v>10000</v>
      </c>
      <c r="BT363" s="79">
        <f>SUM(ERP_26[[#This Row],[2026 AP01]:[2026 AP12]])</f>
        <v>100000</v>
      </c>
    </row>
    <row r="364" spans="1:72" ht="15" customHeight="1">
      <c r="A364" s="79" t="s">
        <v>2045</v>
      </c>
      <c r="B364" s="79"/>
      <c r="C364" s="79" t="s">
        <v>547</v>
      </c>
      <c r="D364" s="296" t="s">
        <v>547</v>
      </c>
      <c r="E364" s="150" t="s">
        <v>1136</v>
      </c>
      <c r="F364" s="482" t="s">
        <v>1566</v>
      </c>
      <c r="G364" s="383" t="s">
        <v>1480</v>
      </c>
      <c r="H364" s="383" t="s">
        <v>1480</v>
      </c>
      <c r="I364" s="332" t="s">
        <v>1345</v>
      </c>
      <c r="J364" s="383" t="s">
        <v>1480</v>
      </c>
      <c r="K364" s="331" t="s">
        <v>1346</v>
      </c>
      <c r="L364" s="512" t="s">
        <v>389</v>
      </c>
      <c r="M364" s="393" t="s">
        <v>2046</v>
      </c>
      <c r="N364" s="343"/>
      <c r="O364" s="331"/>
      <c r="P364" s="91" t="s">
        <v>397</v>
      </c>
      <c r="Q364" s="343"/>
      <c r="R364" s="343"/>
      <c r="S364" s="348"/>
      <c r="T364" s="386" t="s">
        <v>152</v>
      </c>
      <c r="U364" s="387" t="s">
        <v>2043</v>
      </c>
      <c r="V364" s="432"/>
      <c r="W364" s="358">
        <v>75000</v>
      </c>
      <c r="X364" s="378">
        <v>0</v>
      </c>
      <c r="Y364" s="430"/>
      <c r="Z364" s="137"/>
      <c r="AA364" s="433"/>
      <c r="AB364" s="434"/>
      <c r="AC364" s="434"/>
      <c r="AD364" s="428" t="s">
        <v>1142</v>
      </c>
      <c r="AE364" s="429">
        <v>0</v>
      </c>
      <c r="AF364" s="429">
        <v>0</v>
      </c>
      <c r="AG364" s="388">
        <f t="shared" ref="AG364:AL364" si="19">6250-6250</f>
        <v>0</v>
      </c>
      <c r="AH364" s="388">
        <f t="shared" si="19"/>
        <v>0</v>
      </c>
      <c r="AI364" s="388">
        <f t="shared" si="19"/>
        <v>0</v>
      </c>
      <c r="AJ364" s="388">
        <f t="shared" si="19"/>
        <v>0</v>
      </c>
      <c r="AK364" s="388">
        <f t="shared" si="19"/>
        <v>0</v>
      </c>
      <c r="AL364" s="388">
        <f t="shared" si="19"/>
        <v>0</v>
      </c>
      <c r="AM364" s="360">
        <f t="shared" si="12"/>
        <v>0</v>
      </c>
      <c r="AN364" s="362">
        <f>ERP_26[[#This Row],[2026 Working Total]]-ERP_26[[#This Row],[LE2 Final Submission]]</f>
        <v>0</v>
      </c>
      <c r="AO364" s="79">
        <v>391800</v>
      </c>
      <c r="AP364" s="79">
        <f t="shared" si="16"/>
        <v>-391800</v>
      </c>
      <c r="AQ364" s="374">
        <f>SUM(ERP_26[[#This Row],[AP01]:[AP06]])-SUM(ERP_26[[#This Row],[AP01 LE2]:[AP06 LE2]])</f>
        <v>0</v>
      </c>
      <c r="AR364" s="80"/>
      <c r="AS364" s="79">
        <f>ERP_26[[#This Row],[2026 Working Total to Budget/LE]]-ERP_26[[#This Row],[Giveback]]</f>
        <v>0</v>
      </c>
      <c r="AT364" s="81"/>
      <c r="AU364" s="375"/>
      <c r="AV364" s="375"/>
      <c r="AW364" s="375"/>
      <c r="AX364" s="375">
        <v>0</v>
      </c>
      <c r="AY364" s="375">
        <v>0</v>
      </c>
      <c r="AZ364" s="375">
        <v>0</v>
      </c>
      <c r="BA364" s="375">
        <v>0</v>
      </c>
      <c r="BB364" s="375">
        <v>0</v>
      </c>
      <c r="BC364" s="375">
        <v>0</v>
      </c>
      <c r="BD364" s="375">
        <v>0</v>
      </c>
      <c r="BE364" s="375">
        <v>0</v>
      </c>
      <c r="BF364" s="375">
        <v>0</v>
      </c>
      <c r="BG364" s="375">
        <v>0</v>
      </c>
      <c r="BH364" s="103">
        <v>6250</v>
      </c>
      <c r="BI364" s="103">
        <v>6250</v>
      </c>
      <c r="BJ364" s="103">
        <v>6250</v>
      </c>
      <c r="BK364" s="103">
        <v>6250</v>
      </c>
      <c r="BL364" s="103">
        <v>6250</v>
      </c>
      <c r="BM364" s="103">
        <v>6250</v>
      </c>
      <c r="BN364" s="103">
        <v>6250</v>
      </c>
      <c r="BO364" s="103">
        <v>6250</v>
      </c>
      <c r="BP364" s="103">
        <v>6250</v>
      </c>
      <c r="BQ364" s="103">
        <v>6250</v>
      </c>
      <c r="BR364" s="103">
        <v>6250</v>
      </c>
      <c r="BS364" s="103">
        <v>6250</v>
      </c>
      <c r="BT364" s="79">
        <f>SUM(ERP_26[[#This Row],[2026 AP01]:[2026 AP12]])</f>
        <v>75000</v>
      </c>
    </row>
    <row r="365" spans="1:72" ht="15" customHeight="1">
      <c r="A365" s="66" t="s">
        <v>2047</v>
      </c>
      <c r="B365" s="66"/>
      <c r="C365" s="66" t="s">
        <v>548</v>
      </c>
      <c r="D365" s="66" t="s">
        <v>2048</v>
      </c>
      <c r="E365" s="150" t="s">
        <v>1136</v>
      </c>
      <c r="F365" s="482" t="s">
        <v>1566</v>
      </c>
      <c r="G365" s="383" t="s">
        <v>1480</v>
      </c>
      <c r="H365" s="150" t="s">
        <v>1481</v>
      </c>
      <c r="I365" s="150" t="s">
        <v>1345</v>
      </c>
      <c r="J365" s="150" t="s">
        <v>1481</v>
      </c>
      <c r="K365" s="150" t="s">
        <v>1346</v>
      </c>
      <c r="L365" s="511" t="s">
        <v>389</v>
      </c>
      <c r="M365" s="392" t="s">
        <v>1147</v>
      </c>
      <c r="N365" s="343"/>
      <c r="O365" s="343"/>
      <c r="P365" s="70" t="s">
        <v>53</v>
      </c>
      <c r="Q365" s="346" t="s">
        <v>1153</v>
      </c>
      <c r="R365" s="343"/>
      <c r="S365" s="346"/>
      <c r="T365" s="150" t="s">
        <v>25</v>
      </c>
      <c r="U365" s="473" t="s">
        <v>1513</v>
      </c>
      <c r="V365" s="403"/>
      <c r="W365" s="406">
        <v>0</v>
      </c>
      <c r="X365" s="406">
        <v>2360</v>
      </c>
      <c r="Y365" s="425"/>
      <c r="Z365" s="71"/>
      <c r="AA365" s="426"/>
      <c r="AB365" s="427">
        <v>2180</v>
      </c>
      <c r="AC365" s="427">
        <v>180</v>
      </c>
      <c r="AD365" s="428">
        <v>180</v>
      </c>
      <c r="AE365" s="429">
        <v>180</v>
      </c>
      <c r="AF365" s="429">
        <v>60</v>
      </c>
      <c r="AG365" s="360">
        <v>0</v>
      </c>
      <c r="AH365" s="360">
        <v>0</v>
      </c>
      <c r="AI365" s="360">
        <v>0</v>
      </c>
      <c r="AJ365" s="360">
        <v>0</v>
      </c>
      <c r="AK365" s="360">
        <v>0</v>
      </c>
      <c r="AL365" s="360">
        <v>0</v>
      </c>
      <c r="AM365" s="360">
        <f t="shared" si="12"/>
        <v>2780</v>
      </c>
      <c r="AN365" s="362">
        <f>ERP_26[[#This Row],[2026 Working Total]]-ERP_26[[#This Row],[LE2 Final Submission]]</f>
        <v>420</v>
      </c>
      <c r="AO365" s="79">
        <v>0</v>
      </c>
      <c r="AP365" s="79">
        <f t="shared" si="16"/>
        <v>60</v>
      </c>
      <c r="AQ365" s="374">
        <f>SUM(ERP_26[[#This Row],[AP01]:[AP06]])-SUM(ERP_26[[#This Row],[AP01 LE2]:[AP06 LE2]])</f>
        <v>420</v>
      </c>
      <c r="AR365" s="80"/>
      <c r="AS365" s="79">
        <f>ERP_26[[#This Row],[2026 Working Total to Budget/LE]]-ERP_26[[#This Row],[Giveback]]</f>
        <v>420</v>
      </c>
      <c r="AT365" s="81"/>
      <c r="AU365" s="375"/>
      <c r="AV365" s="375">
        <v>2180</v>
      </c>
      <c r="AW365" s="375">
        <v>180</v>
      </c>
      <c r="AX365" s="375">
        <v>0</v>
      </c>
      <c r="AY365" s="375">
        <v>0</v>
      </c>
      <c r="AZ365" s="375">
        <v>0</v>
      </c>
      <c r="BA365" s="375">
        <v>0</v>
      </c>
      <c r="BB365" s="375">
        <v>0</v>
      </c>
      <c r="BC365" s="375">
        <v>0</v>
      </c>
      <c r="BD365" s="375">
        <v>0</v>
      </c>
      <c r="BE365" s="375">
        <v>0</v>
      </c>
      <c r="BF365" s="375">
        <v>0</v>
      </c>
      <c r="BG365" s="375">
        <v>2360</v>
      </c>
      <c r="BH365" s="79"/>
      <c r="BI365" s="79">
        <v>2180</v>
      </c>
      <c r="BJ365" s="79">
        <v>180</v>
      </c>
      <c r="BK365" s="79">
        <v>0</v>
      </c>
      <c r="BL365" s="79">
        <v>0</v>
      </c>
      <c r="BM365" s="79">
        <v>0</v>
      </c>
      <c r="BN365" s="79">
        <v>0</v>
      </c>
      <c r="BO365" s="79">
        <v>0</v>
      </c>
      <c r="BP365" s="79">
        <v>0</v>
      </c>
      <c r="BQ365" s="79">
        <v>0</v>
      </c>
      <c r="BR365" s="79">
        <v>0</v>
      </c>
      <c r="BS365" s="79">
        <v>0</v>
      </c>
      <c r="BT365" s="79">
        <v>2360</v>
      </c>
    </row>
    <row r="366" spans="1:72" ht="15" customHeight="1">
      <c r="A366" s="66" t="s">
        <v>2049</v>
      </c>
      <c r="B366" s="66"/>
      <c r="C366" s="66" t="s">
        <v>549</v>
      </c>
      <c r="D366" s="66" t="s">
        <v>549</v>
      </c>
      <c r="E366" s="150" t="s">
        <v>1136</v>
      </c>
      <c r="F366" s="482" t="s">
        <v>1566</v>
      </c>
      <c r="G366" s="383" t="s">
        <v>1480</v>
      </c>
      <c r="H366" s="383" t="s">
        <v>1480</v>
      </c>
      <c r="I366" s="150" t="s">
        <v>1345</v>
      </c>
      <c r="J366" s="150" t="s">
        <v>1480</v>
      </c>
      <c r="K366" s="150" t="s">
        <v>1346</v>
      </c>
      <c r="L366" s="511" t="s">
        <v>389</v>
      </c>
      <c r="M366" s="392" t="s">
        <v>1174</v>
      </c>
      <c r="N366" s="343"/>
      <c r="O366" s="343"/>
      <c r="P366" s="70" t="s">
        <v>56</v>
      </c>
      <c r="Q366" s="346"/>
      <c r="R366" s="346" t="s">
        <v>1140</v>
      </c>
      <c r="S366" s="346"/>
      <c r="T366" s="150" t="s">
        <v>57</v>
      </c>
      <c r="U366" s="150" t="s">
        <v>2050</v>
      </c>
      <c r="V366" s="403"/>
      <c r="W366" s="406">
        <v>36000</v>
      </c>
      <c r="X366" s="406">
        <v>38955.51</v>
      </c>
      <c r="Y366" s="425"/>
      <c r="Z366" s="71"/>
      <c r="AA366" s="426">
        <v>4414.1899999999996</v>
      </c>
      <c r="AB366" s="427">
        <v>3932.76</v>
      </c>
      <c r="AC366" s="427">
        <v>3608.56</v>
      </c>
      <c r="AD366" s="428">
        <v>3606.4999999999995</v>
      </c>
      <c r="AE366" s="429">
        <v>3644.34</v>
      </c>
      <c r="AF366" s="429">
        <v>3811.5099999999998</v>
      </c>
      <c r="AG366" s="363">
        <v>3700</v>
      </c>
      <c r="AH366" s="363">
        <v>3700</v>
      </c>
      <c r="AI366" s="363">
        <v>3700</v>
      </c>
      <c r="AJ366" s="363">
        <v>3700</v>
      </c>
      <c r="AK366" s="363">
        <v>3700</v>
      </c>
      <c r="AL366" s="363">
        <v>3700</v>
      </c>
      <c r="AM366" s="360">
        <f t="shared" si="12"/>
        <v>45217.86</v>
      </c>
      <c r="AN366" s="362">
        <f>ERP_26[[#This Row],[2026 Working Total]]-ERP_26[[#This Row],[LE2 Final Submission]]</f>
        <v>6262.3499999999985</v>
      </c>
      <c r="AO366" s="79">
        <v>3000</v>
      </c>
      <c r="AP366" s="79">
        <f t="shared" si="16"/>
        <v>811.50999999999976</v>
      </c>
      <c r="AQ366" s="374">
        <f>SUM(ERP_26[[#This Row],[AP01]:[AP06]])-SUM(ERP_26[[#This Row],[AP01 LE2]:[AP06 LE2]])</f>
        <v>2062.3499999999949</v>
      </c>
      <c r="AR366" s="80"/>
      <c r="AS366" s="79">
        <f>ERP_26[[#This Row],[2026 Working Total to Budget/LE]]-ERP_26[[#This Row],[Giveback]]</f>
        <v>6262.3499999999985</v>
      </c>
      <c r="AT366" s="81"/>
      <c r="AU366" s="375">
        <v>4414.1899999999996</v>
      </c>
      <c r="AV366" s="375">
        <v>3932.76</v>
      </c>
      <c r="AW366" s="375">
        <v>3608.56</v>
      </c>
      <c r="AX366" s="375">
        <v>3000</v>
      </c>
      <c r="AY366" s="375">
        <v>3000</v>
      </c>
      <c r="AZ366" s="375">
        <v>3000</v>
      </c>
      <c r="BA366" s="375">
        <v>3000</v>
      </c>
      <c r="BB366" s="375">
        <v>3000</v>
      </c>
      <c r="BC366" s="375">
        <v>3000</v>
      </c>
      <c r="BD366" s="375">
        <v>3000</v>
      </c>
      <c r="BE366" s="375">
        <v>3000</v>
      </c>
      <c r="BF366" s="375">
        <v>3000</v>
      </c>
      <c r="BG366" s="375">
        <v>38955.51</v>
      </c>
      <c r="BH366" s="79">
        <v>4414.1899999999996</v>
      </c>
      <c r="BI366" s="79">
        <v>3932.76</v>
      </c>
      <c r="BJ366" s="79">
        <v>3608.56</v>
      </c>
      <c r="BK366" s="79">
        <v>3000</v>
      </c>
      <c r="BL366" s="79">
        <v>3000</v>
      </c>
      <c r="BM366" s="79">
        <v>3000</v>
      </c>
      <c r="BN366" s="79">
        <v>3000</v>
      </c>
      <c r="BO366" s="79">
        <v>3000</v>
      </c>
      <c r="BP366" s="79">
        <v>3000</v>
      </c>
      <c r="BQ366" s="79">
        <v>3000</v>
      </c>
      <c r="BR366" s="79">
        <v>3000</v>
      </c>
      <c r="BS366" s="79">
        <v>3000</v>
      </c>
      <c r="BT366" s="79">
        <v>38955.51</v>
      </c>
    </row>
    <row r="367" spans="1:72" ht="15" customHeight="1">
      <c r="A367" s="66" t="s">
        <v>2051</v>
      </c>
      <c r="B367" s="66"/>
      <c r="C367" s="66" t="s">
        <v>550</v>
      </c>
      <c r="D367" s="66" t="s">
        <v>550</v>
      </c>
      <c r="E367" s="150" t="s">
        <v>1136</v>
      </c>
      <c r="F367" s="482" t="s">
        <v>1566</v>
      </c>
      <c r="G367" s="383" t="s">
        <v>1480</v>
      </c>
      <c r="H367" s="383" t="s">
        <v>1480</v>
      </c>
      <c r="I367" s="150" t="s">
        <v>1345</v>
      </c>
      <c r="J367" s="150" t="s">
        <v>1480</v>
      </c>
      <c r="K367" s="150" t="s">
        <v>1346</v>
      </c>
      <c r="L367" s="511" t="s">
        <v>389</v>
      </c>
      <c r="M367" s="392" t="s">
        <v>1863</v>
      </c>
      <c r="N367" s="343"/>
      <c r="O367" s="343"/>
      <c r="P367" s="70" t="s">
        <v>526</v>
      </c>
      <c r="Q367" s="346"/>
      <c r="R367" s="343"/>
      <c r="S367" s="346"/>
      <c r="T367" s="150" t="s">
        <v>57</v>
      </c>
      <c r="U367" s="346" t="s">
        <v>2021</v>
      </c>
      <c r="V367" s="403"/>
      <c r="W367" s="406">
        <v>84000</v>
      </c>
      <c r="X367" s="406">
        <v>-14686.309999999998</v>
      </c>
      <c r="Y367" s="425"/>
      <c r="Z367" s="71"/>
      <c r="AA367" s="426">
        <v>6710.29</v>
      </c>
      <c r="AB367" s="427">
        <v>-18265.05</v>
      </c>
      <c r="AC367" s="427">
        <v>-3131.55</v>
      </c>
      <c r="AD367" s="428">
        <v>7060.4400000000005</v>
      </c>
      <c r="AE367" s="429">
        <v>6784.5</v>
      </c>
      <c r="AF367" s="429">
        <v>-12968.59</v>
      </c>
      <c r="AG367" s="363">
        <f t="shared" ref="AG367:AL367" si="20">7000-7000</f>
        <v>0</v>
      </c>
      <c r="AH367" s="363">
        <f t="shared" si="20"/>
        <v>0</v>
      </c>
      <c r="AI367" s="363">
        <f t="shared" si="20"/>
        <v>0</v>
      </c>
      <c r="AJ367" s="363">
        <f t="shared" si="20"/>
        <v>0</v>
      </c>
      <c r="AK367" s="363">
        <f t="shared" si="20"/>
        <v>0</v>
      </c>
      <c r="AL367" s="363">
        <f t="shared" si="20"/>
        <v>0</v>
      </c>
      <c r="AM367" s="360">
        <f t="shared" si="12"/>
        <v>-13809.959999999997</v>
      </c>
      <c r="AN367" s="362">
        <f>ERP_26[[#This Row],[2026 Working Total]]-ERP_26[[#This Row],[LE2 Final Submission]]</f>
        <v>876.35000000000036</v>
      </c>
      <c r="AO367" s="79">
        <v>0</v>
      </c>
      <c r="AP367" s="79">
        <f t="shared" si="16"/>
        <v>-12968.59</v>
      </c>
      <c r="AQ367" s="374">
        <f>SUM(ERP_26[[#This Row],[AP01]:[AP06]])-SUM(ERP_26[[#This Row],[AP01 LE2]:[AP06 LE2]])</f>
        <v>876.35000000000036</v>
      </c>
      <c r="AR367" s="80"/>
      <c r="AS367" s="79">
        <f>ERP_26[[#This Row],[2026 Working Total to Budget/LE]]-ERP_26[[#This Row],[Giveback]]</f>
        <v>876.35000000000036</v>
      </c>
      <c r="AT367" s="81"/>
      <c r="AU367" s="375">
        <v>6710.29</v>
      </c>
      <c r="AV367" s="375">
        <v>-18265.05</v>
      </c>
      <c r="AW367" s="375">
        <v>-3131.55</v>
      </c>
      <c r="AX367" s="375">
        <v>0</v>
      </c>
      <c r="AY367" s="375">
        <v>0</v>
      </c>
      <c r="AZ367" s="375">
        <v>0</v>
      </c>
      <c r="BA367" s="375">
        <v>0</v>
      </c>
      <c r="BB367" s="375">
        <v>0</v>
      </c>
      <c r="BC367" s="375">
        <v>0</v>
      </c>
      <c r="BD367" s="375">
        <v>0</v>
      </c>
      <c r="BE367" s="375">
        <v>0</v>
      </c>
      <c r="BF367" s="375">
        <v>0</v>
      </c>
      <c r="BG367" s="375">
        <v>-14686.309999999998</v>
      </c>
      <c r="BH367" s="79">
        <v>6710.29</v>
      </c>
      <c r="BI367" s="79">
        <v>-18265.05</v>
      </c>
      <c r="BJ367" s="79">
        <v>-3131.55</v>
      </c>
      <c r="BK367" s="79">
        <v>7000</v>
      </c>
      <c r="BL367" s="79">
        <v>7000</v>
      </c>
      <c r="BM367" s="79">
        <v>7000</v>
      </c>
      <c r="BN367" s="79">
        <v>7000</v>
      </c>
      <c r="BO367" s="79">
        <v>7000</v>
      </c>
      <c r="BP367" s="79">
        <v>7000</v>
      </c>
      <c r="BQ367" s="79">
        <v>7000</v>
      </c>
      <c r="BR367" s="79">
        <v>7000</v>
      </c>
      <c r="BS367" s="79">
        <v>7000</v>
      </c>
      <c r="BT367" s="79">
        <v>48313.69</v>
      </c>
    </row>
    <row r="368" spans="1:72" ht="15" customHeight="1">
      <c r="A368" s="66" t="s">
        <v>2056</v>
      </c>
      <c r="B368" s="66"/>
      <c r="C368" s="66" t="s">
        <v>551</v>
      </c>
      <c r="D368" s="66" t="s">
        <v>551</v>
      </c>
      <c r="E368" s="150" t="s">
        <v>1136</v>
      </c>
      <c r="F368" s="482" t="s">
        <v>1566</v>
      </c>
      <c r="G368" s="383" t="s">
        <v>1480</v>
      </c>
      <c r="H368" s="383" t="s">
        <v>1480</v>
      </c>
      <c r="I368" s="150" t="s">
        <v>1345</v>
      </c>
      <c r="J368" s="150" t="s">
        <v>1480</v>
      </c>
      <c r="K368" s="150" t="s">
        <v>1346</v>
      </c>
      <c r="L368" s="511" t="s">
        <v>389</v>
      </c>
      <c r="M368" s="392" t="s">
        <v>1492</v>
      </c>
      <c r="N368" s="343"/>
      <c r="O368" s="343"/>
      <c r="P368" s="70" t="s">
        <v>201</v>
      </c>
      <c r="Q368" s="346"/>
      <c r="R368" s="343"/>
      <c r="S368" s="346"/>
      <c r="T368" s="150" t="s">
        <v>232</v>
      </c>
      <c r="U368" s="150" t="s">
        <v>2057</v>
      </c>
      <c r="V368" s="403"/>
      <c r="W368" s="406">
        <v>200000</v>
      </c>
      <c r="X368" s="406">
        <v>0</v>
      </c>
      <c r="Y368" s="430"/>
      <c r="Z368" s="137"/>
      <c r="AA368" s="426"/>
      <c r="AB368" s="427"/>
      <c r="AC368" s="427"/>
      <c r="AD368" s="428" t="s">
        <v>1142</v>
      </c>
      <c r="AE368" s="429">
        <v>0</v>
      </c>
      <c r="AF368" s="429">
        <v>0</v>
      </c>
      <c r="AG368" s="360">
        <v>0</v>
      </c>
      <c r="AH368" s="363">
        <v>0</v>
      </c>
      <c r="AI368" s="360">
        <v>0</v>
      </c>
      <c r="AJ368" s="363">
        <v>0</v>
      </c>
      <c r="AK368" s="360">
        <v>0</v>
      </c>
      <c r="AL368" s="360">
        <v>0</v>
      </c>
      <c r="AM368" s="360">
        <f t="shared" si="12"/>
        <v>0</v>
      </c>
      <c r="AN368" s="362">
        <f>ERP_26[[#This Row],[2026 Working Total]]-ERP_26[[#This Row],[LE2 Final Submission]]</f>
        <v>0</v>
      </c>
      <c r="AO368" s="79">
        <v>0</v>
      </c>
      <c r="AP368" s="79">
        <f t="shared" si="16"/>
        <v>0</v>
      </c>
      <c r="AQ368" s="374">
        <f>SUM(ERP_26[[#This Row],[AP01]:[AP06]])-SUM(ERP_26[[#This Row],[AP01 LE2]:[AP06 LE2]])</f>
        <v>0</v>
      </c>
      <c r="AR368" s="80"/>
      <c r="AS368" s="79">
        <f>ERP_26[[#This Row],[2026 Working Total to Budget/LE]]-ERP_26[[#This Row],[Giveback]]</f>
        <v>0</v>
      </c>
      <c r="AT368" s="81"/>
      <c r="AU368" s="375"/>
      <c r="AV368" s="375"/>
      <c r="AW368" s="375"/>
      <c r="AX368" s="375"/>
      <c r="AY368" s="375">
        <v>0</v>
      </c>
      <c r="AZ368" s="375">
        <v>0</v>
      </c>
      <c r="BA368" s="375">
        <v>0</v>
      </c>
      <c r="BB368" s="375">
        <v>0</v>
      </c>
      <c r="BC368" s="375">
        <v>0</v>
      </c>
      <c r="BD368" s="375">
        <v>0</v>
      </c>
      <c r="BE368" s="375">
        <v>0</v>
      </c>
      <c r="BF368" s="375">
        <v>0</v>
      </c>
      <c r="BG368" s="375">
        <v>0</v>
      </c>
      <c r="BH368" s="79"/>
      <c r="BI368" s="79"/>
      <c r="BJ368" s="79"/>
      <c r="BK368" s="79"/>
      <c r="BL368" s="79">
        <v>50000</v>
      </c>
      <c r="BM368" s="79">
        <v>0</v>
      </c>
      <c r="BN368" s="79">
        <v>0</v>
      </c>
      <c r="BO368" s="79">
        <v>50000</v>
      </c>
      <c r="BP368" s="79">
        <v>0</v>
      </c>
      <c r="BQ368" s="79">
        <v>50000</v>
      </c>
      <c r="BR368" s="79">
        <v>0</v>
      </c>
      <c r="BS368" s="79">
        <v>0</v>
      </c>
      <c r="BT368" s="79">
        <v>150000</v>
      </c>
    </row>
    <row r="369" spans="1:72" ht="15" customHeight="1">
      <c r="A369" s="66" t="s">
        <v>2058</v>
      </c>
      <c r="B369" s="66"/>
      <c r="C369" s="66" t="s">
        <v>552</v>
      </c>
      <c r="D369" s="66" t="s">
        <v>552</v>
      </c>
      <c r="E369" s="150" t="s">
        <v>1136</v>
      </c>
      <c r="F369" s="482" t="s">
        <v>1566</v>
      </c>
      <c r="G369" s="383" t="s">
        <v>1480</v>
      </c>
      <c r="H369" s="383" t="s">
        <v>1480</v>
      </c>
      <c r="I369" s="150" t="s">
        <v>1345</v>
      </c>
      <c r="J369" s="150" t="s">
        <v>1480</v>
      </c>
      <c r="K369" s="150" t="s">
        <v>1346</v>
      </c>
      <c r="L369" s="511" t="s">
        <v>389</v>
      </c>
      <c r="M369" s="392" t="s">
        <v>2020</v>
      </c>
      <c r="N369" s="343"/>
      <c r="O369" s="343"/>
      <c r="P369" s="70" t="s">
        <v>530</v>
      </c>
      <c r="Q369" s="346"/>
      <c r="R369" s="343"/>
      <c r="S369" s="346"/>
      <c r="T369" s="150" t="s">
        <v>531</v>
      </c>
      <c r="U369" s="346" t="s">
        <v>2021</v>
      </c>
      <c r="V369" s="403"/>
      <c r="W369" s="406">
        <v>26000</v>
      </c>
      <c r="X369" s="406">
        <v>0</v>
      </c>
      <c r="Y369" s="425"/>
      <c r="Z369" s="71"/>
      <c r="AA369" s="426"/>
      <c r="AB369" s="427"/>
      <c r="AC369" s="427"/>
      <c r="AD369" s="428" t="s">
        <v>1142</v>
      </c>
      <c r="AE369" s="429">
        <v>0</v>
      </c>
      <c r="AF369" s="429">
        <v>0</v>
      </c>
      <c r="AG369" s="360">
        <v>0</v>
      </c>
      <c r="AH369" s="360">
        <v>0</v>
      </c>
      <c r="AI369" s="360">
        <v>0</v>
      </c>
      <c r="AJ369" s="363">
        <f>13000-13000</f>
        <v>0</v>
      </c>
      <c r="AK369" s="360">
        <v>0</v>
      </c>
      <c r="AL369" s="360">
        <v>0</v>
      </c>
      <c r="AM369" s="360">
        <f t="shared" si="12"/>
        <v>0</v>
      </c>
      <c r="AN369" s="362">
        <f>ERP_26[[#This Row],[2026 Working Total]]-ERP_26[[#This Row],[LE2 Final Submission]]</f>
        <v>0</v>
      </c>
      <c r="AO369" s="79">
        <v>0</v>
      </c>
      <c r="AP369" s="79">
        <f t="shared" si="16"/>
        <v>0</v>
      </c>
      <c r="AQ369" s="374">
        <f>SUM(ERP_26[[#This Row],[AP01]:[AP06]])-SUM(ERP_26[[#This Row],[AP01 LE2]:[AP06 LE2]])</f>
        <v>0</v>
      </c>
      <c r="AR369" s="80"/>
      <c r="AS369" s="79">
        <f>ERP_26[[#This Row],[2026 Working Total to Budget/LE]]-ERP_26[[#This Row],[Giveback]]</f>
        <v>0</v>
      </c>
      <c r="AT369" s="81"/>
      <c r="AU369" s="375"/>
      <c r="AV369" s="375"/>
      <c r="AW369" s="375"/>
      <c r="AX369" s="375"/>
      <c r="AY369" s="375">
        <v>0</v>
      </c>
      <c r="AZ369" s="375">
        <v>0</v>
      </c>
      <c r="BA369" s="375">
        <v>0</v>
      </c>
      <c r="BB369" s="375">
        <v>0</v>
      </c>
      <c r="BC369" s="375">
        <v>0</v>
      </c>
      <c r="BD369" s="375">
        <v>0</v>
      </c>
      <c r="BE369" s="375">
        <v>0</v>
      </c>
      <c r="BF369" s="375">
        <v>0</v>
      </c>
      <c r="BG369" s="375">
        <v>0</v>
      </c>
      <c r="BH369" s="79"/>
      <c r="BI369" s="79"/>
      <c r="BJ369" s="79"/>
      <c r="BK369" s="79"/>
      <c r="BL369" s="79">
        <v>13000</v>
      </c>
      <c r="BM369" s="79">
        <v>0</v>
      </c>
      <c r="BN369" s="79">
        <v>0</v>
      </c>
      <c r="BO369" s="79">
        <v>0</v>
      </c>
      <c r="BP369" s="79">
        <v>0</v>
      </c>
      <c r="BQ369" s="79">
        <v>13000</v>
      </c>
      <c r="BR369" s="79">
        <v>0</v>
      </c>
      <c r="BS369" s="79">
        <v>0</v>
      </c>
      <c r="BT369" s="79">
        <v>26000</v>
      </c>
    </row>
    <row r="370" spans="1:72" ht="15" customHeight="1">
      <c r="A370" s="66" t="s">
        <v>2163</v>
      </c>
      <c r="B370" s="66"/>
      <c r="C370" s="66" t="s">
        <v>614</v>
      </c>
      <c r="D370" s="66" t="s">
        <v>2164</v>
      </c>
      <c r="E370" s="150" t="s">
        <v>1136</v>
      </c>
      <c r="F370" s="482" t="s">
        <v>1566</v>
      </c>
      <c r="G370" s="383" t="s">
        <v>1480</v>
      </c>
      <c r="H370" s="150" t="s">
        <v>1481</v>
      </c>
      <c r="I370" s="150" t="s">
        <v>1345</v>
      </c>
      <c r="J370" s="150" t="s">
        <v>1481</v>
      </c>
      <c r="K370" s="150" t="s">
        <v>1346</v>
      </c>
      <c r="L370" s="511" t="s">
        <v>602</v>
      </c>
      <c r="M370" s="392" t="s">
        <v>2165</v>
      </c>
      <c r="N370" s="343"/>
      <c r="O370" s="343"/>
      <c r="P370" s="70" t="s">
        <v>615</v>
      </c>
      <c r="Q370" s="346"/>
      <c r="R370" s="343"/>
      <c r="S370" s="346"/>
      <c r="T370" s="150" t="s">
        <v>25</v>
      </c>
      <c r="U370" s="184" t="s">
        <v>2166</v>
      </c>
      <c r="V370" s="403"/>
      <c r="W370" s="406">
        <v>80000</v>
      </c>
      <c r="X370" s="406">
        <v>40000</v>
      </c>
      <c r="Y370" s="425"/>
      <c r="Z370" s="71"/>
      <c r="AA370" s="426"/>
      <c r="AB370" s="427"/>
      <c r="AC370" s="427"/>
      <c r="AD370" s="428" t="s">
        <v>1142</v>
      </c>
      <c r="AE370" s="429">
        <v>0</v>
      </c>
      <c r="AF370" s="429">
        <v>0</v>
      </c>
      <c r="AG370" s="360">
        <v>0</v>
      </c>
      <c r="AH370" s="363">
        <v>10000</v>
      </c>
      <c r="AI370" s="360">
        <v>10000</v>
      </c>
      <c r="AJ370" s="360">
        <v>10000</v>
      </c>
      <c r="AK370" s="360">
        <v>10000</v>
      </c>
      <c r="AL370" s="360">
        <v>0</v>
      </c>
      <c r="AM370" s="360">
        <f t="shared" si="12"/>
        <v>40000</v>
      </c>
      <c r="AN370" s="362">
        <f>ERP_26[[#This Row],[2026 Working Total]]-ERP_26[[#This Row],[LE2 Final Submission]]</f>
        <v>0</v>
      </c>
      <c r="AO370" s="79">
        <v>0</v>
      </c>
      <c r="AP370" s="79">
        <f t="shared" si="16"/>
        <v>0</v>
      </c>
      <c r="AQ370" s="374">
        <f>SUM(ERP_26[[#This Row],[AP01]:[AP06]])-SUM(ERP_26[[#This Row],[AP01 LE2]:[AP06 LE2]])</f>
        <v>0</v>
      </c>
      <c r="AR370" s="80"/>
      <c r="AS370" s="79">
        <f>ERP_26[[#This Row],[2026 Working Total to Budget/LE]]-ERP_26[[#This Row],[Giveback]]</f>
        <v>0</v>
      </c>
      <c r="AT370" s="81"/>
      <c r="AU370" s="375"/>
      <c r="AV370" s="375"/>
      <c r="AW370" s="375"/>
      <c r="AX370" s="375">
        <v>0</v>
      </c>
      <c r="AY370" s="375">
        <v>0</v>
      </c>
      <c r="AZ370" s="375">
        <v>0</v>
      </c>
      <c r="BA370" s="375">
        <v>0</v>
      </c>
      <c r="BB370" s="375">
        <v>10000</v>
      </c>
      <c r="BC370" s="375">
        <v>10000</v>
      </c>
      <c r="BD370" s="375">
        <v>10000</v>
      </c>
      <c r="BE370" s="375">
        <v>10000</v>
      </c>
      <c r="BF370" s="375">
        <v>0</v>
      </c>
      <c r="BG370" s="375">
        <v>40000</v>
      </c>
      <c r="BH370" s="79"/>
      <c r="BI370" s="79"/>
      <c r="BJ370" s="79"/>
      <c r="BK370" s="79">
        <v>20000</v>
      </c>
      <c r="BL370" s="79">
        <v>20000</v>
      </c>
      <c r="BM370" s="79">
        <v>20000</v>
      </c>
      <c r="BN370" s="79">
        <v>20000</v>
      </c>
      <c r="BO370" s="79">
        <v>0</v>
      </c>
      <c r="BP370" s="79">
        <v>0</v>
      </c>
      <c r="BQ370" s="79">
        <v>0</v>
      </c>
      <c r="BR370" s="79">
        <v>0</v>
      </c>
      <c r="BS370" s="79">
        <v>0</v>
      </c>
      <c r="BT370" s="79">
        <v>80000</v>
      </c>
    </row>
    <row r="371" spans="1:72" ht="15" customHeight="1">
      <c r="A371" s="150" t="s">
        <v>2167</v>
      </c>
      <c r="B371" s="150"/>
      <c r="C371" s="536" t="s">
        <v>616</v>
      </c>
      <c r="D371" s="296" t="s">
        <v>616</v>
      </c>
      <c r="E371" s="150" t="s">
        <v>1136</v>
      </c>
      <c r="F371" s="482" t="s">
        <v>1566</v>
      </c>
      <c r="G371" s="383" t="s">
        <v>1480</v>
      </c>
      <c r="H371" s="383" t="s">
        <v>1480</v>
      </c>
      <c r="I371" s="332" t="s">
        <v>1345</v>
      </c>
      <c r="J371" s="332" t="s">
        <v>1480</v>
      </c>
      <c r="K371" s="333" t="s">
        <v>1480</v>
      </c>
      <c r="L371" s="514" t="s">
        <v>602</v>
      </c>
      <c r="M371" s="394" t="s">
        <v>2168</v>
      </c>
      <c r="N371" s="333"/>
      <c r="O371" s="332" t="s">
        <v>1493</v>
      </c>
      <c r="P371" s="90" t="s">
        <v>610</v>
      </c>
      <c r="Q371" s="347"/>
      <c r="R371" s="347"/>
      <c r="S371" s="348"/>
      <c r="T371" s="348"/>
      <c r="U371" s="348"/>
      <c r="V371" s="402"/>
      <c r="W371" s="406"/>
      <c r="X371" s="406"/>
      <c r="Y371" s="425"/>
      <c r="Z371" s="71"/>
      <c r="AA371" s="435"/>
      <c r="AB371" s="436"/>
      <c r="AC371" s="436"/>
      <c r="AD371" s="429"/>
      <c r="AE371" s="429">
        <v>693</v>
      </c>
      <c r="AF371" s="429">
        <v>0</v>
      </c>
      <c r="AG371" s="364"/>
      <c r="AH371" s="364"/>
      <c r="AI371" s="364"/>
      <c r="AJ371" s="364"/>
      <c r="AK371" s="364"/>
      <c r="AL371" s="364"/>
      <c r="AM371" s="360">
        <f t="shared" si="12"/>
        <v>693</v>
      </c>
      <c r="AN371" s="362">
        <f>ERP_26[[#This Row],[2026 Working Total]]-ERP_26[[#This Row],[LE2 Final Submission]]</f>
        <v>693</v>
      </c>
      <c r="AO371" s="79"/>
      <c r="AP371" s="79">
        <f t="shared" si="16"/>
        <v>0</v>
      </c>
      <c r="AQ371" s="374">
        <f>SUM(ERP_26[[#This Row],[AP01]:[AP06]])-SUM(ERP_26[[#This Row],[AP01 LE2]:[AP06 LE2]])</f>
        <v>693</v>
      </c>
      <c r="AR371" s="80"/>
      <c r="AS371" s="79">
        <f>ERP_26[[#This Row],[2026 Working Total to Budget/LE]]-ERP_26[[#This Row],[Giveback]]</f>
        <v>693</v>
      </c>
      <c r="AT371" s="81"/>
      <c r="AU371" s="375"/>
      <c r="AV371" s="375"/>
      <c r="AW371" s="375"/>
      <c r="AX371" s="375"/>
      <c r="AY371" s="375"/>
      <c r="AZ371" s="375"/>
      <c r="BA371" s="375"/>
      <c r="BB371" s="375"/>
      <c r="BC371" s="375"/>
      <c r="BD371" s="375"/>
      <c r="BE371" s="375"/>
      <c r="BF371" s="375"/>
      <c r="BG371" s="375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</row>
    <row r="372" spans="1:72" ht="15" customHeight="1">
      <c r="A372" s="79" t="s">
        <v>2705</v>
      </c>
      <c r="B372" s="79"/>
      <c r="C372" s="79" t="s">
        <v>959</v>
      </c>
      <c r="D372" s="296" t="s">
        <v>959</v>
      </c>
      <c r="E372" s="150" t="s">
        <v>1136</v>
      </c>
      <c r="F372" s="482" t="s">
        <v>1566</v>
      </c>
      <c r="G372" s="383" t="s">
        <v>1480</v>
      </c>
      <c r="H372" s="383" t="s">
        <v>1480</v>
      </c>
      <c r="I372" s="332" t="s">
        <v>1345</v>
      </c>
      <c r="J372" s="383" t="s">
        <v>1480</v>
      </c>
      <c r="K372" s="331" t="s">
        <v>1346</v>
      </c>
      <c r="L372" s="512" t="s">
        <v>639</v>
      </c>
      <c r="M372" s="393" t="s">
        <v>2214</v>
      </c>
      <c r="N372" s="343"/>
      <c r="O372" s="331"/>
      <c r="P372" s="91" t="s">
        <v>646</v>
      </c>
      <c r="Q372" s="343"/>
      <c r="R372" s="343"/>
      <c r="S372" s="348"/>
      <c r="T372" s="386" t="s">
        <v>152</v>
      </c>
      <c r="U372" s="387" t="s">
        <v>2706</v>
      </c>
      <c r="V372" s="432"/>
      <c r="W372" s="358">
        <v>650000</v>
      </c>
      <c r="X372" s="378">
        <v>0</v>
      </c>
      <c r="Y372" s="425"/>
      <c r="Z372" s="71"/>
      <c r="AA372" s="433"/>
      <c r="AB372" s="434"/>
      <c r="AC372" s="434"/>
      <c r="AD372" s="428" t="s">
        <v>1142</v>
      </c>
      <c r="AE372" s="429">
        <v>0</v>
      </c>
      <c r="AF372" s="429">
        <v>0</v>
      </c>
      <c r="AG372" s="388">
        <v>0</v>
      </c>
      <c r="AH372" s="388">
        <v>0</v>
      </c>
      <c r="AI372" s="388">
        <v>0</v>
      </c>
      <c r="AJ372" s="388">
        <v>0</v>
      </c>
      <c r="AK372" s="388">
        <v>0</v>
      </c>
      <c r="AL372" s="388">
        <v>0</v>
      </c>
      <c r="AM372" s="360">
        <f t="shared" si="12"/>
        <v>0</v>
      </c>
      <c r="AN372" s="362">
        <f>ERP_26[[#This Row],[2026 Working Total]]-ERP_26[[#This Row],[LE2 Final Submission]]</f>
        <v>0</v>
      </c>
      <c r="AO372" s="79">
        <v>0</v>
      </c>
      <c r="AP372" s="79">
        <f t="shared" si="16"/>
        <v>0</v>
      </c>
      <c r="AQ372" s="374">
        <f>SUM(ERP_26[[#This Row],[AP01]:[AP06]])-SUM(ERP_26[[#This Row],[AP01 LE2]:[AP06 LE2]])</f>
        <v>0</v>
      </c>
      <c r="AR372" s="80"/>
      <c r="AS372" s="79">
        <f>ERP_26[[#This Row],[2026 Working Total to Budget/LE]]-ERP_26[[#This Row],[Giveback]]</f>
        <v>0</v>
      </c>
      <c r="AT372" s="81" t="s">
        <v>2216</v>
      </c>
      <c r="AU372" s="375"/>
      <c r="AV372" s="375"/>
      <c r="AW372" s="375"/>
      <c r="AX372" s="375">
        <v>0</v>
      </c>
      <c r="AY372" s="375">
        <v>0</v>
      </c>
      <c r="AZ372" s="375">
        <v>0</v>
      </c>
      <c r="BA372" s="375">
        <v>0</v>
      </c>
      <c r="BB372" s="375">
        <v>0</v>
      </c>
      <c r="BC372" s="375">
        <v>0</v>
      </c>
      <c r="BD372" s="375">
        <v>0</v>
      </c>
      <c r="BE372" s="375">
        <v>0</v>
      </c>
      <c r="BF372" s="375">
        <v>0</v>
      </c>
      <c r="BG372" s="375">
        <v>0</v>
      </c>
      <c r="BH372" s="103">
        <v>0</v>
      </c>
      <c r="BI372" s="103">
        <v>0</v>
      </c>
      <c r="BJ372" s="103">
        <v>0</v>
      </c>
      <c r="BK372" s="103">
        <v>0</v>
      </c>
      <c r="BL372" s="103">
        <v>0</v>
      </c>
      <c r="BM372" s="103">
        <v>650000</v>
      </c>
      <c r="BN372" s="103">
        <v>0</v>
      </c>
      <c r="BO372" s="103">
        <v>0</v>
      </c>
      <c r="BP372" s="103">
        <v>0</v>
      </c>
      <c r="BQ372" s="103">
        <v>0</v>
      </c>
      <c r="BR372" s="103">
        <v>0</v>
      </c>
      <c r="BS372" s="103">
        <v>0</v>
      </c>
      <c r="BT372" s="79">
        <f>SUM(ERP_26[[#This Row],[2026 AP01]:[2026 AP12]])</f>
        <v>650000</v>
      </c>
    </row>
    <row r="373" spans="1:72" ht="15" customHeight="1">
      <c r="A373" s="79" t="s">
        <v>2707</v>
      </c>
      <c r="B373" s="79"/>
      <c r="C373" s="79" t="s">
        <v>960</v>
      </c>
      <c r="D373" s="296" t="s">
        <v>960</v>
      </c>
      <c r="E373" s="150" t="s">
        <v>1136</v>
      </c>
      <c r="F373" s="482" t="s">
        <v>1566</v>
      </c>
      <c r="G373" s="383" t="s">
        <v>1480</v>
      </c>
      <c r="H373" s="383" t="s">
        <v>1480</v>
      </c>
      <c r="I373" s="332" t="s">
        <v>1345</v>
      </c>
      <c r="J373" s="383" t="s">
        <v>1480</v>
      </c>
      <c r="K373" s="331" t="s">
        <v>1346</v>
      </c>
      <c r="L373" s="512" t="s">
        <v>639</v>
      </c>
      <c r="M373" s="393" t="s">
        <v>2218</v>
      </c>
      <c r="N373" s="343"/>
      <c r="O373" s="331"/>
      <c r="P373" s="91" t="s">
        <v>648</v>
      </c>
      <c r="Q373" s="343"/>
      <c r="R373" s="343"/>
      <c r="S373" s="348"/>
      <c r="T373" s="386" t="s">
        <v>152</v>
      </c>
      <c r="U373" s="387" t="s">
        <v>2706</v>
      </c>
      <c r="V373" s="432"/>
      <c r="W373" s="358">
        <v>300000</v>
      </c>
      <c r="X373" s="378">
        <v>0</v>
      </c>
      <c r="Y373" s="425"/>
      <c r="Z373" s="71"/>
      <c r="AA373" s="433"/>
      <c r="AB373" s="434"/>
      <c r="AC373" s="434"/>
      <c r="AD373" s="428" t="s">
        <v>1142</v>
      </c>
      <c r="AE373" s="429">
        <v>0</v>
      </c>
      <c r="AF373" s="429">
        <v>0</v>
      </c>
      <c r="AG373" s="388">
        <v>0</v>
      </c>
      <c r="AH373" s="388">
        <v>0</v>
      </c>
      <c r="AI373" s="388">
        <v>0</v>
      </c>
      <c r="AJ373" s="388">
        <v>0</v>
      </c>
      <c r="AK373" s="388">
        <v>0</v>
      </c>
      <c r="AL373" s="388">
        <v>0</v>
      </c>
      <c r="AM373" s="360">
        <f t="shared" ref="AM373:AM436" si="21">SUM(AA373:AL373)</f>
        <v>0</v>
      </c>
      <c r="AN373" s="362">
        <f>ERP_26[[#This Row],[2026 Working Total]]-ERP_26[[#This Row],[LE2 Final Submission]]</f>
        <v>0</v>
      </c>
      <c r="AO373" s="79">
        <v>750</v>
      </c>
      <c r="AP373" s="79">
        <f t="shared" si="16"/>
        <v>-750</v>
      </c>
      <c r="AQ373" s="374">
        <f>SUM(ERP_26[[#This Row],[AP01]:[AP06]])-SUM(ERP_26[[#This Row],[AP01 LE2]:[AP06 LE2]])</f>
        <v>0</v>
      </c>
      <c r="AR373" s="80"/>
      <c r="AS373" s="79">
        <f>ERP_26[[#This Row],[2026 Working Total to Budget/LE]]-ERP_26[[#This Row],[Giveback]]</f>
        <v>0</v>
      </c>
      <c r="AT373" s="81" t="s">
        <v>2216</v>
      </c>
      <c r="AU373" s="375"/>
      <c r="AV373" s="375"/>
      <c r="AW373" s="375"/>
      <c r="AX373" s="375">
        <v>0</v>
      </c>
      <c r="AY373" s="375">
        <v>0</v>
      </c>
      <c r="AZ373" s="375">
        <v>0</v>
      </c>
      <c r="BA373" s="375">
        <v>0</v>
      </c>
      <c r="BB373" s="375">
        <v>0</v>
      </c>
      <c r="BC373" s="375">
        <v>0</v>
      </c>
      <c r="BD373" s="375">
        <v>0</v>
      </c>
      <c r="BE373" s="375">
        <v>0</v>
      </c>
      <c r="BF373" s="375">
        <v>0</v>
      </c>
      <c r="BG373" s="375">
        <v>0</v>
      </c>
      <c r="BH373" s="103">
        <v>0</v>
      </c>
      <c r="BI373" s="103">
        <v>0</v>
      </c>
      <c r="BJ373" s="103">
        <v>0</v>
      </c>
      <c r="BK373" s="103">
        <v>0</v>
      </c>
      <c r="BL373" s="103">
        <v>0</v>
      </c>
      <c r="BM373" s="103">
        <v>300000</v>
      </c>
      <c r="BN373" s="103">
        <v>0</v>
      </c>
      <c r="BO373" s="103">
        <v>0</v>
      </c>
      <c r="BP373" s="103">
        <v>0</v>
      </c>
      <c r="BQ373" s="103">
        <v>0</v>
      </c>
      <c r="BR373" s="103">
        <v>0</v>
      </c>
      <c r="BS373" s="103">
        <v>0</v>
      </c>
      <c r="BT373" s="79">
        <f>SUM(ERP_26[[#This Row],[2026 AP01]:[2026 AP12]])</f>
        <v>300000</v>
      </c>
    </row>
    <row r="374" spans="1:72" ht="15" customHeight="1">
      <c r="A374" s="79" t="s">
        <v>2708</v>
      </c>
      <c r="B374" s="79"/>
      <c r="C374" s="79" t="s">
        <v>961</v>
      </c>
      <c r="D374" s="296" t="s">
        <v>961</v>
      </c>
      <c r="E374" s="150" t="s">
        <v>1136</v>
      </c>
      <c r="F374" s="482" t="s">
        <v>1566</v>
      </c>
      <c r="G374" s="383" t="s">
        <v>1480</v>
      </c>
      <c r="H374" s="383" t="s">
        <v>1480</v>
      </c>
      <c r="I374" s="332" t="s">
        <v>1345</v>
      </c>
      <c r="J374" s="382" t="s">
        <v>1480</v>
      </c>
      <c r="K374" s="331" t="s">
        <v>1346</v>
      </c>
      <c r="L374" s="512" t="s">
        <v>639</v>
      </c>
      <c r="M374" s="394" t="s">
        <v>2221</v>
      </c>
      <c r="N374" s="343"/>
      <c r="O374" s="331"/>
      <c r="P374" s="122" t="s">
        <v>650</v>
      </c>
      <c r="Q374" s="343"/>
      <c r="R374" s="343"/>
      <c r="S374" s="348"/>
      <c r="T374" s="384" t="s">
        <v>152</v>
      </c>
      <c r="U374" s="387" t="s">
        <v>2706</v>
      </c>
      <c r="V374" s="432"/>
      <c r="W374" s="358">
        <v>3300</v>
      </c>
      <c r="X374" s="378">
        <v>0</v>
      </c>
      <c r="Y374" s="430"/>
      <c r="Z374" s="137"/>
      <c r="AA374" s="433"/>
      <c r="AB374" s="434"/>
      <c r="AC374" s="434"/>
      <c r="AD374" s="428" t="s">
        <v>1142</v>
      </c>
      <c r="AE374" s="429">
        <v>0</v>
      </c>
      <c r="AF374" s="429">
        <v>0</v>
      </c>
      <c r="AG374" s="388">
        <f t="shared" ref="AG374:AL374" si="22">275-275</f>
        <v>0</v>
      </c>
      <c r="AH374" s="388">
        <f t="shared" si="22"/>
        <v>0</v>
      </c>
      <c r="AI374" s="388">
        <f t="shared" si="22"/>
        <v>0</v>
      </c>
      <c r="AJ374" s="388">
        <f t="shared" si="22"/>
        <v>0</v>
      </c>
      <c r="AK374" s="388">
        <f t="shared" si="22"/>
        <v>0</v>
      </c>
      <c r="AL374" s="388">
        <f t="shared" si="22"/>
        <v>0</v>
      </c>
      <c r="AM374" s="360">
        <f t="shared" si="21"/>
        <v>0</v>
      </c>
      <c r="AN374" s="362">
        <f>ERP_26[[#This Row],[2026 Working Total]]-ERP_26[[#This Row],[LE2 Final Submission]]</f>
        <v>0</v>
      </c>
      <c r="AO374" s="79">
        <v>6142.58</v>
      </c>
      <c r="AP374" s="79">
        <f t="shared" si="16"/>
        <v>-6142.58</v>
      </c>
      <c r="AQ374" s="374">
        <f>SUM(ERP_26[[#This Row],[AP01]:[AP06]])-SUM(ERP_26[[#This Row],[AP01 LE2]:[AP06 LE2]])</f>
        <v>0</v>
      </c>
      <c r="AR374" s="80"/>
      <c r="AS374" s="79">
        <f>ERP_26[[#This Row],[2026 Working Total to Budget/LE]]-ERP_26[[#This Row],[Giveback]]</f>
        <v>0</v>
      </c>
      <c r="AT374" s="81"/>
      <c r="AU374" s="375"/>
      <c r="AV374" s="375"/>
      <c r="AW374" s="375"/>
      <c r="AX374" s="375">
        <v>0</v>
      </c>
      <c r="AY374" s="375">
        <v>0</v>
      </c>
      <c r="AZ374" s="375">
        <v>0</v>
      </c>
      <c r="BA374" s="375">
        <v>0</v>
      </c>
      <c r="BB374" s="375">
        <v>0</v>
      </c>
      <c r="BC374" s="375">
        <v>0</v>
      </c>
      <c r="BD374" s="375">
        <v>0</v>
      </c>
      <c r="BE374" s="375">
        <v>0</v>
      </c>
      <c r="BF374" s="375">
        <v>0</v>
      </c>
      <c r="BG374" s="375">
        <v>0</v>
      </c>
      <c r="BH374" s="103">
        <v>275</v>
      </c>
      <c r="BI374" s="103">
        <v>275</v>
      </c>
      <c r="BJ374" s="103">
        <v>275</v>
      </c>
      <c r="BK374" s="103">
        <v>275</v>
      </c>
      <c r="BL374" s="103">
        <v>275</v>
      </c>
      <c r="BM374" s="103">
        <v>275</v>
      </c>
      <c r="BN374" s="103">
        <v>275</v>
      </c>
      <c r="BO374" s="103">
        <v>275</v>
      </c>
      <c r="BP374" s="103">
        <v>275</v>
      </c>
      <c r="BQ374" s="103">
        <v>275</v>
      </c>
      <c r="BR374" s="103">
        <v>275</v>
      </c>
      <c r="BS374" s="103">
        <v>275</v>
      </c>
      <c r="BT374" s="79">
        <f>SUM(ERP_26[[#This Row],[2026 AP01]:[2026 AP12]])</f>
        <v>3300</v>
      </c>
    </row>
    <row r="375" spans="1:72" ht="15" customHeight="1">
      <c r="A375" s="66" t="s">
        <v>2709</v>
      </c>
      <c r="B375" s="66"/>
      <c r="C375" s="66" t="s">
        <v>962</v>
      </c>
      <c r="D375" s="66" t="s">
        <v>962</v>
      </c>
      <c r="E375" s="150" t="s">
        <v>1136</v>
      </c>
      <c r="F375" s="482" t="s">
        <v>1566</v>
      </c>
      <c r="G375" s="383" t="s">
        <v>1480</v>
      </c>
      <c r="H375" s="383" t="s">
        <v>1480</v>
      </c>
      <c r="I375" s="150" t="s">
        <v>1345</v>
      </c>
      <c r="J375" s="150" t="s">
        <v>1480</v>
      </c>
      <c r="K375" s="150" t="s">
        <v>1346</v>
      </c>
      <c r="L375" s="511" t="s">
        <v>639</v>
      </c>
      <c r="M375" s="392" t="s">
        <v>2710</v>
      </c>
      <c r="N375" s="343"/>
      <c r="O375" s="343"/>
      <c r="P375" s="70" t="s">
        <v>963</v>
      </c>
      <c r="Q375" s="346"/>
      <c r="R375" s="343"/>
      <c r="S375" s="346"/>
      <c r="T375" s="150" t="s">
        <v>152</v>
      </c>
      <c r="U375" s="150"/>
      <c r="V375" s="403"/>
      <c r="W375" s="406">
        <v>0</v>
      </c>
      <c r="X375" s="406">
        <v>24000</v>
      </c>
      <c r="Y375" s="425"/>
      <c r="Z375" s="71"/>
      <c r="AA375" s="426">
        <v>24000</v>
      </c>
      <c r="AB375" s="431">
        <v>0</v>
      </c>
      <c r="AC375" s="431">
        <v>0</v>
      </c>
      <c r="AD375" s="428">
        <v>5.0699999999999363</v>
      </c>
      <c r="AE375" s="429">
        <v>-7.8299999999999272</v>
      </c>
      <c r="AF375" s="429">
        <v>-15479.01</v>
      </c>
      <c r="AG375" s="360">
        <v>0</v>
      </c>
      <c r="AH375" s="360">
        <v>0</v>
      </c>
      <c r="AI375" s="360">
        <v>0</v>
      </c>
      <c r="AJ375" s="360">
        <v>0</v>
      </c>
      <c r="AK375" s="360">
        <v>0</v>
      </c>
      <c r="AL375" s="360">
        <v>0</v>
      </c>
      <c r="AM375" s="360">
        <f t="shared" si="21"/>
        <v>8518.2299999999977</v>
      </c>
      <c r="AN375" s="362">
        <f>ERP_26[[#This Row],[2026 Working Total]]-ERP_26[[#This Row],[LE2 Final Submission]]</f>
        <v>-15481.770000000002</v>
      </c>
      <c r="AO375" s="79">
        <v>31350</v>
      </c>
      <c r="AP375" s="79">
        <f t="shared" si="16"/>
        <v>-46829.01</v>
      </c>
      <c r="AQ375" s="374">
        <f>SUM(ERP_26[[#This Row],[AP01]:[AP06]])-SUM(ERP_26[[#This Row],[AP01 LE2]:[AP06 LE2]])</f>
        <v>-15481.770000000002</v>
      </c>
      <c r="AR375" s="80"/>
      <c r="AS375" s="79">
        <f>ERP_26[[#This Row],[2026 Working Total to Budget/LE]]-ERP_26[[#This Row],[Giveback]]</f>
        <v>-15481.770000000002</v>
      </c>
      <c r="AT375" s="81"/>
      <c r="AU375" s="375">
        <v>24000</v>
      </c>
      <c r="AV375" s="375">
        <v>0</v>
      </c>
      <c r="AW375" s="375">
        <v>0</v>
      </c>
      <c r="AX375" s="375">
        <v>0</v>
      </c>
      <c r="AY375" s="375">
        <v>0</v>
      </c>
      <c r="AZ375" s="375">
        <v>0</v>
      </c>
      <c r="BA375" s="375">
        <v>0</v>
      </c>
      <c r="BB375" s="375">
        <v>0</v>
      </c>
      <c r="BC375" s="375">
        <v>0</v>
      </c>
      <c r="BD375" s="375">
        <v>0</v>
      </c>
      <c r="BE375" s="375">
        <v>0</v>
      </c>
      <c r="BF375" s="375">
        <v>0</v>
      </c>
      <c r="BG375" s="375">
        <v>24000</v>
      </c>
      <c r="BH375" s="79">
        <v>24000</v>
      </c>
      <c r="BI375" s="79">
        <v>0</v>
      </c>
      <c r="BJ375" s="79">
        <v>0</v>
      </c>
      <c r="BK375" s="79">
        <v>0</v>
      </c>
      <c r="BL375" s="79">
        <v>0</v>
      </c>
      <c r="BM375" s="79">
        <v>0</v>
      </c>
      <c r="BN375" s="79">
        <v>0</v>
      </c>
      <c r="BO375" s="79">
        <v>0</v>
      </c>
      <c r="BP375" s="79">
        <v>0</v>
      </c>
      <c r="BQ375" s="79">
        <v>0</v>
      </c>
      <c r="BR375" s="79">
        <v>0</v>
      </c>
      <c r="BS375" s="79">
        <v>0</v>
      </c>
      <c r="BT375" s="79">
        <v>24000</v>
      </c>
    </row>
    <row r="376" spans="1:72" ht="15" customHeight="1">
      <c r="A376" s="129" t="s">
        <v>2711</v>
      </c>
      <c r="B376" s="129"/>
      <c r="C376" s="129" t="s">
        <v>964</v>
      </c>
      <c r="D376" s="66" t="s">
        <v>964</v>
      </c>
      <c r="E376" s="150" t="s">
        <v>1136</v>
      </c>
      <c r="F376" s="482" t="s">
        <v>1566</v>
      </c>
      <c r="G376" s="383" t="s">
        <v>1480</v>
      </c>
      <c r="H376" s="383" t="s">
        <v>1480</v>
      </c>
      <c r="I376" s="150" t="s">
        <v>1345</v>
      </c>
      <c r="J376" s="150" t="s">
        <v>1480</v>
      </c>
      <c r="K376" s="150" t="s">
        <v>1480</v>
      </c>
      <c r="L376" s="513" t="s">
        <v>639</v>
      </c>
      <c r="M376" s="392" t="s">
        <v>2660</v>
      </c>
      <c r="N376" s="343"/>
      <c r="O376" s="331"/>
      <c r="P376" s="70" t="s">
        <v>937</v>
      </c>
      <c r="Q376" s="343" t="s">
        <v>1139</v>
      </c>
      <c r="R376" s="343"/>
      <c r="S376" s="346"/>
      <c r="T376" s="150" t="s">
        <v>152</v>
      </c>
      <c r="U376" s="150" t="s">
        <v>2712</v>
      </c>
      <c r="V376" s="405"/>
      <c r="W376" s="359"/>
      <c r="X376" s="380">
        <v>0</v>
      </c>
      <c r="Y376" s="425"/>
      <c r="Z376" s="71"/>
      <c r="AA376" s="426"/>
      <c r="AB376" s="427"/>
      <c r="AC376" s="427"/>
      <c r="AD376" s="428" t="s">
        <v>1142</v>
      </c>
      <c r="AE376" s="429">
        <v>0</v>
      </c>
      <c r="AF376" s="429">
        <v>0</v>
      </c>
      <c r="AG376" s="363"/>
      <c r="AH376" s="363"/>
      <c r="AI376" s="363"/>
      <c r="AJ376" s="363">
        <f>15000-15000</f>
        <v>0</v>
      </c>
      <c r="AK376" s="363">
        <f>15000-15000</f>
        <v>0</v>
      </c>
      <c r="AL376" s="363">
        <f>15000-15000</f>
        <v>0</v>
      </c>
      <c r="AM376" s="360">
        <f t="shared" si="21"/>
        <v>0</v>
      </c>
      <c r="AN376" s="362">
        <f>ERP_26[[#This Row],[2026 Working Total]]-ERP_26[[#This Row],[LE2 Final Submission]]</f>
        <v>0</v>
      </c>
      <c r="AO376" s="79"/>
      <c r="AP376" s="79">
        <f t="shared" si="16"/>
        <v>0</v>
      </c>
      <c r="AQ376" s="374">
        <f>SUM(ERP_26[[#This Row],[AP01]:[AP06]])-SUM(ERP_26[[#This Row],[AP01 LE2]:[AP06 LE2]])</f>
        <v>0</v>
      </c>
      <c r="AR376" s="80"/>
      <c r="AS376" s="79">
        <f>ERP_26[[#This Row],[2026 Working Total to Budget/LE]]-ERP_26[[#This Row],[Giveback]]</f>
        <v>0</v>
      </c>
      <c r="AT376" s="81"/>
      <c r="AU376" s="375"/>
      <c r="AV376" s="375"/>
      <c r="AW376" s="375"/>
      <c r="AX376" s="375"/>
      <c r="AY376" s="375"/>
      <c r="AZ376" s="375"/>
      <c r="BA376" s="375"/>
      <c r="BB376" s="375"/>
      <c r="BC376" s="375"/>
      <c r="BD376" s="375">
        <v>0</v>
      </c>
      <c r="BE376" s="375">
        <v>0</v>
      </c>
      <c r="BF376" s="375">
        <v>0</v>
      </c>
      <c r="BG376" s="375">
        <v>0</v>
      </c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</row>
    <row r="377" spans="1:72" ht="15" customHeight="1">
      <c r="A377" s="129" t="s">
        <v>2713</v>
      </c>
      <c r="B377" s="129"/>
      <c r="C377" s="129" t="s">
        <v>965</v>
      </c>
      <c r="D377" s="66" t="s">
        <v>965</v>
      </c>
      <c r="E377" s="150" t="s">
        <v>1136</v>
      </c>
      <c r="F377" s="482" t="s">
        <v>1566</v>
      </c>
      <c r="G377" s="383" t="s">
        <v>1480</v>
      </c>
      <c r="H377" s="383" t="s">
        <v>1480</v>
      </c>
      <c r="I377" s="150" t="s">
        <v>1345</v>
      </c>
      <c r="J377" s="150" t="s">
        <v>1480</v>
      </c>
      <c r="K377" s="150" t="s">
        <v>1480</v>
      </c>
      <c r="L377" s="513" t="s">
        <v>639</v>
      </c>
      <c r="M377" s="392" t="s">
        <v>2663</v>
      </c>
      <c r="N377" s="343"/>
      <c r="O377" s="331"/>
      <c r="P377" s="70" t="s">
        <v>939</v>
      </c>
      <c r="Q377" s="343" t="s">
        <v>1139</v>
      </c>
      <c r="R377" s="343"/>
      <c r="S377" s="346"/>
      <c r="T377" s="150" t="s">
        <v>152</v>
      </c>
      <c r="U377" s="150" t="s">
        <v>2714</v>
      </c>
      <c r="V377" s="405"/>
      <c r="W377" s="359"/>
      <c r="X377" s="380">
        <v>0</v>
      </c>
      <c r="Y377" s="430"/>
      <c r="Z377" s="137"/>
      <c r="AA377" s="426"/>
      <c r="AB377" s="427"/>
      <c r="AC377" s="427"/>
      <c r="AD377" s="428" t="s">
        <v>1142</v>
      </c>
      <c r="AE377" s="429">
        <v>0</v>
      </c>
      <c r="AF377" s="429">
        <v>0</v>
      </c>
      <c r="AG377" s="363">
        <f t="shared" ref="AG377:AL377" si="23">22238.42-22238.42</f>
        <v>0</v>
      </c>
      <c r="AH377" s="363">
        <f t="shared" si="23"/>
        <v>0</v>
      </c>
      <c r="AI377" s="363">
        <f t="shared" si="23"/>
        <v>0</v>
      </c>
      <c r="AJ377" s="363">
        <f t="shared" si="23"/>
        <v>0</v>
      </c>
      <c r="AK377" s="363">
        <f t="shared" si="23"/>
        <v>0</v>
      </c>
      <c r="AL377" s="363">
        <f t="shared" si="23"/>
        <v>0</v>
      </c>
      <c r="AM377" s="360">
        <f t="shared" si="21"/>
        <v>0</v>
      </c>
      <c r="AN377" s="362">
        <f>ERP_26[[#This Row],[2026 Working Total]]-ERP_26[[#This Row],[LE2 Final Submission]]</f>
        <v>0</v>
      </c>
      <c r="AO377" s="79"/>
      <c r="AP377" s="79">
        <f t="shared" si="16"/>
        <v>0</v>
      </c>
      <c r="AQ377" s="374">
        <f>SUM(ERP_26[[#This Row],[AP01]:[AP06]])-SUM(ERP_26[[#This Row],[AP01 LE2]:[AP06 LE2]])</f>
        <v>0</v>
      </c>
      <c r="AR377" s="80"/>
      <c r="AS377" s="79">
        <f>ERP_26[[#This Row],[2026 Working Total to Budget/LE]]-ERP_26[[#This Row],[Giveback]]</f>
        <v>0</v>
      </c>
      <c r="AT377" s="81"/>
      <c r="AU377" s="375"/>
      <c r="AV377" s="375"/>
      <c r="AW377" s="375"/>
      <c r="AX377" s="375">
        <v>0</v>
      </c>
      <c r="AY377" s="375">
        <v>0</v>
      </c>
      <c r="AZ377" s="375">
        <v>0</v>
      </c>
      <c r="BA377" s="375">
        <v>0</v>
      </c>
      <c r="BB377" s="375">
        <v>0</v>
      </c>
      <c r="BC377" s="375">
        <v>0</v>
      </c>
      <c r="BD377" s="375">
        <v>0</v>
      </c>
      <c r="BE377" s="375">
        <v>0</v>
      </c>
      <c r="BF377" s="375">
        <v>0</v>
      </c>
      <c r="BG377" s="375">
        <v>0</v>
      </c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</row>
    <row r="378" spans="1:72" ht="15" customHeight="1">
      <c r="A378" s="66" t="s">
        <v>2715</v>
      </c>
      <c r="B378" s="66"/>
      <c r="C378" s="66" t="s">
        <v>966</v>
      </c>
      <c r="D378" s="66" t="s">
        <v>2716</v>
      </c>
      <c r="E378" s="150" t="s">
        <v>1136</v>
      </c>
      <c r="F378" s="482" t="s">
        <v>1566</v>
      </c>
      <c r="G378" s="383" t="s">
        <v>1480</v>
      </c>
      <c r="H378" s="150" t="s">
        <v>1481</v>
      </c>
      <c r="I378" s="150" t="s">
        <v>1345</v>
      </c>
      <c r="J378" s="150" t="s">
        <v>1481</v>
      </c>
      <c r="K378" s="150" t="s">
        <v>1346</v>
      </c>
      <c r="L378" s="511" t="s">
        <v>639</v>
      </c>
      <c r="M378" s="392" t="s">
        <v>1147</v>
      </c>
      <c r="N378" s="343"/>
      <c r="O378" s="343"/>
      <c r="P378" s="70" t="s">
        <v>53</v>
      </c>
      <c r="Q378" s="346" t="s">
        <v>1153</v>
      </c>
      <c r="R378" s="346" t="s">
        <v>1140</v>
      </c>
      <c r="S378" s="346"/>
      <c r="T378" s="150" t="s">
        <v>25</v>
      </c>
      <c r="U378" s="473" t="s">
        <v>1513</v>
      </c>
      <c r="V378" s="403"/>
      <c r="W378" s="406">
        <v>0</v>
      </c>
      <c r="X378" s="406">
        <v>1520</v>
      </c>
      <c r="Y378" s="425"/>
      <c r="Z378" s="71"/>
      <c r="AA378" s="426"/>
      <c r="AB378" s="427">
        <v>1520</v>
      </c>
      <c r="AC378" s="431">
        <v>0</v>
      </c>
      <c r="AD378" s="428">
        <v>0</v>
      </c>
      <c r="AE378" s="429">
        <v>0</v>
      </c>
      <c r="AF378" s="429">
        <v>0</v>
      </c>
      <c r="AG378" s="360">
        <v>0</v>
      </c>
      <c r="AH378" s="360">
        <v>0</v>
      </c>
      <c r="AI378" s="360">
        <v>0</v>
      </c>
      <c r="AJ378" s="360">
        <v>0</v>
      </c>
      <c r="AK378" s="360">
        <v>0</v>
      </c>
      <c r="AL378" s="360">
        <v>0</v>
      </c>
      <c r="AM378" s="360">
        <f t="shared" si="21"/>
        <v>1520</v>
      </c>
      <c r="AN378" s="362">
        <f>ERP_26[[#This Row],[2026 Working Total]]-ERP_26[[#This Row],[LE2 Final Submission]]</f>
        <v>0</v>
      </c>
      <c r="AO378" s="79">
        <v>0</v>
      </c>
      <c r="AP378" s="79">
        <f t="shared" si="16"/>
        <v>0</v>
      </c>
      <c r="AQ378" s="374">
        <f>SUM(ERP_26[[#This Row],[AP01]:[AP06]])-SUM(ERP_26[[#This Row],[AP01 LE2]:[AP06 LE2]])</f>
        <v>0</v>
      </c>
      <c r="AR378" s="80"/>
      <c r="AS378" s="79">
        <f>ERP_26[[#This Row],[2026 Working Total to Budget/LE]]-ERP_26[[#This Row],[Giveback]]</f>
        <v>0</v>
      </c>
      <c r="AT378" s="81"/>
      <c r="AU378" s="375"/>
      <c r="AV378" s="375">
        <v>1520</v>
      </c>
      <c r="AW378" s="375">
        <v>0</v>
      </c>
      <c r="AX378" s="375">
        <v>0</v>
      </c>
      <c r="AY378" s="375">
        <v>0</v>
      </c>
      <c r="AZ378" s="375">
        <v>0</v>
      </c>
      <c r="BA378" s="375">
        <v>0</v>
      </c>
      <c r="BB378" s="375">
        <v>0</v>
      </c>
      <c r="BC378" s="375">
        <v>0</v>
      </c>
      <c r="BD378" s="375">
        <v>0</v>
      </c>
      <c r="BE378" s="375">
        <v>0</v>
      </c>
      <c r="BF378" s="375">
        <v>0</v>
      </c>
      <c r="BG378" s="375">
        <v>1520</v>
      </c>
      <c r="BH378" s="79"/>
      <c r="BI378" s="79">
        <v>1520</v>
      </c>
      <c r="BJ378" s="79">
        <v>0</v>
      </c>
      <c r="BK378" s="79">
        <v>0</v>
      </c>
      <c r="BL378" s="79">
        <v>0</v>
      </c>
      <c r="BM378" s="79">
        <v>0</v>
      </c>
      <c r="BN378" s="79">
        <v>0</v>
      </c>
      <c r="BO378" s="79">
        <v>0</v>
      </c>
      <c r="BP378" s="79">
        <v>0</v>
      </c>
      <c r="BQ378" s="79">
        <v>0</v>
      </c>
      <c r="BR378" s="79">
        <v>0</v>
      </c>
      <c r="BS378" s="79">
        <v>0</v>
      </c>
      <c r="BT378" s="79">
        <v>1520</v>
      </c>
    </row>
    <row r="379" spans="1:72" ht="15" customHeight="1">
      <c r="A379" s="66" t="s">
        <v>2717</v>
      </c>
      <c r="B379" s="66"/>
      <c r="C379" s="66" t="s">
        <v>967</v>
      </c>
      <c r="D379" s="66" t="s">
        <v>967</v>
      </c>
      <c r="E379" s="150" t="s">
        <v>1136</v>
      </c>
      <c r="F379" s="482" t="s">
        <v>1566</v>
      </c>
      <c r="G379" s="383" t="s">
        <v>1480</v>
      </c>
      <c r="H379" s="383" t="s">
        <v>1480</v>
      </c>
      <c r="I379" s="150" t="s">
        <v>1345</v>
      </c>
      <c r="J379" s="150" t="s">
        <v>1480</v>
      </c>
      <c r="K379" s="150" t="s">
        <v>1346</v>
      </c>
      <c r="L379" s="511" t="s">
        <v>639</v>
      </c>
      <c r="M379" s="392" t="s">
        <v>2285</v>
      </c>
      <c r="N379" s="343"/>
      <c r="O379" s="343"/>
      <c r="P379" s="70" t="s">
        <v>676</v>
      </c>
      <c r="Q379" s="346"/>
      <c r="R379" s="346" t="s">
        <v>1140</v>
      </c>
      <c r="S379" s="346"/>
      <c r="T379" s="150" t="s">
        <v>677</v>
      </c>
      <c r="U379" s="150"/>
      <c r="V379" s="403"/>
      <c r="W379" s="406">
        <v>1100</v>
      </c>
      <c r="X379" s="406">
        <v>825</v>
      </c>
      <c r="Y379" s="425"/>
      <c r="Z379" s="71"/>
      <c r="AA379" s="426"/>
      <c r="AB379" s="427"/>
      <c r="AC379" s="427"/>
      <c r="AD379" s="428" t="s">
        <v>1142</v>
      </c>
      <c r="AE379" s="429">
        <v>0</v>
      </c>
      <c r="AF379" s="429">
        <v>0</v>
      </c>
      <c r="AG379" s="360">
        <v>0</v>
      </c>
      <c r="AH379" s="360">
        <v>0</v>
      </c>
      <c r="AI379" s="363">
        <v>275</v>
      </c>
      <c r="AJ379" s="360">
        <v>0</v>
      </c>
      <c r="AK379" s="360">
        <v>0</v>
      </c>
      <c r="AL379" s="363">
        <v>275</v>
      </c>
      <c r="AM379" s="360">
        <f t="shared" si="21"/>
        <v>550</v>
      </c>
      <c r="AN379" s="362">
        <f>ERP_26[[#This Row],[2026 Working Total]]-ERP_26[[#This Row],[LE2 Final Submission]]</f>
        <v>-275</v>
      </c>
      <c r="AO379" s="79"/>
      <c r="AP379" s="79">
        <f t="shared" si="16"/>
        <v>0</v>
      </c>
      <c r="AQ379" s="374">
        <f>SUM(ERP_26[[#This Row],[AP01]:[AP06]])-SUM(ERP_26[[#This Row],[AP01 LE2]:[AP06 LE2]])</f>
        <v>-275</v>
      </c>
      <c r="AR379" s="80"/>
      <c r="AS379" s="79">
        <f>ERP_26[[#This Row],[2026 Working Total to Budget/LE]]-ERP_26[[#This Row],[Giveback]]</f>
        <v>-275</v>
      </c>
      <c r="AT379" s="81"/>
      <c r="AU379" s="375"/>
      <c r="AV379" s="375"/>
      <c r="AW379" s="375"/>
      <c r="AX379" s="375"/>
      <c r="AY379" s="375"/>
      <c r="AZ379" s="375">
        <v>275</v>
      </c>
      <c r="BA379" s="375">
        <v>0</v>
      </c>
      <c r="BB379" s="375">
        <v>0</v>
      </c>
      <c r="BC379" s="375">
        <v>275</v>
      </c>
      <c r="BD379" s="375">
        <v>0</v>
      </c>
      <c r="BE379" s="375">
        <v>0</v>
      </c>
      <c r="BF379" s="375">
        <v>275</v>
      </c>
      <c r="BG379" s="375">
        <v>825</v>
      </c>
      <c r="BH379" s="79"/>
      <c r="BI379" s="79"/>
      <c r="BJ379" s="79"/>
      <c r="BK379" s="79"/>
      <c r="BL379" s="79"/>
      <c r="BM379" s="79">
        <v>275</v>
      </c>
      <c r="BN379" s="79">
        <v>0</v>
      </c>
      <c r="BO379" s="79">
        <v>0</v>
      </c>
      <c r="BP379" s="79">
        <v>275</v>
      </c>
      <c r="BQ379" s="79">
        <v>0</v>
      </c>
      <c r="BR379" s="79">
        <v>0</v>
      </c>
      <c r="BS379" s="79">
        <v>275</v>
      </c>
      <c r="BT379" s="79">
        <v>825</v>
      </c>
    </row>
    <row r="380" spans="1:72" ht="15" customHeight="1">
      <c r="A380" s="66" t="s">
        <v>2718</v>
      </c>
      <c r="B380" s="66"/>
      <c r="C380" s="66" t="s">
        <v>968</v>
      </c>
      <c r="D380" s="66" t="s">
        <v>968</v>
      </c>
      <c r="E380" s="150" t="s">
        <v>1136</v>
      </c>
      <c r="F380" s="482" t="s">
        <v>1566</v>
      </c>
      <c r="G380" s="383" t="s">
        <v>1480</v>
      </c>
      <c r="H380" s="383" t="s">
        <v>1480</v>
      </c>
      <c r="I380" s="150" t="s">
        <v>1345</v>
      </c>
      <c r="J380" s="150" t="s">
        <v>1480</v>
      </c>
      <c r="K380" s="150" t="s">
        <v>1346</v>
      </c>
      <c r="L380" s="511" t="s">
        <v>639</v>
      </c>
      <c r="M380" s="392" t="s">
        <v>2291</v>
      </c>
      <c r="N380" s="343"/>
      <c r="O380" s="343"/>
      <c r="P380" s="70" t="s">
        <v>679</v>
      </c>
      <c r="Q380" s="346"/>
      <c r="R380" s="346" t="s">
        <v>1140</v>
      </c>
      <c r="S380" s="346"/>
      <c r="T380" s="150" t="s">
        <v>680</v>
      </c>
      <c r="U380" s="150"/>
      <c r="V380" s="403"/>
      <c r="W380" s="406">
        <v>370</v>
      </c>
      <c r="X380" s="406">
        <v>370</v>
      </c>
      <c r="Y380" s="425"/>
      <c r="Z380" s="71"/>
      <c r="AA380" s="426"/>
      <c r="AB380" s="427"/>
      <c r="AC380" s="427"/>
      <c r="AD380" s="428" t="s">
        <v>1142</v>
      </c>
      <c r="AE380" s="429">
        <v>0</v>
      </c>
      <c r="AF380" s="429">
        <v>0</v>
      </c>
      <c r="AG380" s="360">
        <v>0</v>
      </c>
      <c r="AH380" s="360">
        <v>0</v>
      </c>
      <c r="AI380" s="360">
        <v>0</v>
      </c>
      <c r="AJ380" s="360">
        <v>0</v>
      </c>
      <c r="AK380" s="360">
        <v>0</v>
      </c>
      <c r="AL380" s="360">
        <v>0</v>
      </c>
      <c r="AM380" s="360">
        <f t="shared" si="21"/>
        <v>0</v>
      </c>
      <c r="AN380" s="362">
        <f>ERP_26[[#This Row],[2026 Working Total]]-ERP_26[[#This Row],[LE2 Final Submission]]</f>
        <v>-370</v>
      </c>
      <c r="AO380" s="79">
        <v>0</v>
      </c>
      <c r="AP380" s="79">
        <f t="shared" si="16"/>
        <v>0</v>
      </c>
      <c r="AQ380" s="374">
        <f>SUM(ERP_26[[#This Row],[AP01]:[AP06]])-SUM(ERP_26[[#This Row],[AP01 LE2]:[AP06 LE2]])</f>
        <v>-370</v>
      </c>
      <c r="AR380" s="80"/>
      <c r="AS380" s="79">
        <f>ERP_26[[#This Row],[2026 Working Total to Budget/LE]]-ERP_26[[#This Row],[Giveback]]</f>
        <v>-370</v>
      </c>
      <c r="AT380" s="81"/>
      <c r="AU380" s="375"/>
      <c r="AV380" s="375"/>
      <c r="AW380" s="375"/>
      <c r="AX380" s="375">
        <v>370</v>
      </c>
      <c r="AY380" s="375">
        <v>0</v>
      </c>
      <c r="AZ380" s="375">
        <v>0</v>
      </c>
      <c r="BA380" s="375">
        <v>0</v>
      </c>
      <c r="BB380" s="375">
        <v>0</v>
      </c>
      <c r="BC380" s="375">
        <v>0</v>
      </c>
      <c r="BD380" s="375">
        <v>0</v>
      </c>
      <c r="BE380" s="375">
        <v>0</v>
      </c>
      <c r="BF380" s="375">
        <v>0</v>
      </c>
      <c r="BG380" s="375">
        <v>370</v>
      </c>
      <c r="BH380" s="79"/>
      <c r="BI380" s="79"/>
      <c r="BJ380" s="79"/>
      <c r="BK380" s="79">
        <v>370</v>
      </c>
      <c r="BL380" s="79">
        <v>0</v>
      </c>
      <c r="BM380" s="79">
        <v>0</v>
      </c>
      <c r="BN380" s="79">
        <v>0</v>
      </c>
      <c r="BO380" s="79">
        <v>0</v>
      </c>
      <c r="BP380" s="79">
        <v>0</v>
      </c>
      <c r="BQ380" s="79">
        <v>0</v>
      </c>
      <c r="BR380" s="79">
        <v>0</v>
      </c>
      <c r="BS380" s="79">
        <v>0</v>
      </c>
      <c r="BT380" s="79">
        <v>370</v>
      </c>
    </row>
    <row r="381" spans="1:72" ht="15" customHeight="1">
      <c r="A381" s="79" t="s">
        <v>2719</v>
      </c>
      <c r="B381" s="79"/>
      <c r="C381" s="79" t="s">
        <v>969</v>
      </c>
      <c r="D381" s="296" t="s">
        <v>969</v>
      </c>
      <c r="E381" s="150" t="s">
        <v>1136</v>
      </c>
      <c r="F381" s="482" t="s">
        <v>1566</v>
      </c>
      <c r="G381" s="383" t="s">
        <v>1480</v>
      </c>
      <c r="H381" s="383" t="s">
        <v>1480</v>
      </c>
      <c r="I381" s="332" t="s">
        <v>1345</v>
      </c>
      <c r="J381" s="383" t="s">
        <v>1480</v>
      </c>
      <c r="K381" s="331" t="s">
        <v>1346</v>
      </c>
      <c r="L381" s="512" t="s">
        <v>639</v>
      </c>
      <c r="M381" s="393" t="s">
        <v>2720</v>
      </c>
      <c r="N381" s="343" t="s">
        <v>2721</v>
      </c>
      <c r="O381" s="150" t="s">
        <v>1493</v>
      </c>
      <c r="P381" s="91" t="s">
        <v>970</v>
      </c>
      <c r="Q381" s="343"/>
      <c r="R381" s="346" t="s">
        <v>2722</v>
      </c>
      <c r="S381" s="346" t="s">
        <v>1710</v>
      </c>
      <c r="T381" s="386" t="s">
        <v>863</v>
      </c>
      <c r="U381" s="346" t="s">
        <v>1348</v>
      </c>
      <c r="V381" s="437"/>
      <c r="W381" s="358">
        <v>26967.21</v>
      </c>
      <c r="X381" s="378">
        <v>0</v>
      </c>
      <c r="Y381" s="430"/>
      <c r="Z381" s="137"/>
      <c r="AA381" s="433"/>
      <c r="AB381" s="434"/>
      <c r="AC381" s="434"/>
      <c r="AD381" s="428">
        <v>0</v>
      </c>
      <c r="AE381" s="429">
        <v>0</v>
      </c>
      <c r="AF381" s="429">
        <v>0</v>
      </c>
      <c r="AG381" s="388">
        <v>0</v>
      </c>
      <c r="AH381" s="388">
        <v>0</v>
      </c>
      <c r="AI381" s="388">
        <v>0</v>
      </c>
      <c r="AJ381" s="388">
        <v>0</v>
      </c>
      <c r="AK381" s="388">
        <v>0</v>
      </c>
      <c r="AL381" s="388">
        <v>0</v>
      </c>
      <c r="AM381" s="360">
        <f t="shared" si="21"/>
        <v>0</v>
      </c>
      <c r="AN381" s="362">
        <f>ERP_26[[#This Row],[2026 Working Total]]-ERP_26[[#This Row],[LE2 Final Submission]]</f>
        <v>0</v>
      </c>
      <c r="AO381" s="79">
        <v>0</v>
      </c>
      <c r="AP381" s="79">
        <f t="shared" si="16"/>
        <v>0</v>
      </c>
      <c r="AQ381" s="374">
        <f>SUM(ERP_26[[#This Row],[AP01]:[AP06]])-SUM(ERP_26[[#This Row],[AP01 LE2]:[AP06 LE2]])</f>
        <v>0</v>
      </c>
      <c r="AR381" s="80"/>
      <c r="AS381" s="79">
        <f>ERP_26[[#This Row],[2026 Working Total to Budget/LE]]-ERP_26[[#This Row],[Giveback]]</f>
        <v>0</v>
      </c>
      <c r="AT381" s="81"/>
      <c r="AU381" s="375"/>
      <c r="AV381" s="375"/>
      <c r="AW381" s="375"/>
      <c r="AX381" s="375">
        <v>0</v>
      </c>
      <c r="AY381" s="375">
        <v>0</v>
      </c>
      <c r="AZ381" s="375">
        <v>0</v>
      </c>
      <c r="BA381" s="375">
        <v>0</v>
      </c>
      <c r="BB381" s="375">
        <v>0</v>
      </c>
      <c r="BC381" s="375">
        <v>0</v>
      </c>
      <c r="BD381" s="375">
        <v>0</v>
      </c>
      <c r="BE381" s="375">
        <v>0</v>
      </c>
      <c r="BF381" s="375">
        <v>0</v>
      </c>
      <c r="BG381" s="375">
        <v>0</v>
      </c>
      <c r="BH381" s="103">
        <v>26967.21</v>
      </c>
      <c r="BI381" s="103">
        <v>0</v>
      </c>
      <c r="BJ381" s="103">
        <v>0</v>
      </c>
      <c r="BK381" s="103">
        <v>0</v>
      </c>
      <c r="BL381" s="103">
        <v>0</v>
      </c>
      <c r="BM381" s="103">
        <v>0</v>
      </c>
      <c r="BN381" s="103">
        <v>0</v>
      </c>
      <c r="BO381" s="103">
        <v>0</v>
      </c>
      <c r="BP381" s="103">
        <v>0</v>
      </c>
      <c r="BQ381" s="103">
        <v>0</v>
      </c>
      <c r="BR381" s="103">
        <v>0</v>
      </c>
      <c r="BS381" s="103">
        <v>0</v>
      </c>
      <c r="BT381" s="79">
        <f>SUM(ERP_26[[#This Row],[2026 AP01]:[2026 AP12]])</f>
        <v>26967.21</v>
      </c>
    </row>
    <row r="382" spans="1:72" ht="15" customHeight="1">
      <c r="A382" s="79" t="s">
        <v>2723</v>
      </c>
      <c r="B382" s="79"/>
      <c r="C382" s="79" t="s">
        <v>971</v>
      </c>
      <c r="D382" s="296" t="s">
        <v>971</v>
      </c>
      <c r="E382" s="150" t="s">
        <v>1136</v>
      </c>
      <c r="F382" s="482" t="s">
        <v>1566</v>
      </c>
      <c r="G382" s="383" t="s">
        <v>1480</v>
      </c>
      <c r="H382" s="383" t="s">
        <v>1480</v>
      </c>
      <c r="I382" s="332" t="s">
        <v>1345</v>
      </c>
      <c r="J382" s="383" t="s">
        <v>1480</v>
      </c>
      <c r="K382" s="331" t="s">
        <v>1346</v>
      </c>
      <c r="L382" s="512" t="s">
        <v>639</v>
      </c>
      <c r="M382" s="393" t="s">
        <v>2724</v>
      </c>
      <c r="N382" s="343" t="s">
        <v>2721</v>
      </c>
      <c r="O382" s="150" t="s">
        <v>1493</v>
      </c>
      <c r="P382" s="91" t="s">
        <v>972</v>
      </c>
      <c r="Q382" s="343"/>
      <c r="R382" s="346" t="s">
        <v>2722</v>
      </c>
      <c r="S382" s="346" t="s">
        <v>1710</v>
      </c>
      <c r="T382" s="386" t="s">
        <v>863</v>
      </c>
      <c r="U382" s="346" t="s">
        <v>1348</v>
      </c>
      <c r="V382" s="437"/>
      <c r="W382" s="358">
        <v>-26967.21</v>
      </c>
      <c r="X382" s="378">
        <v>0</v>
      </c>
      <c r="Y382" s="425"/>
      <c r="Z382" s="71"/>
      <c r="AA382" s="433"/>
      <c r="AB382" s="434"/>
      <c r="AC382" s="434"/>
      <c r="AD382" s="428" t="s">
        <v>1142</v>
      </c>
      <c r="AE382" s="429">
        <v>0</v>
      </c>
      <c r="AF382" s="429">
        <v>0</v>
      </c>
      <c r="AG382" s="388">
        <v>0</v>
      </c>
      <c r="AH382" s="388">
        <v>0</v>
      </c>
      <c r="AI382" s="388">
        <v>0</v>
      </c>
      <c r="AJ382" s="388">
        <v>0</v>
      </c>
      <c r="AK382" s="388">
        <v>0</v>
      </c>
      <c r="AL382" s="388">
        <v>0</v>
      </c>
      <c r="AM382" s="360">
        <f t="shared" si="21"/>
        <v>0</v>
      </c>
      <c r="AN382" s="362">
        <f>ERP_26[[#This Row],[2026 Working Total]]-ERP_26[[#This Row],[LE2 Final Submission]]</f>
        <v>0</v>
      </c>
      <c r="AO382" s="79">
        <v>0</v>
      </c>
      <c r="AP382" s="79">
        <f t="shared" si="16"/>
        <v>0</v>
      </c>
      <c r="AQ382" s="374">
        <f>SUM(ERP_26[[#This Row],[AP01]:[AP06]])-SUM(ERP_26[[#This Row],[AP01 LE2]:[AP06 LE2]])</f>
        <v>0</v>
      </c>
      <c r="AR382" s="80"/>
      <c r="AS382" s="79">
        <f>ERP_26[[#This Row],[2026 Working Total to Budget/LE]]-ERP_26[[#This Row],[Giveback]]</f>
        <v>0</v>
      </c>
      <c r="AT382" s="81"/>
      <c r="AU382" s="375"/>
      <c r="AV382" s="375"/>
      <c r="AW382" s="375"/>
      <c r="AX382" s="375">
        <v>0</v>
      </c>
      <c r="AY382" s="375">
        <v>0</v>
      </c>
      <c r="AZ382" s="375">
        <v>0</v>
      </c>
      <c r="BA382" s="375">
        <v>0</v>
      </c>
      <c r="BB382" s="375">
        <v>0</v>
      </c>
      <c r="BC382" s="375">
        <v>0</v>
      </c>
      <c r="BD382" s="375">
        <v>0</v>
      </c>
      <c r="BE382" s="375">
        <v>0</v>
      </c>
      <c r="BF382" s="375">
        <v>0</v>
      </c>
      <c r="BG382" s="375">
        <v>0</v>
      </c>
      <c r="BH382" s="103">
        <v>-26967.21</v>
      </c>
      <c r="BI382" s="103">
        <v>0</v>
      </c>
      <c r="BJ382" s="103">
        <v>0</v>
      </c>
      <c r="BK382" s="103">
        <v>0</v>
      </c>
      <c r="BL382" s="103">
        <v>0</v>
      </c>
      <c r="BM382" s="103">
        <v>0</v>
      </c>
      <c r="BN382" s="103">
        <v>0</v>
      </c>
      <c r="BO382" s="103">
        <v>0</v>
      </c>
      <c r="BP382" s="103">
        <v>0</v>
      </c>
      <c r="BQ382" s="103">
        <v>0</v>
      </c>
      <c r="BR382" s="103">
        <v>0</v>
      </c>
      <c r="BS382" s="103">
        <v>0</v>
      </c>
      <c r="BT382" s="79">
        <f>SUM(ERP_26[[#This Row],[2026 AP01]:[2026 AP12]])</f>
        <v>-26967.21</v>
      </c>
    </row>
    <row r="383" spans="1:72" ht="15" customHeight="1">
      <c r="A383" s="66" t="s">
        <v>2728</v>
      </c>
      <c r="B383" s="66"/>
      <c r="C383" s="66" t="s">
        <v>974</v>
      </c>
      <c r="D383" s="66" t="s">
        <v>2729</v>
      </c>
      <c r="E383" s="150" t="s">
        <v>1136</v>
      </c>
      <c r="F383" s="482" t="s">
        <v>1566</v>
      </c>
      <c r="G383" s="383" t="s">
        <v>1480</v>
      </c>
      <c r="H383" s="150" t="s">
        <v>1481</v>
      </c>
      <c r="I383" s="150" t="s">
        <v>1345</v>
      </c>
      <c r="J383" s="150" t="s">
        <v>1481</v>
      </c>
      <c r="K383" s="150" t="s">
        <v>1346</v>
      </c>
      <c r="L383" s="511" t="s">
        <v>639</v>
      </c>
      <c r="M383" s="392" t="s">
        <v>1504</v>
      </c>
      <c r="N383" s="343"/>
      <c r="O383" s="343"/>
      <c r="P383" s="70" t="s">
        <v>234</v>
      </c>
      <c r="Q383" s="346"/>
      <c r="R383" s="343"/>
      <c r="S383" s="346"/>
      <c r="T383" s="150" t="s">
        <v>25</v>
      </c>
      <c r="U383" s="150" t="s">
        <v>1483</v>
      </c>
      <c r="V383" s="403"/>
      <c r="W383" s="406">
        <v>353631</v>
      </c>
      <c r="X383" s="406">
        <v>353631</v>
      </c>
      <c r="Y383" s="425"/>
      <c r="Z383" s="71"/>
      <c r="AA383" s="426"/>
      <c r="AB383" s="427"/>
      <c r="AC383" s="427">
        <v>304987.09999999998</v>
      </c>
      <c r="AD383" s="428">
        <v>0</v>
      </c>
      <c r="AE383" s="429">
        <v>0</v>
      </c>
      <c r="AF383" s="429">
        <v>0</v>
      </c>
      <c r="AG383" s="360">
        <v>0</v>
      </c>
      <c r="AH383" s="360">
        <v>0</v>
      </c>
      <c r="AI383" s="363">
        <v>48643.9</v>
      </c>
      <c r="AJ383" s="360">
        <v>0</v>
      </c>
      <c r="AK383" s="360">
        <v>0</v>
      </c>
      <c r="AL383" s="360">
        <v>0</v>
      </c>
      <c r="AM383" s="360">
        <f t="shared" si="21"/>
        <v>353631</v>
      </c>
      <c r="AN383" s="362">
        <f>ERP_26[[#This Row],[2026 Working Total]]-ERP_26[[#This Row],[LE2 Final Submission]]</f>
        <v>0</v>
      </c>
      <c r="AO383" s="79">
        <v>0</v>
      </c>
      <c r="AP383" s="79">
        <f t="shared" si="16"/>
        <v>0</v>
      </c>
      <c r="AQ383" s="374">
        <f>SUM(ERP_26[[#This Row],[AP01]:[AP06]])-SUM(ERP_26[[#This Row],[AP01 LE2]:[AP06 LE2]])</f>
        <v>0</v>
      </c>
      <c r="AR383" s="80"/>
      <c r="AS383" s="79">
        <f>ERP_26[[#This Row],[2026 Working Total to Budget/LE]]-ERP_26[[#This Row],[Giveback]]</f>
        <v>0</v>
      </c>
      <c r="AT383" s="81"/>
      <c r="AU383" s="375"/>
      <c r="AV383" s="375"/>
      <c r="AW383" s="375">
        <v>304987.09999999998</v>
      </c>
      <c r="AX383" s="375">
        <v>0</v>
      </c>
      <c r="AY383" s="375">
        <v>0</v>
      </c>
      <c r="AZ383" s="375">
        <v>0</v>
      </c>
      <c r="BA383" s="375">
        <v>0</v>
      </c>
      <c r="BB383" s="375">
        <v>0</v>
      </c>
      <c r="BC383" s="375">
        <v>48643.9</v>
      </c>
      <c r="BD383" s="375">
        <v>0</v>
      </c>
      <c r="BE383" s="375">
        <v>0</v>
      </c>
      <c r="BF383" s="375">
        <v>0</v>
      </c>
      <c r="BG383" s="375">
        <v>353631</v>
      </c>
      <c r="BH383" s="79"/>
      <c r="BI383" s="79"/>
      <c r="BJ383" s="79">
        <v>304987.09999999998</v>
      </c>
      <c r="BK383" s="79">
        <v>0</v>
      </c>
      <c r="BL383" s="79">
        <v>0</v>
      </c>
      <c r="BM383" s="79">
        <v>0</v>
      </c>
      <c r="BN383" s="79">
        <v>24321.95</v>
      </c>
      <c r="BO383" s="79">
        <v>24321.95</v>
      </c>
      <c r="BP383" s="79">
        <v>0</v>
      </c>
      <c r="BQ383" s="79">
        <v>0</v>
      </c>
      <c r="BR383" s="79">
        <v>0</v>
      </c>
      <c r="BS383" s="79">
        <v>0</v>
      </c>
      <c r="BT383" s="79">
        <v>353631</v>
      </c>
    </row>
    <row r="384" spans="1:72" ht="15" customHeight="1">
      <c r="A384" s="66" t="s">
        <v>2730</v>
      </c>
      <c r="B384" s="66"/>
      <c r="C384" s="66" t="s">
        <v>975</v>
      </c>
      <c r="D384" s="66" t="s">
        <v>2731</v>
      </c>
      <c r="E384" s="150" t="s">
        <v>1136</v>
      </c>
      <c r="F384" s="482" t="s">
        <v>1566</v>
      </c>
      <c r="G384" s="383" t="s">
        <v>1480</v>
      </c>
      <c r="H384" s="150" t="s">
        <v>1481</v>
      </c>
      <c r="I384" s="150" t="s">
        <v>1345</v>
      </c>
      <c r="J384" s="150" t="s">
        <v>1481</v>
      </c>
      <c r="K384" s="150" t="s">
        <v>1346</v>
      </c>
      <c r="L384" s="511" t="s">
        <v>639</v>
      </c>
      <c r="M384" s="392" t="s">
        <v>1508</v>
      </c>
      <c r="N384" s="343"/>
      <c r="O384" s="343"/>
      <c r="P384" s="70" t="s">
        <v>236</v>
      </c>
      <c r="Q384" s="346"/>
      <c r="R384" s="343"/>
      <c r="S384" s="346"/>
      <c r="T384" s="150" t="s">
        <v>25</v>
      </c>
      <c r="U384" s="150" t="s">
        <v>1483</v>
      </c>
      <c r="V384" s="403"/>
      <c r="W384" s="406">
        <v>434000</v>
      </c>
      <c r="X384" s="406">
        <v>434000</v>
      </c>
      <c r="Y384" s="425"/>
      <c r="Z384" s="71"/>
      <c r="AA384" s="426"/>
      <c r="AB384" s="427"/>
      <c r="AC384" s="427">
        <v>331000</v>
      </c>
      <c r="AD384" s="428">
        <v>0</v>
      </c>
      <c r="AE384" s="429">
        <v>0</v>
      </c>
      <c r="AF384" s="429">
        <v>0</v>
      </c>
      <c r="AG384" s="360">
        <v>0</v>
      </c>
      <c r="AH384" s="360">
        <v>0</v>
      </c>
      <c r="AI384" s="360">
        <v>0</v>
      </c>
      <c r="AJ384" s="360">
        <v>22000</v>
      </c>
      <c r="AK384" s="360">
        <v>0</v>
      </c>
      <c r="AL384" s="360">
        <v>0</v>
      </c>
      <c r="AM384" s="360">
        <f t="shared" si="21"/>
        <v>353000</v>
      </c>
      <c r="AN384" s="362">
        <f>ERP_26[[#This Row],[2026 Working Total]]-ERP_26[[#This Row],[LE2 Final Submission]]</f>
        <v>-81000</v>
      </c>
      <c r="AO384" s="79">
        <v>0</v>
      </c>
      <c r="AP384" s="79">
        <f t="shared" si="16"/>
        <v>0</v>
      </c>
      <c r="AQ384" s="374">
        <f>SUM(ERP_26[[#This Row],[AP01]:[AP06]])-SUM(ERP_26[[#This Row],[AP01 LE2]:[AP06 LE2]])</f>
        <v>-81000</v>
      </c>
      <c r="AR384" s="80"/>
      <c r="AS384" s="79">
        <f>ERP_26[[#This Row],[2026 Working Total to Budget/LE]]-ERP_26[[#This Row],[Giveback]]</f>
        <v>-81000</v>
      </c>
      <c r="AT384" s="81"/>
      <c r="AU384" s="375"/>
      <c r="AV384" s="375"/>
      <c r="AW384" s="375">
        <v>331000</v>
      </c>
      <c r="AX384" s="375">
        <v>0</v>
      </c>
      <c r="AY384" s="375">
        <v>0</v>
      </c>
      <c r="AZ384" s="375">
        <v>81000</v>
      </c>
      <c r="BA384" s="375">
        <v>0</v>
      </c>
      <c r="BB384" s="375">
        <v>0</v>
      </c>
      <c r="BC384" s="375">
        <v>0</v>
      </c>
      <c r="BD384" s="375">
        <v>22000</v>
      </c>
      <c r="BE384" s="375">
        <v>0</v>
      </c>
      <c r="BF384" s="375">
        <v>0</v>
      </c>
      <c r="BG384" s="375">
        <v>434000</v>
      </c>
      <c r="BH384" s="79"/>
      <c r="BI384" s="79"/>
      <c r="BJ384" s="79">
        <v>331000</v>
      </c>
      <c r="BK384" s="79">
        <v>0</v>
      </c>
      <c r="BL384" s="79">
        <v>0</v>
      </c>
      <c r="BM384" s="79">
        <v>0</v>
      </c>
      <c r="BN384" s="79">
        <v>0</v>
      </c>
      <c r="BO384" s="79">
        <v>103000</v>
      </c>
      <c r="BP384" s="79">
        <v>0</v>
      </c>
      <c r="BQ384" s="79">
        <v>0</v>
      </c>
      <c r="BR384" s="79">
        <v>0</v>
      </c>
      <c r="BS384" s="79">
        <v>0</v>
      </c>
      <c r="BT384" s="79">
        <v>434000</v>
      </c>
    </row>
    <row r="385" spans="1:72" ht="15" customHeight="1">
      <c r="A385" s="66" t="s">
        <v>2732</v>
      </c>
      <c r="B385" s="66"/>
      <c r="C385" s="66" t="s">
        <v>976</v>
      </c>
      <c r="D385" s="66" t="s">
        <v>2733</v>
      </c>
      <c r="E385" s="150" t="s">
        <v>1136</v>
      </c>
      <c r="F385" s="482" t="s">
        <v>1566</v>
      </c>
      <c r="G385" s="383" t="s">
        <v>1480</v>
      </c>
      <c r="H385" s="150" t="s">
        <v>1481</v>
      </c>
      <c r="I385" s="150" t="s">
        <v>1345</v>
      </c>
      <c r="J385" s="150" t="s">
        <v>1481</v>
      </c>
      <c r="K385" s="150" t="s">
        <v>1346</v>
      </c>
      <c r="L385" s="511" t="s">
        <v>639</v>
      </c>
      <c r="M385" s="392" t="s">
        <v>2734</v>
      </c>
      <c r="N385" s="343"/>
      <c r="O385" s="343"/>
      <c r="P385" s="70" t="s">
        <v>977</v>
      </c>
      <c r="Q385" s="346"/>
      <c r="R385" s="343"/>
      <c r="S385" s="346"/>
      <c r="T385" s="150" t="s">
        <v>25</v>
      </c>
      <c r="U385" s="150" t="s">
        <v>2914</v>
      </c>
      <c r="V385" s="403"/>
      <c r="W385" s="406">
        <v>15096</v>
      </c>
      <c r="X385" s="406">
        <v>0</v>
      </c>
      <c r="Y385" s="425"/>
      <c r="Z385" s="71"/>
      <c r="AA385" s="426"/>
      <c r="AB385" s="427"/>
      <c r="AC385" s="427"/>
      <c r="AD385" s="428" t="s">
        <v>1142</v>
      </c>
      <c r="AE385" s="429">
        <v>0</v>
      </c>
      <c r="AF385" s="429">
        <v>0</v>
      </c>
      <c r="AG385" s="360">
        <v>0</v>
      </c>
      <c r="AH385" s="360">
        <v>0</v>
      </c>
      <c r="AI385" s="360">
        <v>0</v>
      </c>
      <c r="AJ385" s="360">
        <v>0</v>
      </c>
      <c r="AK385" s="360">
        <v>0</v>
      </c>
      <c r="AL385" s="360">
        <v>0</v>
      </c>
      <c r="AM385" s="360">
        <f t="shared" si="21"/>
        <v>0</v>
      </c>
      <c r="AN385" s="362">
        <f>ERP_26[[#This Row],[2026 Working Total]]-ERP_26[[#This Row],[LE2 Final Submission]]</f>
        <v>0</v>
      </c>
      <c r="AO385" s="79">
        <v>0</v>
      </c>
      <c r="AP385" s="79">
        <f t="shared" si="16"/>
        <v>0</v>
      </c>
      <c r="AQ385" s="374">
        <f>SUM(ERP_26[[#This Row],[AP01]:[AP06]])-SUM(ERP_26[[#This Row],[AP01 LE2]:[AP06 LE2]])</f>
        <v>0</v>
      </c>
      <c r="AR385" s="80"/>
      <c r="AS385" s="79">
        <f>ERP_26[[#This Row],[2026 Working Total to Budget/LE]]-ERP_26[[#This Row],[Giveback]]</f>
        <v>0</v>
      </c>
      <c r="AT385" s="81"/>
      <c r="AU385" s="375"/>
      <c r="AV385" s="375"/>
      <c r="AW385" s="375"/>
      <c r="AX385" s="375">
        <v>0</v>
      </c>
      <c r="AY385" s="375">
        <v>0</v>
      </c>
      <c r="AZ385" s="375">
        <v>0</v>
      </c>
      <c r="BA385" s="375">
        <v>0</v>
      </c>
      <c r="BB385" s="375">
        <v>0</v>
      </c>
      <c r="BC385" s="375">
        <v>0</v>
      </c>
      <c r="BD385" s="375">
        <v>0</v>
      </c>
      <c r="BE385" s="375">
        <v>0</v>
      </c>
      <c r="BF385" s="375">
        <v>0</v>
      </c>
      <c r="BG385" s="375">
        <v>0</v>
      </c>
      <c r="BH385" s="79"/>
      <c r="BI385" s="79"/>
      <c r="BJ385" s="79"/>
      <c r="BK385" s="79"/>
      <c r="BL385" s="79"/>
      <c r="BM385" s="79">
        <v>15096</v>
      </c>
      <c r="BN385" s="79">
        <v>0</v>
      </c>
      <c r="BO385" s="79">
        <v>0</v>
      </c>
      <c r="BP385" s="79">
        <v>0</v>
      </c>
      <c r="BQ385" s="79">
        <v>0</v>
      </c>
      <c r="BR385" s="79">
        <v>0</v>
      </c>
      <c r="BS385" s="79">
        <v>0</v>
      </c>
      <c r="BT385" s="79">
        <v>15096</v>
      </c>
    </row>
    <row r="386" spans="1:72" ht="15" customHeight="1">
      <c r="A386" s="79" t="s">
        <v>2736</v>
      </c>
      <c r="B386" s="79"/>
      <c r="C386" s="79" t="s">
        <v>978</v>
      </c>
      <c r="D386" s="296" t="s">
        <v>2737</v>
      </c>
      <c r="E386" s="150" t="s">
        <v>1136</v>
      </c>
      <c r="F386" s="482" t="s">
        <v>1566</v>
      </c>
      <c r="G386" s="383" t="s">
        <v>1480</v>
      </c>
      <c r="H386" s="382" t="s">
        <v>1481</v>
      </c>
      <c r="I386" s="332" t="s">
        <v>1345</v>
      </c>
      <c r="J386" s="382" t="s">
        <v>1481</v>
      </c>
      <c r="K386" s="333" t="s">
        <v>1346</v>
      </c>
      <c r="L386" s="512" t="s">
        <v>639</v>
      </c>
      <c r="M386" s="394" t="s">
        <v>1486</v>
      </c>
      <c r="N386" s="343"/>
      <c r="O386" s="333"/>
      <c r="P386" s="122" t="s">
        <v>979</v>
      </c>
      <c r="Q386" s="347"/>
      <c r="R386" s="343"/>
      <c r="S386" s="348"/>
      <c r="T386" s="384" t="s">
        <v>25</v>
      </c>
      <c r="U386" s="387" t="s">
        <v>2738</v>
      </c>
      <c r="V386" s="432"/>
      <c r="W386" s="358">
        <v>120000</v>
      </c>
      <c r="X386" s="378">
        <v>0</v>
      </c>
      <c r="Y386" s="425"/>
      <c r="Z386" s="71"/>
      <c r="AA386" s="433">
        <v>0</v>
      </c>
      <c r="AB386" s="434">
        <v>0</v>
      </c>
      <c r="AC386" s="434">
        <v>0</v>
      </c>
      <c r="AD386" s="428" t="s">
        <v>1142</v>
      </c>
      <c r="AE386" s="429">
        <v>0</v>
      </c>
      <c r="AF386" s="429">
        <v>0</v>
      </c>
      <c r="AG386" s="388">
        <f t="shared" ref="AG386:AL386" si="24">20000-20000</f>
        <v>0</v>
      </c>
      <c r="AH386" s="388">
        <f t="shared" si="24"/>
        <v>0</v>
      </c>
      <c r="AI386" s="388">
        <f t="shared" si="24"/>
        <v>0</v>
      </c>
      <c r="AJ386" s="388">
        <f t="shared" si="24"/>
        <v>0</v>
      </c>
      <c r="AK386" s="388">
        <f t="shared" si="24"/>
        <v>0</v>
      </c>
      <c r="AL386" s="388">
        <f t="shared" si="24"/>
        <v>0</v>
      </c>
      <c r="AM386" s="360">
        <f t="shared" si="21"/>
        <v>0</v>
      </c>
      <c r="AN386" s="362">
        <f>ERP_26[[#This Row],[2026 Working Total]]-ERP_26[[#This Row],[LE2 Final Submission]]</f>
        <v>0</v>
      </c>
      <c r="AO386" s="79">
        <v>0</v>
      </c>
      <c r="AP386" s="79">
        <f t="shared" si="16"/>
        <v>0</v>
      </c>
      <c r="AQ386" s="374">
        <f>SUM(ERP_26[[#This Row],[AP01]:[AP06]])-SUM(ERP_26[[#This Row],[AP01 LE2]:[AP06 LE2]])</f>
        <v>0</v>
      </c>
      <c r="AR386" s="80"/>
      <c r="AS386" s="79">
        <f>ERP_26[[#This Row],[2026 Working Total to Budget/LE]]-ERP_26[[#This Row],[Giveback]]</f>
        <v>0</v>
      </c>
      <c r="AT386" s="81" t="s">
        <v>2739</v>
      </c>
      <c r="AU386" s="375">
        <v>0</v>
      </c>
      <c r="AV386" s="375">
        <v>0</v>
      </c>
      <c r="AW386" s="375">
        <v>0</v>
      </c>
      <c r="AX386" s="375">
        <v>0</v>
      </c>
      <c r="AY386" s="375">
        <v>0</v>
      </c>
      <c r="AZ386" s="375">
        <v>0</v>
      </c>
      <c r="BA386" s="375">
        <v>0</v>
      </c>
      <c r="BB386" s="375">
        <v>0</v>
      </c>
      <c r="BC386" s="375">
        <v>0</v>
      </c>
      <c r="BD386" s="375">
        <v>0</v>
      </c>
      <c r="BE386" s="375">
        <v>0</v>
      </c>
      <c r="BF386" s="375">
        <v>0</v>
      </c>
      <c r="BG386" s="375">
        <v>0</v>
      </c>
      <c r="BH386" s="103">
        <v>0</v>
      </c>
      <c r="BI386" s="103">
        <v>0</v>
      </c>
      <c r="BJ386" s="103">
        <v>0</v>
      </c>
      <c r="BK386" s="103">
        <v>0</v>
      </c>
      <c r="BL386" s="103">
        <v>0</v>
      </c>
      <c r="BM386" s="103">
        <v>0</v>
      </c>
      <c r="BN386" s="103">
        <v>20000</v>
      </c>
      <c r="BO386" s="103">
        <v>20000</v>
      </c>
      <c r="BP386" s="103">
        <v>20000</v>
      </c>
      <c r="BQ386" s="103">
        <v>20000</v>
      </c>
      <c r="BR386" s="103">
        <v>20000</v>
      </c>
      <c r="BS386" s="103">
        <v>20000</v>
      </c>
      <c r="BT386" s="79">
        <f>SUM(ERP_26[[#This Row],[2026 AP01]:[2026 AP12]])</f>
        <v>120000</v>
      </c>
    </row>
    <row r="387" spans="1:72" ht="15" customHeight="1">
      <c r="A387" s="66" t="s">
        <v>2875</v>
      </c>
      <c r="B387" s="66"/>
      <c r="C387" s="66" t="s">
        <v>34</v>
      </c>
      <c r="D387" s="66" t="s">
        <v>34</v>
      </c>
      <c r="E387" s="150" t="s">
        <v>1136</v>
      </c>
      <c r="F387" s="482" t="s">
        <v>1566</v>
      </c>
      <c r="G387" s="150" t="s">
        <v>1515</v>
      </c>
      <c r="H387" s="383" t="s">
        <v>1515</v>
      </c>
      <c r="I387" s="150" t="s">
        <v>1345</v>
      </c>
      <c r="J387" s="150" t="s">
        <v>1515</v>
      </c>
      <c r="K387" s="150" t="s">
        <v>1346</v>
      </c>
      <c r="L387" s="511" t="s">
        <v>22</v>
      </c>
      <c r="M387" s="392" t="s">
        <v>2868</v>
      </c>
      <c r="N387" s="343"/>
      <c r="O387" s="343"/>
      <c r="P387" s="70" t="s">
        <v>24</v>
      </c>
      <c r="Q387" s="346" t="s">
        <v>1139</v>
      </c>
      <c r="R387" s="346" t="s">
        <v>1140</v>
      </c>
      <c r="S387" s="346"/>
      <c r="T387" s="150" t="s">
        <v>25</v>
      </c>
      <c r="U387" s="150"/>
      <c r="V387" s="403"/>
      <c r="W387" s="406">
        <v>0</v>
      </c>
      <c r="X387" s="406">
        <v>0</v>
      </c>
      <c r="Y387" s="425"/>
      <c r="Z387" s="71"/>
      <c r="AA387" s="426"/>
      <c r="AB387" s="427"/>
      <c r="AC387" s="427"/>
      <c r="AD387" s="428" t="s">
        <v>1142</v>
      </c>
      <c r="AE387" s="429">
        <v>0</v>
      </c>
      <c r="AF387" s="429">
        <v>0</v>
      </c>
      <c r="AG387" s="360">
        <v>0</v>
      </c>
      <c r="AH387" s="360">
        <v>0</v>
      </c>
      <c r="AI387" s="360">
        <v>0</v>
      </c>
      <c r="AJ387" s="360">
        <v>0</v>
      </c>
      <c r="AK387" s="360">
        <v>0</v>
      </c>
      <c r="AL387" s="360">
        <v>0</v>
      </c>
      <c r="AM387" s="360">
        <f t="shared" si="21"/>
        <v>0</v>
      </c>
      <c r="AN387" s="362">
        <f>ERP_26[[#This Row],[2026 Working Total]]-ERP_26[[#This Row],[LE2 Final Submission]]</f>
        <v>0</v>
      </c>
      <c r="AO387" s="79">
        <v>0</v>
      </c>
      <c r="AP387" s="79">
        <f t="shared" si="16"/>
        <v>0</v>
      </c>
      <c r="AQ387" s="374">
        <f>SUM(ERP_26[[#This Row],[AP01]:[AP06]])-SUM(ERP_26[[#This Row],[AP01 LE2]:[AP06 LE2]])</f>
        <v>0</v>
      </c>
      <c r="AR387" s="80"/>
      <c r="AS387" s="79">
        <f>ERP_26[[#This Row],[2026 Working Total to Budget/LE]]-ERP_26[[#This Row],[Giveback]]</f>
        <v>0</v>
      </c>
      <c r="AT387" s="81"/>
      <c r="AU387" s="375"/>
      <c r="AV387" s="375"/>
      <c r="AW387" s="375"/>
      <c r="AX387" s="375">
        <v>0</v>
      </c>
      <c r="AY387" s="375">
        <v>0</v>
      </c>
      <c r="AZ387" s="375">
        <v>0</v>
      </c>
      <c r="BA387" s="375">
        <v>0</v>
      </c>
      <c r="BB387" s="375">
        <v>0</v>
      </c>
      <c r="BC387" s="375">
        <v>0</v>
      </c>
      <c r="BD387" s="375">
        <v>0</v>
      </c>
      <c r="BE387" s="375">
        <v>0</v>
      </c>
      <c r="BF387" s="375">
        <v>0</v>
      </c>
      <c r="BG387" s="375">
        <v>0</v>
      </c>
      <c r="BH387" s="79">
        <v>1989.38</v>
      </c>
      <c r="BI387" s="79">
        <v>2792.24</v>
      </c>
      <c r="BJ387" s="79">
        <v>4195.3599999999997</v>
      </c>
      <c r="BK387" s="79">
        <v>0</v>
      </c>
      <c r="BL387" s="79">
        <v>0</v>
      </c>
      <c r="BM387" s="79">
        <v>0</v>
      </c>
      <c r="BN387" s="79">
        <v>0</v>
      </c>
      <c r="BO387" s="79">
        <v>0</v>
      </c>
      <c r="BP387" s="79">
        <v>0</v>
      </c>
      <c r="BQ387" s="79">
        <v>0</v>
      </c>
      <c r="BR387" s="79">
        <v>0</v>
      </c>
      <c r="BS387" s="79">
        <v>0</v>
      </c>
      <c r="BT387" s="79">
        <v>8976.98</v>
      </c>
    </row>
    <row r="388" spans="1:72" ht="15" customHeight="1">
      <c r="A388" s="66" t="s">
        <v>2876</v>
      </c>
      <c r="B388" s="66"/>
      <c r="C388" s="66" t="s">
        <v>35</v>
      </c>
      <c r="D388" s="66" t="s">
        <v>35</v>
      </c>
      <c r="E388" s="150" t="s">
        <v>1136</v>
      </c>
      <c r="F388" s="482" t="s">
        <v>1566</v>
      </c>
      <c r="G388" s="150" t="s">
        <v>1515</v>
      </c>
      <c r="H388" s="383" t="s">
        <v>1515</v>
      </c>
      <c r="I388" s="150" t="s">
        <v>1345</v>
      </c>
      <c r="J388" s="150" t="s">
        <v>1515</v>
      </c>
      <c r="K388" s="150" t="s">
        <v>1346</v>
      </c>
      <c r="L388" s="511" t="s">
        <v>22</v>
      </c>
      <c r="M388" s="392" t="s">
        <v>2870</v>
      </c>
      <c r="N388" s="343"/>
      <c r="O388" s="343"/>
      <c r="P388" s="70" t="s">
        <v>27</v>
      </c>
      <c r="Q388" s="346" t="s">
        <v>1139</v>
      </c>
      <c r="R388" s="346" t="s">
        <v>1140</v>
      </c>
      <c r="S388" s="346"/>
      <c r="T388" s="150" t="s">
        <v>25</v>
      </c>
      <c r="U388" s="150"/>
      <c r="V388" s="403"/>
      <c r="W388" s="406">
        <v>0</v>
      </c>
      <c r="X388" s="406">
        <v>0</v>
      </c>
      <c r="Y388" s="425"/>
      <c r="Z388" s="71"/>
      <c r="AA388" s="426"/>
      <c r="AB388" s="427"/>
      <c r="AC388" s="427"/>
      <c r="AD388" s="428" t="s">
        <v>1142</v>
      </c>
      <c r="AE388" s="429">
        <v>0</v>
      </c>
      <c r="AF388" s="429">
        <v>0</v>
      </c>
      <c r="AG388" s="360">
        <v>0</v>
      </c>
      <c r="AH388" s="360">
        <v>0</v>
      </c>
      <c r="AI388" s="360">
        <v>0</v>
      </c>
      <c r="AJ388" s="360">
        <v>0</v>
      </c>
      <c r="AK388" s="360">
        <v>0</v>
      </c>
      <c r="AL388" s="360">
        <v>0</v>
      </c>
      <c r="AM388" s="360">
        <f t="shared" si="21"/>
        <v>0</v>
      </c>
      <c r="AN388" s="362">
        <f>ERP_26[[#This Row],[2026 Working Total]]-ERP_26[[#This Row],[LE2 Final Submission]]</f>
        <v>0</v>
      </c>
      <c r="AO388" s="79">
        <v>0</v>
      </c>
      <c r="AP388" s="79">
        <f t="shared" si="16"/>
        <v>0</v>
      </c>
      <c r="AQ388" s="374">
        <f>SUM(ERP_26[[#This Row],[AP01]:[AP06]])-SUM(ERP_26[[#This Row],[AP01 LE2]:[AP06 LE2]])</f>
        <v>0</v>
      </c>
      <c r="AR388" s="80"/>
      <c r="AS388" s="79">
        <f>ERP_26[[#This Row],[2026 Working Total to Budget/LE]]-ERP_26[[#This Row],[Giveback]]</f>
        <v>0</v>
      </c>
      <c r="AT388" s="81"/>
      <c r="AU388" s="375"/>
      <c r="AV388" s="375"/>
      <c r="AW388" s="375"/>
      <c r="AX388" s="375">
        <v>0</v>
      </c>
      <c r="AY388" s="375">
        <v>0</v>
      </c>
      <c r="AZ388" s="375">
        <v>0</v>
      </c>
      <c r="BA388" s="375">
        <v>0</v>
      </c>
      <c r="BB388" s="375">
        <v>0</v>
      </c>
      <c r="BC388" s="375">
        <v>0</v>
      </c>
      <c r="BD388" s="375">
        <v>0</v>
      </c>
      <c r="BE388" s="375">
        <v>0</v>
      </c>
      <c r="BF388" s="375">
        <v>0</v>
      </c>
      <c r="BG388" s="375">
        <v>0</v>
      </c>
      <c r="BH388" s="79">
        <v>2651.11</v>
      </c>
      <c r="BI388" s="79">
        <v>1336.03</v>
      </c>
      <c r="BJ388" s="79">
        <v>1800.7</v>
      </c>
      <c r="BK388" s="79">
        <v>0</v>
      </c>
      <c r="BL388" s="79">
        <v>0</v>
      </c>
      <c r="BM388" s="79">
        <v>0</v>
      </c>
      <c r="BN388" s="79">
        <v>0</v>
      </c>
      <c r="BO388" s="79">
        <v>0</v>
      </c>
      <c r="BP388" s="79">
        <v>0</v>
      </c>
      <c r="BQ388" s="79">
        <v>0</v>
      </c>
      <c r="BR388" s="79">
        <v>0</v>
      </c>
      <c r="BS388" s="79">
        <v>0</v>
      </c>
      <c r="BT388" s="79">
        <v>5787.84</v>
      </c>
    </row>
    <row r="389" spans="1:72" ht="15" customHeight="1">
      <c r="A389" s="66" t="s">
        <v>2877</v>
      </c>
      <c r="B389" s="66"/>
      <c r="C389" s="66" t="s">
        <v>36</v>
      </c>
      <c r="D389" s="66" t="s">
        <v>36</v>
      </c>
      <c r="E389" s="150" t="s">
        <v>1136</v>
      </c>
      <c r="F389" s="482" t="s">
        <v>1566</v>
      </c>
      <c r="G389" s="150" t="s">
        <v>1515</v>
      </c>
      <c r="H389" s="383" t="s">
        <v>1515</v>
      </c>
      <c r="I389" s="150" t="s">
        <v>1345</v>
      </c>
      <c r="J389" s="150" t="s">
        <v>1515</v>
      </c>
      <c r="K389" s="150" t="s">
        <v>1346</v>
      </c>
      <c r="L389" s="511" t="s">
        <v>22</v>
      </c>
      <c r="M389" s="392" t="s">
        <v>2872</v>
      </c>
      <c r="N389" s="343"/>
      <c r="O389" s="343"/>
      <c r="P389" s="70" t="s">
        <v>29</v>
      </c>
      <c r="Q389" s="346" t="s">
        <v>1139</v>
      </c>
      <c r="R389" s="346" t="s">
        <v>1140</v>
      </c>
      <c r="S389" s="346"/>
      <c r="T389" s="150" t="s">
        <v>25</v>
      </c>
      <c r="U389" s="150"/>
      <c r="V389" s="403"/>
      <c r="W389" s="406">
        <v>0</v>
      </c>
      <c r="X389" s="406">
        <v>0</v>
      </c>
      <c r="Y389" s="430"/>
      <c r="Z389" s="137"/>
      <c r="AA389" s="426"/>
      <c r="AB389" s="427"/>
      <c r="AC389" s="427"/>
      <c r="AD389" s="480"/>
      <c r="AE389" s="481"/>
      <c r="AF389" s="429">
        <v>14481.86</v>
      </c>
      <c r="AG389" s="360">
        <v>0</v>
      </c>
      <c r="AH389" s="360">
        <v>0</v>
      </c>
      <c r="AI389" s="360">
        <v>0</v>
      </c>
      <c r="AJ389" s="360">
        <v>0</v>
      </c>
      <c r="AK389" s="360">
        <v>0</v>
      </c>
      <c r="AL389" s="360">
        <v>0</v>
      </c>
      <c r="AM389" s="360">
        <f t="shared" si="21"/>
        <v>14481.86</v>
      </c>
      <c r="AN389" s="362">
        <f>ERP_26[[#This Row],[2026 Working Total]]-ERP_26[[#This Row],[LE2 Final Submission]]</f>
        <v>14481.86</v>
      </c>
      <c r="AO389" s="79">
        <v>0</v>
      </c>
      <c r="AP389" s="79">
        <f t="shared" si="16"/>
        <v>14481.86</v>
      </c>
      <c r="AQ389" s="374">
        <f>SUM(ERP_26[[#This Row],[AP01]:[AP06]])-SUM(ERP_26[[#This Row],[AP01 LE2]:[AP06 LE2]])</f>
        <v>14481.86</v>
      </c>
      <c r="AR389" s="80"/>
      <c r="AS389" s="79">
        <f>ERP_26[[#This Row],[2026 Working Total to Budget/LE]]-ERP_26[[#This Row],[Giveback]]</f>
        <v>14481.86</v>
      </c>
      <c r="AT389" s="81"/>
      <c r="AU389" s="375"/>
      <c r="AV389" s="375"/>
      <c r="AW389" s="375"/>
      <c r="AX389" s="375">
        <v>0</v>
      </c>
      <c r="AY389" s="375">
        <v>0</v>
      </c>
      <c r="AZ389" s="375">
        <v>0</v>
      </c>
      <c r="BA389" s="375">
        <v>0</v>
      </c>
      <c r="BB389" s="375">
        <v>0</v>
      </c>
      <c r="BC389" s="375">
        <v>0</v>
      </c>
      <c r="BD389" s="375">
        <v>0</v>
      </c>
      <c r="BE389" s="375">
        <v>0</v>
      </c>
      <c r="BF389" s="375">
        <v>0</v>
      </c>
      <c r="BG389" s="375">
        <v>0</v>
      </c>
      <c r="BH389" s="79">
        <v>9779.9</v>
      </c>
      <c r="BI389" s="79">
        <v>9779.8799999999992</v>
      </c>
      <c r="BJ389" s="79">
        <v>9779.8799999999992</v>
      </c>
      <c r="BK389" s="79">
        <v>0</v>
      </c>
      <c r="BL389" s="79">
        <v>0</v>
      </c>
      <c r="BM389" s="79">
        <v>0</v>
      </c>
      <c r="BN389" s="79">
        <v>0</v>
      </c>
      <c r="BO389" s="79">
        <v>0</v>
      </c>
      <c r="BP389" s="79">
        <v>0</v>
      </c>
      <c r="BQ389" s="79">
        <v>0</v>
      </c>
      <c r="BR389" s="79">
        <v>0</v>
      </c>
      <c r="BS389" s="79">
        <v>0</v>
      </c>
      <c r="BT389" s="79">
        <v>29339.659999999996</v>
      </c>
    </row>
    <row r="390" spans="1:72" ht="15" customHeight="1">
      <c r="A390" s="79" t="s">
        <v>1514</v>
      </c>
      <c r="B390" s="79"/>
      <c r="C390" s="79" t="s">
        <v>238</v>
      </c>
      <c r="D390" s="296" t="s">
        <v>238</v>
      </c>
      <c r="E390" s="150" t="s">
        <v>1136</v>
      </c>
      <c r="F390" s="482" t="s">
        <v>1566</v>
      </c>
      <c r="G390" s="383" t="s">
        <v>1515</v>
      </c>
      <c r="H390" s="383" t="s">
        <v>1515</v>
      </c>
      <c r="I390" s="332" t="s">
        <v>1345</v>
      </c>
      <c r="J390" s="383" t="s">
        <v>1515</v>
      </c>
      <c r="K390" s="331" t="s">
        <v>1346</v>
      </c>
      <c r="L390" s="512" t="s">
        <v>49</v>
      </c>
      <c r="M390" s="393" t="s">
        <v>1516</v>
      </c>
      <c r="N390" s="343"/>
      <c r="O390" s="331"/>
      <c r="P390" s="91" t="s">
        <v>239</v>
      </c>
      <c r="Q390" s="343"/>
      <c r="R390" s="343"/>
      <c r="S390" s="348"/>
      <c r="T390" s="386" t="s">
        <v>152</v>
      </c>
      <c r="U390" s="389" t="s">
        <v>1517</v>
      </c>
      <c r="V390" s="432"/>
      <c r="W390" s="358">
        <v>200000</v>
      </c>
      <c r="X390" s="378">
        <v>0</v>
      </c>
      <c r="Y390" s="425"/>
      <c r="Z390" s="71"/>
      <c r="AA390" s="433"/>
      <c r="AB390" s="434"/>
      <c r="AC390" s="434"/>
      <c r="AD390" s="428" t="s">
        <v>1142</v>
      </c>
      <c r="AE390" s="429">
        <v>0</v>
      </c>
      <c r="AF390" s="429">
        <v>0</v>
      </c>
      <c r="AG390" s="388">
        <v>0</v>
      </c>
      <c r="AH390" s="388">
        <v>0</v>
      </c>
      <c r="AI390" s="388">
        <v>0</v>
      </c>
      <c r="AJ390" s="388">
        <v>0</v>
      </c>
      <c r="AK390" s="388">
        <v>0</v>
      </c>
      <c r="AL390" s="388">
        <v>0</v>
      </c>
      <c r="AM390" s="360">
        <f t="shared" si="21"/>
        <v>0</v>
      </c>
      <c r="AN390" s="362">
        <f>ERP_26[[#This Row],[2026 Working Total]]-ERP_26[[#This Row],[LE2 Final Submission]]</f>
        <v>0</v>
      </c>
      <c r="AO390" s="79">
        <v>0</v>
      </c>
      <c r="AP390" s="79">
        <f t="shared" si="16"/>
        <v>0</v>
      </c>
      <c r="AQ390" s="374">
        <f>SUM(ERP_26[[#This Row],[AP01]:[AP06]])-SUM(ERP_26[[#This Row],[AP01 LE2]:[AP06 LE2]])</f>
        <v>0</v>
      </c>
      <c r="AR390" s="80"/>
      <c r="AS390" s="79">
        <f>ERP_26[[#This Row],[2026 Working Total to Budget/LE]]-ERP_26[[#This Row],[Giveback]]</f>
        <v>0</v>
      </c>
      <c r="AT390" s="119" t="s">
        <v>1518</v>
      </c>
      <c r="AU390" s="377"/>
      <c r="AV390" s="377"/>
      <c r="AW390" s="377"/>
      <c r="AX390" s="377">
        <v>0</v>
      </c>
      <c r="AY390" s="377">
        <v>0</v>
      </c>
      <c r="AZ390" s="377">
        <v>0</v>
      </c>
      <c r="BA390" s="377">
        <v>0</v>
      </c>
      <c r="BB390" s="377">
        <v>0</v>
      </c>
      <c r="BC390" s="377">
        <v>0</v>
      </c>
      <c r="BD390" s="377">
        <v>0</v>
      </c>
      <c r="BE390" s="377">
        <v>0</v>
      </c>
      <c r="BF390" s="377">
        <v>0</v>
      </c>
      <c r="BG390" s="377">
        <v>0</v>
      </c>
      <c r="BH390" s="103">
        <v>16667</v>
      </c>
      <c r="BI390" s="103">
        <v>16667</v>
      </c>
      <c r="BJ390" s="103">
        <v>16667</v>
      </c>
      <c r="BK390" s="103">
        <v>16667</v>
      </c>
      <c r="BL390" s="103">
        <v>16667</v>
      </c>
      <c r="BM390" s="103">
        <v>16667</v>
      </c>
      <c r="BN390" s="103">
        <v>16667</v>
      </c>
      <c r="BO390" s="103">
        <v>16667</v>
      </c>
      <c r="BP390" s="103">
        <v>16666</v>
      </c>
      <c r="BQ390" s="103">
        <v>16666</v>
      </c>
      <c r="BR390" s="103">
        <v>16666</v>
      </c>
      <c r="BS390" s="103">
        <v>16666</v>
      </c>
      <c r="BT390" s="79">
        <f>SUM(ERP_26[[#This Row],[2026 AP01]:[2026 AP12]])</f>
        <v>200000</v>
      </c>
    </row>
    <row r="391" spans="1:72" ht="15" customHeight="1">
      <c r="A391" s="66" t="s">
        <v>1519</v>
      </c>
      <c r="B391" s="66"/>
      <c r="C391" s="66" t="s">
        <v>240</v>
      </c>
      <c r="D391" s="66" t="s">
        <v>240</v>
      </c>
      <c r="E391" s="150" t="s">
        <v>1136</v>
      </c>
      <c r="F391" s="482" t="s">
        <v>1566</v>
      </c>
      <c r="G391" s="150" t="s">
        <v>1515</v>
      </c>
      <c r="H391" s="383" t="s">
        <v>1515</v>
      </c>
      <c r="I391" s="150" t="s">
        <v>1345</v>
      </c>
      <c r="J391" s="150" t="s">
        <v>1515</v>
      </c>
      <c r="K391" s="150" t="s">
        <v>1346</v>
      </c>
      <c r="L391" s="511" t="s">
        <v>49</v>
      </c>
      <c r="M391" s="392" t="s">
        <v>1520</v>
      </c>
      <c r="N391" s="343"/>
      <c r="O391" s="343"/>
      <c r="P391" s="70" t="s">
        <v>241</v>
      </c>
      <c r="Q391" s="346"/>
      <c r="R391" s="343"/>
      <c r="S391" s="346"/>
      <c r="T391" s="150" t="s">
        <v>152</v>
      </c>
      <c r="U391" s="150" t="s">
        <v>1521</v>
      </c>
      <c r="V391" s="403"/>
      <c r="W391" s="406">
        <v>150000</v>
      </c>
      <c r="X391" s="406">
        <v>0</v>
      </c>
      <c r="Y391" s="425"/>
      <c r="Z391" s="71"/>
      <c r="AA391" s="426"/>
      <c r="AB391" s="427"/>
      <c r="AC391" s="427"/>
      <c r="AD391" s="428" t="s">
        <v>1142</v>
      </c>
      <c r="AE391" s="429">
        <v>0</v>
      </c>
      <c r="AF391" s="429">
        <v>0</v>
      </c>
      <c r="AG391" s="363">
        <v>0</v>
      </c>
      <c r="AH391" s="363">
        <v>0</v>
      </c>
      <c r="AI391" s="363">
        <v>0</v>
      </c>
      <c r="AJ391" s="363">
        <v>0</v>
      </c>
      <c r="AK391" s="363">
        <v>0</v>
      </c>
      <c r="AL391" s="363">
        <v>0</v>
      </c>
      <c r="AM391" s="360">
        <f t="shared" si="21"/>
        <v>0</v>
      </c>
      <c r="AN391" s="362">
        <f>ERP_26[[#This Row],[2026 Working Total]]-ERP_26[[#This Row],[LE2 Final Submission]]</f>
        <v>0</v>
      </c>
      <c r="AO391" s="79">
        <v>0</v>
      </c>
      <c r="AP391" s="79">
        <f t="shared" si="16"/>
        <v>0</v>
      </c>
      <c r="AQ391" s="374">
        <f>SUM(ERP_26[[#This Row],[AP01]:[AP06]])-SUM(ERP_26[[#This Row],[AP01 LE2]:[AP06 LE2]])</f>
        <v>0</v>
      </c>
      <c r="AR391" s="80"/>
      <c r="AS391" s="79">
        <f>ERP_26[[#This Row],[2026 Working Total to Budget/LE]]-ERP_26[[#This Row],[Giveback]]</f>
        <v>0</v>
      </c>
      <c r="AT391" s="81"/>
      <c r="AU391" s="375"/>
      <c r="AV391" s="375"/>
      <c r="AW391" s="375"/>
      <c r="AX391" s="375">
        <v>0</v>
      </c>
      <c r="AY391" s="375">
        <v>0</v>
      </c>
      <c r="AZ391" s="375">
        <v>0</v>
      </c>
      <c r="BA391" s="375">
        <v>0</v>
      </c>
      <c r="BB391" s="375">
        <v>0</v>
      </c>
      <c r="BC391" s="375">
        <v>0</v>
      </c>
      <c r="BD391" s="375">
        <v>0</v>
      </c>
      <c r="BE391" s="375">
        <v>0</v>
      </c>
      <c r="BF391" s="375">
        <v>0</v>
      </c>
      <c r="BG391" s="375">
        <v>0</v>
      </c>
      <c r="BH391" s="79"/>
      <c r="BI391" s="79"/>
      <c r="BJ391" s="79"/>
      <c r="BK391" s="79">
        <v>12500</v>
      </c>
      <c r="BL391" s="79">
        <v>12500</v>
      </c>
      <c r="BM391" s="79">
        <v>12500</v>
      </c>
      <c r="BN391" s="79">
        <v>12500</v>
      </c>
      <c r="BO391" s="79">
        <v>12500</v>
      </c>
      <c r="BP391" s="79">
        <v>12500</v>
      </c>
      <c r="BQ391" s="79">
        <v>12500</v>
      </c>
      <c r="BR391" s="79">
        <v>12500</v>
      </c>
      <c r="BS391" s="79">
        <v>12500</v>
      </c>
      <c r="BT391" s="79">
        <v>112500</v>
      </c>
    </row>
    <row r="392" spans="1:72" ht="15" customHeight="1">
      <c r="A392" s="79" t="s">
        <v>1522</v>
      </c>
      <c r="B392" s="79"/>
      <c r="C392" s="79" t="s">
        <v>242</v>
      </c>
      <c r="D392" s="296" t="s">
        <v>242</v>
      </c>
      <c r="E392" s="150" t="s">
        <v>1136</v>
      </c>
      <c r="F392" s="482" t="s">
        <v>1566</v>
      </c>
      <c r="G392" s="383" t="s">
        <v>1515</v>
      </c>
      <c r="H392" s="383" t="s">
        <v>1515</v>
      </c>
      <c r="I392" s="332" t="s">
        <v>1345</v>
      </c>
      <c r="J392" s="383" t="s">
        <v>1515</v>
      </c>
      <c r="K392" s="331" t="s">
        <v>1346</v>
      </c>
      <c r="L392" s="512" t="s">
        <v>49</v>
      </c>
      <c r="M392" s="393" t="s">
        <v>1523</v>
      </c>
      <c r="N392" s="343"/>
      <c r="O392" s="331"/>
      <c r="P392" s="91" t="s">
        <v>243</v>
      </c>
      <c r="Q392" s="343"/>
      <c r="R392" s="343"/>
      <c r="S392" s="348"/>
      <c r="T392" s="386" t="s">
        <v>152</v>
      </c>
      <c r="U392" s="389" t="s">
        <v>1348</v>
      </c>
      <c r="V392" s="432"/>
      <c r="W392" s="358">
        <v>-199716</v>
      </c>
      <c r="X392" s="378">
        <v>-149787</v>
      </c>
      <c r="Y392" s="430"/>
      <c r="Z392" s="137"/>
      <c r="AA392" s="433"/>
      <c r="AB392" s="434"/>
      <c r="AC392" s="434"/>
      <c r="AD392" s="428" t="s">
        <v>1142</v>
      </c>
      <c r="AE392" s="429">
        <v>0</v>
      </c>
      <c r="AF392" s="429">
        <v>0</v>
      </c>
      <c r="AG392" s="388">
        <v>-16643</v>
      </c>
      <c r="AH392" s="388">
        <v>-16643</v>
      </c>
      <c r="AI392" s="388">
        <v>-16643</v>
      </c>
      <c r="AJ392" s="388">
        <v>-16643</v>
      </c>
      <c r="AK392" s="388">
        <v>-16643</v>
      </c>
      <c r="AL392" s="388">
        <v>-16643</v>
      </c>
      <c r="AM392" s="360">
        <f t="shared" si="21"/>
        <v>-99858</v>
      </c>
      <c r="AN392" s="362">
        <f>ERP_26[[#This Row],[2026 Working Total]]-ERP_26[[#This Row],[LE2 Final Submission]]</f>
        <v>49929</v>
      </c>
      <c r="AO392" s="79">
        <v>154.58333300000001</v>
      </c>
      <c r="AP392" s="79">
        <f t="shared" ref="AP392:AP455" si="25">$AF392 - $AO392</f>
        <v>-154.58333300000001</v>
      </c>
      <c r="AQ392" s="374">
        <f>SUM(ERP_26[[#This Row],[AP01]:[AP06]])-SUM(ERP_26[[#This Row],[AP01 LE2]:[AP06 LE2]])</f>
        <v>49929</v>
      </c>
      <c r="AR392" s="80"/>
      <c r="AS392" s="79">
        <f>ERP_26[[#This Row],[2026 Working Total to Budget/LE]]-ERP_26[[#This Row],[Giveback]]</f>
        <v>49929</v>
      </c>
      <c r="AT392" s="81"/>
      <c r="AU392" s="375"/>
      <c r="AV392" s="375"/>
      <c r="AW392" s="375"/>
      <c r="AX392" s="375">
        <v>-16643</v>
      </c>
      <c r="AY392" s="375">
        <v>-16643</v>
      </c>
      <c r="AZ392" s="375">
        <v>-16643</v>
      </c>
      <c r="BA392" s="375">
        <v>-16643</v>
      </c>
      <c r="BB392" s="375">
        <v>-16643</v>
      </c>
      <c r="BC392" s="375">
        <v>-16643</v>
      </c>
      <c r="BD392" s="375">
        <v>-16643</v>
      </c>
      <c r="BE392" s="375">
        <v>-16643</v>
      </c>
      <c r="BF392" s="375">
        <v>-16643</v>
      </c>
      <c r="BG392" s="375">
        <v>-149787</v>
      </c>
      <c r="BH392" s="103">
        <v>-16643</v>
      </c>
      <c r="BI392" s="103">
        <v>-16643</v>
      </c>
      <c r="BJ392" s="103">
        <v>-16643</v>
      </c>
      <c r="BK392" s="103">
        <v>-16643</v>
      </c>
      <c r="BL392" s="103">
        <v>-16643</v>
      </c>
      <c r="BM392" s="103">
        <v>-16643</v>
      </c>
      <c r="BN392" s="103">
        <v>-16643</v>
      </c>
      <c r="BO392" s="103">
        <v>-16643</v>
      </c>
      <c r="BP392" s="103">
        <v>-16643</v>
      </c>
      <c r="BQ392" s="103">
        <v>-16643</v>
      </c>
      <c r="BR392" s="103">
        <v>-16643</v>
      </c>
      <c r="BS392" s="103">
        <v>-16643</v>
      </c>
      <c r="BT392" s="79">
        <f>SUM(ERP_26[[#This Row],[2026 AP01]:[2026 AP12]])</f>
        <v>-199716</v>
      </c>
    </row>
    <row r="393" spans="1:72" ht="15" customHeight="1">
      <c r="A393" s="79" t="s">
        <v>1525</v>
      </c>
      <c r="B393" s="79"/>
      <c r="C393" s="79" t="s">
        <v>244</v>
      </c>
      <c r="D393" s="296" t="s">
        <v>244</v>
      </c>
      <c r="E393" s="150" t="s">
        <v>1136</v>
      </c>
      <c r="F393" s="482" t="s">
        <v>1566</v>
      </c>
      <c r="G393" s="383" t="s">
        <v>1515</v>
      </c>
      <c r="H393" s="383" t="s">
        <v>1515</v>
      </c>
      <c r="I393" s="332" t="s">
        <v>1345</v>
      </c>
      <c r="J393" s="383" t="s">
        <v>1515</v>
      </c>
      <c r="K393" s="331" t="s">
        <v>1346</v>
      </c>
      <c r="L393" s="512" t="s">
        <v>49</v>
      </c>
      <c r="M393" s="393" t="s">
        <v>1526</v>
      </c>
      <c r="N393" s="343"/>
      <c r="O393" s="331"/>
      <c r="P393" s="91" t="s">
        <v>245</v>
      </c>
      <c r="Q393" s="343"/>
      <c r="R393" s="343"/>
      <c r="S393" s="348"/>
      <c r="T393" s="386" t="s">
        <v>152</v>
      </c>
      <c r="U393" s="389" t="s">
        <v>1348</v>
      </c>
      <c r="V393" s="432"/>
      <c r="W393" s="358">
        <v>-289999.99999999988</v>
      </c>
      <c r="X393" s="378">
        <v>-217500.02999999997</v>
      </c>
      <c r="Y393" s="425"/>
      <c r="Z393" s="71"/>
      <c r="AA393" s="433"/>
      <c r="AB393" s="434"/>
      <c r="AC393" s="434"/>
      <c r="AD393" s="428" t="s">
        <v>1142</v>
      </c>
      <c r="AE393" s="429">
        <v>0</v>
      </c>
      <c r="AF393" s="429">
        <v>0</v>
      </c>
      <c r="AG393" s="388">
        <v>-24166.67</v>
      </c>
      <c r="AH393" s="388">
        <v>-24166.67</v>
      </c>
      <c r="AI393" s="388">
        <v>-24166.67</v>
      </c>
      <c r="AJ393" s="388">
        <v>-24166.67</v>
      </c>
      <c r="AK393" s="388">
        <v>-24166.67</v>
      </c>
      <c r="AL393" s="388">
        <v>-24166.67</v>
      </c>
      <c r="AM393" s="360">
        <f t="shared" si="21"/>
        <v>-145000.01999999999</v>
      </c>
      <c r="AN393" s="362">
        <f>ERP_26[[#This Row],[2026 Working Total]]-ERP_26[[#This Row],[LE2 Final Submission]]</f>
        <v>72500.00999999998</v>
      </c>
      <c r="AO393" s="79">
        <v>1200</v>
      </c>
      <c r="AP393" s="79">
        <f t="shared" si="25"/>
        <v>-1200</v>
      </c>
      <c r="AQ393" s="374">
        <f>SUM(ERP_26[[#This Row],[AP01]:[AP06]])-SUM(ERP_26[[#This Row],[AP01 LE2]:[AP06 LE2]])</f>
        <v>72500.009999999995</v>
      </c>
      <c r="AR393" s="80"/>
      <c r="AS393" s="79">
        <f>ERP_26[[#This Row],[2026 Working Total to Budget/LE]]-ERP_26[[#This Row],[Giveback]]</f>
        <v>72500.00999999998</v>
      </c>
      <c r="AT393" s="81"/>
      <c r="AU393" s="375"/>
      <c r="AV393" s="375"/>
      <c r="AW393" s="375"/>
      <c r="AX393" s="375">
        <v>-24166.67</v>
      </c>
      <c r="AY393" s="375">
        <v>-24166.67</v>
      </c>
      <c r="AZ393" s="375">
        <v>-24166.67</v>
      </c>
      <c r="BA393" s="375">
        <v>-24166.67</v>
      </c>
      <c r="BB393" s="375">
        <v>-24166.67</v>
      </c>
      <c r="BC393" s="375">
        <v>-24166.67</v>
      </c>
      <c r="BD393" s="375">
        <v>-24166.67</v>
      </c>
      <c r="BE393" s="375">
        <v>-24166.67</v>
      </c>
      <c r="BF393" s="375">
        <v>-24166.67</v>
      </c>
      <c r="BG393" s="375">
        <v>-217500.02999999997</v>
      </c>
      <c r="BH393" s="103">
        <v>-24166.63</v>
      </c>
      <c r="BI393" s="103">
        <v>-24166.67</v>
      </c>
      <c r="BJ393" s="103">
        <v>-24166.67</v>
      </c>
      <c r="BK393" s="103">
        <v>-24166.67</v>
      </c>
      <c r="BL393" s="103">
        <v>-24166.67</v>
      </c>
      <c r="BM393" s="103">
        <v>-24166.67</v>
      </c>
      <c r="BN393" s="103">
        <v>-24166.67</v>
      </c>
      <c r="BO393" s="103">
        <v>-24166.67</v>
      </c>
      <c r="BP393" s="103">
        <v>-24166.67</v>
      </c>
      <c r="BQ393" s="103">
        <v>-24166.67</v>
      </c>
      <c r="BR393" s="103">
        <v>-24166.67</v>
      </c>
      <c r="BS393" s="103">
        <v>-24166.67</v>
      </c>
      <c r="BT393" s="79">
        <f>SUM(ERP_26[[#This Row],[2026 AP01]:[2026 AP12]])</f>
        <v>-289999.99999999988</v>
      </c>
    </row>
    <row r="394" spans="1:72" ht="15" customHeight="1">
      <c r="A394" s="66" t="s">
        <v>1527</v>
      </c>
      <c r="B394" s="66"/>
      <c r="C394" s="66" t="s">
        <v>246</v>
      </c>
      <c r="D394" s="66" t="s">
        <v>246</v>
      </c>
      <c r="E394" s="150" t="s">
        <v>1136</v>
      </c>
      <c r="F394" s="482" t="s">
        <v>1566</v>
      </c>
      <c r="G394" s="150" t="s">
        <v>1515</v>
      </c>
      <c r="H394" s="383" t="s">
        <v>1515</v>
      </c>
      <c r="I394" s="150" t="s">
        <v>1345</v>
      </c>
      <c r="J394" s="150" t="s">
        <v>1515</v>
      </c>
      <c r="K394" s="150" t="s">
        <v>1346</v>
      </c>
      <c r="L394" s="511" t="s">
        <v>49</v>
      </c>
      <c r="M394" s="392" t="s">
        <v>1147</v>
      </c>
      <c r="N394" s="343"/>
      <c r="O394" s="343"/>
      <c r="P394" s="70" t="s">
        <v>53</v>
      </c>
      <c r="Q394" s="346" t="s">
        <v>1153</v>
      </c>
      <c r="R394" s="343"/>
      <c r="S394" s="346"/>
      <c r="T394" s="150" t="s">
        <v>25</v>
      </c>
      <c r="U394" s="150"/>
      <c r="V394" s="403"/>
      <c r="W394" s="406">
        <v>0</v>
      </c>
      <c r="X394" s="406">
        <v>-29144</v>
      </c>
      <c r="Y394" s="425"/>
      <c r="Z394" s="71"/>
      <c r="AA394" s="426">
        <v>101571</v>
      </c>
      <c r="AB394" s="427">
        <v>-210932</v>
      </c>
      <c r="AC394" s="427">
        <v>80217</v>
      </c>
      <c r="AD394" s="428">
        <v>105632.00000000001</v>
      </c>
      <c r="AE394" s="429">
        <v>-36244</v>
      </c>
      <c r="AF394" s="429">
        <v>24284.000000000029</v>
      </c>
      <c r="AG394" s="360">
        <v>0</v>
      </c>
      <c r="AH394" s="360">
        <v>0</v>
      </c>
      <c r="AI394" s="360">
        <v>0</v>
      </c>
      <c r="AJ394" s="360">
        <v>0</v>
      </c>
      <c r="AK394" s="360">
        <v>0</v>
      </c>
      <c r="AL394" s="360">
        <v>0</v>
      </c>
      <c r="AM394" s="360">
        <f t="shared" si="21"/>
        <v>64528.000000000044</v>
      </c>
      <c r="AN394" s="362">
        <f>ERP_26[[#This Row],[2026 Working Total]]-ERP_26[[#This Row],[LE2 Final Submission]]</f>
        <v>93672.000000000044</v>
      </c>
      <c r="AO394" s="79">
        <v>0</v>
      </c>
      <c r="AP394" s="79">
        <f t="shared" si="25"/>
        <v>24284.000000000029</v>
      </c>
      <c r="AQ394" s="374">
        <f>SUM(ERP_26[[#This Row],[AP01]:[AP06]])-SUM(ERP_26[[#This Row],[AP01 LE2]:[AP06 LE2]])</f>
        <v>93672.000000000044</v>
      </c>
      <c r="AR394" s="80"/>
      <c r="AS394" s="79">
        <f>ERP_26[[#This Row],[2026 Working Total to Budget/LE]]-ERP_26[[#This Row],[Giveback]]</f>
        <v>93672.000000000044</v>
      </c>
      <c r="AT394" s="81"/>
      <c r="AU394" s="375">
        <v>101571</v>
      </c>
      <c r="AV394" s="375">
        <v>-210932</v>
      </c>
      <c r="AW394" s="375">
        <v>80217</v>
      </c>
      <c r="AX394" s="375">
        <v>0</v>
      </c>
      <c r="AY394" s="375">
        <v>0</v>
      </c>
      <c r="AZ394" s="375">
        <v>0</v>
      </c>
      <c r="BA394" s="375">
        <v>0</v>
      </c>
      <c r="BB394" s="375">
        <v>0</v>
      </c>
      <c r="BC394" s="375">
        <v>0</v>
      </c>
      <c r="BD394" s="375">
        <v>0</v>
      </c>
      <c r="BE394" s="375">
        <v>0</v>
      </c>
      <c r="BF394" s="375">
        <v>0</v>
      </c>
      <c r="BG394" s="375">
        <v>-29144</v>
      </c>
      <c r="BH394" s="79">
        <v>101571</v>
      </c>
      <c r="BI394" s="79">
        <v>-210932</v>
      </c>
      <c r="BJ394" s="79">
        <v>80217</v>
      </c>
      <c r="BK394" s="79">
        <v>0</v>
      </c>
      <c r="BL394" s="79">
        <v>0</v>
      </c>
      <c r="BM394" s="79">
        <v>0</v>
      </c>
      <c r="BN394" s="79">
        <v>0</v>
      </c>
      <c r="BO394" s="79">
        <v>0</v>
      </c>
      <c r="BP394" s="79">
        <v>0</v>
      </c>
      <c r="BQ394" s="79">
        <v>0</v>
      </c>
      <c r="BR394" s="79">
        <v>0</v>
      </c>
      <c r="BS394" s="79">
        <v>0</v>
      </c>
      <c r="BT394" s="79">
        <v>-29144</v>
      </c>
    </row>
    <row r="395" spans="1:72" ht="15" customHeight="1">
      <c r="A395" s="66" t="s">
        <v>1529</v>
      </c>
      <c r="B395" s="66"/>
      <c r="C395" s="66" t="s">
        <v>247</v>
      </c>
      <c r="D395" s="66" t="s">
        <v>247</v>
      </c>
      <c r="E395" s="150" t="s">
        <v>1136</v>
      </c>
      <c r="F395" s="482" t="s">
        <v>1566</v>
      </c>
      <c r="G395" s="150" t="s">
        <v>1515</v>
      </c>
      <c r="H395" s="383" t="s">
        <v>1515</v>
      </c>
      <c r="I395" s="150" t="s">
        <v>1345</v>
      </c>
      <c r="J395" s="150" t="s">
        <v>1515</v>
      </c>
      <c r="K395" s="150" t="s">
        <v>1346</v>
      </c>
      <c r="L395" s="511" t="s">
        <v>49</v>
      </c>
      <c r="M395" s="392" t="s">
        <v>1530</v>
      </c>
      <c r="N395" s="343"/>
      <c r="O395" s="343"/>
      <c r="P395" s="70" t="s">
        <v>248</v>
      </c>
      <c r="Q395" s="346"/>
      <c r="R395" s="346" t="s">
        <v>1221</v>
      </c>
      <c r="S395" s="346"/>
      <c r="T395" s="150" t="s">
        <v>25</v>
      </c>
      <c r="U395" s="150"/>
      <c r="V395" s="404"/>
      <c r="W395" s="407">
        <v>0</v>
      </c>
      <c r="X395" s="407">
        <v>0</v>
      </c>
      <c r="Y395" s="430"/>
      <c r="Z395" s="137"/>
      <c r="AA395" s="426">
        <v>0.36</v>
      </c>
      <c r="AB395" s="427">
        <v>-0.36</v>
      </c>
      <c r="AC395" s="427"/>
      <c r="AD395" s="428">
        <v>-5357.64</v>
      </c>
      <c r="AE395" s="429">
        <v>0</v>
      </c>
      <c r="AF395" s="429">
        <v>0</v>
      </c>
      <c r="AG395" s="363"/>
      <c r="AH395" s="363"/>
      <c r="AI395" s="363"/>
      <c r="AJ395" s="363"/>
      <c r="AK395" s="363"/>
      <c r="AL395" s="363"/>
      <c r="AM395" s="360">
        <f t="shared" si="21"/>
        <v>-5357.64</v>
      </c>
      <c r="AN395" s="362">
        <f>ERP_26[[#This Row],[2026 Working Total]]-ERP_26[[#This Row],[LE2 Final Submission]]</f>
        <v>-5357.64</v>
      </c>
      <c r="AO395" s="79"/>
      <c r="AP395" s="79">
        <f t="shared" si="25"/>
        <v>0</v>
      </c>
      <c r="AQ395" s="374">
        <f>SUM(ERP_26[[#This Row],[AP01]:[AP06]])-SUM(ERP_26[[#This Row],[AP01 LE2]:[AP06 LE2]])</f>
        <v>-5357.64</v>
      </c>
      <c r="AR395" s="80"/>
      <c r="AS395" s="79">
        <f>ERP_26[[#This Row],[2026 Working Total to Budget/LE]]-ERP_26[[#This Row],[Giveback]]</f>
        <v>-5357.64</v>
      </c>
      <c r="AT395" s="81"/>
      <c r="AU395" s="375">
        <v>0.36</v>
      </c>
      <c r="AV395" s="375">
        <v>-0.36</v>
      </c>
      <c r="AW395" s="375"/>
      <c r="AX395" s="375"/>
      <c r="AY395" s="375"/>
      <c r="AZ395" s="375"/>
      <c r="BA395" s="375"/>
      <c r="BB395" s="375"/>
      <c r="BC395" s="375"/>
      <c r="BD395" s="375"/>
      <c r="BE395" s="375"/>
      <c r="BF395" s="375"/>
      <c r="BG395" s="375">
        <v>0</v>
      </c>
      <c r="BH395" s="79">
        <v>0.36</v>
      </c>
      <c r="BI395" s="79">
        <v>-0.36</v>
      </c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>
        <v>0</v>
      </c>
    </row>
    <row r="396" spans="1:72" ht="15" customHeight="1">
      <c r="A396" s="66" t="s">
        <v>1532</v>
      </c>
      <c r="B396" s="66"/>
      <c r="C396" s="66" t="s">
        <v>249</v>
      </c>
      <c r="D396" s="66" t="s">
        <v>249</v>
      </c>
      <c r="E396" s="150" t="s">
        <v>1136</v>
      </c>
      <c r="F396" s="482" t="s">
        <v>1566</v>
      </c>
      <c r="G396" s="150" t="s">
        <v>1515</v>
      </c>
      <c r="H396" s="383" t="s">
        <v>1515</v>
      </c>
      <c r="I396" s="150" t="s">
        <v>1345</v>
      </c>
      <c r="J396" s="150" t="s">
        <v>1515</v>
      </c>
      <c r="K396" s="150" t="s">
        <v>1346</v>
      </c>
      <c r="L396" s="511" t="s">
        <v>49</v>
      </c>
      <c r="M396" s="392" t="s">
        <v>1533</v>
      </c>
      <c r="N396" s="343" t="s">
        <v>1387</v>
      </c>
      <c r="O396" s="346" t="s">
        <v>1531</v>
      </c>
      <c r="P396" s="70" t="s">
        <v>250</v>
      </c>
      <c r="Q396" s="346"/>
      <c r="R396" s="346" t="s">
        <v>1534</v>
      </c>
      <c r="S396" s="346"/>
      <c r="T396" s="150" t="s">
        <v>25</v>
      </c>
      <c r="U396" s="150"/>
      <c r="V396" s="403"/>
      <c r="W396" s="406">
        <v>553800</v>
      </c>
      <c r="X396" s="406">
        <v>496255</v>
      </c>
      <c r="Y396" s="425"/>
      <c r="Z396" s="71"/>
      <c r="AA396" s="426">
        <v>-0.24</v>
      </c>
      <c r="AB396" s="427">
        <v>98366.34</v>
      </c>
      <c r="AC396" s="427">
        <v>-98366.1</v>
      </c>
      <c r="AD396" s="428">
        <v>27396.55</v>
      </c>
      <c r="AE396" s="429">
        <v>29503.98</v>
      </c>
      <c r="AF396" s="429">
        <v>36879.97</v>
      </c>
      <c r="AG396" s="363">
        <v>48381.166666666672</v>
      </c>
      <c r="AH396" s="363">
        <v>48381.166666666672</v>
      </c>
      <c r="AI396" s="363">
        <v>48381.166666666672</v>
      </c>
      <c r="AJ396" s="363">
        <v>85490.5</v>
      </c>
      <c r="AK396" s="363">
        <v>85490.5</v>
      </c>
      <c r="AL396" s="363">
        <v>85490.5</v>
      </c>
      <c r="AM396" s="360">
        <f t="shared" si="21"/>
        <v>495395.5</v>
      </c>
      <c r="AN396" s="362">
        <f>ERP_26[[#This Row],[2026 Working Total]]-ERP_26[[#This Row],[LE2 Final Submission]]</f>
        <v>-859.5</v>
      </c>
      <c r="AO396" s="79">
        <v>31546.666666666668</v>
      </c>
      <c r="AP396" s="79">
        <f t="shared" si="25"/>
        <v>5333.3033333333333</v>
      </c>
      <c r="AQ396" s="374">
        <f>SUM(ERP_26[[#This Row],[AP01]:[AP06]])-SUM(ERP_26[[#This Row],[AP01 LE2]:[AP06 LE2]])</f>
        <v>-859.5</v>
      </c>
      <c r="AR396" s="80"/>
      <c r="AS396" s="79">
        <f>ERP_26[[#This Row],[2026 Working Total to Budget/LE]]-ERP_26[[#This Row],[Giveback]]</f>
        <v>-859.5</v>
      </c>
      <c r="AT396" s="81"/>
      <c r="AU396" s="375">
        <v>-0.24</v>
      </c>
      <c r="AV396" s="375">
        <v>98366.34</v>
      </c>
      <c r="AW396" s="375">
        <v>-98366.1</v>
      </c>
      <c r="AX396" s="375">
        <v>31546.666666666668</v>
      </c>
      <c r="AY396" s="375">
        <v>31546.666666666668</v>
      </c>
      <c r="AZ396" s="375">
        <v>31546.666666666668</v>
      </c>
      <c r="BA396" s="375">
        <v>48381.166666666672</v>
      </c>
      <c r="BB396" s="375">
        <v>48381.166666666672</v>
      </c>
      <c r="BC396" s="375">
        <v>48381.166666666672</v>
      </c>
      <c r="BD396" s="375">
        <v>85490.5</v>
      </c>
      <c r="BE396" s="375">
        <v>85490.5</v>
      </c>
      <c r="BF396" s="375">
        <v>85490.5</v>
      </c>
      <c r="BG396" s="375">
        <v>496255</v>
      </c>
      <c r="BH396" s="79">
        <v>-0.24</v>
      </c>
      <c r="BI396" s="79">
        <v>98366.34</v>
      </c>
      <c r="BJ396" s="79">
        <v>-98366.1</v>
      </c>
      <c r="BK396" s="79">
        <v>57403.99</v>
      </c>
      <c r="BL396" s="79">
        <v>57403.99</v>
      </c>
      <c r="BM396" s="79">
        <v>57403.99</v>
      </c>
      <c r="BN396" s="79">
        <v>57403.99</v>
      </c>
      <c r="BO396" s="79">
        <v>57403.99</v>
      </c>
      <c r="BP396" s="79">
        <v>57403.99</v>
      </c>
      <c r="BQ396" s="79">
        <v>57403.99</v>
      </c>
      <c r="BR396" s="79">
        <v>57403.99</v>
      </c>
      <c r="BS396" s="79">
        <v>57403.99</v>
      </c>
      <c r="BT396" s="79">
        <v>516635.90999999992</v>
      </c>
    </row>
    <row r="397" spans="1:72" ht="15" customHeight="1">
      <c r="A397" s="66" t="s">
        <v>1535</v>
      </c>
      <c r="B397" s="66"/>
      <c r="C397" s="66" t="s">
        <v>251</v>
      </c>
      <c r="D397" s="66" t="s">
        <v>251</v>
      </c>
      <c r="E397" s="150" t="s">
        <v>1136</v>
      </c>
      <c r="F397" s="482" t="s">
        <v>1566</v>
      </c>
      <c r="G397" s="150" t="s">
        <v>1515</v>
      </c>
      <c r="H397" s="383" t="s">
        <v>1515</v>
      </c>
      <c r="I397" s="150" t="s">
        <v>1345</v>
      </c>
      <c r="J397" s="150" t="s">
        <v>1515</v>
      </c>
      <c r="K397" s="150" t="s">
        <v>1346</v>
      </c>
      <c r="L397" s="511" t="s">
        <v>49</v>
      </c>
      <c r="M397" s="392" t="s">
        <v>1536</v>
      </c>
      <c r="N397" s="343" t="s">
        <v>1387</v>
      </c>
      <c r="O397" s="346" t="s">
        <v>1531</v>
      </c>
      <c r="P397" s="70" t="s">
        <v>252</v>
      </c>
      <c r="Q397" s="346"/>
      <c r="R397" s="346" t="s">
        <v>1537</v>
      </c>
      <c r="S397" s="346"/>
      <c r="T397" s="150" t="s">
        <v>25</v>
      </c>
      <c r="U397" s="150"/>
      <c r="V397" s="403"/>
      <c r="W397" s="406">
        <v>269997.96000000008</v>
      </c>
      <c r="X397" s="406">
        <v>268017.38</v>
      </c>
      <c r="Y397" s="425"/>
      <c r="Z397" s="71"/>
      <c r="AA397" s="426">
        <v>19158.79</v>
      </c>
      <c r="AB397" s="427">
        <v>20603.919999999998</v>
      </c>
      <c r="AC397" s="427">
        <v>25754.67</v>
      </c>
      <c r="AD397" s="428">
        <v>20603.73</v>
      </c>
      <c r="AE397" s="429">
        <v>33243.729999999996</v>
      </c>
      <c r="AF397" s="429">
        <v>25754.660000000003</v>
      </c>
      <c r="AG397" s="363">
        <v>22500</v>
      </c>
      <c r="AH397" s="363">
        <v>22500</v>
      </c>
      <c r="AI397" s="363">
        <v>22500</v>
      </c>
      <c r="AJ397" s="363">
        <v>22500</v>
      </c>
      <c r="AK397" s="363">
        <v>22500</v>
      </c>
      <c r="AL397" s="363">
        <v>22500</v>
      </c>
      <c r="AM397" s="360">
        <f t="shared" si="21"/>
        <v>280119.5</v>
      </c>
      <c r="AN397" s="362">
        <f>ERP_26[[#This Row],[2026 Working Total]]-ERP_26[[#This Row],[LE2 Final Submission]]</f>
        <v>12102.119999999995</v>
      </c>
      <c r="AO397" s="79">
        <v>22500</v>
      </c>
      <c r="AP397" s="79">
        <f t="shared" si="25"/>
        <v>3254.6600000000035</v>
      </c>
      <c r="AQ397" s="374">
        <f>SUM(ERP_26[[#This Row],[AP01]:[AP06]])-SUM(ERP_26[[#This Row],[AP01 LE2]:[AP06 LE2]])</f>
        <v>12102.119999999995</v>
      </c>
      <c r="AR397" s="80"/>
      <c r="AS397" s="79">
        <f>ERP_26[[#This Row],[2026 Working Total to Budget/LE]]-ERP_26[[#This Row],[Giveback]]</f>
        <v>12102.119999999995</v>
      </c>
      <c r="AT397" s="81"/>
      <c r="AU397" s="375">
        <v>19158.79</v>
      </c>
      <c r="AV397" s="375">
        <v>20603.919999999998</v>
      </c>
      <c r="AW397" s="375">
        <v>25754.67</v>
      </c>
      <c r="AX397" s="375">
        <v>22500</v>
      </c>
      <c r="AY397" s="375">
        <v>22500</v>
      </c>
      <c r="AZ397" s="375">
        <v>22500</v>
      </c>
      <c r="BA397" s="375">
        <v>22500</v>
      </c>
      <c r="BB397" s="375">
        <v>22500</v>
      </c>
      <c r="BC397" s="375">
        <v>22500</v>
      </c>
      <c r="BD397" s="375">
        <v>22500</v>
      </c>
      <c r="BE397" s="375">
        <v>22500</v>
      </c>
      <c r="BF397" s="375">
        <v>22500</v>
      </c>
      <c r="BG397" s="375">
        <v>268017.38</v>
      </c>
      <c r="BH397" s="79">
        <v>19158.79</v>
      </c>
      <c r="BI397" s="79">
        <v>20603.919999999998</v>
      </c>
      <c r="BJ397" s="79">
        <v>25754.67</v>
      </c>
      <c r="BK397" s="79">
        <v>23474.3</v>
      </c>
      <c r="BL397" s="79">
        <v>23474.3</v>
      </c>
      <c r="BM397" s="79">
        <v>23474.3</v>
      </c>
      <c r="BN397" s="79">
        <v>23474.3</v>
      </c>
      <c r="BO397" s="79">
        <v>23474.3</v>
      </c>
      <c r="BP397" s="79">
        <v>23474.3</v>
      </c>
      <c r="BQ397" s="79">
        <v>23474.3</v>
      </c>
      <c r="BR397" s="79">
        <v>23474.3</v>
      </c>
      <c r="BS397" s="79">
        <v>23474.3</v>
      </c>
      <c r="BT397" s="79">
        <v>276786.07999999996</v>
      </c>
    </row>
    <row r="398" spans="1:72" ht="15" customHeight="1">
      <c r="A398" s="79" t="s">
        <v>1538</v>
      </c>
      <c r="B398" s="79"/>
      <c r="C398" s="79" t="s">
        <v>253</v>
      </c>
      <c r="D398" s="296" t="s">
        <v>253</v>
      </c>
      <c r="E398" s="150" t="s">
        <v>1136</v>
      </c>
      <c r="F398" s="482" t="s">
        <v>1566</v>
      </c>
      <c r="G398" s="383" t="s">
        <v>1515</v>
      </c>
      <c r="H398" s="383" t="s">
        <v>1515</v>
      </c>
      <c r="I398" s="332" t="s">
        <v>1345</v>
      </c>
      <c r="J398" s="383" t="s">
        <v>1515</v>
      </c>
      <c r="K398" s="331" t="s">
        <v>1346</v>
      </c>
      <c r="L398" s="512" t="s">
        <v>49</v>
      </c>
      <c r="M398" s="393" t="s">
        <v>1539</v>
      </c>
      <c r="N398" s="343"/>
      <c r="O398" s="331"/>
      <c r="P398" s="91" t="s">
        <v>254</v>
      </c>
      <c r="Q398" s="343"/>
      <c r="R398" s="346" t="s">
        <v>1221</v>
      </c>
      <c r="S398" s="348"/>
      <c r="T398" s="386" t="s">
        <v>25</v>
      </c>
      <c r="U398" s="389" t="s">
        <v>1540</v>
      </c>
      <c r="V398" s="432"/>
      <c r="W398" s="358">
        <v>489720</v>
      </c>
      <c r="X398" s="378">
        <v>367290</v>
      </c>
      <c r="Y398" s="430"/>
      <c r="Z398" s="137"/>
      <c r="AA398" s="433"/>
      <c r="AB398" s="434"/>
      <c r="AC398" s="434"/>
      <c r="AD398" s="428" t="s">
        <v>1142</v>
      </c>
      <c r="AE398" s="429">
        <v>0</v>
      </c>
      <c r="AF398" s="429">
        <v>0</v>
      </c>
      <c r="AG398" s="388">
        <v>40810</v>
      </c>
      <c r="AH398" s="388">
        <v>40810</v>
      </c>
      <c r="AI398" s="388">
        <v>40810</v>
      </c>
      <c r="AJ398" s="388">
        <v>40810</v>
      </c>
      <c r="AK398" s="388">
        <v>40810</v>
      </c>
      <c r="AL398" s="388">
        <v>40810</v>
      </c>
      <c r="AM398" s="360">
        <f t="shared" si="21"/>
        <v>244860</v>
      </c>
      <c r="AN398" s="362">
        <f>ERP_26[[#This Row],[2026 Working Total]]-ERP_26[[#This Row],[LE2 Final Submission]]</f>
        <v>-122430</v>
      </c>
      <c r="AO398" s="79">
        <v>40810</v>
      </c>
      <c r="AP398" s="79">
        <f t="shared" si="25"/>
        <v>-40810</v>
      </c>
      <c r="AQ398" s="374">
        <f>SUM(ERP_26[[#This Row],[AP01]:[AP06]])-SUM(ERP_26[[#This Row],[AP01 LE2]:[AP06 LE2]])</f>
        <v>-122430</v>
      </c>
      <c r="AR398" s="80"/>
      <c r="AS398" s="79">
        <f>ERP_26[[#This Row],[2026 Working Total to Budget/LE]]-ERP_26[[#This Row],[Giveback]]</f>
        <v>-122430</v>
      </c>
      <c r="AT398" s="81"/>
      <c r="AU398" s="375"/>
      <c r="AV398" s="375"/>
      <c r="AW398" s="375"/>
      <c r="AX398" s="375">
        <v>40810</v>
      </c>
      <c r="AY398" s="375">
        <v>40810</v>
      </c>
      <c r="AZ398" s="375">
        <v>40810</v>
      </c>
      <c r="BA398" s="375">
        <v>40810</v>
      </c>
      <c r="BB398" s="375">
        <v>40810</v>
      </c>
      <c r="BC398" s="375">
        <v>40810</v>
      </c>
      <c r="BD398" s="375">
        <v>40810</v>
      </c>
      <c r="BE398" s="375">
        <v>40810</v>
      </c>
      <c r="BF398" s="375">
        <v>40810</v>
      </c>
      <c r="BG398" s="375">
        <v>367290</v>
      </c>
      <c r="BH398" s="103">
        <v>40810</v>
      </c>
      <c r="BI398" s="103">
        <v>40810</v>
      </c>
      <c r="BJ398" s="103">
        <v>40810</v>
      </c>
      <c r="BK398" s="103">
        <v>40810</v>
      </c>
      <c r="BL398" s="103">
        <v>40810</v>
      </c>
      <c r="BM398" s="103">
        <v>40810</v>
      </c>
      <c r="BN398" s="103">
        <v>40810</v>
      </c>
      <c r="BO398" s="103">
        <v>40810</v>
      </c>
      <c r="BP398" s="103">
        <v>40810</v>
      </c>
      <c r="BQ398" s="103">
        <v>40810</v>
      </c>
      <c r="BR398" s="103">
        <v>40810</v>
      </c>
      <c r="BS398" s="103">
        <v>40810</v>
      </c>
      <c r="BT398" s="79">
        <f>SUM(ERP_26[[#This Row],[2026 AP01]:[2026 AP12]])</f>
        <v>489720</v>
      </c>
    </row>
    <row r="399" spans="1:72" ht="15" customHeight="1">
      <c r="A399" s="66" t="s">
        <v>1546</v>
      </c>
      <c r="B399" s="66"/>
      <c r="C399" s="66" t="s">
        <v>255</v>
      </c>
      <c r="D399" s="66" t="s">
        <v>255</v>
      </c>
      <c r="E399" s="150" t="s">
        <v>1136</v>
      </c>
      <c r="F399" s="482" t="s">
        <v>1566</v>
      </c>
      <c r="G399" s="150" t="s">
        <v>1515</v>
      </c>
      <c r="H399" s="383" t="s">
        <v>1515</v>
      </c>
      <c r="I399" s="150" t="s">
        <v>1345</v>
      </c>
      <c r="J399" s="150" t="s">
        <v>1515</v>
      </c>
      <c r="K399" s="150" t="s">
        <v>1346</v>
      </c>
      <c r="L399" s="511" t="s">
        <v>49</v>
      </c>
      <c r="M399" s="392" t="s">
        <v>1547</v>
      </c>
      <c r="N399" s="343" t="s">
        <v>1206</v>
      </c>
      <c r="O399" s="346" t="s">
        <v>1531</v>
      </c>
      <c r="P399" s="70" t="s">
        <v>256</v>
      </c>
      <c r="Q399" s="346"/>
      <c r="R399" s="346" t="s">
        <v>2909</v>
      </c>
      <c r="S399" s="346"/>
      <c r="T399" s="150" t="s">
        <v>25</v>
      </c>
      <c r="U399" s="150"/>
      <c r="V399" s="403"/>
      <c r="W399" s="406">
        <v>529998.96000000008</v>
      </c>
      <c r="X399" s="406">
        <v>367389.04999999993</v>
      </c>
      <c r="Y399" s="425"/>
      <c r="Z399" s="71"/>
      <c r="AA399" s="426">
        <v>31387.97</v>
      </c>
      <c r="AB399" s="427">
        <v>29660.06</v>
      </c>
      <c r="AC399" s="427">
        <v>28355.06</v>
      </c>
      <c r="AD399" s="428">
        <v>376.37999999999738</v>
      </c>
      <c r="AE399" s="481">
        <v>30599.67</v>
      </c>
      <c r="AF399" s="429">
        <v>50661.62</v>
      </c>
      <c r="AG399" s="363">
        <v>36080.219999999994</v>
      </c>
      <c r="AH399" s="363">
        <v>26514.909999999996</v>
      </c>
      <c r="AI399" s="363">
        <v>26514.909999999996</v>
      </c>
      <c r="AJ399" s="363">
        <v>36080.219999999994</v>
      </c>
      <c r="AK399" s="363">
        <v>36080.219999999994</v>
      </c>
      <c r="AL399" s="363">
        <v>36080.219999999994</v>
      </c>
      <c r="AM399" s="360">
        <f t="shared" si="21"/>
        <v>368391.45999999996</v>
      </c>
      <c r="AN399" s="362">
        <f>ERP_26[[#This Row],[2026 Working Total]]-ERP_26[[#This Row],[LE2 Final Submission]]</f>
        <v>1002.4100000000326</v>
      </c>
      <c r="AO399" s="79">
        <v>36080.219999999994</v>
      </c>
      <c r="AP399" s="79">
        <f t="shared" si="25"/>
        <v>14581.400000000009</v>
      </c>
      <c r="AQ399" s="374">
        <f>SUM(ERP_26[[#This Row],[AP01]:[AP06]])-SUM(ERP_26[[#This Row],[AP01 LE2]:[AP06 LE2]])</f>
        <v>1002.4100000000035</v>
      </c>
      <c r="AR399" s="80"/>
      <c r="AS399" s="79">
        <f>ERP_26[[#This Row],[2026 Working Total to Budget/LE]]-ERP_26[[#This Row],[Giveback]]</f>
        <v>1002.4100000000326</v>
      </c>
      <c r="AT399" s="81"/>
      <c r="AU399" s="375">
        <v>31387.97</v>
      </c>
      <c r="AV399" s="375">
        <v>29660.06</v>
      </c>
      <c r="AW399" s="375">
        <v>28355.06</v>
      </c>
      <c r="AX399" s="375">
        <v>8474.82</v>
      </c>
      <c r="AY399" s="375">
        <v>36080.219999999994</v>
      </c>
      <c r="AZ399" s="375">
        <v>36080.219999999994</v>
      </c>
      <c r="BA399" s="375">
        <v>36080.219999999994</v>
      </c>
      <c r="BB399" s="375">
        <v>26514.909999999996</v>
      </c>
      <c r="BC399" s="375">
        <v>26514.909999999996</v>
      </c>
      <c r="BD399" s="375">
        <v>36080.219999999994</v>
      </c>
      <c r="BE399" s="375">
        <v>36080.219999999994</v>
      </c>
      <c r="BF399" s="375">
        <v>36080.219999999994</v>
      </c>
      <c r="BG399" s="375">
        <v>367389.04999999993</v>
      </c>
      <c r="BH399" s="79">
        <v>31387.97</v>
      </c>
      <c r="BI399" s="79">
        <v>29660.06</v>
      </c>
      <c r="BJ399" s="79">
        <v>28355.06</v>
      </c>
      <c r="BK399" s="79">
        <v>44166.58</v>
      </c>
      <c r="BL399" s="79">
        <v>44166.58</v>
      </c>
      <c r="BM399" s="79">
        <v>44166.58</v>
      </c>
      <c r="BN399" s="79">
        <v>44166.58</v>
      </c>
      <c r="BO399" s="79">
        <v>44166.58</v>
      </c>
      <c r="BP399" s="79">
        <v>44166.58</v>
      </c>
      <c r="BQ399" s="79">
        <v>44166.58</v>
      </c>
      <c r="BR399" s="79">
        <v>44166.58</v>
      </c>
      <c r="BS399" s="79">
        <v>44166.58</v>
      </c>
      <c r="BT399" s="79">
        <v>486902.31000000011</v>
      </c>
    </row>
    <row r="400" spans="1:72" ht="15" customHeight="1">
      <c r="A400" s="66" t="s">
        <v>1549</v>
      </c>
      <c r="B400" s="66"/>
      <c r="C400" s="66" t="s">
        <v>257</v>
      </c>
      <c r="D400" s="66" t="s">
        <v>257</v>
      </c>
      <c r="E400" s="150" t="s">
        <v>1136</v>
      </c>
      <c r="F400" s="482" t="s">
        <v>1566</v>
      </c>
      <c r="G400" s="150" t="s">
        <v>1515</v>
      </c>
      <c r="H400" s="383" t="s">
        <v>1515</v>
      </c>
      <c r="I400" s="150" t="s">
        <v>1345</v>
      </c>
      <c r="J400" s="150" t="s">
        <v>1515</v>
      </c>
      <c r="K400" s="150" t="s">
        <v>1346</v>
      </c>
      <c r="L400" s="511" t="s">
        <v>49</v>
      </c>
      <c r="M400" s="392" t="s">
        <v>1550</v>
      </c>
      <c r="N400" s="343"/>
      <c r="O400" s="346" t="s">
        <v>1531</v>
      </c>
      <c r="P400" s="70" t="s">
        <v>258</v>
      </c>
      <c r="Q400" s="346"/>
      <c r="R400" s="346" t="s">
        <v>1187</v>
      </c>
      <c r="S400" s="346"/>
      <c r="T400" s="150" t="s">
        <v>25</v>
      </c>
      <c r="U400" s="150" t="s">
        <v>1521</v>
      </c>
      <c r="V400" s="403"/>
      <c r="W400" s="406">
        <v>624000</v>
      </c>
      <c r="X400" s="406">
        <v>592260.42999999993</v>
      </c>
      <c r="Y400" s="425"/>
      <c r="Z400" s="71"/>
      <c r="AA400" s="426">
        <v>67126.64</v>
      </c>
      <c r="AB400" s="427">
        <v>74377.41</v>
      </c>
      <c r="AC400" s="427">
        <v>83640.33</v>
      </c>
      <c r="AD400" s="428">
        <v>-58284.780000000013</v>
      </c>
      <c r="AE400" s="429">
        <v>17767.169999999998</v>
      </c>
      <c r="AF400" s="429">
        <v>-37705.19</v>
      </c>
      <c r="AG400" s="363">
        <v>37705.5</v>
      </c>
      <c r="AH400" s="363">
        <v>47270.81</v>
      </c>
      <c r="AI400" s="363">
        <v>47270.81</v>
      </c>
      <c r="AJ400" s="363">
        <v>47270.81</v>
      </c>
      <c r="AK400" s="363">
        <v>47270.81</v>
      </c>
      <c r="AL400" s="363">
        <v>47270.81</v>
      </c>
      <c r="AM400" s="360">
        <f t="shared" si="21"/>
        <v>420981.12999999995</v>
      </c>
      <c r="AN400" s="362">
        <f>ERP_26[[#This Row],[2026 Working Total]]-ERP_26[[#This Row],[LE2 Final Submission]]</f>
        <v>-171279.3</v>
      </c>
      <c r="AO400" s="79">
        <v>37705.5</v>
      </c>
      <c r="AP400" s="79">
        <f t="shared" si="25"/>
        <v>-75410.69</v>
      </c>
      <c r="AQ400" s="374">
        <f>SUM(ERP_26[[#This Row],[AP01]:[AP06]])-SUM(ERP_26[[#This Row],[AP01 LE2]:[AP06 LE2]])</f>
        <v>-171279.30000000005</v>
      </c>
      <c r="AR400" s="80"/>
      <c r="AS400" s="79">
        <f>ERP_26[[#This Row],[2026 Working Total to Budget/LE]]-ERP_26[[#This Row],[Giveback]]</f>
        <v>-171279.3</v>
      </c>
      <c r="AT400" s="81"/>
      <c r="AU400" s="375">
        <v>67126.64</v>
      </c>
      <c r="AV400" s="375">
        <v>74377.41</v>
      </c>
      <c r="AW400" s="375">
        <v>83640.33</v>
      </c>
      <c r="AX400" s="375">
        <v>17645.5</v>
      </c>
      <c r="AY400" s="375">
        <v>37705.5</v>
      </c>
      <c r="AZ400" s="375">
        <v>37705.5</v>
      </c>
      <c r="BA400" s="375">
        <v>37705.5</v>
      </c>
      <c r="BB400" s="375">
        <v>47270.81</v>
      </c>
      <c r="BC400" s="375">
        <v>47270.81</v>
      </c>
      <c r="BD400" s="375">
        <v>47270.81</v>
      </c>
      <c r="BE400" s="375">
        <v>47270.81</v>
      </c>
      <c r="BF400" s="375">
        <v>47270.81</v>
      </c>
      <c r="BG400" s="375">
        <v>592260.42999999993</v>
      </c>
      <c r="BH400" s="79">
        <v>67126.64</v>
      </c>
      <c r="BI400" s="79">
        <v>74377.41</v>
      </c>
      <c r="BJ400" s="79">
        <v>83640.33</v>
      </c>
      <c r="BK400" s="79">
        <v>71858</v>
      </c>
      <c r="BL400" s="79">
        <v>71858</v>
      </c>
      <c r="BM400" s="79">
        <v>71858</v>
      </c>
      <c r="BN400" s="79">
        <v>71858</v>
      </c>
      <c r="BO400" s="79">
        <v>71858</v>
      </c>
      <c r="BP400" s="79">
        <v>71858</v>
      </c>
      <c r="BQ400" s="79">
        <v>71858</v>
      </c>
      <c r="BR400" s="79">
        <v>71858</v>
      </c>
      <c r="BS400" s="79">
        <v>71858</v>
      </c>
      <c r="BT400" s="79">
        <v>871866.38</v>
      </c>
    </row>
    <row r="401" spans="1:72" ht="15" customHeight="1">
      <c r="A401" s="66" t="s">
        <v>1551</v>
      </c>
      <c r="B401" s="66"/>
      <c r="C401" s="66" t="s">
        <v>259</v>
      </c>
      <c r="D401" s="66" t="s">
        <v>259</v>
      </c>
      <c r="E401" s="150" t="s">
        <v>1136</v>
      </c>
      <c r="F401" s="482" t="s">
        <v>1566</v>
      </c>
      <c r="G401" s="150" t="s">
        <v>1515</v>
      </c>
      <c r="H401" s="383" t="s">
        <v>1515</v>
      </c>
      <c r="I401" s="150" t="s">
        <v>1345</v>
      </c>
      <c r="J401" s="150" t="s">
        <v>1515</v>
      </c>
      <c r="K401" s="150" t="s">
        <v>1346</v>
      </c>
      <c r="L401" s="511" t="s">
        <v>49</v>
      </c>
      <c r="M401" s="392" t="s">
        <v>1367</v>
      </c>
      <c r="N401" s="343"/>
      <c r="O401" s="343"/>
      <c r="P401" s="70" t="s">
        <v>163</v>
      </c>
      <c r="Q401" s="346" t="s">
        <v>1139</v>
      </c>
      <c r="R401" s="343"/>
      <c r="S401" s="346"/>
      <c r="T401" s="150" t="s">
        <v>25</v>
      </c>
      <c r="U401" s="150"/>
      <c r="V401" s="403"/>
      <c r="W401" s="406">
        <v>270422.03999999992</v>
      </c>
      <c r="X401" s="406">
        <v>166650</v>
      </c>
      <c r="Y401" s="425"/>
      <c r="Z401" s="71"/>
      <c r="AA401" s="426"/>
      <c r="AB401" s="427"/>
      <c r="AC401" s="427"/>
      <c r="AD401" s="428" t="s">
        <v>1142</v>
      </c>
      <c r="AE401" s="429">
        <v>0</v>
      </c>
      <c r="AF401" s="429">
        <v>0</v>
      </c>
      <c r="AG401" s="363">
        <v>7837.5</v>
      </c>
      <c r="AH401" s="363">
        <v>7837.5</v>
      </c>
      <c r="AI401" s="363">
        <v>7837.5</v>
      </c>
      <c r="AJ401" s="363">
        <v>7837.5</v>
      </c>
      <c r="AK401" s="363">
        <v>7837.5</v>
      </c>
      <c r="AL401" s="363">
        <v>7837.5</v>
      </c>
      <c r="AM401" s="360">
        <f t="shared" si="21"/>
        <v>47025</v>
      </c>
      <c r="AN401" s="362">
        <f>ERP_26[[#This Row],[2026 Working Total]]-ERP_26[[#This Row],[LE2 Final Submission]]</f>
        <v>-119625</v>
      </c>
      <c r="AO401" s="79">
        <v>111787.5</v>
      </c>
      <c r="AP401" s="79">
        <f t="shared" si="25"/>
        <v>-111787.5</v>
      </c>
      <c r="AQ401" s="374">
        <f>SUM(ERP_26[[#This Row],[AP01]:[AP06]])-SUM(ERP_26[[#This Row],[AP01 LE2]:[AP06 LE2]])</f>
        <v>-119625</v>
      </c>
      <c r="AR401" s="80"/>
      <c r="AS401" s="79">
        <f>ERP_26[[#This Row],[2026 Working Total to Budget/LE]]-ERP_26[[#This Row],[Giveback]]</f>
        <v>-119625</v>
      </c>
      <c r="AT401" s="81"/>
      <c r="AU401" s="375"/>
      <c r="AV401" s="375"/>
      <c r="AW401" s="375"/>
      <c r="AX401" s="375">
        <v>0</v>
      </c>
      <c r="AY401" s="375">
        <v>111787.5</v>
      </c>
      <c r="AZ401" s="375">
        <v>7837.5</v>
      </c>
      <c r="BA401" s="375">
        <v>7837.5</v>
      </c>
      <c r="BB401" s="375">
        <v>7837.5</v>
      </c>
      <c r="BC401" s="375">
        <v>7837.5</v>
      </c>
      <c r="BD401" s="375">
        <v>7837.5</v>
      </c>
      <c r="BE401" s="375">
        <v>7837.5</v>
      </c>
      <c r="BF401" s="375">
        <v>7837.5</v>
      </c>
      <c r="BG401" s="375">
        <v>166650</v>
      </c>
      <c r="BH401" s="79"/>
      <c r="BI401" s="79"/>
      <c r="BJ401" s="79"/>
      <c r="BK401" s="79">
        <v>26158</v>
      </c>
      <c r="BL401" s="79">
        <v>26158</v>
      </c>
      <c r="BM401" s="79">
        <v>26158</v>
      </c>
      <c r="BN401" s="79">
        <v>26158</v>
      </c>
      <c r="BO401" s="79">
        <v>26158</v>
      </c>
      <c r="BP401" s="79">
        <v>26158</v>
      </c>
      <c r="BQ401" s="79">
        <v>26158</v>
      </c>
      <c r="BR401" s="79">
        <v>26158</v>
      </c>
      <c r="BS401" s="79">
        <v>26158</v>
      </c>
      <c r="BT401" s="79">
        <v>235422</v>
      </c>
    </row>
    <row r="402" spans="1:72" ht="15" customHeight="1">
      <c r="A402" s="66" t="s">
        <v>1552</v>
      </c>
      <c r="B402" s="66"/>
      <c r="C402" s="66" t="s">
        <v>260</v>
      </c>
      <c r="D402" s="66" t="s">
        <v>260</v>
      </c>
      <c r="E402" s="150" t="s">
        <v>1136</v>
      </c>
      <c r="F402" s="482" t="s">
        <v>1566</v>
      </c>
      <c r="G402" s="150" t="s">
        <v>1515</v>
      </c>
      <c r="H402" s="383" t="s">
        <v>1515</v>
      </c>
      <c r="I402" s="150" t="s">
        <v>1345</v>
      </c>
      <c r="J402" s="150" t="s">
        <v>1515</v>
      </c>
      <c r="K402" s="150" t="s">
        <v>1346</v>
      </c>
      <c r="L402" s="511" t="s">
        <v>49</v>
      </c>
      <c r="M402" s="392" t="s">
        <v>1553</v>
      </c>
      <c r="N402" s="343"/>
      <c r="O402" s="343"/>
      <c r="P402" s="70" t="s">
        <v>261</v>
      </c>
      <c r="Q402" s="346"/>
      <c r="R402" s="343"/>
      <c r="S402" s="346"/>
      <c r="T402" s="150" t="s">
        <v>25</v>
      </c>
      <c r="U402" s="150"/>
      <c r="V402" s="403"/>
      <c r="W402" s="406">
        <v>10277</v>
      </c>
      <c r="X402" s="406">
        <v>10277</v>
      </c>
      <c r="Y402" s="425"/>
      <c r="Z402" s="71"/>
      <c r="AA402" s="426"/>
      <c r="AB402" s="427"/>
      <c r="AC402" s="427"/>
      <c r="AD402" s="428" t="s">
        <v>1142</v>
      </c>
      <c r="AE402" s="429">
        <v>0</v>
      </c>
      <c r="AF402" s="429">
        <v>0</v>
      </c>
      <c r="AG402" s="360">
        <v>0</v>
      </c>
      <c r="AH402" s="363">
        <v>5723</v>
      </c>
      <c r="AI402" s="360">
        <v>0</v>
      </c>
      <c r="AJ402" s="360">
        <v>0</v>
      </c>
      <c r="AK402" s="360">
        <v>0</v>
      </c>
      <c r="AL402" s="360">
        <v>0</v>
      </c>
      <c r="AM402" s="360">
        <f t="shared" si="21"/>
        <v>5723</v>
      </c>
      <c r="AN402" s="362">
        <f>ERP_26[[#This Row],[2026 Working Total]]-ERP_26[[#This Row],[LE2 Final Submission]]</f>
        <v>-4554</v>
      </c>
      <c r="AO402" s="79">
        <v>4554</v>
      </c>
      <c r="AP402" s="79">
        <f t="shared" si="25"/>
        <v>-4554</v>
      </c>
      <c r="AQ402" s="374">
        <f>SUM(ERP_26[[#This Row],[AP01]:[AP06]])-SUM(ERP_26[[#This Row],[AP01 LE2]:[AP06 LE2]])</f>
        <v>-4554</v>
      </c>
      <c r="AR402" s="80"/>
      <c r="AS402" s="79">
        <f>ERP_26[[#This Row],[2026 Working Total to Budget/LE]]-ERP_26[[#This Row],[Giveback]]</f>
        <v>-4554</v>
      </c>
      <c r="AT402" s="81"/>
      <c r="AU402" s="375"/>
      <c r="AV402" s="375"/>
      <c r="AW402" s="375"/>
      <c r="AX402" s="375"/>
      <c r="AY402" s="375">
        <v>4554</v>
      </c>
      <c r="AZ402" s="375">
        <v>0</v>
      </c>
      <c r="BA402" s="375">
        <v>0</v>
      </c>
      <c r="BB402" s="375">
        <v>5723</v>
      </c>
      <c r="BC402" s="375">
        <v>0</v>
      </c>
      <c r="BD402" s="375">
        <v>0</v>
      </c>
      <c r="BE402" s="375">
        <v>0</v>
      </c>
      <c r="BF402" s="375">
        <v>0</v>
      </c>
      <c r="BG402" s="375">
        <v>10277</v>
      </c>
      <c r="BH402" s="79"/>
      <c r="BI402" s="79"/>
      <c r="BJ402" s="79"/>
      <c r="BK402" s="79"/>
      <c r="BL402" s="79">
        <v>4554</v>
      </c>
      <c r="BM402" s="79">
        <v>0</v>
      </c>
      <c r="BN402" s="79">
        <v>0</v>
      </c>
      <c r="BO402" s="79">
        <v>5723</v>
      </c>
      <c r="BP402" s="79">
        <v>0</v>
      </c>
      <c r="BQ402" s="79">
        <v>0</v>
      </c>
      <c r="BR402" s="79">
        <v>0</v>
      </c>
      <c r="BS402" s="79">
        <v>0</v>
      </c>
      <c r="BT402" s="79">
        <v>10277</v>
      </c>
    </row>
    <row r="403" spans="1:72" ht="15" customHeight="1">
      <c r="A403" s="66" t="s">
        <v>1554</v>
      </c>
      <c r="B403" s="66"/>
      <c r="C403" s="66" t="s">
        <v>262</v>
      </c>
      <c r="D403" s="66" t="s">
        <v>262</v>
      </c>
      <c r="E403" s="150" t="s">
        <v>1136</v>
      </c>
      <c r="F403" s="482" t="s">
        <v>1566</v>
      </c>
      <c r="G403" s="150" t="s">
        <v>1515</v>
      </c>
      <c r="H403" s="383" t="s">
        <v>1515</v>
      </c>
      <c r="I403" s="150" t="s">
        <v>1345</v>
      </c>
      <c r="J403" s="150" t="s">
        <v>1515</v>
      </c>
      <c r="K403" s="150" t="s">
        <v>1346</v>
      </c>
      <c r="L403" s="511" t="s">
        <v>49</v>
      </c>
      <c r="M403" s="392" t="s">
        <v>1555</v>
      </c>
      <c r="N403" s="343"/>
      <c r="O403" s="346" t="s">
        <v>1531</v>
      </c>
      <c r="P403" s="70" t="s">
        <v>263</v>
      </c>
      <c r="Q403" s="346"/>
      <c r="R403" s="346" t="s">
        <v>1556</v>
      </c>
      <c r="S403" s="346"/>
      <c r="T403" s="150" t="s">
        <v>25</v>
      </c>
      <c r="U403" s="150"/>
      <c r="V403" s="403"/>
      <c r="W403" s="406">
        <v>357309.48</v>
      </c>
      <c r="X403" s="406">
        <v>263234.2</v>
      </c>
      <c r="Y403" s="425"/>
      <c r="Z403" s="71"/>
      <c r="AA403" s="426"/>
      <c r="AB403" s="427"/>
      <c r="AC403" s="427">
        <v>168756.2</v>
      </c>
      <c r="AD403" s="428">
        <v>54312.340000000011</v>
      </c>
      <c r="AE403" s="429">
        <v>54312.34</v>
      </c>
      <c r="AF403" s="429">
        <v>67890.420000000013</v>
      </c>
      <c r="AG403" s="363">
        <v>11809.75</v>
      </c>
      <c r="AH403" s="363">
        <v>11809.75</v>
      </c>
      <c r="AI403" s="363">
        <v>11809.75</v>
      </c>
      <c r="AJ403" s="363">
        <v>11809.75</v>
      </c>
      <c r="AK403" s="363">
        <v>11809.75</v>
      </c>
      <c r="AL403" s="363">
        <v>11809.75</v>
      </c>
      <c r="AM403" s="360">
        <f t="shared" si="21"/>
        <v>416129.80000000005</v>
      </c>
      <c r="AN403" s="362">
        <f>ERP_26[[#This Row],[2026 Working Total]]-ERP_26[[#This Row],[LE2 Final Submission]]</f>
        <v>152895.60000000003</v>
      </c>
      <c r="AO403" s="79">
        <v>11809.75</v>
      </c>
      <c r="AP403" s="79">
        <f t="shared" si="25"/>
        <v>56080.670000000013</v>
      </c>
      <c r="AQ403" s="374">
        <f>SUM(ERP_26[[#This Row],[AP01]:[AP06]])-SUM(ERP_26[[#This Row],[AP01 LE2]:[AP06 LE2]])</f>
        <v>152895.60000000003</v>
      </c>
      <c r="AR403" s="80"/>
      <c r="AS403" s="79">
        <f>ERP_26[[#This Row],[2026 Working Total to Budget/LE]]-ERP_26[[#This Row],[Giveback]]</f>
        <v>152895.60000000003</v>
      </c>
      <c r="AT403" s="81"/>
      <c r="AU403" s="375"/>
      <c r="AV403" s="375"/>
      <c r="AW403" s="375">
        <v>168756.2</v>
      </c>
      <c r="AX403" s="375">
        <v>0</v>
      </c>
      <c r="AY403" s="375">
        <v>11809.75</v>
      </c>
      <c r="AZ403" s="375">
        <v>11809.75</v>
      </c>
      <c r="BA403" s="375">
        <v>11809.75</v>
      </c>
      <c r="BB403" s="375">
        <v>11809.75</v>
      </c>
      <c r="BC403" s="375">
        <v>11809.75</v>
      </c>
      <c r="BD403" s="375">
        <v>11809.75</v>
      </c>
      <c r="BE403" s="375">
        <v>11809.75</v>
      </c>
      <c r="BF403" s="375">
        <v>11809.75</v>
      </c>
      <c r="BG403" s="375">
        <v>263234.2</v>
      </c>
      <c r="BH403" s="79"/>
      <c r="BI403" s="79"/>
      <c r="BJ403" s="79">
        <v>168756.2</v>
      </c>
      <c r="BK403" s="79">
        <v>29775.79</v>
      </c>
      <c r="BL403" s="79">
        <v>29775.79</v>
      </c>
      <c r="BM403" s="79">
        <v>29775.79</v>
      </c>
      <c r="BN403" s="79">
        <v>29775.79</v>
      </c>
      <c r="BO403" s="79">
        <v>29775.79</v>
      </c>
      <c r="BP403" s="79">
        <v>29775.79</v>
      </c>
      <c r="BQ403" s="79">
        <v>29775.79</v>
      </c>
      <c r="BR403" s="79">
        <v>29775.79</v>
      </c>
      <c r="BS403" s="79">
        <v>29775.79</v>
      </c>
      <c r="BT403" s="79">
        <v>436738.30999999994</v>
      </c>
    </row>
    <row r="404" spans="1:72" ht="15" customHeight="1">
      <c r="A404" s="66" t="s">
        <v>1557</v>
      </c>
      <c r="B404" s="66"/>
      <c r="C404" s="66" t="s">
        <v>264</v>
      </c>
      <c r="D404" s="66" t="s">
        <v>264</v>
      </c>
      <c r="E404" s="150" t="s">
        <v>1136</v>
      </c>
      <c r="F404" s="482" t="s">
        <v>1566</v>
      </c>
      <c r="G404" s="150" t="s">
        <v>1515</v>
      </c>
      <c r="H404" s="383" t="s">
        <v>1515</v>
      </c>
      <c r="I404" s="150" t="s">
        <v>1345</v>
      </c>
      <c r="J404" s="150" t="s">
        <v>1515</v>
      </c>
      <c r="K404" s="150" t="s">
        <v>1346</v>
      </c>
      <c r="L404" s="511" t="s">
        <v>49</v>
      </c>
      <c r="M404" s="392" t="s">
        <v>1558</v>
      </c>
      <c r="N404" s="343"/>
      <c r="O404" s="343"/>
      <c r="P404" s="70" t="s">
        <v>265</v>
      </c>
      <c r="Q404" s="346"/>
      <c r="R404" s="343"/>
      <c r="S404" s="346"/>
      <c r="T404" s="150" t="s">
        <v>119</v>
      </c>
      <c r="U404" s="150"/>
      <c r="V404" s="403"/>
      <c r="W404" s="406">
        <v>25000</v>
      </c>
      <c r="X404" s="406">
        <v>25000</v>
      </c>
      <c r="Y404" s="425"/>
      <c r="Z404" s="71"/>
      <c r="AA404" s="426"/>
      <c r="AB404" s="427"/>
      <c r="AC404" s="427"/>
      <c r="AD404" s="428" t="s">
        <v>1142</v>
      </c>
      <c r="AE404" s="429">
        <v>0</v>
      </c>
      <c r="AF404" s="429">
        <v>0</v>
      </c>
      <c r="AG404" s="363"/>
      <c r="AH404" s="363">
        <v>25000</v>
      </c>
      <c r="AI404" s="360">
        <v>0</v>
      </c>
      <c r="AJ404" s="360">
        <v>0</v>
      </c>
      <c r="AK404" s="360">
        <v>0</v>
      </c>
      <c r="AL404" s="360">
        <v>0</v>
      </c>
      <c r="AM404" s="360">
        <f t="shared" si="21"/>
        <v>25000</v>
      </c>
      <c r="AN404" s="362">
        <f>ERP_26[[#This Row],[2026 Working Total]]-ERP_26[[#This Row],[LE2 Final Submission]]</f>
        <v>0</v>
      </c>
      <c r="AO404" s="79"/>
      <c r="AP404" s="79">
        <f t="shared" si="25"/>
        <v>0</v>
      </c>
      <c r="AQ404" s="374">
        <f>SUM(ERP_26[[#This Row],[AP01]:[AP06]])-SUM(ERP_26[[#This Row],[AP01 LE2]:[AP06 LE2]])</f>
        <v>0</v>
      </c>
      <c r="AR404" s="80"/>
      <c r="AS404" s="79">
        <f>ERP_26[[#This Row],[2026 Working Total to Budget/LE]]-ERP_26[[#This Row],[Giveback]]</f>
        <v>0</v>
      </c>
      <c r="AT404" s="81"/>
      <c r="AU404" s="375"/>
      <c r="AV404" s="375"/>
      <c r="AW404" s="375"/>
      <c r="AX404" s="375"/>
      <c r="AY404" s="375"/>
      <c r="AZ404" s="375"/>
      <c r="BA404" s="375"/>
      <c r="BB404" s="375">
        <v>25000</v>
      </c>
      <c r="BC404" s="375">
        <v>0</v>
      </c>
      <c r="BD404" s="375">
        <v>0</v>
      </c>
      <c r="BE404" s="375">
        <v>0</v>
      </c>
      <c r="BF404" s="375">
        <v>0</v>
      </c>
      <c r="BG404" s="375">
        <v>25000</v>
      </c>
      <c r="BH404" s="79"/>
      <c r="BI404" s="79"/>
      <c r="BJ404" s="79"/>
      <c r="BK404" s="79"/>
      <c r="BL404" s="79"/>
      <c r="BM404" s="79"/>
      <c r="BN404" s="79"/>
      <c r="BO404" s="79">
        <v>25000</v>
      </c>
      <c r="BP404" s="79">
        <v>0</v>
      </c>
      <c r="BQ404" s="79">
        <v>0</v>
      </c>
      <c r="BR404" s="79">
        <v>0</v>
      </c>
      <c r="BS404" s="79">
        <v>0</v>
      </c>
      <c r="BT404" s="79">
        <v>25000</v>
      </c>
    </row>
    <row r="405" spans="1:72" ht="15" customHeight="1">
      <c r="A405" s="66" t="s">
        <v>1559</v>
      </c>
      <c r="B405" s="66"/>
      <c r="C405" s="66" t="s">
        <v>266</v>
      </c>
      <c r="D405" s="66" t="s">
        <v>266</v>
      </c>
      <c r="E405" s="150" t="s">
        <v>1136</v>
      </c>
      <c r="F405" s="482" t="s">
        <v>1566</v>
      </c>
      <c r="G405" s="150" t="s">
        <v>1515</v>
      </c>
      <c r="H405" s="383" t="s">
        <v>1515</v>
      </c>
      <c r="I405" s="150" t="s">
        <v>1345</v>
      </c>
      <c r="J405" s="150" t="s">
        <v>1515</v>
      </c>
      <c r="K405" s="150" t="s">
        <v>1346</v>
      </c>
      <c r="L405" s="511" t="s">
        <v>49</v>
      </c>
      <c r="M405" s="392" t="s">
        <v>1560</v>
      </c>
      <c r="N405" s="343"/>
      <c r="O405" s="346" t="s">
        <v>1531</v>
      </c>
      <c r="P405" s="70" t="s">
        <v>267</v>
      </c>
      <c r="Q405" s="346"/>
      <c r="R405" s="346" t="s">
        <v>1187</v>
      </c>
      <c r="S405" s="346"/>
      <c r="T405" s="150" t="s">
        <v>25</v>
      </c>
      <c r="U405" s="150" t="s">
        <v>1561</v>
      </c>
      <c r="V405" s="403"/>
      <c r="W405" s="406">
        <v>325000.08000000007</v>
      </c>
      <c r="X405" s="406">
        <v>378801.32</v>
      </c>
      <c r="Y405" s="425"/>
      <c r="Z405" s="71"/>
      <c r="AA405" s="426">
        <v>43362</v>
      </c>
      <c r="AB405" s="427">
        <v>48564.89</v>
      </c>
      <c r="AC405" s="427">
        <v>60706.43</v>
      </c>
      <c r="AD405" s="428">
        <v>-38405.19000000001</v>
      </c>
      <c r="AE405" s="429">
        <v>41122.75</v>
      </c>
      <c r="AF405" s="429">
        <v>42728.490000000005</v>
      </c>
      <c r="AG405" s="363">
        <v>29000</v>
      </c>
      <c r="AH405" s="363">
        <v>29000</v>
      </c>
      <c r="AI405" s="363">
        <v>28000</v>
      </c>
      <c r="AJ405" s="363">
        <v>28500</v>
      </c>
      <c r="AK405" s="363">
        <v>28500</v>
      </c>
      <c r="AL405" s="363">
        <v>28500</v>
      </c>
      <c r="AM405" s="360">
        <f t="shared" si="21"/>
        <v>369579.37</v>
      </c>
      <c r="AN405" s="362">
        <f>ERP_26[[#This Row],[2026 Working Total]]-ERP_26[[#This Row],[LE2 Final Submission]]</f>
        <v>-9221.9500000000116</v>
      </c>
      <c r="AO405" s="79">
        <v>11500</v>
      </c>
      <c r="AP405" s="79">
        <f t="shared" si="25"/>
        <v>31228.490000000005</v>
      </c>
      <c r="AQ405" s="374">
        <f>SUM(ERP_26[[#This Row],[AP01]:[AP06]])-SUM(ERP_26[[#This Row],[AP01 LE2]:[AP06 LE2]])</f>
        <v>-9221.9500000000116</v>
      </c>
      <c r="AR405" s="80"/>
      <c r="AS405" s="79">
        <f>ERP_26[[#This Row],[2026 Working Total to Budget/LE]]-ERP_26[[#This Row],[Giveback]]</f>
        <v>-9221.9500000000116</v>
      </c>
      <c r="AT405" s="189" t="s">
        <v>1518</v>
      </c>
      <c r="AU405" s="377">
        <v>43362</v>
      </c>
      <c r="AV405" s="377">
        <v>48564.89</v>
      </c>
      <c r="AW405" s="377">
        <v>60706.43</v>
      </c>
      <c r="AX405" s="377">
        <v>31668</v>
      </c>
      <c r="AY405" s="377">
        <v>11500</v>
      </c>
      <c r="AZ405" s="377">
        <v>11500</v>
      </c>
      <c r="BA405" s="377">
        <v>29000</v>
      </c>
      <c r="BB405" s="377">
        <v>29000</v>
      </c>
      <c r="BC405" s="377">
        <v>28000</v>
      </c>
      <c r="BD405" s="377">
        <v>28500</v>
      </c>
      <c r="BE405" s="377">
        <v>28500</v>
      </c>
      <c r="BF405" s="377">
        <v>28500</v>
      </c>
      <c r="BG405" s="377">
        <v>378801.32</v>
      </c>
      <c r="BH405" s="79">
        <v>43362</v>
      </c>
      <c r="BI405" s="79">
        <v>48564.89</v>
      </c>
      <c r="BJ405" s="79">
        <v>60706.43</v>
      </c>
      <c r="BK405" s="79">
        <v>49897</v>
      </c>
      <c r="BL405" s="79">
        <v>49897</v>
      </c>
      <c r="BM405" s="79">
        <v>49897</v>
      </c>
      <c r="BN405" s="79">
        <v>49897</v>
      </c>
      <c r="BO405" s="79">
        <v>49897</v>
      </c>
      <c r="BP405" s="79">
        <v>49897</v>
      </c>
      <c r="BQ405" s="79">
        <v>49897</v>
      </c>
      <c r="BR405" s="79">
        <v>49897</v>
      </c>
      <c r="BS405" s="79">
        <v>49897</v>
      </c>
      <c r="BT405" s="79">
        <v>601706.32000000007</v>
      </c>
    </row>
    <row r="406" spans="1:72" ht="15" customHeight="1">
      <c r="A406" s="66" t="s">
        <v>1562</v>
      </c>
      <c r="B406" s="66"/>
      <c r="C406" s="66" t="s">
        <v>268</v>
      </c>
      <c r="D406" s="66" t="s">
        <v>268</v>
      </c>
      <c r="E406" s="150" t="s">
        <v>1136</v>
      </c>
      <c r="F406" s="482" t="s">
        <v>1566</v>
      </c>
      <c r="G406" s="150" t="s">
        <v>1515</v>
      </c>
      <c r="H406" s="383" t="s">
        <v>1515</v>
      </c>
      <c r="I406" s="150" t="s">
        <v>1345</v>
      </c>
      <c r="J406" s="150" t="s">
        <v>1515</v>
      </c>
      <c r="K406" s="150" t="s">
        <v>1346</v>
      </c>
      <c r="L406" s="511" t="s">
        <v>49</v>
      </c>
      <c r="M406" s="392" t="s">
        <v>1327</v>
      </c>
      <c r="N406" s="343"/>
      <c r="O406" s="343"/>
      <c r="P406" s="70" t="s">
        <v>147</v>
      </c>
      <c r="Q406" s="346"/>
      <c r="R406" s="343"/>
      <c r="S406" s="346"/>
      <c r="T406" s="150" t="s">
        <v>25</v>
      </c>
      <c r="U406" s="150"/>
      <c r="V406" s="403"/>
      <c r="W406" s="406">
        <v>0</v>
      </c>
      <c r="X406" s="406">
        <v>19639.919999999998</v>
      </c>
      <c r="Y406" s="425"/>
      <c r="Z406" s="71"/>
      <c r="AA406" s="426">
        <v>-0.23</v>
      </c>
      <c r="AB406" s="427">
        <v>-0.24</v>
      </c>
      <c r="AC406" s="427">
        <v>19640.39</v>
      </c>
      <c r="AD406" s="428">
        <v>0.61</v>
      </c>
      <c r="AE406" s="481">
        <v>-19640.97</v>
      </c>
      <c r="AF406" s="429">
        <v>0.03</v>
      </c>
      <c r="AG406" s="360">
        <v>0</v>
      </c>
      <c r="AH406" s="360">
        <v>0</v>
      </c>
      <c r="AI406" s="360">
        <v>0</v>
      </c>
      <c r="AJ406" s="360">
        <v>0</v>
      </c>
      <c r="AK406" s="360">
        <v>0</v>
      </c>
      <c r="AL406" s="360">
        <v>0</v>
      </c>
      <c r="AM406" s="360">
        <f t="shared" si="21"/>
        <v>-0.41000000000232828</v>
      </c>
      <c r="AN406" s="362">
        <f>ERP_26[[#This Row],[2026 Working Total]]-ERP_26[[#This Row],[LE2 Final Submission]]</f>
        <v>-19640.330000000002</v>
      </c>
      <c r="AO406" s="79">
        <v>0</v>
      </c>
      <c r="AP406" s="79">
        <f t="shared" si="25"/>
        <v>0.03</v>
      </c>
      <c r="AQ406" s="374">
        <f>SUM(ERP_26[[#This Row],[AP01]:[AP06]])-SUM(ERP_26[[#This Row],[AP01 LE2]:[AP06 LE2]])</f>
        <v>-19640.330000000002</v>
      </c>
      <c r="AR406" s="80"/>
      <c r="AS406" s="79">
        <f>ERP_26[[#This Row],[2026 Working Total to Budget/LE]]-ERP_26[[#This Row],[Giveback]]</f>
        <v>-19640.330000000002</v>
      </c>
      <c r="AT406" s="81"/>
      <c r="AU406" s="375">
        <v>-0.23</v>
      </c>
      <c r="AV406" s="375">
        <v>-0.24</v>
      </c>
      <c r="AW406" s="375">
        <v>19640.39</v>
      </c>
      <c r="AX406" s="375">
        <v>0</v>
      </c>
      <c r="AY406" s="375">
        <v>0</v>
      </c>
      <c r="AZ406" s="375">
        <v>0</v>
      </c>
      <c r="BA406" s="375">
        <v>0</v>
      </c>
      <c r="BB406" s="375">
        <v>0</v>
      </c>
      <c r="BC406" s="375">
        <v>0</v>
      </c>
      <c r="BD406" s="375">
        <v>0</v>
      </c>
      <c r="BE406" s="375">
        <v>0</v>
      </c>
      <c r="BF406" s="375">
        <v>0</v>
      </c>
      <c r="BG406" s="375">
        <v>19639.919999999998</v>
      </c>
      <c r="BH406" s="79">
        <v>-0.23</v>
      </c>
      <c r="BI406" s="79">
        <v>-0.24</v>
      </c>
      <c r="BJ406" s="79">
        <v>19640.39</v>
      </c>
      <c r="BK406" s="79">
        <v>0</v>
      </c>
      <c r="BL406" s="79">
        <v>0</v>
      </c>
      <c r="BM406" s="79">
        <v>0</v>
      </c>
      <c r="BN406" s="79">
        <v>0</v>
      </c>
      <c r="BO406" s="79">
        <v>0</v>
      </c>
      <c r="BP406" s="79">
        <v>0</v>
      </c>
      <c r="BQ406" s="79">
        <v>0</v>
      </c>
      <c r="BR406" s="79">
        <v>0</v>
      </c>
      <c r="BS406" s="79">
        <v>0</v>
      </c>
      <c r="BT406" s="79">
        <v>19639.919999999998</v>
      </c>
    </row>
    <row r="407" spans="1:72" ht="15" customHeight="1">
      <c r="A407" s="66" t="s">
        <v>1563</v>
      </c>
      <c r="B407" s="66"/>
      <c r="C407" s="66" t="s">
        <v>269</v>
      </c>
      <c r="D407" s="66" t="s">
        <v>269</v>
      </c>
      <c r="E407" s="150" t="s">
        <v>1136</v>
      </c>
      <c r="F407" s="482" t="s">
        <v>1566</v>
      </c>
      <c r="G407" s="150" t="s">
        <v>1515</v>
      </c>
      <c r="H407" s="383" t="s">
        <v>1515</v>
      </c>
      <c r="I407" s="150" t="s">
        <v>1345</v>
      </c>
      <c r="J407" s="150" t="s">
        <v>1515</v>
      </c>
      <c r="K407" s="150" t="s">
        <v>1346</v>
      </c>
      <c r="L407" s="511" t="s">
        <v>49</v>
      </c>
      <c r="M407" s="392" t="s">
        <v>1340</v>
      </c>
      <c r="N407" s="343"/>
      <c r="O407" s="343"/>
      <c r="P407" s="70" t="s">
        <v>149</v>
      </c>
      <c r="Q407" s="346" t="s">
        <v>1139</v>
      </c>
      <c r="R407" s="343"/>
      <c r="S407" s="346"/>
      <c r="T407" s="150" t="s">
        <v>25</v>
      </c>
      <c r="U407" s="150"/>
      <c r="V407" s="403"/>
      <c r="W407" s="406">
        <v>0</v>
      </c>
      <c r="X407" s="406">
        <v>-54295.289999999994</v>
      </c>
      <c r="Y407" s="425"/>
      <c r="Z407" s="71"/>
      <c r="AA407" s="426">
        <v>-4506.29</v>
      </c>
      <c r="AB407" s="427">
        <v>-29540.02</v>
      </c>
      <c r="AC407" s="427">
        <v>-20248.98</v>
      </c>
      <c r="AD407" s="428">
        <v>0</v>
      </c>
      <c r="AE407" s="429">
        <v>0</v>
      </c>
      <c r="AF407" s="429">
        <v>0</v>
      </c>
      <c r="AG407" s="360">
        <v>0</v>
      </c>
      <c r="AH407" s="360">
        <v>0</v>
      </c>
      <c r="AI407" s="360">
        <v>0</v>
      </c>
      <c r="AJ407" s="360">
        <v>0</v>
      </c>
      <c r="AK407" s="360">
        <v>0</v>
      </c>
      <c r="AL407" s="360">
        <v>0</v>
      </c>
      <c r="AM407" s="360">
        <f t="shared" si="21"/>
        <v>-54295.289999999994</v>
      </c>
      <c r="AN407" s="362">
        <f>ERP_26[[#This Row],[2026 Working Total]]-ERP_26[[#This Row],[LE2 Final Submission]]</f>
        <v>0</v>
      </c>
      <c r="AO407" s="79">
        <v>0</v>
      </c>
      <c r="AP407" s="79">
        <f t="shared" si="25"/>
        <v>0</v>
      </c>
      <c r="AQ407" s="374">
        <f>SUM(ERP_26[[#This Row],[AP01]:[AP06]])-SUM(ERP_26[[#This Row],[AP01 LE2]:[AP06 LE2]])</f>
        <v>0</v>
      </c>
      <c r="AR407" s="80"/>
      <c r="AS407" s="79">
        <f>ERP_26[[#This Row],[2026 Working Total to Budget/LE]]-ERP_26[[#This Row],[Giveback]]</f>
        <v>0</v>
      </c>
      <c r="AT407" s="81"/>
      <c r="AU407" s="375">
        <v>-4506.29</v>
      </c>
      <c r="AV407" s="375">
        <v>-29540.02</v>
      </c>
      <c r="AW407" s="375">
        <v>-20248.98</v>
      </c>
      <c r="AX407" s="375">
        <v>0</v>
      </c>
      <c r="AY407" s="375">
        <v>0</v>
      </c>
      <c r="AZ407" s="375">
        <v>0</v>
      </c>
      <c r="BA407" s="375">
        <v>0</v>
      </c>
      <c r="BB407" s="375">
        <v>0</v>
      </c>
      <c r="BC407" s="375">
        <v>0</v>
      </c>
      <c r="BD407" s="375">
        <v>0</v>
      </c>
      <c r="BE407" s="375">
        <v>0</v>
      </c>
      <c r="BF407" s="375">
        <v>0</v>
      </c>
      <c r="BG407" s="375">
        <v>-54295.289999999994</v>
      </c>
      <c r="BH407" s="79">
        <v>-4506.29</v>
      </c>
      <c r="BI407" s="79">
        <v>-29540.02</v>
      </c>
      <c r="BJ407" s="79">
        <v>-20248.98</v>
      </c>
      <c r="BK407" s="79">
        <v>0</v>
      </c>
      <c r="BL407" s="79">
        <v>0</v>
      </c>
      <c r="BM407" s="79">
        <v>0</v>
      </c>
      <c r="BN407" s="79">
        <v>0</v>
      </c>
      <c r="BO407" s="79">
        <v>0</v>
      </c>
      <c r="BP407" s="79">
        <v>0</v>
      </c>
      <c r="BQ407" s="79">
        <v>0</v>
      </c>
      <c r="BR407" s="79">
        <v>0</v>
      </c>
      <c r="BS407" s="79">
        <v>0</v>
      </c>
      <c r="BT407" s="79">
        <v>-54295.289999999994</v>
      </c>
    </row>
    <row r="408" spans="1:72" ht="15" customHeight="1">
      <c r="A408" s="66" t="s">
        <v>2066</v>
      </c>
      <c r="B408" s="66"/>
      <c r="C408" s="66" t="s">
        <v>555</v>
      </c>
      <c r="D408" s="66" t="s">
        <v>555</v>
      </c>
      <c r="E408" s="150" t="s">
        <v>1136</v>
      </c>
      <c r="F408" s="482" t="s">
        <v>1566</v>
      </c>
      <c r="G408" s="150" t="s">
        <v>1515</v>
      </c>
      <c r="H408" s="383" t="s">
        <v>1515</v>
      </c>
      <c r="I408" s="150" t="s">
        <v>1345</v>
      </c>
      <c r="J408" s="150" t="s">
        <v>1515</v>
      </c>
      <c r="K408" s="150" t="s">
        <v>1346</v>
      </c>
      <c r="L408" s="511" t="s">
        <v>389</v>
      </c>
      <c r="M408" s="392" t="s">
        <v>1147</v>
      </c>
      <c r="N408" s="343"/>
      <c r="O408" s="343"/>
      <c r="P408" s="70" t="s">
        <v>53</v>
      </c>
      <c r="Q408" s="346" t="s">
        <v>1153</v>
      </c>
      <c r="R408" s="343"/>
      <c r="S408" s="346"/>
      <c r="T408" s="150" t="s">
        <v>25</v>
      </c>
      <c r="U408" s="150"/>
      <c r="V408" s="403"/>
      <c r="W408" s="406">
        <v>0</v>
      </c>
      <c r="X408" s="406">
        <v>1177</v>
      </c>
      <c r="Y408" s="425"/>
      <c r="Z408" s="71"/>
      <c r="AA408" s="426">
        <v>-14023</v>
      </c>
      <c r="AB408" s="427">
        <v>60</v>
      </c>
      <c r="AC408" s="427">
        <v>15140</v>
      </c>
      <c r="AD408" s="428">
        <v>60</v>
      </c>
      <c r="AE408" s="429">
        <v>60</v>
      </c>
      <c r="AF408" s="429">
        <v>-1401</v>
      </c>
      <c r="AG408" s="360">
        <v>0</v>
      </c>
      <c r="AH408" s="360">
        <v>0</v>
      </c>
      <c r="AI408" s="360">
        <v>0</v>
      </c>
      <c r="AJ408" s="360">
        <v>0</v>
      </c>
      <c r="AK408" s="360">
        <v>0</v>
      </c>
      <c r="AL408" s="360">
        <v>0</v>
      </c>
      <c r="AM408" s="360">
        <f t="shared" si="21"/>
        <v>-104</v>
      </c>
      <c r="AN408" s="362">
        <f>ERP_26[[#This Row],[2026 Working Total]]-ERP_26[[#This Row],[LE2 Final Submission]]</f>
        <v>-1281</v>
      </c>
      <c r="AO408" s="79">
        <v>0</v>
      </c>
      <c r="AP408" s="79">
        <f t="shared" si="25"/>
        <v>-1401</v>
      </c>
      <c r="AQ408" s="374">
        <f>SUM(ERP_26[[#This Row],[AP01]:[AP06]])-SUM(ERP_26[[#This Row],[AP01 LE2]:[AP06 LE2]])</f>
        <v>-1281</v>
      </c>
      <c r="AR408" s="80"/>
      <c r="AS408" s="79">
        <f>ERP_26[[#This Row],[2026 Working Total to Budget/LE]]-ERP_26[[#This Row],[Giveback]]</f>
        <v>-1281</v>
      </c>
      <c r="AT408" s="81"/>
      <c r="AU408" s="375">
        <v>-14023</v>
      </c>
      <c r="AV408" s="375">
        <v>60</v>
      </c>
      <c r="AW408" s="375">
        <v>15140</v>
      </c>
      <c r="AX408" s="375">
        <v>0</v>
      </c>
      <c r="AY408" s="375">
        <v>0</v>
      </c>
      <c r="AZ408" s="375">
        <v>0</v>
      </c>
      <c r="BA408" s="375">
        <v>0</v>
      </c>
      <c r="BB408" s="375">
        <v>0</v>
      </c>
      <c r="BC408" s="375">
        <v>0</v>
      </c>
      <c r="BD408" s="375">
        <v>0</v>
      </c>
      <c r="BE408" s="375">
        <v>0</v>
      </c>
      <c r="BF408" s="375">
        <v>0</v>
      </c>
      <c r="BG408" s="375">
        <v>1177</v>
      </c>
      <c r="BH408" s="79">
        <v>-14023</v>
      </c>
      <c r="BI408" s="79">
        <v>60</v>
      </c>
      <c r="BJ408" s="79">
        <v>15140</v>
      </c>
      <c r="BK408" s="79">
        <v>0</v>
      </c>
      <c r="BL408" s="79">
        <v>0</v>
      </c>
      <c r="BM408" s="79">
        <v>0</v>
      </c>
      <c r="BN408" s="79">
        <v>0</v>
      </c>
      <c r="BO408" s="79">
        <v>0</v>
      </c>
      <c r="BP408" s="79">
        <v>0</v>
      </c>
      <c r="BQ408" s="79">
        <v>0</v>
      </c>
      <c r="BR408" s="79">
        <v>0</v>
      </c>
      <c r="BS408" s="79">
        <v>0</v>
      </c>
      <c r="BT408" s="79">
        <v>1177</v>
      </c>
    </row>
    <row r="409" spans="1:72" ht="15" customHeight="1">
      <c r="A409" s="66" t="s">
        <v>2068</v>
      </c>
      <c r="B409" s="66"/>
      <c r="C409" s="66" t="s">
        <v>556</v>
      </c>
      <c r="D409" s="66" t="s">
        <v>556</v>
      </c>
      <c r="E409" s="150" t="s">
        <v>1136</v>
      </c>
      <c r="F409" s="482" t="s">
        <v>1566</v>
      </c>
      <c r="G409" s="150" t="s">
        <v>1515</v>
      </c>
      <c r="H409" s="383" t="s">
        <v>1515</v>
      </c>
      <c r="I409" s="150" t="s">
        <v>1345</v>
      </c>
      <c r="J409" s="150" t="s">
        <v>1515</v>
      </c>
      <c r="K409" s="150" t="s">
        <v>1346</v>
      </c>
      <c r="L409" s="511" t="s">
        <v>389</v>
      </c>
      <c r="M409" s="392" t="s">
        <v>1969</v>
      </c>
      <c r="N409" s="343"/>
      <c r="O409" s="343"/>
      <c r="P409" s="70" t="s">
        <v>497</v>
      </c>
      <c r="Q409" s="346"/>
      <c r="R409" s="343"/>
      <c r="S409" s="346"/>
      <c r="T409" s="150" t="s">
        <v>25</v>
      </c>
      <c r="U409" s="150"/>
      <c r="V409" s="403"/>
      <c r="W409" s="406">
        <v>4213</v>
      </c>
      <c r="X409" s="406">
        <v>3403</v>
      </c>
      <c r="Y409" s="425"/>
      <c r="Z409" s="71"/>
      <c r="AA409" s="426"/>
      <c r="AB409" s="427"/>
      <c r="AC409" s="427"/>
      <c r="AD409" s="428" t="s">
        <v>1142</v>
      </c>
      <c r="AE409" s="429">
        <v>0</v>
      </c>
      <c r="AF409" s="429">
        <v>0</v>
      </c>
      <c r="AG409" s="363">
        <v>267</v>
      </c>
      <c r="AH409" s="363">
        <v>267</v>
      </c>
      <c r="AI409" s="363">
        <v>267</v>
      </c>
      <c r="AJ409" s="363">
        <v>267</v>
      </c>
      <c r="AK409" s="363">
        <v>267</v>
      </c>
      <c r="AL409" s="363">
        <v>1267</v>
      </c>
      <c r="AM409" s="360">
        <f t="shared" si="21"/>
        <v>2602</v>
      </c>
      <c r="AN409" s="362">
        <f>ERP_26[[#This Row],[2026 Working Total]]-ERP_26[[#This Row],[LE2 Final Submission]]</f>
        <v>-801</v>
      </c>
      <c r="AO409" s="79">
        <v>267</v>
      </c>
      <c r="AP409" s="79">
        <f t="shared" si="25"/>
        <v>-267</v>
      </c>
      <c r="AQ409" s="374">
        <f>SUM(ERP_26[[#This Row],[AP01]:[AP06]])-SUM(ERP_26[[#This Row],[AP01 LE2]:[AP06 LE2]])</f>
        <v>-801</v>
      </c>
      <c r="AR409" s="80"/>
      <c r="AS409" s="79">
        <f>ERP_26[[#This Row],[2026 Working Total to Budget/LE]]-ERP_26[[#This Row],[Giveback]]</f>
        <v>-801</v>
      </c>
      <c r="AT409" s="81"/>
      <c r="AU409" s="375"/>
      <c r="AV409" s="375"/>
      <c r="AW409" s="375"/>
      <c r="AX409" s="375">
        <v>267</v>
      </c>
      <c r="AY409" s="375">
        <v>267</v>
      </c>
      <c r="AZ409" s="375">
        <v>267</v>
      </c>
      <c r="BA409" s="375">
        <v>267</v>
      </c>
      <c r="BB409" s="375">
        <v>267</v>
      </c>
      <c r="BC409" s="375">
        <v>267</v>
      </c>
      <c r="BD409" s="375">
        <v>267</v>
      </c>
      <c r="BE409" s="375">
        <v>267</v>
      </c>
      <c r="BF409" s="375">
        <v>1267</v>
      </c>
      <c r="BG409" s="375">
        <v>3403</v>
      </c>
      <c r="BH409" s="79"/>
      <c r="BI409" s="79"/>
      <c r="BJ409" s="79"/>
      <c r="BK409" s="79">
        <v>267</v>
      </c>
      <c r="BL409" s="79">
        <v>267</v>
      </c>
      <c r="BM409" s="79">
        <v>267</v>
      </c>
      <c r="BN409" s="79">
        <v>267</v>
      </c>
      <c r="BO409" s="79">
        <v>267</v>
      </c>
      <c r="BP409" s="79">
        <v>267</v>
      </c>
      <c r="BQ409" s="79">
        <v>267</v>
      </c>
      <c r="BR409" s="79">
        <v>267</v>
      </c>
      <c r="BS409" s="79">
        <v>1267</v>
      </c>
      <c r="BT409" s="79">
        <v>3403</v>
      </c>
    </row>
    <row r="410" spans="1:72" ht="15" customHeight="1">
      <c r="A410" s="66" t="s">
        <v>2069</v>
      </c>
      <c r="B410" s="66"/>
      <c r="C410" s="66" t="s">
        <v>557</v>
      </c>
      <c r="D410" s="66" t="s">
        <v>557</v>
      </c>
      <c r="E410" s="150" t="s">
        <v>1136</v>
      </c>
      <c r="F410" s="482" t="s">
        <v>1566</v>
      </c>
      <c r="G410" s="150" t="s">
        <v>1515</v>
      </c>
      <c r="H410" s="383" t="s">
        <v>1515</v>
      </c>
      <c r="I410" s="150" t="s">
        <v>1345</v>
      </c>
      <c r="J410" s="150" t="s">
        <v>1515</v>
      </c>
      <c r="K410" s="150" t="s">
        <v>1346</v>
      </c>
      <c r="L410" s="511" t="s">
        <v>389</v>
      </c>
      <c r="M410" s="392" t="s">
        <v>1971</v>
      </c>
      <c r="N410" s="343"/>
      <c r="O410" s="343"/>
      <c r="P410" s="70" t="s">
        <v>499</v>
      </c>
      <c r="Q410" s="346"/>
      <c r="R410" s="343"/>
      <c r="S410" s="346"/>
      <c r="T410" s="150" t="s">
        <v>57</v>
      </c>
      <c r="U410" s="150"/>
      <c r="V410" s="403"/>
      <c r="W410" s="406">
        <v>3260</v>
      </c>
      <c r="X410" s="406">
        <v>2780</v>
      </c>
      <c r="Y410" s="425"/>
      <c r="Z410" s="71"/>
      <c r="AA410" s="426"/>
      <c r="AB410" s="427"/>
      <c r="AC410" s="427"/>
      <c r="AD410" s="428" t="s">
        <v>1142</v>
      </c>
      <c r="AE410" s="429">
        <v>0</v>
      </c>
      <c r="AF410" s="429">
        <v>0</v>
      </c>
      <c r="AG410" s="363">
        <v>160</v>
      </c>
      <c r="AH410" s="363">
        <v>160</v>
      </c>
      <c r="AI410" s="363">
        <v>160</v>
      </c>
      <c r="AJ410" s="363">
        <v>160</v>
      </c>
      <c r="AK410" s="363">
        <v>160</v>
      </c>
      <c r="AL410" s="363">
        <v>1500</v>
      </c>
      <c r="AM410" s="360">
        <f t="shared" si="21"/>
        <v>2300</v>
      </c>
      <c r="AN410" s="362">
        <f>ERP_26[[#This Row],[2026 Working Total]]-ERP_26[[#This Row],[LE2 Final Submission]]</f>
        <v>-480</v>
      </c>
      <c r="AO410" s="79">
        <v>160</v>
      </c>
      <c r="AP410" s="79">
        <f t="shared" si="25"/>
        <v>-160</v>
      </c>
      <c r="AQ410" s="374">
        <f>SUM(ERP_26[[#This Row],[AP01]:[AP06]])-SUM(ERP_26[[#This Row],[AP01 LE2]:[AP06 LE2]])</f>
        <v>-480</v>
      </c>
      <c r="AR410" s="80"/>
      <c r="AS410" s="79">
        <f>ERP_26[[#This Row],[2026 Working Total to Budget/LE]]-ERP_26[[#This Row],[Giveback]]</f>
        <v>-480</v>
      </c>
      <c r="AT410" s="81"/>
      <c r="AU410" s="375"/>
      <c r="AV410" s="375"/>
      <c r="AW410" s="375"/>
      <c r="AX410" s="375">
        <v>160</v>
      </c>
      <c r="AY410" s="375">
        <v>160</v>
      </c>
      <c r="AZ410" s="375">
        <v>160</v>
      </c>
      <c r="BA410" s="375">
        <v>160</v>
      </c>
      <c r="BB410" s="375">
        <v>160</v>
      </c>
      <c r="BC410" s="375">
        <v>160</v>
      </c>
      <c r="BD410" s="375">
        <v>160</v>
      </c>
      <c r="BE410" s="375">
        <v>160</v>
      </c>
      <c r="BF410" s="375">
        <v>1500</v>
      </c>
      <c r="BG410" s="375">
        <v>2780</v>
      </c>
      <c r="BH410" s="79"/>
      <c r="BI410" s="79"/>
      <c r="BJ410" s="79"/>
      <c r="BK410" s="79">
        <v>160</v>
      </c>
      <c r="BL410" s="79">
        <v>160</v>
      </c>
      <c r="BM410" s="79">
        <v>160</v>
      </c>
      <c r="BN410" s="79">
        <v>160</v>
      </c>
      <c r="BO410" s="79">
        <v>160</v>
      </c>
      <c r="BP410" s="79">
        <v>160</v>
      </c>
      <c r="BQ410" s="79">
        <v>160</v>
      </c>
      <c r="BR410" s="79">
        <v>160</v>
      </c>
      <c r="BS410" s="79">
        <v>1500</v>
      </c>
      <c r="BT410" s="79">
        <v>2780</v>
      </c>
    </row>
    <row r="411" spans="1:72" ht="15" customHeight="1">
      <c r="A411" s="66" t="s">
        <v>2070</v>
      </c>
      <c r="B411" s="66"/>
      <c r="C411" s="66" t="s">
        <v>558</v>
      </c>
      <c r="D411" s="66" t="s">
        <v>558</v>
      </c>
      <c r="E411" s="150" t="s">
        <v>1136</v>
      </c>
      <c r="F411" s="482" t="s">
        <v>1566</v>
      </c>
      <c r="G411" s="150" t="s">
        <v>1515</v>
      </c>
      <c r="H411" s="383" t="s">
        <v>1515</v>
      </c>
      <c r="I411" s="150" t="s">
        <v>1345</v>
      </c>
      <c r="J411" s="150" t="s">
        <v>1515</v>
      </c>
      <c r="K411" s="150" t="s">
        <v>1346</v>
      </c>
      <c r="L411" s="511" t="s">
        <v>389</v>
      </c>
      <c r="M411" s="392" t="s">
        <v>2071</v>
      </c>
      <c r="N411" s="343"/>
      <c r="O411" s="343"/>
      <c r="P411" s="70" t="s">
        <v>559</v>
      </c>
      <c r="Q411" s="346"/>
      <c r="R411" s="343"/>
      <c r="S411" s="346"/>
      <c r="T411" s="150" t="s">
        <v>57</v>
      </c>
      <c r="U411" s="150"/>
      <c r="V411" s="403"/>
      <c r="W411" s="406">
        <v>17000</v>
      </c>
      <c r="X411" s="406">
        <v>13700</v>
      </c>
      <c r="Y411" s="425"/>
      <c r="Z411" s="71"/>
      <c r="AA411" s="426"/>
      <c r="AB411" s="427"/>
      <c r="AC411" s="427"/>
      <c r="AD411" s="428" t="s">
        <v>1142</v>
      </c>
      <c r="AE411" s="429">
        <v>0</v>
      </c>
      <c r="AF411" s="429">
        <v>0</v>
      </c>
      <c r="AG411" s="363">
        <v>1100</v>
      </c>
      <c r="AH411" s="363">
        <v>1100</v>
      </c>
      <c r="AI411" s="363">
        <v>1100</v>
      </c>
      <c r="AJ411" s="363">
        <v>1100</v>
      </c>
      <c r="AK411" s="363">
        <v>3000</v>
      </c>
      <c r="AL411" s="363">
        <v>3000</v>
      </c>
      <c r="AM411" s="360">
        <f t="shared" si="21"/>
        <v>10400</v>
      </c>
      <c r="AN411" s="362">
        <f>ERP_26[[#This Row],[2026 Working Total]]-ERP_26[[#This Row],[LE2 Final Submission]]</f>
        <v>-3300</v>
      </c>
      <c r="AO411" s="79">
        <v>1100</v>
      </c>
      <c r="AP411" s="79">
        <f t="shared" si="25"/>
        <v>-1100</v>
      </c>
      <c r="AQ411" s="374">
        <f>SUM(ERP_26[[#This Row],[AP01]:[AP06]])-SUM(ERP_26[[#This Row],[AP01 LE2]:[AP06 LE2]])</f>
        <v>-3300</v>
      </c>
      <c r="AR411" s="80"/>
      <c r="AS411" s="79">
        <f>ERP_26[[#This Row],[2026 Working Total to Budget/LE]]-ERP_26[[#This Row],[Giveback]]</f>
        <v>-3300</v>
      </c>
      <c r="AT411" s="81"/>
      <c r="AU411" s="375"/>
      <c r="AV411" s="375"/>
      <c r="AW411" s="375"/>
      <c r="AX411" s="375">
        <v>1100</v>
      </c>
      <c r="AY411" s="375">
        <v>1100</v>
      </c>
      <c r="AZ411" s="375">
        <v>1100</v>
      </c>
      <c r="BA411" s="375">
        <v>1100</v>
      </c>
      <c r="BB411" s="375">
        <v>1100</v>
      </c>
      <c r="BC411" s="375">
        <v>1100</v>
      </c>
      <c r="BD411" s="375">
        <v>1100</v>
      </c>
      <c r="BE411" s="375">
        <v>3000</v>
      </c>
      <c r="BF411" s="375">
        <v>3000</v>
      </c>
      <c r="BG411" s="375">
        <v>13700</v>
      </c>
      <c r="BH411" s="79"/>
      <c r="BI411" s="79"/>
      <c r="BJ411" s="79"/>
      <c r="BK411" s="79">
        <v>1100</v>
      </c>
      <c r="BL411" s="79">
        <v>1100</v>
      </c>
      <c r="BM411" s="79">
        <v>1100</v>
      </c>
      <c r="BN411" s="79">
        <v>1100</v>
      </c>
      <c r="BO411" s="79">
        <v>1100</v>
      </c>
      <c r="BP411" s="79">
        <v>1100</v>
      </c>
      <c r="BQ411" s="79">
        <v>1100</v>
      </c>
      <c r="BR411" s="79">
        <v>3000</v>
      </c>
      <c r="BS411" s="79">
        <v>3000</v>
      </c>
      <c r="BT411" s="79">
        <v>13700</v>
      </c>
    </row>
    <row r="412" spans="1:72" ht="15" customHeight="1">
      <c r="A412" s="66" t="s">
        <v>2072</v>
      </c>
      <c r="B412" s="66"/>
      <c r="C412" s="66" t="s">
        <v>560</v>
      </c>
      <c r="D412" s="66" t="s">
        <v>560</v>
      </c>
      <c r="E412" s="150" t="s">
        <v>1136</v>
      </c>
      <c r="F412" s="482" t="s">
        <v>1566</v>
      </c>
      <c r="G412" s="150" t="s">
        <v>1515</v>
      </c>
      <c r="H412" s="383" t="s">
        <v>1515</v>
      </c>
      <c r="I412" s="150" t="s">
        <v>1345</v>
      </c>
      <c r="J412" s="150" t="s">
        <v>1515</v>
      </c>
      <c r="K412" s="150" t="s">
        <v>1346</v>
      </c>
      <c r="L412" s="511" t="s">
        <v>389</v>
      </c>
      <c r="M412" s="392" t="s">
        <v>1855</v>
      </c>
      <c r="N412" s="343"/>
      <c r="O412" s="343"/>
      <c r="P412" s="70" t="s">
        <v>466</v>
      </c>
      <c r="Q412" s="346"/>
      <c r="R412" s="346" t="s">
        <v>1140</v>
      </c>
      <c r="S412" s="346"/>
      <c r="T412" s="150" t="s">
        <v>57</v>
      </c>
      <c r="U412" s="150"/>
      <c r="V412" s="403"/>
      <c r="W412" s="406">
        <v>0</v>
      </c>
      <c r="X412" s="406">
        <v>3562</v>
      </c>
      <c r="Y412" s="425"/>
      <c r="Z412" s="71"/>
      <c r="AA412" s="426">
        <v>60</v>
      </c>
      <c r="AB412" s="431">
        <v>0</v>
      </c>
      <c r="AC412" s="427">
        <v>3502</v>
      </c>
      <c r="AD412" s="428">
        <v>0</v>
      </c>
      <c r="AE412" s="429">
        <v>0</v>
      </c>
      <c r="AF412" s="429">
        <v>60</v>
      </c>
      <c r="AG412" s="360">
        <v>0</v>
      </c>
      <c r="AH412" s="360">
        <v>0</v>
      </c>
      <c r="AI412" s="360">
        <v>0</v>
      </c>
      <c r="AJ412" s="360">
        <v>0</v>
      </c>
      <c r="AK412" s="360">
        <v>0</v>
      </c>
      <c r="AL412" s="360">
        <v>0</v>
      </c>
      <c r="AM412" s="360">
        <f t="shared" si="21"/>
        <v>3622</v>
      </c>
      <c r="AN412" s="362">
        <f>ERP_26[[#This Row],[2026 Working Total]]-ERP_26[[#This Row],[LE2 Final Submission]]</f>
        <v>60</v>
      </c>
      <c r="AO412" s="79">
        <v>0</v>
      </c>
      <c r="AP412" s="79">
        <f t="shared" si="25"/>
        <v>60</v>
      </c>
      <c r="AQ412" s="374">
        <f>SUM(ERP_26[[#This Row],[AP01]:[AP06]])-SUM(ERP_26[[#This Row],[AP01 LE2]:[AP06 LE2]])</f>
        <v>60</v>
      </c>
      <c r="AR412" s="80"/>
      <c r="AS412" s="79">
        <f>ERP_26[[#This Row],[2026 Working Total to Budget/LE]]-ERP_26[[#This Row],[Giveback]]</f>
        <v>60</v>
      </c>
      <c r="AT412" s="81"/>
      <c r="AU412" s="375">
        <v>60</v>
      </c>
      <c r="AV412" s="375">
        <v>0</v>
      </c>
      <c r="AW412" s="375">
        <v>3502</v>
      </c>
      <c r="AX412" s="375">
        <v>0</v>
      </c>
      <c r="AY412" s="375">
        <v>0</v>
      </c>
      <c r="AZ412" s="375">
        <v>0</v>
      </c>
      <c r="BA412" s="375">
        <v>0</v>
      </c>
      <c r="BB412" s="375">
        <v>0</v>
      </c>
      <c r="BC412" s="375">
        <v>0</v>
      </c>
      <c r="BD412" s="375">
        <v>0</v>
      </c>
      <c r="BE412" s="375">
        <v>0</v>
      </c>
      <c r="BF412" s="375">
        <v>0</v>
      </c>
      <c r="BG412" s="375">
        <v>3562</v>
      </c>
      <c r="BH412" s="79">
        <v>60</v>
      </c>
      <c r="BI412" s="79">
        <v>0</v>
      </c>
      <c r="BJ412" s="79">
        <v>3502</v>
      </c>
      <c r="BK412" s="79">
        <v>0</v>
      </c>
      <c r="BL412" s="79">
        <v>0</v>
      </c>
      <c r="BM412" s="79">
        <v>0</v>
      </c>
      <c r="BN412" s="79">
        <v>0</v>
      </c>
      <c r="BO412" s="79">
        <v>0</v>
      </c>
      <c r="BP412" s="79">
        <v>0</v>
      </c>
      <c r="BQ412" s="79">
        <v>0</v>
      </c>
      <c r="BR412" s="79">
        <v>0</v>
      </c>
      <c r="BS412" s="79">
        <v>0</v>
      </c>
      <c r="BT412" s="79">
        <v>3562</v>
      </c>
    </row>
    <row r="413" spans="1:72" ht="15" customHeight="1">
      <c r="A413" s="66" t="s">
        <v>2169</v>
      </c>
      <c r="B413" s="66"/>
      <c r="C413" s="66" t="s">
        <v>617</v>
      </c>
      <c r="D413" s="66" t="s">
        <v>617</v>
      </c>
      <c r="E413" s="150" t="s">
        <v>1136</v>
      </c>
      <c r="F413" s="482" t="s">
        <v>1566</v>
      </c>
      <c r="G413" s="150" t="s">
        <v>1515</v>
      </c>
      <c r="H413" s="383" t="s">
        <v>1515</v>
      </c>
      <c r="I413" s="150" t="s">
        <v>1345</v>
      </c>
      <c r="J413" s="150" t="s">
        <v>1515</v>
      </c>
      <c r="K413" s="150" t="s">
        <v>1346</v>
      </c>
      <c r="L413" s="511" t="s">
        <v>602</v>
      </c>
      <c r="M413" s="392" t="s">
        <v>611</v>
      </c>
      <c r="N413" s="343"/>
      <c r="O413" s="343"/>
      <c r="P413" s="70" t="s">
        <v>610</v>
      </c>
      <c r="Q413" s="346"/>
      <c r="R413" s="343"/>
      <c r="S413" s="346"/>
      <c r="T413" s="150" t="s">
        <v>611</v>
      </c>
      <c r="U413" s="150"/>
      <c r="V413" s="403"/>
      <c r="W413" s="406">
        <v>0</v>
      </c>
      <c r="X413" s="406">
        <v>414.36</v>
      </c>
      <c r="Y413" s="425"/>
      <c r="Z413" s="71"/>
      <c r="AA413" s="426"/>
      <c r="AB413" s="427"/>
      <c r="AC413" s="427">
        <v>414.36</v>
      </c>
      <c r="AD413" s="428">
        <v>0</v>
      </c>
      <c r="AE413" s="429">
        <v>0</v>
      </c>
      <c r="AF413" s="429">
        <v>0</v>
      </c>
      <c r="AG413" s="360">
        <v>0</v>
      </c>
      <c r="AH413" s="360">
        <v>0</v>
      </c>
      <c r="AI413" s="360">
        <v>0</v>
      </c>
      <c r="AJ413" s="360">
        <v>0</v>
      </c>
      <c r="AK413" s="360">
        <v>0</v>
      </c>
      <c r="AL413" s="360">
        <v>0</v>
      </c>
      <c r="AM413" s="360">
        <f t="shared" si="21"/>
        <v>414.36</v>
      </c>
      <c r="AN413" s="362">
        <f>ERP_26[[#This Row],[2026 Working Total]]-ERP_26[[#This Row],[LE2 Final Submission]]</f>
        <v>0</v>
      </c>
      <c r="AO413" s="79">
        <v>0</v>
      </c>
      <c r="AP413" s="79">
        <f t="shared" si="25"/>
        <v>0</v>
      </c>
      <c r="AQ413" s="374">
        <f>SUM(ERP_26[[#This Row],[AP01]:[AP06]])-SUM(ERP_26[[#This Row],[AP01 LE2]:[AP06 LE2]])</f>
        <v>0</v>
      </c>
      <c r="AR413" s="80"/>
      <c r="AS413" s="79">
        <f>ERP_26[[#This Row],[2026 Working Total to Budget/LE]]-ERP_26[[#This Row],[Giveback]]</f>
        <v>0</v>
      </c>
      <c r="AT413" s="81"/>
      <c r="AU413" s="375"/>
      <c r="AV413" s="375"/>
      <c r="AW413" s="375">
        <v>414.36</v>
      </c>
      <c r="AX413" s="375">
        <v>0</v>
      </c>
      <c r="AY413" s="375">
        <v>0</v>
      </c>
      <c r="AZ413" s="375">
        <v>0</v>
      </c>
      <c r="BA413" s="375">
        <v>0</v>
      </c>
      <c r="BB413" s="375">
        <v>0</v>
      </c>
      <c r="BC413" s="375">
        <v>0</v>
      </c>
      <c r="BD413" s="375">
        <v>0</v>
      </c>
      <c r="BE413" s="375">
        <v>0</v>
      </c>
      <c r="BF413" s="375">
        <v>0</v>
      </c>
      <c r="BG413" s="375">
        <v>414.36</v>
      </c>
      <c r="BH413" s="79"/>
      <c r="BI413" s="79"/>
      <c r="BJ413" s="79">
        <v>414.36</v>
      </c>
      <c r="BK413" s="79">
        <v>0</v>
      </c>
      <c r="BL413" s="79">
        <v>0</v>
      </c>
      <c r="BM413" s="79">
        <v>0</v>
      </c>
      <c r="BN413" s="79">
        <v>0</v>
      </c>
      <c r="BO413" s="79">
        <v>0</v>
      </c>
      <c r="BP413" s="79">
        <v>0</v>
      </c>
      <c r="BQ413" s="79">
        <v>0</v>
      </c>
      <c r="BR413" s="79">
        <v>0</v>
      </c>
      <c r="BS413" s="79">
        <v>0</v>
      </c>
      <c r="BT413" s="79">
        <v>414.36</v>
      </c>
    </row>
    <row r="414" spans="1:72" ht="15" customHeight="1">
      <c r="A414" s="66" t="s">
        <v>2192</v>
      </c>
      <c r="B414" s="66"/>
      <c r="C414" s="66" t="s">
        <v>630</v>
      </c>
      <c r="D414" s="66" t="s">
        <v>630</v>
      </c>
      <c r="E414" s="150" t="s">
        <v>1136</v>
      </c>
      <c r="F414" s="482" t="s">
        <v>1566</v>
      </c>
      <c r="G414" s="150" t="s">
        <v>1515</v>
      </c>
      <c r="H414" s="383" t="s">
        <v>1515</v>
      </c>
      <c r="I414" s="150" t="s">
        <v>1345</v>
      </c>
      <c r="J414" s="150" t="s">
        <v>1515</v>
      </c>
      <c r="K414" s="150" t="s">
        <v>1346</v>
      </c>
      <c r="L414" s="511" t="s">
        <v>629</v>
      </c>
      <c r="M414" s="392" t="s">
        <v>2193</v>
      </c>
      <c r="N414" s="343"/>
      <c r="O414" s="343"/>
      <c r="P414" s="70" t="s">
        <v>631</v>
      </c>
      <c r="Q414" s="346"/>
      <c r="R414" s="343"/>
      <c r="S414" s="346"/>
      <c r="T414" s="150" t="s">
        <v>632</v>
      </c>
      <c r="U414" s="150"/>
      <c r="V414" s="403"/>
      <c r="W414" s="406">
        <v>17000</v>
      </c>
      <c r="X414" s="406">
        <v>15576.84</v>
      </c>
      <c r="Y414" s="425"/>
      <c r="Z414" s="71"/>
      <c r="AA414" s="426"/>
      <c r="AB414" s="427">
        <v>1512.59</v>
      </c>
      <c r="AC414" s="427">
        <v>814.25</v>
      </c>
      <c r="AD414" s="428" t="s">
        <v>1142</v>
      </c>
      <c r="AE414" s="429">
        <v>0</v>
      </c>
      <c r="AF414" s="429">
        <v>0</v>
      </c>
      <c r="AG414" s="363">
        <v>1500</v>
      </c>
      <c r="AH414" s="363">
        <v>1500</v>
      </c>
      <c r="AI414" s="363">
        <v>1500</v>
      </c>
      <c r="AJ414" s="363">
        <v>1500</v>
      </c>
      <c r="AK414" s="363">
        <v>1500</v>
      </c>
      <c r="AL414" s="363">
        <v>1500</v>
      </c>
      <c r="AM414" s="360">
        <f t="shared" si="21"/>
        <v>11326.84</v>
      </c>
      <c r="AN414" s="362">
        <f>ERP_26[[#This Row],[2026 Working Total]]-ERP_26[[#This Row],[LE2 Final Submission]]</f>
        <v>-4250</v>
      </c>
      <c r="AO414" s="79">
        <v>1500</v>
      </c>
      <c r="AP414" s="79">
        <f t="shared" si="25"/>
        <v>-1500</v>
      </c>
      <c r="AQ414" s="374">
        <f>SUM(ERP_26[[#This Row],[AP01]:[AP06]])-SUM(ERP_26[[#This Row],[AP01 LE2]:[AP06 LE2]])</f>
        <v>-4250</v>
      </c>
      <c r="AR414" s="80"/>
      <c r="AS414" s="79">
        <f>ERP_26[[#This Row],[2026 Working Total to Budget/LE]]-ERP_26[[#This Row],[Giveback]]</f>
        <v>-4250</v>
      </c>
      <c r="AT414" s="81"/>
      <c r="AU414" s="375"/>
      <c r="AV414" s="375">
        <v>1512.59</v>
      </c>
      <c r="AW414" s="375">
        <v>814.25</v>
      </c>
      <c r="AX414" s="375">
        <v>1250</v>
      </c>
      <c r="AY414" s="375">
        <v>1500</v>
      </c>
      <c r="AZ414" s="375">
        <v>1500</v>
      </c>
      <c r="BA414" s="375">
        <v>1500</v>
      </c>
      <c r="BB414" s="375">
        <v>1500</v>
      </c>
      <c r="BC414" s="375">
        <v>1500</v>
      </c>
      <c r="BD414" s="375">
        <v>1500</v>
      </c>
      <c r="BE414" s="375">
        <v>1500</v>
      </c>
      <c r="BF414" s="375">
        <v>1500</v>
      </c>
      <c r="BG414" s="375">
        <v>15576.84</v>
      </c>
      <c r="BH414" s="79"/>
      <c r="BI414" s="79">
        <v>1512.59</v>
      </c>
      <c r="BJ414" s="79">
        <v>814.25</v>
      </c>
      <c r="BK414" s="79">
        <v>1250</v>
      </c>
      <c r="BL414" s="79">
        <v>1500</v>
      </c>
      <c r="BM414" s="79">
        <v>1500</v>
      </c>
      <c r="BN414" s="79">
        <v>1500</v>
      </c>
      <c r="BO414" s="79">
        <v>1500</v>
      </c>
      <c r="BP414" s="79">
        <v>1500</v>
      </c>
      <c r="BQ414" s="79">
        <v>1500</v>
      </c>
      <c r="BR414" s="79">
        <v>1500</v>
      </c>
      <c r="BS414" s="79">
        <v>1500</v>
      </c>
      <c r="BT414" s="79">
        <v>15576.84</v>
      </c>
    </row>
    <row r="415" spans="1:72" ht="15" customHeight="1">
      <c r="A415" s="66" t="s">
        <v>2194</v>
      </c>
      <c r="B415" s="66"/>
      <c r="C415" s="66" t="s">
        <v>633</v>
      </c>
      <c r="D415" s="66" t="s">
        <v>633</v>
      </c>
      <c r="E415" s="150" t="s">
        <v>1136</v>
      </c>
      <c r="F415" s="482" t="s">
        <v>1566</v>
      </c>
      <c r="G415" s="150" t="s">
        <v>1515</v>
      </c>
      <c r="H415" s="383" t="s">
        <v>1515</v>
      </c>
      <c r="I415" s="150" t="s">
        <v>1345</v>
      </c>
      <c r="J415" s="150" t="s">
        <v>1515</v>
      </c>
      <c r="K415" s="150" t="s">
        <v>1346</v>
      </c>
      <c r="L415" s="511" t="s">
        <v>629</v>
      </c>
      <c r="M415" s="392" t="s">
        <v>1327</v>
      </c>
      <c r="N415" s="343"/>
      <c r="O415" s="343"/>
      <c r="P415" s="70" t="s">
        <v>147</v>
      </c>
      <c r="Q415" s="346"/>
      <c r="R415" s="343"/>
      <c r="S415" s="346"/>
      <c r="T415" s="150" t="s">
        <v>25</v>
      </c>
      <c r="U415" s="150"/>
      <c r="V415" s="403"/>
      <c r="W415" s="406">
        <v>0</v>
      </c>
      <c r="X415" s="406">
        <v>1.999999999999999E-2</v>
      </c>
      <c r="Y415" s="425"/>
      <c r="Z415" s="71"/>
      <c r="AA415" s="426"/>
      <c r="AB415" s="427">
        <v>0.21</v>
      </c>
      <c r="AC415" s="427">
        <v>-0.19</v>
      </c>
      <c r="AD415" s="428">
        <v>0</v>
      </c>
      <c r="AE415" s="429">
        <v>2430.29</v>
      </c>
      <c r="AF415" s="429">
        <v>1250.79</v>
      </c>
      <c r="AG415" s="360">
        <v>0</v>
      </c>
      <c r="AH415" s="360">
        <v>0</v>
      </c>
      <c r="AI415" s="360">
        <v>0</v>
      </c>
      <c r="AJ415" s="360">
        <v>0</v>
      </c>
      <c r="AK415" s="360">
        <v>0</v>
      </c>
      <c r="AL415" s="360">
        <v>0</v>
      </c>
      <c r="AM415" s="360">
        <f t="shared" si="21"/>
        <v>3681.1</v>
      </c>
      <c r="AN415" s="362">
        <f>ERP_26[[#This Row],[2026 Working Total]]-ERP_26[[#This Row],[LE2 Final Submission]]</f>
        <v>3681.08</v>
      </c>
      <c r="AO415" s="79">
        <v>0</v>
      </c>
      <c r="AP415" s="79">
        <f t="shared" si="25"/>
        <v>1250.79</v>
      </c>
      <c r="AQ415" s="374">
        <f>SUM(ERP_26[[#This Row],[AP01]:[AP06]])-SUM(ERP_26[[#This Row],[AP01 LE2]:[AP06 LE2]])</f>
        <v>3681.08</v>
      </c>
      <c r="AR415" s="80"/>
      <c r="AS415" s="79">
        <f>ERP_26[[#This Row],[2026 Working Total to Budget/LE]]-ERP_26[[#This Row],[Giveback]]</f>
        <v>3681.08</v>
      </c>
      <c r="AT415" s="81"/>
      <c r="AU415" s="375"/>
      <c r="AV415" s="375">
        <v>0.21</v>
      </c>
      <c r="AW415" s="375">
        <v>-0.19</v>
      </c>
      <c r="AX415" s="375">
        <v>0</v>
      </c>
      <c r="AY415" s="375">
        <v>0</v>
      </c>
      <c r="AZ415" s="375">
        <v>0</v>
      </c>
      <c r="BA415" s="375">
        <v>0</v>
      </c>
      <c r="BB415" s="375">
        <v>0</v>
      </c>
      <c r="BC415" s="375">
        <v>0</v>
      </c>
      <c r="BD415" s="375">
        <v>0</v>
      </c>
      <c r="BE415" s="375">
        <v>0</v>
      </c>
      <c r="BF415" s="375">
        <v>0</v>
      </c>
      <c r="BG415" s="375">
        <v>1.999999999999999E-2</v>
      </c>
      <c r="BH415" s="79"/>
      <c r="BI415" s="79">
        <v>0.21</v>
      </c>
      <c r="BJ415" s="79">
        <v>-0.19</v>
      </c>
      <c r="BK415" s="79">
        <v>0</v>
      </c>
      <c r="BL415" s="79">
        <v>0</v>
      </c>
      <c r="BM415" s="79">
        <v>0</v>
      </c>
      <c r="BN415" s="79">
        <v>0</v>
      </c>
      <c r="BO415" s="79">
        <v>0</v>
      </c>
      <c r="BP415" s="79">
        <v>0</v>
      </c>
      <c r="BQ415" s="79">
        <v>0</v>
      </c>
      <c r="BR415" s="79">
        <v>0</v>
      </c>
      <c r="BS415" s="79">
        <v>0</v>
      </c>
      <c r="BT415" s="79">
        <v>1.999999999999999E-2</v>
      </c>
    </row>
    <row r="416" spans="1:72" ht="15" customHeight="1">
      <c r="A416" s="66" t="s">
        <v>2743</v>
      </c>
      <c r="B416" s="66"/>
      <c r="C416" s="66" t="s">
        <v>981</v>
      </c>
      <c r="D416" s="66" t="s">
        <v>981</v>
      </c>
      <c r="E416" s="150" t="s">
        <v>1136</v>
      </c>
      <c r="F416" s="482" t="s">
        <v>1566</v>
      </c>
      <c r="G416" s="150" t="s">
        <v>1515</v>
      </c>
      <c r="H416" s="383" t="s">
        <v>1515</v>
      </c>
      <c r="I416" s="150" t="s">
        <v>1345</v>
      </c>
      <c r="J416" s="150" t="s">
        <v>1515</v>
      </c>
      <c r="K416" s="150" t="s">
        <v>1346</v>
      </c>
      <c r="L416" s="511" t="s">
        <v>639</v>
      </c>
      <c r="M416" s="392" t="s">
        <v>2744</v>
      </c>
      <c r="N416" s="343"/>
      <c r="O416" s="343"/>
      <c r="P416" s="70" t="s">
        <v>982</v>
      </c>
      <c r="Q416" s="346"/>
      <c r="R416" s="343"/>
      <c r="S416" s="346"/>
      <c r="T416" s="150" t="s">
        <v>152</v>
      </c>
      <c r="U416" s="150"/>
      <c r="V416" s="403"/>
      <c r="W416" s="406">
        <v>18000</v>
      </c>
      <c r="X416" s="406">
        <v>13500</v>
      </c>
      <c r="Y416" s="425"/>
      <c r="Z416" s="71"/>
      <c r="AA416" s="426"/>
      <c r="AB416" s="427"/>
      <c r="AC416" s="427"/>
      <c r="AD416" s="428" t="s">
        <v>1142</v>
      </c>
      <c r="AE416" s="429">
        <v>0</v>
      </c>
      <c r="AF416" s="429">
        <v>0</v>
      </c>
      <c r="AG416" s="363">
        <v>1500</v>
      </c>
      <c r="AH416" s="363">
        <v>1500</v>
      </c>
      <c r="AI416" s="363">
        <v>1500</v>
      </c>
      <c r="AJ416" s="363">
        <v>1500</v>
      </c>
      <c r="AK416" s="363">
        <v>1500</v>
      </c>
      <c r="AL416" s="363">
        <v>1500</v>
      </c>
      <c r="AM416" s="360">
        <f t="shared" si="21"/>
        <v>9000</v>
      </c>
      <c r="AN416" s="362">
        <f>ERP_26[[#This Row],[2026 Working Total]]-ERP_26[[#This Row],[LE2 Final Submission]]</f>
        <v>-4500</v>
      </c>
      <c r="AO416" s="79">
        <v>5000</v>
      </c>
      <c r="AP416" s="79">
        <f t="shared" si="25"/>
        <v>-5000</v>
      </c>
      <c r="AQ416" s="374">
        <f>SUM(ERP_26[[#This Row],[AP01]:[AP06]])-SUM(ERP_26[[#This Row],[AP01 LE2]:[AP06 LE2]])</f>
        <v>-4500</v>
      </c>
      <c r="AR416" s="80"/>
      <c r="AS416" s="79">
        <f>ERP_26[[#This Row],[2026 Working Total to Budget/LE]]-ERP_26[[#This Row],[Giveback]]</f>
        <v>-4500</v>
      </c>
      <c r="AT416" s="81"/>
      <c r="AU416" s="375"/>
      <c r="AV416" s="375"/>
      <c r="AW416" s="375"/>
      <c r="AX416" s="375">
        <v>1500</v>
      </c>
      <c r="AY416" s="375">
        <v>1500</v>
      </c>
      <c r="AZ416" s="375">
        <v>1500</v>
      </c>
      <c r="BA416" s="375">
        <v>1500</v>
      </c>
      <c r="BB416" s="375">
        <v>1500</v>
      </c>
      <c r="BC416" s="375">
        <v>1500</v>
      </c>
      <c r="BD416" s="375">
        <v>1500</v>
      </c>
      <c r="BE416" s="375">
        <v>1500</v>
      </c>
      <c r="BF416" s="375">
        <v>1500</v>
      </c>
      <c r="BG416" s="375">
        <v>13500</v>
      </c>
      <c r="BH416" s="79"/>
      <c r="BI416" s="79"/>
      <c r="BJ416" s="79"/>
      <c r="BK416" s="79">
        <v>1500</v>
      </c>
      <c r="BL416" s="79">
        <v>1500</v>
      </c>
      <c r="BM416" s="79">
        <v>1500</v>
      </c>
      <c r="BN416" s="79">
        <v>1500</v>
      </c>
      <c r="BO416" s="79">
        <v>1500</v>
      </c>
      <c r="BP416" s="79">
        <v>1500</v>
      </c>
      <c r="BQ416" s="79">
        <v>1500</v>
      </c>
      <c r="BR416" s="79">
        <v>1500</v>
      </c>
      <c r="BS416" s="79">
        <v>1500</v>
      </c>
      <c r="BT416" s="79">
        <v>13500</v>
      </c>
    </row>
    <row r="417" spans="1:72" ht="15" customHeight="1">
      <c r="A417" s="150" t="s">
        <v>2745</v>
      </c>
      <c r="B417" s="150"/>
      <c r="C417" s="536" t="s">
        <v>983</v>
      </c>
      <c r="D417" s="296" t="s">
        <v>983</v>
      </c>
      <c r="E417" s="150" t="s">
        <v>1136</v>
      </c>
      <c r="F417" s="482" t="s">
        <v>1566</v>
      </c>
      <c r="G417" s="332" t="s">
        <v>1515</v>
      </c>
      <c r="H417" s="383" t="s">
        <v>1515</v>
      </c>
      <c r="I417" s="150" t="s">
        <v>1345</v>
      </c>
      <c r="J417" s="332" t="s">
        <v>1515</v>
      </c>
      <c r="K417" s="333" t="s">
        <v>1515</v>
      </c>
      <c r="L417" s="514" t="s">
        <v>639</v>
      </c>
      <c r="M417" s="394" t="s">
        <v>2614</v>
      </c>
      <c r="N417" s="333"/>
      <c r="O417" s="332" t="s">
        <v>2746</v>
      </c>
      <c r="P417" s="90" t="s">
        <v>53</v>
      </c>
      <c r="Q417" s="347"/>
      <c r="R417" s="347"/>
      <c r="S417" s="348"/>
      <c r="T417" s="348"/>
      <c r="U417" s="348"/>
      <c r="V417" s="402"/>
      <c r="W417" s="406"/>
      <c r="X417" s="406"/>
      <c r="Y417" s="425"/>
      <c r="Z417" s="71"/>
      <c r="AA417" s="435"/>
      <c r="AB417" s="436"/>
      <c r="AC417" s="436"/>
      <c r="AD417" s="429"/>
      <c r="AE417" s="429">
        <v>227</v>
      </c>
      <c r="AF417" s="429">
        <v>0</v>
      </c>
      <c r="AG417" s="364"/>
      <c r="AH417" s="364"/>
      <c r="AI417" s="364"/>
      <c r="AJ417" s="364"/>
      <c r="AK417" s="364"/>
      <c r="AL417" s="364"/>
      <c r="AM417" s="360">
        <f t="shared" si="21"/>
        <v>227</v>
      </c>
      <c r="AN417" s="362">
        <f>ERP_26[[#This Row],[2026 Working Total]]-ERP_26[[#This Row],[LE2 Final Submission]]</f>
        <v>227</v>
      </c>
      <c r="AO417" s="79"/>
      <c r="AP417" s="79">
        <f t="shared" si="25"/>
        <v>0</v>
      </c>
      <c r="AQ417" s="374">
        <f>SUM(ERP_26[[#This Row],[AP01]:[AP06]])-SUM(ERP_26[[#This Row],[AP01 LE2]:[AP06 LE2]])</f>
        <v>227</v>
      </c>
      <c r="AR417" s="80"/>
      <c r="AS417" s="79">
        <f>ERP_26[[#This Row],[2026 Working Total to Budget/LE]]-ERP_26[[#This Row],[Giveback]]</f>
        <v>227</v>
      </c>
      <c r="AT417" s="81"/>
      <c r="AU417" s="375"/>
      <c r="AV417" s="375"/>
      <c r="AW417" s="375"/>
      <c r="AX417" s="375"/>
      <c r="AY417" s="375"/>
      <c r="AZ417" s="375"/>
      <c r="BA417" s="375"/>
      <c r="BB417" s="375"/>
      <c r="BC417" s="375"/>
      <c r="BD417" s="375"/>
      <c r="BE417" s="375"/>
      <c r="BF417" s="375"/>
      <c r="BG417" s="375"/>
      <c r="BH417" s="79"/>
      <c r="BI417" s="79"/>
      <c r="BJ417" s="79"/>
      <c r="BK417" s="79"/>
      <c r="BL417" s="79"/>
      <c r="BM417" s="79"/>
      <c r="BN417" s="79"/>
      <c r="BO417" s="79"/>
      <c r="BP417" s="79"/>
      <c r="BQ417" s="79"/>
      <c r="BR417" s="79"/>
      <c r="BS417" s="79"/>
      <c r="BT417" s="79"/>
    </row>
    <row r="418" spans="1:72" ht="15" customHeight="1">
      <c r="A418" s="66" t="s">
        <v>2747</v>
      </c>
      <c r="B418" s="66"/>
      <c r="C418" s="66" t="s">
        <v>984</v>
      </c>
      <c r="D418" s="66" t="s">
        <v>984</v>
      </c>
      <c r="E418" s="150" t="s">
        <v>1136</v>
      </c>
      <c r="F418" s="482" t="s">
        <v>1566</v>
      </c>
      <c r="G418" s="150" t="s">
        <v>1515</v>
      </c>
      <c r="H418" s="383" t="s">
        <v>1515</v>
      </c>
      <c r="I418" s="150" t="s">
        <v>1345</v>
      </c>
      <c r="J418" s="150" t="s">
        <v>1515</v>
      </c>
      <c r="K418" s="150" t="s">
        <v>1346</v>
      </c>
      <c r="L418" s="511" t="s">
        <v>639</v>
      </c>
      <c r="M418" s="392" t="s">
        <v>2285</v>
      </c>
      <c r="N418" s="343"/>
      <c r="O418" s="343"/>
      <c r="P418" s="70" t="s">
        <v>676</v>
      </c>
      <c r="Q418" s="346"/>
      <c r="R418" s="346" t="s">
        <v>1140</v>
      </c>
      <c r="S418" s="346"/>
      <c r="T418" s="150" t="s">
        <v>677</v>
      </c>
      <c r="U418" s="150"/>
      <c r="V418" s="403"/>
      <c r="W418" s="406">
        <v>0</v>
      </c>
      <c r="X418" s="406">
        <v>218.38</v>
      </c>
      <c r="Y418" s="425"/>
      <c r="Z418" s="71"/>
      <c r="AA418" s="426"/>
      <c r="AB418" s="427"/>
      <c r="AC418" s="427">
        <v>218.38</v>
      </c>
      <c r="AD418" s="428">
        <v>0</v>
      </c>
      <c r="AE418" s="429">
        <v>0</v>
      </c>
      <c r="AF418" s="429">
        <v>0</v>
      </c>
      <c r="AG418" s="360">
        <v>0</v>
      </c>
      <c r="AH418" s="360">
        <v>0</v>
      </c>
      <c r="AI418" s="360">
        <v>0</v>
      </c>
      <c r="AJ418" s="360">
        <v>0</v>
      </c>
      <c r="AK418" s="360">
        <v>0</v>
      </c>
      <c r="AL418" s="360">
        <v>0</v>
      </c>
      <c r="AM418" s="360">
        <f t="shared" si="21"/>
        <v>218.38</v>
      </c>
      <c r="AN418" s="362">
        <f>ERP_26[[#This Row],[2026 Working Total]]-ERP_26[[#This Row],[LE2 Final Submission]]</f>
        <v>0</v>
      </c>
      <c r="AO418" s="79">
        <v>0</v>
      </c>
      <c r="AP418" s="79">
        <f t="shared" si="25"/>
        <v>0</v>
      </c>
      <c r="AQ418" s="374">
        <f>SUM(ERP_26[[#This Row],[AP01]:[AP06]])-SUM(ERP_26[[#This Row],[AP01 LE2]:[AP06 LE2]])</f>
        <v>0</v>
      </c>
      <c r="AR418" s="80"/>
      <c r="AS418" s="79">
        <f>ERP_26[[#This Row],[2026 Working Total to Budget/LE]]-ERP_26[[#This Row],[Giveback]]</f>
        <v>0</v>
      </c>
      <c r="AT418" s="81"/>
      <c r="AU418" s="375"/>
      <c r="AV418" s="375"/>
      <c r="AW418" s="375">
        <v>218.38</v>
      </c>
      <c r="AX418" s="375">
        <v>0</v>
      </c>
      <c r="AY418" s="375">
        <v>0</v>
      </c>
      <c r="AZ418" s="375">
        <v>0</v>
      </c>
      <c r="BA418" s="375">
        <v>0</v>
      </c>
      <c r="BB418" s="375">
        <v>0</v>
      </c>
      <c r="BC418" s="375">
        <v>0</v>
      </c>
      <c r="BD418" s="375">
        <v>0</v>
      </c>
      <c r="BE418" s="375">
        <v>0</v>
      </c>
      <c r="BF418" s="375">
        <v>0</v>
      </c>
      <c r="BG418" s="375">
        <v>218.38</v>
      </c>
      <c r="BH418" s="79"/>
      <c r="BI418" s="79"/>
      <c r="BJ418" s="79">
        <v>218.38</v>
      </c>
      <c r="BK418" s="79">
        <v>0</v>
      </c>
      <c r="BL418" s="79">
        <v>0</v>
      </c>
      <c r="BM418" s="79">
        <v>0</v>
      </c>
      <c r="BN418" s="79">
        <v>0</v>
      </c>
      <c r="BO418" s="79">
        <v>0</v>
      </c>
      <c r="BP418" s="79">
        <v>0</v>
      </c>
      <c r="BQ418" s="79">
        <v>0</v>
      </c>
      <c r="BR418" s="79">
        <v>0</v>
      </c>
      <c r="BS418" s="79">
        <v>0</v>
      </c>
      <c r="BT418" s="79">
        <v>218.38</v>
      </c>
    </row>
    <row r="419" spans="1:72" ht="15" customHeight="1">
      <c r="A419" s="150" t="s">
        <v>2748</v>
      </c>
      <c r="B419" s="150"/>
      <c r="C419" s="536" t="s">
        <v>985</v>
      </c>
      <c r="D419" s="296" t="s">
        <v>985</v>
      </c>
      <c r="E419" s="150" t="s">
        <v>1136</v>
      </c>
      <c r="F419" s="482" t="s">
        <v>1566</v>
      </c>
      <c r="G419" s="332" t="s">
        <v>1515</v>
      </c>
      <c r="H419" s="383" t="s">
        <v>1515</v>
      </c>
      <c r="I419" s="150" t="s">
        <v>1345</v>
      </c>
      <c r="J419" s="332" t="s">
        <v>1515</v>
      </c>
      <c r="K419" s="333" t="s">
        <v>1515</v>
      </c>
      <c r="L419" s="514" t="s">
        <v>639</v>
      </c>
      <c r="M419" s="394" t="s">
        <v>2749</v>
      </c>
      <c r="N419" s="333"/>
      <c r="O419" s="332" t="s">
        <v>2750</v>
      </c>
      <c r="P419" s="90" t="s">
        <v>679</v>
      </c>
      <c r="Q419" s="347"/>
      <c r="R419" s="347"/>
      <c r="S419" s="348"/>
      <c r="T419" s="348"/>
      <c r="U419" s="348"/>
      <c r="V419" s="402"/>
      <c r="W419" s="406"/>
      <c r="X419" s="406"/>
      <c r="Y419" s="425"/>
      <c r="Z419" s="71"/>
      <c r="AA419" s="435"/>
      <c r="AB419" s="436"/>
      <c r="AC419" s="436"/>
      <c r="AD419" s="429"/>
      <c r="AE419" s="429">
        <v>417.44</v>
      </c>
      <c r="AF419" s="429">
        <v>0</v>
      </c>
      <c r="AG419" s="364"/>
      <c r="AH419" s="364"/>
      <c r="AI419" s="364"/>
      <c r="AJ419" s="364"/>
      <c r="AK419" s="364"/>
      <c r="AL419" s="364"/>
      <c r="AM419" s="360">
        <f t="shared" si="21"/>
        <v>417.44</v>
      </c>
      <c r="AN419" s="362">
        <f>ERP_26[[#This Row],[2026 Working Total]]-ERP_26[[#This Row],[LE2 Final Submission]]</f>
        <v>417.44</v>
      </c>
      <c r="AO419" s="79"/>
      <c r="AP419" s="79">
        <f t="shared" si="25"/>
        <v>0</v>
      </c>
      <c r="AQ419" s="374">
        <f>SUM(ERP_26[[#This Row],[AP01]:[AP06]])-SUM(ERP_26[[#This Row],[AP01 LE2]:[AP06 LE2]])</f>
        <v>417.44</v>
      </c>
      <c r="AR419" s="80"/>
      <c r="AS419" s="79">
        <f>ERP_26[[#This Row],[2026 Working Total to Budget/LE]]-ERP_26[[#This Row],[Giveback]]</f>
        <v>417.44</v>
      </c>
      <c r="AT419" s="81"/>
      <c r="AU419" s="375"/>
      <c r="AV419" s="375"/>
      <c r="AW419" s="375"/>
      <c r="AX419" s="375"/>
      <c r="AY419" s="375"/>
      <c r="AZ419" s="375"/>
      <c r="BA419" s="375"/>
      <c r="BB419" s="375"/>
      <c r="BC419" s="375"/>
      <c r="BD419" s="375"/>
      <c r="BE419" s="375"/>
      <c r="BF419" s="375"/>
      <c r="BG419" s="375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</row>
    <row r="420" spans="1:72" ht="15" customHeight="1">
      <c r="A420" s="66" t="s">
        <v>2751</v>
      </c>
      <c r="B420" s="66"/>
      <c r="C420" s="66" t="s">
        <v>986</v>
      </c>
      <c r="D420" s="66" t="s">
        <v>986</v>
      </c>
      <c r="E420" s="150" t="s">
        <v>1136</v>
      </c>
      <c r="F420" s="482" t="s">
        <v>1566</v>
      </c>
      <c r="G420" s="150" t="s">
        <v>1515</v>
      </c>
      <c r="H420" s="383" t="s">
        <v>1515</v>
      </c>
      <c r="I420" s="150" t="s">
        <v>1345</v>
      </c>
      <c r="J420" s="150" t="s">
        <v>1515</v>
      </c>
      <c r="K420" s="150" t="s">
        <v>1346</v>
      </c>
      <c r="L420" s="511" t="s">
        <v>639</v>
      </c>
      <c r="M420" s="392" t="s">
        <v>818</v>
      </c>
      <c r="N420" s="343"/>
      <c r="O420" s="343"/>
      <c r="P420" s="70" t="s">
        <v>817</v>
      </c>
      <c r="Q420" s="346"/>
      <c r="R420" s="346" t="s">
        <v>1140</v>
      </c>
      <c r="S420" s="346"/>
      <c r="T420" s="150" t="s">
        <v>818</v>
      </c>
      <c r="U420" s="150"/>
      <c r="V420" s="403"/>
      <c r="W420" s="406">
        <v>8000</v>
      </c>
      <c r="X420" s="406">
        <v>17389.7</v>
      </c>
      <c r="Y420" s="425"/>
      <c r="Z420" s="71"/>
      <c r="AA420" s="426"/>
      <c r="AB420" s="427"/>
      <c r="AC420" s="427">
        <v>11389.7</v>
      </c>
      <c r="AD420" s="428">
        <v>0</v>
      </c>
      <c r="AE420" s="429">
        <v>0</v>
      </c>
      <c r="AF420" s="429">
        <v>8531.9</v>
      </c>
      <c r="AG420" s="360">
        <v>0</v>
      </c>
      <c r="AH420" s="360">
        <v>0</v>
      </c>
      <c r="AI420" s="363">
        <v>2000</v>
      </c>
      <c r="AJ420" s="360">
        <v>0</v>
      </c>
      <c r="AK420" s="363">
        <v>2000</v>
      </c>
      <c r="AL420" s="360">
        <v>0</v>
      </c>
      <c r="AM420" s="360">
        <f t="shared" si="21"/>
        <v>23921.599999999999</v>
      </c>
      <c r="AN420" s="362">
        <f>ERP_26[[#This Row],[2026 Working Total]]-ERP_26[[#This Row],[LE2 Final Submission]]</f>
        <v>6531.8999999999978</v>
      </c>
      <c r="AO420" s="79">
        <v>0</v>
      </c>
      <c r="AP420" s="79">
        <f t="shared" si="25"/>
        <v>8531.9</v>
      </c>
      <c r="AQ420" s="374">
        <f>SUM(ERP_26[[#This Row],[AP01]:[AP06]])-SUM(ERP_26[[#This Row],[AP01 LE2]:[AP06 LE2]])</f>
        <v>6531.8999999999978</v>
      </c>
      <c r="AR420" s="80"/>
      <c r="AS420" s="79">
        <f>ERP_26[[#This Row],[2026 Working Total to Budget/LE]]-ERP_26[[#This Row],[Giveback]]</f>
        <v>6531.8999999999978</v>
      </c>
      <c r="AT420" s="81"/>
      <c r="AU420" s="375"/>
      <c r="AV420" s="375"/>
      <c r="AW420" s="375">
        <v>11389.7</v>
      </c>
      <c r="AX420" s="375">
        <v>0</v>
      </c>
      <c r="AY420" s="375">
        <v>0</v>
      </c>
      <c r="AZ420" s="375">
        <v>2000</v>
      </c>
      <c r="BA420" s="375">
        <v>0</v>
      </c>
      <c r="BB420" s="375">
        <v>0</v>
      </c>
      <c r="BC420" s="375">
        <v>2000</v>
      </c>
      <c r="BD420" s="375">
        <v>0</v>
      </c>
      <c r="BE420" s="375">
        <v>2000</v>
      </c>
      <c r="BF420" s="375">
        <v>0</v>
      </c>
      <c r="BG420" s="375">
        <v>17389.7</v>
      </c>
      <c r="BH420" s="79"/>
      <c r="BI420" s="79"/>
      <c r="BJ420" s="79">
        <v>11389.7</v>
      </c>
      <c r="BK420" s="79">
        <v>0</v>
      </c>
      <c r="BL420" s="79">
        <v>0</v>
      </c>
      <c r="BM420" s="79">
        <v>2000</v>
      </c>
      <c r="BN420" s="79">
        <v>0</v>
      </c>
      <c r="BO420" s="79">
        <v>0</v>
      </c>
      <c r="BP420" s="79">
        <v>2000</v>
      </c>
      <c r="BQ420" s="79">
        <v>0</v>
      </c>
      <c r="BR420" s="79">
        <v>2000</v>
      </c>
      <c r="BS420" s="79">
        <v>0</v>
      </c>
      <c r="BT420" s="79">
        <v>17389.7</v>
      </c>
    </row>
    <row r="421" spans="1:72" ht="15" customHeight="1">
      <c r="A421" s="66" t="s">
        <v>2752</v>
      </c>
      <c r="B421" s="66"/>
      <c r="C421" s="66" t="s">
        <v>987</v>
      </c>
      <c r="D421" s="66" t="s">
        <v>987</v>
      </c>
      <c r="E421" s="150" t="s">
        <v>1136</v>
      </c>
      <c r="F421" s="482" t="s">
        <v>1566</v>
      </c>
      <c r="G421" s="150" t="s">
        <v>1515</v>
      </c>
      <c r="H421" s="383" t="s">
        <v>1515</v>
      </c>
      <c r="I421" s="150" t="s">
        <v>1345</v>
      </c>
      <c r="J421" s="150" t="s">
        <v>1515</v>
      </c>
      <c r="K421" s="150" t="s">
        <v>1346</v>
      </c>
      <c r="L421" s="511" t="s">
        <v>639</v>
      </c>
      <c r="M421" s="392" t="s">
        <v>1327</v>
      </c>
      <c r="N421" s="343"/>
      <c r="O421" s="343"/>
      <c r="P421" s="70" t="s">
        <v>147</v>
      </c>
      <c r="Q421" s="346"/>
      <c r="R421" s="343"/>
      <c r="S421" s="346"/>
      <c r="T421" s="150" t="s">
        <v>25</v>
      </c>
      <c r="U421" s="150"/>
      <c r="V421" s="403"/>
      <c r="W421" s="406">
        <v>0</v>
      </c>
      <c r="X421" s="406">
        <v>0.63</v>
      </c>
      <c r="Y421" s="425"/>
      <c r="Z421" s="71"/>
      <c r="AA421" s="426"/>
      <c r="AB421" s="427"/>
      <c r="AC421" s="427">
        <v>0.63</v>
      </c>
      <c r="AD421" s="428">
        <v>0</v>
      </c>
      <c r="AE421" s="429">
        <v>-0.28000000000000003</v>
      </c>
      <c r="AF421" s="429">
        <v>0.1</v>
      </c>
      <c r="AG421" s="360">
        <v>0</v>
      </c>
      <c r="AH421" s="360">
        <v>0</v>
      </c>
      <c r="AI421" s="360">
        <v>0</v>
      </c>
      <c r="AJ421" s="360">
        <v>0</v>
      </c>
      <c r="AK421" s="360">
        <v>0</v>
      </c>
      <c r="AL421" s="360">
        <v>0</v>
      </c>
      <c r="AM421" s="360">
        <f t="shared" si="21"/>
        <v>0.44999999999999996</v>
      </c>
      <c r="AN421" s="362">
        <f>ERP_26[[#This Row],[2026 Working Total]]-ERP_26[[#This Row],[LE2 Final Submission]]</f>
        <v>-0.18000000000000005</v>
      </c>
      <c r="AO421" s="79">
        <v>0</v>
      </c>
      <c r="AP421" s="79">
        <f t="shared" si="25"/>
        <v>0.1</v>
      </c>
      <c r="AQ421" s="374">
        <f>SUM(ERP_26[[#This Row],[AP01]:[AP06]])-SUM(ERP_26[[#This Row],[AP01 LE2]:[AP06 LE2]])</f>
        <v>-0.18000000000000005</v>
      </c>
      <c r="AR421" s="80"/>
      <c r="AS421" s="79">
        <f>ERP_26[[#This Row],[2026 Working Total to Budget/LE]]-ERP_26[[#This Row],[Giveback]]</f>
        <v>-0.18000000000000005</v>
      </c>
      <c r="AT421" s="81"/>
      <c r="AU421" s="375"/>
      <c r="AV421" s="375"/>
      <c r="AW421" s="375">
        <v>0.63</v>
      </c>
      <c r="AX421" s="375">
        <v>0</v>
      </c>
      <c r="AY421" s="375">
        <v>0</v>
      </c>
      <c r="AZ421" s="375">
        <v>0</v>
      </c>
      <c r="BA421" s="375">
        <v>0</v>
      </c>
      <c r="BB421" s="375">
        <v>0</v>
      </c>
      <c r="BC421" s="375">
        <v>0</v>
      </c>
      <c r="BD421" s="375">
        <v>0</v>
      </c>
      <c r="BE421" s="375">
        <v>0</v>
      </c>
      <c r="BF421" s="375">
        <v>0</v>
      </c>
      <c r="BG421" s="375">
        <v>0.63</v>
      </c>
      <c r="BH421" s="79"/>
      <c r="BI421" s="79"/>
      <c r="BJ421" s="79">
        <v>0.63</v>
      </c>
      <c r="BK421" s="79">
        <v>0</v>
      </c>
      <c r="BL421" s="79">
        <v>0</v>
      </c>
      <c r="BM421" s="79">
        <v>0</v>
      </c>
      <c r="BN421" s="79">
        <v>0</v>
      </c>
      <c r="BO421" s="79">
        <v>0</v>
      </c>
      <c r="BP421" s="79">
        <v>0</v>
      </c>
      <c r="BQ421" s="79">
        <v>0</v>
      </c>
      <c r="BR421" s="79">
        <v>0</v>
      </c>
      <c r="BS421" s="79">
        <v>0</v>
      </c>
      <c r="BT421" s="79">
        <v>0.63</v>
      </c>
    </row>
    <row r="422" spans="1:72" ht="15" customHeight="1">
      <c r="A422" s="66" t="s">
        <v>2834</v>
      </c>
      <c r="B422" s="66"/>
      <c r="C422" s="66" t="s">
        <v>1031</v>
      </c>
      <c r="D422" s="66" t="s">
        <v>1031</v>
      </c>
      <c r="E422" s="150" t="s">
        <v>1136</v>
      </c>
      <c r="F422" s="482" t="s">
        <v>1566</v>
      </c>
      <c r="G422" s="150" t="s">
        <v>1515</v>
      </c>
      <c r="H422" s="383" t="s">
        <v>1515</v>
      </c>
      <c r="I422" s="150" t="s">
        <v>1345</v>
      </c>
      <c r="J422" s="150" t="s">
        <v>1515</v>
      </c>
      <c r="K422" s="150" t="s">
        <v>1346</v>
      </c>
      <c r="L422" s="511" t="s">
        <v>1027</v>
      </c>
      <c r="M422" s="392" t="s">
        <v>2830</v>
      </c>
      <c r="N422" s="343"/>
      <c r="O422" s="343"/>
      <c r="P422" s="70" t="s">
        <v>1029</v>
      </c>
      <c r="Q422" s="346"/>
      <c r="R422" s="343"/>
      <c r="S422" s="346"/>
      <c r="T422" s="150" t="s">
        <v>25</v>
      </c>
      <c r="U422" s="150"/>
      <c r="V422" s="403"/>
      <c r="W422" s="406">
        <v>0</v>
      </c>
      <c r="X422" s="406">
        <v>208.93</v>
      </c>
      <c r="Y422" s="425"/>
      <c r="Z422" s="71"/>
      <c r="AA422" s="426">
        <v>-76.86</v>
      </c>
      <c r="AB422" s="427">
        <v>111.1</v>
      </c>
      <c r="AC422" s="427">
        <v>174.69</v>
      </c>
      <c r="AD422" s="428">
        <v>0</v>
      </c>
      <c r="AE422" s="429">
        <v>108.31</v>
      </c>
      <c r="AF422" s="429">
        <v>60.089999999999996</v>
      </c>
      <c r="AG422" s="360">
        <v>0</v>
      </c>
      <c r="AH422" s="360">
        <v>0</v>
      </c>
      <c r="AI422" s="360">
        <v>0</v>
      </c>
      <c r="AJ422" s="360">
        <v>0</v>
      </c>
      <c r="AK422" s="360">
        <v>0</v>
      </c>
      <c r="AL422" s="360">
        <v>0</v>
      </c>
      <c r="AM422" s="360">
        <f t="shared" si="21"/>
        <v>377.33</v>
      </c>
      <c r="AN422" s="362">
        <f>ERP_26[[#This Row],[2026 Working Total]]-ERP_26[[#This Row],[LE2 Final Submission]]</f>
        <v>168.39999999999998</v>
      </c>
      <c r="AO422" s="79">
        <v>0</v>
      </c>
      <c r="AP422" s="79">
        <f t="shared" si="25"/>
        <v>60.089999999999996</v>
      </c>
      <c r="AQ422" s="374">
        <f>SUM(ERP_26[[#This Row],[AP01]:[AP06]])-SUM(ERP_26[[#This Row],[AP01 LE2]:[AP06 LE2]])</f>
        <v>168.39999999999998</v>
      </c>
      <c r="AR422" s="80"/>
      <c r="AS422" s="79">
        <f>ERP_26[[#This Row],[2026 Working Total to Budget/LE]]-ERP_26[[#This Row],[Giveback]]</f>
        <v>168.39999999999998</v>
      </c>
      <c r="AT422" s="81"/>
      <c r="AU422" s="375">
        <v>-76.86</v>
      </c>
      <c r="AV422" s="375">
        <v>111.1</v>
      </c>
      <c r="AW422" s="375">
        <v>174.69</v>
      </c>
      <c r="AX422" s="375">
        <v>0</v>
      </c>
      <c r="AY422" s="375">
        <v>0</v>
      </c>
      <c r="AZ422" s="375">
        <v>0</v>
      </c>
      <c r="BA422" s="375">
        <v>0</v>
      </c>
      <c r="BB422" s="375">
        <v>0</v>
      </c>
      <c r="BC422" s="375">
        <v>0</v>
      </c>
      <c r="BD422" s="375">
        <v>0</v>
      </c>
      <c r="BE422" s="375">
        <v>0</v>
      </c>
      <c r="BF422" s="375">
        <v>0</v>
      </c>
      <c r="BG422" s="375">
        <v>208.93</v>
      </c>
      <c r="BH422" s="79">
        <v>-76.86</v>
      </c>
      <c r="BI422" s="79">
        <v>111.1</v>
      </c>
      <c r="BJ422" s="79">
        <v>174.69</v>
      </c>
      <c r="BK422" s="79">
        <v>0</v>
      </c>
      <c r="BL422" s="79">
        <v>0</v>
      </c>
      <c r="BM422" s="79">
        <v>0</v>
      </c>
      <c r="BN422" s="79">
        <v>0</v>
      </c>
      <c r="BO422" s="79">
        <v>0</v>
      </c>
      <c r="BP422" s="79">
        <v>0</v>
      </c>
      <c r="BQ422" s="79">
        <v>0</v>
      </c>
      <c r="BR422" s="79">
        <v>0</v>
      </c>
      <c r="BS422" s="79">
        <v>0</v>
      </c>
      <c r="BT422" s="79">
        <v>208.93</v>
      </c>
    </row>
    <row r="423" spans="1:72" ht="15" customHeight="1">
      <c r="A423" s="66" t="s">
        <v>2850</v>
      </c>
      <c r="B423" s="66"/>
      <c r="C423" s="66" t="s">
        <v>1042</v>
      </c>
      <c r="D423" s="66" t="s">
        <v>1042</v>
      </c>
      <c r="E423" s="150" t="s">
        <v>1136</v>
      </c>
      <c r="F423" s="482" t="s">
        <v>1566</v>
      </c>
      <c r="G423" s="150" t="s">
        <v>1515</v>
      </c>
      <c r="H423" s="383" t="s">
        <v>1515</v>
      </c>
      <c r="I423" s="150" t="s">
        <v>1345</v>
      </c>
      <c r="J423" s="150" t="s">
        <v>1515</v>
      </c>
      <c r="K423" s="150" t="s">
        <v>1346</v>
      </c>
      <c r="L423" s="511" t="s">
        <v>1037</v>
      </c>
      <c r="M423" s="392" t="s">
        <v>2846</v>
      </c>
      <c r="N423" s="343"/>
      <c r="O423" s="343"/>
      <c r="P423" s="70" t="s">
        <v>1039</v>
      </c>
      <c r="Q423" s="346"/>
      <c r="R423" s="346" t="s">
        <v>1140</v>
      </c>
      <c r="S423" s="346"/>
      <c r="T423" s="150" t="s">
        <v>1040</v>
      </c>
      <c r="U423" s="150"/>
      <c r="V423" s="403"/>
      <c r="W423" s="406">
        <v>0</v>
      </c>
      <c r="X423" s="406">
        <v>1947.4499999999998</v>
      </c>
      <c r="Y423" s="425"/>
      <c r="Z423" s="71"/>
      <c r="AA423" s="426">
        <v>1400.32</v>
      </c>
      <c r="AB423" s="427">
        <v>547.13</v>
      </c>
      <c r="AC423" s="431">
        <v>0</v>
      </c>
      <c r="AD423" s="428">
        <v>0</v>
      </c>
      <c r="AE423" s="429">
        <v>0</v>
      </c>
      <c r="AF423" s="429">
        <v>0</v>
      </c>
      <c r="AG423" s="360">
        <v>0</v>
      </c>
      <c r="AH423" s="360">
        <v>0</v>
      </c>
      <c r="AI423" s="360">
        <v>0</v>
      </c>
      <c r="AJ423" s="360">
        <v>0</v>
      </c>
      <c r="AK423" s="360">
        <v>0</v>
      </c>
      <c r="AL423" s="360">
        <v>0</v>
      </c>
      <c r="AM423" s="360">
        <f t="shared" si="21"/>
        <v>1947.4499999999998</v>
      </c>
      <c r="AN423" s="362">
        <f>ERP_26[[#This Row],[2026 Working Total]]-ERP_26[[#This Row],[LE2 Final Submission]]</f>
        <v>0</v>
      </c>
      <c r="AO423" s="79">
        <v>0</v>
      </c>
      <c r="AP423" s="79">
        <f t="shared" si="25"/>
        <v>0</v>
      </c>
      <c r="AQ423" s="374">
        <f>SUM(ERP_26[[#This Row],[AP01]:[AP06]])-SUM(ERP_26[[#This Row],[AP01 LE2]:[AP06 LE2]])</f>
        <v>0</v>
      </c>
      <c r="AR423" s="80"/>
      <c r="AS423" s="79">
        <f>ERP_26[[#This Row],[2026 Working Total to Budget/LE]]-ERP_26[[#This Row],[Giveback]]</f>
        <v>0</v>
      </c>
      <c r="AT423" s="81"/>
      <c r="AU423" s="375">
        <v>1400.32</v>
      </c>
      <c r="AV423" s="375">
        <v>547.13</v>
      </c>
      <c r="AW423" s="375">
        <v>0</v>
      </c>
      <c r="AX423" s="375">
        <v>0</v>
      </c>
      <c r="AY423" s="375">
        <v>0</v>
      </c>
      <c r="AZ423" s="375">
        <v>0</v>
      </c>
      <c r="BA423" s="375">
        <v>0</v>
      </c>
      <c r="BB423" s="375">
        <v>0</v>
      </c>
      <c r="BC423" s="375">
        <v>0</v>
      </c>
      <c r="BD423" s="375">
        <v>0</v>
      </c>
      <c r="BE423" s="375">
        <v>0</v>
      </c>
      <c r="BF423" s="375">
        <v>0</v>
      </c>
      <c r="BG423" s="375">
        <v>1947.4499999999998</v>
      </c>
      <c r="BH423" s="79">
        <v>1400.32</v>
      </c>
      <c r="BI423" s="79">
        <v>547.13</v>
      </c>
      <c r="BJ423" s="79">
        <v>0</v>
      </c>
      <c r="BK423" s="79">
        <v>0</v>
      </c>
      <c r="BL423" s="79">
        <v>0</v>
      </c>
      <c r="BM423" s="79">
        <v>0</v>
      </c>
      <c r="BN423" s="79">
        <v>0</v>
      </c>
      <c r="BO423" s="79">
        <v>0</v>
      </c>
      <c r="BP423" s="79">
        <v>0</v>
      </c>
      <c r="BQ423" s="79">
        <v>0</v>
      </c>
      <c r="BR423" s="79">
        <v>0</v>
      </c>
      <c r="BS423" s="79">
        <v>0</v>
      </c>
      <c r="BT423" s="79">
        <v>1947.4499999999998</v>
      </c>
    </row>
    <row r="424" spans="1:72" ht="15" customHeight="1">
      <c r="A424" s="66" t="s">
        <v>2882</v>
      </c>
      <c r="B424" s="66"/>
      <c r="C424" s="66" t="s">
        <v>38</v>
      </c>
      <c r="D424" s="66" t="s">
        <v>2883</v>
      </c>
      <c r="E424" s="150" t="s">
        <v>1136</v>
      </c>
      <c r="F424" s="482" t="s">
        <v>1566</v>
      </c>
      <c r="G424" s="150" t="s">
        <v>1566</v>
      </c>
      <c r="H424" s="150" t="s">
        <v>1566</v>
      </c>
      <c r="I424" s="150" t="s">
        <v>1567</v>
      </c>
      <c r="J424" s="150" t="s">
        <v>1567</v>
      </c>
      <c r="K424" s="150" t="s">
        <v>1567</v>
      </c>
      <c r="L424" s="511" t="s">
        <v>22</v>
      </c>
      <c r="M424" s="392" t="s">
        <v>2884</v>
      </c>
      <c r="N424" s="343"/>
      <c r="O424" s="343"/>
      <c r="P424" s="70" t="s">
        <v>39</v>
      </c>
      <c r="Q424" s="346"/>
      <c r="R424" s="346" t="s">
        <v>1140</v>
      </c>
      <c r="S424" s="346"/>
      <c r="T424" s="150" t="s">
        <v>25</v>
      </c>
      <c r="U424" s="150"/>
      <c r="V424" s="403"/>
      <c r="W424" s="406">
        <v>144000</v>
      </c>
      <c r="X424" s="406">
        <v>108000</v>
      </c>
      <c r="Y424" s="425"/>
      <c r="Z424" s="71"/>
      <c r="AA424" s="426"/>
      <c r="AB424" s="427"/>
      <c r="AC424" s="427"/>
      <c r="AD424" s="428" t="s">
        <v>1142</v>
      </c>
      <c r="AE424" s="429">
        <v>0</v>
      </c>
      <c r="AF424" s="429">
        <v>0</v>
      </c>
      <c r="AG424" s="363">
        <v>12000</v>
      </c>
      <c r="AH424" s="363">
        <v>12000</v>
      </c>
      <c r="AI424" s="363">
        <v>12000</v>
      </c>
      <c r="AJ424" s="363">
        <v>12000</v>
      </c>
      <c r="AK424" s="363">
        <v>12000</v>
      </c>
      <c r="AL424" s="363">
        <v>12000</v>
      </c>
      <c r="AM424" s="360">
        <f t="shared" si="21"/>
        <v>72000</v>
      </c>
      <c r="AN424" s="362">
        <f>ERP_26[[#This Row],[2026 Working Total]]-ERP_26[[#This Row],[LE2 Final Submission]]</f>
        <v>-36000</v>
      </c>
      <c r="AO424" s="79">
        <v>12000</v>
      </c>
      <c r="AP424" s="79">
        <f t="shared" si="25"/>
        <v>-12000</v>
      </c>
      <c r="AQ424" s="374">
        <f>SUM(ERP_26[[#This Row],[AP01]:[AP06]])-SUM(ERP_26[[#This Row],[AP01 LE2]:[AP06 LE2]])</f>
        <v>-36000</v>
      </c>
      <c r="AR424" s="80"/>
      <c r="AS424" s="79">
        <f>ERP_26[[#This Row],[2026 Working Total to Budget/LE]]-ERP_26[[#This Row],[Giveback]]</f>
        <v>-36000</v>
      </c>
      <c r="AT424" s="81"/>
      <c r="AU424" s="375"/>
      <c r="AV424" s="375"/>
      <c r="AW424" s="375"/>
      <c r="AX424" s="375">
        <v>12000</v>
      </c>
      <c r="AY424" s="375">
        <v>12000</v>
      </c>
      <c r="AZ424" s="375">
        <v>12000</v>
      </c>
      <c r="BA424" s="375">
        <v>12000</v>
      </c>
      <c r="BB424" s="375">
        <v>12000</v>
      </c>
      <c r="BC424" s="375">
        <v>12000</v>
      </c>
      <c r="BD424" s="375">
        <v>12000</v>
      </c>
      <c r="BE424" s="375">
        <v>12000</v>
      </c>
      <c r="BF424" s="375">
        <v>12000</v>
      </c>
      <c r="BG424" s="375">
        <v>108000</v>
      </c>
      <c r="BH424" s="79"/>
      <c r="BI424" s="79"/>
      <c r="BJ424" s="79"/>
      <c r="BK424" s="79">
        <v>12000</v>
      </c>
      <c r="BL424" s="79">
        <v>12000</v>
      </c>
      <c r="BM424" s="79">
        <v>12000</v>
      </c>
      <c r="BN424" s="79">
        <v>12000</v>
      </c>
      <c r="BO424" s="79">
        <v>12000</v>
      </c>
      <c r="BP424" s="79">
        <v>12000</v>
      </c>
      <c r="BQ424" s="79">
        <v>12000</v>
      </c>
      <c r="BR424" s="79">
        <v>12000</v>
      </c>
      <c r="BS424" s="79">
        <v>12000</v>
      </c>
      <c r="BT424" s="79">
        <v>108000</v>
      </c>
    </row>
    <row r="425" spans="1:72" ht="15" customHeight="1">
      <c r="A425" s="66" t="s">
        <v>2890</v>
      </c>
      <c r="B425" s="66"/>
      <c r="C425" s="66" t="s">
        <v>41</v>
      </c>
      <c r="D425" s="66" t="s">
        <v>2891</v>
      </c>
      <c r="E425" s="150" t="s">
        <v>1136</v>
      </c>
      <c r="F425" s="482" t="s">
        <v>1566</v>
      </c>
      <c r="G425" s="150" t="s">
        <v>1566</v>
      </c>
      <c r="H425" s="150" t="s">
        <v>1566</v>
      </c>
      <c r="I425" s="150" t="s">
        <v>1567</v>
      </c>
      <c r="J425" s="150" t="s">
        <v>1567</v>
      </c>
      <c r="K425" s="150" t="s">
        <v>1567</v>
      </c>
      <c r="L425" s="511" t="s">
        <v>22</v>
      </c>
      <c r="M425" s="392" t="s">
        <v>2872</v>
      </c>
      <c r="N425" s="343"/>
      <c r="O425" s="343"/>
      <c r="P425" s="70" t="s">
        <v>29</v>
      </c>
      <c r="Q425" s="346" t="s">
        <v>1139</v>
      </c>
      <c r="R425" s="346" t="s">
        <v>1140</v>
      </c>
      <c r="S425" s="346"/>
      <c r="T425" s="150" t="s">
        <v>25</v>
      </c>
      <c r="U425" s="150" t="s">
        <v>2892</v>
      </c>
      <c r="V425" s="403"/>
      <c r="W425" s="406">
        <v>794938.1799999997</v>
      </c>
      <c r="X425" s="406">
        <v>806177.41999999993</v>
      </c>
      <c r="Y425" s="425"/>
      <c r="Z425" s="71"/>
      <c r="AA425" s="426">
        <v>358290.86</v>
      </c>
      <c r="AB425" s="427">
        <v>-25689.760000000002</v>
      </c>
      <c r="AC425" s="427">
        <v>41090.669999999984</v>
      </c>
      <c r="AD425" s="428">
        <v>85849.400000000009</v>
      </c>
      <c r="AE425" s="429">
        <v>-59378.359999999986</v>
      </c>
      <c r="AF425" s="429">
        <v>-23605.23000000001</v>
      </c>
      <c r="AG425" s="363">
        <v>55233.75</v>
      </c>
      <c r="AH425" s="363">
        <v>55233.75</v>
      </c>
      <c r="AI425" s="363">
        <v>55233.75</v>
      </c>
      <c r="AJ425" s="363">
        <v>55233.75</v>
      </c>
      <c r="AK425" s="363">
        <v>55233.75</v>
      </c>
      <c r="AL425" s="363">
        <v>55233.75</v>
      </c>
      <c r="AM425" s="360">
        <f t="shared" si="21"/>
        <v>707960.08</v>
      </c>
      <c r="AN425" s="362">
        <f>ERP_26[[#This Row],[2026 Working Total]]-ERP_26[[#This Row],[LE2 Final Submission]]</f>
        <v>-98217.339999999967</v>
      </c>
      <c r="AO425" s="79">
        <v>-40000</v>
      </c>
      <c r="AP425" s="79">
        <f t="shared" si="25"/>
        <v>16394.76999999999</v>
      </c>
      <c r="AQ425" s="374">
        <f>SUM(ERP_26[[#This Row],[AP01]:[AP06]])-SUM(ERP_26[[#This Row],[AP01 LE2]:[AP06 LE2]])</f>
        <v>-98217.340000000026</v>
      </c>
      <c r="AR425" s="80"/>
      <c r="AS425" s="79">
        <f>ERP_26[[#This Row],[2026 Working Total to Budget/LE]]-ERP_26[[#This Row],[Giveback]]</f>
        <v>-98217.339999999967</v>
      </c>
      <c r="AT425" s="81"/>
      <c r="AU425" s="375">
        <v>358290.86</v>
      </c>
      <c r="AV425" s="375">
        <v>-25689.760000000002</v>
      </c>
      <c r="AW425" s="375">
        <v>41090.669999999984</v>
      </c>
      <c r="AX425" s="375">
        <v>85849.400000000009</v>
      </c>
      <c r="AY425" s="375">
        <v>-40000</v>
      </c>
      <c r="AZ425" s="375">
        <v>55233.75</v>
      </c>
      <c r="BA425" s="375">
        <v>55233.75</v>
      </c>
      <c r="BB425" s="375">
        <v>55233.75</v>
      </c>
      <c r="BC425" s="375">
        <v>55233.75</v>
      </c>
      <c r="BD425" s="375">
        <v>55233.75</v>
      </c>
      <c r="BE425" s="375">
        <v>55233.75</v>
      </c>
      <c r="BF425" s="375">
        <v>55233.75</v>
      </c>
      <c r="BG425" s="375">
        <v>806177.41999999993</v>
      </c>
      <c r="BH425" s="79">
        <v>214497.38</v>
      </c>
      <c r="BI425" s="79">
        <v>-47930</v>
      </c>
      <c r="BJ425" s="79">
        <v>-59863</v>
      </c>
      <c r="BK425" s="79">
        <v>49611.67</v>
      </c>
      <c r="BL425" s="79">
        <v>81799.17</v>
      </c>
      <c r="BM425" s="79">
        <v>79239.77</v>
      </c>
      <c r="BN425" s="79">
        <v>53645.83</v>
      </c>
      <c r="BO425" s="79">
        <v>53645.83</v>
      </c>
      <c r="BP425" s="79">
        <v>53645.83</v>
      </c>
      <c r="BQ425" s="79">
        <v>53645.83</v>
      </c>
      <c r="BR425" s="79">
        <v>53645.83</v>
      </c>
      <c r="BS425" s="79">
        <v>53645.83</v>
      </c>
      <c r="BT425" s="79">
        <v>639229.97</v>
      </c>
    </row>
    <row r="426" spans="1:72" ht="15" customHeight="1">
      <c r="A426" s="66" t="s">
        <v>2893</v>
      </c>
      <c r="B426" s="66"/>
      <c r="C426" s="66" t="s">
        <v>42</v>
      </c>
      <c r="D426" s="66" t="s">
        <v>2894</v>
      </c>
      <c r="E426" s="150" t="s">
        <v>1136</v>
      </c>
      <c r="F426" s="482" t="s">
        <v>1566</v>
      </c>
      <c r="G426" s="150" t="s">
        <v>1566</v>
      </c>
      <c r="H426" s="150" t="s">
        <v>1566</v>
      </c>
      <c r="I426" s="150" t="s">
        <v>1567</v>
      </c>
      <c r="J426" s="150" t="s">
        <v>1567</v>
      </c>
      <c r="K426" s="150" t="s">
        <v>1567</v>
      </c>
      <c r="L426" s="511" t="s">
        <v>22</v>
      </c>
      <c r="M426" s="392" t="s">
        <v>2895</v>
      </c>
      <c r="N426" s="343"/>
      <c r="O426" s="343"/>
      <c r="P426" s="70" t="s">
        <v>43</v>
      </c>
      <c r="Q426" s="346"/>
      <c r="R426" s="346" t="s">
        <v>1140</v>
      </c>
      <c r="S426" s="346"/>
      <c r="T426" s="150" t="s">
        <v>44</v>
      </c>
      <c r="U426" s="150"/>
      <c r="V426" s="403"/>
      <c r="W426" s="406">
        <v>-472222.21000000008</v>
      </c>
      <c r="X426" s="406">
        <v>-160000</v>
      </c>
      <c r="Y426" s="425"/>
      <c r="Z426" s="71"/>
      <c r="AA426" s="426"/>
      <c r="AB426" s="427"/>
      <c r="AC426" s="427"/>
      <c r="AD426" s="428" t="s">
        <v>1142</v>
      </c>
      <c r="AE426" s="429">
        <v>0</v>
      </c>
      <c r="AF426" s="429">
        <v>0</v>
      </c>
      <c r="AG426" s="363">
        <v>-20000</v>
      </c>
      <c r="AH426" s="363">
        <v>-20000</v>
      </c>
      <c r="AI426" s="363">
        <v>-20000</v>
      </c>
      <c r="AJ426" s="363">
        <v>-20000</v>
      </c>
      <c r="AK426" s="363">
        <v>-20000</v>
      </c>
      <c r="AL426" s="363">
        <v>-20000</v>
      </c>
      <c r="AM426" s="360">
        <f t="shared" si="21"/>
        <v>-120000</v>
      </c>
      <c r="AN426" s="362">
        <f>ERP_26[[#This Row],[2026 Working Total]]-ERP_26[[#This Row],[LE2 Final Submission]]</f>
        <v>40000</v>
      </c>
      <c r="AO426" s="79">
        <v>-20000</v>
      </c>
      <c r="AP426" s="79">
        <f t="shared" si="25"/>
        <v>20000</v>
      </c>
      <c r="AQ426" s="374">
        <f>SUM(ERP_26[[#This Row],[AP01]:[AP06]])-SUM(ERP_26[[#This Row],[AP01 LE2]:[AP06 LE2]])</f>
        <v>40000</v>
      </c>
      <c r="AR426" s="80"/>
      <c r="AS426" s="79">
        <f>ERP_26[[#This Row],[2026 Working Total to Budget/LE]]-ERP_26[[#This Row],[Giveback]]</f>
        <v>40000</v>
      </c>
      <c r="AT426" s="81"/>
      <c r="AU426" s="375"/>
      <c r="AV426" s="375"/>
      <c r="AW426" s="375"/>
      <c r="AX426" s="375"/>
      <c r="AY426" s="375">
        <v>-20000</v>
      </c>
      <c r="AZ426" s="375">
        <v>-20000</v>
      </c>
      <c r="BA426" s="375">
        <v>-20000</v>
      </c>
      <c r="BB426" s="375">
        <v>-20000</v>
      </c>
      <c r="BC426" s="375">
        <v>-20000</v>
      </c>
      <c r="BD426" s="375">
        <v>-20000</v>
      </c>
      <c r="BE426" s="375">
        <v>-20000</v>
      </c>
      <c r="BF426" s="375">
        <v>-20000</v>
      </c>
      <c r="BG426" s="375">
        <v>-160000</v>
      </c>
      <c r="BH426" s="79"/>
      <c r="BI426" s="79"/>
      <c r="BJ426" s="79"/>
      <c r="BK426" s="79">
        <v>-47222.220999999998</v>
      </c>
      <c r="BL426" s="79">
        <v>-47222.220999999998</v>
      </c>
      <c r="BM426" s="79">
        <v>-47222.220999999998</v>
      </c>
      <c r="BN426" s="79">
        <v>-47222.220999999998</v>
      </c>
      <c r="BO426" s="79">
        <v>-47222.220999999998</v>
      </c>
      <c r="BP426" s="79">
        <v>-47222.220999999998</v>
      </c>
      <c r="BQ426" s="79">
        <v>-47222.220999999998</v>
      </c>
      <c r="BR426" s="79">
        <v>-47222.220999999998</v>
      </c>
      <c r="BS426" s="79">
        <v>-47222.220999999998</v>
      </c>
      <c r="BT426" s="79">
        <v>-424999.98900000006</v>
      </c>
    </row>
    <row r="427" spans="1:72" ht="15" customHeight="1">
      <c r="A427" s="66" t="s">
        <v>1564</v>
      </c>
      <c r="B427" s="66"/>
      <c r="C427" s="66" t="s">
        <v>270</v>
      </c>
      <c r="D427" s="66" t="s">
        <v>1565</v>
      </c>
      <c r="E427" s="150" t="s">
        <v>1136</v>
      </c>
      <c r="F427" s="482" t="s">
        <v>1566</v>
      </c>
      <c r="G427" s="150" t="s">
        <v>1566</v>
      </c>
      <c r="H427" s="150" t="s">
        <v>1566</v>
      </c>
      <c r="I427" s="150" t="s">
        <v>1567</v>
      </c>
      <c r="J427" s="150" t="s">
        <v>1567</v>
      </c>
      <c r="K427" s="150" t="s">
        <v>1568</v>
      </c>
      <c r="L427" s="511" t="s">
        <v>49</v>
      </c>
      <c r="M427" s="392" t="s">
        <v>1569</v>
      </c>
      <c r="N427" s="343"/>
      <c r="O427" s="346" t="s">
        <v>1570</v>
      </c>
      <c r="P427" s="70" t="s">
        <v>271</v>
      </c>
      <c r="Q427" s="346"/>
      <c r="R427" s="343"/>
      <c r="S427" s="346"/>
      <c r="T427" s="505" t="s">
        <v>272</v>
      </c>
      <c r="U427" s="150"/>
      <c r="V427" s="403"/>
      <c r="W427" s="406">
        <v>0</v>
      </c>
      <c r="X427" s="406">
        <v>823483</v>
      </c>
      <c r="Y427" s="425"/>
      <c r="Z427" s="71"/>
      <c r="AA427" s="426"/>
      <c r="AB427" s="427"/>
      <c r="AC427" s="427">
        <v>110350.46</v>
      </c>
      <c r="AD427" s="428">
        <v>184516.84999999998</v>
      </c>
      <c r="AE427" s="429">
        <v>-60761.06</v>
      </c>
      <c r="AF427" s="429">
        <v>93499.999999999985</v>
      </c>
      <c r="AG427" s="363">
        <v>71600</v>
      </c>
      <c r="AH427" s="363">
        <v>77000</v>
      </c>
      <c r="AI427" s="363">
        <v>111600</v>
      </c>
      <c r="AJ427" s="363">
        <v>61600</v>
      </c>
      <c r="AK427" s="363">
        <v>77000</v>
      </c>
      <c r="AL427" s="363">
        <v>71600</v>
      </c>
      <c r="AM427" s="360">
        <f t="shared" si="21"/>
        <v>798006.25</v>
      </c>
      <c r="AN427" s="362">
        <f>ERP_26[[#This Row],[2026 Working Total]]-ERP_26[[#This Row],[LE2 Final Submission]]</f>
        <v>-25476.75</v>
      </c>
      <c r="AO427" s="79">
        <v>-28062.46</v>
      </c>
      <c r="AP427" s="79">
        <f t="shared" si="25"/>
        <v>121562.45999999999</v>
      </c>
      <c r="AQ427" s="374">
        <f>SUM(ERP_26[[#This Row],[AP01]:[AP06]])-SUM(ERP_26[[#This Row],[AP01 LE2]:[AP06 LE2]])</f>
        <v>-30936.75</v>
      </c>
      <c r="AR427" s="80"/>
      <c r="AS427" s="79">
        <f>ERP_26[[#This Row],[2026 Working Total to Budget/LE]]-ERP_26[[#This Row],[Giveback]]</f>
        <v>-25476.75</v>
      </c>
      <c r="AT427" s="81"/>
      <c r="AU427" s="375"/>
      <c r="AV427" s="375"/>
      <c r="AW427" s="375">
        <v>110350.46</v>
      </c>
      <c r="AX427" s="375">
        <v>183665</v>
      </c>
      <c r="AY427" s="375">
        <v>-28062.46</v>
      </c>
      <c r="AZ427" s="375">
        <v>92590</v>
      </c>
      <c r="BA427" s="375">
        <v>70690</v>
      </c>
      <c r="BB427" s="375">
        <v>76090</v>
      </c>
      <c r="BC427" s="375">
        <v>110690</v>
      </c>
      <c r="BD427" s="375">
        <v>60690</v>
      </c>
      <c r="BE427" s="375">
        <v>76090</v>
      </c>
      <c r="BF427" s="375">
        <v>70690</v>
      </c>
      <c r="BG427" s="375">
        <v>823483</v>
      </c>
      <c r="BH427" s="79"/>
      <c r="BI427" s="79"/>
      <c r="BJ427" s="79">
        <v>110350.46</v>
      </c>
      <c r="BK427" s="79">
        <v>95789</v>
      </c>
      <c r="BL427" s="79">
        <v>102589</v>
      </c>
      <c r="BM427" s="79">
        <v>121289</v>
      </c>
      <c r="BN427" s="79">
        <v>121389</v>
      </c>
      <c r="BO427" s="79">
        <v>101000</v>
      </c>
      <c r="BP427" s="79">
        <v>98422</v>
      </c>
      <c r="BQ427" s="79">
        <v>129000</v>
      </c>
      <c r="BR427" s="79">
        <v>66600</v>
      </c>
      <c r="BS427" s="79">
        <v>63668</v>
      </c>
      <c r="BT427" s="79">
        <v>1010096.46</v>
      </c>
    </row>
    <row r="428" spans="1:72" ht="15" customHeight="1">
      <c r="A428" s="66" t="s">
        <v>1572</v>
      </c>
      <c r="B428" s="66"/>
      <c r="C428" s="66" t="s">
        <v>273</v>
      </c>
      <c r="D428" s="66" t="s">
        <v>1573</v>
      </c>
      <c r="E428" s="150" t="s">
        <v>1136</v>
      </c>
      <c r="F428" s="482" t="s">
        <v>1566</v>
      </c>
      <c r="G428" s="150" t="s">
        <v>1566</v>
      </c>
      <c r="H428" s="150" t="s">
        <v>1566</v>
      </c>
      <c r="I428" s="150" t="s">
        <v>1567</v>
      </c>
      <c r="J428" s="150" t="s">
        <v>1567</v>
      </c>
      <c r="K428" s="150" t="s">
        <v>1567</v>
      </c>
      <c r="L428" s="511" t="s">
        <v>49</v>
      </c>
      <c r="M428" s="392" t="s">
        <v>1574</v>
      </c>
      <c r="N428" s="343"/>
      <c r="O428" s="343"/>
      <c r="P428" s="70" t="s">
        <v>274</v>
      </c>
      <c r="Q428" s="346" t="s">
        <v>1139</v>
      </c>
      <c r="R428" s="343"/>
      <c r="S428" s="346"/>
      <c r="T428" s="505" t="s">
        <v>275</v>
      </c>
      <c r="U428" s="150"/>
      <c r="V428" s="403"/>
      <c r="W428" s="406">
        <v>1080865</v>
      </c>
      <c r="X428" s="406">
        <v>1057129.56</v>
      </c>
      <c r="Y428" s="425"/>
      <c r="Z428" s="71"/>
      <c r="AA428" s="426"/>
      <c r="AB428" s="427"/>
      <c r="AC428" s="427">
        <v>250144.68</v>
      </c>
      <c r="AD428" s="428">
        <v>54863.060000000005</v>
      </c>
      <c r="AE428" s="429">
        <v>179345.82</v>
      </c>
      <c r="AF428" s="429">
        <v>111181.9</v>
      </c>
      <c r="AG428" s="363">
        <v>64574</v>
      </c>
      <c r="AH428" s="363">
        <v>93010</v>
      </c>
      <c r="AI428" s="363">
        <v>93010</v>
      </c>
      <c r="AJ428" s="363">
        <v>93010</v>
      </c>
      <c r="AK428" s="363">
        <v>93010</v>
      </c>
      <c r="AL428" s="363">
        <v>85636</v>
      </c>
      <c r="AM428" s="360">
        <f t="shared" si="21"/>
        <v>1117785.46</v>
      </c>
      <c r="AN428" s="362">
        <f>ERP_26[[#This Row],[2026 Working Total]]-ERP_26[[#This Row],[LE2 Final Submission]]</f>
        <v>60655.899999999907</v>
      </c>
      <c r="AO428" s="79">
        <v>103425.82</v>
      </c>
      <c r="AP428" s="79">
        <f t="shared" si="25"/>
        <v>7756.0799999999872</v>
      </c>
      <c r="AQ428" s="374">
        <f>SUM(ERP_26[[#This Row],[AP01]:[AP06]])-SUM(ERP_26[[#This Row],[AP01 LE2]:[AP06 LE2]])</f>
        <v>89091.899999999965</v>
      </c>
      <c r="AR428" s="80"/>
      <c r="AS428" s="79">
        <f>ERP_26[[#This Row],[2026 Working Total to Budget/LE]]-ERP_26[[#This Row],[Giveback]]</f>
        <v>60655.899999999907</v>
      </c>
      <c r="AT428" s="81"/>
      <c r="AU428" s="375"/>
      <c r="AV428" s="375"/>
      <c r="AW428" s="375">
        <v>250144.68</v>
      </c>
      <c r="AX428" s="375">
        <v>54863.060000000005</v>
      </c>
      <c r="AY428" s="375">
        <v>103425.82</v>
      </c>
      <c r="AZ428" s="375">
        <v>98010</v>
      </c>
      <c r="BA428" s="375">
        <v>93010</v>
      </c>
      <c r="BB428" s="375">
        <v>93010</v>
      </c>
      <c r="BC428" s="375">
        <v>93010</v>
      </c>
      <c r="BD428" s="375">
        <v>93010</v>
      </c>
      <c r="BE428" s="375">
        <v>93010</v>
      </c>
      <c r="BF428" s="375">
        <v>85636</v>
      </c>
      <c r="BG428" s="375">
        <v>1057129.56</v>
      </c>
      <c r="BH428" s="79"/>
      <c r="BI428" s="79"/>
      <c r="BJ428" s="79">
        <v>250144.68</v>
      </c>
      <c r="BK428" s="79">
        <v>100000</v>
      </c>
      <c r="BL428" s="79">
        <v>100000</v>
      </c>
      <c r="BM428" s="79">
        <v>101635</v>
      </c>
      <c r="BN428" s="79">
        <v>100000</v>
      </c>
      <c r="BO428" s="79">
        <v>100000</v>
      </c>
      <c r="BP428" s="79">
        <v>100000</v>
      </c>
      <c r="BQ428" s="79">
        <v>100000</v>
      </c>
      <c r="BR428" s="79">
        <v>100000</v>
      </c>
      <c r="BS428" s="79">
        <v>80033</v>
      </c>
      <c r="BT428" s="79">
        <v>1131812.68</v>
      </c>
    </row>
    <row r="429" spans="1:72" ht="15" customHeight="1">
      <c r="A429" s="66" t="s">
        <v>1576</v>
      </c>
      <c r="B429" s="66"/>
      <c r="C429" s="66" t="s">
        <v>276</v>
      </c>
      <c r="D429" s="66" t="s">
        <v>1577</v>
      </c>
      <c r="E429" s="150" t="s">
        <v>1136</v>
      </c>
      <c r="F429" s="482" t="s">
        <v>1566</v>
      </c>
      <c r="G429" s="150" t="s">
        <v>1566</v>
      </c>
      <c r="H429" s="150" t="s">
        <v>1566</v>
      </c>
      <c r="I429" s="150" t="s">
        <v>1567</v>
      </c>
      <c r="J429" s="150" t="s">
        <v>1567</v>
      </c>
      <c r="K429" s="150" t="s">
        <v>1567</v>
      </c>
      <c r="L429" s="511" t="s">
        <v>49</v>
      </c>
      <c r="M429" s="392" t="s">
        <v>1578</v>
      </c>
      <c r="N429" s="343"/>
      <c r="O429" s="343"/>
      <c r="P429" s="70" t="s">
        <v>277</v>
      </c>
      <c r="Q429" s="346"/>
      <c r="R429" s="343"/>
      <c r="S429" s="346"/>
      <c r="T429" s="505" t="s">
        <v>272</v>
      </c>
      <c r="U429" s="150"/>
      <c r="V429" s="403"/>
      <c r="W429" s="406">
        <v>270062</v>
      </c>
      <c r="X429" s="406">
        <v>100070</v>
      </c>
      <c r="Y429" s="425"/>
      <c r="Z429" s="71"/>
      <c r="AA429" s="426"/>
      <c r="AB429" s="427"/>
      <c r="AC429" s="427"/>
      <c r="AD429" s="428" t="s">
        <v>1142</v>
      </c>
      <c r="AE429" s="429">
        <v>0</v>
      </c>
      <c r="AF429" s="429">
        <v>0</v>
      </c>
      <c r="AG429" s="360">
        <v>0</v>
      </c>
      <c r="AH429" s="363">
        <v>5000</v>
      </c>
      <c r="AI429" s="360">
        <v>24000</v>
      </c>
      <c r="AJ429" s="360">
        <v>71070</v>
      </c>
      <c r="AK429" s="360">
        <v>0</v>
      </c>
      <c r="AL429" s="360">
        <v>0</v>
      </c>
      <c r="AM429" s="360">
        <f t="shared" si="21"/>
        <v>100070</v>
      </c>
      <c r="AN429" s="362">
        <f>ERP_26[[#This Row],[2026 Working Total]]-ERP_26[[#This Row],[LE2 Final Submission]]</f>
        <v>0</v>
      </c>
      <c r="AO429" s="79">
        <v>0</v>
      </c>
      <c r="AP429" s="79">
        <f t="shared" si="25"/>
        <v>0</v>
      </c>
      <c r="AQ429" s="374">
        <f>SUM(ERP_26[[#This Row],[AP01]:[AP06]])-SUM(ERP_26[[#This Row],[AP01 LE2]:[AP06 LE2]])</f>
        <v>0</v>
      </c>
      <c r="AR429" s="80"/>
      <c r="AS429" s="79">
        <f>ERP_26[[#This Row],[2026 Working Total to Budget/LE]]-ERP_26[[#This Row],[Giveback]]</f>
        <v>0</v>
      </c>
      <c r="AT429" s="81"/>
      <c r="AU429" s="375"/>
      <c r="AV429" s="375"/>
      <c r="AW429" s="375"/>
      <c r="AX429" s="375">
        <v>0</v>
      </c>
      <c r="AY429" s="375">
        <v>0</v>
      </c>
      <c r="AZ429" s="375">
        <v>0</v>
      </c>
      <c r="BA429" s="375">
        <v>0</v>
      </c>
      <c r="BB429" s="375">
        <v>5000</v>
      </c>
      <c r="BC429" s="375">
        <v>24000</v>
      </c>
      <c r="BD429" s="375">
        <v>71070</v>
      </c>
      <c r="BE429" s="375">
        <v>0</v>
      </c>
      <c r="BF429" s="375">
        <v>0</v>
      </c>
      <c r="BG429" s="375">
        <v>100070</v>
      </c>
      <c r="BH429" s="79"/>
      <c r="BI429" s="79"/>
      <c r="BJ429" s="79"/>
      <c r="BK429" s="79"/>
      <c r="BL429" s="79">
        <v>67296</v>
      </c>
      <c r="BM429" s="79">
        <v>67296</v>
      </c>
      <c r="BN429" s="79">
        <v>0</v>
      </c>
      <c r="BO429" s="79">
        <v>135470</v>
      </c>
      <c r="BP429" s="79">
        <v>0</v>
      </c>
      <c r="BQ429" s="79">
        <v>0</v>
      </c>
      <c r="BR429" s="79">
        <v>0</v>
      </c>
      <c r="BS429" s="79">
        <v>0</v>
      </c>
      <c r="BT429" s="79">
        <v>270062</v>
      </c>
    </row>
    <row r="430" spans="1:72" ht="15" customHeight="1">
      <c r="A430" s="79" t="s">
        <v>1580</v>
      </c>
      <c r="B430" s="79"/>
      <c r="C430" s="79" t="s">
        <v>278</v>
      </c>
      <c r="D430" s="296" t="s">
        <v>1581</v>
      </c>
      <c r="E430" s="150" t="s">
        <v>1136</v>
      </c>
      <c r="F430" s="482" t="s">
        <v>1566</v>
      </c>
      <c r="G430" s="150" t="s">
        <v>1566</v>
      </c>
      <c r="H430" s="150" t="s">
        <v>1566</v>
      </c>
      <c r="I430" s="383" t="s">
        <v>1567</v>
      </c>
      <c r="J430" s="382" t="s">
        <v>1567</v>
      </c>
      <c r="K430" s="331" t="s">
        <v>1567</v>
      </c>
      <c r="L430" s="512" t="s">
        <v>49</v>
      </c>
      <c r="M430" s="394" t="s">
        <v>1582</v>
      </c>
      <c r="N430" s="343"/>
      <c r="O430" s="331"/>
      <c r="P430" s="70" t="s">
        <v>279</v>
      </c>
      <c r="Q430" s="343"/>
      <c r="R430" s="343"/>
      <c r="S430" s="346"/>
      <c r="T430" s="507" t="s">
        <v>272</v>
      </c>
      <c r="U430" s="346" t="s">
        <v>1348</v>
      </c>
      <c r="V430" s="432"/>
      <c r="W430" s="358">
        <v>4900</v>
      </c>
      <c r="X430" s="378">
        <v>0</v>
      </c>
      <c r="Y430" s="425"/>
      <c r="Z430" s="71"/>
      <c r="AA430" s="433"/>
      <c r="AB430" s="434"/>
      <c r="AC430" s="434"/>
      <c r="AD430" s="428" t="s">
        <v>1142</v>
      </c>
      <c r="AE430" s="429">
        <v>0</v>
      </c>
      <c r="AF430" s="429">
        <v>0</v>
      </c>
      <c r="AG430" s="388">
        <v>0</v>
      </c>
      <c r="AH430" s="388">
        <v>0</v>
      </c>
      <c r="AI430" s="388">
        <v>0</v>
      </c>
      <c r="AJ430" s="388">
        <v>0</v>
      </c>
      <c r="AK430" s="388">
        <v>0</v>
      </c>
      <c r="AL430" s="388">
        <v>0</v>
      </c>
      <c r="AM430" s="360">
        <f t="shared" si="21"/>
        <v>0</v>
      </c>
      <c r="AN430" s="362">
        <f>ERP_26[[#This Row],[2026 Working Total]]-ERP_26[[#This Row],[LE2 Final Submission]]</f>
        <v>0</v>
      </c>
      <c r="AO430" s="79">
        <v>0</v>
      </c>
      <c r="AP430" s="79">
        <f t="shared" si="25"/>
        <v>0</v>
      </c>
      <c r="AQ430" s="374">
        <f>SUM(ERP_26[[#This Row],[AP01]:[AP06]])-SUM(ERP_26[[#This Row],[AP01 LE2]:[AP06 LE2]])</f>
        <v>0</v>
      </c>
      <c r="AR430" s="80"/>
      <c r="AS430" s="79">
        <f>ERP_26[[#This Row],[2026 Working Total to Budget/LE]]-ERP_26[[#This Row],[Giveback]]</f>
        <v>0</v>
      </c>
      <c r="AT430" s="81"/>
      <c r="AU430" s="375"/>
      <c r="AV430" s="375"/>
      <c r="AW430" s="375"/>
      <c r="AX430" s="375">
        <v>0</v>
      </c>
      <c r="AY430" s="375">
        <v>0</v>
      </c>
      <c r="AZ430" s="375">
        <v>0</v>
      </c>
      <c r="BA430" s="375">
        <v>0</v>
      </c>
      <c r="BB430" s="375">
        <v>0</v>
      </c>
      <c r="BC430" s="375">
        <v>0</v>
      </c>
      <c r="BD430" s="375">
        <v>0</v>
      </c>
      <c r="BE430" s="375">
        <v>0</v>
      </c>
      <c r="BF430" s="375">
        <v>0</v>
      </c>
      <c r="BG430" s="375">
        <v>0</v>
      </c>
      <c r="BH430" s="103">
        <v>4900</v>
      </c>
      <c r="BI430" s="103">
        <v>0</v>
      </c>
      <c r="BJ430" s="103">
        <v>0</v>
      </c>
      <c r="BK430" s="103">
        <v>0</v>
      </c>
      <c r="BL430" s="103">
        <v>0</v>
      </c>
      <c r="BM430" s="103">
        <v>0</v>
      </c>
      <c r="BN430" s="103">
        <v>0</v>
      </c>
      <c r="BO430" s="103">
        <v>0</v>
      </c>
      <c r="BP430" s="103">
        <v>0</v>
      </c>
      <c r="BQ430" s="103">
        <v>0</v>
      </c>
      <c r="BR430" s="103">
        <v>0</v>
      </c>
      <c r="BS430" s="103">
        <v>0</v>
      </c>
      <c r="BT430" s="79">
        <f>SUM(ERP_26[[#This Row],[2026 AP01]:[2026 AP12]])</f>
        <v>4900</v>
      </c>
    </row>
    <row r="431" spans="1:72" ht="15" customHeight="1">
      <c r="A431" s="66" t="s">
        <v>1583</v>
      </c>
      <c r="B431" s="66"/>
      <c r="C431" s="66" t="s">
        <v>280</v>
      </c>
      <c r="D431" s="66" t="s">
        <v>1584</v>
      </c>
      <c r="E431" s="150" t="s">
        <v>1136</v>
      </c>
      <c r="F431" s="482" t="s">
        <v>1566</v>
      </c>
      <c r="G431" s="150" t="s">
        <v>1566</v>
      </c>
      <c r="H431" s="150" t="s">
        <v>1566</v>
      </c>
      <c r="I431" s="150" t="s">
        <v>1567</v>
      </c>
      <c r="J431" s="150" t="s">
        <v>1567</v>
      </c>
      <c r="K431" s="150" t="s">
        <v>1567</v>
      </c>
      <c r="L431" s="511" t="s">
        <v>49</v>
      </c>
      <c r="M431" s="392" t="s">
        <v>1585</v>
      </c>
      <c r="N431" s="343"/>
      <c r="O431" s="343"/>
      <c r="P431" s="70" t="s">
        <v>281</v>
      </c>
      <c r="Q431" s="346"/>
      <c r="R431" s="343"/>
      <c r="S431" s="346"/>
      <c r="T431" s="505" t="s">
        <v>272</v>
      </c>
      <c r="U431" s="150"/>
      <c r="V431" s="403"/>
      <c r="W431" s="406">
        <v>96677</v>
      </c>
      <c r="X431" s="406">
        <v>96677</v>
      </c>
      <c r="Y431" s="425"/>
      <c r="Z431" s="71"/>
      <c r="AA431" s="426"/>
      <c r="AB431" s="427"/>
      <c r="AC431" s="427">
        <v>-1032</v>
      </c>
      <c r="AD431" s="428">
        <v>0</v>
      </c>
      <c r="AE431" s="429">
        <v>0</v>
      </c>
      <c r="AF431" s="429">
        <v>0</v>
      </c>
      <c r="AG431" s="360">
        <v>100</v>
      </c>
      <c r="AH431" s="363">
        <v>250</v>
      </c>
      <c r="AI431" s="363">
        <v>76422</v>
      </c>
      <c r="AJ431" s="360">
        <v>250</v>
      </c>
      <c r="AK431" s="360">
        <v>10290</v>
      </c>
      <c r="AL431" s="360">
        <v>10297</v>
      </c>
      <c r="AM431" s="360">
        <f t="shared" si="21"/>
        <v>96577</v>
      </c>
      <c r="AN431" s="362">
        <f>ERP_26[[#This Row],[2026 Working Total]]-ERP_26[[#This Row],[LE2 Final Submission]]</f>
        <v>-100</v>
      </c>
      <c r="AO431" s="79">
        <v>0</v>
      </c>
      <c r="AP431" s="79">
        <f t="shared" si="25"/>
        <v>0</v>
      </c>
      <c r="AQ431" s="374">
        <f>SUM(ERP_26[[#This Row],[AP01]:[AP06]])-SUM(ERP_26[[#This Row],[AP01 LE2]:[AP06 LE2]])</f>
        <v>-100</v>
      </c>
      <c r="AR431" s="80"/>
      <c r="AS431" s="79">
        <f>ERP_26[[#This Row],[2026 Working Total to Budget/LE]]-ERP_26[[#This Row],[Giveback]]</f>
        <v>-100</v>
      </c>
      <c r="AT431" s="81"/>
      <c r="AU431" s="375"/>
      <c r="AV431" s="375"/>
      <c r="AW431" s="375">
        <v>-1032</v>
      </c>
      <c r="AX431" s="375">
        <v>0</v>
      </c>
      <c r="AY431" s="375">
        <v>0</v>
      </c>
      <c r="AZ431" s="375">
        <v>100</v>
      </c>
      <c r="BA431" s="375">
        <v>100</v>
      </c>
      <c r="BB431" s="375">
        <v>250</v>
      </c>
      <c r="BC431" s="375">
        <v>76422</v>
      </c>
      <c r="BD431" s="375">
        <v>250</v>
      </c>
      <c r="BE431" s="375">
        <v>10290</v>
      </c>
      <c r="BF431" s="375">
        <v>10297</v>
      </c>
      <c r="BG431" s="375">
        <v>96677</v>
      </c>
      <c r="BH431" s="79"/>
      <c r="BI431" s="79"/>
      <c r="BJ431" s="79">
        <v>-1032</v>
      </c>
      <c r="BK431" s="79">
        <v>-19688</v>
      </c>
      <c r="BL431" s="79">
        <v>25767</v>
      </c>
      <c r="BM431" s="79">
        <v>31112</v>
      </c>
      <c r="BN431" s="79">
        <v>0</v>
      </c>
      <c r="BO431" s="79">
        <v>10040</v>
      </c>
      <c r="BP431" s="79">
        <v>5023</v>
      </c>
      <c r="BQ431" s="79">
        <v>0</v>
      </c>
      <c r="BR431" s="79">
        <v>0</v>
      </c>
      <c r="BS431" s="79">
        <v>0</v>
      </c>
      <c r="BT431" s="79">
        <v>51222</v>
      </c>
    </row>
    <row r="432" spans="1:72" ht="15" customHeight="1">
      <c r="A432" s="66" t="s">
        <v>1587</v>
      </c>
      <c r="B432" s="66"/>
      <c r="C432" s="66" t="s">
        <v>282</v>
      </c>
      <c r="D432" s="66" t="s">
        <v>1588</v>
      </c>
      <c r="E432" s="150" t="s">
        <v>1136</v>
      </c>
      <c r="F432" s="482" t="s">
        <v>1566</v>
      </c>
      <c r="G432" s="150" t="s">
        <v>1566</v>
      </c>
      <c r="H432" s="150" t="s">
        <v>1566</v>
      </c>
      <c r="I432" s="150" t="s">
        <v>1567</v>
      </c>
      <c r="J432" s="150" t="s">
        <v>1567</v>
      </c>
      <c r="K432" s="150" t="s">
        <v>1567</v>
      </c>
      <c r="L432" s="511" t="s">
        <v>49</v>
      </c>
      <c r="M432" s="392" t="s">
        <v>1589</v>
      </c>
      <c r="N432" s="343"/>
      <c r="O432" s="343"/>
      <c r="P432" s="70" t="s">
        <v>283</v>
      </c>
      <c r="Q432" s="346"/>
      <c r="R432" s="343"/>
      <c r="S432" s="346"/>
      <c r="T432" s="505" t="s">
        <v>272</v>
      </c>
      <c r="U432" s="150"/>
      <c r="V432" s="403"/>
      <c r="W432" s="406">
        <v>49920</v>
      </c>
      <c r="X432" s="406">
        <v>37752</v>
      </c>
      <c r="Y432" s="425"/>
      <c r="Z432" s="71"/>
      <c r="AA432" s="426"/>
      <c r="AB432" s="427"/>
      <c r="AC432" s="427"/>
      <c r="AD432" s="428" t="s">
        <v>1142</v>
      </c>
      <c r="AE432" s="429">
        <v>0</v>
      </c>
      <c r="AF432" s="429">
        <v>0</v>
      </c>
      <c r="AG432" s="363">
        <v>7550</v>
      </c>
      <c r="AH432" s="363">
        <v>9060</v>
      </c>
      <c r="AI432" s="363">
        <v>9060</v>
      </c>
      <c r="AJ432" s="363">
        <v>0</v>
      </c>
      <c r="AK432" s="360">
        <v>6040</v>
      </c>
      <c r="AL432" s="363">
        <v>6042</v>
      </c>
      <c r="AM432" s="360">
        <f t="shared" si="21"/>
        <v>37752</v>
      </c>
      <c r="AN432" s="362">
        <f>ERP_26[[#This Row],[2026 Working Total]]-ERP_26[[#This Row],[LE2 Final Submission]]</f>
        <v>0</v>
      </c>
      <c r="AO432" s="79">
        <v>0</v>
      </c>
      <c r="AP432" s="79">
        <f t="shared" si="25"/>
        <v>0</v>
      </c>
      <c r="AQ432" s="374">
        <f>SUM(ERP_26[[#This Row],[AP01]:[AP06]])-SUM(ERP_26[[#This Row],[AP01 LE2]:[AP06 LE2]])</f>
        <v>0</v>
      </c>
      <c r="AR432" s="80"/>
      <c r="AS432" s="79">
        <f>ERP_26[[#This Row],[2026 Working Total to Budget/LE]]-ERP_26[[#This Row],[Giveback]]</f>
        <v>0</v>
      </c>
      <c r="AT432" s="81"/>
      <c r="AU432" s="375"/>
      <c r="AV432" s="375"/>
      <c r="AW432" s="375"/>
      <c r="AX432" s="375">
        <v>0</v>
      </c>
      <c r="AY432" s="375">
        <v>0</v>
      </c>
      <c r="AZ432" s="375">
        <v>0</v>
      </c>
      <c r="BA432" s="375">
        <v>7550</v>
      </c>
      <c r="BB432" s="375">
        <v>9060</v>
      </c>
      <c r="BC432" s="375">
        <v>9060</v>
      </c>
      <c r="BD432" s="375">
        <v>0</v>
      </c>
      <c r="BE432" s="375">
        <v>6040</v>
      </c>
      <c r="BF432" s="375">
        <v>6042</v>
      </c>
      <c r="BG432" s="375">
        <v>37752</v>
      </c>
      <c r="BH432" s="79"/>
      <c r="BI432" s="79"/>
      <c r="BJ432" s="79"/>
      <c r="BK432" s="79">
        <v>2500</v>
      </c>
      <c r="BL432" s="79">
        <v>2500</v>
      </c>
      <c r="BM432" s="79">
        <v>10050</v>
      </c>
      <c r="BN432" s="79">
        <v>17644</v>
      </c>
      <c r="BO432" s="79">
        <v>17644</v>
      </c>
      <c r="BP432" s="79">
        <v>8540</v>
      </c>
      <c r="BQ432" s="79">
        <v>6042</v>
      </c>
      <c r="BR432" s="79">
        <v>0</v>
      </c>
      <c r="BS432" s="79">
        <v>-40000</v>
      </c>
      <c r="BT432" s="79">
        <v>24920</v>
      </c>
    </row>
    <row r="433" spans="1:72" ht="15" customHeight="1">
      <c r="A433" s="66" t="s">
        <v>1591</v>
      </c>
      <c r="B433" s="66"/>
      <c r="C433" s="66" t="s">
        <v>284</v>
      </c>
      <c r="D433" s="66" t="s">
        <v>1592</v>
      </c>
      <c r="E433" s="150" t="s">
        <v>1136</v>
      </c>
      <c r="F433" s="482" t="s">
        <v>1566</v>
      </c>
      <c r="G433" s="150" t="s">
        <v>1566</v>
      </c>
      <c r="H433" s="150" t="s">
        <v>1566</v>
      </c>
      <c r="I433" s="150" t="s">
        <v>1567</v>
      </c>
      <c r="J433" s="150" t="s">
        <v>1567</v>
      </c>
      <c r="K433" s="150" t="s">
        <v>1567</v>
      </c>
      <c r="L433" s="511" t="s">
        <v>49</v>
      </c>
      <c r="M433" s="392" t="s">
        <v>1174</v>
      </c>
      <c r="N433" s="343"/>
      <c r="O433" s="343"/>
      <c r="P433" s="70" t="s">
        <v>56</v>
      </c>
      <c r="Q433" s="346"/>
      <c r="R433" s="346" t="s">
        <v>1140</v>
      </c>
      <c r="S433" s="346"/>
      <c r="T433" s="150" t="s">
        <v>57</v>
      </c>
      <c r="U433" s="150"/>
      <c r="V433" s="403"/>
      <c r="W433" s="406">
        <v>0</v>
      </c>
      <c r="X433" s="406">
        <v>13071.14</v>
      </c>
      <c r="Y433" s="425"/>
      <c r="Z433" s="71"/>
      <c r="AA433" s="426">
        <v>5323.5</v>
      </c>
      <c r="AB433" s="427">
        <v>2811.9</v>
      </c>
      <c r="AC433" s="427">
        <v>4935.74</v>
      </c>
      <c r="AD433" s="428">
        <v>5810.54</v>
      </c>
      <c r="AE433" s="429">
        <v>6233.85</v>
      </c>
      <c r="AF433" s="429">
        <v>6212.75</v>
      </c>
      <c r="AG433" s="360">
        <v>0</v>
      </c>
      <c r="AH433" s="360">
        <v>0</v>
      </c>
      <c r="AI433" s="360">
        <v>0</v>
      </c>
      <c r="AJ433" s="360">
        <v>0</v>
      </c>
      <c r="AK433" s="360">
        <v>0</v>
      </c>
      <c r="AL433" s="360">
        <v>0</v>
      </c>
      <c r="AM433" s="360">
        <f t="shared" si="21"/>
        <v>31328.28</v>
      </c>
      <c r="AN433" s="362">
        <f>ERP_26[[#This Row],[2026 Working Total]]-ERP_26[[#This Row],[LE2 Final Submission]]</f>
        <v>18257.14</v>
      </c>
      <c r="AO433" s="79">
        <v>0</v>
      </c>
      <c r="AP433" s="79">
        <f t="shared" si="25"/>
        <v>6212.75</v>
      </c>
      <c r="AQ433" s="374">
        <f>SUM(ERP_26[[#This Row],[AP01]:[AP06]])-SUM(ERP_26[[#This Row],[AP01 LE2]:[AP06 LE2]])</f>
        <v>18257.14</v>
      </c>
      <c r="AR433" s="80"/>
      <c r="AS433" s="79">
        <f>ERP_26[[#This Row],[2026 Working Total to Budget/LE]]-ERP_26[[#This Row],[Giveback]]</f>
        <v>18257.14</v>
      </c>
      <c r="AT433" s="81"/>
      <c r="AU433" s="375">
        <v>5323.5</v>
      </c>
      <c r="AV433" s="375">
        <v>2811.9</v>
      </c>
      <c r="AW433" s="375">
        <v>4935.74</v>
      </c>
      <c r="AX433" s="375">
        <v>0</v>
      </c>
      <c r="AY433" s="375">
        <v>0</v>
      </c>
      <c r="AZ433" s="375">
        <v>0</v>
      </c>
      <c r="BA433" s="375">
        <v>0</v>
      </c>
      <c r="BB433" s="375">
        <v>0</v>
      </c>
      <c r="BC433" s="375">
        <v>0</v>
      </c>
      <c r="BD433" s="375">
        <v>0</v>
      </c>
      <c r="BE433" s="375">
        <v>0</v>
      </c>
      <c r="BF433" s="375">
        <v>0</v>
      </c>
      <c r="BG433" s="375">
        <v>13071.14</v>
      </c>
      <c r="BH433" s="79">
        <v>5323.5</v>
      </c>
      <c r="BI433" s="79">
        <v>2811.9</v>
      </c>
      <c r="BJ433" s="79">
        <v>4935.74</v>
      </c>
      <c r="BK433" s="79">
        <v>0</v>
      </c>
      <c r="BL433" s="79">
        <v>0</v>
      </c>
      <c r="BM433" s="79">
        <v>0</v>
      </c>
      <c r="BN433" s="79">
        <v>0</v>
      </c>
      <c r="BO433" s="79">
        <v>0</v>
      </c>
      <c r="BP433" s="79">
        <v>0</v>
      </c>
      <c r="BQ433" s="79">
        <v>0</v>
      </c>
      <c r="BR433" s="79">
        <v>0</v>
      </c>
      <c r="BS433" s="79">
        <v>0</v>
      </c>
      <c r="BT433" s="79">
        <v>13071.14</v>
      </c>
    </row>
    <row r="434" spans="1:72" ht="15" customHeight="1">
      <c r="A434" s="66" t="s">
        <v>1594</v>
      </c>
      <c r="B434" s="66"/>
      <c r="C434" s="66" t="s">
        <v>285</v>
      </c>
      <c r="D434" s="66" t="s">
        <v>1595</v>
      </c>
      <c r="E434" s="150" t="s">
        <v>1136</v>
      </c>
      <c r="F434" s="482" t="s">
        <v>1566</v>
      </c>
      <c r="G434" s="150" t="s">
        <v>1566</v>
      </c>
      <c r="H434" s="150" t="s">
        <v>1566</v>
      </c>
      <c r="I434" s="150" t="s">
        <v>1567</v>
      </c>
      <c r="J434" s="150" t="s">
        <v>1567</v>
      </c>
      <c r="K434" s="150" t="s">
        <v>1567</v>
      </c>
      <c r="L434" s="511" t="s">
        <v>49</v>
      </c>
      <c r="M434" s="392" t="s">
        <v>1596</v>
      </c>
      <c r="N434" s="343"/>
      <c r="O434" s="343"/>
      <c r="P434" s="70" t="s">
        <v>286</v>
      </c>
      <c r="Q434" s="346"/>
      <c r="R434" s="346" t="s">
        <v>1140</v>
      </c>
      <c r="S434" s="346"/>
      <c r="T434" s="505" t="s">
        <v>272</v>
      </c>
      <c r="U434" s="150"/>
      <c r="V434" s="403"/>
      <c r="W434" s="406">
        <v>100000</v>
      </c>
      <c r="X434" s="406">
        <v>100000</v>
      </c>
      <c r="Y434" s="425"/>
      <c r="Z434" s="71"/>
      <c r="AA434" s="426"/>
      <c r="AB434" s="427"/>
      <c r="AC434" s="427"/>
      <c r="AD434" s="428" t="s">
        <v>1142</v>
      </c>
      <c r="AE434" s="429">
        <v>0</v>
      </c>
      <c r="AF434" s="429">
        <v>0</v>
      </c>
      <c r="AG434" s="363">
        <v>25000</v>
      </c>
      <c r="AH434" s="360">
        <v>25000</v>
      </c>
      <c r="AI434" s="360">
        <v>25000</v>
      </c>
      <c r="AJ434" s="360">
        <v>0</v>
      </c>
      <c r="AK434" s="360">
        <v>0</v>
      </c>
      <c r="AL434" s="360">
        <v>0</v>
      </c>
      <c r="AM434" s="360">
        <f t="shared" si="21"/>
        <v>75000</v>
      </c>
      <c r="AN434" s="362">
        <f>ERP_26[[#This Row],[2026 Working Total]]-ERP_26[[#This Row],[LE2 Final Submission]]</f>
        <v>-25000</v>
      </c>
      <c r="AO434" s="79">
        <v>25000</v>
      </c>
      <c r="AP434" s="79">
        <f t="shared" si="25"/>
        <v>-25000</v>
      </c>
      <c r="AQ434" s="374">
        <f>SUM(ERP_26[[#This Row],[AP01]:[AP06]])-SUM(ERP_26[[#This Row],[AP01 LE2]:[AP06 LE2]])</f>
        <v>-75000</v>
      </c>
      <c r="AR434" s="80"/>
      <c r="AS434" s="79">
        <f>ERP_26[[#This Row],[2026 Working Total to Budget/LE]]-ERP_26[[#This Row],[Giveback]]</f>
        <v>-25000</v>
      </c>
      <c r="AT434" s="81"/>
      <c r="AU434" s="375"/>
      <c r="AV434" s="375"/>
      <c r="AW434" s="375"/>
      <c r="AX434" s="375">
        <v>25000</v>
      </c>
      <c r="AY434" s="375">
        <v>25000</v>
      </c>
      <c r="AZ434" s="375">
        <v>25000</v>
      </c>
      <c r="BA434" s="375">
        <v>25000</v>
      </c>
      <c r="BB434" s="375">
        <v>0</v>
      </c>
      <c r="BC434" s="375">
        <v>0</v>
      </c>
      <c r="BD434" s="375">
        <v>0</v>
      </c>
      <c r="BE434" s="375">
        <v>0</v>
      </c>
      <c r="BF434" s="375">
        <v>0</v>
      </c>
      <c r="BG434" s="375">
        <v>100000</v>
      </c>
      <c r="BH434" s="79"/>
      <c r="BI434" s="79"/>
      <c r="BJ434" s="79"/>
      <c r="BK434" s="79">
        <v>25000</v>
      </c>
      <c r="BL434" s="79">
        <v>25000</v>
      </c>
      <c r="BM434" s="79">
        <v>25000</v>
      </c>
      <c r="BN434" s="79">
        <v>25000</v>
      </c>
      <c r="BO434" s="79">
        <v>0</v>
      </c>
      <c r="BP434" s="79">
        <v>0</v>
      </c>
      <c r="BQ434" s="79">
        <v>0</v>
      </c>
      <c r="BR434" s="79">
        <v>0</v>
      </c>
      <c r="BS434" s="79">
        <v>0</v>
      </c>
      <c r="BT434" s="79">
        <v>100000</v>
      </c>
    </row>
    <row r="435" spans="1:72" ht="15" customHeight="1">
      <c r="A435" s="66" t="s">
        <v>1598</v>
      </c>
      <c r="B435" s="66"/>
      <c r="C435" s="66" t="s">
        <v>287</v>
      </c>
      <c r="D435" s="66" t="s">
        <v>1599</v>
      </c>
      <c r="E435" s="150" t="s">
        <v>1136</v>
      </c>
      <c r="F435" s="482" t="s">
        <v>1566</v>
      </c>
      <c r="G435" s="150" t="s">
        <v>1566</v>
      </c>
      <c r="H435" s="150" t="s">
        <v>1566</v>
      </c>
      <c r="I435" s="150" t="s">
        <v>1567</v>
      </c>
      <c r="J435" s="150" t="s">
        <v>1567</v>
      </c>
      <c r="K435" s="150" t="s">
        <v>1567</v>
      </c>
      <c r="L435" s="511" t="s">
        <v>49</v>
      </c>
      <c r="M435" s="392" t="s">
        <v>1600</v>
      </c>
      <c r="N435" s="343"/>
      <c r="O435" s="343"/>
      <c r="P435" s="70" t="s">
        <v>288</v>
      </c>
      <c r="Q435" s="346"/>
      <c r="R435" s="346" t="s">
        <v>1140</v>
      </c>
      <c r="S435" s="346"/>
      <c r="T435" s="505" t="s">
        <v>272</v>
      </c>
      <c r="U435" s="150"/>
      <c r="V435" s="403"/>
      <c r="W435" s="406">
        <v>45000</v>
      </c>
      <c r="X435" s="406">
        <v>30000</v>
      </c>
      <c r="Y435" s="425"/>
      <c r="Z435" s="71"/>
      <c r="AA435" s="426"/>
      <c r="AB435" s="427"/>
      <c r="AC435" s="427"/>
      <c r="AD435" s="428" t="s">
        <v>1142</v>
      </c>
      <c r="AE435" s="429">
        <v>0</v>
      </c>
      <c r="AF435" s="429">
        <v>0</v>
      </c>
      <c r="AG435" s="360">
        <v>5000</v>
      </c>
      <c r="AH435" s="360">
        <v>5000</v>
      </c>
      <c r="AI435" s="360">
        <v>5000</v>
      </c>
      <c r="AJ435" s="360">
        <v>5000</v>
      </c>
      <c r="AK435" s="360">
        <v>5000</v>
      </c>
      <c r="AL435" s="360">
        <v>5000</v>
      </c>
      <c r="AM435" s="360">
        <f t="shared" si="21"/>
        <v>30000</v>
      </c>
      <c r="AN435" s="362">
        <f>ERP_26[[#This Row],[2026 Working Total]]-ERP_26[[#This Row],[LE2 Final Submission]]</f>
        <v>0</v>
      </c>
      <c r="AO435" s="79">
        <v>15000</v>
      </c>
      <c r="AP435" s="79">
        <f t="shared" si="25"/>
        <v>-15000</v>
      </c>
      <c r="AQ435" s="374">
        <f>SUM(ERP_26[[#This Row],[AP01]:[AP06]])-SUM(ERP_26[[#This Row],[AP01 LE2]:[AP06 LE2]])</f>
        <v>-30000</v>
      </c>
      <c r="AR435" s="80"/>
      <c r="AS435" s="79">
        <f>ERP_26[[#This Row],[2026 Working Total to Budget/LE]]-ERP_26[[#This Row],[Giveback]]</f>
        <v>0</v>
      </c>
      <c r="AT435" s="81"/>
      <c r="AU435" s="375"/>
      <c r="AV435" s="375"/>
      <c r="AW435" s="375"/>
      <c r="AX435" s="375">
        <v>15000</v>
      </c>
      <c r="AY435" s="375">
        <v>15000</v>
      </c>
      <c r="AZ435" s="375">
        <v>0</v>
      </c>
      <c r="BA435" s="375">
        <v>0</v>
      </c>
      <c r="BB435" s="375">
        <v>0</v>
      </c>
      <c r="BC435" s="375">
        <v>0</v>
      </c>
      <c r="BD435" s="375">
        <v>0</v>
      </c>
      <c r="BE435" s="375">
        <v>0</v>
      </c>
      <c r="BF435" s="375">
        <v>0</v>
      </c>
      <c r="BG435" s="375">
        <v>30000</v>
      </c>
      <c r="BH435" s="79"/>
      <c r="BI435" s="79"/>
      <c r="BJ435" s="79"/>
      <c r="BK435" s="79">
        <v>15000</v>
      </c>
      <c r="BL435" s="79">
        <v>15000</v>
      </c>
      <c r="BM435" s="79">
        <v>0</v>
      </c>
      <c r="BN435" s="79">
        <v>0</v>
      </c>
      <c r="BO435" s="79">
        <v>0</v>
      </c>
      <c r="BP435" s="79">
        <v>0</v>
      </c>
      <c r="BQ435" s="79">
        <v>0</v>
      </c>
      <c r="BR435" s="79">
        <v>0</v>
      </c>
      <c r="BS435" s="79">
        <v>0</v>
      </c>
      <c r="BT435" s="79">
        <v>30000</v>
      </c>
    </row>
    <row r="436" spans="1:72" ht="15" customHeight="1">
      <c r="A436" s="66" t="s">
        <v>1602</v>
      </c>
      <c r="B436" s="66"/>
      <c r="C436" s="66" t="s">
        <v>289</v>
      </c>
      <c r="D436" s="66" t="s">
        <v>1603</v>
      </c>
      <c r="E436" s="150" t="s">
        <v>1136</v>
      </c>
      <c r="F436" s="482" t="s">
        <v>1566</v>
      </c>
      <c r="G436" s="150" t="s">
        <v>1566</v>
      </c>
      <c r="H436" s="150" t="s">
        <v>1566</v>
      </c>
      <c r="I436" s="150" t="s">
        <v>1567</v>
      </c>
      <c r="J436" s="150" t="s">
        <v>1567</v>
      </c>
      <c r="K436" s="150" t="s">
        <v>1567</v>
      </c>
      <c r="L436" s="511" t="s">
        <v>49</v>
      </c>
      <c r="M436" s="392" t="s">
        <v>1604</v>
      </c>
      <c r="N436" s="343"/>
      <c r="O436" s="343"/>
      <c r="P436" s="70" t="s">
        <v>290</v>
      </c>
      <c r="Q436" s="346"/>
      <c r="R436" s="346" t="s">
        <v>1140</v>
      </c>
      <c r="S436" s="346"/>
      <c r="T436" s="150" t="s">
        <v>291</v>
      </c>
      <c r="U436" s="150" t="s">
        <v>1605</v>
      </c>
      <c r="V436" s="403"/>
      <c r="W436" s="406">
        <v>-351124.00000199996</v>
      </c>
      <c r="X436" s="406">
        <v>0</v>
      </c>
      <c r="Y436" s="425"/>
      <c r="Z436" s="71"/>
      <c r="AA436" s="426"/>
      <c r="AB436" s="427"/>
      <c r="AC436" s="427"/>
      <c r="AD436" s="428" t="s">
        <v>1142</v>
      </c>
      <c r="AE436" s="429">
        <v>0</v>
      </c>
      <c r="AF436" s="429">
        <v>0</v>
      </c>
      <c r="AG436" s="363">
        <f t="shared" ref="AG436:AL436" si="26">-58520.666667+58520.666667</f>
        <v>0</v>
      </c>
      <c r="AH436" s="363">
        <f t="shared" si="26"/>
        <v>0</v>
      </c>
      <c r="AI436" s="363">
        <f t="shared" si="26"/>
        <v>0</v>
      </c>
      <c r="AJ436" s="363">
        <f t="shared" si="26"/>
        <v>0</v>
      </c>
      <c r="AK436" s="363">
        <f t="shared" si="26"/>
        <v>0</v>
      </c>
      <c r="AL436" s="363">
        <f t="shared" si="26"/>
        <v>0</v>
      </c>
      <c r="AM436" s="360">
        <f t="shared" si="21"/>
        <v>0</v>
      </c>
      <c r="AN436" s="362">
        <f>ERP_26[[#This Row],[2026 Working Total]]-ERP_26[[#This Row],[LE2 Final Submission]]</f>
        <v>0</v>
      </c>
      <c r="AO436" s="79"/>
      <c r="AP436" s="79">
        <f t="shared" si="25"/>
        <v>0</v>
      </c>
      <c r="AQ436" s="374">
        <f>SUM(ERP_26[[#This Row],[AP01]:[AP06]])-SUM(ERP_26[[#This Row],[AP01 LE2]:[AP06 LE2]])</f>
        <v>0</v>
      </c>
      <c r="AR436" s="80"/>
      <c r="AS436" s="79">
        <f>ERP_26[[#This Row],[2026 Working Total to Budget/LE]]-ERP_26[[#This Row],[Giveback]]</f>
        <v>0</v>
      </c>
      <c r="AT436" s="81"/>
      <c r="AU436" s="375"/>
      <c r="AV436" s="375"/>
      <c r="AW436" s="375"/>
      <c r="AX436" s="375"/>
      <c r="AY436" s="375"/>
      <c r="AZ436" s="375"/>
      <c r="BA436" s="375">
        <v>0</v>
      </c>
      <c r="BB436" s="375">
        <v>0</v>
      </c>
      <c r="BC436" s="375">
        <v>0</v>
      </c>
      <c r="BD436" s="375">
        <v>0</v>
      </c>
      <c r="BE436" s="375">
        <v>0</v>
      </c>
      <c r="BF436" s="375">
        <v>0</v>
      </c>
      <c r="BG436" s="375">
        <v>0</v>
      </c>
      <c r="BH436" s="79"/>
      <c r="BI436" s="79"/>
      <c r="BJ436" s="79"/>
      <c r="BK436" s="79"/>
      <c r="BL436" s="79"/>
      <c r="BM436" s="79"/>
      <c r="BN436" s="79">
        <v>-58520.666666999998</v>
      </c>
      <c r="BO436" s="79">
        <v>-58520.666666999998</v>
      </c>
      <c r="BP436" s="79">
        <v>-58520.666666999998</v>
      </c>
      <c r="BQ436" s="79">
        <v>-58520.666666999998</v>
      </c>
      <c r="BR436" s="79">
        <v>-58520.666666999998</v>
      </c>
      <c r="BS436" s="79">
        <v>-58520.666666999998</v>
      </c>
      <c r="BT436" s="79">
        <v>-351124.00000199996</v>
      </c>
    </row>
    <row r="437" spans="1:72" ht="15" customHeight="1">
      <c r="A437" s="79" t="s">
        <v>1606</v>
      </c>
      <c r="B437" s="79"/>
      <c r="C437" s="79" t="s">
        <v>293</v>
      </c>
      <c r="D437" s="296" t="s">
        <v>1607</v>
      </c>
      <c r="E437" s="150" t="s">
        <v>1136</v>
      </c>
      <c r="F437" s="482" t="s">
        <v>1566</v>
      </c>
      <c r="G437" s="482" t="s">
        <v>1566</v>
      </c>
      <c r="H437" s="482" t="s">
        <v>1566</v>
      </c>
      <c r="I437" s="150" t="s">
        <v>1345</v>
      </c>
      <c r="J437" s="332" t="s">
        <v>1346</v>
      </c>
      <c r="K437" s="333" t="s">
        <v>1346</v>
      </c>
      <c r="L437" s="514" t="s">
        <v>49</v>
      </c>
      <c r="M437" s="394"/>
      <c r="N437" s="333"/>
      <c r="O437" s="333"/>
      <c r="P437" s="90" t="s">
        <v>258</v>
      </c>
      <c r="Q437" s="347"/>
      <c r="R437" s="347"/>
      <c r="S437" s="348"/>
      <c r="T437" s="348"/>
      <c r="U437" s="348"/>
      <c r="V437" s="402"/>
      <c r="W437" s="358"/>
      <c r="X437" s="379"/>
      <c r="Y437" s="425"/>
      <c r="Z437" s="71"/>
      <c r="AA437" s="435"/>
      <c r="AB437" s="436"/>
      <c r="AC437" s="436"/>
      <c r="AD437" s="429"/>
      <c r="AE437" s="429"/>
      <c r="AF437" s="429">
        <v>80877.63</v>
      </c>
      <c r="AG437" s="364"/>
      <c r="AH437" s="364"/>
      <c r="AI437" s="364"/>
      <c r="AJ437" s="364"/>
      <c r="AK437" s="364"/>
      <c r="AL437" s="364"/>
      <c r="AM437" s="360">
        <f t="shared" ref="AM437:AM500" si="27">SUM(AA437:AL437)</f>
        <v>80877.63</v>
      </c>
      <c r="AN437" s="362">
        <f>ERP_26[[#This Row],[2026 Working Total]]-ERP_26[[#This Row],[LE2 Final Submission]]</f>
        <v>80877.63</v>
      </c>
      <c r="AO437" s="79"/>
      <c r="AP437" s="79">
        <f t="shared" si="25"/>
        <v>80877.63</v>
      </c>
      <c r="AQ437" s="391">
        <f>SUM(ERP_26[[#This Row],[AP01]:[AP06]])-SUM(ERP_26[[#This Row],[AP01 LE2]:[AP06 LE2]])</f>
        <v>80877.63</v>
      </c>
      <c r="AR437" s="80"/>
      <c r="AS437" s="79">
        <f>ERP_26[[#This Row],[2026 Working Total to Budget/LE]]-ERP_26[[#This Row],[Giveback]]</f>
        <v>80877.63</v>
      </c>
      <c r="AT437" s="81"/>
      <c r="AU437" s="375"/>
      <c r="AV437" s="375"/>
      <c r="AW437" s="375"/>
      <c r="AX437" s="375"/>
      <c r="AY437" s="375"/>
      <c r="AZ437" s="375"/>
      <c r="BA437" s="375"/>
      <c r="BB437" s="375"/>
      <c r="BC437" s="375"/>
      <c r="BD437" s="375"/>
      <c r="BE437" s="375"/>
      <c r="BF437" s="375"/>
      <c r="BG437" s="375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</row>
    <row r="438" spans="1:72" ht="15" customHeight="1">
      <c r="A438" s="66" t="s">
        <v>1608</v>
      </c>
      <c r="B438" s="66"/>
      <c r="C438" s="66" t="s">
        <v>294</v>
      </c>
      <c r="D438" s="66" t="s">
        <v>1609</v>
      </c>
      <c r="E438" s="150" t="s">
        <v>1136</v>
      </c>
      <c r="F438" s="482" t="s">
        <v>1566</v>
      </c>
      <c r="G438" s="150" t="s">
        <v>1566</v>
      </c>
      <c r="H438" s="150" t="s">
        <v>1566</v>
      </c>
      <c r="I438" s="150" t="s">
        <v>1567</v>
      </c>
      <c r="J438" s="150" t="s">
        <v>1567</v>
      </c>
      <c r="K438" s="150" t="s">
        <v>1567</v>
      </c>
      <c r="L438" s="511" t="s">
        <v>49</v>
      </c>
      <c r="M438" s="392" t="s">
        <v>1610</v>
      </c>
      <c r="N438" s="343"/>
      <c r="O438" s="343"/>
      <c r="P438" s="70" t="s">
        <v>295</v>
      </c>
      <c r="Q438" s="346"/>
      <c r="R438" s="343"/>
      <c r="S438" s="346"/>
      <c r="T438" s="150" t="s">
        <v>296</v>
      </c>
      <c r="U438" s="150"/>
      <c r="V438" s="404"/>
      <c r="W438" s="407">
        <v>0</v>
      </c>
      <c r="X438" s="407">
        <v>0</v>
      </c>
      <c r="Y438" s="425"/>
      <c r="Z438" s="71"/>
      <c r="AA438" s="426">
        <v>-1104045.58</v>
      </c>
      <c r="AB438" s="427">
        <v>1104045.58</v>
      </c>
      <c r="AC438" s="427"/>
      <c r="AD438" s="428">
        <v>0</v>
      </c>
      <c r="AE438" s="429">
        <v>0</v>
      </c>
      <c r="AF438" s="429">
        <v>0</v>
      </c>
      <c r="AG438" s="363"/>
      <c r="AH438" s="363"/>
      <c r="AI438" s="363"/>
      <c r="AJ438" s="363"/>
      <c r="AK438" s="363"/>
      <c r="AL438" s="363"/>
      <c r="AM438" s="360">
        <f t="shared" si="27"/>
        <v>0</v>
      </c>
      <c r="AN438" s="362">
        <f>ERP_26[[#This Row],[2026 Working Total]]-ERP_26[[#This Row],[LE2 Final Submission]]</f>
        <v>0</v>
      </c>
      <c r="AO438" s="79"/>
      <c r="AP438" s="79">
        <f t="shared" si="25"/>
        <v>0</v>
      </c>
      <c r="AQ438" s="374">
        <f>SUM(ERP_26[[#This Row],[AP01]:[AP06]])-SUM(ERP_26[[#This Row],[AP01 LE2]:[AP06 LE2]])</f>
        <v>0</v>
      </c>
      <c r="AR438" s="80"/>
      <c r="AS438" s="79">
        <f>ERP_26[[#This Row],[2026 Working Total to Budget/LE]]-ERP_26[[#This Row],[Giveback]]</f>
        <v>0</v>
      </c>
      <c r="AT438" s="81"/>
      <c r="AU438" s="375">
        <v>-1104045.58</v>
      </c>
      <c r="AV438" s="375">
        <v>1104045.58</v>
      </c>
      <c r="AW438" s="375"/>
      <c r="AX438" s="375"/>
      <c r="AY438" s="375"/>
      <c r="AZ438" s="375"/>
      <c r="BA438" s="375"/>
      <c r="BB438" s="375"/>
      <c r="BC438" s="375"/>
      <c r="BD438" s="375"/>
      <c r="BE438" s="375"/>
      <c r="BF438" s="375"/>
      <c r="BG438" s="375">
        <v>0</v>
      </c>
      <c r="BH438" s="79">
        <v>-1104045.58</v>
      </c>
      <c r="BI438" s="79">
        <v>1104045.58</v>
      </c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>
        <v>0</v>
      </c>
    </row>
    <row r="439" spans="1:72" ht="15" customHeight="1">
      <c r="A439" s="66" t="s">
        <v>1611</v>
      </c>
      <c r="B439" s="66"/>
      <c r="C439" s="66" t="s">
        <v>297</v>
      </c>
      <c r="D439" s="66" t="s">
        <v>1612</v>
      </c>
      <c r="E439" s="150" t="s">
        <v>1136</v>
      </c>
      <c r="F439" s="482" t="s">
        <v>1566</v>
      </c>
      <c r="G439" s="150" t="s">
        <v>1566</v>
      </c>
      <c r="H439" s="150" t="s">
        <v>1566</v>
      </c>
      <c r="I439" s="150" t="s">
        <v>1567</v>
      </c>
      <c r="J439" s="150" t="s">
        <v>1567</v>
      </c>
      <c r="K439" s="150" t="s">
        <v>1567</v>
      </c>
      <c r="L439" s="511" t="s">
        <v>49</v>
      </c>
      <c r="M439" s="392" t="s">
        <v>1613</v>
      </c>
      <c r="N439" s="343"/>
      <c r="O439" s="346" t="s">
        <v>1593</v>
      </c>
      <c r="P439" s="70" t="s">
        <v>298</v>
      </c>
      <c r="Q439" s="346"/>
      <c r="R439" s="346" t="s">
        <v>1187</v>
      </c>
      <c r="S439" s="346"/>
      <c r="T439" s="150" t="s">
        <v>25</v>
      </c>
      <c r="U439" s="150"/>
      <c r="V439" s="403"/>
      <c r="W439" s="406">
        <v>0</v>
      </c>
      <c r="X439" s="406">
        <v>50489.729999999996</v>
      </c>
      <c r="Y439" s="425"/>
      <c r="Z439" s="71"/>
      <c r="AA439" s="426"/>
      <c r="AB439" s="427">
        <v>38877.699999999997</v>
      </c>
      <c r="AC439" s="427">
        <v>11612.03</v>
      </c>
      <c r="AD439" s="428">
        <v>17061.96</v>
      </c>
      <c r="AE439" s="429">
        <v>5873.3499999999995</v>
      </c>
      <c r="AF439" s="429">
        <v>-6492.8099999999995</v>
      </c>
      <c r="AG439" s="360">
        <v>0</v>
      </c>
      <c r="AH439" s="360">
        <v>0</v>
      </c>
      <c r="AI439" s="360">
        <v>0</v>
      </c>
      <c r="AJ439" s="360">
        <v>0</v>
      </c>
      <c r="AK439" s="360">
        <v>0</v>
      </c>
      <c r="AL439" s="360">
        <v>0</v>
      </c>
      <c r="AM439" s="360">
        <f t="shared" si="27"/>
        <v>66932.23000000001</v>
      </c>
      <c r="AN439" s="362">
        <f>ERP_26[[#This Row],[2026 Working Total]]-ERP_26[[#This Row],[LE2 Final Submission]]</f>
        <v>16442.500000000015</v>
      </c>
      <c r="AO439" s="79">
        <v>0</v>
      </c>
      <c r="AP439" s="79">
        <f t="shared" si="25"/>
        <v>-6492.8099999999995</v>
      </c>
      <c r="AQ439" s="374">
        <f>SUM(ERP_26[[#This Row],[AP01]:[AP06]])-SUM(ERP_26[[#This Row],[AP01 LE2]:[AP06 LE2]])</f>
        <v>16442.500000000015</v>
      </c>
      <c r="AR439" s="80"/>
      <c r="AS439" s="79">
        <f>ERP_26[[#This Row],[2026 Working Total to Budget/LE]]-ERP_26[[#This Row],[Giveback]]</f>
        <v>16442.500000000015</v>
      </c>
      <c r="AT439" s="81"/>
      <c r="AU439" s="375"/>
      <c r="AV439" s="375">
        <v>38877.699999999997</v>
      </c>
      <c r="AW439" s="375">
        <v>11612.03</v>
      </c>
      <c r="AX439" s="375">
        <v>0</v>
      </c>
      <c r="AY439" s="375">
        <v>0</v>
      </c>
      <c r="AZ439" s="375">
        <v>0</v>
      </c>
      <c r="BA439" s="375">
        <v>0</v>
      </c>
      <c r="BB439" s="375">
        <v>0</v>
      </c>
      <c r="BC439" s="375">
        <v>0</v>
      </c>
      <c r="BD439" s="375">
        <v>0</v>
      </c>
      <c r="BE439" s="375">
        <v>0</v>
      </c>
      <c r="BF439" s="375">
        <v>0</v>
      </c>
      <c r="BG439" s="375">
        <v>50489.729999999996</v>
      </c>
      <c r="BH439" s="79"/>
      <c r="BI439" s="79">
        <v>38877.699999999997</v>
      </c>
      <c r="BJ439" s="79">
        <v>11612.03</v>
      </c>
      <c r="BK439" s="79">
        <v>0</v>
      </c>
      <c r="BL439" s="79">
        <v>0</v>
      </c>
      <c r="BM439" s="79">
        <v>0</v>
      </c>
      <c r="BN439" s="79">
        <v>0</v>
      </c>
      <c r="BO439" s="79">
        <v>0</v>
      </c>
      <c r="BP439" s="79">
        <v>0</v>
      </c>
      <c r="BQ439" s="79">
        <v>0</v>
      </c>
      <c r="BR439" s="79">
        <v>0</v>
      </c>
      <c r="BS439" s="79">
        <v>0</v>
      </c>
      <c r="BT439" s="79">
        <v>50489.729999999996</v>
      </c>
    </row>
    <row r="440" spans="1:72" ht="15" customHeight="1">
      <c r="A440" s="66" t="s">
        <v>1614</v>
      </c>
      <c r="B440" s="66"/>
      <c r="C440" s="66" t="s">
        <v>299</v>
      </c>
      <c r="D440" s="66" t="s">
        <v>1615</v>
      </c>
      <c r="E440" s="150" t="s">
        <v>1136</v>
      </c>
      <c r="F440" s="482" t="s">
        <v>1566</v>
      </c>
      <c r="G440" s="150" t="s">
        <v>1566</v>
      </c>
      <c r="H440" s="150" t="s">
        <v>1566</v>
      </c>
      <c r="I440" s="150" t="s">
        <v>1567</v>
      </c>
      <c r="J440" s="150" t="s">
        <v>1567</v>
      </c>
      <c r="K440" s="150" t="s">
        <v>1567</v>
      </c>
      <c r="L440" s="511" t="s">
        <v>49</v>
      </c>
      <c r="M440" s="392" t="s">
        <v>1616</v>
      </c>
      <c r="N440" s="343"/>
      <c r="O440" s="343"/>
      <c r="P440" s="70" t="s">
        <v>300</v>
      </c>
      <c r="Q440" s="346"/>
      <c r="R440" s="343"/>
      <c r="S440" s="346"/>
      <c r="T440" s="505" t="s">
        <v>272</v>
      </c>
      <c r="U440" s="150"/>
      <c r="V440" s="403"/>
      <c r="W440" s="406">
        <v>-1080865</v>
      </c>
      <c r="X440" s="406">
        <v>-1080865</v>
      </c>
      <c r="Y440" s="425"/>
      <c r="Z440" s="71"/>
      <c r="AA440" s="426"/>
      <c r="AB440" s="427"/>
      <c r="AC440" s="427">
        <v>-180144.16</v>
      </c>
      <c r="AD440" s="429">
        <v>0</v>
      </c>
      <c r="AE440" s="429">
        <v>-270216.24</v>
      </c>
      <c r="AF440" s="429">
        <v>-90072.08</v>
      </c>
      <c r="AG440" s="360">
        <v>0</v>
      </c>
      <c r="AH440" s="363">
        <v>-180144</v>
      </c>
      <c r="AI440" s="363">
        <v>-90072</v>
      </c>
      <c r="AJ440" s="360">
        <v>0</v>
      </c>
      <c r="AK440" s="363">
        <v>-180144</v>
      </c>
      <c r="AL440" s="363">
        <v>-90072.84</v>
      </c>
      <c r="AM440" s="360">
        <f t="shared" si="27"/>
        <v>-1080865.32</v>
      </c>
      <c r="AN440" s="362">
        <f>ERP_26[[#This Row],[2026 Working Total]]-ERP_26[[#This Row],[LE2 Final Submission]]</f>
        <v>-0.32000000006519258</v>
      </c>
      <c r="AO440" s="79">
        <v>-270216</v>
      </c>
      <c r="AP440" s="79">
        <f t="shared" si="25"/>
        <v>180143.91999999998</v>
      </c>
      <c r="AQ440" s="374">
        <f>SUM(ERP_26[[#This Row],[AP01]:[AP06]])-SUM(ERP_26[[#This Row],[AP01 LE2]:[AP06 LE2]])</f>
        <v>-0.31999999994877726</v>
      </c>
      <c r="AR440" s="80"/>
      <c r="AS440" s="79">
        <f>ERP_26[[#This Row],[2026 Working Total to Budget/LE]]-ERP_26[[#This Row],[Giveback]]</f>
        <v>-0.32000000006519258</v>
      </c>
      <c r="AT440" s="81"/>
      <c r="AU440" s="375"/>
      <c r="AV440" s="375"/>
      <c r="AW440" s="375">
        <v>-180144.16</v>
      </c>
      <c r="AX440" s="375">
        <v>0</v>
      </c>
      <c r="AY440" s="375">
        <v>-270216</v>
      </c>
      <c r="AZ440" s="375">
        <v>-90072</v>
      </c>
      <c r="BA440" s="375">
        <v>0</v>
      </c>
      <c r="BB440" s="375">
        <v>-180144</v>
      </c>
      <c r="BC440" s="375">
        <v>-90072</v>
      </c>
      <c r="BD440" s="375">
        <v>0</v>
      </c>
      <c r="BE440" s="375">
        <v>-180144</v>
      </c>
      <c r="BF440" s="375">
        <v>-90072.84</v>
      </c>
      <c r="BG440" s="375">
        <v>-1080865</v>
      </c>
      <c r="BH440" s="79"/>
      <c r="BI440" s="79"/>
      <c r="BJ440" s="79">
        <v>-180144.16</v>
      </c>
      <c r="BK440" s="79">
        <v>0</v>
      </c>
      <c r="BL440" s="79">
        <v>-180144.16</v>
      </c>
      <c r="BM440" s="79">
        <v>-90072.08</v>
      </c>
      <c r="BN440" s="79">
        <v>0</v>
      </c>
      <c r="BO440" s="79">
        <v>-180144.16</v>
      </c>
      <c r="BP440" s="79">
        <v>-90072.08</v>
      </c>
      <c r="BQ440" s="79">
        <v>0</v>
      </c>
      <c r="BR440" s="79">
        <v>-180144.16</v>
      </c>
      <c r="BS440" s="79">
        <v>-90072.12</v>
      </c>
      <c r="BT440" s="79">
        <v>-990792.92</v>
      </c>
    </row>
    <row r="441" spans="1:72" ht="15" customHeight="1">
      <c r="A441" s="66" t="s">
        <v>1617</v>
      </c>
      <c r="B441" s="66"/>
      <c r="C441" s="66" t="s">
        <v>301</v>
      </c>
      <c r="D441" s="66" t="s">
        <v>1618</v>
      </c>
      <c r="E441" s="150" t="s">
        <v>1136</v>
      </c>
      <c r="F441" s="482" t="s">
        <v>1566</v>
      </c>
      <c r="G441" s="150" t="s">
        <v>1566</v>
      </c>
      <c r="H441" s="150" t="s">
        <v>1566</v>
      </c>
      <c r="I441" s="150" t="s">
        <v>1567</v>
      </c>
      <c r="J441" s="150" t="s">
        <v>1567</v>
      </c>
      <c r="K441" s="150" t="s">
        <v>1567</v>
      </c>
      <c r="L441" s="511" t="s">
        <v>49</v>
      </c>
      <c r="M441" s="392" t="s">
        <v>1619</v>
      </c>
      <c r="N441" s="343"/>
      <c r="O441" s="343"/>
      <c r="P441" s="70" t="s">
        <v>302</v>
      </c>
      <c r="Q441" s="346"/>
      <c r="R441" s="343"/>
      <c r="S441" s="346"/>
      <c r="T441" s="505" t="s">
        <v>303</v>
      </c>
      <c r="U441" s="150"/>
      <c r="V441" s="403"/>
      <c r="W441" s="406">
        <v>-2578</v>
      </c>
      <c r="X441" s="406">
        <v>-51385.37</v>
      </c>
      <c r="Y441" s="425"/>
      <c r="Z441" s="71"/>
      <c r="AA441" s="426"/>
      <c r="AB441" s="427"/>
      <c r="AC441" s="427">
        <v>-2578.37</v>
      </c>
      <c r="AD441" s="428">
        <v>0</v>
      </c>
      <c r="AE441" s="429">
        <v>0</v>
      </c>
      <c r="AF441" s="429">
        <v>0</v>
      </c>
      <c r="AG441" s="360">
        <v>0</v>
      </c>
      <c r="AH441" s="360">
        <v>0</v>
      </c>
      <c r="AI441" s="360">
        <v>0</v>
      </c>
      <c r="AJ441" s="360">
        <v>0</v>
      </c>
      <c r="AK441" s="360">
        <v>0</v>
      </c>
      <c r="AL441" s="360">
        <v>0</v>
      </c>
      <c r="AM441" s="360">
        <f t="shared" si="27"/>
        <v>-2578.37</v>
      </c>
      <c r="AN441" s="362">
        <f>ERP_26[[#This Row],[2026 Working Total]]-ERP_26[[#This Row],[LE2 Final Submission]]</f>
        <v>48807</v>
      </c>
      <c r="AO441" s="79">
        <v>-48807</v>
      </c>
      <c r="AP441" s="79">
        <f t="shared" si="25"/>
        <v>48807</v>
      </c>
      <c r="AQ441" s="374">
        <f>SUM(ERP_26[[#This Row],[AP01]:[AP06]])-SUM(ERP_26[[#This Row],[AP01 LE2]:[AP06 LE2]])</f>
        <v>48807</v>
      </c>
      <c r="AR441" s="80"/>
      <c r="AS441" s="79">
        <f>ERP_26[[#This Row],[2026 Working Total to Budget/LE]]-ERP_26[[#This Row],[Giveback]]</f>
        <v>48807</v>
      </c>
      <c r="AT441" s="81"/>
      <c r="AU441" s="375"/>
      <c r="AV441" s="375"/>
      <c r="AW441" s="375">
        <v>-2578.37</v>
      </c>
      <c r="AX441" s="375">
        <v>0</v>
      </c>
      <c r="AY441" s="375">
        <v>-48807</v>
      </c>
      <c r="AZ441" s="375">
        <v>0</v>
      </c>
      <c r="BA441" s="375">
        <v>0</v>
      </c>
      <c r="BB441" s="375">
        <v>0</v>
      </c>
      <c r="BC441" s="375">
        <v>0</v>
      </c>
      <c r="BD441" s="375">
        <v>0</v>
      </c>
      <c r="BE441" s="375">
        <v>0</v>
      </c>
      <c r="BF441" s="375">
        <v>0</v>
      </c>
      <c r="BG441" s="375">
        <v>-51385.37</v>
      </c>
      <c r="BH441" s="79"/>
      <c r="BI441" s="79"/>
      <c r="BJ441" s="79">
        <v>-2578.37</v>
      </c>
      <c r="BK441" s="79">
        <v>0</v>
      </c>
      <c r="BL441" s="79">
        <v>0</v>
      </c>
      <c r="BM441" s="79">
        <v>0</v>
      </c>
      <c r="BN441" s="79">
        <v>0</v>
      </c>
      <c r="BO441" s="79">
        <v>0</v>
      </c>
      <c r="BP441" s="79">
        <v>0</v>
      </c>
      <c r="BQ441" s="79">
        <v>0</v>
      </c>
      <c r="BR441" s="79">
        <v>0</v>
      </c>
      <c r="BS441" s="79">
        <v>0</v>
      </c>
      <c r="BT441" s="79">
        <v>-2578.37</v>
      </c>
    </row>
    <row r="442" spans="1:72" ht="15" customHeight="1">
      <c r="A442" s="79" t="s">
        <v>1621</v>
      </c>
      <c r="B442" s="79"/>
      <c r="C442" s="79" t="s">
        <v>304</v>
      </c>
      <c r="D442" s="296" t="s">
        <v>1622</v>
      </c>
      <c r="E442" s="150" t="s">
        <v>1136</v>
      </c>
      <c r="F442" s="482" t="s">
        <v>1566</v>
      </c>
      <c r="G442" s="150" t="s">
        <v>1566</v>
      </c>
      <c r="H442" s="150" t="s">
        <v>1566</v>
      </c>
      <c r="I442" s="383" t="s">
        <v>1567</v>
      </c>
      <c r="J442" s="382" t="s">
        <v>1567</v>
      </c>
      <c r="K442" s="333" t="s">
        <v>1567</v>
      </c>
      <c r="L442" s="512" t="s">
        <v>49</v>
      </c>
      <c r="M442" s="394" t="s">
        <v>1623</v>
      </c>
      <c r="N442" s="343"/>
      <c r="O442" s="333"/>
      <c r="P442" s="70" t="s">
        <v>305</v>
      </c>
      <c r="Q442" s="347"/>
      <c r="R442" s="343"/>
      <c r="S442" s="346"/>
      <c r="T442" s="384" t="s">
        <v>272</v>
      </c>
      <c r="U442" s="346" t="s">
        <v>1348</v>
      </c>
      <c r="V442" s="432"/>
      <c r="W442" s="358">
        <v>1078625</v>
      </c>
      <c r="X442" s="378">
        <v>0</v>
      </c>
      <c r="Y442" s="425"/>
      <c r="Z442" s="71"/>
      <c r="AA442" s="433"/>
      <c r="AB442" s="434"/>
      <c r="AC442" s="434"/>
      <c r="AD442" s="428" t="s">
        <v>1142</v>
      </c>
      <c r="AE442" s="429">
        <v>0</v>
      </c>
      <c r="AF442" s="429">
        <v>0</v>
      </c>
      <c r="AG442" s="388"/>
      <c r="AH442" s="388"/>
      <c r="AI442" s="388"/>
      <c r="AJ442" s="388"/>
      <c r="AK442" s="388"/>
      <c r="AL442" s="388"/>
      <c r="AM442" s="360">
        <f t="shared" si="27"/>
        <v>0</v>
      </c>
      <c r="AN442" s="362">
        <f>ERP_26[[#This Row],[2026 Working Total]]-ERP_26[[#This Row],[LE2 Final Submission]]</f>
        <v>0</v>
      </c>
      <c r="AO442" s="79"/>
      <c r="AP442" s="79">
        <f t="shared" si="25"/>
        <v>0</v>
      </c>
      <c r="AQ442" s="374">
        <f>SUM(ERP_26[[#This Row],[AP01]:[AP06]])-SUM(ERP_26[[#This Row],[AP01 LE2]:[AP06 LE2]])</f>
        <v>0</v>
      </c>
      <c r="AR442" s="80"/>
      <c r="AS442" s="79">
        <f>ERP_26[[#This Row],[2026 Working Total to Budget/LE]]-ERP_26[[#This Row],[Giveback]]</f>
        <v>0</v>
      </c>
      <c r="AT442" s="81"/>
      <c r="AU442" s="375"/>
      <c r="AV442" s="375"/>
      <c r="AW442" s="375"/>
      <c r="AX442" s="375"/>
      <c r="AY442" s="375"/>
      <c r="AZ442" s="375"/>
      <c r="BA442" s="375"/>
      <c r="BB442" s="375"/>
      <c r="BC442" s="375"/>
      <c r="BD442" s="375"/>
      <c r="BE442" s="375"/>
      <c r="BF442" s="375"/>
      <c r="BG442" s="375">
        <v>0</v>
      </c>
      <c r="BH442" s="103">
        <v>63566</v>
      </c>
      <c r="BI442" s="103">
        <v>71261</v>
      </c>
      <c r="BJ442" s="103">
        <v>89885</v>
      </c>
      <c r="BK442" s="103">
        <v>89885</v>
      </c>
      <c r="BL442" s="103">
        <v>134828</v>
      </c>
      <c r="BM442" s="103">
        <v>134828</v>
      </c>
      <c r="BN442" s="103">
        <v>134828</v>
      </c>
      <c r="BO442" s="103">
        <v>91283</v>
      </c>
      <c r="BP442" s="103">
        <v>89885</v>
      </c>
      <c r="BQ442" s="103">
        <v>89885</v>
      </c>
      <c r="BR442" s="103">
        <v>44942</v>
      </c>
      <c r="BS442" s="103">
        <v>43549</v>
      </c>
      <c r="BT442" s="79">
        <f>SUM(ERP_26[[#This Row],[2026 AP01]:[2026 AP12]])</f>
        <v>1078625</v>
      </c>
    </row>
    <row r="443" spans="1:72" ht="15" customHeight="1">
      <c r="A443" s="79" t="s">
        <v>1624</v>
      </c>
      <c r="B443" s="79"/>
      <c r="C443" s="79" t="s">
        <v>306</v>
      </c>
      <c r="D443" s="296" t="s">
        <v>1625</v>
      </c>
      <c r="E443" s="150" t="s">
        <v>1136</v>
      </c>
      <c r="F443" s="482" t="s">
        <v>1566</v>
      </c>
      <c r="G443" s="150" t="s">
        <v>1566</v>
      </c>
      <c r="H443" s="150" t="s">
        <v>1566</v>
      </c>
      <c r="I443" s="383" t="s">
        <v>1567</v>
      </c>
      <c r="J443" s="382" t="s">
        <v>1567</v>
      </c>
      <c r="K443" s="333" t="s">
        <v>1567</v>
      </c>
      <c r="L443" s="512" t="s">
        <v>49</v>
      </c>
      <c r="M443" s="394" t="s">
        <v>1626</v>
      </c>
      <c r="N443" s="343"/>
      <c r="O443" s="333"/>
      <c r="P443" s="70" t="s">
        <v>307</v>
      </c>
      <c r="Q443" s="347"/>
      <c r="R443" s="343"/>
      <c r="S443" s="346"/>
      <c r="T443" s="507" t="s">
        <v>272</v>
      </c>
      <c r="U443" s="346" t="s">
        <v>1348</v>
      </c>
      <c r="V443" s="432"/>
      <c r="W443" s="358">
        <v>7850</v>
      </c>
      <c r="X443" s="378">
        <v>0</v>
      </c>
      <c r="Y443" s="425"/>
      <c r="Z443" s="71"/>
      <c r="AA443" s="433"/>
      <c r="AB443" s="434"/>
      <c r="AC443" s="434"/>
      <c r="AD443" s="428" t="s">
        <v>1142</v>
      </c>
      <c r="AE443" s="429">
        <v>0</v>
      </c>
      <c r="AF443" s="429">
        <v>0</v>
      </c>
      <c r="AG443" s="388">
        <v>0</v>
      </c>
      <c r="AH443" s="388">
        <v>0</v>
      </c>
      <c r="AI443" s="388">
        <v>0</v>
      </c>
      <c r="AJ443" s="388">
        <v>0</v>
      </c>
      <c r="AK443" s="388">
        <v>0</v>
      </c>
      <c r="AL443" s="388"/>
      <c r="AM443" s="360">
        <f t="shared" si="27"/>
        <v>0</v>
      </c>
      <c r="AN443" s="362">
        <f>ERP_26[[#This Row],[2026 Working Total]]-ERP_26[[#This Row],[LE2 Final Submission]]</f>
        <v>0</v>
      </c>
      <c r="AO443" s="79">
        <v>0</v>
      </c>
      <c r="AP443" s="79">
        <f t="shared" si="25"/>
        <v>0</v>
      </c>
      <c r="AQ443" s="374">
        <f>SUM(ERP_26[[#This Row],[AP01]:[AP06]])-SUM(ERP_26[[#This Row],[AP01 LE2]:[AP06 LE2]])</f>
        <v>0</v>
      </c>
      <c r="AR443" s="80"/>
      <c r="AS443" s="79">
        <f>ERP_26[[#This Row],[2026 Working Total to Budget/LE]]-ERP_26[[#This Row],[Giveback]]</f>
        <v>0</v>
      </c>
      <c r="AT443" s="81"/>
      <c r="AU443" s="375"/>
      <c r="AV443" s="375"/>
      <c r="AW443" s="375"/>
      <c r="AX443" s="375">
        <v>0</v>
      </c>
      <c r="AY443" s="375">
        <v>0</v>
      </c>
      <c r="AZ443" s="375">
        <v>0</v>
      </c>
      <c r="BA443" s="375">
        <v>0</v>
      </c>
      <c r="BB443" s="375">
        <v>0</v>
      </c>
      <c r="BC443" s="375">
        <v>0</v>
      </c>
      <c r="BD443" s="375">
        <v>0</v>
      </c>
      <c r="BE443" s="375">
        <v>0</v>
      </c>
      <c r="BF443" s="375"/>
      <c r="BG443" s="375">
        <v>0</v>
      </c>
      <c r="BH443" s="103">
        <v>2090</v>
      </c>
      <c r="BI443" s="103">
        <v>0</v>
      </c>
      <c r="BJ443" s="103">
        <v>0</v>
      </c>
      <c r="BK443" s="103">
        <v>0</v>
      </c>
      <c r="BL443" s="103">
        <v>0</v>
      </c>
      <c r="BM443" s="103">
        <v>0</v>
      </c>
      <c r="BN443" s="103">
        <v>0</v>
      </c>
      <c r="BO443" s="103">
        <v>0</v>
      </c>
      <c r="BP443" s="103">
        <v>0</v>
      </c>
      <c r="BQ443" s="103">
        <v>0</v>
      </c>
      <c r="BR443" s="103">
        <v>0</v>
      </c>
      <c r="BS443" s="103">
        <v>5760</v>
      </c>
      <c r="BT443" s="79">
        <f>SUM(ERP_26[[#This Row],[2026 AP01]:[2026 AP12]])</f>
        <v>7850</v>
      </c>
    </row>
    <row r="444" spans="1:72" ht="15" customHeight="1">
      <c r="A444" s="150" t="s">
        <v>1631</v>
      </c>
      <c r="B444" s="150"/>
      <c r="C444" s="536" t="s">
        <v>308</v>
      </c>
      <c r="D444" s="296" t="s">
        <v>1632</v>
      </c>
      <c r="E444" s="150" t="s">
        <v>1136</v>
      </c>
      <c r="F444" s="482" t="s">
        <v>1566</v>
      </c>
      <c r="G444" s="150" t="s">
        <v>1566</v>
      </c>
      <c r="H444" s="150" t="s">
        <v>1566</v>
      </c>
      <c r="I444" s="332" t="s">
        <v>1567</v>
      </c>
      <c r="J444" s="332" t="s">
        <v>1567</v>
      </c>
      <c r="K444" s="333" t="s">
        <v>1567</v>
      </c>
      <c r="L444" s="514" t="s">
        <v>49</v>
      </c>
      <c r="M444" s="394" t="s">
        <v>1633</v>
      </c>
      <c r="N444" s="333"/>
      <c r="O444" s="332" t="s">
        <v>1634</v>
      </c>
      <c r="P444" s="90" t="s">
        <v>309</v>
      </c>
      <c r="Q444" s="347"/>
      <c r="R444" s="348" t="s">
        <v>1635</v>
      </c>
      <c r="S444" s="348"/>
      <c r="T444" s="506" t="s">
        <v>310</v>
      </c>
      <c r="U444" s="348"/>
      <c r="V444" s="402"/>
      <c r="W444" s="406"/>
      <c r="X444" s="406"/>
      <c r="Y444" s="425"/>
      <c r="Z444" s="71"/>
      <c r="AA444" s="435"/>
      <c r="AB444" s="436"/>
      <c r="AC444" s="436"/>
      <c r="AD444" s="429"/>
      <c r="AE444" s="429">
        <v>-48806.7</v>
      </c>
      <c r="AF444" s="429">
        <v>0</v>
      </c>
      <c r="AG444" s="364"/>
      <c r="AH444" s="364"/>
      <c r="AI444" s="364"/>
      <c r="AJ444" s="364"/>
      <c r="AK444" s="364"/>
      <c r="AL444" s="364"/>
      <c r="AM444" s="360">
        <f t="shared" si="27"/>
        <v>-48806.7</v>
      </c>
      <c r="AN444" s="362">
        <f>ERP_26[[#This Row],[2026 Working Total]]-ERP_26[[#This Row],[LE2 Final Submission]]</f>
        <v>-48806.7</v>
      </c>
      <c r="AO444" s="79"/>
      <c r="AP444" s="79">
        <f t="shared" si="25"/>
        <v>0</v>
      </c>
      <c r="AQ444" s="374">
        <f>SUM(ERP_26[[#This Row],[AP01]:[AP06]])-SUM(ERP_26[[#This Row],[AP01 LE2]:[AP06 LE2]])</f>
        <v>-48806.7</v>
      </c>
      <c r="AR444" s="80"/>
      <c r="AS444" s="79">
        <f>ERP_26[[#This Row],[2026 Working Total to Budget/LE]]-ERP_26[[#This Row],[Giveback]]</f>
        <v>-48806.7</v>
      </c>
      <c r="AT444" s="81"/>
      <c r="AU444" s="375"/>
      <c r="AV444" s="375"/>
      <c r="AW444" s="375"/>
      <c r="AX444" s="375"/>
      <c r="AY444" s="375"/>
      <c r="AZ444" s="375"/>
      <c r="BA444" s="375"/>
      <c r="BB444" s="375"/>
      <c r="BC444" s="375"/>
      <c r="BD444" s="375"/>
      <c r="BE444" s="375"/>
      <c r="BF444" s="375"/>
      <c r="BG444" s="375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</row>
    <row r="445" spans="1:72" ht="15" customHeight="1">
      <c r="A445" s="150" t="s">
        <v>1495</v>
      </c>
      <c r="B445" s="150"/>
      <c r="C445" s="536" t="s">
        <v>311</v>
      </c>
      <c r="D445" s="296" t="s">
        <v>1496</v>
      </c>
      <c r="E445" s="150" t="s">
        <v>1136</v>
      </c>
      <c r="F445" s="482" t="s">
        <v>1566</v>
      </c>
      <c r="G445" s="482" t="s">
        <v>1566</v>
      </c>
      <c r="H445" s="482" t="s">
        <v>1566</v>
      </c>
      <c r="I445" s="150" t="s">
        <v>1345</v>
      </c>
      <c r="J445" s="150" t="s">
        <v>1346</v>
      </c>
      <c r="K445" s="150" t="s">
        <v>1345</v>
      </c>
      <c r="L445" s="514" t="s">
        <v>49</v>
      </c>
      <c r="M445" s="394" t="s">
        <v>1497</v>
      </c>
      <c r="N445" s="333" t="s">
        <v>1498</v>
      </c>
      <c r="O445" s="332" t="s">
        <v>1499</v>
      </c>
      <c r="P445" s="90" t="s">
        <v>312</v>
      </c>
      <c r="Q445" s="347"/>
      <c r="R445" s="348" t="s">
        <v>1500</v>
      </c>
      <c r="S445" s="348"/>
      <c r="T445" s="348"/>
      <c r="U445" s="348"/>
      <c r="V445" s="402"/>
      <c r="W445" s="406"/>
      <c r="X445" s="406"/>
      <c r="Y445" s="425"/>
      <c r="Z445" s="71"/>
      <c r="AA445" s="435"/>
      <c r="AB445" s="436"/>
      <c r="AC445" s="436"/>
      <c r="AD445" s="481">
        <v>12507.9</v>
      </c>
      <c r="AE445" s="481">
        <v>13470.05</v>
      </c>
      <c r="AF445" s="429">
        <v>13318.529999999999</v>
      </c>
      <c r="AG445" s="364"/>
      <c r="AH445" s="364"/>
      <c r="AI445" s="364"/>
      <c r="AJ445" s="364"/>
      <c r="AK445" s="364"/>
      <c r="AL445" s="364"/>
      <c r="AM445" s="360">
        <f t="shared" si="27"/>
        <v>39296.479999999996</v>
      </c>
      <c r="AN445" s="362">
        <f>ERP_26[[#This Row],[2026 Working Total]]-ERP_26[[#This Row],[LE2 Final Submission]]</f>
        <v>39296.479999999996</v>
      </c>
      <c r="AO445" s="79"/>
      <c r="AP445" s="79">
        <f t="shared" si="25"/>
        <v>13318.529999999999</v>
      </c>
      <c r="AQ445" s="374">
        <f>SUM(ERP_26[[#This Row],[AP01]:[AP06]])-SUM(ERP_26[[#This Row],[AP01 LE2]:[AP06 LE2]])</f>
        <v>39296.479999999996</v>
      </c>
      <c r="AR445" s="80"/>
      <c r="AS445" s="79">
        <f>ERP_26[[#This Row],[2026 Working Total to Budget/LE]]-ERP_26[[#This Row],[Giveback]]</f>
        <v>39296.479999999996</v>
      </c>
      <c r="AT445" s="81"/>
      <c r="AU445" s="375"/>
      <c r="AV445" s="375"/>
      <c r="AW445" s="375"/>
      <c r="AX445" s="375"/>
      <c r="AY445" s="375"/>
      <c r="AZ445" s="375"/>
      <c r="BA445" s="375"/>
      <c r="BB445" s="375"/>
      <c r="BC445" s="375"/>
      <c r="BD445" s="375"/>
      <c r="BE445" s="375"/>
      <c r="BF445" s="375"/>
      <c r="BG445" s="375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</row>
    <row r="446" spans="1:72" ht="15" customHeight="1">
      <c r="A446" s="66" t="s">
        <v>1412</v>
      </c>
      <c r="B446" s="66"/>
      <c r="C446" s="66" t="s">
        <v>313</v>
      </c>
      <c r="D446" s="66" t="s">
        <v>1413</v>
      </c>
      <c r="E446" s="150" t="s">
        <v>1136</v>
      </c>
      <c r="F446" s="482" t="s">
        <v>1566</v>
      </c>
      <c r="G446" s="482" t="s">
        <v>1566</v>
      </c>
      <c r="H446" s="482" t="s">
        <v>1566</v>
      </c>
      <c r="I446" s="150" t="s">
        <v>1345</v>
      </c>
      <c r="J446" s="150" t="s">
        <v>1346</v>
      </c>
      <c r="K446" s="150" t="s">
        <v>1346</v>
      </c>
      <c r="L446" s="511" t="s">
        <v>49</v>
      </c>
      <c r="M446" s="392" t="s">
        <v>1414</v>
      </c>
      <c r="N446" s="343"/>
      <c r="O446" s="346" t="s">
        <v>1415</v>
      </c>
      <c r="P446" s="70" t="s">
        <v>314</v>
      </c>
      <c r="Q446" s="346"/>
      <c r="R446" s="346" t="s">
        <v>1416</v>
      </c>
      <c r="S446" s="346"/>
      <c r="T446" s="150" t="s">
        <v>25</v>
      </c>
      <c r="U446" s="150"/>
      <c r="V446" s="403"/>
      <c r="W446" s="406">
        <v>0</v>
      </c>
      <c r="X446" s="406">
        <v>0.33000000000174623</v>
      </c>
      <c r="Y446" s="425"/>
      <c r="Z446" s="71"/>
      <c r="AA446" s="426"/>
      <c r="AB446" s="427">
        <v>63054.92</v>
      </c>
      <c r="AC446" s="427">
        <v>-63054.59</v>
      </c>
      <c r="AD446" s="428">
        <v>0</v>
      </c>
      <c r="AE446" s="429">
        <v>0</v>
      </c>
      <c r="AF446" s="429">
        <v>0</v>
      </c>
      <c r="AG446" s="360">
        <v>0</v>
      </c>
      <c r="AH446" s="360">
        <v>0</v>
      </c>
      <c r="AI446" s="360">
        <v>0</v>
      </c>
      <c r="AJ446" s="360">
        <v>0</v>
      </c>
      <c r="AK446" s="360">
        <v>0</v>
      </c>
      <c r="AL446" s="360">
        <v>0</v>
      </c>
      <c r="AM446" s="360">
        <f t="shared" si="27"/>
        <v>0.33000000000174623</v>
      </c>
      <c r="AN446" s="362">
        <f>ERP_26[[#This Row],[2026 Working Total]]-ERP_26[[#This Row],[LE2 Final Submission]]</f>
        <v>0</v>
      </c>
      <c r="AO446" s="79">
        <v>0</v>
      </c>
      <c r="AP446" s="79">
        <f t="shared" si="25"/>
        <v>0</v>
      </c>
      <c r="AQ446" s="374">
        <f>SUM(ERP_26[[#This Row],[AP01]:[AP06]])-SUM(ERP_26[[#This Row],[AP01 LE2]:[AP06 LE2]])</f>
        <v>0</v>
      </c>
      <c r="AR446" s="80"/>
      <c r="AS446" s="79">
        <f>ERP_26[[#This Row],[2026 Working Total to Budget/LE]]-ERP_26[[#This Row],[Giveback]]</f>
        <v>0</v>
      </c>
      <c r="AT446" s="81"/>
      <c r="AU446" s="375"/>
      <c r="AV446" s="375">
        <v>63054.92</v>
      </c>
      <c r="AW446" s="375">
        <v>-63054.59</v>
      </c>
      <c r="AX446" s="375">
        <v>0</v>
      </c>
      <c r="AY446" s="375">
        <v>0</v>
      </c>
      <c r="AZ446" s="375">
        <v>0</v>
      </c>
      <c r="BA446" s="375">
        <v>0</v>
      </c>
      <c r="BB446" s="375">
        <v>0</v>
      </c>
      <c r="BC446" s="375">
        <v>0</v>
      </c>
      <c r="BD446" s="375">
        <v>0</v>
      </c>
      <c r="BE446" s="375">
        <v>0</v>
      </c>
      <c r="BF446" s="375">
        <v>0</v>
      </c>
      <c r="BG446" s="375">
        <v>0.33000000000174623</v>
      </c>
      <c r="BH446" s="79"/>
      <c r="BI446" s="79">
        <v>63054.92</v>
      </c>
      <c r="BJ446" s="79">
        <v>-63054.59</v>
      </c>
      <c r="BK446" s="79">
        <v>0</v>
      </c>
      <c r="BL446" s="79">
        <v>0</v>
      </c>
      <c r="BM446" s="79">
        <v>0</v>
      </c>
      <c r="BN446" s="79">
        <v>0</v>
      </c>
      <c r="BO446" s="79">
        <v>0</v>
      </c>
      <c r="BP446" s="79">
        <v>0</v>
      </c>
      <c r="BQ446" s="79">
        <v>0</v>
      </c>
      <c r="BR446" s="79">
        <v>0</v>
      </c>
      <c r="BS446" s="79">
        <v>0</v>
      </c>
      <c r="BT446" s="79">
        <v>0.33000000000174623</v>
      </c>
    </row>
    <row r="447" spans="1:72" ht="15" customHeight="1">
      <c r="A447" s="66" t="s">
        <v>1418</v>
      </c>
      <c r="B447" s="66"/>
      <c r="C447" s="66" t="s">
        <v>315</v>
      </c>
      <c r="D447" s="66" t="s">
        <v>1419</v>
      </c>
      <c r="E447" s="150" t="s">
        <v>1136</v>
      </c>
      <c r="F447" s="482" t="s">
        <v>1566</v>
      </c>
      <c r="G447" s="482" t="s">
        <v>1566</v>
      </c>
      <c r="H447" s="482" t="s">
        <v>1566</v>
      </c>
      <c r="I447" s="150" t="s">
        <v>1345</v>
      </c>
      <c r="J447" s="150" t="s">
        <v>1346</v>
      </c>
      <c r="K447" s="150" t="s">
        <v>1346</v>
      </c>
      <c r="L447" s="511" t="s">
        <v>49</v>
      </c>
      <c r="M447" s="392" t="s">
        <v>1420</v>
      </c>
      <c r="N447" s="343"/>
      <c r="O447" s="346" t="s">
        <v>1415</v>
      </c>
      <c r="P447" s="70" t="s">
        <v>316</v>
      </c>
      <c r="Q447" s="346"/>
      <c r="R447" s="346" t="s">
        <v>1421</v>
      </c>
      <c r="S447" s="346"/>
      <c r="T447" s="150" t="s">
        <v>25</v>
      </c>
      <c r="U447" s="150"/>
      <c r="V447" s="404"/>
      <c r="W447" s="407">
        <v>0</v>
      </c>
      <c r="X447" s="407">
        <v>0</v>
      </c>
      <c r="Y447" s="430"/>
      <c r="Z447" s="137"/>
      <c r="AA447" s="426"/>
      <c r="AB447" s="427">
        <v>89550.8</v>
      </c>
      <c r="AC447" s="427">
        <v>-89550.8</v>
      </c>
      <c r="AD447" s="428">
        <v>0</v>
      </c>
      <c r="AE447" s="429">
        <v>0</v>
      </c>
      <c r="AF447" s="429">
        <v>0</v>
      </c>
      <c r="AG447" s="363"/>
      <c r="AH447" s="363"/>
      <c r="AI447" s="363"/>
      <c r="AJ447" s="363"/>
      <c r="AK447" s="363"/>
      <c r="AL447" s="363"/>
      <c r="AM447" s="360">
        <f t="shared" si="27"/>
        <v>0</v>
      </c>
      <c r="AN447" s="362">
        <f>ERP_26[[#This Row],[2026 Working Total]]-ERP_26[[#This Row],[LE2 Final Submission]]</f>
        <v>0</v>
      </c>
      <c r="AO447" s="79"/>
      <c r="AP447" s="79">
        <f t="shared" si="25"/>
        <v>0</v>
      </c>
      <c r="AQ447" s="374">
        <f>SUM(ERP_26[[#This Row],[AP01]:[AP06]])-SUM(ERP_26[[#This Row],[AP01 LE2]:[AP06 LE2]])</f>
        <v>0</v>
      </c>
      <c r="AR447" s="80"/>
      <c r="AS447" s="79">
        <f>ERP_26[[#This Row],[2026 Working Total to Budget/LE]]-ERP_26[[#This Row],[Giveback]]</f>
        <v>0</v>
      </c>
      <c r="AT447" s="81"/>
      <c r="AU447" s="375"/>
      <c r="AV447" s="375">
        <v>89550.8</v>
      </c>
      <c r="AW447" s="375">
        <v>-89550.8</v>
      </c>
      <c r="AX447" s="375"/>
      <c r="AY447" s="375"/>
      <c r="AZ447" s="375"/>
      <c r="BA447" s="375"/>
      <c r="BB447" s="375"/>
      <c r="BC447" s="375"/>
      <c r="BD447" s="375"/>
      <c r="BE447" s="375"/>
      <c r="BF447" s="375"/>
      <c r="BG447" s="375">
        <v>0</v>
      </c>
      <c r="BH447" s="79"/>
      <c r="BI447" s="79">
        <v>89550.8</v>
      </c>
      <c r="BJ447" s="79">
        <v>-89550.8</v>
      </c>
      <c r="BK447" s="79"/>
      <c r="BL447" s="79"/>
      <c r="BM447" s="79"/>
      <c r="BN447" s="79"/>
      <c r="BO447" s="79"/>
      <c r="BP447" s="79"/>
      <c r="BQ447" s="79"/>
      <c r="BR447" s="79"/>
      <c r="BS447" s="79"/>
      <c r="BT447" s="79">
        <v>0</v>
      </c>
    </row>
    <row r="448" spans="1:72" ht="15" customHeight="1">
      <c r="A448" s="79" t="s">
        <v>1637</v>
      </c>
      <c r="B448" s="79"/>
      <c r="C448" s="79" t="s">
        <v>317</v>
      </c>
      <c r="D448" s="296" t="s">
        <v>1638</v>
      </c>
      <c r="E448" s="150" t="s">
        <v>1136</v>
      </c>
      <c r="F448" s="482" t="s">
        <v>1566</v>
      </c>
      <c r="G448" s="482" t="s">
        <v>1566</v>
      </c>
      <c r="H448" s="482" t="s">
        <v>1566</v>
      </c>
      <c r="I448" s="150" t="s">
        <v>1345</v>
      </c>
      <c r="J448" s="332" t="s">
        <v>1346</v>
      </c>
      <c r="K448" s="333" t="s">
        <v>1346</v>
      </c>
      <c r="L448" s="514" t="s">
        <v>49</v>
      </c>
      <c r="M448" s="394"/>
      <c r="N448" s="333"/>
      <c r="O448" s="333"/>
      <c r="P448" s="90" t="s">
        <v>318</v>
      </c>
      <c r="Q448" s="347"/>
      <c r="R448" s="347"/>
      <c r="S448" s="348"/>
      <c r="T448" s="348"/>
      <c r="U448" s="348"/>
      <c r="V448" s="402"/>
      <c r="W448" s="358"/>
      <c r="X448" s="379"/>
      <c r="Y448" s="425"/>
      <c r="Z448" s="71"/>
      <c r="AA448" s="435"/>
      <c r="AB448" s="436"/>
      <c r="AC448" s="436"/>
      <c r="AD448" s="429"/>
      <c r="AE448" s="429"/>
      <c r="AF448" s="429">
        <v>-1584</v>
      </c>
      <c r="AG448" s="364"/>
      <c r="AH448" s="364"/>
      <c r="AI448" s="364"/>
      <c r="AJ448" s="364"/>
      <c r="AK448" s="364"/>
      <c r="AL448" s="364"/>
      <c r="AM448" s="360">
        <f t="shared" si="27"/>
        <v>-1584</v>
      </c>
      <c r="AN448" s="362">
        <f>ERP_26[[#This Row],[2026 Working Total]]-ERP_26[[#This Row],[LE2 Final Submission]]</f>
        <v>-1584</v>
      </c>
      <c r="AO448" s="79"/>
      <c r="AP448" s="79">
        <f t="shared" si="25"/>
        <v>-1584</v>
      </c>
      <c r="AQ448" s="391">
        <f>SUM(ERP_26[[#This Row],[AP01]:[AP06]])-SUM(ERP_26[[#This Row],[AP01 LE2]:[AP06 LE2]])</f>
        <v>-1584</v>
      </c>
      <c r="AR448" s="80"/>
      <c r="AS448" s="79">
        <f>ERP_26[[#This Row],[2026 Working Total to Budget/LE]]-ERP_26[[#This Row],[Giveback]]</f>
        <v>-1584</v>
      </c>
      <c r="AT448" s="81"/>
      <c r="AU448" s="375"/>
      <c r="AV448" s="375"/>
      <c r="AW448" s="375"/>
      <c r="AX448" s="375"/>
      <c r="AY448" s="375"/>
      <c r="AZ448" s="375"/>
      <c r="BA448" s="375"/>
      <c r="BB448" s="375"/>
      <c r="BC448" s="375"/>
      <c r="BD448" s="375"/>
      <c r="BE448" s="375"/>
      <c r="BF448" s="375"/>
      <c r="BG448" s="375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</row>
    <row r="449" spans="1:72" ht="15" customHeight="1">
      <c r="A449" s="66" t="s">
        <v>1643</v>
      </c>
      <c r="B449" s="66"/>
      <c r="C449" s="66" t="s">
        <v>320</v>
      </c>
      <c r="D449" s="66" t="s">
        <v>1644</v>
      </c>
      <c r="E449" s="150" t="s">
        <v>1136</v>
      </c>
      <c r="F449" s="482" t="s">
        <v>1566</v>
      </c>
      <c r="G449" s="150" t="s">
        <v>1566</v>
      </c>
      <c r="H449" s="150" t="s">
        <v>1566</v>
      </c>
      <c r="I449" s="150" t="s">
        <v>1567</v>
      </c>
      <c r="J449" s="150" t="s">
        <v>1567</v>
      </c>
      <c r="K449" s="150" t="s">
        <v>1567</v>
      </c>
      <c r="L449" s="511" t="s">
        <v>49</v>
      </c>
      <c r="M449" s="392" t="s">
        <v>1645</v>
      </c>
      <c r="N449" s="343"/>
      <c r="O449" s="343"/>
      <c r="P449" s="70" t="s">
        <v>321</v>
      </c>
      <c r="Q449" s="346"/>
      <c r="R449" s="343"/>
      <c r="S449" s="346"/>
      <c r="T449" s="150" t="s">
        <v>25</v>
      </c>
      <c r="U449" s="150"/>
      <c r="V449" s="403"/>
      <c r="W449" s="406">
        <v>0</v>
      </c>
      <c r="X449" s="406">
        <v>7271.4</v>
      </c>
      <c r="Y449" s="425"/>
      <c r="Z449" s="71"/>
      <c r="AA449" s="426"/>
      <c r="AB449" s="427">
        <v>7271.4</v>
      </c>
      <c r="AC449" s="431">
        <v>0</v>
      </c>
      <c r="AD449" s="428">
        <v>0</v>
      </c>
      <c r="AE449" s="429">
        <v>0</v>
      </c>
      <c r="AF449" s="429">
        <v>0</v>
      </c>
      <c r="AG449" s="360">
        <v>0</v>
      </c>
      <c r="AH449" s="360">
        <v>0</v>
      </c>
      <c r="AI449" s="360">
        <v>0</v>
      </c>
      <c r="AJ449" s="360">
        <v>0</v>
      </c>
      <c r="AK449" s="360">
        <v>0</v>
      </c>
      <c r="AL449" s="360">
        <v>0</v>
      </c>
      <c r="AM449" s="360">
        <f t="shared" si="27"/>
        <v>7271.4</v>
      </c>
      <c r="AN449" s="362">
        <f>ERP_26[[#This Row],[2026 Working Total]]-ERP_26[[#This Row],[LE2 Final Submission]]</f>
        <v>0</v>
      </c>
      <c r="AO449" s="79">
        <v>0</v>
      </c>
      <c r="AP449" s="79">
        <f t="shared" si="25"/>
        <v>0</v>
      </c>
      <c r="AQ449" s="374">
        <f>SUM(ERP_26[[#This Row],[AP01]:[AP06]])-SUM(ERP_26[[#This Row],[AP01 LE2]:[AP06 LE2]])</f>
        <v>0</v>
      </c>
      <c r="AR449" s="80"/>
      <c r="AS449" s="79">
        <f>ERP_26[[#This Row],[2026 Working Total to Budget/LE]]-ERP_26[[#This Row],[Giveback]]</f>
        <v>0</v>
      </c>
      <c r="AT449" s="81"/>
      <c r="AU449" s="375"/>
      <c r="AV449" s="375">
        <v>7271.4</v>
      </c>
      <c r="AW449" s="375">
        <v>0</v>
      </c>
      <c r="AX449" s="375">
        <v>0</v>
      </c>
      <c r="AY449" s="375">
        <v>0</v>
      </c>
      <c r="AZ449" s="375">
        <v>0</v>
      </c>
      <c r="BA449" s="375">
        <v>0</v>
      </c>
      <c r="BB449" s="375">
        <v>0</v>
      </c>
      <c r="BC449" s="375">
        <v>0</v>
      </c>
      <c r="BD449" s="375">
        <v>0</v>
      </c>
      <c r="BE449" s="375">
        <v>0</v>
      </c>
      <c r="BF449" s="375">
        <v>0</v>
      </c>
      <c r="BG449" s="375">
        <v>7271.4</v>
      </c>
      <c r="BH449" s="79"/>
      <c r="BI449" s="79">
        <v>7271.4</v>
      </c>
      <c r="BJ449" s="79">
        <v>0</v>
      </c>
      <c r="BK449" s="79">
        <v>0</v>
      </c>
      <c r="BL449" s="79">
        <v>0</v>
      </c>
      <c r="BM449" s="79">
        <v>0</v>
      </c>
      <c r="BN449" s="79">
        <v>0</v>
      </c>
      <c r="BO449" s="79">
        <v>0</v>
      </c>
      <c r="BP449" s="79">
        <v>0</v>
      </c>
      <c r="BQ449" s="79">
        <v>0</v>
      </c>
      <c r="BR449" s="79">
        <v>0</v>
      </c>
      <c r="BS449" s="79">
        <v>0</v>
      </c>
      <c r="BT449" s="79">
        <v>7271.4</v>
      </c>
    </row>
    <row r="450" spans="1:72" ht="15" customHeight="1">
      <c r="A450" s="66" t="s">
        <v>1646</v>
      </c>
      <c r="B450" s="66"/>
      <c r="C450" s="66" t="s">
        <v>322</v>
      </c>
      <c r="D450" s="66" t="s">
        <v>1647</v>
      </c>
      <c r="E450" s="150" t="s">
        <v>1136</v>
      </c>
      <c r="F450" s="482" t="s">
        <v>1566</v>
      </c>
      <c r="G450" s="482" t="s">
        <v>1566</v>
      </c>
      <c r="H450" s="482" t="s">
        <v>1566</v>
      </c>
      <c r="I450" s="150" t="s">
        <v>1345</v>
      </c>
      <c r="J450" s="150" t="s">
        <v>1346</v>
      </c>
      <c r="K450" s="150" t="s">
        <v>1346</v>
      </c>
      <c r="L450" s="511" t="s">
        <v>49</v>
      </c>
      <c r="M450" s="392" t="s">
        <v>1648</v>
      </c>
      <c r="N450" s="343"/>
      <c r="O450" s="343"/>
      <c r="P450" s="70" t="s">
        <v>323</v>
      </c>
      <c r="Q450" s="346"/>
      <c r="R450" s="343"/>
      <c r="S450" s="346"/>
      <c r="T450" s="150" t="s">
        <v>25</v>
      </c>
      <c r="U450" s="150"/>
      <c r="V450" s="403"/>
      <c r="W450" s="406">
        <v>0</v>
      </c>
      <c r="X450" s="406">
        <v>130.62</v>
      </c>
      <c r="Y450" s="425"/>
      <c r="Z450" s="71"/>
      <c r="AA450" s="426"/>
      <c r="AB450" s="427">
        <v>130.62</v>
      </c>
      <c r="AC450" s="431">
        <v>0</v>
      </c>
      <c r="AD450" s="428" t="s">
        <v>1142</v>
      </c>
      <c r="AE450" s="429">
        <v>0</v>
      </c>
      <c r="AF450" s="429">
        <v>0</v>
      </c>
      <c r="AG450" s="360">
        <v>0</v>
      </c>
      <c r="AH450" s="360">
        <v>0</v>
      </c>
      <c r="AI450" s="360">
        <v>0</v>
      </c>
      <c r="AJ450" s="360">
        <v>0</v>
      </c>
      <c r="AK450" s="360">
        <v>0</v>
      </c>
      <c r="AL450" s="360">
        <v>0</v>
      </c>
      <c r="AM450" s="360">
        <f t="shared" si="27"/>
        <v>130.62</v>
      </c>
      <c r="AN450" s="362">
        <f>ERP_26[[#This Row],[2026 Working Total]]-ERP_26[[#This Row],[LE2 Final Submission]]</f>
        <v>0</v>
      </c>
      <c r="AO450" s="79">
        <v>0</v>
      </c>
      <c r="AP450" s="79">
        <f t="shared" si="25"/>
        <v>0</v>
      </c>
      <c r="AQ450" s="374">
        <f>SUM(ERP_26[[#This Row],[AP01]:[AP06]])-SUM(ERP_26[[#This Row],[AP01 LE2]:[AP06 LE2]])</f>
        <v>0</v>
      </c>
      <c r="AR450" s="80"/>
      <c r="AS450" s="79">
        <f>ERP_26[[#This Row],[2026 Working Total to Budget/LE]]-ERP_26[[#This Row],[Giveback]]</f>
        <v>0</v>
      </c>
      <c r="AT450" s="81"/>
      <c r="AU450" s="375"/>
      <c r="AV450" s="375">
        <v>130.62</v>
      </c>
      <c r="AW450" s="375">
        <v>0</v>
      </c>
      <c r="AX450" s="375">
        <v>0</v>
      </c>
      <c r="AY450" s="375">
        <v>0</v>
      </c>
      <c r="AZ450" s="375">
        <v>0</v>
      </c>
      <c r="BA450" s="375">
        <v>0</v>
      </c>
      <c r="BB450" s="375">
        <v>0</v>
      </c>
      <c r="BC450" s="375">
        <v>0</v>
      </c>
      <c r="BD450" s="375">
        <v>0</v>
      </c>
      <c r="BE450" s="375">
        <v>0</v>
      </c>
      <c r="BF450" s="375">
        <v>0</v>
      </c>
      <c r="BG450" s="375">
        <v>130.62</v>
      </c>
      <c r="BH450" s="79"/>
      <c r="BI450" s="79">
        <v>130.62</v>
      </c>
      <c r="BJ450" s="79">
        <v>0</v>
      </c>
      <c r="BK450" s="79">
        <v>0</v>
      </c>
      <c r="BL450" s="79">
        <v>0</v>
      </c>
      <c r="BM450" s="79">
        <v>0</v>
      </c>
      <c r="BN450" s="79">
        <v>0</v>
      </c>
      <c r="BO450" s="79">
        <v>0</v>
      </c>
      <c r="BP450" s="79">
        <v>0</v>
      </c>
      <c r="BQ450" s="79">
        <v>0</v>
      </c>
      <c r="BR450" s="79">
        <v>0</v>
      </c>
      <c r="BS450" s="79">
        <v>0</v>
      </c>
      <c r="BT450" s="79">
        <v>130.62</v>
      </c>
    </row>
    <row r="451" spans="1:72" ht="15" customHeight="1">
      <c r="A451" s="66" t="s">
        <v>1671</v>
      </c>
      <c r="B451" s="66"/>
      <c r="C451" s="66" t="s">
        <v>338</v>
      </c>
      <c r="D451" s="66" t="s">
        <v>1672</v>
      </c>
      <c r="E451" s="150" t="s">
        <v>1136</v>
      </c>
      <c r="F451" s="482" t="s">
        <v>1566</v>
      </c>
      <c r="G451" s="150" t="s">
        <v>1566</v>
      </c>
      <c r="H451" s="150" t="s">
        <v>1566</v>
      </c>
      <c r="I451" s="150" t="s">
        <v>1567</v>
      </c>
      <c r="J451" s="150" t="s">
        <v>1567</v>
      </c>
      <c r="K451" s="150" t="s">
        <v>1567</v>
      </c>
      <c r="L451" s="511" t="s">
        <v>333</v>
      </c>
      <c r="M451" s="392" t="s">
        <v>1673</v>
      </c>
      <c r="N451" s="343"/>
      <c r="O451" s="343"/>
      <c r="P451" s="70" t="s">
        <v>339</v>
      </c>
      <c r="Q451" s="346"/>
      <c r="R451" s="346" t="s">
        <v>1140</v>
      </c>
      <c r="S451" s="346"/>
      <c r="T451" s="505" t="s">
        <v>340</v>
      </c>
      <c r="U451" s="150"/>
      <c r="V451" s="403"/>
      <c r="W451" s="406">
        <v>3047384</v>
      </c>
      <c r="X451" s="406">
        <v>147762.3031111111</v>
      </c>
      <c r="Y451" s="425"/>
      <c r="Z451" s="71"/>
      <c r="AA451" s="426"/>
      <c r="AB451" s="427"/>
      <c r="AC451" s="427"/>
      <c r="AD451" s="428" t="s">
        <v>1142</v>
      </c>
      <c r="AE451" s="429">
        <v>0</v>
      </c>
      <c r="AF451" s="429">
        <v>0</v>
      </c>
      <c r="AG451" s="363">
        <v>14573.083333333334</v>
      </c>
      <c r="AH451" s="363">
        <v>14573.083333333334</v>
      </c>
      <c r="AI451" s="363">
        <v>14573.083333333334</v>
      </c>
      <c r="AJ451" s="363">
        <v>23051.972222222223</v>
      </c>
      <c r="AK451" s="363">
        <v>23190.861111111109</v>
      </c>
      <c r="AL451" s="363">
        <v>28256.527777777777</v>
      </c>
      <c r="AM451" s="360">
        <f t="shared" si="27"/>
        <v>118218.61111111111</v>
      </c>
      <c r="AN451" s="362">
        <f>ERP_26[[#This Row],[2026 Working Total]]-ERP_26[[#This Row],[LE2 Final Submission]]</f>
        <v>-29543.691999999995</v>
      </c>
      <c r="AO451" s="79">
        <v>12850.03788888889</v>
      </c>
      <c r="AP451" s="79">
        <f t="shared" si="25"/>
        <v>-12850.03788888889</v>
      </c>
      <c r="AQ451" s="374">
        <f>SUM(ERP_26[[#This Row],[AP01]:[AP06]])-SUM(ERP_26[[#This Row],[AP01 LE2]:[AP06 LE2]])</f>
        <v>-27765.742444444448</v>
      </c>
      <c r="AR451" s="80"/>
      <c r="AS451" s="79">
        <f>ERP_26[[#This Row],[2026 Working Total to Budget/LE]]-ERP_26[[#This Row],[Giveback]]</f>
        <v>-29543.691999999995</v>
      </c>
      <c r="AT451" s="81"/>
      <c r="AU451" s="375"/>
      <c r="AV451" s="375"/>
      <c r="AW451" s="375"/>
      <c r="AX451" s="375">
        <v>0</v>
      </c>
      <c r="AY451" s="375">
        <v>12850.03788888889</v>
      </c>
      <c r="AZ451" s="375">
        <v>14915.704555555556</v>
      </c>
      <c r="BA451" s="375">
        <v>14915.704555555556</v>
      </c>
      <c r="BB451" s="375">
        <v>14915.704555555556</v>
      </c>
      <c r="BC451" s="375">
        <v>14915.704555555556</v>
      </c>
      <c r="BD451" s="375">
        <v>23394.593444444443</v>
      </c>
      <c r="BE451" s="375">
        <v>23394.593444444443</v>
      </c>
      <c r="BF451" s="375">
        <v>28460.260111111111</v>
      </c>
      <c r="BG451" s="375">
        <v>147762.3031111111</v>
      </c>
      <c r="BH451" s="79"/>
      <c r="BI451" s="79"/>
      <c r="BJ451" s="79"/>
      <c r="BK451" s="79">
        <v>12436.91</v>
      </c>
      <c r="BL451" s="79">
        <v>17183.39</v>
      </c>
      <c r="BM451" s="79">
        <v>19249.060000000001</v>
      </c>
      <c r="BN451" s="79">
        <v>19249.060000000001</v>
      </c>
      <c r="BO451" s="79">
        <v>20917.810000000001</v>
      </c>
      <c r="BP451" s="79">
        <v>38739.129999999997</v>
      </c>
      <c r="BQ451" s="79">
        <v>52766.07</v>
      </c>
      <c r="BR451" s="79">
        <v>52766.07</v>
      </c>
      <c r="BS451" s="79">
        <v>65150.49</v>
      </c>
      <c r="BT451" s="79">
        <v>298457.99</v>
      </c>
    </row>
    <row r="452" spans="1:72" ht="15" customHeight="1">
      <c r="A452" s="66" t="s">
        <v>1724</v>
      </c>
      <c r="B452" s="66"/>
      <c r="C452" s="66" t="s">
        <v>376</v>
      </c>
      <c r="D452" s="66" t="s">
        <v>1725</v>
      </c>
      <c r="E452" s="150" t="s">
        <v>1136</v>
      </c>
      <c r="F452" s="482" t="s">
        <v>1566</v>
      </c>
      <c r="G452" s="482" t="s">
        <v>1566</v>
      </c>
      <c r="H452" s="482" t="s">
        <v>1566</v>
      </c>
      <c r="I452" s="150" t="s">
        <v>1345</v>
      </c>
      <c r="J452" s="150" t="s">
        <v>1346</v>
      </c>
      <c r="K452" s="150" t="s">
        <v>1346</v>
      </c>
      <c r="L452" s="511" t="s">
        <v>342</v>
      </c>
      <c r="M452" s="392" t="s">
        <v>1685</v>
      </c>
      <c r="N452" s="343"/>
      <c r="O452" s="343"/>
      <c r="P452" s="70" t="s">
        <v>350</v>
      </c>
      <c r="Q452" s="346" t="s">
        <v>1139</v>
      </c>
      <c r="R452" s="346" t="s">
        <v>1140</v>
      </c>
      <c r="S452" s="346"/>
      <c r="T452" s="150" t="s">
        <v>25</v>
      </c>
      <c r="U452" s="150"/>
      <c r="V452" s="403"/>
      <c r="W452" s="406">
        <v>0</v>
      </c>
      <c r="X452" s="406">
        <v>904.37</v>
      </c>
      <c r="Y452" s="425"/>
      <c r="Z452" s="71"/>
      <c r="AA452" s="426">
        <v>904.37</v>
      </c>
      <c r="AB452" s="431">
        <v>0</v>
      </c>
      <c r="AC452" s="431">
        <v>0</v>
      </c>
      <c r="AD452" s="428" t="s">
        <v>1142</v>
      </c>
      <c r="AE452" s="429">
        <v>0</v>
      </c>
      <c r="AF452" s="429">
        <v>0</v>
      </c>
      <c r="AG452" s="360">
        <v>0</v>
      </c>
      <c r="AH452" s="360">
        <v>0</v>
      </c>
      <c r="AI452" s="360">
        <v>0</v>
      </c>
      <c r="AJ452" s="360">
        <v>0</v>
      </c>
      <c r="AK452" s="360">
        <v>0</v>
      </c>
      <c r="AL452" s="360">
        <v>0</v>
      </c>
      <c r="AM452" s="360">
        <f t="shared" si="27"/>
        <v>904.37</v>
      </c>
      <c r="AN452" s="362">
        <f>ERP_26[[#This Row],[2026 Working Total]]-ERP_26[[#This Row],[LE2 Final Submission]]</f>
        <v>0</v>
      </c>
      <c r="AO452" s="79">
        <v>0</v>
      </c>
      <c r="AP452" s="79">
        <f t="shared" si="25"/>
        <v>0</v>
      </c>
      <c r="AQ452" s="374">
        <f>SUM(ERP_26[[#This Row],[AP01]:[AP06]])-SUM(ERP_26[[#This Row],[AP01 LE2]:[AP06 LE2]])</f>
        <v>0</v>
      </c>
      <c r="AR452" s="80"/>
      <c r="AS452" s="79">
        <f>ERP_26[[#This Row],[2026 Working Total to Budget/LE]]-ERP_26[[#This Row],[Giveback]]</f>
        <v>0</v>
      </c>
      <c r="AT452" s="81"/>
      <c r="AU452" s="375">
        <v>904.37</v>
      </c>
      <c r="AV452" s="375">
        <v>0</v>
      </c>
      <c r="AW452" s="375">
        <v>0</v>
      </c>
      <c r="AX452" s="375">
        <v>0</v>
      </c>
      <c r="AY452" s="375">
        <v>0</v>
      </c>
      <c r="AZ452" s="375">
        <v>0</v>
      </c>
      <c r="BA452" s="375">
        <v>0</v>
      </c>
      <c r="BB452" s="375">
        <v>0</v>
      </c>
      <c r="BC452" s="375">
        <v>0</v>
      </c>
      <c r="BD452" s="375">
        <v>0</v>
      </c>
      <c r="BE452" s="375">
        <v>0</v>
      </c>
      <c r="BF452" s="375">
        <v>0</v>
      </c>
      <c r="BG452" s="375">
        <v>904.37</v>
      </c>
      <c r="BH452" s="79">
        <v>904.37</v>
      </c>
      <c r="BI452" s="79">
        <v>0</v>
      </c>
      <c r="BJ452" s="79">
        <v>0</v>
      </c>
      <c r="BK452" s="79">
        <v>0</v>
      </c>
      <c r="BL452" s="79">
        <v>0</v>
      </c>
      <c r="BM452" s="79">
        <v>0</v>
      </c>
      <c r="BN452" s="79">
        <v>0</v>
      </c>
      <c r="BO452" s="79">
        <v>0</v>
      </c>
      <c r="BP452" s="79">
        <v>0</v>
      </c>
      <c r="BQ452" s="79">
        <v>0</v>
      </c>
      <c r="BR452" s="79">
        <v>0</v>
      </c>
      <c r="BS452" s="79">
        <v>0</v>
      </c>
      <c r="BT452" s="79">
        <v>904.37</v>
      </c>
    </row>
    <row r="453" spans="1:72" ht="15" customHeight="1">
      <c r="A453" s="66" t="s">
        <v>1726</v>
      </c>
      <c r="B453" s="66"/>
      <c r="C453" s="66" t="s">
        <v>2930</v>
      </c>
      <c r="D453" s="66" t="s">
        <v>1727</v>
      </c>
      <c r="E453" s="150" t="s">
        <v>1136</v>
      </c>
      <c r="F453" s="482" t="s">
        <v>1566</v>
      </c>
      <c r="G453" s="150" t="s">
        <v>1566</v>
      </c>
      <c r="H453" s="150" t="s">
        <v>1566</v>
      </c>
      <c r="I453" s="150" t="s">
        <v>1567</v>
      </c>
      <c r="J453" s="150" t="s">
        <v>1567</v>
      </c>
      <c r="K453" s="150" t="s">
        <v>1567</v>
      </c>
      <c r="L453" s="511" t="s">
        <v>342</v>
      </c>
      <c r="M453" s="392" t="s">
        <v>352</v>
      </c>
      <c r="N453" s="343"/>
      <c r="O453" s="343"/>
      <c r="P453" s="70" t="s">
        <v>352</v>
      </c>
      <c r="Q453" s="346" t="s">
        <v>1139</v>
      </c>
      <c r="R453" s="346" t="s">
        <v>1140</v>
      </c>
      <c r="S453" s="346"/>
      <c r="T453" s="150" t="s">
        <v>25</v>
      </c>
      <c r="U453" s="150"/>
      <c r="V453" s="404"/>
      <c r="W453" s="407">
        <v>0</v>
      </c>
      <c r="X453" s="407">
        <v>0</v>
      </c>
      <c r="Y453" s="425"/>
      <c r="Z453" s="71"/>
      <c r="AA453" s="426"/>
      <c r="AB453" s="427"/>
      <c r="AC453" s="431">
        <v>0</v>
      </c>
      <c r="AD453" s="428">
        <v>-11818.05</v>
      </c>
      <c r="AE453" s="429">
        <v>0</v>
      </c>
      <c r="AF453" s="429">
        <v>0</v>
      </c>
      <c r="AG453" s="360">
        <v>0</v>
      </c>
      <c r="AH453" s="360">
        <v>0</v>
      </c>
      <c r="AI453" s="360">
        <v>0</v>
      </c>
      <c r="AJ453" s="360">
        <v>0</v>
      </c>
      <c r="AK453" s="360">
        <v>0</v>
      </c>
      <c r="AL453" s="360">
        <v>0</v>
      </c>
      <c r="AM453" s="360">
        <f t="shared" si="27"/>
        <v>-11818.05</v>
      </c>
      <c r="AN453" s="362">
        <f>ERP_26[[#This Row],[2026 Working Total]]-ERP_26[[#This Row],[LE2 Final Submission]]</f>
        <v>-11818.05</v>
      </c>
      <c r="AO453" s="79">
        <v>0</v>
      </c>
      <c r="AP453" s="79">
        <f t="shared" si="25"/>
        <v>0</v>
      </c>
      <c r="AQ453" s="374">
        <f>SUM(ERP_26[[#This Row],[AP01]:[AP06]])-SUM(ERP_26[[#This Row],[AP01 LE2]:[AP06 LE2]])</f>
        <v>-11818.05</v>
      </c>
      <c r="AR453" s="80"/>
      <c r="AS453" s="79">
        <f>ERP_26[[#This Row],[2026 Working Total to Budget/LE]]-ERP_26[[#This Row],[Giveback]]</f>
        <v>-11818.05</v>
      </c>
      <c r="AT453" s="81"/>
      <c r="AU453" s="375"/>
      <c r="AV453" s="375"/>
      <c r="AW453" s="375">
        <v>0</v>
      </c>
      <c r="AX453" s="375">
        <v>0</v>
      </c>
      <c r="AY453" s="375">
        <v>0</v>
      </c>
      <c r="AZ453" s="375">
        <v>0</v>
      </c>
      <c r="BA453" s="375">
        <v>0</v>
      </c>
      <c r="BB453" s="375">
        <v>0</v>
      </c>
      <c r="BC453" s="375">
        <v>0</v>
      </c>
      <c r="BD453" s="375">
        <v>0</v>
      </c>
      <c r="BE453" s="375">
        <v>0</v>
      </c>
      <c r="BF453" s="375">
        <v>0</v>
      </c>
      <c r="BG453" s="375">
        <v>0</v>
      </c>
      <c r="BH453" s="79"/>
      <c r="BI453" s="79"/>
      <c r="BJ453" s="79">
        <v>0</v>
      </c>
      <c r="BK453" s="79">
        <v>0</v>
      </c>
      <c r="BL453" s="79">
        <v>0</v>
      </c>
      <c r="BM453" s="79">
        <v>0</v>
      </c>
      <c r="BN453" s="79">
        <v>0</v>
      </c>
      <c r="BO453" s="79">
        <v>0</v>
      </c>
      <c r="BP453" s="79">
        <v>0</v>
      </c>
      <c r="BQ453" s="79">
        <v>0</v>
      </c>
      <c r="BR453" s="79">
        <v>0</v>
      </c>
      <c r="BS453" s="79">
        <v>0</v>
      </c>
      <c r="BT453" s="79">
        <v>0</v>
      </c>
    </row>
    <row r="454" spans="1:72" ht="15" customHeight="1">
      <c r="A454" s="66" t="s">
        <v>1728</v>
      </c>
      <c r="B454" s="66"/>
      <c r="C454" s="66" t="s">
        <v>2926</v>
      </c>
      <c r="D454" s="66" t="s">
        <v>1729</v>
      </c>
      <c r="E454" s="150" t="s">
        <v>1136</v>
      </c>
      <c r="F454" s="482" t="s">
        <v>1566</v>
      </c>
      <c r="G454" s="150" t="s">
        <v>1566</v>
      </c>
      <c r="H454" s="150" t="s">
        <v>1566</v>
      </c>
      <c r="I454" s="150" t="s">
        <v>1567</v>
      </c>
      <c r="J454" s="150" t="s">
        <v>1567</v>
      </c>
      <c r="K454" s="150" t="s">
        <v>1567</v>
      </c>
      <c r="L454" s="511" t="s">
        <v>342</v>
      </c>
      <c r="M454" s="392" t="s">
        <v>356</v>
      </c>
      <c r="N454" s="343"/>
      <c r="O454" s="343"/>
      <c r="P454" s="70" t="s">
        <v>356</v>
      </c>
      <c r="Q454" s="346" t="s">
        <v>1139</v>
      </c>
      <c r="R454" s="346" t="s">
        <v>1140</v>
      </c>
      <c r="S454" s="346"/>
      <c r="T454" s="150" t="s">
        <v>25</v>
      </c>
      <c r="U454" s="150"/>
      <c r="V454" s="404"/>
      <c r="W454" s="407">
        <v>0</v>
      </c>
      <c r="X454" s="407">
        <v>0</v>
      </c>
      <c r="Y454" s="425"/>
      <c r="Z454" s="71"/>
      <c r="AA454" s="426"/>
      <c r="AB454" s="427"/>
      <c r="AC454" s="431">
        <v>0</v>
      </c>
      <c r="AD454" s="428">
        <v>0</v>
      </c>
      <c r="AE454" s="429">
        <v>0</v>
      </c>
      <c r="AF454" s="429">
        <v>0</v>
      </c>
      <c r="AG454" s="360">
        <v>0</v>
      </c>
      <c r="AH454" s="360">
        <v>0</v>
      </c>
      <c r="AI454" s="360">
        <v>0</v>
      </c>
      <c r="AJ454" s="360">
        <v>0</v>
      </c>
      <c r="AK454" s="360">
        <v>0</v>
      </c>
      <c r="AL454" s="360">
        <v>0</v>
      </c>
      <c r="AM454" s="360">
        <f t="shared" si="27"/>
        <v>0</v>
      </c>
      <c r="AN454" s="362">
        <f>ERP_26[[#This Row],[2026 Working Total]]-ERP_26[[#This Row],[LE2 Final Submission]]</f>
        <v>0</v>
      </c>
      <c r="AO454" s="79">
        <v>0</v>
      </c>
      <c r="AP454" s="79">
        <f t="shared" si="25"/>
        <v>0</v>
      </c>
      <c r="AQ454" s="374">
        <f>SUM(ERP_26[[#This Row],[AP01]:[AP06]])-SUM(ERP_26[[#This Row],[AP01 LE2]:[AP06 LE2]])</f>
        <v>0</v>
      </c>
      <c r="AR454" s="80"/>
      <c r="AS454" s="79">
        <f>ERP_26[[#This Row],[2026 Working Total to Budget/LE]]-ERP_26[[#This Row],[Giveback]]</f>
        <v>0</v>
      </c>
      <c r="AT454" s="81"/>
      <c r="AU454" s="375"/>
      <c r="AV454" s="375"/>
      <c r="AW454" s="375">
        <v>0</v>
      </c>
      <c r="AX454" s="375">
        <v>0</v>
      </c>
      <c r="AY454" s="375">
        <v>0</v>
      </c>
      <c r="AZ454" s="375">
        <v>0</v>
      </c>
      <c r="BA454" s="375">
        <v>0</v>
      </c>
      <c r="BB454" s="375">
        <v>0</v>
      </c>
      <c r="BC454" s="375">
        <v>0</v>
      </c>
      <c r="BD454" s="375">
        <v>0</v>
      </c>
      <c r="BE454" s="375">
        <v>0</v>
      </c>
      <c r="BF454" s="375">
        <v>0</v>
      </c>
      <c r="BG454" s="375">
        <v>0</v>
      </c>
      <c r="BH454" s="79"/>
      <c r="BI454" s="79"/>
      <c r="BJ454" s="79">
        <v>0</v>
      </c>
      <c r="BK454" s="79">
        <v>0</v>
      </c>
      <c r="BL454" s="79">
        <v>0</v>
      </c>
      <c r="BM454" s="79">
        <v>0</v>
      </c>
      <c r="BN454" s="79">
        <v>0</v>
      </c>
      <c r="BO454" s="79">
        <v>0</v>
      </c>
      <c r="BP454" s="79">
        <v>0</v>
      </c>
      <c r="BQ454" s="79">
        <v>0</v>
      </c>
      <c r="BR454" s="79">
        <v>0</v>
      </c>
      <c r="BS454" s="79">
        <v>0</v>
      </c>
      <c r="BT454" s="79">
        <v>0</v>
      </c>
    </row>
    <row r="455" spans="1:72" ht="15" customHeight="1">
      <c r="A455" s="66" t="s">
        <v>1730</v>
      </c>
      <c r="B455" s="66"/>
      <c r="C455" s="66" t="s">
        <v>2935</v>
      </c>
      <c r="D455" s="66" t="s">
        <v>1731</v>
      </c>
      <c r="E455" s="150" t="s">
        <v>1136</v>
      </c>
      <c r="F455" s="482" t="s">
        <v>1566</v>
      </c>
      <c r="G455" s="150" t="s">
        <v>1566</v>
      </c>
      <c r="H455" s="150" t="s">
        <v>1566</v>
      </c>
      <c r="I455" s="150" t="s">
        <v>1567</v>
      </c>
      <c r="J455" s="150" t="s">
        <v>1567</v>
      </c>
      <c r="K455" s="150" t="s">
        <v>1567</v>
      </c>
      <c r="L455" s="511" t="s">
        <v>342</v>
      </c>
      <c r="M455" s="392" t="s">
        <v>1732</v>
      </c>
      <c r="N455" s="343"/>
      <c r="O455" s="343"/>
      <c r="P455" s="70" t="s">
        <v>1732</v>
      </c>
      <c r="Q455" s="346"/>
      <c r="R455" s="346" t="s">
        <v>1140</v>
      </c>
      <c r="S455" s="346"/>
      <c r="T455" s="150" t="s">
        <v>25</v>
      </c>
      <c r="U455" s="150"/>
      <c r="V455" s="404"/>
      <c r="W455" s="407">
        <v>0</v>
      </c>
      <c r="X455" s="407">
        <v>0</v>
      </c>
      <c r="Y455" s="425"/>
      <c r="Z455" s="71"/>
      <c r="AA455" s="426"/>
      <c r="AB455" s="427"/>
      <c r="AC455" s="431">
        <v>0</v>
      </c>
      <c r="AD455" s="428">
        <v>-1485.86</v>
      </c>
      <c r="AE455" s="429">
        <v>0</v>
      </c>
      <c r="AF455" s="429">
        <v>0</v>
      </c>
      <c r="AG455" s="360">
        <v>0</v>
      </c>
      <c r="AH455" s="360">
        <v>0</v>
      </c>
      <c r="AI455" s="360">
        <v>0</v>
      </c>
      <c r="AJ455" s="360">
        <v>0</v>
      </c>
      <c r="AK455" s="360">
        <v>0</v>
      </c>
      <c r="AL455" s="360">
        <v>0</v>
      </c>
      <c r="AM455" s="360">
        <f t="shared" si="27"/>
        <v>-1485.86</v>
      </c>
      <c r="AN455" s="362">
        <f>ERP_26[[#This Row],[2026 Working Total]]-ERP_26[[#This Row],[LE2 Final Submission]]</f>
        <v>-1485.86</v>
      </c>
      <c r="AO455" s="79">
        <v>0</v>
      </c>
      <c r="AP455" s="79">
        <f t="shared" si="25"/>
        <v>0</v>
      </c>
      <c r="AQ455" s="374">
        <f>SUM(ERP_26[[#This Row],[AP01]:[AP06]])-SUM(ERP_26[[#This Row],[AP01 LE2]:[AP06 LE2]])</f>
        <v>-1485.86</v>
      </c>
      <c r="AR455" s="80"/>
      <c r="AS455" s="79">
        <f>ERP_26[[#This Row],[2026 Working Total to Budget/LE]]-ERP_26[[#This Row],[Giveback]]</f>
        <v>-1485.86</v>
      </c>
      <c r="AT455" s="81"/>
      <c r="AU455" s="375"/>
      <c r="AV455" s="375"/>
      <c r="AW455" s="375">
        <v>0</v>
      </c>
      <c r="AX455" s="375">
        <v>0</v>
      </c>
      <c r="AY455" s="375">
        <v>0</v>
      </c>
      <c r="AZ455" s="375">
        <v>0</v>
      </c>
      <c r="BA455" s="375">
        <v>0</v>
      </c>
      <c r="BB455" s="375">
        <v>0</v>
      </c>
      <c r="BC455" s="375">
        <v>0</v>
      </c>
      <c r="BD455" s="375">
        <v>0</v>
      </c>
      <c r="BE455" s="375">
        <v>0</v>
      </c>
      <c r="BF455" s="375">
        <v>0</v>
      </c>
      <c r="BG455" s="375">
        <v>0</v>
      </c>
      <c r="BH455" s="79"/>
      <c r="BI455" s="79"/>
      <c r="BJ455" s="79">
        <v>0</v>
      </c>
      <c r="BK455" s="79">
        <v>0</v>
      </c>
      <c r="BL455" s="79">
        <v>0</v>
      </c>
      <c r="BM455" s="79">
        <v>0</v>
      </c>
      <c r="BN455" s="79">
        <v>0</v>
      </c>
      <c r="BO455" s="79">
        <v>0</v>
      </c>
      <c r="BP455" s="79">
        <v>0</v>
      </c>
      <c r="BQ455" s="79">
        <v>0</v>
      </c>
      <c r="BR455" s="79">
        <v>0</v>
      </c>
      <c r="BS455" s="79">
        <v>0</v>
      </c>
      <c r="BT455" s="79">
        <v>0</v>
      </c>
    </row>
    <row r="456" spans="1:72" ht="15" customHeight="1">
      <c r="A456" s="79" t="s">
        <v>1733</v>
      </c>
      <c r="B456" s="79"/>
      <c r="C456" s="79" t="s">
        <v>380</v>
      </c>
      <c r="D456" s="296" t="s">
        <v>1734</v>
      </c>
      <c r="E456" s="150" t="s">
        <v>1136</v>
      </c>
      <c r="F456" s="482" t="s">
        <v>1566</v>
      </c>
      <c r="G456" s="150" t="s">
        <v>1566</v>
      </c>
      <c r="H456" s="150" t="s">
        <v>1566</v>
      </c>
      <c r="I456" t="s">
        <v>1567</v>
      </c>
      <c r="J456" t="s">
        <v>1567</v>
      </c>
      <c r="K456" s="150" t="s">
        <v>1567</v>
      </c>
      <c r="L456" s="514" t="s">
        <v>342</v>
      </c>
      <c r="M456" s="394" t="s">
        <v>1699</v>
      </c>
      <c r="N456" s="343"/>
      <c r="O456" s="333"/>
      <c r="P456" s="70" t="s">
        <v>362</v>
      </c>
      <c r="Q456" s="347"/>
      <c r="R456" s="343"/>
      <c r="S456" s="348"/>
      <c r="T456" s="348"/>
      <c r="U456" s="348" t="s">
        <v>1700</v>
      </c>
      <c r="V456" s="402"/>
      <c r="W456" s="358"/>
      <c r="X456" s="379">
        <v>0</v>
      </c>
      <c r="Y456" s="425"/>
      <c r="Z456" s="71"/>
      <c r="AA456" s="435"/>
      <c r="AB456" s="436"/>
      <c r="AC456" s="436"/>
      <c r="AD456" s="428" t="s">
        <v>1142</v>
      </c>
      <c r="AE456" s="429">
        <v>0</v>
      </c>
      <c r="AF456" s="429">
        <v>0</v>
      </c>
      <c r="AG456" s="364"/>
      <c r="AH456" s="364"/>
      <c r="AI456" s="364"/>
      <c r="AJ456" s="364"/>
      <c r="AK456" s="364"/>
      <c r="AL456" s="364"/>
      <c r="AM456" s="360">
        <f t="shared" si="27"/>
        <v>0</v>
      </c>
      <c r="AN456" s="362">
        <f>ERP_26[[#This Row],[2026 Working Total]]-ERP_26[[#This Row],[LE2 Final Submission]]</f>
        <v>0</v>
      </c>
      <c r="AO456" s="79">
        <v>13303.91</v>
      </c>
      <c r="AP456" s="79">
        <f t="shared" ref="AP456:AP519" si="28">$AF456 - $AO456</f>
        <v>-13303.91</v>
      </c>
      <c r="AQ456" s="374">
        <f>SUM(ERP_26[[#This Row],[AP01]:[AP06]])-SUM(ERP_26[[#This Row],[AP01 LE2]:[AP06 LE2]])</f>
        <v>0</v>
      </c>
      <c r="AR456" s="80"/>
      <c r="AS456" s="79">
        <f>ERP_26[[#This Row],[2026 Working Total to Budget/LE]]-ERP_26[[#This Row],[Giveback]]</f>
        <v>0</v>
      </c>
      <c r="AT456" s="81"/>
      <c r="AU456" s="375"/>
      <c r="AV456" s="375"/>
      <c r="AW456" s="375"/>
      <c r="AX456" s="375">
        <v>-13303.91</v>
      </c>
      <c r="AY456" s="375">
        <v>13303.91</v>
      </c>
      <c r="AZ456" s="375"/>
      <c r="BA456" s="375"/>
      <c r="BB456" s="375"/>
      <c r="BC456" s="375"/>
      <c r="BD456" s="375"/>
      <c r="BE456" s="375"/>
      <c r="BF456" s="375"/>
      <c r="BG456" s="375">
        <v>0</v>
      </c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</row>
    <row r="457" spans="1:72" ht="15" customHeight="1">
      <c r="A457" s="66" t="s">
        <v>1738</v>
      </c>
      <c r="B457" s="66"/>
      <c r="C457" s="66" t="s">
        <v>381</v>
      </c>
      <c r="D457" s="66" t="s">
        <v>1739</v>
      </c>
      <c r="E457" s="150" t="s">
        <v>1136</v>
      </c>
      <c r="F457" s="482" t="s">
        <v>1566</v>
      </c>
      <c r="G457" s="482" t="s">
        <v>1566</v>
      </c>
      <c r="H457" s="482" t="s">
        <v>1566</v>
      </c>
      <c r="I457" s="150" t="s">
        <v>1345</v>
      </c>
      <c r="J457" s="150" t="s">
        <v>1346</v>
      </c>
      <c r="K457" s="150" t="s">
        <v>1346</v>
      </c>
      <c r="L457" s="511" t="s">
        <v>342</v>
      </c>
      <c r="M457" s="392" t="s">
        <v>1703</v>
      </c>
      <c r="N457" s="343"/>
      <c r="O457" s="343"/>
      <c r="P457" s="70" t="s">
        <v>365</v>
      </c>
      <c r="Q457" s="346"/>
      <c r="R457" s="346" t="s">
        <v>1140</v>
      </c>
      <c r="S457" s="346"/>
      <c r="T457" s="150" t="s">
        <v>57</v>
      </c>
      <c r="U457" s="150"/>
      <c r="V457" s="403"/>
      <c r="W457" s="406">
        <v>0</v>
      </c>
      <c r="X457" s="406">
        <v>4063.1000000000004</v>
      </c>
      <c r="Y457" s="425"/>
      <c r="Z457" s="71"/>
      <c r="AA457" s="426">
        <v>322.64</v>
      </c>
      <c r="AB457" s="427">
        <v>376.04</v>
      </c>
      <c r="AC457" s="427">
        <v>3364.42</v>
      </c>
      <c r="AD457" s="428">
        <v>389.04999999999995</v>
      </c>
      <c r="AE457" s="429">
        <v>3602.75</v>
      </c>
      <c r="AF457" s="429">
        <v>278.59000000000003</v>
      </c>
      <c r="AG457" s="360">
        <v>0</v>
      </c>
      <c r="AH457" s="360">
        <v>0</v>
      </c>
      <c r="AI457" s="360">
        <v>0</v>
      </c>
      <c r="AJ457" s="360">
        <v>0</v>
      </c>
      <c r="AK457" s="360">
        <v>0</v>
      </c>
      <c r="AL457" s="360">
        <v>0</v>
      </c>
      <c r="AM457" s="360">
        <f t="shared" si="27"/>
        <v>8333.49</v>
      </c>
      <c r="AN457" s="362">
        <f>ERP_26[[#This Row],[2026 Working Total]]-ERP_26[[#This Row],[LE2 Final Submission]]</f>
        <v>4270.3899999999994</v>
      </c>
      <c r="AO457" s="79">
        <v>0</v>
      </c>
      <c r="AP457" s="79">
        <f t="shared" si="28"/>
        <v>278.59000000000003</v>
      </c>
      <c r="AQ457" s="374">
        <f>SUM(ERP_26[[#This Row],[AP01]:[AP06]])-SUM(ERP_26[[#This Row],[AP01 LE2]:[AP06 LE2]])</f>
        <v>4270.3899999999994</v>
      </c>
      <c r="AR457" s="80"/>
      <c r="AS457" s="79">
        <f>ERP_26[[#This Row],[2026 Working Total to Budget/LE]]-ERP_26[[#This Row],[Giveback]]</f>
        <v>4270.3899999999994</v>
      </c>
      <c r="AT457" s="81"/>
      <c r="AU457" s="375">
        <v>322.64</v>
      </c>
      <c r="AV457" s="375">
        <v>376.04</v>
      </c>
      <c r="AW457" s="375">
        <v>3364.42</v>
      </c>
      <c r="AX457" s="375">
        <v>0</v>
      </c>
      <c r="AY457" s="375">
        <v>0</v>
      </c>
      <c r="AZ457" s="375">
        <v>0</v>
      </c>
      <c r="BA457" s="375">
        <v>0</v>
      </c>
      <c r="BB457" s="375">
        <v>0</v>
      </c>
      <c r="BC457" s="375">
        <v>0</v>
      </c>
      <c r="BD457" s="375">
        <v>0</v>
      </c>
      <c r="BE457" s="375">
        <v>0</v>
      </c>
      <c r="BF457" s="375">
        <v>0</v>
      </c>
      <c r="BG457" s="375">
        <v>4063.1000000000004</v>
      </c>
      <c r="BH457" s="79">
        <v>322.64</v>
      </c>
      <c r="BI457" s="79">
        <v>376.04</v>
      </c>
      <c r="BJ457" s="79">
        <v>3364.42</v>
      </c>
      <c r="BK457" s="79">
        <v>0</v>
      </c>
      <c r="BL457" s="79">
        <v>0</v>
      </c>
      <c r="BM457" s="79">
        <v>0</v>
      </c>
      <c r="BN457" s="79">
        <v>0</v>
      </c>
      <c r="BO457" s="79">
        <v>0</v>
      </c>
      <c r="BP457" s="79">
        <v>0</v>
      </c>
      <c r="BQ457" s="79">
        <v>0</v>
      </c>
      <c r="BR457" s="79">
        <v>0</v>
      </c>
      <c r="BS457" s="79">
        <v>0</v>
      </c>
      <c r="BT457" s="79">
        <v>4063.1000000000004</v>
      </c>
    </row>
    <row r="458" spans="1:72" ht="15" customHeight="1">
      <c r="A458" s="66" t="s">
        <v>1740</v>
      </c>
      <c r="B458" s="66"/>
      <c r="C458" s="66" t="s">
        <v>382</v>
      </c>
      <c r="D458" s="66" t="s">
        <v>1741</v>
      </c>
      <c r="E458" s="150" t="s">
        <v>1136</v>
      </c>
      <c r="F458" s="482" t="s">
        <v>1566</v>
      </c>
      <c r="G458" s="482" t="s">
        <v>1566</v>
      </c>
      <c r="H458" s="482" t="s">
        <v>1566</v>
      </c>
      <c r="I458" s="150" t="s">
        <v>1345</v>
      </c>
      <c r="J458" s="150" t="s">
        <v>1346</v>
      </c>
      <c r="K458" s="150" t="s">
        <v>1346</v>
      </c>
      <c r="L458" s="511" t="s">
        <v>342</v>
      </c>
      <c r="M458" s="392" t="s">
        <v>1742</v>
      </c>
      <c r="N458" s="343"/>
      <c r="O458" s="343"/>
      <c r="P458" s="70" t="s">
        <v>383</v>
      </c>
      <c r="Q458" s="346"/>
      <c r="R458" s="343"/>
      <c r="S458" s="346"/>
      <c r="T458" s="150" t="s">
        <v>25</v>
      </c>
      <c r="U458" s="150"/>
      <c r="V458" s="403"/>
      <c r="W458" s="406">
        <v>1659</v>
      </c>
      <c r="X458" s="406">
        <v>1209</v>
      </c>
      <c r="Y458" s="425"/>
      <c r="Z458" s="71"/>
      <c r="AA458" s="426"/>
      <c r="AB458" s="427"/>
      <c r="AC458" s="427"/>
      <c r="AD458" s="428" t="s">
        <v>1142</v>
      </c>
      <c r="AE458" s="429">
        <v>0</v>
      </c>
      <c r="AF458" s="429">
        <v>0</v>
      </c>
      <c r="AG458" s="363">
        <v>150</v>
      </c>
      <c r="AH458" s="363">
        <v>150</v>
      </c>
      <c r="AI458" s="363">
        <v>150</v>
      </c>
      <c r="AJ458" s="363">
        <v>150</v>
      </c>
      <c r="AK458" s="360">
        <v>0</v>
      </c>
      <c r="AL458" s="363">
        <v>150</v>
      </c>
      <c r="AM458" s="360">
        <f t="shared" si="27"/>
        <v>750</v>
      </c>
      <c r="AN458" s="362">
        <f>ERP_26[[#This Row],[2026 Working Total]]-ERP_26[[#This Row],[LE2 Final Submission]]</f>
        <v>-459</v>
      </c>
      <c r="AO458" s="79">
        <v>159</v>
      </c>
      <c r="AP458" s="79">
        <f t="shared" si="28"/>
        <v>-159</v>
      </c>
      <c r="AQ458" s="374">
        <f>SUM(ERP_26[[#This Row],[AP01]:[AP06]])-SUM(ERP_26[[#This Row],[AP01 LE2]:[AP06 LE2]])</f>
        <v>-459</v>
      </c>
      <c r="AR458" s="80"/>
      <c r="AS458" s="79">
        <f>ERP_26[[#This Row],[2026 Working Total to Budget/LE]]-ERP_26[[#This Row],[Giveback]]</f>
        <v>-459</v>
      </c>
      <c r="AT458" s="81"/>
      <c r="AU458" s="375"/>
      <c r="AV458" s="375"/>
      <c r="AW458" s="375"/>
      <c r="AX458" s="375">
        <v>150</v>
      </c>
      <c r="AY458" s="375">
        <v>159</v>
      </c>
      <c r="AZ458" s="375">
        <v>150</v>
      </c>
      <c r="BA458" s="375">
        <v>150</v>
      </c>
      <c r="BB458" s="375">
        <v>150</v>
      </c>
      <c r="BC458" s="375">
        <v>150</v>
      </c>
      <c r="BD458" s="375">
        <v>150</v>
      </c>
      <c r="BE458" s="375">
        <v>0</v>
      </c>
      <c r="BF458" s="375">
        <v>150</v>
      </c>
      <c r="BG458" s="375">
        <v>1209</v>
      </c>
      <c r="BH458" s="79"/>
      <c r="BI458" s="79"/>
      <c r="BJ458" s="79"/>
      <c r="BK458" s="79">
        <v>150</v>
      </c>
      <c r="BL458" s="79">
        <v>159</v>
      </c>
      <c r="BM458" s="79">
        <v>150</v>
      </c>
      <c r="BN458" s="79">
        <v>150</v>
      </c>
      <c r="BO458" s="79">
        <v>150</v>
      </c>
      <c r="BP458" s="79">
        <v>150</v>
      </c>
      <c r="BQ458" s="79">
        <v>150</v>
      </c>
      <c r="BR458" s="79">
        <v>0</v>
      </c>
      <c r="BS458" s="79">
        <v>150</v>
      </c>
      <c r="BT458" s="79">
        <v>1209</v>
      </c>
    </row>
    <row r="459" spans="1:72" ht="15" customHeight="1">
      <c r="A459" s="66" t="s">
        <v>2074</v>
      </c>
      <c r="B459" s="66"/>
      <c r="C459" s="66" t="s">
        <v>2939</v>
      </c>
      <c r="D459" s="66" t="s">
        <v>2075</v>
      </c>
      <c r="E459" s="150" t="s">
        <v>1136</v>
      </c>
      <c r="F459" s="482" t="s">
        <v>1566</v>
      </c>
      <c r="G459" s="150" t="s">
        <v>1566</v>
      </c>
      <c r="H459" s="150" t="s">
        <v>1566</v>
      </c>
      <c r="I459" s="150" t="s">
        <v>1567</v>
      </c>
      <c r="J459" s="150" t="s">
        <v>1567</v>
      </c>
      <c r="K459" s="150" t="s">
        <v>1567</v>
      </c>
      <c r="L459" s="511" t="s">
        <v>389</v>
      </c>
      <c r="M459" s="392" t="s">
        <v>1775</v>
      </c>
      <c r="N459" s="343"/>
      <c r="O459" s="343"/>
      <c r="P459" s="70" t="s">
        <v>404</v>
      </c>
      <c r="Q459" s="346"/>
      <c r="R459" s="346" t="s">
        <v>1140</v>
      </c>
      <c r="S459" s="346"/>
      <c r="T459" s="150" t="s">
        <v>405</v>
      </c>
      <c r="U459" s="150"/>
      <c r="V459" s="404"/>
      <c r="W459" s="407">
        <v>0</v>
      </c>
      <c r="X459" s="407">
        <v>0</v>
      </c>
      <c r="Y459" s="425"/>
      <c r="Z459" s="71"/>
      <c r="AA459" s="426"/>
      <c r="AB459" s="431">
        <v>0</v>
      </c>
      <c r="AC459" s="431">
        <v>0</v>
      </c>
      <c r="AD459" s="428">
        <v>-5.07</v>
      </c>
      <c r="AE459" s="429">
        <v>0</v>
      </c>
      <c r="AF459" s="429">
        <v>0</v>
      </c>
      <c r="AG459" s="360">
        <v>0</v>
      </c>
      <c r="AH459" s="360">
        <v>0</v>
      </c>
      <c r="AI459" s="360">
        <v>0</v>
      </c>
      <c r="AJ459" s="360">
        <v>0</v>
      </c>
      <c r="AK459" s="360">
        <v>0</v>
      </c>
      <c r="AL459" s="360">
        <v>0</v>
      </c>
      <c r="AM459" s="360">
        <f t="shared" si="27"/>
        <v>-5.07</v>
      </c>
      <c r="AN459" s="362">
        <f>ERP_26[[#This Row],[2026 Working Total]]-ERP_26[[#This Row],[LE2 Final Submission]]</f>
        <v>-5.07</v>
      </c>
      <c r="AO459" s="79">
        <v>0</v>
      </c>
      <c r="AP459" s="79">
        <f t="shared" si="28"/>
        <v>0</v>
      </c>
      <c r="AQ459" s="374">
        <f>SUM(ERP_26[[#This Row],[AP01]:[AP06]])-SUM(ERP_26[[#This Row],[AP01 LE2]:[AP06 LE2]])</f>
        <v>-5.07</v>
      </c>
      <c r="AR459" s="80"/>
      <c r="AS459" s="79">
        <f>ERP_26[[#This Row],[2026 Working Total to Budget/LE]]-ERP_26[[#This Row],[Giveback]]</f>
        <v>-5.07</v>
      </c>
      <c r="AT459" s="81"/>
      <c r="AU459" s="375"/>
      <c r="AV459" s="375">
        <v>0</v>
      </c>
      <c r="AW459" s="375">
        <v>0</v>
      </c>
      <c r="AX459" s="375">
        <v>0</v>
      </c>
      <c r="AY459" s="375">
        <v>0</v>
      </c>
      <c r="AZ459" s="375">
        <v>0</v>
      </c>
      <c r="BA459" s="375">
        <v>0</v>
      </c>
      <c r="BB459" s="375">
        <v>0</v>
      </c>
      <c r="BC459" s="375">
        <v>0</v>
      </c>
      <c r="BD459" s="375">
        <v>0</v>
      </c>
      <c r="BE459" s="375">
        <v>0</v>
      </c>
      <c r="BF459" s="375">
        <v>0</v>
      </c>
      <c r="BG459" s="375">
        <v>0</v>
      </c>
      <c r="BH459" s="79"/>
      <c r="BI459" s="79">
        <v>0</v>
      </c>
      <c r="BJ459" s="79">
        <v>0</v>
      </c>
      <c r="BK459" s="79">
        <v>0</v>
      </c>
      <c r="BL459" s="79">
        <v>0</v>
      </c>
      <c r="BM459" s="79">
        <v>0</v>
      </c>
      <c r="BN459" s="79">
        <v>0</v>
      </c>
      <c r="BO459" s="79">
        <v>0</v>
      </c>
      <c r="BP459" s="79">
        <v>0</v>
      </c>
      <c r="BQ459" s="79">
        <v>0</v>
      </c>
      <c r="BR459" s="79">
        <v>0</v>
      </c>
      <c r="BS459" s="79">
        <v>0</v>
      </c>
      <c r="BT459" s="79">
        <v>0</v>
      </c>
    </row>
    <row r="460" spans="1:72" ht="15" customHeight="1">
      <c r="A460" s="66" t="s">
        <v>2077</v>
      </c>
      <c r="B460" s="66"/>
      <c r="C460" s="66" t="s">
        <v>562</v>
      </c>
      <c r="D460" s="66" t="s">
        <v>2078</v>
      </c>
      <c r="E460" s="150" t="s">
        <v>1136</v>
      </c>
      <c r="F460" s="482" t="s">
        <v>1566</v>
      </c>
      <c r="G460" s="482" t="s">
        <v>1566</v>
      </c>
      <c r="H460" s="482" t="s">
        <v>1566</v>
      </c>
      <c r="I460" s="150" t="s">
        <v>1345</v>
      </c>
      <c r="J460" s="150" t="s">
        <v>1346</v>
      </c>
      <c r="K460" s="150" t="s">
        <v>1346</v>
      </c>
      <c r="L460" s="511" t="s">
        <v>389</v>
      </c>
      <c r="M460" s="392" t="s">
        <v>1685</v>
      </c>
      <c r="N460" s="343"/>
      <c r="O460" s="343"/>
      <c r="P460" s="70" t="s">
        <v>350</v>
      </c>
      <c r="Q460" s="346" t="s">
        <v>1139</v>
      </c>
      <c r="R460" s="346" t="s">
        <v>1140</v>
      </c>
      <c r="S460" s="346"/>
      <c r="T460" s="150" t="s">
        <v>25</v>
      </c>
      <c r="U460" s="150"/>
      <c r="V460" s="403"/>
      <c r="W460" s="406">
        <v>0</v>
      </c>
      <c r="X460" s="406">
        <v>108.52</v>
      </c>
      <c r="Y460" s="430"/>
      <c r="Z460" s="137"/>
      <c r="AA460" s="426">
        <v>108.52</v>
      </c>
      <c r="AB460" s="431">
        <v>0</v>
      </c>
      <c r="AC460" s="431">
        <v>0</v>
      </c>
      <c r="AD460" s="428" t="s">
        <v>1142</v>
      </c>
      <c r="AE460" s="429">
        <v>0</v>
      </c>
      <c r="AF460" s="429">
        <v>0</v>
      </c>
      <c r="AG460" s="360">
        <v>0</v>
      </c>
      <c r="AH460" s="360">
        <v>0</v>
      </c>
      <c r="AI460" s="360">
        <v>0</v>
      </c>
      <c r="AJ460" s="360">
        <v>0</v>
      </c>
      <c r="AK460" s="360">
        <v>0</v>
      </c>
      <c r="AL460" s="360">
        <v>0</v>
      </c>
      <c r="AM460" s="360">
        <f t="shared" si="27"/>
        <v>108.52</v>
      </c>
      <c r="AN460" s="362">
        <f>ERP_26[[#This Row],[2026 Working Total]]-ERP_26[[#This Row],[LE2 Final Submission]]</f>
        <v>0</v>
      </c>
      <c r="AO460" s="79"/>
      <c r="AP460" s="79">
        <f t="shared" si="28"/>
        <v>0</v>
      </c>
      <c r="AQ460" s="374">
        <f>SUM(ERP_26[[#This Row],[AP01]:[AP06]])-SUM(ERP_26[[#This Row],[AP01 LE2]:[AP06 LE2]])</f>
        <v>0</v>
      </c>
      <c r="AR460" s="80"/>
      <c r="AS460" s="79">
        <f>ERP_26[[#This Row],[2026 Working Total to Budget/LE]]-ERP_26[[#This Row],[Giveback]]</f>
        <v>0</v>
      </c>
      <c r="AT460" s="81"/>
      <c r="AU460" s="375">
        <v>108.52</v>
      </c>
      <c r="AV460" s="375">
        <v>0</v>
      </c>
      <c r="AW460" s="375">
        <v>0</v>
      </c>
      <c r="AX460" s="375">
        <v>0</v>
      </c>
      <c r="AY460" s="375">
        <v>0</v>
      </c>
      <c r="AZ460" s="375">
        <v>0</v>
      </c>
      <c r="BA460" s="375">
        <v>0</v>
      </c>
      <c r="BB460" s="375">
        <v>0</v>
      </c>
      <c r="BC460" s="375">
        <v>0</v>
      </c>
      <c r="BD460" s="375">
        <v>0</v>
      </c>
      <c r="BE460" s="375">
        <v>0</v>
      </c>
      <c r="BF460" s="375">
        <v>0</v>
      </c>
      <c r="BG460" s="375">
        <v>108.52</v>
      </c>
      <c r="BH460" s="79">
        <v>108.52</v>
      </c>
      <c r="BI460" s="79">
        <v>0</v>
      </c>
      <c r="BJ460" s="79">
        <v>0</v>
      </c>
      <c r="BK460" s="79">
        <v>0</v>
      </c>
      <c r="BL460" s="79">
        <v>0</v>
      </c>
      <c r="BM460" s="79">
        <v>0</v>
      </c>
      <c r="BN460" s="79">
        <v>0</v>
      </c>
      <c r="BO460" s="79">
        <v>0</v>
      </c>
      <c r="BP460" s="79">
        <v>0</v>
      </c>
      <c r="BQ460" s="79">
        <v>0</v>
      </c>
      <c r="BR460" s="79">
        <v>0</v>
      </c>
      <c r="BS460" s="79">
        <v>0</v>
      </c>
      <c r="BT460" s="79">
        <v>108.52</v>
      </c>
    </row>
    <row r="461" spans="1:72" ht="15" customHeight="1">
      <c r="A461" s="66" t="s">
        <v>2079</v>
      </c>
      <c r="B461" s="66"/>
      <c r="C461" s="66" t="s">
        <v>2927</v>
      </c>
      <c r="D461" s="66" t="s">
        <v>2080</v>
      </c>
      <c r="E461" s="150" t="s">
        <v>1136</v>
      </c>
      <c r="F461" s="482" t="s">
        <v>1566</v>
      </c>
      <c r="G461" s="150" t="s">
        <v>1566</v>
      </c>
      <c r="H461" s="150" t="s">
        <v>1566</v>
      </c>
      <c r="I461" s="150" t="s">
        <v>1567</v>
      </c>
      <c r="J461" s="150" t="s">
        <v>1567</v>
      </c>
      <c r="K461" s="150" t="s">
        <v>1567</v>
      </c>
      <c r="L461" s="511" t="s">
        <v>389</v>
      </c>
      <c r="M461" s="392" t="s">
        <v>352</v>
      </c>
      <c r="N461" s="343"/>
      <c r="O461" s="343"/>
      <c r="P461" s="70" t="s">
        <v>352</v>
      </c>
      <c r="Q461" s="346" t="s">
        <v>1139</v>
      </c>
      <c r="R461" s="346" t="s">
        <v>1140</v>
      </c>
      <c r="S461" s="346"/>
      <c r="T461" s="150" t="s">
        <v>25</v>
      </c>
      <c r="U461" s="150"/>
      <c r="V461" s="404"/>
      <c r="W461" s="407">
        <v>0</v>
      </c>
      <c r="X461" s="407">
        <v>0</v>
      </c>
      <c r="Y461" s="425"/>
      <c r="Z461" s="71"/>
      <c r="AA461" s="426"/>
      <c r="AB461" s="427"/>
      <c r="AC461" s="431">
        <v>0</v>
      </c>
      <c r="AD461" s="428">
        <v>0</v>
      </c>
      <c r="AE461" s="429">
        <v>0</v>
      </c>
      <c r="AF461" s="429">
        <v>0</v>
      </c>
      <c r="AG461" s="360">
        <v>0</v>
      </c>
      <c r="AH461" s="360">
        <v>0</v>
      </c>
      <c r="AI461" s="360">
        <v>0</v>
      </c>
      <c r="AJ461" s="360">
        <v>0</v>
      </c>
      <c r="AK461" s="360">
        <v>0</v>
      </c>
      <c r="AL461" s="360">
        <v>0</v>
      </c>
      <c r="AM461" s="360">
        <f t="shared" si="27"/>
        <v>0</v>
      </c>
      <c r="AN461" s="362">
        <f>ERP_26[[#This Row],[2026 Working Total]]-ERP_26[[#This Row],[LE2 Final Submission]]</f>
        <v>0</v>
      </c>
      <c r="AO461" s="79">
        <v>0</v>
      </c>
      <c r="AP461" s="79">
        <f t="shared" si="28"/>
        <v>0</v>
      </c>
      <c r="AQ461" s="374">
        <f>SUM(ERP_26[[#This Row],[AP01]:[AP06]])-SUM(ERP_26[[#This Row],[AP01 LE2]:[AP06 LE2]])</f>
        <v>0</v>
      </c>
      <c r="AR461" s="80"/>
      <c r="AS461" s="79">
        <f>ERP_26[[#This Row],[2026 Working Total to Budget/LE]]-ERP_26[[#This Row],[Giveback]]</f>
        <v>0</v>
      </c>
      <c r="AT461" s="81"/>
      <c r="AU461" s="375"/>
      <c r="AV461" s="375"/>
      <c r="AW461" s="375">
        <v>0</v>
      </c>
      <c r="AX461" s="375">
        <v>0</v>
      </c>
      <c r="AY461" s="375">
        <v>0</v>
      </c>
      <c r="AZ461" s="375">
        <v>0</v>
      </c>
      <c r="BA461" s="375">
        <v>0</v>
      </c>
      <c r="BB461" s="375">
        <v>0</v>
      </c>
      <c r="BC461" s="375">
        <v>0</v>
      </c>
      <c r="BD461" s="375">
        <v>0</v>
      </c>
      <c r="BE461" s="375">
        <v>0</v>
      </c>
      <c r="BF461" s="375">
        <v>0</v>
      </c>
      <c r="BG461" s="375">
        <v>0</v>
      </c>
      <c r="BH461" s="79"/>
      <c r="BI461" s="79"/>
      <c r="BJ461" s="79">
        <v>0</v>
      </c>
      <c r="BK461" s="79">
        <v>0</v>
      </c>
      <c r="BL461" s="79">
        <v>0</v>
      </c>
      <c r="BM461" s="79">
        <v>0</v>
      </c>
      <c r="BN461" s="79">
        <v>0</v>
      </c>
      <c r="BO461" s="79">
        <v>0</v>
      </c>
      <c r="BP461" s="79">
        <v>0</v>
      </c>
      <c r="BQ461" s="79">
        <v>0</v>
      </c>
      <c r="BR461" s="79">
        <v>0</v>
      </c>
      <c r="BS461" s="79">
        <v>0</v>
      </c>
      <c r="BT461" s="79">
        <v>0</v>
      </c>
    </row>
    <row r="462" spans="1:72" ht="15" customHeight="1">
      <c r="A462" s="66" t="s">
        <v>2081</v>
      </c>
      <c r="B462" s="66"/>
      <c r="C462" s="66" t="s">
        <v>2932</v>
      </c>
      <c r="D462" s="66" t="s">
        <v>2082</v>
      </c>
      <c r="E462" s="150" t="s">
        <v>1136</v>
      </c>
      <c r="F462" s="482" t="s">
        <v>1566</v>
      </c>
      <c r="G462" s="150" t="s">
        <v>1566</v>
      </c>
      <c r="H462" s="150" t="s">
        <v>1566</v>
      </c>
      <c r="I462" s="150" t="s">
        <v>1567</v>
      </c>
      <c r="J462" s="150" t="s">
        <v>1567</v>
      </c>
      <c r="K462" s="150" t="s">
        <v>1567</v>
      </c>
      <c r="L462" s="511" t="s">
        <v>389</v>
      </c>
      <c r="M462" s="392" t="s">
        <v>414</v>
      </c>
      <c r="N462" s="343"/>
      <c r="O462" s="343"/>
      <c r="P462" s="70" t="s">
        <v>414</v>
      </c>
      <c r="Q462" s="346" t="s">
        <v>1139</v>
      </c>
      <c r="R462" s="346" t="s">
        <v>1140</v>
      </c>
      <c r="S462" s="346"/>
      <c r="T462" s="150" t="s">
        <v>25</v>
      </c>
      <c r="U462" s="150"/>
      <c r="V462" s="404"/>
      <c r="W462" s="407">
        <v>0</v>
      </c>
      <c r="X462" s="407">
        <v>0</v>
      </c>
      <c r="Y462" s="425"/>
      <c r="Z462" s="71"/>
      <c r="AA462" s="426"/>
      <c r="AB462" s="431">
        <v>0</v>
      </c>
      <c r="AC462" s="431">
        <v>0</v>
      </c>
      <c r="AD462" s="428">
        <v>-5040.41</v>
      </c>
      <c r="AE462" s="429">
        <v>0</v>
      </c>
      <c r="AF462" s="429">
        <v>0</v>
      </c>
      <c r="AG462" s="360">
        <v>0</v>
      </c>
      <c r="AH462" s="360">
        <v>0</v>
      </c>
      <c r="AI462" s="360">
        <v>0</v>
      </c>
      <c r="AJ462" s="360">
        <v>0</v>
      </c>
      <c r="AK462" s="360">
        <v>0</v>
      </c>
      <c r="AL462" s="360">
        <v>0</v>
      </c>
      <c r="AM462" s="360">
        <f t="shared" si="27"/>
        <v>-5040.41</v>
      </c>
      <c r="AN462" s="362">
        <f>ERP_26[[#This Row],[2026 Working Total]]-ERP_26[[#This Row],[LE2 Final Submission]]</f>
        <v>-5040.41</v>
      </c>
      <c r="AO462" s="79">
        <v>0</v>
      </c>
      <c r="AP462" s="79">
        <f t="shared" si="28"/>
        <v>0</v>
      </c>
      <c r="AQ462" s="374">
        <f>SUM(ERP_26[[#This Row],[AP01]:[AP06]])-SUM(ERP_26[[#This Row],[AP01 LE2]:[AP06 LE2]])</f>
        <v>-5040.41</v>
      </c>
      <c r="AR462" s="80"/>
      <c r="AS462" s="79">
        <f>ERP_26[[#This Row],[2026 Working Total to Budget/LE]]-ERP_26[[#This Row],[Giveback]]</f>
        <v>-5040.41</v>
      </c>
      <c r="AT462" s="81"/>
      <c r="AU462" s="375"/>
      <c r="AV462" s="375">
        <v>0</v>
      </c>
      <c r="AW462" s="375">
        <v>0</v>
      </c>
      <c r="AX462" s="375">
        <v>0</v>
      </c>
      <c r="AY462" s="375">
        <v>0</v>
      </c>
      <c r="AZ462" s="375">
        <v>0</v>
      </c>
      <c r="BA462" s="375">
        <v>0</v>
      </c>
      <c r="BB462" s="375">
        <v>0</v>
      </c>
      <c r="BC462" s="375">
        <v>0</v>
      </c>
      <c r="BD462" s="375">
        <v>0</v>
      </c>
      <c r="BE462" s="375">
        <v>0</v>
      </c>
      <c r="BF462" s="375">
        <v>0</v>
      </c>
      <c r="BG462" s="375">
        <v>0</v>
      </c>
      <c r="BH462" s="79"/>
      <c r="BI462" s="79">
        <v>0</v>
      </c>
      <c r="BJ462" s="79">
        <v>0</v>
      </c>
      <c r="BK462" s="79">
        <v>0</v>
      </c>
      <c r="BL462" s="79">
        <v>0</v>
      </c>
      <c r="BM462" s="79">
        <v>0</v>
      </c>
      <c r="BN462" s="79">
        <v>0</v>
      </c>
      <c r="BO462" s="79">
        <v>0</v>
      </c>
      <c r="BP462" s="79">
        <v>0</v>
      </c>
      <c r="BQ462" s="79">
        <v>0</v>
      </c>
      <c r="BR462" s="79">
        <v>0</v>
      </c>
      <c r="BS462" s="79">
        <v>0</v>
      </c>
      <c r="BT462" s="79">
        <v>0</v>
      </c>
    </row>
    <row r="463" spans="1:72" ht="15" customHeight="1">
      <c r="A463" s="79" t="s">
        <v>2083</v>
      </c>
      <c r="B463" s="79"/>
      <c r="C463" s="79" t="s">
        <v>565</v>
      </c>
      <c r="D463" s="296" t="s">
        <v>2084</v>
      </c>
      <c r="E463" s="150" t="s">
        <v>1136</v>
      </c>
      <c r="F463" s="482" t="s">
        <v>1566</v>
      </c>
      <c r="G463" s="150" t="s">
        <v>1566</v>
      </c>
      <c r="H463" s="150" t="s">
        <v>1566</v>
      </c>
      <c r="I463" t="s">
        <v>1567</v>
      </c>
      <c r="J463" t="s">
        <v>1567</v>
      </c>
      <c r="K463" s="150" t="s">
        <v>1567</v>
      </c>
      <c r="L463" s="514" t="s">
        <v>389</v>
      </c>
      <c r="M463" s="394" t="s">
        <v>1699</v>
      </c>
      <c r="N463" s="343"/>
      <c r="O463" s="333"/>
      <c r="P463" s="70" t="s">
        <v>362</v>
      </c>
      <c r="Q463" s="347"/>
      <c r="R463" s="343"/>
      <c r="S463" s="348"/>
      <c r="T463" s="348"/>
      <c r="U463" s="348" t="s">
        <v>1700</v>
      </c>
      <c r="V463" s="402"/>
      <c r="W463" s="358"/>
      <c r="X463" s="379">
        <v>0</v>
      </c>
      <c r="Y463" s="425"/>
      <c r="Z463" s="71"/>
      <c r="AA463" s="435"/>
      <c r="AB463" s="436"/>
      <c r="AC463" s="436"/>
      <c r="AD463" s="428" t="s">
        <v>1142</v>
      </c>
      <c r="AE463" s="429">
        <v>0</v>
      </c>
      <c r="AF463" s="429">
        <v>0</v>
      </c>
      <c r="AG463" s="364"/>
      <c r="AH463" s="364"/>
      <c r="AI463" s="364"/>
      <c r="AJ463" s="364"/>
      <c r="AK463" s="364"/>
      <c r="AL463" s="364"/>
      <c r="AM463" s="360">
        <f t="shared" si="27"/>
        <v>0</v>
      </c>
      <c r="AN463" s="362">
        <f>ERP_26[[#This Row],[2026 Working Total]]-ERP_26[[#This Row],[LE2 Final Submission]]</f>
        <v>0</v>
      </c>
      <c r="AO463" s="79">
        <v>5045.4799999999996</v>
      </c>
      <c r="AP463" s="79">
        <f t="shared" si="28"/>
        <v>-5045.4799999999996</v>
      </c>
      <c r="AQ463" s="374">
        <f>SUM(ERP_26[[#This Row],[AP01]:[AP06]])-SUM(ERP_26[[#This Row],[AP01 LE2]:[AP06 LE2]])</f>
        <v>0</v>
      </c>
      <c r="AR463" s="80"/>
      <c r="AS463" s="79">
        <f>ERP_26[[#This Row],[2026 Working Total to Budget/LE]]-ERP_26[[#This Row],[Giveback]]</f>
        <v>0</v>
      </c>
      <c r="AT463" s="81"/>
      <c r="AU463" s="375"/>
      <c r="AV463" s="375"/>
      <c r="AW463" s="375"/>
      <c r="AX463" s="375">
        <v>-5045.4799999999996</v>
      </c>
      <c r="AY463" s="375">
        <v>5045.4799999999996</v>
      </c>
      <c r="AZ463" s="375"/>
      <c r="BA463" s="375"/>
      <c r="BB463" s="375"/>
      <c r="BC463" s="375"/>
      <c r="BD463" s="375"/>
      <c r="BE463" s="375"/>
      <c r="BF463" s="375"/>
      <c r="BG463" s="375">
        <v>0</v>
      </c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</row>
    <row r="464" spans="1:72" ht="15" customHeight="1">
      <c r="A464" s="150" t="s">
        <v>2085</v>
      </c>
      <c r="B464" s="150"/>
      <c r="C464" s="536" t="s">
        <v>566</v>
      </c>
      <c r="D464" s="296" t="s">
        <v>2086</v>
      </c>
      <c r="E464" s="150" t="s">
        <v>1136</v>
      </c>
      <c r="F464" s="482" t="s">
        <v>1566</v>
      </c>
      <c r="G464" s="150" t="s">
        <v>1566</v>
      </c>
      <c r="H464" s="150" t="s">
        <v>1566</v>
      </c>
      <c r="I464" s="150" t="s">
        <v>1567</v>
      </c>
      <c r="J464" s="150" t="s">
        <v>1567</v>
      </c>
      <c r="K464" s="150" t="s">
        <v>1567</v>
      </c>
      <c r="L464" s="514" t="s">
        <v>389</v>
      </c>
      <c r="M464" s="394" t="s">
        <v>2087</v>
      </c>
      <c r="N464" s="333"/>
      <c r="O464" s="332" t="s">
        <v>1634</v>
      </c>
      <c r="P464" s="90" t="s">
        <v>271</v>
      </c>
      <c r="Q464" s="347"/>
      <c r="R464" s="347"/>
      <c r="S464" s="348"/>
      <c r="T464" s="506"/>
      <c r="U464" s="348"/>
      <c r="V464" s="402"/>
      <c r="W464" s="406"/>
      <c r="X464" s="406"/>
      <c r="Y464" s="425"/>
      <c r="Z464" s="71"/>
      <c r="AA464" s="435"/>
      <c r="AB464" s="436"/>
      <c r="AC464" s="436"/>
      <c r="AD464" s="429">
        <v>142.1</v>
      </c>
      <c r="AE464" s="429">
        <v>309.31</v>
      </c>
      <c r="AF464" s="429">
        <v>316.74</v>
      </c>
      <c r="AG464" s="364"/>
      <c r="AH464" s="364"/>
      <c r="AI464" s="364"/>
      <c r="AJ464" s="364"/>
      <c r="AK464" s="364"/>
      <c r="AL464" s="364"/>
      <c r="AM464" s="360">
        <f t="shared" si="27"/>
        <v>768.15</v>
      </c>
      <c r="AN464" s="362">
        <f>ERP_26[[#This Row],[2026 Working Total]]-ERP_26[[#This Row],[LE2 Final Submission]]</f>
        <v>768.15</v>
      </c>
      <c r="AO464" s="79"/>
      <c r="AP464" s="79">
        <f t="shared" si="28"/>
        <v>316.74</v>
      </c>
      <c r="AQ464" s="374">
        <f>SUM(ERP_26[[#This Row],[AP01]:[AP06]])-SUM(ERP_26[[#This Row],[AP01 LE2]:[AP06 LE2]])</f>
        <v>768.15</v>
      </c>
      <c r="AR464" s="80"/>
      <c r="AS464" s="79">
        <f>ERP_26[[#This Row],[2026 Working Total to Budget/LE]]-ERP_26[[#This Row],[Giveback]]</f>
        <v>768.15</v>
      </c>
      <c r="AT464" s="81"/>
      <c r="AU464" s="375"/>
      <c r="AV464" s="375"/>
      <c r="AW464" s="375"/>
      <c r="AX464" s="375"/>
      <c r="AY464" s="375"/>
      <c r="AZ464" s="375"/>
      <c r="BA464" s="375"/>
      <c r="BB464" s="375"/>
      <c r="BC464" s="375"/>
      <c r="BD464" s="375"/>
      <c r="BE464" s="375"/>
      <c r="BF464" s="375"/>
      <c r="BG464" s="375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</row>
    <row r="465" spans="1:72" ht="15" customHeight="1">
      <c r="A465" s="66" t="s">
        <v>2088</v>
      </c>
      <c r="B465" s="66"/>
      <c r="C465" s="66" t="s">
        <v>567</v>
      </c>
      <c r="D465" s="66" t="s">
        <v>2089</v>
      </c>
      <c r="E465" s="150" t="s">
        <v>1136</v>
      </c>
      <c r="F465" s="482" t="s">
        <v>1566</v>
      </c>
      <c r="G465" s="150" t="s">
        <v>1566</v>
      </c>
      <c r="H465" s="150" t="s">
        <v>1566</v>
      </c>
      <c r="I465" s="150" t="s">
        <v>1567</v>
      </c>
      <c r="J465" s="150" t="s">
        <v>1567</v>
      </c>
      <c r="K465" s="150" t="s">
        <v>1567</v>
      </c>
      <c r="L465" s="511" t="s">
        <v>389</v>
      </c>
      <c r="M465" s="392" t="s">
        <v>1574</v>
      </c>
      <c r="N465" s="343"/>
      <c r="O465" s="343"/>
      <c r="P465" s="70" t="s">
        <v>274</v>
      </c>
      <c r="Q465" s="346" t="s">
        <v>1139</v>
      </c>
      <c r="R465" s="343"/>
      <c r="S465" s="346"/>
      <c r="T465" s="505" t="s">
        <v>275</v>
      </c>
      <c r="U465" s="150"/>
      <c r="V465" s="403"/>
      <c r="W465" s="406">
        <v>0</v>
      </c>
      <c r="X465" s="406">
        <v>23735.440000000002</v>
      </c>
      <c r="Y465" s="425"/>
      <c r="Z465" s="71"/>
      <c r="AA465" s="426"/>
      <c r="AB465" s="427"/>
      <c r="AC465" s="427">
        <v>3561.44</v>
      </c>
      <c r="AD465" s="428">
        <v>0</v>
      </c>
      <c r="AE465" s="429">
        <v>6253.55</v>
      </c>
      <c r="AF465" s="429">
        <v>3700.6400000000003</v>
      </c>
      <c r="AG465" s="360">
        <v>1990</v>
      </c>
      <c r="AH465" s="360">
        <v>1990</v>
      </c>
      <c r="AI465" s="360">
        <v>1990</v>
      </c>
      <c r="AJ465" s="360">
        <v>1990</v>
      </c>
      <c r="AK465" s="360">
        <v>1990</v>
      </c>
      <c r="AL465" s="360">
        <v>1990</v>
      </c>
      <c r="AM465" s="360">
        <f t="shared" si="27"/>
        <v>25455.63</v>
      </c>
      <c r="AN465" s="362">
        <f>ERP_26[[#This Row],[2026 Working Total]]-ERP_26[[#This Row],[LE2 Final Submission]]</f>
        <v>1720.1899999999987</v>
      </c>
      <c r="AO465" s="79">
        <v>6244</v>
      </c>
      <c r="AP465" s="79">
        <f t="shared" si="28"/>
        <v>-2543.3599999999997</v>
      </c>
      <c r="AQ465" s="374">
        <f>SUM(ERP_26[[#This Row],[AP01]:[AP06]])-SUM(ERP_26[[#This Row],[AP01 LE2]:[AP06 LE2]])</f>
        <v>1720.1900000000005</v>
      </c>
      <c r="AR465" s="80"/>
      <c r="AS465" s="79">
        <f>ERP_26[[#This Row],[2026 Working Total to Budget/LE]]-ERP_26[[#This Row],[Giveback]]</f>
        <v>1720.1899999999987</v>
      </c>
      <c r="AT465" s="81"/>
      <c r="AU465" s="375"/>
      <c r="AV465" s="375"/>
      <c r="AW465" s="375">
        <v>3561.44</v>
      </c>
      <c r="AX465" s="375">
        <v>0</v>
      </c>
      <c r="AY465" s="375">
        <v>6244</v>
      </c>
      <c r="AZ465" s="375">
        <v>1990</v>
      </c>
      <c r="BA465" s="375">
        <v>1990</v>
      </c>
      <c r="BB465" s="375">
        <v>1990</v>
      </c>
      <c r="BC465" s="375">
        <v>1990</v>
      </c>
      <c r="BD465" s="375">
        <v>1990</v>
      </c>
      <c r="BE465" s="375">
        <v>1990</v>
      </c>
      <c r="BF465" s="375">
        <v>1990</v>
      </c>
      <c r="BG465" s="375">
        <v>23735.440000000002</v>
      </c>
      <c r="BH465" s="79"/>
      <c r="BI465" s="79"/>
      <c r="BJ465" s="79">
        <v>3561.44</v>
      </c>
      <c r="BK465" s="79">
        <v>0</v>
      </c>
      <c r="BL465" s="79">
        <v>0</v>
      </c>
      <c r="BM465" s="79">
        <v>0</v>
      </c>
      <c r="BN465" s="79">
        <v>0</v>
      </c>
      <c r="BO465" s="79">
        <v>0</v>
      </c>
      <c r="BP465" s="79">
        <v>0</v>
      </c>
      <c r="BQ465" s="79">
        <v>0</v>
      </c>
      <c r="BR465" s="79">
        <v>0</v>
      </c>
      <c r="BS465" s="79">
        <v>0</v>
      </c>
      <c r="BT465" s="79">
        <v>3561.44</v>
      </c>
    </row>
    <row r="466" spans="1:72" ht="15" customHeight="1">
      <c r="A466" s="150" t="s">
        <v>2090</v>
      </c>
      <c r="B466" s="150"/>
      <c r="C466" s="536" t="s">
        <v>568</v>
      </c>
      <c r="D466" s="296" t="s">
        <v>2091</v>
      </c>
      <c r="E466" s="150" t="s">
        <v>1136</v>
      </c>
      <c r="F466" s="482" t="s">
        <v>1566</v>
      </c>
      <c r="G466" s="150" t="s">
        <v>1566</v>
      </c>
      <c r="H466" s="150" t="s">
        <v>1566</v>
      </c>
      <c r="I466" s="332" t="s">
        <v>1567</v>
      </c>
      <c r="J466" s="332" t="s">
        <v>1567</v>
      </c>
      <c r="K466" s="333" t="s">
        <v>1567</v>
      </c>
      <c r="L466" s="514" t="s">
        <v>389</v>
      </c>
      <c r="M466" s="394" t="s">
        <v>2092</v>
      </c>
      <c r="N466" s="333"/>
      <c r="O466" s="332" t="s">
        <v>1634</v>
      </c>
      <c r="P466" s="90" t="s">
        <v>281</v>
      </c>
      <c r="Q466" s="347"/>
      <c r="R466" s="348" t="s">
        <v>2093</v>
      </c>
      <c r="S466" s="348"/>
      <c r="T466" s="506"/>
      <c r="U466" s="348"/>
      <c r="V466" s="402"/>
      <c r="W466" s="406"/>
      <c r="X466" s="406"/>
      <c r="Y466" s="425"/>
      <c r="Z466" s="71"/>
      <c r="AA466" s="435"/>
      <c r="AB466" s="436"/>
      <c r="AC466" s="436"/>
      <c r="AD466" s="429"/>
      <c r="AE466" s="429">
        <v>-10419.43</v>
      </c>
      <c r="AF466" s="429">
        <v>0</v>
      </c>
      <c r="AG466" s="364"/>
      <c r="AH466" s="364"/>
      <c r="AI466" s="364"/>
      <c r="AJ466" s="364"/>
      <c r="AK466" s="364"/>
      <c r="AL466" s="364"/>
      <c r="AM466" s="360">
        <f t="shared" si="27"/>
        <v>-10419.43</v>
      </c>
      <c r="AN466" s="362">
        <f>ERP_26[[#This Row],[2026 Working Total]]-ERP_26[[#This Row],[LE2 Final Submission]]</f>
        <v>-10419.43</v>
      </c>
      <c r="AO466" s="79"/>
      <c r="AP466" s="79">
        <f t="shared" si="28"/>
        <v>0</v>
      </c>
      <c r="AQ466" s="374">
        <f>SUM(ERP_26[[#This Row],[AP01]:[AP06]])-SUM(ERP_26[[#This Row],[AP01 LE2]:[AP06 LE2]])</f>
        <v>-10419.43</v>
      </c>
      <c r="AR466" s="80"/>
      <c r="AS466" s="79">
        <f>ERP_26[[#This Row],[2026 Working Total to Budget/LE]]-ERP_26[[#This Row],[Giveback]]</f>
        <v>-10419.43</v>
      </c>
      <c r="AT466" s="81"/>
      <c r="AU466" s="375"/>
      <c r="AV466" s="375"/>
      <c r="AW466" s="375"/>
      <c r="AX466" s="375"/>
      <c r="AY466" s="375"/>
      <c r="AZ466" s="375"/>
      <c r="BA466" s="375"/>
      <c r="BB466" s="375"/>
      <c r="BC466" s="375"/>
      <c r="BD466" s="375"/>
      <c r="BE466" s="375"/>
      <c r="BF466" s="375"/>
      <c r="BG466" s="375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</row>
    <row r="467" spans="1:72" ht="15" customHeight="1">
      <c r="A467" s="79" t="s">
        <v>2099</v>
      </c>
      <c r="B467" s="79"/>
      <c r="C467" s="79" t="s">
        <v>570</v>
      </c>
      <c r="D467" s="296" t="s">
        <v>2100</v>
      </c>
      <c r="E467" s="150" t="s">
        <v>1136</v>
      </c>
      <c r="F467" s="482" t="s">
        <v>1566</v>
      </c>
      <c r="G467" s="482" t="s">
        <v>1566</v>
      </c>
      <c r="H467" s="482" t="s">
        <v>1566</v>
      </c>
      <c r="I467" s="332" t="s">
        <v>1345</v>
      </c>
      <c r="J467" s="383" t="s">
        <v>1346</v>
      </c>
      <c r="K467" s="331" t="s">
        <v>1346</v>
      </c>
      <c r="L467" s="512" t="s">
        <v>389</v>
      </c>
      <c r="M467" s="393" t="s">
        <v>2101</v>
      </c>
      <c r="N467" s="343"/>
      <c r="O467" s="331"/>
      <c r="P467" s="91" t="s">
        <v>571</v>
      </c>
      <c r="Q467" s="343"/>
      <c r="R467" s="346" t="s">
        <v>1221</v>
      </c>
      <c r="S467" s="348"/>
      <c r="T467" s="386" t="s">
        <v>432</v>
      </c>
      <c r="U467" s="387" t="s">
        <v>2102</v>
      </c>
      <c r="V467" s="432"/>
      <c r="W467" s="358">
        <v>1236</v>
      </c>
      <c r="X467" s="378">
        <v>0</v>
      </c>
      <c r="Y467" s="425"/>
      <c r="Z467" s="71"/>
      <c r="AA467" s="433"/>
      <c r="AB467" s="434"/>
      <c r="AC467" s="434"/>
      <c r="AD467" s="428" t="s">
        <v>1142</v>
      </c>
      <c r="AE467" s="429">
        <v>0</v>
      </c>
      <c r="AF467" s="429">
        <v>0</v>
      </c>
      <c r="AG467" s="388">
        <v>0</v>
      </c>
      <c r="AH467" s="388">
        <v>0</v>
      </c>
      <c r="AI467" s="388">
        <v>0</v>
      </c>
      <c r="AJ467" s="388">
        <v>0</v>
      </c>
      <c r="AK467" s="388">
        <v>0</v>
      </c>
      <c r="AL467" s="388">
        <v>0</v>
      </c>
      <c r="AM467" s="360">
        <f t="shared" si="27"/>
        <v>0</v>
      </c>
      <c r="AN467" s="362">
        <f>ERP_26[[#This Row],[2026 Working Total]]-ERP_26[[#This Row],[LE2 Final Submission]]</f>
        <v>0</v>
      </c>
      <c r="AO467" s="79">
        <v>0</v>
      </c>
      <c r="AP467" s="79">
        <f t="shared" si="28"/>
        <v>0</v>
      </c>
      <c r="AQ467" s="374">
        <f>SUM(ERP_26[[#This Row],[AP01]:[AP06]])-SUM(ERP_26[[#This Row],[AP01 LE2]:[AP06 LE2]])</f>
        <v>0</v>
      </c>
      <c r="AR467" s="80"/>
      <c r="AS467" s="79">
        <f>ERP_26[[#This Row],[2026 Working Total to Budget/LE]]-ERP_26[[#This Row],[Giveback]]</f>
        <v>0</v>
      </c>
      <c r="AT467" s="81"/>
      <c r="AU467" s="375"/>
      <c r="AV467" s="375"/>
      <c r="AW467" s="375"/>
      <c r="AX467" s="375">
        <v>0</v>
      </c>
      <c r="AY467" s="375">
        <v>0</v>
      </c>
      <c r="AZ467" s="375">
        <v>0</v>
      </c>
      <c r="BA467" s="375">
        <v>0</v>
      </c>
      <c r="BB467" s="375">
        <v>0</v>
      </c>
      <c r="BC467" s="375">
        <v>0</v>
      </c>
      <c r="BD467" s="375">
        <v>0</v>
      </c>
      <c r="BE467" s="375">
        <v>0</v>
      </c>
      <c r="BF467" s="375">
        <v>0</v>
      </c>
      <c r="BG467" s="375">
        <v>0</v>
      </c>
      <c r="BH467" s="103">
        <v>412</v>
      </c>
      <c r="BI467" s="103">
        <v>412</v>
      </c>
      <c r="BJ467" s="103">
        <v>412</v>
      </c>
      <c r="BK467" s="103">
        <v>0</v>
      </c>
      <c r="BL467" s="103">
        <v>0</v>
      </c>
      <c r="BM467" s="103">
        <v>0</v>
      </c>
      <c r="BN467" s="103">
        <v>0</v>
      </c>
      <c r="BO467" s="103">
        <v>0</v>
      </c>
      <c r="BP467" s="103">
        <v>0</v>
      </c>
      <c r="BQ467" s="103">
        <v>0</v>
      </c>
      <c r="BR467" s="103">
        <v>0</v>
      </c>
      <c r="BS467" s="103">
        <v>0</v>
      </c>
      <c r="BT467" s="79">
        <f>SUM(ERP_26[[#This Row],[2026 AP01]:[2026 AP12]])</f>
        <v>1236</v>
      </c>
    </row>
    <row r="468" spans="1:72" ht="15" customHeight="1">
      <c r="A468" s="66" t="s">
        <v>2052</v>
      </c>
      <c r="B468" s="66"/>
      <c r="C468" s="66" t="s">
        <v>572</v>
      </c>
      <c r="D468" s="66" t="s">
        <v>2053</v>
      </c>
      <c r="E468" s="150" t="s">
        <v>1136</v>
      </c>
      <c r="F468" s="482" t="s">
        <v>1566</v>
      </c>
      <c r="G468" s="482" t="s">
        <v>1566</v>
      </c>
      <c r="H468" s="482" t="s">
        <v>1566</v>
      </c>
      <c r="I468" s="150" t="s">
        <v>1345</v>
      </c>
      <c r="J468" s="150" t="s">
        <v>1346</v>
      </c>
      <c r="K468" s="150" t="s">
        <v>1346</v>
      </c>
      <c r="L468" s="511" t="s">
        <v>389</v>
      </c>
      <c r="M468" s="392" t="s">
        <v>2054</v>
      </c>
      <c r="N468" s="343"/>
      <c r="O468" s="343"/>
      <c r="P468" s="70" t="s">
        <v>573</v>
      </c>
      <c r="Q468" s="346"/>
      <c r="R468" s="343"/>
      <c r="S468" s="346"/>
      <c r="T468" s="150" t="s">
        <v>432</v>
      </c>
      <c r="U468" s="150"/>
      <c r="V468" s="403"/>
      <c r="W468" s="406">
        <v>42000</v>
      </c>
      <c r="X468" s="406">
        <v>37871.96</v>
      </c>
      <c r="Y468" s="430"/>
      <c r="Z468" s="137"/>
      <c r="AA468" s="426">
        <v>1370.43</v>
      </c>
      <c r="AB468" s="427">
        <v>3605.56</v>
      </c>
      <c r="AC468" s="427">
        <v>1395.97</v>
      </c>
      <c r="AD468" s="428">
        <v>1255.79</v>
      </c>
      <c r="AE468" s="429">
        <v>2734.6699999999996</v>
      </c>
      <c r="AF468" s="429">
        <v>2056.0299999999997</v>
      </c>
      <c r="AG468" s="363">
        <v>3500</v>
      </c>
      <c r="AH468" s="363">
        <v>3500</v>
      </c>
      <c r="AI468" s="363">
        <v>3500</v>
      </c>
      <c r="AJ468" s="363">
        <v>3500</v>
      </c>
      <c r="AK468" s="363">
        <v>3500</v>
      </c>
      <c r="AL468" s="363">
        <v>3500</v>
      </c>
      <c r="AM468" s="360">
        <f t="shared" si="27"/>
        <v>33418.449999999997</v>
      </c>
      <c r="AN468" s="362">
        <f>ERP_26[[#This Row],[2026 Working Total]]-ERP_26[[#This Row],[LE2 Final Submission]]</f>
        <v>-4453.510000000002</v>
      </c>
      <c r="AO468" s="79">
        <v>3500</v>
      </c>
      <c r="AP468" s="79">
        <f t="shared" si="28"/>
        <v>-1443.9700000000003</v>
      </c>
      <c r="AQ468" s="374">
        <f>SUM(ERP_26[[#This Row],[AP01]:[AP06]])-SUM(ERP_26[[#This Row],[AP01 LE2]:[AP06 LE2]])</f>
        <v>-4453.5099999999984</v>
      </c>
      <c r="AR468" s="80"/>
      <c r="AS468" s="79">
        <f>ERP_26[[#This Row],[2026 Working Total to Budget/LE]]-ERP_26[[#This Row],[Giveback]]</f>
        <v>-4453.510000000002</v>
      </c>
      <c r="AT468" s="81"/>
      <c r="AU468" s="375">
        <v>1370.43</v>
      </c>
      <c r="AV468" s="375">
        <v>3605.56</v>
      </c>
      <c r="AW468" s="375">
        <v>1395.97</v>
      </c>
      <c r="AX468" s="375">
        <v>3500</v>
      </c>
      <c r="AY468" s="375">
        <v>3500</v>
      </c>
      <c r="AZ468" s="375">
        <v>3500</v>
      </c>
      <c r="BA468" s="375">
        <v>3500</v>
      </c>
      <c r="BB468" s="375">
        <v>3500</v>
      </c>
      <c r="BC468" s="375">
        <v>3500</v>
      </c>
      <c r="BD468" s="375">
        <v>3500</v>
      </c>
      <c r="BE468" s="375">
        <v>3500</v>
      </c>
      <c r="BF468" s="375">
        <v>3500</v>
      </c>
      <c r="BG468" s="375">
        <v>37871.96</v>
      </c>
      <c r="BH468" s="79">
        <v>1370.43</v>
      </c>
      <c r="BI468" s="79">
        <v>3605.56</v>
      </c>
      <c r="BJ468" s="79">
        <v>1395.97</v>
      </c>
      <c r="BK468" s="79">
        <v>3500</v>
      </c>
      <c r="BL468" s="79">
        <v>3500</v>
      </c>
      <c r="BM468" s="79">
        <v>3500</v>
      </c>
      <c r="BN468" s="79">
        <v>3500</v>
      </c>
      <c r="BO468" s="79">
        <v>3500</v>
      </c>
      <c r="BP468" s="79">
        <v>3500</v>
      </c>
      <c r="BQ468" s="79">
        <v>3500</v>
      </c>
      <c r="BR468" s="79">
        <v>3500</v>
      </c>
      <c r="BS468" s="79">
        <v>3500</v>
      </c>
      <c r="BT468" s="79">
        <v>37871.96</v>
      </c>
    </row>
    <row r="469" spans="1:72" ht="15" customHeight="1">
      <c r="A469" s="66" t="s">
        <v>1980</v>
      </c>
      <c r="B469" s="66"/>
      <c r="C469" s="66" t="s">
        <v>574</v>
      </c>
      <c r="D469" s="66" t="s">
        <v>1981</v>
      </c>
      <c r="E469" s="150" t="s">
        <v>1136</v>
      </c>
      <c r="F469" s="482" t="s">
        <v>1566</v>
      </c>
      <c r="G469" s="482" t="s">
        <v>1566</v>
      </c>
      <c r="H469" s="482" t="s">
        <v>1566</v>
      </c>
      <c r="I469" s="150" t="s">
        <v>1345</v>
      </c>
      <c r="J469" s="150" t="s">
        <v>1346</v>
      </c>
      <c r="K469" s="150" t="s">
        <v>1346</v>
      </c>
      <c r="L469" s="511" t="s">
        <v>389</v>
      </c>
      <c r="M469" s="392" t="s">
        <v>1979</v>
      </c>
      <c r="N469" s="343"/>
      <c r="O469" s="343"/>
      <c r="P469" s="70" t="s">
        <v>508</v>
      </c>
      <c r="Q469" s="346"/>
      <c r="R469" s="343"/>
      <c r="S469" s="346"/>
      <c r="T469" s="150" t="s">
        <v>432</v>
      </c>
      <c r="U469" s="150"/>
      <c r="V469" s="403"/>
      <c r="W469" s="406">
        <v>0</v>
      </c>
      <c r="X469" s="406">
        <v>3866.47</v>
      </c>
      <c r="Y469" s="425"/>
      <c r="Z469" s="71"/>
      <c r="AA469" s="426">
        <v>387.61</v>
      </c>
      <c r="AB469" s="427">
        <v>1445.99</v>
      </c>
      <c r="AC469" s="427">
        <v>2032.87</v>
      </c>
      <c r="AD469" s="428">
        <v>1085.24</v>
      </c>
      <c r="AE469" s="429">
        <v>866.11</v>
      </c>
      <c r="AF469" s="429">
        <v>938.15</v>
      </c>
      <c r="AG469" s="360">
        <v>0</v>
      </c>
      <c r="AH469" s="360">
        <v>0</v>
      </c>
      <c r="AI469" s="360">
        <v>0</v>
      </c>
      <c r="AJ469" s="360">
        <v>0</v>
      </c>
      <c r="AK469" s="360">
        <v>0</v>
      </c>
      <c r="AL469" s="360">
        <v>0</v>
      </c>
      <c r="AM469" s="360">
        <f t="shared" si="27"/>
        <v>6755.9699999999993</v>
      </c>
      <c r="AN469" s="362">
        <f>ERP_26[[#This Row],[2026 Working Total]]-ERP_26[[#This Row],[LE2 Final Submission]]</f>
        <v>2889.4999999999995</v>
      </c>
      <c r="AO469" s="79">
        <v>0</v>
      </c>
      <c r="AP469" s="79">
        <f t="shared" si="28"/>
        <v>938.15</v>
      </c>
      <c r="AQ469" s="374">
        <f>SUM(ERP_26[[#This Row],[AP01]:[AP06]])-SUM(ERP_26[[#This Row],[AP01 LE2]:[AP06 LE2]])</f>
        <v>2889.4999999999995</v>
      </c>
      <c r="AR469" s="80"/>
      <c r="AS469" s="79">
        <f>ERP_26[[#This Row],[2026 Working Total to Budget/LE]]-ERP_26[[#This Row],[Giveback]]</f>
        <v>2889.4999999999995</v>
      </c>
      <c r="AT469" s="81"/>
      <c r="AU469" s="375">
        <v>387.61</v>
      </c>
      <c r="AV469" s="375">
        <v>1445.99</v>
      </c>
      <c r="AW469" s="375">
        <v>2032.87</v>
      </c>
      <c r="AX469" s="375">
        <v>0</v>
      </c>
      <c r="AY469" s="375">
        <v>0</v>
      </c>
      <c r="AZ469" s="375">
        <v>0</v>
      </c>
      <c r="BA469" s="375">
        <v>0</v>
      </c>
      <c r="BB469" s="375">
        <v>0</v>
      </c>
      <c r="BC469" s="375">
        <v>0</v>
      </c>
      <c r="BD469" s="375">
        <v>0</v>
      </c>
      <c r="BE469" s="375">
        <v>0</v>
      </c>
      <c r="BF469" s="375">
        <v>0</v>
      </c>
      <c r="BG469" s="375">
        <v>3866.47</v>
      </c>
      <c r="BH469" s="79">
        <v>387.61</v>
      </c>
      <c r="BI469" s="79">
        <v>1445.99</v>
      </c>
      <c r="BJ469" s="79">
        <v>2032.87</v>
      </c>
      <c r="BK469" s="79">
        <v>0</v>
      </c>
      <c r="BL469" s="79">
        <v>0</v>
      </c>
      <c r="BM469" s="79">
        <v>0</v>
      </c>
      <c r="BN469" s="79">
        <v>0</v>
      </c>
      <c r="BO469" s="79">
        <v>0</v>
      </c>
      <c r="BP469" s="79">
        <v>0</v>
      </c>
      <c r="BQ469" s="79">
        <v>0</v>
      </c>
      <c r="BR469" s="79">
        <v>0</v>
      </c>
      <c r="BS469" s="79">
        <v>0</v>
      </c>
      <c r="BT469" s="79">
        <v>3866.47</v>
      </c>
    </row>
    <row r="470" spans="1:72" ht="15" customHeight="1">
      <c r="A470" s="66" t="s">
        <v>2105</v>
      </c>
      <c r="B470" s="66"/>
      <c r="C470" s="66" t="s">
        <v>575</v>
      </c>
      <c r="D470" s="66" t="s">
        <v>2106</v>
      </c>
      <c r="E470" s="150" t="s">
        <v>1136</v>
      </c>
      <c r="F470" s="482" t="s">
        <v>1566</v>
      </c>
      <c r="G470" s="150" t="s">
        <v>1566</v>
      </c>
      <c r="H470" s="150" t="s">
        <v>1566</v>
      </c>
      <c r="I470" s="150" t="s">
        <v>1567</v>
      </c>
      <c r="J470" s="150" t="s">
        <v>1567</v>
      </c>
      <c r="K470" s="150" t="s">
        <v>1567</v>
      </c>
      <c r="L470" s="511" t="s">
        <v>389</v>
      </c>
      <c r="M470" s="392" t="s">
        <v>2107</v>
      </c>
      <c r="N470" s="343"/>
      <c r="O470" s="343"/>
      <c r="P470" s="70" t="s">
        <v>576</v>
      </c>
      <c r="Q470" s="346"/>
      <c r="R470" s="343"/>
      <c r="S470" s="346"/>
      <c r="T470" s="505" t="s">
        <v>272</v>
      </c>
      <c r="U470" s="150"/>
      <c r="V470" s="403"/>
      <c r="W470" s="406">
        <v>-30</v>
      </c>
      <c r="X470" s="406">
        <v>-30</v>
      </c>
      <c r="Y470" s="425"/>
      <c r="Z470" s="71"/>
      <c r="AA470" s="426"/>
      <c r="AB470" s="427"/>
      <c r="AC470" s="427">
        <v>-30</v>
      </c>
      <c r="AD470" s="428">
        <v>0</v>
      </c>
      <c r="AE470" s="429">
        <v>0</v>
      </c>
      <c r="AF470" s="429">
        <v>650</v>
      </c>
      <c r="AG470" s="360">
        <v>0</v>
      </c>
      <c r="AH470" s="360">
        <v>0</v>
      </c>
      <c r="AI470" s="363">
        <v>1550</v>
      </c>
      <c r="AJ470" s="360">
        <v>0</v>
      </c>
      <c r="AK470" s="360">
        <v>0</v>
      </c>
      <c r="AL470" s="363">
        <v>0</v>
      </c>
      <c r="AM470" s="360">
        <f t="shared" si="27"/>
        <v>2170</v>
      </c>
      <c r="AN470" s="362">
        <f>ERP_26[[#This Row],[2026 Working Total]]-ERP_26[[#This Row],[LE2 Final Submission]]</f>
        <v>2200</v>
      </c>
      <c r="AO470" s="79">
        <v>0</v>
      </c>
      <c r="AP470" s="79">
        <f t="shared" si="28"/>
        <v>650</v>
      </c>
      <c r="AQ470" s="374">
        <f>SUM(ERP_26[[#This Row],[AP01]:[AP06]])-SUM(ERP_26[[#This Row],[AP01 LE2]:[AP06 LE2]])</f>
        <v>650</v>
      </c>
      <c r="AR470" s="80"/>
      <c r="AS470" s="79">
        <f>ERP_26[[#This Row],[2026 Working Total to Budget/LE]]-ERP_26[[#This Row],[Giveback]]</f>
        <v>2200</v>
      </c>
      <c r="AT470" s="81"/>
      <c r="AU470" s="375"/>
      <c r="AV470" s="375"/>
      <c r="AW470" s="375">
        <v>-30</v>
      </c>
      <c r="AX470" s="375">
        <v>0</v>
      </c>
      <c r="AY470" s="375">
        <v>0</v>
      </c>
      <c r="AZ470" s="375">
        <v>0</v>
      </c>
      <c r="BA470" s="375">
        <v>0</v>
      </c>
      <c r="BB470" s="375">
        <v>0</v>
      </c>
      <c r="BC470" s="375">
        <v>0</v>
      </c>
      <c r="BD470" s="375">
        <v>0</v>
      </c>
      <c r="BE470" s="375">
        <v>0</v>
      </c>
      <c r="BF470" s="375">
        <v>0</v>
      </c>
      <c r="BG470" s="375">
        <v>-30</v>
      </c>
      <c r="BH470" s="79"/>
      <c r="BI470" s="79"/>
      <c r="BJ470" s="79">
        <v>-30</v>
      </c>
      <c r="BK470" s="79">
        <v>0</v>
      </c>
      <c r="BL470" s="79">
        <v>0</v>
      </c>
      <c r="BM470" s="79">
        <v>5000</v>
      </c>
      <c r="BN470" s="79">
        <v>0</v>
      </c>
      <c r="BO470" s="79">
        <v>0</v>
      </c>
      <c r="BP470" s="79">
        <v>5000</v>
      </c>
      <c r="BQ470" s="79">
        <v>0</v>
      </c>
      <c r="BR470" s="79">
        <v>0</v>
      </c>
      <c r="BS470" s="79">
        <v>-15000</v>
      </c>
      <c r="BT470" s="79">
        <v>-5030</v>
      </c>
    </row>
    <row r="471" spans="1:72" ht="15" customHeight="1">
      <c r="A471" s="66" t="s">
        <v>1887</v>
      </c>
      <c r="B471" s="66"/>
      <c r="C471" s="66" t="s">
        <v>577</v>
      </c>
      <c r="D471" s="66" t="s">
        <v>1888</v>
      </c>
      <c r="E471" s="150" t="s">
        <v>1136</v>
      </c>
      <c r="F471" s="482" t="s">
        <v>1566</v>
      </c>
      <c r="G471" s="482" t="s">
        <v>1566</v>
      </c>
      <c r="H471" s="482" t="s">
        <v>1566</v>
      </c>
      <c r="I471" s="150" t="s">
        <v>1345</v>
      </c>
      <c r="J471" s="150" t="s">
        <v>1346</v>
      </c>
      <c r="K471" s="150" t="s">
        <v>1346</v>
      </c>
      <c r="L471" s="511" t="s">
        <v>389</v>
      </c>
      <c r="M471" s="392" t="s">
        <v>1889</v>
      </c>
      <c r="N471" s="343"/>
      <c r="O471" s="343"/>
      <c r="P471" s="70" t="s">
        <v>578</v>
      </c>
      <c r="Q471" s="346"/>
      <c r="R471" s="346" t="s">
        <v>1221</v>
      </c>
      <c r="S471" s="346"/>
      <c r="T471" s="150" t="s">
        <v>272</v>
      </c>
      <c r="U471" s="150"/>
      <c r="V471" s="403"/>
      <c r="W471" s="406">
        <v>0</v>
      </c>
      <c r="X471" s="406">
        <v>275.15000000000055</v>
      </c>
      <c r="Y471" s="425"/>
      <c r="Z471" s="71"/>
      <c r="AA471" s="426">
        <v>2699.63</v>
      </c>
      <c r="AB471" s="427">
        <v>2847.71</v>
      </c>
      <c r="AC471" s="427">
        <v>-5272.19</v>
      </c>
      <c r="AD471" s="428">
        <v>3353.36</v>
      </c>
      <c r="AE471" s="429">
        <v>2931.3300000000004</v>
      </c>
      <c r="AF471" s="429">
        <v>3022.73</v>
      </c>
      <c r="AG471" s="363">
        <v>0</v>
      </c>
      <c r="AH471" s="363">
        <v>0</v>
      </c>
      <c r="AI471" s="363">
        <v>0</v>
      </c>
      <c r="AJ471" s="363">
        <v>0</v>
      </c>
      <c r="AK471" s="363">
        <v>0</v>
      </c>
      <c r="AL471" s="363">
        <v>0</v>
      </c>
      <c r="AM471" s="360">
        <f t="shared" si="27"/>
        <v>9582.5700000000015</v>
      </c>
      <c r="AN471" s="362">
        <f>ERP_26[[#This Row],[2026 Working Total]]-ERP_26[[#This Row],[LE2 Final Submission]]</f>
        <v>9307.4200000000019</v>
      </c>
      <c r="AO471" s="79">
        <v>0</v>
      </c>
      <c r="AP471" s="79">
        <f t="shared" si="28"/>
        <v>3022.73</v>
      </c>
      <c r="AQ471" s="374">
        <f>SUM(ERP_26[[#This Row],[AP01]:[AP06]])-SUM(ERP_26[[#This Row],[AP01 LE2]:[AP06 LE2]])</f>
        <v>9307.4200000000019</v>
      </c>
      <c r="AR471" s="80"/>
      <c r="AS471" s="79">
        <f>ERP_26[[#This Row],[2026 Working Total to Budget/LE]]-ERP_26[[#This Row],[Giveback]]</f>
        <v>9307.4200000000019</v>
      </c>
      <c r="AT471" s="81"/>
      <c r="AU471" s="375">
        <v>2699.63</v>
      </c>
      <c r="AV471" s="375">
        <v>2847.71</v>
      </c>
      <c r="AW471" s="375">
        <v>-5272.19</v>
      </c>
      <c r="AX471" s="375">
        <v>0</v>
      </c>
      <c r="AY471" s="375">
        <v>0</v>
      </c>
      <c r="AZ471" s="375">
        <v>0</v>
      </c>
      <c r="BA471" s="375">
        <v>0</v>
      </c>
      <c r="BB471" s="375">
        <v>0</v>
      </c>
      <c r="BC471" s="375">
        <v>0</v>
      </c>
      <c r="BD471" s="375">
        <v>0</v>
      </c>
      <c r="BE471" s="375">
        <v>0</v>
      </c>
      <c r="BF471" s="375">
        <v>0</v>
      </c>
      <c r="BG471" s="375">
        <v>275.15000000000055</v>
      </c>
      <c r="BH471" s="79">
        <v>2699.63</v>
      </c>
      <c r="BI471" s="79">
        <v>2847.71</v>
      </c>
      <c r="BJ471" s="79">
        <v>-5272.19</v>
      </c>
      <c r="BK471" s="79">
        <v>2847.71</v>
      </c>
      <c r="BL471" s="79">
        <v>2847.71</v>
      </c>
      <c r="BM471" s="79">
        <v>2847.71</v>
      </c>
      <c r="BN471" s="79">
        <v>2847.71</v>
      </c>
      <c r="BO471" s="79">
        <v>2847.71</v>
      </c>
      <c r="BP471" s="79">
        <v>2847.71</v>
      </c>
      <c r="BQ471" s="79">
        <v>2847.71</v>
      </c>
      <c r="BR471" s="79">
        <v>2847.71</v>
      </c>
      <c r="BS471" s="79">
        <v>2847.71</v>
      </c>
      <c r="BT471" s="79">
        <v>25904.539999999997</v>
      </c>
    </row>
    <row r="472" spans="1:72" ht="15" customHeight="1">
      <c r="A472" s="66" t="s">
        <v>2109</v>
      </c>
      <c r="B472" s="66"/>
      <c r="C472" s="66" t="s">
        <v>579</v>
      </c>
      <c r="D472" s="66" t="s">
        <v>2110</v>
      </c>
      <c r="E472" s="150" t="s">
        <v>1136</v>
      </c>
      <c r="F472" s="482" t="s">
        <v>1566</v>
      </c>
      <c r="G472" s="150" t="s">
        <v>1566</v>
      </c>
      <c r="H472" s="150" t="s">
        <v>1566</v>
      </c>
      <c r="I472" s="150" t="s">
        <v>1567</v>
      </c>
      <c r="J472" s="150" t="s">
        <v>1567</v>
      </c>
      <c r="K472" s="150" t="s">
        <v>1567</v>
      </c>
      <c r="L472" s="511" t="s">
        <v>389</v>
      </c>
      <c r="M472" s="392" t="s">
        <v>1626</v>
      </c>
      <c r="N472" s="343"/>
      <c r="O472" s="343"/>
      <c r="P472" s="70" t="s">
        <v>307</v>
      </c>
      <c r="Q472" s="346"/>
      <c r="R472" s="343"/>
      <c r="S472" s="346"/>
      <c r="T472" s="505" t="s">
        <v>272</v>
      </c>
      <c r="U472" s="150"/>
      <c r="V472" s="403"/>
      <c r="W472" s="406">
        <v>0</v>
      </c>
      <c r="X472" s="406">
        <v>2089.6999999999998</v>
      </c>
      <c r="Y472" s="425"/>
      <c r="Z472" s="71"/>
      <c r="AA472" s="426"/>
      <c r="AB472" s="427"/>
      <c r="AC472" s="427">
        <v>2089.6999999999998</v>
      </c>
      <c r="AD472" s="428">
        <v>0</v>
      </c>
      <c r="AE472" s="429">
        <v>2520.12</v>
      </c>
      <c r="AF472" s="429">
        <v>0</v>
      </c>
      <c r="AG472" s="360">
        <v>0</v>
      </c>
      <c r="AH472" s="360">
        <v>3240</v>
      </c>
      <c r="AI472" s="360">
        <v>0</v>
      </c>
      <c r="AJ472" s="360">
        <v>0</v>
      </c>
      <c r="AK472" s="360">
        <v>0</v>
      </c>
      <c r="AL472" s="360">
        <v>0</v>
      </c>
      <c r="AM472" s="360">
        <f t="shared" si="27"/>
        <v>7849.82</v>
      </c>
      <c r="AN472" s="362">
        <f>ERP_26[[#This Row],[2026 Working Total]]-ERP_26[[#This Row],[LE2 Final Submission]]</f>
        <v>5760.12</v>
      </c>
      <c r="AO472" s="79">
        <v>0</v>
      </c>
      <c r="AP472" s="79">
        <f t="shared" si="28"/>
        <v>0</v>
      </c>
      <c r="AQ472" s="374">
        <f>SUM(ERP_26[[#This Row],[AP01]:[AP06]])-SUM(ERP_26[[#This Row],[AP01 LE2]:[AP06 LE2]])</f>
        <v>2520.12</v>
      </c>
      <c r="AR472" s="80"/>
      <c r="AS472" s="79">
        <f>ERP_26[[#This Row],[2026 Working Total to Budget/LE]]-ERP_26[[#This Row],[Giveback]]</f>
        <v>5760.12</v>
      </c>
      <c r="AT472" s="81"/>
      <c r="AU472" s="375"/>
      <c r="AV472" s="375"/>
      <c r="AW472" s="375">
        <v>2089.6999999999998</v>
      </c>
      <c r="AX472" s="375">
        <v>0</v>
      </c>
      <c r="AY472" s="375">
        <v>0</v>
      </c>
      <c r="AZ472" s="375">
        <v>0</v>
      </c>
      <c r="BA472" s="375">
        <v>0</v>
      </c>
      <c r="BB472" s="375">
        <v>0</v>
      </c>
      <c r="BC472" s="375">
        <v>0</v>
      </c>
      <c r="BD472" s="375">
        <v>0</v>
      </c>
      <c r="BE472" s="375">
        <v>0</v>
      </c>
      <c r="BF472" s="375">
        <v>0</v>
      </c>
      <c r="BG472" s="375">
        <v>2089.6999999999998</v>
      </c>
      <c r="BH472" s="79"/>
      <c r="BI472" s="79"/>
      <c r="BJ472" s="79">
        <v>2089.6999999999998</v>
      </c>
      <c r="BK472" s="79">
        <v>0</v>
      </c>
      <c r="BL472" s="79">
        <v>0</v>
      </c>
      <c r="BM472" s="79">
        <v>0</v>
      </c>
      <c r="BN472" s="79">
        <v>0</v>
      </c>
      <c r="BO472" s="79">
        <v>0</v>
      </c>
      <c r="BP472" s="79">
        <v>0</v>
      </c>
      <c r="BQ472" s="79">
        <v>0</v>
      </c>
      <c r="BR472" s="79">
        <v>0</v>
      </c>
      <c r="BS472" s="79">
        <v>0</v>
      </c>
      <c r="BT472" s="79">
        <v>2089.6999999999998</v>
      </c>
    </row>
    <row r="473" spans="1:72" ht="15" customHeight="1">
      <c r="A473" s="66" t="s">
        <v>2115</v>
      </c>
      <c r="B473" s="66" t="s">
        <v>2950</v>
      </c>
      <c r="C473" s="66" t="s">
        <v>580</v>
      </c>
      <c r="D473" s="66" t="s">
        <v>2116</v>
      </c>
      <c r="E473" s="150" t="s">
        <v>1136</v>
      </c>
      <c r="F473" s="482" t="s">
        <v>1566</v>
      </c>
      <c r="G473" s="150" t="s">
        <v>1566</v>
      </c>
      <c r="H473" s="150" t="s">
        <v>1566</v>
      </c>
      <c r="I473" s="150" t="s">
        <v>1567</v>
      </c>
      <c r="J473" s="150" t="s">
        <v>1567</v>
      </c>
      <c r="K473" s="150" t="s">
        <v>1567</v>
      </c>
      <c r="L473" s="511" t="s">
        <v>389</v>
      </c>
      <c r="M473" s="392" t="s">
        <v>1703</v>
      </c>
      <c r="N473" s="343"/>
      <c r="O473" s="343"/>
      <c r="P473" s="70" t="s">
        <v>365</v>
      </c>
      <c r="Q473" s="346"/>
      <c r="R473" s="346" t="s">
        <v>1140</v>
      </c>
      <c r="S473" s="346"/>
      <c r="T473" s="150" t="s">
        <v>57</v>
      </c>
      <c r="U473" s="150"/>
      <c r="V473" s="403"/>
      <c r="W473" s="406">
        <v>18000</v>
      </c>
      <c r="X473" s="406">
        <v>15727.5</v>
      </c>
      <c r="Y473" s="425"/>
      <c r="Z473" s="71"/>
      <c r="AA473" s="426">
        <v>2227.5</v>
      </c>
      <c r="AB473" s="431">
        <v>0</v>
      </c>
      <c r="AC473" s="431">
        <v>0</v>
      </c>
      <c r="AD473" s="428">
        <v>0</v>
      </c>
      <c r="AE473" s="429">
        <v>1.86</v>
      </c>
      <c r="AF473" s="429">
        <v>388.92</v>
      </c>
      <c r="AG473" s="363">
        <v>1500</v>
      </c>
      <c r="AH473" s="363">
        <v>1500</v>
      </c>
      <c r="AI473" s="363">
        <v>1500</v>
      </c>
      <c r="AJ473" s="363">
        <v>1500</v>
      </c>
      <c r="AK473" s="363">
        <v>1500</v>
      </c>
      <c r="AL473" s="363">
        <v>1500</v>
      </c>
      <c r="AM473" s="560">
        <f t="shared" si="27"/>
        <v>11618.28</v>
      </c>
      <c r="AN473" s="362">
        <f>ERP_26[[#This Row],[2026 Working Total]]-ERP_26[[#This Row],[LE2 Final Submission]]</f>
        <v>-4109.2199999999993</v>
      </c>
      <c r="AO473" s="79">
        <v>1500</v>
      </c>
      <c r="AP473" s="79">
        <f t="shared" si="28"/>
        <v>-1111.08</v>
      </c>
      <c r="AQ473" s="374">
        <f>SUM(ERP_26[[#This Row],[AP01]:[AP06]])-SUM(ERP_26[[#This Row],[AP01 LE2]:[AP06 LE2]])</f>
        <v>-4109.2199999999993</v>
      </c>
      <c r="AR473" s="80"/>
      <c r="AS473" s="79">
        <f>ERP_26[[#This Row],[2026 Working Total to Budget/LE]]-ERP_26[[#This Row],[Giveback]]</f>
        <v>-4109.2199999999993</v>
      </c>
      <c r="AT473" s="81"/>
      <c r="AU473" s="375">
        <v>2227.5</v>
      </c>
      <c r="AV473" s="375">
        <v>0</v>
      </c>
      <c r="AW473" s="375">
        <v>0</v>
      </c>
      <c r="AX473" s="375">
        <v>1500</v>
      </c>
      <c r="AY473" s="375">
        <v>1500</v>
      </c>
      <c r="AZ473" s="375">
        <v>1500</v>
      </c>
      <c r="BA473" s="375">
        <v>1500</v>
      </c>
      <c r="BB473" s="375">
        <v>1500</v>
      </c>
      <c r="BC473" s="375">
        <v>1500</v>
      </c>
      <c r="BD473" s="375">
        <v>1500</v>
      </c>
      <c r="BE473" s="375">
        <v>1500</v>
      </c>
      <c r="BF473" s="375">
        <v>1500</v>
      </c>
      <c r="BG473" s="375">
        <v>15727.5</v>
      </c>
      <c r="BH473" s="79">
        <v>2227.5</v>
      </c>
      <c r="BI473" s="79">
        <v>0</v>
      </c>
      <c r="BJ473" s="79">
        <v>0</v>
      </c>
      <c r="BK473" s="79">
        <v>1500</v>
      </c>
      <c r="BL473" s="79">
        <v>1500</v>
      </c>
      <c r="BM473" s="79">
        <v>1500</v>
      </c>
      <c r="BN473" s="79">
        <v>1500</v>
      </c>
      <c r="BO473" s="79">
        <v>1500</v>
      </c>
      <c r="BP473" s="79">
        <v>1500</v>
      </c>
      <c r="BQ473" s="79">
        <v>1500</v>
      </c>
      <c r="BR473" s="79">
        <v>1500</v>
      </c>
      <c r="BS473" s="79">
        <v>1500</v>
      </c>
      <c r="BT473" s="79">
        <v>15727.5</v>
      </c>
    </row>
    <row r="474" spans="1:72" ht="15" customHeight="1">
      <c r="A474" s="66" t="s">
        <v>2117</v>
      </c>
      <c r="B474" s="66" t="s">
        <v>2950</v>
      </c>
      <c r="C474" s="66" t="s">
        <v>581</v>
      </c>
      <c r="D474" s="66" t="s">
        <v>2118</v>
      </c>
      <c r="E474" s="150" t="s">
        <v>1136</v>
      </c>
      <c r="F474" s="482" t="s">
        <v>1566</v>
      </c>
      <c r="G474" s="482" t="s">
        <v>1566</v>
      </c>
      <c r="H474" s="482" t="s">
        <v>1566</v>
      </c>
      <c r="I474" s="150" t="s">
        <v>1345</v>
      </c>
      <c r="J474" s="150" t="s">
        <v>1346</v>
      </c>
      <c r="K474" s="150" t="s">
        <v>1346</v>
      </c>
      <c r="L474" s="511" t="s">
        <v>389</v>
      </c>
      <c r="M474" s="392" t="s">
        <v>1855</v>
      </c>
      <c r="N474" s="343"/>
      <c r="O474" s="343"/>
      <c r="P474" s="70" t="s">
        <v>466</v>
      </c>
      <c r="Q474" s="346"/>
      <c r="R474" s="346" t="s">
        <v>1140</v>
      </c>
      <c r="S474" s="346"/>
      <c r="T474" s="150" t="s">
        <v>57</v>
      </c>
      <c r="U474" s="150"/>
      <c r="V474" s="403"/>
      <c r="W474" s="406">
        <v>60000</v>
      </c>
      <c r="X474" s="406">
        <v>76216.11</v>
      </c>
      <c r="Y474" s="425"/>
      <c r="Z474" s="71"/>
      <c r="AA474" s="426">
        <v>14407.17</v>
      </c>
      <c r="AB474" s="427">
        <v>13803.08</v>
      </c>
      <c r="AC474" s="427">
        <v>3005.86</v>
      </c>
      <c r="AD474" s="428">
        <v>15296.21</v>
      </c>
      <c r="AE474" s="429">
        <v>17035.269999999997</v>
      </c>
      <c r="AF474" s="429">
        <v>17290.900000000001</v>
      </c>
      <c r="AG474" s="363">
        <v>5000</v>
      </c>
      <c r="AH474" s="363">
        <v>5000</v>
      </c>
      <c r="AI474" s="363">
        <v>5000</v>
      </c>
      <c r="AJ474" s="363">
        <v>5000</v>
      </c>
      <c r="AK474" s="363">
        <v>5000</v>
      </c>
      <c r="AL474" s="363">
        <v>5000</v>
      </c>
      <c r="AM474" s="560">
        <f t="shared" si="27"/>
        <v>110838.48999999999</v>
      </c>
      <c r="AN474" s="362">
        <f>ERP_26[[#This Row],[2026 Working Total]]-ERP_26[[#This Row],[LE2 Final Submission]]</f>
        <v>34622.37999999999</v>
      </c>
      <c r="AO474" s="79">
        <v>5000</v>
      </c>
      <c r="AP474" s="79">
        <f t="shared" si="28"/>
        <v>12290.900000000001</v>
      </c>
      <c r="AQ474" s="374">
        <f>SUM(ERP_26[[#This Row],[AP01]:[AP06]])-SUM(ERP_26[[#This Row],[AP01 LE2]:[AP06 LE2]])</f>
        <v>34622.37999999999</v>
      </c>
      <c r="AR474" s="80"/>
      <c r="AS474" s="79">
        <f>ERP_26[[#This Row],[2026 Working Total to Budget/LE]]-ERP_26[[#This Row],[Giveback]]</f>
        <v>34622.37999999999</v>
      </c>
      <c r="AT474" s="81"/>
      <c r="AU474" s="375">
        <v>14407.17</v>
      </c>
      <c r="AV474" s="375">
        <v>13803.08</v>
      </c>
      <c r="AW474" s="375">
        <v>3005.86</v>
      </c>
      <c r="AX474" s="375">
        <v>5000</v>
      </c>
      <c r="AY474" s="375">
        <v>5000</v>
      </c>
      <c r="AZ474" s="375">
        <v>5000</v>
      </c>
      <c r="BA474" s="375">
        <v>5000</v>
      </c>
      <c r="BB474" s="375">
        <v>5000</v>
      </c>
      <c r="BC474" s="375">
        <v>5000</v>
      </c>
      <c r="BD474" s="375">
        <v>5000</v>
      </c>
      <c r="BE474" s="375">
        <v>5000</v>
      </c>
      <c r="BF474" s="375">
        <v>5000</v>
      </c>
      <c r="BG474" s="375">
        <v>76216.11</v>
      </c>
      <c r="BH474" s="79">
        <v>14407.17</v>
      </c>
      <c r="BI474" s="79">
        <v>13803.08</v>
      </c>
      <c r="BJ474" s="79">
        <v>3005.86</v>
      </c>
      <c r="BK474" s="79">
        <v>5000</v>
      </c>
      <c r="BL474" s="79">
        <v>5000</v>
      </c>
      <c r="BM474" s="79">
        <v>5000</v>
      </c>
      <c r="BN474" s="79">
        <v>5000</v>
      </c>
      <c r="BO474" s="79">
        <v>5000</v>
      </c>
      <c r="BP474" s="79">
        <v>5000</v>
      </c>
      <c r="BQ474" s="79">
        <v>5000</v>
      </c>
      <c r="BR474" s="79">
        <v>5000</v>
      </c>
      <c r="BS474" s="79">
        <v>5000</v>
      </c>
      <c r="BT474" s="79">
        <v>76216.11</v>
      </c>
    </row>
    <row r="475" spans="1:72" ht="15" customHeight="1">
      <c r="A475" s="66" t="s">
        <v>2122</v>
      </c>
      <c r="B475" s="66"/>
      <c r="C475" s="66" t="s">
        <v>582</v>
      </c>
      <c r="D475" s="66" t="s">
        <v>2123</v>
      </c>
      <c r="E475" s="150" t="s">
        <v>1136</v>
      </c>
      <c r="F475" s="482" t="s">
        <v>1566</v>
      </c>
      <c r="G475" s="482" t="s">
        <v>1566</v>
      </c>
      <c r="H475" s="482" t="s">
        <v>1566</v>
      </c>
      <c r="I475" s="150" t="s">
        <v>1345</v>
      </c>
      <c r="J475" s="150" t="s">
        <v>1346</v>
      </c>
      <c r="K475" s="150" t="s">
        <v>1346</v>
      </c>
      <c r="L475" s="511" t="s">
        <v>389</v>
      </c>
      <c r="M475" s="392" t="s">
        <v>2124</v>
      </c>
      <c r="N475" s="343"/>
      <c r="O475" s="343"/>
      <c r="P475" s="70" t="s">
        <v>583</v>
      </c>
      <c r="Q475" s="346"/>
      <c r="R475" s="343"/>
      <c r="S475" s="346"/>
      <c r="T475" s="150" t="s">
        <v>25</v>
      </c>
      <c r="U475" s="150"/>
      <c r="V475" s="403"/>
      <c r="W475" s="406">
        <v>4032</v>
      </c>
      <c r="X475" s="406">
        <v>3024</v>
      </c>
      <c r="Y475" s="425"/>
      <c r="Z475" s="71"/>
      <c r="AA475" s="426"/>
      <c r="AB475" s="427"/>
      <c r="AC475" s="427"/>
      <c r="AD475" s="428" t="s">
        <v>1142</v>
      </c>
      <c r="AE475" s="429">
        <v>0</v>
      </c>
      <c r="AF475" s="429">
        <v>0</v>
      </c>
      <c r="AG475" s="363">
        <v>336</v>
      </c>
      <c r="AH475" s="363">
        <v>336</v>
      </c>
      <c r="AI475" s="363">
        <v>336</v>
      </c>
      <c r="AJ475" s="363">
        <v>336</v>
      </c>
      <c r="AK475" s="363">
        <v>336</v>
      </c>
      <c r="AL475" s="363">
        <v>336</v>
      </c>
      <c r="AM475" s="360">
        <f t="shared" si="27"/>
        <v>2016</v>
      </c>
      <c r="AN475" s="362">
        <f>ERP_26[[#This Row],[2026 Working Total]]-ERP_26[[#This Row],[LE2 Final Submission]]</f>
        <v>-1008</v>
      </c>
      <c r="AO475" s="79">
        <v>336</v>
      </c>
      <c r="AP475" s="79">
        <f t="shared" si="28"/>
        <v>-336</v>
      </c>
      <c r="AQ475" s="374">
        <f>SUM(ERP_26[[#This Row],[AP01]:[AP06]])-SUM(ERP_26[[#This Row],[AP01 LE2]:[AP06 LE2]])</f>
        <v>-1008</v>
      </c>
      <c r="AR475" s="80"/>
      <c r="AS475" s="79">
        <f>ERP_26[[#This Row],[2026 Working Total to Budget/LE]]-ERP_26[[#This Row],[Giveback]]</f>
        <v>-1008</v>
      </c>
      <c r="AT475" s="81"/>
      <c r="AU475" s="375"/>
      <c r="AV475" s="375"/>
      <c r="AW475" s="375"/>
      <c r="AX475" s="375">
        <v>336</v>
      </c>
      <c r="AY475" s="375">
        <v>336</v>
      </c>
      <c r="AZ475" s="375">
        <v>336</v>
      </c>
      <c r="BA475" s="375">
        <v>336</v>
      </c>
      <c r="BB475" s="375">
        <v>336</v>
      </c>
      <c r="BC475" s="375">
        <v>336</v>
      </c>
      <c r="BD475" s="375">
        <v>336</v>
      </c>
      <c r="BE475" s="375">
        <v>336</v>
      </c>
      <c r="BF475" s="375">
        <v>336</v>
      </c>
      <c r="BG475" s="375">
        <v>3024</v>
      </c>
      <c r="BH475" s="79"/>
      <c r="BI475" s="79"/>
      <c r="BJ475" s="79"/>
      <c r="BK475" s="79">
        <v>336</v>
      </c>
      <c r="BL475" s="79">
        <v>336</v>
      </c>
      <c r="BM475" s="79">
        <v>336</v>
      </c>
      <c r="BN475" s="79">
        <v>336</v>
      </c>
      <c r="BO475" s="79">
        <v>336</v>
      </c>
      <c r="BP475" s="79">
        <v>336</v>
      </c>
      <c r="BQ475" s="79">
        <v>336</v>
      </c>
      <c r="BR475" s="79">
        <v>336</v>
      </c>
      <c r="BS475" s="79">
        <v>336</v>
      </c>
      <c r="BT475" s="79">
        <v>3024</v>
      </c>
    </row>
    <row r="476" spans="1:72" ht="15" customHeight="1">
      <c r="A476" s="66" t="s">
        <v>1940</v>
      </c>
      <c r="B476" s="66"/>
      <c r="C476" s="66" t="s">
        <v>584</v>
      </c>
      <c r="D476" s="66" t="s">
        <v>1941</v>
      </c>
      <c r="E476" s="150" t="s">
        <v>1136</v>
      </c>
      <c r="F476" s="482" t="s">
        <v>1566</v>
      </c>
      <c r="G476" s="482" t="s">
        <v>1566</v>
      </c>
      <c r="H476" s="482" t="s">
        <v>1566</v>
      </c>
      <c r="I476" s="150" t="s">
        <v>1345</v>
      </c>
      <c r="J476" s="150" t="s">
        <v>1346</v>
      </c>
      <c r="K476" s="150" t="s">
        <v>1346</v>
      </c>
      <c r="L476" s="511" t="s">
        <v>389</v>
      </c>
      <c r="M476" s="392" t="s">
        <v>1942</v>
      </c>
      <c r="N476" s="343"/>
      <c r="O476" s="343"/>
      <c r="P476" s="70" t="s">
        <v>585</v>
      </c>
      <c r="Q476" s="346"/>
      <c r="R476" s="346" t="s">
        <v>1140</v>
      </c>
      <c r="S476" s="346"/>
      <c r="T476" s="150" t="s">
        <v>57</v>
      </c>
      <c r="U476" s="150"/>
      <c r="V476" s="403"/>
      <c r="W476" s="406">
        <v>0</v>
      </c>
      <c r="X476" s="406">
        <v>31176.729999999992</v>
      </c>
      <c r="Y476" s="430"/>
      <c r="Z476" s="137"/>
      <c r="AA476" s="426"/>
      <c r="AB476" s="427"/>
      <c r="AC476" s="427">
        <v>5547.34</v>
      </c>
      <c r="AD476" s="428">
        <v>0</v>
      </c>
      <c r="AE476" s="429">
        <v>112.07</v>
      </c>
      <c r="AF476" s="429">
        <v>112.07</v>
      </c>
      <c r="AG476" s="360">
        <v>2847.71</v>
      </c>
      <c r="AH476" s="360">
        <v>2847.71</v>
      </c>
      <c r="AI476" s="360">
        <v>2847.71</v>
      </c>
      <c r="AJ476" s="360">
        <v>2847.71</v>
      </c>
      <c r="AK476" s="360">
        <v>2847.71</v>
      </c>
      <c r="AL476" s="360">
        <v>2847.71</v>
      </c>
      <c r="AM476" s="360">
        <f t="shared" si="27"/>
        <v>22857.739999999994</v>
      </c>
      <c r="AN476" s="362">
        <f>ERP_26[[#This Row],[2026 Working Total]]-ERP_26[[#This Row],[LE2 Final Submission]]</f>
        <v>-8318.989999999998</v>
      </c>
      <c r="AO476" s="79">
        <v>2847.71</v>
      </c>
      <c r="AP476" s="79">
        <f t="shared" si="28"/>
        <v>-2735.64</v>
      </c>
      <c r="AQ476" s="374">
        <f>SUM(ERP_26[[#This Row],[AP01]:[AP06]])-SUM(ERP_26[[#This Row],[AP01 LE2]:[AP06 LE2]])</f>
        <v>-8318.989999999998</v>
      </c>
      <c r="AR476" s="80"/>
      <c r="AS476" s="79">
        <f>ERP_26[[#This Row],[2026 Working Total to Budget/LE]]-ERP_26[[#This Row],[Giveback]]</f>
        <v>-8318.989999999998</v>
      </c>
      <c r="AT476" s="81"/>
      <c r="AU476" s="375"/>
      <c r="AV476" s="375"/>
      <c r="AW476" s="375">
        <v>5547.34</v>
      </c>
      <c r="AX476" s="375">
        <v>2847.71</v>
      </c>
      <c r="AY476" s="375">
        <v>2847.71</v>
      </c>
      <c r="AZ476" s="375">
        <v>2847.71</v>
      </c>
      <c r="BA476" s="375">
        <v>2847.71</v>
      </c>
      <c r="BB476" s="375">
        <v>2847.71</v>
      </c>
      <c r="BC476" s="375">
        <v>2847.71</v>
      </c>
      <c r="BD476" s="375">
        <v>2847.71</v>
      </c>
      <c r="BE476" s="375">
        <v>2847.71</v>
      </c>
      <c r="BF476" s="375">
        <v>2847.71</v>
      </c>
      <c r="BG476" s="375">
        <v>31176.729999999992</v>
      </c>
      <c r="BH476" s="79"/>
      <c r="BI476" s="79"/>
      <c r="BJ476" s="79">
        <v>5547.34</v>
      </c>
      <c r="BK476" s="79">
        <v>0</v>
      </c>
      <c r="BL476" s="79">
        <v>0</v>
      </c>
      <c r="BM476" s="79">
        <v>0</v>
      </c>
      <c r="BN476" s="79">
        <v>0</v>
      </c>
      <c r="BO476" s="79">
        <v>0</v>
      </c>
      <c r="BP476" s="79">
        <v>0</v>
      </c>
      <c r="BQ476" s="79">
        <v>0</v>
      </c>
      <c r="BR476" s="79">
        <v>0</v>
      </c>
      <c r="BS476" s="79">
        <v>0</v>
      </c>
      <c r="BT476" s="79">
        <v>5547.34</v>
      </c>
    </row>
    <row r="477" spans="1:72" ht="15" customHeight="1">
      <c r="A477" s="66" t="s">
        <v>2125</v>
      </c>
      <c r="B477" s="66"/>
      <c r="C477" s="66" t="s">
        <v>586</v>
      </c>
      <c r="D477" s="66" t="s">
        <v>2126</v>
      </c>
      <c r="E477" s="150" t="s">
        <v>1136</v>
      </c>
      <c r="F477" s="482" t="s">
        <v>1566</v>
      </c>
      <c r="G477" s="150" t="s">
        <v>1566</v>
      </c>
      <c r="H477" s="150" t="s">
        <v>1566</v>
      </c>
      <c r="I477" s="150" t="s">
        <v>1567</v>
      </c>
      <c r="J477" s="150" t="s">
        <v>1567</v>
      </c>
      <c r="K477" s="150" t="s">
        <v>1567</v>
      </c>
      <c r="L477" s="511" t="s">
        <v>389</v>
      </c>
      <c r="M477" s="392" t="s">
        <v>2127</v>
      </c>
      <c r="N477" s="343"/>
      <c r="O477" s="343"/>
      <c r="P477" s="70" t="s">
        <v>587</v>
      </c>
      <c r="Q477" s="346"/>
      <c r="R477" s="343"/>
      <c r="S477" s="346"/>
      <c r="T477" s="150" t="s">
        <v>25</v>
      </c>
      <c r="U477" s="150"/>
      <c r="V477" s="403"/>
      <c r="W477" s="406">
        <v>0</v>
      </c>
      <c r="X477" s="406">
        <v>21.89</v>
      </c>
      <c r="Y477" s="425"/>
      <c r="Z477" s="71"/>
      <c r="AA477" s="426">
        <v>11.06</v>
      </c>
      <c r="AB477" s="427">
        <v>5.54</v>
      </c>
      <c r="AC477" s="427">
        <v>5.29</v>
      </c>
      <c r="AD477" s="428">
        <v>5.5299999999999994</v>
      </c>
      <c r="AE477" s="429">
        <v>5.33</v>
      </c>
      <c r="AF477" s="429">
        <v>5.5299999999999994</v>
      </c>
      <c r="AG477" s="360">
        <v>0</v>
      </c>
      <c r="AH477" s="360">
        <v>0</v>
      </c>
      <c r="AI477" s="360">
        <v>0</v>
      </c>
      <c r="AJ477" s="360">
        <v>0</v>
      </c>
      <c r="AK477" s="360">
        <v>0</v>
      </c>
      <c r="AL477" s="360">
        <v>0</v>
      </c>
      <c r="AM477" s="360">
        <f t="shared" si="27"/>
        <v>38.28</v>
      </c>
      <c r="AN477" s="362">
        <f>ERP_26[[#This Row],[2026 Working Total]]-ERP_26[[#This Row],[LE2 Final Submission]]</f>
        <v>16.39</v>
      </c>
      <c r="AO477" s="79">
        <v>0</v>
      </c>
      <c r="AP477" s="79">
        <f t="shared" si="28"/>
        <v>5.5299999999999994</v>
      </c>
      <c r="AQ477" s="374">
        <f>SUM(ERP_26[[#This Row],[AP01]:[AP06]])-SUM(ERP_26[[#This Row],[AP01 LE2]:[AP06 LE2]])</f>
        <v>16.39</v>
      </c>
      <c r="AR477" s="80"/>
      <c r="AS477" s="79">
        <f>ERP_26[[#This Row],[2026 Working Total to Budget/LE]]-ERP_26[[#This Row],[Giveback]]</f>
        <v>16.39</v>
      </c>
      <c r="AT477" s="81"/>
      <c r="AU477" s="375">
        <v>11.06</v>
      </c>
      <c r="AV477" s="375">
        <v>5.54</v>
      </c>
      <c r="AW477" s="375">
        <v>5.29</v>
      </c>
      <c r="AX477" s="375">
        <v>0</v>
      </c>
      <c r="AY477" s="375">
        <v>0</v>
      </c>
      <c r="AZ477" s="375">
        <v>0</v>
      </c>
      <c r="BA477" s="375">
        <v>0</v>
      </c>
      <c r="BB477" s="375">
        <v>0</v>
      </c>
      <c r="BC477" s="375">
        <v>0</v>
      </c>
      <c r="BD477" s="375">
        <v>0</v>
      </c>
      <c r="BE477" s="375">
        <v>0</v>
      </c>
      <c r="BF477" s="375">
        <v>0</v>
      </c>
      <c r="BG477" s="375">
        <v>21.89</v>
      </c>
      <c r="BH477" s="79">
        <v>11.06</v>
      </c>
      <c r="BI477" s="79">
        <v>5.54</v>
      </c>
      <c r="BJ477" s="79">
        <v>5.29</v>
      </c>
      <c r="BK477" s="79">
        <v>0</v>
      </c>
      <c r="BL477" s="79">
        <v>0</v>
      </c>
      <c r="BM477" s="79">
        <v>0</v>
      </c>
      <c r="BN477" s="79">
        <v>0</v>
      </c>
      <c r="BO477" s="79">
        <v>0</v>
      </c>
      <c r="BP477" s="79">
        <v>0</v>
      </c>
      <c r="BQ477" s="79">
        <v>0</v>
      </c>
      <c r="BR477" s="79">
        <v>0</v>
      </c>
      <c r="BS477" s="79">
        <v>0</v>
      </c>
      <c r="BT477" s="79">
        <v>21.89</v>
      </c>
    </row>
    <row r="478" spans="1:72" ht="15" customHeight="1">
      <c r="A478" s="66" t="s">
        <v>2134</v>
      </c>
      <c r="B478" s="66"/>
      <c r="C478" s="66" t="s">
        <v>589</v>
      </c>
      <c r="D478" s="66" t="s">
        <v>2135</v>
      </c>
      <c r="E478" s="150" t="s">
        <v>1136</v>
      </c>
      <c r="F478" s="482" t="s">
        <v>1566</v>
      </c>
      <c r="G478" s="150" t="s">
        <v>1566</v>
      </c>
      <c r="H478" s="150" t="s">
        <v>1566</v>
      </c>
      <c r="I478" s="150" t="s">
        <v>1567</v>
      </c>
      <c r="J478" s="150" t="s">
        <v>1567</v>
      </c>
      <c r="K478" s="150" t="s">
        <v>1567</v>
      </c>
      <c r="L478" s="511" t="s">
        <v>389</v>
      </c>
      <c r="M478" s="392" t="s">
        <v>2136</v>
      </c>
      <c r="N478" s="343"/>
      <c r="O478" s="343"/>
      <c r="P478" s="70" t="s">
        <v>590</v>
      </c>
      <c r="Q478" s="346"/>
      <c r="R478" s="343"/>
      <c r="S478" s="346"/>
      <c r="T478" s="150" t="s">
        <v>44</v>
      </c>
      <c r="U478" s="150"/>
      <c r="V478" s="403"/>
      <c r="W478" s="406">
        <v>-338500</v>
      </c>
      <c r="X478" s="406">
        <v>-435500</v>
      </c>
      <c r="Y478" s="425"/>
      <c r="Z478" s="71"/>
      <c r="AA478" s="426"/>
      <c r="AB478" s="427"/>
      <c r="AC478" s="427"/>
      <c r="AD478" s="428" t="s">
        <v>1142</v>
      </c>
      <c r="AE478" s="429">
        <v>0</v>
      </c>
      <c r="AF478" s="429">
        <v>0</v>
      </c>
      <c r="AG478" s="360">
        <v>0</v>
      </c>
      <c r="AH478" s="360">
        <v>0</v>
      </c>
      <c r="AI478" s="363">
        <v>-203100</v>
      </c>
      <c r="AJ478" s="360">
        <v>0</v>
      </c>
      <c r="AK478" s="360">
        <v>0</v>
      </c>
      <c r="AL478" s="363">
        <v>-97000</v>
      </c>
      <c r="AM478" s="360">
        <f t="shared" si="27"/>
        <v>-300100</v>
      </c>
      <c r="AN478" s="362">
        <f>ERP_26[[#This Row],[2026 Working Total]]-ERP_26[[#This Row],[LE2 Final Submission]]</f>
        <v>135400</v>
      </c>
      <c r="AO478" s="79"/>
      <c r="AP478" s="79">
        <f t="shared" si="28"/>
        <v>0</v>
      </c>
      <c r="AQ478" s="374">
        <f>SUM(ERP_26[[#This Row],[AP01]:[AP06]])-SUM(ERP_26[[#This Row],[AP01 LE2]:[AP06 LE2]])</f>
        <v>135400</v>
      </c>
      <c r="AR478" s="80"/>
      <c r="AS478" s="79">
        <f>ERP_26[[#This Row],[2026 Working Total to Budget/LE]]-ERP_26[[#This Row],[Giveback]]</f>
        <v>135400</v>
      </c>
      <c r="AT478" s="81"/>
      <c r="AU478" s="375"/>
      <c r="AV478" s="375"/>
      <c r="AW478" s="375"/>
      <c r="AX478" s="375"/>
      <c r="AY478" s="375"/>
      <c r="AZ478" s="375">
        <v>-135400</v>
      </c>
      <c r="BA478" s="375">
        <v>0</v>
      </c>
      <c r="BB478" s="375">
        <v>0</v>
      </c>
      <c r="BC478" s="375">
        <v>-203100</v>
      </c>
      <c r="BD478" s="375">
        <v>0</v>
      </c>
      <c r="BE478" s="375">
        <v>0</v>
      </c>
      <c r="BF478" s="375">
        <v>-97000</v>
      </c>
      <c r="BG478" s="375">
        <v>-435500</v>
      </c>
      <c r="BH478" s="79"/>
      <c r="BI478" s="79"/>
      <c r="BJ478" s="79"/>
      <c r="BK478" s="79"/>
      <c r="BL478" s="79"/>
      <c r="BM478" s="79">
        <v>-135400</v>
      </c>
      <c r="BN478" s="79">
        <v>0</v>
      </c>
      <c r="BO478" s="79">
        <v>0</v>
      </c>
      <c r="BP478" s="79">
        <v>-203100</v>
      </c>
      <c r="BQ478" s="79">
        <v>0</v>
      </c>
      <c r="BR478" s="79">
        <v>0</v>
      </c>
      <c r="BS478" s="79">
        <v>-97000</v>
      </c>
      <c r="BT478" s="79">
        <v>-435500</v>
      </c>
    </row>
    <row r="479" spans="1:72" ht="15" customHeight="1">
      <c r="A479" s="66" t="s">
        <v>2137</v>
      </c>
      <c r="B479" s="66"/>
      <c r="C479" s="66" t="s">
        <v>591</v>
      </c>
      <c r="D479" s="66" t="s">
        <v>2138</v>
      </c>
      <c r="E479" s="150" t="s">
        <v>1136</v>
      </c>
      <c r="F479" s="482" t="s">
        <v>1566</v>
      </c>
      <c r="G479" s="482" t="s">
        <v>1566</v>
      </c>
      <c r="H479" s="482" t="s">
        <v>1566</v>
      </c>
      <c r="I479" s="150" t="s">
        <v>1345</v>
      </c>
      <c r="J479" s="150" t="s">
        <v>1346</v>
      </c>
      <c r="K479" s="150" t="s">
        <v>1346</v>
      </c>
      <c r="L479" s="511" t="s">
        <v>389</v>
      </c>
      <c r="M479" s="392" t="s">
        <v>1648</v>
      </c>
      <c r="N479" s="343"/>
      <c r="O479" s="343"/>
      <c r="P479" s="70" t="s">
        <v>323</v>
      </c>
      <c r="Q479" s="346"/>
      <c r="R479" s="343"/>
      <c r="S479" s="346"/>
      <c r="T479" s="150" t="s">
        <v>25</v>
      </c>
      <c r="U479" s="150"/>
      <c r="V479" s="403"/>
      <c r="W479" s="406">
        <v>0</v>
      </c>
      <c r="X479" s="406">
        <v>356.72</v>
      </c>
      <c r="Y479" s="425"/>
      <c r="Z479" s="71"/>
      <c r="AA479" s="426"/>
      <c r="AB479" s="427">
        <v>356.72</v>
      </c>
      <c r="AC479" s="431">
        <v>0</v>
      </c>
      <c r="AD479" s="428" t="s">
        <v>1142</v>
      </c>
      <c r="AE479" s="429">
        <v>0</v>
      </c>
      <c r="AF479" s="429">
        <v>0</v>
      </c>
      <c r="AG479" s="360">
        <v>0</v>
      </c>
      <c r="AH479" s="360">
        <v>0</v>
      </c>
      <c r="AI479" s="360">
        <v>0</v>
      </c>
      <c r="AJ479" s="360">
        <v>0</v>
      </c>
      <c r="AK479" s="360">
        <v>0</v>
      </c>
      <c r="AL479" s="360">
        <v>0</v>
      </c>
      <c r="AM479" s="360">
        <f t="shared" si="27"/>
        <v>356.72</v>
      </c>
      <c r="AN479" s="362">
        <f>ERP_26[[#This Row],[2026 Working Total]]-ERP_26[[#This Row],[LE2 Final Submission]]</f>
        <v>0</v>
      </c>
      <c r="AO479" s="79">
        <v>0</v>
      </c>
      <c r="AP479" s="79">
        <f t="shared" si="28"/>
        <v>0</v>
      </c>
      <c r="AQ479" s="374">
        <f>SUM(ERP_26[[#This Row],[AP01]:[AP06]])-SUM(ERP_26[[#This Row],[AP01 LE2]:[AP06 LE2]])</f>
        <v>0</v>
      </c>
      <c r="AR479" s="80"/>
      <c r="AS479" s="79">
        <f>ERP_26[[#This Row],[2026 Working Total to Budget/LE]]-ERP_26[[#This Row],[Giveback]]</f>
        <v>0</v>
      </c>
      <c r="AT479" s="81"/>
      <c r="AU479" s="375"/>
      <c r="AV479" s="375">
        <v>356.72</v>
      </c>
      <c r="AW479" s="375">
        <v>0</v>
      </c>
      <c r="AX479" s="375">
        <v>0</v>
      </c>
      <c r="AY479" s="375">
        <v>0</v>
      </c>
      <c r="AZ479" s="375">
        <v>0</v>
      </c>
      <c r="BA479" s="375">
        <v>0</v>
      </c>
      <c r="BB479" s="375">
        <v>0</v>
      </c>
      <c r="BC479" s="375">
        <v>0</v>
      </c>
      <c r="BD479" s="375">
        <v>0</v>
      </c>
      <c r="BE479" s="375">
        <v>0</v>
      </c>
      <c r="BF479" s="375">
        <v>0</v>
      </c>
      <c r="BG479" s="375">
        <v>356.72</v>
      </c>
      <c r="BH479" s="79"/>
      <c r="BI479" s="79">
        <v>356.72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356.72</v>
      </c>
    </row>
    <row r="480" spans="1:72" ht="15" customHeight="1">
      <c r="A480" s="79" t="s">
        <v>2170</v>
      </c>
      <c r="B480" s="79"/>
      <c r="C480" s="79" t="s">
        <v>618</v>
      </c>
      <c r="D480" s="296" t="s">
        <v>2171</v>
      </c>
      <c r="E480" s="150" t="s">
        <v>1136</v>
      </c>
      <c r="F480" s="482" t="s">
        <v>1566</v>
      </c>
      <c r="G480" s="150" t="s">
        <v>1566</v>
      </c>
      <c r="H480" s="150" t="s">
        <v>1566</v>
      </c>
      <c r="I480" s="332" t="s">
        <v>1567</v>
      </c>
      <c r="J480" s="332" t="s">
        <v>1567</v>
      </c>
      <c r="K480" s="150" t="s">
        <v>1567</v>
      </c>
      <c r="L480" s="514" t="s">
        <v>602</v>
      </c>
      <c r="M480" s="394" t="s">
        <v>2172</v>
      </c>
      <c r="N480" s="343"/>
      <c r="O480" s="333"/>
      <c r="P480" s="90"/>
      <c r="Q480" s="347"/>
      <c r="R480" s="343"/>
      <c r="S480" s="348"/>
      <c r="T480" s="348"/>
      <c r="U480" s="348" t="s">
        <v>2173</v>
      </c>
      <c r="V480" s="402"/>
      <c r="W480" s="358"/>
      <c r="X480" s="379">
        <v>-6407318.4800000004</v>
      </c>
      <c r="Y480" s="425"/>
      <c r="Z480" s="71"/>
      <c r="AA480" s="435"/>
      <c r="AB480" s="436"/>
      <c r="AC480" s="436"/>
      <c r="AD480" s="428" t="s">
        <v>1142</v>
      </c>
      <c r="AE480" s="429">
        <v>0</v>
      </c>
      <c r="AF480" s="429">
        <v>0</v>
      </c>
      <c r="AG480" s="364"/>
      <c r="AH480" s="364"/>
      <c r="AI480" s="364">
        <v>-1601829.62</v>
      </c>
      <c r="AJ480" s="364">
        <v>-1601829.62</v>
      </c>
      <c r="AK480" s="364">
        <v>-1601829.62</v>
      </c>
      <c r="AL480" s="364">
        <v>-1601829.62</v>
      </c>
      <c r="AM480" s="360">
        <f t="shared" si="27"/>
        <v>-6407318.4800000004</v>
      </c>
      <c r="AN480" s="362">
        <f>ERP_26[[#This Row],[2026 Working Total]]-ERP_26[[#This Row],[LE2 Final Submission]]</f>
        <v>0</v>
      </c>
      <c r="AO480" s="79"/>
      <c r="AP480" s="79">
        <f t="shared" si="28"/>
        <v>0</v>
      </c>
      <c r="AQ480" s="374">
        <f>SUM(ERP_26[[#This Row],[AP01]:[AP06]])-SUM(ERP_26[[#This Row],[AP01 LE2]:[AP06 LE2]])</f>
        <v>0</v>
      </c>
      <c r="AR480" s="80"/>
      <c r="AS480" s="79">
        <f>ERP_26[[#This Row],[2026 Working Total to Budget/LE]]-ERP_26[[#This Row],[Giveback]]</f>
        <v>0</v>
      </c>
      <c r="AT480" s="81"/>
      <c r="AU480" s="375"/>
      <c r="AV480" s="375"/>
      <c r="AW480" s="375"/>
      <c r="AX480" s="375"/>
      <c r="AY480" s="375"/>
      <c r="AZ480" s="375"/>
      <c r="BA480" s="375"/>
      <c r="BB480" s="375"/>
      <c r="BC480" s="375">
        <v>-1601829.62</v>
      </c>
      <c r="BD480" s="375">
        <v>-1601829.62</v>
      </c>
      <c r="BE480" s="375">
        <v>-1601829.62</v>
      </c>
      <c r="BF480" s="375">
        <v>-1601829.62</v>
      </c>
      <c r="BG480" s="375">
        <v>-6407318.4800000004</v>
      </c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</row>
    <row r="481" spans="1:72" ht="15" customHeight="1">
      <c r="A481" s="66" t="s">
        <v>2184</v>
      </c>
      <c r="B481" s="66"/>
      <c r="C481" s="66" t="s">
        <v>622</v>
      </c>
      <c r="D481" s="66" t="s">
        <v>2185</v>
      </c>
      <c r="E481" s="150" t="s">
        <v>1136</v>
      </c>
      <c r="F481" s="482" t="s">
        <v>1566</v>
      </c>
      <c r="G481" s="482" t="s">
        <v>1566</v>
      </c>
      <c r="H481" s="482" t="s">
        <v>1566</v>
      </c>
      <c r="I481" s="150" t="s">
        <v>1345</v>
      </c>
      <c r="J481" s="150" t="s">
        <v>1346</v>
      </c>
      <c r="K481" s="150" t="s">
        <v>1346</v>
      </c>
      <c r="L481" s="511" t="s">
        <v>602</v>
      </c>
      <c r="M481" s="392" t="s">
        <v>1648</v>
      </c>
      <c r="N481" s="343"/>
      <c r="O481" s="343"/>
      <c r="P481" s="70" t="s">
        <v>323</v>
      </c>
      <c r="Q481" s="346"/>
      <c r="R481" s="343"/>
      <c r="S481" s="346"/>
      <c r="T481" s="150" t="s">
        <v>25</v>
      </c>
      <c r="U481" s="150"/>
      <c r="V481" s="403"/>
      <c r="W481" s="406">
        <v>0</v>
      </c>
      <c r="X481" s="406">
        <v>220.29</v>
      </c>
      <c r="Y481" s="425"/>
      <c r="Z481" s="71"/>
      <c r="AA481" s="426"/>
      <c r="AB481" s="427">
        <v>220.29</v>
      </c>
      <c r="AC481" s="431">
        <v>0</v>
      </c>
      <c r="AD481" s="429" t="s">
        <v>1142</v>
      </c>
      <c r="AE481" s="429">
        <v>0</v>
      </c>
      <c r="AF481" s="429">
        <v>0</v>
      </c>
      <c r="AG481" s="360">
        <v>0</v>
      </c>
      <c r="AH481" s="360">
        <v>0</v>
      </c>
      <c r="AI481" s="360">
        <v>0</v>
      </c>
      <c r="AJ481" s="360">
        <v>0</v>
      </c>
      <c r="AK481" s="360">
        <v>0</v>
      </c>
      <c r="AL481" s="360">
        <v>0</v>
      </c>
      <c r="AM481" s="360">
        <f t="shared" si="27"/>
        <v>220.29</v>
      </c>
      <c r="AN481" s="362">
        <f>ERP_26[[#This Row],[2026 Working Total]]-ERP_26[[#This Row],[LE2 Final Submission]]</f>
        <v>0</v>
      </c>
      <c r="AO481" s="79">
        <v>0</v>
      </c>
      <c r="AP481" s="79">
        <f t="shared" si="28"/>
        <v>0</v>
      </c>
      <c r="AQ481" s="374">
        <f>SUM(ERP_26[[#This Row],[AP01]:[AP06]])-SUM(ERP_26[[#This Row],[AP01 LE2]:[AP06 LE2]])</f>
        <v>0</v>
      </c>
      <c r="AR481" s="80"/>
      <c r="AS481" s="79">
        <f>ERP_26[[#This Row],[2026 Working Total to Budget/LE]]-ERP_26[[#This Row],[Giveback]]</f>
        <v>0</v>
      </c>
      <c r="AT481" s="81"/>
      <c r="AU481" s="375"/>
      <c r="AV481" s="375">
        <v>220.29</v>
      </c>
      <c r="AW481" s="375">
        <v>0</v>
      </c>
      <c r="AX481" s="375">
        <v>0</v>
      </c>
      <c r="AY481" s="375">
        <v>0</v>
      </c>
      <c r="AZ481" s="375">
        <v>0</v>
      </c>
      <c r="BA481" s="375">
        <v>0</v>
      </c>
      <c r="BB481" s="375">
        <v>0</v>
      </c>
      <c r="BC481" s="375">
        <v>0</v>
      </c>
      <c r="BD481" s="375">
        <v>0</v>
      </c>
      <c r="BE481" s="375">
        <v>0</v>
      </c>
      <c r="BF481" s="375">
        <v>0</v>
      </c>
      <c r="BG481" s="375">
        <v>220.29</v>
      </c>
      <c r="BH481" s="79"/>
      <c r="BI481" s="79">
        <v>220.29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220.29</v>
      </c>
    </row>
    <row r="482" spans="1:72" ht="15" customHeight="1">
      <c r="A482" s="66" t="s">
        <v>2188</v>
      </c>
      <c r="B482" s="66"/>
      <c r="C482" s="66" t="s">
        <v>626</v>
      </c>
      <c r="D482" s="66" t="s">
        <v>2189</v>
      </c>
      <c r="E482" s="150" t="s">
        <v>1136</v>
      </c>
      <c r="F482" s="482" t="s">
        <v>1566</v>
      </c>
      <c r="G482" s="482" t="s">
        <v>1566</v>
      </c>
      <c r="H482" s="482" t="s">
        <v>1566</v>
      </c>
      <c r="I482" s="150" t="s">
        <v>1345</v>
      </c>
      <c r="J482" s="150" t="s">
        <v>1346</v>
      </c>
      <c r="K482" s="150" t="s">
        <v>1346</v>
      </c>
      <c r="L482" s="511" t="s">
        <v>625</v>
      </c>
      <c r="M482" s="392" t="s">
        <v>611</v>
      </c>
      <c r="N482" s="343"/>
      <c r="O482" s="343"/>
      <c r="P482" s="70" t="s">
        <v>610</v>
      </c>
      <c r="Q482" s="346"/>
      <c r="R482" s="343"/>
      <c r="S482" s="346"/>
      <c r="T482" s="150" t="s">
        <v>611</v>
      </c>
      <c r="U482" s="150"/>
      <c r="V482" s="403"/>
      <c r="W482" s="406">
        <v>0</v>
      </c>
      <c r="X482" s="406">
        <v>20.21</v>
      </c>
      <c r="Y482" s="430"/>
      <c r="Z482" s="137"/>
      <c r="AA482" s="426">
        <v>16.29</v>
      </c>
      <c r="AB482" s="431">
        <v>0</v>
      </c>
      <c r="AC482" s="427">
        <v>3.92</v>
      </c>
      <c r="AD482" s="428" t="s">
        <v>1142</v>
      </c>
      <c r="AE482" s="429">
        <v>0</v>
      </c>
      <c r="AF482" s="429">
        <v>0</v>
      </c>
      <c r="AG482" s="360">
        <v>0</v>
      </c>
      <c r="AH482" s="360">
        <v>0</v>
      </c>
      <c r="AI482" s="360">
        <v>0</v>
      </c>
      <c r="AJ482" s="360">
        <v>0</v>
      </c>
      <c r="AK482" s="360">
        <v>0</v>
      </c>
      <c r="AL482" s="360">
        <v>0</v>
      </c>
      <c r="AM482" s="360">
        <f t="shared" si="27"/>
        <v>20.21</v>
      </c>
      <c r="AN482" s="362">
        <f>ERP_26[[#This Row],[2026 Working Total]]-ERP_26[[#This Row],[LE2 Final Submission]]</f>
        <v>0</v>
      </c>
      <c r="AO482" s="79">
        <v>0</v>
      </c>
      <c r="AP482" s="79">
        <f t="shared" si="28"/>
        <v>0</v>
      </c>
      <c r="AQ482" s="374">
        <f>SUM(ERP_26[[#This Row],[AP01]:[AP06]])-SUM(ERP_26[[#This Row],[AP01 LE2]:[AP06 LE2]])</f>
        <v>0</v>
      </c>
      <c r="AR482" s="80"/>
      <c r="AS482" s="79">
        <f>ERP_26[[#This Row],[2026 Working Total to Budget/LE]]-ERP_26[[#This Row],[Giveback]]</f>
        <v>0</v>
      </c>
      <c r="AT482" s="81"/>
      <c r="AU482" s="375">
        <v>16.29</v>
      </c>
      <c r="AV482" s="375">
        <v>0</v>
      </c>
      <c r="AW482" s="375">
        <v>3.92</v>
      </c>
      <c r="AX482" s="375">
        <v>0</v>
      </c>
      <c r="AY482" s="375">
        <v>0</v>
      </c>
      <c r="AZ482" s="375">
        <v>0</v>
      </c>
      <c r="BA482" s="375">
        <v>0</v>
      </c>
      <c r="BB482" s="375">
        <v>0</v>
      </c>
      <c r="BC482" s="375">
        <v>0</v>
      </c>
      <c r="BD482" s="375">
        <v>0</v>
      </c>
      <c r="BE482" s="375">
        <v>0</v>
      </c>
      <c r="BF482" s="375">
        <v>0</v>
      </c>
      <c r="BG482" s="375">
        <v>20.21</v>
      </c>
      <c r="BH482" s="79">
        <v>16.29</v>
      </c>
      <c r="BI482" s="79">
        <v>0</v>
      </c>
      <c r="BJ482" s="79">
        <v>3.92</v>
      </c>
      <c r="BK482" s="79">
        <v>0</v>
      </c>
      <c r="BL482" s="79">
        <v>0</v>
      </c>
      <c r="BM482" s="79">
        <v>0</v>
      </c>
      <c r="BN482" s="79">
        <v>0</v>
      </c>
      <c r="BO482" s="79">
        <v>0</v>
      </c>
      <c r="BP482" s="79">
        <v>0</v>
      </c>
      <c r="BQ482" s="79">
        <v>0</v>
      </c>
      <c r="BR482" s="79">
        <v>0</v>
      </c>
      <c r="BS482" s="79">
        <v>0</v>
      </c>
      <c r="BT482" s="79">
        <v>20.21</v>
      </c>
    </row>
    <row r="483" spans="1:72" ht="15" customHeight="1">
      <c r="A483" s="66" t="s">
        <v>2190</v>
      </c>
      <c r="B483" s="66"/>
      <c r="C483" s="66" t="s">
        <v>627</v>
      </c>
      <c r="D483" s="66" t="s">
        <v>2191</v>
      </c>
      <c r="E483" s="150" t="s">
        <v>1136</v>
      </c>
      <c r="F483" s="482" t="s">
        <v>1566</v>
      </c>
      <c r="G483" s="482" t="s">
        <v>1566</v>
      </c>
      <c r="H483" s="482" t="s">
        <v>1566</v>
      </c>
      <c r="I483" s="150" t="s">
        <v>1345</v>
      </c>
      <c r="J483" s="150" t="s">
        <v>1346</v>
      </c>
      <c r="K483" s="150" t="s">
        <v>1346</v>
      </c>
      <c r="L483" s="511" t="s">
        <v>625</v>
      </c>
      <c r="M483" s="392" t="s">
        <v>1648</v>
      </c>
      <c r="N483" s="343"/>
      <c r="O483" s="343"/>
      <c r="P483" s="70" t="s">
        <v>323</v>
      </c>
      <c r="Q483" s="346"/>
      <c r="R483" s="343"/>
      <c r="S483" s="346"/>
      <c r="T483" s="150" t="s">
        <v>25</v>
      </c>
      <c r="U483" s="150"/>
      <c r="V483" s="403"/>
      <c r="W483" s="406">
        <v>0</v>
      </c>
      <c r="X483" s="406">
        <v>3.5</v>
      </c>
      <c r="Y483" s="425"/>
      <c r="Z483" s="71"/>
      <c r="AA483" s="426"/>
      <c r="AB483" s="427">
        <v>3.5</v>
      </c>
      <c r="AC483" s="431">
        <v>0</v>
      </c>
      <c r="AD483" s="428" t="s">
        <v>1142</v>
      </c>
      <c r="AE483" s="429">
        <v>0</v>
      </c>
      <c r="AF483" s="429">
        <v>0</v>
      </c>
      <c r="AG483" s="360">
        <v>0</v>
      </c>
      <c r="AH483" s="360">
        <v>0</v>
      </c>
      <c r="AI483" s="360">
        <v>0</v>
      </c>
      <c r="AJ483" s="360">
        <v>0</v>
      </c>
      <c r="AK483" s="360">
        <v>0</v>
      </c>
      <c r="AL483" s="360">
        <v>0</v>
      </c>
      <c r="AM483" s="360">
        <f t="shared" si="27"/>
        <v>3.5</v>
      </c>
      <c r="AN483" s="362">
        <f>ERP_26[[#This Row],[2026 Working Total]]-ERP_26[[#This Row],[LE2 Final Submission]]</f>
        <v>0</v>
      </c>
      <c r="AO483" s="79">
        <v>0</v>
      </c>
      <c r="AP483" s="79">
        <f t="shared" si="28"/>
        <v>0</v>
      </c>
      <c r="AQ483" s="374">
        <f>SUM(ERP_26[[#This Row],[AP01]:[AP06]])-SUM(ERP_26[[#This Row],[AP01 LE2]:[AP06 LE2]])</f>
        <v>0</v>
      </c>
      <c r="AR483" s="80"/>
      <c r="AS483" s="79">
        <f>ERP_26[[#This Row],[2026 Working Total to Budget/LE]]-ERP_26[[#This Row],[Giveback]]</f>
        <v>0</v>
      </c>
      <c r="AT483" s="81"/>
      <c r="AU483" s="375"/>
      <c r="AV483" s="375">
        <v>3.5</v>
      </c>
      <c r="AW483" s="375">
        <v>0</v>
      </c>
      <c r="AX483" s="375">
        <v>0</v>
      </c>
      <c r="AY483" s="375">
        <v>0</v>
      </c>
      <c r="AZ483" s="375">
        <v>0</v>
      </c>
      <c r="BA483" s="375">
        <v>0</v>
      </c>
      <c r="BB483" s="375">
        <v>0</v>
      </c>
      <c r="BC483" s="375">
        <v>0</v>
      </c>
      <c r="BD483" s="375">
        <v>0</v>
      </c>
      <c r="BE483" s="375">
        <v>0</v>
      </c>
      <c r="BF483" s="375">
        <v>0</v>
      </c>
      <c r="BG483" s="375">
        <v>3.5</v>
      </c>
      <c r="BH483" s="79"/>
      <c r="BI483" s="79">
        <v>3.5</v>
      </c>
      <c r="BJ483" s="79">
        <v>0</v>
      </c>
      <c r="BK483" s="79">
        <v>0</v>
      </c>
      <c r="BL483" s="79">
        <v>0</v>
      </c>
      <c r="BM483" s="79">
        <v>0</v>
      </c>
      <c r="BN483" s="79">
        <v>0</v>
      </c>
      <c r="BO483" s="79">
        <v>0</v>
      </c>
      <c r="BP483" s="79">
        <v>0</v>
      </c>
      <c r="BQ483" s="79">
        <v>0</v>
      </c>
      <c r="BR483" s="79">
        <v>0</v>
      </c>
      <c r="BS483" s="79">
        <v>0</v>
      </c>
      <c r="BT483" s="79">
        <v>3.5</v>
      </c>
    </row>
    <row r="484" spans="1:72" ht="15" customHeight="1">
      <c r="A484" s="66" t="s">
        <v>2199</v>
      </c>
      <c r="B484" s="66"/>
      <c r="C484" s="66" t="s">
        <v>635</v>
      </c>
      <c r="D484" s="66" t="s">
        <v>2200</v>
      </c>
      <c r="E484" s="150" t="s">
        <v>1136</v>
      </c>
      <c r="F484" s="482" t="s">
        <v>1566</v>
      </c>
      <c r="G484" s="482" t="s">
        <v>1566</v>
      </c>
      <c r="H484" s="482" t="s">
        <v>1566</v>
      </c>
      <c r="I484" s="150" t="s">
        <v>1345</v>
      </c>
      <c r="J484" s="150" t="s">
        <v>1346</v>
      </c>
      <c r="K484" s="150" t="s">
        <v>1346</v>
      </c>
      <c r="L484" s="511" t="s">
        <v>629</v>
      </c>
      <c r="M484" s="392" t="s">
        <v>1648</v>
      </c>
      <c r="N484" s="343"/>
      <c r="O484" s="343"/>
      <c r="P484" s="70" t="s">
        <v>636</v>
      </c>
      <c r="Q484" s="346"/>
      <c r="R484" s="343"/>
      <c r="S484" s="346"/>
      <c r="T484" s="150" t="s">
        <v>25</v>
      </c>
      <c r="U484" s="150"/>
      <c r="V484" s="403"/>
      <c r="W484" s="406">
        <v>0</v>
      </c>
      <c r="X484" s="406">
        <v>961.71</v>
      </c>
      <c r="Y484" s="430"/>
      <c r="Z484" s="137"/>
      <c r="AA484" s="426"/>
      <c r="AB484" s="427">
        <v>961.71</v>
      </c>
      <c r="AC484" s="431">
        <v>0</v>
      </c>
      <c r="AD484" s="428" t="s">
        <v>1142</v>
      </c>
      <c r="AE484" s="429">
        <v>0</v>
      </c>
      <c r="AF484" s="429">
        <v>0</v>
      </c>
      <c r="AG484" s="360">
        <v>0</v>
      </c>
      <c r="AH484" s="360">
        <v>0</v>
      </c>
      <c r="AI484" s="360">
        <v>0</v>
      </c>
      <c r="AJ484" s="360">
        <v>0</v>
      </c>
      <c r="AK484" s="360">
        <v>0</v>
      </c>
      <c r="AL484" s="360">
        <v>0</v>
      </c>
      <c r="AM484" s="360">
        <f t="shared" si="27"/>
        <v>961.71</v>
      </c>
      <c r="AN484" s="362">
        <f>ERP_26[[#This Row],[2026 Working Total]]-ERP_26[[#This Row],[LE2 Final Submission]]</f>
        <v>0</v>
      </c>
      <c r="AO484" s="79">
        <v>0</v>
      </c>
      <c r="AP484" s="79">
        <f t="shared" si="28"/>
        <v>0</v>
      </c>
      <c r="AQ484" s="374">
        <f>SUM(ERP_26[[#This Row],[AP01]:[AP06]])-SUM(ERP_26[[#This Row],[AP01 LE2]:[AP06 LE2]])</f>
        <v>0</v>
      </c>
      <c r="AR484" s="80"/>
      <c r="AS484" s="79">
        <f>ERP_26[[#This Row],[2026 Working Total to Budget/LE]]-ERP_26[[#This Row],[Giveback]]</f>
        <v>0</v>
      </c>
      <c r="AT484" s="81"/>
      <c r="AU484" s="375"/>
      <c r="AV484" s="375">
        <v>961.71</v>
      </c>
      <c r="AW484" s="375">
        <v>0</v>
      </c>
      <c r="AX484" s="375">
        <v>0</v>
      </c>
      <c r="AY484" s="375">
        <v>0</v>
      </c>
      <c r="AZ484" s="375">
        <v>0</v>
      </c>
      <c r="BA484" s="375">
        <v>0</v>
      </c>
      <c r="BB484" s="375">
        <v>0</v>
      </c>
      <c r="BC484" s="375">
        <v>0</v>
      </c>
      <c r="BD484" s="375">
        <v>0</v>
      </c>
      <c r="BE484" s="375">
        <v>0</v>
      </c>
      <c r="BF484" s="375">
        <v>0</v>
      </c>
      <c r="BG484" s="375">
        <v>961.71</v>
      </c>
      <c r="BH484" s="79"/>
      <c r="BI484" s="79">
        <v>961.71</v>
      </c>
      <c r="BJ484" s="79">
        <v>0</v>
      </c>
      <c r="BK484" s="79">
        <v>0</v>
      </c>
      <c r="BL484" s="79">
        <v>0</v>
      </c>
      <c r="BM484" s="79">
        <v>0</v>
      </c>
      <c r="BN484" s="79">
        <v>0</v>
      </c>
      <c r="BO484" s="79">
        <v>0</v>
      </c>
      <c r="BP484" s="79">
        <v>0</v>
      </c>
      <c r="BQ484" s="79">
        <v>0</v>
      </c>
      <c r="BR484" s="79">
        <v>0</v>
      </c>
      <c r="BS484" s="79">
        <v>0</v>
      </c>
      <c r="BT484" s="79">
        <v>961.71</v>
      </c>
    </row>
    <row r="485" spans="1:72" ht="15" customHeight="1">
      <c r="A485" s="66" t="s">
        <v>2201</v>
      </c>
      <c r="B485" s="66"/>
      <c r="C485" s="66" t="s">
        <v>637</v>
      </c>
      <c r="D485" s="66" t="s">
        <v>2202</v>
      </c>
      <c r="E485" s="150" t="s">
        <v>1136</v>
      </c>
      <c r="F485" s="482" t="s">
        <v>1566</v>
      </c>
      <c r="G485" s="482" t="s">
        <v>1566</v>
      </c>
      <c r="H485" s="482" t="s">
        <v>1566</v>
      </c>
      <c r="I485" s="150" t="s">
        <v>1345</v>
      </c>
      <c r="J485" s="150" t="s">
        <v>1346</v>
      </c>
      <c r="K485" s="150" t="s">
        <v>1346</v>
      </c>
      <c r="L485" s="511" t="s">
        <v>629</v>
      </c>
      <c r="M485" s="392" t="s">
        <v>1648</v>
      </c>
      <c r="N485" s="343"/>
      <c r="O485" s="343"/>
      <c r="P485" s="70" t="s">
        <v>323</v>
      </c>
      <c r="Q485" s="346"/>
      <c r="R485" s="343"/>
      <c r="S485" s="346"/>
      <c r="T485" s="150" t="s">
        <v>25</v>
      </c>
      <c r="U485" s="150"/>
      <c r="V485" s="403"/>
      <c r="W485" s="406">
        <v>0</v>
      </c>
      <c r="X485" s="406">
        <v>1672.26</v>
      </c>
      <c r="Y485" s="425"/>
      <c r="Z485" s="71"/>
      <c r="AA485" s="426"/>
      <c r="AB485" s="427">
        <v>1672.26</v>
      </c>
      <c r="AC485" s="431">
        <v>0</v>
      </c>
      <c r="AD485" s="428" t="s">
        <v>1142</v>
      </c>
      <c r="AE485" s="429">
        <v>0</v>
      </c>
      <c r="AF485" s="429">
        <v>0</v>
      </c>
      <c r="AG485" s="360">
        <v>0</v>
      </c>
      <c r="AH485" s="360">
        <v>0</v>
      </c>
      <c r="AI485" s="360">
        <v>0</v>
      </c>
      <c r="AJ485" s="360">
        <v>0</v>
      </c>
      <c r="AK485" s="360">
        <v>0</v>
      </c>
      <c r="AL485" s="360">
        <v>0</v>
      </c>
      <c r="AM485" s="360">
        <f t="shared" si="27"/>
        <v>1672.26</v>
      </c>
      <c r="AN485" s="362">
        <f>ERP_26[[#This Row],[2026 Working Total]]-ERP_26[[#This Row],[LE2 Final Submission]]</f>
        <v>0</v>
      </c>
      <c r="AO485" s="79">
        <v>0</v>
      </c>
      <c r="AP485" s="79">
        <f t="shared" si="28"/>
        <v>0</v>
      </c>
      <c r="AQ485" s="374">
        <f>SUM(ERP_26[[#This Row],[AP01]:[AP06]])-SUM(ERP_26[[#This Row],[AP01 LE2]:[AP06 LE2]])</f>
        <v>0</v>
      </c>
      <c r="AR485" s="80"/>
      <c r="AS485" s="79">
        <f>ERP_26[[#This Row],[2026 Working Total to Budget/LE]]-ERP_26[[#This Row],[Giveback]]</f>
        <v>0</v>
      </c>
      <c r="AT485" s="81"/>
      <c r="AU485" s="375"/>
      <c r="AV485" s="375">
        <v>1672.26</v>
      </c>
      <c r="AW485" s="375">
        <v>0</v>
      </c>
      <c r="AX485" s="375">
        <v>0</v>
      </c>
      <c r="AY485" s="375">
        <v>0</v>
      </c>
      <c r="AZ485" s="375">
        <v>0</v>
      </c>
      <c r="BA485" s="375">
        <v>0</v>
      </c>
      <c r="BB485" s="375">
        <v>0</v>
      </c>
      <c r="BC485" s="375">
        <v>0</v>
      </c>
      <c r="BD485" s="375">
        <v>0</v>
      </c>
      <c r="BE485" s="375">
        <v>0</v>
      </c>
      <c r="BF485" s="375">
        <v>0</v>
      </c>
      <c r="BG485" s="375">
        <v>1672.26</v>
      </c>
      <c r="BH485" s="79"/>
      <c r="BI485" s="79">
        <v>1672.26</v>
      </c>
      <c r="BJ485" s="79">
        <v>0</v>
      </c>
      <c r="BK485" s="79">
        <v>0</v>
      </c>
      <c r="BL485" s="79">
        <v>0</v>
      </c>
      <c r="BM485" s="79">
        <v>0</v>
      </c>
      <c r="BN485" s="79">
        <v>0</v>
      </c>
      <c r="BO485" s="79">
        <v>0</v>
      </c>
      <c r="BP485" s="79">
        <v>0</v>
      </c>
      <c r="BQ485" s="79">
        <v>0</v>
      </c>
      <c r="BR485" s="79">
        <v>0</v>
      </c>
      <c r="BS485" s="79">
        <v>0</v>
      </c>
      <c r="BT485" s="79">
        <v>1672.26</v>
      </c>
    </row>
    <row r="486" spans="1:72" ht="15" customHeight="1">
      <c r="A486" s="150" t="s">
        <v>2753</v>
      </c>
      <c r="B486" s="150"/>
      <c r="C486" s="536" t="s">
        <v>988</v>
      </c>
      <c r="D486" s="296" t="s">
        <v>2754</v>
      </c>
      <c r="E486" s="150" t="s">
        <v>1136</v>
      </c>
      <c r="F486" s="482" t="s">
        <v>1566</v>
      </c>
      <c r="G486" s="150" t="s">
        <v>1566</v>
      </c>
      <c r="H486" s="150" t="s">
        <v>1566</v>
      </c>
      <c r="I486" s="150" t="s">
        <v>1567</v>
      </c>
      <c r="J486" s="150" t="s">
        <v>1567</v>
      </c>
      <c r="K486" s="150" t="s">
        <v>1567</v>
      </c>
      <c r="L486" s="511" t="s">
        <v>639</v>
      </c>
      <c r="M486" s="394" t="s">
        <v>2232</v>
      </c>
      <c r="N486" s="333"/>
      <c r="O486" s="332" t="s">
        <v>2755</v>
      </c>
      <c r="P486" s="90" t="s">
        <v>657</v>
      </c>
      <c r="Q486" s="347"/>
      <c r="R486" s="347"/>
      <c r="S486" s="348"/>
      <c r="T486" s="348"/>
      <c r="U486" s="348"/>
      <c r="V486" s="402"/>
      <c r="W486" s="406"/>
      <c r="X486" s="406"/>
      <c r="Y486" s="425"/>
      <c r="Z486" s="71"/>
      <c r="AA486" s="435"/>
      <c r="AB486" s="436"/>
      <c r="AC486" s="436"/>
      <c r="AD486" s="429">
        <v>-920.3</v>
      </c>
      <c r="AE486" s="429">
        <v>0</v>
      </c>
      <c r="AF486" s="429">
        <v>0</v>
      </c>
      <c r="AG486" s="364"/>
      <c r="AH486" s="364"/>
      <c r="AI486" s="364"/>
      <c r="AJ486" s="364"/>
      <c r="AK486" s="364"/>
      <c r="AL486" s="364"/>
      <c r="AM486" s="360">
        <f t="shared" si="27"/>
        <v>-920.3</v>
      </c>
      <c r="AN486" s="362">
        <f>ERP_26[[#This Row],[2026 Working Total]]-ERP_26[[#This Row],[LE2 Final Submission]]</f>
        <v>-920.3</v>
      </c>
      <c r="AO486" s="79">
        <v>3000</v>
      </c>
      <c r="AP486" s="79">
        <f t="shared" si="28"/>
        <v>-3000</v>
      </c>
      <c r="AQ486" s="374">
        <f>SUM(ERP_26[[#This Row],[AP01]:[AP06]])-SUM(ERP_26[[#This Row],[AP01 LE2]:[AP06 LE2]])</f>
        <v>-920.3</v>
      </c>
      <c r="AR486" s="80"/>
      <c r="AS486" s="79">
        <f>ERP_26[[#This Row],[2026 Working Total to Budget/LE]]-ERP_26[[#This Row],[Giveback]]</f>
        <v>-920.3</v>
      </c>
      <c r="AT486" s="81"/>
      <c r="AU486" s="375"/>
      <c r="AV486" s="375"/>
      <c r="AW486" s="375"/>
      <c r="AX486" s="375"/>
      <c r="AY486" s="375"/>
      <c r="AZ486" s="375"/>
      <c r="BA486" s="375"/>
      <c r="BB486" s="375"/>
      <c r="BC486" s="375"/>
      <c r="BD486" s="375"/>
      <c r="BE486" s="375"/>
      <c r="BF486" s="375"/>
      <c r="BG486" s="375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</row>
    <row r="487" spans="1:72" ht="15" customHeight="1">
      <c r="A487" s="150" t="s">
        <v>2756</v>
      </c>
      <c r="B487" s="150"/>
      <c r="C487" s="536" t="s">
        <v>989</v>
      </c>
      <c r="D487" s="296" t="s">
        <v>2757</v>
      </c>
      <c r="E487" s="150" t="s">
        <v>1136</v>
      </c>
      <c r="F487" s="482" t="s">
        <v>1566</v>
      </c>
      <c r="G487" s="150" t="s">
        <v>1566</v>
      </c>
      <c r="H487" s="150" t="s">
        <v>1566</v>
      </c>
      <c r="I487" s="150" t="s">
        <v>1567</v>
      </c>
      <c r="J487" s="150" t="s">
        <v>1567</v>
      </c>
      <c r="K487" s="150" t="s">
        <v>1567</v>
      </c>
      <c r="L487" s="511" t="s">
        <v>639</v>
      </c>
      <c r="M487" s="394" t="s">
        <v>2758</v>
      </c>
      <c r="N487" s="333"/>
      <c r="O487" s="332" t="s">
        <v>2755</v>
      </c>
      <c r="P487" s="90" t="s">
        <v>659</v>
      </c>
      <c r="Q487" s="347"/>
      <c r="R487" s="347"/>
      <c r="S487" s="348"/>
      <c r="T487" s="348"/>
      <c r="U487" s="348"/>
      <c r="V487" s="402"/>
      <c r="W487" s="406"/>
      <c r="X487" s="406"/>
      <c r="Y487" s="425"/>
      <c r="Z487" s="71"/>
      <c r="AA487" s="435"/>
      <c r="AB487" s="436"/>
      <c r="AC487" s="436"/>
      <c r="AD487" s="429">
        <v>-6115.8</v>
      </c>
      <c r="AE487" s="429">
        <v>0</v>
      </c>
      <c r="AF487" s="429">
        <v>0</v>
      </c>
      <c r="AG487" s="364"/>
      <c r="AH487" s="364"/>
      <c r="AI487" s="364"/>
      <c r="AJ487" s="364"/>
      <c r="AK487" s="364"/>
      <c r="AL487" s="364"/>
      <c r="AM487" s="360">
        <f t="shared" si="27"/>
        <v>-6115.8</v>
      </c>
      <c r="AN487" s="362">
        <f>ERP_26[[#This Row],[2026 Working Total]]-ERP_26[[#This Row],[LE2 Final Submission]]</f>
        <v>-6115.8</v>
      </c>
      <c r="AO487" s="79">
        <v>351</v>
      </c>
      <c r="AP487" s="79">
        <f t="shared" si="28"/>
        <v>-351</v>
      </c>
      <c r="AQ487" s="374">
        <f>SUM(ERP_26[[#This Row],[AP01]:[AP06]])-SUM(ERP_26[[#This Row],[AP01 LE2]:[AP06 LE2]])</f>
        <v>-6115.8</v>
      </c>
      <c r="AR487" s="80"/>
      <c r="AS487" s="79">
        <f>ERP_26[[#This Row],[2026 Working Total to Budget/LE]]-ERP_26[[#This Row],[Giveback]]</f>
        <v>-6115.8</v>
      </c>
      <c r="AT487" s="81"/>
      <c r="AU487" s="375"/>
      <c r="AV487" s="375"/>
      <c r="AW487" s="375"/>
      <c r="AX487" s="375"/>
      <c r="AY487" s="375"/>
      <c r="AZ487" s="375"/>
      <c r="BA487" s="375"/>
      <c r="BB487" s="375"/>
      <c r="BC487" s="375"/>
      <c r="BD487" s="375"/>
      <c r="BE487" s="375"/>
      <c r="BF487" s="375"/>
      <c r="BG487" s="375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</row>
    <row r="488" spans="1:72" ht="15" customHeight="1">
      <c r="A488" s="66" t="s">
        <v>2759</v>
      </c>
      <c r="B488" s="66"/>
      <c r="C488" s="66" t="s">
        <v>990</v>
      </c>
      <c r="D488" s="66" t="s">
        <v>2760</v>
      </c>
      <c r="E488" s="150" t="s">
        <v>1136</v>
      </c>
      <c r="F488" s="482" t="s">
        <v>1566</v>
      </c>
      <c r="G488" s="150" t="s">
        <v>1566</v>
      </c>
      <c r="H488" s="150" t="s">
        <v>1566</v>
      </c>
      <c r="I488" s="150" t="s">
        <v>1567</v>
      </c>
      <c r="J488" s="150" t="s">
        <v>1567</v>
      </c>
      <c r="K488" s="150" t="s">
        <v>1567</v>
      </c>
      <c r="L488" s="511" t="s">
        <v>639</v>
      </c>
      <c r="M488" s="392" t="s">
        <v>1685</v>
      </c>
      <c r="N488" s="343"/>
      <c r="O488" s="343"/>
      <c r="P488" s="70" t="s">
        <v>661</v>
      </c>
      <c r="Q488" s="346" t="s">
        <v>1139</v>
      </c>
      <c r="R488" s="346" t="s">
        <v>1140</v>
      </c>
      <c r="S488" s="346"/>
      <c r="T488" s="150" t="s">
        <v>25</v>
      </c>
      <c r="U488" s="150"/>
      <c r="V488" s="404"/>
      <c r="W488" s="407">
        <v>0</v>
      </c>
      <c r="X488" s="407">
        <v>0</v>
      </c>
      <c r="Y488" s="425"/>
      <c r="Z488" s="71"/>
      <c r="AA488" s="426">
        <v>-6074.45</v>
      </c>
      <c r="AB488" s="427">
        <v>6074.45</v>
      </c>
      <c r="AC488" s="431">
        <v>0</v>
      </c>
      <c r="AD488" s="428" t="s">
        <v>1142</v>
      </c>
      <c r="AE488" s="429">
        <v>0</v>
      </c>
      <c r="AF488" s="429">
        <v>0</v>
      </c>
      <c r="AG488" s="360">
        <v>0</v>
      </c>
      <c r="AH488" s="360">
        <v>0</v>
      </c>
      <c r="AI488" s="360">
        <v>0</v>
      </c>
      <c r="AJ488" s="360">
        <v>0</v>
      </c>
      <c r="AK488" s="360">
        <v>0</v>
      </c>
      <c r="AL488" s="360">
        <v>0</v>
      </c>
      <c r="AM488" s="360">
        <f t="shared" si="27"/>
        <v>0</v>
      </c>
      <c r="AN488" s="362">
        <f>ERP_26[[#This Row],[2026 Working Total]]-ERP_26[[#This Row],[LE2 Final Submission]]</f>
        <v>0</v>
      </c>
      <c r="AO488" s="79">
        <v>0</v>
      </c>
      <c r="AP488" s="79">
        <f t="shared" si="28"/>
        <v>0</v>
      </c>
      <c r="AQ488" s="374">
        <f>SUM(ERP_26[[#This Row],[AP01]:[AP06]])-SUM(ERP_26[[#This Row],[AP01 LE2]:[AP06 LE2]])</f>
        <v>0</v>
      </c>
      <c r="AR488" s="80"/>
      <c r="AS488" s="79">
        <f>ERP_26[[#This Row],[2026 Working Total to Budget/LE]]-ERP_26[[#This Row],[Giveback]]</f>
        <v>0</v>
      </c>
      <c r="AT488" s="81"/>
      <c r="AU488" s="375">
        <v>-6074.45</v>
      </c>
      <c r="AV488" s="375">
        <v>6074.45</v>
      </c>
      <c r="AW488" s="375">
        <v>0</v>
      </c>
      <c r="AX488" s="375">
        <v>0</v>
      </c>
      <c r="AY488" s="375">
        <v>0</v>
      </c>
      <c r="AZ488" s="375">
        <v>0</v>
      </c>
      <c r="BA488" s="375">
        <v>0</v>
      </c>
      <c r="BB488" s="375">
        <v>0</v>
      </c>
      <c r="BC488" s="375">
        <v>0</v>
      </c>
      <c r="BD488" s="375">
        <v>0</v>
      </c>
      <c r="BE488" s="375">
        <v>0</v>
      </c>
      <c r="BF488" s="375">
        <v>0</v>
      </c>
      <c r="BG488" s="375">
        <v>0</v>
      </c>
      <c r="BH488" s="79">
        <v>-6074.45</v>
      </c>
      <c r="BI488" s="79">
        <v>6074.45</v>
      </c>
      <c r="BJ488" s="79">
        <v>0</v>
      </c>
      <c r="BK488" s="79">
        <v>0</v>
      </c>
      <c r="BL488" s="79">
        <v>0</v>
      </c>
      <c r="BM488" s="79">
        <v>0</v>
      </c>
      <c r="BN488" s="79">
        <v>0</v>
      </c>
      <c r="BO488" s="79">
        <v>0</v>
      </c>
      <c r="BP488" s="79">
        <v>0</v>
      </c>
      <c r="BQ488" s="79">
        <v>0</v>
      </c>
      <c r="BR488" s="79">
        <v>0</v>
      </c>
      <c r="BS488" s="79">
        <v>0</v>
      </c>
      <c r="BT488" s="79">
        <v>0</v>
      </c>
    </row>
    <row r="489" spans="1:72" ht="15" customHeight="1">
      <c r="A489" s="66" t="s">
        <v>2761</v>
      </c>
      <c r="B489" s="66"/>
      <c r="C489" s="66" t="s">
        <v>991</v>
      </c>
      <c r="D489" s="66" t="s">
        <v>2762</v>
      </c>
      <c r="E489" s="150" t="s">
        <v>1136</v>
      </c>
      <c r="F489" s="482" t="s">
        <v>1566</v>
      </c>
      <c r="G489" s="150" t="s">
        <v>1566</v>
      </c>
      <c r="H489" s="150" t="s">
        <v>1566</v>
      </c>
      <c r="I489" s="150" t="s">
        <v>1567</v>
      </c>
      <c r="J489" s="150" t="s">
        <v>1567</v>
      </c>
      <c r="K489" s="150" t="s">
        <v>1567</v>
      </c>
      <c r="L489" s="511" t="s">
        <v>639</v>
      </c>
      <c r="M489" s="392" t="s">
        <v>1685</v>
      </c>
      <c r="N489" s="343"/>
      <c r="O489" s="343"/>
      <c r="P489" s="70" t="s">
        <v>663</v>
      </c>
      <c r="Q489" s="346" t="s">
        <v>1139</v>
      </c>
      <c r="R489" s="346" t="s">
        <v>1140</v>
      </c>
      <c r="S489" s="346"/>
      <c r="T489" s="150" t="s">
        <v>25</v>
      </c>
      <c r="U489" s="150"/>
      <c r="V489" s="404"/>
      <c r="W489" s="407">
        <v>0</v>
      </c>
      <c r="X489" s="407">
        <v>0</v>
      </c>
      <c r="Y489" s="425"/>
      <c r="Z489" s="71"/>
      <c r="AA489" s="426">
        <v>-1978.48</v>
      </c>
      <c r="AB489" s="427">
        <v>1978.48</v>
      </c>
      <c r="AC489" s="431">
        <v>0</v>
      </c>
      <c r="AD489" s="428" t="s">
        <v>1142</v>
      </c>
      <c r="AE489" s="429">
        <v>0</v>
      </c>
      <c r="AF489" s="429">
        <v>0</v>
      </c>
      <c r="AG489" s="360">
        <v>0</v>
      </c>
      <c r="AH489" s="360">
        <v>0</v>
      </c>
      <c r="AI489" s="360">
        <v>0</v>
      </c>
      <c r="AJ489" s="360">
        <v>0</v>
      </c>
      <c r="AK489" s="360">
        <v>0</v>
      </c>
      <c r="AL489" s="360">
        <v>0</v>
      </c>
      <c r="AM489" s="360">
        <f t="shared" si="27"/>
        <v>0</v>
      </c>
      <c r="AN489" s="362">
        <f>ERP_26[[#This Row],[2026 Working Total]]-ERP_26[[#This Row],[LE2 Final Submission]]</f>
        <v>0</v>
      </c>
      <c r="AO489" s="79">
        <v>333.33</v>
      </c>
      <c r="AP489" s="79">
        <f t="shared" si="28"/>
        <v>-333.33</v>
      </c>
      <c r="AQ489" s="374">
        <f>SUM(ERP_26[[#This Row],[AP01]:[AP06]])-SUM(ERP_26[[#This Row],[AP01 LE2]:[AP06 LE2]])</f>
        <v>0</v>
      </c>
      <c r="AR489" s="80"/>
      <c r="AS489" s="79">
        <f>ERP_26[[#This Row],[2026 Working Total to Budget/LE]]-ERP_26[[#This Row],[Giveback]]</f>
        <v>0</v>
      </c>
      <c r="AT489" s="81"/>
      <c r="AU489" s="375">
        <v>-1978.48</v>
      </c>
      <c r="AV489" s="375">
        <v>1978.48</v>
      </c>
      <c r="AW489" s="375">
        <v>0</v>
      </c>
      <c r="AX489" s="375">
        <v>0</v>
      </c>
      <c r="AY489" s="375">
        <v>0</v>
      </c>
      <c r="AZ489" s="375">
        <v>0</v>
      </c>
      <c r="BA489" s="375">
        <v>0</v>
      </c>
      <c r="BB489" s="375">
        <v>0</v>
      </c>
      <c r="BC489" s="375">
        <v>0</v>
      </c>
      <c r="BD489" s="375">
        <v>0</v>
      </c>
      <c r="BE489" s="375">
        <v>0</v>
      </c>
      <c r="BF489" s="375">
        <v>0</v>
      </c>
      <c r="BG489" s="375">
        <v>0</v>
      </c>
      <c r="BH489" s="79">
        <v>-1978.48</v>
      </c>
      <c r="BI489" s="79">
        <v>1978.48</v>
      </c>
      <c r="BJ489" s="79">
        <v>0</v>
      </c>
      <c r="BK489" s="79">
        <v>0</v>
      </c>
      <c r="BL489" s="79">
        <v>0</v>
      </c>
      <c r="BM489" s="79">
        <v>0</v>
      </c>
      <c r="BN489" s="79">
        <v>0</v>
      </c>
      <c r="BO489" s="79">
        <v>0</v>
      </c>
      <c r="BP489" s="79">
        <v>0</v>
      </c>
      <c r="BQ489" s="79">
        <v>0</v>
      </c>
      <c r="BR489" s="79">
        <v>0</v>
      </c>
      <c r="BS489" s="79">
        <v>0</v>
      </c>
      <c r="BT489" s="79">
        <v>0</v>
      </c>
    </row>
    <row r="490" spans="1:72" ht="15" customHeight="1">
      <c r="A490" s="66" t="s">
        <v>2763</v>
      </c>
      <c r="B490" s="66"/>
      <c r="C490" s="66" t="s">
        <v>2941</v>
      </c>
      <c r="D490" s="66" t="s">
        <v>2764</v>
      </c>
      <c r="E490" s="150" t="s">
        <v>1136</v>
      </c>
      <c r="F490" s="482" t="s">
        <v>1566</v>
      </c>
      <c r="G490" s="482" t="s">
        <v>1566</v>
      </c>
      <c r="H490" s="482" t="s">
        <v>1566</v>
      </c>
      <c r="I490" s="150" t="s">
        <v>1345</v>
      </c>
      <c r="J490" s="150" t="s">
        <v>1346</v>
      </c>
      <c r="K490" s="150" t="s">
        <v>1346</v>
      </c>
      <c r="L490" s="511" t="s">
        <v>639</v>
      </c>
      <c r="M490" s="392" t="s">
        <v>1685</v>
      </c>
      <c r="N490" s="343"/>
      <c r="O490" s="343"/>
      <c r="P490" s="70" t="s">
        <v>350</v>
      </c>
      <c r="Q490" s="346" t="s">
        <v>1139</v>
      </c>
      <c r="R490" s="346" t="s">
        <v>1140</v>
      </c>
      <c r="S490" s="346"/>
      <c r="T490" s="150" t="s">
        <v>25</v>
      </c>
      <c r="U490" s="150"/>
      <c r="V490" s="404"/>
      <c r="W490" s="407">
        <v>0</v>
      </c>
      <c r="X490" s="407">
        <v>0</v>
      </c>
      <c r="Y490" s="425"/>
      <c r="Z490" s="71"/>
      <c r="AA490" s="426">
        <v>-256.76</v>
      </c>
      <c r="AB490" s="427">
        <v>256.76</v>
      </c>
      <c r="AC490" s="431">
        <v>0</v>
      </c>
      <c r="AD490" s="428">
        <v>0</v>
      </c>
      <c r="AE490" s="429">
        <v>0</v>
      </c>
      <c r="AF490" s="429">
        <v>0</v>
      </c>
      <c r="AG490" s="360">
        <v>0</v>
      </c>
      <c r="AH490" s="360">
        <v>0</v>
      </c>
      <c r="AI490" s="360">
        <v>0</v>
      </c>
      <c r="AJ490" s="360">
        <v>0</v>
      </c>
      <c r="AK490" s="360">
        <v>0</v>
      </c>
      <c r="AL490" s="360">
        <v>0</v>
      </c>
      <c r="AM490" s="360">
        <f t="shared" si="27"/>
        <v>0</v>
      </c>
      <c r="AN490" s="362">
        <f>ERP_26[[#This Row],[2026 Working Total]]-ERP_26[[#This Row],[LE2 Final Submission]]</f>
        <v>0</v>
      </c>
      <c r="AO490" s="79">
        <v>0</v>
      </c>
      <c r="AP490" s="79">
        <f t="shared" si="28"/>
        <v>0</v>
      </c>
      <c r="AQ490" s="374">
        <f>SUM(ERP_26[[#This Row],[AP01]:[AP06]])-SUM(ERP_26[[#This Row],[AP01 LE2]:[AP06 LE2]])</f>
        <v>0</v>
      </c>
      <c r="AR490" s="80"/>
      <c r="AS490" s="79">
        <f>ERP_26[[#This Row],[2026 Working Total to Budget/LE]]-ERP_26[[#This Row],[Giveback]]</f>
        <v>0</v>
      </c>
      <c r="AT490" s="81"/>
      <c r="AU490" s="375">
        <v>-256.76</v>
      </c>
      <c r="AV490" s="375">
        <v>256.76</v>
      </c>
      <c r="AW490" s="375">
        <v>0</v>
      </c>
      <c r="AX490" s="375">
        <v>0</v>
      </c>
      <c r="AY490" s="375">
        <v>0</v>
      </c>
      <c r="AZ490" s="375">
        <v>0</v>
      </c>
      <c r="BA490" s="375">
        <v>0</v>
      </c>
      <c r="BB490" s="375">
        <v>0</v>
      </c>
      <c r="BC490" s="375">
        <v>0</v>
      </c>
      <c r="BD490" s="375">
        <v>0</v>
      </c>
      <c r="BE490" s="375">
        <v>0</v>
      </c>
      <c r="BF490" s="375">
        <v>0</v>
      </c>
      <c r="BG490" s="375">
        <v>0</v>
      </c>
      <c r="BH490" s="79">
        <v>-256.76</v>
      </c>
      <c r="BI490" s="79">
        <v>256.76</v>
      </c>
      <c r="BJ490" s="79">
        <v>0</v>
      </c>
      <c r="BK490" s="79">
        <v>0</v>
      </c>
      <c r="BL490" s="79">
        <v>0</v>
      </c>
      <c r="BM490" s="79">
        <v>0</v>
      </c>
      <c r="BN490" s="79">
        <v>0</v>
      </c>
      <c r="BO490" s="79">
        <v>0</v>
      </c>
      <c r="BP490" s="79">
        <v>0</v>
      </c>
      <c r="BQ490" s="79">
        <v>0</v>
      </c>
      <c r="BR490" s="79">
        <v>0</v>
      </c>
      <c r="BS490" s="79">
        <v>0</v>
      </c>
      <c r="BT490" s="79">
        <v>0</v>
      </c>
    </row>
    <row r="491" spans="1:72" ht="15" customHeight="1">
      <c r="A491" s="66" t="s">
        <v>2765</v>
      </c>
      <c r="B491" s="66"/>
      <c r="C491" s="66" t="s">
        <v>2937</v>
      </c>
      <c r="D491" s="66" t="s">
        <v>2766</v>
      </c>
      <c r="E491" s="150" t="s">
        <v>1136</v>
      </c>
      <c r="F491" s="482" t="s">
        <v>1566</v>
      </c>
      <c r="G491" s="150" t="s">
        <v>1566</v>
      </c>
      <c r="H491" s="150" t="s">
        <v>1566</v>
      </c>
      <c r="I491" s="150" t="s">
        <v>1567</v>
      </c>
      <c r="J491" s="150" t="s">
        <v>1567</v>
      </c>
      <c r="K491" s="150" t="s">
        <v>1567</v>
      </c>
      <c r="L491" s="511" t="s">
        <v>639</v>
      </c>
      <c r="M491" s="392" t="s">
        <v>1685</v>
      </c>
      <c r="N491" s="343"/>
      <c r="O491" s="343"/>
      <c r="P491" s="70" t="s">
        <v>2242</v>
      </c>
      <c r="Q491" s="346" t="s">
        <v>1139</v>
      </c>
      <c r="R491" s="346" t="s">
        <v>1140</v>
      </c>
      <c r="S491" s="346"/>
      <c r="T491" s="150" t="s">
        <v>25</v>
      </c>
      <c r="U491" s="150"/>
      <c r="V491" s="404"/>
      <c r="W491" s="407">
        <v>0</v>
      </c>
      <c r="X491" s="407">
        <v>0</v>
      </c>
      <c r="Y491" s="425"/>
      <c r="Z491" s="71"/>
      <c r="AA491" s="426"/>
      <c r="AB491" s="427"/>
      <c r="AC491" s="431">
        <v>0</v>
      </c>
      <c r="AD491" s="428">
        <v>-184.67</v>
      </c>
      <c r="AE491" s="429">
        <v>0</v>
      </c>
      <c r="AF491" s="429">
        <v>0</v>
      </c>
      <c r="AG491" s="360">
        <v>0</v>
      </c>
      <c r="AH491" s="360">
        <v>0</v>
      </c>
      <c r="AI491" s="360">
        <v>0</v>
      </c>
      <c r="AJ491" s="360">
        <v>0</v>
      </c>
      <c r="AK491" s="360">
        <v>0</v>
      </c>
      <c r="AL491" s="360">
        <v>0</v>
      </c>
      <c r="AM491" s="360">
        <f t="shared" si="27"/>
        <v>-184.67</v>
      </c>
      <c r="AN491" s="362">
        <f>ERP_26[[#This Row],[2026 Working Total]]-ERP_26[[#This Row],[LE2 Final Submission]]</f>
        <v>-184.67</v>
      </c>
      <c r="AO491" s="79">
        <v>0</v>
      </c>
      <c r="AP491" s="79">
        <f t="shared" si="28"/>
        <v>0</v>
      </c>
      <c r="AQ491" s="374">
        <f>SUM(ERP_26[[#This Row],[AP01]:[AP06]])-SUM(ERP_26[[#This Row],[AP01 LE2]:[AP06 LE2]])</f>
        <v>-184.67</v>
      </c>
      <c r="AR491" s="80"/>
      <c r="AS491" s="79">
        <f>ERP_26[[#This Row],[2026 Working Total to Budget/LE]]-ERP_26[[#This Row],[Giveback]]</f>
        <v>-184.67</v>
      </c>
      <c r="AT491" s="81"/>
      <c r="AU491" s="375"/>
      <c r="AV491" s="375"/>
      <c r="AW491" s="375">
        <v>0</v>
      </c>
      <c r="AX491" s="375">
        <v>0</v>
      </c>
      <c r="AY491" s="375">
        <v>0</v>
      </c>
      <c r="AZ491" s="375">
        <v>0</v>
      </c>
      <c r="BA491" s="375">
        <v>0</v>
      </c>
      <c r="BB491" s="375">
        <v>0</v>
      </c>
      <c r="BC491" s="375">
        <v>0</v>
      </c>
      <c r="BD491" s="375">
        <v>0</v>
      </c>
      <c r="BE491" s="375">
        <v>0</v>
      </c>
      <c r="BF491" s="375">
        <v>0</v>
      </c>
      <c r="BG491" s="375">
        <v>0</v>
      </c>
      <c r="BH491" s="79"/>
      <c r="BI491" s="79"/>
      <c r="BJ491" s="79">
        <v>0</v>
      </c>
      <c r="BK491" s="79">
        <v>0</v>
      </c>
      <c r="BL491" s="79">
        <v>0</v>
      </c>
      <c r="BM491" s="79">
        <v>0</v>
      </c>
      <c r="BN491" s="79">
        <v>0</v>
      </c>
      <c r="BO491" s="79">
        <v>0</v>
      </c>
      <c r="BP491" s="79">
        <v>0</v>
      </c>
      <c r="BQ491" s="79">
        <v>0</v>
      </c>
      <c r="BR491" s="79">
        <v>0</v>
      </c>
      <c r="BS491" s="79">
        <v>0</v>
      </c>
      <c r="BT491" s="79">
        <v>0</v>
      </c>
    </row>
    <row r="492" spans="1:72" ht="15" customHeight="1">
      <c r="A492" s="150" t="s">
        <v>2767</v>
      </c>
      <c r="B492" s="150"/>
      <c r="C492" s="536" t="s">
        <v>994</v>
      </c>
      <c r="D492" s="296" t="s">
        <v>2768</v>
      </c>
      <c r="E492" s="150" t="s">
        <v>1136</v>
      </c>
      <c r="F492" s="482" t="s">
        <v>1566</v>
      </c>
      <c r="G492" s="150" t="s">
        <v>1566</v>
      </c>
      <c r="H492" s="150" t="s">
        <v>1566</v>
      </c>
      <c r="I492" s="150" t="s">
        <v>1567</v>
      </c>
      <c r="J492" s="150" t="s">
        <v>1567</v>
      </c>
      <c r="K492" s="150" t="s">
        <v>1567</v>
      </c>
      <c r="L492" s="511" t="s">
        <v>639</v>
      </c>
      <c r="M492" s="394" t="s">
        <v>2245</v>
      </c>
      <c r="N492" s="333"/>
      <c r="O492" s="332" t="s">
        <v>2755</v>
      </c>
      <c r="P492" s="90" t="s">
        <v>2246</v>
      </c>
      <c r="Q492" s="347"/>
      <c r="R492" s="347"/>
      <c r="S492" s="348"/>
      <c r="T492" s="348"/>
      <c r="U492" s="348"/>
      <c r="V492" s="402"/>
      <c r="W492" s="406"/>
      <c r="X492" s="406"/>
      <c r="Y492" s="425"/>
      <c r="Z492" s="71"/>
      <c r="AA492" s="435"/>
      <c r="AB492" s="436"/>
      <c r="AC492" s="436"/>
      <c r="AD492" s="429">
        <v>-451.1</v>
      </c>
      <c r="AE492" s="429">
        <v>0</v>
      </c>
      <c r="AF492" s="429">
        <v>0</v>
      </c>
      <c r="AG492" s="364"/>
      <c r="AH492" s="364"/>
      <c r="AI492" s="364"/>
      <c r="AJ492" s="364"/>
      <c r="AK492" s="364"/>
      <c r="AL492" s="364"/>
      <c r="AM492" s="360">
        <f t="shared" si="27"/>
        <v>-451.1</v>
      </c>
      <c r="AN492" s="362">
        <f>ERP_26[[#This Row],[2026 Working Total]]-ERP_26[[#This Row],[LE2 Final Submission]]</f>
        <v>-451.1</v>
      </c>
      <c r="AO492" s="79"/>
      <c r="AP492" s="79">
        <f t="shared" si="28"/>
        <v>0</v>
      </c>
      <c r="AQ492" s="374">
        <f>SUM(ERP_26[[#This Row],[AP01]:[AP06]])-SUM(ERP_26[[#This Row],[AP01 LE2]:[AP06 LE2]])</f>
        <v>-451.1</v>
      </c>
      <c r="AR492" s="80"/>
      <c r="AS492" s="79">
        <f>ERP_26[[#This Row],[2026 Working Total to Budget/LE]]-ERP_26[[#This Row],[Giveback]]</f>
        <v>-451.1</v>
      </c>
      <c r="AT492" s="81"/>
      <c r="AU492" s="375"/>
      <c r="AV492" s="375"/>
      <c r="AW492" s="375"/>
      <c r="AX492" s="375"/>
      <c r="AY492" s="375"/>
      <c r="AZ492" s="375"/>
      <c r="BA492" s="375"/>
      <c r="BB492" s="375"/>
      <c r="BC492" s="375"/>
      <c r="BD492" s="375"/>
      <c r="BE492" s="375"/>
      <c r="BF492" s="375"/>
      <c r="BG492" s="375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</row>
    <row r="493" spans="1:72" ht="15" customHeight="1">
      <c r="A493" s="79" t="s">
        <v>2769</v>
      </c>
      <c r="B493" s="79"/>
      <c r="C493" s="79" t="s">
        <v>995</v>
      </c>
      <c r="D493" s="296" t="s">
        <v>2770</v>
      </c>
      <c r="E493" s="150" t="s">
        <v>1136</v>
      </c>
      <c r="F493" s="482" t="s">
        <v>1566</v>
      </c>
      <c r="G493" s="150" t="s">
        <v>1566</v>
      </c>
      <c r="H493" s="150" t="s">
        <v>1566</v>
      </c>
      <c r="I493" t="s">
        <v>1567</v>
      </c>
      <c r="J493" t="s">
        <v>1567</v>
      </c>
      <c r="K493" s="150" t="s">
        <v>1567</v>
      </c>
      <c r="L493" s="514" t="s">
        <v>639</v>
      </c>
      <c r="M493" s="394" t="s">
        <v>1699</v>
      </c>
      <c r="N493" s="343"/>
      <c r="O493" s="333"/>
      <c r="P493" s="70" t="s">
        <v>362</v>
      </c>
      <c r="Q493" s="347"/>
      <c r="R493" s="343"/>
      <c r="S493" s="348"/>
      <c r="T493" s="348"/>
      <c r="U493" s="348" t="s">
        <v>1700</v>
      </c>
      <c r="V493" s="402"/>
      <c r="W493" s="358"/>
      <c r="X493" s="379">
        <v>0</v>
      </c>
      <c r="Y493" s="425"/>
      <c r="Z493" s="71"/>
      <c r="AA493" s="435"/>
      <c r="AB493" s="436"/>
      <c r="AC493" s="436"/>
      <c r="AD493" s="428" t="s">
        <v>1142</v>
      </c>
      <c r="AE493" s="429">
        <v>0</v>
      </c>
      <c r="AF493" s="429">
        <v>0</v>
      </c>
      <c r="AG493" s="364"/>
      <c r="AH493" s="364"/>
      <c r="AI493" s="364"/>
      <c r="AJ493" s="364"/>
      <c r="AK493" s="364"/>
      <c r="AL493" s="364"/>
      <c r="AM493" s="360">
        <f t="shared" si="27"/>
        <v>0</v>
      </c>
      <c r="AN493" s="362">
        <f>ERP_26[[#This Row],[2026 Working Total]]-ERP_26[[#This Row],[LE2 Final Submission]]</f>
        <v>0</v>
      </c>
      <c r="AO493" s="79">
        <v>7671.84</v>
      </c>
      <c r="AP493" s="79">
        <f t="shared" si="28"/>
        <v>-7671.84</v>
      </c>
      <c r="AQ493" s="374">
        <f>SUM(ERP_26[[#This Row],[AP01]:[AP06]])-SUM(ERP_26[[#This Row],[AP01 LE2]:[AP06 LE2]])</f>
        <v>0</v>
      </c>
      <c r="AR493" s="80"/>
      <c r="AS493" s="79">
        <f>ERP_26[[#This Row],[2026 Working Total to Budget/LE]]-ERP_26[[#This Row],[Giveback]]</f>
        <v>0</v>
      </c>
      <c r="AT493" s="81"/>
      <c r="AU493" s="375"/>
      <c r="AV493" s="375"/>
      <c r="AW493" s="375"/>
      <c r="AX493" s="375">
        <v>-7671.84</v>
      </c>
      <c r="AY493" s="375">
        <v>7671.84</v>
      </c>
      <c r="AZ493" s="375"/>
      <c r="BA493" s="375"/>
      <c r="BB493" s="375"/>
      <c r="BC493" s="375"/>
      <c r="BD493" s="375"/>
      <c r="BE493" s="375"/>
      <c r="BF493" s="375"/>
      <c r="BG493" s="375">
        <v>0</v>
      </c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</row>
    <row r="494" spans="1:72" ht="15" customHeight="1">
      <c r="A494" s="150" t="s">
        <v>2771</v>
      </c>
      <c r="B494" s="150"/>
      <c r="C494" s="536" t="s">
        <v>996</v>
      </c>
      <c r="D494" s="296" t="s">
        <v>2772</v>
      </c>
      <c r="E494" s="150" t="s">
        <v>1136</v>
      </c>
      <c r="F494" s="482" t="s">
        <v>1566</v>
      </c>
      <c r="G494" s="150" t="s">
        <v>1566</v>
      </c>
      <c r="H494" s="150" t="s">
        <v>1566</v>
      </c>
      <c r="I494" s="332" t="s">
        <v>1567</v>
      </c>
      <c r="J494" s="332" t="s">
        <v>1567</v>
      </c>
      <c r="K494" s="333" t="s">
        <v>1567</v>
      </c>
      <c r="L494" s="514" t="s">
        <v>639</v>
      </c>
      <c r="M494" s="394" t="s">
        <v>2773</v>
      </c>
      <c r="N494" s="333"/>
      <c r="O494" s="332" t="s">
        <v>1634</v>
      </c>
      <c r="P494" s="90" t="s">
        <v>274</v>
      </c>
      <c r="Q494" s="347"/>
      <c r="R494" s="347"/>
      <c r="S494" s="348"/>
      <c r="T494" s="506" t="s">
        <v>310</v>
      </c>
      <c r="U494" s="348"/>
      <c r="V494" s="402"/>
      <c r="W494" s="406"/>
      <c r="X494" s="406"/>
      <c r="Y494" s="425"/>
      <c r="Z494" s="71"/>
      <c r="AA494" s="435"/>
      <c r="AB494" s="436"/>
      <c r="AC494" s="436"/>
      <c r="AD494" s="436"/>
      <c r="AE494" s="429">
        <v>227</v>
      </c>
      <c r="AF494" s="429">
        <v>0</v>
      </c>
      <c r="AG494" s="364"/>
      <c r="AH494" s="364"/>
      <c r="AI494" s="364"/>
      <c r="AJ494" s="364"/>
      <c r="AK494" s="364"/>
      <c r="AL494" s="364"/>
      <c r="AM494" s="360">
        <f t="shared" si="27"/>
        <v>227</v>
      </c>
      <c r="AN494" s="362">
        <f>ERP_26[[#This Row],[2026 Working Total]]-ERP_26[[#This Row],[LE2 Final Submission]]</f>
        <v>227</v>
      </c>
      <c r="AO494" s="79"/>
      <c r="AP494" s="79">
        <f t="shared" si="28"/>
        <v>0</v>
      </c>
      <c r="AQ494" s="374">
        <f>SUM(ERP_26[[#This Row],[AP01]:[AP06]])-SUM(ERP_26[[#This Row],[AP01 LE2]:[AP06 LE2]])</f>
        <v>227</v>
      </c>
      <c r="AR494" s="80"/>
      <c r="AS494" s="79">
        <f>ERP_26[[#This Row],[2026 Working Total to Budget/LE]]-ERP_26[[#This Row],[Giveback]]</f>
        <v>227</v>
      </c>
      <c r="AT494" s="81"/>
      <c r="AU494" s="375"/>
      <c r="AV494" s="375"/>
      <c r="AW494" s="375"/>
      <c r="AX494" s="375"/>
      <c r="AY494" s="375"/>
      <c r="AZ494" s="375"/>
      <c r="BA494" s="375"/>
      <c r="BB494" s="375"/>
      <c r="BC494" s="375"/>
      <c r="BD494" s="375"/>
      <c r="BE494" s="375"/>
      <c r="BF494" s="375"/>
      <c r="BG494" s="375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</row>
    <row r="495" spans="1:72" ht="15" customHeight="1">
      <c r="A495" s="66" t="s">
        <v>2778</v>
      </c>
      <c r="B495" s="66"/>
      <c r="C495" s="66" t="s">
        <v>998</v>
      </c>
      <c r="D495" s="66" t="s">
        <v>2779</v>
      </c>
      <c r="E495" s="150" t="s">
        <v>1136</v>
      </c>
      <c r="F495" s="482" t="s">
        <v>1566</v>
      </c>
      <c r="G495" s="150" t="s">
        <v>1566</v>
      </c>
      <c r="H495" s="150" t="s">
        <v>1566</v>
      </c>
      <c r="I495" s="150" t="s">
        <v>1567</v>
      </c>
      <c r="J495" s="150" t="s">
        <v>1567</v>
      </c>
      <c r="K495" s="150" t="s">
        <v>1567</v>
      </c>
      <c r="L495" s="511" t="s">
        <v>639</v>
      </c>
      <c r="M495" s="392" t="s">
        <v>2780</v>
      </c>
      <c r="N495" s="343"/>
      <c r="O495" s="343"/>
      <c r="P495" s="70" t="s">
        <v>999</v>
      </c>
      <c r="Q495" s="346"/>
      <c r="R495" s="346" t="s">
        <v>1140</v>
      </c>
      <c r="S495" s="346"/>
      <c r="T495" s="150" t="s">
        <v>1000</v>
      </c>
      <c r="U495" s="150"/>
      <c r="V495" s="404"/>
      <c r="W495" s="407">
        <v>0</v>
      </c>
      <c r="X495" s="407">
        <v>0</v>
      </c>
      <c r="Y495" s="425"/>
      <c r="Z495" s="71"/>
      <c r="AA495" s="426">
        <v>16675.14</v>
      </c>
      <c r="AB495" s="431">
        <v>0</v>
      </c>
      <c r="AC495" s="427">
        <v>-16675.14</v>
      </c>
      <c r="AD495" s="428" t="s">
        <v>1142</v>
      </c>
      <c r="AE495" s="429">
        <v>0</v>
      </c>
      <c r="AF495" s="429">
        <v>0</v>
      </c>
      <c r="AG495" s="363"/>
      <c r="AH495" s="363"/>
      <c r="AI495" s="363"/>
      <c r="AJ495" s="363"/>
      <c r="AK495" s="363"/>
      <c r="AL495" s="363"/>
      <c r="AM495" s="360">
        <f t="shared" si="27"/>
        <v>0</v>
      </c>
      <c r="AN495" s="362">
        <f>ERP_26[[#This Row],[2026 Working Total]]-ERP_26[[#This Row],[LE2 Final Submission]]</f>
        <v>0</v>
      </c>
      <c r="AO495" s="79"/>
      <c r="AP495" s="79">
        <f t="shared" si="28"/>
        <v>0</v>
      </c>
      <c r="AQ495" s="374">
        <f>SUM(ERP_26[[#This Row],[AP01]:[AP06]])-SUM(ERP_26[[#This Row],[AP01 LE2]:[AP06 LE2]])</f>
        <v>0</v>
      </c>
      <c r="AR495" s="80"/>
      <c r="AS495" s="79">
        <f>ERP_26[[#This Row],[2026 Working Total to Budget/LE]]-ERP_26[[#This Row],[Giveback]]</f>
        <v>0</v>
      </c>
      <c r="AT495" s="81"/>
      <c r="AU495" s="375">
        <v>16675.14</v>
      </c>
      <c r="AV495" s="375">
        <v>0</v>
      </c>
      <c r="AW495" s="375">
        <v>-16675.14</v>
      </c>
      <c r="AX495" s="375"/>
      <c r="AY495" s="375"/>
      <c r="AZ495" s="375"/>
      <c r="BA495" s="375"/>
      <c r="BB495" s="375"/>
      <c r="BC495" s="375"/>
      <c r="BD495" s="375"/>
      <c r="BE495" s="375"/>
      <c r="BF495" s="375"/>
      <c r="BG495" s="375">
        <v>0</v>
      </c>
      <c r="BH495" s="79">
        <v>16675.14</v>
      </c>
      <c r="BI495" s="79">
        <v>0</v>
      </c>
      <c r="BJ495" s="79">
        <v>-16675.14</v>
      </c>
      <c r="BK495" s="79"/>
      <c r="BL495" s="79"/>
      <c r="BM495" s="79"/>
      <c r="BN495" s="79"/>
      <c r="BO495" s="79"/>
      <c r="BP495" s="79"/>
      <c r="BQ495" s="79"/>
      <c r="BR495" s="79"/>
      <c r="BS495" s="79"/>
      <c r="BT495" s="79">
        <v>0</v>
      </c>
    </row>
    <row r="496" spans="1:72" ht="15" customHeight="1">
      <c r="A496" s="66" t="s">
        <v>2269</v>
      </c>
      <c r="B496" s="66"/>
      <c r="C496" s="66" t="s">
        <v>1001</v>
      </c>
      <c r="D496" s="66" t="s">
        <v>2270</v>
      </c>
      <c r="E496" s="150" t="s">
        <v>1136</v>
      </c>
      <c r="F496" s="482" t="s">
        <v>1566</v>
      </c>
      <c r="G496" s="482" t="s">
        <v>1566</v>
      </c>
      <c r="H496" s="482" t="s">
        <v>1566</v>
      </c>
      <c r="I496" s="150" t="s">
        <v>1345</v>
      </c>
      <c r="J496" s="150" t="s">
        <v>1346</v>
      </c>
      <c r="K496" s="150" t="s">
        <v>1346</v>
      </c>
      <c r="L496" s="511" t="s">
        <v>639</v>
      </c>
      <c r="M496" s="392" t="s">
        <v>1889</v>
      </c>
      <c r="N496" s="343"/>
      <c r="O496" s="343"/>
      <c r="P496" s="70" t="s">
        <v>578</v>
      </c>
      <c r="Q496" s="346"/>
      <c r="R496" s="346" t="s">
        <v>1221</v>
      </c>
      <c r="S496" s="346"/>
      <c r="T496" s="150" t="s">
        <v>272</v>
      </c>
      <c r="U496" s="150"/>
      <c r="V496" s="403"/>
      <c r="W496" s="406">
        <v>0</v>
      </c>
      <c r="X496" s="406">
        <v>139.72999999999999</v>
      </c>
      <c r="Y496" s="425"/>
      <c r="Z496" s="71"/>
      <c r="AA496" s="426">
        <v>139.72999999999999</v>
      </c>
      <c r="AB496" s="427">
        <v>139.72999999999999</v>
      </c>
      <c r="AC496" s="427">
        <v>-139.72999999999999</v>
      </c>
      <c r="AD496" s="428">
        <v>0</v>
      </c>
      <c r="AE496" s="429">
        <v>0</v>
      </c>
      <c r="AF496" s="429">
        <v>0</v>
      </c>
      <c r="AG496" s="363">
        <v>0</v>
      </c>
      <c r="AH496" s="363">
        <v>0</v>
      </c>
      <c r="AI496" s="363">
        <v>0</v>
      </c>
      <c r="AJ496" s="363">
        <v>0</v>
      </c>
      <c r="AK496" s="363">
        <v>0</v>
      </c>
      <c r="AL496" s="363">
        <v>0</v>
      </c>
      <c r="AM496" s="360">
        <f t="shared" si="27"/>
        <v>139.72999999999999</v>
      </c>
      <c r="AN496" s="362">
        <f>ERP_26[[#This Row],[2026 Working Total]]-ERP_26[[#This Row],[LE2 Final Submission]]</f>
        <v>0</v>
      </c>
      <c r="AO496" s="79">
        <v>0</v>
      </c>
      <c r="AP496" s="79">
        <f t="shared" si="28"/>
        <v>0</v>
      </c>
      <c r="AQ496" s="374">
        <f>SUM(ERP_26[[#This Row],[AP01]:[AP06]])-SUM(ERP_26[[#This Row],[AP01 LE2]:[AP06 LE2]])</f>
        <v>0</v>
      </c>
      <c r="AR496" s="80"/>
      <c r="AS496" s="79">
        <f>ERP_26[[#This Row],[2026 Working Total to Budget/LE]]-ERP_26[[#This Row],[Giveback]]</f>
        <v>0</v>
      </c>
      <c r="AT496" s="81"/>
      <c r="AU496" s="375">
        <v>139.72999999999999</v>
      </c>
      <c r="AV496" s="375">
        <v>139.72999999999999</v>
      </c>
      <c r="AW496" s="375">
        <v>-139.72999999999999</v>
      </c>
      <c r="AX496" s="375">
        <v>0</v>
      </c>
      <c r="AY496" s="375">
        <v>0</v>
      </c>
      <c r="AZ496" s="375">
        <v>0</v>
      </c>
      <c r="BA496" s="375">
        <v>0</v>
      </c>
      <c r="BB496" s="375">
        <v>0</v>
      </c>
      <c r="BC496" s="375">
        <v>0</v>
      </c>
      <c r="BD496" s="375">
        <v>0</v>
      </c>
      <c r="BE496" s="375">
        <v>0</v>
      </c>
      <c r="BF496" s="375">
        <v>0</v>
      </c>
      <c r="BG496" s="375">
        <v>139.72999999999999</v>
      </c>
      <c r="BH496" s="79">
        <v>139.72999999999999</v>
      </c>
      <c r="BI496" s="79">
        <v>139.72999999999999</v>
      </c>
      <c r="BJ496" s="79">
        <v>-139.72999999999999</v>
      </c>
      <c r="BK496" s="79">
        <v>139.72999999999999</v>
      </c>
      <c r="BL496" s="79">
        <v>139.72999999999999</v>
      </c>
      <c r="BM496" s="79">
        <v>139.72999999999999</v>
      </c>
      <c r="BN496" s="79">
        <v>139.72999999999999</v>
      </c>
      <c r="BO496" s="79">
        <v>139.72999999999999</v>
      </c>
      <c r="BP496" s="79">
        <v>139.72999999999999</v>
      </c>
      <c r="BQ496" s="79">
        <v>139.72999999999999</v>
      </c>
      <c r="BR496" s="79">
        <v>139.72999999999999</v>
      </c>
      <c r="BS496" s="79">
        <v>139.72999999999999</v>
      </c>
      <c r="BT496" s="79">
        <v>1397.3</v>
      </c>
    </row>
    <row r="497" spans="1:72" ht="15" customHeight="1">
      <c r="A497" s="150" t="s">
        <v>2781</v>
      </c>
      <c r="B497" s="150"/>
      <c r="C497" s="536" t="s">
        <v>1002</v>
      </c>
      <c r="D497" s="296" t="s">
        <v>2782</v>
      </c>
      <c r="E497" s="150" t="s">
        <v>1136</v>
      </c>
      <c r="F497" s="482" t="s">
        <v>1566</v>
      </c>
      <c r="G497" s="482" t="s">
        <v>1566</v>
      </c>
      <c r="H497" s="482" t="s">
        <v>1566</v>
      </c>
      <c r="I497" s="150" t="s">
        <v>1345</v>
      </c>
      <c r="J497" s="150" t="s">
        <v>1346</v>
      </c>
      <c r="K497" s="331" t="s">
        <v>1346</v>
      </c>
      <c r="L497" s="514" t="s">
        <v>639</v>
      </c>
      <c r="M497" s="394" t="s">
        <v>2783</v>
      </c>
      <c r="N497" s="333"/>
      <c r="O497" s="332" t="s">
        <v>1499</v>
      </c>
      <c r="P497" s="90" t="s">
        <v>365</v>
      </c>
      <c r="Q497" s="347"/>
      <c r="R497" s="347"/>
      <c r="S497" s="348"/>
      <c r="T497" s="348"/>
      <c r="U497" s="348"/>
      <c r="V497" s="402"/>
      <c r="W497" s="406"/>
      <c r="X497" s="406"/>
      <c r="Y497" s="425"/>
      <c r="Z497" s="71"/>
      <c r="AA497" s="435"/>
      <c r="AB497" s="436"/>
      <c r="AC497" s="436"/>
      <c r="AD497" s="429"/>
      <c r="AE497" s="429">
        <v>200</v>
      </c>
      <c r="AF497" s="429">
        <v>223.09</v>
      </c>
      <c r="AG497" s="364"/>
      <c r="AH497" s="364"/>
      <c r="AI497" s="364"/>
      <c r="AJ497" s="364"/>
      <c r="AK497" s="364"/>
      <c r="AL497" s="364"/>
      <c r="AM497" s="360">
        <f t="shared" si="27"/>
        <v>423.09000000000003</v>
      </c>
      <c r="AN497" s="362">
        <f>ERP_26[[#This Row],[2026 Working Total]]-ERP_26[[#This Row],[LE2 Final Submission]]</f>
        <v>423.09000000000003</v>
      </c>
      <c r="AO497" s="79"/>
      <c r="AP497" s="79">
        <f t="shared" si="28"/>
        <v>223.09</v>
      </c>
      <c r="AQ497" s="374">
        <f>SUM(ERP_26[[#This Row],[AP01]:[AP06]])-SUM(ERP_26[[#This Row],[AP01 LE2]:[AP06 LE2]])</f>
        <v>423.09000000000003</v>
      </c>
      <c r="AR497" s="80"/>
      <c r="AS497" s="79">
        <f>ERP_26[[#This Row],[2026 Working Total to Budget/LE]]-ERP_26[[#This Row],[Giveback]]</f>
        <v>423.09000000000003</v>
      </c>
      <c r="AT497" s="81"/>
      <c r="AU497" s="375"/>
      <c r="AV497" s="375"/>
      <c r="AW497" s="375"/>
      <c r="AX497" s="375"/>
      <c r="AY497" s="375"/>
      <c r="AZ497" s="375"/>
      <c r="BA497" s="375"/>
      <c r="BB497" s="375"/>
      <c r="BC497" s="375"/>
      <c r="BD497" s="375"/>
      <c r="BE497" s="375"/>
      <c r="BF497" s="375"/>
      <c r="BG497" s="375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</row>
    <row r="498" spans="1:72" ht="15" customHeight="1">
      <c r="A498" s="66" t="s">
        <v>2784</v>
      </c>
      <c r="B498" s="66" t="s">
        <v>2950</v>
      </c>
      <c r="C498" s="66" t="s">
        <v>1003</v>
      </c>
      <c r="D498" s="66" t="s">
        <v>2785</v>
      </c>
      <c r="E498" s="150" t="s">
        <v>1136</v>
      </c>
      <c r="F498" s="482" t="s">
        <v>1566</v>
      </c>
      <c r="G498" s="482" t="s">
        <v>1566</v>
      </c>
      <c r="H498" s="482" t="s">
        <v>1566</v>
      </c>
      <c r="I498" s="150" t="s">
        <v>1345</v>
      </c>
      <c r="J498" s="150" t="s">
        <v>1346</v>
      </c>
      <c r="K498" s="150" t="s">
        <v>1346</v>
      </c>
      <c r="L498" s="511" t="s">
        <v>639</v>
      </c>
      <c r="M498" s="392" t="s">
        <v>2285</v>
      </c>
      <c r="N498" s="343"/>
      <c r="O498" s="343"/>
      <c r="P498" s="70" t="s">
        <v>676</v>
      </c>
      <c r="Q498" s="346"/>
      <c r="R498" s="346" t="s">
        <v>1140</v>
      </c>
      <c r="S498" s="346"/>
      <c r="T498" s="150" t="s">
        <v>677</v>
      </c>
      <c r="U498" s="150"/>
      <c r="V498" s="403"/>
      <c r="W498" s="406">
        <v>6000</v>
      </c>
      <c r="X498" s="406">
        <v>13404.42</v>
      </c>
      <c r="Y498" s="425"/>
      <c r="Z498" s="71"/>
      <c r="AA498" s="426">
        <v>542.75</v>
      </c>
      <c r="AB498" s="427">
        <v>6823.51</v>
      </c>
      <c r="AC498" s="427">
        <v>1538.16</v>
      </c>
      <c r="AD498" s="428">
        <v>1141.3400000000001</v>
      </c>
      <c r="AE498" s="429">
        <v>2127.96</v>
      </c>
      <c r="AF498" s="429">
        <v>672.49</v>
      </c>
      <c r="AG498" s="363">
        <v>500</v>
      </c>
      <c r="AH498" s="363">
        <v>500</v>
      </c>
      <c r="AI498" s="363">
        <v>500</v>
      </c>
      <c r="AJ498" s="363">
        <v>500</v>
      </c>
      <c r="AK498" s="363">
        <v>500</v>
      </c>
      <c r="AL498" s="363">
        <v>500</v>
      </c>
      <c r="AM498" s="560">
        <f t="shared" si="27"/>
        <v>15846.210000000001</v>
      </c>
      <c r="AN498" s="362">
        <f>ERP_26[[#This Row],[2026 Working Total]]-ERP_26[[#This Row],[LE2 Final Submission]]</f>
        <v>2441.7900000000009</v>
      </c>
      <c r="AO498" s="79">
        <v>500</v>
      </c>
      <c r="AP498" s="79">
        <f t="shared" si="28"/>
        <v>172.49</v>
      </c>
      <c r="AQ498" s="374">
        <f>SUM(ERP_26[[#This Row],[AP01]:[AP06]])-SUM(ERP_26[[#This Row],[AP01 LE2]:[AP06 LE2]])</f>
        <v>2441.7900000000009</v>
      </c>
      <c r="AR498" s="80"/>
      <c r="AS498" s="79">
        <f>ERP_26[[#This Row],[2026 Working Total to Budget/LE]]-ERP_26[[#This Row],[Giveback]]</f>
        <v>2441.7900000000009</v>
      </c>
      <c r="AT498" s="81"/>
      <c r="AU498" s="375">
        <v>542.75</v>
      </c>
      <c r="AV498" s="375">
        <v>6823.51</v>
      </c>
      <c r="AW498" s="375">
        <v>1538.16</v>
      </c>
      <c r="AX498" s="375">
        <v>500</v>
      </c>
      <c r="AY498" s="375">
        <v>500</v>
      </c>
      <c r="AZ498" s="375">
        <v>500</v>
      </c>
      <c r="BA498" s="375">
        <v>500</v>
      </c>
      <c r="BB498" s="375">
        <v>500</v>
      </c>
      <c r="BC498" s="375">
        <v>500</v>
      </c>
      <c r="BD498" s="375">
        <v>500</v>
      </c>
      <c r="BE498" s="375">
        <v>500</v>
      </c>
      <c r="BF498" s="375">
        <v>500</v>
      </c>
      <c r="BG498" s="375">
        <v>13404.42</v>
      </c>
      <c r="BH498" s="79">
        <v>542.75</v>
      </c>
      <c r="BI498" s="79">
        <v>6823.51</v>
      </c>
      <c r="BJ498" s="79">
        <v>1538.16</v>
      </c>
      <c r="BK498" s="79">
        <v>500</v>
      </c>
      <c r="BL498" s="79">
        <v>500</v>
      </c>
      <c r="BM498" s="79">
        <v>500</v>
      </c>
      <c r="BN498" s="79">
        <v>500</v>
      </c>
      <c r="BO498" s="79">
        <v>500</v>
      </c>
      <c r="BP498" s="79">
        <v>500</v>
      </c>
      <c r="BQ498" s="79">
        <v>500</v>
      </c>
      <c r="BR498" s="79">
        <v>500</v>
      </c>
      <c r="BS498" s="79">
        <v>500</v>
      </c>
      <c r="BT498" s="79">
        <v>13404.42</v>
      </c>
    </row>
    <row r="499" spans="1:72" ht="15" customHeight="1">
      <c r="A499" s="66" t="s">
        <v>2788</v>
      </c>
      <c r="B499" s="66" t="s">
        <v>2950</v>
      </c>
      <c r="C499" s="66" t="s">
        <v>1004</v>
      </c>
      <c r="D499" s="66" t="s">
        <v>2789</v>
      </c>
      <c r="E499" s="150" t="s">
        <v>1136</v>
      </c>
      <c r="F499" s="482" t="s">
        <v>1566</v>
      </c>
      <c r="G499" s="482" t="s">
        <v>1566</v>
      </c>
      <c r="H499" s="482" t="s">
        <v>1566</v>
      </c>
      <c r="I499" s="150" t="s">
        <v>1345</v>
      </c>
      <c r="J499" s="150" t="s">
        <v>1346</v>
      </c>
      <c r="K499" s="150" t="s">
        <v>1346</v>
      </c>
      <c r="L499" s="511" t="s">
        <v>639</v>
      </c>
      <c r="M499" s="392" t="s">
        <v>2291</v>
      </c>
      <c r="N499" s="343"/>
      <c r="O499" s="343"/>
      <c r="P499" s="70" t="s">
        <v>679</v>
      </c>
      <c r="Q499" s="346"/>
      <c r="R499" s="346" t="s">
        <v>1140</v>
      </c>
      <c r="S499" s="346"/>
      <c r="T499" s="150" t="s">
        <v>680</v>
      </c>
      <c r="U499" s="150"/>
      <c r="V499" s="403"/>
      <c r="W499" s="406">
        <v>36000</v>
      </c>
      <c r="X499" s="406">
        <v>46414.39</v>
      </c>
      <c r="Y499" s="430"/>
      <c r="Z499" s="137"/>
      <c r="AA499" s="426">
        <v>6465</v>
      </c>
      <c r="AB499" s="427">
        <v>5197.6400000000003</v>
      </c>
      <c r="AC499" s="427">
        <v>7751.75</v>
      </c>
      <c r="AD499" s="428">
        <v>17671</v>
      </c>
      <c r="AE499" s="429">
        <v>9482</v>
      </c>
      <c r="AF499" s="429">
        <v>14223</v>
      </c>
      <c r="AG499" s="363">
        <v>3000</v>
      </c>
      <c r="AH499" s="363">
        <v>3000</v>
      </c>
      <c r="AI499" s="363">
        <v>3000</v>
      </c>
      <c r="AJ499" s="363">
        <v>3000</v>
      </c>
      <c r="AK499" s="363">
        <v>3000</v>
      </c>
      <c r="AL499" s="363">
        <v>3000</v>
      </c>
      <c r="AM499" s="560">
        <f t="shared" si="27"/>
        <v>78790.39</v>
      </c>
      <c r="AN499" s="362">
        <f>ERP_26[[#This Row],[2026 Working Total]]-ERP_26[[#This Row],[LE2 Final Submission]]</f>
        <v>32376</v>
      </c>
      <c r="AO499" s="79">
        <v>3000</v>
      </c>
      <c r="AP499" s="79">
        <f t="shared" si="28"/>
        <v>11223</v>
      </c>
      <c r="AQ499" s="374">
        <f>SUM(ERP_26[[#This Row],[AP01]:[AP06]])-SUM(ERP_26[[#This Row],[AP01 LE2]:[AP06 LE2]])</f>
        <v>32376</v>
      </c>
      <c r="AR499" s="80"/>
      <c r="AS499" s="79">
        <f>ERP_26[[#This Row],[2026 Working Total to Budget/LE]]-ERP_26[[#This Row],[Giveback]]</f>
        <v>32376</v>
      </c>
      <c r="AT499" s="81"/>
      <c r="AU499" s="375">
        <v>6465</v>
      </c>
      <c r="AV499" s="375">
        <v>5197.6400000000003</v>
      </c>
      <c r="AW499" s="375">
        <v>7751.75</v>
      </c>
      <c r="AX499" s="375">
        <v>3000</v>
      </c>
      <c r="AY499" s="375">
        <v>3000</v>
      </c>
      <c r="AZ499" s="375">
        <v>3000</v>
      </c>
      <c r="BA499" s="375">
        <v>3000</v>
      </c>
      <c r="BB499" s="375">
        <v>3000</v>
      </c>
      <c r="BC499" s="375">
        <v>3000</v>
      </c>
      <c r="BD499" s="375">
        <v>3000</v>
      </c>
      <c r="BE499" s="375">
        <v>3000</v>
      </c>
      <c r="BF499" s="375">
        <v>3000</v>
      </c>
      <c r="BG499" s="375">
        <v>46414.39</v>
      </c>
      <c r="BH499" s="79">
        <v>6465</v>
      </c>
      <c r="BI499" s="79">
        <v>5197.6400000000003</v>
      </c>
      <c r="BJ499" s="79">
        <v>7751.75</v>
      </c>
      <c r="BK499" s="79">
        <v>3000</v>
      </c>
      <c r="BL499" s="79">
        <v>3000</v>
      </c>
      <c r="BM499" s="79">
        <v>3000</v>
      </c>
      <c r="BN499" s="79">
        <v>3000</v>
      </c>
      <c r="BO499" s="79">
        <v>3000</v>
      </c>
      <c r="BP499" s="79">
        <v>3000</v>
      </c>
      <c r="BQ499" s="79">
        <v>3000</v>
      </c>
      <c r="BR499" s="79">
        <v>3000</v>
      </c>
      <c r="BS499" s="79">
        <v>3000</v>
      </c>
      <c r="BT499" s="79">
        <v>46414.39</v>
      </c>
    </row>
    <row r="500" spans="1:72" ht="15" customHeight="1">
      <c r="A500" s="66" t="s">
        <v>2300</v>
      </c>
      <c r="B500" s="66"/>
      <c r="C500" s="66" t="s">
        <v>1005</v>
      </c>
      <c r="D500" s="66" t="s">
        <v>2301</v>
      </c>
      <c r="E500" s="150" t="s">
        <v>1136</v>
      </c>
      <c r="F500" s="482" t="s">
        <v>1566</v>
      </c>
      <c r="G500" s="482" t="s">
        <v>1566</v>
      </c>
      <c r="H500" s="482" t="s">
        <v>1566</v>
      </c>
      <c r="I500" s="150" t="s">
        <v>1345</v>
      </c>
      <c r="J500" s="150" t="s">
        <v>1346</v>
      </c>
      <c r="K500" s="150" t="s">
        <v>1346</v>
      </c>
      <c r="L500" s="511" t="s">
        <v>639</v>
      </c>
      <c r="M500" s="392" t="s">
        <v>1942</v>
      </c>
      <c r="N500" s="343"/>
      <c r="O500" s="343"/>
      <c r="P500" s="70" t="s">
        <v>585</v>
      </c>
      <c r="Q500" s="346"/>
      <c r="R500" s="346" t="s">
        <v>1140</v>
      </c>
      <c r="S500" s="346"/>
      <c r="T500" s="150" t="s">
        <v>57</v>
      </c>
      <c r="U500" s="150"/>
      <c r="V500" s="403"/>
      <c r="W500" s="406">
        <v>0</v>
      </c>
      <c r="X500" s="406">
        <v>1537.03</v>
      </c>
      <c r="Y500" s="425"/>
      <c r="Z500" s="71"/>
      <c r="AA500" s="426"/>
      <c r="AB500" s="427"/>
      <c r="AC500" s="427">
        <v>279.45999999999998</v>
      </c>
      <c r="AD500" s="428">
        <v>139.72999999999999</v>
      </c>
      <c r="AE500" s="429">
        <v>139.72999999999999</v>
      </c>
      <c r="AF500" s="429">
        <v>139.72999999999999</v>
      </c>
      <c r="AG500" s="360">
        <v>139.72999999999999</v>
      </c>
      <c r="AH500" s="360">
        <v>139.72999999999999</v>
      </c>
      <c r="AI500" s="360">
        <v>139.72999999999999</v>
      </c>
      <c r="AJ500" s="360">
        <v>139.72999999999999</v>
      </c>
      <c r="AK500" s="360">
        <v>139.72999999999999</v>
      </c>
      <c r="AL500" s="360">
        <v>139.72999999999999</v>
      </c>
      <c r="AM500" s="360">
        <f t="shared" si="27"/>
        <v>1537.03</v>
      </c>
      <c r="AN500" s="362">
        <f>ERP_26[[#This Row],[2026 Working Total]]-ERP_26[[#This Row],[LE2 Final Submission]]</f>
        <v>0</v>
      </c>
      <c r="AO500" s="79">
        <v>139.72999999999999</v>
      </c>
      <c r="AP500" s="79">
        <f t="shared" si="28"/>
        <v>0</v>
      </c>
      <c r="AQ500" s="374">
        <f>SUM(ERP_26[[#This Row],[AP01]:[AP06]])-SUM(ERP_26[[#This Row],[AP01 LE2]:[AP06 LE2]])</f>
        <v>0</v>
      </c>
      <c r="AR500" s="80"/>
      <c r="AS500" s="79">
        <f>ERP_26[[#This Row],[2026 Working Total to Budget/LE]]-ERP_26[[#This Row],[Giveback]]</f>
        <v>0</v>
      </c>
      <c r="AT500" s="81"/>
      <c r="AU500" s="375"/>
      <c r="AV500" s="375"/>
      <c r="AW500" s="375">
        <v>279.45999999999998</v>
      </c>
      <c r="AX500" s="375">
        <v>139.72999999999999</v>
      </c>
      <c r="AY500" s="375">
        <v>139.72999999999999</v>
      </c>
      <c r="AZ500" s="375">
        <v>139.72999999999999</v>
      </c>
      <c r="BA500" s="375">
        <v>139.72999999999999</v>
      </c>
      <c r="BB500" s="375">
        <v>139.72999999999999</v>
      </c>
      <c r="BC500" s="375">
        <v>139.72999999999999</v>
      </c>
      <c r="BD500" s="375">
        <v>139.72999999999999</v>
      </c>
      <c r="BE500" s="375">
        <v>139.72999999999999</v>
      </c>
      <c r="BF500" s="375">
        <v>139.72999999999999</v>
      </c>
      <c r="BG500" s="375">
        <v>1537.03</v>
      </c>
      <c r="BH500" s="79"/>
      <c r="BI500" s="79"/>
      <c r="BJ500" s="79">
        <v>279.45999999999998</v>
      </c>
      <c r="BK500" s="79">
        <v>0</v>
      </c>
      <c r="BL500" s="79">
        <v>0</v>
      </c>
      <c r="BM500" s="79">
        <v>0</v>
      </c>
      <c r="BN500" s="79">
        <v>0</v>
      </c>
      <c r="BO500" s="79">
        <v>0</v>
      </c>
      <c r="BP500" s="79">
        <v>0</v>
      </c>
      <c r="BQ500" s="79">
        <v>0</v>
      </c>
      <c r="BR500" s="79">
        <v>0</v>
      </c>
      <c r="BS500" s="79">
        <v>0</v>
      </c>
      <c r="BT500" s="79">
        <v>279.45999999999998</v>
      </c>
    </row>
    <row r="501" spans="1:72" ht="15" customHeight="1">
      <c r="A501" s="66" t="s">
        <v>2796</v>
      </c>
      <c r="B501" s="66"/>
      <c r="C501" s="66" t="s">
        <v>1007</v>
      </c>
      <c r="D501" s="66" t="s">
        <v>2797</v>
      </c>
      <c r="E501" s="150" t="s">
        <v>1136</v>
      </c>
      <c r="F501" s="482" t="s">
        <v>1566</v>
      </c>
      <c r="G501" s="482" t="s">
        <v>1566</v>
      </c>
      <c r="H501" s="482" t="s">
        <v>1566</v>
      </c>
      <c r="I501" s="150" t="s">
        <v>1345</v>
      </c>
      <c r="J501" s="150" t="s">
        <v>1346</v>
      </c>
      <c r="K501" s="150" t="s">
        <v>1346</v>
      </c>
      <c r="L501" s="511" t="s">
        <v>639</v>
      </c>
      <c r="M501" s="392" t="s">
        <v>2798</v>
      </c>
      <c r="N501" s="343"/>
      <c r="O501" s="343"/>
      <c r="P501" s="70" t="s">
        <v>1008</v>
      </c>
      <c r="Q501" s="346"/>
      <c r="R501" s="343"/>
      <c r="S501" s="346"/>
      <c r="T501" s="150" t="s">
        <v>57</v>
      </c>
      <c r="U501" s="150"/>
      <c r="V501" s="403"/>
      <c r="W501" s="406">
        <v>3348</v>
      </c>
      <c r="X501" s="406">
        <v>2511</v>
      </c>
      <c r="Y501" s="430"/>
      <c r="Z501" s="137"/>
      <c r="AA501" s="426"/>
      <c r="AB501" s="427"/>
      <c r="AC501" s="427"/>
      <c r="AD501" s="428" t="s">
        <v>1142</v>
      </c>
      <c r="AE501" s="429">
        <v>0</v>
      </c>
      <c r="AF501" s="429">
        <v>0</v>
      </c>
      <c r="AG501" s="363">
        <v>279</v>
      </c>
      <c r="AH501" s="363">
        <v>279</v>
      </c>
      <c r="AI501" s="363">
        <v>279</v>
      </c>
      <c r="AJ501" s="363">
        <v>279</v>
      </c>
      <c r="AK501" s="363">
        <v>279</v>
      </c>
      <c r="AL501" s="363">
        <v>279</v>
      </c>
      <c r="AM501" s="360">
        <f t="shared" ref="AM501:AM564" si="29">SUM(AA501:AL501)</f>
        <v>1674</v>
      </c>
      <c r="AN501" s="362">
        <f>ERP_26[[#This Row],[2026 Working Total]]-ERP_26[[#This Row],[LE2 Final Submission]]</f>
        <v>-837</v>
      </c>
      <c r="AO501" s="79">
        <v>279</v>
      </c>
      <c r="AP501" s="79">
        <f t="shared" si="28"/>
        <v>-279</v>
      </c>
      <c r="AQ501" s="374">
        <f>SUM(ERP_26[[#This Row],[AP01]:[AP06]])-SUM(ERP_26[[#This Row],[AP01 LE2]:[AP06 LE2]])</f>
        <v>-837</v>
      </c>
      <c r="AR501" s="80"/>
      <c r="AS501" s="79">
        <f>ERP_26[[#This Row],[2026 Working Total to Budget/LE]]-ERP_26[[#This Row],[Giveback]]</f>
        <v>-837</v>
      </c>
      <c r="AT501" s="81"/>
      <c r="AU501" s="375"/>
      <c r="AV501" s="375"/>
      <c r="AW501" s="375"/>
      <c r="AX501" s="375">
        <v>279</v>
      </c>
      <c r="AY501" s="375">
        <v>279</v>
      </c>
      <c r="AZ501" s="375">
        <v>279</v>
      </c>
      <c r="BA501" s="375">
        <v>279</v>
      </c>
      <c r="BB501" s="375">
        <v>279</v>
      </c>
      <c r="BC501" s="375">
        <v>279</v>
      </c>
      <c r="BD501" s="375">
        <v>279</v>
      </c>
      <c r="BE501" s="375">
        <v>279</v>
      </c>
      <c r="BF501" s="375">
        <v>279</v>
      </c>
      <c r="BG501" s="375">
        <v>2511</v>
      </c>
      <c r="BH501" s="79"/>
      <c r="BI501" s="79"/>
      <c r="BJ501" s="79"/>
      <c r="BK501" s="79">
        <v>279</v>
      </c>
      <c r="BL501" s="79">
        <v>279</v>
      </c>
      <c r="BM501" s="79">
        <v>279</v>
      </c>
      <c r="BN501" s="79">
        <v>279</v>
      </c>
      <c r="BO501" s="79">
        <v>279</v>
      </c>
      <c r="BP501" s="79">
        <v>279</v>
      </c>
      <c r="BQ501" s="79">
        <v>279</v>
      </c>
      <c r="BR501" s="79">
        <v>279</v>
      </c>
      <c r="BS501" s="79">
        <v>279</v>
      </c>
      <c r="BT501" s="79">
        <v>2511</v>
      </c>
    </row>
    <row r="502" spans="1:72" ht="15" customHeight="1">
      <c r="A502" s="66" t="s">
        <v>2799</v>
      </c>
      <c r="B502" s="66"/>
      <c r="C502" s="66" t="s">
        <v>1009</v>
      </c>
      <c r="D502" s="66" t="s">
        <v>2800</v>
      </c>
      <c r="E502" s="150" t="s">
        <v>1136</v>
      </c>
      <c r="F502" s="482" t="s">
        <v>1566</v>
      </c>
      <c r="G502" s="482" t="s">
        <v>1566</v>
      </c>
      <c r="H502" s="482" t="s">
        <v>1566</v>
      </c>
      <c r="I502" s="150" t="s">
        <v>1345</v>
      </c>
      <c r="J502" s="150" t="s">
        <v>1346</v>
      </c>
      <c r="K502" s="150" t="s">
        <v>1346</v>
      </c>
      <c r="L502" s="511" t="s">
        <v>639</v>
      </c>
      <c r="M502" s="392" t="s">
        <v>2801</v>
      </c>
      <c r="N502" s="343"/>
      <c r="O502" s="343"/>
      <c r="P502" s="70" t="s">
        <v>1010</v>
      </c>
      <c r="Q502" s="346"/>
      <c r="R502" s="343"/>
      <c r="S502" s="346"/>
      <c r="T502" s="150" t="s">
        <v>25</v>
      </c>
      <c r="U502" s="150"/>
      <c r="V502" s="403"/>
      <c r="W502" s="406">
        <v>500</v>
      </c>
      <c r="X502" s="406">
        <v>500</v>
      </c>
      <c r="Y502" s="425"/>
      <c r="Z502" s="71"/>
      <c r="AA502" s="426"/>
      <c r="AB502" s="427"/>
      <c r="AC502" s="427"/>
      <c r="AD502" s="428" t="s">
        <v>1142</v>
      </c>
      <c r="AE502" s="429">
        <v>0</v>
      </c>
      <c r="AF502" s="429">
        <v>0</v>
      </c>
      <c r="AG502" s="363"/>
      <c r="AH502" s="363"/>
      <c r="AI502" s="363"/>
      <c r="AJ502" s="363"/>
      <c r="AK502" s="363">
        <v>500</v>
      </c>
      <c r="AL502" s="360">
        <v>0</v>
      </c>
      <c r="AM502" s="360">
        <f t="shared" si="29"/>
        <v>500</v>
      </c>
      <c r="AN502" s="362">
        <f>ERP_26[[#This Row],[2026 Working Total]]-ERP_26[[#This Row],[LE2 Final Submission]]</f>
        <v>0</v>
      </c>
      <c r="AO502" s="79"/>
      <c r="AP502" s="79">
        <f t="shared" si="28"/>
        <v>0</v>
      </c>
      <c r="AQ502" s="374">
        <f>SUM(ERP_26[[#This Row],[AP01]:[AP06]])-SUM(ERP_26[[#This Row],[AP01 LE2]:[AP06 LE2]])</f>
        <v>0</v>
      </c>
      <c r="AR502" s="80"/>
      <c r="AS502" s="79">
        <f>ERP_26[[#This Row],[2026 Working Total to Budget/LE]]-ERP_26[[#This Row],[Giveback]]</f>
        <v>0</v>
      </c>
      <c r="AT502" s="81"/>
      <c r="AU502" s="375"/>
      <c r="AV502" s="375"/>
      <c r="AW502" s="375"/>
      <c r="AX502" s="375"/>
      <c r="AY502" s="375"/>
      <c r="AZ502" s="375"/>
      <c r="BA502" s="375"/>
      <c r="BB502" s="375"/>
      <c r="BC502" s="375"/>
      <c r="BD502" s="375"/>
      <c r="BE502" s="375">
        <v>500</v>
      </c>
      <c r="BF502" s="375">
        <v>0</v>
      </c>
      <c r="BG502" s="375">
        <v>500</v>
      </c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>
        <v>500</v>
      </c>
      <c r="BS502" s="79">
        <v>0</v>
      </c>
      <c r="BT502" s="79">
        <v>500</v>
      </c>
    </row>
    <row r="503" spans="1:72" ht="15" customHeight="1">
      <c r="A503" s="66" t="s">
        <v>2802</v>
      </c>
      <c r="B503" s="66"/>
      <c r="C503" s="66" t="s">
        <v>1011</v>
      </c>
      <c r="D503" s="66" t="s">
        <v>2803</v>
      </c>
      <c r="E503" s="150" t="s">
        <v>1136</v>
      </c>
      <c r="F503" s="482" t="s">
        <v>1566</v>
      </c>
      <c r="G503" s="482" t="s">
        <v>1566</v>
      </c>
      <c r="H503" s="482" t="s">
        <v>1566</v>
      </c>
      <c r="I503" s="150" t="s">
        <v>1345</v>
      </c>
      <c r="J503" s="150" t="s">
        <v>1346</v>
      </c>
      <c r="K503" s="150" t="s">
        <v>1346</v>
      </c>
      <c r="L503" s="511" t="s">
        <v>639</v>
      </c>
      <c r="M503" s="392" t="s">
        <v>2804</v>
      </c>
      <c r="N503" s="343"/>
      <c r="O503" s="343"/>
      <c r="P503" s="70" t="s">
        <v>1012</v>
      </c>
      <c r="Q503" s="346"/>
      <c r="R503" s="343"/>
      <c r="S503" s="346"/>
      <c r="T503" s="150" t="s">
        <v>25</v>
      </c>
      <c r="U503" s="150"/>
      <c r="V503" s="403"/>
      <c r="W503" s="406">
        <v>130</v>
      </c>
      <c r="X503" s="406">
        <v>130</v>
      </c>
      <c r="Y503" s="425"/>
      <c r="Z503" s="71"/>
      <c r="AA503" s="426"/>
      <c r="AB503" s="427"/>
      <c r="AC503" s="427"/>
      <c r="AD503" s="428" t="s">
        <v>1142</v>
      </c>
      <c r="AE503" s="429">
        <v>0</v>
      </c>
      <c r="AF503" s="429">
        <v>0</v>
      </c>
      <c r="AG503" s="360">
        <v>0</v>
      </c>
      <c r="AH503" s="360">
        <v>0</v>
      </c>
      <c r="AI503" s="360">
        <v>0</v>
      </c>
      <c r="AJ503" s="360">
        <v>0</v>
      </c>
      <c r="AK503" s="360">
        <v>0</v>
      </c>
      <c r="AL503" s="360">
        <v>0</v>
      </c>
      <c r="AM503" s="360">
        <f t="shared" si="29"/>
        <v>0</v>
      </c>
      <c r="AN503" s="362">
        <f>ERP_26[[#This Row],[2026 Working Total]]-ERP_26[[#This Row],[LE2 Final Submission]]</f>
        <v>-130</v>
      </c>
      <c r="AO503" s="79"/>
      <c r="AP503" s="79">
        <f t="shared" si="28"/>
        <v>0</v>
      </c>
      <c r="AQ503" s="374">
        <f>SUM(ERP_26[[#This Row],[AP01]:[AP06]])-SUM(ERP_26[[#This Row],[AP01 LE2]:[AP06 LE2]])</f>
        <v>-130</v>
      </c>
      <c r="AR503" s="80"/>
      <c r="AS503" s="79">
        <f>ERP_26[[#This Row],[2026 Working Total to Budget/LE]]-ERP_26[[#This Row],[Giveback]]</f>
        <v>-130</v>
      </c>
      <c r="AT503" s="81"/>
      <c r="AU503" s="375"/>
      <c r="AV503" s="375"/>
      <c r="AW503" s="375"/>
      <c r="AX503" s="375"/>
      <c r="AY503" s="375"/>
      <c r="AZ503" s="375">
        <v>130</v>
      </c>
      <c r="BA503" s="375">
        <v>0</v>
      </c>
      <c r="BB503" s="375">
        <v>0</v>
      </c>
      <c r="BC503" s="375">
        <v>0</v>
      </c>
      <c r="BD503" s="375">
        <v>0</v>
      </c>
      <c r="BE503" s="375">
        <v>0</v>
      </c>
      <c r="BF503" s="375">
        <v>0</v>
      </c>
      <c r="BG503" s="375">
        <v>130</v>
      </c>
      <c r="BH503" s="79"/>
      <c r="BI503" s="79"/>
      <c r="BJ503" s="79"/>
      <c r="BK503" s="79"/>
      <c r="BL503" s="79"/>
      <c r="BM503" s="79">
        <v>130</v>
      </c>
      <c r="BN503" s="79">
        <v>0</v>
      </c>
      <c r="BO503" s="79">
        <v>0</v>
      </c>
      <c r="BP503" s="79">
        <v>0</v>
      </c>
      <c r="BQ503" s="79">
        <v>0</v>
      </c>
      <c r="BR503" s="79">
        <v>0</v>
      </c>
      <c r="BS503" s="79">
        <v>0</v>
      </c>
      <c r="BT503" s="79">
        <v>130</v>
      </c>
    </row>
    <row r="504" spans="1:72" ht="15" customHeight="1">
      <c r="A504" s="66" t="s">
        <v>2688</v>
      </c>
      <c r="B504" s="66"/>
      <c r="C504" s="66" t="s">
        <v>1013</v>
      </c>
      <c r="D504" s="66" t="s">
        <v>2689</v>
      </c>
      <c r="E504" s="150" t="s">
        <v>1136</v>
      </c>
      <c r="F504" s="482" t="s">
        <v>1566</v>
      </c>
      <c r="G504" s="482" t="s">
        <v>1566</v>
      </c>
      <c r="H504" s="482" t="s">
        <v>1566</v>
      </c>
      <c r="I504" s="150" t="s">
        <v>1345</v>
      </c>
      <c r="J504" s="150" t="s">
        <v>1346</v>
      </c>
      <c r="K504" s="150" t="s">
        <v>1346</v>
      </c>
      <c r="L504" s="511" t="s">
        <v>639</v>
      </c>
      <c r="M504" s="392" t="s">
        <v>2690</v>
      </c>
      <c r="N504" s="343"/>
      <c r="O504" s="343"/>
      <c r="P504" s="70" t="s">
        <v>1014</v>
      </c>
      <c r="Q504" s="346"/>
      <c r="R504" s="343"/>
      <c r="S504" s="346"/>
      <c r="T504" s="150" t="s">
        <v>25</v>
      </c>
      <c r="U504" s="150" t="s">
        <v>2913</v>
      </c>
      <c r="V504" s="403"/>
      <c r="W504" s="406">
        <v>250000</v>
      </c>
      <c r="X504" s="406">
        <v>250000</v>
      </c>
      <c r="Y504" s="430"/>
      <c r="Z504" s="137"/>
      <c r="AA504" s="426"/>
      <c r="AB504" s="427"/>
      <c r="AC504" s="427"/>
      <c r="AD504" s="428" t="s">
        <v>1142</v>
      </c>
      <c r="AE504" s="429">
        <v>0</v>
      </c>
      <c r="AF504" s="429">
        <v>0</v>
      </c>
      <c r="AG504" s="360">
        <v>0</v>
      </c>
      <c r="AH504" s="360">
        <v>0</v>
      </c>
      <c r="AI504" s="360">
        <v>0</v>
      </c>
      <c r="AJ504" s="360">
        <v>0</v>
      </c>
      <c r="AK504" s="360">
        <v>0</v>
      </c>
      <c r="AL504" s="360">
        <v>0</v>
      </c>
      <c r="AM504" s="360">
        <f t="shared" si="29"/>
        <v>0</v>
      </c>
      <c r="AN504" s="362">
        <f>ERP_26[[#This Row],[2026 Working Total]]-ERP_26[[#This Row],[LE2 Final Submission]]</f>
        <v>-250000</v>
      </c>
      <c r="AO504" s="79"/>
      <c r="AP504" s="79">
        <f t="shared" si="28"/>
        <v>0</v>
      </c>
      <c r="AQ504" s="374">
        <f>SUM(ERP_26[[#This Row],[AP01]:[AP06]])-SUM(ERP_26[[#This Row],[AP01 LE2]:[AP06 LE2]])</f>
        <v>-250000</v>
      </c>
      <c r="AR504" s="80"/>
      <c r="AS504" s="79">
        <f>ERP_26[[#This Row],[2026 Working Total to Budget/LE]]-ERP_26[[#This Row],[Giveback]]</f>
        <v>-250000</v>
      </c>
      <c r="AT504" s="81"/>
      <c r="AU504" s="375"/>
      <c r="AV504" s="375"/>
      <c r="AW504" s="375"/>
      <c r="AX504" s="375"/>
      <c r="AY504" s="375"/>
      <c r="AZ504" s="375">
        <v>250000</v>
      </c>
      <c r="BA504" s="375">
        <v>0</v>
      </c>
      <c r="BB504" s="375">
        <v>0</v>
      </c>
      <c r="BC504" s="375">
        <v>0</v>
      </c>
      <c r="BD504" s="375">
        <v>0</v>
      </c>
      <c r="BE504" s="375">
        <v>0</v>
      </c>
      <c r="BF504" s="375">
        <v>0</v>
      </c>
      <c r="BG504" s="375">
        <v>250000</v>
      </c>
      <c r="BH504" s="79"/>
      <c r="BI504" s="79"/>
      <c r="BJ504" s="79"/>
      <c r="BK504" s="79"/>
      <c r="BL504" s="79"/>
      <c r="BM504" s="79">
        <v>250000</v>
      </c>
      <c r="BN504" s="79">
        <v>0</v>
      </c>
      <c r="BO504" s="79">
        <v>0</v>
      </c>
      <c r="BP504" s="79">
        <v>0</v>
      </c>
      <c r="BQ504" s="79">
        <v>0</v>
      </c>
      <c r="BR504" s="79">
        <v>0</v>
      </c>
      <c r="BS504" s="79">
        <v>0</v>
      </c>
      <c r="BT504" s="79">
        <v>250000</v>
      </c>
    </row>
    <row r="505" spans="1:72" ht="15" customHeight="1">
      <c r="A505" s="66" t="s">
        <v>2835</v>
      </c>
      <c r="B505" s="66"/>
      <c r="C505" s="66" t="s">
        <v>1032</v>
      </c>
      <c r="D505" s="66" t="s">
        <v>2836</v>
      </c>
      <c r="E505" s="150" t="s">
        <v>1136</v>
      </c>
      <c r="F505" s="482" t="s">
        <v>1566</v>
      </c>
      <c r="G505" s="150" t="s">
        <v>1566</v>
      </c>
      <c r="H505" s="150" t="s">
        <v>1566</v>
      </c>
      <c r="I505" s="150" t="s">
        <v>1567</v>
      </c>
      <c r="J505" s="150" t="s">
        <v>1567</v>
      </c>
      <c r="K505" s="150" t="s">
        <v>1567</v>
      </c>
      <c r="L505" s="511" t="s">
        <v>1027</v>
      </c>
      <c r="M505" s="392" t="s">
        <v>1645</v>
      </c>
      <c r="N505" s="343"/>
      <c r="O505" s="343"/>
      <c r="P505" s="70" t="s">
        <v>321</v>
      </c>
      <c r="Q505" s="346"/>
      <c r="R505" s="343"/>
      <c r="S505" s="346"/>
      <c r="T505" s="150" t="s">
        <v>25</v>
      </c>
      <c r="U505" s="150"/>
      <c r="V505" s="403"/>
      <c r="W505" s="406">
        <v>0</v>
      </c>
      <c r="X505" s="406">
        <v>8.51</v>
      </c>
      <c r="Y505" s="425"/>
      <c r="Z505" s="71"/>
      <c r="AA505" s="426"/>
      <c r="AB505" s="427">
        <v>8.51</v>
      </c>
      <c r="AC505" s="431">
        <v>0</v>
      </c>
      <c r="AD505" s="428" t="s">
        <v>1142</v>
      </c>
      <c r="AE505" s="429">
        <v>0</v>
      </c>
      <c r="AF505" s="429">
        <v>0</v>
      </c>
      <c r="AG505" s="360">
        <v>0</v>
      </c>
      <c r="AH505" s="360">
        <v>0</v>
      </c>
      <c r="AI505" s="360">
        <v>0</v>
      </c>
      <c r="AJ505" s="360">
        <v>0</v>
      </c>
      <c r="AK505" s="360">
        <v>0</v>
      </c>
      <c r="AL505" s="360">
        <v>0</v>
      </c>
      <c r="AM505" s="360">
        <f t="shared" si="29"/>
        <v>8.51</v>
      </c>
      <c r="AN505" s="362">
        <f>ERP_26[[#This Row],[2026 Working Total]]-ERP_26[[#This Row],[LE2 Final Submission]]</f>
        <v>0</v>
      </c>
      <c r="AO505" s="79">
        <v>0</v>
      </c>
      <c r="AP505" s="79">
        <f t="shared" si="28"/>
        <v>0</v>
      </c>
      <c r="AQ505" s="374">
        <f>SUM(ERP_26[[#This Row],[AP01]:[AP06]])-SUM(ERP_26[[#This Row],[AP01 LE2]:[AP06 LE2]])</f>
        <v>0</v>
      </c>
      <c r="AR505" s="80"/>
      <c r="AS505" s="79">
        <f>ERP_26[[#This Row],[2026 Working Total to Budget/LE]]-ERP_26[[#This Row],[Giveback]]</f>
        <v>0</v>
      </c>
      <c r="AT505" s="81"/>
      <c r="AU505" s="375"/>
      <c r="AV505" s="375">
        <v>8.51</v>
      </c>
      <c r="AW505" s="375">
        <v>0</v>
      </c>
      <c r="AX505" s="375">
        <v>0</v>
      </c>
      <c r="AY505" s="375">
        <v>0</v>
      </c>
      <c r="AZ505" s="375">
        <v>0</v>
      </c>
      <c r="BA505" s="375">
        <v>0</v>
      </c>
      <c r="BB505" s="375">
        <v>0</v>
      </c>
      <c r="BC505" s="375">
        <v>0</v>
      </c>
      <c r="BD505" s="375">
        <v>0</v>
      </c>
      <c r="BE505" s="375">
        <v>0</v>
      </c>
      <c r="BF505" s="375">
        <v>0</v>
      </c>
      <c r="BG505" s="375">
        <v>8.51</v>
      </c>
      <c r="BH505" s="79"/>
      <c r="BI505" s="79">
        <v>8.51</v>
      </c>
      <c r="BJ505" s="79">
        <v>0</v>
      </c>
      <c r="BK505" s="79">
        <v>0</v>
      </c>
      <c r="BL505" s="79">
        <v>0</v>
      </c>
      <c r="BM505" s="79">
        <v>0</v>
      </c>
      <c r="BN505" s="79">
        <v>0</v>
      </c>
      <c r="BO505" s="79">
        <v>0</v>
      </c>
      <c r="BP505" s="79">
        <v>0</v>
      </c>
      <c r="BQ505" s="79">
        <v>0</v>
      </c>
      <c r="BR505" s="79">
        <v>0</v>
      </c>
      <c r="BS505" s="79">
        <v>0</v>
      </c>
      <c r="BT505" s="79">
        <v>8.51</v>
      </c>
    </row>
    <row r="506" spans="1:72" ht="15" customHeight="1">
      <c r="A506" s="66" t="s">
        <v>2837</v>
      </c>
      <c r="B506" s="66"/>
      <c r="C506" s="66" t="s">
        <v>1033</v>
      </c>
      <c r="D506" s="66" t="s">
        <v>2838</v>
      </c>
      <c r="E506" s="150" t="s">
        <v>1136</v>
      </c>
      <c r="F506" s="482" t="s">
        <v>1566</v>
      </c>
      <c r="G506" s="482" t="s">
        <v>1566</v>
      </c>
      <c r="H506" s="482" t="s">
        <v>1566</v>
      </c>
      <c r="I506" s="150" t="s">
        <v>1345</v>
      </c>
      <c r="J506" s="150" t="s">
        <v>1346</v>
      </c>
      <c r="K506" s="150" t="s">
        <v>1346</v>
      </c>
      <c r="L506" s="511" t="s">
        <v>1027</v>
      </c>
      <c r="M506" s="392" t="s">
        <v>1648</v>
      </c>
      <c r="N506" s="343"/>
      <c r="O506" s="343"/>
      <c r="P506" s="70" t="s">
        <v>636</v>
      </c>
      <c r="Q506" s="346"/>
      <c r="R506" s="343"/>
      <c r="S506" s="346"/>
      <c r="T506" s="150" t="s">
        <v>25</v>
      </c>
      <c r="U506" s="150"/>
      <c r="V506" s="403"/>
      <c r="W506" s="406">
        <v>0</v>
      </c>
      <c r="X506" s="406">
        <v>11.32</v>
      </c>
      <c r="Y506" s="425"/>
      <c r="Z506" s="71"/>
      <c r="AA506" s="426"/>
      <c r="AB506" s="427">
        <v>11.32</v>
      </c>
      <c r="AC506" s="431">
        <v>0</v>
      </c>
      <c r="AD506" s="428" t="s">
        <v>1142</v>
      </c>
      <c r="AE506" s="429">
        <v>0</v>
      </c>
      <c r="AF506" s="429">
        <v>0</v>
      </c>
      <c r="AG506" s="360">
        <v>0</v>
      </c>
      <c r="AH506" s="360">
        <v>0</v>
      </c>
      <c r="AI506" s="360">
        <v>0</v>
      </c>
      <c r="AJ506" s="360">
        <v>0</v>
      </c>
      <c r="AK506" s="360">
        <v>0</v>
      </c>
      <c r="AL506" s="360">
        <v>0</v>
      </c>
      <c r="AM506" s="360">
        <f t="shared" si="29"/>
        <v>11.32</v>
      </c>
      <c r="AN506" s="362">
        <f>ERP_26[[#This Row],[2026 Working Total]]-ERP_26[[#This Row],[LE2 Final Submission]]</f>
        <v>0</v>
      </c>
      <c r="AO506" s="79">
        <v>0</v>
      </c>
      <c r="AP506" s="79">
        <f t="shared" si="28"/>
        <v>0</v>
      </c>
      <c r="AQ506" s="374">
        <f>SUM(ERP_26[[#This Row],[AP01]:[AP06]])-SUM(ERP_26[[#This Row],[AP01 LE2]:[AP06 LE2]])</f>
        <v>0</v>
      </c>
      <c r="AR506" s="80"/>
      <c r="AS506" s="79">
        <f>ERP_26[[#This Row],[2026 Working Total to Budget/LE]]-ERP_26[[#This Row],[Giveback]]</f>
        <v>0</v>
      </c>
      <c r="AT506" s="81"/>
      <c r="AU506" s="375"/>
      <c r="AV506" s="375">
        <v>11.32</v>
      </c>
      <c r="AW506" s="375">
        <v>0</v>
      </c>
      <c r="AX506" s="375">
        <v>0</v>
      </c>
      <c r="AY506" s="375">
        <v>0</v>
      </c>
      <c r="AZ506" s="375">
        <v>0</v>
      </c>
      <c r="BA506" s="375">
        <v>0</v>
      </c>
      <c r="BB506" s="375">
        <v>0</v>
      </c>
      <c r="BC506" s="375">
        <v>0</v>
      </c>
      <c r="BD506" s="375">
        <v>0</v>
      </c>
      <c r="BE506" s="375">
        <v>0</v>
      </c>
      <c r="BF506" s="375">
        <v>0</v>
      </c>
      <c r="BG506" s="375">
        <v>11.32</v>
      </c>
      <c r="BH506" s="79"/>
      <c r="BI506" s="79">
        <v>11.32</v>
      </c>
      <c r="BJ506" s="79">
        <v>0</v>
      </c>
      <c r="BK506" s="79">
        <v>0</v>
      </c>
      <c r="BL506" s="79">
        <v>0</v>
      </c>
      <c r="BM506" s="79">
        <v>0</v>
      </c>
      <c r="BN506" s="79">
        <v>0</v>
      </c>
      <c r="BO506" s="79">
        <v>0</v>
      </c>
      <c r="BP506" s="79">
        <v>0</v>
      </c>
      <c r="BQ506" s="79">
        <v>0</v>
      </c>
      <c r="BR506" s="79">
        <v>0</v>
      </c>
      <c r="BS506" s="79">
        <v>0</v>
      </c>
      <c r="BT506" s="79">
        <v>11.32</v>
      </c>
    </row>
    <row r="507" spans="1:72" ht="15" customHeight="1">
      <c r="A507" s="66" t="s">
        <v>2851</v>
      </c>
      <c r="B507" s="66"/>
      <c r="C507" s="66" t="s">
        <v>1043</v>
      </c>
      <c r="D507" s="66" t="s">
        <v>2852</v>
      </c>
      <c r="E507" s="150" t="s">
        <v>1136</v>
      </c>
      <c r="F507" s="482" t="s">
        <v>1566</v>
      </c>
      <c r="G507" s="482" t="s">
        <v>1566</v>
      </c>
      <c r="H507" s="482" t="s">
        <v>1566</v>
      </c>
      <c r="I507" s="150" t="s">
        <v>1345</v>
      </c>
      <c r="J507" s="150" t="s">
        <v>1346</v>
      </c>
      <c r="K507" s="150" t="s">
        <v>1346</v>
      </c>
      <c r="L507" s="511" t="s">
        <v>1037</v>
      </c>
      <c r="M507" s="392" t="s">
        <v>2853</v>
      </c>
      <c r="N507" s="343"/>
      <c r="O507" s="343"/>
      <c r="P507" s="70" t="s">
        <v>1044</v>
      </c>
      <c r="Q507" s="346"/>
      <c r="R507" s="343"/>
      <c r="S507" s="346"/>
      <c r="T507" s="150" t="s">
        <v>272</v>
      </c>
      <c r="U507" s="150"/>
      <c r="V507" s="403"/>
      <c r="W507" s="406">
        <v>0</v>
      </c>
      <c r="X507" s="406">
        <v>485.43</v>
      </c>
      <c r="Y507" s="425"/>
      <c r="Z507" s="71"/>
      <c r="AA507" s="426"/>
      <c r="AB507" s="427"/>
      <c r="AC507" s="427">
        <v>485.43</v>
      </c>
      <c r="AD507" s="428" t="s">
        <v>1142</v>
      </c>
      <c r="AE507" s="429">
        <v>0</v>
      </c>
      <c r="AF507" s="429">
        <v>0</v>
      </c>
      <c r="AG507" s="360">
        <v>0</v>
      </c>
      <c r="AH507" s="360">
        <v>0</v>
      </c>
      <c r="AI507" s="360">
        <v>0</v>
      </c>
      <c r="AJ507" s="360">
        <v>0</v>
      </c>
      <c r="AK507" s="360">
        <v>0</v>
      </c>
      <c r="AL507" s="360">
        <v>0</v>
      </c>
      <c r="AM507" s="360">
        <f t="shared" si="29"/>
        <v>485.43</v>
      </c>
      <c r="AN507" s="362">
        <f>ERP_26[[#This Row],[2026 Working Total]]-ERP_26[[#This Row],[LE2 Final Submission]]</f>
        <v>0</v>
      </c>
      <c r="AO507" s="79">
        <v>0</v>
      </c>
      <c r="AP507" s="79">
        <f t="shared" si="28"/>
        <v>0</v>
      </c>
      <c r="AQ507" s="374">
        <f>SUM(ERP_26[[#This Row],[AP01]:[AP06]])-SUM(ERP_26[[#This Row],[AP01 LE2]:[AP06 LE2]])</f>
        <v>0</v>
      </c>
      <c r="AR507" s="80"/>
      <c r="AS507" s="79">
        <f>ERP_26[[#This Row],[2026 Working Total to Budget/LE]]-ERP_26[[#This Row],[Giveback]]</f>
        <v>0</v>
      </c>
      <c r="AT507" s="81"/>
      <c r="AU507" s="375"/>
      <c r="AV507" s="375"/>
      <c r="AW507" s="375">
        <v>485.43</v>
      </c>
      <c r="AX507" s="375">
        <v>0</v>
      </c>
      <c r="AY507" s="375">
        <v>0</v>
      </c>
      <c r="AZ507" s="375">
        <v>0</v>
      </c>
      <c r="BA507" s="375">
        <v>0</v>
      </c>
      <c r="BB507" s="375">
        <v>0</v>
      </c>
      <c r="BC507" s="375">
        <v>0</v>
      </c>
      <c r="BD507" s="375">
        <v>0</v>
      </c>
      <c r="BE507" s="375">
        <v>0</v>
      </c>
      <c r="BF507" s="375">
        <v>0</v>
      </c>
      <c r="BG507" s="375">
        <v>485.43</v>
      </c>
      <c r="BH507" s="79"/>
      <c r="BI507" s="79"/>
      <c r="BJ507" s="79">
        <v>485.43</v>
      </c>
      <c r="BK507" s="79">
        <v>0</v>
      </c>
      <c r="BL507" s="79">
        <v>0</v>
      </c>
      <c r="BM507" s="79">
        <v>0</v>
      </c>
      <c r="BN507" s="79">
        <v>0</v>
      </c>
      <c r="BO507" s="79">
        <v>0</v>
      </c>
      <c r="BP507" s="79">
        <v>0</v>
      </c>
      <c r="BQ507" s="79">
        <v>0</v>
      </c>
      <c r="BR507" s="79">
        <v>0</v>
      </c>
      <c r="BS507" s="79">
        <v>0</v>
      </c>
      <c r="BT507" s="79">
        <v>485.43</v>
      </c>
    </row>
    <row r="508" spans="1:72" ht="15" customHeight="1">
      <c r="A508" s="66" t="s">
        <v>2854</v>
      </c>
      <c r="B508" s="66"/>
      <c r="C508" s="66" t="s">
        <v>1045</v>
      </c>
      <c r="D508" s="66" t="s">
        <v>2855</v>
      </c>
      <c r="E508" s="150" t="s">
        <v>1136</v>
      </c>
      <c r="F508" s="482" t="s">
        <v>1566</v>
      </c>
      <c r="G508" s="482" t="s">
        <v>1566</v>
      </c>
      <c r="H508" s="482" t="s">
        <v>1566</v>
      </c>
      <c r="I508" s="150" t="s">
        <v>1345</v>
      </c>
      <c r="J508" s="150" t="s">
        <v>1346</v>
      </c>
      <c r="K508" s="150" t="s">
        <v>1346</v>
      </c>
      <c r="L508" s="511" t="s">
        <v>1037</v>
      </c>
      <c r="M508" s="392" t="s">
        <v>2856</v>
      </c>
      <c r="N508" s="343"/>
      <c r="O508" s="343"/>
      <c r="P508" s="70" t="s">
        <v>318</v>
      </c>
      <c r="Q508" s="346"/>
      <c r="R508" s="343"/>
      <c r="S508" s="346"/>
      <c r="T508" s="150" t="s">
        <v>25</v>
      </c>
      <c r="U508" s="150"/>
      <c r="V508" s="403"/>
      <c r="W508" s="406">
        <v>0</v>
      </c>
      <c r="X508" s="406">
        <v>1583.99</v>
      </c>
      <c r="Y508" s="425"/>
      <c r="Z508" s="71"/>
      <c r="AA508" s="426"/>
      <c r="AB508" s="427"/>
      <c r="AC508" s="427">
        <v>1583.99</v>
      </c>
      <c r="AD508" s="428" t="s">
        <v>1142</v>
      </c>
      <c r="AE508" s="429">
        <v>0</v>
      </c>
      <c r="AF508" s="429">
        <v>0</v>
      </c>
      <c r="AG508" s="360">
        <v>0</v>
      </c>
      <c r="AH508" s="360">
        <v>0</v>
      </c>
      <c r="AI508" s="360">
        <v>0</v>
      </c>
      <c r="AJ508" s="360">
        <v>0</v>
      </c>
      <c r="AK508" s="360">
        <v>0</v>
      </c>
      <c r="AL508" s="360">
        <v>0</v>
      </c>
      <c r="AM508" s="360">
        <f t="shared" si="29"/>
        <v>1583.99</v>
      </c>
      <c r="AN508" s="362">
        <f>ERP_26[[#This Row],[2026 Working Total]]-ERP_26[[#This Row],[LE2 Final Submission]]</f>
        <v>0</v>
      </c>
      <c r="AO508" s="79">
        <v>0</v>
      </c>
      <c r="AP508" s="79">
        <f t="shared" si="28"/>
        <v>0</v>
      </c>
      <c r="AQ508" s="374">
        <f>SUM(ERP_26[[#This Row],[AP01]:[AP06]])-SUM(ERP_26[[#This Row],[AP01 LE2]:[AP06 LE2]])</f>
        <v>0</v>
      </c>
      <c r="AR508" s="80"/>
      <c r="AS508" s="79">
        <f>ERP_26[[#This Row],[2026 Working Total to Budget/LE]]-ERP_26[[#This Row],[Giveback]]</f>
        <v>0</v>
      </c>
      <c r="AT508" s="81"/>
      <c r="AU508" s="375"/>
      <c r="AV508" s="375"/>
      <c r="AW508" s="375">
        <v>1583.99</v>
      </c>
      <c r="AX508" s="375">
        <v>0</v>
      </c>
      <c r="AY508" s="375">
        <v>0</v>
      </c>
      <c r="AZ508" s="375">
        <v>0</v>
      </c>
      <c r="BA508" s="375">
        <v>0</v>
      </c>
      <c r="BB508" s="375">
        <v>0</v>
      </c>
      <c r="BC508" s="375">
        <v>0</v>
      </c>
      <c r="BD508" s="375">
        <v>0</v>
      </c>
      <c r="BE508" s="375">
        <v>0</v>
      </c>
      <c r="BF508" s="375">
        <v>0</v>
      </c>
      <c r="BG508" s="375">
        <v>1583.99</v>
      </c>
      <c r="BH508" s="79"/>
      <c r="BI508" s="79"/>
      <c r="BJ508" s="79">
        <v>1583.99</v>
      </c>
      <c r="BK508" s="79">
        <v>0</v>
      </c>
      <c r="BL508" s="79">
        <v>0</v>
      </c>
      <c r="BM508" s="79">
        <v>0</v>
      </c>
      <c r="BN508" s="79">
        <v>0</v>
      </c>
      <c r="BO508" s="79">
        <v>0</v>
      </c>
      <c r="BP508" s="79">
        <v>0</v>
      </c>
      <c r="BQ508" s="79">
        <v>0</v>
      </c>
      <c r="BR508" s="79">
        <v>0</v>
      </c>
      <c r="BS508" s="79">
        <v>0</v>
      </c>
      <c r="BT508" s="79">
        <v>1583.99</v>
      </c>
    </row>
    <row r="509" spans="1:72" ht="15" customHeight="1">
      <c r="A509" s="66" t="s">
        <v>2857</v>
      </c>
      <c r="B509" s="66"/>
      <c r="C509" s="66" t="s">
        <v>1046</v>
      </c>
      <c r="D509" s="66" t="s">
        <v>2858</v>
      </c>
      <c r="E509" s="150" t="s">
        <v>1136</v>
      </c>
      <c r="F509" s="482" t="s">
        <v>1566</v>
      </c>
      <c r="G509" s="482" t="s">
        <v>1566</v>
      </c>
      <c r="H509" s="482" t="s">
        <v>1566</v>
      </c>
      <c r="I509" s="150" t="s">
        <v>1345</v>
      </c>
      <c r="J509" s="150" t="s">
        <v>1346</v>
      </c>
      <c r="K509" s="150" t="s">
        <v>1346</v>
      </c>
      <c r="L509" s="511" t="s">
        <v>1037</v>
      </c>
      <c r="M509" s="392" t="s">
        <v>1648</v>
      </c>
      <c r="N509" s="343"/>
      <c r="O509" s="343"/>
      <c r="P509" s="70" t="s">
        <v>323</v>
      </c>
      <c r="Q509" s="346"/>
      <c r="R509" s="343"/>
      <c r="S509" s="346"/>
      <c r="T509" s="150" t="s">
        <v>25</v>
      </c>
      <c r="U509" s="150"/>
      <c r="V509" s="403"/>
      <c r="W509" s="406">
        <v>0</v>
      </c>
      <c r="X509" s="406">
        <v>64.67</v>
      </c>
      <c r="Y509" s="430"/>
      <c r="Z509" s="137"/>
      <c r="AA509" s="426"/>
      <c r="AB509" s="427">
        <v>64.67</v>
      </c>
      <c r="AC509" s="431">
        <v>0</v>
      </c>
      <c r="AD509" s="428" t="s">
        <v>1142</v>
      </c>
      <c r="AE509" s="429">
        <v>0</v>
      </c>
      <c r="AF509" s="429">
        <v>0</v>
      </c>
      <c r="AG509" s="360">
        <v>0</v>
      </c>
      <c r="AH509" s="360">
        <v>0</v>
      </c>
      <c r="AI509" s="360">
        <v>0</v>
      </c>
      <c r="AJ509" s="360">
        <v>0</v>
      </c>
      <c r="AK509" s="360">
        <v>0</v>
      </c>
      <c r="AL509" s="360">
        <v>0</v>
      </c>
      <c r="AM509" s="360">
        <f t="shared" si="29"/>
        <v>64.67</v>
      </c>
      <c r="AN509" s="362">
        <f>ERP_26[[#This Row],[2026 Working Total]]-ERP_26[[#This Row],[LE2 Final Submission]]</f>
        <v>0</v>
      </c>
      <c r="AO509" s="79">
        <v>0</v>
      </c>
      <c r="AP509" s="79">
        <f t="shared" si="28"/>
        <v>0</v>
      </c>
      <c r="AQ509" s="374">
        <f>SUM(ERP_26[[#This Row],[AP01]:[AP06]])-SUM(ERP_26[[#This Row],[AP01 LE2]:[AP06 LE2]])</f>
        <v>0</v>
      </c>
      <c r="AR509" s="80"/>
      <c r="AS509" s="79">
        <f>ERP_26[[#This Row],[2026 Working Total to Budget/LE]]-ERP_26[[#This Row],[Giveback]]</f>
        <v>0</v>
      </c>
      <c r="AT509" s="81"/>
      <c r="AU509" s="375"/>
      <c r="AV509" s="375">
        <v>64.67</v>
      </c>
      <c r="AW509" s="375">
        <v>0</v>
      </c>
      <c r="AX509" s="375">
        <v>0</v>
      </c>
      <c r="AY509" s="375">
        <v>0</v>
      </c>
      <c r="AZ509" s="375">
        <v>0</v>
      </c>
      <c r="BA509" s="375">
        <v>0</v>
      </c>
      <c r="BB509" s="375">
        <v>0</v>
      </c>
      <c r="BC509" s="375">
        <v>0</v>
      </c>
      <c r="BD509" s="375">
        <v>0</v>
      </c>
      <c r="BE509" s="375">
        <v>0</v>
      </c>
      <c r="BF509" s="375">
        <v>0</v>
      </c>
      <c r="BG509" s="375">
        <v>64.67</v>
      </c>
      <c r="BH509" s="79"/>
      <c r="BI509" s="79">
        <v>64.67</v>
      </c>
      <c r="BJ509" s="79">
        <v>0</v>
      </c>
      <c r="BK509" s="79">
        <v>0</v>
      </c>
      <c r="BL509" s="79">
        <v>0</v>
      </c>
      <c r="BM509" s="79">
        <v>0</v>
      </c>
      <c r="BN509" s="79">
        <v>0</v>
      </c>
      <c r="BO509" s="79">
        <v>0</v>
      </c>
      <c r="BP509" s="79">
        <v>0</v>
      </c>
      <c r="BQ509" s="79">
        <v>0</v>
      </c>
      <c r="BR509" s="79">
        <v>0</v>
      </c>
      <c r="BS509" s="79">
        <v>0</v>
      </c>
      <c r="BT509" s="79">
        <v>64.67</v>
      </c>
    </row>
    <row r="510" spans="1:72" ht="15" customHeight="1">
      <c r="A510" s="66" t="s">
        <v>2864</v>
      </c>
      <c r="B510" s="66"/>
      <c r="C510" s="66" t="s">
        <v>1048</v>
      </c>
      <c r="D510" s="66" t="s">
        <v>2865</v>
      </c>
      <c r="E510" s="150" t="s">
        <v>1136</v>
      </c>
      <c r="F510" s="482" t="s">
        <v>1566</v>
      </c>
      <c r="G510" s="150" t="s">
        <v>1566</v>
      </c>
      <c r="H510" s="150" t="s">
        <v>1566</v>
      </c>
      <c r="I510" s="150" t="s">
        <v>1567</v>
      </c>
      <c r="J510" s="150" t="s">
        <v>1567</v>
      </c>
      <c r="K510" s="150" t="s">
        <v>1567</v>
      </c>
      <c r="L510" s="511" t="s">
        <v>1037</v>
      </c>
      <c r="M510" s="392" t="s">
        <v>1049</v>
      </c>
      <c r="N510" s="343"/>
      <c r="O510" s="343"/>
      <c r="P510" s="70" t="s">
        <v>1049</v>
      </c>
      <c r="Q510" s="346"/>
      <c r="R510" s="346" t="s">
        <v>1140</v>
      </c>
      <c r="S510" s="346"/>
      <c r="T510" s="150" t="s">
        <v>44</v>
      </c>
      <c r="U510" s="150"/>
      <c r="V510" s="403"/>
      <c r="W510" s="406">
        <v>285714.29000400001</v>
      </c>
      <c r="X510" s="406">
        <v>214285.71750299999</v>
      </c>
      <c r="Y510" s="425"/>
      <c r="Z510" s="71"/>
      <c r="AA510" s="426"/>
      <c r="AB510" s="427"/>
      <c r="AC510" s="427"/>
      <c r="AD510" s="428" t="s">
        <v>1142</v>
      </c>
      <c r="AE510" s="429">
        <v>0</v>
      </c>
      <c r="AF510" s="429">
        <v>0</v>
      </c>
      <c r="AG510" s="363">
        <v>23809.524167</v>
      </c>
      <c r="AH510" s="363">
        <v>23809.524167</v>
      </c>
      <c r="AI510" s="363">
        <v>23809.524167</v>
      </c>
      <c r="AJ510" s="363">
        <v>23809.524167</v>
      </c>
      <c r="AK510" s="363">
        <v>23809.524167</v>
      </c>
      <c r="AL510" s="363">
        <v>23809.524167</v>
      </c>
      <c r="AM510" s="360">
        <f t="shared" si="29"/>
        <v>142857.145002</v>
      </c>
      <c r="AN510" s="362">
        <f>ERP_26[[#This Row],[2026 Working Total]]-ERP_26[[#This Row],[LE2 Final Submission]]</f>
        <v>-71428.572500999988</v>
      </c>
      <c r="AO510" s="79">
        <v>23809.524167</v>
      </c>
      <c r="AP510" s="79">
        <f t="shared" si="28"/>
        <v>-23809.524167</v>
      </c>
      <c r="AQ510" s="374">
        <f>SUM(ERP_26[[#This Row],[AP01]:[AP06]])-SUM(ERP_26[[#This Row],[AP01 LE2]:[AP06 LE2]])</f>
        <v>-71428.572501000002</v>
      </c>
      <c r="AR510" s="80"/>
      <c r="AS510" s="79">
        <f>ERP_26[[#This Row],[2026 Working Total to Budget/LE]]-ERP_26[[#This Row],[Giveback]]</f>
        <v>-71428.572500999988</v>
      </c>
      <c r="AT510" s="81"/>
      <c r="AU510" s="375"/>
      <c r="AV510" s="375"/>
      <c r="AW510" s="375"/>
      <c r="AX510" s="375">
        <v>23809.524167</v>
      </c>
      <c r="AY510" s="375">
        <v>23809.524167</v>
      </c>
      <c r="AZ510" s="375">
        <v>23809.524167</v>
      </c>
      <c r="BA510" s="375">
        <v>23809.524167</v>
      </c>
      <c r="BB510" s="375">
        <v>23809.524167</v>
      </c>
      <c r="BC510" s="375">
        <v>23809.524167</v>
      </c>
      <c r="BD510" s="375">
        <v>23809.524167</v>
      </c>
      <c r="BE510" s="375">
        <v>23809.524167</v>
      </c>
      <c r="BF510" s="375">
        <v>23809.524167</v>
      </c>
      <c r="BG510" s="375">
        <v>214285.71750299999</v>
      </c>
      <c r="BH510" s="79"/>
      <c r="BI510" s="79"/>
      <c r="BJ510" s="79"/>
      <c r="BK510" s="79">
        <v>23809.524167</v>
      </c>
      <c r="BL510" s="79">
        <v>23809.524167</v>
      </c>
      <c r="BM510" s="79">
        <v>23809.524167</v>
      </c>
      <c r="BN510" s="79">
        <v>23809.524167</v>
      </c>
      <c r="BO510" s="79">
        <v>23809.524167</v>
      </c>
      <c r="BP510" s="79">
        <v>23809.524167</v>
      </c>
      <c r="BQ510" s="79">
        <v>23809.524167</v>
      </c>
      <c r="BR510" s="79">
        <v>23809.524167</v>
      </c>
      <c r="BS510" s="79">
        <v>23809.524167</v>
      </c>
      <c r="BT510" s="79">
        <v>214285.71750299999</v>
      </c>
    </row>
    <row r="511" spans="1:72" ht="15" customHeight="1">
      <c r="A511" s="66" t="s">
        <v>2002</v>
      </c>
      <c r="B511" s="66"/>
      <c r="C511" s="66" t="s">
        <v>592</v>
      </c>
      <c r="D511" s="66" t="s">
        <v>2003</v>
      </c>
      <c r="E511" s="150" t="s">
        <v>1136</v>
      </c>
      <c r="F511" s="482" t="s">
        <v>1566</v>
      </c>
      <c r="G511" s="150" t="s">
        <v>2942</v>
      </c>
      <c r="H511" s="150" t="s">
        <v>2942</v>
      </c>
      <c r="I511" s="150" t="s">
        <v>1345</v>
      </c>
      <c r="J511" s="150" t="s">
        <v>2004</v>
      </c>
      <c r="K511" s="150" t="s">
        <v>1346</v>
      </c>
      <c r="L511" s="511" t="s">
        <v>389</v>
      </c>
      <c r="M511" s="392" t="s">
        <v>2005</v>
      </c>
      <c r="N511" s="343"/>
      <c r="O511" s="343"/>
      <c r="P511" s="70" t="s">
        <v>593</v>
      </c>
      <c r="Q511" s="346"/>
      <c r="R511" s="343"/>
      <c r="S511" s="346"/>
      <c r="T511" s="150" t="s">
        <v>152</v>
      </c>
      <c r="U511" s="150"/>
      <c r="V511" s="403"/>
      <c r="W511" s="406">
        <v>31560</v>
      </c>
      <c r="X511" s="406">
        <v>23670</v>
      </c>
      <c r="Y511" s="425"/>
      <c r="Z511" s="71"/>
      <c r="AA511" s="426"/>
      <c r="AB511" s="427"/>
      <c r="AC511" s="427"/>
      <c r="AD511" s="428" t="s">
        <v>1142</v>
      </c>
      <c r="AE511" s="429">
        <v>0</v>
      </c>
      <c r="AF511" s="429">
        <v>0</v>
      </c>
      <c r="AG511" s="363">
        <v>2630</v>
      </c>
      <c r="AH511" s="363">
        <v>2630</v>
      </c>
      <c r="AI511" s="363">
        <v>2630</v>
      </c>
      <c r="AJ511" s="363">
        <v>2630</v>
      </c>
      <c r="AK511" s="363">
        <v>2630</v>
      </c>
      <c r="AL511" s="363">
        <v>2630</v>
      </c>
      <c r="AM511" s="360">
        <f t="shared" si="29"/>
        <v>15780</v>
      </c>
      <c r="AN511" s="362">
        <f>ERP_26[[#This Row],[2026 Working Total]]-ERP_26[[#This Row],[LE2 Final Submission]]</f>
        <v>-7890</v>
      </c>
      <c r="AO511" s="79">
        <v>27992</v>
      </c>
      <c r="AP511" s="79">
        <f t="shared" si="28"/>
        <v>-27992</v>
      </c>
      <c r="AQ511" s="374">
        <f>SUM(ERP_26[[#This Row],[AP01]:[AP06]])-SUM(ERP_26[[#This Row],[AP01 LE2]:[AP06 LE2]])</f>
        <v>-7890</v>
      </c>
      <c r="AR511" s="80"/>
      <c r="AS511" s="79">
        <f>ERP_26[[#This Row],[2026 Working Total to Budget/LE]]-ERP_26[[#This Row],[Giveback]]</f>
        <v>-7890</v>
      </c>
      <c r="AT511" s="81"/>
      <c r="AU511" s="375"/>
      <c r="AV511" s="375"/>
      <c r="AW511" s="375"/>
      <c r="AX511" s="375">
        <v>2630</v>
      </c>
      <c r="AY511" s="375">
        <v>2630</v>
      </c>
      <c r="AZ511" s="375">
        <v>2630</v>
      </c>
      <c r="BA511" s="375">
        <v>2630</v>
      </c>
      <c r="BB511" s="375">
        <v>2630</v>
      </c>
      <c r="BC511" s="375">
        <v>2630</v>
      </c>
      <c r="BD511" s="375">
        <v>2630</v>
      </c>
      <c r="BE511" s="375">
        <v>2630</v>
      </c>
      <c r="BF511" s="375">
        <v>2630</v>
      </c>
      <c r="BG511" s="375">
        <v>23670</v>
      </c>
      <c r="BH511" s="79"/>
      <c r="BI511" s="79"/>
      <c r="BJ511" s="79"/>
      <c r="BK511" s="79">
        <v>2630</v>
      </c>
      <c r="BL511" s="79">
        <v>2630</v>
      </c>
      <c r="BM511" s="79">
        <v>2630</v>
      </c>
      <c r="BN511" s="79">
        <v>2630</v>
      </c>
      <c r="BO511" s="79">
        <v>2630</v>
      </c>
      <c r="BP511" s="79">
        <v>2630</v>
      </c>
      <c r="BQ511" s="79">
        <v>2630</v>
      </c>
      <c r="BR511" s="79">
        <v>2630</v>
      </c>
      <c r="BS511" s="79">
        <v>2630</v>
      </c>
      <c r="BT511" s="79">
        <v>23670</v>
      </c>
    </row>
    <row r="512" spans="1:72" ht="15" customHeight="1">
      <c r="A512" s="66" t="s">
        <v>2896</v>
      </c>
      <c r="B512" s="66"/>
      <c r="C512" s="66" t="s">
        <v>45</v>
      </c>
      <c r="D512" s="66" t="s">
        <v>45</v>
      </c>
      <c r="E512" s="150" t="s">
        <v>1136</v>
      </c>
      <c r="F512" s="482" t="s">
        <v>1566</v>
      </c>
      <c r="G512" s="150" t="s">
        <v>1650</v>
      </c>
      <c r="H512" s="150" t="s">
        <v>1650</v>
      </c>
      <c r="I512" s="150" t="s">
        <v>1650</v>
      </c>
      <c r="J512" s="150" t="s">
        <v>1650</v>
      </c>
      <c r="K512" s="150" t="s">
        <v>1650</v>
      </c>
      <c r="L512" s="511" t="s">
        <v>22</v>
      </c>
      <c r="M512" s="392" t="s">
        <v>2868</v>
      </c>
      <c r="N512" s="343"/>
      <c r="O512" s="343"/>
      <c r="P512" s="70" t="s">
        <v>24</v>
      </c>
      <c r="Q512" s="346" t="s">
        <v>1139</v>
      </c>
      <c r="R512" s="346" t="s">
        <v>1140</v>
      </c>
      <c r="S512" s="346"/>
      <c r="T512" s="150" t="s">
        <v>25</v>
      </c>
      <c r="U512" s="150"/>
      <c r="V512" s="403"/>
      <c r="W512" s="406">
        <v>763217.94999999984</v>
      </c>
      <c r="X512" s="406">
        <v>0</v>
      </c>
      <c r="Y512" s="425"/>
      <c r="Z512" s="71"/>
      <c r="AA512" s="426"/>
      <c r="AB512" s="427"/>
      <c r="AC512" s="427"/>
      <c r="AD512" s="428" t="s">
        <v>1142</v>
      </c>
      <c r="AE512" s="429">
        <v>0</v>
      </c>
      <c r="AF512" s="429">
        <v>0</v>
      </c>
      <c r="AG512" s="363"/>
      <c r="AH512" s="363"/>
      <c r="AI512" s="363"/>
      <c r="AJ512" s="363"/>
      <c r="AK512" s="363"/>
      <c r="AL512" s="363"/>
      <c r="AM512" s="360">
        <f t="shared" si="29"/>
        <v>0</v>
      </c>
      <c r="AN512" s="362">
        <f>ERP_26[[#This Row],[2026 Working Total]]-ERP_26[[#This Row],[LE2 Final Submission]]</f>
        <v>0</v>
      </c>
      <c r="AO512" s="79"/>
      <c r="AP512" s="79">
        <f t="shared" si="28"/>
        <v>0</v>
      </c>
      <c r="AQ512" s="374">
        <f>SUM(ERP_26[[#This Row],[AP01]:[AP06]])-SUM(ERP_26[[#This Row],[AP01 LE2]:[AP06 LE2]])</f>
        <v>0</v>
      </c>
      <c r="AR512" s="80"/>
      <c r="AS512" s="79">
        <f>ERP_26[[#This Row],[2026 Working Total to Budget/LE]]-ERP_26[[#This Row],[Giveback]]</f>
        <v>0</v>
      </c>
      <c r="AT512" s="81"/>
      <c r="AU512" s="375"/>
      <c r="AV512" s="375"/>
      <c r="AW512" s="375"/>
      <c r="AX512" s="375"/>
      <c r="AY512" s="375"/>
      <c r="AZ512" s="375"/>
      <c r="BA512" s="375"/>
      <c r="BB512" s="375"/>
      <c r="BC512" s="375"/>
      <c r="BD512" s="375"/>
      <c r="BE512" s="375"/>
      <c r="BF512" s="375"/>
      <c r="BG512" s="375">
        <v>0</v>
      </c>
      <c r="BH512" s="79">
        <v>60869.22</v>
      </c>
      <c r="BI512" s="79">
        <v>66348.7</v>
      </c>
      <c r="BJ512" s="79">
        <v>65556.320000000007</v>
      </c>
      <c r="BK512" s="79">
        <v>66648.33</v>
      </c>
      <c r="BL512" s="79">
        <v>58804.22</v>
      </c>
      <c r="BM512" s="79">
        <v>58804.22</v>
      </c>
      <c r="BN512" s="79">
        <v>58804.22</v>
      </c>
      <c r="BO512" s="79">
        <v>66557.960000000006</v>
      </c>
      <c r="BP512" s="79">
        <v>66703.34</v>
      </c>
      <c r="BQ512" s="79">
        <v>66703.34</v>
      </c>
      <c r="BR512" s="79">
        <v>66703.34</v>
      </c>
      <c r="BS512" s="79">
        <v>66703.34</v>
      </c>
      <c r="BT512" s="79">
        <v>769206.54999999993</v>
      </c>
    </row>
    <row r="513" spans="1:72" ht="15" customHeight="1">
      <c r="A513" s="66" t="s">
        <v>2897</v>
      </c>
      <c r="B513" s="66"/>
      <c r="C513" s="66" t="s">
        <v>46</v>
      </c>
      <c r="D513" s="66" t="s">
        <v>46</v>
      </c>
      <c r="E513" s="150" t="s">
        <v>1136</v>
      </c>
      <c r="F513" s="482" t="s">
        <v>1566</v>
      </c>
      <c r="G513" s="150" t="s">
        <v>1650</v>
      </c>
      <c r="H513" s="150" t="s">
        <v>1650</v>
      </c>
      <c r="I513" s="150" t="s">
        <v>1650</v>
      </c>
      <c r="J513" s="150" t="s">
        <v>1650</v>
      </c>
      <c r="K513" s="150" t="s">
        <v>1650</v>
      </c>
      <c r="L513" s="511" t="s">
        <v>22</v>
      </c>
      <c r="M513" s="392" t="s">
        <v>2870</v>
      </c>
      <c r="N513" s="343"/>
      <c r="O513" s="343"/>
      <c r="P513" s="70" t="s">
        <v>27</v>
      </c>
      <c r="Q513" s="346" t="s">
        <v>1139</v>
      </c>
      <c r="R513" s="346" t="s">
        <v>1140</v>
      </c>
      <c r="S513" s="346"/>
      <c r="T513" s="150" t="s">
        <v>25</v>
      </c>
      <c r="U513" s="150"/>
      <c r="V513" s="403"/>
      <c r="W513" s="406">
        <v>355072.04000000004</v>
      </c>
      <c r="X513" s="406">
        <v>0</v>
      </c>
      <c r="Y513" s="425"/>
      <c r="Z513" s="71"/>
      <c r="AA513" s="426"/>
      <c r="AB513" s="427"/>
      <c r="AC513" s="427"/>
      <c r="AD513" s="428" t="s">
        <v>1142</v>
      </c>
      <c r="AE513" s="429">
        <v>0</v>
      </c>
      <c r="AF513" s="429">
        <v>0</v>
      </c>
      <c r="AG513" s="363"/>
      <c r="AH513" s="363"/>
      <c r="AI513" s="363"/>
      <c r="AJ513" s="363"/>
      <c r="AK513" s="363"/>
      <c r="AL513" s="363"/>
      <c r="AM513" s="360">
        <f t="shared" si="29"/>
        <v>0</v>
      </c>
      <c r="AN513" s="362">
        <f>ERP_26[[#This Row],[2026 Working Total]]-ERP_26[[#This Row],[LE2 Final Submission]]</f>
        <v>0</v>
      </c>
      <c r="AO513" s="79"/>
      <c r="AP513" s="79">
        <f t="shared" si="28"/>
        <v>0</v>
      </c>
      <c r="AQ513" s="374">
        <f>SUM(ERP_26[[#This Row],[AP01]:[AP06]])-SUM(ERP_26[[#This Row],[AP01 LE2]:[AP06 LE2]])</f>
        <v>0</v>
      </c>
      <c r="AR513" s="80"/>
      <c r="AS513" s="79">
        <f>ERP_26[[#This Row],[2026 Working Total to Budget/LE]]-ERP_26[[#This Row],[Giveback]]</f>
        <v>0</v>
      </c>
      <c r="AT513" s="81"/>
      <c r="AU513" s="375"/>
      <c r="AV513" s="375"/>
      <c r="AW513" s="375"/>
      <c r="AX513" s="375"/>
      <c r="AY513" s="375"/>
      <c r="AZ513" s="375"/>
      <c r="BA513" s="375"/>
      <c r="BB513" s="375"/>
      <c r="BC513" s="375"/>
      <c r="BD513" s="375"/>
      <c r="BE513" s="375"/>
      <c r="BF513" s="375"/>
      <c r="BG513" s="375">
        <v>0</v>
      </c>
      <c r="BH513" s="79">
        <v>27497.84</v>
      </c>
      <c r="BI513" s="79">
        <v>27805.69</v>
      </c>
      <c r="BJ513" s="79">
        <v>37986.93</v>
      </c>
      <c r="BK513" s="79">
        <v>30575.919999999998</v>
      </c>
      <c r="BL513" s="79">
        <v>26871.200000000001</v>
      </c>
      <c r="BM513" s="79">
        <v>26871.200000000001</v>
      </c>
      <c r="BN513" s="79">
        <v>26871.200000000001</v>
      </c>
      <c r="BO513" s="79">
        <v>31487.49</v>
      </c>
      <c r="BP513" s="79">
        <v>31751.82</v>
      </c>
      <c r="BQ513" s="79">
        <v>31751.82</v>
      </c>
      <c r="BR513" s="79">
        <v>31751.82</v>
      </c>
      <c r="BS513" s="79">
        <v>31751.82</v>
      </c>
      <c r="BT513" s="79">
        <v>362974.75</v>
      </c>
    </row>
    <row r="514" spans="1:72" ht="15" customHeight="1">
      <c r="A514" s="66" t="s">
        <v>2898</v>
      </c>
      <c r="B514" s="66"/>
      <c r="C514" s="66" t="s">
        <v>47</v>
      </c>
      <c r="D514" s="66" t="s">
        <v>47</v>
      </c>
      <c r="E514" s="150" t="s">
        <v>1136</v>
      </c>
      <c r="F514" s="482" t="s">
        <v>1566</v>
      </c>
      <c r="G514" s="150" t="s">
        <v>1650</v>
      </c>
      <c r="H514" s="150" t="s">
        <v>1650</v>
      </c>
      <c r="I514" s="150" t="s">
        <v>1650</v>
      </c>
      <c r="J514" s="150" t="s">
        <v>1650</v>
      </c>
      <c r="K514" s="150" t="s">
        <v>1650</v>
      </c>
      <c r="L514" s="511" t="s">
        <v>22</v>
      </c>
      <c r="M514" s="392" t="s">
        <v>2872</v>
      </c>
      <c r="N514" s="343"/>
      <c r="O514" s="343"/>
      <c r="P514" s="70" t="s">
        <v>29</v>
      </c>
      <c r="Q514" s="346" t="s">
        <v>1139</v>
      </c>
      <c r="R514" s="346" t="s">
        <v>1140</v>
      </c>
      <c r="S514" s="346"/>
      <c r="T514" s="150" t="s">
        <v>25</v>
      </c>
      <c r="U514" s="150"/>
      <c r="V514" s="403"/>
      <c r="W514" s="406">
        <v>2029390.9400000004</v>
      </c>
      <c r="X514" s="406">
        <v>3060870.8486933634</v>
      </c>
      <c r="Y514" s="425"/>
      <c r="Z514" s="71"/>
      <c r="AA514" s="426">
        <v>238474.06999999998</v>
      </c>
      <c r="AB514" s="427">
        <v>255306.30000000005</v>
      </c>
      <c r="AC514" s="427">
        <v>190399.43</v>
      </c>
      <c r="AD514" s="428">
        <v>293204.89</v>
      </c>
      <c r="AE514" s="429">
        <v>312206.57999999996</v>
      </c>
      <c r="AF514" s="429">
        <v>165290.4</v>
      </c>
      <c r="AG514" s="363">
        <v>239240.83906981352</v>
      </c>
      <c r="AH514" s="363">
        <v>265188.32548648014</v>
      </c>
      <c r="AI514" s="363">
        <v>265188.32548648014</v>
      </c>
      <c r="AJ514" s="363">
        <v>278462.33017032093</v>
      </c>
      <c r="AK514" s="363">
        <v>278462.33017032093</v>
      </c>
      <c r="AL514" s="363">
        <v>278462.33017032093</v>
      </c>
      <c r="AM514" s="360">
        <f t="shared" si="29"/>
        <v>3059886.1505537364</v>
      </c>
      <c r="AN514" s="362">
        <f>ERP_26[[#This Row],[2026 Working Total]]-ERP_26[[#This Row],[LE2 Final Submission]]</f>
        <v>-984.69813962699845</v>
      </c>
      <c r="AO514" s="79">
        <v>239240.83906981352</v>
      </c>
      <c r="AP514" s="79">
        <f t="shared" si="28"/>
        <v>-73950.439069813525</v>
      </c>
      <c r="AQ514" s="374">
        <f>SUM(ERP_26[[#This Row],[AP01]:[AP06]])-SUM(ERP_26[[#This Row],[AP01 LE2]:[AP06 LE2]])</f>
        <v>-984.69813962723128</v>
      </c>
      <c r="AR514" s="80"/>
      <c r="AS514" s="79">
        <f>ERP_26[[#This Row],[2026 Working Total to Budget/LE]]-ERP_26[[#This Row],[Giveback]]</f>
        <v>-984.69813962699845</v>
      </c>
      <c r="AT514" s="81"/>
      <c r="AU514" s="375">
        <v>238474.06999999998</v>
      </c>
      <c r="AV514" s="375">
        <v>255306.30000000005</v>
      </c>
      <c r="AW514" s="375">
        <v>190399.43</v>
      </c>
      <c r="AX514" s="375">
        <v>293204.89</v>
      </c>
      <c r="AY514" s="375">
        <v>239240.83906981352</v>
      </c>
      <c r="AZ514" s="375">
        <v>239240.83906981352</v>
      </c>
      <c r="BA514" s="375">
        <v>239240.83906981352</v>
      </c>
      <c r="BB514" s="375">
        <v>265188.32548648014</v>
      </c>
      <c r="BC514" s="375">
        <v>265188.32548648014</v>
      </c>
      <c r="BD514" s="375">
        <v>278462.33017032093</v>
      </c>
      <c r="BE514" s="375">
        <v>278462.33017032093</v>
      </c>
      <c r="BF514" s="375">
        <v>278462.33017032093</v>
      </c>
      <c r="BG514" s="375">
        <v>3060870.8486933634</v>
      </c>
      <c r="BH514" s="79">
        <v>150107.01</v>
      </c>
      <c r="BI514" s="79">
        <v>161151.91</v>
      </c>
      <c r="BJ514" s="79">
        <v>86856.18</v>
      </c>
      <c r="BK514" s="79">
        <v>173603.4</v>
      </c>
      <c r="BL514" s="79">
        <v>155785.32</v>
      </c>
      <c r="BM514" s="79">
        <v>155785.32</v>
      </c>
      <c r="BN514" s="79">
        <v>155785.32</v>
      </c>
      <c r="BO514" s="79">
        <v>180905.4</v>
      </c>
      <c r="BP514" s="79">
        <v>182227.08</v>
      </c>
      <c r="BQ514" s="79">
        <v>182227.08</v>
      </c>
      <c r="BR514" s="79">
        <v>182227.08</v>
      </c>
      <c r="BS514" s="79">
        <v>182227.08</v>
      </c>
      <c r="BT514" s="79">
        <v>1948888.1800000004</v>
      </c>
    </row>
    <row r="515" spans="1:72" ht="15" customHeight="1">
      <c r="A515" s="66" t="s">
        <v>1649</v>
      </c>
      <c r="B515" s="66"/>
      <c r="C515" s="66" t="s">
        <v>324</v>
      </c>
      <c r="D515" s="66" t="s">
        <v>324</v>
      </c>
      <c r="E515" s="150" t="s">
        <v>1136</v>
      </c>
      <c r="F515" s="482" t="s">
        <v>1566</v>
      </c>
      <c r="G515" s="150" t="s">
        <v>1650</v>
      </c>
      <c r="H515" s="150" t="s">
        <v>1650</v>
      </c>
      <c r="I515" s="150" t="s">
        <v>1650</v>
      </c>
      <c r="J515" s="150" t="s">
        <v>1650</v>
      </c>
      <c r="K515" s="150" t="s">
        <v>1650</v>
      </c>
      <c r="L515" s="511" t="s">
        <v>49</v>
      </c>
      <c r="M515" s="392" t="s">
        <v>1147</v>
      </c>
      <c r="N515" s="343"/>
      <c r="O515" s="343"/>
      <c r="P515" s="70" t="s">
        <v>53</v>
      </c>
      <c r="Q515" s="346" t="s">
        <v>1153</v>
      </c>
      <c r="R515" s="343"/>
      <c r="S515" s="346"/>
      <c r="T515" s="150" t="s">
        <v>25</v>
      </c>
      <c r="U515" s="150" t="s">
        <v>1652</v>
      </c>
      <c r="V515" s="403"/>
      <c r="W515" s="406">
        <v>-99996</v>
      </c>
      <c r="X515" s="406">
        <v>-82720</v>
      </c>
      <c r="Y515" s="425"/>
      <c r="Z515" s="71"/>
      <c r="AA515" s="426"/>
      <c r="AB515" s="427">
        <v>-54900</v>
      </c>
      <c r="AC515" s="427">
        <f>27080-54900</f>
        <v>-27820</v>
      </c>
      <c r="AD515" s="428">
        <v>28331</v>
      </c>
      <c r="AE515" s="429">
        <v>34717</v>
      </c>
      <c r="AF515" s="429">
        <v>17146.999999999996</v>
      </c>
      <c r="AG515" s="363">
        <v>0</v>
      </c>
      <c r="AH515" s="363">
        <v>0</v>
      </c>
      <c r="AI515" s="363">
        <v>0</v>
      </c>
      <c r="AJ515" s="363">
        <v>0</v>
      </c>
      <c r="AK515" s="363">
        <v>0</v>
      </c>
      <c r="AL515" s="363">
        <v>0</v>
      </c>
      <c r="AM515" s="360">
        <f t="shared" si="29"/>
        <v>-2525.0000000000036</v>
      </c>
      <c r="AN515" s="362">
        <f>ERP_26[[#This Row],[2026 Working Total]]-ERP_26[[#This Row],[LE2 Final Submission]]</f>
        <v>80195</v>
      </c>
      <c r="AO515" s="79">
        <v>0</v>
      </c>
      <c r="AP515" s="79">
        <f t="shared" si="28"/>
        <v>17146.999999999996</v>
      </c>
      <c r="AQ515" s="374">
        <f>SUM(ERP_26[[#This Row],[AP01]:[AP06]])-SUM(ERP_26[[#This Row],[AP01 LE2]:[AP06 LE2]])</f>
        <v>80195</v>
      </c>
      <c r="AR515" s="80"/>
      <c r="AS515" s="79">
        <f>ERP_26[[#This Row],[2026 Working Total to Budget/LE]]-ERP_26[[#This Row],[Giveback]]</f>
        <v>80195</v>
      </c>
      <c r="AT515" s="81"/>
      <c r="AU515" s="375"/>
      <c r="AV515" s="375">
        <v>-54900</v>
      </c>
      <c r="AW515" s="375">
        <v>-27820</v>
      </c>
      <c r="AX515" s="375">
        <v>0</v>
      </c>
      <c r="AY515" s="375">
        <v>0</v>
      </c>
      <c r="AZ515" s="375">
        <v>0</v>
      </c>
      <c r="BA515" s="375">
        <v>0</v>
      </c>
      <c r="BB515" s="375">
        <v>0</v>
      </c>
      <c r="BC515" s="375">
        <v>0</v>
      </c>
      <c r="BD515" s="375">
        <v>0</v>
      </c>
      <c r="BE515" s="375">
        <v>0</v>
      </c>
      <c r="BF515" s="375">
        <v>0</v>
      </c>
      <c r="BG515" s="375">
        <v>-82720</v>
      </c>
      <c r="BH515" s="79"/>
      <c r="BI515" s="79">
        <v>-54900</v>
      </c>
      <c r="BJ515" s="79">
        <v>27080</v>
      </c>
      <c r="BK515" s="79">
        <v>-8333</v>
      </c>
      <c r="BL515" s="79">
        <v>-8333</v>
      </c>
      <c r="BM515" s="79">
        <v>-8333</v>
      </c>
      <c r="BN515" s="79">
        <v>-8333</v>
      </c>
      <c r="BO515" s="79">
        <v>-8333</v>
      </c>
      <c r="BP515" s="79">
        <v>-8333</v>
      </c>
      <c r="BQ515" s="79">
        <v>-8333</v>
      </c>
      <c r="BR515" s="79">
        <v>-8333</v>
      </c>
      <c r="BS515" s="79">
        <v>-8333</v>
      </c>
      <c r="BT515" s="79">
        <v>-102817</v>
      </c>
    </row>
    <row r="516" spans="1:72" ht="15" customHeight="1">
      <c r="A516" s="66" t="s">
        <v>1653</v>
      </c>
      <c r="B516" s="66"/>
      <c r="C516" s="66" t="s">
        <v>325</v>
      </c>
      <c r="D516" s="66" t="s">
        <v>325</v>
      </c>
      <c r="E516" s="150" t="s">
        <v>1136</v>
      </c>
      <c r="F516" s="482" t="s">
        <v>1566</v>
      </c>
      <c r="G516" s="150" t="s">
        <v>1650</v>
      </c>
      <c r="H516" s="150" t="s">
        <v>1650</v>
      </c>
      <c r="I516" s="150" t="s">
        <v>1650</v>
      </c>
      <c r="J516" s="150" t="s">
        <v>1650</v>
      </c>
      <c r="K516" s="150" t="s">
        <v>1650</v>
      </c>
      <c r="L516" s="511" t="s">
        <v>49</v>
      </c>
      <c r="M516" s="392" t="s">
        <v>1174</v>
      </c>
      <c r="N516" s="343"/>
      <c r="O516" s="343"/>
      <c r="P516" s="70" t="s">
        <v>56</v>
      </c>
      <c r="Q516" s="346"/>
      <c r="R516" s="346" t="s">
        <v>1140</v>
      </c>
      <c r="S516" s="346"/>
      <c r="T516" s="150" t="s">
        <v>57</v>
      </c>
      <c r="U516" s="150"/>
      <c r="V516" s="403"/>
      <c r="W516" s="406">
        <v>0</v>
      </c>
      <c r="X516" s="406">
        <v>400</v>
      </c>
      <c r="Y516" s="425"/>
      <c r="Z516" s="71"/>
      <c r="AA516" s="426"/>
      <c r="AB516" s="427">
        <v>400</v>
      </c>
      <c r="AC516" s="431">
        <v>0</v>
      </c>
      <c r="AD516" s="428">
        <v>0</v>
      </c>
      <c r="AE516" s="429">
        <v>0</v>
      </c>
      <c r="AF516" s="429">
        <v>0</v>
      </c>
      <c r="AG516" s="360">
        <v>0</v>
      </c>
      <c r="AH516" s="360">
        <v>0</v>
      </c>
      <c r="AI516" s="360">
        <v>0</v>
      </c>
      <c r="AJ516" s="360">
        <v>0</v>
      </c>
      <c r="AK516" s="360">
        <v>0</v>
      </c>
      <c r="AL516" s="360">
        <v>0</v>
      </c>
      <c r="AM516" s="360">
        <f t="shared" si="29"/>
        <v>400</v>
      </c>
      <c r="AN516" s="362">
        <f>ERP_26[[#This Row],[2026 Working Total]]-ERP_26[[#This Row],[LE2 Final Submission]]</f>
        <v>0</v>
      </c>
      <c r="AO516" s="79">
        <v>0</v>
      </c>
      <c r="AP516" s="79">
        <f t="shared" si="28"/>
        <v>0</v>
      </c>
      <c r="AQ516" s="374">
        <f>SUM(ERP_26[[#This Row],[AP01]:[AP06]])-SUM(ERP_26[[#This Row],[AP01 LE2]:[AP06 LE2]])</f>
        <v>0</v>
      </c>
      <c r="AR516" s="80"/>
      <c r="AS516" s="79">
        <f>ERP_26[[#This Row],[2026 Working Total to Budget/LE]]-ERP_26[[#This Row],[Giveback]]</f>
        <v>0</v>
      </c>
      <c r="AT516" s="81"/>
      <c r="AU516" s="375"/>
      <c r="AV516" s="375">
        <v>400</v>
      </c>
      <c r="AW516" s="375">
        <v>0</v>
      </c>
      <c r="AX516" s="375">
        <v>0</v>
      </c>
      <c r="AY516" s="375">
        <v>0</v>
      </c>
      <c r="AZ516" s="375">
        <v>0</v>
      </c>
      <c r="BA516" s="375">
        <v>0</v>
      </c>
      <c r="BB516" s="375">
        <v>0</v>
      </c>
      <c r="BC516" s="375">
        <v>0</v>
      </c>
      <c r="BD516" s="375">
        <v>0</v>
      </c>
      <c r="BE516" s="375">
        <v>0</v>
      </c>
      <c r="BF516" s="375">
        <v>0</v>
      </c>
      <c r="BG516" s="375">
        <v>400</v>
      </c>
      <c r="BH516" s="79"/>
      <c r="BI516" s="79">
        <v>400</v>
      </c>
      <c r="BJ516" s="79">
        <v>0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0</v>
      </c>
      <c r="BQ516" s="79">
        <v>0</v>
      </c>
      <c r="BR516" s="79">
        <v>0</v>
      </c>
      <c r="BS516" s="79">
        <v>0</v>
      </c>
      <c r="BT516" s="79">
        <v>400</v>
      </c>
    </row>
    <row r="517" spans="1:72" ht="15" customHeight="1">
      <c r="A517" s="66" t="s">
        <v>1654</v>
      </c>
      <c r="B517" s="66"/>
      <c r="C517" s="66" t="s">
        <v>326</v>
      </c>
      <c r="D517" s="66" t="s">
        <v>326</v>
      </c>
      <c r="E517" s="150" t="s">
        <v>1136</v>
      </c>
      <c r="F517" s="482" t="s">
        <v>1566</v>
      </c>
      <c r="G517" s="150" t="s">
        <v>1650</v>
      </c>
      <c r="H517" s="150" t="s">
        <v>1650</v>
      </c>
      <c r="I517" s="150" t="s">
        <v>1650</v>
      </c>
      <c r="J517" s="150" t="s">
        <v>1650</v>
      </c>
      <c r="K517" s="150" t="s">
        <v>1650</v>
      </c>
      <c r="L517" s="511" t="s">
        <v>49</v>
      </c>
      <c r="M517" s="392" t="s">
        <v>1655</v>
      </c>
      <c r="N517" s="343"/>
      <c r="O517" s="343"/>
      <c r="P517" s="70" t="s">
        <v>327</v>
      </c>
      <c r="Q517" s="346"/>
      <c r="R517" s="343"/>
      <c r="S517" s="346"/>
      <c r="T517" s="150" t="s">
        <v>328</v>
      </c>
      <c r="U517" s="150" t="s">
        <v>1656</v>
      </c>
      <c r="V517" s="403"/>
      <c r="W517" s="406">
        <v>224004</v>
      </c>
      <c r="X517" s="406">
        <v>53297.440000000002</v>
      </c>
      <c r="Y517" s="425"/>
      <c r="Z517" s="71"/>
      <c r="AA517" s="426">
        <v>15089.11</v>
      </c>
      <c r="AB517" s="427">
        <v>16899.45</v>
      </c>
      <c r="AC517" s="427">
        <v>21308.880000000001</v>
      </c>
      <c r="AD517" s="428">
        <v>16899.62</v>
      </c>
      <c r="AE517" s="429">
        <v>-34566.71</v>
      </c>
      <c r="AF517" s="429">
        <v>0</v>
      </c>
      <c r="AG517" s="363">
        <v>0</v>
      </c>
      <c r="AH517" s="363">
        <v>0</v>
      </c>
      <c r="AI517" s="363">
        <v>0</v>
      </c>
      <c r="AJ517" s="363">
        <v>0</v>
      </c>
      <c r="AK517" s="363">
        <v>0</v>
      </c>
      <c r="AL517" s="363">
        <v>0</v>
      </c>
      <c r="AM517" s="360">
        <f t="shared" si="29"/>
        <v>35630.35</v>
      </c>
      <c r="AN517" s="362">
        <f>ERP_26[[#This Row],[2026 Working Total]]-ERP_26[[#This Row],[LE2 Final Submission]]</f>
        <v>-17667.090000000004</v>
      </c>
      <c r="AO517" s="79">
        <v>0</v>
      </c>
      <c r="AP517" s="79">
        <f t="shared" si="28"/>
        <v>0</v>
      </c>
      <c r="AQ517" s="374">
        <f>SUM(ERP_26[[#This Row],[AP01]:[AP06]])-SUM(ERP_26[[#This Row],[AP01 LE2]:[AP06 LE2]])</f>
        <v>-17667.090000000004</v>
      </c>
      <c r="AR517" s="80"/>
      <c r="AS517" s="79">
        <f>ERP_26[[#This Row],[2026 Working Total to Budget/LE]]-ERP_26[[#This Row],[Giveback]]</f>
        <v>-17667.090000000004</v>
      </c>
      <c r="AT517" s="81"/>
      <c r="AU517" s="375">
        <v>15089.11</v>
      </c>
      <c r="AV517" s="375">
        <v>16899.45</v>
      </c>
      <c r="AW517" s="375">
        <v>21308.880000000001</v>
      </c>
      <c r="AX517" s="375">
        <v>0</v>
      </c>
      <c r="AY517" s="375">
        <v>0</v>
      </c>
      <c r="AZ517" s="375">
        <v>0</v>
      </c>
      <c r="BA517" s="375">
        <v>0</v>
      </c>
      <c r="BB517" s="375">
        <v>0</v>
      </c>
      <c r="BC517" s="375">
        <v>0</v>
      </c>
      <c r="BD517" s="375">
        <v>0</v>
      </c>
      <c r="BE517" s="375">
        <v>0</v>
      </c>
      <c r="BF517" s="375">
        <v>0</v>
      </c>
      <c r="BG517" s="375">
        <v>53297.440000000002</v>
      </c>
      <c r="BH517" s="79">
        <v>15089.11</v>
      </c>
      <c r="BI517" s="79">
        <v>16899.45</v>
      </c>
      <c r="BJ517" s="79">
        <v>21308.880000000001</v>
      </c>
      <c r="BK517" s="79">
        <v>18667</v>
      </c>
      <c r="BL517" s="79">
        <v>18667</v>
      </c>
      <c r="BM517" s="79">
        <v>18667</v>
      </c>
      <c r="BN517" s="79">
        <v>18667</v>
      </c>
      <c r="BO517" s="79">
        <v>18667</v>
      </c>
      <c r="BP517" s="79">
        <v>18667</v>
      </c>
      <c r="BQ517" s="79">
        <v>18667</v>
      </c>
      <c r="BR517" s="79">
        <v>18667</v>
      </c>
      <c r="BS517" s="79">
        <v>18667</v>
      </c>
      <c r="BT517" s="79">
        <v>221300.44</v>
      </c>
    </row>
    <row r="518" spans="1:72" ht="15" customHeight="1">
      <c r="A518" s="66" t="s">
        <v>1657</v>
      </c>
      <c r="B518" s="66"/>
      <c r="C518" s="66" t="s">
        <v>329</v>
      </c>
      <c r="D518" s="66" t="s">
        <v>329</v>
      </c>
      <c r="E518" s="150" t="s">
        <v>1136</v>
      </c>
      <c r="F518" s="482" t="s">
        <v>1566</v>
      </c>
      <c r="G518" s="150" t="s">
        <v>1650</v>
      </c>
      <c r="H518" s="150" t="s">
        <v>1650</v>
      </c>
      <c r="I518" s="150" t="s">
        <v>1650</v>
      </c>
      <c r="J518" s="150" t="s">
        <v>1650</v>
      </c>
      <c r="K518" s="150" t="s">
        <v>1650</v>
      </c>
      <c r="L518" s="511" t="s">
        <v>49</v>
      </c>
      <c r="M518" s="392" t="s">
        <v>1658</v>
      </c>
      <c r="N518" s="343"/>
      <c r="O518" s="343"/>
      <c r="P518" s="70" t="s">
        <v>330</v>
      </c>
      <c r="Q518" s="346"/>
      <c r="R518" s="343"/>
      <c r="S518" s="346"/>
      <c r="T518" s="150" t="s">
        <v>67</v>
      </c>
      <c r="U518" s="150"/>
      <c r="V518" s="403"/>
      <c r="W518" s="406">
        <v>0</v>
      </c>
      <c r="X518" s="406">
        <v>112717.21</v>
      </c>
      <c r="Y518" s="425"/>
      <c r="Z518" s="71"/>
      <c r="AA518" s="426">
        <v>94047.88</v>
      </c>
      <c r="AB518" s="427">
        <v>124852.13</v>
      </c>
      <c r="AC518" s="427">
        <v>-106182.8</v>
      </c>
      <c r="AD518" s="428">
        <v>0</v>
      </c>
      <c r="AE518" s="429">
        <v>0</v>
      </c>
      <c r="AF518" s="429">
        <v>0</v>
      </c>
      <c r="AG518" s="360">
        <v>0</v>
      </c>
      <c r="AH518" s="360">
        <v>0</v>
      </c>
      <c r="AI518" s="360">
        <v>0</v>
      </c>
      <c r="AJ518" s="360">
        <v>0</v>
      </c>
      <c r="AK518" s="360">
        <v>0</v>
      </c>
      <c r="AL518" s="360">
        <v>0</v>
      </c>
      <c r="AM518" s="360">
        <f t="shared" si="29"/>
        <v>112717.21</v>
      </c>
      <c r="AN518" s="362">
        <f>ERP_26[[#This Row],[2026 Working Total]]-ERP_26[[#This Row],[LE2 Final Submission]]</f>
        <v>0</v>
      </c>
      <c r="AO518" s="79">
        <v>0</v>
      </c>
      <c r="AP518" s="79">
        <f t="shared" si="28"/>
        <v>0</v>
      </c>
      <c r="AQ518" s="374">
        <f>SUM(ERP_26[[#This Row],[AP01]:[AP06]])-SUM(ERP_26[[#This Row],[AP01 LE2]:[AP06 LE2]])</f>
        <v>0</v>
      </c>
      <c r="AR518" s="80"/>
      <c r="AS518" s="79">
        <f>ERP_26[[#This Row],[2026 Working Total to Budget/LE]]-ERP_26[[#This Row],[Giveback]]</f>
        <v>0</v>
      </c>
      <c r="AT518" s="81"/>
      <c r="AU518" s="375">
        <v>94047.88</v>
      </c>
      <c r="AV518" s="375">
        <v>124852.13</v>
      </c>
      <c r="AW518" s="375">
        <v>-106182.8</v>
      </c>
      <c r="AX518" s="375">
        <v>0</v>
      </c>
      <c r="AY518" s="375">
        <v>0</v>
      </c>
      <c r="AZ518" s="375">
        <v>0</v>
      </c>
      <c r="BA518" s="375">
        <v>0</v>
      </c>
      <c r="BB518" s="375">
        <v>0</v>
      </c>
      <c r="BC518" s="375">
        <v>0</v>
      </c>
      <c r="BD518" s="375">
        <v>0</v>
      </c>
      <c r="BE518" s="375">
        <v>0</v>
      </c>
      <c r="BF518" s="375">
        <v>0</v>
      </c>
      <c r="BG518" s="375">
        <v>112717.21</v>
      </c>
      <c r="BH518" s="79">
        <v>94047.88</v>
      </c>
      <c r="BI518" s="79">
        <v>124852.13</v>
      </c>
      <c r="BJ518" s="79">
        <v>-106182.8</v>
      </c>
      <c r="BK518" s="79">
        <v>0</v>
      </c>
      <c r="BL518" s="79">
        <v>0</v>
      </c>
      <c r="BM518" s="79">
        <v>0</v>
      </c>
      <c r="BN518" s="79">
        <v>0</v>
      </c>
      <c r="BO518" s="79">
        <v>0</v>
      </c>
      <c r="BP518" s="79">
        <v>0</v>
      </c>
      <c r="BQ518" s="79">
        <v>0</v>
      </c>
      <c r="BR518" s="79">
        <v>0</v>
      </c>
      <c r="BS518" s="79">
        <v>0</v>
      </c>
      <c r="BT518" s="79">
        <v>112717.21</v>
      </c>
    </row>
    <row r="519" spans="1:72" ht="15" customHeight="1">
      <c r="A519" s="66" t="s">
        <v>1659</v>
      </c>
      <c r="B519" s="66"/>
      <c r="C519" s="66" t="s">
        <v>331</v>
      </c>
      <c r="D519" s="66" t="s">
        <v>331</v>
      </c>
      <c r="E519" s="150" t="s">
        <v>1136</v>
      </c>
      <c r="F519" s="482" t="s">
        <v>1566</v>
      </c>
      <c r="G519" s="150" t="s">
        <v>1650</v>
      </c>
      <c r="H519" s="150" t="s">
        <v>1650</v>
      </c>
      <c r="I519" s="150" t="s">
        <v>1650</v>
      </c>
      <c r="J519" s="150" t="s">
        <v>1650</v>
      </c>
      <c r="K519" s="150" t="s">
        <v>1650</v>
      </c>
      <c r="L519" s="511" t="s">
        <v>49</v>
      </c>
      <c r="M519" s="392" t="s">
        <v>1327</v>
      </c>
      <c r="N519" s="343"/>
      <c r="O519" s="343"/>
      <c r="P519" s="70" t="s">
        <v>147</v>
      </c>
      <c r="Q519" s="346"/>
      <c r="R519" s="343"/>
      <c r="S519" s="346"/>
      <c r="T519" s="150" t="s">
        <v>25</v>
      </c>
      <c r="U519" s="150"/>
      <c r="V519" s="403"/>
      <c r="W519" s="406">
        <v>0</v>
      </c>
      <c r="X519" s="406">
        <v>79.110000000000298</v>
      </c>
      <c r="Y519" s="425"/>
      <c r="Z519" s="71"/>
      <c r="AA519" s="426">
        <v>0.01</v>
      </c>
      <c r="AB519" s="427">
        <v>0.42</v>
      </c>
      <c r="AC519" s="431">
        <f>-54821.32+54900</f>
        <v>78.680000000000291</v>
      </c>
      <c r="AD519" s="428">
        <v>-0.62</v>
      </c>
      <c r="AE519" s="481">
        <v>-20720.55</v>
      </c>
      <c r="AF519" s="429">
        <v>0</v>
      </c>
      <c r="AG519" s="360">
        <v>0</v>
      </c>
      <c r="AH519" s="360">
        <v>0</v>
      </c>
      <c r="AI519" s="360">
        <v>0</v>
      </c>
      <c r="AJ519" s="360">
        <v>0</v>
      </c>
      <c r="AK519" s="360">
        <v>0</v>
      </c>
      <c r="AL519" s="360">
        <v>0</v>
      </c>
      <c r="AM519" s="360">
        <f t="shared" si="29"/>
        <v>-20642.059999999998</v>
      </c>
      <c r="AN519" s="362">
        <f>ERP_26[[#This Row],[2026 Working Total]]-ERP_26[[#This Row],[LE2 Final Submission]]</f>
        <v>-20721.169999999998</v>
      </c>
      <c r="AO519" s="79">
        <v>0</v>
      </c>
      <c r="AP519" s="79">
        <f t="shared" si="28"/>
        <v>0</v>
      </c>
      <c r="AQ519" s="374">
        <f>SUM(ERP_26[[#This Row],[AP01]:[AP06]])-SUM(ERP_26[[#This Row],[AP01 LE2]:[AP06 LE2]])</f>
        <v>-20721.169999999998</v>
      </c>
      <c r="AR519" s="80"/>
      <c r="AS519" s="79">
        <f>ERP_26[[#This Row],[2026 Working Total to Budget/LE]]-ERP_26[[#This Row],[Giveback]]</f>
        <v>-20721.169999999998</v>
      </c>
      <c r="AT519" s="81"/>
      <c r="AU519" s="375">
        <v>0.01</v>
      </c>
      <c r="AV519" s="375">
        <v>0.42</v>
      </c>
      <c r="AW519" s="375">
        <v>78.680000000000291</v>
      </c>
      <c r="AX519" s="375">
        <v>0</v>
      </c>
      <c r="AY519" s="375">
        <v>0</v>
      </c>
      <c r="AZ519" s="375">
        <v>0</v>
      </c>
      <c r="BA519" s="375">
        <v>0</v>
      </c>
      <c r="BB519" s="375">
        <v>0</v>
      </c>
      <c r="BC519" s="375">
        <v>0</v>
      </c>
      <c r="BD519" s="375">
        <v>0</v>
      </c>
      <c r="BE519" s="375">
        <v>0</v>
      </c>
      <c r="BF519" s="375">
        <v>0</v>
      </c>
      <c r="BG519" s="375">
        <v>79.110000000000298</v>
      </c>
      <c r="BH519" s="79">
        <v>0.01</v>
      </c>
      <c r="BI519" s="79">
        <v>0.42</v>
      </c>
      <c r="BJ519" s="79">
        <v>-54821.32</v>
      </c>
      <c r="BK519" s="79">
        <v>0</v>
      </c>
      <c r="BL519" s="79">
        <v>0</v>
      </c>
      <c r="BM519" s="79">
        <v>0</v>
      </c>
      <c r="BN519" s="79">
        <v>0</v>
      </c>
      <c r="BO519" s="79">
        <v>0</v>
      </c>
      <c r="BP519" s="79">
        <v>0</v>
      </c>
      <c r="BQ519" s="79">
        <v>0</v>
      </c>
      <c r="BR519" s="79">
        <v>0</v>
      </c>
      <c r="BS519" s="79">
        <v>0</v>
      </c>
      <c r="BT519" s="79">
        <v>-54820.89</v>
      </c>
    </row>
    <row r="520" spans="1:72" ht="15" customHeight="1">
      <c r="A520" s="66" t="s">
        <v>1748</v>
      </c>
      <c r="B520" s="66"/>
      <c r="C520" s="66" t="s">
        <v>385</v>
      </c>
      <c r="D520" s="66" t="s">
        <v>385</v>
      </c>
      <c r="E520" s="150" t="s">
        <v>1136</v>
      </c>
      <c r="F520" s="482" t="s">
        <v>1566</v>
      </c>
      <c r="G520" s="150" t="s">
        <v>1650</v>
      </c>
      <c r="H520" s="150" t="s">
        <v>1650</v>
      </c>
      <c r="I520" s="150" t="s">
        <v>1650</v>
      </c>
      <c r="J520" s="150" t="s">
        <v>1650</v>
      </c>
      <c r="K520" s="150" t="s">
        <v>1650</v>
      </c>
      <c r="L520" s="511" t="s">
        <v>342</v>
      </c>
      <c r="M520" s="392" t="s">
        <v>1174</v>
      </c>
      <c r="N520" s="343"/>
      <c r="O520" s="343"/>
      <c r="P520" s="70" t="s">
        <v>56</v>
      </c>
      <c r="Q520" s="346"/>
      <c r="R520" s="346" t="s">
        <v>1140</v>
      </c>
      <c r="S520" s="346"/>
      <c r="T520" s="150" t="s">
        <v>57</v>
      </c>
      <c r="U520" s="150"/>
      <c r="V520" s="403"/>
      <c r="W520" s="406">
        <v>0</v>
      </c>
      <c r="X520" s="406">
        <v>1060</v>
      </c>
      <c r="Y520" s="425"/>
      <c r="Z520" s="71"/>
      <c r="AA520" s="426"/>
      <c r="AB520" s="427">
        <v>1060</v>
      </c>
      <c r="AC520" s="431">
        <v>0</v>
      </c>
      <c r="AD520" s="428" t="s">
        <v>1142</v>
      </c>
      <c r="AE520" s="429">
        <v>0</v>
      </c>
      <c r="AF520" s="429">
        <v>0</v>
      </c>
      <c r="AG520" s="360">
        <v>0</v>
      </c>
      <c r="AH520" s="360">
        <v>0</v>
      </c>
      <c r="AI520" s="360">
        <v>0</v>
      </c>
      <c r="AJ520" s="360">
        <v>0</v>
      </c>
      <c r="AK520" s="360">
        <v>0</v>
      </c>
      <c r="AL520" s="360">
        <v>0</v>
      </c>
      <c r="AM520" s="360">
        <f t="shared" si="29"/>
        <v>1060</v>
      </c>
      <c r="AN520" s="362">
        <f>ERP_26[[#This Row],[2026 Working Total]]-ERP_26[[#This Row],[LE2 Final Submission]]</f>
        <v>0</v>
      </c>
      <c r="AO520" s="79">
        <v>0</v>
      </c>
      <c r="AP520" s="79">
        <f t="shared" ref="AP520:AP578" si="30">$AF520 - $AO520</f>
        <v>0</v>
      </c>
      <c r="AQ520" s="374">
        <f>SUM(ERP_26[[#This Row],[AP01]:[AP06]])-SUM(ERP_26[[#This Row],[AP01 LE2]:[AP06 LE2]])</f>
        <v>0</v>
      </c>
      <c r="AR520" s="80"/>
      <c r="AS520" s="79">
        <f>ERP_26[[#This Row],[2026 Working Total to Budget/LE]]-ERP_26[[#This Row],[Giveback]]</f>
        <v>0</v>
      </c>
      <c r="AT520" s="81"/>
      <c r="AU520" s="375"/>
      <c r="AV520" s="375">
        <v>1060</v>
      </c>
      <c r="AW520" s="375">
        <v>0</v>
      </c>
      <c r="AX520" s="375">
        <v>0</v>
      </c>
      <c r="AY520" s="375">
        <v>0</v>
      </c>
      <c r="AZ520" s="375">
        <v>0</v>
      </c>
      <c r="BA520" s="375">
        <v>0</v>
      </c>
      <c r="BB520" s="375">
        <v>0</v>
      </c>
      <c r="BC520" s="375">
        <v>0</v>
      </c>
      <c r="BD520" s="375">
        <v>0</v>
      </c>
      <c r="BE520" s="375">
        <v>0</v>
      </c>
      <c r="BF520" s="375">
        <v>0</v>
      </c>
      <c r="BG520" s="375">
        <v>1060</v>
      </c>
      <c r="BH520" s="79"/>
      <c r="BI520" s="79">
        <v>1060</v>
      </c>
      <c r="BJ520" s="79">
        <v>0</v>
      </c>
      <c r="BK520" s="79">
        <v>0</v>
      </c>
      <c r="BL520" s="79">
        <v>0</v>
      </c>
      <c r="BM520" s="79">
        <v>0</v>
      </c>
      <c r="BN520" s="79">
        <v>0</v>
      </c>
      <c r="BO520" s="79">
        <v>0</v>
      </c>
      <c r="BP520" s="79">
        <v>0</v>
      </c>
      <c r="BQ520" s="79">
        <v>0</v>
      </c>
      <c r="BR520" s="79">
        <v>0</v>
      </c>
      <c r="BS520" s="79">
        <v>0</v>
      </c>
      <c r="BT520" s="79">
        <v>1060</v>
      </c>
    </row>
    <row r="521" spans="1:72" ht="15" customHeight="1">
      <c r="A521" s="66" t="s">
        <v>1749</v>
      </c>
      <c r="B521" s="66"/>
      <c r="C521" s="66" t="s">
        <v>386</v>
      </c>
      <c r="D521" s="66" t="s">
        <v>386</v>
      </c>
      <c r="E521" s="150" t="s">
        <v>1136</v>
      </c>
      <c r="F521" s="482" t="s">
        <v>1566</v>
      </c>
      <c r="G521" s="150" t="s">
        <v>1650</v>
      </c>
      <c r="H521" s="150" t="s">
        <v>1650</v>
      </c>
      <c r="I521" s="150" t="s">
        <v>1650</v>
      </c>
      <c r="J521" s="150" t="s">
        <v>1650</v>
      </c>
      <c r="K521" s="150" t="s">
        <v>1650</v>
      </c>
      <c r="L521" s="511" t="s">
        <v>342</v>
      </c>
      <c r="M521" s="392" t="s">
        <v>1703</v>
      </c>
      <c r="N521" s="343"/>
      <c r="O521" s="343"/>
      <c r="P521" s="70" t="s">
        <v>365</v>
      </c>
      <c r="Q521" s="346"/>
      <c r="R521" s="346" t="s">
        <v>1140</v>
      </c>
      <c r="S521" s="346"/>
      <c r="T521" s="150" t="s">
        <v>57</v>
      </c>
      <c r="U521" s="150"/>
      <c r="V521" s="403"/>
      <c r="W521" s="406">
        <v>0</v>
      </c>
      <c r="X521" s="406">
        <v>2902.66</v>
      </c>
      <c r="Y521" s="425"/>
      <c r="Z521" s="71"/>
      <c r="AA521" s="426"/>
      <c r="AB521" s="427"/>
      <c r="AC521" s="427">
        <v>2902.66</v>
      </c>
      <c r="AD521" s="428">
        <v>229.1</v>
      </c>
      <c r="AE521" s="429">
        <v>87.28</v>
      </c>
      <c r="AF521" s="429">
        <v>0</v>
      </c>
      <c r="AG521" s="360">
        <v>0</v>
      </c>
      <c r="AH521" s="360">
        <v>0</v>
      </c>
      <c r="AI521" s="360">
        <v>0</v>
      </c>
      <c r="AJ521" s="360">
        <v>0</v>
      </c>
      <c r="AK521" s="360">
        <v>0</v>
      </c>
      <c r="AL521" s="360">
        <v>0</v>
      </c>
      <c r="AM521" s="360">
        <f t="shared" si="29"/>
        <v>3219.04</v>
      </c>
      <c r="AN521" s="362">
        <f>ERP_26[[#This Row],[2026 Working Total]]-ERP_26[[#This Row],[LE2 Final Submission]]</f>
        <v>316.38000000000011</v>
      </c>
      <c r="AO521" s="79">
        <v>0</v>
      </c>
      <c r="AP521" s="79">
        <f t="shared" si="30"/>
        <v>0</v>
      </c>
      <c r="AQ521" s="374">
        <f>SUM(ERP_26[[#This Row],[AP01]:[AP06]])-SUM(ERP_26[[#This Row],[AP01 LE2]:[AP06 LE2]])</f>
        <v>316.38000000000011</v>
      </c>
      <c r="AR521" s="80"/>
      <c r="AS521" s="79">
        <f>ERP_26[[#This Row],[2026 Working Total to Budget/LE]]-ERP_26[[#This Row],[Giveback]]</f>
        <v>316.38000000000011</v>
      </c>
      <c r="AT521" s="81"/>
      <c r="AU521" s="375"/>
      <c r="AV521" s="375"/>
      <c r="AW521" s="375">
        <v>2902.66</v>
      </c>
      <c r="AX521" s="375">
        <v>0</v>
      </c>
      <c r="AY521" s="375">
        <v>0</v>
      </c>
      <c r="AZ521" s="375">
        <v>0</v>
      </c>
      <c r="BA521" s="375">
        <v>0</v>
      </c>
      <c r="BB521" s="375">
        <v>0</v>
      </c>
      <c r="BC521" s="375">
        <v>0</v>
      </c>
      <c r="BD521" s="375">
        <v>0</v>
      </c>
      <c r="BE521" s="375">
        <v>0</v>
      </c>
      <c r="BF521" s="375">
        <v>0</v>
      </c>
      <c r="BG521" s="375">
        <v>2902.66</v>
      </c>
      <c r="BH521" s="79"/>
      <c r="BI521" s="79"/>
      <c r="BJ521" s="79">
        <v>2902.66</v>
      </c>
      <c r="BK521" s="79">
        <v>0</v>
      </c>
      <c r="BL521" s="79">
        <v>0</v>
      </c>
      <c r="BM521" s="79">
        <v>0</v>
      </c>
      <c r="BN521" s="79">
        <v>0</v>
      </c>
      <c r="BO521" s="79">
        <v>0</v>
      </c>
      <c r="BP521" s="79">
        <v>0</v>
      </c>
      <c r="BQ521" s="79">
        <v>0</v>
      </c>
      <c r="BR521" s="79">
        <v>0</v>
      </c>
      <c r="BS521" s="79">
        <v>0</v>
      </c>
      <c r="BT521" s="79">
        <v>2902.66</v>
      </c>
    </row>
    <row r="522" spans="1:72" ht="15" customHeight="1">
      <c r="A522" s="215" t="s">
        <v>1750</v>
      </c>
      <c r="B522" s="215"/>
      <c r="C522" s="215" t="s">
        <v>387</v>
      </c>
      <c r="D522" s="215" t="s">
        <v>387</v>
      </c>
      <c r="E522" s="150" t="s">
        <v>1136</v>
      </c>
      <c r="F522" s="482" t="s">
        <v>1566</v>
      </c>
      <c r="G522" s="150" t="s">
        <v>1650</v>
      </c>
      <c r="H522" s="150" t="s">
        <v>1650</v>
      </c>
      <c r="I522" s="334" t="s">
        <v>1650</v>
      </c>
      <c r="J522" s="334" t="s">
        <v>1650</v>
      </c>
      <c r="K522" s="334" t="s">
        <v>1650</v>
      </c>
      <c r="L522" s="516" t="s">
        <v>342</v>
      </c>
      <c r="M522" s="398" t="s">
        <v>1327</v>
      </c>
      <c r="N522" s="343"/>
      <c r="O522" s="344"/>
      <c r="P522" s="219" t="s">
        <v>147</v>
      </c>
      <c r="Q522" s="349"/>
      <c r="R522" s="343"/>
      <c r="S522" s="349"/>
      <c r="T522" s="334" t="s">
        <v>25</v>
      </c>
      <c r="U522" s="354"/>
      <c r="V522" s="403"/>
      <c r="W522" s="406">
        <v>0</v>
      </c>
      <c r="X522" s="406">
        <v>420.97</v>
      </c>
      <c r="Y522" s="425"/>
      <c r="Z522" s="71"/>
      <c r="AA522" s="408"/>
      <c r="AB522" s="410"/>
      <c r="AC522" s="410">
        <v>420.97</v>
      </c>
      <c r="AD522" s="428">
        <v>-0.11</v>
      </c>
      <c r="AE522" s="429">
        <v>0.21</v>
      </c>
      <c r="AF522" s="429">
        <v>0</v>
      </c>
      <c r="AG522" s="368">
        <v>0</v>
      </c>
      <c r="AH522" s="368">
        <v>0</v>
      </c>
      <c r="AI522" s="368">
        <v>0</v>
      </c>
      <c r="AJ522" s="368">
        <v>0</v>
      </c>
      <c r="AK522" s="368">
        <v>0</v>
      </c>
      <c r="AL522" s="368">
        <v>0</v>
      </c>
      <c r="AM522" s="367">
        <f t="shared" si="29"/>
        <v>421.07</v>
      </c>
      <c r="AN522" s="362">
        <f>ERP_26[[#This Row],[2026 Working Total]]-ERP_26[[#This Row],[LE2 Final Submission]]</f>
        <v>9.9999999999965894E-2</v>
      </c>
      <c r="AO522" s="227">
        <v>0</v>
      </c>
      <c r="AP522" s="227">
        <f t="shared" si="30"/>
        <v>0</v>
      </c>
      <c r="AQ522" s="374">
        <f>SUM(ERP_26[[#This Row],[AP01]:[AP06]])-SUM(ERP_26[[#This Row],[AP01 LE2]:[AP06 LE2]])</f>
        <v>9.9999999999965894E-2</v>
      </c>
      <c r="AR522" s="80"/>
      <c r="AS522" s="79">
        <f>ERP_26[[#This Row],[2026 Working Total to Budget/LE]]-ERP_26[[#This Row],[Giveback]]</f>
        <v>9.9999999999965894E-2</v>
      </c>
      <c r="AT522" s="81"/>
      <c r="AU522" s="375"/>
      <c r="AV522" s="375"/>
      <c r="AW522" s="375">
        <v>420.97</v>
      </c>
      <c r="AX522" s="375">
        <v>0</v>
      </c>
      <c r="AY522" s="375">
        <v>0</v>
      </c>
      <c r="AZ522" s="375">
        <v>0</v>
      </c>
      <c r="BA522" s="375">
        <v>0</v>
      </c>
      <c r="BB522" s="375">
        <v>0</v>
      </c>
      <c r="BC522" s="375">
        <v>0</v>
      </c>
      <c r="BD522" s="375">
        <v>0</v>
      </c>
      <c r="BE522" s="375">
        <v>0</v>
      </c>
      <c r="BF522" s="375">
        <v>0</v>
      </c>
      <c r="BG522" s="375">
        <v>420.97</v>
      </c>
      <c r="BH522" s="227"/>
      <c r="BI522" s="227"/>
      <c r="BJ522" s="227">
        <v>420.97</v>
      </c>
      <c r="BK522" s="227">
        <v>0</v>
      </c>
      <c r="BL522" s="227">
        <v>0</v>
      </c>
      <c r="BM522" s="227">
        <v>0</v>
      </c>
      <c r="BN522" s="227">
        <v>0</v>
      </c>
      <c r="BO522" s="227">
        <v>0</v>
      </c>
      <c r="BP522" s="227">
        <v>0</v>
      </c>
      <c r="BQ522" s="227">
        <v>0</v>
      </c>
      <c r="BR522" s="227">
        <v>0</v>
      </c>
      <c r="BS522" s="227">
        <v>0</v>
      </c>
      <c r="BT522" s="227">
        <v>420.97</v>
      </c>
    </row>
    <row r="523" spans="1:72" ht="15" customHeight="1">
      <c r="A523" s="215" t="s">
        <v>2139</v>
      </c>
      <c r="B523" s="215"/>
      <c r="C523" s="215" t="s">
        <v>594</v>
      </c>
      <c r="D523" s="215" t="s">
        <v>594</v>
      </c>
      <c r="E523" s="150" t="s">
        <v>1136</v>
      </c>
      <c r="F523" s="482" t="s">
        <v>1566</v>
      </c>
      <c r="G523" s="150" t="s">
        <v>1650</v>
      </c>
      <c r="H523" s="150" t="s">
        <v>1650</v>
      </c>
      <c r="I523" s="334" t="s">
        <v>1650</v>
      </c>
      <c r="J523" s="334" t="s">
        <v>1650</v>
      </c>
      <c r="K523" s="334" t="s">
        <v>1650</v>
      </c>
      <c r="L523" s="516" t="s">
        <v>389</v>
      </c>
      <c r="M523" s="398" t="s">
        <v>1658</v>
      </c>
      <c r="N523" s="343"/>
      <c r="O523" s="344"/>
      <c r="P523" s="219" t="s">
        <v>330</v>
      </c>
      <c r="Q523" s="349"/>
      <c r="R523" s="343"/>
      <c r="S523" s="349"/>
      <c r="T523" s="334" t="s">
        <v>67</v>
      </c>
      <c r="U523" s="354"/>
      <c r="V523" s="403"/>
      <c r="W523" s="406">
        <v>1274196</v>
      </c>
      <c r="X523" s="406">
        <v>1157512.03</v>
      </c>
      <c r="Y523" s="425"/>
      <c r="Z523" s="71"/>
      <c r="AA523" s="408"/>
      <c r="AB523" s="410"/>
      <c r="AC523" s="410">
        <v>201865.03</v>
      </c>
      <c r="AD523" s="428">
        <v>98015.38</v>
      </c>
      <c r="AE523" s="429">
        <v>98015.39</v>
      </c>
      <c r="AF523" s="429">
        <v>122519.23000000001</v>
      </c>
      <c r="AG523" s="369">
        <v>106183</v>
      </c>
      <c r="AH523" s="369">
        <v>106183</v>
      </c>
      <c r="AI523" s="369">
        <v>106183</v>
      </c>
      <c r="AJ523" s="369">
        <v>106183</v>
      </c>
      <c r="AK523" s="369">
        <v>106183</v>
      </c>
      <c r="AL523" s="369">
        <v>106183</v>
      </c>
      <c r="AM523" s="367">
        <f t="shared" si="29"/>
        <v>1157513.03</v>
      </c>
      <c r="AN523" s="362">
        <f>ERP_26[[#This Row],[2026 Working Total]]-ERP_26[[#This Row],[LE2 Final Submission]]</f>
        <v>1</v>
      </c>
      <c r="AO523" s="227">
        <v>106183</v>
      </c>
      <c r="AP523" s="227">
        <f t="shared" si="30"/>
        <v>16336.23000000001</v>
      </c>
      <c r="AQ523" s="374">
        <f>SUM(ERP_26[[#This Row],[AP01]:[AP06]])-SUM(ERP_26[[#This Row],[AP01 LE2]:[AP06 LE2]])</f>
        <v>1</v>
      </c>
      <c r="AR523" s="80"/>
      <c r="AS523" s="79">
        <f>ERP_26[[#This Row],[2026 Working Total to Budget/LE]]-ERP_26[[#This Row],[Giveback]]</f>
        <v>1</v>
      </c>
      <c r="AT523" s="81"/>
      <c r="AU523" s="375"/>
      <c r="AV523" s="375"/>
      <c r="AW523" s="375">
        <v>201865.03</v>
      </c>
      <c r="AX523" s="375">
        <v>106183</v>
      </c>
      <c r="AY523" s="375">
        <v>106183</v>
      </c>
      <c r="AZ523" s="375">
        <v>106183</v>
      </c>
      <c r="BA523" s="375">
        <v>106183</v>
      </c>
      <c r="BB523" s="375">
        <v>106183</v>
      </c>
      <c r="BC523" s="375">
        <v>106183</v>
      </c>
      <c r="BD523" s="375">
        <v>106183</v>
      </c>
      <c r="BE523" s="375">
        <v>106183</v>
      </c>
      <c r="BF523" s="375">
        <v>106183</v>
      </c>
      <c r="BG523" s="375">
        <v>1157512.03</v>
      </c>
      <c r="BH523" s="227"/>
      <c r="BI523" s="227"/>
      <c r="BJ523" s="227">
        <v>201865.03</v>
      </c>
      <c r="BK523" s="227">
        <v>106183</v>
      </c>
      <c r="BL523" s="227">
        <v>106183</v>
      </c>
      <c r="BM523" s="227">
        <v>106183</v>
      </c>
      <c r="BN523" s="227">
        <v>106183</v>
      </c>
      <c r="BO523" s="227">
        <v>106183</v>
      </c>
      <c r="BP523" s="227">
        <v>106183</v>
      </c>
      <c r="BQ523" s="227">
        <v>106183</v>
      </c>
      <c r="BR523" s="227">
        <v>106183</v>
      </c>
      <c r="BS523" s="227">
        <v>106183</v>
      </c>
      <c r="BT523" s="227">
        <v>1157512.03</v>
      </c>
    </row>
    <row r="524" spans="1:72" ht="15" customHeight="1">
      <c r="A524" s="279" t="s">
        <v>2140</v>
      </c>
      <c r="B524" s="264"/>
      <c r="C524" s="264" t="s">
        <v>595</v>
      </c>
      <c r="D524" s="264" t="s">
        <v>595</v>
      </c>
      <c r="E524" s="150" t="s">
        <v>1136</v>
      </c>
      <c r="F524" s="482" t="s">
        <v>1566</v>
      </c>
      <c r="G524" s="150" t="s">
        <v>1650</v>
      </c>
      <c r="H524" s="541" t="s">
        <v>1650</v>
      </c>
      <c r="I524" s="540" t="s">
        <v>1650</v>
      </c>
      <c r="J524" s="541" t="s">
        <v>1650</v>
      </c>
      <c r="K524" s="342" t="s">
        <v>1650</v>
      </c>
      <c r="L524" s="542" t="s">
        <v>389</v>
      </c>
      <c r="M524" s="544" t="s">
        <v>1658</v>
      </c>
      <c r="N524" s="343"/>
      <c r="O524" s="550"/>
      <c r="P524" s="285" t="s">
        <v>596</v>
      </c>
      <c r="Q524" s="545"/>
      <c r="R524" s="343"/>
      <c r="S524" s="545"/>
      <c r="T524" s="541" t="s">
        <v>67</v>
      </c>
      <c r="U524" s="546" t="s">
        <v>1652</v>
      </c>
      <c r="V524" s="403"/>
      <c r="W524" s="406">
        <v>-12000</v>
      </c>
      <c r="X524" s="406">
        <v>0</v>
      </c>
      <c r="Y524" s="425"/>
      <c r="Z524" s="71"/>
      <c r="AA524" s="530"/>
      <c r="AB524" s="530"/>
      <c r="AC524" s="530"/>
      <c r="AD524" s="428" t="s">
        <v>1142</v>
      </c>
      <c r="AE524" s="429">
        <v>0</v>
      </c>
      <c r="AF524" s="429">
        <v>0</v>
      </c>
      <c r="AG524" s="547">
        <v>0</v>
      </c>
      <c r="AH524" s="547">
        <v>0</v>
      </c>
      <c r="AI524" s="547">
        <v>0</v>
      </c>
      <c r="AJ524" s="547">
        <v>0</v>
      </c>
      <c r="AK524" s="547">
        <v>0</v>
      </c>
      <c r="AL524" s="547">
        <v>0</v>
      </c>
      <c r="AM524" s="367">
        <f t="shared" si="29"/>
        <v>0</v>
      </c>
      <c r="AN524" s="362">
        <f>ERP_26[[#This Row],[2026 Working Total]]-ERP_26[[#This Row],[LE2 Final Submission]]</f>
        <v>0</v>
      </c>
      <c r="AO524" s="294"/>
      <c r="AP524" s="294">
        <f t="shared" si="30"/>
        <v>0</v>
      </c>
      <c r="AQ524" s="374">
        <f>SUM(ERP_26[[#This Row],[AP01]:[AP06]])-SUM(ERP_26[[#This Row],[AP01 LE2]:[AP06 LE2]])</f>
        <v>0</v>
      </c>
      <c r="AR524" s="80"/>
      <c r="AS524" s="79">
        <f>ERP_26[[#This Row],[2026 Working Total to Budget/LE]]-ERP_26[[#This Row],[Giveback]]</f>
        <v>0</v>
      </c>
      <c r="AT524" s="81"/>
      <c r="AU524" s="375"/>
      <c r="AV524" s="375"/>
      <c r="AW524" s="375"/>
      <c r="AX524" s="375"/>
      <c r="AY524" s="375"/>
      <c r="AZ524" s="375">
        <v>0</v>
      </c>
      <c r="BA524" s="375">
        <v>0</v>
      </c>
      <c r="BB524" s="375">
        <v>0</v>
      </c>
      <c r="BC524" s="375">
        <v>0</v>
      </c>
      <c r="BD524" s="375">
        <v>0</v>
      </c>
      <c r="BE524" s="375">
        <v>0</v>
      </c>
      <c r="BF524" s="375">
        <v>0</v>
      </c>
      <c r="BG524" s="375">
        <v>0</v>
      </c>
      <c r="BH524" s="295"/>
      <c r="BI524" s="295"/>
      <c r="BJ524" s="295"/>
      <c r="BK524" s="295"/>
      <c r="BL524" s="295"/>
      <c r="BM524" s="295">
        <v>-3000</v>
      </c>
      <c r="BN524" s="295">
        <v>0</v>
      </c>
      <c r="BO524" s="295">
        <v>0</v>
      </c>
      <c r="BP524" s="295">
        <v>-3000</v>
      </c>
      <c r="BQ524" s="295">
        <v>0</v>
      </c>
      <c r="BR524" s="295">
        <v>0</v>
      </c>
      <c r="BS524" s="295">
        <v>-3000</v>
      </c>
      <c r="BT524" s="227">
        <v>-9000</v>
      </c>
    </row>
    <row r="525" spans="1:72" ht="15" customHeight="1">
      <c r="A525" s="66" t="s">
        <v>2141</v>
      </c>
      <c r="B525" s="264"/>
      <c r="C525" s="66" t="s">
        <v>597</v>
      </c>
      <c r="D525" s="66" t="s">
        <v>597</v>
      </c>
      <c r="E525" s="150" t="s">
        <v>1136</v>
      </c>
      <c r="F525" s="482" t="s">
        <v>1566</v>
      </c>
      <c r="G525" s="150" t="s">
        <v>1650</v>
      </c>
      <c r="H525" s="342" t="s">
        <v>1650</v>
      </c>
      <c r="I525" s="334" t="s">
        <v>1650</v>
      </c>
      <c r="J525" s="342" t="s">
        <v>1650</v>
      </c>
      <c r="K525" s="342" t="s">
        <v>1650</v>
      </c>
      <c r="L525" s="521" t="s">
        <v>389</v>
      </c>
      <c r="M525" s="451" t="s">
        <v>1855</v>
      </c>
      <c r="N525" s="343"/>
      <c r="O525" s="343"/>
      <c r="P525" s="70" t="s">
        <v>466</v>
      </c>
      <c r="Q525" s="346"/>
      <c r="R525" s="346" t="s">
        <v>1140</v>
      </c>
      <c r="S525" s="346"/>
      <c r="T525" s="150" t="s">
        <v>57</v>
      </c>
      <c r="U525" s="150"/>
      <c r="V525" s="403"/>
      <c r="W525" s="406">
        <v>0</v>
      </c>
      <c r="X525" s="406">
        <v>11571</v>
      </c>
      <c r="Y525" s="425"/>
      <c r="Z525" s="71"/>
      <c r="AA525" s="530">
        <v>681</v>
      </c>
      <c r="AB525" s="530">
        <v>981</v>
      </c>
      <c r="AC525" s="530">
        <v>2709</v>
      </c>
      <c r="AD525" s="531">
        <v>2441</v>
      </c>
      <c r="AE525" s="531">
        <v>2448</v>
      </c>
      <c r="AF525" s="429">
        <v>1771</v>
      </c>
      <c r="AG525" s="363">
        <v>800</v>
      </c>
      <c r="AH525" s="363">
        <v>800</v>
      </c>
      <c r="AI525" s="363">
        <v>800</v>
      </c>
      <c r="AJ525" s="363">
        <v>800</v>
      </c>
      <c r="AK525" s="363">
        <v>800</v>
      </c>
      <c r="AL525" s="363">
        <v>800</v>
      </c>
      <c r="AM525" s="367">
        <f t="shared" si="29"/>
        <v>15831</v>
      </c>
      <c r="AN525" s="362">
        <f>ERP_26[[#This Row],[2026 Working Total]]-ERP_26[[#This Row],[LE2 Final Submission]]</f>
        <v>4260</v>
      </c>
      <c r="AO525" s="79">
        <v>800</v>
      </c>
      <c r="AP525" s="79">
        <f t="shared" si="30"/>
        <v>971</v>
      </c>
      <c r="AQ525" s="374">
        <f>SUM(ERP_26[[#This Row],[AP01]:[AP06]])-SUM(ERP_26[[#This Row],[AP01 LE2]:[AP06 LE2]])</f>
        <v>4260</v>
      </c>
      <c r="AR525" s="80"/>
      <c r="AS525" s="79">
        <f>ERP_26[[#This Row],[2026 Working Total to Budget/LE]]-ERP_26[[#This Row],[Giveback]]</f>
        <v>4260</v>
      </c>
      <c r="AT525" s="81"/>
      <c r="AU525" s="375">
        <v>681</v>
      </c>
      <c r="AV525" s="375">
        <v>981</v>
      </c>
      <c r="AW525" s="375">
        <v>2709</v>
      </c>
      <c r="AX525" s="375">
        <v>800</v>
      </c>
      <c r="AY525" s="375">
        <v>800</v>
      </c>
      <c r="AZ525" s="375">
        <v>800</v>
      </c>
      <c r="BA525" s="375">
        <v>800</v>
      </c>
      <c r="BB525" s="375">
        <v>800</v>
      </c>
      <c r="BC525" s="375">
        <v>800</v>
      </c>
      <c r="BD525" s="375">
        <v>800</v>
      </c>
      <c r="BE525" s="375">
        <v>800</v>
      </c>
      <c r="BF525" s="375">
        <v>800</v>
      </c>
      <c r="BG525" s="375">
        <v>11571</v>
      </c>
      <c r="BH525" s="79">
        <v>681</v>
      </c>
      <c r="BI525" s="79">
        <v>981</v>
      </c>
      <c r="BJ525" s="79">
        <v>2709</v>
      </c>
      <c r="BK525" s="79">
        <v>800</v>
      </c>
      <c r="BL525" s="79">
        <v>800</v>
      </c>
      <c r="BM525" s="79">
        <v>800</v>
      </c>
      <c r="BN525" s="79">
        <v>800</v>
      </c>
      <c r="BO525" s="79">
        <v>800</v>
      </c>
      <c r="BP525" s="79">
        <v>800</v>
      </c>
      <c r="BQ525" s="79">
        <v>800</v>
      </c>
      <c r="BR525" s="79">
        <v>800</v>
      </c>
      <c r="BS525" s="79">
        <v>800</v>
      </c>
      <c r="BT525" s="79">
        <v>11571</v>
      </c>
    </row>
    <row r="526" spans="1:72" ht="15" customHeight="1">
      <c r="A526" s="66" t="s">
        <v>2143</v>
      </c>
      <c r="B526" s="264"/>
      <c r="C526" s="66" t="s">
        <v>598</v>
      </c>
      <c r="D526" s="66" t="s">
        <v>598</v>
      </c>
      <c r="E526" s="150" t="s">
        <v>1136</v>
      </c>
      <c r="F526" s="482" t="s">
        <v>1566</v>
      </c>
      <c r="G526" s="150" t="s">
        <v>1650</v>
      </c>
      <c r="H526" s="342" t="s">
        <v>1650</v>
      </c>
      <c r="I526" s="342" t="s">
        <v>1650</v>
      </c>
      <c r="J526" s="342" t="s">
        <v>1650</v>
      </c>
      <c r="K526" s="342" t="s">
        <v>1650</v>
      </c>
      <c r="L526" s="521" t="s">
        <v>389</v>
      </c>
      <c r="M526" s="451" t="s">
        <v>2144</v>
      </c>
      <c r="N526" s="343"/>
      <c r="O526" s="343"/>
      <c r="P526" s="70" t="s">
        <v>599</v>
      </c>
      <c r="Q526" s="346"/>
      <c r="R526" s="343"/>
      <c r="S526" s="346"/>
      <c r="T526" s="150" t="s">
        <v>25</v>
      </c>
      <c r="U526" s="150"/>
      <c r="V526" s="403"/>
      <c r="W526" s="406">
        <v>12000</v>
      </c>
      <c r="X526" s="406">
        <v>12000</v>
      </c>
      <c r="Y526" s="425"/>
      <c r="Z526" s="71"/>
      <c r="AA526" s="427"/>
      <c r="AB526" s="427"/>
      <c r="AC526" s="427"/>
      <c r="AD526" s="428" t="s">
        <v>1142</v>
      </c>
      <c r="AE526" s="429">
        <v>0</v>
      </c>
      <c r="AF526" s="429">
        <v>0</v>
      </c>
      <c r="AG526" s="360">
        <v>0</v>
      </c>
      <c r="AH526" s="360">
        <v>0</v>
      </c>
      <c r="AI526" s="360">
        <v>0</v>
      </c>
      <c r="AJ526" s="360">
        <v>0</v>
      </c>
      <c r="AK526" s="360">
        <v>0</v>
      </c>
      <c r="AL526" s="360">
        <v>0</v>
      </c>
      <c r="AM526" s="367">
        <f t="shared" si="29"/>
        <v>0</v>
      </c>
      <c r="AN526" s="455">
        <f>ERP_26[[#This Row],[2026 Working Total]]-ERP_26[[#This Row],[LE2 Final Submission]]</f>
        <v>-12000</v>
      </c>
      <c r="AO526" s="79"/>
      <c r="AP526" s="79">
        <f t="shared" si="30"/>
        <v>0</v>
      </c>
      <c r="AQ526" s="374">
        <f>SUM(ERP_26[[#This Row],[AP01]:[AP06]])-SUM(ERP_26[[#This Row],[AP01 LE2]:[AP06 LE2]])</f>
        <v>-12000</v>
      </c>
      <c r="AR526" s="80"/>
      <c r="AS526" s="79">
        <f>ERP_26[[#This Row],[2026 Working Total to Budget/LE]]-ERP_26[[#This Row],[Giveback]]</f>
        <v>-12000</v>
      </c>
      <c r="AT526" s="81"/>
      <c r="AU526" s="375"/>
      <c r="AV526" s="375"/>
      <c r="AW526" s="375"/>
      <c r="AX526" s="375"/>
      <c r="AY526" s="375"/>
      <c r="AZ526" s="375">
        <v>12000</v>
      </c>
      <c r="BA526" s="375">
        <v>0</v>
      </c>
      <c r="BB526" s="375">
        <v>0</v>
      </c>
      <c r="BC526" s="375">
        <v>0</v>
      </c>
      <c r="BD526" s="375">
        <v>0</v>
      </c>
      <c r="BE526" s="375">
        <v>0</v>
      </c>
      <c r="BF526" s="375">
        <v>0</v>
      </c>
      <c r="BG526" s="375">
        <v>12000</v>
      </c>
      <c r="BH526" s="79"/>
      <c r="BI526" s="79"/>
      <c r="BJ526" s="79"/>
      <c r="BK526" s="79"/>
      <c r="BL526" s="79"/>
      <c r="BM526" s="79">
        <v>12000</v>
      </c>
      <c r="BN526" s="79">
        <v>0</v>
      </c>
      <c r="BO526" s="79">
        <v>0</v>
      </c>
      <c r="BP526" s="79">
        <v>0</v>
      </c>
      <c r="BQ526" s="79">
        <v>0</v>
      </c>
      <c r="BR526" s="79">
        <v>0</v>
      </c>
      <c r="BS526" s="79">
        <v>0</v>
      </c>
      <c r="BT526" s="79">
        <v>12000</v>
      </c>
    </row>
    <row r="527" spans="1:72" ht="15" customHeight="1">
      <c r="A527" s="66" t="s">
        <v>2145</v>
      </c>
      <c r="B527" s="264"/>
      <c r="C527" s="66" t="s">
        <v>600</v>
      </c>
      <c r="D527" s="66" t="s">
        <v>600</v>
      </c>
      <c r="E527" s="150" t="s">
        <v>1136</v>
      </c>
      <c r="F527" s="482" t="s">
        <v>1566</v>
      </c>
      <c r="G527" s="150" t="s">
        <v>1650</v>
      </c>
      <c r="H527" s="150" t="s">
        <v>1650</v>
      </c>
      <c r="I527" s="150" t="s">
        <v>1650</v>
      </c>
      <c r="J527" s="150" t="s">
        <v>1650</v>
      </c>
      <c r="K527" s="150" t="s">
        <v>1650</v>
      </c>
      <c r="L527" s="511" t="s">
        <v>389</v>
      </c>
      <c r="M527" s="392" t="s">
        <v>1327</v>
      </c>
      <c r="N527" s="343"/>
      <c r="O527" s="343"/>
      <c r="P527" s="70" t="s">
        <v>147</v>
      </c>
      <c r="Q527" s="346"/>
      <c r="R527" s="343"/>
      <c r="S527" s="346"/>
      <c r="T527" s="150" t="s">
        <v>25</v>
      </c>
      <c r="U527" s="150" t="s">
        <v>2147</v>
      </c>
      <c r="V527" s="403"/>
      <c r="W527" s="406">
        <v>0</v>
      </c>
      <c r="X527" s="406">
        <v>-0.03</v>
      </c>
      <c r="Y527" s="425"/>
      <c r="Z527" s="71"/>
      <c r="AA527" s="427"/>
      <c r="AB527" s="427"/>
      <c r="AC527" s="427">
        <v>-0.03</v>
      </c>
      <c r="AD527" s="428">
        <v>-0.38</v>
      </c>
      <c r="AE527" s="429">
        <v>0.61</v>
      </c>
      <c r="AF527" s="429">
        <v>341292.15</v>
      </c>
      <c r="AG527" s="360">
        <v>0</v>
      </c>
      <c r="AH527" s="360">
        <v>0</v>
      </c>
      <c r="AI527" s="360">
        <v>0</v>
      </c>
      <c r="AJ527" s="360">
        <v>0</v>
      </c>
      <c r="AK527" s="360">
        <v>0</v>
      </c>
      <c r="AL527" s="360">
        <v>0</v>
      </c>
      <c r="AM527" s="367">
        <f t="shared" si="29"/>
        <v>341292.35000000003</v>
      </c>
      <c r="AN527" s="455">
        <f>ERP_26[[#This Row],[2026 Working Total]]-ERP_26[[#This Row],[LE2 Final Submission]]</f>
        <v>341292.38000000006</v>
      </c>
      <c r="AO527" s="79">
        <v>0</v>
      </c>
      <c r="AP527" s="79">
        <f t="shared" si="30"/>
        <v>341292.15</v>
      </c>
      <c r="AQ527" s="374">
        <f>SUM(ERP_26[[#This Row],[AP01]:[AP06]])-SUM(ERP_26[[#This Row],[AP01 LE2]:[AP06 LE2]])</f>
        <v>341292.38000000006</v>
      </c>
      <c r="AR527" s="80"/>
      <c r="AS527" s="79">
        <f>ERP_26[[#This Row],[2026 Working Total to Budget/LE]]-ERP_26[[#This Row],[Giveback]]</f>
        <v>341292.38000000006</v>
      </c>
      <c r="AT527" s="81"/>
      <c r="AU527" s="375"/>
      <c r="AV527" s="375"/>
      <c r="AW527" s="375">
        <v>-0.03</v>
      </c>
      <c r="AX527" s="375">
        <v>0</v>
      </c>
      <c r="AY527" s="375">
        <v>0</v>
      </c>
      <c r="AZ527" s="375">
        <v>0</v>
      </c>
      <c r="BA527" s="375">
        <v>0</v>
      </c>
      <c r="BB527" s="375">
        <v>0</v>
      </c>
      <c r="BC527" s="375">
        <v>0</v>
      </c>
      <c r="BD527" s="375">
        <v>0</v>
      </c>
      <c r="BE527" s="375">
        <v>0</v>
      </c>
      <c r="BF527" s="375">
        <v>0</v>
      </c>
      <c r="BG527" s="375">
        <v>-0.03</v>
      </c>
      <c r="BH527" s="79"/>
      <c r="BI527" s="79"/>
      <c r="BJ527" s="79">
        <v>-0.03</v>
      </c>
      <c r="BK527" s="79">
        <v>0</v>
      </c>
      <c r="BL527" s="79">
        <v>0</v>
      </c>
      <c r="BM527" s="79">
        <v>0</v>
      </c>
      <c r="BN527" s="79">
        <v>0</v>
      </c>
      <c r="BO527" s="79">
        <v>0</v>
      </c>
      <c r="BP527" s="79">
        <v>0</v>
      </c>
      <c r="BQ527" s="79">
        <v>0</v>
      </c>
      <c r="BR527" s="79">
        <v>0</v>
      </c>
      <c r="BS527" s="79">
        <v>0</v>
      </c>
      <c r="BT527" s="79">
        <v>-0.03</v>
      </c>
    </row>
    <row r="528" spans="1:72" ht="15" customHeight="1">
      <c r="A528" s="66" t="s">
        <v>2186</v>
      </c>
      <c r="B528" s="264"/>
      <c r="C528" s="66" t="s">
        <v>623</v>
      </c>
      <c r="D528" s="66" t="s">
        <v>623</v>
      </c>
      <c r="E528" s="150" t="s">
        <v>1136</v>
      </c>
      <c r="F528" s="482" t="s">
        <v>1566</v>
      </c>
      <c r="G528" s="150" t="s">
        <v>1650</v>
      </c>
      <c r="H528" s="150" t="s">
        <v>1650</v>
      </c>
      <c r="I528" s="150" t="s">
        <v>1650</v>
      </c>
      <c r="J528" s="150" t="s">
        <v>1650</v>
      </c>
      <c r="K528" s="150" t="s">
        <v>1650</v>
      </c>
      <c r="L528" s="511" t="s">
        <v>602</v>
      </c>
      <c r="M528" s="451" t="s">
        <v>611</v>
      </c>
      <c r="N528" s="343"/>
      <c r="O528" s="343"/>
      <c r="P528" s="70" t="s">
        <v>610</v>
      </c>
      <c r="Q528" s="346"/>
      <c r="R528" s="343"/>
      <c r="S528" s="346"/>
      <c r="T528" s="150" t="s">
        <v>611</v>
      </c>
      <c r="U528" s="150"/>
      <c r="V528" s="403"/>
      <c r="W528" s="406">
        <v>0</v>
      </c>
      <c r="X528" s="406">
        <v>28.1</v>
      </c>
      <c r="Y528" s="425"/>
      <c r="Z528" s="71"/>
      <c r="AA528" s="427"/>
      <c r="AB528" s="427">
        <v>27.55</v>
      </c>
      <c r="AC528" s="427">
        <v>0.55000000000000004</v>
      </c>
      <c r="AD528" s="428">
        <v>2.16</v>
      </c>
      <c r="AE528" s="429">
        <v>4.129999999999999</v>
      </c>
      <c r="AF528" s="429">
        <v>57.92</v>
      </c>
      <c r="AG528" s="360">
        <v>0</v>
      </c>
      <c r="AH528" s="360">
        <v>0</v>
      </c>
      <c r="AI528" s="360">
        <v>0</v>
      </c>
      <c r="AJ528" s="360">
        <v>0</v>
      </c>
      <c r="AK528" s="360">
        <v>0</v>
      </c>
      <c r="AL528" s="360">
        <v>0</v>
      </c>
      <c r="AM528" s="367">
        <f t="shared" si="29"/>
        <v>92.31</v>
      </c>
      <c r="AN528" s="455">
        <f>ERP_26[[#This Row],[2026 Working Total]]-ERP_26[[#This Row],[LE2 Final Submission]]</f>
        <v>64.210000000000008</v>
      </c>
      <c r="AO528" s="79">
        <v>0</v>
      </c>
      <c r="AP528" s="79">
        <f t="shared" si="30"/>
        <v>57.92</v>
      </c>
      <c r="AQ528" s="374">
        <f>SUM(ERP_26[[#This Row],[AP01]:[AP06]])-SUM(ERP_26[[#This Row],[AP01 LE2]:[AP06 LE2]])</f>
        <v>64.210000000000008</v>
      </c>
      <c r="AR528" s="80"/>
      <c r="AS528" s="79">
        <f>ERP_26[[#This Row],[2026 Working Total to Budget/LE]]-ERP_26[[#This Row],[Giveback]]</f>
        <v>64.210000000000008</v>
      </c>
      <c r="AT528" s="81"/>
      <c r="AU528" s="375"/>
      <c r="AV528" s="375">
        <v>27.55</v>
      </c>
      <c r="AW528" s="375">
        <v>0.55000000000000004</v>
      </c>
      <c r="AX528" s="375">
        <v>0</v>
      </c>
      <c r="AY528" s="375">
        <v>0</v>
      </c>
      <c r="AZ528" s="375">
        <v>0</v>
      </c>
      <c r="BA528" s="375">
        <v>0</v>
      </c>
      <c r="BB528" s="375">
        <v>0</v>
      </c>
      <c r="BC528" s="375">
        <v>0</v>
      </c>
      <c r="BD528" s="375">
        <v>0</v>
      </c>
      <c r="BE528" s="375">
        <v>0</v>
      </c>
      <c r="BF528" s="375">
        <v>0</v>
      </c>
      <c r="BG528" s="375">
        <v>28.1</v>
      </c>
      <c r="BH528" s="79"/>
      <c r="BI528" s="79">
        <v>27.55</v>
      </c>
      <c r="BJ528" s="79">
        <v>0.55000000000000004</v>
      </c>
      <c r="BK528" s="79">
        <v>0</v>
      </c>
      <c r="BL528" s="79">
        <v>0</v>
      </c>
      <c r="BM528" s="79">
        <v>0</v>
      </c>
      <c r="BN528" s="79">
        <v>0</v>
      </c>
      <c r="BO528" s="79">
        <v>0</v>
      </c>
      <c r="BP528" s="79">
        <v>0</v>
      </c>
      <c r="BQ528" s="79">
        <v>0</v>
      </c>
      <c r="BR528" s="79">
        <v>0</v>
      </c>
      <c r="BS528" s="79">
        <v>0</v>
      </c>
      <c r="BT528" s="79">
        <v>28.1</v>
      </c>
    </row>
    <row r="529" spans="1:72" ht="15" customHeight="1">
      <c r="A529" s="66" t="s">
        <v>2809</v>
      </c>
      <c r="B529" s="264"/>
      <c r="C529" s="66" t="s">
        <v>1016</v>
      </c>
      <c r="D529" s="66" t="s">
        <v>1016</v>
      </c>
      <c r="E529" s="150" t="s">
        <v>1136</v>
      </c>
      <c r="F529" s="482" t="s">
        <v>1566</v>
      </c>
      <c r="G529" s="150" t="s">
        <v>1650</v>
      </c>
      <c r="H529" s="150" t="s">
        <v>1650</v>
      </c>
      <c r="I529" s="150" t="s">
        <v>1650</v>
      </c>
      <c r="J529" s="150" t="s">
        <v>1650</v>
      </c>
      <c r="K529" s="150" t="s">
        <v>1650</v>
      </c>
      <c r="L529" s="511" t="s">
        <v>639</v>
      </c>
      <c r="M529" s="451" t="s">
        <v>1138</v>
      </c>
      <c r="N529" s="343"/>
      <c r="O529" s="343"/>
      <c r="P529" s="70" t="s">
        <v>51</v>
      </c>
      <c r="Q529" s="346" t="s">
        <v>1139</v>
      </c>
      <c r="R529" s="346" t="s">
        <v>1140</v>
      </c>
      <c r="S529" s="346"/>
      <c r="T529" s="150" t="s">
        <v>25</v>
      </c>
      <c r="U529" s="150"/>
      <c r="V529" s="403"/>
      <c r="W529" s="406">
        <v>0</v>
      </c>
      <c r="X529" s="406">
        <v>200.42</v>
      </c>
      <c r="Y529" s="425"/>
      <c r="Z529" s="71"/>
      <c r="AA529" s="427"/>
      <c r="AB529" s="427"/>
      <c r="AC529" s="427">
        <v>200.42</v>
      </c>
      <c r="AD529" s="428">
        <v>0</v>
      </c>
      <c r="AE529" s="429">
        <v>0</v>
      </c>
      <c r="AF529" s="429">
        <v>0</v>
      </c>
      <c r="AG529" s="360">
        <v>0</v>
      </c>
      <c r="AH529" s="360">
        <v>0</v>
      </c>
      <c r="AI529" s="360">
        <v>0</v>
      </c>
      <c r="AJ529" s="360">
        <v>0</v>
      </c>
      <c r="AK529" s="360">
        <v>0</v>
      </c>
      <c r="AL529" s="360">
        <v>0</v>
      </c>
      <c r="AM529" s="367">
        <f t="shared" si="29"/>
        <v>200.42</v>
      </c>
      <c r="AN529" s="455">
        <f>ERP_26[[#This Row],[2026 Working Total]]-ERP_26[[#This Row],[LE2 Final Submission]]</f>
        <v>0</v>
      </c>
      <c r="AO529" s="79">
        <v>0</v>
      </c>
      <c r="AP529" s="79">
        <f t="shared" si="30"/>
        <v>0</v>
      </c>
      <c r="AQ529" s="374">
        <f>SUM(ERP_26[[#This Row],[AP01]:[AP06]])-SUM(ERP_26[[#This Row],[AP01 LE2]:[AP06 LE2]])</f>
        <v>0</v>
      </c>
      <c r="AR529" s="80"/>
      <c r="AS529" s="79">
        <f>ERP_26[[#This Row],[2026 Working Total to Budget/LE]]-ERP_26[[#This Row],[Giveback]]</f>
        <v>0</v>
      </c>
      <c r="AT529" s="81"/>
      <c r="AU529" s="375"/>
      <c r="AV529" s="375"/>
      <c r="AW529" s="375">
        <v>200.42</v>
      </c>
      <c r="AX529" s="375">
        <v>0</v>
      </c>
      <c r="AY529" s="375">
        <v>0</v>
      </c>
      <c r="AZ529" s="375">
        <v>0</v>
      </c>
      <c r="BA529" s="375">
        <v>0</v>
      </c>
      <c r="BB529" s="375">
        <v>0</v>
      </c>
      <c r="BC529" s="375">
        <v>0</v>
      </c>
      <c r="BD529" s="375">
        <v>0</v>
      </c>
      <c r="BE529" s="375">
        <v>0</v>
      </c>
      <c r="BF529" s="375">
        <v>0</v>
      </c>
      <c r="BG529" s="375">
        <v>200.42</v>
      </c>
      <c r="BH529" s="79"/>
      <c r="BI529" s="79"/>
      <c r="BJ529" s="79">
        <v>200.42</v>
      </c>
      <c r="BK529" s="79">
        <v>0</v>
      </c>
      <c r="BL529" s="79">
        <v>0</v>
      </c>
      <c r="BM529" s="79">
        <v>0</v>
      </c>
      <c r="BN529" s="79">
        <v>0</v>
      </c>
      <c r="BO529" s="79">
        <v>0</v>
      </c>
      <c r="BP529" s="79">
        <v>0</v>
      </c>
      <c r="BQ529" s="79">
        <v>0</v>
      </c>
      <c r="BR529" s="79">
        <v>0</v>
      </c>
      <c r="BS529" s="79">
        <v>0</v>
      </c>
      <c r="BT529" s="79">
        <v>200.42</v>
      </c>
    </row>
    <row r="530" spans="1:72" ht="15" customHeight="1">
      <c r="A530" s="66" t="s">
        <v>2810</v>
      </c>
      <c r="B530" s="264"/>
      <c r="C530" s="66" t="s">
        <v>1017</v>
      </c>
      <c r="D530" s="66" t="s">
        <v>1017</v>
      </c>
      <c r="E530" s="150" t="s">
        <v>1136</v>
      </c>
      <c r="F530" s="482" t="s">
        <v>1566</v>
      </c>
      <c r="G530" s="150" t="s">
        <v>1650</v>
      </c>
      <c r="H530" s="150" t="s">
        <v>1650</v>
      </c>
      <c r="I530" s="150" t="s">
        <v>1650</v>
      </c>
      <c r="J530" s="150" t="s">
        <v>1650</v>
      </c>
      <c r="K530" s="150" t="s">
        <v>1650</v>
      </c>
      <c r="L530" s="511" t="s">
        <v>639</v>
      </c>
      <c r="M530" s="451" t="s">
        <v>2285</v>
      </c>
      <c r="N530" s="343"/>
      <c r="O530" s="343"/>
      <c r="P530" s="70" t="s">
        <v>676</v>
      </c>
      <c r="Q530" s="346"/>
      <c r="R530" s="346" t="s">
        <v>1140</v>
      </c>
      <c r="S530" s="346"/>
      <c r="T530" s="150" t="s">
        <v>677</v>
      </c>
      <c r="U530" s="150"/>
      <c r="V530" s="403"/>
      <c r="W530" s="406">
        <v>838.44</v>
      </c>
      <c r="X530" s="406">
        <v>1759.95</v>
      </c>
      <c r="Y530" s="425"/>
      <c r="Z530" s="71"/>
      <c r="AA530" s="427"/>
      <c r="AB530" s="427">
        <v>921.51</v>
      </c>
      <c r="AC530" s="431">
        <v>0</v>
      </c>
      <c r="AD530" s="428">
        <v>717.38</v>
      </c>
      <c r="AE530" s="429">
        <v>227</v>
      </c>
      <c r="AF530" s="429">
        <v>0</v>
      </c>
      <c r="AG530" s="360">
        <v>0</v>
      </c>
      <c r="AH530" s="363">
        <v>550</v>
      </c>
      <c r="AI530" s="363">
        <v>288.44</v>
      </c>
      <c r="AJ530" s="360">
        <v>0</v>
      </c>
      <c r="AK530" s="360">
        <v>0</v>
      </c>
      <c r="AL530" s="360">
        <v>0</v>
      </c>
      <c r="AM530" s="367">
        <f t="shared" si="29"/>
        <v>2704.33</v>
      </c>
      <c r="AN530" s="455">
        <f>ERP_26[[#This Row],[2026 Working Total]]-ERP_26[[#This Row],[LE2 Final Submission]]</f>
        <v>944.37999999999988</v>
      </c>
      <c r="AO530" s="79">
        <v>0</v>
      </c>
      <c r="AP530" s="79">
        <f t="shared" si="30"/>
        <v>0</v>
      </c>
      <c r="AQ530" s="374">
        <f>SUM(ERP_26[[#This Row],[AP01]:[AP06]])-SUM(ERP_26[[#This Row],[AP01 LE2]:[AP06 LE2]])</f>
        <v>944.37999999999988</v>
      </c>
      <c r="AR530" s="80"/>
      <c r="AS530" s="79">
        <f>ERP_26[[#This Row],[2026 Working Total to Budget/LE]]-ERP_26[[#This Row],[Giveback]]</f>
        <v>944.37999999999988</v>
      </c>
      <c r="AT530" s="81"/>
      <c r="AU530" s="375"/>
      <c r="AV530" s="375">
        <v>921.51</v>
      </c>
      <c r="AW530" s="375">
        <v>0</v>
      </c>
      <c r="AX530" s="375">
        <v>0</v>
      </c>
      <c r="AY530" s="375">
        <v>0</v>
      </c>
      <c r="AZ530" s="375">
        <v>0</v>
      </c>
      <c r="BA530" s="375">
        <v>0</v>
      </c>
      <c r="BB530" s="375">
        <v>550</v>
      </c>
      <c r="BC530" s="375">
        <v>288.44</v>
      </c>
      <c r="BD530" s="375">
        <v>0</v>
      </c>
      <c r="BE530" s="375">
        <v>0</v>
      </c>
      <c r="BF530" s="375">
        <v>0</v>
      </c>
      <c r="BG530" s="375">
        <v>1759.95</v>
      </c>
      <c r="BH530" s="79"/>
      <c r="BI530" s="79">
        <v>921.51</v>
      </c>
      <c r="BJ530" s="79">
        <v>0</v>
      </c>
      <c r="BK530" s="79">
        <v>0</v>
      </c>
      <c r="BL530" s="79">
        <v>0</v>
      </c>
      <c r="BM530" s="79">
        <v>0</v>
      </c>
      <c r="BN530" s="79">
        <v>0</v>
      </c>
      <c r="BO530" s="79">
        <v>550</v>
      </c>
      <c r="BP530" s="79">
        <v>288.44</v>
      </c>
      <c r="BQ530" s="79">
        <v>0</v>
      </c>
      <c r="BR530" s="79">
        <v>0</v>
      </c>
      <c r="BS530" s="79">
        <v>0</v>
      </c>
      <c r="BT530" s="79">
        <v>1759.95</v>
      </c>
    </row>
    <row r="531" spans="1:72" ht="15" customHeight="1">
      <c r="A531" s="66" t="s">
        <v>2811</v>
      </c>
      <c r="B531" s="264"/>
      <c r="C531" s="66" t="s">
        <v>1018</v>
      </c>
      <c r="D531" s="66" t="s">
        <v>1018</v>
      </c>
      <c r="E531" s="150" t="s">
        <v>1136</v>
      </c>
      <c r="F531" s="482" t="s">
        <v>1566</v>
      </c>
      <c r="G531" s="150" t="s">
        <v>1650</v>
      </c>
      <c r="H531" s="150" t="s">
        <v>1650</v>
      </c>
      <c r="I531" s="150" t="s">
        <v>1650</v>
      </c>
      <c r="J531" s="150" t="s">
        <v>1650</v>
      </c>
      <c r="K531" s="150" t="s">
        <v>1650</v>
      </c>
      <c r="L531" s="511" t="s">
        <v>639</v>
      </c>
      <c r="M531" s="451" t="s">
        <v>2291</v>
      </c>
      <c r="N531" s="343"/>
      <c r="O531" s="343"/>
      <c r="P531" s="70" t="s">
        <v>679</v>
      </c>
      <c r="Q531" s="346"/>
      <c r="R531" s="346" t="s">
        <v>1140</v>
      </c>
      <c r="S531" s="346"/>
      <c r="T531" s="150" t="s">
        <v>680</v>
      </c>
      <c r="U531" s="150"/>
      <c r="V531" s="403"/>
      <c r="W531" s="406">
        <v>4500</v>
      </c>
      <c r="X531" s="406">
        <v>8574.7199999999993</v>
      </c>
      <c r="Y531" s="425"/>
      <c r="Z531" s="71"/>
      <c r="AA531" s="427">
        <v>431</v>
      </c>
      <c r="AB531" s="427">
        <v>2586</v>
      </c>
      <c r="AC531" s="427">
        <v>2182.7199999999998</v>
      </c>
      <c r="AD531" s="428">
        <v>431</v>
      </c>
      <c r="AE531" s="429">
        <v>0</v>
      </c>
      <c r="AF531" s="429">
        <v>1724</v>
      </c>
      <c r="AG531" s="363">
        <v>375</v>
      </c>
      <c r="AH531" s="363">
        <v>375</v>
      </c>
      <c r="AI531" s="363">
        <v>375</v>
      </c>
      <c r="AJ531" s="363">
        <v>375</v>
      </c>
      <c r="AK531" s="363">
        <v>375</v>
      </c>
      <c r="AL531" s="363">
        <v>375</v>
      </c>
      <c r="AM531" s="367">
        <f t="shared" si="29"/>
        <v>9604.7199999999993</v>
      </c>
      <c r="AN531" s="455">
        <f>ERP_26[[#This Row],[2026 Working Total]]-ERP_26[[#This Row],[LE2 Final Submission]]</f>
        <v>1030</v>
      </c>
      <c r="AO531" s="79">
        <v>375</v>
      </c>
      <c r="AP531" s="79">
        <f t="shared" si="30"/>
        <v>1349</v>
      </c>
      <c r="AQ531" s="374">
        <f>SUM(ERP_26[[#This Row],[AP01]:[AP06]])-SUM(ERP_26[[#This Row],[AP01 LE2]:[AP06 LE2]])</f>
        <v>1030</v>
      </c>
      <c r="AR531" s="80"/>
      <c r="AS531" s="79">
        <f>ERP_26[[#This Row],[2026 Working Total to Budget/LE]]-ERP_26[[#This Row],[Giveback]]</f>
        <v>1030</v>
      </c>
      <c r="AT531" s="81"/>
      <c r="AU531" s="375">
        <v>431</v>
      </c>
      <c r="AV531" s="375">
        <v>2586</v>
      </c>
      <c r="AW531" s="375">
        <v>2182.7199999999998</v>
      </c>
      <c r="AX531" s="375">
        <v>375</v>
      </c>
      <c r="AY531" s="375">
        <v>375</v>
      </c>
      <c r="AZ531" s="375">
        <v>375</v>
      </c>
      <c r="BA531" s="375">
        <v>375</v>
      </c>
      <c r="BB531" s="375">
        <v>375</v>
      </c>
      <c r="BC531" s="375">
        <v>375</v>
      </c>
      <c r="BD531" s="375">
        <v>375</v>
      </c>
      <c r="BE531" s="375">
        <v>375</v>
      </c>
      <c r="BF531" s="375">
        <v>375</v>
      </c>
      <c r="BG531" s="375">
        <v>8574.7199999999993</v>
      </c>
      <c r="BH531" s="79">
        <v>431</v>
      </c>
      <c r="BI531" s="79">
        <v>2586</v>
      </c>
      <c r="BJ531" s="79">
        <v>2182.7199999999998</v>
      </c>
      <c r="BK531" s="79">
        <v>375</v>
      </c>
      <c r="BL531" s="79">
        <v>375</v>
      </c>
      <c r="BM531" s="79">
        <v>375</v>
      </c>
      <c r="BN531" s="79">
        <v>375</v>
      </c>
      <c r="BO531" s="79">
        <v>375</v>
      </c>
      <c r="BP531" s="79">
        <v>375</v>
      </c>
      <c r="BQ531" s="79">
        <v>375</v>
      </c>
      <c r="BR531" s="79">
        <v>375</v>
      </c>
      <c r="BS531" s="79">
        <v>375</v>
      </c>
      <c r="BT531" s="79">
        <v>8574.7199999999993</v>
      </c>
    </row>
    <row r="532" spans="1:72" ht="15" customHeight="1">
      <c r="A532" s="79" t="s">
        <v>2812</v>
      </c>
      <c r="B532" s="549"/>
      <c r="C532" s="79" t="s">
        <v>1019</v>
      </c>
      <c r="D532" s="296" t="s">
        <v>1019</v>
      </c>
      <c r="E532" s="150" t="s">
        <v>1136</v>
      </c>
      <c r="F532" s="482" t="s">
        <v>1566</v>
      </c>
      <c r="G532" s="150" t="s">
        <v>1650</v>
      </c>
      <c r="H532" s="382" t="s">
        <v>1650</v>
      </c>
      <c r="I532" s="383" t="s">
        <v>1650</v>
      </c>
      <c r="J532" s="382" t="s">
        <v>1650</v>
      </c>
      <c r="K532" s="333" t="s">
        <v>1650</v>
      </c>
      <c r="L532" s="512" t="s">
        <v>639</v>
      </c>
      <c r="M532" s="401" t="s">
        <v>2813</v>
      </c>
      <c r="N532" s="343"/>
      <c r="O532" s="333"/>
      <c r="P532" s="122" t="s">
        <v>1020</v>
      </c>
      <c r="Q532" s="347"/>
      <c r="R532" s="346" t="s">
        <v>1140</v>
      </c>
      <c r="S532" s="348"/>
      <c r="T532" s="384" t="s">
        <v>1021</v>
      </c>
      <c r="U532" s="387" t="s">
        <v>2814</v>
      </c>
      <c r="V532" s="432"/>
      <c r="W532" s="358">
        <v>340000</v>
      </c>
      <c r="X532" s="378">
        <v>340000</v>
      </c>
      <c r="Y532" s="425"/>
      <c r="Z532" s="71"/>
      <c r="AA532" s="434"/>
      <c r="AB532" s="434"/>
      <c r="AC532" s="434"/>
      <c r="AD532" s="428" t="s">
        <v>1142</v>
      </c>
      <c r="AE532" s="429">
        <v>0</v>
      </c>
      <c r="AF532" s="429">
        <v>0</v>
      </c>
      <c r="AG532" s="388">
        <v>0</v>
      </c>
      <c r="AH532" s="508">
        <v>0</v>
      </c>
      <c r="AI532" s="388">
        <v>0</v>
      </c>
      <c r="AJ532" s="388">
        <v>0</v>
      </c>
      <c r="AK532" s="388">
        <v>0</v>
      </c>
      <c r="AL532" s="388">
        <v>0</v>
      </c>
      <c r="AM532" s="367">
        <f t="shared" si="29"/>
        <v>0</v>
      </c>
      <c r="AN532" s="455">
        <f>ERP_26[[#This Row],[2026 Working Total]]-ERP_26[[#This Row],[LE2 Final Submission]]</f>
        <v>-340000</v>
      </c>
      <c r="AO532" s="79">
        <v>0</v>
      </c>
      <c r="AP532" s="79">
        <f t="shared" si="30"/>
        <v>0</v>
      </c>
      <c r="AQ532" s="374">
        <f>SUM(ERP_26[[#This Row],[AP01]:[AP06]])-SUM(ERP_26[[#This Row],[AP01 LE2]:[AP06 LE2]])</f>
        <v>0</v>
      </c>
      <c r="AR532" s="80"/>
      <c r="AS532" s="79">
        <f>ERP_26[[#This Row],[2026 Working Total to Budget/LE]]-ERP_26[[#This Row],[Giveback]]</f>
        <v>-340000</v>
      </c>
      <c r="AT532" s="81"/>
      <c r="AU532" s="375"/>
      <c r="AV532" s="375"/>
      <c r="AW532" s="375"/>
      <c r="AX532" s="375">
        <v>0</v>
      </c>
      <c r="AY532" s="375">
        <v>0</v>
      </c>
      <c r="AZ532" s="375">
        <v>0</v>
      </c>
      <c r="BA532" s="375">
        <v>0</v>
      </c>
      <c r="BB532" s="375">
        <v>340000</v>
      </c>
      <c r="BC532" s="375">
        <v>0</v>
      </c>
      <c r="BD532" s="375">
        <v>0</v>
      </c>
      <c r="BE532" s="375">
        <v>0</v>
      </c>
      <c r="BF532" s="375">
        <v>0</v>
      </c>
      <c r="BG532" s="375">
        <v>340000</v>
      </c>
      <c r="BH532" s="103">
        <v>0</v>
      </c>
      <c r="BI532" s="103">
        <v>0</v>
      </c>
      <c r="BJ532" s="103">
        <v>340000</v>
      </c>
      <c r="BK532" s="103">
        <v>0</v>
      </c>
      <c r="BL532" s="103">
        <v>0</v>
      </c>
      <c r="BM532" s="103">
        <v>0</v>
      </c>
      <c r="BN532" s="103">
        <v>0</v>
      </c>
      <c r="BO532" s="103">
        <v>0</v>
      </c>
      <c r="BP532" s="103">
        <v>0</v>
      </c>
      <c r="BQ532" s="103">
        <v>0</v>
      </c>
      <c r="BR532" s="103">
        <v>0</v>
      </c>
      <c r="BS532" s="103">
        <v>0</v>
      </c>
      <c r="BT532" s="79">
        <f>SUM(ERP_26[[#This Row],[2026 AP01]:[2026 AP12]])</f>
        <v>340000</v>
      </c>
    </row>
    <row r="533" spans="1:72" ht="15" customHeight="1">
      <c r="A533" s="66" t="s">
        <v>2815</v>
      </c>
      <c r="B533" s="264"/>
      <c r="C533" s="66" t="s">
        <v>1022</v>
      </c>
      <c r="D533" s="66" t="s">
        <v>1022</v>
      </c>
      <c r="E533" s="150" t="s">
        <v>1136</v>
      </c>
      <c r="F533" s="482" t="s">
        <v>1566</v>
      </c>
      <c r="G533" s="150" t="s">
        <v>1650</v>
      </c>
      <c r="H533" s="150" t="s">
        <v>1650</v>
      </c>
      <c r="I533" s="150" t="s">
        <v>1650</v>
      </c>
      <c r="J533" s="150" t="s">
        <v>1650</v>
      </c>
      <c r="K533" s="150" t="s">
        <v>1650</v>
      </c>
      <c r="L533" s="511" t="s">
        <v>639</v>
      </c>
      <c r="M533" s="451" t="s">
        <v>818</v>
      </c>
      <c r="N533" s="343"/>
      <c r="O533" s="343"/>
      <c r="P533" s="70" t="s">
        <v>817</v>
      </c>
      <c r="Q533" s="346"/>
      <c r="R533" s="346" t="s">
        <v>1140</v>
      </c>
      <c r="S533" s="346"/>
      <c r="T533" s="150" t="s">
        <v>818</v>
      </c>
      <c r="U533" s="150" t="s">
        <v>2816</v>
      </c>
      <c r="V533" s="403"/>
      <c r="W533" s="406">
        <v>17784.52</v>
      </c>
      <c r="X533" s="406">
        <v>32897.279999999999</v>
      </c>
      <c r="Y533" s="425"/>
      <c r="Z533" s="71"/>
      <c r="AA533" s="427"/>
      <c r="AB533" s="427"/>
      <c r="AC533" s="427">
        <v>8224.32</v>
      </c>
      <c r="AD533" s="428">
        <v>0</v>
      </c>
      <c r="AE533" s="429">
        <v>0</v>
      </c>
      <c r="AF533" s="429">
        <v>10506.24</v>
      </c>
      <c r="AG533" s="360">
        <v>0</v>
      </c>
      <c r="AH533" s="360">
        <v>0</v>
      </c>
      <c r="AI533" s="363">
        <v>8224.32</v>
      </c>
      <c r="AJ533" s="360">
        <v>0</v>
      </c>
      <c r="AK533" s="363">
        <v>8224.32</v>
      </c>
      <c r="AL533" s="360">
        <v>0</v>
      </c>
      <c r="AM533" s="367">
        <f t="shared" si="29"/>
        <v>35179.199999999997</v>
      </c>
      <c r="AN533" s="455">
        <f>ERP_26[[#This Row],[2026 Working Total]]-ERP_26[[#This Row],[LE2 Final Submission]]</f>
        <v>2281.9199999999983</v>
      </c>
      <c r="AO533" s="79">
        <v>0</v>
      </c>
      <c r="AP533" s="79">
        <f t="shared" si="30"/>
        <v>10506.24</v>
      </c>
      <c r="AQ533" s="374">
        <f>SUM(ERP_26[[#This Row],[AP01]:[AP06]])-SUM(ERP_26[[#This Row],[AP01 LE2]:[AP06 LE2]])</f>
        <v>2281.9199999999983</v>
      </c>
      <c r="AR533" s="80"/>
      <c r="AS533" s="79">
        <f>ERP_26[[#This Row],[2026 Working Total to Budget/LE]]-ERP_26[[#This Row],[Giveback]]</f>
        <v>2281.9199999999983</v>
      </c>
      <c r="AT533" s="81"/>
      <c r="AU533" s="375"/>
      <c r="AV533" s="375"/>
      <c r="AW533" s="375">
        <v>8224.32</v>
      </c>
      <c r="AX533" s="375">
        <v>0</v>
      </c>
      <c r="AY533" s="375">
        <v>0</v>
      </c>
      <c r="AZ533" s="375">
        <v>8224.32</v>
      </c>
      <c r="BA533" s="375">
        <v>0</v>
      </c>
      <c r="BB533" s="375">
        <v>0</v>
      </c>
      <c r="BC533" s="375">
        <v>8224.32</v>
      </c>
      <c r="BD533" s="375">
        <v>0</v>
      </c>
      <c r="BE533" s="375">
        <v>8224.32</v>
      </c>
      <c r="BF533" s="375">
        <v>0</v>
      </c>
      <c r="BG533" s="375">
        <v>32897.279999999999</v>
      </c>
      <c r="BH533" s="79"/>
      <c r="BI533" s="79"/>
      <c r="BJ533" s="79">
        <v>8224.32</v>
      </c>
      <c r="BK533" s="79">
        <v>0</v>
      </c>
      <c r="BL533" s="79">
        <v>0</v>
      </c>
      <c r="BM533" s="79">
        <v>4446.13</v>
      </c>
      <c r="BN533" s="79">
        <v>0</v>
      </c>
      <c r="BO533" s="79">
        <v>0</v>
      </c>
      <c r="BP533" s="79">
        <v>4446.13</v>
      </c>
      <c r="BQ533" s="79">
        <v>0</v>
      </c>
      <c r="BR533" s="79">
        <v>4446.13</v>
      </c>
      <c r="BS533" s="79">
        <v>0</v>
      </c>
      <c r="BT533" s="79">
        <v>21562.710000000003</v>
      </c>
    </row>
    <row r="534" spans="1:72" ht="15" customHeight="1">
      <c r="A534" s="66" t="s">
        <v>2817</v>
      </c>
      <c r="B534" s="264"/>
      <c r="C534" s="66" t="s">
        <v>1023</v>
      </c>
      <c r="D534" s="66" t="s">
        <v>1023</v>
      </c>
      <c r="E534" s="150" t="s">
        <v>1136</v>
      </c>
      <c r="F534" s="482" t="s">
        <v>1566</v>
      </c>
      <c r="G534" s="150" t="s">
        <v>1650</v>
      </c>
      <c r="H534" s="150" t="s">
        <v>1650</v>
      </c>
      <c r="I534" s="150" t="s">
        <v>1650</v>
      </c>
      <c r="J534" s="150" t="s">
        <v>1650</v>
      </c>
      <c r="K534" s="150" t="s">
        <v>1650</v>
      </c>
      <c r="L534" s="511" t="s">
        <v>639</v>
      </c>
      <c r="M534" s="451" t="s">
        <v>2818</v>
      </c>
      <c r="N534" s="343"/>
      <c r="O534" s="343"/>
      <c r="P534" s="70" t="s">
        <v>1024</v>
      </c>
      <c r="Q534" s="346"/>
      <c r="R534" s="343"/>
      <c r="S534" s="346"/>
      <c r="T534" s="150" t="s">
        <v>25</v>
      </c>
      <c r="U534" s="150"/>
      <c r="V534" s="403"/>
      <c r="W534" s="406">
        <v>156778.01999999999</v>
      </c>
      <c r="X534" s="406">
        <v>156778.01999999999</v>
      </c>
      <c r="Y534" s="425"/>
      <c r="Z534" s="71"/>
      <c r="AA534" s="427">
        <v>10768</v>
      </c>
      <c r="AB534" s="427">
        <v>146010.01999999999</v>
      </c>
      <c r="AC534" s="431">
        <v>0</v>
      </c>
      <c r="AD534" s="428">
        <v>0</v>
      </c>
      <c r="AE534" s="429">
        <v>0</v>
      </c>
      <c r="AF534" s="429">
        <v>0</v>
      </c>
      <c r="AG534" s="360">
        <v>0</v>
      </c>
      <c r="AH534" s="360">
        <v>0</v>
      </c>
      <c r="AI534" s="360">
        <v>0</v>
      </c>
      <c r="AJ534" s="360">
        <v>0</v>
      </c>
      <c r="AK534" s="360">
        <v>0</v>
      </c>
      <c r="AL534" s="360">
        <v>0</v>
      </c>
      <c r="AM534" s="367">
        <f t="shared" si="29"/>
        <v>156778.01999999999</v>
      </c>
      <c r="AN534" s="455">
        <f>ERP_26[[#This Row],[2026 Working Total]]-ERP_26[[#This Row],[LE2 Final Submission]]</f>
        <v>0</v>
      </c>
      <c r="AO534" s="79">
        <v>0</v>
      </c>
      <c r="AP534" s="79">
        <f t="shared" si="30"/>
        <v>0</v>
      </c>
      <c r="AQ534" s="374">
        <f>SUM(ERP_26[[#This Row],[AP01]:[AP06]])-SUM(ERP_26[[#This Row],[AP01 LE2]:[AP06 LE2]])</f>
        <v>0</v>
      </c>
      <c r="AR534" s="80"/>
      <c r="AS534" s="79">
        <f>ERP_26[[#This Row],[2026 Working Total to Budget/LE]]-ERP_26[[#This Row],[Giveback]]</f>
        <v>0</v>
      </c>
      <c r="AT534" s="81"/>
      <c r="AU534" s="375">
        <v>10768</v>
      </c>
      <c r="AV534" s="375">
        <v>146010.01999999999</v>
      </c>
      <c r="AW534" s="375">
        <v>0</v>
      </c>
      <c r="AX534" s="375">
        <v>0</v>
      </c>
      <c r="AY534" s="375">
        <v>0</v>
      </c>
      <c r="AZ534" s="375">
        <v>0</v>
      </c>
      <c r="BA534" s="375">
        <v>0</v>
      </c>
      <c r="BB534" s="375">
        <v>0</v>
      </c>
      <c r="BC534" s="375">
        <v>0</v>
      </c>
      <c r="BD534" s="375">
        <v>0</v>
      </c>
      <c r="BE534" s="375">
        <v>0</v>
      </c>
      <c r="BF534" s="375">
        <v>0</v>
      </c>
      <c r="BG534" s="375">
        <v>156778.01999999999</v>
      </c>
      <c r="BH534" s="79">
        <v>10768</v>
      </c>
      <c r="BI534" s="79">
        <v>146010.01999999999</v>
      </c>
      <c r="BJ534" s="79">
        <v>0</v>
      </c>
      <c r="BK534" s="79">
        <v>0</v>
      </c>
      <c r="BL534" s="79">
        <v>0</v>
      </c>
      <c r="BM534" s="79">
        <v>0</v>
      </c>
      <c r="BN534" s="79">
        <v>0</v>
      </c>
      <c r="BO534" s="79">
        <v>0</v>
      </c>
      <c r="BP534" s="79">
        <v>0</v>
      </c>
      <c r="BQ534" s="79">
        <v>0</v>
      </c>
      <c r="BR534" s="79">
        <v>0</v>
      </c>
      <c r="BS534" s="79">
        <v>0</v>
      </c>
      <c r="BT534" s="79">
        <v>156778.01999999999</v>
      </c>
    </row>
    <row r="535" spans="1:72" ht="15" customHeight="1">
      <c r="A535" s="66" t="s">
        <v>2819</v>
      </c>
      <c r="B535" s="264"/>
      <c r="C535" s="66" t="s">
        <v>1025</v>
      </c>
      <c r="D535" s="66" t="s">
        <v>1025</v>
      </c>
      <c r="E535" s="150" t="s">
        <v>1136</v>
      </c>
      <c r="F535" s="482" t="s">
        <v>1566</v>
      </c>
      <c r="G535" s="150" t="s">
        <v>1650</v>
      </c>
      <c r="H535" s="150" t="s">
        <v>1650</v>
      </c>
      <c r="I535" s="150" t="s">
        <v>1650</v>
      </c>
      <c r="J535" s="150" t="s">
        <v>1650</v>
      </c>
      <c r="K535" s="150" t="s">
        <v>1650</v>
      </c>
      <c r="L535" s="511" t="s">
        <v>639</v>
      </c>
      <c r="M535" s="451" t="s">
        <v>1327</v>
      </c>
      <c r="N535" s="343"/>
      <c r="O535" s="343"/>
      <c r="P535" s="70" t="s">
        <v>147</v>
      </c>
      <c r="Q535" s="346"/>
      <c r="R535" s="343"/>
      <c r="S535" s="346"/>
      <c r="T535" s="150" t="s">
        <v>25</v>
      </c>
      <c r="U535" s="150"/>
      <c r="V535" s="403"/>
      <c r="W535" s="406">
        <v>0</v>
      </c>
      <c r="X535" s="406">
        <v>227.23999999999998</v>
      </c>
      <c r="Y535" s="425"/>
      <c r="Z535" s="71"/>
      <c r="AA535" s="427"/>
      <c r="AB535" s="427">
        <v>-0.02</v>
      </c>
      <c r="AC535" s="427">
        <v>227.26</v>
      </c>
      <c r="AD535" s="428">
        <v>0</v>
      </c>
      <c r="AE535" s="429">
        <v>0</v>
      </c>
      <c r="AF535" s="429">
        <v>-0.24</v>
      </c>
      <c r="AG535" s="360">
        <v>0</v>
      </c>
      <c r="AH535" s="360">
        <v>0</v>
      </c>
      <c r="AI535" s="360">
        <v>0</v>
      </c>
      <c r="AJ535" s="360">
        <v>0</v>
      </c>
      <c r="AK535" s="360">
        <v>0</v>
      </c>
      <c r="AL535" s="360">
        <v>0</v>
      </c>
      <c r="AM535" s="367">
        <f t="shared" si="29"/>
        <v>226.99999999999997</v>
      </c>
      <c r="AN535" s="455">
        <f>ERP_26[[#This Row],[2026 Working Total]]-ERP_26[[#This Row],[LE2 Final Submission]]</f>
        <v>-0.24000000000000909</v>
      </c>
      <c r="AO535" s="79">
        <v>0</v>
      </c>
      <c r="AP535" s="79">
        <f t="shared" si="30"/>
        <v>-0.24</v>
      </c>
      <c r="AQ535" s="374">
        <f>SUM(ERP_26[[#This Row],[AP01]:[AP06]])-SUM(ERP_26[[#This Row],[AP01 LE2]:[AP06 LE2]])</f>
        <v>-0.24000000000000909</v>
      </c>
      <c r="AR535" s="80"/>
      <c r="AS535" s="79">
        <f>ERP_26[[#This Row],[2026 Working Total to Budget/LE]]-ERP_26[[#This Row],[Giveback]]</f>
        <v>-0.24000000000000909</v>
      </c>
      <c r="AT535" s="81"/>
      <c r="AU535" s="375"/>
      <c r="AV535" s="375">
        <v>-0.02</v>
      </c>
      <c r="AW535" s="375">
        <v>227.26</v>
      </c>
      <c r="AX535" s="375">
        <v>0</v>
      </c>
      <c r="AY535" s="375">
        <v>0</v>
      </c>
      <c r="AZ535" s="375">
        <v>0</v>
      </c>
      <c r="BA535" s="375">
        <v>0</v>
      </c>
      <c r="BB535" s="375">
        <v>0</v>
      </c>
      <c r="BC535" s="375">
        <v>0</v>
      </c>
      <c r="BD535" s="375">
        <v>0</v>
      </c>
      <c r="BE535" s="375">
        <v>0</v>
      </c>
      <c r="BF535" s="375">
        <v>0</v>
      </c>
      <c r="BG535" s="375">
        <v>227.23999999999998</v>
      </c>
      <c r="BH535" s="79"/>
      <c r="BI535" s="79">
        <v>-0.02</v>
      </c>
      <c r="BJ535" s="79">
        <v>227.26</v>
      </c>
      <c r="BK535" s="79">
        <v>0</v>
      </c>
      <c r="BL535" s="79">
        <v>0</v>
      </c>
      <c r="BM535" s="79">
        <v>0</v>
      </c>
      <c r="BN535" s="79">
        <v>0</v>
      </c>
      <c r="BO535" s="79">
        <v>0</v>
      </c>
      <c r="BP535" s="79">
        <v>0</v>
      </c>
      <c r="BQ535" s="79">
        <v>0</v>
      </c>
      <c r="BR535" s="79">
        <v>0</v>
      </c>
      <c r="BS535" s="79">
        <v>0</v>
      </c>
      <c r="BT535" s="79">
        <v>227.23999999999998</v>
      </c>
    </row>
    <row r="536" spans="1:72" ht="15" customHeight="1">
      <c r="A536" s="66" t="s">
        <v>2844</v>
      </c>
      <c r="B536" s="264"/>
      <c r="C536" s="66" t="s">
        <v>1035</v>
      </c>
      <c r="D536" s="464" t="s">
        <v>1035</v>
      </c>
      <c r="E536" s="150" t="s">
        <v>1136</v>
      </c>
      <c r="F536" s="482" t="s">
        <v>1566</v>
      </c>
      <c r="G536" s="150" t="s">
        <v>1650</v>
      </c>
      <c r="H536" s="150" t="s">
        <v>1650</v>
      </c>
      <c r="I536" s="150" t="s">
        <v>1650</v>
      </c>
      <c r="J536" s="150" t="s">
        <v>1650</v>
      </c>
      <c r="K536" s="150" t="s">
        <v>1650</v>
      </c>
      <c r="L536" s="511" t="s">
        <v>1027</v>
      </c>
      <c r="M536" s="451" t="s">
        <v>2830</v>
      </c>
      <c r="N536" s="343"/>
      <c r="O536" s="343"/>
      <c r="P536" s="70" t="s">
        <v>1029</v>
      </c>
      <c r="Q536" s="346"/>
      <c r="R536" s="343"/>
      <c r="S536" s="346"/>
      <c r="T536" s="150" t="s">
        <v>25</v>
      </c>
      <c r="U536" s="150"/>
      <c r="V536" s="453"/>
      <c r="W536" s="406">
        <v>18800</v>
      </c>
      <c r="X536" s="406">
        <v>15498</v>
      </c>
      <c r="Y536" s="425"/>
      <c r="Z536" s="71"/>
      <c r="AA536" s="427">
        <v>102</v>
      </c>
      <c r="AB536" s="427">
        <v>121</v>
      </c>
      <c r="AC536" s="427">
        <v>675</v>
      </c>
      <c r="AD536" s="428">
        <v>1883.5499999999997</v>
      </c>
      <c r="AE536" s="429">
        <v>861.93999999999994</v>
      </c>
      <c r="AF536" s="429">
        <v>234.03</v>
      </c>
      <c r="AG536" s="363">
        <v>1500</v>
      </c>
      <c r="AH536" s="363">
        <v>1700</v>
      </c>
      <c r="AI536" s="363">
        <v>1700</v>
      </c>
      <c r="AJ536" s="363">
        <v>1700</v>
      </c>
      <c r="AK536" s="363">
        <v>1700</v>
      </c>
      <c r="AL536" s="363">
        <v>1700</v>
      </c>
      <c r="AM536" s="360">
        <f t="shared" si="29"/>
        <v>13877.52</v>
      </c>
      <c r="AN536" s="455">
        <f>ERP_26[[#This Row],[2026 Working Total]]-ERP_26[[#This Row],[LE2 Final Submission]]</f>
        <v>-1620.4799999999996</v>
      </c>
      <c r="AO536" s="79">
        <v>1500</v>
      </c>
      <c r="AP536" s="79">
        <f t="shared" si="30"/>
        <v>-1265.97</v>
      </c>
      <c r="AQ536" s="374">
        <f>SUM(ERP_26[[#This Row],[AP01]:[AP06]])-SUM(ERP_26[[#This Row],[AP01 LE2]:[AP06 LE2]])</f>
        <v>-1620.48</v>
      </c>
      <c r="AR536" s="80"/>
      <c r="AS536" s="79">
        <f>ERP_26[[#This Row],[2026 Working Total to Budget/LE]]-ERP_26[[#This Row],[Giveback]]</f>
        <v>-1620.4799999999996</v>
      </c>
      <c r="AT536" s="81"/>
      <c r="AU536" s="375">
        <v>102</v>
      </c>
      <c r="AV536" s="375">
        <v>121</v>
      </c>
      <c r="AW536" s="375">
        <v>675</v>
      </c>
      <c r="AX536" s="375">
        <v>1600</v>
      </c>
      <c r="AY536" s="375">
        <v>1500</v>
      </c>
      <c r="AZ536" s="375">
        <v>1500</v>
      </c>
      <c r="BA536" s="375">
        <v>1500</v>
      </c>
      <c r="BB536" s="375">
        <v>1700</v>
      </c>
      <c r="BC536" s="375">
        <v>1700</v>
      </c>
      <c r="BD536" s="375">
        <v>1700</v>
      </c>
      <c r="BE536" s="375">
        <v>1700</v>
      </c>
      <c r="BF536" s="375">
        <v>1700</v>
      </c>
      <c r="BG536" s="375">
        <v>15498</v>
      </c>
      <c r="BH536" s="79">
        <v>102</v>
      </c>
      <c r="BI536" s="79">
        <v>121</v>
      </c>
      <c r="BJ536" s="79">
        <v>675</v>
      </c>
      <c r="BK536" s="79">
        <v>1600</v>
      </c>
      <c r="BL536" s="79">
        <v>1500</v>
      </c>
      <c r="BM536" s="79">
        <v>1500</v>
      </c>
      <c r="BN536" s="79">
        <v>1500</v>
      </c>
      <c r="BO536" s="79">
        <v>1700</v>
      </c>
      <c r="BP536" s="79">
        <v>1700</v>
      </c>
      <c r="BQ536" s="79">
        <v>1700</v>
      </c>
      <c r="BR536" s="79">
        <v>1700</v>
      </c>
      <c r="BS536" s="79">
        <v>1700</v>
      </c>
      <c r="BT536" s="79">
        <v>15498</v>
      </c>
    </row>
    <row r="537" spans="1:72" ht="15" customHeight="1">
      <c r="A537" s="66" t="s">
        <v>2866</v>
      </c>
      <c r="B537" s="264"/>
      <c r="C537" s="66" t="s">
        <v>1050</v>
      </c>
      <c r="D537" s="66" t="s">
        <v>1050</v>
      </c>
      <c r="E537" s="150" t="s">
        <v>1136</v>
      </c>
      <c r="F537" s="482" t="s">
        <v>1566</v>
      </c>
      <c r="G537" s="150" t="s">
        <v>1650</v>
      </c>
      <c r="H537" s="150" t="s">
        <v>1650</v>
      </c>
      <c r="I537" s="150" t="s">
        <v>1650</v>
      </c>
      <c r="J537" s="150" t="s">
        <v>1650</v>
      </c>
      <c r="K537" s="150" t="s">
        <v>1650</v>
      </c>
      <c r="L537" s="511" t="s">
        <v>1037</v>
      </c>
      <c r="M537" s="451" t="s">
        <v>2846</v>
      </c>
      <c r="N537" s="343"/>
      <c r="O537" s="343"/>
      <c r="P537" s="70" t="s">
        <v>1039</v>
      </c>
      <c r="Q537" s="346"/>
      <c r="R537" s="346" t="s">
        <v>1140</v>
      </c>
      <c r="S537" s="346"/>
      <c r="T537" s="150" t="s">
        <v>1040</v>
      </c>
      <c r="U537" s="150"/>
      <c r="V537" s="453"/>
      <c r="W537" s="406">
        <v>0</v>
      </c>
      <c r="X537" s="406">
        <v>17997.310000000001</v>
      </c>
      <c r="Y537" s="425"/>
      <c r="Z537" s="71"/>
      <c r="AA537" s="427">
        <v>401</v>
      </c>
      <c r="AB537" s="427">
        <v>11440.6</v>
      </c>
      <c r="AC537" s="427">
        <v>6155.71</v>
      </c>
      <c r="AD537" s="428">
        <v>1364.6499999999996</v>
      </c>
      <c r="AE537" s="429">
        <v>535.48</v>
      </c>
      <c r="AF537" s="429">
        <v>1808.77</v>
      </c>
      <c r="AG537" s="360">
        <v>0</v>
      </c>
      <c r="AH537" s="360">
        <v>0</v>
      </c>
      <c r="AI537" s="360">
        <v>0</v>
      </c>
      <c r="AJ537" s="360">
        <v>0</v>
      </c>
      <c r="AK537" s="360">
        <v>0</v>
      </c>
      <c r="AL537" s="360">
        <v>0</v>
      </c>
      <c r="AM537" s="360">
        <f t="shared" si="29"/>
        <v>21706.21</v>
      </c>
      <c r="AN537" s="455">
        <f>ERP_26[[#This Row],[2026 Working Total]]-ERP_26[[#This Row],[LE2 Final Submission]]</f>
        <v>3708.8999999999978</v>
      </c>
      <c r="AO537" s="79">
        <v>0</v>
      </c>
      <c r="AP537" s="79">
        <f t="shared" si="30"/>
        <v>1808.77</v>
      </c>
      <c r="AQ537" s="374">
        <f>SUM(ERP_26[[#This Row],[AP01]:[AP06]])-SUM(ERP_26[[#This Row],[AP01 LE2]:[AP06 LE2]])</f>
        <v>3708.8999999999978</v>
      </c>
      <c r="AR537" s="80"/>
      <c r="AS537" s="79">
        <f>ERP_26[[#This Row],[2026 Working Total to Budget/LE]]-ERP_26[[#This Row],[Giveback]]</f>
        <v>3708.8999999999978</v>
      </c>
      <c r="AT537" s="81"/>
      <c r="AU537" s="375">
        <v>401</v>
      </c>
      <c r="AV537" s="375">
        <v>11440.6</v>
      </c>
      <c r="AW537" s="375">
        <v>6155.71</v>
      </c>
      <c r="AX537" s="375">
        <v>0</v>
      </c>
      <c r="AY537" s="375">
        <v>0</v>
      </c>
      <c r="AZ537" s="375">
        <v>0</v>
      </c>
      <c r="BA537" s="375">
        <v>0</v>
      </c>
      <c r="BB537" s="375">
        <v>0</v>
      </c>
      <c r="BC537" s="375">
        <v>0</v>
      </c>
      <c r="BD537" s="375">
        <v>0</v>
      </c>
      <c r="BE537" s="375">
        <v>0</v>
      </c>
      <c r="BF537" s="375">
        <v>0</v>
      </c>
      <c r="BG537" s="375">
        <v>17997.310000000001</v>
      </c>
      <c r="BH537" s="79">
        <v>401</v>
      </c>
      <c r="BI537" s="79">
        <v>11440.6</v>
      </c>
      <c r="BJ537" s="79">
        <v>6155.71</v>
      </c>
      <c r="BK537" s="79">
        <v>0</v>
      </c>
      <c r="BL537" s="79">
        <v>0</v>
      </c>
      <c r="BM537" s="79">
        <v>0</v>
      </c>
      <c r="BN537" s="79">
        <v>0</v>
      </c>
      <c r="BO537" s="79">
        <v>0</v>
      </c>
      <c r="BP537" s="79">
        <v>0</v>
      </c>
      <c r="BQ537" s="79">
        <v>0</v>
      </c>
      <c r="BR537" s="79">
        <v>0</v>
      </c>
      <c r="BS537" s="79">
        <v>0</v>
      </c>
      <c r="BT537" s="79">
        <v>17997.310000000001</v>
      </c>
    </row>
    <row r="538" spans="1:72" ht="15" customHeight="1">
      <c r="A538" s="66" t="s">
        <v>1150</v>
      </c>
      <c r="B538" s="264" t="s">
        <v>2950</v>
      </c>
      <c r="C538" s="559" t="s">
        <v>52</v>
      </c>
      <c r="D538" s="66" t="s">
        <v>1151</v>
      </c>
      <c r="E538" s="150" t="s">
        <v>1136</v>
      </c>
      <c r="F538" s="482" t="s">
        <v>1566</v>
      </c>
      <c r="G538" s="150" t="s">
        <v>1135</v>
      </c>
      <c r="H538" s="150" t="s">
        <v>1145</v>
      </c>
      <c r="I538" s="150" t="s">
        <v>1135</v>
      </c>
      <c r="J538" s="150" t="s">
        <v>1145</v>
      </c>
      <c r="K538" s="150" t="s">
        <v>1137</v>
      </c>
      <c r="L538" s="511" t="s">
        <v>49</v>
      </c>
      <c r="M538" s="451" t="s">
        <v>1147</v>
      </c>
      <c r="N538" s="343"/>
      <c r="O538" s="343"/>
      <c r="P538" s="70" t="s">
        <v>53</v>
      </c>
      <c r="Q538" s="346" t="s">
        <v>1153</v>
      </c>
      <c r="R538" s="343"/>
      <c r="S538" s="346"/>
      <c r="T538" s="150" t="s">
        <v>25</v>
      </c>
      <c r="U538" s="150"/>
      <c r="V538" s="453"/>
      <c r="W538" s="406">
        <v>-694940</v>
      </c>
      <c r="X538" s="406">
        <v>-587120.73</v>
      </c>
      <c r="Y538" s="425"/>
      <c r="Z538" s="71"/>
      <c r="AA538" s="427"/>
      <c r="AB538" s="427">
        <v>-20640.86</v>
      </c>
      <c r="AC538" s="427">
        <v>-10639.87</v>
      </c>
      <c r="AD538" s="428">
        <v>148175</v>
      </c>
      <c r="AE538" s="429">
        <v>-155623.00000000006</v>
      </c>
      <c r="AF538" s="429">
        <v>-142264</v>
      </c>
      <c r="AG538" s="363">
        <v>-11640</v>
      </c>
      <c r="AH538" s="363">
        <v>-116400</v>
      </c>
      <c r="AI538" s="363">
        <v>-75000</v>
      </c>
      <c r="AJ538" s="363">
        <v>-75000</v>
      </c>
      <c r="AK538" s="363">
        <v>-75000</v>
      </c>
      <c r="AL538" s="363">
        <v>-75000</v>
      </c>
      <c r="AM538" s="560">
        <f t="shared" si="29"/>
        <v>-609032.7300000001</v>
      </c>
      <c r="AN538" s="455">
        <f>ERP_26[[#This Row],[2026 Working Total]]-ERP_26[[#This Row],[LE2 Final Submission]]</f>
        <v>-21912.000000000116</v>
      </c>
      <c r="AO538" s="79">
        <v>-6440</v>
      </c>
      <c r="AP538" s="79">
        <f t="shared" si="30"/>
        <v>-135824</v>
      </c>
      <c r="AQ538" s="374">
        <f>SUM(ERP_26[[#This Row],[AP01]:[AP06]])-SUM(ERP_26[[#This Row],[AP01 LE2]:[AP06 LE2]])</f>
        <v>-43872.000000000058</v>
      </c>
      <c r="AR538" s="80"/>
      <c r="AS538" s="79">
        <f>ERP_26[[#This Row],[2026 Working Total to Budget/LE]]-ERP_26[[#This Row],[Giveback]]</f>
        <v>-21912.000000000116</v>
      </c>
      <c r="AT538" s="81"/>
      <c r="AU538" s="375"/>
      <c r="AV538" s="375">
        <v>-20640.86</v>
      </c>
      <c r="AW538" s="375">
        <v>-10639.87</v>
      </c>
      <c r="AX538" s="375">
        <v>-55600</v>
      </c>
      <c r="AY538" s="375">
        <v>-6440</v>
      </c>
      <c r="AZ538" s="375">
        <v>-43800</v>
      </c>
      <c r="BA538" s="375">
        <v>-75000</v>
      </c>
      <c r="BB538" s="375">
        <v>-75000</v>
      </c>
      <c r="BC538" s="375">
        <v>-75000</v>
      </c>
      <c r="BD538" s="375">
        <v>-75000</v>
      </c>
      <c r="BE538" s="375">
        <v>-75000</v>
      </c>
      <c r="BF538" s="375">
        <v>-75000</v>
      </c>
      <c r="BG538" s="375">
        <v>-587120.73</v>
      </c>
      <c r="BH538" s="79"/>
      <c r="BI538" s="79">
        <v>-20640.86</v>
      </c>
      <c r="BJ538" s="79">
        <v>-10639.87</v>
      </c>
      <c r="BK538" s="79">
        <v>-54600</v>
      </c>
      <c r="BL538" s="79">
        <v>-50000</v>
      </c>
      <c r="BM538" s="79">
        <v>-33840</v>
      </c>
      <c r="BN538" s="79">
        <v>-75000</v>
      </c>
      <c r="BO538" s="79">
        <v>-75000</v>
      </c>
      <c r="BP538" s="79">
        <v>-75000</v>
      </c>
      <c r="BQ538" s="79">
        <v>-75000</v>
      </c>
      <c r="BR538" s="79">
        <v>-75000</v>
      </c>
      <c r="BS538" s="79">
        <v>-75000</v>
      </c>
      <c r="BT538" s="79">
        <v>-619720.73</v>
      </c>
    </row>
    <row r="539" spans="1:72" ht="15" customHeight="1">
      <c r="A539" s="66" t="s">
        <v>1790</v>
      </c>
      <c r="B539" s="264" t="s">
        <v>2950</v>
      </c>
      <c r="C539" s="66" t="s">
        <v>417</v>
      </c>
      <c r="D539" s="66" t="s">
        <v>417</v>
      </c>
      <c r="E539" s="150" t="s">
        <v>1136</v>
      </c>
      <c r="F539" s="482" t="s">
        <v>1566</v>
      </c>
      <c r="G539" s="150" t="s">
        <v>1135</v>
      </c>
      <c r="H539" s="150" t="s">
        <v>1135</v>
      </c>
      <c r="I539" s="150" t="s">
        <v>1135</v>
      </c>
      <c r="J539" s="150" t="s">
        <v>1135</v>
      </c>
      <c r="K539" s="150" t="s">
        <v>1137</v>
      </c>
      <c r="L539" s="511" t="s">
        <v>389</v>
      </c>
      <c r="M539" s="451" t="s">
        <v>1174</v>
      </c>
      <c r="N539" s="343"/>
      <c r="O539" s="343"/>
      <c r="P539" s="70" t="s">
        <v>56</v>
      </c>
      <c r="Q539" s="346" t="s">
        <v>1139</v>
      </c>
      <c r="R539" s="346" t="s">
        <v>1140</v>
      </c>
      <c r="S539" s="346"/>
      <c r="T539" s="150" t="s">
        <v>57</v>
      </c>
      <c r="U539" s="150"/>
      <c r="V539" s="453"/>
      <c r="W539" s="406">
        <v>48000</v>
      </c>
      <c r="X539" s="406">
        <v>49773.74</v>
      </c>
      <c r="Y539" s="430"/>
      <c r="Z539" s="137"/>
      <c r="AA539" s="427">
        <v>4838.91</v>
      </c>
      <c r="AB539" s="427">
        <v>4409.8999999999996</v>
      </c>
      <c r="AC539" s="427">
        <v>4524.93</v>
      </c>
      <c r="AD539" s="428">
        <v>3908.87</v>
      </c>
      <c r="AE539" s="429">
        <v>4454.8399999999992</v>
      </c>
      <c r="AF539" s="429">
        <v>4602.9500000000007</v>
      </c>
      <c r="AG539" s="363">
        <v>4000</v>
      </c>
      <c r="AH539" s="363">
        <v>4000</v>
      </c>
      <c r="AI539" s="363">
        <v>4000</v>
      </c>
      <c r="AJ539" s="363">
        <v>4000</v>
      </c>
      <c r="AK539" s="363">
        <v>4000</v>
      </c>
      <c r="AL539" s="363">
        <v>4000</v>
      </c>
      <c r="AM539" s="560">
        <f t="shared" si="29"/>
        <v>50740.4</v>
      </c>
      <c r="AN539" s="455">
        <f>ERP_26[[#This Row],[2026 Working Total]]-ERP_26[[#This Row],[LE2 Final Submission]]</f>
        <v>966.66000000000349</v>
      </c>
      <c r="AO539" s="79">
        <v>4000</v>
      </c>
      <c r="AP539" s="79">
        <f t="shared" si="30"/>
        <v>602.95000000000073</v>
      </c>
      <c r="AQ539" s="374">
        <f>SUM(ERP_26[[#This Row],[AP01]:[AP06]])-SUM(ERP_26[[#This Row],[AP01 LE2]:[AP06 LE2]])</f>
        <v>966.66000000000349</v>
      </c>
      <c r="AR539" s="80"/>
      <c r="AS539" s="79">
        <f>ERP_26[[#This Row],[2026 Working Total to Budget/LE]]-ERP_26[[#This Row],[Giveback]]</f>
        <v>966.66000000000349</v>
      </c>
      <c r="AT539" s="81"/>
      <c r="AU539" s="375">
        <v>4838.91</v>
      </c>
      <c r="AV539" s="375">
        <v>4409.8999999999996</v>
      </c>
      <c r="AW539" s="375">
        <v>4524.93</v>
      </c>
      <c r="AX539" s="375">
        <v>4000</v>
      </c>
      <c r="AY539" s="375">
        <v>4000</v>
      </c>
      <c r="AZ539" s="375">
        <v>4000</v>
      </c>
      <c r="BA539" s="375">
        <v>4000</v>
      </c>
      <c r="BB539" s="375">
        <v>4000</v>
      </c>
      <c r="BC539" s="375">
        <v>4000</v>
      </c>
      <c r="BD539" s="375">
        <v>4000</v>
      </c>
      <c r="BE539" s="375">
        <v>4000</v>
      </c>
      <c r="BF539" s="375">
        <v>4000</v>
      </c>
      <c r="BG539" s="375">
        <v>49773.74</v>
      </c>
      <c r="BH539" s="79">
        <v>4838.91</v>
      </c>
      <c r="BI539" s="79">
        <v>4409.8999999999996</v>
      </c>
      <c r="BJ539" s="79">
        <v>4524.93</v>
      </c>
      <c r="BK539" s="79">
        <v>4000</v>
      </c>
      <c r="BL539" s="79">
        <v>4000</v>
      </c>
      <c r="BM539" s="79">
        <v>4000</v>
      </c>
      <c r="BN539" s="79">
        <v>4000</v>
      </c>
      <c r="BO539" s="79">
        <v>4000</v>
      </c>
      <c r="BP539" s="79">
        <v>4000</v>
      </c>
      <c r="BQ539" s="79">
        <v>4000</v>
      </c>
      <c r="BR539" s="79">
        <v>4000</v>
      </c>
      <c r="BS539" s="79">
        <v>4000</v>
      </c>
      <c r="BT539" s="79">
        <v>49773.74</v>
      </c>
    </row>
    <row r="540" spans="1:72" ht="15" customHeight="1">
      <c r="A540" s="66" t="s">
        <v>1794</v>
      </c>
      <c r="B540" s="264" t="s">
        <v>2951</v>
      </c>
      <c r="C540" s="66" t="s">
        <v>417</v>
      </c>
      <c r="D540" s="66" t="s">
        <v>1795</v>
      </c>
      <c r="E540" s="150" t="s">
        <v>1136</v>
      </c>
      <c r="F540" s="482" t="s">
        <v>1566</v>
      </c>
      <c r="G540" s="150" t="s">
        <v>1135</v>
      </c>
      <c r="H540" s="150" t="s">
        <v>1145</v>
      </c>
      <c r="I540" s="150" t="s">
        <v>1135</v>
      </c>
      <c r="J540" s="150" t="s">
        <v>1145</v>
      </c>
      <c r="K540" s="150" t="s">
        <v>1137</v>
      </c>
      <c r="L540" s="511" t="s">
        <v>389</v>
      </c>
      <c r="M540" s="451" t="s">
        <v>1174</v>
      </c>
      <c r="N540" s="343"/>
      <c r="O540" s="343"/>
      <c r="P540" s="70" t="s">
        <v>56</v>
      </c>
      <c r="Q540" s="346" t="s">
        <v>1153</v>
      </c>
      <c r="R540" s="346" t="s">
        <v>1140</v>
      </c>
      <c r="S540" s="346"/>
      <c r="T540" s="150" t="s">
        <v>57</v>
      </c>
      <c r="U540" s="150"/>
      <c r="V540" s="453"/>
      <c r="W540" s="406">
        <v>672000</v>
      </c>
      <c r="X540" s="406">
        <v>633103.17999999993</v>
      </c>
      <c r="Y540" s="425"/>
      <c r="Z540" s="71"/>
      <c r="AA540" s="427">
        <v>45611.11</v>
      </c>
      <c r="AB540" s="427">
        <v>43675.76</v>
      </c>
      <c r="AC540" s="427">
        <v>39816.31</v>
      </c>
      <c r="AD540" s="428">
        <v>40357.590000000004</v>
      </c>
      <c r="AE540" s="429">
        <v>42129.81</v>
      </c>
      <c r="AF540" s="429">
        <v>42451.69000000001</v>
      </c>
      <c r="AG540" s="363">
        <v>42318</v>
      </c>
      <c r="AH540" s="363">
        <v>42318</v>
      </c>
      <c r="AI540" s="363">
        <v>56000</v>
      </c>
      <c r="AJ540" s="363">
        <v>56000</v>
      </c>
      <c r="AK540" s="363">
        <v>56000</v>
      </c>
      <c r="AL540" s="363">
        <v>56000</v>
      </c>
      <c r="AM540" s="560">
        <f t="shared" si="29"/>
        <v>562678.27</v>
      </c>
      <c r="AN540" s="455">
        <f>ERP_26[[#This Row],[2026 Working Total]]-ERP_26[[#This Row],[LE2 Final Submission]]</f>
        <v>-70424.909999999916</v>
      </c>
      <c r="AO540" s="79">
        <v>56000</v>
      </c>
      <c r="AP540" s="79">
        <f t="shared" si="30"/>
        <v>-13548.30999999999</v>
      </c>
      <c r="AQ540" s="374">
        <f>SUM(ERP_26[[#This Row],[AP01]:[AP06]])-SUM(ERP_26[[#This Row],[AP01 LE2]:[AP06 LE2]])</f>
        <v>-43060.91</v>
      </c>
      <c r="AR540" s="80"/>
      <c r="AS540" s="79">
        <f>ERP_26[[#This Row],[2026 Working Total to Budget/LE]]-ERP_26[[#This Row],[Giveback]]</f>
        <v>-70424.909999999916</v>
      </c>
      <c r="AT540" s="81"/>
      <c r="AU540" s="375">
        <v>45611.11</v>
      </c>
      <c r="AV540" s="375">
        <v>43675.76</v>
      </c>
      <c r="AW540" s="375">
        <v>39816.31</v>
      </c>
      <c r="AX540" s="375">
        <v>56000</v>
      </c>
      <c r="AY540" s="375">
        <v>56000</v>
      </c>
      <c r="AZ540" s="375">
        <v>56000</v>
      </c>
      <c r="BA540" s="375">
        <v>56000</v>
      </c>
      <c r="BB540" s="375">
        <v>56000</v>
      </c>
      <c r="BC540" s="375">
        <v>56000</v>
      </c>
      <c r="BD540" s="375">
        <v>56000</v>
      </c>
      <c r="BE540" s="375">
        <v>56000</v>
      </c>
      <c r="BF540" s="375">
        <v>56000</v>
      </c>
      <c r="BG540" s="375">
        <v>633103.17999999993</v>
      </c>
      <c r="BH540" s="79">
        <v>45611.11</v>
      </c>
      <c r="BI540" s="79">
        <v>43675.76</v>
      </c>
      <c r="BJ540" s="79">
        <v>39816.31</v>
      </c>
      <c r="BK540" s="79">
        <v>56000</v>
      </c>
      <c r="BL540" s="79">
        <v>56000</v>
      </c>
      <c r="BM540" s="79">
        <v>56000</v>
      </c>
      <c r="BN540" s="79">
        <v>56000</v>
      </c>
      <c r="BO540" s="79">
        <v>56000</v>
      </c>
      <c r="BP540" s="79">
        <v>56000</v>
      </c>
      <c r="BQ540" s="79">
        <v>56000</v>
      </c>
      <c r="BR540" s="79">
        <v>56000</v>
      </c>
      <c r="BS540" s="79">
        <v>56000</v>
      </c>
      <c r="BT540" s="79">
        <v>633103.17999999993</v>
      </c>
    </row>
    <row r="541" spans="1:72" ht="15" customHeight="1">
      <c r="A541" s="66" t="s">
        <v>1796</v>
      </c>
      <c r="B541" s="264" t="s">
        <v>2951</v>
      </c>
      <c r="C541" s="66" t="s">
        <v>417</v>
      </c>
      <c r="D541" s="66" t="s">
        <v>1797</v>
      </c>
      <c r="E541" s="150" t="s">
        <v>1136</v>
      </c>
      <c r="F541" s="482" t="s">
        <v>1566</v>
      </c>
      <c r="G541" s="150" t="s">
        <v>1135</v>
      </c>
      <c r="H541" s="150" t="s">
        <v>1165</v>
      </c>
      <c r="I541" s="150" t="s">
        <v>1135</v>
      </c>
      <c r="J541" s="150" t="s">
        <v>1165</v>
      </c>
      <c r="K541" s="150" t="s">
        <v>1137</v>
      </c>
      <c r="L541" s="511" t="s">
        <v>389</v>
      </c>
      <c r="M541" s="451" t="s">
        <v>1174</v>
      </c>
      <c r="N541" s="343"/>
      <c r="O541" s="343"/>
      <c r="P541" s="70" t="s">
        <v>56</v>
      </c>
      <c r="Q541" s="346"/>
      <c r="R541" s="346" t="s">
        <v>1140</v>
      </c>
      <c r="S541" s="346"/>
      <c r="T541" s="150" t="s">
        <v>57</v>
      </c>
      <c r="U541" s="150"/>
      <c r="V541" s="453"/>
      <c r="W541" s="406">
        <v>480000</v>
      </c>
      <c r="X541" s="406">
        <v>717425.61</v>
      </c>
      <c r="Y541" s="425"/>
      <c r="Z541" s="71"/>
      <c r="AA541" s="427">
        <v>61804.2</v>
      </c>
      <c r="AB541" s="427">
        <v>58988.63</v>
      </c>
      <c r="AC541" s="427">
        <v>56632.78</v>
      </c>
      <c r="AD541" s="428">
        <v>54081.419999999991</v>
      </c>
      <c r="AE541" s="429">
        <v>51184.079999999994</v>
      </c>
      <c r="AF541" s="429">
        <v>49707.65</v>
      </c>
      <c r="AG541" s="363">
        <v>62000</v>
      </c>
      <c r="AH541" s="363">
        <v>62000</v>
      </c>
      <c r="AI541" s="363">
        <v>62000</v>
      </c>
      <c r="AJ541" s="363">
        <v>62000</v>
      </c>
      <c r="AK541" s="363">
        <v>62000</v>
      </c>
      <c r="AL541" s="363">
        <v>62734</v>
      </c>
      <c r="AM541" s="560">
        <f t="shared" si="29"/>
        <v>705132.76</v>
      </c>
      <c r="AN541" s="455">
        <f>ERP_26[[#This Row],[2026 Working Total]]-ERP_26[[#This Row],[LE2 Final Submission]]</f>
        <v>-12292.849999999977</v>
      </c>
      <c r="AO541" s="79">
        <v>60000</v>
      </c>
      <c r="AP541" s="79">
        <f t="shared" si="30"/>
        <v>-10292.349999999999</v>
      </c>
      <c r="AQ541" s="374">
        <f>SUM(ERP_26[[#This Row],[AP01]:[AP06]])-SUM(ERP_26[[#This Row],[AP01 LE2]:[AP06 LE2]])</f>
        <v>-25026.849999999977</v>
      </c>
      <c r="AR541" s="80"/>
      <c r="AS541" s="79">
        <f>ERP_26[[#This Row],[2026 Working Total to Budget/LE]]-ERP_26[[#This Row],[Giveback]]</f>
        <v>-12292.849999999977</v>
      </c>
      <c r="AT541" s="81"/>
      <c r="AU541" s="375">
        <v>61804.2</v>
      </c>
      <c r="AV541" s="375">
        <v>58988.63</v>
      </c>
      <c r="AW541" s="375">
        <v>56632.78</v>
      </c>
      <c r="AX541" s="375">
        <v>60000</v>
      </c>
      <c r="AY541" s="375">
        <v>60000</v>
      </c>
      <c r="AZ541" s="375">
        <v>60000</v>
      </c>
      <c r="BA541" s="375">
        <v>60000</v>
      </c>
      <c r="BB541" s="375">
        <v>60000</v>
      </c>
      <c r="BC541" s="375">
        <v>60000</v>
      </c>
      <c r="BD541" s="375">
        <v>60000</v>
      </c>
      <c r="BE541" s="375">
        <v>60000</v>
      </c>
      <c r="BF541" s="375">
        <v>60000</v>
      </c>
      <c r="BG541" s="375">
        <v>717425.61</v>
      </c>
      <c r="BH541" s="79">
        <v>61804.2</v>
      </c>
      <c r="BI541" s="79">
        <v>58988.63</v>
      </c>
      <c r="BJ541" s="79">
        <v>56632.78</v>
      </c>
      <c r="BK541" s="79">
        <v>40000</v>
      </c>
      <c r="BL541" s="79">
        <v>40000</v>
      </c>
      <c r="BM541" s="79">
        <v>40000</v>
      </c>
      <c r="BN541" s="79">
        <v>40000</v>
      </c>
      <c r="BO541" s="79">
        <v>40000</v>
      </c>
      <c r="BP541" s="79">
        <v>40000</v>
      </c>
      <c r="BQ541" s="79">
        <v>40000</v>
      </c>
      <c r="BR541" s="79">
        <v>40000</v>
      </c>
      <c r="BS541" s="79">
        <v>40000</v>
      </c>
      <c r="BT541" s="79">
        <v>537425.61</v>
      </c>
    </row>
    <row r="542" spans="1:72" ht="15" customHeight="1">
      <c r="A542" s="66" t="s">
        <v>1859</v>
      </c>
      <c r="B542" s="264" t="s">
        <v>2950</v>
      </c>
      <c r="C542" s="66" t="s">
        <v>448</v>
      </c>
      <c r="D542" s="66" t="s">
        <v>1860</v>
      </c>
      <c r="E542" s="150" t="s">
        <v>1136</v>
      </c>
      <c r="F542" s="482" t="s">
        <v>1566</v>
      </c>
      <c r="G542" s="150" t="s">
        <v>1135</v>
      </c>
      <c r="H542" s="150" t="s">
        <v>1165</v>
      </c>
      <c r="I542" s="150" t="s">
        <v>1135</v>
      </c>
      <c r="J542" s="150" t="s">
        <v>1165</v>
      </c>
      <c r="K542" s="150" t="s">
        <v>1137</v>
      </c>
      <c r="L542" s="511" t="s">
        <v>389</v>
      </c>
      <c r="M542" s="451" t="s">
        <v>1858</v>
      </c>
      <c r="N542" s="343"/>
      <c r="O542" s="343"/>
      <c r="P542" s="70" t="s">
        <v>449</v>
      </c>
      <c r="Q542" s="346"/>
      <c r="R542" s="346" t="s">
        <v>1140</v>
      </c>
      <c r="S542" s="346"/>
      <c r="T542" s="150" t="s">
        <v>57</v>
      </c>
      <c r="U542" s="150"/>
      <c r="V542" s="453"/>
      <c r="W542" s="406">
        <v>12168</v>
      </c>
      <c r="X542" s="406">
        <v>9604.119999999999</v>
      </c>
      <c r="Y542" s="425"/>
      <c r="Z542" s="71"/>
      <c r="AA542" s="427">
        <v>243.06</v>
      </c>
      <c r="AB542" s="427">
        <v>235.06</v>
      </c>
      <c r="AC542" s="431">
        <v>0</v>
      </c>
      <c r="AD542" s="428">
        <v>527.16999999999996</v>
      </c>
      <c r="AE542" s="429">
        <v>288.64999999999998</v>
      </c>
      <c r="AF542" s="429">
        <v>209.08999999999997</v>
      </c>
      <c r="AG542" s="363">
        <v>1014</v>
      </c>
      <c r="AH542" s="363">
        <v>1014</v>
      </c>
      <c r="AI542" s="363">
        <v>1014</v>
      </c>
      <c r="AJ542" s="363">
        <v>1014</v>
      </c>
      <c r="AK542" s="363">
        <v>1014</v>
      </c>
      <c r="AL542" s="363">
        <v>1014</v>
      </c>
      <c r="AM542" s="560">
        <f t="shared" si="29"/>
        <v>7587.03</v>
      </c>
      <c r="AN542" s="455">
        <f>ERP_26[[#This Row],[2026 Working Total]]-ERP_26[[#This Row],[LE2 Final Submission]]</f>
        <v>-2017.0899999999992</v>
      </c>
      <c r="AO542" s="79">
        <v>1014</v>
      </c>
      <c r="AP542" s="79">
        <f t="shared" si="30"/>
        <v>-804.91000000000008</v>
      </c>
      <c r="AQ542" s="374">
        <f>SUM(ERP_26[[#This Row],[AP01]:[AP06]])-SUM(ERP_26[[#This Row],[AP01 LE2]:[AP06 LE2]])</f>
        <v>-2017.09</v>
      </c>
      <c r="AR542" s="80"/>
      <c r="AS542" s="79">
        <f>ERP_26[[#This Row],[2026 Working Total to Budget/LE]]-ERP_26[[#This Row],[Giveback]]</f>
        <v>-2017.0899999999992</v>
      </c>
      <c r="AT542" s="81"/>
      <c r="AU542" s="375">
        <v>243.06</v>
      </c>
      <c r="AV542" s="375">
        <v>235.06</v>
      </c>
      <c r="AW542" s="375">
        <v>0</v>
      </c>
      <c r="AX542" s="375">
        <v>1014</v>
      </c>
      <c r="AY542" s="375">
        <v>1014</v>
      </c>
      <c r="AZ542" s="375">
        <v>1014</v>
      </c>
      <c r="BA542" s="375">
        <v>1014</v>
      </c>
      <c r="BB542" s="375">
        <v>1014</v>
      </c>
      <c r="BC542" s="375">
        <v>1014</v>
      </c>
      <c r="BD542" s="375">
        <v>1014</v>
      </c>
      <c r="BE542" s="375">
        <v>1014</v>
      </c>
      <c r="BF542" s="375">
        <v>1014</v>
      </c>
      <c r="BG542" s="375">
        <v>9604.119999999999</v>
      </c>
      <c r="BH542" s="79">
        <v>243.06</v>
      </c>
      <c r="BI542" s="79">
        <v>235.06</v>
      </c>
      <c r="BJ542" s="79">
        <v>0</v>
      </c>
      <c r="BK542" s="79">
        <v>1014</v>
      </c>
      <c r="BL542" s="79">
        <v>1014</v>
      </c>
      <c r="BM542" s="79">
        <v>1014</v>
      </c>
      <c r="BN542" s="79">
        <v>1014</v>
      </c>
      <c r="BO542" s="79">
        <v>1014</v>
      </c>
      <c r="BP542" s="79">
        <v>1014</v>
      </c>
      <c r="BQ542" s="79">
        <v>1014</v>
      </c>
      <c r="BR542" s="79">
        <v>1014</v>
      </c>
      <c r="BS542" s="79">
        <v>1014</v>
      </c>
      <c r="BT542" s="79">
        <v>9604.119999999999</v>
      </c>
    </row>
    <row r="543" spans="1:72" ht="15" customHeight="1">
      <c r="A543" s="66" t="s">
        <v>1857</v>
      </c>
      <c r="B543" s="264" t="s">
        <v>2951</v>
      </c>
      <c r="C543" s="66" t="s">
        <v>448</v>
      </c>
      <c r="D543" s="66" t="s">
        <v>448</v>
      </c>
      <c r="E543" s="150" t="s">
        <v>1136</v>
      </c>
      <c r="F543" s="482" t="s">
        <v>1566</v>
      </c>
      <c r="G543" s="150" t="s">
        <v>1135</v>
      </c>
      <c r="H543" s="334" t="s">
        <v>1135</v>
      </c>
      <c r="I543" s="334" t="s">
        <v>1135</v>
      </c>
      <c r="J543" s="334" t="s">
        <v>1135</v>
      </c>
      <c r="K543" s="334" t="s">
        <v>1137</v>
      </c>
      <c r="L543" s="511" t="s">
        <v>389</v>
      </c>
      <c r="M543" s="451" t="s">
        <v>1858</v>
      </c>
      <c r="N543" s="343"/>
      <c r="O543" s="343"/>
      <c r="P543" s="70" t="s">
        <v>449</v>
      </c>
      <c r="Q543" s="346"/>
      <c r="R543" s="346" t="s">
        <v>1140</v>
      </c>
      <c r="S543" s="346"/>
      <c r="T543" s="150" t="s">
        <v>57</v>
      </c>
      <c r="U543" s="150"/>
      <c r="V543" s="475"/>
      <c r="W543" s="406">
        <v>0</v>
      </c>
      <c r="X543" s="406">
        <v>9126</v>
      </c>
      <c r="Y543" s="425"/>
      <c r="Z543" s="71"/>
      <c r="AA543" s="427"/>
      <c r="AB543" s="427"/>
      <c r="AC543" s="427"/>
      <c r="AD543" s="428" t="s">
        <v>1142</v>
      </c>
      <c r="AE543" s="429">
        <v>0</v>
      </c>
      <c r="AF543" s="429">
        <v>0</v>
      </c>
      <c r="AG543" s="363">
        <v>1300</v>
      </c>
      <c r="AH543" s="363">
        <v>1300</v>
      </c>
      <c r="AI543" s="363">
        <v>1300</v>
      </c>
      <c r="AJ543" s="363">
        <v>1300</v>
      </c>
      <c r="AK543" s="363">
        <v>1300</v>
      </c>
      <c r="AL543" s="363">
        <v>1326</v>
      </c>
      <c r="AM543" s="560">
        <f t="shared" si="29"/>
        <v>7826</v>
      </c>
      <c r="AN543" s="455">
        <f>ERP_26[[#This Row],[2026 Working Total]]-ERP_26[[#This Row],[LE2 Final Submission]]</f>
        <v>-1300</v>
      </c>
      <c r="AO543" s="79">
        <v>1014</v>
      </c>
      <c r="AP543" s="79">
        <f t="shared" si="30"/>
        <v>-1014</v>
      </c>
      <c r="AQ543" s="374">
        <f>SUM(ERP_26[[#This Row],[AP01]:[AP06]])-SUM(ERP_26[[#This Row],[AP01 LE2]:[AP06 LE2]])</f>
        <v>-3042</v>
      </c>
      <c r="AR543" s="80"/>
      <c r="AS543" s="79">
        <f>ERP_26[[#This Row],[2026 Working Total to Budget/LE]]-ERP_26[[#This Row],[Giveback]]</f>
        <v>-1300</v>
      </c>
      <c r="AT543" s="81"/>
      <c r="AU543" s="375"/>
      <c r="AV543" s="375"/>
      <c r="AW543" s="375"/>
      <c r="AX543" s="375">
        <v>1014</v>
      </c>
      <c r="AY543" s="375">
        <v>1014</v>
      </c>
      <c r="AZ543" s="375">
        <v>1014</v>
      </c>
      <c r="BA543" s="375">
        <v>1014</v>
      </c>
      <c r="BB543" s="375">
        <v>1014</v>
      </c>
      <c r="BC543" s="375">
        <v>1014</v>
      </c>
      <c r="BD543" s="375">
        <v>1014</v>
      </c>
      <c r="BE543" s="375">
        <v>1014</v>
      </c>
      <c r="BF543" s="375">
        <v>1014</v>
      </c>
      <c r="BG543" s="375">
        <v>9126</v>
      </c>
      <c r="BH543" s="79"/>
      <c r="BI543" s="79"/>
      <c r="BJ543" s="79"/>
      <c r="BK543" s="79">
        <v>1014</v>
      </c>
      <c r="BL543" s="79">
        <v>1014</v>
      </c>
      <c r="BM543" s="79">
        <v>1014</v>
      </c>
      <c r="BN543" s="79">
        <v>1014</v>
      </c>
      <c r="BO543" s="79">
        <v>1014</v>
      </c>
      <c r="BP543" s="79">
        <v>1014</v>
      </c>
      <c r="BQ543" s="79">
        <v>1014</v>
      </c>
      <c r="BR543" s="79">
        <v>1014</v>
      </c>
      <c r="BS543" s="79">
        <v>1014</v>
      </c>
      <c r="BT543" s="79">
        <v>9126</v>
      </c>
    </row>
    <row r="544" spans="1:72" ht="15" customHeight="1">
      <c r="A544" s="66" t="s">
        <v>1867</v>
      </c>
      <c r="B544" s="264" t="s">
        <v>2951</v>
      </c>
      <c r="C544" s="66" t="s">
        <v>452</v>
      </c>
      <c r="D544" s="215" t="s">
        <v>1868</v>
      </c>
      <c r="E544" s="150" t="s">
        <v>1136</v>
      </c>
      <c r="F544" s="482" t="s">
        <v>1566</v>
      </c>
      <c r="G544" s="150" t="s">
        <v>1135</v>
      </c>
      <c r="H544" s="334" t="s">
        <v>1165</v>
      </c>
      <c r="I544" s="334" t="s">
        <v>1135</v>
      </c>
      <c r="J544" s="334" t="s">
        <v>1165</v>
      </c>
      <c r="K544" s="334" t="s">
        <v>1137</v>
      </c>
      <c r="L544" s="511" t="s">
        <v>389</v>
      </c>
      <c r="M544" s="392" t="s">
        <v>1863</v>
      </c>
      <c r="N544" s="343"/>
      <c r="O544" s="343"/>
      <c r="P544" s="70" t="s">
        <v>453</v>
      </c>
      <c r="Q544" s="346"/>
      <c r="R544" s="343"/>
      <c r="S544" s="346"/>
      <c r="T544" s="150" t="s">
        <v>57</v>
      </c>
      <c r="U544" s="150"/>
      <c r="V544" s="475"/>
      <c r="W544" s="406">
        <v>14400</v>
      </c>
      <c r="X544" s="406">
        <v>11192.33</v>
      </c>
      <c r="Y544" s="425"/>
      <c r="Z544" s="71"/>
      <c r="AA544" s="427">
        <v>200.57</v>
      </c>
      <c r="AB544" s="427">
        <v>191.76</v>
      </c>
      <c r="AC544" s="431">
        <v>0</v>
      </c>
      <c r="AD544" s="428">
        <v>14.350000000000001</v>
      </c>
      <c r="AE544" s="429">
        <v>11.24</v>
      </c>
      <c r="AF544" s="429">
        <v>0</v>
      </c>
      <c r="AG544" s="363">
        <v>1200</v>
      </c>
      <c r="AH544" s="363">
        <v>1200</v>
      </c>
      <c r="AI544" s="363">
        <v>1200</v>
      </c>
      <c r="AJ544" s="363">
        <v>1200</v>
      </c>
      <c r="AK544" s="363">
        <v>1200</v>
      </c>
      <c r="AL544" s="363">
        <v>1200</v>
      </c>
      <c r="AM544" s="560">
        <f t="shared" si="29"/>
        <v>7617.92</v>
      </c>
      <c r="AN544" s="455">
        <f>ERP_26[[#This Row],[2026 Working Total]]-ERP_26[[#This Row],[LE2 Final Submission]]</f>
        <v>-3574.41</v>
      </c>
      <c r="AO544" s="79">
        <v>1200</v>
      </c>
      <c r="AP544" s="79">
        <f t="shared" si="30"/>
        <v>-1200</v>
      </c>
      <c r="AQ544" s="374">
        <f>SUM(ERP_26[[#This Row],[AP01]:[AP06]])-SUM(ERP_26[[#This Row],[AP01 LE2]:[AP06 LE2]])</f>
        <v>-3574.41</v>
      </c>
      <c r="AR544" s="80"/>
      <c r="AS544" s="79">
        <f>ERP_26[[#This Row],[2026 Working Total to Budget/LE]]-ERP_26[[#This Row],[Giveback]]</f>
        <v>-3574.41</v>
      </c>
      <c r="AT544" s="81"/>
      <c r="AU544" s="375">
        <v>200.57</v>
      </c>
      <c r="AV544" s="375">
        <v>191.76</v>
      </c>
      <c r="AW544" s="375">
        <v>0</v>
      </c>
      <c r="AX544" s="375">
        <v>1200</v>
      </c>
      <c r="AY544" s="375">
        <v>1200</v>
      </c>
      <c r="AZ544" s="375">
        <v>1200</v>
      </c>
      <c r="BA544" s="375">
        <v>1200</v>
      </c>
      <c r="BB544" s="375">
        <v>1200</v>
      </c>
      <c r="BC544" s="375">
        <v>1200</v>
      </c>
      <c r="BD544" s="375">
        <v>1200</v>
      </c>
      <c r="BE544" s="375">
        <v>1200</v>
      </c>
      <c r="BF544" s="375">
        <v>1200</v>
      </c>
      <c r="BG544" s="375">
        <v>11192.33</v>
      </c>
      <c r="BH544" s="79">
        <v>200.57</v>
      </c>
      <c r="BI544" s="79">
        <v>191.76</v>
      </c>
      <c r="BJ544" s="79">
        <v>0</v>
      </c>
      <c r="BK544" s="79">
        <v>1200</v>
      </c>
      <c r="BL544" s="79">
        <v>1200</v>
      </c>
      <c r="BM544" s="79">
        <v>1200</v>
      </c>
      <c r="BN544" s="79">
        <v>1200</v>
      </c>
      <c r="BO544" s="79">
        <v>1200</v>
      </c>
      <c r="BP544" s="79">
        <v>1200</v>
      </c>
      <c r="BQ544" s="79">
        <v>1200</v>
      </c>
      <c r="BR544" s="79">
        <v>1200</v>
      </c>
      <c r="BS544" s="79">
        <v>1200</v>
      </c>
      <c r="BT544" s="79">
        <v>11192.33</v>
      </c>
    </row>
    <row r="545" spans="1:72" ht="15" customHeight="1">
      <c r="A545" s="66" t="s">
        <v>1864</v>
      </c>
      <c r="B545" s="264" t="s">
        <v>2950</v>
      </c>
      <c r="C545" s="66" t="s">
        <v>452</v>
      </c>
      <c r="D545" s="66" t="s">
        <v>452</v>
      </c>
      <c r="E545" s="150" t="s">
        <v>1136</v>
      </c>
      <c r="F545" s="482" t="s">
        <v>1566</v>
      </c>
      <c r="G545" s="150" t="s">
        <v>1135</v>
      </c>
      <c r="H545" s="334" t="s">
        <v>1135</v>
      </c>
      <c r="I545" s="334" t="s">
        <v>1135</v>
      </c>
      <c r="J545" s="334" t="s">
        <v>1135</v>
      </c>
      <c r="K545" s="334" t="s">
        <v>1137</v>
      </c>
      <c r="L545" s="511" t="s">
        <v>389</v>
      </c>
      <c r="M545" s="451" t="s">
        <v>1863</v>
      </c>
      <c r="N545" s="343"/>
      <c r="O545" s="343"/>
      <c r="P545" s="70" t="s">
        <v>453</v>
      </c>
      <c r="Q545" s="346"/>
      <c r="R545" s="343"/>
      <c r="S545" s="346"/>
      <c r="T545" s="150" t="s">
        <v>57</v>
      </c>
      <c r="U545" s="150"/>
      <c r="V545" s="475"/>
      <c r="W545" s="406">
        <v>60000</v>
      </c>
      <c r="X545" s="406">
        <v>58916.17</v>
      </c>
      <c r="Y545" s="430"/>
      <c r="Z545" s="137"/>
      <c r="AA545" s="427">
        <v>5046.78</v>
      </c>
      <c r="AB545" s="427">
        <v>4733.08</v>
      </c>
      <c r="AC545" s="427">
        <v>4136.3100000000004</v>
      </c>
      <c r="AD545" s="428">
        <v>1611.3500000000001</v>
      </c>
      <c r="AE545" s="429">
        <v>1548.42</v>
      </c>
      <c r="AF545" s="429">
        <v>448.77000000000004</v>
      </c>
      <c r="AG545" s="363">
        <v>5000</v>
      </c>
      <c r="AH545" s="363">
        <v>5000</v>
      </c>
      <c r="AI545" s="363">
        <v>5000</v>
      </c>
      <c r="AJ545" s="363">
        <v>5000</v>
      </c>
      <c r="AK545" s="363">
        <v>5000</v>
      </c>
      <c r="AL545" s="363">
        <v>5000</v>
      </c>
      <c r="AM545" s="560">
        <f t="shared" si="29"/>
        <v>47524.710000000006</v>
      </c>
      <c r="AN545" s="455">
        <f>ERP_26[[#This Row],[2026 Working Total]]-ERP_26[[#This Row],[LE2 Final Submission]]</f>
        <v>-11391.459999999992</v>
      </c>
      <c r="AO545" s="79">
        <v>5000</v>
      </c>
      <c r="AP545" s="79">
        <f t="shared" si="30"/>
        <v>-4551.2299999999996</v>
      </c>
      <c r="AQ545" s="374">
        <f>SUM(ERP_26[[#This Row],[AP01]:[AP06]])-SUM(ERP_26[[#This Row],[AP01 LE2]:[AP06 LE2]])</f>
        <v>-11391.46</v>
      </c>
      <c r="AR545" s="80"/>
      <c r="AS545" s="79">
        <f>ERP_26[[#This Row],[2026 Working Total to Budget/LE]]-ERP_26[[#This Row],[Giveback]]</f>
        <v>-11391.459999999992</v>
      </c>
      <c r="AT545" s="81"/>
      <c r="AU545" s="375">
        <v>5046.78</v>
      </c>
      <c r="AV545" s="375">
        <v>4733.08</v>
      </c>
      <c r="AW545" s="375">
        <v>4136.3100000000004</v>
      </c>
      <c r="AX545" s="375">
        <v>5000</v>
      </c>
      <c r="AY545" s="375">
        <v>5000</v>
      </c>
      <c r="AZ545" s="375">
        <v>5000</v>
      </c>
      <c r="BA545" s="375">
        <v>5000</v>
      </c>
      <c r="BB545" s="375">
        <v>5000</v>
      </c>
      <c r="BC545" s="375">
        <v>5000</v>
      </c>
      <c r="BD545" s="375">
        <v>5000</v>
      </c>
      <c r="BE545" s="375">
        <v>5000</v>
      </c>
      <c r="BF545" s="375">
        <v>5000</v>
      </c>
      <c r="BG545" s="375">
        <v>58916.17</v>
      </c>
      <c r="BH545" s="79">
        <v>5046.78</v>
      </c>
      <c r="BI545" s="79">
        <v>4733.08</v>
      </c>
      <c r="BJ545" s="79">
        <v>4136.3100000000004</v>
      </c>
      <c r="BK545" s="79">
        <v>5000</v>
      </c>
      <c r="BL545" s="79">
        <v>5000</v>
      </c>
      <c r="BM545" s="79">
        <v>5000</v>
      </c>
      <c r="BN545" s="79">
        <v>5000</v>
      </c>
      <c r="BO545" s="79">
        <v>5000</v>
      </c>
      <c r="BP545" s="79">
        <v>5000</v>
      </c>
      <c r="BQ545" s="79">
        <v>5000</v>
      </c>
      <c r="BR545" s="79">
        <v>5000</v>
      </c>
      <c r="BS545" s="79">
        <v>5000</v>
      </c>
      <c r="BT545" s="79">
        <v>58916.17</v>
      </c>
    </row>
    <row r="546" spans="1:72" ht="15" customHeight="1">
      <c r="A546" s="66" t="s">
        <v>1899</v>
      </c>
      <c r="B546" s="264" t="s">
        <v>2951</v>
      </c>
      <c r="C546" s="66" t="s">
        <v>464</v>
      </c>
      <c r="D546" s="66" t="s">
        <v>1900</v>
      </c>
      <c r="E546" s="150" t="s">
        <v>1136</v>
      </c>
      <c r="F546" s="482" t="s">
        <v>1566</v>
      </c>
      <c r="G546" s="150" t="s">
        <v>1135</v>
      </c>
      <c r="H546" s="150" t="s">
        <v>1165</v>
      </c>
      <c r="I546" s="150" t="s">
        <v>1135</v>
      </c>
      <c r="J546" s="150" t="s">
        <v>1165</v>
      </c>
      <c r="K546" s="150" t="s">
        <v>1137</v>
      </c>
      <c r="L546" s="511" t="s">
        <v>389</v>
      </c>
      <c r="M546" s="451" t="s">
        <v>1703</v>
      </c>
      <c r="N546" s="343"/>
      <c r="O546" s="343"/>
      <c r="P546" s="70" t="s">
        <v>365</v>
      </c>
      <c r="Q546" s="346"/>
      <c r="R546" s="346" t="s">
        <v>1140</v>
      </c>
      <c r="S546" s="346"/>
      <c r="T546" s="150" t="s">
        <v>57</v>
      </c>
      <c r="U546" s="150"/>
      <c r="V546" s="475"/>
      <c r="W546" s="406">
        <v>12000</v>
      </c>
      <c r="X546" s="406">
        <v>20372.89</v>
      </c>
      <c r="Y546" s="425"/>
      <c r="Z546" s="71"/>
      <c r="AA546" s="427">
        <v>3485.94</v>
      </c>
      <c r="AB546" s="427">
        <v>4743.4799999999996</v>
      </c>
      <c r="AC546" s="427">
        <v>3143.47</v>
      </c>
      <c r="AD546" s="428">
        <v>1703.44</v>
      </c>
      <c r="AE546" s="429">
        <v>1676.8800000000003</v>
      </c>
      <c r="AF546" s="429">
        <v>3062.17</v>
      </c>
      <c r="AG546" s="363">
        <v>1000</v>
      </c>
      <c r="AH546" s="363">
        <v>1000</v>
      </c>
      <c r="AI546" s="363">
        <v>1000</v>
      </c>
      <c r="AJ546" s="363">
        <v>1000</v>
      </c>
      <c r="AK546" s="363">
        <v>1000</v>
      </c>
      <c r="AL546" s="363">
        <v>1000</v>
      </c>
      <c r="AM546" s="560">
        <f t="shared" si="29"/>
        <v>23815.38</v>
      </c>
      <c r="AN546" s="455">
        <f>ERP_26[[#This Row],[2026 Working Total]]-ERP_26[[#This Row],[LE2 Final Submission]]</f>
        <v>3442.4900000000016</v>
      </c>
      <c r="AO546" s="79">
        <v>1000</v>
      </c>
      <c r="AP546" s="79">
        <f t="shared" si="30"/>
        <v>2062.17</v>
      </c>
      <c r="AQ546" s="374">
        <f>SUM(ERP_26[[#This Row],[AP01]:[AP06]])-SUM(ERP_26[[#This Row],[AP01 LE2]:[AP06 LE2]])</f>
        <v>3442.4900000000016</v>
      </c>
      <c r="AR546" s="80"/>
      <c r="AS546" s="79">
        <f>ERP_26[[#This Row],[2026 Working Total to Budget/LE]]-ERP_26[[#This Row],[Giveback]]</f>
        <v>3442.4900000000016</v>
      </c>
      <c r="AT546" s="81"/>
      <c r="AU546" s="375">
        <v>3485.94</v>
      </c>
      <c r="AV546" s="375">
        <v>4743.4799999999996</v>
      </c>
      <c r="AW546" s="375">
        <v>3143.47</v>
      </c>
      <c r="AX546" s="375">
        <v>1000</v>
      </c>
      <c r="AY546" s="375">
        <v>1000</v>
      </c>
      <c r="AZ546" s="375">
        <v>1000</v>
      </c>
      <c r="BA546" s="375">
        <v>1000</v>
      </c>
      <c r="BB546" s="375">
        <v>1000</v>
      </c>
      <c r="BC546" s="375">
        <v>1000</v>
      </c>
      <c r="BD546" s="375">
        <v>1000</v>
      </c>
      <c r="BE546" s="375">
        <v>1000</v>
      </c>
      <c r="BF546" s="375">
        <v>1000</v>
      </c>
      <c r="BG546" s="375">
        <v>20372.89</v>
      </c>
      <c r="BH546" s="79">
        <v>3485.94</v>
      </c>
      <c r="BI546" s="79">
        <v>4743.4799999999996</v>
      </c>
      <c r="BJ546" s="79">
        <v>3143.47</v>
      </c>
      <c r="BK546" s="79">
        <v>1000</v>
      </c>
      <c r="BL546" s="79">
        <v>1000</v>
      </c>
      <c r="BM546" s="79">
        <v>1000</v>
      </c>
      <c r="BN546" s="79">
        <v>1000</v>
      </c>
      <c r="BO546" s="79">
        <v>1000</v>
      </c>
      <c r="BP546" s="79">
        <v>1000</v>
      </c>
      <c r="BQ546" s="79">
        <v>1000</v>
      </c>
      <c r="BR546" s="79">
        <v>1000</v>
      </c>
      <c r="BS546" s="79">
        <v>1000</v>
      </c>
      <c r="BT546" s="79">
        <v>20372.89</v>
      </c>
    </row>
    <row r="547" spans="1:72" ht="15" customHeight="1">
      <c r="A547" s="66" t="s">
        <v>1897</v>
      </c>
      <c r="B547" s="264" t="s">
        <v>2950</v>
      </c>
      <c r="C547" s="66" t="s">
        <v>464</v>
      </c>
      <c r="D547" s="66" t="s">
        <v>1898</v>
      </c>
      <c r="E547" s="150" t="s">
        <v>1136</v>
      </c>
      <c r="F547" s="482" t="s">
        <v>1566</v>
      </c>
      <c r="G547" s="150" t="s">
        <v>1135</v>
      </c>
      <c r="H547" s="150" t="s">
        <v>1145</v>
      </c>
      <c r="I547" s="150" t="s">
        <v>1135</v>
      </c>
      <c r="J547" s="150" t="s">
        <v>1145</v>
      </c>
      <c r="K547" s="150" t="s">
        <v>1137</v>
      </c>
      <c r="L547" s="511" t="s">
        <v>389</v>
      </c>
      <c r="M547" s="451" t="s">
        <v>1703</v>
      </c>
      <c r="N547" s="343"/>
      <c r="O547" s="343"/>
      <c r="P547" s="70" t="s">
        <v>365</v>
      </c>
      <c r="Q547" s="346"/>
      <c r="R547" s="346" t="s">
        <v>1140</v>
      </c>
      <c r="S547" s="346"/>
      <c r="T547" s="150" t="s">
        <v>57</v>
      </c>
      <c r="U547" s="150"/>
      <c r="V547" s="475"/>
      <c r="W547" s="406">
        <v>240000</v>
      </c>
      <c r="X547" s="406">
        <v>230345.91999999998</v>
      </c>
      <c r="Y547" s="425"/>
      <c r="Z547" s="71"/>
      <c r="AA547" s="427">
        <v>18590.2</v>
      </c>
      <c r="AB547" s="427">
        <v>19113.38</v>
      </c>
      <c r="AC547" s="427">
        <v>12642.34</v>
      </c>
      <c r="AD547" s="428">
        <v>21280.7</v>
      </c>
      <c r="AE547" s="429">
        <v>14563.560000000001</v>
      </c>
      <c r="AF547" s="429">
        <v>26235.370000000003</v>
      </c>
      <c r="AG547" s="363">
        <v>19000</v>
      </c>
      <c r="AH547" s="363">
        <v>19000</v>
      </c>
      <c r="AI547" s="363">
        <v>19000</v>
      </c>
      <c r="AJ547" s="363">
        <v>19000</v>
      </c>
      <c r="AK547" s="363">
        <v>19000</v>
      </c>
      <c r="AL547" s="363">
        <v>19000</v>
      </c>
      <c r="AM547" s="560">
        <f t="shared" si="29"/>
        <v>226425.55</v>
      </c>
      <c r="AN547" s="455">
        <f>ERP_26[[#This Row],[2026 Working Total]]-ERP_26[[#This Row],[LE2 Final Submission]]</f>
        <v>-3920.3699999999953</v>
      </c>
      <c r="AO547" s="79">
        <v>20000</v>
      </c>
      <c r="AP547" s="79">
        <f t="shared" si="30"/>
        <v>6235.3700000000026</v>
      </c>
      <c r="AQ547" s="374">
        <f>SUM(ERP_26[[#This Row],[AP01]:[AP06]])-SUM(ERP_26[[#This Row],[AP01 LE2]:[AP06 LE2]])</f>
        <v>2079.6299999999901</v>
      </c>
      <c r="AR547" s="80"/>
      <c r="AS547" s="79">
        <f>ERP_26[[#This Row],[2026 Working Total to Budget/LE]]-ERP_26[[#This Row],[Giveback]]</f>
        <v>-3920.3699999999953</v>
      </c>
      <c r="AT547" s="81"/>
      <c r="AU547" s="375">
        <v>18590.2</v>
      </c>
      <c r="AV547" s="375">
        <v>19113.38</v>
      </c>
      <c r="AW547" s="375">
        <v>12642.34</v>
      </c>
      <c r="AX547" s="375">
        <v>20000</v>
      </c>
      <c r="AY547" s="375">
        <v>20000</v>
      </c>
      <c r="AZ547" s="375">
        <v>20000</v>
      </c>
      <c r="BA547" s="375">
        <v>20000</v>
      </c>
      <c r="BB547" s="375">
        <v>20000</v>
      </c>
      <c r="BC547" s="375">
        <v>20000</v>
      </c>
      <c r="BD547" s="375">
        <v>20000</v>
      </c>
      <c r="BE547" s="375">
        <v>20000</v>
      </c>
      <c r="BF547" s="375">
        <v>20000</v>
      </c>
      <c r="BG547" s="375">
        <v>230345.91999999998</v>
      </c>
      <c r="BH547" s="79">
        <v>18590.2</v>
      </c>
      <c r="BI547" s="79">
        <v>19113.38</v>
      </c>
      <c r="BJ547" s="79">
        <v>12642.34</v>
      </c>
      <c r="BK547" s="79">
        <v>20000</v>
      </c>
      <c r="BL547" s="79">
        <v>20000</v>
      </c>
      <c r="BM547" s="79">
        <v>20000</v>
      </c>
      <c r="BN547" s="79">
        <v>20000</v>
      </c>
      <c r="BO547" s="79">
        <v>20000</v>
      </c>
      <c r="BP547" s="79">
        <v>20000</v>
      </c>
      <c r="BQ547" s="79">
        <v>20000</v>
      </c>
      <c r="BR547" s="79">
        <v>20000</v>
      </c>
      <c r="BS547" s="79">
        <v>20000</v>
      </c>
      <c r="BT547" s="79">
        <v>230345.91999999998</v>
      </c>
    </row>
    <row r="548" spans="1:72" ht="15" customHeight="1">
      <c r="A548" s="66" t="s">
        <v>1903</v>
      </c>
      <c r="B548" s="264" t="s">
        <v>2951</v>
      </c>
      <c r="C548" s="66" t="s">
        <v>465</v>
      </c>
      <c r="D548" s="66" t="s">
        <v>1904</v>
      </c>
      <c r="E548" s="150" t="s">
        <v>1136</v>
      </c>
      <c r="F548" s="482" t="s">
        <v>1566</v>
      </c>
      <c r="G548" s="150" t="s">
        <v>1135</v>
      </c>
      <c r="H548" s="150" t="s">
        <v>1135</v>
      </c>
      <c r="I548" s="150" t="s">
        <v>1135</v>
      </c>
      <c r="J548" s="150" t="s">
        <v>1137</v>
      </c>
      <c r="K548" s="150" t="s">
        <v>1137</v>
      </c>
      <c r="L548" s="511" t="s">
        <v>389</v>
      </c>
      <c r="M548" s="451" t="s">
        <v>1855</v>
      </c>
      <c r="N548" s="343"/>
      <c r="O548" s="343"/>
      <c r="P548" s="70" t="s">
        <v>466</v>
      </c>
      <c r="Q548" s="346"/>
      <c r="R548" s="346" t="s">
        <v>1140</v>
      </c>
      <c r="S548" s="346"/>
      <c r="T548" s="150" t="s">
        <v>57</v>
      </c>
      <c r="U548" s="1" t="s">
        <v>1141</v>
      </c>
      <c r="V548" s="475"/>
      <c r="W548" s="406">
        <v>0</v>
      </c>
      <c r="X548" s="406">
        <v>12459.34</v>
      </c>
      <c r="Y548" s="425"/>
      <c r="Z548" s="71"/>
      <c r="AA548" s="427">
        <v>3067.29</v>
      </c>
      <c r="AB548" s="427">
        <v>2981.39</v>
      </c>
      <c r="AC548" s="427">
        <v>1910.66</v>
      </c>
      <c r="AD548" s="428">
        <v>1410.86</v>
      </c>
      <c r="AE548" s="429">
        <v>2830.8900000000003</v>
      </c>
      <c r="AF548" s="429">
        <v>2863</v>
      </c>
      <c r="AG548" s="363">
        <v>500</v>
      </c>
      <c r="AH548" s="363">
        <v>500</v>
      </c>
      <c r="AI548" s="363">
        <v>500</v>
      </c>
      <c r="AJ548" s="363">
        <v>500</v>
      </c>
      <c r="AK548" s="363">
        <v>500</v>
      </c>
      <c r="AL548" s="363">
        <v>500</v>
      </c>
      <c r="AM548" s="560">
        <f t="shared" si="29"/>
        <v>18064.09</v>
      </c>
      <c r="AN548" s="455">
        <f>ERP_26[[#This Row],[2026 Working Total]]-ERP_26[[#This Row],[LE2 Final Submission]]</f>
        <v>5604.75</v>
      </c>
      <c r="AO548" s="79">
        <v>500</v>
      </c>
      <c r="AP548" s="79">
        <f t="shared" si="30"/>
        <v>2363</v>
      </c>
      <c r="AQ548" s="374">
        <f>SUM(ERP_26[[#This Row],[AP01]:[AP06]])-SUM(ERP_26[[#This Row],[AP01 LE2]:[AP06 LE2]])</f>
        <v>5604.75</v>
      </c>
      <c r="AR548" s="80"/>
      <c r="AS548" s="79">
        <f>ERP_26[[#This Row],[2026 Working Total to Budget/LE]]-ERP_26[[#This Row],[Giveback]]</f>
        <v>5604.75</v>
      </c>
      <c r="AT548" s="81"/>
      <c r="AU548" s="375">
        <v>3067.29</v>
      </c>
      <c r="AV548" s="375">
        <v>2981.39</v>
      </c>
      <c r="AW548" s="375">
        <v>1910.66</v>
      </c>
      <c r="AX548" s="375">
        <v>500</v>
      </c>
      <c r="AY548" s="375">
        <v>500</v>
      </c>
      <c r="AZ548" s="375">
        <v>500</v>
      </c>
      <c r="BA548" s="375">
        <v>500</v>
      </c>
      <c r="BB548" s="375">
        <v>500</v>
      </c>
      <c r="BC548" s="375">
        <v>500</v>
      </c>
      <c r="BD548" s="375">
        <v>500</v>
      </c>
      <c r="BE548" s="375">
        <v>500</v>
      </c>
      <c r="BF548" s="375">
        <v>500</v>
      </c>
      <c r="BG548" s="375">
        <v>12459.34</v>
      </c>
      <c r="BH548" s="79">
        <v>3067.29</v>
      </c>
      <c r="BI548" s="79">
        <v>2981.39</v>
      </c>
      <c r="BJ548" s="79">
        <v>1910.66</v>
      </c>
      <c r="BK548" s="79">
        <v>500</v>
      </c>
      <c r="BL548" s="79">
        <v>500</v>
      </c>
      <c r="BM548" s="79">
        <v>500</v>
      </c>
      <c r="BN548" s="79">
        <v>500</v>
      </c>
      <c r="BO548" s="79">
        <v>500</v>
      </c>
      <c r="BP548" s="79">
        <v>500</v>
      </c>
      <c r="BQ548" s="79">
        <v>500</v>
      </c>
      <c r="BR548" s="79">
        <v>500</v>
      </c>
      <c r="BS548" s="79">
        <v>500</v>
      </c>
      <c r="BT548" s="79">
        <v>12459.34</v>
      </c>
    </row>
    <row r="549" spans="1:72" ht="15" customHeight="1">
      <c r="A549" s="66" t="s">
        <v>1906</v>
      </c>
      <c r="B549" s="264" t="s">
        <v>2951</v>
      </c>
      <c r="C549" s="66" t="s">
        <v>465</v>
      </c>
      <c r="D549" s="66" t="s">
        <v>1907</v>
      </c>
      <c r="E549" s="150" t="s">
        <v>1136</v>
      </c>
      <c r="F549" s="482" t="s">
        <v>1566</v>
      </c>
      <c r="G549" s="150" t="s">
        <v>1135</v>
      </c>
      <c r="H549" s="150" t="s">
        <v>1145</v>
      </c>
      <c r="I549" s="150" t="s">
        <v>1135</v>
      </c>
      <c r="J549" s="150" t="s">
        <v>1145</v>
      </c>
      <c r="K549" s="150" t="s">
        <v>1137</v>
      </c>
      <c r="L549" s="511" t="s">
        <v>389</v>
      </c>
      <c r="M549" s="451" t="s">
        <v>1855</v>
      </c>
      <c r="N549" s="343"/>
      <c r="O549" s="343"/>
      <c r="P549" s="70" t="s">
        <v>466</v>
      </c>
      <c r="Q549" s="346"/>
      <c r="R549" s="346" t="s">
        <v>1140</v>
      </c>
      <c r="S549" s="346"/>
      <c r="T549" s="150" t="s">
        <v>57</v>
      </c>
      <c r="U549" s="150"/>
      <c r="V549" s="475"/>
      <c r="W549" s="406">
        <v>42000</v>
      </c>
      <c r="X549" s="406">
        <v>31512</v>
      </c>
      <c r="Y549" s="425"/>
      <c r="Z549" s="71"/>
      <c r="AA549" s="427">
        <v>3202</v>
      </c>
      <c r="AB549" s="427">
        <v>2807</v>
      </c>
      <c r="AC549" s="427">
        <v>240</v>
      </c>
      <c r="AD549" s="428">
        <v>2458</v>
      </c>
      <c r="AE549" s="429">
        <v>2458</v>
      </c>
      <c r="AF549" s="429">
        <v>2786</v>
      </c>
      <c r="AG549" s="363">
        <v>2458</v>
      </c>
      <c r="AH549" s="363">
        <v>2458</v>
      </c>
      <c r="AI549" s="363">
        <v>2458</v>
      </c>
      <c r="AJ549" s="363">
        <v>2458</v>
      </c>
      <c r="AK549" s="363">
        <v>2458</v>
      </c>
      <c r="AL549" s="363">
        <v>2458</v>
      </c>
      <c r="AM549" s="560">
        <f t="shared" si="29"/>
        <v>28699</v>
      </c>
      <c r="AN549" s="455">
        <f>ERP_26[[#This Row],[2026 Working Total]]-ERP_26[[#This Row],[LE2 Final Submission]]</f>
        <v>-2813</v>
      </c>
      <c r="AO549" s="79">
        <v>2807</v>
      </c>
      <c r="AP549" s="79">
        <f t="shared" si="30"/>
        <v>-21</v>
      </c>
      <c r="AQ549" s="374">
        <f>SUM(ERP_26[[#This Row],[AP01]:[AP06]])-SUM(ERP_26[[#This Row],[AP01 LE2]:[AP06 LE2]])</f>
        <v>-719</v>
      </c>
      <c r="AR549" s="80"/>
      <c r="AS549" s="79">
        <f>ERP_26[[#This Row],[2026 Working Total to Budget/LE]]-ERP_26[[#This Row],[Giveback]]</f>
        <v>-2813</v>
      </c>
      <c r="AT549" s="81"/>
      <c r="AU549" s="375">
        <v>3202</v>
      </c>
      <c r="AV549" s="375">
        <v>2807</v>
      </c>
      <c r="AW549" s="375">
        <v>240</v>
      </c>
      <c r="AX549" s="375">
        <v>2807</v>
      </c>
      <c r="AY549" s="375">
        <v>2807</v>
      </c>
      <c r="AZ549" s="375">
        <v>2807</v>
      </c>
      <c r="BA549" s="375">
        <v>2807</v>
      </c>
      <c r="BB549" s="375">
        <v>2807</v>
      </c>
      <c r="BC549" s="375">
        <v>2807</v>
      </c>
      <c r="BD549" s="375">
        <v>2807</v>
      </c>
      <c r="BE549" s="375">
        <v>2807</v>
      </c>
      <c r="BF549" s="375">
        <v>2807</v>
      </c>
      <c r="BG549" s="375">
        <v>31512</v>
      </c>
      <c r="BH549" s="79">
        <v>3202</v>
      </c>
      <c r="BI549" s="79">
        <v>2807</v>
      </c>
      <c r="BJ549" s="79">
        <v>240</v>
      </c>
      <c r="BK549" s="79">
        <v>2807</v>
      </c>
      <c r="BL549" s="79">
        <v>2807</v>
      </c>
      <c r="BM549" s="79">
        <v>2807</v>
      </c>
      <c r="BN549" s="79">
        <v>2807</v>
      </c>
      <c r="BO549" s="79">
        <v>2807</v>
      </c>
      <c r="BP549" s="79">
        <v>2807</v>
      </c>
      <c r="BQ549" s="79">
        <v>2807</v>
      </c>
      <c r="BR549" s="79">
        <v>2807</v>
      </c>
      <c r="BS549" s="79">
        <v>2807</v>
      </c>
      <c r="BT549" s="79">
        <v>31512</v>
      </c>
    </row>
    <row r="550" spans="1:72" ht="15" customHeight="1">
      <c r="A550" s="66" t="s">
        <v>1912</v>
      </c>
      <c r="B550" s="264" t="s">
        <v>2951</v>
      </c>
      <c r="C550" s="66" t="s">
        <v>465</v>
      </c>
      <c r="D550" s="66" t="s">
        <v>1913</v>
      </c>
      <c r="E550" s="150" t="s">
        <v>1136</v>
      </c>
      <c r="F550" s="482" t="s">
        <v>1566</v>
      </c>
      <c r="G550" s="150" t="s">
        <v>1135</v>
      </c>
      <c r="H550" s="150" t="s">
        <v>1165</v>
      </c>
      <c r="I550" s="150" t="s">
        <v>1135</v>
      </c>
      <c r="J550" s="150" t="s">
        <v>1165</v>
      </c>
      <c r="K550" s="150" t="s">
        <v>1137</v>
      </c>
      <c r="L550" s="511" t="s">
        <v>389</v>
      </c>
      <c r="M550" s="451" t="s">
        <v>1855</v>
      </c>
      <c r="N550" s="343"/>
      <c r="O550" s="343"/>
      <c r="P550" s="70" t="s">
        <v>466</v>
      </c>
      <c r="Q550" s="346"/>
      <c r="R550" s="346" t="s">
        <v>1140</v>
      </c>
      <c r="S550" s="346"/>
      <c r="T550" s="150" t="s">
        <v>57</v>
      </c>
      <c r="U550" s="150"/>
      <c r="V550" s="475"/>
      <c r="W550" s="406">
        <v>120000</v>
      </c>
      <c r="X550" s="406">
        <v>114396</v>
      </c>
      <c r="Y550" s="425"/>
      <c r="Z550" s="71"/>
      <c r="AA550" s="427">
        <v>8661</v>
      </c>
      <c r="AB550" s="427">
        <v>6471</v>
      </c>
      <c r="AC550" s="427">
        <v>9264</v>
      </c>
      <c r="AD550" s="428">
        <v>5219</v>
      </c>
      <c r="AE550" s="429">
        <v>5092</v>
      </c>
      <c r="AF550" s="429">
        <v>6559</v>
      </c>
      <c r="AG550" s="363">
        <v>10000</v>
      </c>
      <c r="AH550" s="363">
        <v>10000</v>
      </c>
      <c r="AI550" s="363">
        <v>10000</v>
      </c>
      <c r="AJ550" s="363">
        <v>10000</v>
      </c>
      <c r="AK550" s="363">
        <v>10000</v>
      </c>
      <c r="AL550" s="363">
        <v>10000</v>
      </c>
      <c r="AM550" s="560">
        <f t="shared" si="29"/>
        <v>101266</v>
      </c>
      <c r="AN550" s="455">
        <f>ERP_26[[#This Row],[2026 Working Total]]-ERP_26[[#This Row],[LE2 Final Submission]]</f>
        <v>-13130</v>
      </c>
      <c r="AO550" s="79">
        <v>10000</v>
      </c>
      <c r="AP550" s="79">
        <f t="shared" si="30"/>
        <v>-3441</v>
      </c>
      <c r="AQ550" s="374">
        <f>SUM(ERP_26[[#This Row],[AP01]:[AP06]])-SUM(ERP_26[[#This Row],[AP01 LE2]:[AP06 LE2]])</f>
        <v>-13130</v>
      </c>
      <c r="AR550" s="80"/>
      <c r="AS550" s="79">
        <f>ERP_26[[#This Row],[2026 Working Total to Budget/LE]]-ERP_26[[#This Row],[Giveback]]</f>
        <v>-13130</v>
      </c>
      <c r="AT550" s="81"/>
      <c r="AU550" s="375">
        <v>8661</v>
      </c>
      <c r="AV550" s="375">
        <v>6471</v>
      </c>
      <c r="AW550" s="375">
        <v>9264</v>
      </c>
      <c r="AX550" s="375">
        <v>10000</v>
      </c>
      <c r="AY550" s="375">
        <v>10000</v>
      </c>
      <c r="AZ550" s="375">
        <v>10000</v>
      </c>
      <c r="BA550" s="375">
        <v>10000</v>
      </c>
      <c r="BB550" s="375">
        <v>10000</v>
      </c>
      <c r="BC550" s="375">
        <v>10000</v>
      </c>
      <c r="BD550" s="375">
        <v>10000</v>
      </c>
      <c r="BE550" s="375">
        <v>10000</v>
      </c>
      <c r="BF550" s="375">
        <v>10000</v>
      </c>
      <c r="BG550" s="375">
        <v>114396</v>
      </c>
      <c r="BH550" s="79">
        <v>8661</v>
      </c>
      <c r="BI550" s="79">
        <v>6471</v>
      </c>
      <c r="BJ550" s="79">
        <v>9264</v>
      </c>
      <c r="BK550" s="79">
        <v>10000</v>
      </c>
      <c r="BL550" s="79">
        <v>10000</v>
      </c>
      <c r="BM550" s="79">
        <v>10000</v>
      </c>
      <c r="BN550" s="79">
        <v>10000</v>
      </c>
      <c r="BO550" s="79">
        <v>10000</v>
      </c>
      <c r="BP550" s="79">
        <v>10000</v>
      </c>
      <c r="BQ550" s="79">
        <v>10000</v>
      </c>
      <c r="BR550" s="79">
        <v>10000</v>
      </c>
      <c r="BS550" s="79">
        <v>10000</v>
      </c>
      <c r="BT550" s="79">
        <v>114396</v>
      </c>
    </row>
    <row r="551" spans="1:72" ht="15" customHeight="1">
      <c r="A551" s="66" t="s">
        <v>1901</v>
      </c>
      <c r="B551" s="264" t="s">
        <v>2950</v>
      </c>
      <c r="C551" s="66" t="s">
        <v>465</v>
      </c>
      <c r="D551" s="66" t="s">
        <v>465</v>
      </c>
      <c r="E551" s="150" t="s">
        <v>1136</v>
      </c>
      <c r="F551" s="482" t="s">
        <v>1566</v>
      </c>
      <c r="G551" s="150" t="s">
        <v>1135</v>
      </c>
      <c r="H551" s="150" t="s">
        <v>1135</v>
      </c>
      <c r="I551" s="150" t="s">
        <v>1135</v>
      </c>
      <c r="J551" s="150" t="s">
        <v>1135</v>
      </c>
      <c r="K551" s="150" t="s">
        <v>1137</v>
      </c>
      <c r="L551" s="511" t="s">
        <v>389</v>
      </c>
      <c r="M551" s="451" t="s">
        <v>1855</v>
      </c>
      <c r="N551" s="343"/>
      <c r="O551" s="343"/>
      <c r="P551" s="70" t="s">
        <v>466</v>
      </c>
      <c r="Q551" s="346"/>
      <c r="R551" s="346" t="s">
        <v>1140</v>
      </c>
      <c r="S551" s="346"/>
      <c r="T551" s="150" t="s">
        <v>57</v>
      </c>
      <c r="U551" s="150"/>
      <c r="V551" s="453"/>
      <c r="W551" s="406">
        <v>120000</v>
      </c>
      <c r="X551" s="406">
        <v>141134</v>
      </c>
      <c r="Y551" s="425"/>
      <c r="Z551" s="71"/>
      <c r="AA551" s="427">
        <v>17770</v>
      </c>
      <c r="AB551" s="427">
        <v>18328</v>
      </c>
      <c r="AC551" s="427">
        <v>15036</v>
      </c>
      <c r="AD551" s="428">
        <v>16438</v>
      </c>
      <c r="AE551" s="429">
        <v>18792</v>
      </c>
      <c r="AF551" s="429">
        <v>20125</v>
      </c>
      <c r="AG551" s="363">
        <v>10000</v>
      </c>
      <c r="AH551" s="363">
        <v>10000</v>
      </c>
      <c r="AI551" s="363">
        <v>10000</v>
      </c>
      <c r="AJ551" s="363">
        <v>10000</v>
      </c>
      <c r="AK551" s="363">
        <v>10000</v>
      </c>
      <c r="AL551" s="363">
        <v>10000</v>
      </c>
      <c r="AM551" s="560">
        <f t="shared" si="29"/>
        <v>166489</v>
      </c>
      <c r="AN551" s="455">
        <f>ERP_26[[#This Row],[2026 Working Total]]-ERP_26[[#This Row],[LE2 Final Submission]]</f>
        <v>25355</v>
      </c>
      <c r="AO551" s="79">
        <v>10000</v>
      </c>
      <c r="AP551" s="79">
        <f t="shared" si="30"/>
        <v>10125</v>
      </c>
      <c r="AQ551" s="374">
        <f>SUM(ERP_26[[#This Row],[AP01]:[AP06]])-SUM(ERP_26[[#This Row],[AP01 LE2]:[AP06 LE2]])</f>
        <v>25355</v>
      </c>
      <c r="AR551" s="80"/>
      <c r="AS551" s="79">
        <f>ERP_26[[#This Row],[2026 Working Total to Budget/LE]]-ERP_26[[#This Row],[Giveback]]</f>
        <v>25355</v>
      </c>
      <c r="AT551" s="81"/>
      <c r="AU551" s="375">
        <v>17770</v>
      </c>
      <c r="AV551" s="375">
        <v>18328</v>
      </c>
      <c r="AW551" s="375">
        <v>15036</v>
      </c>
      <c r="AX551" s="375">
        <v>10000</v>
      </c>
      <c r="AY551" s="375">
        <v>10000</v>
      </c>
      <c r="AZ551" s="375">
        <v>10000</v>
      </c>
      <c r="BA551" s="375">
        <v>10000</v>
      </c>
      <c r="BB551" s="375">
        <v>10000</v>
      </c>
      <c r="BC551" s="375">
        <v>10000</v>
      </c>
      <c r="BD551" s="375">
        <v>10000</v>
      </c>
      <c r="BE551" s="375">
        <v>10000</v>
      </c>
      <c r="BF551" s="375">
        <v>10000</v>
      </c>
      <c r="BG551" s="375">
        <v>141134</v>
      </c>
      <c r="BH551" s="79">
        <v>17770</v>
      </c>
      <c r="BI551" s="79">
        <v>18328</v>
      </c>
      <c r="BJ551" s="79">
        <v>15036</v>
      </c>
      <c r="BK551" s="79">
        <v>10000</v>
      </c>
      <c r="BL551" s="79">
        <v>10000</v>
      </c>
      <c r="BM551" s="79">
        <v>10000</v>
      </c>
      <c r="BN551" s="79">
        <v>10000</v>
      </c>
      <c r="BO551" s="79">
        <v>10000</v>
      </c>
      <c r="BP551" s="79">
        <v>10000</v>
      </c>
      <c r="BQ551" s="79">
        <v>10000</v>
      </c>
      <c r="BR551" s="79">
        <v>10000</v>
      </c>
      <c r="BS551" s="79">
        <v>10000</v>
      </c>
      <c r="BT551" s="79">
        <v>141134</v>
      </c>
    </row>
    <row r="552" spans="1:72" ht="15" customHeight="1">
      <c r="A552" s="66" t="s">
        <v>2260</v>
      </c>
      <c r="B552" s="264" t="s">
        <v>2950</v>
      </c>
      <c r="C552" s="66" t="s">
        <v>669</v>
      </c>
      <c r="D552" s="66" t="s">
        <v>669</v>
      </c>
      <c r="E552" s="150" t="s">
        <v>1136</v>
      </c>
      <c r="F552" s="482" t="s">
        <v>1566</v>
      </c>
      <c r="G552" s="150" t="s">
        <v>1135</v>
      </c>
      <c r="H552" s="150" t="s">
        <v>1135</v>
      </c>
      <c r="I552" s="150" t="s">
        <v>1135</v>
      </c>
      <c r="J552" s="150" t="s">
        <v>1135</v>
      </c>
      <c r="K552" s="150" t="s">
        <v>1137</v>
      </c>
      <c r="L552" s="511" t="s">
        <v>639</v>
      </c>
      <c r="M552" s="451" t="s">
        <v>1174</v>
      </c>
      <c r="N552" s="343"/>
      <c r="O552" s="343"/>
      <c r="P552" s="70" t="s">
        <v>56</v>
      </c>
      <c r="Q552" s="346"/>
      <c r="R552" s="346" t="s">
        <v>1140</v>
      </c>
      <c r="S552" s="346"/>
      <c r="T552" s="150" t="s">
        <v>57</v>
      </c>
      <c r="U552" s="150"/>
      <c r="V552" s="453"/>
      <c r="W552" s="406">
        <v>0</v>
      </c>
      <c r="X552" s="406">
        <v>4158.38</v>
      </c>
      <c r="Y552" s="425"/>
      <c r="Z552" s="71"/>
      <c r="AA552" s="427">
        <v>279.45999999999998</v>
      </c>
      <c r="AB552" s="427">
        <v>279.45999999999998</v>
      </c>
      <c r="AC552" s="427">
        <v>899.46</v>
      </c>
      <c r="AD552" s="428">
        <v>139.72999999999999</v>
      </c>
      <c r="AE552" s="429">
        <v>139.72999999999999</v>
      </c>
      <c r="AF552" s="429">
        <v>139.72999999999999</v>
      </c>
      <c r="AG552" s="360">
        <v>300</v>
      </c>
      <c r="AH552" s="360">
        <v>300</v>
      </c>
      <c r="AI552" s="360">
        <v>300</v>
      </c>
      <c r="AJ552" s="360">
        <v>300</v>
      </c>
      <c r="AK552" s="360">
        <v>300</v>
      </c>
      <c r="AL552" s="360">
        <v>300</v>
      </c>
      <c r="AM552" s="560">
        <f t="shared" si="29"/>
        <v>3677.57</v>
      </c>
      <c r="AN552" s="455">
        <f>ERP_26[[#This Row],[2026 Working Total]]-ERP_26[[#This Row],[LE2 Final Submission]]</f>
        <v>-480.80999999999995</v>
      </c>
      <c r="AO552" s="79">
        <v>300</v>
      </c>
      <c r="AP552" s="79">
        <f t="shared" si="30"/>
        <v>-160.27000000000001</v>
      </c>
      <c r="AQ552" s="374">
        <f>SUM(ERP_26[[#This Row],[AP01]:[AP06]])-SUM(ERP_26[[#This Row],[AP01 LE2]:[AP06 LE2]])</f>
        <v>-480.80999999999995</v>
      </c>
      <c r="AR552" s="80"/>
      <c r="AS552" s="79">
        <f>ERP_26[[#This Row],[2026 Working Total to Budget/LE]]-ERP_26[[#This Row],[Giveback]]</f>
        <v>-480.80999999999995</v>
      </c>
      <c r="AT552" s="81"/>
      <c r="AU552" s="375">
        <v>279.45999999999998</v>
      </c>
      <c r="AV552" s="375">
        <v>279.45999999999998</v>
      </c>
      <c r="AW552" s="375">
        <v>899.46</v>
      </c>
      <c r="AX552" s="375">
        <v>300</v>
      </c>
      <c r="AY552" s="375">
        <v>300</v>
      </c>
      <c r="AZ552" s="375">
        <v>300</v>
      </c>
      <c r="BA552" s="375">
        <v>300</v>
      </c>
      <c r="BB552" s="375">
        <v>300</v>
      </c>
      <c r="BC552" s="375">
        <v>300</v>
      </c>
      <c r="BD552" s="375">
        <v>300</v>
      </c>
      <c r="BE552" s="375">
        <v>300</v>
      </c>
      <c r="BF552" s="375">
        <v>300</v>
      </c>
      <c r="BG552" s="375">
        <v>4158.38</v>
      </c>
      <c r="BH552" s="79">
        <v>279.45999999999998</v>
      </c>
      <c r="BI552" s="79">
        <v>279.45999999999998</v>
      </c>
      <c r="BJ552" s="79">
        <v>899.46</v>
      </c>
      <c r="BK552" s="79">
        <v>0</v>
      </c>
      <c r="BL552" s="79">
        <v>0</v>
      </c>
      <c r="BM552" s="79">
        <v>0</v>
      </c>
      <c r="BN552" s="79">
        <v>0</v>
      </c>
      <c r="BO552" s="79">
        <v>0</v>
      </c>
      <c r="BP552" s="79">
        <v>0</v>
      </c>
      <c r="BQ552" s="79">
        <v>0</v>
      </c>
      <c r="BR552" s="79">
        <v>0</v>
      </c>
      <c r="BS552" s="79">
        <v>0</v>
      </c>
      <c r="BT552" s="79">
        <v>1458.38</v>
      </c>
    </row>
    <row r="553" spans="1:72" ht="15" customHeight="1">
      <c r="A553" s="66" t="s">
        <v>2263</v>
      </c>
      <c r="B553" s="264" t="s">
        <v>2951</v>
      </c>
      <c r="C553" s="66" t="s">
        <v>669</v>
      </c>
      <c r="D553" s="66" t="s">
        <v>2264</v>
      </c>
      <c r="E553" s="150" t="s">
        <v>1136</v>
      </c>
      <c r="F553" s="482" t="s">
        <v>1566</v>
      </c>
      <c r="G553" s="150" t="s">
        <v>1135</v>
      </c>
      <c r="H553" s="150" t="s">
        <v>1165</v>
      </c>
      <c r="I553" s="150" t="s">
        <v>1135</v>
      </c>
      <c r="J553" s="150" t="s">
        <v>1165</v>
      </c>
      <c r="K553" s="150" t="s">
        <v>1137</v>
      </c>
      <c r="L553" s="511" t="s">
        <v>639</v>
      </c>
      <c r="M553" s="451" t="s">
        <v>1174</v>
      </c>
      <c r="N553" s="343"/>
      <c r="O553" s="343"/>
      <c r="P553" s="70" t="s">
        <v>56</v>
      </c>
      <c r="Q553" s="346"/>
      <c r="R553" s="346" t="s">
        <v>1140</v>
      </c>
      <c r="S553" s="346"/>
      <c r="T553" s="150" t="s">
        <v>57</v>
      </c>
      <c r="U553" s="150"/>
      <c r="V553" s="453"/>
      <c r="W553" s="406">
        <v>8383.7999999999975</v>
      </c>
      <c r="X553" s="406">
        <v>8383.76</v>
      </c>
      <c r="Y553" s="425"/>
      <c r="Z553" s="71"/>
      <c r="AA553" s="427">
        <v>698.65</v>
      </c>
      <c r="AB553" s="427">
        <v>558.91999999999996</v>
      </c>
      <c r="AC553" s="427">
        <v>419.19</v>
      </c>
      <c r="AD553" s="428">
        <v>279.45999999999998</v>
      </c>
      <c r="AE553" s="429">
        <v>279.45999999999998</v>
      </c>
      <c r="AF553" s="429">
        <v>279.45999999999998</v>
      </c>
      <c r="AG553" s="363">
        <v>750</v>
      </c>
      <c r="AH553" s="363">
        <v>750</v>
      </c>
      <c r="AI553" s="363">
        <v>750</v>
      </c>
      <c r="AJ553" s="363">
        <v>750</v>
      </c>
      <c r="AK553" s="363">
        <v>750</v>
      </c>
      <c r="AL553" s="363">
        <v>750</v>
      </c>
      <c r="AM553" s="560">
        <f t="shared" si="29"/>
        <v>7015.1399999999994</v>
      </c>
      <c r="AN553" s="455">
        <f>ERP_26[[#This Row],[2026 Working Total]]-ERP_26[[#This Row],[LE2 Final Submission]]</f>
        <v>-1368.6200000000008</v>
      </c>
      <c r="AO553" s="79">
        <v>767</v>
      </c>
      <c r="AP553" s="79">
        <f t="shared" si="30"/>
        <v>-487.54</v>
      </c>
      <c r="AQ553" s="374">
        <f>SUM(ERP_26[[#This Row],[AP01]:[AP06]])-SUM(ERP_26[[#This Row],[AP01 LE2]:[AP06 LE2]])</f>
        <v>-1368.6200000000003</v>
      </c>
      <c r="AR553" s="80"/>
      <c r="AS553" s="79">
        <f>ERP_26[[#This Row],[2026 Working Total to Budget/LE]]-ERP_26[[#This Row],[Giveback]]</f>
        <v>-1368.6200000000008</v>
      </c>
      <c r="AT553" s="81"/>
      <c r="AU553" s="375">
        <v>698.65</v>
      </c>
      <c r="AV553" s="375">
        <v>558.91999999999996</v>
      </c>
      <c r="AW553" s="375">
        <v>419.19</v>
      </c>
      <c r="AX553" s="375">
        <v>690</v>
      </c>
      <c r="AY553" s="375">
        <v>767</v>
      </c>
      <c r="AZ553" s="375">
        <v>750</v>
      </c>
      <c r="BA553" s="375">
        <v>750</v>
      </c>
      <c r="BB553" s="375">
        <v>750</v>
      </c>
      <c r="BC553" s="375">
        <v>750</v>
      </c>
      <c r="BD553" s="375">
        <v>750</v>
      </c>
      <c r="BE553" s="375">
        <v>750</v>
      </c>
      <c r="BF553" s="375">
        <v>750</v>
      </c>
      <c r="BG553" s="375">
        <v>8383.76</v>
      </c>
      <c r="BH553" s="79">
        <v>698.65</v>
      </c>
      <c r="BI553" s="79">
        <v>558.91999999999996</v>
      </c>
      <c r="BJ553" s="79">
        <v>419.19</v>
      </c>
      <c r="BK553" s="79">
        <v>698.65</v>
      </c>
      <c r="BL553" s="79">
        <v>698.65</v>
      </c>
      <c r="BM553" s="79">
        <v>698.65</v>
      </c>
      <c r="BN553" s="79">
        <v>698.65</v>
      </c>
      <c r="BO553" s="79">
        <v>698.65</v>
      </c>
      <c r="BP553" s="79">
        <v>698.65</v>
      </c>
      <c r="BQ553" s="79">
        <v>698.65</v>
      </c>
      <c r="BR553" s="79">
        <v>698.65</v>
      </c>
      <c r="BS553" s="79">
        <v>698.65</v>
      </c>
      <c r="BT553" s="79">
        <v>7964.6099999999979</v>
      </c>
    </row>
    <row r="554" spans="1:72" ht="15" customHeight="1">
      <c r="A554" s="66" t="s">
        <v>2261</v>
      </c>
      <c r="B554" s="264" t="s">
        <v>2951</v>
      </c>
      <c r="C554" s="66" t="s">
        <v>669</v>
      </c>
      <c r="D554" s="66" t="s">
        <v>2262</v>
      </c>
      <c r="E554" s="150" t="s">
        <v>1136</v>
      </c>
      <c r="F554" s="482" t="s">
        <v>1566</v>
      </c>
      <c r="G554" s="150" t="s">
        <v>1135</v>
      </c>
      <c r="H554" s="334" t="s">
        <v>1145</v>
      </c>
      <c r="I554" s="334" t="s">
        <v>1135</v>
      </c>
      <c r="J554" s="334" t="s">
        <v>1145</v>
      </c>
      <c r="K554" s="334" t="s">
        <v>1137</v>
      </c>
      <c r="L554" s="511" t="s">
        <v>639</v>
      </c>
      <c r="M554" s="451" t="s">
        <v>1174</v>
      </c>
      <c r="N554" s="343"/>
      <c r="O554" s="343"/>
      <c r="P554" s="70" t="s">
        <v>56</v>
      </c>
      <c r="Q554" s="346"/>
      <c r="R554" s="346" t="s">
        <v>1140</v>
      </c>
      <c r="S554" s="346"/>
      <c r="T554" s="150" t="s">
        <v>57</v>
      </c>
      <c r="U554" s="150"/>
      <c r="V554" s="453"/>
      <c r="W554" s="406">
        <v>48000</v>
      </c>
      <c r="X554" s="406">
        <v>47938.130000000005</v>
      </c>
      <c r="Y554" s="425"/>
      <c r="Z554" s="71"/>
      <c r="AA554" s="427">
        <v>4052.17</v>
      </c>
      <c r="AB554" s="427">
        <v>3772.71</v>
      </c>
      <c r="AC554" s="427">
        <v>4113.25</v>
      </c>
      <c r="AD554" s="428">
        <v>3493.25</v>
      </c>
      <c r="AE554" s="429">
        <v>3493.25</v>
      </c>
      <c r="AF554" s="429">
        <v>3493.25</v>
      </c>
      <c r="AG554" s="363">
        <v>4000</v>
      </c>
      <c r="AH554" s="363">
        <v>4000</v>
      </c>
      <c r="AI554" s="363">
        <v>4000</v>
      </c>
      <c r="AJ554" s="363">
        <v>4000</v>
      </c>
      <c r="AK554" s="363">
        <v>4000</v>
      </c>
      <c r="AL554" s="363">
        <v>4000</v>
      </c>
      <c r="AM554" s="560">
        <f t="shared" si="29"/>
        <v>46417.880000000005</v>
      </c>
      <c r="AN554" s="455">
        <f>ERP_26[[#This Row],[2026 Working Total]]-ERP_26[[#This Row],[LE2 Final Submission]]</f>
        <v>-1520.25</v>
      </c>
      <c r="AO554" s="79">
        <v>4000</v>
      </c>
      <c r="AP554" s="79">
        <f t="shared" si="30"/>
        <v>-506.75</v>
      </c>
      <c r="AQ554" s="374">
        <f>SUM(ERP_26[[#This Row],[AP01]:[AP06]])-SUM(ERP_26[[#This Row],[AP01 LE2]:[AP06 LE2]])</f>
        <v>-1520.25</v>
      </c>
      <c r="AR554" s="80"/>
      <c r="AS554" s="79">
        <f>ERP_26[[#This Row],[2026 Working Total to Budget/LE]]-ERP_26[[#This Row],[Giveback]]</f>
        <v>-1520.25</v>
      </c>
      <c r="AT554" s="81"/>
      <c r="AU554" s="375">
        <v>4052.17</v>
      </c>
      <c r="AV554" s="375">
        <v>3772.71</v>
      </c>
      <c r="AW554" s="375">
        <v>4113.25</v>
      </c>
      <c r="AX554" s="375">
        <v>4000</v>
      </c>
      <c r="AY554" s="375">
        <v>4000</v>
      </c>
      <c r="AZ554" s="375">
        <v>4000</v>
      </c>
      <c r="BA554" s="375">
        <v>4000</v>
      </c>
      <c r="BB554" s="375">
        <v>4000</v>
      </c>
      <c r="BC554" s="375">
        <v>4000</v>
      </c>
      <c r="BD554" s="375">
        <v>4000</v>
      </c>
      <c r="BE554" s="375">
        <v>4000</v>
      </c>
      <c r="BF554" s="375">
        <v>4000</v>
      </c>
      <c r="BG554" s="375">
        <v>47938.130000000005</v>
      </c>
      <c r="BH554" s="79">
        <v>4052.17</v>
      </c>
      <c r="BI554" s="79">
        <v>3772.71</v>
      </c>
      <c r="BJ554" s="79">
        <v>4113.25</v>
      </c>
      <c r="BK554" s="79">
        <v>4000</v>
      </c>
      <c r="BL554" s="79">
        <v>4000</v>
      </c>
      <c r="BM554" s="79">
        <v>4000</v>
      </c>
      <c r="BN554" s="79">
        <v>4000</v>
      </c>
      <c r="BO554" s="79">
        <v>4000</v>
      </c>
      <c r="BP554" s="79">
        <v>4000</v>
      </c>
      <c r="BQ554" s="79">
        <v>4000</v>
      </c>
      <c r="BR554" s="79">
        <v>4000</v>
      </c>
      <c r="BS554" s="79">
        <v>4000</v>
      </c>
      <c r="BT554" s="79">
        <v>47938.130000000005</v>
      </c>
    </row>
    <row r="555" spans="1:72" ht="15" customHeight="1">
      <c r="A555" s="66" t="s">
        <v>2286</v>
      </c>
      <c r="B555" s="264" t="s">
        <v>2950</v>
      </c>
      <c r="C555" s="66" t="s">
        <v>675</v>
      </c>
      <c r="D555" s="66" t="s">
        <v>2287</v>
      </c>
      <c r="E555" s="150" t="s">
        <v>1136</v>
      </c>
      <c r="F555" s="482" t="s">
        <v>1566</v>
      </c>
      <c r="G555" s="150" t="s">
        <v>1135</v>
      </c>
      <c r="H555" s="150" t="s">
        <v>1135</v>
      </c>
      <c r="I555" s="150" t="s">
        <v>1135</v>
      </c>
      <c r="J555" s="150" t="s">
        <v>1137</v>
      </c>
      <c r="K555" s="150" t="s">
        <v>1137</v>
      </c>
      <c r="L555" s="511" t="s">
        <v>639</v>
      </c>
      <c r="M555" s="451" t="s">
        <v>2285</v>
      </c>
      <c r="N555" s="343"/>
      <c r="O555" s="343"/>
      <c r="P555" s="70" t="s">
        <v>676</v>
      </c>
      <c r="Q555" s="346"/>
      <c r="R555" s="346" t="s">
        <v>1140</v>
      </c>
      <c r="S555" s="346"/>
      <c r="T555" s="150" t="s">
        <v>677</v>
      </c>
      <c r="U555" s="1" t="s">
        <v>1141</v>
      </c>
      <c r="V555" s="453"/>
      <c r="W555" s="406">
        <v>10000</v>
      </c>
      <c r="X555" s="406">
        <v>12811.43</v>
      </c>
      <c r="Y555" s="425"/>
      <c r="Z555" s="71"/>
      <c r="AA555" s="427">
        <v>553.5</v>
      </c>
      <c r="AB555" s="427">
        <v>681</v>
      </c>
      <c r="AC555" s="427">
        <v>1576.93</v>
      </c>
      <c r="AD555" s="428">
        <v>227</v>
      </c>
      <c r="AE555" s="429">
        <v>496.48</v>
      </c>
      <c r="AF555" s="429">
        <v>0</v>
      </c>
      <c r="AG555" s="360">
        <v>0</v>
      </c>
      <c r="AH555" s="360">
        <v>0</v>
      </c>
      <c r="AI555" s="360">
        <v>0</v>
      </c>
      <c r="AJ555" s="360">
        <v>0</v>
      </c>
      <c r="AK555" s="360">
        <v>0</v>
      </c>
      <c r="AL555" s="363">
        <v>5000</v>
      </c>
      <c r="AM555" s="560">
        <f t="shared" si="29"/>
        <v>8534.91</v>
      </c>
      <c r="AN555" s="455">
        <f>ERP_26[[#This Row],[2026 Working Total]]-ERP_26[[#This Row],[LE2 Final Submission]]</f>
        <v>-4276.5200000000004</v>
      </c>
      <c r="AO555" s="79">
        <v>0</v>
      </c>
      <c r="AP555" s="79">
        <f t="shared" si="30"/>
        <v>0</v>
      </c>
      <c r="AQ555" s="374">
        <f>SUM(ERP_26[[#This Row],[AP01]:[AP06]])-SUM(ERP_26[[#This Row],[AP01 LE2]:[AP06 LE2]])</f>
        <v>-4276.5200000000004</v>
      </c>
      <c r="AR555" s="80"/>
      <c r="AS555" s="79">
        <f>ERP_26[[#This Row],[2026 Working Total to Budget/LE]]-ERP_26[[#This Row],[Giveback]]</f>
        <v>-4276.5200000000004</v>
      </c>
      <c r="AT555" s="81"/>
      <c r="AU555" s="375">
        <v>553.5</v>
      </c>
      <c r="AV555" s="375">
        <v>681</v>
      </c>
      <c r="AW555" s="375">
        <v>1576.93</v>
      </c>
      <c r="AX555" s="375">
        <v>0</v>
      </c>
      <c r="AY555" s="375">
        <v>0</v>
      </c>
      <c r="AZ555" s="375">
        <v>5000</v>
      </c>
      <c r="BA555" s="375">
        <v>0</v>
      </c>
      <c r="BB555" s="375">
        <v>0</v>
      </c>
      <c r="BC555" s="375">
        <v>0</v>
      </c>
      <c r="BD555" s="375">
        <v>0</v>
      </c>
      <c r="BE555" s="375">
        <v>0</v>
      </c>
      <c r="BF555" s="375">
        <v>5000</v>
      </c>
      <c r="BG555" s="375">
        <v>12811.43</v>
      </c>
      <c r="BH555" s="79">
        <v>553.5</v>
      </c>
      <c r="BI555" s="79">
        <v>681</v>
      </c>
      <c r="BJ555" s="79">
        <v>1576.93</v>
      </c>
      <c r="BK555" s="79">
        <v>0</v>
      </c>
      <c r="BL555" s="79">
        <v>0</v>
      </c>
      <c r="BM555" s="79">
        <v>5000</v>
      </c>
      <c r="BN555" s="79">
        <v>0</v>
      </c>
      <c r="BO555" s="79">
        <v>0</v>
      </c>
      <c r="BP555" s="79">
        <v>0</v>
      </c>
      <c r="BQ555" s="79">
        <v>0</v>
      </c>
      <c r="BR555" s="79">
        <v>0</v>
      </c>
      <c r="BS555" s="79">
        <v>5000</v>
      </c>
      <c r="BT555" s="79">
        <v>12811.43</v>
      </c>
    </row>
    <row r="556" spans="1:72" ht="15" customHeight="1">
      <c r="A556" s="66" t="s">
        <v>2284</v>
      </c>
      <c r="B556" s="264" t="s">
        <v>2951</v>
      </c>
      <c r="C556" s="66" t="s">
        <v>675</v>
      </c>
      <c r="D556" s="66" t="s">
        <v>675</v>
      </c>
      <c r="E556" s="150" t="s">
        <v>1136</v>
      </c>
      <c r="F556" s="482" t="s">
        <v>1566</v>
      </c>
      <c r="G556" s="150" t="s">
        <v>1135</v>
      </c>
      <c r="H556" s="150" t="s">
        <v>1135</v>
      </c>
      <c r="I556" s="150" t="s">
        <v>1135</v>
      </c>
      <c r="J556" s="150" t="s">
        <v>1135</v>
      </c>
      <c r="K556" s="150" t="s">
        <v>1137</v>
      </c>
      <c r="L556" s="511" t="s">
        <v>639</v>
      </c>
      <c r="M556" s="451" t="s">
        <v>2285</v>
      </c>
      <c r="N556" s="343"/>
      <c r="O556" s="343"/>
      <c r="P556" s="70" t="s">
        <v>676</v>
      </c>
      <c r="Q556" s="346"/>
      <c r="R556" s="346" t="s">
        <v>1140</v>
      </c>
      <c r="S556" s="346"/>
      <c r="T556" s="150" t="s">
        <v>677</v>
      </c>
      <c r="U556" s="150"/>
      <c r="V556" s="453"/>
      <c r="W556" s="406">
        <v>6000</v>
      </c>
      <c r="X556" s="406">
        <v>10540</v>
      </c>
      <c r="Y556" s="425"/>
      <c r="Z556" s="71"/>
      <c r="AA556" s="427"/>
      <c r="AB556" s="427">
        <v>4313</v>
      </c>
      <c r="AC556" s="427">
        <v>227</v>
      </c>
      <c r="AD556" s="428">
        <v>0</v>
      </c>
      <c r="AE556" s="429">
        <v>1362</v>
      </c>
      <c r="AF556" s="429">
        <v>0</v>
      </c>
      <c r="AG556" s="360">
        <v>0</v>
      </c>
      <c r="AH556" s="363">
        <v>6000</v>
      </c>
      <c r="AI556" s="360">
        <v>0</v>
      </c>
      <c r="AJ556" s="360">
        <v>0</v>
      </c>
      <c r="AK556" s="360">
        <v>0</v>
      </c>
      <c r="AL556" s="360">
        <v>0</v>
      </c>
      <c r="AM556" s="560">
        <f t="shared" si="29"/>
        <v>11902</v>
      </c>
      <c r="AN556" s="455">
        <f>ERP_26[[#This Row],[2026 Working Total]]-ERP_26[[#This Row],[LE2 Final Submission]]</f>
        <v>1362</v>
      </c>
      <c r="AO556" s="79">
        <v>0</v>
      </c>
      <c r="AP556" s="79">
        <f t="shared" si="30"/>
        <v>0</v>
      </c>
      <c r="AQ556" s="374">
        <f>SUM(ERP_26[[#This Row],[AP01]:[AP06]])-SUM(ERP_26[[#This Row],[AP01 LE2]:[AP06 LE2]])</f>
        <v>1362</v>
      </c>
      <c r="AR556" s="80"/>
      <c r="AS556" s="79">
        <f>ERP_26[[#This Row],[2026 Working Total to Budget/LE]]-ERP_26[[#This Row],[Giveback]]</f>
        <v>1362</v>
      </c>
      <c r="AT556" s="81"/>
      <c r="AU556" s="375"/>
      <c r="AV556" s="375">
        <v>4313</v>
      </c>
      <c r="AW556" s="375">
        <v>227</v>
      </c>
      <c r="AX556" s="375">
        <v>0</v>
      </c>
      <c r="AY556" s="375">
        <v>0</v>
      </c>
      <c r="AZ556" s="375">
        <v>0</v>
      </c>
      <c r="BA556" s="375">
        <v>0</v>
      </c>
      <c r="BB556" s="375">
        <v>6000</v>
      </c>
      <c r="BC556" s="375">
        <v>0</v>
      </c>
      <c r="BD556" s="375">
        <v>0</v>
      </c>
      <c r="BE556" s="375">
        <v>0</v>
      </c>
      <c r="BF556" s="375">
        <v>0</v>
      </c>
      <c r="BG556" s="375">
        <v>10540</v>
      </c>
      <c r="BH556" s="79"/>
      <c r="BI556" s="79">
        <v>4313</v>
      </c>
      <c r="BJ556" s="79">
        <v>227</v>
      </c>
      <c r="BK556" s="79">
        <v>0</v>
      </c>
      <c r="BL556" s="79">
        <v>0</v>
      </c>
      <c r="BM556" s="79">
        <v>0</v>
      </c>
      <c r="BN556" s="79">
        <v>0</v>
      </c>
      <c r="BO556" s="79">
        <v>6000</v>
      </c>
      <c r="BP556" s="79">
        <v>0</v>
      </c>
      <c r="BQ556" s="79">
        <v>0</v>
      </c>
      <c r="BR556" s="79">
        <v>0</v>
      </c>
      <c r="BS556" s="79">
        <v>0</v>
      </c>
      <c r="BT556" s="79">
        <v>10540</v>
      </c>
    </row>
    <row r="557" spans="1:72" ht="15" customHeight="1">
      <c r="A557" s="66" t="s">
        <v>2292</v>
      </c>
      <c r="B557" s="264" t="s">
        <v>2951</v>
      </c>
      <c r="C557" s="66" t="s">
        <v>678</v>
      </c>
      <c r="D557" s="66" t="s">
        <v>2293</v>
      </c>
      <c r="E557" s="150" t="s">
        <v>1136</v>
      </c>
      <c r="F557" s="482" t="s">
        <v>1566</v>
      </c>
      <c r="G557" s="150" t="s">
        <v>1135</v>
      </c>
      <c r="H557" s="150" t="s">
        <v>1135</v>
      </c>
      <c r="I557" s="150" t="s">
        <v>1135</v>
      </c>
      <c r="J557" s="150" t="s">
        <v>1137</v>
      </c>
      <c r="K557" s="150" t="s">
        <v>1137</v>
      </c>
      <c r="L557" s="511" t="s">
        <v>639</v>
      </c>
      <c r="M557" s="451" t="s">
        <v>2291</v>
      </c>
      <c r="N557" s="343"/>
      <c r="O557" s="343"/>
      <c r="P557" s="70" t="s">
        <v>679</v>
      </c>
      <c r="Q557" s="346" t="s">
        <v>1153</v>
      </c>
      <c r="R557" s="346" t="s">
        <v>1140</v>
      </c>
      <c r="S557" s="346"/>
      <c r="T557" s="150" t="s">
        <v>680</v>
      </c>
      <c r="U557" s="1" t="s">
        <v>1141</v>
      </c>
      <c r="V557" s="453"/>
      <c r="W557" s="406">
        <v>12000</v>
      </c>
      <c r="X557" s="406">
        <v>13503.74</v>
      </c>
      <c r="Y557" s="425"/>
      <c r="Z557" s="71"/>
      <c r="AA557" s="427">
        <v>3614.02</v>
      </c>
      <c r="AB557" s="431">
        <v>0</v>
      </c>
      <c r="AC557" s="427">
        <v>889.72</v>
      </c>
      <c r="AD557" s="428">
        <v>917.6</v>
      </c>
      <c r="AE557" s="429">
        <v>3154.91</v>
      </c>
      <c r="AF557" s="429">
        <v>4127.83</v>
      </c>
      <c r="AG557" s="363">
        <v>1000</v>
      </c>
      <c r="AH557" s="363">
        <v>1000</v>
      </c>
      <c r="AI557" s="363">
        <v>1000</v>
      </c>
      <c r="AJ557" s="363">
        <v>1000</v>
      </c>
      <c r="AK557" s="363">
        <v>1000</v>
      </c>
      <c r="AL557" s="363">
        <v>1000</v>
      </c>
      <c r="AM557" s="560">
        <f t="shared" si="29"/>
        <v>18704.080000000002</v>
      </c>
      <c r="AN557" s="455">
        <f>ERP_26[[#This Row],[2026 Working Total]]-ERP_26[[#This Row],[LE2 Final Submission]]</f>
        <v>5200.340000000002</v>
      </c>
      <c r="AO557" s="79">
        <v>1000</v>
      </c>
      <c r="AP557" s="79">
        <f t="shared" si="30"/>
        <v>3127.83</v>
      </c>
      <c r="AQ557" s="374">
        <f>SUM(ERP_26[[#This Row],[AP01]:[AP06]])-SUM(ERP_26[[#This Row],[AP01 LE2]:[AP06 LE2]])</f>
        <v>5200.34</v>
      </c>
      <c r="AR557" s="80"/>
      <c r="AS557" s="79">
        <f>ERP_26[[#This Row],[2026 Working Total to Budget/LE]]-ERP_26[[#This Row],[Giveback]]</f>
        <v>5200.340000000002</v>
      </c>
      <c r="AT557" s="81"/>
      <c r="AU557" s="375">
        <v>3614.02</v>
      </c>
      <c r="AV557" s="375">
        <v>0</v>
      </c>
      <c r="AW557" s="375">
        <v>889.72</v>
      </c>
      <c r="AX557" s="375">
        <v>1000</v>
      </c>
      <c r="AY557" s="375">
        <v>1000</v>
      </c>
      <c r="AZ557" s="375">
        <v>1000</v>
      </c>
      <c r="BA557" s="375">
        <v>1000</v>
      </c>
      <c r="BB557" s="375">
        <v>1000</v>
      </c>
      <c r="BC557" s="375">
        <v>1000</v>
      </c>
      <c r="BD557" s="375">
        <v>1000</v>
      </c>
      <c r="BE557" s="375">
        <v>1000</v>
      </c>
      <c r="BF557" s="375">
        <v>1000</v>
      </c>
      <c r="BG557" s="375">
        <v>13503.74</v>
      </c>
      <c r="BH557" s="79">
        <v>3614.02</v>
      </c>
      <c r="BI557" s="79">
        <v>0</v>
      </c>
      <c r="BJ557" s="79">
        <v>889.72</v>
      </c>
      <c r="BK557" s="79">
        <v>1000</v>
      </c>
      <c r="BL557" s="79">
        <v>1000</v>
      </c>
      <c r="BM557" s="79">
        <v>1000</v>
      </c>
      <c r="BN557" s="79">
        <v>1000</v>
      </c>
      <c r="BO557" s="79">
        <v>1000</v>
      </c>
      <c r="BP557" s="79">
        <v>1000</v>
      </c>
      <c r="BQ557" s="79">
        <v>1000</v>
      </c>
      <c r="BR557" s="79">
        <v>1000</v>
      </c>
      <c r="BS557" s="79">
        <v>1000</v>
      </c>
      <c r="BT557" s="79">
        <v>13503.74</v>
      </c>
    </row>
    <row r="558" spans="1:72" ht="15" customHeight="1">
      <c r="A558" s="66" t="s">
        <v>2290</v>
      </c>
      <c r="B558" s="264" t="s">
        <v>2950</v>
      </c>
      <c r="C558" s="66" t="s">
        <v>678</v>
      </c>
      <c r="D558" s="66" t="s">
        <v>678</v>
      </c>
      <c r="E558" s="150" t="s">
        <v>1136</v>
      </c>
      <c r="F558" s="482" t="s">
        <v>1566</v>
      </c>
      <c r="G558" s="150" t="s">
        <v>1135</v>
      </c>
      <c r="H558" s="150" t="s">
        <v>1135</v>
      </c>
      <c r="I558" s="150" t="s">
        <v>1135</v>
      </c>
      <c r="J558" s="150" t="s">
        <v>1135</v>
      </c>
      <c r="K558" s="150" t="s">
        <v>1137</v>
      </c>
      <c r="L558" s="511" t="s">
        <v>639</v>
      </c>
      <c r="M558" s="451" t="s">
        <v>2291</v>
      </c>
      <c r="N558" s="343"/>
      <c r="O558" s="343"/>
      <c r="P558" s="70" t="s">
        <v>679</v>
      </c>
      <c r="Q558" s="346" t="s">
        <v>1153</v>
      </c>
      <c r="R558" s="346" t="s">
        <v>1140</v>
      </c>
      <c r="S558" s="346"/>
      <c r="T558" s="150" t="s">
        <v>680</v>
      </c>
      <c r="U558" s="150"/>
      <c r="V558" s="453"/>
      <c r="W558" s="406">
        <v>180000</v>
      </c>
      <c r="X558" s="406">
        <v>164308</v>
      </c>
      <c r="Y558" s="425"/>
      <c r="Z558" s="71"/>
      <c r="AA558" s="427">
        <v>8189</v>
      </c>
      <c r="AB558" s="427">
        <v>13361</v>
      </c>
      <c r="AC558" s="427">
        <v>7758</v>
      </c>
      <c r="AD558" s="428">
        <v>16378</v>
      </c>
      <c r="AE558" s="429">
        <v>11637</v>
      </c>
      <c r="AF558" s="429">
        <v>10775</v>
      </c>
      <c r="AG558" s="363">
        <v>15500</v>
      </c>
      <c r="AH558" s="363">
        <v>15500</v>
      </c>
      <c r="AI558" s="363">
        <v>15500</v>
      </c>
      <c r="AJ558" s="363">
        <v>15485</v>
      </c>
      <c r="AK558" s="363">
        <v>15000</v>
      </c>
      <c r="AL558" s="363">
        <v>15000</v>
      </c>
      <c r="AM558" s="560">
        <f t="shared" si="29"/>
        <v>160083</v>
      </c>
      <c r="AN558" s="455">
        <f>ERP_26[[#This Row],[2026 Working Total]]-ERP_26[[#This Row],[LE2 Final Submission]]</f>
        <v>-4225</v>
      </c>
      <c r="AO558" s="79">
        <v>15000</v>
      </c>
      <c r="AP558" s="79">
        <f t="shared" si="30"/>
        <v>-4225</v>
      </c>
      <c r="AQ558" s="374">
        <f>SUM(ERP_26[[#This Row],[AP01]:[AP06]])-SUM(ERP_26[[#This Row],[AP01 LE2]:[AP06 LE2]])</f>
        <v>-6210</v>
      </c>
      <c r="AR558" s="80"/>
      <c r="AS558" s="79">
        <f>ERP_26[[#This Row],[2026 Working Total to Budget/LE]]-ERP_26[[#This Row],[Giveback]]</f>
        <v>-4225</v>
      </c>
      <c r="AT558" s="81"/>
      <c r="AU558" s="375">
        <v>8189</v>
      </c>
      <c r="AV558" s="375">
        <v>13361</v>
      </c>
      <c r="AW558" s="375">
        <v>7758</v>
      </c>
      <c r="AX558" s="375">
        <v>15000</v>
      </c>
      <c r="AY558" s="375">
        <v>15000</v>
      </c>
      <c r="AZ558" s="375">
        <v>15000</v>
      </c>
      <c r="BA558" s="375">
        <v>15000</v>
      </c>
      <c r="BB558" s="375">
        <v>15000</v>
      </c>
      <c r="BC558" s="375">
        <v>15000</v>
      </c>
      <c r="BD558" s="375">
        <v>15000</v>
      </c>
      <c r="BE558" s="375">
        <v>15000</v>
      </c>
      <c r="BF558" s="375">
        <v>15000</v>
      </c>
      <c r="BG558" s="375">
        <v>164308</v>
      </c>
      <c r="BH558" s="79">
        <v>8189</v>
      </c>
      <c r="BI558" s="79">
        <v>13361</v>
      </c>
      <c r="BJ558" s="79">
        <v>7758</v>
      </c>
      <c r="BK558" s="79">
        <v>15000</v>
      </c>
      <c r="BL558" s="79">
        <v>15000</v>
      </c>
      <c r="BM558" s="79">
        <v>15000</v>
      </c>
      <c r="BN558" s="79">
        <v>15000</v>
      </c>
      <c r="BO558" s="79">
        <v>15000</v>
      </c>
      <c r="BP558" s="79">
        <v>15000</v>
      </c>
      <c r="BQ558" s="79">
        <v>15000</v>
      </c>
      <c r="BR558" s="79">
        <v>15000</v>
      </c>
      <c r="BS558" s="79">
        <v>15000</v>
      </c>
      <c r="BT558" s="79">
        <v>164308</v>
      </c>
    </row>
    <row r="559" spans="1:72" ht="15" customHeight="1">
      <c r="A559" s="66" t="s">
        <v>2478</v>
      </c>
      <c r="B559" s="264" t="s">
        <v>2950</v>
      </c>
      <c r="C559" s="66" t="s">
        <v>816</v>
      </c>
      <c r="D559" s="66" t="s">
        <v>2479</v>
      </c>
      <c r="E559" s="150" t="s">
        <v>1136</v>
      </c>
      <c r="F559" s="482" t="s">
        <v>1566</v>
      </c>
      <c r="G559" s="150" t="s">
        <v>1135</v>
      </c>
      <c r="H559" s="150" t="s">
        <v>1161</v>
      </c>
      <c r="I559" s="150" t="s">
        <v>1135</v>
      </c>
      <c r="J559" s="150" t="s">
        <v>1161</v>
      </c>
      <c r="K559" s="150" t="s">
        <v>1137</v>
      </c>
      <c r="L559" s="511" t="s">
        <v>639</v>
      </c>
      <c r="M559" s="451" t="s">
        <v>818</v>
      </c>
      <c r="N559" s="343"/>
      <c r="O559" s="343"/>
      <c r="P559" s="70" t="s">
        <v>817</v>
      </c>
      <c r="Q559" s="346"/>
      <c r="R559" s="346" t="s">
        <v>1140</v>
      </c>
      <c r="S559" s="346"/>
      <c r="T559" s="150" t="s">
        <v>818</v>
      </c>
      <c r="U559" s="150"/>
      <c r="V559" s="475"/>
      <c r="W559" s="406">
        <v>800</v>
      </c>
      <c r="X559" s="406">
        <v>4147.87</v>
      </c>
      <c r="Y559" s="425"/>
      <c r="Z559" s="71"/>
      <c r="AA559" s="427"/>
      <c r="AB559" s="427"/>
      <c r="AC559" s="427">
        <v>3547.87</v>
      </c>
      <c r="AD559" s="428">
        <v>0</v>
      </c>
      <c r="AE559" s="429">
        <v>0</v>
      </c>
      <c r="AF559" s="429">
        <v>3172.87</v>
      </c>
      <c r="AG559" s="360">
        <v>0</v>
      </c>
      <c r="AH559" s="360">
        <v>0</v>
      </c>
      <c r="AI559" s="363">
        <v>200</v>
      </c>
      <c r="AJ559" s="360">
        <v>0</v>
      </c>
      <c r="AK559" s="363">
        <v>200</v>
      </c>
      <c r="AL559" s="360">
        <v>0</v>
      </c>
      <c r="AM559" s="560">
        <f t="shared" si="29"/>
        <v>7120.74</v>
      </c>
      <c r="AN559" s="455">
        <f>ERP_26[[#This Row],[2026 Working Total]]-ERP_26[[#This Row],[LE2 Final Submission]]</f>
        <v>2972.87</v>
      </c>
      <c r="AO559" s="79">
        <v>0</v>
      </c>
      <c r="AP559" s="79">
        <f t="shared" si="30"/>
        <v>3172.87</v>
      </c>
      <c r="AQ559" s="374">
        <f>SUM(ERP_26[[#This Row],[AP01]:[AP06]])-SUM(ERP_26[[#This Row],[AP01 LE2]:[AP06 LE2]])</f>
        <v>2972.87</v>
      </c>
      <c r="AR559" s="80"/>
      <c r="AS559" s="79">
        <f>ERP_26[[#This Row],[2026 Working Total to Budget/LE]]-ERP_26[[#This Row],[Giveback]]</f>
        <v>2972.87</v>
      </c>
      <c r="AT559" s="81"/>
      <c r="AU559" s="375"/>
      <c r="AV559" s="375"/>
      <c r="AW559" s="375">
        <v>3547.87</v>
      </c>
      <c r="AX559" s="375">
        <v>0</v>
      </c>
      <c r="AY559" s="375">
        <v>0</v>
      </c>
      <c r="AZ559" s="375">
        <v>200</v>
      </c>
      <c r="BA559" s="375">
        <v>0</v>
      </c>
      <c r="BB559" s="375">
        <v>0</v>
      </c>
      <c r="BC559" s="375">
        <v>200</v>
      </c>
      <c r="BD559" s="375">
        <v>0</v>
      </c>
      <c r="BE559" s="375">
        <v>200</v>
      </c>
      <c r="BF559" s="375">
        <v>0</v>
      </c>
      <c r="BG559" s="375">
        <v>4147.87</v>
      </c>
      <c r="BH559" s="79"/>
      <c r="BI559" s="79"/>
      <c r="BJ559" s="79">
        <v>3547.87</v>
      </c>
      <c r="BK559" s="79">
        <v>0</v>
      </c>
      <c r="BL559" s="79">
        <v>0</v>
      </c>
      <c r="BM559" s="79">
        <v>200</v>
      </c>
      <c r="BN559" s="79">
        <v>0</v>
      </c>
      <c r="BO559" s="79">
        <v>0</v>
      </c>
      <c r="BP559" s="79">
        <v>200</v>
      </c>
      <c r="BQ559" s="79">
        <v>0</v>
      </c>
      <c r="BR559" s="79">
        <v>200</v>
      </c>
      <c r="BS559" s="79">
        <v>0</v>
      </c>
      <c r="BT559" s="79">
        <v>4147.87</v>
      </c>
    </row>
    <row r="560" spans="1:72" ht="15" customHeight="1">
      <c r="A560" s="66" t="s">
        <v>2475</v>
      </c>
      <c r="B560" s="264" t="s">
        <v>2951</v>
      </c>
      <c r="C560" s="66" t="s">
        <v>816</v>
      </c>
      <c r="D560" s="66" t="s">
        <v>2476</v>
      </c>
      <c r="E560" s="150" t="s">
        <v>1136</v>
      </c>
      <c r="F560" s="482" t="s">
        <v>1566</v>
      </c>
      <c r="G560" s="150" t="s">
        <v>1135</v>
      </c>
      <c r="H560" s="150" t="s">
        <v>1156</v>
      </c>
      <c r="I560" s="150" t="s">
        <v>1135</v>
      </c>
      <c r="J560" s="150" t="s">
        <v>1156</v>
      </c>
      <c r="K560" s="150" t="s">
        <v>1137</v>
      </c>
      <c r="L560" s="511" t="s">
        <v>639</v>
      </c>
      <c r="M560" s="451" t="s">
        <v>818</v>
      </c>
      <c r="N560" s="343"/>
      <c r="O560" s="343"/>
      <c r="P560" s="70" t="s">
        <v>817</v>
      </c>
      <c r="Q560" s="346"/>
      <c r="R560" s="346" t="s">
        <v>1140</v>
      </c>
      <c r="S560" s="346"/>
      <c r="T560" s="150" t="s">
        <v>818</v>
      </c>
      <c r="U560" s="150" t="s">
        <v>2477</v>
      </c>
      <c r="V560" s="453"/>
      <c r="W560" s="406">
        <v>2800</v>
      </c>
      <c r="X560" s="406">
        <v>11294.74</v>
      </c>
      <c r="Y560" s="425"/>
      <c r="Z560" s="71"/>
      <c r="AA560" s="427"/>
      <c r="AB560" s="427"/>
      <c r="AC560" s="427">
        <v>3116.74</v>
      </c>
      <c r="AD560" s="428">
        <v>0</v>
      </c>
      <c r="AE560" s="429">
        <v>0</v>
      </c>
      <c r="AF560" s="429">
        <v>2380</v>
      </c>
      <c r="AG560" s="360">
        <v>0</v>
      </c>
      <c r="AH560" s="360">
        <v>0</v>
      </c>
      <c r="AI560" s="363">
        <v>2726</v>
      </c>
      <c r="AJ560" s="360">
        <v>0</v>
      </c>
      <c r="AK560" s="363">
        <v>2726</v>
      </c>
      <c r="AL560" s="360">
        <v>0</v>
      </c>
      <c r="AM560" s="560">
        <f t="shared" si="29"/>
        <v>10948.74</v>
      </c>
      <c r="AN560" s="455">
        <f>ERP_26[[#This Row],[2026 Working Total]]-ERP_26[[#This Row],[LE2 Final Submission]]</f>
        <v>-346</v>
      </c>
      <c r="AO560" s="79">
        <v>0</v>
      </c>
      <c r="AP560" s="79">
        <f t="shared" si="30"/>
        <v>2380</v>
      </c>
      <c r="AQ560" s="374">
        <f>SUM(ERP_26[[#This Row],[AP01]:[AP06]])-SUM(ERP_26[[#This Row],[AP01 LE2]:[AP06 LE2]])</f>
        <v>-346</v>
      </c>
      <c r="AR560" s="80"/>
      <c r="AS560" s="79">
        <f>ERP_26[[#This Row],[2026 Working Total to Budget/LE]]-ERP_26[[#This Row],[Giveback]]</f>
        <v>-346</v>
      </c>
      <c r="AT560" s="81"/>
      <c r="AU560" s="375"/>
      <c r="AV560" s="375"/>
      <c r="AW560" s="375">
        <v>3116.74</v>
      </c>
      <c r="AX560" s="375">
        <v>0</v>
      </c>
      <c r="AY560" s="375">
        <v>0</v>
      </c>
      <c r="AZ560" s="375">
        <v>2726</v>
      </c>
      <c r="BA560" s="375">
        <v>0</v>
      </c>
      <c r="BB560" s="375">
        <v>0</v>
      </c>
      <c r="BC560" s="375">
        <v>2726</v>
      </c>
      <c r="BD560" s="375">
        <v>0</v>
      </c>
      <c r="BE560" s="375">
        <v>2726</v>
      </c>
      <c r="BF560" s="375">
        <v>0</v>
      </c>
      <c r="BG560" s="375">
        <v>11294.74</v>
      </c>
      <c r="BH560" s="79"/>
      <c r="BI560" s="79"/>
      <c r="BJ560" s="79">
        <v>3116.74</v>
      </c>
      <c r="BK560" s="79">
        <v>0</v>
      </c>
      <c r="BL560" s="79">
        <v>0</v>
      </c>
      <c r="BM560" s="79">
        <v>700</v>
      </c>
      <c r="BN560" s="79">
        <v>0</v>
      </c>
      <c r="BO560" s="79">
        <v>0</v>
      </c>
      <c r="BP560" s="79">
        <v>700</v>
      </c>
      <c r="BQ560" s="79">
        <v>0</v>
      </c>
      <c r="BR560" s="79">
        <v>700</v>
      </c>
      <c r="BS560" s="79">
        <v>0</v>
      </c>
      <c r="BT560" s="79">
        <v>5216.74</v>
      </c>
    </row>
    <row r="561" spans="1:72" s="15" customFormat="1" ht="15" customHeight="1">
      <c r="A561" s="66" t="s">
        <v>2471</v>
      </c>
      <c r="B561" s="264" t="s">
        <v>2951</v>
      </c>
      <c r="C561" s="66" t="s">
        <v>816</v>
      </c>
      <c r="D561" s="66" t="s">
        <v>2472</v>
      </c>
      <c r="E561" s="150" t="s">
        <v>1136</v>
      </c>
      <c r="F561" s="482" t="s">
        <v>1566</v>
      </c>
      <c r="G561" s="150" t="s">
        <v>1135</v>
      </c>
      <c r="H561" s="150" t="s">
        <v>1135</v>
      </c>
      <c r="I561" s="150" t="s">
        <v>1135</v>
      </c>
      <c r="J561" s="150" t="s">
        <v>1137</v>
      </c>
      <c r="K561" s="150" t="s">
        <v>1137</v>
      </c>
      <c r="L561" s="511" t="s">
        <v>639</v>
      </c>
      <c r="M561" s="451" t="s">
        <v>818</v>
      </c>
      <c r="N561" s="343"/>
      <c r="O561" s="343"/>
      <c r="P561" s="70" t="s">
        <v>817</v>
      </c>
      <c r="Q561" s="346"/>
      <c r="R561" s="346" t="s">
        <v>1140</v>
      </c>
      <c r="S561" s="346"/>
      <c r="T561" s="150" t="s">
        <v>818</v>
      </c>
      <c r="U561" s="1" t="s">
        <v>1141</v>
      </c>
      <c r="V561" s="453"/>
      <c r="W561" s="406">
        <v>50000</v>
      </c>
      <c r="X561" s="406">
        <v>38665</v>
      </c>
      <c r="Y561" s="425"/>
      <c r="Z561" s="71"/>
      <c r="AA561" s="427"/>
      <c r="AB561" s="427"/>
      <c r="AC561" s="427">
        <v>1165</v>
      </c>
      <c r="AD561" s="428">
        <v>0</v>
      </c>
      <c r="AE561" s="429">
        <v>0</v>
      </c>
      <c r="AF561" s="429">
        <v>1720.74</v>
      </c>
      <c r="AG561" s="360">
        <v>0</v>
      </c>
      <c r="AH561" s="360">
        <v>0</v>
      </c>
      <c r="AI561" s="363">
        <v>12500</v>
      </c>
      <c r="AJ561" s="360">
        <v>0</v>
      </c>
      <c r="AK561" s="363">
        <v>12500</v>
      </c>
      <c r="AL561" s="360">
        <v>0</v>
      </c>
      <c r="AM561" s="560">
        <f t="shared" si="29"/>
        <v>27885.739999999998</v>
      </c>
      <c r="AN561" s="455">
        <f>ERP_26[[#This Row],[2026 Working Total]]-ERP_26[[#This Row],[LE2 Final Submission]]</f>
        <v>-10779.260000000002</v>
      </c>
      <c r="AO561" s="79">
        <v>0</v>
      </c>
      <c r="AP561" s="79">
        <f t="shared" si="30"/>
        <v>1720.74</v>
      </c>
      <c r="AQ561" s="374">
        <f>SUM(ERP_26[[#This Row],[AP01]:[AP06]])-SUM(ERP_26[[#This Row],[AP01 LE2]:[AP06 LE2]])</f>
        <v>-10779.26</v>
      </c>
      <c r="AR561" s="80"/>
      <c r="AS561" s="79">
        <f>ERP_26[[#This Row],[2026 Working Total to Budget/LE]]-ERP_26[[#This Row],[Giveback]]</f>
        <v>-10779.260000000002</v>
      </c>
      <c r="AT561" s="81"/>
      <c r="AU561" s="375"/>
      <c r="AV561" s="375"/>
      <c r="AW561" s="375">
        <v>1165</v>
      </c>
      <c r="AX561" s="375">
        <v>0</v>
      </c>
      <c r="AY561" s="375">
        <v>0</v>
      </c>
      <c r="AZ561" s="375">
        <v>12500</v>
      </c>
      <c r="BA561" s="375">
        <v>0</v>
      </c>
      <c r="BB561" s="375">
        <v>0</v>
      </c>
      <c r="BC561" s="375">
        <v>12500</v>
      </c>
      <c r="BD561" s="375">
        <v>0</v>
      </c>
      <c r="BE561" s="375">
        <v>12500</v>
      </c>
      <c r="BF561" s="375">
        <v>0</v>
      </c>
      <c r="BG561" s="375">
        <v>38665</v>
      </c>
      <c r="BH561" s="79"/>
      <c r="BI561" s="79"/>
      <c r="BJ561" s="79">
        <v>1165</v>
      </c>
      <c r="BK561" s="79">
        <v>0</v>
      </c>
      <c r="BL561" s="79">
        <v>0</v>
      </c>
      <c r="BM561" s="79">
        <v>12500</v>
      </c>
      <c r="BN561" s="79">
        <v>0</v>
      </c>
      <c r="BO561" s="79">
        <v>0</v>
      </c>
      <c r="BP561" s="79">
        <v>12500</v>
      </c>
      <c r="BQ561" s="79">
        <v>0</v>
      </c>
      <c r="BR561" s="79">
        <v>12500</v>
      </c>
      <c r="BS561" s="79">
        <v>0</v>
      </c>
      <c r="BT561" s="79">
        <v>38665</v>
      </c>
    </row>
    <row r="562" spans="1:72" ht="15" customHeight="1">
      <c r="A562" s="66" t="s">
        <v>2480</v>
      </c>
      <c r="B562" s="264" t="s">
        <v>2951</v>
      </c>
      <c r="C562" s="66" t="s">
        <v>816</v>
      </c>
      <c r="D562" s="66" t="s">
        <v>2481</v>
      </c>
      <c r="E562" s="150" t="s">
        <v>1136</v>
      </c>
      <c r="F562" s="482" t="s">
        <v>1566</v>
      </c>
      <c r="G562" s="150" t="s">
        <v>1135</v>
      </c>
      <c r="H562" s="150" t="s">
        <v>1165</v>
      </c>
      <c r="I562" s="150" t="s">
        <v>1135</v>
      </c>
      <c r="J562" s="150" t="s">
        <v>1165</v>
      </c>
      <c r="K562" s="150" t="s">
        <v>1137</v>
      </c>
      <c r="L562" s="511" t="s">
        <v>639</v>
      </c>
      <c r="M562" s="451" t="s">
        <v>818</v>
      </c>
      <c r="N562" s="343"/>
      <c r="O562" s="343"/>
      <c r="P562" s="70" t="s">
        <v>817</v>
      </c>
      <c r="Q562" s="346"/>
      <c r="R562" s="346" t="s">
        <v>1140</v>
      </c>
      <c r="S562" s="346"/>
      <c r="T562" s="150" t="s">
        <v>818</v>
      </c>
      <c r="U562" s="150"/>
      <c r="V562" s="453"/>
      <c r="W562" s="406">
        <v>12119.24</v>
      </c>
      <c r="X562" s="406">
        <v>21230.870000000003</v>
      </c>
      <c r="Y562" s="425"/>
      <c r="Z562" s="71"/>
      <c r="AA562" s="427"/>
      <c r="AB562" s="427"/>
      <c r="AC562" s="427">
        <v>12141.44</v>
      </c>
      <c r="AD562" s="428">
        <v>0</v>
      </c>
      <c r="AE562" s="429">
        <v>0</v>
      </c>
      <c r="AF562" s="429">
        <v>10504.75</v>
      </c>
      <c r="AG562" s="360">
        <v>0</v>
      </c>
      <c r="AH562" s="360">
        <v>0</v>
      </c>
      <c r="AI562" s="363">
        <v>3029.81</v>
      </c>
      <c r="AJ562" s="360">
        <v>0</v>
      </c>
      <c r="AK562" s="363">
        <v>3029.81</v>
      </c>
      <c r="AL562" s="360">
        <v>0</v>
      </c>
      <c r="AM562" s="560">
        <f t="shared" si="29"/>
        <v>28705.810000000005</v>
      </c>
      <c r="AN562" s="455">
        <f>ERP_26[[#This Row],[2026 Working Total]]-ERP_26[[#This Row],[LE2 Final Submission]]</f>
        <v>7474.9400000000023</v>
      </c>
      <c r="AO562" s="79">
        <v>0</v>
      </c>
      <c r="AP562" s="79">
        <f t="shared" si="30"/>
        <v>10504.75</v>
      </c>
      <c r="AQ562" s="374">
        <f>SUM(ERP_26[[#This Row],[AP01]:[AP06]])-SUM(ERP_26[[#This Row],[AP01 LE2]:[AP06 LE2]])</f>
        <v>7474.9400000000023</v>
      </c>
      <c r="AR562" s="80"/>
      <c r="AS562" s="79">
        <f>ERP_26[[#This Row],[2026 Working Total to Budget/LE]]-ERP_26[[#This Row],[Giveback]]</f>
        <v>7474.9400000000023</v>
      </c>
      <c r="AT562" s="81"/>
      <c r="AU562" s="375"/>
      <c r="AV562" s="375"/>
      <c r="AW562" s="375">
        <v>12141.44</v>
      </c>
      <c r="AX562" s="375">
        <v>0</v>
      </c>
      <c r="AY562" s="375">
        <v>0</v>
      </c>
      <c r="AZ562" s="375">
        <v>3029.81</v>
      </c>
      <c r="BA562" s="375">
        <v>0</v>
      </c>
      <c r="BB562" s="375">
        <v>0</v>
      </c>
      <c r="BC562" s="375">
        <v>3029.81</v>
      </c>
      <c r="BD562" s="375">
        <v>0</v>
      </c>
      <c r="BE562" s="375">
        <v>3029.81</v>
      </c>
      <c r="BF562" s="375">
        <v>0</v>
      </c>
      <c r="BG562" s="375">
        <v>21230.870000000003</v>
      </c>
      <c r="BH562" s="79"/>
      <c r="BI562" s="79"/>
      <c r="BJ562" s="79">
        <v>12141.44</v>
      </c>
      <c r="BK562" s="79">
        <v>0</v>
      </c>
      <c r="BL562" s="79">
        <v>0</v>
      </c>
      <c r="BM562" s="79">
        <v>3029.81</v>
      </c>
      <c r="BN562" s="79">
        <v>0</v>
      </c>
      <c r="BO562" s="79">
        <v>0</v>
      </c>
      <c r="BP562" s="79">
        <v>3029.81</v>
      </c>
      <c r="BQ562" s="79">
        <v>0</v>
      </c>
      <c r="BR562" s="79">
        <v>3029.81</v>
      </c>
      <c r="BS562" s="79">
        <v>0</v>
      </c>
      <c r="BT562" s="79">
        <v>21230.870000000003</v>
      </c>
    </row>
    <row r="563" spans="1:72" ht="15" customHeight="1">
      <c r="A563" s="66" t="s">
        <v>2470</v>
      </c>
      <c r="B563" s="264" t="s">
        <v>2951</v>
      </c>
      <c r="C563" s="66" t="s">
        <v>816</v>
      </c>
      <c r="D563" s="66" t="s">
        <v>816</v>
      </c>
      <c r="E563" s="150" t="s">
        <v>1136</v>
      </c>
      <c r="F563" s="482" t="s">
        <v>1566</v>
      </c>
      <c r="G563" s="150" t="s">
        <v>1135</v>
      </c>
      <c r="H563" s="150" t="s">
        <v>1135</v>
      </c>
      <c r="I563" s="150" t="s">
        <v>1135</v>
      </c>
      <c r="J563" s="150" t="s">
        <v>1135</v>
      </c>
      <c r="K563" s="150" t="s">
        <v>1137</v>
      </c>
      <c r="L563" s="511" t="s">
        <v>639</v>
      </c>
      <c r="M563" s="451" t="s">
        <v>818</v>
      </c>
      <c r="N563" s="343"/>
      <c r="O563" s="343"/>
      <c r="P563" s="70" t="s">
        <v>817</v>
      </c>
      <c r="Q563" s="346"/>
      <c r="R563" s="346" t="s">
        <v>1140</v>
      </c>
      <c r="S563" s="346"/>
      <c r="T563" s="150" t="s">
        <v>818</v>
      </c>
      <c r="U563" s="150"/>
      <c r="V563" s="453"/>
      <c r="W563" s="406">
        <v>124504</v>
      </c>
      <c r="X563" s="406">
        <v>146423.48000000001</v>
      </c>
      <c r="Y563" s="425"/>
      <c r="Z563" s="71"/>
      <c r="AA563" s="427"/>
      <c r="AB563" s="427"/>
      <c r="AC563" s="427">
        <v>61919.48</v>
      </c>
      <c r="AD563" s="428">
        <v>0</v>
      </c>
      <c r="AE563" s="429">
        <v>0</v>
      </c>
      <c r="AF563" s="429">
        <v>45968.679999999993</v>
      </c>
      <c r="AG563" s="360">
        <v>0</v>
      </c>
      <c r="AH563" s="360">
        <v>0</v>
      </c>
      <c r="AI563" s="363">
        <v>40000</v>
      </c>
      <c r="AJ563" s="360">
        <v>0</v>
      </c>
      <c r="AK563" s="363">
        <v>4504</v>
      </c>
      <c r="AL563" s="360">
        <v>0</v>
      </c>
      <c r="AM563" s="560">
        <f t="shared" si="29"/>
        <v>152392.16</v>
      </c>
      <c r="AN563" s="455">
        <f>ERP_26[[#This Row],[2026 Working Total]]-ERP_26[[#This Row],[LE2 Final Submission]]</f>
        <v>5968.679999999993</v>
      </c>
      <c r="AO563" s="79">
        <v>0</v>
      </c>
      <c r="AP563" s="79">
        <f t="shared" si="30"/>
        <v>45968.679999999993</v>
      </c>
      <c r="AQ563" s="374">
        <f>SUM(ERP_26[[#This Row],[AP01]:[AP06]])-SUM(ERP_26[[#This Row],[AP01 LE2]:[AP06 LE2]])</f>
        <v>5968.679999999993</v>
      </c>
      <c r="AR563" s="80"/>
      <c r="AS563" s="79">
        <f>ERP_26[[#This Row],[2026 Working Total to Budget/LE]]-ERP_26[[#This Row],[Giveback]]</f>
        <v>5968.679999999993</v>
      </c>
      <c r="AT563" s="81"/>
      <c r="AU563" s="375"/>
      <c r="AV563" s="375"/>
      <c r="AW563" s="375">
        <v>61919.48</v>
      </c>
      <c r="AX563" s="375">
        <v>0</v>
      </c>
      <c r="AY563" s="375">
        <v>0</v>
      </c>
      <c r="AZ563" s="375">
        <v>40000</v>
      </c>
      <c r="BA563" s="375">
        <v>0</v>
      </c>
      <c r="BB563" s="375">
        <v>0</v>
      </c>
      <c r="BC563" s="375">
        <v>40000</v>
      </c>
      <c r="BD563" s="375">
        <v>0</v>
      </c>
      <c r="BE563" s="375">
        <v>4504</v>
      </c>
      <c r="BF563" s="375">
        <v>0</v>
      </c>
      <c r="BG563" s="375">
        <v>146423.48000000001</v>
      </c>
      <c r="BH563" s="79"/>
      <c r="BI563" s="79"/>
      <c r="BJ563" s="79">
        <v>61919.48</v>
      </c>
      <c r="BK563" s="79">
        <v>0</v>
      </c>
      <c r="BL563" s="79">
        <v>0</v>
      </c>
      <c r="BM563" s="79">
        <v>40000</v>
      </c>
      <c r="BN563" s="79">
        <v>0</v>
      </c>
      <c r="BO563" s="79">
        <v>0</v>
      </c>
      <c r="BP563" s="79">
        <v>40000</v>
      </c>
      <c r="BQ563" s="79">
        <v>0</v>
      </c>
      <c r="BR563" s="79">
        <v>4504</v>
      </c>
      <c r="BS563" s="79">
        <v>0</v>
      </c>
      <c r="BT563" s="79">
        <v>146423.48000000001</v>
      </c>
    </row>
    <row r="564" spans="1:72" ht="15" customHeight="1">
      <c r="A564" s="66" t="s">
        <v>2011</v>
      </c>
      <c r="B564" s="264" t="s">
        <v>2950</v>
      </c>
      <c r="C564" s="66" t="s">
        <v>524</v>
      </c>
      <c r="D564" s="66" t="s">
        <v>524</v>
      </c>
      <c r="E564" s="150" t="s">
        <v>1136</v>
      </c>
      <c r="F564" s="482" t="s">
        <v>1566</v>
      </c>
      <c r="G564" s="150" t="s">
        <v>1345</v>
      </c>
      <c r="H564" s="150" t="s">
        <v>1345</v>
      </c>
      <c r="I564" s="150" t="s">
        <v>1345</v>
      </c>
      <c r="J564" s="150" t="s">
        <v>1345</v>
      </c>
      <c r="K564" s="150" t="s">
        <v>1346</v>
      </c>
      <c r="L564" s="511" t="s">
        <v>389</v>
      </c>
      <c r="M564" s="451" t="s">
        <v>1174</v>
      </c>
      <c r="N564" s="343"/>
      <c r="O564" s="343"/>
      <c r="P564" s="70" t="s">
        <v>56</v>
      </c>
      <c r="Q564" s="346"/>
      <c r="R564" s="346" t="s">
        <v>1140</v>
      </c>
      <c r="S564" s="346"/>
      <c r="T564" s="150" t="s">
        <v>57</v>
      </c>
      <c r="U564" s="150"/>
      <c r="V564" s="453"/>
      <c r="W564" s="406">
        <v>10233</v>
      </c>
      <c r="X564" s="406">
        <v>10178.029999999999</v>
      </c>
      <c r="Y564" s="425"/>
      <c r="Z564" s="71"/>
      <c r="AA564" s="427">
        <v>961.55</v>
      </c>
      <c r="AB564" s="427">
        <v>816.59</v>
      </c>
      <c r="AC564" s="427">
        <v>725.14</v>
      </c>
      <c r="AD564" s="428">
        <v>139.44999999999999</v>
      </c>
      <c r="AE564" s="429">
        <v>1450.2800000000002</v>
      </c>
      <c r="AF564" s="429">
        <v>0</v>
      </c>
      <c r="AG564" s="363">
        <v>852.75</v>
      </c>
      <c r="AH564" s="363">
        <v>852.75</v>
      </c>
      <c r="AI564" s="363">
        <v>852.75</v>
      </c>
      <c r="AJ564" s="363">
        <v>852.75</v>
      </c>
      <c r="AK564" s="363">
        <v>852.75</v>
      </c>
      <c r="AL564" s="363">
        <v>852.75</v>
      </c>
      <c r="AM564" s="560">
        <f t="shared" si="29"/>
        <v>9209.51</v>
      </c>
      <c r="AN564" s="455">
        <f>ERP_26[[#This Row],[2026 Working Total]]-ERP_26[[#This Row],[LE2 Final Submission]]</f>
        <v>-968.51999999999862</v>
      </c>
      <c r="AO564" s="79">
        <v>852.75</v>
      </c>
      <c r="AP564" s="79">
        <f t="shared" si="30"/>
        <v>-852.75</v>
      </c>
      <c r="AQ564" s="374">
        <f>SUM(ERP_26[[#This Row],[AP01]:[AP06]])-SUM(ERP_26[[#This Row],[AP01 LE2]:[AP06 LE2]])</f>
        <v>-968.52</v>
      </c>
      <c r="AR564" s="80"/>
      <c r="AS564" s="79">
        <f>ERP_26[[#This Row],[2026 Working Total to Budget/LE]]-ERP_26[[#This Row],[Giveback]]</f>
        <v>-968.51999999999862</v>
      </c>
      <c r="AT564" s="81"/>
      <c r="AU564" s="375">
        <v>961.55</v>
      </c>
      <c r="AV564" s="375">
        <v>816.59</v>
      </c>
      <c r="AW564" s="375">
        <v>725.14</v>
      </c>
      <c r="AX564" s="375">
        <v>852.75</v>
      </c>
      <c r="AY564" s="375">
        <v>852.75</v>
      </c>
      <c r="AZ564" s="375">
        <v>852.75</v>
      </c>
      <c r="BA564" s="375">
        <v>852.75</v>
      </c>
      <c r="BB564" s="375">
        <v>852.75</v>
      </c>
      <c r="BC564" s="375">
        <v>852.75</v>
      </c>
      <c r="BD564" s="375">
        <v>852.75</v>
      </c>
      <c r="BE564" s="375">
        <v>852.75</v>
      </c>
      <c r="BF564" s="375">
        <v>852.75</v>
      </c>
      <c r="BG564" s="375">
        <v>10178.029999999999</v>
      </c>
      <c r="BH564" s="79">
        <v>961.55</v>
      </c>
      <c r="BI564" s="79">
        <v>816.59</v>
      </c>
      <c r="BJ564" s="79">
        <v>725.14</v>
      </c>
      <c r="BK564" s="79">
        <v>852.75</v>
      </c>
      <c r="BL564" s="79">
        <v>852.75</v>
      </c>
      <c r="BM564" s="79">
        <v>852.75</v>
      </c>
      <c r="BN564" s="79">
        <v>852.75</v>
      </c>
      <c r="BO564" s="79">
        <v>852.75</v>
      </c>
      <c r="BP564" s="79">
        <v>852.75</v>
      </c>
      <c r="BQ564" s="79">
        <v>852.75</v>
      </c>
      <c r="BR564" s="79">
        <v>852.75</v>
      </c>
      <c r="BS564" s="79">
        <v>852.75</v>
      </c>
      <c r="BT564" s="79">
        <v>10178.029999999999</v>
      </c>
    </row>
    <row r="565" spans="1:72" ht="15" customHeight="1">
      <c r="A565" s="66" t="s">
        <v>2012</v>
      </c>
      <c r="B565" s="264" t="s">
        <v>2951</v>
      </c>
      <c r="C565" s="66" t="s">
        <v>524</v>
      </c>
      <c r="D565" s="66" t="s">
        <v>2013</v>
      </c>
      <c r="E565" s="150" t="s">
        <v>1136</v>
      </c>
      <c r="F565" s="482" t="s">
        <v>1566</v>
      </c>
      <c r="G565" s="150" t="s">
        <v>1345</v>
      </c>
      <c r="H565" s="150" t="s">
        <v>1437</v>
      </c>
      <c r="I565" s="150" t="s">
        <v>1345</v>
      </c>
      <c r="J565" s="150" t="s">
        <v>1437</v>
      </c>
      <c r="K565" s="150" t="s">
        <v>1346</v>
      </c>
      <c r="L565" s="511" t="s">
        <v>389</v>
      </c>
      <c r="M565" s="451" t="s">
        <v>1174</v>
      </c>
      <c r="N565" s="343"/>
      <c r="O565" s="343"/>
      <c r="P565" s="70" t="s">
        <v>56</v>
      </c>
      <c r="Q565" s="346"/>
      <c r="R565" s="346" t="s">
        <v>1140</v>
      </c>
      <c r="S565" s="346"/>
      <c r="T565" s="150" t="s">
        <v>57</v>
      </c>
      <c r="U565" s="150"/>
      <c r="V565" s="453"/>
      <c r="W565" s="406">
        <v>68292</v>
      </c>
      <c r="X565" s="406">
        <v>61982.03</v>
      </c>
      <c r="Y565" s="425"/>
      <c r="Z565" s="71"/>
      <c r="AA565" s="427">
        <v>3349.03</v>
      </c>
      <c r="AB565" s="427">
        <v>3352.38</v>
      </c>
      <c r="AC565" s="427">
        <v>4061.62</v>
      </c>
      <c r="AD565" s="428">
        <v>3971.33</v>
      </c>
      <c r="AE565" s="429">
        <v>5537.35</v>
      </c>
      <c r="AF565" s="429">
        <v>4773.54</v>
      </c>
      <c r="AG565" s="363">
        <v>5691</v>
      </c>
      <c r="AH565" s="363">
        <v>5691</v>
      </c>
      <c r="AI565" s="363">
        <v>5691</v>
      </c>
      <c r="AJ565" s="363">
        <v>5691</v>
      </c>
      <c r="AK565" s="363">
        <v>5691</v>
      </c>
      <c r="AL565" s="363">
        <v>5691</v>
      </c>
      <c r="AM565" s="560">
        <f t="shared" ref="AM565:AM578" si="31">SUM(AA565:AL565)</f>
        <v>59191.25</v>
      </c>
      <c r="AN565" s="455">
        <f>ERP_26[[#This Row],[2026 Working Total]]-ERP_26[[#This Row],[LE2 Final Submission]]</f>
        <v>-2790.7799999999988</v>
      </c>
      <c r="AO565" s="79">
        <v>5691</v>
      </c>
      <c r="AP565" s="79">
        <f t="shared" si="30"/>
        <v>-917.46</v>
      </c>
      <c r="AQ565" s="374">
        <f>SUM(ERP_26[[#This Row],[AP01]:[AP06]])-SUM(ERP_26[[#This Row],[AP01 LE2]:[AP06 LE2]])</f>
        <v>-2790.7799999999988</v>
      </c>
      <c r="AR565" s="80"/>
      <c r="AS565" s="79">
        <f>ERP_26[[#This Row],[2026 Working Total to Budget/LE]]-ERP_26[[#This Row],[Giveback]]</f>
        <v>-2790.7799999999988</v>
      </c>
      <c r="AT565" s="81"/>
      <c r="AU565" s="375">
        <v>3349.03</v>
      </c>
      <c r="AV565" s="375">
        <v>3352.38</v>
      </c>
      <c r="AW565" s="375">
        <v>4061.62</v>
      </c>
      <c r="AX565" s="375">
        <v>5691</v>
      </c>
      <c r="AY565" s="375">
        <v>5691</v>
      </c>
      <c r="AZ565" s="375">
        <v>5691</v>
      </c>
      <c r="BA565" s="375">
        <v>5691</v>
      </c>
      <c r="BB565" s="375">
        <v>5691</v>
      </c>
      <c r="BC565" s="375">
        <v>5691</v>
      </c>
      <c r="BD565" s="375">
        <v>5691</v>
      </c>
      <c r="BE565" s="375">
        <v>5691</v>
      </c>
      <c r="BF565" s="375">
        <v>5691</v>
      </c>
      <c r="BG565" s="375">
        <v>61982.03</v>
      </c>
      <c r="BH565" s="79">
        <v>3349.03</v>
      </c>
      <c r="BI565" s="79">
        <v>3352.38</v>
      </c>
      <c r="BJ565" s="79">
        <v>4061.62</v>
      </c>
      <c r="BK565" s="79">
        <v>5691</v>
      </c>
      <c r="BL565" s="79">
        <v>5691</v>
      </c>
      <c r="BM565" s="79">
        <v>5691</v>
      </c>
      <c r="BN565" s="79">
        <v>5691</v>
      </c>
      <c r="BO565" s="79">
        <v>5691</v>
      </c>
      <c r="BP565" s="79">
        <v>5691</v>
      </c>
      <c r="BQ565" s="79">
        <v>5691</v>
      </c>
      <c r="BR565" s="79">
        <v>5691</v>
      </c>
      <c r="BS565" s="79">
        <v>5691</v>
      </c>
      <c r="BT565" s="79">
        <v>61982.03</v>
      </c>
    </row>
    <row r="566" spans="1:72" ht="15" customHeight="1">
      <c r="A566" s="66" t="s">
        <v>2025</v>
      </c>
      <c r="B566" s="264" t="s">
        <v>2950</v>
      </c>
      <c r="C566" s="66" t="s">
        <v>533</v>
      </c>
      <c r="D566" s="66" t="s">
        <v>2026</v>
      </c>
      <c r="E566" s="150" t="s">
        <v>1136</v>
      </c>
      <c r="F566" s="482" t="s">
        <v>1566</v>
      </c>
      <c r="G566" s="150" t="s">
        <v>1345</v>
      </c>
      <c r="H566" s="150" t="s">
        <v>1437</v>
      </c>
      <c r="I566" s="150" t="s">
        <v>1345</v>
      </c>
      <c r="J566" s="150" t="s">
        <v>1437</v>
      </c>
      <c r="K566" s="150" t="s">
        <v>1346</v>
      </c>
      <c r="L566" s="511" t="s">
        <v>389</v>
      </c>
      <c r="M566" s="451" t="s">
        <v>1855</v>
      </c>
      <c r="N566" s="343"/>
      <c r="O566" s="343"/>
      <c r="P566" s="70" t="s">
        <v>466</v>
      </c>
      <c r="Q566" s="346"/>
      <c r="R566" s="346" t="s">
        <v>1140</v>
      </c>
      <c r="S566" s="346"/>
      <c r="T566" s="150" t="s">
        <v>57</v>
      </c>
      <c r="U566" s="150"/>
      <c r="V566" s="453"/>
      <c r="W566" s="406">
        <v>22800</v>
      </c>
      <c r="X566" s="406">
        <v>20679</v>
      </c>
      <c r="Y566" s="425"/>
      <c r="Z566" s="71"/>
      <c r="AA566" s="427">
        <v>1636</v>
      </c>
      <c r="AB566" s="427">
        <v>1153</v>
      </c>
      <c r="AC566" s="427">
        <v>790</v>
      </c>
      <c r="AD566" s="428">
        <v>1287</v>
      </c>
      <c r="AE566" s="429">
        <v>1227</v>
      </c>
      <c r="AF566" s="429">
        <v>1227</v>
      </c>
      <c r="AG566" s="363">
        <v>1900</v>
      </c>
      <c r="AH566" s="363">
        <v>1900</v>
      </c>
      <c r="AI566" s="363">
        <v>1900</v>
      </c>
      <c r="AJ566" s="363">
        <v>1900</v>
      </c>
      <c r="AK566" s="363">
        <v>1900</v>
      </c>
      <c r="AL566" s="363">
        <v>1900</v>
      </c>
      <c r="AM566" s="560">
        <f t="shared" si="31"/>
        <v>18720</v>
      </c>
      <c r="AN566" s="455">
        <f>ERP_26[[#This Row],[2026 Working Total]]-ERP_26[[#This Row],[LE2 Final Submission]]</f>
        <v>-1959</v>
      </c>
      <c r="AO566" s="79">
        <v>1900</v>
      </c>
      <c r="AP566" s="79">
        <f t="shared" si="30"/>
        <v>-673</v>
      </c>
      <c r="AQ566" s="374">
        <f>SUM(ERP_26[[#This Row],[AP01]:[AP06]])-SUM(ERP_26[[#This Row],[AP01 LE2]:[AP06 LE2]])</f>
        <v>-1959</v>
      </c>
      <c r="AR566" s="80"/>
      <c r="AS566" s="79">
        <f>ERP_26[[#This Row],[2026 Working Total to Budget/LE]]-ERP_26[[#This Row],[Giveback]]</f>
        <v>-1959</v>
      </c>
      <c r="AT566" s="81"/>
      <c r="AU566" s="375">
        <v>1636</v>
      </c>
      <c r="AV566" s="375">
        <v>1153</v>
      </c>
      <c r="AW566" s="375">
        <v>790</v>
      </c>
      <c r="AX566" s="375">
        <v>1900</v>
      </c>
      <c r="AY566" s="375">
        <v>1900</v>
      </c>
      <c r="AZ566" s="375">
        <v>1900</v>
      </c>
      <c r="BA566" s="375">
        <v>1900</v>
      </c>
      <c r="BB566" s="375">
        <v>1900</v>
      </c>
      <c r="BC566" s="375">
        <v>1900</v>
      </c>
      <c r="BD566" s="375">
        <v>1900</v>
      </c>
      <c r="BE566" s="375">
        <v>1900</v>
      </c>
      <c r="BF566" s="375">
        <v>1900</v>
      </c>
      <c r="BG566" s="375">
        <v>20679</v>
      </c>
      <c r="BH566" s="79">
        <v>1636</v>
      </c>
      <c r="BI566" s="79">
        <v>1153</v>
      </c>
      <c r="BJ566" s="79">
        <v>790</v>
      </c>
      <c r="BK566" s="79">
        <v>1900</v>
      </c>
      <c r="BL566" s="79">
        <v>1900</v>
      </c>
      <c r="BM566" s="79">
        <v>1900</v>
      </c>
      <c r="BN566" s="79">
        <v>1900</v>
      </c>
      <c r="BO566" s="79">
        <v>1900</v>
      </c>
      <c r="BP566" s="79">
        <v>1900</v>
      </c>
      <c r="BQ566" s="79">
        <v>1900</v>
      </c>
      <c r="BR566" s="79">
        <v>1900</v>
      </c>
      <c r="BS566" s="79">
        <v>1900</v>
      </c>
      <c r="BT566" s="79">
        <v>20679</v>
      </c>
    </row>
    <row r="567" spans="1:72" ht="15" customHeight="1">
      <c r="A567" s="66" t="s">
        <v>2024</v>
      </c>
      <c r="B567" s="264" t="s">
        <v>2951</v>
      </c>
      <c r="C567" s="66" t="s">
        <v>533</v>
      </c>
      <c r="D567" s="66" t="s">
        <v>533</v>
      </c>
      <c r="E567" s="150" t="s">
        <v>1136</v>
      </c>
      <c r="F567" s="482" t="s">
        <v>1566</v>
      </c>
      <c r="G567" s="150" t="s">
        <v>1345</v>
      </c>
      <c r="H567" s="150" t="s">
        <v>1345</v>
      </c>
      <c r="I567" s="150" t="s">
        <v>1345</v>
      </c>
      <c r="J567" s="150" t="s">
        <v>1345</v>
      </c>
      <c r="K567" s="150" t="s">
        <v>1346</v>
      </c>
      <c r="L567" s="511" t="s">
        <v>389</v>
      </c>
      <c r="M567" s="451" t="s">
        <v>1855</v>
      </c>
      <c r="N567" s="343"/>
      <c r="O567" s="343"/>
      <c r="P567" s="70" t="s">
        <v>466</v>
      </c>
      <c r="Q567" s="346"/>
      <c r="R567" s="346" t="s">
        <v>1140</v>
      </c>
      <c r="S567" s="346"/>
      <c r="T567" s="150" t="s">
        <v>57</v>
      </c>
      <c r="U567" s="150"/>
      <c r="V567" s="453"/>
      <c r="W567" s="406">
        <v>19176</v>
      </c>
      <c r="X567" s="406">
        <v>21479</v>
      </c>
      <c r="Y567" s="425"/>
      <c r="Z567" s="71"/>
      <c r="AA567" s="427">
        <v>1566</v>
      </c>
      <c r="AB567" s="427">
        <v>1439</v>
      </c>
      <c r="AC567" s="427">
        <v>4092</v>
      </c>
      <c r="AD567" s="428">
        <v>1259</v>
      </c>
      <c r="AE567" s="429">
        <v>1259</v>
      </c>
      <c r="AF567" s="429">
        <v>1192</v>
      </c>
      <c r="AG567" s="363">
        <v>1598</v>
      </c>
      <c r="AH567" s="363">
        <v>1598</v>
      </c>
      <c r="AI567" s="363">
        <v>1598</v>
      </c>
      <c r="AJ567" s="363">
        <v>1598</v>
      </c>
      <c r="AK567" s="363">
        <v>1598</v>
      </c>
      <c r="AL567" s="363">
        <v>1598</v>
      </c>
      <c r="AM567" s="560">
        <f t="shared" si="31"/>
        <v>20395</v>
      </c>
      <c r="AN567" s="455">
        <f>ERP_26[[#This Row],[2026 Working Total]]-ERP_26[[#This Row],[LE2 Final Submission]]</f>
        <v>-1084</v>
      </c>
      <c r="AO567" s="79">
        <v>1598</v>
      </c>
      <c r="AP567" s="79">
        <f t="shared" si="30"/>
        <v>-406</v>
      </c>
      <c r="AQ567" s="374">
        <f>SUM(ERP_26[[#This Row],[AP01]:[AP06]])-SUM(ERP_26[[#This Row],[AP01 LE2]:[AP06 LE2]])</f>
        <v>-1084</v>
      </c>
      <c r="AR567" s="80"/>
      <c r="AS567" s="79">
        <f>ERP_26[[#This Row],[2026 Working Total to Budget/LE]]-ERP_26[[#This Row],[Giveback]]</f>
        <v>-1084</v>
      </c>
      <c r="AT567" s="81"/>
      <c r="AU567" s="375">
        <v>1566</v>
      </c>
      <c r="AV567" s="375">
        <v>1439</v>
      </c>
      <c r="AW567" s="375">
        <v>4092</v>
      </c>
      <c r="AX567" s="375">
        <v>1598</v>
      </c>
      <c r="AY567" s="375">
        <v>1598</v>
      </c>
      <c r="AZ567" s="375">
        <v>1598</v>
      </c>
      <c r="BA567" s="375">
        <v>1598</v>
      </c>
      <c r="BB567" s="375">
        <v>1598</v>
      </c>
      <c r="BC567" s="375">
        <v>1598</v>
      </c>
      <c r="BD567" s="375">
        <v>1598</v>
      </c>
      <c r="BE567" s="375">
        <v>1598</v>
      </c>
      <c r="BF567" s="375">
        <v>1598</v>
      </c>
      <c r="BG567" s="375">
        <v>21479</v>
      </c>
      <c r="BH567" s="79">
        <v>1566</v>
      </c>
      <c r="BI567" s="79">
        <v>1439</v>
      </c>
      <c r="BJ567" s="79">
        <v>4092</v>
      </c>
      <c r="BK567" s="79">
        <v>1598</v>
      </c>
      <c r="BL567" s="79">
        <v>1598</v>
      </c>
      <c r="BM567" s="79">
        <v>1598</v>
      </c>
      <c r="BN567" s="79">
        <v>1598</v>
      </c>
      <c r="BO567" s="79">
        <v>1598</v>
      </c>
      <c r="BP567" s="79">
        <v>1598</v>
      </c>
      <c r="BQ567" s="79">
        <v>1598</v>
      </c>
      <c r="BR567" s="79">
        <v>1598</v>
      </c>
      <c r="BS567" s="79">
        <v>1598</v>
      </c>
      <c r="BT567" s="79">
        <v>21479</v>
      </c>
    </row>
    <row r="568" spans="1:72" ht="15" customHeight="1">
      <c r="A568" s="66" t="s">
        <v>2061</v>
      </c>
      <c r="B568" s="264" t="s">
        <v>2950</v>
      </c>
      <c r="C568" s="66" t="s">
        <v>553</v>
      </c>
      <c r="D568" s="66" t="s">
        <v>2062</v>
      </c>
      <c r="E568" s="150" t="s">
        <v>1136</v>
      </c>
      <c r="F568" s="482" t="s">
        <v>1566</v>
      </c>
      <c r="G568" s="383" t="s">
        <v>1480</v>
      </c>
      <c r="H568" s="150" t="s">
        <v>1481</v>
      </c>
      <c r="I568" s="150" t="s">
        <v>1345</v>
      </c>
      <c r="J568" s="150" t="s">
        <v>1481</v>
      </c>
      <c r="K568" s="150" t="s">
        <v>1346</v>
      </c>
      <c r="L568" s="511" t="s">
        <v>389</v>
      </c>
      <c r="M568" s="451" t="s">
        <v>1855</v>
      </c>
      <c r="N568" s="343"/>
      <c r="O568" s="343"/>
      <c r="P568" s="70" t="s">
        <v>466</v>
      </c>
      <c r="Q568" s="346"/>
      <c r="R568" s="346" t="s">
        <v>1140</v>
      </c>
      <c r="S568" s="346"/>
      <c r="T568" s="150" t="s">
        <v>57</v>
      </c>
      <c r="U568" s="473" t="s">
        <v>1513</v>
      </c>
      <c r="V568" s="453"/>
      <c r="W568" s="406">
        <v>18852</v>
      </c>
      <c r="X568" s="406">
        <v>18092</v>
      </c>
      <c r="Y568" s="425"/>
      <c r="Z568" s="71"/>
      <c r="AA568" s="427">
        <v>1206</v>
      </c>
      <c r="AB568" s="427">
        <v>1139</v>
      </c>
      <c r="AC568" s="427">
        <v>1608</v>
      </c>
      <c r="AD568" s="428">
        <v>1206</v>
      </c>
      <c r="AE568" s="429">
        <v>1206</v>
      </c>
      <c r="AF568" s="429">
        <v>1206</v>
      </c>
      <c r="AG568" s="363">
        <v>1571</v>
      </c>
      <c r="AH568" s="363">
        <v>1571</v>
      </c>
      <c r="AI568" s="363">
        <v>1571</v>
      </c>
      <c r="AJ568" s="363">
        <v>1571</v>
      </c>
      <c r="AK568" s="363">
        <v>1571</v>
      </c>
      <c r="AL568" s="363">
        <v>1571</v>
      </c>
      <c r="AM568" s="560">
        <f t="shared" si="31"/>
        <v>16997</v>
      </c>
      <c r="AN568" s="455">
        <f>ERP_26[[#This Row],[2026 Working Total]]-ERP_26[[#This Row],[LE2 Final Submission]]</f>
        <v>-1095</v>
      </c>
      <c r="AO568" s="79">
        <v>1571</v>
      </c>
      <c r="AP568" s="79">
        <f t="shared" si="30"/>
        <v>-365</v>
      </c>
      <c r="AQ568" s="374">
        <f>SUM(ERP_26[[#This Row],[AP01]:[AP06]])-SUM(ERP_26[[#This Row],[AP01 LE2]:[AP06 LE2]])</f>
        <v>-1095</v>
      </c>
      <c r="AR568" s="80"/>
      <c r="AS568" s="79">
        <f>ERP_26[[#This Row],[2026 Working Total to Budget/LE]]-ERP_26[[#This Row],[Giveback]]</f>
        <v>-1095</v>
      </c>
      <c r="AT568" s="81"/>
      <c r="AU568" s="375">
        <v>1206</v>
      </c>
      <c r="AV568" s="375">
        <v>1139</v>
      </c>
      <c r="AW568" s="375">
        <v>1608</v>
      </c>
      <c r="AX568" s="375">
        <v>1571</v>
      </c>
      <c r="AY568" s="375">
        <v>1571</v>
      </c>
      <c r="AZ568" s="375">
        <v>1571</v>
      </c>
      <c r="BA568" s="375">
        <v>1571</v>
      </c>
      <c r="BB568" s="375">
        <v>1571</v>
      </c>
      <c r="BC568" s="375">
        <v>1571</v>
      </c>
      <c r="BD568" s="375">
        <v>1571</v>
      </c>
      <c r="BE568" s="375">
        <v>1571</v>
      </c>
      <c r="BF568" s="375">
        <v>1571</v>
      </c>
      <c r="BG568" s="375">
        <v>18092</v>
      </c>
      <c r="BH568" s="79">
        <v>1206</v>
      </c>
      <c r="BI568" s="79">
        <v>1139</v>
      </c>
      <c r="BJ568" s="79">
        <v>1608</v>
      </c>
      <c r="BK568" s="79">
        <v>1571</v>
      </c>
      <c r="BL568" s="79">
        <v>1571</v>
      </c>
      <c r="BM568" s="79">
        <v>1571</v>
      </c>
      <c r="BN568" s="79">
        <v>1571</v>
      </c>
      <c r="BO568" s="79">
        <v>1571</v>
      </c>
      <c r="BP568" s="79">
        <v>1571</v>
      </c>
      <c r="BQ568" s="79">
        <v>1571</v>
      </c>
      <c r="BR568" s="79">
        <v>1571</v>
      </c>
      <c r="BS568" s="79">
        <v>1571</v>
      </c>
      <c r="BT568" s="79">
        <v>18092</v>
      </c>
    </row>
    <row r="569" spans="1:72" ht="15" customHeight="1">
      <c r="A569" s="66" t="s">
        <v>2059</v>
      </c>
      <c r="B569" s="264" t="s">
        <v>2951</v>
      </c>
      <c r="C569" s="66" t="s">
        <v>553</v>
      </c>
      <c r="D569" s="66" t="s">
        <v>553</v>
      </c>
      <c r="E569" s="150" t="s">
        <v>1136</v>
      </c>
      <c r="F569" s="482" t="s">
        <v>1566</v>
      </c>
      <c r="G569" s="383" t="s">
        <v>1480</v>
      </c>
      <c r="H569" s="383" t="s">
        <v>1480</v>
      </c>
      <c r="I569" s="150" t="s">
        <v>1345</v>
      </c>
      <c r="J569" s="150" t="s">
        <v>1480</v>
      </c>
      <c r="K569" s="150" t="s">
        <v>1346</v>
      </c>
      <c r="L569" s="511" t="s">
        <v>389</v>
      </c>
      <c r="M569" s="451" t="s">
        <v>1855</v>
      </c>
      <c r="N569" s="343"/>
      <c r="O569" s="343"/>
      <c r="P569" s="70" t="s">
        <v>466</v>
      </c>
      <c r="Q569" s="346"/>
      <c r="R569" s="346" t="s">
        <v>1140</v>
      </c>
      <c r="S569" s="346"/>
      <c r="T569" s="150" t="s">
        <v>57</v>
      </c>
      <c r="U569" s="150"/>
      <c r="V569" s="453"/>
      <c r="W569" s="406">
        <v>27000</v>
      </c>
      <c r="X569" s="406">
        <v>26481</v>
      </c>
      <c r="Y569" s="425"/>
      <c r="Z569" s="71"/>
      <c r="AA569" s="427">
        <v>1883</v>
      </c>
      <c r="AB569" s="427">
        <v>1481</v>
      </c>
      <c r="AC569" s="427">
        <v>2867</v>
      </c>
      <c r="AD569" s="428">
        <v>1442</v>
      </c>
      <c r="AE569" s="429">
        <v>1442</v>
      </c>
      <c r="AF569" s="429">
        <v>1375</v>
      </c>
      <c r="AG569" s="363">
        <v>2250</v>
      </c>
      <c r="AH569" s="363">
        <v>2250</v>
      </c>
      <c r="AI569" s="363">
        <v>2250</v>
      </c>
      <c r="AJ569" s="363">
        <v>2250</v>
      </c>
      <c r="AK569" s="363">
        <v>2250</v>
      </c>
      <c r="AL569" s="363">
        <v>2250</v>
      </c>
      <c r="AM569" s="560">
        <f t="shared" si="31"/>
        <v>23990</v>
      </c>
      <c r="AN569" s="455">
        <f>ERP_26[[#This Row],[2026 Working Total]]-ERP_26[[#This Row],[LE2 Final Submission]]</f>
        <v>-2491</v>
      </c>
      <c r="AO569" s="79">
        <v>2250</v>
      </c>
      <c r="AP569" s="79">
        <f t="shared" si="30"/>
        <v>-875</v>
      </c>
      <c r="AQ569" s="374">
        <f>SUM(ERP_26[[#This Row],[AP01]:[AP06]])-SUM(ERP_26[[#This Row],[AP01 LE2]:[AP06 LE2]])</f>
        <v>-2491</v>
      </c>
      <c r="AR569" s="80"/>
      <c r="AS569" s="79">
        <f>ERP_26[[#This Row],[2026 Working Total to Budget/LE]]-ERP_26[[#This Row],[Giveback]]</f>
        <v>-2491</v>
      </c>
      <c r="AT569" s="81"/>
      <c r="AU569" s="375">
        <v>1883</v>
      </c>
      <c r="AV569" s="375">
        <v>1481</v>
      </c>
      <c r="AW569" s="375">
        <v>2867</v>
      </c>
      <c r="AX569" s="375">
        <v>2250</v>
      </c>
      <c r="AY569" s="375">
        <v>2250</v>
      </c>
      <c r="AZ569" s="375">
        <v>2250</v>
      </c>
      <c r="BA569" s="375">
        <v>2250</v>
      </c>
      <c r="BB569" s="375">
        <v>2250</v>
      </c>
      <c r="BC569" s="375">
        <v>2250</v>
      </c>
      <c r="BD569" s="375">
        <v>2250</v>
      </c>
      <c r="BE569" s="375">
        <v>2250</v>
      </c>
      <c r="BF569" s="375">
        <v>2250</v>
      </c>
      <c r="BG569" s="375">
        <v>26481</v>
      </c>
      <c r="BH569" s="79">
        <v>1883</v>
      </c>
      <c r="BI569" s="79">
        <v>1481</v>
      </c>
      <c r="BJ569" s="79">
        <v>2867</v>
      </c>
      <c r="BK569" s="79">
        <v>2250</v>
      </c>
      <c r="BL569" s="79">
        <v>2250</v>
      </c>
      <c r="BM569" s="79">
        <v>2250</v>
      </c>
      <c r="BN569" s="79">
        <v>2250</v>
      </c>
      <c r="BO569" s="79">
        <v>2250</v>
      </c>
      <c r="BP569" s="79">
        <v>2250</v>
      </c>
      <c r="BQ569" s="79">
        <v>2250</v>
      </c>
      <c r="BR569" s="79">
        <v>2250</v>
      </c>
      <c r="BS569" s="79">
        <v>2250</v>
      </c>
      <c r="BT569" s="79">
        <v>26481</v>
      </c>
    </row>
    <row r="570" spans="1:72" ht="15" customHeight="1">
      <c r="A570" s="66" t="s">
        <v>2726</v>
      </c>
      <c r="B570" s="264" t="s">
        <v>2950</v>
      </c>
      <c r="C570" s="66" t="s">
        <v>973</v>
      </c>
      <c r="D570" s="66" t="s">
        <v>2727</v>
      </c>
      <c r="E570" s="150" t="s">
        <v>1136</v>
      </c>
      <c r="F570" s="482" t="s">
        <v>1566</v>
      </c>
      <c r="G570" s="383" t="s">
        <v>1480</v>
      </c>
      <c r="H570" s="150" t="s">
        <v>1481</v>
      </c>
      <c r="I570" s="150" t="s">
        <v>1345</v>
      </c>
      <c r="J570" s="150" t="s">
        <v>1481</v>
      </c>
      <c r="K570" s="150" t="s">
        <v>1346</v>
      </c>
      <c r="L570" s="511" t="s">
        <v>639</v>
      </c>
      <c r="M570" s="451" t="s">
        <v>818</v>
      </c>
      <c r="N570" s="343"/>
      <c r="O570" s="343"/>
      <c r="P570" s="70" t="s">
        <v>817</v>
      </c>
      <c r="Q570" s="346"/>
      <c r="R570" s="346" t="s">
        <v>1140</v>
      </c>
      <c r="S570" s="346"/>
      <c r="T570" s="150" t="s">
        <v>818</v>
      </c>
      <c r="U570" s="473" t="s">
        <v>1513</v>
      </c>
      <c r="V570" s="453"/>
      <c r="W570" s="528">
        <v>7176</v>
      </c>
      <c r="X570" s="528">
        <v>11702.54</v>
      </c>
      <c r="Y570" s="425"/>
      <c r="Z570" s="71"/>
      <c r="AA570" s="427"/>
      <c r="AB570" s="427"/>
      <c r="AC570" s="427">
        <v>6320.54</v>
      </c>
      <c r="AD570" s="428">
        <v>0</v>
      </c>
      <c r="AE570" s="429">
        <v>0</v>
      </c>
      <c r="AF570" s="429">
        <v>0</v>
      </c>
      <c r="AG570" s="360">
        <v>0</v>
      </c>
      <c r="AH570" s="360">
        <v>0</v>
      </c>
      <c r="AI570" s="363">
        <v>1794</v>
      </c>
      <c r="AJ570" s="360">
        <v>0</v>
      </c>
      <c r="AK570" s="363">
        <v>1794</v>
      </c>
      <c r="AL570" s="360">
        <v>0</v>
      </c>
      <c r="AM570" s="560">
        <f t="shared" si="31"/>
        <v>9908.5400000000009</v>
      </c>
      <c r="AN570" s="455">
        <f>ERP_26[[#This Row],[2026 Working Total]]-ERP_26[[#This Row],[LE2 Final Submission]]</f>
        <v>-1794</v>
      </c>
      <c r="AO570" s="79">
        <v>0</v>
      </c>
      <c r="AP570" s="79">
        <f t="shared" si="30"/>
        <v>0</v>
      </c>
      <c r="AQ570" s="374">
        <f>SUM(ERP_26[[#This Row],[AP01]:[AP06]])-SUM(ERP_26[[#This Row],[AP01 LE2]:[AP06 LE2]])</f>
        <v>-1794</v>
      </c>
      <c r="AR570" s="80"/>
      <c r="AS570" s="79">
        <f>ERP_26[[#This Row],[2026 Working Total to Budget/LE]]-ERP_26[[#This Row],[Giveback]]</f>
        <v>-1794</v>
      </c>
      <c r="AT570" s="81"/>
      <c r="AU570" s="375"/>
      <c r="AV570" s="375"/>
      <c r="AW570" s="375">
        <v>6320.54</v>
      </c>
      <c r="AX570" s="375">
        <v>0</v>
      </c>
      <c r="AY570" s="375">
        <v>0</v>
      </c>
      <c r="AZ570" s="375">
        <v>1794</v>
      </c>
      <c r="BA570" s="375">
        <v>0</v>
      </c>
      <c r="BB570" s="375">
        <v>0</v>
      </c>
      <c r="BC570" s="375">
        <v>1794</v>
      </c>
      <c r="BD570" s="375">
        <v>0</v>
      </c>
      <c r="BE570" s="375">
        <v>1794</v>
      </c>
      <c r="BF570" s="375">
        <v>0</v>
      </c>
      <c r="BG570" s="375">
        <v>11702.54</v>
      </c>
      <c r="BH570" s="79"/>
      <c r="BI570" s="79"/>
      <c r="BJ570" s="79">
        <v>6320.54</v>
      </c>
      <c r="BK570" s="79">
        <v>0</v>
      </c>
      <c r="BL570" s="79">
        <v>0</v>
      </c>
      <c r="BM570" s="79">
        <v>1794</v>
      </c>
      <c r="BN570" s="79">
        <v>0</v>
      </c>
      <c r="BO570" s="79">
        <v>0</v>
      </c>
      <c r="BP570" s="79">
        <v>1794</v>
      </c>
      <c r="BQ570" s="79">
        <v>0</v>
      </c>
      <c r="BR570" s="79">
        <v>1794</v>
      </c>
      <c r="BS570" s="79">
        <v>0</v>
      </c>
      <c r="BT570" s="79">
        <v>11702.54</v>
      </c>
    </row>
    <row r="571" spans="1:72" ht="15" customHeight="1">
      <c r="A571" s="66" t="s">
        <v>2725</v>
      </c>
      <c r="B571" s="264" t="s">
        <v>2951</v>
      </c>
      <c r="C571" s="66" t="s">
        <v>973</v>
      </c>
      <c r="D571" s="66" t="s">
        <v>973</v>
      </c>
      <c r="E571" s="150" t="s">
        <v>1136</v>
      </c>
      <c r="F571" s="482" t="s">
        <v>1566</v>
      </c>
      <c r="G571" s="383" t="s">
        <v>1480</v>
      </c>
      <c r="H571" s="383" t="s">
        <v>1480</v>
      </c>
      <c r="I571" s="150" t="s">
        <v>1345</v>
      </c>
      <c r="J571" s="150" t="s">
        <v>1480</v>
      </c>
      <c r="K571" s="150" t="s">
        <v>1346</v>
      </c>
      <c r="L571" s="511" t="s">
        <v>639</v>
      </c>
      <c r="M571" s="451" t="s">
        <v>818</v>
      </c>
      <c r="N571" s="343"/>
      <c r="O571" s="343"/>
      <c r="P571" s="70" t="s">
        <v>817</v>
      </c>
      <c r="Q571" s="346"/>
      <c r="R571" s="346" t="s">
        <v>1140</v>
      </c>
      <c r="S571" s="346"/>
      <c r="T571" s="150" t="s">
        <v>818</v>
      </c>
      <c r="U571" s="150"/>
      <c r="V571" s="453"/>
      <c r="W571" s="528">
        <v>30000</v>
      </c>
      <c r="X571" s="529">
        <v>33718.54</v>
      </c>
      <c r="Y571" s="425"/>
      <c r="Z571" s="425"/>
      <c r="AA571" s="427"/>
      <c r="AB571" s="427"/>
      <c r="AC571" s="427">
        <v>11218.54</v>
      </c>
      <c r="AD571" s="428">
        <v>0</v>
      </c>
      <c r="AE571" s="429">
        <v>0</v>
      </c>
      <c r="AF571" s="429">
        <v>15527.55</v>
      </c>
      <c r="AG571" s="360">
        <v>0</v>
      </c>
      <c r="AH571" s="360">
        <v>0</v>
      </c>
      <c r="AI571" s="363">
        <v>7500</v>
      </c>
      <c r="AJ571" s="360">
        <v>0</v>
      </c>
      <c r="AK571" s="363">
        <v>7500</v>
      </c>
      <c r="AL571" s="360">
        <v>0</v>
      </c>
      <c r="AM571" s="560">
        <f t="shared" si="31"/>
        <v>41746.089999999997</v>
      </c>
      <c r="AN571" s="455">
        <f>ERP_26[[#This Row],[2026 Working Total]]-ERP_26[[#This Row],[LE2 Final Submission]]</f>
        <v>8027.5499999999956</v>
      </c>
      <c r="AO571" s="79">
        <v>0</v>
      </c>
      <c r="AP571" s="79">
        <f t="shared" si="30"/>
        <v>15527.55</v>
      </c>
      <c r="AQ571" s="374">
        <f>SUM(ERP_26[[#This Row],[AP01]:[AP06]])-SUM(ERP_26[[#This Row],[AP01 LE2]:[AP06 LE2]])</f>
        <v>8027.5499999999993</v>
      </c>
      <c r="AR571" s="80"/>
      <c r="AS571" s="79">
        <f>ERP_26[[#This Row],[2026 Working Total to Budget/LE]]-ERP_26[[#This Row],[Giveback]]</f>
        <v>8027.5499999999956</v>
      </c>
      <c r="AT571" s="81"/>
      <c r="AU571" s="375"/>
      <c r="AV571" s="375"/>
      <c r="AW571" s="375">
        <v>11218.54</v>
      </c>
      <c r="AX571" s="375">
        <v>0</v>
      </c>
      <c r="AY571" s="375">
        <v>0</v>
      </c>
      <c r="AZ571" s="375">
        <v>7500</v>
      </c>
      <c r="BA571" s="375">
        <v>0</v>
      </c>
      <c r="BB571" s="375">
        <v>0</v>
      </c>
      <c r="BC571" s="375">
        <v>7500</v>
      </c>
      <c r="BD571" s="375">
        <v>0</v>
      </c>
      <c r="BE571" s="375">
        <v>7500</v>
      </c>
      <c r="BF571" s="375">
        <v>0</v>
      </c>
      <c r="BG571" s="375">
        <v>33718.54</v>
      </c>
      <c r="BH571" s="79"/>
      <c r="BI571" s="79"/>
      <c r="BJ571" s="79">
        <v>11218.54</v>
      </c>
      <c r="BK571" s="79">
        <v>0</v>
      </c>
      <c r="BL571" s="79">
        <v>0</v>
      </c>
      <c r="BM571" s="79">
        <v>7500</v>
      </c>
      <c r="BN571" s="79">
        <v>0</v>
      </c>
      <c r="BO571" s="79">
        <v>0</v>
      </c>
      <c r="BP571" s="79">
        <v>7500</v>
      </c>
      <c r="BQ571" s="79">
        <v>0</v>
      </c>
      <c r="BR571" s="79">
        <v>7500</v>
      </c>
      <c r="BS571" s="79">
        <v>0</v>
      </c>
      <c r="BT571" s="79">
        <v>33718.54</v>
      </c>
    </row>
    <row r="572" spans="1:72" ht="15" customHeight="1">
      <c r="A572" s="482" t="s">
        <v>1541</v>
      </c>
      <c r="B572" s="567"/>
      <c r="C572" s="561" t="s">
        <v>292</v>
      </c>
      <c r="D572" s="83" t="s">
        <v>1542</v>
      </c>
      <c r="E572" s="482" t="s">
        <v>1136</v>
      </c>
      <c r="F572" s="482" t="s">
        <v>1566</v>
      </c>
      <c r="G572" s="482" t="s">
        <v>1566</v>
      </c>
      <c r="H572" s="482" t="s">
        <v>1566</v>
      </c>
      <c r="I572" s="482" t="s">
        <v>1345</v>
      </c>
      <c r="J572" s="482" t="s">
        <v>1346</v>
      </c>
      <c r="K572" s="490" t="s">
        <v>1346</v>
      </c>
      <c r="L572" s="514" t="s">
        <v>49</v>
      </c>
      <c r="M572" s="568" t="s">
        <v>1543</v>
      </c>
      <c r="N572" s="492" t="s">
        <v>1167</v>
      </c>
      <c r="O572" s="332" t="s">
        <v>1499</v>
      </c>
      <c r="P572" s="300" t="s">
        <v>256</v>
      </c>
      <c r="Q572" s="347"/>
      <c r="R572" s="348" t="s">
        <v>2908</v>
      </c>
      <c r="S572" s="493"/>
      <c r="T572" s="493"/>
      <c r="U572" s="493"/>
      <c r="V572" s="440"/>
      <c r="W572" s="528"/>
      <c r="X572" s="570"/>
      <c r="Y572" s="425"/>
      <c r="Z572" s="425"/>
      <c r="AA572" s="496"/>
      <c r="AB572" s="496"/>
      <c r="AC572" s="496"/>
      <c r="AD572" s="481"/>
      <c r="AE572" s="502"/>
      <c r="AF572" s="429">
        <v>62153.7</v>
      </c>
      <c r="AG572" s="497"/>
      <c r="AH572" s="497"/>
      <c r="AI572" s="497"/>
      <c r="AJ572" s="497"/>
      <c r="AK572" s="497"/>
      <c r="AL572" s="497"/>
      <c r="AM572" s="498">
        <f t="shared" si="31"/>
        <v>62153.7</v>
      </c>
      <c r="AN572" s="571">
        <f>ERP_26[[#This Row],[2026 Working Total]]-ERP_26[[#This Row],[LE2 Final Submission]]</f>
        <v>62153.7</v>
      </c>
      <c r="AO572" s="82"/>
      <c r="AP572" s="82">
        <f t="shared" si="30"/>
        <v>62153.7</v>
      </c>
      <c r="AQ572" s="374">
        <f>SUM(ERP_26[[#This Row],[AP01]:[AP06]])-SUM(ERP_26[[#This Row],[AP01 LE2]:[AP06 LE2]])</f>
        <v>62153.7</v>
      </c>
      <c r="AR572" s="80"/>
      <c r="AS572" s="79">
        <f>ERP_26[[#This Row],[2026 Working Total to Budget/LE]]-ERP_26[[#This Row],[Giveback]]</f>
        <v>62153.7</v>
      </c>
      <c r="AT572" s="81"/>
      <c r="AU572" s="375"/>
      <c r="AV572" s="375"/>
      <c r="AW572" s="375"/>
      <c r="AX572" s="375"/>
      <c r="AY572" s="375"/>
      <c r="AZ572" s="375"/>
      <c r="BA572" s="375"/>
      <c r="BB572" s="375"/>
      <c r="BC572" s="375"/>
      <c r="BD572" s="375"/>
      <c r="BE572" s="375"/>
      <c r="BF572" s="375"/>
      <c r="BG572" s="500"/>
      <c r="BH572" s="79"/>
      <c r="BI572" s="79"/>
      <c r="BJ572" s="79"/>
      <c r="BK572" s="79"/>
      <c r="BL572" s="79"/>
      <c r="BM572" s="79"/>
      <c r="BN572" s="79"/>
      <c r="BO572" s="79"/>
      <c r="BP572" s="79"/>
      <c r="BQ572" s="79"/>
      <c r="BR572" s="79"/>
      <c r="BS572" s="79"/>
      <c r="BT572" s="82"/>
    </row>
    <row r="573" spans="1:72" ht="15" customHeight="1">
      <c r="A573" s="66" t="s">
        <v>1667</v>
      </c>
      <c r="B573" s="264" t="s">
        <v>2951</v>
      </c>
      <c r="C573" s="66" t="s">
        <v>337</v>
      </c>
      <c r="D573" s="66" t="s">
        <v>1668</v>
      </c>
      <c r="E573" s="150" t="s">
        <v>1136</v>
      </c>
      <c r="F573" s="482" t="s">
        <v>1566</v>
      </c>
      <c r="G573" s="482" t="s">
        <v>1566</v>
      </c>
      <c r="H573" s="482" t="s">
        <v>1566</v>
      </c>
      <c r="I573" s="150" t="s">
        <v>1345</v>
      </c>
      <c r="J573" s="150" t="s">
        <v>1346</v>
      </c>
      <c r="K573" s="150" t="s">
        <v>1346</v>
      </c>
      <c r="L573" s="511" t="s">
        <v>333</v>
      </c>
      <c r="M573" s="451" t="s">
        <v>1663</v>
      </c>
      <c r="N573" s="343"/>
      <c r="O573" s="343"/>
      <c r="P573" s="70" t="s">
        <v>336</v>
      </c>
      <c r="Q573" s="346"/>
      <c r="R573" s="346" t="s">
        <v>1140</v>
      </c>
      <c r="S573" s="346"/>
      <c r="T573" s="150" t="s">
        <v>25</v>
      </c>
      <c r="U573" s="150" t="s">
        <v>1666</v>
      </c>
      <c r="V573" s="453"/>
      <c r="W573" s="528">
        <v>0</v>
      </c>
      <c r="X573" s="529">
        <v>19503</v>
      </c>
      <c r="Y573" s="425"/>
      <c r="Z573" s="425"/>
      <c r="AA573" s="427">
        <v>336</v>
      </c>
      <c r="AB573" s="427">
        <v>337</v>
      </c>
      <c r="AC573" s="427">
        <v>1883</v>
      </c>
      <c r="AD573" s="428">
        <v>852.00000000000011</v>
      </c>
      <c r="AE573" s="429">
        <v>1823.6399999999999</v>
      </c>
      <c r="AF573" s="429">
        <v>1823.62</v>
      </c>
      <c r="AG573" s="363">
        <v>1883</v>
      </c>
      <c r="AH573" s="363">
        <v>1883</v>
      </c>
      <c r="AI573" s="363">
        <v>1883</v>
      </c>
      <c r="AJ573" s="363">
        <v>1883</v>
      </c>
      <c r="AK573" s="363">
        <v>1883</v>
      </c>
      <c r="AL573" s="363">
        <v>1883</v>
      </c>
      <c r="AM573" s="560">
        <f t="shared" si="31"/>
        <v>18353.259999999998</v>
      </c>
      <c r="AN573" s="455">
        <f>ERP_26[[#This Row],[2026 Working Total]]-ERP_26[[#This Row],[LE2 Final Submission]]</f>
        <v>-1149.7400000000016</v>
      </c>
      <c r="AO573" s="79">
        <v>1883</v>
      </c>
      <c r="AP573" s="79">
        <f t="shared" si="30"/>
        <v>-59.380000000000109</v>
      </c>
      <c r="AQ573" s="374">
        <f>SUM(ERP_26[[#This Row],[AP01]:[AP06]])-SUM(ERP_26[[#This Row],[AP01 LE2]:[AP06 LE2]])</f>
        <v>-1149.7400000000007</v>
      </c>
      <c r="AR573" s="80"/>
      <c r="AS573" s="79">
        <f>ERP_26[[#This Row],[2026 Working Total to Budget/LE]]-ERP_26[[#This Row],[Giveback]]</f>
        <v>-1149.7400000000016</v>
      </c>
      <c r="AT573" s="81"/>
      <c r="AU573" s="375">
        <v>336</v>
      </c>
      <c r="AV573" s="375">
        <v>337</v>
      </c>
      <c r="AW573" s="375">
        <v>1883</v>
      </c>
      <c r="AX573" s="375">
        <v>1883</v>
      </c>
      <c r="AY573" s="375">
        <v>1883</v>
      </c>
      <c r="AZ573" s="375">
        <v>1883</v>
      </c>
      <c r="BA573" s="375">
        <v>1883</v>
      </c>
      <c r="BB573" s="375">
        <v>1883</v>
      </c>
      <c r="BC573" s="375">
        <v>1883</v>
      </c>
      <c r="BD573" s="375">
        <v>1883</v>
      </c>
      <c r="BE573" s="375">
        <v>1883</v>
      </c>
      <c r="BF573" s="375">
        <v>1883</v>
      </c>
      <c r="BG573" s="375">
        <v>19503</v>
      </c>
      <c r="BH573" s="79">
        <v>336</v>
      </c>
      <c r="BI573" s="79">
        <v>337</v>
      </c>
      <c r="BJ573" s="79">
        <v>1883</v>
      </c>
      <c r="BK573" s="79">
        <v>0</v>
      </c>
      <c r="BL573" s="79">
        <v>0</v>
      </c>
      <c r="BM573" s="79">
        <v>0</v>
      </c>
      <c r="BN573" s="79">
        <v>0</v>
      </c>
      <c r="BO573" s="79">
        <v>0</v>
      </c>
      <c r="BP573" s="79">
        <v>0</v>
      </c>
      <c r="BQ573" s="79">
        <v>0</v>
      </c>
      <c r="BR573" s="79">
        <v>0</v>
      </c>
      <c r="BS573" s="79">
        <v>0</v>
      </c>
      <c r="BT573" s="79">
        <v>2556</v>
      </c>
    </row>
    <row r="574" spans="1:72" ht="15" customHeight="1">
      <c r="A574" s="66" t="s">
        <v>1669</v>
      </c>
      <c r="B574" s="264" t="s">
        <v>2950</v>
      </c>
      <c r="C574" s="66" t="s">
        <v>337</v>
      </c>
      <c r="D574" s="66" t="s">
        <v>1670</v>
      </c>
      <c r="E574" s="150" t="s">
        <v>1136</v>
      </c>
      <c r="F574" s="482" t="s">
        <v>1566</v>
      </c>
      <c r="G574" s="150" t="s">
        <v>1566</v>
      </c>
      <c r="H574" s="150" t="s">
        <v>1566</v>
      </c>
      <c r="I574" s="150" t="s">
        <v>1567</v>
      </c>
      <c r="J574" s="150" t="s">
        <v>1567</v>
      </c>
      <c r="K574" s="150" t="s">
        <v>1567</v>
      </c>
      <c r="L574" s="511" t="s">
        <v>333</v>
      </c>
      <c r="M574" s="451" t="s">
        <v>1663</v>
      </c>
      <c r="N574" s="343"/>
      <c r="O574" s="343"/>
      <c r="P574" s="70" t="s">
        <v>336</v>
      </c>
      <c r="Q574" s="346"/>
      <c r="R574" s="346" t="s">
        <v>1140</v>
      </c>
      <c r="S574" s="346"/>
      <c r="T574" s="150" t="s">
        <v>25</v>
      </c>
      <c r="U574" s="150" t="s">
        <v>1666</v>
      </c>
      <c r="V574" s="453"/>
      <c r="W574" s="528">
        <v>32110933.16</v>
      </c>
      <c r="X574" s="529">
        <v>34757461.509999998</v>
      </c>
      <c r="Y574" s="425"/>
      <c r="Z574" s="425"/>
      <c r="AA574" s="427">
        <v>2815065.65</v>
      </c>
      <c r="AB574" s="427">
        <v>3048410.85</v>
      </c>
      <c r="AC574" s="427">
        <v>3021391.85</v>
      </c>
      <c r="AD574" s="428">
        <v>2973057.3200000008</v>
      </c>
      <c r="AE574" s="429">
        <v>3070156.0000000009</v>
      </c>
      <c r="AF574" s="429">
        <v>2999435.120000001</v>
      </c>
      <c r="AG574" s="363">
        <v>2977460.79</v>
      </c>
      <c r="AH574" s="363">
        <v>2957767.97</v>
      </c>
      <c r="AI574" s="363">
        <v>2824180.51</v>
      </c>
      <c r="AJ574" s="363">
        <v>2683373.61</v>
      </c>
      <c r="AK574" s="363">
        <v>2683374.5</v>
      </c>
      <c r="AL574" s="363">
        <v>2683373.5699999998</v>
      </c>
      <c r="AM574" s="560">
        <f t="shared" si="31"/>
        <v>34737047.740000002</v>
      </c>
      <c r="AN574" s="455">
        <f>ERP_26[[#This Row],[2026 Working Total]]-ERP_26[[#This Row],[LE2 Final Submission]]</f>
        <v>-20413.769999995828</v>
      </c>
      <c r="AO574" s="79">
        <v>3021022.03</v>
      </c>
      <c r="AP574" s="79">
        <f t="shared" si="30"/>
        <v>-21586.909999998752</v>
      </c>
      <c r="AQ574" s="374">
        <f>SUM(ERP_26[[#This Row],[AP01]:[AP06]])-SUM(ERP_26[[#This Row],[AP01 LE2]:[AP06 LE2]])</f>
        <v>-20413.769999995828</v>
      </c>
      <c r="AR574" s="80"/>
      <c r="AS574" s="79">
        <f>ERP_26[[#This Row],[2026 Working Total to Budget/LE]]-ERP_26[[#This Row],[Giveback]]</f>
        <v>-20413.769999995828</v>
      </c>
      <c r="AT574" s="81"/>
      <c r="AU574" s="375">
        <v>2815065.65</v>
      </c>
      <c r="AV574" s="375">
        <v>3048410.85</v>
      </c>
      <c r="AW574" s="375">
        <v>3021391.85</v>
      </c>
      <c r="AX574" s="375">
        <v>3021020.11</v>
      </c>
      <c r="AY574" s="375">
        <v>3021022.03</v>
      </c>
      <c r="AZ574" s="375">
        <v>3021020.07</v>
      </c>
      <c r="BA574" s="375">
        <v>2977460.79</v>
      </c>
      <c r="BB574" s="375">
        <v>2957767.97</v>
      </c>
      <c r="BC574" s="375">
        <v>2824180.51</v>
      </c>
      <c r="BD574" s="375">
        <v>2683373.61</v>
      </c>
      <c r="BE574" s="375">
        <v>2683374.5</v>
      </c>
      <c r="BF574" s="375">
        <v>2683373.5699999998</v>
      </c>
      <c r="BG574" s="375">
        <v>34757461.509999998</v>
      </c>
      <c r="BH574" s="79">
        <v>2815065.65</v>
      </c>
      <c r="BI574" s="79">
        <v>3048410.85</v>
      </c>
      <c r="BJ574" s="79">
        <v>3021391.85</v>
      </c>
      <c r="BK574" s="79">
        <v>3021020.11</v>
      </c>
      <c r="BL574" s="79">
        <v>3021022.03</v>
      </c>
      <c r="BM574" s="79">
        <v>3021020.07</v>
      </c>
      <c r="BN574" s="79">
        <v>2977460.79</v>
      </c>
      <c r="BO574" s="79">
        <v>2957767.97</v>
      </c>
      <c r="BP574" s="79">
        <v>2824180.51</v>
      </c>
      <c r="BQ574" s="79">
        <v>2683373.61</v>
      </c>
      <c r="BR574" s="79">
        <v>2683374.5</v>
      </c>
      <c r="BS574" s="79">
        <v>2683373.5699999998</v>
      </c>
      <c r="BT574" s="79">
        <v>34757461.509999998</v>
      </c>
    </row>
    <row r="575" spans="1:72" ht="15" customHeight="1">
      <c r="A575" s="66" t="s">
        <v>2094</v>
      </c>
      <c r="B575" s="264" t="s">
        <v>2950</v>
      </c>
      <c r="C575" s="66" t="s">
        <v>569</v>
      </c>
      <c r="D575" s="66" t="s">
        <v>2095</v>
      </c>
      <c r="E575" s="150" t="s">
        <v>1136</v>
      </c>
      <c r="F575" s="482" t="s">
        <v>1566</v>
      </c>
      <c r="G575" s="482" t="s">
        <v>1566</v>
      </c>
      <c r="H575" s="482" t="s">
        <v>1566</v>
      </c>
      <c r="I575" s="150" t="s">
        <v>1345</v>
      </c>
      <c r="J575" s="150" t="s">
        <v>1346</v>
      </c>
      <c r="K575" s="150" t="s">
        <v>1346</v>
      </c>
      <c r="L575" s="511" t="s">
        <v>389</v>
      </c>
      <c r="M575" s="451" t="s">
        <v>1174</v>
      </c>
      <c r="N575" s="343"/>
      <c r="O575" s="343"/>
      <c r="P575" s="70" t="s">
        <v>56</v>
      </c>
      <c r="Q575" s="346"/>
      <c r="R575" s="346" t="s">
        <v>1140</v>
      </c>
      <c r="S575" s="346"/>
      <c r="T575" s="150" t="s">
        <v>57</v>
      </c>
      <c r="U575" s="150"/>
      <c r="V575" s="453"/>
      <c r="W575" s="528">
        <v>19212</v>
      </c>
      <c r="X575" s="529">
        <v>19118.86</v>
      </c>
      <c r="Y575" s="425"/>
      <c r="Z575" s="425"/>
      <c r="AA575" s="427">
        <v>1556.11</v>
      </c>
      <c r="AB575" s="427">
        <v>1531.5</v>
      </c>
      <c r="AC575" s="427">
        <v>1622.25</v>
      </c>
      <c r="AD575" s="428">
        <v>1712.9899999999998</v>
      </c>
      <c r="AE575" s="429">
        <v>1903.18</v>
      </c>
      <c r="AF575" s="429">
        <v>456.33000000000004</v>
      </c>
      <c r="AG575" s="363">
        <v>1601</v>
      </c>
      <c r="AH575" s="363">
        <v>1601</v>
      </c>
      <c r="AI575" s="363">
        <v>1601</v>
      </c>
      <c r="AJ575" s="363">
        <v>1601</v>
      </c>
      <c r="AK575" s="363">
        <v>1601</v>
      </c>
      <c r="AL575" s="363">
        <v>1601</v>
      </c>
      <c r="AM575" s="560">
        <f t="shared" si="31"/>
        <v>18388.36</v>
      </c>
      <c r="AN575" s="455">
        <f>ERP_26[[#This Row],[2026 Working Total]]-ERP_26[[#This Row],[LE2 Final Submission]]</f>
        <v>-730.5</v>
      </c>
      <c r="AO575" s="79">
        <v>1601</v>
      </c>
      <c r="AP575" s="79">
        <f t="shared" si="30"/>
        <v>-1144.67</v>
      </c>
      <c r="AQ575" s="374">
        <f>SUM(ERP_26[[#This Row],[AP01]:[AP06]])-SUM(ERP_26[[#This Row],[AP01 LE2]:[AP06 LE2]])</f>
        <v>-730.50000000000182</v>
      </c>
      <c r="AR575" s="80"/>
      <c r="AS575" s="79">
        <f>ERP_26[[#This Row],[2026 Working Total to Budget/LE]]-ERP_26[[#This Row],[Giveback]]</f>
        <v>-730.5</v>
      </c>
      <c r="AT575" s="81"/>
      <c r="AU575" s="375">
        <v>1556.11</v>
      </c>
      <c r="AV575" s="375">
        <v>1531.5</v>
      </c>
      <c r="AW575" s="375">
        <v>1622.25</v>
      </c>
      <c r="AX575" s="375">
        <v>1601</v>
      </c>
      <c r="AY575" s="375">
        <v>1601</v>
      </c>
      <c r="AZ575" s="375">
        <v>1601</v>
      </c>
      <c r="BA575" s="375">
        <v>1601</v>
      </c>
      <c r="BB575" s="375">
        <v>1601</v>
      </c>
      <c r="BC575" s="375">
        <v>1601</v>
      </c>
      <c r="BD575" s="375">
        <v>1601</v>
      </c>
      <c r="BE575" s="375">
        <v>1601</v>
      </c>
      <c r="BF575" s="375">
        <v>1601</v>
      </c>
      <c r="BG575" s="375">
        <v>19118.86</v>
      </c>
      <c r="BH575" s="79">
        <v>1556.11</v>
      </c>
      <c r="BI575" s="79">
        <v>1531.5</v>
      </c>
      <c r="BJ575" s="79">
        <v>1622.25</v>
      </c>
      <c r="BK575" s="79">
        <v>1601</v>
      </c>
      <c r="BL575" s="79">
        <v>1601</v>
      </c>
      <c r="BM575" s="79">
        <v>1601</v>
      </c>
      <c r="BN575" s="79">
        <v>1601</v>
      </c>
      <c r="BO575" s="79">
        <v>1601</v>
      </c>
      <c r="BP575" s="79">
        <v>1601</v>
      </c>
      <c r="BQ575" s="79">
        <v>1601</v>
      </c>
      <c r="BR575" s="79">
        <v>1601</v>
      </c>
      <c r="BS575" s="79">
        <v>1601</v>
      </c>
      <c r="BT575" s="79">
        <v>19118.86</v>
      </c>
    </row>
    <row r="576" spans="1:72" ht="15" customHeight="1">
      <c r="A576" s="66" t="s">
        <v>2096</v>
      </c>
      <c r="B576" s="264" t="s">
        <v>2951</v>
      </c>
      <c r="C576" s="66" t="s">
        <v>569</v>
      </c>
      <c r="D576" s="66" t="s">
        <v>2097</v>
      </c>
      <c r="E576" s="150" t="s">
        <v>1136</v>
      </c>
      <c r="F576" s="482" t="s">
        <v>1566</v>
      </c>
      <c r="G576" s="150" t="s">
        <v>1566</v>
      </c>
      <c r="H576" s="150" t="s">
        <v>1566</v>
      </c>
      <c r="I576" s="150" t="s">
        <v>1567</v>
      </c>
      <c r="J576" s="150" t="s">
        <v>1567</v>
      </c>
      <c r="K576" s="150" t="s">
        <v>1567</v>
      </c>
      <c r="L576" s="511" t="s">
        <v>389</v>
      </c>
      <c r="M576" s="451" t="s">
        <v>1174</v>
      </c>
      <c r="N576" s="343"/>
      <c r="O576" s="343"/>
      <c r="P576" s="70" t="s">
        <v>56</v>
      </c>
      <c r="Q576" s="346"/>
      <c r="R576" s="346" t="s">
        <v>1140</v>
      </c>
      <c r="S576" s="346"/>
      <c r="T576" s="150" t="s">
        <v>57</v>
      </c>
      <c r="U576" s="150"/>
      <c r="V576" s="453"/>
      <c r="W576" s="528">
        <v>42000</v>
      </c>
      <c r="X576" s="529">
        <v>36969.919999999998</v>
      </c>
      <c r="Y576" s="425"/>
      <c r="Z576" s="425"/>
      <c r="AA576" s="427">
        <v>1654.46</v>
      </c>
      <c r="AB576" s="427">
        <v>2175.66</v>
      </c>
      <c r="AC576" s="427">
        <v>1639.8</v>
      </c>
      <c r="AD576" s="428">
        <v>3229.0899999999997</v>
      </c>
      <c r="AE576" s="429">
        <v>4136.0599999999995</v>
      </c>
      <c r="AF576" s="429">
        <v>4975.22</v>
      </c>
      <c r="AG576" s="363">
        <v>3500</v>
      </c>
      <c r="AH576" s="363">
        <v>3500</v>
      </c>
      <c r="AI576" s="363">
        <v>3500</v>
      </c>
      <c r="AJ576" s="363">
        <v>3500</v>
      </c>
      <c r="AK576" s="363">
        <v>3500</v>
      </c>
      <c r="AL576" s="363">
        <v>3500</v>
      </c>
      <c r="AM576" s="560">
        <f t="shared" si="31"/>
        <v>38810.29</v>
      </c>
      <c r="AN576" s="455">
        <f>ERP_26[[#This Row],[2026 Working Total]]-ERP_26[[#This Row],[LE2 Final Submission]]</f>
        <v>1840.3700000000026</v>
      </c>
      <c r="AO576" s="79">
        <v>3500</v>
      </c>
      <c r="AP576" s="79">
        <f t="shared" si="30"/>
        <v>1475.2200000000003</v>
      </c>
      <c r="AQ576" s="374">
        <f>SUM(ERP_26[[#This Row],[AP01]:[AP06]])-SUM(ERP_26[[#This Row],[AP01 LE2]:[AP06 LE2]])</f>
        <v>1840.3700000000008</v>
      </c>
      <c r="AR576" s="80"/>
      <c r="AS576" s="79">
        <f>ERP_26[[#This Row],[2026 Working Total to Budget/LE]]-ERP_26[[#This Row],[Giveback]]</f>
        <v>1840.3700000000026</v>
      </c>
      <c r="AT576" s="81"/>
      <c r="AU576" s="375">
        <v>1654.46</v>
      </c>
      <c r="AV576" s="375">
        <v>2175.66</v>
      </c>
      <c r="AW576" s="375">
        <v>1639.8</v>
      </c>
      <c r="AX576" s="375">
        <v>3500</v>
      </c>
      <c r="AY576" s="375">
        <v>3500</v>
      </c>
      <c r="AZ576" s="375">
        <v>3500</v>
      </c>
      <c r="BA576" s="375">
        <v>3500</v>
      </c>
      <c r="BB576" s="375">
        <v>3500</v>
      </c>
      <c r="BC576" s="375">
        <v>3500</v>
      </c>
      <c r="BD576" s="375">
        <v>3500</v>
      </c>
      <c r="BE576" s="375">
        <v>3500</v>
      </c>
      <c r="BF576" s="375">
        <v>3500</v>
      </c>
      <c r="BG576" s="375">
        <v>36969.919999999998</v>
      </c>
      <c r="BH576" s="79">
        <v>1654.46</v>
      </c>
      <c r="BI576" s="79">
        <v>2175.66</v>
      </c>
      <c r="BJ576" s="79">
        <v>1639.8</v>
      </c>
      <c r="BK576" s="79">
        <v>3500</v>
      </c>
      <c r="BL576" s="79">
        <v>3500</v>
      </c>
      <c r="BM576" s="79">
        <v>3500</v>
      </c>
      <c r="BN576" s="79">
        <v>3500</v>
      </c>
      <c r="BO576" s="79">
        <v>3500</v>
      </c>
      <c r="BP576" s="79">
        <v>3500</v>
      </c>
      <c r="BQ576" s="79">
        <v>3500</v>
      </c>
      <c r="BR576" s="79">
        <v>3500</v>
      </c>
      <c r="BS576" s="79">
        <v>3500</v>
      </c>
      <c r="BT576" s="79">
        <v>36969.919999999998</v>
      </c>
    </row>
    <row r="577" spans="1:72" ht="15" customHeight="1">
      <c r="A577" s="66" t="s">
        <v>2842</v>
      </c>
      <c r="B577" s="264" t="s">
        <v>2950</v>
      </c>
      <c r="C577" s="66" t="s">
        <v>1034</v>
      </c>
      <c r="D577" s="66" t="s">
        <v>2843</v>
      </c>
      <c r="E577" s="150" t="s">
        <v>1136</v>
      </c>
      <c r="F577" s="482" t="s">
        <v>1566</v>
      </c>
      <c r="G577" s="150" t="s">
        <v>1566</v>
      </c>
      <c r="H577" s="150" t="s">
        <v>1566</v>
      </c>
      <c r="I577" s="150" t="s">
        <v>1567</v>
      </c>
      <c r="J577" s="150" t="s">
        <v>1567</v>
      </c>
      <c r="K577" s="150" t="s">
        <v>1567</v>
      </c>
      <c r="L577" s="511" t="s">
        <v>1027</v>
      </c>
      <c r="M577" s="451" t="s">
        <v>2830</v>
      </c>
      <c r="N577" s="343"/>
      <c r="O577" s="343"/>
      <c r="P577" s="70" t="s">
        <v>1029</v>
      </c>
      <c r="Q577" s="346"/>
      <c r="R577" s="343"/>
      <c r="S577" s="346"/>
      <c r="T577" s="150" t="s">
        <v>25</v>
      </c>
      <c r="U577" s="150"/>
      <c r="V577" s="453"/>
      <c r="W577" s="528">
        <v>3200</v>
      </c>
      <c r="X577" s="529">
        <v>4217.2800000000007</v>
      </c>
      <c r="Y577" s="425"/>
      <c r="Z577" s="425"/>
      <c r="AA577" s="427">
        <v>470.66</v>
      </c>
      <c r="AB577" s="427">
        <v>1081.01</v>
      </c>
      <c r="AC577" s="427">
        <v>665.61</v>
      </c>
      <c r="AD577" s="428">
        <v>309.95</v>
      </c>
      <c r="AE577" s="429">
        <v>41.64</v>
      </c>
      <c r="AF577" s="429">
        <v>76.3</v>
      </c>
      <c r="AG577" s="363">
        <v>200</v>
      </c>
      <c r="AH577" s="363">
        <v>200</v>
      </c>
      <c r="AI577" s="363">
        <v>200</v>
      </c>
      <c r="AJ577" s="363">
        <v>200</v>
      </c>
      <c r="AK577" s="363">
        <v>200</v>
      </c>
      <c r="AL577" s="363">
        <v>200</v>
      </c>
      <c r="AM577" s="560">
        <f t="shared" si="31"/>
        <v>3845.17</v>
      </c>
      <c r="AN577" s="455">
        <f>ERP_26[[#This Row],[2026 Working Total]]-ERP_26[[#This Row],[LE2 Final Submission]]</f>
        <v>-372.11000000000058</v>
      </c>
      <c r="AO577" s="79">
        <v>300</v>
      </c>
      <c r="AP577" s="79">
        <f t="shared" si="30"/>
        <v>-223.7</v>
      </c>
      <c r="AQ577" s="374">
        <f>SUM(ERP_26[[#This Row],[AP01]:[AP06]])-SUM(ERP_26[[#This Row],[AP01 LE2]:[AP06 LE2]])</f>
        <v>-372.11000000000013</v>
      </c>
      <c r="AR577" s="80"/>
      <c r="AS577" s="79">
        <f>ERP_26[[#This Row],[2026 Working Total to Budget/LE]]-ERP_26[[#This Row],[Giveback]]</f>
        <v>-372.11000000000058</v>
      </c>
      <c r="AT577" s="81"/>
      <c r="AU577" s="375">
        <v>470.66</v>
      </c>
      <c r="AV577" s="375">
        <v>1081.01</v>
      </c>
      <c r="AW577" s="375">
        <v>665.61</v>
      </c>
      <c r="AX577" s="375">
        <v>200</v>
      </c>
      <c r="AY577" s="375">
        <v>300</v>
      </c>
      <c r="AZ577" s="375">
        <v>300</v>
      </c>
      <c r="BA577" s="375">
        <v>200</v>
      </c>
      <c r="BB577" s="375">
        <v>200</v>
      </c>
      <c r="BC577" s="375">
        <v>200</v>
      </c>
      <c r="BD577" s="375">
        <v>200</v>
      </c>
      <c r="BE577" s="375">
        <v>200</v>
      </c>
      <c r="BF577" s="375">
        <v>200</v>
      </c>
      <c r="BG577" s="375">
        <v>4217.2800000000007</v>
      </c>
      <c r="BH577" s="79">
        <v>470.66</v>
      </c>
      <c r="BI577" s="79">
        <v>1081.01</v>
      </c>
      <c r="BJ577" s="79">
        <v>665.61</v>
      </c>
      <c r="BK577" s="79">
        <v>200</v>
      </c>
      <c r="BL577" s="79">
        <v>300</v>
      </c>
      <c r="BM577" s="79">
        <v>300</v>
      </c>
      <c r="BN577" s="79">
        <v>200</v>
      </c>
      <c r="BO577" s="79">
        <v>200</v>
      </c>
      <c r="BP577" s="79">
        <v>200</v>
      </c>
      <c r="BQ577" s="79">
        <v>200</v>
      </c>
      <c r="BR577" s="79">
        <v>200</v>
      </c>
      <c r="BS577" s="79">
        <v>200</v>
      </c>
      <c r="BT577" s="79">
        <v>4217.2800000000007</v>
      </c>
    </row>
    <row r="578" spans="1:72" ht="15" customHeight="1">
      <c r="A578" s="66" t="s">
        <v>2840</v>
      </c>
      <c r="B578" s="264" t="s">
        <v>2951</v>
      </c>
      <c r="C578" s="66" t="s">
        <v>1034</v>
      </c>
      <c r="D578" s="66" t="s">
        <v>2841</v>
      </c>
      <c r="E578" s="150" t="s">
        <v>1136</v>
      </c>
      <c r="F578" s="482" t="s">
        <v>1566</v>
      </c>
      <c r="G578" s="482" t="s">
        <v>1566</v>
      </c>
      <c r="H578" s="482" t="s">
        <v>1566</v>
      </c>
      <c r="I578" s="150" t="s">
        <v>1345</v>
      </c>
      <c r="J578" s="150" t="s">
        <v>1346</v>
      </c>
      <c r="K578" s="150" t="s">
        <v>1346</v>
      </c>
      <c r="L578" s="511" t="s">
        <v>1027</v>
      </c>
      <c r="M578" s="451" t="s">
        <v>2830</v>
      </c>
      <c r="N578" s="343"/>
      <c r="O578" s="343"/>
      <c r="P578" s="70" t="s">
        <v>1029</v>
      </c>
      <c r="Q578" s="346"/>
      <c r="R578" s="343"/>
      <c r="S578" s="346"/>
      <c r="T578" s="150" t="s">
        <v>25</v>
      </c>
      <c r="U578" s="150"/>
      <c r="V578" s="453"/>
      <c r="W578" s="528">
        <v>157900</v>
      </c>
      <c r="X578" s="529">
        <v>130982.95</v>
      </c>
      <c r="Y578" s="430"/>
      <c r="Z578" s="430"/>
      <c r="AA578" s="427">
        <v>2896.56</v>
      </c>
      <c r="AB578" s="427">
        <v>3761.9</v>
      </c>
      <c r="AC578" s="427">
        <v>4324.49</v>
      </c>
      <c r="AD578" s="428">
        <v>5457.6899999999987</v>
      </c>
      <c r="AE578" s="429">
        <v>8526.0100000000039</v>
      </c>
      <c r="AF578" s="429">
        <v>5199.119999999999</v>
      </c>
      <c r="AG578" s="363">
        <v>13500</v>
      </c>
      <c r="AH578" s="363">
        <v>13700</v>
      </c>
      <c r="AI578" s="363">
        <v>13700</v>
      </c>
      <c r="AJ578" s="363">
        <v>13700</v>
      </c>
      <c r="AK578" s="363">
        <v>13800</v>
      </c>
      <c r="AL578" s="363">
        <v>13800</v>
      </c>
      <c r="AM578" s="560">
        <f t="shared" si="31"/>
        <v>112365.77</v>
      </c>
      <c r="AN578" s="455">
        <f>ERP_26[[#This Row],[2026 Working Total]]-ERP_26[[#This Row],[LE2 Final Submission]]</f>
        <v>-18617.179999999993</v>
      </c>
      <c r="AO578" s="79">
        <v>12300</v>
      </c>
      <c r="AP578" s="79">
        <f t="shared" si="30"/>
        <v>-7100.880000000001</v>
      </c>
      <c r="AQ578" s="374">
        <f>SUM(ERP_26[[#This Row],[AP01]:[AP06]])-SUM(ERP_26[[#This Row],[AP01 LE2]:[AP06 LE2]])</f>
        <v>-18617.179999999997</v>
      </c>
      <c r="AR578" s="80"/>
      <c r="AS578" s="79">
        <f>ERP_26[[#This Row],[2026 Working Total to Budget/LE]]-ERP_26[[#This Row],[Giveback]]</f>
        <v>-18617.179999999993</v>
      </c>
      <c r="AT578" s="81"/>
      <c r="AU578" s="375">
        <v>2896.56</v>
      </c>
      <c r="AV578" s="375">
        <v>3761.9</v>
      </c>
      <c r="AW578" s="375">
        <v>4324.49</v>
      </c>
      <c r="AX578" s="375">
        <v>12300</v>
      </c>
      <c r="AY578" s="375">
        <v>12300</v>
      </c>
      <c r="AZ578" s="375">
        <v>13200</v>
      </c>
      <c r="BA578" s="375">
        <v>13500</v>
      </c>
      <c r="BB578" s="375">
        <v>13700</v>
      </c>
      <c r="BC578" s="375">
        <v>13700</v>
      </c>
      <c r="BD578" s="375">
        <v>13700</v>
      </c>
      <c r="BE578" s="375">
        <v>13800</v>
      </c>
      <c r="BF578" s="375">
        <v>13800</v>
      </c>
      <c r="BG578" s="375">
        <v>130982.95</v>
      </c>
      <c r="BH578" s="79">
        <v>2896.56</v>
      </c>
      <c r="BI578" s="79">
        <v>3761.9</v>
      </c>
      <c r="BJ578" s="79">
        <v>4324.49</v>
      </c>
      <c r="BK578" s="79">
        <v>12300</v>
      </c>
      <c r="BL578" s="79">
        <v>12300</v>
      </c>
      <c r="BM578" s="79">
        <v>13200</v>
      </c>
      <c r="BN578" s="79">
        <v>13500</v>
      </c>
      <c r="BO578" s="79">
        <v>13700</v>
      </c>
      <c r="BP578" s="79">
        <v>13700</v>
      </c>
      <c r="BQ578" s="79">
        <v>13700</v>
      </c>
      <c r="BR578" s="79">
        <v>13800</v>
      </c>
      <c r="BS578" s="79">
        <v>13800</v>
      </c>
      <c r="BT578" s="79">
        <v>130982.95</v>
      </c>
    </row>
  </sheetData>
  <sheetProtection formatCells="0" formatColumns="0" formatRows="0" insertRows="0" sort="0" autoFilter="0" pivotTables="0"/>
  <conditionalFormatting sqref="A1:A1048576">
    <cfRule type="duplicateValues" dxfId="344" priority="1"/>
  </conditionalFormatting>
  <conditionalFormatting sqref="B579:B1048576 B1:B6 C7:C578">
    <cfRule type="duplicateValues" dxfId="343" priority="3"/>
  </conditionalFormatting>
  <conditionalFormatting sqref="C1:C1048576">
    <cfRule type="duplicateValues" dxfId="342" priority="2"/>
  </conditionalFormatting>
  <conditionalFormatting sqref="C579:C1048576 C1:C6 D7:D578">
    <cfRule type="duplicateValues" dxfId="341" priority="4"/>
  </conditionalFormatting>
  <conditionalFormatting sqref="D8:D578">
    <cfRule type="duplicateValues" dxfId="340" priority="35"/>
  </conditionalFormatting>
  <conditionalFormatting sqref="P522:P524">
    <cfRule type="duplicateValues" dxfId="339" priority="8"/>
  </conditionalFormatting>
  <conditionalFormatting sqref="P524">
    <cfRule type="duplicateValues" dxfId="338" priority="7"/>
  </conditionalFormatting>
  <conditionalFormatting sqref="P551:P565 O1:O6 P7:P549 O579:O1048576 P567:P578">
    <cfRule type="duplicateValues" dxfId="337" priority="10"/>
  </conditionalFormatting>
  <conditionalFormatting sqref="Q1:Q6">
    <cfRule type="duplicateValues" dxfId="336" priority="9"/>
  </conditionalFormatting>
  <conditionalFormatting sqref="AT26:BG26">
    <cfRule type="duplicateValues" dxfId="335" priority="6"/>
  </conditionalFormatting>
  <conditionalFormatting sqref="AT291:BG291">
    <cfRule type="duplicateValues" dxfId="334" priority="5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8663-34DE-49AD-865F-ACBBE215CDEE}">
  <dimension ref="A1:BT165"/>
  <sheetViews>
    <sheetView topLeftCell="A106" workbookViewId="0">
      <selection activeCell="AM2" sqref="AM2:AM17"/>
    </sheetView>
  </sheetViews>
  <sheetFormatPr defaultRowHeight="14.45"/>
  <cols>
    <col min="2" max="2" width="20.42578125" bestFit="1" customWidth="1"/>
    <col min="3" max="3" width="54.5703125" bestFit="1" customWidth="1"/>
    <col min="39" max="39" width="17.85546875" bestFit="1" customWidth="1"/>
  </cols>
  <sheetData>
    <row r="1" spans="1:72">
      <c r="A1" t="s">
        <v>1067</v>
      </c>
      <c r="B1" t="s">
        <v>2949</v>
      </c>
      <c r="C1" t="s">
        <v>1</v>
      </c>
      <c r="D1" t="s">
        <v>2918</v>
      </c>
      <c r="E1" t="s">
        <v>1072</v>
      </c>
      <c r="F1" t="s">
        <v>2919</v>
      </c>
      <c r="G1" t="s">
        <v>2920</v>
      </c>
      <c r="H1" t="s">
        <v>2921</v>
      </c>
      <c r="I1" t="s">
        <v>1073</v>
      </c>
      <c r="J1" t="s">
        <v>1074</v>
      </c>
      <c r="K1" t="s">
        <v>1075</v>
      </c>
      <c r="L1" t="s">
        <v>0</v>
      </c>
      <c r="M1" t="s">
        <v>1076</v>
      </c>
      <c r="N1" t="s">
        <v>1077</v>
      </c>
      <c r="O1" t="s">
        <v>1078</v>
      </c>
      <c r="P1" t="s">
        <v>2</v>
      </c>
      <c r="Q1" t="s">
        <v>1079</v>
      </c>
      <c r="R1" t="s">
        <v>1080</v>
      </c>
      <c r="S1" t="s">
        <v>1081</v>
      </c>
      <c r="T1" t="s">
        <v>3</v>
      </c>
      <c r="U1" t="s">
        <v>1082</v>
      </c>
      <c r="V1" t="s">
        <v>1083</v>
      </c>
      <c r="W1" t="s">
        <v>1084</v>
      </c>
      <c r="X1" t="s">
        <v>1085</v>
      </c>
      <c r="Y1" t="s">
        <v>1086</v>
      </c>
      <c r="Z1" t="s">
        <v>1087</v>
      </c>
      <c r="AA1" t="s">
        <v>1088</v>
      </c>
      <c r="AB1" t="s">
        <v>1089</v>
      </c>
      <c r="AC1" t="s">
        <v>1090</v>
      </c>
      <c r="AD1" t="s">
        <v>1091</v>
      </c>
      <c r="AE1" t="s">
        <v>1092</v>
      </c>
      <c r="AF1" t="s">
        <v>1093</v>
      </c>
      <c r="AG1" t="s">
        <v>1061</v>
      </c>
      <c r="AH1" t="s">
        <v>1094</v>
      </c>
      <c r="AI1" t="s">
        <v>1095</v>
      </c>
      <c r="AJ1" t="s">
        <v>1096</v>
      </c>
      <c r="AK1" t="s">
        <v>1097</v>
      </c>
      <c r="AL1" t="s">
        <v>1098</v>
      </c>
      <c r="AM1" t="s">
        <v>1099</v>
      </c>
      <c r="AN1" t="s">
        <v>1100</v>
      </c>
      <c r="AO1" t="s">
        <v>1101</v>
      </c>
      <c r="AP1" t="s">
        <v>1102</v>
      </c>
      <c r="AQ1" t="s">
        <v>1103</v>
      </c>
      <c r="AR1" t="s">
        <v>1104</v>
      </c>
      <c r="AS1" t="s">
        <v>1105</v>
      </c>
      <c r="AT1" t="s">
        <v>1106</v>
      </c>
      <c r="AU1" t="s">
        <v>1107</v>
      </c>
      <c r="AV1" t="s">
        <v>1108</v>
      </c>
      <c r="AW1" t="s">
        <v>1109</v>
      </c>
      <c r="AX1" t="s">
        <v>1110</v>
      </c>
      <c r="AY1" t="s">
        <v>1111</v>
      </c>
      <c r="AZ1" t="s">
        <v>1112</v>
      </c>
      <c r="BA1" t="s">
        <v>1113</v>
      </c>
      <c r="BB1" t="s">
        <v>1114</v>
      </c>
      <c r="BC1" t="s">
        <v>1115</v>
      </c>
      <c r="BD1" t="s">
        <v>1116</v>
      </c>
      <c r="BE1" t="s">
        <v>1117</v>
      </c>
      <c r="BF1" t="s">
        <v>1118</v>
      </c>
      <c r="BG1" t="s">
        <v>1119</v>
      </c>
      <c r="BH1" t="s">
        <v>1120</v>
      </c>
      <c r="BI1" t="s">
        <v>1121</v>
      </c>
      <c r="BJ1" t="s">
        <v>1122</v>
      </c>
      <c r="BK1" t="s">
        <v>1123</v>
      </c>
      <c r="BL1" t="s">
        <v>1124</v>
      </c>
      <c r="BM1" t="s">
        <v>1125</v>
      </c>
      <c r="BN1" t="s">
        <v>1126</v>
      </c>
      <c r="BO1" t="s">
        <v>1127</v>
      </c>
      <c r="BP1" t="s">
        <v>1128</v>
      </c>
      <c r="BQ1" t="s">
        <v>1129</v>
      </c>
      <c r="BR1" t="s">
        <v>1130</v>
      </c>
      <c r="BS1" t="s">
        <v>1131</v>
      </c>
      <c r="BT1" t="s">
        <v>1132</v>
      </c>
    </row>
    <row r="2" spans="1:72">
      <c r="A2" t="s">
        <v>1163</v>
      </c>
      <c r="B2" t="s">
        <v>2952</v>
      </c>
      <c r="C2" t="s">
        <v>52</v>
      </c>
      <c r="D2" t="s">
        <v>1164</v>
      </c>
      <c r="E2" t="s">
        <v>1136</v>
      </c>
      <c r="F2" t="s">
        <v>1566</v>
      </c>
      <c r="G2" t="s">
        <v>1135</v>
      </c>
      <c r="H2" t="s">
        <v>1165</v>
      </c>
      <c r="I2" t="s">
        <v>1135</v>
      </c>
      <c r="J2" t="s">
        <v>1165</v>
      </c>
      <c r="K2" t="s">
        <v>1165</v>
      </c>
      <c r="L2" t="s">
        <v>49</v>
      </c>
      <c r="M2" t="s">
        <v>1166</v>
      </c>
      <c r="N2" t="s">
        <v>1167</v>
      </c>
      <c r="O2" t="s">
        <v>1168</v>
      </c>
      <c r="P2" t="s">
        <v>53</v>
      </c>
      <c r="AD2">
        <v>24147</v>
      </c>
      <c r="AE2">
        <v>-46130</v>
      </c>
      <c r="AF2">
        <v>-215360</v>
      </c>
      <c r="AM2">
        <v>-237343</v>
      </c>
      <c r="AN2">
        <v>-237343</v>
      </c>
      <c r="AP2">
        <v>-215360</v>
      </c>
      <c r="AQ2">
        <v>-237343</v>
      </c>
      <c r="AS2">
        <v>-237343</v>
      </c>
    </row>
    <row r="3" spans="1:72">
      <c r="A3" t="s">
        <v>1159</v>
      </c>
      <c r="B3" t="s">
        <v>2952</v>
      </c>
      <c r="C3" t="s">
        <v>52</v>
      </c>
      <c r="D3" t="s">
        <v>1160</v>
      </c>
      <c r="E3" t="s">
        <v>1136</v>
      </c>
      <c r="F3" t="s">
        <v>1566</v>
      </c>
      <c r="G3" t="s">
        <v>1135</v>
      </c>
      <c r="H3" t="s">
        <v>1161</v>
      </c>
      <c r="I3" t="s">
        <v>1135</v>
      </c>
      <c r="J3" t="s">
        <v>1161</v>
      </c>
      <c r="K3" t="s">
        <v>1137</v>
      </c>
      <c r="L3" t="s">
        <v>49</v>
      </c>
      <c r="M3" t="s">
        <v>1147</v>
      </c>
      <c r="P3" t="s">
        <v>53</v>
      </c>
      <c r="Q3" t="s">
        <v>1153</v>
      </c>
      <c r="T3" t="s">
        <v>25</v>
      </c>
      <c r="U3" t="s">
        <v>1162</v>
      </c>
      <c r="W3">
        <v>0</v>
      </c>
      <c r="X3">
        <v>-68766</v>
      </c>
      <c r="AB3">
        <v>-57216</v>
      </c>
      <c r="AC3">
        <v>-11550</v>
      </c>
      <c r="AD3" t="s">
        <v>1142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-68766</v>
      </c>
      <c r="AN3">
        <v>0</v>
      </c>
      <c r="AO3">
        <v>0</v>
      </c>
      <c r="AP3">
        <v>0</v>
      </c>
      <c r="AQ3">
        <v>0</v>
      </c>
      <c r="AS3">
        <v>0</v>
      </c>
      <c r="AV3">
        <v>-57216</v>
      </c>
      <c r="AW3">
        <v>-11550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-68766</v>
      </c>
      <c r="BI3">
        <v>-57216</v>
      </c>
      <c r="BJ3">
        <v>-11550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-68766</v>
      </c>
    </row>
    <row r="4" spans="1:72">
      <c r="A4" t="s">
        <v>1146</v>
      </c>
      <c r="B4" t="s">
        <v>2952</v>
      </c>
      <c r="C4" t="s">
        <v>52</v>
      </c>
      <c r="D4" t="s">
        <v>52</v>
      </c>
      <c r="E4" t="s">
        <v>1136</v>
      </c>
      <c r="F4" t="s">
        <v>1566</v>
      </c>
      <c r="G4" t="s">
        <v>1135</v>
      </c>
      <c r="H4" t="s">
        <v>1135</v>
      </c>
      <c r="I4" t="s">
        <v>1135</v>
      </c>
      <c r="J4" t="s">
        <v>1135</v>
      </c>
      <c r="K4" t="s">
        <v>1137</v>
      </c>
      <c r="L4" t="s">
        <v>49</v>
      </c>
      <c r="M4" t="s">
        <v>1147</v>
      </c>
      <c r="P4" t="s">
        <v>53</v>
      </c>
      <c r="Q4" t="s">
        <v>1149</v>
      </c>
      <c r="T4" t="s">
        <v>25</v>
      </c>
      <c r="W4">
        <v>0</v>
      </c>
      <c r="X4">
        <v>-51577</v>
      </c>
      <c r="AA4">
        <v>44340</v>
      </c>
      <c r="AB4">
        <v>-23011</v>
      </c>
      <c r="AC4">
        <v>-72906</v>
      </c>
      <c r="AD4">
        <v>9489</v>
      </c>
      <c r="AE4">
        <v>-2647</v>
      </c>
      <c r="AF4">
        <v>5440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-39295</v>
      </c>
      <c r="AN4">
        <v>12282</v>
      </c>
      <c r="AO4">
        <v>0</v>
      </c>
      <c r="AP4">
        <v>5440</v>
      </c>
      <c r="AQ4">
        <v>12282</v>
      </c>
      <c r="AS4">
        <v>12282</v>
      </c>
      <c r="AU4">
        <v>44340</v>
      </c>
      <c r="AV4">
        <v>-23011</v>
      </c>
      <c r="AW4">
        <v>-72906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-51577</v>
      </c>
      <c r="BH4">
        <v>44340</v>
      </c>
      <c r="BI4">
        <v>-23011</v>
      </c>
      <c r="BJ4">
        <v>-72906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-51577</v>
      </c>
    </row>
    <row r="5" spans="1:72">
      <c r="A5" t="s">
        <v>1154</v>
      </c>
      <c r="B5" t="s">
        <v>2952</v>
      </c>
      <c r="C5" t="s">
        <v>52</v>
      </c>
      <c r="D5" t="s">
        <v>1155</v>
      </c>
      <c r="E5" t="s">
        <v>1136</v>
      </c>
      <c r="F5" t="s">
        <v>1566</v>
      </c>
      <c r="G5" t="s">
        <v>1135</v>
      </c>
      <c r="H5" t="s">
        <v>1156</v>
      </c>
      <c r="I5" t="s">
        <v>1135</v>
      </c>
      <c r="J5" t="s">
        <v>1156</v>
      </c>
      <c r="K5" t="s">
        <v>1137</v>
      </c>
      <c r="L5" t="s">
        <v>49</v>
      </c>
      <c r="M5" t="s">
        <v>1147</v>
      </c>
      <c r="P5" t="s">
        <v>53</v>
      </c>
      <c r="Q5" t="s">
        <v>1153</v>
      </c>
      <c r="T5" t="s">
        <v>25</v>
      </c>
      <c r="U5" t="s">
        <v>1158</v>
      </c>
      <c r="W5">
        <v>0</v>
      </c>
      <c r="X5">
        <v>-1440</v>
      </c>
      <c r="AB5">
        <v>-1440</v>
      </c>
      <c r="AC5">
        <v>0</v>
      </c>
      <c r="AD5">
        <v>0</v>
      </c>
      <c r="AE5">
        <v>0</v>
      </c>
      <c r="AF5">
        <v>-18000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-19440</v>
      </c>
      <c r="AN5">
        <v>-18000</v>
      </c>
      <c r="AO5">
        <v>0</v>
      </c>
      <c r="AP5">
        <v>-18000</v>
      </c>
      <c r="AQ5">
        <v>-18000</v>
      </c>
      <c r="AS5">
        <v>-18000</v>
      </c>
      <c r="AV5">
        <v>-1440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-1440</v>
      </c>
      <c r="BI5">
        <v>-1440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-1440</v>
      </c>
    </row>
    <row r="6" spans="1:72">
      <c r="A6" t="s">
        <v>1339</v>
      </c>
      <c r="B6" t="s">
        <v>2952</v>
      </c>
      <c r="C6" t="s">
        <v>148</v>
      </c>
      <c r="D6" t="s">
        <v>148</v>
      </c>
      <c r="E6" t="s">
        <v>1136</v>
      </c>
      <c r="F6" t="s">
        <v>1566</v>
      </c>
      <c r="G6" t="s">
        <v>1135</v>
      </c>
      <c r="H6" t="s">
        <v>1135</v>
      </c>
      <c r="I6" t="s">
        <v>1135</v>
      </c>
      <c r="J6" t="s">
        <v>1135</v>
      </c>
      <c r="K6" t="s">
        <v>1137</v>
      </c>
      <c r="L6" t="s">
        <v>49</v>
      </c>
      <c r="M6" t="s">
        <v>1340</v>
      </c>
      <c r="P6" t="s">
        <v>149</v>
      </c>
      <c r="Q6" t="s">
        <v>1139</v>
      </c>
      <c r="T6" t="s">
        <v>25</v>
      </c>
      <c r="W6">
        <v>0</v>
      </c>
      <c r="X6">
        <v>-16166.66</v>
      </c>
      <c r="AA6">
        <v>0.34</v>
      </c>
      <c r="AB6">
        <v>-10499.16</v>
      </c>
      <c r="AC6">
        <v>-5667.84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-16166.66</v>
      </c>
      <c r="AN6">
        <v>0</v>
      </c>
      <c r="AO6">
        <v>0</v>
      </c>
      <c r="AP6">
        <v>0</v>
      </c>
      <c r="AQ6">
        <v>0</v>
      </c>
      <c r="AS6">
        <v>0</v>
      </c>
      <c r="AU6">
        <v>0.34</v>
      </c>
      <c r="AV6">
        <v>-10499.16</v>
      </c>
      <c r="AW6">
        <v>-5667.84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-16166.66</v>
      </c>
      <c r="BH6">
        <v>0.34</v>
      </c>
      <c r="BI6">
        <v>-10499.16</v>
      </c>
      <c r="BJ6">
        <v>-5667.84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-16166.66</v>
      </c>
    </row>
    <row r="7" spans="1:72">
      <c r="A7" t="s">
        <v>1341</v>
      </c>
      <c r="B7" t="s">
        <v>2952</v>
      </c>
      <c r="C7" t="s">
        <v>148</v>
      </c>
      <c r="D7" t="s">
        <v>1342</v>
      </c>
      <c r="E7" t="s">
        <v>1136</v>
      </c>
      <c r="F7" t="s">
        <v>1566</v>
      </c>
      <c r="G7" t="s">
        <v>1135</v>
      </c>
      <c r="H7" t="s">
        <v>1156</v>
      </c>
      <c r="I7" t="s">
        <v>1135</v>
      </c>
      <c r="J7" t="s">
        <v>1156</v>
      </c>
      <c r="K7" t="s">
        <v>1137</v>
      </c>
      <c r="L7" t="s">
        <v>49</v>
      </c>
      <c r="M7" t="s">
        <v>1340</v>
      </c>
      <c r="P7" t="s">
        <v>149</v>
      </c>
      <c r="Q7" t="s">
        <v>1139</v>
      </c>
      <c r="T7" t="s">
        <v>25</v>
      </c>
      <c r="W7">
        <v>0</v>
      </c>
      <c r="X7">
        <v>-14694</v>
      </c>
      <c r="AC7">
        <v>-14694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-14694</v>
      </c>
      <c r="AN7">
        <v>0</v>
      </c>
      <c r="AO7">
        <v>0</v>
      </c>
      <c r="AP7">
        <v>0</v>
      </c>
      <c r="AQ7">
        <v>0</v>
      </c>
      <c r="AS7">
        <v>0</v>
      </c>
      <c r="AW7">
        <v>-14694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-14694</v>
      </c>
      <c r="BJ7">
        <v>-14694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-14694</v>
      </c>
    </row>
    <row r="8" spans="1:72">
      <c r="A8" t="s">
        <v>2595</v>
      </c>
      <c r="B8" t="s">
        <v>2952</v>
      </c>
      <c r="C8" t="s">
        <v>899</v>
      </c>
      <c r="D8" t="s">
        <v>2596</v>
      </c>
      <c r="E8" t="s">
        <v>1136</v>
      </c>
      <c r="F8" t="s">
        <v>1566</v>
      </c>
      <c r="G8" t="s">
        <v>1135</v>
      </c>
      <c r="H8" t="s">
        <v>1135</v>
      </c>
      <c r="I8" t="s">
        <v>1135</v>
      </c>
      <c r="J8" t="s">
        <v>1137</v>
      </c>
      <c r="K8" t="s">
        <v>1137</v>
      </c>
      <c r="L8" t="s">
        <v>639</v>
      </c>
      <c r="M8" t="s">
        <v>1327</v>
      </c>
      <c r="P8" t="s">
        <v>147</v>
      </c>
      <c r="T8" t="s">
        <v>25</v>
      </c>
      <c r="U8" t="s">
        <v>1141</v>
      </c>
      <c r="W8">
        <v>0</v>
      </c>
      <c r="X8">
        <v>-1868.9199999999998</v>
      </c>
      <c r="AA8">
        <v>0.19</v>
      </c>
      <c r="AB8">
        <v>-0.3</v>
      </c>
      <c r="AC8">
        <v>-1868.81</v>
      </c>
      <c r="AD8">
        <v>0</v>
      </c>
      <c r="AE8">
        <v>0</v>
      </c>
      <c r="AF8">
        <v>11.07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-1857.85</v>
      </c>
      <c r="AN8">
        <v>11.069999999999936</v>
      </c>
      <c r="AO8">
        <v>0</v>
      </c>
      <c r="AP8">
        <v>11.07</v>
      </c>
      <c r="AQ8">
        <v>11.069999999999936</v>
      </c>
      <c r="AS8">
        <v>11.069999999999936</v>
      </c>
      <c r="AU8">
        <v>0.19</v>
      </c>
      <c r="AV8">
        <v>-0.3</v>
      </c>
      <c r="AW8">
        <v>-1868.81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-1868.9199999999998</v>
      </c>
      <c r="BH8">
        <v>0.19</v>
      </c>
      <c r="BI8">
        <v>-0.3</v>
      </c>
      <c r="BJ8">
        <v>-1868.81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-1868.9199999999998</v>
      </c>
    </row>
    <row r="9" spans="1:72">
      <c r="A9" t="s">
        <v>2807</v>
      </c>
      <c r="B9" t="s">
        <v>2952</v>
      </c>
      <c r="C9" t="s">
        <v>1015</v>
      </c>
      <c r="D9" t="s">
        <v>2808</v>
      </c>
      <c r="E9" t="s">
        <v>1136</v>
      </c>
      <c r="F9" t="s">
        <v>1566</v>
      </c>
      <c r="G9" t="s">
        <v>1566</v>
      </c>
      <c r="H9" t="s">
        <v>1566</v>
      </c>
      <c r="I9" t="s">
        <v>1567</v>
      </c>
      <c r="J9" t="s">
        <v>1567</v>
      </c>
      <c r="K9" t="s">
        <v>1567</v>
      </c>
      <c r="L9" t="s">
        <v>639</v>
      </c>
      <c r="M9" t="s">
        <v>1327</v>
      </c>
      <c r="P9" t="s">
        <v>147</v>
      </c>
      <c r="T9" t="s">
        <v>25</v>
      </c>
      <c r="W9">
        <v>0</v>
      </c>
      <c r="X9">
        <v>-711.61</v>
      </c>
      <c r="AA9">
        <v>-0.39</v>
      </c>
      <c r="AB9">
        <v>0.11</v>
      </c>
      <c r="AC9">
        <v>-711.33</v>
      </c>
      <c r="AD9">
        <v>0</v>
      </c>
      <c r="AE9">
        <v>0</v>
      </c>
      <c r="AF9">
        <v>-0.28999999999999998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-711.9</v>
      </c>
      <c r="AN9">
        <v>-0.28999999999996362</v>
      </c>
      <c r="AO9">
        <v>0</v>
      </c>
      <c r="AP9">
        <v>-0.28999999999999998</v>
      </c>
      <c r="AQ9">
        <v>-0.28999999999996362</v>
      </c>
      <c r="AS9">
        <v>-0.28999999999996362</v>
      </c>
      <c r="AU9">
        <v>-0.39</v>
      </c>
      <c r="AV9">
        <v>0.11</v>
      </c>
      <c r="AW9">
        <v>-711.33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-711.61</v>
      </c>
      <c r="BH9">
        <v>-0.39</v>
      </c>
      <c r="BI9">
        <v>0.11</v>
      </c>
      <c r="BJ9">
        <v>-711.33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-711.61</v>
      </c>
    </row>
    <row r="10" spans="1:72">
      <c r="A10" t="s">
        <v>1961</v>
      </c>
      <c r="B10" t="s">
        <v>2952</v>
      </c>
      <c r="C10" t="s">
        <v>491</v>
      </c>
      <c r="D10" t="s">
        <v>1962</v>
      </c>
      <c r="E10" t="s">
        <v>1136</v>
      </c>
      <c r="F10" t="s">
        <v>1566</v>
      </c>
      <c r="G10" t="s">
        <v>1135</v>
      </c>
      <c r="H10" t="s">
        <v>1165</v>
      </c>
      <c r="I10" t="s">
        <v>1135</v>
      </c>
      <c r="J10" t="s">
        <v>1165</v>
      </c>
      <c r="K10" t="s">
        <v>1137</v>
      </c>
      <c r="L10" t="s">
        <v>389</v>
      </c>
      <c r="M10" t="s">
        <v>1327</v>
      </c>
      <c r="P10" t="s">
        <v>147</v>
      </c>
      <c r="T10" t="s">
        <v>25</v>
      </c>
      <c r="U10" t="s">
        <v>1338</v>
      </c>
      <c r="W10">
        <v>0</v>
      </c>
      <c r="X10">
        <v>39996</v>
      </c>
      <c r="AA10">
        <v>0.22</v>
      </c>
      <c r="AB10">
        <v>45000.28</v>
      </c>
      <c r="AC10">
        <v>-5004.5</v>
      </c>
      <c r="AD10">
        <v>-0.6</v>
      </c>
      <c r="AE10">
        <v>-84995.74</v>
      </c>
      <c r="AF10">
        <v>44999.83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-0.51000000000203727</v>
      </c>
      <c r="AN10">
        <v>-39996.51</v>
      </c>
      <c r="AO10">
        <v>0</v>
      </c>
      <c r="AP10">
        <v>44999.83</v>
      </c>
      <c r="AQ10">
        <v>-39996.51</v>
      </c>
      <c r="AS10">
        <v>-39996.51</v>
      </c>
      <c r="AU10">
        <v>0.22</v>
      </c>
      <c r="AV10">
        <v>45000.28</v>
      </c>
      <c r="AW10">
        <v>-5004.5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39996</v>
      </c>
      <c r="BH10">
        <v>0.22</v>
      </c>
      <c r="BI10">
        <v>45000.28</v>
      </c>
      <c r="BJ10">
        <v>-5004.5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39996</v>
      </c>
    </row>
    <row r="11" spans="1:72">
      <c r="A11" t="s">
        <v>2033</v>
      </c>
      <c r="B11" t="s">
        <v>2952</v>
      </c>
      <c r="C11" t="s">
        <v>538</v>
      </c>
      <c r="D11" t="s">
        <v>2034</v>
      </c>
      <c r="E11" t="s">
        <v>1136</v>
      </c>
      <c r="F11" t="s">
        <v>1566</v>
      </c>
      <c r="G11" t="s">
        <v>1345</v>
      </c>
      <c r="H11" t="s">
        <v>1437</v>
      </c>
      <c r="I11" t="s">
        <v>1345</v>
      </c>
      <c r="J11" t="s">
        <v>1437</v>
      </c>
      <c r="K11" t="s">
        <v>1346</v>
      </c>
      <c r="L11" t="s">
        <v>389</v>
      </c>
      <c r="M11" t="s">
        <v>1327</v>
      </c>
      <c r="P11" t="s">
        <v>147</v>
      </c>
      <c r="T11" t="s">
        <v>25</v>
      </c>
      <c r="W11">
        <v>0</v>
      </c>
      <c r="X11">
        <v>-0.18000000000000002</v>
      </c>
      <c r="AA11">
        <v>-0.24</v>
      </c>
      <c r="AB11">
        <v>-0.17</v>
      </c>
      <c r="AC11">
        <v>0.23</v>
      </c>
      <c r="AD11">
        <v>0.67</v>
      </c>
      <c r="AE11">
        <v>-0.61</v>
      </c>
      <c r="AF11">
        <v>-0.32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-0.44</v>
      </c>
      <c r="AN11">
        <v>-0.26</v>
      </c>
      <c r="AO11">
        <v>0</v>
      </c>
      <c r="AP11">
        <v>-0.32</v>
      </c>
      <c r="AQ11">
        <v>-0.26</v>
      </c>
      <c r="AS11">
        <v>-0.26</v>
      </c>
      <c r="AU11">
        <v>-0.24</v>
      </c>
      <c r="AV11">
        <v>-0.17</v>
      </c>
      <c r="AW11">
        <v>0.23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-0.18000000000000002</v>
      </c>
      <c r="BH11">
        <v>-0.24</v>
      </c>
      <c r="BI11">
        <v>-0.17</v>
      </c>
      <c r="BJ11">
        <v>0.23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-0.18000000000000002</v>
      </c>
    </row>
    <row r="12" spans="1:72">
      <c r="A12" t="s">
        <v>2597</v>
      </c>
      <c r="B12" t="s">
        <v>2952</v>
      </c>
      <c r="C12" t="s">
        <v>899</v>
      </c>
      <c r="D12" t="s">
        <v>2598</v>
      </c>
      <c r="E12" t="s">
        <v>1136</v>
      </c>
      <c r="F12" t="s">
        <v>1566</v>
      </c>
      <c r="G12" t="s">
        <v>1135</v>
      </c>
      <c r="H12" t="s">
        <v>1145</v>
      </c>
      <c r="I12" t="s">
        <v>1135</v>
      </c>
      <c r="J12" t="s">
        <v>1145</v>
      </c>
      <c r="K12" t="s">
        <v>1137</v>
      </c>
      <c r="L12" t="s">
        <v>639</v>
      </c>
      <c r="M12" t="s">
        <v>1327</v>
      </c>
      <c r="P12" t="s">
        <v>147</v>
      </c>
      <c r="T12" t="s">
        <v>25</v>
      </c>
      <c r="W12">
        <v>0</v>
      </c>
      <c r="X12">
        <v>-0.26</v>
      </c>
      <c r="AA12">
        <v>-0.15</v>
      </c>
      <c r="AB12">
        <v>0.31</v>
      </c>
      <c r="AC12">
        <v>-0.42</v>
      </c>
      <c r="AD12">
        <v>-8.9999999999918145E-2</v>
      </c>
      <c r="AE12">
        <v>0.44</v>
      </c>
      <c r="AF12">
        <v>-0.49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-0.39999999999991814</v>
      </c>
      <c r="AN12">
        <v>-0.13999999999991813</v>
      </c>
      <c r="AO12">
        <v>0</v>
      </c>
      <c r="AP12">
        <v>-0.49</v>
      </c>
      <c r="AQ12">
        <v>-0.13999999999991813</v>
      </c>
      <c r="AS12">
        <v>-0.13999999999991813</v>
      </c>
      <c r="AU12">
        <v>-0.15</v>
      </c>
      <c r="AV12">
        <v>0.31</v>
      </c>
      <c r="AW12">
        <v>-0.42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-0.26</v>
      </c>
      <c r="BH12">
        <v>-0.15</v>
      </c>
      <c r="BI12">
        <v>0.31</v>
      </c>
      <c r="BJ12">
        <v>-0.42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-0.26</v>
      </c>
    </row>
    <row r="13" spans="1:72">
      <c r="A13" t="s">
        <v>1957</v>
      </c>
      <c r="B13" t="s">
        <v>2952</v>
      </c>
      <c r="C13" t="s">
        <v>491</v>
      </c>
      <c r="D13" t="s">
        <v>1958</v>
      </c>
      <c r="E13" t="s">
        <v>1136</v>
      </c>
      <c r="F13" t="s">
        <v>1566</v>
      </c>
      <c r="G13" t="s">
        <v>1135</v>
      </c>
      <c r="H13" t="s">
        <v>1145</v>
      </c>
      <c r="I13" t="s">
        <v>1135</v>
      </c>
      <c r="J13" t="s">
        <v>1145</v>
      </c>
      <c r="K13" t="s">
        <v>1137</v>
      </c>
      <c r="L13" t="s">
        <v>389</v>
      </c>
      <c r="M13" t="s">
        <v>1327</v>
      </c>
      <c r="P13" t="s">
        <v>147</v>
      </c>
      <c r="T13" t="s">
        <v>25</v>
      </c>
      <c r="W13">
        <v>0</v>
      </c>
      <c r="X13">
        <v>-0.12</v>
      </c>
      <c r="AA13">
        <v>0.02</v>
      </c>
      <c r="AB13">
        <v>0.04</v>
      </c>
      <c r="AC13">
        <v>-0.18</v>
      </c>
      <c r="AD13">
        <v>-0.02</v>
      </c>
      <c r="AE13">
        <v>0.19</v>
      </c>
      <c r="AF13">
        <v>-0.36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-0.30999999999999994</v>
      </c>
      <c r="AN13">
        <v>-0.18999999999999995</v>
      </c>
      <c r="AO13">
        <v>0</v>
      </c>
      <c r="AP13">
        <v>-0.36</v>
      </c>
      <c r="AQ13">
        <v>-0.18999999999999995</v>
      </c>
      <c r="AS13">
        <v>-0.18999999999999995</v>
      </c>
      <c r="AU13">
        <v>0.02</v>
      </c>
      <c r="AV13">
        <v>0.04</v>
      </c>
      <c r="AW13">
        <v>-0.18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-0.12</v>
      </c>
      <c r="BH13">
        <v>0.02</v>
      </c>
      <c r="BI13">
        <v>0.04</v>
      </c>
      <c r="BJ13">
        <v>-0.18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-0.12</v>
      </c>
    </row>
    <row r="14" spans="1:72">
      <c r="A14" t="s">
        <v>1746</v>
      </c>
      <c r="B14" t="s">
        <v>2952</v>
      </c>
      <c r="C14" t="s">
        <v>384</v>
      </c>
      <c r="D14" t="s">
        <v>1747</v>
      </c>
      <c r="E14" t="s">
        <v>1136</v>
      </c>
      <c r="F14" t="s">
        <v>1566</v>
      </c>
      <c r="G14" t="s">
        <v>1566</v>
      </c>
      <c r="H14" t="s">
        <v>1566</v>
      </c>
      <c r="I14" t="s">
        <v>1567</v>
      </c>
      <c r="J14" t="s">
        <v>1567</v>
      </c>
      <c r="K14" t="s">
        <v>1567</v>
      </c>
      <c r="L14" t="s">
        <v>342</v>
      </c>
      <c r="M14" t="s">
        <v>1327</v>
      </c>
      <c r="P14" t="s">
        <v>147</v>
      </c>
      <c r="T14" t="s">
        <v>25</v>
      </c>
      <c r="W14">
        <v>0</v>
      </c>
      <c r="X14">
        <v>-0.23</v>
      </c>
      <c r="AC14">
        <v>-0.23</v>
      </c>
      <c r="AD14">
        <v>-0.01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-0.24000000000000002</v>
      </c>
      <c r="AN14">
        <v>-1.0000000000000009E-2</v>
      </c>
      <c r="AO14">
        <v>0</v>
      </c>
      <c r="AP14">
        <v>0</v>
      </c>
      <c r="AQ14">
        <v>-1.0000000000000009E-2</v>
      </c>
      <c r="AS14">
        <v>-1.0000000000000009E-2</v>
      </c>
      <c r="AW14">
        <v>-0.23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-0.23</v>
      </c>
      <c r="BJ14">
        <v>-0.23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-0.23</v>
      </c>
    </row>
    <row r="15" spans="1:72">
      <c r="A15" t="s">
        <v>1332</v>
      </c>
      <c r="B15" t="s">
        <v>2952</v>
      </c>
      <c r="C15" t="s">
        <v>146</v>
      </c>
      <c r="D15" t="s">
        <v>1333</v>
      </c>
      <c r="E15" t="s">
        <v>1136</v>
      </c>
      <c r="F15" t="s">
        <v>1566</v>
      </c>
      <c r="G15" t="s">
        <v>1135</v>
      </c>
      <c r="H15" t="s">
        <v>1156</v>
      </c>
      <c r="I15" t="s">
        <v>1135</v>
      </c>
      <c r="J15" t="s">
        <v>1156</v>
      </c>
      <c r="K15" t="s">
        <v>1137</v>
      </c>
      <c r="L15" t="s">
        <v>49</v>
      </c>
      <c r="M15" t="s">
        <v>1327</v>
      </c>
      <c r="P15" t="s">
        <v>147</v>
      </c>
      <c r="T15" t="s">
        <v>25</v>
      </c>
      <c r="W15">
        <v>0</v>
      </c>
      <c r="X15">
        <v>-0.26</v>
      </c>
      <c r="AA15">
        <v>-0.38</v>
      </c>
      <c r="AB15">
        <v>0.21</v>
      </c>
      <c r="AC15">
        <v>-0.09</v>
      </c>
      <c r="AD15">
        <v>0.14000000000000001</v>
      </c>
      <c r="AE15">
        <v>0.52</v>
      </c>
      <c r="AF15">
        <v>-0.63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-0.22999999999999998</v>
      </c>
      <c r="AN15">
        <v>3.0000000000000027E-2</v>
      </c>
      <c r="AO15">
        <v>0</v>
      </c>
      <c r="AP15">
        <v>-0.63</v>
      </c>
      <c r="AQ15">
        <v>3.0000000000000027E-2</v>
      </c>
      <c r="AS15">
        <v>3.0000000000000027E-2</v>
      </c>
      <c r="AU15">
        <v>-0.38</v>
      </c>
      <c r="AV15">
        <v>0.21</v>
      </c>
      <c r="AW15">
        <v>-0.09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-0.26</v>
      </c>
      <c r="BH15">
        <v>-0.38</v>
      </c>
      <c r="BI15">
        <v>0.21</v>
      </c>
      <c r="BJ15">
        <v>-0.09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-0.26</v>
      </c>
    </row>
    <row r="16" spans="1:72">
      <c r="A16" t="s">
        <v>1959</v>
      </c>
      <c r="B16" t="s">
        <v>2952</v>
      </c>
      <c r="C16" t="s">
        <v>491</v>
      </c>
      <c r="D16" t="s">
        <v>1960</v>
      </c>
      <c r="E16" t="s">
        <v>1136</v>
      </c>
      <c r="F16" t="s">
        <v>1566</v>
      </c>
      <c r="G16" t="s">
        <v>1135</v>
      </c>
      <c r="H16" t="s">
        <v>1156</v>
      </c>
      <c r="I16" t="s">
        <v>1135</v>
      </c>
      <c r="J16" t="s">
        <v>1156</v>
      </c>
      <c r="K16" t="s">
        <v>1137</v>
      </c>
      <c r="L16" t="s">
        <v>389</v>
      </c>
      <c r="M16" t="s">
        <v>1327</v>
      </c>
      <c r="P16" t="s">
        <v>147</v>
      </c>
      <c r="T16" t="s">
        <v>25</v>
      </c>
      <c r="W16">
        <v>0</v>
      </c>
      <c r="X16">
        <v>-0.16999999999999998</v>
      </c>
      <c r="AB16">
        <v>0.42</v>
      </c>
      <c r="AC16">
        <v>-0.59</v>
      </c>
      <c r="AD16">
        <v>0.34</v>
      </c>
      <c r="AE16">
        <v>0.33</v>
      </c>
      <c r="AF16">
        <v>-0.56999999999999995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-6.9999999999999951E-2</v>
      </c>
      <c r="AN16">
        <v>0.10000000000000003</v>
      </c>
      <c r="AO16">
        <v>0</v>
      </c>
      <c r="AP16">
        <v>-0.56999999999999995</v>
      </c>
      <c r="AQ16">
        <v>0.10000000000000003</v>
      </c>
      <c r="AS16">
        <v>0.10000000000000003</v>
      </c>
      <c r="AV16">
        <v>0.42</v>
      </c>
      <c r="AW16">
        <v>-0.59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-0.16999999999999998</v>
      </c>
      <c r="BI16">
        <v>0.42</v>
      </c>
      <c r="BJ16">
        <v>-0.59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-0.16999999999999998</v>
      </c>
    </row>
    <row r="17" spans="1:72">
      <c r="A17" t="s">
        <v>2603</v>
      </c>
      <c r="B17" t="s">
        <v>2952</v>
      </c>
      <c r="C17" t="s">
        <v>899</v>
      </c>
      <c r="D17" t="s">
        <v>2604</v>
      </c>
      <c r="E17" t="s">
        <v>1136</v>
      </c>
      <c r="F17" t="s">
        <v>1566</v>
      </c>
      <c r="G17" t="s">
        <v>1135</v>
      </c>
      <c r="H17" t="s">
        <v>1165</v>
      </c>
      <c r="I17" t="s">
        <v>1135</v>
      </c>
      <c r="J17" t="s">
        <v>1165</v>
      </c>
      <c r="K17" t="s">
        <v>1137</v>
      </c>
      <c r="L17" t="s">
        <v>639</v>
      </c>
      <c r="M17" t="s">
        <v>1327</v>
      </c>
      <c r="P17" t="s">
        <v>147</v>
      </c>
      <c r="T17" t="s">
        <v>25</v>
      </c>
      <c r="U17" t="s">
        <v>1338</v>
      </c>
      <c r="W17">
        <v>0</v>
      </c>
      <c r="X17">
        <v>0.19999999999999996</v>
      </c>
      <c r="AA17">
        <v>-0.34</v>
      </c>
      <c r="AB17">
        <v>-0.09</v>
      </c>
      <c r="AC17">
        <v>0.63</v>
      </c>
      <c r="AD17">
        <v>-0.98</v>
      </c>
      <c r="AE17">
        <v>0.75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-3.0000000000000027E-2</v>
      </c>
      <c r="AN17">
        <v>-0.22999999999999998</v>
      </c>
      <c r="AO17">
        <v>0</v>
      </c>
      <c r="AP17">
        <v>0</v>
      </c>
      <c r="AQ17">
        <v>-0.22999999999999998</v>
      </c>
      <c r="AS17">
        <v>-0.22999999999999998</v>
      </c>
      <c r="AU17">
        <v>-0.34</v>
      </c>
      <c r="AV17">
        <v>-0.09</v>
      </c>
      <c r="AW17">
        <v>0.63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0.19999999999999996</v>
      </c>
      <c r="BH17">
        <v>-0.34</v>
      </c>
      <c r="BI17">
        <v>-0.09</v>
      </c>
      <c r="BJ17">
        <v>0.63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0.19999999999999996</v>
      </c>
    </row>
    <row r="18" spans="1:72">
      <c r="A18" t="s">
        <v>1143</v>
      </c>
      <c r="B18" t="s">
        <v>2952</v>
      </c>
      <c r="C18" t="s">
        <v>50</v>
      </c>
      <c r="D18" t="s">
        <v>1144</v>
      </c>
      <c r="E18" t="s">
        <v>1136</v>
      </c>
      <c r="F18" t="s">
        <v>1566</v>
      </c>
      <c r="G18" t="s">
        <v>1135</v>
      </c>
      <c r="H18" t="s">
        <v>1145</v>
      </c>
      <c r="I18" t="s">
        <v>1135</v>
      </c>
      <c r="J18" t="s">
        <v>1145</v>
      </c>
      <c r="K18" t="s">
        <v>1137</v>
      </c>
      <c r="L18" t="s">
        <v>49</v>
      </c>
      <c r="M18" t="s">
        <v>1138</v>
      </c>
      <c r="P18" t="s">
        <v>51</v>
      </c>
      <c r="Q18" t="s">
        <v>1139</v>
      </c>
      <c r="R18" t="s">
        <v>1140</v>
      </c>
      <c r="T18" t="s">
        <v>25</v>
      </c>
      <c r="W18">
        <v>1800</v>
      </c>
      <c r="X18">
        <v>3600</v>
      </c>
      <c r="AD18" t="s">
        <v>1142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-3600</v>
      </c>
      <c r="AO18">
        <v>0</v>
      </c>
      <c r="AP18">
        <v>0</v>
      </c>
      <c r="AQ18">
        <v>-3600</v>
      </c>
      <c r="AS18">
        <v>-3600</v>
      </c>
      <c r="AX18">
        <v>1800</v>
      </c>
      <c r="AY18">
        <v>0</v>
      </c>
      <c r="AZ18">
        <v>1800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3600</v>
      </c>
      <c r="BK18">
        <v>1800</v>
      </c>
      <c r="BL18">
        <v>0</v>
      </c>
      <c r="BM18">
        <v>1800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3600</v>
      </c>
    </row>
    <row r="19" spans="1:72">
      <c r="A19" t="s">
        <v>2878</v>
      </c>
      <c r="B19" t="s">
        <v>2952</v>
      </c>
      <c r="C19" t="s">
        <v>37</v>
      </c>
      <c r="D19" t="s">
        <v>2879</v>
      </c>
      <c r="E19" t="s">
        <v>1136</v>
      </c>
      <c r="F19" t="s">
        <v>1566</v>
      </c>
      <c r="G19" t="s">
        <v>1566</v>
      </c>
      <c r="H19" t="s">
        <v>1566</v>
      </c>
      <c r="I19" t="s">
        <v>1345</v>
      </c>
      <c r="J19" t="s">
        <v>1346</v>
      </c>
      <c r="K19" t="s">
        <v>1346</v>
      </c>
      <c r="L19" t="s">
        <v>22</v>
      </c>
      <c r="M19" t="s">
        <v>2868</v>
      </c>
      <c r="P19" t="s">
        <v>24</v>
      </c>
      <c r="Q19" t="s">
        <v>1139</v>
      </c>
      <c r="R19" t="s">
        <v>1140</v>
      </c>
      <c r="T19" t="s">
        <v>25</v>
      </c>
      <c r="W19">
        <v>6952243.9899999993</v>
      </c>
      <c r="X19">
        <v>0</v>
      </c>
      <c r="AD19" t="s">
        <v>1142</v>
      </c>
      <c r="AE19">
        <v>0</v>
      </c>
      <c r="AF19">
        <v>0</v>
      </c>
      <c r="AM19">
        <v>0</v>
      </c>
      <c r="AN19">
        <v>0</v>
      </c>
      <c r="AP19">
        <v>0</v>
      </c>
      <c r="AQ19">
        <v>0</v>
      </c>
      <c r="AS19">
        <v>0</v>
      </c>
      <c r="BG19">
        <v>0</v>
      </c>
      <c r="BH19">
        <v>423409.35</v>
      </c>
      <c r="BI19">
        <v>937161.13</v>
      </c>
      <c r="BJ19">
        <v>426573.21</v>
      </c>
      <c r="BK19">
        <v>561924.32999999996</v>
      </c>
      <c r="BL19">
        <v>560912.64000000001</v>
      </c>
      <c r="BM19">
        <v>576476.29</v>
      </c>
      <c r="BN19">
        <v>585831.80000000005</v>
      </c>
      <c r="BO19">
        <v>590499.77</v>
      </c>
      <c r="BP19">
        <v>590499.77</v>
      </c>
      <c r="BQ19">
        <v>590499.77</v>
      </c>
      <c r="BR19">
        <v>592897.86</v>
      </c>
      <c r="BS19">
        <v>592897.86</v>
      </c>
      <c r="BT19">
        <v>7029583.7799999993</v>
      </c>
    </row>
    <row r="20" spans="1:72">
      <c r="A20" t="s">
        <v>2885</v>
      </c>
      <c r="B20" t="s">
        <v>2952</v>
      </c>
      <c r="C20" t="s">
        <v>40</v>
      </c>
      <c r="D20" t="s">
        <v>2886</v>
      </c>
      <c r="E20" t="s">
        <v>1136</v>
      </c>
      <c r="F20" t="s">
        <v>1566</v>
      </c>
      <c r="G20" t="s">
        <v>1566</v>
      </c>
      <c r="H20" t="s">
        <v>1566</v>
      </c>
      <c r="I20" t="s">
        <v>1345</v>
      </c>
      <c r="J20" t="s">
        <v>1346</v>
      </c>
      <c r="K20" t="s">
        <v>1346</v>
      </c>
      <c r="L20" t="s">
        <v>22</v>
      </c>
      <c r="M20" t="s">
        <v>2870</v>
      </c>
      <c r="P20" t="s">
        <v>27</v>
      </c>
      <c r="Q20" t="s">
        <v>1139</v>
      </c>
      <c r="R20" t="s">
        <v>1140</v>
      </c>
      <c r="T20" t="s">
        <v>25</v>
      </c>
      <c r="W20">
        <v>2865793.42</v>
      </c>
      <c r="X20">
        <v>0</v>
      </c>
      <c r="AD20" t="s">
        <v>1142</v>
      </c>
      <c r="AE20">
        <v>0</v>
      </c>
      <c r="AF20">
        <v>0</v>
      </c>
      <c r="AM20">
        <v>0</v>
      </c>
      <c r="AN20">
        <v>0</v>
      </c>
      <c r="AP20">
        <v>0</v>
      </c>
      <c r="AQ20">
        <v>0</v>
      </c>
      <c r="AS20">
        <v>0</v>
      </c>
      <c r="BG20">
        <v>0</v>
      </c>
      <c r="BH20">
        <v>195133.21</v>
      </c>
      <c r="BI20">
        <v>214325.71</v>
      </c>
      <c r="BJ20">
        <v>291685.48</v>
      </c>
      <c r="BK20">
        <v>233173.12</v>
      </c>
      <c r="BL20">
        <v>232919.73</v>
      </c>
      <c r="BM20">
        <v>238777.23</v>
      </c>
      <c r="BN20">
        <v>240555.68</v>
      </c>
      <c r="BO20">
        <v>242084.56</v>
      </c>
      <c r="BP20">
        <v>242084.56</v>
      </c>
      <c r="BQ20">
        <v>242084.56</v>
      </c>
      <c r="BR20">
        <v>242516.91</v>
      </c>
      <c r="BS20">
        <v>242516.91</v>
      </c>
      <c r="BT20">
        <v>2857857.66</v>
      </c>
    </row>
    <row r="21" spans="1:72">
      <c r="A21" t="s">
        <v>1279</v>
      </c>
      <c r="B21" t="s">
        <v>2952</v>
      </c>
      <c r="C21" t="s">
        <v>120</v>
      </c>
      <c r="D21" t="s">
        <v>1280</v>
      </c>
      <c r="E21" t="s">
        <v>1136</v>
      </c>
      <c r="F21" t="s">
        <v>1566</v>
      </c>
      <c r="G21" t="s">
        <v>1135</v>
      </c>
      <c r="H21" t="s">
        <v>1135</v>
      </c>
      <c r="I21" t="s">
        <v>1135</v>
      </c>
      <c r="J21" t="s">
        <v>1137</v>
      </c>
      <c r="K21" t="s">
        <v>1137</v>
      </c>
      <c r="L21" t="s">
        <v>49</v>
      </c>
      <c r="M21" t="s">
        <v>1281</v>
      </c>
      <c r="P21" t="s">
        <v>121</v>
      </c>
      <c r="T21" t="s">
        <v>122</v>
      </c>
      <c r="W21">
        <v>0</v>
      </c>
      <c r="X21">
        <v>0</v>
      </c>
      <c r="AA21">
        <v>10113</v>
      </c>
      <c r="AB21">
        <v>11863.11</v>
      </c>
      <c r="AC21">
        <v>-21976.11</v>
      </c>
      <c r="AD21">
        <v>0</v>
      </c>
      <c r="AE21">
        <v>0</v>
      </c>
      <c r="AF21">
        <v>0</v>
      </c>
      <c r="AM21">
        <v>0</v>
      </c>
      <c r="AN21">
        <v>0</v>
      </c>
      <c r="AP21">
        <v>0</v>
      </c>
      <c r="AQ21">
        <v>0</v>
      </c>
      <c r="AS21">
        <v>0</v>
      </c>
      <c r="AU21">
        <v>10113</v>
      </c>
      <c r="AV21">
        <v>11863.11</v>
      </c>
      <c r="AW21">
        <v>-21976.11</v>
      </c>
      <c r="BG21">
        <v>0</v>
      </c>
      <c r="BH21">
        <v>10113</v>
      </c>
      <c r="BI21">
        <v>11863.11</v>
      </c>
      <c r="BJ21">
        <v>-21976.11</v>
      </c>
      <c r="BT21">
        <v>0</v>
      </c>
    </row>
    <row r="22" spans="1:72">
      <c r="A22" t="s">
        <v>2899</v>
      </c>
      <c r="B22" t="s">
        <v>2952</v>
      </c>
      <c r="C22" t="s">
        <v>23</v>
      </c>
      <c r="D22" t="s">
        <v>23</v>
      </c>
      <c r="E22" t="s">
        <v>1136</v>
      </c>
      <c r="F22" t="s">
        <v>1566</v>
      </c>
      <c r="G22" t="s">
        <v>1135</v>
      </c>
      <c r="H22" t="s">
        <v>1135</v>
      </c>
      <c r="I22" t="s">
        <v>1135</v>
      </c>
      <c r="J22" t="s">
        <v>1135</v>
      </c>
      <c r="K22" t="s">
        <v>1137</v>
      </c>
      <c r="L22" t="s">
        <v>22</v>
      </c>
      <c r="M22" t="s">
        <v>2868</v>
      </c>
      <c r="P22" t="s">
        <v>24</v>
      </c>
      <c r="Q22" t="s">
        <v>1139</v>
      </c>
      <c r="R22" t="s">
        <v>1140</v>
      </c>
      <c r="T22" t="s">
        <v>25</v>
      </c>
      <c r="W22">
        <v>0</v>
      </c>
      <c r="X22">
        <v>0</v>
      </c>
      <c r="AD22" t="s">
        <v>1142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267678</v>
      </c>
      <c r="BI22">
        <v>267678</v>
      </c>
      <c r="BJ22">
        <v>267678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803034</v>
      </c>
    </row>
    <row r="23" spans="1:72">
      <c r="A23" t="s">
        <v>2902</v>
      </c>
      <c r="B23" t="s">
        <v>2952</v>
      </c>
      <c r="C23" t="s">
        <v>26</v>
      </c>
      <c r="D23" t="s">
        <v>26</v>
      </c>
      <c r="E23" t="s">
        <v>1136</v>
      </c>
      <c r="F23" t="s">
        <v>1566</v>
      </c>
      <c r="G23" t="s">
        <v>1135</v>
      </c>
      <c r="H23" t="s">
        <v>1135</v>
      </c>
      <c r="I23" t="s">
        <v>1135</v>
      </c>
      <c r="J23" t="s">
        <v>1135</v>
      </c>
      <c r="K23" t="s">
        <v>1137</v>
      </c>
      <c r="L23" t="s">
        <v>22</v>
      </c>
      <c r="M23" t="s">
        <v>2870</v>
      </c>
      <c r="P23" t="s">
        <v>27</v>
      </c>
      <c r="Q23" t="s">
        <v>1139</v>
      </c>
      <c r="R23" t="s">
        <v>1140</v>
      </c>
      <c r="T23" t="s">
        <v>25</v>
      </c>
      <c r="W23">
        <v>0</v>
      </c>
      <c r="X23">
        <v>0</v>
      </c>
      <c r="AD23" t="s">
        <v>1142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119429</v>
      </c>
      <c r="BI23">
        <v>107869</v>
      </c>
      <c r="BJ23">
        <v>119891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347189</v>
      </c>
    </row>
    <row r="24" spans="1:72">
      <c r="A24" t="s">
        <v>1721</v>
      </c>
      <c r="B24" t="s">
        <v>2952</v>
      </c>
      <c r="C24" t="s">
        <v>375</v>
      </c>
      <c r="D24" t="s">
        <v>375</v>
      </c>
      <c r="E24" t="s">
        <v>1136</v>
      </c>
      <c r="F24" t="s">
        <v>1566</v>
      </c>
      <c r="G24" t="s">
        <v>1135</v>
      </c>
      <c r="H24" t="s">
        <v>1135</v>
      </c>
      <c r="I24" t="s">
        <v>1135</v>
      </c>
      <c r="J24" t="s">
        <v>1135</v>
      </c>
      <c r="K24" t="s">
        <v>1135</v>
      </c>
      <c r="L24" t="s">
        <v>342</v>
      </c>
      <c r="M24" t="s">
        <v>1327</v>
      </c>
      <c r="O24" t="s">
        <v>1171</v>
      </c>
      <c r="P24" t="s">
        <v>147</v>
      </c>
      <c r="AE24">
        <v>0</v>
      </c>
      <c r="AF24">
        <v>0</v>
      </c>
      <c r="AM24">
        <v>0</v>
      </c>
      <c r="AN24">
        <v>0</v>
      </c>
      <c r="AP24">
        <v>0</v>
      </c>
      <c r="AQ24">
        <v>0</v>
      </c>
      <c r="AS24">
        <v>0</v>
      </c>
    </row>
    <row r="25" spans="1:72">
      <c r="A25" t="s">
        <v>1807</v>
      </c>
      <c r="B25" t="s">
        <v>2952</v>
      </c>
      <c r="C25" t="s">
        <v>420</v>
      </c>
      <c r="D25" t="s">
        <v>1808</v>
      </c>
      <c r="E25" t="s">
        <v>1136</v>
      </c>
      <c r="F25" t="s">
        <v>1566</v>
      </c>
      <c r="G25" t="s">
        <v>1135</v>
      </c>
      <c r="H25" t="s">
        <v>1165</v>
      </c>
      <c r="I25" t="s">
        <v>1135</v>
      </c>
      <c r="J25" t="s">
        <v>1165</v>
      </c>
      <c r="K25" t="s">
        <v>1165</v>
      </c>
      <c r="L25" t="s">
        <v>389</v>
      </c>
      <c r="M25" t="s">
        <v>1809</v>
      </c>
      <c r="N25" t="s">
        <v>1167</v>
      </c>
      <c r="O25" t="s">
        <v>1284</v>
      </c>
      <c r="P25" t="s">
        <v>59</v>
      </c>
      <c r="R25" t="s">
        <v>1805</v>
      </c>
      <c r="AD25">
        <v>35539.5</v>
      </c>
      <c r="AE25">
        <v>-35539.5</v>
      </c>
      <c r="AF25">
        <v>0</v>
      </c>
      <c r="AM25">
        <v>0</v>
      </c>
      <c r="AN25">
        <v>0</v>
      </c>
      <c r="AP25">
        <v>0</v>
      </c>
      <c r="AQ25">
        <v>0</v>
      </c>
      <c r="AS25">
        <v>0</v>
      </c>
    </row>
    <row r="26" spans="1:72">
      <c r="A26" t="s">
        <v>1845</v>
      </c>
      <c r="B26" t="s">
        <v>2952</v>
      </c>
      <c r="C26" t="s">
        <v>440</v>
      </c>
      <c r="D26" t="s">
        <v>1846</v>
      </c>
      <c r="E26" t="s">
        <v>1136</v>
      </c>
      <c r="F26" t="s">
        <v>1566</v>
      </c>
      <c r="G26" t="s">
        <v>1135</v>
      </c>
      <c r="H26" t="s">
        <v>1165</v>
      </c>
      <c r="I26" t="s">
        <v>1135</v>
      </c>
      <c r="J26" t="s">
        <v>1165</v>
      </c>
      <c r="K26" t="s">
        <v>1137</v>
      </c>
      <c r="L26" t="s">
        <v>389</v>
      </c>
      <c r="M26" t="s">
        <v>1844</v>
      </c>
      <c r="P26" t="s">
        <v>441</v>
      </c>
      <c r="T26" t="s">
        <v>57</v>
      </c>
      <c r="W26">
        <v>10599.999996000004</v>
      </c>
      <c r="X26">
        <v>0</v>
      </c>
      <c r="AD26" t="s">
        <v>1142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-10600</v>
      </c>
      <c r="AS26">
        <v>10600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K26">
        <v>883.33333300000004</v>
      </c>
      <c r="BL26">
        <v>883.33333300000004</v>
      </c>
      <c r="BM26">
        <v>883.33333300000004</v>
      </c>
      <c r="BN26">
        <v>883.33333300000004</v>
      </c>
      <c r="BO26">
        <v>883.33333300000004</v>
      </c>
      <c r="BP26">
        <v>883.33333300000004</v>
      </c>
      <c r="BQ26">
        <v>883.33333300000004</v>
      </c>
      <c r="BR26">
        <v>883.33333300000004</v>
      </c>
      <c r="BS26">
        <v>883.33333300000004</v>
      </c>
      <c r="BT26">
        <v>7949.9999970000026</v>
      </c>
    </row>
    <row r="27" spans="1:72">
      <c r="A27" t="s">
        <v>1948</v>
      </c>
      <c r="B27" t="s">
        <v>2952</v>
      </c>
      <c r="C27" t="s">
        <v>485</v>
      </c>
      <c r="D27" t="s">
        <v>1949</v>
      </c>
      <c r="E27" t="s">
        <v>1136</v>
      </c>
      <c r="F27" t="s">
        <v>1566</v>
      </c>
      <c r="G27" t="s">
        <v>1135</v>
      </c>
      <c r="H27" t="s">
        <v>1145</v>
      </c>
      <c r="I27" t="s">
        <v>1135</v>
      </c>
      <c r="J27" t="s">
        <v>1145</v>
      </c>
      <c r="K27" t="s">
        <v>1137</v>
      </c>
      <c r="L27" t="s">
        <v>389</v>
      </c>
      <c r="M27" t="s">
        <v>1947</v>
      </c>
      <c r="P27" t="s">
        <v>486</v>
      </c>
      <c r="Q27" t="s">
        <v>1153</v>
      </c>
      <c r="T27" t="s">
        <v>487</v>
      </c>
      <c r="W27">
        <v>0</v>
      </c>
      <c r="X27">
        <v>0</v>
      </c>
      <c r="AB27">
        <v>-68030</v>
      </c>
      <c r="AC27">
        <v>68030</v>
      </c>
      <c r="AD27">
        <v>0</v>
      </c>
      <c r="AE27">
        <v>0</v>
      </c>
      <c r="AF27">
        <v>0</v>
      </c>
      <c r="AM27">
        <v>0</v>
      </c>
      <c r="AN27">
        <v>0</v>
      </c>
      <c r="AP27">
        <v>0</v>
      </c>
      <c r="AQ27">
        <v>0</v>
      </c>
      <c r="AS27">
        <v>0</v>
      </c>
      <c r="AV27">
        <v>-68030</v>
      </c>
      <c r="AW27">
        <v>68030</v>
      </c>
      <c r="BG27">
        <v>0</v>
      </c>
      <c r="BI27">
        <v>-68030</v>
      </c>
      <c r="BJ27">
        <v>68030</v>
      </c>
      <c r="BT27">
        <v>0</v>
      </c>
    </row>
    <row r="28" spans="1:72">
      <c r="A28" t="s">
        <v>2294</v>
      </c>
      <c r="B28" t="s">
        <v>2952</v>
      </c>
      <c r="C28" t="s">
        <v>678</v>
      </c>
      <c r="D28" t="s">
        <v>2295</v>
      </c>
      <c r="E28" t="s">
        <v>1136</v>
      </c>
      <c r="F28" t="s">
        <v>1566</v>
      </c>
      <c r="G28" t="s">
        <v>1135</v>
      </c>
      <c r="H28" t="s">
        <v>1145</v>
      </c>
      <c r="I28" t="s">
        <v>1135</v>
      </c>
      <c r="J28" t="s">
        <v>1145</v>
      </c>
      <c r="K28" t="s">
        <v>1137</v>
      </c>
      <c r="L28" t="s">
        <v>639</v>
      </c>
      <c r="M28" t="s">
        <v>2291</v>
      </c>
      <c r="P28" t="s">
        <v>679</v>
      </c>
      <c r="Q28" t="s">
        <v>1153</v>
      </c>
      <c r="R28" t="s">
        <v>1140</v>
      </c>
      <c r="T28" t="s">
        <v>680</v>
      </c>
      <c r="W28">
        <v>370</v>
      </c>
      <c r="X28">
        <v>370</v>
      </c>
      <c r="AD28" t="s">
        <v>1142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-370</v>
      </c>
      <c r="AO28">
        <v>0</v>
      </c>
      <c r="AP28">
        <v>0</v>
      </c>
      <c r="AQ28">
        <v>-370</v>
      </c>
      <c r="AS28">
        <v>-370</v>
      </c>
      <c r="AX28">
        <v>370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370</v>
      </c>
      <c r="BK28">
        <v>370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370</v>
      </c>
    </row>
    <row r="29" spans="1:72">
      <c r="A29" t="s">
        <v>2524</v>
      </c>
      <c r="B29" t="s">
        <v>2952</v>
      </c>
      <c r="C29" t="s">
        <v>850</v>
      </c>
      <c r="D29" t="s">
        <v>2525</v>
      </c>
      <c r="E29" t="s">
        <v>1136</v>
      </c>
      <c r="F29" t="s">
        <v>1566</v>
      </c>
      <c r="G29" t="s">
        <v>1135</v>
      </c>
      <c r="H29" t="s">
        <v>1145</v>
      </c>
      <c r="I29" t="s">
        <v>1135</v>
      </c>
      <c r="J29" t="s">
        <v>1145</v>
      </c>
      <c r="K29" t="s">
        <v>1137</v>
      </c>
      <c r="L29" t="s">
        <v>639</v>
      </c>
      <c r="M29" t="s">
        <v>2523</v>
      </c>
      <c r="P29" t="s">
        <v>851</v>
      </c>
      <c r="Q29" t="s">
        <v>1153</v>
      </c>
      <c r="T29" t="s">
        <v>64</v>
      </c>
      <c r="W29">
        <v>0</v>
      </c>
      <c r="X29">
        <v>0</v>
      </c>
      <c r="AA29">
        <v>127295.39</v>
      </c>
      <c r="AB29">
        <v>113379.22</v>
      </c>
      <c r="AC29">
        <v>-240674.61</v>
      </c>
      <c r="AD29">
        <v>0</v>
      </c>
      <c r="AE29">
        <v>0</v>
      </c>
      <c r="AF29">
        <v>0</v>
      </c>
      <c r="AM29">
        <v>0</v>
      </c>
      <c r="AN29">
        <v>0</v>
      </c>
      <c r="AP29">
        <v>0</v>
      </c>
      <c r="AQ29">
        <v>0</v>
      </c>
      <c r="AS29">
        <v>0</v>
      </c>
      <c r="AU29">
        <v>127295.39</v>
      </c>
      <c r="AV29">
        <v>113379.22</v>
      </c>
      <c r="AW29">
        <v>-240674.61</v>
      </c>
      <c r="BG29">
        <v>0</v>
      </c>
      <c r="BH29">
        <v>127295.39</v>
      </c>
      <c r="BI29">
        <v>113379.22</v>
      </c>
      <c r="BJ29">
        <v>-240674.61</v>
      </c>
      <c r="BT29">
        <v>0</v>
      </c>
    </row>
    <row r="30" spans="1:72">
      <c r="A30" t="s">
        <v>2527</v>
      </c>
      <c r="B30" t="s">
        <v>2952</v>
      </c>
      <c r="C30" t="s">
        <v>852</v>
      </c>
      <c r="D30" t="s">
        <v>2528</v>
      </c>
      <c r="E30" t="s">
        <v>1136</v>
      </c>
      <c r="F30" t="s">
        <v>1566</v>
      </c>
      <c r="G30" t="s">
        <v>1135</v>
      </c>
      <c r="H30" t="s">
        <v>1145</v>
      </c>
      <c r="I30" t="s">
        <v>1135</v>
      </c>
      <c r="J30" t="s">
        <v>1145</v>
      </c>
      <c r="K30" t="s">
        <v>1137</v>
      </c>
      <c r="L30" t="s">
        <v>639</v>
      </c>
      <c r="M30" t="s">
        <v>1947</v>
      </c>
      <c r="P30" t="s">
        <v>486</v>
      </c>
      <c r="Q30" t="s">
        <v>1153</v>
      </c>
      <c r="T30" t="s">
        <v>487</v>
      </c>
      <c r="W30">
        <v>0</v>
      </c>
      <c r="X30">
        <v>0</v>
      </c>
      <c r="AB30">
        <v>-158800</v>
      </c>
      <c r="AC30">
        <v>158800</v>
      </c>
      <c r="AD30">
        <v>0</v>
      </c>
      <c r="AE30">
        <v>0</v>
      </c>
      <c r="AF30">
        <v>0</v>
      </c>
      <c r="AM30">
        <v>0</v>
      </c>
      <c r="AN30">
        <v>0</v>
      </c>
      <c r="AP30">
        <v>0</v>
      </c>
      <c r="AQ30">
        <v>0</v>
      </c>
      <c r="AS30">
        <v>0</v>
      </c>
      <c r="AV30">
        <v>-158800</v>
      </c>
      <c r="AW30">
        <v>158800</v>
      </c>
      <c r="BG30">
        <v>0</v>
      </c>
      <c r="BI30">
        <v>-158800</v>
      </c>
      <c r="BJ30">
        <v>158800</v>
      </c>
      <c r="BT30">
        <v>0</v>
      </c>
    </row>
    <row r="31" spans="1:72">
      <c r="A31" t="s">
        <v>2900</v>
      </c>
      <c r="B31" t="s">
        <v>2952</v>
      </c>
      <c r="C31" t="s">
        <v>23</v>
      </c>
      <c r="D31" t="s">
        <v>2901</v>
      </c>
      <c r="E31" t="s">
        <v>1136</v>
      </c>
      <c r="F31" t="s">
        <v>1566</v>
      </c>
      <c r="G31" t="s">
        <v>1135</v>
      </c>
      <c r="H31" t="s">
        <v>1135</v>
      </c>
      <c r="I31" t="s">
        <v>1135</v>
      </c>
      <c r="J31" t="s">
        <v>1137</v>
      </c>
      <c r="K31" t="s">
        <v>1137</v>
      </c>
      <c r="L31" t="s">
        <v>22</v>
      </c>
      <c r="M31" t="s">
        <v>2868</v>
      </c>
      <c r="P31" t="s">
        <v>24</v>
      </c>
      <c r="Q31" t="s">
        <v>1139</v>
      </c>
      <c r="R31" t="s">
        <v>1140</v>
      </c>
      <c r="T31" t="s">
        <v>25</v>
      </c>
      <c r="W31">
        <v>3920122.6999999993</v>
      </c>
      <c r="X31">
        <v>0</v>
      </c>
      <c r="AD31" t="s">
        <v>1142</v>
      </c>
      <c r="AE31">
        <v>0</v>
      </c>
      <c r="AF31">
        <v>0</v>
      </c>
      <c r="AM31">
        <v>0</v>
      </c>
      <c r="AN31">
        <v>0</v>
      </c>
      <c r="AP31">
        <v>0</v>
      </c>
      <c r="AQ31">
        <v>0</v>
      </c>
      <c r="AS31">
        <v>0</v>
      </c>
      <c r="BG31">
        <v>0</v>
      </c>
      <c r="BH31">
        <v>95760.76</v>
      </c>
      <c r="BI31">
        <v>93858.59</v>
      </c>
      <c r="BJ31">
        <v>103661.36</v>
      </c>
      <c r="BK31">
        <v>322835.13</v>
      </c>
      <c r="BL31">
        <v>322835.13</v>
      </c>
      <c r="BM31">
        <v>322835.13</v>
      </c>
      <c r="BN31">
        <v>330985.75</v>
      </c>
      <c r="BO31">
        <v>330985.75</v>
      </c>
      <c r="BP31">
        <v>338079.72</v>
      </c>
      <c r="BQ31">
        <v>338079.72</v>
      </c>
      <c r="BR31">
        <v>338079.72</v>
      </c>
      <c r="BS31">
        <v>338079.72</v>
      </c>
      <c r="BT31">
        <v>3276076.4799999995</v>
      </c>
    </row>
    <row r="32" spans="1:72">
      <c r="A32" t="s">
        <v>2903</v>
      </c>
      <c r="B32" t="s">
        <v>2952</v>
      </c>
      <c r="C32" t="s">
        <v>26</v>
      </c>
      <c r="D32" t="s">
        <v>2904</v>
      </c>
      <c r="E32" t="s">
        <v>1136</v>
      </c>
      <c r="F32" t="s">
        <v>1566</v>
      </c>
      <c r="G32" t="s">
        <v>1135</v>
      </c>
      <c r="H32" t="s">
        <v>1135</v>
      </c>
      <c r="I32" t="s">
        <v>1135</v>
      </c>
      <c r="J32" t="s">
        <v>1137</v>
      </c>
      <c r="K32" t="s">
        <v>1137</v>
      </c>
      <c r="L32" t="s">
        <v>22</v>
      </c>
      <c r="M32" t="s">
        <v>2870</v>
      </c>
      <c r="P32" t="s">
        <v>27</v>
      </c>
      <c r="Q32" t="s">
        <v>1139</v>
      </c>
      <c r="R32" t="s">
        <v>1140</v>
      </c>
      <c r="T32" t="s">
        <v>25</v>
      </c>
      <c r="W32">
        <v>1729258.84</v>
      </c>
      <c r="X32">
        <v>0</v>
      </c>
      <c r="AD32" t="s">
        <v>1142</v>
      </c>
      <c r="AE32">
        <v>0</v>
      </c>
      <c r="AF32">
        <v>0</v>
      </c>
      <c r="AM32">
        <v>0</v>
      </c>
      <c r="AN32">
        <v>0</v>
      </c>
      <c r="AP32">
        <v>0</v>
      </c>
      <c r="AQ32">
        <v>0</v>
      </c>
      <c r="AS32">
        <v>0</v>
      </c>
      <c r="BG32">
        <v>0</v>
      </c>
      <c r="BH32">
        <v>50770.12</v>
      </c>
      <c r="BI32">
        <v>51960.62</v>
      </c>
      <c r="BJ32">
        <v>52695.87</v>
      </c>
      <c r="BK32">
        <v>142100.94</v>
      </c>
      <c r="BL32">
        <v>142100.94</v>
      </c>
      <c r="BM32">
        <v>142100.94</v>
      </c>
      <c r="BN32">
        <v>146019.5</v>
      </c>
      <c r="BO32">
        <v>146019.5</v>
      </c>
      <c r="BP32">
        <v>150075.81</v>
      </c>
      <c r="BQ32">
        <v>150075.81</v>
      </c>
      <c r="BR32">
        <v>150075.81</v>
      </c>
      <c r="BS32">
        <v>150075.81</v>
      </c>
      <c r="BT32">
        <v>1474071.6700000002</v>
      </c>
    </row>
    <row r="33" spans="1:72">
      <c r="A33" t="s">
        <v>1444</v>
      </c>
      <c r="B33" t="s">
        <v>2952</v>
      </c>
      <c r="C33" t="s">
        <v>202</v>
      </c>
      <c r="D33" t="s">
        <v>202</v>
      </c>
      <c r="E33" t="s">
        <v>1136</v>
      </c>
      <c r="F33" t="s">
        <v>1566</v>
      </c>
      <c r="G33" t="s">
        <v>1345</v>
      </c>
      <c r="H33" t="s">
        <v>1345</v>
      </c>
      <c r="I33" t="s">
        <v>1345</v>
      </c>
      <c r="J33" t="s">
        <v>1345</v>
      </c>
      <c r="K33" t="s">
        <v>1345</v>
      </c>
      <c r="L33" t="s">
        <v>49</v>
      </c>
      <c r="M33" t="s">
        <v>1327</v>
      </c>
      <c r="O33" t="s">
        <v>1441</v>
      </c>
      <c r="P33" t="s">
        <v>147</v>
      </c>
      <c r="AE33">
        <v>0</v>
      </c>
      <c r="AF33">
        <v>0</v>
      </c>
      <c r="AM33">
        <v>0</v>
      </c>
      <c r="AN33">
        <v>0</v>
      </c>
      <c r="AP33">
        <v>0</v>
      </c>
      <c r="AQ33">
        <v>0</v>
      </c>
      <c r="AS33">
        <v>0</v>
      </c>
    </row>
    <row r="34" spans="1:72">
      <c r="A34" t="s">
        <v>1510</v>
      </c>
      <c r="B34" t="s">
        <v>2952</v>
      </c>
      <c r="C34" t="s">
        <v>237</v>
      </c>
      <c r="D34" t="s">
        <v>237</v>
      </c>
      <c r="E34" t="s">
        <v>1136</v>
      </c>
      <c r="F34" t="s">
        <v>1566</v>
      </c>
      <c r="G34" t="s">
        <v>1480</v>
      </c>
      <c r="H34" t="s">
        <v>1480</v>
      </c>
      <c r="I34" t="s">
        <v>1345</v>
      </c>
      <c r="J34" t="s">
        <v>1480</v>
      </c>
      <c r="K34" t="s">
        <v>1480</v>
      </c>
      <c r="L34" t="s">
        <v>49</v>
      </c>
      <c r="M34" t="s">
        <v>1327</v>
      </c>
      <c r="O34" t="s">
        <v>1493</v>
      </c>
      <c r="P34" t="s">
        <v>147</v>
      </c>
      <c r="AE34">
        <v>0</v>
      </c>
      <c r="AF34">
        <v>0</v>
      </c>
      <c r="AM34">
        <v>0</v>
      </c>
      <c r="AN34">
        <v>0</v>
      </c>
      <c r="AP34">
        <v>0</v>
      </c>
      <c r="AQ34">
        <v>0</v>
      </c>
      <c r="AS34">
        <v>0</v>
      </c>
    </row>
    <row r="35" spans="1:72">
      <c r="A35" t="s">
        <v>2880</v>
      </c>
      <c r="B35" t="s">
        <v>2952</v>
      </c>
      <c r="C35" t="s">
        <v>37</v>
      </c>
      <c r="D35" t="s">
        <v>2881</v>
      </c>
      <c r="E35" t="s">
        <v>1136</v>
      </c>
      <c r="F35" t="s">
        <v>1566</v>
      </c>
      <c r="G35" t="s">
        <v>1566</v>
      </c>
      <c r="H35" t="s">
        <v>1566</v>
      </c>
      <c r="I35" t="s">
        <v>1567</v>
      </c>
      <c r="J35" t="s">
        <v>1567</v>
      </c>
      <c r="K35" t="s">
        <v>1567</v>
      </c>
      <c r="L35" t="s">
        <v>22</v>
      </c>
      <c r="M35" t="s">
        <v>2868</v>
      </c>
      <c r="P35" t="s">
        <v>24</v>
      </c>
      <c r="Q35" t="s">
        <v>1139</v>
      </c>
      <c r="R35" t="s">
        <v>1140</v>
      </c>
      <c r="T35" t="s">
        <v>25</v>
      </c>
      <c r="W35">
        <v>330694.30999999988</v>
      </c>
      <c r="X35">
        <v>0</v>
      </c>
      <c r="AD35" t="s">
        <v>1142</v>
      </c>
      <c r="AE35">
        <v>0</v>
      </c>
      <c r="AF35">
        <v>0</v>
      </c>
      <c r="AM35">
        <v>0</v>
      </c>
      <c r="AN35">
        <v>0</v>
      </c>
      <c r="AP35">
        <v>0</v>
      </c>
      <c r="AQ35">
        <v>0</v>
      </c>
      <c r="AS35">
        <v>0</v>
      </c>
      <c r="BG35">
        <v>0</v>
      </c>
      <c r="BH35">
        <v>92230.9</v>
      </c>
      <c r="BI35">
        <v>-4919.59</v>
      </c>
      <c r="BJ35">
        <v>59978.67</v>
      </c>
      <c r="BK35">
        <v>20638.45</v>
      </c>
      <c r="BL35">
        <v>34028.449999999997</v>
      </c>
      <c r="BM35">
        <v>32963.75</v>
      </c>
      <c r="BN35">
        <v>22316.67</v>
      </c>
      <c r="BO35">
        <v>22316.67</v>
      </c>
      <c r="BP35">
        <v>22316.67</v>
      </c>
      <c r="BQ35">
        <v>22316.67</v>
      </c>
      <c r="BR35">
        <v>22316.67</v>
      </c>
      <c r="BS35">
        <v>22316.67</v>
      </c>
      <c r="BT35">
        <v>368820.64999999991</v>
      </c>
    </row>
    <row r="36" spans="1:72">
      <c r="A36" t="s">
        <v>2887</v>
      </c>
      <c r="B36" t="s">
        <v>2952</v>
      </c>
      <c r="C36" t="s">
        <v>40</v>
      </c>
      <c r="D36" t="s">
        <v>2888</v>
      </c>
      <c r="E36" t="s">
        <v>1136</v>
      </c>
      <c r="F36" t="s">
        <v>1566</v>
      </c>
      <c r="G36" t="s">
        <v>1566</v>
      </c>
      <c r="H36" t="s">
        <v>1566</v>
      </c>
      <c r="I36" t="s">
        <v>1567</v>
      </c>
      <c r="J36" t="s">
        <v>1567</v>
      </c>
      <c r="K36" t="s">
        <v>1567</v>
      </c>
      <c r="L36" t="s">
        <v>22</v>
      </c>
      <c r="M36" t="s">
        <v>2870</v>
      </c>
      <c r="P36" t="s">
        <v>27</v>
      </c>
      <c r="Q36" t="s">
        <v>1139</v>
      </c>
      <c r="R36" t="s">
        <v>1140</v>
      </c>
      <c r="T36" t="s">
        <v>25</v>
      </c>
      <c r="W36">
        <v>204823.02000000002</v>
      </c>
      <c r="X36">
        <v>0</v>
      </c>
      <c r="AD36" t="s">
        <v>1142</v>
      </c>
      <c r="AE36">
        <v>0</v>
      </c>
      <c r="AF36">
        <v>0</v>
      </c>
      <c r="AM36">
        <v>0</v>
      </c>
      <c r="AN36">
        <v>0</v>
      </c>
      <c r="AP36">
        <v>0</v>
      </c>
      <c r="AQ36">
        <v>0</v>
      </c>
      <c r="AS36">
        <v>0</v>
      </c>
      <c r="BG36">
        <v>0</v>
      </c>
      <c r="BH36">
        <v>51562.58</v>
      </c>
      <c r="BI36">
        <v>27159.83</v>
      </c>
      <c r="BJ36">
        <v>40975</v>
      </c>
      <c r="BK36">
        <v>11866.46</v>
      </c>
      <c r="BL36">
        <v>21522.71</v>
      </c>
      <c r="BM36">
        <v>20882.86</v>
      </c>
      <c r="BN36">
        <v>14484.38</v>
      </c>
      <c r="BO36">
        <v>14484.38</v>
      </c>
      <c r="BP36">
        <v>14484.38</v>
      </c>
      <c r="BQ36">
        <v>14484.38</v>
      </c>
      <c r="BR36">
        <v>14484.38</v>
      </c>
      <c r="BS36">
        <v>14484.38</v>
      </c>
      <c r="BT36">
        <v>260875.72000000003</v>
      </c>
    </row>
    <row r="37" spans="1:72">
      <c r="A37" t="s">
        <v>2064</v>
      </c>
      <c r="B37" t="s">
        <v>2952</v>
      </c>
      <c r="C37" t="s">
        <v>554</v>
      </c>
      <c r="D37" t="s">
        <v>2065</v>
      </c>
      <c r="E37" t="s">
        <v>1136</v>
      </c>
      <c r="F37" t="s">
        <v>1566</v>
      </c>
      <c r="G37" t="s">
        <v>1480</v>
      </c>
      <c r="H37" t="s">
        <v>1481</v>
      </c>
      <c r="I37" t="s">
        <v>1345</v>
      </c>
      <c r="J37" t="s">
        <v>1481</v>
      </c>
      <c r="K37" t="s">
        <v>1481</v>
      </c>
      <c r="L37" t="s">
        <v>389</v>
      </c>
      <c r="M37" t="s">
        <v>1327</v>
      </c>
      <c r="O37" t="s">
        <v>1487</v>
      </c>
      <c r="P37" t="s">
        <v>147</v>
      </c>
      <c r="AE37">
        <v>0</v>
      </c>
      <c r="AF37">
        <v>0</v>
      </c>
      <c r="AM37">
        <v>0</v>
      </c>
      <c r="AN37">
        <v>0</v>
      </c>
      <c r="AP37">
        <v>0</v>
      </c>
      <c r="AQ37">
        <v>0</v>
      </c>
      <c r="AS37">
        <v>0</v>
      </c>
    </row>
    <row r="38" spans="1:72">
      <c r="A38" t="s">
        <v>2197</v>
      </c>
      <c r="B38" t="s">
        <v>2952</v>
      </c>
      <c r="C38" t="s">
        <v>634</v>
      </c>
      <c r="D38" t="s">
        <v>2198</v>
      </c>
      <c r="E38" t="s">
        <v>1136</v>
      </c>
      <c r="F38" t="s">
        <v>1566</v>
      </c>
      <c r="G38" t="s">
        <v>1566</v>
      </c>
      <c r="H38" t="s">
        <v>1566</v>
      </c>
      <c r="I38" t="s">
        <v>1567</v>
      </c>
      <c r="J38" t="s">
        <v>1567</v>
      </c>
      <c r="K38" t="s">
        <v>1567</v>
      </c>
      <c r="L38" t="s">
        <v>629</v>
      </c>
      <c r="M38" t="s">
        <v>1327</v>
      </c>
      <c r="O38" t="s">
        <v>1593</v>
      </c>
      <c r="P38" t="s">
        <v>147</v>
      </c>
      <c r="AE38">
        <v>0</v>
      </c>
      <c r="AF38">
        <v>0</v>
      </c>
      <c r="AM38">
        <v>0</v>
      </c>
      <c r="AN38">
        <v>0</v>
      </c>
      <c r="AP38">
        <v>0</v>
      </c>
      <c r="AQ38">
        <v>0</v>
      </c>
      <c r="AS38">
        <v>0</v>
      </c>
    </row>
    <row r="39" spans="1:72">
      <c r="A39" t="s">
        <v>2699</v>
      </c>
      <c r="B39" t="s">
        <v>2952</v>
      </c>
      <c r="C39" t="s">
        <v>955</v>
      </c>
      <c r="D39" t="s">
        <v>955</v>
      </c>
      <c r="E39" t="s">
        <v>1136</v>
      </c>
      <c r="F39" t="s">
        <v>1566</v>
      </c>
      <c r="G39" t="s">
        <v>1345</v>
      </c>
      <c r="H39" t="s">
        <v>1345</v>
      </c>
      <c r="I39" t="s">
        <v>1345</v>
      </c>
      <c r="J39" t="s">
        <v>1345</v>
      </c>
      <c r="K39" t="s">
        <v>1346</v>
      </c>
      <c r="L39" t="s">
        <v>639</v>
      </c>
      <c r="M39" t="s">
        <v>1327</v>
      </c>
      <c r="P39" t="s">
        <v>147</v>
      </c>
      <c r="T39" t="s">
        <v>25</v>
      </c>
      <c r="W39">
        <v>0</v>
      </c>
      <c r="X39">
        <v>0.32999999999999996</v>
      </c>
      <c r="AB39">
        <v>0.24</v>
      </c>
      <c r="AC39">
        <v>0.09</v>
      </c>
      <c r="AD39">
        <v>0</v>
      </c>
      <c r="AE39">
        <v>0</v>
      </c>
      <c r="AF39">
        <v>-0.3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2.9999999999999971E-2</v>
      </c>
      <c r="AN39">
        <v>-0.3</v>
      </c>
      <c r="AO39">
        <v>0</v>
      </c>
      <c r="AP39">
        <v>-0.3</v>
      </c>
      <c r="AQ39">
        <v>-0.3</v>
      </c>
      <c r="AS39">
        <v>-0.3</v>
      </c>
      <c r="AV39">
        <v>0.24</v>
      </c>
      <c r="AW39">
        <v>0.09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0.32999999999999996</v>
      </c>
      <c r="BI39">
        <v>0.24</v>
      </c>
      <c r="BJ39">
        <v>0.09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0.32999999999999996</v>
      </c>
    </row>
    <row r="40" spans="1:72">
      <c r="A40" t="s">
        <v>2063</v>
      </c>
      <c r="B40" t="s">
        <v>2952</v>
      </c>
      <c r="C40" t="s">
        <v>554</v>
      </c>
      <c r="D40" t="s">
        <v>554</v>
      </c>
      <c r="E40" t="s">
        <v>1136</v>
      </c>
      <c r="F40" t="s">
        <v>1566</v>
      </c>
      <c r="G40" t="s">
        <v>1480</v>
      </c>
      <c r="H40" t="s">
        <v>1480</v>
      </c>
      <c r="I40" t="s">
        <v>1345</v>
      </c>
      <c r="J40" t="s">
        <v>1480</v>
      </c>
      <c r="K40" t="s">
        <v>1346</v>
      </c>
      <c r="L40" t="s">
        <v>389</v>
      </c>
      <c r="M40" t="s">
        <v>1327</v>
      </c>
      <c r="P40" t="s">
        <v>147</v>
      </c>
      <c r="T40" t="s">
        <v>25</v>
      </c>
      <c r="W40">
        <v>0</v>
      </c>
      <c r="X40">
        <v>-0.2</v>
      </c>
      <c r="AA40">
        <v>-0.48</v>
      </c>
      <c r="AB40">
        <v>0.28999999999999998</v>
      </c>
      <c r="AC40">
        <v>-0.01</v>
      </c>
      <c r="AD40">
        <v>0.06</v>
      </c>
      <c r="AE40">
        <v>0.16</v>
      </c>
      <c r="AF40">
        <v>0.08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9.9999999999999992E-2</v>
      </c>
      <c r="AN40">
        <v>0.3</v>
      </c>
      <c r="AO40">
        <v>0</v>
      </c>
      <c r="AP40">
        <v>0.08</v>
      </c>
      <c r="AQ40">
        <v>0.3</v>
      </c>
      <c r="AS40">
        <v>0.3</v>
      </c>
      <c r="AU40">
        <v>-0.48</v>
      </c>
      <c r="AV40">
        <v>0.28999999999999998</v>
      </c>
      <c r="AW40">
        <v>-0.01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-0.2</v>
      </c>
      <c r="BH40">
        <v>-0.48</v>
      </c>
      <c r="BI40">
        <v>0.28999999999999998</v>
      </c>
      <c r="BJ40">
        <v>-0.01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-0.2</v>
      </c>
    </row>
    <row r="41" spans="1:72">
      <c r="A41" t="s">
        <v>2032</v>
      </c>
      <c r="B41" t="s">
        <v>2952</v>
      </c>
      <c r="C41" t="s">
        <v>538</v>
      </c>
      <c r="D41" t="s">
        <v>538</v>
      </c>
      <c r="E41" t="s">
        <v>1136</v>
      </c>
      <c r="F41" t="s">
        <v>1566</v>
      </c>
      <c r="G41" t="s">
        <v>1345</v>
      </c>
      <c r="H41" t="s">
        <v>1345</v>
      </c>
      <c r="I41" t="s">
        <v>1345</v>
      </c>
      <c r="J41" t="s">
        <v>1345</v>
      </c>
      <c r="K41" t="s">
        <v>1346</v>
      </c>
      <c r="L41" t="s">
        <v>389</v>
      </c>
      <c r="M41" t="s">
        <v>1327</v>
      </c>
      <c r="P41" t="s">
        <v>147</v>
      </c>
      <c r="T41" t="s">
        <v>25</v>
      </c>
      <c r="W41">
        <v>0</v>
      </c>
      <c r="X41">
        <v>0.11999999999999997</v>
      </c>
      <c r="AA41">
        <v>-0.3</v>
      </c>
      <c r="AB41">
        <v>0.57999999999999996</v>
      </c>
      <c r="AC41">
        <v>-0.16</v>
      </c>
      <c r="AD41">
        <v>0.12</v>
      </c>
      <c r="AE41">
        <v>-0.5</v>
      </c>
      <c r="AF41">
        <v>0.41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0.14999999999999997</v>
      </c>
      <c r="AN41">
        <v>0.03</v>
      </c>
      <c r="AO41">
        <v>0</v>
      </c>
      <c r="AP41">
        <v>0.41</v>
      </c>
      <c r="AQ41">
        <v>0.03</v>
      </c>
      <c r="AS41">
        <v>0.03</v>
      </c>
      <c r="AU41">
        <v>-0.3</v>
      </c>
      <c r="AV41">
        <v>0.57999999999999996</v>
      </c>
      <c r="AW41">
        <v>-0.16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0.11999999999999997</v>
      </c>
      <c r="BH41">
        <v>-0.3</v>
      </c>
      <c r="BI41">
        <v>0.57999999999999996</v>
      </c>
      <c r="BJ41">
        <v>-0.16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0.11999999999999997</v>
      </c>
    </row>
    <row r="42" spans="1:72">
      <c r="A42" t="s">
        <v>1511</v>
      </c>
      <c r="B42" t="s">
        <v>2952</v>
      </c>
      <c r="C42" t="s">
        <v>237</v>
      </c>
      <c r="D42" t="s">
        <v>1512</v>
      </c>
      <c r="E42" t="s">
        <v>1136</v>
      </c>
      <c r="F42" t="s">
        <v>1566</v>
      </c>
      <c r="G42" t="s">
        <v>1480</v>
      </c>
      <c r="H42" t="s">
        <v>1481</v>
      </c>
      <c r="I42" t="s">
        <v>1345</v>
      </c>
      <c r="J42" t="s">
        <v>1481</v>
      </c>
      <c r="K42" t="s">
        <v>1346</v>
      </c>
      <c r="L42" t="s">
        <v>49</v>
      </c>
      <c r="M42" t="s">
        <v>1327</v>
      </c>
      <c r="P42" t="s">
        <v>147</v>
      </c>
      <c r="T42" t="s">
        <v>25</v>
      </c>
      <c r="U42" t="s">
        <v>1513</v>
      </c>
      <c r="W42">
        <v>0</v>
      </c>
      <c r="X42">
        <v>0</v>
      </c>
      <c r="AB42">
        <v>-0.1</v>
      </c>
      <c r="AC42">
        <v>0.1</v>
      </c>
      <c r="AD42">
        <v>-0.32</v>
      </c>
      <c r="AE42">
        <v>0.81</v>
      </c>
      <c r="AF42">
        <v>-0.28000000000000003</v>
      </c>
      <c r="AM42">
        <v>0.21000000000000002</v>
      </c>
      <c r="AN42">
        <v>0.21000000000000002</v>
      </c>
      <c r="AP42">
        <v>-0.28000000000000003</v>
      </c>
      <c r="AQ42">
        <v>0.21000000000000002</v>
      </c>
      <c r="AS42">
        <v>0.21000000000000002</v>
      </c>
      <c r="AV42">
        <v>-0.1</v>
      </c>
      <c r="AW42">
        <v>0.1</v>
      </c>
      <c r="BG42">
        <v>0</v>
      </c>
      <c r="BI42">
        <v>-0.1</v>
      </c>
      <c r="BJ42">
        <v>0.1</v>
      </c>
      <c r="BT42">
        <v>0</v>
      </c>
    </row>
    <row r="43" spans="1:72">
      <c r="A43" t="s">
        <v>1326</v>
      </c>
      <c r="B43" t="s">
        <v>2952</v>
      </c>
      <c r="C43" t="s">
        <v>146</v>
      </c>
      <c r="D43" t="s">
        <v>146</v>
      </c>
      <c r="E43" t="s">
        <v>1136</v>
      </c>
      <c r="F43" t="s">
        <v>1566</v>
      </c>
      <c r="G43" t="s">
        <v>1135</v>
      </c>
      <c r="H43" t="s">
        <v>1135</v>
      </c>
      <c r="I43" t="s">
        <v>1135</v>
      </c>
      <c r="J43" t="s">
        <v>1135</v>
      </c>
      <c r="K43" t="s">
        <v>1137</v>
      </c>
      <c r="L43" t="s">
        <v>49</v>
      </c>
      <c r="M43" t="s">
        <v>1327</v>
      </c>
      <c r="P43" t="s">
        <v>147</v>
      </c>
      <c r="T43" t="s">
        <v>25</v>
      </c>
      <c r="W43">
        <v>0</v>
      </c>
      <c r="X43">
        <v>-0.11000000000058208</v>
      </c>
      <c r="AA43">
        <v>20093.099999999999</v>
      </c>
      <c r="AB43">
        <v>22504.89</v>
      </c>
      <c r="AC43">
        <v>-42598.1</v>
      </c>
      <c r="AD43">
        <v>-0.33</v>
      </c>
      <c r="AE43">
        <v>0.71</v>
      </c>
      <c r="AF43">
        <v>-0.03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0.23999999999941787</v>
      </c>
      <c r="AN43">
        <v>0.35</v>
      </c>
      <c r="AO43">
        <v>0</v>
      </c>
      <c r="AP43">
        <v>-0.03</v>
      </c>
      <c r="AQ43">
        <v>0.35</v>
      </c>
      <c r="AS43">
        <v>0.35</v>
      </c>
      <c r="AU43">
        <v>20093.099999999999</v>
      </c>
      <c r="AV43">
        <v>22504.89</v>
      </c>
      <c r="AW43">
        <v>-42598.1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-0.11000000000058208</v>
      </c>
      <c r="BH43">
        <v>20093.099999999999</v>
      </c>
      <c r="BI43">
        <v>22504.89</v>
      </c>
      <c r="BJ43">
        <v>-42598.1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-0.11000000000058208</v>
      </c>
    </row>
    <row r="44" spans="1:72">
      <c r="A44" t="s">
        <v>2599</v>
      </c>
      <c r="B44" t="s">
        <v>2952</v>
      </c>
      <c r="C44" t="s">
        <v>899</v>
      </c>
      <c r="D44" t="s">
        <v>2600</v>
      </c>
      <c r="E44" t="s">
        <v>1136</v>
      </c>
      <c r="F44" t="s">
        <v>1566</v>
      </c>
      <c r="G44" t="s">
        <v>1135</v>
      </c>
      <c r="H44" t="s">
        <v>1156</v>
      </c>
      <c r="I44" t="s">
        <v>1135</v>
      </c>
      <c r="J44" t="s">
        <v>1156</v>
      </c>
      <c r="K44" t="s">
        <v>1137</v>
      </c>
      <c r="L44" t="s">
        <v>639</v>
      </c>
      <c r="M44" t="s">
        <v>1327</v>
      </c>
      <c r="P44" t="s">
        <v>147</v>
      </c>
      <c r="T44" t="s">
        <v>25</v>
      </c>
      <c r="W44">
        <v>0</v>
      </c>
      <c r="X44">
        <v>0.26</v>
      </c>
      <c r="AC44">
        <v>0.26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0.26</v>
      </c>
      <c r="AN44">
        <v>0</v>
      </c>
      <c r="AO44">
        <v>0</v>
      </c>
      <c r="AP44">
        <v>0</v>
      </c>
      <c r="AQ44">
        <v>0</v>
      </c>
      <c r="AS44">
        <v>0</v>
      </c>
      <c r="AW44">
        <v>0.26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0.26</v>
      </c>
      <c r="BJ44">
        <v>0.26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0.26</v>
      </c>
    </row>
    <row r="45" spans="1:72">
      <c r="A45" t="s">
        <v>2601</v>
      </c>
      <c r="B45" t="s">
        <v>2952</v>
      </c>
      <c r="C45" t="s">
        <v>899</v>
      </c>
      <c r="D45" t="s">
        <v>2602</v>
      </c>
      <c r="E45" t="s">
        <v>1136</v>
      </c>
      <c r="F45" t="s">
        <v>1566</v>
      </c>
      <c r="G45" t="s">
        <v>1135</v>
      </c>
      <c r="H45" t="s">
        <v>1161</v>
      </c>
      <c r="I45" t="s">
        <v>1135</v>
      </c>
      <c r="J45" t="s">
        <v>1161</v>
      </c>
      <c r="K45" t="s">
        <v>1137</v>
      </c>
      <c r="L45" t="s">
        <v>639</v>
      </c>
      <c r="M45" t="s">
        <v>1327</v>
      </c>
      <c r="P45" t="s">
        <v>147</v>
      </c>
      <c r="T45" t="s">
        <v>25</v>
      </c>
      <c r="W45">
        <v>0</v>
      </c>
      <c r="X45">
        <v>0.13</v>
      </c>
      <c r="AC45">
        <v>0.13</v>
      </c>
      <c r="AD45">
        <v>0</v>
      </c>
      <c r="AE45">
        <v>0</v>
      </c>
      <c r="AF45">
        <v>0.13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0.26</v>
      </c>
      <c r="AN45">
        <v>0.13</v>
      </c>
      <c r="AO45">
        <v>0</v>
      </c>
      <c r="AP45">
        <v>0.13</v>
      </c>
      <c r="AQ45">
        <v>0.13</v>
      </c>
      <c r="AS45">
        <v>0.13</v>
      </c>
      <c r="AW45">
        <v>0.13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0.13</v>
      </c>
      <c r="BJ45">
        <v>0.13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0.13</v>
      </c>
    </row>
    <row r="46" spans="1:72">
      <c r="A46" t="s">
        <v>1445</v>
      </c>
      <c r="B46" t="s">
        <v>2952</v>
      </c>
      <c r="C46" t="s">
        <v>202</v>
      </c>
      <c r="D46" t="s">
        <v>1446</v>
      </c>
      <c r="E46" t="s">
        <v>1136</v>
      </c>
      <c r="F46" t="s">
        <v>1566</v>
      </c>
      <c r="G46" t="s">
        <v>1345</v>
      </c>
      <c r="H46" t="s">
        <v>1437</v>
      </c>
      <c r="I46" t="s">
        <v>1345</v>
      </c>
      <c r="J46" t="s">
        <v>1437</v>
      </c>
      <c r="K46" t="s">
        <v>1346</v>
      </c>
      <c r="L46" t="s">
        <v>49</v>
      </c>
      <c r="M46" t="s">
        <v>1327</v>
      </c>
      <c r="P46" t="s">
        <v>147</v>
      </c>
      <c r="T46" t="s">
        <v>25</v>
      </c>
      <c r="W46">
        <v>0</v>
      </c>
      <c r="X46">
        <v>0.33999999999999997</v>
      </c>
      <c r="AA46">
        <v>-0.1</v>
      </c>
      <c r="AB46">
        <v>0</v>
      </c>
      <c r="AC46">
        <v>0.44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0.33999999999999997</v>
      </c>
      <c r="AN46">
        <v>0</v>
      </c>
      <c r="AO46">
        <v>0</v>
      </c>
      <c r="AP46">
        <v>0</v>
      </c>
      <c r="AQ46">
        <v>0</v>
      </c>
      <c r="AS46">
        <v>0</v>
      </c>
      <c r="AU46">
        <v>-0.1</v>
      </c>
      <c r="AV46">
        <v>0</v>
      </c>
      <c r="AW46">
        <v>0.44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0.33999999999999997</v>
      </c>
      <c r="BH46">
        <v>-0.1</v>
      </c>
      <c r="BI46">
        <v>0</v>
      </c>
      <c r="BJ46">
        <v>0.44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0.33999999999999997</v>
      </c>
    </row>
    <row r="47" spans="1:72">
      <c r="A47" t="s">
        <v>2700</v>
      </c>
      <c r="B47" t="s">
        <v>2952</v>
      </c>
      <c r="C47" t="s">
        <v>955</v>
      </c>
      <c r="D47" t="s">
        <v>2701</v>
      </c>
      <c r="E47" t="s">
        <v>1136</v>
      </c>
      <c r="F47" t="s">
        <v>1566</v>
      </c>
      <c r="G47" t="s">
        <v>1345</v>
      </c>
      <c r="H47" t="s">
        <v>1437</v>
      </c>
      <c r="I47" t="s">
        <v>1345</v>
      </c>
      <c r="J47" t="s">
        <v>1437</v>
      </c>
      <c r="K47" t="s">
        <v>1346</v>
      </c>
      <c r="L47" t="s">
        <v>639</v>
      </c>
      <c r="M47" t="s">
        <v>1327</v>
      </c>
      <c r="P47" t="s">
        <v>147</v>
      </c>
      <c r="T47" t="s">
        <v>25</v>
      </c>
      <c r="W47">
        <v>0</v>
      </c>
      <c r="X47">
        <v>1.999999999999999E-2</v>
      </c>
      <c r="AA47">
        <v>0.13</v>
      </c>
      <c r="AB47">
        <v>0.09</v>
      </c>
      <c r="AC47">
        <v>-0.2</v>
      </c>
      <c r="AD47">
        <v>0.13</v>
      </c>
      <c r="AE47">
        <v>-0.53</v>
      </c>
      <c r="AF47">
        <v>0.73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0.35</v>
      </c>
      <c r="AN47">
        <v>0.32999999999999996</v>
      </c>
      <c r="AO47">
        <v>0</v>
      </c>
      <c r="AP47">
        <v>0.73</v>
      </c>
      <c r="AQ47">
        <v>0.32999999999999996</v>
      </c>
      <c r="AS47">
        <v>0.32999999999999996</v>
      </c>
      <c r="AU47">
        <v>0.13</v>
      </c>
      <c r="AV47">
        <v>0.09</v>
      </c>
      <c r="AW47">
        <v>-0.2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1.999999999999999E-2</v>
      </c>
      <c r="BH47">
        <v>0.13</v>
      </c>
      <c r="BI47">
        <v>0.09</v>
      </c>
      <c r="BJ47">
        <v>-0.2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1.999999999999999E-2</v>
      </c>
    </row>
    <row r="48" spans="1:72">
      <c r="A48" t="s">
        <v>2741</v>
      </c>
      <c r="B48" t="s">
        <v>2952</v>
      </c>
      <c r="C48" t="s">
        <v>980</v>
      </c>
      <c r="D48" t="s">
        <v>2742</v>
      </c>
      <c r="E48" t="s">
        <v>1136</v>
      </c>
      <c r="F48" t="s">
        <v>1566</v>
      </c>
      <c r="G48" t="s">
        <v>1480</v>
      </c>
      <c r="H48" t="s">
        <v>1481</v>
      </c>
      <c r="I48" t="s">
        <v>1345</v>
      </c>
      <c r="J48" t="s">
        <v>1481</v>
      </c>
      <c r="K48" t="s">
        <v>1346</v>
      </c>
      <c r="L48" t="s">
        <v>639</v>
      </c>
      <c r="M48" t="s">
        <v>1327</v>
      </c>
      <c r="P48" t="s">
        <v>147</v>
      </c>
      <c r="T48" t="s">
        <v>25</v>
      </c>
      <c r="U48" t="s">
        <v>1513</v>
      </c>
      <c r="W48">
        <v>0</v>
      </c>
      <c r="X48">
        <v>0.36</v>
      </c>
      <c r="AC48">
        <v>0.36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0.36</v>
      </c>
      <c r="AN48">
        <v>0</v>
      </c>
      <c r="AO48">
        <v>0</v>
      </c>
      <c r="AP48">
        <v>0</v>
      </c>
      <c r="AQ48">
        <v>0</v>
      </c>
      <c r="AS48">
        <v>0</v>
      </c>
      <c r="AW48">
        <v>0.36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0.36</v>
      </c>
      <c r="BJ48">
        <v>0.36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0.36</v>
      </c>
    </row>
    <row r="49" spans="1:72">
      <c r="A49" t="s">
        <v>1722</v>
      </c>
      <c r="B49" t="s">
        <v>2952</v>
      </c>
      <c r="C49" t="s">
        <v>375</v>
      </c>
      <c r="D49" t="s">
        <v>1723</v>
      </c>
      <c r="E49" t="s">
        <v>1136</v>
      </c>
      <c r="F49" t="s">
        <v>1566</v>
      </c>
      <c r="G49" t="s">
        <v>1135</v>
      </c>
      <c r="H49" t="s">
        <v>1135</v>
      </c>
      <c r="I49" t="s">
        <v>1135</v>
      </c>
      <c r="J49" t="s">
        <v>1137</v>
      </c>
      <c r="K49" t="s">
        <v>1137</v>
      </c>
      <c r="L49" t="s">
        <v>342</v>
      </c>
      <c r="M49" t="s">
        <v>1327</v>
      </c>
      <c r="P49" t="s">
        <v>147</v>
      </c>
      <c r="T49" t="s">
        <v>25</v>
      </c>
      <c r="U49" t="s">
        <v>1141</v>
      </c>
      <c r="W49">
        <v>0</v>
      </c>
      <c r="X49">
        <v>0.62000000000000011</v>
      </c>
      <c r="AA49">
        <v>-0.1</v>
      </c>
      <c r="AB49">
        <v>-0.09</v>
      </c>
      <c r="AC49">
        <v>0.81</v>
      </c>
      <c r="AD49">
        <v>-0.53</v>
      </c>
      <c r="AE49">
        <v>0.61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0.70000000000000007</v>
      </c>
      <c r="AN49">
        <v>7.999999999999996E-2</v>
      </c>
      <c r="AO49">
        <v>0</v>
      </c>
      <c r="AP49">
        <v>0</v>
      </c>
      <c r="AQ49">
        <v>7.999999999999996E-2</v>
      </c>
      <c r="AS49">
        <v>7.999999999999996E-2</v>
      </c>
      <c r="AU49">
        <v>-0.1</v>
      </c>
      <c r="AV49">
        <v>-0.09</v>
      </c>
      <c r="AW49">
        <v>0.81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0.62000000000000011</v>
      </c>
      <c r="BH49">
        <v>-0.1</v>
      </c>
      <c r="BI49">
        <v>-0.09</v>
      </c>
      <c r="BJ49">
        <v>0.81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0.62000000000000011</v>
      </c>
    </row>
    <row r="50" spans="1:72">
      <c r="A50" t="s">
        <v>2158</v>
      </c>
      <c r="B50" t="s">
        <v>2952</v>
      </c>
      <c r="C50" t="s">
        <v>609</v>
      </c>
      <c r="D50" t="s">
        <v>2159</v>
      </c>
      <c r="E50" t="s">
        <v>1136</v>
      </c>
      <c r="F50" t="s">
        <v>1566</v>
      </c>
      <c r="G50" t="s">
        <v>1135</v>
      </c>
      <c r="H50" t="s">
        <v>1145</v>
      </c>
      <c r="I50" t="s">
        <v>1135</v>
      </c>
      <c r="J50" t="s">
        <v>1145</v>
      </c>
      <c r="K50" t="s">
        <v>1145</v>
      </c>
      <c r="L50" t="s">
        <v>602</v>
      </c>
      <c r="M50" t="s">
        <v>2160</v>
      </c>
      <c r="N50" t="s">
        <v>2160</v>
      </c>
      <c r="O50" t="s">
        <v>1186</v>
      </c>
      <c r="P50" t="s">
        <v>610</v>
      </c>
      <c r="AE50">
        <v>16</v>
      </c>
      <c r="AF50">
        <v>0</v>
      </c>
      <c r="AM50">
        <v>16</v>
      </c>
      <c r="AN50">
        <v>16</v>
      </c>
      <c r="AP50">
        <v>0</v>
      </c>
      <c r="AQ50">
        <v>16</v>
      </c>
      <c r="AS50">
        <v>16</v>
      </c>
    </row>
    <row r="51" spans="1:72">
      <c r="A51" t="s">
        <v>2740</v>
      </c>
      <c r="B51" t="s">
        <v>2952</v>
      </c>
      <c r="C51" t="s">
        <v>980</v>
      </c>
      <c r="D51" t="s">
        <v>980</v>
      </c>
      <c r="E51" t="s">
        <v>1136</v>
      </c>
      <c r="F51" t="s">
        <v>1566</v>
      </c>
      <c r="G51" t="s">
        <v>1480</v>
      </c>
      <c r="H51" t="s">
        <v>1480</v>
      </c>
      <c r="I51" t="s">
        <v>1345</v>
      </c>
      <c r="J51" t="s">
        <v>1480</v>
      </c>
      <c r="K51" t="s">
        <v>1346</v>
      </c>
      <c r="L51" t="s">
        <v>639</v>
      </c>
      <c r="M51" t="s">
        <v>1327</v>
      </c>
      <c r="P51" t="s">
        <v>147</v>
      </c>
      <c r="T51" t="s">
        <v>25</v>
      </c>
      <c r="W51">
        <v>0</v>
      </c>
      <c r="X51">
        <v>16.46</v>
      </c>
      <c r="AB51">
        <v>18</v>
      </c>
      <c r="AC51">
        <v>-1.54</v>
      </c>
      <c r="AD51">
        <v>-7.0000000000000007E-2</v>
      </c>
      <c r="AE51">
        <v>0.83</v>
      </c>
      <c r="AF51">
        <v>-0.54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16.68</v>
      </c>
      <c r="AN51">
        <v>0.21999999999999886</v>
      </c>
      <c r="AO51">
        <v>0</v>
      </c>
      <c r="AP51">
        <v>-0.54</v>
      </c>
      <c r="AQ51">
        <v>0.21999999999999886</v>
      </c>
      <c r="AS51">
        <v>0.21999999999999886</v>
      </c>
      <c r="AV51">
        <v>18</v>
      </c>
      <c r="AW51">
        <v>-1.54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16.46</v>
      </c>
      <c r="BI51">
        <v>18</v>
      </c>
      <c r="BJ51">
        <v>-1.54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16.46</v>
      </c>
    </row>
    <row r="52" spans="1:72">
      <c r="A52" t="s">
        <v>2280</v>
      </c>
      <c r="B52" t="s">
        <v>2952</v>
      </c>
      <c r="C52" t="s">
        <v>674</v>
      </c>
      <c r="D52" t="s">
        <v>2281</v>
      </c>
      <c r="E52" t="s">
        <v>1136</v>
      </c>
      <c r="F52" t="s">
        <v>1566</v>
      </c>
      <c r="G52" t="s">
        <v>1135</v>
      </c>
      <c r="H52" t="s">
        <v>1165</v>
      </c>
      <c r="I52" t="s">
        <v>1135</v>
      </c>
      <c r="J52" t="s">
        <v>1165</v>
      </c>
      <c r="K52" t="s">
        <v>1137</v>
      </c>
      <c r="L52" t="s">
        <v>639</v>
      </c>
      <c r="M52" t="s">
        <v>1703</v>
      </c>
      <c r="P52" t="s">
        <v>365</v>
      </c>
      <c r="R52" t="s">
        <v>1140</v>
      </c>
      <c r="T52" t="s">
        <v>57</v>
      </c>
      <c r="W52">
        <v>0</v>
      </c>
      <c r="X52">
        <v>18.920000000000002</v>
      </c>
      <c r="AB52">
        <v>18.920000000000002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18.920000000000002</v>
      </c>
      <c r="AN52">
        <v>0</v>
      </c>
      <c r="AO52">
        <v>0</v>
      </c>
      <c r="AP52">
        <v>0</v>
      </c>
      <c r="AQ52">
        <v>0</v>
      </c>
      <c r="AS52">
        <v>0</v>
      </c>
      <c r="AV52">
        <v>18.920000000000002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18.920000000000002</v>
      </c>
      <c r="BI52">
        <v>18.920000000000002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18.920000000000002</v>
      </c>
    </row>
    <row r="53" spans="1:72">
      <c r="A53" t="s">
        <v>2664</v>
      </c>
      <c r="B53" t="s">
        <v>2952</v>
      </c>
      <c r="C53" t="s">
        <v>940</v>
      </c>
      <c r="D53" t="s">
        <v>940</v>
      </c>
      <c r="E53" t="s">
        <v>1136</v>
      </c>
      <c r="F53" t="s">
        <v>1566</v>
      </c>
      <c r="G53" t="s">
        <v>1345</v>
      </c>
      <c r="H53" t="s">
        <v>1345</v>
      </c>
      <c r="I53" t="s">
        <v>1345</v>
      </c>
      <c r="J53" t="s">
        <v>1345</v>
      </c>
      <c r="K53" t="s">
        <v>1346</v>
      </c>
      <c r="L53" t="s">
        <v>639</v>
      </c>
      <c r="M53" t="s">
        <v>1138</v>
      </c>
      <c r="P53" t="s">
        <v>51</v>
      </c>
      <c r="Q53" t="s">
        <v>1139</v>
      </c>
      <c r="R53" t="s">
        <v>1140</v>
      </c>
      <c r="T53" t="s">
        <v>25</v>
      </c>
      <c r="W53">
        <v>0</v>
      </c>
      <c r="X53">
        <v>218.76</v>
      </c>
      <c r="AB53">
        <v>218.76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218.76</v>
      </c>
      <c r="AN53">
        <v>0</v>
      </c>
      <c r="AO53">
        <v>0</v>
      </c>
      <c r="AP53">
        <v>0</v>
      </c>
      <c r="AQ53">
        <v>0</v>
      </c>
      <c r="AS53">
        <v>0</v>
      </c>
      <c r="AV53">
        <v>218.76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218.76</v>
      </c>
      <c r="BI53">
        <v>218.76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218.76</v>
      </c>
    </row>
    <row r="54" spans="1:72">
      <c r="A54" t="s">
        <v>2794</v>
      </c>
      <c r="B54" t="s">
        <v>2952</v>
      </c>
      <c r="C54" t="s">
        <v>1006</v>
      </c>
      <c r="D54" t="s">
        <v>2795</v>
      </c>
      <c r="E54" t="s">
        <v>1136</v>
      </c>
      <c r="F54" t="s">
        <v>1566</v>
      </c>
      <c r="G54" t="s">
        <v>1566</v>
      </c>
      <c r="H54" t="s">
        <v>1566</v>
      </c>
      <c r="I54" t="s">
        <v>1567</v>
      </c>
      <c r="J54" t="s">
        <v>1567</v>
      </c>
      <c r="K54" t="s">
        <v>1567</v>
      </c>
      <c r="L54" t="s">
        <v>639</v>
      </c>
      <c r="M54" t="s">
        <v>818</v>
      </c>
      <c r="P54" t="s">
        <v>817</v>
      </c>
      <c r="R54" t="s">
        <v>1140</v>
      </c>
      <c r="T54" t="s">
        <v>818</v>
      </c>
      <c r="W54">
        <v>0</v>
      </c>
      <c r="X54">
        <v>95.05</v>
      </c>
      <c r="AC54">
        <v>95.05</v>
      </c>
      <c r="AD54">
        <v>0</v>
      </c>
      <c r="AE54">
        <v>0</v>
      </c>
      <c r="AF54">
        <v>160.29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255.33999999999997</v>
      </c>
      <c r="AN54">
        <v>160.28999999999996</v>
      </c>
      <c r="AO54">
        <v>0</v>
      </c>
      <c r="AP54">
        <v>160.29</v>
      </c>
      <c r="AQ54">
        <v>160.28999999999996</v>
      </c>
      <c r="AS54">
        <v>160.28999999999996</v>
      </c>
      <c r="AW54">
        <v>95.05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95.05</v>
      </c>
      <c r="BJ54">
        <v>95.05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95.05</v>
      </c>
    </row>
    <row r="55" spans="1:72">
      <c r="A55" t="s">
        <v>2776</v>
      </c>
      <c r="B55" t="s">
        <v>2952</v>
      </c>
      <c r="C55" t="s">
        <v>997</v>
      </c>
      <c r="D55" t="s">
        <v>2777</v>
      </c>
      <c r="E55" t="s">
        <v>1136</v>
      </c>
      <c r="F55" t="s">
        <v>1566</v>
      </c>
      <c r="G55" t="s">
        <v>1566</v>
      </c>
      <c r="H55" t="s">
        <v>1566</v>
      </c>
      <c r="I55" t="s">
        <v>1567</v>
      </c>
      <c r="J55" t="s">
        <v>1567</v>
      </c>
      <c r="K55" t="s">
        <v>1567</v>
      </c>
      <c r="L55" t="s">
        <v>639</v>
      </c>
      <c r="M55" t="s">
        <v>1138</v>
      </c>
      <c r="P55" t="s">
        <v>51</v>
      </c>
      <c r="Q55" t="s">
        <v>1139</v>
      </c>
      <c r="R55" t="s">
        <v>1140</v>
      </c>
      <c r="T55" t="s">
        <v>25</v>
      </c>
      <c r="W55">
        <v>0</v>
      </c>
      <c r="X55">
        <v>257.52</v>
      </c>
      <c r="AB55">
        <v>257.52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257.52</v>
      </c>
      <c r="AN55">
        <v>0</v>
      </c>
      <c r="AO55">
        <v>0</v>
      </c>
      <c r="AP55">
        <v>0</v>
      </c>
      <c r="AQ55">
        <v>0</v>
      </c>
      <c r="AS55">
        <v>0</v>
      </c>
      <c r="AV55">
        <v>257.52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257.52</v>
      </c>
      <c r="BI55">
        <v>257.52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257.52</v>
      </c>
    </row>
    <row r="56" spans="1:72">
      <c r="A56" t="s">
        <v>2271</v>
      </c>
      <c r="B56" t="s">
        <v>2952</v>
      </c>
      <c r="C56" t="s">
        <v>672</v>
      </c>
      <c r="D56" t="s">
        <v>672</v>
      </c>
      <c r="E56" t="s">
        <v>1136</v>
      </c>
      <c r="F56" t="s">
        <v>1566</v>
      </c>
      <c r="G56" t="s">
        <v>1135</v>
      </c>
      <c r="H56" t="s">
        <v>1135</v>
      </c>
      <c r="I56" t="s">
        <v>1135</v>
      </c>
      <c r="J56" t="s">
        <v>1135</v>
      </c>
      <c r="K56" t="s">
        <v>1135</v>
      </c>
      <c r="L56" t="s">
        <v>639</v>
      </c>
      <c r="P56" t="s">
        <v>673</v>
      </c>
      <c r="AF56">
        <v>308.33</v>
      </c>
      <c r="AM56">
        <v>308.33</v>
      </c>
      <c r="AN56">
        <v>308.33</v>
      </c>
      <c r="AP56">
        <v>308.33</v>
      </c>
      <c r="AQ56">
        <v>308.33</v>
      </c>
      <c r="AS56">
        <v>308.33</v>
      </c>
    </row>
    <row r="57" spans="1:72">
      <c r="A57" t="s">
        <v>2155</v>
      </c>
      <c r="B57" t="s">
        <v>2952</v>
      </c>
      <c r="C57" t="s">
        <v>609</v>
      </c>
      <c r="D57" t="s">
        <v>609</v>
      </c>
      <c r="E57" t="s">
        <v>1136</v>
      </c>
      <c r="F57" t="s">
        <v>1566</v>
      </c>
      <c r="G57" t="s">
        <v>1135</v>
      </c>
      <c r="H57" t="s">
        <v>1135</v>
      </c>
      <c r="I57" t="s">
        <v>1135</v>
      </c>
      <c r="J57" t="s">
        <v>1135</v>
      </c>
      <c r="K57" t="s">
        <v>1137</v>
      </c>
      <c r="L57" t="s">
        <v>602</v>
      </c>
      <c r="M57" t="s">
        <v>611</v>
      </c>
      <c r="P57" t="s">
        <v>610</v>
      </c>
      <c r="T57" t="s">
        <v>611</v>
      </c>
      <c r="W57">
        <v>0</v>
      </c>
      <c r="X57">
        <v>69</v>
      </c>
      <c r="AA57">
        <v>-0.08</v>
      </c>
      <c r="AB57">
        <v>69.08</v>
      </c>
      <c r="AC57">
        <v>0</v>
      </c>
      <c r="AD57">
        <v>61</v>
      </c>
      <c r="AE57">
        <v>104</v>
      </c>
      <c r="AF57">
        <v>88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322</v>
      </c>
      <c r="AN57">
        <v>253</v>
      </c>
      <c r="AO57">
        <v>0</v>
      </c>
      <c r="AP57">
        <v>88</v>
      </c>
      <c r="AQ57">
        <v>253</v>
      </c>
      <c r="AS57">
        <v>253</v>
      </c>
      <c r="AU57">
        <v>-0.08</v>
      </c>
      <c r="AV57">
        <v>69.08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69</v>
      </c>
      <c r="BH57">
        <v>-0.08</v>
      </c>
      <c r="BI57">
        <v>69.08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69</v>
      </c>
    </row>
    <row r="58" spans="1:72">
      <c r="A58" t="s">
        <v>1791</v>
      </c>
      <c r="B58" t="s">
        <v>2952</v>
      </c>
      <c r="C58" t="s">
        <v>417</v>
      </c>
      <c r="D58" t="s">
        <v>1792</v>
      </c>
      <c r="E58" t="s">
        <v>1136</v>
      </c>
      <c r="F58" t="s">
        <v>1566</v>
      </c>
      <c r="G58" t="s">
        <v>1135</v>
      </c>
      <c r="H58" t="s">
        <v>1135</v>
      </c>
      <c r="I58" t="s">
        <v>1135</v>
      </c>
      <c r="J58" t="s">
        <v>1137</v>
      </c>
      <c r="K58" t="s">
        <v>1137</v>
      </c>
      <c r="L58" t="s">
        <v>389</v>
      </c>
      <c r="M58" t="s">
        <v>1174</v>
      </c>
      <c r="P58" t="s">
        <v>56</v>
      </c>
      <c r="Q58" t="s">
        <v>1139</v>
      </c>
      <c r="R58" t="s">
        <v>1140</v>
      </c>
      <c r="T58" t="s">
        <v>57</v>
      </c>
      <c r="U58" t="s">
        <v>1141</v>
      </c>
      <c r="W58">
        <v>0</v>
      </c>
      <c r="X58">
        <v>1.26</v>
      </c>
      <c r="AA58">
        <v>0.42</v>
      </c>
      <c r="AB58">
        <v>0.36</v>
      </c>
      <c r="AC58">
        <v>0.48</v>
      </c>
      <c r="AD58">
        <v>1.31</v>
      </c>
      <c r="AE58">
        <v>209.68999999999997</v>
      </c>
      <c r="AF58">
        <v>192.01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404.27</v>
      </c>
      <c r="AN58">
        <v>403.01</v>
      </c>
      <c r="AO58">
        <v>0</v>
      </c>
      <c r="AP58">
        <v>192.01</v>
      </c>
      <c r="AQ58">
        <v>403.01</v>
      </c>
      <c r="AS58">
        <v>403.01</v>
      </c>
      <c r="AU58">
        <v>0.42</v>
      </c>
      <c r="AV58">
        <v>0.36</v>
      </c>
      <c r="AW58">
        <v>0.48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1.26</v>
      </c>
      <c r="BH58">
        <v>0.42</v>
      </c>
      <c r="BI58">
        <v>0.36</v>
      </c>
      <c r="BJ58">
        <v>0.48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1.26</v>
      </c>
    </row>
    <row r="59" spans="1:72">
      <c r="A59" t="s">
        <v>2665</v>
      </c>
      <c r="B59" t="s">
        <v>2952</v>
      </c>
      <c r="C59" t="s">
        <v>940</v>
      </c>
      <c r="D59" t="s">
        <v>2666</v>
      </c>
      <c r="E59" t="s">
        <v>1136</v>
      </c>
      <c r="F59" t="s">
        <v>1566</v>
      </c>
      <c r="G59" t="s">
        <v>1345</v>
      </c>
      <c r="H59" t="s">
        <v>1437</v>
      </c>
      <c r="I59" t="s">
        <v>1345</v>
      </c>
      <c r="J59" t="s">
        <v>1437</v>
      </c>
      <c r="K59" t="s">
        <v>1346</v>
      </c>
      <c r="L59" t="s">
        <v>639</v>
      </c>
      <c r="M59" t="s">
        <v>1138</v>
      </c>
      <c r="P59" t="s">
        <v>51</v>
      </c>
      <c r="Q59" t="s">
        <v>1139</v>
      </c>
      <c r="R59" t="s">
        <v>1140</v>
      </c>
      <c r="T59" t="s">
        <v>25</v>
      </c>
      <c r="W59">
        <v>0</v>
      </c>
      <c r="X59">
        <v>431.03</v>
      </c>
      <c r="AB59">
        <v>431.03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431.03</v>
      </c>
      <c r="AN59">
        <v>0</v>
      </c>
      <c r="AO59">
        <v>0</v>
      </c>
      <c r="AP59">
        <v>0</v>
      </c>
      <c r="AQ59">
        <v>0</v>
      </c>
      <c r="AS59">
        <v>0</v>
      </c>
      <c r="AV59">
        <v>431.03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431.03</v>
      </c>
      <c r="BI59">
        <v>431.03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431.03</v>
      </c>
    </row>
    <row r="60" spans="1:72">
      <c r="A60" t="s">
        <v>2278</v>
      </c>
      <c r="B60" t="s">
        <v>2952</v>
      </c>
      <c r="C60" t="s">
        <v>674</v>
      </c>
      <c r="D60" t="s">
        <v>2279</v>
      </c>
      <c r="E60" t="s">
        <v>1136</v>
      </c>
      <c r="F60" t="s">
        <v>1566</v>
      </c>
      <c r="G60" t="s">
        <v>1135</v>
      </c>
      <c r="H60" t="s">
        <v>1135</v>
      </c>
      <c r="I60" t="s">
        <v>1135</v>
      </c>
      <c r="J60" t="s">
        <v>1137</v>
      </c>
      <c r="K60" t="s">
        <v>1135</v>
      </c>
      <c r="L60" t="s">
        <v>639</v>
      </c>
      <c r="P60" t="s">
        <v>365</v>
      </c>
      <c r="U60" t="s">
        <v>1141</v>
      </c>
      <c r="AF60">
        <v>446.19</v>
      </c>
      <c r="AM60">
        <v>446.19</v>
      </c>
      <c r="AN60">
        <v>446.19</v>
      </c>
      <c r="AP60">
        <v>446.19</v>
      </c>
      <c r="AQ60">
        <v>446.19</v>
      </c>
      <c r="AS60">
        <v>446.19</v>
      </c>
    </row>
    <row r="61" spans="1:72">
      <c r="A61" t="s">
        <v>1169</v>
      </c>
      <c r="B61" t="s">
        <v>2952</v>
      </c>
      <c r="C61" t="s">
        <v>55</v>
      </c>
      <c r="D61" t="s">
        <v>55</v>
      </c>
      <c r="E61" t="s">
        <v>1136</v>
      </c>
      <c r="F61" t="s">
        <v>1566</v>
      </c>
      <c r="G61" t="s">
        <v>1135</v>
      </c>
      <c r="H61" t="s">
        <v>1135</v>
      </c>
      <c r="I61" t="s">
        <v>1135</v>
      </c>
      <c r="J61" t="s">
        <v>1135</v>
      </c>
      <c r="K61" t="s">
        <v>1135</v>
      </c>
      <c r="L61" t="s">
        <v>49</v>
      </c>
      <c r="M61" t="s">
        <v>1170</v>
      </c>
      <c r="O61" t="s">
        <v>1171</v>
      </c>
      <c r="P61" t="s">
        <v>56</v>
      </c>
      <c r="AE61">
        <v>550</v>
      </c>
      <c r="AF61">
        <v>0</v>
      </c>
      <c r="AM61">
        <v>550</v>
      </c>
      <c r="AN61">
        <v>550</v>
      </c>
      <c r="AP61">
        <v>0</v>
      </c>
      <c r="AQ61">
        <v>550</v>
      </c>
      <c r="AS61">
        <v>550</v>
      </c>
    </row>
    <row r="62" spans="1:72">
      <c r="A62" t="s">
        <v>1895</v>
      </c>
      <c r="B62" t="s">
        <v>2952</v>
      </c>
      <c r="C62" t="s">
        <v>464</v>
      </c>
      <c r="D62" t="s">
        <v>1896</v>
      </c>
      <c r="E62" t="s">
        <v>1136</v>
      </c>
      <c r="F62" t="s">
        <v>1566</v>
      </c>
      <c r="G62" t="s">
        <v>1135</v>
      </c>
      <c r="H62" t="s">
        <v>1135</v>
      </c>
      <c r="I62" t="s">
        <v>1135</v>
      </c>
      <c r="J62" t="s">
        <v>1137</v>
      </c>
      <c r="K62" t="s">
        <v>1137</v>
      </c>
      <c r="L62" t="s">
        <v>389</v>
      </c>
      <c r="M62" t="s">
        <v>1703</v>
      </c>
      <c r="P62" t="s">
        <v>365</v>
      </c>
      <c r="R62" t="s">
        <v>1140</v>
      </c>
      <c r="T62" t="s">
        <v>57</v>
      </c>
      <c r="U62" t="s">
        <v>1141</v>
      </c>
      <c r="W62">
        <v>3300</v>
      </c>
      <c r="X62">
        <v>1500</v>
      </c>
      <c r="AD62">
        <v>0</v>
      </c>
      <c r="AE62">
        <v>0</v>
      </c>
      <c r="AF62">
        <v>-1.6999999999999886</v>
      </c>
      <c r="AG62">
        <v>300</v>
      </c>
      <c r="AH62">
        <v>300</v>
      </c>
      <c r="AI62">
        <v>0</v>
      </c>
      <c r="AJ62">
        <v>0</v>
      </c>
      <c r="AK62">
        <v>0</v>
      </c>
      <c r="AL62">
        <v>0</v>
      </c>
      <c r="AM62">
        <v>598.29999999999995</v>
      </c>
      <c r="AN62">
        <v>-901.7</v>
      </c>
      <c r="AO62">
        <v>300</v>
      </c>
      <c r="AP62">
        <v>-301.7</v>
      </c>
      <c r="AQ62">
        <v>-901.7</v>
      </c>
      <c r="AS62">
        <v>-901.7</v>
      </c>
      <c r="AX62">
        <v>300</v>
      </c>
      <c r="AY62">
        <v>300</v>
      </c>
      <c r="AZ62">
        <v>300</v>
      </c>
      <c r="BA62">
        <v>300</v>
      </c>
      <c r="BB62">
        <v>300</v>
      </c>
      <c r="BC62">
        <v>0</v>
      </c>
      <c r="BD62">
        <v>0</v>
      </c>
      <c r="BE62">
        <v>0</v>
      </c>
      <c r="BF62">
        <v>0</v>
      </c>
      <c r="BG62">
        <v>1500</v>
      </c>
      <c r="BK62">
        <v>300</v>
      </c>
      <c r="BL62">
        <v>300</v>
      </c>
      <c r="BM62">
        <v>300</v>
      </c>
      <c r="BN62">
        <v>300</v>
      </c>
      <c r="BO62">
        <v>300</v>
      </c>
      <c r="BP62">
        <v>0</v>
      </c>
      <c r="BQ62">
        <v>0</v>
      </c>
      <c r="BR62">
        <v>0</v>
      </c>
      <c r="BS62">
        <v>0</v>
      </c>
      <c r="BT62">
        <v>1500</v>
      </c>
    </row>
    <row r="63" spans="1:72">
      <c r="A63" t="s">
        <v>2174</v>
      </c>
      <c r="B63" t="s">
        <v>2952</v>
      </c>
      <c r="C63" t="s">
        <v>619</v>
      </c>
      <c r="D63" t="s">
        <v>2175</v>
      </c>
      <c r="E63" t="s">
        <v>1136</v>
      </c>
      <c r="F63" t="s">
        <v>1566</v>
      </c>
      <c r="G63" t="s">
        <v>1566</v>
      </c>
      <c r="H63" t="s">
        <v>1566</v>
      </c>
      <c r="I63" t="s">
        <v>1345</v>
      </c>
      <c r="J63" t="s">
        <v>1346</v>
      </c>
      <c r="K63" t="s">
        <v>1346</v>
      </c>
      <c r="L63" t="s">
        <v>602</v>
      </c>
      <c r="M63" t="s">
        <v>2176</v>
      </c>
      <c r="P63" t="s">
        <v>620</v>
      </c>
      <c r="T63" t="s">
        <v>25</v>
      </c>
      <c r="W63">
        <v>0</v>
      </c>
      <c r="X63">
        <v>614.69000000000005</v>
      </c>
      <c r="AB63">
        <v>260.76</v>
      </c>
      <c r="AC63">
        <v>353.93</v>
      </c>
      <c r="AD63" t="s">
        <v>1142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614.69000000000005</v>
      </c>
      <c r="AN63">
        <v>0</v>
      </c>
      <c r="AO63">
        <v>0</v>
      </c>
      <c r="AP63">
        <v>0</v>
      </c>
      <c r="AQ63">
        <v>0</v>
      </c>
      <c r="AS63">
        <v>0</v>
      </c>
      <c r="AV63">
        <v>260.76</v>
      </c>
      <c r="AW63">
        <v>353.93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614.69000000000005</v>
      </c>
      <c r="BI63">
        <v>260.76</v>
      </c>
      <c r="BJ63">
        <v>353.93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614.69000000000005</v>
      </c>
    </row>
    <row r="64" spans="1:72">
      <c r="A64" t="s">
        <v>2288</v>
      </c>
      <c r="B64" t="s">
        <v>2952</v>
      </c>
      <c r="C64" t="s">
        <v>675</v>
      </c>
      <c r="D64" t="s">
        <v>2289</v>
      </c>
      <c r="E64" t="s">
        <v>1136</v>
      </c>
      <c r="F64" t="s">
        <v>1566</v>
      </c>
      <c r="G64" t="s">
        <v>1135</v>
      </c>
      <c r="H64" t="s">
        <v>1145</v>
      </c>
      <c r="I64" t="s">
        <v>1135</v>
      </c>
      <c r="J64" t="s">
        <v>1145</v>
      </c>
      <c r="K64" t="s">
        <v>1137</v>
      </c>
      <c r="L64" t="s">
        <v>639</v>
      </c>
      <c r="M64" t="s">
        <v>2285</v>
      </c>
      <c r="P64" t="s">
        <v>676</v>
      </c>
      <c r="R64" t="s">
        <v>1140</v>
      </c>
      <c r="T64" t="s">
        <v>677</v>
      </c>
      <c r="W64">
        <v>550</v>
      </c>
      <c r="X64">
        <v>777</v>
      </c>
      <c r="AB64">
        <v>227</v>
      </c>
      <c r="AC64">
        <v>0</v>
      </c>
      <c r="AD64">
        <v>0</v>
      </c>
      <c r="AE64">
        <v>454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681</v>
      </c>
      <c r="AN64">
        <v>-96</v>
      </c>
      <c r="AO64">
        <v>0</v>
      </c>
      <c r="AP64">
        <v>0</v>
      </c>
      <c r="AQ64">
        <v>-96</v>
      </c>
      <c r="AS64">
        <v>-96</v>
      </c>
      <c r="AV64">
        <v>227</v>
      </c>
      <c r="AW64">
        <v>0</v>
      </c>
      <c r="AX64">
        <v>550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777</v>
      </c>
      <c r="BI64">
        <v>227</v>
      </c>
      <c r="BJ64">
        <v>0</v>
      </c>
      <c r="BK64">
        <v>550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777</v>
      </c>
    </row>
    <row r="65" spans="1:72">
      <c r="A65" t="s">
        <v>2473</v>
      </c>
      <c r="B65" t="s">
        <v>2952</v>
      </c>
      <c r="C65" t="s">
        <v>816</v>
      </c>
      <c r="D65" t="s">
        <v>2474</v>
      </c>
      <c r="E65" t="s">
        <v>1136</v>
      </c>
      <c r="F65" t="s">
        <v>1566</v>
      </c>
      <c r="G65" t="s">
        <v>1135</v>
      </c>
      <c r="H65" t="s">
        <v>1145</v>
      </c>
      <c r="I65" t="s">
        <v>1135</v>
      </c>
      <c r="J65" t="s">
        <v>1145</v>
      </c>
      <c r="K65" t="s">
        <v>1137</v>
      </c>
      <c r="L65" t="s">
        <v>639</v>
      </c>
      <c r="M65" t="s">
        <v>818</v>
      </c>
      <c r="P65" t="s">
        <v>817</v>
      </c>
      <c r="R65" t="s">
        <v>1140</v>
      </c>
      <c r="T65" t="s">
        <v>818</v>
      </c>
      <c r="W65">
        <v>3000</v>
      </c>
      <c r="X65">
        <v>3010.21</v>
      </c>
      <c r="AC65">
        <v>410.21</v>
      </c>
      <c r="AD65">
        <v>0</v>
      </c>
      <c r="AE65">
        <v>0</v>
      </c>
      <c r="AF65">
        <v>398.24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808.45</v>
      </c>
      <c r="AN65">
        <v>-2201.7600000000002</v>
      </c>
      <c r="AO65">
        <v>0</v>
      </c>
      <c r="AP65">
        <v>398.24</v>
      </c>
      <c r="AQ65">
        <v>-2201.7600000000002</v>
      </c>
      <c r="AS65">
        <v>-2201.7600000000002</v>
      </c>
      <c r="AW65">
        <v>410.21</v>
      </c>
      <c r="AX65">
        <v>2600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3010.21</v>
      </c>
      <c r="BJ65">
        <v>410.21</v>
      </c>
      <c r="BK65">
        <v>3000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3410.21</v>
      </c>
    </row>
    <row r="66" spans="1:72">
      <c r="A66" t="s">
        <v>1172</v>
      </c>
      <c r="B66" t="s">
        <v>2952</v>
      </c>
      <c r="C66" t="s">
        <v>55</v>
      </c>
      <c r="D66" t="s">
        <v>1173</v>
      </c>
      <c r="E66" t="s">
        <v>1136</v>
      </c>
      <c r="F66" t="s">
        <v>1566</v>
      </c>
      <c r="G66" t="s">
        <v>1135</v>
      </c>
      <c r="H66" t="s">
        <v>1165</v>
      </c>
      <c r="I66" t="s">
        <v>1135</v>
      </c>
      <c r="J66" t="s">
        <v>1165</v>
      </c>
      <c r="K66" t="s">
        <v>1137</v>
      </c>
      <c r="L66" t="s">
        <v>49</v>
      </c>
      <c r="M66" t="s">
        <v>1174</v>
      </c>
      <c r="P66" t="s">
        <v>56</v>
      </c>
      <c r="Q66" t="s">
        <v>1139</v>
      </c>
      <c r="R66" t="s">
        <v>1140</v>
      </c>
      <c r="T66" t="s">
        <v>57</v>
      </c>
      <c r="W66">
        <v>0</v>
      </c>
      <c r="X66">
        <v>1080</v>
      </c>
      <c r="AA66">
        <v>360</v>
      </c>
      <c r="AB66">
        <v>360</v>
      </c>
      <c r="AC66">
        <v>360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1080</v>
      </c>
      <c r="AN66">
        <v>0</v>
      </c>
      <c r="AO66">
        <v>0</v>
      </c>
      <c r="AP66">
        <v>0</v>
      </c>
      <c r="AQ66">
        <v>0</v>
      </c>
      <c r="AS66">
        <v>0</v>
      </c>
      <c r="AU66">
        <v>360</v>
      </c>
      <c r="AV66">
        <v>360</v>
      </c>
      <c r="AW66">
        <v>360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1080</v>
      </c>
      <c r="BH66">
        <v>360</v>
      </c>
      <c r="BI66">
        <v>360</v>
      </c>
      <c r="BJ66">
        <v>360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1080</v>
      </c>
    </row>
    <row r="67" spans="1:72">
      <c r="A67" t="s">
        <v>2277</v>
      </c>
      <c r="B67" t="s">
        <v>2952</v>
      </c>
      <c r="C67" t="s">
        <v>674</v>
      </c>
      <c r="D67" t="s">
        <v>674</v>
      </c>
      <c r="E67" t="s">
        <v>1136</v>
      </c>
      <c r="F67" t="s">
        <v>1566</v>
      </c>
      <c r="G67" t="s">
        <v>1135</v>
      </c>
      <c r="H67" t="s">
        <v>1135</v>
      </c>
      <c r="I67" t="s">
        <v>1135</v>
      </c>
      <c r="J67" t="s">
        <v>1135</v>
      </c>
      <c r="K67" t="s">
        <v>1137</v>
      </c>
      <c r="L67" t="s">
        <v>639</v>
      </c>
      <c r="M67" t="s">
        <v>1703</v>
      </c>
      <c r="P67" t="s">
        <v>365</v>
      </c>
      <c r="R67" t="s">
        <v>1140</v>
      </c>
      <c r="T67" t="s">
        <v>57</v>
      </c>
      <c r="W67">
        <v>0</v>
      </c>
      <c r="X67">
        <v>288</v>
      </c>
      <c r="AB67">
        <v>288</v>
      </c>
      <c r="AC67">
        <v>0</v>
      </c>
      <c r="AD67">
        <v>0</v>
      </c>
      <c r="AE67">
        <v>800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1088</v>
      </c>
      <c r="AN67">
        <v>800</v>
      </c>
      <c r="AO67">
        <v>0</v>
      </c>
      <c r="AP67">
        <v>0</v>
      </c>
      <c r="AQ67">
        <v>800</v>
      </c>
      <c r="AS67">
        <v>800</v>
      </c>
      <c r="AV67">
        <v>288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288</v>
      </c>
      <c r="BI67">
        <v>288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288</v>
      </c>
    </row>
    <row r="68" spans="1:72">
      <c r="A68" t="s">
        <v>2272</v>
      </c>
      <c r="B68" t="s">
        <v>2952</v>
      </c>
      <c r="C68" t="s">
        <v>672</v>
      </c>
      <c r="D68" t="s">
        <v>2273</v>
      </c>
      <c r="E68" t="s">
        <v>1136</v>
      </c>
      <c r="F68" t="s">
        <v>1566</v>
      </c>
      <c r="G68" t="s">
        <v>1135</v>
      </c>
      <c r="H68" t="s">
        <v>1145</v>
      </c>
      <c r="I68" t="s">
        <v>1135</v>
      </c>
      <c r="J68" t="s">
        <v>1145</v>
      </c>
      <c r="K68" t="s">
        <v>1137</v>
      </c>
      <c r="L68" t="s">
        <v>639</v>
      </c>
      <c r="M68" t="s">
        <v>2274</v>
      </c>
      <c r="P68" t="s">
        <v>673</v>
      </c>
      <c r="R68" t="s">
        <v>1140</v>
      </c>
      <c r="T68" t="s">
        <v>57</v>
      </c>
      <c r="W68">
        <v>0</v>
      </c>
      <c r="X68">
        <v>616.66</v>
      </c>
      <c r="AA68">
        <v>308.33</v>
      </c>
      <c r="AB68">
        <v>0</v>
      </c>
      <c r="AC68">
        <v>308.33</v>
      </c>
      <c r="AD68">
        <v>308.33</v>
      </c>
      <c r="AE68">
        <v>308.33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1233.32</v>
      </c>
      <c r="AN68">
        <v>616.66</v>
      </c>
      <c r="AO68">
        <v>0</v>
      </c>
      <c r="AP68">
        <v>0</v>
      </c>
      <c r="AQ68">
        <v>616.66</v>
      </c>
      <c r="AS68">
        <v>616.66</v>
      </c>
      <c r="AU68">
        <v>308.33</v>
      </c>
      <c r="AV68">
        <v>0</v>
      </c>
      <c r="AW68">
        <v>308.33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616.66</v>
      </c>
      <c r="BH68">
        <v>308.33</v>
      </c>
      <c r="BI68">
        <v>0</v>
      </c>
      <c r="BJ68">
        <v>308.33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616.66</v>
      </c>
    </row>
    <row r="69" spans="1:72">
      <c r="A69" t="s">
        <v>1910</v>
      </c>
      <c r="B69" t="s">
        <v>2952</v>
      </c>
      <c r="C69" t="s">
        <v>465</v>
      </c>
      <c r="D69" t="s">
        <v>1911</v>
      </c>
      <c r="E69" t="s">
        <v>1136</v>
      </c>
      <c r="F69" t="s">
        <v>1566</v>
      </c>
      <c r="G69" t="s">
        <v>1135</v>
      </c>
      <c r="H69" t="s">
        <v>1161</v>
      </c>
      <c r="I69" t="s">
        <v>1135</v>
      </c>
      <c r="J69" t="s">
        <v>1161</v>
      </c>
      <c r="K69" t="s">
        <v>1137</v>
      </c>
      <c r="L69" t="s">
        <v>389</v>
      </c>
      <c r="M69" t="s">
        <v>1855</v>
      </c>
      <c r="P69" t="s">
        <v>466</v>
      </c>
      <c r="R69" t="s">
        <v>1140</v>
      </c>
      <c r="T69" t="s">
        <v>57</v>
      </c>
      <c r="W69">
        <v>0</v>
      </c>
      <c r="X69">
        <v>1245</v>
      </c>
      <c r="AC69">
        <v>1245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1245</v>
      </c>
      <c r="AN69">
        <v>0</v>
      </c>
      <c r="AO69">
        <v>0</v>
      </c>
      <c r="AP69">
        <v>0</v>
      </c>
      <c r="AQ69">
        <v>0</v>
      </c>
      <c r="AS69">
        <v>0</v>
      </c>
      <c r="AW69">
        <v>1245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1245</v>
      </c>
      <c r="BJ69">
        <v>1245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1245</v>
      </c>
    </row>
    <row r="70" spans="1:72">
      <c r="A70" t="s">
        <v>2251</v>
      </c>
      <c r="B70" t="s">
        <v>2952</v>
      </c>
      <c r="C70" t="s">
        <v>667</v>
      </c>
      <c r="D70" t="s">
        <v>2252</v>
      </c>
      <c r="E70" t="s">
        <v>1136</v>
      </c>
      <c r="F70" t="s">
        <v>1566</v>
      </c>
      <c r="G70" t="s">
        <v>1135</v>
      </c>
      <c r="H70" t="s">
        <v>1145</v>
      </c>
      <c r="I70" t="s">
        <v>1135</v>
      </c>
      <c r="J70" t="s">
        <v>1145</v>
      </c>
      <c r="K70" t="s">
        <v>1137</v>
      </c>
      <c r="L70" t="s">
        <v>639</v>
      </c>
      <c r="M70" t="s">
        <v>1138</v>
      </c>
      <c r="P70" t="s">
        <v>51</v>
      </c>
      <c r="Q70" t="s">
        <v>1139</v>
      </c>
      <c r="R70" t="s">
        <v>1140</v>
      </c>
      <c r="T70" t="s">
        <v>25</v>
      </c>
      <c r="W70">
        <v>0</v>
      </c>
      <c r="X70">
        <v>1312.56</v>
      </c>
      <c r="AB70">
        <v>1312.56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1312.56</v>
      </c>
      <c r="AN70">
        <v>0</v>
      </c>
      <c r="AO70">
        <v>0</v>
      </c>
      <c r="AP70">
        <v>0</v>
      </c>
      <c r="AQ70">
        <v>0</v>
      </c>
      <c r="AS70">
        <v>0</v>
      </c>
      <c r="AV70">
        <v>1312.56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1312.56</v>
      </c>
      <c r="BI70">
        <v>1312.56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1312.56</v>
      </c>
    </row>
    <row r="71" spans="1:72">
      <c r="A71" t="s">
        <v>2786</v>
      </c>
      <c r="B71" t="s">
        <v>2952</v>
      </c>
      <c r="C71" t="s">
        <v>1003</v>
      </c>
      <c r="D71" t="s">
        <v>2787</v>
      </c>
      <c r="E71" t="s">
        <v>1136</v>
      </c>
      <c r="F71" t="s">
        <v>1566</v>
      </c>
      <c r="G71" t="s">
        <v>1566</v>
      </c>
      <c r="H71" t="s">
        <v>1566</v>
      </c>
      <c r="I71" t="s">
        <v>1567</v>
      </c>
      <c r="J71" t="s">
        <v>1567</v>
      </c>
      <c r="K71" t="s">
        <v>1567</v>
      </c>
      <c r="L71" t="s">
        <v>639</v>
      </c>
      <c r="M71" t="s">
        <v>2285</v>
      </c>
      <c r="P71" t="s">
        <v>676</v>
      </c>
      <c r="R71" t="s">
        <v>1140</v>
      </c>
      <c r="T71" t="s">
        <v>677</v>
      </c>
      <c r="W71">
        <v>0</v>
      </c>
      <c r="X71">
        <v>934.17</v>
      </c>
      <c r="AA71">
        <v>253.17</v>
      </c>
      <c r="AB71">
        <v>681</v>
      </c>
      <c r="AC71">
        <v>0</v>
      </c>
      <c r="AD71">
        <v>0</v>
      </c>
      <c r="AE71">
        <v>681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1615.17</v>
      </c>
      <c r="AN71">
        <v>681.00000000000011</v>
      </c>
      <c r="AO71">
        <v>0</v>
      </c>
      <c r="AP71">
        <v>0</v>
      </c>
      <c r="AQ71">
        <v>681.00000000000011</v>
      </c>
      <c r="AS71">
        <v>681.00000000000011</v>
      </c>
      <c r="AU71">
        <v>253.17</v>
      </c>
      <c r="AV71">
        <v>681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934.17</v>
      </c>
      <c r="BH71">
        <v>253.17</v>
      </c>
      <c r="BI71">
        <v>681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934.17</v>
      </c>
    </row>
    <row r="72" spans="1:72">
      <c r="A72" t="s">
        <v>2296</v>
      </c>
      <c r="B72" t="s">
        <v>2952</v>
      </c>
      <c r="C72" t="s">
        <v>678</v>
      </c>
      <c r="D72" t="s">
        <v>2297</v>
      </c>
      <c r="E72" t="s">
        <v>1136</v>
      </c>
      <c r="F72" t="s">
        <v>1566</v>
      </c>
      <c r="G72" t="s">
        <v>1135</v>
      </c>
      <c r="H72" t="s">
        <v>1165</v>
      </c>
      <c r="I72" t="s">
        <v>1135</v>
      </c>
      <c r="J72" t="s">
        <v>1165</v>
      </c>
      <c r="K72" t="s">
        <v>1137</v>
      </c>
      <c r="L72" t="s">
        <v>639</v>
      </c>
      <c r="M72" t="s">
        <v>2291</v>
      </c>
      <c r="P72" t="s">
        <v>679</v>
      </c>
      <c r="Q72" t="s">
        <v>1153</v>
      </c>
      <c r="R72" t="s">
        <v>1140</v>
      </c>
      <c r="T72" t="s">
        <v>680</v>
      </c>
      <c r="W72">
        <v>0</v>
      </c>
      <c r="X72">
        <v>1293</v>
      </c>
      <c r="AB72">
        <v>1293</v>
      </c>
      <c r="AC72">
        <v>0</v>
      </c>
      <c r="AD72">
        <v>0</v>
      </c>
      <c r="AE72">
        <v>0</v>
      </c>
      <c r="AF72">
        <v>431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1724</v>
      </c>
      <c r="AN72">
        <v>431</v>
      </c>
      <c r="AO72">
        <v>0</v>
      </c>
      <c r="AP72">
        <v>431</v>
      </c>
      <c r="AQ72">
        <v>431</v>
      </c>
      <c r="AS72">
        <v>431</v>
      </c>
      <c r="AV72">
        <v>1293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1293</v>
      </c>
      <c r="BI72">
        <v>1293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1293</v>
      </c>
    </row>
    <row r="73" spans="1:72">
      <c r="A73" t="s">
        <v>2249</v>
      </c>
      <c r="B73" t="s">
        <v>2952</v>
      </c>
      <c r="C73" t="s">
        <v>667</v>
      </c>
      <c r="D73" t="s">
        <v>2250</v>
      </c>
      <c r="E73" t="s">
        <v>1136</v>
      </c>
      <c r="F73" t="s">
        <v>1566</v>
      </c>
      <c r="G73" t="s">
        <v>1135</v>
      </c>
      <c r="H73" t="s">
        <v>1135</v>
      </c>
      <c r="I73" t="s">
        <v>1135</v>
      </c>
      <c r="J73" t="s">
        <v>1137</v>
      </c>
      <c r="K73" t="s">
        <v>1137</v>
      </c>
      <c r="L73" t="s">
        <v>639</v>
      </c>
      <c r="M73" t="s">
        <v>1138</v>
      </c>
      <c r="P73" t="s">
        <v>51</v>
      </c>
      <c r="Q73" t="s">
        <v>1139</v>
      </c>
      <c r="R73" t="s">
        <v>1140</v>
      </c>
      <c r="T73" t="s">
        <v>25</v>
      </c>
      <c r="U73" t="s">
        <v>1141</v>
      </c>
      <c r="W73">
        <v>0</v>
      </c>
      <c r="X73">
        <v>1742.3400000000001</v>
      </c>
      <c r="AB73">
        <v>984.48</v>
      </c>
      <c r="AC73">
        <v>757.86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1742.3400000000001</v>
      </c>
      <c r="AN73">
        <v>0</v>
      </c>
      <c r="AO73">
        <v>0</v>
      </c>
      <c r="AP73">
        <v>0</v>
      </c>
      <c r="AQ73">
        <v>0</v>
      </c>
      <c r="AS73">
        <v>0</v>
      </c>
      <c r="AV73">
        <v>984.48</v>
      </c>
      <c r="AW73">
        <v>757.86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1742.3400000000001</v>
      </c>
      <c r="BI73">
        <v>984.48</v>
      </c>
      <c r="BJ73">
        <v>757.86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1742.3400000000001</v>
      </c>
    </row>
    <row r="74" spans="1:72">
      <c r="A74" t="s">
        <v>1328</v>
      </c>
      <c r="B74" t="s">
        <v>2952</v>
      </c>
      <c r="C74" t="s">
        <v>146</v>
      </c>
      <c r="D74" t="s">
        <v>1329</v>
      </c>
      <c r="E74" t="s">
        <v>1136</v>
      </c>
      <c r="F74" t="s">
        <v>1566</v>
      </c>
      <c r="G74" t="s">
        <v>1135</v>
      </c>
      <c r="H74" t="s">
        <v>1135</v>
      </c>
      <c r="I74" t="s">
        <v>1135</v>
      </c>
      <c r="J74" t="s">
        <v>1137</v>
      </c>
      <c r="K74" t="s">
        <v>1137</v>
      </c>
      <c r="L74" t="s">
        <v>49</v>
      </c>
      <c r="M74" t="s">
        <v>1327</v>
      </c>
      <c r="P74" t="s">
        <v>147</v>
      </c>
      <c r="T74" t="s">
        <v>25</v>
      </c>
      <c r="U74" t="s">
        <v>1141</v>
      </c>
      <c r="W74">
        <v>0</v>
      </c>
      <c r="X74">
        <v>1220.75</v>
      </c>
      <c r="AA74">
        <v>669.53</v>
      </c>
      <c r="AB74">
        <v>7.26</v>
      </c>
      <c r="AC74">
        <v>543.96</v>
      </c>
      <c r="AD74">
        <v>129.34999999999997</v>
      </c>
      <c r="AE74">
        <v>286.95999999999998</v>
      </c>
      <c r="AF74">
        <v>206.12999999999997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1843.1899999999998</v>
      </c>
      <c r="AN74">
        <v>622.43999999999983</v>
      </c>
      <c r="AO74">
        <v>0</v>
      </c>
      <c r="AP74">
        <v>206.12999999999997</v>
      </c>
      <c r="AQ74">
        <v>622.43999999999983</v>
      </c>
      <c r="AS74">
        <v>622.43999999999983</v>
      </c>
      <c r="AU74">
        <v>669.53</v>
      </c>
      <c r="AV74">
        <v>7.26</v>
      </c>
      <c r="AW74">
        <v>543.96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1220.75</v>
      </c>
      <c r="BH74">
        <v>669.53</v>
      </c>
      <c r="BI74">
        <v>7.26</v>
      </c>
      <c r="BJ74">
        <v>543.96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1220.75</v>
      </c>
    </row>
    <row r="75" spans="1:72">
      <c r="A75" t="s">
        <v>2790</v>
      </c>
      <c r="B75" t="s">
        <v>2952</v>
      </c>
      <c r="C75" t="s">
        <v>1004</v>
      </c>
      <c r="D75" t="s">
        <v>2791</v>
      </c>
      <c r="E75" t="s">
        <v>1136</v>
      </c>
      <c r="F75" t="s">
        <v>1566</v>
      </c>
      <c r="G75" t="s">
        <v>1566</v>
      </c>
      <c r="H75" t="s">
        <v>1566</v>
      </c>
      <c r="I75" t="s">
        <v>1567</v>
      </c>
      <c r="J75" t="s">
        <v>1567</v>
      </c>
      <c r="K75" t="s">
        <v>1567</v>
      </c>
      <c r="L75" t="s">
        <v>639</v>
      </c>
      <c r="M75" t="s">
        <v>2291</v>
      </c>
      <c r="P75" t="s">
        <v>679</v>
      </c>
      <c r="R75" t="s">
        <v>1140</v>
      </c>
      <c r="T75" t="s">
        <v>680</v>
      </c>
      <c r="W75">
        <v>0</v>
      </c>
      <c r="X75">
        <v>2155</v>
      </c>
      <c r="AC75">
        <v>2155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2155</v>
      </c>
      <c r="AN75">
        <v>0</v>
      </c>
      <c r="AO75">
        <v>0</v>
      </c>
      <c r="AP75">
        <v>0</v>
      </c>
      <c r="AQ75">
        <v>0</v>
      </c>
      <c r="AS75">
        <v>0</v>
      </c>
      <c r="AW75">
        <v>2155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2155</v>
      </c>
      <c r="BJ75">
        <v>2155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2155</v>
      </c>
    </row>
    <row r="76" spans="1:72">
      <c r="A76" t="s">
        <v>1865</v>
      </c>
      <c r="B76" t="s">
        <v>2952</v>
      </c>
      <c r="C76" t="s">
        <v>452</v>
      </c>
      <c r="D76" t="s">
        <v>1866</v>
      </c>
      <c r="E76" t="s">
        <v>1136</v>
      </c>
      <c r="F76" t="s">
        <v>1566</v>
      </c>
      <c r="G76" t="s">
        <v>1135</v>
      </c>
      <c r="H76" t="s">
        <v>1145</v>
      </c>
      <c r="I76" t="s">
        <v>1135</v>
      </c>
      <c r="J76" t="s">
        <v>1145</v>
      </c>
      <c r="K76" t="s">
        <v>1137</v>
      </c>
      <c r="L76" t="s">
        <v>389</v>
      </c>
      <c r="M76" t="s">
        <v>1863</v>
      </c>
      <c r="P76" t="s">
        <v>453</v>
      </c>
      <c r="T76" t="s">
        <v>57</v>
      </c>
      <c r="W76">
        <v>0</v>
      </c>
      <c r="X76">
        <v>81</v>
      </c>
      <c r="AA76">
        <v>1.65</v>
      </c>
      <c r="AB76">
        <v>76.819999999999993</v>
      </c>
      <c r="AC76">
        <v>2.5299999999999998</v>
      </c>
      <c r="AD76">
        <v>1008.71</v>
      </c>
      <c r="AE76">
        <v>1060.44</v>
      </c>
      <c r="AF76">
        <v>17.300000000000068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2167.4500000000003</v>
      </c>
      <c r="AN76">
        <v>2086.4500000000003</v>
      </c>
      <c r="AO76">
        <v>0</v>
      </c>
      <c r="AP76">
        <v>17.300000000000068</v>
      </c>
      <c r="AQ76">
        <v>2086.4500000000003</v>
      </c>
      <c r="AS76">
        <v>2086.4500000000003</v>
      </c>
      <c r="AU76">
        <v>1.65</v>
      </c>
      <c r="AV76">
        <v>76.819999999999993</v>
      </c>
      <c r="AW76">
        <v>2.5299999999999998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81</v>
      </c>
      <c r="BH76">
        <v>1.65</v>
      </c>
      <c r="BI76">
        <v>76.819999999999993</v>
      </c>
      <c r="BJ76">
        <v>2.5299999999999998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81</v>
      </c>
    </row>
    <row r="77" spans="1:72">
      <c r="A77" t="s">
        <v>2112</v>
      </c>
      <c r="B77" t="s">
        <v>2952</v>
      </c>
      <c r="C77" t="s">
        <v>580</v>
      </c>
      <c r="D77" t="s">
        <v>2113</v>
      </c>
      <c r="E77" t="s">
        <v>1136</v>
      </c>
      <c r="F77" t="s">
        <v>1566</v>
      </c>
      <c r="G77" t="s">
        <v>1566</v>
      </c>
      <c r="H77" t="s">
        <v>1566</v>
      </c>
      <c r="I77" t="s">
        <v>1345</v>
      </c>
      <c r="J77" t="s">
        <v>1346</v>
      </c>
      <c r="K77" t="s">
        <v>1346</v>
      </c>
      <c r="L77" t="s">
        <v>389</v>
      </c>
      <c r="M77" t="s">
        <v>1703</v>
      </c>
      <c r="P77" t="s">
        <v>365</v>
      </c>
      <c r="R77" t="s">
        <v>1140</v>
      </c>
      <c r="T77" t="s">
        <v>57</v>
      </c>
      <c r="W77">
        <v>0</v>
      </c>
      <c r="X77">
        <v>2000</v>
      </c>
      <c r="AA77">
        <v>2000</v>
      </c>
      <c r="AB77">
        <v>0</v>
      </c>
      <c r="AC77">
        <v>0</v>
      </c>
      <c r="AD77">
        <v>0</v>
      </c>
      <c r="AE77">
        <v>90.2</v>
      </c>
      <c r="AF77">
        <v>90.2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2180.3999999999996</v>
      </c>
      <c r="AN77">
        <v>180.39999999999964</v>
      </c>
      <c r="AO77">
        <v>0</v>
      </c>
      <c r="AP77">
        <v>90.2</v>
      </c>
      <c r="AQ77">
        <v>180.39999999999964</v>
      </c>
      <c r="AS77">
        <v>180.39999999999964</v>
      </c>
      <c r="AU77">
        <v>2000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2000</v>
      </c>
      <c r="BH77">
        <v>2000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2000</v>
      </c>
    </row>
    <row r="78" spans="1:72">
      <c r="A78" t="s">
        <v>1702</v>
      </c>
      <c r="B78" t="s">
        <v>2952</v>
      </c>
      <c r="C78" t="s">
        <v>364</v>
      </c>
      <c r="D78" t="s">
        <v>364</v>
      </c>
      <c r="E78" t="s">
        <v>1136</v>
      </c>
      <c r="F78" t="s">
        <v>1566</v>
      </c>
      <c r="G78" t="s">
        <v>1135</v>
      </c>
      <c r="H78" t="s">
        <v>1135</v>
      </c>
      <c r="I78" t="s">
        <v>1135</v>
      </c>
      <c r="J78" t="s">
        <v>1135</v>
      </c>
      <c r="K78" t="s">
        <v>1137</v>
      </c>
      <c r="L78" t="s">
        <v>342</v>
      </c>
      <c r="M78" t="s">
        <v>1703</v>
      </c>
      <c r="P78" t="s">
        <v>365</v>
      </c>
      <c r="R78" t="s">
        <v>1140</v>
      </c>
      <c r="T78" t="s">
        <v>57</v>
      </c>
      <c r="W78">
        <v>0</v>
      </c>
      <c r="X78">
        <v>20</v>
      </c>
      <c r="AA78">
        <v>20</v>
      </c>
      <c r="AB78">
        <v>0</v>
      </c>
      <c r="AC78">
        <v>0</v>
      </c>
      <c r="AD78">
        <v>22</v>
      </c>
      <c r="AE78">
        <v>0</v>
      </c>
      <c r="AF78">
        <v>2147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2189</v>
      </c>
      <c r="AN78">
        <v>2169</v>
      </c>
      <c r="AO78">
        <v>0</v>
      </c>
      <c r="AP78">
        <v>2147</v>
      </c>
      <c r="AQ78">
        <v>2169</v>
      </c>
      <c r="AS78">
        <v>2169</v>
      </c>
      <c r="AU78">
        <v>20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</v>
      </c>
      <c r="BH78">
        <v>20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20</v>
      </c>
    </row>
    <row r="79" spans="1:72">
      <c r="A79" t="s">
        <v>2120</v>
      </c>
      <c r="B79" t="s">
        <v>2952</v>
      </c>
      <c r="C79" t="s">
        <v>581</v>
      </c>
      <c r="D79" t="s">
        <v>2121</v>
      </c>
      <c r="E79" t="s">
        <v>1136</v>
      </c>
      <c r="F79" t="s">
        <v>1566</v>
      </c>
      <c r="G79" t="s">
        <v>1566</v>
      </c>
      <c r="H79" t="s">
        <v>1566</v>
      </c>
      <c r="I79" t="s">
        <v>1567</v>
      </c>
      <c r="J79" t="s">
        <v>1567</v>
      </c>
      <c r="K79" t="s">
        <v>1567</v>
      </c>
      <c r="L79" t="s">
        <v>389</v>
      </c>
      <c r="M79" t="s">
        <v>1855</v>
      </c>
      <c r="P79" t="s">
        <v>466</v>
      </c>
      <c r="R79" t="s">
        <v>1140</v>
      </c>
      <c r="T79" t="s">
        <v>57</v>
      </c>
      <c r="W79">
        <v>0</v>
      </c>
      <c r="X79">
        <v>882</v>
      </c>
      <c r="AA79">
        <v>194</v>
      </c>
      <c r="AB79">
        <v>194</v>
      </c>
      <c r="AC79">
        <v>494</v>
      </c>
      <c r="AD79">
        <v>688</v>
      </c>
      <c r="AE79">
        <v>501</v>
      </c>
      <c r="AF79">
        <v>441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2512</v>
      </c>
      <c r="AN79">
        <v>1630</v>
      </c>
      <c r="AO79">
        <v>0</v>
      </c>
      <c r="AP79">
        <v>441</v>
      </c>
      <c r="AQ79">
        <v>1630</v>
      </c>
      <c r="AS79">
        <v>1630</v>
      </c>
      <c r="AU79">
        <v>194</v>
      </c>
      <c r="AV79">
        <v>194</v>
      </c>
      <c r="AW79">
        <v>494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882</v>
      </c>
      <c r="BH79">
        <v>194</v>
      </c>
      <c r="BI79">
        <v>194</v>
      </c>
      <c r="BJ79">
        <v>494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882</v>
      </c>
    </row>
    <row r="80" spans="1:72">
      <c r="A80" t="s">
        <v>1837</v>
      </c>
      <c r="B80" t="s">
        <v>2952</v>
      </c>
      <c r="C80" t="s">
        <v>435</v>
      </c>
      <c r="D80" t="s">
        <v>1838</v>
      </c>
      <c r="E80" t="s">
        <v>1136</v>
      </c>
      <c r="F80" t="s">
        <v>1566</v>
      </c>
      <c r="G80" t="s">
        <v>1135</v>
      </c>
      <c r="H80" t="s">
        <v>1165</v>
      </c>
      <c r="I80" t="s">
        <v>1135</v>
      </c>
      <c r="J80" t="s">
        <v>1165</v>
      </c>
      <c r="K80" t="s">
        <v>1137</v>
      </c>
      <c r="L80" t="s">
        <v>389</v>
      </c>
      <c r="M80" t="s">
        <v>1835</v>
      </c>
      <c r="P80" t="s">
        <v>436</v>
      </c>
      <c r="T80" t="s">
        <v>57</v>
      </c>
      <c r="U80" t="s">
        <v>2912</v>
      </c>
      <c r="W80">
        <v>0</v>
      </c>
      <c r="X80">
        <v>1351.1499999999999</v>
      </c>
      <c r="AA80">
        <v>696.35</v>
      </c>
      <c r="AB80">
        <v>599.02</v>
      </c>
      <c r="AC80">
        <v>55.78</v>
      </c>
      <c r="AD80">
        <v>27.89</v>
      </c>
      <c r="AE80">
        <v>596.58999999999992</v>
      </c>
      <c r="AF80">
        <v>549.04999999999995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2524.6799999999998</v>
      </c>
      <c r="AN80">
        <v>1173.53</v>
      </c>
      <c r="AO80">
        <v>0</v>
      </c>
      <c r="AP80">
        <v>549.04999999999995</v>
      </c>
      <c r="AQ80">
        <v>1173.53</v>
      </c>
      <c r="AS80">
        <v>1173.53</v>
      </c>
      <c r="AU80">
        <v>696.35</v>
      </c>
      <c r="AV80">
        <v>599.02</v>
      </c>
      <c r="AW80">
        <v>55.78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1351.1499999999999</v>
      </c>
      <c r="BH80">
        <v>696.35</v>
      </c>
      <c r="BI80">
        <v>599.02</v>
      </c>
      <c r="BJ80">
        <v>55.78</v>
      </c>
      <c r="BK80">
        <v>600</v>
      </c>
      <c r="BL80">
        <v>600</v>
      </c>
      <c r="BM80">
        <v>600</v>
      </c>
      <c r="BN80">
        <v>600</v>
      </c>
      <c r="BO80">
        <v>600</v>
      </c>
      <c r="BP80">
        <v>600</v>
      </c>
      <c r="BQ80">
        <v>600</v>
      </c>
      <c r="BR80">
        <v>600</v>
      </c>
      <c r="BS80">
        <v>600</v>
      </c>
      <c r="BT80">
        <v>6751.15</v>
      </c>
    </row>
    <row r="81" spans="1:72">
      <c r="A81" t="s">
        <v>2131</v>
      </c>
      <c r="B81" t="s">
        <v>2952</v>
      </c>
      <c r="C81" t="s">
        <v>588</v>
      </c>
      <c r="D81" t="s">
        <v>2132</v>
      </c>
      <c r="E81" t="s">
        <v>1136</v>
      </c>
      <c r="F81" t="s">
        <v>1566</v>
      </c>
      <c r="G81" t="s">
        <v>1566</v>
      </c>
      <c r="H81" t="s">
        <v>1566</v>
      </c>
      <c r="I81" t="s">
        <v>1567</v>
      </c>
      <c r="J81" t="s">
        <v>1567</v>
      </c>
      <c r="K81" t="s">
        <v>1567</v>
      </c>
      <c r="L81" t="s">
        <v>389</v>
      </c>
      <c r="M81" t="s">
        <v>1327</v>
      </c>
      <c r="P81" t="s">
        <v>147</v>
      </c>
      <c r="T81" t="s">
        <v>25</v>
      </c>
      <c r="W81">
        <v>0</v>
      </c>
      <c r="X81">
        <v>1501.59</v>
      </c>
      <c r="AA81">
        <v>-0.46</v>
      </c>
      <c r="AB81">
        <v>0.71</v>
      </c>
      <c r="AC81">
        <v>1501.34</v>
      </c>
      <c r="AD81">
        <v>0.24</v>
      </c>
      <c r="AE81">
        <v>0.2</v>
      </c>
      <c r="AF81">
        <v>1249.95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2751.98</v>
      </c>
      <c r="AN81">
        <v>1250.3900000000001</v>
      </c>
      <c r="AO81">
        <v>0</v>
      </c>
      <c r="AP81">
        <v>1249.95</v>
      </c>
      <c r="AQ81">
        <v>1250.3900000000001</v>
      </c>
      <c r="AS81">
        <v>1250.3900000000001</v>
      </c>
      <c r="AU81">
        <v>-0.46</v>
      </c>
      <c r="AV81">
        <v>0.71</v>
      </c>
      <c r="AW81">
        <v>1501.34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1501.59</v>
      </c>
      <c r="BH81">
        <v>-0.46</v>
      </c>
      <c r="BI81">
        <v>0.71</v>
      </c>
      <c r="BJ81">
        <v>1501.34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1501.59</v>
      </c>
    </row>
    <row r="82" spans="1:72">
      <c r="A82" t="s">
        <v>2805</v>
      </c>
      <c r="B82" t="s">
        <v>2952</v>
      </c>
      <c r="C82" t="s">
        <v>1015</v>
      </c>
      <c r="D82" t="s">
        <v>2806</v>
      </c>
      <c r="E82" t="s">
        <v>1136</v>
      </c>
      <c r="F82" t="s">
        <v>1566</v>
      </c>
      <c r="G82" t="s">
        <v>1566</v>
      </c>
      <c r="H82" t="s">
        <v>1566</v>
      </c>
      <c r="I82" t="s">
        <v>1345</v>
      </c>
      <c r="J82" t="s">
        <v>1346</v>
      </c>
      <c r="K82" t="s">
        <v>1346</v>
      </c>
      <c r="L82" t="s">
        <v>639</v>
      </c>
      <c r="M82" t="s">
        <v>1327</v>
      </c>
      <c r="P82" t="s">
        <v>147</v>
      </c>
      <c r="T82" t="s">
        <v>25</v>
      </c>
      <c r="W82">
        <v>0</v>
      </c>
      <c r="X82">
        <v>2702.75</v>
      </c>
      <c r="AA82">
        <v>45.54</v>
      </c>
      <c r="AB82">
        <v>0.09</v>
      </c>
      <c r="AC82">
        <v>2657.12</v>
      </c>
      <c r="AD82">
        <v>12.72</v>
      </c>
      <c r="AE82">
        <v>29.21</v>
      </c>
      <c r="AF82">
        <v>7.47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2752.1499999999996</v>
      </c>
      <c r="AN82">
        <v>49.399999999999636</v>
      </c>
      <c r="AO82">
        <v>0</v>
      </c>
      <c r="AP82">
        <v>7.47</v>
      </c>
      <c r="AQ82">
        <v>49.399999999999636</v>
      </c>
      <c r="AS82">
        <v>49.399999999999636</v>
      </c>
      <c r="AU82">
        <v>45.54</v>
      </c>
      <c r="AV82">
        <v>0.09</v>
      </c>
      <c r="AW82">
        <v>2657.12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2702.75</v>
      </c>
      <c r="BH82">
        <v>45.54</v>
      </c>
      <c r="BI82">
        <v>0.09</v>
      </c>
      <c r="BJ82">
        <v>2657.12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2702.75</v>
      </c>
    </row>
    <row r="83" spans="1:72">
      <c r="A83" t="s">
        <v>2845</v>
      </c>
      <c r="B83" t="s">
        <v>2952</v>
      </c>
      <c r="C83" t="s">
        <v>1038</v>
      </c>
      <c r="D83" t="s">
        <v>1038</v>
      </c>
      <c r="E83" t="s">
        <v>1136</v>
      </c>
      <c r="F83" t="s">
        <v>1566</v>
      </c>
      <c r="G83" t="s">
        <v>1135</v>
      </c>
      <c r="H83" t="s">
        <v>1135</v>
      </c>
      <c r="I83" t="s">
        <v>1135</v>
      </c>
      <c r="J83" t="s">
        <v>1135</v>
      </c>
      <c r="K83" t="s">
        <v>1137</v>
      </c>
      <c r="L83" t="s">
        <v>1037</v>
      </c>
      <c r="M83" t="s">
        <v>2846</v>
      </c>
      <c r="P83" t="s">
        <v>1039</v>
      </c>
      <c r="R83" t="s">
        <v>1140</v>
      </c>
      <c r="T83" t="s">
        <v>1040</v>
      </c>
      <c r="W83">
        <v>0</v>
      </c>
      <c r="X83">
        <v>4</v>
      </c>
      <c r="AB83">
        <v>-101</v>
      </c>
      <c r="AC83">
        <v>105</v>
      </c>
      <c r="AD83">
        <v>479</v>
      </c>
      <c r="AE83">
        <v>66</v>
      </c>
      <c r="AF83">
        <v>2208.0000000000005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2757.0000000000005</v>
      </c>
      <c r="AN83">
        <v>2753.0000000000005</v>
      </c>
      <c r="AO83">
        <v>0</v>
      </c>
      <c r="AP83">
        <v>2208.0000000000005</v>
      </c>
      <c r="AQ83">
        <v>2753.0000000000005</v>
      </c>
      <c r="AS83">
        <v>2753.0000000000005</v>
      </c>
      <c r="AV83">
        <v>-101</v>
      </c>
      <c r="AW83">
        <v>105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4</v>
      </c>
      <c r="BI83">
        <v>-101</v>
      </c>
      <c r="BJ83">
        <v>105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</v>
      </c>
    </row>
    <row r="84" spans="1:72">
      <c r="A84" t="s">
        <v>2686</v>
      </c>
      <c r="B84" t="s">
        <v>2952</v>
      </c>
      <c r="C84" t="s">
        <v>950</v>
      </c>
      <c r="D84" t="s">
        <v>2687</v>
      </c>
      <c r="E84" t="s">
        <v>1136</v>
      </c>
      <c r="F84" t="s">
        <v>1566</v>
      </c>
      <c r="G84" t="s">
        <v>1345</v>
      </c>
      <c r="H84" t="s">
        <v>1437</v>
      </c>
      <c r="I84" t="s">
        <v>1345</v>
      </c>
      <c r="J84" t="s">
        <v>1437</v>
      </c>
      <c r="K84" t="s">
        <v>1437</v>
      </c>
      <c r="L84" t="s">
        <v>639</v>
      </c>
      <c r="P84" t="s">
        <v>817</v>
      </c>
      <c r="AF84">
        <v>3285.0699999999997</v>
      </c>
      <c r="AM84">
        <v>3285.0699999999997</v>
      </c>
      <c r="AN84">
        <v>3285.0699999999997</v>
      </c>
      <c r="AP84">
        <v>3285.0699999999997</v>
      </c>
      <c r="AQ84">
        <v>3285.0699999999997</v>
      </c>
      <c r="AS84">
        <v>3285.0699999999997</v>
      </c>
    </row>
    <row r="85" spans="1:72">
      <c r="A85" t="s">
        <v>1744</v>
      </c>
      <c r="B85" t="s">
        <v>2952</v>
      </c>
      <c r="C85" t="s">
        <v>384</v>
      </c>
      <c r="D85" t="s">
        <v>1745</v>
      </c>
      <c r="E85" t="s">
        <v>1136</v>
      </c>
      <c r="F85" t="s">
        <v>1566</v>
      </c>
      <c r="G85" t="s">
        <v>1566</v>
      </c>
      <c r="H85" t="s">
        <v>1566</v>
      </c>
      <c r="I85" t="s">
        <v>1345</v>
      </c>
      <c r="J85" t="s">
        <v>1346</v>
      </c>
      <c r="K85" t="s">
        <v>1346</v>
      </c>
      <c r="L85" t="s">
        <v>342</v>
      </c>
      <c r="M85" t="s">
        <v>1327</v>
      </c>
      <c r="P85" t="s">
        <v>147</v>
      </c>
      <c r="T85" t="s">
        <v>25</v>
      </c>
      <c r="W85">
        <v>0</v>
      </c>
      <c r="X85">
        <v>835.42000000000007</v>
      </c>
      <c r="AA85">
        <v>-0.14000000000000001</v>
      </c>
      <c r="AB85">
        <v>464.29</v>
      </c>
      <c r="AC85">
        <v>371.27</v>
      </c>
      <c r="AD85">
        <v>-0.06</v>
      </c>
      <c r="AE85">
        <v>2499.4899999999998</v>
      </c>
      <c r="AF85">
        <v>-0.11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3334.74</v>
      </c>
      <c r="AN85">
        <v>2499.3199999999997</v>
      </c>
      <c r="AO85">
        <v>0</v>
      </c>
      <c r="AP85">
        <v>-0.11</v>
      </c>
      <c r="AQ85">
        <v>2499.3199999999997</v>
      </c>
      <c r="AS85">
        <v>2499.3199999999997</v>
      </c>
      <c r="AU85">
        <v>-0.14000000000000001</v>
      </c>
      <c r="AV85">
        <v>464.29</v>
      </c>
      <c r="AW85">
        <v>371.27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835.42000000000007</v>
      </c>
      <c r="BH85">
        <v>-0.14000000000000001</v>
      </c>
      <c r="BI85">
        <v>464.29</v>
      </c>
      <c r="BJ85">
        <v>371.27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835.42000000000007</v>
      </c>
    </row>
    <row r="86" spans="1:72">
      <c r="A86" t="s">
        <v>1908</v>
      </c>
      <c r="B86" t="s">
        <v>2952</v>
      </c>
      <c r="C86" t="s">
        <v>465</v>
      </c>
      <c r="D86" t="s">
        <v>1909</v>
      </c>
      <c r="E86" t="s">
        <v>1136</v>
      </c>
      <c r="F86" t="s">
        <v>1566</v>
      </c>
      <c r="G86" t="s">
        <v>1135</v>
      </c>
      <c r="H86" t="s">
        <v>1156</v>
      </c>
      <c r="I86" t="s">
        <v>1135</v>
      </c>
      <c r="J86" t="s">
        <v>1156</v>
      </c>
      <c r="K86" t="s">
        <v>1137</v>
      </c>
      <c r="L86" t="s">
        <v>389</v>
      </c>
      <c r="M86" t="s">
        <v>1855</v>
      </c>
      <c r="P86" t="s">
        <v>466</v>
      </c>
      <c r="R86" t="s">
        <v>1140</v>
      </c>
      <c r="T86" t="s">
        <v>57</v>
      </c>
      <c r="W86">
        <v>0</v>
      </c>
      <c r="X86">
        <v>3535</v>
      </c>
      <c r="AA86">
        <v>60</v>
      </c>
      <c r="AB86">
        <v>0</v>
      </c>
      <c r="AC86">
        <v>3475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3535</v>
      </c>
      <c r="AN86">
        <v>0</v>
      </c>
      <c r="AO86">
        <v>0</v>
      </c>
      <c r="AP86">
        <v>0</v>
      </c>
      <c r="AQ86">
        <v>0</v>
      </c>
      <c r="AS86">
        <v>0</v>
      </c>
      <c r="AU86">
        <v>60</v>
      </c>
      <c r="AV86">
        <v>0</v>
      </c>
      <c r="AW86">
        <v>3475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3535</v>
      </c>
      <c r="BH86">
        <v>60</v>
      </c>
      <c r="BI86">
        <v>0</v>
      </c>
      <c r="BJ86">
        <v>3475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3535</v>
      </c>
    </row>
    <row r="87" spans="1:72">
      <c r="A87" t="s">
        <v>2248</v>
      </c>
      <c r="B87" t="s">
        <v>2952</v>
      </c>
      <c r="C87" t="s">
        <v>667</v>
      </c>
      <c r="D87" t="s">
        <v>667</v>
      </c>
      <c r="E87" t="s">
        <v>1136</v>
      </c>
      <c r="F87" t="s">
        <v>1566</v>
      </c>
      <c r="G87" t="s">
        <v>1135</v>
      </c>
      <c r="H87" t="s">
        <v>1135</v>
      </c>
      <c r="I87" t="s">
        <v>1135</v>
      </c>
      <c r="J87" t="s">
        <v>1135</v>
      </c>
      <c r="K87" t="s">
        <v>1137</v>
      </c>
      <c r="L87" t="s">
        <v>639</v>
      </c>
      <c r="M87" t="s">
        <v>1138</v>
      </c>
      <c r="P87" t="s">
        <v>51</v>
      </c>
      <c r="Q87" t="s">
        <v>1139</v>
      </c>
      <c r="R87" t="s">
        <v>1140</v>
      </c>
      <c r="T87" t="s">
        <v>25</v>
      </c>
      <c r="W87">
        <v>0</v>
      </c>
      <c r="X87">
        <v>3777.33</v>
      </c>
      <c r="AB87">
        <v>3777.33</v>
      </c>
      <c r="AC87">
        <v>0</v>
      </c>
      <c r="AD87">
        <v>83.61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3860.94</v>
      </c>
      <c r="AN87">
        <v>83.610000000000127</v>
      </c>
      <c r="AO87">
        <v>0</v>
      </c>
      <c r="AP87">
        <v>0</v>
      </c>
      <c r="AQ87">
        <v>83.610000000000127</v>
      </c>
      <c r="AS87">
        <v>83.610000000000127</v>
      </c>
      <c r="AV87">
        <v>3777.33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3777.33</v>
      </c>
      <c r="BI87">
        <v>3777.33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3777.33</v>
      </c>
    </row>
    <row r="88" spans="1:72">
      <c r="A88" t="s">
        <v>2253</v>
      </c>
      <c r="B88" t="s">
        <v>2952</v>
      </c>
      <c r="C88" t="s">
        <v>667</v>
      </c>
      <c r="D88" t="s">
        <v>2254</v>
      </c>
      <c r="E88" t="s">
        <v>1136</v>
      </c>
      <c r="F88" t="s">
        <v>1566</v>
      </c>
      <c r="G88" t="s">
        <v>1135</v>
      </c>
      <c r="H88" t="s">
        <v>1165</v>
      </c>
      <c r="I88" t="s">
        <v>1135</v>
      </c>
      <c r="J88" t="s">
        <v>1165</v>
      </c>
      <c r="K88" t="s">
        <v>1137</v>
      </c>
      <c r="L88" t="s">
        <v>639</v>
      </c>
      <c r="M88" t="s">
        <v>1138</v>
      </c>
      <c r="P88" t="s">
        <v>51</v>
      </c>
      <c r="Q88" t="s">
        <v>1139</v>
      </c>
      <c r="R88" t="s">
        <v>1140</v>
      </c>
      <c r="T88" t="s">
        <v>25</v>
      </c>
      <c r="W88">
        <v>0</v>
      </c>
      <c r="X88">
        <v>3879.27</v>
      </c>
      <c r="AB88">
        <v>3879.27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3879.27</v>
      </c>
      <c r="AN88">
        <v>0</v>
      </c>
      <c r="AO88">
        <v>0</v>
      </c>
      <c r="AP88">
        <v>0</v>
      </c>
      <c r="AQ88">
        <v>0</v>
      </c>
      <c r="AS88">
        <v>0</v>
      </c>
      <c r="AV88">
        <v>3879.27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3879.27</v>
      </c>
      <c r="BI88">
        <v>3879.27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3879.27</v>
      </c>
    </row>
    <row r="89" spans="1:72">
      <c r="A89" t="s">
        <v>2774</v>
      </c>
      <c r="B89" t="s">
        <v>2952</v>
      </c>
      <c r="C89" t="s">
        <v>997</v>
      </c>
      <c r="D89" t="s">
        <v>2775</v>
      </c>
      <c r="E89" t="s">
        <v>1136</v>
      </c>
      <c r="F89" t="s">
        <v>1566</v>
      </c>
      <c r="G89" t="s">
        <v>1566</v>
      </c>
      <c r="H89" t="s">
        <v>1566</v>
      </c>
      <c r="I89" t="s">
        <v>1345</v>
      </c>
      <c r="J89" t="s">
        <v>1346</v>
      </c>
      <c r="K89" t="s">
        <v>1346</v>
      </c>
      <c r="L89" t="s">
        <v>639</v>
      </c>
      <c r="M89" t="s">
        <v>1138</v>
      </c>
      <c r="P89" t="s">
        <v>51</v>
      </c>
      <c r="Q89" t="s">
        <v>1139</v>
      </c>
      <c r="R89" t="s">
        <v>1140</v>
      </c>
      <c r="T89" t="s">
        <v>25</v>
      </c>
      <c r="W89">
        <v>0</v>
      </c>
      <c r="X89">
        <v>3227.2200000000003</v>
      </c>
      <c r="AB89">
        <v>1859.42</v>
      </c>
      <c r="AC89">
        <v>1367.8</v>
      </c>
      <c r="AD89">
        <v>0</v>
      </c>
      <c r="AE89">
        <v>682.06</v>
      </c>
      <c r="AF89">
        <v>91.56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4000.84</v>
      </c>
      <c r="AN89">
        <v>773.61999999999989</v>
      </c>
      <c r="AO89">
        <v>0</v>
      </c>
      <c r="AP89">
        <v>91.56</v>
      </c>
      <c r="AQ89">
        <v>773.61999999999989</v>
      </c>
      <c r="AS89">
        <v>773.61999999999989</v>
      </c>
      <c r="AV89">
        <v>1859.42</v>
      </c>
      <c r="AW89">
        <v>1367.8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3227.2200000000003</v>
      </c>
      <c r="BI89">
        <v>1859.42</v>
      </c>
      <c r="BJ89">
        <v>1367.8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3227.2200000000003</v>
      </c>
    </row>
    <row r="90" spans="1:72">
      <c r="A90" t="s">
        <v>2182</v>
      </c>
      <c r="B90" t="s">
        <v>2952</v>
      </c>
      <c r="C90" t="s">
        <v>621</v>
      </c>
      <c r="D90" t="s">
        <v>2183</v>
      </c>
      <c r="E90" t="s">
        <v>1136</v>
      </c>
      <c r="F90" t="s">
        <v>1566</v>
      </c>
      <c r="G90" t="s">
        <v>1566</v>
      </c>
      <c r="H90" t="s">
        <v>1566</v>
      </c>
      <c r="I90" t="s">
        <v>1567</v>
      </c>
      <c r="J90" t="s">
        <v>1567</v>
      </c>
      <c r="K90" t="s">
        <v>1567</v>
      </c>
      <c r="L90" t="s">
        <v>602</v>
      </c>
      <c r="M90" t="s">
        <v>611</v>
      </c>
      <c r="P90" t="s">
        <v>610</v>
      </c>
      <c r="T90" t="s">
        <v>611</v>
      </c>
      <c r="W90">
        <v>0</v>
      </c>
      <c r="X90">
        <v>18.829999999999998</v>
      </c>
      <c r="AA90">
        <v>19</v>
      </c>
      <c r="AB90">
        <v>-0.17</v>
      </c>
      <c r="AC90">
        <v>0</v>
      </c>
      <c r="AD90">
        <v>4245.9400000000005</v>
      </c>
      <c r="AE90">
        <v>16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4280.7700000000004</v>
      </c>
      <c r="AN90">
        <v>4261.9400000000005</v>
      </c>
      <c r="AO90">
        <v>0</v>
      </c>
      <c r="AP90">
        <v>0</v>
      </c>
      <c r="AQ90">
        <v>4261.9400000000005</v>
      </c>
      <c r="AS90">
        <v>4261.9400000000005</v>
      </c>
      <c r="AU90">
        <v>19</v>
      </c>
      <c r="AV90">
        <v>-0.17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18.829999999999998</v>
      </c>
      <c r="BH90">
        <v>19</v>
      </c>
      <c r="BI90">
        <v>-0.17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18.829999999999998</v>
      </c>
    </row>
    <row r="91" spans="1:72">
      <c r="A91" t="s">
        <v>2129</v>
      </c>
      <c r="B91" t="s">
        <v>2952</v>
      </c>
      <c r="C91" t="s">
        <v>588</v>
      </c>
      <c r="D91" t="s">
        <v>2130</v>
      </c>
      <c r="E91" t="s">
        <v>1136</v>
      </c>
      <c r="F91" t="s">
        <v>1566</v>
      </c>
      <c r="G91" t="s">
        <v>1566</v>
      </c>
      <c r="H91" t="s">
        <v>1566</v>
      </c>
      <c r="I91" t="s">
        <v>1345</v>
      </c>
      <c r="J91" t="s">
        <v>1346</v>
      </c>
      <c r="K91" t="s">
        <v>1346</v>
      </c>
      <c r="L91" t="s">
        <v>389</v>
      </c>
      <c r="M91" t="s">
        <v>1327</v>
      </c>
      <c r="P91" t="s">
        <v>147</v>
      </c>
      <c r="T91" t="s">
        <v>25</v>
      </c>
      <c r="W91">
        <v>0</v>
      </c>
      <c r="X91">
        <v>-991.60999999999967</v>
      </c>
      <c r="AA91">
        <v>2949.13</v>
      </c>
      <c r="AB91">
        <v>-734.7</v>
      </c>
      <c r="AC91">
        <v>-3206.04</v>
      </c>
      <c r="AD91">
        <v>1083.7399999999998</v>
      </c>
      <c r="AE91">
        <v>2193.66</v>
      </c>
      <c r="AF91">
        <v>2312.1299999999997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4597.92</v>
      </c>
      <c r="AN91">
        <v>5589.53</v>
      </c>
      <c r="AO91">
        <v>0</v>
      </c>
      <c r="AP91">
        <v>2312.1299999999997</v>
      </c>
      <c r="AQ91">
        <v>5589.53</v>
      </c>
      <c r="AS91">
        <v>5589.53</v>
      </c>
      <c r="AU91">
        <v>2949.13</v>
      </c>
      <c r="AV91">
        <v>-734.7</v>
      </c>
      <c r="AW91">
        <v>-3206.04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-991.60999999999967</v>
      </c>
      <c r="BH91">
        <v>2949.13</v>
      </c>
      <c r="BI91">
        <v>-734.7</v>
      </c>
      <c r="BJ91">
        <v>-3206.04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-991.60999999999967</v>
      </c>
    </row>
    <row r="92" spans="1:72">
      <c r="A92" t="s">
        <v>1954</v>
      </c>
      <c r="B92" t="s">
        <v>2952</v>
      </c>
      <c r="C92" t="s">
        <v>491</v>
      </c>
      <c r="D92" t="s">
        <v>1955</v>
      </c>
      <c r="E92" t="s">
        <v>1136</v>
      </c>
      <c r="F92" t="s">
        <v>1566</v>
      </c>
      <c r="G92" t="s">
        <v>1135</v>
      </c>
      <c r="H92" t="s">
        <v>1135</v>
      </c>
      <c r="I92" t="s">
        <v>1135</v>
      </c>
      <c r="J92" t="s">
        <v>1137</v>
      </c>
      <c r="K92" t="s">
        <v>1137</v>
      </c>
      <c r="L92" t="s">
        <v>389</v>
      </c>
      <c r="M92" t="s">
        <v>1327</v>
      </c>
      <c r="P92" t="s">
        <v>147</v>
      </c>
      <c r="T92" t="s">
        <v>25</v>
      </c>
      <c r="U92" t="s">
        <v>1141</v>
      </c>
      <c r="W92">
        <v>0</v>
      </c>
      <c r="X92">
        <v>1777.1799999999998</v>
      </c>
      <c r="AA92">
        <v>843.63</v>
      </c>
      <c r="AB92">
        <v>-313.26</v>
      </c>
      <c r="AC92">
        <v>1246.81</v>
      </c>
      <c r="AD92">
        <v>1159.5900000000001</v>
      </c>
      <c r="AE92">
        <v>1531.64</v>
      </c>
      <c r="AF92">
        <v>324.64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4793.05</v>
      </c>
      <c r="AN92">
        <v>3015.8700000000003</v>
      </c>
      <c r="AO92">
        <v>0</v>
      </c>
      <c r="AP92">
        <v>324.64</v>
      </c>
      <c r="AQ92">
        <v>3015.8700000000003</v>
      </c>
      <c r="AS92">
        <v>3015.8700000000003</v>
      </c>
      <c r="AU92">
        <v>843.63</v>
      </c>
      <c r="AV92">
        <v>-313.26</v>
      </c>
      <c r="AW92">
        <v>1246.81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1777.1799999999998</v>
      </c>
      <c r="BH92">
        <v>843.63</v>
      </c>
      <c r="BI92">
        <v>-313.26</v>
      </c>
      <c r="BJ92">
        <v>1246.81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1777.1799999999998</v>
      </c>
    </row>
    <row r="93" spans="1:72">
      <c r="A93" t="s">
        <v>1330</v>
      </c>
      <c r="B93" t="s">
        <v>2952</v>
      </c>
      <c r="C93" t="s">
        <v>146</v>
      </c>
      <c r="D93" t="s">
        <v>1331</v>
      </c>
      <c r="E93" t="s">
        <v>1136</v>
      </c>
      <c r="F93" t="s">
        <v>1566</v>
      </c>
      <c r="G93" t="s">
        <v>1135</v>
      </c>
      <c r="H93" t="s">
        <v>1145</v>
      </c>
      <c r="I93" t="s">
        <v>1135</v>
      </c>
      <c r="J93" t="s">
        <v>1145</v>
      </c>
      <c r="K93" t="s">
        <v>1137</v>
      </c>
      <c r="L93" t="s">
        <v>49</v>
      </c>
      <c r="M93" t="s">
        <v>1327</v>
      </c>
      <c r="P93" t="s">
        <v>147</v>
      </c>
      <c r="T93" t="s">
        <v>25</v>
      </c>
      <c r="W93">
        <v>0</v>
      </c>
      <c r="X93">
        <v>5030.5599999999995</v>
      </c>
      <c r="AA93">
        <v>-0.36</v>
      </c>
      <c r="AB93">
        <v>0.35</v>
      </c>
      <c r="AC93">
        <v>5030.57</v>
      </c>
      <c r="AD93">
        <v>0.46</v>
      </c>
      <c r="AE93">
        <v>0.34</v>
      </c>
      <c r="AF93">
        <v>-0.41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5030.95</v>
      </c>
      <c r="AN93">
        <v>0.39000000000032742</v>
      </c>
      <c r="AO93">
        <v>0</v>
      </c>
      <c r="AP93">
        <v>-0.41</v>
      </c>
      <c r="AQ93">
        <v>0.39000000000032742</v>
      </c>
      <c r="AS93">
        <v>0.39000000000032742</v>
      </c>
      <c r="AU93">
        <v>-0.36</v>
      </c>
      <c r="AV93">
        <v>0.35</v>
      </c>
      <c r="AW93">
        <v>5030.57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5030.5599999999995</v>
      </c>
      <c r="BH93">
        <v>-0.36</v>
      </c>
      <c r="BI93">
        <v>0.35</v>
      </c>
      <c r="BJ93">
        <v>5030.57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5030.5599999999995</v>
      </c>
    </row>
    <row r="94" spans="1:72">
      <c r="A94" t="s">
        <v>2195</v>
      </c>
      <c r="B94" t="s">
        <v>2952</v>
      </c>
      <c r="C94" t="s">
        <v>634</v>
      </c>
      <c r="D94" t="s">
        <v>2196</v>
      </c>
      <c r="E94" t="s">
        <v>1136</v>
      </c>
      <c r="F94" t="s">
        <v>1566</v>
      </c>
      <c r="G94" t="s">
        <v>1566</v>
      </c>
      <c r="H94" t="s">
        <v>1566</v>
      </c>
      <c r="I94" t="s">
        <v>1345</v>
      </c>
      <c r="J94" t="s">
        <v>1346</v>
      </c>
      <c r="K94" t="s">
        <v>1346</v>
      </c>
      <c r="L94" t="s">
        <v>629</v>
      </c>
      <c r="M94" t="s">
        <v>1327</v>
      </c>
      <c r="P94" t="s">
        <v>147</v>
      </c>
      <c r="T94" t="s">
        <v>25</v>
      </c>
      <c r="W94">
        <v>0</v>
      </c>
      <c r="X94">
        <v>7191.02</v>
      </c>
      <c r="AA94">
        <v>843.69</v>
      </c>
      <c r="AB94">
        <v>4879.99</v>
      </c>
      <c r="AC94">
        <v>1467.34</v>
      </c>
      <c r="AD94" t="s">
        <v>1142</v>
      </c>
      <c r="AE94">
        <v>0</v>
      </c>
      <c r="AF94">
        <v>237.8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7428.8200000000006</v>
      </c>
      <c r="AN94">
        <v>237.80000000000018</v>
      </c>
      <c r="AO94">
        <v>0</v>
      </c>
      <c r="AP94">
        <v>237.8</v>
      </c>
      <c r="AQ94">
        <v>237.80000000000018</v>
      </c>
      <c r="AS94">
        <v>237.80000000000018</v>
      </c>
      <c r="AU94">
        <v>843.69</v>
      </c>
      <c r="AV94">
        <v>4879.99</v>
      </c>
      <c r="AW94">
        <v>1467.34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7191.02</v>
      </c>
      <c r="BH94">
        <v>843.69</v>
      </c>
      <c r="BI94">
        <v>4879.99</v>
      </c>
      <c r="BJ94">
        <v>1467.34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7191.02</v>
      </c>
    </row>
    <row r="95" spans="1:72">
      <c r="A95" t="s">
        <v>2792</v>
      </c>
      <c r="B95" t="s">
        <v>2952</v>
      </c>
      <c r="C95" t="s">
        <v>1006</v>
      </c>
      <c r="D95" t="s">
        <v>2793</v>
      </c>
      <c r="E95" t="s">
        <v>1136</v>
      </c>
      <c r="F95" t="s">
        <v>1566</v>
      </c>
      <c r="G95" t="s">
        <v>1566</v>
      </c>
      <c r="H95" t="s">
        <v>1566</v>
      </c>
      <c r="I95" t="s">
        <v>1345</v>
      </c>
      <c r="J95" t="s">
        <v>1346</v>
      </c>
      <c r="K95" t="s">
        <v>1346</v>
      </c>
      <c r="L95" t="s">
        <v>639</v>
      </c>
      <c r="M95" t="s">
        <v>818</v>
      </c>
      <c r="P95" t="s">
        <v>817</v>
      </c>
      <c r="R95" t="s">
        <v>1140</v>
      </c>
      <c r="T95" t="s">
        <v>818</v>
      </c>
      <c r="W95">
        <v>0</v>
      </c>
      <c r="X95">
        <v>3886.48</v>
      </c>
      <c r="AC95">
        <v>3886.48</v>
      </c>
      <c r="AD95">
        <v>174.65</v>
      </c>
      <c r="AE95">
        <v>0</v>
      </c>
      <c r="AF95">
        <v>3826.04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7887.17</v>
      </c>
      <c r="AN95">
        <v>4000.69</v>
      </c>
      <c r="AO95">
        <v>0</v>
      </c>
      <c r="AP95">
        <v>3826.04</v>
      </c>
      <c r="AQ95">
        <v>4000.69</v>
      </c>
      <c r="AS95">
        <v>4000.69</v>
      </c>
      <c r="AW95">
        <v>3886.48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3886.48</v>
      </c>
      <c r="BJ95">
        <v>3886.48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3886.48</v>
      </c>
    </row>
    <row r="96" spans="1:72">
      <c r="A96" t="s">
        <v>1335</v>
      </c>
      <c r="B96" t="s">
        <v>2952</v>
      </c>
      <c r="C96" t="s">
        <v>146</v>
      </c>
      <c r="D96" t="s">
        <v>1336</v>
      </c>
      <c r="E96" t="s">
        <v>1136</v>
      </c>
      <c r="F96" t="s">
        <v>1566</v>
      </c>
      <c r="G96" t="s">
        <v>1135</v>
      </c>
      <c r="H96" t="s">
        <v>1165</v>
      </c>
      <c r="I96" t="s">
        <v>1135</v>
      </c>
      <c r="J96" t="s">
        <v>1165</v>
      </c>
      <c r="K96" t="s">
        <v>1137</v>
      </c>
      <c r="L96" t="s">
        <v>49</v>
      </c>
      <c r="M96" t="s">
        <v>1327</v>
      </c>
      <c r="P96" t="s">
        <v>147</v>
      </c>
      <c r="T96" t="s">
        <v>25</v>
      </c>
      <c r="U96" t="s">
        <v>1338</v>
      </c>
      <c r="W96">
        <v>0</v>
      </c>
      <c r="X96">
        <v>0.35000000000000003</v>
      </c>
      <c r="AB96">
        <v>0.01</v>
      </c>
      <c r="AC96">
        <v>0.34</v>
      </c>
      <c r="AD96">
        <v>-0.67</v>
      </c>
      <c r="AE96">
        <v>0.2</v>
      </c>
      <c r="AF96">
        <v>8111.01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8110.89</v>
      </c>
      <c r="AN96">
        <v>8110.54</v>
      </c>
      <c r="AO96">
        <v>0</v>
      </c>
      <c r="AP96">
        <v>8111.01</v>
      </c>
      <c r="AQ96">
        <v>8110.54</v>
      </c>
      <c r="AS96">
        <v>8110.54</v>
      </c>
      <c r="AV96">
        <v>0.01</v>
      </c>
      <c r="AW96">
        <v>0.34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0.35000000000000003</v>
      </c>
      <c r="BI96">
        <v>0.01</v>
      </c>
      <c r="BJ96">
        <v>0.34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0.35000000000000003</v>
      </c>
    </row>
    <row r="97" spans="1:72">
      <c r="A97" t="s">
        <v>1704</v>
      </c>
      <c r="B97" t="s">
        <v>2952</v>
      </c>
      <c r="C97" t="s">
        <v>364</v>
      </c>
      <c r="D97" t="s">
        <v>1705</v>
      </c>
      <c r="E97" t="s">
        <v>1136</v>
      </c>
      <c r="F97" t="s">
        <v>1566</v>
      </c>
      <c r="G97" t="s">
        <v>1135</v>
      </c>
      <c r="H97" t="s">
        <v>1135</v>
      </c>
      <c r="I97" t="s">
        <v>1135</v>
      </c>
      <c r="J97" t="s">
        <v>1137</v>
      </c>
      <c r="K97" t="s">
        <v>1137</v>
      </c>
      <c r="L97" t="s">
        <v>342</v>
      </c>
      <c r="M97" t="s">
        <v>1703</v>
      </c>
      <c r="P97" t="s">
        <v>365</v>
      </c>
      <c r="R97" t="s">
        <v>1140</v>
      </c>
      <c r="T97" t="s">
        <v>57</v>
      </c>
      <c r="U97" t="s">
        <v>1141</v>
      </c>
      <c r="W97">
        <v>0</v>
      </c>
      <c r="X97">
        <v>2955.3</v>
      </c>
      <c r="AA97">
        <v>1146.01</v>
      </c>
      <c r="AB97">
        <v>0</v>
      </c>
      <c r="AC97">
        <v>1809.29</v>
      </c>
      <c r="AD97">
        <v>5504.11</v>
      </c>
      <c r="AE97">
        <v>299.02999999999997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8758.44</v>
      </c>
      <c r="AN97">
        <v>5803.14</v>
      </c>
      <c r="AO97">
        <v>0</v>
      </c>
      <c r="AP97">
        <v>0</v>
      </c>
      <c r="AQ97">
        <v>5803.14</v>
      </c>
      <c r="AS97">
        <v>5803.14</v>
      </c>
      <c r="AU97">
        <v>1146.01</v>
      </c>
      <c r="AV97">
        <v>0</v>
      </c>
      <c r="AW97">
        <v>1809.29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2955.3</v>
      </c>
      <c r="BH97">
        <v>1146.01</v>
      </c>
      <c r="BI97">
        <v>0</v>
      </c>
      <c r="BJ97">
        <v>1809.29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2955.3</v>
      </c>
    </row>
    <row r="98" spans="1:72">
      <c r="A98" t="s">
        <v>2180</v>
      </c>
      <c r="B98" t="s">
        <v>2952</v>
      </c>
      <c r="C98" t="s">
        <v>621</v>
      </c>
      <c r="D98" t="s">
        <v>2181</v>
      </c>
      <c r="E98" t="s">
        <v>1136</v>
      </c>
      <c r="F98" t="s">
        <v>1566</v>
      </c>
      <c r="G98" t="s">
        <v>1566</v>
      </c>
      <c r="H98" t="s">
        <v>1566</v>
      </c>
      <c r="I98" t="s">
        <v>1345</v>
      </c>
      <c r="J98" t="s">
        <v>1346</v>
      </c>
      <c r="K98" t="s">
        <v>1346</v>
      </c>
      <c r="L98" t="s">
        <v>602</v>
      </c>
      <c r="M98" t="s">
        <v>611</v>
      </c>
      <c r="P98" t="s">
        <v>610</v>
      </c>
      <c r="T98" t="s">
        <v>611</v>
      </c>
      <c r="W98">
        <v>0</v>
      </c>
      <c r="X98">
        <v>9893.24</v>
      </c>
      <c r="AA98">
        <v>478.59</v>
      </c>
      <c r="AB98">
        <v>9120.75</v>
      </c>
      <c r="AC98">
        <v>293.89999999999998</v>
      </c>
      <c r="AD98">
        <v>94.080000000000013</v>
      </c>
      <c r="AE98">
        <v>275.29999999999984</v>
      </c>
      <c r="AF98">
        <v>-458.89999999999986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9803.7199999999993</v>
      </c>
      <c r="AN98">
        <v>-89.520000000000437</v>
      </c>
      <c r="AO98">
        <v>0</v>
      </c>
      <c r="AP98">
        <v>-458.89999999999986</v>
      </c>
      <c r="AQ98">
        <v>-89.520000000000437</v>
      </c>
      <c r="AS98">
        <v>-89.520000000000437</v>
      </c>
      <c r="AU98">
        <v>478.59</v>
      </c>
      <c r="AV98">
        <v>9120.75</v>
      </c>
      <c r="AW98">
        <v>293.89999999999998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9893.24</v>
      </c>
      <c r="BH98">
        <v>478.59</v>
      </c>
      <c r="BI98">
        <v>9120.75</v>
      </c>
      <c r="BJ98">
        <v>293.89999999999998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9893.24</v>
      </c>
    </row>
    <row r="99" spans="1:72">
      <c r="A99" t="s">
        <v>2829</v>
      </c>
      <c r="B99" t="s">
        <v>2952</v>
      </c>
      <c r="C99" t="s">
        <v>1028</v>
      </c>
      <c r="D99" t="s">
        <v>1028</v>
      </c>
      <c r="E99" t="s">
        <v>1136</v>
      </c>
      <c r="F99" t="s">
        <v>1566</v>
      </c>
      <c r="G99" t="s">
        <v>1135</v>
      </c>
      <c r="H99" t="s">
        <v>1135</v>
      </c>
      <c r="I99" t="s">
        <v>1135</v>
      </c>
      <c r="J99" t="s">
        <v>1135</v>
      </c>
      <c r="K99" t="s">
        <v>1137</v>
      </c>
      <c r="L99" t="s">
        <v>1027</v>
      </c>
      <c r="M99" t="s">
        <v>2830</v>
      </c>
      <c r="P99" t="s">
        <v>1029</v>
      </c>
      <c r="T99" t="s">
        <v>25</v>
      </c>
      <c r="W99">
        <v>0</v>
      </c>
      <c r="X99">
        <v>4741</v>
      </c>
      <c r="AA99">
        <v>876</v>
      </c>
      <c r="AB99">
        <v>1712</v>
      </c>
      <c r="AC99">
        <v>2153</v>
      </c>
      <c r="AD99">
        <v>1577</v>
      </c>
      <c r="AE99">
        <v>1546.0000000000002</v>
      </c>
      <c r="AF99">
        <v>2107.0000000000005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9971</v>
      </c>
      <c r="AN99">
        <v>5230</v>
      </c>
      <c r="AO99">
        <v>0</v>
      </c>
      <c r="AP99">
        <v>2107.0000000000005</v>
      </c>
      <c r="AQ99">
        <v>5230</v>
      </c>
      <c r="AS99">
        <v>5230</v>
      </c>
      <c r="AU99">
        <v>876</v>
      </c>
      <c r="AV99">
        <v>1712</v>
      </c>
      <c r="AW99">
        <v>2153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4741</v>
      </c>
      <c r="BH99">
        <v>876</v>
      </c>
      <c r="BI99">
        <v>1712</v>
      </c>
      <c r="BJ99">
        <v>2153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4741</v>
      </c>
    </row>
    <row r="100" spans="1:72">
      <c r="A100" t="s">
        <v>2156</v>
      </c>
      <c r="B100" t="s">
        <v>2952</v>
      </c>
      <c r="C100" t="s">
        <v>609</v>
      </c>
      <c r="D100" t="s">
        <v>2157</v>
      </c>
      <c r="E100" t="s">
        <v>1136</v>
      </c>
      <c r="F100" t="s">
        <v>1566</v>
      </c>
      <c r="G100" t="s">
        <v>1135</v>
      </c>
      <c r="H100" t="s">
        <v>1135</v>
      </c>
      <c r="I100" t="s">
        <v>1135</v>
      </c>
      <c r="J100" t="s">
        <v>1137</v>
      </c>
      <c r="K100" t="s">
        <v>1137</v>
      </c>
      <c r="L100" t="s">
        <v>602</v>
      </c>
      <c r="M100" t="s">
        <v>611</v>
      </c>
      <c r="P100" t="s">
        <v>610</v>
      </c>
      <c r="T100" t="s">
        <v>611</v>
      </c>
      <c r="U100" t="s">
        <v>1141</v>
      </c>
      <c r="W100">
        <v>0</v>
      </c>
      <c r="X100">
        <v>9271.2199999999993</v>
      </c>
      <c r="AA100">
        <v>497.32</v>
      </c>
      <c r="AB100">
        <v>7672.35</v>
      </c>
      <c r="AC100">
        <v>1101.55</v>
      </c>
      <c r="AD100">
        <v>216.08999999999983</v>
      </c>
      <c r="AE100">
        <v>402.42000000000007</v>
      </c>
      <c r="AF100">
        <v>209.19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10098.92</v>
      </c>
      <c r="AN100">
        <v>827.70000000000073</v>
      </c>
      <c r="AO100">
        <v>0</v>
      </c>
      <c r="AP100">
        <v>209.19</v>
      </c>
      <c r="AQ100">
        <v>827.70000000000073</v>
      </c>
      <c r="AS100">
        <v>827.70000000000073</v>
      </c>
      <c r="AU100">
        <v>497.32</v>
      </c>
      <c r="AV100">
        <v>7672.35</v>
      </c>
      <c r="AW100">
        <v>1101.55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9271.2199999999993</v>
      </c>
      <c r="BH100">
        <v>497.32</v>
      </c>
      <c r="BI100">
        <v>7672.35</v>
      </c>
      <c r="BJ100">
        <v>1101.55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9271.2199999999993</v>
      </c>
    </row>
    <row r="101" spans="1:72">
      <c r="A101" t="s">
        <v>2177</v>
      </c>
      <c r="B101" t="s">
        <v>2952</v>
      </c>
      <c r="C101" t="s">
        <v>619</v>
      </c>
      <c r="D101" t="s">
        <v>2178</v>
      </c>
      <c r="E101" t="s">
        <v>1136</v>
      </c>
      <c r="F101" t="s">
        <v>1566</v>
      </c>
      <c r="G101" t="s">
        <v>1566</v>
      </c>
      <c r="H101" t="s">
        <v>1566</v>
      </c>
      <c r="I101" t="s">
        <v>1567</v>
      </c>
      <c r="J101" t="s">
        <v>1567</v>
      </c>
      <c r="K101" t="s">
        <v>1567</v>
      </c>
      <c r="L101" t="s">
        <v>602</v>
      </c>
      <c r="M101" t="s">
        <v>2176</v>
      </c>
      <c r="P101" t="s">
        <v>620</v>
      </c>
      <c r="T101" t="s">
        <v>25</v>
      </c>
      <c r="W101">
        <v>0</v>
      </c>
      <c r="X101">
        <v>11815.17</v>
      </c>
      <c r="AB101">
        <v>11815.17</v>
      </c>
      <c r="AC101">
        <v>0</v>
      </c>
      <c r="AD101" t="s">
        <v>1142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11815.17</v>
      </c>
      <c r="AN101">
        <v>0</v>
      </c>
      <c r="AO101">
        <v>0</v>
      </c>
      <c r="AP101">
        <v>0</v>
      </c>
      <c r="AQ101">
        <v>0</v>
      </c>
      <c r="AS101">
        <v>0</v>
      </c>
      <c r="AV101">
        <v>11815.17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11815.17</v>
      </c>
      <c r="BI101">
        <v>11815.17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11815.17</v>
      </c>
    </row>
    <row r="102" spans="1:72">
      <c r="A102" t="s">
        <v>2847</v>
      </c>
      <c r="B102" t="s">
        <v>2952</v>
      </c>
      <c r="C102" t="s">
        <v>1038</v>
      </c>
      <c r="D102" t="s">
        <v>2848</v>
      </c>
      <c r="E102" t="s">
        <v>1136</v>
      </c>
      <c r="F102" t="s">
        <v>1566</v>
      </c>
      <c r="G102" t="s">
        <v>1135</v>
      </c>
      <c r="H102" t="s">
        <v>1135</v>
      </c>
      <c r="I102" t="s">
        <v>1135</v>
      </c>
      <c r="J102" t="s">
        <v>1137</v>
      </c>
      <c r="K102" t="s">
        <v>1137</v>
      </c>
      <c r="L102" t="s">
        <v>1037</v>
      </c>
      <c r="M102" t="s">
        <v>2846</v>
      </c>
      <c r="P102" t="s">
        <v>1039</v>
      </c>
      <c r="R102" t="s">
        <v>1140</v>
      </c>
      <c r="T102" t="s">
        <v>1040</v>
      </c>
      <c r="U102" t="s">
        <v>1141</v>
      </c>
      <c r="W102">
        <v>0</v>
      </c>
      <c r="X102">
        <v>7225.12</v>
      </c>
      <c r="AA102">
        <v>302.32</v>
      </c>
      <c r="AB102">
        <v>-468.02</v>
      </c>
      <c r="AC102">
        <v>7390.82</v>
      </c>
      <c r="AD102">
        <v>10390.350000000002</v>
      </c>
      <c r="AE102">
        <v>-6560.7800000000007</v>
      </c>
      <c r="AF102">
        <v>1751.47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12806.16</v>
      </c>
      <c r="AN102">
        <v>5581.04</v>
      </c>
      <c r="AO102">
        <v>0</v>
      </c>
      <c r="AP102">
        <v>1751.47</v>
      </c>
      <c r="AQ102">
        <v>5581.04</v>
      </c>
      <c r="AS102">
        <v>5581.04</v>
      </c>
      <c r="AU102">
        <v>302.32</v>
      </c>
      <c r="AV102">
        <v>-468.02</v>
      </c>
      <c r="AW102">
        <v>7390.82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7225.12</v>
      </c>
      <c r="BH102">
        <v>302.32</v>
      </c>
      <c r="BI102">
        <v>-468.02</v>
      </c>
      <c r="BJ102">
        <v>7390.82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7225.12</v>
      </c>
    </row>
    <row r="103" spans="1:72">
      <c r="A103" t="s">
        <v>1894</v>
      </c>
      <c r="B103" t="s">
        <v>2952</v>
      </c>
      <c r="C103" t="s">
        <v>464</v>
      </c>
      <c r="D103" t="s">
        <v>464</v>
      </c>
      <c r="E103" t="s">
        <v>1136</v>
      </c>
      <c r="F103" t="s">
        <v>1566</v>
      </c>
      <c r="G103" t="s">
        <v>1135</v>
      </c>
      <c r="H103" t="s">
        <v>1135</v>
      </c>
      <c r="I103" t="s">
        <v>1135</v>
      </c>
      <c r="J103" t="s">
        <v>1135</v>
      </c>
      <c r="K103" t="s">
        <v>1137</v>
      </c>
      <c r="L103" t="s">
        <v>389</v>
      </c>
      <c r="M103" t="s">
        <v>1703</v>
      </c>
      <c r="P103" t="s">
        <v>365</v>
      </c>
      <c r="R103" t="s">
        <v>1140</v>
      </c>
      <c r="T103" t="s">
        <v>57</v>
      </c>
      <c r="W103">
        <v>0</v>
      </c>
      <c r="X103">
        <v>5151.76</v>
      </c>
      <c r="AA103">
        <v>1210.3599999999999</v>
      </c>
      <c r="AB103">
        <v>1569.34</v>
      </c>
      <c r="AC103">
        <v>2372.06</v>
      </c>
      <c r="AD103">
        <v>345.21</v>
      </c>
      <c r="AE103">
        <v>674.56</v>
      </c>
      <c r="AF103">
        <v>13726.56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19898.09</v>
      </c>
      <c r="AN103">
        <v>14746.33</v>
      </c>
      <c r="AO103">
        <v>0</v>
      </c>
      <c r="AP103">
        <v>13726.56</v>
      </c>
      <c r="AQ103">
        <v>14746.33</v>
      </c>
      <c r="AS103">
        <v>14746.33</v>
      </c>
      <c r="AU103">
        <v>1210.3599999999999</v>
      </c>
      <c r="AV103">
        <v>1569.34</v>
      </c>
      <c r="AW103">
        <v>2372.06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5151.76</v>
      </c>
      <c r="BH103">
        <v>1210.3599999999999</v>
      </c>
      <c r="BI103">
        <v>1569.34</v>
      </c>
      <c r="BJ103">
        <v>2372.06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5151.76</v>
      </c>
    </row>
    <row r="104" spans="1:72">
      <c r="A104" t="s">
        <v>2594</v>
      </c>
      <c r="B104" t="s">
        <v>2952</v>
      </c>
      <c r="C104" t="s">
        <v>899</v>
      </c>
      <c r="D104" t="s">
        <v>899</v>
      </c>
      <c r="E104" t="s">
        <v>1136</v>
      </c>
      <c r="F104" t="s">
        <v>1566</v>
      </c>
      <c r="G104" t="s">
        <v>1135</v>
      </c>
      <c r="H104" t="s">
        <v>1135</v>
      </c>
      <c r="I104" t="s">
        <v>1135</v>
      </c>
      <c r="J104" t="s">
        <v>1135</v>
      </c>
      <c r="K104" t="s">
        <v>1137</v>
      </c>
      <c r="L104" t="s">
        <v>639</v>
      </c>
      <c r="M104" t="s">
        <v>1327</v>
      </c>
      <c r="P104" t="s">
        <v>147</v>
      </c>
      <c r="T104" t="s">
        <v>25</v>
      </c>
      <c r="W104">
        <v>0</v>
      </c>
      <c r="X104">
        <v>0.3</v>
      </c>
      <c r="AA104">
        <v>0.32</v>
      </c>
      <c r="AB104">
        <v>-0.45</v>
      </c>
      <c r="AC104">
        <v>0.43</v>
      </c>
      <c r="AD104">
        <v>-0.34</v>
      </c>
      <c r="AE104">
        <v>30694.750000000004</v>
      </c>
      <c r="AF104">
        <v>0.96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30695.670000000002</v>
      </c>
      <c r="AN104">
        <v>30695.370000000003</v>
      </c>
      <c r="AO104">
        <v>0</v>
      </c>
      <c r="AP104">
        <v>0.96</v>
      </c>
      <c r="AQ104">
        <v>30695.370000000003</v>
      </c>
      <c r="AS104">
        <v>30695.370000000003</v>
      </c>
      <c r="AU104">
        <v>0.32</v>
      </c>
      <c r="AV104">
        <v>-0.45</v>
      </c>
      <c r="AW104">
        <v>0.43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0.3</v>
      </c>
      <c r="BH104">
        <v>0.32</v>
      </c>
      <c r="BI104">
        <v>-0.45</v>
      </c>
      <c r="BJ104">
        <v>0.43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0.3</v>
      </c>
    </row>
    <row r="105" spans="1:72">
      <c r="A105" t="s">
        <v>2860</v>
      </c>
      <c r="B105" t="s">
        <v>2952</v>
      </c>
      <c r="C105" t="s">
        <v>1047</v>
      </c>
      <c r="D105" t="s">
        <v>2861</v>
      </c>
      <c r="E105" t="s">
        <v>1136</v>
      </c>
      <c r="F105" t="s">
        <v>1566</v>
      </c>
      <c r="G105" t="s">
        <v>1566</v>
      </c>
      <c r="H105" t="s">
        <v>1566</v>
      </c>
      <c r="I105" t="s">
        <v>1345</v>
      </c>
      <c r="J105" t="s">
        <v>1346</v>
      </c>
      <c r="K105" t="s">
        <v>1346</v>
      </c>
      <c r="L105" t="s">
        <v>1037</v>
      </c>
      <c r="M105" t="s">
        <v>2846</v>
      </c>
      <c r="P105" t="s">
        <v>1039</v>
      </c>
      <c r="R105" t="s">
        <v>1140</v>
      </c>
      <c r="T105" t="s">
        <v>1040</v>
      </c>
      <c r="W105">
        <v>0</v>
      </c>
      <c r="X105">
        <v>23976.370000000003</v>
      </c>
      <c r="AA105">
        <v>10095.790000000001</v>
      </c>
      <c r="AB105">
        <v>9921.4500000000007</v>
      </c>
      <c r="AC105">
        <v>3959.13</v>
      </c>
      <c r="AD105">
        <v>7339.65</v>
      </c>
      <c r="AE105">
        <v>-891.2900000000003</v>
      </c>
      <c r="AF105">
        <v>4400.72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34825.450000000004</v>
      </c>
      <c r="AN105">
        <v>10849.080000000002</v>
      </c>
      <c r="AO105">
        <v>0</v>
      </c>
      <c r="AP105">
        <v>4400.72</v>
      </c>
      <c r="AQ105">
        <v>10849.080000000002</v>
      </c>
      <c r="AS105">
        <v>10849.080000000002</v>
      </c>
      <c r="AU105">
        <v>10095.790000000001</v>
      </c>
      <c r="AV105">
        <v>9921.4500000000007</v>
      </c>
      <c r="AW105">
        <v>3959.13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23976.370000000003</v>
      </c>
      <c r="BH105">
        <v>10095.790000000001</v>
      </c>
      <c r="BI105">
        <v>9921.4500000000007</v>
      </c>
      <c r="BJ105">
        <v>3959.13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23976.370000000003</v>
      </c>
    </row>
    <row r="106" spans="1:72">
      <c r="A106" t="s">
        <v>1801</v>
      </c>
      <c r="B106" t="s">
        <v>2952</v>
      </c>
      <c r="C106" t="s">
        <v>420</v>
      </c>
      <c r="D106" t="s">
        <v>1802</v>
      </c>
      <c r="E106" t="s">
        <v>1136</v>
      </c>
      <c r="F106" t="s">
        <v>1566</v>
      </c>
      <c r="G106" t="s">
        <v>1135</v>
      </c>
      <c r="H106" t="s">
        <v>1156</v>
      </c>
      <c r="I106" t="s">
        <v>1135</v>
      </c>
      <c r="J106" t="s">
        <v>1156</v>
      </c>
      <c r="K106" t="s">
        <v>1156</v>
      </c>
      <c r="L106" t="s">
        <v>389</v>
      </c>
      <c r="M106" t="s">
        <v>1803</v>
      </c>
      <c r="O106" t="s">
        <v>1804</v>
      </c>
      <c r="P106" t="s">
        <v>59</v>
      </c>
      <c r="R106" t="s">
        <v>1805</v>
      </c>
      <c r="U106" t="s">
        <v>1806</v>
      </c>
      <c r="AE106">
        <v>45743</v>
      </c>
      <c r="AF106">
        <v>9404.5</v>
      </c>
      <c r="AM106">
        <v>55147.5</v>
      </c>
      <c r="AN106">
        <v>55147.5</v>
      </c>
      <c r="AP106">
        <v>9404.5</v>
      </c>
      <c r="AQ106">
        <v>55147.5</v>
      </c>
      <c r="AS106">
        <v>55147.5</v>
      </c>
    </row>
    <row r="107" spans="1:72">
      <c r="A107" t="s">
        <v>1639</v>
      </c>
      <c r="B107" t="s">
        <v>2952</v>
      </c>
      <c r="C107" t="s">
        <v>319</v>
      </c>
      <c r="D107" t="s">
        <v>1640</v>
      </c>
      <c r="E107" t="s">
        <v>1136</v>
      </c>
      <c r="F107" t="s">
        <v>1566</v>
      </c>
      <c r="G107" t="s">
        <v>1566</v>
      </c>
      <c r="H107" t="s">
        <v>1566</v>
      </c>
      <c r="I107" t="s">
        <v>1345</v>
      </c>
      <c r="J107" t="s">
        <v>1346</v>
      </c>
      <c r="K107" t="s">
        <v>1346</v>
      </c>
      <c r="L107" t="s">
        <v>49</v>
      </c>
      <c r="M107" t="s">
        <v>1327</v>
      </c>
      <c r="P107" t="s">
        <v>147</v>
      </c>
      <c r="T107" t="s">
        <v>25</v>
      </c>
      <c r="W107">
        <v>0</v>
      </c>
      <c r="X107">
        <v>19969.14</v>
      </c>
      <c r="AA107">
        <v>6818.85</v>
      </c>
      <c r="AB107">
        <v>9998.51</v>
      </c>
      <c r="AC107">
        <v>3151.78</v>
      </c>
      <c r="AD107">
        <v>13245.82</v>
      </c>
      <c r="AE107">
        <v>11713.649999999994</v>
      </c>
      <c r="AF107">
        <v>24135.279999999999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69063.889999999985</v>
      </c>
      <c r="AN107">
        <v>49094.749999999985</v>
      </c>
      <c r="AO107">
        <v>0</v>
      </c>
      <c r="AP107">
        <v>24135.279999999999</v>
      </c>
      <c r="AQ107">
        <v>49094.749999999985</v>
      </c>
      <c r="AS107">
        <v>49094.749999999985</v>
      </c>
      <c r="AU107">
        <v>6818.85</v>
      </c>
      <c r="AV107">
        <v>9998.51</v>
      </c>
      <c r="AW107">
        <v>3151.78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19969.14</v>
      </c>
      <c r="BH107">
        <v>6818.85</v>
      </c>
      <c r="BI107">
        <v>9998.51</v>
      </c>
      <c r="BJ107">
        <v>3151.78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19969.14</v>
      </c>
    </row>
    <row r="108" spans="1:72">
      <c r="A108" t="s">
        <v>1953</v>
      </c>
      <c r="B108" t="s">
        <v>2952</v>
      </c>
      <c r="C108" t="s">
        <v>491</v>
      </c>
      <c r="D108" t="s">
        <v>491</v>
      </c>
      <c r="E108" t="s">
        <v>1136</v>
      </c>
      <c r="F108" t="s">
        <v>1566</v>
      </c>
      <c r="G108" t="s">
        <v>1135</v>
      </c>
      <c r="H108" t="s">
        <v>1135</v>
      </c>
      <c r="I108" t="s">
        <v>1135</v>
      </c>
      <c r="J108" t="s">
        <v>1135</v>
      </c>
      <c r="K108" t="s">
        <v>1137</v>
      </c>
      <c r="L108" t="s">
        <v>389</v>
      </c>
      <c r="M108" t="s">
        <v>1327</v>
      </c>
      <c r="P108" t="s">
        <v>147</v>
      </c>
      <c r="T108" t="s">
        <v>25</v>
      </c>
      <c r="W108">
        <v>0</v>
      </c>
      <c r="X108">
        <v>0.03</v>
      </c>
      <c r="AA108">
        <v>7.0000000000000007E-2</v>
      </c>
      <c r="AB108">
        <v>-0.2</v>
      </c>
      <c r="AC108">
        <v>0.16</v>
      </c>
      <c r="AD108">
        <v>-0.28999999999999998</v>
      </c>
      <c r="AE108">
        <v>71439.95</v>
      </c>
      <c r="AF108">
        <v>1.9999999999999997E-2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71439.710000000006</v>
      </c>
      <c r="AN108">
        <v>71439.680000000008</v>
      </c>
      <c r="AO108">
        <v>0</v>
      </c>
      <c r="AP108">
        <v>1.9999999999999997E-2</v>
      </c>
      <c r="AQ108">
        <v>71439.680000000008</v>
      </c>
      <c r="AS108">
        <v>71439.680000000008</v>
      </c>
      <c r="AU108">
        <v>7.0000000000000007E-2</v>
      </c>
      <c r="AV108">
        <v>-0.2</v>
      </c>
      <c r="AW108">
        <v>0.16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0.03</v>
      </c>
      <c r="BH108">
        <v>7.0000000000000007E-2</v>
      </c>
      <c r="BI108">
        <v>-0.2</v>
      </c>
      <c r="BJ108">
        <v>0.16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0.03</v>
      </c>
    </row>
    <row r="109" spans="1:72">
      <c r="A109" t="s">
        <v>1641</v>
      </c>
      <c r="B109" t="s">
        <v>2952</v>
      </c>
      <c r="C109" t="s">
        <v>319</v>
      </c>
      <c r="D109" t="s">
        <v>1642</v>
      </c>
      <c r="E109" t="s">
        <v>1136</v>
      </c>
      <c r="F109" t="s">
        <v>1566</v>
      </c>
      <c r="G109" t="s">
        <v>1566</v>
      </c>
      <c r="H109" t="s">
        <v>1566</v>
      </c>
      <c r="I109" t="s">
        <v>1567</v>
      </c>
      <c r="J109" t="s">
        <v>1567</v>
      </c>
      <c r="K109" t="s">
        <v>1567</v>
      </c>
      <c r="L109" t="s">
        <v>49</v>
      </c>
      <c r="M109" t="s">
        <v>1327</v>
      </c>
      <c r="P109" t="s">
        <v>147</v>
      </c>
      <c r="T109" t="s">
        <v>25</v>
      </c>
      <c r="W109">
        <v>0</v>
      </c>
      <c r="X109">
        <v>-2284.04</v>
      </c>
      <c r="AA109">
        <v>0.08</v>
      </c>
      <c r="AB109">
        <v>-0.17</v>
      </c>
      <c r="AC109">
        <v>-2283.9499999999998</v>
      </c>
      <c r="AD109">
        <v>5124.1100000000006</v>
      </c>
      <c r="AE109">
        <v>-6526.2599999999993</v>
      </c>
      <c r="AF109">
        <v>97626.25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93940.06</v>
      </c>
      <c r="AN109">
        <v>96224.099999999991</v>
      </c>
      <c r="AO109">
        <v>0</v>
      </c>
      <c r="AP109">
        <v>97626.25</v>
      </c>
      <c r="AQ109">
        <v>96224.099999999991</v>
      </c>
      <c r="AS109">
        <v>96224.099999999991</v>
      </c>
      <c r="AU109">
        <v>0.08</v>
      </c>
      <c r="AV109">
        <v>-0.17</v>
      </c>
      <c r="AW109">
        <v>-2283.9499999999998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-2284.04</v>
      </c>
      <c r="BH109">
        <v>0.08</v>
      </c>
      <c r="BI109">
        <v>-0.17</v>
      </c>
      <c r="BJ109">
        <v>-2283.9499999999998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-2284.04</v>
      </c>
    </row>
    <row r="110" spans="1:72">
      <c r="A110" t="s">
        <v>2905</v>
      </c>
      <c r="B110" t="s">
        <v>2952</v>
      </c>
      <c r="C110" t="s">
        <v>28</v>
      </c>
      <c r="D110" t="s">
        <v>28</v>
      </c>
      <c r="E110" t="s">
        <v>1136</v>
      </c>
      <c r="F110" t="s">
        <v>1566</v>
      </c>
      <c r="G110" t="s">
        <v>1135</v>
      </c>
      <c r="H110" t="s">
        <v>1135</v>
      </c>
      <c r="I110" t="s">
        <v>1135</v>
      </c>
      <c r="J110" t="s">
        <v>1135</v>
      </c>
      <c r="K110" t="s">
        <v>1137</v>
      </c>
      <c r="L110" t="s">
        <v>22</v>
      </c>
      <c r="M110" t="s">
        <v>2872</v>
      </c>
      <c r="P110" t="s">
        <v>29</v>
      </c>
      <c r="Q110" t="s">
        <v>1139</v>
      </c>
      <c r="R110" t="s">
        <v>1140</v>
      </c>
      <c r="T110" t="s">
        <v>25</v>
      </c>
      <c r="W110">
        <v>0</v>
      </c>
      <c r="X110">
        <v>0</v>
      </c>
      <c r="AF110">
        <v>1060974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1060974</v>
      </c>
      <c r="AN110">
        <v>1060974</v>
      </c>
      <c r="AO110">
        <v>0</v>
      </c>
      <c r="AP110">
        <v>1060974</v>
      </c>
      <c r="AQ110">
        <v>1060974</v>
      </c>
      <c r="AS110">
        <v>1060974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643457</v>
      </c>
      <c r="BI110">
        <v>643457</v>
      </c>
      <c r="BJ110">
        <v>643457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1930371</v>
      </c>
    </row>
    <row r="111" spans="1:72" s="566" customFormat="1">
      <c r="A111" s="566" t="s">
        <v>2526</v>
      </c>
      <c r="B111" s="566" t="s">
        <v>2950</v>
      </c>
      <c r="C111" s="566" t="s">
        <v>852</v>
      </c>
      <c r="D111" s="566" t="s">
        <v>852</v>
      </c>
      <c r="E111" s="566" t="s">
        <v>1136</v>
      </c>
      <c r="F111" s="566" t="s">
        <v>1566</v>
      </c>
      <c r="G111" s="566" t="s">
        <v>1135</v>
      </c>
      <c r="H111" s="566" t="s">
        <v>1135</v>
      </c>
      <c r="I111" s="566" t="s">
        <v>1135</v>
      </c>
      <c r="J111" s="566" t="s">
        <v>1135</v>
      </c>
      <c r="K111" s="566" t="s">
        <v>1137</v>
      </c>
      <c r="L111" s="566" t="s">
        <v>639</v>
      </c>
      <c r="M111" s="566" t="s">
        <v>1947</v>
      </c>
      <c r="P111" s="566" t="s">
        <v>486</v>
      </c>
      <c r="Q111" s="566" t="s">
        <v>1153</v>
      </c>
      <c r="T111" s="566" t="s">
        <v>487</v>
      </c>
      <c r="W111" s="566">
        <v>-937488</v>
      </c>
      <c r="X111" s="566">
        <v>-925916</v>
      </c>
      <c r="AC111" s="566">
        <v>-222800</v>
      </c>
      <c r="AD111" s="566">
        <v>0</v>
      </c>
      <c r="AE111" s="566">
        <v>-128741.87</v>
      </c>
      <c r="AF111" s="566">
        <v>-52011.25</v>
      </c>
      <c r="AG111" s="566">
        <v>-78124</v>
      </c>
      <c r="AH111" s="566">
        <v>-78124</v>
      </c>
      <c r="AI111" s="566">
        <v>-78124</v>
      </c>
      <c r="AJ111" s="566">
        <v>-78124</v>
      </c>
      <c r="AK111" s="566">
        <v>-78124</v>
      </c>
      <c r="AL111" s="566">
        <v>-78124</v>
      </c>
      <c r="AM111" s="566">
        <v>-872297.12</v>
      </c>
      <c r="AN111" s="566">
        <v>53618.880000000005</v>
      </c>
      <c r="AO111" s="566">
        <v>-78124</v>
      </c>
      <c r="AP111" s="566">
        <v>26112.75</v>
      </c>
      <c r="AQ111" s="566">
        <v>53618.880000000005</v>
      </c>
      <c r="AS111" s="566">
        <v>53618.880000000005</v>
      </c>
      <c r="AW111" s="566">
        <v>-222800</v>
      </c>
      <c r="AX111" s="566">
        <v>-78124</v>
      </c>
      <c r="AY111" s="566">
        <v>-78124</v>
      </c>
      <c r="AZ111" s="566">
        <v>-78124</v>
      </c>
      <c r="BA111" s="566">
        <v>-78124</v>
      </c>
      <c r="BB111" s="566">
        <v>-78124</v>
      </c>
      <c r="BC111" s="566">
        <v>-78124</v>
      </c>
      <c r="BD111" s="566">
        <v>-78124</v>
      </c>
      <c r="BE111" s="566">
        <v>-78124</v>
      </c>
      <c r="BF111" s="566">
        <v>-78124</v>
      </c>
      <c r="BG111" s="566">
        <v>-925916</v>
      </c>
      <c r="BJ111" s="566">
        <v>-222800</v>
      </c>
      <c r="BK111" s="566">
        <v>-78124</v>
      </c>
      <c r="BL111" s="566">
        <v>-78124</v>
      </c>
      <c r="BM111" s="566">
        <v>-78124</v>
      </c>
      <c r="BN111" s="566">
        <v>-78124</v>
      </c>
      <c r="BO111" s="566">
        <v>-78124</v>
      </c>
      <c r="BP111" s="566">
        <v>-78124</v>
      </c>
      <c r="BQ111" s="566">
        <v>-78124</v>
      </c>
      <c r="BR111" s="566">
        <v>-78124</v>
      </c>
      <c r="BS111" s="566">
        <v>-78124</v>
      </c>
      <c r="BT111" s="566">
        <v>-925916</v>
      </c>
    </row>
    <row r="112" spans="1:72" s="566" customFormat="1">
      <c r="A112" s="566" t="s">
        <v>1946</v>
      </c>
      <c r="B112" s="566" t="s">
        <v>2950</v>
      </c>
      <c r="C112" s="566" t="s">
        <v>485</v>
      </c>
      <c r="D112" s="566" t="s">
        <v>485</v>
      </c>
      <c r="E112" s="566" t="s">
        <v>1136</v>
      </c>
      <c r="F112" s="566" t="s">
        <v>1566</v>
      </c>
      <c r="G112" s="566" t="s">
        <v>1135</v>
      </c>
      <c r="H112" s="566" t="s">
        <v>1135</v>
      </c>
      <c r="I112" s="566" t="s">
        <v>1135</v>
      </c>
      <c r="J112" s="566" t="s">
        <v>1135</v>
      </c>
      <c r="K112" s="566" t="s">
        <v>1137</v>
      </c>
      <c r="L112" s="566" t="s">
        <v>389</v>
      </c>
      <c r="M112" s="566" t="s">
        <v>1947</v>
      </c>
      <c r="P112" s="566" t="s">
        <v>486</v>
      </c>
      <c r="Q112" s="566" t="s">
        <v>1153</v>
      </c>
      <c r="T112" s="566" t="s">
        <v>487</v>
      </c>
      <c r="W112" s="566">
        <v>-608600</v>
      </c>
      <c r="X112" s="566">
        <v>-597160</v>
      </c>
      <c r="AC112" s="566">
        <v>-123760</v>
      </c>
      <c r="AD112" s="566">
        <v>0</v>
      </c>
      <c r="AE112" s="566">
        <v>-113731.04000000001</v>
      </c>
      <c r="AF112" s="566">
        <v>-60567.46</v>
      </c>
      <c r="AG112" s="566">
        <v>-52600</v>
      </c>
      <c r="AH112" s="566">
        <v>-52600</v>
      </c>
      <c r="AI112" s="566">
        <v>-52600</v>
      </c>
      <c r="AJ112" s="566">
        <v>-52600</v>
      </c>
      <c r="AK112" s="566">
        <v>-52600</v>
      </c>
      <c r="AL112" s="566">
        <v>-52600</v>
      </c>
      <c r="AM112" s="566">
        <v>-613658.5</v>
      </c>
      <c r="AN112" s="566">
        <v>-16498.5</v>
      </c>
      <c r="AO112" s="566">
        <v>-52600</v>
      </c>
      <c r="AP112" s="566">
        <v>-7967.4599999999991</v>
      </c>
      <c r="AQ112" s="566">
        <v>-16498.5</v>
      </c>
      <c r="AS112" s="566">
        <v>-16498.5</v>
      </c>
      <c r="AW112" s="566">
        <v>-123760</v>
      </c>
      <c r="AX112" s="566">
        <v>-52600</v>
      </c>
      <c r="AY112" s="566">
        <v>-52600</v>
      </c>
      <c r="AZ112" s="566">
        <v>-52600</v>
      </c>
      <c r="BA112" s="566">
        <v>-52600</v>
      </c>
      <c r="BB112" s="566">
        <v>-52600</v>
      </c>
      <c r="BC112" s="566">
        <v>-52600</v>
      </c>
      <c r="BD112" s="566">
        <v>-52600</v>
      </c>
      <c r="BE112" s="566">
        <v>-52600</v>
      </c>
      <c r="BF112" s="566">
        <v>-52600</v>
      </c>
      <c r="BG112" s="566">
        <v>-597160</v>
      </c>
      <c r="BJ112" s="566">
        <v>-123760</v>
      </c>
      <c r="BK112" s="566">
        <v>-52600</v>
      </c>
      <c r="BL112" s="566">
        <v>-52600</v>
      </c>
      <c r="BM112" s="566">
        <v>-52600</v>
      </c>
      <c r="BN112" s="566">
        <v>-52600</v>
      </c>
      <c r="BO112" s="566">
        <v>-52600</v>
      </c>
      <c r="BP112" s="566">
        <v>-52600</v>
      </c>
      <c r="BQ112" s="566">
        <v>-52600</v>
      </c>
      <c r="BR112" s="566">
        <v>-52600</v>
      </c>
      <c r="BS112" s="566">
        <v>-52600</v>
      </c>
      <c r="BT112" s="566">
        <v>-597160</v>
      </c>
    </row>
    <row r="113" spans="1:72" s="566" customFormat="1">
      <c r="A113" s="566" t="s">
        <v>1150</v>
      </c>
      <c r="B113" s="566" t="s">
        <v>2950</v>
      </c>
      <c r="C113" s="566" t="s">
        <v>52</v>
      </c>
      <c r="D113" s="566" t="s">
        <v>1151</v>
      </c>
      <c r="E113" s="566" t="s">
        <v>1136</v>
      </c>
      <c r="F113" s="566" t="s">
        <v>1566</v>
      </c>
      <c r="G113" s="566" t="s">
        <v>1135</v>
      </c>
      <c r="H113" s="566" t="s">
        <v>1145</v>
      </c>
      <c r="I113" s="566" t="s">
        <v>1135</v>
      </c>
      <c r="J113" s="566" t="s">
        <v>1145</v>
      </c>
      <c r="K113" s="566" t="s">
        <v>1137</v>
      </c>
      <c r="L113" s="566" t="s">
        <v>49</v>
      </c>
      <c r="M113" s="566" t="s">
        <v>1147</v>
      </c>
      <c r="P113" s="566" t="s">
        <v>53</v>
      </c>
      <c r="Q113" s="566" t="s">
        <v>1153</v>
      </c>
      <c r="T113" s="566" t="s">
        <v>25</v>
      </c>
      <c r="W113" s="566">
        <v>-694940</v>
      </c>
      <c r="X113" s="566">
        <v>-587120.73</v>
      </c>
      <c r="AB113" s="566">
        <v>-20640.86</v>
      </c>
      <c r="AC113" s="566">
        <v>-10639.87</v>
      </c>
      <c r="AD113" s="566">
        <v>148175</v>
      </c>
      <c r="AE113" s="566">
        <v>-155623.00000000006</v>
      </c>
      <c r="AF113" s="566">
        <v>-142264</v>
      </c>
      <c r="AG113" s="566">
        <v>-11640</v>
      </c>
      <c r="AH113" s="566">
        <v>-116400</v>
      </c>
      <c r="AI113" s="566">
        <v>-75000</v>
      </c>
      <c r="AJ113" s="566">
        <v>-75000</v>
      </c>
      <c r="AK113" s="566">
        <v>-75000</v>
      </c>
      <c r="AL113" s="566">
        <v>-75000</v>
      </c>
      <c r="AM113" s="566">
        <v>-609032.7300000001</v>
      </c>
      <c r="AN113" s="566">
        <v>-21912.000000000116</v>
      </c>
      <c r="AO113" s="566">
        <v>-6440</v>
      </c>
      <c r="AP113" s="566">
        <v>-135824</v>
      </c>
      <c r="AQ113" s="566">
        <v>-43872.000000000058</v>
      </c>
      <c r="AS113" s="566">
        <v>-21912.000000000116</v>
      </c>
      <c r="AV113" s="566">
        <v>-20640.86</v>
      </c>
      <c r="AW113" s="566">
        <v>-10639.87</v>
      </c>
      <c r="AX113" s="566">
        <v>-55600</v>
      </c>
      <c r="AY113" s="566">
        <v>-6440</v>
      </c>
      <c r="AZ113" s="566">
        <v>-43800</v>
      </c>
      <c r="BA113" s="566">
        <v>-75000</v>
      </c>
      <c r="BB113" s="566">
        <v>-75000</v>
      </c>
      <c r="BC113" s="566">
        <v>-75000</v>
      </c>
      <c r="BD113" s="566">
        <v>-75000</v>
      </c>
      <c r="BE113" s="566">
        <v>-75000</v>
      </c>
      <c r="BF113" s="566">
        <v>-75000</v>
      </c>
      <c r="BG113" s="566">
        <v>-587120.73</v>
      </c>
      <c r="BI113" s="566">
        <v>-20640.86</v>
      </c>
      <c r="BJ113" s="566">
        <v>-10639.87</v>
      </c>
      <c r="BK113" s="566">
        <v>-54600</v>
      </c>
      <c r="BL113" s="566">
        <v>-50000</v>
      </c>
      <c r="BM113" s="566">
        <v>-33840</v>
      </c>
      <c r="BN113" s="566">
        <v>-75000</v>
      </c>
      <c r="BO113" s="566">
        <v>-75000</v>
      </c>
      <c r="BP113" s="566">
        <v>-75000</v>
      </c>
      <c r="BQ113" s="566">
        <v>-75000</v>
      </c>
      <c r="BR113" s="566">
        <v>-75000</v>
      </c>
      <c r="BS113" s="566">
        <v>-75000</v>
      </c>
      <c r="BT113" s="566">
        <v>-619720.73</v>
      </c>
    </row>
    <row r="114" spans="1:72" s="566" customFormat="1">
      <c r="A114" s="566" t="s">
        <v>1133</v>
      </c>
      <c r="B114" s="566" t="s">
        <v>2950</v>
      </c>
      <c r="C114" s="566" t="s">
        <v>50</v>
      </c>
      <c r="D114" s="566" t="s">
        <v>1134</v>
      </c>
      <c r="E114" s="566" t="s">
        <v>1136</v>
      </c>
      <c r="F114" s="566" t="s">
        <v>1566</v>
      </c>
      <c r="G114" s="566" t="s">
        <v>1135</v>
      </c>
      <c r="H114" s="566" t="s">
        <v>1135</v>
      </c>
      <c r="I114" s="566" t="s">
        <v>1135</v>
      </c>
      <c r="J114" s="566" t="s">
        <v>1137</v>
      </c>
      <c r="K114" s="566" t="s">
        <v>1137</v>
      </c>
      <c r="L114" s="566" t="s">
        <v>49</v>
      </c>
      <c r="M114" s="566" t="s">
        <v>1138</v>
      </c>
      <c r="P114" s="566" t="s">
        <v>51</v>
      </c>
      <c r="Q114" s="566" t="s">
        <v>1139</v>
      </c>
      <c r="R114" s="566" t="s">
        <v>1140</v>
      </c>
      <c r="T114" s="566" t="s">
        <v>25</v>
      </c>
      <c r="U114" s="566" t="s">
        <v>1141</v>
      </c>
      <c r="W114" s="566">
        <v>1214.4000000000003</v>
      </c>
      <c r="X114" s="566">
        <v>910.80000000000018</v>
      </c>
      <c r="AD114" s="566" t="s">
        <v>1142</v>
      </c>
      <c r="AE114" s="566">
        <v>0</v>
      </c>
      <c r="AF114" s="566">
        <v>0</v>
      </c>
      <c r="AG114" s="566">
        <v>101.2</v>
      </c>
      <c r="AH114" s="566">
        <v>101.2</v>
      </c>
      <c r="AI114" s="566">
        <v>101.2</v>
      </c>
      <c r="AJ114" s="566">
        <v>101.2</v>
      </c>
      <c r="AK114" s="566">
        <v>101.2</v>
      </c>
      <c r="AL114" s="566">
        <v>101.2</v>
      </c>
      <c r="AM114" s="566">
        <v>607.20000000000005</v>
      </c>
      <c r="AN114" s="566">
        <v>-303.60000000000014</v>
      </c>
      <c r="AO114" s="566">
        <v>101.2</v>
      </c>
      <c r="AP114" s="566">
        <v>-101.2</v>
      </c>
      <c r="AQ114" s="566">
        <v>-303.60000000000002</v>
      </c>
      <c r="AS114" s="566">
        <v>-303.60000000000014</v>
      </c>
      <c r="AX114" s="566">
        <v>101.2</v>
      </c>
      <c r="AY114" s="566">
        <v>101.2</v>
      </c>
      <c r="AZ114" s="566">
        <v>101.2</v>
      </c>
      <c r="BA114" s="566">
        <v>101.2</v>
      </c>
      <c r="BB114" s="566">
        <v>101.2</v>
      </c>
      <c r="BC114" s="566">
        <v>101.2</v>
      </c>
      <c r="BD114" s="566">
        <v>101.2</v>
      </c>
      <c r="BE114" s="566">
        <v>101.2</v>
      </c>
      <c r="BF114" s="566">
        <v>101.2</v>
      </c>
      <c r="BG114" s="566">
        <v>910.80000000000018</v>
      </c>
      <c r="BK114" s="566">
        <v>101.2</v>
      </c>
      <c r="BL114" s="566">
        <v>101.2</v>
      </c>
      <c r="BM114" s="566">
        <v>101.2</v>
      </c>
      <c r="BN114" s="566">
        <v>101.2</v>
      </c>
      <c r="BO114" s="566">
        <v>101.2</v>
      </c>
      <c r="BP114" s="566">
        <v>101.2</v>
      </c>
      <c r="BQ114" s="566">
        <v>101.2</v>
      </c>
      <c r="BR114" s="566">
        <v>101.2</v>
      </c>
      <c r="BS114" s="566">
        <v>101.2</v>
      </c>
      <c r="BT114" s="566">
        <v>910.80000000000018</v>
      </c>
    </row>
    <row r="115" spans="1:72" s="566" customFormat="1">
      <c r="A115" s="566" t="s">
        <v>1833</v>
      </c>
      <c r="B115" s="566" t="s">
        <v>2950</v>
      </c>
      <c r="C115" s="566" t="s">
        <v>435</v>
      </c>
      <c r="D115" s="566" t="s">
        <v>1834</v>
      </c>
      <c r="E115" s="566" t="s">
        <v>1136</v>
      </c>
      <c r="F115" s="566" t="s">
        <v>1566</v>
      </c>
      <c r="G115" s="566" t="s">
        <v>1135</v>
      </c>
      <c r="H115" s="566" t="s">
        <v>1156</v>
      </c>
      <c r="I115" s="566" t="s">
        <v>1135</v>
      </c>
      <c r="J115" s="566" t="s">
        <v>1156</v>
      </c>
      <c r="K115" s="566" t="s">
        <v>1137</v>
      </c>
      <c r="L115" s="566" t="s">
        <v>389</v>
      </c>
      <c r="M115" s="566" t="s">
        <v>1835</v>
      </c>
      <c r="P115" s="566" t="s">
        <v>436</v>
      </c>
      <c r="T115" s="566" t="s">
        <v>57</v>
      </c>
      <c r="U115" s="566" t="s">
        <v>2912</v>
      </c>
      <c r="W115" s="566">
        <v>4558</v>
      </c>
      <c r="X115" s="566">
        <v>3418.5099999999998</v>
      </c>
      <c r="AD115" s="566" t="s">
        <v>1142</v>
      </c>
      <c r="AE115" s="566">
        <v>0</v>
      </c>
      <c r="AF115" s="566">
        <v>0</v>
      </c>
      <c r="AG115" s="566">
        <v>379.83</v>
      </c>
      <c r="AH115" s="566">
        <v>379.83</v>
      </c>
      <c r="AI115" s="566">
        <v>379.83</v>
      </c>
      <c r="AJ115" s="566">
        <v>379.83</v>
      </c>
      <c r="AK115" s="566">
        <v>379.83</v>
      </c>
      <c r="AL115" s="566">
        <v>379.87</v>
      </c>
      <c r="AM115" s="566">
        <v>2279.02</v>
      </c>
      <c r="AN115" s="566">
        <v>-1139.4899999999998</v>
      </c>
      <c r="AO115" s="566">
        <v>379.83</v>
      </c>
      <c r="AP115" s="566">
        <v>-379.83</v>
      </c>
      <c r="AQ115" s="566">
        <v>-1139.49</v>
      </c>
      <c r="AS115" s="566">
        <v>-1139.4899999999998</v>
      </c>
      <c r="AX115" s="566">
        <v>379.83</v>
      </c>
      <c r="AY115" s="566">
        <v>379.83</v>
      </c>
      <c r="AZ115" s="566">
        <v>379.83</v>
      </c>
      <c r="BA115" s="566">
        <v>379.83</v>
      </c>
      <c r="BB115" s="566">
        <v>379.83</v>
      </c>
      <c r="BC115" s="566">
        <v>379.83</v>
      </c>
      <c r="BD115" s="566">
        <v>379.83</v>
      </c>
      <c r="BE115" s="566">
        <v>379.83</v>
      </c>
      <c r="BF115" s="566">
        <v>379.87</v>
      </c>
      <c r="BG115" s="566">
        <v>3418.5099999999998</v>
      </c>
      <c r="BK115" s="566">
        <v>379.83</v>
      </c>
      <c r="BL115" s="566">
        <v>379.83</v>
      </c>
      <c r="BM115" s="566">
        <v>379.83</v>
      </c>
      <c r="BN115" s="566">
        <v>379.83</v>
      </c>
      <c r="BO115" s="566">
        <v>379.83</v>
      </c>
      <c r="BP115" s="566">
        <v>379.83</v>
      </c>
      <c r="BQ115" s="566">
        <v>379.83</v>
      </c>
      <c r="BR115" s="566">
        <v>379.83</v>
      </c>
      <c r="BS115" s="566">
        <v>379.87</v>
      </c>
      <c r="BT115" s="566">
        <v>3418.5099999999998</v>
      </c>
    </row>
    <row r="116" spans="1:72" s="566" customFormat="1">
      <c r="A116" s="566" t="s">
        <v>2260</v>
      </c>
      <c r="B116" s="566" t="s">
        <v>2950</v>
      </c>
      <c r="C116" s="566" t="s">
        <v>669</v>
      </c>
      <c r="D116" s="566" t="s">
        <v>669</v>
      </c>
      <c r="E116" s="566" t="s">
        <v>1136</v>
      </c>
      <c r="F116" s="566" t="s">
        <v>1566</v>
      </c>
      <c r="G116" s="566" t="s">
        <v>1135</v>
      </c>
      <c r="H116" s="566" t="s">
        <v>1135</v>
      </c>
      <c r="I116" s="566" t="s">
        <v>1135</v>
      </c>
      <c r="J116" s="566" t="s">
        <v>1135</v>
      </c>
      <c r="K116" s="566" t="s">
        <v>1137</v>
      </c>
      <c r="L116" s="566" t="s">
        <v>639</v>
      </c>
      <c r="M116" s="566" t="s">
        <v>1174</v>
      </c>
      <c r="P116" s="566" t="s">
        <v>56</v>
      </c>
      <c r="R116" s="566" t="s">
        <v>1140</v>
      </c>
      <c r="T116" s="566" t="s">
        <v>57</v>
      </c>
      <c r="W116" s="566">
        <v>0</v>
      </c>
      <c r="X116" s="566">
        <v>4158.38</v>
      </c>
      <c r="AA116" s="566">
        <v>279.45999999999998</v>
      </c>
      <c r="AB116" s="566">
        <v>279.45999999999998</v>
      </c>
      <c r="AC116" s="566">
        <v>899.46</v>
      </c>
      <c r="AD116" s="566">
        <v>139.72999999999999</v>
      </c>
      <c r="AE116" s="566">
        <v>139.72999999999999</v>
      </c>
      <c r="AF116" s="566">
        <v>139.72999999999999</v>
      </c>
      <c r="AG116" s="566">
        <v>300</v>
      </c>
      <c r="AH116" s="566">
        <v>300</v>
      </c>
      <c r="AI116" s="566">
        <v>300</v>
      </c>
      <c r="AJ116" s="566">
        <v>300</v>
      </c>
      <c r="AK116" s="566">
        <v>300</v>
      </c>
      <c r="AL116" s="566">
        <v>300</v>
      </c>
      <c r="AM116" s="566">
        <v>3677.57</v>
      </c>
      <c r="AN116" s="566">
        <v>-480.80999999999995</v>
      </c>
      <c r="AO116" s="566">
        <v>300</v>
      </c>
      <c r="AP116" s="566">
        <v>-160.27000000000001</v>
      </c>
      <c r="AQ116" s="566">
        <v>-480.80999999999995</v>
      </c>
      <c r="AS116" s="566">
        <v>-480.80999999999995</v>
      </c>
      <c r="AU116" s="566">
        <v>279.45999999999998</v>
      </c>
      <c r="AV116" s="566">
        <v>279.45999999999998</v>
      </c>
      <c r="AW116" s="566">
        <v>899.46</v>
      </c>
      <c r="AX116" s="566">
        <v>300</v>
      </c>
      <c r="AY116" s="566">
        <v>300</v>
      </c>
      <c r="AZ116" s="566">
        <v>300</v>
      </c>
      <c r="BA116" s="566">
        <v>300</v>
      </c>
      <c r="BB116" s="566">
        <v>300</v>
      </c>
      <c r="BC116" s="566">
        <v>300</v>
      </c>
      <c r="BD116" s="566">
        <v>300</v>
      </c>
      <c r="BE116" s="566">
        <v>300</v>
      </c>
      <c r="BF116" s="566">
        <v>300</v>
      </c>
      <c r="BG116" s="566">
        <v>4158.38</v>
      </c>
      <c r="BH116" s="566">
        <v>279.45999999999998</v>
      </c>
      <c r="BI116" s="566">
        <v>279.45999999999998</v>
      </c>
      <c r="BJ116" s="566">
        <v>899.46</v>
      </c>
      <c r="BK116" s="566">
        <v>0</v>
      </c>
      <c r="BL116" s="566">
        <v>0</v>
      </c>
      <c r="BM116" s="566">
        <v>0</v>
      </c>
      <c r="BN116" s="566">
        <v>0</v>
      </c>
      <c r="BO116" s="566">
        <v>0</v>
      </c>
      <c r="BP116" s="566">
        <v>0</v>
      </c>
      <c r="BQ116" s="566">
        <v>0</v>
      </c>
      <c r="BR116" s="566">
        <v>0</v>
      </c>
      <c r="BS116" s="566">
        <v>0</v>
      </c>
      <c r="BT116" s="566">
        <v>1458.38</v>
      </c>
    </row>
    <row r="117" spans="1:72" s="566" customFormat="1">
      <c r="A117" s="566" t="s">
        <v>2842</v>
      </c>
      <c r="B117" s="566" t="s">
        <v>2950</v>
      </c>
      <c r="C117" s="566" t="s">
        <v>1034</v>
      </c>
      <c r="D117" s="566" t="s">
        <v>2843</v>
      </c>
      <c r="E117" s="566" t="s">
        <v>1136</v>
      </c>
      <c r="F117" s="566" t="s">
        <v>1566</v>
      </c>
      <c r="G117" s="566" t="s">
        <v>1566</v>
      </c>
      <c r="H117" s="566" t="s">
        <v>1566</v>
      </c>
      <c r="I117" s="566" t="s">
        <v>1567</v>
      </c>
      <c r="J117" s="566" t="s">
        <v>1567</v>
      </c>
      <c r="K117" s="566" t="s">
        <v>1567</v>
      </c>
      <c r="L117" s="566" t="s">
        <v>1027</v>
      </c>
      <c r="M117" s="566" t="s">
        <v>2830</v>
      </c>
      <c r="P117" s="566" t="s">
        <v>1029</v>
      </c>
      <c r="T117" s="566" t="s">
        <v>25</v>
      </c>
      <c r="W117" s="566">
        <v>3200</v>
      </c>
      <c r="X117" s="566">
        <v>4217.2800000000007</v>
      </c>
      <c r="AA117" s="566">
        <v>470.66</v>
      </c>
      <c r="AB117" s="566">
        <v>1081.01</v>
      </c>
      <c r="AC117" s="566">
        <v>665.61</v>
      </c>
      <c r="AD117" s="566">
        <v>309.95</v>
      </c>
      <c r="AE117" s="566">
        <v>41.64</v>
      </c>
      <c r="AF117" s="566">
        <v>76.3</v>
      </c>
      <c r="AG117" s="566">
        <v>200</v>
      </c>
      <c r="AH117" s="566">
        <v>200</v>
      </c>
      <c r="AI117" s="566">
        <v>200</v>
      </c>
      <c r="AJ117" s="566">
        <v>200</v>
      </c>
      <c r="AK117" s="566">
        <v>200</v>
      </c>
      <c r="AL117" s="566">
        <v>200</v>
      </c>
      <c r="AM117" s="566">
        <v>3845.17</v>
      </c>
      <c r="AN117" s="566">
        <v>-372.11000000000058</v>
      </c>
      <c r="AO117" s="566">
        <v>300</v>
      </c>
      <c r="AP117" s="566">
        <v>-223.7</v>
      </c>
      <c r="AQ117" s="566">
        <v>-372.11000000000013</v>
      </c>
      <c r="AS117" s="566">
        <v>-372.11000000000058</v>
      </c>
      <c r="AU117" s="566">
        <v>470.66</v>
      </c>
      <c r="AV117" s="566">
        <v>1081.01</v>
      </c>
      <c r="AW117" s="566">
        <v>665.61</v>
      </c>
      <c r="AX117" s="566">
        <v>200</v>
      </c>
      <c r="AY117" s="566">
        <v>300</v>
      </c>
      <c r="AZ117" s="566">
        <v>300</v>
      </c>
      <c r="BA117" s="566">
        <v>200</v>
      </c>
      <c r="BB117" s="566">
        <v>200</v>
      </c>
      <c r="BC117" s="566">
        <v>200</v>
      </c>
      <c r="BD117" s="566">
        <v>200</v>
      </c>
      <c r="BE117" s="566">
        <v>200</v>
      </c>
      <c r="BF117" s="566">
        <v>200</v>
      </c>
      <c r="BG117" s="566">
        <v>4217.2800000000007</v>
      </c>
      <c r="BH117" s="566">
        <v>470.66</v>
      </c>
      <c r="BI117" s="566">
        <v>1081.01</v>
      </c>
      <c r="BJ117" s="566">
        <v>665.61</v>
      </c>
      <c r="BK117" s="566">
        <v>200</v>
      </c>
      <c r="BL117" s="566">
        <v>300</v>
      </c>
      <c r="BM117" s="566">
        <v>300</v>
      </c>
      <c r="BN117" s="566">
        <v>200</v>
      </c>
      <c r="BO117" s="566">
        <v>200</v>
      </c>
      <c r="BP117" s="566">
        <v>200</v>
      </c>
      <c r="BQ117" s="566">
        <v>200</v>
      </c>
      <c r="BR117" s="566">
        <v>200</v>
      </c>
      <c r="BS117" s="566">
        <v>200</v>
      </c>
      <c r="BT117" s="566">
        <v>4217.2800000000007</v>
      </c>
    </row>
    <row r="118" spans="1:72" s="566" customFormat="1">
      <c r="A118" s="566" t="s">
        <v>2263</v>
      </c>
      <c r="B118" s="566" t="s">
        <v>2950</v>
      </c>
      <c r="C118" s="566" t="s">
        <v>669</v>
      </c>
      <c r="D118" s="566" t="s">
        <v>2264</v>
      </c>
      <c r="E118" s="566" t="s">
        <v>1136</v>
      </c>
      <c r="F118" s="566" t="s">
        <v>1566</v>
      </c>
      <c r="G118" s="566" t="s">
        <v>1135</v>
      </c>
      <c r="H118" s="566" t="s">
        <v>1165</v>
      </c>
      <c r="I118" s="566" t="s">
        <v>1135</v>
      </c>
      <c r="J118" s="566" t="s">
        <v>1165</v>
      </c>
      <c r="K118" s="566" t="s">
        <v>1137</v>
      </c>
      <c r="L118" s="566" t="s">
        <v>639</v>
      </c>
      <c r="M118" s="566" t="s">
        <v>1174</v>
      </c>
      <c r="P118" s="566" t="s">
        <v>56</v>
      </c>
      <c r="R118" s="566" t="s">
        <v>1140</v>
      </c>
      <c r="T118" s="566" t="s">
        <v>57</v>
      </c>
      <c r="W118" s="566">
        <v>8383.7999999999975</v>
      </c>
      <c r="X118" s="566">
        <v>8383.76</v>
      </c>
      <c r="AA118" s="566">
        <v>698.65</v>
      </c>
      <c r="AB118" s="566">
        <v>558.91999999999996</v>
      </c>
      <c r="AC118" s="566">
        <v>419.19</v>
      </c>
      <c r="AD118" s="566">
        <v>279.45999999999998</v>
      </c>
      <c r="AE118" s="566">
        <v>279.45999999999998</v>
      </c>
      <c r="AF118" s="566">
        <v>279.45999999999998</v>
      </c>
      <c r="AG118" s="566">
        <v>750</v>
      </c>
      <c r="AH118" s="566">
        <v>750</v>
      </c>
      <c r="AI118" s="566">
        <v>750</v>
      </c>
      <c r="AJ118" s="566">
        <v>750</v>
      </c>
      <c r="AK118" s="566">
        <v>750</v>
      </c>
      <c r="AL118" s="566">
        <v>750</v>
      </c>
      <c r="AM118" s="566">
        <v>7015.1399999999994</v>
      </c>
      <c r="AN118" s="566">
        <v>-1368.6200000000008</v>
      </c>
      <c r="AO118" s="566">
        <v>767</v>
      </c>
      <c r="AP118" s="566">
        <v>-487.54</v>
      </c>
      <c r="AQ118" s="566">
        <v>-1368.6200000000003</v>
      </c>
      <c r="AS118" s="566">
        <v>-1368.6200000000008</v>
      </c>
      <c r="AU118" s="566">
        <v>698.65</v>
      </c>
      <c r="AV118" s="566">
        <v>558.91999999999996</v>
      </c>
      <c r="AW118" s="566">
        <v>419.19</v>
      </c>
      <c r="AX118" s="566">
        <v>690</v>
      </c>
      <c r="AY118" s="566">
        <v>767</v>
      </c>
      <c r="AZ118" s="566">
        <v>750</v>
      </c>
      <c r="BA118" s="566">
        <v>750</v>
      </c>
      <c r="BB118" s="566">
        <v>750</v>
      </c>
      <c r="BC118" s="566">
        <v>750</v>
      </c>
      <c r="BD118" s="566">
        <v>750</v>
      </c>
      <c r="BE118" s="566">
        <v>750</v>
      </c>
      <c r="BF118" s="566">
        <v>750</v>
      </c>
      <c r="BG118" s="566">
        <v>8383.76</v>
      </c>
      <c r="BH118" s="566">
        <v>698.65</v>
      </c>
      <c r="BI118" s="566">
        <v>558.91999999999996</v>
      </c>
      <c r="BJ118" s="566">
        <v>419.19</v>
      </c>
      <c r="BK118" s="566">
        <v>698.65</v>
      </c>
      <c r="BL118" s="566">
        <v>698.65</v>
      </c>
      <c r="BM118" s="566">
        <v>698.65</v>
      </c>
      <c r="BN118" s="566">
        <v>698.65</v>
      </c>
      <c r="BO118" s="566">
        <v>698.65</v>
      </c>
      <c r="BP118" s="566">
        <v>698.65</v>
      </c>
      <c r="BQ118" s="566">
        <v>698.65</v>
      </c>
      <c r="BR118" s="566">
        <v>698.65</v>
      </c>
      <c r="BS118" s="566">
        <v>698.65</v>
      </c>
      <c r="BT118" s="566">
        <v>7964.6099999999979</v>
      </c>
    </row>
    <row r="119" spans="1:72" s="566" customFormat="1">
      <c r="A119" s="566" t="s">
        <v>2478</v>
      </c>
      <c r="B119" s="566" t="s">
        <v>2950</v>
      </c>
      <c r="C119" s="566" t="s">
        <v>816</v>
      </c>
      <c r="D119" s="566" t="s">
        <v>2479</v>
      </c>
      <c r="E119" s="566" t="s">
        <v>1136</v>
      </c>
      <c r="F119" s="566" t="s">
        <v>1566</v>
      </c>
      <c r="G119" s="566" t="s">
        <v>1135</v>
      </c>
      <c r="H119" s="566" t="s">
        <v>1161</v>
      </c>
      <c r="I119" s="566" t="s">
        <v>1135</v>
      </c>
      <c r="J119" s="566" t="s">
        <v>1161</v>
      </c>
      <c r="K119" s="566" t="s">
        <v>1137</v>
      </c>
      <c r="L119" s="566" t="s">
        <v>639</v>
      </c>
      <c r="M119" s="566" t="s">
        <v>818</v>
      </c>
      <c r="P119" s="566" t="s">
        <v>817</v>
      </c>
      <c r="R119" s="566" t="s">
        <v>1140</v>
      </c>
      <c r="T119" s="566" t="s">
        <v>818</v>
      </c>
      <c r="W119" s="566">
        <v>800</v>
      </c>
      <c r="X119" s="566">
        <v>4147.87</v>
      </c>
      <c r="AC119" s="566">
        <v>3547.87</v>
      </c>
      <c r="AD119" s="566">
        <v>0</v>
      </c>
      <c r="AE119" s="566">
        <v>0</v>
      </c>
      <c r="AF119" s="566">
        <v>3172.87</v>
      </c>
      <c r="AG119" s="566">
        <v>0</v>
      </c>
      <c r="AH119" s="566">
        <v>0</v>
      </c>
      <c r="AI119" s="566">
        <v>200</v>
      </c>
      <c r="AJ119" s="566">
        <v>0</v>
      </c>
      <c r="AK119" s="566">
        <v>200</v>
      </c>
      <c r="AL119" s="566">
        <v>0</v>
      </c>
      <c r="AM119" s="566">
        <v>7120.74</v>
      </c>
      <c r="AN119" s="566">
        <v>2972.87</v>
      </c>
      <c r="AO119" s="566">
        <v>0</v>
      </c>
      <c r="AP119" s="566">
        <v>3172.87</v>
      </c>
      <c r="AQ119" s="566">
        <v>2972.87</v>
      </c>
      <c r="AS119" s="566">
        <v>2972.87</v>
      </c>
      <c r="AW119" s="566">
        <v>3547.87</v>
      </c>
      <c r="AX119" s="566">
        <v>0</v>
      </c>
      <c r="AY119" s="566">
        <v>0</v>
      </c>
      <c r="AZ119" s="566">
        <v>200</v>
      </c>
      <c r="BA119" s="566">
        <v>0</v>
      </c>
      <c r="BB119" s="566">
        <v>0</v>
      </c>
      <c r="BC119" s="566">
        <v>200</v>
      </c>
      <c r="BD119" s="566">
        <v>0</v>
      </c>
      <c r="BE119" s="566">
        <v>200</v>
      </c>
      <c r="BF119" s="566">
        <v>0</v>
      </c>
      <c r="BG119" s="566">
        <v>4147.87</v>
      </c>
      <c r="BJ119" s="566">
        <v>3547.87</v>
      </c>
      <c r="BK119" s="566">
        <v>0</v>
      </c>
      <c r="BL119" s="566">
        <v>0</v>
      </c>
      <c r="BM119" s="566">
        <v>200</v>
      </c>
      <c r="BN119" s="566">
        <v>0</v>
      </c>
      <c r="BO119" s="566">
        <v>0</v>
      </c>
      <c r="BP119" s="566">
        <v>200</v>
      </c>
      <c r="BQ119" s="566">
        <v>0</v>
      </c>
      <c r="BR119" s="566">
        <v>200</v>
      </c>
      <c r="BS119" s="566">
        <v>0</v>
      </c>
      <c r="BT119" s="566">
        <v>4147.87</v>
      </c>
    </row>
    <row r="120" spans="1:72" s="566" customFormat="1">
      <c r="A120" s="566" t="s">
        <v>2275</v>
      </c>
      <c r="B120" s="566" t="s">
        <v>2950</v>
      </c>
      <c r="C120" s="566" t="s">
        <v>672</v>
      </c>
      <c r="D120" s="566" t="s">
        <v>2276</v>
      </c>
      <c r="E120" s="566" t="s">
        <v>1136</v>
      </c>
      <c r="F120" s="566" t="s">
        <v>1566</v>
      </c>
      <c r="G120" s="566" t="s">
        <v>1135</v>
      </c>
      <c r="H120" s="566" t="s">
        <v>1165</v>
      </c>
      <c r="I120" s="566" t="s">
        <v>1135</v>
      </c>
      <c r="J120" s="566" t="s">
        <v>1165</v>
      </c>
      <c r="K120" s="566" t="s">
        <v>1137</v>
      </c>
      <c r="L120" s="566" t="s">
        <v>639</v>
      </c>
      <c r="M120" s="566" t="s">
        <v>2274</v>
      </c>
      <c r="P120" s="566" t="s">
        <v>673</v>
      </c>
      <c r="R120" s="566" t="s">
        <v>1140</v>
      </c>
      <c r="T120" s="566" t="s">
        <v>57</v>
      </c>
      <c r="W120" s="566">
        <v>11109.88</v>
      </c>
      <c r="X120" s="566">
        <v>9249.9</v>
      </c>
      <c r="AA120" s="566">
        <v>616.66</v>
      </c>
      <c r="AB120" s="566">
        <v>0</v>
      </c>
      <c r="AC120" s="566">
        <v>308.33</v>
      </c>
      <c r="AD120" s="566">
        <v>308.33</v>
      </c>
      <c r="AE120" s="566">
        <v>308.33</v>
      </c>
      <c r="AF120" s="566">
        <v>308.33</v>
      </c>
      <c r="AG120" s="566">
        <v>924.99</v>
      </c>
      <c r="AH120" s="566">
        <v>924.99</v>
      </c>
      <c r="AI120" s="566">
        <v>924.99</v>
      </c>
      <c r="AJ120" s="566">
        <v>924.99</v>
      </c>
      <c r="AK120" s="566">
        <v>924.99</v>
      </c>
      <c r="AL120" s="566">
        <v>924.99</v>
      </c>
      <c r="AM120" s="566">
        <v>7399.9199999999992</v>
      </c>
      <c r="AN120" s="566">
        <v>-1849.9800000000005</v>
      </c>
      <c r="AO120" s="566">
        <v>924.99</v>
      </c>
      <c r="AP120" s="566">
        <v>-616.66000000000008</v>
      </c>
      <c r="AQ120" s="566">
        <v>-1849.9800000000002</v>
      </c>
      <c r="AS120" s="566">
        <v>-1849.9800000000005</v>
      </c>
      <c r="AU120" s="566">
        <v>616.66</v>
      </c>
      <c r="AV120" s="566">
        <v>0</v>
      </c>
      <c r="AW120" s="566">
        <v>308.33</v>
      </c>
      <c r="AX120" s="566">
        <v>924.99</v>
      </c>
      <c r="AY120" s="566">
        <v>924.99</v>
      </c>
      <c r="AZ120" s="566">
        <v>924.99</v>
      </c>
      <c r="BA120" s="566">
        <v>924.99</v>
      </c>
      <c r="BB120" s="566">
        <v>924.99</v>
      </c>
      <c r="BC120" s="566">
        <v>924.99</v>
      </c>
      <c r="BD120" s="566">
        <v>924.99</v>
      </c>
      <c r="BE120" s="566">
        <v>924.99</v>
      </c>
      <c r="BF120" s="566">
        <v>924.99</v>
      </c>
      <c r="BG120" s="566">
        <v>9249.9</v>
      </c>
      <c r="BH120" s="566">
        <v>616.66</v>
      </c>
      <c r="BI120" s="566">
        <v>0</v>
      </c>
      <c r="BJ120" s="566">
        <v>308.33</v>
      </c>
      <c r="BK120" s="566">
        <v>924.99</v>
      </c>
      <c r="BL120" s="566">
        <v>924.99</v>
      </c>
      <c r="BM120" s="566">
        <v>924.99</v>
      </c>
      <c r="BN120" s="566">
        <v>924.99</v>
      </c>
      <c r="BO120" s="566">
        <v>924.99</v>
      </c>
      <c r="BP120" s="566">
        <v>924.99</v>
      </c>
      <c r="BQ120" s="566">
        <v>924.99</v>
      </c>
      <c r="BR120" s="566">
        <v>924.99</v>
      </c>
      <c r="BS120" s="566">
        <v>924.99</v>
      </c>
      <c r="BT120" s="566">
        <v>9249.9</v>
      </c>
    </row>
    <row r="121" spans="1:72" s="566" customFormat="1">
      <c r="A121" s="566" t="s">
        <v>1859</v>
      </c>
      <c r="B121" s="566" t="s">
        <v>2950</v>
      </c>
      <c r="C121" s="566" t="s">
        <v>448</v>
      </c>
      <c r="D121" s="566" t="s">
        <v>1860</v>
      </c>
      <c r="E121" s="566" t="s">
        <v>1136</v>
      </c>
      <c r="F121" s="566" t="s">
        <v>1566</v>
      </c>
      <c r="G121" s="566" t="s">
        <v>1135</v>
      </c>
      <c r="H121" s="566" t="s">
        <v>1165</v>
      </c>
      <c r="I121" s="566" t="s">
        <v>1135</v>
      </c>
      <c r="J121" s="566" t="s">
        <v>1165</v>
      </c>
      <c r="K121" s="566" t="s">
        <v>1137</v>
      </c>
      <c r="L121" s="566" t="s">
        <v>389</v>
      </c>
      <c r="M121" s="566" t="s">
        <v>1858</v>
      </c>
      <c r="P121" s="566" t="s">
        <v>449</v>
      </c>
      <c r="R121" s="566" t="s">
        <v>1140</v>
      </c>
      <c r="T121" s="566" t="s">
        <v>57</v>
      </c>
      <c r="W121" s="566">
        <v>12168</v>
      </c>
      <c r="X121" s="566">
        <v>9604.119999999999</v>
      </c>
      <c r="AA121" s="566">
        <v>243.06</v>
      </c>
      <c r="AB121" s="566">
        <v>235.06</v>
      </c>
      <c r="AC121" s="566">
        <v>0</v>
      </c>
      <c r="AD121" s="566">
        <v>527.16999999999996</v>
      </c>
      <c r="AE121" s="566">
        <v>288.64999999999998</v>
      </c>
      <c r="AF121" s="566">
        <v>209.08999999999997</v>
      </c>
      <c r="AG121" s="566">
        <v>1014</v>
      </c>
      <c r="AH121" s="566">
        <v>1014</v>
      </c>
      <c r="AI121" s="566">
        <v>1014</v>
      </c>
      <c r="AJ121" s="566">
        <v>1014</v>
      </c>
      <c r="AK121" s="566">
        <v>1014</v>
      </c>
      <c r="AL121" s="566">
        <v>1014</v>
      </c>
      <c r="AM121" s="566">
        <v>7587.03</v>
      </c>
      <c r="AN121" s="566">
        <v>-2017.0899999999992</v>
      </c>
      <c r="AO121" s="566">
        <v>1014</v>
      </c>
      <c r="AP121" s="566">
        <v>-804.91000000000008</v>
      </c>
      <c r="AQ121" s="566">
        <v>-2017.09</v>
      </c>
      <c r="AS121" s="566">
        <v>-2017.0899999999992</v>
      </c>
      <c r="AU121" s="566">
        <v>243.06</v>
      </c>
      <c r="AV121" s="566">
        <v>235.06</v>
      </c>
      <c r="AW121" s="566">
        <v>0</v>
      </c>
      <c r="AX121" s="566">
        <v>1014</v>
      </c>
      <c r="AY121" s="566">
        <v>1014</v>
      </c>
      <c r="AZ121" s="566">
        <v>1014</v>
      </c>
      <c r="BA121" s="566">
        <v>1014</v>
      </c>
      <c r="BB121" s="566">
        <v>1014</v>
      </c>
      <c r="BC121" s="566">
        <v>1014</v>
      </c>
      <c r="BD121" s="566">
        <v>1014</v>
      </c>
      <c r="BE121" s="566">
        <v>1014</v>
      </c>
      <c r="BF121" s="566">
        <v>1014</v>
      </c>
      <c r="BG121" s="566">
        <v>9604.119999999999</v>
      </c>
      <c r="BH121" s="566">
        <v>243.06</v>
      </c>
      <c r="BI121" s="566">
        <v>235.06</v>
      </c>
      <c r="BJ121" s="566">
        <v>0</v>
      </c>
      <c r="BK121" s="566">
        <v>1014</v>
      </c>
      <c r="BL121" s="566">
        <v>1014</v>
      </c>
      <c r="BM121" s="566">
        <v>1014</v>
      </c>
      <c r="BN121" s="566">
        <v>1014</v>
      </c>
      <c r="BO121" s="566">
        <v>1014</v>
      </c>
      <c r="BP121" s="566">
        <v>1014</v>
      </c>
      <c r="BQ121" s="566">
        <v>1014</v>
      </c>
      <c r="BR121" s="566">
        <v>1014</v>
      </c>
      <c r="BS121" s="566">
        <v>1014</v>
      </c>
      <c r="BT121" s="566">
        <v>9604.119999999999</v>
      </c>
    </row>
    <row r="122" spans="1:72" s="566" customFormat="1">
      <c r="A122" s="566" t="s">
        <v>1867</v>
      </c>
      <c r="B122" s="566" t="s">
        <v>2950</v>
      </c>
      <c r="C122" s="566" t="s">
        <v>452</v>
      </c>
      <c r="D122" s="566" t="s">
        <v>1868</v>
      </c>
      <c r="E122" s="566" t="s">
        <v>1136</v>
      </c>
      <c r="F122" s="566" t="s">
        <v>1566</v>
      </c>
      <c r="G122" s="566" t="s">
        <v>1135</v>
      </c>
      <c r="H122" s="566" t="s">
        <v>1165</v>
      </c>
      <c r="I122" s="566" t="s">
        <v>1135</v>
      </c>
      <c r="J122" s="566" t="s">
        <v>1165</v>
      </c>
      <c r="K122" s="566" t="s">
        <v>1137</v>
      </c>
      <c r="L122" s="566" t="s">
        <v>389</v>
      </c>
      <c r="M122" s="566" t="s">
        <v>1863</v>
      </c>
      <c r="P122" s="566" t="s">
        <v>453</v>
      </c>
      <c r="T122" s="566" t="s">
        <v>57</v>
      </c>
      <c r="W122" s="566">
        <v>14400</v>
      </c>
      <c r="X122" s="566">
        <v>11192.33</v>
      </c>
      <c r="AA122" s="566">
        <v>200.57</v>
      </c>
      <c r="AB122" s="566">
        <v>191.76</v>
      </c>
      <c r="AC122" s="566">
        <v>0</v>
      </c>
      <c r="AD122" s="566">
        <v>14.350000000000001</v>
      </c>
      <c r="AE122" s="566">
        <v>11.24</v>
      </c>
      <c r="AF122" s="566">
        <v>0</v>
      </c>
      <c r="AG122" s="566">
        <v>1200</v>
      </c>
      <c r="AH122" s="566">
        <v>1200</v>
      </c>
      <c r="AI122" s="566">
        <v>1200</v>
      </c>
      <c r="AJ122" s="566">
        <v>1200</v>
      </c>
      <c r="AK122" s="566">
        <v>1200</v>
      </c>
      <c r="AL122" s="566">
        <v>1200</v>
      </c>
      <c r="AM122" s="566">
        <v>7617.92</v>
      </c>
      <c r="AN122" s="566">
        <v>-3574.41</v>
      </c>
      <c r="AO122" s="566">
        <v>1200</v>
      </c>
      <c r="AP122" s="566">
        <v>-1200</v>
      </c>
      <c r="AQ122" s="566">
        <v>-3574.41</v>
      </c>
      <c r="AS122" s="566">
        <v>-3574.41</v>
      </c>
      <c r="AU122" s="566">
        <v>200.57</v>
      </c>
      <c r="AV122" s="566">
        <v>191.76</v>
      </c>
      <c r="AW122" s="566">
        <v>0</v>
      </c>
      <c r="AX122" s="566">
        <v>1200</v>
      </c>
      <c r="AY122" s="566">
        <v>1200</v>
      </c>
      <c r="AZ122" s="566">
        <v>1200</v>
      </c>
      <c r="BA122" s="566">
        <v>1200</v>
      </c>
      <c r="BB122" s="566">
        <v>1200</v>
      </c>
      <c r="BC122" s="566">
        <v>1200</v>
      </c>
      <c r="BD122" s="566">
        <v>1200</v>
      </c>
      <c r="BE122" s="566">
        <v>1200</v>
      </c>
      <c r="BF122" s="566">
        <v>1200</v>
      </c>
      <c r="BG122" s="566">
        <v>11192.33</v>
      </c>
      <c r="BH122" s="566">
        <v>200.57</v>
      </c>
      <c r="BI122" s="566">
        <v>191.76</v>
      </c>
      <c r="BJ122" s="566">
        <v>0</v>
      </c>
      <c r="BK122" s="566">
        <v>1200</v>
      </c>
      <c r="BL122" s="566">
        <v>1200</v>
      </c>
      <c r="BM122" s="566">
        <v>1200</v>
      </c>
      <c r="BN122" s="566">
        <v>1200</v>
      </c>
      <c r="BO122" s="566">
        <v>1200</v>
      </c>
      <c r="BP122" s="566">
        <v>1200</v>
      </c>
      <c r="BQ122" s="566">
        <v>1200</v>
      </c>
      <c r="BR122" s="566">
        <v>1200</v>
      </c>
      <c r="BS122" s="566">
        <v>1200</v>
      </c>
      <c r="BT122" s="566">
        <v>11192.33</v>
      </c>
    </row>
    <row r="123" spans="1:72" s="566" customFormat="1">
      <c r="A123" s="566" t="s">
        <v>1857</v>
      </c>
      <c r="B123" s="566" t="s">
        <v>2950</v>
      </c>
      <c r="C123" s="566" t="s">
        <v>448</v>
      </c>
      <c r="D123" s="566" t="s">
        <v>448</v>
      </c>
      <c r="E123" s="566" t="s">
        <v>1136</v>
      </c>
      <c r="F123" s="566" t="s">
        <v>1566</v>
      </c>
      <c r="G123" s="566" t="s">
        <v>1135</v>
      </c>
      <c r="H123" s="566" t="s">
        <v>1135</v>
      </c>
      <c r="I123" s="566" t="s">
        <v>1135</v>
      </c>
      <c r="J123" s="566" t="s">
        <v>1135</v>
      </c>
      <c r="K123" s="566" t="s">
        <v>1137</v>
      </c>
      <c r="L123" s="566" t="s">
        <v>389</v>
      </c>
      <c r="M123" s="566" t="s">
        <v>1858</v>
      </c>
      <c r="P123" s="566" t="s">
        <v>449</v>
      </c>
      <c r="R123" s="566" t="s">
        <v>1140</v>
      </c>
      <c r="T123" s="566" t="s">
        <v>57</v>
      </c>
      <c r="W123" s="566">
        <v>0</v>
      </c>
      <c r="X123" s="566">
        <v>9126</v>
      </c>
      <c r="AD123" s="566" t="s">
        <v>1142</v>
      </c>
      <c r="AE123" s="566">
        <v>0</v>
      </c>
      <c r="AF123" s="566">
        <v>0</v>
      </c>
      <c r="AG123" s="566">
        <v>1300</v>
      </c>
      <c r="AH123" s="566">
        <v>1300</v>
      </c>
      <c r="AI123" s="566">
        <v>1300</v>
      </c>
      <c r="AJ123" s="566">
        <v>1300</v>
      </c>
      <c r="AK123" s="566">
        <v>1300</v>
      </c>
      <c r="AL123" s="566">
        <v>1326</v>
      </c>
      <c r="AM123" s="566">
        <v>7826</v>
      </c>
      <c r="AN123" s="566">
        <v>-1300</v>
      </c>
      <c r="AO123" s="566">
        <v>1014</v>
      </c>
      <c r="AP123" s="566">
        <v>-1014</v>
      </c>
      <c r="AQ123" s="566">
        <v>-3042</v>
      </c>
      <c r="AS123" s="566">
        <v>-1300</v>
      </c>
      <c r="AX123" s="566">
        <v>1014</v>
      </c>
      <c r="AY123" s="566">
        <v>1014</v>
      </c>
      <c r="AZ123" s="566">
        <v>1014</v>
      </c>
      <c r="BA123" s="566">
        <v>1014</v>
      </c>
      <c r="BB123" s="566">
        <v>1014</v>
      </c>
      <c r="BC123" s="566">
        <v>1014</v>
      </c>
      <c r="BD123" s="566">
        <v>1014</v>
      </c>
      <c r="BE123" s="566">
        <v>1014</v>
      </c>
      <c r="BF123" s="566">
        <v>1014</v>
      </c>
      <c r="BG123" s="566">
        <v>9126</v>
      </c>
      <c r="BK123" s="566">
        <v>1014</v>
      </c>
      <c r="BL123" s="566">
        <v>1014</v>
      </c>
      <c r="BM123" s="566">
        <v>1014</v>
      </c>
      <c r="BN123" s="566">
        <v>1014</v>
      </c>
      <c r="BO123" s="566">
        <v>1014</v>
      </c>
      <c r="BP123" s="566">
        <v>1014</v>
      </c>
      <c r="BQ123" s="566">
        <v>1014</v>
      </c>
      <c r="BR123" s="566">
        <v>1014</v>
      </c>
      <c r="BS123" s="566">
        <v>1014</v>
      </c>
      <c r="BT123" s="566">
        <v>9126</v>
      </c>
    </row>
    <row r="124" spans="1:72" s="566" customFormat="1">
      <c r="A124" s="566" t="s">
        <v>2286</v>
      </c>
      <c r="B124" s="566" t="s">
        <v>2950</v>
      </c>
      <c r="C124" s="566" t="s">
        <v>675</v>
      </c>
      <c r="D124" s="566" t="s">
        <v>2287</v>
      </c>
      <c r="E124" s="566" t="s">
        <v>1136</v>
      </c>
      <c r="F124" s="566" t="s">
        <v>1566</v>
      </c>
      <c r="G124" s="566" t="s">
        <v>1135</v>
      </c>
      <c r="H124" s="566" t="s">
        <v>1135</v>
      </c>
      <c r="I124" s="566" t="s">
        <v>1135</v>
      </c>
      <c r="J124" s="566" t="s">
        <v>1137</v>
      </c>
      <c r="K124" s="566" t="s">
        <v>1137</v>
      </c>
      <c r="L124" s="566" t="s">
        <v>639</v>
      </c>
      <c r="M124" s="566" t="s">
        <v>2285</v>
      </c>
      <c r="P124" s="566" t="s">
        <v>676</v>
      </c>
      <c r="R124" s="566" t="s">
        <v>1140</v>
      </c>
      <c r="T124" s="566" t="s">
        <v>677</v>
      </c>
      <c r="U124" s="566" t="s">
        <v>1141</v>
      </c>
      <c r="W124" s="566">
        <v>10000</v>
      </c>
      <c r="X124" s="566">
        <v>12811.43</v>
      </c>
      <c r="AA124" s="566">
        <v>553.5</v>
      </c>
      <c r="AB124" s="566">
        <v>681</v>
      </c>
      <c r="AC124" s="566">
        <v>1576.93</v>
      </c>
      <c r="AD124" s="566">
        <v>227</v>
      </c>
      <c r="AE124" s="566">
        <v>496.48</v>
      </c>
      <c r="AF124" s="566">
        <v>0</v>
      </c>
      <c r="AG124" s="566">
        <v>0</v>
      </c>
      <c r="AH124" s="566">
        <v>0</v>
      </c>
      <c r="AI124" s="566">
        <v>0</v>
      </c>
      <c r="AJ124" s="566">
        <v>0</v>
      </c>
      <c r="AK124" s="566">
        <v>0</v>
      </c>
      <c r="AL124" s="566">
        <v>5000</v>
      </c>
      <c r="AM124" s="566">
        <v>8534.91</v>
      </c>
      <c r="AN124" s="566">
        <v>-4276.5200000000004</v>
      </c>
      <c r="AO124" s="566">
        <v>0</v>
      </c>
      <c r="AP124" s="566">
        <v>0</v>
      </c>
      <c r="AQ124" s="566">
        <v>-4276.5200000000004</v>
      </c>
      <c r="AS124" s="566">
        <v>-4276.5200000000004</v>
      </c>
      <c r="AU124" s="566">
        <v>553.5</v>
      </c>
      <c r="AV124" s="566">
        <v>681</v>
      </c>
      <c r="AW124" s="566">
        <v>1576.93</v>
      </c>
      <c r="AX124" s="566">
        <v>0</v>
      </c>
      <c r="AY124" s="566">
        <v>0</v>
      </c>
      <c r="AZ124" s="566">
        <v>5000</v>
      </c>
      <c r="BA124" s="566">
        <v>0</v>
      </c>
      <c r="BB124" s="566">
        <v>0</v>
      </c>
      <c r="BC124" s="566">
        <v>0</v>
      </c>
      <c r="BD124" s="566">
        <v>0</v>
      </c>
      <c r="BE124" s="566">
        <v>0</v>
      </c>
      <c r="BF124" s="566">
        <v>5000</v>
      </c>
      <c r="BG124" s="566">
        <v>12811.43</v>
      </c>
      <c r="BH124" s="566">
        <v>553.5</v>
      </c>
      <c r="BI124" s="566">
        <v>681</v>
      </c>
      <c r="BJ124" s="566">
        <v>1576.93</v>
      </c>
      <c r="BK124" s="566">
        <v>0</v>
      </c>
      <c r="BL124" s="566">
        <v>0</v>
      </c>
      <c r="BM124" s="566">
        <v>5000</v>
      </c>
      <c r="BN124" s="566">
        <v>0</v>
      </c>
      <c r="BO124" s="566">
        <v>0</v>
      </c>
      <c r="BP124" s="566">
        <v>0</v>
      </c>
      <c r="BQ124" s="566">
        <v>0</v>
      </c>
      <c r="BR124" s="566">
        <v>0</v>
      </c>
      <c r="BS124" s="566">
        <v>5000</v>
      </c>
      <c r="BT124" s="566">
        <v>12811.43</v>
      </c>
    </row>
    <row r="125" spans="1:72" s="566" customFormat="1">
      <c r="A125" s="566" t="s">
        <v>2011</v>
      </c>
      <c r="B125" s="566" t="s">
        <v>2950</v>
      </c>
      <c r="C125" s="566" t="s">
        <v>524</v>
      </c>
      <c r="D125" s="566" t="s">
        <v>524</v>
      </c>
      <c r="E125" s="566" t="s">
        <v>1136</v>
      </c>
      <c r="F125" s="566" t="s">
        <v>1566</v>
      </c>
      <c r="G125" s="566" t="s">
        <v>1345</v>
      </c>
      <c r="H125" s="566" t="s">
        <v>1345</v>
      </c>
      <c r="I125" s="566" t="s">
        <v>1345</v>
      </c>
      <c r="J125" s="566" t="s">
        <v>1345</v>
      </c>
      <c r="K125" s="566" t="s">
        <v>1346</v>
      </c>
      <c r="L125" s="566" t="s">
        <v>389</v>
      </c>
      <c r="M125" s="566" t="s">
        <v>1174</v>
      </c>
      <c r="P125" s="566" t="s">
        <v>56</v>
      </c>
      <c r="R125" s="566" t="s">
        <v>1140</v>
      </c>
      <c r="T125" s="566" t="s">
        <v>57</v>
      </c>
      <c r="W125" s="566">
        <v>10233</v>
      </c>
      <c r="X125" s="566">
        <v>10178.029999999999</v>
      </c>
      <c r="AA125" s="566">
        <v>961.55</v>
      </c>
      <c r="AB125" s="566">
        <v>816.59</v>
      </c>
      <c r="AC125" s="566">
        <v>725.14</v>
      </c>
      <c r="AD125" s="566">
        <v>139.44999999999999</v>
      </c>
      <c r="AE125" s="566">
        <v>1450.2800000000002</v>
      </c>
      <c r="AF125" s="566">
        <v>0</v>
      </c>
      <c r="AG125" s="566">
        <v>852.75</v>
      </c>
      <c r="AH125" s="566">
        <v>852.75</v>
      </c>
      <c r="AI125" s="566">
        <v>852.75</v>
      </c>
      <c r="AJ125" s="566">
        <v>852.75</v>
      </c>
      <c r="AK125" s="566">
        <v>852.75</v>
      </c>
      <c r="AL125" s="566">
        <v>852.75</v>
      </c>
      <c r="AM125" s="566">
        <v>9209.51</v>
      </c>
      <c r="AN125" s="566">
        <v>-968.51999999999862</v>
      </c>
      <c r="AO125" s="566">
        <v>852.75</v>
      </c>
      <c r="AP125" s="566">
        <v>-852.75</v>
      </c>
      <c r="AQ125" s="566">
        <v>-968.52</v>
      </c>
      <c r="AS125" s="566">
        <v>-968.51999999999862</v>
      </c>
      <c r="AU125" s="566">
        <v>961.55</v>
      </c>
      <c r="AV125" s="566">
        <v>816.59</v>
      </c>
      <c r="AW125" s="566">
        <v>725.14</v>
      </c>
      <c r="AX125" s="566">
        <v>852.75</v>
      </c>
      <c r="AY125" s="566">
        <v>852.75</v>
      </c>
      <c r="AZ125" s="566">
        <v>852.75</v>
      </c>
      <c r="BA125" s="566">
        <v>852.75</v>
      </c>
      <c r="BB125" s="566">
        <v>852.75</v>
      </c>
      <c r="BC125" s="566">
        <v>852.75</v>
      </c>
      <c r="BD125" s="566">
        <v>852.75</v>
      </c>
      <c r="BE125" s="566">
        <v>852.75</v>
      </c>
      <c r="BF125" s="566">
        <v>852.75</v>
      </c>
      <c r="BG125" s="566">
        <v>10178.029999999999</v>
      </c>
      <c r="BH125" s="566">
        <v>961.55</v>
      </c>
      <c r="BI125" s="566">
        <v>816.59</v>
      </c>
      <c r="BJ125" s="566">
        <v>725.14</v>
      </c>
      <c r="BK125" s="566">
        <v>852.75</v>
      </c>
      <c r="BL125" s="566">
        <v>852.75</v>
      </c>
      <c r="BM125" s="566">
        <v>852.75</v>
      </c>
      <c r="BN125" s="566">
        <v>852.75</v>
      </c>
      <c r="BO125" s="566">
        <v>852.75</v>
      </c>
      <c r="BP125" s="566">
        <v>852.75</v>
      </c>
      <c r="BQ125" s="566">
        <v>852.75</v>
      </c>
      <c r="BR125" s="566">
        <v>852.75</v>
      </c>
      <c r="BS125" s="566">
        <v>852.75</v>
      </c>
      <c r="BT125" s="566">
        <v>10178.029999999999</v>
      </c>
    </row>
    <row r="126" spans="1:72" s="566" customFormat="1">
      <c r="A126" s="566" t="s">
        <v>2726</v>
      </c>
      <c r="B126" s="566" t="s">
        <v>2950</v>
      </c>
      <c r="C126" s="566" t="s">
        <v>973</v>
      </c>
      <c r="D126" s="566" t="s">
        <v>2727</v>
      </c>
      <c r="E126" s="566" t="s">
        <v>1136</v>
      </c>
      <c r="F126" s="566" t="s">
        <v>1566</v>
      </c>
      <c r="G126" s="566" t="s">
        <v>1480</v>
      </c>
      <c r="H126" s="566" t="s">
        <v>1481</v>
      </c>
      <c r="I126" s="566" t="s">
        <v>1345</v>
      </c>
      <c r="J126" s="566" t="s">
        <v>1481</v>
      </c>
      <c r="K126" s="566" t="s">
        <v>1346</v>
      </c>
      <c r="L126" s="566" t="s">
        <v>639</v>
      </c>
      <c r="M126" s="566" t="s">
        <v>818</v>
      </c>
      <c r="P126" s="566" t="s">
        <v>817</v>
      </c>
      <c r="R126" s="566" t="s">
        <v>1140</v>
      </c>
      <c r="T126" s="566" t="s">
        <v>818</v>
      </c>
      <c r="U126" s="566" t="s">
        <v>1513</v>
      </c>
      <c r="W126" s="566">
        <v>7176</v>
      </c>
      <c r="X126" s="566">
        <v>11702.54</v>
      </c>
      <c r="AC126" s="566">
        <v>6320.54</v>
      </c>
      <c r="AD126" s="566">
        <v>0</v>
      </c>
      <c r="AE126" s="566">
        <v>0</v>
      </c>
      <c r="AF126" s="566">
        <v>0</v>
      </c>
      <c r="AG126" s="566">
        <v>0</v>
      </c>
      <c r="AH126" s="566">
        <v>0</v>
      </c>
      <c r="AI126" s="566">
        <v>1794</v>
      </c>
      <c r="AJ126" s="566">
        <v>0</v>
      </c>
      <c r="AK126" s="566">
        <v>1794</v>
      </c>
      <c r="AL126" s="566">
        <v>0</v>
      </c>
      <c r="AM126" s="566">
        <v>9908.5400000000009</v>
      </c>
      <c r="AN126" s="566">
        <v>-1794</v>
      </c>
      <c r="AO126" s="566">
        <v>0</v>
      </c>
      <c r="AP126" s="566">
        <v>0</v>
      </c>
      <c r="AQ126" s="566">
        <v>-1794</v>
      </c>
      <c r="AS126" s="566">
        <v>-1794</v>
      </c>
      <c r="AW126" s="566">
        <v>6320.54</v>
      </c>
      <c r="AX126" s="566">
        <v>0</v>
      </c>
      <c r="AY126" s="566">
        <v>0</v>
      </c>
      <c r="AZ126" s="566">
        <v>1794</v>
      </c>
      <c r="BA126" s="566">
        <v>0</v>
      </c>
      <c r="BB126" s="566">
        <v>0</v>
      </c>
      <c r="BC126" s="566">
        <v>1794</v>
      </c>
      <c r="BD126" s="566">
        <v>0</v>
      </c>
      <c r="BE126" s="566">
        <v>1794</v>
      </c>
      <c r="BF126" s="566">
        <v>0</v>
      </c>
      <c r="BG126" s="566">
        <v>11702.54</v>
      </c>
      <c r="BJ126" s="566">
        <v>6320.54</v>
      </c>
      <c r="BK126" s="566">
        <v>0</v>
      </c>
      <c r="BL126" s="566">
        <v>0</v>
      </c>
      <c r="BM126" s="566">
        <v>1794</v>
      </c>
      <c r="BN126" s="566">
        <v>0</v>
      </c>
      <c r="BO126" s="566">
        <v>0</v>
      </c>
      <c r="BP126" s="566">
        <v>1794</v>
      </c>
      <c r="BQ126" s="566">
        <v>0</v>
      </c>
      <c r="BR126" s="566">
        <v>1794</v>
      </c>
      <c r="BS126" s="566">
        <v>0</v>
      </c>
      <c r="BT126" s="566">
        <v>11702.54</v>
      </c>
    </row>
    <row r="127" spans="1:72" s="566" customFormat="1">
      <c r="A127" s="566" t="s">
        <v>1843</v>
      </c>
      <c r="B127" s="566" t="s">
        <v>2950</v>
      </c>
      <c r="C127" s="566" t="s">
        <v>440</v>
      </c>
      <c r="D127" s="566" t="s">
        <v>440</v>
      </c>
      <c r="E127" s="566" t="s">
        <v>1136</v>
      </c>
      <c r="F127" s="566" t="s">
        <v>1566</v>
      </c>
      <c r="G127" s="566" t="s">
        <v>1135</v>
      </c>
      <c r="H127" s="566" t="s">
        <v>1135</v>
      </c>
      <c r="I127" s="566" t="s">
        <v>1135</v>
      </c>
      <c r="J127" s="566" t="s">
        <v>1135</v>
      </c>
      <c r="K127" s="566" t="s">
        <v>1137</v>
      </c>
      <c r="L127" s="566" t="s">
        <v>389</v>
      </c>
      <c r="M127" s="566" t="s">
        <v>1844</v>
      </c>
      <c r="P127" s="566" t="s">
        <v>441</v>
      </c>
      <c r="T127" s="566" t="s">
        <v>57</v>
      </c>
      <c r="W127" s="566">
        <v>0</v>
      </c>
      <c r="X127" s="566">
        <v>10582.559999999998</v>
      </c>
      <c r="AA127" s="566">
        <v>881.88</v>
      </c>
      <c r="AB127" s="566">
        <v>881.88</v>
      </c>
      <c r="AC127" s="566">
        <v>881.88</v>
      </c>
      <c r="AD127" s="566">
        <v>881.88</v>
      </c>
      <c r="AE127" s="566">
        <v>881.88</v>
      </c>
      <c r="AF127" s="566">
        <v>881.88</v>
      </c>
      <c r="AG127" s="566">
        <v>881.88</v>
      </c>
      <c r="AH127" s="566">
        <v>881.88</v>
      </c>
      <c r="AI127" s="566">
        <v>881.88</v>
      </c>
      <c r="AJ127" s="566">
        <v>881.88</v>
      </c>
      <c r="AK127" s="566">
        <v>881.88</v>
      </c>
      <c r="AL127" s="566">
        <v>881.88</v>
      </c>
      <c r="AM127" s="566">
        <v>10582.559999999998</v>
      </c>
      <c r="AN127" s="566">
        <v>0</v>
      </c>
      <c r="AO127" s="566">
        <v>881.88</v>
      </c>
      <c r="AP127" s="566">
        <v>0</v>
      </c>
      <c r="AQ127" s="566">
        <v>0</v>
      </c>
      <c r="AS127" s="566">
        <v>0</v>
      </c>
      <c r="AU127" s="566">
        <v>881.88</v>
      </c>
      <c r="AV127" s="566">
        <v>881.88</v>
      </c>
      <c r="AW127" s="566">
        <v>881.88</v>
      </c>
      <c r="AX127" s="566">
        <v>881.88</v>
      </c>
      <c r="AY127" s="566">
        <v>881.88</v>
      </c>
      <c r="AZ127" s="566">
        <v>881.88</v>
      </c>
      <c r="BA127" s="566">
        <v>881.88</v>
      </c>
      <c r="BB127" s="566">
        <v>881.88</v>
      </c>
      <c r="BC127" s="566">
        <v>881.88</v>
      </c>
      <c r="BD127" s="566">
        <v>881.88</v>
      </c>
      <c r="BE127" s="566">
        <v>881.88</v>
      </c>
      <c r="BF127" s="566">
        <v>881.88</v>
      </c>
      <c r="BG127" s="566">
        <v>10582.559999999998</v>
      </c>
      <c r="BH127" s="566">
        <v>881.88</v>
      </c>
      <c r="BI127" s="566">
        <v>881.88</v>
      </c>
      <c r="BJ127" s="566">
        <v>881.88</v>
      </c>
      <c r="BK127" s="566">
        <v>0</v>
      </c>
      <c r="BL127" s="566">
        <v>0</v>
      </c>
      <c r="BM127" s="566">
        <v>0</v>
      </c>
      <c r="BN127" s="566">
        <v>0</v>
      </c>
      <c r="BO127" s="566">
        <v>0</v>
      </c>
      <c r="BP127" s="566">
        <v>0</v>
      </c>
      <c r="BQ127" s="566">
        <v>0</v>
      </c>
      <c r="BR127" s="566">
        <v>0</v>
      </c>
      <c r="BS127" s="566">
        <v>0</v>
      </c>
      <c r="BT127" s="566">
        <v>2645.64</v>
      </c>
    </row>
    <row r="128" spans="1:72" s="566" customFormat="1">
      <c r="A128" s="566" t="s">
        <v>2475</v>
      </c>
      <c r="B128" s="566" t="s">
        <v>2950</v>
      </c>
      <c r="C128" s="566" t="s">
        <v>816</v>
      </c>
      <c r="D128" s="566" t="s">
        <v>2476</v>
      </c>
      <c r="E128" s="566" t="s">
        <v>1136</v>
      </c>
      <c r="F128" s="566" t="s">
        <v>1566</v>
      </c>
      <c r="G128" s="566" t="s">
        <v>1135</v>
      </c>
      <c r="H128" s="566" t="s">
        <v>1156</v>
      </c>
      <c r="I128" s="566" t="s">
        <v>1135</v>
      </c>
      <c r="J128" s="566" t="s">
        <v>1156</v>
      </c>
      <c r="K128" s="566" t="s">
        <v>1137</v>
      </c>
      <c r="L128" s="566" t="s">
        <v>639</v>
      </c>
      <c r="M128" s="566" t="s">
        <v>818</v>
      </c>
      <c r="P128" s="566" t="s">
        <v>817</v>
      </c>
      <c r="R128" s="566" t="s">
        <v>1140</v>
      </c>
      <c r="T128" s="566" t="s">
        <v>818</v>
      </c>
      <c r="U128" s="566" t="s">
        <v>2477</v>
      </c>
      <c r="W128" s="566">
        <v>2800</v>
      </c>
      <c r="X128" s="566">
        <v>11294.74</v>
      </c>
      <c r="AC128" s="566">
        <v>3116.74</v>
      </c>
      <c r="AD128" s="566">
        <v>0</v>
      </c>
      <c r="AE128" s="566">
        <v>0</v>
      </c>
      <c r="AF128" s="566">
        <v>2380</v>
      </c>
      <c r="AG128" s="566">
        <v>0</v>
      </c>
      <c r="AH128" s="566">
        <v>0</v>
      </c>
      <c r="AI128" s="566">
        <v>2726</v>
      </c>
      <c r="AJ128" s="566">
        <v>0</v>
      </c>
      <c r="AK128" s="566">
        <v>2726</v>
      </c>
      <c r="AL128" s="566">
        <v>0</v>
      </c>
      <c r="AM128" s="566">
        <v>10948.74</v>
      </c>
      <c r="AN128" s="566">
        <v>-346</v>
      </c>
      <c r="AO128" s="566">
        <v>0</v>
      </c>
      <c r="AP128" s="566">
        <v>2380</v>
      </c>
      <c r="AQ128" s="566">
        <v>-346</v>
      </c>
      <c r="AS128" s="566">
        <v>-346</v>
      </c>
      <c r="AW128" s="566">
        <v>3116.74</v>
      </c>
      <c r="AX128" s="566">
        <v>0</v>
      </c>
      <c r="AY128" s="566">
        <v>0</v>
      </c>
      <c r="AZ128" s="566">
        <v>2726</v>
      </c>
      <c r="BA128" s="566">
        <v>0</v>
      </c>
      <c r="BB128" s="566">
        <v>0</v>
      </c>
      <c r="BC128" s="566">
        <v>2726</v>
      </c>
      <c r="BD128" s="566">
        <v>0</v>
      </c>
      <c r="BE128" s="566">
        <v>2726</v>
      </c>
      <c r="BF128" s="566">
        <v>0</v>
      </c>
      <c r="BG128" s="566">
        <v>11294.74</v>
      </c>
      <c r="BJ128" s="566">
        <v>3116.74</v>
      </c>
      <c r="BK128" s="566">
        <v>0</v>
      </c>
      <c r="BL128" s="566">
        <v>0</v>
      </c>
      <c r="BM128" s="566">
        <v>700</v>
      </c>
      <c r="BN128" s="566">
        <v>0</v>
      </c>
      <c r="BO128" s="566">
        <v>0</v>
      </c>
      <c r="BP128" s="566">
        <v>700</v>
      </c>
      <c r="BQ128" s="566">
        <v>0</v>
      </c>
      <c r="BR128" s="566">
        <v>700</v>
      </c>
      <c r="BS128" s="566">
        <v>0</v>
      </c>
      <c r="BT128" s="566">
        <v>5216.74</v>
      </c>
    </row>
    <row r="129" spans="1:72" s="566" customFormat="1">
      <c r="A129" s="566" t="s">
        <v>2115</v>
      </c>
      <c r="B129" s="566" t="s">
        <v>2950</v>
      </c>
      <c r="C129" s="566" t="s">
        <v>580</v>
      </c>
      <c r="D129" s="566" t="s">
        <v>2116</v>
      </c>
      <c r="E129" s="566" t="s">
        <v>1136</v>
      </c>
      <c r="F129" s="566" t="s">
        <v>1566</v>
      </c>
      <c r="G129" s="566" t="s">
        <v>1566</v>
      </c>
      <c r="H129" s="566" t="s">
        <v>1566</v>
      </c>
      <c r="I129" s="566" t="s">
        <v>1567</v>
      </c>
      <c r="J129" s="566" t="s">
        <v>1567</v>
      </c>
      <c r="K129" s="566" t="s">
        <v>1567</v>
      </c>
      <c r="L129" s="566" t="s">
        <v>389</v>
      </c>
      <c r="M129" s="566" t="s">
        <v>1703</v>
      </c>
      <c r="P129" s="566" t="s">
        <v>365</v>
      </c>
      <c r="R129" s="566" t="s">
        <v>1140</v>
      </c>
      <c r="T129" s="566" t="s">
        <v>57</v>
      </c>
      <c r="W129" s="566">
        <v>18000</v>
      </c>
      <c r="X129" s="566">
        <v>15727.5</v>
      </c>
      <c r="AA129" s="566">
        <v>2227.5</v>
      </c>
      <c r="AB129" s="566">
        <v>0</v>
      </c>
      <c r="AC129" s="566">
        <v>0</v>
      </c>
      <c r="AD129" s="566">
        <v>0</v>
      </c>
      <c r="AE129" s="566">
        <v>1.86</v>
      </c>
      <c r="AF129" s="566">
        <v>388.92</v>
      </c>
      <c r="AG129" s="566">
        <v>1500</v>
      </c>
      <c r="AH129" s="566">
        <v>1500</v>
      </c>
      <c r="AI129" s="566">
        <v>1500</v>
      </c>
      <c r="AJ129" s="566">
        <v>1500</v>
      </c>
      <c r="AK129" s="566">
        <v>1500</v>
      </c>
      <c r="AL129" s="566">
        <v>1500</v>
      </c>
      <c r="AM129" s="566">
        <v>11618.28</v>
      </c>
      <c r="AN129" s="566">
        <v>-4109.2199999999993</v>
      </c>
      <c r="AO129" s="566">
        <v>1500</v>
      </c>
      <c r="AP129" s="566">
        <v>-1111.08</v>
      </c>
      <c r="AQ129" s="566">
        <v>-4109.2199999999993</v>
      </c>
      <c r="AS129" s="566">
        <v>-4109.2199999999993</v>
      </c>
      <c r="AU129" s="566">
        <v>2227.5</v>
      </c>
      <c r="AV129" s="566">
        <v>0</v>
      </c>
      <c r="AW129" s="566">
        <v>0</v>
      </c>
      <c r="AX129" s="566">
        <v>1500</v>
      </c>
      <c r="AY129" s="566">
        <v>1500</v>
      </c>
      <c r="AZ129" s="566">
        <v>1500</v>
      </c>
      <c r="BA129" s="566">
        <v>1500</v>
      </c>
      <c r="BB129" s="566">
        <v>1500</v>
      </c>
      <c r="BC129" s="566">
        <v>1500</v>
      </c>
      <c r="BD129" s="566">
        <v>1500</v>
      </c>
      <c r="BE129" s="566">
        <v>1500</v>
      </c>
      <c r="BF129" s="566">
        <v>1500</v>
      </c>
      <c r="BG129" s="566">
        <v>15727.5</v>
      </c>
      <c r="BH129" s="566">
        <v>2227.5</v>
      </c>
      <c r="BI129" s="566">
        <v>0</v>
      </c>
      <c r="BJ129" s="566">
        <v>0</v>
      </c>
      <c r="BK129" s="566">
        <v>1500</v>
      </c>
      <c r="BL129" s="566">
        <v>1500</v>
      </c>
      <c r="BM129" s="566">
        <v>1500</v>
      </c>
      <c r="BN129" s="566">
        <v>1500</v>
      </c>
      <c r="BO129" s="566">
        <v>1500</v>
      </c>
      <c r="BP129" s="566">
        <v>1500</v>
      </c>
      <c r="BQ129" s="566">
        <v>1500</v>
      </c>
      <c r="BR129" s="566">
        <v>1500</v>
      </c>
      <c r="BS129" s="566">
        <v>1500</v>
      </c>
      <c r="BT129" s="566">
        <v>15727.5</v>
      </c>
    </row>
    <row r="130" spans="1:72" s="566" customFormat="1">
      <c r="A130" s="566" t="s">
        <v>2284</v>
      </c>
      <c r="B130" s="566" t="s">
        <v>2950</v>
      </c>
      <c r="C130" s="566" t="s">
        <v>675</v>
      </c>
      <c r="D130" s="566" t="s">
        <v>675</v>
      </c>
      <c r="E130" s="566" t="s">
        <v>1136</v>
      </c>
      <c r="F130" s="566" t="s">
        <v>1566</v>
      </c>
      <c r="G130" s="566" t="s">
        <v>1135</v>
      </c>
      <c r="H130" s="566" t="s">
        <v>1135</v>
      </c>
      <c r="I130" s="566" t="s">
        <v>1135</v>
      </c>
      <c r="J130" s="566" t="s">
        <v>1135</v>
      </c>
      <c r="K130" s="566" t="s">
        <v>1137</v>
      </c>
      <c r="L130" s="566" t="s">
        <v>639</v>
      </c>
      <c r="M130" s="566" t="s">
        <v>2285</v>
      </c>
      <c r="P130" s="566" t="s">
        <v>676</v>
      </c>
      <c r="R130" s="566" t="s">
        <v>1140</v>
      </c>
      <c r="T130" s="566" t="s">
        <v>677</v>
      </c>
      <c r="W130" s="566">
        <v>6000</v>
      </c>
      <c r="X130" s="566">
        <v>10540</v>
      </c>
      <c r="AB130" s="566">
        <v>4313</v>
      </c>
      <c r="AC130" s="566">
        <v>227</v>
      </c>
      <c r="AD130" s="566">
        <v>0</v>
      </c>
      <c r="AE130" s="566">
        <v>1362</v>
      </c>
      <c r="AF130" s="566">
        <v>0</v>
      </c>
      <c r="AG130" s="566">
        <v>0</v>
      </c>
      <c r="AH130" s="566">
        <v>6000</v>
      </c>
      <c r="AI130" s="566">
        <v>0</v>
      </c>
      <c r="AJ130" s="566">
        <v>0</v>
      </c>
      <c r="AK130" s="566">
        <v>0</v>
      </c>
      <c r="AL130" s="566">
        <v>0</v>
      </c>
      <c r="AM130" s="566">
        <v>11902</v>
      </c>
      <c r="AN130" s="566">
        <v>1362</v>
      </c>
      <c r="AO130" s="566">
        <v>0</v>
      </c>
      <c r="AP130" s="566">
        <v>0</v>
      </c>
      <c r="AQ130" s="566">
        <v>1362</v>
      </c>
      <c r="AS130" s="566">
        <v>1362</v>
      </c>
      <c r="AV130" s="566">
        <v>4313</v>
      </c>
      <c r="AW130" s="566">
        <v>227</v>
      </c>
      <c r="AX130" s="566">
        <v>0</v>
      </c>
      <c r="AY130" s="566">
        <v>0</v>
      </c>
      <c r="AZ130" s="566">
        <v>0</v>
      </c>
      <c r="BA130" s="566">
        <v>0</v>
      </c>
      <c r="BB130" s="566">
        <v>6000</v>
      </c>
      <c r="BC130" s="566">
        <v>0</v>
      </c>
      <c r="BD130" s="566">
        <v>0</v>
      </c>
      <c r="BE130" s="566">
        <v>0</v>
      </c>
      <c r="BF130" s="566">
        <v>0</v>
      </c>
      <c r="BG130" s="566">
        <v>10540</v>
      </c>
      <c r="BI130" s="566">
        <v>4313</v>
      </c>
      <c r="BJ130" s="566">
        <v>227</v>
      </c>
      <c r="BK130" s="566">
        <v>0</v>
      </c>
      <c r="BL130" s="566">
        <v>0</v>
      </c>
      <c r="BM130" s="566">
        <v>0</v>
      </c>
      <c r="BN130" s="566">
        <v>0</v>
      </c>
      <c r="BO130" s="566">
        <v>6000</v>
      </c>
      <c r="BP130" s="566">
        <v>0</v>
      </c>
      <c r="BQ130" s="566">
        <v>0</v>
      </c>
      <c r="BR130" s="566">
        <v>0</v>
      </c>
      <c r="BS130" s="566">
        <v>0</v>
      </c>
      <c r="BT130" s="566">
        <v>10540</v>
      </c>
    </row>
    <row r="131" spans="1:72" s="566" customFormat="1">
      <c r="A131" s="566" t="s">
        <v>2784</v>
      </c>
      <c r="B131" s="566" t="s">
        <v>2950</v>
      </c>
      <c r="C131" s="566" t="s">
        <v>1003</v>
      </c>
      <c r="D131" s="566" t="s">
        <v>2785</v>
      </c>
      <c r="E131" s="566" t="s">
        <v>1136</v>
      </c>
      <c r="F131" s="566" t="s">
        <v>1566</v>
      </c>
      <c r="G131" s="566" t="s">
        <v>1566</v>
      </c>
      <c r="H131" s="566" t="s">
        <v>1566</v>
      </c>
      <c r="I131" s="566" t="s">
        <v>1345</v>
      </c>
      <c r="J131" s="566" t="s">
        <v>1346</v>
      </c>
      <c r="K131" s="566" t="s">
        <v>1346</v>
      </c>
      <c r="L131" s="566" t="s">
        <v>639</v>
      </c>
      <c r="M131" s="566" t="s">
        <v>2285</v>
      </c>
      <c r="P131" s="566" t="s">
        <v>676</v>
      </c>
      <c r="R131" s="566" t="s">
        <v>1140</v>
      </c>
      <c r="T131" s="566" t="s">
        <v>677</v>
      </c>
      <c r="W131" s="566">
        <v>6000</v>
      </c>
      <c r="X131" s="566">
        <v>13404.42</v>
      </c>
      <c r="AA131" s="566">
        <v>542.75</v>
      </c>
      <c r="AB131" s="566">
        <v>6823.51</v>
      </c>
      <c r="AC131" s="566">
        <v>1538.16</v>
      </c>
      <c r="AD131" s="566">
        <v>1141.3400000000001</v>
      </c>
      <c r="AE131" s="566">
        <v>2127.96</v>
      </c>
      <c r="AF131" s="566">
        <v>672.49</v>
      </c>
      <c r="AG131" s="566">
        <v>500</v>
      </c>
      <c r="AH131" s="566">
        <v>500</v>
      </c>
      <c r="AI131" s="566">
        <v>500</v>
      </c>
      <c r="AJ131" s="566">
        <v>500</v>
      </c>
      <c r="AK131" s="566">
        <v>500</v>
      </c>
      <c r="AL131" s="566">
        <v>500</v>
      </c>
      <c r="AM131" s="566">
        <v>15846.210000000001</v>
      </c>
      <c r="AN131" s="566">
        <v>2441.7900000000009</v>
      </c>
      <c r="AO131" s="566">
        <v>500</v>
      </c>
      <c r="AP131" s="566">
        <v>172.49</v>
      </c>
      <c r="AQ131" s="566">
        <v>2441.7900000000009</v>
      </c>
      <c r="AS131" s="566">
        <v>2441.7900000000009</v>
      </c>
      <c r="AU131" s="566">
        <v>542.75</v>
      </c>
      <c r="AV131" s="566">
        <v>6823.51</v>
      </c>
      <c r="AW131" s="566">
        <v>1538.16</v>
      </c>
      <c r="AX131" s="566">
        <v>500</v>
      </c>
      <c r="AY131" s="566">
        <v>500</v>
      </c>
      <c r="AZ131" s="566">
        <v>500</v>
      </c>
      <c r="BA131" s="566">
        <v>500</v>
      </c>
      <c r="BB131" s="566">
        <v>500</v>
      </c>
      <c r="BC131" s="566">
        <v>500</v>
      </c>
      <c r="BD131" s="566">
        <v>500</v>
      </c>
      <c r="BE131" s="566">
        <v>500</v>
      </c>
      <c r="BF131" s="566">
        <v>500</v>
      </c>
      <c r="BG131" s="566">
        <v>13404.42</v>
      </c>
      <c r="BH131" s="566">
        <v>542.75</v>
      </c>
      <c r="BI131" s="566">
        <v>6823.51</v>
      </c>
      <c r="BJ131" s="566">
        <v>1538.16</v>
      </c>
      <c r="BK131" s="566">
        <v>500</v>
      </c>
      <c r="BL131" s="566">
        <v>500</v>
      </c>
      <c r="BM131" s="566">
        <v>500</v>
      </c>
      <c r="BN131" s="566">
        <v>500</v>
      </c>
      <c r="BO131" s="566">
        <v>500</v>
      </c>
      <c r="BP131" s="566">
        <v>500</v>
      </c>
      <c r="BQ131" s="566">
        <v>500</v>
      </c>
      <c r="BR131" s="566">
        <v>500</v>
      </c>
      <c r="BS131" s="566">
        <v>500</v>
      </c>
      <c r="BT131" s="566">
        <v>13404.42</v>
      </c>
    </row>
    <row r="132" spans="1:72" s="566" customFormat="1">
      <c r="A132" s="566" t="s">
        <v>2061</v>
      </c>
      <c r="B132" s="566" t="s">
        <v>2950</v>
      </c>
      <c r="C132" s="566" t="s">
        <v>553</v>
      </c>
      <c r="D132" s="566" t="s">
        <v>2062</v>
      </c>
      <c r="E132" s="566" t="s">
        <v>1136</v>
      </c>
      <c r="F132" s="566" t="s">
        <v>1566</v>
      </c>
      <c r="G132" s="566" t="s">
        <v>1480</v>
      </c>
      <c r="H132" s="566" t="s">
        <v>1481</v>
      </c>
      <c r="I132" s="566" t="s">
        <v>1345</v>
      </c>
      <c r="J132" s="566" t="s">
        <v>1481</v>
      </c>
      <c r="K132" s="566" t="s">
        <v>1346</v>
      </c>
      <c r="L132" s="566" t="s">
        <v>389</v>
      </c>
      <c r="M132" s="566" t="s">
        <v>1855</v>
      </c>
      <c r="P132" s="566" t="s">
        <v>466</v>
      </c>
      <c r="R132" s="566" t="s">
        <v>1140</v>
      </c>
      <c r="T132" s="566" t="s">
        <v>57</v>
      </c>
      <c r="U132" s="566" t="s">
        <v>1513</v>
      </c>
      <c r="W132" s="566">
        <v>18852</v>
      </c>
      <c r="X132" s="566">
        <v>18092</v>
      </c>
      <c r="AA132" s="566">
        <v>1206</v>
      </c>
      <c r="AB132" s="566">
        <v>1139</v>
      </c>
      <c r="AC132" s="566">
        <v>1608</v>
      </c>
      <c r="AD132" s="566">
        <v>1206</v>
      </c>
      <c r="AE132" s="566">
        <v>1206</v>
      </c>
      <c r="AF132" s="566">
        <v>1206</v>
      </c>
      <c r="AG132" s="566">
        <v>1571</v>
      </c>
      <c r="AH132" s="566">
        <v>1571</v>
      </c>
      <c r="AI132" s="566">
        <v>1571</v>
      </c>
      <c r="AJ132" s="566">
        <v>1571</v>
      </c>
      <c r="AK132" s="566">
        <v>1571</v>
      </c>
      <c r="AL132" s="566">
        <v>1571</v>
      </c>
      <c r="AM132" s="566">
        <v>16997</v>
      </c>
      <c r="AN132" s="566">
        <v>-1095</v>
      </c>
      <c r="AO132" s="566">
        <v>1571</v>
      </c>
      <c r="AP132" s="566">
        <v>-365</v>
      </c>
      <c r="AQ132" s="566">
        <v>-1095</v>
      </c>
      <c r="AS132" s="566">
        <v>-1095</v>
      </c>
      <c r="AU132" s="566">
        <v>1206</v>
      </c>
      <c r="AV132" s="566">
        <v>1139</v>
      </c>
      <c r="AW132" s="566">
        <v>1608</v>
      </c>
      <c r="AX132" s="566">
        <v>1571</v>
      </c>
      <c r="AY132" s="566">
        <v>1571</v>
      </c>
      <c r="AZ132" s="566">
        <v>1571</v>
      </c>
      <c r="BA132" s="566">
        <v>1571</v>
      </c>
      <c r="BB132" s="566">
        <v>1571</v>
      </c>
      <c r="BC132" s="566">
        <v>1571</v>
      </c>
      <c r="BD132" s="566">
        <v>1571</v>
      </c>
      <c r="BE132" s="566">
        <v>1571</v>
      </c>
      <c r="BF132" s="566">
        <v>1571</v>
      </c>
      <c r="BG132" s="566">
        <v>18092</v>
      </c>
      <c r="BH132" s="566">
        <v>1206</v>
      </c>
      <c r="BI132" s="566">
        <v>1139</v>
      </c>
      <c r="BJ132" s="566">
        <v>1608</v>
      </c>
      <c r="BK132" s="566">
        <v>1571</v>
      </c>
      <c r="BL132" s="566">
        <v>1571</v>
      </c>
      <c r="BM132" s="566">
        <v>1571</v>
      </c>
      <c r="BN132" s="566">
        <v>1571</v>
      </c>
      <c r="BO132" s="566">
        <v>1571</v>
      </c>
      <c r="BP132" s="566">
        <v>1571</v>
      </c>
      <c r="BQ132" s="566">
        <v>1571</v>
      </c>
      <c r="BR132" s="566">
        <v>1571</v>
      </c>
      <c r="BS132" s="566">
        <v>1571</v>
      </c>
      <c r="BT132" s="566">
        <v>18092</v>
      </c>
    </row>
    <row r="133" spans="1:72" s="566" customFormat="1">
      <c r="A133" s="566" t="s">
        <v>1903</v>
      </c>
      <c r="B133" s="566" t="s">
        <v>2950</v>
      </c>
      <c r="C133" s="566" t="s">
        <v>465</v>
      </c>
      <c r="D133" s="566" t="s">
        <v>1904</v>
      </c>
      <c r="E133" s="566" t="s">
        <v>1136</v>
      </c>
      <c r="F133" s="566" t="s">
        <v>1566</v>
      </c>
      <c r="G133" s="566" t="s">
        <v>1135</v>
      </c>
      <c r="H133" s="566" t="s">
        <v>1135</v>
      </c>
      <c r="I133" s="566" t="s">
        <v>1135</v>
      </c>
      <c r="J133" s="566" t="s">
        <v>1137</v>
      </c>
      <c r="K133" s="566" t="s">
        <v>1137</v>
      </c>
      <c r="L133" s="566" t="s">
        <v>389</v>
      </c>
      <c r="M133" s="566" t="s">
        <v>1855</v>
      </c>
      <c r="P133" s="566" t="s">
        <v>466</v>
      </c>
      <c r="R133" s="566" t="s">
        <v>1140</v>
      </c>
      <c r="T133" s="566" t="s">
        <v>57</v>
      </c>
      <c r="U133" s="566" t="s">
        <v>1141</v>
      </c>
      <c r="W133" s="566">
        <v>0</v>
      </c>
      <c r="X133" s="566">
        <v>12459.34</v>
      </c>
      <c r="AA133" s="566">
        <v>3067.29</v>
      </c>
      <c r="AB133" s="566">
        <v>2981.39</v>
      </c>
      <c r="AC133" s="566">
        <v>1910.66</v>
      </c>
      <c r="AD133" s="566">
        <v>1410.86</v>
      </c>
      <c r="AE133" s="566">
        <v>2830.8900000000003</v>
      </c>
      <c r="AF133" s="566">
        <v>2863</v>
      </c>
      <c r="AG133" s="566">
        <v>500</v>
      </c>
      <c r="AH133" s="566">
        <v>500</v>
      </c>
      <c r="AI133" s="566">
        <v>500</v>
      </c>
      <c r="AJ133" s="566">
        <v>500</v>
      </c>
      <c r="AK133" s="566">
        <v>500</v>
      </c>
      <c r="AL133" s="566">
        <v>500</v>
      </c>
      <c r="AM133" s="566">
        <v>18064.09</v>
      </c>
      <c r="AN133" s="566">
        <v>5604.75</v>
      </c>
      <c r="AO133" s="566">
        <v>500</v>
      </c>
      <c r="AP133" s="566">
        <v>2363</v>
      </c>
      <c r="AQ133" s="566">
        <v>5604.75</v>
      </c>
      <c r="AS133" s="566">
        <v>5604.75</v>
      </c>
      <c r="AU133" s="566">
        <v>3067.29</v>
      </c>
      <c r="AV133" s="566">
        <v>2981.39</v>
      </c>
      <c r="AW133" s="566">
        <v>1910.66</v>
      </c>
      <c r="AX133" s="566">
        <v>500</v>
      </c>
      <c r="AY133" s="566">
        <v>500</v>
      </c>
      <c r="AZ133" s="566">
        <v>500</v>
      </c>
      <c r="BA133" s="566">
        <v>500</v>
      </c>
      <c r="BB133" s="566">
        <v>500</v>
      </c>
      <c r="BC133" s="566">
        <v>500</v>
      </c>
      <c r="BD133" s="566">
        <v>500</v>
      </c>
      <c r="BE133" s="566">
        <v>500</v>
      </c>
      <c r="BF133" s="566">
        <v>500</v>
      </c>
      <c r="BG133" s="566">
        <v>12459.34</v>
      </c>
      <c r="BH133" s="566">
        <v>3067.29</v>
      </c>
      <c r="BI133" s="566">
        <v>2981.39</v>
      </c>
      <c r="BJ133" s="566">
        <v>1910.66</v>
      </c>
      <c r="BK133" s="566">
        <v>500</v>
      </c>
      <c r="BL133" s="566">
        <v>500</v>
      </c>
      <c r="BM133" s="566">
        <v>500</v>
      </c>
      <c r="BN133" s="566">
        <v>500</v>
      </c>
      <c r="BO133" s="566">
        <v>500</v>
      </c>
      <c r="BP133" s="566">
        <v>500</v>
      </c>
      <c r="BQ133" s="566">
        <v>500</v>
      </c>
      <c r="BR133" s="566">
        <v>500</v>
      </c>
      <c r="BS133" s="566">
        <v>500</v>
      </c>
      <c r="BT133" s="566">
        <v>12459.34</v>
      </c>
    </row>
    <row r="134" spans="1:72" s="566" customFormat="1">
      <c r="A134" s="566" t="s">
        <v>1667</v>
      </c>
      <c r="B134" s="566" t="s">
        <v>2950</v>
      </c>
      <c r="C134" s="566" t="s">
        <v>337</v>
      </c>
      <c r="D134" s="566" t="s">
        <v>1668</v>
      </c>
      <c r="E134" s="566" t="s">
        <v>1136</v>
      </c>
      <c r="F134" s="566" t="s">
        <v>1566</v>
      </c>
      <c r="G134" s="566" t="s">
        <v>1566</v>
      </c>
      <c r="H134" s="566" t="s">
        <v>1566</v>
      </c>
      <c r="I134" s="566" t="s">
        <v>1345</v>
      </c>
      <c r="J134" s="566" t="s">
        <v>1346</v>
      </c>
      <c r="K134" s="566" t="s">
        <v>1346</v>
      </c>
      <c r="L134" s="566" t="s">
        <v>333</v>
      </c>
      <c r="M134" s="566" t="s">
        <v>1663</v>
      </c>
      <c r="P134" s="566" t="s">
        <v>336</v>
      </c>
      <c r="R134" s="566" t="s">
        <v>1140</v>
      </c>
      <c r="T134" s="566" t="s">
        <v>25</v>
      </c>
      <c r="U134" s="566" t="s">
        <v>1666</v>
      </c>
      <c r="W134" s="566">
        <v>0</v>
      </c>
      <c r="X134" s="566">
        <v>19503</v>
      </c>
      <c r="AA134" s="566">
        <v>336</v>
      </c>
      <c r="AB134" s="566">
        <v>337</v>
      </c>
      <c r="AC134" s="566">
        <v>1883</v>
      </c>
      <c r="AD134" s="566">
        <v>852.00000000000011</v>
      </c>
      <c r="AE134" s="566">
        <v>1823.6399999999999</v>
      </c>
      <c r="AF134" s="566">
        <v>1823.62</v>
      </c>
      <c r="AG134" s="566">
        <v>1883</v>
      </c>
      <c r="AH134" s="566">
        <v>1883</v>
      </c>
      <c r="AI134" s="566">
        <v>1883</v>
      </c>
      <c r="AJ134" s="566">
        <v>1883</v>
      </c>
      <c r="AK134" s="566">
        <v>1883</v>
      </c>
      <c r="AL134" s="566">
        <v>1883</v>
      </c>
      <c r="AM134" s="566">
        <v>18353.259999999998</v>
      </c>
      <c r="AN134" s="566">
        <v>-1149.7400000000016</v>
      </c>
      <c r="AO134" s="566">
        <v>1883</v>
      </c>
      <c r="AP134" s="566">
        <v>-59.380000000000109</v>
      </c>
      <c r="AQ134" s="566">
        <v>-1149.7400000000007</v>
      </c>
      <c r="AS134" s="566">
        <v>-1149.7400000000016</v>
      </c>
      <c r="AU134" s="566">
        <v>336</v>
      </c>
      <c r="AV134" s="566">
        <v>337</v>
      </c>
      <c r="AW134" s="566">
        <v>1883</v>
      </c>
      <c r="AX134" s="566">
        <v>1883</v>
      </c>
      <c r="AY134" s="566">
        <v>1883</v>
      </c>
      <c r="AZ134" s="566">
        <v>1883</v>
      </c>
      <c r="BA134" s="566">
        <v>1883</v>
      </c>
      <c r="BB134" s="566">
        <v>1883</v>
      </c>
      <c r="BC134" s="566">
        <v>1883</v>
      </c>
      <c r="BD134" s="566">
        <v>1883</v>
      </c>
      <c r="BE134" s="566">
        <v>1883</v>
      </c>
      <c r="BF134" s="566">
        <v>1883</v>
      </c>
      <c r="BG134" s="566">
        <v>19503</v>
      </c>
      <c r="BH134" s="566">
        <v>336</v>
      </c>
      <c r="BI134" s="566">
        <v>337</v>
      </c>
      <c r="BJ134" s="566">
        <v>1883</v>
      </c>
      <c r="BK134" s="566">
        <v>0</v>
      </c>
      <c r="BL134" s="566">
        <v>0</v>
      </c>
      <c r="BM134" s="566">
        <v>0</v>
      </c>
      <c r="BN134" s="566">
        <v>0</v>
      </c>
      <c r="BO134" s="566">
        <v>0</v>
      </c>
      <c r="BP134" s="566">
        <v>0</v>
      </c>
      <c r="BQ134" s="566">
        <v>0</v>
      </c>
      <c r="BR134" s="566">
        <v>0</v>
      </c>
      <c r="BS134" s="566">
        <v>0</v>
      </c>
      <c r="BT134" s="566">
        <v>2556</v>
      </c>
    </row>
    <row r="135" spans="1:72" s="566" customFormat="1">
      <c r="A135" s="566" t="s">
        <v>2094</v>
      </c>
      <c r="B135" s="566" t="s">
        <v>2950</v>
      </c>
      <c r="C135" s="566" t="s">
        <v>569</v>
      </c>
      <c r="D135" s="566" t="s">
        <v>2095</v>
      </c>
      <c r="E135" s="566" t="s">
        <v>1136</v>
      </c>
      <c r="F135" s="566" t="s">
        <v>1566</v>
      </c>
      <c r="G135" s="566" t="s">
        <v>1566</v>
      </c>
      <c r="H135" s="566" t="s">
        <v>1566</v>
      </c>
      <c r="I135" s="566" t="s">
        <v>1345</v>
      </c>
      <c r="J135" s="566" t="s">
        <v>1346</v>
      </c>
      <c r="K135" s="566" t="s">
        <v>1346</v>
      </c>
      <c r="L135" s="566" t="s">
        <v>389</v>
      </c>
      <c r="M135" s="566" t="s">
        <v>1174</v>
      </c>
      <c r="P135" s="566" t="s">
        <v>56</v>
      </c>
      <c r="R135" s="566" t="s">
        <v>1140</v>
      </c>
      <c r="T135" s="566" t="s">
        <v>57</v>
      </c>
      <c r="W135" s="566">
        <v>19212</v>
      </c>
      <c r="X135" s="566">
        <v>19118.86</v>
      </c>
      <c r="AA135" s="566">
        <v>1556.11</v>
      </c>
      <c r="AB135" s="566">
        <v>1531.5</v>
      </c>
      <c r="AC135" s="566">
        <v>1622.25</v>
      </c>
      <c r="AD135" s="566">
        <v>1712.9899999999998</v>
      </c>
      <c r="AE135" s="566">
        <v>1903.18</v>
      </c>
      <c r="AF135" s="566">
        <v>456.33000000000004</v>
      </c>
      <c r="AG135" s="566">
        <v>1601</v>
      </c>
      <c r="AH135" s="566">
        <v>1601</v>
      </c>
      <c r="AI135" s="566">
        <v>1601</v>
      </c>
      <c r="AJ135" s="566">
        <v>1601</v>
      </c>
      <c r="AK135" s="566">
        <v>1601</v>
      </c>
      <c r="AL135" s="566">
        <v>1601</v>
      </c>
      <c r="AM135" s="566">
        <v>18388.36</v>
      </c>
      <c r="AN135" s="566">
        <v>-730.5</v>
      </c>
      <c r="AO135" s="566">
        <v>1601</v>
      </c>
      <c r="AP135" s="566">
        <v>-1144.67</v>
      </c>
      <c r="AQ135" s="566">
        <v>-730.50000000000182</v>
      </c>
      <c r="AS135" s="566">
        <v>-730.5</v>
      </c>
      <c r="AU135" s="566">
        <v>1556.11</v>
      </c>
      <c r="AV135" s="566">
        <v>1531.5</v>
      </c>
      <c r="AW135" s="566">
        <v>1622.25</v>
      </c>
      <c r="AX135" s="566">
        <v>1601</v>
      </c>
      <c r="AY135" s="566">
        <v>1601</v>
      </c>
      <c r="AZ135" s="566">
        <v>1601</v>
      </c>
      <c r="BA135" s="566">
        <v>1601</v>
      </c>
      <c r="BB135" s="566">
        <v>1601</v>
      </c>
      <c r="BC135" s="566">
        <v>1601</v>
      </c>
      <c r="BD135" s="566">
        <v>1601</v>
      </c>
      <c r="BE135" s="566">
        <v>1601</v>
      </c>
      <c r="BF135" s="566">
        <v>1601</v>
      </c>
      <c r="BG135" s="566">
        <v>19118.86</v>
      </c>
      <c r="BH135" s="566">
        <v>1556.11</v>
      </c>
      <c r="BI135" s="566">
        <v>1531.5</v>
      </c>
      <c r="BJ135" s="566">
        <v>1622.25</v>
      </c>
      <c r="BK135" s="566">
        <v>1601</v>
      </c>
      <c r="BL135" s="566">
        <v>1601</v>
      </c>
      <c r="BM135" s="566">
        <v>1601</v>
      </c>
      <c r="BN135" s="566">
        <v>1601</v>
      </c>
      <c r="BO135" s="566">
        <v>1601</v>
      </c>
      <c r="BP135" s="566">
        <v>1601</v>
      </c>
      <c r="BQ135" s="566">
        <v>1601</v>
      </c>
      <c r="BR135" s="566">
        <v>1601</v>
      </c>
      <c r="BS135" s="566">
        <v>1601</v>
      </c>
      <c r="BT135" s="566">
        <v>19118.86</v>
      </c>
    </row>
    <row r="136" spans="1:72" s="566" customFormat="1">
      <c r="A136" s="566" t="s">
        <v>2292</v>
      </c>
      <c r="B136" s="566" t="s">
        <v>2950</v>
      </c>
      <c r="C136" s="566" t="s">
        <v>678</v>
      </c>
      <c r="D136" s="566" t="s">
        <v>2293</v>
      </c>
      <c r="E136" s="566" t="s">
        <v>1136</v>
      </c>
      <c r="F136" s="566" t="s">
        <v>1566</v>
      </c>
      <c r="G136" s="566" t="s">
        <v>1135</v>
      </c>
      <c r="H136" s="566" t="s">
        <v>1135</v>
      </c>
      <c r="I136" s="566" t="s">
        <v>1135</v>
      </c>
      <c r="J136" s="566" t="s">
        <v>1137</v>
      </c>
      <c r="K136" s="566" t="s">
        <v>1137</v>
      </c>
      <c r="L136" s="566" t="s">
        <v>639</v>
      </c>
      <c r="M136" s="566" t="s">
        <v>2291</v>
      </c>
      <c r="P136" s="566" t="s">
        <v>679</v>
      </c>
      <c r="Q136" s="566" t="s">
        <v>1153</v>
      </c>
      <c r="R136" s="566" t="s">
        <v>1140</v>
      </c>
      <c r="T136" s="566" t="s">
        <v>680</v>
      </c>
      <c r="U136" s="566" t="s">
        <v>1141</v>
      </c>
      <c r="W136" s="566">
        <v>12000</v>
      </c>
      <c r="X136" s="566">
        <v>13503.74</v>
      </c>
      <c r="AA136" s="566">
        <v>3614.02</v>
      </c>
      <c r="AB136" s="566">
        <v>0</v>
      </c>
      <c r="AC136" s="566">
        <v>889.72</v>
      </c>
      <c r="AD136" s="566">
        <v>917.6</v>
      </c>
      <c r="AE136" s="566">
        <v>3154.91</v>
      </c>
      <c r="AF136" s="566">
        <v>4127.83</v>
      </c>
      <c r="AG136" s="566">
        <v>1000</v>
      </c>
      <c r="AH136" s="566">
        <v>1000</v>
      </c>
      <c r="AI136" s="566">
        <v>1000</v>
      </c>
      <c r="AJ136" s="566">
        <v>1000</v>
      </c>
      <c r="AK136" s="566">
        <v>1000</v>
      </c>
      <c r="AL136" s="566">
        <v>1000</v>
      </c>
      <c r="AM136" s="566">
        <v>18704.080000000002</v>
      </c>
      <c r="AN136" s="566">
        <v>5200.340000000002</v>
      </c>
      <c r="AO136" s="566">
        <v>1000</v>
      </c>
      <c r="AP136" s="566">
        <v>3127.83</v>
      </c>
      <c r="AQ136" s="566">
        <v>5200.34</v>
      </c>
      <c r="AS136" s="566">
        <v>5200.340000000002</v>
      </c>
      <c r="AU136" s="566">
        <v>3614.02</v>
      </c>
      <c r="AV136" s="566">
        <v>0</v>
      </c>
      <c r="AW136" s="566">
        <v>889.72</v>
      </c>
      <c r="AX136" s="566">
        <v>1000</v>
      </c>
      <c r="AY136" s="566">
        <v>1000</v>
      </c>
      <c r="AZ136" s="566">
        <v>1000</v>
      </c>
      <c r="BA136" s="566">
        <v>1000</v>
      </c>
      <c r="BB136" s="566">
        <v>1000</v>
      </c>
      <c r="BC136" s="566">
        <v>1000</v>
      </c>
      <c r="BD136" s="566">
        <v>1000</v>
      </c>
      <c r="BE136" s="566">
        <v>1000</v>
      </c>
      <c r="BF136" s="566">
        <v>1000</v>
      </c>
      <c r="BG136" s="566">
        <v>13503.74</v>
      </c>
      <c r="BH136" s="566">
        <v>3614.02</v>
      </c>
      <c r="BI136" s="566">
        <v>0</v>
      </c>
      <c r="BJ136" s="566">
        <v>889.72</v>
      </c>
      <c r="BK136" s="566">
        <v>1000</v>
      </c>
      <c r="BL136" s="566">
        <v>1000</v>
      </c>
      <c r="BM136" s="566">
        <v>1000</v>
      </c>
      <c r="BN136" s="566">
        <v>1000</v>
      </c>
      <c r="BO136" s="566">
        <v>1000</v>
      </c>
      <c r="BP136" s="566">
        <v>1000</v>
      </c>
      <c r="BQ136" s="566">
        <v>1000</v>
      </c>
      <c r="BR136" s="566">
        <v>1000</v>
      </c>
      <c r="BS136" s="566">
        <v>1000</v>
      </c>
      <c r="BT136" s="566">
        <v>13503.74</v>
      </c>
    </row>
    <row r="137" spans="1:72" s="566" customFormat="1">
      <c r="A137" s="566" t="s">
        <v>2025</v>
      </c>
      <c r="B137" s="566" t="s">
        <v>2950</v>
      </c>
      <c r="C137" s="566" t="s">
        <v>533</v>
      </c>
      <c r="D137" s="566" t="s">
        <v>2026</v>
      </c>
      <c r="E137" s="566" t="s">
        <v>1136</v>
      </c>
      <c r="F137" s="566" t="s">
        <v>1566</v>
      </c>
      <c r="G137" s="566" t="s">
        <v>1345</v>
      </c>
      <c r="H137" s="566" t="s">
        <v>1437</v>
      </c>
      <c r="I137" s="566" t="s">
        <v>1345</v>
      </c>
      <c r="J137" s="566" t="s">
        <v>1437</v>
      </c>
      <c r="K137" s="566" t="s">
        <v>1346</v>
      </c>
      <c r="L137" s="566" t="s">
        <v>389</v>
      </c>
      <c r="M137" s="566" t="s">
        <v>1855</v>
      </c>
      <c r="P137" s="566" t="s">
        <v>466</v>
      </c>
      <c r="R137" s="566" t="s">
        <v>1140</v>
      </c>
      <c r="T137" s="566" t="s">
        <v>57</v>
      </c>
      <c r="W137" s="566">
        <v>22800</v>
      </c>
      <c r="X137" s="566">
        <v>20679</v>
      </c>
      <c r="AA137" s="566">
        <v>1636</v>
      </c>
      <c r="AB137" s="566">
        <v>1153</v>
      </c>
      <c r="AC137" s="566">
        <v>790</v>
      </c>
      <c r="AD137" s="566">
        <v>1287</v>
      </c>
      <c r="AE137" s="566">
        <v>1227</v>
      </c>
      <c r="AF137" s="566">
        <v>1227</v>
      </c>
      <c r="AG137" s="566">
        <v>1900</v>
      </c>
      <c r="AH137" s="566">
        <v>1900</v>
      </c>
      <c r="AI137" s="566">
        <v>1900</v>
      </c>
      <c r="AJ137" s="566">
        <v>1900</v>
      </c>
      <c r="AK137" s="566">
        <v>1900</v>
      </c>
      <c r="AL137" s="566">
        <v>1900</v>
      </c>
      <c r="AM137" s="566">
        <v>18720</v>
      </c>
      <c r="AN137" s="566">
        <v>-1959</v>
      </c>
      <c r="AO137" s="566">
        <v>1900</v>
      </c>
      <c r="AP137" s="566">
        <v>-673</v>
      </c>
      <c r="AQ137" s="566">
        <v>-1959</v>
      </c>
      <c r="AS137" s="566">
        <v>-1959</v>
      </c>
      <c r="AU137" s="566">
        <v>1636</v>
      </c>
      <c r="AV137" s="566">
        <v>1153</v>
      </c>
      <c r="AW137" s="566">
        <v>790</v>
      </c>
      <c r="AX137" s="566">
        <v>1900</v>
      </c>
      <c r="AY137" s="566">
        <v>1900</v>
      </c>
      <c r="AZ137" s="566">
        <v>1900</v>
      </c>
      <c r="BA137" s="566">
        <v>1900</v>
      </c>
      <c r="BB137" s="566">
        <v>1900</v>
      </c>
      <c r="BC137" s="566">
        <v>1900</v>
      </c>
      <c r="BD137" s="566">
        <v>1900</v>
      </c>
      <c r="BE137" s="566">
        <v>1900</v>
      </c>
      <c r="BF137" s="566">
        <v>1900</v>
      </c>
      <c r="BG137" s="566">
        <v>20679</v>
      </c>
      <c r="BH137" s="566">
        <v>1636</v>
      </c>
      <c r="BI137" s="566">
        <v>1153</v>
      </c>
      <c r="BJ137" s="566">
        <v>790</v>
      </c>
      <c r="BK137" s="566">
        <v>1900</v>
      </c>
      <c r="BL137" s="566">
        <v>1900</v>
      </c>
      <c r="BM137" s="566">
        <v>1900</v>
      </c>
      <c r="BN137" s="566">
        <v>1900</v>
      </c>
      <c r="BO137" s="566">
        <v>1900</v>
      </c>
      <c r="BP137" s="566">
        <v>1900</v>
      </c>
      <c r="BQ137" s="566">
        <v>1900</v>
      </c>
      <c r="BR137" s="566">
        <v>1900</v>
      </c>
      <c r="BS137" s="566">
        <v>1900</v>
      </c>
      <c r="BT137" s="566">
        <v>20679</v>
      </c>
    </row>
    <row r="138" spans="1:72" s="566" customFormat="1">
      <c r="A138" s="566" t="s">
        <v>2024</v>
      </c>
      <c r="B138" s="566" t="s">
        <v>2950</v>
      </c>
      <c r="C138" s="566" t="s">
        <v>533</v>
      </c>
      <c r="D138" s="566" t="s">
        <v>533</v>
      </c>
      <c r="E138" s="566" t="s">
        <v>1136</v>
      </c>
      <c r="F138" s="566" t="s">
        <v>1566</v>
      </c>
      <c r="G138" s="566" t="s">
        <v>1345</v>
      </c>
      <c r="H138" s="566" t="s">
        <v>1345</v>
      </c>
      <c r="I138" s="566" t="s">
        <v>1345</v>
      </c>
      <c r="J138" s="566" t="s">
        <v>1345</v>
      </c>
      <c r="K138" s="566" t="s">
        <v>1346</v>
      </c>
      <c r="L138" s="566" t="s">
        <v>389</v>
      </c>
      <c r="M138" s="566" t="s">
        <v>1855</v>
      </c>
      <c r="P138" s="566" t="s">
        <v>466</v>
      </c>
      <c r="R138" s="566" t="s">
        <v>1140</v>
      </c>
      <c r="T138" s="566" t="s">
        <v>57</v>
      </c>
      <c r="W138" s="566">
        <v>19176</v>
      </c>
      <c r="X138" s="566">
        <v>21479</v>
      </c>
      <c r="AA138" s="566">
        <v>1566</v>
      </c>
      <c r="AB138" s="566">
        <v>1439</v>
      </c>
      <c r="AC138" s="566">
        <v>4092</v>
      </c>
      <c r="AD138" s="566">
        <v>1259</v>
      </c>
      <c r="AE138" s="566">
        <v>1259</v>
      </c>
      <c r="AF138" s="566">
        <v>1192</v>
      </c>
      <c r="AG138" s="566">
        <v>1598</v>
      </c>
      <c r="AH138" s="566">
        <v>1598</v>
      </c>
      <c r="AI138" s="566">
        <v>1598</v>
      </c>
      <c r="AJ138" s="566">
        <v>1598</v>
      </c>
      <c r="AK138" s="566">
        <v>1598</v>
      </c>
      <c r="AL138" s="566">
        <v>1598</v>
      </c>
      <c r="AM138" s="566">
        <v>20395</v>
      </c>
      <c r="AN138" s="566">
        <v>-1084</v>
      </c>
      <c r="AO138" s="566">
        <v>1598</v>
      </c>
      <c r="AP138" s="566">
        <v>-406</v>
      </c>
      <c r="AQ138" s="566">
        <v>-1084</v>
      </c>
      <c r="AS138" s="566">
        <v>-1084</v>
      </c>
      <c r="AU138" s="566">
        <v>1566</v>
      </c>
      <c r="AV138" s="566">
        <v>1439</v>
      </c>
      <c r="AW138" s="566">
        <v>4092</v>
      </c>
      <c r="AX138" s="566">
        <v>1598</v>
      </c>
      <c r="AY138" s="566">
        <v>1598</v>
      </c>
      <c r="AZ138" s="566">
        <v>1598</v>
      </c>
      <c r="BA138" s="566">
        <v>1598</v>
      </c>
      <c r="BB138" s="566">
        <v>1598</v>
      </c>
      <c r="BC138" s="566">
        <v>1598</v>
      </c>
      <c r="BD138" s="566">
        <v>1598</v>
      </c>
      <c r="BE138" s="566">
        <v>1598</v>
      </c>
      <c r="BF138" s="566">
        <v>1598</v>
      </c>
      <c r="BG138" s="566">
        <v>21479</v>
      </c>
      <c r="BH138" s="566">
        <v>1566</v>
      </c>
      <c r="BI138" s="566">
        <v>1439</v>
      </c>
      <c r="BJ138" s="566">
        <v>4092</v>
      </c>
      <c r="BK138" s="566">
        <v>1598</v>
      </c>
      <c r="BL138" s="566">
        <v>1598</v>
      </c>
      <c r="BM138" s="566">
        <v>1598</v>
      </c>
      <c r="BN138" s="566">
        <v>1598</v>
      </c>
      <c r="BO138" s="566">
        <v>1598</v>
      </c>
      <c r="BP138" s="566">
        <v>1598</v>
      </c>
      <c r="BQ138" s="566">
        <v>1598</v>
      </c>
      <c r="BR138" s="566">
        <v>1598</v>
      </c>
      <c r="BS138" s="566">
        <v>1598</v>
      </c>
      <c r="BT138" s="566">
        <v>21479</v>
      </c>
    </row>
    <row r="139" spans="1:72" s="566" customFormat="1">
      <c r="A139" s="566" t="s">
        <v>2685</v>
      </c>
      <c r="B139" s="566" t="s">
        <v>2950</v>
      </c>
      <c r="C139" s="566" t="s">
        <v>950</v>
      </c>
      <c r="D139" s="566" t="s">
        <v>950</v>
      </c>
      <c r="E139" s="566" t="s">
        <v>1136</v>
      </c>
      <c r="F139" s="566" t="s">
        <v>1566</v>
      </c>
      <c r="G139" s="566" t="s">
        <v>1345</v>
      </c>
      <c r="H139" s="566" t="s">
        <v>1345</v>
      </c>
      <c r="I139" s="566" t="s">
        <v>1345</v>
      </c>
      <c r="J139" s="566" t="s">
        <v>1345</v>
      </c>
      <c r="K139" s="566" t="s">
        <v>1346</v>
      </c>
      <c r="L139" s="566" t="s">
        <v>639</v>
      </c>
      <c r="M139" s="566" t="s">
        <v>818</v>
      </c>
      <c r="P139" s="566" t="s">
        <v>817</v>
      </c>
      <c r="R139" s="566" t="s">
        <v>1140</v>
      </c>
      <c r="T139" s="566" t="s">
        <v>818</v>
      </c>
      <c r="W139" s="566">
        <v>13200</v>
      </c>
      <c r="X139" s="566">
        <v>19370.91</v>
      </c>
      <c r="AC139" s="566">
        <v>9470.91</v>
      </c>
      <c r="AD139" s="566">
        <v>0</v>
      </c>
      <c r="AE139" s="566">
        <v>0</v>
      </c>
      <c r="AF139" s="566">
        <v>6148.3</v>
      </c>
      <c r="AG139" s="566">
        <v>0</v>
      </c>
      <c r="AH139" s="566">
        <v>0</v>
      </c>
      <c r="AI139" s="566">
        <v>3300</v>
      </c>
      <c r="AJ139" s="566">
        <v>0</v>
      </c>
      <c r="AK139" s="566">
        <v>0</v>
      </c>
      <c r="AL139" s="566">
        <v>3300</v>
      </c>
      <c r="AM139" s="566">
        <v>22219.21</v>
      </c>
      <c r="AN139" s="566">
        <v>2848.2999999999993</v>
      </c>
      <c r="AO139" s="566">
        <v>0</v>
      </c>
      <c r="AP139" s="566">
        <v>6148.3</v>
      </c>
      <c r="AQ139" s="566">
        <v>2848.2999999999993</v>
      </c>
      <c r="AS139" s="566">
        <v>2848.2999999999993</v>
      </c>
      <c r="AW139" s="566">
        <v>9470.91</v>
      </c>
      <c r="AX139" s="566">
        <v>0</v>
      </c>
      <c r="AY139" s="566">
        <v>0</v>
      </c>
      <c r="AZ139" s="566">
        <v>3300</v>
      </c>
      <c r="BA139" s="566">
        <v>0</v>
      </c>
      <c r="BB139" s="566">
        <v>0</v>
      </c>
      <c r="BC139" s="566">
        <v>3300</v>
      </c>
      <c r="BD139" s="566">
        <v>0</v>
      </c>
      <c r="BE139" s="566">
        <v>0</v>
      </c>
      <c r="BF139" s="566">
        <v>3300</v>
      </c>
      <c r="BG139" s="566">
        <v>19370.91</v>
      </c>
      <c r="BJ139" s="566">
        <v>9470.91</v>
      </c>
      <c r="BK139" s="566">
        <v>0</v>
      </c>
      <c r="BL139" s="566">
        <v>0</v>
      </c>
      <c r="BM139" s="566">
        <v>3300</v>
      </c>
      <c r="BN139" s="566">
        <v>0</v>
      </c>
      <c r="BO139" s="566">
        <v>0</v>
      </c>
      <c r="BP139" s="566">
        <v>3300</v>
      </c>
      <c r="BQ139" s="566">
        <v>0</v>
      </c>
      <c r="BR139" s="566">
        <v>0</v>
      </c>
      <c r="BS139" s="566">
        <v>3300</v>
      </c>
      <c r="BT139" s="566">
        <v>19370.91</v>
      </c>
    </row>
    <row r="140" spans="1:72" s="566" customFormat="1">
      <c r="A140" s="566" t="s">
        <v>1899</v>
      </c>
      <c r="B140" s="566" t="s">
        <v>2950</v>
      </c>
      <c r="C140" s="566" t="s">
        <v>464</v>
      </c>
      <c r="D140" s="566" t="s">
        <v>1900</v>
      </c>
      <c r="E140" s="566" t="s">
        <v>1136</v>
      </c>
      <c r="F140" s="566" t="s">
        <v>1566</v>
      </c>
      <c r="G140" s="566" t="s">
        <v>1135</v>
      </c>
      <c r="H140" s="566" t="s">
        <v>1165</v>
      </c>
      <c r="I140" s="566" t="s">
        <v>1135</v>
      </c>
      <c r="J140" s="566" t="s">
        <v>1165</v>
      </c>
      <c r="K140" s="566" t="s">
        <v>1137</v>
      </c>
      <c r="L140" s="566" t="s">
        <v>389</v>
      </c>
      <c r="M140" s="566" t="s">
        <v>1703</v>
      </c>
      <c r="P140" s="566" t="s">
        <v>365</v>
      </c>
      <c r="R140" s="566" t="s">
        <v>1140</v>
      </c>
      <c r="T140" s="566" t="s">
        <v>57</v>
      </c>
      <c r="W140" s="566">
        <v>12000</v>
      </c>
      <c r="X140" s="566">
        <v>20372.89</v>
      </c>
      <c r="AA140" s="566">
        <v>3485.94</v>
      </c>
      <c r="AB140" s="566">
        <v>4743.4799999999996</v>
      </c>
      <c r="AC140" s="566">
        <v>3143.47</v>
      </c>
      <c r="AD140" s="566">
        <v>1703.44</v>
      </c>
      <c r="AE140" s="566">
        <v>1676.8800000000003</v>
      </c>
      <c r="AF140" s="566">
        <v>3062.17</v>
      </c>
      <c r="AG140" s="566">
        <v>1000</v>
      </c>
      <c r="AH140" s="566">
        <v>1000</v>
      </c>
      <c r="AI140" s="566">
        <v>1000</v>
      </c>
      <c r="AJ140" s="566">
        <v>1000</v>
      </c>
      <c r="AK140" s="566">
        <v>1000</v>
      </c>
      <c r="AL140" s="566">
        <v>1000</v>
      </c>
      <c r="AM140" s="566">
        <v>23815.38</v>
      </c>
      <c r="AN140" s="566">
        <v>3442.4900000000016</v>
      </c>
      <c r="AO140" s="566">
        <v>1000</v>
      </c>
      <c r="AP140" s="566">
        <v>2062.17</v>
      </c>
      <c r="AQ140" s="566">
        <v>3442.4900000000016</v>
      </c>
      <c r="AS140" s="566">
        <v>3442.4900000000016</v>
      </c>
      <c r="AU140" s="566">
        <v>3485.94</v>
      </c>
      <c r="AV140" s="566">
        <v>4743.4799999999996</v>
      </c>
      <c r="AW140" s="566">
        <v>3143.47</v>
      </c>
      <c r="AX140" s="566">
        <v>1000</v>
      </c>
      <c r="AY140" s="566">
        <v>1000</v>
      </c>
      <c r="AZ140" s="566">
        <v>1000</v>
      </c>
      <c r="BA140" s="566">
        <v>1000</v>
      </c>
      <c r="BB140" s="566">
        <v>1000</v>
      </c>
      <c r="BC140" s="566">
        <v>1000</v>
      </c>
      <c r="BD140" s="566">
        <v>1000</v>
      </c>
      <c r="BE140" s="566">
        <v>1000</v>
      </c>
      <c r="BF140" s="566">
        <v>1000</v>
      </c>
      <c r="BG140" s="566">
        <v>20372.89</v>
      </c>
      <c r="BH140" s="566">
        <v>3485.94</v>
      </c>
      <c r="BI140" s="566">
        <v>4743.4799999999996</v>
      </c>
      <c r="BJ140" s="566">
        <v>3143.47</v>
      </c>
      <c r="BK140" s="566">
        <v>1000</v>
      </c>
      <c r="BL140" s="566">
        <v>1000</v>
      </c>
      <c r="BM140" s="566">
        <v>1000</v>
      </c>
      <c r="BN140" s="566">
        <v>1000</v>
      </c>
      <c r="BO140" s="566">
        <v>1000</v>
      </c>
      <c r="BP140" s="566">
        <v>1000</v>
      </c>
      <c r="BQ140" s="566">
        <v>1000</v>
      </c>
      <c r="BR140" s="566">
        <v>1000</v>
      </c>
      <c r="BS140" s="566">
        <v>1000</v>
      </c>
      <c r="BT140" s="566">
        <v>20372.89</v>
      </c>
    </row>
    <row r="141" spans="1:72" s="566" customFormat="1">
      <c r="A141" s="566" t="s">
        <v>2059</v>
      </c>
      <c r="B141" s="566" t="s">
        <v>2950</v>
      </c>
      <c r="C141" s="566" t="s">
        <v>553</v>
      </c>
      <c r="D141" s="566" t="s">
        <v>553</v>
      </c>
      <c r="E141" s="566" t="s">
        <v>1136</v>
      </c>
      <c r="F141" s="566" t="s">
        <v>1566</v>
      </c>
      <c r="G141" s="566" t="s">
        <v>1480</v>
      </c>
      <c r="H141" s="566" t="s">
        <v>1480</v>
      </c>
      <c r="I141" s="566" t="s">
        <v>1345</v>
      </c>
      <c r="J141" s="566" t="s">
        <v>1480</v>
      </c>
      <c r="K141" s="566" t="s">
        <v>1346</v>
      </c>
      <c r="L141" s="566" t="s">
        <v>389</v>
      </c>
      <c r="M141" s="566" t="s">
        <v>1855</v>
      </c>
      <c r="P141" s="566" t="s">
        <v>466</v>
      </c>
      <c r="R141" s="566" t="s">
        <v>1140</v>
      </c>
      <c r="T141" s="566" t="s">
        <v>57</v>
      </c>
      <c r="W141" s="566">
        <v>27000</v>
      </c>
      <c r="X141" s="566">
        <v>26481</v>
      </c>
      <c r="AA141" s="566">
        <v>1883</v>
      </c>
      <c r="AB141" s="566">
        <v>1481</v>
      </c>
      <c r="AC141" s="566">
        <v>2867</v>
      </c>
      <c r="AD141" s="566">
        <v>1442</v>
      </c>
      <c r="AE141" s="566">
        <v>1442</v>
      </c>
      <c r="AF141" s="566">
        <v>1375</v>
      </c>
      <c r="AG141" s="566">
        <v>2250</v>
      </c>
      <c r="AH141" s="566">
        <v>2250</v>
      </c>
      <c r="AI141" s="566">
        <v>2250</v>
      </c>
      <c r="AJ141" s="566">
        <v>2250</v>
      </c>
      <c r="AK141" s="566">
        <v>2250</v>
      </c>
      <c r="AL141" s="566">
        <v>2250</v>
      </c>
      <c r="AM141" s="566">
        <v>23990</v>
      </c>
      <c r="AN141" s="566">
        <v>-2491</v>
      </c>
      <c r="AO141" s="566">
        <v>2250</v>
      </c>
      <c r="AP141" s="566">
        <v>-875</v>
      </c>
      <c r="AQ141" s="566">
        <v>-2491</v>
      </c>
      <c r="AS141" s="566">
        <v>-2491</v>
      </c>
      <c r="AU141" s="566">
        <v>1883</v>
      </c>
      <c r="AV141" s="566">
        <v>1481</v>
      </c>
      <c r="AW141" s="566">
        <v>2867</v>
      </c>
      <c r="AX141" s="566">
        <v>2250</v>
      </c>
      <c r="AY141" s="566">
        <v>2250</v>
      </c>
      <c r="AZ141" s="566">
        <v>2250</v>
      </c>
      <c r="BA141" s="566">
        <v>2250</v>
      </c>
      <c r="BB141" s="566">
        <v>2250</v>
      </c>
      <c r="BC141" s="566">
        <v>2250</v>
      </c>
      <c r="BD141" s="566">
        <v>2250</v>
      </c>
      <c r="BE141" s="566">
        <v>2250</v>
      </c>
      <c r="BF141" s="566">
        <v>2250</v>
      </c>
      <c r="BG141" s="566">
        <v>26481</v>
      </c>
      <c r="BH141" s="566">
        <v>1883</v>
      </c>
      <c r="BI141" s="566">
        <v>1481</v>
      </c>
      <c r="BJ141" s="566">
        <v>2867</v>
      </c>
      <c r="BK141" s="566">
        <v>2250</v>
      </c>
      <c r="BL141" s="566">
        <v>2250</v>
      </c>
      <c r="BM141" s="566">
        <v>2250</v>
      </c>
      <c r="BN141" s="566">
        <v>2250</v>
      </c>
      <c r="BO141" s="566">
        <v>2250</v>
      </c>
      <c r="BP141" s="566">
        <v>2250</v>
      </c>
      <c r="BQ141" s="566">
        <v>2250</v>
      </c>
      <c r="BR141" s="566">
        <v>2250</v>
      </c>
      <c r="BS141" s="566">
        <v>2250</v>
      </c>
      <c r="BT141" s="566">
        <v>26481</v>
      </c>
    </row>
    <row r="142" spans="1:72" s="566" customFormat="1">
      <c r="A142" s="566" t="s">
        <v>2471</v>
      </c>
      <c r="B142" s="566" t="s">
        <v>2950</v>
      </c>
      <c r="C142" s="566" t="s">
        <v>816</v>
      </c>
      <c r="D142" s="566" t="s">
        <v>2472</v>
      </c>
      <c r="E142" s="566" t="s">
        <v>1136</v>
      </c>
      <c r="F142" s="566" t="s">
        <v>1566</v>
      </c>
      <c r="G142" s="566" t="s">
        <v>1135</v>
      </c>
      <c r="H142" s="566" t="s">
        <v>1135</v>
      </c>
      <c r="I142" s="566" t="s">
        <v>1135</v>
      </c>
      <c r="J142" s="566" t="s">
        <v>1137</v>
      </c>
      <c r="K142" s="566" t="s">
        <v>1137</v>
      </c>
      <c r="L142" s="566" t="s">
        <v>639</v>
      </c>
      <c r="M142" s="566" t="s">
        <v>818</v>
      </c>
      <c r="P142" s="566" t="s">
        <v>817</v>
      </c>
      <c r="R142" s="566" t="s">
        <v>1140</v>
      </c>
      <c r="T142" s="566" t="s">
        <v>818</v>
      </c>
      <c r="U142" s="566" t="s">
        <v>1141</v>
      </c>
      <c r="W142" s="566">
        <v>50000</v>
      </c>
      <c r="X142" s="566">
        <v>38665</v>
      </c>
      <c r="AC142" s="566">
        <v>1165</v>
      </c>
      <c r="AD142" s="566">
        <v>0</v>
      </c>
      <c r="AE142" s="566">
        <v>0</v>
      </c>
      <c r="AF142" s="566">
        <v>1720.74</v>
      </c>
      <c r="AG142" s="566">
        <v>0</v>
      </c>
      <c r="AH142" s="566">
        <v>0</v>
      </c>
      <c r="AI142" s="566">
        <v>12500</v>
      </c>
      <c r="AJ142" s="566">
        <v>0</v>
      </c>
      <c r="AK142" s="566">
        <v>12500</v>
      </c>
      <c r="AL142" s="566">
        <v>0</v>
      </c>
      <c r="AM142" s="566">
        <v>27885.739999999998</v>
      </c>
      <c r="AN142" s="566">
        <v>-10779.260000000002</v>
      </c>
      <c r="AO142" s="566">
        <v>0</v>
      </c>
      <c r="AP142" s="566">
        <v>1720.74</v>
      </c>
      <c r="AQ142" s="566">
        <v>-10779.26</v>
      </c>
      <c r="AS142" s="566">
        <v>-10779.260000000002</v>
      </c>
      <c r="AW142" s="566">
        <v>1165</v>
      </c>
      <c r="AX142" s="566">
        <v>0</v>
      </c>
      <c r="AY142" s="566">
        <v>0</v>
      </c>
      <c r="AZ142" s="566">
        <v>12500</v>
      </c>
      <c r="BA142" s="566">
        <v>0</v>
      </c>
      <c r="BB142" s="566">
        <v>0</v>
      </c>
      <c r="BC142" s="566">
        <v>12500</v>
      </c>
      <c r="BD142" s="566">
        <v>0</v>
      </c>
      <c r="BE142" s="566">
        <v>12500</v>
      </c>
      <c r="BF142" s="566">
        <v>0</v>
      </c>
      <c r="BG142" s="566">
        <v>38665</v>
      </c>
      <c r="BJ142" s="566">
        <v>1165</v>
      </c>
      <c r="BK142" s="566">
        <v>0</v>
      </c>
      <c r="BL142" s="566">
        <v>0</v>
      </c>
      <c r="BM142" s="566">
        <v>12500</v>
      </c>
      <c r="BN142" s="566">
        <v>0</v>
      </c>
      <c r="BO142" s="566">
        <v>0</v>
      </c>
      <c r="BP142" s="566">
        <v>12500</v>
      </c>
      <c r="BQ142" s="566">
        <v>0</v>
      </c>
      <c r="BR142" s="566">
        <v>12500</v>
      </c>
      <c r="BS142" s="566">
        <v>0</v>
      </c>
      <c r="BT142" s="566">
        <v>38665</v>
      </c>
    </row>
    <row r="143" spans="1:72" s="566" customFormat="1">
      <c r="A143" s="566" t="s">
        <v>1906</v>
      </c>
      <c r="B143" s="566" t="s">
        <v>2950</v>
      </c>
      <c r="C143" s="566" t="s">
        <v>465</v>
      </c>
      <c r="D143" s="566" t="s">
        <v>1907</v>
      </c>
      <c r="E143" s="566" t="s">
        <v>1136</v>
      </c>
      <c r="F143" s="566" t="s">
        <v>1566</v>
      </c>
      <c r="G143" s="566" t="s">
        <v>1135</v>
      </c>
      <c r="H143" s="566" t="s">
        <v>1145</v>
      </c>
      <c r="I143" s="566" t="s">
        <v>1135</v>
      </c>
      <c r="J143" s="566" t="s">
        <v>1145</v>
      </c>
      <c r="K143" s="566" t="s">
        <v>1137</v>
      </c>
      <c r="L143" s="566" t="s">
        <v>389</v>
      </c>
      <c r="M143" s="566" t="s">
        <v>1855</v>
      </c>
      <c r="P143" s="566" t="s">
        <v>466</v>
      </c>
      <c r="R143" s="566" t="s">
        <v>1140</v>
      </c>
      <c r="T143" s="566" t="s">
        <v>57</v>
      </c>
      <c r="W143" s="566">
        <v>42000</v>
      </c>
      <c r="X143" s="566">
        <v>31512</v>
      </c>
      <c r="AA143" s="566">
        <v>3202</v>
      </c>
      <c r="AB143" s="566">
        <v>2807</v>
      </c>
      <c r="AC143" s="566">
        <v>240</v>
      </c>
      <c r="AD143" s="566">
        <v>2458</v>
      </c>
      <c r="AE143" s="566">
        <v>2458</v>
      </c>
      <c r="AF143" s="566">
        <v>2786</v>
      </c>
      <c r="AG143" s="566">
        <v>2458</v>
      </c>
      <c r="AH143" s="566">
        <v>2458</v>
      </c>
      <c r="AI143" s="566">
        <v>2458</v>
      </c>
      <c r="AJ143" s="566">
        <v>2458</v>
      </c>
      <c r="AK143" s="566">
        <v>2458</v>
      </c>
      <c r="AL143" s="566">
        <v>2458</v>
      </c>
      <c r="AM143" s="566">
        <v>28699</v>
      </c>
      <c r="AN143" s="566">
        <v>-2813</v>
      </c>
      <c r="AO143" s="566">
        <v>2807</v>
      </c>
      <c r="AP143" s="566">
        <v>-21</v>
      </c>
      <c r="AQ143" s="566">
        <v>-719</v>
      </c>
      <c r="AS143" s="566">
        <v>-2813</v>
      </c>
      <c r="AU143" s="566">
        <v>3202</v>
      </c>
      <c r="AV143" s="566">
        <v>2807</v>
      </c>
      <c r="AW143" s="566">
        <v>240</v>
      </c>
      <c r="AX143" s="566">
        <v>2807</v>
      </c>
      <c r="AY143" s="566">
        <v>2807</v>
      </c>
      <c r="AZ143" s="566">
        <v>2807</v>
      </c>
      <c r="BA143" s="566">
        <v>2807</v>
      </c>
      <c r="BB143" s="566">
        <v>2807</v>
      </c>
      <c r="BC143" s="566">
        <v>2807</v>
      </c>
      <c r="BD143" s="566">
        <v>2807</v>
      </c>
      <c r="BE143" s="566">
        <v>2807</v>
      </c>
      <c r="BF143" s="566">
        <v>2807</v>
      </c>
      <c r="BG143" s="566">
        <v>31512</v>
      </c>
      <c r="BH143" s="566">
        <v>3202</v>
      </c>
      <c r="BI143" s="566">
        <v>2807</v>
      </c>
      <c r="BJ143" s="566">
        <v>240</v>
      </c>
      <c r="BK143" s="566">
        <v>2807</v>
      </c>
      <c r="BL143" s="566">
        <v>2807</v>
      </c>
      <c r="BM143" s="566">
        <v>2807</v>
      </c>
      <c r="BN143" s="566">
        <v>2807</v>
      </c>
      <c r="BO143" s="566">
        <v>2807</v>
      </c>
      <c r="BP143" s="566">
        <v>2807</v>
      </c>
      <c r="BQ143" s="566">
        <v>2807</v>
      </c>
      <c r="BR143" s="566">
        <v>2807</v>
      </c>
      <c r="BS143" s="566">
        <v>2807</v>
      </c>
      <c r="BT143" s="566">
        <v>31512</v>
      </c>
    </row>
    <row r="144" spans="1:72" s="566" customFormat="1">
      <c r="A144" s="566" t="s">
        <v>2480</v>
      </c>
      <c r="B144" s="566" t="s">
        <v>2950</v>
      </c>
      <c r="C144" s="566" t="s">
        <v>816</v>
      </c>
      <c r="D144" s="566" t="s">
        <v>2481</v>
      </c>
      <c r="E144" s="566" t="s">
        <v>1136</v>
      </c>
      <c r="F144" s="566" t="s">
        <v>1566</v>
      </c>
      <c r="G144" s="566" t="s">
        <v>1135</v>
      </c>
      <c r="H144" s="566" t="s">
        <v>1165</v>
      </c>
      <c r="I144" s="566" t="s">
        <v>1135</v>
      </c>
      <c r="J144" s="566" t="s">
        <v>1165</v>
      </c>
      <c r="K144" s="566" t="s">
        <v>1137</v>
      </c>
      <c r="L144" s="566" t="s">
        <v>639</v>
      </c>
      <c r="M144" s="566" t="s">
        <v>818</v>
      </c>
      <c r="P144" s="566" t="s">
        <v>817</v>
      </c>
      <c r="R144" s="566" t="s">
        <v>1140</v>
      </c>
      <c r="T144" s="566" t="s">
        <v>818</v>
      </c>
      <c r="W144" s="566">
        <v>12119.24</v>
      </c>
      <c r="X144" s="566">
        <v>21230.870000000003</v>
      </c>
      <c r="AC144" s="566">
        <v>12141.44</v>
      </c>
      <c r="AD144" s="566">
        <v>0</v>
      </c>
      <c r="AE144" s="566">
        <v>0</v>
      </c>
      <c r="AF144" s="566">
        <v>10504.75</v>
      </c>
      <c r="AG144" s="566">
        <v>0</v>
      </c>
      <c r="AH144" s="566">
        <v>0</v>
      </c>
      <c r="AI144" s="566">
        <v>3029.81</v>
      </c>
      <c r="AJ144" s="566">
        <v>0</v>
      </c>
      <c r="AK144" s="566">
        <v>3029.81</v>
      </c>
      <c r="AL144" s="566">
        <v>0</v>
      </c>
      <c r="AM144" s="566">
        <v>28705.810000000005</v>
      </c>
      <c r="AN144" s="566">
        <v>7474.9400000000023</v>
      </c>
      <c r="AO144" s="566">
        <v>0</v>
      </c>
      <c r="AP144" s="566">
        <v>10504.75</v>
      </c>
      <c r="AQ144" s="566">
        <v>7474.9400000000023</v>
      </c>
      <c r="AS144" s="566">
        <v>7474.9400000000023</v>
      </c>
      <c r="AW144" s="566">
        <v>12141.44</v>
      </c>
      <c r="AX144" s="566">
        <v>0</v>
      </c>
      <c r="AY144" s="566">
        <v>0</v>
      </c>
      <c r="AZ144" s="566">
        <v>3029.81</v>
      </c>
      <c r="BA144" s="566">
        <v>0</v>
      </c>
      <c r="BB144" s="566">
        <v>0</v>
      </c>
      <c r="BC144" s="566">
        <v>3029.81</v>
      </c>
      <c r="BD144" s="566">
        <v>0</v>
      </c>
      <c r="BE144" s="566">
        <v>3029.81</v>
      </c>
      <c r="BF144" s="566">
        <v>0</v>
      </c>
      <c r="BG144" s="566">
        <v>21230.870000000003</v>
      </c>
      <c r="BJ144" s="566">
        <v>12141.44</v>
      </c>
      <c r="BK144" s="566">
        <v>0</v>
      </c>
      <c r="BL144" s="566">
        <v>0</v>
      </c>
      <c r="BM144" s="566">
        <v>3029.81</v>
      </c>
      <c r="BN144" s="566">
        <v>0</v>
      </c>
      <c r="BO144" s="566">
        <v>0</v>
      </c>
      <c r="BP144" s="566">
        <v>3029.81</v>
      </c>
      <c r="BQ144" s="566">
        <v>0</v>
      </c>
      <c r="BR144" s="566">
        <v>3029.81</v>
      </c>
      <c r="BS144" s="566">
        <v>0</v>
      </c>
      <c r="BT144" s="566">
        <v>21230.870000000003</v>
      </c>
    </row>
    <row r="145" spans="1:72" s="566" customFormat="1">
      <c r="A145" s="566" t="s">
        <v>2096</v>
      </c>
      <c r="B145" s="566" t="s">
        <v>2950</v>
      </c>
      <c r="C145" s="566" t="s">
        <v>569</v>
      </c>
      <c r="D145" s="566" t="s">
        <v>2097</v>
      </c>
      <c r="E145" s="566" t="s">
        <v>1136</v>
      </c>
      <c r="F145" s="566" t="s">
        <v>1566</v>
      </c>
      <c r="G145" s="566" t="s">
        <v>1566</v>
      </c>
      <c r="H145" s="566" t="s">
        <v>1566</v>
      </c>
      <c r="I145" s="566" t="s">
        <v>1567</v>
      </c>
      <c r="J145" s="566" t="s">
        <v>1567</v>
      </c>
      <c r="K145" s="566" t="s">
        <v>1567</v>
      </c>
      <c r="L145" s="566" t="s">
        <v>389</v>
      </c>
      <c r="M145" s="566" t="s">
        <v>1174</v>
      </c>
      <c r="P145" s="566" t="s">
        <v>56</v>
      </c>
      <c r="R145" s="566" t="s">
        <v>1140</v>
      </c>
      <c r="T145" s="566" t="s">
        <v>57</v>
      </c>
      <c r="W145" s="566">
        <v>42000</v>
      </c>
      <c r="X145" s="566">
        <v>36969.919999999998</v>
      </c>
      <c r="AA145" s="566">
        <v>1654.46</v>
      </c>
      <c r="AB145" s="566">
        <v>2175.66</v>
      </c>
      <c r="AC145" s="566">
        <v>1639.8</v>
      </c>
      <c r="AD145" s="566">
        <v>3229.0899999999997</v>
      </c>
      <c r="AE145" s="566">
        <v>4136.0599999999995</v>
      </c>
      <c r="AF145" s="566">
        <v>4975.22</v>
      </c>
      <c r="AG145" s="566">
        <v>3500</v>
      </c>
      <c r="AH145" s="566">
        <v>3500</v>
      </c>
      <c r="AI145" s="566">
        <v>3500</v>
      </c>
      <c r="AJ145" s="566">
        <v>3500</v>
      </c>
      <c r="AK145" s="566">
        <v>3500</v>
      </c>
      <c r="AL145" s="566">
        <v>3500</v>
      </c>
      <c r="AM145" s="566">
        <v>38810.29</v>
      </c>
      <c r="AN145" s="566">
        <v>1840.3700000000026</v>
      </c>
      <c r="AO145" s="566">
        <v>3500</v>
      </c>
      <c r="AP145" s="566">
        <v>1475.2200000000003</v>
      </c>
      <c r="AQ145" s="566">
        <v>1840.3700000000008</v>
      </c>
      <c r="AS145" s="566">
        <v>1840.3700000000026</v>
      </c>
      <c r="AU145" s="566">
        <v>1654.46</v>
      </c>
      <c r="AV145" s="566">
        <v>2175.66</v>
      </c>
      <c r="AW145" s="566">
        <v>1639.8</v>
      </c>
      <c r="AX145" s="566">
        <v>3500</v>
      </c>
      <c r="AY145" s="566">
        <v>3500</v>
      </c>
      <c r="AZ145" s="566">
        <v>3500</v>
      </c>
      <c r="BA145" s="566">
        <v>3500</v>
      </c>
      <c r="BB145" s="566">
        <v>3500</v>
      </c>
      <c r="BC145" s="566">
        <v>3500</v>
      </c>
      <c r="BD145" s="566">
        <v>3500</v>
      </c>
      <c r="BE145" s="566">
        <v>3500</v>
      </c>
      <c r="BF145" s="566">
        <v>3500</v>
      </c>
      <c r="BG145" s="566">
        <v>36969.919999999998</v>
      </c>
      <c r="BH145" s="566">
        <v>1654.46</v>
      </c>
      <c r="BI145" s="566">
        <v>2175.66</v>
      </c>
      <c r="BJ145" s="566">
        <v>1639.8</v>
      </c>
      <c r="BK145" s="566">
        <v>3500</v>
      </c>
      <c r="BL145" s="566">
        <v>3500</v>
      </c>
      <c r="BM145" s="566">
        <v>3500</v>
      </c>
      <c r="BN145" s="566">
        <v>3500</v>
      </c>
      <c r="BO145" s="566">
        <v>3500</v>
      </c>
      <c r="BP145" s="566">
        <v>3500</v>
      </c>
      <c r="BQ145" s="566">
        <v>3500</v>
      </c>
      <c r="BR145" s="566">
        <v>3500</v>
      </c>
      <c r="BS145" s="566">
        <v>3500</v>
      </c>
      <c r="BT145" s="566">
        <v>36969.919999999998</v>
      </c>
    </row>
    <row r="146" spans="1:72" s="566" customFormat="1">
      <c r="A146" s="566" t="s">
        <v>2725</v>
      </c>
      <c r="B146" s="566" t="s">
        <v>2950</v>
      </c>
      <c r="C146" s="566" t="s">
        <v>973</v>
      </c>
      <c r="D146" s="566" t="s">
        <v>973</v>
      </c>
      <c r="E146" s="566" t="s">
        <v>1136</v>
      </c>
      <c r="F146" s="566" t="s">
        <v>1566</v>
      </c>
      <c r="G146" s="566" t="s">
        <v>1480</v>
      </c>
      <c r="H146" s="566" t="s">
        <v>1480</v>
      </c>
      <c r="I146" s="566" t="s">
        <v>1345</v>
      </c>
      <c r="J146" s="566" t="s">
        <v>1480</v>
      </c>
      <c r="K146" s="566" t="s">
        <v>1346</v>
      </c>
      <c r="L146" s="566" t="s">
        <v>639</v>
      </c>
      <c r="M146" s="566" t="s">
        <v>818</v>
      </c>
      <c r="P146" s="566" t="s">
        <v>817</v>
      </c>
      <c r="R146" s="566" t="s">
        <v>1140</v>
      </c>
      <c r="T146" s="566" t="s">
        <v>818</v>
      </c>
      <c r="W146" s="566">
        <v>30000</v>
      </c>
      <c r="X146" s="566">
        <v>33718.54</v>
      </c>
      <c r="AC146" s="566">
        <v>11218.54</v>
      </c>
      <c r="AD146" s="566">
        <v>0</v>
      </c>
      <c r="AE146" s="566">
        <v>0</v>
      </c>
      <c r="AF146" s="566">
        <v>15527.55</v>
      </c>
      <c r="AG146" s="566">
        <v>0</v>
      </c>
      <c r="AH146" s="566">
        <v>0</v>
      </c>
      <c r="AI146" s="566">
        <v>7500</v>
      </c>
      <c r="AJ146" s="566">
        <v>0</v>
      </c>
      <c r="AK146" s="566">
        <v>7500</v>
      </c>
      <c r="AL146" s="566">
        <v>0</v>
      </c>
      <c r="AM146" s="566">
        <v>41746.089999999997</v>
      </c>
      <c r="AN146" s="566">
        <v>8027.5499999999956</v>
      </c>
      <c r="AO146" s="566">
        <v>0</v>
      </c>
      <c r="AP146" s="566">
        <v>15527.55</v>
      </c>
      <c r="AQ146" s="566">
        <v>8027.5499999999993</v>
      </c>
      <c r="AS146" s="566">
        <v>8027.5499999999956</v>
      </c>
      <c r="AW146" s="566">
        <v>11218.54</v>
      </c>
      <c r="AX146" s="566">
        <v>0</v>
      </c>
      <c r="AY146" s="566">
        <v>0</v>
      </c>
      <c r="AZ146" s="566">
        <v>7500</v>
      </c>
      <c r="BA146" s="566">
        <v>0</v>
      </c>
      <c r="BB146" s="566">
        <v>0</v>
      </c>
      <c r="BC146" s="566">
        <v>7500</v>
      </c>
      <c r="BD146" s="566">
        <v>0</v>
      </c>
      <c r="BE146" s="566">
        <v>7500</v>
      </c>
      <c r="BF146" s="566">
        <v>0</v>
      </c>
      <c r="BG146" s="566">
        <v>33718.54</v>
      </c>
      <c r="BJ146" s="566">
        <v>11218.54</v>
      </c>
      <c r="BK146" s="566">
        <v>0</v>
      </c>
      <c r="BL146" s="566">
        <v>0</v>
      </c>
      <c r="BM146" s="566">
        <v>7500</v>
      </c>
      <c r="BN146" s="566">
        <v>0</v>
      </c>
      <c r="BO146" s="566">
        <v>0</v>
      </c>
      <c r="BP146" s="566">
        <v>7500</v>
      </c>
      <c r="BQ146" s="566">
        <v>0</v>
      </c>
      <c r="BR146" s="566">
        <v>7500</v>
      </c>
      <c r="BS146" s="566">
        <v>0</v>
      </c>
      <c r="BT146" s="566">
        <v>33718.54</v>
      </c>
    </row>
    <row r="147" spans="1:72" s="566" customFormat="1">
      <c r="A147" s="566" t="s">
        <v>2261</v>
      </c>
      <c r="B147" s="566" t="s">
        <v>2950</v>
      </c>
      <c r="C147" s="566" t="s">
        <v>669</v>
      </c>
      <c r="D147" s="566" t="s">
        <v>2262</v>
      </c>
      <c r="E147" s="566" t="s">
        <v>1136</v>
      </c>
      <c r="F147" s="566" t="s">
        <v>1566</v>
      </c>
      <c r="G147" s="566" t="s">
        <v>1135</v>
      </c>
      <c r="H147" s="566" t="s">
        <v>1145</v>
      </c>
      <c r="I147" s="566" t="s">
        <v>1135</v>
      </c>
      <c r="J147" s="566" t="s">
        <v>1145</v>
      </c>
      <c r="K147" s="566" t="s">
        <v>1137</v>
      </c>
      <c r="L147" s="566" t="s">
        <v>639</v>
      </c>
      <c r="M147" s="566" t="s">
        <v>1174</v>
      </c>
      <c r="P147" s="566" t="s">
        <v>56</v>
      </c>
      <c r="R147" s="566" t="s">
        <v>1140</v>
      </c>
      <c r="T147" s="566" t="s">
        <v>57</v>
      </c>
      <c r="W147" s="566">
        <v>48000</v>
      </c>
      <c r="X147" s="566">
        <v>47938.130000000005</v>
      </c>
      <c r="AA147" s="566">
        <v>4052.17</v>
      </c>
      <c r="AB147" s="566">
        <v>3772.71</v>
      </c>
      <c r="AC147" s="566">
        <v>4113.25</v>
      </c>
      <c r="AD147" s="566">
        <v>3493.25</v>
      </c>
      <c r="AE147" s="566">
        <v>3493.25</v>
      </c>
      <c r="AF147" s="566">
        <v>3493.25</v>
      </c>
      <c r="AG147" s="566">
        <v>4000</v>
      </c>
      <c r="AH147" s="566">
        <v>4000</v>
      </c>
      <c r="AI147" s="566">
        <v>4000</v>
      </c>
      <c r="AJ147" s="566">
        <v>4000</v>
      </c>
      <c r="AK147" s="566">
        <v>4000</v>
      </c>
      <c r="AL147" s="566">
        <v>4000</v>
      </c>
      <c r="AM147" s="566">
        <v>46417.880000000005</v>
      </c>
      <c r="AN147" s="566">
        <v>-1520.25</v>
      </c>
      <c r="AO147" s="566">
        <v>4000</v>
      </c>
      <c r="AP147" s="566">
        <v>-506.75</v>
      </c>
      <c r="AQ147" s="566">
        <v>-1520.25</v>
      </c>
      <c r="AS147" s="566">
        <v>-1520.25</v>
      </c>
      <c r="AU147" s="566">
        <v>4052.17</v>
      </c>
      <c r="AV147" s="566">
        <v>3772.71</v>
      </c>
      <c r="AW147" s="566">
        <v>4113.25</v>
      </c>
      <c r="AX147" s="566">
        <v>4000</v>
      </c>
      <c r="AY147" s="566">
        <v>4000</v>
      </c>
      <c r="AZ147" s="566">
        <v>4000</v>
      </c>
      <c r="BA147" s="566">
        <v>4000</v>
      </c>
      <c r="BB147" s="566">
        <v>4000</v>
      </c>
      <c r="BC147" s="566">
        <v>4000</v>
      </c>
      <c r="BD147" s="566">
        <v>4000</v>
      </c>
      <c r="BE147" s="566">
        <v>4000</v>
      </c>
      <c r="BF147" s="566">
        <v>4000</v>
      </c>
      <c r="BG147" s="566">
        <v>47938.130000000005</v>
      </c>
      <c r="BH147" s="566">
        <v>4052.17</v>
      </c>
      <c r="BI147" s="566">
        <v>3772.71</v>
      </c>
      <c r="BJ147" s="566">
        <v>4113.25</v>
      </c>
      <c r="BK147" s="566">
        <v>4000</v>
      </c>
      <c r="BL147" s="566">
        <v>4000</v>
      </c>
      <c r="BM147" s="566">
        <v>4000</v>
      </c>
      <c r="BN147" s="566">
        <v>4000</v>
      </c>
      <c r="BO147" s="566">
        <v>4000</v>
      </c>
      <c r="BP147" s="566">
        <v>4000</v>
      </c>
      <c r="BQ147" s="566">
        <v>4000</v>
      </c>
      <c r="BR147" s="566">
        <v>4000</v>
      </c>
      <c r="BS147" s="566">
        <v>4000</v>
      </c>
      <c r="BT147" s="566">
        <v>47938.130000000005</v>
      </c>
    </row>
    <row r="148" spans="1:72" s="566" customFormat="1">
      <c r="A148" s="566" t="s">
        <v>1864</v>
      </c>
      <c r="B148" s="566" t="s">
        <v>2950</v>
      </c>
      <c r="C148" s="566" t="s">
        <v>452</v>
      </c>
      <c r="D148" s="566" t="s">
        <v>452</v>
      </c>
      <c r="E148" s="566" t="s">
        <v>1136</v>
      </c>
      <c r="F148" s="566" t="s">
        <v>1566</v>
      </c>
      <c r="G148" s="566" t="s">
        <v>1135</v>
      </c>
      <c r="H148" s="566" t="s">
        <v>1135</v>
      </c>
      <c r="I148" s="566" t="s">
        <v>1135</v>
      </c>
      <c r="J148" s="566" t="s">
        <v>1135</v>
      </c>
      <c r="K148" s="566" t="s">
        <v>1137</v>
      </c>
      <c r="L148" s="566" t="s">
        <v>389</v>
      </c>
      <c r="M148" s="566" t="s">
        <v>1863</v>
      </c>
      <c r="P148" s="566" t="s">
        <v>453</v>
      </c>
      <c r="T148" s="566" t="s">
        <v>57</v>
      </c>
      <c r="W148" s="566">
        <v>60000</v>
      </c>
      <c r="X148" s="566">
        <v>58916.17</v>
      </c>
      <c r="AA148" s="566">
        <v>5046.78</v>
      </c>
      <c r="AB148" s="566">
        <v>4733.08</v>
      </c>
      <c r="AC148" s="566">
        <v>4136.3100000000004</v>
      </c>
      <c r="AD148" s="566">
        <v>1611.3500000000001</v>
      </c>
      <c r="AE148" s="566">
        <v>1548.42</v>
      </c>
      <c r="AF148" s="566">
        <v>448.77000000000004</v>
      </c>
      <c r="AG148" s="566">
        <v>5000</v>
      </c>
      <c r="AH148" s="566">
        <v>5000</v>
      </c>
      <c r="AI148" s="566">
        <v>5000</v>
      </c>
      <c r="AJ148" s="566">
        <v>5000</v>
      </c>
      <c r="AK148" s="566">
        <v>5000</v>
      </c>
      <c r="AL148" s="566">
        <v>5000</v>
      </c>
      <c r="AM148" s="566">
        <v>47524.710000000006</v>
      </c>
      <c r="AN148" s="566">
        <v>-11391.459999999992</v>
      </c>
      <c r="AO148" s="566">
        <v>5000</v>
      </c>
      <c r="AP148" s="566">
        <v>-4551.2299999999996</v>
      </c>
      <c r="AQ148" s="566">
        <v>-11391.46</v>
      </c>
      <c r="AS148" s="566">
        <v>-11391.459999999992</v>
      </c>
      <c r="AU148" s="566">
        <v>5046.78</v>
      </c>
      <c r="AV148" s="566">
        <v>4733.08</v>
      </c>
      <c r="AW148" s="566">
        <v>4136.3100000000004</v>
      </c>
      <c r="AX148" s="566">
        <v>5000</v>
      </c>
      <c r="AY148" s="566">
        <v>5000</v>
      </c>
      <c r="AZ148" s="566">
        <v>5000</v>
      </c>
      <c r="BA148" s="566">
        <v>5000</v>
      </c>
      <c r="BB148" s="566">
        <v>5000</v>
      </c>
      <c r="BC148" s="566">
        <v>5000</v>
      </c>
      <c r="BD148" s="566">
        <v>5000</v>
      </c>
      <c r="BE148" s="566">
        <v>5000</v>
      </c>
      <c r="BF148" s="566">
        <v>5000</v>
      </c>
      <c r="BG148" s="566">
        <v>58916.17</v>
      </c>
      <c r="BH148" s="566">
        <v>5046.78</v>
      </c>
      <c r="BI148" s="566">
        <v>4733.08</v>
      </c>
      <c r="BJ148" s="566">
        <v>4136.3100000000004</v>
      </c>
      <c r="BK148" s="566">
        <v>5000</v>
      </c>
      <c r="BL148" s="566">
        <v>5000</v>
      </c>
      <c r="BM148" s="566">
        <v>5000</v>
      </c>
      <c r="BN148" s="566">
        <v>5000</v>
      </c>
      <c r="BO148" s="566">
        <v>5000</v>
      </c>
      <c r="BP148" s="566">
        <v>5000</v>
      </c>
      <c r="BQ148" s="566">
        <v>5000</v>
      </c>
      <c r="BR148" s="566">
        <v>5000</v>
      </c>
      <c r="BS148" s="566">
        <v>5000</v>
      </c>
      <c r="BT148" s="566">
        <v>58916.17</v>
      </c>
    </row>
    <row r="149" spans="1:72" s="566" customFormat="1">
      <c r="A149" s="566" t="s">
        <v>2831</v>
      </c>
      <c r="B149" s="566" t="s">
        <v>2950</v>
      </c>
      <c r="C149" s="566" t="s">
        <v>1028</v>
      </c>
      <c r="D149" s="566" t="s">
        <v>2832</v>
      </c>
      <c r="E149" s="566" t="s">
        <v>1136</v>
      </c>
      <c r="F149" s="566" t="s">
        <v>1566</v>
      </c>
      <c r="G149" s="566" t="s">
        <v>1135</v>
      </c>
      <c r="H149" s="566" t="s">
        <v>1135</v>
      </c>
      <c r="I149" s="566" t="s">
        <v>1135</v>
      </c>
      <c r="J149" s="566" t="s">
        <v>1137</v>
      </c>
      <c r="K149" s="566" t="s">
        <v>1137</v>
      </c>
      <c r="L149" s="566" t="s">
        <v>1027</v>
      </c>
      <c r="M149" s="566" t="s">
        <v>2830</v>
      </c>
      <c r="P149" s="566" t="s">
        <v>1029</v>
      </c>
      <c r="T149" s="566" t="s">
        <v>25</v>
      </c>
      <c r="U149" s="566" t="s">
        <v>1141</v>
      </c>
      <c r="W149" s="566">
        <v>78300</v>
      </c>
      <c r="X149" s="566">
        <v>62093.21</v>
      </c>
      <c r="AA149" s="566">
        <v>350.82</v>
      </c>
      <c r="AB149" s="566">
        <v>683.3</v>
      </c>
      <c r="AC149" s="566">
        <v>1259.0899999999999</v>
      </c>
      <c r="AD149" s="566">
        <v>404.51000000000005</v>
      </c>
      <c r="AE149" s="566">
        <v>2183.5099999999993</v>
      </c>
      <c r="AF149" s="566">
        <v>2294.7200000000003</v>
      </c>
      <c r="AG149" s="566">
        <v>6500</v>
      </c>
      <c r="AH149" s="566">
        <v>6500</v>
      </c>
      <c r="AI149" s="566">
        <v>6900</v>
      </c>
      <c r="AJ149" s="566">
        <v>6900</v>
      </c>
      <c r="AK149" s="566">
        <v>6900</v>
      </c>
      <c r="AL149" s="566">
        <v>6900</v>
      </c>
      <c r="AM149" s="566">
        <v>47775.95</v>
      </c>
      <c r="AN149" s="566">
        <v>-14317.260000000002</v>
      </c>
      <c r="AO149" s="566">
        <v>6400</v>
      </c>
      <c r="AP149" s="566">
        <v>-4105.28</v>
      </c>
      <c r="AQ149" s="566">
        <v>-14317.259999999998</v>
      </c>
      <c r="AS149" s="566">
        <v>-14317.260000000002</v>
      </c>
      <c r="AU149" s="566">
        <v>350.82</v>
      </c>
      <c r="AV149" s="566">
        <v>683.3</v>
      </c>
      <c r="AW149" s="566">
        <v>1259.0899999999999</v>
      </c>
      <c r="AX149" s="566">
        <v>6400</v>
      </c>
      <c r="AY149" s="566">
        <v>6400</v>
      </c>
      <c r="AZ149" s="566">
        <v>6400</v>
      </c>
      <c r="BA149" s="566">
        <v>6500</v>
      </c>
      <c r="BB149" s="566">
        <v>6500</v>
      </c>
      <c r="BC149" s="566">
        <v>6900</v>
      </c>
      <c r="BD149" s="566">
        <v>6900</v>
      </c>
      <c r="BE149" s="566">
        <v>6900</v>
      </c>
      <c r="BF149" s="566">
        <v>6900</v>
      </c>
      <c r="BG149" s="566">
        <v>62093.21</v>
      </c>
      <c r="BH149" s="566">
        <v>350.82</v>
      </c>
      <c r="BI149" s="566">
        <v>683.3</v>
      </c>
      <c r="BJ149" s="566">
        <v>1259.0899999999999</v>
      </c>
      <c r="BK149" s="566">
        <v>6400</v>
      </c>
      <c r="BL149" s="566">
        <v>6400</v>
      </c>
      <c r="BM149" s="566">
        <v>6400</v>
      </c>
      <c r="BN149" s="566">
        <v>6500</v>
      </c>
      <c r="BO149" s="566">
        <v>6500</v>
      </c>
      <c r="BP149" s="566">
        <v>6900</v>
      </c>
      <c r="BQ149" s="566">
        <v>6900</v>
      </c>
      <c r="BR149" s="566">
        <v>6900</v>
      </c>
      <c r="BS149" s="566">
        <v>6900</v>
      </c>
      <c r="BT149" s="566">
        <v>62093.21</v>
      </c>
    </row>
    <row r="150" spans="1:72" s="566" customFormat="1">
      <c r="A150" s="566" t="s">
        <v>1790</v>
      </c>
      <c r="B150" s="566" t="s">
        <v>2950</v>
      </c>
      <c r="C150" s="566" t="s">
        <v>417</v>
      </c>
      <c r="D150" s="566" t="s">
        <v>417</v>
      </c>
      <c r="E150" s="566" t="s">
        <v>1136</v>
      </c>
      <c r="F150" s="566" t="s">
        <v>1566</v>
      </c>
      <c r="G150" s="566" t="s">
        <v>1135</v>
      </c>
      <c r="H150" s="566" t="s">
        <v>1135</v>
      </c>
      <c r="I150" s="566" t="s">
        <v>1135</v>
      </c>
      <c r="J150" s="566" t="s">
        <v>1135</v>
      </c>
      <c r="K150" s="566" t="s">
        <v>1137</v>
      </c>
      <c r="L150" s="566" t="s">
        <v>389</v>
      </c>
      <c r="M150" s="566" t="s">
        <v>1174</v>
      </c>
      <c r="P150" s="566" t="s">
        <v>56</v>
      </c>
      <c r="Q150" s="566" t="s">
        <v>1139</v>
      </c>
      <c r="R150" s="566" t="s">
        <v>1140</v>
      </c>
      <c r="T150" s="566" t="s">
        <v>57</v>
      </c>
      <c r="W150" s="566">
        <v>48000</v>
      </c>
      <c r="X150" s="566">
        <v>49773.74</v>
      </c>
      <c r="AA150" s="566">
        <v>4838.91</v>
      </c>
      <c r="AB150" s="566">
        <v>4409.8999999999996</v>
      </c>
      <c r="AC150" s="566">
        <v>4524.93</v>
      </c>
      <c r="AD150" s="566">
        <v>3908.87</v>
      </c>
      <c r="AE150" s="566">
        <v>4454.8399999999992</v>
      </c>
      <c r="AF150" s="566">
        <v>4602.9500000000007</v>
      </c>
      <c r="AG150" s="566">
        <v>4000</v>
      </c>
      <c r="AH150" s="566">
        <v>4000</v>
      </c>
      <c r="AI150" s="566">
        <v>4000</v>
      </c>
      <c r="AJ150" s="566">
        <v>4000</v>
      </c>
      <c r="AK150" s="566">
        <v>4000</v>
      </c>
      <c r="AL150" s="566">
        <v>4000</v>
      </c>
      <c r="AM150" s="566">
        <v>50740.4</v>
      </c>
      <c r="AN150" s="566">
        <v>966.66000000000349</v>
      </c>
      <c r="AO150" s="566">
        <v>4000</v>
      </c>
      <c r="AP150" s="566">
        <v>602.95000000000073</v>
      </c>
      <c r="AQ150" s="566">
        <v>966.66000000000349</v>
      </c>
      <c r="AS150" s="566">
        <v>966.66000000000349</v>
      </c>
      <c r="AU150" s="566">
        <v>4838.91</v>
      </c>
      <c r="AV150" s="566">
        <v>4409.8999999999996</v>
      </c>
      <c r="AW150" s="566">
        <v>4524.93</v>
      </c>
      <c r="AX150" s="566">
        <v>4000</v>
      </c>
      <c r="AY150" s="566">
        <v>4000</v>
      </c>
      <c r="AZ150" s="566">
        <v>4000</v>
      </c>
      <c r="BA150" s="566">
        <v>4000</v>
      </c>
      <c r="BB150" s="566">
        <v>4000</v>
      </c>
      <c r="BC150" s="566">
        <v>4000</v>
      </c>
      <c r="BD150" s="566">
        <v>4000</v>
      </c>
      <c r="BE150" s="566">
        <v>4000</v>
      </c>
      <c r="BF150" s="566">
        <v>4000</v>
      </c>
      <c r="BG150" s="566">
        <v>49773.74</v>
      </c>
      <c r="BH150" s="566">
        <v>4838.91</v>
      </c>
      <c r="BI150" s="566">
        <v>4409.8999999999996</v>
      </c>
      <c r="BJ150" s="566">
        <v>4524.93</v>
      </c>
      <c r="BK150" s="566">
        <v>4000</v>
      </c>
      <c r="BL150" s="566">
        <v>4000</v>
      </c>
      <c r="BM150" s="566">
        <v>4000</v>
      </c>
      <c r="BN150" s="566">
        <v>4000</v>
      </c>
      <c r="BO150" s="566">
        <v>4000</v>
      </c>
      <c r="BP150" s="566">
        <v>4000</v>
      </c>
      <c r="BQ150" s="566">
        <v>4000</v>
      </c>
      <c r="BR150" s="566">
        <v>4000</v>
      </c>
      <c r="BS150" s="566">
        <v>4000</v>
      </c>
      <c r="BT150" s="566">
        <v>49773.74</v>
      </c>
    </row>
    <row r="151" spans="1:72" s="566" customFormat="1">
      <c r="A151" s="566" t="s">
        <v>2012</v>
      </c>
      <c r="B151" s="566" t="s">
        <v>2950</v>
      </c>
      <c r="C151" s="566" t="s">
        <v>524</v>
      </c>
      <c r="D151" s="566" t="s">
        <v>2013</v>
      </c>
      <c r="E151" s="566" t="s">
        <v>1136</v>
      </c>
      <c r="F151" s="566" t="s">
        <v>1566</v>
      </c>
      <c r="G151" s="566" t="s">
        <v>1345</v>
      </c>
      <c r="H151" s="566" t="s">
        <v>1437</v>
      </c>
      <c r="I151" s="566" t="s">
        <v>1345</v>
      </c>
      <c r="J151" s="566" t="s">
        <v>1437</v>
      </c>
      <c r="K151" s="566" t="s">
        <v>1346</v>
      </c>
      <c r="L151" s="566" t="s">
        <v>389</v>
      </c>
      <c r="M151" s="566" t="s">
        <v>1174</v>
      </c>
      <c r="P151" s="566" t="s">
        <v>56</v>
      </c>
      <c r="R151" s="566" t="s">
        <v>1140</v>
      </c>
      <c r="T151" s="566" t="s">
        <v>57</v>
      </c>
      <c r="W151" s="566">
        <v>68292</v>
      </c>
      <c r="X151" s="566">
        <v>61982.03</v>
      </c>
      <c r="AA151" s="566">
        <v>3349.03</v>
      </c>
      <c r="AB151" s="566">
        <v>3352.38</v>
      </c>
      <c r="AC151" s="566">
        <v>4061.62</v>
      </c>
      <c r="AD151" s="566">
        <v>3971.33</v>
      </c>
      <c r="AE151" s="566">
        <v>5537.35</v>
      </c>
      <c r="AF151" s="566">
        <v>4773.54</v>
      </c>
      <c r="AG151" s="566">
        <v>5691</v>
      </c>
      <c r="AH151" s="566">
        <v>5691</v>
      </c>
      <c r="AI151" s="566">
        <v>5691</v>
      </c>
      <c r="AJ151" s="566">
        <v>5691</v>
      </c>
      <c r="AK151" s="566">
        <v>5691</v>
      </c>
      <c r="AL151" s="566">
        <v>5691</v>
      </c>
      <c r="AM151" s="566">
        <v>59191.25</v>
      </c>
      <c r="AN151" s="566">
        <v>-2790.7799999999988</v>
      </c>
      <c r="AO151" s="566">
        <v>5691</v>
      </c>
      <c r="AP151" s="566">
        <v>-917.46</v>
      </c>
      <c r="AQ151" s="566">
        <v>-2790.7799999999988</v>
      </c>
      <c r="AS151" s="566">
        <v>-2790.7799999999988</v>
      </c>
      <c r="AU151" s="566">
        <v>3349.03</v>
      </c>
      <c r="AV151" s="566">
        <v>3352.38</v>
      </c>
      <c r="AW151" s="566">
        <v>4061.62</v>
      </c>
      <c r="AX151" s="566">
        <v>5691</v>
      </c>
      <c r="AY151" s="566">
        <v>5691</v>
      </c>
      <c r="AZ151" s="566">
        <v>5691</v>
      </c>
      <c r="BA151" s="566">
        <v>5691</v>
      </c>
      <c r="BB151" s="566">
        <v>5691</v>
      </c>
      <c r="BC151" s="566">
        <v>5691</v>
      </c>
      <c r="BD151" s="566">
        <v>5691</v>
      </c>
      <c r="BE151" s="566">
        <v>5691</v>
      </c>
      <c r="BF151" s="566">
        <v>5691</v>
      </c>
      <c r="BG151" s="566">
        <v>61982.03</v>
      </c>
      <c r="BH151" s="566">
        <v>3349.03</v>
      </c>
      <c r="BI151" s="566">
        <v>3352.38</v>
      </c>
      <c r="BJ151" s="566">
        <v>4061.62</v>
      </c>
      <c r="BK151" s="566">
        <v>5691</v>
      </c>
      <c r="BL151" s="566">
        <v>5691</v>
      </c>
      <c r="BM151" s="566">
        <v>5691</v>
      </c>
      <c r="BN151" s="566">
        <v>5691</v>
      </c>
      <c r="BO151" s="566">
        <v>5691</v>
      </c>
      <c r="BP151" s="566">
        <v>5691</v>
      </c>
      <c r="BQ151" s="566">
        <v>5691</v>
      </c>
      <c r="BR151" s="566">
        <v>5691</v>
      </c>
      <c r="BS151" s="566">
        <v>5691</v>
      </c>
      <c r="BT151" s="566">
        <v>61982.03</v>
      </c>
    </row>
    <row r="152" spans="1:72" s="566" customFormat="1">
      <c r="A152" s="566" t="s">
        <v>2788</v>
      </c>
      <c r="B152" s="566" t="s">
        <v>2950</v>
      </c>
      <c r="C152" s="566" t="s">
        <v>1004</v>
      </c>
      <c r="D152" s="566" t="s">
        <v>2789</v>
      </c>
      <c r="E152" s="566" t="s">
        <v>1136</v>
      </c>
      <c r="F152" s="566" t="s">
        <v>1566</v>
      </c>
      <c r="G152" s="566" t="s">
        <v>1566</v>
      </c>
      <c r="H152" s="566" t="s">
        <v>1566</v>
      </c>
      <c r="I152" s="566" t="s">
        <v>1345</v>
      </c>
      <c r="J152" s="566" t="s">
        <v>1346</v>
      </c>
      <c r="K152" s="566" t="s">
        <v>1346</v>
      </c>
      <c r="L152" s="566" t="s">
        <v>639</v>
      </c>
      <c r="M152" s="566" t="s">
        <v>2291</v>
      </c>
      <c r="P152" s="566" t="s">
        <v>679</v>
      </c>
      <c r="R152" s="566" t="s">
        <v>1140</v>
      </c>
      <c r="T152" s="566" t="s">
        <v>680</v>
      </c>
      <c r="W152" s="566">
        <v>36000</v>
      </c>
      <c r="X152" s="566">
        <v>46414.39</v>
      </c>
      <c r="AA152" s="566">
        <v>6465</v>
      </c>
      <c r="AB152" s="566">
        <v>5197.6400000000003</v>
      </c>
      <c r="AC152" s="566">
        <v>7751.75</v>
      </c>
      <c r="AD152" s="566">
        <v>17671</v>
      </c>
      <c r="AE152" s="566">
        <v>9482</v>
      </c>
      <c r="AF152" s="566">
        <v>14223</v>
      </c>
      <c r="AG152" s="566">
        <v>3000</v>
      </c>
      <c r="AH152" s="566">
        <v>3000</v>
      </c>
      <c r="AI152" s="566">
        <v>3000</v>
      </c>
      <c r="AJ152" s="566">
        <v>3000</v>
      </c>
      <c r="AK152" s="566">
        <v>3000</v>
      </c>
      <c r="AL152" s="566">
        <v>3000</v>
      </c>
      <c r="AM152" s="566">
        <v>78790.39</v>
      </c>
      <c r="AN152" s="566">
        <v>32376</v>
      </c>
      <c r="AO152" s="566">
        <v>3000</v>
      </c>
      <c r="AP152" s="566">
        <v>11223</v>
      </c>
      <c r="AQ152" s="566">
        <v>32376</v>
      </c>
      <c r="AS152" s="566">
        <v>32376</v>
      </c>
      <c r="AU152" s="566">
        <v>6465</v>
      </c>
      <c r="AV152" s="566">
        <v>5197.6400000000003</v>
      </c>
      <c r="AW152" s="566">
        <v>7751.75</v>
      </c>
      <c r="AX152" s="566">
        <v>3000</v>
      </c>
      <c r="AY152" s="566">
        <v>3000</v>
      </c>
      <c r="AZ152" s="566">
        <v>3000</v>
      </c>
      <c r="BA152" s="566">
        <v>3000</v>
      </c>
      <c r="BB152" s="566">
        <v>3000</v>
      </c>
      <c r="BC152" s="566">
        <v>3000</v>
      </c>
      <c r="BD152" s="566">
        <v>3000</v>
      </c>
      <c r="BE152" s="566">
        <v>3000</v>
      </c>
      <c r="BF152" s="566">
        <v>3000</v>
      </c>
      <c r="BG152" s="566">
        <v>46414.39</v>
      </c>
      <c r="BH152" s="566">
        <v>6465</v>
      </c>
      <c r="BI152" s="566">
        <v>5197.6400000000003</v>
      </c>
      <c r="BJ152" s="566">
        <v>7751.75</v>
      </c>
      <c r="BK152" s="566">
        <v>3000</v>
      </c>
      <c r="BL152" s="566">
        <v>3000</v>
      </c>
      <c r="BM152" s="566">
        <v>3000</v>
      </c>
      <c r="BN152" s="566">
        <v>3000</v>
      </c>
      <c r="BO152" s="566">
        <v>3000</v>
      </c>
      <c r="BP152" s="566">
        <v>3000</v>
      </c>
      <c r="BQ152" s="566">
        <v>3000</v>
      </c>
      <c r="BR152" s="566">
        <v>3000</v>
      </c>
      <c r="BS152" s="566">
        <v>3000</v>
      </c>
      <c r="BT152" s="566">
        <v>46414.39</v>
      </c>
    </row>
    <row r="153" spans="1:72" s="566" customFormat="1">
      <c r="A153" s="566" t="s">
        <v>1912</v>
      </c>
      <c r="B153" s="566" t="s">
        <v>2950</v>
      </c>
      <c r="C153" s="566" t="s">
        <v>465</v>
      </c>
      <c r="D153" s="566" t="s">
        <v>1913</v>
      </c>
      <c r="E153" s="566" t="s">
        <v>1136</v>
      </c>
      <c r="F153" s="566" t="s">
        <v>1566</v>
      </c>
      <c r="G153" s="566" t="s">
        <v>1135</v>
      </c>
      <c r="H153" s="566" t="s">
        <v>1165</v>
      </c>
      <c r="I153" s="566" t="s">
        <v>1135</v>
      </c>
      <c r="J153" s="566" t="s">
        <v>1165</v>
      </c>
      <c r="K153" s="566" t="s">
        <v>1137</v>
      </c>
      <c r="L153" s="566" t="s">
        <v>389</v>
      </c>
      <c r="M153" s="566" t="s">
        <v>1855</v>
      </c>
      <c r="P153" s="566" t="s">
        <v>466</v>
      </c>
      <c r="R153" s="566" t="s">
        <v>1140</v>
      </c>
      <c r="T153" s="566" t="s">
        <v>57</v>
      </c>
      <c r="W153" s="566">
        <v>120000</v>
      </c>
      <c r="X153" s="566">
        <v>114396</v>
      </c>
      <c r="AA153" s="566">
        <v>8661</v>
      </c>
      <c r="AB153" s="566">
        <v>6471</v>
      </c>
      <c r="AC153" s="566">
        <v>9264</v>
      </c>
      <c r="AD153" s="566">
        <v>5219</v>
      </c>
      <c r="AE153" s="566">
        <v>5092</v>
      </c>
      <c r="AF153" s="566">
        <v>6559</v>
      </c>
      <c r="AG153" s="566">
        <v>10000</v>
      </c>
      <c r="AH153" s="566">
        <v>10000</v>
      </c>
      <c r="AI153" s="566">
        <v>10000</v>
      </c>
      <c r="AJ153" s="566">
        <v>10000</v>
      </c>
      <c r="AK153" s="566">
        <v>10000</v>
      </c>
      <c r="AL153" s="566">
        <v>10000</v>
      </c>
      <c r="AM153" s="566">
        <v>101266</v>
      </c>
      <c r="AN153" s="566">
        <v>-13130</v>
      </c>
      <c r="AO153" s="566">
        <v>10000</v>
      </c>
      <c r="AP153" s="566">
        <v>-3441</v>
      </c>
      <c r="AQ153" s="566">
        <v>-13130</v>
      </c>
      <c r="AS153" s="566">
        <v>-13130</v>
      </c>
      <c r="AU153" s="566">
        <v>8661</v>
      </c>
      <c r="AV153" s="566">
        <v>6471</v>
      </c>
      <c r="AW153" s="566">
        <v>9264</v>
      </c>
      <c r="AX153" s="566">
        <v>10000</v>
      </c>
      <c r="AY153" s="566">
        <v>10000</v>
      </c>
      <c r="AZ153" s="566">
        <v>10000</v>
      </c>
      <c r="BA153" s="566">
        <v>10000</v>
      </c>
      <c r="BB153" s="566">
        <v>10000</v>
      </c>
      <c r="BC153" s="566">
        <v>10000</v>
      </c>
      <c r="BD153" s="566">
        <v>10000</v>
      </c>
      <c r="BE153" s="566">
        <v>10000</v>
      </c>
      <c r="BF153" s="566">
        <v>10000</v>
      </c>
      <c r="BG153" s="566">
        <v>114396</v>
      </c>
      <c r="BH153" s="566">
        <v>8661</v>
      </c>
      <c r="BI153" s="566">
        <v>6471</v>
      </c>
      <c r="BJ153" s="566">
        <v>9264</v>
      </c>
      <c r="BK153" s="566">
        <v>10000</v>
      </c>
      <c r="BL153" s="566">
        <v>10000</v>
      </c>
      <c r="BM153" s="566">
        <v>10000</v>
      </c>
      <c r="BN153" s="566">
        <v>10000</v>
      </c>
      <c r="BO153" s="566">
        <v>10000</v>
      </c>
      <c r="BP153" s="566">
        <v>10000</v>
      </c>
      <c r="BQ153" s="566">
        <v>10000</v>
      </c>
      <c r="BR153" s="566">
        <v>10000</v>
      </c>
      <c r="BS153" s="566">
        <v>10000</v>
      </c>
      <c r="BT153" s="566">
        <v>114396</v>
      </c>
    </row>
    <row r="154" spans="1:72" s="566" customFormat="1">
      <c r="A154" s="566" t="s">
        <v>2117</v>
      </c>
      <c r="B154" s="566" t="s">
        <v>2950</v>
      </c>
      <c r="C154" s="566" t="s">
        <v>581</v>
      </c>
      <c r="D154" s="566" t="s">
        <v>2118</v>
      </c>
      <c r="E154" s="566" t="s">
        <v>1136</v>
      </c>
      <c r="F154" s="566" t="s">
        <v>1566</v>
      </c>
      <c r="G154" s="566" t="s">
        <v>1566</v>
      </c>
      <c r="H154" s="566" t="s">
        <v>1566</v>
      </c>
      <c r="I154" s="566" t="s">
        <v>1345</v>
      </c>
      <c r="J154" s="566" t="s">
        <v>1346</v>
      </c>
      <c r="K154" s="566" t="s">
        <v>1346</v>
      </c>
      <c r="L154" s="566" t="s">
        <v>389</v>
      </c>
      <c r="M154" s="566" t="s">
        <v>1855</v>
      </c>
      <c r="P154" s="566" t="s">
        <v>466</v>
      </c>
      <c r="R154" s="566" t="s">
        <v>1140</v>
      </c>
      <c r="T154" s="566" t="s">
        <v>57</v>
      </c>
      <c r="W154" s="566">
        <v>60000</v>
      </c>
      <c r="X154" s="566">
        <v>76216.11</v>
      </c>
      <c r="AA154" s="566">
        <v>14407.17</v>
      </c>
      <c r="AB154" s="566">
        <v>13803.08</v>
      </c>
      <c r="AC154" s="566">
        <v>3005.86</v>
      </c>
      <c r="AD154" s="566">
        <v>15296.21</v>
      </c>
      <c r="AE154" s="566">
        <v>17035.269999999997</v>
      </c>
      <c r="AF154" s="566">
        <v>17290.900000000001</v>
      </c>
      <c r="AG154" s="566">
        <v>5000</v>
      </c>
      <c r="AH154" s="566">
        <v>5000</v>
      </c>
      <c r="AI154" s="566">
        <v>5000</v>
      </c>
      <c r="AJ154" s="566">
        <v>5000</v>
      </c>
      <c r="AK154" s="566">
        <v>5000</v>
      </c>
      <c r="AL154" s="566">
        <v>5000</v>
      </c>
      <c r="AM154" s="566">
        <v>110838.48999999999</v>
      </c>
      <c r="AN154" s="566">
        <v>34622.37999999999</v>
      </c>
      <c r="AO154" s="566">
        <v>5000</v>
      </c>
      <c r="AP154" s="566">
        <v>12290.900000000001</v>
      </c>
      <c r="AQ154" s="566">
        <v>34622.37999999999</v>
      </c>
      <c r="AS154" s="566">
        <v>34622.37999999999</v>
      </c>
      <c r="AU154" s="566">
        <v>14407.17</v>
      </c>
      <c r="AV154" s="566">
        <v>13803.08</v>
      </c>
      <c r="AW154" s="566">
        <v>3005.86</v>
      </c>
      <c r="AX154" s="566">
        <v>5000</v>
      </c>
      <c r="AY154" s="566">
        <v>5000</v>
      </c>
      <c r="AZ154" s="566">
        <v>5000</v>
      </c>
      <c r="BA154" s="566">
        <v>5000</v>
      </c>
      <c r="BB154" s="566">
        <v>5000</v>
      </c>
      <c r="BC154" s="566">
        <v>5000</v>
      </c>
      <c r="BD154" s="566">
        <v>5000</v>
      </c>
      <c r="BE154" s="566">
        <v>5000</v>
      </c>
      <c r="BF154" s="566">
        <v>5000</v>
      </c>
      <c r="BG154" s="566">
        <v>76216.11</v>
      </c>
      <c r="BH154" s="566">
        <v>14407.17</v>
      </c>
      <c r="BI154" s="566">
        <v>13803.08</v>
      </c>
      <c r="BJ154" s="566">
        <v>3005.86</v>
      </c>
      <c r="BK154" s="566">
        <v>5000</v>
      </c>
      <c r="BL154" s="566">
        <v>5000</v>
      </c>
      <c r="BM154" s="566">
        <v>5000</v>
      </c>
      <c r="BN154" s="566">
        <v>5000</v>
      </c>
      <c r="BO154" s="566">
        <v>5000</v>
      </c>
      <c r="BP154" s="566">
        <v>5000</v>
      </c>
      <c r="BQ154" s="566">
        <v>5000</v>
      </c>
      <c r="BR154" s="566">
        <v>5000</v>
      </c>
      <c r="BS154" s="566">
        <v>5000</v>
      </c>
      <c r="BT154" s="566">
        <v>76216.11</v>
      </c>
    </row>
    <row r="155" spans="1:72" s="566" customFormat="1">
      <c r="A155" s="566" t="s">
        <v>2840</v>
      </c>
      <c r="B155" s="566" t="s">
        <v>2950</v>
      </c>
      <c r="C155" s="566" t="s">
        <v>1034</v>
      </c>
      <c r="D155" s="566" t="s">
        <v>2841</v>
      </c>
      <c r="E155" s="566" t="s">
        <v>1136</v>
      </c>
      <c r="F155" s="566" t="s">
        <v>1566</v>
      </c>
      <c r="G155" s="566" t="s">
        <v>1566</v>
      </c>
      <c r="H155" s="566" t="s">
        <v>1566</v>
      </c>
      <c r="I155" s="566" t="s">
        <v>1345</v>
      </c>
      <c r="J155" s="566" t="s">
        <v>1346</v>
      </c>
      <c r="K155" s="566" t="s">
        <v>1346</v>
      </c>
      <c r="L155" s="566" t="s">
        <v>1027</v>
      </c>
      <c r="M155" s="566" t="s">
        <v>2830</v>
      </c>
      <c r="P155" s="566" t="s">
        <v>1029</v>
      </c>
      <c r="T155" s="566" t="s">
        <v>25</v>
      </c>
      <c r="W155" s="566">
        <v>157900</v>
      </c>
      <c r="X155" s="566">
        <v>130982.95</v>
      </c>
      <c r="AA155" s="566">
        <v>2896.56</v>
      </c>
      <c r="AB155" s="566">
        <v>3761.9</v>
      </c>
      <c r="AC155" s="566">
        <v>4324.49</v>
      </c>
      <c r="AD155" s="566">
        <v>5457.6899999999987</v>
      </c>
      <c r="AE155" s="566">
        <v>8526.0100000000039</v>
      </c>
      <c r="AF155" s="566">
        <v>5199.119999999999</v>
      </c>
      <c r="AG155" s="566">
        <v>13500</v>
      </c>
      <c r="AH155" s="566">
        <v>13700</v>
      </c>
      <c r="AI155" s="566">
        <v>13700</v>
      </c>
      <c r="AJ155" s="566">
        <v>13700</v>
      </c>
      <c r="AK155" s="566">
        <v>13800</v>
      </c>
      <c r="AL155" s="566">
        <v>13800</v>
      </c>
      <c r="AM155" s="566">
        <v>112365.77</v>
      </c>
      <c r="AN155" s="566">
        <v>-18617.179999999993</v>
      </c>
      <c r="AO155" s="566">
        <v>12300</v>
      </c>
      <c r="AP155" s="566">
        <v>-7100.880000000001</v>
      </c>
      <c r="AQ155" s="566">
        <v>-18617.179999999997</v>
      </c>
      <c r="AS155" s="566">
        <v>-18617.179999999993</v>
      </c>
      <c r="AU155" s="566">
        <v>2896.56</v>
      </c>
      <c r="AV155" s="566">
        <v>3761.9</v>
      </c>
      <c r="AW155" s="566">
        <v>4324.49</v>
      </c>
      <c r="AX155" s="566">
        <v>12300</v>
      </c>
      <c r="AY155" s="566">
        <v>12300</v>
      </c>
      <c r="AZ155" s="566">
        <v>13200</v>
      </c>
      <c r="BA155" s="566">
        <v>13500</v>
      </c>
      <c r="BB155" s="566">
        <v>13700</v>
      </c>
      <c r="BC155" s="566">
        <v>13700</v>
      </c>
      <c r="BD155" s="566">
        <v>13700</v>
      </c>
      <c r="BE155" s="566">
        <v>13800</v>
      </c>
      <c r="BF155" s="566">
        <v>13800</v>
      </c>
      <c r="BG155" s="566">
        <v>130982.95</v>
      </c>
      <c r="BH155" s="566">
        <v>2896.56</v>
      </c>
      <c r="BI155" s="566">
        <v>3761.9</v>
      </c>
      <c r="BJ155" s="566">
        <v>4324.49</v>
      </c>
      <c r="BK155" s="566">
        <v>12300</v>
      </c>
      <c r="BL155" s="566">
        <v>12300</v>
      </c>
      <c r="BM155" s="566">
        <v>13200</v>
      </c>
      <c r="BN155" s="566">
        <v>13500</v>
      </c>
      <c r="BO155" s="566">
        <v>13700</v>
      </c>
      <c r="BP155" s="566">
        <v>13700</v>
      </c>
      <c r="BQ155" s="566">
        <v>13700</v>
      </c>
      <c r="BR155" s="566">
        <v>13800</v>
      </c>
      <c r="BS155" s="566">
        <v>13800</v>
      </c>
      <c r="BT155" s="566">
        <v>130982.95</v>
      </c>
    </row>
    <row r="156" spans="1:72" s="566" customFormat="1">
      <c r="A156" s="566" t="s">
        <v>1282</v>
      </c>
      <c r="B156" s="566" t="s">
        <v>2950</v>
      </c>
      <c r="C156" s="566" t="s">
        <v>120</v>
      </c>
      <c r="D156" s="566" t="s">
        <v>1283</v>
      </c>
      <c r="E156" s="566" t="s">
        <v>1136</v>
      </c>
      <c r="F156" s="566" t="s">
        <v>1566</v>
      </c>
      <c r="G156" s="566" t="s">
        <v>1135</v>
      </c>
      <c r="H156" s="566" t="s">
        <v>1165</v>
      </c>
      <c r="I156" s="566" t="s">
        <v>1135</v>
      </c>
      <c r="J156" s="566" t="s">
        <v>1165</v>
      </c>
      <c r="K156" s="566" t="s">
        <v>1137</v>
      </c>
      <c r="L156" s="566" t="s">
        <v>49</v>
      </c>
      <c r="M156" s="566" t="s">
        <v>1281</v>
      </c>
      <c r="P156" s="566" t="s">
        <v>121</v>
      </c>
      <c r="T156" s="566" t="s">
        <v>122</v>
      </c>
      <c r="W156" s="566">
        <v>150000</v>
      </c>
      <c r="X156" s="566">
        <v>149999.65</v>
      </c>
      <c r="AC156" s="566">
        <v>36597.65</v>
      </c>
      <c r="AD156" s="566">
        <v>17284.68</v>
      </c>
      <c r="AE156" s="566">
        <v>12179.44</v>
      </c>
      <c r="AF156" s="566">
        <v>11999.990000000002</v>
      </c>
      <c r="AG156" s="566">
        <v>12000</v>
      </c>
      <c r="AH156" s="566">
        <v>12000</v>
      </c>
      <c r="AI156" s="566">
        <v>12000</v>
      </c>
      <c r="AJ156" s="566">
        <v>12000</v>
      </c>
      <c r="AK156" s="566">
        <v>12000</v>
      </c>
      <c r="AL156" s="566">
        <v>12000</v>
      </c>
      <c r="AM156" s="566">
        <v>150061.76000000001</v>
      </c>
      <c r="AN156" s="566">
        <v>62.110000000015134</v>
      </c>
      <c r="AO156" s="566">
        <v>12900</v>
      </c>
      <c r="AP156" s="566">
        <v>-900.0099999999984</v>
      </c>
      <c r="AQ156" s="566">
        <v>3062.1100000000151</v>
      </c>
      <c r="AS156" s="566">
        <v>62.110000000015134</v>
      </c>
      <c r="AW156" s="566">
        <v>36597.65</v>
      </c>
      <c r="AX156" s="566">
        <v>12900</v>
      </c>
      <c r="AY156" s="566">
        <v>12900</v>
      </c>
      <c r="AZ156" s="566">
        <v>12602</v>
      </c>
      <c r="BA156" s="566">
        <v>12500</v>
      </c>
      <c r="BB156" s="566">
        <v>12500</v>
      </c>
      <c r="BC156" s="566">
        <v>12500</v>
      </c>
      <c r="BD156" s="566">
        <v>12500</v>
      </c>
      <c r="BE156" s="566">
        <v>12500</v>
      </c>
      <c r="BF156" s="566">
        <v>12500</v>
      </c>
      <c r="BG156" s="566">
        <v>149999.65</v>
      </c>
      <c r="BJ156" s="566">
        <v>36597.65</v>
      </c>
      <c r="BK156" s="566">
        <v>12500</v>
      </c>
      <c r="BL156" s="566">
        <v>12500</v>
      </c>
      <c r="BM156" s="566">
        <v>12500</v>
      </c>
      <c r="BN156" s="566">
        <v>12500</v>
      </c>
      <c r="BO156" s="566">
        <v>12500</v>
      </c>
      <c r="BP156" s="566">
        <v>12500</v>
      </c>
      <c r="BQ156" s="566">
        <v>12500</v>
      </c>
      <c r="BR156" s="566">
        <v>12500</v>
      </c>
      <c r="BS156" s="566">
        <v>12500</v>
      </c>
      <c r="BT156" s="566">
        <v>149097.65</v>
      </c>
    </row>
    <row r="157" spans="1:72" s="566" customFormat="1">
      <c r="A157" s="566" t="s">
        <v>2470</v>
      </c>
      <c r="B157" s="566" t="s">
        <v>2950</v>
      </c>
      <c r="C157" s="566" t="s">
        <v>816</v>
      </c>
      <c r="D157" s="566" t="s">
        <v>816</v>
      </c>
      <c r="E157" s="566" t="s">
        <v>1136</v>
      </c>
      <c r="F157" s="566" t="s">
        <v>1566</v>
      </c>
      <c r="G157" s="566" t="s">
        <v>1135</v>
      </c>
      <c r="H157" s="566" t="s">
        <v>1135</v>
      </c>
      <c r="I157" s="566" t="s">
        <v>1135</v>
      </c>
      <c r="J157" s="566" t="s">
        <v>1135</v>
      </c>
      <c r="K157" s="566" t="s">
        <v>1137</v>
      </c>
      <c r="L157" s="566" t="s">
        <v>639</v>
      </c>
      <c r="M157" s="566" t="s">
        <v>818</v>
      </c>
      <c r="P157" s="566" t="s">
        <v>817</v>
      </c>
      <c r="R157" s="566" t="s">
        <v>1140</v>
      </c>
      <c r="T157" s="566" t="s">
        <v>818</v>
      </c>
      <c r="W157" s="566">
        <v>124504</v>
      </c>
      <c r="X157" s="566">
        <v>146423.48000000001</v>
      </c>
      <c r="AC157" s="566">
        <v>61919.48</v>
      </c>
      <c r="AD157" s="566">
        <v>0</v>
      </c>
      <c r="AE157" s="566">
        <v>0</v>
      </c>
      <c r="AF157" s="566">
        <v>45968.679999999993</v>
      </c>
      <c r="AG157" s="566">
        <v>0</v>
      </c>
      <c r="AH157" s="566">
        <v>0</v>
      </c>
      <c r="AI157" s="566">
        <v>40000</v>
      </c>
      <c r="AJ157" s="566">
        <v>0</v>
      </c>
      <c r="AK157" s="566">
        <v>4504</v>
      </c>
      <c r="AL157" s="566">
        <v>0</v>
      </c>
      <c r="AM157" s="566">
        <v>152392.16</v>
      </c>
      <c r="AN157" s="566">
        <v>5968.679999999993</v>
      </c>
      <c r="AO157" s="566">
        <v>0</v>
      </c>
      <c r="AP157" s="566">
        <v>45968.679999999993</v>
      </c>
      <c r="AQ157" s="566">
        <v>5968.679999999993</v>
      </c>
      <c r="AS157" s="566">
        <v>5968.679999999993</v>
      </c>
      <c r="AW157" s="566">
        <v>61919.48</v>
      </c>
      <c r="AX157" s="566">
        <v>0</v>
      </c>
      <c r="AY157" s="566">
        <v>0</v>
      </c>
      <c r="AZ157" s="566">
        <v>40000</v>
      </c>
      <c r="BA157" s="566">
        <v>0</v>
      </c>
      <c r="BB157" s="566">
        <v>0</v>
      </c>
      <c r="BC157" s="566">
        <v>40000</v>
      </c>
      <c r="BD157" s="566">
        <v>0</v>
      </c>
      <c r="BE157" s="566">
        <v>4504</v>
      </c>
      <c r="BF157" s="566">
        <v>0</v>
      </c>
      <c r="BG157" s="566">
        <v>146423.48000000001</v>
      </c>
      <c r="BJ157" s="566">
        <v>61919.48</v>
      </c>
      <c r="BK157" s="566">
        <v>0</v>
      </c>
      <c r="BL157" s="566">
        <v>0</v>
      </c>
      <c r="BM157" s="566">
        <v>40000</v>
      </c>
      <c r="BN157" s="566">
        <v>0</v>
      </c>
      <c r="BO157" s="566">
        <v>0</v>
      </c>
      <c r="BP157" s="566">
        <v>40000</v>
      </c>
      <c r="BQ157" s="566">
        <v>0</v>
      </c>
      <c r="BR157" s="566">
        <v>4504</v>
      </c>
      <c r="BS157" s="566">
        <v>0</v>
      </c>
      <c r="BT157" s="566">
        <v>146423.48000000001</v>
      </c>
    </row>
    <row r="158" spans="1:72" s="566" customFormat="1">
      <c r="A158" s="566" t="s">
        <v>2290</v>
      </c>
      <c r="B158" s="566" t="s">
        <v>2950</v>
      </c>
      <c r="C158" s="566" t="s">
        <v>678</v>
      </c>
      <c r="D158" s="566" t="s">
        <v>678</v>
      </c>
      <c r="E158" s="566" t="s">
        <v>1136</v>
      </c>
      <c r="F158" s="566" t="s">
        <v>1566</v>
      </c>
      <c r="G158" s="566" t="s">
        <v>1135</v>
      </c>
      <c r="H158" s="566" t="s">
        <v>1135</v>
      </c>
      <c r="I158" s="566" t="s">
        <v>1135</v>
      </c>
      <c r="J158" s="566" t="s">
        <v>1135</v>
      </c>
      <c r="K158" s="566" t="s">
        <v>1137</v>
      </c>
      <c r="L158" s="566" t="s">
        <v>639</v>
      </c>
      <c r="M158" s="566" t="s">
        <v>2291</v>
      </c>
      <c r="P158" s="566" t="s">
        <v>679</v>
      </c>
      <c r="Q158" s="566" t="s">
        <v>1153</v>
      </c>
      <c r="R158" s="566" t="s">
        <v>1140</v>
      </c>
      <c r="T158" s="566" t="s">
        <v>680</v>
      </c>
      <c r="W158" s="566">
        <v>180000</v>
      </c>
      <c r="X158" s="566">
        <v>164308</v>
      </c>
      <c r="AA158" s="566">
        <v>8189</v>
      </c>
      <c r="AB158" s="566">
        <v>13361</v>
      </c>
      <c r="AC158" s="566">
        <v>7758</v>
      </c>
      <c r="AD158" s="566">
        <v>16378</v>
      </c>
      <c r="AE158" s="566">
        <v>11637</v>
      </c>
      <c r="AF158" s="566">
        <v>10775</v>
      </c>
      <c r="AG158" s="566">
        <v>15500</v>
      </c>
      <c r="AH158" s="566">
        <v>15500</v>
      </c>
      <c r="AI158" s="566">
        <v>15500</v>
      </c>
      <c r="AJ158" s="566">
        <v>15485</v>
      </c>
      <c r="AK158" s="566">
        <v>15000</v>
      </c>
      <c r="AL158" s="566">
        <v>15000</v>
      </c>
      <c r="AM158" s="566">
        <v>160083</v>
      </c>
      <c r="AN158" s="566">
        <v>-4225</v>
      </c>
      <c r="AO158" s="566">
        <v>15000</v>
      </c>
      <c r="AP158" s="566">
        <v>-4225</v>
      </c>
      <c r="AQ158" s="566">
        <v>-6210</v>
      </c>
      <c r="AS158" s="566">
        <v>-4225</v>
      </c>
      <c r="AU158" s="566">
        <v>8189</v>
      </c>
      <c r="AV158" s="566">
        <v>13361</v>
      </c>
      <c r="AW158" s="566">
        <v>7758</v>
      </c>
      <c r="AX158" s="566">
        <v>15000</v>
      </c>
      <c r="AY158" s="566">
        <v>15000</v>
      </c>
      <c r="AZ158" s="566">
        <v>15000</v>
      </c>
      <c r="BA158" s="566">
        <v>15000</v>
      </c>
      <c r="BB158" s="566">
        <v>15000</v>
      </c>
      <c r="BC158" s="566">
        <v>15000</v>
      </c>
      <c r="BD158" s="566">
        <v>15000</v>
      </c>
      <c r="BE158" s="566">
        <v>15000</v>
      </c>
      <c r="BF158" s="566">
        <v>15000</v>
      </c>
      <c r="BG158" s="566">
        <v>164308</v>
      </c>
      <c r="BH158" s="566">
        <v>8189</v>
      </c>
      <c r="BI158" s="566">
        <v>13361</v>
      </c>
      <c r="BJ158" s="566">
        <v>7758</v>
      </c>
      <c r="BK158" s="566">
        <v>15000</v>
      </c>
      <c r="BL158" s="566">
        <v>15000</v>
      </c>
      <c r="BM158" s="566">
        <v>15000</v>
      </c>
      <c r="BN158" s="566">
        <v>15000</v>
      </c>
      <c r="BO158" s="566">
        <v>15000</v>
      </c>
      <c r="BP158" s="566">
        <v>15000</v>
      </c>
      <c r="BQ158" s="566">
        <v>15000</v>
      </c>
      <c r="BR158" s="566">
        <v>15000</v>
      </c>
      <c r="BS158" s="566">
        <v>15000</v>
      </c>
      <c r="BT158" s="566">
        <v>164308</v>
      </c>
    </row>
    <row r="159" spans="1:72" s="566" customFormat="1">
      <c r="A159" s="566" t="s">
        <v>1901</v>
      </c>
      <c r="B159" s="566" t="s">
        <v>2950</v>
      </c>
      <c r="C159" s="566" t="s">
        <v>465</v>
      </c>
      <c r="D159" s="566" t="s">
        <v>465</v>
      </c>
      <c r="E159" s="566" t="s">
        <v>1136</v>
      </c>
      <c r="F159" s="566" t="s">
        <v>1566</v>
      </c>
      <c r="G159" s="566" t="s">
        <v>1135</v>
      </c>
      <c r="H159" s="566" t="s">
        <v>1135</v>
      </c>
      <c r="I159" s="566" t="s">
        <v>1135</v>
      </c>
      <c r="J159" s="566" t="s">
        <v>1135</v>
      </c>
      <c r="K159" s="566" t="s">
        <v>1137</v>
      </c>
      <c r="L159" s="566" t="s">
        <v>389</v>
      </c>
      <c r="M159" s="566" t="s">
        <v>1855</v>
      </c>
      <c r="P159" s="566" t="s">
        <v>466</v>
      </c>
      <c r="R159" s="566" t="s">
        <v>1140</v>
      </c>
      <c r="T159" s="566" t="s">
        <v>57</v>
      </c>
      <c r="W159" s="566">
        <v>120000</v>
      </c>
      <c r="X159" s="566">
        <v>141134</v>
      </c>
      <c r="AA159" s="566">
        <v>17770</v>
      </c>
      <c r="AB159" s="566">
        <v>18328</v>
      </c>
      <c r="AC159" s="566">
        <v>15036</v>
      </c>
      <c r="AD159" s="566">
        <v>16438</v>
      </c>
      <c r="AE159" s="566">
        <v>18792</v>
      </c>
      <c r="AF159" s="566">
        <v>20125</v>
      </c>
      <c r="AG159" s="566">
        <v>10000</v>
      </c>
      <c r="AH159" s="566">
        <v>10000</v>
      </c>
      <c r="AI159" s="566">
        <v>10000</v>
      </c>
      <c r="AJ159" s="566">
        <v>10000</v>
      </c>
      <c r="AK159" s="566">
        <v>10000</v>
      </c>
      <c r="AL159" s="566">
        <v>10000</v>
      </c>
      <c r="AM159" s="566">
        <v>166489</v>
      </c>
      <c r="AN159" s="566">
        <v>25355</v>
      </c>
      <c r="AO159" s="566">
        <v>10000</v>
      </c>
      <c r="AP159" s="566">
        <v>10125</v>
      </c>
      <c r="AQ159" s="566">
        <v>25355</v>
      </c>
      <c r="AS159" s="566">
        <v>25355</v>
      </c>
      <c r="AU159" s="566">
        <v>17770</v>
      </c>
      <c r="AV159" s="566">
        <v>18328</v>
      </c>
      <c r="AW159" s="566">
        <v>15036</v>
      </c>
      <c r="AX159" s="566">
        <v>10000</v>
      </c>
      <c r="AY159" s="566">
        <v>10000</v>
      </c>
      <c r="AZ159" s="566">
        <v>10000</v>
      </c>
      <c r="BA159" s="566">
        <v>10000</v>
      </c>
      <c r="BB159" s="566">
        <v>10000</v>
      </c>
      <c r="BC159" s="566">
        <v>10000</v>
      </c>
      <c r="BD159" s="566">
        <v>10000</v>
      </c>
      <c r="BE159" s="566">
        <v>10000</v>
      </c>
      <c r="BF159" s="566">
        <v>10000</v>
      </c>
      <c r="BG159" s="566">
        <v>141134</v>
      </c>
      <c r="BH159" s="566">
        <v>17770</v>
      </c>
      <c r="BI159" s="566">
        <v>18328</v>
      </c>
      <c r="BJ159" s="566">
        <v>15036</v>
      </c>
      <c r="BK159" s="566">
        <v>10000</v>
      </c>
      <c r="BL159" s="566">
        <v>10000</v>
      </c>
      <c r="BM159" s="566">
        <v>10000</v>
      </c>
      <c r="BN159" s="566">
        <v>10000</v>
      </c>
      <c r="BO159" s="566">
        <v>10000</v>
      </c>
      <c r="BP159" s="566">
        <v>10000</v>
      </c>
      <c r="BQ159" s="566">
        <v>10000</v>
      </c>
      <c r="BR159" s="566">
        <v>10000</v>
      </c>
      <c r="BS159" s="566">
        <v>10000</v>
      </c>
      <c r="BT159" s="566">
        <v>141134</v>
      </c>
    </row>
    <row r="160" spans="1:72" s="566" customFormat="1">
      <c r="A160" s="566" t="s">
        <v>1897</v>
      </c>
      <c r="B160" s="566" t="s">
        <v>2950</v>
      </c>
      <c r="C160" s="566" t="s">
        <v>464</v>
      </c>
      <c r="D160" s="566" t="s">
        <v>1898</v>
      </c>
      <c r="E160" s="566" t="s">
        <v>1136</v>
      </c>
      <c r="F160" s="566" t="s">
        <v>1566</v>
      </c>
      <c r="G160" s="566" t="s">
        <v>1135</v>
      </c>
      <c r="H160" s="566" t="s">
        <v>1145</v>
      </c>
      <c r="I160" s="566" t="s">
        <v>1135</v>
      </c>
      <c r="J160" s="566" t="s">
        <v>1145</v>
      </c>
      <c r="K160" s="566" t="s">
        <v>1137</v>
      </c>
      <c r="L160" s="566" t="s">
        <v>389</v>
      </c>
      <c r="M160" s="566" t="s">
        <v>1703</v>
      </c>
      <c r="P160" s="566" t="s">
        <v>365</v>
      </c>
      <c r="R160" s="566" t="s">
        <v>1140</v>
      </c>
      <c r="T160" s="566" t="s">
        <v>57</v>
      </c>
      <c r="W160" s="566">
        <v>240000</v>
      </c>
      <c r="X160" s="566">
        <v>230345.91999999998</v>
      </c>
      <c r="AA160" s="566">
        <v>18590.2</v>
      </c>
      <c r="AB160" s="566">
        <v>19113.38</v>
      </c>
      <c r="AC160" s="566">
        <v>12642.34</v>
      </c>
      <c r="AD160" s="566">
        <v>21280.7</v>
      </c>
      <c r="AE160" s="566">
        <v>14563.560000000001</v>
      </c>
      <c r="AF160" s="566">
        <v>26235.370000000003</v>
      </c>
      <c r="AG160" s="566">
        <v>19000</v>
      </c>
      <c r="AH160" s="566">
        <v>19000</v>
      </c>
      <c r="AI160" s="566">
        <v>19000</v>
      </c>
      <c r="AJ160" s="566">
        <v>19000</v>
      </c>
      <c r="AK160" s="566">
        <v>19000</v>
      </c>
      <c r="AL160" s="566">
        <v>19000</v>
      </c>
      <c r="AM160" s="566">
        <v>226425.55</v>
      </c>
      <c r="AN160" s="566">
        <v>-3920.3699999999953</v>
      </c>
      <c r="AO160" s="566">
        <v>20000</v>
      </c>
      <c r="AP160" s="566">
        <v>6235.3700000000026</v>
      </c>
      <c r="AQ160" s="566">
        <v>2079.6299999999901</v>
      </c>
      <c r="AS160" s="566">
        <v>-3920.3699999999953</v>
      </c>
      <c r="AU160" s="566">
        <v>18590.2</v>
      </c>
      <c r="AV160" s="566">
        <v>19113.38</v>
      </c>
      <c r="AW160" s="566">
        <v>12642.34</v>
      </c>
      <c r="AX160" s="566">
        <v>20000</v>
      </c>
      <c r="AY160" s="566">
        <v>20000</v>
      </c>
      <c r="AZ160" s="566">
        <v>20000</v>
      </c>
      <c r="BA160" s="566">
        <v>20000</v>
      </c>
      <c r="BB160" s="566">
        <v>20000</v>
      </c>
      <c r="BC160" s="566">
        <v>20000</v>
      </c>
      <c r="BD160" s="566">
        <v>20000</v>
      </c>
      <c r="BE160" s="566">
        <v>20000</v>
      </c>
      <c r="BF160" s="566">
        <v>20000</v>
      </c>
      <c r="BG160" s="566">
        <v>230345.91999999998</v>
      </c>
      <c r="BH160" s="566">
        <v>18590.2</v>
      </c>
      <c r="BI160" s="566">
        <v>19113.38</v>
      </c>
      <c r="BJ160" s="566">
        <v>12642.34</v>
      </c>
      <c r="BK160" s="566">
        <v>20000</v>
      </c>
      <c r="BL160" s="566">
        <v>20000</v>
      </c>
      <c r="BM160" s="566">
        <v>20000</v>
      </c>
      <c r="BN160" s="566">
        <v>20000</v>
      </c>
      <c r="BO160" s="566">
        <v>20000</v>
      </c>
      <c r="BP160" s="566">
        <v>20000</v>
      </c>
      <c r="BQ160" s="566">
        <v>20000</v>
      </c>
      <c r="BR160" s="566">
        <v>20000</v>
      </c>
      <c r="BS160" s="566">
        <v>20000</v>
      </c>
      <c r="BT160" s="566">
        <v>230345.91999999998</v>
      </c>
    </row>
    <row r="161" spans="1:72" s="566" customFormat="1">
      <c r="A161" s="566" t="s">
        <v>1794</v>
      </c>
      <c r="B161" s="566" t="s">
        <v>2950</v>
      </c>
      <c r="C161" s="566" t="s">
        <v>417</v>
      </c>
      <c r="D161" s="566" t="s">
        <v>1795</v>
      </c>
      <c r="E161" s="566" t="s">
        <v>1136</v>
      </c>
      <c r="F161" s="566" t="s">
        <v>1566</v>
      </c>
      <c r="G161" s="566" t="s">
        <v>1135</v>
      </c>
      <c r="H161" s="566" t="s">
        <v>1145</v>
      </c>
      <c r="I161" s="566" t="s">
        <v>1135</v>
      </c>
      <c r="J161" s="566" t="s">
        <v>1145</v>
      </c>
      <c r="K161" s="566" t="s">
        <v>1137</v>
      </c>
      <c r="L161" s="566" t="s">
        <v>389</v>
      </c>
      <c r="M161" s="566" t="s">
        <v>1174</v>
      </c>
      <c r="P161" s="566" t="s">
        <v>56</v>
      </c>
      <c r="Q161" s="566" t="s">
        <v>1153</v>
      </c>
      <c r="R161" s="566" t="s">
        <v>1140</v>
      </c>
      <c r="T161" s="566" t="s">
        <v>57</v>
      </c>
      <c r="W161" s="566">
        <v>672000</v>
      </c>
      <c r="X161" s="566">
        <v>633103.17999999993</v>
      </c>
      <c r="AA161" s="566">
        <v>45611.11</v>
      </c>
      <c r="AB161" s="566">
        <v>43675.76</v>
      </c>
      <c r="AC161" s="566">
        <v>39816.31</v>
      </c>
      <c r="AD161" s="566">
        <v>40357.590000000004</v>
      </c>
      <c r="AE161" s="566">
        <v>42129.81</v>
      </c>
      <c r="AF161" s="566">
        <v>42451.69000000001</v>
      </c>
      <c r="AG161" s="566">
        <v>42318</v>
      </c>
      <c r="AH161" s="566">
        <v>42318</v>
      </c>
      <c r="AI161" s="566">
        <v>56000</v>
      </c>
      <c r="AJ161" s="566">
        <v>56000</v>
      </c>
      <c r="AK161" s="566">
        <v>56000</v>
      </c>
      <c r="AL161" s="566">
        <v>56000</v>
      </c>
      <c r="AM161" s="566">
        <v>562678.27</v>
      </c>
      <c r="AN161" s="566">
        <v>-70424.909999999916</v>
      </c>
      <c r="AO161" s="566">
        <v>56000</v>
      </c>
      <c r="AP161" s="566">
        <v>-13548.30999999999</v>
      </c>
      <c r="AQ161" s="566">
        <v>-43060.91</v>
      </c>
      <c r="AS161" s="566">
        <v>-70424.909999999916</v>
      </c>
      <c r="AU161" s="566">
        <v>45611.11</v>
      </c>
      <c r="AV161" s="566">
        <v>43675.76</v>
      </c>
      <c r="AW161" s="566">
        <v>39816.31</v>
      </c>
      <c r="AX161" s="566">
        <v>56000</v>
      </c>
      <c r="AY161" s="566">
        <v>56000</v>
      </c>
      <c r="AZ161" s="566">
        <v>56000</v>
      </c>
      <c r="BA161" s="566">
        <v>56000</v>
      </c>
      <c r="BB161" s="566">
        <v>56000</v>
      </c>
      <c r="BC161" s="566">
        <v>56000</v>
      </c>
      <c r="BD161" s="566">
        <v>56000</v>
      </c>
      <c r="BE161" s="566">
        <v>56000</v>
      </c>
      <c r="BF161" s="566">
        <v>56000</v>
      </c>
      <c r="BG161" s="566">
        <v>633103.17999999993</v>
      </c>
      <c r="BH161" s="566">
        <v>45611.11</v>
      </c>
      <c r="BI161" s="566">
        <v>43675.76</v>
      </c>
      <c r="BJ161" s="566">
        <v>39816.31</v>
      </c>
      <c r="BK161" s="566">
        <v>56000</v>
      </c>
      <c r="BL161" s="566">
        <v>56000</v>
      </c>
      <c r="BM161" s="566">
        <v>56000</v>
      </c>
      <c r="BN161" s="566">
        <v>56000</v>
      </c>
      <c r="BO161" s="566">
        <v>56000</v>
      </c>
      <c r="BP161" s="566">
        <v>56000</v>
      </c>
      <c r="BQ161" s="566">
        <v>56000</v>
      </c>
      <c r="BR161" s="566">
        <v>56000</v>
      </c>
      <c r="BS161" s="566">
        <v>56000</v>
      </c>
      <c r="BT161" s="566">
        <v>633103.17999999993</v>
      </c>
    </row>
    <row r="162" spans="1:72" s="566" customFormat="1">
      <c r="A162" s="566" t="s">
        <v>1796</v>
      </c>
      <c r="B162" s="566" t="s">
        <v>2950</v>
      </c>
      <c r="C162" s="566" t="s">
        <v>417</v>
      </c>
      <c r="D162" s="566" t="s">
        <v>1797</v>
      </c>
      <c r="E162" s="566" t="s">
        <v>1136</v>
      </c>
      <c r="F162" s="566" t="s">
        <v>1566</v>
      </c>
      <c r="G162" s="566" t="s">
        <v>1135</v>
      </c>
      <c r="H162" s="566" t="s">
        <v>1165</v>
      </c>
      <c r="I162" s="566" t="s">
        <v>1135</v>
      </c>
      <c r="J162" s="566" t="s">
        <v>1165</v>
      </c>
      <c r="K162" s="566" t="s">
        <v>1137</v>
      </c>
      <c r="L162" s="566" t="s">
        <v>389</v>
      </c>
      <c r="M162" s="566" t="s">
        <v>1174</v>
      </c>
      <c r="P162" s="566" t="s">
        <v>56</v>
      </c>
      <c r="R162" s="566" t="s">
        <v>1140</v>
      </c>
      <c r="T162" s="566" t="s">
        <v>57</v>
      </c>
      <c r="W162" s="566">
        <v>480000</v>
      </c>
      <c r="X162" s="566">
        <v>717425.61</v>
      </c>
      <c r="AA162" s="566">
        <v>61804.2</v>
      </c>
      <c r="AB162" s="566">
        <v>58988.63</v>
      </c>
      <c r="AC162" s="566">
        <v>56632.78</v>
      </c>
      <c r="AD162" s="566">
        <v>54081.419999999991</v>
      </c>
      <c r="AE162" s="566">
        <v>51184.079999999994</v>
      </c>
      <c r="AF162" s="566">
        <v>49707.65</v>
      </c>
      <c r="AG162" s="566">
        <v>62000</v>
      </c>
      <c r="AH162" s="566">
        <v>62000</v>
      </c>
      <c r="AI162" s="566">
        <v>62000</v>
      </c>
      <c r="AJ162" s="566">
        <v>62000</v>
      </c>
      <c r="AK162" s="566">
        <v>62000</v>
      </c>
      <c r="AL162" s="566">
        <v>62734</v>
      </c>
      <c r="AM162" s="566">
        <v>705132.76</v>
      </c>
      <c r="AN162" s="566">
        <v>-12292.849999999977</v>
      </c>
      <c r="AO162" s="566">
        <v>60000</v>
      </c>
      <c r="AP162" s="566">
        <v>-10292.349999999999</v>
      </c>
      <c r="AQ162" s="566">
        <v>-25026.849999999977</v>
      </c>
      <c r="AS162" s="566">
        <v>-12292.849999999977</v>
      </c>
      <c r="AU162" s="566">
        <v>61804.2</v>
      </c>
      <c r="AV162" s="566">
        <v>58988.63</v>
      </c>
      <c r="AW162" s="566">
        <v>56632.78</v>
      </c>
      <c r="AX162" s="566">
        <v>60000</v>
      </c>
      <c r="AY162" s="566">
        <v>60000</v>
      </c>
      <c r="AZ162" s="566">
        <v>60000</v>
      </c>
      <c r="BA162" s="566">
        <v>60000</v>
      </c>
      <c r="BB162" s="566">
        <v>60000</v>
      </c>
      <c r="BC162" s="566">
        <v>60000</v>
      </c>
      <c r="BD162" s="566">
        <v>60000</v>
      </c>
      <c r="BE162" s="566">
        <v>60000</v>
      </c>
      <c r="BF162" s="566">
        <v>60000</v>
      </c>
      <c r="BG162" s="566">
        <v>717425.61</v>
      </c>
      <c r="BH162" s="566">
        <v>61804.2</v>
      </c>
      <c r="BI162" s="566">
        <v>58988.63</v>
      </c>
      <c r="BJ162" s="566">
        <v>56632.78</v>
      </c>
      <c r="BK162" s="566">
        <v>40000</v>
      </c>
      <c r="BL162" s="566">
        <v>40000</v>
      </c>
      <c r="BM162" s="566">
        <v>40000</v>
      </c>
      <c r="BN162" s="566">
        <v>40000</v>
      </c>
      <c r="BO162" s="566">
        <v>40000</v>
      </c>
      <c r="BP162" s="566">
        <v>40000</v>
      </c>
      <c r="BQ162" s="566">
        <v>40000</v>
      </c>
      <c r="BR162" s="566">
        <v>40000</v>
      </c>
      <c r="BS162" s="566">
        <v>40000</v>
      </c>
      <c r="BT162" s="566">
        <v>537425.61</v>
      </c>
    </row>
    <row r="163" spans="1:72" s="566" customFormat="1">
      <c r="A163" s="566" t="s">
        <v>2522</v>
      </c>
      <c r="B163" s="566" t="s">
        <v>2950</v>
      </c>
      <c r="C163" s="566" t="s">
        <v>850</v>
      </c>
      <c r="D163" s="566" t="s">
        <v>850</v>
      </c>
      <c r="E163" s="566" t="s">
        <v>1136</v>
      </c>
      <c r="F163" s="566" t="s">
        <v>1566</v>
      </c>
      <c r="G163" s="566" t="s">
        <v>1135</v>
      </c>
      <c r="H163" s="566" t="s">
        <v>1135</v>
      </c>
      <c r="I163" s="566" t="s">
        <v>1135</v>
      </c>
      <c r="J163" s="566" t="s">
        <v>1135</v>
      </c>
      <c r="K163" s="566" t="s">
        <v>1137</v>
      </c>
      <c r="L163" s="566" t="s">
        <v>639</v>
      </c>
      <c r="M163" s="566" t="s">
        <v>2523</v>
      </c>
      <c r="P163" s="566" t="s">
        <v>851</v>
      </c>
      <c r="Q163" s="566" t="s">
        <v>1153</v>
      </c>
      <c r="T163" s="566" t="s">
        <v>64</v>
      </c>
      <c r="W163" s="566">
        <v>1527544</v>
      </c>
      <c r="X163" s="566">
        <v>1513628.4099999997</v>
      </c>
      <c r="AC163" s="566">
        <v>367969.99</v>
      </c>
      <c r="AD163" s="566">
        <v>0</v>
      </c>
      <c r="AE163" s="566">
        <v>254590.76</v>
      </c>
      <c r="AF163" s="566">
        <v>127295.38</v>
      </c>
      <c r="AG163" s="566">
        <v>127295.38</v>
      </c>
      <c r="AH163" s="566">
        <v>127295.38</v>
      </c>
      <c r="AI163" s="566">
        <v>127295.38</v>
      </c>
      <c r="AJ163" s="566">
        <v>127295.38</v>
      </c>
      <c r="AK163" s="566">
        <v>127295.38</v>
      </c>
      <c r="AL163" s="566">
        <v>127295.38</v>
      </c>
      <c r="AM163" s="566">
        <v>1513628.4099999997</v>
      </c>
      <c r="AN163" s="566">
        <v>0</v>
      </c>
      <c r="AO163" s="566">
        <v>127295.38</v>
      </c>
      <c r="AP163" s="566">
        <v>0</v>
      </c>
      <c r="AQ163" s="566">
        <v>0</v>
      </c>
      <c r="AS163" s="566">
        <v>0</v>
      </c>
      <c r="AW163" s="566">
        <v>367969.99</v>
      </c>
      <c r="AX163" s="566">
        <v>127295.38</v>
      </c>
      <c r="AY163" s="566">
        <v>127295.38</v>
      </c>
      <c r="AZ163" s="566">
        <v>127295.38</v>
      </c>
      <c r="BA163" s="566">
        <v>127295.38</v>
      </c>
      <c r="BB163" s="566">
        <v>127295.38</v>
      </c>
      <c r="BC163" s="566">
        <v>127295.38</v>
      </c>
      <c r="BD163" s="566">
        <v>127295.38</v>
      </c>
      <c r="BE163" s="566">
        <v>127295.38</v>
      </c>
      <c r="BF163" s="566">
        <v>127295.38</v>
      </c>
      <c r="BG163" s="566">
        <v>1513628.4099999997</v>
      </c>
      <c r="BJ163" s="566">
        <v>367969.99</v>
      </c>
      <c r="BK163" s="566">
        <v>127295.38</v>
      </c>
      <c r="BL163" s="566">
        <v>127295.38</v>
      </c>
      <c r="BM163" s="566">
        <v>127295.38</v>
      </c>
      <c r="BN163" s="566">
        <v>127295.38</v>
      </c>
      <c r="BO163" s="566">
        <v>127295.38</v>
      </c>
      <c r="BP163" s="566">
        <v>127295.38</v>
      </c>
      <c r="BQ163" s="566">
        <v>127295.38</v>
      </c>
      <c r="BR163" s="566">
        <v>127295.38</v>
      </c>
      <c r="BS163" s="566">
        <v>127295.38</v>
      </c>
      <c r="BT163" s="566">
        <v>1513628.4099999997</v>
      </c>
    </row>
    <row r="164" spans="1:72" s="566" customFormat="1">
      <c r="A164" s="566" t="s">
        <v>2906</v>
      </c>
      <c r="B164" s="566" t="s">
        <v>2950</v>
      </c>
      <c r="C164" s="566" t="s">
        <v>28</v>
      </c>
      <c r="D164" s="566" t="s">
        <v>2907</v>
      </c>
      <c r="E164" s="566" t="s">
        <v>1136</v>
      </c>
      <c r="F164" s="566" t="s">
        <v>1566</v>
      </c>
      <c r="G164" s="566" t="s">
        <v>1135</v>
      </c>
      <c r="H164" s="566" t="s">
        <v>1135</v>
      </c>
      <c r="I164" s="566" t="s">
        <v>1135</v>
      </c>
      <c r="J164" s="566" t="s">
        <v>1137</v>
      </c>
      <c r="K164" s="566" t="s">
        <v>1137</v>
      </c>
      <c r="L164" s="566" t="s">
        <v>22</v>
      </c>
      <c r="M164" s="566" t="s">
        <v>2872</v>
      </c>
      <c r="P164" s="566" t="s">
        <v>29</v>
      </c>
      <c r="Q164" s="566" t="s">
        <v>1139</v>
      </c>
      <c r="R164" s="566" t="s">
        <v>1140</v>
      </c>
      <c r="T164" s="566" t="s">
        <v>25</v>
      </c>
      <c r="U164" s="566" t="s">
        <v>1141</v>
      </c>
      <c r="W164" s="566">
        <v>9831851.3300000001</v>
      </c>
      <c r="X164" s="566">
        <v>15406112.624272117</v>
      </c>
      <c r="AA164" s="566">
        <v>1402914.3999999987</v>
      </c>
      <c r="AB164" s="566">
        <v>1397677.6399999992</v>
      </c>
      <c r="AC164" s="566">
        <v>1375284.8299999998</v>
      </c>
      <c r="AD164" s="566">
        <v>1433399.4699999997</v>
      </c>
      <c r="AE164" s="566">
        <v>1510809.23</v>
      </c>
      <c r="AF164" s="566">
        <v>372672.31999999989</v>
      </c>
      <c r="AG164" s="566">
        <v>1208851.7277970032</v>
      </c>
      <c r="AH164" s="566">
        <v>1221091.4455470033</v>
      </c>
      <c r="AI164" s="566">
        <v>1194419.2817703367</v>
      </c>
      <c r="AJ164" s="566">
        <v>1239489.2742341459</v>
      </c>
      <c r="AK164" s="566">
        <v>1239489.2742341459</v>
      </c>
      <c r="AL164" s="566">
        <v>1254635.0692481461</v>
      </c>
      <c r="AM164" s="566">
        <v>14850733.96283078</v>
      </c>
      <c r="AN164" s="566">
        <v>-555378.66144133732</v>
      </c>
      <c r="AO164" s="566">
        <v>1250571.8632276698</v>
      </c>
      <c r="AP164" s="566">
        <v>-877899.54322767002</v>
      </c>
      <c r="AQ164" s="566">
        <v>-555378.66144133732</v>
      </c>
      <c r="AS164" s="566">
        <v>-555378.66144133732</v>
      </c>
      <c r="AU164" s="566">
        <v>1402914.3999999987</v>
      </c>
      <c r="AV164" s="566">
        <v>1397677.6399999992</v>
      </c>
      <c r="AW164" s="566">
        <v>1375284.8299999998</v>
      </c>
      <c r="AX164" s="566">
        <v>1386261.7499999984</v>
      </c>
      <c r="AY164" s="566">
        <v>1250571.8632276698</v>
      </c>
      <c r="AZ164" s="566">
        <v>1235426.0682136698</v>
      </c>
      <c r="BA164" s="566">
        <v>1208851.7277970032</v>
      </c>
      <c r="BB164" s="566">
        <v>1221091.4455470033</v>
      </c>
      <c r="BC164" s="566">
        <v>1194419.2817703367</v>
      </c>
      <c r="BD164" s="566">
        <v>1239489.2742341459</v>
      </c>
      <c r="BE164" s="566">
        <v>1239489.2742341459</v>
      </c>
      <c r="BF164" s="566">
        <v>1254635.0692481461</v>
      </c>
      <c r="BG164" s="566">
        <v>15406112.624272117</v>
      </c>
      <c r="BH164" s="566">
        <v>270417.52</v>
      </c>
      <c r="BI164" s="566">
        <v>276999.43</v>
      </c>
      <c r="BJ164" s="566">
        <v>232520.6</v>
      </c>
      <c r="BK164" s="566">
        <v>809656.43</v>
      </c>
      <c r="BL164" s="566">
        <v>809656.43</v>
      </c>
      <c r="BM164" s="566">
        <v>809656.43</v>
      </c>
      <c r="BN164" s="566">
        <v>829249.26</v>
      </c>
      <c r="BO164" s="566">
        <v>829249.26</v>
      </c>
      <c r="BP164" s="566">
        <v>854062.66</v>
      </c>
      <c r="BQ164" s="566">
        <v>854062.66</v>
      </c>
      <c r="BR164" s="566">
        <v>854062.66</v>
      </c>
      <c r="BS164" s="566">
        <v>854062.66</v>
      </c>
      <c r="BT164" s="566">
        <v>8283656.0000000009</v>
      </c>
    </row>
    <row r="165" spans="1:72" s="566" customFormat="1">
      <c r="A165" s="566" t="s">
        <v>1669</v>
      </c>
      <c r="B165" s="566" t="s">
        <v>2950</v>
      </c>
      <c r="C165" s="566" t="s">
        <v>337</v>
      </c>
      <c r="D165" s="566" t="s">
        <v>1670</v>
      </c>
      <c r="E165" s="566" t="s">
        <v>1136</v>
      </c>
      <c r="F165" s="566" t="s">
        <v>1566</v>
      </c>
      <c r="G165" s="566" t="s">
        <v>1566</v>
      </c>
      <c r="H165" s="566" t="s">
        <v>1566</v>
      </c>
      <c r="I165" s="566" t="s">
        <v>1567</v>
      </c>
      <c r="J165" s="566" t="s">
        <v>1567</v>
      </c>
      <c r="K165" s="566" t="s">
        <v>1567</v>
      </c>
      <c r="L165" s="566" t="s">
        <v>333</v>
      </c>
      <c r="M165" s="566" t="s">
        <v>1663</v>
      </c>
      <c r="P165" s="566" t="s">
        <v>336</v>
      </c>
      <c r="R165" s="566" t="s">
        <v>1140</v>
      </c>
      <c r="T165" s="566" t="s">
        <v>25</v>
      </c>
      <c r="U165" s="566" t="s">
        <v>1666</v>
      </c>
      <c r="W165" s="566">
        <v>32110933.16</v>
      </c>
      <c r="X165" s="566">
        <v>34757461.509999998</v>
      </c>
      <c r="AA165" s="566">
        <v>2815065.65</v>
      </c>
      <c r="AB165" s="566">
        <v>3048410.85</v>
      </c>
      <c r="AC165" s="566">
        <v>3021391.85</v>
      </c>
      <c r="AD165" s="566">
        <v>2973057.3200000008</v>
      </c>
      <c r="AE165" s="566">
        <v>3070156.0000000009</v>
      </c>
      <c r="AF165" s="566">
        <v>2999435.120000001</v>
      </c>
      <c r="AG165" s="566">
        <v>2977460.79</v>
      </c>
      <c r="AH165" s="566">
        <v>2957767.97</v>
      </c>
      <c r="AI165" s="566">
        <v>2824180.51</v>
      </c>
      <c r="AJ165" s="566">
        <v>2683373.61</v>
      </c>
      <c r="AK165" s="566">
        <v>2683374.5</v>
      </c>
      <c r="AL165" s="566">
        <v>2683373.5699999998</v>
      </c>
      <c r="AM165" s="566">
        <v>34737047.740000002</v>
      </c>
      <c r="AN165" s="566">
        <v>-20413.769999995828</v>
      </c>
      <c r="AO165" s="566">
        <v>3021022.03</v>
      </c>
      <c r="AP165" s="566">
        <v>-21586.909999998752</v>
      </c>
      <c r="AQ165" s="566">
        <v>-20413.769999995828</v>
      </c>
      <c r="AS165" s="566">
        <v>-20413.769999995828</v>
      </c>
      <c r="AU165" s="566">
        <v>2815065.65</v>
      </c>
      <c r="AV165" s="566">
        <v>3048410.85</v>
      </c>
      <c r="AW165" s="566">
        <v>3021391.85</v>
      </c>
      <c r="AX165" s="566">
        <v>3021020.11</v>
      </c>
      <c r="AY165" s="566">
        <v>3021022.03</v>
      </c>
      <c r="AZ165" s="566">
        <v>3021020.07</v>
      </c>
      <c r="BA165" s="566">
        <v>2977460.79</v>
      </c>
      <c r="BB165" s="566">
        <v>2957767.97</v>
      </c>
      <c r="BC165" s="566">
        <v>2824180.51</v>
      </c>
      <c r="BD165" s="566">
        <v>2683373.61</v>
      </c>
      <c r="BE165" s="566">
        <v>2683374.5</v>
      </c>
      <c r="BF165" s="566">
        <v>2683373.5699999998</v>
      </c>
      <c r="BG165" s="566">
        <v>34757461.509999998</v>
      </c>
      <c r="BH165" s="566">
        <v>2815065.65</v>
      </c>
      <c r="BI165" s="566">
        <v>3048410.85</v>
      </c>
      <c r="BJ165" s="566">
        <v>3021391.85</v>
      </c>
      <c r="BK165" s="566">
        <v>3021020.11</v>
      </c>
      <c r="BL165" s="566">
        <v>3021022.03</v>
      </c>
      <c r="BM165" s="566">
        <v>3021020.07</v>
      </c>
      <c r="BN165" s="566">
        <v>2977460.79</v>
      </c>
      <c r="BO165" s="566">
        <v>2957767.97</v>
      </c>
      <c r="BP165" s="566">
        <v>2824180.51</v>
      </c>
      <c r="BQ165" s="566">
        <v>2683373.61</v>
      </c>
      <c r="BR165" s="566">
        <v>2683374.5</v>
      </c>
      <c r="BS165" s="566">
        <v>2683373.5699999998</v>
      </c>
      <c r="BT165" s="566">
        <v>34757461.509999998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36B9-5538-4853-B69B-C3C697173B82}">
  <dimension ref="A1:BS166"/>
  <sheetViews>
    <sheetView workbookViewId="0">
      <selection activeCell="J163" sqref="J163"/>
    </sheetView>
  </sheetViews>
  <sheetFormatPr defaultRowHeight="14.45"/>
  <sheetData>
    <row r="1" spans="1:71" ht="30.95" customHeight="1" thickBot="1">
      <c r="A1" s="49" t="s">
        <v>1067</v>
      </c>
      <c r="B1" s="49" t="s">
        <v>1</v>
      </c>
      <c r="C1" s="49" t="s">
        <v>2918</v>
      </c>
      <c r="D1" s="50" t="s">
        <v>1072</v>
      </c>
      <c r="E1" s="539" t="s">
        <v>2919</v>
      </c>
      <c r="F1" s="539" t="s">
        <v>2920</v>
      </c>
      <c r="G1" s="539" t="s">
        <v>2921</v>
      </c>
      <c r="H1" s="49" t="s">
        <v>1073</v>
      </c>
      <c r="I1" s="51" t="s">
        <v>1074</v>
      </c>
      <c r="J1" s="49" t="s">
        <v>1075</v>
      </c>
      <c r="K1" s="52" t="s">
        <v>0</v>
      </c>
      <c r="L1" s="53" t="s">
        <v>1076</v>
      </c>
      <c r="M1" s="324" t="s">
        <v>1077</v>
      </c>
      <c r="N1" s="444" t="s">
        <v>1078</v>
      </c>
      <c r="O1" s="49" t="s">
        <v>2</v>
      </c>
      <c r="P1" s="49" t="s">
        <v>1079</v>
      </c>
      <c r="Q1" s="323" t="s">
        <v>1080</v>
      </c>
      <c r="R1" s="54" t="s">
        <v>1081</v>
      </c>
      <c r="S1" s="54" t="s">
        <v>3</v>
      </c>
      <c r="T1" s="54" t="s">
        <v>1082</v>
      </c>
      <c r="U1" s="422" t="s">
        <v>1083</v>
      </c>
      <c r="V1" s="423" t="s">
        <v>1084</v>
      </c>
      <c r="W1" s="423" t="s">
        <v>1085</v>
      </c>
      <c r="X1" s="55" t="s">
        <v>1086</v>
      </c>
      <c r="Y1" s="55" t="s">
        <v>1087</v>
      </c>
      <c r="Z1" s="57" t="s">
        <v>1088</v>
      </c>
      <c r="AA1" s="49" t="s">
        <v>1089</v>
      </c>
      <c r="AB1" s="49" t="s">
        <v>1090</v>
      </c>
      <c r="AC1" s="424" t="s">
        <v>1091</v>
      </c>
      <c r="AD1" s="59" t="s">
        <v>1092</v>
      </c>
      <c r="AE1" s="59" t="s">
        <v>1093</v>
      </c>
      <c r="AF1" s="58" t="s">
        <v>1061</v>
      </c>
      <c r="AG1" s="59" t="s">
        <v>1094</v>
      </c>
      <c r="AH1" s="59" t="s">
        <v>1095</v>
      </c>
      <c r="AI1" s="58" t="s">
        <v>1096</v>
      </c>
      <c r="AJ1" s="59" t="s">
        <v>1097</v>
      </c>
      <c r="AK1" s="60" t="s">
        <v>1098</v>
      </c>
      <c r="AL1" s="61" t="s">
        <v>1099</v>
      </c>
      <c r="AM1" s="62" t="s">
        <v>1100</v>
      </c>
      <c r="AN1" s="63" t="s">
        <v>1101</v>
      </c>
      <c r="AO1" s="63" t="s">
        <v>1102</v>
      </c>
      <c r="AP1" s="329" t="s">
        <v>1103</v>
      </c>
      <c r="AQ1" s="64" t="s">
        <v>1104</v>
      </c>
      <c r="AR1" s="63" t="s">
        <v>1105</v>
      </c>
      <c r="AS1" s="64" t="s">
        <v>1106</v>
      </c>
      <c r="AT1" s="441" t="s">
        <v>1107</v>
      </c>
      <c r="AU1" s="441" t="s">
        <v>1108</v>
      </c>
      <c r="AV1" s="441" t="s">
        <v>1109</v>
      </c>
      <c r="AW1" s="441" t="s">
        <v>1110</v>
      </c>
      <c r="AX1" s="441" t="s">
        <v>1111</v>
      </c>
      <c r="AY1" s="441" t="s">
        <v>1112</v>
      </c>
      <c r="AZ1" s="441" t="s">
        <v>1113</v>
      </c>
      <c r="BA1" s="441" t="s">
        <v>1114</v>
      </c>
      <c r="BB1" s="441" t="s">
        <v>1115</v>
      </c>
      <c r="BC1" s="441" t="s">
        <v>1116</v>
      </c>
      <c r="BD1" s="441" t="s">
        <v>1117</v>
      </c>
      <c r="BE1" s="441" t="s">
        <v>1118</v>
      </c>
      <c r="BF1" s="441" t="s">
        <v>1119</v>
      </c>
      <c r="BG1" s="442" t="s">
        <v>1120</v>
      </c>
      <c r="BH1" s="442" t="s">
        <v>1121</v>
      </c>
      <c r="BI1" s="442" t="s">
        <v>1122</v>
      </c>
      <c r="BJ1" s="442" t="s">
        <v>1123</v>
      </c>
      <c r="BK1" s="442" t="s">
        <v>1124</v>
      </c>
      <c r="BL1" s="442" t="s">
        <v>1125</v>
      </c>
      <c r="BM1" s="442" t="s">
        <v>1126</v>
      </c>
      <c r="BN1" s="442" t="s">
        <v>1127</v>
      </c>
      <c r="BO1" s="442" t="s">
        <v>1128</v>
      </c>
      <c r="BP1" s="442" t="s">
        <v>1129</v>
      </c>
      <c r="BQ1" s="442" t="s">
        <v>1130</v>
      </c>
      <c r="BR1" s="442" t="s">
        <v>1131</v>
      </c>
      <c r="BS1" s="442" t="s">
        <v>1132</v>
      </c>
    </row>
    <row r="2" spans="1:71" ht="15" customHeight="1">
      <c r="A2" s="66" t="s">
        <v>1133</v>
      </c>
      <c r="B2" s="66" t="s">
        <v>50</v>
      </c>
      <c r="C2" s="66" t="s">
        <v>1134</v>
      </c>
      <c r="D2" s="150" t="s">
        <v>1136</v>
      </c>
      <c r="E2" s="482" t="s">
        <v>1566</v>
      </c>
      <c r="F2" s="150" t="s">
        <v>1135</v>
      </c>
      <c r="G2" s="150" t="s">
        <v>1135</v>
      </c>
      <c r="H2" s="150" t="s">
        <v>1135</v>
      </c>
      <c r="I2" s="150" t="s">
        <v>1137</v>
      </c>
      <c r="J2" s="150" t="s">
        <v>1137</v>
      </c>
      <c r="K2" s="511" t="s">
        <v>49</v>
      </c>
      <c r="L2" s="392" t="s">
        <v>1138</v>
      </c>
      <c r="M2" s="343"/>
      <c r="N2" s="343"/>
      <c r="O2" s="70" t="s">
        <v>51</v>
      </c>
      <c r="P2" s="346" t="s">
        <v>1139</v>
      </c>
      <c r="Q2" s="346" t="s">
        <v>1140</v>
      </c>
      <c r="R2" s="346"/>
      <c r="S2" s="150" t="s">
        <v>25</v>
      </c>
      <c r="T2" s="1" t="s">
        <v>1141</v>
      </c>
      <c r="U2" s="403"/>
      <c r="V2" s="406">
        <v>1214.4000000000003</v>
      </c>
      <c r="W2" s="406">
        <v>910.80000000000018</v>
      </c>
      <c r="X2" s="425"/>
      <c r="Y2" s="71"/>
      <c r="Z2" s="426"/>
      <c r="AA2" s="427"/>
      <c r="AB2" s="427"/>
      <c r="AC2" s="428" t="s">
        <v>1142</v>
      </c>
      <c r="AD2" s="429">
        <v>0</v>
      </c>
      <c r="AE2" s="429">
        <v>0</v>
      </c>
      <c r="AF2" s="363">
        <v>101.2</v>
      </c>
      <c r="AG2" s="363">
        <v>101.2</v>
      </c>
      <c r="AH2" s="363">
        <v>101.2</v>
      </c>
      <c r="AI2" s="363">
        <v>101.2</v>
      </c>
      <c r="AJ2" s="363">
        <v>101.2</v>
      </c>
      <c r="AK2" s="363">
        <v>101.2</v>
      </c>
      <c r="AL2" s="360">
        <v>607.20000000000005</v>
      </c>
      <c r="AM2" s="361">
        <v>-303.60000000000014</v>
      </c>
      <c r="AN2" s="79">
        <v>101.2</v>
      </c>
      <c r="AO2" s="79">
        <v>-101.2</v>
      </c>
      <c r="AP2" s="374">
        <v>-303.60000000000002</v>
      </c>
      <c r="AQ2" s="80"/>
      <c r="AR2" s="79">
        <v>-303.60000000000014</v>
      </c>
      <c r="AS2" s="81"/>
      <c r="AT2" s="375"/>
      <c r="AU2" s="375"/>
      <c r="AV2" s="375"/>
      <c r="AW2" s="375">
        <v>101.2</v>
      </c>
      <c r="AX2" s="375">
        <v>101.2</v>
      </c>
      <c r="AY2" s="375">
        <v>101.2</v>
      </c>
      <c r="AZ2" s="375">
        <v>101.2</v>
      </c>
      <c r="BA2" s="375">
        <v>101.2</v>
      </c>
      <c r="BB2" s="375">
        <v>101.2</v>
      </c>
      <c r="BC2" s="375">
        <v>101.2</v>
      </c>
      <c r="BD2" s="375">
        <v>101.2</v>
      </c>
      <c r="BE2" s="375">
        <v>101.2</v>
      </c>
      <c r="BF2" s="375">
        <v>910.80000000000018</v>
      </c>
      <c r="BG2" s="79"/>
      <c r="BH2" s="79"/>
      <c r="BI2" s="79"/>
      <c r="BJ2" s="79">
        <v>101.2</v>
      </c>
      <c r="BK2" s="79">
        <v>101.2</v>
      </c>
      <c r="BL2" s="79">
        <v>101.2</v>
      </c>
      <c r="BM2" s="79">
        <v>101.2</v>
      </c>
      <c r="BN2" s="79">
        <v>101.2</v>
      </c>
      <c r="BO2" s="79">
        <v>101.2</v>
      </c>
      <c r="BP2" s="79">
        <v>101.2</v>
      </c>
      <c r="BQ2" s="79">
        <v>101.2</v>
      </c>
      <c r="BR2" s="79">
        <v>101.2</v>
      </c>
      <c r="BS2" s="79">
        <v>910.80000000000018</v>
      </c>
    </row>
    <row r="3" spans="1:71" ht="15" customHeight="1">
      <c r="A3" s="66" t="s">
        <v>1143</v>
      </c>
      <c r="B3" s="66" t="s">
        <v>50</v>
      </c>
      <c r="C3" s="66" t="s">
        <v>1144</v>
      </c>
      <c r="D3" s="150" t="s">
        <v>1136</v>
      </c>
      <c r="E3" s="482" t="s">
        <v>1566</v>
      </c>
      <c r="F3" s="150" t="s">
        <v>1135</v>
      </c>
      <c r="G3" s="150" t="s">
        <v>1145</v>
      </c>
      <c r="H3" s="150" t="s">
        <v>1135</v>
      </c>
      <c r="I3" s="150" t="s">
        <v>1145</v>
      </c>
      <c r="J3" s="150" t="s">
        <v>1137</v>
      </c>
      <c r="K3" s="511" t="s">
        <v>49</v>
      </c>
      <c r="L3" s="392" t="s">
        <v>1138</v>
      </c>
      <c r="M3" s="343"/>
      <c r="N3" s="343"/>
      <c r="O3" s="70" t="s">
        <v>51</v>
      </c>
      <c r="P3" s="346" t="s">
        <v>1139</v>
      </c>
      <c r="Q3" s="346" t="s">
        <v>1140</v>
      </c>
      <c r="R3" s="346"/>
      <c r="S3" s="150" t="s">
        <v>25</v>
      </c>
      <c r="T3" s="150"/>
      <c r="U3" s="403"/>
      <c r="V3" s="406">
        <v>1800</v>
      </c>
      <c r="W3" s="406">
        <v>3600</v>
      </c>
      <c r="X3" s="425"/>
      <c r="Y3" s="71"/>
      <c r="Z3" s="426"/>
      <c r="AA3" s="427"/>
      <c r="AB3" s="427"/>
      <c r="AC3" s="428" t="s">
        <v>1142</v>
      </c>
      <c r="AD3" s="429">
        <v>0</v>
      </c>
      <c r="AE3" s="429">
        <v>0</v>
      </c>
      <c r="AF3" s="360">
        <v>0</v>
      </c>
      <c r="AG3" s="360">
        <v>0</v>
      </c>
      <c r="AH3" s="360">
        <v>0</v>
      </c>
      <c r="AI3" s="360">
        <v>0</v>
      </c>
      <c r="AJ3" s="360">
        <v>0</v>
      </c>
      <c r="AK3" s="360">
        <v>0</v>
      </c>
      <c r="AL3" s="360">
        <v>0</v>
      </c>
      <c r="AM3" s="362">
        <v>-3600</v>
      </c>
      <c r="AN3" s="79">
        <v>0</v>
      </c>
      <c r="AO3" s="79">
        <v>0</v>
      </c>
      <c r="AP3" s="374">
        <v>-3600</v>
      </c>
      <c r="AQ3" s="80"/>
      <c r="AR3" s="79">
        <v>-3600</v>
      </c>
      <c r="AS3" s="81"/>
      <c r="AT3" s="375"/>
      <c r="AU3" s="375"/>
      <c r="AV3" s="375"/>
      <c r="AW3" s="375">
        <v>1800</v>
      </c>
      <c r="AX3" s="375">
        <v>0</v>
      </c>
      <c r="AY3" s="375">
        <v>1800</v>
      </c>
      <c r="AZ3" s="375">
        <v>0</v>
      </c>
      <c r="BA3" s="375">
        <v>0</v>
      </c>
      <c r="BB3" s="375">
        <v>0</v>
      </c>
      <c r="BC3" s="375">
        <v>0</v>
      </c>
      <c r="BD3" s="375">
        <v>0</v>
      </c>
      <c r="BE3" s="375">
        <v>0</v>
      </c>
      <c r="BF3" s="375">
        <v>3600</v>
      </c>
      <c r="BG3" s="79"/>
      <c r="BH3" s="79"/>
      <c r="BI3" s="79"/>
      <c r="BJ3" s="79">
        <v>1800</v>
      </c>
      <c r="BK3" s="79">
        <v>0</v>
      </c>
      <c r="BL3" s="79">
        <v>1800</v>
      </c>
      <c r="BM3" s="79">
        <v>0</v>
      </c>
      <c r="BN3" s="79">
        <v>0</v>
      </c>
      <c r="BO3" s="79">
        <v>0</v>
      </c>
      <c r="BP3" s="79">
        <v>0</v>
      </c>
      <c r="BQ3" s="79">
        <v>0</v>
      </c>
      <c r="BR3" s="79">
        <v>0</v>
      </c>
      <c r="BS3" s="79">
        <v>3600</v>
      </c>
    </row>
    <row r="4" spans="1:71" ht="15" customHeight="1">
      <c r="A4" s="66" t="s">
        <v>1146</v>
      </c>
      <c r="B4" s="66" t="s">
        <v>52</v>
      </c>
      <c r="C4" s="66" t="s">
        <v>52</v>
      </c>
      <c r="D4" s="150" t="s">
        <v>1136</v>
      </c>
      <c r="E4" s="482" t="s">
        <v>1566</v>
      </c>
      <c r="F4" s="150" t="s">
        <v>1135</v>
      </c>
      <c r="G4" s="150" t="s">
        <v>1135</v>
      </c>
      <c r="H4" s="150" t="s">
        <v>1135</v>
      </c>
      <c r="I4" s="150" t="s">
        <v>1135</v>
      </c>
      <c r="J4" s="150" t="s">
        <v>1137</v>
      </c>
      <c r="K4" s="511" t="s">
        <v>49</v>
      </c>
      <c r="L4" s="392" t="s">
        <v>1147</v>
      </c>
      <c r="M4" s="343"/>
      <c r="N4" s="343"/>
      <c r="O4" s="70" t="s">
        <v>53</v>
      </c>
      <c r="P4" s="346" t="s">
        <v>1149</v>
      </c>
      <c r="Q4" s="343"/>
      <c r="R4" s="346"/>
      <c r="S4" s="150" t="s">
        <v>25</v>
      </c>
      <c r="T4" s="150"/>
      <c r="U4" s="403"/>
      <c r="V4" s="406">
        <v>0</v>
      </c>
      <c r="W4" s="406">
        <v>-51577</v>
      </c>
      <c r="X4" s="425"/>
      <c r="Y4" s="71"/>
      <c r="Z4" s="426">
        <v>44340</v>
      </c>
      <c r="AA4" s="427">
        <v>-23011</v>
      </c>
      <c r="AB4" s="427">
        <v>-72906</v>
      </c>
      <c r="AC4" s="428">
        <v>9489</v>
      </c>
      <c r="AD4" s="429">
        <v>-2647</v>
      </c>
      <c r="AE4" s="429">
        <v>5440</v>
      </c>
      <c r="AF4" s="360">
        <v>0</v>
      </c>
      <c r="AG4" s="360">
        <v>0</v>
      </c>
      <c r="AH4" s="360">
        <v>0</v>
      </c>
      <c r="AI4" s="360">
        <v>0</v>
      </c>
      <c r="AJ4" s="360">
        <v>0</v>
      </c>
      <c r="AK4" s="360">
        <v>0</v>
      </c>
      <c r="AL4" s="360">
        <v>-39295</v>
      </c>
      <c r="AM4" s="362">
        <v>12282</v>
      </c>
      <c r="AN4" s="79">
        <v>0</v>
      </c>
      <c r="AO4" s="79">
        <v>5440</v>
      </c>
      <c r="AP4" s="374">
        <v>12282</v>
      </c>
      <c r="AQ4" s="80"/>
      <c r="AR4" s="79">
        <v>12282</v>
      </c>
      <c r="AS4" s="81"/>
      <c r="AT4" s="375">
        <v>44340</v>
      </c>
      <c r="AU4" s="375">
        <v>-23011</v>
      </c>
      <c r="AV4" s="375">
        <v>-72906</v>
      </c>
      <c r="AW4" s="375">
        <v>0</v>
      </c>
      <c r="AX4" s="375">
        <v>0</v>
      </c>
      <c r="AY4" s="375">
        <v>0</v>
      </c>
      <c r="AZ4" s="375">
        <v>0</v>
      </c>
      <c r="BA4" s="375">
        <v>0</v>
      </c>
      <c r="BB4" s="375">
        <v>0</v>
      </c>
      <c r="BC4" s="375">
        <v>0</v>
      </c>
      <c r="BD4" s="375">
        <v>0</v>
      </c>
      <c r="BE4" s="375">
        <v>0</v>
      </c>
      <c r="BF4" s="375">
        <v>-51577</v>
      </c>
      <c r="BG4" s="79">
        <v>44340</v>
      </c>
      <c r="BH4" s="79">
        <v>-23011</v>
      </c>
      <c r="BI4" s="79">
        <v>-72906</v>
      </c>
      <c r="BJ4" s="79">
        <v>0</v>
      </c>
      <c r="BK4" s="79">
        <v>0</v>
      </c>
      <c r="BL4" s="79">
        <v>0</v>
      </c>
      <c r="BM4" s="79">
        <v>0</v>
      </c>
      <c r="BN4" s="79">
        <v>0</v>
      </c>
      <c r="BO4" s="79">
        <v>0</v>
      </c>
      <c r="BP4" s="79">
        <v>0</v>
      </c>
      <c r="BQ4" s="79">
        <v>0</v>
      </c>
      <c r="BR4" s="79">
        <v>0</v>
      </c>
      <c r="BS4" s="79">
        <v>-51577</v>
      </c>
    </row>
    <row r="5" spans="1:71" ht="15" customHeight="1">
      <c r="A5" s="66" t="s">
        <v>1150</v>
      </c>
      <c r="B5" s="66" t="s">
        <v>52</v>
      </c>
      <c r="C5" s="66" t="s">
        <v>1151</v>
      </c>
      <c r="D5" s="150" t="s">
        <v>1136</v>
      </c>
      <c r="E5" s="482" t="s">
        <v>1566</v>
      </c>
      <c r="F5" s="150" t="s">
        <v>1135</v>
      </c>
      <c r="G5" s="150" t="s">
        <v>1145</v>
      </c>
      <c r="H5" s="150" t="s">
        <v>1135</v>
      </c>
      <c r="I5" s="150" t="s">
        <v>1145</v>
      </c>
      <c r="J5" s="150" t="s">
        <v>1137</v>
      </c>
      <c r="K5" s="511" t="s">
        <v>49</v>
      </c>
      <c r="L5" s="392" t="s">
        <v>1147</v>
      </c>
      <c r="M5" s="343"/>
      <c r="N5" s="343"/>
      <c r="O5" s="70" t="s">
        <v>53</v>
      </c>
      <c r="P5" s="346" t="s">
        <v>1153</v>
      </c>
      <c r="Q5" s="343"/>
      <c r="R5" s="346"/>
      <c r="S5" s="150" t="s">
        <v>25</v>
      </c>
      <c r="T5" s="150"/>
      <c r="U5" s="403"/>
      <c r="V5" s="406">
        <v>-694940</v>
      </c>
      <c r="W5" s="406">
        <v>-587120.73</v>
      </c>
      <c r="X5" s="425"/>
      <c r="Y5" s="71"/>
      <c r="Z5" s="426"/>
      <c r="AA5" s="427">
        <v>-20640.86</v>
      </c>
      <c r="AB5" s="427">
        <v>-10639.87</v>
      </c>
      <c r="AC5" s="428">
        <v>148175</v>
      </c>
      <c r="AD5" s="429">
        <v>-155623.00000000006</v>
      </c>
      <c r="AE5" s="429">
        <v>-142264</v>
      </c>
      <c r="AF5" s="363">
        <v>-11640</v>
      </c>
      <c r="AG5" s="363">
        <v>-116400</v>
      </c>
      <c r="AH5" s="363">
        <v>-75000</v>
      </c>
      <c r="AI5" s="363">
        <v>-75000</v>
      </c>
      <c r="AJ5" s="363">
        <v>-75000</v>
      </c>
      <c r="AK5" s="363">
        <v>-75000</v>
      </c>
      <c r="AL5" s="360">
        <v>-609032.7300000001</v>
      </c>
      <c r="AM5" s="362">
        <v>-21912.000000000116</v>
      </c>
      <c r="AN5" s="79">
        <v>-6440</v>
      </c>
      <c r="AO5" s="79">
        <v>-135824</v>
      </c>
      <c r="AP5" s="374">
        <v>-43872.000000000058</v>
      </c>
      <c r="AQ5" s="80"/>
      <c r="AR5" s="79">
        <v>-21912.000000000116</v>
      </c>
      <c r="AS5" s="81"/>
      <c r="AT5" s="375"/>
      <c r="AU5" s="375">
        <v>-20640.86</v>
      </c>
      <c r="AV5" s="375">
        <v>-10639.87</v>
      </c>
      <c r="AW5" s="375">
        <v>-55600</v>
      </c>
      <c r="AX5" s="375">
        <v>-6440</v>
      </c>
      <c r="AY5" s="375">
        <v>-43800</v>
      </c>
      <c r="AZ5" s="375">
        <v>-75000</v>
      </c>
      <c r="BA5" s="375">
        <v>-75000</v>
      </c>
      <c r="BB5" s="375">
        <v>-75000</v>
      </c>
      <c r="BC5" s="375">
        <v>-75000</v>
      </c>
      <c r="BD5" s="375">
        <v>-75000</v>
      </c>
      <c r="BE5" s="375">
        <v>-75000</v>
      </c>
      <c r="BF5" s="375">
        <v>-587120.73</v>
      </c>
      <c r="BG5" s="79"/>
      <c r="BH5" s="79">
        <v>-20640.86</v>
      </c>
      <c r="BI5" s="79">
        <v>-10639.87</v>
      </c>
      <c r="BJ5" s="79">
        <v>-54600</v>
      </c>
      <c r="BK5" s="79">
        <v>-50000</v>
      </c>
      <c r="BL5" s="79">
        <v>-33840</v>
      </c>
      <c r="BM5" s="79">
        <v>-75000</v>
      </c>
      <c r="BN5" s="79">
        <v>-75000</v>
      </c>
      <c r="BO5" s="79">
        <v>-75000</v>
      </c>
      <c r="BP5" s="79">
        <v>-75000</v>
      </c>
      <c r="BQ5" s="79">
        <v>-75000</v>
      </c>
      <c r="BR5" s="79">
        <v>-75000</v>
      </c>
      <c r="BS5" s="79">
        <v>-619720.73</v>
      </c>
    </row>
    <row r="6" spans="1:71" ht="15" customHeight="1">
      <c r="A6" s="66" t="s">
        <v>2878</v>
      </c>
      <c r="B6" s="66" t="s">
        <v>37</v>
      </c>
      <c r="C6" s="66" t="s">
        <v>2879</v>
      </c>
      <c r="D6" s="150" t="s">
        <v>1136</v>
      </c>
      <c r="E6" s="482" t="s">
        <v>1566</v>
      </c>
      <c r="F6" s="482" t="s">
        <v>1566</v>
      </c>
      <c r="G6" s="482" t="s">
        <v>1566</v>
      </c>
      <c r="H6" s="150" t="s">
        <v>1345</v>
      </c>
      <c r="I6" s="150" t="s">
        <v>1346</v>
      </c>
      <c r="J6" s="150" t="s">
        <v>1346</v>
      </c>
      <c r="K6" s="511" t="s">
        <v>22</v>
      </c>
      <c r="L6" s="392" t="s">
        <v>2868</v>
      </c>
      <c r="M6" s="343"/>
      <c r="N6" s="343"/>
      <c r="O6" s="70" t="s">
        <v>24</v>
      </c>
      <c r="P6" s="346" t="s">
        <v>1139</v>
      </c>
      <c r="Q6" s="346" t="s">
        <v>1140</v>
      </c>
      <c r="R6" s="346"/>
      <c r="S6" s="150" t="s">
        <v>25</v>
      </c>
      <c r="T6" s="150"/>
      <c r="U6" s="403"/>
      <c r="V6" s="406">
        <v>6952243.9899999993</v>
      </c>
      <c r="W6" s="406">
        <v>0</v>
      </c>
      <c r="X6" s="425"/>
      <c r="Y6" s="71"/>
      <c r="Z6" s="426"/>
      <c r="AA6" s="427"/>
      <c r="AB6" s="427"/>
      <c r="AC6" s="428" t="s">
        <v>1142</v>
      </c>
      <c r="AD6" s="429">
        <v>0</v>
      </c>
      <c r="AE6" s="429">
        <v>0</v>
      </c>
      <c r="AF6" s="363"/>
      <c r="AG6" s="363"/>
      <c r="AH6" s="363"/>
      <c r="AI6" s="363"/>
      <c r="AJ6" s="363"/>
      <c r="AK6" s="363"/>
      <c r="AL6" s="360">
        <v>0</v>
      </c>
      <c r="AM6" s="362">
        <v>0</v>
      </c>
      <c r="AN6" s="79"/>
      <c r="AO6" s="79">
        <v>0</v>
      </c>
      <c r="AP6" s="374">
        <v>0</v>
      </c>
      <c r="AQ6" s="80"/>
      <c r="AR6" s="79">
        <v>0</v>
      </c>
      <c r="AS6" s="81"/>
      <c r="AT6" s="375"/>
      <c r="AU6" s="375"/>
      <c r="AV6" s="375"/>
      <c r="AW6" s="375"/>
      <c r="AX6" s="375"/>
      <c r="AY6" s="375"/>
      <c r="AZ6" s="375"/>
      <c r="BA6" s="375"/>
      <c r="BB6" s="375"/>
      <c r="BC6" s="375"/>
      <c r="BD6" s="375"/>
      <c r="BE6" s="375"/>
      <c r="BF6" s="375">
        <v>0</v>
      </c>
      <c r="BG6" s="79">
        <v>423409.35</v>
      </c>
      <c r="BH6" s="79">
        <v>937161.13</v>
      </c>
      <c r="BI6" s="79">
        <v>426573.21</v>
      </c>
      <c r="BJ6" s="79">
        <v>561924.32999999996</v>
      </c>
      <c r="BK6" s="79">
        <v>560912.64000000001</v>
      </c>
      <c r="BL6" s="79">
        <v>576476.29</v>
      </c>
      <c r="BM6" s="79">
        <v>585831.80000000005</v>
      </c>
      <c r="BN6" s="79">
        <v>590499.77</v>
      </c>
      <c r="BO6" s="79">
        <v>590499.77</v>
      </c>
      <c r="BP6" s="79">
        <v>590499.77</v>
      </c>
      <c r="BQ6" s="79">
        <v>592897.86</v>
      </c>
      <c r="BR6" s="79">
        <v>592897.86</v>
      </c>
      <c r="BS6" s="79">
        <v>7029583.7799999993</v>
      </c>
    </row>
    <row r="7" spans="1:71" ht="15" customHeight="1">
      <c r="A7" s="66" t="s">
        <v>2885</v>
      </c>
      <c r="B7" s="66" t="s">
        <v>40</v>
      </c>
      <c r="C7" s="66" t="s">
        <v>2886</v>
      </c>
      <c r="D7" s="150" t="s">
        <v>1136</v>
      </c>
      <c r="E7" s="482" t="s">
        <v>1566</v>
      </c>
      <c r="F7" s="482" t="s">
        <v>1566</v>
      </c>
      <c r="G7" s="482" t="s">
        <v>1566</v>
      </c>
      <c r="H7" s="150" t="s">
        <v>1345</v>
      </c>
      <c r="I7" s="150" t="s">
        <v>1346</v>
      </c>
      <c r="J7" s="150" t="s">
        <v>1346</v>
      </c>
      <c r="K7" s="511" t="s">
        <v>22</v>
      </c>
      <c r="L7" s="392" t="s">
        <v>2870</v>
      </c>
      <c r="M7" s="343"/>
      <c r="N7" s="343"/>
      <c r="O7" s="70" t="s">
        <v>27</v>
      </c>
      <c r="P7" s="346" t="s">
        <v>1139</v>
      </c>
      <c r="Q7" s="346" t="s">
        <v>1140</v>
      </c>
      <c r="R7" s="346"/>
      <c r="S7" s="150" t="s">
        <v>25</v>
      </c>
      <c r="T7" s="150"/>
      <c r="U7" s="403"/>
      <c r="V7" s="406">
        <v>2865793.42</v>
      </c>
      <c r="W7" s="406">
        <v>0</v>
      </c>
      <c r="X7" s="425"/>
      <c r="Y7" s="71"/>
      <c r="Z7" s="426"/>
      <c r="AA7" s="427"/>
      <c r="AB7" s="427"/>
      <c r="AC7" s="428" t="s">
        <v>1142</v>
      </c>
      <c r="AD7" s="429">
        <v>0</v>
      </c>
      <c r="AE7" s="429">
        <v>0</v>
      </c>
      <c r="AF7" s="363"/>
      <c r="AG7" s="363"/>
      <c r="AH7" s="363"/>
      <c r="AI7" s="363"/>
      <c r="AJ7" s="363"/>
      <c r="AK7" s="363"/>
      <c r="AL7" s="360">
        <v>0</v>
      </c>
      <c r="AM7" s="362">
        <v>0</v>
      </c>
      <c r="AN7" s="79"/>
      <c r="AO7" s="79">
        <v>0</v>
      </c>
      <c r="AP7" s="374">
        <v>0</v>
      </c>
      <c r="AQ7" s="80"/>
      <c r="AR7" s="79">
        <v>0</v>
      </c>
      <c r="AS7" s="81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>
        <v>0</v>
      </c>
      <c r="BG7" s="79">
        <v>195133.21</v>
      </c>
      <c r="BH7" s="79">
        <v>214325.71</v>
      </c>
      <c r="BI7" s="79">
        <v>291685.48</v>
      </c>
      <c r="BJ7" s="79">
        <v>233173.12</v>
      </c>
      <c r="BK7" s="79">
        <v>232919.73</v>
      </c>
      <c r="BL7" s="79">
        <v>238777.23</v>
      </c>
      <c r="BM7" s="79">
        <v>240555.68</v>
      </c>
      <c r="BN7" s="79">
        <v>242084.56</v>
      </c>
      <c r="BO7" s="79">
        <v>242084.56</v>
      </c>
      <c r="BP7" s="79">
        <v>242084.56</v>
      </c>
      <c r="BQ7" s="79">
        <v>242516.91</v>
      </c>
      <c r="BR7" s="79">
        <v>242516.91</v>
      </c>
      <c r="BS7" s="79">
        <v>2857857.66</v>
      </c>
    </row>
    <row r="8" spans="1:71" ht="15" customHeight="1">
      <c r="A8" s="66" t="s">
        <v>1154</v>
      </c>
      <c r="B8" s="66" t="s">
        <v>52</v>
      </c>
      <c r="C8" s="66" t="s">
        <v>1155</v>
      </c>
      <c r="D8" s="150" t="s">
        <v>1136</v>
      </c>
      <c r="E8" s="482" t="s">
        <v>1566</v>
      </c>
      <c r="F8" s="150" t="s">
        <v>1135</v>
      </c>
      <c r="G8" s="150" t="s">
        <v>1156</v>
      </c>
      <c r="H8" s="150" t="s">
        <v>1135</v>
      </c>
      <c r="I8" s="150" t="s">
        <v>1156</v>
      </c>
      <c r="J8" s="150" t="s">
        <v>1137</v>
      </c>
      <c r="K8" s="511" t="s">
        <v>49</v>
      </c>
      <c r="L8" s="392" t="s">
        <v>1147</v>
      </c>
      <c r="M8" s="343"/>
      <c r="N8" s="343"/>
      <c r="O8" s="70" t="s">
        <v>53</v>
      </c>
      <c r="P8" s="346" t="s">
        <v>1153</v>
      </c>
      <c r="Q8" s="343"/>
      <c r="R8" s="346"/>
      <c r="S8" s="150" t="s">
        <v>25</v>
      </c>
      <c r="T8" s="526" t="s">
        <v>1158</v>
      </c>
      <c r="U8" s="403"/>
      <c r="V8" s="406">
        <v>0</v>
      </c>
      <c r="W8" s="406">
        <v>-1440</v>
      </c>
      <c r="X8" s="425"/>
      <c r="Y8" s="71"/>
      <c r="Z8" s="426"/>
      <c r="AA8" s="427">
        <v>-1440</v>
      </c>
      <c r="AB8" s="431">
        <v>0</v>
      </c>
      <c r="AC8" s="428">
        <v>0</v>
      </c>
      <c r="AD8" s="429">
        <v>0</v>
      </c>
      <c r="AE8" s="429">
        <v>-18000</v>
      </c>
      <c r="AF8" s="360">
        <v>0</v>
      </c>
      <c r="AG8" s="360">
        <v>0</v>
      </c>
      <c r="AH8" s="360">
        <v>0</v>
      </c>
      <c r="AI8" s="360">
        <v>0</v>
      </c>
      <c r="AJ8" s="360">
        <v>0</v>
      </c>
      <c r="AK8" s="360">
        <v>0</v>
      </c>
      <c r="AL8" s="360">
        <v>-19440</v>
      </c>
      <c r="AM8" s="362">
        <v>-18000</v>
      </c>
      <c r="AN8" s="79">
        <v>0</v>
      </c>
      <c r="AO8" s="79">
        <v>-18000</v>
      </c>
      <c r="AP8" s="374">
        <v>-18000</v>
      </c>
      <c r="AQ8" s="80"/>
      <c r="AR8" s="79">
        <v>-18000</v>
      </c>
      <c r="AS8" s="81"/>
      <c r="AT8" s="375"/>
      <c r="AU8" s="375">
        <v>-1440</v>
      </c>
      <c r="AV8" s="375">
        <v>0</v>
      </c>
      <c r="AW8" s="375">
        <v>0</v>
      </c>
      <c r="AX8" s="375">
        <v>0</v>
      </c>
      <c r="AY8" s="375">
        <v>0</v>
      </c>
      <c r="AZ8" s="375">
        <v>0</v>
      </c>
      <c r="BA8" s="375">
        <v>0</v>
      </c>
      <c r="BB8" s="375">
        <v>0</v>
      </c>
      <c r="BC8" s="375">
        <v>0</v>
      </c>
      <c r="BD8" s="375">
        <v>0</v>
      </c>
      <c r="BE8" s="375">
        <v>0</v>
      </c>
      <c r="BF8" s="375">
        <v>-1440</v>
      </c>
      <c r="BG8" s="79"/>
      <c r="BH8" s="79">
        <v>-1440</v>
      </c>
      <c r="BI8" s="79">
        <v>0</v>
      </c>
      <c r="BJ8" s="79">
        <v>0</v>
      </c>
      <c r="BK8" s="79">
        <v>0</v>
      </c>
      <c r="BL8" s="79">
        <v>0</v>
      </c>
      <c r="BM8" s="79">
        <v>0</v>
      </c>
      <c r="BN8" s="79">
        <v>0</v>
      </c>
      <c r="BO8" s="79">
        <v>0</v>
      </c>
      <c r="BP8" s="79">
        <v>0</v>
      </c>
      <c r="BQ8" s="79">
        <v>0</v>
      </c>
      <c r="BR8" s="79">
        <v>0</v>
      </c>
      <c r="BS8" s="79">
        <v>-1440</v>
      </c>
    </row>
    <row r="9" spans="1:71" ht="15" customHeight="1">
      <c r="A9" s="66" t="s">
        <v>1667</v>
      </c>
      <c r="B9" s="66" t="s">
        <v>337</v>
      </c>
      <c r="C9" s="66" t="s">
        <v>1668</v>
      </c>
      <c r="D9" s="150" t="s">
        <v>1136</v>
      </c>
      <c r="E9" s="482" t="s">
        <v>1566</v>
      </c>
      <c r="F9" s="482" t="s">
        <v>1566</v>
      </c>
      <c r="G9" s="482" t="s">
        <v>1566</v>
      </c>
      <c r="H9" s="150" t="s">
        <v>1345</v>
      </c>
      <c r="I9" s="150" t="s">
        <v>1346</v>
      </c>
      <c r="J9" s="150" t="s">
        <v>1346</v>
      </c>
      <c r="K9" s="511" t="s">
        <v>333</v>
      </c>
      <c r="L9" s="392" t="s">
        <v>1663</v>
      </c>
      <c r="M9" s="343"/>
      <c r="N9" s="343"/>
      <c r="O9" s="70" t="s">
        <v>336</v>
      </c>
      <c r="P9" s="346"/>
      <c r="Q9" s="346" t="s">
        <v>1140</v>
      </c>
      <c r="R9" s="346"/>
      <c r="S9" s="150" t="s">
        <v>25</v>
      </c>
      <c r="T9" s="150" t="s">
        <v>1666</v>
      </c>
      <c r="U9" s="403"/>
      <c r="V9" s="406">
        <v>0</v>
      </c>
      <c r="W9" s="406">
        <v>19503</v>
      </c>
      <c r="X9" s="425"/>
      <c r="Y9" s="71"/>
      <c r="Z9" s="426">
        <v>336</v>
      </c>
      <c r="AA9" s="427">
        <v>337</v>
      </c>
      <c r="AB9" s="427">
        <v>1883</v>
      </c>
      <c r="AC9" s="428">
        <v>852.00000000000011</v>
      </c>
      <c r="AD9" s="429">
        <v>1823.6399999999999</v>
      </c>
      <c r="AE9" s="429">
        <v>1823.62</v>
      </c>
      <c r="AF9" s="363">
        <v>1883</v>
      </c>
      <c r="AG9" s="363">
        <v>1883</v>
      </c>
      <c r="AH9" s="363">
        <v>1883</v>
      </c>
      <c r="AI9" s="363">
        <v>1883</v>
      </c>
      <c r="AJ9" s="363">
        <v>1883</v>
      </c>
      <c r="AK9" s="363">
        <v>1883</v>
      </c>
      <c r="AL9" s="360">
        <v>18353.259999999998</v>
      </c>
      <c r="AM9" s="362">
        <v>-1149.7400000000016</v>
      </c>
      <c r="AN9" s="79">
        <v>1883</v>
      </c>
      <c r="AO9" s="79">
        <v>-59.380000000000109</v>
      </c>
      <c r="AP9" s="374">
        <v>-1149.7400000000007</v>
      </c>
      <c r="AQ9" s="80"/>
      <c r="AR9" s="79">
        <v>-1149.7400000000016</v>
      </c>
      <c r="AS9" s="81"/>
      <c r="AT9" s="375">
        <v>336</v>
      </c>
      <c r="AU9" s="375">
        <v>337</v>
      </c>
      <c r="AV9" s="375">
        <v>1883</v>
      </c>
      <c r="AW9" s="375">
        <v>1883</v>
      </c>
      <c r="AX9" s="375">
        <v>1883</v>
      </c>
      <c r="AY9" s="375">
        <v>1883</v>
      </c>
      <c r="AZ9" s="375">
        <v>1883</v>
      </c>
      <c r="BA9" s="375">
        <v>1883</v>
      </c>
      <c r="BB9" s="375">
        <v>1883</v>
      </c>
      <c r="BC9" s="375">
        <v>1883</v>
      </c>
      <c r="BD9" s="375">
        <v>1883</v>
      </c>
      <c r="BE9" s="375">
        <v>1883</v>
      </c>
      <c r="BF9" s="375">
        <v>19503</v>
      </c>
      <c r="BG9" s="79">
        <v>336</v>
      </c>
      <c r="BH9" s="79">
        <v>337</v>
      </c>
      <c r="BI9" s="79">
        <v>1883</v>
      </c>
      <c r="BJ9" s="79">
        <v>0</v>
      </c>
      <c r="BK9" s="79">
        <v>0</v>
      </c>
      <c r="BL9" s="79">
        <v>0</v>
      </c>
      <c r="BM9" s="79">
        <v>0</v>
      </c>
      <c r="BN9" s="79">
        <v>0</v>
      </c>
      <c r="BO9" s="79">
        <v>0</v>
      </c>
      <c r="BP9" s="79">
        <v>0</v>
      </c>
      <c r="BQ9" s="79">
        <v>0</v>
      </c>
      <c r="BR9" s="79">
        <v>0</v>
      </c>
      <c r="BS9" s="79">
        <v>2556</v>
      </c>
    </row>
    <row r="10" spans="1:71" ht="15" customHeight="1">
      <c r="A10" s="66" t="s">
        <v>1159</v>
      </c>
      <c r="B10" s="66" t="s">
        <v>52</v>
      </c>
      <c r="C10" s="66" t="s">
        <v>1160</v>
      </c>
      <c r="D10" s="150" t="s">
        <v>1136</v>
      </c>
      <c r="E10" s="482" t="s">
        <v>1566</v>
      </c>
      <c r="F10" s="150" t="s">
        <v>1135</v>
      </c>
      <c r="G10" s="150" t="s">
        <v>1161</v>
      </c>
      <c r="H10" s="150" t="s">
        <v>1135</v>
      </c>
      <c r="I10" s="150" t="s">
        <v>1161</v>
      </c>
      <c r="J10" s="150" t="s">
        <v>1137</v>
      </c>
      <c r="K10" s="511" t="s">
        <v>49</v>
      </c>
      <c r="L10" s="392" t="s">
        <v>1147</v>
      </c>
      <c r="M10" s="343"/>
      <c r="N10" s="343"/>
      <c r="O10" s="70" t="s">
        <v>53</v>
      </c>
      <c r="P10" s="346" t="s">
        <v>1153</v>
      </c>
      <c r="Q10" s="343"/>
      <c r="R10" s="346"/>
      <c r="S10" s="150" t="s">
        <v>25</v>
      </c>
      <c r="T10" s="150" t="s">
        <v>1162</v>
      </c>
      <c r="U10" s="403"/>
      <c r="V10" s="406">
        <v>0</v>
      </c>
      <c r="W10" s="406">
        <v>-68766</v>
      </c>
      <c r="X10" s="425"/>
      <c r="Y10" s="71"/>
      <c r="Z10" s="426"/>
      <c r="AA10" s="427">
        <v>-57216</v>
      </c>
      <c r="AB10" s="427">
        <v>-11550</v>
      </c>
      <c r="AC10" s="428" t="s">
        <v>1142</v>
      </c>
      <c r="AD10" s="429">
        <v>0</v>
      </c>
      <c r="AE10" s="429">
        <v>0</v>
      </c>
      <c r="AF10" s="360">
        <v>0</v>
      </c>
      <c r="AG10" s="360">
        <v>0</v>
      </c>
      <c r="AH10" s="360">
        <v>0</v>
      </c>
      <c r="AI10" s="360">
        <v>0</v>
      </c>
      <c r="AJ10" s="360">
        <v>0</v>
      </c>
      <c r="AK10" s="360">
        <v>0</v>
      </c>
      <c r="AL10" s="360">
        <v>-68766</v>
      </c>
      <c r="AM10" s="362">
        <v>0</v>
      </c>
      <c r="AN10" s="79">
        <v>0</v>
      </c>
      <c r="AO10" s="79">
        <v>0</v>
      </c>
      <c r="AP10" s="374">
        <v>0</v>
      </c>
      <c r="AQ10" s="80"/>
      <c r="AR10" s="79">
        <v>0</v>
      </c>
      <c r="AS10" s="81"/>
      <c r="AT10" s="375"/>
      <c r="AU10" s="375">
        <v>-57216</v>
      </c>
      <c r="AV10" s="375">
        <v>-11550</v>
      </c>
      <c r="AW10" s="375">
        <v>0</v>
      </c>
      <c r="AX10" s="375">
        <v>0</v>
      </c>
      <c r="AY10" s="375">
        <v>0</v>
      </c>
      <c r="AZ10" s="375">
        <v>0</v>
      </c>
      <c r="BA10" s="375">
        <v>0</v>
      </c>
      <c r="BB10" s="375">
        <v>0</v>
      </c>
      <c r="BC10" s="375">
        <v>0</v>
      </c>
      <c r="BD10" s="375">
        <v>0</v>
      </c>
      <c r="BE10" s="375">
        <v>0</v>
      </c>
      <c r="BF10" s="375">
        <v>-68766</v>
      </c>
      <c r="BG10" s="79"/>
      <c r="BH10" s="79">
        <v>-57216</v>
      </c>
      <c r="BI10" s="79">
        <v>-11550</v>
      </c>
      <c r="BJ10" s="79">
        <v>0</v>
      </c>
      <c r="BK10" s="79">
        <v>0</v>
      </c>
      <c r="BL10" s="79">
        <v>0</v>
      </c>
      <c r="BM10" s="79">
        <v>0</v>
      </c>
      <c r="BN10" s="79">
        <v>0</v>
      </c>
      <c r="BO10" s="79">
        <v>0</v>
      </c>
      <c r="BP10" s="79">
        <v>0</v>
      </c>
      <c r="BQ10" s="79">
        <v>0</v>
      </c>
      <c r="BR10" s="79">
        <v>0</v>
      </c>
      <c r="BS10" s="79">
        <v>-68766</v>
      </c>
    </row>
    <row r="11" spans="1:71" ht="15" customHeight="1">
      <c r="A11" s="150" t="s">
        <v>1163</v>
      </c>
      <c r="B11" s="536" t="s">
        <v>52</v>
      </c>
      <c r="C11" s="296" t="s">
        <v>1164</v>
      </c>
      <c r="D11" s="150" t="s">
        <v>1136</v>
      </c>
      <c r="E11" s="482" t="s">
        <v>1566</v>
      </c>
      <c r="F11" s="150" t="s">
        <v>1135</v>
      </c>
      <c r="G11" s="150" t="s">
        <v>1165</v>
      </c>
      <c r="H11" s="150" t="s">
        <v>1135</v>
      </c>
      <c r="I11" s="150" t="s">
        <v>1165</v>
      </c>
      <c r="J11" s="150" t="s">
        <v>1165</v>
      </c>
      <c r="K11" s="514" t="s">
        <v>49</v>
      </c>
      <c r="L11" s="394" t="s">
        <v>1166</v>
      </c>
      <c r="M11" s="333" t="s">
        <v>1167</v>
      </c>
      <c r="N11" s="332" t="s">
        <v>1168</v>
      </c>
      <c r="O11" s="90" t="s">
        <v>53</v>
      </c>
      <c r="P11" s="347"/>
      <c r="Q11" s="347"/>
      <c r="R11" s="348"/>
      <c r="S11" s="348"/>
      <c r="T11" s="348"/>
      <c r="U11" s="402"/>
      <c r="V11" s="406"/>
      <c r="W11" s="406"/>
      <c r="X11" s="425"/>
      <c r="Y11" s="71"/>
      <c r="Z11" s="435"/>
      <c r="AA11" s="436"/>
      <c r="AB11" s="436"/>
      <c r="AC11" s="429">
        <v>24147</v>
      </c>
      <c r="AD11" s="429">
        <v>-46130</v>
      </c>
      <c r="AE11" s="429">
        <v>-215360</v>
      </c>
      <c r="AF11" s="364"/>
      <c r="AG11" s="364"/>
      <c r="AH11" s="364"/>
      <c r="AI11" s="364"/>
      <c r="AJ11" s="364"/>
      <c r="AK11" s="364"/>
      <c r="AL11" s="360">
        <v>-237343</v>
      </c>
      <c r="AM11" s="362">
        <v>-237343</v>
      </c>
      <c r="AN11" s="79"/>
      <c r="AO11" s="79">
        <v>-215360</v>
      </c>
      <c r="AP11" s="374">
        <v>-237343</v>
      </c>
      <c r="AQ11" s="80"/>
      <c r="AR11" s="79">
        <v>-237343</v>
      </c>
      <c r="AS11" s="81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</row>
    <row r="12" spans="1:71" ht="15" customHeight="1">
      <c r="A12" s="150" t="s">
        <v>1169</v>
      </c>
      <c r="B12" s="536" t="s">
        <v>55</v>
      </c>
      <c r="C12" t="s">
        <v>55</v>
      </c>
      <c r="D12" s="150" t="s">
        <v>1136</v>
      </c>
      <c r="E12" s="482" t="s">
        <v>1566</v>
      </c>
      <c r="F12" s="150" t="s">
        <v>1135</v>
      </c>
      <c r="G12" s="150" t="s">
        <v>1135</v>
      </c>
      <c r="H12" s="150" t="s">
        <v>1135</v>
      </c>
      <c r="I12" s="150" t="s">
        <v>1135</v>
      </c>
      <c r="J12" s="150" t="s">
        <v>1135</v>
      </c>
      <c r="K12" s="514" t="s">
        <v>49</v>
      </c>
      <c r="L12" s="394" t="s">
        <v>1170</v>
      </c>
      <c r="M12" s="333"/>
      <c r="N12" s="332" t="s">
        <v>1171</v>
      </c>
      <c r="O12" s="90" t="s">
        <v>56</v>
      </c>
      <c r="P12" s="347"/>
      <c r="Q12" s="347"/>
      <c r="R12" s="348"/>
      <c r="S12" s="348"/>
      <c r="T12" s="348"/>
      <c r="U12" s="402"/>
      <c r="V12" s="406"/>
      <c r="W12" s="406"/>
      <c r="X12" s="425"/>
      <c r="Y12" s="71"/>
      <c r="Z12" s="435"/>
      <c r="AA12" s="436"/>
      <c r="AB12" s="436"/>
      <c r="AC12" s="429"/>
      <c r="AD12" s="429">
        <v>550</v>
      </c>
      <c r="AE12" s="429">
        <v>0</v>
      </c>
      <c r="AF12" s="364"/>
      <c r="AG12" s="364"/>
      <c r="AH12" s="364"/>
      <c r="AI12" s="364"/>
      <c r="AJ12" s="364"/>
      <c r="AK12" s="364"/>
      <c r="AL12" s="360">
        <v>550</v>
      </c>
      <c r="AM12" s="362">
        <v>550</v>
      </c>
      <c r="AN12" s="79"/>
      <c r="AO12" s="79">
        <v>0</v>
      </c>
      <c r="AP12" s="374">
        <v>550</v>
      </c>
      <c r="AQ12" s="80"/>
      <c r="AR12" s="79">
        <v>550</v>
      </c>
      <c r="AS12" s="81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375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</row>
    <row r="13" spans="1:71" ht="15" customHeight="1">
      <c r="A13" s="66" t="s">
        <v>1172</v>
      </c>
      <c r="B13" s="66" t="s">
        <v>55</v>
      </c>
      <c r="C13" s="66" t="s">
        <v>1173</v>
      </c>
      <c r="D13" s="150" t="s">
        <v>1136</v>
      </c>
      <c r="E13" s="482" t="s">
        <v>1566</v>
      </c>
      <c r="F13" s="150" t="s">
        <v>1135</v>
      </c>
      <c r="G13" s="150" t="s">
        <v>1165</v>
      </c>
      <c r="H13" s="150" t="s">
        <v>1135</v>
      </c>
      <c r="I13" s="150" t="s">
        <v>1165</v>
      </c>
      <c r="J13" s="150" t="s">
        <v>1137</v>
      </c>
      <c r="K13" s="511" t="s">
        <v>49</v>
      </c>
      <c r="L13" s="392" t="s">
        <v>1174</v>
      </c>
      <c r="M13" s="343"/>
      <c r="N13" s="343"/>
      <c r="O13" s="70" t="s">
        <v>56</v>
      </c>
      <c r="P13" s="346" t="s">
        <v>1139</v>
      </c>
      <c r="Q13" s="346" t="s">
        <v>1140</v>
      </c>
      <c r="R13" s="346"/>
      <c r="S13" s="150" t="s">
        <v>57</v>
      </c>
      <c r="T13" s="150"/>
      <c r="U13" s="403"/>
      <c r="V13" s="406">
        <v>0</v>
      </c>
      <c r="W13" s="406">
        <v>1080</v>
      </c>
      <c r="X13" s="425"/>
      <c r="Y13" s="71"/>
      <c r="Z13" s="426">
        <v>360</v>
      </c>
      <c r="AA13" s="427">
        <v>360</v>
      </c>
      <c r="AB13" s="427">
        <v>360</v>
      </c>
      <c r="AC13" s="428">
        <v>0</v>
      </c>
      <c r="AD13" s="429">
        <v>0</v>
      </c>
      <c r="AE13" s="429">
        <v>0</v>
      </c>
      <c r="AF13" s="360">
        <v>0</v>
      </c>
      <c r="AG13" s="360">
        <v>0</v>
      </c>
      <c r="AH13" s="360">
        <v>0</v>
      </c>
      <c r="AI13" s="360">
        <v>0</v>
      </c>
      <c r="AJ13" s="360">
        <v>0</v>
      </c>
      <c r="AK13" s="360">
        <v>0</v>
      </c>
      <c r="AL13" s="360">
        <v>1080</v>
      </c>
      <c r="AM13" s="362">
        <v>0</v>
      </c>
      <c r="AN13" s="79">
        <v>0</v>
      </c>
      <c r="AO13" s="79">
        <v>0</v>
      </c>
      <c r="AP13" s="374">
        <v>0</v>
      </c>
      <c r="AQ13" s="80"/>
      <c r="AR13" s="79">
        <v>0</v>
      </c>
      <c r="AS13" s="81"/>
      <c r="AT13" s="375">
        <v>360</v>
      </c>
      <c r="AU13" s="375">
        <v>360</v>
      </c>
      <c r="AV13" s="375">
        <v>360</v>
      </c>
      <c r="AW13" s="375">
        <v>0</v>
      </c>
      <c r="AX13" s="375">
        <v>0</v>
      </c>
      <c r="AY13" s="375">
        <v>0</v>
      </c>
      <c r="AZ13" s="375">
        <v>0</v>
      </c>
      <c r="BA13" s="375">
        <v>0</v>
      </c>
      <c r="BB13" s="375">
        <v>0</v>
      </c>
      <c r="BC13" s="375">
        <v>0</v>
      </c>
      <c r="BD13" s="375">
        <v>0</v>
      </c>
      <c r="BE13" s="375">
        <v>0</v>
      </c>
      <c r="BF13" s="375">
        <v>1080</v>
      </c>
      <c r="BG13" s="79">
        <v>360</v>
      </c>
      <c r="BH13" s="79">
        <v>360</v>
      </c>
      <c r="BI13" s="79">
        <v>360</v>
      </c>
      <c r="BJ13" s="79">
        <v>0</v>
      </c>
      <c r="BK13" s="79">
        <v>0</v>
      </c>
      <c r="BL13" s="79">
        <v>0</v>
      </c>
      <c r="BM13" s="79">
        <v>0</v>
      </c>
      <c r="BN13" s="79">
        <v>0</v>
      </c>
      <c r="BO13" s="79">
        <v>0</v>
      </c>
      <c r="BP13" s="79">
        <v>0</v>
      </c>
      <c r="BQ13" s="79">
        <v>0</v>
      </c>
      <c r="BR13" s="79">
        <v>0</v>
      </c>
      <c r="BS13" s="79">
        <v>1080</v>
      </c>
    </row>
    <row r="14" spans="1:71" ht="15" customHeight="1">
      <c r="A14" s="66" t="s">
        <v>1279</v>
      </c>
      <c r="B14" s="66" t="s">
        <v>120</v>
      </c>
      <c r="C14" s="66" t="s">
        <v>1280</v>
      </c>
      <c r="D14" s="150" t="s">
        <v>1136</v>
      </c>
      <c r="E14" s="482" t="s">
        <v>1566</v>
      </c>
      <c r="F14" s="150" t="s">
        <v>1135</v>
      </c>
      <c r="G14" s="150" t="s">
        <v>1135</v>
      </c>
      <c r="H14" s="150" t="s">
        <v>1135</v>
      </c>
      <c r="I14" s="150" t="s">
        <v>1137</v>
      </c>
      <c r="J14" s="150" t="s">
        <v>1137</v>
      </c>
      <c r="K14" s="511" t="s">
        <v>49</v>
      </c>
      <c r="L14" s="392" t="s">
        <v>1281</v>
      </c>
      <c r="M14" s="343"/>
      <c r="N14" s="343"/>
      <c r="O14" s="70" t="s">
        <v>121</v>
      </c>
      <c r="P14" s="346"/>
      <c r="Q14" s="343"/>
      <c r="R14" s="346"/>
      <c r="S14" s="150" t="s">
        <v>122</v>
      </c>
      <c r="T14" s="150"/>
      <c r="U14" s="404"/>
      <c r="V14" s="407">
        <v>0</v>
      </c>
      <c r="W14" s="407">
        <v>0</v>
      </c>
      <c r="X14" s="430"/>
      <c r="Y14" s="137"/>
      <c r="Z14" s="426">
        <v>10113</v>
      </c>
      <c r="AA14" s="427">
        <v>11863.11</v>
      </c>
      <c r="AB14" s="427">
        <v>-21976.11</v>
      </c>
      <c r="AC14" s="428">
        <v>0</v>
      </c>
      <c r="AD14" s="429">
        <v>0</v>
      </c>
      <c r="AE14" s="429">
        <v>0</v>
      </c>
      <c r="AF14" s="363"/>
      <c r="AG14" s="363"/>
      <c r="AH14" s="363"/>
      <c r="AI14" s="363"/>
      <c r="AJ14" s="363"/>
      <c r="AK14" s="363"/>
      <c r="AL14" s="360">
        <v>0</v>
      </c>
      <c r="AM14" s="362">
        <v>0</v>
      </c>
      <c r="AN14" s="79"/>
      <c r="AO14" s="79">
        <v>0</v>
      </c>
      <c r="AP14" s="374">
        <v>0</v>
      </c>
      <c r="AQ14" s="80"/>
      <c r="AR14" s="79">
        <v>0</v>
      </c>
      <c r="AS14" s="81"/>
      <c r="AT14" s="375">
        <v>10113</v>
      </c>
      <c r="AU14" s="375">
        <v>11863.11</v>
      </c>
      <c r="AV14" s="375">
        <v>-21976.11</v>
      </c>
      <c r="AW14" s="375"/>
      <c r="AX14" s="375"/>
      <c r="AY14" s="375"/>
      <c r="AZ14" s="375"/>
      <c r="BA14" s="375"/>
      <c r="BB14" s="375"/>
      <c r="BC14" s="375"/>
      <c r="BD14" s="375"/>
      <c r="BE14" s="375"/>
      <c r="BF14" s="375">
        <v>0</v>
      </c>
      <c r="BG14" s="79">
        <v>10113</v>
      </c>
      <c r="BH14" s="79">
        <v>11863.11</v>
      </c>
      <c r="BI14" s="79">
        <v>-21976.11</v>
      </c>
      <c r="BJ14" s="79"/>
      <c r="BK14" s="79"/>
      <c r="BL14" s="79"/>
      <c r="BM14" s="79"/>
      <c r="BN14" s="79"/>
      <c r="BO14" s="79"/>
      <c r="BP14" s="79"/>
      <c r="BQ14" s="79"/>
      <c r="BR14" s="79"/>
      <c r="BS14" s="79">
        <v>0</v>
      </c>
    </row>
    <row r="15" spans="1:71" ht="15" customHeight="1">
      <c r="A15" s="66" t="s">
        <v>1282</v>
      </c>
      <c r="B15" s="66" t="s">
        <v>120</v>
      </c>
      <c r="C15" s="66" t="s">
        <v>1283</v>
      </c>
      <c r="D15" s="150" t="s">
        <v>1136</v>
      </c>
      <c r="E15" s="482" t="s">
        <v>1566</v>
      </c>
      <c r="F15" s="150" t="s">
        <v>1135</v>
      </c>
      <c r="G15" s="150" t="s">
        <v>1165</v>
      </c>
      <c r="H15" s="150" t="s">
        <v>1135</v>
      </c>
      <c r="I15" s="150" t="s">
        <v>1165</v>
      </c>
      <c r="J15" s="150" t="s">
        <v>1137</v>
      </c>
      <c r="K15" s="511" t="s">
        <v>49</v>
      </c>
      <c r="L15" s="392" t="s">
        <v>1281</v>
      </c>
      <c r="M15" s="343"/>
      <c r="N15" s="343"/>
      <c r="O15" s="70" t="s">
        <v>121</v>
      </c>
      <c r="P15" s="346"/>
      <c r="Q15" s="343"/>
      <c r="R15" s="346"/>
      <c r="S15" s="150" t="s">
        <v>122</v>
      </c>
      <c r="T15" s="150"/>
      <c r="U15" s="403"/>
      <c r="V15" s="406">
        <v>150000</v>
      </c>
      <c r="W15" s="406">
        <v>149999.65</v>
      </c>
      <c r="X15" s="425"/>
      <c r="Y15" s="71"/>
      <c r="Z15" s="426"/>
      <c r="AA15" s="427"/>
      <c r="AB15" s="427">
        <v>36597.65</v>
      </c>
      <c r="AC15" s="428">
        <v>17284.68</v>
      </c>
      <c r="AD15" s="429">
        <v>12179.44</v>
      </c>
      <c r="AE15" s="429">
        <v>11999.990000000002</v>
      </c>
      <c r="AF15" s="363">
        <v>12000</v>
      </c>
      <c r="AG15" s="363">
        <v>12000</v>
      </c>
      <c r="AH15" s="363">
        <v>12000</v>
      </c>
      <c r="AI15" s="363">
        <v>12000</v>
      </c>
      <c r="AJ15" s="363">
        <v>12000</v>
      </c>
      <c r="AK15" s="363">
        <v>12000</v>
      </c>
      <c r="AL15" s="360">
        <v>150061.76000000001</v>
      </c>
      <c r="AM15" s="362">
        <v>62.110000000015134</v>
      </c>
      <c r="AN15" s="79">
        <v>12900</v>
      </c>
      <c r="AO15" s="79">
        <v>-900.0099999999984</v>
      </c>
      <c r="AP15" s="374">
        <v>3062.1100000000151</v>
      </c>
      <c r="AQ15" s="80"/>
      <c r="AR15" s="79">
        <v>62.110000000015134</v>
      </c>
      <c r="AS15" s="81"/>
      <c r="AT15" s="375"/>
      <c r="AU15" s="375"/>
      <c r="AV15" s="375">
        <v>36597.65</v>
      </c>
      <c r="AW15" s="375">
        <v>12900</v>
      </c>
      <c r="AX15" s="375">
        <v>12900</v>
      </c>
      <c r="AY15" s="375">
        <v>12602</v>
      </c>
      <c r="AZ15" s="375">
        <v>12500</v>
      </c>
      <c r="BA15" s="375">
        <v>12500</v>
      </c>
      <c r="BB15" s="375">
        <v>12500</v>
      </c>
      <c r="BC15" s="375">
        <v>12500</v>
      </c>
      <c r="BD15" s="375">
        <v>12500</v>
      </c>
      <c r="BE15" s="375">
        <v>12500</v>
      </c>
      <c r="BF15" s="375">
        <v>149999.65</v>
      </c>
      <c r="BG15" s="79"/>
      <c r="BH15" s="79"/>
      <c r="BI15" s="79">
        <v>36597.65</v>
      </c>
      <c r="BJ15" s="79">
        <v>12500</v>
      </c>
      <c r="BK15" s="79">
        <v>12500</v>
      </c>
      <c r="BL15" s="79">
        <v>12500</v>
      </c>
      <c r="BM15" s="79">
        <v>12500</v>
      </c>
      <c r="BN15" s="79">
        <v>12500</v>
      </c>
      <c r="BO15" s="79">
        <v>12500</v>
      </c>
      <c r="BP15" s="79">
        <v>12500</v>
      </c>
      <c r="BQ15" s="79">
        <v>12500</v>
      </c>
      <c r="BR15" s="79">
        <v>12500</v>
      </c>
      <c r="BS15" s="79">
        <v>149097.65</v>
      </c>
    </row>
    <row r="16" spans="1:71" ht="15" customHeight="1">
      <c r="A16" s="66" t="s">
        <v>2840</v>
      </c>
      <c r="B16" s="66" t="s">
        <v>1034</v>
      </c>
      <c r="C16" s="66" t="s">
        <v>2841</v>
      </c>
      <c r="D16" s="150" t="s">
        <v>1136</v>
      </c>
      <c r="E16" s="482" t="s">
        <v>1566</v>
      </c>
      <c r="F16" s="482" t="s">
        <v>1566</v>
      </c>
      <c r="G16" s="482" t="s">
        <v>1566</v>
      </c>
      <c r="H16" s="150" t="s">
        <v>1345</v>
      </c>
      <c r="I16" s="150" t="s">
        <v>1346</v>
      </c>
      <c r="J16" s="150" t="s">
        <v>1346</v>
      </c>
      <c r="K16" s="511" t="s">
        <v>1027</v>
      </c>
      <c r="L16" s="392" t="s">
        <v>2830</v>
      </c>
      <c r="M16" s="343"/>
      <c r="N16" s="343"/>
      <c r="O16" s="70" t="s">
        <v>1029</v>
      </c>
      <c r="P16" s="346"/>
      <c r="Q16" s="343"/>
      <c r="R16" s="346"/>
      <c r="S16" s="150" t="s">
        <v>25</v>
      </c>
      <c r="T16" s="150"/>
      <c r="U16" s="403"/>
      <c r="V16" s="406">
        <v>157900</v>
      </c>
      <c r="W16" s="406">
        <v>130982.95</v>
      </c>
      <c r="X16" s="430"/>
      <c r="Y16" s="137"/>
      <c r="Z16" s="426">
        <v>2896.56</v>
      </c>
      <c r="AA16" s="427">
        <v>3761.9</v>
      </c>
      <c r="AB16" s="427">
        <v>4324.49</v>
      </c>
      <c r="AC16" s="428">
        <v>5457.6899999999987</v>
      </c>
      <c r="AD16" s="429">
        <v>8526.0100000000039</v>
      </c>
      <c r="AE16" s="429">
        <v>5199.119999999999</v>
      </c>
      <c r="AF16" s="363">
        <v>13500</v>
      </c>
      <c r="AG16" s="363">
        <v>13700</v>
      </c>
      <c r="AH16" s="363">
        <v>13700</v>
      </c>
      <c r="AI16" s="363">
        <v>13700</v>
      </c>
      <c r="AJ16" s="363">
        <v>13800</v>
      </c>
      <c r="AK16" s="363">
        <v>13800</v>
      </c>
      <c r="AL16" s="360">
        <v>112365.77</v>
      </c>
      <c r="AM16" s="362">
        <v>-18617.179999999993</v>
      </c>
      <c r="AN16" s="79">
        <v>12300</v>
      </c>
      <c r="AO16" s="79">
        <v>-7100.880000000001</v>
      </c>
      <c r="AP16" s="374">
        <v>-18617.179999999997</v>
      </c>
      <c r="AQ16" s="80"/>
      <c r="AR16" s="79">
        <v>-18617.179999999993</v>
      </c>
      <c r="AS16" s="81"/>
      <c r="AT16" s="375">
        <v>2896.56</v>
      </c>
      <c r="AU16" s="375">
        <v>3761.9</v>
      </c>
      <c r="AV16" s="375">
        <v>4324.49</v>
      </c>
      <c r="AW16" s="375">
        <v>12300</v>
      </c>
      <c r="AX16" s="375">
        <v>12300</v>
      </c>
      <c r="AY16" s="375">
        <v>13200</v>
      </c>
      <c r="AZ16" s="375">
        <v>13500</v>
      </c>
      <c r="BA16" s="375">
        <v>13700</v>
      </c>
      <c r="BB16" s="375">
        <v>13700</v>
      </c>
      <c r="BC16" s="375">
        <v>13700</v>
      </c>
      <c r="BD16" s="375">
        <v>13800</v>
      </c>
      <c r="BE16" s="375">
        <v>13800</v>
      </c>
      <c r="BF16" s="375">
        <v>130982.95</v>
      </c>
      <c r="BG16" s="79">
        <v>2896.56</v>
      </c>
      <c r="BH16" s="79">
        <v>3761.9</v>
      </c>
      <c r="BI16" s="79">
        <v>4324.49</v>
      </c>
      <c r="BJ16" s="79">
        <v>12300</v>
      </c>
      <c r="BK16" s="79">
        <v>12300</v>
      </c>
      <c r="BL16" s="79">
        <v>13200</v>
      </c>
      <c r="BM16" s="79">
        <v>13500</v>
      </c>
      <c r="BN16" s="79">
        <v>13700</v>
      </c>
      <c r="BO16" s="79">
        <v>13700</v>
      </c>
      <c r="BP16" s="79">
        <v>13700</v>
      </c>
      <c r="BQ16" s="79">
        <v>13800</v>
      </c>
      <c r="BR16" s="79">
        <v>13800</v>
      </c>
      <c r="BS16" s="79">
        <v>130982.95</v>
      </c>
    </row>
    <row r="17" spans="1:71" ht="15" customHeight="1">
      <c r="A17" s="66" t="s">
        <v>2860</v>
      </c>
      <c r="B17" s="66" t="s">
        <v>1047</v>
      </c>
      <c r="C17" s="66" t="s">
        <v>2861</v>
      </c>
      <c r="D17" s="150" t="s">
        <v>1136</v>
      </c>
      <c r="E17" s="482" t="s">
        <v>1566</v>
      </c>
      <c r="F17" s="482" t="s">
        <v>1566</v>
      </c>
      <c r="G17" s="482" t="s">
        <v>1566</v>
      </c>
      <c r="H17" s="150" t="s">
        <v>1345</v>
      </c>
      <c r="I17" s="150" t="s">
        <v>1346</v>
      </c>
      <c r="J17" s="150" t="s">
        <v>1346</v>
      </c>
      <c r="K17" s="511" t="s">
        <v>1037</v>
      </c>
      <c r="L17" s="392" t="s">
        <v>2846</v>
      </c>
      <c r="M17" s="343"/>
      <c r="N17" s="343"/>
      <c r="O17" s="70" t="s">
        <v>1039</v>
      </c>
      <c r="P17" s="346"/>
      <c r="Q17" s="346" t="s">
        <v>1140</v>
      </c>
      <c r="R17" s="346"/>
      <c r="S17" s="150" t="s">
        <v>1040</v>
      </c>
      <c r="T17" s="150"/>
      <c r="U17" s="403"/>
      <c r="V17" s="406">
        <v>0</v>
      </c>
      <c r="W17" s="406">
        <v>23976.370000000003</v>
      </c>
      <c r="X17" s="425"/>
      <c r="Y17" s="71"/>
      <c r="Z17" s="426">
        <v>10095.790000000001</v>
      </c>
      <c r="AA17" s="427">
        <v>9921.4500000000007</v>
      </c>
      <c r="AB17" s="427">
        <v>3959.13</v>
      </c>
      <c r="AC17" s="428">
        <v>7339.65</v>
      </c>
      <c r="AD17" s="429">
        <v>-891.2900000000003</v>
      </c>
      <c r="AE17" s="429">
        <v>4400.72</v>
      </c>
      <c r="AF17" s="360">
        <v>0</v>
      </c>
      <c r="AG17" s="360">
        <v>0</v>
      </c>
      <c r="AH17" s="360">
        <v>0</v>
      </c>
      <c r="AI17" s="360">
        <v>0</v>
      </c>
      <c r="AJ17" s="360">
        <v>0</v>
      </c>
      <c r="AK17" s="360">
        <v>0</v>
      </c>
      <c r="AL17" s="360">
        <v>34825.450000000004</v>
      </c>
      <c r="AM17" s="362">
        <v>10849.080000000002</v>
      </c>
      <c r="AN17" s="79">
        <v>0</v>
      </c>
      <c r="AO17" s="79">
        <v>4400.72</v>
      </c>
      <c r="AP17" s="374">
        <v>10849.080000000002</v>
      </c>
      <c r="AQ17" s="80"/>
      <c r="AR17" s="79">
        <v>10849.080000000002</v>
      </c>
      <c r="AS17" s="81"/>
      <c r="AT17" s="375">
        <v>10095.790000000001</v>
      </c>
      <c r="AU17" s="375">
        <v>9921.4500000000007</v>
      </c>
      <c r="AV17" s="375">
        <v>3959.13</v>
      </c>
      <c r="AW17" s="375">
        <v>0</v>
      </c>
      <c r="AX17" s="375">
        <v>0</v>
      </c>
      <c r="AY17" s="375">
        <v>0</v>
      </c>
      <c r="AZ17" s="375">
        <v>0</v>
      </c>
      <c r="BA17" s="375">
        <v>0</v>
      </c>
      <c r="BB17" s="375">
        <v>0</v>
      </c>
      <c r="BC17" s="375">
        <v>0</v>
      </c>
      <c r="BD17" s="375">
        <v>0</v>
      </c>
      <c r="BE17" s="375">
        <v>0</v>
      </c>
      <c r="BF17" s="375">
        <v>23976.370000000003</v>
      </c>
      <c r="BG17" s="79">
        <v>10095.790000000001</v>
      </c>
      <c r="BH17" s="79">
        <v>9921.4500000000007</v>
      </c>
      <c r="BI17" s="79">
        <v>3959.13</v>
      </c>
      <c r="BJ17" s="79">
        <v>0</v>
      </c>
      <c r="BK17" s="79">
        <v>0</v>
      </c>
      <c r="BL17" s="79">
        <v>0</v>
      </c>
      <c r="BM17" s="79">
        <v>0</v>
      </c>
      <c r="BN17" s="79">
        <v>0</v>
      </c>
      <c r="BO17" s="79">
        <v>0</v>
      </c>
      <c r="BP17" s="79">
        <v>0</v>
      </c>
      <c r="BQ17" s="79">
        <v>0</v>
      </c>
      <c r="BR17" s="79">
        <v>0</v>
      </c>
      <c r="BS17" s="79">
        <v>23976.370000000003</v>
      </c>
    </row>
    <row r="18" spans="1:71" ht="15" customHeight="1">
      <c r="A18" s="66" t="s">
        <v>1326</v>
      </c>
      <c r="B18" s="66" t="s">
        <v>146</v>
      </c>
      <c r="C18" s="66" t="s">
        <v>146</v>
      </c>
      <c r="D18" s="150" t="s">
        <v>1136</v>
      </c>
      <c r="E18" s="482" t="s">
        <v>1566</v>
      </c>
      <c r="F18" s="150" t="s">
        <v>1135</v>
      </c>
      <c r="G18" s="150" t="s">
        <v>1135</v>
      </c>
      <c r="H18" s="150" t="s">
        <v>1135</v>
      </c>
      <c r="I18" s="150" t="s">
        <v>1135</v>
      </c>
      <c r="J18" s="150" t="s">
        <v>1137</v>
      </c>
      <c r="K18" s="511" t="s">
        <v>49</v>
      </c>
      <c r="L18" s="392" t="s">
        <v>1327</v>
      </c>
      <c r="M18" s="343"/>
      <c r="N18" s="343"/>
      <c r="O18" s="70" t="s">
        <v>147</v>
      </c>
      <c r="P18" s="346"/>
      <c r="Q18" s="343"/>
      <c r="R18" s="346"/>
      <c r="S18" s="150" t="s">
        <v>25</v>
      </c>
      <c r="T18" s="150"/>
      <c r="U18" s="403"/>
      <c r="V18" s="406">
        <v>0</v>
      </c>
      <c r="W18" s="406">
        <v>-0.11000000000058208</v>
      </c>
      <c r="X18" s="425"/>
      <c r="Y18" s="71"/>
      <c r="Z18" s="426">
        <v>20093.099999999999</v>
      </c>
      <c r="AA18" s="427">
        <v>22504.89</v>
      </c>
      <c r="AB18" s="427">
        <v>-42598.1</v>
      </c>
      <c r="AC18" s="428">
        <v>-0.33</v>
      </c>
      <c r="AD18" s="429">
        <v>0.71</v>
      </c>
      <c r="AE18" s="429">
        <v>-0.03</v>
      </c>
      <c r="AF18" s="360">
        <v>0</v>
      </c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v>0.23999999999941787</v>
      </c>
      <c r="AM18" s="362">
        <v>0.35</v>
      </c>
      <c r="AN18" s="79">
        <v>0</v>
      </c>
      <c r="AO18" s="79">
        <v>-0.03</v>
      </c>
      <c r="AP18" s="374">
        <v>0.35</v>
      </c>
      <c r="AQ18" s="80"/>
      <c r="AR18" s="79">
        <v>0.35</v>
      </c>
      <c r="AS18" s="81"/>
      <c r="AT18" s="375">
        <v>20093.099999999999</v>
      </c>
      <c r="AU18" s="375">
        <v>22504.89</v>
      </c>
      <c r="AV18" s="375">
        <v>-42598.1</v>
      </c>
      <c r="AW18" s="375">
        <v>0</v>
      </c>
      <c r="AX18" s="375">
        <v>0</v>
      </c>
      <c r="AY18" s="375">
        <v>0</v>
      </c>
      <c r="AZ18" s="375">
        <v>0</v>
      </c>
      <c r="BA18" s="375">
        <v>0</v>
      </c>
      <c r="BB18" s="375">
        <v>0</v>
      </c>
      <c r="BC18" s="375">
        <v>0</v>
      </c>
      <c r="BD18" s="375">
        <v>0</v>
      </c>
      <c r="BE18" s="375">
        <v>0</v>
      </c>
      <c r="BF18" s="375">
        <v>-0.11000000000058208</v>
      </c>
      <c r="BG18" s="79">
        <v>20093.099999999999</v>
      </c>
      <c r="BH18" s="79">
        <v>22504.89</v>
      </c>
      <c r="BI18" s="79">
        <v>-42598.1</v>
      </c>
      <c r="BJ18" s="79">
        <v>0</v>
      </c>
      <c r="BK18" s="79">
        <v>0</v>
      </c>
      <c r="BL18" s="79">
        <v>0</v>
      </c>
      <c r="BM18" s="79">
        <v>0</v>
      </c>
      <c r="BN18" s="79">
        <v>0</v>
      </c>
      <c r="BO18" s="79">
        <v>0</v>
      </c>
      <c r="BP18" s="79">
        <v>0</v>
      </c>
      <c r="BQ18" s="79">
        <v>0</v>
      </c>
      <c r="BR18" s="79">
        <v>0</v>
      </c>
      <c r="BS18" s="79">
        <v>-0.11000000000058208</v>
      </c>
    </row>
    <row r="19" spans="1:71" ht="15" customHeight="1">
      <c r="A19" s="66" t="s">
        <v>1328</v>
      </c>
      <c r="B19" s="66" t="s">
        <v>146</v>
      </c>
      <c r="C19" s="66" t="s">
        <v>1329</v>
      </c>
      <c r="D19" s="150" t="s">
        <v>1136</v>
      </c>
      <c r="E19" s="482" t="s">
        <v>1566</v>
      </c>
      <c r="F19" s="150" t="s">
        <v>1135</v>
      </c>
      <c r="G19" s="150" t="s">
        <v>1135</v>
      </c>
      <c r="H19" s="150" t="s">
        <v>1135</v>
      </c>
      <c r="I19" s="150" t="s">
        <v>1137</v>
      </c>
      <c r="J19" s="150" t="s">
        <v>1137</v>
      </c>
      <c r="K19" s="511" t="s">
        <v>49</v>
      </c>
      <c r="L19" s="392" t="s">
        <v>1327</v>
      </c>
      <c r="M19" s="343"/>
      <c r="N19" s="343"/>
      <c r="O19" s="70" t="s">
        <v>147</v>
      </c>
      <c r="P19" s="346"/>
      <c r="Q19" s="343"/>
      <c r="R19" s="346"/>
      <c r="S19" s="150" t="s">
        <v>25</v>
      </c>
      <c r="T19" s="1" t="s">
        <v>1141</v>
      </c>
      <c r="U19" s="403"/>
      <c r="V19" s="406">
        <v>0</v>
      </c>
      <c r="W19" s="406">
        <v>1220.75</v>
      </c>
      <c r="X19" s="425"/>
      <c r="Y19" s="71"/>
      <c r="Z19" s="426">
        <v>669.53</v>
      </c>
      <c r="AA19" s="427">
        <v>7.26</v>
      </c>
      <c r="AB19" s="427">
        <v>543.96</v>
      </c>
      <c r="AC19" s="428">
        <v>129.34999999999997</v>
      </c>
      <c r="AD19" s="429">
        <v>286.95999999999998</v>
      </c>
      <c r="AE19" s="429">
        <v>206.12999999999997</v>
      </c>
      <c r="AF19" s="360">
        <v>0</v>
      </c>
      <c r="AG19" s="360">
        <v>0</v>
      </c>
      <c r="AH19" s="360">
        <v>0</v>
      </c>
      <c r="AI19" s="360">
        <v>0</v>
      </c>
      <c r="AJ19" s="360">
        <v>0</v>
      </c>
      <c r="AK19" s="360">
        <v>0</v>
      </c>
      <c r="AL19" s="360">
        <v>1843.1899999999998</v>
      </c>
      <c r="AM19" s="362">
        <v>622.43999999999983</v>
      </c>
      <c r="AN19" s="79">
        <v>0</v>
      </c>
      <c r="AO19" s="79">
        <v>206.12999999999997</v>
      </c>
      <c r="AP19" s="374">
        <v>622.43999999999983</v>
      </c>
      <c r="AQ19" s="80"/>
      <c r="AR19" s="79">
        <v>622.43999999999983</v>
      </c>
      <c r="AS19" s="81"/>
      <c r="AT19" s="375">
        <v>669.53</v>
      </c>
      <c r="AU19" s="375">
        <v>7.26</v>
      </c>
      <c r="AV19" s="375">
        <v>543.96</v>
      </c>
      <c r="AW19" s="375">
        <v>0</v>
      </c>
      <c r="AX19" s="375">
        <v>0</v>
      </c>
      <c r="AY19" s="375">
        <v>0</v>
      </c>
      <c r="AZ19" s="375">
        <v>0</v>
      </c>
      <c r="BA19" s="375">
        <v>0</v>
      </c>
      <c r="BB19" s="375">
        <v>0</v>
      </c>
      <c r="BC19" s="375">
        <v>0</v>
      </c>
      <c r="BD19" s="375">
        <v>0</v>
      </c>
      <c r="BE19" s="375">
        <v>0</v>
      </c>
      <c r="BF19" s="375">
        <v>1220.75</v>
      </c>
      <c r="BG19" s="79">
        <v>669.53</v>
      </c>
      <c r="BH19" s="79">
        <v>7.26</v>
      </c>
      <c r="BI19" s="79">
        <v>543.96</v>
      </c>
      <c r="BJ19" s="79">
        <v>0</v>
      </c>
      <c r="BK19" s="79">
        <v>0</v>
      </c>
      <c r="BL19" s="79">
        <v>0</v>
      </c>
      <c r="BM19" s="79">
        <v>0</v>
      </c>
      <c r="BN19" s="79">
        <v>0</v>
      </c>
      <c r="BO19" s="79">
        <v>0</v>
      </c>
      <c r="BP19" s="79">
        <v>0</v>
      </c>
      <c r="BQ19" s="79">
        <v>0</v>
      </c>
      <c r="BR19" s="79">
        <v>0</v>
      </c>
      <c r="BS19" s="79">
        <v>1220.75</v>
      </c>
    </row>
    <row r="20" spans="1:71" ht="15" customHeight="1">
      <c r="A20" s="66" t="s">
        <v>2899</v>
      </c>
      <c r="B20" s="66" t="s">
        <v>23</v>
      </c>
      <c r="C20" s="66" t="s">
        <v>23</v>
      </c>
      <c r="D20" s="150" t="s">
        <v>1136</v>
      </c>
      <c r="E20" s="482" t="s">
        <v>1566</v>
      </c>
      <c r="F20" s="150" t="s">
        <v>1135</v>
      </c>
      <c r="G20" s="150" t="s">
        <v>1135</v>
      </c>
      <c r="H20" s="150" t="s">
        <v>1135</v>
      </c>
      <c r="I20" s="150" t="s">
        <v>1135</v>
      </c>
      <c r="J20" s="150" t="s">
        <v>1137</v>
      </c>
      <c r="K20" s="511" t="s">
        <v>22</v>
      </c>
      <c r="L20" s="392" t="s">
        <v>2868</v>
      </c>
      <c r="M20" s="343"/>
      <c r="N20" s="343"/>
      <c r="O20" s="70" t="s">
        <v>24</v>
      </c>
      <c r="P20" s="346" t="s">
        <v>1139</v>
      </c>
      <c r="Q20" s="346" t="s">
        <v>1140</v>
      </c>
      <c r="R20" s="346"/>
      <c r="S20" s="150" t="s">
        <v>25</v>
      </c>
      <c r="T20" s="150"/>
      <c r="U20" s="403"/>
      <c r="V20" s="406">
        <v>0</v>
      </c>
      <c r="W20" s="406">
        <v>0</v>
      </c>
      <c r="X20" s="425"/>
      <c r="Y20" s="71"/>
      <c r="Z20" s="426"/>
      <c r="AA20" s="427"/>
      <c r="AB20" s="427"/>
      <c r="AC20" s="428" t="s">
        <v>1142</v>
      </c>
      <c r="AD20" s="429">
        <v>0</v>
      </c>
      <c r="AE20" s="429">
        <v>0</v>
      </c>
      <c r="AF20" s="360">
        <v>0</v>
      </c>
      <c r="AG20" s="360">
        <v>0</v>
      </c>
      <c r="AH20" s="360">
        <v>0</v>
      </c>
      <c r="AI20" s="360">
        <v>0</v>
      </c>
      <c r="AJ20" s="360">
        <v>0</v>
      </c>
      <c r="AK20" s="360">
        <v>0</v>
      </c>
      <c r="AL20" s="360">
        <v>0</v>
      </c>
      <c r="AM20" s="365">
        <v>0</v>
      </c>
      <c r="AN20" s="79">
        <v>0</v>
      </c>
      <c r="AO20" s="79">
        <v>0</v>
      </c>
      <c r="AP20" s="374">
        <v>0</v>
      </c>
      <c r="AQ20" s="80"/>
      <c r="AR20" s="79">
        <v>0</v>
      </c>
      <c r="AS20" s="81"/>
      <c r="AT20" s="375"/>
      <c r="AU20" s="375"/>
      <c r="AV20" s="375"/>
      <c r="AW20" s="375">
        <v>0</v>
      </c>
      <c r="AX20" s="375">
        <v>0</v>
      </c>
      <c r="AY20" s="375">
        <v>0</v>
      </c>
      <c r="AZ20" s="375">
        <v>0</v>
      </c>
      <c r="BA20" s="375">
        <v>0</v>
      </c>
      <c r="BB20" s="375">
        <v>0</v>
      </c>
      <c r="BC20" s="375">
        <v>0</v>
      </c>
      <c r="BD20" s="375">
        <v>0</v>
      </c>
      <c r="BE20" s="375">
        <v>0</v>
      </c>
      <c r="BF20" s="375">
        <v>0</v>
      </c>
      <c r="BG20" s="79">
        <v>267678</v>
      </c>
      <c r="BH20" s="79">
        <v>267678</v>
      </c>
      <c r="BI20" s="79">
        <v>267678</v>
      </c>
      <c r="BJ20" s="79">
        <v>0</v>
      </c>
      <c r="BK20" s="79">
        <v>0</v>
      </c>
      <c r="BL20" s="79">
        <v>0</v>
      </c>
      <c r="BM20" s="79">
        <v>0</v>
      </c>
      <c r="BN20" s="79">
        <v>0</v>
      </c>
      <c r="BO20" s="79">
        <v>0</v>
      </c>
      <c r="BP20" s="79">
        <v>0</v>
      </c>
      <c r="BQ20" s="79">
        <v>0</v>
      </c>
      <c r="BR20" s="79">
        <v>0</v>
      </c>
      <c r="BS20" s="79">
        <v>803034</v>
      </c>
    </row>
    <row r="21" spans="1:71" ht="15" customHeight="1">
      <c r="A21" s="66" t="s">
        <v>2902</v>
      </c>
      <c r="B21" s="66" t="s">
        <v>26</v>
      </c>
      <c r="C21" s="66" t="s">
        <v>26</v>
      </c>
      <c r="D21" s="150" t="s">
        <v>1136</v>
      </c>
      <c r="E21" s="482" t="s">
        <v>1566</v>
      </c>
      <c r="F21" s="150" t="s">
        <v>1135</v>
      </c>
      <c r="G21" s="150" t="s">
        <v>1135</v>
      </c>
      <c r="H21" s="150" t="s">
        <v>1135</v>
      </c>
      <c r="I21" s="150" t="s">
        <v>1135</v>
      </c>
      <c r="J21" s="150" t="s">
        <v>1137</v>
      </c>
      <c r="K21" s="511" t="s">
        <v>22</v>
      </c>
      <c r="L21" s="392" t="s">
        <v>2870</v>
      </c>
      <c r="M21" s="343"/>
      <c r="N21" s="343"/>
      <c r="O21" s="70" t="s">
        <v>27</v>
      </c>
      <c r="P21" s="346" t="s">
        <v>1139</v>
      </c>
      <c r="Q21" s="346" t="s">
        <v>1140</v>
      </c>
      <c r="R21" s="346"/>
      <c r="S21" s="150" t="s">
        <v>25</v>
      </c>
      <c r="T21" s="150"/>
      <c r="U21" s="403"/>
      <c r="V21" s="406">
        <v>0</v>
      </c>
      <c r="W21" s="406">
        <v>0</v>
      </c>
      <c r="X21" s="430"/>
      <c r="Y21" s="137"/>
      <c r="Z21" s="426"/>
      <c r="AA21" s="427"/>
      <c r="AB21" s="427"/>
      <c r="AC21" s="428" t="s">
        <v>1142</v>
      </c>
      <c r="AD21" s="429">
        <v>0</v>
      </c>
      <c r="AE21" s="429">
        <v>0</v>
      </c>
      <c r="AF21" s="360">
        <v>0</v>
      </c>
      <c r="AG21" s="360">
        <v>0</v>
      </c>
      <c r="AH21" s="360">
        <v>0</v>
      </c>
      <c r="AI21" s="360">
        <v>0</v>
      </c>
      <c r="AJ21" s="360">
        <v>0</v>
      </c>
      <c r="AK21" s="360">
        <v>0</v>
      </c>
      <c r="AL21" s="360">
        <v>0</v>
      </c>
      <c r="AM21" s="362">
        <v>0</v>
      </c>
      <c r="AN21" s="79">
        <v>0</v>
      </c>
      <c r="AO21" s="79">
        <v>0</v>
      </c>
      <c r="AP21" s="374">
        <v>0</v>
      </c>
      <c r="AQ21" s="80"/>
      <c r="AR21" s="79">
        <v>0</v>
      </c>
      <c r="AS21" s="81"/>
      <c r="AT21" s="375"/>
      <c r="AU21" s="375"/>
      <c r="AV21" s="375"/>
      <c r="AW21" s="375">
        <v>0</v>
      </c>
      <c r="AX21" s="375">
        <v>0</v>
      </c>
      <c r="AY21" s="375">
        <v>0</v>
      </c>
      <c r="AZ21" s="375">
        <v>0</v>
      </c>
      <c r="BA21" s="375">
        <v>0</v>
      </c>
      <c r="BB21" s="375">
        <v>0</v>
      </c>
      <c r="BC21" s="375">
        <v>0</v>
      </c>
      <c r="BD21" s="375">
        <v>0</v>
      </c>
      <c r="BE21" s="375">
        <v>0</v>
      </c>
      <c r="BF21" s="375">
        <v>0</v>
      </c>
      <c r="BG21" s="79">
        <v>119429</v>
      </c>
      <c r="BH21" s="79">
        <v>107869</v>
      </c>
      <c r="BI21" s="79">
        <v>119891</v>
      </c>
      <c r="BJ21" s="79">
        <v>0</v>
      </c>
      <c r="BK21" s="79">
        <v>0</v>
      </c>
      <c r="BL21" s="79">
        <v>0</v>
      </c>
      <c r="BM21" s="79">
        <v>0</v>
      </c>
      <c r="BN21" s="79">
        <v>0</v>
      </c>
      <c r="BO21" s="79">
        <v>0</v>
      </c>
      <c r="BP21" s="79">
        <v>0</v>
      </c>
      <c r="BQ21" s="79">
        <v>0</v>
      </c>
      <c r="BR21" s="79">
        <v>0</v>
      </c>
      <c r="BS21" s="79">
        <v>347189</v>
      </c>
    </row>
    <row r="22" spans="1:71" ht="15" customHeight="1">
      <c r="A22" s="66" t="s">
        <v>2905</v>
      </c>
      <c r="B22" s="66" t="s">
        <v>28</v>
      </c>
      <c r="C22" s="66" t="s">
        <v>28</v>
      </c>
      <c r="D22" s="150" t="s">
        <v>1136</v>
      </c>
      <c r="E22" s="482" t="s">
        <v>1566</v>
      </c>
      <c r="F22" s="150" t="s">
        <v>1135</v>
      </c>
      <c r="G22" s="150" t="s">
        <v>1135</v>
      </c>
      <c r="H22" s="150" t="s">
        <v>1135</v>
      </c>
      <c r="I22" s="150" t="s">
        <v>1135</v>
      </c>
      <c r="J22" s="150" t="s">
        <v>1137</v>
      </c>
      <c r="K22" s="511" t="s">
        <v>22</v>
      </c>
      <c r="L22" s="392" t="s">
        <v>2872</v>
      </c>
      <c r="M22" s="343"/>
      <c r="N22" s="343"/>
      <c r="O22" s="70" t="s">
        <v>29</v>
      </c>
      <c r="P22" s="346" t="s">
        <v>1139</v>
      </c>
      <c r="Q22" s="346" t="s">
        <v>1140</v>
      </c>
      <c r="R22" s="346"/>
      <c r="S22" s="150" t="s">
        <v>25</v>
      </c>
      <c r="T22" s="150"/>
      <c r="U22" s="403"/>
      <c r="V22" s="406">
        <v>0</v>
      </c>
      <c r="W22" s="406">
        <v>0</v>
      </c>
      <c r="X22" s="425"/>
      <c r="Y22" s="71"/>
      <c r="Z22" s="426"/>
      <c r="AA22" s="427"/>
      <c r="AB22" s="427"/>
      <c r="AC22" s="480"/>
      <c r="AD22" s="481"/>
      <c r="AE22" s="481">
        <v>1060974</v>
      </c>
      <c r="AF22" s="360">
        <v>0</v>
      </c>
      <c r="AG22" s="360">
        <v>0</v>
      </c>
      <c r="AH22" s="360">
        <v>0</v>
      </c>
      <c r="AI22" s="360">
        <v>0</v>
      </c>
      <c r="AJ22" s="360">
        <v>0</v>
      </c>
      <c r="AK22" s="360">
        <v>0</v>
      </c>
      <c r="AL22" s="360">
        <v>1060974</v>
      </c>
      <c r="AM22" s="362">
        <v>1060974</v>
      </c>
      <c r="AN22" s="79">
        <v>0</v>
      </c>
      <c r="AO22" s="79">
        <v>1060974</v>
      </c>
      <c r="AP22" s="374">
        <v>1060974</v>
      </c>
      <c r="AQ22" s="80"/>
      <c r="AR22" s="79">
        <v>1060974</v>
      </c>
      <c r="AS22" s="81"/>
      <c r="AT22" s="375"/>
      <c r="AU22" s="375"/>
      <c r="AV22" s="375"/>
      <c r="AW22" s="375">
        <v>0</v>
      </c>
      <c r="AX22" s="375">
        <v>0</v>
      </c>
      <c r="AY22" s="375">
        <v>0</v>
      </c>
      <c r="AZ22" s="375">
        <v>0</v>
      </c>
      <c r="BA22" s="375">
        <v>0</v>
      </c>
      <c r="BB22" s="375">
        <v>0</v>
      </c>
      <c r="BC22" s="375">
        <v>0</v>
      </c>
      <c r="BD22" s="375">
        <v>0</v>
      </c>
      <c r="BE22" s="375">
        <v>0</v>
      </c>
      <c r="BF22" s="375">
        <v>0</v>
      </c>
      <c r="BG22" s="79">
        <v>643457</v>
      </c>
      <c r="BH22" s="79">
        <v>643457</v>
      </c>
      <c r="BI22" s="79">
        <v>643457</v>
      </c>
      <c r="BJ22" s="79">
        <v>0</v>
      </c>
      <c r="BK22" s="79">
        <v>0</v>
      </c>
      <c r="BL22" s="79">
        <v>0</v>
      </c>
      <c r="BM22" s="79">
        <v>0</v>
      </c>
      <c r="BN22" s="79">
        <v>0</v>
      </c>
      <c r="BO22" s="79">
        <v>0</v>
      </c>
      <c r="BP22" s="79">
        <v>0</v>
      </c>
      <c r="BQ22" s="79">
        <v>0</v>
      </c>
      <c r="BR22" s="79">
        <v>0</v>
      </c>
      <c r="BS22" s="79">
        <v>1930371</v>
      </c>
    </row>
    <row r="23" spans="1:71" ht="15" customHeight="1">
      <c r="A23" s="66" t="s">
        <v>1330</v>
      </c>
      <c r="B23" s="66" t="s">
        <v>146</v>
      </c>
      <c r="C23" s="66" t="s">
        <v>1331</v>
      </c>
      <c r="D23" s="150" t="s">
        <v>1136</v>
      </c>
      <c r="E23" s="482" t="s">
        <v>1566</v>
      </c>
      <c r="F23" s="150" t="s">
        <v>1135</v>
      </c>
      <c r="G23" s="150" t="s">
        <v>1145</v>
      </c>
      <c r="H23" s="150" t="s">
        <v>1135</v>
      </c>
      <c r="I23" s="150" t="s">
        <v>1145</v>
      </c>
      <c r="J23" s="150" t="s">
        <v>1137</v>
      </c>
      <c r="K23" s="511" t="s">
        <v>49</v>
      </c>
      <c r="L23" s="392" t="s">
        <v>1327</v>
      </c>
      <c r="M23" s="343"/>
      <c r="N23" s="343"/>
      <c r="O23" s="70" t="s">
        <v>147</v>
      </c>
      <c r="P23" s="346"/>
      <c r="Q23" s="343"/>
      <c r="R23" s="346"/>
      <c r="S23" s="150" t="s">
        <v>25</v>
      </c>
      <c r="T23" s="150"/>
      <c r="U23" s="403"/>
      <c r="V23" s="406">
        <v>0</v>
      </c>
      <c r="W23" s="406">
        <v>5030.5599999999995</v>
      </c>
      <c r="X23" s="425"/>
      <c r="Y23" s="71"/>
      <c r="Z23" s="426">
        <v>-0.36</v>
      </c>
      <c r="AA23" s="427">
        <v>0.35</v>
      </c>
      <c r="AB23" s="427">
        <v>5030.57</v>
      </c>
      <c r="AC23" s="428">
        <v>0.46</v>
      </c>
      <c r="AD23" s="429">
        <v>0.34</v>
      </c>
      <c r="AE23" s="429">
        <v>-0.41</v>
      </c>
      <c r="AF23" s="360">
        <v>0</v>
      </c>
      <c r="AG23" s="360">
        <v>0</v>
      </c>
      <c r="AH23" s="360">
        <v>0</v>
      </c>
      <c r="AI23" s="360">
        <v>0</v>
      </c>
      <c r="AJ23" s="360">
        <v>0</v>
      </c>
      <c r="AK23" s="360">
        <v>0</v>
      </c>
      <c r="AL23" s="360">
        <v>5030.95</v>
      </c>
      <c r="AM23" s="362">
        <v>0.39000000000032742</v>
      </c>
      <c r="AN23" s="79">
        <v>0</v>
      </c>
      <c r="AO23" s="79">
        <v>-0.41</v>
      </c>
      <c r="AP23" s="374">
        <v>0.39000000000032742</v>
      </c>
      <c r="AQ23" s="80"/>
      <c r="AR23" s="79">
        <v>0.39000000000032742</v>
      </c>
      <c r="AS23" s="81"/>
      <c r="AT23" s="375">
        <v>-0.36</v>
      </c>
      <c r="AU23" s="375">
        <v>0.35</v>
      </c>
      <c r="AV23" s="375">
        <v>5030.57</v>
      </c>
      <c r="AW23" s="375">
        <v>0</v>
      </c>
      <c r="AX23" s="375">
        <v>0</v>
      </c>
      <c r="AY23" s="375">
        <v>0</v>
      </c>
      <c r="AZ23" s="375">
        <v>0</v>
      </c>
      <c r="BA23" s="375">
        <v>0</v>
      </c>
      <c r="BB23" s="375">
        <v>0</v>
      </c>
      <c r="BC23" s="375">
        <v>0</v>
      </c>
      <c r="BD23" s="375">
        <v>0</v>
      </c>
      <c r="BE23" s="375">
        <v>0</v>
      </c>
      <c r="BF23" s="375">
        <v>5030.5599999999995</v>
      </c>
      <c r="BG23" s="79">
        <v>-0.36</v>
      </c>
      <c r="BH23" s="79">
        <v>0.35</v>
      </c>
      <c r="BI23" s="79">
        <v>5030.57</v>
      </c>
      <c r="BJ23" s="79">
        <v>0</v>
      </c>
      <c r="BK23" s="79">
        <v>0</v>
      </c>
      <c r="BL23" s="79">
        <v>0</v>
      </c>
      <c r="BM23" s="79">
        <v>0</v>
      </c>
      <c r="BN23" s="79">
        <v>0</v>
      </c>
      <c r="BO23" s="79">
        <v>0</v>
      </c>
      <c r="BP23" s="79">
        <v>0</v>
      </c>
      <c r="BQ23" s="79">
        <v>0</v>
      </c>
      <c r="BR23" s="79">
        <v>0</v>
      </c>
      <c r="BS23" s="79">
        <v>5030.5599999999995</v>
      </c>
    </row>
    <row r="24" spans="1:71" ht="15" customHeight="1">
      <c r="A24" s="66" t="s">
        <v>1332</v>
      </c>
      <c r="B24" s="66" t="s">
        <v>146</v>
      </c>
      <c r="C24" s="66" t="s">
        <v>1333</v>
      </c>
      <c r="D24" s="150" t="s">
        <v>1136</v>
      </c>
      <c r="E24" s="482" t="s">
        <v>1566</v>
      </c>
      <c r="F24" s="150" t="s">
        <v>1135</v>
      </c>
      <c r="G24" s="150" t="s">
        <v>1156</v>
      </c>
      <c r="H24" s="150" t="s">
        <v>1135</v>
      </c>
      <c r="I24" s="150" t="s">
        <v>1156</v>
      </c>
      <c r="J24" s="150" t="s">
        <v>1137</v>
      </c>
      <c r="K24" s="511" t="s">
        <v>49</v>
      </c>
      <c r="L24" s="392" t="s">
        <v>1327</v>
      </c>
      <c r="M24" s="343"/>
      <c r="N24" s="343"/>
      <c r="O24" s="70" t="s">
        <v>147</v>
      </c>
      <c r="P24" s="346"/>
      <c r="Q24" s="343"/>
      <c r="R24" s="346"/>
      <c r="S24" s="150" t="s">
        <v>25</v>
      </c>
      <c r="T24" s="150"/>
      <c r="U24" s="403"/>
      <c r="V24" s="406">
        <v>0</v>
      </c>
      <c r="W24" s="406">
        <v>-0.26</v>
      </c>
      <c r="X24" s="425"/>
      <c r="Y24" s="71"/>
      <c r="Z24" s="426">
        <v>-0.38</v>
      </c>
      <c r="AA24" s="427">
        <v>0.21</v>
      </c>
      <c r="AB24" s="427">
        <v>-0.09</v>
      </c>
      <c r="AC24" s="428">
        <v>0.14000000000000001</v>
      </c>
      <c r="AD24" s="429">
        <v>0.52</v>
      </c>
      <c r="AE24" s="429">
        <v>-0.63</v>
      </c>
      <c r="AF24" s="360">
        <v>0</v>
      </c>
      <c r="AG24" s="360">
        <v>0</v>
      </c>
      <c r="AH24" s="360">
        <v>0</v>
      </c>
      <c r="AI24" s="360">
        <v>0</v>
      </c>
      <c r="AJ24" s="360">
        <v>0</v>
      </c>
      <c r="AK24" s="360">
        <v>0</v>
      </c>
      <c r="AL24" s="360">
        <v>-0.22999999999999998</v>
      </c>
      <c r="AM24" s="362">
        <v>3.0000000000000027E-2</v>
      </c>
      <c r="AN24" s="79">
        <v>0</v>
      </c>
      <c r="AO24" s="79">
        <v>-0.63</v>
      </c>
      <c r="AP24" s="374">
        <v>3.0000000000000027E-2</v>
      </c>
      <c r="AQ24" s="80"/>
      <c r="AR24" s="79">
        <v>3.0000000000000027E-2</v>
      </c>
      <c r="AS24" s="81"/>
      <c r="AT24" s="375">
        <v>-0.38</v>
      </c>
      <c r="AU24" s="375">
        <v>0.21</v>
      </c>
      <c r="AV24" s="375">
        <v>-0.09</v>
      </c>
      <c r="AW24" s="375">
        <v>0</v>
      </c>
      <c r="AX24" s="375">
        <v>0</v>
      </c>
      <c r="AY24" s="375">
        <v>0</v>
      </c>
      <c r="AZ24" s="375">
        <v>0</v>
      </c>
      <c r="BA24" s="375">
        <v>0</v>
      </c>
      <c r="BB24" s="375">
        <v>0</v>
      </c>
      <c r="BC24" s="375">
        <v>0</v>
      </c>
      <c r="BD24" s="375">
        <v>0</v>
      </c>
      <c r="BE24" s="375">
        <v>0</v>
      </c>
      <c r="BF24" s="375">
        <v>-0.26</v>
      </c>
      <c r="BG24" s="79">
        <v>-0.38</v>
      </c>
      <c r="BH24" s="79">
        <v>0.21</v>
      </c>
      <c r="BI24" s="79">
        <v>-0.09</v>
      </c>
      <c r="BJ24" s="79">
        <v>0</v>
      </c>
      <c r="BK24" s="79">
        <v>0</v>
      </c>
      <c r="BL24" s="79">
        <v>0</v>
      </c>
      <c r="BM24" s="79">
        <v>0</v>
      </c>
      <c r="BN24" s="79">
        <v>0</v>
      </c>
      <c r="BO24" s="79">
        <v>0</v>
      </c>
      <c r="BP24" s="79">
        <v>0</v>
      </c>
      <c r="BQ24" s="79">
        <v>0</v>
      </c>
      <c r="BR24" s="79">
        <v>0</v>
      </c>
      <c r="BS24" s="79">
        <v>-0.26</v>
      </c>
    </row>
    <row r="25" spans="1:71" ht="15" customHeight="1">
      <c r="A25" s="66" t="s">
        <v>1335</v>
      </c>
      <c r="B25" s="66" t="s">
        <v>146</v>
      </c>
      <c r="C25" s="66" t="s">
        <v>1336</v>
      </c>
      <c r="D25" s="150" t="s">
        <v>1136</v>
      </c>
      <c r="E25" s="482" t="s">
        <v>1566</v>
      </c>
      <c r="F25" s="150" t="s">
        <v>1135</v>
      </c>
      <c r="G25" s="150" t="s">
        <v>1165</v>
      </c>
      <c r="H25" s="150" t="s">
        <v>1135</v>
      </c>
      <c r="I25" s="150" t="s">
        <v>1165</v>
      </c>
      <c r="J25" s="150" t="s">
        <v>1137</v>
      </c>
      <c r="K25" s="511" t="s">
        <v>49</v>
      </c>
      <c r="L25" s="392" t="s">
        <v>1327</v>
      </c>
      <c r="M25" s="343"/>
      <c r="N25" s="343"/>
      <c r="O25" s="70" t="s">
        <v>147</v>
      </c>
      <c r="P25" s="346"/>
      <c r="Q25" s="343"/>
      <c r="R25" s="346"/>
      <c r="S25" s="150" t="s">
        <v>25</v>
      </c>
      <c r="T25" s="482" t="s">
        <v>1338</v>
      </c>
      <c r="U25" s="403"/>
      <c r="V25" s="406">
        <v>0</v>
      </c>
      <c r="W25" s="406">
        <v>0.35000000000000003</v>
      </c>
      <c r="X25" s="425"/>
      <c r="Y25" s="71"/>
      <c r="Z25" s="426"/>
      <c r="AA25" s="427">
        <v>0.01</v>
      </c>
      <c r="AB25" s="427">
        <v>0.34</v>
      </c>
      <c r="AC25" s="429">
        <v>-0.67</v>
      </c>
      <c r="AD25" s="429">
        <v>0.2</v>
      </c>
      <c r="AE25" s="429">
        <v>8111.01</v>
      </c>
      <c r="AF25" s="360">
        <v>0</v>
      </c>
      <c r="AG25" s="360">
        <v>0</v>
      </c>
      <c r="AH25" s="360">
        <v>0</v>
      </c>
      <c r="AI25" s="360">
        <v>0</v>
      </c>
      <c r="AJ25" s="360">
        <v>0</v>
      </c>
      <c r="AK25" s="360">
        <v>0</v>
      </c>
      <c r="AL25" s="360">
        <v>8110.89</v>
      </c>
      <c r="AM25" s="362">
        <v>8110.54</v>
      </c>
      <c r="AN25" s="79">
        <v>0</v>
      </c>
      <c r="AO25" s="79">
        <v>8111.01</v>
      </c>
      <c r="AP25" s="374">
        <v>8110.54</v>
      </c>
      <c r="AQ25" s="80"/>
      <c r="AR25" s="79">
        <v>8110.54</v>
      </c>
      <c r="AS25" s="81"/>
      <c r="AT25" s="375"/>
      <c r="AU25" s="375">
        <v>0.01</v>
      </c>
      <c r="AV25" s="375">
        <v>0.34</v>
      </c>
      <c r="AW25" s="375">
        <v>0</v>
      </c>
      <c r="AX25" s="375">
        <v>0</v>
      </c>
      <c r="AY25" s="375">
        <v>0</v>
      </c>
      <c r="AZ25" s="375">
        <v>0</v>
      </c>
      <c r="BA25" s="375">
        <v>0</v>
      </c>
      <c r="BB25" s="375">
        <v>0</v>
      </c>
      <c r="BC25" s="375">
        <v>0</v>
      </c>
      <c r="BD25" s="375">
        <v>0</v>
      </c>
      <c r="BE25" s="375">
        <v>0</v>
      </c>
      <c r="BF25" s="375">
        <v>0.35000000000000003</v>
      </c>
      <c r="BG25" s="79"/>
      <c r="BH25" s="79">
        <v>0.01</v>
      </c>
      <c r="BI25" s="79">
        <v>0.34</v>
      </c>
      <c r="BJ25" s="79">
        <v>0</v>
      </c>
      <c r="BK25" s="79">
        <v>0</v>
      </c>
      <c r="BL25" s="79">
        <v>0</v>
      </c>
      <c r="BM25" s="79">
        <v>0</v>
      </c>
      <c r="BN25" s="79">
        <v>0</v>
      </c>
      <c r="BO25" s="79">
        <v>0</v>
      </c>
      <c r="BP25" s="79">
        <v>0</v>
      </c>
      <c r="BQ25" s="79">
        <v>0</v>
      </c>
      <c r="BR25" s="79">
        <v>0</v>
      </c>
      <c r="BS25" s="79">
        <v>0.35000000000000003</v>
      </c>
    </row>
    <row r="26" spans="1:71" ht="15" customHeight="1">
      <c r="A26" s="66" t="s">
        <v>1339</v>
      </c>
      <c r="B26" s="66" t="s">
        <v>148</v>
      </c>
      <c r="C26" s="66" t="s">
        <v>148</v>
      </c>
      <c r="D26" s="150" t="s">
        <v>1136</v>
      </c>
      <c r="E26" s="482" t="s">
        <v>1566</v>
      </c>
      <c r="F26" s="150" t="s">
        <v>1135</v>
      </c>
      <c r="G26" s="150" t="s">
        <v>1135</v>
      </c>
      <c r="H26" s="150" t="s">
        <v>1135</v>
      </c>
      <c r="I26" s="150" t="s">
        <v>1135</v>
      </c>
      <c r="J26" s="150" t="s">
        <v>1137</v>
      </c>
      <c r="K26" s="511" t="s">
        <v>49</v>
      </c>
      <c r="L26" s="392" t="s">
        <v>1340</v>
      </c>
      <c r="M26" s="343"/>
      <c r="N26" s="343"/>
      <c r="O26" s="70" t="s">
        <v>149</v>
      </c>
      <c r="P26" s="346" t="s">
        <v>1139</v>
      </c>
      <c r="Q26" s="343"/>
      <c r="R26" s="346"/>
      <c r="S26" s="150" t="s">
        <v>25</v>
      </c>
      <c r="T26" s="150"/>
      <c r="U26" s="403"/>
      <c r="V26" s="406">
        <v>0</v>
      </c>
      <c r="W26" s="406">
        <v>-16166.66</v>
      </c>
      <c r="X26" s="425"/>
      <c r="Y26" s="71"/>
      <c r="Z26" s="426">
        <v>0.34</v>
      </c>
      <c r="AA26" s="427">
        <v>-10499.16</v>
      </c>
      <c r="AB26" s="427">
        <v>-5667.84</v>
      </c>
      <c r="AC26" s="428">
        <v>0</v>
      </c>
      <c r="AD26" s="429">
        <v>0</v>
      </c>
      <c r="AE26" s="429">
        <v>0</v>
      </c>
      <c r="AF26" s="360">
        <v>0</v>
      </c>
      <c r="AG26" s="360">
        <v>0</v>
      </c>
      <c r="AH26" s="360">
        <v>0</v>
      </c>
      <c r="AI26" s="360">
        <v>0</v>
      </c>
      <c r="AJ26" s="360">
        <v>0</v>
      </c>
      <c r="AK26" s="360">
        <v>0</v>
      </c>
      <c r="AL26" s="360">
        <v>-16166.66</v>
      </c>
      <c r="AM26" s="362">
        <v>0</v>
      </c>
      <c r="AN26" s="79">
        <v>0</v>
      </c>
      <c r="AO26" s="79">
        <v>0</v>
      </c>
      <c r="AP26" s="374">
        <v>0</v>
      </c>
      <c r="AQ26" s="80"/>
      <c r="AR26" s="79">
        <v>0</v>
      </c>
      <c r="AS26" s="81"/>
      <c r="AT26" s="375">
        <v>0.34</v>
      </c>
      <c r="AU26" s="375">
        <v>-10499.16</v>
      </c>
      <c r="AV26" s="375">
        <v>-5667.84</v>
      </c>
      <c r="AW26" s="375">
        <v>0</v>
      </c>
      <c r="AX26" s="375">
        <v>0</v>
      </c>
      <c r="AY26" s="375">
        <v>0</v>
      </c>
      <c r="AZ26" s="375">
        <v>0</v>
      </c>
      <c r="BA26" s="375">
        <v>0</v>
      </c>
      <c r="BB26" s="375">
        <v>0</v>
      </c>
      <c r="BC26" s="375">
        <v>0</v>
      </c>
      <c r="BD26" s="375">
        <v>0</v>
      </c>
      <c r="BE26" s="375">
        <v>0</v>
      </c>
      <c r="BF26" s="375">
        <v>-16166.66</v>
      </c>
      <c r="BG26" s="79">
        <v>0.34</v>
      </c>
      <c r="BH26" s="79">
        <v>-10499.16</v>
      </c>
      <c r="BI26" s="79">
        <v>-5667.84</v>
      </c>
      <c r="BJ26" s="79">
        <v>0</v>
      </c>
      <c r="BK26" s="79">
        <v>0</v>
      </c>
      <c r="BL26" s="79">
        <v>0</v>
      </c>
      <c r="BM26" s="79">
        <v>0</v>
      </c>
      <c r="BN26" s="79">
        <v>0</v>
      </c>
      <c r="BO26" s="79">
        <v>0</v>
      </c>
      <c r="BP26" s="79">
        <v>0</v>
      </c>
      <c r="BQ26" s="79">
        <v>0</v>
      </c>
      <c r="BR26" s="79">
        <v>0</v>
      </c>
      <c r="BS26" s="79">
        <v>-16166.66</v>
      </c>
    </row>
    <row r="27" spans="1:71" ht="15" customHeight="1">
      <c r="A27" s="66" t="s">
        <v>1341</v>
      </c>
      <c r="B27" s="66" t="s">
        <v>148</v>
      </c>
      <c r="C27" s="66" t="s">
        <v>1342</v>
      </c>
      <c r="D27" s="150" t="s">
        <v>1136</v>
      </c>
      <c r="E27" s="482" t="s">
        <v>1566</v>
      </c>
      <c r="F27" s="150" t="s">
        <v>1135</v>
      </c>
      <c r="G27" s="150" t="s">
        <v>1156</v>
      </c>
      <c r="H27" s="150" t="s">
        <v>1135</v>
      </c>
      <c r="I27" s="150" t="s">
        <v>1156</v>
      </c>
      <c r="J27" s="150" t="s">
        <v>1137</v>
      </c>
      <c r="K27" s="511" t="s">
        <v>49</v>
      </c>
      <c r="L27" s="392" t="s">
        <v>1340</v>
      </c>
      <c r="M27" s="343"/>
      <c r="N27" s="343"/>
      <c r="O27" s="70" t="s">
        <v>149</v>
      </c>
      <c r="P27" s="346" t="s">
        <v>1139</v>
      </c>
      <c r="Q27" s="343"/>
      <c r="R27" s="346"/>
      <c r="S27" s="150" t="s">
        <v>25</v>
      </c>
      <c r="T27" s="150"/>
      <c r="U27" s="403"/>
      <c r="V27" s="406">
        <v>0</v>
      </c>
      <c r="W27" s="406">
        <v>-14694</v>
      </c>
      <c r="X27" s="425"/>
      <c r="Y27" s="71"/>
      <c r="Z27" s="426"/>
      <c r="AA27" s="427"/>
      <c r="AB27" s="427">
        <v>-14694</v>
      </c>
      <c r="AC27" s="428">
        <v>0</v>
      </c>
      <c r="AD27" s="429">
        <v>0</v>
      </c>
      <c r="AE27" s="429">
        <v>0</v>
      </c>
      <c r="AF27" s="360">
        <v>0</v>
      </c>
      <c r="AG27" s="360">
        <v>0</v>
      </c>
      <c r="AH27" s="360">
        <v>0</v>
      </c>
      <c r="AI27" s="360">
        <v>0</v>
      </c>
      <c r="AJ27" s="360">
        <v>0</v>
      </c>
      <c r="AK27" s="360">
        <v>0</v>
      </c>
      <c r="AL27" s="360">
        <v>-14694</v>
      </c>
      <c r="AM27" s="362">
        <v>0</v>
      </c>
      <c r="AN27" s="79">
        <v>0</v>
      </c>
      <c r="AO27" s="79">
        <v>0</v>
      </c>
      <c r="AP27" s="374">
        <v>0</v>
      </c>
      <c r="AQ27" s="80"/>
      <c r="AR27" s="79">
        <v>0</v>
      </c>
      <c r="AS27" s="81"/>
      <c r="AT27" s="375"/>
      <c r="AU27" s="375"/>
      <c r="AV27" s="375">
        <v>-14694</v>
      </c>
      <c r="AW27" s="375">
        <v>0</v>
      </c>
      <c r="AX27" s="375">
        <v>0</v>
      </c>
      <c r="AY27" s="375">
        <v>0</v>
      </c>
      <c r="AZ27" s="375">
        <v>0</v>
      </c>
      <c r="BA27" s="375">
        <v>0</v>
      </c>
      <c r="BB27" s="375">
        <v>0</v>
      </c>
      <c r="BC27" s="375">
        <v>0</v>
      </c>
      <c r="BD27" s="375">
        <v>0</v>
      </c>
      <c r="BE27" s="375">
        <v>0</v>
      </c>
      <c r="BF27" s="375">
        <v>-14694</v>
      </c>
      <c r="BG27" s="79"/>
      <c r="BH27" s="79"/>
      <c r="BI27" s="79">
        <v>-14694</v>
      </c>
      <c r="BJ27" s="79">
        <v>0</v>
      </c>
      <c r="BK27" s="79">
        <v>0</v>
      </c>
      <c r="BL27" s="79">
        <v>0</v>
      </c>
      <c r="BM27" s="79">
        <v>0</v>
      </c>
      <c r="BN27" s="79">
        <v>0</v>
      </c>
      <c r="BO27" s="79">
        <v>0</v>
      </c>
      <c r="BP27" s="79">
        <v>0</v>
      </c>
      <c r="BQ27" s="79">
        <v>0</v>
      </c>
      <c r="BR27" s="79">
        <v>0</v>
      </c>
      <c r="BS27" s="79">
        <v>-14694</v>
      </c>
    </row>
    <row r="28" spans="1:71" ht="15" customHeight="1">
      <c r="A28" s="66" t="s">
        <v>1702</v>
      </c>
      <c r="B28" s="66" t="s">
        <v>364</v>
      </c>
      <c r="C28" s="66" t="s">
        <v>364</v>
      </c>
      <c r="D28" s="150" t="s">
        <v>1136</v>
      </c>
      <c r="E28" s="482" t="s">
        <v>1566</v>
      </c>
      <c r="F28" s="150" t="s">
        <v>1135</v>
      </c>
      <c r="G28" s="150" t="s">
        <v>1135</v>
      </c>
      <c r="H28" s="150" t="s">
        <v>1135</v>
      </c>
      <c r="I28" s="150" t="s">
        <v>1135</v>
      </c>
      <c r="J28" s="150" t="s">
        <v>1137</v>
      </c>
      <c r="K28" s="511" t="s">
        <v>342</v>
      </c>
      <c r="L28" s="392" t="s">
        <v>1703</v>
      </c>
      <c r="M28" s="343"/>
      <c r="N28" s="343"/>
      <c r="O28" s="70" t="s">
        <v>365</v>
      </c>
      <c r="P28" s="346"/>
      <c r="Q28" s="346" t="s">
        <v>1140</v>
      </c>
      <c r="R28" s="346"/>
      <c r="S28" s="150" t="s">
        <v>57</v>
      </c>
      <c r="T28" s="150"/>
      <c r="U28" s="403"/>
      <c r="V28" s="406">
        <v>0</v>
      </c>
      <c r="W28" s="406">
        <v>20</v>
      </c>
      <c r="X28" s="425"/>
      <c r="Y28" s="71"/>
      <c r="Z28" s="426">
        <v>20</v>
      </c>
      <c r="AA28" s="431">
        <v>0</v>
      </c>
      <c r="AB28" s="431">
        <v>0</v>
      </c>
      <c r="AC28" s="428">
        <v>22</v>
      </c>
      <c r="AD28" s="429">
        <v>0</v>
      </c>
      <c r="AE28" s="429">
        <v>2147</v>
      </c>
      <c r="AF28" s="360">
        <v>0</v>
      </c>
      <c r="AG28" s="360">
        <v>0</v>
      </c>
      <c r="AH28" s="360">
        <v>0</v>
      </c>
      <c r="AI28" s="360">
        <v>0</v>
      </c>
      <c r="AJ28" s="360">
        <v>0</v>
      </c>
      <c r="AK28" s="360">
        <v>0</v>
      </c>
      <c r="AL28" s="360">
        <v>2189</v>
      </c>
      <c r="AM28" s="362">
        <v>2169</v>
      </c>
      <c r="AN28" s="79">
        <v>0</v>
      </c>
      <c r="AO28" s="79">
        <v>2147</v>
      </c>
      <c r="AP28" s="374">
        <v>2169</v>
      </c>
      <c r="AQ28" s="80"/>
      <c r="AR28" s="79">
        <v>2169</v>
      </c>
      <c r="AS28" s="81"/>
      <c r="AT28" s="375">
        <v>20</v>
      </c>
      <c r="AU28" s="375">
        <v>0</v>
      </c>
      <c r="AV28" s="375">
        <v>0</v>
      </c>
      <c r="AW28" s="375">
        <v>0</v>
      </c>
      <c r="AX28" s="375">
        <v>0</v>
      </c>
      <c r="AY28" s="375">
        <v>0</v>
      </c>
      <c r="AZ28" s="375">
        <v>0</v>
      </c>
      <c r="BA28" s="375">
        <v>0</v>
      </c>
      <c r="BB28" s="375">
        <v>0</v>
      </c>
      <c r="BC28" s="375">
        <v>0</v>
      </c>
      <c r="BD28" s="375">
        <v>0</v>
      </c>
      <c r="BE28" s="375">
        <v>0</v>
      </c>
      <c r="BF28" s="375">
        <v>20</v>
      </c>
      <c r="BG28" s="79">
        <v>20</v>
      </c>
      <c r="BH28" s="79">
        <v>0</v>
      </c>
      <c r="BI28" s="79">
        <v>0</v>
      </c>
      <c r="BJ28" s="79">
        <v>0</v>
      </c>
      <c r="BK28" s="79">
        <v>0</v>
      </c>
      <c r="BL28" s="79">
        <v>0</v>
      </c>
      <c r="BM28" s="79">
        <v>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20</v>
      </c>
    </row>
    <row r="29" spans="1:71" ht="15" customHeight="1">
      <c r="A29" s="66" t="s">
        <v>1704</v>
      </c>
      <c r="B29" s="66" t="s">
        <v>364</v>
      </c>
      <c r="C29" s="66" t="s">
        <v>1705</v>
      </c>
      <c r="D29" s="150" t="s">
        <v>1136</v>
      </c>
      <c r="E29" s="482" t="s">
        <v>1566</v>
      </c>
      <c r="F29" s="150" t="s">
        <v>1135</v>
      </c>
      <c r="G29" s="150" t="s">
        <v>1135</v>
      </c>
      <c r="H29" s="150" t="s">
        <v>1135</v>
      </c>
      <c r="I29" s="150" t="s">
        <v>1137</v>
      </c>
      <c r="J29" s="150" t="s">
        <v>1137</v>
      </c>
      <c r="K29" s="511" t="s">
        <v>342</v>
      </c>
      <c r="L29" s="392" t="s">
        <v>1703</v>
      </c>
      <c r="M29" s="343"/>
      <c r="N29" s="343"/>
      <c r="O29" s="70" t="s">
        <v>365</v>
      </c>
      <c r="P29" s="346"/>
      <c r="Q29" s="346" t="s">
        <v>1140</v>
      </c>
      <c r="R29" s="346"/>
      <c r="S29" s="150" t="s">
        <v>57</v>
      </c>
      <c r="T29" s="1" t="s">
        <v>1141</v>
      </c>
      <c r="U29" s="403"/>
      <c r="V29" s="406">
        <v>0</v>
      </c>
      <c r="W29" s="406">
        <v>2955.3</v>
      </c>
      <c r="X29" s="425"/>
      <c r="Y29" s="71"/>
      <c r="Z29" s="426">
        <v>1146.01</v>
      </c>
      <c r="AA29" s="431">
        <v>0</v>
      </c>
      <c r="AB29" s="427">
        <v>1809.29</v>
      </c>
      <c r="AC29" s="428">
        <v>5504.11</v>
      </c>
      <c r="AD29" s="429">
        <v>299.02999999999997</v>
      </c>
      <c r="AE29" s="429">
        <v>0</v>
      </c>
      <c r="AF29" s="360">
        <v>0</v>
      </c>
      <c r="AG29" s="360">
        <v>0</v>
      </c>
      <c r="AH29" s="360">
        <v>0</v>
      </c>
      <c r="AI29" s="360">
        <v>0</v>
      </c>
      <c r="AJ29" s="360">
        <v>0</v>
      </c>
      <c r="AK29" s="360">
        <v>0</v>
      </c>
      <c r="AL29" s="360">
        <v>8758.44</v>
      </c>
      <c r="AM29" s="362">
        <v>5803.14</v>
      </c>
      <c r="AN29" s="79">
        <v>0</v>
      </c>
      <c r="AO29" s="79">
        <v>0</v>
      </c>
      <c r="AP29" s="374">
        <v>5803.14</v>
      </c>
      <c r="AQ29" s="80"/>
      <c r="AR29" s="79">
        <v>5803.14</v>
      </c>
      <c r="AS29" s="81"/>
      <c r="AT29" s="375">
        <v>1146.01</v>
      </c>
      <c r="AU29" s="375">
        <v>0</v>
      </c>
      <c r="AV29" s="375">
        <v>1809.29</v>
      </c>
      <c r="AW29" s="375">
        <v>0</v>
      </c>
      <c r="AX29" s="375">
        <v>0</v>
      </c>
      <c r="AY29" s="375">
        <v>0</v>
      </c>
      <c r="AZ29" s="375">
        <v>0</v>
      </c>
      <c r="BA29" s="375">
        <v>0</v>
      </c>
      <c r="BB29" s="375">
        <v>0</v>
      </c>
      <c r="BC29" s="375">
        <v>0</v>
      </c>
      <c r="BD29" s="375">
        <v>0</v>
      </c>
      <c r="BE29" s="375">
        <v>0</v>
      </c>
      <c r="BF29" s="375">
        <v>2955.3</v>
      </c>
      <c r="BG29" s="79">
        <v>1146.01</v>
      </c>
      <c r="BH29" s="79">
        <v>0</v>
      </c>
      <c r="BI29" s="79">
        <v>1809.29</v>
      </c>
      <c r="BJ29" s="79">
        <v>0</v>
      </c>
      <c r="BK29" s="79">
        <v>0</v>
      </c>
      <c r="BL29" s="79">
        <v>0</v>
      </c>
      <c r="BM29" s="79">
        <v>0</v>
      </c>
      <c r="BN29" s="79">
        <v>0</v>
      </c>
      <c r="BO29" s="79">
        <v>0</v>
      </c>
      <c r="BP29" s="79">
        <v>0</v>
      </c>
      <c r="BQ29" s="79">
        <v>0</v>
      </c>
      <c r="BR29" s="79">
        <v>0</v>
      </c>
      <c r="BS29" s="79">
        <v>2955.3</v>
      </c>
    </row>
    <row r="30" spans="1:71" ht="15" customHeight="1">
      <c r="A30" s="150" t="s">
        <v>1721</v>
      </c>
      <c r="B30" s="536" t="s">
        <v>375</v>
      </c>
      <c r="C30" s="296" t="s">
        <v>375</v>
      </c>
      <c r="D30" s="150" t="s">
        <v>1136</v>
      </c>
      <c r="E30" s="482" t="s">
        <v>1566</v>
      </c>
      <c r="F30" s="150" t="s">
        <v>1135</v>
      </c>
      <c r="G30" s="150" t="s">
        <v>1135</v>
      </c>
      <c r="H30" s="332" t="s">
        <v>1135</v>
      </c>
      <c r="I30" s="332" t="s">
        <v>1135</v>
      </c>
      <c r="J30" s="333" t="s">
        <v>1135</v>
      </c>
      <c r="K30" s="514" t="s">
        <v>342</v>
      </c>
      <c r="L30" s="394" t="s">
        <v>1327</v>
      </c>
      <c r="M30" s="333"/>
      <c r="N30" s="332" t="s">
        <v>1171</v>
      </c>
      <c r="O30" s="90" t="s">
        <v>147</v>
      </c>
      <c r="P30" s="347"/>
      <c r="Q30" s="347"/>
      <c r="R30" s="348"/>
      <c r="S30" s="348"/>
      <c r="T30" s="348"/>
      <c r="U30" s="402"/>
      <c r="V30" s="402"/>
      <c r="W30" s="402"/>
      <c r="X30" s="425"/>
      <c r="Y30" s="71"/>
      <c r="Z30" s="435"/>
      <c r="AA30" s="436"/>
      <c r="AB30" s="436"/>
      <c r="AC30" s="436"/>
      <c r="AD30" s="429">
        <v>0</v>
      </c>
      <c r="AE30" s="429">
        <v>0</v>
      </c>
      <c r="AF30" s="364"/>
      <c r="AG30" s="364"/>
      <c r="AH30" s="364"/>
      <c r="AI30" s="364"/>
      <c r="AJ30" s="364"/>
      <c r="AK30" s="364"/>
      <c r="AL30" s="360">
        <v>0</v>
      </c>
      <c r="AM30" s="362">
        <v>0</v>
      </c>
      <c r="AN30" s="79"/>
      <c r="AO30" s="79">
        <v>0</v>
      </c>
      <c r="AP30" s="374">
        <v>0</v>
      </c>
      <c r="AQ30" s="80"/>
      <c r="AR30" s="79">
        <v>0</v>
      </c>
      <c r="AS30" s="81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</row>
    <row r="31" spans="1:71" ht="15" customHeight="1">
      <c r="A31" s="66" t="s">
        <v>1722</v>
      </c>
      <c r="B31" s="66" t="s">
        <v>375</v>
      </c>
      <c r="C31" s="66" t="s">
        <v>1723</v>
      </c>
      <c r="D31" s="150" t="s">
        <v>1136</v>
      </c>
      <c r="E31" s="482" t="s">
        <v>1566</v>
      </c>
      <c r="F31" s="150" t="s">
        <v>1135</v>
      </c>
      <c r="G31" s="150" t="s">
        <v>1135</v>
      </c>
      <c r="H31" s="150" t="s">
        <v>1135</v>
      </c>
      <c r="I31" s="150" t="s">
        <v>1137</v>
      </c>
      <c r="J31" s="150" t="s">
        <v>1137</v>
      </c>
      <c r="K31" s="511" t="s">
        <v>342</v>
      </c>
      <c r="L31" s="392" t="s">
        <v>1327</v>
      </c>
      <c r="M31" s="343"/>
      <c r="N31" s="343"/>
      <c r="O31" s="70" t="s">
        <v>147</v>
      </c>
      <c r="P31" s="346"/>
      <c r="Q31" s="343"/>
      <c r="R31" s="346"/>
      <c r="S31" s="150" t="s">
        <v>25</v>
      </c>
      <c r="T31" s="1" t="s">
        <v>1141</v>
      </c>
      <c r="U31" s="403"/>
      <c r="V31" s="406">
        <v>0</v>
      </c>
      <c r="W31" s="406">
        <v>0.62000000000000011</v>
      </c>
      <c r="X31" s="425"/>
      <c r="Y31" s="71"/>
      <c r="Z31" s="426">
        <v>-0.1</v>
      </c>
      <c r="AA31" s="427">
        <v>-0.09</v>
      </c>
      <c r="AB31" s="427">
        <v>0.81</v>
      </c>
      <c r="AC31" s="428">
        <v>-0.53</v>
      </c>
      <c r="AD31" s="429">
        <v>0.61</v>
      </c>
      <c r="AE31" s="429">
        <v>0</v>
      </c>
      <c r="AF31" s="360">
        <v>0</v>
      </c>
      <c r="AG31" s="360">
        <v>0</v>
      </c>
      <c r="AH31" s="360">
        <v>0</v>
      </c>
      <c r="AI31" s="360">
        <v>0</v>
      </c>
      <c r="AJ31" s="360">
        <v>0</v>
      </c>
      <c r="AK31" s="360">
        <v>0</v>
      </c>
      <c r="AL31" s="360">
        <v>0.70000000000000007</v>
      </c>
      <c r="AM31" s="362">
        <v>7.999999999999996E-2</v>
      </c>
      <c r="AN31" s="79">
        <v>0</v>
      </c>
      <c r="AO31" s="79">
        <v>0</v>
      </c>
      <c r="AP31" s="374">
        <v>7.999999999999996E-2</v>
      </c>
      <c r="AQ31" s="80"/>
      <c r="AR31" s="79">
        <v>7.999999999999996E-2</v>
      </c>
      <c r="AS31" s="81"/>
      <c r="AT31" s="375">
        <v>-0.1</v>
      </c>
      <c r="AU31" s="375">
        <v>-0.09</v>
      </c>
      <c r="AV31" s="375">
        <v>0.81</v>
      </c>
      <c r="AW31" s="375">
        <v>0</v>
      </c>
      <c r="AX31" s="375">
        <v>0</v>
      </c>
      <c r="AY31" s="375">
        <v>0</v>
      </c>
      <c r="AZ31" s="375">
        <v>0</v>
      </c>
      <c r="BA31" s="375">
        <v>0</v>
      </c>
      <c r="BB31" s="375">
        <v>0</v>
      </c>
      <c r="BC31" s="375">
        <v>0</v>
      </c>
      <c r="BD31" s="375">
        <v>0</v>
      </c>
      <c r="BE31" s="375">
        <v>0</v>
      </c>
      <c r="BF31" s="375">
        <v>0.62000000000000011</v>
      </c>
      <c r="BG31" s="79">
        <v>-0.1</v>
      </c>
      <c r="BH31" s="79">
        <v>-0.09</v>
      </c>
      <c r="BI31" s="79">
        <v>0.81</v>
      </c>
      <c r="BJ31" s="79">
        <v>0</v>
      </c>
      <c r="BK31" s="79">
        <v>0</v>
      </c>
      <c r="BL31" s="79">
        <v>0</v>
      </c>
      <c r="BM31" s="79">
        <v>0</v>
      </c>
      <c r="BN31" s="79">
        <v>0</v>
      </c>
      <c r="BO31" s="79">
        <v>0</v>
      </c>
      <c r="BP31" s="79">
        <v>0</v>
      </c>
      <c r="BQ31" s="79">
        <v>0</v>
      </c>
      <c r="BR31" s="79">
        <v>0</v>
      </c>
      <c r="BS31" s="79">
        <v>0.62000000000000011</v>
      </c>
    </row>
    <row r="32" spans="1:71" ht="15" customHeight="1">
      <c r="A32" s="66" t="s">
        <v>1790</v>
      </c>
      <c r="B32" s="66" t="s">
        <v>417</v>
      </c>
      <c r="C32" s="66" t="s">
        <v>417</v>
      </c>
      <c r="D32" s="150" t="s">
        <v>1136</v>
      </c>
      <c r="E32" s="482" t="s">
        <v>1566</v>
      </c>
      <c r="F32" s="150" t="s">
        <v>1135</v>
      </c>
      <c r="G32" s="150" t="s">
        <v>1135</v>
      </c>
      <c r="H32" s="150" t="s">
        <v>1135</v>
      </c>
      <c r="I32" s="150" t="s">
        <v>1135</v>
      </c>
      <c r="J32" s="150" t="s">
        <v>1137</v>
      </c>
      <c r="K32" s="511" t="s">
        <v>389</v>
      </c>
      <c r="L32" s="392" t="s">
        <v>1174</v>
      </c>
      <c r="M32" s="343"/>
      <c r="N32" s="343"/>
      <c r="O32" s="70" t="s">
        <v>56</v>
      </c>
      <c r="P32" s="346" t="s">
        <v>1139</v>
      </c>
      <c r="Q32" s="346" t="s">
        <v>1140</v>
      </c>
      <c r="R32" s="346"/>
      <c r="S32" s="150" t="s">
        <v>57</v>
      </c>
      <c r="T32" s="150"/>
      <c r="U32" s="403"/>
      <c r="V32" s="406">
        <v>48000</v>
      </c>
      <c r="W32" s="406">
        <v>49773.74</v>
      </c>
      <c r="X32" s="430"/>
      <c r="Y32" s="137"/>
      <c r="Z32" s="426">
        <v>4838.91</v>
      </c>
      <c r="AA32" s="427">
        <v>4409.8999999999996</v>
      </c>
      <c r="AB32" s="427">
        <v>4524.93</v>
      </c>
      <c r="AC32" s="428">
        <v>3908.87</v>
      </c>
      <c r="AD32" s="429">
        <v>4454.8399999999992</v>
      </c>
      <c r="AE32" s="429">
        <v>4602.9500000000007</v>
      </c>
      <c r="AF32" s="363">
        <v>4000</v>
      </c>
      <c r="AG32" s="363">
        <v>4000</v>
      </c>
      <c r="AH32" s="363">
        <v>4000</v>
      </c>
      <c r="AI32" s="363">
        <v>4000</v>
      </c>
      <c r="AJ32" s="363">
        <v>4000</v>
      </c>
      <c r="AK32" s="363">
        <v>4000</v>
      </c>
      <c r="AL32" s="360">
        <v>50740.4</v>
      </c>
      <c r="AM32" s="362">
        <v>966.66000000000349</v>
      </c>
      <c r="AN32" s="79">
        <v>4000</v>
      </c>
      <c r="AO32" s="79">
        <v>602.95000000000073</v>
      </c>
      <c r="AP32" s="374">
        <v>966.66000000000349</v>
      </c>
      <c r="AQ32" s="80"/>
      <c r="AR32" s="79">
        <v>966.66000000000349</v>
      </c>
      <c r="AS32" s="81"/>
      <c r="AT32" s="375">
        <v>4838.91</v>
      </c>
      <c r="AU32" s="375">
        <v>4409.8999999999996</v>
      </c>
      <c r="AV32" s="375">
        <v>4524.93</v>
      </c>
      <c r="AW32" s="375">
        <v>4000</v>
      </c>
      <c r="AX32" s="375">
        <v>4000</v>
      </c>
      <c r="AY32" s="375">
        <v>4000</v>
      </c>
      <c r="AZ32" s="375">
        <v>4000</v>
      </c>
      <c r="BA32" s="375">
        <v>4000</v>
      </c>
      <c r="BB32" s="375">
        <v>4000</v>
      </c>
      <c r="BC32" s="375">
        <v>4000</v>
      </c>
      <c r="BD32" s="375">
        <v>4000</v>
      </c>
      <c r="BE32" s="375">
        <v>4000</v>
      </c>
      <c r="BF32" s="375">
        <v>49773.74</v>
      </c>
      <c r="BG32" s="79">
        <v>4838.91</v>
      </c>
      <c r="BH32" s="79">
        <v>4409.8999999999996</v>
      </c>
      <c r="BI32" s="79">
        <v>4524.93</v>
      </c>
      <c r="BJ32" s="79">
        <v>4000</v>
      </c>
      <c r="BK32" s="79">
        <v>4000</v>
      </c>
      <c r="BL32" s="79">
        <v>4000</v>
      </c>
      <c r="BM32" s="79">
        <v>4000</v>
      </c>
      <c r="BN32" s="79">
        <v>4000</v>
      </c>
      <c r="BO32" s="79">
        <v>4000</v>
      </c>
      <c r="BP32" s="79">
        <v>4000</v>
      </c>
      <c r="BQ32" s="79">
        <v>4000</v>
      </c>
      <c r="BR32" s="79">
        <v>4000</v>
      </c>
      <c r="BS32" s="79">
        <v>49773.74</v>
      </c>
    </row>
    <row r="33" spans="1:71" ht="15" customHeight="1">
      <c r="A33" s="66" t="s">
        <v>1791</v>
      </c>
      <c r="B33" s="66" t="s">
        <v>417</v>
      </c>
      <c r="C33" s="66" t="s">
        <v>1792</v>
      </c>
      <c r="D33" s="150" t="s">
        <v>1136</v>
      </c>
      <c r="E33" s="482" t="s">
        <v>1566</v>
      </c>
      <c r="F33" s="150" t="s">
        <v>1135</v>
      </c>
      <c r="G33" s="150" t="s">
        <v>1135</v>
      </c>
      <c r="H33" s="150" t="s">
        <v>1135</v>
      </c>
      <c r="I33" s="150" t="s">
        <v>1137</v>
      </c>
      <c r="J33" s="150" t="s">
        <v>1137</v>
      </c>
      <c r="K33" s="511" t="s">
        <v>389</v>
      </c>
      <c r="L33" s="392" t="s">
        <v>1174</v>
      </c>
      <c r="M33" s="343"/>
      <c r="N33" s="343"/>
      <c r="O33" s="70" t="s">
        <v>56</v>
      </c>
      <c r="P33" s="346" t="s">
        <v>1139</v>
      </c>
      <c r="Q33" s="346" t="s">
        <v>1140</v>
      </c>
      <c r="R33" s="346"/>
      <c r="S33" s="150" t="s">
        <v>57</v>
      </c>
      <c r="T33" s="1" t="s">
        <v>1141</v>
      </c>
      <c r="U33" s="403"/>
      <c r="V33" s="406">
        <v>0</v>
      </c>
      <c r="W33" s="406">
        <v>1.26</v>
      </c>
      <c r="X33" s="425"/>
      <c r="Y33" s="71"/>
      <c r="Z33" s="426">
        <v>0.42</v>
      </c>
      <c r="AA33" s="427">
        <v>0.36</v>
      </c>
      <c r="AB33" s="427">
        <v>0.48</v>
      </c>
      <c r="AC33" s="428">
        <v>1.31</v>
      </c>
      <c r="AD33" s="429">
        <v>209.68999999999997</v>
      </c>
      <c r="AE33" s="429">
        <v>192.01</v>
      </c>
      <c r="AF33" s="360">
        <v>0</v>
      </c>
      <c r="AG33" s="360">
        <v>0</v>
      </c>
      <c r="AH33" s="360">
        <v>0</v>
      </c>
      <c r="AI33" s="360">
        <v>0</v>
      </c>
      <c r="AJ33" s="360">
        <v>0</v>
      </c>
      <c r="AK33" s="360">
        <v>0</v>
      </c>
      <c r="AL33" s="360">
        <v>404.27</v>
      </c>
      <c r="AM33" s="362">
        <v>403.01</v>
      </c>
      <c r="AN33" s="79">
        <v>0</v>
      </c>
      <c r="AO33" s="79">
        <v>192.01</v>
      </c>
      <c r="AP33" s="374">
        <v>403.01</v>
      </c>
      <c r="AQ33" s="80"/>
      <c r="AR33" s="79">
        <v>403.01</v>
      </c>
      <c r="AS33" s="81"/>
      <c r="AT33" s="375">
        <v>0.42</v>
      </c>
      <c r="AU33" s="375">
        <v>0.36</v>
      </c>
      <c r="AV33" s="375">
        <v>0.48</v>
      </c>
      <c r="AW33" s="375">
        <v>0</v>
      </c>
      <c r="AX33" s="375">
        <v>0</v>
      </c>
      <c r="AY33" s="375">
        <v>0</v>
      </c>
      <c r="AZ33" s="375">
        <v>0</v>
      </c>
      <c r="BA33" s="375">
        <v>0</v>
      </c>
      <c r="BB33" s="375">
        <v>0</v>
      </c>
      <c r="BC33" s="375">
        <v>0</v>
      </c>
      <c r="BD33" s="375">
        <v>0</v>
      </c>
      <c r="BE33" s="375">
        <v>0</v>
      </c>
      <c r="BF33" s="375">
        <v>1.26</v>
      </c>
      <c r="BG33" s="79">
        <v>0.42</v>
      </c>
      <c r="BH33" s="79">
        <v>0.36</v>
      </c>
      <c r="BI33" s="79">
        <v>0.48</v>
      </c>
      <c r="BJ33" s="79">
        <v>0</v>
      </c>
      <c r="BK33" s="79">
        <v>0</v>
      </c>
      <c r="BL33" s="79">
        <v>0</v>
      </c>
      <c r="BM33" s="79">
        <v>0</v>
      </c>
      <c r="BN33" s="79">
        <v>0</v>
      </c>
      <c r="BO33" s="79">
        <v>0</v>
      </c>
      <c r="BP33" s="79">
        <v>0</v>
      </c>
      <c r="BQ33" s="79">
        <v>0</v>
      </c>
      <c r="BR33" s="79">
        <v>0</v>
      </c>
      <c r="BS33" s="79">
        <v>1.26</v>
      </c>
    </row>
    <row r="34" spans="1:71" ht="15" customHeight="1">
      <c r="A34" s="66" t="s">
        <v>1794</v>
      </c>
      <c r="B34" s="66" t="s">
        <v>417</v>
      </c>
      <c r="C34" s="66" t="s">
        <v>1795</v>
      </c>
      <c r="D34" s="150" t="s">
        <v>1136</v>
      </c>
      <c r="E34" s="482" t="s">
        <v>1566</v>
      </c>
      <c r="F34" s="150" t="s">
        <v>1135</v>
      </c>
      <c r="G34" s="150" t="s">
        <v>1145</v>
      </c>
      <c r="H34" s="150" t="s">
        <v>1135</v>
      </c>
      <c r="I34" s="150" t="s">
        <v>1145</v>
      </c>
      <c r="J34" s="150" t="s">
        <v>1137</v>
      </c>
      <c r="K34" s="511" t="s">
        <v>389</v>
      </c>
      <c r="L34" s="392" t="s">
        <v>1174</v>
      </c>
      <c r="M34" s="343"/>
      <c r="N34" s="343"/>
      <c r="O34" s="70" t="s">
        <v>56</v>
      </c>
      <c r="P34" s="346" t="s">
        <v>1153</v>
      </c>
      <c r="Q34" s="346" t="s">
        <v>1140</v>
      </c>
      <c r="R34" s="346"/>
      <c r="S34" s="150" t="s">
        <v>57</v>
      </c>
      <c r="T34" s="150"/>
      <c r="U34" s="403"/>
      <c r="V34" s="406">
        <v>672000</v>
      </c>
      <c r="W34" s="406">
        <v>633103.17999999993</v>
      </c>
      <c r="X34" s="425"/>
      <c r="Y34" s="71"/>
      <c r="Z34" s="426">
        <v>45611.11</v>
      </c>
      <c r="AA34" s="427">
        <v>43675.76</v>
      </c>
      <c r="AB34" s="427">
        <v>39816.31</v>
      </c>
      <c r="AC34" s="428">
        <v>40357.590000000004</v>
      </c>
      <c r="AD34" s="429">
        <v>42129.81</v>
      </c>
      <c r="AE34" s="429">
        <v>42451.69000000001</v>
      </c>
      <c r="AF34" s="363">
        <v>42318</v>
      </c>
      <c r="AG34" s="363">
        <v>42318</v>
      </c>
      <c r="AH34" s="363">
        <v>56000</v>
      </c>
      <c r="AI34" s="363">
        <v>56000</v>
      </c>
      <c r="AJ34" s="363">
        <v>56000</v>
      </c>
      <c r="AK34" s="363">
        <v>56000</v>
      </c>
      <c r="AL34" s="360">
        <v>562678.27</v>
      </c>
      <c r="AM34" s="362">
        <v>-70424.909999999916</v>
      </c>
      <c r="AN34" s="79">
        <v>56000</v>
      </c>
      <c r="AO34" s="79">
        <v>-13548.30999999999</v>
      </c>
      <c r="AP34" s="374">
        <v>-43060.91</v>
      </c>
      <c r="AQ34" s="80"/>
      <c r="AR34" s="79">
        <v>-70424.909999999916</v>
      </c>
      <c r="AS34" s="81"/>
      <c r="AT34" s="375">
        <v>45611.11</v>
      </c>
      <c r="AU34" s="375">
        <v>43675.76</v>
      </c>
      <c r="AV34" s="375">
        <v>39816.31</v>
      </c>
      <c r="AW34" s="375">
        <v>56000</v>
      </c>
      <c r="AX34" s="375">
        <v>56000</v>
      </c>
      <c r="AY34" s="375">
        <v>56000</v>
      </c>
      <c r="AZ34" s="375">
        <v>56000</v>
      </c>
      <c r="BA34" s="375">
        <v>56000</v>
      </c>
      <c r="BB34" s="375">
        <v>56000</v>
      </c>
      <c r="BC34" s="375">
        <v>56000</v>
      </c>
      <c r="BD34" s="375">
        <v>56000</v>
      </c>
      <c r="BE34" s="375">
        <v>56000</v>
      </c>
      <c r="BF34" s="375">
        <v>633103.17999999993</v>
      </c>
      <c r="BG34" s="79">
        <v>45611.11</v>
      </c>
      <c r="BH34" s="79">
        <v>43675.76</v>
      </c>
      <c r="BI34" s="79">
        <v>39816.31</v>
      </c>
      <c r="BJ34" s="79">
        <v>56000</v>
      </c>
      <c r="BK34" s="79">
        <v>56000</v>
      </c>
      <c r="BL34" s="79">
        <v>56000</v>
      </c>
      <c r="BM34" s="79">
        <v>56000</v>
      </c>
      <c r="BN34" s="79">
        <v>56000</v>
      </c>
      <c r="BO34" s="79">
        <v>56000</v>
      </c>
      <c r="BP34" s="79">
        <v>56000</v>
      </c>
      <c r="BQ34" s="79">
        <v>56000</v>
      </c>
      <c r="BR34" s="79">
        <v>56000</v>
      </c>
      <c r="BS34" s="79">
        <v>633103.17999999993</v>
      </c>
    </row>
    <row r="35" spans="1:71" ht="15" customHeight="1">
      <c r="A35" s="66" t="s">
        <v>1796</v>
      </c>
      <c r="B35" s="66" t="s">
        <v>417</v>
      </c>
      <c r="C35" s="66" t="s">
        <v>1797</v>
      </c>
      <c r="D35" s="150" t="s">
        <v>1136</v>
      </c>
      <c r="E35" s="482" t="s">
        <v>1566</v>
      </c>
      <c r="F35" s="150" t="s">
        <v>1135</v>
      </c>
      <c r="G35" s="150" t="s">
        <v>1165</v>
      </c>
      <c r="H35" s="150" t="s">
        <v>1135</v>
      </c>
      <c r="I35" s="150" t="s">
        <v>1165</v>
      </c>
      <c r="J35" s="150" t="s">
        <v>1137</v>
      </c>
      <c r="K35" s="511" t="s">
        <v>389</v>
      </c>
      <c r="L35" s="392" t="s">
        <v>1174</v>
      </c>
      <c r="M35" s="343"/>
      <c r="N35" s="343"/>
      <c r="O35" s="70" t="s">
        <v>56</v>
      </c>
      <c r="P35" s="346"/>
      <c r="Q35" s="346" t="s">
        <v>1140</v>
      </c>
      <c r="R35" s="346"/>
      <c r="S35" s="150" t="s">
        <v>57</v>
      </c>
      <c r="T35" s="150"/>
      <c r="U35" s="403"/>
      <c r="V35" s="406">
        <v>480000</v>
      </c>
      <c r="W35" s="406">
        <v>717425.61</v>
      </c>
      <c r="X35" s="425"/>
      <c r="Y35" s="71"/>
      <c r="Z35" s="426">
        <v>61804.2</v>
      </c>
      <c r="AA35" s="427">
        <v>58988.63</v>
      </c>
      <c r="AB35" s="427">
        <v>56632.78</v>
      </c>
      <c r="AC35" s="428">
        <v>54081.419999999991</v>
      </c>
      <c r="AD35" s="429">
        <v>51184.079999999994</v>
      </c>
      <c r="AE35" s="429">
        <v>49707.65</v>
      </c>
      <c r="AF35" s="363">
        <v>62000</v>
      </c>
      <c r="AG35" s="363">
        <v>62000</v>
      </c>
      <c r="AH35" s="363">
        <v>62000</v>
      </c>
      <c r="AI35" s="363">
        <v>62000</v>
      </c>
      <c r="AJ35" s="363">
        <v>62000</v>
      </c>
      <c r="AK35" s="363">
        <v>62734</v>
      </c>
      <c r="AL35" s="360">
        <v>705132.76</v>
      </c>
      <c r="AM35" s="362">
        <v>-12292.849999999977</v>
      </c>
      <c r="AN35" s="79">
        <v>60000</v>
      </c>
      <c r="AO35" s="79">
        <v>-10292.349999999999</v>
      </c>
      <c r="AP35" s="374">
        <v>-25026.849999999977</v>
      </c>
      <c r="AQ35" s="80"/>
      <c r="AR35" s="79">
        <v>-12292.849999999977</v>
      </c>
      <c r="AS35" s="81"/>
      <c r="AT35" s="375">
        <v>61804.2</v>
      </c>
      <c r="AU35" s="375">
        <v>58988.63</v>
      </c>
      <c r="AV35" s="375">
        <v>56632.78</v>
      </c>
      <c r="AW35" s="375">
        <v>60000</v>
      </c>
      <c r="AX35" s="375">
        <v>60000</v>
      </c>
      <c r="AY35" s="375">
        <v>60000</v>
      </c>
      <c r="AZ35" s="375">
        <v>60000</v>
      </c>
      <c r="BA35" s="375">
        <v>60000</v>
      </c>
      <c r="BB35" s="375">
        <v>60000</v>
      </c>
      <c r="BC35" s="375">
        <v>60000</v>
      </c>
      <c r="BD35" s="375">
        <v>60000</v>
      </c>
      <c r="BE35" s="375">
        <v>60000</v>
      </c>
      <c r="BF35" s="375">
        <v>717425.61</v>
      </c>
      <c r="BG35" s="79">
        <v>61804.2</v>
      </c>
      <c r="BH35" s="79">
        <v>58988.63</v>
      </c>
      <c r="BI35" s="79">
        <v>56632.78</v>
      </c>
      <c r="BJ35" s="79">
        <v>40000</v>
      </c>
      <c r="BK35" s="79">
        <v>40000</v>
      </c>
      <c r="BL35" s="79">
        <v>40000</v>
      </c>
      <c r="BM35" s="79">
        <v>40000</v>
      </c>
      <c r="BN35" s="79">
        <v>40000</v>
      </c>
      <c r="BO35" s="79">
        <v>40000</v>
      </c>
      <c r="BP35" s="79">
        <v>40000</v>
      </c>
      <c r="BQ35" s="79">
        <v>40000</v>
      </c>
      <c r="BR35" s="79">
        <v>40000</v>
      </c>
      <c r="BS35" s="79">
        <v>537425.61</v>
      </c>
    </row>
    <row r="36" spans="1:71" ht="15" customHeight="1">
      <c r="A36" s="150" t="s">
        <v>1801</v>
      </c>
      <c r="B36" s="536" t="s">
        <v>420</v>
      </c>
      <c r="C36" s="296" t="s">
        <v>1802</v>
      </c>
      <c r="D36" s="150" t="s">
        <v>1136</v>
      </c>
      <c r="E36" s="482" t="s">
        <v>1566</v>
      </c>
      <c r="F36" s="150" t="s">
        <v>1135</v>
      </c>
      <c r="G36" s="332" t="s">
        <v>1156</v>
      </c>
      <c r="H36" s="150" t="s">
        <v>1135</v>
      </c>
      <c r="I36" s="332" t="s">
        <v>1156</v>
      </c>
      <c r="J36" s="333" t="s">
        <v>1156</v>
      </c>
      <c r="K36" s="514" t="s">
        <v>389</v>
      </c>
      <c r="L36" s="394" t="s">
        <v>1803</v>
      </c>
      <c r="M36" s="333"/>
      <c r="N36" s="332" t="s">
        <v>1804</v>
      </c>
      <c r="O36" s="90" t="s">
        <v>59</v>
      </c>
      <c r="P36" s="347"/>
      <c r="Q36" s="348" t="s">
        <v>1805</v>
      </c>
      <c r="R36" s="348"/>
      <c r="S36" s="348"/>
      <c r="T36" s="449" t="s">
        <v>1806</v>
      </c>
      <c r="U36" s="402"/>
      <c r="V36" s="406"/>
      <c r="W36" s="406"/>
      <c r="X36" s="425"/>
      <c r="Y36" s="71"/>
      <c r="Z36" s="435"/>
      <c r="AA36" s="436"/>
      <c r="AB36" s="436"/>
      <c r="AC36" s="436"/>
      <c r="AD36" s="429">
        <v>45743</v>
      </c>
      <c r="AE36" s="429">
        <v>9404.5</v>
      </c>
      <c r="AF36" s="364"/>
      <c r="AG36" s="364"/>
      <c r="AH36" s="364"/>
      <c r="AI36" s="364"/>
      <c r="AJ36" s="364"/>
      <c r="AK36" s="364"/>
      <c r="AL36" s="360">
        <v>55147.5</v>
      </c>
      <c r="AM36" s="362">
        <v>55147.5</v>
      </c>
      <c r="AN36" s="79"/>
      <c r="AO36" s="79">
        <v>9404.5</v>
      </c>
      <c r="AP36" s="374">
        <v>55147.5</v>
      </c>
      <c r="AQ36" s="80"/>
      <c r="AR36" s="79">
        <v>55147.5</v>
      </c>
      <c r="AS36" s="81"/>
      <c r="AT36" s="375"/>
      <c r="AU36" s="375"/>
      <c r="AV36" s="375"/>
      <c r="AW36" s="375"/>
      <c r="AX36" s="375"/>
      <c r="AY36" s="375"/>
      <c r="AZ36" s="375"/>
      <c r="BA36" s="375"/>
      <c r="BB36" s="375"/>
      <c r="BC36" s="375"/>
      <c r="BD36" s="375"/>
      <c r="BE36" s="375"/>
      <c r="BF36" s="375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</row>
    <row r="37" spans="1:71" ht="15" customHeight="1">
      <c r="A37" s="150" t="s">
        <v>1807</v>
      </c>
      <c r="B37" s="536" t="s">
        <v>420</v>
      </c>
      <c r="C37" s="66" t="s">
        <v>1808</v>
      </c>
      <c r="D37" s="150" t="s">
        <v>1136</v>
      </c>
      <c r="E37" s="482" t="s">
        <v>1566</v>
      </c>
      <c r="F37" s="150" t="s">
        <v>1135</v>
      </c>
      <c r="G37" s="150" t="s">
        <v>1165</v>
      </c>
      <c r="H37" s="150" t="s">
        <v>1135</v>
      </c>
      <c r="I37" s="150" t="s">
        <v>1165</v>
      </c>
      <c r="J37" s="150" t="s">
        <v>1165</v>
      </c>
      <c r="K37" s="514" t="s">
        <v>389</v>
      </c>
      <c r="L37" s="394" t="s">
        <v>1809</v>
      </c>
      <c r="M37" s="333" t="s">
        <v>1167</v>
      </c>
      <c r="N37" s="332" t="s">
        <v>1284</v>
      </c>
      <c r="O37" s="90" t="s">
        <v>59</v>
      </c>
      <c r="P37" s="347"/>
      <c r="Q37" s="348" t="s">
        <v>1805</v>
      </c>
      <c r="R37" s="348"/>
      <c r="S37" s="348"/>
      <c r="T37" s="348"/>
      <c r="U37" s="402"/>
      <c r="V37" s="406"/>
      <c r="W37" s="406"/>
      <c r="X37" s="425"/>
      <c r="Y37" s="71"/>
      <c r="Z37" s="435"/>
      <c r="AA37" s="436"/>
      <c r="AB37" s="436"/>
      <c r="AC37" s="429">
        <v>35539.5</v>
      </c>
      <c r="AD37" s="429">
        <v>-35539.5</v>
      </c>
      <c r="AE37" s="429">
        <v>0</v>
      </c>
      <c r="AF37" s="364"/>
      <c r="AG37" s="364"/>
      <c r="AH37" s="364"/>
      <c r="AI37" s="364"/>
      <c r="AJ37" s="364"/>
      <c r="AK37" s="364"/>
      <c r="AL37" s="360">
        <v>0</v>
      </c>
      <c r="AM37" s="362">
        <v>0</v>
      </c>
      <c r="AN37" s="79"/>
      <c r="AO37" s="79">
        <v>0</v>
      </c>
      <c r="AP37" s="374">
        <v>0</v>
      </c>
      <c r="AQ37" s="80"/>
      <c r="AR37" s="79">
        <v>0</v>
      </c>
      <c r="AS37" s="81"/>
      <c r="AT37" s="375"/>
      <c r="AU37" s="375"/>
      <c r="AV37" s="375"/>
      <c r="AW37" s="375"/>
      <c r="AX37" s="375"/>
      <c r="AY37" s="375"/>
      <c r="AZ37" s="375"/>
      <c r="BA37" s="375"/>
      <c r="BB37" s="375"/>
      <c r="BC37" s="375"/>
      <c r="BD37" s="375"/>
      <c r="BE37" s="375"/>
      <c r="BF37" s="375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</row>
    <row r="38" spans="1:71" ht="15" customHeight="1">
      <c r="A38" s="66" t="s">
        <v>1833</v>
      </c>
      <c r="B38" s="66" t="s">
        <v>435</v>
      </c>
      <c r="C38" s="66" t="s">
        <v>1834</v>
      </c>
      <c r="D38" s="150" t="s">
        <v>1136</v>
      </c>
      <c r="E38" s="482" t="s">
        <v>1566</v>
      </c>
      <c r="F38" s="150" t="s">
        <v>1135</v>
      </c>
      <c r="G38" s="150" t="s">
        <v>1156</v>
      </c>
      <c r="H38" s="150" t="s">
        <v>1135</v>
      </c>
      <c r="I38" s="150" t="s">
        <v>1156</v>
      </c>
      <c r="J38" s="150" t="s">
        <v>1137</v>
      </c>
      <c r="K38" s="511" t="s">
        <v>389</v>
      </c>
      <c r="L38" s="392" t="s">
        <v>1835</v>
      </c>
      <c r="M38" s="343"/>
      <c r="N38" s="343"/>
      <c r="O38" s="70" t="s">
        <v>436</v>
      </c>
      <c r="P38" s="346"/>
      <c r="Q38" s="343"/>
      <c r="R38" s="346"/>
      <c r="S38" s="150" t="s">
        <v>57</v>
      </c>
      <c r="T38" s="150" t="s">
        <v>2912</v>
      </c>
      <c r="U38" s="403"/>
      <c r="V38" s="406">
        <v>4558</v>
      </c>
      <c r="W38" s="406">
        <v>3418.5099999999998</v>
      </c>
      <c r="X38" s="425"/>
      <c r="Y38" s="71"/>
      <c r="Z38" s="426"/>
      <c r="AA38" s="427"/>
      <c r="AB38" s="427"/>
      <c r="AC38" s="428" t="s">
        <v>1142</v>
      </c>
      <c r="AD38" s="429">
        <v>0</v>
      </c>
      <c r="AE38" s="429">
        <v>0</v>
      </c>
      <c r="AF38" s="363">
        <v>379.83</v>
      </c>
      <c r="AG38" s="363">
        <v>379.83</v>
      </c>
      <c r="AH38" s="363">
        <v>379.83</v>
      </c>
      <c r="AI38" s="363">
        <v>379.83</v>
      </c>
      <c r="AJ38" s="363">
        <v>379.83</v>
      </c>
      <c r="AK38" s="363">
        <v>379.87</v>
      </c>
      <c r="AL38" s="360">
        <v>2279.02</v>
      </c>
      <c r="AM38" s="362">
        <v>-1139.4899999999998</v>
      </c>
      <c r="AN38" s="79">
        <v>379.83</v>
      </c>
      <c r="AO38" s="79">
        <v>-379.83</v>
      </c>
      <c r="AP38" s="374">
        <v>-1139.49</v>
      </c>
      <c r="AQ38" s="80"/>
      <c r="AR38" s="79">
        <v>-1139.4899999999998</v>
      </c>
      <c r="AS38" s="81"/>
      <c r="AT38" s="375"/>
      <c r="AU38" s="375"/>
      <c r="AV38" s="375"/>
      <c r="AW38" s="375">
        <v>379.83</v>
      </c>
      <c r="AX38" s="375">
        <v>379.83</v>
      </c>
      <c r="AY38" s="375">
        <v>379.83</v>
      </c>
      <c r="AZ38" s="375">
        <v>379.83</v>
      </c>
      <c r="BA38" s="375">
        <v>379.83</v>
      </c>
      <c r="BB38" s="375">
        <v>379.83</v>
      </c>
      <c r="BC38" s="375">
        <v>379.83</v>
      </c>
      <c r="BD38" s="375">
        <v>379.83</v>
      </c>
      <c r="BE38" s="375">
        <v>379.87</v>
      </c>
      <c r="BF38" s="375">
        <v>3418.5099999999998</v>
      </c>
      <c r="BG38" s="79"/>
      <c r="BH38" s="79"/>
      <c r="BI38" s="79"/>
      <c r="BJ38" s="79">
        <v>379.83</v>
      </c>
      <c r="BK38" s="79">
        <v>379.83</v>
      </c>
      <c r="BL38" s="79">
        <v>379.83</v>
      </c>
      <c r="BM38" s="79">
        <v>379.83</v>
      </c>
      <c r="BN38" s="79">
        <v>379.83</v>
      </c>
      <c r="BO38" s="79">
        <v>379.83</v>
      </c>
      <c r="BP38" s="79">
        <v>379.83</v>
      </c>
      <c r="BQ38" s="79">
        <v>379.83</v>
      </c>
      <c r="BR38" s="79">
        <v>379.87</v>
      </c>
      <c r="BS38" s="79">
        <v>3418.5099999999998</v>
      </c>
    </row>
    <row r="39" spans="1:71" ht="15" customHeight="1">
      <c r="A39" s="66" t="s">
        <v>1837</v>
      </c>
      <c r="B39" s="66" t="s">
        <v>435</v>
      </c>
      <c r="C39" s="66" t="s">
        <v>1838</v>
      </c>
      <c r="D39" s="150" t="s">
        <v>1136</v>
      </c>
      <c r="E39" s="482" t="s">
        <v>1566</v>
      </c>
      <c r="F39" s="150" t="s">
        <v>1135</v>
      </c>
      <c r="G39" s="150" t="s">
        <v>1165</v>
      </c>
      <c r="H39" s="150" t="s">
        <v>1135</v>
      </c>
      <c r="I39" s="150" t="s">
        <v>1165</v>
      </c>
      <c r="J39" s="150" t="s">
        <v>1137</v>
      </c>
      <c r="K39" s="511" t="s">
        <v>389</v>
      </c>
      <c r="L39" s="392" t="s">
        <v>1835</v>
      </c>
      <c r="M39" s="343"/>
      <c r="N39" s="343"/>
      <c r="O39" s="70" t="s">
        <v>436</v>
      </c>
      <c r="P39" s="346"/>
      <c r="Q39" s="343"/>
      <c r="R39" s="346"/>
      <c r="S39" s="150" t="s">
        <v>57</v>
      </c>
      <c r="T39" s="150" t="s">
        <v>2912</v>
      </c>
      <c r="U39" s="403"/>
      <c r="V39" s="406">
        <v>0</v>
      </c>
      <c r="W39" s="406">
        <v>1351.1499999999999</v>
      </c>
      <c r="X39" s="425"/>
      <c r="Y39" s="71"/>
      <c r="Z39" s="426">
        <v>696.35</v>
      </c>
      <c r="AA39" s="427">
        <v>599.02</v>
      </c>
      <c r="AB39" s="427">
        <v>55.78</v>
      </c>
      <c r="AC39" s="428">
        <v>27.89</v>
      </c>
      <c r="AD39" s="429">
        <v>596.58999999999992</v>
      </c>
      <c r="AE39" s="429">
        <v>549.04999999999995</v>
      </c>
      <c r="AF39" s="363">
        <v>0</v>
      </c>
      <c r="AG39" s="363">
        <v>0</v>
      </c>
      <c r="AH39" s="363">
        <v>0</v>
      </c>
      <c r="AI39" s="363">
        <v>0</v>
      </c>
      <c r="AJ39" s="363">
        <v>0</v>
      </c>
      <c r="AK39" s="363">
        <v>0</v>
      </c>
      <c r="AL39" s="360">
        <v>2524.6799999999998</v>
      </c>
      <c r="AM39" s="362">
        <v>1173.53</v>
      </c>
      <c r="AN39" s="79">
        <v>0</v>
      </c>
      <c r="AO39" s="79">
        <v>549.04999999999995</v>
      </c>
      <c r="AP39" s="374">
        <v>1173.53</v>
      </c>
      <c r="AQ39" s="80"/>
      <c r="AR39" s="79">
        <v>1173.53</v>
      </c>
      <c r="AS39" s="81"/>
      <c r="AT39" s="375">
        <v>696.35</v>
      </c>
      <c r="AU39" s="375">
        <v>599.02</v>
      </c>
      <c r="AV39" s="375">
        <v>55.78</v>
      </c>
      <c r="AW39" s="375">
        <v>0</v>
      </c>
      <c r="AX39" s="375">
        <v>0</v>
      </c>
      <c r="AY39" s="375">
        <v>0</v>
      </c>
      <c r="AZ39" s="375">
        <v>0</v>
      </c>
      <c r="BA39" s="375">
        <v>0</v>
      </c>
      <c r="BB39" s="375">
        <v>0</v>
      </c>
      <c r="BC39" s="375">
        <v>0</v>
      </c>
      <c r="BD39" s="375">
        <v>0</v>
      </c>
      <c r="BE39" s="375">
        <v>0</v>
      </c>
      <c r="BF39" s="375">
        <v>1351.1499999999999</v>
      </c>
      <c r="BG39" s="79">
        <v>696.35</v>
      </c>
      <c r="BH39" s="79">
        <v>599.02</v>
      </c>
      <c r="BI39" s="79">
        <v>55.78</v>
      </c>
      <c r="BJ39" s="79">
        <v>600</v>
      </c>
      <c r="BK39" s="79">
        <v>600</v>
      </c>
      <c r="BL39" s="79">
        <v>600</v>
      </c>
      <c r="BM39" s="79">
        <v>600</v>
      </c>
      <c r="BN39" s="79">
        <v>600</v>
      </c>
      <c r="BO39" s="79">
        <v>600</v>
      </c>
      <c r="BP39" s="79">
        <v>600</v>
      </c>
      <c r="BQ39" s="79">
        <v>600</v>
      </c>
      <c r="BR39" s="79">
        <v>600</v>
      </c>
      <c r="BS39" s="79">
        <v>6751.15</v>
      </c>
    </row>
    <row r="40" spans="1:71" ht="15" customHeight="1">
      <c r="A40" s="66" t="s">
        <v>1843</v>
      </c>
      <c r="B40" s="66" t="s">
        <v>440</v>
      </c>
      <c r="C40" s="66" t="s">
        <v>440</v>
      </c>
      <c r="D40" s="150" t="s">
        <v>1136</v>
      </c>
      <c r="E40" s="482" t="s">
        <v>1566</v>
      </c>
      <c r="F40" s="150" t="s">
        <v>1135</v>
      </c>
      <c r="G40" s="150" t="s">
        <v>1135</v>
      </c>
      <c r="H40" s="150" t="s">
        <v>1135</v>
      </c>
      <c r="I40" s="150" t="s">
        <v>1135</v>
      </c>
      <c r="J40" s="150" t="s">
        <v>1137</v>
      </c>
      <c r="K40" s="511" t="s">
        <v>389</v>
      </c>
      <c r="L40" s="392" t="s">
        <v>1844</v>
      </c>
      <c r="M40" s="343"/>
      <c r="N40" s="343"/>
      <c r="O40" s="70" t="s">
        <v>441</v>
      </c>
      <c r="P40" s="346"/>
      <c r="Q40" s="343"/>
      <c r="R40" s="346"/>
      <c r="S40" s="150" t="s">
        <v>57</v>
      </c>
      <c r="T40" s="150"/>
      <c r="U40" s="403"/>
      <c r="V40" s="406">
        <v>0</v>
      </c>
      <c r="W40" s="406">
        <v>10582.559999999998</v>
      </c>
      <c r="X40" s="425"/>
      <c r="Y40" s="71"/>
      <c r="Z40" s="426">
        <v>881.88</v>
      </c>
      <c r="AA40" s="427">
        <v>881.88</v>
      </c>
      <c r="AB40" s="427">
        <v>881.88</v>
      </c>
      <c r="AC40" s="428">
        <v>881.88</v>
      </c>
      <c r="AD40" s="429">
        <v>881.88</v>
      </c>
      <c r="AE40" s="429">
        <v>881.88</v>
      </c>
      <c r="AF40" s="363">
        <v>881.88</v>
      </c>
      <c r="AG40" s="363">
        <v>881.88</v>
      </c>
      <c r="AH40" s="363">
        <v>881.88</v>
      </c>
      <c r="AI40" s="363">
        <v>881.88</v>
      </c>
      <c r="AJ40" s="363">
        <v>881.88</v>
      </c>
      <c r="AK40" s="363">
        <v>881.88</v>
      </c>
      <c r="AL40" s="360">
        <v>10582.559999999998</v>
      </c>
      <c r="AM40" s="362">
        <v>0</v>
      </c>
      <c r="AN40" s="79">
        <v>881.88</v>
      </c>
      <c r="AO40" s="79">
        <v>0</v>
      </c>
      <c r="AP40" s="374">
        <v>0</v>
      </c>
      <c r="AQ40" s="80"/>
      <c r="AR40" s="79">
        <v>0</v>
      </c>
      <c r="AS40" s="81"/>
      <c r="AT40" s="375">
        <v>881.88</v>
      </c>
      <c r="AU40" s="375">
        <v>881.88</v>
      </c>
      <c r="AV40" s="375">
        <v>881.88</v>
      </c>
      <c r="AW40" s="375">
        <v>881.88</v>
      </c>
      <c r="AX40" s="375">
        <v>881.88</v>
      </c>
      <c r="AY40" s="375">
        <v>881.88</v>
      </c>
      <c r="AZ40" s="375">
        <v>881.88</v>
      </c>
      <c r="BA40" s="375">
        <v>881.88</v>
      </c>
      <c r="BB40" s="375">
        <v>881.88</v>
      </c>
      <c r="BC40" s="375">
        <v>881.88</v>
      </c>
      <c r="BD40" s="375">
        <v>881.88</v>
      </c>
      <c r="BE40" s="375">
        <v>881.88</v>
      </c>
      <c r="BF40" s="375">
        <v>10582.559999999998</v>
      </c>
      <c r="BG40" s="79">
        <v>881.88</v>
      </c>
      <c r="BH40" s="79">
        <v>881.88</v>
      </c>
      <c r="BI40" s="79">
        <v>881.88</v>
      </c>
      <c r="BJ40" s="79">
        <v>0</v>
      </c>
      <c r="BK40" s="79">
        <v>0</v>
      </c>
      <c r="BL40" s="79">
        <v>0</v>
      </c>
      <c r="BM40" s="79">
        <v>0</v>
      </c>
      <c r="BN40" s="79">
        <v>0</v>
      </c>
      <c r="BO40" s="79">
        <v>0</v>
      </c>
      <c r="BP40" s="79">
        <v>0</v>
      </c>
      <c r="BQ40" s="79">
        <v>0</v>
      </c>
      <c r="BR40" s="79">
        <v>0</v>
      </c>
      <c r="BS40" s="79">
        <v>2645.64</v>
      </c>
    </row>
    <row r="41" spans="1:71" ht="15" customHeight="1">
      <c r="A41" s="66" t="s">
        <v>1845</v>
      </c>
      <c r="B41" s="66" t="s">
        <v>440</v>
      </c>
      <c r="C41" s="66" t="s">
        <v>1846</v>
      </c>
      <c r="D41" s="150" t="s">
        <v>1136</v>
      </c>
      <c r="E41" s="482" t="s">
        <v>1566</v>
      </c>
      <c r="F41" s="150" t="s">
        <v>1135</v>
      </c>
      <c r="G41" s="150" t="s">
        <v>1165</v>
      </c>
      <c r="H41" s="150" t="s">
        <v>1135</v>
      </c>
      <c r="I41" s="150" t="s">
        <v>1165</v>
      </c>
      <c r="J41" s="150" t="s">
        <v>1137</v>
      </c>
      <c r="K41" s="511" t="s">
        <v>389</v>
      </c>
      <c r="L41" s="392" t="s">
        <v>1844</v>
      </c>
      <c r="M41" s="343"/>
      <c r="N41" s="343"/>
      <c r="O41" s="70" t="s">
        <v>441</v>
      </c>
      <c r="P41" s="346"/>
      <c r="Q41" s="343"/>
      <c r="R41" s="346"/>
      <c r="S41" s="150" t="s">
        <v>57</v>
      </c>
      <c r="T41" s="150"/>
      <c r="U41" s="403"/>
      <c r="V41" s="406">
        <v>10599.999996000004</v>
      </c>
      <c r="W41" s="406">
        <v>0</v>
      </c>
      <c r="X41" s="425"/>
      <c r="Y41" s="71"/>
      <c r="Z41" s="426"/>
      <c r="AA41" s="427"/>
      <c r="AB41" s="427"/>
      <c r="AC41" s="428" t="s">
        <v>1142</v>
      </c>
      <c r="AD41" s="429">
        <v>0</v>
      </c>
      <c r="AE41" s="429">
        <v>0</v>
      </c>
      <c r="AF41" s="363">
        <v>0</v>
      </c>
      <c r="AG41" s="363">
        <v>0</v>
      </c>
      <c r="AH41" s="363">
        <v>0</v>
      </c>
      <c r="AI41" s="363">
        <v>0</v>
      </c>
      <c r="AJ41" s="363">
        <v>0</v>
      </c>
      <c r="AK41" s="363">
        <v>0</v>
      </c>
      <c r="AL41" s="360">
        <v>0</v>
      </c>
      <c r="AM41" s="362">
        <v>0</v>
      </c>
      <c r="AN41" s="79">
        <v>0</v>
      </c>
      <c r="AO41" s="79">
        <v>0</v>
      </c>
      <c r="AP41" s="374">
        <v>0</v>
      </c>
      <c r="AQ41" s="80">
        <v>-10600</v>
      </c>
      <c r="AR41" s="79">
        <v>10600</v>
      </c>
      <c r="AS41" s="81"/>
      <c r="AT41" s="375"/>
      <c r="AU41" s="375"/>
      <c r="AV41" s="375"/>
      <c r="AW41" s="375">
        <v>0</v>
      </c>
      <c r="AX41" s="375">
        <v>0</v>
      </c>
      <c r="AY41" s="375">
        <v>0</v>
      </c>
      <c r="AZ41" s="375">
        <v>0</v>
      </c>
      <c r="BA41" s="375">
        <v>0</v>
      </c>
      <c r="BB41" s="375">
        <v>0</v>
      </c>
      <c r="BC41" s="375">
        <v>0</v>
      </c>
      <c r="BD41" s="375">
        <v>0</v>
      </c>
      <c r="BE41" s="375">
        <v>0</v>
      </c>
      <c r="BF41" s="375">
        <v>0</v>
      </c>
      <c r="BG41" s="79"/>
      <c r="BH41" s="79"/>
      <c r="BI41" s="79"/>
      <c r="BJ41" s="79">
        <v>883.33333300000004</v>
      </c>
      <c r="BK41" s="79">
        <v>883.33333300000004</v>
      </c>
      <c r="BL41" s="79">
        <v>883.33333300000004</v>
      </c>
      <c r="BM41" s="79">
        <v>883.33333300000004</v>
      </c>
      <c r="BN41" s="79">
        <v>883.33333300000004</v>
      </c>
      <c r="BO41" s="79">
        <v>883.33333300000004</v>
      </c>
      <c r="BP41" s="79">
        <v>883.33333300000004</v>
      </c>
      <c r="BQ41" s="79">
        <v>883.33333300000004</v>
      </c>
      <c r="BR41" s="79">
        <v>883.33333300000004</v>
      </c>
      <c r="BS41" s="79">
        <v>7949.9999970000026</v>
      </c>
    </row>
    <row r="42" spans="1:71" ht="15" customHeight="1">
      <c r="A42" s="66" t="s">
        <v>1857</v>
      </c>
      <c r="B42" s="66" t="s">
        <v>448</v>
      </c>
      <c r="C42" s="66" t="s">
        <v>448</v>
      </c>
      <c r="D42" s="150" t="s">
        <v>1136</v>
      </c>
      <c r="E42" s="482" t="s">
        <v>1566</v>
      </c>
      <c r="F42" s="150" t="s">
        <v>1135</v>
      </c>
      <c r="G42" s="150" t="s">
        <v>1135</v>
      </c>
      <c r="H42" s="150" t="s">
        <v>1135</v>
      </c>
      <c r="I42" s="150" t="s">
        <v>1135</v>
      </c>
      <c r="J42" s="150" t="s">
        <v>1137</v>
      </c>
      <c r="K42" s="511" t="s">
        <v>389</v>
      </c>
      <c r="L42" s="392" t="s">
        <v>1858</v>
      </c>
      <c r="M42" s="343"/>
      <c r="N42" s="343"/>
      <c r="O42" s="70" t="s">
        <v>449</v>
      </c>
      <c r="P42" s="346"/>
      <c r="Q42" s="346" t="s">
        <v>1140</v>
      </c>
      <c r="R42" s="346"/>
      <c r="S42" s="150" t="s">
        <v>57</v>
      </c>
      <c r="T42" s="150"/>
      <c r="U42" s="403"/>
      <c r="V42" s="406">
        <v>0</v>
      </c>
      <c r="W42" s="406">
        <v>9126</v>
      </c>
      <c r="X42" s="425"/>
      <c r="Y42" s="71"/>
      <c r="Z42" s="426"/>
      <c r="AA42" s="427"/>
      <c r="AB42" s="427"/>
      <c r="AC42" s="428" t="s">
        <v>1142</v>
      </c>
      <c r="AD42" s="429">
        <v>0</v>
      </c>
      <c r="AE42" s="429">
        <v>0</v>
      </c>
      <c r="AF42" s="363">
        <v>1300</v>
      </c>
      <c r="AG42" s="363">
        <v>1300</v>
      </c>
      <c r="AH42" s="363">
        <v>1300</v>
      </c>
      <c r="AI42" s="363">
        <v>1300</v>
      </c>
      <c r="AJ42" s="363">
        <v>1300</v>
      </c>
      <c r="AK42" s="363">
        <v>1326</v>
      </c>
      <c r="AL42" s="360">
        <v>7826</v>
      </c>
      <c r="AM42" s="362">
        <v>-1300</v>
      </c>
      <c r="AN42" s="79">
        <v>1014</v>
      </c>
      <c r="AO42" s="79">
        <v>-1014</v>
      </c>
      <c r="AP42" s="374">
        <v>-3042</v>
      </c>
      <c r="AQ42" s="80"/>
      <c r="AR42" s="79">
        <v>-1300</v>
      </c>
      <c r="AS42" s="81"/>
      <c r="AT42" s="375"/>
      <c r="AU42" s="375"/>
      <c r="AV42" s="375"/>
      <c r="AW42" s="375">
        <v>1014</v>
      </c>
      <c r="AX42" s="375">
        <v>1014</v>
      </c>
      <c r="AY42" s="375">
        <v>1014</v>
      </c>
      <c r="AZ42" s="375">
        <v>1014</v>
      </c>
      <c r="BA42" s="375">
        <v>1014</v>
      </c>
      <c r="BB42" s="375">
        <v>1014</v>
      </c>
      <c r="BC42" s="375">
        <v>1014</v>
      </c>
      <c r="BD42" s="375">
        <v>1014</v>
      </c>
      <c r="BE42" s="375">
        <v>1014</v>
      </c>
      <c r="BF42" s="375">
        <v>9126</v>
      </c>
      <c r="BG42" s="79"/>
      <c r="BH42" s="79"/>
      <c r="BI42" s="79"/>
      <c r="BJ42" s="79">
        <v>1014</v>
      </c>
      <c r="BK42" s="79">
        <v>1014</v>
      </c>
      <c r="BL42" s="79">
        <v>1014</v>
      </c>
      <c r="BM42" s="79">
        <v>1014</v>
      </c>
      <c r="BN42" s="79">
        <v>1014</v>
      </c>
      <c r="BO42" s="79">
        <v>1014</v>
      </c>
      <c r="BP42" s="79">
        <v>1014</v>
      </c>
      <c r="BQ42" s="79">
        <v>1014</v>
      </c>
      <c r="BR42" s="79">
        <v>1014</v>
      </c>
      <c r="BS42" s="79">
        <v>9126</v>
      </c>
    </row>
    <row r="43" spans="1:71" ht="15" customHeight="1">
      <c r="A43" s="66" t="s">
        <v>1859</v>
      </c>
      <c r="B43" s="66" t="s">
        <v>448</v>
      </c>
      <c r="C43" s="66" t="s">
        <v>1860</v>
      </c>
      <c r="D43" s="150" t="s">
        <v>1136</v>
      </c>
      <c r="E43" s="482" t="s">
        <v>1566</v>
      </c>
      <c r="F43" s="150" t="s">
        <v>1135</v>
      </c>
      <c r="G43" s="150" t="s">
        <v>1165</v>
      </c>
      <c r="H43" s="150" t="s">
        <v>1135</v>
      </c>
      <c r="I43" s="150" t="s">
        <v>1165</v>
      </c>
      <c r="J43" s="150" t="s">
        <v>1137</v>
      </c>
      <c r="K43" s="511" t="s">
        <v>389</v>
      </c>
      <c r="L43" s="392" t="s">
        <v>1858</v>
      </c>
      <c r="M43" s="343"/>
      <c r="N43" s="343"/>
      <c r="O43" s="70" t="s">
        <v>449</v>
      </c>
      <c r="P43" s="346"/>
      <c r="Q43" s="346" t="s">
        <v>1140</v>
      </c>
      <c r="R43" s="346"/>
      <c r="S43" s="150" t="s">
        <v>57</v>
      </c>
      <c r="T43" s="150"/>
      <c r="U43" s="403"/>
      <c r="V43" s="406">
        <v>12168</v>
      </c>
      <c r="W43" s="406">
        <v>9604.119999999999</v>
      </c>
      <c r="X43" s="425"/>
      <c r="Y43" s="71"/>
      <c r="Z43" s="426">
        <v>243.06</v>
      </c>
      <c r="AA43" s="427">
        <v>235.06</v>
      </c>
      <c r="AB43" s="431">
        <v>0</v>
      </c>
      <c r="AC43" s="428">
        <v>527.16999999999996</v>
      </c>
      <c r="AD43" s="429">
        <v>288.64999999999998</v>
      </c>
      <c r="AE43" s="429">
        <v>209.08999999999997</v>
      </c>
      <c r="AF43" s="363">
        <v>1014</v>
      </c>
      <c r="AG43" s="363">
        <v>1014</v>
      </c>
      <c r="AH43" s="363">
        <v>1014</v>
      </c>
      <c r="AI43" s="363">
        <v>1014</v>
      </c>
      <c r="AJ43" s="363">
        <v>1014</v>
      </c>
      <c r="AK43" s="363">
        <v>1014</v>
      </c>
      <c r="AL43" s="360">
        <v>7587.03</v>
      </c>
      <c r="AM43" s="362">
        <v>-2017.0899999999992</v>
      </c>
      <c r="AN43" s="79">
        <v>1014</v>
      </c>
      <c r="AO43" s="79">
        <v>-804.91000000000008</v>
      </c>
      <c r="AP43" s="374">
        <v>-2017.09</v>
      </c>
      <c r="AQ43" s="80"/>
      <c r="AR43" s="79">
        <v>-2017.0899999999992</v>
      </c>
      <c r="AS43" s="81"/>
      <c r="AT43" s="375">
        <v>243.06</v>
      </c>
      <c r="AU43" s="375">
        <v>235.06</v>
      </c>
      <c r="AV43" s="375">
        <v>0</v>
      </c>
      <c r="AW43" s="375">
        <v>1014</v>
      </c>
      <c r="AX43" s="375">
        <v>1014</v>
      </c>
      <c r="AY43" s="375">
        <v>1014</v>
      </c>
      <c r="AZ43" s="375">
        <v>1014</v>
      </c>
      <c r="BA43" s="375">
        <v>1014</v>
      </c>
      <c r="BB43" s="375">
        <v>1014</v>
      </c>
      <c r="BC43" s="375">
        <v>1014</v>
      </c>
      <c r="BD43" s="375">
        <v>1014</v>
      </c>
      <c r="BE43" s="375">
        <v>1014</v>
      </c>
      <c r="BF43" s="375">
        <v>9604.119999999999</v>
      </c>
      <c r="BG43" s="79">
        <v>243.06</v>
      </c>
      <c r="BH43" s="79">
        <v>235.06</v>
      </c>
      <c r="BI43" s="79">
        <v>0</v>
      </c>
      <c r="BJ43" s="79">
        <v>1014</v>
      </c>
      <c r="BK43" s="79">
        <v>1014</v>
      </c>
      <c r="BL43" s="79">
        <v>1014</v>
      </c>
      <c r="BM43" s="79">
        <v>1014</v>
      </c>
      <c r="BN43" s="79">
        <v>1014</v>
      </c>
      <c r="BO43" s="79">
        <v>1014</v>
      </c>
      <c r="BP43" s="79">
        <v>1014</v>
      </c>
      <c r="BQ43" s="79">
        <v>1014</v>
      </c>
      <c r="BR43" s="79">
        <v>1014</v>
      </c>
      <c r="BS43" s="79">
        <v>9604.119999999999</v>
      </c>
    </row>
    <row r="44" spans="1:71" ht="15" customHeight="1">
      <c r="A44" s="66" t="s">
        <v>1864</v>
      </c>
      <c r="B44" s="66" t="s">
        <v>452</v>
      </c>
      <c r="C44" s="66" t="s">
        <v>452</v>
      </c>
      <c r="D44" s="150" t="s">
        <v>1136</v>
      </c>
      <c r="E44" s="482" t="s">
        <v>1566</v>
      </c>
      <c r="F44" s="150" t="s">
        <v>1135</v>
      </c>
      <c r="G44" s="150" t="s">
        <v>1135</v>
      </c>
      <c r="H44" s="150" t="s">
        <v>1135</v>
      </c>
      <c r="I44" s="150" t="s">
        <v>1135</v>
      </c>
      <c r="J44" s="150" t="s">
        <v>1137</v>
      </c>
      <c r="K44" s="511" t="s">
        <v>389</v>
      </c>
      <c r="L44" s="392" t="s">
        <v>1863</v>
      </c>
      <c r="M44" s="343"/>
      <c r="N44" s="343"/>
      <c r="O44" s="70" t="s">
        <v>453</v>
      </c>
      <c r="P44" s="346"/>
      <c r="Q44" s="343"/>
      <c r="R44" s="346"/>
      <c r="S44" s="150" t="s">
        <v>57</v>
      </c>
      <c r="T44" s="150"/>
      <c r="U44" s="403"/>
      <c r="V44" s="406">
        <v>60000</v>
      </c>
      <c r="W44" s="406">
        <v>58916.17</v>
      </c>
      <c r="X44" s="430"/>
      <c r="Y44" s="137"/>
      <c r="Z44" s="426">
        <v>5046.78</v>
      </c>
      <c r="AA44" s="427">
        <v>4733.08</v>
      </c>
      <c r="AB44" s="427">
        <v>4136.3100000000004</v>
      </c>
      <c r="AC44" s="428">
        <v>1611.3500000000001</v>
      </c>
      <c r="AD44" s="429">
        <v>1548.42</v>
      </c>
      <c r="AE44" s="429">
        <v>448.77000000000004</v>
      </c>
      <c r="AF44" s="363">
        <v>5000</v>
      </c>
      <c r="AG44" s="363">
        <v>5000</v>
      </c>
      <c r="AH44" s="363">
        <v>5000</v>
      </c>
      <c r="AI44" s="363">
        <v>5000</v>
      </c>
      <c r="AJ44" s="363">
        <v>5000</v>
      </c>
      <c r="AK44" s="363">
        <v>5000</v>
      </c>
      <c r="AL44" s="360">
        <v>47524.710000000006</v>
      </c>
      <c r="AM44" s="362">
        <v>-11391.459999999992</v>
      </c>
      <c r="AN44" s="79">
        <v>5000</v>
      </c>
      <c r="AO44" s="79">
        <v>-4551.2299999999996</v>
      </c>
      <c r="AP44" s="374">
        <v>-11391.46</v>
      </c>
      <c r="AQ44" s="80"/>
      <c r="AR44" s="79">
        <v>-11391.459999999992</v>
      </c>
      <c r="AS44" s="81"/>
      <c r="AT44" s="375">
        <v>5046.78</v>
      </c>
      <c r="AU44" s="375">
        <v>4733.08</v>
      </c>
      <c r="AV44" s="375">
        <v>4136.3100000000004</v>
      </c>
      <c r="AW44" s="375">
        <v>5000</v>
      </c>
      <c r="AX44" s="375">
        <v>5000</v>
      </c>
      <c r="AY44" s="375">
        <v>5000</v>
      </c>
      <c r="AZ44" s="375">
        <v>5000</v>
      </c>
      <c r="BA44" s="375">
        <v>5000</v>
      </c>
      <c r="BB44" s="375">
        <v>5000</v>
      </c>
      <c r="BC44" s="375">
        <v>5000</v>
      </c>
      <c r="BD44" s="375">
        <v>5000</v>
      </c>
      <c r="BE44" s="375">
        <v>5000</v>
      </c>
      <c r="BF44" s="375">
        <v>58916.17</v>
      </c>
      <c r="BG44" s="79">
        <v>5046.78</v>
      </c>
      <c r="BH44" s="79">
        <v>4733.08</v>
      </c>
      <c r="BI44" s="79">
        <v>4136.3100000000004</v>
      </c>
      <c r="BJ44" s="79">
        <v>5000</v>
      </c>
      <c r="BK44" s="79">
        <v>5000</v>
      </c>
      <c r="BL44" s="79">
        <v>5000</v>
      </c>
      <c r="BM44" s="79">
        <v>5000</v>
      </c>
      <c r="BN44" s="79">
        <v>5000</v>
      </c>
      <c r="BO44" s="79">
        <v>5000</v>
      </c>
      <c r="BP44" s="79">
        <v>5000</v>
      </c>
      <c r="BQ44" s="79">
        <v>5000</v>
      </c>
      <c r="BR44" s="79">
        <v>5000</v>
      </c>
      <c r="BS44" s="79">
        <v>58916.17</v>
      </c>
    </row>
    <row r="45" spans="1:71" ht="15" customHeight="1">
      <c r="A45" s="66" t="s">
        <v>1865</v>
      </c>
      <c r="B45" s="66" t="s">
        <v>452</v>
      </c>
      <c r="C45" s="66" t="s">
        <v>1866</v>
      </c>
      <c r="D45" s="150" t="s">
        <v>1136</v>
      </c>
      <c r="E45" s="482" t="s">
        <v>1566</v>
      </c>
      <c r="F45" s="150" t="s">
        <v>1135</v>
      </c>
      <c r="G45" s="150" t="s">
        <v>1145</v>
      </c>
      <c r="H45" s="150" t="s">
        <v>1135</v>
      </c>
      <c r="I45" s="150" t="s">
        <v>1145</v>
      </c>
      <c r="J45" s="150" t="s">
        <v>1137</v>
      </c>
      <c r="K45" s="511" t="s">
        <v>389</v>
      </c>
      <c r="L45" s="392" t="s">
        <v>1863</v>
      </c>
      <c r="M45" s="343"/>
      <c r="N45" s="343"/>
      <c r="O45" s="157" t="s">
        <v>453</v>
      </c>
      <c r="P45" s="346"/>
      <c r="Q45" s="343"/>
      <c r="R45" s="346"/>
      <c r="S45" s="150" t="s">
        <v>57</v>
      </c>
      <c r="T45" s="150"/>
      <c r="U45" s="403"/>
      <c r="V45" s="406">
        <v>0</v>
      </c>
      <c r="W45" s="406">
        <v>81</v>
      </c>
      <c r="X45" s="425"/>
      <c r="Y45" s="71"/>
      <c r="Z45" s="426">
        <v>1.65</v>
      </c>
      <c r="AA45" s="427">
        <v>76.819999999999993</v>
      </c>
      <c r="AB45" s="427">
        <v>2.5299999999999998</v>
      </c>
      <c r="AC45" s="428">
        <v>1008.71</v>
      </c>
      <c r="AD45" s="429">
        <v>1060.44</v>
      </c>
      <c r="AE45" s="429">
        <v>17.300000000000068</v>
      </c>
      <c r="AF45" s="360">
        <v>0</v>
      </c>
      <c r="AG45" s="360">
        <v>0</v>
      </c>
      <c r="AH45" s="360">
        <v>0</v>
      </c>
      <c r="AI45" s="360">
        <v>0</v>
      </c>
      <c r="AJ45" s="360">
        <v>0</v>
      </c>
      <c r="AK45" s="360">
        <v>0</v>
      </c>
      <c r="AL45" s="360">
        <v>2167.4500000000003</v>
      </c>
      <c r="AM45" s="362">
        <v>2086.4500000000003</v>
      </c>
      <c r="AN45" s="79">
        <v>0</v>
      </c>
      <c r="AO45" s="79">
        <v>17.300000000000068</v>
      </c>
      <c r="AP45" s="374">
        <v>2086.4500000000003</v>
      </c>
      <c r="AQ45" s="80"/>
      <c r="AR45" s="79">
        <v>2086.4500000000003</v>
      </c>
      <c r="AS45" s="81"/>
      <c r="AT45" s="375">
        <v>1.65</v>
      </c>
      <c r="AU45" s="375">
        <v>76.819999999999993</v>
      </c>
      <c r="AV45" s="375">
        <v>2.5299999999999998</v>
      </c>
      <c r="AW45" s="375">
        <v>0</v>
      </c>
      <c r="AX45" s="375">
        <v>0</v>
      </c>
      <c r="AY45" s="375">
        <v>0</v>
      </c>
      <c r="AZ45" s="375">
        <v>0</v>
      </c>
      <c r="BA45" s="375">
        <v>0</v>
      </c>
      <c r="BB45" s="375">
        <v>0</v>
      </c>
      <c r="BC45" s="375">
        <v>0</v>
      </c>
      <c r="BD45" s="375">
        <v>0</v>
      </c>
      <c r="BE45" s="375">
        <v>0</v>
      </c>
      <c r="BF45" s="375">
        <v>81</v>
      </c>
      <c r="BG45" s="79">
        <v>1.65</v>
      </c>
      <c r="BH45" s="79">
        <v>76.819999999999993</v>
      </c>
      <c r="BI45" s="79">
        <v>2.5299999999999998</v>
      </c>
      <c r="BJ45" s="79">
        <v>0</v>
      </c>
      <c r="BK45" s="79">
        <v>0</v>
      </c>
      <c r="BL45" s="79">
        <v>0</v>
      </c>
      <c r="BM45" s="79">
        <v>0</v>
      </c>
      <c r="BN45" s="79">
        <v>0</v>
      </c>
      <c r="BO45" s="79">
        <v>0</v>
      </c>
      <c r="BP45" s="79">
        <v>0</v>
      </c>
      <c r="BQ45" s="79">
        <v>0</v>
      </c>
      <c r="BR45" s="79">
        <v>0</v>
      </c>
      <c r="BS45" s="79">
        <v>81</v>
      </c>
    </row>
    <row r="46" spans="1:71" ht="15" customHeight="1">
      <c r="A46" s="66" t="s">
        <v>1867</v>
      </c>
      <c r="B46" s="66" t="s">
        <v>452</v>
      </c>
      <c r="C46" s="66" t="s">
        <v>1868</v>
      </c>
      <c r="D46" s="150" t="s">
        <v>1136</v>
      </c>
      <c r="E46" s="482" t="s">
        <v>1566</v>
      </c>
      <c r="F46" s="150" t="s">
        <v>1135</v>
      </c>
      <c r="G46" s="150" t="s">
        <v>1165</v>
      </c>
      <c r="H46" s="150" t="s">
        <v>1135</v>
      </c>
      <c r="I46" s="150" t="s">
        <v>1165</v>
      </c>
      <c r="J46" s="150" t="s">
        <v>1137</v>
      </c>
      <c r="K46" s="511" t="s">
        <v>389</v>
      </c>
      <c r="L46" s="392" t="s">
        <v>1863</v>
      </c>
      <c r="M46" s="343"/>
      <c r="N46" s="343"/>
      <c r="O46" s="70" t="s">
        <v>453</v>
      </c>
      <c r="P46" s="346"/>
      <c r="Q46" s="343"/>
      <c r="R46" s="346"/>
      <c r="S46" s="150" t="s">
        <v>57</v>
      </c>
      <c r="T46" s="150"/>
      <c r="U46" s="403"/>
      <c r="V46" s="406">
        <v>14400</v>
      </c>
      <c r="W46" s="406">
        <v>11192.33</v>
      </c>
      <c r="X46" s="425"/>
      <c r="Y46" s="71"/>
      <c r="Z46" s="426">
        <v>200.57</v>
      </c>
      <c r="AA46" s="427">
        <v>191.76</v>
      </c>
      <c r="AB46" s="431">
        <v>0</v>
      </c>
      <c r="AC46" s="428">
        <v>14.350000000000001</v>
      </c>
      <c r="AD46" s="429">
        <v>11.24</v>
      </c>
      <c r="AE46" s="429">
        <v>0</v>
      </c>
      <c r="AF46" s="363">
        <v>1200</v>
      </c>
      <c r="AG46" s="363">
        <v>1200</v>
      </c>
      <c r="AH46" s="363">
        <v>1200</v>
      </c>
      <c r="AI46" s="363">
        <v>1200</v>
      </c>
      <c r="AJ46" s="363">
        <v>1200</v>
      </c>
      <c r="AK46" s="363">
        <v>1200</v>
      </c>
      <c r="AL46" s="360">
        <v>7617.92</v>
      </c>
      <c r="AM46" s="362">
        <v>-3574.41</v>
      </c>
      <c r="AN46" s="79">
        <v>1200</v>
      </c>
      <c r="AO46" s="79">
        <v>-1200</v>
      </c>
      <c r="AP46" s="374">
        <v>-3574.41</v>
      </c>
      <c r="AQ46" s="80"/>
      <c r="AR46" s="79">
        <v>-3574.41</v>
      </c>
      <c r="AS46" s="81"/>
      <c r="AT46" s="375">
        <v>200.57</v>
      </c>
      <c r="AU46" s="375">
        <v>191.76</v>
      </c>
      <c r="AV46" s="375">
        <v>0</v>
      </c>
      <c r="AW46" s="375">
        <v>1200</v>
      </c>
      <c r="AX46" s="375">
        <v>1200</v>
      </c>
      <c r="AY46" s="375">
        <v>1200</v>
      </c>
      <c r="AZ46" s="375">
        <v>1200</v>
      </c>
      <c r="BA46" s="375">
        <v>1200</v>
      </c>
      <c r="BB46" s="375">
        <v>1200</v>
      </c>
      <c r="BC46" s="375">
        <v>1200</v>
      </c>
      <c r="BD46" s="375">
        <v>1200</v>
      </c>
      <c r="BE46" s="375">
        <v>1200</v>
      </c>
      <c r="BF46" s="375">
        <v>11192.33</v>
      </c>
      <c r="BG46" s="79">
        <v>200.57</v>
      </c>
      <c r="BH46" s="79">
        <v>191.76</v>
      </c>
      <c r="BI46" s="79">
        <v>0</v>
      </c>
      <c r="BJ46" s="79">
        <v>1200</v>
      </c>
      <c r="BK46" s="79">
        <v>1200</v>
      </c>
      <c r="BL46" s="79">
        <v>1200</v>
      </c>
      <c r="BM46" s="79">
        <v>1200</v>
      </c>
      <c r="BN46" s="79">
        <v>1200</v>
      </c>
      <c r="BO46" s="79">
        <v>1200</v>
      </c>
      <c r="BP46" s="79">
        <v>1200</v>
      </c>
      <c r="BQ46" s="79">
        <v>1200</v>
      </c>
      <c r="BR46" s="79">
        <v>1200</v>
      </c>
      <c r="BS46" s="79">
        <v>11192.33</v>
      </c>
    </row>
    <row r="47" spans="1:71" ht="15" customHeight="1">
      <c r="A47" s="66" t="s">
        <v>1894</v>
      </c>
      <c r="B47" s="66" t="s">
        <v>464</v>
      </c>
      <c r="C47" s="66" t="s">
        <v>464</v>
      </c>
      <c r="D47" s="150" t="s">
        <v>1136</v>
      </c>
      <c r="E47" s="482" t="s">
        <v>1566</v>
      </c>
      <c r="F47" s="150" t="s">
        <v>1135</v>
      </c>
      <c r="G47" s="150" t="s">
        <v>1135</v>
      </c>
      <c r="H47" s="150" t="s">
        <v>1135</v>
      </c>
      <c r="I47" s="150" t="s">
        <v>1135</v>
      </c>
      <c r="J47" s="150" t="s">
        <v>1137</v>
      </c>
      <c r="K47" s="511" t="s">
        <v>389</v>
      </c>
      <c r="L47" s="392" t="s">
        <v>1703</v>
      </c>
      <c r="M47" s="343"/>
      <c r="N47" s="343"/>
      <c r="O47" s="70" t="s">
        <v>365</v>
      </c>
      <c r="P47" s="346"/>
      <c r="Q47" s="346" t="s">
        <v>1140</v>
      </c>
      <c r="R47" s="346"/>
      <c r="S47" s="150" t="s">
        <v>57</v>
      </c>
      <c r="T47" s="150"/>
      <c r="U47" s="403"/>
      <c r="V47" s="406">
        <v>0</v>
      </c>
      <c r="W47" s="406">
        <v>5151.76</v>
      </c>
      <c r="X47" s="425"/>
      <c r="Y47" s="71"/>
      <c r="Z47" s="426">
        <v>1210.3599999999999</v>
      </c>
      <c r="AA47" s="427">
        <v>1569.34</v>
      </c>
      <c r="AB47" s="427">
        <v>2372.06</v>
      </c>
      <c r="AC47" s="428">
        <v>345.21</v>
      </c>
      <c r="AD47" s="429">
        <v>674.56</v>
      </c>
      <c r="AE47" s="429">
        <v>13726.56</v>
      </c>
      <c r="AF47" s="360">
        <v>0</v>
      </c>
      <c r="AG47" s="360">
        <v>0</v>
      </c>
      <c r="AH47" s="360">
        <v>0</v>
      </c>
      <c r="AI47" s="360">
        <v>0</v>
      </c>
      <c r="AJ47" s="360">
        <v>0</v>
      </c>
      <c r="AK47" s="360">
        <v>0</v>
      </c>
      <c r="AL47" s="360">
        <v>19898.09</v>
      </c>
      <c r="AM47" s="362">
        <v>14746.33</v>
      </c>
      <c r="AN47" s="79">
        <v>0</v>
      </c>
      <c r="AO47" s="79">
        <v>13726.56</v>
      </c>
      <c r="AP47" s="374">
        <v>14746.33</v>
      </c>
      <c r="AQ47" s="80"/>
      <c r="AR47" s="79">
        <v>14746.33</v>
      </c>
      <c r="AS47" s="81"/>
      <c r="AT47" s="375">
        <v>1210.3599999999999</v>
      </c>
      <c r="AU47" s="375">
        <v>1569.34</v>
      </c>
      <c r="AV47" s="375">
        <v>2372.06</v>
      </c>
      <c r="AW47" s="375">
        <v>0</v>
      </c>
      <c r="AX47" s="375">
        <v>0</v>
      </c>
      <c r="AY47" s="375">
        <v>0</v>
      </c>
      <c r="AZ47" s="375">
        <v>0</v>
      </c>
      <c r="BA47" s="375">
        <v>0</v>
      </c>
      <c r="BB47" s="375">
        <v>0</v>
      </c>
      <c r="BC47" s="375">
        <v>0</v>
      </c>
      <c r="BD47" s="375">
        <v>0</v>
      </c>
      <c r="BE47" s="375">
        <v>0</v>
      </c>
      <c r="BF47" s="375">
        <v>5151.76</v>
      </c>
      <c r="BG47" s="79">
        <v>1210.3599999999999</v>
      </c>
      <c r="BH47" s="79">
        <v>1569.34</v>
      </c>
      <c r="BI47" s="79">
        <v>2372.06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5151.76</v>
      </c>
    </row>
    <row r="48" spans="1:71" ht="15" customHeight="1">
      <c r="A48" s="66" t="s">
        <v>1895</v>
      </c>
      <c r="B48" s="66" t="s">
        <v>464</v>
      </c>
      <c r="C48" s="66" t="s">
        <v>1896</v>
      </c>
      <c r="D48" s="150" t="s">
        <v>1136</v>
      </c>
      <c r="E48" s="482" t="s">
        <v>1566</v>
      </c>
      <c r="F48" s="150" t="s">
        <v>1135</v>
      </c>
      <c r="G48" s="150" t="s">
        <v>1135</v>
      </c>
      <c r="H48" s="150" t="s">
        <v>1135</v>
      </c>
      <c r="I48" s="150" t="s">
        <v>1137</v>
      </c>
      <c r="J48" s="150" t="s">
        <v>1137</v>
      </c>
      <c r="K48" s="511" t="s">
        <v>389</v>
      </c>
      <c r="L48" s="392" t="s">
        <v>1703</v>
      </c>
      <c r="M48" s="343"/>
      <c r="N48" s="343"/>
      <c r="O48" s="70" t="s">
        <v>365</v>
      </c>
      <c r="P48" s="346"/>
      <c r="Q48" s="346" t="s">
        <v>1140</v>
      </c>
      <c r="R48" s="346"/>
      <c r="S48" s="150" t="s">
        <v>57</v>
      </c>
      <c r="T48" s="1" t="s">
        <v>1141</v>
      </c>
      <c r="U48" s="403"/>
      <c r="V48" s="406">
        <v>3300</v>
      </c>
      <c r="W48" s="406">
        <v>1500</v>
      </c>
      <c r="X48" s="425"/>
      <c r="Y48" s="71"/>
      <c r="Z48" s="426"/>
      <c r="AA48" s="427"/>
      <c r="AB48" s="427"/>
      <c r="AC48" s="428">
        <v>0</v>
      </c>
      <c r="AD48" s="429">
        <v>0</v>
      </c>
      <c r="AE48" s="429">
        <v>-1.6999999999999886</v>
      </c>
      <c r="AF48" s="363">
        <v>300</v>
      </c>
      <c r="AG48" s="363">
        <v>300</v>
      </c>
      <c r="AH48" s="360">
        <v>0</v>
      </c>
      <c r="AI48" s="360">
        <v>0</v>
      </c>
      <c r="AJ48" s="360">
        <v>0</v>
      </c>
      <c r="AK48" s="360">
        <v>0</v>
      </c>
      <c r="AL48" s="360">
        <v>598.29999999999995</v>
      </c>
      <c r="AM48" s="362">
        <v>-901.7</v>
      </c>
      <c r="AN48" s="79">
        <v>300</v>
      </c>
      <c r="AO48" s="79">
        <v>-301.7</v>
      </c>
      <c r="AP48" s="374">
        <v>-901.7</v>
      </c>
      <c r="AQ48" s="80"/>
      <c r="AR48" s="79">
        <v>-901.7</v>
      </c>
      <c r="AS48" s="81"/>
      <c r="AT48" s="375"/>
      <c r="AU48" s="375"/>
      <c r="AV48" s="375"/>
      <c r="AW48" s="375">
        <v>300</v>
      </c>
      <c r="AX48" s="375">
        <v>300</v>
      </c>
      <c r="AY48" s="375">
        <v>300</v>
      </c>
      <c r="AZ48" s="375">
        <v>300</v>
      </c>
      <c r="BA48" s="375">
        <v>300</v>
      </c>
      <c r="BB48" s="375">
        <v>0</v>
      </c>
      <c r="BC48" s="375">
        <v>0</v>
      </c>
      <c r="BD48" s="375">
        <v>0</v>
      </c>
      <c r="BE48" s="375">
        <v>0</v>
      </c>
      <c r="BF48" s="375">
        <v>1500</v>
      </c>
      <c r="BG48" s="79"/>
      <c r="BH48" s="79"/>
      <c r="BI48" s="79"/>
      <c r="BJ48" s="79">
        <v>300</v>
      </c>
      <c r="BK48" s="79">
        <v>300</v>
      </c>
      <c r="BL48" s="79">
        <v>300</v>
      </c>
      <c r="BM48" s="79">
        <v>300</v>
      </c>
      <c r="BN48" s="79">
        <v>300</v>
      </c>
      <c r="BO48" s="79">
        <v>0</v>
      </c>
      <c r="BP48" s="79">
        <v>0</v>
      </c>
      <c r="BQ48" s="79">
        <v>0</v>
      </c>
      <c r="BR48" s="79">
        <v>0</v>
      </c>
      <c r="BS48" s="79">
        <v>1500</v>
      </c>
    </row>
    <row r="49" spans="1:71" ht="15" customHeight="1">
      <c r="A49" s="66" t="s">
        <v>1897</v>
      </c>
      <c r="B49" s="66" t="s">
        <v>464</v>
      </c>
      <c r="C49" s="66" t="s">
        <v>1898</v>
      </c>
      <c r="D49" s="150" t="s">
        <v>1136</v>
      </c>
      <c r="E49" s="482" t="s">
        <v>1566</v>
      </c>
      <c r="F49" s="150" t="s">
        <v>1135</v>
      </c>
      <c r="G49" s="150" t="s">
        <v>1145</v>
      </c>
      <c r="H49" s="150" t="s">
        <v>1135</v>
      </c>
      <c r="I49" s="150" t="s">
        <v>1145</v>
      </c>
      <c r="J49" s="150" t="s">
        <v>1137</v>
      </c>
      <c r="K49" s="511" t="s">
        <v>389</v>
      </c>
      <c r="L49" s="392" t="s">
        <v>1703</v>
      </c>
      <c r="M49" s="343"/>
      <c r="N49" s="343"/>
      <c r="O49" s="70" t="s">
        <v>365</v>
      </c>
      <c r="P49" s="346"/>
      <c r="Q49" s="346" t="s">
        <v>1140</v>
      </c>
      <c r="R49" s="346"/>
      <c r="S49" s="150" t="s">
        <v>57</v>
      </c>
      <c r="T49" s="150"/>
      <c r="U49" s="403"/>
      <c r="V49" s="406">
        <v>240000</v>
      </c>
      <c r="W49" s="406">
        <v>230345.91999999998</v>
      </c>
      <c r="X49" s="425"/>
      <c r="Y49" s="71"/>
      <c r="Z49" s="426">
        <v>18590.2</v>
      </c>
      <c r="AA49" s="427">
        <v>19113.38</v>
      </c>
      <c r="AB49" s="427">
        <v>12642.34</v>
      </c>
      <c r="AC49" s="428">
        <v>21280.7</v>
      </c>
      <c r="AD49" s="429">
        <v>14563.560000000001</v>
      </c>
      <c r="AE49" s="429">
        <v>26235.370000000003</v>
      </c>
      <c r="AF49" s="363">
        <v>19000</v>
      </c>
      <c r="AG49" s="363">
        <v>19000</v>
      </c>
      <c r="AH49" s="363">
        <v>19000</v>
      </c>
      <c r="AI49" s="363">
        <v>19000</v>
      </c>
      <c r="AJ49" s="363">
        <v>19000</v>
      </c>
      <c r="AK49" s="363">
        <v>19000</v>
      </c>
      <c r="AL49" s="360">
        <v>226425.55</v>
      </c>
      <c r="AM49" s="362">
        <v>-3920.3699999999953</v>
      </c>
      <c r="AN49" s="79">
        <v>20000</v>
      </c>
      <c r="AO49" s="79">
        <v>6235.3700000000026</v>
      </c>
      <c r="AP49" s="374">
        <v>2079.6299999999901</v>
      </c>
      <c r="AQ49" s="80"/>
      <c r="AR49" s="79">
        <v>-3920.3699999999953</v>
      </c>
      <c r="AS49" s="81"/>
      <c r="AT49" s="375">
        <v>18590.2</v>
      </c>
      <c r="AU49" s="375">
        <v>19113.38</v>
      </c>
      <c r="AV49" s="375">
        <v>12642.34</v>
      </c>
      <c r="AW49" s="375">
        <v>20000</v>
      </c>
      <c r="AX49" s="375">
        <v>20000</v>
      </c>
      <c r="AY49" s="375">
        <v>20000</v>
      </c>
      <c r="AZ49" s="375">
        <v>20000</v>
      </c>
      <c r="BA49" s="375">
        <v>20000</v>
      </c>
      <c r="BB49" s="375">
        <v>20000</v>
      </c>
      <c r="BC49" s="375">
        <v>20000</v>
      </c>
      <c r="BD49" s="375">
        <v>20000</v>
      </c>
      <c r="BE49" s="375">
        <v>20000</v>
      </c>
      <c r="BF49" s="375">
        <v>230345.91999999998</v>
      </c>
      <c r="BG49" s="79">
        <v>18590.2</v>
      </c>
      <c r="BH49" s="79">
        <v>19113.38</v>
      </c>
      <c r="BI49" s="79">
        <v>12642.34</v>
      </c>
      <c r="BJ49" s="79">
        <v>20000</v>
      </c>
      <c r="BK49" s="79">
        <v>20000</v>
      </c>
      <c r="BL49" s="79">
        <v>20000</v>
      </c>
      <c r="BM49" s="79">
        <v>20000</v>
      </c>
      <c r="BN49" s="79">
        <v>20000</v>
      </c>
      <c r="BO49" s="79">
        <v>20000</v>
      </c>
      <c r="BP49" s="79">
        <v>20000</v>
      </c>
      <c r="BQ49" s="79">
        <v>20000</v>
      </c>
      <c r="BR49" s="79">
        <v>20000</v>
      </c>
      <c r="BS49" s="79">
        <v>230345.91999999998</v>
      </c>
    </row>
    <row r="50" spans="1:71" ht="15" customHeight="1">
      <c r="A50" s="66" t="s">
        <v>1899</v>
      </c>
      <c r="B50" s="66" t="s">
        <v>464</v>
      </c>
      <c r="C50" s="66" t="s">
        <v>1900</v>
      </c>
      <c r="D50" s="150" t="s">
        <v>1136</v>
      </c>
      <c r="E50" s="482" t="s">
        <v>1566</v>
      </c>
      <c r="F50" s="150" t="s">
        <v>1135</v>
      </c>
      <c r="G50" s="150" t="s">
        <v>1165</v>
      </c>
      <c r="H50" s="150" t="s">
        <v>1135</v>
      </c>
      <c r="I50" s="150" t="s">
        <v>1165</v>
      </c>
      <c r="J50" s="150" t="s">
        <v>1137</v>
      </c>
      <c r="K50" s="511" t="s">
        <v>389</v>
      </c>
      <c r="L50" s="392" t="s">
        <v>1703</v>
      </c>
      <c r="M50" s="343"/>
      <c r="N50" s="343"/>
      <c r="O50" s="70" t="s">
        <v>365</v>
      </c>
      <c r="P50" s="346"/>
      <c r="Q50" s="346" t="s">
        <v>1140</v>
      </c>
      <c r="R50" s="346"/>
      <c r="S50" s="150" t="s">
        <v>57</v>
      </c>
      <c r="T50" s="527"/>
      <c r="U50" s="403"/>
      <c r="V50" s="406">
        <v>12000</v>
      </c>
      <c r="W50" s="406">
        <v>20372.89</v>
      </c>
      <c r="X50" s="425"/>
      <c r="Y50" s="71"/>
      <c r="Z50" s="426">
        <v>3485.94</v>
      </c>
      <c r="AA50" s="427">
        <v>4743.4799999999996</v>
      </c>
      <c r="AB50" s="427">
        <v>3143.47</v>
      </c>
      <c r="AC50" s="428">
        <v>1703.44</v>
      </c>
      <c r="AD50" s="429">
        <v>1676.8800000000003</v>
      </c>
      <c r="AE50" s="429">
        <v>3062.17</v>
      </c>
      <c r="AF50" s="363">
        <v>1000</v>
      </c>
      <c r="AG50" s="363">
        <v>1000</v>
      </c>
      <c r="AH50" s="363">
        <v>1000</v>
      </c>
      <c r="AI50" s="363">
        <v>1000</v>
      </c>
      <c r="AJ50" s="363">
        <v>1000</v>
      </c>
      <c r="AK50" s="363">
        <v>1000</v>
      </c>
      <c r="AL50" s="360">
        <v>23815.38</v>
      </c>
      <c r="AM50" s="362">
        <v>3442.4900000000016</v>
      </c>
      <c r="AN50" s="79">
        <v>1000</v>
      </c>
      <c r="AO50" s="79">
        <v>2062.17</v>
      </c>
      <c r="AP50" s="374">
        <v>3442.4900000000016</v>
      </c>
      <c r="AQ50" s="80"/>
      <c r="AR50" s="79">
        <v>3442.4900000000016</v>
      </c>
      <c r="AS50" s="81"/>
      <c r="AT50" s="375">
        <v>3485.94</v>
      </c>
      <c r="AU50" s="375">
        <v>4743.4799999999996</v>
      </c>
      <c r="AV50" s="375">
        <v>3143.47</v>
      </c>
      <c r="AW50" s="375">
        <v>1000</v>
      </c>
      <c r="AX50" s="375">
        <v>1000</v>
      </c>
      <c r="AY50" s="375">
        <v>1000</v>
      </c>
      <c r="AZ50" s="375">
        <v>1000</v>
      </c>
      <c r="BA50" s="375">
        <v>1000</v>
      </c>
      <c r="BB50" s="375">
        <v>1000</v>
      </c>
      <c r="BC50" s="375">
        <v>1000</v>
      </c>
      <c r="BD50" s="375">
        <v>1000</v>
      </c>
      <c r="BE50" s="375">
        <v>1000</v>
      </c>
      <c r="BF50" s="375">
        <v>20372.89</v>
      </c>
      <c r="BG50" s="79">
        <v>3485.94</v>
      </c>
      <c r="BH50" s="79">
        <v>4743.4799999999996</v>
      </c>
      <c r="BI50" s="79">
        <v>3143.47</v>
      </c>
      <c r="BJ50" s="79">
        <v>1000</v>
      </c>
      <c r="BK50" s="79">
        <v>1000</v>
      </c>
      <c r="BL50" s="79">
        <v>1000</v>
      </c>
      <c r="BM50" s="79">
        <v>1000</v>
      </c>
      <c r="BN50" s="79">
        <v>1000</v>
      </c>
      <c r="BO50" s="79">
        <v>1000</v>
      </c>
      <c r="BP50" s="79">
        <v>1000</v>
      </c>
      <c r="BQ50" s="79">
        <v>1000</v>
      </c>
      <c r="BR50" s="79">
        <v>1000</v>
      </c>
      <c r="BS50" s="79">
        <v>20372.89</v>
      </c>
    </row>
    <row r="51" spans="1:71" ht="15" customHeight="1">
      <c r="A51" s="66" t="s">
        <v>1901</v>
      </c>
      <c r="B51" s="66" t="s">
        <v>465</v>
      </c>
      <c r="C51" s="66" t="s">
        <v>465</v>
      </c>
      <c r="D51" s="150" t="s">
        <v>1136</v>
      </c>
      <c r="E51" s="482" t="s">
        <v>1566</v>
      </c>
      <c r="F51" s="150" t="s">
        <v>1135</v>
      </c>
      <c r="G51" s="150" t="s">
        <v>1135</v>
      </c>
      <c r="H51" s="150" t="s">
        <v>1135</v>
      </c>
      <c r="I51" s="150" t="s">
        <v>1135</v>
      </c>
      <c r="J51" s="150" t="s">
        <v>1137</v>
      </c>
      <c r="K51" s="511" t="s">
        <v>389</v>
      </c>
      <c r="L51" s="392" t="s">
        <v>1855</v>
      </c>
      <c r="M51" s="343"/>
      <c r="N51" s="343"/>
      <c r="O51" s="70" t="s">
        <v>466</v>
      </c>
      <c r="P51" s="346"/>
      <c r="Q51" s="346" t="s">
        <v>1140</v>
      </c>
      <c r="R51" s="346"/>
      <c r="S51" s="150" t="s">
        <v>57</v>
      </c>
      <c r="T51" s="150"/>
      <c r="U51" s="403"/>
      <c r="V51" s="406">
        <v>120000</v>
      </c>
      <c r="W51" s="406">
        <v>141134</v>
      </c>
      <c r="X51" s="425"/>
      <c r="Y51" s="71"/>
      <c r="Z51" s="426">
        <v>17770</v>
      </c>
      <c r="AA51" s="427">
        <v>18328</v>
      </c>
      <c r="AB51" s="427">
        <v>15036</v>
      </c>
      <c r="AC51" s="428">
        <v>16438</v>
      </c>
      <c r="AD51" s="429">
        <v>18792</v>
      </c>
      <c r="AE51" s="429">
        <v>20125</v>
      </c>
      <c r="AF51" s="363">
        <v>10000</v>
      </c>
      <c r="AG51" s="363">
        <v>10000</v>
      </c>
      <c r="AH51" s="363">
        <v>10000</v>
      </c>
      <c r="AI51" s="363">
        <v>10000</v>
      </c>
      <c r="AJ51" s="363">
        <v>10000</v>
      </c>
      <c r="AK51" s="363">
        <v>10000</v>
      </c>
      <c r="AL51" s="360">
        <v>166489</v>
      </c>
      <c r="AM51" s="362">
        <v>25355</v>
      </c>
      <c r="AN51" s="79">
        <v>10000</v>
      </c>
      <c r="AO51" s="79">
        <v>10125</v>
      </c>
      <c r="AP51" s="374">
        <v>25355</v>
      </c>
      <c r="AQ51" s="80"/>
      <c r="AR51" s="79">
        <v>25355</v>
      </c>
      <c r="AS51" s="81"/>
      <c r="AT51" s="375">
        <v>17770</v>
      </c>
      <c r="AU51" s="375">
        <v>18328</v>
      </c>
      <c r="AV51" s="375">
        <v>15036</v>
      </c>
      <c r="AW51" s="375">
        <v>10000</v>
      </c>
      <c r="AX51" s="375">
        <v>10000</v>
      </c>
      <c r="AY51" s="375">
        <v>10000</v>
      </c>
      <c r="AZ51" s="375">
        <v>10000</v>
      </c>
      <c r="BA51" s="375">
        <v>10000</v>
      </c>
      <c r="BB51" s="375">
        <v>10000</v>
      </c>
      <c r="BC51" s="375">
        <v>10000</v>
      </c>
      <c r="BD51" s="375">
        <v>10000</v>
      </c>
      <c r="BE51" s="375">
        <v>10000</v>
      </c>
      <c r="BF51" s="375">
        <v>141134</v>
      </c>
      <c r="BG51" s="79">
        <v>17770</v>
      </c>
      <c r="BH51" s="79">
        <v>18328</v>
      </c>
      <c r="BI51" s="79">
        <v>15036</v>
      </c>
      <c r="BJ51" s="79">
        <v>10000</v>
      </c>
      <c r="BK51" s="79">
        <v>10000</v>
      </c>
      <c r="BL51" s="79">
        <v>10000</v>
      </c>
      <c r="BM51" s="79">
        <v>10000</v>
      </c>
      <c r="BN51" s="79">
        <v>10000</v>
      </c>
      <c r="BO51" s="79">
        <v>10000</v>
      </c>
      <c r="BP51" s="79">
        <v>10000</v>
      </c>
      <c r="BQ51" s="79">
        <v>10000</v>
      </c>
      <c r="BR51" s="79">
        <v>10000</v>
      </c>
      <c r="BS51" s="79">
        <v>141134</v>
      </c>
    </row>
    <row r="52" spans="1:71" ht="15" customHeight="1">
      <c r="A52" s="66" t="s">
        <v>1903</v>
      </c>
      <c r="B52" s="66" t="s">
        <v>465</v>
      </c>
      <c r="C52" s="66" t="s">
        <v>1904</v>
      </c>
      <c r="D52" s="150" t="s">
        <v>1136</v>
      </c>
      <c r="E52" s="482" t="s">
        <v>1566</v>
      </c>
      <c r="F52" s="150" t="s">
        <v>1135</v>
      </c>
      <c r="G52" s="150" t="s">
        <v>1135</v>
      </c>
      <c r="H52" s="150" t="s">
        <v>1135</v>
      </c>
      <c r="I52" s="150" t="s">
        <v>1137</v>
      </c>
      <c r="J52" s="150" t="s">
        <v>1137</v>
      </c>
      <c r="K52" s="511" t="s">
        <v>389</v>
      </c>
      <c r="L52" s="392" t="s">
        <v>1855</v>
      </c>
      <c r="M52" s="343"/>
      <c r="N52" s="343"/>
      <c r="O52" s="70" t="s">
        <v>466</v>
      </c>
      <c r="P52" s="346"/>
      <c r="Q52" s="346" t="s">
        <v>1140</v>
      </c>
      <c r="R52" s="346"/>
      <c r="S52" s="150" t="s">
        <v>57</v>
      </c>
      <c r="T52" s="1" t="s">
        <v>1141</v>
      </c>
      <c r="U52" s="403"/>
      <c r="V52" s="406">
        <v>0</v>
      </c>
      <c r="W52" s="406">
        <v>12459.34</v>
      </c>
      <c r="X52" s="425"/>
      <c r="Y52" s="71"/>
      <c r="Z52" s="426">
        <v>3067.29</v>
      </c>
      <c r="AA52" s="427">
        <v>2981.39</v>
      </c>
      <c r="AB52" s="427">
        <v>1910.66</v>
      </c>
      <c r="AC52" s="428">
        <v>1410.86</v>
      </c>
      <c r="AD52" s="429">
        <v>2830.8900000000003</v>
      </c>
      <c r="AE52" s="429">
        <v>2863</v>
      </c>
      <c r="AF52" s="363">
        <v>500</v>
      </c>
      <c r="AG52" s="363">
        <v>500</v>
      </c>
      <c r="AH52" s="363">
        <v>500</v>
      </c>
      <c r="AI52" s="363">
        <v>500</v>
      </c>
      <c r="AJ52" s="363">
        <v>500</v>
      </c>
      <c r="AK52" s="363">
        <v>500</v>
      </c>
      <c r="AL52" s="360">
        <v>18064.09</v>
      </c>
      <c r="AM52" s="362">
        <v>5604.75</v>
      </c>
      <c r="AN52" s="79">
        <v>500</v>
      </c>
      <c r="AO52" s="79">
        <v>2363</v>
      </c>
      <c r="AP52" s="374">
        <v>5604.75</v>
      </c>
      <c r="AQ52" s="80"/>
      <c r="AR52" s="79">
        <v>5604.75</v>
      </c>
      <c r="AS52" s="81"/>
      <c r="AT52" s="375">
        <v>3067.29</v>
      </c>
      <c r="AU52" s="375">
        <v>2981.39</v>
      </c>
      <c r="AV52" s="375">
        <v>1910.66</v>
      </c>
      <c r="AW52" s="375">
        <v>500</v>
      </c>
      <c r="AX52" s="375">
        <v>500</v>
      </c>
      <c r="AY52" s="375">
        <v>500</v>
      </c>
      <c r="AZ52" s="375">
        <v>500</v>
      </c>
      <c r="BA52" s="375">
        <v>500</v>
      </c>
      <c r="BB52" s="375">
        <v>500</v>
      </c>
      <c r="BC52" s="375">
        <v>500</v>
      </c>
      <c r="BD52" s="375">
        <v>500</v>
      </c>
      <c r="BE52" s="375">
        <v>500</v>
      </c>
      <c r="BF52" s="375">
        <v>12459.34</v>
      </c>
      <c r="BG52" s="79">
        <v>3067.29</v>
      </c>
      <c r="BH52" s="79">
        <v>2981.39</v>
      </c>
      <c r="BI52" s="79">
        <v>1910.66</v>
      </c>
      <c r="BJ52" s="79">
        <v>500</v>
      </c>
      <c r="BK52" s="79">
        <v>500</v>
      </c>
      <c r="BL52" s="79">
        <v>500</v>
      </c>
      <c r="BM52" s="79">
        <v>500</v>
      </c>
      <c r="BN52" s="79">
        <v>500</v>
      </c>
      <c r="BO52" s="79">
        <v>500</v>
      </c>
      <c r="BP52" s="79">
        <v>500</v>
      </c>
      <c r="BQ52" s="79">
        <v>500</v>
      </c>
      <c r="BR52" s="79">
        <v>500</v>
      </c>
      <c r="BS52" s="79">
        <v>12459.34</v>
      </c>
    </row>
    <row r="53" spans="1:71" ht="15" customHeight="1">
      <c r="A53" s="66" t="s">
        <v>1906</v>
      </c>
      <c r="B53" s="66" t="s">
        <v>465</v>
      </c>
      <c r="C53" s="66" t="s">
        <v>1907</v>
      </c>
      <c r="D53" s="150" t="s">
        <v>1136</v>
      </c>
      <c r="E53" s="482" t="s">
        <v>1566</v>
      </c>
      <c r="F53" s="150" t="s">
        <v>1135</v>
      </c>
      <c r="G53" s="150" t="s">
        <v>1145</v>
      </c>
      <c r="H53" s="150" t="s">
        <v>1135</v>
      </c>
      <c r="I53" s="150" t="s">
        <v>1145</v>
      </c>
      <c r="J53" s="150" t="s">
        <v>1137</v>
      </c>
      <c r="K53" s="511" t="s">
        <v>389</v>
      </c>
      <c r="L53" s="392" t="s">
        <v>1855</v>
      </c>
      <c r="M53" s="343"/>
      <c r="N53" s="343"/>
      <c r="O53" s="70" t="s">
        <v>466</v>
      </c>
      <c r="P53" s="346"/>
      <c r="Q53" s="346" t="s">
        <v>1140</v>
      </c>
      <c r="R53" s="346"/>
      <c r="S53" s="150" t="s">
        <v>57</v>
      </c>
      <c r="T53" s="150"/>
      <c r="U53" s="403"/>
      <c r="V53" s="406">
        <v>42000</v>
      </c>
      <c r="W53" s="406">
        <v>31512</v>
      </c>
      <c r="X53" s="425"/>
      <c r="Y53" s="71"/>
      <c r="Z53" s="426">
        <v>3202</v>
      </c>
      <c r="AA53" s="427">
        <v>2807</v>
      </c>
      <c r="AB53" s="427">
        <v>240</v>
      </c>
      <c r="AC53" s="428">
        <v>2458</v>
      </c>
      <c r="AD53" s="429">
        <v>2458</v>
      </c>
      <c r="AE53" s="429">
        <v>2786</v>
      </c>
      <c r="AF53" s="363">
        <v>2458</v>
      </c>
      <c r="AG53" s="363">
        <v>2458</v>
      </c>
      <c r="AH53" s="363">
        <v>2458</v>
      </c>
      <c r="AI53" s="363">
        <v>2458</v>
      </c>
      <c r="AJ53" s="363">
        <v>2458</v>
      </c>
      <c r="AK53" s="363">
        <v>2458</v>
      </c>
      <c r="AL53" s="360">
        <v>28699</v>
      </c>
      <c r="AM53" s="362">
        <v>-2813</v>
      </c>
      <c r="AN53" s="79">
        <v>2807</v>
      </c>
      <c r="AO53" s="79">
        <v>-21</v>
      </c>
      <c r="AP53" s="374">
        <v>-719</v>
      </c>
      <c r="AQ53" s="80"/>
      <c r="AR53" s="79">
        <v>-2813</v>
      </c>
      <c r="AS53" s="81"/>
      <c r="AT53" s="375">
        <v>3202</v>
      </c>
      <c r="AU53" s="375">
        <v>2807</v>
      </c>
      <c r="AV53" s="375">
        <v>240</v>
      </c>
      <c r="AW53" s="375">
        <v>2807</v>
      </c>
      <c r="AX53" s="375">
        <v>2807</v>
      </c>
      <c r="AY53" s="375">
        <v>2807</v>
      </c>
      <c r="AZ53" s="375">
        <v>2807</v>
      </c>
      <c r="BA53" s="375">
        <v>2807</v>
      </c>
      <c r="BB53" s="375">
        <v>2807</v>
      </c>
      <c r="BC53" s="375">
        <v>2807</v>
      </c>
      <c r="BD53" s="375">
        <v>2807</v>
      </c>
      <c r="BE53" s="375">
        <v>2807</v>
      </c>
      <c r="BF53" s="375">
        <v>31512</v>
      </c>
      <c r="BG53" s="79">
        <v>3202</v>
      </c>
      <c r="BH53" s="79">
        <v>2807</v>
      </c>
      <c r="BI53" s="79">
        <v>240</v>
      </c>
      <c r="BJ53" s="79">
        <v>2807</v>
      </c>
      <c r="BK53" s="79">
        <v>2807</v>
      </c>
      <c r="BL53" s="79">
        <v>2807</v>
      </c>
      <c r="BM53" s="79">
        <v>2807</v>
      </c>
      <c r="BN53" s="79">
        <v>2807</v>
      </c>
      <c r="BO53" s="79">
        <v>2807</v>
      </c>
      <c r="BP53" s="79">
        <v>2807</v>
      </c>
      <c r="BQ53" s="79">
        <v>2807</v>
      </c>
      <c r="BR53" s="79">
        <v>2807</v>
      </c>
      <c r="BS53" s="79">
        <v>31512</v>
      </c>
    </row>
    <row r="54" spans="1:71" ht="15" customHeight="1">
      <c r="A54" s="66" t="s">
        <v>1908</v>
      </c>
      <c r="B54" s="66" t="s">
        <v>465</v>
      </c>
      <c r="C54" s="66" t="s">
        <v>1909</v>
      </c>
      <c r="D54" s="150" t="s">
        <v>1136</v>
      </c>
      <c r="E54" s="482" t="s">
        <v>1566</v>
      </c>
      <c r="F54" s="150" t="s">
        <v>1135</v>
      </c>
      <c r="G54" s="150" t="s">
        <v>1156</v>
      </c>
      <c r="H54" s="150" t="s">
        <v>1135</v>
      </c>
      <c r="I54" s="150" t="s">
        <v>1156</v>
      </c>
      <c r="J54" s="150" t="s">
        <v>1137</v>
      </c>
      <c r="K54" s="511" t="s">
        <v>389</v>
      </c>
      <c r="L54" s="392" t="s">
        <v>1855</v>
      </c>
      <c r="M54" s="343"/>
      <c r="N54" s="343"/>
      <c r="O54" s="70" t="s">
        <v>466</v>
      </c>
      <c r="P54" s="346"/>
      <c r="Q54" s="346" t="s">
        <v>1140</v>
      </c>
      <c r="R54" s="346"/>
      <c r="S54" s="150" t="s">
        <v>57</v>
      </c>
      <c r="T54" s="150"/>
      <c r="U54" s="403"/>
      <c r="V54" s="406">
        <v>0</v>
      </c>
      <c r="W54" s="406">
        <v>3535</v>
      </c>
      <c r="X54" s="425"/>
      <c r="Y54" s="71"/>
      <c r="Z54" s="426">
        <v>60</v>
      </c>
      <c r="AA54" s="431">
        <v>0</v>
      </c>
      <c r="AB54" s="427">
        <v>3475</v>
      </c>
      <c r="AC54" s="428">
        <v>0</v>
      </c>
      <c r="AD54" s="429">
        <v>0</v>
      </c>
      <c r="AE54" s="429">
        <v>0</v>
      </c>
      <c r="AF54" s="360">
        <v>0</v>
      </c>
      <c r="AG54" s="360">
        <v>0</v>
      </c>
      <c r="AH54" s="360">
        <v>0</v>
      </c>
      <c r="AI54" s="360">
        <v>0</v>
      </c>
      <c r="AJ54" s="360">
        <v>0</v>
      </c>
      <c r="AK54" s="360">
        <v>0</v>
      </c>
      <c r="AL54" s="360">
        <v>3535</v>
      </c>
      <c r="AM54" s="362">
        <v>0</v>
      </c>
      <c r="AN54" s="79">
        <v>0</v>
      </c>
      <c r="AO54" s="79">
        <v>0</v>
      </c>
      <c r="AP54" s="374">
        <v>0</v>
      </c>
      <c r="AQ54" s="80"/>
      <c r="AR54" s="79">
        <v>0</v>
      </c>
      <c r="AS54" s="81"/>
      <c r="AT54" s="375">
        <v>60</v>
      </c>
      <c r="AU54" s="375">
        <v>0</v>
      </c>
      <c r="AV54" s="375">
        <v>3475</v>
      </c>
      <c r="AW54" s="375">
        <v>0</v>
      </c>
      <c r="AX54" s="375">
        <v>0</v>
      </c>
      <c r="AY54" s="375">
        <v>0</v>
      </c>
      <c r="AZ54" s="375">
        <v>0</v>
      </c>
      <c r="BA54" s="375">
        <v>0</v>
      </c>
      <c r="BB54" s="375">
        <v>0</v>
      </c>
      <c r="BC54" s="375">
        <v>0</v>
      </c>
      <c r="BD54" s="375">
        <v>0</v>
      </c>
      <c r="BE54" s="375">
        <v>0</v>
      </c>
      <c r="BF54" s="375">
        <v>3535</v>
      </c>
      <c r="BG54" s="79">
        <v>60</v>
      </c>
      <c r="BH54" s="79">
        <v>0</v>
      </c>
      <c r="BI54" s="79">
        <v>3475</v>
      </c>
      <c r="BJ54" s="79">
        <v>0</v>
      </c>
      <c r="BK54" s="79">
        <v>0</v>
      </c>
      <c r="BL54" s="79">
        <v>0</v>
      </c>
      <c r="BM54" s="79">
        <v>0</v>
      </c>
      <c r="BN54" s="79">
        <v>0</v>
      </c>
      <c r="BO54" s="79">
        <v>0</v>
      </c>
      <c r="BP54" s="79">
        <v>0</v>
      </c>
      <c r="BQ54" s="79">
        <v>0</v>
      </c>
      <c r="BR54" s="79">
        <v>0</v>
      </c>
      <c r="BS54" s="79">
        <v>3535</v>
      </c>
    </row>
    <row r="55" spans="1:71" ht="15" customHeight="1">
      <c r="A55" s="66" t="s">
        <v>1910</v>
      </c>
      <c r="B55" s="66" t="s">
        <v>465</v>
      </c>
      <c r="C55" s="66" t="s">
        <v>1911</v>
      </c>
      <c r="D55" s="150" t="s">
        <v>1136</v>
      </c>
      <c r="E55" s="482" t="s">
        <v>1566</v>
      </c>
      <c r="F55" s="150" t="s">
        <v>1135</v>
      </c>
      <c r="G55" s="150" t="s">
        <v>1161</v>
      </c>
      <c r="H55" s="150" t="s">
        <v>1135</v>
      </c>
      <c r="I55" s="150" t="s">
        <v>1161</v>
      </c>
      <c r="J55" s="150" t="s">
        <v>1137</v>
      </c>
      <c r="K55" s="511" t="s">
        <v>389</v>
      </c>
      <c r="L55" s="392" t="s">
        <v>1855</v>
      </c>
      <c r="M55" s="343"/>
      <c r="N55" s="343"/>
      <c r="O55" s="70" t="s">
        <v>466</v>
      </c>
      <c r="P55" s="346"/>
      <c r="Q55" s="346" t="s">
        <v>1140</v>
      </c>
      <c r="R55" s="346"/>
      <c r="S55" s="150" t="s">
        <v>57</v>
      </c>
      <c r="T55" s="150"/>
      <c r="U55" s="403"/>
      <c r="V55" s="406">
        <v>0</v>
      </c>
      <c r="W55" s="406">
        <v>1245</v>
      </c>
      <c r="X55" s="425"/>
      <c r="Y55" s="71"/>
      <c r="Z55" s="426"/>
      <c r="AA55" s="427"/>
      <c r="AB55" s="427">
        <v>1245</v>
      </c>
      <c r="AC55" s="428">
        <v>0</v>
      </c>
      <c r="AD55" s="429">
        <v>0</v>
      </c>
      <c r="AE55" s="429">
        <v>0</v>
      </c>
      <c r="AF55" s="360">
        <v>0</v>
      </c>
      <c r="AG55" s="360">
        <v>0</v>
      </c>
      <c r="AH55" s="360">
        <v>0</v>
      </c>
      <c r="AI55" s="360">
        <v>0</v>
      </c>
      <c r="AJ55" s="360">
        <v>0</v>
      </c>
      <c r="AK55" s="360">
        <v>0</v>
      </c>
      <c r="AL55" s="360">
        <v>1245</v>
      </c>
      <c r="AM55" s="362">
        <v>0</v>
      </c>
      <c r="AN55" s="79">
        <v>0</v>
      </c>
      <c r="AO55" s="79">
        <v>0</v>
      </c>
      <c r="AP55" s="374">
        <v>0</v>
      </c>
      <c r="AQ55" s="80"/>
      <c r="AR55" s="79">
        <v>0</v>
      </c>
      <c r="AS55" s="81"/>
      <c r="AT55" s="375"/>
      <c r="AU55" s="375"/>
      <c r="AV55" s="375">
        <v>1245</v>
      </c>
      <c r="AW55" s="375">
        <v>0</v>
      </c>
      <c r="AX55" s="375">
        <v>0</v>
      </c>
      <c r="AY55" s="375">
        <v>0</v>
      </c>
      <c r="AZ55" s="375">
        <v>0</v>
      </c>
      <c r="BA55" s="375">
        <v>0</v>
      </c>
      <c r="BB55" s="375">
        <v>0</v>
      </c>
      <c r="BC55" s="375">
        <v>0</v>
      </c>
      <c r="BD55" s="375">
        <v>0</v>
      </c>
      <c r="BE55" s="375">
        <v>0</v>
      </c>
      <c r="BF55" s="375">
        <v>1245</v>
      </c>
      <c r="BG55" s="79"/>
      <c r="BH55" s="79"/>
      <c r="BI55" s="79">
        <v>1245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0</v>
      </c>
      <c r="BP55" s="79">
        <v>0</v>
      </c>
      <c r="BQ55" s="79">
        <v>0</v>
      </c>
      <c r="BR55" s="79">
        <v>0</v>
      </c>
      <c r="BS55" s="79">
        <v>1245</v>
      </c>
    </row>
    <row r="56" spans="1:71" ht="15" customHeight="1">
      <c r="A56" s="66" t="s">
        <v>1912</v>
      </c>
      <c r="B56" s="66" t="s">
        <v>465</v>
      </c>
      <c r="C56" s="66" t="s">
        <v>1913</v>
      </c>
      <c r="D56" s="150" t="s">
        <v>1136</v>
      </c>
      <c r="E56" s="482" t="s">
        <v>1566</v>
      </c>
      <c r="F56" s="150" t="s">
        <v>1135</v>
      </c>
      <c r="G56" s="150" t="s">
        <v>1165</v>
      </c>
      <c r="H56" s="150" t="s">
        <v>1135</v>
      </c>
      <c r="I56" s="150" t="s">
        <v>1165</v>
      </c>
      <c r="J56" s="150" t="s">
        <v>1137</v>
      </c>
      <c r="K56" s="511" t="s">
        <v>389</v>
      </c>
      <c r="L56" s="392" t="s">
        <v>1855</v>
      </c>
      <c r="M56" s="343"/>
      <c r="N56" s="343"/>
      <c r="O56" s="70" t="s">
        <v>466</v>
      </c>
      <c r="P56" s="346"/>
      <c r="Q56" s="346" t="s">
        <v>1140</v>
      </c>
      <c r="R56" s="346"/>
      <c r="S56" s="150" t="s">
        <v>57</v>
      </c>
      <c r="T56" s="150"/>
      <c r="U56" s="403"/>
      <c r="V56" s="406">
        <v>120000</v>
      </c>
      <c r="W56" s="406">
        <v>114396</v>
      </c>
      <c r="X56" s="425"/>
      <c r="Y56" s="71"/>
      <c r="Z56" s="426">
        <v>8661</v>
      </c>
      <c r="AA56" s="427">
        <v>6471</v>
      </c>
      <c r="AB56" s="427">
        <v>9264</v>
      </c>
      <c r="AC56" s="428">
        <v>5219</v>
      </c>
      <c r="AD56" s="429">
        <v>5092</v>
      </c>
      <c r="AE56" s="429">
        <v>6559</v>
      </c>
      <c r="AF56" s="363">
        <v>10000</v>
      </c>
      <c r="AG56" s="363">
        <v>10000</v>
      </c>
      <c r="AH56" s="363">
        <v>10000</v>
      </c>
      <c r="AI56" s="363">
        <v>10000</v>
      </c>
      <c r="AJ56" s="363">
        <v>10000</v>
      </c>
      <c r="AK56" s="363">
        <v>10000</v>
      </c>
      <c r="AL56" s="360">
        <v>101266</v>
      </c>
      <c r="AM56" s="362">
        <v>-13130</v>
      </c>
      <c r="AN56" s="79">
        <v>10000</v>
      </c>
      <c r="AO56" s="79">
        <v>-3441</v>
      </c>
      <c r="AP56" s="374">
        <v>-13130</v>
      </c>
      <c r="AQ56" s="80"/>
      <c r="AR56" s="79">
        <v>-13130</v>
      </c>
      <c r="AS56" s="81"/>
      <c r="AT56" s="375">
        <v>8661</v>
      </c>
      <c r="AU56" s="375">
        <v>6471</v>
      </c>
      <c r="AV56" s="375">
        <v>9264</v>
      </c>
      <c r="AW56" s="375">
        <v>10000</v>
      </c>
      <c r="AX56" s="375">
        <v>10000</v>
      </c>
      <c r="AY56" s="375">
        <v>10000</v>
      </c>
      <c r="AZ56" s="375">
        <v>10000</v>
      </c>
      <c r="BA56" s="375">
        <v>10000</v>
      </c>
      <c r="BB56" s="375">
        <v>10000</v>
      </c>
      <c r="BC56" s="375">
        <v>10000</v>
      </c>
      <c r="BD56" s="375">
        <v>10000</v>
      </c>
      <c r="BE56" s="375">
        <v>10000</v>
      </c>
      <c r="BF56" s="375">
        <v>114396</v>
      </c>
      <c r="BG56" s="79">
        <v>8661</v>
      </c>
      <c r="BH56" s="79">
        <v>6471</v>
      </c>
      <c r="BI56" s="79">
        <v>9264</v>
      </c>
      <c r="BJ56" s="79">
        <v>10000</v>
      </c>
      <c r="BK56" s="79">
        <v>10000</v>
      </c>
      <c r="BL56" s="79">
        <v>10000</v>
      </c>
      <c r="BM56" s="79">
        <v>10000</v>
      </c>
      <c r="BN56" s="79">
        <v>10000</v>
      </c>
      <c r="BO56" s="79">
        <v>10000</v>
      </c>
      <c r="BP56" s="79">
        <v>10000</v>
      </c>
      <c r="BQ56" s="79">
        <v>10000</v>
      </c>
      <c r="BR56" s="79">
        <v>10000</v>
      </c>
      <c r="BS56" s="79">
        <v>114396</v>
      </c>
    </row>
    <row r="57" spans="1:71" ht="15" customHeight="1">
      <c r="A57" s="66" t="s">
        <v>1946</v>
      </c>
      <c r="B57" s="66" t="s">
        <v>485</v>
      </c>
      <c r="C57" s="66" t="s">
        <v>485</v>
      </c>
      <c r="D57" s="150" t="s">
        <v>1136</v>
      </c>
      <c r="E57" s="482" t="s">
        <v>1566</v>
      </c>
      <c r="F57" s="150" t="s">
        <v>1135</v>
      </c>
      <c r="G57" s="150" t="s">
        <v>1135</v>
      </c>
      <c r="H57" s="150" t="s">
        <v>1135</v>
      </c>
      <c r="I57" s="150" t="s">
        <v>1135</v>
      </c>
      <c r="J57" s="150" t="s">
        <v>1137</v>
      </c>
      <c r="K57" s="511" t="s">
        <v>389</v>
      </c>
      <c r="L57" s="392" t="s">
        <v>1947</v>
      </c>
      <c r="M57" s="343"/>
      <c r="N57" s="343"/>
      <c r="O57" s="70" t="s">
        <v>486</v>
      </c>
      <c r="P57" s="346" t="s">
        <v>1153</v>
      </c>
      <c r="Q57" s="343"/>
      <c r="R57" s="346"/>
      <c r="S57" s="150" t="s">
        <v>487</v>
      </c>
      <c r="T57" s="150"/>
      <c r="U57" s="403"/>
      <c r="V57" s="406">
        <v>-608600</v>
      </c>
      <c r="W57" s="406">
        <v>-597160</v>
      </c>
      <c r="X57" s="425"/>
      <c r="Y57" s="71"/>
      <c r="Z57" s="426"/>
      <c r="AA57" s="427"/>
      <c r="AB57" s="427">
        <v>-123760</v>
      </c>
      <c r="AC57" s="428">
        <v>0</v>
      </c>
      <c r="AD57" s="429">
        <v>-113731.04000000001</v>
      </c>
      <c r="AE57" s="429">
        <v>-60567.46</v>
      </c>
      <c r="AF57" s="363">
        <v>-52600</v>
      </c>
      <c r="AG57" s="363">
        <v>-52600</v>
      </c>
      <c r="AH57" s="363">
        <v>-52600</v>
      </c>
      <c r="AI57" s="363">
        <v>-52600</v>
      </c>
      <c r="AJ57" s="363">
        <v>-52600</v>
      </c>
      <c r="AK57" s="363">
        <v>-52600</v>
      </c>
      <c r="AL57" s="360">
        <v>-613658.5</v>
      </c>
      <c r="AM57" s="362">
        <v>-16498.5</v>
      </c>
      <c r="AN57" s="79">
        <v>-52600</v>
      </c>
      <c r="AO57" s="79">
        <v>-7967.4599999999991</v>
      </c>
      <c r="AP57" s="374">
        <v>-16498.5</v>
      </c>
      <c r="AQ57" s="80"/>
      <c r="AR57" s="79">
        <v>-16498.5</v>
      </c>
      <c r="AS57" s="81"/>
      <c r="AT57" s="375"/>
      <c r="AU57" s="375"/>
      <c r="AV57" s="375">
        <v>-123760</v>
      </c>
      <c r="AW57" s="375">
        <v>-52600</v>
      </c>
      <c r="AX57" s="375">
        <v>-52600</v>
      </c>
      <c r="AY57" s="375">
        <v>-52600</v>
      </c>
      <c r="AZ57" s="375">
        <v>-52600</v>
      </c>
      <c r="BA57" s="375">
        <v>-52600</v>
      </c>
      <c r="BB57" s="375">
        <v>-52600</v>
      </c>
      <c r="BC57" s="375">
        <v>-52600</v>
      </c>
      <c r="BD57" s="375">
        <v>-52600</v>
      </c>
      <c r="BE57" s="375">
        <v>-52600</v>
      </c>
      <c r="BF57" s="375">
        <v>-597160</v>
      </c>
      <c r="BG57" s="79"/>
      <c r="BH57" s="79"/>
      <c r="BI57" s="79">
        <v>-123760</v>
      </c>
      <c r="BJ57" s="79">
        <v>-52600</v>
      </c>
      <c r="BK57" s="79">
        <v>-52600</v>
      </c>
      <c r="BL57" s="79">
        <v>-52600</v>
      </c>
      <c r="BM57" s="79">
        <v>-52600</v>
      </c>
      <c r="BN57" s="79">
        <v>-52600</v>
      </c>
      <c r="BO57" s="79">
        <v>-52600</v>
      </c>
      <c r="BP57" s="79">
        <v>-52600</v>
      </c>
      <c r="BQ57" s="79">
        <v>-52600</v>
      </c>
      <c r="BR57" s="79">
        <v>-52600</v>
      </c>
      <c r="BS57" s="79">
        <v>-597160</v>
      </c>
    </row>
    <row r="58" spans="1:71" ht="15" customHeight="1">
      <c r="A58" s="66" t="s">
        <v>1948</v>
      </c>
      <c r="B58" s="66" t="s">
        <v>485</v>
      </c>
      <c r="C58" s="66" t="s">
        <v>1949</v>
      </c>
      <c r="D58" s="150" t="s">
        <v>1136</v>
      </c>
      <c r="E58" s="482" t="s">
        <v>1566</v>
      </c>
      <c r="F58" s="150" t="s">
        <v>1135</v>
      </c>
      <c r="G58" s="150" t="s">
        <v>1145</v>
      </c>
      <c r="H58" s="150" t="s">
        <v>1135</v>
      </c>
      <c r="I58" s="150" t="s">
        <v>1145</v>
      </c>
      <c r="J58" s="150" t="s">
        <v>1137</v>
      </c>
      <c r="K58" s="511" t="s">
        <v>389</v>
      </c>
      <c r="L58" s="392" t="s">
        <v>1947</v>
      </c>
      <c r="M58" s="343"/>
      <c r="N58" s="343"/>
      <c r="O58" s="70" t="s">
        <v>486</v>
      </c>
      <c r="P58" s="346" t="s">
        <v>1153</v>
      </c>
      <c r="Q58" s="343"/>
      <c r="R58" s="346"/>
      <c r="S58" s="150" t="s">
        <v>487</v>
      </c>
      <c r="T58" s="150"/>
      <c r="U58" s="404"/>
      <c r="V58" s="407">
        <v>0</v>
      </c>
      <c r="W58" s="407">
        <v>0</v>
      </c>
      <c r="X58" s="425"/>
      <c r="Y58" s="71"/>
      <c r="Z58" s="426"/>
      <c r="AA58" s="427">
        <v>-68030</v>
      </c>
      <c r="AB58" s="427">
        <v>68030</v>
      </c>
      <c r="AC58" s="428">
        <v>0</v>
      </c>
      <c r="AD58" s="429">
        <v>0</v>
      </c>
      <c r="AE58" s="429">
        <v>0</v>
      </c>
      <c r="AF58" s="363"/>
      <c r="AG58" s="363"/>
      <c r="AH58" s="363"/>
      <c r="AI58" s="363"/>
      <c r="AJ58" s="363"/>
      <c r="AK58" s="363"/>
      <c r="AL58" s="360">
        <v>0</v>
      </c>
      <c r="AM58" s="362">
        <v>0</v>
      </c>
      <c r="AN58" s="79"/>
      <c r="AO58" s="79">
        <v>0</v>
      </c>
      <c r="AP58" s="374">
        <v>0</v>
      </c>
      <c r="AQ58" s="80"/>
      <c r="AR58" s="79">
        <v>0</v>
      </c>
      <c r="AS58" s="81"/>
      <c r="AT58" s="375"/>
      <c r="AU58" s="375">
        <v>-68030</v>
      </c>
      <c r="AV58" s="375">
        <v>68030</v>
      </c>
      <c r="AW58" s="375"/>
      <c r="AX58" s="375"/>
      <c r="AY58" s="375"/>
      <c r="AZ58" s="375"/>
      <c r="BA58" s="375"/>
      <c r="BB58" s="375"/>
      <c r="BC58" s="375"/>
      <c r="BD58" s="375"/>
      <c r="BE58" s="375"/>
      <c r="BF58" s="375">
        <v>0</v>
      </c>
      <c r="BG58" s="79"/>
      <c r="BH58" s="79">
        <v>-68030</v>
      </c>
      <c r="BI58" s="79">
        <v>68030</v>
      </c>
      <c r="BJ58" s="79"/>
      <c r="BK58" s="79"/>
      <c r="BL58" s="79"/>
      <c r="BM58" s="79"/>
      <c r="BN58" s="79"/>
      <c r="BO58" s="79"/>
      <c r="BP58" s="79"/>
      <c r="BQ58" s="79"/>
      <c r="BR58" s="79"/>
      <c r="BS58" s="79">
        <v>0</v>
      </c>
    </row>
    <row r="59" spans="1:71" ht="15" customHeight="1">
      <c r="A59" s="66" t="s">
        <v>1953</v>
      </c>
      <c r="B59" s="66" t="s">
        <v>491</v>
      </c>
      <c r="C59" s="66" t="s">
        <v>491</v>
      </c>
      <c r="D59" s="150" t="s">
        <v>1136</v>
      </c>
      <c r="E59" s="482" t="s">
        <v>1566</v>
      </c>
      <c r="F59" s="150" t="s">
        <v>1135</v>
      </c>
      <c r="G59" s="150" t="s">
        <v>1135</v>
      </c>
      <c r="H59" s="150" t="s">
        <v>1135</v>
      </c>
      <c r="I59" s="150" t="s">
        <v>1135</v>
      </c>
      <c r="J59" s="150" t="s">
        <v>1137</v>
      </c>
      <c r="K59" s="511" t="s">
        <v>389</v>
      </c>
      <c r="L59" s="392" t="s">
        <v>1327</v>
      </c>
      <c r="M59" s="343"/>
      <c r="N59" s="343"/>
      <c r="O59" s="70" t="s">
        <v>147</v>
      </c>
      <c r="P59" s="346"/>
      <c r="Q59" s="343"/>
      <c r="R59" s="346"/>
      <c r="S59" s="150" t="s">
        <v>25</v>
      </c>
      <c r="T59" s="150"/>
      <c r="U59" s="403"/>
      <c r="V59" s="406">
        <v>0</v>
      </c>
      <c r="W59" s="406">
        <v>0.03</v>
      </c>
      <c r="X59" s="430"/>
      <c r="Y59" s="137"/>
      <c r="Z59" s="426">
        <v>7.0000000000000007E-2</v>
      </c>
      <c r="AA59" s="427">
        <v>-0.2</v>
      </c>
      <c r="AB59" s="427">
        <v>0.16</v>
      </c>
      <c r="AC59" s="428">
        <v>-0.28999999999999998</v>
      </c>
      <c r="AD59" s="429">
        <v>71439.95</v>
      </c>
      <c r="AE59" s="429">
        <v>1.9999999999999997E-2</v>
      </c>
      <c r="AF59" s="360">
        <v>0</v>
      </c>
      <c r="AG59" s="360">
        <v>0</v>
      </c>
      <c r="AH59" s="360">
        <v>0</v>
      </c>
      <c r="AI59" s="360">
        <v>0</v>
      </c>
      <c r="AJ59" s="360">
        <v>0</v>
      </c>
      <c r="AK59" s="360">
        <v>0</v>
      </c>
      <c r="AL59" s="360">
        <v>71439.710000000006</v>
      </c>
      <c r="AM59" s="362">
        <v>71439.680000000008</v>
      </c>
      <c r="AN59" s="79">
        <v>0</v>
      </c>
      <c r="AO59" s="79">
        <v>1.9999999999999997E-2</v>
      </c>
      <c r="AP59" s="374">
        <v>71439.680000000008</v>
      </c>
      <c r="AQ59" s="80"/>
      <c r="AR59" s="79">
        <v>71439.680000000008</v>
      </c>
      <c r="AS59" s="81"/>
      <c r="AT59" s="375">
        <v>7.0000000000000007E-2</v>
      </c>
      <c r="AU59" s="375">
        <v>-0.2</v>
      </c>
      <c r="AV59" s="375">
        <v>0.16</v>
      </c>
      <c r="AW59" s="375">
        <v>0</v>
      </c>
      <c r="AX59" s="375">
        <v>0</v>
      </c>
      <c r="AY59" s="375">
        <v>0</v>
      </c>
      <c r="AZ59" s="375">
        <v>0</v>
      </c>
      <c r="BA59" s="375">
        <v>0</v>
      </c>
      <c r="BB59" s="375">
        <v>0</v>
      </c>
      <c r="BC59" s="375">
        <v>0</v>
      </c>
      <c r="BD59" s="375">
        <v>0</v>
      </c>
      <c r="BE59" s="375">
        <v>0</v>
      </c>
      <c r="BF59" s="375">
        <v>0.03</v>
      </c>
      <c r="BG59" s="79">
        <v>7.0000000000000007E-2</v>
      </c>
      <c r="BH59" s="79">
        <v>-0.2</v>
      </c>
      <c r="BI59" s="79">
        <v>0.16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  <c r="BP59" s="79">
        <v>0</v>
      </c>
      <c r="BQ59" s="79">
        <v>0</v>
      </c>
      <c r="BR59" s="79">
        <v>0</v>
      </c>
      <c r="BS59" s="79">
        <v>0.03</v>
      </c>
    </row>
    <row r="60" spans="1:71" ht="15" customHeight="1">
      <c r="A60" s="66" t="s">
        <v>1954</v>
      </c>
      <c r="B60" s="66" t="s">
        <v>491</v>
      </c>
      <c r="C60" s="66" t="s">
        <v>1955</v>
      </c>
      <c r="D60" s="150" t="s">
        <v>1136</v>
      </c>
      <c r="E60" s="482" t="s">
        <v>1566</v>
      </c>
      <c r="F60" s="150" t="s">
        <v>1135</v>
      </c>
      <c r="G60" s="150" t="s">
        <v>1135</v>
      </c>
      <c r="H60" s="150" t="s">
        <v>1135</v>
      </c>
      <c r="I60" s="150" t="s">
        <v>1137</v>
      </c>
      <c r="J60" s="150" t="s">
        <v>1137</v>
      </c>
      <c r="K60" s="511" t="s">
        <v>389</v>
      </c>
      <c r="L60" s="392" t="s">
        <v>1327</v>
      </c>
      <c r="M60" s="343"/>
      <c r="N60" s="343"/>
      <c r="O60" s="70" t="s">
        <v>147</v>
      </c>
      <c r="P60" s="346"/>
      <c r="Q60" s="343"/>
      <c r="R60" s="346"/>
      <c r="S60" s="150" t="s">
        <v>25</v>
      </c>
      <c r="T60" s="1" t="s">
        <v>1141</v>
      </c>
      <c r="U60" s="403"/>
      <c r="V60" s="406">
        <v>0</v>
      </c>
      <c r="W60" s="406">
        <v>1777.1799999999998</v>
      </c>
      <c r="X60" s="425"/>
      <c r="Y60" s="71"/>
      <c r="Z60" s="426">
        <v>843.63</v>
      </c>
      <c r="AA60" s="427">
        <v>-313.26</v>
      </c>
      <c r="AB60" s="427">
        <v>1246.81</v>
      </c>
      <c r="AC60" s="428">
        <v>1159.5900000000001</v>
      </c>
      <c r="AD60" s="429">
        <v>1531.64</v>
      </c>
      <c r="AE60" s="429">
        <v>324.64</v>
      </c>
      <c r="AF60" s="360">
        <v>0</v>
      </c>
      <c r="AG60" s="360">
        <v>0</v>
      </c>
      <c r="AH60" s="360">
        <v>0</v>
      </c>
      <c r="AI60" s="360">
        <v>0</v>
      </c>
      <c r="AJ60" s="360">
        <v>0</v>
      </c>
      <c r="AK60" s="360">
        <v>0</v>
      </c>
      <c r="AL60" s="360">
        <v>4793.05</v>
      </c>
      <c r="AM60" s="362">
        <v>3015.8700000000003</v>
      </c>
      <c r="AN60" s="79">
        <v>0</v>
      </c>
      <c r="AO60" s="79">
        <v>324.64</v>
      </c>
      <c r="AP60" s="374">
        <v>3015.8700000000003</v>
      </c>
      <c r="AQ60" s="80"/>
      <c r="AR60" s="79">
        <v>3015.8700000000003</v>
      </c>
      <c r="AS60" s="81"/>
      <c r="AT60" s="375">
        <v>843.63</v>
      </c>
      <c r="AU60" s="375">
        <v>-313.26</v>
      </c>
      <c r="AV60" s="375">
        <v>1246.81</v>
      </c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375">
        <v>0</v>
      </c>
      <c r="BD60" s="375">
        <v>0</v>
      </c>
      <c r="BE60" s="375">
        <v>0</v>
      </c>
      <c r="BF60" s="375">
        <v>1777.1799999999998</v>
      </c>
      <c r="BG60" s="79">
        <v>843.63</v>
      </c>
      <c r="BH60" s="79">
        <v>-313.26</v>
      </c>
      <c r="BI60" s="79">
        <v>1246.81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1777.1799999999998</v>
      </c>
    </row>
    <row r="61" spans="1:71" ht="15" customHeight="1">
      <c r="A61" s="66" t="s">
        <v>1957</v>
      </c>
      <c r="B61" s="66" t="s">
        <v>491</v>
      </c>
      <c r="C61" s="66" t="s">
        <v>1958</v>
      </c>
      <c r="D61" s="150" t="s">
        <v>1136</v>
      </c>
      <c r="E61" s="482" t="s">
        <v>1566</v>
      </c>
      <c r="F61" s="150" t="s">
        <v>1135</v>
      </c>
      <c r="G61" s="150" t="s">
        <v>1145</v>
      </c>
      <c r="H61" s="150" t="s">
        <v>1135</v>
      </c>
      <c r="I61" s="150" t="s">
        <v>1145</v>
      </c>
      <c r="J61" s="150" t="s">
        <v>1137</v>
      </c>
      <c r="K61" s="511" t="s">
        <v>389</v>
      </c>
      <c r="L61" s="392" t="s">
        <v>1327</v>
      </c>
      <c r="M61" s="343"/>
      <c r="N61" s="343"/>
      <c r="O61" s="70" t="s">
        <v>147</v>
      </c>
      <c r="P61" s="346"/>
      <c r="Q61" s="343"/>
      <c r="R61" s="346"/>
      <c r="S61" s="150" t="s">
        <v>25</v>
      </c>
      <c r="T61" s="150"/>
      <c r="U61" s="403"/>
      <c r="V61" s="406">
        <v>0</v>
      </c>
      <c r="W61" s="406">
        <v>-0.12</v>
      </c>
      <c r="X61" s="425"/>
      <c r="Y61" s="71"/>
      <c r="Z61" s="426">
        <v>0.02</v>
      </c>
      <c r="AA61" s="427">
        <v>0.04</v>
      </c>
      <c r="AB61" s="427">
        <v>-0.18</v>
      </c>
      <c r="AC61" s="428">
        <v>-0.02</v>
      </c>
      <c r="AD61" s="429">
        <v>0.19</v>
      </c>
      <c r="AE61" s="429">
        <v>-0.36</v>
      </c>
      <c r="AF61" s="360">
        <v>0</v>
      </c>
      <c r="AG61" s="360">
        <v>0</v>
      </c>
      <c r="AH61" s="360">
        <v>0</v>
      </c>
      <c r="AI61" s="360">
        <v>0</v>
      </c>
      <c r="AJ61" s="360">
        <v>0</v>
      </c>
      <c r="AK61" s="360">
        <v>0</v>
      </c>
      <c r="AL61" s="360">
        <v>-0.30999999999999994</v>
      </c>
      <c r="AM61" s="362">
        <v>-0.18999999999999995</v>
      </c>
      <c r="AN61" s="79">
        <v>0</v>
      </c>
      <c r="AO61" s="79">
        <v>-0.36</v>
      </c>
      <c r="AP61" s="374">
        <v>-0.18999999999999995</v>
      </c>
      <c r="AQ61" s="80"/>
      <c r="AR61" s="79">
        <v>-0.18999999999999995</v>
      </c>
      <c r="AS61" s="81"/>
      <c r="AT61" s="375">
        <v>0.02</v>
      </c>
      <c r="AU61" s="375">
        <v>0.04</v>
      </c>
      <c r="AV61" s="375">
        <v>-0.18</v>
      </c>
      <c r="AW61" s="375">
        <v>0</v>
      </c>
      <c r="AX61" s="375">
        <v>0</v>
      </c>
      <c r="AY61" s="375">
        <v>0</v>
      </c>
      <c r="AZ61" s="375">
        <v>0</v>
      </c>
      <c r="BA61" s="375">
        <v>0</v>
      </c>
      <c r="BB61" s="375">
        <v>0</v>
      </c>
      <c r="BC61" s="375">
        <v>0</v>
      </c>
      <c r="BD61" s="375">
        <v>0</v>
      </c>
      <c r="BE61" s="375">
        <v>0</v>
      </c>
      <c r="BF61" s="375">
        <v>-0.12</v>
      </c>
      <c r="BG61" s="79">
        <v>0.02</v>
      </c>
      <c r="BH61" s="79">
        <v>0.04</v>
      </c>
      <c r="BI61" s="79">
        <v>-0.18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0</v>
      </c>
      <c r="BP61" s="79">
        <v>0</v>
      </c>
      <c r="BQ61" s="79">
        <v>0</v>
      </c>
      <c r="BR61" s="79">
        <v>0</v>
      </c>
      <c r="BS61" s="79">
        <v>-0.12</v>
      </c>
    </row>
    <row r="62" spans="1:71" ht="15" customHeight="1">
      <c r="A62" s="66" t="s">
        <v>1959</v>
      </c>
      <c r="B62" s="66" t="s">
        <v>491</v>
      </c>
      <c r="C62" s="66" t="s">
        <v>1960</v>
      </c>
      <c r="D62" s="150" t="s">
        <v>1136</v>
      </c>
      <c r="E62" s="482" t="s">
        <v>1566</v>
      </c>
      <c r="F62" s="150" t="s">
        <v>1135</v>
      </c>
      <c r="G62" s="150" t="s">
        <v>1156</v>
      </c>
      <c r="H62" s="150" t="s">
        <v>1135</v>
      </c>
      <c r="I62" s="150" t="s">
        <v>1156</v>
      </c>
      <c r="J62" s="150" t="s">
        <v>1137</v>
      </c>
      <c r="K62" s="511" t="s">
        <v>389</v>
      </c>
      <c r="L62" s="392" t="s">
        <v>1327</v>
      </c>
      <c r="M62" s="343"/>
      <c r="N62" s="343"/>
      <c r="O62" s="70" t="s">
        <v>147</v>
      </c>
      <c r="P62" s="346"/>
      <c r="Q62" s="343"/>
      <c r="R62" s="346"/>
      <c r="S62" s="150" t="s">
        <v>25</v>
      </c>
      <c r="T62" s="150"/>
      <c r="U62" s="403"/>
      <c r="V62" s="406">
        <v>0</v>
      </c>
      <c r="W62" s="406">
        <v>-0.16999999999999998</v>
      </c>
      <c r="X62" s="425"/>
      <c r="Y62" s="71"/>
      <c r="Z62" s="426"/>
      <c r="AA62" s="427">
        <v>0.42</v>
      </c>
      <c r="AB62" s="427">
        <v>-0.59</v>
      </c>
      <c r="AC62" s="428">
        <v>0.34</v>
      </c>
      <c r="AD62" s="429">
        <v>0.33</v>
      </c>
      <c r="AE62" s="429">
        <v>-0.56999999999999995</v>
      </c>
      <c r="AF62" s="360">
        <v>0</v>
      </c>
      <c r="AG62" s="360">
        <v>0</v>
      </c>
      <c r="AH62" s="360">
        <v>0</v>
      </c>
      <c r="AI62" s="360">
        <v>0</v>
      </c>
      <c r="AJ62" s="360">
        <v>0</v>
      </c>
      <c r="AK62" s="360">
        <v>0</v>
      </c>
      <c r="AL62" s="360">
        <v>-6.9999999999999951E-2</v>
      </c>
      <c r="AM62" s="362">
        <v>0.10000000000000003</v>
      </c>
      <c r="AN62" s="79">
        <v>0</v>
      </c>
      <c r="AO62" s="79">
        <v>-0.56999999999999995</v>
      </c>
      <c r="AP62" s="374">
        <v>0.10000000000000003</v>
      </c>
      <c r="AQ62" s="80"/>
      <c r="AR62" s="79">
        <v>0.10000000000000003</v>
      </c>
      <c r="AS62" s="81"/>
      <c r="AT62" s="375"/>
      <c r="AU62" s="375">
        <v>0.42</v>
      </c>
      <c r="AV62" s="375">
        <v>-0.59</v>
      </c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0</v>
      </c>
      <c r="BC62" s="375">
        <v>0</v>
      </c>
      <c r="BD62" s="375">
        <v>0</v>
      </c>
      <c r="BE62" s="375">
        <v>0</v>
      </c>
      <c r="BF62" s="375">
        <v>-0.16999999999999998</v>
      </c>
      <c r="BG62" s="79"/>
      <c r="BH62" s="79">
        <v>0.42</v>
      </c>
      <c r="BI62" s="79">
        <v>-0.59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0</v>
      </c>
      <c r="BP62" s="79">
        <v>0</v>
      </c>
      <c r="BQ62" s="79">
        <v>0</v>
      </c>
      <c r="BR62" s="79">
        <v>0</v>
      </c>
      <c r="BS62" s="79">
        <v>-0.16999999999999998</v>
      </c>
    </row>
    <row r="63" spans="1:71" ht="15" customHeight="1">
      <c r="A63" s="66" t="s">
        <v>1961</v>
      </c>
      <c r="B63" s="66" t="s">
        <v>491</v>
      </c>
      <c r="C63" s="66" t="s">
        <v>1962</v>
      </c>
      <c r="D63" s="150" t="s">
        <v>1136</v>
      </c>
      <c r="E63" s="482" t="s">
        <v>1566</v>
      </c>
      <c r="F63" s="150" t="s">
        <v>1135</v>
      </c>
      <c r="G63" s="150" t="s">
        <v>1165</v>
      </c>
      <c r="H63" s="150" t="s">
        <v>1135</v>
      </c>
      <c r="I63" s="150" t="s">
        <v>1165</v>
      </c>
      <c r="J63" s="150" t="s">
        <v>1137</v>
      </c>
      <c r="K63" s="511" t="s">
        <v>389</v>
      </c>
      <c r="L63" s="392" t="s">
        <v>1327</v>
      </c>
      <c r="M63" s="343"/>
      <c r="N63" s="343"/>
      <c r="O63" s="70" t="s">
        <v>147</v>
      </c>
      <c r="P63" s="346"/>
      <c r="Q63" s="343"/>
      <c r="R63" s="346"/>
      <c r="S63" s="150" t="s">
        <v>25</v>
      </c>
      <c r="T63" s="482" t="s">
        <v>1338</v>
      </c>
      <c r="U63" s="403"/>
      <c r="V63" s="406">
        <v>0</v>
      </c>
      <c r="W63" s="406">
        <v>39996</v>
      </c>
      <c r="X63" s="425"/>
      <c r="Y63" s="71"/>
      <c r="Z63" s="426">
        <v>0.22</v>
      </c>
      <c r="AA63" s="427">
        <v>45000.28</v>
      </c>
      <c r="AB63" s="427">
        <v>-5004.5</v>
      </c>
      <c r="AC63" s="428">
        <v>-0.6</v>
      </c>
      <c r="AD63" s="429">
        <v>-84995.74</v>
      </c>
      <c r="AE63" s="429">
        <v>44999.83</v>
      </c>
      <c r="AF63" s="360">
        <v>0</v>
      </c>
      <c r="AG63" s="360">
        <v>0</v>
      </c>
      <c r="AH63" s="360">
        <v>0</v>
      </c>
      <c r="AI63" s="360">
        <v>0</v>
      </c>
      <c r="AJ63" s="360">
        <v>0</v>
      </c>
      <c r="AK63" s="360">
        <v>0</v>
      </c>
      <c r="AL63" s="360">
        <v>-0.51000000000203727</v>
      </c>
      <c r="AM63" s="362">
        <v>-39996.51</v>
      </c>
      <c r="AN63" s="79">
        <v>0</v>
      </c>
      <c r="AO63" s="79">
        <v>44999.83</v>
      </c>
      <c r="AP63" s="374">
        <v>-39996.51</v>
      </c>
      <c r="AQ63" s="80"/>
      <c r="AR63" s="79">
        <v>-39996.51</v>
      </c>
      <c r="AS63" s="81"/>
      <c r="AT63" s="375">
        <v>0.22</v>
      </c>
      <c r="AU63" s="375">
        <v>45000.28</v>
      </c>
      <c r="AV63" s="375">
        <v>-5004.5</v>
      </c>
      <c r="AW63" s="375">
        <v>0</v>
      </c>
      <c r="AX63" s="375">
        <v>0</v>
      </c>
      <c r="AY63" s="375">
        <v>0</v>
      </c>
      <c r="AZ63" s="375">
        <v>0</v>
      </c>
      <c r="BA63" s="375">
        <v>0</v>
      </c>
      <c r="BB63" s="375">
        <v>0</v>
      </c>
      <c r="BC63" s="375">
        <v>0</v>
      </c>
      <c r="BD63" s="375">
        <v>0</v>
      </c>
      <c r="BE63" s="375">
        <v>0</v>
      </c>
      <c r="BF63" s="375">
        <v>39996</v>
      </c>
      <c r="BG63" s="79">
        <v>0.22</v>
      </c>
      <c r="BH63" s="79">
        <v>45000.28</v>
      </c>
      <c r="BI63" s="79">
        <v>-5004.5</v>
      </c>
      <c r="BJ63" s="79">
        <v>0</v>
      </c>
      <c r="BK63" s="79">
        <v>0</v>
      </c>
      <c r="BL63" s="79">
        <v>0</v>
      </c>
      <c r="BM63" s="79">
        <v>0</v>
      </c>
      <c r="BN63" s="79">
        <v>0</v>
      </c>
      <c r="BO63" s="79">
        <v>0</v>
      </c>
      <c r="BP63" s="79">
        <v>0</v>
      </c>
      <c r="BQ63" s="79">
        <v>0</v>
      </c>
      <c r="BR63" s="79">
        <v>0</v>
      </c>
      <c r="BS63" s="79">
        <v>39996</v>
      </c>
    </row>
    <row r="64" spans="1:71" ht="15" customHeight="1">
      <c r="A64" s="66" t="s">
        <v>2155</v>
      </c>
      <c r="B64" s="66" t="s">
        <v>609</v>
      </c>
      <c r="C64" s="66" t="s">
        <v>609</v>
      </c>
      <c r="D64" s="150" t="s">
        <v>1136</v>
      </c>
      <c r="E64" s="482" t="s">
        <v>1566</v>
      </c>
      <c r="F64" s="150" t="s">
        <v>1135</v>
      </c>
      <c r="G64" s="150" t="s">
        <v>1135</v>
      </c>
      <c r="H64" s="150" t="s">
        <v>1135</v>
      </c>
      <c r="I64" s="150" t="s">
        <v>1135</v>
      </c>
      <c r="J64" s="150" t="s">
        <v>1137</v>
      </c>
      <c r="K64" s="511" t="s">
        <v>602</v>
      </c>
      <c r="L64" s="392" t="s">
        <v>611</v>
      </c>
      <c r="M64" s="343"/>
      <c r="N64" s="343"/>
      <c r="O64" s="70" t="s">
        <v>610</v>
      </c>
      <c r="P64" s="346"/>
      <c r="Q64" s="343"/>
      <c r="R64" s="346"/>
      <c r="S64" s="150" t="s">
        <v>611</v>
      </c>
      <c r="T64" s="150"/>
      <c r="U64" s="403"/>
      <c r="V64" s="406">
        <v>0</v>
      </c>
      <c r="W64" s="406">
        <v>69</v>
      </c>
      <c r="X64" s="425"/>
      <c r="Y64" s="71"/>
      <c r="Z64" s="426">
        <v>-0.08</v>
      </c>
      <c r="AA64" s="427">
        <v>69.08</v>
      </c>
      <c r="AB64" s="431">
        <v>0</v>
      </c>
      <c r="AC64" s="428">
        <v>61</v>
      </c>
      <c r="AD64" s="429">
        <v>104</v>
      </c>
      <c r="AE64" s="429">
        <v>88</v>
      </c>
      <c r="AF64" s="360">
        <v>0</v>
      </c>
      <c r="AG64" s="360">
        <v>0</v>
      </c>
      <c r="AH64" s="360">
        <v>0</v>
      </c>
      <c r="AI64" s="360">
        <v>0</v>
      </c>
      <c r="AJ64" s="360">
        <v>0</v>
      </c>
      <c r="AK64" s="360">
        <v>0</v>
      </c>
      <c r="AL64" s="360">
        <v>322</v>
      </c>
      <c r="AM64" s="362">
        <v>253</v>
      </c>
      <c r="AN64" s="79">
        <v>0</v>
      </c>
      <c r="AO64" s="79">
        <v>88</v>
      </c>
      <c r="AP64" s="374">
        <v>253</v>
      </c>
      <c r="AQ64" s="80"/>
      <c r="AR64" s="79">
        <v>253</v>
      </c>
      <c r="AS64" s="81"/>
      <c r="AT64" s="375">
        <v>-0.08</v>
      </c>
      <c r="AU64" s="375">
        <v>69.08</v>
      </c>
      <c r="AV64" s="375">
        <v>0</v>
      </c>
      <c r="AW64" s="375">
        <v>0</v>
      </c>
      <c r="AX64" s="375">
        <v>0</v>
      </c>
      <c r="AY64" s="375">
        <v>0</v>
      </c>
      <c r="AZ64" s="375">
        <v>0</v>
      </c>
      <c r="BA64" s="375">
        <v>0</v>
      </c>
      <c r="BB64" s="375">
        <v>0</v>
      </c>
      <c r="BC64" s="375">
        <v>0</v>
      </c>
      <c r="BD64" s="375">
        <v>0</v>
      </c>
      <c r="BE64" s="375">
        <v>0</v>
      </c>
      <c r="BF64" s="375">
        <v>69</v>
      </c>
      <c r="BG64" s="79">
        <v>-0.08</v>
      </c>
      <c r="BH64" s="79">
        <v>69.08</v>
      </c>
      <c r="BI64" s="79">
        <v>0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0</v>
      </c>
      <c r="BP64" s="79">
        <v>0</v>
      </c>
      <c r="BQ64" s="79">
        <v>0</v>
      </c>
      <c r="BR64" s="79">
        <v>0</v>
      </c>
      <c r="BS64" s="79">
        <v>69</v>
      </c>
    </row>
    <row r="65" spans="1:71" ht="15" customHeight="1">
      <c r="A65" s="66" t="s">
        <v>2156</v>
      </c>
      <c r="B65" s="66" t="s">
        <v>609</v>
      </c>
      <c r="C65" s="66" t="s">
        <v>2157</v>
      </c>
      <c r="D65" s="150" t="s">
        <v>1136</v>
      </c>
      <c r="E65" s="482" t="s">
        <v>1566</v>
      </c>
      <c r="F65" s="150" t="s">
        <v>1135</v>
      </c>
      <c r="G65" s="150" t="s">
        <v>1135</v>
      </c>
      <c r="H65" s="150" t="s">
        <v>1135</v>
      </c>
      <c r="I65" s="150" t="s">
        <v>1137</v>
      </c>
      <c r="J65" s="150" t="s">
        <v>1137</v>
      </c>
      <c r="K65" s="511" t="s">
        <v>602</v>
      </c>
      <c r="L65" s="392" t="s">
        <v>611</v>
      </c>
      <c r="M65" s="343"/>
      <c r="N65" s="343"/>
      <c r="O65" s="70" t="s">
        <v>610</v>
      </c>
      <c r="P65" s="346"/>
      <c r="Q65" s="343"/>
      <c r="R65" s="346"/>
      <c r="S65" s="150" t="s">
        <v>611</v>
      </c>
      <c r="T65" s="1" t="s">
        <v>1141</v>
      </c>
      <c r="U65" s="403"/>
      <c r="V65" s="406">
        <v>0</v>
      </c>
      <c r="W65" s="406">
        <v>9271.2199999999993</v>
      </c>
      <c r="X65" s="425"/>
      <c r="Y65" s="71"/>
      <c r="Z65" s="426">
        <v>497.32</v>
      </c>
      <c r="AA65" s="427">
        <v>7672.35</v>
      </c>
      <c r="AB65" s="427">
        <v>1101.55</v>
      </c>
      <c r="AC65" s="428">
        <v>216.08999999999983</v>
      </c>
      <c r="AD65" s="429">
        <v>402.42000000000007</v>
      </c>
      <c r="AE65" s="429">
        <v>209.19</v>
      </c>
      <c r="AF65" s="360">
        <v>0</v>
      </c>
      <c r="AG65" s="360">
        <v>0</v>
      </c>
      <c r="AH65" s="360">
        <v>0</v>
      </c>
      <c r="AI65" s="360">
        <v>0</v>
      </c>
      <c r="AJ65" s="360">
        <v>0</v>
      </c>
      <c r="AK65" s="360">
        <v>0</v>
      </c>
      <c r="AL65" s="360">
        <v>10098.92</v>
      </c>
      <c r="AM65" s="362">
        <v>827.70000000000073</v>
      </c>
      <c r="AN65" s="79">
        <v>0</v>
      </c>
      <c r="AO65" s="79">
        <v>209.19</v>
      </c>
      <c r="AP65" s="374">
        <v>827.70000000000073</v>
      </c>
      <c r="AQ65" s="80"/>
      <c r="AR65" s="79">
        <v>827.70000000000073</v>
      </c>
      <c r="AS65" s="81"/>
      <c r="AT65" s="375">
        <v>497.32</v>
      </c>
      <c r="AU65" s="375">
        <v>7672.35</v>
      </c>
      <c r="AV65" s="375">
        <v>1101.55</v>
      </c>
      <c r="AW65" s="375">
        <v>0</v>
      </c>
      <c r="AX65" s="375">
        <v>0</v>
      </c>
      <c r="AY65" s="375">
        <v>0</v>
      </c>
      <c r="AZ65" s="375">
        <v>0</v>
      </c>
      <c r="BA65" s="375">
        <v>0</v>
      </c>
      <c r="BB65" s="375">
        <v>0</v>
      </c>
      <c r="BC65" s="375">
        <v>0</v>
      </c>
      <c r="BD65" s="375">
        <v>0</v>
      </c>
      <c r="BE65" s="375">
        <v>0</v>
      </c>
      <c r="BF65" s="375">
        <v>9271.2199999999993</v>
      </c>
      <c r="BG65" s="79">
        <v>497.32</v>
      </c>
      <c r="BH65" s="79">
        <v>7672.35</v>
      </c>
      <c r="BI65" s="79">
        <v>1101.55</v>
      </c>
      <c r="BJ65" s="79">
        <v>0</v>
      </c>
      <c r="BK65" s="79">
        <v>0</v>
      </c>
      <c r="BL65" s="79">
        <v>0</v>
      </c>
      <c r="BM65" s="79">
        <v>0</v>
      </c>
      <c r="BN65" s="79">
        <v>0</v>
      </c>
      <c r="BO65" s="79">
        <v>0</v>
      </c>
      <c r="BP65" s="79">
        <v>0</v>
      </c>
      <c r="BQ65" s="79">
        <v>0</v>
      </c>
      <c r="BR65" s="79">
        <v>0</v>
      </c>
      <c r="BS65" s="79">
        <v>9271.2199999999993</v>
      </c>
    </row>
    <row r="66" spans="1:71" ht="15" customHeight="1">
      <c r="A66" s="150" t="s">
        <v>2158</v>
      </c>
      <c r="B66" s="536" t="s">
        <v>609</v>
      </c>
      <c r="C66" s="445" t="s">
        <v>2159</v>
      </c>
      <c r="D66" s="150" t="s">
        <v>1136</v>
      </c>
      <c r="E66" s="482" t="s">
        <v>1566</v>
      </c>
      <c r="F66" s="150" t="s">
        <v>1135</v>
      </c>
      <c r="G66" s="446" t="s">
        <v>1145</v>
      </c>
      <c r="H66" s="446" t="s">
        <v>1135</v>
      </c>
      <c r="I66" s="446" t="s">
        <v>1145</v>
      </c>
      <c r="J66" s="523" t="s">
        <v>1145</v>
      </c>
      <c r="K66" s="524" t="s">
        <v>602</v>
      </c>
      <c r="L66" s="543" t="s">
        <v>2160</v>
      </c>
      <c r="M66" s="333" t="s">
        <v>2160</v>
      </c>
      <c r="N66" s="446" t="s">
        <v>1186</v>
      </c>
      <c r="O66" s="447" t="s">
        <v>610</v>
      </c>
      <c r="P66" s="448"/>
      <c r="Q66" s="449"/>
      <c r="R66" s="449"/>
      <c r="S66" s="449"/>
      <c r="T66" s="449"/>
      <c r="U66" s="402"/>
      <c r="V66" s="402"/>
      <c r="W66" s="402"/>
      <c r="X66" s="425"/>
      <c r="Y66" s="71"/>
      <c r="Z66" s="435"/>
      <c r="AA66" s="436"/>
      <c r="AB66" s="436"/>
      <c r="AC66" s="436"/>
      <c r="AD66" s="436">
        <v>16</v>
      </c>
      <c r="AE66" s="429">
        <v>0</v>
      </c>
      <c r="AF66" s="450"/>
      <c r="AG66" s="450"/>
      <c r="AH66" s="450"/>
      <c r="AI66" s="450"/>
      <c r="AJ66" s="450"/>
      <c r="AK66" s="450"/>
      <c r="AL66" s="366">
        <v>16</v>
      </c>
      <c r="AM66" s="362">
        <v>16</v>
      </c>
      <c r="AN66" s="172"/>
      <c r="AO66" s="172">
        <v>0</v>
      </c>
      <c r="AP66" s="374">
        <v>16</v>
      </c>
      <c r="AQ66" s="80"/>
      <c r="AR66" s="79">
        <v>16</v>
      </c>
      <c r="AS66" s="81"/>
      <c r="AT66" s="375"/>
      <c r="AU66" s="375"/>
      <c r="AV66" s="375"/>
      <c r="AW66" s="375"/>
      <c r="AX66" s="375"/>
      <c r="AY66" s="375"/>
      <c r="AZ66" s="375"/>
      <c r="BA66" s="375"/>
      <c r="BB66" s="375"/>
      <c r="BC66" s="375"/>
      <c r="BD66" s="375"/>
      <c r="BE66" s="375"/>
      <c r="BF66" s="375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172"/>
    </row>
    <row r="67" spans="1:71" ht="15" customHeight="1">
      <c r="A67" s="66" t="s">
        <v>2829</v>
      </c>
      <c r="B67" s="66" t="s">
        <v>1028</v>
      </c>
      <c r="C67" s="66" t="s">
        <v>1028</v>
      </c>
      <c r="D67" s="150" t="s">
        <v>1136</v>
      </c>
      <c r="E67" s="482" t="s">
        <v>1566</v>
      </c>
      <c r="F67" s="150" t="s">
        <v>1135</v>
      </c>
      <c r="G67" s="150" t="s">
        <v>1135</v>
      </c>
      <c r="H67" s="150" t="s">
        <v>1135</v>
      </c>
      <c r="I67" s="150" t="s">
        <v>1135</v>
      </c>
      <c r="J67" s="150" t="s">
        <v>1137</v>
      </c>
      <c r="K67" s="511" t="s">
        <v>1027</v>
      </c>
      <c r="L67" s="392" t="s">
        <v>2830</v>
      </c>
      <c r="M67" s="343"/>
      <c r="N67" s="343"/>
      <c r="O67" s="70" t="s">
        <v>1029</v>
      </c>
      <c r="P67" s="346"/>
      <c r="Q67" s="343"/>
      <c r="R67" s="346"/>
      <c r="S67" s="150" t="s">
        <v>25</v>
      </c>
      <c r="T67" s="150"/>
      <c r="U67" s="403"/>
      <c r="V67" s="406">
        <v>0</v>
      </c>
      <c r="W67" s="406">
        <v>4741</v>
      </c>
      <c r="X67" s="425"/>
      <c r="Y67" s="71"/>
      <c r="Z67" s="426">
        <v>876</v>
      </c>
      <c r="AA67" s="427">
        <v>1712</v>
      </c>
      <c r="AB67" s="427">
        <v>2153</v>
      </c>
      <c r="AC67" s="428">
        <v>1577</v>
      </c>
      <c r="AD67" s="429">
        <v>1546.0000000000002</v>
      </c>
      <c r="AE67" s="429">
        <v>2107.0000000000005</v>
      </c>
      <c r="AF67" s="360">
        <v>0</v>
      </c>
      <c r="AG67" s="360">
        <v>0</v>
      </c>
      <c r="AH67" s="360">
        <v>0</v>
      </c>
      <c r="AI67" s="360">
        <v>0</v>
      </c>
      <c r="AJ67" s="360">
        <v>0</v>
      </c>
      <c r="AK67" s="360">
        <v>0</v>
      </c>
      <c r="AL67" s="360">
        <v>9971</v>
      </c>
      <c r="AM67" s="362">
        <v>5230</v>
      </c>
      <c r="AN67" s="79">
        <v>0</v>
      </c>
      <c r="AO67" s="79">
        <v>2107.0000000000005</v>
      </c>
      <c r="AP67" s="374">
        <v>5230</v>
      </c>
      <c r="AQ67" s="80"/>
      <c r="AR67" s="79">
        <v>5230</v>
      </c>
      <c r="AS67" s="81"/>
      <c r="AT67" s="375">
        <v>876</v>
      </c>
      <c r="AU67" s="375">
        <v>1712</v>
      </c>
      <c r="AV67" s="375">
        <v>2153</v>
      </c>
      <c r="AW67" s="375">
        <v>0</v>
      </c>
      <c r="AX67" s="375">
        <v>0</v>
      </c>
      <c r="AY67" s="375">
        <v>0</v>
      </c>
      <c r="AZ67" s="375">
        <v>0</v>
      </c>
      <c r="BA67" s="375">
        <v>0</v>
      </c>
      <c r="BB67" s="375">
        <v>0</v>
      </c>
      <c r="BC67" s="375">
        <v>0</v>
      </c>
      <c r="BD67" s="375">
        <v>0</v>
      </c>
      <c r="BE67" s="375">
        <v>0</v>
      </c>
      <c r="BF67" s="375">
        <v>4741</v>
      </c>
      <c r="BG67" s="79">
        <v>876</v>
      </c>
      <c r="BH67" s="79">
        <v>1712</v>
      </c>
      <c r="BI67" s="79">
        <v>2153</v>
      </c>
      <c r="BJ67" s="79">
        <v>0</v>
      </c>
      <c r="BK67" s="79">
        <v>0</v>
      </c>
      <c r="BL67" s="79">
        <v>0</v>
      </c>
      <c r="BM67" s="79">
        <v>0</v>
      </c>
      <c r="BN67" s="79">
        <v>0</v>
      </c>
      <c r="BO67" s="79">
        <v>0</v>
      </c>
      <c r="BP67" s="79">
        <v>0</v>
      </c>
      <c r="BQ67" s="79">
        <v>0</v>
      </c>
      <c r="BR67" s="79">
        <v>0</v>
      </c>
      <c r="BS67" s="79">
        <v>4741</v>
      </c>
    </row>
    <row r="68" spans="1:71" ht="15" customHeight="1">
      <c r="A68" s="66" t="s">
        <v>2845</v>
      </c>
      <c r="B68" s="66" t="s">
        <v>1038</v>
      </c>
      <c r="C68" s="66" t="s">
        <v>1038</v>
      </c>
      <c r="D68" s="150" t="s">
        <v>1136</v>
      </c>
      <c r="E68" s="482" t="s">
        <v>1566</v>
      </c>
      <c r="F68" s="150" t="s">
        <v>1135</v>
      </c>
      <c r="G68" s="150" t="s">
        <v>1135</v>
      </c>
      <c r="H68" s="150" t="s">
        <v>1135</v>
      </c>
      <c r="I68" s="150" t="s">
        <v>1135</v>
      </c>
      <c r="J68" s="150" t="s">
        <v>1137</v>
      </c>
      <c r="K68" s="511" t="s">
        <v>1037</v>
      </c>
      <c r="L68" s="392" t="s">
        <v>2846</v>
      </c>
      <c r="M68" s="343"/>
      <c r="N68" s="343"/>
      <c r="O68" s="70" t="s">
        <v>1039</v>
      </c>
      <c r="P68" s="346"/>
      <c r="Q68" s="346" t="s">
        <v>1140</v>
      </c>
      <c r="R68" s="346"/>
      <c r="S68" s="150" t="s">
        <v>1040</v>
      </c>
      <c r="T68" s="150"/>
      <c r="U68" s="403"/>
      <c r="V68" s="406">
        <v>0</v>
      </c>
      <c r="W68" s="406">
        <v>4</v>
      </c>
      <c r="X68" s="430"/>
      <c r="Y68" s="137"/>
      <c r="Z68" s="426"/>
      <c r="AA68" s="427">
        <v>-101</v>
      </c>
      <c r="AB68" s="427">
        <v>105</v>
      </c>
      <c r="AC68" s="428">
        <v>479</v>
      </c>
      <c r="AD68" s="429">
        <v>66</v>
      </c>
      <c r="AE68" s="429">
        <v>2208.0000000000005</v>
      </c>
      <c r="AF68" s="360">
        <v>0</v>
      </c>
      <c r="AG68" s="360">
        <v>0</v>
      </c>
      <c r="AH68" s="360">
        <v>0</v>
      </c>
      <c r="AI68" s="360">
        <v>0</v>
      </c>
      <c r="AJ68" s="360">
        <v>0</v>
      </c>
      <c r="AK68" s="360">
        <v>0</v>
      </c>
      <c r="AL68" s="360">
        <v>2757.0000000000005</v>
      </c>
      <c r="AM68" s="362">
        <v>2753.0000000000005</v>
      </c>
      <c r="AN68" s="79">
        <v>0</v>
      </c>
      <c r="AO68" s="79">
        <v>2208.0000000000005</v>
      </c>
      <c r="AP68" s="374">
        <v>2753.0000000000005</v>
      </c>
      <c r="AQ68" s="80"/>
      <c r="AR68" s="79">
        <v>2753.0000000000005</v>
      </c>
      <c r="AS68" s="81"/>
      <c r="AT68" s="375"/>
      <c r="AU68" s="375">
        <v>-101</v>
      </c>
      <c r="AV68" s="375">
        <v>105</v>
      </c>
      <c r="AW68" s="375">
        <v>0</v>
      </c>
      <c r="AX68" s="375">
        <v>0</v>
      </c>
      <c r="AY68" s="375">
        <v>0</v>
      </c>
      <c r="AZ68" s="375">
        <v>0</v>
      </c>
      <c r="BA68" s="375">
        <v>0</v>
      </c>
      <c r="BB68" s="375">
        <v>0</v>
      </c>
      <c r="BC68" s="375">
        <v>0</v>
      </c>
      <c r="BD68" s="375">
        <v>0</v>
      </c>
      <c r="BE68" s="375">
        <v>0</v>
      </c>
      <c r="BF68" s="375">
        <v>4</v>
      </c>
      <c r="BG68" s="79"/>
      <c r="BH68" s="79">
        <v>-101</v>
      </c>
      <c r="BI68" s="79">
        <v>105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  <c r="BP68" s="79">
        <v>0</v>
      </c>
      <c r="BQ68" s="79">
        <v>0</v>
      </c>
      <c r="BR68" s="79">
        <v>0</v>
      </c>
      <c r="BS68" s="79">
        <v>4</v>
      </c>
    </row>
    <row r="69" spans="1:71" s="501" customFormat="1" ht="15" customHeight="1">
      <c r="A69" s="66" t="s">
        <v>2248</v>
      </c>
      <c r="B69" s="66" t="s">
        <v>667</v>
      </c>
      <c r="C69" s="66" t="s">
        <v>667</v>
      </c>
      <c r="D69" s="150" t="s">
        <v>1136</v>
      </c>
      <c r="E69" s="482" t="s">
        <v>1566</v>
      </c>
      <c r="F69" s="150" t="s">
        <v>1135</v>
      </c>
      <c r="G69" s="150" t="s">
        <v>1135</v>
      </c>
      <c r="H69" s="150" t="s">
        <v>1135</v>
      </c>
      <c r="I69" s="150" t="s">
        <v>1135</v>
      </c>
      <c r="J69" s="150" t="s">
        <v>1137</v>
      </c>
      <c r="K69" s="511" t="s">
        <v>639</v>
      </c>
      <c r="L69" s="392" t="s">
        <v>1138</v>
      </c>
      <c r="M69" s="343"/>
      <c r="N69" s="343"/>
      <c r="O69" s="70" t="s">
        <v>51</v>
      </c>
      <c r="P69" s="346" t="s">
        <v>1139</v>
      </c>
      <c r="Q69" s="346" t="s">
        <v>1140</v>
      </c>
      <c r="R69" s="346"/>
      <c r="S69" s="150" t="s">
        <v>25</v>
      </c>
      <c r="T69" s="150"/>
      <c r="U69" s="403"/>
      <c r="V69" s="406">
        <v>0</v>
      </c>
      <c r="W69" s="406">
        <v>3777.33</v>
      </c>
      <c r="X69" s="425"/>
      <c r="Y69" s="71"/>
      <c r="Z69" s="426"/>
      <c r="AA69" s="427">
        <v>3777.33</v>
      </c>
      <c r="AB69" s="431">
        <v>0</v>
      </c>
      <c r="AC69" s="428">
        <v>83.61</v>
      </c>
      <c r="AD69" s="429">
        <v>0</v>
      </c>
      <c r="AE69" s="429">
        <v>0</v>
      </c>
      <c r="AF69" s="360">
        <v>0</v>
      </c>
      <c r="AG69" s="360">
        <v>0</v>
      </c>
      <c r="AH69" s="360">
        <v>0</v>
      </c>
      <c r="AI69" s="360">
        <v>0</v>
      </c>
      <c r="AJ69" s="360">
        <v>0</v>
      </c>
      <c r="AK69" s="360">
        <v>0</v>
      </c>
      <c r="AL69" s="360">
        <v>3860.94</v>
      </c>
      <c r="AM69" s="362">
        <v>83.610000000000127</v>
      </c>
      <c r="AN69" s="79">
        <v>0</v>
      </c>
      <c r="AO69" s="79">
        <v>0</v>
      </c>
      <c r="AP69" s="374">
        <v>83.610000000000127</v>
      </c>
      <c r="AQ69" s="80"/>
      <c r="AR69" s="79">
        <v>83.610000000000127</v>
      </c>
      <c r="AS69" s="81"/>
      <c r="AT69" s="375"/>
      <c r="AU69" s="375">
        <v>3777.33</v>
      </c>
      <c r="AV69" s="375">
        <v>0</v>
      </c>
      <c r="AW69" s="375">
        <v>0</v>
      </c>
      <c r="AX69" s="375">
        <v>0</v>
      </c>
      <c r="AY69" s="375">
        <v>0</v>
      </c>
      <c r="AZ69" s="375">
        <v>0</v>
      </c>
      <c r="BA69" s="375">
        <v>0</v>
      </c>
      <c r="BB69" s="375">
        <v>0</v>
      </c>
      <c r="BC69" s="375">
        <v>0</v>
      </c>
      <c r="BD69" s="375">
        <v>0</v>
      </c>
      <c r="BE69" s="375">
        <v>0</v>
      </c>
      <c r="BF69" s="375">
        <v>3777.33</v>
      </c>
      <c r="BG69" s="79"/>
      <c r="BH69" s="79">
        <v>3777.33</v>
      </c>
      <c r="BI69" s="79">
        <v>0</v>
      </c>
      <c r="BJ69" s="79">
        <v>0</v>
      </c>
      <c r="BK69" s="79">
        <v>0</v>
      </c>
      <c r="BL69" s="79">
        <v>0</v>
      </c>
      <c r="BM69" s="79">
        <v>0</v>
      </c>
      <c r="BN69" s="79">
        <v>0</v>
      </c>
      <c r="BO69" s="79">
        <v>0</v>
      </c>
      <c r="BP69" s="79">
        <v>0</v>
      </c>
      <c r="BQ69" s="79">
        <v>0</v>
      </c>
      <c r="BR69" s="79">
        <v>0</v>
      </c>
      <c r="BS69" s="79">
        <v>3777.33</v>
      </c>
    </row>
    <row r="70" spans="1:71" ht="15" customHeight="1">
      <c r="A70" s="66" t="s">
        <v>2249</v>
      </c>
      <c r="B70" s="66" t="s">
        <v>667</v>
      </c>
      <c r="C70" s="66" t="s">
        <v>2250</v>
      </c>
      <c r="D70" s="150" t="s">
        <v>1136</v>
      </c>
      <c r="E70" s="482" t="s">
        <v>1566</v>
      </c>
      <c r="F70" s="150" t="s">
        <v>1135</v>
      </c>
      <c r="G70" s="150" t="s">
        <v>1135</v>
      </c>
      <c r="H70" s="150" t="s">
        <v>1135</v>
      </c>
      <c r="I70" s="150" t="s">
        <v>1137</v>
      </c>
      <c r="J70" s="150" t="s">
        <v>1137</v>
      </c>
      <c r="K70" s="511" t="s">
        <v>639</v>
      </c>
      <c r="L70" s="392" t="s">
        <v>1138</v>
      </c>
      <c r="M70" s="343"/>
      <c r="N70" s="343"/>
      <c r="O70" s="70" t="s">
        <v>51</v>
      </c>
      <c r="P70" s="346" t="s">
        <v>1139</v>
      </c>
      <c r="Q70" s="346" t="s">
        <v>1140</v>
      </c>
      <c r="R70" s="346"/>
      <c r="S70" s="150" t="s">
        <v>25</v>
      </c>
      <c r="T70" s="1" t="s">
        <v>1141</v>
      </c>
      <c r="U70" s="403"/>
      <c r="V70" s="406">
        <v>0</v>
      </c>
      <c r="W70" s="406">
        <v>1742.3400000000001</v>
      </c>
      <c r="X70" s="425"/>
      <c r="Y70" s="71"/>
      <c r="Z70" s="426"/>
      <c r="AA70" s="427">
        <v>984.48</v>
      </c>
      <c r="AB70" s="427">
        <v>757.86</v>
      </c>
      <c r="AC70" s="428">
        <v>0</v>
      </c>
      <c r="AD70" s="429">
        <v>0</v>
      </c>
      <c r="AE70" s="429">
        <v>0</v>
      </c>
      <c r="AF70" s="360">
        <v>0</v>
      </c>
      <c r="AG70" s="360">
        <v>0</v>
      </c>
      <c r="AH70" s="360">
        <v>0</v>
      </c>
      <c r="AI70" s="360">
        <v>0</v>
      </c>
      <c r="AJ70" s="360">
        <v>0</v>
      </c>
      <c r="AK70" s="360">
        <v>0</v>
      </c>
      <c r="AL70" s="360">
        <v>1742.3400000000001</v>
      </c>
      <c r="AM70" s="362">
        <v>0</v>
      </c>
      <c r="AN70" s="79">
        <v>0</v>
      </c>
      <c r="AO70" s="79">
        <v>0</v>
      </c>
      <c r="AP70" s="374">
        <v>0</v>
      </c>
      <c r="AQ70" s="80"/>
      <c r="AR70" s="79">
        <v>0</v>
      </c>
      <c r="AS70" s="81"/>
      <c r="AT70" s="375"/>
      <c r="AU70" s="375">
        <v>984.48</v>
      </c>
      <c r="AV70" s="375">
        <v>757.86</v>
      </c>
      <c r="AW70" s="375">
        <v>0</v>
      </c>
      <c r="AX70" s="375">
        <v>0</v>
      </c>
      <c r="AY70" s="375">
        <v>0</v>
      </c>
      <c r="AZ70" s="375">
        <v>0</v>
      </c>
      <c r="BA70" s="375">
        <v>0</v>
      </c>
      <c r="BB70" s="375">
        <v>0</v>
      </c>
      <c r="BC70" s="375">
        <v>0</v>
      </c>
      <c r="BD70" s="375">
        <v>0</v>
      </c>
      <c r="BE70" s="375">
        <v>0</v>
      </c>
      <c r="BF70" s="375">
        <v>1742.3400000000001</v>
      </c>
      <c r="BG70" s="79"/>
      <c r="BH70" s="79">
        <v>984.48</v>
      </c>
      <c r="BI70" s="79">
        <v>757.86</v>
      </c>
      <c r="BJ70" s="79">
        <v>0</v>
      </c>
      <c r="BK70" s="79">
        <v>0</v>
      </c>
      <c r="BL70" s="79">
        <v>0</v>
      </c>
      <c r="BM70" s="79">
        <v>0</v>
      </c>
      <c r="BN70" s="79">
        <v>0</v>
      </c>
      <c r="BO70" s="79">
        <v>0</v>
      </c>
      <c r="BP70" s="79">
        <v>0</v>
      </c>
      <c r="BQ70" s="79">
        <v>0</v>
      </c>
      <c r="BR70" s="79">
        <v>0</v>
      </c>
      <c r="BS70" s="79">
        <v>1742.3400000000001</v>
      </c>
    </row>
    <row r="71" spans="1:71" ht="15" customHeight="1">
      <c r="A71" s="66" t="s">
        <v>2251</v>
      </c>
      <c r="B71" s="66" t="s">
        <v>667</v>
      </c>
      <c r="C71" s="66" t="s">
        <v>2252</v>
      </c>
      <c r="D71" s="150" t="s">
        <v>1136</v>
      </c>
      <c r="E71" s="482" t="s">
        <v>1566</v>
      </c>
      <c r="F71" s="150" t="s">
        <v>1135</v>
      </c>
      <c r="G71" s="150" t="s">
        <v>1145</v>
      </c>
      <c r="H71" s="150" t="s">
        <v>1135</v>
      </c>
      <c r="I71" s="150" t="s">
        <v>1145</v>
      </c>
      <c r="J71" s="150" t="s">
        <v>1137</v>
      </c>
      <c r="K71" s="511" t="s">
        <v>639</v>
      </c>
      <c r="L71" s="392" t="s">
        <v>1138</v>
      </c>
      <c r="M71" s="343"/>
      <c r="N71" s="343"/>
      <c r="O71" s="70" t="s">
        <v>51</v>
      </c>
      <c r="P71" s="346" t="s">
        <v>1139</v>
      </c>
      <c r="Q71" s="346" t="s">
        <v>1140</v>
      </c>
      <c r="R71" s="346"/>
      <c r="S71" s="150" t="s">
        <v>25</v>
      </c>
      <c r="T71" s="150"/>
      <c r="U71" s="403"/>
      <c r="V71" s="406">
        <v>0</v>
      </c>
      <c r="W71" s="406">
        <v>1312.56</v>
      </c>
      <c r="X71" s="425"/>
      <c r="Y71" s="71"/>
      <c r="Z71" s="426"/>
      <c r="AA71" s="427">
        <v>1312.56</v>
      </c>
      <c r="AB71" s="431">
        <v>0</v>
      </c>
      <c r="AC71" s="428">
        <v>0</v>
      </c>
      <c r="AD71" s="429">
        <v>0</v>
      </c>
      <c r="AE71" s="429">
        <v>0</v>
      </c>
      <c r="AF71" s="360">
        <v>0</v>
      </c>
      <c r="AG71" s="360">
        <v>0</v>
      </c>
      <c r="AH71" s="360">
        <v>0</v>
      </c>
      <c r="AI71" s="360">
        <v>0</v>
      </c>
      <c r="AJ71" s="360">
        <v>0</v>
      </c>
      <c r="AK71" s="360">
        <v>0</v>
      </c>
      <c r="AL71" s="360">
        <v>1312.56</v>
      </c>
      <c r="AM71" s="362">
        <v>0</v>
      </c>
      <c r="AN71" s="79">
        <v>0</v>
      </c>
      <c r="AO71" s="79">
        <v>0</v>
      </c>
      <c r="AP71" s="374">
        <v>0</v>
      </c>
      <c r="AQ71" s="80"/>
      <c r="AR71" s="79">
        <v>0</v>
      </c>
      <c r="AS71" s="81"/>
      <c r="AT71" s="375"/>
      <c r="AU71" s="375">
        <v>1312.56</v>
      </c>
      <c r="AV71" s="375">
        <v>0</v>
      </c>
      <c r="AW71" s="375">
        <v>0</v>
      </c>
      <c r="AX71" s="375">
        <v>0</v>
      </c>
      <c r="AY71" s="375">
        <v>0</v>
      </c>
      <c r="AZ71" s="375">
        <v>0</v>
      </c>
      <c r="BA71" s="375">
        <v>0</v>
      </c>
      <c r="BB71" s="375">
        <v>0</v>
      </c>
      <c r="BC71" s="375">
        <v>0</v>
      </c>
      <c r="BD71" s="375">
        <v>0</v>
      </c>
      <c r="BE71" s="375">
        <v>0</v>
      </c>
      <c r="BF71" s="375">
        <v>1312.56</v>
      </c>
      <c r="BG71" s="79"/>
      <c r="BH71" s="79">
        <v>1312.56</v>
      </c>
      <c r="BI71" s="79">
        <v>0</v>
      </c>
      <c r="BJ71" s="79">
        <v>0</v>
      </c>
      <c r="BK71" s="79">
        <v>0</v>
      </c>
      <c r="BL71" s="79">
        <v>0</v>
      </c>
      <c r="BM71" s="79">
        <v>0</v>
      </c>
      <c r="BN71" s="79">
        <v>0</v>
      </c>
      <c r="BO71" s="79">
        <v>0</v>
      </c>
      <c r="BP71" s="79">
        <v>0</v>
      </c>
      <c r="BQ71" s="79">
        <v>0</v>
      </c>
      <c r="BR71" s="79">
        <v>0</v>
      </c>
      <c r="BS71" s="79">
        <v>1312.56</v>
      </c>
    </row>
    <row r="72" spans="1:71" ht="15" customHeight="1">
      <c r="A72" s="66" t="s">
        <v>2253</v>
      </c>
      <c r="B72" s="66" t="s">
        <v>667</v>
      </c>
      <c r="C72" s="66" t="s">
        <v>2254</v>
      </c>
      <c r="D72" s="150" t="s">
        <v>1136</v>
      </c>
      <c r="E72" s="482" t="s">
        <v>1566</v>
      </c>
      <c r="F72" s="150" t="s">
        <v>1135</v>
      </c>
      <c r="G72" s="150" t="s">
        <v>1165</v>
      </c>
      <c r="H72" s="150" t="s">
        <v>1135</v>
      </c>
      <c r="I72" s="150" t="s">
        <v>1165</v>
      </c>
      <c r="J72" s="150" t="s">
        <v>1137</v>
      </c>
      <c r="K72" s="511" t="s">
        <v>639</v>
      </c>
      <c r="L72" s="392" t="s">
        <v>1138</v>
      </c>
      <c r="M72" s="343"/>
      <c r="N72" s="343"/>
      <c r="O72" s="70" t="s">
        <v>51</v>
      </c>
      <c r="P72" s="346" t="s">
        <v>1139</v>
      </c>
      <c r="Q72" s="346" t="s">
        <v>1140</v>
      </c>
      <c r="R72" s="346"/>
      <c r="S72" s="150" t="s">
        <v>25</v>
      </c>
      <c r="T72" s="150"/>
      <c r="U72" s="403"/>
      <c r="V72" s="406">
        <v>0</v>
      </c>
      <c r="W72" s="406">
        <v>3879.27</v>
      </c>
      <c r="X72" s="425"/>
      <c r="Y72" s="71"/>
      <c r="Z72" s="426"/>
      <c r="AA72" s="427">
        <v>3879.27</v>
      </c>
      <c r="AB72" s="431">
        <v>0</v>
      </c>
      <c r="AC72" s="428">
        <v>0</v>
      </c>
      <c r="AD72" s="429">
        <v>0</v>
      </c>
      <c r="AE72" s="429">
        <v>0</v>
      </c>
      <c r="AF72" s="360">
        <v>0</v>
      </c>
      <c r="AG72" s="360">
        <v>0</v>
      </c>
      <c r="AH72" s="360">
        <v>0</v>
      </c>
      <c r="AI72" s="360">
        <v>0</v>
      </c>
      <c r="AJ72" s="360">
        <v>0</v>
      </c>
      <c r="AK72" s="360">
        <v>0</v>
      </c>
      <c r="AL72" s="360">
        <v>3879.27</v>
      </c>
      <c r="AM72" s="362">
        <v>0</v>
      </c>
      <c r="AN72" s="79">
        <v>0</v>
      </c>
      <c r="AO72" s="79">
        <v>0</v>
      </c>
      <c r="AP72" s="374">
        <v>0</v>
      </c>
      <c r="AQ72" s="80"/>
      <c r="AR72" s="79">
        <v>0</v>
      </c>
      <c r="AS72" s="81"/>
      <c r="AT72" s="375"/>
      <c r="AU72" s="375">
        <v>3879.27</v>
      </c>
      <c r="AV72" s="375">
        <v>0</v>
      </c>
      <c r="AW72" s="375">
        <v>0</v>
      </c>
      <c r="AX72" s="375">
        <v>0</v>
      </c>
      <c r="AY72" s="375">
        <v>0</v>
      </c>
      <c r="AZ72" s="375">
        <v>0</v>
      </c>
      <c r="BA72" s="375">
        <v>0</v>
      </c>
      <c r="BB72" s="375">
        <v>0</v>
      </c>
      <c r="BC72" s="375">
        <v>0</v>
      </c>
      <c r="BD72" s="375">
        <v>0</v>
      </c>
      <c r="BE72" s="375">
        <v>0</v>
      </c>
      <c r="BF72" s="375">
        <v>3879.27</v>
      </c>
      <c r="BG72" s="79"/>
      <c r="BH72" s="79">
        <v>3879.27</v>
      </c>
      <c r="BI72" s="79">
        <v>0</v>
      </c>
      <c r="BJ72" s="79">
        <v>0</v>
      </c>
      <c r="BK72" s="79">
        <v>0</v>
      </c>
      <c r="BL72" s="79">
        <v>0</v>
      </c>
      <c r="BM72" s="79">
        <v>0</v>
      </c>
      <c r="BN72" s="79">
        <v>0</v>
      </c>
      <c r="BO72" s="79">
        <v>0</v>
      </c>
      <c r="BP72" s="79">
        <v>0</v>
      </c>
      <c r="BQ72" s="79">
        <v>0</v>
      </c>
      <c r="BR72" s="79">
        <v>0</v>
      </c>
      <c r="BS72" s="79">
        <v>3879.27</v>
      </c>
    </row>
    <row r="73" spans="1:71" ht="15" customHeight="1">
      <c r="A73" s="66" t="s">
        <v>2260</v>
      </c>
      <c r="B73" s="66" t="s">
        <v>669</v>
      </c>
      <c r="C73" s="66" t="s">
        <v>669</v>
      </c>
      <c r="D73" s="150" t="s">
        <v>1136</v>
      </c>
      <c r="E73" s="482" t="s">
        <v>1566</v>
      </c>
      <c r="F73" s="150" t="s">
        <v>1135</v>
      </c>
      <c r="G73" s="150" t="s">
        <v>1135</v>
      </c>
      <c r="H73" s="150" t="s">
        <v>1135</v>
      </c>
      <c r="I73" s="150" t="s">
        <v>1135</v>
      </c>
      <c r="J73" s="150" t="s">
        <v>1137</v>
      </c>
      <c r="K73" s="511" t="s">
        <v>639</v>
      </c>
      <c r="L73" s="392" t="s">
        <v>1174</v>
      </c>
      <c r="M73" s="343"/>
      <c r="N73" s="343"/>
      <c r="O73" s="70" t="s">
        <v>56</v>
      </c>
      <c r="P73" s="346"/>
      <c r="Q73" s="346" t="s">
        <v>1140</v>
      </c>
      <c r="R73" s="346"/>
      <c r="S73" s="150" t="s">
        <v>57</v>
      </c>
      <c r="T73" s="150"/>
      <c r="U73" s="403"/>
      <c r="V73" s="406">
        <v>0</v>
      </c>
      <c r="W73" s="406">
        <v>4158.38</v>
      </c>
      <c r="X73" s="425"/>
      <c r="Y73" s="71"/>
      <c r="Z73" s="426">
        <v>279.45999999999998</v>
      </c>
      <c r="AA73" s="427">
        <v>279.45999999999998</v>
      </c>
      <c r="AB73" s="427">
        <v>899.46</v>
      </c>
      <c r="AC73" s="428">
        <v>139.72999999999999</v>
      </c>
      <c r="AD73" s="429">
        <v>139.72999999999999</v>
      </c>
      <c r="AE73" s="429">
        <v>139.72999999999999</v>
      </c>
      <c r="AF73" s="360">
        <v>300</v>
      </c>
      <c r="AG73" s="360">
        <v>300</v>
      </c>
      <c r="AH73" s="360">
        <v>300</v>
      </c>
      <c r="AI73" s="360">
        <v>300</v>
      </c>
      <c r="AJ73" s="360">
        <v>300</v>
      </c>
      <c r="AK73" s="360">
        <v>300</v>
      </c>
      <c r="AL73" s="360">
        <v>3677.57</v>
      </c>
      <c r="AM73" s="362">
        <v>-480.80999999999995</v>
      </c>
      <c r="AN73" s="79">
        <v>300</v>
      </c>
      <c r="AO73" s="79">
        <v>-160.27000000000001</v>
      </c>
      <c r="AP73" s="374">
        <v>-480.80999999999995</v>
      </c>
      <c r="AQ73" s="80"/>
      <c r="AR73" s="79">
        <v>-480.80999999999995</v>
      </c>
      <c r="AS73" s="81"/>
      <c r="AT73" s="375">
        <v>279.45999999999998</v>
      </c>
      <c r="AU73" s="375">
        <v>279.45999999999998</v>
      </c>
      <c r="AV73" s="375">
        <v>899.46</v>
      </c>
      <c r="AW73" s="375">
        <v>300</v>
      </c>
      <c r="AX73" s="375">
        <v>300</v>
      </c>
      <c r="AY73" s="375">
        <v>300</v>
      </c>
      <c r="AZ73" s="375">
        <v>300</v>
      </c>
      <c r="BA73" s="375">
        <v>300</v>
      </c>
      <c r="BB73" s="375">
        <v>300</v>
      </c>
      <c r="BC73" s="375">
        <v>300</v>
      </c>
      <c r="BD73" s="375">
        <v>300</v>
      </c>
      <c r="BE73" s="375">
        <v>300</v>
      </c>
      <c r="BF73" s="375">
        <v>4158.38</v>
      </c>
      <c r="BG73" s="79">
        <v>279.45999999999998</v>
      </c>
      <c r="BH73" s="79">
        <v>279.45999999999998</v>
      </c>
      <c r="BI73" s="79">
        <v>899.46</v>
      </c>
      <c r="BJ73" s="79">
        <v>0</v>
      </c>
      <c r="BK73" s="79">
        <v>0</v>
      </c>
      <c r="BL73" s="79">
        <v>0</v>
      </c>
      <c r="BM73" s="79">
        <v>0</v>
      </c>
      <c r="BN73" s="79">
        <v>0</v>
      </c>
      <c r="BO73" s="79">
        <v>0</v>
      </c>
      <c r="BP73" s="79">
        <v>0</v>
      </c>
      <c r="BQ73" s="79">
        <v>0</v>
      </c>
      <c r="BR73" s="79">
        <v>0</v>
      </c>
      <c r="BS73" s="79">
        <v>1458.38</v>
      </c>
    </row>
    <row r="74" spans="1:71" ht="15" customHeight="1">
      <c r="A74" s="66" t="s">
        <v>2261</v>
      </c>
      <c r="B74" s="66" t="s">
        <v>669</v>
      </c>
      <c r="C74" s="66" t="s">
        <v>2262</v>
      </c>
      <c r="D74" s="150" t="s">
        <v>1136</v>
      </c>
      <c r="E74" s="482" t="s">
        <v>1566</v>
      </c>
      <c r="F74" s="150" t="s">
        <v>1135</v>
      </c>
      <c r="G74" s="150" t="s">
        <v>1145</v>
      </c>
      <c r="H74" s="150" t="s">
        <v>1135</v>
      </c>
      <c r="I74" s="150" t="s">
        <v>1145</v>
      </c>
      <c r="J74" s="150" t="s">
        <v>1137</v>
      </c>
      <c r="K74" s="511" t="s">
        <v>639</v>
      </c>
      <c r="L74" s="392" t="s">
        <v>1174</v>
      </c>
      <c r="M74" s="343"/>
      <c r="N74" s="343"/>
      <c r="O74" s="70" t="s">
        <v>56</v>
      </c>
      <c r="P74" s="346"/>
      <c r="Q74" s="346" t="s">
        <v>1140</v>
      </c>
      <c r="R74" s="346"/>
      <c r="S74" s="150" t="s">
        <v>57</v>
      </c>
      <c r="T74" s="150"/>
      <c r="U74" s="403"/>
      <c r="V74" s="406">
        <v>48000</v>
      </c>
      <c r="W74" s="406">
        <v>47938.130000000005</v>
      </c>
      <c r="X74" s="425"/>
      <c r="Y74" s="71"/>
      <c r="Z74" s="426">
        <v>4052.17</v>
      </c>
      <c r="AA74" s="427">
        <v>3772.71</v>
      </c>
      <c r="AB74" s="427">
        <v>4113.25</v>
      </c>
      <c r="AC74" s="428">
        <v>3493.25</v>
      </c>
      <c r="AD74" s="429">
        <v>3493.25</v>
      </c>
      <c r="AE74" s="429">
        <v>3493.25</v>
      </c>
      <c r="AF74" s="363">
        <v>4000</v>
      </c>
      <c r="AG74" s="363">
        <v>4000</v>
      </c>
      <c r="AH74" s="363">
        <v>4000</v>
      </c>
      <c r="AI74" s="363">
        <v>4000</v>
      </c>
      <c r="AJ74" s="363">
        <v>4000</v>
      </c>
      <c r="AK74" s="363">
        <v>4000</v>
      </c>
      <c r="AL74" s="360">
        <v>46417.880000000005</v>
      </c>
      <c r="AM74" s="362">
        <v>-1520.25</v>
      </c>
      <c r="AN74" s="79">
        <v>4000</v>
      </c>
      <c r="AO74" s="79">
        <v>-506.75</v>
      </c>
      <c r="AP74" s="374">
        <v>-1520.25</v>
      </c>
      <c r="AQ74" s="80"/>
      <c r="AR74" s="79">
        <v>-1520.25</v>
      </c>
      <c r="AS74" s="81"/>
      <c r="AT74" s="375">
        <v>4052.17</v>
      </c>
      <c r="AU74" s="375">
        <v>3772.71</v>
      </c>
      <c r="AV74" s="375">
        <v>4113.25</v>
      </c>
      <c r="AW74" s="375">
        <v>4000</v>
      </c>
      <c r="AX74" s="375">
        <v>4000</v>
      </c>
      <c r="AY74" s="375">
        <v>4000</v>
      </c>
      <c r="AZ74" s="375">
        <v>4000</v>
      </c>
      <c r="BA74" s="375">
        <v>4000</v>
      </c>
      <c r="BB74" s="375">
        <v>4000</v>
      </c>
      <c r="BC74" s="375">
        <v>4000</v>
      </c>
      <c r="BD74" s="375">
        <v>4000</v>
      </c>
      <c r="BE74" s="375">
        <v>4000</v>
      </c>
      <c r="BF74" s="375">
        <v>47938.130000000005</v>
      </c>
      <c r="BG74" s="79">
        <v>4052.17</v>
      </c>
      <c r="BH74" s="79">
        <v>3772.71</v>
      </c>
      <c r="BI74" s="79">
        <v>4113.25</v>
      </c>
      <c r="BJ74" s="79">
        <v>4000</v>
      </c>
      <c r="BK74" s="79">
        <v>4000</v>
      </c>
      <c r="BL74" s="79">
        <v>4000</v>
      </c>
      <c r="BM74" s="79">
        <v>4000</v>
      </c>
      <c r="BN74" s="79">
        <v>4000</v>
      </c>
      <c r="BO74" s="79">
        <v>4000</v>
      </c>
      <c r="BP74" s="79">
        <v>4000</v>
      </c>
      <c r="BQ74" s="79">
        <v>4000</v>
      </c>
      <c r="BR74" s="79">
        <v>4000</v>
      </c>
      <c r="BS74" s="79">
        <v>47938.130000000005</v>
      </c>
    </row>
    <row r="75" spans="1:71" ht="15" customHeight="1">
      <c r="A75" s="66" t="s">
        <v>2263</v>
      </c>
      <c r="B75" s="66" t="s">
        <v>669</v>
      </c>
      <c r="C75" s="66" t="s">
        <v>2264</v>
      </c>
      <c r="D75" s="150" t="s">
        <v>1136</v>
      </c>
      <c r="E75" s="482" t="s">
        <v>1566</v>
      </c>
      <c r="F75" s="150" t="s">
        <v>1135</v>
      </c>
      <c r="G75" s="150" t="s">
        <v>1165</v>
      </c>
      <c r="H75" s="150" t="s">
        <v>1135</v>
      </c>
      <c r="I75" s="150" t="s">
        <v>1165</v>
      </c>
      <c r="J75" s="150" t="s">
        <v>1137</v>
      </c>
      <c r="K75" s="511" t="s">
        <v>639</v>
      </c>
      <c r="L75" s="392" t="s">
        <v>1174</v>
      </c>
      <c r="M75" s="343"/>
      <c r="N75" s="343"/>
      <c r="O75" s="70" t="s">
        <v>56</v>
      </c>
      <c r="P75" s="346"/>
      <c r="Q75" s="346" t="s">
        <v>1140</v>
      </c>
      <c r="R75" s="346"/>
      <c r="S75" s="150" t="s">
        <v>57</v>
      </c>
      <c r="T75" s="150"/>
      <c r="U75" s="403"/>
      <c r="V75" s="406">
        <v>8383.7999999999975</v>
      </c>
      <c r="W75" s="406">
        <v>8383.76</v>
      </c>
      <c r="X75" s="425"/>
      <c r="Y75" s="71"/>
      <c r="Z75" s="426">
        <v>698.65</v>
      </c>
      <c r="AA75" s="427">
        <v>558.91999999999996</v>
      </c>
      <c r="AB75" s="427">
        <v>419.19</v>
      </c>
      <c r="AC75" s="428">
        <v>279.45999999999998</v>
      </c>
      <c r="AD75" s="429">
        <v>279.45999999999998</v>
      </c>
      <c r="AE75" s="429">
        <v>279.45999999999998</v>
      </c>
      <c r="AF75" s="363">
        <v>750</v>
      </c>
      <c r="AG75" s="363">
        <v>750</v>
      </c>
      <c r="AH75" s="363">
        <v>750</v>
      </c>
      <c r="AI75" s="363">
        <v>750</v>
      </c>
      <c r="AJ75" s="363">
        <v>750</v>
      </c>
      <c r="AK75" s="363">
        <v>750</v>
      </c>
      <c r="AL75" s="360">
        <v>7015.1399999999994</v>
      </c>
      <c r="AM75" s="362">
        <v>-1368.6200000000008</v>
      </c>
      <c r="AN75" s="79">
        <v>767</v>
      </c>
      <c r="AO75" s="79">
        <v>-487.54</v>
      </c>
      <c r="AP75" s="374">
        <v>-1368.6200000000003</v>
      </c>
      <c r="AQ75" s="80"/>
      <c r="AR75" s="79">
        <v>-1368.6200000000008</v>
      </c>
      <c r="AS75" s="81"/>
      <c r="AT75" s="375">
        <v>698.65</v>
      </c>
      <c r="AU75" s="375">
        <v>558.91999999999996</v>
      </c>
      <c r="AV75" s="375">
        <v>419.19</v>
      </c>
      <c r="AW75" s="375">
        <v>690</v>
      </c>
      <c r="AX75" s="375">
        <v>767</v>
      </c>
      <c r="AY75" s="375">
        <v>750</v>
      </c>
      <c r="AZ75" s="375">
        <v>750</v>
      </c>
      <c r="BA75" s="375">
        <v>750</v>
      </c>
      <c r="BB75" s="375">
        <v>750</v>
      </c>
      <c r="BC75" s="375">
        <v>750</v>
      </c>
      <c r="BD75" s="375">
        <v>750</v>
      </c>
      <c r="BE75" s="375">
        <v>750</v>
      </c>
      <c r="BF75" s="375">
        <v>8383.76</v>
      </c>
      <c r="BG75" s="79">
        <v>698.65</v>
      </c>
      <c r="BH75" s="79">
        <v>558.91999999999996</v>
      </c>
      <c r="BI75" s="79">
        <v>419.19</v>
      </c>
      <c r="BJ75" s="79">
        <v>698.65</v>
      </c>
      <c r="BK75" s="79">
        <v>698.65</v>
      </c>
      <c r="BL75" s="79">
        <v>698.65</v>
      </c>
      <c r="BM75" s="79">
        <v>698.65</v>
      </c>
      <c r="BN75" s="79">
        <v>698.65</v>
      </c>
      <c r="BO75" s="79">
        <v>698.65</v>
      </c>
      <c r="BP75" s="79">
        <v>698.65</v>
      </c>
      <c r="BQ75" s="79">
        <v>698.65</v>
      </c>
      <c r="BR75" s="79">
        <v>698.65</v>
      </c>
      <c r="BS75" s="79">
        <v>7964.6099999999979</v>
      </c>
    </row>
    <row r="76" spans="1:71" ht="15" customHeight="1">
      <c r="A76" s="79" t="s">
        <v>2271</v>
      </c>
      <c r="B76" s="79" t="s">
        <v>672</v>
      </c>
      <c r="C76" s="296" t="s">
        <v>672</v>
      </c>
      <c r="D76" s="150" t="s">
        <v>1136</v>
      </c>
      <c r="E76" s="482" t="s">
        <v>1566</v>
      </c>
      <c r="F76" s="150" t="s">
        <v>1135</v>
      </c>
      <c r="G76" s="150" t="s">
        <v>1135</v>
      </c>
      <c r="H76" s="332" t="s">
        <v>1135</v>
      </c>
      <c r="I76" s="332" t="s">
        <v>1135</v>
      </c>
      <c r="J76" s="333" t="s">
        <v>1135</v>
      </c>
      <c r="K76" s="514" t="s">
        <v>639</v>
      </c>
      <c r="L76" s="394"/>
      <c r="M76" s="333"/>
      <c r="N76" s="333"/>
      <c r="O76" s="90" t="s">
        <v>673</v>
      </c>
      <c r="P76" s="347"/>
      <c r="Q76" s="347"/>
      <c r="R76" s="348"/>
      <c r="S76" s="348"/>
      <c r="T76" s="348"/>
      <c r="U76" s="402"/>
      <c r="V76" s="358"/>
      <c r="W76" s="379"/>
      <c r="X76" s="425"/>
      <c r="Y76" s="71"/>
      <c r="Z76" s="435"/>
      <c r="AA76" s="436"/>
      <c r="AB76" s="436"/>
      <c r="AC76" s="429"/>
      <c r="AD76" s="429"/>
      <c r="AE76" s="429">
        <v>308.33</v>
      </c>
      <c r="AF76" s="364"/>
      <c r="AG76" s="364"/>
      <c r="AH76" s="364"/>
      <c r="AI76" s="364"/>
      <c r="AJ76" s="364"/>
      <c r="AK76" s="364"/>
      <c r="AL76" s="360">
        <v>308.33</v>
      </c>
      <c r="AM76" s="362">
        <v>308.33</v>
      </c>
      <c r="AN76" s="79"/>
      <c r="AO76" s="79">
        <v>308.33</v>
      </c>
      <c r="AP76" s="391">
        <v>308.33</v>
      </c>
      <c r="AQ76" s="80"/>
      <c r="AR76" s="79">
        <v>308.33</v>
      </c>
      <c r="AS76" s="81"/>
      <c r="AT76" s="375"/>
      <c r="AU76" s="375"/>
      <c r="AV76" s="375"/>
      <c r="AW76" s="375"/>
      <c r="AX76" s="375"/>
      <c r="AY76" s="375"/>
      <c r="AZ76" s="375"/>
      <c r="BA76" s="375"/>
      <c r="BB76" s="375"/>
      <c r="BC76" s="375"/>
      <c r="BD76" s="375"/>
      <c r="BE76" s="375"/>
      <c r="BF76" s="375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</row>
    <row r="77" spans="1:71" ht="15" customHeight="1">
      <c r="A77" s="66" t="s">
        <v>2272</v>
      </c>
      <c r="B77" s="66" t="s">
        <v>672</v>
      </c>
      <c r="C77" s="66" t="s">
        <v>2273</v>
      </c>
      <c r="D77" s="150" t="s">
        <v>1136</v>
      </c>
      <c r="E77" s="482" t="s">
        <v>1566</v>
      </c>
      <c r="F77" s="150" t="s">
        <v>1135</v>
      </c>
      <c r="G77" s="150" t="s">
        <v>1145</v>
      </c>
      <c r="H77" s="150" t="s">
        <v>1135</v>
      </c>
      <c r="I77" s="150" t="s">
        <v>1145</v>
      </c>
      <c r="J77" s="150" t="s">
        <v>1137</v>
      </c>
      <c r="K77" s="511" t="s">
        <v>639</v>
      </c>
      <c r="L77" s="392" t="s">
        <v>2274</v>
      </c>
      <c r="M77" s="343"/>
      <c r="N77" s="343"/>
      <c r="O77" s="70" t="s">
        <v>673</v>
      </c>
      <c r="P77" s="346"/>
      <c r="Q77" s="346" t="s">
        <v>1140</v>
      </c>
      <c r="R77" s="346"/>
      <c r="S77" s="150" t="s">
        <v>57</v>
      </c>
      <c r="T77" s="150"/>
      <c r="U77" s="403"/>
      <c r="V77" s="406">
        <v>0</v>
      </c>
      <c r="W77" s="406">
        <v>616.66</v>
      </c>
      <c r="X77" s="425"/>
      <c r="Y77" s="71"/>
      <c r="Z77" s="426">
        <v>308.33</v>
      </c>
      <c r="AA77" s="431">
        <v>0</v>
      </c>
      <c r="AB77" s="427">
        <v>308.33</v>
      </c>
      <c r="AC77" s="428">
        <v>308.33</v>
      </c>
      <c r="AD77" s="429">
        <v>308.33</v>
      </c>
      <c r="AE77" s="429">
        <v>0</v>
      </c>
      <c r="AF77" s="360">
        <v>0</v>
      </c>
      <c r="AG77" s="360">
        <v>0</v>
      </c>
      <c r="AH77" s="360">
        <v>0</v>
      </c>
      <c r="AI77" s="360">
        <v>0</v>
      </c>
      <c r="AJ77" s="360">
        <v>0</v>
      </c>
      <c r="AK77" s="360">
        <v>0</v>
      </c>
      <c r="AL77" s="360">
        <v>1233.32</v>
      </c>
      <c r="AM77" s="362">
        <v>616.66</v>
      </c>
      <c r="AN77" s="79">
        <v>0</v>
      </c>
      <c r="AO77" s="79">
        <v>0</v>
      </c>
      <c r="AP77" s="374">
        <v>616.66</v>
      </c>
      <c r="AQ77" s="80"/>
      <c r="AR77" s="79">
        <v>616.66</v>
      </c>
      <c r="AS77" s="81"/>
      <c r="AT77" s="375">
        <v>308.33</v>
      </c>
      <c r="AU77" s="375">
        <v>0</v>
      </c>
      <c r="AV77" s="375">
        <v>308.33</v>
      </c>
      <c r="AW77" s="375">
        <v>0</v>
      </c>
      <c r="AX77" s="375">
        <v>0</v>
      </c>
      <c r="AY77" s="375">
        <v>0</v>
      </c>
      <c r="AZ77" s="375">
        <v>0</v>
      </c>
      <c r="BA77" s="375">
        <v>0</v>
      </c>
      <c r="BB77" s="375">
        <v>0</v>
      </c>
      <c r="BC77" s="375">
        <v>0</v>
      </c>
      <c r="BD77" s="375">
        <v>0</v>
      </c>
      <c r="BE77" s="375">
        <v>0</v>
      </c>
      <c r="BF77" s="375">
        <v>616.66</v>
      </c>
      <c r="BG77" s="79">
        <v>308.33</v>
      </c>
      <c r="BH77" s="79">
        <v>0</v>
      </c>
      <c r="BI77" s="79">
        <v>308.33</v>
      </c>
      <c r="BJ77" s="79">
        <v>0</v>
      </c>
      <c r="BK77" s="79">
        <v>0</v>
      </c>
      <c r="BL77" s="79">
        <v>0</v>
      </c>
      <c r="BM77" s="79">
        <v>0</v>
      </c>
      <c r="BN77" s="79">
        <v>0</v>
      </c>
      <c r="BO77" s="79">
        <v>0</v>
      </c>
      <c r="BP77" s="79">
        <v>0</v>
      </c>
      <c r="BQ77" s="79">
        <v>0</v>
      </c>
      <c r="BR77" s="79">
        <v>0</v>
      </c>
      <c r="BS77" s="79">
        <v>616.66</v>
      </c>
    </row>
    <row r="78" spans="1:71" ht="15" customHeight="1">
      <c r="A78" s="66" t="s">
        <v>2275</v>
      </c>
      <c r="B78" s="66" t="s">
        <v>672</v>
      </c>
      <c r="C78" s="66" t="s">
        <v>2276</v>
      </c>
      <c r="D78" s="150" t="s">
        <v>1136</v>
      </c>
      <c r="E78" s="482" t="s">
        <v>1566</v>
      </c>
      <c r="F78" s="150" t="s">
        <v>1135</v>
      </c>
      <c r="G78" s="150" t="s">
        <v>1165</v>
      </c>
      <c r="H78" s="150" t="s">
        <v>1135</v>
      </c>
      <c r="I78" s="150" t="s">
        <v>1165</v>
      </c>
      <c r="J78" s="150" t="s">
        <v>1137</v>
      </c>
      <c r="K78" s="511" t="s">
        <v>639</v>
      </c>
      <c r="L78" s="392" t="s">
        <v>2274</v>
      </c>
      <c r="M78" s="343"/>
      <c r="N78" s="343"/>
      <c r="O78" s="70" t="s">
        <v>673</v>
      </c>
      <c r="P78" s="346"/>
      <c r="Q78" s="346" t="s">
        <v>1140</v>
      </c>
      <c r="R78" s="346"/>
      <c r="S78" s="150" t="s">
        <v>57</v>
      </c>
      <c r="T78" s="150"/>
      <c r="U78" s="403"/>
      <c r="V78" s="406">
        <v>11109.88</v>
      </c>
      <c r="W78" s="406">
        <v>9249.9</v>
      </c>
      <c r="X78" s="425"/>
      <c r="Y78" s="71"/>
      <c r="Z78" s="426">
        <v>616.66</v>
      </c>
      <c r="AA78" s="431">
        <v>0</v>
      </c>
      <c r="AB78" s="427">
        <v>308.33</v>
      </c>
      <c r="AC78" s="428">
        <v>308.33</v>
      </c>
      <c r="AD78" s="429">
        <v>308.33</v>
      </c>
      <c r="AE78" s="429">
        <v>308.33</v>
      </c>
      <c r="AF78" s="363">
        <v>924.99</v>
      </c>
      <c r="AG78" s="363">
        <v>924.99</v>
      </c>
      <c r="AH78" s="363">
        <v>924.99</v>
      </c>
      <c r="AI78" s="363">
        <v>924.99</v>
      </c>
      <c r="AJ78" s="363">
        <v>924.99</v>
      </c>
      <c r="AK78" s="363">
        <v>924.99</v>
      </c>
      <c r="AL78" s="360">
        <v>7399.9199999999992</v>
      </c>
      <c r="AM78" s="362">
        <v>-1849.9800000000005</v>
      </c>
      <c r="AN78" s="79">
        <v>924.99</v>
      </c>
      <c r="AO78" s="79">
        <v>-616.66000000000008</v>
      </c>
      <c r="AP78" s="374">
        <v>-1849.9800000000002</v>
      </c>
      <c r="AQ78" s="80"/>
      <c r="AR78" s="79">
        <v>-1849.9800000000005</v>
      </c>
      <c r="AS78" s="81"/>
      <c r="AT78" s="375">
        <v>616.66</v>
      </c>
      <c r="AU78" s="375">
        <v>0</v>
      </c>
      <c r="AV78" s="375">
        <v>308.33</v>
      </c>
      <c r="AW78" s="375">
        <v>924.99</v>
      </c>
      <c r="AX78" s="375">
        <v>924.99</v>
      </c>
      <c r="AY78" s="375">
        <v>924.99</v>
      </c>
      <c r="AZ78" s="375">
        <v>924.99</v>
      </c>
      <c r="BA78" s="375">
        <v>924.99</v>
      </c>
      <c r="BB78" s="375">
        <v>924.99</v>
      </c>
      <c r="BC78" s="375">
        <v>924.99</v>
      </c>
      <c r="BD78" s="375">
        <v>924.99</v>
      </c>
      <c r="BE78" s="375">
        <v>924.99</v>
      </c>
      <c r="BF78" s="375">
        <v>9249.9</v>
      </c>
      <c r="BG78" s="79">
        <v>616.66</v>
      </c>
      <c r="BH78" s="79">
        <v>0</v>
      </c>
      <c r="BI78" s="79">
        <v>308.33</v>
      </c>
      <c r="BJ78" s="79">
        <v>924.99</v>
      </c>
      <c r="BK78" s="79">
        <v>924.99</v>
      </c>
      <c r="BL78" s="79">
        <v>924.99</v>
      </c>
      <c r="BM78" s="79">
        <v>924.99</v>
      </c>
      <c r="BN78" s="79">
        <v>924.99</v>
      </c>
      <c r="BO78" s="79">
        <v>924.99</v>
      </c>
      <c r="BP78" s="79">
        <v>924.99</v>
      </c>
      <c r="BQ78" s="79">
        <v>924.99</v>
      </c>
      <c r="BR78" s="79">
        <v>924.99</v>
      </c>
      <c r="BS78" s="79">
        <v>9249.9</v>
      </c>
    </row>
    <row r="79" spans="1:71" ht="15" customHeight="1">
      <c r="A79" s="66" t="s">
        <v>2277</v>
      </c>
      <c r="B79" s="66" t="s">
        <v>674</v>
      </c>
      <c r="C79" s="66" t="s">
        <v>674</v>
      </c>
      <c r="D79" s="150" t="s">
        <v>1136</v>
      </c>
      <c r="E79" s="482" t="s">
        <v>1566</v>
      </c>
      <c r="F79" s="150" t="s">
        <v>1135</v>
      </c>
      <c r="G79" s="150" t="s">
        <v>1135</v>
      </c>
      <c r="H79" s="150" t="s">
        <v>1135</v>
      </c>
      <c r="I79" s="150" t="s">
        <v>1135</v>
      </c>
      <c r="J79" s="150" t="s">
        <v>1137</v>
      </c>
      <c r="K79" s="511" t="s">
        <v>639</v>
      </c>
      <c r="L79" s="392" t="s">
        <v>1703</v>
      </c>
      <c r="M79" s="343"/>
      <c r="N79" s="343"/>
      <c r="O79" s="70" t="s">
        <v>365</v>
      </c>
      <c r="P79" s="346"/>
      <c r="Q79" s="346" t="s">
        <v>1140</v>
      </c>
      <c r="R79" s="346"/>
      <c r="S79" s="150" t="s">
        <v>57</v>
      </c>
      <c r="T79" s="150"/>
      <c r="U79" s="403"/>
      <c r="V79" s="406">
        <v>0</v>
      </c>
      <c r="W79" s="406">
        <v>288</v>
      </c>
      <c r="X79" s="430"/>
      <c r="Y79" s="137"/>
      <c r="Z79" s="426"/>
      <c r="AA79" s="427">
        <v>288</v>
      </c>
      <c r="AB79" s="431">
        <v>0</v>
      </c>
      <c r="AC79" s="428">
        <v>0</v>
      </c>
      <c r="AD79" s="429">
        <v>800</v>
      </c>
      <c r="AE79" s="429">
        <v>0</v>
      </c>
      <c r="AF79" s="360">
        <v>0</v>
      </c>
      <c r="AG79" s="360">
        <v>0</v>
      </c>
      <c r="AH79" s="360">
        <v>0</v>
      </c>
      <c r="AI79" s="360">
        <v>0</v>
      </c>
      <c r="AJ79" s="360">
        <v>0</v>
      </c>
      <c r="AK79" s="360">
        <v>0</v>
      </c>
      <c r="AL79" s="360">
        <v>1088</v>
      </c>
      <c r="AM79" s="362">
        <v>800</v>
      </c>
      <c r="AN79" s="79">
        <v>0</v>
      </c>
      <c r="AO79" s="79">
        <v>0</v>
      </c>
      <c r="AP79" s="374">
        <v>800</v>
      </c>
      <c r="AQ79" s="80"/>
      <c r="AR79" s="79">
        <v>800</v>
      </c>
      <c r="AS79" s="81"/>
      <c r="AT79" s="375"/>
      <c r="AU79" s="375">
        <v>288</v>
      </c>
      <c r="AV79" s="375">
        <v>0</v>
      </c>
      <c r="AW79" s="375">
        <v>0</v>
      </c>
      <c r="AX79" s="375">
        <v>0</v>
      </c>
      <c r="AY79" s="375">
        <v>0</v>
      </c>
      <c r="AZ79" s="375">
        <v>0</v>
      </c>
      <c r="BA79" s="375">
        <v>0</v>
      </c>
      <c r="BB79" s="375">
        <v>0</v>
      </c>
      <c r="BC79" s="375">
        <v>0</v>
      </c>
      <c r="BD79" s="375">
        <v>0</v>
      </c>
      <c r="BE79" s="375">
        <v>0</v>
      </c>
      <c r="BF79" s="375">
        <v>288</v>
      </c>
      <c r="BG79" s="79"/>
      <c r="BH79" s="79">
        <v>288</v>
      </c>
      <c r="BI79" s="79">
        <v>0</v>
      </c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  <c r="BP79" s="79">
        <v>0</v>
      </c>
      <c r="BQ79" s="79">
        <v>0</v>
      </c>
      <c r="BR79" s="79">
        <v>0</v>
      </c>
      <c r="BS79" s="79">
        <v>288</v>
      </c>
    </row>
    <row r="80" spans="1:71" ht="15" customHeight="1">
      <c r="A80" s="79" t="s">
        <v>2278</v>
      </c>
      <c r="B80" s="79" t="s">
        <v>674</v>
      </c>
      <c r="C80" s="296" t="s">
        <v>2279</v>
      </c>
      <c r="D80" s="150" t="s">
        <v>1136</v>
      </c>
      <c r="E80" s="482" t="s">
        <v>1566</v>
      </c>
      <c r="F80" s="150" t="s">
        <v>1135</v>
      </c>
      <c r="G80" s="150" t="s">
        <v>1135</v>
      </c>
      <c r="H80" s="332" t="s">
        <v>1135</v>
      </c>
      <c r="I80" s="332" t="s">
        <v>1137</v>
      </c>
      <c r="J80" s="333" t="s">
        <v>1135</v>
      </c>
      <c r="K80" s="514" t="s">
        <v>639</v>
      </c>
      <c r="L80" s="394"/>
      <c r="M80" s="333"/>
      <c r="N80" s="333"/>
      <c r="O80" s="90" t="s">
        <v>365</v>
      </c>
      <c r="P80" s="347"/>
      <c r="Q80" s="347"/>
      <c r="R80" s="348"/>
      <c r="S80" s="348"/>
      <c r="T80" s="1" t="s">
        <v>1141</v>
      </c>
      <c r="U80" s="402"/>
      <c r="V80" s="358"/>
      <c r="W80" s="379"/>
      <c r="X80" s="425"/>
      <c r="Y80" s="71"/>
      <c r="Z80" s="435"/>
      <c r="AA80" s="436"/>
      <c r="AB80" s="436"/>
      <c r="AC80" s="429"/>
      <c r="AD80" s="429"/>
      <c r="AE80" s="429">
        <v>446.19</v>
      </c>
      <c r="AF80" s="364"/>
      <c r="AG80" s="364"/>
      <c r="AH80" s="364"/>
      <c r="AI80" s="364"/>
      <c r="AJ80" s="364"/>
      <c r="AK80" s="364"/>
      <c r="AL80" s="360">
        <v>446.19</v>
      </c>
      <c r="AM80" s="362">
        <v>446.19</v>
      </c>
      <c r="AN80" s="79"/>
      <c r="AO80" s="79">
        <v>446.19</v>
      </c>
      <c r="AP80" s="391">
        <v>446.19</v>
      </c>
      <c r="AQ80" s="80"/>
      <c r="AR80" s="79">
        <v>446.19</v>
      </c>
      <c r="AS80" s="81"/>
      <c r="AT80" s="375"/>
      <c r="AU80" s="375"/>
      <c r="AV80" s="375"/>
      <c r="AW80" s="375"/>
      <c r="AX80" s="375"/>
      <c r="AY80" s="375"/>
      <c r="AZ80" s="375"/>
      <c r="BA80" s="375"/>
      <c r="BB80" s="375"/>
      <c r="BC80" s="375"/>
      <c r="BD80" s="375"/>
      <c r="BE80" s="375"/>
      <c r="BF80" s="375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</row>
    <row r="81" spans="1:71" ht="15" customHeight="1">
      <c r="A81" s="66" t="s">
        <v>2280</v>
      </c>
      <c r="B81" s="66" t="s">
        <v>674</v>
      </c>
      <c r="C81" s="66" t="s">
        <v>2281</v>
      </c>
      <c r="D81" s="150" t="s">
        <v>1136</v>
      </c>
      <c r="E81" s="482" t="s">
        <v>1566</v>
      </c>
      <c r="F81" s="150" t="s">
        <v>1135</v>
      </c>
      <c r="G81" s="150" t="s">
        <v>1165</v>
      </c>
      <c r="H81" s="150" t="s">
        <v>1135</v>
      </c>
      <c r="I81" s="150" t="s">
        <v>1165</v>
      </c>
      <c r="J81" s="150" t="s">
        <v>1137</v>
      </c>
      <c r="K81" s="511" t="s">
        <v>639</v>
      </c>
      <c r="L81" s="392" t="s">
        <v>1703</v>
      </c>
      <c r="M81" s="343"/>
      <c r="N81" s="343"/>
      <c r="O81" s="70" t="s">
        <v>365</v>
      </c>
      <c r="P81" s="346"/>
      <c r="Q81" s="346" t="s">
        <v>1140</v>
      </c>
      <c r="R81" s="346"/>
      <c r="S81" s="150" t="s">
        <v>57</v>
      </c>
      <c r="T81" s="150"/>
      <c r="U81" s="403"/>
      <c r="V81" s="406">
        <v>0</v>
      </c>
      <c r="W81" s="406">
        <v>18.920000000000002</v>
      </c>
      <c r="X81" s="425"/>
      <c r="Y81" s="71"/>
      <c r="Z81" s="426"/>
      <c r="AA81" s="427">
        <v>18.920000000000002</v>
      </c>
      <c r="AB81" s="431">
        <v>0</v>
      </c>
      <c r="AC81" s="428">
        <v>0</v>
      </c>
      <c r="AD81" s="429">
        <v>0</v>
      </c>
      <c r="AE81" s="429">
        <v>0</v>
      </c>
      <c r="AF81" s="360">
        <v>0</v>
      </c>
      <c r="AG81" s="360">
        <v>0</v>
      </c>
      <c r="AH81" s="360">
        <v>0</v>
      </c>
      <c r="AI81" s="360">
        <v>0</v>
      </c>
      <c r="AJ81" s="360">
        <v>0</v>
      </c>
      <c r="AK81" s="360">
        <v>0</v>
      </c>
      <c r="AL81" s="360">
        <v>18.920000000000002</v>
      </c>
      <c r="AM81" s="362">
        <v>0</v>
      </c>
      <c r="AN81" s="79">
        <v>0</v>
      </c>
      <c r="AO81" s="79">
        <v>0</v>
      </c>
      <c r="AP81" s="374">
        <v>0</v>
      </c>
      <c r="AQ81" s="80"/>
      <c r="AR81" s="79">
        <v>0</v>
      </c>
      <c r="AS81" s="81"/>
      <c r="AT81" s="375"/>
      <c r="AU81" s="375">
        <v>18.920000000000002</v>
      </c>
      <c r="AV81" s="375">
        <v>0</v>
      </c>
      <c r="AW81" s="375">
        <v>0</v>
      </c>
      <c r="AX81" s="375">
        <v>0</v>
      </c>
      <c r="AY81" s="375">
        <v>0</v>
      </c>
      <c r="AZ81" s="375">
        <v>0</v>
      </c>
      <c r="BA81" s="375">
        <v>0</v>
      </c>
      <c r="BB81" s="375">
        <v>0</v>
      </c>
      <c r="BC81" s="375">
        <v>0</v>
      </c>
      <c r="BD81" s="375">
        <v>0</v>
      </c>
      <c r="BE81" s="375">
        <v>0</v>
      </c>
      <c r="BF81" s="375">
        <v>18.920000000000002</v>
      </c>
      <c r="BG81" s="79"/>
      <c r="BH81" s="79">
        <v>18.920000000000002</v>
      </c>
      <c r="BI81" s="79">
        <v>0</v>
      </c>
      <c r="BJ81" s="79">
        <v>0</v>
      </c>
      <c r="BK81" s="79">
        <v>0</v>
      </c>
      <c r="BL81" s="79">
        <v>0</v>
      </c>
      <c r="BM81" s="79">
        <v>0</v>
      </c>
      <c r="BN81" s="79">
        <v>0</v>
      </c>
      <c r="BO81" s="79">
        <v>0</v>
      </c>
      <c r="BP81" s="79">
        <v>0</v>
      </c>
      <c r="BQ81" s="79">
        <v>0</v>
      </c>
      <c r="BR81" s="79">
        <v>0</v>
      </c>
      <c r="BS81" s="79">
        <v>18.920000000000002</v>
      </c>
    </row>
    <row r="82" spans="1:71" ht="15" customHeight="1">
      <c r="A82" s="66" t="s">
        <v>2284</v>
      </c>
      <c r="B82" s="66" t="s">
        <v>675</v>
      </c>
      <c r="C82" s="66" t="s">
        <v>675</v>
      </c>
      <c r="D82" s="150" t="s">
        <v>1136</v>
      </c>
      <c r="E82" s="482" t="s">
        <v>1566</v>
      </c>
      <c r="F82" s="150" t="s">
        <v>1135</v>
      </c>
      <c r="G82" s="150" t="s">
        <v>1135</v>
      </c>
      <c r="H82" s="150" t="s">
        <v>1135</v>
      </c>
      <c r="I82" s="150" t="s">
        <v>1135</v>
      </c>
      <c r="J82" s="150" t="s">
        <v>1137</v>
      </c>
      <c r="K82" s="511" t="s">
        <v>639</v>
      </c>
      <c r="L82" s="392" t="s">
        <v>2285</v>
      </c>
      <c r="M82" s="343"/>
      <c r="N82" s="343"/>
      <c r="O82" s="70" t="s">
        <v>676</v>
      </c>
      <c r="P82" s="346"/>
      <c r="Q82" s="346" t="s">
        <v>1140</v>
      </c>
      <c r="R82" s="346"/>
      <c r="S82" s="150" t="s">
        <v>677</v>
      </c>
      <c r="T82" s="150"/>
      <c r="U82" s="403"/>
      <c r="V82" s="406">
        <v>6000</v>
      </c>
      <c r="W82" s="406">
        <v>10540</v>
      </c>
      <c r="X82" s="425"/>
      <c r="Y82" s="71"/>
      <c r="Z82" s="426"/>
      <c r="AA82" s="427">
        <v>4313</v>
      </c>
      <c r="AB82" s="427">
        <v>227</v>
      </c>
      <c r="AC82" s="428">
        <v>0</v>
      </c>
      <c r="AD82" s="429">
        <v>1362</v>
      </c>
      <c r="AE82" s="429">
        <v>0</v>
      </c>
      <c r="AF82" s="360">
        <v>0</v>
      </c>
      <c r="AG82" s="363">
        <v>6000</v>
      </c>
      <c r="AH82" s="360">
        <v>0</v>
      </c>
      <c r="AI82" s="360">
        <v>0</v>
      </c>
      <c r="AJ82" s="360">
        <v>0</v>
      </c>
      <c r="AK82" s="360">
        <v>0</v>
      </c>
      <c r="AL82" s="360">
        <v>11902</v>
      </c>
      <c r="AM82" s="362">
        <v>1362</v>
      </c>
      <c r="AN82" s="79">
        <v>0</v>
      </c>
      <c r="AO82" s="79">
        <v>0</v>
      </c>
      <c r="AP82" s="374">
        <v>1362</v>
      </c>
      <c r="AQ82" s="80"/>
      <c r="AR82" s="79">
        <v>1362</v>
      </c>
      <c r="AS82" s="81"/>
      <c r="AT82" s="375"/>
      <c r="AU82" s="375">
        <v>4313</v>
      </c>
      <c r="AV82" s="375">
        <v>227</v>
      </c>
      <c r="AW82" s="375">
        <v>0</v>
      </c>
      <c r="AX82" s="375">
        <v>0</v>
      </c>
      <c r="AY82" s="375">
        <v>0</v>
      </c>
      <c r="AZ82" s="375">
        <v>0</v>
      </c>
      <c r="BA82" s="375">
        <v>6000</v>
      </c>
      <c r="BB82" s="375">
        <v>0</v>
      </c>
      <c r="BC82" s="375">
        <v>0</v>
      </c>
      <c r="BD82" s="375">
        <v>0</v>
      </c>
      <c r="BE82" s="375">
        <v>0</v>
      </c>
      <c r="BF82" s="375">
        <v>10540</v>
      </c>
      <c r="BG82" s="79"/>
      <c r="BH82" s="79">
        <v>4313</v>
      </c>
      <c r="BI82" s="79">
        <v>227</v>
      </c>
      <c r="BJ82" s="79">
        <v>0</v>
      </c>
      <c r="BK82" s="79">
        <v>0</v>
      </c>
      <c r="BL82" s="79">
        <v>0</v>
      </c>
      <c r="BM82" s="79">
        <v>0</v>
      </c>
      <c r="BN82" s="79">
        <v>6000</v>
      </c>
      <c r="BO82" s="79">
        <v>0</v>
      </c>
      <c r="BP82" s="79">
        <v>0</v>
      </c>
      <c r="BQ82" s="79">
        <v>0</v>
      </c>
      <c r="BR82" s="79">
        <v>0</v>
      </c>
      <c r="BS82" s="79">
        <v>10540</v>
      </c>
    </row>
    <row r="83" spans="1:71" ht="15" customHeight="1">
      <c r="A83" s="66" t="s">
        <v>2286</v>
      </c>
      <c r="B83" s="66" t="s">
        <v>675</v>
      </c>
      <c r="C83" s="66" t="s">
        <v>2287</v>
      </c>
      <c r="D83" s="150" t="s">
        <v>1136</v>
      </c>
      <c r="E83" s="482" t="s">
        <v>1566</v>
      </c>
      <c r="F83" s="150" t="s">
        <v>1135</v>
      </c>
      <c r="G83" s="150" t="s">
        <v>1135</v>
      </c>
      <c r="H83" s="150" t="s">
        <v>1135</v>
      </c>
      <c r="I83" s="150" t="s">
        <v>1137</v>
      </c>
      <c r="J83" s="150" t="s">
        <v>1137</v>
      </c>
      <c r="K83" s="511" t="s">
        <v>639</v>
      </c>
      <c r="L83" s="392" t="s">
        <v>2285</v>
      </c>
      <c r="M83" s="343"/>
      <c r="N83" s="343"/>
      <c r="O83" s="70" t="s">
        <v>676</v>
      </c>
      <c r="P83" s="346"/>
      <c r="Q83" s="346" t="s">
        <v>1140</v>
      </c>
      <c r="R83" s="346"/>
      <c r="S83" s="150" t="s">
        <v>677</v>
      </c>
      <c r="T83" s="1" t="s">
        <v>1141</v>
      </c>
      <c r="U83" s="403"/>
      <c r="V83" s="406">
        <v>10000</v>
      </c>
      <c r="W83" s="406">
        <v>12811.43</v>
      </c>
      <c r="X83" s="425"/>
      <c r="Y83" s="71"/>
      <c r="Z83" s="426">
        <v>553.5</v>
      </c>
      <c r="AA83" s="427">
        <v>681</v>
      </c>
      <c r="AB83" s="427">
        <v>1576.93</v>
      </c>
      <c r="AC83" s="428">
        <v>227</v>
      </c>
      <c r="AD83" s="429">
        <v>496.48</v>
      </c>
      <c r="AE83" s="429">
        <v>0</v>
      </c>
      <c r="AF83" s="360">
        <v>0</v>
      </c>
      <c r="AG83" s="360">
        <v>0</v>
      </c>
      <c r="AH83" s="360">
        <v>0</v>
      </c>
      <c r="AI83" s="360">
        <v>0</v>
      </c>
      <c r="AJ83" s="360">
        <v>0</v>
      </c>
      <c r="AK83" s="363">
        <v>5000</v>
      </c>
      <c r="AL83" s="360">
        <v>8534.91</v>
      </c>
      <c r="AM83" s="362">
        <v>-4276.5200000000004</v>
      </c>
      <c r="AN83" s="79">
        <v>0</v>
      </c>
      <c r="AO83" s="79">
        <v>0</v>
      </c>
      <c r="AP83" s="374">
        <v>-4276.5200000000004</v>
      </c>
      <c r="AQ83" s="80"/>
      <c r="AR83" s="79">
        <v>-4276.5200000000004</v>
      </c>
      <c r="AS83" s="81"/>
      <c r="AT83" s="375">
        <v>553.5</v>
      </c>
      <c r="AU83" s="375">
        <v>681</v>
      </c>
      <c r="AV83" s="375">
        <v>1576.93</v>
      </c>
      <c r="AW83" s="375">
        <v>0</v>
      </c>
      <c r="AX83" s="375">
        <v>0</v>
      </c>
      <c r="AY83" s="375">
        <v>5000</v>
      </c>
      <c r="AZ83" s="375">
        <v>0</v>
      </c>
      <c r="BA83" s="375">
        <v>0</v>
      </c>
      <c r="BB83" s="375">
        <v>0</v>
      </c>
      <c r="BC83" s="375">
        <v>0</v>
      </c>
      <c r="BD83" s="375">
        <v>0</v>
      </c>
      <c r="BE83" s="375">
        <v>5000</v>
      </c>
      <c r="BF83" s="375">
        <v>12811.43</v>
      </c>
      <c r="BG83" s="79">
        <v>553.5</v>
      </c>
      <c r="BH83" s="79">
        <v>681</v>
      </c>
      <c r="BI83" s="79">
        <v>1576.93</v>
      </c>
      <c r="BJ83" s="79">
        <v>0</v>
      </c>
      <c r="BK83" s="79">
        <v>0</v>
      </c>
      <c r="BL83" s="79">
        <v>5000</v>
      </c>
      <c r="BM83" s="79">
        <v>0</v>
      </c>
      <c r="BN83" s="79">
        <v>0</v>
      </c>
      <c r="BO83" s="79">
        <v>0</v>
      </c>
      <c r="BP83" s="79">
        <v>0</v>
      </c>
      <c r="BQ83" s="79">
        <v>0</v>
      </c>
      <c r="BR83" s="79">
        <v>5000</v>
      </c>
      <c r="BS83" s="79">
        <v>12811.43</v>
      </c>
    </row>
    <row r="84" spans="1:71" ht="15" customHeight="1">
      <c r="A84" s="66" t="s">
        <v>2288</v>
      </c>
      <c r="B84" s="66" t="s">
        <v>675</v>
      </c>
      <c r="C84" s="66" t="s">
        <v>2289</v>
      </c>
      <c r="D84" s="150" t="s">
        <v>1136</v>
      </c>
      <c r="E84" s="482" t="s">
        <v>1566</v>
      </c>
      <c r="F84" s="150" t="s">
        <v>1135</v>
      </c>
      <c r="G84" s="150" t="s">
        <v>1145</v>
      </c>
      <c r="H84" s="150" t="s">
        <v>1135</v>
      </c>
      <c r="I84" s="150" t="s">
        <v>1145</v>
      </c>
      <c r="J84" s="150" t="s">
        <v>1137</v>
      </c>
      <c r="K84" s="511" t="s">
        <v>639</v>
      </c>
      <c r="L84" s="392" t="s">
        <v>2285</v>
      </c>
      <c r="M84" s="343"/>
      <c r="N84" s="343"/>
      <c r="O84" s="70" t="s">
        <v>676</v>
      </c>
      <c r="P84" s="346"/>
      <c r="Q84" s="346" t="s">
        <v>1140</v>
      </c>
      <c r="R84" s="346"/>
      <c r="S84" s="150" t="s">
        <v>677</v>
      </c>
      <c r="T84" s="150"/>
      <c r="U84" s="403"/>
      <c r="V84" s="406">
        <v>550</v>
      </c>
      <c r="W84" s="406">
        <v>777</v>
      </c>
      <c r="X84" s="425"/>
      <c r="Y84" s="71"/>
      <c r="Z84" s="426"/>
      <c r="AA84" s="427">
        <v>227</v>
      </c>
      <c r="AB84" s="431">
        <v>0</v>
      </c>
      <c r="AC84" s="428">
        <v>0</v>
      </c>
      <c r="AD84" s="429">
        <v>454</v>
      </c>
      <c r="AE84" s="429">
        <v>0</v>
      </c>
      <c r="AF84" s="360">
        <v>0</v>
      </c>
      <c r="AG84" s="360">
        <v>0</v>
      </c>
      <c r="AH84" s="360">
        <v>0</v>
      </c>
      <c r="AI84" s="360">
        <v>0</v>
      </c>
      <c r="AJ84" s="360">
        <v>0</v>
      </c>
      <c r="AK84" s="360">
        <v>0</v>
      </c>
      <c r="AL84" s="360">
        <v>681</v>
      </c>
      <c r="AM84" s="362">
        <v>-96</v>
      </c>
      <c r="AN84" s="79">
        <v>0</v>
      </c>
      <c r="AO84" s="79">
        <v>0</v>
      </c>
      <c r="AP84" s="374">
        <v>-96</v>
      </c>
      <c r="AQ84" s="80"/>
      <c r="AR84" s="79">
        <v>-96</v>
      </c>
      <c r="AS84" s="81"/>
      <c r="AT84" s="375"/>
      <c r="AU84" s="375">
        <v>227</v>
      </c>
      <c r="AV84" s="375">
        <v>0</v>
      </c>
      <c r="AW84" s="375">
        <v>550</v>
      </c>
      <c r="AX84" s="375">
        <v>0</v>
      </c>
      <c r="AY84" s="375">
        <v>0</v>
      </c>
      <c r="AZ84" s="375">
        <v>0</v>
      </c>
      <c r="BA84" s="375">
        <v>0</v>
      </c>
      <c r="BB84" s="375">
        <v>0</v>
      </c>
      <c r="BC84" s="375">
        <v>0</v>
      </c>
      <c r="BD84" s="375">
        <v>0</v>
      </c>
      <c r="BE84" s="375">
        <v>0</v>
      </c>
      <c r="BF84" s="375">
        <v>777</v>
      </c>
      <c r="BG84" s="79"/>
      <c r="BH84" s="79">
        <v>227</v>
      </c>
      <c r="BI84" s="79">
        <v>0</v>
      </c>
      <c r="BJ84" s="79">
        <v>550</v>
      </c>
      <c r="BK84" s="79">
        <v>0</v>
      </c>
      <c r="BL84" s="79">
        <v>0</v>
      </c>
      <c r="BM84" s="79">
        <v>0</v>
      </c>
      <c r="BN84" s="79">
        <v>0</v>
      </c>
      <c r="BO84" s="79">
        <v>0</v>
      </c>
      <c r="BP84" s="79">
        <v>0</v>
      </c>
      <c r="BQ84" s="79">
        <v>0</v>
      </c>
      <c r="BR84" s="79">
        <v>0</v>
      </c>
      <c r="BS84" s="79">
        <v>777</v>
      </c>
    </row>
    <row r="85" spans="1:71" ht="15" customHeight="1">
      <c r="A85" s="66" t="s">
        <v>2290</v>
      </c>
      <c r="B85" s="66" t="s">
        <v>678</v>
      </c>
      <c r="C85" s="66" t="s">
        <v>678</v>
      </c>
      <c r="D85" s="150" t="s">
        <v>1136</v>
      </c>
      <c r="E85" s="482" t="s">
        <v>1566</v>
      </c>
      <c r="F85" s="150" t="s">
        <v>1135</v>
      </c>
      <c r="G85" s="150" t="s">
        <v>1135</v>
      </c>
      <c r="H85" s="150" t="s">
        <v>1135</v>
      </c>
      <c r="I85" s="150" t="s">
        <v>1135</v>
      </c>
      <c r="J85" s="150" t="s">
        <v>1137</v>
      </c>
      <c r="K85" s="511" t="s">
        <v>639</v>
      </c>
      <c r="L85" s="392" t="s">
        <v>2291</v>
      </c>
      <c r="M85" s="343"/>
      <c r="N85" s="343"/>
      <c r="O85" s="70" t="s">
        <v>679</v>
      </c>
      <c r="P85" s="346" t="s">
        <v>1153</v>
      </c>
      <c r="Q85" s="346" t="s">
        <v>1140</v>
      </c>
      <c r="R85" s="346"/>
      <c r="S85" s="150" t="s">
        <v>680</v>
      </c>
      <c r="T85" s="150"/>
      <c r="U85" s="403"/>
      <c r="V85" s="406">
        <v>180000</v>
      </c>
      <c r="W85" s="406">
        <v>164308</v>
      </c>
      <c r="X85" s="425"/>
      <c r="Y85" s="71"/>
      <c r="Z85" s="426">
        <v>8189</v>
      </c>
      <c r="AA85" s="427">
        <v>13361</v>
      </c>
      <c r="AB85" s="427">
        <v>7758</v>
      </c>
      <c r="AC85" s="428">
        <v>16378</v>
      </c>
      <c r="AD85" s="429">
        <v>11637</v>
      </c>
      <c r="AE85" s="429">
        <v>10775</v>
      </c>
      <c r="AF85" s="363">
        <v>15500</v>
      </c>
      <c r="AG85" s="363">
        <v>15500</v>
      </c>
      <c r="AH85" s="363">
        <v>15500</v>
      </c>
      <c r="AI85" s="363">
        <v>15485</v>
      </c>
      <c r="AJ85" s="363">
        <v>15000</v>
      </c>
      <c r="AK85" s="363">
        <v>15000</v>
      </c>
      <c r="AL85" s="360">
        <v>160083</v>
      </c>
      <c r="AM85" s="362">
        <v>-4225</v>
      </c>
      <c r="AN85" s="79">
        <v>15000</v>
      </c>
      <c r="AO85" s="79">
        <v>-4225</v>
      </c>
      <c r="AP85" s="374">
        <v>-6210</v>
      </c>
      <c r="AQ85" s="80"/>
      <c r="AR85" s="79">
        <v>-4225</v>
      </c>
      <c r="AS85" s="81"/>
      <c r="AT85" s="375">
        <v>8189</v>
      </c>
      <c r="AU85" s="375">
        <v>13361</v>
      </c>
      <c r="AV85" s="375">
        <v>7758</v>
      </c>
      <c r="AW85" s="375">
        <v>15000</v>
      </c>
      <c r="AX85" s="375">
        <v>15000</v>
      </c>
      <c r="AY85" s="375">
        <v>15000</v>
      </c>
      <c r="AZ85" s="375">
        <v>15000</v>
      </c>
      <c r="BA85" s="375">
        <v>15000</v>
      </c>
      <c r="BB85" s="375">
        <v>15000</v>
      </c>
      <c r="BC85" s="375">
        <v>15000</v>
      </c>
      <c r="BD85" s="375">
        <v>15000</v>
      </c>
      <c r="BE85" s="375">
        <v>15000</v>
      </c>
      <c r="BF85" s="375">
        <v>164308</v>
      </c>
      <c r="BG85" s="79">
        <v>8189</v>
      </c>
      <c r="BH85" s="79">
        <v>13361</v>
      </c>
      <c r="BI85" s="79">
        <v>7758</v>
      </c>
      <c r="BJ85" s="79">
        <v>15000</v>
      </c>
      <c r="BK85" s="79">
        <v>15000</v>
      </c>
      <c r="BL85" s="79">
        <v>15000</v>
      </c>
      <c r="BM85" s="79">
        <v>15000</v>
      </c>
      <c r="BN85" s="79">
        <v>15000</v>
      </c>
      <c r="BO85" s="79">
        <v>15000</v>
      </c>
      <c r="BP85" s="79">
        <v>15000</v>
      </c>
      <c r="BQ85" s="79">
        <v>15000</v>
      </c>
      <c r="BR85" s="79">
        <v>15000</v>
      </c>
      <c r="BS85" s="79">
        <v>164308</v>
      </c>
    </row>
    <row r="86" spans="1:71" ht="15" customHeight="1">
      <c r="A86" s="66" t="s">
        <v>2292</v>
      </c>
      <c r="B86" s="66" t="s">
        <v>678</v>
      </c>
      <c r="C86" s="66" t="s">
        <v>2293</v>
      </c>
      <c r="D86" s="150" t="s">
        <v>1136</v>
      </c>
      <c r="E86" s="482" t="s">
        <v>1566</v>
      </c>
      <c r="F86" s="150" t="s">
        <v>1135</v>
      </c>
      <c r="G86" s="150" t="s">
        <v>1135</v>
      </c>
      <c r="H86" s="150" t="s">
        <v>1135</v>
      </c>
      <c r="I86" s="150" t="s">
        <v>1137</v>
      </c>
      <c r="J86" s="150" t="s">
        <v>1137</v>
      </c>
      <c r="K86" s="511" t="s">
        <v>639</v>
      </c>
      <c r="L86" s="392" t="s">
        <v>2291</v>
      </c>
      <c r="M86" s="343"/>
      <c r="N86" s="343"/>
      <c r="O86" s="70" t="s">
        <v>679</v>
      </c>
      <c r="P86" s="346" t="s">
        <v>1153</v>
      </c>
      <c r="Q86" s="346" t="s">
        <v>1140</v>
      </c>
      <c r="R86" s="346"/>
      <c r="S86" s="150" t="s">
        <v>680</v>
      </c>
      <c r="T86" s="1" t="s">
        <v>1141</v>
      </c>
      <c r="U86" s="403"/>
      <c r="V86" s="406">
        <v>12000</v>
      </c>
      <c r="W86" s="406">
        <v>13503.74</v>
      </c>
      <c r="X86" s="425"/>
      <c r="Y86" s="71"/>
      <c r="Z86" s="426">
        <v>3614.02</v>
      </c>
      <c r="AA86" s="431">
        <v>0</v>
      </c>
      <c r="AB86" s="427">
        <v>889.72</v>
      </c>
      <c r="AC86" s="428">
        <v>917.6</v>
      </c>
      <c r="AD86" s="429">
        <v>3154.91</v>
      </c>
      <c r="AE86" s="429">
        <v>4127.83</v>
      </c>
      <c r="AF86" s="363">
        <v>1000</v>
      </c>
      <c r="AG86" s="363">
        <v>1000</v>
      </c>
      <c r="AH86" s="363">
        <v>1000</v>
      </c>
      <c r="AI86" s="363">
        <v>1000</v>
      </c>
      <c r="AJ86" s="363">
        <v>1000</v>
      </c>
      <c r="AK86" s="363">
        <v>1000</v>
      </c>
      <c r="AL86" s="360">
        <v>18704.080000000002</v>
      </c>
      <c r="AM86" s="362">
        <v>5200.340000000002</v>
      </c>
      <c r="AN86" s="79">
        <v>1000</v>
      </c>
      <c r="AO86" s="79">
        <v>3127.83</v>
      </c>
      <c r="AP86" s="374">
        <v>5200.34</v>
      </c>
      <c r="AQ86" s="80"/>
      <c r="AR86" s="79">
        <v>5200.340000000002</v>
      </c>
      <c r="AS86" s="81"/>
      <c r="AT86" s="375">
        <v>3614.02</v>
      </c>
      <c r="AU86" s="375">
        <v>0</v>
      </c>
      <c r="AV86" s="375">
        <v>889.72</v>
      </c>
      <c r="AW86" s="375">
        <v>1000</v>
      </c>
      <c r="AX86" s="375">
        <v>1000</v>
      </c>
      <c r="AY86" s="375">
        <v>1000</v>
      </c>
      <c r="AZ86" s="375">
        <v>1000</v>
      </c>
      <c r="BA86" s="375">
        <v>1000</v>
      </c>
      <c r="BB86" s="375">
        <v>1000</v>
      </c>
      <c r="BC86" s="375">
        <v>1000</v>
      </c>
      <c r="BD86" s="375">
        <v>1000</v>
      </c>
      <c r="BE86" s="375">
        <v>1000</v>
      </c>
      <c r="BF86" s="375">
        <v>13503.74</v>
      </c>
      <c r="BG86" s="79">
        <v>3614.02</v>
      </c>
      <c r="BH86" s="79">
        <v>0</v>
      </c>
      <c r="BI86" s="79">
        <v>889.72</v>
      </c>
      <c r="BJ86" s="79">
        <v>1000</v>
      </c>
      <c r="BK86" s="79">
        <v>1000</v>
      </c>
      <c r="BL86" s="79">
        <v>1000</v>
      </c>
      <c r="BM86" s="79">
        <v>1000</v>
      </c>
      <c r="BN86" s="79">
        <v>1000</v>
      </c>
      <c r="BO86" s="79">
        <v>1000</v>
      </c>
      <c r="BP86" s="79">
        <v>1000</v>
      </c>
      <c r="BQ86" s="79">
        <v>1000</v>
      </c>
      <c r="BR86" s="79">
        <v>1000</v>
      </c>
      <c r="BS86" s="79">
        <v>13503.74</v>
      </c>
    </row>
    <row r="87" spans="1:71" ht="15" customHeight="1">
      <c r="A87" s="66" t="s">
        <v>2294</v>
      </c>
      <c r="B87" s="66" t="s">
        <v>678</v>
      </c>
      <c r="C87" s="66" t="s">
        <v>2295</v>
      </c>
      <c r="D87" s="150" t="s">
        <v>1136</v>
      </c>
      <c r="E87" s="482" t="s">
        <v>1566</v>
      </c>
      <c r="F87" s="150" t="s">
        <v>1135</v>
      </c>
      <c r="G87" s="150" t="s">
        <v>1145</v>
      </c>
      <c r="H87" s="150" t="s">
        <v>1135</v>
      </c>
      <c r="I87" s="150" t="s">
        <v>1145</v>
      </c>
      <c r="J87" s="150" t="s">
        <v>1137</v>
      </c>
      <c r="K87" s="511" t="s">
        <v>639</v>
      </c>
      <c r="L87" s="392" t="s">
        <v>2291</v>
      </c>
      <c r="M87" s="343"/>
      <c r="N87" s="343"/>
      <c r="O87" s="70" t="s">
        <v>679</v>
      </c>
      <c r="P87" s="346" t="s">
        <v>1153</v>
      </c>
      <c r="Q87" s="346" t="s">
        <v>1140</v>
      </c>
      <c r="R87" s="346"/>
      <c r="S87" s="150" t="s">
        <v>680</v>
      </c>
      <c r="T87" s="150"/>
      <c r="U87" s="403"/>
      <c r="V87" s="406">
        <v>370</v>
      </c>
      <c r="W87" s="406">
        <v>370</v>
      </c>
      <c r="X87" s="425"/>
      <c r="Y87" s="71"/>
      <c r="Z87" s="426"/>
      <c r="AA87" s="427"/>
      <c r="AB87" s="427"/>
      <c r="AC87" s="428" t="s">
        <v>1142</v>
      </c>
      <c r="AD87" s="429">
        <v>0</v>
      </c>
      <c r="AE87" s="429">
        <v>0</v>
      </c>
      <c r="AF87" s="360">
        <v>0</v>
      </c>
      <c r="AG87" s="360">
        <v>0</v>
      </c>
      <c r="AH87" s="360">
        <v>0</v>
      </c>
      <c r="AI87" s="360">
        <v>0</v>
      </c>
      <c r="AJ87" s="360">
        <v>0</v>
      </c>
      <c r="AK87" s="360">
        <v>0</v>
      </c>
      <c r="AL87" s="360">
        <v>0</v>
      </c>
      <c r="AM87" s="362">
        <v>-370</v>
      </c>
      <c r="AN87" s="79">
        <v>0</v>
      </c>
      <c r="AO87" s="79">
        <v>0</v>
      </c>
      <c r="AP87" s="374">
        <v>-370</v>
      </c>
      <c r="AQ87" s="80"/>
      <c r="AR87" s="79">
        <v>-370</v>
      </c>
      <c r="AS87" s="81"/>
      <c r="AT87" s="375"/>
      <c r="AU87" s="375"/>
      <c r="AV87" s="375"/>
      <c r="AW87" s="375">
        <v>370</v>
      </c>
      <c r="AX87" s="375">
        <v>0</v>
      </c>
      <c r="AY87" s="375">
        <v>0</v>
      </c>
      <c r="AZ87" s="375">
        <v>0</v>
      </c>
      <c r="BA87" s="375">
        <v>0</v>
      </c>
      <c r="BB87" s="375">
        <v>0</v>
      </c>
      <c r="BC87" s="375">
        <v>0</v>
      </c>
      <c r="BD87" s="375">
        <v>0</v>
      </c>
      <c r="BE87" s="375">
        <v>0</v>
      </c>
      <c r="BF87" s="375">
        <v>370</v>
      </c>
      <c r="BG87" s="79"/>
      <c r="BH87" s="79"/>
      <c r="BI87" s="79"/>
      <c r="BJ87" s="79">
        <v>370</v>
      </c>
      <c r="BK87" s="79">
        <v>0</v>
      </c>
      <c r="BL87" s="79">
        <v>0</v>
      </c>
      <c r="BM87" s="79">
        <v>0</v>
      </c>
      <c r="BN87" s="79">
        <v>0</v>
      </c>
      <c r="BO87" s="79">
        <v>0</v>
      </c>
      <c r="BP87" s="79">
        <v>0</v>
      </c>
      <c r="BQ87" s="79">
        <v>0</v>
      </c>
      <c r="BR87" s="79">
        <v>0</v>
      </c>
      <c r="BS87" s="79">
        <v>370</v>
      </c>
    </row>
    <row r="88" spans="1:71" ht="15" customHeight="1">
      <c r="A88" s="66" t="s">
        <v>2296</v>
      </c>
      <c r="B88" s="66" t="s">
        <v>678</v>
      </c>
      <c r="C88" s="66" t="s">
        <v>2297</v>
      </c>
      <c r="D88" s="150" t="s">
        <v>1136</v>
      </c>
      <c r="E88" s="482" t="s">
        <v>1566</v>
      </c>
      <c r="F88" s="150" t="s">
        <v>1135</v>
      </c>
      <c r="G88" s="150" t="s">
        <v>1165</v>
      </c>
      <c r="H88" s="150" t="s">
        <v>1135</v>
      </c>
      <c r="I88" s="150" t="s">
        <v>1165</v>
      </c>
      <c r="J88" s="150" t="s">
        <v>1137</v>
      </c>
      <c r="K88" s="511" t="s">
        <v>639</v>
      </c>
      <c r="L88" s="392" t="s">
        <v>2291</v>
      </c>
      <c r="M88" s="343"/>
      <c r="N88" s="343"/>
      <c r="O88" s="70" t="s">
        <v>679</v>
      </c>
      <c r="P88" s="346" t="s">
        <v>1153</v>
      </c>
      <c r="Q88" s="346" t="s">
        <v>1140</v>
      </c>
      <c r="R88" s="346"/>
      <c r="S88" s="150" t="s">
        <v>680</v>
      </c>
      <c r="T88" s="150"/>
      <c r="U88" s="403"/>
      <c r="V88" s="406">
        <v>0</v>
      </c>
      <c r="W88" s="406">
        <v>1293</v>
      </c>
      <c r="X88" s="425"/>
      <c r="Y88" s="71"/>
      <c r="Z88" s="426"/>
      <c r="AA88" s="427">
        <v>1293</v>
      </c>
      <c r="AB88" s="431">
        <v>0</v>
      </c>
      <c r="AC88" s="428">
        <v>0</v>
      </c>
      <c r="AD88" s="429">
        <v>0</v>
      </c>
      <c r="AE88" s="429">
        <v>431</v>
      </c>
      <c r="AF88" s="360">
        <v>0</v>
      </c>
      <c r="AG88" s="360">
        <v>0</v>
      </c>
      <c r="AH88" s="360">
        <v>0</v>
      </c>
      <c r="AI88" s="360">
        <v>0</v>
      </c>
      <c r="AJ88" s="360">
        <v>0</v>
      </c>
      <c r="AK88" s="360">
        <v>0</v>
      </c>
      <c r="AL88" s="360">
        <v>1724</v>
      </c>
      <c r="AM88" s="362">
        <v>431</v>
      </c>
      <c r="AN88" s="79">
        <v>0</v>
      </c>
      <c r="AO88" s="79">
        <v>431</v>
      </c>
      <c r="AP88" s="374">
        <v>431</v>
      </c>
      <c r="AQ88" s="80"/>
      <c r="AR88" s="79">
        <v>431</v>
      </c>
      <c r="AS88" s="81"/>
      <c r="AT88" s="375"/>
      <c r="AU88" s="375">
        <v>1293</v>
      </c>
      <c r="AV88" s="375">
        <v>0</v>
      </c>
      <c r="AW88" s="375">
        <v>0</v>
      </c>
      <c r="AX88" s="375">
        <v>0</v>
      </c>
      <c r="AY88" s="375">
        <v>0</v>
      </c>
      <c r="AZ88" s="375">
        <v>0</v>
      </c>
      <c r="BA88" s="375">
        <v>0</v>
      </c>
      <c r="BB88" s="375">
        <v>0</v>
      </c>
      <c r="BC88" s="375">
        <v>0</v>
      </c>
      <c r="BD88" s="375">
        <v>0</v>
      </c>
      <c r="BE88" s="375">
        <v>0</v>
      </c>
      <c r="BF88" s="375">
        <v>1293</v>
      </c>
      <c r="BG88" s="79"/>
      <c r="BH88" s="79">
        <v>1293</v>
      </c>
      <c r="BI88" s="79">
        <v>0</v>
      </c>
      <c r="BJ88" s="79">
        <v>0</v>
      </c>
      <c r="BK88" s="79">
        <v>0</v>
      </c>
      <c r="BL88" s="79">
        <v>0</v>
      </c>
      <c r="BM88" s="79">
        <v>0</v>
      </c>
      <c r="BN88" s="79">
        <v>0</v>
      </c>
      <c r="BO88" s="79">
        <v>0</v>
      </c>
      <c r="BP88" s="79">
        <v>0</v>
      </c>
      <c r="BQ88" s="79">
        <v>0</v>
      </c>
      <c r="BR88" s="79">
        <v>0</v>
      </c>
      <c r="BS88" s="79">
        <v>1293</v>
      </c>
    </row>
    <row r="89" spans="1:71" ht="15" customHeight="1">
      <c r="A89" s="66" t="s">
        <v>2470</v>
      </c>
      <c r="B89" s="66" t="s">
        <v>816</v>
      </c>
      <c r="C89" s="66" t="s">
        <v>816</v>
      </c>
      <c r="D89" s="150" t="s">
        <v>1136</v>
      </c>
      <c r="E89" s="482" t="s">
        <v>1566</v>
      </c>
      <c r="F89" s="150" t="s">
        <v>1135</v>
      </c>
      <c r="G89" s="150" t="s">
        <v>1135</v>
      </c>
      <c r="H89" s="150" t="s">
        <v>1135</v>
      </c>
      <c r="I89" s="150" t="s">
        <v>1135</v>
      </c>
      <c r="J89" s="150" t="s">
        <v>1137</v>
      </c>
      <c r="K89" s="511" t="s">
        <v>639</v>
      </c>
      <c r="L89" s="392" t="s">
        <v>818</v>
      </c>
      <c r="M89" s="343"/>
      <c r="N89" s="343"/>
      <c r="O89" s="70" t="s">
        <v>817</v>
      </c>
      <c r="P89" s="346"/>
      <c r="Q89" s="346" t="s">
        <v>1140</v>
      </c>
      <c r="R89" s="346"/>
      <c r="S89" s="150" t="s">
        <v>818</v>
      </c>
      <c r="T89" s="150"/>
      <c r="U89" s="403"/>
      <c r="V89" s="406">
        <v>124504</v>
      </c>
      <c r="W89" s="406">
        <v>146423.48000000001</v>
      </c>
      <c r="X89" s="425"/>
      <c r="Y89" s="71"/>
      <c r="Z89" s="426"/>
      <c r="AA89" s="427"/>
      <c r="AB89" s="427">
        <v>61919.48</v>
      </c>
      <c r="AC89" s="428">
        <v>0</v>
      </c>
      <c r="AD89" s="429">
        <v>0</v>
      </c>
      <c r="AE89" s="429">
        <v>45968.679999999993</v>
      </c>
      <c r="AF89" s="360">
        <v>0</v>
      </c>
      <c r="AG89" s="360">
        <v>0</v>
      </c>
      <c r="AH89" s="363">
        <v>40000</v>
      </c>
      <c r="AI89" s="360">
        <v>0</v>
      </c>
      <c r="AJ89" s="363">
        <v>4504</v>
      </c>
      <c r="AK89" s="360">
        <v>0</v>
      </c>
      <c r="AL89" s="360">
        <v>152392.16</v>
      </c>
      <c r="AM89" s="362">
        <v>5968.679999999993</v>
      </c>
      <c r="AN89" s="79">
        <v>0</v>
      </c>
      <c r="AO89" s="79">
        <v>45968.679999999993</v>
      </c>
      <c r="AP89" s="374">
        <v>5968.679999999993</v>
      </c>
      <c r="AQ89" s="80"/>
      <c r="AR89" s="79">
        <v>5968.679999999993</v>
      </c>
      <c r="AS89" s="81"/>
      <c r="AT89" s="375"/>
      <c r="AU89" s="375"/>
      <c r="AV89" s="375">
        <v>61919.48</v>
      </c>
      <c r="AW89" s="375">
        <v>0</v>
      </c>
      <c r="AX89" s="375">
        <v>0</v>
      </c>
      <c r="AY89" s="375">
        <v>40000</v>
      </c>
      <c r="AZ89" s="375">
        <v>0</v>
      </c>
      <c r="BA89" s="375">
        <v>0</v>
      </c>
      <c r="BB89" s="375">
        <v>40000</v>
      </c>
      <c r="BC89" s="375">
        <v>0</v>
      </c>
      <c r="BD89" s="375">
        <v>4504</v>
      </c>
      <c r="BE89" s="375">
        <v>0</v>
      </c>
      <c r="BF89" s="375">
        <v>146423.48000000001</v>
      </c>
      <c r="BG89" s="79"/>
      <c r="BH89" s="79"/>
      <c r="BI89" s="79">
        <v>61919.48</v>
      </c>
      <c r="BJ89" s="79">
        <v>0</v>
      </c>
      <c r="BK89" s="79">
        <v>0</v>
      </c>
      <c r="BL89" s="79">
        <v>40000</v>
      </c>
      <c r="BM89" s="79">
        <v>0</v>
      </c>
      <c r="BN89" s="79">
        <v>0</v>
      </c>
      <c r="BO89" s="79">
        <v>40000</v>
      </c>
      <c r="BP89" s="79">
        <v>0</v>
      </c>
      <c r="BQ89" s="79">
        <v>4504</v>
      </c>
      <c r="BR89" s="79">
        <v>0</v>
      </c>
      <c r="BS89" s="79">
        <v>146423.48000000001</v>
      </c>
    </row>
    <row r="90" spans="1:71" ht="15" customHeight="1">
      <c r="A90" s="66" t="s">
        <v>2471</v>
      </c>
      <c r="B90" s="66" t="s">
        <v>816</v>
      </c>
      <c r="C90" s="66" t="s">
        <v>2472</v>
      </c>
      <c r="D90" s="150" t="s">
        <v>1136</v>
      </c>
      <c r="E90" s="482" t="s">
        <v>1566</v>
      </c>
      <c r="F90" s="150" t="s">
        <v>1135</v>
      </c>
      <c r="G90" s="150" t="s">
        <v>1135</v>
      </c>
      <c r="H90" s="150" t="s">
        <v>1135</v>
      </c>
      <c r="I90" s="150" t="s">
        <v>1137</v>
      </c>
      <c r="J90" s="150" t="s">
        <v>1137</v>
      </c>
      <c r="K90" s="511" t="s">
        <v>639</v>
      </c>
      <c r="L90" s="392" t="s">
        <v>818</v>
      </c>
      <c r="M90" s="343"/>
      <c r="N90" s="343"/>
      <c r="O90" s="70" t="s">
        <v>817</v>
      </c>
      <c r="P90" s="346"/>
      <c r="Q90" s="346" t="s">
        <v>1140</v>
      </c>
      <c r="R90" s="346"/>
      <c r="S90" s="150" t="s">
        <v>818</v>
      </c>
      <c r="T90" s="1" t="s">
        <v>1141</v>
      </c>
      <c r="U90" s="403"/>
      <c r="V90" s="406">
        <v>50000</v>
      </c>
      <c r="W90" s="406">
        <v>38665</v>
      </c>
      <c r="X90" s="425"/>
      <c r="Y90" s="71"/>
      <c r="Z90" s="426"/>
      <c r="AA90" s="427"/>
      <c r="AB90" s="427">
        <v>1165</v>
      </c>
      <c r="AC90" s="428">
        <v>0</v>
      </c>
      <c r="AD90" s="429">
        <v>0</v>
      </c>
      <c r="AE90" s="429">
        <v>1720.74</v>
      </c>
      <c r="AF90" s="360">
        <v>0</v>
      </c>
      <c r="AG90" s="360">
        <v>0</v>
      </c>
      <c r="AH90" s="363">
        <v>12500</v>
      </c>
      <c r="AI90" s="360">
        <v>0</v>
      </c>
      <c r="AJ90" s="363">
        <v>12500</v>
      </c>
      <c r="AK90" s="360">
        <v>0</v>
      </c>
      <c r="AL90" s="360">
        <v>27885.739999999998</v>
      </c>
      <c r="AM90" s="362">
        <v>-10779.260000000002</v>
      </c>
      <c r="AN90" s="79">
        <v>0</v>
      </c>
      <c r="AO90" s="79">
        <v>1720.74</v>
      </c>
      <c r="AP90" s="374">
        <v>-10779.26</v>
      </c>
      <c r="AQ90" s="80"/>
      <c r="AR90" s="79">
        <v>-10779.260000000002</v>
      </c>
      <c r="AS90" s="81"/>
      <c r="AT90" s="375"/>
      <c r="AU90" s="375"/>
      <c r="AV90" s="375">
        <v>1165</v>
      </c>
      <c r="AW90" s="375">
        <v>0</v>
      </c>
      <c r="AX90" s="375">
        <v>0</v>
      </c>
      <c r="AY90" s="375">
        <v>12500</v>
      </c>
      <c r="AZ90" s="375">
        <v>0</v>
      </c>
      <c r="BA90" s="375">
        <v>0</v>
      </c>
      <c r="BB90" s="375">
        <v>12500</v>
      </c>
      <c r="BC90" s="375">
        <v>0</v>
      </c>
      <c r="BD90" s="375">
        <v>12500</v>
      </c>
      <c r="BE90" s="375">
        <v>0</v>
      </c>
      <c r="BF90" s="375">
        <v>38665</v>
      </c>
      <c r="BG90" s="79"/>
      <c r="BH90" s="79"/>
      <c r="BI90" s="79">
        <v>1165</v>
      </c>
      <c r="BJ90" s="79">
        <v>0</v>
      </c>
      <c r="BK90" s="79">
        <v>0</v>
      </c>
      <c r="BL90" s="79">
        <v>12500</v>
      </c>
      <c r="BM90" s="79">
        <v>0</v>
      </c>
      <c r="BN90" s="79">
        <v>0</v>
      </c>
      <c r="BO90" s="79">
        <v>12500</v>
      </c>
      <c r="BP90" s="79">
        <v>0</v>
      </c>
      <c r="BQ90" s="79">
        <v>12500</v>
      </c>
      <c r="BR90" s="79">
        <v>0</v>
      </c>
      <c r="BS90" s="79">
        <v>38665</v>
      </c>
    </row>
    <row r="91" spans="1:71" ht="15" customHeight="1">
      <c r="A91" s="66" t="s">
        <v>2473</v>
      </c>
      <c r="B91" s="66" t="s">
        <v>816</v>
      </c>
      <c r="C91" s="66" t="s">
        <v>2474</v>
      </c>
      <c r="D91" s="150" t="s">
        <v>1136</v>
      </c>
      <c r="E91" s="482" t="s">
        <v>1566</v>
      </c>
      <c r="F91" s="150" t="s">
        <v>1135</v>
      </c>
      <c r="G91" s="150" t="s">
        <v>1145</v>
      </c>
      <c r="H91" s="150" t="s">
        <v>1135</v>
      </c>
      <c r="I91" s="150" t="s">
        <v>1145</v>
      </c>
      <c r="J91" s="150" t="s">
        <v>1137</v>
      </c>
      <c r="K91" s="511" t="s">
        <v>639</v>
      </c>
      <c r="L91" s="392" t="s">
        <v>818</v>
      </c>
      <c r="M91" s="343"/>
      <c r="N91" s="343"/>
      <c r="O91" s="70" t="s">
        <v>817</v>
      </c>
      <c r="P91" s="346"/>
      <c r="Q91" s="346" t="s">
        <v>1140</v>
      </c>
      <c r="R91" s="346"/>
      <c r="S91" s="150" t="s">
        <v>818</v>
      </c>
      <c r="T91" s="150"/>
      <c r="U91" s="403"/>
      <c r="V91" s="406">
        <v>3000</v>
      </c>
      <c r="W91" s="406">
        <v>3010.21</v>
      </c>
      <c r="X91" s="425"/>
      <c r="Y91" s="71"/>
      <c r="Z91" s="426"/>
      <c r="AA91" s="427"/>
      <c r="AB91" s="427">
        <v>410.21</v>
      </c>
      <c r="AC91" s="428">
        <v>0</v>
      </c>
      <c r="AD91" s="429">
        <v>0</v>
      </c>
      <c r="AE91" s="429">
        <v>398.24</v>
      </c>
      <c r="AF91" s="360">
        <v>0</v>
      </c>
      <c r="AG91" s="360">
        <v>0</v>
      </c>
      <c r="AH91" s="360">
        <v>0</v>
      </c>
      <c r="AI91" s="360">
        <v>0</v>
      </c>
      <c r="AJ91" s="360">
        <v>0</v>
      </c>
      <c r="AK91" s="360">
        <v>0</v>
      </c>
      <c r="AL91" s="360">
        <v>808.45</v>
      </c>
      <c r="AM91" s="362">
        <v>-2201.7600000000002</v>
      </c>
      <c r="AN91" s="79">
        <v>0</v>
      </c>
      <c r="AO91" s="79">
        <v>398.24</v>
      </c>
      <c r="AP91" s="374">
        <v>-2201.7600000000002</v>
      </c>
      <c r="AQ91" s="80"/>
      <c r="AR91" s="79">
        <v>-2201.7600000000002</v>
      </c>
      <c r="AS91" s="81"/>
      <c r="AT91" s="375"/>
      <c r="AU91" s="375"/>
      <c r="AV91" s="375">
        <v>410.21</v>
      </c>
      <c r="AW91" s="375">
        <v>2600</v>
      </c>
      <c r="AX91" s="375">
        <v>0</v>
      </c>
      <c r="AY91" s="375">
        <v>0</v>
      </c>
      <c r="AZ91" s="375">
        <v>0</v>
      </c>
      <c r="BA91" s="375">
        <v>0</v>
      </c>
      <c r="BB91" s="375">
        <v>0</v>
      </c>
      <c r="BC91" s="375">
        <v>0</v>
      </c>
      <c r="BD91" s="375">
        <v>0</v>
      </c>
      <c r="BE91" s="375">
        <v>0</v>
      </c>
      <c r="BF91" s="375">
        <v>3010.21</v>
      </c>
      <c r="BG91" s="79"/>
      <c r="BH91" s="79"/>
      <c r="BI91" s="79">
        <v>410.21</v>
      </c>
      <c r="BJ91" s="79">
        <v>3000</v>
      </c>
      <c r="BK91" s="79">
        <v>0</v>
      </c>
      <c r="BL91" s="79">
        <v>0</v>
      </c>
      <c r="BM91" s="79">
        <v>0</v>
      </c>
      <c r="BN91" s="79">
        <v>0</v>
      </c>
      <c r="BO91" s="79">
        <v>0</v>
      </c>
      <c r="BP91" s="79">
        <v>0</v>
      </c>
      <c r="BQ91" s="79">
        <v>0</v>
      </c>
      <c r="BR91" s="79">
        <v>0</v>
      </c>
      <c r="BS91" s="79">
        <v>3410.21</v>
      </c>
    </row>
    <row r="92" spans="1:71" ht="15" customHeight="1">
      <c r="A92" s="66" t="s">
        <v>2475</v>
      </c>
      <c r="B92" s="66" t="s">
        <v>816</v>
      </c>
      <c r="C92" s="66" t="s">
        <v>2476</v>
      </c>
      <c r="D92" s="150" t="s">
        <v>1136</v>
      </c>
      <c r="E92" s="482" t="s">
        <v>1566</v>
      </c>
      <c r="F92" s="150" t="s">
        <v>1135</v>
      </c>
      <c r="G92" s="150" t="s">
        <v>1156</v>
      </c>
      <c r="H92" s="150" t="s">
        <v>1135</v>
      </c>
      <c r="I92" s="150" t="s">
        <v>1156</v>
      </c>
      <c r="J92" s="150" t="s">
        <v>1137</v>
      </c>
      <c r="K92" s="511" t="s">
        <v>639</v>
      </c>
      <c r="L92" s="392" t="s">
        <v>818</v>
      </c>
      <c r="M92" s="343"/>
      <c r="N92" s="343"/>
      <c r="O92" s="70" t="s">
        <v>817</v>
      </c>
      <c r="P92" s="346"/>
      <c r="Q92" s="346" t="s">
        <v>1140</v>
      </c>
      <c r="R92" s="346"/>
      <c r="S92" s="150" t="s">
        <v>818</v>
      </c>
      <c r="T92" s="150" t="s">
        <v>2477</v>
      </c>
      <c r="U92" s="403"/>
      <c r="V92" s="406">
        <v>2800</v>
      </c>
      <c r="W92" s="406">
        <v>11294.74</v>
      </c>
      <c r="X92" s="425"/>
      <c r="Y92" s="71"/>
      <c r="Z92" s="426"/>
      <c r="AA92" s="427"/>
      <c r="AB92" s="427">
        <v>3116.74</v>
      </c>
      <c r="AC92" s="428">
        <v>0</v>
      </c>
      <c r="AD92" s="429">
        <v>0</v>
      </c>
      <c r="AE92" s="429">
        <v>2380</v>
      </c>
      <c r="AF92" s="360">
        <v>0</v>
      </c>
      <c r="AG92" s="360">
        <v>0</v>
      </c>
      <c r="AH92" s="363">
        <v>2726</v>
      </c>
      <c r="AI92" s="360">
        <v>0</v>
      </c>
      <c r="AJ92" s="363">
        <v>2726</v>
      </c>
      <c r="AK92" s="360">
        <v>0</v>
      </c>
      <c r="AL92" s="360">
        <v>10948.74</v>
      </c>
      <c r="AM92" s="362">
        <v>-346</v>
      </c>
      <c r="AN92" s="79">
        <v>0</v>
      </c>
      <c r="AO92" s="79">
        <v>2380</v>
      </c>
      <c r="AP92" s="374">
        <v>-346</v>
      </c>
      <c r="AQ92" s="80"/>
      <c r="AR92" s="79">
        <v>-346</v>
      </c>
      <c r="AS92" s="81"/>
      <c r="AT92" s="375"/>
      <c r="AU92" s="375"/>
      <c r="AV92" s="375">
        <v>3116.74</v>
      </c>
      <c r="AW92" s="375">
        <v>0</v>
      </c>
      <c r="AX92" s="375">
        <v>0</v>
      </c>
      <c r="AY92" s="375">
        <v>2726</v>
      </c>
      <c r="AZ92" s="375">
        <v>0</v>
      </c>
      <c r="BA92" s="375">
        <v>0</v>
      </c>
      <c r="BB92" s="375">
        <v>2726</v>
      </c>
      <c r="BC92" s="375">
        <v>0</v>
      </c>
      <c r="BD92" s="375">
        <v>2726</v>
      </c>
      <c r="BE92" s="375">
        <v>0</v>
      </c>
      <c r="BF92" s="375">
        <v>11294.74</v>
      </c>
      <c r="BG92" s="79"/>
      <c r="BH92" s="79"/>
      <c r="BI92" s="79">
        <v>3116.74</v>
      </c>
      <c r="BJ92" s="79">
        <v>0</v>
      </c>
      <c r="BK92" s="79">
        <v>0</v>
      </c>
      <c r="BL92" s="79">
        <v>700</v>
      </c>
      <c r="BM92" s="79">
        <v>0</v>
      </c>
      <c r="BN92" s="79">
        <v>0</v>
      </c>
      <c r="BO92" s="79">
        <v>700</v>
      </c>
      <c r="BP92" s="79">
        <v>0</v>
      </c>
      <c r="BQ92" s="79">
        <v>700</v>
      </c>
      <c r="BR92" s="79">
        <v>0</v>
      </c>
      <c r="BS92" s="79">
        <v>5216.74</v>
      </c>
    </row>
    <row r="93" spans="1:71" ht="15" customHeight="1">
      <c r="A93" s="66" t="s">
        <v>2478</v>
      </c>
      <c r="B93" s="66" t="s">
        <v>816</v>
      </c>
      <c r="C93" s="66" t="s">
        <v>2479</v>
      </c>
      <c r="D93" s="150" t="s">
        <v>1136</v>
      </c>
      <c r="E93" s="482" t="s">
        <v>1566</v>
      </c>
      <c r="F93" s="150" t="s">
        <v>1135</v>
      </c>
      <c r="G93" s="150" t="s">
        <v>1161</v>
      </c>
      <c r="H93" s="150" t="s">
        <v>1135</v>
      </c>
      <c r="I93" s="150" t="s">
        <v>1161</v>
      </c>
      <c r="J93" s="150" t="s">
        <v>1137</v>
      </c>
      <c r="K93" s="511" t="s">
        <v>639</v>
      </c>
      <c r="L93" s="392" t="s">
        <v>818</v>
      </c>
      <c r="M93" s="343"/>
      <c r="N93" s="343"/>
      <c r="O93" s="70" t="s">
        <v>817</v>
      </c>
      <c r="P93" s="346"/>
      <c r="Q93" s="346" t="s">
        <v>1140</v>
      </c>
      <c r="R93" s="346"/>
      <c r="S93" s="150" t="s">
        <v>818</v>
      </c>
      <c r="T93" s="150"/>
      <c r="U93" s="403"/>
      <c r="V93" s="406">
        <v>800</v>
      </c>
      <c r="W93" s="406">
        <v>4147.87</v>
      </c>
      <c r="X93" s="425"/>
      <c r="Y93" s="71"/>
      <c r="Z93" s="426"/>
      <c r="AA93" s="427"/>
      <c r="AB93" s="427">
        <v>3547.87</v>
      </c>
      <c r="AC93" s="428">
        <v>0</v>
      </c>
      <c r="AD93" s="429">
        <v>0</v>
      </c>
      <c r="AE93" s="429">
        <v>3172.87</v>
      </c>
      <c r="AF93" s="360">
        <v>0</v>
      </c>
      <c r="AG93" s="360">
        <v>0</v>
      </c>
      <c r="AH93" s="363">
        <v>200</v>
      </c>
      <c r="AI93" s="360">
        <v>0</v>
      </c>
      <c r="AJ93" s="363">
        <v>200</v>
      </c>
      <c r="AK93" s="360">
        <v>0</v>
      </c>
      <c r="AL93" s="360">
        <v>7120.74</v>
      </c>
      <c r="AM93" s="362">
        <v>2972.87</v>
      </c>
      <c r="AN93" s="79">
        <v>0</v>
      </c>
      <c r="AO93" s="79">
        <v>3172.87</v>
      </c>
      <c r="AP93" s="374">
        <v>2972.87</v>
      </c>
      <c r="AQ93" s="80"/>
      <c r="AR93" s="79">
        <v>2972.87</v>
      </c>
      <c r="AS93" s="81"/>
      <c r="AT93" s="375"/>
      <c r="AU93" s="375"/>
      <c r="AV93" s="375">
        <v>3547.87</v>
      </c>
      <c r="AW93" s="375">
        <v>0</v>
      </c>
      <c r="AX93" s="375">
        <v>0</v>
      </c>
      <c r="AY93" s="375">
        <v>200</v>
      </c>
      <c r="AZ93" s="375">
        <v>0</v>
      </c>
      <c r="BA93" s="375">
        <v>0</v>
      </c>
      <c r="BB93" s="375">
        <v>200</v>
      </c>
      <c r="BC93" s="375">
        <v>0</v>
      </c>
      <c r="BD93" s="375">
        <v>200</v>
      </c>
      <c r="BE93" s="375">
        <v>0</v>
      </c>
      <c r="BF93" s="375">
        <v>4147.87</v>
      </c>
      <c r="BG93" s="79"/>
      <c r="BH93" s="79"/>
      <c r="BI93" s="79">
        <v>3547.87</v>
      </c>
      <c r="BJ93" s="79">
        <v>0</v>
      </c>
      <c r="BK93" s="79">
        <v>0</v>
      </c>
      <c r="BL93" s="79">
        <v>200</v>
      </c>
      <c r="BM93" s="79">
        <v>0</v>
      </c>
      <c r="BN93" s="79">
        <v>0</v>
      </c>
      <c r="BO93" s="79">
        <v>200</v>
      </c>
      <c r="BP93" s="79">
        <v>0</v>
      </c>
      <c r="BQ93" s="79">
        <v>200</v>
      </c>
      <c r="BR93" s="79">
        <v>0</v>
      </c>
      <c r="BS93" s="79">
        <v>4147.87</v>
      </c>
    </row>
    <row r="94" spans="1:71" ht="15" customHeight="1">
      <c r="A94" s="66" t="s">
        <v>2480</v>
      </c>
      <c r="B94" s="66" t="s">
        <v>816</v>
      </c>
      <c r="C94" s="66" t="s">
        <v>2481</v>
      </c>
      <c r="D94" s="150" t="s">
        <v>1136</v>
      </c>
      <c r="E94" s="482" t="s">
        <v>1566</v>
      </c>
      <c r="F94" s="150" t="s">
        <v>1135</v>
      </c>
      <c r="G94" s="150" t="s">
        <v>1165</v>
      </c>
      <c r="H94" s="150" t="s">
        <v>1135</v>
      </c>
      <c r="I94" s="150" t="s">
        <v>1165</v>
      </c>
      <c r="J94" s="150" t="s">
        <v>1137</v>
      </c>
      <c r="K94" s="511" t="s">
        <v>639</v>
      </c>
      <c r="L94" s="392" t="s">
        <v>818</v>
      </c>
      <c r="M94" s="343"/>
      <c r="N94" s="343"/>
      <c r="O94" s="70" t="s">
        <v>817</v>
      </c>
      <c r="P94" s="346"/>
      <c r="Q94" s="346" t="s">
        <v>1140</v>
      </c>
      <c r="R94" s="346"/>
      <c r="S94" s="150" t="s">
        <v>818</v>
      </c>
      <c r="T94" s="150"/>
      <c r="U94" s="403"/>
      <c r="V94" s="406">
        <v>12119.24</v>
      </c>
      <c r="W94" s="406">
        <v>21230.870000000003</v>
      </c>
      <c r="X94" s="425"/>
      <c r="Y94" s="71"/>
      <c r="Z94" s="426"/>
      <c r="AA94" s="427"/>
      <c r="AB94" s="427">
        <v>12141.44</v>
      </c>
      <c r="AC94" s="428">
        <v>0</v>
      </c>
      <c r="AD94" s="429">
        <v>0</v>
      </c>
      <c r="AE94" s="429">
        <v>10504.75</v>
      </c>
      <c r="AF94" s="360">
        <v>0</v>
      </c>
      <c r="AG94" s="360">
        <v>0</v>
      </c>
      <c r="AH94" s="363">
        <v>3029.81</v>
      </c>
      <c r="AI94" s="360">
        <v>0</v>
      </c>
      <c r="AJ94" s="363">
        <v>3029.81</v>
      </c>
      <c r="AK94" s="360">
        <v>0</v>
      </c>
      <c r="AL94" s="360">
        <v>28705.810000000005</v>
      </c>
      <c r="AM94" s="362">
        <v>7474.9400000000023</v>
      </c>
      <c r="AN94" s="79">
        <v>0</v>
      </c>
      <c r="AO94" s="79">
        <v>10504.75</v>
      </c>
      <c r="AP94" s="374">
        <v>7474.9400000000023</v>
      </c>
      <c r="AQ94" s="80"/>
      <c r="AR94" s="79">
        <v>7474.9400000000023</v>
      </c>
      <c r="AS94" s="81"/>
      <c r="AT94" s="375"/>
      <c r="AU94" s="375"/>
      <c r="AV94" s="375">
        <v>12141.44</v>
      </c>
      <c r="AW94" s="375">
        <v>0</v>
      </c>
      <c r="AX94" s="375">
        <v>0</v>
      </c>
      <c r="AY94" s="375">
        <v>3029.81</v>
      </c>
      <c r="AZ94" s="375">
        <v>0</v>
      </c>
      <c r="BA94" s="375">
        <v>0</v>
      </c>
      <c r="BB94" s="375">
        <v>3029.81</v>
      </c>
      <c r="BC94" s="375">
        <v>0</v>
      </c>
      <c r="BD94" s="375">
        <v>3029.81</v>
      </c>
      <c r="BE94" s="375">
        <v>0</v>
      </c>
      <c r="BF94" s="375">
        <v>21230.870000000003</v>
      </c>
      <c r="BG94" s="79"/>
      <c r="BH94" s="79"/>
      <c r="BI94" s="79">
        <v>12141.44</v>
      </c>
      <c r="BJ94" s="79">
        <v>0</v>
      </c>
      <c r="BK94" s="79">
        <v>0</v>
      </c>
      <c r="BL94" s="79">
        <v>3029.81</v>
      </c>
      <c r="BM94" s="79">
        <v>0</v>
      </c>
      <c r="BN94" s="79">
        <v>0</v>
      </c>
      <c r="BO94" s="79">
        <v>3029.81</v>
      </c>
      <c r="BP94" s="79">
        <v>0</v>
      </c>
      <c r="BQ94" s="79">
        <v>3029.81</v>
      </c>
      <c r="BR94" s="79">
        <v>0</v>
      </c>
      <c r="BS94" s="79">
        <v>21230.870000000003</v>
      </c>
    </row>
    <row r="95" spans="1:71" ht="15" customHeight="1">
      <c r="A95" s="66" t="s">
        <v>2522</v>
      </c>
      <c r="B95" s="66" t="s">
        <v>850</v>
      </c>
      <c r="C95" s="66" t="s">
        <v>850</v>
      </c>
      <c r="D95" s="150" t="s">
        <v>1136</v>
      </c>
      <c r="E95" s="482" t="s">
        <v>1566</v>
      </c>
      <c r="F95" s="150" t="s">
        <v>1135</v>
      </c>
      <c r="G95" s="150" t="s">
        <v>1135</v>
      </c>
      <c r="H95" s="150" t="s">
        <v>1135</v>
      </c>
      <c r="I95" s="150" t="s">
        <v>1135</v>
      </c>
      <c r="J95" s="150" t="s">
        <v>1137</v>
      </c>
      <c r="K95" s="511" t="s">
        <v>639</v>
      </c>
      <c r="L95" s="392" t="s">
        <v>2523</v>
      </c>
      <c r="M95" s="343"/>
      <c r="N95" s="343"/>
      <c r="O95" s="70" t="s">
        <v>851</v>
      </c>
      <c r="P95" s="346" t="s">
        <v>1153</v>
      </c>
      <c r="Q95" s="343"/>
      <c r="R95" s="346"/>
      <c r="S95" s="150" t="s">
        <v>64</v>
      </c>
      <c r="T95" s="150"/>
      <c r="U95" s="403"/>
      <c r="V95" s="406">
        <v>1527544</v>
      </c>
      <c r="W95" s="406">
        <v>1513628.4099999997</v>
      </c>
      <c r="X95" s="425"/>
      <c r="Y95" s="425"/>
      <c r="Z95" s="426"/>
      <c r="AA95" s="427"/>
      <c r="AB95" s="427">
        <v>367969.99</v>
      </c>
      <c r="AC95" s="428">
        <v>0</v>
      </c>
      <c r="AD95" s="429">
        <v>254590.76</v>
      </c>
      <c r="AE95" s="429">
        <v>127295.38</v>
      </c>
      <c r="AF95" s="363">
        <v>127295.38</v>
      </c>
      <c r="AG95" s="363">
        <v>127295.38</v>
      </c>
      <c r="AH95" s="363">
        <v>127295.38</v>
      </c>
      <c r="AI95" s="363">
        <v>127295.38</v>
      </c>
      <c r="AJ95" s="363">
        <v>127295.38</v>
      </c>
      <c r="AK95" s="363">
        <v>127295.38</v>
      </c>
      <c r="AL95" s="360">
        <v>1513628.4099999997</v>
      </c>
      <c r="AM95" s="362">
        <v>0</v>
      </c>
      <c r="AN95" s="79">
        <v>127295.38</v>
      </c>
      <c r="AO95" s="79">
        <v>0</v>
      </c>
      <c r="AP95" s="374">
        <v>0</v>
      </c>
      <c r="AQ95" s="80"/>
      <c r="AR95" s="79">
        <v>0</v>
      </c>
      <c r="AS95" s="81"/>
      <c r="AT95" s="375"/>
      <c r="AU95" s="375"/>
      <c r="AV95" s="375">
        <v>367969.99</v>
      </c>
      <c r="AW95" s="375">
        <v>127295.38</v>
      </c>
      <c r="AX95" s="375">
        <v>127295.38</v>
      </c>
      <c r="AY95" s="375">
        <v>127295.38</v>
      </c>
      <c r="AZ95" s="375">
        <v>127295.38</v>
      </c>
      <c r="BA95" s="375">
        <v>127295.38</v>
      </c>
      <c r="BB95" s="375">
        <v>127295.38</v>
      </c>
      <c r="BC95" s="375">
        <v>127295.38</v>
      </c>
      <c r="BD95" s="375">
        <v>127295.38</v>
      </c>
      <c r="BE95" s="375">
        <v>127295.38</v>
      </c>
      <c r="BF95" s="375">
        <v>1513628.4099999997</v>
      </c>
      <c r="BG95" s="79"/>
      <c r="BH95" s="79"/>
      <c r="BI95" s="79">
        <v>367969.99</v>
      </c>
      <c r="BJ95" s="79">
        <v>127295.38</v>
      </c>
      <c r="BK95" s="79">
        <v>127295.38</v>
      </c>
      <c r="BL95" s="79">
        <v>127295.38</v>
      </c>
      <c r="BM95" s="79">
        <v>127295.38</v>
      </c>
      <c r="BN95" s="79">
        <v>127295.38</v>
      </c>
      <c r="BO95" s="79">
        <v>127295.38</v>
      </c>
      <c r="BP95" s="79">
        <v>127295.38</v>
      </c>
      <c r="BQ95" s="79">
        <v>127295.38</v>
      </c>
      <c r="BR95" s="79">
        <v>127295.38</v>
      </c>
      <c r="BS95" s="79">
        <v>1513628.4099999997</v>
      </c>
    </row>
    <row r="96" spans="1:71" ht="15" customHeight="1">
      <c r="A96" s="66" t="s">
        <v>2524</v>
      </c>
      <c r="B96" s="66" t="s">
        <v>850</v>
      </c>
      <c r="C96" s="66" t="s">
        <v>2525</v>
      </c>
      <c r="D96" s="150" t="s">
        <v>1136</v>
      </c>
      <c r="E96" s="482" t="s">
        <v>1566</v>
      </c>
      <c r="F96" s="150" t="s">
        <v>1135</v>
      </c>
      <c r="G96" s="150" t="s">
        <v>1145</v>
      </c>
      <c r="H96" s="150" t="s">
        <v>1135</v>
      </c>
      <c r="I96" s="150" t="s">
        <v>1145</v>
      </c>
      <c r="J96" s="150" t="s">
        <v>1137</v>
      </c>
      <c r="K96" s="511" t="s">
        <v>639</v>
      </c>
      <c r="L96" s="392" t="s">
        <v>2523</v>
      </c>
      <c r="M96" s="343"/>
      <c r="N96" s="343"/>
      <c r="O96" s="70" t="s">
        <v>851</v>
      </c>
      <c r="P96" s="346" t="s">
        <v>1153</v>
      </c>
      <c r="Q96" s="343"/>
      <c r="R96" s="346"/>
      <c r="S96" s="150" t="s">
        <v>64</v>
      </c>
      <c r="T96" s="150"/>
      <c r="U96" s="404"/>
      <c r="V96" s="407">
        <v>0</v>
      </c>
      <c r="W96" s="407">
        <v>0</v>
      </c>
      <c r="X96" s="425"/>
      <c r="Y96" s="425"/>
      <c r="Z96" s="426">
        <v>127295.39</v>
      </c>
      <c r="AA96" s="427">
        <v>113379.22</v>
      </c>
      <c r="AB96" s="427">
        <v>-240674.61</v>
      </c>
      <c r="AC96" s="428">
        <v>0</v>
      </c>
      <c r="AD96" s="429">
        <v>0</v>
      </c>
      <c r="AE96" s="429">
        <v>0</v>
      </c>
      <c r="AF96" s="363"/>
      <c r="AG96" s="363"/>
      <c r="AH96" s="363"/>
      <c r="AI96" s="363"/>
      <c r="AJ96" s="363"/>
      <c r="AK96" s="363"/>
      <c r="AL96" s="360">
        <v>0</v>
      </c>
      <c r="AM96" s="362">
        <v>0</v>
      </c>
      <c r="AN96" s="79"/>
      <c r="AO96" s="79">
        <v>0</v>
      </c>
      <c r="AP96" s="374">
        <v>0</v>
      </c>
      <c r="AQ96" s="80"/>
      <c r="AR96" s="79">
        <v>0</v>
      </c>
      <c r="AS96" s="81"/>
      <c r="AT96" s="375">
        <v>127295.39</v>
      </c>
      <c r="AU96" s="375">
        <v>113379.22</v>
      </c>
      <c r="AV96" s="375">
        <v>-240674.61</v>
      </c>
      <c r="AW96" s="375"/>
      <c r="AX96" s="375"/>
      <c r="AY96" s="375"/>
      <c r="AZ96" s="375"/>
      <c r="BA96" s="375"/>
      <c r="BB96" s="375"/>
      <c r="BC96" s="375"/>
      <c r="BD96" s="375"/>
      <c r="BE96" s="375"/>
      <c r="BF96" s="375">
        <v>0</v>
      </c>
      <c r="BG96" s="79">
        <v>127295.39</v>
      </c>
      <c r="BH96" s="79">
        <v>113379.22</v>
      </c>
      <c r="BI96" s="79">
        <v>-240674.61</v>
      </c>
      <c r="BJ96" s="79"/>
      <c r="BK96" s="79"/>
      <c r="BL96" s="79"/>
      <c r="BM96" s="79"/>
      <c r="BN96" s="79"/>
      <c r="BO96" s="79"/>
      <c r="BP96" s="79"/>
      <c r="BQ96" s="79"/>
      <c r="BR96" s="79"/>
      <c r="BS96" s="79">
        <v>0</v>
      </c>
    </row>
    <row r="97" spans="1:71" ht="15" customHeight="1">
      <c r="A97" s="66" t="s">
        <v>2526</v>
      </c>
      <c r="B97" s="66" t="s">
        <v>852</v>
      </c>
      <c r="C97" s="66" t="s">
        <v>852</v>
      </c>
      <c r="D97" s="150" t="s">
        <v>1136</v>
      </c>
      <c r="E97" s="482" t="s">
        <v>1566</v>
      </c>
      <c r="F97" s="150" t="s">
        <v>1135</v>
      </c>
      <c r="G97" s="150" t="s">
        <v>1135</v>
      </c>
      <c r="H97" s="150" t="s">
        <v>1135</v>
      </c>
      <c r="I97" s="150" t="s">
        <v>1135</v>
      </c>
      <c r="J97" s="150" t="s">
        <v>1137</v>
      </c>
      <c r="K97" s="511" t="s">
        <v>639</v>
      </c>
      <c r="L97" s="392" t="s">
        <v>1947</v>
      </c>
      <c r="M97" s="343"/>
      <c r="N97" s="343"/>
      <c r="O97" s="70" t="s">
        <v>486</v>
      </c>
      <c r="P97" s="346" t="s">
        <v>1153</v>
      </c>
      <c r="Q97" s="343"/>
      <c r="R97" s="346"/>
      <c r="S97" s="150" t="s">
        <v>487</v>
      </c>
      <c r="T97" s="150"/>
      <c r="U97" s="403"/>
      <c r="V97" s="406">
        <v>-937488</v>
      </c>
      <c r="W97" s="406">
        <v>-925916</v>
      </c>
      <c r="X97" s="425"/>
      <c r="Y97" s="425"/>
      <c r="Z97" s="426"/>
      <c r="AA97" s="427"/>
      <c r="AB97" s="427">
        <v>-222800</v>
      </c>
      <c r="AC97" s="428">
        <v>0</v>
      </c>
      <c r="AD97" s="429">
        <v>-128741.87</v>
      </c>
      <c r="AE97" s="429">
        <v>-52011.25</v>
      </c>
      <c r="AF97" s="363">
        <v>-78124</v>
      </c>
      <c r="AG97" s="363">
        <v>-78124</v>
      </c>
      <c r="AH97" s="363">
        <v>-78124</v>
      </c>
      <c r="AI97" s="363">
        <v>-78124</v>
      </c>
      <c r="AJ97" s="363">
        <v>-78124</v>
      </c>
      <c r="AK97" s="363">
        <v>-78124</v>
      </c>
      <c r="AL97" s="360">
        <v>-872297.12</v>
      </c>
      <c r="AM97" s="362">
        <v>53618.880000000005</v>
      </c>
      <c r="AN97" s="79">
        <v>-78124</v>
      </c>
      <c r="AO97" s="79">
        <v>26112.75</v>
      </c>
      <c r="AP97" s="374">
        <v>53618.880000000005</v>
      </c>
      <c r="AQ97" s="80"/>
      <c r="AR97" s="79">
        <v>53618.880000000005</v>
      </c>
      <c r="AS97" s="81"/>
      <c r="AT97" s="375"/>
      <c r="AU97" s="375"/>
      <c r="AV97" s="375">
        <v>-222800</v>
      </c>
      <c r="AW97" s="375">
        <v>-78124</v>
      </c>
      <c r="AX97" s="375">
        <v>-78124</v>
      </c>
      <c r="AY97" s="375">
        <v>-78124</v>
      </c>
      <c r="AZ97" s="375">
        <v>-78124</v>
      </c>
      <c r="BA97" s="375">
        <v>-78124</v>
      </c>
      <c r="BB97" s="375">
        <v>-78124</v>
      </c>
      <c r="BC97" s="375">
        <v>-78124</v>
      </c>
      <c r="BD97" s="375">
        <v>-78124</v>
      </c>
      <c r="BE97" s="375">
        <v>-78124</v>
      </c>
      <c r="BF97" s="375">
        <v>-925916</v>
      </c>
      <c r="BG97" s="79"/>
      <c r="BH97" s="79"/>
      <c r="BI97" s="79">
        <v>-222800</v>
      </c>
      <c r="BJ97" s="79">
        <v>-78124</v>
      </c>
      <c r="BK97" s="79">
        <v>-78124</v>
      </c>
      <c r="BL97" s="79">
        <v>-78124</v>
      </c>
      <c r="BM97" s="79">
        <v>-78124</v>
      </c>
      <c r="BN97" s="79">
        <v>-78124</v>
      </c>
      <c r="BO97" s="79">
        <v>-78124</v>
      </c>
      <c r="BP97" s="79">
        <v>-78124</v>
      </c>
      <c r="BQ97" s="79">
        <v>-78124</v>
      </c>
      <c r="BR97" s="79">
        <v>-78124</v>
      </c>
      <c r="BS97" s="79">
        <v>-925916</v>
      </c>
    </row>
    <row r="98" spans="1:71" ht="15" customHeight="1">
      <c r="A98" s="66" t="s">
        <v>2527</v>
      </c>
      <c r="B98" s="66" t="s">
        <v>852</v>
      </c>
      <c r="C98" s="66" t="s">
        <v>2528</v>
      </c>
      <c r="D98" s="150" t="s">
        <v>1136</v>
      </c>
      <c r="E98" s="482" t="s">
        <v>1566</v>
      </c>
      <c r="F98" s="150" t="s">
        <v>1135</v>
      </c>
      <c r="G98" s="150" t="s">
        <v>1145</v>
      </c>
      <c r="H98" s="150" t="s">
        <v>1135</v>
      </c>
      <c r="I98" s="150" t="s">
        <v>1145</v>
      </c>
      <c r="J98" s="150" t="s">
        <v>1137</v>
      </c>
      <c r="K98" s="511" t="s">
        <v>639</v>
      </c>
      <c r="L98" s="392" t="s">
        <v>1947</v>
      </c>
      <c r="M98" s="343"/>
      <c r="N98" s="343"/>
      <c r="O98" s="70" t="s">
        <v>486</v>
      </c>
      <c r="P98" s="346" t="s">
        <v>1153</v>
      </c>
      <c r="Q98" s="343"/>
      <c r="R98" s="346"/>
      <c r="S98" s="150" t="s">
        <v>487</v>
      </c>
      <c r="T98" s="150"/>
      <c r="U98" s="404"/>
      <c r="V98" s="407">
        <v>0</v>
      </c>
      <c r="W98" s="407">
        <v>0</v>
      </c>
      <c r="X98" s="425"/>
      <c r="Y98" s="425"/>
      <c r="Z98" s="426"/>
      <c r="AA98" s="427">
        <v>-158800</v>
      </c>
      <c r="AB98" s="427">
        <v>158800</v>
      </c>
      <c r="AC98" s="428">
        <v>0</v>
      </c>
      <c r="AD98" s="429">
        <v>0</v>
      </c>
      <c r="AE98" s="429">
        <v>0</v>
      </c>
      <c r="AF98" s="363"/>
      <c r="AG98" s="363"/>
      <c r="AH98" s="363"/>
      <c r="AI98" s="363"/>
      <c r="AJ98" s="363"/>
      <c r="AK98" s="363"/>
      <c r="AL98" s="360">
        <v>0</v>
      </c>
      <c r="AM98" s="362">
        <v>0</v>
      </c>
      <c r="AN98" s="79"/>
      <c r="AO98" s="79">
        <v>0</v>
      </c>
      <c r="AP98" s="374">
        <v>0</v>
      </c>
      <c r="AQ98" s="80"/>
      <c r="AR98" s="79">
        <v>0</v>
      </c>
      <c r="AS98" s="81"/>
      <c r="AT98" s="375"/>
      <c r="AU98" s="375">
        <v>-158800</v>
      </c>
      <c r="AV98" s="375">
        <v>158800</v>
      </c>
      <c r="AW98" s="375"/>
      <c r="AX98" s="375"/>
      <c r="AY98" s="375"/>
      <c r="AZ98" s="375"/>
      <c r="BA98" s="375"/>
      <c r="BB98" s="375"/>
      <c r="BC98" s="375"/>
      <c r="BD98" s="375"/>
      <c r="BE98" s="375"/>
      <c r="BF98" s="375">
        <v>0</v>
      </c>
      <c r="BG98" s="79"/>
      <c r="BH98" s="79">
        <v>-158800</v>
      </c>
      <c r="BI98" s="79">
        <v>158800</v>
      </c>
      <c r="BJ98" s="79"/>
      <c r="BK98" s="79"/>
      <c r="BL98" s="79"/>
      <c r="BM98" s="79"/>
      <c r="BN98" s="79"/>
      <c r="BO98" s="79"/>
      <c r="BP98" s="79"/>
      <c r="BQ98" s="79"/>
      <c r="BR98" s="79"/>
      <c r="BS98" s="79">
        <v>0</v>
      </c>
    </row>
    <row r="99" spans="1:71" ht="15" customHeight="1">
      <c r="A99" s="66" t="s">
        <v>2594</v>
      </c>
      <c r="B99" s="66" t="s">
        <v>899</v>
      </c>
      <c r="C99" s="66" t="s">
        <v>899</v>
      </c>
      <c r="D99" s="150" t="s">
        <v>1136</v>
      </c>
      <c r="E99" s="482" t="s">
        <v>1566</v>
      </c>
      <c r="F99" s="150" t="s">
        <v>1135</v>
      </c>
      <c r="G99" s="150" t="s">
        <v>1135</v>
      </c>
      <c r="H99" s="150" t="s">
        <v>1135</v>
      </c>
      <c r="I99" s="150" t="s">
        <v>1135</v>
      </c>
      <c r="J99" s="150" t="s">
        <v>1137</v>
      </c>
      <c r="K99" s="511" t="s">
        <v>639</v>
      </c>
      <c r="L99" s="392" t="s">
        <v>1327</v>
      </c>
      <c r="M99" s="343"/>
      <c r="N99" s="343"/>
      <c r="O99" s="70" t="s">
        <v>147</v>
      </c>
      <c r="P99" s="346"/>
      <c r="Q99" s="343"/>
      <c r="R99" s="346"/>
      <c r="S99" s="150" t="s">
        <v>25</v>
      </c>
      <c r="T99" s="150"/>
      <c r="U99" s="403"/>
      <c r="V99" s="406">
        <v>0</v>
      </c>
      <c r="W99" s="406">
        <v>0.3</v>
      </c>
      <c r="X99" s="425"/>
      <c r="Y99" s="71"/>
      <c r="Z99" s="426">
        <v>0.32</v>
      </c>
      <c r="AA99" s="427">
        <v>-0.45</v>
      </c>
      <c r="AB99" s="427">
        <v>0.43</v>
      </c>
      <c r="AC99" s="428">
        <v>-0.34</v>
      </c>
      <c r="AD99" s="429">
        <v>30694.750000000004</v>
      </c>
      <c r="AE99" s="429">
        <v>0.96</v>
      </c>
      <c r="AF99" s="360">
        <v>0</v>
      </c>
      <c r="AG99" s="360">
        <v>0</v>
      </c>
      <c r="AH99" s="360">
        <v>0</v>
      </c>
      <c r="AI99" s="360">
        <v>0</v>
      </c>
      <c r="AJ99" s="360">
        <v>0</v>
      </c>
      <c r="AK99" s="360">
        <v>0</v>
      </c>
      <c r="AL99" s="360">
        <v>30695.670000000002</v>
      </c>
      <c r="AM99" s="362">
        <v>30695.370000000003</v>
      </c>
      <c r="AN99" s="79">
        <v>0</v>
      </c>
      <c r="AO99" s="79">
        <v>0.96</v>
      </c>
      <c r="AP99" s="374">
        <v>30695.370000000003</v>
      </c>
      <c r="AQ99" s="80"/>
      <c r="AR99" s="79">
        <v>30695.370000000003</v>
      </c>
      <c r="AS99" s="81"/>
      <c r="AT99" s="375">
        <v>0.32</v>
      </c>
      <c r="AU99" s="375">
        <v>-0.45</v>
      </c>
      <c r="AV99" s="375">
        <v>0.43</v>
      </c>
      <c r="AW99" s="375">
        <v>0</v>
      </c>
      <c r="AX99" s="375">
        <v>0</v>
      </c>
      <c r="AY99" s="375">
        <v>0</v>
      </c>
      <c r="AZ99" s="375">
        <v>0</v>
      </c>
      <c r="BA99" s="375">
        <v>0</v>
      </c>
      <c r="BB99" s="375">
        <v>0</v>
      </c>
      <c r="BC99" s="375">
        <v>0</v>
      </c>
      <c r="BD99" s="375">
        <v>0</v>
      </c>
      <c r="BE99" s="375">
        <v>0</v>
      </c>
      <c r="BF99" s="375">
        <v>0.3</v>
      </c>
      <c r="BG99" s="79">
        <v>0.32</v>
      </c>
      <c r="BH99" s="79">
        <v>-0.45</v>
      </c>
      <c r="BI99" s="79">
        <v>0.43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0</v>
      </c>
      <c r="BP99" s="79">
        <v>0</v>
      </c>
      <c r="BQ99" s="79">
        <v>0</v>
      </c>
      <c r="BR99" s="79">
        <v>0</v>
      </c>
      <c r="BS99" s="79">
        <v>0.3</v>
      </c>
    </row>
    <row r="100" spans="1:71" ht="15" customHeight="1">
      <c r="A100" s="66" t="s">
        <v>2595</v>
      </c>
      <c r="B100" s="66" t="s">
        <v>899</v>
      </c>
      <c r="C100" s="66" t="s">
        <v>2596</v>
      </c>
      <c r="D100" s="150" t="s">
        <v>1136</v>
      </c>
      <c r="E100" s="482" t="s">
        <v>1566</v>
      </c>
      <c r="F100" s="150" t="s">
        <v>1135</v>
      </c>
      <c r="G100" s="150" t="s">
        <v>1135</v>
      </c>
      <c r="H100" s="150" t="s">
        <v>1135</v>
      </c>
      <c r="I100" s="150" t="s">
        <v>1137</v>
      </c>
      <c r="J100" s="150" t="s">
        <v>1137</v>
      </c>
      <c r="K100" s="511" t="s">
        <v>639</v>
      </c>
      <c r="L100" s="392" t="s">
        <v>1327</v>
      </c>
      <c r="M100" s="343"/>
      <c r="N100" s="343"/>
      <c r="O100" s="70" t="s">
        <v>147</v>
      </c>
      <c r="P100" s="346"/>
      <c r="Q100" s="343"/>
      <c r="R100" s="346"/>
      <c r="S100" s="150" t="s">
        <v>25</v>
      </c>
      <c r="T100" s="1" t="s">
        <v>1141</v>
      </c>
      <c r="U100" s="403"/>
      <c r="V100" s="406">
        <v>0</v>
      </c>
      <c r="W100" s="406">
        <v>-1868.9199999999998</v>
      </c>
      <c r="X100" s="425"/>
      <c r="Y100" s="71"/>
      <c r="Z100" s="426">
        <v>0.19</v>
      </c>
      <c r="AA100" s="427">
        <v>-0.3</v>
      </c>
      <c r="AB100" s="427">
        <v>-1868.81</v>
      </c>
      <c r="AC100" s="428">
        <v>0</v>
      </c>
      <c r="AD100" s="429">
        <v>0</v>
      </c>
      <c r="AE100" s="429">
        <v>11.07</v>
      </c>
      <c r="AF100" s="360">
        <v>0</v>
      </c>
      <c r="AG100" s="360">
        <v>0</v>
      </c>
      <c r="AH100" s="360">
        <v>0</v>
      </c>
      <c r="AI100" s="360">
        <v>0</v>
      </c>
      <c r="AJ100" s="360">
        <v>0</v>
      </c>
      <c r="AK100" s="360">
        <v>0</v>
      </c>
      <c r="AL100" s="360">
        <v>-1857.85</v>
      </c>
      <c r="AM100" s="362">
        <v>11.069999999999936</v>
      </c>
      <c r="AN100" s="79">
        <v>0</v>
      </c>
      <c r="AO100" s="79">
        <v>11.07</v>
      </c>
      <c r="AP100" s="374">
        <v>11.069999999999936</v>
      </c>
      <c r="AQ100" s="80"/>
      <c r="AR100" s="79">
        <v>11.069999999999936</v>
      </c>
      <c r="AS100" s="81"/>
      <c r="AT100" s="375">
        <v>0.19</v>
      </c>
      <c r="AU100" s="375">
        <v>-0.3</v>
      </c>
      <c r="AV100" s="375">
        <v>-1868.81</v>
      </c>
      <c r="AW100" s="375">
        <v>0</v>
      </c>
      <c r="AX100" s="375">
        <v>0</v>
      </c>
      <c r="AY100" s="375">
        <v>0</v>
      </c>
      <c r="AZ100" s="375">
        <v>0</v>
      </c>
      <c r="BA100" s="375">
        <v>0</v>
      </c>
      <c r="BB100" s="375">
        <v>0</v>
      </c>
      <c r="BC100" s="375">
        <v>0</v>
      </c>
      <c r="BD100" s="375">
        <v>0</v>
      </c>
      <c r="BE100" s="375">
        <v>0</v>
      </c>
      <c r="BF100" s="375">
        <v>-1868.9199999999998</v>
      </c>
      <c r="BG100" s="79">
        <v>0.19</v>
      </c>
      <c r="BH100" s="79">
        <v>-0.3</v>
      </c>
      <c r="BI100" s="79">
        <v>-1868.81</v>
      </c>
      <c r="BJ100" s="79">
        <v>0</v>
      </c>
      <c r="BK100" s="79">
        <v>0</v>
      </c>
      <c r="BL100" s="79">
        <v>0</v>
      </c>
      <c r="BM100" s="79">
        <v>0</v>
      </c>
      <c r="BN100" s="79">
        <v>0</v>
      </c>
      <c r="BO100" s="79">
        <v>0</v>
      </c>
      <c r="BP100" s="79">
        <v>0</v>
      </c>
      <c r="BQ100" s="79">
        <v>0</v>
      </c>
      <c r="BR100" s="79">
        <v>0</v>
      </c>
      <c r="BS100" s="79">
        <v>-1868.9199999999998</v>
      </c>
    </row>
    <row r="101" spans="1:71" ht="15" customHeight="1">
      <c r="A101" s="66" t="s">
        <v>2597</v>
      </c>
      <c r="B101" s="66" t="s">
        <v>899</v>
      </c>
      <c r="C101" s="66" t="s">
        <v>2598</v>
      </c>
      <c r="D101" s="150" t="s">
        <v>1136</v>
      </c>
      <c r="E101" s="482" t="s">
        <v>1566</v>
      </c>
      <c r="F101" s="150" t="s">
        <v>1135</v>
      </c>
      <c r="G101" s="150" t="s">
        <v>1145</v>
      </c>
      <c r="H101" s="150" t="s">
        <v>1135</v>
      </c>
      <c r="I101" s="150" t="s">
        <v>1145</v>
      </c>
      <c r="J101" s="150" t="s">
        <v>1137</v>
      </c>
      <c r="K101" s="511" t="s">
        <v>639</v>
      </c>
      <c r="L101" s="392" t="s">
        <v>1327</v>
      </c>
      <c r="M101" s="343"/>
      <c r="N101" s="343"/>
      <c r="O101" s="70" t="s">
        <v>147</v>
      </c>
      <c r="P101" s="346"/>
      <c r="Q101" s="343"/>
      <c r="R101" s="346"/>
      <c r="S101" s="150" t="s">
        <v>25</v>
      </c>
      <c r="T101" s="150"/>
      <c r="U101" s="403"/>
      <c r="V101" s="406">
        <v>0</v>
      </c>
      <c r="W101" s="406">
        <v>-0.26</v>
      </c>
      <c r="X101" s="425"/>
      <c r="Y101" s="71"/>
      <c r="Z101" s="426">
        <v>-0.15</v>
      </c>
      <c r="AA101" s="427">
        <v>0.31</v>
      </c>
      <c r="AB101" s="427">
        <v>-0.42</v>
      </c>
      <c r="AC101" s="428">
        <v>-8.9999999999918145E-2</v>
      </c>
      <c r="AD101" s="429">
        <v>0.44</v>
      </c>
      <c r="AE101" s="429">
        <v>-0.49</v>
      </c>
      <c r="AF101" s="360">
        <v>0</v>
      </c>
      <c r="AG101" s="360">
        <v>0</v>
      </c>
      <c r="AH101" s="360">
        <v>0</v>
      </c>
      <c r="AI101" s="360">
        <v>0</v>
      </c>
      <c r="AJ101" s="360">
        <v>0</v>
      </c>
      <c r="AK101" s="360">
        <v>0</v>
      </c>
      <c r="AL101" s="367">
        <v>-0.39999999999991814</v>
      </c>
      <c r="AM101" s="362">
        <v>-0.13999999999991813</v>
      </c>
      <c r="AN101" s="79">
        <v>0</v>
      </c>
      <c r="AO101" s="79">
        <v>-0.49</v>
      </c>
      <c r="AP101" s="374">
        <v>-0.13999999999991813</v>
      </c>
      <c r="AQ101" s="80"/>
      <c r="AR101" s="79">
        <v>-0.13999999999991813</v>
      </c>
      <c r="AS101" s="81"/>
      <c r="AT101" s="375">
        <v>-0.15</v>
      </c>
      <c r="AU101" s="375">
        <v>0.31</v>
      </c>
      <c r="AV101" s="375">
        <v>-0.42</v>
      </c>
      <c r="AW101" s="375">
        <v>0</v>
      </c>
      <c r="AX101" s="375">
        <v>0</v>
      </c>
      <c r="AY101" s="375">
        <v>0</v>
      </c>
      <c r="AZ101" s="375">
        <v>0</v>
      </c>
      <c r="BA101" s="375">
        <v>0</v>
      </c>
      <c r="BB101" s="375">
        <v>0</v>
      </c>
      <c r="BC101" s="375">
        <v>0</v>
      </c>
      <c r="BD101" s="375">
        <v>0</v>
      </c>
      <c r="BE101" s="375">
        <v>0</v>
      </c>
      <c r="BF101" s="375">
        <v>-0.26</v>
      </c>
      <c r="BG101" s="79">
        <v>-0.15</v>
      </c>
      <c r="BH101" s="79">
        <v>0.31</v>
      </c>
      <c r="BI101" s="79">
        <v>-0.42</v>
      </c>
      <c r="BJ101" s="79">
        <v>0</v>
      </c>
      <c r="BK101" s="79">
        <v>0</v>
      </c>
      <c r="BL101" s="79">
        <v>0</v>
      </c>
      <c r="BM101" s="79">
        <v>0</v>
      </c>
      <c r="BN101" s="79">
        <v>0</v>
      </c>
      <c r="BO101" s="79">
        <v>0</v>
      </c>
      <c r="BP101" s="79">
        <v>0</v>
      </c>
      <c r="BQ101" s="79">
        <v>0</v>
      </c>
      <c r="BR101" s="79">
        <v>0</v>
      </c>
      <c r="BS101" s="79">
        <v>-0.26</v>
      </c>
    </row>
    <row r="102" spans="1:71" ht="15" customHeight="1">
      <c r="A102" s="66" t="s">
        <v>2599</v>
      </c>
      <c r="B102" s="66" t="s">
        <v>899</v>
      </c>
      <c r="C102" s="66" t="s">
        <v>2600</v>
      </c>
      <c r="D102" s="150" t="s">
        <v>1136</v>
      </c>
      <c r="E102" s="482" t="s">
        <v>1566</v>
      </c>
      <c r="F102" s="150" t="s">
        <v>1135</v>
      </c>
      <c r="G102" s="150" t="s">
        <v>1156</v>
      </c>
      <c r="H102" s="150" t="s">
        <v>1135</v>
      </c>
      <c r="I102" s="150" t="s">
        <v>1156</v>
      </c>
      <c r="J102" s="150" t="s">
        <v>1137</v>
      </c>
      <c r="K102" s="511" t="s">
        <v>639</v>
      </c>
      <c r="L102" s="392" t="s">
        <v>1327</v>
      </c>
      <c r="M102" s="343"/>
      <c r="N102" s="343"/>
      <c r="O102" s="70" t="s">
        <v>147</v>
      </c>
      <c r="P102" s="346"/>
      <c r="Q102" s="343"/>
      <c r="R102" s="346"/>
      <c r="S102" s="150" t="s">
        <v>25</v>
      </c>
      <c r="T102" s="150"/>
      <c r="U102" s="403"/>
      <c r="V102" s="406">
        <v>0</v>
      </c>
      <c r="W102" s="406">
        <v>0.26</v>
      </c>
      <c r="X102" s="425"/>
      <c r="Y102" s="71"/>
      <c r="Z102" s="426"/>
      <c r="AA102" s="427"/>
      <c r="AB102" s="427">
        <v>0.26</v>
      </c>
      <c r="AC102" s="428">
        <v>0</v>
      </c>
      <c r="AD102" s="429">
        <v>0</v>
      </c>
      <c r="AE102" s="429">
        <v>0</v>
      </c>
      <c r="AF102" s="360">
        <v>0</v>
      </c>
      <c r="AG102" s="360">
        <v>0</v>
      </c>
      <c r="AH102" s="360">
        <v>0</v>
      </c>
      <c r="AI102" s="360">
        <v>0</v>
      </c>
      <c r="AJ102" s="360">
        <v>0</v>
      </c>
      <c r="AK102" s="360">
        <v>0</v>
      </c>
      <c r="AL102" s="360">
        <v>0.26</v>
      </c>
      <c r="AM102" s="362">
        <v>0</v>
      </c>
      <c r="AN102" s="79">
        <v>0</v>
      </c>
      <c r="AO102" s="79">
        <v>0</v>
      </c>
      <c r="AP102" s="374">
        <v>0</v>
      </c>
      <c r="AQ102" s="80"/>
      <c r="AR102" s="79">
        <v>0</v>
      </c>
      <c r="AS102" s="81"/>
      <c r="AT102" s="375"/>
      <c r="AU102" s="375"/>
      <c r="AV102" s="375">
        <v>0.26</v>
      </c>
      <c r="AW102" s="375">
        <v>0</v>
      </c>
      <c r="AX102" s="375">
        <v>0</v>
      </c>
      <c r="AY102" s="375">
        <v>0</v>
      </c>
      <c r="AZ102" s="375">
        <v>0</v>
      </c>
      <c r="BA102" s="375">
        <v>0</v>
      </c>
      <c r="BB102" s="375">
        <v>0</v>
      </c>
      <c r="BC102" s="375">
        <v>0</v>
      </c>
      <c r="BD102" s="375">
        <v>0</v>
      </c>
      <c r="BE102" s="375">
        <v>0</v>
      </c>
      <c r="BF102" s="375">
        <v>0.26</v>
      </c>
      <c r="BG102" s="79"/>
      <c r="BH102" s="79"/>
      <c r="BI102" s="79">
        <v>0.26</v>
      </c>
      <c r="BJ102" s="79">
        <v>0</v>
      </c>
      <c r="BK102" s="79">
        <v>0</v>
      </c>
      <c r="BL102" s="79">
        <v>0</v>
      </c>
      <c r="BM102" s="79">
        <v>0</v>
      </c>
      <c r="BN102" s="79">
        <v>0</v>
      </c>
      <c r="BO102" s="79">
        <v>0</v>
      </c>
      <c r="BP102" s="79">
        <v>0</v>
      </c>
      <c r="BQ102" s="79">
        <v>0</v>
      </c>
      <c r="BR102" s="79">
        <v>0</v>
      </c>
      <c r="BS102" s="79">
        <v>0.26</v>
      </c>
    </row>
    <row r="103" spans="1:71" ht="15" customHeight="1">
      <c r="A103" s="66" t="s">
        <v>2601</v>
      </c>
      <c r="B103" s="66" t="s">
        <v>899</v>
      </c>
      <c r="C103" s="66" t="s">
        <v>2602</v>
      </c>
      <c r="D103" s="150" t="s">
        <v>1136</v>
      </c>
      <c r="E103" s="482" t="s">
        <v>1566</v>
      </c>
      <c r="F103" s="150" t="s">
        <v>1135</v>
      </c>
      <c r="G103" s="150" t="s">
        <v>1161</v>
      </c>
      <c r="H103" s="150" t="s">
        <v>1135</v>
      </c>
      <c r="I103" s="150" t="s">
        <v>1161</v>
      </c>
      <c r="J103" s="150" t="s">
        <v>1137</v>
      </c>
      <c r="K103" s="511" t="s">
        <v>639</v>
      </c>
      <c r="L103" s="392" t="s">
        <v>1327</v>
      </c>
      <c r="M103" s="343"/>
      <c r="N103" s="343"/>
      <c r="O103" s="70" t="s">
        <v>147</v>
      </c>
      <c r="P103" s="346"/>
      <c r="Q103" s="343"/>
      <c r="R103" s="346"/>
      <c r="S103" s="150" t="s">
        <v>25</v>
      </c>
      <c r="T103" s="150"/>
      <c r="U103" s="403"/>
      <c r="V103" s="406">
        <v>0</v>
      </c>
      <c r="W103" s="406">
        <v>0.13</v>
      </c>
      <c r="X103" s="425"/>
      <c r="Y103" s="71"/>
      <c r="Z103" s="426"/>
      <c r="AA103" s="427"/>
      <c r="AB103" s="427">
        <v>0.13</v>
      </c>
      <c r="AC103" s="428">
        <v>0</v>
      </c>
      <c r="AD103" s="429">
        <v>0</v>
      </c>
      <c r="AE103" s="429">
        <v>0.13</v>
      </c>
      <c r="AF103" s="360">
        <v>0</v>
      </c>
      <c r="AG103" s="360">
        <v>0</v>
      </c>
      <c r="AH103" s="360">
        <v>0</v>
      </c>
      <c r="AI103" s="360">
        <v>0</v>
      </c>
      <c r="AJ103" s="360">
        <v>0</v>
      </c>
      <c r="AK103" s="360">
        <v>0</v>
      </c>
      <c r="AL103" s="367">
        <v>0.26</v>
      </c>
      <c r="AM103" s="362">
        <v>0.13</v>
      </c>
      <c r="AN103" s="79">
        <v>0</v>
      </c>
      <c r="AO103" s="79">
        <v>0.13</v>
      </c>
      <c r="AP103" s="374">
        <v>0.13</v>
      </c>
      <c r="AQ103" s="80"/>
      <c r="AR103" s="79">
        <v>0.13</v>
      </c>
      <c r="AS103" s="81"/>
      <c r="AT103" s="375"/>
      <c r="AU103" s="375"/>
      <c r="AV103" s="375">
        <v>0.13</v>
      </c>
      <c r="AW103" s="375">
        <v>0</v>
      </c>
      <c r="AX103" s="375">
        <v>0</v>
      </c>
      <c r="AY103" s="375">
        <v>0</v>
      </c>
      <c r="AZ103" s="375">
        <v>0</v>
      </c>
      <c r="BA103" s="375">
        <v>0</v>
      </c>
      <c r="BB103" s="375">
        <v>0</v>
      </c>
      <c r="BC103" s="375">
        <v>0</v>
      </c>
      <c r="BD103" s="375">
        <v>0</v>
      </c>
      <c r="BE103" s="375">
        <v>0</v>
      </c>
      <c r="BF103" s="375">
        <v>0.13</v>
      </c>
      <c r="BG103" s="79"/>
      <c r="BH103" s="79"/>
      <c r="BI103" s="79">
        <v>0.13</v>
      </c>
      <c r="BJ103" s="79">
        <v>0</v>
      </c>
      <c r="BK103" s="79">
        <v>0</v>
      </c>
      <c r="BL103" s="79">
        <v>0</v>
      </c>
      <c r="BM103" s="79">
        <v>0</v>
      </c>
      <c r="BN103" s="79">
        <v>0</v>
      </c>
      <c r="BO103" s="79">
        <v>0</v>
      </c>
      <c r="BP103" s="79">
        <v>0</v>
      </c>
      <c r="BQ103" s="79">
        <v>0</v>
      </c>
      <c r="BR103" s="79">
        <v>0</v>
      </c>
      <c r="BS103" s="79">
        <v>0.13</v>
      </c>
    </row>
    <row r="104" spans="1:71" ht="15" customHeight="1">
      <c r="A104" s="66" t="s">
        <v>2603</v>
      </c>
      <c r="B104" s="66" t="s">
        <v>899</v>
      </c>
      <c r="C104" s="66" t="s">
        <v>2604</v>
      </c>
      <c r="D104" s="150" t="s">
        <v>1136</v>
      </c>
      <c r="E104" s="482" t="s">
        <v>1566</v>
      </c>
      <c r="F104" s="150" t="s">
        <v>1135</v>
      </c>
      <c r="G104" s="150" t="s">
        <v>1165</v>
      </c>
      <c r="H104" s="150" t="s">
        <v>1135</v>
      </c>
      <c r="I104" s="150" t="s">
        <v>1165</v>
      </c>
      <c r="J104" s="150" t="s">
        <v>1137</v>
      </c>
      <c r="K104" s="511" t="s">
        <v>639</v>
      </c>
      <c r="L104" s="392" t="s">
        <v>1327</v>
      </c>
      <c r="M104" s="343"/>
      <c r="N104" s="343"/>
      <c r="O104" s="70" t="s">
        <v>147</v>
      </c>
      <c r="P104" s="346"/>
      <c r="Q104" s="343"/>
      <c r="R104" s="346"/>
      <c r="S104" s="150" t="s">
        <v>25</v>
      </c>
      <c r="T104" s="482" t="s">
        <v>1338</v>
      </c>
      <c r="U104" s="403"/>
      <c r="V104" s="406">
        <v>0</v>
      </c>
      <c r="W104" s="406">
        <v>0.19999999999999996</v>
      </c>
      <c r="X104" s="425"/>
      <c r="Y104" s="71"/>
      <c r="Z104" s="426">
        <v>-0.34</v>
      </c>
      <c r="AA104" s="427">
        <v>-0.09</v>
      </c>
      <c r="AB104" s="427">
        <v>0.63</v>
      </c>
      <c r="AC104" s="428">
        <v>-0.98</v>
      </c>
      <c r="AD104" s="429">
        <v>0.75</v>
      </c>
      <c r="AE104" s="429">
        <v>0</v>
      </c>
      <c r="AF104" s="360">
        <v>0</v>
      </c>
      <c r="AG104" s="360">
        <v>0</v>
      </c>
      <c r="AH104" s="360">
        <v>0</v>
      </c>
      <c r="AI104" s="360">
        <v>0</v>
      </c>
      <c r="AJ104" s="360">
        <v>0</v>
      </c>
      <c r="AK104" s="360">
        <v>0</v>
      </c>
      <c r="AL104" s="360">
        <v>-3.0000000000000027E-2</v>
      </c>
      <c r="AM104" s="362">
        <v>-0.22999999999999998</v>
      </c>
      <c r="AN104" s="79">
        <v>0</v>
      </c>
      <c r="AO104" s="79">
        <v>0</v>
      </c>
      <c r="AP104" s="374">
        <v>-0.22999999999999998</v>
      </c>
      <c r="AQ104" s="80"/>
      <c r="AR104" s="79">
        <v>-0.22999999999999998</v>
      </c>
      <c r="AS104" s="81"/>
      <c r="AT104" s="375">
        <v>-0.34</v>
      </c>
      <c r="AU104" s="375">
        <v>-0.09</v>
      </c>
      <c r="AV104" s="375">
        <v>0.63</v>
      </c>
      <c r="AW104" s="375">
        <v>0</v>
      </c>
      <c r="AX104" s="375">
        <v>0</v>
      </c>
      <c r="AY104" s="375">
        <v>0</v>
      </c>
      <c r="AZ104" s="375">
        <v>0</v>
      </c>
      <c r="BA104" s="375">
        <v>0</v>
      </c>
      <c r="BB104" s="375">
        <v>0</v>
      </c>
      <c r="BC104" s="375">
        <v>0</v>
      </c>
      <c r="BD104" s="375">
        <v>0</v>
      </c>
      <c r="BE104" s="375">
        <v>0</v>
      </c>
      <c r="BF104" s="375">
        <v>0.19999999999999996</v>
      </c>
      <c r="BG104" s="79">
        <v>-0.34</v>
      </c>
      <c r="BH104" s="79">
        <v>-0.09</v>
      </c>
      <c r="BI104" s="79">
        <v>0.63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0</v>
      </c>
      <c r="BP104" s="79">
        <v>0</v>
      </c>
      <c r="BQ104" s="79">
        <v>0</v>
      </c>
      <c r="BR104" s="79">
        <v>0</v>
      </c>
      <c r="BS104" s="79">
        <v>0.19999999999999996</v>
      </c>
    </row>
    <row r="105" spans="1:71" ht="15" customHeight="1">
      <c r="A105" s="66" t="s">
        <v>2900</v>
      </c>
      <c r="B105" s="66" t="s">
        <v>23</v>
      </c>
      <c r="C105" s="66" t="s">
        <v>2901</v>
      </c>
      <c r="D105" s="150" t="s">
        <v>1136</v>
      </c>
      <c r="E105" s="482" t="s">
        <v>1566</v>
      </c>
      <c r="F105" s="150" t="s">
        <v>1135</v>
      </c>
      <c r="G105" s="150" t="s">
        <v>1135</v>
      </c>
      <c r="H105" s="150" t="s">
        <v>1135</v>
      </c>
      <c r="I105" s="150" t="s">
        <v>1137</v>
      </c>
      <c r="J105" s="150" t="s">
        <v>1137</v>
      </c>
      <c r="K105" s="511" t="s">
        <v>22</v>
      </c>
      <c r="L105" s="392" t="s">
        <v>2868</v>
      </c>
      <c r="M105" s="343"/>
      <c r="N105" s="343"/>
      <c r="O105" s="70" t="s">
        <v>24</v>
      </c>
      <c r="P105" s="346" t="s">
        <v>1139</v>
      </c>
      <c r="Q105" s="346" t="s">
        <v>1140</v>
      </c>
      <c r="R105" s="346"/>
      <c r="S105" s="150" t="s">
        <v>25</v>
      </c>
      <c r="T105" s="150"/>
      <c r="U105" s="403"/>
      <c r="V105" s="406">
        <v>3920122.6999999993</v>
      </c>
      <c r="W105" s="406">
        <v>0</v>
      </c>
      <c r="X105" s="425"/>
      <c r="Y105" s="71"/>
      <c r="Z105" s="426"/>
      <c r="AA105" s="427"/>
      <c r="AB105" s="427"/>
      <c r="AC105" s="428" t="s">
        <v>1142</v>
      </c>
      <c r="AD105" s="429">
        <v>0</v>
      </c>
      <c r="AE105" s="429">
        <v>0</v>
      </c>
      <c r="AF105" s="363"/>
      <c r="AG105" s="363"/>
      <c r="AH105" s="363"/>
      <c r="AI105" s="363"/>
      <c r="AJ105" s="363"/>
      <c r="AK105" s="363"/>
      <c r="AL105" s="360">
        <v>0</v>
      </c>
      <c r="AM105" s="362">
        <v>0</v>
      </c>
      <c r="AN105" s="79"/>
      <c r="AO105" s="79">
        <v>0</v>
      </c>
      <c r="AP105" s="374">
        <v>0</v>
      </c>
      <c r="AQ105" s="80"/>
      <c r="AR105" s="79">
        <v>0</v>
      </c>
      <c r="AS105" s="81"/>
      <c r="AT105" s="375"/>
      <c r="AU105" s="375"/>
      <c r="AV105" s="375"/>
      <c r="AW105" s="375"/>
      <c r="AX105" s="375"/>
      <c r="AY105" s="375"/>
      <c r="AZ105" s="375"/>
      <c r="BA105" s="375"/>
      <c r="BB105" s="375"/>
      <c r="BC105" s="375"/>
      <c r="BD105" s="375"/>
      <c r="BE105" s="375"/>
      <c r="BF105" s="375">
        <v>0</v>
      </c>
      <c r="BG105" s="79">
        <v>95760.76</v>
      </c>
      <c r="BH105" s="79">
        <v>93858.59</v>
      </c>
      <c r="BI105" s="79">
        <v>103661.36</v>
      </c>
      <c r="BJ105" s="79">
        <v>322835.13</v>
      </c>
      <c r="BK105" s="79">
        <v>322835.13</v>
      </c>
      <c r="BL105" s="79">
        <v>322835.13</v>
      </c>
      <c r="BM105" s="79">
        <v>330985.75</v>
      </c>
      <c r="BN105" s="79">
        <v>330985.75</v>
      </c>
      <c r="BO105" s="79">
        <v>338079.72</v>
      </c>
      <c r="BP105" s="79">
        <v>338079.72</v>
      </c>
      <c r="BQ105" s="79">
        <v>338079.72</v>
      </c>
      <c r="BR105" s="79">
        <v>338079.72</v>
      </c>
      <c r="BS105" s="79">
        <v>3276076.4799999995</v>
      </c>
    </row>
    <row r="106" spans="1:71" ht="15" customHeight="1">
      <c r="A106" s="66" t="s">
        <v>2903</v>
      </c>
      <c r="B106" s="66" t="s">
        <v>26</v>
      </c>
      <c r="C106" s="66" t="s">
        <v>2904</v>
      </c>
      <c r="D106" s="150" t="s">
        <v>1136</v>
      </c>
      <c r="E106" s="482" t="s">
        <v>1566</v>
      </c>
      <c r="F106" s="150" t="s">
        <v>1135</v>
      </c>
      <c r="G106" s="150" t="s">
        <v>1135</v>
      </c>
      <c r="H106" s="150" t="s">
        <v>1135</v>
      </c>
      <c r="I106" s="150" t="s">
        <v>1137</v>
      </c>
      <c r="J106" s="150" t="s">
        <v>1137</v>
      </c>
      <c r="K106" s="511" t="s">
        <v>22</v>
      </c>
      <c r="L106" s="392" t="s">
        <v>2870</v>
      </c>
      <c r="M106" s="343"/>
      <c r="N106" s="343"/>
      <c r="O106" s="70" t="s">
        <v>27</v>
      </c>
      <c r="P106" s="346" t="s">
        <v>1139</v>
      </c>
      <c r="Q106" s="346" t="s">
        <v>1140</v>
      </c>
      <c r="R106" s="346"/>
      <c r="S106" s="150" t="s">
        <v>25</v>
      </c>
      <c r="T106" s="150"/>
      <c r="U106" s="403"/>
      <c r="V106" s="406">
        <v>1729258.84</v>
      </c>
      <c r="W106" s="406">
        <v>0</v>
      </c>
      <c r="X106" s="425"/>
      <c r="Y106" s="71"/>
      <c r="Z106" s="426"/>
      <c r="AA106" s="427"/>
      <c r="AB106" s="427"/>
      <c r="AC106" s="428" t="s">
        <v>1142</v>
      </c>
      <c r="AD106" s="429">
        <v>0</v>
      </c>
      <c r="AE106" s="429">
        <v>0</v>
      </c>
      <c r="AF106" s="363"/>
      <c r="AG106" s="363"/>
      <c r="AH106" s="363"/>
      <c r="AI106" s="363"/>
      <c r="AJ106" s="363"/>
      <c r="AK106" s="363"/>
      <c r="AL106" s="360">
        <v>0</v>
      </c>
      <c r="AM106" s="362">
        <v>0</v>
      </c>
      <c r="AN106" s="79"/>
      <c r="AO106" s="79">
        <v>0</v>
      </c>
      <c r="AP106" s="374">
        <v>0</v>
      </c>
      <c r="AQ106" s="80"/>
      <c r="AR106" s="79">
        <v>0</v>
      </c>
      <c r="AS106" s="81"/>
      <c r="AT106" s="375"/>
      <c r="AU106" s="375"/>
      <c r="AV106" s="375"/>
      <c r="AW106" s="375"/>
      <c r="AX106" s="375"/>
      <c r="AY106" s="375"/>
      <c r="AZ106" s="375"/>
      <c r="BA106" s="375"/>
      <c r="BB106" s="375"/>
      <c r="BC106" s="375"/>
      <c r="BD106" s="375"/>
      <c r="BE106" s="375"/>
      <c r="BF106" s="375">
        <v>0</v>
      </c>
      <c r="BG106" s="79">
        <v>50770.12</v>
      </c>
      <c r="BH106" s="79">
        <v>51960.62</v>
      </c>
      <c r="BI106" s="79">
        <v>52695.87</v>
      </c>
      <c r="BJ106" s="79">
        <v>142100.94</v>
      </c>
      <c r="BK106" s="79">
        <v>142100.94</v>
      </c>
      <c r="BL106" s="79">
        <v>142100.94</v>
      </c>
      <c r="BM106" s="79">
        <v>146019.5</v>
      </c>
      <c r="BN106" s="79">
        <v>146019.5</v>
      </c>
      <c r="BO106" s="79">
        <v>150075.81</v>
      </c>
      <c r="BP106" s="79">
        <v>150075.81</v>
      </c>
      <c r="BQ106" s="79">
        <v>150075.81</v>
      </c>
      <c r="BR106" s="79">
        <v>150075.81</v>
      </c>
      <c r="BS106" s="79">
        <v>1474071.6700000002</v>
      </c>
    </row>
    <row r="107" spans="1:71" ht="15" customHeight="1">
      <c r="A107" s="66" t="s">
        <v>2906</v>
      </c>
      <c r="B107" s="66" t="s">
        <v>28</v>
      </c>
      <c r="C107" s="66" t="s">
        <v>2907</v>
      </c>
      <c r="D107" s="150" t="s">
        <v>1136</v>
      </c>
      <c r="E107" s="482" t="s">
        <v>1566</v>
      </c>
      <c r="F107" s="150" t="s">
        <v>1135</v>
      </c>
      <c r="G107" s="150" t="s">
        <v>1135</v>
      </c>
      <c r="H107" s="150" t="s">
        <v>1135</v>
      </c>
      <c r="I107" s="150" t="s">
        <v>1137</v>
      </c>
      <c r="J107" s="150" t="s">
        <v>1137</v>
      </c>
      <c r="K107" s="511" t="s">
        <v>22</v>
      </c>
      <c r="L107" s="392" t="s">
        <v>2872</v>
      </c>
      <c r="M107" s="343"/>
      <c r="N107" s="343"/>
      <c r="O107" s="70" t="s">
        <v>29</v>
      </c>
      <c r="P107" s="346" t="s">
        <v>1139</v>
      </c>
      <c r="Q107" s="346" t="s">
        <v>1140</v>
      </c>
      <c r="R107" s="346"/>
      <c r="S107" s="150" t="s">
        <v>25</v>
      </c>
      <c r="T107" s="1" t="s">
        <v>1141</v>
      </c>
      <c r="U107" s="403"/>
      <c r="V107" s="406">
        <v>9831851.3300000001</v>
      </c>
      <c r="W107" s="406">
        <v>15406112.624272117</v>
      </c>
      <c r="X107" s="425"/>
      <c r="Y107" s="71"/>
      <c r="Z107" s="426">
        <v>1402914.3999999987</v>
      </c>
      <c r="AA107" s="427">
        <v>1397677.6399999992</v>
      </c>
      <c r="AB107" s="427">
        <v>1375284.8299999998</v>
      </c>
      <c r="AC107" s="428">
        <v>1433399.4699999997</v>
      </c>
      <c r="AD107" s="429">
        <v>1510809.23</v>
      </c>
      <c r="AE107" s="429">
        <v>372672.31999999989</v>
      </c>
      <c r="AF107" s="363">
        <v>1208851.7277970032</v>
      </c>
      <c r="AG107" s="363">
        <v>1221091.4455470033</v>
      </c>
      <c r="AH107" s="363">
        <v>1194419.2817703367</v>
      </c>
      <c r="AI107" s="363">
        <v>1239489.2742341459</v>
      </c>
      <c r="AJ107" s="363">
        <v>1239489.2742341459</v>
      </c>
      <c r="AK107" s="363">
        <v>1254635.0692481461</v>
      </c>
      <c r="AL107" s="360">
        <v>14850733.96283078</v>
      </c>
      <c r="AM107" s="362">
        <v>-555378.66144133732</v>
      </c>
      <c r="AN107" s="79">
        <v>1250571.8632276698</v>
      </c>
      <c r="AO107" s="79">
        <v>-877899.54322767002</v>
      </c>
      <c r="AP107" s="374">
        <v>-555378.66144133732</v>
      </c>
      <c r="AQ107" s="80"/>
      <c r="AR107" s="79">
        <v>-555378.66144133732</v>
      </c>
      <c r="AS107" s="81"/>
      <c r="AT107" s="375">
        <v>1402914.3999999987</v>
      </c>
      <c r="AU107" s="375">
        <v>1397677.6399999992</v>
      </c>
      <c r="AV107" s="375">
        <v>1375284.8299999998</v>
      </c>
      <c r="AW107" s="375">
        <v>1386261.7499999984</v>
      </c>
      <c r="AX107" s="375">
        <v>1250571.8632276698</v>
      </c>
      <c r="AY107" s="375">
        <v>1235426.0682136698</v>
      </c>
      <c r="AZ107" s="375">
        <v>1208851.7277970032</v>
      </c>
      <c r="BA107" s="375">
        <v>1221091.4455470033</v>
      </c>
      <c r="BB107" s="375">
        <v>1194419.2817703367</v>
      </c>
      <c r="BC107" s="375">
        <v>1239489.2742341459</v>
      </c>
      <c r="BD107" s="375">
        <v>1239489.2742341459</v>
      </c>
      <c r="BE107" s="375">
        <v>1254635.0692481461</v>
      </c>
      <c r="BF107" s="375">
        <v>15406112.624272117</v>
      </c>
      <c r="BG107" s="79">
        <v>270417.52</v>
      </c>
      <c r="BH107" s="79">
        <v>276999.43</v>
      </c>
      <c r="BI107" s="79">
        <v>232520.6</v>
      </c>
      <c r="BJ107" s="79">
        <v>809656.43</v>
      </c>
      <c r="BK107" s="79">
        <v>809656.43</v>
      </c>
      <c r="BL107" s="79">
        <v>809656.43</v>
      </c>
      <c r="BM107" s="79">
        <v>829249.26</v>
      </c>
      <c r="BN107" s="79">
        <v>829249.26</v>
      </c>
      <c r="BO107" s="79">
        <v>854062.66</v>
      </c>
      <c r="BP107" s="79">
        <v>854062.66</v>
      </c>
      <c r="BQ107" s="79">
        <v>854062.66</v>
      </c>
      <c r="BR107" s="79">
        <v>854062.66</v>
      </c>
      <c r="BS107" s="79">
        <v>8283656.0000000009</v>
      </c>
    </row>
    <row r="108" spans="1:71" ht="15" customHeight="1">
      <c r="A108" s="66" t="s">
        <v>2831</v>
      </c>
      <c r="B108" s="66" t="s">
        <v>1028</v>
      </c>
      <c r="C108" s="66" t="s">
        <v>2832</v>
      </c>
      <c r="D108" s="150" t="s">
        <v>1136</v>
      </c>
      <c r="E108" s="482" t="s">
        <v>1566</v>
      </c>
      <c r="F108" s="150" t="s">
        <v>1135</v>
      </c>
      <c r="G108" s="150" t="s">
        <v>1135</v>
      </c>
      <c r="H108" s="150" t="s">
        <v>1135</v>
      </c>
      <c r="I108" s="150" t="s">
        <v>1137</v>
      </c>
      <c r="J108" s="150" t="s">
        <v>1137</v>
      </c>
      <c r="K108" s="511" t="s">
        <v>1027</v>
      </c>
      <c r="L108" s="392" t="s">
        <v>2830</v>
      </c>
      <c r="M108" s="343"/>
      <c r="N108" s="343"/>
      <c r="O108" s="70" t="s">
        <v>1029</v>
      </c>
      <c r="P108" s="346"/>
      <c r="Q108" s="343"/>
      <c r="R108" s="346"/>
      <c r="S108" s="150" t="s">
        <v>25</v>
      </c>
      <c r="T108" s="1" t="s">
        <v>1141</v>
      </c>
      <c r="U108" s="403"/>
      <c r="V108" s="406">
        <v>78300</v>
      </c>
      <c r="W108" s="406">
        <v>62093.21</v>
      </c>
      <c r="X108" s="425"/>
      <c r="Y108" s="71"/>
      <c r="Z108" s="426">
        <v>350.82</v>
      </c>
      <c r="AA108" s="427">
        <v>683.3</v>
      </c>
      <c r="AB108" s="427">
        <v>1259.0899999999999</v>
      </c>
      <c r="AC108" s="428">
        <v>404.51000000000005</v>
      </c>
      <c r="AD108" s="429">
        <v>2183.5099999999993</v>
      </c>
      <c r="AE108" s="429">
        <v>2294.7200000000003</v>
      </c>
      <c r="AF108" s="363">
        <v>6500</v>
      </c>
      <c r="AG108" s="363">
        <v>6500</v>
      </c>
      <c r="AH108" s="363">
        <v>6900</v>
      </c>
      <c r="AI108" s="363">
        <v>6900</v>
      </c>
      <c r="AJ108" s="363">
        <v>6900</v>
      </c>
      <c r="AK108" s="363">
        <v>6900</v>
      </c>
      <c r="AL108" s="360">
        <v>47775.95</v>
      </c>
      <c r="AM108" s="362">
        <v>-14317.260000000002</v>
      </c>
      <c r="AN108" s="79">
        <v>6400</v>
      </c>
      <c r="AO108" s="79">
        <v>-4105.28</v>
      </c>
      <c r="AP108" s="374">
        <v>-14317.259999999998</v>
      </c>
      <c r="AQ108" s="80"/>
      <c r="AR108" s="79">
        <v>-14317.260000000002</v>
      </c>
      <c r="AS108" s="81"/>
      <c r="AT108" s="375">
        <v>350.82</v>
      </c>
      <c r="AU108" s="375">
        <v>683.3</v>
      </c>
      <c r="AV108" s="375">
        <v>1259.0899999999999</v>
      </c>
      <c r="AW108" s="375">
        <v>6400</v>
      </c>
      <c r="AX108" s="375">
        <v>6400</v>
      </c>
      <c r="AY108" s="375">
        <v>6400</v>
      </c>
      <c r="AZ108" s="375">
        <v>6500</v>
      </c>
      <c r="BA108" s="375">
        <v>6500</v>
      </c>
      <c r="BB108" s="375">
        <v>6900</v>
      </c>
      <c r="BC108" s="375">
        <v>6900</v>
      </c>
      <c r="BD108" s="375">
        <v>6900</v>
      </c>
      <c r="BE108" s="375">
        <v>6900</v>
      </c>
      <c r="BF108" s="375">
        <v>62093.21</v>
      </c>
      <c r="BG108" s="79">
        <v>350.82</v>
      </c>
      <c r="BH108" s="79">
        <v>683.3</v>
      </c>
      <c r="BI108" s="79">
        <v>1259.0899999999999</v>
      </c>
      <c r="BJ108" s="79">
        <v>6400</v>
      </c>
      <c r="BK108" s="79">
        <v>6400</v>
      </c>
      <c r="BL108" s="79">
        <v>6400</v>
      </c>
      <c r="BM108" s="79">
        <v>6500</v>
      </c>
      <c r="BN108" s="79">
        <v>6500</v>
      </c>
      <c r="BO108" s="79">
        <v>6900</v>
      </c>
      <c r="BP108" s="79">
        <v>6900</v>
      </c>
      <c r="BQ108" s="79">
        <v>6900</v>
      </c>
      <c r="BR108" s="79">
        <v>6900</v>
      </c>
      <c r="BS108" s="79">
        <v>62093.21</v>
      </c>
    </row>
    <row r="109" spans="1:71" ht="15" customHeight="1">
      <c r="A109" s="66" t="s">
        <v>2847</v>
      </c>
      <c r="B109" s="66" t="s">
        <v>1038</v>
      </c>
      <c r="C109" s="66" t="s">
        <v>2848</v>
      </c>
      <c r="D109" s="150" t="s">
        <v>1136</v>
      </c>
      <c r="E109" s="482" t="s">
        <v>1566</v>
      </c>
      <c r="F109" s="150" t="s">
        <v>1135</v>
      </c>
      <c r="G109" s="150" t="s">
        <v>1135</v>
      </c>
      <c r="H109" s="150" t="s">
        <v>1135</v>
      </c>
      <c r="I109" s="150" t="s">
        <v>1137</v>
      </c>
      <c r="J109" s="150" t="s">
        <v>1137</v>
      </c>
      <c r="K109" s="511" t="s">
        <v>1037</v>
      </c>
      <c r="L109" s="392" t="s">
        <v>2846</v>
      </c>
      <c r="M109" s="343"/>
      <c r="N109" s="343"/>
      <c r="O109" s="70" t="s">
        <v>1039</v>
      </c>
      <c r="P109" s="346"/>
      <c r="Q109" s="346" t="s">
        <v>1140</v>
      </c>
      <c r="R109" s="346"/>
      <c r="S109" s="150" t="s">
        <v>1040</v>
      </c>
      <c r="T109" s="1" t="s">
        <v>1141</v>
      </c>
      <c r="U109" s="403"/>
      <c r="V109" s="406">
        <v>0</v>
      </c>
      <c r="W109" s="406">
        <v>7225.12</v>
      </c>
      <c r="X109" s="425"/>
      <c r="Y109" s="71"/>
      <c r="Z109" s="426">
        <v>302.32</v>
      </c>
      <c r="AA109" s="427">
        <v>-468.02</v>
      </c>
      <c r="AB109" s="427">
        <v>7390.82</v>
      </c>
      <c r="AC109" s="428">
        <v>10390.350000000002</v>
      </c>
      <c r="AD109" s="429">
        <v>-6560.7800000000007</v>
      </c>
      <c r="AE109" s="429">
        <v>1751.47</v>
      </c>
      <c r="AF109" s="360">
        <v>0</v>
      </c>
      <c r="AG109" s="360">
        <v>0</v>
      </c>
      <c r="AH109" s="360">
        <v>0</v>
      </c>
      <c r="AI109" s="360">
        <v>0</v>
      </c>
      <c r="AJ109" s="360">
        <v>0</v>
      </c>
      <c r="AK109" s="360">
        <v>0</v>
      </c>
      <c r="AL109" s="360">
        <v>12806.16</v>
      </c>
      <c r="AM109" s="362">
        <v>5581.04</v>
      </c>
      <c r="AN109" s="79">
        <v>0</v>
      </c>
      <c r="AO109" s="79">
        <v>1751.47</v>
      </c>
      <c r="AP109" s="374">
        <v>5581.04</v>
      </c>
      <c r="AQ109" s="80"/>
      <c r="AR109" s="79">
        <v>5581.04</v>
      </c>
      <c r="AS109" s="81"/>
      <c r="AT109" s="375">
        <v>302.32</v>
      </c>
      <c r="AU109" s="375">
        <v>-468.02</v>
      </c>
      <c r="AV109" s="375">
        <v>7390.82</v>
      </c>
      <c r="AW109" s="375">
        <v>0</v>
      </c>
      <c r="AX109" s="375">
        <v>0</v>
      </c>
      <c r="AY109" s="375">
        <v>0</v>
      </c>
      <c r="AZ109" s="375">
        <v>0</v>
      </c>
      <c r="BA109" s="375">
        <v>0</v>
      </c>
      <c r="BB109" s="375">
        <v>0</v>
      </c>
      <c r="BC109" s="375">
        <v>0</v>
      </c>
      <c r="BD109" s="375">
        <v>0</v>
      </c>
      <c r="BE109" s="375">
        <v>0</v>
      </c>
      <c r="BF109" s="375">
        <v>7225.12</v>
      </c>
      <c r="BG109" s="79">
        <v>302.32</v>
      </c>
      <c r="BH109" s="79">
        <v>-468.02</v>
      </c>
      <c r="BI109" s="79">
        <v>7390.82</v>
      </c>
      <c r="BJ109" s="79">
        <v>0</v>
      </c>
      <c r="BK109" s="79">
        <v>0</v>
      </c>
      <c r="BL109" s="79">
        <v>0</v>
      </c>
      <c r="BM109" s="79">
        <v>0</v>
      </c>
      <c r="BN109" s="79">
        <v>0</v>
      </c>
      <c r="BO109" s="79">
        <v>0</v>
      </c>
      <c r="BP109" s="79">
        <v>0</v>
      </c>
      <c r="BQ109" s="79">
        <v>0</v>
      </c>
      <c r="BR109" s="79">
        <v>0</v>
      </c>
      <c r="BS109" s="79">
        <v>7225.12</v>
      </c>
    </row>
    <row r="110" spans="1:71" ht="15" customHeight="1">
      <c r="A110" s="150" t="s">
        <v>1444</v>
      </c>
      <c r="B110" s="536" t="s">
        <v>202</v>
      </c>
      <c r="C110" s="296" t="s">
        <v>202</v>
      </c>
      <c r="D110" s="150" t="s">
        <v>1136</v>
      </c>
      <c r="E110" s="482" t="s">
        <v>1566</v>
      </c>
      <c r="F110" s="150" t="s">
        <v>1345</v>
      </c>
      <c r="G110" s="150" t="s">
        <v>1345</v>
      </c>
      <c r="H110" s="332" t="s">
        <v>1345</v>
      </c>
      <c r="I110" s="332" t="s">
        <v>1345</v>
      </c>
      <c r="J110" s="333" t="s">
        <v>1345</v>
      </c>
      <c r="K110" s="514" t="s">
        <v>49</v>
      </c>
      <c r="L110" s="394" t="s">
        <v>1327</v>
      </c>
      <c r="M110" s="333"/>
      <c r="N110" s="332" t="s">
        <v>1441</v>
      </c>
      <c r="O110" s="90" t="s">
        <v>147</v>
      </c>
      <c r="P110" s="347"/>
      <c r="Q110" s="347"/>
      <c r="R110" s="348"/>
      <c r="S110" s="348"/>
      <c r="T110" s="348"/>
      <c r="U110" s="402"/>
      <c r="V110" s="406"/>
      <c r="W110" s="406"/>
      <c r="X110" s="425"/>
      <c r="Y110" s="71"/>
      <c r="Z110" s="435"/>
      <c r="AA110" s="436"/>
      <c r="AB110" s="436"/>
      <c r="AC110" s="429"/>
      <c r="AD110" s="429">
        <v>0</v>
      </c>
      <c r="AE110" s="429">
        <v>0</v>
      </c>
      <c r="AF110" s="364"/>
      <c r="AG110" s="364"/>
      <c r="AH110" s="364"/>
      <c r="AI110" s="364"/>
      <c r="AJ110" s="364"/>
      <c r="AK110" s="364"/>
      <c r="AL110" s="360">
        <v>0</v>
      </c>
      <c r="AM110" s="362">
        <v>0</v>
      </c>
      <c r="AN110" s="79"/>
      <c r="AO110" s="79">
        <v>0</v>
      </c>
      <c r="AP110" s="374">
        <v>0</v>
      </c>
      <c r="AQ110" s="80"/>
      <c r="AR110" s="79">
        <v>0</v>
      </c>
      <c r="AS110" s="81"/>
      <c r="AT110" s="375"/>
      <c r="AU110" s="375"/>
      <c r="AV110" s="375"/>
      <c r="AW110" s="375"/>
      <c r="AX110" s="375"/>
      <c r="AY110" s="375"/>
      <c r="AZ110" s="375"/>
      <c r="BA110" s="375"/>
      <c r="BB110" s="375"/>
      <c r="BC110" s="375"/>
      <c r="BD110" s="375"/>
      <c r="BE110" s="375"/>
      <c r="BF110" s="375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</row>
    <row r="111" spans="1:71" ht="15" customHeight="1">
      <c r="A111" s="66" t="s">
        <v>1445</v>
      </c>
      <c r="B111" s="66" t="s">
        <v>202</v>
      </c>
      <c r="C111" s="66" t="s">
        <v>1446</v>
      </c>
      <c r="D111" s="150" t="s">
        <v>1136</v>
      </c>
      <c r="E111" s="482" t="s">
        <v>1566</v>
      </c>
      <c r="F111" s="150" t="s">
        <v>1345</v>
      </c>
      <c r="G111" s="150" t="s">
        <v>1437</v>
      </c>
      <c r="H111" s="150" t="s">
        <v>1345</v>
      </c>
      <c r="I111" s="150" t="s">
        <v>1437</v>
      </c>
      <c r="J111" s="150" t="s">
        <v>1346</v>
      </c>
      <c r="K111" s="511" t="s">
        <v>49</v>
      </c>
      <c r="L111" s="392" t="s">
        <v>1327</v>
      </c>
      <c r="M111" s="343"/>
      <c r="N111" s="343"/>
      <c r="O111" s="70" t="s">
        <v>147</v>
      </c>
      <c r="P111" s="346"/>
      <c r="Q111" s="343"/>
      <c r="R111" s="346"/>
      <c r="S111" s="150" t="s">
        <v>25</v>
      </c>
      <c r="T111" s="150"/>
      <c r="U111" s="403"/>
      <c r="V111" s="406">
        <v>0</v>
      </c>
      <c r="W111" s="406">
        <v>0.33999999999999997</v>
      </c>
      <c r="X111" s="425"/>
      <c r="Y111" s="71"/>
      <c r="Z111" s="426">
        <v>-0.1</v>
      </c>
      <c r="AA111" s="431">
        <v>0</v>
      </c>
      <c r="AB111" s="427">
        <v>0.44</v>
      </c>
      <c r="AC111" s="428">
        <v>0</v>
      </c>
      <c r="AD111" s="429">
        <v>0</v>
      </c>
      <c r="AE111" s="429">
        <v>0</v>
      </c>
      <c r="AF111" s="360">
        <v>0</v>
      </c>
      <c r="AG111" s="360">
        <v>0</v>
      </c>
      <c r="AH111" s="360">
        <v>0</v>
      </c>
      <c r="AI111" s="360">
        <v>0</v>
      </c>
      <c r="AJ111" s="360">
        <v>0</v>
      </c>
      <c r="AK111" s="360">
        <v>0</v>
      </c>
      <c r="AL111" s="360">
        <v>0.33999999999999997</v>
      </c>
      <c r="AM111" s="362">
        <v>0</v>
      </c>
      <c r="AN111" s="79">
        <v>0</v>
      </c>
      <c r="AO111" s="79">
        <v>0</v>
      </c>
      <c r="AP111" s="374">
        <v>0</v>
      </c>
      <c r="AQ111" s="80"/>
      <c r="AR111" s="79">
        <v>0</v>
      </c>
      <c r="AS111" s="81"/>
      <c r="AT111" s="375">
        <v>-0.1</v>
      </c>
      <c r="AU111" s="375">
        <v>0</v>
      </c>
      <c r="AV111" s="375">
        <v>0.44</v>
      </c>
      <c r="AW111" s="375">
        <v>0</v>
      </c>
      <c r="AX111" s="375">
        <v>0</v>
      </c>
      <c r="AY111" s="375">
        <v>0</v>
      </c>
      <c r="AZ111" s="375">
        <v>0</v>
      </c>
      <c r="BA111" s="375">
        <v>0</v>
      </c>
      <c r="BB111" s="375">
        <v>0</v>
      </c>
      <c r="BC111" s="375">
        <v>0</v>
      </c>
      <c r="BD111" s="375">
        <v>0</v>
      </c>
      <c r="BE111" s="375">
        <v>0</v>
      </c>
      <c r="BF111" s="375">
        <v>0.33999999999999997</v>
      </c>
      <c r="BG111" s="79">
        <v>-0.1</v>
      </c>
      <c r="BH111" s="79">
        <v>0</v>
      </c>
      <c r="BI111" s="79">
        <v>0.44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0</v>
      </c>
      <c r="BP111" s="79">
        <v>0</v>
      </c>
      <c r="BQ111" s="79">
        <v>0</v>
      </c>
      <c r="BR111" s="79">
        <v>0</v>
      </c>
      <c r="BS111" s="79">
        <v>0.33999999999999997</v>
      </c>
    </row>
    <row r="112" spans="1:71" ht="15" customHeight="1">
      <c r="A112" s="66" t="s">
        <v>2011</v>
      </c>
      <c r="B112" s="66" t="s">
        <v>524</v>
      </c>
      <c r="C112" s="66" t="s">
        <v>524</v>
      </c>
      <c r="D112" s="150" t="s">
        <v>1136</v>
      </c>
      <c r="E112" s="482" t="s">
        <v>1566</v>
      </c>
      <c r="F112" s="150" t="s">
        <v>1345</v>
      </c>
      <c r="G112" s="150" t="s">
        <v>1345</v>
      </c>
      <c r="H112" s="150" t="s">
        <v>1345</v>
      </c>
      <c r="I112" s="150" t="s">
        <v>1345</v>
      </c>
      <c r="J112" s="150" t="s">
        <v>1346</v>
      </c>
      <c r="K112" s="511" t="s">
        <v>389</v>
      </c>
      <c r="L112" s="392" t="s">
        <v>1174</v>
      </c>
      <c r="M112" s="343"/>
      <c r="N112" s="343"/>
      <c r="O112" s="70" t="s">
        <v>56</v>
      </c>
      <c r="P112" s="346"/>
      <c r="Q112" s="346" t="s">
        <v>1140</v>
      </c>
      <c r="R112" s="346"/>
      <c r="S112" s="150" t="s">
        <v>57</v>
      </c>
      <c r="T112" s="150"/>
      <c r="U112" s="403"/>
      <c r="V112" s="406">
        <v>10233</v>
      </c>
      <c r="W112" s="406">
        <v>10178.029999999999</v>
      </c>
      <c r="X112" s="425"/>
      <c r="Y112" s="71"/>
      <c r="Z112" s="426">
        <v>961.55</v>
      </c>
      <c r="AA112" s="427">
        <v>816.59</v>
      </c>
      <c r="AB112" s="427">
        <v>725.14</v>
      </c>
      <c r="AC112" s="428">
        <v>139.44999999999999</v>
      </c>
      <c r="AD112" s="429">
        <v>1450.2800000000002</v>
      </c>
      <c r="AE112" s="429">
        <v>0</v>
      </c>
      <c r="AF112" s="363">
        <v>852.75</v>
      </c>
      <c r="AG112" s="363">
        <v>852.75</v>
      </c>
      <c r="AH112" s="363">
        <v>852.75</v>
      </c>
      <c r="AI112" s="363">
        <v>852.75</v>
      </c>
      <c r="AJ112" s="363">
        <v>852.75</v>
      </c>
      <c r="AK112" s="363">
        <v>852.75</v>
      </c>
      <c r="AL112" s="360">
        <v>9209.51</v>
      </c>
      <c r="AM112" s="362">
        <v>-968.51999999999862</v>
      </c>
      <c r="AN112" s="79">
        <v>852.75</v>
      </c>
      <c r="AO112" s="79">
        <v>-852.75</v>
      </c>
      <c r="AP112" s="374">
        <v>-968.52</v>
      </c>
      <c r="AQ112" s="80"/>
      <c r="AR112" s="79">
        <v>-968.51999999999862</v>
      </c>
      <c r="AS112" s="81"/>
      <c r="AT112" s="375">
        <v>961.55</v>
      </c>
      <c r="AU112" s="375">
        <v>816.59</v>
      </c>
      <c r="AV112" s="375">
        <v>725.14</v>
      </c>
      <c r="AW112" s="375">
        <v>852.75</v>
      </c>
      <c r="AX112" s="375">
        <v>852.75</v>
      </c>
      <c r="AY112" s="375">
        <v>852.75</v>
      </c>
      <c r="AZ112" s="375">
        <v>852.75</v>
      </c>
      <c r="BA112" s="375">
        <v>852.75</v>
      </c>
      <c r="BB112" s="375">
        <v>852.75</v>
      </c>
      <c r="BC112" s="375">
        <v>852.75</v>
      </c>
      <c r="BD112" s="375">
        <v>852.75</v>
      </c>
      <c r="BE112" s="375">
        <v>852.75</v>
      </c>
      <c r="BF112" s="375">
        <v>10178.029999999999</v>
      </c>
      <c r="BG112" s="79">
        <v>961.55</v>
      </c>
      <c r="BH112" s="79">
        <v>816.59</v>
      </c>
      <c r="BI112" s="79">
        <v>725.14</v>
      </c>
      <c r="BJ112" s="79">
        <v>852.75</v>
      </c>
      <c r="BK112" s="79">
        <v>852.75</v>
      </c>
      <c r="BL112" s="79">
        <v>852.75</v>
      </c>
      <c r="BM112" s="79">
        <v>852.75</v>
      </c>
      <c r="BN112" s="79">
        <v>852.75</v>
      </c>
      <c r="BO112" s="79">
        <v>852.75</v>
      </c>
      <c r="BP112" s="79">
        <v>852.75</v>
      </c>
      <c r="BQ112" s="79">
        <v>852.75</v>
      </c>
      <c r="BR112" s="79">
        <v>852.75</v>
      </c>
      <c r="BS112" s="79">
        <v>10178.029999999999</v>
      </c>
    </row>
    <row r="113" spans="1:71" ht="15" customHeight="1">
      <c r="A113" s="66" t="s">
        <v>2012</v>
      </c>
      <c r="B113" s="66" t="s">
        <v>524</v>
      </c>
      <c r="C113" s="66" t="s">
        <v>2013</v>
      </c>
      <c r="D113" s="150" t="s">
        <v>1136</v>
      </c>
      <c r="E113" s="482" t="s">
        <v>1566</v>
      </c>
      <c r="F113" s="150" t="s">
        <v>1345</v>
      </c>
      <c r="G113" s="150" t="s">
        <v>1437</v>
      </c>
      <c r="H113" s="150" t="s">
        <v>1345</v>
      </c>
      <c r="I113" s="150" t="s">
        <v>1437</v>
      </c>
      <c r="J113" s="150" t="s">
        <v>1346</v>
      </c>
      <c r="K113" s="511" t="s">
        <v>389</v>
      </c>
      <c r="L113" s="392" t="s">
        <v>1174</v>
      </c>
      <c r="M113" s="343"/>
      <c r="N113" s="343"/>
      <c r="O113" s="70" t="s">
        <v>56</v>
      </c>
      <c r="P113" s="346"/>
      <c r="Q113" s="346" t="s">
        <v>1140</v>
      </c>
      <c r="R113" s="346"/>
      <c r="S113" s="150" t="s">
        <v>57</v>
      </c>
      <c r="T113" s="150"/>
      <c r="U113" s="403"/>
      <c r="V113" s="406">
        <v>68292</v>
      </c>
      <c r="W113" s="406">
        <v>61982.03</v>
      </c>
      <c r="X113" s="425"/>
      <c r="Y113" s="71"/>
      <c r="Z113" s="426">
        <v>3349.03</v>
      </c>
      <c r="AA113" s="427">
        <v>3352.38</v>
      </c>
      <c r="AB113" s="427">
        <v>4061.62</v>
      </c>
      <c r="AC113" s="428">
        <v>3971.33</v>
      </c>
      <c r="AD113" s="429">
        <v>5537.35</v>
      </c>
      <c r="AE113" s="429">
        <v>4773.54</v>
      </c>
      <c r="AF113" s="363">
        <v>5691</v>
      </c>
      <c r="AG113" s="363">
        <v>5691</v>
      </c>
      <c r="AH113" s="363">
        <v>5691</v>
      </c>
      <c r="AI113" s="363">
        <v>5691</v>
      </c>
      <c r="AJ113" s="363">
        <v>5691</v>
      </c>
      <c r="AK113" s="363">
        <v>5691</v>
      </c>
      <c r="AL113" s="360">
        <v>59191.25</v>
      </c>
      <c r="AM113" s="362">
        <v>-2790.7799999999988</v>
      </c>
      <c r="AN113" s="79">
        <v>5691</v>
      </c>
      <c r="AO113" s="79">
        <v>-917.46</v>
      </c>
      <c r="AP113" s="374">
        <v>-2790.7799999999988</v>
      </c>
      <c r="AQ113" s="80"/>
      <c r="AR113" s="79">
        <v>-2790.7799999999988</v>
      </c>
      <c r="AS113" s="81"/>
      <c r="AT113" s="375">
        <v>3349.03</v>
      </c>
      <c r="AU113" s="375">
        <v>3352.38</v>
      </c>
      <c r="AV113" s="375">
        <v>4061.62</v>
      </c>
      <c r="AW113" s="375">
        <v>5691</v>
      </c>
      <c r="AX113" s="375">
        <v>5691</v>
      </c>
      <c r="AY113" s="375">
        <v>5691</v>
      </c>
      <c r="AZ113" s="375">
        <v>5691</v>
      </c>
      <c r="BA113" s="375">
        <v>5691</v>
      </c>
      <c r="BB113" s="375">
        <v>5691</v>
      </c>
      <c r="BC113" s="375">
        <v>5691</v>
      </c>
      <c r="BD113" s="375">
        <v>5691</v>
      </c>
      <c r="BE113" s="375">
        <v>5691</v>
      </c>
      <c r="BF113" s="375">
        <v>61982.03</v>
      </c>
      <c r="BG113" s="79">
        <v>3349.03</v>
      </c>
      <c r="BH113" s="79">
        <v>3352.38</v>
      </c>
      <c r="BI113" s="79">
        <v>4061.62</v>
      </c>
      <c r="BJ113" s="79">
        <v>5691</v>
      </c>
      <c r="BK113" s="79">
        <v>5691</v>
      </c>
      <c r="BL113" s="79">
        <v>5691</v>
      </c>
      <c r="BM113" s="79">
        <v>5691</v>
      </c>
      <c r="BN113" s="79">
        <v>5691</v>
      </c>
      <c r="BO113" s="79">
        <v>5691</v>
      </c>
      <c r="BP113" s="79">
        <v>5691</v>
      </c>
      <c r="BQ113" s="79">
        <v>5691</v>
      </c>
      <c r="BR113" s="79">
        <v>5691</v>
      </c>
      <c r="BS113" s="79">
        <v>61982.03</v>
      </c>
    </row>
    <row r="114" spans="1:71" ht="15" customHeight="1">
      <c r="A114" s="66" t="s">
        <v>2024</v>
      </c>
      <c r="B114" s="66" t="s">
        <v>533</v>
      </c>
      <c r="C114" s="66" t="s">
        <v>533</v>
      </c>
      <c r="D114" s="150" t="s">
        <v>1136</v>
      </c>
      <c r="E114" s="482" t="s">
        <v>1566</v>
      </c>
      <c r="F114" s="150" t="s">
        <v>1345</v>
      </c>
      <c r="G114" s="150" t="s">
        <v>1345</v>
      </c>
      <c r="H114" s="150" t="s">
        <v>1345</v>
      </c>
      <c r="I114" s="150" t="s">
        <v>1345</v>
      </c>
      <c r="J114" s="150" t="s">
        <v>1346</v>
      </c>
      <c r="K114" s="511" t="s">
        <v>389</v>
      </c>
      <c r="L114" s="392" t="s">
        <v>1855</v>
      </c>
      <c r="M114" s="343"/>
      <c r="N114" s="343"/>
      <c r="O114" s="70" t="s">
        <v>466</v>
      </c>
      <c r="P114" s="346"/>
      <c r="Q114" s="346" t="s">
        <v>1140</v>
      </c>
      <c r="R114" s="346"/>
      <c r="S114" s="150" t="s">
        <v>57</v>
      </c>
      <c r="T114" s="150"/>
      <c r="U114" s="403"/>
      <c r="V114" s="406">
        <v>19176</v>
      </c>
      <c r="W114" s="406">
        <v>21479</v>
      </c>
      <c r="X114" s="425"/>
      <c r="Y114" s="71"/>
      <c r="Z114" s="426">
        <v>1566</v>
      </c>
      <c r="AA114" s="427">
        <v>1439</v>
      </c>
      <c r="AB114" s="427">
        <v>4092</v>
      </c>
      <c r="AC114" s="428">
        <v>1259</v>
      </c>
      <c r="AD114" s="429">
        <v>1259</v>
      </c>
      <c r="AE114" s="429">
        <v>1192</v>
      </c>
      <c r="AF114" s="363">
        <v>1598</v>
      </c>
      <c r="AG114" s="363">
        <v>1598</v>
      </c>
      <c r="AH114" s="363">
        <v>1598</v>
      </c>
      <c r="AI114" s="363">
        <v>1598</v>
      </c>
      <c r="AJ114" s="363">
        <v>1598</v>
      </c>
      <c r="AK114" s="363">
        <v>1598</v>
      </c>
      <c r="AL114" s="360">
        <v>20395</v>
      </c>
      <c r="AM114" s="362">
        <v>-1084</v>
      </c>
      <c r="AN114" s="79">
        <v>1598</v>
      </c>
      <c r="AO114" s="79">
        <v>-406</v>
      </c>
      <c r="AP114" s="374">
        <v>-1084</v>
      </c>
      <c r="AQ114" s="80"/>
      <c r="AR114" s="79">
        <v>-1084</v>
      </c>
      <c r="AS114" s="81"/>
      <c r="AT114" s="375">
        <v>1566</v>
      </c>
      <c r="AU114" s="375">
        <v>1439</v>
      </c>
      <c r="AV114" s="375">
        <v>4092</v>
      </c>
      <c r="AW114" s="375">
        <v>1598</v>
      </c>
      <c r="AX114" s="375">
        <v>1598</v>
      </c>
      <c r="AY114" s="375">
        <v>1598</v>
      </c>
      <c r="AZ114" s="375">
        <v>1598</v>
      </c>
      <c r="BA114" s="375">
        <v>1598</v>
      </c>
      <c r="BB114" s="375">
        <v>1598</v>
      </c>
      <c r="BC114" s="375">
        <v>1598</v>
      </c>
      <c r="BD114" s="375">
        <v>1598</v>
      </c>
      <c r="BE114" s="375">
        <v>1598</v>
      </c>
      <c r="BF114" s="375">
        <v>21479</v>
      </c>
      <c r="BG114" s="79">
        <v>1566</v>
      </c>
      <c r="BH114" s="79">
        <v>1439</v>
      </c>
      <c r="BI114" s="79">
        <v>4092</v>
      </c>
      <c r="BJ114" s="79">
        <v>1598</v>
      </c>
      <c r="BK114" s="79">
        <v>1598</v>
      </c>
      <c r="BL114" s="79">
        <v>1598</v>
      </c>
      <c r="BM114" s="79">
        <v>1598</v>
      </c>
      <c r="BN114" s="79">
        <v>1598</v>
      </c>
      <c r="BO114" s="79">
        <v>1598</v>
      </c>
      <c r="BP114" s="79">
        <v>1598</v>
      </c>
      <c r="BQ114" s="79">
        <v>1598</v>
      </c>
      <c r="BR114" s="79">
        <v>1598</v>
      </c>
      <c r="BS114" s="79">
        <v>21479</v>
      </c>
    </row>
    <row r="115" spans="1:71" ht="15" customHeight="1">
      <c r="A115" s="66" t="s">
        <v>2025</v>
      </c>
      <c r="B115" s="66" t="s">
        <v>533</v>
      </c>
      <c r="C115" s="66" t="s">
        <v>2026</v>
      </c>
      <c r="D115" s="150" t="s">
        <v>1136</v>
      </c>
      <c r="E115" s="482" t="s">
        <v>1566</v>
      </c>
      <c r="F115" s="150" t="s">
        <v>1345</v>
      </c>
      <c r="G115" s="150" t="s">
        <v>1437</v>
      </c>
      <c r="H115" s="150" t="s">
        <v>1345</v>
      </c>
      <c r="I115" s="150" t="s">
        <v>1437</v>
      </c>
      <c r="J115" s="150" t="s">
        <v>1346</v>
      </c>
      <c r="K115" s="511" t="s">
        <v>389</v>
      </c>
      <c r="L115" s="392" t="s">
        <v>1855</v>
      </c>
      <c r="M115" s="343"/>
      <c r="N115" s="343"/>
      <c r="O115" s="70" t="s">
        <v>466</v>
      </c>
      <c r="P115" s="346"/>
      <c r="Q115" s="346" t="s">
        <v>1140</v>
      </c>
      <c r="R115" s="346"/>
      <c r="S115" s="150" t="s">
        <v>57</v>
      </c>
      <c r="T115" s="150"/>
      <c r="U115" s="403"/>
      <c r="V115" s="406">
        <v>22800</v>
      </c>
      <c r="W115" s="406">
        <v>20679</v>
      </c>
      <c r="X115" s="425"/>
      <c r="Y115" s="71"/>
      <c r="Z115" s="426">
        <v>1636</v>
      </c>
      <c r="AA115" s="427">
        <v>1153</v>
      </c>
      <c r="AB115" s="427">
        <v>790</v>
      </c>
      <c r="AC115" s="428">
        <v>1287</v>
      </c>
      <c r="AD115" s="429">
        <v>1227</v>
      </c>
      <c r="AE115" s="429">
        <v>1227</v>
      </c>
      <c r="AF115" s="363">
        <v>1900</v>
      </c>
      <c r="AG115" s="363">
        <v>1900</v>
      </c>
      <c r="AH115" s="363">
        <v>1900</v>
      </c>
      <c r="AI115" s="363">
        <v>1900</v>
      </c>
      <c r="AJ115" s="363">
        <v>1900</v>
      </c>
      <c r="AK115" s="363">
        <v>1900</v>
      </c>
      <c r="AL115" s="360">
        <v>18720</v>
      </c>
      <c r="AM115" s="362">
        <v>-1959</v>
      </c>
      <c r="AN115" s="79">
        <v>1900</v>
      </c>
      <c r="AO115" s="79">
        <v>-673</v>
      </c>
      <c r="AP115" s="374">
        <v>-1959</v>
      </c>
      <c r="AQ115" s="80"/>
      <c r="AR115" s="79">
        <v>-1959</v>
      </c>
      <c r="AS115" s="81"/>
      <c r="AT115" s="375">
        <v>1636</v>
      </c>
      <c r="AU115" s="375">
        <v>1153</v>
      </c>
      <c r="AV115" s="375">
        <v>790</v>
      </c>
      <c r="AW115" s="375">
        <v>1900</v>
      </c>
      <c r="AX115" s="375">
        <v>1900</v>
      </c>
      <c r="AY115" s="375">
        <v>1900</v>
      </c>
      <c r="AZ115" s="375">
        <v>1900</v>
      </c>
      <c r="BA115" s="375">
        <v>1900</v>
      </c>
      <c r="BB115" s="375">
        <v>1900</v>
      </c>
      <c r="BC115" s="375">
        <v>1900</v>
      </c>
      <c r="BD115" s="375">
        <v>1900</v>
      </c>
      <c r="BE115" s="375">
        <v>1900</v>
      </c>
      <c r="BF115" s="375">
        <v>20679</v>
      </c>
      <c r="BG115" s="79">
        <v>1636</v>
      </c>
      <c r="BH115" s="79">
        <v>1153</v>
      </c>
      <c r="BI115" s="79">
        <v>790</v>
      </c>
      <c r="BJ115" s="79">
        <v>1900</v>
      </c>
      <c r="BK115" s="79">
        <v>1900</v>
      </c>
      <c r="BL115" s="79">
        <v>1900</v>
      </c>
      <c r="BM115" s="79">
        <v>1900</v>
      </c>
      <c r="BN115" s="79">
        <v>1900</v>
      </c>
      <c r="BO115" s="79">
        <v>1900</v>
      </c>
      <c r="BP115" s="79">
        <v>1900</v>
      </c>
      <c r="BQ115" s="79">
        <v>1900</v>
      </c>
      <c r="BR115" s="79">
        <v>1900</v>
      </c>
      <c r="BS115" s="79">
        <v>20679</v>
      </c>
    </row>
    <row r="116" spans="1:71" ht="15" customHeight="1">
      <c r="A116" s="66" t="s">
        <v>2032</v>
      </c>
      <c r="B116" s="66" t="s">
        <v>538</v>
      </c>
      <c r="C116" s="66" t="s">
        <v>538</v>
      </c>
      <c r="D116" s="150" t="s">
        <v>1136</v>
      </c>
      <c r="E116" s="482" t="s">
        <v>1566</v>
      </c>
      <c r="F116" s="150" t="s">
        <v>1345</v>
      </c>
      <c r="G116" s="150" t="s">
        <v>1345</v>
      </c>
      <c r="H116" s="150" t="s">
        <v>1345</v>
      </c>
      <c r="I116" s="150" t="s">
        <v>1345</v>
      </c>
      <c r="J116" s="150" t="s">
        <v>1346</v>
      </c>
      <c r="K116" s="511" t="s">
        <v>389</v>
      </c>
      <c r="L116" s="392" t="s">
        <v>1327</v>
      </c>
      <c r="M116" s="343"/>
      <c r="N116" s="343"/>
      <c r="O116" s="70" t="s">
        <v>147</v>
      </c>
      <c r="P116" s="346"/>
      <c r="Q116" s="343"/>
      <c r="R116" s="346"/>
      <c r="S116" s="150" t="s">
        <v>25</v>
      </c>
      <c r="T116" s="150"/>
      <c r="U116" s="403"/>
      <c r="V116" s="406">
        <v>0</v>
      </c>
      <c r="W116" s="406">
        <v>0.11999999999999997</v>
      </c>
      <c r="X116" s="425"/>
      <c r="Y116" s="71"/>
      <c r="Z116" s="426">
        <v>-0.3</v>
      </c>
      <c r="AA116" s="427">
        <v>0.57999999999999996</v>
      </c>
      <c r="AB116" s="427">
        <v>-0.16</v>
      </c>
      <c r="AC116" s="428">
        <v>0.12</v>
      </c>
      <c r="AD116" s="429">
        <v>-0.5</v>
      </c>
      <c r="AE116" s="429">
        <v>0.41</v>
      </c>
      <c r="AF116" s="360">
        <v>0</v>
      </c>
      <c r="AG116" s="360">
        <v>0</v>
      </c>
      <c r="AH116" s="360">
        <v>0</v>
      </c>
      <c r="AI116" s="360">
        <v>0</v>
      </c>
      <c r="AJ116" s="360">
        <v>0</v>
      </c>
      <c r="AK116" s="360">
        <v>0</v>
      </c>
      <c r="AL116" s="360">
        <v>0.14999999999999997</v>
      </c>
      <c r="AM116" s="362">
        <v>0.03</v>
      </c>
      <c r="AN116" s="79">
        <v>0</v>
      </c>
      <c r="AO116" s="79">
        <v>0.41</v>
      </c>
      <c r="AP116" s="374">
        <v>0.03</v>
      </c>
      <c r="AQ116" s="80"/>
      <c r="AR116" s="79">
        <v>0.03</v>
      </c>
      <c r="AS116" s="81"/>
      <c r="AT116" s="375">
        <v>-0.3</v>
      </c>
      <c r="AU116" s="375">
        <v>0.57999999999999996</v>
      </c>
      <c r="AV116" s="375">
        <v>-0.16</v>
      </c>
      <c r="AW116" s="375">
        <v>0</v>
      </c>
      <c r="AX116" s="375">
        <v>0</v>
      </c>
      <c r="AY116" s="375">
        <v>0</v>
      </c>
      <c r="AZ116" s="375">
        <v>0</v>
      </c>
      <c r="BA116" s="375">
        <v>0</v>
      </c>
      <c r="BB116" s="375">
        <v>0</v>
      </c>
      <c r="BC116" s="375">
        <v>0</v>
      </c>
      <c r="BD116" s="375">
        <v>0</v>
      </c>
      <c r="BE116" s="375">
        <v>0</v>
      </c>
      <c r="BF116" s="375">
        <v>0.11999999999999997</v>
      </c>
      <c r="BG116" s="79">
        <v>-0.3</v>
      </c>
      <c r="BH116" s="79">
        <v>0.57999999999999996</v>
      </c>
      <c r="BI116" s="79">
        <v>-0.16</v>
      </c>
      <c r="BJ116" s="79">
        <v>0</v>
      </c>
      <c r="BK116" s="79">
        <v>0</v>
      </c>
      <c r="BL116" s="79">
        <v>0</v>
      </c>
      <c r="BM116" s="79">
        <v>0</v>
      </c>
      <c r="BN116" s="79">
        <v>0</v>
      </c>
      <c r="BO116" s="79">
        <v>0</v>
      </c>
      <c r="BP116" s="79">
        <v>0</v>
      </c>
      <c r="BQ116" s="79">
        <v>0</v>
      </c>
      <c r="BR116" s="79">
        <v>0</v>
      </c>
      <c r="BS116" s="79">
        <v>0.11999999999999997</v>
      </c>
    </row>
    <row r="117" spans="1:71" ht="15" customHeight="1">
      <c r="A117" s="66" t="s">
        <v>2033</v>
      </c>
      <c r="B117" s="66" t="s">
        <v>538</v>
      </c>
      <c r="C117" s="66" t="s">
        <v>2034</v>
      </c>
      <c r="D117" s="150" t="s">
        <v>1136</v>
      </c>
      <c r="E117" s="482" t="s">
        <v>1566</v>
      </c>
      <c r="F117" s="150" t="s">
        <v>1345</v>
      </c>
      <c r="G117" s="150" t="s">
        <v>1437</v>
      </c>
      <c r="H117" s="150" t="s">
        <v>1345</v>
      </c>
      <c r="I117" s="150" t="s">
        <v>1437</v>
      </c>
      <c r="J117" s="150" t="s">
        <v>1346</v>
      </c>
      <c r="K117" s="511" t="s">
        <v>389</v>
      </c>
      <c r="L117" s="392" t="s">
        <v>1327</v>
      </c>
      <c r="M117" s="343"/>
      <c r="N117" s="343"/>
      <c r="O117" s="70" t="s">
        <v>147</v>
      </c>
      <c r="P117" s="346"/>
      <c r="Q117" s="343"/>
      <c r="R117" s="346"/>
      <c r="S117" s="150" t="s">
        <v>25</v>
      </c>
      <c r="T117" s="150"/>
      <c r="U117" s="403"/>
      <c r="V117" s="406">
        <v>0</v>
      </c>
      <c r="W117" s="406">
        <v>-0.18000000000000002</v>
      </c>
      <c r="X117" s="425"/>
      <c r="Y117" s="71"/>
      <c r="Z117" s="426">
        <v>-0.24</v>
      </c>
      <c r="AA117" s="427">
        <v>-0.17</v>
      </c>
      <c r="AB117" s="427">
        <v>0.23</v>
      </c>
      <c r="AC117" s="428">
        <v>0.67</v>
      </c>
      <c r="AD117" s="429">
        <v>-0.61</v>
      </c>
      <c r="AE117" s="429">
        <v>-0.32</v>
      </c>
      <c r="AF117" s="360">
        <v>0</v>
      </c>
      <c r="AG117" s="360">
        <v>0</v>
      </c>
      <c r="AH117" s="360">
        <v>0</v>
      </c>
      <c r="AI117" s="360">
        <v>0</v>
      </c>
      <c r="AJ117" s="360">
        <v>0</v>
      </c>
      <c r="AK117" s="360">
        <v>0</v>
      </c>
      <c r="AL117" s="360">
        <v>-0.44</v>
      </c>
      <c r="AM117" s="362">
        <v>-0.26</v>
      </c>
      <c r="AN117" s="79">
        <v>0</v>
      </c>
      <c r="AO117" s="79">
        <v>-0.32</v>
      </c>
      <c r="AP117" s="374">
        <v>-0.26</v>
      </c>
      <c r="AQ117" s="80"/>
      <c r="AR117" s="79">
        <v>-0.26</v>
      </c>
      <c r="AS117" s="81"/>
      <c r="AT117" s="375">
        <v>-0.24</v>
      </c>
      <c r="AU117" s="375">
        <v>-0.17</v>
      </c>
      <c r="AV117" s="375">
        <v>0.23</v>
      </c>
      <c r="AW117" s="375">
        <v>0</v>
      </c>
      <c r="AX117" s="375">
        <v>0</v>
      </c>
      <c r="AY117" s="375">
        <v>0</v>
      </c>
      <c r="AZ117" s="375">
        <v>0</v>
      </c>
      <c r="BA117" s="375">
        <v>0</v>
      </c>
      <c r="BB117" s="375">
        <v>0</v>
      </c>
      <c r="BC117" s="375">
        <v>0</v>
      </c>
      <c r="BD117" s="375">
        <v>0</v>
      </c>
      <c r="BE117" s="375">
        <v>0</v>
      </c>
      <c r="BF117" s="375">
        <v>-0.18000000000000002</v>
      </c>
      <c r="BG117" s="79">
        <v>-0.24</v>
      </c>
      <c r="BH117" s="79">
        <v>-0.17</v>
      </c>
      <c r="BI117" s="79">
        <v>0.23</v>
      </c>
      <c r="BJ117" s="79">
        <v>0</v>
      </c>
      <c r="BK117" s="79">
        <v>0</v>
      </c>
      <c r="BL117" s="79">
        <v>0</v>
      </c>
      <c r="BM117" s="79">
        <v>0</v>
      </c>
      <c r="BN117" s="79">
        <v>0</v>
      </c>
      <c r="BO117" s="79">
        <v>0</v>
      </c>
      <c r="BP117" s="79">
        <v>0</v>
      </c>
      <c r="BQ117" s="79">
        <v>0</v>
      </c>
      <c r="BR117" s="79">
        <v>0</v>
      </c>
      <c r="BS117" s="79">
        <v>-0.18000000000000002</v>
      </c>
    </row>
    <row r="118" spans="1:71" ht="15" customHeight="1">
      <c r="A118" s="66" t="s">
        <v>2664</v>
      </c>
      <c r="B118" s="66" t="s">
        <v>940</v>
      </c>
      <c r="C118" s="66" t="s">
        <v>940</v>
      </c>
      <c r="D118" s="150" t="s">
        <v>1136</v>
      </c>
      <c r="E118" s="482" t="s">
        <v>1566</v>
      </c>
      <c r="F118" s="150" t="s">
        <v>1345</v>
      </c>
      <c r="G118" s="150" t="s">
        <v>1345</v>
      </c>
      <c r="H118" s="150" t="s">
        <v>1345</v>
      </c>
      <c r="I118" s="150" t="s">
        <v>1345</v>
      </c>
      <c r="J118" s="150" t="s">
        <v>1346</v>
      </c>
      <c r="K118" s="511" t="s">
        <v>639</v>
      </c>
      <c r="L118" s="392" t="s">
        <v>1138</v>
      </c>
      <c r="M118" s="343"/>
      <c r="N118" s="343"/>
      <c r="O118" s="70" t="s">
        <v>51</v>
      </c>
      <c r="P118" s="346" t="s">
        <v>1139</v>
      </c>
      <c r="Q118" s="346" t="s">
        <v>1140</v>
      </c>
      <c r="R118" s="346"/>
      <c r="S118" s="150" t="s">
        <v>25</v>
      </c>
      <c r="T118" s="150"/>
      <c r="U118" s="403"/>
      <c r="V118" s="406">
        <v>0</v>
      </c>
      <c r="W118" s="406">
        <v>218.76</v>
      </c>
      <c r="X118" s="430"/>
      <c r="Y118" s="137"/>
      <c r="Z118" s="426"/>
      <c r="AA118" s="427">
        <v>218.76</v>
      </c>
      <c r="AB118" s="431">
        <v>0</v>
      </c>
      <c r="AC118" s="428">
        <v>0</v>
      </c>
      <c r="AD118" s="429">
        <v>0</v>
      </c>
      <c r="AE118" s="429">
        <v>0</v>
      </c>
      <c r="AF118" s="360">
        <v>0</v>
      </c>
      <c r="AG118" s="360">
        <v>0</v>
      </c>
      <c r="AH118" s="360">
        <v>0</v>
      </c>
      <c r="AI118" s="360">
        <v>0</v>
      </c>
      <c r="AJ118" s="360">
        <v>0</v>
      </c>
      <c r="AK118" s="360">
        <v>0</v>
      </c>
      <c r="AL118" s="360">
        <v>218.76</v>
      </c>
      <c r="AM118" s="362">
        <v>0</v>
      </c>
      <c r="AN118" s="79">
        <v>0</v>
      </c>
      <c r="AO118" s="79">
        <v>0</v>
      </c>
      <c r="AP118" s="374">
        <v>0</v>
      </c>
      <c r="AQ118" s="80"/>
      <c r="AR118" s="79">
        <v>0</v>
      </c>
      <c r="AS118" s="81"/>
      <c r="AT118" s="375"/>
      <c r="AU118" s="375">
        <v>218.76</v>
      </c>
      <c r="AV118" s="375">
        <v>0</v>
      </c>
      <c r="AW118" s="375">
        <v>0</v>
      </c>
      <c r="AX118" s="375">
        <v>0</v>
      </c>
      <c r="AY118" s="375">
        <v>0</v>
      </c>
      <c r="AZ118" s="375">
        <v>0</v>
      </c>
      <c r="BA118" s="375">
        <v>0</v>
      </c>
      <c r="BB118" s="375">
        <v>0</v>
      </c>
      <c r="BC118" s="375">
        <v>0</v>
      </c>
      <c r="BD118" s="375">
        <v>0</v>
      </c>
      <c r="BE118" s="375">
        <v>0</v>
      </c>
      <c r="BF118" s="375">
        <v>218.76</v>
      </c>
      <c r="BG118" s="79"/>
      <c r="BH118" s="79">
        <v>218.76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0</v>
      </c>
      <c r="BP118" s="79">
        <v>0</v>
      </c>
      <c r="BQ118" s="79">
        <v>0</v>
      </c>
      <c r="BR118" s="79">
        <v>0</v>
      </c>
      <c r="BS118" s="79">
        <v>218.76</v>
      </c>
    </row>
    <row r="119" spans="1:71" ht="15" customHeight="1">
      <c r="A119" s="66" t="s">
        <v>2665</v>
      </c>
      <c r="B119" s="66" t="s">
        <v>940</v>
      </c>
      <c r="C119" s="66" t="s">
        <v>2666</v>
      </c>
      <c r="D119" s="150" t="s">
        <v>1136</v>
      </c>
      <c r="E119" s="482" t="s">
        <v>1566</v>
      </c>
      <c r="F119" s="150" t="s">
        <v>1345</v>
      </c>
      <c r="G119" s="150" t="s">
        <v>1437</v>
      </c>
      <c r="H119" s="150" t="s">
        <v>1345</v>
      </c>
      <c r="I119" s="150" t="s">
        <v>1437</v>
      </c>
      <c r="J119" s="150" t="s">
        <v>1346</v>
      </c>
      <c r="K119" s="511" t="s">
        <v>639</v>
      </c>
      <c r="L119" s="392" t="s">
        <v>1138</v>
      </c>
      <c r="M119" s="343"/>
      <c r="N119" s="343"/>
      <c r="O119" s="70" t="s">
        <v>51</v>
      </c>
      <c r="P119" s="346" t="s">
        <v>1139</v>
      </c>
      <c r="Q119" s="346" t="s">
        <v>1140</v>
      </c>
      <c r="R119" s="346"/>
      <c r="S119" s="150" t="s">
        <v>25</v>
      </c>
      <c r="T119" s="150"/>
      <c r="U119" s="403"/>
      <c r="V119" s="406">
        <v>0</v>
      </c>
      <c r="W119" s="406">
        <v>431.03</v>
      </c>
      <c r="X119" s="425"/>
      <c r="Y119" s="71"/>
      <c r="Z119" s="426"/>
      <c r="AA119" s="427">
        <v>431.03</v>
      </c>
      <c r="AB119" s="431">
        <v>0</v>
      </c>
      <c r="AC119" s="428">
        <v>0</v>
      </c>
      <c r="AD119" s="429">
        <v>0</v>
      </c>
      <c r="AE119" s="429">
        <v>0</v>
      </c>
      <c r="AF119" s="360">
        <v>0</v>
      </c>
      <c r="AG119" s="360">
        <v>0</v>
      </c>
      <c r="AH119" s="360">
        <v>0</v>
      </c>
      <c r="AI119" s="360">
        <v>0</v>
      </c>
      <c r="AJ119" s="360">
        <v>0</v>
      </c>
      <c r="AK119" s="360">
        <v>0</v>
      </c>
      <c r="AL119" s="360">
        <v>431.03</v>
      </c>
      <c r="AM119" s="362">
        <v>0</v>
      </c>
      <c r="AN119" s="79">
        <v>0</v>
      </c>
      <c r="AO119" s="79">
        <v>0</v>
      </c>
      <c r="AP119" s="374">
        <v>0</v>
      </c>
      <c r="AQ119" s="80"/>
      <c r="AR119" s="79">
        <v>0</v>
      </c>
      <c r="AS119" s="81"/>
      <c r="AT119" s="375"/>
      <c r="AU119" s="375">
        <v>431.03</v>
      </c>
      <c r="AV119" s="375">
        <v>0</v>
      </c>
      <c r="AW119" s="375">
        <v>0</v>
      </c>
      <c r="AX119" s="375">
        <v>0</v>
      </c>
      <c r="AY119" s="375">
        <v>0</v>
      </c>
      <c r="AZ119" s="375">
        <v>0</v>
      </c>
      <c r="BA119" s="375">
        <v>0</v>
      </c>
      <c r="BB119" s="375">
        <v>0</v>
      </c>
      <c r="BC119" s="375">
        <v>0</v>
      </c>
      <c r="BD119" s="375">
        <v>0</v>
      </c>
      <c r="BE119" s="375">
        <v>0</v>
      </c>
      <c r="BF119" s="375">
        <v>431.03</v>
      </c>
      <c r="BG119" s="79"/>
      <c r="BH119" s="79">
        <v>431.03</v>
      </c>
      <c r="BI119" s="79">
        <v>0</v>
      </c>
      <c r="BJ119" s="79">
        <v>0</v>
      </c>
      <c r="BK119" s="79">
        <v>0</v>
      </c>
      <c r="BL119" s="79">
        <v>0</v>
      </c>
      <c r="BM119" s="79">
        <v>0</v>
      </c>
      <c r="BN119" s="79">
        <v>0</v>
      </c>
      <c r="BO119" s="79">
        <v>0</v>
      </c>
      <c r="BP119" s="79">
        <v>0</v>
      </c>
      <c r="BQ119" s="79">
        <v>0</v>
      </c>
      <c r="BR119" s="79">
        <v>0</v>
      </c>
      <c r="BS119" s="79">
        <v>431.03</v>
      </c>
    </row>
    <row r="120" spans="1:71" ht="15" customHeight="1">
      <c r="A120" s="66" t="s">
        <v>2685</v>
      </c>
      <c r="B120" s="66" t="s">
        <v>950</v>
      </c>
      <c r="C120" s="66" t="s">
        <v>950</v>
      </c>
      <c r="D120" s="150" t="s">
        <v>1136</v>
      </c>
      <c r="E120" s="482" t="s">
        <v>1566</v>
      </c>
      <c r="F120" s="150" t="s">
        <v>1345</v>
      </c>
      <c r="G120" s="150" t="s">
        <v>1345</v>
      </c>
      <c r="H120" s="150" t="s">
        <v>1345</v>
      </c>
      <c r="I120" s="150" t="s">
        <v>1345</v>
      </c>
      <c r="J120" s="150" t="s">
        <v>1346</v>
      </c>
      <c r="K120" s="511" t="s">
        <v>639</v>
      </c>
      <c r="L120" s="392" t="s">
        <v>818</v>
      </c>
      <c r="M120" s="343"/>
      <c r="N120" s="343"/>
      <c r="O120" s="70" t="s">
        <v>817</v>
      </c>
      <c r="P120" s="346"/>
      <c r="Q120" s="346" t="s">
        <v>1140</v>
      </c>
      <c r="R120" s="346"/>
      <c r="S120" s="150" t="s">
        <v>818</v>
      </c>
      <c r="T120" s="150"/>
      <c r="U120" s="403"/>
      <c r="V120" s="406">
        <v>13200</v>
      </c>
      <c r="W120" s="406">
        <v>19370.91</v>
      </c>
      <c r="X120" s="430"/>
      <c r="Y120" s="137"/>
      <c r="Z120" s="426"/>
      <c r="AA120" s="427"/>
      <c r="AB120" s="427">
        <v>9470.91</v>
      </c>
      <c r="AC120" s="428">
        <v>0</v>
      </c>
      <c r="AD120" s="429">
        <v>0</v>
      </c>
      <c r="AE120" s="429">
        <v>6148.3</v>
      </c>
      <c r="AF120" s="360">
        <v>0</v>
      </c>
      <c r="AG120" s="360">
        <v>0</v>
      </c>
      <c r="AH120" s="363">
        <v>3300</v>
      </c>
      <c r="AI120" s="360">
        <v>0</v>
      </c>
      <c r="AJ120" s="360">
        <v>0</v>
      </c>
      <c r="AK120" s="363">
        <v>3300</v>
      </c>
      <c r="AL120" s="360">
        <v>22219.21</v>
      </c>
      <c r="AM120" s="362">
        <v>2848.2999999999993</v>
      </c>
      <c r="AN120" s="79">
        <v>0</v>
      </c>
      <c r="AO120" s="79">
        <v>6148.3</v>
      </c>
      <c r="AP120" s="374">
        <v>2848.2999999999993</v>
      </c>
      <c r="AQ120" s="80"/>
      <c r="AR120" s="79">
        <v>2848.2999999999993</v>
      </c>
      <c r="AS120" s="81"/>
      <c r="AT120" s="375"/>
      <c r="AU120" s="375"/>
      <c r="AV120" s="375">
        <v>9470.91</v>
      </c>
      <c r="AW120" s="375">
        <v>0</v>
      </c>
      <c r="AX120" s="375">
        <v>0</v>
      </c>
      <c r="AY120" s="375">
        <v>3300</v>
      </c>
      <c r="AZ120" s="375">
        <v>0</v>
      </c>
      <c r="BA120" s="375">
        <v>0</v>
      </c>
      <c r="BB120" s="375">
        <v>3300</v>
      </c>
      <c r="BC120" s="375">
        <v>0</v>
      </c>
      <c r="BD120" s="375">
        <v>0</v>
      </c>
      <c r="BE120" s="375">
        <v>3300</v>
      </c>
      <c r="BF120" s="375">
        <v>19370.91</v>
      </c>
      <c r="BG120" s="79"/>
      <c r="BH120" s="79"/>
      <c r="BI120" s="79">
        <v>9470.91</v>
      </c>
      <c r="BJ120" s="79">
        <v>0</v>
      </c>
      <c r="BK120" s="79">
        <v>0</v>
      </c>
      <c r="BL120" s="79">
        <v>3300</v>
      </c>
      <c r="BM120" s="79">
        <v>0</v>
      </c>
      <c r="BN120" s="79">
        <v>0</v>
      </c>
      <c r="BO120" s="79">
        <v>3300</v>
      </c>
      <c r="BP120" s="79">
        <v>0</v>
      </c>
      <c r="BQ120" s="79">
        <v>0</v>
      </c>
      <c r="BR120" s="79">
        <v>3300</v>
      </c>
      <c r="BS120" s="79">
        <v>19370.91</v>
      </c>
    </row>
    <row r="121" spans="1:71" ht="15" customHeight="1">
      <c r="A121" s="79" t="s">
        <v>2686</v>
      </c>
      <c r="B121" s="79" t="s">
        <v>950</v>
      </c>
      <c r="C121" s="296" t="s">
        <v>2687</v>
      </c>
      <c r="D121" s="150" t="s">
        <v>1136</v>
      </c>
      <c r="E121" s="482" t="s">
        <v>1566</v>
      </c>
      <c r="F121" s="150" t="s">
        <v>1345</v>
      </c>
      <c r="G121" s="332" t="s">
        <v>1437</v>
      </c>
      <c r="H121" s="150" t="s">
        <v>1345</v>
      </c>
      <c r="I121" s="332" t="s">
        <v>1437</v>
      </c>
      <c r="J121" s="333" t="s">
        <v>1437</v>
      </c>
      <c r="K121" s="514" t="s">
        <v>639</v>
      </c>
      <c r="L121" s="394"/>
      <c r="M121" s="333"/>
      <c r="N121" s="333"/>
      <c r="O121" s="90" t="s">
        <v>817</v>
      </c>
      <c r="P121" s="347"/>
      <c r="Q121" s="347"/>
      <c r="R121" s="348"/>
      <c r="S121" s="348"/>
      <c r="T121" s="348"/>
      <c r="U121" s="402"/>
      <c r="V121" s="358"/>
      <c r="W121" s="379"/>
      <c r="X121" s="425"/>
      <c r="Y121" s="71"/>
      <c r="Z121" s="435"/>
      <c r="AA121" s="436"/>
      <c r="AB121" s="436"/>
      <c r="AC121" s="429"/>
      <c r="AD121" s="429"/>
      <c r="AE121" s="429">
        <v>3285.0699999999997</v>
      </c>
      <c r="AF121" s="364"/>
      <c r="AG121" s="364"/>
      <c r="AH121" s="364"/>
      <c r="AI121" s="364"/>
      <c r="AJ121" s="364"/>
      <c r="AK121" s="364"/>
      <c r="AL121" s="360">
        <v>3285.0699999999997</v>
      </c>
      <c r="AM121" s="362">
        <v>3285.0699999999997</v>
      </c>
      <c r="AN121" s="79"/>
      <c r="AO121" s="79">
        <v>3285.0699999999997</v>
      </c>
      <c r="AP121" s="391">
        <v>3285.0699999999997</v>
      </c>
      <c r="AQ121" s="80"/>
      <c r="AR121" s="79">
        <v>3285.0699999999997</v>
      </c>
      <c r="AS121" s="81"/>
      <c r="AT121" s="375"/>
      <c r="AU121" s="375"/>
      <c r="AV121" s="375"/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375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</row>
    <row r="122" spans="1:71" ht="15" customHeight="1">
      <c r="A122" s="66" t="s">
        <v>2699</v>
      </c>
      <c r="B122" s="66" t="s">
        <v>955</v>
      </c>
      <c r="C122" s="66" t="s">
        <v>955</v>
      </c>
      <c r="D122" s="150" t="s">
        <v>1136</v>
      </c>
      <c r="E122" s="482" t="s">
        <v>1566</v>
      </c>
      <c r="F122" s="150" t="s">
        <v>1345</v>
      </c>
      <c r="G122" s="150" t="s">
        <v>1345</v>
      </c>
      <c r="H122" s="150" t="s">
        <v>1345</v>
      </c>
      <c r="I122" s="150" t="s">
        <v>1345</v>
      </c>
      <c r="J122" s="150" t="s">
        <v>1346</v>
      </c>
      <c r="K122" s="511" t="s">
        <v>639</v>
      </c>
      <c r="L122" s="392" t="s">
        <v>1327</v>
      </c>
      <c r="M122" s="343"/>
      <c r="N122" s="343"/>
      <c r="O122" s="70" t="s">
        <v>147</v>
      </c>
      <c r="P122" s="346"/>
      <c r="Q122" s="343"/>
      <c r="R122" s="346"/>
      <c r="S122" s="150" t="s">
        <v>25</v>
      </c>
      <c r="T122" s="150"/>
      <c r="U122" s="403"/>
      <c r="V122" s="406">
        <v>0</v>
      </c>
      <c r="W122" s="406">
        <v>0.32999999999999996</v>
      </c>
      <c r="X122" s="425"/>
      <c r="Y122" s="71"/>
      <c r="Z122" s="426"/>
      <c r="AA122" s="427">
        <v>0.24</v>
      </c>
      <c r="AB122" s="427">
        <v>0.09</v>
      </c>
      <c r="AC122" s="428">
        <v>0</v>
      </c>
      <c r="AD122" s="429">
        <v>0</v>
      </c>
      <c r="AE122" s="429">
        <v>-0.3</v>
      </c>
      <c r="AF122" s="360">
        <v>0</v>
      </c>
      <c r="AG122" s="360">
        <v>0</v>
      </c>
      <c r="AH122" s="360">
        <v>0</v>
      </c>
      <c r="AI122" s="360">
        <v>0</v>
      </c>
      <c r="AJ122" s="360">
        <v>0</v>
      </c>
      <c r="AK122" s="360">
        <v>0</v>
      </c>
      <c r="AL122" s="360">
        <v>2.9999999999999971E-2</v>
      </c>
      <c r="AM122" s="362">
        <v>-0.3</v>
      </c>
      <c r="AN122" s="79">
        <v>0</v>
      </c>
      <c r="AO122" s="79">
        <v>-0.3</v>
      </c>
      <c r="AP122" s="374">
        <v>-0.3</v>
      </c>
      <c r="AQ122" s="80"/>
      <c r="AR122" s="79">
        <v>-0.3</v>
      </c>
      <c r="AS122" s="81"/>
      <c r="AT122" s="375"/>
      <c r="AU122" s="375">
        <v>0.24</v>
      </c>
      <c r="AV122" s="375">
        <v>0.09</v>
      </c>
      <c r="AW122" s="375">
        <v>0</v>
      </c>
      <c r="AX122" s="375">
        <v>0</v>
      </c>
      <c r="AY122" s="375">
        <v>0</v>
      </c>
      <c r="AZ122" s="375">
        <v>0</v>
      </c>
      <c r="BA122" s="375">
        <v>0</v>
      </c>
      <c r="BB122" s="375">
        <v>0</v>
      </c>
      <c r="BC122" s="375">
        <v>0</v>
      </c>
      <c r="BD122" s="375">
        <v>0</v>
      </c>
      <c r="BE122" s="375">
        <v>0</v>
      </c>
      <c r="BF122" s="375">
        <v>0.32999999999999996</v>
      </c>
      <c r="BG122" s="79"/>
      <c r="BH122" s="79">
        <v>0.24</v>
      </c>
      <c r="BI122" s="79">
        <v>0.09</v>
      </c>
      <c r="BJ122" s="79">
        <v>0</v>
      </c>
      <c r="BK122" s="79">
        <v>0</v>
      </c>
      <c r="BL122" s="79">
        <v>0</v>
      </c>
      <c r="BM122" s="79">
        <v>0</v>
      </c>
      <c r="BN122" s="79">
        <v>0</v>
      </c>
      <c r="BO122" s="79">
        <v>0</v>
      </c>
      <c r="BP122" s="79">
        <v>0</v>
      </c>
      <c r="BQ122" s="79">
        <v>0</v>
      </c>
      <c r="BR122" s="79">
        <v>0</v>
      </c>
      <c r="BS122" s="79">
        <v>0.32999999999999996</v>
      </c>
    </row>
    <row r="123" spans="1:71" ht="15" customHeight="1">
      <c r="A123" s="66" t="s">
        <v>2700</v>
      </c>
      <c r="B123" s="66" t="s">
        <v>955</v>
      </c>
      <c r="C123" s="66" t="s">
        <v>2701</v>
      </c>
      <c r="D123" s="150" t="s">
        <v>1136</v>
      </c>
      <c r="E123" s="482" t="s">
        <v>1566</v>
      </c>
      <c r="F123" s="150" t="s">
        <v>1345</v>
      </c>
      <c r="G123" s="150" t="s">
        <v>1437</v>
      </c>
      <c r="H123" s="150" t="s">
        <v>1345</v>
      </c>
      <c r="I123" s="150" t="s">
        <v>1437</v>
      </c>
      <c r="J123" s="150" t="s">
        <v>1346</v>
      </c>
      <c r="K123" s="511" t="s">
        <v>639</v>
      </c>
      <c r="L123" s="392" t="s">
        <v>1327</v>
      </c>
      <c r="M123" s="343"/>
      <c r="N123" s="343"/>
      <c r="O123" s="70" t="s">
        <v>147</v>
      </c>
      <c r="P123" s="346"/>
      <c r="Q123" s="343"/>
      <c r="R123" s="346"/>
      <c r="S123" s="150" t="s">
        <v>25</v>
      </c>
      <c r="T123" s="150"/>
      <c r="U123" s="403"/>
      <c r="V123" s="406">
        <v>0</v>
      </c>
      <c r="W123" s="406">
        <v>1.999999999999999E-2</v>
      </c>
      <c r="X123" s="425"/>
      <c r="Y123" s="71"/>
      <c r="Z123" s="426">
        <v>0.13</v>
      </c>
      <c r="AA123" s="427">
        <v>0.09</v>
      </c>
      <c r="AB123" s="427">
        <v>-0.2</v>
      </c>
      <c r="AC123" s="428">
        <v>0.13</v>
      </c>
      <c r="AD123" s="429">
        <v>-0.53</v>
      </c>
      <c r="AE123" s="429">
        <v>0.73</v>
      </c>
      <c r="AF123" s="360">
        <v>0</v>
      </c>
      <c r="AG123" s="360">
        <v>0</v>
      </c>
      <c r="AH123" s="360">
        <v>0</v>
      </c>
      <c r="AI123" s="360">
        <v>0</v>
      </c>
      <c r="AJ123" s="360">
        <v>0</v>
      </c>
      <c r="AK123" s="360">
        <v>0</v>
      </c>
      <c r="AL123" s="360">
        <v>0.35</v>
      </c>
      <c r="AM123" s="362">
        <v>0.32999999999999996</v>
      </c>
      <c r="AN123" s="79">
        <v>0</v>
      </c>
      <c r="AO123" s="79">
        <v>0.73</v>
      </c>
      <c r="AP123" s="374">
        <v>0.32999999999999996</v>
      </c>
      <c r="AQ123" s="80"/>
      <c r="AR123" s="79">
        <v>0.32999999999999996</v>
      </c>
      <c r="AS123" s="81"/>
      <c r="AT123" s="375">
        <v>0.13</v>
      </c>
      <c r="AU123" s="375">
        <v>0.09</v>
      </c>
      <c r="AV123" s="375">
        <v>-0.2</v>
      </c>
      <c r="AW123" s="375">
        <v>0</v>
      </c>
      <c r="AX123" s="375">
        <v>0</v>
      </c>
      <c r="AY123" s="375">
        <v>0</v>
      </c>
      <c r="AZ123" s="375">
        <v>0</v>
      </c>
      <c r="BA123" s="375">
        <v>0</v>
      </c>
      <c r="BB123" s="375">
        <v>0</v>
      </c>
      <c r="BC123" s="375">
        <v>0</v>
      </c>
      <c r="BD123" s="375">
        <v>0</v>
      </c>
      <c r="BE123" s="375">
        <v>0</v>
      </c>
      <c r="BF123" s="375">
        <v>1.999999999999999E-2</v>
      </c>
      <c r="BG123" s="79">
        <v>0.13</v>
      </c>
      <c r="BH123" s="79">
        <v>0.09</v>
      </c>
      <c r="BI123" s="79">
        <v>-0.2</v>
      </c>
      <c r="BJ123" s="79">
        <v>0</v>
      </c>
      <c r="BK123" s="79">
        <v>0</v>
      </c>
      <c r="BL123" s="79">
        <v>0</v>
      </c>
      <c r="BM123" s="79">
        <v>0</v>
      </c>
      <c r="BN123" s="79">
        <v>0</v>
      </c>
      <c r="BO123" s="79">
        <v>0</v>
      </c>
      <c r="BP123" s="79">
        <v>0</v>
      </c>
      <c r="BQ123" s="79">
        <v>0</v>
      </c>
      <c r="BR123" s="79">
        <v>0</v>
      </c>
      <c r="BS123" s="79">
        <v>1.999999999999999E-2</v>
      </c>
    </row>
    <row r="124" spans="1:71" ht="15" customHeight="1">
      <c r="A124" s="150" t="s">
        <v>1510</v>
      </c>
      <c r="B124" s="536" t="s">
        <v>237</v>
      </c>
      <c r="C124" s="296" t="s">
        <v>237</v>
      </c>
      <c r="D124" s="150" t="s">
        <v>1136</v>
      </c>
      <c r="E124" s="482" t="s">
        <v>1566</v>
      </c>
      <c r="F124" s="383" t="s">
        <v>1480</v>
      </c>
      <c r="G124" s="383" t="s">
        <v>1480</v>
      </c>
      <c r="H124" s="332" t="s">
        <v>1345</v>
      </c>
      <c r="I124" s="332" t="s">
        <v>1480</v>
      </c>
      <c r="J124" s="333" t="s">
        <v>1480</v>
      </c>
      <c r="K124" s="514" t="s">
        <v>49</v>
      </c>
      <c r="L124" s="394" t="s">
        <v>1327</v>
      </c>
      <c r="M124" s="333"/>
      <c r="N124" s="332" t="s">
        <v>1493</v>
      </c>
      <c r="O124" s="90" t="s">
        <v>147</v>
      </c>
      <c r="P124" s="347"/>
      <c r="Q124" s="347"/>
      <c r="R124" s="348"/>
      <c r="S124" s="348"/>
      <c r="T124" s="348"/>
      <c r="U124" s="402"/>
      <c r="V124" s="406"/>
      <c r="W124" s="406"/>
      <c r="X124" s="425"/>
      <c r="Y124" s="71"/>
      <c r="Z124" s="435"/>
      <c r="AA124" s="436"/>
      <c r="AB124" s="436"/>
      <c r="AC124" s="429"/>
      <c r="AD124" s="429">
        <v>0</v>
      </c>
      <c r="AE124" s="429">
        <v>0</v>
      </c>
      <c r="AF124" s="364"/>
      <c r="AG124" s="364"/>
      <c r="AH124" s="364"/>
      <c r="AI124" s="364"/>
      <c r="AJ124" s="364"/>
      <c r="AK124" s="364"/>
      <c r="AL124" s="360">
        <v>0</v>
      </c>
      <c r="AM124" s="362">
        <v>0</v>
      </c>
      <c r="AN124" s="79"/>
      <c r="AO124" s="79">
        <v>0</v>
      </c>
      <c r="AP124" s="374">
        <v>0</v>
      </c>
      <c r="AQ124" s="80"/>
      <c r="AR124" s="79">
        <v>0</v>
      </c>
      <c r="AS124" s="81"/>
      <c r="AT124" s="375"/>
      <c r="AU124" s="375"/>
      <c r="AV124" s="375"/>
      <c r="AW124" s="375"/>
      <c r="AX124" s="375"/>
      <c r="AY124" s="375"/>
      <c r="AZ124" s="375"/>
      <c r="BA124" s="375"/>
      <c r="BB124" s="375"/>
      <c r="BC124" s="375"/>
      <c r="BD124" s="375"/>
      <c r="BE124" s="375"/>
      <c r="BF124" s="375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</row>
    <row r="125" spans="1:71" ht="15" customHeight="1">
      <c r="A125" s="66" t="s">
        <v>1511</v>
      </c>
      <c r="B125" s="66" t="s">
        <v>237</v>
      </c>
      <c r="C125" s="66" t="s">
        <v>1512</v>
      </c>
      <c r="D125" s="150" t="s">
        <v>1136</v>
      </c>
      <c r="E125" s="482" t="s">
        <v>1566</v>
      </c>
      <c r="F125" s="383" t="s">
        <v>1480</v>
      </c>
      <c r="G125" s="150" t="s">
        <v>1481</v>
      </c>
      <c r="H125" s="150" t="s">
        <v>1345</v>
      </c>
      <c r="I125" s="150" t="s">
        <v>1481</v>
      </c>
      <c r="J125" s="150" t="s">
        <v>1346</v>
      </c>
      <c r="K125" s="511" t="s">
        <v>49</v>
      </c>
      <c r="L125" s="392" t="s">
        <v>1327</v>
      </c>
      <c r="M125" s="343"/>
      <c r="N125" s="343"/>
      <c r="O125" s="70" t="s">
        <v>147</v>
      </c>
      <c r="P125" s="346"/>
      <c r="Q125" s="343"/>
      <c r="R125" s="346"/>
      <c r="S125" s="150" t="s">
        <v>25</v>
      </c>
      <c r="T125" s="473" t="s">
        <v>1513</v>
      </c>
      <c r="U125" s="404"/>
      <c r="V125" s="407">
        <v>0</v>
      </c>
      <c r="W125" s="407">
        <v>0</v>
      </c>
      <c r="X125" s="425"/>
      <c r="Y125" s="71"/>
      <c r="Z125" s="426"/>
      <c r="AA125" s="427">
        <v>-0.1</v>
      </c>
      <c r="AB125" s="427">
        <v>0.1</v>
      </c>
      <c r="AC125" s="428">
        <v>-0.32</v>
      </c>
      <c r="AD125" s="429">
        <v>0.81</v>
      </c>
      <c r="AE125" s="429">
        <v>-0.28000000000000003</v>
      </c>
      <c r="AF125" s="363"/>
      <c r="AG125" s="363"/>
      <c r="AH125" s="363"/>
      <c r="AI125" s="363"/>
      <c r="AJ125" s="363"/>
      <c r="AK125" s="363"/>
      <c r="AL125" s="360">
        <v>0.21000000000000002</v>
      </c>
      <c r="AM125" s="362">
        <v>0.21000000000000002</v>
      </c>
      <c r="AN125" s="79"/>
      <c r="AO125" s="79">
        <v>-0.28000000000000003</v>
      </c>
      <c r="AP125" s="374">
        <v>0.21000000000000002</v>
      </c>
      <c r="AQ125" s="80"/>
      <c r="AR125" s="79">
        <v>0.21000000000000002</v>
      </c>
      <c r="AS125" s="81"/>
      <c r="AT125" s="375"/>
      <c r="AU125" s="375">
        <v>-0.1</v>
      </c>
      <c r="AV125" s="375">
        <v>0.1</v>
      </c>
      <c r="AW125" s="375"/>
      <c r="AX125" s="375"/>
      <c r="AY125" s="375"/>
      <c r="AZ125" s="375"/>
      <c r="BA125" s="375"/>
      <c r="BB125" s="375"/>
      <c r="BC125" s="375"/>
      <c r="BD125" s="375"/>
      <c r="BE125" s="375"/>
      <c r="BF125" s="375">
        <v>0</v>
      </c>
      <c r="BG125" s="79"/>
      <c r="BH125" s="79">
        <v>-0.1</v>
      </c>
      <c r="BI125" s="79">
        <v>0.1</v>
      </c>
      <c r="BJ125" s="79"/>
      <c r="BK125" s="79"/>
      <c r="BL125" s="79"/>
      <c r="BM125" s="79"/>
      <c r="BN125" s="79"/>
      <c r="BO125" s="79"/>
      <c r="BP125" s="79"/>
      <c r="BQ125" s="79"/>
      <c r="BR125" s="79"/>
      <c r="BS125" s="79">
        <v>0</v>
      </c>
    </row>
    <row r="126" spans="1:71" ht="15" customHeight="1">
      <c r="A126" s="66" t="s">
        <v>2880</v>
      </c>
      <c r="B126" s="66" t="s">
        <v>37</v>
      </c>
      <c r="C126" s="66" t="s">
        <v>2881</v>
      </c>
      <c r="D126" s="150" t="s">
        <v>1136</v>
      </c>
      <c r="E126" s="482" t="s">
        <v>1566</v>
      </c>
      <c r="F126" s="150" t="s">
        <v>1566</v>
      </c>
      <c r="G126" s="150" t="s">
        <v>1566</v>
      </c>
      <c r="H126" s="150" t="s">
        <v>1567</v>
      </c>
      <c r="I126" s="150" t="s">
        <v>1567</v>
      </c>
      <c r="J126" s="150" t="s">
        <v>1567</v>
      </c>
      <c r="K126" s="511" t="s">
        <v>22</v>
      </c>
      <c r="L126" s="392" t="s">
        <v>2868</v>
      </c>
      <c r="M126" s="343"/>
      <c r="N126" s="343"/>
      <c r="O126" s="70" t="s">
        <v>24</v>
      </c>
      <c r="P126" s="346" t="s">
        <v>1139</v>
      </c>
      <c r="Q126" s="346" t="s">
        <v>1140</v>
      </c>
      <c r="R126" s="346"/>
      <c r="S126" s="150" t="s">
        <v>25</v>
      </c>
      <c r="T126" s="150"/>
      <c r="U126" s="403"/>
      <c r="V126" s="406">
        <v>330694.30999999988</v>
      </c>
      <c r="W126" s="406">
        <v>0</v>
      </c>
      <c r="X126" s="425"/>
      <c r="Y126" s="71"/>
      <c r="Z126" s="426"/>
      <c r="AA126" s="427"/>
      <c r="AB126" s="427"/>
      <c r="AC126" s="428" t="s">
        <v>1142</v>
      </c>
      <c r="AD126" s="429">
        <v>0</v>
      </c>
      <c r="AE126" s="429">
        <v>0</v>
      </c>
      <c r="AF126" s="363"/>
      <c r="AG126" s="363"/>
      <c r="AH126" s="363"/>
      <c r="AI126" s="363"/>
      <c r="AJ126" s="363"/>
      <c r="AK126" s="363"/>
      <c r="AL126" s="360">
        <v>0</v>
      </c>
      <c r="AM126" s="362">
        <v>0</v>
      </c>
      <c r="AN126" s="79"/>
      <c r="AO126" s="79">
        <v>0</v>
      </c>
      <c r="AP126" s="374">
        <v>0</v>
      </c>
      <c r="AQ126" s="80"/>
      <c r="AR126" s="79">
        <v>0</v>
      </c>
      <c r="AS126" s="81"/>
      <c r="AT126" s="375"/>
      <c r="AU126" s="375"/>
      <c r="AV126" s="375"/>
      <c r="AW126" s="375"/>
      <c r="AX126" s="375"/>
      <c r="AY126" s="375"/>
      <c r="AZ126" s="375"/>
      <c r="BA126" s="375"/>
      <c r="BB126" s="375"/>
      <c r="BC126" s="375"/>
      <c r="BD126" s="375"/>
      <c r="BE126" s="375"/>
      <c r="BF126" s="375">
        <v>0</v>
      </c>
      <c r="BG126" s="79">
        <v>92230.9</v>
      </c>
      <c r="BH126" s="79">
        <v>-4919.59</v>
      </c>
      <c r="BI126" s="79">
        <v>59978.67</v>
      </c>
      <c r="BJ126" s="79">
        <v>20638.45</v>
      </c>
      <c r="BK126" s="79">
        <v>34028.449999999997</v>
      </c>
      <c r="BL126" s="79">
        <v>32963.75</v>
      </c>
      <c r="BM126" s="79">
        <v>22316.67</v>
      </c>
      <c r="BN126" s="79">
        <v>22316.67</v>
      </c>
      <c r="BO126" s="79">
        <v>22316.67</v>
      </c>
      <c r="BP126" s="79">
        <v>22316.67</v>
      </c>
      <c r="BQ126" s="79">
        <v>22316.67</v>
      </c>
      <c r="BR126" s="79">
        <v>22316.67</v>
      </c>
      <c r="BS126" s="79">
        <v>368820.64999999991</v>
      </c>
    </row>
    <row r="127" spans="1:71" ht="15" customHeight="1">
      <c r="A127" s="66" t="s">
        <v>2887</v>
      </c>
      <c r="B127" s="66" t="s">
        <v>40</v>
      </c>
      <c r="C127" s="66" t="s">
        <v>2888</v>
      </c>
      <c r="D127" s="150" t="s">
        <v>1136</v>
      </c>
      <c r="E127" s="482" t="s">
        <v>1566</v>
      </c>
      <c r="F127" s="150" t="s">
        <v>1566</v>
      </c>
      <c r="G127" s="150" t="s">
        <v>1566</v>
      </c>
      <c r="H127" s="150" t="s">
        <v>1567</v>
      </c>
      <c r="I127" s="150" t="s">
        <v>1567</v>
      </c>
      <c r="J127" s="150" t="s">
        <v>1567</v>
      </c>
      <c r="K127" s="511" t="s">
        <v>22</v>
      </c>
      <c r="L127" s="392" t="s">
        <v>2870</v>
      </c>
      <c r="M127" s="343"/>
      <c r="N127" s="343"/>
      <c r="O127" s="70" t="s">
        <v>27</v>
      </c>
      <c r="P127" s="346" t="s">
        <v>1139</v>
      </c>
      <c r="Q127" s="346" t="s">
        <v>1140</v>
      </c>
      <c r="R127" s="346"/>
      <c r="S127" s="150" t="s">
        <v>25</v>
      </c>
      <c r="T127" s="150"/>
      <c r="U127" s="403"/>
      <c r="V127" s="406">
        <v>204823.02000000002</v>
      </c>
      <c r="W127" s="406">
        <v>0</v>
      </c>
      <c r="X127" s="425"/>
      <c r="Y127" s="71"/>
      <c r="Z127" s="426"/>
      <c r="AA127" s="427"/>
      <c r="AB127" s="427"/>
      <c r="AC127" s="428" t="s">
        <v>1142</v>
      </c>
      <c r="AD127" s="429">
        <v>0</v>
      </c>
      <c r="AE127" s="429">
        <v>0</v>
      </c>
      <c r="AF127" s="363"/>
      <c r="AG127" s="363"/>
      <c r="AH127" s="363"/>
      <c r="AI127" s="363"/>
      <c r="AJ127" s="363"/>
      <c r="AK127" s="363"/>
      <c r="AL127" s="360">
        <v>0</v>
      </c>
      <c r="AM127" s="362">
        <v>0</v>
      </c>
      <c r="AN127" s="79"/>
      <c r="AO127" s="79">
        <v>0</v>
      </c>
      <c r="AP127" s="374">
        <v>0</v>
      </c>
      <c r="AQ127" s="80"/>
      <c r="AR127" s="79">
        <v>0</v>
      </c>
      <c r="AS127" s="81"/>
      <c r="AT127" s="375"/>
      <c r="AU127" s="375"/>
      <c r="AV127" s="375"/>
      <c r="AW127" s="375"/>
      <c r="AX127" s="375"/>
      <c r="AY127" s="375"/>
      <c r="AZ127" s="375"/>
      <c r="BA127" s="375"/>
      <c r="BB127" s="375"/>
      <c r="BC127" s="375"/>
      <c r="BD127" s="375"/>
      <c r="BE127" s="375"/>
      <c r="BF127" s="375">
        <v>0</v>
      </c>
      <c r="BG127" s="79">
        <v>51562.58</v>
      </c>
      <c r="BH127" s="79">
        <v>27159.83</v>
      </c>
      <c r="BI127" s="79">
        <v>40975</v>
      </c>
      <c r="BJ127" s="79">
        <v>11866.46</v>
      </c>
      <c r="BK127" s="79">
        <v>21522.71</v>
      </c>
      <c r="BL127" s="79">
        <v>20882.86</v>
      </c>
      <c r="BM127" s="79">
        <v>14484.38</v>
      </c>
      <c r="BN127" s="79">
        <v>14484.38</v>
      </c>
      <c r="BO127" s="79">
        <v>14484.38</v>
      </c>
      <c r="BP127" s="79">
        <v>14484.38</v>
      </c>
      <c r="BQ127" s="79">
        <v>14484.38</v>
      </c>
      <c r="BR127" s="79">
        <v>14484.38</v>
      </c>
      <c r="BS127" s="79">
        <v>260875.72000000003</v>
      </c>
    </row>
    <row r="128" spans="1:71" ht="15" customHeight="1">
      <c r="A128" s="66" t="s">
        <v>2059</v>
      </c>
      <c r="B128" s="66" t="s">
        <v>553</v>
      </c>
      <c r="C128" s="66" t="s">
        <v>553</v>
      </c>
      <c r="D128" s="150" t="s">
        <v>1136</v>
      </c>
      <c r="E128" s="482" t="s">
        <v>1566</v>
      </c>
      <c r="F128" s="383" t="s">
        <v>1480</v>
      </c>
      <c r="G128" s="383" t="s">
        <v>1480</v>
      </c>
      <c r="H128" s="150" t="s">
        <v>1345</v>
      </c>
      <c r="I128" s="150" t="s">
        <v>1480</v>
      </c>
      <c r="J128" s="150" t="s">
        <v>1346</v>
      </c>
      <c r="K128" s="511" t="s">
        <v>389</v>
      </c>
      <c r="L128" s="392" t="s">
        <v>1855</v>
      </c>
      <c r="M128" s="343"/>
      <c r="N128" s="343"/>
      <c r="O128" s="70" t="s">
        <v>466</v>
      </c>
      <c r="P128" s="346"/>
      <c r="Q128" s="346" t="s">
        <v>1140</v>
      </c>
      <c r="R128" s="346"/>
      <c r="S128" s="150" t="s">
        <v>57</v>
      </c>
      <c r="T128" s="150"/>
      <c r="U128" s="403"/>
      <c r="V128" s="406">
        <v>27000</v>
      </c>
      <c r="W128" s="406">
        <v>26481</v>
      </c>
      <c r="X128" s="425"/>
      <c r="Y128" s="71"/>
      <c r="Z128" s="426">
        <v>1883</v>
      </c>
      <c r="AA128" s="427">
        <v>1481</v>
      </c>
      <c r="AB128" s="427">
        <v>2867</v>
      </c>
      <c r="AC128" s="428">
        <v>1442</v>
      </c>
      <c r="AD128" s="429">
        <v>1442</v>
      </c>
      <c r="AE128" s="429">
        <v>1375</v>
      </c>
      <c r="AF128" s="363">
        <v>2250</v>
      </c>
      <c r="AG128" s="363">
        <v>2250</v>
      </c>
      <c r="AH128" s="363">
        <v>2250</v>
      </c>
      <c r="AI128" s="363">
        <v>2250</v>
      </c>
      <c r="AJ128" s="363">
        <v>2250</v>
      </c>
      <c r="AK128" s="363">
        <v>2250</v>
      </c>
      <c r="AL128" s="360">
        <v>23990</v>
      </c>
      <c r="AM128" s="362">
        <v>-2491</v>
      </c>
      <c r="AN128" s="79">
        <v>2250</v>
      </c>
      <c r="AO128" s="79">
        <v>-875</v>
      </c>
      <c r="AP128" s="374">
        <v>-2491</v>
      </c>
      <c r="AQ128" s="80"/>
      <c r="AR128" s="79">
        <v>-2491</v>
      </c>
      <c r="AS128" s="81"/>
      <c r="AT128" s="375">
        <v>1883</v>
      </c>
      <c r="AU128" s="375">
        <v>1481</v>
      </c>
      <c r="AV128" s="375">
        <v>2867</v>
      </c>
      <c r="AW128" s="375">
        <v>2250</v>
      </c>
      <c r="AX128" s="375">
        <v>2250</v>
      </c>
      <c r="AY128" s="375">
        <v>2250</v>
      </c>
      <c r="AZ128" s="375">
        <v>2250</v>
      </c>
      <c r="BA128" s="375">
        <v>2250</v>
      </c>
      <c r="BB128" s="375">
        <v>2250</v>
      </c>
      <c r="BC128" s="375">
        <v>2250</v>
      </c>
      <c r="BD128" s="375">
        <v>2250</v>
      </c>
      <c r="BE128" s="375">
        <v>2250</v>
      </c>
      <c r="BF128" s="375">
        <v>26481</v>
      </c>
      <c r="BG128" s="79">
        <v>1883</v>
      </c>
      <c r="BH128" s="79">
        <v>1481</v>
      </c>
      <c r="BI128" s="79">
        <v>2867</v>
      </c>
      <c r="BJ128" s="79">
        <v>2250</v>
      </c>
      <c r="BK128" s="79">
        <v>2250</v>
      </c>
      <c r="BL128" s="79">
        <v>2250</v>
      </c>
      <c r="BM128" s="79">
        <v>2250</v>
      </c>
      <c r="BN128" s="79">
        <v>2250</v>
      </c>
      <c r="BO128" s="79">
        <v>2250</v>
      </c>
      <c r="BP128" s="79">
        <v>2250</v>
      </c>
      <c r="BQ128" s="79">
        <v>2250</v>
      </c>
      <c r="BR128" s="79">
        <v>2250</v>
      </c>
      <c r="BS128" s="79">
        <v>26481</v>
      </c>
    </row>
    <row r="129" spans="1:71" ht="15" customHeight="1">
      <c r="A129" s="66" t="s">
        <v>2061</v>
      </c>
      <c r="B129" s="66" t="s">
        <v>553</v>
      </c>
      <c r="C129" s="66" t="s">
        <v>2062</v>
      </c>
      <c r="D129" s="150" t="s">
        <v>1136</v>
      </c>
      <c r="E129" s="482" t="s">
        <v>1566</v>
      </c>
      <c r="F129" s="383" t="s">
        <v>1480</v>
      </c>
      <c r="G129" s="150" t="s">
        <v>1481</v>
      </c>
      <c r="H129" s="150" t="s">
        <v>1345</v>
      </c>
      <c r="I129" s="150" t="s">
        <v>1481</v>
      </c>
      <c r="J129" s="150" t="s">
        <v>1346</v>
      </c>
      <c r="K129" s="511" t="s">
        <v>389</v>
      </c>
      <c r="L129" s="392" t="s">
        <v>1855</v>
      </c>
      <c r="M129" s="343"/>
      <c r="N129" s="343"/>
      <c r="O129" s="70" t="s">
        <v>466</v>
      </c>
      <c r="P129" s="346"/>
      <c r="Q129" s="346" t="s">
        <v>1140</v>
      </c>
      <c r="R129" s="346"/>
      <c r="S129" s="150" t="s">
        <v>57</v>
      </c>
      <c r="T129" s="473" t="s">
        <v>1513</v>
      </c>
      <c r="U129" s="403"/>
      <c r="V129" s="406">
        <v>18852</v>
      </c>
      <c r="W129" s="406">
        <v>18092</v>
      </c>
      <c r="X129" s="425"/>
      <c r="Y129" s="71"/>
      <c r="Z129" s="426">
        <v>1206</v>
      </c>
      <c r="AA129" s="427">
        <v>1139</v>
      </c>
      <c r="AB129" s="427">
        <v>1608</v>
      </c>
      <c r="AC129" s="428">
        <v>1206</v>
      </c>
      <c r="AD129" s="429">
        <v>1206</v>
      </c>
      <c r="AE129" s="429">
        <v>1206</v>
      </c>
      <c r="AF129" s="363">
        <v>1571</v>
      </c>
      <c r="AG129" s="363">
        <v>1571</v>
      </c>
      <c r="AH129" s="363">
        <v>1571</v>
      </c>
      <c r="AI129" s="363">
        <v>1571</v>
      </c>
      <c r="AJ129" s="363">
        <v>1571</v>
      </c>
      <c r="AK129" s="363">
        <v>1571</v>
      </c>
      <c r="AL129" s="360">
        <v>16997</v>
      </c>
      <c r="AM129" s="362">
        <v>-1095</v>
      </c>
      <c r="AN129" s="79">
        <v>1571</v>
      </c>
      <c r="AO129" s="79">
        <v>-365</v>
      </c>
      <c r="AP129" s="374">
        <v>-1095</v>
      </c>
      <c r="AQ129" s="80"/>
      <c r="AR129" s="79">
        <v>-1095</v>
      </c>
      <c r="AS129" s="81"/>
      <c r="AT129" s="375">
        <v>1206</v>
      </c>
      <c r="AU129" s="375">
        <v>1139</v>
      </c>
      <c r="AV129" s="375">
        <v>1608</v>
      </c>
      <c r="AW129" s="375">
        <v>1571</v>
      </c>
      <c r="AX129" s="375">
        <v>1571</v>
      </c>
      <c r="AY129" s="375">
        <v>1571</v>
      </c>
      <c r="AZ129" s="375">
        <v>1571</v>
      </c>
      <c r="BA129" s="375">
        <v>1571</v>
      </c>
      <c r="BB129" s="375">
        <v>1571</v>
      </c>
      <c r="BC129" s="375">
        <v>1571</v>
      </c>
      <c r="BD129" s="375">
        <v>1571</v>
      </c>
      <c r="BE129" s="375">
        <v>1571</v>
      </c>
      <c r="BF129" s="375">
        <v>18092</v>
      </c>
      <c r="BG129" s="79">
        <v>1206</v>
      </c>
      <c r="BH129" s="79">
        <v>1139</v>
      </c>
      <c r="BI129" s="79">
        <v>1608</v>
      </c>
      <c r="BJ129" s="79">
        <v>1571</v>
      </c>
      <c r="BK129" s="79">
        <v>1571</v>
      </c>
      <c r="BL129" s="79">
        <v>1571</v>
      </c>
      <c r="BM129" s="79">
        <v>1571</v>
      </c>
      <c r="BN129" s="79">
        <v>1571</v>
      </c>
      <c r="BO129" s="79">
        <v>1571</v>
      </c>
      <c r="BP129" s="79">
        <v>1571</v>
      </c>
      <c r="BQ129" s="79">
        <v>1571</v>
      </c>
      <c r="BR129" s="79">
        <v>1571</v>
      </c>
      <c r="BS129" s="79">
        <v>18092</v>
      </c>
    </row>
    <row r="130" spans="1:71" ht="15" customHeight="1">
      <c r="A130" s="66" t="s">
        <v>2063</v>
      </c>
      <c r="B130" s="66" t="s">
        <v>554</v>
      </c>
      <c r="C130" s="66" t="s">
        <v>554</v>
      </c>
      <c r="D130" s="150" t="s">
        <v>1136</v>
      </c>
      <c r="E130" s="482" t="s">
        <v>1566</v>
      </c>
      <c r="F130" s="383" t="s">
        <v>1480</v>
      </c>
      <c r="G130" s="383" t="s">
        <v>1480</v>
      </c>
      <c r="H130" s="150" t="s">
        <v>1345</v>
      </c>
      <c r="I130" s="150" t="s">
        <v>1480</v>
      </c>
      <c r="J130" s="150" t="s">
        <v>1346</v>
      </c>
      <c r="K130" s="511" t="s">
        <v>389</v>
      </c>
      <c r="L130" s="392" t="s">
        <v>1327</v>
      </c>
      <c r="M130" s="343"/>
      <c r="N130" s="343"/>
      <c r="O130" s="70" t="s">
        <v>147</v>
      </c>
      <c r="P130" s="346"/>
      <c r="Q130" s="343"/>
      <c r="R130" s="346"/>
      <c r="S130" s="150" t="s">
        <v>25</v>
      </c>
      <c r="T130" s="150"/>
      <c r="U130" s="403"/>
      <c r="V130" s="406">
        <v>0</v>
      </c>
      <c r="W130" s="406">
        <v>-0.2</v>
      </c>
      <c r="X130" s="430"/>
      <c r="Y130" s="137"/>
      <c r="Z130" s="426">
        <v>-0.48</v>
      </c>
      <c r="AA130" s="427">
        <v>0.28999999999999998</v>
      </c>
      <c r="AB130" s="427">
        <v>-0.01</v>
      </c>
      <c r="AC130" s="428">
        <v>0.06</v>
      </c>
      <c r="AD130" s="429">
        <v>0.16</v>
      </c>
      <c r="AE130" s="429">
        <v>0.08</v>
      </c>
      <c r="AF130" s="360">
        <v>0</v>
      </c>
      <c r="AG130" s="360">
        <v>0</v>
      </c>
      <c r="AH130" s="360">
        <v>0</v>
      </c>
      <c r="AI130" s="360">
        <v>0</v>
      </c>
      <c r="AJ130" s="360">
        <v>0</v>
      </c>
      <c r="AK130" s="360">
        <v>0</v>
      </c>
      <c r="AL130" s="360">
        <v>9.9999999999999992E-2</v>
      </c>
      <c r="AM130" s="362">
        <v>0.3</v>
      </c>
      <c r="AN130" s="79">
        <v>0</v>
      </c>
      <c r="AO130" s="79">
        <v>0.08</v>
      </c>
      <c r="AP130" s="374">
        <v>0.3</v>
      </c>
      <c r="AQ130" s="80"/>
      <c r="AR130" s="79">
        <v>0.3</v>
      </c>
      <c r="AS130" s="81"/>
      <c r="AT130" s="375">
        <v>-0.48</v>
      </c>
      <c r="AU130" s="375">
        <v>0.28999999999999998</v>
      </c>
      <c r="AV130" s="375">
        <v>-0.01</v>
      </c>
      <c r="AW130" s="375">
        <v>0</v>
      </c>
      <c r="AX130" s="375">
        <v>0</v>
      </c>
      <c r="AY130" s="375">
        <v>0</v>
      </c>
      <c r="AZ130" s="375">
        <v>0</v>
      </c>
      <c r="BA130" s="375">
        <v>0</v>
      </c>
      <c r="BB130" s="375">
        <v>0</v>
      </c>
      <c r="BC130" s="375">
        <v>0</v>
      </c>
      <c r="BD130" s="375">
        <v>0</v>
      </c>
      <c r="BE130" s="375">
        <v>0</v>
      </c>
      <c r="BF130" s="375">
        <v>-0.2</v>
      </c>
      <c r="BG130" s="79">
        <v>-0.48</v>
      </c>
      <c r="BH130" s="79">
        <v>0.28999999999999998</v>
      </c>
      <c r="BI130" s="79">
        <v>-0.01</v>
      </c>
      <c r="BJ130" s="79">
        <v>0</v>
      </c>
      <c r="BK130" s="79">
        <v>0</v>
      </c>
      <c r="BL130" s="79">
        <v>0</v>
      </c>
      <c r="BM130" s="79">
        <v>0</v>
      </c>
      <c r="BN130" s="79">
        <v>0</v>
      </c>
      <c r="BO130" s="79">
        <v>0</v>
      </c>
      <c r="BP130" s="79">
        <v>0</v>
      </c>
      <c r="BQ130" s="79">
        <v>0</v>
      </c>
      <c r="BR130" s="79">
        <v>0</v>
      </c>
      <c r="BS130" s="79">
        <v>-0.2</v>
      </c>
    </row>
    <row r="131" spans="1:71" ht="15" customHeight="1">
      <c r="A131" s="66" t="s">
        <v>1669</v>
      </c>
      <c r="B131" s="66" t="s">
        <v>337</v>
      </c>
      <c r="C131" s="66" t="s">
        <v>1670</v>
      </c>
      <c r="D131" s="150" t="s">
        <v>1136</v>
      </c>
      <c r="E131" s="482" t="s">
        <v>1566</v>
      </c>
      <c r="F131" s="150" t="s">
        <v>1566</v>
      </c>
      <c r="G131" s="150" t="s">
        <v>1566</v>
      </c>
      <c r="H131" s="150" t="s">
        <v>1567</v>
      </c>
      <c r="I131" s="150" t="s">
        <v>1567</v>
      </c>
      <c r="J131" s="150" t="s">
        <v>1567</v>
      </c>
      <c r="K131" s="511" t="s">
        <v>333</v>
      </c>
      <c r="L131" s="392" t="s">
        <v>1663</v>
      </c>
      <c r="M131" s="343"/>
      <c r="N131" s="343"/>
      <c r="O131" s="70" t="s">
        <v>336</v>
      </c>
      <c r="P131" s="346"/>
      <c r="Q131" s="346" t="s">
        <v>1140</v>
      </c>
      <c r="R131" s="346"/>
      <c r="S131" s="150" t="s">
        <v>25</v>
      </c>
      <c r="T131" s="150" t="s">
        <v>1666</v>
      </c>
      <c r="U131" s="403"/>
      <c r="V131" s="406">
        <v>32110933.16</v>
      </c>
      <c r="W131" s="406">
        <v>34757461.509999998</v>
      </c>
      <c r="X131" s="425"/>
      <c r="Y131" s="71"/>
      <c r="Z131" s="426">
        <v>2815065.65</v>
      </c>
      <c r="AA131" s="427">
        <v>3048410.85</v>
      </c>
      <c r="AB131" s="427">
        <v>3021391.85</v>
      </c>
      <c r="AC131" s="428">
        <v>2973057.3200000008</v>
      </c>
      <c r="AD131" s="429">
        <v>3070156.0000000009</v>
      </c>
      <c r="AE131" s="429">
        <v>2999435.120000001</v>
      </c>
      <c r="AF131" s="363">
        <v>2977460.79</v>
      </c>
      <c r="AG131" s="363">
        <v>2957767.97</v>
      </c>
      <c r="AH131" s="363">
        <v>2824180.51</v>
      </c>
      <c r="AI131" s="363">
        <v>2683373.61</v>
      </c>
      <c r="AJ131" s="363">
        <v>2683374.5</v>
      </c>
      <c r="AK131" s="363">
        <v>2683373.5699999998</v>
      </c>
      <c r="AL131" s="360">
        <v>34737047.740000002</v>
      </c>
      <c r="AM131" s="362">
        <v>-20413.769999995828</v>
      </c>
      <c r="AN131" s="79">
        <v>3021022.03</v>
      </c>
      <c r="AO131" s="79">
        <v>-21586.909999998752</v>
      </c>
      <c r="AP131" s="374">
        <v>-20413.769999995828</v>
      </c>
      <c r="AQ131" s="80"/>
      <c r="AR131" s="79">
        <v>-20413.769999995828</v>
      </c>
      <c r="AS131" s="81"/>
      <c r="AT131" s="375">
        <v>2815065.65</v>
      </c>
      <c r="AU131" s="375">
        <v>3048410.85</v>
      </c>
      <c r="AV131" s="375">
        <v>3021391.85</v>
      </c>
      <c r="AW131" s="375">
        <v>3021020.11</v>
      </c>
      <c r="AX131" s="375">
        <v>3021022.03</v>
      </c>
      <c r="AY131" s="375">
        <v>3021020.07</v>
      </c>
      <c r="AZ131" s="375">
        <v>2977460.79</v>
      </c>
      <c r="BA131" s="375">
        <v>2957767.97</v>
      </c>
      <c r="BB131" s="375">
        <v>2824180.51</v>
      </c>
      <c r="BC131" s="375">
        <v>2683373.61</v>
      </c>
      <c r="BD131" s="375">
        <v>2683374.5</v>
      </c>
      <c r="BE131" s="375">
        <v>2683373.5699999998</v>
      </c>
      <c r="BF131" s="375">
        <v>34757461.509999998</v>
      </c>
      <c r="BG131" s="79">
        <v>2815065.65</v>
      </c>
      <c r="BH131" s="79">
        <v>3048410.85</v>
      </c>
      <c r="BI131" s="79">
        <v>3021391.85</v>
      </c>
      <c r="BJ131" s="79">
        <v>3021020.11</v>
      </c>
      <c r="BK131" s="79">
        <v>3021022.03</v>
      </c>
      <c r="BL131" s="79">
        <v>3021020.07</v>
      </c>
      <c r="BM131" s="79">
        <v>2977460.79</v>
      </c>
      <c r="BN131" s="79">
        <v>2957767.97</v>
      </c>
      <c r="BO131" s="79">
        <v>2824180.51</v>
      </c>
      <c r="BP131" s="79">
        <v>2683373.61</v>
      </c>
      <c r="BQ131" s="79">
        <v>2683374.5</v>
      </c>
      <c r="BR131" s="79">
        <v>2683373.5699999998</v>
      </c>
      <c r="BS131" s="79">
        <v>34757461.509999998</v>
      </c>
    </row>
    <row r="132" spans="1:71" ht="15" customHeight="1">
      <c r="A132" s="150" t="s">
        <v>2064</v>
      </c>
      <c r="B132" s="536" t="s">
        <v>554</v>
      </c>
      <c r="C132" s="296" t="s">
        <v>2065</v>
      </c>
      <c r="D132" s="150" t="s">
        <v>1136</v>
      </c>
      <c r="E132" s="482" t="s">
        <v>1566</v>
      </c>
      <c r="F132" s="383" t="s">
        <v>1480</v>
      </c>
      <c r="G132" s="332" t="s">
        <v>1481</v>
      </c>
      <c r="H132" s="332" t="s">
        <v>1345</v>
      </c>
      <c r="I132" s="332" t="s">
        <v>1481</v>
      </c>
      <c r="J132" s="332" t="s">
        <v>1481</v>
      </c>
      <c r="K132" s="514" t="s">
        <v>389</v>
      </c>
      <c r="L132" s="394" t="s">
        <v>1327</v>
      </c>
      <c r="M132" s="333"/>
      <c r="N132" s="332" t="s">
        <v>1487</v>
      </c>
      <c r="O132" s="90" t="s">
        <v>147</v>
      </c>
      <c r="P132" s="347"/>
      <c r="Q132" s="347"/>
      <c r="R132" s="348"/>
      <c r="S132" s="348"/>
      <c r="T132" s="348"/>
      <c r="U132" s="402"/>
      <c r="V132" s="406"/>
      <c r="W132" s="406"/>
      <c r="X132" s="425"/>
      <c r="Y132" s="71"/>
      <c r="Z132" s="435"/>
      <c r="AA132" s="436"/>
      <c r="AB132" s="436"/>
      <c r="AC132" s="436"/>
      <c r="AD132" s="429">
        <v>0</v>
      </c>
      <c r="AE132" s="429">
        <v>0</v>
      </c>
      <c r="AF132" s="364"/>
      <c r="AG132" s="364"/>
      <c r="AH132" s="364"/>
      <c r="AI132" s="364"/>
      <c r="AJ132" s="364"/>
      <c r="AK132" s="364"/>
      <c r="AL132" s="360">
        <v>0</v>
      </c>
      <c r="AM132" s="362">
        <v>0</v>
      </c>
      <c r="AN132" s="79"/>
      <c r="AO132" s="79">
        <v>0</v>
      </c>
      <c r="AP132" s="374">
        <v>0</v>
      </c>
      <c r="AQ132" s="80"/>
      <c r="AR132" s="79">
        <v>0</v>
      </c>
      <c r="AS132" s="81"/>
      <c r="AT132" s="375"/>
      <c r="AU132" s="375"/>
      <c r="AV132" s="375"/>
      <c r="AW132" s="375"/>
      <c r="AX132" s="375"/>
      <c r="AY132" s="375"/>
      <c r="AZ132" s="375"/>
      <c r="BA132" s="375"/>
      <c r="BB132" s="375"/>
      <c r="BC132" s="375"/>
      <c r="BD132" s="375"/>
      <c r="BE132" s="375"/>
      <c r="BF132" s="375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79"/>
      <c r="BS132" s="79"/>
    </row>
    <row r="133" spans="1:71" ht="15" customHeight="1">
      <c r="A133" s="66" t="s">
        <v>2725</v>
      </c>
      <c r="B133" s="66" t="s">
        <v>973</v>
      </c>
      <c r="C133" s="66" t="s">
        <v>973</v>
      </c>
      <c r="D133" s="150" t="s">
        <v>1136</v>
      </c>
      <c r="E133" s="482" t="s">
        <v>1566</v>
      </c>
      <c r="F133" s="383" t="s">
        <v>1480</v>
      </c>
      <c r="G133" s="383" t="s">
        <v>1480</v>
      </c>
      <c r="H133" s="150" t="s">
        <v>1345</v>
      </c>
      <c r="I133" s="150" t="s">
        <v>1480</v>
      </c>
      <c r="J133" s="150" t="s">
        <v>1346</v>
      </c>
      <c r="K133" s="511" t="s">
        <v>639</v>
      </c>
      <c r="L133" s="392" t="s">
        <v>818</v>
      </c>
      <c r="M133" s="343"/>
      <c r="N133" s="343"/>
      <c r="O133" s="70" t="s">
        <v>817</v>
      </c>
      <c r="P133" s="346"/>
      <c r="Q133" s="346" t="s">
        <v>1140</v>
      </c>
      <c r="R133" s="346"/>
      <c r="S133" s="150" t="s">
        <v>818</v>
      </c>
      <c r="T133" s="150"/>
      <c r="U133" s="403"/>
      <c r="V133" s="406">
        <v>30000</v>
      </c>
      <c r="W133" s="406">
        <v>33718.54</v>
      </c>
      <c r="X133" s="425"/>
      <c r="Y133" s="71"/>
      <c r="Z133" s="426"/>
      <c r="AA133" s="427"/>
      <c r="AB133" s="427">
        <v>11218.54</v>
      </c>
      <c r="AC133" s="428">
        <v>0</v>
      </c>
      <c r="AD133" s="429">
        <v>0</v>
      </c>
      <c r="AE133" s="429">
        <v>15527.55</v>
      </c>
      <c r="AF133" s="360">
        <v>0</v>
      </c>
      <c r="AG133" s="360">
        <v>0</v>
      </c>
      <c r="AH133" s="363">
        <v>7500</v>
      </c>
      <c r="AI133" s="360">
        <v>0</v>
      </c>
      <c r="AJ133" s="363">
        <v>7500</v>
      </c>
      <c r="AK133" s="360">
        <v>0</v>
      </c>
      <c r="AL133" s="360">
        <v>41746.089999999997</v>
      </c>
      <c r="AM133" s="362">
        <v>8027.5499999999956</v>
      </c>
      <c r="AN133" s="79">
        <v>0</v>
      </c>
      <c r="AO133" s="79">
        <v>15527.55</v>
      </c>
      <c r="AP133" s="374">
        <v>8027.5499999999993</v>
      </c>
      <c r="AQ133" s="80"/>
      <c r="AR133" s="79">
        <v>8027.5499999999956</v>
      </c>
      <c r="AS133" s="81"/>
      <c r="AT133" s="375"/>
      <c r="AU133" s="375"/>
      <c r="AV133" s="375">
        <v>11218.54</v>
      </c>
      <c r="AW133" s="375">
        <v>0</v>
      </c>
      <c r="AX133" s="375">
        <v>0</v>
      </c>
      <c r="AY133" s="375">
        <v>7500</v>
      </c>
      <c r="AZ133" s="375">
        <v>0</v>
      </c>
      <c r="BA133" s="375">
        <v>0</v>
      </c>
      <c r="BB133" s="375">
        <v>7500</v>
      </c>
      <c r="BC133" s="375">
        <v>0</v>
      </c>
      <c r="BD133" s="375">
        <v>7500</v>
      </c>
      <c r="BE133" s="375">
        <v>0</v>
      </c>
      <c r="BF133" s="375">
        <v>33718.54</v>
      </c>
      <c r="BG133" s="79"/>
      <c r="BH133" s="79"/>
      <c r="BI133" s="79">
        <v>11218.54</v>
      </c>
      <c r="BJ133" s="79">
        <v>0</v>
      </c>
      <c r="BK133" s="79">
        <v>0</v>
      </c>
      <c r="BL133" s="79">
        <v>7500</v>
      </c>
      <c r="BM133" s="79">
        <v>0</v>
      </c>
      <c r="BN133" s="79">
        <v>0</v>
      </c>
      <c r="BO133" s="79">
        <v>7500</v>
      </c>
      <c r="BP133" s="79">
        <v>0</v>
      </c>
      <c r="BQ133" s="79">
        <v>7500</v>
      </c>
      <c r="BR133" s="79">
        <v>0</v>
      </c>
      <c r="BS133" s="79">
        <v>33718.54</v>
      </c>
    </row>
    <row r="134" spans="1:71" ht="15" customHeight="1">
      <c r="A134" s="66" t="s">
        <v>2726</v>
      </c>
      <c r="B134" s="66" t="s">
        <v>973</v>
      </c>
      <c r="C134" s="66" t="s">
        <v>2727</v>
      </c>
      <c r="D134" s="150" t="s">
        <v>1136</v>
      </c>
      <c r="E134" s="482" t="s">
        <v>1566</v>
      </c>
      <c r="F134" s="383" t="s">
        <v>1480</v>
      </c>
      <c r="G134" s="150" t="s">
        <v>1481</v>
      </c>
      <c r="H134" s="150" t="s">
        <v>1345</v>
      </c>
      <c r="I134" s="150" t="s">
        <v>1481</v>
      </c>
      <c r="J134" s="150" t="s">
        <v>1346</v>
      </c>
      <c r="K134" s="511" t="s">
        <v>639</v>
      </c>
      <c r="L134" s="392" t="s">
        <v>818</v>
      </c>
      <c r="M134" s="343"/>
      <c r="N134" s="343"/>
      <c r="O134" s="70" t="s">
        <v>817</v>
      </c>
      <c r="P134" s="346"/>
      <c r="Q134" s="346" t="s">
        <v>1140</v>
      </c>
      <c r="R134" s="346"/>
      <c r="S134" s="150" t="s">
        <v>818</v>
      </c>
      <c r="T134" s="473" t="s">
        <v>1513</v>
      </c>
      <c r="U134" s="403"/>
      <c r="V134" s="406">
        <v>7176</v>
      </c>
      <c r="W134" s="406">
        <v>11702.54</v>
      </c>
      <c r="X134" s="425"/>
      <c r="Y134" s="71"/>
      <c r="Z134" s="426"/>
      <c r="AA134" s="427"/>
      <c r="AB134" s="427">
        <v>6320.54</v>
      </c>
      <c r="AC134" s="428">
        <v>0</v>
      </c>
      <c r="AD134" s="429">
        <v>0</v>
      </c>
      <c r="AE134" s="429">
        <v>0</v>
      </c>
      <c r="AF134" s="360">
        <v>0</v>
      </c>
      <c r="AG134" s="360">
        <v>0</v>
      </c>
      <c r="AH134" s="363">
        <v>1794</v>
      </c>
      <c r="AI134" s="360">
        <v>0</v>
      </c>
      <c r="AJ134" s="363">
        <v>1794</v>
      </c>
      <c r="AK134" s="360">
        <v>0</v>
      </c>
      <c r="AL134" s="360">
        <v>9908.5400000000009</v>
      </c>
      <c r="AM134" s="362">
        <v>-1794</v>
      </c>
      <c r="AN134" s="79">
        <v>0</v>
      </c>
      <c r="AO134" s="79">
        <v>0</v>
      </c>
      <c r="AP134" s="374">
        <v>-1794</v>
      </c>
      <c r="AQ134" s="80"/>
      <c r="AR134" s="79">
        <v>-1794</v>
      </c>
      <c r="AS134" s="81"/>
      <c r="AT134" s="375"/>
      <c r="AU134" s="375"/>
      <c r="AV134" s="375">
        <v>6320.54</v>
      </c>
      <c r="AW134" s="375">
        <v>0</v>
      </c>
      <c r="AX134" s="375">
        <v>0</v>
      </c>
      <c r="AY134" s="375">
        <v>1794</v>
      </c>
      <c r="AZ134" s="375">
        <v>0</v>
      </c>
      <c r="BA134" s="375">
        <v>0</v>
      </c>
      <c r="BB134" s="375">
        <v>1794</v>
      </c>
      <c r="BC134" s="375">
        <v>0</v>
      </c>
      <c r="BD134" s="375">
        <v>1794</v>
      </c>
      <c r="BE134" s="375">
        <v>0</v>
      </c>
      <c r="BF134" s="375">
        <v>11702.54</v>
      </c>
      <c r="BG134" s="79"/>
      <c r="BH134" s="79"/>
      <c r="BI134" s="79">
        <v>6320.54</v>
      </c>
      <c r="BJ134" s="79">
        <v>0</v>
      </c>
      <c r="BK134" s="79">
        <v>0</v>
      </c>
      <c r="BL134" s="79">
        <v>1794</v>
      </c>
      <c r="BM134" s="79">
        <v>0</v>
      </c>
      <c r="BN134" s="79">
        <v>0</v>
      </c>
      <c r="BO134" s="79">
        <v>1794</v>
      </c>
      <c r="BP134" s="79">
        <v>0</v>
      </c>
      <c r="BQ134" s="79">
        <v>1794</v>
      </c>
      <c r="BR134" s="79">
        <v>0</v>
      </c>
      <c r="BS134" s="79">
        <v>11702.54</v>
      </c>
    </row>
    <row r="135" spans="1:71" ht="15" customHeight="1">
      <c r="A135" s="215" t="s">
        <v>2740</v>
      </c>
      <c r="B135" s="215" t="s">
        <v>980</v>
      </c>
      <c r="C135" s="215" t="s">
        <v>980</v>
      </c>
      <c r="D135" s="150" t="s">
        <v>1136</v>
      </c>
      <c r="E135" s="482" t="s">
        <v>1566</v>
      </c>
      <c r="F135" s="383" t="s">
        <v>1480</v>
      </c>
      <c r="G135" s="383" t="s">
        <v>1480</v>
      </c>
      <c r="H135" s="334" t="s">
        <v>1345</v>
      </c>
      <c r="I135" s="334" t="s">
        <v>1480</v>
      </c>
      <c r="J135" s="334" t="s">
        <v>1346</v>
      </c>
      <c r="K135" s="516" t="s">
        <v>639</v>
      </c>
      <c r="L135" s="398" t="s">
        <v>1327</v>
      </c>
      <c r="M135" s="343"/>
      <c r="N135" s="344"/>
      <c r="O135" s="219" t="s">
        <v>147</v>
      </c>
      <c r="P135" s="349"/>
      <c r="Q135" s="343"/>
      <c r="R135" s="349"/>
      <c r="S135" s="334" t="s">
        <v>25</v>
      </c>
      <c r="T135" s="354"/>
      <c r="U135" s="403"/>
      <c r="V135" s="406">
        <v>0</v>
      </c>
      <c r="W135" s="406">
        <v>16.46</v>
      </c>
      <c r="X135" s="430"/>
      <c r="Y135" s="137"/>
      <c r="Z135" s="408"/>
      <c r="AA135" s="410">
        <v>18</v>
      </c>
      <c r="AB135" s="410">
        <v>-1.54</v>
      </c>
      <c r="AC135" s="428">
        <v>-7.0000000000000007E-2</v>
      </c>
      <c r="AD135" s="429">
        <v>0.83</v>
      </c>
      <c r="AE135" s="429">
        <v>-0.54</v>
      </c>
      <c r="AF135" s="368">
        <v>0</v>
      </c>
      <c r="AG135" s="368">
        <v>0</v>
      </c>
      <c r="AH135" s="368">
        <v>0</v>
      </c>
      <c r="AI135" s="368">
        <v>0</v>
      </c>
      <c r="AJ135" s="368">
        <v>0</v>
      </c>
      <c r="AK135" s="368">
        <v>0</v>
      </c>
      <c r="AL135" s="367">
        <v>16.68</v>
      </c>
      <c r="AM135" s="362">
        <v>0.21999999999999886</v>
      </c>
      <c r="AN135" s="227">
        <v>0</v>
      </c>
      <c r="AO135" s="227">
        <v>-0.54</v>
      </c>
      <c r="AP135" s="374">
        <v>0.21999999999999886</v>
      </c>
      <c r="AQ135" s="80"/>
      <c r="AR135" s="79">
        <v>0.21999999999999886</v>
      </c>
      <c r="AS135" s="81"/>
      <c r="AT135" s="375"/>
      <c r="AU135" s="375">
        <v>18</v>
      </c>
      <c r="AV135" s="375">
        <v>-1.54</v>
      </c>
      <c r="AW135" s="375">
        <v>0</v>
      </c>
      <c r="AX135" s="375">
        <v>0</v>
      </c>
      <c r="AY135" s="375">
        <v>0</v>
      </c>
      <c r="AZ135" s="375">
        <v>0</v>
      </c>
      <c r="BA135" s="375">
        <v>0</v>
      </c>
      <c r="BB135" s="375">
        <v>0</v>
      </c>
      <c r="BC135" s="375">
        <v>0</v>
      </c>
      <c r="BD135" s="375">
        <v>0</v>
      </c>
      <c r="BE135" s="375">
        <v>0</v>
      </c>
      <c r="BF135" s="375">
        <v>16.46</v>
      </c>
      <c r="BG135" s="227"/>
      <c r="BH135" s="227">
        <v>18</v>
      </c>
      <c r="BI135" s="227">
        <v>-1.54</v>
      </c>
      <c r="BJ135" s="227">
        <v>0</v>
      </c>
      <c r="BK135" s="227">
        <v>0</v>
      </c>
      <c r="BL135" s="227">
        <v>0</v>
      </c>
      <c r="BM135" s="227">
        <v>0</v>
      </c>
      <c r="BN135" s="227">
        <v>0</v>
      </c>
      <c r="BO135" s="227">
        <v>0</v>
      </c>
      <c r="BP135" s="227">
        <v>0</v>
      </c>
      <c r="BQ135" s="227">
        <v>0</v>
      </c>
      <c r="BR135" s="227">
        <v>0</v>
      </c>
      <c r="BS135" s="227">
        <v>16.46</v>
      </c>
    </row>
    <row r="136" spans="1:71" ht="15" customHeight="1">
      <c r="A136" s="215" t="s">
        <v>2741</v>
      </c>
      <c r="B136" s="215" t="s">
        <v>980</v>
      </c>
      <c r="C136" s="215" t="s">
        <v>2742</v>
      </c>
      <c r="D136" s="150" t="s">
        <v>1136</v>
      </c>
      <c r="E136" s="482" t="s">
        <v>1566</v>
      </c>
      <c r="F136" s="383" t="s">
        <v>1480</v>
      </c>
      <c r="G136" s="150" t="s">
        <v>1481</v>
      </c>
      <c r="H136" s="334" t="s">
        <v>1345</v>
      </c>
      <c r="I136" s="334" t="s">
        <v>1481</v>
      </c>
      <c r="J136" s="334" t="s">
        <v>1346</v>
      </c>
      <c r="K136" s="516" t="s">
        <v>639</v>
      </c>
      <c r="L136" s="398" t="s">
        <v>1327</v>
      </c>
      <c r="M136" s="343"/>
      <c r="N136" s="344"/>
      <c r="O136" s="219" t="s">
        <v>147</v>
      </c>
      <c r="P136" s="346"/>
      <c r="Q136" s="343"/>
      <c r="R136" s="349"/>
      <c r="S136" s="334" t="s">
        <v>25</v>
      </c>
      <c r="T136" s="390" t="s">
        <v>1513</v>
      </c>
      <c r="U136" s="403"/>
      <c r="V136" s="406">
        <v>0</v>
      </c>
      <c r="W136" s="406">
        <v>0.36</v>
      </c>
      <c r="X136" s="425"/>
      <c r="Y136" s="71"/>
      <c r="Z136" s="408"/>
      <c r="AA136" s="410"/>
      <c r="AB136" s="410">
        <v>0.36</v>
      </c>
      <c r="AC136" s="428">
        <v>0</v>
      </c>
      <c r="AD136" s="429">
        <v>0</v>
      </c>
      <c r="AE136" s="429">
        <v>0</v>
      </c>
      <c r="AF136" s="368">
        <v>0</v>
      </c>
      <c r="AG136" s="368">
        <v>0</v>
      </c>
      <c r="AH136" s="368">
        <v>0</v>
      </c>
      <c r="AI136" s="368">
        <v>0</v>
      </c>
      <c r="AJ136" s="368">
        <v>0</v>
      </c>
      <c r="AK136" s="368">
        <v>0</v>
      </c>
      <c r="AL136" s="367">
        <v>0.36</v>
      </c>
      <c r="AM136" s="362">
        <v>0</v>
      </c>
      <c r="AN136" s="227">
        <v>0</v>
      </c>
      <c r="AO136" s="227">
        <v>0</v>
      </c>
      <c r="AP136" s="374">
        <v>0</v>
      </c>
      <c r="AQ136" s="80"/>
      <c r="AR136" s="79">
        <v>0</v>
      </c>
      <c r="AS136" s="81"/>
      <c r="AT136" s="375"/>
      <c r="AU136" s="375"/>
      <c r="AV136" s="375">
        <v>0.36</v>
      </c>
      <c r="AW136" s="375">
        <v>0</v>
      </c>
      <c r="AX136" s="375">
        <v>0</v>
      </c>
      <c r="AY136" s="375">
        <v>0</v>
      </c>
      <c r="AZ136" s="375">
        <v>0</v>
      </c>
      <c r="BA136" s="375">
        <v>0</v>
      </c>
      <c r="BB136" s="375">
        <v>0</v>
      </c>
      <c r="BC136" s="375">
        <v>0</v>
      </c>
      <c r="BD136" s="375">
        <v>0</v>
      </c>
      <c r="BE136" s="375">
        <v>0</v>
      </c>
      <c r="BF136" s="375">
        <v>0.36</v>
      </c>
      <c r="BG136" s="227"/>
      <c r="BH136" s="227"/>
      <c r="BI136" s="227">
        <v>0.36</v>
      </c>
      <c r="BJ136" s="227">
        <v>0</v>
      </c>
      <c r="BK136" s="227">
        <v>0</v>
      </c>
      <c r="BL136" s="227">
        <v>0</v>
      </c>
      <c r="BM136" s="227">
        <v>0</v>
      </c>
      <c r="BN136" s="227">
        <v>0</v>
      </c>
      <c r="BO136" s="227">
        <v>0</v>
      </c>
      <c r="BP136" s="227">
        <v>0</v>
      </c>
      <c r="BQ136" s="227">
        <v>0</v>
      </c>
      <c r="BR136" s="227">
        <v>0</v>
      </c>
      <c r="BS136" s="227">
        <v>0.36</v>
      </c>
    </row>
    <row r="137" spans="1:71" ht="15" customHeight="1">
      <c r="A137" s="215" t="s">
        <v>2842</v>
      </c>
      <c r="B137" s="215" t="s">
        <v>1034</v>
      </c>
      <c r="C137" s="215" t="s">
        <v>2843</v>
      </c>
      <c r="D137" s="150" t="s">
        <v>1136</v>
      </c>
      <c r="E137" s="482" t="s">
        <v>1566</v>
      </c>
      <c r="F137" s="150" t="s">
        <v>1566</v>
      </c>
      <c r="G137" s="150" t="s">
        <v>1566</v>
      </c>
      <c r="H137" s="334" t="s">
        <v>1567</v>
      </c>
      <c r="I137" s="334" t="s">
        <v>1567</v>
      </c>
      <c r="J137" s="334" t="s">
        <v>1567</v>
      </c>
      <c r="K137" s="516" t="s">
        <v>1027</v>
      </c>
      <c r="L137" s="398" t="s">
        <v>2830</v>
      </c>
      <c r="M137" s="343"/>
      <c r="N137" s="344"/>
      <c r="O137" s="219" t="s">
        <v>1029</v>
      </c>
      <c r="P137" s="349"/>
      <c r="Q137" s="343"/>
      <c r="R137" s="349"/>
      <c r="S137" s="334" t="s">
        <v>25</v>
      </c>
      <c r="T137" s="354"/>
      <c r="U137" s="403"/>
      <c r="V137" s="406">
        <v>3200</v>
      </c>
      <c r="W137" s="406">
        <v>4217.2800000000007</v>
      </c>
      <c r="X137" s="425"/>
      <c r="Y137" s="71"/>
      <c r="Z137" s="408">
        <v>470.66</v>
      </c>
      <c r="AA137" s="410">
        <v>1081.01</v>
      </c>
      <c r="AB137" s="410">
        <v>665.61</v>
      </c>
      <c r="AC137" s="428">
        <v>309.95</v>
      </c>
      <c r="AD137" s="429">
        <v>41.64</v>
      </c>
      <c r="AE137" s="429">
        <v>76.3</v>
      </c>
      <c r="AF137" s="369">
        <v>200</v>
      </c>
      <c r="AG137" s="369">
        <v>200</v>
      </c>
      <c r="AH137" s="369">
        <v>200</v>
      </c>
      <c r="AI137" s="369">
        <v>200</v>
      </c>
      <c r="AJ137" s="369">
        <v>200</v>
      </c>
      <c r="AK137" s="369">
        <v>200</v>
      </c>
      <c r="AL137" s="367">
        <v>3845.17</v>
      </c>
      <c r="AM137" s="362">
        <v>-372.11000000000058</v>
      </c>
      <c r="AN137" s="227">
        <v>300</v>
      </c>
      <c r="AO137" s="227">
        <v>-223.7</v>
      </c>
      <c r="AP137" s="374">
        <v>-372.11000000000013</v>
      </c>
      <c r="AQ137" s="80"/>
      <c r="AR137" s="79">
        <v>-372.11000000000058</v>
      </c>
      <c r="AS137" s="81"/>
      <c r="AT137" s="375">
        <v>470.66</v>
      </c>
      <c r="AU137" s="375">
        <v>1081.01</v>
      </c>
      <c r="AV137" s="375">
        <v>665.61</v>
      </c>
      <c r="AW137" s="375">
        <v>200</v>
      </c>
      <c r="AX137" s="375">
        <v>300</v>
      </c>
      <c r="AY137" s="375">
        <v>300</v>
      </c>
      <c r="AZ137" s="375">
        <v>200</v>
      </c>
      <c r="BA137" s="375">
        <v>200</v>
      </c>
      <c r="BB137" s="375">
        <v>200</v>
      </c>
      <c r="BC137" s="375">
        <v>200</v>
      </c>
      <c r="BD137" s="375">
        <v>200</v>
      </c>
      <c r="BE137" s="375">
        <v>200</v>
      </c>
      <c r="BF137" s="375">
        <v>4217.2800000000007</v>
      </c>
      <c r="BG137" s="227">
        <v>470.66</v>
      </c>
      <c r="BH137" s="227">
        <v>1081.01</v>
      </c>
      <c r="BI137" s="227">
        <v>665.61</v>
      </c>
      <c r="BJ137" s="227">
        <v>200</v>
      </c>
      <c r="BK137" s="227">
        <v>300</v>
      </c>
      <c r="BL137" s="227">
        <v>300</v>
      </c>
      <c r="BM137" s="227">
        <v>200</v>
      </c>
      <c r="BN137" s="227">
        <v>200</v>
      </c>
      <c r="BO137" s="227">
        <v>200</v>
      </c>
      <c r="BP137" s="227">
        <v>200</v>
      </c>
      <c r="BQ137" s="227">
        <v>200</v>
      </c>
      <c r="BR137" s="227">
        <v>200</v>
      </c>
      <c r="BS137" s="227">
        <v>4217.2800000000007</v>
      </c>
    </row>
    <row r="138" spans="1:71" ht="15" customHeight="1">
      <c r="A138" s="215" t="s">
        <v>2862</v>
      </c>
      <c r="B138" s="215" t="s">
        <v>1047</v>
      </c>
      <c r="C138" s="215" t="s">
        <v>2863</v>
      </c>
      <c r="D138" s="150" t="s">
        <v>1136</v>
      </c>
      <c r="E138" s="482" t="s">
        <v>1566</v>
      </c>
      <c r="F138" s="150" t="s">
        <v>1566</v>
      </c>
      <c r="G138" s="150" t="s">
        <v>1566</v>
      </c>
      <c r="H138" s="334" t="s">
        <v>1567</v>
      </c>
      <c r="I138" s="334" t="s">
        <v>1567</v>
      </c>
      <c r="J138" s="334" t="s">
        <v>1567</v>
      </c>
      <c r="K138" s="516" t="s">
        <v>1037</v>
      </c>
      <c r="L138" s="398" t="s">
        <v>2846</v>
      </c>
      <c r="M138" s="343"/>
      <c r="N138" s="344"/>
      <c r="O138" s="219" t="s">
        <v>1039</v>
      </c>
      <c r="P138" s="349"/>
      <c r="Q138" s="346" t="s">
        <v>1140</v>
      </c>
      <c r="R138" s="349"/>
      <c r="S138" s="334" t="s">
        <v>1040</v>
      </c>
      <c r="T138" s="354"/>
      <c r="U138" s="403"/>
      <c r="V138" s="406">
        <v>0</v>
      </c>
      <c r="W138" s="406">
        <v>-468023.23</v>
      </c>
      <c r="X138" s="425"/>
      <c r="Y138" s="71"/>
      <c r="Z138" s="408">
        <v>-478537.04</v>
      </c>
      <c r="AA138" s="410">
        <v>11513.92</v>
      </c>
      <c r="AB138" s="410">
        <v>-1000.11</v>
      </c>
      <c r="AC138" s="428">
        <v>5133</v>
      </c>
      <c r="AD138" s="429">
        <v>288</v>
      </c>
      <c r="AE138" s="429">
        <v>864</v>
      </c>
      <c r="AF138" s="368">
        <v>0</v>
      </c>
      <c r="AG138" s="368">
        <v>0</v>
      </c>
      <c r="AH138" s="368">
        <v>0</v>
      </c>
      <c r="AI138" s="368">
        <v>0</v>
      </c>
      <c r="AJ138" s="368">
        <v>0</v>
      </c>
      <c r="AK138" s="368">
        <v>0</v>
      </c>
      <c r="AL138" s="367">
        <v>-461738.23</v>
      </c>
      <c r="AM138" s="362">
        <v>6285</v>
      </c>
      <c r="AN138" s="227">
        <v>0</v>
      </c>
      <c r="AO138" s="227">
        <v>864</v>
      </c>
      <c r="AP138" s="374">
        <v>6285</v>
      </c>
      <c r="AQ138" s="80"/>
      <c r="AR138" s="79">
        <v>6285</v>
      </c>
      <c r="AS138" s="81"/>
      <c r="AT138" s="375">
        <v>-478537.04</v>
      </c>
      <c r="AU138" s="375">
        <v>11513.92</v>
      </c>
      <c r="AV138" s="375">
        <v>-1000.11</v>
      </c>
      <c r="AW138" s="375">
        <v>0</v>
      </c>
      <c r="AX138" s="375">
        <v>0</v>
      </c>
      <c r="AY138" s="375">
        <v>0</v>
      </c>
      <c r="AZ138" s="375">
        <v>0</v>
      </c>
      <c r="BA138" s="375">
        <v>0</v>
      </c>
      <c r="BB138" s="375">
        <v>0</v>
      </c>
      <c r="BC138" s="375">
        <v>0</v>
      </c>
      <c r="BD138" s="375">
        <v>0</v>
      </c>
      <c r="BE138" s="375">
        <v>0</v>
      </c>
      <c r="BF138" s="375">
        <v>-468023.23</v>
      </c>
      <c r="BG138" s="227">
        <v>-478537.04</v>
      </c>
      <c r="BH138" s="227">
        <v>11513.92</v>
      </c>
      <c r="BI138" s="227">
        <v>-1000.11</v>
      </c>
      <c r="BJ138" s="227">
        <v>0</v>
      </c>
      <c r="BK138" s="227">
        <v>0</v>
      </c>
      <c r="BL138" s="227">
        <v>0</v>
      </c>
      <c r="BM138" s="227">
        <v>0</v>
      </c>
      <c r="BN138" s="227">
        <v>0</v>
      </c>
      <c r="BO138" s="227">
        <v>0</v>
      </c>
      <c r="BP138" s="227">
        <v>0</v>
      </c>
      <c r="BQ138" s="227">
        <v>0</v>
      </c>
      <c r="BR138" s="227">
        <v>0</v>
      </c>
      <c r="BS138" s="227">
        <v>-468023.23</v>
      </c>
    </row>
    <row r="139" spans="1:71" ht="15" customHeight="1">
      <c r="A139" s="215" t="s">
        <v>1639</v>
      </c>
      <c r="B139" s="215" t="s">
        <v>319</v>
      </c>
      <c r="C139" s="215" t="s">
        <v>1640</v>
      </c>
      <c r="D139" s="150" t="s">
        <v>1136</v>
      </c>
      <c r="E139" s="482" t="s">
        <v>1566</v>
      </c>
      <c r="F139" s="482" t="s">
        <v>1566</v>
      </c>
      <c r="G139" s="553" t="s">
        <v>1566</v>
      </c>
      <c r="H139" s="334" t="s">
        <v>1345</v>
      </c>
      <c r="I139" s="334" t="s">
        <v>1346</v>
      </c>
      <c r="J139" s="334" t="s">
        <v>1346</v>
      </c>
      <c r="K139" s="516" t="s">
        <v>49</v>
      </c>
      <c r="L139" s="398" t="s">
        <v>1327</v>
      </c>
      <c r="M139" s="343"/>
      <c r="N139" s="344"/>
      <c r="O139" s="219" t="s">
        <v>147</v>
      </c>
      <c r="P139" s="349"/>
      <c r="Q139" s="343"/>
      <c r="R139" s="349"/>
      <c r="S139" s="334" t="s">
        <v>25</v>
      </c>
      <c r="T139" s="354"/>
      <c r="U139" s="403"/>
      <c r="V139" s="406">
        <v>0</v>
      </c>
      <c r="W139" s="406">
        <v>19969.14</v>
      </c>
      <c r="X139" s="425"/>
      <c r="Y139" s="71"/>
      <c r="Z139" s="408">
        <v>6818.85</v>
      </c>
      <c r="AA139" s="410">
        <v>9998.51</v>
      </c>
      <c r="AB139" s="410">
        <v>3151.78</v>
      </c>
      <c r="AC139" s="428">
        <v>13245.82</v>
      </c>
      <c r="AD139" s="429">
        <v>11713.649999999994</v>
      </c>
      <c r="AE139" s="429">
        <v>24135.279999999999</v>
      </c>
      <c r="AF139" s="368">
        <v>0</v>
      </c>
      <c r="AG139" s="368">
        <v>0</v>
      </c>
      <c r="AH139" s="368">
        <v>0</v>
      </c>
      <c r="AI139" s="368">
        <v>0</v>
      </c>
      <c r="AJ139" s="368">
        <v>0</v>
      </c>
      <c r="AK139" s="368">
        <v>0</v>
      </c>
      <c r="AL139" s="367">
        <v>69063.889999999985</v>
      </c>
      <c r="AM139" s="362">
        <v>49094.749999999985</v>
      </c>
      <c r="AN139" s="227">
        <v>0</v>
      </c>
      <c r="AO139" s="227">
        <v>24135.279999999999</v>
      </c>
      <c r="AP139" s="374">
        <v>49094.749999999985</v>
      </c>
      <c r="AQ139" s="80"/>
      <c r="AR139" s="79">
        <v>49094.749999999985</v>
      </c>
      <c r="AS139" s="81"/>
      <c r="AT139" s="375">
        <v>6818.85</v>
      </c>
      <c r="AU139" s="375">
        <v>9998.51</v>
      </c>
      <c r="AV139" s="375">
        <v>3151.78</v>
      </c>
      <c r="AW139" s="375">
        <v>0</v>
      </c>
      <c r="AX139" s="375">
        <v>0</v>
      </c>
      <c r="AY139" s="375">
        <v>0</v>
      </c>
      <c r="AZ139" s="375">
        <v>0</v>
      </c>
      <c r="BA139" s="375">
        <v>0</v>
      </c>
      <c r="BB139" s="375">
        <v>0</v>
      </c>
      <c r="BC139" s="375">
        <v>0</v>
      </c>
      <c r="BD139" s="375">
        <v>0</v>
      </c>
      <c r="BE139" s="375">
        <v>0</v>
      </c>
      <c r="BF139" s="375">
        <v>19969.14</v>
      </c>
      <c r="BG139" s="227">
        <v>6818.85</v>
      </c>
      <c r="BH139" s="227">
        <v>9998.51</v>
      </c>
      <c r="BI139" s="227">
        <v>3151.78</v>
      </c>
      <c r="BJ139" s="227">
        <v>0</v>
      </c>
      <c r="BK139" s="227">
        <v>0</v>
      </c>
      <c r="BL139" s="227">
        <v>0</v>
      </c>
      <c r="BM139" s="227">
        <v>0</v>
      </c>
      <c r="BN139" s="227">
        <v>0</v>
      </c>
      <c r="BO139" s="227">
        <v>0</v>
      </c>
      <c r="BP139" s="227">
        <v>0</v>
      </c>
      <c r="BQ139" s="227">
        <v>0</v>
      </c>
      <c r="BR139" s="227">
        <v>0</v>
      </c>
      <c r="BS139" s="227">
        <v>19969.14</v>
      </c>
    </row>
    <row r="140" spans="1:71" ht="15" customHeight="1">
      <c r="A140" s="215" t="s">
        <v>1641</v>
      </c>
      <c r="B140" s="215" t="s">
        <v>319</v>
      </c>
      <c r="C140" s="215" t="s">
        <v>1642</v>
      </c>
      <c r="D140" s="150" t="s">
        <v>1136</v>
      </c>
      <c r="E140" s="482" t="s">
        <v>1566</v>
      </c>
      <c r="F140" s="150" t="s">
        <v>1566</v>
      </c>
      <c r="G140" s="334" t="s">
        <v>1566</v>
      </c>
      <c r="H140" s="334" t="s">
        <v>1567</v>
      </c>
      <c r="I140" s="334" t="s">
        <v>1567</v>
      </c>
      <c r="J140" s="334" t="s">
        <v>1567</v>
      </c>
      <c r="K140" s="516" t="s">
        <v>49</v>
      </c>
      <c r="L140" s="398" t="s">
        <v>1327</v>
      </c>
      <c r="M140" s="343"/>
      <c r="N140" s="344"/>
      <c r="O140" s="219" t="s">
        <v>147</v>
      </c>
      <c r="P140" s="349"/>
      <c r="Q140" s="343"/>
      <c r="R140" s="349"/>
      <c r="S140" s="334" t="s">
        <v>25</v>
      </c>
      <c r="T140" s="354"/>
      <c r="U140" s="403"/>
      <c r="V140" s="406">
        <v>0</v>
      </c>
      <c r="W140" s="406">
        <v>-2284.04</v>
      </c>
      <c r="X140" s="425"/>
      <c r="Y140" s="71"/>
      <c r="Z140" s="408">
        <v>0.08</v>
      </c>
      <c r="AA140" s="410">
        <v>-0.17</v>
      </c>
      <c r="AB140" s="410">
        <v>-2283.9499999999998</v>
      </c>
      <c r="AC140" s="428">
        <v>5124.1100000000006</v>
      </c>
      <c r="AD140" s="429">
        <v>-6526.2599999999993</v>
      </c>
      <c r="AE140" s="429">
        <v>97626.25</v>
      </c>
      <c r="AF140" s="368">
        <v>0</v>
      </c>
      <c r="AG140" s="368">
        <v>0</v>
      </c>
      <c r="AH140" s="368">
        <v>0</v>
      </c>
      <c r="AI140" s="368">
        <v>0</v>
      </c>
      <c r="AJ140" s="368">
        <v>0</v>
      </c>
      <c r="AK140" s="368">
        <v>0</v>
      </c>
      <c r="AL140" s="367">
        <v>93940.06</v>
      </c>
      <c r="AM140" s="362">
        <v>96224.099999999991</v>
      </c>
      <c r="AN140" s="227">
        <v>0</v>
      </c>
      <c r="AO140" s="227">
        <v>97626.25</v>
      </c>
      <c r="AP140" s="374">
        <v>96224.099999999991</v>
      </c>
      <c r="AQ140" s="80"/>
      <c r="AR140" s="79">
        <v>96224.099999999991</v>
      </c>
      <c r="AS140" s="81"/>
      <c r="AT140" s="375">
        <v>0.08</v>
      </c>
      <c r="AU140" s="375">
        <v>-0.17</v>
      </c>
      <c r="AV140" s="375">
        <v>-2283.9499999999998</v>
      </c>
      <c r="AW140" s="375">
        <v>0</v>
      </c>
      <c r="AX140" s="375">
        <v>0</v>
      </c>
      <c r="AY140" s="375">
        <v>0</v>
      </c>
      <c r="AZ140" s="375">
        <v>0</v>
      </c>
      <c r="BA140" s="375">
        <v>0</v>
      </c>
      <c r="BB140" s="375">
        <v>0</v>
      </c>
      <c r="BC140" s="375">
        <v>0</v>
      </c>
      <c r="BD140" s="375">
        <v>0</v>
      </c>
      <c r="BE140" s="375">
        <v>0</v>
      </c>
      <c r="BF140" s="375">
        <v>-2284.04</v>
      </c>
      <c r="BG140" s="227">
        <v>0.08</v>
      </c>
      <c r="BH140" s="227">
        <v>-0.17</v>
      </c>
      <c r="BI140" s="227">
        <v>-2283.9499999999998</v>
      </c>
      <c r="BJ140" s="227">
        <v>0</v>
      </c>
      <c r="BK140" s="227">
        <v>0</v>
      </c>
      <c r="BL140" s="227">
        <v>0</v>
      </c>
      <c r="BM140" s="227">
        <v>0</v>
      </c>
      <c r="BN140" s="227">
        <v>0</v>
      </c>
      <c r="BO140" s="227">
        <v>0</v>
      </c>
      <c r="BP140" s="227">
        <v>0</v>
      </c>
      <c r="BQ140" s="227">
        <v>0</v>
      </c>
      <c r="BR140" s="227">
        <v>0</v>
      </c>
      <c r="BS140" s="227">
        <v>-2284.04</v>
      </c>
    </row>
    <row r="141" spans="1:71" ht="15" customHeight="1">
      <c r="A141" s="215" t="s">
        <v>1744</v>
      </c>
      <c r="B141" s="215" t="s">
        <v>384</v>
      </c>
      <c r="C141" s="215" t="s">
        <v>1745</v>
      </c>
      <c r="D141" s="150" t="s">
        <v>1136</v>
      </c>
      <c r="E141" s="482" t="s">
        <v>1566</v>
      </c>
      <c r="F141" s="482" t="s">
        <v>1566</v>
      </c>
      <c r="G141" s="553" t="s">
        <v>1566</v>
      </c>
      <c r="H141" s="334" t="s">
        <v>1345</v>
      </c>
      <c r="I141" s="334" t="s">
        <v>1346</v>
      </c>
      <c r="J141" s="334" t="s">
        <v>1346</v>
      </c>
      <c r="K141" s="516" t="s">
        <v>342</v>
      </c>
      <c r="L141" s="398" t="s">
        <v>1327</v>
      </c>
      <c r="M141" s="343"/>
      <c r="N141" s="344"/>
      <c r="O141" s="219" t="s">
        <v>147</v>
      </c>
      <c r="P141" s="349"/>
      <c r="Q141" s="343"/>
      <c r="R141" s="349"/>
      <c r="S141" s="334" t="s">
        <v>25</v>
      </c>
      <c r="T141" s="354"/>
      <c r="U141" s="403"/>
      <c r="V141" s="406">
        <v>0</v>
      </c>
      <c r="W141" s="406">
        <v>835.42000000000007</v>
      </c>
      <c r="X141" s="425"/>
      <c r="Y141" s="71"/>
      <c r="Z141" s="408">
        <v>-0.14000000000000001</v>
      </c>
      <c r="AA141" s="410">
        <v>464.29</v>
      </c>
      <c r="AB141" s="410">
        <v>371.27</v>
      </c>
      <c r="AC141" s="428">
        <v>-0.06</v>
      </c>
      <c r="AD141" s="429">
        <v>2499.4899999999998</v>
      </c>
      <c r="AE141" s="429">
        <v>-0.11</v>
      </c>
      <c r="AF141" s="368">
        <v>0</v>
      </c>
      <c r="AG141" s="368">
        <v>0</v>
      </c>
      <c r="AH141" s="368">
        <v>0</v>
      </c>
      <c r="AI141" s="368">
        <v>0</v>
      </c>
      <c r="AJ141" s="368">
        <v>0</v>
      </c>
      <c r="AK141" s="368">
        <v>0</v>
      </c>
      <c r="AL141" s="367">
        <v>3334.74</v>
      </c>
      <c r="AM141" s="362">
        <v>2499.3199999999997</v>
      </c>
      <c r="AN141" s="227">
        <v>0</v>
      </c>
      <c r="AO141" s="227">
        <v>-0.11</v>
      </c>
      <c r="AP141" s="374">
        <v>2499.3199999999997</v>
      </c>
      <c r="AQ141" s="80"/>
      <c r="AR141" s="79">
        <v>2499.3199999999997</v>
      </c>
      <c r="AS141" s="81"/>
      <c r="AT141" s="375">
        <v>-0.14000000000000001</v>
      </c>
      <c r="AU141" s="375">
        <v>464.29</v>
      </c>
      <c r="AV141" s="375">
        <v>371.27</v>
      </c>
      <c r="AW141" s="375">
        <v>0</v>
      </c>
      <c r="AX141" s="375">
        <v>0</v>
      </c>
      <c r="AY141" s="375">
        <v>0</v>
      </c>
      <c r="AZ141" s="375">
        <v>0</v>
      </c>
      <c r="BA141" s="375">
        <v>0</v>
      </c>
      <c r="BB141" s="375">
        <v>0</v>
      </c>
      <c r="BC141" s="375">
        <v>0</v>
      </c>
      <c r="BD141" s="375">
        <v>0</v>
      </c>
      <c r="BE141" s="375">
        <v>0</v>
      </c>
      <c r="BF141" s="375">
        <v>835.42000000000007</v>
      </c>
      <c r="BG141" s="227">
        <v>-0.14000000000000001</v>
      </c>
      <c r="BH141" s="227">
        <v>464.29</v>
      </c>
      <c r="BI141" s="227">
        <v>371.27</v>
      </c>
      <c r="BJ141" s="227">
        <v>0</v>
      </c>
      <c r="BK141" s="227">
        <v>0</v>
      </c>
      <c r="BL141" s="227">
        <v>0</v>
      </c>
      <c r="BM141" s="227">
        <v>0</v>
      </c>
      <c r="BN141" s="227">
        <v>0</v>
      </c>
      <c r="BO141" s="227">
        <v>0</v>
      </c>
      <c r="BP141" s="227">
        <v>0</v>
      </c>
      <c r="BQ141" s="227">
        <v>0</v>
      </c>
      <c r="BR141" s="227">
        <v>0</v>
      </c>
      <c r="BS141" s="227">
        <v>835.42000000000007</v>
      </c>
    </row>
    <row r="142" spans="1:71" ht="15" customHeight="1">
      <c r="A142" s="215" t="s">
        <v>1746</v>
      </c>
      <c r="B142" s="215" t="s">
        <v>384</v>
      </c>
      <c r="C142" s="215" t="s">
        <v>1747</v>
      </c>
      <c r="D142" s="150" t="s">
        <v>1136</v>
      </c>
      <c r="E142" s="482" t="s">
        <v>1566</v>
      </c>
      <c r="F142" s="150" t="s">
        <v>1566</v>
      </c>
      <c r="G142" s="334" t="s">
        <v>1566</v>
      </c>
      <c r="H142" s="334" t="s">
        <v>1567</v>
      </c>
      <c r="I142" s="334" t="s">
        <v>1567</v>
      </c>
      <c r="J142" s="334" t="s">
        <v>1567</v>
      </c>
      <c r="K142" s="516" t="s">
        <v>342</v>
      </c>
      <c r="L142" s="398" t="s">
        <v>1327</v>
      </c>
      <c r="M142" s="343"/>
      <c r="N142" s="344"/>
      <c r="O142" s="219" t="s">
        <v>147</v>
      </c>
      <c r="P142" s="346"/>
      <c r="Q142" s="343"/>
      <c r="R142" s="349"/>
      <c r="S142" s="334" t="s">
        <v>25</v>
      </c>
      <c r="T142" s="354"/>
      <c r="U142" s="403"/>
      <c r="V142" s="406">
        <v>0</v>
      </c>
      <c r="W142" s="406">
        <v>-0.23</v>
      </c>
      <c r="X142" s="425"/>
      <c r="Y142" s="71"/>
      <c r="Z142" s="408"/>
      <c r="AA142" s="410"/>
      <c r="AB142" s="410">
        <v>-0.23</v>
      </c>
      <c r="AC142" s="428">
        <v>-0.01</v>
      </c>
      <c r="AD142" s="429">
        <v>0</v>
      </c>
      <c r="AE142" s="429">
        <v>0</v>
      </c>
      <c r="AF142" s="368">
        <v>0</v>
      </c>
      <c r="AG142" s="368">
        <v>0</v>
      </c>
      <c r="AH142" s="368">
        <v>0</v>
      </c>
      <c r="AI142" s="368">
        <v>0</v>
      </c>
      <c r="AJ142" s="368">
        <v>0</v>
      </c>
      <c r="AK142" s="368">
        <v>0</v>
      </c>
      <c r="AL142" s="367">
        <v>-0.24000000000000002</v>
      </c>
      <c r="AM142" s="362">
        <v>-1.0000000000000009E-2</v>
      </c>
      <c r="AN142" s="227">
        <v>0</v>
      </c>
      <c r="AO142" s="227">
        <v>0</v>
      </c>
      <c r="AP142" s="374">
        <v>-1.0000000000000009E-2</v>
      </c>
      <c r="AQ142" s="80"/>
      <c r="AR142" s="79">
        <v>-1.0000000000000009E-2</v>
      </c>
      <c r="AS142" s="81"/>
      <c r="AT142" s="375"/>
      <c r="AU142" s="375"/>
      <c r="AV142" s="375">
        <v>-0.23</v>
      </c>
      <c r="AW142" s="375">
        <v>0</v>
      </c>
      <c r="AX142" s="375">
        <v>0</v>
      </c>
      <c r="AY142" s="375">
        <v>0</v>
      </c>
      <c r="AZ142" s="375">
        <v>0</v>
      </c>
      <c r="BA142" s="375">
        <v>0</v>
      </c>
      <c r="BB142" s="375">
        <v>0</v>
      </c>
      <c r="BC142" s="375">
        <v>0</v>
      </c>
      <c r="BD142" s="375">
        <v>0</v>
      </c>
      <c r="BE142" s="375">
        <v>0</v>
      </c>
      <c r="BF142" s="375">
        <v>-0.23</v>
      </c>
      <c r="BG142" s="227"/>
      <c r="BH142" s="227"/>
      <c r="BI142" s="227">
        <v>-0.23</v>
      </c>
      <c r="BJ142" s="227">
        <v>0</v>
      </c>
      <c r="BK142" s="227">
        <v>0</v>
      </c>
      <c r="BL142" s="227">
        <v>0</v>
      </c>
      <c r="BM142" s="227">
        <v>0</v>
      </c>
      <c r="BN142" s="227">
        <v>0</v>
      </c>
      <c r="BO142" s="227">
        <v>0</v>
      </c>
      <c r="BP142" s="227">
        <v>0</v>
      </c>
      <c r="BQ142" s="227">
        <v>0</v>
      </c>
      <c r="BR142" s="227">
        <v>0</v>
      </c>
      <c r="BS142" s="227">
        <v>-0.23</v>
      </c>
    </row>
    <row r="143" spans="1:71" ht="15" customHeight="1">
      <c r="A143" s="215" t="s">
        <v>2094</v>
      </c>
      <c r="B143" s="215" t="s">
        <v>569</v>
      </c>
      <c r="C143" s="215" t="s">
        <v>2095</v>
      </c>
      <c r="D143" s="150" t="s">
        <v>1136</v>
      </c>
      <c r="E143" s="482" t="s">
        <v>1566</v>
      </c>
      <c r="F143" s="482" t="s">
        <v>1566</v>
      </c>
      <c r="G143" s="553" t="s">
        <v>1566</v>
      </c>
      <c r="H143" s="334" t="s">
        <v>1345</v>
      </c>
      <c r="I143" s="334" t="s">
        <v>1346</v>
      </c>
      <c r="J143" s="334" t="s">
        <v>1346</v>
      </c>
      <c r="K143" s="516" t="s">
        <v>389</v>
      </c>
      <c r="L143" s="398" t="s">
        <v>1174</v>
      </c>
      <c r="M143" s="343"/>
      <c r="N143" s="344"/>
      <c r="O143" s="219" t="s">
        <v>56</v>
      </c>
      <c r="P143" s="349"/>
      <c r="Q143" s="346" t="s">
        <v>1140</v>
      </c>
      <c r="R143" s="349"/>
      <c r="S143" s="334" t="s">
        <v>57</v>
      </c>
      <c r="T143" s="354"/>
      <c r="U143" s="403"/>
      <c r="V143" s="406">
        <v>19212</v>
      </c>
      <c r="W143" s="406">
        <v>19118.86</v>
      </c>
      <c r="X143" s="425"/>
      <c r="Y143" s="71"/>
      <c r="Z143" s="408">
        <v>1556.11</v>
      </c>
      <c r="AA143" s="410">
        <v>1531.5</v>
      </c>
      <c r="AB143" s="410">
        <v>1622.25</v>
      </c>
      <c r="AC143" s="428">
        <v>1712.9899999999998</v>
      </c>
      <c r="AD143" s="429">
        <v>1903.18</v>
      </c>
      <c r="AE143" s="429">
        <v>456.33000000000004</v>
      </c>
      <c r="AF143" s="369">
        <v>1601</v>
      </c>
      <c r="AG143" s="369">
        <v>1601</v>
      </c>
      <c r="AH143" s="369">
        <v>1601</v>
      </c>
      <c r="AI143" s="369">
        <v>1601</v>
      </c>
      <c r="AJ143" s="369">
        <v>1601</v>
      </c>
      <c r="AK143" s="369">
        <v>1601</v>
      </c>
      <c r="AL143" s="367">
        <v>18388.36</v>
      </c>
      <c r="AM143" s="362">
        <v>-730.5</v>
      </c>
      <c r="AN143" s="227">
        <v>1601</v>
      </c>
      <c r="AO143" s="227">
        <v>-1144.67</v>
      </c>
      <c r="AP143" s="374">
        <v>-730.50000000000182</v>
      </c>
      <c r="AQ143" s="80"/>
      <c r="AR143" s="79">
        <v>-730.5</v>
      </c>
      <c r="AS143" s="81"/>
      <c r="AT143" s="375">
        <v>1556.11</v>
      </c>
      <c r="AU143" s="375">
        <v>1531.5</v>
      </c>
      <c r="AV143" s="375">
        <v>1622.25</v>
      </c>
      <c r="AW143" s="375">
        <v>1601</v>
      </c>
      <c r="AX143" s="375">
        <v>1601</v>
      </c>
      <c r="AY143" s="375">
        <v>1601</v>
      </c>
      <c r="AZ143" s="375">
        <v>1601</v>
      </c>
      <c r="BA143" s="375">
        <v>1601</v>
      </c>
      <c r="BB143" s="375">
        <v>1601</v>
      </c>
      <c r="BC143" s="375">
        <v>1601</v>
      </c>
      <c r="BD143" s="375">
        <v>1601</v>
      </c>
      <c r="BE143" s="375">
        <v>1601</v>
      </c>
      <c r="BF143" s="375">
        <v>19118.86</v>
      </c>
      <c r="BG143" s="227">
        <v>1556.11</v>
      </c>
      <c r="BH143" s="227">
        <v>1531.5</v>
      </c>
      <c r="BI143" s="227">
        <v>1622.25</v>
      </c>
      <c r="BJ143" s="227">
        <v>1601</v>
      </c>
      <c r="BK143" s="227">
        <v>1601</v>
      </c>
      <c r="BL143" s="227">
        <v>1601</v>
      </c>
      <c r="BM143" s="227">
        <v>1601</v>
      </c>
      <c r="BN143" s="227">
        <v>1601</v>
      </c>
      <c r="BO143" s="227">
        <v>1601</v>
      </c>
      <c r="BP143" s="227">
        <v>1601</v>
      </c>
      <c r="BQ143" s="227">
        <v>1601</v>
      </c>
      <c r="BR143" s="227">
        <v>1601</v>
      </c>
      <c r="BS143" s="227">
        <v>19118.86</v>
      </c>
    </row>
    <row r="144" spans="1:71" ht="15" customHeight="1">
      <c r="A144" s="215" t="s">
        <v>2096</v>
      </c>
      <c r="B144" s="215" t="s">
        <v>569</v>
      </c>
      <c r="C144" s="215" t="s">
        <v>2097</v>
      </c>
      <c r="D144" s="150" t="s">
        <v>1136</v>
      </c>
      <c r="E144" s="482" t="s">
        <v>1566</v>
      </c>
      <c r="F144" s="150" t="s">
        <v>1566</v>
      </c>
      <c r="G144" s="334" t="s">
        <v>1566</v>
      </c>
      <c r="H144" s="334" t="s">
        <v>1567</v>
      </c>
      <c r="I144" s="334" t="s">
        <v>1567</v>
      </c>
      <c r="J144" s="334" t="s">
        <v>1567</v>
      </c>
      <c r="K144" s="516" t="s">
        <v>389</v>
      </c>
      <c r="L144" s="398" t="s">
        <v>1174</v>
      </c>
      <c r="M144" s="343"/>
      <c r="N144" s="344"/>
      <c r="O144" s="219" t="s">
        <v>56</v>
      </c>
      <c r="P144" s="349"/>
      <c r="Q144" s="346" t="s">
        <v>1140</v>
      </c>
      <c r="R144" s="349"/>
      <c r="S144" s="334" t="s">
        <v>57</v>
      </c>
      <c r="T144" s="354"/>
      <c r="U144" s="403"/>
      <c r="V144" s="406">
        <v>42000</v>
      </c>
      <c r="W144" s="406">
        <v>36969.919999999998</v>
      </c>
      <c r="X144" s="425"/>
      <c r="Y144" s="71"/>
      <c r="Z144" s="408">
        <v>1654.46</v>
      </c>
      <c r="AA144" s="410">
        <v>2175.66</v>
      </c>
      <c r="AB144" s="410">
        <v>1639.8</v>
      </c>
      <c r="AC144" s="428">
        <v>3229.0899999999997</v>
      </c>
      <c r="AD144" s="429">
        <v>4136.0599999999995</v>
      </c>
      <c r="AE144" s="429">
        <v>4975.22</v>
      </c>
      <c r="AF144" s="369">
        <v>3500</v>
      </c>
      <c r="AG144" s="369">
        <v>3500</v>
      </c>
      <c r="AH144" s="369">
        <v>3500</v>
      </c>
      <c r="AI144" s="369">
        <v>3500</v>
      </c>
      <c r="AJ144" s="369">
        <v>3500</v>
      </c>
      <c r="AK144" s="369">
        <v>3500</v>
      </c>
      <c r="AL144" s="367">
        <v>38810.29</v>
      </c>
      <c r="AM144" s="362">
        <v>1840.3700000000026</v>
      </c>
      <c r="AN144" s="227">
        <v>3500</v>
      </c>
      <c r="AO144" s="227">
        <v>1475.2200000000003</v>
      </c>
      <c r="AP144" s="374">
        <v>1840.3700000000008</v>
      </c>
      <c r="AQ144" s="80"/>
      <c r="AR144" s="79">
        <v>1840.3700000000026</v>
      </c>
      <c r="AS144" s="81"/>
      <c r="AT144" s="375">
        <v>1654.46</v>
      </c>
      <c r="AU144" s="375">
        <v>2175.66</v>
      </c>
      <c r="AV144" s="375">
        <v>1639.8</v>
      </c>
      <c r="AW144" s="375">
        <v>3500</v>
      </c>
      <c r="AX144" s="375">
        <v>3500</v>
      </c>
      <c r="AY144" s="375">
        <v>3500</v>
      </c>
      <c r="AZ144" s="375">
        <v>3500</v>
      </c>
      <c r="BA144" s="375">
        <v>3500</v>
      </c>
      <c r="BB144" s="375">
        <v>3500</v>
      </c>
      <c r="BC144" s="375">
        <v>3500</v>
      </c>
      <c r="BD144" s="375">
        <v>3500</v>
      </c>
      <c r="BE144" s="375">
        <v>3500</v>
      </c>
      <c r="BF144" s="375">
        <v>36969.919999999998</v>
      </c>
      <c r="BG144" s="227">
        <v>1654.46</v>
      </c>
      <c r="BH144" s="227">
        <v>2175.66</v>
      </c>
      <c r="BI144" s="227">
        <v>1639.8</v>
      </c>
      <c r="BJ144" s="227">
        <v>3500</v>
      </c>
      <c r="BK144" s="227">
        <v>3500</v>
      </c>
      <c r="BL144" s="227">
        <v>3500</v>
      </c>
      <c r="BM144" s="227">
        <v>3500</v>
      </c>
      <c r="BN144" s="227">
        <v>3500</v>
      </c>
      <c r="BO144" s="227">
        <v>3500</v>
      </c>
      <c r="BP144" s="227">
        <v>3500</v>
      </c>
      <c r="BQ144" s="227">
        <v>3500</v>
      </c>
      <c r="BR144" s="227">
        <v>3500</v>
      </c>
      <c r="BS144" s="227">
        <v>36969.919999999998</v>
      </c>
    </row>
    <row r="145" spans="1:71" ht="15" customHeight="1">
      <c r="A145" s="215" t="s">
        <v>2112</v>
      </c>
      <c r="B145" s="215" t="s">
        <v>580</v>
      </c>
      <c r="C145" s="215" t="s">
        <v>2113</v>
      </c>
      <c r="D145" s="150" t="s">
        <v>1136</v>
      </c>
      <c r="E145" s="482" t="s">
        <v>1566</v>
      </c>
      <c r="F145" s="482" t="s">
        <v>1566</v>
      </c>
      <c r="G145" s="553" t="s">
        <v>1566</v>
      </c>
      <c r="H145" s="334" t="s">
        <v>1345</v>
      </c>
      <c r="I145" s="334" t="s">
        <v>1346</v>
      </c>
      <c r="J145" s="334" t="s">
        <v>1346</v>
      </c>
      <c r="K145" s="516" t="s">
        <v>389</v>
      </c>
      <c r="L145" s="398" t="s">
        <v>1703</v>
      </c>
      <c r="M145" s="343"/>
      <c r="N145" s="344"/>
      <c r="O145" s="219" t="s">
        <v>365</v>
      </c>
      <c r="P145" s="349"/>
      <c r="Q145" s="346" t="s">
        <v>1140</v>
      </c>
      <c r="R145" s="349"/>
      <c r="S145" s="334" t="s">
        <v>57</v>
      </c>
      <c r="T145" s="354"/>
      <c r="U145" s="403"/>
      <c r="V145" s="406">
        <v>0</v>
      </c>
      <c r="W145" s="406">
        <v>2000</v>
      </c>
      <c r="X145" s="430"/>
      <c r="Y145" s="137"/>
      <c r="Z145" s="408">
        <v>2000</v>
      </c>
      <c r="AA145" s="412">
        <v>0</v>
      </c>
      <c r="AB145" s="412">
        <v>0</v>
      </c>
      <c r="AC145" s="428">
        <v>0</v>
      </c>
      <c r="AD145" s="429">
        <v>90.2</v>
      </c>
      <c r="AE145" s="429">
        <v>90.2</v>
      </c>
      <c r="AF145" s="368">
        <v>0</v>
      </c>
      <c r="AG145" s="368">
        <v>0</v>
      </c>
      <c r="AH145" s="368">
        <v>0</v>
      </c>
      <c r="AI145" s="368">
        <v>0</v>
      </c>
      <c r="AJ145" s="368">
        <v>0</v>
      </c>
      <c r="AK145" s="368">
        <v>0</v>
      </c>
      <c r="AL145" s="367">
        <v>2180.3999999999996</v>
      </c>
      <c r="AM145" s="362">
        <v>180.39999999999964</v>
      </c>
      <c r="AN145" s="227">
        <v>0</v>
      </c>
      <c r="AO145" s="227">
        <v>90.2</v>
      </c>
      <c r="AP145" s="374">
        <v>180.39999999999964</v>
      </c>
      <c r="AQ145" s="80"/>
      <c r="AR145" s="79">
        <v>180.39999999999964</v>
      </c>
      <c r="AS145" s="81"/>
      <c r="AT145" s="375">
        <v>2000</v>
      </c>
      <c r="AU145" s="375">
        <v>0</v>
      </c>
      <c r="AV145" s="375">
        <v>0</v>
      </c>
      <c r="AW145" s="375">
        <v>0</v>
      </c>
      <c r="AX145" s="375">
        <v>0</v>
      </c>
      <c r="AY145" s="375">
        <v>0</v>
      </c>
      <c r="AZ145" s="375">
        <v>0</v>
      </c>
      <c r="BA145" s="375">
        <v>0</v>
      </c>
      <c r="BB145" s="375">
        <v>0</v>
      </c>
      <c r="BC145" s="375">
        <v>0</v>
      </c>
      <c r="BD145" s="375">
        <v>0</v>
      </c>
      <c r="BE145" s="375">
        <v>0</v>
      </c>
      <c r="BF145" s="375">
        <v>2000</v>
      </c>
      <c r="BG145" s="227">
        <v>2000</v>
      </c>
      <c r="BH145" s="227">
        <v>0</v>
      </c>
      <c r="BI145" s="227">
        <v>0</v>
      </c>
      <c r="BJ145" s="227">
        <v>0</v>
      </c>
      <c r="BK145" s="227">
        <v>0</v>
      </c>
      <c r="BL145" s="227">
        <v>0</v>
      </c>
      <c r="BM145" s="227">
        <v>0</v>
      </c>
      <c r="BN145" s="227">
        <v>0</v>
      </c>
      <c r="BO145" s="227">
        <v>0</v>
      </c>
      <c r="BP145" s="227">
        <v>0</v>
      </c>
      <c r="BQ145" s="227">
        <v>0</v>
      </c>
      <c r="BR145" s="227">
        <v>0</v>
      </c>
      <c r="BS145" s="227">
        <v>2000</v>
      </c>
    </row>
    <row r="146" spans="1:71" ht="15" customHeight="1">
      <c r="A146" s="215" t="s">
        <v>2115</v>
      </c>
      <c r="B146" s="215" t="s">
        <v>580</v>
      </c>
      <c r="C146" s="215" t="s">
        <v>2116</v>
      </c>
      <c r="D146" s="150" t="s">
        <v>1136</v>
      </c>
      <c r="E146" s="482" t="s">
        <v>1566</v>
      </c>
      <c r="F146" s="150" t="s">
        <v>1566</v>
      </c>
      <c r="G146" s="334" t="s">
        <v>1566</v>
      </c>
      <c r="H146" s="334" t="s">
        <v>1567</v>
      </c>
      <c r="I146" s="334" t="s">
        <v>1567</v>
      </c>
      <c r="J146" s="334" t="s">
        <v>1567</v>
      </c>
      <c r="K146" s="516" t="s">
        <v>389</v>
      </c>
      <c r="L146" s="398" t="s">
        <v>1703</v>
      </c>
      <c r="M146" s="343"/>
      <c r="N146" s="344"/>
      <c r="O146" s="219" t="s">
        <v>365</v>
      </c>
      <c r="P146" s="349"/>
      <c r="Q146" s="346" t="s">
        <v>1140</v>
      </c>
      <c r="R146" s="349"/>
      <c r="S146" s="334" t="s">
        <v>57</v>
      </c>
      <c r="T146" s="354"/>
      <c r="U146" s="403"/>
      <c r="V146" s="406">
        <v>18000</v>
      </c>
      <c r="W146" s="406">
        <v>15727.5</v>
      </c>
      <c r="X146" s="425"/>
      <c r="Y146" s="71"/>
      <c r="Z146" s="408">
        <v>2227.5</v>
      </c>
      <c r="AA146" s="412">
        <v>0</v>
      </c>
      <c r="AB146" s="412">
        <v>0</v>
      </c>
      <c r="AC146" s="428">
        <v>0</v>
      </c>
      <c r="AD146" s="429">
        <v>1.86</v>
      </c>
      <c r="AE146" s="429">
        <v>388.92</v>
      </c>
      <c r="AF146" s="369">
        <v>1500</v>
      </c>
      <c r="AG146" s="369">
        <v>1500</v>
      </c>
      <c r="AH146" s="369">
        <v>1500</v>
      </c>
      <c r="AI146" s="369">
        <v>1500</v>
      </c>
      <c r="AJ146" s="369">
        <v>1500</v>
      </c>
      <c r="AK146" s="369">
        <v>1500</v>
      </c>
      <c r="AL146" s="367">
        <v>11618.28</v>
      </c>
      <c r="AM146" s="362">
        <v>-4109.2199999999993</v>
      </c>
      <c r="AN146" s="227">
        <v>1500</v>
      </c>
      <c r="AO146" s="227">
        <v>-1111.08</v>
      </c>
      <c r="AP146" s="374">
        <v>-4109.2199999999993</v>
      </c>
      <c r="AQ146" s="80"/>
      <c r="AR146" s="79">
        <v>-4109.2199999999993</v>
      </c>
      <c r="AS146" s="81"/>
      <c r="AT146" s="375">
        <v>2227.5</v>
      </c>
      <c r="AU146" s="375">
        <v>0</v>
      </c>
      <c r="AV146" s="375">
        <v>0</v>
      </c>
      <c r="AW146" s="375">
        <v>1500</v>
      </c>
      <c r="AX146" s="375">
        <v>1500</v>
      </c>
      <c r="AY146" s="375">
        <v>1500</v>
      </c>
      <c r="AZ146" s="375">
        <v>1500</v>
      </c>
      <c r="BA146" s="375">
        <v>1500</v>
      </c>
      <c r="BB146" s="375">
        <v>1500</v>
      </c>
      <c r="BC146" s="375">
        <v>1500</v>
      </c>
      <c r="BD146" s="375">
        <v>1500</v>
      </c>
      <c r="BE146" s="375">
        <v>1500</v>
      </c>
      <c r="BF146" s="375">
        <v>15727.5</v>
      </c>
      <c r="BG146" s="227">
        <v>2227.5</v>
      </c>
      <c r="BH146" s="227">
        <v>0</v>
      </c>
      <c r="BI146" s="227">
        <v>0</v>
      </c>
      <c r="BJ146" s="227">
        <v>1500</v>
      </c>
      <c r="BK146" s="227">
        <v>1500</v>
      </c>
      <c r="BL146" s="227">
        <v>1500</v>
      </c>
      <c r="BM146" s="227">
        <v>1500</v>
      </c>
      <c r="BN146" s="227">
        <v>1500</v>
      </c>
      <c r="BO146" s="227">
        <v>1500</v>
      </c>
      <c r="BP146" s="227">
        <v>1500</v>
      </c>
      <c r="BQ146" s="227">
        <v>1500</v>
      </c>
      <c r="BR146" s="227">
        <v>1500</v>
      </c>
      <c r="BS146" s="227">
        <v>15727.5</v>
      </c>
    </row>
    <row r="147" spans="1:71" ht="15" customHeight="1">
      <c r="A147" s="215" t="s">
        <v>2117</v>
      </c>
      <c r="B147" s="215" t="s">
        <v>581</v>
      </c>
      <c r="C147" s="215" t="s">
        <v>2118</v>
      </c>
      <c r="D147" s="150" t="s">
        <v>1136</v>
      </c>
      <c r="E147" s="482" t="s">
        <v>1566</v>
      </c>
      <c r="F147" s="482" t="s">
        <v>1566</v>
      </c>
      <c r="G147" s="553" t="s">
        <v>1566</v>
      </c>
      <c r="H147" s="334" t="s">
        <v>1345</v>
      </c>
      <c r="I147" s="334" t="s">
        <v>1346</v>
      </c>
      <c r="J147" s="334" t="s">
        <v>1346</v>
      </c>
      <c r="K147" s="516" t="s">
        <v>389</v>
      </c>
      <c r="L147" s="398" t="s">
        <v>1855</v>
      </c>
      <c r="M147" s="343"/>
      <c r="N147" s="344"/>
      <c r="O147" s="219" t="s">
        <v>466</v>
      </c>
      <c r="P147" s="349"/>
      <c r="Q147" s="346" t="s">
        <v>1140</v>
      </c>
      <c r="R147" s="349"/>
      <c r="S147" s="334" t="s">
        <v>57</v>
      </c>
      <c r="T147" s="354"/>
      <c r="U147" s="403"/>
      <c r="V147" s="406">
        <v>60000</v>
      </c>
      <c r="W147" s="406">
        <v>76216.11</v>
      </c>
      <c r="X147" s="425"/>
      <c r="Y147" s="71"/>
      <c r="Z147" s="408">
        <v>14407.17</v>
      </c>
      <c r="AA147" s="410">
        <v>13803.08</v>
      </c>
      <c r="AB147" s="410">
        <v>3005.86</v>
      </c>
      <c r="AC147" s="428">
        <v>15296.21</v>
      </c>
      <c r="AD147" s="429">
        <v>17035.269999999997</v>
      </c>
      <c r="AE147" s="429">
        <v>17290.900000000001</v>
      </c>
      <c r="AF147" s="369">
        <v>5000</v>
      </c>
      <c r="AG147" s="369">
        <v>5000</v>
      </c>
      <c r="AH147" s="369">
        <v>5000</v>
      </c>
      <c r="AI147" s="369">
        <v>5000</v>
      </c>
      <c r="AJ147" s="369">
        <v>5000</v>
      </c>
      <c r="AK147" s="369">
        <v>5000</v>
      </c>
      <c r="AL147" s="367">
        <v>110838.48999999999</v>
      </c>
      <c r="AM147" s="362">
        <v>34622.37999999999</v>
      </c>
      <c r="AN147" s="227">
        <v>5000</v>
      </c>
      <c r="AO147" s="227">
        <v>12290.900000000001</v>
      </c>
      <c r="AP147" s="374">
        <v>34622.37999999999</v>
      </c>
      <c r="AQ147" s="80"/>
      <c r="AR147" s="79">
        <v>34622.37999999999</v>
      </c>
      <c r="AS147" s="81"/>
      <c r="AT147" s="375">
        <v>14407.17</v>
      </c>
      <c r="AU147" s="375">
        <v>13803.08</v>
      </c>
      <c r="AV147" s="375">
        <v>3005.86</v>
      </c>
      <c r="AW147" s="375">
        <v>5000</v>
      </c>
      <c r="AX147" s="375">
        <v>5000</v>
      </c>
      <c r="AY147" s="375">
        <v>5000</v>
      </c>
      <c r="AZ147" s="375">
        <v>5000</v>
      </c>
      <c r="BA147" s="375">
        <v>5000</v>
      </c>
      <c r="BB147" s="375">
        <v>5000</v>
      </c>
      <c r="BC147" s="375">
        <v>5000</v>
      </c>
      <c r="BD147" s="375">
        <v>5000</v>
      </c>
      <c r="BE147" s="375">
        <v>5000</v>
      </c>
      <c r="BF147" s="375">
        <v>76216.11</v>
      </c>
      <c r="BG147" s="227">
        <v>14407.17</v>
      </c>
      <c r="BH147" s="227">
        <v>13803.08</v>
      </c>
      <c r="BI147" s="227">
        <v>3005.86</v>
      </c>
      <c r="BJ147" s="227">
        <v>5000</v>
      </c>
      <c r="BK147" s="227">
        <v>5000</v>
      </c>
      <c r="BL147" s="227">
        <v>5000</v>
      </c>
      <c r="BM147" s="227">
        <v>5000</v>
      </c>
      <c r="BN147" s="227">
        <v>5000</v>
      </c>
      <c r="BO147" s="227">
        <v>5000</v>
      </c>
      <c r="BP147" s="227">
        <v>5000</v>
      </c>
      <c r="BQ147" s="227">
        <v>5000</v>
      </c>
      <c r="BR147" s="227">
        <v>5000</v>
      </c>
      <c r="BS147" s="227">
        <v>76216.11</v>
      </c>
    </row>
    <row r="148" spans="1:71" ht="15" customHeight="1">
      <c r="A148" s="215" t="s">
        <v>2120</v>
      </c>
      <c r="B148" s="215" t="s">
        <v>581</v>
      </c>
      <c r="C148" s="215" t="s">
        <v>2121</v>
      </c>
      <c r="D148" s="150" t="s">
        <v>1136</v>
      </c>
      <c r="E148" s="482" t="s">
        <v>1566</v>
      </c>
      <c r="F148" s="150" t="s">
        <v>1566</v>
      </c>
      <c r="G148" s="334" t="s">
        <v>1566</v>
      </c>
      <c r="H148" s="334" t="s">
        <v>1567</v>
      </c>
      <c r="I148" s="334" t="s">
        <v>1567</v>
      </c>
      <c r="J148" s="334" t="s">
        <v>1567</v>
      </c>
      <c r="K148" s="516" t="s">
        <v>389</v>
      </c>
      <c r="L148" s="398" t="s">
        <v>1855</v>
      </c>
      <c r="M148" s="343"/>
      <c r="N148" s="344"/>
      <c r="O148" s="219" t="s">
        <v>466</v>
      </c>
      <c r="P148" s="349"/>
      <c r="Q148" s="346" t="s">
        <v>1140</v>
      </c>
      <c r="R148" s="349"/>
      <c r="S148" s="334" t="s">
        <v>57</v>
      </c>
      <c r="T148" s="354"/>
      <c r="U148" s="403"/>
      <c r="V148" s="406">
        <v>0</v>
      </c>
      <c r="W148" s="406">
        <v>882</v>
      </c>
      <c r="X148" s="425"/>
      <c r="Y148" s="71"/>
      <c r="Z148" s="408">
        <v>194</v>
      </c>
      <c r="AA148" s="410">
        <v>194</v>
      </c>
      <c r="AB148" s="410">
        <v>494</v>
      </c>
      <c r="AC148" s="428">
        <v>688</v>
      </c>
      <c r="AD148" s="429">
        <v>501</v>
      </c>
      <c r="AE148" s="429">
        <v>441</v>
      </c>
      <c r="AF148" s="368">
        <v>0</v>
      </c>
      <c r="AG148" s="368">
        <v>0</v>
      </c>
      <c r="AH148" s="368">
        <v>0</v>
      </c>
      <c r="AI148" s="368">
        <v>0</v>
      </c>
      <c r="AJ148" s="368">
        <v>0</v>
      </c>
      <c r="AK148" s="368">
        <v>0</v>
      </c>
      <c r="AL148" s="367">
        <v>2512</v>
      </c>
      <c r="AM148" s="362">
        <v>1630</v>
      </c>
      <c r="AN148" s="227">
        <v>0</v>
      </c>
      <c r="AO148" s="227">
        <v>441</v>
      </c>
      <c r="AP148" s="374">
        <v>1630</v>
      </c>
      <c r="AQ148" s="80"/>
      <c r="AR148" s="79">
        <v>1630</v>
      </c>
      <c r="AS148" s="81"/>
      <c r="AT148" s="375">
        <v>194</v>
      </c>
      <c r="AU148" s="375">
        <v>194</v>
      </c>
      <c r="AV148" s="375">
        <v>494</v>
      </c>
      <c r="AW148" s="375">
        <v>0</v>
      </c>
      <c r="AX148" s="375">
        <v>0</v>
      </c>
      <c r="AY148" s="375">
        <v>0</v>
      </c>
      <c r="AZ148" s="375">
        <v>0</v>
      </c>
      <c r="BA148" s="375">
        <v>0</v>
      </c>
      <c r="BB148" s="375">
        <v>0</v>
      </c>
      <c r="BC148" s="375">
        <v>0</v>
      </c>
      <c r="BD148" s="375">
        <v>0</v>
      </c>
      <c r="BE148" s="375">
        <v>0</v>
      </c>
      <c r="BF148" s="375">
        <v>882</v>
      </c>
      <c r="BG148" s="227">
        <v>194</v>
      </c>
      <c r="BH148" s="227">
        <v>194</v>
      </c>
      <c r="BI148" s="227">
        <v>494</v>
      </c>
      <c r="BJ148" s="227">
        <v>0</v>
      </c>
      <c r="BK148" s="227">
        <v>0</v>
      </c>
      <c r="BL148" s="227">
        <v>0</v>
      </c>
      <c r="BM148" s="227">
        <v>0</v>
      </c>
      <c r="BN148" s="227">
        <v>0</v>
      </c>
      <c r="BO148" s="227">
        <v>0</v>
      </c>
      <c r="BP148" s="227">
        <v>0</v>
      </c>
      <c r="BQ148" s="227">
        <v>0</v>
      </c>
      <c r="BR148" s="227">
        <v>0</v>
      </c>
      <c r="BS148" s="227">
        <v>882</v>
      </c>
    </row>
    <row r="149" spans="1:71" ht="15" customHeight="1">
      <c r="A149" s="215" t="s">
        <v>2129</v>
      </c>
      <c r="B149" s="264" t="s">
        <v>588</v>
      </c>
      <c r="C149" s="264" t="s">
        <v>2130</v>
      </c>
      <c r="D149" s="150" t="s">
        <v>1136</v>
      </c>
      <c r="E149" s="482" t="s">
        <v>1566</v>
      </c>
      <c r="F149" s="482" t="s">
        <v>1566</v>
      </c>
      <c r="G149" s="555" t="s">
        <v>1566</v>
      </c>
      <c r="H149" s="340" t="s">
        <v>1345</v>
      </c>
      <c r="I149" s="341" t="s">
        <v>1346</v>
      </c>
      <c r="J149" s="334" t="s">
        <v>1346</v>
      </c>
      <c r="K149" s="519" t="s">
        <v>389</v>
      </c>
      <c r="L149" s="400" t="s">
        <v>1327</v>
      </c>
      <c r="M149" s="343"/>
      <c r="N149" s="344"/>
      <c r="O149" s="269" t="s">
        <v>147</v>
      </c>
      <c r="P149" s="349"/>
      <c r="Q149" s="343"/>
      <c r="R149" s="349"/>
      <c r="S149" s="341" t="s">
        <v>25</v>
      </c>
      <c r="T149" s="354"/>
      <c r="U149" s="403"/>
      <c r="V149" s="406">
        <v>0</v>
      </c>
      <c r="W149" s="406">
        <v>-991.60999999999967</v>
      </c>
      <c r="X149" s="425"/>
      <c r="Y149" s="71"/>
      <c r="Z149" s="417">
        <v>2949.13</v>
      </c>
      <c r="AA149" s="417">
        <v>-734.7</v>
      </c>
      <c r="AB149" s="417">
        <v>-3206.04</v>
      </c>
      <c r="AC149" s="428">
        <v>1083.7399999999998</v>
      </c>
      <c r="AD149" s="429">
        <v>2193.66</v>
      </c>
      <c r="AE149" s="429">
        <v>2312.1299999999997</v>
      </c>
      <c r="AF149" s="372">
        <v>0</v>
      </c>
      <c r="AG149" s="372">
        <v>0</v>
      </c>
      <c r="AH149" s="372">
        <v>0</v>
      </c>
      <c r="AI149" s="372">
        <v>0</v>
      </c>
      <c r="AJ149" s="372">
        <v>0</v>
      </c>
      <c r="AK149" s="372">
        <v>0</v>
      </c>
      <c r="AL149" s="367">
        <v>4597.92</v>
      </c>
      <c r="AM149" s="362">
        <v>5589.53</v>
      </c>
      <c r="AN149" s="227">
        <v>0</v>
      </c>
      <c r="AO149" s="227">
        <v>2312.1299999999997</v>
      </c>
      <c r="AP149" s="374">
        <v>5589.53</v>
      </c>
      <c r="AQ149" s="80"/>
      <c r="AR149" s="79">
        <v>5589.53</v>
      </c>
      <c r="AS149" s="81"/>
      <c r="AT149" s="375">
        <v>2949.13</v>
      </c>
      <c r="AU149" s="375">
        <v>-734.7</v>
      </c>
      <c r="AV149" s="375">
        <v>-3206.04</v>
      </c>
      <c r="AW149" s="375">
        <v>0</v>
      </c>
      <c r="AX149" s="375">
        <v>0</v>
      </c>
      <c r="AY149" s="375">
        <v>0</v>
      </c>
      <c r="AZ149" s="375">
        <v>0</v>
      </c>
      <c r="BA149" s="375">
        <v>0</v>
      </c>
      <c r="BB149" s="375">
        <v>0</v>
      </c>
      <c r="BC149" s="375">
        <v>0</v>
      </c>
      <c r="BD149" s="375">
        <v>0</v>
      </c>
      <c r="BE149" s="375">
        <v>0</v>
      </c>
      <c r="BF149" s="375">
        <v>-991.60999999999967</v>
      </c>
      <c r="BG149" s="276">
        <v>2949.13</v>
      </c>
      <c r="BH149" s="276">
        <v>-734.7</v>
      </c>
      <c r="BI149" s="276">
        <v>-3206.04</v>
      </c>
      <c r="BJ149" s="276">
        <v>0</v>
      </c>
      <c r="BK149" s="276">
        <v>0</v>
      </c>
      <c r="BL149" s="276">
        <v>0</v>
      </c>
      <c r="BM149" s="276">
        <v>0</v>
      </c>
      <c r="BN149" s="276">
        <v>0</v>
      </c>
      <c r="BO149" s="276">
        <v>0</v>
      </c>
      <c r="BP149" s="276">
        <v>0</v>
      </c>
      <c r="BQ149" s="276">
        <v>0</v>
      </c>
      <c r="BR149" s="276">
        <v>0</v>
      </c>
      <c r="BS149" s="227">
        <v>-991.60999999999967</v>
      </c>
    </row>
    <row r="150" spans="1:71" ht="15" customHeight="1">
      <c r="A150" s="215" t="s">
        <v>2131</v>
      </c>
      <c r="B150" s="264" t="s">
        <v>588</v>
      </c>
      <c r="C150" s="264" t="s">
        <v>2132</v>
      </c>
      <c r="D150" s="150" t="s">
        <v>1136</v>
      </c>
      <c r="E150" s="482" t="s">
        <v>1566</v>
      </c>
      <c r="F150" s="150" t="s">
        <v>1566</v>
      </c>
      <c r="G150" s="341" t="s">
        <v>1566</v>
      </c>
      <c r="H150" s="340" t="s">
        <v>1567</v>
      </c>
      <c r="I150" s="341" t="s">
        <v>1567</v>
      </c>
      <c r="J150" s="334" t="s">
        <v>1567</v>
      </c>
      <c r="K150" s="519" t="s">
        <v>389</v>
      </c>
      <c r="L150" s="400" t="s">
        <v>1327</v>
      </c>
      <c r="M150" s="343"/>
      <c r="N150" s="344"/>
      <c r="O150" s="269" t="s">
        <v>147</v>
      </c>
      <c r="P150" s="349"/>
      <c r="Q150" s="343"/>
      <c r="R150" s="349"/>
      <c r="S150" s="341" t="s">
        <v>25</v>
      </c>
      <c r="T150" s="354"/>
      <c r="U150" s="403"/>
      <c r="V150" s="406">
        <v>0</v>
      </c>
      <c r="W150" s="406">
        <v>1501.59</v>
      </c>
      <c r="X150" s="425"/>
      <c r="Y150" s="71"/>
      <c r="Z150" s="417">
        <v>-0.46</v>
      </c>
      <c r="AA150" s="417">
        <v>0.71</v>
      </c>
      <c r="AB150" s="417">
        <v>1501.34</v>
      </c>
      <c r="AC150" s="428">
        <v>0.24</v>
      </c>
      <c r="AD150" s="429">
        <v>0.2</v>
      </c>
      <c r="AE150" s="429">
        <v>1249.95</v>
      </c>
      <c r="AF150" s="372">
        <v>0</v>
      </c>
      <c r="AG150" s="372">
        <v>0</v>
      </c>
      <c r="AH150" s="372">
        <v>0</v>
      </c>
      <c r="AI150" s="372">
        <v>0</v>
      </c>
      <c r="AJ150" s="372">
        <v>0</v>
      </c>
      <c r="AK150" s="372">
        <v>0</v>
      </c>
      <c r="AL150" s="367">
        <v>2751.98</v>
      </c>
      <c r="AM150" s="362">
        <v>1250.3900000000001</v>
      </c>
      <c r="AN150" s="227">
        <v>0</v>
      </c>
      <c r="AO150" s="227">
        <v>1249.95</v>
      </c>
      <c r="AP150" s="374">
        <v>1250.3900000000001</v>
      </c>
      <c r="AQ150" s="80"/>
      <c r="AR150" s="79">
        <v>1250.3900000000001</v>
      </c>
      <c r="AS150" s="81"/>
      <c r="AT150" s="375">
        <v>-0.46</v>
      </c>
      <c r="AU150" s="375">
        <v>0.71</v>
      </c>
      <c r="AV150" s="375">
        <v>1501.34</v>
      </c>
      <c r="AW150" s="375">
        <v>0</v>
      </c>
      <c r="AX150" s="375">
        <v>0</v>
      </c>
      <c r="AY150" s="375">
        <v>0</v>
      </c>
      <c r="AZ150" s="375">
        <v>0</v>
      </c>
      <c r="BA150" s="375">
        <v>0</v>
      </c>
      <c r="BB150" s="375">
        <v>0</v>
      </c>
      <c r="BC150" s="375">
        <v>0</v>
      </c>
      <c r="BD150" s="375">
        <v>0</v>
      </c>
      <c r="BE150" s="375">
        <v>0</v>
      </c>
      <c r="BF150" s="375">
        <v>1501.59</v>
      </c>
      <c r="BG150" s="276">
        <v>-0.46</v>
      </c>
      <c r="BH150" s="276">
        <v>0.71</v>
      </c>
      <c r="BI150" s="276">
        <v>1501.34</v>
      </c>
      <c r="BJ150" s="276">
        <v>0</v>
      </c>
      <c r="BK150" s="276">
        <v>0</v>
      </c>
      <c r="BL150" s="276">
        <v>0</v>
      </c>
      <c r="BM150" s="276">
        <v>0</v>
      </c>
      <c r="BN150" s="276">
        <v>0</v>
      </c>
      <c r="BO150" s="276">
        <v>0</v>
      </c>
      <c r="BP150" s="276">
        <v>0</v>
      </c>
      <c r="BQ150" s="276">
        <v>0</v>
      </c>
      <c r="BR150" s="276">
        <v>0</v>
      </c>
      <c r="BS150" s="227">
        <v>1501.59</v>
      </c>
    </row>
    <row r="151" spans="1:71" ht="15" customHeight="1">
      <c r="A151" s="215" t="s">
        <v>2174</v>
      </c>
      <c r="B151" s="264" t="s">
        <v>619</v>
      </c>
      <c r="C151" s="264" t="s">
        <v>2175</v>
      </c>
      <c r="D151" s="150" t="s">
        <v>1136</v>
      </c>
      <c r="E151" s="482" t="s">
        <v>1566</v>
      </c>
      <c r="F151" s="482" t="s">
        <v>1566</v>
      </c>
      <c r="G151" s="555" t="s">
        <v>1566</v>
      </c>
      <c r="H151" s="340" t="s">
        <v>1345</v>
      </c>
      <c r="I151" s="341" t="s">
        <v>1346</v>
      </c>
      <c r="J151" s="334" t="s">
        <v>1346</v>
      </c>
      <c r="K151" s="519" t="s">
        <v>602</v>
      </c>
      <c r="L151" s="400" t="s">
        <v>2176</v>
      </c>
      <c r="M151" s="343"/>
      <c r="N151" s="344"/>
      <c r="O151" s="269" t="s">
        <v>620</v>
      </c>
      <c r="P151" s="349"/>
      <c r="Q151" s="343"/>
      <c r="R151" s="349"/>
      <c r="S151" s="341" t="s">
        <v>25</v>
      </c>
      <c r="T151" s="354"/>
      <c r="U151" s="403"/>
      <c r="V151" s="406">
        <v>0</v>
      </c>
      <c r="W151" s="406">
        <v>614.69000000000005</v>
      </c>
      <c r="X151" s="430"/>
      <c r="Y151" s="137"/>
      <c r="Z151" s="417"/>
      <c r="AA151" s="417">
        <v>260.76</v>
      </c>
      <c r="AB151" s="417">
        <v>353.93</v>
      </c>
      <c r="AC151" s="428" t="s">
        <v>1142</v>
      </c>
      <c r="AD151" s="429">
        <v>0</v>
      </c>
      <c r="AE151" s="429">
        <v>0</v>
      </c>
      <c r="AF151" s="372">
        <v>0</v>
      </c>
      <c r="AG151" s="372">
        <v>0</v>
      </c>
      <c r="AH151" s="372">
        <v>0</v>
      </c>
      <c r="AI151" s="372">
        <v>0</v>
      </c>
      <c r="AJ151" s="372">
        <v>0</v>
      </c>
      <c r="AK151" s="372">
        <v>0</v>
      </c>
      <c r="AL151" s="367">
        <v>614.69000000000005</v>
      </c>
      <c r="AM151" s="362">
        <v>0</v>
      </c>
      <c r="AN151" s="227">
        <v>0</v>
      </c>
      <c r="AO151" s="227">
        <v>0</v>
      </c>
      <c r="AP151" s="374">
        <v>0</v>
      </c>
      <c r="AQ151" s="80"/>
      <c r="AR151" s="79">
        <v>0</v>
      </c>
      <c r="AS151" s="81"/>
      <c r="AT151" s="375"/>
      <c r="AU151" s="375">
        <v>260.76</v>
      </c>
      <c r="AV151" s="375">
        <v>353.93</v>
      </c>
      <c r="AW151" s="375">
        <v>0</v>
      </c>
      <c r="AX151" s="375">
        <v>0</v>
      </c>
      <c r="AY151" s="375">
        <v>0</v>
      </c>
      <c r="AZ151" s="375">
        <v>0</v>
      </c>
      <c r="BA151" s="375">
        <v>0</v>
      </c>
      <c r="BB151" s="375">
        <v>0</v>
      </c>
      <c r="BC151" s="375">
        <v>0</v>
      </c>
      <c r="BD151" s="375">
        <v>0</v>
      </c>
      <c r="BE151" s="375">
        <v>0</v>
      </c>
      <c r="BF151" s="375">
        <v>614.69000000000005</v>
      </c>
      <c r="BG151" s="276"/>
      <c r="BH151" s="276">
        <v>260.76</v>
      </c>
      <c r="BI151" s="276">
        <v>353.93</v>
      </c>
      <c r="BJ151" s="276">
        <v>0</v>
      </c>
      <c r="BK151" s="276">
        <v>0</v>
      </c>
      <c r="BL151" s="276">
        <v>0</v>
      </c>
      <c r="BM151" s="276">
        <v>0</v>
      </c>
      <c r="BN151" s="276">
        <v>0</v>
      </c>
      <c r="BO151" s="276">
        <v>0</v>
      </c>
      <c r="BP151" s="276">
        <v>0</v>
      </c>
      <c r="BQ151" s="276">
        <v>0</v>
      </c>
      <c r="BR151" s="276">
        <v>0</v>
      </c>
      <c r="BS151" s="227">
        <v>614.69000000000005</v>
      </c>
    </row>
    <row r="152" spans="1:71" ht="15" customHeight="1">
      <c r="A152" s="215" t="s">
        <v>2177</v>
      </c>
      <c r="B152" s="264" t="s">
        <v>619</v>
      </c>
      <c r="C152" s="264" t="s">
        <v>2178</v>
      </c>
      <c r="D152" s="150" t="s">
        <v>1136</v>
      </c>
      <c r="E152" s="482" t="s">
        <v>1566</v>
      </c>
      <c r="F152" s="150" t="s">
        <v>1566</v>
      </c>
      <c r="G152" s="341" t="s">
        <v>1566</v>
      </c>
      <c r="H152" s="340" t="s">
        <v>1567</v>
      </c>
      <c r="I152" s="341" t="s">
        <v>1567</v>
      </c>
      <c r="J152" s="334" t="s">
        <v>1567</v>
      </c>
      <c r="K152" s="519" t="s">
        <v>602</v>
      </c>
      <c r="L152" s="400" t="s">
        <v>2176</v>
      </c>
      <c r="M152" s="343"/>
      <c r="N152" s="344"/>
      <c r="O152" s="269" t="s">
        <v>620</v>
      </c>
      <c r="P152" s="349"/>
      <c r="Q152" s="343"/>
      <c r="R152" s="349"/>
      <c r="S152" s="341" t="s">
        <v>25</v>
      </c>
      <c r="T152" s="354"/>
      <c r="U152" s="403"/>
      <c r="V152" s="406">
        <v>0</v>
      </c>
      <c r="W152" s="406">
        <v>11815.17</v>
      </c>
      <c r="X152" s="425"/>
      <c r="Y152" s="71"/>
      <c r="Z152" s="417"/>
      <c r="AA152" s="417">
        <v>11815.17</v>
      </c>
      <c r="AB152" s="418">
        <v>0</v>
      </c>
      <c r="AC152" s="428" t="s">
        <v>1142</v>
      </c>
      <c r="AD152" s="429">
        <v>0</v>
      </c>
      <c r="AE152" s="429">
        <v>0</v>
      </c>
      <c r="AF152" s="372">
        <v>0</v>
      </c>
      <c r="AG152" s="372">
        <v>0</v>
      </c>
      <c r="AH152" s="372">
        <v>0</v>
      </c>
      <c r="AI152" s="372">
        <v>0</v>
      </c>
      <c r="AJ152" s="372">
        <v>0</v>
      </c>
      <c r="AK152" s="372">
        <v>0</v>
      </c>
      <c r="AL152" s="367">
        <v>11815.17</v>
      </c>
      <c r="AM152" s="362">
        <v>0</v>
      </c>
      <c r="AN152" s="227">
        <v>0</v>
      </c>
      <c r="AO152" s="227">
        <v>0</v>
      </c>
      <c r="AP152" s="374">
        <v>0</v>
      </c>
      <c r="AQ152" s="80"/>
      <c r="AR152" s="79">
        <v>0</v>
      </c>
      <c r="AS152" s="81"/>
      <c r="AT152" s="375"/>
      <c r="AU152" s="375">
        <v>11815.17</v>
      </c>
      <c r="AV152" s="375">
        <v>0</v>
      </c>
      <c r="AW152" s="375">
        <v>0</v>
      </c>
      <c r="AX152" s="375">
        <v>0</v>
      </c>
      <c r="AY152" s="375">
        <v>0</v>
      </c>
      <c r="AZ152" s="375">
        <v>0</v>
      </c>
      <c r="BA152" s="375">
        <v>0</v>
      </c>
      <c r="BB152" s="375">
        <v>0</v>
      </c>
      <c r="BC152" s="375">
        <v>0</v>
      </c>
      <c r="BD152" s="375">
        <v>0</v>
      </c>
      <c r="BE152" s="375">
        <v>0</v>
      </c>
      <c r="BF152" s="375">
        <v>11815.17</v>
      </c>
      <c r="BG152" s="276"/>
      <c r="BH152" s="276">
        <v>11815.17</v>
      </c>
      <c r="BI152" s="276">
        <v>0</v>
      </c>
      <c r="BJ152" s="276">
        <v>0</v>
      </c>
      <c r="BK152" s="276">
        <v>0</v>
      </c>
      <c r="BL152" s="276">
        <v>0</v>
      </c>
      <c r="BM152" s="276">
        <v>0</v>
      </c>
      <c r="BN152" s="276">
        <v>0</v>
      </c>
      <c r="BO152" s="276">
        <v>0</v>
      </c>
      <c r="BP152" s="276">
        <v>0</v>
      </c>
      <c r="BQ152" s="276">
        <v>0</v>
      </c>
      <c r="BR152" s="276">
        <v>0</v>
      </c>
      <c r="BS152" s="227">
        <v>11815.17</v>
      </c>
    </row>
    <row r="153" spans="1:71" ht="15" customHeight="1">
      <c r="A153" s="215" t="s">
        <v>2180</v>
      </c>
      <c r="B153" s="264" t="s">
        <v>621</v>
      </c>
      <c r="C153" s="264" t="s">
        <v>2181</v>
      </c>
      <c r="D153" s="150" t="s">
        <v>1136</v>
      </c>
      <c r="E153" s="482" t="s">
        <v>1566</v>
      </c>
      <c r="F153" s="482" t="s">
        <v>1566</v>
      </c>
      <c r="G153" s="555" t="s">
        <v>1566</v>
      </c>
      <c r="H153" s="340" t="s">
        <v>1345</v>
      </c>
      <c r="I153" s="341" t="s">
        <v>1346</v>
      </c>
      <c r="J153" s="334" t="s">
        <v>1346</v>
      </c>
      <c r="K153" s="519" t="s">
        <v>602</v>
      </c>
      <c r="L153" s="400" t="s">
        <v>611</v>
      </c>
      <c r="M153" s="343"/>
      <c r="N153" s="344"/>
      <c r="O153" s="70" t="s">
        <v>610</v>
      </c>
      <c r="P153" s="349"/>
      <c r="Q153" s="343"/>
      <c r="R153" s="349"/>
      <c r="S153" s="341" t="s">
        <v>611</v>
      </c>
      <c r="T153" s="354"/>
      <c r="U153" s="403"/>
      <c r="V153" s="406">
        <v>0</v>
      </c>
      <c r="W153" s="406">
        <v>9893.24</v>
      </c>
      <c r="X153" s="425"/>
      <c r="Y153" s="71"/>
      <c r="Z153" s="417">
        <v>478.59</v>
      </c>
      <c r="AA153" s="417">
        <v>9120.75</v>
      </c>
      <c r="AB153" s="417">
        <v>293.89999999999998</v>
      </c>
      <c r="AC153" s="428">
        <v>94.080000000000013</v>
      </c>
      <c r="AD153" s="429">
        <v>275.29999999999984</v>
      </c>
      <c r="AE153" s="429">
        <v>-458.89999999999986</v>
      </c>
      <c r="AF153" s="372">
        <v>0</v>
      </c>
      <c r="AG153" s="372">
        <v>0</v>
      </c>
      <c r="AH153" s="372">
        <v>0</v>
      </c>
      <c r="AI153" s="372">
        <v>0</v>
      </c>
      <c r="AJ153" s="372">
        <v>0</v>
      </c>
      <c r="AK153" s="372">
        <v>0</v>
      </c>
      <c r="AL153" s="367">
        <v>9803.7199999999993</v>
      </c>
      <c r="AM153" s="362">
        <v>-89.520000000000437</v>
      </c>
      <c r="AN153" s="227">
        <v>0</v>
      </c>
      <c r="AO153" s="227">
        <v>-458.89999999999986</v>
      </c>
      <c r="AP153" s="374">
        <v>-89.520000000000437</v>
      </c>
      <c r="AQ153" s="80"/>
      <c r="AR153" s="79">
        <v>-89.520000000000437</v>
      </c>
      <c r="AS153" s="81"/>
      <c r="AT153" s="375">
        <v>478.59</v>
      </c>
      <c r="AU153" s="375">
        <v>9120.75</v>
      </c>
      <c r="AV153" s="375">
        <v>293.89999999999998</v>
      </c>
      <c r="AW153" s="375">
        <v>0</v>
      </c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375">
        <v>0</v>
      </c>
      <c r="BD153" s="375">
        <v>0</v>
      </c>
      <c r="BE153" s="375">
        <v>0</v>
      </c>
      <c r="BF153" s="375">
        <v>9893.24</v>
      </c>
      <c r="BG153" s="276">
        <v>478.59</v>
      </c>
      <c r="BH153" s="276">
        <v>9120.75</v>
      </c>
      <c r="BI153" s="276">
        <v>293.89999999999998</v>
      </c>
      <c r="BJ153" s="276">
        <v>0</v>
      </c>
      <c r="BK153" s="276">
        <v>0</v>
      </c>
      <c r="BL153" s="276">
        <v>0</v>
      </c>
      <c r="BM153" s="276">
        <v>0</v>
      </c>
      <c r="BN153" s="276">
        <v>0</v>
      </c>
      <c r="BO153" s="276">
        <v>0</v>
      </c>
      <c r="BP153" s="276">
        <v>0</v>
      </c>
      <c r="BQ153" s="276">
        <v>0</v>
      </c>
      <c r="BR153" s="276">
        <v>0</v>
      </c>
      <c r="BS153" s="227">
        <v>9893.24</v>
      </c>
    </row>
    <row r="154" spans="1:71" ht="15" customHeight="1">
      <c r="A154" s="279" t="s">
        <v>2182</v>
      </c>
      <c r="B154" s="264" t="s">
        <v>621</v>
      </c>
      <c r="C154" s="264" t="s">
        <v>2183</v>
      </c>
      <c r="D154" s="150" t="s">
        <v>1136</v>
      </c>
      <c r="E154" s="482" t="s">
        <v>1566</v>
      </c>
      <c r="F154" s="150" t="s">
        <v>1566</v>
      </c>
      <c r="G154" s="541" t="s">
        <v>1566</v>
      </c>
      <c r="H154" s="540" t="s">
        <v>1567</v>
      </c>
      <c r="I154" s="541" t="s">
        <v>1567</v>
      </c>
      <c r="J154" s="342" t="s">
        <v>1567</v>
      </c>
      <c r="K154" s="542" t="s">
        <v>602</v>
      </c>
      <c r="L154" s="544" t="s">
        <v>611</v>
      </c>
      <c r="M154" s="343"/>
      <c r="N154" s="550"/>
      <c r="O154" s="285" t="s">
        <v>610</v>
      </c>
      <c r="P154" s="545"/>
      <c r="Q154" s="343"/>
      <c r="R154" s="545"/>
      <c r="S154" s="541" t="s">
        <v>611</v>
      </c>
      <c r="T154" s="546"/>
      <c r="U154" s="403"/>
      <c r="V154" s="406">
        <v>0</v>
      </c>
      <c r="W154" s="406">
        <v>18.829999999999998</v>
      </c>
      <c r="X154" s="425"/>
      <c r="Y154" s="71"/>
      <c r="Z154" s="530">
        <v>19</v>
      </c>
      <c r="AA154" s="530">
        <v>-0.17</v>
      </c>
      <c r="AB154" s="556">
        <v>0</v>
      </c>
      <c r="AC154" s="428">
        <v>4245.9400000000005</v>
      </c>
      <c r="AD154" s="429">
        <v>16</v>
      </c>
      <c r="AE154" s="429">
        <v>0</v>
      </c>
      <c r="AF154" s="547">
        <v>0</v>
      </c>
      <c r="AG154" s="547">
        <v>0</v>
      </c>
      <c r="AH154" s="547">
        <v>0</v>
      </c>
      <c r="AI154" s="547">
        <v>0</v>
      </c>
      <c r="AJ154" s="547">
        <v>0</v>
      </c>
      <c r="AK154" s="547">
        <v>0</v>
      </c>
      <c r="AL154" s="367">
        <v>4280.7700000000004</v>
      </c>
      <c r="AM154" s="362">
        <v>4261.9400000000005</v>
      </c>
      <c r="AN154" s="294">
        <v>0</v>
      </c>
      <c r="AO154" s="294">
        <v>0</v>
      </c>
      <c r="AP154" s="374">
        <v>4261.9400000000005</v>
      </c>
      <c r="AQ154" s="80"/>
      <c r="AR154" s="79">
        <v>4261.9400000000005</v>
      </c>
      <c r="AS154" s="81"/>
      <c r="AT154" s="375">
        <v>19</v>
      </c>
      <c r="AU154" s="375">
        <v>-0.17</v>
      </c>
      <c r="AV154" s="375">
        <v>0</v>
      </c>
      <c r="AW154" s="375">
        <v>0</v>
      </c>
      <c r="AX154" s="375">
        <v>0</v>
      </c>
      <c r="AY154" s="375">
        <v>0</v>
      </c>
      <c r="AZ154" s="375">
        <v>0</v>
      </c>
      <c r="BA154" s="375">
        <v>0</v>
      </c>
      <c r="BB154" s="375">
        <v>0</v>
      </c>
      <c r="BC154" s="375">
        <v>0</v>
      </c>
      <c r="BD154" s="375">
        <v>0</v>
      </c>
      <c r="BE154" s="375">
        <v>0</v>
      </c>
      <c r="BF154" s="375">
        <v>18.829999999999998</v>
      </c>
      <c r="BG154" s="295">
        <v>19</v>
      </c>
      <c r="BH154" s="295">
        <v>-0.17</v>
      </c>
      <c r="BI154" s="295">
        <v>0</v>
      </c>
      <c r="BJ154" s="295">
        <v>0</v>
      </c>
      <c r="BK154" s="295">
        <v>0</v>
      </c>
      <c r="BL154" s="295">
        <v>0</v>
      </c>
      <c r="BM154" s="295">
        <v>0</v>
      </c>
      <c r="BN154" s="295">
        <v>0</v>
      </c>
      <c r="BO154" s="295">
        <v>0</v>
      </c>
      <c r="BP154" s="295">
        <v>0</v>
      </c>
      <c r="BQ154" s="295">
        <v>0</v>
      </c>
      <c r="BR154" s="295">
        <v>0</v>
      </c>
      <c r="BS154" s="227">
        <v>18.829999999999998</v>
      </c>
    </row>
    <row r="155" spans="1:71" ht="15" customHeight="1">
      <c r="A155" s="66" t="s">
        <v>2195</v>
      </c>
      <c r="B155" s="66" t="s">
        <v>634</v>
      </c>
      <c r="C155" s="66" t="s">
        <v>2196</v>
      </c>
      <c r="D155" s="150" t="s">
        <v>1136</v>
      </c>
      <c r="E155" s="482" t="s">
        <v>1566</v>
      </c>
      <c r="F155" s="482" t="s">
        <v>1566</v>
      </c>
      <c r="G155" s="554" t="s">
        <v>1566</v>
      </c>
      <c r="H155" s="342" t="s">
        <v>1345</v>
      </c>
      <c r="I155" s="342" t="s">
        <v>1346</v>
      </c>
      <c r="J155" s="342" t="s">
        <v>1346</v>
      </c>
      <c r="K155" s="521" t="s">
        <v>629</v>
      </c>
      <c r="L155" s="451" t="s">
        <v>1327</v>
      </c>
      <c r="M155" s="343"/>
      <c r="N155" s="343"/>
      <c r="O155" s="70" t="s">
        <v>147</v>
      </c>
      <c r="P155" s="346"/>
      <c r="Q155" s="343"/>
      <c r="R155" s="346"/>
      <c r="S155" s="150" t="s">
        <v>25</v>
      </c>
      <c r="T155" s="150"/>
      <c r="U155" s="403"/>
      <c r="V155" s="406">
        <v>0</v>
      </c>
      <c r="W155" s="406">
        <v>7191.02</v>
      </c>
      <c r="X155" s="425"/>
      <c r="Y155" s="71"/>
      <c r="Z155" s="427">
        <v>843.69</v>
      </c>
      <c r="AA155" s="427">
        <v>4879.99</v>
      </c>
      <c r="AB155" s="427">
        <v>1467.34</v>
      </c>
      <c r="AC155" s="428" t="s">
        <v>1142</v>
      </c>
      <c r="AD155" s="429">
        <v>0</v>
      </c>
      <c r="AE155" s="429">
        <v>237.8</v>
      </c>
      <c r="AF155" s="360">
        <v>0</v>
      </c>
      <c r="AG155" s="360">
        <v>0</v>
      </c>
      <c r="AH155" s="360">
        <v>0</v>
      </c>
      <c r="AI155" s="360">
        <v>0</v>
      </c>
      <c r="AJ155" s="360">
        <v>0</v>
      </c>
      <c r="AK155" s="360">
        <v>0</v>
      </c>
      <c r="AL155" s="367">
        <v>7428.8200000000006</v>
      </c>
      <c r="AM155" s="455">
        <v>237.80000000000018</v>
      </c>
      <c r="AN155" s="79">
        <v>0</v>
      </c>
      <c r="AO155" s="79">
        <v>237.8</v>
      </c>
      <c r="AP155" s="374">
        <v>237.80000000000018</v>
      </c>
      <c r="AQ155" s="80"/>
      <c r="AR155" s="79">
        <v>237.80000000000018</v>
      </c>
      <c r="AS155" s="81"/>
      <c r="AT155" s="375">
        <v>843.69</v>
      </c>
      <c r="AU155" s="375">
        <v>4879.99</v>
      </c>
      <c r="AV155" s="375">
        <v>1467.34</v>
      </c>
      <c r="AW155" s="375">
        <v>0</v>
      </c>
      <c r="AX155" s="375">
        <v>0</v>
      </c>
      <c r="AY155" s="375">
        <v>0</v>
      </c>
      <c r="AZ155" s="375">
        <v>0</v>
      </c>
      <c r="BA155" s="375">
        <v>0</v>
      </c>
      <c r="BB155" s="375">
        <v>0</v>
      </c>
      <c r="BC155" s="375">
        <v>0</v>
      </c>
      <c r="BD155" s="375">
        <v>0</v>
      </c>
      <c r="BE155" s="375">
        <v>0</v>
      </c>
      <c r="BF155" s="375">
        <v>7191.02</v>
      </c>
      <c r="BG155" s="79">
        <v>843.69</v>
      </c>
      <c r="BH155" s="79">
        <v>4879.99</v>
      </c>
      <c r="BI155" s="79">
        <v>1467.34</v>
      </c>
      <c r="BJ155" s="79">
        <v>0</v>
      </c>
      <c r="BK155" s="79">
        <v>0</v>
      </c>
      <c r="BL155" s="79">
        <v>0</v>
      </c>
      <c r="BM155" s="79">
        <v>0</v>
      </c>
      <c r="BN155" s="79">
        <v>0</v>
      </c>
      <c r="BO155" s="79">
        <v>0</v>
      </c>
      <c r="BP155" s="79">
        <v>0</v>
      </c>
      <c r="BQ155" s="79">
        <v>0</v>
      </c>
      <c r="BR155" s="79">
        <v>0</v>
      </c>
      <c r="BS155" s="79">
        <v>7191.02</v>
      </c>
    </row>
    <row r="156" spans="1:71" ht="15" customHeight="1">
      <c r="A156" s="150" t="s">
        <v>2197</v>
      </c>
      <c r="B156" s="536" t="s">
        <v>634</v>
      </c>
      <c r="C156" s="296" t="s">
        <v>2198</v>
      </c>
      <c r="D156" s="150" t="s">
        <v>1136</v>
      </c>
      <c r="E156" s="482" t="s">
        <v>1566</v>
      </c>
      <c r="F156" s="150" t="s">
        <v>1566</v>
      </c>
      <c r="G156" s="150" t="s">
        <v>1566</v>
      </c>
      <c r="H156" s="332" t="s">
        <v>1567</v>
      </c>
      <c r="I156" s="332" t="s">
        <v>1567</v>
      </c>
      <c r="J156" s="333" t="s">
        <v>1567</v>
      </c>
      <c r="K156" s="514" t="s">
        <v>629</v>
      </c>
      <c r="L156" s="394" t="s">
        <v>1327</v>
      </c>
      <c r="M156" s="333"/>
      <c r="N156" s="332" t="s">
        <v>1593</v>
      </c>
      <c r="O156" s="90" t="s">
        <v>147</v>
      </c>
      <c r="P156" s="347"/>
      <c r="Q156" s="347"/>
      <c r="R156" s="348"/>
      <c r="S156" s="348"/>
      <c r="T156" s="348"/>
      <c r="U156" s="402"/>
      <c r="V156" s="406"/>
      <c r="W156" s="406"/>
      <c r="X156" s="425"/>
      <c r="Y156" s="71"/>
      <c r="Z156" s="436"/>
      <c r="AA156" s="436"/>
      <c r="AB156" s="436"/>
      <c r="AC156" s="436"/>
      <c r="AD156" s="429">
        <v>0</v>
      </c>
      <c r="AE156" s="429">
        <v>0</v>
      </c>
      <c r="AF156" s="364"/>
      <c r="AG156" s="364"/>
      <c r="AH156" s="364"/>
      <c r="AI156" s="364"/>
      <c r="AJ156" s="364"/>
      <c r="AK156" s="364"/>
      <c r="AL156" s="367">
        <v>0</v>
      </c>
      <c r="AM156" s="455">
        <v>0</v>
      </c>
      <c r="AN156" s="79"/>
      <c r="AO156" s="79">
        <v>0</v>
      </c>
      <c r="AP156" s="374">
        <v>0</v>
      </c>
      <c r="AQ156" s="80"/>
      <c r="AR156" s="79">
        <v>0</v>
      </c>
      <c r="AS156" s="81"/>
      <c r="AT156" s="375"/>
      <c r="AU156" s="375"/>
      <c r="AV156" s="375"/>
      <c r="AW156" s="375"/>
      <c r="AX156" s="375"/>
      <c r="AY156" s="375"/>
      <c r="AZ156" s="375"/>
      <c r="BA156" s="375"/>
      <c r="BB156" s="375"/>
      <c r="BC156" s="375"/>
      <c r="BD156" s="375"/>
      <c r="BE156" s="375"/>
      <c r="BF156" s="375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</row>
    <row r="157" spans="1:71" ht="15" customHeight="1">
      <c r="A157" s="66" t="s">
        <v>2774</v>
      </c>
      <c r="B157" s="66" t="s">
        <v>997</v>
      </c>
      <c r="C157" s="66" t="s">
        <v>2775</v>
      </c>
      <c r="D157" s="150" t="s">
        <v>1136</v>
      </c>
      <c r="E157" s="482" t="s">
        <v>1566</v>
      </c>
      <c r="F157" s="482" t="s">
        <v>1566</v>
      </c>
      <c r="G157" s="482" t="s">
        <v>1566</v>
      </c>
      <c r="H157" s="150" t="s">
        <v>1345</v>
      </c>
      <c r="I157" s="150" t="s">
        <v>1346</v>
      </c>
      <c r="J157" s="150" t="s">
        <v>1346</v>
      </c>
      <c r="K157" s="511" t="s">
        <v>639</v>
      </c>
      <c r="L157" s="451" t="s">
        <v>1138</v>
      </c>
      <c r="M157" s="343"/>
      <c r="N157" s="343"/>
      <c r="O157" s="70" t="s">
        <v>51</v>
      </c>
      <c r="P157" s="346" t="s">
        <v>1139</v>
      </c>
      <c r="Q157" s="346" t="s">
        <v>1140</v>
      </c>
      <c r="R157" s="346"/>
      <c r="S157" s="150" t="s">
        <v>25</v>
      </c>
      <c r="T157" s="150"/>
      <c r="U157" s="453"/>
      <c r="V157" s="406">
        <v>0</v>
      </c>
      <c r="W157" s="406">
        <v>3227.2200000000003</v>
      </c>
      <c r="X157" s="430"/>
      <c r="Y157" s="137"/>
      <c r="Z157" s="427"/>
      <c r="AA157" s="427">
        <v>1859.42</v>
      </c>
      <c r="AB157" s="427">
        <v>1367.8</v>
      </c>
      <c r="AC157" s="428">
        <v>0</v>
      </c>
      <c r="AD157" s="429">
        <v>682.06</v>
      </c>
      <c r="AE157" s="429">
        <v>91.56</v>
      </c>
      <c r="AF157" s="360">
        <v>0</v>
      </c>
      <c r="AG157" s="360">
        <v>0</v>
      </c>
      <c r="AH157" s="360">
        <v>0</v>
      </c>
      <c r="AI157" s="360">
        <v>0</v>
      </c>
      <c r="AJ157" s="360">
        <v>0</v>
      </c>
      <c r="AK157" s="360">
        <v>0</v>
      </c>
      <c r="AL157" s="360">
        <v>4000.84</v>
      </c>
      <c r="AM157" s="455">
        <v>773.61999999999989</v>
      </c>
      <c r="AN157" s="79">
        <v>0</v>
      </c>
      <c r="AO157" s="79">
        <v>91.56</v>
      </c>
      <c r="AP157" s="374">
        <v>773.61999999999989</v>
      </c>
      <c r="AQ157" s="80"/>
      <c r="AR157" s="79">
        <v>773.61999999999989</v>
      </c>
      <c r="AS157" s="81"/>
      <c r="AT157" s="375"/>
      <c r="AU157" s="375">
        <v>1859.42</v>
      </c>
      <c r="AV157" s="375">
        <v>1367.8</v>
      </c>
      <c r="AW157" s="375">
        <v>0</v>
      </c>
      <c r="AX157" s="375">
        <v>0</v>
      </c>
      <c r="AY157" s="375">
        <v>0</v>
      </c>
      <c r="AZ157" s="375">
        <v>0</v>
      </c>
      <c r="BA157" s="375">
        <v>0</v>
      </c>
      <c r="BB157" s="375">
        <v>0</v>
      </c>
      <c r="BC157" s="375">
        <v>0</v>
      </c>
      <c r="BD157" s="375">
        <v>0</v>
      </c>
      <c r="BE157" s="375">
        <v>0</v>
      </c>
      <c r="BF157" s="375">
        <v>3227.2200000000003</v>
      </c>
      <c r="BG157" s="79"/>
      <c r="BH157" s="79">
        <v>1859.42</v>
      </c>
      <c r="BI157" s="79">
        <v>1367.8</v>
      </c>
      <c r="BJ157" s="79">
        <v>0</v>
      </c>
      <c r="BK157" s="79">
        <v>0</v>
      </c>
      <c r="BL157" s="79">
        <v>0</v>
      </c>
      <c r="BM157" s="79">
        <v>0</v>
      </c>
      <c r="BN157" s="79">
        <v>0</v>
      </c>
      <c r="BO157" s="79">
        <v>0</v>
      </c>
      <c r="BP157" s="79">
        <v>0</v>
      </c>
      <c r="BQ157" s="79">
        <v>0</v>
      </c>
      <c r="BR157" s="79">
        <v>0</v>
      </c>
      <c r="BS157" s="79">
        <v>3227.2200000000003</v>
      </c>
    </row>
    <row r="158" spans="1:71" ht="15" customHeight="1">
      <c r="A158" s="66" t="s">
        <v>2776</v>
      </c>
      <c r="B158" s="66" t="s">
        <v>997</v>
      </c>
      <c r="C158" s="66" t="s">
        <v>2777</v>
      </c>
      <c r="D158" s="150" t="s">
        <v>1136</v>
      </c>
      <c r="E158" s="482" t="s">
        <v>1566</v>
      </c>
      <c r="F158" s="150" t="s">
        <v>1566</v>
      </c>
      <c r="G158" s="150" t="s">
        <v>1566</v>
      </c>
      <c r="H158" s="150" t="s">
        <v>1567</v>
      </c>
      <c r="I158" s="150" t="s">
        <v>1567</v>
      </c>
      <c r="J158" s="150" t="s">
        <v>1567</v>
      </c>
      <c r="K158" s="511" t="s">
        <v>639</v>
      </c>
      <c r="L158" s="451" t="s">
        <v>1138</v>
      </c>
      <c r="M158" s="343"/>
      <c r="N158" s="343"/>
      <c r="O158" s="70" t="s">
        <v>51</v>
      </c>
      <c r="P158" s="346" t="s">
        <v>1139</v>
      </c>
      <c r="Q158" s="346" t="s">
        <v>1140</v>
      </c>
      <c r="R158" s="346"/>
      <c r="S158" s="150" t="s">
        <v>25</v>
      </c>
      <c r="T158" s="150"/>
      <c r="U158" s="453"/>
      <c r="V158" s="406">
        <v>0</v>
      </c>
      <c r="W158" s="406">
        <v>257.52</v>
      </c>
      <c r="X158" s="425"/>
      <c r="Y158" s="71"/>
      <c r="Z158" s="427"/>
      <c r="AA158" s="427">
        <v>257.52</v>
      </c>
      <c r="AB158" s="431">
        <v>0</v>
      </c>
      <c r="AC158" s="428">
        <v>0</v>
      </c>
      <c r="AD158" s="429">
        <v>0</v>
      </c>
      <c r="AE158" s="429">
        <v>0</v>
      </c>
      <c r="AF158" s="360">
        <v>0</v>
      </c>
      <c r="AG158" s="360">
        <v>0</v>
      </c>
      <c r="AH158" s="360">
        <v>0</v>
      </c>
      <c r="AI158" s="360">
        <v>0</v>
      </c>
      <c r="AJ158" s="360">
        <v>0</v>
      </c>
      <c r="AK158" s="360">
        <v>0</v>
      </c>
      <c r="AL158" s="360">
        <v>257.52</v>
      </c>
      <c r="AM158" s="455">
        <v>0</v>
      </c>
      <c r="AN158" s="79">
        <v>0</v>
      </c>
      <c r="AO158" s="79">
        <v>0</v>
      </c>
      <c r="AP158" s="374">
        <v>0</v>
      </c>
      <c r="AQ158" s="80"/>
      <c r="AR158" s="79">
        <v>0</v>
      </c>
      <c r="AS158" s="81"/>
      <c r="AT158" s="375"/>
      <c r="AU158" s="375">
        <v>257.52</v>
      </c>
      <c r="AV158" s="375">
        <v>0</v>
      </c>
      <c r="AW158" s="375">
        <v>0</v>
      </c>
      <c r="AX158" s="375">
        <v>0</v>
      </c>
      <c r="AY158" s="375">
        <v>0</v>
      </c>
      <c r="AZ158" s="375">
        <v>0</v>
      </c>
      <c r="BA158" s="375">
        <v>0</v>
      </c>
      <c r="BB158" s="375">
        <v>0</v>
      </c>
      <c r="BC158" s="375">
        <v>0</v>
      </c>
      <c r="BD158" s="375">
        <v>0</v>
      </c>
      <c r="BE158" s="375">
        <v>0</v>
      </c>
      <c r="BF158" s="375">
        <v>257.52</v>
      </c>
      <c r="BG158" s="79"/>
      <c r="BH158" s="79">
        <v>257.52</v>
      </c>
      <c r="BI158" s="79">
        <v>0</v>
      </c>
      <c r="BJ158" s="79">
        <v>0</v>
      </c>
      <c r="BK158" s="79">
        <v>0</v>
      </c>
      <c r="BL158" s="79">
        <v>0</v>
      </c>
      <c r="BM158" s="79">
        <v>0</v>
      </c>
      <c r="BN158" s="79">
        <v>0</v>
      </c>
      <c r="BO158" s="79">
        <v>0</v>
      </c>
      <c r="BP158" s="79">
        <v>0</v>
      </c>
      <c r="BQ158" s="79">
        <v>0</v>
      </c>
      <c r="BR158" s="79">
        <v>0</v>
      </c>
      <c r="BS158" s="79">
        <v>257.52</v>
      </c>
    </row>
    <row r="159" spans="1:71" ht="15" customHeight="1">
      <c r="A159" s="66" t="s">
        <v>2784</v>
      </c>
      <c r="B159" s="66" t="s">
        <v>1003</v>
      </c>
      <c r="C159" s="215" t="s">
        <v>2785</v>
      </c>
      <c r="D159" s="150" t="s">
        <v>1136</v>
      </c>
      <c r="E159" s="482" t="s">
        <v>1566</v>
      </c>
      <c r="F159" s="482" t="s">
        <v>1566</v>
      </c>
      <c r="G159" s="553" t="s">
        <v>1566</v>
      </c>
      <c r="H159" s="334" t="s">
        <v>1345</v>
      </c>
      <c r="I159" s="334" t="s">
        <v>1346</v>
      </c>
      <c r="J159" s="334" t="s">
        <v>1346</v>
      </c>
      <c r="K159" s="511" t="s">
        <v>639</v>
      </c>
      <c r="L159" s="392" t="s">
        <v>2285</v>
      </c>
      <c r="M159" s="343"/>
      <c r="N159" s="343"/>
      <c r="O159" s="70" t="s">
        <v>676</v>
      </c>
      <c r="P159" s="346"/>
      <c r="Q159" s="346" t="s">
        <v>1140</v>
      </c>
      <c r="R159" s="346"/>
      <c r="S159" s="150" t="s">
        <v>677</v>
      </c>
      <c r="T159" s="150"/>
      <c r="U159" s="475"/>
      <c r="V159" s="406">
        <v>6000</v>
      </c>
      <c r="W159" s="406">
        <v>13404.42</v>
      </c>
      <c r="X159" s="425"/>
      <c r="Y159" s="71"/>
      <c r="Z159" s="427">
        <v>542.75</v>
      </c>
      <c r="AA159" s="427">
        <v>6823.51</v>
      </c>
      <c r="AB159" s="427">
        <v>1538.16</v>
      </c>
      <c r="AC159" s="428">
        <v>1141.3400000000001</v>
      </c>
      <c r="AD159" s="429">
        <v>2127.96</v>
      </c>
      <c r="AE159" s="429">
        <v>672.49</v>
      </c>
      <c r="AF159" s="363">
        <v>500</v>
      </c>
      <c r="AG159" s="363">
        <v>500</v>
      </c>
      <c r="AH159" s="363">
        <v>500</v>
      </c>
      <c r="AI159" s="363">
        <v>500</v>
      </c>
      <c r="AJ159" s="363">
        <v>500</v>
      </c>
      <c r="AK159" s="363">
        <v>500</v>
      </c>
      <c r="AL159" s="360">
        <v>15846.210000000001</v>
      </c>
      <c r="AM159" s="455">
        <v>2441.7900000000009</v>
      </c>
      <c r="AN159" s="79">
        <v>500</v>
      </c>
      <c r="AO159" s="79">
        <v>172.49</v>
      </c>
      <c r="AP159" s="374">
        <v>2441.7900000000009</v>
      </c>
      <c r="AQ159" s="80"/>
      <c r="AR159" s="79">
        <v>2441.7900000000009</v>
      </c>
      <c r="AS159" s="81"/>
      <c r="AT159" s="375">
        <v>542.75</v>
      </c>
      <c r="AU159" s="375">
        <v>6823.51</v>
      </c>
      <c r="AV159" s="375">
        <v>1538.16</v>
      </c>
      <c r="AW159" s="375">
        <v>500</v>
      </c>
      <c r="AX159" s="375">
        <v>500</v>
      </c>
      <c r="AY159" s="375">
        <v>500</v>
      </c>
      <c r="AZ159" s="375">
        <v>500</v>
      </c>
      <c r="BA159" s="375">
        <v>500</v>
      </c>
      <c r="BB159" s="375">
        <v>500</v>
      </c>
      <c r="BC159" s="375">
        <v>500</v>
      </c>
      <c r="BD159" s="375">
        <v>500</v>
      </c>
      <c r="BE159" s="375">
        <v>500</v>
      </c>
      <c r="BF159" s="375">
        <v>13404.42</v>
      </c>
      <c r="BG159" s="79">
        <v>542.75</v>
      </c>
      <c r="BH159" s="79">
        <v>6823.51</v>
      </c>
      <c r="BI159" s="79">
        <v>1538.16</v>
      </c>
      <c r="BJ159" s="79">
        <v>500</v>
      </c>
      <c r="BK159" s="79">
        <v>500</v>
      </c>
      <c r="BL159" s="79">
        <v>500</v>
      </c>
      <c r="BM159" s="79">
        <v>500</v>
      </c>
      <c r="BN159" s="79">
        <v>500</v>
      </c>
      <c r="BO159" s="79">
        <v>500</v>
      </c>
      <c r="BP159" s="79">
        <v>500</v>
      </c>
      <c r="BQ159" s="79">
        <v>500</v>
      </c>
      <c r="BR159" s="79">
        <v>500</v>
      </c>
      <c r="BS159" s="79">
        <v>13404.42</v>
      </c>
    </row>
    <row r="160" spans="1:71" ht="15" customHeight="1">
      <c r="A160" s="66" t="s">
        <v>2786</v>
      </c>
      <c r="B160" s="66" t="s">
        <v>1003</v>
      </c>
      <c r="C160" s="66" t="s">
        <v>2787</v>
      </c>
      <c r="D160" s="150" t="s">
        <v>1136</v>
      </c>
      <c r="E160" s="482" t="s">
        <v>1566</v>
      </c>
      <c r="F160" s="150" t="s">
        <v>1566</v>
      </c>
      <c r="G160" s="334" t="s">
        <v>1566</v>
      </c>
      <c r="H160" s="334" t="s">
        <v>1567</v>
      </c>
      <c r="I160" s="334" t="s">
        <v>1567</v>
      </c>
      <c r="J160" s="334" t="s">
        <v>1567</v>
      </c>
      <c r="K160" s="511" t="s">
        <v>639</v>
      </c>
      <c r="L160" s="451" t="s">
        <v>2285</v>
      </c>
      <c r="M160" s="343"/>
      <c r="N160" s="343"/>
      <c r="O160" s="70" t="s">
        <v>676</v>
      </c>
      <c r="P160" s="346"/>
      <c r="Q160" s="346" t="s">
        <v>1140</v>
      </c>
      <c r="R160" s="346"/>
      <c r="S160" s="150" t="s">
        <v>677</v>
      </c>
      <c r="T160" s="150"/>
      <c r="U160" s="475"/>
      <c r="V160" s="406">
        <v>0</v>
      </c>
      <c r="W160" s="406">
        <v>934.17</v>
      </c>
      <c r="X160" s="425"/>
      <c r="Y160" s="71"/>
      <c r="Z160" s="427">
        <v>253.17</v>
      </c>
      <c r="AA160" s="427">
        <v>681</v>
      </c>
      <c r="AB160" s="431">
        <v>0</v>
      </c>
      <c r="AC160" s="428">
        <v>0</v>
      </c>
      <c r="AD160" s="429">
        <v>681</v>
      </c>
      <c r="AE160" s="429">
        <v>0</v>
      </c>
      <c r="AF160" s="360">
        <v>0</v>
      </c>
      <c r="AG160" s="360">
        <v>0</v>
      </c>
      <c r="AH160" s="360">
        <v>0</v>
      </c>
      <c r="AI160" s="360">
        <v>0</v>
      </c>
      <c r="AJ160" s="360">
        <v>0</v>
      </c>
      <c r="AK160" s="360">
        <v>0</v>
      </c>
      <c r="AL160" s="360">
        <v>1615.17</v>
      </c>
      <c r="AM160" s="455">
        <v>681.00000000000011</v>
      </c>
      <c r="AN160" s="79">
        <v>0</v>
      </c>
      <c r="AO160" s="79">
        <v>0</v>
      </c>
      <c r="AP160" s="374">
        <v>681.00000000000011</v>
      </c>
      <c r="AQ160" s="80"/>
      <c r="AR160" s="79">
        <v>681.00000000000011</v>
      </c>
      <c r="AS160" s="81"/>
      <c r="AT160" s="375">
        <v>253.17</v>
      </c>
      <c r="AU160" s="375">
        <v>681</v>
      </c>
      <c r="AV160" s="375">
        <v>0</v>
      </c>
      <c r="AW160" s="375">
        <v>0</v>
      </c>
      <c r="AX160" s="375">
        <v>0</v>
      </c>
      <c r="AY160" s="375">
        <v>0</v>
      </c>
      <c r="AZ160" s="375">
        <v>0</v>
      </c>
      <c r="BA160" s="375">
        <v>0</v>
      </c>
      <c r="BB160" s="375">
        <v>0</v>
      </c>
      <c r="BC160" s="375">
        <v>0</v>
      </c>
      <c r="BD160" s="375">
        <v>0</v>
      </c>
      <c r="BE160" s="375">
        <v>0</v>
      </c>
      <c r="BF160" s="375">
        <v>934.17</v>
      </c>
      <c r="BG160" s="79">
        <v>253.17</v>
      </c>
      <c r="BH160" s="79">
        <v>681</v>
      </c>
      <c r="BI160" s="79">
        <v>0</v>
      </c>
      <c r="BJ160" s="79">
        <v>0</v>
      </c>
      <c r="BK160" s="79">
        <v>0</v>
      </c>
      <c r="BL160" s="79">
        <v>0</v>
      </c>
      <c r="BM160" s="79">
        <v>0</v>
      </c>
      <c r="BN160" s="79">
        <v>0</v>
      </c>
      <c r="BO160" s="79">
        <v>0</v>
      </c>
      <c r="BP160" s="79">
        <v>0</v>
      </c>
      <c r="BQ160" s="79">
        <v>0</v>
      </c>
      <c r="BR160" s="79">
        <v>0</v>
      </c>
      <c r="BS160" s="79">
        <v>934.17</v>
      </c>
    </row>
    <row r="161" spans="1:71" ht="15" customHeight="1">
      <c r="A161" s="66" t="s">
        <v>2788</v>
      </c>
      <c r="B161" s="66" t="s">
        <v>1004</v>
      </c>
      <c r="C161" s="66" t="s">
        <v>2789</v>
      </c>
      <c r="D161" s="150" t="s">
        <v>1136</v>
      </c>
      <c r="E161" s="482" t="s">
        <v>1566</v>
      </c>
      <c r="F161" s="482" t="s">
        <v>1566</v>
      </c>
      <c r="G161" s="482" t="s">
        <v>1566</v>
      </c>
      <c r="H161" s="150" t="s">
        <v>1345</v>
      </c>
      <c r="I161" s="150" t="s">
        <v>1346</v>
      </c>
      <c r="J161" s="150" t="s">
        <v>1346</v>
      </c>
      <c r="K161" s="511" t="s">
        <v>639</v>
      </c>
      <c r="L161" s="451" t="s">
        <v>2291</v>
      </c>
      <c r="M161" s="343"/>
      <c r="N161" s="343"/>
      <c r="O161" s="70" t="s">
        <v>679</v>
      </c>
      <c r="P161" s="346"/>
      <c r="Q161" s="346" t="s">
        <v>1140</v>
      </c>
      <c r="R161" s="346"/>
      <c r="S161" s="150" t="s">
        <v>680</v>
      </c>
      <c r="T161" s="150"/>
      <c r="U161" s="475"/>
      <c r="V161" s="406">
        <v>36000</v>
      </c>
      <c r="W161" s="406">
        <v>46414.39</v>
      </c>
      <c r="X161" s="430"/>
      <c r="Y161" s="137"/>
      <c r="Z161" s="427">
        <v>6465</v>
      </c>
      <c r="AA161" s="427">
        <v>5197.6400000000003</v>
      </c>
      <c r="AB161" s="427">
        <v>7751.75</v>
      </c>
      <c r="AC161" s="428">
        <v>17671</v>
      </c>
      <c r="AD161" s="429">
        <v>9482</v>
      </c>
      <c r="AE161" s="429">
        <v>14223</v>
      </c>
      <c r="AF161" s="363">
        <v>3000</v>
      </c>
      <c r="AG161" s="363">
        <v>3000</v>
      </c>
      <c r="AH161" s="363">
        <v>3000</v>
      </c>
      <c r="AI161" s="363">
        <v>3000</v>
      </c>
      <c r="AJ161" s="363">
        <v>3000</v>
      </c>
      <c r="AK161" s="363">
        <v>3000</v>
      </c>
      <c r="AL161" s="360">
        <v>78790.39</v>
      </c>
      <c r="AM161" s="455">
        <v>32376</v>
      </c>
      <c r="AN161" s="79">
        <v>3000</v>
      </c>
      <c r="AO161" s="79">
        <v>11223</v>
      </c>
      <c r="AP161" s="374">
        <v>32376</v>
      </c>
      <c r="AQ161" s="80"/>
      <c r="AR161" s="79">
        <v>32376</v>
      </c>
      <c r="AS161" s="81"/>
      <c r="AT161" s="375">
        <v>6465</v>
      </c>
      <c r="AU161" s="375">
        <v>5197.6400000000003</v>
      </c>
      <c r="AV161" s="375">
        <v>7751.75</v>
      </c>
      <c r="AW161" s="375">
        <v>3000</v>
      </c>
      <c r="AX161" s="375">
        <v>3000</v>
      </c>
      <c r="AY161" s="375">
        <v>3000</v>
      </c>
      <c r="AZ161" s="375">
        <v>3000</v>
      </c>
      <c r="BA161" s="375">
        <v>3000</v>
      </c>
      <c r="BB161" s="375">
        <v>3000</v>
      </c>
      <c r="BC161" s="375">
        <v>3000</v>
      </c>
      <c r="BD161" s="375">
        <v>3000</v>
      </c>
      <c r="BE161" s="375">
        <v>3000</v>
      </c>
      <c r="BF161" s="375">
        <v>46414.39</v>
      </c>
      <c r="BG161" s="79">
        <v>6465</v>
      </c>
      <c r="BH161" s="79">
        <v>5197.6400000000003</v>
      </c>
      <c r="BI161" s="79">
        <v>7751.75</v>
      </c>
      <c r="BJ161" s="79">
        <v>3000</v>
      </c>
      <c r="BK161" s="79">
        <v>3000</v>
      </c>
      <c r="BL161" s="79">
        <v>3000</v>
      </c>
      <c r="BM161" s="79">
        <v>3000</v>
      </c>
      <c r="BN161" s="79">
        <v>3000</v>
      </c>
      <c r="BO161" s="79">
        <v>3000</v>
      </c>
      <c r="BP161" s="79">
        <v>3000</v>
      </c>
      <c r="BQ161" s="79">
        <v>3000</v>
      </c>
      <c r="BR161" s="79">
        <v>3000</v>
      </c>
      <c r="BS161" s="79">
        <v>46414.39</v>
      </c>
    </row>
    <row r="162" spans="1:71" ht="15" customHeight="1">
      <c r="A162" s="66" t="s">
        <v>2790</v>
      </c>
      <c r="B162" s="66" t="s">
        <v>1004</v>
      </c>
      <c r="C162" s="66" t="s">
        <v>2791</v>
      </c>
      <c r="D162" s="150" t="s">
        <v>1136</v>
      </c>
      <c r="E162" s="482" t="s">
        <v>1566</v>
      </c>
      <c r="F162" s="150" t="s">
        <v>1566</v>
      </c>
      <c r="G162" s="150" t="s">
        <v>1566</v>
      </c>
      <c r="H162" s="150" t="s">
        <v>1567</v>
      </c>
      <c r="I162" s="150" t="s">
        <v>1567</v>
      </c>
      <c r="J162" s="150" t="s">
        <v>1567</v>
      </c>
      <c r="K162" s="511" t="s">
        <v>639</v>
      </c>
      <c r="L162" s="451" t="s">
        <v>2291</v>
      </c>
      <c r="M162" s="343"/>
      <c r="N162" s="343"/>
      <c r="O162" s="70" t="s">
        <v>679</v>
      </c>
      <c r="P162" s="346"/>
      <c r="Q162" s="346" t="s">
        <v>1140</v>
      </c>
      <c r="R162" s="346"/>
      <c r="S162" s="150" t="s">
        <v>680</v>
      </c>
      <c r="T162" s="150"/>
      <c r="U162" s="475"/>
      <c r="V162" s="406">
        <v>0</v>
      </c>
      <c r="W162" s="406">
        <v>2155</v>
      </c>
      <c r="X162" s="425"/>
      <c r="Y162" s="71"/>
      <c r="Z162" s="427"/>
      <c r="AA162" s="427"/>
      <c r="AB162" s="427">
        <v>2155</v>
      </c>
      <c r="AC162" s="428">
        <v>0</v>
      </c>
      <c r="AD162" s="429">
        <v>0</v>
      </c>
      <c r="AE162" s="429">
        <v>0</v>
      </c>
      <c r="AF162" s="360">
        <v>0</v>
      </c>
      <c r="AG162" s="360">
        <v>0</v>
      </c>
      <c r="AH162" s="360">
        <v>0</v>
      </c>
      <c r="AI162" s="360">
        <v>0</v>
      </c>
      <c r="AJ162" s="360">
        <v>0</v>
      </c>
      <c r="AK162" s="360">
        <v>0</v>
      </c>
      <c r="AL162" s="360">
        <v>2155</v>
      </c>
      <c r="AM162" s="455">
        <v>0</v>
      </c>
      <c r="AN162" s="79">
        <v>0</v>
      </c>
      <c r="AO162" s="79">
        <v>0</v>
      </c>
      <c r="AP162" s="374">
        <v>0</v>
      </c>
      <c r="AQ162" s="80"/>
      <c r="AR162" s="79">
        <v>0</v>
      </c>
      <c r="AS162" s="81"/>
      <c r="AT162" s="375"/>
      <c r="AU162" s="375"/>
      <c r="AV162" s="375">
        <v>2155</v>
      </c>
      <c r="AW162" s="375">
        <v>0</v>
      </c>
      <c r="AX162" s="375">
        <v>0</v>
      </c>
      <c r="AY162" s="375">
        <v>0</v>
      </c>
      <c r="AZ162" s="375">
        <v>0</v>
      </c>
      <c r="BA162" s="375">
        <v>0</v>
      </c>
      <c r="BB162" s="375">
        <v>0</v>
      </c>
      <c r="BC162" s="375">
        <v>0</v>
      </c>
      <c r="BD162" s="375">
        <v>0</v>
      </c>
      <c r="BE162" s="375">
        <v>0</v>
      </c>
      <c r="BF162" s="375">
        <v>2155</v>
      </c>
      <c r="BG162" s="79"/>
      <c r="BH162" s="79"/>
      <c r="BI162" s="79">
        <v>2155</v>
      </c>
      <c r="BJ162" s="79">
        <v>0</v>
      </c>
      <c r="BK162" s="79">
        <v>0</v>
      </c>
      <c r="BL162" s="79">
        <v>0</v>
      </c>
      <c r="BM162" s="79">
        <v>0</v>
      </c>
      <c r="BN162" s="79">
        <v>0</v>
      </c>
      <c r="BO162" s="79">
        <v>0</v>
      </c>
      <c r="BP162" s="79">
        <v>0</v>
      </c>
      <c r="BQ162" s="79">
        <v>0</v>
      </c>
      <c r="BR162" s="79">
        <v>0</v>
      </c>
      <c r="BS162" s="79">
        <v>2155</v>
      </c>
    </row>
    <row r="163" spans="1:71" ht="15" customHeight="1">
      <c r="A163" s="66" t="s">
        <v>2792</v>
      </c>
      <c r="B163" s="66" t="s">
        <v>1006</v>
      </c>
      <c r="C163" s="66" t="s">
        <v>2793</v>
      </c>
      <c r="D163" s="150" t="s">
        <v>1136</v>
      </c>
      <c r="E163" s="482" t="s">
        <v>1566</v>
      </c>
      <c r="F163" s="482" t="s">
        <v>1566</v>
      </c>
      <c r="G163" s="482" t="s">
        <v>1566</v>
      </c>
      <c r="H163" s="150" t="s">
        <v>1345</v>
      </c>
      <c r="I163" s="150" t="s">
        <v>1346</v>
      </c>
      <c r="J163" s="150" t="s">
        <v>1346</v>
      </c>
      <c r="K163" s="511" t="s">
        <v>639</v>
      </c>
      <c r="L163" s="451" t="s">
        <v>818</v>
      </c>
      <c r="M163" s="343"/>
      <c r="N163" s="343"/>
      <c r="O163" s="70" t="s">
        <v>817</v>
      </c>
      <c r="P163" s="346"/>
      <c r="Q163" s="346" t="s">
        <v>1140</v>
      </c>
      <c r="R163" s="346"/>
      <c r="S163" s="150" t="s">
        <v>818</v>
      </c>
      <c r="T163" s="150"/>
      <c r="U163" s="475"/>
      <c r="V163" s="406">
        <v>0</v>
      </c>
      <c r="W163" s="406">
        <v>3886.48</v>
      </c>
      <c r="X163" s="425"/>
      <c r="Y163" s="71"/>
      <c r="Z163" s="427"/>
      <c r="AA163" s="427"/>
      <c r="AB163" s="427">
        <v>3886.48</v>
      </c>
      <c r="AC163" s="428">
        <v>174.65</v>
      </c>
      <c r="AD163" s="429">
        <v>0</v>
      </c>
      <c r="AE163" s="429">
        <v>3826.04</v>
      </c>
      <c r="AF163" s="360">
        <v>0</v>
      </c>
      <c r="AG163" s="360">
        <v>0</v>
      </c>
      <c r="AH163" s="360">
        <v>0</v>
      </c>
      <c r="AI163" s="360">
        <v>0</v>
      </c>
      <c r="AJ163" s="360">
        <v>0</v>
      </c>
      <c r="AK163" s="360">
        <v>0</v>
      </c>
      <c r="AL163" s="360">
        <v>7887.17</v>
      </c>
      <c r="AM163" s="455">
        <v>4000.69</v>
      </c>
      <c r="AN163" s="79">
        <v>0</v>
      </c>
      <c r="AO163" s="79">
        <v>3826.04</v>
      </c>
      <c r="AP163" s="374">
        <v>4000.69</v>
      </c>
      <c r="AQ163" s="80"/>
      <c r="AR163" s="79">
        <v>4000.69</v>
      </c>
      <c r="AS163" s="81"/>
      <c r="AT163" s="375"/>
      <c r="AU163" s="375"/>
      <c r="AV163" s="375">
        <v>3886.48</v>
      </c>
      <c r="AW163" s="375">
        <v>0</v>
      </c>
      <c r="AX163" s="375">
        <v>0</v>
      </c>
      <c r="AY163" s="375">
        <v>0</v>
      </c>
      <c r="AZ163" s="375">
        <v>0</v>
      </c>
      <c r="BA163" s="375">
        <v>0</v>
      </c>
      <c r="BB163" s="375">
        <v>0</v>
      </c>
      <c r="BC163" s="375">
        <v>0</v>
      </c>
      <c r="BD163" s="375">
        <v>0</v>
      </c>
      <c r="BE163" s="375">
        <v>0</v>
      </c>
      <c r="BF163" s="375">
        <v>3886.48</v>
      </c>
      <c r="BG163" s="79"/>
      <c r="BH163" s="79"/>
      <c r="BI163" s="79">
        <v>3886.48</v>
      </c>
      <c r="BJ163" s="79">
        <v>0</v>
      </c>
      <c r="BK163" s="79">
        <v>0</v>
      </c>
      <c r="BL163" s="79">
        <v>0</v>
      </c>
      <c r="BM163" s="79">
        <v>0</v>
      </c>
      <c r="BN163" s="79">
        <v>0</v>
      </c>
      <c r="BO163" s="79">
        <v>0</v>
      </c>
      <c r="BP163" s="79">
        <v>0</v>
      </c>
      <c r="BQ163" s="79">
        <v>0</v>
      </c>
      <c r="BR163" s="79">
        <v>0</v>
      </c>
      <c r="BS163" s="79">
        <v>3886.48</v>
      </c>
    </row>
    <row r="164" spans="1:71" ht="15" customHeight="1">
      <c r="A164" s="66" t="s">
        <v>2794</v>
      </c>
      <c r="B164" s="66" t="s">
        <v>1006</v>
      </c>
      <c r="C164" s="66" t="s">
        <v>2795</v>
      </c>
      <c r="D164" s="150" t="s">
        <v>1136</v>
      </c>
      <c r="E164" s="482" t="s">
        <v>1566</v>
      </c>
      <c r="F164" s="150" t="s">
        <v>1566</v>
      </c>
      <c r="G164" s="150" t="s">
        <v>1566</v>
      </c>
      <c r="H164" s="150" t="s">
        <v>1567</v>
      </c>
      <c r="I164" s="150" t="s">
        <v>1567</v>
      </c>
      <c r="J164" s="150" t="s">
        <v>1567</v>
      </c>
      <c r="K164" s="511" t="s">
        <v>639</v>
      </c>
      <c r="L164" s="451" t="s">
        <v>818</v>
      </c>
      <c r="M164" s="343"/>
      <c r="N164" s="343"/>
      <c r="O164" s="70" t="s">
        <v>817</v>
      </c>
      <c r="P164" s="346"/>
      <c r="Q164" s="346" t="s">
        <v>1140</v>
      </c>
      <c r="R164" s="346"/>
      <c r="S164" s="150" t="s">
        <v>818</v>
      </c>
      <c r="T164" s="150"/>
      <c r="U164" s="475"/>
      <c r="V164" s="406">
        <v>0</v>
      </c>
      <c r="W164" s="406">
        <v>95.05</v>
      </c>
      <c r="X164" s="425"/>
      <c r="Y164" s="71"/>
      <c r="Z164" s="427"/>
      <c r="AA164" s="427"/>
      <c r="AB164" s="427">
        <v>95.05</v>
      </c>
      <c r="AC164" s="428">
        <v>0</v>
      </c>
      <c r="AD164" s="429">
        <v>0</v>
      </c>
      <c r="AE164" s="429">
        <v>160.29</v>
      </c>
      <c r="AF164" s="360">
        <v>0</v>
      </c>
      <c r="AG164" s="360">
        <v>0</v>
      </c>
      <c r="AH164" s="360">
        <v>0</v>
      </c>
      <c r="AI164" s="360">
        <v>0</v>
      </c>
      <c r="AJ164" s="360">
        <v>0</v>
      </c>
      <c r="AK164" s="360">
        <v>0</v>
      </c>
      <c r="AL164" s="360">
        <v>255.33999999999997</v>
      </c>
      <c r="AM164" s="455">
        <v>160.28999999999996</v>
      </c>
      <c r="AN164" s="79">
        <v>0</v>
      </c>
      <c r="AO164" s="79">
        <v>160.29</v>
      </c>
      <c r="AP164" s="374">
        <v>160.28999999999996</v>
      </c>
      <c r="AQ164" s="80"/>
      <c r="AR164" s="79">
        <v>160.28999999999996</v>
      </c>
      <c r="AS164" s="81"/>
      <c r="AT164" s="375"/>
      <c r="AU164" s="375"/>
      <c r="AV164" s="375">
        <v>95.05</v>
      </c>
      <c r="AW164" s="375">
        <v>0</v>
      </c>
      <c r="AX164" s="375">
        <v>0</v>
      </c>
      <c r="AY164" s="375">
        <v>0</v>
      </c>
      <c r="AZ164" s="375">
        <v>0</v>
      </c>
      <c r="BA164" s="375">
        <v>0</v>
      </c>
      <c r="BB164" s="375">
        <v>0</v>
      </c>
      <c r="BC164" s="375">
        <v>0</v>
      </c>
      <c r="BD164" s="375">
        <v>0</v>
      </c>
      <c r="BE164" s="375">
        <v>0</v>
      </c>
      <c r="BF164" s="375">
        <v>95.05</v>
      </c>
      <c r="BG164" s="79"/>
      <c r="BH164" s="79"/>
      <c r="BI164" s="79">
        <v>95.05</v>
      </c>
      <c r="BJ164" s="79">
        <v>0</v>
      </c>
      <c r="BK164" s="79">
        <v>0</v>
      </c>
      <c r="BL164" s="79">
        <v>0</v>
      </c>
      <c r="BM164" s="79">
        <v>0</v>
      </c>
      <c r="BN164" s="79">
        <v>0</v>
      </c>
      <c r="BO164" s="79">
        <v>0</v>
      </c>
      <c r="BP164" s="79">
        <v>0</v>
      </c>
      <c r="BQ164" s="79">
        <v>0</v>
      </c>
      <c r="BR164" s="79">
        <v>0</v>
      </c>
      <c r="BS164" s="79">
        <v>95.05</v>
      </c>
    </row>
    <row r="165" spans="1:71" ht="15" customHeight="1">
      <c r="A165" s="66" t="s">
        <v>2805</v>
      </c>
      <c r="B165" s="66" t="s">
        <v>1015</v>
      </c>
      <c r="C165" s="66" t="s">
        <v>2806</v>
      </c>
      <c r="D165" s="150" t="s">
        <v>1136</v>
      </c>
      <c r="E165" s="482" t="s">
        <v>1566</v>
      </c>
      <c r="F165" s="482" t="s">
        <v>1566</v>
      </c>
      <c r="G165" s="482" t="s">
        <v>1566</v>
      </c>
      <c r="H165" s="150" t="s">
        <v>1345</v>
      </c>
      <c r="I165" s="150" t="s">
        <v>1346</v>
      </c>
      <c r="J165" s="150" t="s">
        <v>1346</v>
      </c>
      <c r="K165" s="511" t="s">
        <v>639</v>
      </c>
      <c r="L165" s="451" t="s">
        <v>1327</v>
      </c>
      <c r="M165" s="343"/>
      <c r="N165" s="343"/>
      <c r="O165" s="70" t="s">
        <v>147</v>
      </c>
      <c r="P165" s="346"/>
      <c r="Q165" s="343"/>
      <c r="R165" s="346"/>
      <c r="S165" s="150" t="s">
        <v>25</v>
      </c>
      <c r="T165" s="150"/>
      <c r="U165" s="453"/>
      <c r="V165" s="406">
        <v>0</v>
      </c>
      <c r="W165" s="406">
        <v>2702.75</v>
      </c>
      <c r="X165" s="425"/>
      <c r="Y165" s="71"/>
      <c r="Z165" s="427">
        <v>45.54</v>
      </c>
      <c r="AA165" s="427">
        <v>0.09</v>
      </c>
      <c r="AB165" s="427">
        <v>2657.12</v>
      </c>
      <c r="AC165" s="428">
        <v>12.72</v>
      </c>
      <c r="AD165" s="429">
        <v>29.21</v>
      </c>
      <c r="AE165" s="429">
        <v>7.47</v>
      </c>
      <c r="AF165" s="360">
        <v>0</v>
      </c>
      <c r="AG165" s="360">
        <v>0</v>
      </c>
      <c r="AH165" s="360">
        <v>0</v>
      </c>
      <c r="AI165" s="360">
        <v>0</v>
      </c>
      <c r="AJ165" s="360">
        <v>0</v>
      </c>
      <c r="AK165" s="360">
        <v>0</v>
      </c>
      <c r="AL165" s="360">
        <v>2752.1499999999996</v>
      </c>
      <c r="AM165" s="455">
        <v>49.399999999999636</v>
      </c>
      <c r="AN165" s="79">
        <v>0</v>
      </c>
      <c r="AO165" s="79">
        <v>7.47</v>
      </c>
      <c r="AP165" s="374">
        <v>49.399999999999636</v>
      </c>
      <c r="AQ165" s="80"/>
      <c r="AR165" s="79">
        <v>49.399999999999636</v>
      </c>
      <c r="AS165" s="81"/>
      <c r="AT165" s="375">
        <v>45.54</v>
      </c>
      <c r="AU165" s="375">
        <v>0.09</v>
      </c>
      <c r="AV165" s="375">
        <v>2657.12</v>
      </c>
      <c r="AW165" s="375">
        <v>0</v>
      </c>
      <c r="AX165" s="375">
        <v>0</v>
      </c>
      <c r="AY165" s="375">
        <v>0</v>
      </c>
      <c r="AZ165" s="375">
        <v>0</v>
      </c>
      <c r="BA165" s="375">
        <v>0</v>
      </c>
      <c r="BB165" s="375">
        <v>0</v>
      </c>
      <c r="BC165" s="375">
        <v>0</v>
      </c>
      <c r="BD165" s="375">
        <v>0</v>
      </c>
      <c r="BE165" s="375">
        <v>0</v>
      </c>
      <c r="BF165" s="375">
        <v>2702.75</v>
      </c>
      <c r="BG165" s="79">
        <v>45.54</v>
      </c>
      <c r="BH165" s="79">
        <v>0.09</v>
      </c>
      <c r="BI165" s="79">
        <v>2657.12</v>
      </c>
      <c r="BJ165" s="79">
        <v>0</v>
      </c>
      <c r="BK165" s="79">
        <v>0</v>
      </c>
      <c r="BL165" s="79">
        <v>0</v>
      </c>
      <c r="BM165" s="79">
        <v>0</v>
      </c>
      <c r="BN165" s="79">
        <v>0</v>
      </c>
      <c r="BO165" s="79">
        <v>0</v>
      </c>
      <c r="BP165" s="79">
        <v>0</v>
      </c>
      <c r="BQ165" s="79">
        <v>0</v>
      </c>
      <c r="BR165" s="79">
        <v>0</v>
      </c>
      <c r="BS165" s="79">
        <v>2702.75</v>
      </c>
    </row>
    <row r="166" spans="1:71" ht="15" customHeight="1">
      <c r="A166" s="66" t="s">
        <v>2807</v>
      </c>
      <c r="B166" s="66" t="s">
        <v>1015</v>
      </c>
      <c r="C166" s="66" t="s">
        <v>2808</v>
      </c>
      <c r="D166" s="150" t="s">
        <v>1136</v>
      </c>
      <c r="E166" s="482" t="s">
        <v>1566</v>
      </c>
      <c r="F166" s="150" t="s">
        <v>1566</v>
      </c>
      <c r="G166" s="150" t="s">
        <v>1566</v>
      </c>
      <c r="H166" s="150" t="s">
        <v>1567</v>
      </c>
      <c r="I166" s="150" t="s">
        <v>1567</v>
      </c>
      <c r="J166" s="150" t="s">
        <v>1567</v>
      </c>
      <c r="K166" s="511" t="s">
        <v>639</v>
      </c>
      <c r="L166" s="451" t="s">
        <v>1327</v>
      </c>
      <c r="M166" s="343"/>
      <c r="N166" s="343"/>
      <c r="O166" s="70" t="s">
        <v>147</v>
      </c>
      <c r="P166" s="346"/>
      <c r="Q166" s="343"/>
      <c r="R166" s="346"/>
      <c r="S166" s="150" t="s">
        <v>25</v>
      </c>
      <c r="T166" s="150"/>
      <c r="U166" s="453"/>
      <c r="V166" s="406">
        <v>0</v>
      </c>
      <c r="W166" s="406">
        <v>-711.61</v>
      </c>
      <c r="X166" s="425"/>
      <c r="Y166" s="71"/>
      <c r="Z166" s="427">
        <v>-0.39</v>
      </c>
      <c r="AA166" s="427">
        <v>0.11</v>
      </c>
      <c r="AB166" s="427">
        <v>-711.33</v>
      </c>
      <c r="AC166" s="428">
        <v>0</v>
      </c>
      <c r="AD166" s="429">
        <v>0</v>
      </c>
      <c r="AE166" s="429">
        <v>-0.28999999999999998</v>
      </c>
      <c r="AF166" s="360">
        <v>0</v>
      </c>
      <c r="AG166" s="360">
        <v>0</v>
      </c>
      <c r="AH166" s="360">
        <v>0</v>
      </c>
      <c r="AI166" s="360">
        <v>0</v>
      </c>
      <c r="AJ166" s="360">
        <v>0</v>
      </c>
      <c r="AK166" s="360">
        <v>0</v>
      </c>
      <c r="AL166" s="360">
        <v>-711.9</v>
      </c>
      <c r="AM166" s="455">
        <v>-0.28999999999996362</v>
      </c>
      <c r="AN166" s="79">
        <v>0</v>
      </c>
      <c r="AO166" s="79">
        <v>-0.28999999999999998</v>
      </c>
      <c r="AP166" s="374">
        <v>-0.28999999999996362</v>
      </c>
      <c r="AQ166" s="80"/>
      <c r="AR166" s="79">
        <v>-0.28999999999996362</v>
      </c>
      <c r="AS166" s="81"/>
      <c r="AT166" s="375">
        <v>-0.39</v>
      </c>
      <c r="AU166" s="375">
        <v>0.11</v>
      </c>
      <c r="AV166" s="375">
        <v>-711.33</v>
      </c>
      <c r="AW166" s="375">
        <v>0</v>
      </c>
      <c r="AX166" s="375">
        <v>0</v>
      </c>
      <c r="AY166" s="375">
        <v>0</v>
      </c>
      <c r="AZ166" s="375">
        <v>0</v>
      </c>
      <c r="BA166" s="375">
        <v>0</v>
      </c>
      <c r="BB166" s="375">
        <v>0</v>
      </c>
      <c r="BC166" s="375">
        <v>0</v>
      </c>
      <c r="BD166" s="375">
        <v>0</v>
      </c>
      <c r="BE166" s="375">
        <v>0</v>
      </c>
      <c r="BF166" s="375">
        <v>-711.61</v>
      </c>
      <c r="BG166" s="79">
        <v>-0.39</v>
      </c>
      <c r="BH166" s="79">
        <v>0.11</v>
      </c>
      <c r="BI166" s="79">
        <v>-711.33</v>
      </c>
      <c r="BJ166" s="79">
        <v>0</v>
      </c>
      <c r="BK166" s="79">
        <v>0</v>
      </c>
      <c r="BL166" s="79">
        <v>0</v>
      </c>
      <c r="BM166" s="79">
        <v>0</v>
      </c>
      <c r="BN166" s="79">
        <v>0</v>
      </c>
      <c r="BO166" s="79">
        <v>0</v>
      </c>
      <c r="BP166" s="79">
        <v>0</v>
      </c>
      <c r="BQ166" s="79">
        <v>0</v>
      </c>
      <c r="BR166" s="79">
        <v>0</v>
      </c>
      <c r="BS166" s="79">
        <v>-711.61</v>
      </c>
    </row>
  </sheetData>
  <conditionalFormatting sqref="B1:B166">
    <cfRule type="duplicateValues" dxfId="184" priority="4"/>
  </conditionalFormatting>
  <conditionalFormatting sqref="C1:C166">
    <cfRule type="duplicateValues" dxfId="183" priority="5"/>
  </conditionalFormatting>
  <conditionalFormatting sqref="C2:C166">
    <cfRule type="duplicateValues" dxfId="182" priority="7"/>
  </conditionalFormatting>
  <conditionalFormatting sqref="O154 O135:O152">
    <cfRule type="duplicateValues" dxfId="181" priority="2"/>
  </conditionalFormatting>
  <conditionalFormatting sqref="O154 O149:O152">
    <cfRule type="duplicateValues" dxfId="180" priority="1"/>
  </conditionalFormatting>
  <conditionalFormatting sqref="O165:O166 O1:O163">
    <cfRule type="duplicateValues" dxfId="179" priority="6"/>
  </conditionalFormatting>
  <conditionalFormatting sqref="AS92:BF92">
    <cfRule type="duplicateValues" dxfId="178" priority="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D071-0219-4357-A613-84AE28ABA4F0}">
  <dimension ref="A3:F80"/>
  <sheetViews>
    <sheetView workbookViewId="0">
      <selection activeCell="D6" sqref="D6"/>
    </sheetView>
  </sheetViews>
  <sheetFormatPr defaultRowHeight="14.45"/>
  <cols>
    <col min="1" max="1" width="34.85546875" customWidth="1"/>
    <col min="2" max="2" width="62.85546875" bestFit="1" customWidth="1"/>
    <col min="3" max="3" width="15.5703125" bestFit="1" customWidth="1"/>
    <col min="4" max="5" width="23.140625" bestFit="1" customWidth="1"/>
    <col min="6" max="6" width="11.5703125" bestFit="1" customWidth="1"/>
  </cols>
  <sheetData>
    <row r="3" spans="1:6">
      <c r="A3" s="319" t="s">
        <v>20</v>
      </c>
      <c r="D3" s="319" t="s">
        <v>2917</v>
      </c>
    </row>
    <row r="4" spans="1:6">
      <c r="A4" s="319" t="s">
        <v>0</v>
      </c>
      <c r="B4" s="319" t="s">
        <v>1</v>
      </c>
      <c r="C4" s="319" t="s">
        <v>2920</v>
      </c>
      <c r="D4" t="s">
        <v>2944</v>
      </c>
      <c r="E4" t="s">
        <v>2953</v>
      </c>
      <c r="F4" t="s">
        <v>1052</v>
      </c>
    </row>
    <row r="5" spans="1:6">
      <c r="A5" t="s">
        <v>22</v>
      </c>
      <c r="B5" t="s">
        <v>23</v>
      </c>
      <c r="C5" t="s">
        <v>1135</v>
      </c>
      <c r="D5" s="381"/>
      <c r="E5" s="381">
        <v>0</v>
      </c>
      <c r="F5" s="381">
        <v>0</v>
      </c>
    </row>
    <row r="6" spans="1:6">
      <c r="B6" t="s">
        <v>26</v>
      </c>
      <c r="C6" t="s">
        <v>1135</v>
      </c>
      <c r="D6" s="381"/>
      <c r="E6" s="381">
        <v>0</v>
      </c>
      <c r="F6" s="381">
        <v>0</v>
      </c>
    </row>
    <row r="7" spans="1:6">
      <c r="B7" t="s">
        <v>28</v>
      </c>
      <c r="C7" t="s">
        <v>1135</v>
      </c>
      <c r="D7" s="381">
        <v>14850733.96283078</v>
      </c>
      <c r="E7" s="381">
        <v>1060974</v>
      </c>
      <c r="F7" s="381">
        <v>15911707.96283078</v>
      </c>
    </row>
    <row r="8" spans="1:6">
      <c r="B8" t="s">
        <v>37</v>
      </c>
      <c r="C8" t="s">
        <v>1566</v>
      </c>
      <c r="D8" s="381"/>
      <c r="E8" s="381">
        <v>0</v>
      </c>
      <c r="F8" s="381">
        <v>0</v>
      </c>
    </row>
    <row r="9" spans="1:6">
      <c r="B9" t="s">
        <v>40</v>
      </c>
      <c r="C9" t="s">
        <v>1566</v>
      </c>
      <c r="D9" s="381"/>
      <c r="E9" s="381">
        <v>0</v>
      </c>
      <c r="F9" s="381">
        <v>0</v>
      </c>
    </row>
    <row r="10" spans="1:6">
      <c r="A10" t="s">
        <v>48</v>
      </c>
      <c r="D10" s="381">
        <v>14850733.96283078</v>
      </c>
      <c r="E10" s="381">
        <v>1060974</v>
      </c>
      <c r="F10" s="381">
        <v>15911707.96283078</v>
      </c>
    </row>
    <row r="11" spans="1:6">
      <c r="A11" t="s">
        <v>49</v>
      </c>
      <c r="B11" t="s">
        <v>50</v>
      </c>
      <c r="C11" t="s">
        <v>1135</v>
      </c>
      <c r="D11" s="381">
        <v>607.20000000000005</v>
      </c>
      <c r="E11" s="381">
        <v>0</v>
      </c>
      <c r="F11" s="381">
        <v>607.20000000000005</v>
      </c>
    </row>
    <row r="12" spans="1:6">
      <c r="B12" t="s">
        <v>52</v>
      </c>
      <c r="C12" t="s">
        <v>1135</v>
      </c>
      <c r="D12" s="381">
        <v>-609032.7300000001</v>
      </c>
      <c r="E12" s="381">
        <v>-364844</v>
      </c>
      <c r="F12" s="381">
        <v>-973876.7300000001</v>
      </c>
    </row>
    <row r="13" spans="1:6">
      <c r="B13" t="s">
        <v>55</v>
      </c>
      <c r="C13" t="s">
        <v>1135</v>
      </c>
      <c r="D13" s="381">
        <v>550</v>
      </c>
      <c r="E13" s="381">
        <v>1080</v>
      </c>
      <c r="F13" s="381">
        <v>1630</v>
      </c>
    </row>
    <row r="14" spans="1:6">
      <c r="B14" t="s">
        <v>120</v>
      </c>
      <c r="C14" t="s">
        <v>1135</v>
      </c>
      <c r="D14" s="381">
        <v>150061.76000000001</v>
      </c>
      <c r="E14" s="381">
        <v>0</v>
      </c>
      <c r="F14" s="381">
        <v>150061.76000000001</v>
      </c>
    </row>
    <row r="15" spans="1:6">
      <c r="B15" t="s">
        <v>146</v>
      </c>
      <c r="C15" t="s">
        <v>1135</v>
      </c>
      <c r="D15" s="381">
        <v>0.23999999999941787</v>
      </c>
      <c r="E15" s="381">
        <v>14984.8</v>
      </c>
      <c r="F15" s="381">
        <v>14985.039999999999</v>
      </c>
    </row>
    <row r="16" spans="1:6">
      <c r="B16" t="s">
        <v>148</v>
      </c>
      <c r="C16" t="s">
        <v>1135</v>
      </c>
      <c r="D16" s="381">
        <v>-16166.66</v>
      </c>
      <c r="E16" s="381">
        <v>-14694</v>
      </c>
      <c r="F16" s="381">
        <v>-30860.66</v>
      </c>
    </row>
    <row r="17" spans="1:6">
      <c r="B17" t="s">
        <v>202</v>
      </c>
      <c r="C17" t="s">
        <v>1345</v>
      </c>
      <c r="D17" s="381">
        <v>0</v>
      </c>
      <c r="E17" s="381">
        <v>0.33999999999999997</v>
      </c>
      <c r="F17" s="381">
        <v>0.33999999999999997</v>
      </c>
    </row>
    <row r="18" spans="1:6">
      <c r="B18" t="s">
        <v>237</v>
      </c>
      <c r="C18" t="s">
        <v>1480</v>
      </c>
      <c r="D18" s="381">
        <v>0</v>
      </c>
      <c r="E18" s="381">
        <v>0.21000000000000002</v>
      </c>
      <c r="F18" s="381">
        <v>0.21000000000000002</v>
      </c>
    </row>
    <row r="19" spans="1:6">
      <c r="B19" t="s">
        <v>319</v>
      </c>
      <c r="C19" t="s">
        <v>1566</v>
      </c>
      <c r="D19" s="381">
        <v>93940.06</v>
      </c>
      <c r="E19" s="381">
        <v>69063.889999999985</v>
      </c>
      <c r="F19" s="381">
        <v>163003.94999999998</v>
      </c>
    </row>
    <row r="20" spans="1:6">
      <c r="A20" t="s">
        <v>332</v>
      </c>
      <c r="D20" s="381">
        <v>-380040.13000000012</v>
      </c>
      <c r="E20" s="381">
        <v>-294408.76</v>
      </c>
      <c r="F20" s="381">
        <v>-674448.89000000025</v>
      </c>
    </row>
    <row r="21" spans="1:6">
      <c r="A21" t="s">
        <v>333</v>
      </c>
      <c r="B21" t="s">
        <v>337</v>
      </c>
      <c r="C21" t="s">
        <v>1566</v>
      </c>
      <c r="D21" s="381">
        <v>34737047.740000002</v>
      </c>
      <c r="E21" s="381">
        <v>18353.259999999998</v>
      </c>
      <c r="F21" s="381">
        <v>34755401</v>
      </c>
    </row>
    <row r="22" spans="1:6">
      <c r="A22" t="s">
        <v>341</v>
      </c>
      <c r="D22" s="381">
        <v>34737047.740000002</v>
      </c>
      <c r="E22" s="381">
        <v>18353.259999999998</v>
      </c>
      <c r="F22" s="381">
        <v>34755401</v>
      </c>
    </row>
    <row r="23" spans="1:6">
      <c r="A23" t="s">
        <v>342</v>
      </c>
      <c r="B23" t="s">
        <v>364</v>
      </c>
      <c r="C23" t="s">
        <v>1135</v>
      </c>
      <c r="D23" s="381">
        <v>8758.44</v>
      </c>
      <c r="E23" s="381">
        <v>2189</v>
      </c>
      <c r="F23" s="381">
        <v>10947.44</v>
      </c>
    </row>
    <row r="24" spans="1:6">
      <c r="B24" s="501" t="s">
        <v>375</v>
      </c>
      <c r="C24" t="s">
        <v>1135</v>
      </c>
      <c r="D24" s="381">
        <v>0</v>
      </c>
      <c r="E24" s="381">
        <v>0.70000000000000007</v>
      </c>
      <c r="F24" s="381">
        <v>0.70000000000000007</v>
      </c>
    </row>
    <row r="25" spans="1:6">
      <c r="B25" t="s">
        <v>384</v>
      </c>
      <c r="C25" t="s">
        <v>1566</v>
      </c>
      <c r="D25" s="381">
        <v>3334.74</v>
      </c>
      <c r="E25" s="381">
        <v>-0.24000000000000002</v>
      </c>
      <c r="F25" s="381">
        <v>3334.5</v>
      </c>
    </row>
    <row r="26" spans="1:6">
      <c r="A26" t="s">
        <v>388</v>
      </c>
      <c r="D26" s="381">
        <v>12093.18</v>
      </c>
      <c r="E26" s="381">
        <v>2189.46</v>
      </c>
      <c r="F26" s="381">
        <v>14282.640000000001</v>
      </c>
    </row>
    <row r="27" spans="1:6">
      <c r="A27" t="s">
        <v>389</v>
      </c>
      <c r="B27" t="s">
        <v>417</v>
      </c>
      <c r="C27" t="s">
        <v>1135</v>
      </c>
      <c r="D27" s="381">
        <v>705132.76</v>
      </c>
      <c r="E27" s="381">
        <v>613822.94000000006</v>
      </c>
      <c r="F27" s="381">
        <v>1318955.7000000002</v>
      </c>
    </row>
    <row r="28" spans="1:6">
      <c r="B28" t="s">
        <v>420</v>
      </c>
      <c r="C28" t="s">
        <v>1135</v>
      </c>
      <c r="D28" s="381">
        <v>55147.5</v>
      </c>
      <c r="E28" s="381">
        <v>0</v>
      </c>
      <c r="F28" s="381">
        <v>55147.5</v>
      </c>
    </row>
    <row r="29" spans="1:6">
      <c r="B29" t="s">
        <v>435</v>
      </c>
      <c r="C29" t="s">
        <v>1135</v>
      </c>
      <c r="D29" s="381">
        <v>2279.02</v>
      </c>
      <c r="E29" s="381">
        <v>2524.6799999999998</v>
      </c>
      <c r="F29" s="381">
        <v>4803.7</v>
      </c>
    </row>
    <row r="30" spans="1:6">
      <c r="B30" t="s">
        <v>440</v>
      </c>
      <c r="C30" t="s">
        <v>1135</v>
      </c>
      <c r="D30" s="381">
        <v>10582.559999999998</v>
      </c>
      <c r="E30" s="381">
        <v>0</v>
      </c>
      <c r="F30" s="381">
        <v>10582.559999999998</v>
      </c>
    </row>
    <row r="31" spans="1:6">
      <c r="B31" t="s">
        <v>448</v>
      </c>
      <c r="C31" t="s">
        <v>1135</v>
      </c>
      <c r="D31" s="381">
        <v>7826</v>
      </c>
      <c r="E31" s="381">
        <v>7587.03</v>
      </c>
      <c r="F31" s="381">
        <v>15413.029999999999</v>
      </c>
    </row>
    <row r="32" spans="1:6">
      <c r="B32" t="s">
        <v>452</v>
      </c>
      <c r="C32" t="s">
        <v>1135</v>
      </c>
      <c r="D32" s="381">
        <v>47524.710000000006</v>
      </c>
      <c r="E32" s="381">
        <v>9785.3700000000008</v>
      </c>
      <c r="F32" s="381">
        <v>57310.080000000009</v>
      </c>
    </row>
    <row r="33" spans="1:6">
      <c r="B33" t="s">
        <v>464</v>
      </c>
      <c r="C33" t="s">
        <v>1135</v>
      </c>
      <c r="D33" s="381">
        <v>226425.55</v>
      </c>
      <c r="E33" s="381">
        <v>44311.770000000004</v>
      </c>
      <c r="F33" s="381">
        <v>270737.32</v>
      </c>
    </row>
    <row r="34" spans="1:6">
      <c r="B34" t="s">
        <v>465</v>
      </c>
      <c r="C34" t="s">
        <v>1135</v>
      </c>
      <c r="D34" s="381">
        <v>166489</v>
      </c>
      <c r="E34" s="381">
        <v>152809.09</v>
      </c>
      <c r="F34" s="381">
        <v>319298.08999999997</v>
      </c>
    </row>
    <row r="35" spans="1:6">
      <c r="B35" t="s">
        <v>485</v>
      </c>
      <c r="C35" t="s">
        <v>1135</v>
      </c>
      <c r="D35" s="381">
        <v>-613658.5</v>
      </c>
      <c r="E35" s="381">
        <v>0</v>
      </c>
      <c r="F35" s="381">
        <v>-613658.5</v>
      </c>
    </row>
    <row r="36" spans="1:6">
      <c r="B36" t="s">
        <v>491</v>
      </c>
      <c r="C36" t="s">
        <v>1135</v>
      </c>
      <c r="D36" s="381">
        <v>-0.51000000000203727</v>
      </c>
      <c r="E36" s="381">
        <v>76232.38</v>
      </c>
      <c r="F36" s="381">
        <v>76231.87</v>
      </c>
    </row>
    <row r="37" spans="1:6">
      <c r="B37" t="s">
        <v>524</v>
      </c>
      <c r="C37" t="s">
        <v>1345</v>
      </c>
      <c r="D37" s="381">
        <v>59191.25</v>
      </c>
      <c r="E37" s="381">
        <v>9209.51</v>
      </c>
      <c r="F37" s="381">
        <v>68400.759999999995</v>
      </c>
    </row>
    <row r="38" spans="1:6">
      <c r="B38" t="s">
        <v>533</v>
      </c>
      <c r="C38" t="s">
        <v>1345</v>
      </c>
      <c r="D38" s="381">
        <v>20395</v>
      </c>
      <c r="E38" s="381">
        <v>18720</v>
      </c>
      <c r="F38" s="381">
        <v>39115</v>
      </c>
    </row>
    <row r="39" spans="1:6">
      <c r="B39" t="s">
        <v>538</v>
      </c>
      <c r="C39" t="s">
        <v>1345</v>
      </c>
      <c r="D39" s="381">
        <v>0.14999999999999997</v>
      </c>
      <c r="E39" s="381">
        <v>-0.44</v>
      </c>
      <c r="F39" s="381">
        <v>-0.29000000000000004</v>
      </c>
    </row>
    <row r="40" spans="1:6">
      <c r="B40" t="s">
        <v>553</v>
      </c>
      <c r="C40" t="s">
        <v>1480</v>
      </c>
      <c r="D40" s="381">
        <v>23990</v>
      </c>
      <c r="E40" s="381">
        <v>16997</v>
      </c>
      <c r="F40" s="381">
        <v>40987</v>
      </c>
    </row>
    <row r="41" spans="1:6">
      <c r="B41" t="s">
        <v>554</v>
      </c>
      <c r="C41" t="s">
        <v>1480</v>
      </c>
      <c r="D41" s="381">
        <v>9.9999999999999992E-2</v>
      </c>
      <c r="E41" s="381">
        <v>0</v>
      </c>
      <c r="F41" s="381">
        <v>9.9999999999999992E-2</v>
      </c>
    </row>
    <row r="42" spans="1:6">
      <c r="B42" t="s">
        <v>569</v>
      </c>
      <c r="C42" t="s">
        <v>1566</v>
      </c>
      <c r="D42" s="381">
        <v>38810.29</v>
      </c>
      <c r="E42" s="381">
        <v>18388.36</v>
      </c>
      <c r="F42" s="381">
        <v>57198.65</v>
      </c>
    </row>
    <row r="43" spans="1:6">
      <c r="B43" t="s">
        <v>580</v>
      </c>
      <c r="C43" t="s">
        <v>1566</v>
      </c>
      <c r="D43" s="381">
        <v>11618.28</v>
      </c>
      <c r="E43" s="381">
        <v>2180.3999999999996</v>
      </c>
      <c r="F43" s="381">
        <v>13798.68</v>
      </c>
    </row>
    <row r="44" spans="1:6">
      <c r="B44" t="s">
        <v>581</v>
      </c>
      <c r="C44" t="s">
        <v>1566</v>
      </c>
      <c r="D44" s="381">
        <v>2512</v>
      </c>
      <c r="E44" s="381">
        <v>110838.48999999999</v>
      </c>
      <c r="F44" s="381">
        <v>113350.48999999999</v>
      </c>
    </row>
    <row r="45" spans="1:6">
      <c r="B45" t="s">
        <v>588</v>
      </c>
      <c r="C45" t="s">
        <v>1566</v>
      </c>
      <c r="D45" s="381">
        <v>2751.98</v>
      </c>
      <c r="E45" s="381">
        <v>4597.92</v>
      </c>
      <c r="F45" s="381">
        <v>7349.9</v>
      </c>
    </row>
    <row r="46" spans="1:6">
      <c r="A46" t="s">
        <v>601</v>
      </c>
      <c r="D46" s="381">
        <v>767017.14000000013</v>
      </c>
      <c r="E46" s="381">
        <v>1088004.5</v>
      </c>
      <c r="F46" s="381">
        <v>1855021.6400000004</v>
      </c>
    </row>
    <row r="47" spans="1:6">
      <c r="A47" t="s">
        <v>602</v>
      </c>
      <c r="B47" t="s">
        <v>609</v>
      </c>
      <c r="C47" t="s">
        <v>1135</v>
      </c>
      <c r="D47" s="381">
        <v>322</v>
      </c>
      <c r="E47" s="381">
        <v>10114.92</v>
      </c>
      <c r="F47" s="381">
        <v>10436.92</v>
      </c>
    </row>
    <row r="48" spans="1:6">
      <c r="B48" t="s">
        <v>619</v>
      </c>
      <c r="C48" t="s">
        <v>1566</v>
      </c>
      <c r="D48" s="381">
        <v>11815.17</v>
      </c>
      <c r="E48" s="381">
        <v>614.69000000000005</v>
      </c>
      <c r="F48" s="381">
        <v>12429.86</v>
      </c>
    </row>
    <row r="49" spans="1:6">
      <c r="B49" t="s">
        <v>621</v>
      </c>
      <c r="C49" t="s">
        <v>1566</v>
      </c>
      <c r="D49" s="381">
        <v>9803.7199999999993</v>
      </c>
      <c r="E49" s="381">
        <v>4280.7700000000004</v>
      </c>
      <c r="F49" s="381">
        <v>14084.49</v>
      </c>
    </row>
    <row r="50" spans="1:6">
      <c r="A50" t="s">
        <v>624</v>
      </c>
      <c r="D50" s="381">
        <v>21940.89</v>
      </c>
      <c r="E50" s="381">
        <v>15010.380000000001</v>
      </c>
      <c r="F50" s="381">
        <v>36951.269999999997</v>
      </c>
    </row>
    <row r="51" spans="1:6">
      <c r="A51" t="s">
        <v>629</v>
      </c>
      <c r="B51" t="s">
        <v>634</v>
      </c>
      <c r="C51" t="s">
        <v>1566</v>
      </c>
      <c r="D51" s="381">
        <v>0</v>
      </c>
      <c r="E51" s="381">
        <v>7428.8200000000006</v>
      </c>
      <c r="F51" s="381">
        <v>7428.8200000000006</v>
      </c>
    </row>
    <row r="52" spans="1:6">
      <c r="A52" t="s">
        <v>638</v>
      </c>
      <c r="D52" s="381">
        <v>0</v>
      </c>
      <c r="E52" s="381">
        <v>7428.8200000000006</v>
      </c>
      <c r="F52" s="381">
        <v>7428.8200000000006</v>
      </c>
    </row>
    <row r="53" spans="1:6">
      <c r="A53" t="s">
        <v>639</v>
      </c>
      <c r="B53" t="s">
        <v>667</v>
      </c>
      <c r="C53" t="s">
        <v>1135</v>
      </c>
      <c r="D53" s="381">
        <v>3860.94</v>
      </c>
      <c r="E53" s="381">
        <v>6934.17</v>
      </c>
      <c r="F53" s="381">
        <v>10795.11</v>
      </c>
    </row>
    <row r="54" spans="1:6">
      <c r="B54" t="s">
        <v>669</v>
      </c>
      <c r="C54" t="s">
        <v>1135</v>
      </c>
      <c r="D54" s="381">
        <v>46417.880000000005</v>
      </c>
      <c r="E54" s="381">
        <v>10692.71</v>
      </c>
      <c r="F54" s="381">
        <v>57110.590000000004</v>
      </c>
    </row>
    <row r="55" spans="1:6">
      <c r="B55" t="s">
        <v>672</v>
      </c>
      <c r="C55" t="s">
        <v>1135</v>
      </c>
      <c r="D55" s="381">
        <v>7399.9199999999992</v>
      </c>
      <c r="E55" s="381">
        <v>1541.6499999999999</v>
      </c>
      <c r="F55" s="381">
        <v>8941.57</v>
      </c>
    </row>
    <row r="56" spans="1:6">
      <c r="B56" t="s">
        <v>674</v>
      </c>
      <c r="C56" t="s">
        <v>1135</v>
      </c>
      <c r="D56" s="381">
        <v>446.19</v>
      </c>
      <c r="E56" s="381">
        <v>1106.92</v>
      </c>
      <c r="F56" s="381">
        <v>1553.1100000000001</v>
      </c>
    </row>
    <row r="57" spans="1:6">
      <c r="B57" t="s">
        <v>675</v>
      </c>
      <c r="C57" t="s">
        <v>1135</v>
      </c>
      <c r="D57" s="381">
        <v>11902</v>
      </c>
      <c r="E57" s="381">
        <v>9215.91</v>
      </c>
      <c r="F57" s="381">
        <v>21117.91</v>
      </c>
    </row>
    <row r="58" spans="1:6">
      <c r="B58" t="s">
        <v>678</v>
      </c>
      <c r="C58" t="s">
        <v>1135</v>
      </c>
      <c r="D58" s="381">
        <v>160083</v>
      </c>
      <c r="E58" s="381">
        <v>20428.080000000002</v>
      </c>
      <c r="F58" s="381">
        <v>180511.08000000002</v>
      </c>
    </row>
    <row r="59" spans="1:6">
      <c r="B59" t="s">
        <v>816</v>
      </c>
      <c r="C59" t="s">
        <v>1135</v>
      </c>
      <c r="D59" s="381">
        <v>152392.16</v>
      </c>
      <c r="E59" s="381">
        <v>75469.48000000001</v>
      </c>
      <c r="F59" s="381">
        <v>227861.64</v>
      </c>
    </row>
    <row r="60" spans="1:6">
      <c r="B60" t="s">
        <v>850</v>
      </c>
      <c r="C60" t="s">
        <v>1135</v>
      </c>
      <c r="D60" s="381">
        <v>1513628.4099999997</v>
      </c>
      <c r="E60" s="381">
        <v>0</v>
      </c>
      <c r="F60" s="381">
        <v>1513628.4099999997</v>
      </c>
    </row>
    <row r="61" spans="1:6">
      <c r="B61" t="s">
        <v>852</v>
      </c>
      <c r="C61" t="s">
        <v>1135</v>
      </c>
      <c r="D61" s="381">
        <v>-872297.12</v>
      </c>
      <c r="E61" s="381">
        <v>0</v>
      </c>
      <c r="F61" s="381">
        <v>-872297.12</v>
      </c>
    </row>
    <row r="62" spans="1:6">
      <c r="B62" t="s">
        <v>899</v>
      </c>
      <c r="C62" t="s">
        <v>1135</v>
      </c>
      <c r="D62" s="381">
        <v>30695.670000000002</v>
      </c>
      <c r="E62" s="381">
        <v>-1857.7599999999998</v>
      </c>
      <c r="F62" s="381">
        <v>28837.910000000003</v>
      </c>
    </row>
    <row r="63" spans="1:6">
      <c r="B63" t="s">
        <v>940</v>
      </c>
      <c r="C63" t="s">
        <v>1345</v>
      </c>
      <c r="D63" s="381">
        <v>218.76</v>
      </c>
      <c r="E63" s="381">
        <v>431.03</v>
      </c>
      <c r="F63" s="381">
        <v>649.79</v>
      </c>
    </row>
    <row r="64" spans="1:6">
      <c r="B64" t="s">
        <v>950</v>
      </c>
      <c r="C64" t="s">
        <v>1345</v>
      </c>
      <c r="D64" s="381">
        <v>22219.21</v>
      </c>
      <c r="E64" s="381">
        <v>3285.0699999999997</v>
      </c>
      <c r="F64" s="381">
        <v>25504.28</v>
      </c>
    </row>
    <row r="65" spans="1:6">
      <c r="B65" t="s">
        <v>955</v>
      </c>
      <c r="C65" t="s">
        <v>1345</v>
      </c>
      <c r="D65" s="381">
        <v>2.9999999999999971E-2</v>
      </c>
      <c r="E65" s="381">
        <v>0.35</v>
      </c>
      <c r="F65" s="381">
        <v>0.37999999999999995</v>
      </c>
    </row>
    <row r="66" spans="1:6">
      <c r="B66" t="s">
        <v>973</v>
      </c>
      <c r="C66" t="s">
        <v>1480</v>
      </c>
      <c r="D66" s="381">
        <v>41746.089999999997</v>
      </c>
      <c r="E66" s="381">
        <v>9908.5400000000009</v>
      </c>
      <c r="F66" s="381">
        <v>51654.63</v>
      </c>
    </row>
    <row r="67" spans="1:6">
      <c r="B67" t="s">
        <v>980</v>
      </c>
      <c r="C67" t="s">
        <v>1480</v>
      </c>
      <c r="D67" s="381">
        <v>16.68</v>
      </c>
      <c r="E67" s="381">
        <v>0.36</v>
      </c>
      <c r="F67" s="381">
        <v>17.04</v>
      </c>
    </row>
    <row r="68" spans="1:6">
      <c r="B68" t="s">
        <v>997</v>
      </c>
      <c r="C68" t="s">
        <v>1566</v>
      </c>
      <c r="D68" s="381">
        <v>4000.84</v>
      </c>
      <c r="E68" s="381">
        <v>257.52</v>
      </c>
      <c r="F68" s="381">
        <v>4258.3600000000006</v>
      </c>
    </row>
    <row r="69" spans="1:6">
      <c r="B69" t="s">
        <v>1003</v>
      </c>
      <c r="C69" t="s">
        <v>1566</v>
      </c>
      <c r="D69" s="381">
        <v>1615.17</v>
      </c>
      <c r="E69" s="381">
        <v>15846.210000000001</v>
      </c>
      <c r="F69" s="381">
        <v>17461.38</v>
      </c>
    </row>
    <row r="70" spans="1:6">
      <c r="B70" t="s">
        <v>1004</v>
      </c>
      <c r="C70" t="s">
        <v>1566</v>
      </c>
      <c r="D70" s="381">
        <v>78790.39</v>
      </c>
      <c r="E70" s="381">
        <v>2155</v>
      </c>
      <c r="F70" s="381">
        <v>80945.39</v>
      </c>
    </row>
    <row r="71" spans="1:6">
      <c r="B71" t="s">
        <v>1006</v>
      </c>
      <c r="C71" t="s">
        <v>1566</v>
      </c>
      <c r="D71" s="381">
        <v>7887.17</v>
      </c>
      <c r="E71" s="381">
        <v>255.33999999999997</v>
      </c>
      <c r="F71" s="381">
        <v>8142.51</v>
      </c>
    </row>
    <row r="72" spans="1:6">
      <c r="B72" t="s">
        <v>1015</v>
      </c>
      <c r="C72" t="s">
        <v>1566</v>
      </c>
      <c r="D72" s="381">
        <v>2752.1499999999996</v>
      </c>
      <c r="E72" s="381">
        <v>-711.9</v>
      </c>
      <c r="F72" s="381">
        <v>2040.2499999999995</v>
      </c>
    </row>
    <row r="73" spans="1:6">
      <c r="A73" t="s">
        <v>1026</v>
      </c>
      <c r="D73" s="381">
        <v>1213775.5399999993</v>
      </c>
      <c r="E73" s="381">
        <v>154958.68</v>
      </c>
      <c r="F73" s="381">
        <v>1368734.2199999995</v>
      </c>
    </row>
    <row r="74" spans="1:6">
      <c r="A74" t="s">
        <v>1027</v>
      </c>
      <c r="B74" t="s">
        <v>1028</v>
      </c>
      <c r="C74" t="s">
        <v>1135</v>
      </c>
      <c r="D74" s="381">
        <v>9971</v>
      </c>
      <c r="E74" s="381">
        <v>47775.95</v>
      </c>
      <c r="F74" s="381">
        <v>57746.95</v>
      </c>
    </row>
    <row r="75" spans="1:6">
      <c r="B75" t="s">
        <v>1034</v>
      </c>
      <c r="C75" t="s">
        <v>1566</v>
      </c>
      <c r="D75" s="381">
        <v>3845.17</v>
      </c>
      <c r="E75" s="381">
        <v>112365.77</v>
      </c>
      <c r="F75" s="381">
        <v>116210.94</v>
      </c>
    </row>
    <row r="76" spans="1:6">
      <c r="A76" t="s">
        <v>1036</v>
      </c>
      <c r="D76" s="381">
        <v>13816.17</v>
      </c>
      <c r="E76" s="381">
        <v>160141.72</v>
      </c>
      <c r="F76" s="381">
        <v>173957.89</v>
      </c>
    </row>
    <row r="77" spans="1:6">
      <c r="A77" t="s">
        <v>1037</v>
      </c>
      <c r="B77" t="s">
        <v>1038</v>
      </c>
      <c r="C77" t="s">
        <v>1135</v>
      </c>
      <c r="D77" s="381">
        <v>2757.0000000000005</v>
      </c>
      <c r="E77" s="381">
        <v>12806.16</v>
      </c>
      <c r="F77" s="381">
        <v>15563.16</v>
      </c>
    </row>
    <row r="78" spans="1:6">
      <c r="B78" t="s">
        <v>1047</v>
      </c>
      <c r="C78" t="s">
        <v>1566</v>
      </c>
      <c r="D78" s="381">
        <v>-461738.23</v>
      </c>
      <c r="E78" s="381">
        <v>34825.450000000004</v>
      </c>
      <c r="F78" s="381">
        <v>-426912.77999999997</v>
      </c>
    </row>
    <row r="79" spans="1:6">
      <c r="A79" t="s">
        <v>1051</v>
      </c>
      <c r="D79" s="381">
        <v>-458981.23</v>
      </c>
      <c r="E79" s="381">
        <v>47631.61</v>
      </c>
      <c r="F79" s="381">
        <v>-411349.62</v>
      </c>
    </row>
    <row r="80" spans="1:6">
      <c r="A80" t="s">
        <v>1052</v>
      </c>
      <c r="D80" s="381">
        <v>50777403.262830794</v>
      </c>
      <c r="E80" s="381">
        <v>2260283.6700000009</v>
      </c>
      <c r="F80" s="381">
        <v>53037686.932830788</v>
      </c>
    </row>
  </sheetData>
  <conditionalFormatting sqref="A1:A1048576">
    <cfRule type="duplicateValues" dxfId="177" priority="2"/>
  </conditionalFormatting>
  <conditionalFormatting sqref="B1:B1048576">
    <cfRule type="duplicateValues" dxfId="17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15EC-007B-4D35-A532-9915C8326AFC}">
  <sheetPr codeName="Sheet1"/>
  <dimension ref="A1:E15"/>
  <sheetViews>
    <sheetView workbookViewId="0">
      <selection activeCell="C27" sqref="C27"/>
    </sheetView>
  </sheetViews>
  <sheetFormatPr defaultRowHeight="14.45"/>
  <cols>
    <col min="1" max="1" width="23.42578125" bestFit="1" customWidth="1"/>
    <col min="2" max="2" width="19.85546875" bestFit="1" customWidth="1"/>
    <col min="3" max="3" width="14.85546875" style="321" bestFit="1" customWidth="1"/>
    <col min="4" max="4" width="23.85546875" style="321" bestFit="1" customWidth="1"/>
    <col min="5" max="5" width="35.42578125" style="321" bestFit="1" customWidth="1"/>
  </cols>
  <sheetData>
    <row r="1" spans="1:5">
      <c r="A1" t="s">
        <v>1073</v>
      </c>
      <c r="B1" t="s">
        <v>2954</v>
      </c>
    </row>
    <row r="3" spans="1:5">
      <c r="A3" t="s">
        <v>2955</v>
      </c>
      <c r="B3" t="s">
        <v>2956</v>
      </c>
      <c r="C3" s="321" t="s">
        <v>4</v>
      </c>
      <c r="D3" s="321" t="s">
        <v>20</v>
      </c>
      <c r="E3" s="321" t="s">
        <v>21</v>
      </c>
    </row>
    <row r="4" spans="1:5">
      <c r="A4" s="320" t="s">
        <v>22</v>
      </c>
      <c r="C4" s="321">
        <v>45933465.299999997</v>
      </c>
      <c r="D4" s="321">
        <v>41037710.779584818</v>
      </c>
      <c r="E4" s="321">
        <v>-4895754.5204151813</v>
      </c>
    </row>
    <row r="5" spans="1:5">
      <c r="A5" s="320" t="s">
        <v>49</v>
      </c>
      <c r="B5">
        <v>0</v>
      </c>
      <c r="C5" s="321">
        <v>18381664.609998003</v>
      </c>
      <c r="D5" s="321">
        <v>13516512.650000002</v>
      </c>
      <c r="E5" s="321">
        <v>-4865151.9599980023</v>
      </c>
    </row>
    <row r="6" spans="1:5">
      <c r="A6" s="320" t="s">
        <v>333</v>
      </c>
      <c r="C6" s="321">
        <v>35158317.159999996</v>
      </c>
      <c r="D6" s="321">
        <v>34953532.923111111</v>
      </c>
      <c r="E6" s="321">
        <v>-204784.23688889109</v>
      </c>
    </row>
    <row r="7" spans="1:5">
      <c r="A7" s="320" t="s">
        <v>342</v>
      </c>
      <c r="B7">
        <v>0</v>
      </c>
      <c r="C7" s="321">
        <v>28884</v>
      </c>
      <c r="D7" s="321">
        <v>36005.589999999997</v>
      </c>
      <c r="E7" s="321">
        <v>7121.5900000000565</v>
      </c>
    </row>
    <row r="8" spans="1:5">
      <c r="A8" s="320" t="s">
        <v>389</v>
      </c>
      <c r="B8">
        <v>0</v>
      </c>
      <c r="C8" s="321">
        <v>13238120.299996</v>
      </c>
      <c r="D8" s="321">
        <v>14263012.750000002</v>
      </c>
      <c r="E8" s="321">
        <v>1024892.4500039999</v>
      </c>
    </row>
    <row r="9" spans="1:5">
      <c r="A9" s="320" t="s">
        <v>602</v>
      </c>
      <c r="B9">
        <v>0</v>
      </c>
      <c r="C9" s="321">
        <v>80000</v>
      </c>
      <c r="D9" s="321">
        <v>-6334831.54</v>
      </c>
      <c r="E9" s="321">
        <v>-6414831.54</v>
      </c>
    </row>
    <row r="10" spans="1:5">
      <c r="A10" s="320" t="s">
        <v>625</v>
      </c>
      <c r="C10" s="321">
        <v>0</v>
      </c>
      <c r="D10" s="321">
        <v>23.71</v>
      </c>
      <c r="E10" s="321">
        <v>23.71</v>
      </c>
    </row>
    <row r="11" spans="1:5">
      <c r="A11" s="320" t="s">
        <v>629</v>
      </c>
      <c r="C11" s="321">
        <v>17000</v>
      </c>
      <c r="D11" s="321">
        <v>25401.85</v>
      </c>
      <c r="E11" s="321">
        <v>8401.85</v>
      </c>
    </row>
    <row r="12" spans="1:5">
      <c r="A12" s="320" t="s">
        <v>639</v>
      </c>
      <c r="B12">
        <v>0</v>
      </c>
      <c r="C12" s="321">
        <v>30471473.679991994</v>
      </c>
      <c r="D12" s="321">
        <v>29600857.599996995</v>
      </c>
      <c r="E12" s="321">
        <v>-870616.07999499864</v>
      </c>
    </row>
    <row r="13" spans="1:5">
      <c r="A13" s="320" t="s">
        <v>1027</v>
      </c>
      <c r="C13" s="321">
        <v>258200</v>
      </c>
      <c r="D13" s="321">
        <v>217800.28999999998</v>
      </c>
      <c r="E13" s="321">
        <v>-40399.710000000006</v>
      </c>
    </row>
    <row r="14" spans="1:5">
      <c r="A14" s="320" t="s">
        <v>1037</v>
      </c>
      <c r="C14" s="321">
        <v>285714.29000400001</v>
      </c>
      <c r="D14" s="321">
        <v>-199457.832497</v>
      </c>
      <c r="E14" s="321">
        <v>-485172.12250100001</v>
      </c>
    </row>
    <row r="15" spans="1:5">
      <c r="A15" s="320" t="s">
        <v>1052</v>
      </c>
      <c r="B15">
        <v>0</v>
      </c>
      <c r="C15" s="321">
        <v>143852839.33998999</v>
      </c>
      <c r="D15" s="321">
        <v>127116568.77019592</v>
      </c>
      <c r="E15" s="321">
        <v>-16736270.569794076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65F7-96AF-4E4F-BDEF-3C292BADB988}">
  <sheetPr codeName="Sheet2">
    <pageSetUpPr fitToPage="1"/>
  </sheetPr>
  <dimension ref="A1:BU649"/>
  <sheetViews>
    <sheetView zoomScale="70" zoomScaleNormal="70" workbookViewId="0">
      <selection activeCell="AK19" sqref="AK19"/>
    </sheetView>
  </sheetViews>
  <sheetFormatPr defaultColWidth="8.85546875" defaultRowHeight="14.45" outlineLevelCol="2"/>
  <cols>
    <col min="1" max="1" width="10.5703125" bestFit="1" customWidth="1"/>
    <col min="2" max="2" width="60.42578125" bestFit="1" customWidth="1" outlineLevel="1"/>
    <col min="3" max="3" width="9.5703125" bestFit="1" customWidth="1" outlineLevel="1"/>
    <col min="4" max="4" width="16.140625" bestFit="1" customWidth="1"/>
    <col min="5" max="5" width="20.5703125" bestFit="1" customWidth="1" collapsed="1"/>
    <col min="6" max="6" width="18.140625" bestFit="1" customWidth="1"/>
    <col min="7" max="7" width="23.85546875" style="1" bestFit="1" customWidth="1"/>
    <col min="8" max="8" width="161.42578125" style="318" bestFit="1" customWidth="1"/>
    <col min="9" max="9" width="11.85546875" style="10" bestFit="1" customWidth="1"/>
    <col min="10" max="10" width="9.140625" bestFit="1" customWidth="1"/>
    <col min="11" max="11" width="31" bestFit="1" customWidth="1"/>
    <col min="12" max="12" width="16.140625" bestFit="1" customWidth="1"/>
    <col min="13" max="13" width="17.85546875" bestFit="1" customWidth="1"/>
    <col min="14" max="14" width="60.5703125" bestFit="1" customWidth="1"/>
    <col min="15" max="15" width="49.140625" bestFit="1" customWidth="1"/>
    <col min="16" max="16" width="171.85546875" bestFit="1" customWidth="1"/>
    <col min="17" max="17" width="17.42578125" hidden="1" customWidth="1"/>
    <col min="18" max="18" width="18.42578125" bestFit="1" customWidth="1"/>
    <col min="19" max="19" width="22.5703125" bestFit="1" customWidth="1"/>
    <col min="20" max="20" width="22.5703125" hidden="1" customWidth="1"/>
    <col min="21" max="21" width="14.85546875" hidden="1" customWidth="1"/>
    <col min="22" max="22" width="17.85546875" bestFit="1" customWidth="1" outlineLevel="2"/>
    <col min="23" max="23" width="12.5703125" bestFit="1" customWidth="1" outlineLevel="2"/>
    <col min="24" max="33" width="15.5703125" customWidth="1" outlineLevel="2"/>
    <col min="34" max="34" width="16.140625" bestFit="1" customWidth="1"/>
    <col min="35" max="35" width="22.5703125" bestFit="1" customWidth="1"/>
    <col min="36" max="36" width="13" bestFit="1" customWidth="1" outlineLevel="1"/>
    <col min="37" max="37" width="14.42578125" bestFit="1" customWidth="1" outlineLevel="1"/>
    <col min="38" max="38" width="27.85546875" bestFit="1" customWidth="1"/>
    <col min="39" max="39" width="12.85546875" style="1" hidden="1" customWidth="1"/>
    <col min="40" max="40" width="18.140625" hidden="1" customWidth="1"/>
    <col min="41" max="41" width="97.140625" style="4" hidden="1" customWidth="1"/>
    <col min="42" max="54" width="15.5703125" style="4" customWidth="1"/>
    <col min="55" max="55" width="20" hidden="1" customWidth="1" outlineLevel="1"/>
    <col min="56" max="66" width="13.85546875" hidden="1" customWidth="1" outlineLevel="1"/>
    <col min="67" max="67" width="14.85546875" hidden="1" customWidth="1" collapsed="1"/>
  </cols>
  <sheetData>
    <row r="1" spans="1:73">
      <c r="B1" s="1"/>
      <c r="C1" s="1"/>
      <c r="D1" s="1"/>
      <c r="E1" s="1"/>
      <c r="F1" s="1"/>
      <c r="H1" s="2"/>
      <c r="I1" s="1"/>
      <c r="J1" s="1"/>
      <c r="K1" s="1"/>
      <c r="L1" s="1"/>
      <c r="M1" s="1"/>
      <c r="N1" s="3"/>
      <c r="O1" s="3"/>
      <c r="P1" s="4"/>
      <c r="Y1" s="1"/>
      <c r="Z1" s="1"/>
      <c r="AA1" s="1"/>
      <c r="AB1" s="1"/>
      <c r="AC1" s="1"/>
      <c r="AD1" s="1"/>
      <c r="AE1" s="1"/>
      <c r="AF1" s="1"/>
      <c r="AG1" s="1"/>
    </row>
    <row r="2" spans="1:73" s="5" customFormat="1">
      <c r="B2" s="6"/>
      <c r="C2" s="6"/>
      <c r="D2" s="6"/>
      <c r="E2" s="6"/>
      <c r="F2" s="1"/>
      <c r="G2" s="6"/>
      <c r="H2" s="7"/>
      <c r="I2" s="6"/>
      <c r="J2" s="6"/>
      <c r="K2" s="6"/>
      <c r="L2" s="6"/>
      <c r="M2" s="6"/>
      <c r="N2" s="8"/>
      <c r="O2" s="8"/>
      <c r="P2" s="6"/>
      <c r="R2" s="5">
        <f>R3-AH3</f>
        <v>16736270.569794059</v>
      </c>
      <c r="Y2" s="6"/>
      <c r="Z2" s="6"/>
      <c r="AA2" s="6"/>
      <c r="AB2" s="6"/>
      <c r="AC2" s="6"/>
      <c r="AD2" s="6"/>
      <c r="AE2" s="6"/>
      <c r="AF2" s="6"/>
      <c r="AG2" s="6"/>
      <c r="AM2" s="6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73">
      <c r="A3" s="10"/>
      <c r="B3" s="1"/>
      <c r="C3" s="1"/>
      <c r="D3" s="1"/>
      <c r="E3" s="1"/>
      <c r="F3" s="1"/>
      <c r="H3" s="2"/>
      <c r="I3" s="1"/>
      <c r="J3" s="1"/>
      <c r="K3" s="1"/>
      <c r="L3" s="1"/>
      <c r="M3" s="1"/>
      <c r="N3" s="3"/>
      <c r="O3" s="3"/>
      <c r="P3" s="4"/>
      <c r="Q3" s="11">
        <f>R3-554586-35645</f>
        <v>143262608.33998999</v>
      </c>
      <c r="R3" s="11">
        <f>SUBTOTAL(9,ERP_34[2026 LE0])</f>
        <v>143852839.33998999</v>
      </c>
      <c r="S3" s="12">
        <f>SUBTOTAL(9,ERP_34[LE2 Final Submission])</f>
        <v>127116568.77019593</v>
      </c>
      <c r="T3" s="12">
        <f>SUBTOTAL(9,ERP_34[LE3 Final Submission])</f>
        <v>143396179.33998999</v>
      </c>
      <c r="U3" s="12">
        <f>SUBTOTAL(9,ERP_34[LE4 Final Submission])</f>
        <v>-16368610.569794068</v>
      </c>
      <c r="V3" s="12">
        <f>SUBTOTAL(9,ERP_34[AP01])</f>
        <v>23394262.160000004</v>
      </c>
      <c r="W3" s="12">
        <f>SUBTOTAL(9,ERP_34[AP02])</f>
        <v>-766426.91999998398</v>
      </c>
      <c r="X3" s="12">
        <f>SUBTOTAL(9,ERP_34[AP03])</f>
        <v>10624250.360000005</v>
      </c>
      <c r="Y3" s="12">
        <f>SUBTOTAL(9,ERP_34[AP04])</f>
        <v>11720157.104166668</v>
      </c>
      <c r="Z3" s="12">
        <f>SUBTOTAL(9,ERP_34[AP05])</f>
        <v>10504563.49658175</v>
      </c>
      <c r="AA3" s="12">
        <f>SUBTOTAL(9,ERP_34[AP06])</f>
        <v>11778451.418234417</v>
      </c>
      <c r="AB3" s="12">
        <f>SUBTOTAL(9,ERP_34[AP07])</f>
        <v>8765081.0693794787</v>
      </c>
      <c r="AC3" s="12">
        <f>SUBTOTAL(9,ERP_34[AP08])</f>
        <v>13268735.826577831</v>
      </c>
      <c r="AD3" s="12">
        <f>SUBTOTAL(9,ERP_34[AP09])</f>
        <v>9757694.0498836599</v>
      </c>
      <c r="AE3" s="12">
        <f>SUBTOTAL(9,ERP_34[AP10])</f>
        <v>7868848.1380638266</v>
      </c>
      <c r="AF3" s="12">
        <f>SUBTOTAL(9,ERP_34[AP11])</f>
        <v>10799280.18781383</v>
      </c>
      <c r="AG3" s="12">
        <f>SUBTOTAL(9,ERP_34[AP12])</f>
        <v>9401671.879494492</v>
      </c>
      <c r="AH3" s="12">
        <f>SUBTOTAL(9,ERP_34[2026 Working Total])</f>
        <v>127116568.77019593</v>
      </c>
      <c r="AI3" s="13">
        <f>SUBTOTAL(9,ERP_34[2026 Working Total to Budget/LE])</f>
        <v>-16736270.569794063</v>
      </c>
      <c r="AJ3" s="12">
        <f>SUBTOTAL(9,ERP_34[Latest AP Snapshot])</f>
        <v>0</v>
      </c>
      <c r="AK3" s="12">
        <f>SUBTOTAL(9,ERP_34[Latest AP Variance to Snapshot])</f>
        <v>0</v>
      </c>
      <c r="AL3" s="12">
        <f>SUBTOTAL(9,ERP_34[YTD Act to Bud/LE])</f>
        <v>-1.5125149223360612E-10</v>
      </c>
      <c r="AM3" s="14">
        <f>SUBTOTAL(9,ERP_34[Giveback])</f>
        <v>1115265</v>
      </c>
      <c r="AN3" s="12">
        <f>SUBTOTAL(9,ERP_34[Other Allocation])</f>
        <v>-17940535.569794063</v>
      </c>
      <c r="AO3" s="14"/>
      <c r="AP3" s="14">
        <f>SUBTOTAL(9,ERP_34[AP01 LE2])</f>
        <v>23394262.160000004</v>
      </c>
      <c r="AQ3" s="14">
        <f>SUBTOTAL(9,ERP_34[AP02 LE2])</f>
        <v>-766426.91999998398</v>
      </c>
      <c r="AR3" s="14">
        <f>SUBTOTAL(9,ERP_34[AP03 LE2])</f>
        <v>10624250.360000005</v>
      </c>
      <c r="AS3" s="14">
        <f>SUBTOTAL(9,ERP_34[AP04 LE2])</f>
        <v>11720157.104166668</v>
      </c>
      <c r="AT3" s="14">
        <f>SUBTOTAL(9,ERP_34[AP05 LE2])</f>
        <v>10504563.49658175</v>
      </c>
      <c r="AU3" s="14">
        <f>SUBTOTAL(9,ERP_34[AP06 LE2])</f>
        <v>11778451.418234417</v>
      </c>
      <c r="AV3" s="14">
        <f>SUBTOTAL(9,ERP_34[AP07 LE2])</f>
        <v>8765081.0693794787</v>
      </c>
      <c r="AW3" s="14">
        <f>SUBTOTAL(9,ERP_34[AP08 LE2])</f>
        <v>13268735.826577831</v>
      </c>
      <c r="AX3" s="14">
        <f>SUBTOTAL(9,ERP_34[AP09 LE2])</f>
        <v>9757694.0498836599</v>
      </c>
      <c r="AY3" s="14">
        <f>SUBTOTAL(9,ERP_34[AP10 LE2])</f>
        <v>7868848.1380638266</v>
      </c>
      <c r="AZ3" s="14">
        <f>SUBTOTAL(9,ERP_34[AP11 LE2])</f>
        <v>10799280.18781383</v>
      </c>
      <c r="BA3" s="14">
        <f>SUBTOTAL(9,ERP_34[AP12 LE2])</f>
        <v>9401671.879494492</v>
      </c>
      <c r="BB3" s="14">
        <f>SUBTOTAL(9,ERP_34[2026 LE2 Working Total])</f>
        <v>127116568.77019593</v>
      </c>
      <c r="BC3" s="12">
        <f>SUBTOTAL(9,ERP_34[2026 AP01])</f>
        <v>23567752.933333009</v>
      </c>
      <c r="BD3" s="12">
        <f>SUBTOTAL(9,ERP_34[2026 AP02])</f>
        <v>-355739.15666698571</v>
      </c>
      <c r="BE3" s="12">
        <f>SUBTOTAL(9,ERP_34[2026 AP03])</f>
        <v>11418986.783333013</v>
      </c>
      <c r="BF3" s="12">
        <f>SUBTOTAL(9,ERP_34[2026 AP04])</f>
        <v>12341162.823166003</v>
      </c>
      <c r="BG3" s="12">
        <f>SUBTOTAL(9,ERP_34[2026 AP05])</f>
        <v>12420207.713166002</v>
      </c>
      <c r="BH3" s="12">
        <f>SUBTOTAL(9,ERP_34[2026 AP06])</f>
        <v>13447114.253166007</v>
      </c>
      <c r="BI3" s="12">
        <f>SUBTOTAL(9,ERP_34[2026 AP07])</f>
        <v>12251484.013166001</v>
      </c>
      <c r="BJ3" s="12">
        <f>SUBTOTAL(9,ERP_34[2026 AP08])</f>
        <v>12298739.823166002</v>
      </c>
      <c r="BK3" s="12">
        <f>SUBTOTAL(9,ERP_34[2026 AP09])</f>
        <v>12666138.213166002</v>
      </c>
      <c r="BL3" s="12">
        <f>SUBTOTAL(9,ERP_34[2026 AP10])</f>
        <v>12314418.343166003</v>
      </c>
      <c r="BM3" s="12">
        <f>SUBTOTAL(9,ERP_34[2026 AP11])</f>
        <v>11523451.103166005</v>
      </c>
      <c r="BN3" s="12">
        <f>SUBTOTAL(9,ERP_34[2026 AP12])</f>
        <v>11426085.893166</v>
      </c>
      <c r="BO3" s="12">
        <f>SUBTOTAL(9,ERP_34[2026 LE0 Submission])</f>
        <v>145319802.738493</v>
      </c>
      <c r="BU3" s="15"/>
    </row>
    <row r="4" spans="1:73">
      <c r="B4" s="1"/>
      <c r="C4" s="1"/>
      <c r="D4" s="1"/>
      <c r="E4" s="1"/>
      <c r="F4" s="1"/>
      <c r="H4" s="16"/>
      <c r="I4" s="4"/>
      <c r="J4" s="1"/>
      <c r="K4" s="1"/>
      <c r="L4" s="1"/>
      <c r="M4" s="1"/>
      <c r="N4" s="3"/>
      <c r="O4" s="3"/>
      <c r="P4" s="4"/>
      <c r="Y4" s="17"/>
      <c r="Z4" s="1"/>
      <c r="AA4" s="1"/>
      <c r="AB4" s="1"/>
      <c r="AC4" s="1"/>
      <c r="AD4" s="1"/>
      <c r="AE4" s="1"/>
      <c r="AF4" s="1"/>
      <c r="AG4" s="1"/>
      <c r="BU4" s="15"/>
    </row>
    <row r="5" spans="1:73" s="10" customFormat="1">
      <c r="B5" s="18"/>
      <c r="C5" s="18"/>
      <c r="D5" s="18"/>
      <c r="E5" s="18"/>
      <c r="F5" s="18"/>
      <c r="G5" s="18"/>
      <c r="H5" s="19"/>
      <c r="I5" s="18"/>
      <c r="J5" s="18"/>
      <c r="K5" s="20" t="s">
        <v>310</v>
      </c>
      <c r="L5" s="18"/>
      <c r="M5" s="18"/>
      <c r="N5" s="21"/>
      <c r="O5" s="18"/>
      <c r="P5" s="22"/>
      <c r="Q5" s="23" t="s">
        <v>1053</v>
      </c>
      <c r="R5" s="24" t="s">
        <v>1054</v>
      </c>
      <c r="S5" s="24"/>
      <c r="T5" s="24"/>
      <c r="U5" s="24"/>
      <c r="V5" s="25" t="s">
        <v>1055</v>
      </c>
      <c r="W5" s="26"/>
      <c r="X5" s="26"/>
      <c r="Y5" s="27"/>
      <c r="Z5" s="27"/>
      <c r="AA5" s="27"/>
      <c r="AB5" s="27"/>
      <c r="AC5" s="27"/>
      <c r="AD5" s="27"/>
      <c r="AE5" s="27"/>
      <c r="AF5" s="27"/>
      <c r="AG5" s="27"/>
      <c r="AH5" s="26"/>
      <c r="AI5" s="28"/>
      <c r="AK5" s="29"/>
      <c r="AL5" s="30" t="s">
        <v>1056</v>
      </c>
      <c r="AM5" s="31"/>
      <c r="AN5" s="29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3" t="s">
        <v>1054</v>
      </c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34"/>
      <c r="BU5" s="35"/>
    </row>
    <row r="6" spans="1:73" s="47" customFormat="1">
      <c r="A6" s="36"/>
      <c r="B6" s="37"/>
      <c r="C6" s="37"/>
      <c r="D6" s="37"/>
      <c r="E6" s="37"/>
      <c r="F6" s="1"/>
      <c r="G6" s="37"/>
      <c r="H6" s="38"/>
      <c r="I6" s="37"/>
      <c r="J6" s="37"/>
      <c r="K6" s="37"/>
      <c r="L6" s="37"/>
      <c r="M6" s="37"/>
      <c r="N6" s="37"/>
      <c r="O6" s="37"/>
      <c r="P6" s="39"/>
      <c r="Q6" s="40"/>
      <c r="R6" s="40" t="s">
        <v>1058</v>
      </c>
      <c r="S6" s="41">
        <v>518</v>
      </c>
      <c r="T6" s="41">
        <v>223</v>
      </c>
      <c r="U6" s="41" t="s">
        <v>2957</v>
      </c>
      <c r="V6" s="42" t="s">
        <v>1059</v>
      </c>
      <c r="W6" s="42" t="s">
        <v>1059</v>
      </c>
      <c r="X6" s="42" t="s">
        <v>1059</v>
      </c>
      <c r="Y6" s="43" t="s">
        <v>1060</v>
      </c>
      <c r="Z6" s="43" t="s">
        <v>1060</v>
      </c>
      <c r="AA6" s="43" t="s">
        <v>1060</v>
      </c>
      <c r="AB6" s="43" t="s">
        <v>1060</v>
      </c>
      <c r="AC6" s="43" t="s">
        <v>1060</v>
      </c>
      <c r="AD6" s="43" t="s">
        <v>1060</v>
      </c>
      <c r="AE6" s="43" t="s">
        <v>1060</v>
      </c>
      <c r="AF6" s="43" t="s">
        <v>1060</v>
      </c>
      <c r="AG6" s="43" t="s">
        <v>1060</v>
      </c>
      <c r="AH6" s="40"/>
      <c r="AI6" s="40"/>
      <c r="AJ6" s="40" t="s">
        <v>1090</v>
      </c>
      <c r="AK6" s="40"/>
      <c r="AL6" s="40"/>
      <c r="AM6" s="44" t="s">
        <v>1063</v>
      </c>
      <c r="AN6" s="45" t="s">
        <v>1064</v>
      </c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2" t="s">
        <v>2958</v>
      </c>
      <c r="BD6" s="42" t="s">
        <v>2958</v>
      </c>
      <c r="BE6" s="42" t="s">
        <v>2958</v>
      </c>
      <c r="BF6" s="42" t="s">
        <v>2958</v>
      </c>
      <c r="BG6" s="42" t="s">
        <v>2958</v>
      </c>
      <c r="BH6" s="42" t="s">
        <v>2958</v>
      </c>
      <c r="BI6" s="42" t="s">
        <v>2958</v>
      </c>
      <c r="BJ6" s="42" t="s">
        <v>2958</v>
      </c>
      <c r="BK6" s="42" t="s">
        <v>2958</v>
      </c>
      <c r="BL6" s="42" t="s">
        <v>2958</v>
      </c>
      <c r="BM6" s="42" t="s">
        <v>2958</v>
      </c>
      <c r="BN6" s="42" t="s">
        <v>2958</v>
      </c>
      <c r="BO6" s="42" t="s">
        <v>2958</v>
      </c>
      <c r="BU6" s="48"/>
    </row>
    <row r="7" spans="1:73" ht="35.1" thickBot="1">
      <c r="A7" s="49" t="s">
        <v>1067</v>
      </c>
      <c r="B7" s="49" t="s">
        <v>1</v>
      </c>
      <c r="C7" s="50" t="s">
        <v>1072</v>
      </c>
      <c r="D7" s="49" t="s">
        <v>1073</v>
      </c>
      <c r="E7" s="51" t="s">
        <v>1074</v>
      </c>
      <c r="F7" s="49" t="s">
        <v>1075</v>
      </c>
      <c r="G7" s="52" t="s">
        <v>0</v>
      </c>
      <c r="H7" s="53" t="s">
        <v>1076</v>
      </c>
      <c r="I7" s="49" t="s">
        <v>1077</v>
      </c>
      <c r="J7" s="51" t="s">
        <v>1078</v>
      </c>
      <c r="K7" s="49" t="s">
        <v>2</v>
      </c>
      <c r="L7" s="49" t="s">
        <v>1079</v>
      </c>
      <c r="M7" s="54" t="s">
        <v>1080</v>
      </c>
      <c r="N7" s="54" t="s">
        <v>1081</v>
      </c>
      <c r="O7" s="54" t="s">
        <v>3</v>
      </c>
      <c r="P7" s="54" t="s">
        <v>1082</v>
      </c>
      <c r="Q7" s="54" t="s">
        <v>1083</v>
      </c>
      <c r="R7" s="55" t="s">
        <v>1084</v>
      </c>
      <c r="S7" s="55" t="s">
        <v>1085</v>
      </c>
      <c r="T7" s="56" t="s">
        <v>1086</v>
      </c>
      <c r="U7" s="56" t="s">
        <v>1087</v>
      </c>
      <c r="V7" s="57" t="s">
        <v>1088</v>
      </c>
      <c r="W7" s="49" t="s">
        <v>1089</v>
      </c>
      <c r="X7" s="49" t="s">
        <v>1090</v>
      </c>
      <c r="Y7" s="58" t="s">
        <v>1091</v>
      </c>
      <c r="Z7" s="59" t="s">
        <v>1092</v>
      </c>
      <c r="AA7" s="59" t="s">
        <v>1093</v>
      </c>
      <c r="AB7" s="58" t="s">
        <v>1061</v>
      </c>
      <c r="AC7" s="59" t="s">
        <v>1094</v>
      </c>
      <c r="AD7" s="59" t="s">
        <v>1095</v>
      </c>
      <c r="AE7" s="58" t="s">
        <v>1096</v>
      </c>
      <c r="AF7" s="59" t="s">
        <v>1097</v>
      </c>
      <c r="AG7" s="60" t="s">
        <v>1098</v>
      </c>
      <c r="AH7" s="61" t="s">
        <v>1099</v>
      </c>
      <c r="AI7" s="62" t="s">
        <v>1100</v>
      </c>
      <c r="AJ7" s="63" t="s">
        <v>1101</v>
      </c>
      <c r="AK7" s="63" t="s">
        <v>1102</v>
      </c>
      <c r="AL7" s="63" t="s">
        <v>1103</v>
      </c>
      <c r="AM7" s="64" t="s">
        <v>1104</v>
      </c>
      <c r="AN7" s="63" t="s">
        <v>1105</v>
      </c>
      <c r="AO7" s="64" t="s">
        <v>1106</v>
      </c>
      <c r="AP7" s="54" t="s">
        <v>1107</v>
      </c>
      <c r="AQ7" s="54" t="s">
        <v>1108</v>
      </c>
      <c r="AR7" s="54" t="s">
        <v>1109</v>
      </c>
      <c r="AS7" s="54" t="s">
        <v>1110</v>
      </c>
      <c r="AT7" s="54" t="s">
        <v>1111</v>
      </c>
      <c r="AU7" s="54" t="s">
        <v>1112</v>
      </c>
      <c r="AV7" s="54" t="s">
        <v>1113</v>
      </c>
      <c r="AW7" s="54" t="s">
        <v>1114</v>
      </c>
      <c r="AX7" s="54" t="s">
        <v>1115</v>
      </c>
      <c r="AY7" s="54" t="s">
        <v>1116</v>
      </c>
      <c r="AZ7" s="54" t="s">
        <v>1117</v>
      </c>
      <c r="BA7" s="54" t="s">
        <v>1118</v>
      </c>
      <c r="BB7" s="54" t="s">
        <v>1119</v>
      </c>
      <c r="BC7" s="65" t="s">
        <v>1120</v>
      </c>
      <c r="BD7" s="65" t="s">
        <v>1121</v>
      </c>
      <c r="BE7" s="65" t="s">
        <v>1122</v>
      </c>
      <c r="BF7" s="65" t="s">
        <v>1123</v>
      </c>
      <c r="BG7" s="65" t="s">
        <v>1124</v>
      </c>
      <c r="BH7" s="65" t="s">
        <v>1125</v>
      </c>
      <c r="BI7" s="65" t="s">
        <v>1126</v>
      </c>
      <c r="BJ7" s="65" t="s">
        <v>1127</v>
      </c>
      <c r="BK7" s="65" t="s">
        <v>1128</v>
      </c>
      <c r="BL7" s="65" t="s">
        <v>1129</v>
      </c>
      <c r="BM7" s="65" t="s">
        <v>1130</v>
      </c>
      <c r="BN7" s="65" t="s">
        <v>1131</v>
      </c>
      <c r="BO7" s="65" t="s">
        <v>1132</v>
      </c>
    </row>
    <row r="8" spans="1:73">
      <c r="A8" s="66" t="s">
        <v>2208</v>
      </c>
      <c r="B8" s="66" t="str">
        <f>_xlfn.TEXTJOIN("_",,ERP_34[[#This Row],[LT Member -1*]],ERP_34[[#This Row],[Expense Category]],ERP_34[[#This Row],[Project Code*]])</f>
        <v>Dougherty, Chris_SOFTWARE_2026-XFR-0007-A</v>
      </c>
      <c r="C8" s="67" t="s">
        <v>1136</v>
      </c>
      <c r="D8" s="67" t="s">
        <v>1135</v>
      </c>
      <c r="E8" s="67" t="s">
        <v>1135</v>
      </c>
      <c r="F8" s="67" t="s">
        <v>1137</v>
      </c>
      <c r="G8" s="68" t="s">
        <v>639</v>
      </c>
      <c r="H8" s="69" t="s">
        <v>2209</v>
      </c>
      <c r="I8" s="70"/>
      <c r="J8" s="70"/>
      <c r="K8" s="70" t="s">
        <v>642</v>
      </c>
      <c r="L8" s="70"/>
      <c r="M8" s="70"/>
      <c r="N8" s="70"/>
      <c r="O8" s="67" t="s">
        <v>152</v>
      </c>
      <c r="P8" s="67"/>
      <c r="Q8" s="71"/>
      <c r="R8" s="72">
        <v>103465.00000000001</v>
      </c>
      <c r="S8" s="73">
        <v>77598.720000000001</v>
      </c>
      <c r="T8" s="73">
        <v>103465.00000000001</v>
      </c>
      <c r="U8" s="71">
        <f>ERP_34[[#This Row],[LE2 Final Submission]]-ERP_34[[#This Row],[LE3 Final Submission]]</f>
        <v>-25866.280000000013</v>
      </c>
      <c r="V8" s="74"/>
      <c r="W8" s="75"/>
      <c r="X8" s="75"/>
      <c r="Y8" s="76">
        <v>8622.08</v>
      </c>
      <c r="Z8" s="76">
        <v>8622.08</v>
      </c>
      <c r="AA8" s="76">
        <v>8622.08</v>
      </c>
      <c r="AB8" s="76">
        <v>8622.08</v>
      </c>
      <c r="AC8" s="76">
        <v>8622.08</v>
      </c>
      <c r="AD8" s="76">
        <v>8622.08</v>
      </c>
      <c r="AE8" s="76">
        <v>8622.08</v>
      </c>
      <c r="AF8" s="76">
        <v>8622.08</v>
      </c>
      <c r="AG8" s="76">
        <v>8622.08</v>
      </c>
      <c r="AH8" s="77">
        <f>SUM(V8:AG8)</f>
        <v>77598.720000000001</v>
      </c>
      <c r="AI8" s="78">
        <f>ERP_34[[#This Row],[2026 Working Total]]-ERP_34[[#This Row],[2026 LE0]]</f>
        <v>-25866.280000000013</v>
      </c>
      <c r="AJ8" s="79"/>
      <c r="AK8" s="79"/>
      <c r="AL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" s="80"/>
      <c r="AN8" s="79">
        <f>ERP_34[[#This Row],[2026 Working Total to Budget/LE]]-ERP_34[[#This Row],[Giveback]]</f>
        <v>-25866.280000000013</v>
      </c>
      <c r="AO8" s="81"/>
      <c r="AP8" s="81"/>
      <c r="AQ8" s="81"/>
      <c r="AR8" s="81"/>
      <c r="AS8" s="81">
        <v>8622.08</v>
      </c>
      <c r="AT8" s="81">
        <v>8622.08</v>
      </c>
      <c r="AU8" s="81">
        <v>8622.08</v>
      </c>
      <c r="AV8" s="81">
        <v>8622.08</v>
      </c>
      <c r="AW8" s="81">
        <v>8622.08</v>
      </c>
      <c r="AX8" s="81">
        <v>8622.08</v>
      </c>
      <c r="AY8" s="81">
        <v>8622.08</v>
      </c>
      <c r="AZ8" s="81">
        <v>8622.08</v>
      </c>
      <c r="BA8" s="81">
        <v>8622.08</v>
      </c>
      <c r="BB8" s="81">
        <v>77598.720000000001</v>
      </c>
      <c r="BC8" s="79"/>
      <c r="BD8" s="79"/>
      <c r="BE8" s="79"/>
      <c r="BF8" s="79">
        <v>8622.08</v>
      </c>
      <c r="BG8" s="79">
        <v>8622.08</v>
      </c>
      <c r="BH8" s="79">
        <v>8622.08</v>
      </c>
      <c r="BI8" s="79">
        <v>8622.08</v>
      </c>
      <c r="BJ8" s="79">
        <v>8622.08</v>
      </c>
      <c r="BK8" s="79">
        <v>8622.08</v>
      </c>
      <c r="BL8" s="79">
        <v>8622.08</v>
      </c>
      <c r="BM8" s="79">
        <v>8622.08</v>
      </c>
      <c r="BN8" s="79">
        <v>8622.08</v>
      </c>
      <c r="BO8" s="79">
        <v>77598.720000000001</v>
      </c>
    </row>
    <row r="9" spans="1:73">
      <c r="A9" s="82" t="s">
        <v>1751</v>
      </c>
      <c r="B9" s="83" t="str">
        <f>_xlfn.TEXTJOIN("_",,ERP_34[[#This Row],[LT Member -1*]],ERP_34[[#This Row],[Expense Category]],ERP_34[[#This Row],[Project Code*]])</f>
        <v>Tamavada, Ram_MANAGED SERVICES_2026-XFR-0008-B</v>
      </c>
      <c r="C9" s="67" t="s">
        <v>2959</v>
      </c>
      <c r="D9" s="84" t="s">
        <v>1135</v>
      </c>
      <c r="E9" s="85" t="s">
        <v>1165</v>
      </c>
      <c r="F9" s="86" t="s">
        <v>1137</v>
      </c>
      <c r="G9" s="85" t="s">
        <v>389</v>
      </c>
      <c r="H9" s="87" t="s">
        <v>1753</v>
      </c>
      <c r="I9" s="84"/>
      <c r="J9" s="84"/>
      <c r="K9" s="88" t="s">
        <v>391</v>
      </c>
      <c r="L9" s="89"/>
      <c r="M9" s="90"/>
      <c r="N9" s="90" t="s">
        <v>2960</v>
      </c>
      <c r="O9" s="91" t="s">
        <v>152</v>
      </c>
      <c r="P9" s="92" t="s">
        <v>1754</v>
      </c>
      <c r="Q9" s="93"/>
      <c r="R9" s="94">
        <v>183105</v>
      </c>
      <c r="S9" s="95">
        <v>0</v>
      </c>
      <c r="T9" s="96">
        <v>183105</v>
      </c>
      <c r="U9" s="97">
        <f>ERP_34[[#This Row],[LE2 Final Submission]]-ERP_34[[#This Row],[LE3 Final Submission]]</f>
        <v>-183105</v>
      </c>
      <c r="V9" s="98"/>
      <c r="W9" s="99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1">
        <f>SUM(V9:AG9)</f>
        <v>0</v>
      </c>
      <c r="AI9" s="102">
        <f>ERP_34[[#This Row],[2026 Working Total]]-ERP_34[[#This Row],[2026 LE0]]</f>
        <v>-183105</v>
      </c>
      <c r="AJ9" s="79"/>
      <c r="AK9" s="79"/>
      <c r="AL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" s="80">
        <v>-183105</v>
      </c>
      <c r="AN9" s="79">
        <f>ERP_34[[#This Row],[2026 Working Total to Budget/LE]]-ERP_34[[#This Row],[Giveback]]</f>
        <v>0</v>
      </c>
      <c r="AO9" s="81" t="s">
        <v>1755</v>
      </c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>
        <v>0</v>
      </c>
      <c r="BC9" s="103">
        <v>15258.75</v>
      </c>
      <c r="BD9" s="103">
        <v>15258.75</v>
      </c>
      <c r="BE9" s="103">
        <v>15258.75</v>
      </c>
      <c r="BF9" s="103">
        <v>15258.75</v>
      </c>
      <c r="BG9" s="103">
        <v>15258.75</v>
      </c>
      <c r="BH9" s="103">
        <v>15258.75</v>
      </c>
      <c r="BI9" s="103">
        <v>15258.75</v>
      </c>
      <c r="BJ9" s="103">
        <v>15258.75</v>
      </c>
      <c r="BK9" s="103">
        <v>15258.75</v>
      </c>
      <c r="BL9" s="103">
        <v>15258.75</v>
      </c>
      <c r="BM9" s="103">
        <v>15258.75</v>
      </c>
      <c r="BN9" s="103">
        <v>15258.75</v>
      </c>
      <c r="BO9" s="82">
        <f>SUM(ERP_34[[#This Row],[2026 AP01]:[2026 AP12]])</f>
        <v>183105</v>
      </c>
    </row>
    <row r="10" spans="1:73">
      <c r="A10" s="66" t="s">
        <v>2210</v>
      </c>
      <c r="B10" s="66" t="str">
        <f>_xlfn.TEXTJOIN("_",,ERP_34[[#This Row],[LT Member -1*]],ERP_34[[#This Row],[Expense Category]],ERP_34[[#This Row],[Project Code*]])</f>
        <v>Dougherty, Chris_SOFTWARE_2026-XFR-0013-A</v>
      </c>
      <c r="C10" s="67" t="s">
        <v>1136</v>
      </c>
      <c r="D10" s="67" t="s">
        <v>1135</v>
      </c>
      <c r="E10" s="67" t="s">
        <v>1135</v>
      </c>
      <c r="F10" s="67" t="s">
        <v>1137</v>
      </c>
      <c r="G10" s="68" t="s">
        <v>639</v>
      </c>
      <c r="H10" s="69" t="s">
        <v>2211</v>
      </c>
      <c r="I10" s="70"/>
      <c r="J10" s="70"/>
      <c r="K10" s="70" t="s">
        <v>644</v>
      </c>
      <c r="L10" s="70"/>
      <c r="M10" s="70"/>
      <c r="N10" s="70"/>
      <c r="O10" s="67" t="s">
        <v>152</v>
      </c>
      <c r="P10" s="67" t="s">
        <v>2212</v>
      </c>
      <c r="Q10" s="71"/>
      <c r="R10" s="72">
        <v>204127.99999999994</v>
      </c>
      <c r="S10" s="73">
        <v>204128</v>
      </c>
      <c r="T10" s="73">
        <v>204127.99999999994</v>
      </c>
      <c r="U10" s="71">
        <f>ERP_34[[#This Row],[LE2 Final Submission]]-ERP_34[[#This Row],[LE3 Final Submission]]</f>
        <v>0</v>
      </c>
      <c r="V10" s="74"/>
      <c r="W10" s="75"/>
      <c r="X10" s="75"/>
      <c r="Y10" s="76">
        <f>17010.67-17010.67</f>
        <v>0</v>
      </c>
      <c r="Z10" s="76">
        <f t="shared" ref="Z10:AG10" si="0">17010.67-17010.67</f>
        <v>0</v>
      </c>
      <c r="AA10" s="76">
        <f t="shared" si="0"/>
        <v>0</v>
      </c>
      <c r="AB10" s="76">
        <f t="shared" si="0"/>
        <v>0</v>
      </c>
      <c r="AC10" s="76">
        <f t="shared" si="0"/>
        <v>0</v>
      </c>
      <c r="AD10" s="76">
        <f t="shared" si="0"/>
        <v>0</v>
      </c>
      <c r="AE10" s="76">
        <f>17010.67-17010.67+204128</f>
        <v>204128</v>
      </c>
      <c r="AF10" s="76">
        <f t="shared" si="0"/>
        <v>0</v>
      </c>
      <c r="AG10" s="76">
        <f t="shared" si="0"/>
        <v>0</v>
      </c>
      <c r="AH10" s="104">
        <f>SUM(V10:AG10)</f>
        <v>204128</v>
      </c>
      <c r="AI10" s="105">
        <f>ERP_34[[#This Row],[2026 Working Total]]-ERP_34[[#This Row],[2026 LE0]]</f>
        <v>0</v>
      </c>
      <c r="AJ10" s="79"/>
      <c r="AK10" s="79"/>
      <c r="AL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" s="80"/>
      <c r="AN10" s="79">
        <f>ERP_34[[#This Row],[2026 Working Total to Budget/LE]]-ERP_34[[#This Row],[Giveback]]</f>
        <v>0</v>
      </c>
      <c r="AO10" s="81"/>
      <c r="AP10" s="81"/>
      <c r="AQ10" s="81"/>
      <c r="AR10" s="81"/>
      <c r="AS10" s="81">
        <v>0</v>
      </c>
      <c r="AT10" s="81">
        <v>0</v>
      </c>
      <c r="AU10" s="81">
        <v>0</v>
      </c>
      <c r="AV10" s="81">
        <v>0</v>
      </c>
      <c r="AW10" s="81">
        <v>0</v>
      </c>
      <c r="AX10" s="81">
        <v>0</v>
      </c>
      <c r="AY10" s="81">
        <v>204128</v>
      </c>
      <c r="AZ10" s="81">
        <v>0</v>
      </c>
      <c r="BA10" s="81">
        <v>0</v>
      </c>
      <c r="BB10" s="81">
        <v>204128</v>
      </c>
      <c r="BC10" s="79"/>
      <c r="BD10" s="79"/>
      <c r="BE10" s="79"/>
      <c r="BF10" s="79">
        <v>17010.669999999998</v>
      </c>
      <c r="BG10" s="79">
        <v>17010.669999999998</v>
      </c>
      <c r="BH10" s="79">
        <v>17010.669999999998</v>
      </c>
      <c r="BI10" s="79">
        <v>17010.669999999998</v>
      </c>
      <c r="BJ10" s="79">
        <v>17010.669999999998</v>
      </c>
      <c r="BK10" s="79">
        <v>17010.669999999998</v>
      </c>
      <c r="BL10" s="79">
        <v>17010.669999999998</v>
      </c>
      <c r="BM10" s="79">
        <v>17010.669999999998</v>
      </c>
      <c r="BN10" s="79">
        <v>17010.669999999998</v>
      </c>
      <c r="BO10" s="79">
        <v>153096.02999999997</v>
      </c>
    </row>
    <row r="11" spans="1:73">
      <c r="A11" s="66" t="s">
        <v>1989</v>
      </c>
      <c r="B11" s="66" t="str">
        <f>_xlfn.TEXTJOIN("_",,ERP_34[[#This Row],[LT Member -1*]],ERP_34[[#This Row],[Expense Category]],ERP_34[[#This Row],[Project Code*]])</f>
        <v>Yeluri, Durga_MANAGED SERVICES_2026-XFR-0014-A</v>
      </c>
      <c r="C11" s="67" t="s">
        <v>1136</v>
      </c>
      <c r="D11" s="67" t="s">
        <v>1345</v>
      </c>
      <c r="E11" s="67" t="s">
        <v>1437</v>
      </c>
      <c r="F11" s="67" t="s">
        <v>1346</v>
      </c>
      <c r="G11" s="68" t="s">
        <v>389</v>
      </c>
      <c r="H11" s="106" t="s">
        <v>1991</v>
      </c>
      <c r="I11" s="70"/>
      <c r="J11" s="70"/>
      <c r="K11" s="70" t="s">
        <v>516</v>
      </c>
      <c r="L11" s="70"/>
      <c r="M11" s="70"/>
      <c r="N11" s="70"/>
      <c r="O11" s="67" t="s">
        <v>152</v>
      </c>
      <c r="P11" s="67" t="s">
        <v>1992</v>
      </c>
      <c r="Q11" s="71"/>
      <c r="R11" s="72">
        <v>86119.999999999985</v>
      </c>
      <c r="S11" s="73"/>
      <c r="T11" s="73">
        <v>86119.999999999985</v>
      </c>
      <c r="U11" s="71">
        <f>ERP_34[[#This Row],[LE2 Final Submission]]-ERP_34[[#This Row],[LE3 Final Submission]]</f>
        <v>-86119.999999999985</v>
      </c>
      <c r="V11" s="74"/>
      <c r="W11" s="75"/>
      <c r="X11" s="75"/>
      <c r="Y11" s="76"/>
      <c r="Z11" s="76"/>
      <c r="AA11" s="76"/>
      <c r="AB11" s="76"/>
      <c r="AC11" s="76"/>
      <c r="AD11" s="76"/>
      <c r="AE11" s="76"/>
      <c r="AF11" s="76"/>
      <c r="AG11" s="76"/>
      <c r="AH11" s="77"/>
      <c r="AI11" s="107">
        <f>ERP_34[[#This Row],[2026 Working Total]]-ERP_34[[#This Row],[2026 LE0]]</f>
        <v>-86119.999999999985</v>
      </c>
      <c r="AJ11" s="79"/>
      <c r="AK11" s="79"/>
      <c r="AL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" s="80"/>
      <c r="AN11" s="79">
        <f>ERP_34[[#This Row],[2026 Working Total to Budget/LE]]-ERP_34[[#This Row],[Giveback]]</f>
        <v>-86119.999999999985</v>
      </c>
      <c r="AO11" s="81" t="s">
        <v>1993</v>
      </c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79"/>
      <c r="BD11" s="79"/>
      <c r="BE11" s="79"/>
      <c r="BF11" s="79">
        <v>8612</v>
      </c>
      <c r="BG11" s="79">
        <v>8612</v>
      </c>
      <c r="BH11" s="79">
        <v>8612</v>
      </c>
      <c r="BI11" s="79">
        <v>8612</v>
      </c>
      <c r="BJ11" s="79">
        <v>8612</v>
      </c>
      <c r="BK11" s="79">
        <v>8612</v>
      </c>
      <c r="BL11" s="79">
        <v>8612</v>
      </c>
      <c r="BM11" s="79">
        <v>8612</v>
      </c>
      <c r="BN11" s="79">
        <v>8612</v>
      </c>
      <c r="BO11" s="79">
        <v>77508</v>
      </c>
    </row>
    <row r="12" spans="1:73">
      <c r="A12" s="66" t="s">
        <v>2652</v>
      </c>
      <c r="B12" s="66" t="str">
        <f>_xlfn.TEXTJOIN("_",,ERP_34[[#This Row],[LT Member -1*]],ERP_34[[#This Row],[Expense Category]],ERP_34[[#This Row],[Project Code*]])</f>
        <v>Yeluri, Durga_SOFTWARE_2026-XFR-0014-B</v>
      </c>
      <c r="C12" s="67" t="s">
        <v>1136</v>
      </c>
      <c r="D12" s="67" t="s">
        <v>1345</v>
      </c>
      <c r="E12" s="67" t="s">
        <v>1437</v>
      </c>
      <c r="F12" s="67" t="s">
        <v>1346</v>
      </c>
      <c r="G12" s="68" t="s">
        <v>639</v>
      </c>
      <c r="H12" s="106" t="s">
        <v>2654</v>
      </c>
      <c r="I12" s="70"/>
      <c r="J12" s="70"/>
      <c r="K12" s="70" t="s">
        <v>933</v>
      </c>
      <c r="L12" s="70"/>
      <c r="M12" s="70"/>
      <c r="N12" s="70"/>
      <c r="O12" s="67" t="s">
        <v>152</v>
      </c>
      <c r="P12" s="67" t="s">
        <v>1992</v>
      </c>
      <c r="Q12" s="71"/>
      <c r="R12" s="72">
        <v>39999.960000000014</v>
      </c>
      <c r="S12" s="73">
        <v>0</v>
      </c>
      <c r="T12" s="73">
        <v>39999.960000000014</v>
      </c>
      <c r="U12" s="71">
        <f>ERP_34[[#This Row],[LE2 Final Submission]]-ERP_34[[#This Row],[LE3 Final Submission]]</f>
        <v>-39999.960000000014</v>
      </c>
      <c r="V12" s="74"/>
      <c r="W12" s="75"/>
      <c r="X12" s="75"/>
      <c r="Y12" s="76"/>
      <c r="Z12" s="76"/>
      <c r="AA12" s="76"/>
      <c r="AB12" s="76"/>
      <c r="AC12" s="76"/>
      <c r="AD12" s="76"/>
      <c r="AE12" s="76"/>
      <c r="AF12" s="76"/>
      <c r="AG12" s="76"/>
      <c r="AH12" s="77">
        <f t="shared" ref="AH12:AH75" si="1">SUM(V12:AG12)</f>
        <v>0</v>
      </c>
      <c r="AI12" s="107">
        <f>ERP_34[[#This Row],[2026 Working Total]]-ERP_34[[#This Row],[2026 LE0]]</f>
        <v>-39999.960000000014</v>
      </c>
      <c r="AJ12" s="79"/>
      <c r="AK12" s="79"/>
      <c r="AL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" s="80"/>
      <c r="AN12" s="82">
        <f>ERP_34[[#This Row],[2026 Working Total to Budget/LE]]-ERP_34[[#This Row],[Giveback]]</f>
        <v>-39999.960000000014</v>
      </c>
      <c r="AO12" s="81" t="s">
        <v>2655</v>
      </c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>
        <v>0</v>
      </c>
      <c r="BC12" s="79"/>
      <c r="BD12" s="79"/>
      <c r="BE12" s="79"/>
      <c r="BF12" s="79">
        <v>4000</v>
      </c>
      <c r="BG12" s="79">
        <v>4000</v>
      </c>
      <c r="BH12" s="79">
        <v>4000</v>
      </c>
      <c r="BI12" s="79">
        <v>4000</v>
      </c>
      <c r="BJ12" s="79">
        <v>4000</v>
      </c>
      <c r="BK12" s="79">
        <v>4000</v>
      </c>
      <c r="BL12" s="79">
        <v>4000</v>
      </c>
      <c r="BM12" s="79">
        <v>4000</v>
      </c>
      <c r="BN12" s="79">
        <v>4000</v>
      </c>
      <c r="BO12" s="79">
        <v>36000</v>
      </c>
    </row>
    <row r="13" spans="1:73">
      <c r="A13" s="66" t="s">
        <v>2656</v>
      </c>
      <c r="B13" s="66" t="str">
        <f>_xlfn.TEXTJOIN("_",,ERP_34[[#This Row],[LT Member -1*]],ERP_34[[#This Row],[Expense Category]],ERP_34[[#This Row],[Project Code*]])</f>
        <v>Hase, Raj_SOFTWARE_2026-XFR-0015-A</v>
      </c>
      <c r="C13" s="67" t="s">
        <v>1136</v>
      </c>
      <c r="D13" s="67" t="s">
        <v>1345</v>
      </c>
      <c r="E13" s="67" t="s">
        <v>1345</v>
      </c>
      <c r="F13" s="67" t="s">
        <v>1346</v>
      </c>
      <c r="G13" s="68" t="s">
        <v>639</v>
      </c>
      <c r="H13" s="106" t="s">
        <v>2657</v>
      </c>
      <c r="I13" s="70"/>
      <c r="J13" s="70"/>
      <c r="K13" s="70" t="s">
        <v>935</v>
      </c>
      <c r="L13" s="70"/>
      <c r="M13" s="70"/>
      <c r="N13" s="70"/>
      <c r="O13" s="67" t="s">
        <v>152</v>
      </c>
      <c r="P13" s="67" t="s">
        <v>2658</v>
      </c>
      <c r="Q13" s="71"/>
      <c r="R13" s="72">
        <v>0</v>
      </c>
      <c r="S13" s="73">
        <v>0</v>
      </c>
      <c r="T13" s="73">
        <v>0</v>
      </c>
      <c r="U13" s="71">
        <f>ERP_34[[#This Row],[LE2 Final Submission]]-ERP_34[[#This Row],[LE3 Final Submission]]</f>
        <v>0</v>
      </c>
      <c r="V13" s="74"/>
      <c r="W13" s="75"/>
      <c r="X13" s="75"/>
      <c r="Y13" s="76">
        <v>0</v>
      </c>
      <c r="Z13" s="76">
        <v>0</v>
      </c>
      <c r="AA13" s="76">
        <v>0</v>
      </c>
      <c r="AB13" s="76">
        <v>0</v>
      </c>
      <c r="AC13" s="76">
        <v>81120</v>
      </c>
      <c r="AD13" s="76">
        <v>-81120</v>
      </c>
      <c r="AE13" s="76">
        <v>0</v>
      </c>
      <c r="AF13" s="76">
        <v>0</v>
      </c>
      <c r="AG13" s="76">
        <v>0</v>
      </c>
      <c r="AH13" s="77">
        <f t="shared" si="1"/>
        <v>0</v>
      </c>
      <c r="AI13" s="108">
        <f>ERP_34[[#This Row],[2026 Working Total]]-ERP_34[[#This Row],[2026 LE0]]</f>
        <v>0</v>
      </c>
      <c r="AJ13" s="79"/>
      <c r="AK13" s="79"/>
      <c r="AL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" s="80"/>
      <c r="AN13" s="79">
        <f>ERP_34[[#This Row],[2026 Working Total to Budget/LE]]-ERP_34[[#This Row],[Giveback]]</f>
        <v>0</v>
      </c>
      <c r="AO13" s="81"/>
      <c r="AP13" s="81"/>
      <c r="AQ13" s="81"/>
      <c r="AR13" s="81"/>
      <c r="AS13" s="81">
        <v>0</v>
      </c>
      <c r="AT13" s="81">
        <v>0</v>
      </c>
      <c r="AU13" s="81">
        <v>0</v>
      </c>
      <c r="AV13" s="81">
        <v>0</v>
      </c>
      <c r="AW13" s="81">
        <v>81120</v>
      </c>
      <c r="AX13" s="81">
        <v>-81120</v>
      </c>
      <c r="AY13" s="81">
        <v>0</v>
      </c>
      <c r="AZ13" s="81">
        <v>0</v>
      </c>
      <c r="BA13" s="81">
        <v>0</v>
      </c>
      <c r="BB13" s="81">
        <v>0</v>
      </c>
      <c r="BC13" s="79"/>
      <c r="BD13" s="79"/>
      <c r="BE13" s="79"/>
      <c r="BF13" s="79">
        <v>3235.5</v>
      </c>
      <c r="BG13" s="79">
        <v>3235.5</v>
      </c>
      <c r="BH13" s="79">
        <v>3235.5</v>
      </c>
      <c r="BI13" s="79">
        <v>3235.5</v>
      </c>
      <c r="BJ13" s="79">
        <v>3235.5</v>
      </c>
      <c r="BK13" s="79">
        <v>3235.5</v>
      </c>
      <c r="BL13" s="79">
        <v>3235.5</v>
      </c>
      <c r="BM13" s="79">
        <v>3235.5</v>
      </c>
      <c r="BN13" s="79">
        <v>-35590.5</v>
      </c>
      <c r="BO13" s="79">
        <v>-9706.5</v>
      </c>
    </row>
    <row r="14" spans="1:73">
      <c r="A14" s="66" t="s">
        <v>2213</v>
      </c>
      <c r="B14" s="66" t="str">
        <f>_xlfn.TEXTJOIN("_",,ERP_34[[#This Row],[LT Member -1*]],ERP_34[[#This Row],[Expense Category]],ERP_34[[#This Row],[Project Code*]])</f>
        <v>Dougherty, Chris_SOFTWARE_2026-XFR-0017-A</v>
      </c>
      <c r="C14" s="67" t="s">
        <v>1136</v>
      </c>
      <c r="D14" s="67" t="s">
        <v>1135</v>
      </c>
      <c r="E14" s="67" t="s">
        <v>1135</v>
      </c>
      <c r="F14" s="67" t="s">
        <v>1137</v>
      </c>
      <c r="G14" s="68" t="s">
        <v>639</v>
      </c>
      <c r="H14" s="106" t="s">
        <v>2214</v>
      </c>
      <c r="I14" s="70"/>
      <c r="J14" s="70"/>
      <c r="K14" s="70" t="s">
        <v>646</v>
      </c>
      <c r="L14" s="70"/>
      <c r="M14" s="70"/>
      <c r="N14" s="70"/>
      <c r="O14" s="67" t="s">
        <v>152</v>
      </c>
      <c r="P14" s="67"/>
      <c r="Q14" s="71"/>
      <c r="R14" s="72">
        <v>0</v>
      </c>
      <c r="S14" s="73">
        <v>650000</v>
      </c>
      <c r="T14" s="73">
        <v>0</v>
      </c>
      <c r="U14" s="71">
        <f>ERP_34[[#This Row],[LE2 Final Submission]]-ERP_34[[#This Row],[LE3 Final Submission]]</f>
        <v>650000</v>
      </c>
      <c r="V14" s="74"/>
      <c r="W14" s="75"/>
      <c r="X14" s="75"/>
      <c r="Y14" s="76"/>
      <c r="Z14" s="76"/>
      <c r="AA14" s="76">
        <v>650000</v>
      </c>
      <c r="AB14" s="109">
        <v>0</v>
      </c>
      <c r="AC14" s="109">
        <v>0</v>
      </c>
      <c r="AD14" s="109">
        <v>0</v>
      </c>
      <c r="AE14" s="109">
        <v>0</v>
      </c>
      <c r="AF14" s="109">
        <v>0</v>
      </c>
      <c r="AG14" s="109">
        <v>0</v>
      </c>
      <c r="AH14" s="77">
        <f t="shared" si="1"/>
        <v>650000</v>
      </c>
      <c r="AI14" s="108">
        <f>ERP_34[[#This Row],[2026 Working Total]]-ERP_34[[#This Row],[2026 LE0]]</f>
        <v>650000</v>
      </c>
      <c r="AJ14" s="79"/>
      <c r="AK14" s="79"/>
      <c r="AL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" s="80"/>
      <c r="AN14" s="79">
        <f>ERP_34[[#This Row],[2026 Working Total to Budget/LE]]-ERP_34[[#This Row],[Giveback]]</f>
        <v>650000</v>
      </c>
      <c r="AO14" s="81" t="s">
        <v>2216</v>
      </c>
      <c r="AP14" s="81"/>
      <c r="AQ14" s="81"/>
      <c r="AR14" s="81"/>
      <c r="AS14" s="81"/>
      <c r="AT14" s="81"/>
      <c r="AU14" s="81">
        <v>650000</v>
      </c>
      <c r="AV14" s="81">
        <v>0</v>
      </c>
      <c r="AW14" s="81">
        <v>0</v>
      </c>
      <c r="AX14" s="81">
        <v>0</v>
      </c>
      <c r="AY14" s="81">
        <v>0</v>
      </c>
      <c r="AZ14" s="81">
        <v>0</v>
      </c>
      <c r="BA14" s="81">
        <v>0</v>
      </c>
      <c r="BB14" s="81">
        <v>650000</v>
      </c>
      <c r="BC14" s="79"/>
      <c r="BD14" s="79"/>
      <c r="BE14" s="79"/>
      <c r="BF14" s="79"/>
      <c r="BG14" s="79"/>
      <c r="BH14" s="79">
        <v>650000</v>
      </c>
      <c r="BI14" s="79">
        <v>0</v>
      </c>
      <c r="BJ14" s="79">
        <v>0</v>
      </c>
      <c r="BK14" s="79">
        <v>0</v>
      </c>
      <c r="BL14" s="79">
        <v>0</v>
      </c>
      <c r="BM14" s="79">
        <v>0</v>
      </c>
      <c r="BN14" s="79">
        <v>0</v>
      </c>
      <c r="BO14" s="79">
        <v>650000</v>
      </c>
    </row>
    <row r="15" spans="1:73">
      <c r="A15" s="82" t="s">
        <v>2705</v>
      </c>
      <c r="B15" s="83" t="str">
        <f>_xlfn.TEXTJOIN("_",,ERP_34[[#This Row],[LT Member -1*]],ERP_34[[#This Row],[Expense Category]],ERP_34[[#This Row],[Project Code*]])</f>
        <v>Hovanyetz, Mike_SOFTWARE_2026-XFR-0017-A</v>
      </c>
      <c r="C15" s="67" t="s">
        <v>2959</v>
      </c>
      <c r="D15" s="84" t="s">
        <v>1345</v>
      </c>
      <c r="E15" s="85" t="s">
        <v>1480</v>
      </c>
      <c r="F15" s="68" t="s">
        <v>1346</v>
      </c>
      <c r="G15" s="85" t="s">
        <v>639</v>
      </c>
      <c r="H15" s="110" t="s">
        <v>2214</v>
      </c>
      <c r="I15" s="67"/>
      <c r="J15" s="67"/>
      <c r="K15" s="91" t="s">
        <v>646</v>
      </c>
      <c r="L15" s="111"/>
      <c r="M15" s="70"/>
      <c r="N15" s="90" t="s">
        <v>2960</v>
      </c>
      <c r="O15" s="91" t="s">
        <v>152</v>
      </c>
      <c r="P15" s="92" t="s">
        <v>2706</v>
      </c>
      <c r="Q15" s="93"/>
      <c r="R15" s="94">
        <v>650000</v>
      </c>
      <c r="S15" s="95">
        <v>0</v>
      </c>
      <c r="T15" s="112">
        <v>650000</v>
      </c>
      <c r="U15" s="113">
        <f>ERP_34[[#This Row],[LE2 Final Submission]]-ERP_34[[#This Row],[LE3 Final Submission]]</f>
        <v>-650000</v>
      </c>
      <c r="V15" s="98"/>
      <c r="W15" s="99"/>
      <c r="X15" s="99"/>
      <c r="Y15" s="100">
        <v>0</v>
      </c>
      <c r="Z15" s="100">
        <v>0</v>
      </c>
      <c r="AA15" s="100">
        <f>650000-650000</f>
        <v>0</v>
      </c>
      <c r="AB15" s="100">
        <v>0</v>
      </c>
      <c r="AC15" s="100">
        <v>0</v>
      </c>
      <c r="AD15" s="100">
        <v>0</v>
      </c>
      <c r="AE15" s="100">
        <v>0</v>
      </c>
      <c r="AF15" s="100">
        <v>0</v>
      </c>
      <c r="AG15" s="100">
        <v>0</v>
      </c>
      <c r="AH15" s="101">
        <f t="shared" si="1"/>
        <v>0</v>
      </c>
      <c r="AI15" s="108">
        <f>ERP_34[[#This Row],[2026 Working Total]]-ERP_34[[#This Row],[2026 LE0]]</f>
        <v>-650000</v>
      </c>
      <c r="AJ15" s="79"/>
      <c r="AK15" s="79"/>
      <c r="AL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" s="80"/>
      <c r="AN15" s="82">
        <f>ERP_34[[#This Row],[2026 Working Total to Budget/LE]]-ERP_34[[#This Row],[Giveback]]</f>
        <v>-650000</v>
      </c>
      <c r="AO15" s="81" t="s">
        <v>2216</v>
      </c>
      <c r="AP15" s="81"/>
      <c r="AQ15" s="81"/>
      <c r="AR15" s="81"/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103">
        <v>0</v>
      </c>
      <c r="BD15" s="103">
        <v>0</v>
      </c>
      <c r="BE15" s="103">
        <v>0</v>
      </c>
      <c r="BF15" s="103">
        <v>0</v>
      </c>
      <c r="BG15" s="103">
        <v>0</v>
      </c>
      <c r="BH15" s="103">
        <v>650000</v>
      </c>
      <c r="BI15" s="103">
        <v>0</v>
      </c>
      <c r="BJ15" s="103">
        <v>0</v>
      </c>
      <c r="BK15" s="103">
        <v>0</v>
      </c>
      <c r="BL15" s="103">
        <v>0</v>
      </c>
      <c r="BM15" s="103">
        <v>0</v>
      </c>
      <c r="BN15" s="103">
        <v>0</v>
      </c>
      <c r="BO15" s="82">
        <f>SUM(ERP_34[[#This Row],[2026 AP01]:[2026 AP12]])</f>
        <v>650000</v>
      </c>
    </row>
    <row r="16" spans="1:73">
      <c r="A16" s="66" t="s">
        <v>2217</v>
      </c>
      <c r="B16" s="66" t="str">
        <f>_xlfn.TEXTJOIN("_",,ERP_34[[#This Row],[LT Member -1*]],ERP_34[[#This Row],[Expense Category]],ERP_34[[#This Row],[Project Code*]])</f>
        <v>Dougherty, Chris_SOFTWARE_2026-XFR-0017-B</v>
      </c>
      <c r="C16" s="67" t="s">
        <v>1136</v>
      </c>
      <c r="D16" s="67" t="s">
        <v>1135</v>
      </c>
      <c r="E16" s="67" t="s">
        <v>1135</v>
      </c>
      <c r="F16" s="67" t="s">
        <v>1137</v>
      </c>
      <c r="G16" s="68" t="s">
        <v>639</v>
      </c>
      <c r="H16" s="106" t="s">
        <v>2218</v>
      </c>
      <c r="I16" s="70"/>
      <c r="J16" s="70"/>
      <c r="K16" s="70" t="s">
        <v>648</v>
      </c>
      <c r="L16" s="70"/>
      <c r="M16" s="70"/>
      <c r="N16" s="70"/>
      <c r="O16" s="67" t="s">
        <v>152</v>
      </c>
      <c r="P16" s="67"/>
      <c r="Q16" s="71"/>
      <c r="R16" s="72">
        <v>0</v>
      </c>
      <c r="S16" s="73">
        <v>300000</v>
      </c>
      <c r="T16" s="73">
        <v>0</v>
      </c>
      <c r="U16" s="71">
        <f>ERP_34[[#This Row],[LE2 Final Submission]]-ERP_34[[#This Row],[LE3 Final Submission]]</f>
        <v>300000</v>
      </c>
      <c r="V16" s="74"/>
      <c r="W16" s="75"/>
      <c r="X16" s="75"/>
      <c r="Y16" s="76"/>
      <c r="Z16" s="76"/>
      <c r="AA16" s="76">
        <v>300000</v>
      </c>
      <c r="AB16" s="109">
        <v>0</v>
      </c>
      <c r="AC16" s="109">
        <v>0</v>
      </c>
      <c r="AD16" s="109">
        <v>0</v>
      </c>
      <c r="AE16" s="109">
        <v>0</v>
      </c>
      <c r="AF16" s="109">
        <v>0</v>
      </c>
      <c r="AG16" s="109">
        <v>0</v>
      </c>
      <c r="AH16" s="77">
        <f t="shared" si="1"/>
        <v>300000</v>
      </c>
      <c r="AI16" s="108">
        <f>ERP_34[[#This Row],[2026 Working Total]]-ERP_34[[#This Row],[2026 LE0]]</f>
        <v>300000</v>
      </c>
      <c r="AJ16" s="79"/>
      <c r="AK16" s="79"/>
      <c r="AL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" s="80"/>
      <c r="AN16" s="79">
        <f>ERP_34[[#This Row],[2026 Working Total to Budget/LE]]-ERP_34[[#This Row],[Giveback]]</f>
        <v>300000</v>
      </c>
      <c r="AO16" s="81" t="s">
        <v>2216</v>
      </c>
      <c r="AP16" s="81"/>
      <c r="AQ16" s="81"/>
      <c r="AR16" s="81"/>
      <c r="AS16" s="81"/>
      <c r="AT16" s="81"/>
      <c r="AU16" s="81">
        <v>300000</v>
      </c>
      <c r="AV16" s="81">
        <v>0</v>
      </c>
      <c r="AW16" s="81">
        <v>0</v>
      </c>
      <c r="AX16" s="81">
        <v>0</v>
      </c>
      <c r="AY16" s="81">
        <v>0</v>
      </c>
      <c r="AZ16" s="81">
        <v>0</v>
      </c>
      <c r="BA16" s="81">
        <v>0</v>
      </c>
      <c r="BB16" s="81">
        <v>300000</v>
      </c>
      <c r="BC16" s="79"/>
      <c r="BD16" s="79"/>
      <c r="BE16" s="79"/>
      <c r="BF16" s="79"/>
      <c r="BG16" s="79"/>
      <c r="BH16" s="79">
        <v>300000</v>
      </c>
      <c r="BI16" s="79">
        <v>0</v>
      </c>
      <c r="BJ16" s="79">
        <v>0</v>
      </c>
      <c r="BK16" s="79">
        <v>0</v>
      </c>
      <c r="BL16" s="79">
        <v>0</v>
      </c>
      <c r="BM16" s="79">
        <v>0</v>
      </c>
      <c r="BN16" s="79">
        <v>0</v>
      </c>
      <c r="BO16" s="79">
        <v>300000</v>
      </c>
    </row>
    <row r="17" spans="1:67">
      <c r="A17" s="82" t="s">
        <v>2707</v>
      </c>
      <c r="B17" s="83" t="str">
        <f>_xlfn.TEXTJOIN("_",,ERP_34[[#This Row],[LT Member -1*]],ERP_34[[#This Row],[Expense Category]],ERP_34[[#This Row],[Project Code*]])</f>
        <v>Hovanyetz, Mike_SOFTWARE_2026-XFR-0017-B</v>
      </c>
      <c r="C17" s="67" t="s">
        <v>2959</v>
      </c>
      <c r="D17" s="84" t="s">
        <v>1345</v>
      </c>
      <c r="E17" s="85" t="s">
        <v>1480</v>
      </c>
      <c r="F17" s="68" t="s">
        <v>1346</v>
      </c>
      <c r="G17" s="85" t="s">
        <v>639</v>
      </c>
      <c r="H17" s="110" t="s">
        <v>2218</v>
      </c>
      <c r="I17" s="67"/>
      <c r="J17" s="67"/>
      <c r="K17" s="91" t="s">
        <v>648</v>
      </c>
      <c r="L17" s="111"/>
      <c r="M17" s="70"/>
      <c r="N17" s="90" t="s">
        <v>2960</v>
      </c>
      <c r="O17" s="91" t="s">
        <v>152</v>
      </c>
      <c r="P17" s="92" t="s">
        <v>2706</v>
      </c>
      <c r="Q17" s="93"/>
      <c r="R17" s="94">
        <v>300000</v>
      </c>
      <c r="S17" s="95">
        <v>0</v>
      </c>
      <c r="T17" s="112">
        <v>300000</v>
      </c>
      <c r="U17" s="113">
        <f>ERP_34[[#This Row],[LE2 Final Submission]]-ERP_34[[#This Row],[LE3 Final Submission]]</f>
        <v>-300000</v>
      </c>
      <c r="V17" s="98"/>
      <c r="W17" s="99"/>
      <c r="X17" s="99"/>
      <c r="Y17" s="100">
        <v>0</v>
      </c>
      <c r="Z17" s="100">
        <v>0</v>
      </c>
      <c r="AA17" s="100">
        <f>300000-300000</f>
        <v>0</v>
      </c>
      <c r="AB17" s="100">
        <v>0</v>
      </c>
      <c r="AC17" s="100">
        <v>0</v>
      </c>
      <c r="AD17" s="100">
        <v>0</v>
      </c>
      <c r="AE17" s="100">
        <v>0</v>
      </c>
      <c r="AF17" s="100">
        <v>0</v>
      </c>
      <c r="AG17" s="100">
        <v>0</v>
      </c>
      <c r="AH17" s="101">
        <f t="shared" si="1"/>
        <v>0</v>
      </c>
      <c r="AI17" s="108">
        <f>ERP_34[[#This Row],[2026 Working Total]]-ERP_34[[#This Row],[2026 LE0]]</f>
        <v>-300000</v>
      </c>
      <c r="AJ17" s="79"/>
      <c r="AK17" s="79"/>
      <c r="AL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" s="80"/>
      <c r="AN17" s="82">
        <f>ERP_34[[#This Row],[2026 Working Total to Budget/LE]]-ERP_34[[#This Row],[Giveback]]</f>
        <v>-300000</v>
      </c>
      <c r="AO17" s="81" t="s">
        <v>2216</v>
      </c>
      <c r="AP17" s="81"/>
      <c r="AQ17" s="81"/>
      <c r="AR17" s="81"/>
      <c r="AS17" s="81">
        <v>0</v>
      </c>
      <c r="AT17" s="81">
        <v>0</v>
      </c>
      <c r="AU17" s="81">
        <v>0</v>
      </c>
      <c r="AV17" s="81">
        <v>0</v>
      </c>
      <c r="AW17" s="81">
        <v>0</v>
      </c>
      <c r="AX17" s="81">
        <v>0</v>
      </c>
      <c r="AY17" s="81">
        <v>0</v>
      </c>
      <c r="AZ17" s="81">
        <v>0</v>
      </c>
      <c r="BA17" s="81">
        <v>0</v>
      </c>
      <c r="BB17" s="81">
        <v>0</v>
      </c>
      <c r="BC17" s="103">
        <v>0</v>
      </c>
      <c r="BD17" s="103">
        <v>0</v>
      </c>
      <c r="BE17" s="103">
        <v>0</v>
      </c>
      <c r="BF17" s="103">
        <v>0</v>
      </c>
      <c r="BG17" s="103">
        <v>0</v>
      </c>
      <c r="BH17" s="103">
        <v>300000</v>
      </c>
      <c r="BI17" s="103">
        <v>0</v>
      </c>
      <c r="BJ17" s="103">
        <v>0</v>
      </c>
      <c r="BK17" s="103">
        <v>0</v>
      </c>
      <c r="BL17" s="103">
        <v>0</v>
      </c>
      <c r="BM17" s="103">
        <v>0</v>
      </c>
      <c r="BN17" s="103">
        <v>0</v>
      </c>
      <c r="BO17" s="82">
        <f>SUM(ERP_34[[#This Row],[2026 AP01]:[2026 AP12]])</f>
        <v>300000</v>
      </c>
    </row>
    <row r="18" spans="1:67">
      <c r="A18" s="66" t="s">
        <v>1756</v>
      </c>
      <c r="B18" s="66" t="str">
        <f>_xlfn.TEXTJOIN("_",,ERP_34[[#This Row],[LT Member -1*]],ERP_34[[#This Row],[Expense Category]],ERP_34[[#This Row],[Project Code*]])</f>
        <v>Tamavada, Ram_MANAGED SERVICES_2026-XFR-0017-C</v>
      </c>
      <c r="C18" s="67" t="s">
        <v>1136</v>
      </c>
      <c r="D18" s="67" t="s">
        <v>1135</v>
      </c>
      <c r="E18" s="67" t="s">
        <v>1165</v>
      </c>
      <c r="F18" s="67" t="s">
        <v>1137</v>
      </c>
      <c r="G18" s="68" t="s">
        <v>389</v>
      </c>
      <c r="H18" s="69" t="s">
        <v>1758</v>
      </c>
      <c r="I18" s="70"/>
      <c r="J18" s="70"/>
      <c r="K18" s="114" t="s">
        <v>393</v>
      </c>
      <c r="L18" s="70"/>
      <c r="M18" s="70"/>
      <c r="N18" s="70"/>
      <c r="O18" s="67" t="s">
        <v>152</v>
      </c>
      <c r="P18" s="67"/>
      <c r="Q18" s="71"/>
      <c r="R18" s="72">
        <v>0</v>
      </c>
      <c r="S18" s="73">
        <v>112500</v>
      </c>
      <c r="T18" s="73">
        <v>0</v>
      </c>
      <c r="U18" s="71">
        <f>ERP_34[[#This Row],[LE2 Final Submission]]-ERP_34[[#This Row],[LE3 Final Submission]]</f>
        <v>112500</v>
      </c>
      <c r="V18" s="74"/>
      <c r="W18" s="75"/>
      <c r="X18" s="75"/>
      <c r="Y18" s="76">
        <v>12500</v>
      </c>
      <c r="Z18" s="76">
        <v>12500</v>
      </c>
      <c r="AA18" s="76">
        <v>12500</v>
      </c>
      <c r="AB18" s="76">
        <v>12500</v>
      </c>
      <c r="AC18" s="76">
        <v>12500</v>
      </c>
      <c r="AD18" s="76">
        <v>12500</v>
      </c>
      <c r="AE18" s="76">
        <v>12500</v>
      </c>
      <c r="AF18" s="76">
        <v>12500</v>
      </c>
      <c r="AG18" s="76">
        <v>12500</v>
      </c>
      <c r="AH18" s="77">
        <f t="shared" si="1"/>
        <v>112500</v>
      </c>
      <c r="AI18" s="115">
        <f>ERP_34[[#This Row],[2026 Working Total]]-ERP_34[[#This Row],[2026 LE0]]</f>
        <v>112500</v>
      </c>
      <c r="AJ18" s="79"/>
      <c r="AK18" s="79"/>
      <c r="AL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" s="80"/>
      <c r="AN18" s="79">
        <f>ERP_34[[#This Row],[2026 Working Total to Budget/LE]]-ERP_34[[#This Row],[Giveback]]</f>
        <v>112500</v>
      </c>
      <c r="AO18" s="81"/>
      <c r="AP18" s="81"/>
      <c r="AQ18" s="81"/>
      <c r="AR18" s="81"/>
      <c r="AS18" s="81">
        <v>12500</v>
      </c>
      <c r="AT18" s="81">
        <v>12500</v>
      </c>
      <c r="AU18" s="81">
        <v>12500</v>
      </c>
      <c r="AV18" s="81">
        <v>12500</v>
      </c>
      <c r="AW18" s="81">
        <v>12500</v>
      </c>
      <c r="AX18" s="81">
        <v>12500</v>
      </c>
      <c r="AY18" s="81">
        <v>12500</v>
      </c>
      <c r="AZ18" s="81">
        <v>12500</v>
      </c>
      <c r="BA18" s="81">
        <v>12500</v>
      </c>
      <c r="BB18" s="81">
        <v>112500</v>
      </c>
      <c r="BC18" s="79"/>
      <c r="BD18" s="79"/>
      <c r="BE18" s="79"/>
      <c r="BF18" s="79">
        <v>12500</v>
      </c>
      <c r="BG18" s="79">
        <v>12500</v>
      </c>
      <c r="BH18" s="79">
        <v>12500</v>
      </c>
      <c r="BI18" s="79">
        <v>12500</v>
      </c>
      <c r="BJ18" s="79">
        <v>12500</v>
      </c>
      <c r="BK18" s="79">
        <v>12500</v>
      </c>
      <c r="BL18" s="79">
        <v>12500</v>
      </c>
      <c r="BM18" s="79">
        <v>12500</v>
      </c>
      <c r="BN18" s="79">
        <v>12500</v>
      </c>
      <c r="BO18" s="79">
        <v>112500</v>
      </c>
    </row>
    <row r="19" spans="1:67">
      <c r="A19" s="82" t="s">
        <v>2042</v>
      </c>
      <c r="B19" s="83" t="str">
        <f>_xlfn.TEXTJOIN("_",,ERP_34[[#This Row],[LT Member -1*]],ERP_34[[#This Row],[Expense Category]],ERP_34[[#This Row],[Project Code*]])</f>
        <v>Hovanyetz, Mike_MANAGED SERVICES_2026-XFR-0017-C</v>
      </c>
      <c r="C19" s="67" t="s">
        <v>2959</v>
      </c>
      <c r="D19" s="84" t="s">
        <v>1345</v>
      </c>
      <c r="E19" s="85" t="s">
        <v>1480</v>
      </c>
      <c r="F19" s="68" t="s">
        <v>1346</v>
      </c>
      <c r="G19" s="85" t="s">
        <v>389</v>
      </c>
      <c r="H19" s="116" t="s">
        <v>1758</v>
      </c>
      <c r="I19" s="67"/>
      <c r="J19" s="67"/>
      <c r="K19" s="91" t="s">
        <v>393</v>
      </c>
      <c r="L19" s="111"/>
      <c r="M19" s="70"/>
      <c r="N19" s="90" t="s">
        <v>2960</v>
      </c>
      <c r="O19" s="91" t="s">
        <v>152</v>
      </c>
      <c r="P19" s="92" t="s">
        <v>2043</v>
      </c>
      <c r="Q19" s="93"/>
      <c r="R19" s="94">
        <v>125000</v>
      </c>
      <c r="S19" s="95">
        <v>0</v>
      </c>
      <c r="T19" s="112">
        <v>125000</v>
      </c>
      <c r="U19" s="113">
        <f>ERP_34[[#This Row],[LE2 Final Submission]]-ERP_34[[#This Row],[LE3 Final Submission]]</f>
        <v>-125000</v>
      </c>
      <c r="V19" s="98"/>
      <c r="W19" s="99"/>
      <c r="X19" s="99"/>
      <c r="Y19" s="100">
        <f t="shared" ref="Y19:AG19" si="2">12500-12500</f>
        <v>0</v>
      </c>
      <c r="Z19" s="100">
        <f t="shared" si="2"/>
        <v>0</v>
      </c>
      <c r="AA19" s="100">
        <f t="shared" si="2"/>
        <v>0</v>
      </c>
      <c r="AB19" s="100">
        <f t="shared" si="2"/>
        <v>0</v>
      </c>
      <c r="AC19" s="100">
        <f t="shared" si="2"/>
        <v>0</v>
      </c>
      <c r="AD19" s="100">
        <f t="shared" si="2"/>
        <v>0</v>
      </c>
      <c r="AE19" s="100">
        <f t="shared" si="2"/>
        <v>0</v>
      </c>
      <c r="AF19" s="100">
        <f t="shared" si="2"/>
        <v>0</v>
      </c>
      <c r="AG19" s="100">
        <f t="shared" si="2"/>
        <v>0</v>
      </c>
      <c r="AH19" s="101">
        <f t="shared" si="1"/>
        <v>0</v>
      </c>
      <c r="AI19" s="115">
        <f>ERP_34[[#This Row],[2026 Working Total]]-ERP_34[[#This Row],[2026 LE0]]</f>
        <v>-125000</v>
      </c>
      <c r="AJ19" s="79"/>
      <c r="AK19" s="79"/>
      <c r="AL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" s="80"/>
      <c r="AN19" s="79">
        <f>ERP_34[[#This Row],[2026 Working Total to Budget/LE]]-ERP_34[[#This Row],[Giveback]]</f>
        <v>-125000</v>
      </c>
      <c r="AO19" s="81"/>
      <c r="AP19" s="81"/>
      <c r="AQ19" s="81"/>
      <c r="AR19" s="81"/>
      <c r="AS19" s="81">
        <v>0</v>
      </c>
      <c r="AT19" s="81">
        <v>0</v>
      </c>
      <c r="AU19" s="81">
        <v>0</v>
      </c>
      <c r="AV19" s="81">
        <v>0</v>
      </c>
      <c r="AW19" s="81">
        <v>0</v>
      </c>
      <c r="AX19" s="81">
        <v>0</v>
      </c>
      <c r="AY19" s="81">
        <v>0</v>
      </c>
      <c r="AZ19" s="81">
        <v>0</v>
      </c>
      <c r="BA19" s="81">
        <v>0</v>
      </c>
      <c r="BB19" s="81">
        <v>0</v>
      </c>
      <c r="BC19" s="103">
        <v>0</v>
      </c>
      <c r="BD19" s="103">
        <v>0</v>
      </c>
      <c r="BE19" s="103">
        <v>12500</v>
      </c>
      <c r="BF19" s="103">
        <v>12500</v>
      </c>
      <c r="BG19" s="103">
        <v>12500</v>
      </c>
      <c r="BH19" s="103">
        <v>12500</v>
      </c>
      <c r="BI19" s="103">
        <v>12500</v>
      </c>
      <c r="BJ19" s="103">
        <v>12500</v>
      </c>
      <c r="BK19" s="103">
        <v>12500</v>
      </c>
      <c r="BL19" s="103">
        <v>12500</v>
      </c>
      <c r="BM19" s="103">
        <v>12500</v>
      </c>
      <c r="BN19" s="103">
        <v>12500</v>
      </c>
      <c r="BO19" s="82">
        <f>SUM(ERP_34[[#This Row],[2026 AP01]:[2026 AP12]])</f>
        <v>125000</v>
      </c>
    </row>
    <row r="20" spans="1:67">
      <c r="A20" s="66" t="s">
        <v>1759</v>
      </c>
      <c r="B20" s="66" t="str">
        <f>_xlfn.TEXTJOIN("_",,ERP_34[[#This Row],[LT Member -1*]],ERP_34[[#This Row],[Expense Category]],ERP_34[[#This Row],[Project Code*]])</f>
        <v>Tamavada, Ram_MANAGED SERVICES_2026-XFR-0017-D</v>
      </c>
      <c r="C20" s="67" t="s">
        <v>1136</v>
      </c>
      <c r="D20" s="67" t="s">
        <v>1135</v>
      </c>
      <c r="E20" s="67" t="s">
        <v>1165</v>
      </c>
      <c r="F20" s="67" t="s">
        <v>1137</v>
      </c>
      <c r="G20" s="68" t="s">
        <v>389</v>
      </c>
      <c r="H20" s="69" t="s">
        <v>1761</v>
      </c>
      <c r="I20" s="70"/>
      <c r="J20" s="70"/>
      <c r="K20" s="114" t="s">
        <v>395</v>
      </c>
      <c r="L20" s="70"/>
      <c r="M20" s="70"/>
      <c r="N20" s="70"/>
      <c r="O20" s="67" t="s">
        <v>152</v>
      </c>
      <c r="P20" s="67"/>
      <c r="Q20" s="71"/>
      <c r="R20" s="72">
        <v>0</v>
      </c>
      <c r="S20" s="73">
        <v>90000</v>
      </c>
      <c r="T20" s="73">
        <v>0</v>
      </c>
      <c r="U20" s="71">
        <f>ERP_34[[#This Row],[LE2 Final Submission]]-ERP_34[[#This Row],[LE3 Final Submission]]</f>
        <v>90000</v>
      </c>
      <c r="V20" s="74"/>
      <c r="W20" s="75"/>
      <c r="X20" s="75"/>
      <c r="Y20" s="76">
        <v>10000</v>
      </c>
      <c r="Z20" s="76">
        <v>10000</v>
      </c>
      <c r="AA20" s="76">
        <v>10000</v>
      </c>
      <c r="AB20" s="76">
        <v>10000</v>
      </c>
      <c r="AC20" s="76">
        <v>10000</v>
      </c>
      <c r="AD20" s="76">
        <v>10000</v>
      </c>
      <c r="AE20" s="76">
        <v>10000</v>
      </c>
      <c r="AF20" s="76">
        <v>10000</v>
      </c>
      <c r="AG20" s="76">
        <v>10000</v>
      </c>
      <c r="AH20" s="77">
        <f t="shared" si="1"/>
        <v>90000</v>
      </c>
      <c r="AI20" s="115">
        <f>ERP_34[[#This Row],[2026 Working Total]]-ERP_34[[#This Row],[2026 LE0]]</f>
        <v>90000</v>
      </c>
      <c r="AJ20" s="79"/>
      <c r="AK20" s="79"/>
      <c r="AL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" s="80"/>
      <c r="AN20" s="79">
        <f>ERP_34[[#This Row],[2026 Working Total to Budget/LE]]-ERP_34[[#This Row],[Giveback]]</f>
        <v>90000</v>
      </c>
      <c r="AO20" s="81"/>
      <c r="AP20" s="81"/>
      <c r="AQ20" s="81"/>
      <c r="AR20" s="81"/>
      <c r="AS20" s="81">
        <v>10000</v>
      </c>
      <c r="AT20" s="81">
        <v>10000</v>
      </c>
      <c r="AU20" s="81">
        <v>10000</v>
      </c>
      <c r="AV20" s="81">
        <v>10000</v>
      </c>
      <c r="AW20" s="81">
        <v>10000</v>
      </c>
      <c r="AX20" s="81">
        <v>10000</v>
      </c>
      <c r="AY20" s="81">
        <v>10000</v>
      </c>
      <c r="AZ20" s="81">
        <v>10000</v>
      </c>
      <c r="BA20" s="81">
        <v>10000</v>
      </c>
      <c r="BB20" s="81">
        <v>90000</v>
      </c>
      <c r="BC20" s="79"/>
      <c r="BD20" s="79"/>
      <c r="BE20" s="79"/>
      <c r="BF20" s="79">
        <v>10000</v>
      </c>
      <c r="BG20" s="79">
        <v>10000</v>
      </c>
      <c r="BH20" s="79">
        <v>10000</v>
      </c>
      <c r="BI20" s="79">
        <v>10000</v>
      </c>
      <c r="BJ20" s="79">
        <v>10000</v>
      </c>
      <c r="BK20" s="79">
        <v>10000</v>
      </c>
      <c r="BL20" s="79">
        <v>10000</v>
      </c>
      <c r="BM20" s="79">
        <v>10000</v>
      </c>
      <c r="BN20" s="79">
        <v>10000</v>
      </c>
      <c r="BO20" s="79">
        <v>90000</v>
      </c>
    </row>
    <row r="21" spans="1:67">
      <c r="A21" s="82" t="s">
        <v>2044</v>
      </c>
      <c r="B21" s="83" t="str">
        <f>_xlfn.TEXTJOIN("_",,ERP_34[[#This Row],[LT Member -1*]],ERP_34[[#This Row],[Expense Category]],ERP_34[[#This Row],[Project Code*]])</f>
        <v>Hovanyetz, Mike_MANAGED SERVICES_2026-XFR-0017-D</v>
      </c>
      <c r="C21" s="67" t="s">
        <v>2959</v>
      </c>
      <c r="D21" s="84" t="s">
        <v>1345</v>
      </c>
      <c r="E21" s="85" t="s">
        <v>1480</v>
      </c>
      <c r="F21" s="68" t="s">
        <v>1346</v>
      </c>
      <c r="G21" s="85" t="s">
        <v>389</v>
      </c>
      <c r="H21" s="116" t="s">
        <v>1761</v>
      </c>
      <c r="I21" s="67"/>
      <c r="J21" s="67"/>
      <c r="K21" s="91" t="s">
        <v>395</v>
      </c>
      <c r="L21" s="111"/>
      <c r="M21" s="70"/>
      <c r="N21" s="90" t="s">
        <v>2960</v>
      </c>
      <c r="O21" s="91" t="s">
        <v>152</v>
      </c>
      <c r="P21" s="92" t="s">
        <v>2043</v>
      </c>
      <c r="Q21" s="93"/>
      <c r="R21" s="94">
        <v>100000</v>
      </c>
      <c r="S21" s="95">
        <v>0</v>
      </c>
      <c r="T21" s="112">
        <v>100000</v>
      </c>
      <c r="U21" s="113">
        <f>ERP_34[[#This Row],[LE2 Final Submission]]-ERP_34[[#This Row],[LE3 Final Submission]]</f>
        <v>-100000</v>
      </c>
      <c r="V21" s="98"/>
      <c r="W21" s="99"/>
      <c r="X21" s="99"/>
      <c r="Y21" s="100">
        <f t="shared" ref="Y21:AG21" si="3">10000-10000</f>
        <v>0</v>
      </c>
      <c r="Z21" s="100">
        <f t="shared" si="3"/>
        <v>0</v>
      </c>
      <c r="AA21" s="100">
        <f t="shared" si="3"/>
        <v>0</v>
      </c>
      <c r="AB21" s="100">
        <f t="shared" si="3"/>
        <v>0</v>
      </c>
      <c r="AC21" s="100">
        <f t="shared" si="3"/>
        <v>0</v>
      </c>
      <c r="AD21" s="100">
        <f t="shared" si="3"/>
        <v>0</v>
      </c>
      <c r="AE21" s="100">
        <f t="shared" si="3"/>
        <v>0</v>
      </c>
      <c r="AF21" s="100">
        <f t="shared" si="3"/>
        <v>0</v>
      </c>
      <c r="AG21" s="100">
        <f t="shared" si="3"/>
        <v>0</v>
      </c>
      <c r="AH21" s="101">
        <f t="shared" si="1"/>
        <v>0</v>
      </c>
      <c r="AI21" s="115">
        <f>ERP_34[[#This Row],[2026 Working Total]]-ERP_34[[#This Row],[2026 LE0]]</f>
        <v>-100000</v>
      </c>
      <c r="AJ21" s="79"/>
      <c r="AK21" s="79"/>
      <c r="AL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" s="80"/>
      <c r="AN21" s="79">
        <f>ERP_34[[#This Row],[2026 Working Total to Budget/LE]]-ERP_34[[#This Row],[Giveback]]</f>
        <v>-100000</v>
      </c>
      <c r="AO21" s="81"/>
      <c r="AP21" s="81"/>
      <c r="AQ21" s="81"/>
      <c r="AR21" s="81"/>
      <c r="AS21" s="81">
        <v>0</v>
      </c>
      <c r="AT21" s="81">
        <v>0</v>
      </c>
      <c r="AU21" s="81">
        <v>0</v>
      </c>
      <c r="AV21" s="81">
        <v>0</v>
      </c>
      <c r="AW21" s="81">
        <v>0</v>
      </c>
      <c r="AX21" s="81">
        <v>0</v>
      </c>
      <c r="AY21" s="81">
        <v>0</v>
      </c>
      <c r="AZ21" s="81">
        <v>0</v>
      </c>
      <c r="BA21" s="81">
        <v>0</v>
      </c>
      <c r="BB21" s="81">
        <v>0</v>
      </c>
      <c r="BC21" s="103">
        <v>0</v>
      </c>
      <c r="BD21" s="103">
        <v>0</v>
      </c>
      <c r="BE21" s="103">
        <v>10000</v>
      </c>
      <c r="BF21" s="103">
        <v>10000</v>
      </c>
      <c r="BG21" s="103">
        <v>10000</v>
      </c>
      <c r="BH21" s="103">
        <v>10000</v>
      </c>
      <c r="BI21" s="103">
        <v>10000</v>
      </c>
      <c r="BJ21" s="103">
        <v>10000</v>
      </c>
      <c r="BK21" s="103">
        <v>10000</v>
      </c>
      <c r="BL21" s="103">
        <v>10000</v>
      </c>
      <c r="BM21" s="103">
        <v>10000</v>
      </c>
      <c r="BN21" s="103">
        <v>10000</v>
      </c>
      <c r="BO21" s="82">
        <f>SUM(ERP_34[[#This Row],[2026 AP01]:[2026 AP12]])</f>
        <v>100000</v>
      </c>
    </row>
    <row r="22" spans="1:67">
      <c r="A22" s="66" t="s">
        <v>1763</v>
      </c>
      <c r="B22" s="66" t="str">
        <f>_xlfn.TEXTJOIN("_",,ERP_34[[#This Row],[LT Member -1*]],ERP_34[[#This Row],[Expense Category]],ERP_34[[#This Row],[Project Code*]])</f>
        <v>Tamavada, Ram_MANAGED SERVICES_2026-XFR-0020-A</v>
      </c>
      <c r="C22" s="67" t="s">
        <v>1136</v>
      </c>
      <c r="D22" s="67" t="s">
        <v>1135</v>
      </c>
      <c r="E22" s="67" t="s">
        <v>1165</v>
      </c>
      <c r="F22" s="67" t="s">
        <v>1137</v>
      </c>
      <c r="G22" s="68" t="s">
        <v>389</v>
      </c>
      <c r="H22" s="69" t="s">
        <v>1765</v>
      </c>
      <c r="I22" s="70"/>
      <c r="J22" s="70"/>
      <c r="K22" s="114" t="s">
        <v>397</v>
      </c>
      <c r="L22" s="70"/>
      <c r="M22" s="70"/>
      <c r="N22" s="70"/>
      <c r="O22" s="67" t="s">
        <v>398</v>
      </c>
      <c r="P22" s="67"/>
      <c r="Q22" s="71"/>
      <c r="R22" s="72">
        <v>0</v>
      </c>
      <c r="S22" s="73">
        <v>56250</v>
      </c>
      <c r="T22" s="73">
        <v>0</v>
      </c>
      <c r="U22" s="71">
        <f>ERP_34[[#This Row],[LE2 Final Submission]]-ERP_34[[#This Row],[LE3 Final Submission]]</f>
        <v>56250</v>
      </c>
      <c r="V22" s="74"/>
      <c r="W22" s="75"/>
      <c r="X22" s="75"/>
      <c r="Y22" s="76">
        <v>6250</v>
      </c>
      <c r="Z22" s="76">
        <v>6250</v>
      </c>
      <c r="AA22" s="76">
        <v>6250</v>
      </c>
      <c r="AB22" s="76">
        <v>6250</v>
      </c>
      <c r="AC22" s="76">
        <v>6250</v>
      </c>
      <c r="AD22" s="76">
        <v>6250</v>
      </c>
      <c r="AE22" s="76">
        <v>6250</v>
      </c>
      <c r="AF22" s="76">
        <v>6250</v>
      </c>
      <c r="AG22" s="76">
        <v>6250</v>
      </c>
      <c r="AH22" s="77">
        <f t="shared" si="1"/>
        <v>56250</v>
      </c>
      <c r="AI22" s="115">
        <f>ERP_34[[#This Row],[2026 Working Total]]-ERP_34[[#This Row],[2026 LE0]]</f>
        <v>56250</v>
      </c>
      <c r="AJ22" s="79"/>
      <c r="AK22" s="79"/>
      <c r="AL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" s="80"/>
      <c r="AN22" s="79">
        <f>ERP_34[[#This Row],[2026 Working Total to Budget/LE]]-ERP_34[[#This Row],[Giveback]]</f>
        <v>56250</v>
      </c>
      <c r="AO22" s="81"/>
      <c r="AP22" s="81"/>
      <c r="AQ22" s="81"/>
      <c r="AR22" s="81"/>
      <c r="AS22" s="81">
        <v>6250</v>
      </c>
      <c r="AT22" s="81">
        <v>6250</v>
      </c>
      <c r="AU22" s="81">
        <v>6250</v>
      </c>
      <c r="AV22" s="81">
        <v>6250</v>
      </c>
      <c r="AW22" s="81">
        <v>6250</v>
      </c>
      <c r="AX22" s="81">
        <v>6250</v>
      </c>
      <c r="AY22" s="81">
        <v>6250</v>
      </c>
      <c r="AZ22" s="81">
        <v>6250</v>
      </c>
      <c r="BA22" s="81">
        <v>6250</v>
      </c>
      <c r="BB22" s="81">
        <v>56250</v>
      </c>
      <c r="BC22" s="79"/>
      <c r="BD22" s="79"/>
      <c r="BE22" s="79"/>
      <c r="BF22" s="79">
        <v>6250</v>
      </c>
      <c r="BG22" s="79">
        <v>6250</v>
      </c>
      <c r="BH22" s="79">
        <v>6250</v>
      </c>
      <c r="BI22" s="79">
        <v>6250</v>
      </c>
      <c r="BJ22" s="79">
        <v>6250</v>
      </c>
      <c r="BK22" s="79">
        <v>6250</v>
      </c>
      <c r="BL22" s="79">
        <v>6250</v>
      </c>
      <c r="BM22" s="79">
        <v>6250</v>
      </c>
      <c r="BN22" s="79">
        <v>6250</v>
      </c>
      <c r="BO22" s="79">
        <v>56250</v>
      </c>
    </row>
    <row r="23" spans="1:67">
      <c r="A23" s="82" t="s">
        <v>2045</v>
      </c>
      <c r="B23" s="83" t="str">
        <f>_xlfn.TEXTJOIN("_",,ERP_34[[#This Row],[LT Member -1*]],ERP_34[[#This Row],[Expense Category]],ERP_34[[#This Row],[Project Code*]])</f>
        <v>Hovanyetz, Mike_MANAGED SERVICES_2026-XFR-0020-A</v>
      </c>
      <c r="C23" s="67" t="s">
        <v>2959</v>
      </c>
      <c r="D23" s="84" t="s">
        <v>1345</v>
      </c>
      <c r="E23" s="85" t="s">
        <v>1480</v>
      </c>
      <c r="F23" s="68" t="s">
        <v>1346</v>
      </c>
      <c r="G23" s="85" t="s">
        <v>389</v>
      </c>
      <c r="H23" s="116" t="s">
        <v>2046</v>
      </c>
      <c r="I23" s="67"/>
      <c r="J23" s="67"/>
      <c r="K23" s="91" t="s">
        <v>397</v>
      </c>
      <c r="L23" s="111"/>
      <c r="M23" s="70"/>
      <c r="N23" s="90" t="s">
        <v>2960</v>
      </c>
      <c r="O23" s="91" t="s">
        <v>152</v>
      </c>
      <c r="P23" s="92" t="s">
        <v>2043</v>
      </c>
      <c r="Q23" s="93"/>
      <c r="R23" s="94">
        <v>75000</v>
      </c>
      <c r="S23" s="95">
        <v>0</v>
      </c>
      <c r="T23" s="112">
        <v>75000</v>
      </c>
      <c r="U23" s="113">
        <f>ERP_34[[#This Row],[LE2 Final Submission]]-ERP_34[[#This Row],[LE3 Final Submission]]</f>
        <v>-75000</v>
      </c>
      <c r="V23" s="98"/>
      <c r="W23" s="99"/>
      <c r="X23" s="99"/>
      <c r="Y23" s="100">
        <f t="shared" ref="Y23:AG23" si="4">6250-6250</f>
        <v>0</v>
      </c>
      <c r="Z23" s="100">
        <f t="shared" si="4"/>
        <v>0</v>
      </c>
      <c r="AA23" s="100">
        <f t="shared" si="4"/>
        <v>0</v>
      </c>
      <c r="AB23" s="100">
        <f t="shared" si="4"/>
        <v>0</v>
      </c>
      <c r="AC23" s="100">
        <f t="shared" si="4"/>
        <v>0</v>
      </c>
      <c r="AD23" s="100">
        <f t="shared" si="4"/>
        <v>0</v>
      </c>
      <c r="AE23" s="100">
        <f t="shared" si="4"/>
        <v>0</v>
      </c>
      <c r="AF23" s="100">
        <f t="shared" si="4"/>
        <v>0</v>
      </c>
      <c r="AG23" s="100">
        <f t="shared" si="4"/>
        <v>0</v>
      </c>
      <c r="AH23" s="101">
        <f t="shared" si="1"/>
        <v>0</v>
      </c>
      <c r="AI23" s="115">
        <f>ERP_34[[#This Row],[2026 Working Total]]-ERP_34[[#This Row],[2026 LE0]]</f>
        <v>-75000</v>
      </c>
      <c r="AJ23" s="79"/>
      <c r="AK23" s="79"/>
      <c r="AL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" s="80"/>
      <c r="AN23" s="79">
        <f>ERP_34[[#This Row],[2026 Working Total to Budget/LE]]-ERP_34[[#This Row],[Giveback]]</f>
        <v>-75000</v>
      </c>
      <c r="AO23" s="81"/>
      <c r="AP23" s="81"/>
      <c r="AQ23" s="81"/>
      <c r="AR23" s="81"/>
      <c r="AS23" s="81">
        <v>0</v>
      </c>
      <c r="AT23" s="81">
        <v>0</v>
      </c>
      <c r="AU23" s="81">
        <v>0</v>
      </c>
      <c r="AV23" s="81">
        <v>0</v>
      </c>
      <c r="AW23" s="81">
        <v>0</v>
      </c>
      <c r="AX23" s="81">
        <v>0</v>
      </c>
      <c r="AY23" s="81">
        <v>0</v>
      </c>
      <c r="AZ23" s="81">
        <v>0</v>
      </c>
      <c r="BA23" s="81">
        <v>0</v>
      </c>
      <c r="BB23" s="81">
        <v>0</v>
      </c>
      <c r="BC23" s="103">
        <v>6250</v>
      </c>
      <c r="BD23" s="103">
        <v>6250</v>
      </c>
      <c r="BE23" s="103">
        <v>6250</v>
      </c>
      <c r="BF23" s="103">
        <v>6250</v>
      </c>
      <c r="BG23" s="103">
        <v>6250</v>
      </c>
      <c r="BH23" s="103">
        <v>6250</v>
      </c>
      <c r="BI23" s="103">
        <v>6250</v>
      </c>
      <c r="BJ23" s="103">
        <v>6250</v>
      </c>
      <c r="BK23" s="103">
        <v>6250</v>
      </c>
      <c r="BL23" s="103">
        <v>6250</v>
      </c>
      <c r="BM23" s="103">
        <v>6250</v>
      </c>
      <c r="BN23" s="103">
        <v>6250</v>
      </c>
      <c r="BO23" s="82">
        <f>SUM(ERP_34[[#This Row],[2026 AP01]:[2026 AP12]])</f>
        <v>75000</v>
      </c>
    </row>
    <row r="24" spans="1:67">
      <c r="A24" s="82" t="s">
        <v>1343</v>
      </c>
      <c r="B24" s="83" t="str">
        <f>_xlfn.TEXTJOIN("_",,ERP_34[[#This Row],[LT Member -1*]],ERP_34[[#This Row],[Expense Category]],ERP_34[[#This Row],[Project Code*]])</f>
        <v>Ganesan, Srinivasan_CONTRACTORS_2026-XFR-0023-A</v>
      </c>
      <c r="C24" s="67" t="s">
        <v>2959</v>
      </c>
      <c r="D24" s="84" t="s">
        <v>1345</v>
      </c>
      <c r="E24" s="85" t="s">
        <v>1344</v>
      </c>
      <c r="F24" s="68" t="s">
        <v>1346</v>
      </c>
      <c r="G24" s="85" t="s">
        <v>49</v>
      </c>
      <c r="H24" s="110" t="s">
        <v>1347</v>
      </c>
      <c r="I24" s="67"/>
      <c r="J24" s="67"/>
      <c r="K24" s="91" t="s">
        <v>151</v>
      </c>
      <c r="L24" s="111"/>
      <c r="M24" s="70"/>
      <c r="N24" s="90" t="s">
        <v>2960</v>
      </c>
      <c r="O24" s="91" t="s">
        <v>152</v>
      </c>
      <c r="P24" s="92" t="s">
        <v>1348</v>
      </c>
      <c r="Q24" s="93"/>
      <c r="R24" s="94">
        <v>70000.000000000015</v>
      </c>
      <c r="S24" s="95">
        <v>0</v>
      </c>
      <c r="T24" s="112">
        <v>70000.000000000015</v>
      </c>
      <c r="U24" s="113">
        <f>ERP_34[[#This Row],[LE2 Final Submission]]-ERP_34[[#This Row],[LE3 Final Submission]]</f>
        <v>-70000.000000000015</v>
      </c>
      <c r="V24" s="98"/>
      <c r="W24" s="99"/>
      <c r="X24" s="99"/>
      <c r="Y24" s="100">
        <v>0</v>
      </c>
      <c r="Z24" s="100">
        <v>0</v>
      </c>
      <c r="AA24" s="100">
        <v>0</v>
      </c>
      <c r="AB24" s="100">
        <v>0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1">
        <f t="shared" si="1"/>
        <v>0</v>
      </c>
      <c r="AI24" s="107">
        <f>ERP_34[[#This Row],[2026 Working Total]]-ERP_34[[#This Row],[2026 LE0]]</f>
        <v>-70000.000000000015</v>
      </c>
      <c r="AJ24" s="79"/>
      <c r="AK24" s="79"/>
      <c r="AL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" s="80">
        <v>70000</v>
      </c>
      <c r="AN24" s="79">
        <f>ERP_34[[#This Row],[2026 Working Total to Budget/LE]]-ERP_34[[#This Row],[Giveback]]</f>
        <v>-140000</v>
      </c>
      <c r="AO24" s="81" t="s">
        <v>1349</v>
      </c>
      <c r="AP24" s="81"/>
      <c r="AQ24" s="81"/>
      <c r="AR24" s="81"/>
      <c r="AS24" s="81">
        <v>0</v>
      </c>
      <c r="AT24" s="81">
        <v>0</v>
      </c>
      <c r="AU24" s="81">
        <v>0</v>
      </c>
      <c r="AV24" s="81">
        <v>0</v>
      </c>
      <c r="AW24" s="81">
        <v>0</v>
      </c>
      <c r="AX24" s="81">
        <v>0</v>
      </c>
      <c r="AY24" s="81">
        <v>0</v>
      </c>
      <c r="AZ24" s="81">
        <v>0</v>
      </c>
      <c r="BA24" s="81">
        <v>0</v>
      </c>
      <c r="BB24" s="81">
        <v>0</v>
      </c>
      <c r="BC24" s="103">
        <v>5833.37</v>
      </c>
      <c r="BD24" s="103">
        <v>5833.33</v>
      </c>
      <c r="BE24" s="103">
        <v>5833.33</v>
      </c>
      <c r="BF24" s="103">
        <v>5833.33</v>
      </c>
      <c r="BG24" s="103">
        <v>5833.33</v>
      </c>
      <c r="BH24" s="103">
        <v>5833.33</v>
      </c>
      <c r="BI24" s="103">
        <v>5833.33</v>
      </c>
      <c r="BJ24" s="103">
        <v>5833.33</v>
      </c>
      <c r="BK24" s="103">
        <v>5833.33</v>
      </c>
      <c r="BL24" s="103">
        <v>5833.33</v>
      </c>
      <c r="BM24" s="103">
        <v>5833.33</v>
      </c>
      <c r="BN24" s="103">
        <v>5833.33</v>
      </c>
      <c r="BO24" s="82">
        <f>SUM(ERP_34[[#This Row],[2026 AP01]:[2026 AP12]])</f>
        <v>70000.000000000015</v>
      </c>
    </row>
    <row r="25" spans="1:67">
      <c r="A25" s="82" t="s">
        <v>1350</v>
      </c>
      <c r="B25" s="83" t="str">
        <f>_xlfn.TEXTJOIN("_",,ERP_34[[#This Row],[LT Member -1*]],ERP_34[[#This Row],[Expense Category]],ERP_34[[#This Row],[Project Code*]])</f>
        <v>Ganesan, Srinivasan_CONTRACTORS_2026-XFR-0024-A</v>
      </c>
      <c r="C25" s="67" t="s">
        <v>2959</v>
      </c>
      <c r="D25" s="84" t="s">
        <v>1345</v>
      </c>
      <c r="E25" s="85" t="s">
        <v>1344</v>
      </c>
      <c r="F25" s="68" t="s">
        <v>1346</v>
      </c>
      <c r="G25" s="85" t="s">
        <v>49</v>
      </c>
      <c r="H25" s="110" t="s">
        <v>1351</v>
      </c>
      <c r="I25" s="67"/>
      <c r="J25" s="67"/>
      <c r="K25" s="91" t="s">
        <v>154</v>
      </c>
      <c r="L25" s="111"/>
      <c r="M25" s="70"/>
      <c r="N25" s="90" t="s">
        <v>2960</v>
      </c>
      <c r="O25" s="91" t="s">
        <v>152</v>
      </c>
      <c r="P25" s="92" t="s">
        <v>1352</v>
      </c>
      <c r="Q25" s="93"/>
      <c r="R25" s="94">
        <v>120000</v>
      </c>
      <c r="S25" s="95">
        <v>0</v>
      </c>
      <c r="T25" s="112">
        <v>120000</v>
      </c>
      <c r="U25" s="113">
        <f>ERP_34[[#This Row],[LE2 Final Submission]]-ERP_34[[#This Row],[LE3 Final Submission]]</f>
        <v>-120000</v>
      </c>
      <c r="V25" s="98"/>
      <c r="W25" s="99"/>
      <c r="X25" s="99"/>
      <c r="Y25" s="100">
        <v>0</v>
      </c>
      <c r="Z25" s="100">
        <v>0</v>
      </c>
      <c r="AA25" s="100">
        <v>0</v>
      </c>
      <c r="AB25" s="100">
        <v>0</v>
      </c>
      <c r="AC25" s="100">
        <v>0</v>
      </c>
      <c r="AD25" s="100">
        <v>0</v>
      </c>
      <c r="AE25" s="100">
        <v>0</v>
      </c>
      <c r="AF25" s="100">
        <v>0</v>
      </c>
      <c r="AG25" s="100">
        <v>0</v>
      </c>
      <c r="AH25" s="101">
        <f t="shared" si="1"/>
        <v>0</v>
      </c>
      <c r="AI25" s="107">
        <f>ERP_34[[#This Row],[2026 Working Total]]-ERP_34[[#This Row],[2026 LE0]]</f>
        <v>-120000</v>
      </c>
      <c r="AJ25" s="79"/>
      <c r="AK25" s="79"/>
      <c r="AL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" s="80">
        <v>120000</v>
      </c>
      <c r="AN25" s="79">
        <f>ERP_34[[#This Row],[2026 Working Total to Budget/LE]]-ERP_34[[#This Row],[Giveback]]</f>
        <v>-240000</v>
      </c>
      <c r="AO25" s="81" t="s">
        <v>1349</v>
      </c>
      <c r="AP25" s="81"/>
      <c r="AQ25" s="81"/>
      <c r="AR25" s="81"/>
      <c r="AS25" s="81">
        <v>0</v>
      </c>
      <c r="AT25" s="81">
        <v>0</v>
      </c>
      <c r="AU25" s="81">
        <v>0</v>
      </c>
      <c r="AV25" s="81">
        <v>0</v>
      </c>
      <c r="AW25" s="81">
        <v>0</v>
      </c>
      <c r="AX25" s="81">
        <v>0</v>
      </c>
      <c r="AY25" s="81">
        <v>0</v>
      </c>
      <c r="AZ25" s="81">
        <v>0</v>
      </c>
      <c r="BA25" s="81">
        <v>0</v>
      </c>
      <c r="BB25" s="81">
        <v>0</v>
      </c>
      <c r="BC25" s="103">
        <v>10000</v>
      </c>
      <c r="BD25" s="103">
        <v>10000</v>
      </c>
      <c r="BE25" s="103">
        <v>10000</v>
      </c>
      <c r="BF25" s="103">
        <v>10000</v>
      </c>
      <c r="BG25" s="103">
        <v>10000</v>
      </c>
      <c r="BH25" s="103">
        <v>10000</v>
      </c>
      <c r="BI25" s="103">
        <v>10000</v>
      </c>
      <c r="BJ25" s="103">
        <v>10000</v>
      </c>
      <c r="BK25" s="103">
        <v>10000</v>
      </c>
      <c r="BL25" s="103">
        <v>10000</v>
      </c>
      <c r="BM25" s="103">
        <v>10000</v>
      </c>
      <c r="BN25" s="103">
        <v>10000</v>
      </c>
      <c r="BO25" s="82">
        <f>SUM(ERP_34[[#This Row],[2026 AP01]:[2026 AP12]])</f>
        <v>120000</v>
      </c>
    </row>
    <row r="26" spans="1:67" ht="24">
      <c r="A26" s="82" t="s">
        <v>1514</v>
      </c>
      <c r="B26" s="83" t="str">
        <f>_xlfn.TEXTJOIN("_",,ERP_34[[#This Row],[LT Member -1*]],ERP_34[[#This Row],[Expense Category]],ERP_34[[#This Row],[Project Code*]])</f>
        <v>Jajodia, Amit_CONTRACTORS_2026-XFR-0028-A</v>
      </c>
      <c r="C26" s="67" t="s">
        <v>2959</v>
      </c>
      <c r="D26" s="84" t="s">
        <v>1345</v>
      </c>
      <c r="E26" s="85" t="s">
        <v>1515</v>
      </c>
      <c r="F26" s="68" t="s">
        <v>1346</v>
      </c>
      <c r="G26" s="85" t="s">
        <v>49</v>
      </c>
      <c r="H26" s="110" t="s">
        <v>1516</v>
      </c>
      <c r="I26" s="67"/>
      <c r="J26" s="67"/>
      <c r="K26" s="117" t="s">
        <v>239</v>
      </c>
      <c r="L26" s="111"/>
      <c r="M26" s="70"/>
      <c r="N26" s="90" t="s">
        <v>2960</v>
      </c>
      <c r="O26" s="91" t="s">
        <v>152</v>
      </c>
      <c r="P26" s="118" t="s">
        <v>1517</v>
      </c>
      <c r="Q26" s="93"/>
      <c r="R26" s="94">
        <v>200000</v>
      </c>
      <c r="S26" s="95">
        <v>0</v>
      </c>
      <c r="T26" s="112">
        <v>200000</v>
      </c>
      <c r="U26" s="113">
        <f>ERP_34[[#This Row],[LE2 Final Submission]]-ERP_34[[#This Row],[LE3 Final Submission]]</f>
        <v>-200000</v>
      </c>
      <c r="V26" s="98"/>
      <c r="W26" s="99"/>
      <c r="X26" s="99"/>
      <c r="Y26" s="100">
        <v>0</v>
      </c>
      <c r="Z26" s="100">
        <v>0</v>
      </c>
      <c r="AA26" s="10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1">
        <f t="shared" si="1"/>
        <v>0</v>
      </c>
      <c r="AI26" s="107">
        <f>ERP_34[[#This Row],[2026 Working Total]]-ERP_34[[#This Row],[2026 LE0]]</f>
        <v>-200000</v>
      </c>
      <c r="AJ26" s="79"/>
      <c r="AK26" s="79"/>
      <c r="AL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" s="80"/>
      <c r="AN26" s="79">
        <f>ERP_34[[#This Row],[2026 Working Total to Budget/LE]]-ERP_34[[#This Row],[Giveback]]</f>
        <v>-200000</v>
      </c>
      <c r="AO26" s="119" t="s">
        <v>1518</v>
      </c>
      <c r="AP26" s="119"/>
      <c r="AQ26" s="119"/>
      <c r="AR26" s="119"/>
      <c r="AS26" s="119">
        <v>0</v>
      </c>
      <c r="AT26" s="119">
        <v>0</v>
      </c>
      <c r="AU26" s="119">
        <v>0</v>
      </c>
      <c r="AV26" s="119">
        <v>0</v>
      </c>
      <c r="AW26" s="119">
        <v>0</v>
      </c>
      <c r="AX26" s="119">
        <v>0</v>
      </c>
      <c r="AY26" s="119">
        <v>0</v>
      </c>
      <c r="AZ26" s="119">
        <v>0</v>
      </c>
      <c r="BA26" s="119">
        <v>0</v>
      </c>
      <c r="BB26" s="119">
        <v>0</v>
      </c>
      <c r="BC26" s="103">
        <v>16667</v>
      </c>
      <c r="BD26" s="103">
        <v>16667</v>
      </c>
      <c r="BE26" s="103">
        <v>16667</v>
      </c>
      <c r="BF26" s="103">
        <v>16667</v>
      </c>
      <c r="BG26" s="103">
        <v>16667</v>
      </c>
      <c r="BH26" s="103">
        <v>16667</v>
      </c>
      <c r="BI26" s="103">
        <v>16667</v>
      </c>
      <c r="BJ26" s="103">
        <v>16667</v>
      </c>
      <c r="BK26" s="103">
        <v>16666</v>
      </c>
      <c r="BL26" s="103">
        <v>16666</v>
      </c>
      <c r="BM26" s="103">
        <v>16666</v>
      </c>
      <c r="BN26" s="103">
        <v>16666</v>
      </c>
      <c r="BO26" s="82">
        <f>SUM(ERP_34[[#This Row],[2026 AP01]:[2026 AP12]])</f>
        <v>200000</v>
      </c>
    </row>
    <row r="27" spans="1:67">
      <c r="A27" s="66" t="s">
        <v>2743</v>
      </c>
      <c r="B27" s="66" t="str">
        <f>_xlfn.TEXTJOIN("_",,ERP_34[[#This Row],[LT Member -1*]],ERP_34[[#This Row],[Expense Category]],ERP_34[[#This Row],[Project Code*]])</f>
        <v>Jajodia, Amit_SOFTWARE_2026-XFR-0032-A</v>
      </c>
      <c r="C27" s="67" t="s">
        <v>1136</v>
      </c>
      <c r="D27" s="67" t="s">
        <v>1345</v>
      </c>
      <c r="E27" s="67" t="s">
        <v>1515</v>
      </c>
      <c r="F27" s="67" t="s">
        <v>1346</v>
      </c>
      <c r="G27" s="68" t="s">
        <v>639</v>
      </c>
      <c r="H27" s="106" t="s">
        <v>2744</v>
      </c>
      <c r="I27" s="70"/>
      <c r="J27" s="70"/>
      <c r="K27" s="70" t="s">
        <v>982</v>
      </c>
      <c r="L27" s="70"/>
      <c r="M27" s="70"/>
      <c r="N27" s="70"/>
      <c r="O27" s="67" t="s">
        <v>152</v>
      </c>
      <c r="P27" s="67"/>
      <c r="Q27" s="71"/>
      <c r="R27" s="72">
        <v>18000</v>
      </c>
      <c r="S27" s="73">
        <v>13500</v>
      </c>
      <c r="T27" s="73">
        <v>18000</v>
      </c>
      <c r="U27" s="71">
        <f>ERP_34[[#This Row],[LE2 Final Submission]]-ERP_34[[#This Row],[LE3 Final Submission]]</f>
        <v>-4500</v>
      </c>
      <c r="V27" s="74"/>
      <c r="W27" s="75"/>
      <c r="X27" s="75"/>
      <c r="Y27" s="76">
        <v>1500</v>
      </c>
      <c r="Z27" s="76">
        <v>1500</v>
      </c>
      <c r="AA27" s="76">
        <v>1500</v>
      </c>
      <c r="AB27" s="76">
        <v>1500</v>
      </c>
      <c r="AC27" s="76">
        <v>1500</v>
      </c>
      <c r="AD27" s="76">
        <v>1500</v>
      </c>
      <c r="AE27" s="76">
        <v>1500</v>
      </c>
      <c r="AF27" s="76">
        <v>1500</v>
      </c>
      <c r="AG27" s="76">
        <v>1500</v>
      </c>
      <c r="AH27" s="77">
        <f t="shared" si="1"/>
        <v>13500</v>
      </c>
      <c r="AI27" s="108">
        <f>ERP_34[[#This Row],[2026 Working Total]]-ERP_34[[#This Row],[2026 LE0]]</f>
        <v>-4500</v>
      </c>
      <c r="AJ27" s="79"/>
      <c r="AK27" s="79"/>
      <c r="AL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" s="80"/>
      <c r="AN27" s="79">
        <f>ERP_34[[#This Row],[2026 Working Total to Budget/LE]]-ERP_34[[#This Row],[Giveback]]</f>
        <v>-4500</v>
      </c>
      <c r="AO27" s="81"/>
      <c r="AP27" s="81"/>
      <c r="AQ27" s="81"/>
      <c r="AR27" s="81"/>
      <c r="AS27" s="81">
        <v>1500</v>
      </c>
      <c r="AT27" s="81">
        <v>1500</v>
      </c>
      <c r="AU27" s="81">
        <v>1500</v>
      </c>
      <c r="AV27" s="81">
        <v>1500</v>
      </c>
      <c r="AW27" s="81">
        <v>1500</v>
      </c>
      <c r="AX27" s="81">
        <v>1500</v>
      </c>
      <c r="AY27" s="81">
        <v>1500</v>
      </c>
      <c r="AZ27" s="81">
        <v>1500</v>
      </c>
      <c r="BA27" s="81">
        <v>1500</v>
      </c>
      <c r="BB27" s="81">
        <v>13500</v>
      </c>
      <c r="BC27" s="79"/>
      <c r="BD27" s="79"/>
      <c r="BE27" s="79"/>
      <c r="BF27" s="79">
        <v>1500</v>
      </c>
      <c r="BG27" s="79">
        <v>1500</v>
      </c>
      <c r="BH27" s="79">
        <v>1500</v>
      </c>
      <c r="BI27" s="79">
        <v>1500</v>
      </c>
      <c r="BJ27" s="79">
        <v>1500</v>
      </c>
      <c r="BK27" s="79">
        <v>1500</v>
      </c>
      <c r="BL27" s="79">
        <v>1500</v>
      </c>
      <c r="BM27" s="79">
        <v>1500</v>
      </c>
      <c r="BN27" s="79">
        <v>1500</v>
      </c>
      <c r="BO27" s="79">
        <v>13500</v>
      </c>
    </row>
    <row r="28" spans="1:67">
      <c r="A28" s="66" t="s">
        <v>1994</v>
      </c>
      <c r="B28" s="66" t="str">
        <f>_xlfn.TEXTJOIN("_",,ERP_34[[#This Row],[LT Member -1*]],ERP_34[[#This Row],[Expense Category]],ERP_34[[#This Row],[Project Code*]])</f>
        <v>Yeluri, Durga_MANAGED SERVICES_2026-XFR-0033-A</v>
      </c>
      <c r="C28" s="67" t="s">
        <v>1136</v>
      </c>
      <c r="D28" s="67" t="s">
        <v>1345</v>
      </c>
      <c r="E28" s="67" t="s">
        <v>1437</v>
      </c>
      <c r="F28" s="67" t="s">
        <v>1346</v>
      </c>
      <c r="G28" s="68" t="s">
        <v>389</v>
      </c>
      <c r="H28" s="106" t="s">
        <v>1996</v>
      </c>
      <c r="I28" s="70"/>
      <c r="J28" s="70"/>
      <c r="K28" s="70" t="s">
        <v>518</v>
      </c>
      <c r="L28" s="70"/>
      <c r="M28" s="70"/>
      <c r="N28" s="70"/>
      <c r="O28" s="67" t="s">
        <v>152</v>
      </c>
      <c r="P28" s="67" t="s">
        <v>1997</v>
      </c>
      <c r="Q28" s="71"/>
      <c r="R28" s="72">
        <v>100000.00000000001</v>
      </c>
      <c r="S28" s="73">
        <v>60000</v>
      </c>
      <c r="T28" s="73">
        <v>100000.00000000001</v>
      </c>
      <c r="U28" s="71">
        <f>ERP_34[[#This Row],[LE2 Final Submission]]-ERP_34[[#This Row],[LE3 Final Submission]]</f>
        <v>-40000.000000000015</v>
      </c>
      <c r="V28" s="74"/>
      <c r="W28" s="75"/>
      <c r="X28" s="75"/>
      <c r="Y28" s="76"/>
      <c r="Z28" s="76"/>
      <c r="AA28" s="76"/>
      <c r="AB28" s="76">
        <v>10000</v>
      </c>
      <c r="AC28" s="76">
        <v>10000</v>
      </c>
      <c r="AD28" s="76">
        <v>10000</v>
      </c>
      <c r="AE28" s="76">
        <v>10000</v>
      </c>
      <c r="AF28" s="76">
        <v>10000</v>
      </c>
      <c r="AG28" s="76">
        <v>10000</v>
      </c>
      <c r="AH28" s="77">
        <f t="shared" si="1"/>
        <v>60000</v>
      </c>
      <c r="AI28" s="107">
        <f>ERP_34[[#This Row],[2026 Working Total]]-ERP_34[[#This Row],[2026 LE0]]</f>
        <v>-40000.000000000015</v>
      </c>
      <c r="AJ28" s="79"/>
      <c r="AK28" s="79"/>
      <c r="AL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" s="80"/>
      <c r="AN28" s="79">
        <f>ERP_34[[#This Row],[2026 Working Total to Budget/LE]]-ERP_34[[#This Row],[Giveback]]</f>
        <v>-40000.000000000015</v>
      </c>
      <c r="AO28" s="81" t="s">
        <v>1998</v>
      </c>
      <c r="AP28" s="81"/>
      <c r="AQ28" s="81"/>
      <c r="AR28" s="81"/>
      <c r="AS28" s="81"/>
      <c r="AT28" s="81"/>
      <c r="AU28" s="81"/>
      <c r="AV28" s="81">
        <v>10000</v>
      </c>
      <c r="AW28" s="81">
        <v>10000</v>
      </c>
      <c r="AX28" s="81">
        <v>10000</v>
      </c>
      <c r="AY28" s="81">
        <v>10000</v>
      </c>
      <c r="AZ28" s="81">
        <v>10000</v>
      </c>
      <c r="BA28" s="81">
        <v>10000</v>
      </c>
      <c r="BB28" s="81">
        <v>60000</v>
      </c>
      <c r="BC28" s="79"/>
      <c r="BD28" s="79"/>
      <c r="BE28" s="79"/>
      <c r="BF28" s="79">
        <v>10000</v>
      </c>
      <c r="BG28" s="79">
        <v>10000</v>
      </c>
      <c r="BH28" s="79">
        <v>10000</v>
      </c>
      <c r="BI28" s="79">
        <v>10000</v>
      </c>
      <c r="BJ28" s="79">
        <v>10000</v>
      </c>
      <c r="BK28" s="79">
        <v>10000</v>
      </c>
      <c r="BL28" s="79">
        <v>10000</v>
      </c>
      <c r="BM28" s="79">
        <v>10000</v>
      </c>
      <c r="BN28" s="79">
        <v>10000</v>
      </c>
      <c r="BO28" s="79">
        <v>90000</v>
      </c>
    </row>
    <row r="29" spans="1:67">
      <c r="A29" s="66" t="s">
        <v>2220</v>
      </c>
      <c r="B29" s="66" t="str">
        <f>_xlfn.TEXTJOIN("_",,ERP_34[[#This Row],[LT Member -1*]],ERP_34[[#This Row],[Expense Category]],ERP_34[[#This Row],[Project Code*]])</f>
        <v>Dougherty, Chris_SOFTWARE_2026-XFR-0034-A</v>
      </c>
      <c r="C29" s="67" t="s">
        <v>1136</v>
      </c>
      <c r="D29" s="67" t="s">
        <v>1135</v>
      </c>
      <c r="E29" s="67" t="s">
        <v>1135</v>
      </c>
      <c r="F29" s="67" t="s">
        <v>1137</v>
      </c>
      <c r="G29" s="68" t="s">
        <v>639</v>
      </c>
      <c r="H29" s="106" t="s">
        <v>2221</v>
      </c>
      <c r="I29" s="70"/>
      <c r="J29" s="70"/>
      <c r="K29" s="70" t="s">
        <v>650</v>
      </c>
      <c r="L29" s="70"/>
      <c r="M29" s="70"/>
      <c r="N29" s="70"/>
      <c r="O29" s="67" t="s">
        <v>152</v>
      </c>
      <c r="P29" s="67"/>
      <c r="Q29" s="71"/>
      <c r="R29" s="72">
        <v>0</v>
      </c>
      <c r="S29" s="73">
        <v>2475</v>
      </c>
      <c r="T29" s="73">
        <v>0</v>
      </c>
      <c r="U29" s="71">
        <f>ERP_34[[#This Row],[LE2 Final Submission]]-ERP_34[[#This Row],[LE3 Final Submission]]</f>
        <v>2475</v>
      </c>
      <c r="V29" s="74"/>
      <c r="W29" s="75"/>
      <c r="X29" s="75"/>
      <c r="Y29" s="76">
        <v>275</v>
      </c>
      <c r="Z29" s="76">
        <v>275</v>
      </c>
      <c r="AA29" s="76">
        <v>275</v>
      </c>
      <c r="AB29" s="76">
        <v>275</v>
      </c>
      <c r="AC29" s="76">
        <v>275</v>
      </c>
      <c r="AD29" s="76">
        <v>275</v>
      </c>
      <c r="AE29" s="76">
        <v>275</v>
      </c>
      <c r="AF29" s="76">
        <v>275</v>
      </c>
      <c r="AG29" s="76">
        <v>275</v>
      </c>
      <c r="AH29" s="77">
        <f t="shared" si="1"/>
        <v>2475</v>
      </c>
      <c r="AI29" s="108">
        <f>ERP_34[[#This Row],[2026 Working Total]]-ERP_34[[#This Row],[2026 LE0]]</f>
        <v>2475</v>
      </c>
      <c r="AJ29" s="79"/>
      <c r="AK29" s="79"/>
      <c r="AL2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" s="80"/>
      <c r="AN29" s="79">
        <f>ERP_34[[#This Row],[2026 Working Total to Budget/LE]]-ERP_34[[#This Row],[Giveback]]</f>
        <v>2475</v>
      </c>
      <c r="AO29" s="81"/>
      <c r="AP29" s="81"/>
      <c r="AQ29" s="81"/>
      <c r="AR29" s="81"/>
      <c r="AS29" s="81">
        <v>275</v>
      </c>
      <c r="AT29" s="81">
        <v>275</v>
      </c>
      <c r="AU29" s="81">
        <v>275</v>
      </c>
      <c r="AV29" s="81">
        <v>275</v>
      </c>
      <c r="AW29" s="81">
        <v>275</v>
      </c>
      <c r="AX29" s="81">
        <v>275</v>
      </c>
      <c r="AY29" s="81">
        <v>275</v>
      </c>
      <c r="AZ29" s="81">
        <v>275</v>
      </c>
      <c r="BA29" s="81">
        <v>275</v>
      </c>
      <c r="BB29" s="81">
        <v>2475</v>
      </c>
      <c r="BC29" s="79"/>
      <c r="BD29" s="79"/>
      <c r="BE29" s="79"/>
      <c r="BF29" s="79">
        <v>275</v>
      </c>
      <c r="BG29" s="79">
        <v>275</v>
      </c>
      <c r="BH29" s="79">
        <v>275</v>
      </c>
      <c r="BI29" s="79">
        <v>275</v>
      </c>
      <c r="BJ29" s="79">
        <v>275</v>
      </c>
      <c r="BK29" s="79">
        <v>275</v>
      </c>
      <c r="BL29" s="79">
        <v>275</v>
      </c>
      <c r="BM29" s="79">
        <v>275</v>
      </c>
      <c r="BN29" s="79">
        <v>275</v>
      </c>
      <c r="BO29" s="79">
        <v>2475</v>
      </c>
    </row>
    <row r="30" spans="1:67">
      <c r="A30" s="82" t="s">
        <v>2708</v>
      </c>
      <c r="B30" s="83" t="str">
        <f>_xlfn.TEXTJOIN("_",,ERP_34[[#This Row],[LT Member -1*]],ERP_34[[#This Row],[Expense Category]],ERP_34[[#This Row],[Project Code*]])</f>
        <v>Hovanyetz, Mike_SOFTWARE_2026-XFR-0034-A</v>
      </c>
      <c r="C30" s="67" t="s">
        <v>2959</v>
      </c>
      <c r="D30" s="84" t="s">
        <v>1345</v>
      </c>
      <c r="E30" s="120" t="s">
        <v>1480</v>
      </c>
      <c r="F30" s="68" t="s">
        <v>1346</v>
      </c>
      <c r="G30" s="85" t="s">
        <v>639</v>
      </c>
      <c r="H30" s="121" t="s">
        <v>2221</v>
      </c>
      <c r="I30" s="67"/>
      <c r="J30" s="67"/>
      <c r="K30" s="122" t="s">
        <v>650</v>
      </c>
      <c r="L30" s="111"/>
      <c r="M30" s="70"/>
      <c r="N30" s="90" t="s">
        <v>2960</v>
      </c>
      <c r="O30" s="122" t="s">
        <v>152</v>
      </c>
      <c r="P30" s="92" t="s">
        <v>2706</v>
      </c>
      <c r="Q30" s="93"/>
      <c r="R30" s="94">
        <v>3300</v>
      </c>
      <c r="S30" s="95">
        <v>0</v>
      </c>
      <c r="T30" s="112">
        <v>3300</v>
      </c>
      <c r="U30" s="113">
        <f>ERP_34[[#This Row],[LE2 Final Submission]]-ERP_34[[#This Row],[LE3 Final Submission]]</f>
        <v>-3300</v>
      </c>
      <c r="V30" s="98"/>
      <c r="W30" s="99"/>
      <c r="X30" s="99"/>
      <c r="Y30" s="100">
        <f t="shared" ref="Y30:AG30" si="5">275-275</f>
        <v>0</v>
      </c>
      <c r="Z30" s="100">
        <f t="shared" si="5"/>
        <v>0</v>
      </c>
      <c r="AA30" s="100">
        <f t="shared" si="5"/>
        <v>0</v>
      </c>
      <c r="AB30" s="100">
        <f t="shared" si="5"/>
        <v>0</v>
      </c>
      <c r="AC30" s="100">
        <f t="shared" si="5"/>
        <v>0</v>
      </c>
      <c r="AD30" s="100">
        <f t="shared" si="5"/>
        <v>0</v>
      </c>
      <c r="AE30" s="100">
        <f t="shared" si="5"/>
        <v>0</v>
      </c>
      <c r="AF30" s="100">
        <f t="shared" si="5"/>
        <v>0</v>
      </c>
      <c r="AG30" s="100">
        <f t="shared" si="5"/>
        <v>0</v>
      </c>
      <c r="AH30" s="101">
        <f t="shared" si="1"/>
        <v>0</v>
      </c>
      <c r="AI30" s="108">
        <f>ERP_34[[#This Row],[2026 Working Total]]-ERP_34[[#This Row],[2026 LE0]]</f>
        <v>-3300</v>
      </c>
      <c r="AJ30" s="79"/>
      <c r="AK30" s="79"/>
      <c r="AL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" s="80"/>
      <c r="AN30" s="79">
        <f>ERP_34[[#This Row],[2026 Working Total to Budget/LE]]-ERP_34[[#This Row],[Giveback]]</f>
        <v>-3300</v>
      </c>
      <c r="AO30" s="81"/>
      <c r="AP30" s="81"/>
      <c r="AQ30" s="81"/>
      <c r="AR30" s="81"/>
      <c r="AS30" s="81">
        <v>0</v>
      </c>
      <c r="AT30" s="81">
        <v>0</v>
      </c>
      <c r="AU30" s="81">
        <v>0</v>
      </c>
      <c r="AV30" s="81">
        <v>0</v>
      </c>
      <c r="AW30" s="81">
        <v>0</v>
      </c>
      <c r="AX30" s="81">
        <v>0</v>
      </c>
      <c r="AY30" s="81">
        <v>0</v>
      </c>
      <c r="AZ30" s="81">
        <v>0</v>
      </c>
      <c r="BA30" s="81">
        <v>0</v>
      </c>
      <c r="BB30" s="81">
        <v>0</v>
      </c>
      <c r="BC30" s="103">
        <v>275</v>
      </c>
      <c r="BD30" s="103">
        <v>275</v>
      </c>
      <c r="BE30" s="103">
        <v>275</v>
      </c>
      <c r="BF30" s="103">
        <v>275</v>
      </c>
      <c r="BG30" s="103">
        <v>275</v>
      </c>
      <c r="BH30" s="103">
        <v>275</v>
      </c>
      <c r="BI30" s="103">
        <v>275</v>
      </c>
      <c r="BJ30" s="103">
        <v>275</v>
      </c>
      <c r="BK30" s="103">
        <v>275</v>
      </c>
      <c r="BL30" s="103">
        <v>275</v>
      </c>
      <c r="BM30" s="103">
        <v>275</v>
      </c>
      <c r="BN30" s="103">
        <v>275</v>
      </c>
      <c r="BO30" s="82">
        <f>SUM(ERP_34[[#This Row],[2026 AP01]:[2026 AP12]])</f>
        <v>3300</v>
      </c>
    </row>
    <row r="31" spans="1:67">
      <c r="A31" s="66" t="s">
        <v>1999</v>
      </c>
      <c r="B31" s="66" t="str">
        <f>_xlfn.TEXTJOIN("_",,ERP_34[[#This Row],[LT Member -1*]],ERP_34[[#This Row],[Expense Category]],ERP_34[[#This Row],[Project Code*]])</f>
        <v>Yeluri, Durga_MANAGED SERVICES_2026-XFR-0035-A</v>
      </c>
      <c r="C31" s="67" t="s">
        <v>1136</v>
      </c>
      <c r="D31" s="67" t="s">
        <v>1345</v>
      </c>
      <c r="E31" s="67" t="s">
        <v>1437</v>
      </c>
      <c r="F31" s="67" t="s">
        <v>1346</v>
      </c>
      <c r="G31" s="68" t="s">
        <v>389</v>
      </c>
      <c r="H31" s="106" t="s">
        <v>2001</v>
      </c>
      <c r="I31" s="70"/>
      <c r="J31" s="70"/>
      <c r="K31" s="70" t="s">
        <v>520</v>
      </c>
      <c r="L31" s="70"/>
      <c r="M31" s="70"/>
      <c r="N31" s="70"/>
      <c r="O31" s="67" t="s">
        <v>152</v>
      </c>
      <c r="P31" s="67" t="s">
        <v>1997</v>
      </c>
      <c r="Q31" s="71"/>
      <c r="R31" s="72">
        <v>64999.999999999985</v>
      </c>
      <c r="S31" s="73">
        <v>39000</v>
      </c>
      <c r="T31" s="73">
        <v>64999.999999999985</v>
      </c>
      <c r="U31" s="71">
        <f>ERP_34[[#This Row],[LE2 Final Submission]]-ERP_34[[#This Row],[LE3 Final Submission]]</f>
        <v>-25999.999999999985</v>
      </c>
      <c r="V31" s="74"/>
      <c r="W31" s="75"/>
      <c r="X31" s="75"/>
      <c r="Y31" s="76"/>
      <c r="Z31" s="76"/>
      <c r="AA31" s="76"/>
      <c r="AB31" s="76">
        <v>6500</v>
      </c>
      <c r="AC31" s="76">
        <v>6500</v>
      </c>
      <c r="AD31" s="76">
        <v>6500</v>
      </c>
      <c r="AE31" s="76">
        <v>6500</v>
      </c>
      <c r="AF31" s="76">
        <v>6500</v>
      </c>
      <c r="AG31" s="76">
        <v>6500</v>
      </c>
      <c r="AH31" s="77">
        <f t="shared" si="1"/>
        <v>39000</v>
      </c>
      <c r="AI31" s="107">
        <f>ERP_34[[#This Row],[2026 Working Total]]-ERP_34[[#This Row],[2026 LE0]]</f>
        <v>-25999.999999999985</v>
      </c>
      <c r="AJ31" s="79"/>
      <c r="AK31" s="79"/>
      <c r="AL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" s="80"/>
      <c r="AN31" s="79">
        <f>ERP_34[[#This Row],[2026 Working Total to Budget/LE]]-ERP_34[[#This Row],[Giveback]]</f>
        <v>-25999.999999999985</v>
      </c>
      <c r="AO31" s="81" t="s">
        <v>1998</v>
      </c>
      <c r="AP31" s="81"/>
      <c r="AQ31" s="81"/>
      <c r="AR31" s="81"/>
      <c r="AS31" s="81"/>
      <c r="AT31" s="81"/>
      <c r="AU31" s="81"/>
      <c r="AV31" s="81">
        <v>6500</v>
      </c>
      <c r="AW31" s="81">
        <v>6500</v>
      </c>
      <c r="AX31" s="81">
        <v>6500</v>
      </c>
      <c r="AY31" s="81">
        <v>6500</v>
      </c>
      <c r="AZ31" s="81">
        <v>6500</v>
      </c>
      <c r="BA31" s="81">
        <v>6500</v>
      </c>
      <c r="BB31" s="81">
        <v>39000</v>
      </c>
      <c r="BC31" s="79"/>
      <c r="BD31" s="79"/>
      <c r="BE31" s="79"/>
      <c r="BF31" s="79">
        <v>6500</v>
      </c>
      <c r="BG31" s="79">
        <v>6500</v>
      </c>
      <c r="BH31" s="79">
        <v>6500</v>
      </c>
      <c r="BI31" s="79">
        <v>6500</v>
      </c>
      <c r="BJ31" s="79">
        <v>6500</v>
      </c>
      <c r="BK31" s="79">
        <v>6500</v>
      </c>
      <c r="BL31" s="79">
        <v>6500</v>
      </c>
      <c r="BM31" s="79">
        <v>6500</v>
      </c>
      <c r="BN31" s="79">
        <v>6500</v>
      </c>
      <c r="BO31" s="79">
        <v>58500</v>
      </c>
    </row>
    <row r="32" spans="1:67">
      <c r="A32" s="123" t="s">
        <v>2222</v>
      </c>
      <c r="B32" s="66" t="str">
        <f>_xlfn.TEXTJOIN("_",,ERP_34[[#This Row],[LT Member -1*]],ERP_34[[#This Row],[Expense Category]],ERP_34[[#This Row],[Project Code*]])</f>
        <v>Tamavada, Ram_SOFTWARE_2026-XFR-0036-A</v>
      </c>
      <c r="C32" s="67" t="s">
        <v>1136</v>
      </c>
      <c r="D32" s="67" t="s">
        <v>1135</v>
      </c>
      <c r="E32" s="67" t="s">
        <v>1165</v>
      </c>
      <c r="F32" s="67" t="s">
        <v>1137</v>
      </c>
      <c r="G32" s="68" t="s">
        <v>639</v>
      </c>
      <c r="H32" s="106" t="s">
        <v>2224</v>
      </c>
      <c r="I32" s="70"/>
      <c r="J32" s="70"/>
      <c r="K32" s="114" t="s">
        <v>652</v>
      </c>
      <c r="L32" s="70"/>
      <c r="M32" s="70"/>
      <c r="N32" s="70"/>
      <c r="O32" s="67" t="s">
        <v>152</v>
      </c>
      <c r="P32" s="67"/>
      <c r="Q32" s="71"/>
      <c r="R32" s="72">
        <v>0</v>
      </c>
      <c r="S32" s="73">
        <v>-118715.37</v>
      </c>
      <c r="T32" s="73">
        <v>0</v>
      </c>
      <c r="U32" s="71">
        <f>ERP_34[[#This Row],[LE2 Final Submission]]-ERP_34[[#This Row],[LE3 Final Submission]]</f>
        <v>-118715.37</v>
      </c>
      <c r="V32" s="74"/>
      <c r="W32" s="75">
        <v>-118715.37</v>
      </c>
      <c r="X32" s="124">
        <v>0</v>
      </c>
      <c r="Y32" s="109">
        <v>0</v>
      </c>
      <c r="Z32" s="109">
        <v>0</v>
      </c>
      <c r="AA32" s="109">
        <v>0</v>
      </c>
      <c r="AB32" s="109">
        <v>0</v>
      </c>
      <c r="AC32" s="109"/>
      <c r="AD32" s="109">
        <v>0</v>
      </c>
      <c r="AE32" s="109">
        <v>0</v>
      </c>
      <c r="AF32" s="109">
        <v>0</v>
      </c>
      <c r="AG32" s="109">
        <v>0</v>
      </c>
      <c r="AH32" s="104">
        <f t="shared" si="1"/>
        <v>-118715.37</v>
      </c>
      <c r="AI32" s="105">
        <f>ERP_34[[#This Row],[2026 Working Total]]-ERP_34[[#This Row],[2026 LE0]]</f>
        <v>-118715.37</v>
      </c>
      <c r="AJ32" s="79"/>
      <c r="AK32" s="79"/>
      <c r="AL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" s="80"/>
      <c r="AN32" s="79">
        <f>ERP_34[[#This Row],[2026 Working Total to Budget/LE]]-ERP_34[[#This Row],[Giveback]]</f>
        <v>-118715.37</v>
      </c>
      <c r="AO32" s="81"/>
      <c r="AP32" s="81"/>
      <c r="AQ32" s="81">
        <v>-118715.37</v>
      </c>
      <c r="AR32" s="81">
        <v>0</v>
      </c>
      <c r="AS32" s="81">
        <v>0</v>
      </c>
      <c r="AT32" s="81">
        <v>0</v>
      </c>
      <c r="AU32" s="81">
        <v>0</v>
      </c>
      <c r="AV32" s="81">
        <v>0</v>
      </c>
      <c r="AW32" s="81"/>
      <c r="AX32" s="81">
        <v>0</v>
      </c>
      <c r="AY32" s="81">
        <v>0</v>
      </c>
      <c r="AZ32" s="81">
        <v>0</v>
      </c>
      <c r="BA32" s="81">
        <v>0</v>
      </c>
      <c r="BB32" s="81">
        <v>-118715.37</v>
      </c>
      <c r="BC32" s="79"/>
      <c r="BD32" s="79">
        <v>-118715.37</v>
      </c>
      <c r="BE32" s="79">
        <v>0</v>
      </c>
      <c r="BF32" s="79">
        <v>0</v>
      </c>
      <c r="BG32" s="79">
        <v>0</v>
      </c>
      <c r="BH32" s="79">
        <v>0</v>
      </c>
      <c r="BI32" s="79">
        <v>0</v>
      </c>
      <c r="BJ32" s="79">
        <v>0</v>
      </c>
      <c r="BK32" s="79">
        <v>0</v>
      </c>
      <c r="BL32" s="79">
        <v>0</v>
      </c>
      <c r="BM32" s="79">
        <v>0</v>
      </c>
      <c r="BN32" s="79">
        <v>0</v>
      </c>
      <c r="BO32" s="79">
        <v>-118715.37</v>
      </c>
    </row>
    <row r="33" spans="1:67">
      <c r="A33" s="82" t="s">
        <v>1353</v>
      </c>
      <c r="B33" s="83" t="str">
        <f>_xlfn.TEXTJOIN("_",,ERP_34[[#This Row],[LT Member -1*]],ERP_34[[#This Row],[Expense Category]],ERP_34[[#This Row],[Project Code*]])</f>
        <v>Ganesan, Srinivasan_CONTRACTORS_2026-XFR-0043-A</v>
      </c>
      <c r="C33" s="67" t="s">
        <v>2959</v>
      </c>
      <c r="D33" s="84" t="s">
        <v>1345</v>
      </c>
      <c r="E33" s="85" t="s">
        <v>1344</v>
      </c>
      <c r="F33" s="68" t="s">
        <v>1346</v>
      </c>
      <c r="G33" s="85" t="s">
        <v>49</v>
      </c>
      <c r="H33" s="110" t="s">
        <v>1354</v>
      </c>
      <c r="I33" s="67"/>
      <c r="J33" s="67"/>
      <c r="K33" s="91" t="s">
        <v>156</v>
      </c>
      <c r="L33" s="111"/>
      <c r="M33" s="70"/>
      <c r="N33" s="90" t="s">
        <v>2960</v>
      </c>
      <c r="O33" s="91" t="s">
        <v>152</v>
      </c>
      <c r="P33" s="92" t="s">
        <v>1348</v>
      </c>
      <c r="Q33" s="93"/>
      <c r="R33" s="94">
        <v>70000.000000000015</v>
      </c>
      <c r="S33" s="95">
        <v>0</v>
      </c>
      <c r="T33" s="112">
        <v>70000.000000000015</v>
      </c>
      <c r="U33" s="113">
        <f>ERP_34[[#This Row],[LE2 Final Submission]]-ERP_34[[#This Row],[LE3 Final Submission]]</f>
        <v>-70000.000000000015</v>
      </c>
      <c r="V33" s="98"/>
      <c r="W33" s="99"/>
      <c r="X33" s="99"/>
      <c r="Y33" s="100">
        <v>0</v>
      </c>
      <c r="Z33" s="100">
        <v>0</v>
      </c>
      <c r="AA33" s="10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1">
        <f t="shared" si="1"/>
        <v>0</v>
      </c>
      <c r="AI33" s="108">
        <f>ERP_34[[#This Row],[2026 Working Total]]-ERP_34[[#This Row],[2026 LE0]]</f>
        <v>-70000.000000000015</v>
      </c>
      <c r="AJ33" s="79"/>
      <c r="AK33" s="79"/>
      <c r="AL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" s="80">
        <v>70000</v>
      </c>
      <c r="AN33" s="79">
        <f>ERP_34[[#This Row],[2026 Working Total to Budget/LE]]-ERP_34[[#This Row],[Giveback]]</f>
        <v>-140000</v>
      </c>
      <c r="AO33" s="81" t="s">
        <v>1349</v>
      </c>
      <c r="AP33" s="81"/>
      <c r="AQ33" s="81"/>
      <c r="AR33" s="81"/>
      <c r="AS33" s="81">
        <v>0</v>
      </c>
      <c r="AT33" s="81">
        <v>0</v>
      </c>
      <c r="AU33" s="81">
        <v>0</v>
      </c>
      <c r="AV33" s="81">
        <v>0</v>
      </c>
      <c r="AW33" s="81">
        <v>0</v>
      </c>
      <c r="AX33" s="81">
        <v>0</v>
      </c>
      <c r="AY33" s="81">
        <v>0</v>
      </c>
      <c r="AZ33" s="81">
        <v>0</v>
      </c>
      <c r="BA33" s="81">
        <v>0</v>
      </c>
      <c r="BB33" s="81">
        <v>0</v>
      </c>
      <c r="BC33" s="103">
        <v>5833.37</v>
      </c>
      <c r="BD33" s="103">
        <v>5833.33</v>
      </c>
      <c r="BE33" s="103">
        <v>5833.33</v>
      </c>
      <c r="BF33" s="103">
        <v>5833.33</v>
      </c>
      <c r="BG33" s="103">
        <v>5833.33</v>
      </c>
      <c r="BH33" s="103">
        <v>5833.33</v>
      </c>
      <c r="BI33" s="103">
        <v>5833.33</v>
      </c>
      <c r="BJ33" s="103">
        <v>5833.33</v>
      </c>
      <c r="BK33" s="103">
        <v>5833.33</v>
      </c>
      <c r="BL33" s="103">
        <v>5833.33</v>
      </c>
      <c r="BM33" s="103">
        <v>5833.33</v>
      </c>
      <c r="BN33" s="103">
        <v>5833.33</v>
      </c>
      <c r="BO33" s="82">
        <f>SUM(ERP_34[[#This Row],[2026 AP01]:[2026 AP12]])</f>
        <v>70000.000000000015</v>
      </c>
    </row>
    <row r="34" spans="1:67">
      <c r="A34" s="66" t="s">
        <v>1519</v>
      </c>
      <c r="B34" s="66" t="str">
        <f>_xlfn.TEXTJOIN("_",,ERP_34[[#This Row],[LT Member -1*]],ERP_34[[#This Row],[Expense Category]],ERP_34[[#This Row],[Project Code*]])</f>
        <v>Jajodia, Amit_CONTRACTORS_2026-XFR-0050-A</v>
      </c>
      <c r="C34" s="67" t="s">
        <v>1136</v>
      </c>
      <c r="D34" s="67" t="s">
        <v>1345</v>
      </c>
      <c r="E34" s="67" t="s">
        <v>1515</v>
      </c>
      <c r="F34" s="67" t="s">
        <v>1346</v>
      </c>
      <c r="G34" s="68" t="s">
        <v>49</v>
      </c>
      <c r="H34" s="106" t="s">
        <v>1520</v>
      </c>
      <c r="I34" s="70"/>
      <c r="J34" s="70"/>
      <c r="K34" s="70" t="s">
        <v>241</v>
      </c>
      <c r="L34" s="70"/>
      <c r="M34" s="70"/>
      <c r="N34" s="70"/>
      <c r="O34" s="67" t="s">
        <v>152</v>
      </c>
      <c r="P34" s="67" t="s">
        <v>1521</v>
      </c>
      <c r="Q34" s="71"/>
      <c r="R34" s="72">
        <v>150000</v>
      </c>
      <c r="S34" s="73">
        <v>0</v>
      </c>
      <c r="T34" s="73">
        <v>150000</v>
      </c>
      <c r="U34" s="71">
        <f>ERP_34[[#This Row],[LE2 Final Submission]]-ERP_34[[#This Row],[LE3 Final Submission]]</f>
        <v>-150000</v>
      </c>
      <c r="V34" s="74"/>
      <c r="W34" s="75"/>
      <c r="X34" s="75"/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6">
        <v>0</v>
      </c>
      <c r="AG34" s="76">
        <v>0</v>
      </c>
      <c r="AH34" s="77">
        <f t="shared" si="1"/>
        <v>0</v>
      </c>
      <c r="AI34" s="108">
        <f>ERP_34[[#This Row],[2026 Working Total]]-ERP_34[[#This Row],[2026 LE0]]</f>
        <v>-150000</v>
      </c>
      <c r="AJ34" s="79"/>
      <c r="AK34" s="79"/>
      <c r="AL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" s="80"/>
      <c r="AN34" s="79">
        <f>ERP_34[[#This Row],[2026 Working Total to Budget/LE]]-ERP_34[[#This Row],[Giveback]]</f>
        <v>-150000</v>
      </c>
      <c r="AO34" s="81"/>
      <c r="AP34" s="81"/>
      <c r="AQ34" s="81"/>
      <c r="AR34" s="81"/>
      <c r="AS34" s="81">
        <v>0</v>
      </c>
      <c r="AT34" s="81">
        <v>0</v>
      </c>
      <c r="AU34" s="81">
        <v>0</v>
      </c>
      <c r="AV34" s="81">
        <v>0</v>
      </c>
      <c r="AW34" s="81">
        <v>0</v>
      </c>
      <c r="AX34" s="81">
        <v>0</v>
      </c>
      <c r="AY34" s="81">
        <v>0</v>
      </c>
      <c r="AZ34" s="81">
        <v>0</v>
      </c>
      <c r="BA34" s="81">
        <v>0</v>
      </c>
      <c r="BB34" s="81">
        <v>0</v>
      </c>
      <c r="BC34" s="79"/>
      <c r="BD34" s="79"/>
      <c r="BE34" s="79"/>
      <c r="BF34" s="79">
        <v>12500</v>
      </c>
      <c r="BG34" s="79">
        <v>12500</v>
      </c>
      <c r="BH34" s="79">
        <v>12500</v>
      </c>
      <c r="BI34" s="79">
        <v>12500</v>
      </c>
      <c r="BJ34" s="79">
        <v>12500</v>
      </c>
      <c r="BK34" s="79">
        <v>12500</v>
      </c>
      <c r="BL34" s="79">
        <v>12500</v>
      </c>
      <c r="BM34" s="79">
        <v>12500</v>
      </c>
      <c r="BN34" s="79">
        <v>12500</v>
      </c>
      <c r="BO34" s="79">
        <v>112500</v>
      </c>
    </row>
    <row r="35" spans="1:67">
      <c r="A35" s="82" t="s">
        <v>1355</v>
      </c>
      <c r="B35" s="83" t="str">
        <f>_xlfn.TEXTJOIN("_",,ERP_34[[#This Row],[LT Member -1*]],ERP_34[[#This Row],[Expense Category]],ERP_34[[#This Row],[Project Code*]])</f>
        <v>Ganesan, Srinivasan_CONTRACTORS_2026-XFR-0051-A</v>
      </c>
      <c r="C35" s="67" t="s">
        <v>2959</v>
      </c>
      <c r="D35" s="84" t="s">
        <v>1345</v>
      </c>
      <c r="E35" s="85" t="s">
        <v>1344</v>
      </c>
      <c r="F35" s="68" t="s">
        <v>1346</v>
      </c>
      <c r="G35" s="85" t="s">
        <v>49</v>
      </c>
      <c r="H35" s="110" t="s">
        <v>1356</v>
      </c>
      <c r="I35" s="67"/>
      <c r="J35" s="67"/>
      <c r="K35" s="91" t="s">
        <v>158</v>
      </c>
      <c r="L35" s="111"/>
      <c r="M35" s="70"/>
      <c r="N35" s="90" t="s">
        <v>2960</v>
      </c>
      <c r="O35" s="91" t="s">
        <v>152</v>
      </c>
      <c r="P35" s="92" t="s">
        <v>1348</v>
      </c>
      <c r="Q35" s="93"/>
      <c r="R35" s="94">
        <v>140000</v>
      </c>
      <c r="S35" s="95">
        <v>0</v>
      </c>
      <c r="T35" s="112">
        <v>140000</v>
      </c>
      <c r="U35" s="113">
        <f>ERP_34[[#This Row],[LE2 Final Submission]]-ERP_34[[#This Row],[LE3 Final Submission]]</f>
        <v>-140000</v>
      </c>
      <c r="V35" s="98"/>
      <c r="W35" s="99"/>
      <c r="X35" s="99"/>
      <c r="Y35" s="100">
        <v>0</v>
      </c>
      <c r="Z35" s="100">
        <v>0</v>
      </c>
      <c r="AA35" s="100">
        <v>0</v>
      </c>
      <c r="AB35" s="100">
        <v>0</v>
      </c>
      <c r="AC35" s="100">
        <v>0</v>
      </c>
      <c r="AD35" s="100">
        <v>0</v>
      </c>
      <c r="AE35" s="100">
        <v>0</v>
      </c>
      <c r="AF35" s="100">
        <v>0</v>
      </c>
      <c r="AG35" s="100">
        <v>0</v>
      </c>
      <c r="AH35" s="101">
        <f t="shared" si="1"/>
        <v>0</v>
      </c>
      <c r="AI35" s="108">
        <f>ERP_34[[#This Row],[2026 Working Total]]-ERP_34[[#This Row],[2026 LE0]]</f>
        <v>-140000</v>
      </c>
      <c r="AJ35" s="79"/>
      <c r="AK35" s="79"/>
      <c r="AL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" s="80">
        <v>140000</v>
      </c>
      <c r="AN35" s="79">
        <f>ERP_34[[#This Row],[2026 Working Total to Budget/LE]]-ERP_34[[#This Row],[Giveback]]</f>
        <v>-280000</v>
      </c>
      <c r="AO35" s="81" t="s">
        <v>1349</v>
      </c>
      <c r="AP35" s="81"/>
      <c r="AQ35" s="81"/>
      <c r="AR35" s="81"/>
      <c r="AS35" s="81">
        <v>0</v>
      </c>
      <c r="AT35" s="81">
        <v>0</v>
      </c>
      <c r="AU35" s="81">
        <v>0</v>
      </c>
      <c r="AV35" s="81">
        <v>0</v>
      </c>
      <c r="AW35" s="81">
        <v>0</v>
      </c>
      <c r="AX35" s="81">
        <v>0</v>
      </c>
      <c r="AY35" s="81">
        <v>0</v>
      </c>
      <c r="AZ35" s="81">
        <v>0</v>
      </c>
      <c r="BA35" s="81">
        <v>0</v>
      </c>
      <c r="BB35" s="81">
        <v>0</v>
      </c>
      <c r="BC35" s="103">
        <v>11666.63</v>
      </c>
      <c r="BD35" s="103">
        <v>11666.67</v>
      </c>
      <c r="BE35" s="103">
        <v>11666.67</v>
      </c>
      <c r="BF35" s="103">
        <v>11666.67</v>
      </c>
      <c r="BG35" s="103">
        <v>11666.67</v>
      </c>
      <c r="BH35" s="103">
        <v>11666.67</v>
      </c>
      <c r="BI35" s="103">
        <v>11666.67</v>
      </c>
      <c r="BJ35" s="103">
        <v>11666.67</v>
      </c>
      <c r="BK35" s="103">
        <v>11666.67</v>
      </c>
      <c r="BL35" s="103">
        <v>11666.67</v>
      </c>
      <c r="BM35" s="103">
        <v>11666.67</v>
      </c>
      <c r="BN35" s="103">
        <v>11666.67</v>
      </c>
      <c r="BO35" s="82">
        <f>SUM(ERP_34[[#This Row],[2026 AP01]:[2026 AP12]])</f>
        <v>140000</v>
      </c>
    </row>
    <row r="36" spans="1:67">
      <c r="A36" s="82" t="s">
        <v>1522</v>
      </c>
      <c r="B36" s="83" t="str">
        <f>_xlfn.TEXTJOIN("_",,ERP_34[[#This Row],[LT Member -1*]],ERP_34[[#This Row],[Expense Category]],ERP_34[[#This Row],[Project Code*]])</f>
        <v>Jajodia, Amit_CONTRACTORS_2026-XFR-0053-A</v>
      </c>
      <c r="C36" s="67" t="s">
        <v>2959</v>
      </c>
      <c r="D36" s="84" t="s">
        <v>1345</v>
      </c>
      <c r="E36" s="85" t="s">
        <v>1515</v>
      </c>
      <c r="F36" s="68" t="s">
        <v>1346</v>
      </c>
      <c r="G36" s="85" t="s">
        <v>49</v>
      </c>
      <c r="H36" s="116" t="s">
        <v>1523</v>
      </c>
      <c r="I36" s="67"/>
      <c r="J36" s="67"/>
      <c r="K36" s="91" t="s">
        <v>243</v>
      </c>
      <c r="L36" s="111"/>
      <c r="M36" s="70"/>
      <c r="N36" s="90" t="s">
        <v>2960</v>
      </c>
      <c r="O36" s="91" t="s">
        <v>152</v>
      </c>
      <c r="P36" s="118" t="s">
        <v>1348</v>
      </c>
      <c r="Q36" s="93"/>
      <c r="R36" s="94">
        <v>-199716</v>
      </c>
      <c r="S36" s="95">
        <v>-149787</v>
      </c>
      <c r="T36" s="112">
        <v>-199716</v>
      </c>
      <c r="U36" s="113">
        <f>ERP_34[[#This Row],[LE2 Final Submission]]-ERP_34[[#This Row],[LE3 Final Submission]]</f>
        <v>49929</v>
      </c>
      <c r="V36" s="98"/>
      <c r="W36" s="99"/>
      <c r="X36" s="99"/>
      <c r="Y36" s="125">
        <v>-16643</v>
      </c>
      <c r="Z36" s="100">
        <v>-16643</v>
      </c>
      <c r="AA36" s="100">
        <v>-16643</v>
      </c>
      <c r="AB36" s="100">
        <v>-16643</v>
      </c>
      <c r="AC36" s="100">
        <v>-16643</v>
      </c>
      <c r="AD36" s="100">
        <v>-16643</v>
      </c>
      <c r="AE36" s="100">
        <v>-16643</v>
      </c>
      <c r="AF36" s="100">
        <v>-16643</v>
      </c>
      <c r="AG36" s="100">
        <v>-16643</v>
      </c>
      <c r="AH36" s="101">
        <f t="shared" si="1"/>
        <v>-149787</v>
      </c>
      <c r="AI36" s="115">
        <f>ERP_34[[#This Row],[2026 Working Total]]-ERP_34[[#This Row],[2026 LE0]]</f>
        <v>49929</v>
      </c>
      <c r="AJ36" s="79"/>
      <c r="AK36" s="79"/>
      <c r="AL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" s="80"/>
      <c r="AN36" s="79">
        <f>ERP_34[[#This Row],[2026 Working Total to Budget/LE]]-ERP_34[[#This Row],[Giveback]]</f>
        <v>49929</v>
      </c>
      <c r="AO36" s="81"/>
      <c r="AP36" s="81"/>
      <c r="AQ36" s="81"/>
      <c r="AR36" s="81"/>
      <c r="AS36" s="81">
        <v>-16643</v>
      </c>
      <c r="AT36" s="81">
        <v>-16643</v>
      </c>
      <c r="AU36" s="81">
        <v>-16643</v>
      </c>
      <c r="AV36" s="81">
        <v>-16643</v>
      </c>
      <c r="AW36" s="81">
        <v>-16643</v>
      </c>
      <c r="AX36" s="81">
        <v>-16643</v>
      </c>
      <c r="AY36" s="81">
        <v>-16643</v>
      </c>
      <c r="AZ36" s="81">
        <v>-16643</v>
      </c>
      <c r="BA36" s="81">
        <v>-16643</v>
      </c>
      <c r="BB36" s="81">
        <v>-149787</v>
      </c>
      <c r="BC36" s="103">
        <v>-16643</v>
      </c>
      <c r="BD36" s="103">
        <v>-16643</v>
      </c>
      <c r="BE36" s="103">
        <v>-16643</v>
      </c>
      <c r="BF36" s="103">
        <v>-16643</v>
      </c>
      <c r="BG36" s="103">
        <v>-16643</v>
      </c>
      <c r="BH36" s="103">
        <v>-16643</v>
      </c>
      <c r="BI36" s="103">
        <v>-16643</v>
      </c>
      <c r="BJ36" s="103">
        <v>-16643</v>
      </c>
      <c r="BK36" s="103">
        <v>-16643</v>
      </c>
      <c r="BL36" s="103">
        <v>-16643</v>
      </c>
      <c r="BM36" s="103">
        <v>-16643</v>
      </c>
      <c r="BN36" s="103">
        <v>-16643</v>
      </c>
      <c r="BO36" s="82">
        <f>SUM(ERP_34[[#This Row],[2026 AP01]:[2026 AP12]])</f>
        <v>-199716</v>
      </c>
    </row>
    <row r="37" spans="1:67">
      <c r="A37" s="82" t="s">
        <v>1525</v>
      </c>
      <c r="B37" s="83" t="str">
        <f>_xlfn.TEXTJOIN("_",,ERP_34[[#This Row],[LT Member -1*]],ERP_34[[#This Row],[Expense Category]],ERP_34[[#This Row],[Project Code*]])</f>
        <v>Jajodia, Amit_CONTRACTORS_2026-XFR-0054-A</v>
      </c>
      <c r="C37" s="67" t="s">
        <v>2959</v>
      </c>
      <c r="D37" s="84" t="s">
        <v>1345</v>
      </c>
      <c r="E37" s="85" t="s">
        <v>1515</v>
      </c>
      <c r="F37" s="68" t="s">
        <v>1346</v>
      </c>
      <c r="G37" s="85" t="s">
        <v>49</v>
      </c>
      <c r="H37" s="116" t="s">
        <v>1526</v>
      </c>
      <c r="I37" s="67"/>
      <c r="J37" s="67"/>
      <c r="K37" s="91" t="s">
        <v>245</v>
      </c>
      <c r="L37" s="111"/>
      <c r="M37" s="70"/>
      <c r="N37" s="90" t="s">
        <v>2960</v>
      </c>
      <c r="O37" s="91" t="s">
        <v>152</v>
      </c>
      <c r="P37" s="118" t="s">
        <v>1348</v>
      </c>
      <c r="Q37" s="93"/>
      <c r="R37" s="94">
        <v>-289999.99999999988</v>
      </c>
      <c r="S37" s="95">
        <v>-217500.02999999997</v>
      </c>
      <c r="T37" s="112">
        <v>-289999.99999999988</v>
      </c>
      <c r="U37" s="113">
        <f>ERP_34[[#This Row],[LE2 Final Submission]]-ERP_34[[#This Row],[LE3 Final Submission]]</f>
        <v>72499.969999999914</v>
      </c>
      <c r="V37" s="98"/>
      <c r="W37" s="99"/>
      <c r="X37" s="99"/>
      <c r="Y37" s="125">
        <v>-24166.67</v>
      </c>
      <c r="Z37" s="100">
        <v>-24166.67</v>
      </c>
      <c r="AA37" s="100">
        <v>-24166.67</v>
      </c>
      <c r="AB37" s="100">
        <v>-24166.67</v>
      </c>
      <c r="AC37" s="100">
        <v>-24166.67</v>
      </c>
      <c r="AD37" s="100">
        <v>-24166.67</v>
      </c>
      <c r="AE37" s="100">
        <v>-24166.67</v>
      </c>
      <c r="AF37" s="100">
        <v>-24166.67</v>
      </c>
      <c r="AG37" s="100">
        <v>-24166.67</v>
      </c>
      <c r="AH37" s="101">
        <f t="shared" si="1"/>
        <v>-217500.02999999997</v>
      </c>
      <c r="AI37" s="115">
        <f>ERP_34[[#This Row],[2026 Working Total]]-ERP_34[[#This Row],[2026 LE0]]</f>
        <v>72499.969999999914</v>
      </c>
      <c r="AJ37" s="79"/>
      <c r="AK37" s="79"/>
      <c r="AL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" s="80"/>
      <c r="AN37" s="79">
        <f>ERP_34[[#This Row],[2026 Working Total to Budget/LE]]-ERP_34[[#This Row],[Giveback]]</f>
        <v>72499.969999999914</v>
      </c>
      <c r="AO37" s="81"/>
      <c r="AP37" s="81"/>
      <c r="AQ37" s="81"/>
      <c r="AR37" s="81"/>
      <c r="AS37" s="81">
        <v>-24166.67</v>
      </c>
      <c r="AT37" s="81">
        <v>-24166.67</v>
      </c>
      <c r="AU37" s="81">
        <v>-24166.67</v>
      </c>
      <c r="AV37" s="81">
        <v>-24166.67</v>
      </c>
      <c r="AW37" s="81">
        <v>-24166.67</v>
      </c>
      <c r="AX37" s="81">
        <v>-24166.67</v>
      </c>
      <c r="AY37" s="81">
        <v>-24166.67</v>
      </c>
      <c r="AZ37" s="81">
        <v>-24166.67</v>
      </c>
      <c r="BA37" s="81">
        <v>-24166.67</v>
      </c>
      <c r="BB37" s="81">
        <v>-217500.02999999997</v>
      </c>
      <c r="BC37" s="103">
        <v>-24166.63</v>
      </c>
      <c r="BD37" s="103">
        <v>-24166.67</v>
      </c>
      <c r="BE37" s="103">
        <v>-24166.67</v>
      </c>
      <c r="BF37" s="103">
        <v>-24166.67</v>
      </c>
      <c r="BG37" s="103">
        <v>-24166.67</v>
      </c>
      <c r="BH37" s="103">
        <v>-24166.67</v>
      </c>
      <c r="BI37" s="103">
        <v>-24166.67</v>
      </c>
      <c r="BJ37" s="103">
        <v>-24166.67</v>
      </c>
      <c r="BK37" s="103">
        <v>-24166.67</v>
      </c>
      <c r="BL37" s="103">
        <v>-24166.67</v>
      </c>
      <c r="BM37" s="103">
        <v>-24166.67</v>
      </c>
      <c r="BN37" s="103">
        <v>-24166.67</v>
      </c>
      <c r="BO37" s="82">
        <f>SUM(ERP_34[[#This Row],[2026 AP01]:[2026 AP12]])</f>
        <v>-289999.99999999988</v>
      </c>
    </row>
    <row r="38" spans="1:67">
      <c r="A38" s="66" t="s">
        <v>2709</v>
      </c>
      <c r="B38" s="66" t="str">
        <f>_xlfn.TEXTJOIN("_",,ERP_34[[#This Row],[LT Member -1*]],ERP_34[[#This Row],[Expense Category]],ERP_34[[#This Row],[Project Code*]])</f>
        <v>Hovanyetz, Mike_SOFTWARE_2026-XFR-0059-A</v>
      </c>
      <c r="C38" s="67" t="s">
        <v>1136</v>
      </c>
      <c r="D38" s="67" t="s">
        <v>1345</v>
      </c>
      <c r="E38" s="67" t="s">
        <v>1480</v>
      </c>
      <c r="F38" s="67" t="s">
        <v>1346</v>
      </c>
      <c r="G38" s="68" t="s">
        <v>639</v>
      </c>
      <c r="H38" s="106" t="s">
        <v>2710</v>
      </c>
      <c r="I38" s="70"/>
      <c r="J38" s="70"/>
      <c r="K38" s="70" t="s">
        <v>963</v>
      </c>
      <c r="L38" s="70"/>
      <c r="M38" s="70"/>
      <c r="N38" s="70"/>
      <c r="O38" s="67" t="s">
        <v>152</v>
      </c>
      <c r="P38" s="67"/>
      <c r="Q38" s="71"/>
      <c r="R38" s="72">
        <v>0</v>
      </c>
      <c r="S38" s="73">
        <v>24000</v>
      </c>
      <c r="T38" s="73">
        <v>0</v>
      </c>
      <c r="U38" s="71">
        <f>ERP_34[[#This Row],[LE2 Final Submission]]-ERP_34[[#This Row],[LE3 Final Submission]]</f>
        <v>24000</v>
      </c>
      <c r="V38" s="74">
        <v>24000</v>
      </c>
      <c r="W38" s="124">
        <v>0</v>
      </c>
      <c r="X38" s="124">
        <v>0</v>
      </c>
      <c r="Y38" s="109">
        <v>0</v>
      </c>
      <c r="Z38" s="109">
        <v>0</v>
      </c>
      <c r="AA38" s="109">
        <v>0</v>
      </c>
      <c r="AB38" s="109">
        <v>0</v>
      </c>
      <c r="AC38" s="109">
        <v>0</v>
      </c>
      <c r="AD38" s="109">
        <v>0</v>
      </c>
      <c r="AE38" s="109">
        <v>0</v>
      </c>
      <c r="AF38" s="109">
        <v>0</v>
      </c>
      <c r="AG38" s="109">
        <v>0</v>
      </c>
      <c r="AH38" s="77">
        <f t="shared" si="1"/>
        <v>24000</v>
      </c>
      <c r="AI38" s="108">
        <f>ERP_34[[#This Row],[2026 Working Total]]-ERP_34[[#This Row],[2026 LE0]]</f>
        <v>24000</v>
      </c>
      <c r="AJ38" s="79"/>
      <c r="AK38" s="79"/>
      <c r="AL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" s="80"/>
      <c r="AN38" s="79">
        <f>ERP_34[[#This Row],[2026 Working Total to Budget/LE]]-ERP_34[[#This Row],[Giveback]]</f>
        <v>24000</v>
      </c>
      <c r="AO38" s="81"/>
      <c r="AP38" s="81">
        <v>24000</v>
      </c>
      <c r="AQ38" s="81">
        <v>0</v>
      </c>
      <c r="AR38" s="81">
        <v>0</v>
      </c>
      <c r="AS38" s="81">
        <v>0</v>
      </c>
      <c r="AT38" s="81">
        <v>0</v>
      </c>
      <c r="AU38" s="81">
        <v>0</v>
      </c>
      <c r="AV38" s="81">
        <v>0</v>
      </c>
      <c r="AW38" s="81">
        <v>0</v>
      </c>
      <c r="AX38" s="81">
        <v>0</v>
      </c>
      <c r="AY38" s="81">
        <v>0</v>
      </c>
      <c r="AZ38" s="81">
        <v>0</v>
      </c>
      <c r="BA38" s="81">
        <v>0</v>
      </c>
      <c r="BB38" s="81">
        <v>24000</v>
      </c>
      <c r="BC38" s="79">
        <v>24000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24000</v>
      </c>
    </row>
    <row r="39" spans="1:67">
      <c r="A39" s="66" t="s">
        <v>2002</v>
      </c>
      <c r="B39" s="66" t="str">
        <f>_xlfn.TEXTJOIN("_",,ERP_34[[#This Row],[LT Member -1*]],ERP_34[[#This Row],[Expense Category]],ERP_34[[#This Row],[Project Code*]])</f>
        <v>Johnson, Paul_MANAGED SERVICES_2026-XFR-0063-A</v>
      </c>
      <c r="C39" s="67" t="s">
        <v>1136</v>
      </c>
      <c r="D39" s="67" t="s">
        <v>1345</v>
      </c>
      <c r="E39" s="67" t="s">
        <v>2004</v>
      </c>
      <c r="F39" s="67" t="s">
        <v>1346</v>
      </c>
      <c r="G39" s="68" t="s">
        <v>389</v>
      </c>
      <c r="H39" s="106" t="s">
        <v>2005</v>
      </c>
      <c r="I39" s="70"/>
      <c r="J39" s="70"/>
      <c r="K39" s="70" t="s">
        <v>593</v>
      </c>
      <c r="L39" s="70"/>
      <c r="M39" s="70"/>
      <c r="N39" s="70"/>
      <c r="O39" s="67" t="s">
        <v>152</v>
      </c>
      <c r="P39" s="67"/>
      <c r="Q39" s="71"/>
      <c r="R39" s="72">
        <v>31560</v>
      </c>
      <c r="S39" s="73">
        <v>23670</v>
      </c>
      <c r="T39" s="73">
        <v>31560</v>
      </c>
      <c r="U39" s="71">
        <f>ERP_34[[#This Row],[LE2 Final Submission]]-ERP_34[[#This Row],[LE3 Final Submission]]</f>
        <v>-7890</v>
      </c>
      <c r="V39" s="74"/>
      <c r="W39" s="75"/>
      <c r="X39" s="75"/>
      <c r="Y39" s="76">
        <v>2630</v>
      </c>
      <c r="Z39" s="76">
        <v>2630</v>
      </c>
      <c r="AA39" s="76">
        <v>2630</v>
      </c>
      <c r="AB39" s="76">
        <v>2630</v>
      </c>
      <c r="AC39" s="76">
        <v>2630</v>
      </c>
      <c r="AD39" s="76">
        <v>2630</v>
      </c>
      <c r="AE39" s="76">
        <v>2630</v>
      </c>
      <c r="AF39" s="76">
        <v>2630</v>
      </c>
      <c r="AG39" s="76">
        <v>2630</v>
      </c>
      <c r="AH39" s="77">
        <f t="shared" si="1"/>
        <v>23670</v>
      </c>
      <c r="AI39" s="108">
        <f>ERP_34[[#This Row],[2026 Working Total]]-ERP_34[[#This Row],[2026 LE0]]</f>
        <v>-7890</v>
      </c>
      <c r="AJ39" s="79"/>
      <c r="AK39" s="79"/>
      <c r="AL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" s="80"/>
      <c r="AN39" s="79">
        <f>ERP_34[[#This Row],[2026 Working Total to Budget/LE]]-ERP_34[[#This Row],[Giveback]]</f>
        <v>-7890</v>
      </c>
      <c r="AO39" s="81"/>
      <c r="AP39" s="81"/>
      <c r="AQ39" s="81"/>
      <c r="AR39" s="81"/>
      <c r="AS39" s="81">
        <v>2630</v>
      </c>
      <c r="AT39" s="81">
        <v>2630</v>
      </c>
      <c r="AU39" s="81">
        <v>2630</v>
      </c>
      <c r="AV39" s="81">
        <v>2630</v>
      </c>
      <c r="AW39" s="81">
        <v>2630</v>
      </c>
      <c r="AX39" s="81">
        <v>2630</v>
      </c>
      <c r="AY39" s="81">
        <v>2630</v>
      </c>
      <c r="AZ39" s="81">
        <v>2630</v>
      </c>
      <c r="BA39" s="81">
        <v>2630</v>
      </c>
      <c r="BB39" s="81">
        <v>23670</v>
      </c>
      <c r="BC39" s="79"/>
      <c r="BD39" s="79"/>
      <c r="BE39" s="79"/>
      <c r="BF39" s="79">
        <v>2630</v>
      </c>
      <c r="BG39" s="79">
        <v>2630</v>
      </c>
      <c r="BH39" s="79">
        <v>2630</v>
      </c>
      <c r="BI39" s="79">
        <v>2630</v>
      </c>
      <c r="BJ39" s="79">
        <v>2630</v>
      </c>
      <c r="BK39" s="79">
        <v>2630</v>
      </c>
      <c r="BL39" s="79">
        <v>2630</v>
      </c>
      <c r="BM39" s="79">
        <v>2630</v>
      </c>
      <c r="BN39" s="79">
        <v>2630</v>
      </c>
      <c r="BO39" s="79">
        <v>23670</v>
      </c>
    </row>
    <row r="40" spans="1:67" ht="15.95">
      <c r="A40" s="82" t="s">
        <v>2225</v>
      </c>
      <c r="B40" s="83" t="str">
        <f>_xlfn.TEXTJOIN("_",,ERP_34[[#This Row],[LT Member -1*]],ERP_34[[#This Row],[Expense Category]],ERP_34[[#This Row],[Project Code*]])</f>
        <v>Meadows, Leslie_SOFTWARE_2026-XFR-KM001</v>
      </c>
      <c r="C40" s="67" t="s">
        <v>2959</v>
      </c>
      <c r="D40" s="84" t="s">
        <v>1135</v>
      </c>
      <c r="E40" s="85" t="s">
        <v>1156</v>
      </c>
      <c r="F40" s="86" t="s">
        <v>1137</v>
      </c>
      <c r="G40" s="85" t="s">
        <v>639</v>
      </c>
      <c r="H40" s="87" t="s">
        <v>2227</v>
      </c>
      <c r="I40" s="84"/>
      <c r="J40" s="84"/>
      <c r="K40" s="88" t="s">
        <v>654</v>
      </c>
      <c r="L40" s="89"/>
      <c r="M40" s="126">
        <v>9500810226</v>
      </c>
      <c r="N40" s="90"/>
      <c r="O40" s="91" t="s">
        <v>655</v>
      </c>
      <c r="P40" s="92"/>
      <c r="Q40" s="93"/>
      <c r="R40" s="94">
        <v>282999.99999599991</v>
      </c>
      <c r="S40" s="95">
        <v>0</v>
      </c>
      <c r="T40" s="96">
        <v>282999.99999599991</v>
      </c>
      <c r="U40" s="97">
        <f>ERP_34[[#This Row],[LE2 Final Submission]]-ERP_34[[#This Row],[LE3 Final Submission]]</f>
        <v>-282999.99999599991</v>
      </c>
      <c r="V40" s="98"/>
      <c r="W40" s="99"/>
      <c r="X40" s="99"/>
      <c r="Y40" s="100">
        <v>0</v>
      </c>
      <c r="Z40" s="100">
        <v>0</v>
      </c>
      <c r="AA40" s="100">
        <v>0</v>
      </c>
      <c r="AB40" s="100">
        <v>0</v>
      </c>
      <c r="AC40" s="100">
        <v>0</v>
      </c>
      <c r="AD40" s="100">
        <v>0</v>
      </c>
      <c r="AE40" s="100">
        <v>0</v>
      </c>
      <c r="AF40" s="100">
        <v>0</v>
      </c>
      <c r="AG40" s="100">
        <v>0</v>
      </c>
      <c r="AH40" s="101">
        <f t="shared" si="1"/>
        <v>0</v>
      </c>
      <c r="AI40" s="127">
        <f>ERP_34[[#This Row],[2026 Working Total]]-ERP_34[[#This Row],[2026 LE0]]</f>
        <v>-282999.99999599991</v>
      </c>
      <c r="AJ40" s="79"/>
      <c r="AK40" s="79"/>
      <c r="AL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" s="80">
        <v>-283000</v>
      </c>
      <c r="AN40" s="79">
        <f>ERP_34[[#This Row],[2026 Working Total to Budget/LE]]-ERP_34[[#This Row],[Giveback]]</f>
        <v>4.0000886656343937E-6</v>
      </c>
      <c r="AO40" s="128" t="s">
        <v>2229</v>
      </c>
      <c r="AP40" s="128"/>
      <c r="AQ40" s="128"/>
      <c r="AR40" s="128"/>
      <c r="AS40" s="128">
        <v>0</v>
      </c>
      <c r="AT40" s="128">
        <v>0</v>
      </c>
      <c r="AU40" s="128">
        <v>0</v>
      </c>
      <c r="AV40" s="128">
        <v>0</v>
      </c>
      <c r="AW40" s="128">
        <v>0</v>
      </c>
      <c r="AX40" s="128">
        <v>0</v>
      </c>
      <c r="AY40" s="128">
        <v>0</v>
      </c>
      <c r="AZ40" s="128">
        <v>0</v>
      </c>
      <c r="BA40" s="128">
        <v>0</v>
      </c>
      <c r="BB40" s="128">
        <v>0</v>
      </c>
      <c r="BC40" s="103">
        <v>23583.333332999999</v>
      </c>
      <c r="BD40" s="103">
        <v>23583.333332999999</v>
      </c>
      <c r="BE40" s="103">
        <v>23583.333332999999</v>
      </c>
      <c r="BF40" s="103">
        <v>23583.333332999999</v>
      </c>
      <c r="BG40" s="103">
        <v>23583.333332999999</v>
      </c>
      <c r="BH40" s="103">
        <v>23583.333332999999</v>
      </c>
      <c r="BI40" s="103">
        <v>23583.333332999999</v>
      </c>
      <c r="BJ40" s="103">
        <v>23583.333332999999</v>
      </c>
      <c r="BK40" s="103">
        <v>23583.333332999999</v>
      </c>
      <c r="BL40" s="103">
        <v>23583.333332999999</v>
      </c>
      <c r="BM40" s="103">
        <v>23583.333332999999</v>
      </c>
      <c r="BN40" s="103">
        <v>23583.333332999999</v>
      </c>
      <c r="BO40" s="82">
        <f>SUM(ERP_34[[#This Row],[2026 AP01]:[2026 AP12]])</f>
        <v>282999.99999599991</v>
      </c>
    </row>
    <row r="41" spans="1:67">
      <c r="A41" s="129" t="s">
        <v>2711</v>
      </c>
      <c r="B41" s="66" t="str">
        <f>_xlfn.TEXTJOIN("_",,ERP_34[[#This Row],[LT Member -1*]],ERP_34[[#This Row],[Expense Category]],ERP_34[[#This Row],[Project Code*]])</f>
        <v>Hovanyetz, Mike_SOFTWARE_2026-XFR-LD001</v>
      </c>
      <c r="C41" s="67" t="s">
        <v>1136</v>
      </c>
      <c r="D41" s="67" t="s">
        <v>1345</v>
      </c>
      <c r="E41" s="67" t="s">
        <v>1480</v>
      </c>
      <c r="F41" s="67" t="s">
        <v>1480</v>
      </c>
      <c r="G41" s="67" t="s">
        <v>639</v>
      </c>
      <c r="H41" s="106" t="s">
        <v>2660</v>
      </c>
      <c r="I41" s="67"/>
      <c r="J41" s="67"/>
      <c r="K41" s="70" t="s">
        <v>937</v>
      </c>
      <c r="L41" s="111" t="s">
        <v>1139</v>
      </c>
      <c r="M41" s="70"/>
      <c r="N41" s="70"/>
      <c r="O41" s="67" t="s">
        <v>152</v>
      </c>
      <c r="P41" s="67" t="s">
        <v>2712</v>
      </c>
      <c r="Q41" s="130"/>
      <c r="R41" s="131"/>
      <c r="S41" s="132">
        <v>0</v>
      </c>
      <c r="T41" s="133"/>
      <c r="U41" s="134">
        <f>ERP_34[[#This Row],[LE2 Final Submission]]-ERP_34[[#This Row],[LE3 Final Submission]]</f>
        <v>0</v>
      </c>
      <c r="V41" s="74"/>
      <c r="W41" s="75"/>
      <c r="X41" s="75"/>
      <c r="Y41" s="76"/>
      <c r="Z41" s="76"/>
      <c r="AA41" s="76"/>
      <c r="AB41" s="76"/>
      <c r="AC41" s="76"/>
      <c r="AD41" s="76"/>
      <c r="AE41" s="76">
        <f>15000-15000</f>
        <v>0</v>
      </c>
      <c r="AF41" s="76">
        <f>15000-15000</f>
        <v>0</v>
      </c>
      <c r="AG41" s="76">
        <f>15000-15000</f>
        <v>0</v>
      </c>
      <c r="AH41" s="77">
        <f t="shared" si="1"/>
        <v>0</v>
      </c>
      <c r="AI41" s="108">
        <f>ERP_34[[#This Row],[2026 Working Total]]-ERP_34[[#This Row],[2026 LE0]]</f>
        <v>0</v>
      </c>
      <c r="AJ41" s="79"/>
      <c r="AK41" s="79"/>
      <c r="AL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" s="80"/>
      <c r="AN41" s="79">
        <f>ERP_34[[#This Row],[2026 Working Total to Budget/LE]]-ERP_34[[#This Row],[Giveback]]</f>
        <v>0</v>
      </c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>
        <v>0</v>
      </c>
      <c r="AZ41" s="81">
        <v>0</v>
      </c>
      <c r="BA41" s="81">
        <v>0</v>
      </c>
      <c r="BB41" s="81">
        <v>0</v>
      </c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</row>
    <row r="42" spans="1:67">
      <c r="A42" s="66" t="s">
        <v>2659</v>
      </c>
      <c r="B42" s="66" t="str">
        <f>_xlfn.TEXTJOIN("_",,ERP_34[[#This Row],[LT Member -1*]],ERP_34[[#This Row],[Expense Category]],ERP_34[[#This Row],[Project Code*]])</f>
        <v>Hase, Raj_SOFTWARE_2026-XFR-LD001</v>
      </c>
      <c r="C42" s="67" t="s">
        <v>1136</v>
      </c>
      <c r="D42" s="67" t="s">
        <v>1345</v>
      </c>
      <c r="E42" s="67" t="s">
        <v>1345</v>
      </c>
      <c r="F42" s="67" t="s">
        <v>1346</v>
      </c>
      <c r="G42" s="68" t="s">
        <v>639</v>
      </c>
      <c r="H42" s="106" t="s">
        <v>2660</v>
      </c>
      <c r="I42" s="70"/>
      <c r="J42" s="70"/>
      <c r="K42" s="70" t="s">
        <v>937</v>
      </c>
      <c r="L42" s="111" t="s">
        <v>1139</v>
      </c>
      <c r="M42" s="70"/>
      <c r="N42" s="70"/>
      <c r="O42" s="67" t="s">
        <v>152</v>
      </c>
      <c r="P42" s="67" t="s">
        <v>2661</v>
      </c>
      <c r="Q42" s="71"/>
      <c r="R42" s="72">
        <v>174240</v>
      </c>
      <c r="S42" s="73">
        <v>0</v>
      </c>
      <c r="T42" s="73">
        <v>174240</v>
      </c>
      <c r="U42" s="71">
        <f>ERP_34[[#This Row],[LE2 Final Submission]]-ERP_34[[#This Row],[LE3 Final Submission]]</f>
        <v>-174240</v>
      </c>
      <c r="V42" s="74"/>
      <c r="W42" s="75"/>
      <c r="X42" s="75"/>
      <c r="Y42" s="76">
        <f t="shared" ref="Y42:AG42" si="6">14520-14520</f>
        <v>0</v>
      </c>
      <c r="Z42" s="76">
        <f t="shared" si="6"/>
        <v>0</v>
      </c>
      <c r="AA42" s="76">
        <f t="shared" si="6"/>
        <v>0</v>
      </c>
      <c r="AB42" s="76">
        <f t="shared" si="6"/>
        <v>0</v>
      </c>
      <c r="AC42" s="76">
        <f t="shared" si="6"/>
        <v>0</v>
      </c>
      <c r="AD42" s="76">
        <f t="shared" si="6"/>
        <v>0</v>
      </c>
      <c r="AE42" s="76">
        <f t="shared" si="6"/>
        <v>0</v>
      </c>
      <c r="AF42" s="76">
        <f t="shared" si="6"/>
        <v>0</v>
      </c>
      <c r="AG42" s="76">
        <f t="shared" si="6"/>
        <v>0</v>
      </c>
      <c r="AH42" s="77">
        <f t="shared" si="1"/>
        <v>0</v>
      </c>
      <c r="AI42" s="115">
        <f>ERP_34[[#This Row],[2026 Working Total]]-ERP_34[[#This Row],[2026 LE0]]</f>
        <v>-174240</v>
      </c>
      <c r="AJ42" s="79"/>
      <c r="AK42" s="79"/>
      <c r="AL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" s="80"/>
      <c r="AN42" s="82">
        <f>ERP_34[[#This Row],[2026 Working Total to Budget/LE]]-ERP_34[[#This Row],[Giveback]]</f>
        <v>-174240</v>
      </c>
      <c r="AO42" s="81"/>
      <c r="AP42" s="81"/>
      <c r="AQ42" s="81"/>
      <c r="AR42" s="81"/>
      <c r="AS42" s="81">
        <v>0</v>
      </c>
      <c r="AT42" s="81">
        <v>0</v>
      </c>
      <c r="AU42" s="81">
        <v>0</v>
      </c>
      <c r="AV42" s="81">
        <v>0</v>
      </c>
      <c r="AW42" s="81">
        <v>0</v>
      </c>
      <c r="AX42" s="81">
        <v>0</v>
      </c>
      <c r="AY42" s="81">
        <v>0</v>
      </c>
      <c r="AZ42" s="81">
        <v>0</v>
      </c>
      <c r="BA42" s="81">
        <v>0</v>
      </c>
      <c r="BB42" s="81">
        <v>0</v>
      </c>
      <c r="BC42" s="79"/>
      <c r="BD42" s="79"/>
      <c r="BE42" s="79"/>
      <c r="BF42" s="79">
        <v>14520</v>
      </c>
      <c r="BG42" s="79">
        <v>14520</v>
      </c>
      <c r="BH42" s="79">
        <v>14520</v>
      </c>
      <c r="BI42" s="79">
        <v>14520</v>
      </c>
      <c r="BJ42" s="79">
        <v>14520</v>
      </c>
      <c r="BK42" s="79">
        <v>14520</v>
      </c>
      <c r="BL42" s="79">
        <v>14520</v>
      </c>
      <c r="BM42" s="79">
        <v>14520</v>
      </c>
      <c r="BN42" s="79">
        <v>14520</v>
      </c>
      <c r="BO42" s="79">
        <v>130680</v>
      </c>
    </row>
    <row r="43" spans="1:67">
      <c r="A43" s="129" t="s">
        <v>2713</v>
      </c>
      <c r="B43" s="66" t="str">
        <f>_xlfn.TEXTJOIN("_",,ERP_34[[#This Row],[LT Member -1*]],ERP_34[[#This Row],[Expense Category]],ERP_34[[#This Row],[Project Code*]])</f>
        <v>Hovanyetz, Mike_SOFTWARE_2026-XFR-LD002</v>
      </c>
      <c r="C43" s="67" t="s">
        <v>1136</v>
      </c>
      <c r="D43" s="67" t="s">
        <v>1345</v>
      </c>
      <c r="E43" s="67" t="s">
        <v>1480</v>
      </c>
      <c r="F43" s="67" t="s">
        <v>1480</v>
      </c>
      <c r="G43" s="67" t="s">
        <v>639</v>
      </c>
      <c r="H43" s="106" t="s">
        <v>2663</v>
      </c>
      <c r="I43" s="67"/>
      <c r="J43" s="67"/>
      <c r="K43" s="70" t="s">
        <v>939</v>
      </c>
      <c r="L43" s="111" t="s">
        <v>1139</v>
      </c>
      <c r="M43" s="70"/>
      <c r="N43" s="70"/>
      <c r="O43" s="67" t="s">
        <v>152</v>
      </c>
      <c r="P43" s="135" t="s">
        <v>2714</v>
      </c>
      <c r="Q43" s="130"/>
      <c r="R43" s="131"/>
      <c r="S43" s="132">
        <v>0</v>
      </c>
      <c r="T43" s="133"/>
      <c r="U43" s="134">
        <f>ERP_34[[#This Row],[LE2 Final Submission]]-ERP_34[[#This Row],[LE3 Final Submission]]</f>
        <v>0</v>
      </c>
      <c r="V43" s="74"/>
      <c r="W43" s="75"/>
      <c r="X43" s="75"/>
      <c r="Y43" s="136">
        <f t="shared" ref="Y43:AG44" si="7">22238.42-22238.42</f>
        <v>0</v>
      </c>
      <c r="Z43" s="136">
        <f t="shared" si="7"/>
        <v>0</v>
      </c>
      <c r="AA43" s="136">
        <f t="shared" si="7"/>
        <v>0</v>
      </c>
      <c r="AB43" s="136">
        <f t="shared" si="7"/>
        <v>0</v>
      </c>
      <c r="AC43" s="136">
        <f t="shared" si="7"/>
        <v>0</v>
      </c>
      <c r="AD43" s="136">
        <f t="shared" si="7"/>
        <v>0</v>
      </c>
      <c r="AE43" s="136">
        <f t="shared" si="7"/>
        <v>0</v>
      </c>
      <c r="AF43" s="136">
        <f t="shared" si="7"/>
        <v>0</v>
      </c>
      <c r="AG43" s="136">
        <f t="shared" si="7"/>
        <v>0</v>
      </c>
      <c r="AH43" s="77">
        <f t="shared" si="1"/>
        <v>0</v>
      </c>
      <c r="AI43" s="108">
        <f>ERP_34[[#This Row],[2026 Working Total]]-ERP_34[[#This Row],[2026 LE0]]</f>
        <v>0</v>
      </c>
      <c r="AJ43" s="79"/>
      <c r="AK43" s="79"/>
      <c r="AL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" s="80"/>
      <c r="AN43" s="79">
        <f>ERP_34[[#This Row],[2026 Working Total to Budget/LE]]-ERP_34[[#This Row],[Giveback]]</f>
        <v>0</v>
      </c>
      <c r="AO43" s="81"/>
      <c r="AP43" s="81"/>
      <c r="AQ43" s="81"/>
      <c r="AR43" s="81"/>
      <c r="AS43" s="81">
        <v>0</v>
      </c>
      <c r="AT43" s="81">
        <v>0</v>
      </c>
      <c r="AU43" s="81">
        <v>0</v>
      </c>
      <c r="AV43" s="81">
        <v>0</v>
      </c>
      <c r="AW43" s="81">
        <v>0</v>
      </c>
      <c r="AX43" s="81">
        <v>0</v>
      </c>
      <c r="AY43" s="81">
        <v>0</v>
      </c>
      <c r="AZ43" s="81">
        <v>0</v>
      </c>
      <c r="BA43" s="81">
        <v>0</v>
      </c>
      <c r="BB43" s="81">
        <v>0</v>
      </c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</row>
    <row r="44" spans="1:67">
      <c r="A44" s="66" t="s">
        <v>2662</v>
      </c>
      <c r="B44" s="66" t="str">
        <f>_xlfn.TEXTJOIN("_",,ERP_34[[#This Row],[LT Member -1*]],ERP_34[[#This Row],[Expense Category]],ERP_34[[#This Row],[Project Code*]])</f>
        <v>Hase, Raj_SOFTWARE_2026-XFR-LD002</v>
      </c>
      <c r="C44" s="67" t="s">
        <v>1136</v>
      </c>
      <c r="D44" s="67" t="s">
        <v>1345</v>
      </c>
      <c r="E44" s="67" t="s">
        <v>1345</v>
      </c>
      <c r="F44" s="67" t="s">
        <v>1346</v>
      </c>
      <c r="G44" s="68" t="s">
        <v>639</v>
      </c>
      <c r="H44" s="106" t="s">
        <v>2663</v>
      </c>
      <c r="I44" s="70"/>
      <c r="J44" s="70"/>
      <c r="K44" s="70" t="s">
        <v>939</v>
      </c>
      <c r="L44" s="111" t="s">
        <v>1139</v>
      </c>
      <c r="M44" s="70"/>
      <c r="N44" s="70"/>
      <c r="O44" s="67" t="s">
        <v>152</v>
      </c>
      <c r="P44" s="67" t="s">
        <v>2661</v>
      </c>
      <c r="Q44" s="71"/>
      <c r="R44" s="72">
        <v>266860.99999999988</v>
      </c>
      <c r="S44" s="73">
        <v>0</v>
      </c>
      <c r="T44" s="73">
        <v>266860.99999999988</v>
      </c>
      <c r="U44" s="71">
        <f>ERP_34[[#This Row],[LE2 Final Submission]]-ERP_34[[#This Row],[LE3 Final Submission]]</f>
        <v>-266860.99999999988</v>
      </c>
      <c r="V44" s="74"/>
      <c r="W44" s="75"/>
      <c r="X44" s="75"/>
      <c r="Y44" s="76">
        <f t="shared" si="7"/>
        <v>0</v>
      </c>
      <c r="Z44" s="76">
        <f t="shared" si="7"/>
        <v>0</v>
      </c>
      <c r="AA44" s="76">
        <f t="shared" si="7"/>
        <v>0</v>
      </c>
      <c r="AB44" s="76">
        <f t="shared" si="7"/>
        <v>0</v>
      </c>
      <c r="AC44" s="76">
        <f t="shared" si="7"/>
        <v>0</v>
      </c>
      <c r="AD44" s="76">
        <f t="shared" si="7"/>
        <v>0</v>
      </c>
      <c r="AE44" s="76">
        <f t="shared" si="7"/>
        <v>0</v>
      </c>
      <c r="AF44" s="76">
        <f t="shared" si="7"/>
        <v>0</v>
      </c>
      <c r="AG44" s="76">
        <f t="shared" si="7"/>
        <v>0</v>
      </c>
      <c r="AH44" s="77">
        <f t="shared" si="1"/>
        <v>0</v>
      </c>
      <c r="AI44" s="115">
        <f>ERP_34[[#This Row],[2026 Working Total]]-ERP_34[[#This Row],[2026 LE0]]</f>
        <v>-266860.99999999988</v>
      </c>
      <c r="AJ44" s="79"/>
      <c r="AK44" s="79"/>
      <c r="AL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" s="80"/>
      <c r="AN44" s="82">
        <f>ERP_34[[#This Row],[2026 Working Total to Budget/LE]]-ERP_34[[#This Row],[Giveback]]</f>
        <v>-266860.99999999988</v>
      </c>
      <c r="AO44" s="81"/>
      <c r="AP44" s="81"/>
      <c r="AQ44" s="81"/>
      <c r="AR44" s="81"/>
      <c r="AS44" s="81">
        <v>0</v>
      </c>
      <c r="AT44" s="81">
        <v>0</v>
      </c>
      <c r="AU44" s="81">
        <v>0</v>
      </c>
      <c r="AV44" s="81">
        <v>0</v>
      </c>
      <c r="AW44" s="81">
        <v>0</v>
      </c>
      <c r="AX44" s="81">
        <v>0</v>
      </c>
      <c r="AY44" s="81">
        <v>0</v>
      </c>
      <c r="AZ44" s="81">
        <v>0</v>
      </c>
      <c r="BA44" s="81">
        <v>0</v>
      </c>
      <c r="BB44" s="81">
        <v>0</v>
      </c>
      <c r="BC44" s="79"/>
      <c r="BD44" s="79"/>
      <c r="BE44" s="79"/>
      <c r="BF44" s="79">
        <v>22238.42</v>
      </c>
      <c r="BG44" s="79">
        <v>22238.42</v>
      </c>
      <c r="BH44" s="79">
        <v>22238.42</v>
      </c>
      <c r="BI44" s="79">
        <v>22238.42</v>
      </c>
      <c r="BJ44" s="79">
        <v>22238.42</v>
      </c>
      <c r="BK44" s="79">
        <v>22238.42</v>
      </c>
      <c r="BL44" s="79">
        <v>22238.42</v>
      </c>
      <c r="BM44" s="79">
        <v>22238.42</v>
      </c>
      <c r="BN44" s="79">
        <v>22238.42</v>
      </c>
      <c r="BO44" s="79">
        <v>200145.77999999997</v>
      </c>
    </row>
    <row r="45" spans="1:67">
      <c r="A45" s="66" t="s">
        <v>1674</v>
      </c>
      <c r="B45" s="66" t="str">
        <f>_xlfn.TEXTJOIN("_",,ERP_34[[#This Row],[LT Member -1*]],ERP_34[[#This Row],[Expense Category]],ERP_34[[#This Row],[Project Code*]])</f>
        <v>McCormick, Pete_HW MAINTENANCE_2026-XFR-ML001</v>
      </c>
      <c r="C45" s="67" t="s">
        <v>1136</v>
      </c>
      <c r="D45" s="67" t="s">
        <v>1135</v>
      </c>
      <c r="E45" s="67" t="s">
        <v>1145</v>
      </c>
      <c r="F45" s="67" t="s">
        <v>1137</v>
      </c>
      <c r="G45" s="68" t="s">
        <v>342</v>
      </c>
      <c r="H45" s="106" t="s">
        <v>1676</v>
      </c>
      <c r="I45" s="70"/>
      <c r="J45" s="70"/>
      <c r="K45" s="70" t="s">
        <v>344</v>
      </c>
      <c r="L45" s="70"/>
      <c r="M45" s="70"/>
      <c r="N45" s="70"/>
      <c r="O45" s="67" t="s">
        <v>152</v>
      </c>
      <c r="P45" s="67"/>
      <c r="Q45" s="71"/>
      <c r="R45" s="72">
        <v>51615</v>
      </c>
      <c r="S45" s="73">
        <v>38711.25</v>
      </c>
      <c r="T45" s="73">
        <v>51615</v>
      </c>
      <c r="U45" s="71">
        <f>ERP_34[[#This Row],[LE2 Final Submission]]-ERP_34[[#This Row],[LE3 Final Submission]]</f>
        <v>-12903.75</v>
      </c>
      <c r="V45" s="74"/>
      <c r="W45" s="75"/>
      <c r="X45" s="75"/>
      <c r="Y45" s="76">
        <v>4301.25</v>
      </c>
      <c r="Z45" s="76">
        <v>4301.25</v>
      </c>
      <c r="AA45" s="76">
        <v>4301.25</v>
      </c>
      <c r="AB45" s="76">
        <v>4301.25</v>
      </c>
      <c r="AC45" s="76">
        <v>4301.25</v>
      </c>
      <c r="AD45" s="76">
        <v>4301.25</v>
      </c>
      <c r="AE45" s="76">
        <v>4301.25</v>
      </c>
      <c r="AF45" s="76">
        <v>4301.25</v>
      </c>
      <c r="AG45" s="76">
        <v>4301.25</v>
      </c>
      <c r="AH45" s="77">
        <f t="shared" si="1"/>
        <v>38711.25</v>
      </c>
      <c r="AI45" s="108">
        <f>ERP_34[[#This Row],[2026 Working Total]]-ERP_34[[#This Row],[2026 LE0]]</f>
        <v>-12903.75</v>
      </c>
      <c r="AJ45" s="79"/>
      <c r="AK45" s="79"/>
      <c r="AL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" s="80"/>
      <c r="AN45" s="79">
        <f>ERP_34[[#This Row],[2026 Working Total to Budget/LE]]-ERP_34[[#This Row],[Giveback]]</f>
        <v>-12903.75</v>
      </c>
      <c r="AO45" s="81"/>
      <c r="AP45" s="81"/>
      <c r="AQ45" s="81"/>
      <c r="AR45" s="81"/>
      <c r="AS45" s="81">
        <v>4301.25</v>
      </c>
      <c r="AT45" s="81">
        <v>4301.25</v>
      </c>
      <c r="AU45" s="81">
        <v>4301.25</v>
      </c>
      <c r="AV45" s="81">
        <v>4301.25</v>
      </c>
      <c r="AW45" s="81">
        <v>4301.25</v>
      </c>
      <c r="AX45" s="81">
        <v>4301.25</v>
      </c>
      <c r="AY45" s="81">
        <v>4301.25</v>
      </c>
      <c r="AZ45" s="81">
        <v>4301.25</v>
      </c>
      <c r="BA45" s="81">
        <v>4301.25</v>
      </c>
      <c r="BB45" s="81">
        <v>38711.25</v>
      </c>
      <c r="BC45" s="79"/>
      <c r="BD45" s="79"/>
      <c r="BE45" s="79"/>
      <c r="BF45" s="79">
        <v>4301.25</v>
      </c>
      <c r="BG45" s="79">
        <v>4301.25</v>
      </c>
      <c r="BH45" s="79">
        <v>4301.25</v>
      </c>
      <c r="BI45" s="79">
        <v>4301.25</v>
      </c>
      <c r="BJ45" s="79">
        <v>4301.25</v>
      </c>
      <c r="BK45" s="79">
        <v>4301.25</v>
      </c>
      <c r="BL45" s="79">
        <v>4301.25</v>
      </c>
      <c r="BM45" s="79">
        <v>4301.25</v>
      </c>
      <c r="BN45" s="79">
        <v>4301.25</v>
      </c>
      <c r="BO45" s="79">
        <v>38711.25</v>
      </c>
    </row>
    <row r="46" spans="1:67">
      <c r="A46" s="66" t="s">
        <v>1677</v>
      </c>
      <c r="B46" s="66" t="str">
        <f>_xlfn.TEXTJOIN("_",,ERP_34[[#This Row],[LT Member -1*]],ERP_34[[#This Row],[Expense Category]],ERP_34[[#This Row],[Project Code*]])</f>
        <v>McCormick, Pete_HW MAINTENANCE_2026-XFR-ML002</v>
      </c>
      <c r="C46" s="67" t="s">
        <v>1136</v>
      </c>
      <c r="D46" s="67" t="s">
        <v>1135</v>
      </c>
      <c r="E46" s="67" t="s">
        <v>1145</v>
      </c>
      <c r="F46" s="67" t="s">
        <v>1137</v>
      </c>
      <c r="G46" s="68" t="s">
        <v>342</v>
      </c>
      <c r="H46" s="106" t="s">
        <v>1679</v>
      </c>
      <c r="I46" s="70"/>
      <c r="J46" s="70"/>
      <c r="K46" s="70" t="s">
        <v>346</v>
      </c>
      <c r="L46" s="70"/>
      <c r="M46" s="70"/>
      <c r="N46" s="70"/>
      <c r="O46" s="67" t="s">
        <v>152</v>
      </c>
      <c r="P46" s="67"/>
      <c r="Q46" s="71"/>
      <c r="R46" s="72">
        <v>-12195</v>
      </c>
      <c r="S46" s="73">
        <v>-9146.25</v>
      </c>
      <c r="T46" s="73">
        <v>-12195</v>
      </c>
      <c r="U46" s="71">
        <f>ERP_34[[#This Row],[LE2 Final Submission]]-ERP_34[[#This Row],[LE3 Final Submission]]</f>
        <v>3048.75</v>
      </c>
      <c r="V46" s="74"/>
      <c r="W46" s="75"/>
      <c r="X46" s="75"/>
      <c r="Y46" s="76">
        <v>-1016.25</v>
      </c>
      <c r="Z46" s="76">
        <v>-1016.25</v>
      </c>
      <c r="AA46" s="76">
        <v>-1016.25</v>
      </c>
      <c r="AB46" s="76">
        <v>-1016.25</v>
      </c>
      <c r="AC46" s="76">
        <v>-1016.25</v>
      </c>
      <c r="AD46" s="76">
        <v>-1016.25</v>
      </c>
      <c r="AE46" s="76">
        <v>-1016.25</v>
      </c>
      <c r="AF46" s="76">
        <v>-1016.25</v>
      </c>
      <c r="AG46" s="76">
        <v>-1016.25</v>
      </c>
      <c r="AH46" s="77">
        <f t="shared" si="1"/>
        <v>-9146.25</v>
      </c>
      <c r="AI46" s="108">
        <f>ERP_34[[#This Row],[2026 Working Total]]-ERP_34[[#This Row],[2026 LE0]]</f>
        <v>3048.75</v>
      </c>
      <c r="AJ46" s="79"/>
      <c r="AK46" s="79"/>
      <c r="AL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" s="80"/>
      <c r="AN46" s="79">
        <f>ERP_34[[#This Row],[2026 Working Total to Budget/LE]]-ERP_34[[#This Row],[Giveback]]</f>
        <v>3048.75</v>
      </c>
      <c r="AO46" s="81"/>
      <c r="AP46" s="81"/>
      <c r="AQ46" s="81"/>
      <c r="AR46" s="81"/>
      <c r="AS46" s="81">
        <v>-1016.25</v>
      </c>
      <c r="AT46" s="81">
        <v>-1016.25</v>
      </c>
      <c r="AU46" s="81">
        <v>-1016.25</v>
      </c>
      <c r="AV46" s="81">
        <v>-1016.25</v>
      </c>
      <c r="AW46" s="81">
        <v>-1016.25</v>
      </c>
      <c r="AX46" s="81">
        <v>-1016.25</v>
      </c>
      <c r="AY46" s="81">
        <v>-1016.25</v>
      </c>
      <c r="AZ46" s="81">
        <v>-1016.25</v>
      </c>
      <c r="BA46" s="81">
        <v>-1016.25</v>
      </c>
      <c r="BB46" s="81">
        <v>-9146.25</v>
      </c>
      <c r="BC46" s="79"/>
      <c r="BD46" s="79"/>
      <c r="BE46" s="79"/>
      <c r="BF46" s="79">
        <v>-1016.25</v>
      </c>
      <c r="BG46" s="79">
        <v>-1016.25</v>
      </c>
      <c r="BH46" s="79">
        <v>-1016.25</v>
      </c>
      <c r="BI46" s="79">
        <v>-1016.25</v>
      </c>
      <c r="BJ46" s="79">
        <v>-1016.25</v>
      </c>
      <c r="BK46" s="79">
        <v>-1016.25</v>
      </c>
      <c r="BL46" s="79">
        <v>-1016.25</v>
      </c>
      <c r="BM46" s="79">
        <v>-1016.25</v>
      </c>
      <c r="BN46" s="79">
        <v>-1016.25</v>
      </c>
      <c r="BO46" s="79">
        <v>-9146.25</v>
      </c>
    </row>
    <row r="47" spans="1:67">
      <c r="A47" s="66" t="s">
        <v>1680</v>
      </c>
      <c r="B47" s="66" t="str">
        <f>_xlfn.TEXTJOIN("_",,ERP_34[[#This Row],[LT Member -1*]],ERP_34[[#This Row],[Expense Category]],ERP_34[[#This Row],[Project Code*]])</f>
        <v>McCormick, Pete_HW MAINTENANCE_2026-XFR-ML003</v>
      </c>
      <c r="C47" s="67" t="s">
        <v>1136</v>
      </c>
      <c r="D47" s="67" t="s">
        <v>1135</v>
      </c>
      <c r="E47" s="67" t="s">
        <v>1145</v>
      </c>
      <c r="F47" s="67" t="s">
        <v>1137</v>
      </c>
      <c r="G47" s="68" t="s">
        <v>342</v>
      </c>
      <c r="H47" s="106" t="s">
        <v>1682</v>
      </c>
      <c r="I47" s="70"/>
      <c r="J47" s="70"/>
      <c r="K47" s="70" t="s">
        <v>348</v>
      </c>
      <c r="L47" s="70"/>
      <c r="M47" s="70"/>
      <c r="N47" s="70"/>
      <c r="O47" s="67" t="s">
        <v>152</v>
      </c>
      <c r="P47" s="67"/>
      <c r="Q47" s="71"/>
      <c r="R47" s="72">
        <v>-12195</v>
      </c>
      <c r="S47" s="73">
        <v>-9146.25</v>
      </c>
      <c r="T47" s="73">
        <v>-12195</v>
      </c>
      <c r="U47" s="71">
        <f>ERP_34[[#This Row],[LE2 Final Submission]]-ERP_34[[#This Row],[LE3 Final Submission]]</f>
        <v>3048.75</v>
      </c>
      <c r="V47" s="74"/>
      <c r="W47" s="75"/>
      <c r="X47" s="75"/>
      <c r="Y47" s="76">
        <v>-1016.25</v>
      </c>
      <c r="Z47" s="76">
        <v>-1016.25</v>
      </c>
      <c r="AA47" s="76">
        <v>-1016.25</v>
      </c>
      <c r="AB47" s="76">
        <v>-1016.25</v>
      </c>
      <c r="AC47" s="76">
        <v>-1016.25</v>
      </c>
      <c r="AD47" s="76">
        <v>-1016.25</v>
      </c>
      <c r="AE47" s="76">
        <v>-1016.25</v>
      </c>
      <c r="AF47" s="76">
        <v>-1016.25</v>
      </c>
      <c r="AG47" s="76">
        <v>-1016.25</v>
      </c>
      <c r="AH47" s="77">
        <f t="shared" si="1"/>
        <v>-9146.25</v>
      </c>
      <c r="AI47" s="108">
        <f>ERP_34[[#This Row],[2026 Working Total]]-ERP_34[[#This Row],[2026 LE0]]</f>
        <v>3048.75</v>
      </c>
      <c r="AJ47" s="79"/>
      <c r="AK47" s="79"/>
      <c r="AL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" s="80"/>
      <c r="AN47" s="79">
        <f>ERP_34[[#This Row],[2026 Working Total to Budget/LE]]-ERP_34[[#This Row],[Giveback]]</f>
        <v>3048.75</v>
      </c>
      <c r="AO47" s="81"/>
      <c r="AP47" s="81"/>
      <c r="AQ47" s="81"/>
      <c r="AR47" s="81"/>
      <c r="AS47" s="81">
        <v>-1016.25</v>
      </c>
      <c r="AT47" s="81">
        <v>-1016.25</v>
      </c>
      <c r="AU47" s="81">
        <v>-1016.25</v>
      </c>
      <c r="AV47" s="81">
        <v>-1016.25</v>
      </c>
      <c r="AW47" s="81">
        <v>-1016.25</v>
      </c>
      <c r="AX47" s="81">
        <v>-1016.25</v>
      </c>
      <c r="AY47" s="81">
        <v>-1016.25</v>
      </c>
      <c r="AZ47" s="81">
        <v>-1016.25</v>
      </c>
      <c r="BA47" s="81">
        <v>-1016.25</v>
      </c>
      <c r="BB47" s="81">
        <v>-9146.25</v>
      </c>
      <c r="BC47" s="79"/>
      <c r="BD47" s="79"/>
      <c r="BE47" s="79"/>
      <c r="BF47" s="79">
        <v>-1016.25</v>
      </c>
      <c r="BG47" s="79">
        <v>-1016.25</v>
      </c>
      <c r="BH47" s="79">
        <v>-1016.25</v>
      </c>
      <c r="BI47" s="79">
        <v>-1016.25</v>
      </c>
      <c r="BJ47" s="79">
        <v>-1016.25</v>
      </c>
      <c r="BK47" s="79">
        <v>-1016.25</v>
      </c>
      <c r="BL47" s="79">
        <v>-1016.25</v>
      </c>
      <c r="BM47" s="79">
        <v>-1016.25</v>
      </c>
      <c r="BN47" s="79">
        <v>-1016.25</v>
      </c>
      <c r="BO47" s="79">
        <v>-9146.25</v>
      </c>
    </row>
    <row r="48" spans="1:67">
      <c r="A48" s="66" t="s">
        <v>1773</v>
      </c>
      <c r="B48" s="66" t="str">
        <f>_xlfn.TEXTJOIN("_",,ERP_34[[#This Row],[LT Member -1*]],ERP_34[[#This Row],[Expense Category]],ERP_34[[#This Row],[Project Code*]])</f>
        <v>Maguire, Karla_MANAGED SERVICES_BillingRev001</v>
      </c>
      <c r="C48" s="67" t="s">
        <v>1136</v>
      </c>
      <c r="D48" s="67" t="s">
        <v>1135</v>
      </c>
      <c r="E48" s="67" t="s">
        <v>1137</v>
      </c>
      <c r="F48" s="67" t="s">
        <v>1137</v>
      </c>
      <c r="G48" s="68" t="s">
        <v>389</v>
      </c>
      <c r="H48" s="106" t="s">
        <v>1775</v>
      </c>
      <c r="I48" s="70"/>
      <c r="J48" s="70"/>
      <c r="K48" s="70" t="s">
        <v>404</v>
      </c>
      <c r="L48" s="70"/>
      <c r="M48" s="70"/>
      <c r="N48" s="70"/>
      <c r="O48" s="67" t="s">
        <v>405</v>
      </c>
      <c r="P48" s="67"/>
      <c r="Q48" s="137"/>
      <c r="R48" s="138">
        <v>0</v>
      </c>
      <c r="S48" s="139">
        <v>0</v>
      </c>
      <c r="T48" s="139">
        <v>0</v>
      </c>
      <c r="U48" s="137">
        <f>ERP_34[[#This Row],[LE2 Final Submission]]-ERP_34[[#This Row],[LE3 Final Submission]]</f>
        <v>0</v>
      </c>
      <c r="V48" s="74"/>
      <c r="W48" s="124">
        <v>0</v>
      </c>
      <c r="X48" s="124">
        <v>0</v>
      </c>
      <c r="Y48" s="109">
        <v>0</v>
      </c>
      <c r="Z48" s="109">
        <v>0</v>
      </c>
      <c r="AA48" s="109">
        <v>0</v>
      </c>
      <c r="AB48" s="109">
        <v>0</v>
      </c>
      <c r="AC48" s="109">
        <v>0</v>
      </c>
      <c r="AD48" s="109">
        <v>0</v>
      </c>
      <c r="AE48" s="109">
        <v>0</v>
      </c>
      <c r="AF48" s="109">
        <v>0</v>
      </c>
      <c r="AG48" s="109">
        <v>0</v>
      </c>
      <c r="AH48" s="77">
        <f t="shared" si="1"/>
        <v>0</v>
      </c>
      <c r="AI48" s="108">
        <f>ERP_34[[#This Row],[2026 Working Total]]-ERP_34[[#This Row],[2026 LE0]]</f>
        <v>0</v>
      </c>
      <c r="AJ48" s="79"/>
      <c r="AK48" s="79"/>
      <c r="AL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" s="80"/>
      <c r="AN48" s="79">
        <f>ERP_34[[#This Row],[2026 Working Total to Budget/LE]]-ERP_34[[#This Row],[Giveback]]</f>
        <v>0</v>
      </c>
      <c r="AO48" s="81"/>
      <c r="AP48" s="81"/>
      <c r="AQ48" s="81">
        <v>0</v>
      </c>
      <c r="AR48" s="81">
        <v>0</v>
      </c>
      <c r="AS48" s="81">
        <v>0</v>
      </c>
      <c r="AT48" s="81">
        <v>0</v>
      </c>
      <c r="AU48" s="81">
        <v>0</v>
      </c>
      <c r="AV48" s="81">
        <v>0</v>
      </c>
      <c r="AW48" s="81">
        <v>0</v>
      </c>
      <c r="AX48" s="81">
        <v>0</v>
      </c>
      <c r="AY48" s="81">
        <v>0</v>
      </c>
      <c r="AZ48" s="81">
        <v>0</v>
      </c>
      <c r="BA48" s="81">
        <v>0</v>
      </c>
      <c r="BB48" s="81">
        <v>0</v>
      </c>
      <c r="BC48" s="79"/>
      <c r="BD48" s="79">
        <v>0</v>
      </c>
      <c r="BE48" s="79">
        <v>0</v>
      </c>
      <c r="BF48" s="79">
        <v>0</v>
      </c>
      <c r="BG48" s="79">
        <v>0</v>
      </c>
      <c r="BH48" s="79">
        <v>0</v>
      </c>
      <c r="BI48" s="79">
        <v>0</v>
      </c>
      <c r="BJ48" s="79">
        <v>0</v>
      </c>
      <c r="BK48" s="79">
        <v>0</v>
      </c>
      <c r="BL48" s="79">
        <v>0</v>
      </c>
      <c r="BM48" s="79">
        <v>0</v>
      </c>
      <c r="BN48" s="79">
        <v>0</v>
      </c>
      <c r="BO48" s="79">
        <v>0</v>
      </c>
    </row>
    <row r="49" spans="1:67">
      <c r="A49" s="66" t="s">
        <v>2074</v>
      </c>
      <c r="B49" s="66" t="str">
        <f>_xlfn.TEXTJOIN("_",,ERP_34[[#This Row],[LT Member -1*]],ERP_34[[#This Row],[Expense Category]],ERP_34[[#This Row],[Project Code*]])</f>
        <v>McGettigan, David_MANAGED SERVICES_BillingRev001</v>
      </c>
      <c r="C49" s="67" t="s">
        <v>1136</v>
      </c>
      <c r="D49" s="67" t="s">
        <v>1567</v>
      </c>
      <c r="E49" s="67" t="s">
        <v>1567</v>
      </c>
      <c r="F49" s="67" t="s">
        <v>1567</v>
      </c>
      <c r="G49" s="68" t="s">
        <v>389</v>
      </c>
      <c r="H49" s="106" t="s">
        <v>1775</v>
      </c>
      <c r="I49" s="70"/>
      <c r="J49" s="70"/>
      <c r="K49" s="70" t="s">
        <v>404</v>
      </c>
      <c r="L49" s="70"/>
      <c r="M49" s="70"/>
      <c r="N49" s="70"/>
      <c r="O49" s="67" t="s">
        <v>405</v>
      </c>
      <c r="P49" s="67"/>
      <c r="Q49" s="137"/>
      <c r="R49" s="138">
        <v>0</v>
      </c>
      <c r="S49" s="139">
        <v>0</v>
      </c>
      <c r="T49" s="139">
        <v>0</v>
      </c>
      <c r="U49" s="137">
        <f>ERP_34[[#This Row],[LE2 Final Submission]]-ERP_34[[#This Row],[LE3 Final Submission]]</f>
        <v>0</v>
      </c>
      <c r="V49" s="74"/>
      <c r="W49" s="124">
        <v>0</v>
      </c>
      <c r="X49" s="124">
        <v>0</v>
      </c>
      <c r="Y49" s="109">
        <v>0</v>
      </c>
      <c r="Z49" s="109">
        <v>0</v>
      </c>
      <c r="AA49" s="109">
        <v>0</v>
      </c>
      <c r="AB49" s="109">
        <v>0</v>
      </c>
      <c r="AC49" s="109">
        <v>0</v>
      </c>
      <c r="AD49" s="109">
        <v>0</v>
      </c>
      <c r="AE49" s="109">
        <v>0</v>
      </c>
      <c r="AF49" s="109">
        <v>0</v>
      </c>
      <c r="AG49" s="109">
        <v>0</v>
      </c>
      <c r="AH49" s="77">
        <f t="shared" si="1"/>
        <v>0</v>
      </c>
      <c r="AI49" s="108">
        <f>ERP_34[[#This Row],[2026 Working Total]]-ERP_34[[#This Row],[2026 LE0]]</f>
        <v>0</v>
      </c>
      <c r="AJ49" s="79"/>
      <c r="AK49" s="79"/>
      <c r="AL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" s="80"/>
      <c r="AN49" s="79">
        <f>ERP_34[[#This Row],[2026 Working Total to Budget/LE]]-ERP_34[[#This Row],[Giveback]]</f>
        <v>0</v>
      </c>
      <c r="AO49" s="81"/>
      <c r="AP49" s="81"/>
      <c r="AQ49" s="81">
        <v>0</v>
      </c>
      <c r="AR49" s="81">
        <v>0</v>
      </c>
      <c r="AS49" s="81">
        <v>0</v>
      </c>
      <c r="AT49" s="81">
        <v>0</v>
      </c>
      <c r="AU49" s="81">
        <v>0</v>
      </c>
      <c r="AV49" s="81">
        <v>0</v>
      </c>
      <c r="AW49" s="81">
        <v>0</v>
      </c>
      <c r="AX49" s="81">
        <v>0</v>
      </c>
      <c r="AY49" s="81">
        <v>0</v>
      </c>
      <c r="AZ49" s="81">
        <v>0</v>
      </c>
      <c r="BA49" s="81">
        <v>0</v>
      </c>
      <c r="BB49" s="81">
        <v>0</v>
      </c>
      <c r="BC49" s="79"/>
      <c r="BD49" s="79">
        <v>0</v>
      </c>
      <c r="BE49" s="79">
        <v>0</v>
      </c>
      <c r="BF49" s="79">
        <v>0</v>
      </c>
      <c r="BG49" s="79">
        <v>0</v>
      </c>
      <c r="BH49" s="79">
        <v>0</v>
      </c>
      <c r="BI49" s="79">
        <v>0</v>
      </c>
      <c r="BJ49" s="79">
        <v>0</v>
      </c>
      <c r="BK49" s="79">
        <v>0</v>
      </c>
      <c r="BL49" s="79">
        <v>0</v>
      </c>
      <c r="BM49" s="79">
        <v>0</v>
      </c>
      <c r="BN49" s="79">
        <v>0</v>
      </c>
      <c r="BO49" s="79">
        <v>0</v>
      </c>
    </row>
    <row r="50" spans="1:67">
      <c r="A50" s="82" t="s">
        <v>1777</v>
      </c>
      <c r="B50" s="83" t="str">
        <f>_xlfn.TEXTJOIN("_",,ERP_34[[#This Row],[LT Member -1*]],ERP_34[[#This Row],[Expense Category]],ERP_34[[#This Row],[Project Code*]])</f>
        <v>Dougherty, Chris_MANAGED SERVICES_BillingRev019</v>
      </c>
      <c r="C50" s="67" t="s">
        <v>2959</v>
      </c>
      <c r="D50" s="84" t="s">
        <v>1135</v>
      </c>
      <c r="E50" s="120" t="s">
        <v>1135</v>
      </c>
      <c r="F50" s="68" t="s">
        <v>1137</v>
      </c>
      <c r="G50" s="85" t="s">
        <v>389</v>
      </c>
      <c r="H50" s="121" t="s">
        <v>1778</v>
      </c>
      <c r="I50" s="67"/>
      <c r="J50" s="67"/>
      <c r="K50" s="140" t="s">
        <v>407</v>
      </c>
      <c r="L50" s="111"/>
      <c r="M50" s="70"/>
      <c r="N50" s="90" t="s">
        <v>2960</v>
      </c>
      <c r="O50" s="122" t="s">
        <v>408</v>
      </c>
      <c r="P50" s="92" t="s">
        <v>1779</v>
      </c>
      <c r="Q50" s="93"/>
      <c r="R50" s="94">
        <v>-21666.659999999996</v>
      </c>
      <c r="S50" s="95">
        <v>-15000</v>
      </c>
      <c r="T50" s="112">
        <v>-21666.659999999996</v>
      </c>
      <c r="U50" s="113">
        <f>ERP_34[[#This Row],[LE2 Final Submission]]-ERP_34[[#This Row],[LE3 Final Submission]]</f>
        <v>6666.6599999999962</v>
      </c>
      <c r="V50" s="98"/>
      <c r="W50" s="99"/>
      <c r="X50" s="99"/>
      <c r="Y50" s="100">
        <v>-3333.33</v>
      </c>
      <c r="Z50" s="100">
        <v>-3333.33</v>
      </c>
      <c r="AA50" s="100">
        <v>-3333.33</v>
      </c>
      <c r="AB50" s="100">
        <v>-1666.67</v>
      </c>
      <c r="AC50" s="100">
        <v>-1666.67</v>
      </c>
      <c r="AD50" s="100">
        <v>-1666.67</v>
      </c>
      <c r="AE50" s="100">
        <v>0</v>
      </c>
      <c r="AF50" s="100">
        <v>0</v>
      </c>
      <c r="AG50" s="100">
        <v>0</v>
      </c>
      <c r="AH50" s="101">
        <f t="shared" si="1"/>
        <v>-15000</v>
      </c>
      <c r="AI50" s="108">
        <f>ERP_34[[#This Row],[2026 Working Total]]-ERP_34[[#This Row],[2026 LE0]]</f>
        <v>6666.6599999999962</v>
      </c>
      <c r="AJ50" s="79"/>
      <c r="AK50" s="79"/>
      <c r="AL5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" s="80"/>
      <c r="AN50" s="79">
        <f>ERP_34[[#This Row],[2026 Working Total to Budget/LE]]-ERP_34[[#This Row],[Giveback]]</f>
        <v>6666.6599999999962</v>
      </c>
      <c r="AO50" s="81"/>
      <c r="AP50" s="81"/>
      <c r="AQ50" s="81"/>
      <c r="AR50" s="81"/>
      <c r="AS50" s="81">
        <v>-3333.33</v>
      </c>
      <c r="AT50" s="81">
        <v>-3333.33</v>
      </c>
      <c r="AU50" s="81">
        <v>-3333.33</v>
      </c>
      <c r="AV50" s="81">
        <v>-1666.67</v>
      </c>
      <c r="AW50" s="81">
        <v>-1666.67</v>
      </c>
      <c r="AX50" s="81">
        <v>-1666.67</v>
      </c>
      <c r="AY50" s="81">
        <v>0</v>
      </c>
      <c r="AZ50" s="81">
        <v>0</v>
      </c>
      <c r="BA50" s="81">
        <v>0</v>
      </c>
      <c r="BB50" s="81">
        <v>-15000</v>
      </c>
      <c r="BC50" s="103">
        <v>0</v>
      </c>
      <c r="BD50" s="103">
        <v>-3333.33</v>
      </c>
      <c r="BE50" s="103">
        <v>-3333.33</v>
      </c>
      <c r="BF50" s="103">
        <v>-3333.33</v>
      </c>
      <c r="BG50" s="103">
        <v>-3333.33</v>
      </c>
      <c r="BH50" s="103">
        <v>-3333.33</v>
      </c>
      <c r="BI50" s="103">
        <v>-1666.67</v>
      </c>
      <c r="BJ50" s="103">
        <v>-1666.67</v>
      </c>
      <c r="BK50" s="103">
        <v>-1666.67</v>
      </c>
      <c r="BL50" s="103">
        <v>0</v>
      </c>
      <c r="BM50" s="103">
        <v>0</v>
      </c>
      <c r="BN50" s="103">
        <v>0</v>
      </c>
      <c r="BO50" s="82">
        <f>SUM(ERP_34[[#This Row],[2026 AP01]:[2026 AP12]])</f>
        <v>-21666.659999999996</v>
      </c>
    </row>
    <row r="51" spans="1:67">
      <c r="A51" s="66" t="s">
        <v>2236</v>
      </c>
      <c r="B51" s="66" t="str">
        <f>_xlfn.TEXTJOIN("_",,ERP_34[[#This Row],[LT Member -1*]],ERP_34[[#This Row],[Expense Category]],ERP_34[[#This Row],[Project Code*]])</f>
        <v>Maguire, Karla_SOFTWARE_BillingSweep001</v>
      </c>
      <c r="C51" s="67" t="s">
        <v>1136</v>
      </c>
      <c r="D51" s="67" t="s">
        <v>1135</v>
      </c>
      <c r="E51" s="67" t="s">
        <v>1137</v>
      </c>
      <c r="F51" s="67" t="s">
        <v>1137</v>
      </c>
      <c r="G51" s="68" t="s">
        <v>639</v>
      </c>
      <c r="H51" s="106" t="s">
        <v>1685</v>
      </c>
      <c r="I51" s="70"/>
      <c r="J51" s="70"/>
      <c r="K51" s="70" t="s">
        <v>661</v>
      </c>
      <c r="L51" s="70" t="s">
        <v>1139</v>
      </c>
      <c r="M51" s="70"/>
      <c r="N51" s="70"/>
      <c r="O51" s="67" t="s">
        <v>25</v>
      </c>
      <c r="P51" s="67"/>
      <c r="Q51" s="137"/>
      <c r="R51" s="138">
        <v>0</v>
      </c>
      <c r="S51" s="139">
        <v>0</v>
      </c>
      <c r="T51" s="139">
        <v>0</v>
      </c>
      <c r="U51" s="137">
        <f>ERP_34[[#This Row],[LE2 Final Submission]]-ERP_34[[#This Row],[LE3 Final Submission]]</f>
        <v>0</v>
      </c>
      <c r="V51" s="74">
        <v>-18074.080000000002</v>
      </c>
      <c r="W51" s="75">
        <v>18074.080000000002</v>
      </c>
      <c r="X51" s="124">
        <v>0</v>
      </c>
      <c r="Y51" s="109">
        <v>0</v>
      </c>
      <c r="Z51" s="109">
        <v>0</v>
      </c>
      <c r="AA51" s="109">
        <v>0</v>
      </c>
      <c r="AB51" s="109">
        <v>0</v>
      </c>
      <c r="AC51" s="109">
        <v>0</v>
      </c>
      <c r="AD51" s="109">
        <v>0</v>
      </c>
      <c r="AE51" s="109">
        <v>0</v>
      </c>
      <c r="AF51" s="109">
        <v>0</v>
      </c>
      <c r="AG51" s="109">
        <v>0</v>
      </c>
      <c r="AH51" s="77">
        <f t="shared" si="1"/>
        <v>0</v>
      </c>
      <c r="AI51" s="108">
        <f>ERP_34[[#This Row],[2026 Working Total]]-ERP_34[[#This Row],[2026 LE0]]</f>
        <v>0</v>
      </c>
      <c r="AJ51" s="79"/>
      <c r="AK51" s="79"/>
      <c r="AL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" s="80"/>
      <c r="AN51" s="79">
        <f>ERP_34[[#This Row],[2026 Working Total to Budget/LE]]-ERP_34[[#This Row],[Giveback]]</f>
        <v>0</v>
      </c>
      <c r="AO51" s="81"/>
      <c r="AP51" s="81">
        <v>-18074.080000000002</v>
      </c>
      <c r="AQ51" s="81">
        <v>18074.080000000002</v>
      </c>
      <c r="AR51" s="81">
        <v>0</v>
      </c>
      <c r="AS51" s="81">
        <v>0</v>
      </c>
      <c r="AT51" s="81">
        <v>0</v>
      </c>
      <c r="AU51" s="81">
        <v>0</v>
      </c>
      <c r="AV51" s="81">
        <v>0</v>
      </c>
      <c r="AW51" s="81">
        <v>0</v>
      </c>
      <c r="AX51" s="81">
        <v>0</v>
      </c>
      <c r="AY51" s="81">
        <v>0</v>
      </c>
      <c r="AZ51" s="81">
        <v>0</v>
      </c>
      <c r="BA51" s="81">
        <v>0</v>
      </c>
      <c r="BB51" s="81">
        <v>0</v>
      </c>
      <c r="BC51" s="79">
        <v>-18074.080000000002</v>
      </c>
      <c r="BD51" s="79">
        <v>18074.080000000002</v>
      </c>
      <c r="BE51" s="79">
        <v>0</v>
      </c>
      <c r="BF51" s="79">
        <v>0</v>
      </c>
      <c r="BG51" s="79">
        <v>0</v>
      </c>
      <c r="BH51" s="79">
        <v>0</v>
      </c>
      <c r="BI51" s="79">
        <v>0</v>
      </c>
      <c r="BJ51" s="79">
        <v>0</v>
      </c>
      <c r="BK51" s="79">
        <v>0</v>
      </c>
      <c r="BL51" s="79">
        <v>0</v>
      </c>
      <c r="BM51" s="79">
        <v>0</v>
      </c>
      <c r="BN51" s="79">
        <v>0</v>
      </c>
      <c r="BO51" s="79">
        <v>0</v>
      </c>
    </row>
    <row r="52" spans="1:67">
      <c r="A52" s="66" t="s">
        <v>2759</v>
      </c>
      <c r="B52" s="66" t="str">
        <f>_xlfn.TEXTJOIN("_",,ERP_34[[#This Row],[LT Member -1*]],ERP_34[[#This Row],[Expense Category]],ERP_34[[#This Row],[Project Code*]])</f>
        <v>McGettigan, David_SOFTWARE_BillingSweep001</v>
      </c>
      <c r="C52" s="67" t="s">
        <v>1136</v>
      </c>
      <c r="D52" s="67" t="s">
        <v>1567</v>
      </c>
      <c r="E52" s="67" t="s">
        <v>1567</v>
      </c>
      <c r="F52" s="67" t="s">
        <v>1567</v>
      </c>
      <c r="G52" s="68" t="s">
        <v>639</v>
      </c>
      <c r="H52" s="106" t="s">
        <v>1685</v>
      </c>
      <c r="I52" s="70"/>
      <c r="J52" s="70"/>
      <c r="K52" s="70" t="s">
        <v>661</v>
      </c>
      <c r="L52" s="70" t="s">
        <v>1139</v>
      </c>
      <c r="M52" s="70"/>
      <c r="N52" s="70"/>
      <c r="O52" s="67" t="s">
        <v>25</v>
      </c>
      <c r="P52" s="67"/>
      <c r="Q52" s="137"/>
      <c r="R52" s="138">
        <v>0</v>
      </c>
      <c r="S52" s="139">
        <v>0</v>
      </c>
      <c r="T52" s="139">
        <v>0</v>
      </c>
      <c r="U52" s="137">
        <f>ERP_34[[#This Row],[LE2 Final Submission]]-ERP_34[[#This Row],[LE3 Final Submission]]</f>
        <v>0</v>
      </c>
      <c r="V52" s="74">
        <v>-6074.45</v>
      </c>
      <c r="W52" s="75">
        <v>6074.45</v>
      </c>
      <c r="X52" s="124">
        <v>0</v>
      </c>
      <c r="Y52" s="109">
        <v>0</v>
      </c>
      <c r="Z52" s="109">
        <v>0</v>
      </c>
      <c r="AA52" s="109">
        <v>0</v>
      </c>
      <c r="AB52" s="109">
        <v>0</v>
      </c>
      <c r="AC52" s="109">
        <v>0</v>
      </c>
      <c r="AD52" s="109">
        <v>0</v>
      </c>
      <c r="AE52" s="109">
        <v>0</v>
      </c>
      <c r="AF52" s="109">
        <v>0</v>
      </c>
      <c r="AG52" s="109">
        <v>0</v>
      </c>
      <c r="AH52" s="77">
        <f t="shared" si="1"/>
        <v>0</v>
      </c>
      <c r="AI52" s="108">
        <f>ERP_34[[#This Row],[2026 Working Total]]-ERP_34[[#This Row],[2026 LE0]]</f>
        <v>0</v>
      </c>
      <c r="AJ52" s="79"/>
      <c r="AK52" s="79"/>
      <c r="AL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" s="80"/>
      <c r="AN52" s="79">
        <f>ERP_34[[#This Row],[2026 Working Total to Budget/LE]]-ERP_34[[#This Row],[Giveback]]</f>
        <v>0</v>
      </c>
      <c r="AO52" s="81"/>
      <c r="AP52" s="81">
        <v>-6074.45</v>
      </c>
      <c r="AQ52" s="81">
        <v>6074.45</v>
      </c>
      <c r="AR52" s="81">
        <v>0</v>
      </c>
      <c r="AS52" s="81">
        <v>0</v>
      </c>
      <c r="AT52" s="81">
        <v>0</v>
      </c>
      <c r="AU52" s="81">
        <v>0</v>
      </c>
      <c r="AV52" s="81">
        <v>0</v>
      </c>
      <c r="AW52" s="81">
        <v>0</v>
      </c>
      <c r="AX52" s="81">
        <v>0</v>
      </c>
      <c r="AY52" s="81">
        <v>0</v>
      </c>
      <c r="AZ52" s="81">
        <v>0</v>
      </c>
      <c r="BA52" s="81">
        <v>0</v>
      </c>
      <c r="BB52" s="81">
        <v>0</v>
      </c>
      <c r="BC52" s="82">
        <v>-6074.45</v>
      </c>
      <c r="BD52" s="82">
        <v>6074.45</v>
      </c>
      <c r="BE52" s="82">
        <v>0</v>
      </c>
      <c r="BF52" s="82">
        <v>0</v>
      </c>
      <c r="BG52" s="82">
        <v>0</v>
      </c>
      <c r="BH52" s="82">
        <v>0</v>
      </c>
      <c r="BI52" s="82">
        <v>0</v>
      </c>
      <c r="BJ52" s="82">
        <v>0</v>
      </c>
      <c r="BK52" s="82">
        <v>0</v>
      </c>
      <c r="BL52" s="82">
        <v>0</v>
      </c>
      <c r="BM52" s="82">
        <v>0</v>
      </c>
      <c r="BN52" s="82">
        <v>0</v>
      </c>
      <c r="BO52" s="82">
        <v>0</v>
      </c>
    </row>
    <row r="53" spans="1:67">
      <c r="A53" s="66" t="s">
        <v>2238</v>
      </c>
      <c r="B53" s="66" t="str">
        <f>_xlfn.TEXTJOIN("_",,ERP_34[[#This Row],[LT Member -1*]],ERP_34[[#This Row],[Expense Category]],ERP_34[[#This Row],[Project Code*]])</f>
        <v>Maguire, Karla_SOFTWARE_BillingSweep002</v>
      </c>
      <c r="C53" s="67" t="s">
        <v>1136</v>
      </c>
      <c r="D53" s="67" t="s">
        <v>1135</v>
      </c>
      <c r="E53" s="67" t="s">
        <v>1137</v>
      </c>
      <c r="F53" s="67" t="s">
        <v>1137</v>
      </c>
      <c r="G53" s="68" t="s">
        <v>639</v>
      </c>
      <c r="H53" s="106" t="s">
        <v>1685</v>
      </c>
      <c r="I53" s="70"/>
      <c r="J53" s="70"/>
      <c r="K53" s="70" t="s">
        <v>663</v>
      </c>
      <c r="L53" s="70" t="s">
        <v>1139</v>
      </c>
      <c r="M53" s="70"/>
      <c r="N53" s="70"/>
      <c r="O53" s="67" t="s">
        <v>25</v>
      </c>
      <c r="P53" s="67"/>
      <c r="Q53" s="137"/>
      <c r="R53" s="138">
        <v>0</v>
      </c>
      <c r="S53" s="139">
        <v>0</v>
      </c>
      <c r="T53" s="139">
        <v>0</v>
      </c>
      <c r="U53" s="137">
        <f>ERP_34[[#This Row],[LE2 Final Submission]]-ERP_34[[#This Row],[LE3 Final Submission]]</f>
        <v>0</v>
      </c>
      <c r="V53" s="74">
        <v>-1922.23</v>
      </c>
      <c r="W53" s="75">
        <v>1922.23</v>
      </c>
      <c r="X53" s="124">
        <v>0</v>
      </c>
      <c r="Y53" s="109">
        <v>0</v>
      </c>
      <c r="Z53" s="109">
        <v>0</v>
      </c>
      <c r="AA53" s="109">
        <v>0</v>
      </c>
      <c r="AB53" s="109">
        <v>0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77">
        <f t="shared" si="1"/>
        <v>0</v>
      </c>
      <c r="AI53" s="108">
        <f>ERP_34[[#This Row],[2026 Working Total]]-ERP_34[[#This Row],[2026 LE0]]</f>
        <v>0</v>
      </c>
      <c r="AJ53" s="79"/>
      <c r="AK53" s="79"/>
      <c r="AL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" s="80"/>
      <c r="AN53" s="79">
        <f>ERP_34[[#This Row],[2026 Working Total to Budget/LE]]-ERP_34[[#This Row],[Giveback]]</f>
        <v>0</v>
      </c>
      <c r="AO53" s="81"/>
      <c r="AP53" s="81">
        <v>-1922.23</v>
      </c>
      <c r="AQ53" s="81">
        <v>1922.23</v>
      </c>
      <c r="AR53" s="81">
        <v>0</v>
      </c>
      <c r="AS53" s="81">
        <v>0</v>
      </c>
      <c r="AT53" s="81">
        <v>0</v>
      </c>
      <c r="AU53" s="81">
        <v>0</v>
      </c>
      <c r="AV53" s="81">
        <v>0</v>
      </c>
      <c r="AW53" s="81">
        <v>0</v>
      </c>
      <c r="AX53" s="81">
        <v>0</v>
      </c>
      <c r="AY53" s="81">
        <v>0</v>
      </c>
      <c r="AZ53" s="81">
        <v>0</v>
      </c>
      <c r="BA53" s="81">
        <v>0</v>
      </c>
      <c r="BB53" s="81">
        <v>0</v>
      </c>
      <c r="BC53" s="79">
        <v>-1922.23</v>
      </c>
      <c r="BD53" s="79">
        <v>1922.23</v>
      </c>
      <c r="BE53" s="79">
        <v>0</v>
      </c>
      <c r="BF53" s="79">
        <v>0</v>
      </c>
      <c r="BG53" s="79">
        <v>0</v>
      </c>
      <c r="BH53" s="79">
        <v>0</v>
      </c>
      <c r="BI53" s="79">
        <v>0</v>
      </c>
      <c r="BJ53" s="79">
        <v>0</v>
      </c>
      <c r="BK53" s="79">
        <v>0</v>
      </c>
      <c r="BL53" s="79">
        <v>0</v>
      </c>
      <c r="BM53" s="79">
        <v>0</v>
      </c>
      <c r="BN53" s="79">
        <v>0</v>
      </c>
      <c r="BO53" s="79">
        <v>0</v>
      </c>
    </row>
    <row r="54" spans="1:67">
      <c r="A54" s="66" t="s">
        <v>2761</v>
      </c>
      <c r="B54" s="66" t="str">
        <f>_xlfn.TEXTJOIN("_",,ERP_34[[#This Row],[LT Member -1*]],ERP_34[[#This Row],[Expense Category]],ERP_34[[#This Row],[Project Code*]])</f>
        <v>McGettigan, David_SOFTWARE_BillingSweep002</v>
      </c>
      <c r="C54" s="67" t="s">
        <v>1136</v>
      </c>
      <c r="D54" s="67" t="s">
        <v>1567</v>
      </c>
      <c r="E54" s="67" t="s">
        <v>1567</v>
      </c>
      <c r="F54" s="67" t="s">
        <v>1567</v>
      </c>
      <c r="G54" s="68" t="s">
        <v>639</v>
      </c>
      <c r="H54" s="106" t="s">
        <v>1685</v>
      </c>
      <c r="I54" s="70"/>
      <c r="J54" s="70"/>
      <c r="K54" s="70" t="s">
        <v>663</v>
      </c>
      <c r="L54" s="70" t="s">
        <v>1139</v>
      </c>
      <c r="M54" s="70"/>
      <c r="N54" s="70"/>
      <c r="O54" s="67" t="s">
        <v>25</v>
      </c>
      <c r="P54" s="67"/>
      <c r="Q54" s="137"/>
      <c r="R54" s="138">
        <v>0</v>
      </c>
      <c r="S54" s="139">
        <v>0</v>
      </c>
      <c r="T54" s="139">
        <v>0</v>
      </c>
      <c r="U54" s="137">
        <f>ERP_34[[#This Row],[LE2 Final Submission]]-ERP_34[[#This Row],[LE3 Final Submission]]</f>
        <v>0</v>
      </c>
      <c r="V54" s="74">
        <v>-1978.48</v>
      </c>
      <c r="W54" s="75">
        <v>1978.48</v>
      </c>
      <c r="X54" s="124">
        <v>0</v>
      </c>
      <c r="Y54" s="109">
        <v>0</v>
      </c>
      <c r="Z54" s="109">
        <v>0</v>
      </c>
      <c r="AA54" s="109">
        <v>0</v>
      </c>
      <c r="AB54" s="109">
        <v>0</v>
      </c>
      <c r="AC54" s="109">
        <v>0</v>
      </c>
      <c r="AD54" s="109">
        <v>0</v>
      </c>
      <c r="AE54" s="109">
        <v>0</v>
      </c>
      <c r="AF54" s="109">
        <v>0</v>
      </c>
      <c r="AG54" s="109">
        <v>0</v>
      </c>
      <c r="AH54" s="77">
        <f t="shared" si="1"/>
        <v>0</v>
      </c>
      <c r="AI54" s="108">
        <f>ERP_34[[#This Row],[2026 Working Total]]-ERP_34[[#This Row],[2026 LE0]]</f>
        <v>0</v>
      </c>
      <c r="AJ54" s="79"/>
      <c r="AK54" s="79"/>
      <c r="AL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" s="80"/>
      <c r="AN54" s="79">
        <f>ERP_34[[#This Row],[2026 Working Total to Budget/LE]]-ERP_34[[#This Row],[Giveback]]</f>
        <v>0</v>
      </c>
      <c r="AO54" s="81"/>
      <c r="AP54" s="81">
        <v>-1978.48</v>
      </c>
      <c r="AQ54" s="81">
        <v>1978.48</v>
      </c>
      <c r="AR54" s="81">
        <v>0</v>
      </c>
      <c r="AS54" s="81">
        <v>0</v>
      </c>
      <c r="AT54" s="81">
        <v>0</v>
      </c>
      <c r="AU54" s="81">
        <v>0</v>
      </c>
      <c r="AV54" s="81">
        <v>0</v>
      </c>
      <c r="AW54" s="81">
        <v>0</v>
      </c>
      <c r="AX54" s="81">
        <v>0</v>
      </c>
      <c r="AY54" s="81">
        <v>0</v>
      </c>
      <c r="AZ54" s="81">
        <v>0</v>
      </c>
      <c r="BA54" s="81">
        <v>0</v>
      </c>
      <c r="BB54" s="81">
        <v>0</v>
      </c>
      <c r="BC54" s="82">
        <v>-1978.48</v>
      </c>
      <c r="BD54" s="82">
        <v>1978.48</v>
      </c>
      <c r="BE54" s="82">
        <v>0</v>
      </c>
      <c r="BF54" s="82">
        <v>0</v>
      </c>
      <c r="BG54" s="82">
        <v>0</v>
      </c>
      <c r="BH54" s="82">
        <v>0</v>
      </c>
      <c r="BI54" s="82">
        <v>0</v>
      </c>
      <c r="BJ54" s="82">
        <v>0</v>
      </c>
      <c r="BK54" s="82">
        <v>0</v>
      </c>
      <c r="BL54" s="82">
        <v>0</v>
      </c>
      <c r="BM54" s="82">
        <v>0</v>
      </c>
      <c r="BN54" s="82">
        <v>0</v>
      </c>
      <c r="BO54" s="82">
        <v>0</v>
      </c>
    </row>
    <row r="55" spans="1:67">
      <c r="A55" s="66" t="s">
        <v>1683</v>
      </c>
      <c r="B55" s="66" t="str">
        <f>_xlfn.TEXTJOIN("_",,ERP_34[[#This Row],[LT Member -1*]],ERP_34[[#This Row],[Expense Category]],ERP_34[[#This Row],[Project Code*]])</f>
        <v>Maguire, Karla_HW MAINTENANCE_BillingSweep005</v>
      </c>
      <c r="C55" s="67" t="s">
        <v>1136</v>
      </c>
      <c r="D55" s="67" t="s">
        <v>1135</v>
      </c>
      <c r="E55" s="67" t="s">
        <v>1137</v>
      </c>
      <c r="F55" s="67" t="s">
        <v>1137</v>
      </c>
      <c r="G55" s="68" t="s">
        <v>342</v>
      </c>
      <c r="H55" s="106" t="s">
        <v>1685</v>
      </c>
      <c r="I55" s="70"/>
      <c r="J55" s="70"/>
      <c r="K55" s="70" t="s">
        <v>350</v>
      </c>
      <c r="L55" s="70" t="s">
        <v>1139</v>
      </c>
      <c r="M55" s="70"/>
      <c r="N55" s="70"/>
      <c r="O55" s="67" t="s">
        <v>25</v>
      </c>
      <c r="P55" s="67"/>
      <c r="Q55" s="71"/>
      <c r="R55" s="72">
        <v>0</v>
      </c>
      <c r="S55" s="73">
        <v>-904.37</v>
      </c>
      <c r="T55" s="73">
        <v>0</v>
      </c>
      <c r="U55" s="71">
        <f>ERP_34[[#This Row],[LE2 Final Submission]]-ERP_34[[#This Row],[LE3 Final Submission]]</f>
        <v>-904.37</v>
      </c>
      <c r="V55" s="74"/>
      <c r="W55" s="75">
        <v>-904.37</v>
      </c>
      <c r="X55" s="124">
        <v>0</v>
      </c>
      <c r="Y55" s="109">
        <v>0</v>
      </c>
      <c r="Z55" s="109">
        <v>0</v>
      </c>
      <c r="AA55" s="109">
        <v>0</v>
      </c>
      <c r="AB55" s="109">
        <v>0</v>
      </c>
      <c r="AC55" s="109">
        <v>0</v>
      </c>
      <c r="AD55" s="109">
        <v>0</v>
      </c>
      <c r="AE55" s="109">
        <v>0</v>
      </c>
      <c r="AF55" s="109">
        <v>0</v>
      </c>
      <c r="AG55" s="109">
        <v>0</v>
      </c>
      <c r="AH55" s="77">
        <f t="shared" si="1"/>
        <v>-904.37</v>
      </c>
      <c r="AI55" s="108">
        <f>ERP_34[[#This Row],[2026 Working Total]]-ERP_34[[#This Row],[2026 LE0]]</f>
        <v>-904.37</v>
      </c>
      <c r="AJ55" s="79"/>
      <c r="AK55" s="79"/>
      <c r="AL5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" s="80"/>
      <c r="AN55" s="79">
        <f>ERP_34[[#This Row],[2026 Working Total to Budget/LE]]-ERP_34[[#This Row],[Giveback]]</f>
        <v>-904.37</v>
      </c>
      <c r="AO55" s="81"/>
      <c r="AP55" s="81"/>
      <c r="AQ55" s="81">
        <v>-904.37</v>
      </c>
      <c r="AR55" s="81">
        <v>0</v>
      </c>
      <c r="AS55" s="81">
        <v>0</v>
      </c>
      <c r="AT55" s="81">
        <v>0</v>
      </c>
      <c r="AU55" s="81">
        <v>0</v>
      </c>
      <c r="AV55" s="81">
        <v>0</v>
      </c>
      <c r="AW55" s="81">
        <v>0</v>
      </c>
      <c r="AX55" s="81">
        <v>0</v>
      </c>
      <c r="AY55" s="81">
        <v>0</v>
      </c>
      <c r="AZ55" s="81">
        <v>0</v>
      </c>
      <c r="BA55" s="81">
        <v>0</v>
      </c>
      <c r="BB55" s="81">
        <v>-904.37</v>
      </c>
      <c r="BC55" s="79"/>
      <c r="BD55" s="79">
        <v>-904.37</v>
      </c>
      <c r="BE55" s="79">
        <v>0</v>
      </c>
      <c r="BF55" s="79">
        <v>0</v>
      </c>
      <c r="BG55" s="79">
        <v>0</v>
      </c>
      <c r="BH55" s="79">
        <v>0</v>
      </c>
      <c r="BI55" s="79">
        <v>0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-904.37</v>
      </c>
    </row>
    <row r="56" spans="1:67">
      <c r="A56" s="66" t="s">
        <v>1780</v>
      </c>
      <c r="B56" s="66" t="str">
        <f>_xlfn.TEXTJOIN("_",,ERP_34[[#This Row],[LT Member -1*]],ERP_34[[#This Row],[Expense Category]],ERP_34[[#This Row],[Project Code*]])</f>
        <v>Maguire, Karla_MANAGED SERVICES_BillingSweep005</v>
      </c>
      <c r="C56" s="67" t="s">
        <v>1136</v>
      </c>
      <c r="D56" s="67" t="s">
        <v>1135</v>
      </c>
      <c r="E56" s="67" t="s">
        <v>1137</v>
      </c>
      <c r="F56" s="67" t="s">
        <v>1137</v>
      </c>
      <c r="G56" s="68" t="s">
        <v>389</v>
      </c>
      <c r="H56" s="106" t="s">
        <v>1685</v>
      </c>
      <c r="I56" s="70"/>
      <c r="J56" s="70"/>
      <c r="K56" s="70" t="s">
        <v>350</v>
      </c>
      <c r="L56" s="70" t="s">
        <v>1139</v>
      </c>
      <c r="M56" s="70"/>
      <c r="N56" s="70"/>
      <c r="O56" s="67" t="s">
        <v>25</v>
      </c>
      <c r="P56" s="67"/>
      <c r="Q56" s="71"/>
      <c r="R56" s="72">
        <v>0</v>
      </c>
      <c r="S56" s="73">
        <v>-108.52</v>
      </c>
      <c r="T56" s="73">
        <v>0</v>
      </c>
      <c r="U56" s="71">
        <f>ERP_34[[#This Row],[LE2 Final Submission]]-ERP_34[[#This Row],[LE3 Final Submission]]</f>
        <v>-108.52</v>
      </c>
      <c r="V56" s="74"/>
      <c r="W56" s="75">
        <v>-108.52</v>
      </c>
      <c r="X56" s="124">
        <v>0</v>
      </c>
      <c r="Y56" s="109">
        <v>0</v>
      </c>
      <c r="Z56" s="109">
        <v>0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77">
        <f t="shared" si="1"/>
        <v>-108.52</v>
      </c>
      <c r="AI56" s="108">
        <f>ERP_34[[#This Row],[2026 Working Total]]-ERP_34[[#This Row],[2026 LE0]]</f>
        <v>-108.52</v>
      </c>
      <c r="AJ56" s="79"/>
      <c r="AK56" s="79"/>
      <c r="AL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" s="80"/>
      <c r="AN56" s="79">
        <f>ERP_34[[#This Row],[2026 Working Total to Budget/LE]]-ERP_34[[#This Row],[Giveback]]</f>
        <v>-108.52</v>
      </c>
      <c r="AO56" s="81"/>
      <c r="AP56" s="81"/>
      <c r="AQ56" s="81">
        <v>-108.52</v>
      </c>
      <c r="AR56" s="81">
        <v>0</v>
      </c>
      <c r="AS56" s="81">
        <v>0</v>
      </c>
      <c r="AT56" s="81">
        <v>0</v>
      </c>
      <c r="AU56" s="81">
        <v>0</v>
      </c>
      <c r="AV56" s="81">
        <v>0</v>
      </c>
      <c r="AW56" s="81">
        <v>0</v>
      </c>
      <c r="AX56" s="81">
        <v>0</v>
      </c>
      <c r="AY56" s="81">
        <v>0</v>
      </c>
      <c r="AZ56" s="81">
        <v>0</v>
      </c>
      <c r="BA56" s="81">
        <v>0</v>
      </c>
      <c r="BB56" s="81">
        <v>-108.52</v>
      </c>
      <c r="BC56" s="79"/>
      <c r="BD56" s="79">
        <v>-108.52</v>
      </c>
      <c r="BE56" s="79">
        <v>0</v>
      </c>
      <c r="BF56" s="79">
        <v>0</v>
      </c>
      <c r="BG56" s="79">
        <v>0</v>
      </c>
      <c r="BH56" s="79">
        <v>0</v>
      </c>
      <c r="BI56" s="79">
        <v>0</v>
      </c>
      <c r="BJ56" s="79">
        <v>0</v>
      </c>
      <c r="BK56" s="79">
        <v>0</v>
      </c>
      <c r="BL56" s="79">
        <v>0</v>
      </c>
      <c r="BM56" s="79">
        <v>0</v>
      </c>
      <c r="BN56" s="79">
        <v>0</v>
      </c>
      <c r="BO56" s="79">
        <v>-108.52</v>
      </c>
    </row>
    <row r="57" spans="1:67">
      <c r="A57" s="66" t="s">
        <v>1724</v>
      </c>
      <c r="B57" s="66" t="str">
        <f>_xlfn.TEXTJOIN("_",,ERP_34[[#This Row],[LT Member -1*]],ERP_34[[#This Row],[Expense Category]],ERP_34[[#This Row],[Project Code*]])</f>
        <v>DeHart, Lynn_HW MAINTENANCE_BillingSweep005</v>
      </c>
      <c r="C57" s="67" t="s">
        <v>1136</v>
      </c>
      <c r="D57" s="67" t="s">
        <v>1345</v>
      </c>
      <c r="E57" s="67" t="s">
        <v>1346</v>
      </c>
      <c r="F57" s="67" t="s">
        <v>1346</v>
      </c>
      <c r="G57" s="68" t="s">
        <v>342</v>
      </c>
      <c r="H57" s="106" t="s">
        <v>1685</v>
      </c>
      <c r="I57" s="70"/>
      <c r="J57" s="70"/>
      <c r="K57" s="70" t="s">
        <v>350</v>
      </c>
      <c r="L57" s="70" t="s">
        <v>1139</v>
      </c>
      <c r="M57" s="70"/>
      <c r="N57" s="70"/>
      <c r="O57" s="67" t="s">
        <v>25</v>
      </c>
      <c r="P57" s="67"/>
      <c r="Q57" s="71"/>
      <c r="R57" s="72">
        <v>0</v>
      </c>
      <c r="S57" s="73">
        <v>904.37</v>
      </c>
      <c r="T57" s="73">
        <v>0</v>
      </c>
      <c r="U57" s="71">
        <f>ERP_34[[#This Row],[LE2 Final Submission]]-ERP_34[[#This Row],[LE3 Final Submission]]</f>
        <v>904.37</v>
      </c>
      <c r="V57" s="74">
        <v>904.37</v>
      </c>
      <c r="W57" s="124">
        <v>0</v>
      </c>
      <c r="X57" s="124">
        <v>0</v>
      </c>
      <c r="Y57" s="109">
        <v>0</v>
      </c>
      <c r="Z57" s="109">
        <v>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77">
        <f t="shared" si="1"/>
        <v>904.37</v>
      </c>
      <c r="AI57" s="108">
        <f>ERP_34[[#This Row],[2026 Working Total]]-ERP_34[[#This Row],[2026 LE0]]</f>
        <v>904.37</v>
      </c>
      <c r="AJ57" s="79"/>
      <c r="AK57" s="79"/>
      <c r="AL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7" s="80"/>
      <c r="AN57" s="79">
        <f>ERP_34[[#This Row],[2026 Working Total to Budget/LE]]-ERP_34[[#This Row],[Giveback]]</f>
        <v>904.37</v>
      </c>
      <c r="AO57" s="81"/>
      <c r="AP57" s="81">
        <v>904.37</v>
      </c>
      <c r="AQ57" s="81">
        <v>0</v>
      </c>
      <c r="AR57" s="81">
        <v>0</v>
      </c>
      <c r="AS57" s="81">
        <v>0</v>
      </c>
      <c r="AT57" s="81">
        <v>0</v>
      </c>
      <c r="AU57" s="81">
        <v>0</v>
      </c>
      <c r="AV57" s="81">
        <v>0</v>
      </c>
      <c r="AW57" s="81">
        <v>0</v>
      </c>
      <c r="AX57" s="81">
        <v>0</v>
      </c>
      <c r="AY57" s="81">
        <v>0</v>
      </c>
      <c r="AZ57" s="81">
        <v>0</v>
      </c>
      <c r="BA57" s="81">
        <v>0</v>
      </c>
      <c r="BB57" s="81">
        <v>904.37</v>
      </c>
      <c r="BC57" s="79">
        <v>904.37</v>
      </c>
      <c r="BD57" s="79">
        <v>0</v>
      </c>
      <c r="BE57" s="79">
        <v>0</v>
      </c>
      <c r="BF57" s="79">
        <v>0</v>
      </c>
      <c r="BG57" s="79">
        <v>0</v>
      </c>
      <c r="BH57" s="79">
        <v>0</v>
      </c>
      <c r="BI57" s="79">
        <v>0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904.37</v>
      </c>
    </row>
    <row r="58" spans="1:67">
      <c r="A58" s="66" t="s">
        <v>2077</v>
      </c>
      <c r="B58" s="66" t="str">
        <f>_xlfn.TEXTJOIN("_",,ERP_34[[#This Row],[LT Member -1*]],ERP_34[[#This Row],[Expense Category]],ERP_34[[#This Row],[Project Code*]])</f>
        <v>DeHart, Lynn_MANAGED SERVICES_BillingSweep005</v>
      </c>
      <c r="C58" s="67" t="s">
        <v>1136</v>
      </c>
      <c r="D58" s="67" t="s">
        <v>1345</v>
      </c>
      <c r="E58" s="67" t="s">
        <v>1346</v>
      </c>
      <c r="F58" s="67" t="s">
        <v>1346</v>
      </c>
      <c r="G58" s="68" t="s">
        <v>389</v>
      </c>
      <c r="H58" s="106" t="s">
        <v>1685</v>
      </c>
      <c r="I58" s="70"/>
      <c r="J58" s="70"/>
      <c r="K58" s="70" t="s">
        <v>350</v>
      </c>
      <c r="L58" s="70" t="s">
        <v>1139</v>
      </c>
      <c r="M58" s="70"/>
      <c r="N58" s="70"/>
      <c r="O58" s="67" t="s">
        <v>25</v>
      </c>
      <c r="P58" s="67"/>
      <c r="Q58" s="71"/>
      <c r="R58" s="72">
        <v>0</v>
      </c>
      <c r="S58" s="73">
        <v>108.52</v>
      </c>
      <c r="T58" s="73">
        <v>0</v>
      </c>
      <c r="U58" s="71">
        <f>ERP_34[[#This Row],[LE2 Final Submission]]-ERP_34[[#This Row],[LE3 Final Submission]]</f>
        <v>108.52</v>
      </c>
      <c r="V58" s="74">
        <v>108.52</v>
      </c>
      <c r="W58" s="124">
        <v>0</v>
      </c>
      <c r="X58" s="124">
        <v>0</v>
      </c>
      <c r="Y58" s="109">
        <v>0</v>
      </c>
      <c r="Z58" s="109">
        <v>0</v>
      </c>
      <c r="AA58" s="109">
        <v>0</v>
      </c>
      <c r="AB58" s="109">
        <v>0</v>
      </c>
      <c r="AC58" s="109">
        <v>0</v>
      </c>
      <c r="AD58" s="109">
        <v>0</v>
      </c>
      <c r="AE58" s="109">
        <v>0</v>
      </c>
      <c r="AF58" s="109">
        <v>0</v>
      </c>
      <c r="AG58" s="109">
        <v>0</v>
      </c>
      <c r="AH58" s="77">
        <f t="shared" si="1"/>
        <v>108.52</v>
      </c>
      <c r="AI58" s="108">
        <f>ERP_34[[#This Row],[2026 Working Total]]-ERP_34[[#This Row],[2026 LE0]]</f>
        <v>108.52</v>
      </c>
      <c r="AJ58" s="79"/>
      <c r="AK58" s="79"/>
      <c r="AL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" s="80"/>
      <c r="AN58" s="79">
        <f>ERP_34[[#This Row],[2026 Working Total to Budget/LE]]-ERP_34[[#This Row],[Giveback]]</f>
        <v>108.52</v>
      </c>
      <c r="AO58" s="81"/>
      <c r="AP58" s="81">
        <v>108.52</v>
      </c>
      <c r="AQ58" s="81">
        <v>0</v>
      </c>
      <c r="AR58" s="81">
        <v>0</v>
      </c>
      <c r="AS58" s="81">
        <v>0</v>
      </c>
      <c r="AT58" s="81">
        <v>0</v>
      </c>
      <c r="AU58" s="81">
        <v>0</v>
      </c>
      <c r="AV58" s="81">
        <v>0</v>
      </c>
      <c r="AW58" s="81">
        <v>0</v>
      </c>
      <c r="AX58" s="81">
        <v>0</v>
      </c>
      <c r="AY58" s="81">
        <v>0</v>
      </c>
      <c r="AZ58" s="81">
        <v>0</v>
      </c>
      <c r="BA58" s="81">
        <v>0</v>
      </c>
      <c r="BB58" s="81">
        <v>108.52</v>
      </c>
      <c r="BC58" s="79">
        <v>108.52</v>
      </c>
      <c r="BD58" s="79">
        <v>0</v>
      </c>
      <c r="BE58" s="79">
        <v>0</v>
      </c>
      <c r="BF58" s="79">
        <v>0</v>
      </c>
      <c r="BG58" s="79">
        <v>0</v>
      </c>
      <c r="BH58" s="79">
        <v>0</v>
      </c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108.52</v>
      </c>
    </row>
    <row r="59" spans="1:67">
      <c r="A59" s="66" t="s">
        <v>2763</v>
      </c>
      <c r="B59" s="66" t="str">
        <f>_xlfn.TEXTJOIN("_",,ERP_34[[#This Row],[LT Member -1*]],ERP_34[[#This Row],[Expense Category]],ERP_34[[#This Row],[Project Code*]])</f>
        <v>DeHart, Lynn_SOFTWARE_BillingSweep005</v>
      </c>
      <c r="C59" s="67" t="s">
        <v>1136</v>
      </c>
      <c r="D59" s="67" t="s">
        <v>1345</v>
      </c>
      <c r="E59" s="67" t="s">
        <v>1346</v>
      </c>
      <c r="F59" s="67" t="s">
        <v>1346</v>
      </c>
      <c r="G59" s="68" t="s">
        <v>639</v>
      </c>
      <c r="H59" s="106" t="s">
        <v>1685</v>
      </c>
      <c r="I59" s="70"/>
      <c r="J59" s="70"/>
      <c r="K59" s="70" t="s">
        <v>350</v>
      </c>
      <c r="L59" s="70" t="s">
        <v>1139</v>
      </c>
      <c r="M59" s="70"/>
      <c r="N59" s="70"/>
      <c r="O59" s="67" t="s">
        <v>25</v>
      </c>
      <c r="P59" s="67"/>
      <c r="Q59" s="137"/>
      <c r="R59" s="138">
        <v>0</v>
      </c>
      <c r="S59" s="139">
        <v>0</v>
      </c>
      <c r="T59" s="139">
        <v>0</v>
      </c>
      <c r="U59" s="137">
        <f>ERP_34[[#This Row],[LE2 Final Submission]]-ERP_34[[#This Row],[LE3 Final Submission]]</f>
        <v>0</v>
      </c>
      <c r="V59" s="74">
        <v>-256.76</v>
      </c>
      <c r="W59" s="75">
        <v>256.76</v>
      </c>
      <c r="X59" s="124">
        <v>0</v>
      </c>
      <c r="Y59" s="109">
        <v>0</v>
      </c>
      <c r="Z59" s="109">
        <v>0</v>
      </c>
      <c r="AA59" s="109">
        <v>0</v>
      </c>
      <c r="AB59" s="109">
        <v>0</v>
      </c>
      <c r="AC59" s="109">
        <v>0</v>
      </c>
      <c r="AD59" s="109">
        <v>0</v>
      </c>
      <c r="AE59" s="109">
        <v>0</v>
      </c>
      <c r="AF59" s="109">
        <v>0</v>
      </c>
      <c r="AG59" s="109">
        <v>0</v>
      </c>
      <c r="AH59" s="77">
        <f t="shared" si="1"/>
        <v>0</v>
      </c>
      <c r="AI59" s="108">
        <f>ERP_34[[#This Row],[2026 Working Total]]-ERP_34[[#This Row],[2026 LE0]]</f>
        <v>0</v>
      </c>
      <c r="AJ59" s="79"/>
      <c r="AK59" s="79"/>
      <c r="AL5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" s="80"/>
      <c r="AN59" s="79">
        <f>ERP_34[[#This Row],[2026 Working Total to Budget/LE]]-ERP_34[[#This Row],[Giveback]]</f>
        <v>0</v>
      </c>
      <c r="AO59" s="81"/>
      <c r="AP59" s="81">
        <v>-256.76</v>
      </c>
      <c r="AQ59" s="81">
        <v>256.76</v>
      </c>
      <c r="AR59" s="81">
        <v>0</v>
      </c>
      <c r="AS59" s="81">
        <v>0</v>
      </c>
      <c r="AT59" s="81">
        <v>0</v>
      </c>
      <c r="AU59" s="81">
        <v>0</v>
      </c>
      <c r="AV59" s="81">
        <v>0</v>
      </c>
      <c r="AW59" s="81">
        <v>0</v>
      </c>
      <c r="AX59" s="81">
        <v>0</v>
      </c>
      <c r="AY59" s="81">
        <v>0</v>
      </c>
      <c r="AZ59" s="81">
        <v>0</v>
      </c>
      <c r="BA59" s="81">
        <v>0</v>
      </c>
      <c r="BB59" s="81">
        <v>0</v>
      </c>
      <c r="BC59" s="79">
        <v>-256.76</v>
      </c>
      <c r="BD59" s="79">
        <v>256.76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</row>
    <row r="60" spans="1:67">
      <c r="A60" s="66" t="s">
        <v>2240</v>
      </c>
      <c r="B60" s="66" t="str">
        <f>_xlfn.TEXTJOIN("_",,ERP_34[[#This Row],[LT Member -1*]],ERP_34[[#This Row],[Expense Category]],ERP_34[[#This Row],[Project Code*]])</f>
        <v>Maguire, Karla_SOFTWARE_BillingSweep006</v>
      </c>
      <c r="C60" s="67" t="s">
        <v>1136</v>
      </c>
      <c r="D60" s="67" t="s">
        <v>1135</v>
      </c>
      <c r="E60" s="67" t="s">
        <v>1137</v>
      </c>
      <c r="F60" s="67" t="s">
        <v>1137</v>
      </c>
      <c r="G60" s="68" t="s">
        <v>639</v>
      </c>
      <c r="H60" s="106" t="s">
        <v>1685</v>
      </c>
      <c r="I60" s="70"/>
      <c r="J60" s="70"/>
      <c r="K60" s="70" t="s">
        <v>2242</v>
      </c>
      <c r="L60" s="70" t="s">
        <v>1139</v>
      </c>
      <c r="M60" s="70"/>
      <c r="N60" s="70"/>
      <c r="O60" s="67" t="s">
        <v>25</v>
      </c>
      <c r="P60" s="67"/>
      <c r="Q60" s="137"/>
      <c r="R60" s="138">
        <v>0</v>
      </c>
      <c r="S60" s="139">
        <v>0</v>
      </c>
      <c r="T60" s="139">
        <v>0</v>
      </c>
      <c r="U60" s="137">
        <f>ERP_34[[#This Row],[LE2 Final Submission]]-ERP_34[[#This Row],[LE3 Final Submission]]</f>
        <v>0</v>
      </c>
      <c r="V60" s="74">
        <v>-11.41</v>
      </c>
      <c r="W60" s="75">
        <v>11.41</v>
      </c>
      <c r="X60" s="124">
        <v>0</v>
      </c>
      <c r="Y60" s="109">
        <v>0</v>
      </c>
      <c r="Z60" s="109">
        <v>0</v>
      </c>
      <c r="AA60" s="109">
        <v>0</v>
      </c>
      <c r="AB60" s="109">
        <v>0</v>
      </c>
      <c r="AC60" s="109">
        <v>0</v>
      </c>
      <c r="AD60" s="109">
        <v>0</v>
      </c>
      <c r="AE60" s="109">
        <v>0</v>
      </c>
      <c r="AF60" s="109">
        <v>0</v>
      </c>
      <c r="AG60" s="109">
        <v>0</v>
      </c>
      <c r="AH60" s="77">
        <f t="shared" si="1"/>
        <v>0</v>
      </c>
      <c r="AI60" s="108">
        <f>ERP_34[[#This Row],[2026 Working Total]]-ERP_34[[#This Row],[2026 LE0]]</f>
        <v>0</v>
      </c>
      <c r="AJ60" s="79"/>
      <c r="AK60" s="79"/>
      <c r="AL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0" s="80"/>
      <c r="AN60" s="79">
        <f>ERP_34[[#This Row],[2026 Working Total to Budget/LE]]-ERP_34[[#This Row],[Giveback]]</f>
        <v>0</v>
      </c>
      <c r="AO60" s="81"/>
      <c r="AP60" s="81">
        <v>-11.41</v>
      </c>
      <c r="AQ60" s="81">
        <v>11.41</v>
      </c>
      <c r="AR60" s="81">
        <v>0</v>
      </c>
      <c r="AS60" s="81">
        <v>0</v>
      </c>
      <c r="AT60" s="81">
        <v>0</v>
      </c>
      <c r="AU60" s="81">
        <v>0</v>
      </c>
      <c r="AV60" s="81">
        <v>0</v>
      </c>
      <c r="AW60" s="81">
        <v>0</v>
      </c>
      <c r="AX60" s="81">
        <v>0</v>
      </c>
      <c r="AY60" s="81">
        <v>0</v>
      </c>
      <c r="AZ60" s="81">
        <v>0</v>
      </c>
      <c r="BA60" s="81">
        <v>0</v>
      </c>
      <c r="BB60" s="81">
        <v>0</v>
      </c>
      <c r="BC60" s="79">
        <v>-11.41</v>
      </c>
      <c r="BD60" s="79">
        <v>11.41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</row>
    <row r="61" spans="1:67">
      <c r="A61" s="66" t="s">
        <v>2765</v>
      </c>
      <c r="B61" s="66" t="str">
        <f>_xlfn.TEXTJOIN("_",,ERP_34[[#This Row],[LT Member -1*]],ERP_34[[#This Row],[Expense Category]],ERP_34[[#This Row],[Project Code*]])</f>
        <v>McGettigan, David_SOFTWARE_BillingSweep006</v>
      </c>
      <c r="C61" s="67" t="s">
        <v>1136</v>
      </c>
      <c r="D61" s="67" t="s">
        <v>1567</v>
      </c>
      <c r="E61" s="67" t="s">
        <v>1567</v>
      </c>
      <c r="F61" s="67" t="s">
        <v>1567</v>
      </c>
      <c r="G61" s="68" t="s">
        <v>639</v>
      </c>
      <c r="H61" s="106" t="s">
        <v>1685</v>
      </c>
      <c r="I61" s="70"/>
      <c r="J61" s="70"/>
      <c r="K61" s="70" t="s">
        <v>2242</v>
      </c>
      <c r="L61" s="70" t="s">
        <v>1139</v>
      </c>
      <c r="M61" s="70"/>
      <c r="N61" s="70"/>
      <c r="O61" s="67" t="s">
        <v>25</v>
      </c>
      <c r="P61" s="67"/>
      <c r="Q61" s="137"/>
      <c r="R61" s="138">
        <v>0</v>
      </c>
      <c r="S61" s="139">
        <v>0</v>
      </c>
      <c r="T61" s="139">
        <v>0</v>
      </c>
      <c r="U61" s="137">
        <f>ERP_34[[#This Row],[LE2 Final Submission]]-ERP_34[[#This Row],[LE3 Final Submission]]</f>
        <v>0</v>
      </c>
      <c r="V61" s="74"/>
      <c r="W61" s="75"/>
      <c r="X61" s="124">
        <v>0</v>
      </c>
      <c r="Y61" s="109">
        <v>0</v>
      </c>
      <c r="Z61" s="109">
        <v>0</v>
      </c>
      <c r="AA61" s="109">
        <v>0</v>
      </c>
      <c r="AB61" s="109">
        <v>0</v>
      </c>
      <c r="AC61" s="109">
        <v>0</v>
      </c>
      <c r="AD61" s="109">
        <v>0</v>
      </c>
      <c r="AE61" s="109">
        <v>0</v>
      </c>
      <c r="AF61" s="109">
        <v>0</v>
      </c>
      <c r="AG61" s="109">
        <v>0</v>
      </c>
      <c r="AH61" s="77">
        <f t="shared" si="1"/>
        <v>0</v>
      </c>
      <c r="AI61" s="108">
        <f>ERP_34[[#This Row],[2026 Working Total]]-ERP_34[[#This Row],[2026 LE0]]</f>
        <v>0</v>
      </c>
      <c r="AJ61" s="79"/>
      <c r="AK61" s="79"/>
      <c r="AL6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" s="80"/>
      <c r="AN61" s="79">
        <f>ERP_34[[#This Row],[2026 Working Total to Budget/LE]]-ERP_34[[#This Row],[Giveback]]</f>
        <v>0</v>
      </c>
      <c r="AO61" s="81"/>
      <c r="AP61" s="81"/>
      <c r="AQ61" s="81"/>
      <c r="AR61" s="81">
        <v>0</v>
      </c>
      <c r="AS61" s="81">
        <v>0</v>
      </c>
      <c r="AT61" s="81">
        <v>0</v>
      </c>
      <c r="AU61" s="81">
        <v>0</v>
      </c>
      <c r="AV61" s="81">
        <v>0</v>
      </c>
      <c r="AW61" s="81">
        <v>0</v>
      </c>
      <c r="AX61" s="81">
        <v>0</v>
      </c>
      <c r="AY61" s="81">
        <v>0</v>
      </c>
      <c r="AZ61" s="81">
        <v>0</v>
      </c>
      <c r="BA61" s="81">
        <v>0</v>
      </c>
      <c r="BB61" s="81">
        <v>0</v>
      </c>
      <c r="BC61" s="82"/>
      <c r="BD61" s="82"/>
      <c r="BE61" s="82">
        <v>0</v>
      </c>
      <c r="BF61" s="82">
        <v>0</v>
      </c>
      <c r="BG61" s="82">
        <v>0</v>
      </c>
      <c r="BH61" s="82">
        <v>0</v>
      </c>
      <c r="BI61" s="82">
        <v>0</v>
      </c>
      <c r="BJ61" s="82">
        <v>0</v>
      </c>
      <c r="BK61" s="82">
        <v>0</v>
      </c>
      <c r="BL61" s="82">
        <v>0</v>
      </c>
      <c r="BM61" s="82">
        <v>0</v>
      </c>
      <c r="BN61" s="82">
        <v>0</v>
      </c>
      <c r="BO61" s="82">
        <v>0</v>
      </c>
    </row>
    <row r="62" spans="1:67">
      <c r="A62" s="66" t="s">
        <v>1686</v>
      </c>
      <c r="B62" s="66" t="str">
        <f>_xlfn.TEXTJOIN("_",,ERP_34[[#This Row],[LT Member -1*]],ERP_34[[#This Row],[Expense Category]],ERP_34[[#This Row],[Project Code*]])</f>
        <v>Maguire, Karla_HW MAINTENANCE_BillingSweep011</v>
      </c>
      <c r="C62" s="67" t="s">
        <v>1136</v>
      </c>
      <c r="D62" s="67" t="s">
        <v>1135</v>
      </c>
      <c r="E62" s="67" t="s">
        <v>1137</v>
      </c>
      <c r="F62" s="67" t="s">
        <v>1137</v>
      </c>
      <c r="G62" s="68" t="s">
        <v>342</v>
      </c>
      <c r="H62" s="106" t="s">
        <v>352</v>
      </c>
      <c r="I62" s="70"/>
      <c r="J62" s="70"/>
      <c r="K62" s="70" t="s">
        <v>352</v>
      </c>
      <c r="L62" s="70" t="s">
        <v>1139</v>
      </c>
      <c r="M62" s="70"/>
      <c r="N62" s="70"/>
      <c r="O62" s="67" t="s">
        <v>25</v>
      </c>
      <c r="P62" s="67"/>
      <c r="Q62" s="137"/>
      <c r="R62" s="138">
        <v>0</v>
      </c>
      <c r="S62" s="139">
        <v>0</v>
      </c>
      <c r="T62" s="139">
        <v>0</v>
      </c>
      <c r="U62" s="137">
        <f>ERP_34[[#This Row],[LE2 Final Submission]]-ERP_34[[#This Row],[LE3 Final Submission]]</f>
        <v>0</v>
      </c>
      <c r="V62" s="74"/>
      <c r="W62" s="75"/>
      <c r="X62" s="124">
        <v>0</v>
      </c>
      <c r="Y62" s="109">
        <v>0</v>
      </c>
      <c r="Z62" s="109">
        <v>0</v>
      </c>
      <c r="AA62" s="109">
        <v>0</v>
      </c>
      <c r="AB62" s="109">
        <v>0</v>
      </c>
      <c r="AC62" s="109">
        <v>0</v>
      </c>
      <c r="AD62" s="109">
        <v>0</v>
      </c>
      <c r="AE62" s="109">
        <v>0</v>
      </c>
      <c r="AF62" s="109">
        <v>0</v>
      </c>
      <c r="AG62" s="109">
        <v>0</v>
      </c>
      <c r="AH62" s="77">
        <f t="shared" si="1"/>
        <v>0</v>
      </c>
      <c r="AI62" s="108">
        <f>ERP_34[[#This Row],[2026 Working Total]]-ERP_34[[#This Row],[2026 LE0]]</f>
        <v>0</v>
      </c>
      <c r="AJ62" s="79"/>
      <c r="AK62" s="79"/>
      <c r="AL6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" s="80"/>
      <c r="AN62" s="79">
        <f>ERP_34[[#This Row],[2026 Working Total to Budget/LE]]-ERP_34[[#This Row],[Giveback]]</f>
        <v>0</v>
      </c>
      <c r="AO62" s="81"/>
      <c r="AP62" s="81"/>
      <c r="AQ62" s="81"/>
      <c r="AR62" s="81">
        <v>0</v>
      </c>
      <c r="AS62" s="81">
        <v>0</v>
      </c>
      <c r="AT62" s="81">
        <v>0</v>
      </c>
      <c r="AU62" s="81">
        <v>0</v>
      </c>
      <c r="AV62" s="81">
        <v>0</v>
      </c>
      <c r="AW62" s="81">
        <v>0</v>
      </c>
      <c r="AX62" s="81">
        <v>0</v>
      </c>
      <c r="AY62" s="81">
        <v>0</v>
      </c>
      <c r="AZ62" s="81">
        <v>0</v>
      </c>
      <c r="BA62" s="81">
        <v>0</v>
      </c>
      <c r="BB62" s="81">
        <v>0</v>
      </c>
      <c r="BC62" s="79"/>
      <c r="BD62" s="79"/>
      <c r="BE62" s="79">
        <v>0</v>
      </c>
      <c r="BF62" s="79">
        <v>0</v>
      </c>
      <c r="BG62" s="79">
        <v>0</v>
      </c>
      <c r="BH62" s="79">
        <v>0</v>
      </c>
      <c r="BI62" s="79">
        <v>0</v>
      </c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0</v>
      </c>
    </row>
    <row r="63" spans="1:67">
      <c r="A63" s="66" t="s">
        <v>1784</v>
      </c>
      <c r="B63" s="66" t="str">
        <f>_xlfn.TEXTJOIN("_",,ERP_34[[#This Row],[LT Member -1*]],ERP_34[[#This Row],[Expense Category]],ERP_34[[#This Row],[Project Code*]])</f>
        <v>Maguire, Karla_MANAGED SERVICES_BillingSweep011</v>
      </c>
      <c r="C63" s="67" t="s">
        <v>1136</v>
      </c>
      <c r="D63" s="67" t="s">
        <v>1135</v>
      </c>
      <c r="E63" s="67" t="s">
        <v>1137</v>
      </c>
      <c r="F63" s="67" t="s">
        <v>1137</v>
      </c>
      <c r="G63" s="68" t="s">
        <v>389</v>
      </c>
      <c r="H63" s="106" t="s">
        <v>352</v>
      </c>
      <c r="I63" s="70"/>
      <c r="J63" s="70"/>
      <c r="K63" s="70" t="s">
        <v>352</v>
      </c>
      <c r="L63" s="70" t="s">
        <v>1139</v>
      </c>
      <c r="M63" s="70"/>
      <c r="N63" s="70"/>
      <c r="O63" s="67" t="s">
        <v>25</v>
      </c>
      <c r="P63" s="67"/>
      <c r="Q63" s="137"/>
      <c r="R63" s="138">
        <v>0</v>
      </c>
      <c r="S63" s="139">
        <v>0</v>
      </c>
      <c r="T63" s="139">
        <v>0</v>
      </c>
      <c r="U63" s="137">
        <f>ERP_34[[#This Row],[LE2 Final Submission]]-ERP_34[[#This Row],[LE3 Final Submission]]</f>
        <v>0</v>
      </c>
      <c r="V63" s="74"/>
      <c r="W63" s="75"/>
      <c r="X63" s="124">
        <v>0</v>
      </c>
      <c r="Y63" s="109">
        <v>0</v>
      </c>
      <c r="Z63" s="109">
        <v>0</v>
      </c>
      <c r="AA63" s="109">
        <v>0</v>
      </c>
      <c r="AB63" s="109">
        <v>0</v>
      </c>
      <c r="AC63" s="109">
        <v>0</v>
      </c>
      <c r="AD63" s="109">
        <v>0</v>
      </c>
      <c r="AE63" s="109">
        <v>0</v>
      </c>
      <c r="AF63" s="109">
        <v>0</v>
      </c>
      <c r="AG63" s="109">
        <v>0</v>
      </c>
      <c r="AH63" s="77">
        <f t="shared" si="1"/>
        <v>0</v>
      </c>
      <c r="AI63" s="108">
        <f>ERP_34[[#This Row],[2026 Working Total]]-ERP_34[[#This Row],[2026 LE0]]</f>
        <v>0</v>
      </c>
      <c r="AJ63" s="79"/>
      <c r="AK63" s="79"/>
      <c r="AL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" s="80"/>
      <c r="AN63" s="79">
        <f>ERP_34[[#This Row],[2026 Working Total to Budget/LE]]-ERP_34[[#This Row],[Giveback]]</f>
        <v>0</v>
      </c>
      <c r="AO63" s="81"/>
      <c r="AP63" s="81"/>
      <c r="AQ63" s="81"/>
      <c r="AR63" s="81">
        <v>0</v>
      </c>
      <c r="AS63" s="81">
        <v>0</v>
      </c>
      <c r="AT63" s="81">
        <v>0</v>
      </c>
      <c r="AU63" s="81">
        <v>0</v>
      </c>
      <c r="AV63" s="81">
        <v>0</v>
      </c>
      <c r="AW63" s="81">
        <v>0</v>
      </c>
      <c r="AX63" s="81">
        <v>0</v>
      </c>
      <c r="AY63" s="81">
        <v>0</v>
      </c>
      <c r="AZ63" s="81">
        <v>0</v>
      </c>
      <c r="BA63" s="81">
        <v>0</v>
      </c>
      <c r="BB63" s="81">
        <v>0</v>
      </c>
      <c r="BC63" s="79"/>
      <c r="BD63" s="79"/>
      <c r="BE63" s="79">
        <v>0</v>
      </c>
      <c r="BF63" s="79">
        <v>0</v>
      </c>
      <c r="BG63" s="79">
        <v>0</v>
      </c>
      <c r="BH63" s="79">
        <v>0</v>
      </c>
      <c r="BI63" s="79">
        <v>0</v>
      </c>
      <c r="BJ63" s="79">
        <v>0</v>
      </c>
      <c r="BK63" s="79">
        <v>0</v>
      </c>
      <c r="BL63" s="79">
        <v>0</v>
      </c>
      <c r="BM63" s="79">
        <v>0</v>
      </c>
      <c r="BN63" s="79">
        <v>0</v>
      </c>
      <c r="BO63" s="79">
        <v>0</v>
      </c>
    </row>
    <row r="64" spans="1:67">
      <c r="A64" s="66" t="s">
        <v>1726</v>
      </c>
      <c r="B64" s="66" t="str">
        <f>_xlfn.TEXTJOIN("_",,ERP_34[[#This Row],[LT Member -1*]],ERP_34[[#This Row],[Expense Category]],ERP_34[[#This Row],[Project Code*]])</f>
        <v>McGettigan, David_HW MAINTENANCE_BillingSweep011</v>
      </c>
      <c r="C64" s="67" t="s">
        <v>1136</v>
      </c>
      <c r="D64" s="67" t="s">
        <v>1567</v>
      </c>
      <c r="E64" s="67" t="s">
        <v>1567</v>
      </c>
      <c r="F64" s="67" t="s">
        <v>1567</v>
      </c>
      <c r="G64" s="68" t="s">
        <v>342</v>
      </c>
      <c r="H64" s="106" t="s">
        <v>352</v>
      </c>
      <c r="I64" s="70"/>
      <c r="J64" s="70"/>
      <c r="K64" s="70" t="s">
        <v>352</v>
      </c>
      <c r="L64" s="70" t="s">
        <v>1139</v>
      </c>
      <c r="M64" s="70"/>
      <c r="N64" s="70"/>
      <c r="O64" s="67" t="s">
        <v>25</v>
      </c>
      <c r="P64" s="67"/>
      <c r="Q64" s="137"/>
      <c r="R64" s="138">
        <v>0</v>
      </c>
      <c r="S64" s="139">
        <v>0</v>
      </c>
      <c r="T64" s="139">
        <v>0</v>
      </c>
      <c r="U64" s="137">
        <f>ERP_34[[#This Row],[LE2 Final Submission]]-ERP_34[[#This Row],[LE3 Final Submission]]</f>
        <v>0</v>
      </c>
      <c r="V64" s="74"/>
      <c r="W64" s="75"/>
      <c r="X64" s="124">
        <v>0</v>
      </c>
      <c r="Y64" s="109">
        <v>0</v>
      </c>
      <c r="Z64" s="109">
        <v>0</v>
      </c>
      <c r="AA64" s="109">
        <v>0</v>
      </c>
      <c r="AB64" s="109">
        <v>0</v>
      </c>
      <c r="AC64" s="109">
        <v>0</v>
      </c>
      <c r="AD64" s="109">
        <v>0</v>
      </c>
      <c r="AE64" s="109">
        <v>0</v>
      </c>
      <c r="AF64" s="109">
        <v>0</v>
      </c>
      <c r="AG64" s="109">
        <v>0</v>
      </c>
      <c r="AH64" s="77">
        <f t="shared" si="1"/>
        <v>0</v>
      </c>
      <c r="AI64" s="108">
        <f>ERP_34[[#This Row],[2026 Working Total]]-ERP_34[[#This Row],[2026 LE0]]</f>
        <v>0</v>
      </c>
      <c r="AJ64" s="79"/>
      <c r="AK64" s="79"/>
      <c r="AL6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" s="80"/>
      <c r="AN64" s="79">
        <f>ERP_34[[#This Row],[2026 Working Total to Budget/LE]]-ERP_34[[#This Row],[Giveback]]</f>
        <v>0</v>
      </c>
      <c r="AO64" s="81"/>
      <c r="AP64" s="81"/>
      <c r="AQ64" s="81"/>
      <c r="AR64" s="81">
        <v>0</v>
      </c>
      <c r="AS64" s="81">
        <v>0</v>
      </c>
      <c r="AT64" s="81">
        <v>0</v>
      </c>
      <c r="AU64" s="81">
        <v>0</v>
      </c>
      <c r="AV64" s="81">
        <v>0</v>
      </c>
      <c r="AW64" s="81">
        <v>0</v>
      </c>
      <c r="AX64" s="81">
        <v>0</v>
      </c>
      <c r="AY64" s="81">
        <v>0</v>
      </c>
      <c r="AZ64" s="81">
        <v>0</v>
      </c>
      <c r="BA64" s="81">
        <v>0</v>
      </c>
      <c r="BB64" s="81">
        <v>0</v>
      </c>
      <c r="BC64" s="79"/>
      <c r="BD64" s="79"/>
      <c r="BE64" s="79">
        <v>0</v>
      </c>
      <c r="BF64" s="79">
        <v>0</v>
      </c>
      <c r="BG64" s="79">
        <v>0</v>
      </c>
      <c r="BH64" s="79">
        <v>0</v>
      </c>
      <c r="BI64" s="79">
        <v>0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0</v>
      </c>
    </row>
    <row r="65" spans="1:67">
      <c r="A65" s="66" t="s">
        <v>2079</v>
      </c>
      <c r="B65" s="66" t="str">
        <f>_xlfn.TEXTJOIN("_",,ERP_34[[#This Row],[LT Member -1*]],ERP_34[[#This Row],[Expense Category]],ERP_34[[#This Row],[Project Code*]])</f>
        <v>McGettigan, David_MANAGED SERVICES_BillingSweep011</v>
      </c>
      <c r="C65" s="67" t="s">
        <v>1136</v>
      </c>
      <c r="D65" s="67" t="s">
        <v>1567</v>
      </c>
      <c r="E65" s="67" t="s">
        <v>1567</v>
      </c>
      <c r="F65" s="67" t="s">
        <v>1567</v>
      </c>
      <c r="G65" s="68" t="s">
        <v>389</v>
      </c>
      <c r="H65" s="106" t="s">
        <v>352</v>
      </c>
      <c r="I65" s="70"/>
      <c r="J65" s="70"/>
      <c r="K65" s="70" t="s">
        <v>352</v>
      </c>
      <c r="L65" s="70" t="s">
        <v>1139</v>
      </c>
      <c r="M65" s="70"/>
      <c r="N65" s="70"/>
      <c r="O65" s="67" t="s">
        <v>25</v>
      </c>
      <c r="P65" s="67"/>
      <c r="Q65" s="137"/>
      <c r="R65" s="138">
        <v>0</v>
      </c>
      <c r="S65" s="139">
        <v>0</v>
      </c>
      <c r="T65" s="139">
        <v>0</v>
      </c>
      <c r="U65" s="137">
        <f>ERP_34[[#This Row],[LE2 Final Submission]]-ERP_34[[#This Row],[LE3 Final Submission]]</f>
        <v>0</v>
      </c>
      <c r="V65" s="74"/>
      <c r="W65" s="75"/>
      <c r="X65" s="124">
        <v>0</v>
      </c>
      <c r="Y65" s="109">
        <v>0</v>
      </c>
      <c r="Z65" s="109">
        <v>0</v>
      </c>
      <c r="AA65" s="109">
        <v>0</v>
      </c>
      <c r="AB65" s="109">
        <v>0</v>
      </c>
      <c r="AC65" s="109">
        <v>0</v>
      </c>
      <c r="AD65" s="109">
        <v>0</v>
      </c>
      <c r="AE65" s="109">
        <v>0</v>
      </c>
      <c r="AF65" s="109">
        <v>0</v>
      </c>
      <c r="AG65" s="109">
        <v>0</v>
      </c>
      <c r="AH65" s="77">
        <f t="shared" si="1"/>
        <v>0</v>
      </c>
      <c r="AI65" s="108">
        <f>ERP_34[[#This Row],[2026 Working Total]]-ERP_34[[#This Row],[2026 LE0]]</f>
        <v>0</v>
      </c>
      <c r="AJ65" s="79"/>
      <c r="AK65" s="79"/>
      <c r="AL6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5" s="80"/>
      <c r="AN65" s="79">
        <f>ERP_34[[#This Row],[2026 Working Total to Budget/LE]]-ERP_34[[#This Row],[Giveback]]</f>
        <v>0</v>
      </c>
      <c r="AO65" s="81"/>
      <c r="AP65" s="81"/>
      <c r="AQ65" s="81"/>
      <c r="AR65" s="81">
        <v>0</v>
      </c>
      <c r="AS65" s="81">
        <v>0</v>
      </c>
      <c r="AT65" s="81">
        <v>0</v>
      </c>
      <c r="AU65" s="81">
        <v>0</v>
      </c>
      <c r="AV65" s="81">
        <v>0</v>
      </c>
      <c r="AW65" s="81">
        <v>0</v>
      </c>
      <c r="AX65" s="81">
        <v>0</v>
      </c>
      <c r="AY65" s="81">
        <v>0</v>
      </c>
      <c r="AZ65" s="81">
        <v>0</v>
      </c>
      <c r="BA65" s="81">
        <v>0</v>
      </c>
      <c r="BB65" s="81">
        <v>0</v>
      </c>
      <c r="BC65" s="79"/>
      <c r="BD65" s="79"/>
      <c r="BE65" s="79">
        <v>0</v>
      </c>
      <c r="BF65" s="79">
        <v>0</v>
      </c>
      <c r="BG65" s="79">
        <v>0</v>
      </c>
      <c r="BH65" s="79">
        <v>0</v>
      </c>
      <c r="BI65" s="79">
        <v>0</v>
      </c>
      <c r="BJ65" s="79">
        <v>0</v>
      </c>
      <c r="BK65" s="79">
        <v>0</v>
      </c>
      <c r="BL65" s="79">
        <v>0</v>
      </c>
      <c r="BM65" s="79">
        <v>0</v>
      </c>
      <c r="BN65" s="79">
        <v>0</v>
      </c>
      <c r="BO65" s="79">
        <v>0</v>
      </c>
    </row>
    <row r="66" spans="1:67">
      <c r="A66" s="66" t="s">
        <v>1688</v>
      </c>
      <c r="B66" s="66" t="str">
        <f>_xlfn.TEXTJOIN("_",,ERP_34[[#This Row],[LT Member -1*]],ERP_34[[#This Row],[Expense Category]],ERP_34[[#This Row],[Project Code*]])</f>
        <v>Maguire, Karla_HW MAINTENANCE_BillingSweep012</v>
      </c>
      <c r="C66" s="67" t="s">
        <v>1136</v>
      </c>
      <c r="D66" s="67" t="s">
        <v>1135</v>
      </c>
      <c r="E66" s="67" t="s">
        <v>1137</v>
      </c>
      <c r="F66" s="67" t="s">
        <v>1137</v>
      </c>
      <c r="G66" s="68" t="s">
        <v>342</v>
      </c>
      <c r="H66" s="106" t="s">
        <v>354</v>
      </c>
      <c r="I66" s="70"/>
      <c r="J66" s="70"/>
      <c r="K66" s="70" t="s">
        <v>354</v>
      </c>
      <c r="L66" s="70"/>
      <c r="M66" s="70"/>
      <c r="N66" s="70"/>
      <c r="O66" s="67" t="s">
        <v>25</v>
      </c>
      <c r="P66" s="67"/>
      <c r="Q66" s="137"/>
      <c r="R66" s="138">
        <v>0</v>
      </c>
      <c r="S66" s="139">
        <v>0</v>
      </c>
      <c r="T66" s="139">
        <v>0</v>
      </c>
      <c r="U66" s="137">
        <f>ERP_34[[#This Row],[LE2 Final Submission]]-ERP_34[[#This Row],[LE3 Final Submission]]</f>
        <v>0</v>
      </c>
      <c r="V66" s="74"/>
      <c r="W66" s="124">
        <v>0</v>
      </c>
      <c r="X66" s="124">
        <v>0</v>
      </c>
      <c r="Y66" s="109">
        <v>0</v>
      </c>
      <c r="Z66" s="109">
        <v>0</v>
      </c>
      <c r="AA66" s="109">
        <v>0</v>
      </c>
      <c r="AB66" s="109">
        <v>0</v>
      </c>
      <c r="AC66" s="109">
        <v>0</v>
      </c>
      <c r="AD66" s="109">
        <v>0</v>
      </c>
      <c r="AE66" s="109">
        <v>0</v>
      </c>
      <c r="AF66" s="109">
        <v>0</v>
      </c>
      <c r="AG66" s="109">
        <v>0</v>
      </c>
      <c r="AH66" s="77">
        <f t="shared" si="1"/>
        <v>0</v>
      </c>
      <c r="AI66" s="108">
        <f>ERP_34[[#This Row],[2026 Working Total]]-ERP_34[[#This Row],[2026 LE0]]</f>
        <v>0</v>
      </c>
      <c r="AJ66" s="79"/>
      <c r="AK66" s="79"/>
      <c r="AL6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6" s="80"/>
      <c r="AN66" s="79">
        <f>ERP_34[[#This Row],[2026 Working Total to Budget/LE]]-ERP_34[[#This Row],[Giveback]]</f>
        <v>0</v>
      </c>
      <c r="AO66" s="81"/>
      <c r="AP66" s="81"/>
      <c r="AQ66" s="81">
        <v>0</v>
      </c>
      <c r="AR66" s="81">
        <v>0</v>
      </c>
      <c r="AS66" s="81">
        <v>0</v>
      </c>
      <c r="AT66" s="81">
        <v>0</v>
      </c>
      <c r="AU66" s="81">
        <v>0</v>
      </c>
      <c r="AV66" s="81">
        <v>0</v>
      </c>
      <c r="AW66" s="81">
        <v>0</v>
      </c>
      <c r="AX66" s="81">
        <v>0</v>
      </c>
      <c r="AY66" s="81">
        <v>0</v>
      </c>
      <c r="AZ66" s="81">
        <v>0</v>
      </c>
      <c r="BA66" s="81">
        <v>0</v>
      </c>
      <c r="BB66" s="81">
        <v>0</v>
      </c>
      <c r="BC66" s="79"/>
      <c r="BD66" s="79">
        <v>0</v>
      </c>
      <c r="BE66" s="79">
        <v>0</v>
      </c>
      <c r="BF66" s="79">
        <v>0</v>
      </c>
      <c r="BG66" s="79">
        <v>0</v>
      </c>
      <c r="BH66" s="79">
        <v>0</v>
      </c>
      <c r="BI66" s="79">
        <v>0</v>
      </c>
      <c r="BJ66" s="79">
        <v>0</v>
      </c>
      <c r="BK66" s="79">
        <v>0</v>
      </c>
      <c r="BL66" s="79">
        <v>0</v>
      </c>
      <c r="BM66" s="79">
        <v>0</v>
      </c>
      <c r="BN66" s="79">
        <v>0</v>
      </c>
      <c r="BO66" s="79">
        <v>0</v>
      </c>
    </row>
    <row r="67" spans="1:67">
      <c r="A67" s="66" t="s">
        <v>1690</v>
      </c>
      <c r="B67" s="66" t="str">
        <f>_xlfn.TEXTJOIN("_",,ERP_34[[#This Row],[LT Member -1*]],ERP_34[[#This Row],[Expense Category]],ERP_34[[#This Row],[Project Code*]])</f>
        <v>Maguire, Karla_HW MAINTENANCE_BillingSweep016</v>
      </c>
      <c r="C67" s="67" t="s">
        <v>1136</v>
      </c>
      <c r="D67" s="67" t="s">
        <v>1135</v>
      </c>
      <c r="E67" s="67" t="s">
        <v>1137</v>
      </c>
      <c r="F67" s="67" t="s">
        <v>1137</v>
      </c>
      <c r="G67" s="68" t="s">
        <v>342</v>
      </c>
      <c r="H67" s="106" t="s">
        <v>356</v>
      </c>
      <c r="I67" s="70"/>
      <c r="J67" s="70"/>
      <c r="K67" s="70" t="s">
        <v>356</v>
      </c>
      <c r="L67" s="70" t="s">
        <v>1139</v>
      </c>
      <c r="M67" s="70"/>
      <c r="N67" s="70"/>
      <c r="O67" s="67" t="s">
        <v>25</v>
      </c>
      <c r="P67" s="67"/>
      <c r="Q67" s="137"/>
      <c r="R67" s="138">
        <v>0</v>
      </c>
      <c r="S67" s="139">
        <v>0</v>
      </c>
      <c r="T67" s="139">
        <v>0</v>
      </c>
      <c r="U67" s="137">
        <f>ERP_34[[#This Row],[LE2 Final Submission]]-ERP_34[[#This Row],[LE3 Final Submission]]</f>
        <v>0</v>
      </c>
      <c r="V67" s="74"/>
      <c r="W67" s="124">
        <v>0</v>
      </c>
      <c r="X67" s="124">
        <v>0</v>
      </c>
      <c r="Y67" s="109">
        <v>0</v>
      </c>
      <c r="Z67" s="109">
        <v>0</v>
      </c>
      <c r="AA67" s="109">
        <v>0</v>
      </c>
      <c r="AB67" s="109">
        <v>0</v>
      </c>
      <c r="AC67" s="109">
        <v>0</v>
      </c>
      <c r="AD67" s="109">
        <v>0</v>
      </c>
      <c r="AE67" s="109">
        <v>0</v>
      </c>
      <c r="AF67" s="109">
        <v>0</v>
      </c>
      <c r="AG67" s="109">
        <v>0</v>
      </c>
      <c r="AH67" s="77">
        <f t="shared" si="1"/>
        <v>0</v>
      </c>
      <c r="AI67" s="108">
        <f>ERP_34[[#This Row],[2026 Working Total]]-ERP_34[[#This Row],[2026 LE0]]</f>
        <v>0</v>
      </c>
      <c r="AJ67" s="79"/>
      <c r="AK67" s="79"/>
      <c r="AL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7" s="80"/>
      <c r="AN67" s="79">
        <f>ERP_34[[#This Row],[2026 Working Total to Budget/LE]]-ERP_34[[#This Row],[Giveback]]</f>
        <v>0</v>
      </c>
      <c r="AO67" s="81"/>
      <c r="AP67" s="81"/>
      <c r="AQ67" s="81">
        <v>0</v>
      </c>
      <c r="AR67" s="81">
        <v>0</v>
      </c>
      <c r="AS67" s="81">
        <v>0</v>
      </c>
      <c r="AT67" s="81">
        <v>0</v>
      </c>
      <c r="AU67" s="81">
        <v>0</v>
      </c>
      <c r="AV67" s="81">
        <v>0</v>
      </c>
      <c r="AW67" s="81">
        <v>0</v>
      </c>
      <c r="AX67" s="81">
        <v>0</v>
      </c>
      <c r="AY67" s="81">
        <v>0</v>
      </c>
      <c r="AZ67" s="81">
        <v>0</v>
      </c>
      <c r="BA67" s="81">
        <v>0</v>
      </c>
      <c r="BB67" s="81">
        <v>0</v>
      </c>
      <c r="BC67" s="79"/>
      <c r="BD67" s="79">
        <v>0</v>
      </c>
      <c r="BE67" s="79">
        <v>0</v>
      </c>
      <c r="BF67" s="79">
        <v>0</v>
      </c>
      <c r="BG67" s="79">
        <v>0</v>
      </c>
      <c r="BH67" s="79">
        <v>0</v>
      </c>
      <c r="BI67" s="79">
        <v>0</v>
      </c>
      <c r="BJ67" s="79">
        <v>0</v>
      </c>
      <c r="BK67" s="79">
        <v>0</v>
      </c>
      <c r="BL67" s="79">
        <v>0</v>
      </c>
      <c r="BM67" s="79">
        <v>0</v>
      </c>
      <c r="BN67" s="79">
        <v>0</v>
      </c>
      <c r="BO67" s="79">
        <v>0</v>
      </c>
    </row>
    <row r="68" spans="1:67">
      <c r="A68" s="66" t="s">
        <v>1728</v>
      </c>
      <c r="B68" s="66" t="str">
        <f>_xlfn.TEXTJOIN("_",,ERP_34[[#This Row],[LT Member -1*]],ERP_34[[#This Row],[Expense Category]],ERP_34[[#This Row],[Project Code*]])</f>
        <v>McGettigan, David_HW MAINTENANCE_BillingSweep016</v>
      </c>
      <c r="C68" s="67" t="s">
        <v>1136</v>
      </c>
      <c r="D68" s="67" t="s">
        <v>1567</v>
      </c>
      <c r="E68" s="67" t="s">
        <v>1567</v>
      </c>
      <c r="F68" s="67" t="s">
        <v>1567</v>
      </c>
      <c r="G68" s="68" t="s">
        <v>342</v>
      </c>
      <c r="H68" s="106" t="s">
        <v>356</v>
      </c>
      <c r="I68" s="70"/>
      <c r="J68" s="70"/>
      <c r="K68" s="70" t="s">
        <v>356</v>
      </c>
      <c r="L68" s="70" t="s">
        <v>1139</v>
      </c>
      <c r="M68" s="70"/>
      <c r="N68" s="70"/>
      <c r="O68" s="67" t="s">
        <v>25</v>
      </c>
      <c r="P68" s="67"/>
      <c r="Q68" s="137"/>
      <c r="R68" s="138">
        <v>0</v>
      </c>
      <c r="S68" s="139">
        <v>0</v>
      </c>
      <c r="T68" s="139">
        <v>0</v>
      </c>
      <c r="U68" s="137">
        <f>ERP_34[[#This Row],[LE2 Final Submission]]-ERP_34[[#This Row],[LE3 Final Submission]]</f>
        <v>0</v>
      </c>
      <c r="V68" s="74"/>
      <c r="W68" s="75"/>
      <c r="X68" s="124">
        <v>0</v>
      </c>
      <c r="Y68" s="109">
        <v>0</v>
      </c>
      <c r="Z68" s="109">
        <v>0</v>
      </c>
      <c r="AA68" s="109">
        <v>0</v>
      </c>
      <c r="AB68" s="109">
        <v>0</v>
      </c>
      <c r="AC68" s="109">
        <v>0</v>
      </c>
      <c r="AD68" s="109">
        <v>0</v>
      </c>
      <c r="AE68" s="109">
        <v>0</v>
      </c>
      <c r="AF68" s="109">
        <v>0</v>
      </c>
      <c r="AG68" s="109">
        <v>0</v>
      </c>
      <c r="AH68" s="77">
        <f t="shared" si="1"/>
        <v>0</v>
      </c>
      <c r="AI68" s="108">
        <f>ERP_34[[#This Row],[2026 Working Total]]-ERP_34[[#This Row],[2026 LE0]]</f>
        <v>0</v>
      </c>
      <c r="AJ68" s="79"/>
      <c r="AK68" s="79"/>
      <c r="AL6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8" s="80"/>
      <c r="AN68" s="79">
        <f>ERP_34[[#This Row],[2026 Working Total to Budget/LE]]-ERP_34[[#This Row],[Giveback]]</f>
        <v>0</v>
      </c>
      <c r="AO68" s="81"/>
      <c r="AP68" s="81"/>
      <c r="AQ68" s="81"/>
      <c r="AR68" s="81">
        <v>0</v>
      </c>
      <c r="AS68" s="81">
        <v>0</v>
      </c>
      <c r="AT68" s="81">
        <v>0</v>
      </c>
      <c r="AU68" s="81">
        <v>0</v>
      </c>
      <c r="AV68" s="81">
        <v>0</v>
      </c>
      <c r="AW68" s="81">
        <v>0</v>
      </c>
      <c r="AX68" s="81">
        <v>0</v>
      </c>
      <c r="AY68" s="81">
        <v>0</v>
      </c>
      <c r="AZ68" s="81">
        <v>0</v>
      </c>
      <c r="BA68" s="81">
        <v>0</v>
      </c>
      <c r="BB68" s="81">
        <v>0</v>
      </c>
      <c r="BC68" s="79"/>
      <c r="BD68" s="79"/>
      <c r="BE68" s="79">
        <v>0</v>
      </c>
      <c r="BF68" s="79">
        <v>0</v>
      </c>
      <c r="BG68" s="79">
        <v>0</v>
      </c>
      <c r="BH68" s="79">
        <v>0</v>
      </c>
      <c r="BI68" s="79">
        <v>0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</row>
    <row r="69" spans="1:67">
      <c r="A69" s="66" t="s">
        <v>1730</v>
      </c>
      <c r="B69" s="66" t="str">
        <f>_xlfn.TEXTJOIN("_",,ERP_34[[#This Row],[LT Member -1*]],ERP_34[[#This Row],[Expense Category]],ERP_34[[#This Row],[Project Code*]])</f>
        <v>McGettigan, David_HW MAINTENANCE_BillingSweep017</v>
      </c>
      <c r="C69" s="67" t="s">
        <v>1136</v>
      </c>
      <c r="D69" s="67" t="s">
        <v>1567</v>
      </c>
      <c r="E69" s="67" t="s">
        <v>1567</v>
      </c>
      <c r="F69" s="67" t="s">
        <v>1567</v>
      </c>
      <c r="G69" s="68" t="s">
        <v>342</v>
      </c>
      <c r="H69" s="106" t="s">
        <v>1732</v>
      </c>
      <c r="I69" s="70"/>
      <c r="J69" s="70"/>
      <c r="K69" s="70" t="s">
        <v>1732</v>
      </c>
      <c r="L69" s="70"/>
      <c r="M69" s="70"/>
      <c r="N69" s="70"/>
      <c r="O69" s="67" t="s">
        <v>25</v>
      </c>
      <c r="P69" s="67"/>
      <c r="Q69" s="137"/>
      <c r="R69" s="138">
        <v>0</v>
      </c>
      <c r="S69" s="139">
        <v>0</v>
      </c>
      <c r="T69" s="139">
        <v>0</v>
      </c>
      <c r="U69" s="137">
        <f>ERP_34[[#This Row],[LE2 Final Submission]]-ERP_34[[#This Row],[LE3 Final Submission]]</f>
        <v>0</v>
      </c>
      <c r="V69" s="74"/>
      <c r="W69" s="75"/>
      <c r="X69" s="124">
        <v>0</v>
      </c>
      <c r="Y69" s="109">
        <v>0</v>
      </c>
      <c r="Z69" s="109">
        <v>0</v>
      </c>
      <c r="AA69" s="109">
        <v>0</v>
      </c>
      <c r="AB69" s="109">
        <v>0</v>
      </c>
      <c r="AC69" s="109">
        <v>0</v>
      </c>
      <c r="AD69" s="109">
        <v>0</v>
      </c>
      <c r="AE69" s="109">
        <v>0</v>
      </c>
      <c r="AF69" s="109">
        <v>0</v>
      </c>
      <c r="AG69" s="109">
        <v>0</v>
      </c>
      <c r="AH69" s="77">
        <f t="shared" si="1"/>
        <v>0</v>
      </c>
      <c r="AI69" s="108">
        <f>ERP_34[[#This Row],[2026 Working Total]]-ERP_34[[#This Row],[2026 LE0]]</f>
        <v>0</v>
      </c>
      <c r="AJ69" s="79"/>
      <c r="AK69" s="79"/>
      <c r="AL6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9" s="80"/>
      <c r="AN69" s="79">
        <f>ERP_34[[#This Row],[2026 Working Total to Budget/LE]]-ERP_34[[#This Row],[Giveback]]</f>
        <v>0</v>
      </c>
      <c r="AO69" s="81"/>
      <c r="AP69" s="81"/>
      <c r="AQ69" s="81"/>
      <c r="AR69" s="81">
        <v>0</v>
      </c>
      <c r="AS69" s="81">
        <v>0</v>
      </c>
      <c r="AT69" s="81">
        <v>0</v>
      </c>
      <c r="AU69" s="81">
        <v>0</v>
      </c>
      <c r="AV69" s="81">
        <v>0</v>
      </c>
      <c r="AW69" s="81">
        <v>0</v>
      </c>
      <c r="AX69" s="81">
        <v>0</v>
      </c>
      <c r="AY69" s="81">
        <v>0</v>
      </c>
      <c r="AZ69" s="81">
        <v>0</v>
      </c>
      <c r="BA69" s="81">
        <v>0</v>
      </c>
      <c r="BB69" s="81">
        <v>0</v>
      </c>
      <c r="BC69" s="79"/>
      <c r="BD69" s="79"/>
      <c r="BE69" s="79">
        <v>0</v>
      </c>
      <c r="BF69" s="79">
        <v>0</v>
      </c>
      <c r="BG69" s="79">
        <v>0</v>
      </c>
      <c r="BH69" s="79">
        <v>0</v>
      </c>
      <c r="BI69" s="79">
        <v>0</v>
      </c>
      <c r="BJ69" s="79">
        <v>0</v>
      </c>
      <c r="BK69" s="79">
        <v>0</v>
      </c>
      <c r="BL69" s="79">
        <v>0</v>
      </c>
      <c r="BM69" s="79">
        <v>0</v>
      </c>
      <c r="BN69" s="79">
        <v>0</v>
      </c>
      <c r="BO69" s="79">
        <v>0</v>
      </c>
    </row>
    <row r="70" spans="1:67">
      <c r="A70" s="66" t="s">
        <v>1696</v>
      </c>
      <c r="B70" s="66" t="str">
        <f>_xlfn.TEXTJOIN("_",,ERP_34[[#This Row],[LT Member -1*]],ERP_34[[#This Row],[Expense Category]],ERP_34[[#This Row],[Project Code*]])</f>
        <v>Maguire, Karla_HW MAINTENANCE_BillingSweep019</v>
      </c>
      <c r="C70" s="67" t="s">
        <v>1136</v>
      </c>
      <c r="D70" s="67" t="s">
        <v>1135</v>
      </c>
      <c r="E70" s="67" t="s">
        <v>1137</v>
      </c>
      <c r="F70" s="67" t="s">
        <v>1137</v>
      </c>
      <c r="G70" s="68" t="s">
        <v>342</v>
      </c>
      <c r="H70" s="106" t="s">
        <v>360</v>
      </c>
      <c r="I70" s="70"/>
      <c r="J70" s="70"/>
      <c r="K70" s="70" t="s">
        <v>360</v>
      </c>
      <c r="L70" s="70"/>
      <c r="M70" s="70"/>
      <c r="N70" s="70"/>
      <c r="O70" s="67" t="s">
        <v>25</v>
      </c>
      <c r="P70" s="67"/>
      <c r="Q70" s="137"/>
      <c r="R70" s="138">
        <v>0</v>
      </c>
      <c r="S70" s="139">
        <v>0</v>
      </c>
      <c r="T70" s="139">
        <v>0</v>
      </c>
      <c r="U70" s="137">
        <f>ERP_34[[#This Row],[LE2 Final Submission]]-ERP_34[[#This Row],[LE3 Final Submission]]</f>
        <v>0</v>
      </c>
      <c r="V70" s="74"/>
      <c r="W70" s="75"/>
      <c r="X70" s="124">
        <v>0</v>
      </c>
      <c r="Y70" s="109">
        <v>0</v>
      </c>
      <c r="Z70" s="109">
        <v>0</v>
      </c>
      <c r="AA70" s="109">
        <v>0</v>
      </c>
      <c r="AB70" s="109">
        <v>0</v>
      </c>
      <c r="AC70" s="109">
        <v>0</v>
      </c>
      <c r="AD70" s="109">
        <v>0</v>
      </c>
      <c r="AE70" s="109">
        <v>0</v>
      </c>
      <c r="AF70" s="109">
        <v>0</v>
      </c>
      <c r="AG70" s="109">
        <v>0</v>
      </c>
      <c r="AH70" s="77">
        <f t="shared" si="1"/>
        <v>0</v>
      </c>
      <c r="AI70" s="108">
        <f>ERP_34[[#This Row],[2026 Working Total]]-ERP_34[[#This Row],[2026 LE0]]</f>
        <v>0</v>
      </c>
      <c r="AJ70" s="79"/>
      <c r="AK70" s="79"/>
      <c r="AL7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0" s="80"/>
      <c r="AN70" s="79">
        <f>ERP_34[[#This Row],[2026 Working Total to Budget/LE]]-ERP_34[[#This Row],[Giveback]]</f>
        <v>0</v>
      </c>
      <c r="AO70" s="81"/>
      <c r="AP70" s="81"/>
      <c r="AQ70" s="81"/>
      <c r="AR70" s="81">
        <v>0</v>
      </c>
      <c r="AS70" s="81">
        <v>0</v>
      </c>
      <c r="AT70" s="81">
        <v>0</v>
      </c>
      <c r="AU70" s="81">
        <v>0</v>
      </c>
      <c r="AV70" s="81">
        <v>0</v>
      </c>
      <c r="AW70" s="81">
        <v>0</v>
      </c>
      <c r="AX70" s="81">
        <v>0</v>
      </c>
      <c r="AY70" s="81">
        <v>0</v>
      </c>
      <c r="AZ70" s="81">
        <v>0</v>
      </c>
      <c r="BA70" s="81">
        <v>0</v>
      </c>
      <c r="BB70" s="81">
        <v>0</v>
      </c>
      <c r="BC70" s="79"/>
      <c r="BD70" s="79"/>
      <c r="BE70" s="79">
        <v>0</v>
      </c>
      <c r="BF70" s="79">
        <v>0</v>
      </c>
      <c r="BG70" s="79">
        <v>0</v>
      </c>
      <c r="BH70" s="79">
        <v>0</v>
      </c>
      <c r="BI70" s="79">
        <v>0</v>
      </c>
      <c r="BJ70" s="79">
        <v>0</v>
      </c>
      <c r="BK70" s="79">
        <v>0</v>
      </c>
      <c r="BL70" s="79">
        <v>0</v>
      </c>
      <c r="BM70" s="79">
        <v>0</v>
      </c>
      <c r="BN70" s="79">
        <v>0</v>
      </c>
      <c r="BO70" s="79">
        <v>0</v>
      </c>
    </row>
    <row r="71" spans="1:67">
      <c r="A71" s="66" t="s">
        <v>1786</v>
      </c>
      <c r="B71" s="66" t="str">
        <f>_xlfn.TEXTJOIN("_",,ERP_34[[#This Row],[LT Member -1*]],ERP_34[[#This Row],[Expense Category]],ERP_34[[#This Row],[Project Code*]])</f>
        <v>Maguire, Karla_MANAGED SERVICES_BillingSweep021</v>
      </c>
      <c r="C71" s="67" t="s">
        <v>1136</v>
      </c>
      <c r="D71" s="67" t="s">
        <v>1135</v>
      </c>
      <c r="E71" s="67" t="s">
        <v>1137</v>
      </c>
      <c r="F71" s="67" t="s">
        <v>1137</v>
      </c>
      <c r="G71" s="68" t="s">
        <v>389</v>
      </c>
      <c r="H71" s="106" t="s">
        <v>414</v>
      </c>
      <c r="I71" s="70"/>
      <c r="J71" s="70"/>
      <c r="K71" s="70" t="s">
        <v>414</v>
      </c>
      <c r="L71" s="70" t="s">
        <v>1139</v>
      </c>
      <c r="M71" s="70"/>
      <c r="N71" s="70"/>
      <c r="O71" s="67" t="s">
        <v>25</v>
      </c>
      <c r="P71" s="67"/>
      <c r="Q71" s="137"/>
      <c r="R71" s="138">
        <v>0</v>
      </c>
      <c r="S71" s="139">
        <v>0</v>
      </c>
      <c r="T71" s="139">
        <v>0</v>
      </c>
      <c r="U71" s="137">
        <f>ERP_34[[#This Row],[LE2 Final Submission]]-ERP_34[[#This Row],[LE3 Final Submission]]</f>
        <v>0</v>
      </c>
      <c r="V71" s="74"/>
      <c r="W71" s="124">
        <v>0</v>
      </c>
      <c r="X71" s="124">
        <v>0</v>
      </c>
      <c r="Y71" s="109">
        <v>0</v>
      </c>
      <c r="Z71" s="109">
        <v>0</v>
      </c>
      <c r="AA71" s="109">
        <v>0</v>
      </c>
      <c r="AB71" s="109">
        <v>0</v>
      </c>
      <c r="AC71" s="109">
        <v>0</v>
      </c>
      <c r="AD71" s="109">
        <v>0</v>
      </c>
      <c r="AE71" s="109">
        <v>0</v>
      </c>
      <c r="AF71" s="109">
        <v>0</v>
      </c>
      <c r="AG71" s="109">
        <v>0</v>
      </c>
      <c r="AH71" s="77">
        <f t="shared" si="1"/>
        <v>0</v>
      </c>
      <c r="AI71" s="108">
        <f>ERP_34[[#This Row],[2026 Working Total]]-ERP_34[[#This Row],[2026 LE0]]</f>
        <v>0</v>
      </c>
      <c r="AJ71" s="79"/>
      <c r="AK71" s="79"/>
      <c r="AL7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1" s="80"/>
      <c r="AN71" s="79">
        <f>ERP_34[[#This Row],[2026 Working Total to Budget/LE]]-ERP_34[[#This Row],[Giveback]]</f>
        <v>0</v>
      </c>
      <c r="AO71" s="81"/>
      <c r="AP71" s="81"/>
      <c r="AQ71" s="81">
        <v>0</v>
      </c>
      <c r="AR71" s="81">
        <v>0</v>
      </c>
      <c r="AS71" s="81">
        <v>0</v>
      </c>
      <c r="AT71" s="81">
        <v>0</v>
      </c>
      <c r="AU71" s="81">
        <v>0</v>
      </c>
      <c r="AV71" s="81">
        <v>0</v>
      </c>
      <c r="AW71" s="81">
        <v>0</v>
      </c>
      <c r="AX71" s="81">
        <v>0</v>
      </c>
      <c r="AY71" s="81">
        <v>0</v>
      </c>
      <c r="AZ71" s="81">
        <v>0</v>
      </c>
      <c r="BA71" s="81">
        <v>0</v>
      </c>
      <c r="BB71" s="81">
        <v>0</v>
      </c>
      <c r="BC71" s="79"/>
      <c r="BD71" s="79">
        <v>0</v>
      </c>
      <c r="BE71" s="79">
        <v>0</v>
      </c>
      <c r="BF71" s="79">
        <v>0</v>
      </c>
      <c r="BG71" s="79">
        <v>0</v>
      </c>
      <c r="BH71" s="79">
        <v>0</v>
      </c>
      <c r="BI71" s="79">
        <v>0</v>
      </c>
      <c r="BJ71" s="79">
        <v>0</v>
      </c>
      <c r="BK71" s="79">
        <v>0</v>
      </c>
      <c r="BL71" s="79">
        <v>0</v>
      </c>
      <c r="BM71" s="79">
        <v>0</v>
      </c>
      <c r="BN71" s="79">
        <v>0</v>
      </c>
      <c r="BO71" s="79">
        <v>0</v>
      </c>
    </row>
    <row r="72" spans="1:67">
      <c r="A72" s="66" t="s">
        <v>2081</v>
      </c>
      <c r="B72" s="66" t="str">
        <f>_xlfn.TEXTJOIN("_",,ERP_34[[#This Row],[LT Member -1*]],ERP_34[[#This Row],[Expense Category]],ERP_34[[#This Row],[Project Code*]])</f>
        <v>McGettigan, David_MANAGED SERVICES_BillingSweep021</v>
      </c>
      <c r="C72" s="67" t="s">
        <v>1136</v>
      </c>
      <c r="D72" s="67" t="s">
        <v>1567</v>
      </c>
      <c r="E72" s="67" t="s">
        <v>1567</v>
      </c>
      <c r="F72" s="67" t="s">
        <v>1567</v>
      </c>
      <c r="G72" s="68" t="s">
        <v>389</v>
      </c>
      <c r="H72" s="106" t="s">
        <v>414</v>
      </c>
      <c r="I72" s="70"/>
      <c r="J72" s="70"/>
      <c r="K72" s="70" t="s">
        <v>414</v>
      </c>
      <c r="L72" s="70" t="s">
        <v>1139</v>
      </c>
      <c r="M72" s="70"/>
      <c r="N72" s="70"/>
      <c r="O72" s="67" t="s">
        <v>25</v>
      </c>
      <c r="P72" s="67"/>
      <c r="Q72" s="137"/>
      <c r="R72" s="138">
        <v>0</v>
      </c>
      <c r="S72" s="139">
        <v>0</v>
      </c>
      <c r="T72" s="139">
        <v>0</v>
      </c>
      <c r="U72" s="137">
        <f>ERP_34[[#This Row],[LE2 Final Submission]]-ERP_34[[#This Row],[LE3 Final Submission]]</f>
        <v>0</v>
      </c>
      <c r="V72" s="74"/>
      <c r="W72" s="124">
        <v>0</v>
      </c>
      <c r="X72" s="124">
        <v>0</v>
      </c>
      <c r="Y72" s="109">
        <v>0</v>
      </c>
      <c r="Z72" s="109">
        <v>0</v>
      </c>
      <c r="AA72" s="109">
        <v>0</v>
      </c>
      <c r="AB72" s="109">
        <v>0</v>
      </c>
      <c r="AC72" s="109">
        <v>0</v>
      </c>
      <c r="AD72" s="109">
        <v>0</v>
      </c>
      <c r="AE72" s="109">
        <v>0</v>
      </c>
      <c r="AF72" s="109">
        <v>0</v>
      </c>
      <c r="AG72" s="109">
        <v>0</v>
      </c>
      <c r="AH72" s="77">
        <f t="shared" si="1"/>
        <v>0</v>
      </c>
      <c r="AI72" s="108">
        <f>ERP_34[[#This Row],[2026 Working Total]]-ERP_34[[#This Row],[2026 LE0]]</f>
        <v>0</v>
      </c>
      <c r="AJ72" s="79"/>
      <c r="AK72" s="79"/>
      <c r="AL7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2" s="80"/>
      <c r="AN72" s="79">
        <f>ERP_34[[#This Row],[2026 Working Total to Budget/LE]]-ERP_34[[#This Row],[Giveback]]</f>
        <v>0</v>
      </c>
      <c r="AO72" s="81"/>
      <c r="AP72" s="81"/>
      <c r="AQ72" s="81">
        <v>0</v>
      </c>
      <c r="AR72" s="81">
        <v>0</v>
      </c>
      <c r="AS72" s="81">
        <v>0</v>
      </c>
      <c r="AT72" s="81">
        <v>0</v>
      </c>
      <c r="AU72" s="81">
        <v>0</v>
      </c>
      <c r="AV72" s="81">
        <v>0</v>
      </c>
      <c r="AW72" s="81">
        <v>0</v>
      </c>
      <c r="AX72" s="81">
        <v>0</v>
      </c>
      <c r="AY72" s="81">
        <v>0</v>
      </c>
      <c r="AZ72" s="81">
        <v>0</v>
      </c>
      <c r="BA72" s="81">
        <v>0</v>
      </c>
      <c r="BB72" s="81">
        <v>0</v>
      </c>
      <c r="BC72" s="82"/>
      <c r="BD72" s="82">
        <v>0</v>
      </c>
      <c r="BE72" s="82">
        <v>0</v>
      </c>
      <c r="BF72" s="82">
        <v>0</v>
      </c>
      <c r="BG72" s="82">
        <v>0</v>
      </c>
      <c r="BH72" s="82">
        <v>0</v>
      </c>
      <c r="BI72" s="82">
        <v>0</v>
      </c>
      <c r="BJ72" s="82">
        <v>0</v>
      </c>
      <c r="BK72" s="82">
        <v>0</v>
      </c>
      <c r="BL72" s="82">
        <v>0</v>
      </c>
      <c r="BM72" s="82">
        <v>0</v>
      </c>
      <c r="BN72" s="82">
        <v>0</v>
      </c>
      <c r="BO72" s="82">
        <v>0</v>
      </c>
    </row>
    <row r="73" spans="1:67">
      <c r="A73" s="66" t="s">
        <v>1564</v>
      </c>
      <c r="B73" s="66" t="str">
        <f>_xlfn.TEXTJOIN("_",,ERP_34[[#This Row],[LT Member -1*]],ERP_34[[#This Row],[Expense Category]],ERP_34[[#This Row],[Project Code*]])</f>
        <v>McGettigan, David_CONTRACTORS_CC-BTF25001-02-EX</v>
      </c>
      <c r="C73" s="67" t="s">
        <v>1136</v>
      </c>
      <c r="D73" s="67" t="s">
        <v>1567</v>
      </c>
      <c r="E73" s="67" t="s">
        <v>1567</v>
      </c>
      <c r="F73" s="67" t="s">
        <v>1567</v>
      </c>
      <c r="G73" s="68" t="s">
        <v>49</v>
      </c>
      <c r="H73" s="106" t="s">
        <v>1569</v>
      </c>
      <c r="I73" s="70"/>
      <c r="J73" s="70"/>
      <c r="K73" s="141" t="s">
        <v>271</v>
      </c>
      <c r="L73" s="70"/>
      <c r="M73" s="70"/>
      <c r="N73" s="70"/>
      <c r="O73" s="67" t="s">
        <v>272</v>
      </c>
      <c r="P73" s="67"/>
      <c r="Q73" s="71"/>
      <c r="R73" s="72">
        <v>0</v>
      </c>
      <c r="S73" s="73">
        <v>823483</v>
      </c>
      <c r="T73" s="73">
        <v>0</v>
      </c>
      <c r="U73" s="71">
        <f>ERP_34[[#This Row],[LE2 Final Submission]]-ERP_34[[#This Row],[LE3 Final Submission]]</f>
        <v>823483</v>
      </c>
      <c r="V73" s="74"/>
      <c r="W73" s="75"/>
      <c r="X73" s="75">
        <v>110350.46</v>
      </c>
      <c r="Y73" s="76">
        <f>184575-910</f>
        <v>183665</v>
      </c>
      <c r="Z73" s="76">
        <f>-41723.46+14571-910</f>
        <v>-28062.46</v>
      </c>
      <c r="AA73" s="76">
        <f>93500-910</f>
        <v>92590</v>
      </c>
      <c r="AB73" s="76">
        <f>71600-910</f>
        <v>70690</v>
      </c>
      <c r="AC73" s="76">
        <f>77000-910</f>
        <v>76090</v>
      </c>
      <c r="AD73" s="76">
        <f>111600-910</f>
        <v>110690</v>
      </c>
      <c r="AE73" s="76">
        <f>61600-910</f>
        <v>60690</v>
      </c>
      <c r="AF73" s="76">
        <f>77000-910</f>
        <v>76090</v>
      </c>
      <c r="AG73" s="76">
        <f>71600-910</f>
        <v>70690</v>
      </c>
      <c r="AH73" s="142">
        <f t="shared" si="1"/>
        <v>823483</v>
      </c>
      <c r="AI73" s="115">
        <f>ERP_34[[#This Row],[2026 Working Total]]-ERP_34[[#This Row],[2026 LE0]]</f>
        <v>823483</v>
      </c>
      <c r="AJ73" s="79"/>
      <c r="AK73" s="79"/>
      <c r="AL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3" s="80"/>
      <c r="AN73" s="79">
        <f>ERP_34[[#This Row],[2026 Working Total to Budget/LE]]-ERP_34[[#This Row],[Giveback]]</f>
        <v>823483</v>
      </c>
      <c r="AO73" s="81"/>
      <c r="AP73" s="81"/>
      <c r="AQ73" s="81"/>
      <c r="AR73" s="81">
        <v>110350.46</v>
      </c>
      <c r="AS73" s="81">
        <v>183665</v>
      </c>
      <c r="AT73" s="81">
        <v>-28062.46</v>
      </c>
      <c r="AU73" s="81">
        <v>92590</v>
      </c>
      <c r="AV73" s="81">
        <v>70690</v>
      </c>
      <c r="AW73" s="81">
        <v>76090</v>
      </c>
      <c r="AX73" s="81">
        <v>110690</v>
      </c>
      <c r="AY73" s="81">
        <v>60690</v>
      </c>
      <c r="AZ73" s="81">
        <v>76090</v>
      </c>
      <c r="BA73" s="81">
        <v>70690</v>
      </c>
      <c r="BB73" s="81">
        <v>823483</v>
      </c>
      <c r="BC73" s="79"/>
      <c r="BD73" s="79"/>
      <c r="BE73" s="79">
        <v>110350.46</v>
      </c>
      <c r="BF73" s="79">
        <v>95789</v>
      </c>
      <c r="BG73" s="79">
        <v>102589</v>
      </c>
      <c r="BH73" s="79">
        <v>121289</v>
      </c>
      <c r="BI73" s="79">
        <v>121389</v>
      </c>
      <c r="BJ73" s="79">
        <v>101000</v>
      </c>
      <c r="BK73" s="79">
        <v>98422</v>
      </c>
      <c r="BL73" s="79">
        <v>129000</v>
      </c>
      <c r="BM73" s="79">
        <v>66600</v>
      </c>
      <c r="BN73" s="79">
        <v>63668</v>
      </c>
      <c r="BO73" s="79">
        <v>1010096.46</v>
      </c>
    </row>
    <row r="74" spans="1:67">
      <c r="A74" s="66" t="s">
        <v>2009</v>
      </c>
      <c r="B74" s="66" t="str">
        <f>_xlfn.TEXTJOIN("_",,ERP_34[[#This Row],[LT Member -1*]],ERP_34[[#This Row],[Expense Category]],ERP_34[[#This Row],[Project Code*]])</f>
        <v>Hase, Raj_MANAGED SERVICES_CE-BTF22001-02-EX</v>
      </c>
      <c r="C74" s="67" t="s">
        <v>1136</v>
      </c>
      <c r="D74" s="67" t="s">
        <v>1345</v>
      </c>
      <c r="E74" s="67" t="s">
        <v>1345</v>
      </c>
      <c r="F74" s="67" t="s">
        <v>1346</v>
      </c>
      <c r="G74" s="68" t="s">
        <v>389</v>
      </c>
      <c r="H74" s="106" t="s">
        <v>1574</v>
      </c>
      <c r="I74" s="70"/>
      <c r="J74" s="70"/>
      <c r="K74" s="70" t="s">
        <v>274</v>
      </c>
      <c r="L74" s="70" t="s">
        <v>1139</v>
      </c>
      <c r="M74" s="70"/>
      <c r="N74" s="70"/>
      <c r="O74" s="67" t="s">
        <v>275</v>
      </c>
      <c r="P74" s="67"/>
      <c r="Q74" s="71"/>
      <c r="R74" s="72">
        <v>0</v>
      </c>
      <c r="S74" s="73">
        <v>2263.3900000000003</v>
      </c>
      <c r="T74" s="73">
        <v>0</v>
      </c>
      <c r="U74" s="71">
        <f>ERP_34[[#This Row],[LE2 Final Submission]]-ERP_34[[#This Row],[LE3 Final Submission]]</f>
        <v>2263.3900000000003</v>
      </c>
      <c r="V74" s="74">
        <v>1841.45</v>
      </c>
      <c r="W74" s="75">
        <v>1719.99</v>
      </c>
      <c r="X74" s="75">
        <v>-1298.05</v>
      </c>
      <c r="Y74" s="109">
        <v>0</v>
      </c>
      <c r="Z74" s="109">
        <v>0</v>
      </c>
      <c r="AA74" s="109">
        <v>0</v>
      </c>
      <c r="AB74" s="109">
        <v>0</v>
      </c>
      <c r="AC74" s="109">
        <v>0</v>
      </c>
      <c r="AD74" s="109">
        <v>0</v>
      </c>
      <c r="AE74" s="109">
        <v>0</v>
      </c>
      <c r="AF74" s="109">
        <v>0</v>
      </c>
      <c r="AG74" s="109">
        <v>0</v>
      </c>
      <c r="AH74" s="143">
        <f t="shared" si="1"/>
        <v>2263.3900000000003</v>
      </c>
      <c r="AI74" s="144">
        <f>ERP_34[[#This Row],[2026 Working Total]]-ERP_34[[#This Row],[2026 LE0]]</f>
        <v>2263.3900000000003</v>
      </c>
      <c r="AJ74" s="79"/>
      <c r="AK74" s="79"/>
      <c r="AL74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74" s="80"/>
      <c r="AN74" s="79">
        <f>ERP_34[[#This Row],[2026 Working Total to Budget/LE]]-ERP_34[[#This Row],[Giveback]]</f>
        <v>2263.3900000000003</v>
      </c>
      <c r="AO74" s="81"/>
      <c r="AP74" s="81">
        <v>1841.45</v>
      </c>
      <c r="AQ74" s="81">
        <v>1719.99</v>
      </c>
      <c r="AR74" s="81">
        <v>-1298.05</v>
      </c>
      <c r="AS74" s="81">
        <v>0</v>
      </c>
      <c r="AT74" s="81">
        <v>0</v>
      </c>
      <c r="AU74" s="81">
        <v>0</v>
      </c>
      <c r="AV74" s="81">
        <v>0</v>
      </c>
      <c r="AW74" s="81">
        <v>0</v>
      </c>
      <c r="AX74" s="81">
        <v>0</v>
      </c>
      <c r="AY74" s="81">
        <v>0</v>
      </c>
      <c r="AZ74" s="81">
        <v>0</v>
      </c>
      <c r="BA74" s="81">
        <v>0</v>
      </c>
      <c r="BB74" s="81">
        <v>2263.3900000000003</v>
      </c>
      <c r="BC74" s="79">
        <v>1841.45</v>
      </c>
      <c r="BD74" s="79">
        <v>1719.99</v>
      </c>
      <c r="BE74" s="79">
        <v>-1298.05</v>
      </c>
      <c r="BF74" s="79">
        <v>0</v>
      </c>
      <c r="BG74" s="79">
        <v>0</v>
      </c>
      <c r="BH74" s="79">
        <v>0</v>
      </c>
      <c r="BI74" s="79">
        <v>0</v>
      </c>
      <c r="BJ74" s="79">
        <v>0</v>
      </c>
      <c r="BK74" s="79">
        <v>0</v>
      </c>
      <c r="BL74" s="79">
        <v>0</v>
      </c>
      <c r="BM74" s="79">
        <v>0</v>
      </c>
      <c r="BN74" s="79">
        <v>0</v>
      </c>
      <c r="BO74" s="79">
        <v>2263.3900000000003</v>
      </c>
    </row>
    <row r="75" spans="1:67">
      <c r="A75" s="66" t="s">
        <v>1572</v>
      </c>
      <c r="B75" s="66" t="str">
        <f>_xlfn.TEXTJOIN("_",,ERP_34[[#This Row],[LT Member -1*]],ERP_34[[#This Row],[Expense Category]],ERP_34[[#This Row],[Project Code*]])</f>
        <v>McGettigan, David_CONTRACTORS_CE-BTF22001-02-EX</v>
      </c>
      <c r="C75" s="67" t="s">
        <v>1136</v>
      </c>
      <c r="D75" s="67" t="s">
        <v>1567</v>
      </c>
      <c r="E75" s="67" t="s">
        <v>1567</v>
      </c>
      <c r="F75" s="67" t="s">
        <v>1567</v>
      </c>
      <c r="G75" s="68" t="s">
        <v>49</v>
      </c>
      <c r="H75" s="106" t="s">
        <v>1574</v>
      </c>
      <c r="I75" s="70"/>
      <c r="J75" s="70"/>
      <c r="K75" s="141" t="s">
        <v>274</v>
      </c>
      <c r="L75" s="70" t="s">
        <v>1139</v>
      </c>
      <c r="M75" s="70"/>
      <c r="N75" s="70"/>
      <c r="O75" s="67" t="s">
        <v>275</v>
      </c>
      <c r="P75" s="67"/>
      <c r="Q75" s="71"/>
      <c r="R75" s="72">
        <v>1080865</v>
      </c>
      <c r="S75" s="73">
        <v>1057129.56</v>
      </c>
      <c r="T75" s="73">
        <v>1080865</v>
      </c>
      <c r="U75" s="71">
        <f>ERP_34[[#This Row],[LE2 Final Submission]]-ERP_34[[#This Row],[LE3 Final Submission]]</f>
        <v>-23735.439999999944</v>
      </c>
      <c r="V75" s="74"/>
      <c r="W75" s="75"/>
      <c r="X75" s="75">
        <v>250144.68</v>
      </c>
      <c r="Y75" s="76">
        <v>54863.060000000005</v>
      </c>
      <c r="Z75" s="76">
        <v>103425.82</v>
      </c>
      <c r="AA75" s="76">
        <v>98010</v>
      </c>
      <c r="AB75" s="76">
        <v>93010</v>
      </c>
      <c r="AC75" s="76">
        <v>93010</v>
      </c>
      <c r="AD75" s="76">
        <v>93010</v>
      </c>
      <c r="AE75" s="76">
        <v>93010</v>
      </c>
      <c r="AF75" s="76">
        <v>93010</v>
      </c>
      <c r="AG75" s="76">
        <v>85636</v>
      </c>
      <c r="AH75" s="143">
        <f t="shared" si="1"/>
        <v>1057129.56</v>
      </c>
      <c r="AI75" s="144">
        <f>ERP_34[[#This Row],[2026 Working Total]]-ERP_34[[#This Row],[2026 LE0]]</f>
        <v>-23735.439999999944</v>
      </c>
      <c r="AJ75" s="79"/>
      <c r="AK75" s="79"/>
      <c r="AL7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5" s="80"/>
      <c r="AN75" s="79">
        <f>ERP_34[[#This Row],[2026 Working Total to Budget/LE]]-ERP_34[[#This Row],[Giveback]]</f>
        <v>-23735.439999999944</v>
      </c>
      <c r="AO75" s="81"/>
      <c r="AP75" s="81"/>
      <c r="AQ75" s="81"/>
      <c r="AR75" s="81">
        <v>250144.68</v>
      </c>
      <c r="AS75" s="81">
        <v>54863.060000000005</v>
      </c>
      <c r="AT75" s="81">
        <v>103425.82</v>
      </c>
      <c r="AU75" s="81">
        <v>98010</v>
      </c>
      <c r="AV75" s="81">
        <v>93010</v>
      </c>
      <c r="AW75" s="81">
        <v>93010</v>
      </c>
      <c r="AX75" s="81">
        <v>93010</v>
      </c>
      <c r="AY75" s="81">
        <v>93010</v>
      </c>
      <c r="AZ75" s="81">
        <v>93010</v>
      </c>
      <c r="BA75" s="81">
        <v>85636</v>
      </c>
      <c r="BB75" s="81">
        <v>1057129.56</v>
      </c>
      <c r="BC75" s="79"/>
      <c r="BD75" s="79"/>
      <c r="BE75" s="79">
        <v>250144.68</v>
      </c>
      <c r="BF75" s="79">
        <v>100000</v>
      </c>
      <c r="BG75" s="79">
        <v>100000</v>
      </c>
      <c r="BH75" s="79">
        <v>101635</v>
      </c>
      <c r="BI75" s="79">
        <v>100000</v>
      </c>
      <c r="BJ75" s="79">
        <v>100000</v>
      </c>
      <c r="BK75" s="79">
        <v>100000</v>
      </c>
      <c r="BL75" s="79">
        <v>100000</v>
      </c>
      <c r="BM75" s="79">
        <v>100000</v>
      </c>
      <c r="BN75" s="79">
        <v>80033</v>
      </c>
      <c r="BO75" s="79">
        <v>1131812.68</v>
      </c>
    </row>
    <row r="76" spans="1:67">
      <c r="A76" s="66" t="s">
        <v>2088</v>
      </c>
      <c r="B76" s="66" t="str">
        <f>_xlfn.TEXTJOIN("_",,ERP_34[[#This Row],[LT Member -1*]],ERP_34[[#This Row],[Expense Category]],ERP_34[[#This Row],[Project Code*]])</f>
        <v>McGettigan, David_MANAGED SERVICES_CE-BTF22001-02-EX</v>
      </c>
      <c r="C76" s="67" t="s">
        <v>1136</v>
      </c>
      <c r="D76" s="67" t="s">
        <v>1567</v>
      </c>
      <c r="E76" s="67" t="s">
        <v>1567</v>
      </c>
      <c r="F76" s="67" t="s">
        <v>1567</v>
      </c>
      <c r="G76" s="68" t="s">
        <v>389</v>
      </c>
      <c r="H76" s="106" t="s">
        <v>1574</v>
      </c>
      <c r="I76" s="70"/>
      <c r="J76" s="70"/>
      <c r="K76" s="141" t="s">
        <v>274</v>
      </c>
      <c r="L76" s="70" t="s">
        <v>1139</v>
      </c>
      <c r="M76" s="70"/>
      <c r="N76" s="70"/>
      <c r="O76" s="67" t="s">
        <v>275</v>
      </c>
      <c r="P76" s="67"/>
      <c r="Q76" s="71"/>
      <c r="R76" s="72">
        <v>0</v>
      </c>
      <c r="S76" s="73">
        <v>23735.440000000002</v>
      </c>
      <c r="T76" s="73">
        <v>0</v>
      </c>
      <c r="U76" s="71">
        <f>ERP_34[[#This Row],[LE2 Final Submission]]-ERP_34[[#This Row],[LE3 Final Submission]]</f>
        <v>23735.440000000002</v>
      </c>
      <c r="V76" s="74"/>
      <c r="W76" s="75"/>
      <c r="X76" s="75">
        <v>3561.44</v>
      </c>
      <c r="Y76" s="109">
        <v>0</v>
      </c>
      <c r="Z76" s="109">
        <v>6244</v>
      </c>
      <c r="AA76" s="109">
        <v>1990</v>
      </c>
      <c r="AB76" s="109">
        <v>1990</v>
      </c>
      <c r="AC76" s="109">
        <v>1990</v>
      </c>
      <c r="AD76" s="109">
        <v>1990</v>
      </c>
      <c r="AE76" s="109">
        <v>1990</v>
      </c>
      <c r="AF76" s="109">
        <v>1990</v>
      </c>
      <c r="AG76" s="109">
        <v>1990</v>
      </c>
      <c r="AH76" s="143">
        <f t="shared" ref="AH76:AH139" si="8">SUM(V76:AG76)</f>
        <v>23735.440000000002</v>
      </c>
      <c r="AI76" s="144">
        <f>ERP_34[[#This Row],[2026 Working Total]]-ERP_34[[#This Row],[2026 LE0]]</f>
        <v>23735.440000000002</v>
      </c>
      <c r="AJ76" s="79"/>
      <c r="AK76" s="79"/>
      <c r="AL7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6" s="80"/>
      <c r="AN76" s="79">
        <f>ERP_34[[#This Row],[2026 Working Total to Budget/LE]]-ERP_34[[#This Row],[Giveback]]</f>
        <v>23735.440000000002</v>
      </c>
      <c r="AO76" s="81"/>
      <c r="AP76" s="81"/>
      <c r="AQ76" s="81"/>
      <c r="AR76" s="81">
        <v>3561.44</v>
      </c>
      <c r="AS76" s="81">
        <v>0</v>
      </c>
      <c r="AT76" s="81">
        <v>6244</v>
      </c>
      <c r="AU76" s="81">
        <v>1990</v>
      </c>
      <c r="AV76" s="81">
        <v>1990</v>
      </c>
      <c r="AW76" s="81">
        <v>1990</v>
      </c>
      <c r="AX76" s="81">
        <v>1990</v>
      </c>
      <c r="AY76" s="81">
        <v>1990</v>
      </c>
      <c r="AZ76" s="81">
        <v>1990</v>
      </c>
      <c r="BA76" s="81">
        <v>1990</v>
      </c>
      <c r="BB76" s="81">
        <v>23735.440000000002</v>
      </c>
      <c r="BC76" s="79"/>
      <c r="BD76" s="79"/>
      <c r="BE76" s="79">
        <v>3561.44</v>
      </c>
      <c r="BF76" s="79">
        <v>0</v>
      </c>
      <c r="BG76" s="79">
        <v>0</v>
      </c>
      <c r="BH76" s="79">
        <v>0</v>
      </c>
      <c r="BI76" s="79">
        <v>0</v>
      </c>
      <c r="BJ76" s="79">
        <v>0</v>
      </c>
      <c r="BK76" s="79">
        <v>0</v>
      </c>
      <c r="BL76" s="79">
        <v>0</v>
      </c>
      <c r="BM76" s="79">
        <v>0</v>
      </c>
      <c r="BN76" s="79">
        <v>0</v>
      </c>
      <c r="BO76" s="79">
        <v>3561.44</v>
      </c>
    </row>
    <row r="77" spans="1:67">
      <c r="A77" s="66" t="s">
        <v>1576</v>
      </c>
      <c r="B77" s="66" t="str">
        <f>_xlfn.TEXTJOIN("_",,ERP_34[[#This Row],[LT Member -1*]],ERP_34[[#This Row],[Expense Category]],ERP_34[[#This Row],[Project Code*]])</f>
        <v>McGettigan, David_CONTRACTORS_CE-BTF24000-02-EX</v>
      </c>
      <c r="C77" s="67" t="s">
        <v>1136</v>
      </c>
      <c r="D77" s="67" t="s">
        <v>1567</v>
      </c>
      <c r="E77" s="67" t="s">
        <v>1567</v>
      </c>
      <c r="F77" s="67" t="s">
        <v>1567</v>
      </c>
      <c r="G77" s="68" t="s">
        <v>49</v>
      </c>
      <c r="H77" s="106" t="s">
        <v>1578</v>
      </c>
      <c r="I77" s="70"/>
      <c r="J77" s="70"/>
      <c r="K77" s="141" t="s">
        <v>277</v>
      </c>
      <c r="L77" s="70"/>
      <c r="M77" s="70"/>
      <c r="N77" s="70"/>
      <c r="O77" s="67" t="s">
        <v>272</v>
      </c>
      <c r="P77" s="67"/>
      <c r="Q77" s="71"/>
      <c r="R77" s="72">
        <v>270062</v>
      </c>
      <c r="S77" s="73">
        <v>100070</v>
      </c>
      <c r="T77" s="73">
        <v>270062</v>
      </c>
      <c r="U77" s="71">
        <f>ERP_34[[#This Row],[LE2 Final Submission]]-ERP_34[[#This Row],[LE3 Final Submission]]</f>
        <v>-169992</v>
      </c>
      <c r="V77" s="74"/>
      <c r="W77" s="75"/>
      <c r="X77" s="75"/>
      <c r="Y77" s="76">
        <v>0</v>
      </c>
      <c r="Z77" s="76">
        <v>0</v>
      </c>
      <c r="AA77" s="76">
        <v>0</v>
      </c>
      <c r="AB77" s="109">
        <v>0</v>
      </c>
      <c r="AC77" s="76">
        <v>5000</v>
      </c>
      <c r="AD77" s="109">
        <v>24000</v>
      </c>
      <c r="AE77" s="109">
        <v>71070</v>
      </c>
      <c r="AF77" s="109">
        <v>0</v>
      </c>
      <c r="AG77" s="109">
        <v>0</v>
      </c>
      <c r="AH77" s="143">
        <f t="shared" si="8"/>
        <v>100070</v>
      </c>
      <c r="AI77" s="144">
        <f>ERP_34[[#This Row],[2026 Working Total]]-ERP_34[[#This Row],[2026 LE0]]</f>
        <v>-169992</v>
      </c>
      <c r="AJ77" s="79"/>
      <c r="AK77" s="79"/>
      <c r="AL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7" s="80"/>
      <c r="AN77" s="79">
        <f>ERP_34[[#This Row],[2026 Working Total to Budget/LE]]-ERP_34[[#This Row],[Giveback]]</f>
        <v>-169992</v>
      </c>
      <c r="AO77" s="81"/>
      <c r="AP77" s="81"/>
      <c r="AQ77" s="81"/>
      <c r="AR77" s="81"/>
      <c r="AS77" s="81">
        <v>0</v>
      </c>
      <c r="AT77" s="81">
        <v>0</v>
      </c>
      <c r="AU77" s="81">
        <v>0</v>
      </c>
      <c r="AV77" s="81">
        <v>0</v>
      </c>
      <c r="AW77" s="81">
        <v>5000</v>
      </c>
      <c r="AX77" s="81">
        <v>24000</v>
      </c>
      <c r="AY77" s="81">
        <v>71070</v>
      </c>
      <c r="AZ77" s="81">
        <v>0</v>
      </c>
      <c r="BA77" s="81">
        <v>0</v>
      </c>
      <c r="BB77" s="81">
        <v>100070</v>
      </c>
      <c r="BC77" s="79"/>
      <c r="BD77" s="79"/>
      <c r="BE77" s="79"/>
      <c r="BF77" s="79"/>
      <c r="BG77" s="79">
        <v>67296</v>
      </c>
      <c r="BH77" s="79">
        <v>67296</v>
      </c>
      <c r="BI77" s="79">
        <v>0</v>
      </c>
      <c r="BJ77" s="79">
        <v>135470</v>
      </c>
      <c r="BK77" s="79">
        <v>0</v>
      </c>
      <c r="BL77" s="79">
        <v>0</v>
      </c>
      <c r="BM77" s="79">
        <v>0</v>
      </c>
      <c r="BN77" s="79">
        <v>0</v>
      </c>
      <c r="BO77" s="79">
        <v>270062</v>
      </c>
    </row>
    <row r="78" spans="1:67">
      <c r="A78" s="82" t="s">
        <v>1580</v>
      </c>
      <c r="B78" s="83" t="str">
        <f>_xlfn.TEXTJOIN("_",,ERP_34[[#This Row],[LT Member -1*]],ERP_34[[#This Row],[Expense Category]],ERP_34[[#This Row],[Project Code*]])</f>
        <v>McGettigan, David_CONTRACTORS_CE-BTF24002-02-EX</v>
      </c>
      <c r="C78" s="67" t="s">
        <v>2959</v>
      </c>
      <c r="D78" s="85" t="s">
        <v>1567</v>
      </c>
      <c r="E78" s="120" t="s">
        <v>1567</v>
      </c>
      <c r="F78" s="68" t="s">
        <v>1567</v>
      </c>
      <c r="G78" s="85" t="s">
        <v>49</v>
      </c>
      <c r="H78" s="121" t="s">
        <v>1582</v>
      </c>
      <c r="I78" s="67"/>
      <c r="J78" s="67"/>
      <c r="K78" s="141" t="s">
        <v>279</v>
      </c>
      <c r="L78" s="111"/>
      <c r="M78" s="70"/>
      <c r="N78" s="70" t="s">
        <v>2961</v>
      </c>
      <c r="O78" s="122" t="s">
        <v>272</v>
      </c>
      <c r="P78" s="70" t="s">
        <v>1348</v>
      </c>
      <c r="Q78" s="93"/>
      <c r="R78" s="94">
        <v>4900</v>
      </c>
      <c r="S78" s="95">
        <v>0</v>
      </c>
      <c r="T78" s="145">
        <v>4900</v>
      </c>
      <c r="U78" s="146">
        <f>ERP_34[[#This Row],[LE2 Final Submission]]-ERP_34[[#This Row],[LE3 Final Submission]]</f>
        <v>-4900</v>
      </c>
      <c r="V78" s="98"/>
      <c r="W78" s="99"/>
      <c r="X78" s="99"/>
      <c r="Y78" s="100">
        <v>0</v>
      </c>
      <c r="Z78" s="100">
        <v>0</v>
      </c>
      <c r="AA78" s="100">
        <v>0</v>
      </c>
      <c r="AB78" s="100">
        <v>0</v>
      </c>
      <c r="AC78" s="100">
        <v>0</v>
      </c>
      <c r="AD78" s="100">
        <v>0</v>
      </c>
      <c r="AE78" s="100">
        <v>0</v>
      </c>
      <c r="AF78" s="100">
        <v>0</v>
      </c>
      <c r="AG78" s="100">
        <v>0</v>
      </c>
      <c r="AH78" s="147">
        <f t="shared" si="8"/>
        <v>0</v>
      </c>
      <c r="AI78" s="144">
        <f>ERP_34[[#This Row],[2026 Working Total]]-ERP_34[[#This Row],[2026 LE0]]</f>
        <v>-4900</v>
      </c>
      <c r="AJ78" s="79"/>
      <c r="AK78" s="79"/>
      <c r="AL7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8" s="80"/>
      <c r="AN78" s="79">
        <f>ERP_34[[#This Row],[2026 Working Total to Budget/LE]]-ERP_34[[#This Row],[Giveback]]</f>
        <v>-4900</v>
      </c>
      <c r="AO78" s="81"/>
      <c r="AP78" s="81"/>
      <c r="AQ78" s="81"/>
      <c r="AR78" s="81"/>
      <c r="AS78" s="81">
        <v>0</v>
      </c>
      <c r="AT78" s="81">
        <v>0</v>
      </c>
      <c r="AU78" s="81">
        <v>0</v>
      </c>
      <c r="AV78" s="81">
        <v>0</v>
      </c>
      <c r="AW78" s="81">
        <v>0</v>
      </c>
      <c r="AX78" s="81">
        <v>0</v>
      </c>
      <c r="AY78" s="81">
        <v>0</v>
      </c>
      <c r="AZ78" s="81">
        <v>0</v>
      </c>
      <c r="BA78" s="81">
        <v>0</v>
      </c>
      <c r="BB78" s="81">
        <v>0</v>
      </c>
      <c r="BC78" s="103">
        <v>4900</v>
      </c>
      <c r="BD78" s="103">
        <v>0</v>
      </c>
      <c r="BE78" s="103">
        <v>0</v>
      </c>
      <c r="BF78" s="103">
        <v>0</v>
      </c>
      <c r="BG78" s="103">
        <v>0</v>
      </c>
      <c r="BH78" s="103">
        <v>0</v>
      </c>
      <c r="BI78" s="103">
        <v>0</v>
      </c>
      <c r="BJ78" s="103">
        <v>0</v>
      </c>
      <c r="BK78" s="103">
        <v>0</v>
      </c>
      <c r="BL78" s="103">
        <v>0</v>
      </c>
      <c r="BM78" s="103">
        <v>0</v>
      </c>
      <c r="BN78" s="103">
        <v>0</v>
      </c>
      <c r="BO78" s="82">
        <f>SUM(ERP_34[[#This Row],[2026 AP01]:[2026 AP12]])</f>
        <v>4900</v>
      </c>
    </row>
    <row r="79" spans="1:67">
      <c r="A79" s="66" t="s">
        <v>1583</v>
      </c>
      <c r="B79" s="66" t="str">
        <f>_xlfn.TEXTJOIN("_",,ERP_34[[#This Row],[LT Member -1*]],ERP_34[[#This Row],[Expense Category]],ERP_34[[#This Row],[Project Code*]])</f>
        <v>McGettigan, David_CONTRACTORS_CE-BTF24003-02-EX</v>
      </c>
      <c r="C79" s="67" t="s">
        <v>1136</v>
      </c>
      <c r="D79" s="67" t="s">
        <v>1567</v>
      </c>
      <c r="E79" s="67" t="s">
        <v>1567</v>
      </c>
      <c r="F79" s="67" t="s">
        <v>1567</v>
      </c>
      <c r="G79" s="68" t="s">
        <v>49</v>
      </c>
      <c r="H79" s="106" t="s">
        <v>1585</v>
      </c>
      <c r="I79" s="70"/>
      <c r="J79" s="70"/>
      <c r="K79" s="141" t="s">
        <v>281</v>
      </c>
      <c r="L79" s="70"/>
      <c r="M79" s="70"/>
      <c r="N79" s="70"/>
      <c r="O79" s="67" t="s">
        <v>272</v>
      </c>
      <c r="P79" s="67"/>
      <c r="Q79" s="71"/>
      <c r="R79" s="72">
        <v>96677</v>
      </c>
      <c r="S79" s="73">
        <v>96677</v>
      </c>
      <c r="T79" s="73">
        <v>96677</v>
      </c>
      <c r="U79" s="71">
        <f>ERP_34[[#This Row],[LE2 Final Submission]]-ERP_34[[#This Row],[LE3 Final Submission]]</f>
        <v>0</v>
      </c>
      <c r="V79" s="74"/>
      <c r="W79" s="75"/>
      <c r="X79" s="75">
        <v>-1032</v>
      </c>
      <c r="Y79" s="76">
        <v>0</v>
      </c>
      <c r="Z79" s="76">
        <v>0</v>
      </c>
      <c r="AA79" s="76">
        <v>100</v>
      </c>
      <c r="AB79" s="109">
        <v>100</v>
      </c>
      <c r="AC79" s="76">
        <v>250</v>
      </c>
      <c r="AD79" s="76">
        <v>76422</v>
      </c>
      <c r="AE79" s="109">
        <v>250</v>
      </c>
      <c r="AF79" s="109">
        <v>10290</v>
      </c>
      <c r="AG79" s="109">
        <v>10297</v>
      </c>
      <c r="AH79" s="143">
        <f t="shared" si="8"/>
        <v>96677</v>
      </c>
      <c r="AI79" s="144">
        <f>ERP_34[[#This Row],[2026 Working Total]]-ERP_34[[#This Row],[2026 LE0]]</f>
        <v>0</v>
      </c>
      <c r="AJ79" s="79"/>
      <c r="AK79" s="79"/>
      <c r="AL7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79" s="80"/>
      <c r="AN79" s="79">
        <f>ERP_34[[#This Row],[2026 Working Total to Budget/LE]]-ERP_34[[#This Row],[Giveback]]</f>
        <v>0</v>
      </c>
      <c r="AO79" s="81"/>
      <c r="AP79" s="81"/>
      <c r="AQ79" s="81"/>
      <c r="AR79" s="81">
        <v>-1032</v>
      </c>
      <c r="AS79" s="81">
        <v>0</v>
      </c>
      <c r="AT79" s="81">
        <v>0</v>
      </c>
      <c r="AU79" s="81">
        <v>100</v>
      </c>
      <c r="AV79" s="81">
        <v>100</v>
      </c>
      <c r="AW79" s="81">
        <v>250</v>
      </c>
      <c r="AX79" s="81">
        <v>76422</v>
      </c>
      <c r="AY79" s="81">
        <v>250</v>
      </c>
      <c r="AZ79" s="81">
        <v>10290</v>
      </c>
      <c r="BA79" s="81">
        <v>10297</v>
      </c>
      <c r="BB79" s="81">
        <v>96677</v>
      </c>
      <c r="BC79" s="79"/>
      <c r="BD79" s="79"/>
      <c r="BE79" s="79">
        <v>-1032</v>
      </c>
      <c r="BF79" s="79">
        <v>-19688</v>
      </c>
      <c r="BG79" s="79">
        <v>25767</v>
      </c>
      <c r="BH79" s="79">
        <v>31112</v>
      </c>
      <c r="BI79" s="79">
        <v>0</v>
      </c>
      <c r="BJ79" s="79">
        <v>10040</v>
      </c>
      <c r="BK79" s="79">
        <v>5023</v>
      </c>
      <c r="BL79" s="79">
        <v>0</v>
      </c>
      <c r="BM79" s="79">
        <v>0</v>
      </c>
      <c r="BN79" s="79">
        <v>0</v>
      </c>
      <c r="BO79" s="79">
        <v>51222</v>
      </c>
    </row>
    <row r="80" spans="1:67">
      <c r="A80" s="66" t="s">
        <v>1587</v>
      </c>
      <c r="B80" s="66" t="str">
        <f>_xlfn.TEXTJOIN("_",,ERP_34[[#This Row],[LT Member -1*]],ERP_34[[#This Row],[Expense Category]],ERP_34[[#This Row],[Project Code*]])</f>
        <v>McGettigan, David_CONTRACTORS_CE-BTF26000-02-EX</v>
      </c>
      <c r="C80" s="67" t="s">
        <v>1136</v>
      </c>
      <c r="D80" s="67" t="s">
        <v>1567</v>
      </c>
      <c r="E80" s="67" t="s">
        <v>1567</v>
      </c>
      <c r="F80" s="67" t="s">
        <v>1567</v>
      </c>
      <c r="G80" s="68" t="s">
        <v>49</v>
      </c>
      <c r="H80" s="106" t="s">
        <v>1589</v>
      </c>
      <c r="I80" s="70"/>
      <c r="J80" s="70"/>
      <c r="K80" s="141" t="s">
        <v>283</v>
      </c>
      <c r="L80" s="70"/>
      <c r="M80" s="70"/>
      <c r="N80" s="70"/>
      <c r="O80" s="67" t="s">
        <v>272</v>
      </c>
      <c r="P80" s="67"/>
      <c r="Q80" s="71"/>
      <c r="R80" s="72">
        <v>49920</v>
      </c>
      <c r="S80" s="73">
        <v>37752</v>
      </c>
      <c r="T80" s="73">
        <v>49920</v>
      </c>
      <c r="U80" s="71">
        <f>ERP_34[[#This Row],[LE2 Final Submission]]-ERP_34[[#This Row],[LE3 Final Submission]]</f>
        <v>-12168</v>
      </c>
      <c r="V80" s="74"/>
      <c r="W80" s="75"/>
      <c r="X80" s="75"/>
      <c r="Y80" s="76">
        <v>0</v>
      </c>
      <c r="Z80" s="76">
        <v>0</v>
      </c>
      <c r="AA80" s="76">
        <v>0</v>
      </c>
      <c r="AB80" s="76">
        <v>7550</v>
      </c>
      <c r="AC80" s="76">
        <v>9060</v>
      </c>
      <c r="AD80" s="76">
        <v>9060</v>
      </c>
      <c r="AE80" s="76">
        <v>0</v>
      </c>
      <c r="AF80" s="109">
        <v>6040</v>
      </c>
      <c r="AG80" s="76">
        <v>6042</v>
      </c>
      <c r="AH80" s="143">
        <f t="shared" si="8"/>
        <v>37752</v>
      </c>
      <c r="AI80" s="144">
        <f>ERP_34[[#This Row],[2026 Working Total]]-ERP_34[[#This Row],[2026 LE0]]</f>
        <v>-12168</v>
      </c>
      <c r="AJ80" s="79"/>
      <c r="AK80" s="79"/>
      <c r="AL8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0" s="80"/>
      <c r="AN80" s="79">
        <f>ERP_34[[#This Row],[2026 Working Total to Budget/LE]]-ERP_34[[#This Row],[Giveback]]</f>
        <v>-12168</v>
      </c>
      <c r="AO80" s="81"/>
      <c r="AP80" s="81"/>
      <c r="AQ80" s="81"/>
      <c r="AR80" s="81"/>
      <c r="AS80" s="81">
        <v>0</v>
      </c>
      <c r="AT80" s="81">
        <v>0</v>
      </c>
      <c r="AU80" s="81">
        <v>0</v>
      </c>
      <c r="AV80" s="81">
        <v>7550</v>
      </c>
      <c r="AW80" s="81">
        <v>9060</v>
      </c>
      <c r="AX80" s="81">
        <v>9060</v>
      </c>
      <c r="AY80" s="81">
        <v>0</v>
      </c>
      <c r="AZ80" s="81">
        <v>6040</v>
      </c>
      <c r="BA80" s="81">
        <v>6042</v>
      </c>
      <c r="BB80" s="81">
        <v>37752</v>
      </c>
      <c r="BC80" s="79"/>
      <c r="BD80" s="79"/>
      <c r="BE80" s="79"/>
      <c r="BF80" s="79">
        <v>2500</v>
      </c>
      <c r="BG80" s="79">
        <v>2500</v>
      </c>
      <c r="BH80" s="79">
        <v>10050</v>
      </c>
      <c r="BI80" s="79">
        <v>17644</v>
      </c>
      <c r="BJ80" s="79">
        <v>17644</v>
      </c>
      <c r="BK80" s="79">
        <v>8540</v>
      </c>
      <c r="BL80" s="79">
        <v>6042</v>
      </c>
      <c r="BM80" s="79">
        <v>0</v>
      </c>
      <c r="BN80" s="79">
        <v>-40000</v>
      </c>
      <c r="BO80" s="79">
        <v>24920</v>
      </c>
    </row>
    <row r="81" spans="1:67">
      <c r="A81" s="66" t="s">
        <v>2851</v>
      </c>
      <c r="B81" s="66" t="str">
        <f>_xlfn.TEXTJOIN("_",,ERP_34[[#This Row],[LT Member -1*]],ERP_34[[#This Row],[Expense Category]],ERP_34[[#This Row],[Project Code*]])</f>
        <v>DeHart, Lynn_TRAVEL &amp; ENTERTAINMENT_CE-BTS23000-02-EX-GR</v>
      </c>
      <c r="C81" s="67" t="s">
        <v>1136</v>
      </c>
      <c r="D81" s="67" t="s">
        <v>1345</v>
      </c>
      <c r="E81" s="67" t="s">
        <v>1346</v>
      </c>
      <c r="F81" s="67" t="s">
        <v>1346</v>
      </c>
      <c r="G81" s="68" t="s">
        <v>1037</v>
      </c>
      <c r="H81" s="106" t="s">
        <v>2853</v>
      </c>
      <c r="I81" s="70"/>
      <c r="J81" s="70"/>
      <c r="K81" s="70" t="s">
        <v>1044</v>
      </c>
      <c r="L81" s="70"/>
      <c r="M81" s="70"/>
      <c r="N81" s="70"/>
      <c r="O81" s="67" t="s">
        <v>272</v>
      </c>
      <c r="P81" s="67"/>
      <c r="Q81" s="71"/>
      <c r="R81" s="72">
        <v>0</v>
      </c>
      <c r="S81" s="73">
        <v>485.43</v>
      </c>
      <c r="T81" s="73">
        <v>0</v>
      </c>
      <c r="U81" s="71">
        <f>ERP_34[[#This Row],[LE2 Final Submission]]-ERP_34[[#This Row],[LE3 Final Submission]]</f>
        <v>485.43</v>
      </c>
      <c r="V81" s="74"/>
      <c r="W81" s="75"/>
      <c r="X81" s="75">
        <v>485.43</v>
      </c>
      <c r="Y81" s="109">
        <v>0</v>
      </c>
      <c r="Z81" s="109">
        <v>0</v>
      </c>
      <c r="AA81" s="109">
        <v>0</v>
      </c>
      <c r="AB81" s="109">
        <v>0</v>
      </c>
      <c r="AC81" s="109">
        <v>0</v>
      </c>
      <c r="AD81" s="109">
        <v>0</v>
      </c>
      <c r="AE81" s="109">
        <v>0</v>
      </c>
      <c r="AF81" s="109">
        <v>0</v>
      </c>
      <c r="AG81" s="109">
        <v>0</v>
      </c>
      <c r="AH81" s="143">
        <f t="shared" si="8"/>
        <v>485.43</v>
      </c>
      <c r="AI81" s="144">
        <f>ERP_34[[#This Row],[2026 Working Total]]-ERP_34[[#This Row],[2026 LE0]]</f>
        <v>485.43</v>
      </c>
      <c r="AJ81" s="79"/>
      <c r="AK81" s="79"/>
      <c r="AL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1" s="80"/>
      <c r="AN81" s="79">
        <f>ERP_34[[#This Row],[2026 Working Total to Budget/LE]]-ERP_34[[#This Row],[Giveback]]</f>
        <v>485.43</v>
      </c>
      <c r="AO81" s="81"/>
      <c r="AP81" s="81"/>
      <c r="AQ81" s="81"/>
      <c r="AR81" s="81">
        <v>485.43</v>
      </c>
      <c r="AS81" s="81">
        <v>0</v>
      </c>
      <c r="AT81" s="81">
        <v>0</v>
      </c>
      <c r="AU81" s="81">
        <v>0</v>
      </c>
      <c r="AV81" s="81">
        <v>0</v>
      </c>
      <c r="AW81" s="81">
        <v>0</v>
      </c>
      <c r="AX81" s="81">
        <v>0</v>
      </c>
      <c r="AY81" s="81">
        <v>0</v>
      </c>
      <c r="AZ81" s="81">
        <v>0</v>
      </c>
      <c r="BA81" s="81">
        <v>0</v>
      </c>
      <c r="BB81" s="81">
        <v>485.43</v>
      </c>
      <c r="BC81" s="79"/>
      <c r="BD81" s="79"/>
      <c r="BE81" s="79">
        <v>485.43</v>
      </c>
      <c r="BF81" s="79">
        <v>0</v>
      </c>
      <c r="BG81" s="79">
        <v>0</v>
      </c>
      <c r="BH81" s="79">
        <v>0</v>
      </c>
      <c r="BI81" s="79">
        <v>0</v>
      </c>
      <c r="BJ81" s="79">
        <v>0</v>
      </c>
      <c r="BK81" s="79">
        <v>0</v>
      </c>
      <c r="BL81" s="79">
        <v>0</v>
      </c>
      <c r="BM81" s="79">
        <v>0</v>
      </c>
      <c r="BN81" s="79">
        <v>0</v>
      </c>
      <c r="BO81" s="79">
        <v>485.43</v>
      </c>
    </row>
    <row r="82" spans="1:67">
      <c r="A82" s="66" t="s">
        <v>1133</v>
      </c>
      <c r="B82" s="66" t="str">
        <f>_xlfn.TEXTJOIN("_",,ERP_34[[#This Row],[LT Member -1*]],ERP_34[[#This Row],[Expense Category]],ERP_34[[#This Row],[Project Code*]])</f>
        <v>Maguire, Karla_CONTRACTORS_ColleagueSolutions001</v>
      </c>
      <c r="C82" s="67" t="s">
        <v>1136</v>
      </c>
      <c r="D82" s="67" t="s">
        <v>1135</v>
      </c>
      <c r="E82" s="67" t="s">
        <v>1137</v>
      </c>
      <c r="F82" s="67" t="s">
        <v>1137</v>
      </c>
      <c r="G82" s="68" t="s">
        <v>49</v>
      </c>
      <c r="H82" s="106" t="s">
        <v>1138</v>
      </c>
      <c r="I82" s="70"/>
      <c r="J82" s="70"/>
      <c r="K82" s="70" t="s">
        <v>51</v>
      </c>
      <c r="L82" s="70" t="s">
        <v>1139</v>
      </c>
      <c r="M82" s="70"/>
      <c r="N82" s="70"/>
      <c r="O82" s="67" t="s">
        <v>25</v>
      </c>
      <c r="P82" s="67"/>
      <c r="Q82" s="71"/>
      <c r="R82" s="72">
        <v>1214.4000000000003</v>
      </c>
      <c r="S82" s="73">
        <v>910.80000000000018</v>
      </c>
      <c r="T82" s="73">
        <v>1214.4000000000003</v>
      </c>
      <c r="U82" s="71">
        <f>ERP_34[[#This Row],[LE2 Final Submission]]-ERP_34[[#This Row],[LE3 Final Submission]]</f>
        <v>-303.60000000000014</v>
      </c>
      <c r="V82" s="74"/>
      <c r="W82" s="75"/>
      <c r="X82" s="75"/>
      <c r="Y82" s="76">
        <v>101.2</v>
      </c>
      <c r="Z82" s="76">
        <v>101.2</v>
      </c>
      <c r="AA82" s="76">
        <v>101.2</v>
      </c>
      <c r="AB82" s="76">
        <v>101.2</v>
      </c>
      <c r="AC82" s="76">
        <v>101.2</v>
      </c>
      <c r="AD82" s="76">
        <v>101.2</v>
      </c>
      <c r="AE82" s="76">
        <v>101.2</v>
      </c>
      <c r="AF82" s="76">
        <v>101.2</v>
      </c>
      <c r="AG82" s="76">
        <v>101.2</v>
      </c>
      <c r="AH82" s="77">
        <f t="shared" si="8"/>
        <v>910.80000000000018</v>
      </c>
      <c r="AI82" s="108">
        <f>ERP_34[[#This Row],[2026 Working Total]]-ERP_34[[#This Row],[2026 LE0]]</f>
        <v>-303.60000000000014</v>
      </c>
      <c r="AJ82" s="79"/>
      <c r="AK82" s="79"/>
      <c r="AL8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2" s="80"/>
      <c r="AN82" s="79">
        <f>ERP_34[[#This Row],[2026 Working Total to Budget/LE]]-ERP_34[[#This Row],[Giveback]]</f>
        <v>-303.60000000000014</v>
      </c>
      <c r="AO82" s="81"/>
      <c r="AP82" s="81"/>
      <c r="AQ82" s="81"/>
      <c r="AR82" s="81"/>
      <c r="AS82" s="81">
        <v>101.2</v>
      </c>
      <c r="AT82" s="81">
        <v>101.2</v>
      </c>
      <c r="AU82" s="81">
        <v>101.2</v>
      </c>
      <c r="AV82" s="81">
        <v>101.2</v>
      </c>
      <c r="AW82" s="81">
        <v>101.2</v>
      </c>
      <c r="AX82" s="81">
        <v>101.2</v>
      </c>
      <c r="AY82" s="81">
        <v>101.2</v>
      </c>
      <c r="AZ82" s="81">
        <v>101.2</v>
      </c>
      <c r="BA82" s="81">
        <v>101.2</v>
      </c>
      <c r="BB82" s="81">
        <v>910.80000000000018</v>
      </c>
      <c r="BC82" s="79"/>
      <c r="BD82" s="79"/>
      <c r="BE82" s="79"/>
      <c r="BF82" s="79">
        <v>101.2</v>
      </c>
      <c r="BG82" s="79">
        <v>101.2</v>
      </c>
      <c r="BH82" s="79">
        <v>101.2</v>
      </c>
      <c r="BI82" s="79">
        <v>101.2</v>
      </c>
      <c r="BJ82" s="79">
        <v>101.2</v>
      </c>
      <c r="BK82" s="79">
        <v>101.2</v>
      </c>
      <c r="BL82" s="79">
        <v>101.2</v>
      </c>
      <c r="BM82" s="79">
        <v>101.2</v>
      </c>
      <c r="BN82" s="79">
        <v>101.2</v>
      </c>
      <c r="BO82" s="79">
        <v>910.80000000000018</v>
      </c>
    </row>
    <row r="83" spans="1:67">
      <c r="A83" s="66" t="s">
        <v>1143</v>
      </c>
      <c r="B83" s="66" t="str">
        <f>_xlfn.TEXTJOIN("_",,ERP_34[[#This Row],[LT Member -1*]],ERP_34[[#This Row],[Expense Category]],ERP_34[[#This Row],[Project Code*]])</f>
        <v>McCormick, Pete_CONTRACTORS_ColleagueSolutions001</v>
      </c>
      <c r="C83" s="67" t="s">
        <v>1136</v>
      </c>
      <c r="D83" s="67" t="s">
        <v>1135</v>
      </c>
      <c r="E83" s="67" t="s">
        <v>1145</v>
      </c>
      <c r="F83" s="67" t="s">
        <v>1137</v>
      </c>
      <c r="G83" s="68" t="s">
        <v>49</v>
      </c>
      <c r="H83" s="148" t="s">
        <v>1138</v>
      </c>
      <c r="I83" s="70"/>
      <c r="J83" s="70"/>
      <c r="K83" s="70" t="s">
        <v>51</v>
      </c>
      <c r="L83" s="70" t="s">
        <v>1139</v>
      </c>
      <c r="M83" s="70"/>
      <c r="N83" s="70"/>
      <c r="O83" s="67" t="s">
        <v>25</v>
      </c>
      <c r="P83" s="67"/>
      <c r="Q83" s="71"/>
      <c r="R83" s="72">
        <v>1800</v>
      </c>
      <c r="S83" s="73">
        <v>3600</v>
      </c>
      <c r="T83" s="73">
        <v>1800</v>
      </c>
      <c r="U83" s="71">
        <f>ERP_34[[#This Row],[LE2 Final Submission]]-ERP_34[[#This Row],[LE3 Final Submission]]</f>
        <v>1800</v>
      </c>
      <c r="V83" s="74"/>
      <c r="W83" s="75"/>
      <c r="X83" s="75"/>
      <c r="Y83" s="76">
        <v>1800</v>
      </c>
      <c r="Z83" s="109">
        <v>0</v>
      </c>
      <c r="AA83" s="76">
        <v>1800</v>
      </c>
      <c r="AB83" s="109">
        <v>0</v>
      </c>
      <c r="AC83" s="109">
        <v>0</v>
      </c>
      <c r="AD83" s="109">
        <v>0</v>
      </c>
      <c r="AE83" s="109">
        <v>0</v>
      </c>
      <c r="AF83" s="109">
        <v>0</v>
      </c>
      <c r="AG83" s="109">
        <v>0</v>
      </c>
      <c r="AH83" s="77">
        <f t="shared" si="8"/>
        <v>3600</v>
      </c>
      <c r="AI83" s="108">
        <f>ERP_34[[#This Row],[2026 Working Total]]-ERP_34[[#This Row],[2026 LE0]]</f>
        <v>1800</v>
      </c>
      <c r="AJ83" s="79"/>
      <c r="AK83" s="79"/>
      <c r="AL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3" s="80"/>
      <c r="AN83" s="79">
        <f>ERP_34[[#This Row],[2026 Working Total to Budget/LE]]-ERP_34[[#This Row],[Giveback]]</f>
        <v>1800</v>
      </c>
      <c r="AO83" s="81"/>
      <c r="AP83" s="81"/>
      <c r="AQ83" s="81"/>
      <c r="AR83" s="81"/>
      <c r="AS83" s="81">
        <v>1800</v>
      </c>
      <c r="AT83" s="81">
        <v>0</v>
      </c>
      <c r="AU83" s="81">
        <v>1800</v>
      </c>
      <c r="AV83" s="81">
        <v>0</v>
      </c>
      <c r="AW83" s="81">
        <v>0</v>
      </c>
      <c r="AX83" s="81">
        <v>0</v>
      </c>
      <c r="AY83" s="81">
        <v>0</v>
      </c>
      <c r="AZ83" s="81">
        <v>0</v>
      </c>
      <c r="BA83" s="81">
        <v>0</v>
      </c>
      <c r="BB83" s="81">
        <v>3600</v>
      </c>
      <c r="BC83" s="79"/>
      <c r="BD83" s="79"/>
      <c r="BE83" s="79"/>
      <c r="BF83" s="79">
        <v>1800</v>
      </c>
      <c r="BG83" s="79">
        <v>0</v>
      </c>
      <c r="BH83" s="79">
        <v>1800</v>
      </c>
      <c r="BI83" s="79">
        <v>0</v>
      </c>
      <c r="BJ83" s="79">
        <v>0</v>
      </c>
      <c r="BK83" s="79">
        <v>0</v>
      </c>
      <c r="BL83" s="79">
        <v>0</v>
      </c>
      <c r="BM83" s="79">
        <v>0</v>
      </c>
      <c r="BN83" s="79">
        <v>0</v>
      </c>
      <c r="BO83" s="79">
        <v>3600</v>
      </c>
    </row>
    <row r="84" spans="1:67">
      <c r="A84" s="66" t="s">
        <v>2248</v>
      </c>
      <c r="B84" s="66" t="str">
        <f>_xlfn.TEXTJOIN("_",,ERP_34[[#This Row],[LT Member -1*]],ERP_34[[#This Row],[Expense Category]],ERP_34[[#This Row],[Project Code*]])</f>
        <v>Dougherty, Chris_SOFTWARE_ColleagueSolutions001</v>
      </c>
      <c r="C84" s="67" t="s">
        <v>1136</v>
      </c>
      <c r="D84" s="67" t="s">
        <v>1135</v>
      </c>
      <c r="E84" s="67" t="s">
        <v>1135</v>
      </c>
      <c r="F84" s="67" t="s">
        <v>1137</v>
      </c>
      <c r="G84" s="68" t="s">
        <v>639</v>
      </c>
      <c r="H84" s="106" t="s">
        <v>1138</v>
      </c>
      <c r="I84" s="70"/>
      <c r="J84" s="70"/>
      <c r="K84" s="70" t="s">
        <v>51</v>
      </c>
      <c r="L84" s="70" t="s">
        <v>1139</v>
      </c>
      <c r="M84" s="70"/>
      <c r="N84" s="70"/>
      <c r="O84" s="67" t="s">
        <v>25</v>
      </c>
      <c r="P84" s="67"/>
      <c r="Q84" s="71"/>
      <c r="R84" s="72">
        <v>0</v>
      </c>
      <c r="S84" s="73">
        <v>3777.33</v>
      </c>
      <c r="T84" s="73">
        <v>0</v>
      </c>
      <c r="U84" s="71">
        <f>ERP_34[[#This Row],[LE2 Final Submission]]-ERP_34[[#This Row],[LE3 Final Submission]]</f>
        <v>3777.33</v>
      </c>
      <c r="V84" s="74"/>
      <c r="W84" s="75">
        <v>3777.33</v>
      </c>
      <c r="X84" s="124">
        <v>0</v>
      </c>
      <c r="Y84" s="109">
        <v>0</v>
      </c>
      <c r="Z84" s="109">
        <v>0</v>
      </c>
      <c r="AA84" s="109">
        <v>0</v>
      </c>
      <c r="AB84" s="109">
        <v>0</v>
      </c>
      <c r="AC84" s="109">
        <v>0</v>
      </c>
      <c r="AD84" s="109">
        <v>0</v>
      </c>
      <c r="AE84" s="109">
        <v>0</v>
      </c>
      <c r="AF84" s="109">
        <v>0</v>
      </c>
      <c r="AG84" s="109">
        <v>0</v>
      </c>
      <c r="AH84" s="77">
        <f t="shared" si="8"/>
        <v>3777.33</v>
      </c>
      <c r="AI84" s="108">
        <f>ERP_34[[#This Row],[2026 Working Total]]-ERP_34[[#This Row],[2026 LE0]]</f>
        <v>3777.33</v>
      </c>
      <c r="AJ84" s="79"/>
      <c r="AK84" s="79"/>
      <c r="AL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4" s="80"/>
      <c r="AN84" s="79">
        <f>ERP_34[[#This Row],[2026 Working Total to Budget/LE]]-ERP_34[[#This Row],[Giveback]]</f>
        <v>3777.33</v>
      </c>
      <c r="AO84" s="81"/>
      <c r="AP84" s="81"/>
      <c r="AQ84" s="81">
        <v>3777.33</v>
      </c>
      <c r="AR84" s="81">
        <v>0</v>
      </c>
      <c r="AS84" s="81">
        <v>0</v>
      </c>
      <c r="AT84" s="81">
        <v>0</v>
      </c>
      <c r="AU84" s="81">
        <v>0</v>
      </c>
      <c r="AV84" s="81">
        <v>0</v>
      </c>
      <c r="AW84" s="81">
        <v>0</v>
      </c>
      <c r="AX84" s="81">
        <v>0</v>
      </c>
      <c r="AY84" s="81">
        <v>0</v>
      </c>
      <c r="AZ84" s="81">
        <v>0</v>
      </c>
      <c r="BA84" s="81">
        <v>0</v>
      </c>
      <c r="BB84" s="81">
        <v>3777.33</v>
      </c>
      <c r="BC84" s="79"/>
      <c r="BD84" s="79">
        <v>3777.33</v>
      </c>
      <c r="BE84" s="79">
        <v>0</v>
      </c>
      <c r="BF84" s="79">
        <v>0</v>
      </c>
      <c r="BG84" s="79">
        <v>0</v>
      </c>
      <c r="BH84" s="79">
        <v>0</v>
      </c>
      <c r="BI84" s="79">
        <v>0</v>
      </c>
      <c r="BJ84" s="79">
        <v>0</v>
      </c>
      <c r="BK84" s="79">
        <v>0</v>
      </c>
      <c r="BL84" s="79">
        <v>0</v>
      </c>
      <c r="BM84" s="79">
        <v>0</v>
      </c>
      <c r="BN84" s="79">
        <v>0</v>
      </c>
      <c r="BO84" s="79">
        <v>3777.33</v>
      </c>
    </row>
    <row r="85" spans="1:67">
      <c r="A85" s="66" t="s">
        <v>2249</v>
      </c>
      <c r="B85" s="66" t="str">
        <f>_xlfn.TEXTJOIN("_",,ERP_34[[#This Row],[LT Member -1*]],ERP_34[[#This Row],[Expense Category]],ERP_34[[#This Row],[Project Code*]])</f>
        <v>Maguire, Karla_SOFTWARE_ColleagueSolutions001</v>
      </c>
      <c r="C85" s="67" t="s">
        <v>1136</v>
      </c>
      <c r="D85" s="67" t="s">
        <v>1135</v>
      </c>
      <c r="E85" s="67" t="s">
        <v>1137</v>
      </c>
      <c r="F85" s="67" t="s">
        <v>1137</v>
      </c>
      <c r="G85" s="68" t="s">
        <v>639</v>
      </c>
      <c r="H85" s="106" t="s">
        <v>1138</v>
      </c>
      <c r="I85" s="70"/>
      <c r="J85" s="70"/>
      <c r="K85" s="70" t="s">
        <v>51</v>
      </c>
      <c r="L85" s="70" t="s">
        <v>1139</v>
      </c>
      <c r="M85" s="70"/>
      <c r="N85" s="70"/>
      <c r="O85" s="67" t="s">
        <v>25</v>
      </c>
      <c r="P85" s="67"/>
      <c r="Q85" s="71"/>
      <c r="R85" s="72">
        <v>0</v>
      </c>
      <c r="S85" s="73">
        <v>1742.3400000000001</v>
      </c>
      <c r="T85" s="73">
        <v>0</v>
      </c>
      <c r="U85" s="71">
        <f>ERP_34[[#This Row],[LE2 Final Submission]]-ERP_34[[#This Row],[LE3 Final Submission]]</f>
        <v>1742.3400000000001</v>
      </c>
      <c r="V85" s="74"/>
      <c r="W85" s="75">
        <v>984.48</v>
      </c>
      <c r="X85" s="75">
        <v>757.86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09">
        <v>0</v>
      </c>
      <c r="AF85" s="109">
        <v>0</v>
      </c>
      <c r="AG85" s="109">
        <v>0</v>
      </c>
      <c r="AH85" s="77">
        <f t="shared" si="8"/>
        <v>1742.3400000000001</v>
      </c>
      <c r="AI85" s="108">
        <f>ERP_34[[#This Row],[2026 Working Total]]-ERP_34[[#This Row],[2026 LE0]]</f>
        <v>1742.3400000000001</v>
      </c>
      <c r="AJ85" s="79"/>
      <c r="AK85" s="79"/>
      <c r="AL85" s="79">
        <f>ERP_34[[#This Row],[AP01]]+ERP_34[[#This Row],[AP02]]+ERP_34[[#This Row],[AP03]]+ERP_34[[#This Row],[AP04]]-ERP_34[[#This Row],[AP01 LE2]]-ERP_34[[#This Row],[AP02 LE2]]-ERP_34[[#This Row],[AP03 LE2]]-ERP_34[[#This Row],[AP04 LE2]]</f>
        <v>1.1368683772161603E-13</v>
      </c>
      <c r="AM85" s="80"/>
      <c r="AN85" s="79">
        <f>ERP_34[[#This Row],[2026 Working Total to Budget/LE]]-ERP_34[[#This Row],[Giveback]]</f>
        <v>1742.3400000000001</v>
      </c>
      <c r="AO85" s="81"/>
      <c r="AP85" s="81"/>
      <c r="AQ85" s="81">
        <v>984.48</v>
      </c>
      <c r="AR85" s="81">
        <v>757.86</v>
      </c>
      <c r="AS85" s="81">
        <v>0</v>
      </c>
      <c r="AT85" s="81">
        <v>0</v>
      </c>
      <c r="AU85" s="81">
        <v>0</v>
      </c>
      <c r="AV85" s="81">
        <v>0</v>
      </c>
      <c r="AW85" s="81">
        <v>0</v>
      </c>
      <c r="AX85" s="81">
        <v>0</v>
      </c>
      <c r="AY85" s="81">
        <v>0</v>
      </c>
      <c r="AZ85" s="81">
        <v>0</v>
      </c>
      <c r="BA85" s="81">
        <v>0</v>
      </c>
      <c r="BB85" s="81">
        <v>1742.3400000000001</v>
      </c>
      <c r="BC85" s="79"/>
      <c r="BD85" s="79">
        <v>984.48</v>
      </c>
      <c r="BE85" s="79">
        <v>757.86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0</v>
      </c>
      <c r="BM85" s="79">
        <v>0</v>
      </c>
      <c r="BN85" s="79">
        <v>0</v>
      </c>
      <c r="BO85" s="79">
        <v>1742.3400000000001</v>
      </c>
    </row>
    <row r="86" spans="1:67">
      <c r="A86" s="66" t="s">
        <v>2251</v>
      </c>
      <c r="B86" s="66" t="str">
        <f>_xlfn.TEXTJOIN("_",,ERP_34[[#This Row],[LT Member -1*]],ERP_34[[#This Row],[Expense Category]],ERP_34[[#This Row],[Project Code*]])</f>
        <v>McCormick, Pete_SOFTWARE_ColleagueSolutions001</v>
      </c>
      <c r="C86" s="67" t="s">
        <v>1136</v>
      </c>
      <c r="D86" s="67" t="s">
        <v>1135</v>
      </c>
      <c r="E86" s="67" t="s">
        <v>1145</v>
      </c>
      <c r="F86" s="67" t="s">
        <v>1137</v>
      </c>
      <c r="G86" s="68" t="s">
        <v>639</v>
      </c>
      <c r="H86" s="106" t="s">
        <v>1138</v>
      </c>
      <c r="I86" s="70"/>
      <c r="J86" s="70"/>
      <c r="K86" s="70" t="s">
        <v>51</v>
      </c>
      <c r="L86" s="70" t="s">
        <v>1139</v>
      </c>
      <c r="M86" s="70"/>
      <c r="N86" s="70"/>
      <c r="O86" s="67" t="s">
        <v>25</v>
      </c>
      <c r="P86" s="67"/>
      <c r="Q86" s="71"/>
      <c r="R86" s="72">
        <v>0</v>
      </c>
      <c r="S86" s="73">
        <v>1312.56</v>
      </c>
      <c r="T86" s="73">
        <v>0</v>
      </c>
      <c r="U86" s="71">
        <f>ERP_34[[#This Row],[LE2 Final Submission]]-ERP_34[[#This Row],[LE3 Final Submission]]</f>
        <v>1312.56</v>
      </c>
      <c r="V86" s="74"/>
      <c r="W86" s="75">
        <v>1312.56</v>
      </c>
      <c r="X86" s="124">
        <v>0</v>
      </c>
      <c r="Y86" s="109">
        <v>0</v>
      </c>
      <c r="Z86" s="109">
        <v>0</v>
      </c>
      <c r="AA86" s="109">
        <v>0</v>
      </c>
      <c r="AB86" s="109">
        <v>0</v>
      </c>
      <c r="AC86" s="109">
        <v>0</v>
      </c>
      <c r="AD86" s="109">
        <v>0</v>
      </c>
      <c r="AE86" s="109">
        <v>0</v>
      </c>
      <c r="AF86" s="109">
        <v>0</v>
      </c>
      <c r="AG86" s="109">
        <v>0</v>
      </c>
      <c r="AH86" s="77">
        <f t="shared" si="8"/>
        <v>1312.56</v>
      </c>
      <c r="AI86" s="108">
        <f>ERP_34[[#This Row],[2026 Working Total]]-ERP_34[[#This Row],[2026 LE0]]</f>
        <v>1312.56</v>
      </c>
      <c r="AJ86" s="79"/>
      <c r="AK86" s="79"/>
      <c r="AL8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6" s="80"/>
      <c r="AN86" s="79">
        <f>ERP_34[[#This Row],[2026 Working Total to Budget/LE]]-ERP_34[[#This Row],[Giveback]]</f>
        <v>1312.56</v>
      </c>
      <c r="AO86" s="81"/>
      <c r="AP86" s="81"/>
      <c r="AQ86" s="81">
        <v>1312.56</v>
      </c>
      <c r="AR86" s="81">
        <v>0</v>
      </c>
      <c r="AS86" s="81">
        <v>0</v>
      </c>
      <c r="AT86" s="81">
        <v>0</v>
      </c>
      <c r="AU86" s="81">
        <v>0</v>
      </c>
      <c r="AV86" s="81">
        <v>0</v>
      </c>
      <c r="AW86" s="81">
        <v>0</v>
      </c>
      <c r="AX86" s="81">
        <v>0</v>
      </c>
      <c r="AY86" s="81">
        <v>0</v>
      </c>
      <c r="AZ86" s="81">
        <v>0</v>
      </c>
      <c r="BA86" s="81">
        <v>0</v>
      </c>
      <c r="BB86" s="81">
        <v>1312.56</v>
      </c>
      <c r="BC86" s="82"/>
      <c r="BD86" s="82">
        <v>1312.56</v>
      </c>
      <c r="BE86" s="82">
        <v>0</v>
      </c>
      <c r="BF86" s="82">
        <v>0</v>
      </c>
      <c r="BG86" s="82">
        <v>0</v>
      </c>
      <c r="BH86" s="82">
        <v>0</v>
      </c>
      <c r="BI86" s="82">
        <v>0</v>
      </c>
      <c r="BJ86" s="82">
        <v>0</v>
      </c>
      <c r="BK86" s="82">
        <v>0</v>
      </c>
      <c r="BL86" s="82">
        <v>0</v>
      </c>
      <c r="BM86" s="82">
        <v>0</v>
      </c>
      <c r="BN86" s="82">
        <v>0</v>
      </c>
      <c r="BO86" s="82">
        <v>1312.56</v>
      </c>
    </row>
    <row r="87" spans="1:67">
      <c r="A87" s="66" t="s">
        <v>2253</v>
      </c>
      <c r="B87" s="66" t="str">
        <f>_xlfn.TEXTJOIN("_",,ERP_34[[#This Row],[LT Member -1*]],ERP_34[[#This Row],[Expense Category]],ERP_34[[#This Row],[Project Code*]])</f>
        <v>Tamavada, Ram_SOFTWARE_ColleagueSolutions001</v>
      </c>
      <c r="C87" s="67" t="s">
        <v>1136</v>
      </c>
      <c r="D87" s="67" t="s">
        <v>1135</v>
      </c>
      <c r="E87" s="67" t="s">
        <v>1165</v>
      </c>
      <c r="F87" s="67" t="s">
        <v>1137</v>
      </c>
      <c r="G87" s="68" t="s">
        <v>639</v>
      </c>
      <c r="H87" s="106" t="s">
        <v>1138</v>
      </c>
      <c r="I87" s="70"/>
      <c r="J87" s="70"/>
      <c r="K87" s="70" t="s">
        <v>51</v>
      </c>
      <c r="L87" s="70" t="s">
        <v>1139</v>
      </c>
      <c r="M87" s="70"/>
      <c r="N87" s="70"/>
      <c r="O87" s="67" t="s">
        <v>25</v>
      </c>
      <c r="P87" s="67"/>
      <c r="Q87" s="71"/>
      <c r="R87" s="72">
        <v>0</v>
      </c>
      <c r="S87" s="73">
        <v>3879.27</v>
      </c>
      <c r="T87" s="73">
        <v>0</v>
      </c>
      <c r="U87" s="71">
        <f>ERP_34[[#This Row],[LE2 Final Submission]]-ERP_34[[#This Row],[LE3 Final Submission]]</f>
        <v>3879.27</v>
      </c>
      <c r="V87" s="74"/>
      <c r="W87" s="75">
        <v>3879.27</v>
      </c>
      <c r="X87" s="124">
        <v>0</v>
      </c>
      <c r="Y87" s="109">
        <v>0</v>
      </c>
      <c r="Z87" s="109">
        <v>0</v>
      </c>
      <c r="AA87" s="109">
        <v>0</v>
      </c>
      <c r="AB87" s="109">
        <v>0</v>
      </c>
      <c r="AC87" s="109">
        <v>0</v>
      </c>
      <c r="AD87" s="109">
        <v>0</v>
      </c>
      <c r="AE87" s="109">
        <v>0</v>
      </c>
      <c r="AF87" s="109">
        <v>0</v>
      </c>
      <c r="AG87" s="109">
        <v>0</v>
      </c>
      <c r="AH87" s="77">
        <f t="shared" si="8"/>
        <v>3879.27</v>
      </c>
      <c r="AI87" s="108">
        <f>ERP_34[[#This Row],[2026 Working Total]]-ERP_34[[#This Row],[2026 LE0]]</f>
        <v>3879.27</v>
      </c>
      <c r="AJ87" s="79"/>
      <c r="AK87" s="79"/>
      <c r="AL8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87" s="80"/>
      <c r="AN87" s="79">
        <f>ERP_34[[#This Row],[2026 Working Total to Budget/LE]]-ERP_34[[#This Row],[Giveback]]</f>
        <v>3879.27</v>
      </c>
      <c r="AO87" s="81"/>
      <c r="AP87" s="81"/>
      <c r="AQ87" s="81">
        <v>3879.27</v>
      </c>
      <c r="AR87" s="81">
        <v>0</v>
      </c>
      <c r="AS87" s="81">
        <v>0</v>
      </c>
      <c r="AT87" s="81">
        <v>0</v>
      </c>
      <c r="AU87" s="81">
        <v>0</v>
      </c>
      <c r="AV87" s="81">
        <v>0</v>
      </c>
      <c r="AW87" s="81">
        <v>0</v>
      </c>
      <c r="AX87" s="81">
        <v>0</v>
      </c>
      <c r="AY87" s="81">
        <v>0</v>
      </c>
      <c r="AZ87" s="81">
        <v>0</v>
      </c>
      <c r="BA87" s="81">
        <v>0</v>
      </c>
      <c r="BB87" s="81">
        <v>3879.27</v>
      </c>
      <c r="BC87" s="79"/>
      <c r="BD87" s="79">
        <v>3879.27</v>
      </c>
      <c r="BE87" s="79">
        <v>0</v>
      </c>
      <c r="BF87" s="79">
        <v>0</v>
      </c>
      <c r="BG87" s="79">
        <v>0</v>
      </c>
      <c r="BH87" s="79">
        <v>0</v>
      </c>
      <c r="BI87" s="79">
        <v>0</v>
      </c>
      <c r="BJ87" s="79">
        <v>0</v>
      </c>
      <c r="BK87" s="79">
        <v>0</v>
      </c>
      <c r="BL87" s="79">
        <v>0</v>
      </c>
      <c r="BM87" s="79">
        <v>0</v>
      </c>
      <c r="BN87" s="79">
        <v>0</v>
      </c>
      <c r="BO87" s="79">
        <v>3879.27</v>
      </c>
    </row>
    <row r="88" spans="1:67">
      <c r="A88" s="66" t="s">
        <v>2774</v>
      </c>
      <c r="B88" s="66" t="str">
        <f>_xlfn.TEXTJOIN("_",,ERP_34[[#This Row],[LT Member -1*]],ERP_34[[#This Row],[Expense Category]],ERP_34[[#This Row],[Project Code*]])</f>
        <v>DeHart, Lynn_SOFTWARE_ColleagueSolutions001</v>
      </c>
      <c r="C88" s="67" t="s">
        <v>1136</v>
      </c>
      <c r="D88" s="67" t="s">
        <v>1345</v>
      </c>
      <c r="E88" s="67" t="s">
        <v>1346</v>
      </c>
      <c r="F88" s="67" t="s">
        <v>1346</v>
      </c>
      <c r="G88" s="68" t="s">
        <v>639</v>
      </c>
      <c r="H88" s="106" t="s">
        <v>1138</v>
      </c>
      <c r="I88" s="70"/>
      <c r="J88" s="70"/>
      <c r="K88" s="70" t="s">
        <v>51</v>
      </c>
      <c r="L88" s="70" t="s">
        <v>1139</v>
      </c>
      <c r="M88" s="70"/>
      <c r="N88" s="70"/>
      <c r="O88" s="67" t="s">
        <v>25</v>
      </c>
      <c r="P88" s="67"/>
      <c r="Q88" s="71"/>
      <c r="R88" s="72">
        <v>0</v>
      </c>
      <c r="S88" s="73">
        <v>3227.2200000000003</v>
      </c>
      <c r="T88" s="73">
        <v>0</v>
      </c>
      <c r="U88" s="71">
        <f>ERP_34[[#This Row],[LE2 Final Submission]]-ERP_34[[#This Row],[LE3 Final Submission]]</f>
        <v>3227.2200000000003</v>
      </c>
      <c r="V88" s="74"/>
      <c r="W88" s="75">
        <v>1859.42</v>
      </c>
      <c r="X88" s="75">
        <v>1367.8</v>
      </c>
      <c r="Y88" s="109">
        <v>0</v>
      </c>
      <c r="Z88" s="109">
        <v>0</v>
      </c>
      <c r="AA88" s="109">
        <v>0</v>
      </c>
      <c r="AB88" s="109">
        <v>0</v>
      </c>
      <c r="AC88" s="109">
        <v>0</v>
      </c>
      <c r="AD88" s="109">
        <v>0</v>
      </c>
      <c r="AE88" s="109">
        <v>0</v>
      </c>
      <c r="AF88" s="109">
        <v>0</v>
      </c>
      <c r="AG88" s="109">
        <v>0</v>
      </c>
      <c r="AH88" s="77">
        <f t="shared" si="8"/>
        <v>3227.2200000000003</v>
      </c>
      <c r="AI88" s="108">
        <f>ERP_34[[#This Row],[2026 Working Total]]-ERP_34[[#This Row],[2026 LE0]]</f>
        <v>3227.2200000000003</v>
      </c>
      <c r="AJ88" s="79"/>
      <c r="AK88" s="79"/>
      <c r="AL88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88" s="80"/>
      <c r="AN88" s="79">
        <f>ERP_34[[#This Row],[2026 Working Total to Budget/LE]]-ERP_34[[#This Row],[Giveback]]</f>
        <v>3227.2200000000003</v>
      </c>
      <c r="AO88" s="81"/>
      <c r="AP88" s="81"/>
      <c r="AQ88" s="81">
        <v>1859.42</v>
      </c>
      <c r="AR88" s="81">
        <v>1367.8</v>
      </c>
      <c r="AS88" s="81">
        <v>0</v>
      </c>
      <c r="AT88" s="81">
        <v>0</v>
      </c>
      <c r="AU88" s="81">
        <v>0</v>
      </c>
      <c r="AV88" s="81">
        <v>0</v>
      </c>
      <c r="AW88" s="81">
        <v>0</v>
      </c>
      <c r="AX88" s="81">
        <v>0</v>
      </c>
      <c r="AY88" s="81">
        <v>0</v>
      </c>
      <c r="AZ88" s="81">
        <v>0</v>
      </c>
      <c r="BA88" s="81">
        <v>0</v>
      </c>
      <c r="BB88" s="81">
        <v>3227.2200000000003</v>
      </c>
      <c r="BC88" s="79"/>
      <c r="BD88" s="79">
        <v>1859.42</v>
      </c>
      <c r="BE88" s="79">
        <v>1367.8</v>
      </c>
      <c r="BF88" s="79">
        <v>0</v>
      </c>
      <c r="BG88" s="79">
        <v>0</v>
      </c>
      <c r="BH88" s="79">
        <v>0</v>
      </c>
      <c r="BI88" s="79">
        <v>0</v>
      </c>
      <c r="BJ88" s="79">
        <v>0</v>
      </c>
      <c r="BK88" s="79">
        <v>0</v>
      </c>
      <c r="BL88" s="79">
        <v>0</v>
      </c>
      <c r="BM88" s="79">
        <v>0</v>
      </c>
      <c r="BN88" s="79">
        <v>0</v>
      </c>
      <c r="BO88" s="79">
        <v>3227.2200000000003</v>
      </c>
    </row>
    <row r="89" spans="1:67">
      <c r="A89" s="66" t="s">
        <v>2605</v>
      </c>
      <c r="B89" s="66" t="str">
        <f>_xlfn.TEXTJOIN("_",,ERP_34[[#This Row],[LT Member -1*]],ERP_34[[#This Row],[Expense Category]],ERP_34[[#This Row],[Project Code*]])</f>
        <v>Ganesan, Srinivasan_SOFTWARE_ColleagueSolutions001</v>
      </c>
      <c r="C89" s="67" t="s">
        <v>1136</v>
      </c>
      <c r="D89" s="67" t="s">
        <v>1345</v>
      </c>
      <c r="E89" s="67" t="s">
        <v>1344</v>
      </c>
      <c r="F89" s="67" t="s">
        <v>1346</v>
      </c>
      <c r="G89" s="68" t="s">
        <v>639</v>
      </c>
      <c r="H89" s="106" t="s">
        <v>1138</v>
      </c>
      <c r="I89" s="70"/>
      <c r="J89" s="70"/>
      <c r="K89" s="70" t="s">
        <v>51</v>
      </c>
      <c r="L89" s="70" t="s">
        <v>1139</v>
      </c>
      <c r="M89" s="70"/>
      <c r="N89" s="70"/>
      <c r="O89" s="67" t="s">
        <v>25</v>
      </c>
      <c r="P89" s="67"/>
      <c r="Q89" s="71"/>
      <c r="R89" s="72">
        <v>0</v>
      </c>
      <c r="S89" s="73">
        <v>2288.52</v>
      </c>
      <c r="T89" s="73">
        <v>0</v>
      </c>
      <c r="U89" s="71">
        <f>ERP_34[[#This Row],[LE2 Final Submission]]-ERP_34[[#This Row],[LE3 Final Submission]]</f>
        <v>2288.52</v>
      </c>
      <c r="V89" s="74"/>
      <c r="W89" s="75">
        <v>2188.1999999999998</v>
      </c>
      <c r="X89" s="75">
        <v>100.32</v>
      </c>
      <c r="Y89" s="109">
        <v>0</v>
      </c>
      <c r="Z89" s="109">
        <v>0</v>
      </c>
      <c r="AA89" s="109">
        <v>0</v>
      </c>
      <c r="AB89" s="109">
        <v>0</v>
      </c>
      <c r="AC89" s="109">
        <v>0</v>
      </c>
      <c r="AD89" s="109">
        <v>0</v>
      </c>
      <c r="AE89" s="109">
        <v>0</v>
      </c>
      <c r="AF89" s="109">
        <v>0</v>
      </c>
      <c r="AG89" s="109">
        <v>0</v>
      </c>
      <c r="AH89" s="77">
        <f t="shared" si="8"/>
        <v>2288.52</v>
      </c>
      <c r="AI89" s="108">
        <f>ERP_34[[#This Row],[2026 Working Total]]-ERP_34[[#This Row],[2026 LE0]]</f>
        <v>2288.52</v>
      </c>
      <c r="AJ89" s="79"/>
      <c r="AK89" s="79"/>
      <c r="AL89" s="79">
        <f>ERP_34[[#This Row],[AP01]]+ERP_34[[#This Row],[AP02]]+ERP_34[[#This Row],[AP03]]+ERP_34[[#This Row],[AP04]]-ERP_34[[#This Row],[AP01 LE2]]-ERP_34[[#This Row],[AP02 LE2]]-ERP_34[[#This Row],[AP03 LE2]]-ERP_34[[#This Row],[AP04 LE2]]</f>
        <v>1.7053025658242404E-13</v>
      </c>
      <c r="AM89" s="80"/>
      <c r="AN89" s="79">
        <f>ERP_34[[#This Row],[2026 Working Total to Budget/LE]]-ERP_34[[#This Row],[Giveback]]</f>
        <v>2288.52</v>
      </c>
      <c r="AO89" s="81"/>
      <c r="AP89" s="81"/>
      <c r="AQ89" s="81">
        <v>2188.1999999999998</v>
      </c>
      <c r="AR89" s="81">
        <v>100.32</v>
      </c>
      <c r="AS89" s="81">
        <v>0</v>
      </c>
      <c r="AT89" s="81">
        <v>0</v>
      </c>
      <c r="AU89" s="81">
        <v>0</v>
      </c>
      <c r="AV89" s="81">
        <v>0</v>
      </c>
      <c r="AW89" s="81">
        <v>0</v>
      </c>
      <c r="AX89" s="81">
        <v>0</v>
      </c>
      <c r="AY89" s="81">
        <v>0</v>
      </c>
      <c r="AZ89" s="81">
        <v>0</v>
      </c>
      <c r="BA89" s="81">
        <v>0</v>
      </c>
      <c r="BB89" s="81">
        <v>2288.52</v>
      </c>
      <c r="BC89" s="79"/>
      <c r="BD89" s="79">
        <v>2188.1999999999998</v>
      </c>
      <c r="BE89" s="79">
        <v>100.32</v>
      </c>
      <c r="BF89" s="79">
        <v>0</v>
      </c>
      <c r="BG89" s="79">
        <v>0</v>
      </c>
      <c r="BH89" s="79">
        <v>0</v>
      </c>
      <c r="BI89" s="79">
        <v>0</v>
      </c>
      <c r="BJ89" s="79">
        <v>0</v>
      </c>
      <c r="BK89" s="79">
        <v>0</v>
      </c>
      <c r="BL89" s="79">
        <v>0</v>
      </c>
      <c r="BM89" s="79">
        <v>0</v>
      </c>
      <c r="BN89" s="79">
        <v>0</v>
      </c>
      <c r="BO89" s="79">
        <v>2288.52</v>
      </c>
    </row>
    <row r="90" spans="1:67">
      <c r="A90" s="66" t="s">
        <v>2664</v>
      </c>
      <c r="B90" s="66" t="str">
        <f>_xlfn.TEXTJOIN("_",,ERP_34[[#This Row],[LT Member -1*]],ERP_34[[#This Row],[Expense Category]],ERP_34[[#This Row],[Project Code*]])</f>
        <v>Hase, Raj_SOFTWARE_ColleagueSolutions001</v>
      </c>
      <c r="C90" s="67" t="s">
        <v>1136</v>
      </c>
      <c r="D90" s="67" t="s">
        <v>1345</v>
      </c>
      <c r="E90" s="67" t="s">
        <v>1345</v>
      </c>
      <c r="F90" s="67" t="s">
        <v>1346</v>
      </c>
      <c r="G90" s="68" t="s">
        <v>639</v>
      </c>
      <c r="H90" s="106" t="s">
        <v>1138</v>
      </c>
      <c r="I90" s="70"/>
      <c r="J90" s="70"/>
      <c r="K90" s="70" t="s">
        <v>51</v>
      </c>
      <c r="L90" s="70" t="s">
        <v>1139</v>
      </c>
      <c r="M90" s="70"/>
      <c r="N90" s="70"/>
      <c r="O90" s="67" t="s">
        <v>25</v>
      </c>
      <c r="P90" s="67"/>
      <c r="Q90" s="71"/>
      <c r="R90" s="72">
        <v>0</v>
      </c>
      <c r="S90" s="73">
        <v>218.76</v>
      </c>
      <c r="T90" s="73">
        <v>0</v>
      </c>
      <c r="U90" s="71">
        <f>ERP_34[[#This Row],[LE2 Final Submission]]-ERP_34[[#This Row],[LE3 Final Submission]]</f>
        <v>218.76</v>
      </c>
      <c r="V90" s="74"/>
      <c r="W90" s="75">
        <v>218.76</v>
      </c>
      <c r="X90" s="124">
        <v>0</v>
      </c>
      <c r="Y90" s="109">
        <v>0</v>
      </c>
      <c r="Z90" s="109">
        <v>0</v>
      </c>
      <c r="AA90" s="109">
        <v>0</v>
      </c>
      <c r="AB90" s="109">
        <v>0</v>
      </c>
      <c r="AC90" s="109">
        <v>0</v>
      </c>
      <c r="AD90" s="109">
        <v>0</v>
      </c>
      <c r="AE90" s="109">
        <v>0</v>
      </c>
      <c r="AF90" s="109">
        <v>0</v>
      </c>
      <c r="AG90" s="109">
        <v>0</v>
      </c>
      <c r="AH90" s="77">
        <f t="shared" si="8"/>
        <v>218.76</v>
      </c>
      <c r="AI90" s="108">
        <f>ERP_34[[#This Row],[2026 Working Total]]-ERP_34[[#This Row],[2026 LE0]]</f>
        <v>218.76</v>
      </c>
      <c r="AJ90" s="79"/>
      <c r="AK90" s="79"/>
      <c r="AL9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0" s="80"/>
      <c r="AN90" s="79">
        <f>ERP_34[[#This Row],[2026 Working Total to Budget/LE]]-ERP_34[[#This Row],[Giveback]]</f>
        <v>218.76</v>
      </c>
      <c r="AO90" s="81"/>
      <c r="AP90" s="81"/>
      <c r="AQ90" s="81">
        <v>218.76</v>
      </c>
      <c r="AR90" s="81">
        <v>0</v>
      </c>
      <c r="AS90" s="81">
        <v>0</v>
      </c>
      <c r="AT90" s="81">
        <v>0</v>
      </c>
      <c r="AU90" s="81">
        <v>0</v>
      </c>
      <c r="AV90" s="81">
        <v>0</v>
      </c>
      <c r="AW90" s="81">
        <v>0</v>
      </c>
      <c r="AX90" s="81">
        <v>0</v>
      </c>
      <c r="AY90" s="81">
        <v>0</v>
      </c>
      <c r="AZ90" s="81">
        <v>0</v>
      </c>
      <c r="BA90" s="81">
        <v>0</v>
      </c>
      <c r="BB90" s="81">
        <v>218.76</v>
      </c>
      <c r="BC90" s="79"/>
      <c r="BD90" s="79">
        <v>218.76</v>
      </c>
      <c r="BE90" s="79">
        <v>0</v>
      </c>
      <c r="BF90" s="79">
        <v>0</v>
      </c>
      <c r="BG90" s="79">
        <v>0</v>
      </c>
      <c r="BH90" s="79">
        <v>0</v>
      </c>
      <c r="BI90" s="79">
        <v>0</v>
      </c>
      <c r="BJ90" s="79">
        <v>0</v>
      </c>
      <c r="BK90" s="79">
        <v>0</v>
      </c>
      <c r="BL90" s="79">
        <v>0</v>
      </c>
      <c r="BM90" s="79">
        <v>0</v>
      </c>
      <c r="BN90" s="79">
        <v>0</v>
      </c>
      <c r="BO90" s="79">
        <v>218.76</v>
      </c>
    </row>
    <row r="91" spans="1:67">
      <c r="A91" s="66" t="s">
        <v>2702</v>
      </c>
      <c r="B91" s="66" t="str">
        <f>_xlfn.TEXTJOIN("_",,ERP_34[[#This Row],[LT Member -1*]],ERP_34[[#This Row],[Expense Category]],ERP_34[[#This Row],[Project Code*]])</f>
        <v>Herman, Shaun_SOFTWARE_ColleagueSolutions001</v>
      </c>
      <c r="C91" s="67" t="s">
        <v>1136</v>
      </c>
      <c r="D91" s="67" t="s">
        <v>1345</v>
      </c>
      <c r="E91" s="67" t="s">
        <v>1450</v>
      </c>
      <c r="F91" s="67" t="s">
        <v>1346</v>
      </c>
      <c r="G91" s="68" t="s">
        <v>639</v>
      </c>
      <c r="H91" s="106" t="s">
        <v>1138</v>
      </c>
      <c r="I91" s="70"/>
      <c r="J91" s="70"/>
      <c r="K91" s="70" t="s">
        <v>51</v>
      </c>
      <c r="L91" s="70" t="s">
        <v>1139</v>
      </c>
      <c r="M91" s="70"/>
      <c r="N91" s="70"/>
      <c r="O91" s="67" t="s">
        <v>25</v>
      </c>
      <c r="P91" s="67"/>
      <c r="Q91" s="71"/>
      <c r="R91" s="72">
        <v>0</v>
      </c>
      <c r="S91" s="73">
        <v>431.03</v>
      </c>
      <c r="T91" s="73">
        <v>0</v>
      </c>
      <c r="U91" s="71">
        <f>ERP_34[[#This Row],[LE2 Final Submission]]-ERP_34[[#This Row],[LE3 Final Submission]]</f>
        <v>431.03</v>
      </c>
      <c r="V91" s="74"/>
      <c r="W91" s="75">
        <v>431.03</v>
      </c>
      <c r="X91" s="124">
        <v>0</v>
      </c>
      <c r="Y91" s="109">
        <v>0</v>
      </c>
      <c r="Z91" s="109">
        <v>0</v>
      </c>
      <c r="AA91" s="109">
        <v>0</v>
      </c>
      <c r="AB91" s="109">
        <v>0</v>
      </c>
      <c r="AC91" s="109">
        <v>0</v>
      </c>
      <c r="AD91" s="109">
        <v>0</v>
      </c>
      <c r="AE91" s="109">
        <v>0</v>
      </c>
      <c r="AF91" s="109">
        <v>0</v>
      </c>
      <c r="AG91" s="109">
        <v>0</v>
      </c>
      <c r="AH91" s="77">
        <f t="shared" si="8"/>
        <v>431.03</v>
      </c>
      <c r="AI91" s="108">
        <f>ERP_34[[#This Row],[2026 Working Total]]-ERP_34[[#This Row],[2026 LE0]]</f>
        <v>431.03</v>
      </c>
      <c r="AJ91" s="79"/>
      <c r="AK91" s="79"/>
      <c r="AL9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1" s="80"/>
      <c r="AN91" s="79">
        <f>ERP_34[[#This Row],[2026 Working Total to Budget/LE]]-ERP_34[[#This Row],[Giveback]]</f>
        <v>431.03</v>
      </c>
      <c r="AO91" s="81"/>
      <c r="AP91" s="81"/>
      <c r="AQ91" s="81">
        <v>431.03</v>
      </c>
      <c r="AR91" s="81">
        <v>0</v>
      </c>
      <c r="AS91" s="81">
        <v>0</v>
      </c>
      <c r="AT91" s="81">
        <v>0</v>
      </c>
      <c r="AU91" s="81">
        <v>0</v>
      </c>
      <c r="AV91" s="81">
        <v>0</v>
      </c>
      <c r="AW91" s="81">
        <v>0</v>
      </c>
      <c r="AX91" s="81">
        <v>0</v>
      </c>
      <c r="AY91" s="81">
        <v>0</v>
      </c>
      <c r="AZ91" s="81">
        <v>0</v>
      </c>
      <c r="BA91" s="81">
        <v>0</v>
      </c>
      <c r="BB91" s="81">
        <v>431.03</v>
      </c>
      <c r="BC91" s="79"/>
      <c r="BD91" s="79">
        <v>431.03</v>
      </c>
      <c r="BE91" s="79">
        <v>0</v>
      </c>
      <c r="BF91" s="79">
        <v>0</v>
      </c>
      <c r="BG91" s="79">
        <v>0</v>
      </c>
      <c r="BH91" s="79">
        <v>0</v>
      </c>
      <c r="BI91" s="79">
        <v>0</v>
      </c>
      <c r="BJ91" s="79">
        <v>0</v>
      </c>
      <c r="BK91" s="79">
        <v>0</v>
      </c>
      <c r="BL91" s="79">
        <v>0</v>
      </c>
      <c r="BM91" s="79">
        <v>0</v>
      </c>
      <c r="BN91" s="79">
        <v>0</v>
      </c>
      <c r="BO91" s="79">
        <v>431.03</v>
      </c>
    </row>
    <row r="92" spans="1:67">
      <c r="A92" s="66" t="s">
        <v>2665</v>
      </c>
      <c r="B92" s="66" t="str">
        <f>_xlfn.TEXTJOIN("_",,ERP_34[[#This Row],[LT Member -1*]],ERP_34[[#This Row],[Expense Category]],ERP_34[[#This Row],[Project Code*]])</f>
        <v>Yeluri, Durga_SOFTWARE_ColleagueSolutions001</v>
      </c>
      <c r="C92" s="67" t="s">
        <v>1136</v>
      </c>
      <c r="D92" s="67" t="s">
        <v>1345</v>
      </c>
      <c r="E92" s="67" t="s">
        <v>1437</v>
      </c>
      <c r="F92" s="67" t="s">
        <v>1346</v>
      </c>
      <c r="G92" s="68" t="s">
        <v>639</v>
      </c>
      <c r="H92" s="106" t="s">
        <v>1138</v>
      </c>
      <c r="I92" s="70"/>
      <c r="J92" s="70"/>
      <c r="K92" s="70" t="s">
        <v>51</v>
      </c>
      <c r="L92" s="70" t="s">
        <v>1139</v>
      </c>
      <c r="M92" s="70"/>
      <c r="N92" s="70"/>
      <c r="O92" s="67" t="s">
        <v>25</v>
      </c>
      <c r="P92" s="67"/>
      <c r="Q92" s="71"/>
      <c r="R92" s="72">
        <v>0</v>
      </c>
      <c r="S92" s="73">
        <v>431.03</v>
      </c>
      <c r="T92" s="73">
        <v>0</v>
      </c>
      <c r="U92" s="71">
        <f>ERP_34[[#This Row],[LE2 Final Submission]]-ERP_34[[#This Row],[LE3 Final Submission]]</f>
        <v>431.03</v>
      </c>
      <c r="V92" s="74"/>
      <c r="W92" s="75">
        <v>431.03</v>
      </c>
      <c r="X92" s="124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09">
        <v>0</v>
      </c>
      <c r="AF92" s="109">
        <v>0</v>
      </c>
      <c r="AG92" s="109">
        <v>0</v>
      </c>
      <c r="AH92" s="77">
        <f t="shared" si="8"/>
        <v>431.03</v>
      </c>
      <c r="AI92" s="108">
        <f>ERP_34[[#This Row],[2026 Working Total]]-ERP_34[[#This Row],[2026 LE0]]</f>
        <v>431.03</v>
      </c>
      <c r="AJ92" s="79"/>
      <c r="AK92" s="79"/>
      <c r="AL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2" s="80"/>
      <c r="AN92" s="79">
        <f>ERP_34[[#This Row],[2026 Working Total to Budget/LE]]-ERP_34[[#This Row],[Giveback]]</f>
        <v>431.03</v>
      </c>
      <c r="AO92" s="81"/>
      <c r="AP92" s="81"/>
      <c r="AQ92" s="81">
        <v>431.03</v>
      </c>
      <c r="AR92" s="81">
        <v>0</v>
      </c>
      <c r="AS92" s="81">
        <v>0</v>
      </c>
      <c r="AT92" s="81">
        <v>0</v>
      </c>
      <c r="AU92" s="81">
        <v>0</v>
      </c>
      <c r="AV92" s="81">
        <v>0</v>
      </c>
      <c r="AW92" s="81">
        <v>0</v>
      </c>
      <c r="AX92" s="81">
        <v>0</v>
      </c>
      <c r="AY92" s="81">
        <v>0</v>
      </c>
      <c r="AZ92" s="81">
        <v>0</v>
      </c>
      <c r="BA92" s="81">
        <v>0</v>
      </c>
      <c r="BB92" s="81">
        <v>431.03</v>
      </c>
      <c r="BC92" s="79"/>
      <c r="BD92" s="79">
        <v>431.03</v>
      </c>
      <c r="BE92" s="79">
        <v>0</v>
      </c>
      <c r="BF92" s="79">
        <v>0</v>
      </c>
      <c r="BG92" s="79">
        <v>0</v>
      </c>
      <c r="BH92" s="79">
        <v>0</v>
      </c>
      <c r="BI92" s="79">
        <v>0</v>
      </c>
      <c r="BJ92" s="79">
        <v>0</v>
      </c>
      <c r="BK92" s="79">
        <v>0</v>
      </c>
      <c r="BL92" s="79">
        <v>0</v>
      </c>
      <c r="BM92" s="79">
        <v>0</v>
      </c>
      <c r="BN92" s="79">
        <v>0</v>
      </c>
      <c r="BO92" s="79">
        <v>431.03</v>
      </c>
    </row>
    <row r="93" spans="1:67">
      <c r="A93" s="66" t="s">
        <v>2776</v>
      </c>
      <c r="B93" s="66" t="str">
        <f>_xlfn.TEXTJOIN("_",,ERP_34[[#This Row],[LT Member -1*]],ERP_34[[#This Row],[Expense Category]],ERP_34[[#This Row],[Project Code*]])</f>
        <v>McGettigan, David_SOFTWARE_ColleagueSolutions001</v>
      </c>
      <c r="C93" s="67" t="s">
        <v>1136</v>
      </c>
      <c r="D93" s="67" t="s">
        <v>1567</v>
      </c>
      <c r="E93" s="67" t="s">
        <v>1567</v>
      </c>
      <c r="F93" s="67" t="s">
        <v>1567</v>
      </c>
      <c r="G93" s="68" t="s">
        <v>639</v>
      </c>
      <c r="H93" s="106" t="s">
        <v>1138</v>
      </c>
      <c r="I93" s="70"/>
      <c r="J93" s="70"/>
      <c r="K93" s="70" t="s">
        <v>51</v>
      </c>
      <c r="L93" s="70" t="s">
        <v>1139</v>
      </c>
      <c r="M93" s="70"/>
      <c r="N93" s="70"/>
      <c r="O93" s="67" t="s">
        <v>25</v>
      </c>
      <c r="P93" s="67"/>
      <c r="Q93" s="71"/>
      <c r="R93" s="72">
        <v>0</v>
      </c>
      <c r="S93" s="73">
        <v>257.52</v>
      </c>
      <c r="T93" s="73">
        <v>0</v>
      </c>
      <c r="U93" s="71">
        <f>ERP_34[[#This Row],[LE2 Final Submission]]-ERP_34[[#This Row],[LE3 Final Submission]]</f>
        <v>257.52</v>
      </c>
      <c r="V93" s="74"/>
      <c r="W93" s="75">
        <v>257.52</v>
      </c>
      <c r="X93" s="124">
        <v>0</v>
      </c>
      <c r="Y93" s="109">
        <v>0</v>
      </c>
      <c r="Z93" s="109">
        <v>0</v>
      </c>
      <c r="AA93" s="109">
        <v>0</v>
      </c>
      <c r="AB93" s="109">
        <v>0</v>
      </c>
      <c r="AC93" s="109">
        <v>0</v>
      </c>
      <c r="AD93" s="109">
        <v>0</v>
      </c>
      <c r="AE93" s="109">
        <v>0</v>
      </c>
      <c r="AF93" s="109">
        <v>0</v>
      </c>
      <c r="AG93" s="109">
        <v>0</v>
      </c>
      <c r="AH93" s="77">
        <f t="shared" si="8"/>
        <v>257.52</v>
      </c>
      <c r="AI93" s="108">
        <f>ERP_34[[#This Row],[2026 Working Total]]-ERP_34[[#This Row],[2026 LE0]]</f>
        <v>257.52</v>
      </c>
      <c r="AJ93" s="79"/>
      <c r="AK93" s="79"/>
      <c r="AL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3" s="80"/>
      <c r="AN93" s="79">
        <f>ERP_34[[#This Row],[2026 Working Total to Budget/LE]]-ERP_34[[#This Row],[Giveback]]</f>
        <v>257.52</v>
      </c>
      <c r="AO93" s="81"/>
      <c r="AP93" s="81"/>
      <c r="AQ93" s="81">
        <v>257.52</v>
      </c>
      <c r="AR93" s="81">
        <v>0</v>
      </c>
      <c r="AS93" s="81">
        <v>0</v>
      </c>
      <c r="AT93" s="81">
        <v>0</v>
      </c>
      <c r="AU93" s="81">
        <v>0</v>
      </c>
      <c r="AV93" s="81">
        <v>0</v>
      </c>
      <c r="AW93" s="81">
        <v>0</v>
      </c>
      <c r="AX93" s="81">
        <v>0</v>
      </c>
      <c r="AY93" s="81">
        <v>0</v>
      </c>
      <c r="AZ93" s="81">
        <v>0</v>
      </c>
      <c r="BA93" s="81">
        <v>0</v>
      </c>
      <c r="BB93" s="81">
        <v>257.52</v>
      </c>
      <c r="BC93" s="82"/>
      <c r="BD93" s="82">
        <v>257.52</v>
      </c>
      <c r="BE93" s="82">
        <v>0</v>
      </c>
      <c r="BF93" s="82">
        <v>0</v>
      </c>
      <c r="BG93" s="82">
        <v>0</v>
      </c>
      <c r="BH93" s="82">
        <v>0</v>
      </c>
      <c r="BI93" s="82">
        <v>0</v>
      </c>
      <c r="BJ93" s="82">
        <v>0</v>
      </c>
      <c r="BK93" s="82">
        <v>0</v>
      </c>
      <c r="BL93" s="82">
        <v>0</v>
      </c>
      <c r="BM93" s="82">
        <v>0</v>
      </c>
      <c r="BN93" s="82">
        <v>0</v>
      </c>
      <c r="BO93" s="82">
        <v>257.52</v>
      </c>
    </row>
    <row r="94" spans="1:67">
      <c r="A94" s="66" t="s">
        <v>2809</v>
      </c>
      <c r="B94" s="66" t="str">
        <f>_xlfn.TEXTJOIN("_",,ERP_34[[#This Row],[LT Member -1*]],ERP_34[[#This Row],[Expense Category]],ERP_34[[#This Row],[Project Code*]])</f>
        <v>Robertson, Jerome_SOFTWARE_ColleagueSolutions001</v>
      </c>
      <c r="C94" s="67" t="s">
        <v>1136</v>
      </c>
      <c r="D94" s="67" t="s">
        <v>1650</v>
      </c>
      <c r="E94" s="67" t="s">
        <v>1650</v>
      </c>
      <c r="F94" s="67" t="s">
        <v>1650</v>
      </c>
      <c r="G94" s="68" t="s">
        <v>639</v>
      </c>
      <c r="H94" s="106" t="s">
        <v>1138</v>
      </c>
      <c r="I94" s="70"/>
      <c r="J94" s="70"/>
      <c r="K94" s="70" t="s">
        <v>51</v>
      </c>
      <c r="L94" s="70" t="s">
        <v>1139</v>
      </c>
      <c r="M94" s="70"/>
      <c r="N94" s="70"/>
      <c r="O94" s="67" t="s">
        <v>25</v>
      </c>
      <c r="P94" s="67"/>
      <c r="Q94" s="71"/>
      <c r="R94" s="72">
        <v>0</v>
      </c>
      <c r="S94" s="73">
        <v>200.42</v>
      </c>
      <c r="T94" s="73">
        <v>0</v>
      </c>
      <c r="U94" s="71">
        <f>ERP_34[[#This Row],[LE2 Final Submission]]-ERP_34[[#This Row],[LE3 Final Submission]]</f>
        <v>200.42</v>
      </c>
      <c r="V94" s="74"/>
      <c r="W94" s="75"/>
      <c r="X94" s="75">
        <v>200.42</v>
      </c>
      <c r="Y94" s="109">
        <v>0</v>
      </c>
      <c r="Z94" s="109">
        <v>0</v>
      </c>
      <c r="AA94" s="109">
        <v>0</v>
      </c>
      <c r="AB94" s="109">
        <v>0</v>
      </c>
      <c r="AC94" s="109">
        <v>0</v>
      </c>
      <c r="AD94" s="109">
        <v>0</v>
      </c>
      <c r="AE94" s="109">
        <v>0</v>
      </c>
      <c r="AF94" s="109">
        <v>0</v>
      </c>
      <c r="AG94" s="109">
        <v>0</v>
      </c>
      <c r="AH94" s="77">
        <f t="shared" si="8"/>
        <v>200.42</v>
      </c>
      <c r="AI94" s="108">
        <f>ERP_34[[#This Row],[2026 Working Total]]-ERP_34[[#This Row],[2026 LE0]]</f>
        <v>200.42</v>
      </c>
      <c r="AJ94" s="79"/>
      <c r="AK94" s="79"/>
      <c r="AL9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4" s="80"/>
      <c r="AN94" s="79">
        <f>ERP_34[[#This Row],[2026 Working Total to Budget/LE]]-ERP_34[[#This Row],[Giveback]]</f>
        <v>200.42</v>
      </c>
      <c r="AO94" s="81"/>
      <c r="AP94" s="81"/>
      <c r="AQ94" s="81"/>
      <c r="AR94" s="81">
        <v>200.42</v>
      </c>
      <c r="AS94" s="81">
        <v>0</v>
      </c>
      <c r="AT94" s="81">
        <v>0</v>
      </c>
      <c r="AU94" s="81">
        <v>0</v>
      </c>
      <c r="AV94" s="81">
        <v>0</v>
      </c>
      <c r="AW94" s="81">
        <v>0</v>
      </c>
      <c r="AX94" s="81">
        <v>0</v>
      </c>
      <c r="AY94" s="81">
        <v>0</v>
      </c>
      <c r="AZ94" s="81">
        <v>0</v>
      </c>
      <c r="BA94" s="81">
        <v>0</v>
      </c>
      <c r="BB94" s="81">
        <v>200.42</v>
      </c>
      <c r="BC94" s="79"/>
      <c r="BD94" s="79"/>
      <c r="BE94" s="79">
        <v>200.42</v>
      </c>
      <c r="BF94" s="79">
        <v>0</v>
      </c>
      <c r="BG94" s="79">
        <v>0</v>
      </c>
      <c r="BH94" s="79">
        <v>0</v>
      </c>
      <c r="BI94" s="79">
        <v>0</v>
      </c>
      <c r="BJ94" s="79">
        <v>0</v>
      </c>
      <c r="BK94" s="79">
        <v>0</v>
      </c>
      <c r="BL94" s="79">
        <v>0</v>
      </c>
      <c r="BM94" s="79">
        <v>0</v>
      </c>
      <c r="BN94" s="79">
        <v>0</v>
      </c>
      <c r="BO94" s="79">
        <v>200.42</v>
      </c>
    </row>
    <row r="95" spans="1:67">
      <c r="A95" s="82" t="s">
        <v>1431</v>
      </c>
      <c r="B95" s="83" t="str">
        <f>_xlfn.TEXTJOIN("_",,ERP_34[[#This Row],[LT Member -1*]],ERP_34[[#This Row],[Expense Category]],ERP_34[[#This Row],[Project Code*]])</f>
        <v>Hase, Raj_CONTRACTORS_ColleagueSolutions001</v>
      </c>
      <c r="C95" s="67" t="s">
        <v>2959</v>
      </c>
      <c r="D95" s="84" t="s">
        <v>1345</v>
      </c>
      <c r="E95" s="85" t="s">
        <v>1345</v>
      </c>
      <c r="F95" s="68" t="s">
        <v>1346</v>
      </c>
      <c r="G95" s="85" t="s">
        <v>49</v>
      </c>
      <c r="H95" s="110" t="s">
        <v>1138</v>
      </c>
      <c r="I95" s="67"/>
      <c r="J95" s="67"/>
      <c r="K95" s="91" t="s">
        <v>51</v>
      </c>
      <c r="L95" s="70" t="s">
        <v>1139</v>
      </c>
      <c r="M95" s="70"/>
      <c r="N95" s="90" t="s">
        <v>2960</v>
      </c>
      <c r="O95" s="91" t="s">
        <v>25</v>
      </c>
      <c r="P95" s="92" t="s">
        <v>1348</v>
      </c>
      <c r="Q95" s="93"/>
      <c r="R95" s="94">
        <v>437.38</v>
      </c>
      <c r="S95" s="95">
        <v>0</v>
      </c>
      <c r="T95" s="112">
        <v>437.38</v>
      </c>
      <c r="U95" s="113">
        <f>ERP_34[[#This Row],[LE2 Final Submission]]-ERP_34[[#This Row],[LE3 Final Submission]]</f>
        <v>-437.38</v>
      </c>
      <c r="V95" s="98"/>
      <c r="W95" s="99"/>
      <c r="X95" s="99"/>
      <c r="Y95" s="100">
        <v>0</v>
      </c>
      <c r="Z95" s="100">
        <v>0</v>
      </c>
      <c r="AA95" s="100">
        <v>0</v>
      </c>
      <c r="AB95" s="100">
        <v>0</v>
      </c>
      <c r="AC95" s="100">
        <v>0</v>
      </c>
      <c r="AD95" s="100">
        <v>0</v>
      </c>
      <c r="AE95" s="100">
        <v>0</v>
      </c>
      <c r="AF95" s="100">
        <v>0</v>
      </c>
      <c r="AG95" s="100">
        <v>0</v>
      </c>
      <c r="AH95" s="101">
        <f t="shared" si="8"/>
        <v>0</v>
      </c>
      <c r="AI95" s="108">
        <f>ERP_34[[#This Row],[2026 Working Total]]-ERP_34[[#This Row],[2026 LE0]]</f>
        <v>-437.38</v>
      </c>
      <c r="AJ95" s="79"/>
      <c r="AK95" s="79"/>
      <c r="AL9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5" s="80"/>
      <c r="AN95" s="79">
        <f>ERP_34[[#This Row],[2026 Working Total to Budget/LE]]-ERP_34[[#This Row],[Giveback]]</f>
        <v>-437.38</v>
      </c>
      <c r="AO95" s="81"/>
      <c r="AP95" s="81"/>
      <c r="AQ95" s="81"/>
      <c r="AR95" s="81"/>
      <c r="AS95" s="81">
        <v>0</v>
      </c>
      <c r="AT95" s="81">
        <v>0</v>
      </c>
      <c r="AU95" s="81">
        <v>0</v>
      </c>
      <c r="AV95" s="81">
        <v>0</v>
      </c>
      <c r="AW95" s="81">
        <v>0</v>
      </c>
      <c r="AX95" s="81">
        <v>0</v>
      </c>
      <c r="AY95" s="81">
        <v>0</v>
      </c>
      <c r="AZ95" s="81">
        <v>0</v>
      </c>
      <c r="BA95" s="81">
        <v>0</v>
      </c>
      <c r="BB95" s="81">
        <v>0</v>
      </c>
      <c r="BC95" s="103">
        <v>0</v>
      </c>
      <c r="BD95" s="103">
        <v>437.38</v>
      </c>
      <c r="BE95" s="103">
        <v>0</v>
      </c>
      <c r="BF95" s="103">
        <v>0</v>
      </c>
      <c r="BG95" s="103">
        <v>0</v>
      </c>
      <c r="BH95" s="103">
        <v>0</v>
      </c>
      <c r="BI95" s="103">
        <v>0</v>
      </c>
      <c r="BJ95" s="103">
        <v>0</v>
      </c>
      <c r="BK95" s="103">
        <v>0</v>
      </c>
      <c r="BL95" s="103">
        <v>0</v>
      </c>
      <c r="BM95" s="103">
        <v>0</v>
      </c>
      <c r="BN95" s="103">
        <v>0</v>
      </c>
      <c r="BO95" s="82">
        <f>SUM(ERP_34[[#This Row],[2026 AP01]:[2026 AP12]])</f>
        <v>437.38</v>
      </c>
    </row>
    <row r="96" spans="1:67">
      <c r="A96" s="66" t="s">
        <v>2899</v>
      </c>
      <c r="B96" s="66" t="str">
        <f>_xlfn.TEXTJOIN("_",,ERP_34[[#This Row],[LT Member -1*]],ERP_34[[#This Row],[Expense Category]],ERP_34[[#This Row],[Project Code*]])</f>
        <v>Dougherty, Chris_COMPENSATION_CompBenefits001</v>
      </c>
      <c r="C96" s="67" t="s">
        <v>1136</v>
      </c>
      <c r="D96" s="67" t="s">
        <v>1135</v>
      </c>
      <c r="E96" s="67" t="s">
        <v>1135</v>
      </c>
      <c r="F96" s="67" t="s">
        <v>1137</v>
      </c>
      <c r="G96" s="68" t="s">
        <v>22</v>
      </c>
      <c r="H96" s="106" t="s">
        <v>2868</v>
      </c>
      <c r="I96" s="70"/>
      <c r="J96" s="70"/>
      <c r="K96" s="70" t="s">
        <v>24</v>
      </c>
      <c r="L96" s="70" t="s">
        <v>1139</v>
      </c>
      <c r="M96" s="70"/>
      <c r="N96" s="70"/>
      <c r="O96" s="67" t="s">
        <v>25</v>
      </c>
      <c r="P96" s="67"/>
      <c r="Q96" s="71"/>
      <c r="R96" s="72">
        <v>0</v>
      </c>
      <c r="S96" s="73">
        <v>0</v>
      </c>
      <c r="T96" s="73">
        <v>0</v>
      </c>
      <c r="U96" s="71">
        <f>ERP_34[[#This Row],[LE2 Final Submission]]-ERP_34[[#This Row],[LE3 Final Submission]]</f>
        <v>0</v>
      </c>
      <c r="V96" s="74"/>
      <c r="W96" s="75"/>
      <c r="X96" s="75"/>
      <c r="Y96" s="109">
        <v>0</v>
      </c>
      <c r="Z96" s="109">
        <v>0</v>
      </c>
      <c r="AA96" s="109">
        <v>0</v>
      </c>
      <c r="AB96" s="109">
        <v>0</v>
      </c>
      <c r="AC96" s="109">
        <v>0</v>
      </c>
      <c r="AD96" s="109">
        <v>0</v>
      </c>
      <c r="AE96" s="109">
        <v>0</v>
      </c>
      <c r="AF96" s="109">
        <v>0</v>
      </c>
      <c r="AG96" s="109">
        <v>0</v>
      </c>
      <c r="AH96" s="77">
        <f t="shared" si="8"/>
        <v>0</v>
      </c>
      <c r="AI96" s="149">
        <f>ERP_34[[#This Row],[2026 Working Total]]-ERP_34[[#This Row],[2026 LE0]]</f>
        <v>0</v>
      </c>
      <c r="AJ96" s="79"/>
      <c r="AK96" s="79"/>
      <c r="AL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6" s="80"/>
      <c r="AN96" s="79">
        <f>ERP_34[[#This Row],[2026 Working Total to Budget/LE]]-ERP_34[[#This Row],[Giveback]]</f>
        <v>0</v>
      </c>
      <c r="AO96" s="81"/>
      <c r="AP96" s="81"/>
      <c r="AQ96" s="81"/>
      <c r="AR96" s="81"/>
      <c r="AS96" s="81">
        <v>0</v>
      </c>
      <c r="AT96" s="81">
        <v>0</v>
      </c>
      <c r="AU96" s="81">
        <v>0</v>
      </c>
      <c r="AV96" s="81">
        <v>0</v>
      </c>
      <c r="AW96" s="81">
        <v>0</v>
      </c>
      <c r="AX96" s="81">
        <v>0</v>
      </c>
      <c r="AY96" s="81">
        <v>0</v>
      </c>
      <c r="AZ96" s="81">
        <v>0</v>
      </c>
      <c r="BA96" s="81">
        <v>0</v>
      </c>
      <c r="BB96" s="81">
        <v>0</v>
      </c>
      <c r="BC96" s="79">
        <v>267678</v>
      </c>
      <c r="BD96" s="79">
        <v>267678</v>
      </c>
      <c r="BE96" s="79">
        <v>267678</v>
      </c>
      <c r="BF96" s="79">
        <v>0</v>
      </c>
      <c r="BG96" s="79">
        <v>0</v>
      </c>
      <c r="BH96" s="79">
        <v>0</v>
      </c>
      <c r="BI96" s="79">
        <v>0</v>
      </c>
      <c r="BJ96" s="79">
        <v>0</v>
      </c>
      <c r="BK96" s="79">
        <v>0</v>
      </c>
      <c r="BL96" s="79">
        <v>0</v>
      </c>
      <c r="BM96" s="79">
        <v>0</v>
      </c>
      <c r="BN96" s="79">
        <v>0</v>
      </c>
      <c r="BO96" s="79">
        <v>803034</v>
      </c>
    </row>
    <row r="97" spans="1:67">
      <c r="A97" s="66" t="s">
        <v>2900</v>
      </c>
      <c r="B97" s="66" t="str">
        <f>_xlfn.TEXTJOIN("_",,ERP_34[[#This Row],[LT Member -1*]],ERP_34[[#This Row],[Expense Category]],ERP_34[[#This Row],[Project Code*]])</f>
        <v>Maguire, Karla_COMPENSATION_CompBenefits001</v>
      </c>
      <c r="C97" s="67" t="s">
        <v>1136</v>
      </c>
      <c r="D97" s="67" t="s">
        <v>1135</v>
      </c>
      <c r="E97" s="67" t="s">
        <v>1137</v>
      </c>
      <c r="F97" s="67" t="s">
        <v>1137</v>
      </c>
      <c r="G97" s="68" t="s">
        <v>22</v>
      </c>
      <c r="H97" s="106" t="s">
        <v>2868</v>
      </c>
      <c r="I97" s="70"/>
      <c r="J97" s="70"/>
      <c r="K97" s="70" t="s">
        <v>24</v>
      </c>
      <c r="L97" s="70" t="s">
        <v>1139</v>
      </c>
      <c r="M97" s="70"/>
      <c r="N97" s="70"/>
      <c r="O97" s="67" t="s">
        <v>25</v>
      </c>
      <c r="P97" s="67"/>
      <c r="Q97" s="71"/>
      <c r="R97" s="72">
        <v>3920122.6999999993</v>
      </c>
      <c r="S97" s="73">
        <v>0</v>
      </c>
      <c r="T97" s="73">
        <v>3920122.6999999993</v>
      </c>
      <c r="U97" s="71">
        <f>ERP_34[[#This Row],[LE2 Final Submission]]-ERP_34[[#This Row],[LE3 Final Submission]]</f>
        <v>-3920122.6999999993</v>
      </c>
      <c r="V97" s="74"/>
      <c r="W97" s="75"/>
      <c r="X97" s="75"/>
      <c r="Y97" s="76"/>
      <c r="Z97" s="76"/>
      <c r="AA97" s="76"/>
      <c r="AB97" s="76"/>
      <c r="AC97" s="76"/>
      <c r="AD97" s="76"/>
      <c r="AE97" s="76"/>
      <c r="AF97" s="76"/>
      <c r="AG97" s="76"/>
      <c r="AH97" s="77">
        <f t="shared" si="8"/>
        <v>0</v>
      </c>
      <c r="AI97" s="108">
        <f>ERP_34[[#This Row],[2026 Working Total]]-ERP_34[[#This Row],[2026 LE0]]</f>
        <v>-3920122.6999999993</v>
      </c>
      <c r="AJ97" s="79"/>
      <c r="AK97" s="79"/>
      <c r="AL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7" s="80"/>
      <c r="AN97" s="79">
        <f>ERP_34[[#This Row],[2026 Working Total to Budget/LE]]-ERP_34[[#This Row],[Giveback]]</f>
        <v>-3920122.6999999993</v>
      </c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>
        <v>0</v>
      </c>
      <c r="BC97" s="79">
        <v>95760.76</v>
      </c>
      <c r="BD97" s="79">
        <v>93858.59</v>
      </c>
      <c r="BE97" s="79">
        <v>103661.36</v>
      </c>
      <c r="BF97" s="79">
        <v>322835.13</v>
      </c>
      <c r="BG97" s="79">
        <v>322835.13</v>
      </c>
      <c r="BH97" s="79">
        <v>322835.13</v>
      </c>
      <c r="BI97" s="79">
        <v>330985.75</v>
      </c>
      <c r="BJ97" s="79">
        <v>330985.75</v>
      </c>
      <c r="BK97" s="79">
        <v>338079.72</v>
      </c>
      <c r="BL97" s="79">
        <v>338079.72</v>
      </c>
      <c r="BM97" s="79">
        <v>338079.72</v>
      </c>
      <c r="BN97" s="79">
        <v>338079.72</v>
      </c>
      <c r="BO97" s="79">
        <v>3276076.4799999995</v>
      </c>
    </row>
    <row r="98" spans="1:67">
      <c r="A98" s="66" t="s">
        <v>2878</v>
      </c>
      <c r="B98" s="66" t="str">
        <f>_xlfn.TEXTJOIN("_",,ERP_34[[#This Row],[LT Member -1*]],ERP_34[[#This Row],[Expense Category]],ERP_34[[#This Row],[Project Code*]])</f>
        <v>DeHart, Lynn_COMPENSATION_CompBenefits001</v>
      </c>
      <c r="C98" s="67" t="s">
        <v>1136</v>
      </c>
      <c r="D98" s="67" t="s">
        <v>1345</v>
      </c>
      <c r="E98" s="67" t="s">
        <v>1346</v>
      </c>
      <c r="F98" s="67" t="s">
        <v>1346</v>
      </c>
      <c r="G98" s="68" t="s">
        <v>22</v>
      </c>
      <c r="H98" s="106" t="s">
        <v>2868</v>
      </c>
      <c r="I98" s="70"/>
      <c r="J98" s="70"/>
      <c r="K98" s="70" t="s">
        <v>24</v>
      </c>
      <c r="L98" s="70" t="s">
        <v>1139</v>
      </c>
      <c r="M98" s="70"/>
      <c r="N98" s="70"/>
      <c r="O98" s="67" t="s">
        <v>25</v>
      </c>
      <c r="P98" s="67"/>
      <c r="Q98" s="71"/>
      <c r="R98" s="72">
        <v>6952243.9899999993</v>
      </c>
      <c r="S98" s="73">
        <v>0</v>
      </c>
      <c r="T98" s="73">
        <v>6952243.9899999993</v>
      </c>
      <c r="U98" s="71">
        <f>ERP_34[[#This Row],[LE2 Final Submission]]-ERP_34[[#This Row],[LE3 Final Submission]]</f>
        <v>-6952243.9899999993</v>
      </c>
      <c r="V98" s="74"/>
      <c r="W98" s="75"/>
      <c r="X98" s="75"/>
      <c r="Y98" s="76"/>
      <c r="Z98" s="76"/>
      <c r="AA98" s="76"/>
      <c r="AB98" s="76"/>
      <c r="AC98" s="76"/>
      <c r="AD98" s="76"/>
      <c r="AE98" s="76"/>
      <c r="AF98" s="76"/>
      <c r="AG98" s="76"/>
      <c r="AH98" s="77">
        <f t="shared" si="8"/>
        <v>0</v>
      </c>
      <c r="AI98" s="108">
        <f>ERP_34[[#This Row],[2026 Working Total]]-ERP_34[[#This Row],[2026 LE0]]</f>
        <v>-6952243.9899999993</v>
      </c>
      <c r="AJ98" s="79"/>
      <c r="AK98" s="79"/>
      <c r="AL9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8" s="80"/>
      <c r="AN98" s="79">
        <f>ERP_34[[#This Row],[2026 Working Total to Budget/LE]]-ERP_34[[#This Row],[Giveback]]</f>
        <v>-6952243.9899999993</v>
      </c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>
        <v>0</v>
      </c>
      <c r="BC98" s="79">
        <v>423409.35</v>
      </c>
      <c r="BD98" s="79">
        <v>937161.13</v>
      </c>
      <c r="BE98" s="79">
        <v>426573.21</v>
      </c>
      <c r="BF98" s="79">
        <v>561924.32999999996</v>
      </c>
      <c r="BG98" s="79">
        <v>560912.64000000001</v>
      </c>
      <c r="BH98" s="79">
        <v>576476.29</v>
      </c>
      <c r="BI98" s="79">
        <v>585831.80000000005</v>
      </c>
      <c r="BJ98" s="79">
        <v>590499.77</v>
      </c>
      <c r="BK98" s="79">
        <v>590499.77</v>
      </c>
      <c r="BL98" s="79">
        <v>590499.77</v>
      </c>
      <c r="BM98" s="79">
        <v>592897.86</v>
      </c>
      <c r="BN98" s="79">
        <v>592897.86</v>
      </c>
      <c r="BO98" s="79">
        <v>7029583.7799999993</v>
      </c>
    </row>
    <row r="99" spans="1:67">
      <c r="A99" s="66" t="s">
        <v>2867</v>
      </c>
      <c r="B99" s="66" t="str">
        <f>_xlfn.TEXTJOIN("_",,ERP_34[[#This Row],[LT Member -1*]],ERP_34[[#This Row],[Expense Category]],ERP_34[[#This Row],[Project Code*]])</f>
        <v>Ganesan, Srinivasan_COMPENSATION_CompBenefits001</v>
      </c>
      <c r="C99" s="67" t="s">
        <v>1136</v>
      </c>
      <c r="D99" s="67" t="s">
        <v>1345</v>
      </c>
      <c r="E99" s="67" t="s">
        <v>1344</v>
      </c>
      <c r="F99" s="67" t="s">
        <v>1346</v>
      </c>
      <c r="G99" s="68" t="s">
        <v>22</v>
      </c>
      <c r="H99" s="106" t="s">
        <v>2868</v>
      </c>
      <c r="I99" s="70"/>
      <c r="J99" s="70"/>
      <c r="K99" s="70" t="s">
        <v>24</v>
      </c>
      <c r="L99" s="70" t="s">
        <v>1139</v>
      </c>
      <c r="M99" s="70"/>
      <c r="N99" s="70"/>
      <c r="O99" s="67" t="s">
        <v>25</v>
      </c>
      <c r="P99" s="67"/>
      <c r="Q99" s="71"/>
      <c r="R99" s="72">
        <v>0</v>
      </c>
      <c r="S99" s="73">
        <v>0</v>
      </c>
      <c r="T99" s="73">
        <v>0</v>
      </c>
      <c r="U99" s="71">
        <f>ERP_34[[#This Row],[LE2 Final Submission]]-ERP_34[[#This Row],[LE3 Final Submission]]</f>
        <v>0</v>
      </c>
      <c r="V99" s="74"/>
      <c r="W99" s="75"/>
      <c r="X99" s="75"/>
      <c r="Y99" s="109">
        <v>0</v>
      </c>
      <c r="Z99" s="109">
        <v>0</v>
      </c>
      <c r="AA99" s="109">
        <v>0</v>
      </c>
      <c r="AB99" s="109">
        <v>0</v>
      </c>
      <c r="AC99" s="109">
        <v>0</v>
      </c>
      <c r="AD99" s="109">
        <v>0</v>
      </c>
      <c r="AE99" s="109">
        <v>0</v>
      </c>
      <c r="AF99" s="109">
        <v>0</v>
      </c>
      <c r="AG99" s="109">
        <v>0</v>
      </c>
      <c r="AH99" s="77">
        <f t="shared" si="8"/>
        <v>0</v>
      </c>
      <c r="AI99" s="108">
        <f>ERP_34[[#This Row],[2026 Working Total]]-ERP_34[[#This Row],[2026 LE0]]</f>
        <v>0</v>
      </c>
      <c r="AJ99" s="79"/>
      <c r="AK99" s="79"/>
      <c r="AL9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99" s="80"/>
      <c r="AN99" s="79">
        <f>ERP_34[[#This Row],[2026 Working Total to Budget/LE]]-ERP_34[[#This Row],[Giveback]]</f>
        <v>0</v>
      </c>
      <c r="AO99" s="81"/>
      <c r="AP99" s="81"/>
      <c r="AQ99" s="81"/>
      <c r="AR99" s="81"/>
      <c r="AS99" s="81">
        <v>0</v>
      </c>
      <c r="AT99" s="81">
        <v>0</v>
      </c>
      <c r="AU99" s="81">
        <v>0</v>
      </c>
      <c r="AV99" s="81">
        <v>0</v>
      </c>
      <c r="AW99" s="81">
        <v>0</v>
      </c>
      <c r="AX99" s="81">
        <v>0</v>
      </c>
      <c r="AY99" s="81">
        <v>0</v>
      </c>
      <c r="AZ99" s="81">
        <v>0</v>
      </c>
      <c r="BA99" s="81">
        <v>0</v>
      </c>
      <c r="BB99" s="81">
        <v>0</v>
      </c>
      <c r="BC99" s="79">
        <v>3835.35</v>
      </c>
      <c r="BD99" s="79">
        <v>2416.25</v>
      </c>
      <c r="BE99" s="79">
        <v>3735.66</v>
      </c>
      <c r="BF99" s="79">
        <v>0</v>
      </c>
      <c r="BG99" s="79">
        <v>0</v>
      </c>
      <c r="BH99" s="79">
        <v>0</v>
      </c>
      <c r="BI99" s="79">
        <v>0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9987.26</v>
      </c>
    </row>
    <row r="100" spans="1:67">
      <c r="A100" s="66" t="s">
        <v>2875</v>
      </c>
      <c r="B100" s="66" t="str">
        <f>_xlfn.TEXTJOIN("_",,ERP_34[[#This Row],[LT Member -1*]],ERP_34[[#This Row],[Expense Category]],ERP_34[[#This Row],[Project Code*]])</f>
        <v>Jajodia, Amit_COMPENSATION_CompBenefits001</v>
      </c>
      <c r="C100" s="67" t="s">
        <v>1136</v>
      </c>
      <c r="D100" s="67" t="s">
        <v>1345</v>
      </c>
      <c r="E100" s="67" t="s">
        <v>1515</v>
      </c>
      <c r="F100" s="67" t="s">
        <v>1346</v>
      </c>
      <c r="G100" s="68" t="s">
        <v>22</v>
      </c>
      <c r="H100" s="106" t="s">
        <v>2868</v>
      </c>
      <c r="I100" s="70"/>
      <c r="J100" s="70"/>
      <c r="K100" s="70" t="s">
        <v>24</v>
      </c>
      <c r="L100" s="70" t="s">
        <v>1139</v>
      </c>
      <c r="M100" s="70"/>
      <c r="N100" s="70"/>
      <c r="O100" s="67" t="s">
        <v>25</v>
      </c>
      <c r="P100" s="67"/>
      <c r="Q100" s="71"/>
      <c r="R100" s="72">
        <v>0</v>
      </c>
      <c r="S100" s="73">
        <v>0</v>
      </c>
      <c r="T100" s="73">
        <v>0</v>
      </c>
      <c r="U100" s="71">
        <f>ERP_34[[#This Row],[LE2 Final Submission]]-ERP_34[[#This Row],[LE3 Final Submission]]</f>
        <v>0</v>
      </c>
      <c r="V100" s="74"/>
      <c r="W100" s="75"/>
      <c r="X100" s="75"/>
      <c r="Y100" s="109">
        <v>0</v>
      </c>
      <c r="Z100" s="109">
        <v>0</v>
      </c>
      <c r="AA100" s="109">
        <v>0</v>
      </c>
      <c r="AB100" s="109">
        <v>0</v>
      </c>
      <c r="AC100" s="109">
        <v>0</v>
      </c>
      <c r="AD100" s="109">
        <v>0</v>
      </c>
      <c r="AE100" s="109">
        <v>0</v>
      </c>
      <c r="AF100" s="109">
        <v>0</v>
      </c>
      <c r="AG100" s="109">
        <v>0</v>
      </c>
      <c r="AH100" s="77">
        <f t="shared" si="8"/>
        <v>0</v>
      </c>
      <c r="AI100" s="108">
        <f>ERP_34[[#This Row],[2026 Working Total]]-ERP_34[[#This Row],[2026 LE0]]</f>
        <v>0</v>
      </c>
      <c r="AJ100" s="79"/>
      <c r="AK100" s="79"/>
      <c r="AL10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0" s="80"/>
      <c r="AN100" s="79">
        <f>ERP_34[[#This Row],[2026 Working Total to Budget/LE]]-ERP_34[[#This Row],[Giveback]]</f>
        <v>0</v>
      </c>
      <c r="AO100" s="81"/>
      <c r="AP100" s="81"/>
      <c r="AQ100" s="81"/>
      <c r="AR100" s="81"/>
      <c r="AS100" s="81">
        <v>0</v>
      </c>
      <c r="AT100" s="81">
        <v>0</v>
      </c>
      <c r="AU100" s="81">
        <v>0</v>
      </c>
      <c r="AV100" s="81">
        <v>0</v>
      </c>
      <c r="AW100" s="81">
        <v>0</v>
      </c>
      <c r="AX100" s="81">
        <v>0</v>
      </c>
      <c r="AY100" s="81">
        <v>0</v>
      </c>
      <c r="AZ100" s="81">
        <v>0</v>
      </c>
      <c r="BA100" s="81">
        <v>0</v>
      </c>
      <c r="BB100" s="81">
        <v>0</v>
      </c>
      <c r="BC100" s="79">
        <v>1989.38</v>
      </c>
      <c r="BD100" s="79">
        <v>2792.24</v>
      </c>
      <c r="BE100" s="79">
        <v>4195.3599999999997</v>
      </c>
      <c r="BF100" s="79">
        <v>0</v>
      </c>
      <c r="BG100" s="79">
        <v>0</v>
      </c>
      <c r="BH100" s="79">
        <v>0</v>
      </c>
      <c r="BI100" s="79">
        <v>0</v>
      </c>
      <c r="BJ100" s="79">
        <v>0</v>
      </c>
      <c r="BK100" s="79">
        <v>0</v>
      </c>
      <c r="BL100" s="79">
        <v>0</v>
      </c>
      <c r="BM100" s="79">
        <v>0</v>
      </c>
      <c r="BN100" s="79">
        <v>0</v>
      </c>
      <c r="BO100" s="79">
        <v>8976.98</v>
      </c>
    </row>
    <row r="101" spans="1:67">
      <c r="A101" s="66" t="s">
        <v>2880</v>
      </c>
      <c r="B101" s="66" t="str">
        <f>_xlfn.TEXTJOIN("_",,ERP_34[[#This Row],[LT Member -1*]],ERP_34[[#This Row],[Expense Category]],ERP_34[[#This Row],[Project Code*]])</f>
        <v>McGettigan, David_COMPENSATION_CompBenefits001</v>
      </c>
      <c r="C101" s="67" t="s">
        <v>1136</v>
      </c>
      <c r="D101" s="67" t="s">
        <v>1567</v>
      </c>
      <c r="E101" s="67" t="s">
        <v>1567</v>
      </c>
      <c r="F101" s="67" t="s">
        <v>1567</v>
      </c>
      <c r="G101" s="68" t="s">
        <v>22</v>
      </c>
      <c r="H101" s="106" t="s">
        <v>2868</v>
      </c>
      <c r="I101" s="70"/>
      <c r="J101" s="70"/>
      <c r="K101" s="70" t="s">
        <v>24</v>
      </c>
      <c r="L101" s="70" t="s">
        <v>1139</v>
      </c>
      <c r="M101" s="70"/>
      <c r="N101" s="70"/>
      <c r="O101" s="67" t="s">
        <v>25</v>
      </c>
      <c r="P101" s="67"/>
      <c r="Q101" s="71"/>
      <c r="R101" s="72">
        <v>330694.30999999988</v>
      </c>
      <c r="S101" s="73">
        <v>0</v>
      </c>
      <c r="T101" s="73">
        <v>330694.30999999988</v>
      </c>
      <c r="U101" s="71">
        <f>ERP_34[[#This Row],[LE2 Final Submission]]-ERP_34[[#This Row],[LE3 Final Submission]]</f>
        <v>-330694.30999999988</v>
      </c>
      <c r="V101" s="74"/>
      <c r="W101" s="75"/>
      <c r="X101" s="75"/>
      <c r="Y101" s="76"/>
      <c r="Z101" s="76"/>
      <c r="AA101" s="76"/>
      <c r="AB101" s="76"/>
      <c r="AC101" s="76"/>
      <c r="AD101" s="76"/>
      <c r="AE101" s="76"/>
      <c r="AF101" s="76"/>
      <c r="AG101" s="76"/>
      <c r="AH101" s="77">
        <f t="shared" si="8"/>
        <v>0</v>
      </c>
      <c r="AI101" s="108">
        <f>ERP_34[[#This Row],[2026 Working Total]]-ERP_34[[#This Row],[2026 LE0]]</f>
        <v>-330694.30999999988</v>
      </c>
      <c r="AJ101" s="79"/>
      <c r="AK101" s="79"/>
      <c r="AL10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1" s="80"/>
      <c r="AN101" s="79">
        <f>ERP_34[[#This Row],[2026 Working Total to Budget/LE]]-ERP_34[[#This Row],[Giveback]]</f>
        <v>-330694.30999999988</v>
      </c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>
        <v>0</v>
      </c>
      <c r="BC101" s="79">
        <v>92230.9</v>
      </c>
      <c r="BD101" s="79">
        <v>-4919.59</v>
      </c>
      <c r="BE101" s="79">
        <v>59978.67</v>
      </c>
      <c r="BF101" s="79">
        <v>20638.45</v>
      </c>
      <c r="BG101" s="79">
        <v>34028.449999999997</v>
      </c>
      <c r="BH101" s="79">
        <v>32963.75</v>
      </c>
      <c r="BI101" s="79">
        <v>22316.67</v>
      </c>
      <c r="BJ101" s="79">
        <v>22316.67</v>
      </c>
      <c r="BK101" s="79">
        <v>22316.67</v>
      </c>
      <c r="BL101" s="79">
        <v>22316.67</v>
      </c>
      <c r="BM101" s="79">
        <v>22316.67</v>
      </c>
      <c r="BN101" s="79">
        <v>22316.67</v>
      </c>
      <c r="BO101" s="79">
        <v>368820.64999999991</v>
      </c>
    </row>
    <row r="102" spans="1:67">
      <c r="A102" s="66" t="s">
        <v>2896</v>
      </c>
      <c r="B102" s="66" t="str">
        <f>_xlfn.TEXTJOIN("_",,ERP_34[[#This Row],[LT Member -1*]],ERP_34[[#This Row],[Expense Category]],ERP_34[[#This Row],[Project Code*]])</f>
        <v>Robertson, Jerome_COMPENSATION_CompBenefits001</v>
      </c>
      <c r="C102" s="67" t="s">
        <v>1136</v>
      </c>
      <c r="D102" s="67" t="s">
        <v>1650</v>
      </c>
      <c r="E102" s="67" t="s">
        <v>1650</v>
      </c>
      <c r="F102" s="67" t="s">
        <v>1650</v>
      </c>
      <c r="G102" s="68" t="s">
        <v>22</v>
      </c>
      <c r="H102" s="106" t="s">
        <v>2868</v>
      </c>
      <c r="I102" s="70"/>
      <c r="J102" s="70"/>
      <c r="K102" s="70" t="s">
        <v>24</v>
      </c>
      <c r="L102" s="70" t="s">
        <v>1139</v>
      </c>
      <c r="M102" s="70"/>
      <c r="N102" s="70"/>
      <c r="O102" s="67" t="s">
        <v>25</v>
      </c>
      <c r="P102" s="67"/>
      <c r="Q102" s="71"/>
      <c r="R102" s="72">
        <v>763217.94999999984</v>
      </c>
      <c r="S102" s="73">
        <v>0</v>
      </c>
      <c r="T102" s="73">
        <v>763217.94999999984</v>
      </c>
      <c r="U102" s="71">
        <f>ERP_34[[#This Row],[LE2 Final Submission]]-ERP_34[[#This Row],[LE3 Final Submission]]</f>
        <v>-763217.94999999984</v>
      </c>
      <c r="V102" s="74"/>
      <c r="W102" s="75"/>
      <c r="X102" s="75"/>
      <c r="Y102" s="76"/>
      <c r="Z102" s="76"/>
      <c r="AA102" s="76"/>
      <c r="AB102" s="76"/>
      <c r="AC102" s="76"/>
      <c r="AD102" s="76"/>
      <c r="AE102" s="76"/>
      <c r="AF102" s="76"/>
      <c r="AG102" s="76"/>
      <c r="AH102" s="77">
        <f t="shared" si="8"/>
        <v>0</v>
      </c>
      <c r="AI102" s="108">
        <f>ERP_34[[#This Row],[2026 Working Total]]-ERP_34[[#This Row],[2026 LE0]]</f>
        <v>-763217.94999999984</v>
      </c>
      <c r="AJ102" s="79"/>
      <c r="AK102" s="79"/>
      <c r="AL1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2" s="80"/>
      <c r="AN102" s="79">
        <f>ERP_34[[#This Row],[2026 Working Total to Budget/LE]]-ERP_34[[#This Row],[Giveback]]</f>
        <v>-763217.94999999984</v>
      </c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>
        <v>0</v>
      </c>
      <c r="BC102" s="79">
        <v>60869.22</v>
      </c>
      <c r="BD102" s="79">
        <v>66348.7</v>
      </c>
      <c r="BE102" s="79">
        <v>65556.320000000007</v>
      </c>
      <c r="BF102" s="79">
        <v>66648.33</v>
      </c>
      <c r="BG102" s="79">
        <v>58804.22</v>
      </c>
      <c r="BH102" s="79">
        <v>58804.22</v>
      </c>
      <c r="BI102" s="79">
        <v>58804.22</v>
      </c>
      <c r="BJ102" s="79">
        <v>66557.960000000006</v>
      </c>
      <c r="BK102" s="79">
        <v>66703.34</v>
      </c>
      <c r="BL102" s="79">
        <v>66703.34</v>
      </c>
      <c r="BM102" s="79">
        <v>66703.34</v>
      </c>
      <c r="BN102" s="79">
        <v>66703.34</v>
      </c>
      <c r="BO102" s="79">
        <v>769206.54999999993</v>
      </c>
    </row>
    <row r="103" spans="1:67">
      <c r="A103" s="66" t="s">
        <v>2882</v>
      </c>
      <c r="B103" s="66" t="str">
        <f>_xlfn.TEXTJOIN("_",,ERP_34[[#This Row],[LT Member -1*]],ERP_34[[#This Row],[Expense Category]],ERP_34[[#This Row],[Project Code*]])</f>
        <v>McGettigan, David_COMPENSATION_CompBenefitsCar001</v>
      </c>
      <c r="C103" s="67" t="s">
        <v>1136</v>
      </c>
      <c r="D103" s="67" t="s">
        <v>1567</v>
      </c>
      <c r="E103" s="67" t="s">
        <v>1567</v>
      </c>
      <c r="F103" s="67" t="s">
        <v>1567</v>
      </c>
      <c r="G103" s="68" t="s">
        <v>22</v>
      </c>
      <c r="H103" s="106" t="s">
        <v>2884</v>
      </c>
      <c r="I103" s="70"/>
      <c r="J103" s="70"/>
      <c r="K103" s="70" t="s">
        <v>39</v>
      </c>
      <c r="L103" s="70"/>
      <c r="M103" s="70"/>
      <c r="N103" s="70"/>
      <c r="O103" s="67" t="s">
        <v>25</v>
      </c>
      <c r="P103" s="67"/>
      <c r="Q103" s="71"/>
      <c r="R103" s="72">
        <v>144000</v>
      </c>
      <c r="S103" s="73">
        <v>108000</v>
      </c>
      <c r="T103" s="73">
        <v>144000</v>
      </c>
      <c r="U103" s="71">
        <f>ERP_34[[#This Row],[LE2 Final Submission]]-ERP_34[[#This Row],[LE3 Final Submission]]</f>
        <v>-36000</v>
      </c>
      <c r="V103" s="74"/>
      <c r="W103" s="75"/>
      <c r="X103" s="75"/>
      <c r="Y103" s="76">
        <v>12000</v>
      </c>
      <c r="Z103" s="76">
        <v>12000</v>
      </c>
      <c r="AA103" s="76">
        <v>12000</v>
      </c>
      <c r="AB103" s="76">
        <v>12000</v>
      </c>
      <c r="AC103" s="76">
        <v>12000</v>
      </c>
      <c r="AD103" s="76">
        <v>12000</v>
      </c>
      <c r="AE103" s="76">
        <v>12000</v>
      </c>
      <c r="AF103" s="76">
        <v>12000</v>
      </c>
      <c r="AG103" s="76">
        <v>12000</v>
      </c>
      <c r="AH103" s="77">
        <f t="shared" si="8"/>
        <v>108000</v>
      </c>
      <c r="AI103" s="108">
        <f>ERP_34[[#This Row],[2026 Working Total]]-ERP_34[[#This Row],[2026 LE0]]</f>
        <v>-36000</v>
      </c>
      <c r="AJ103" s="79"/>
      <c r="AK103" s="79"/>
      <c r="AL10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3" s="80"/>
      <c r="AN103" s="79">
        <f>ERP_34[[#This Row],[2026 Working Total to Budget/LE]]-ERP_34[[#This Row],[Giveback]]</f>
        <v>-36000</v>
      </c>
      <c r="AO103" s="81"/>
      <c r="AP103" s="81"/>
      <c r="AQ103" s="81"/>
      <c r="AR103" s="81"/>
      <c r="AS103" s="81">
        <v>12000</v>
      </c>
      <c r="AT103" s="81">
        <v>12000</v>
      </c>
      <c r="AU103" s="81">
        <v>12000</v>
      </c>
      <c r="AV103" s="81">
        <v>12000</v>
      </c>
      <c r="AW103" s="81">
        <v>12000</v>
      </c>
      <c r="AX103" s="81">
        <v>12000</v>
      </c>
      <c r="AY103" s="81">
        <v>12000</v>
      </c>
      <c r="AZ103" s="81">
        <v>12000</v>
      </c>
      <c r="BA103" s="81">
        <v>12000</v>
      </c>
      <c r="BB103" s="81">
        <v>108000</v>
      </c>
      <c r="BC103" s="79"/>
      <c r="BD103" s="79"/>
      <c r="BE103" s="79"/>
      <c r="BF103" s="79">
        <v>12000</v>
      </c>
      <c r="BG103" s="79">
        <v>12000</v>
      </c>
      <c r="BH103" s="79">
        <v>12000</v>
      </c>
      <c r="BI103" s="79">
        <v>12000</v>
      </c>
      <c r="BJ103" s="79">
        <v>12000</v>
      </c>
      <c r="BK103" s="79">
        <v>12000</v>
      </c>
      <c r="BL103" s="79">
        <v>12000</v>
      </c>
      <c r="BM103" s="79">
        <v>12000</v>
      </c>
      <c r="BN103" s="79">
        <v>12000</v>
      </c>
      <c r="BO103" s="79">
        <v>108000</v>
      </c>
    </row>
    <row r="104" spans="1:67">
      <c r="A104" s="66" t="s">
        <v>2902</v>
      </c>
      <c r="B104" s="66" t="str">
        <f>_xlfn.TEXTJOIN("_",,ERP_34[[#This Row],[LT Member -1*]],ERP_34[[#This Row],[Expense Category]],ERP_34[[#This Row],[Project Code*]])</f>
        <v>Dougherty, Chris_COMPENSATION_CompBonus001</v>
      </c>
      <c r="C104" s="67" t="s">
        <v>1136</v>
      </c>
      <c r="D104" s="67" t="s">
        <v>1135</v>
      </c>
      <c r="E104" s="67" t="s">
        <v>1135</v>
      </c>
      <c r="F104" s="67" t="s">
        <v>1137</v>
      </c>
      <c r="G104" s="68" t="s">
        <v>22</v>
      </c>
      <c r="H104" s="106" t="s">
        <v>2870</v>
      </c>
      <c r="I104" s="70"/>
      <c r="J104" s="70"/>
      <c r="K104" s="70" t="s">
        <v>27</v>
      </c>
      <c r="L104" s="70" t="s">
        <v>1139</v>
      </c>
      <c r="M104" s="70"/>
      <c r="N104" s="70"/>
      <c r="O104" s="67" t="s">
        <v>25</v>
      </c>
      <c r="P104" s="67"/>
      <c r="Q104" s="71"/>
      <c r="R104" s="72">
        <v>0</v>
      </c>
      <c r="S104" s="73">
        <v>0</v>
      </c>
      <c r="T104" s="73">
        <v>0</v>
      </c>
      <c r="U104" s="71">
        <f>ERP_34[[#This Row],[LE2 Final Submission]]-ERP_34[[#This Row],[LE3 Final Submission]]</f>
        <v>0</v>
      </c>
      <c r="V104" s="74"/>
      <c r="W104" s="75"/>
      <c r="X104" s="75"/>
      <c r="Y104" s="109">
        <v>0</v>
      </c>
      <c r="Z104" s="109">
        <v>0</v>
      </c>
      <c r="AA104" s="109">
        <v>0</v>
      </c>
      <c r="AB104" s="109">
        <v>0</v>
      </c>
      <c r="AC104" s="109">
        <v>0</v>
      </c>
      <c r="AD104" s="109">
        <v>0</v>
      </c>
      <c r="AE104" s="109">
        <v>0</v>
      </c>
      <c r="AF104" s="109">
        <v>0</v>
      </c>
      <c r="AG104" s="109">
        <v>0</v>
      </c>
      <c r="AH104" s="77">
        <f t="shared" si="8"/>
        <v>0</v>
      </c>
      <c r="AI104" s="108">
        <f>ERP_34[[#This Row],[2026 Working Total]]-ERP_34[[#This Row],[2026 LE0]]</f>
        <v>0</v>
      </c>
      <c r="AJ104" s="79"/>
      <c r="AK104" s="79"/>
      <c r="AL10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4" s="80"/>
      <c r="AN104" s="79">
        <f>ERP_34[[#This Row],[2026 Working Total to Budget/LE]]-ERP_34[[#This Row],[Giveback]]</f>
        <v>0</v>
      </c>
      <c r="AO104" s="81"/>
      <c r="AP104" s="81"/>
      <c r="AQ104" s="81"/>
      <c r="AR104" s="81"/>
      <c r="AS104" s="81">
        <v>0</v>
      </c>
      <c r="AT104" s="81">
        <v>0</v>
      </c>
      <c r="AU104" s="81">
        <v>0</v>
      </c>
      <c r="AV104" s="81">
        <v>0</v>
      </c>
      <c r="AW104" s="81">
        <v>0</v>
      </c>
      <c r="AX104" s="81">
        <v>0</v>
      </c>
      <c r="AY104" s="81">
        <v>0</v>
      </c>
      <c r="AZ104" s="81">
        <v>0</v>
      </c>
      <c r="BA104" s="81">
        <v>0</v>
      </c>
      <c r="BB104" s="81">
        <v>0</v>
      </c>
      <c r="BC104" s="79">
        <v>119429</v>
      </c>
      <c r="BD104" s="79">
        <v>107869</v>
      </c>
      <c r="BE104" s="79">
        <v>119891</v>
      </c>
      <c r="BF104" s="79">
        <v>0</v>
      </c>
      <c r="BG104" s="79">
        <v>0</v>
      </c>
      <c r="BH104" s="79">
        <v>0</v>
      </c>
      <c r="BI104" s="79">
        <v>0</v>
      </c>
      <c r="BJ104" s="79">
        <v>0</v>
      </c>
      <c r="BK104" s="79">
        <v>0</v>
      </c>
      <c r="BL104" s="79">
        <v>0</v>
      </c>
      <c r="BM104" s="79">
        <v>0</v>
      </c>
      <c r="BN104" s="79">
        <v>0</v>
      </c>
      <c r="BO104" s="79">
        <v>347189</v>
      </c>
    </row>
    <row r="105" spans="1:67">
      <c r="A105" s="66" t="s">
        <v>2903</v>
      </c>
      <c r="B105" s="66" t="str">
        <f>_xlfn.TEXTJOIN("_",,ERP_34[[#This Row],[LT Member -1*]],ERP_34[[#This Row],[Expense Category]],ERP_34[[#This Row],[Project Code*]])</f>
        <v>Maguire, Karla_COMPENSATION_CompBonus001</v>
      </c>
      <c r="C105" s="67" t="s">
        <v>1136</v>
      </c>
      <c r="D105" s="67" t="s">
        <v>1135</v>
      </c>
      <c r="E105" s="67" t="s">
        <v>1137</v>
      </c>
      <c r="F105" s="67" t="s">
        <v>1137</v>
      </c>
      <c r="G105" s="68" t="s">
        <v>22</v>
      </c>
      <c r="H105" s="106" t="s">
        <v>2870</v>
      </c>
      <c r="I105" s="70"/>
      <c r="J105" s="70"/>
      <c r="K105" s="70" t="s">
        <v>27</v>
      </c>
      <c r="L105" s="70" t="s">
        <v>1139</v>
      </c>
      <c r="M105" s="70"/>
      <c r="N105" s="70"/>
      <c r="O105" s="67" t="s">
        <v>25</v>
      </c>
      <c r="P105" s="67"/>
      <c r="Q105" s="71"/>
      <c r="R105" s="72">
        <v>1729258.84</v>
      </c>
      <c r="S105" s="73">
        <v>0</v>
      </c>
      <c r="T105" s="73">
        <v>1729258.84</v>
      </c>
      <c r="U105" s="71">
        <f>ERP_34[[#This Row],[LE2 Final Submission]]-ERP_34[[#This Row],[LE3 Final Submission]]</f>
        <v>-1729258.84</v>
      </c>
      <c r="V105" s="74"/>
      <c r="W105" s="75"/>
      <c r="X105" s="75"/>
      <c r="Y105" s="76"/>
      <c r="Z105" s="76"/>
      <c r="AA105" s="76"/>
      <c r="AB105" s="76"/>
      <c r="AC105" s="76"/>
      <c r="AD105" s="76"/>
      <c r="AE105" s="76"/>
      <c r="AF105" s="76"/>
      <c r="AG105" s="76"/>
      <c r="AH105" s="77">
        <f t="shared" si="8"/>
        <v>0</v>
      </c>
      <c r="AI105" s="108">
        <f>ERP_34[[#This Row],[2026 Working Total]]-ERP_34[[#This Row],[2026 LE0]]</f>
        <v>-1729258.84</v>
      </c>
      <c r="AJ105" s="79"/>
      <c r="AK105" s="79"/>
      <c r="AL10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5" s="80"/>
      <c r="AN105" s="79">
        <f>ERP_34[[#This Row],[2026 Working Total to Budget/LE]]-ERP_34[[#This Row],[Giveback]]</f>
        <v>-1729258.84</v>
      </c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>
        <v>0</v>
      </c>
      <c r="BC105" s="79">
        <v>50770.12</v>
      </c>
      <c r="BD105" s="79">
        <v>51960.62</v>
      </c>
      <c r="BE105" s="79">
        <v>52695.87</v>
      </c>
      <c r="BF105" s="79">
        <v>142100.94</v>
      </c>
      <c r="BG105" s="79">
        <v>142100.94</v>
      </c>
      <c r="BH105" s="79">
        <v>142100.94</v>
      </c>
      <c r="BI105" s="79">
        <v>146019.5</v>
      </c>
      <c r="BJ105" s="79">
        <v>146019.5</v>
      </c>
      <c r="BK105" s="79">
        <v>150075.81</v>
      </c>
      <c r="BL105" s="79">
        <v>150075.81</v>
      </c>
      <c r="BM105" s="79">
        <v>150075.81</v>
      </c>
      <c r="BN105" s="79">
        <v>150075.81</v>
      </c>
      <c r="BO105" s="79">
        <v>1474071.6700000002</v>
      </c>
    </row>
    <row r="106" spans="1:67">
      <c r="A106" s="66" t="s">
        <v>2885</v>
      </c>
      <c r="B106" s="66" t="str">
        <f>_xlfn.TEXTJOIN("_",,ERP_34[[#This Row],[LT Member -1*]],ERP_34[[#This Row],[Expense Category]],ERP_34[[#This Row],[Project Code*]])</f>
        <v>DeHart, Lynn_COMPENSATION_CompBonus001</v>
      </c>
      <c r="C106" s="67" t="s">
        <v>1136</v>
      </c>
      <c r="D106" s="67" t="s">
        <v>1345</v>
      </c>
      <c r="E106" s="67" t="s">
        <v>1346</v>
      </c>
      <c r="F106" s="67" t="s">
        <v>1346</v>
      </c>
      <c r="G106" s="68" t="s">
        <v>22</v>
      </c>
      <c r="H106" s="106" t="s">
        <v>2870</v>
      </c>
      <c r="I106" s="70"/>
      <c r="J106" s="70"/>
      <c r="K106" s="70" t="s">
        <v>27</v>
      </c>
      <c r="L106" s="70" t="s">
        <v>1139</v>
      </c>
      <c r="M106" s="70"/>
      <c r="N106" s="70"/>
      <c r="O106" s="67" t="s">
        <v>25</v>
      </c>
      <c r="P106" s="67"/>
      <c r="Q106" s="71"/>
      <c r="R106" s="72">
        <v>2865793.42</v>
      </c>
      <c r="S106" s="73">
        <v>0</v>
      </c>
      <c r="T106" s="73">
        <v>2865793.42</v>
      </c>
      <c r="U106" s="71">
        <f>ERP_34[[#This Row],[LE2 Final Submission]]-ERP_34[[#This Row],[LE3 Final Submission]]</f>
        <v>-2865793.42</v>
      </c>
      <c r="V106" s="74"/>
      <c r="W106" s="75"/>
      <c r="X106" s="75"/>
      <c r="Y106" s="76"/>
      <c r="Z106" s="76"/>
      <c r="AA106" s="76"/>
      <c r="AB106" s="76"/>
      <c r="AC106" s="76"/>
      <c r="AD106" s="76"/>
      <c r="AE106" s="76"/>
      <c r="AF106" s="76"/>
      <c r="AG106" s="76"/>
      <c r="AH106" s="77">
        <f t="shared" si="8"/>
        <v>0</v>
      </c>
      <c r="AI106" s="108">
        <f>ERP_34[[#This Row],[2026 Working Total]]-ERP_34[[#This Row],[2026 LE0]]</f>
        <v>-2865793.42</v>
      </c>
      <c r="AJ106" s="79"/>
      <c r="AK106" s="79"/>
      <c r="AL10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6" s="80"/>
      <c r="AN106" s="79">
        <f>ERP_34[[#This Row],[2026 Working Total to Budget/LE]]-ERP_34[[#This Row],[Giveback]]</f>
        <v>-2865793.42</v>
      </c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>
        <v>0</v>
      </c>
      <c r="BC106" s="79">
        <v>195133.21</v>
      </c>
      <c r="BD106" s="79">
        <v>214325.71</v>
      </c>
      <c r="BE106" s="79">
        <v>291685.48</v>
      </c>
      <c r="BF106" s="79">
        <v>233173.12</v>
      </c>
      <c r="BG106" s="79">
        <v>232919.73</v>
      </c>
      <c r="BH106" s="79">
        <v>238777.23</v>
      </c>
      <c r="BI106" s="79">
        <v>240555.68</v>
      </c>
      <c r="BJ106" s="79">
        <v>242084.56</v>
      </c>
      <c r="BK106" s="79">
        <v>242084.56</v>
      </c>
      <c r="BL106" s="79">
        <v>242084.56</v>
      </c>
      <c r="BM106" s="79">
        <v>242516.91</v>
      </c>
      <c r="BN106" s="79">
        <v>242516.91</v>
      </c>
      <c r="BO106" s="79">
        <v>2857857.66</v>
      </c>
    </row>
    <row r="107" spans="1:67">
      <c r="A107" s="66" t="s">
        <v>2869</v>
      </c>
      <c r="B107" s="66" t="str">
        <f>_xlfn.TEXTJOIN("_",,ERP_34[[#This Row],[LT Member -1*]],ERP_34[[#This Row],[Expense Category]],ERP_34[[#This Row],[Project Code*]])</f>
        <v>Ganesan, Srinivasan_COMPENSATION_CompBonus001</v>
      </c>
      <c r="C107" s="67" t="s">
        <v>1136</v>
      </c>
      <c r="D107" s="67" t="s">
        <v>1345</v>
      </c>
      <c r="E107" s="67" t="s">
        <v>1344</v>
      </c>
      <c r="F107" s="67" t="s">
        <v>1346</v>
      </c>
      <c r="G107" s="68" t="s">
        <v>22</v>
      </c>
      <c r="H107" s="106" t="s">
        <v>2870</v>
      </c>
      <c r="I107" s="70"/>
      <c r="J107" s="70"/>
      <c r="K107" s="70" t="s">
        <v>27</v>
      </c>
      <c r="L107" s="70" t="s">
        <v>1139</v>
      </c>
      <c r="M107" s="70"/>
      <c r="N107" s="70"/>
      <c r="O107" s="67" t="s">
        <v>25</v>
      </c>
      <c r="P107" s="67"/>
      <c r="Q107" s="71"/>
      <c r="R107" s="72">
        <v>0</v>
      </c>
      <c r="S107" s="73">
        <v>0</v>
      </c>
      <c r="T107" s="73">
        <v>0</v>
      </c>
      <c r="U107" s="71">
        <f>ERP_34[[#This Row],[LE2 Final Submission]]-ERP_34[[#This Row],[LE3 Final Submission]]</f>
        <v>0</v>
      </c>
      <c r="V107" s="74"/>
      <c r="W107" s="75"/>
      <c r="X107" s="75"/>
      <c r="Y107" s="109">
        <v>0</v>
      </c>
      <c r="Z107" s="109">
        <v>0</v>
      </c>
      <c r="AA107" s="109">
        <v>0</v>
      </c>
      <c r="AB107" s="109">
        <v>0</v>
      </c>
      <c r="AC107" s="109">
        <v>0</v>
      </c>
      <c r="AD107" s="109">
        <v>0</v>
      </c>
      <c r="AE107" s="109">
        <v>0</v>
      </c>
      <c r="AF107" s="109">
        <v>0</v>
      </c>
      <c r="AG107" s="109">
        <v>0</v>
      </c>
      <c r="AH107" s="77">
        <f t="shared" si="8"/>
        <v>0</v>
      </c>
      <c r="AI107" s="108">
        <f>ERP_34[[#This Row],[2026 Working Total]]-ERP_34[[#This Row],[2026 LE0]]</f>
        <v>0</v>
      </c>
      <c r="AJ107" s="79"/>
      <c r="AK107" s="79"/>
      <c r="AL1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7" s="80"/>
      <c r="AN107" s="79">
        <f>ERP_34[[#This Row],[2026 Working Total to Budget/LE]]-ERP_34[[#This Row],[Giveback]]</f>
        <v>0</v>
      </c>
      <c r="AO107" s="81"/>
      <c r="AP107" s="81"/>
      <c r="AQ107" s="81"/>
      <c r="AR107" s="81"/>
      <c r="AS107" s="81">
        <v>0</v>
      </c>
      <c r="AT107" s="81">
        <v>0</v>
      </c>
      <c r="AU107" s="81">
        <v>0</v>
      </c>
      <c r="AV107" s="81">
        <v>0</v>
      </c>
      <c r="AW107" s="81">
        <v>0</v>
      </c>
      <c r="AX107" s="81">
        <v>0</v>
      </c>
      <c r="AY107" s="81">
        <v>0</v>
      </c>
      <c r="AZ107" s="81">
        <v>0</v>
      </c>
      <c r="BA107" s="81">
        <v>0</v>
      </c>
      <c r="BB107" s="81">
        <v>0</v>
      </c>
      <c r="BC107" s="79">
        <v>3779.53</v>
      </c>
      <c r="BD107" s="79">
        <v>7255.22</v>
      </c>
      <c r="BE107" s="79">
        <v>5363.84</v>
      </c>
      <c r="BF107" s="79">
        <v>0</v>
      </c>
      <c r="BG107" s="79">
        <v>0</v>
      </c>
      <c r="BH107" s="79">
        <v>0</v>
      </c>
      <c r="BI107" s="79">
        <v>0</v>
      </c>
      <c r="BJ107" s="79">
        <v>0</v>
      </c>
      <c r="BK107" s="79">
        <v>0</v>
      </c>
      <c r="BL107" s="79">
        <v>0</v>
      </c>
      <c r="BM107" s="79">
        <v>0</v>
      </c>
      <c r="BN107" s="79">
        <v>0</v>
      </c>
      <c r="BO107" s="79">
        <v>16398.59</v>
      </c>
    </row>
    <row r="108" spans="1:67">
      <c r="A108" s="66" t="s">
        <v>2876</v>
      </c>
      <c r="B108" s="66" t="str">
        <f>_xlfn.TEXTJOIN("_",,ERP_34[[#This Row],[LT Member -1*]],ERP_34[[#This Row],[Expense Category]],ERP_34[[#This Row],[Project Code*]])</f>
        <v>Jajodia, Amit_COMPENSATION_CompBonus001</v>
      </c>
      <c r="C108" s="67" t="s">
        <v>1136</v>
      </c>
      <c r="D108" s="67" t="s">
        <v>1345</v>
      </c>
      <c r="E108" s="67" t="s">
        <v>1515</v>
      </c>
      <c r="F108" s="67" t="s">
        <v>1346</v>
      </c>
      <c r="G108" s="68" t="s">
        <v>22</v>
      </c>
      <c r="H108" s="106" t="s">
        <v>2870</v>
      </c>
      <c r="I108" s="70"/>
      <c r="J108" s="70"/>
      <c r="K108" s="70" t="s">
        <v>27</v>
      </c>
      <c r="L108" s="70" t="s">
        <v>1139</v>
      </c>
      <c r="M108" s="70"/>
      <c r="N108" s="70"/>
      <c r="O108" s="67" t="s">
        <v>25</v>
      </c>
      <c r="P108" s="67"/>
      <c r="Q108" s="71"/>
      <c r="R108" s="72">
        <v>0</v>
      </c>
      <c r="S108" s="73">
        <v>0</v>
      </c>
      <c r="T108" s="73">
        <v>0</v>
      </c>
      <c r="U108" s="71">
        <f>ERP_34[[#This Row],[LE2 Final Submission]]-ERP_34[[#This Row],[LE3 Final Submission]]</f>
        <v>0</v>
      </c>
      <c r="V108" s="74"/>
      <c r="W108" s="75"/>
      <c r="X108" s="75"/>
      <c r="Y108" s="109">
        <v>0</v>
      </c>
      <c r="Z108" s="109">
        <v>0</v>
      </c>
      <c r="AA108" s="109">
        <v>0</v>
      </c>
      <c r="AB108" s="109">
        <v>0</v>
      </c>
      <c r="AC108" s="109">
        <v>0</v>
      </c>
      <c r="AD108" s="109">
        <v>0</v>
      </c>
      <c r="AE108" s="109">
        <v>0</v>
      </c>
      <c r="AF108" s="109">
        <v>0</v>
      </c>
      <c r="AG108" s="109">
        <v>0</v>
      </c>
      <c r="AH108" s="77">
        <f t="shared" si="8"/>
        <v>0</v>
      </c>
      <c r="AI108" s="108">
        <f>ERP_34[[#This Row],[2026 Working Total]]-ERP_34[[#This Row],[2026 LE0]]</f>
        <v>0</v>
      </c>
      <c r="AJ108" s="79"/>
      <c r="AK108" s="79"/>
      <c r="AL10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8" s="80"/>
      <c r="AN108" s="79">
        <f>ERP_34[[#This Row],[2026 Working Total to Budget/LE]]-ERP_34[[#This Row],[Giveback]]</f>
        <v>0</v>
      </c>
      <c r="AO108" s="81"/>
      <c r="AP108" s="81"/>
      <c r="AQ108" s="81"/>
      <c r="AR108" s="81"/>
      <c r="AS108" s="81">
        <v>0</v>
      </c>
      <c r="AT108" s="81">
        <v>0</v>
      </c>
      <c r="AU108" s="81">
        <v>0</v>
      </c>
      <c r="AV108" s="81">
        <v>0</v>
      </c>
      <c r="AW108" s="81">
        <v>0</v>
      </c>
      <c r="AX108" s="81">
        <v>0</v>
      </c>
      <c r="AY108" s="81">
        <v>0</v>
      </c>
      <c r="AZ108" s="81">
        <v>0</v>
      </c>
      <c r="BA108" s="81">
        <v>0</v>
      </c>
      <c r="BB108" s="81">
        <v>0</v>
      </c>
      <c r="BC108" s="79">
        <v>2651.11</v>
      </c>
      <c r="BD108" s="79">
        <v>1336.03</v>
      </c>
      <c r="BE108" s="79">
        <v>1800.7</v>
      </c>
      <c r="BF108" s="79">
        <v>0</v>
      </c>
      <c r="BG108" s="79">
        <v>0</v>
      </c>
      <c r="BH108" s="79">
        <v>0</v>
      </c>
      <c r="BI108" s="79">
        <v>0</v>
      </c>
      <c r="BJ108" s="79">
        <v>0</v>
      </c>
      <c r="BK108" s="79">
        <v>0</v>
      </c>
      <c r="BL108" s="79">
        <v>0</v>
      </c>
      <c r="BM108" s="79">
        <v>0</v>
      </c>
      <c r="BN108" s="79">
        <v>0</v>
      </c>
      <c r="BO108" s="79">
        <v>5787.84</v>
      </c>
    </row>
    <row r="109" spans="1:67">
      <c r="A109" s="66" t="s">
        <v>2887</v>
      </c>
      <c r="B109" s="66" t="str">
        <f>_xlfn.TEXTJOIN("_",,ERP_34[[#This Row],[LT Member -1*]],ERP_34[[#This Row],[Expense Category]],ERP_34[[#This Row],[Project Code*]])</f>
        <v>McGettigan, David_COMPENSATION_CompBonus001</v>
      </c>
      <c r="C109" s="67" t="s">
        <v>1136</v>
      </c>
      <c r="D109" s="67" t="s">
        <v>1567</v>
      </c>
      <c r="E109" s="67" t="s">
        <v>1567</v>
      </c>
      <c r="F109" s="67" t="s">
        <v>1567</v>
      </c>
      <c r="G109" s="68" t="s">
        <v>22</v>
      </c>
      <c r="H109" s="106" t="s">
        <v>2870</v>
      </c>
      <c r="I109" s="70"/>
      <c r="J109" s="70"/>
      <c r="K109" s="70" t="s">
        <v>27</v>
      </c>
      <c r="L109" s="70" t="s">
        <v>1139</v>
      </c>
      <c r="M109" s="70"/>
      <c r="N109" s="70"/>
      <c r="O109" s="67" t="s">
        <v>25</v>
      </c>
      <c r="P109" s="67"/>
      <c r="Q109" s="71"/>
      <c r="R109" s="72">
        <v>204823.02000000002</v>
      </c>
      <c r="S109" s="73">
        <v>0</v>
      </c>
      <c r="T109" s="73">
        <v>204823.02000000002</v>
      </c>
      <c r="U109" s="71">
        <f>ERP_34[[#This Row],[LE2 Final Submission]]-ERP_34[[#This Row],[LE3 Final Submission]]</f>
        <v>-204823.02000000002</v>
      </c>
      <c r="V109" s="74"/>
      <c r="W109" s="75"/>
      <c r="X109" s="75"/>
      <c r="Y109" s="76"/>
      <c r="Z109" s="76"/>
      <c r="AA109" s="76"/>
      <c r="AB109" s="76"/>
      <c r="AC109" s="76"/>
      <c r="AD109" s="76"/>
      <c r="AE109" s="76"/>
      <c r="AF109" s="76"/>
      <c r="AG109" s="76"/>
      <c r="AH109" s="77">
        <f t="shared" si="8"/>
        <v>0</v>
      </c>
      <c r="AI109" s="108">
        <f>ERP_34[[#This Row],[2026 Working Total]]-ERP_34[[#This Row],[2026 LE0]]</f>
        <v>-204823.02000000002</v>
      </c>
      <c r="AJ109" s="79"/>
      <c r="AK109" s="79"/>
      <c r="AL1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09" s="80"/>
      <c r="AN109" s="79">
        <f>ERP_34[[#This Row],[2026 Working Total to Budget/LE]]-ERP_34[[#This Row],[Giveback]]</f>
        <v>-204823.02000000002</v>
      </c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>
        <v>0</v>
      </c>
      <c r="BC109" s="79">
        <v>51562.58</v>
      </c>
      <c r="BD109" s="79">
        <v>27159.83</v>
      </c>
      <c r="BE109" s="79">
        <v>40975</v>
      </c>
      <c r="BF109" s="79">
        <v>11866.46</v>
      </c>
      <c r="BG109" s="79">
        <v>21522.71</v>
      </c>
      <c r="BH109" s="79">
        <v>20882.86</v>
      </c>
      <c r="BI109" s="79">
        <v>14484.38</v>
      </c>
      <c r="BJ109" s="79">
        <v>14484.38</v>
      </c>
      <c r="BK109" s="79">
        <v>14484.38</v>
      </c>
      <c r="BL109" s="79">
        <v>14484.38</v>
      </c>
      <c r="BM109" s="79">
        <v>14484.38</v>
      </c>
      <c r="BN109" s="79">
        <v>14484.38</v>
      </c>
      <c r="BO109" s="79">
        <v>260875.72000000003</v>
      </c>
    </row>
    <row r="110" spans="1:67">
      <c r="A110" s="66" t="s">
        <v>2897</v>
      </c>
      <c r="B110" s="66" t="str">
        <f>_xlfn.TEXTJOIN("_",,ERP_34[[#This Row],[LT Member -1*]],ERP_34[[#This Row],[Expense Category]],ERP_34[[#This Row],[Project Code*]])</f>
        <v>Robertson, Jerome_COMPENSATION_CompBonus001</v>
      </c>
      <c r="C110" s="67" t="s">
        <v>1136</v>
      </c>
      <c r="D110" s="67" t="s">
        <v>1650</v>
      </c>
      <c r="E110" s="67" t="s">
        <v>1650</v>
      </c>
      <c r="F110" s="67" t="s">
        <v>1650</v>
      </c>
      <c r="G110" s="68" t="s">
        <v>22</v>
      </c>
      <c r="H110" s="106" t="s">
        <v>2870</v>
      </c>
      <c r="I110" s="70"/>
      <c r="J110" s="70"/>
      <c r="K110" s="70" t="s">
        <v>27</v>
      </c>
      <c r="L110" s="70" t="s">
        <v>1139</v>
      </c>
      <c r="M110" s="70"/>
      <c r="N110" s="70"/>
      <c r="O110" s="67" t="s">
        <v>25</v>
      </c>
      <c r="P110" s="67"/>
      <c r="Q110" s="71"/>
      <c r="R110" s="72">
        <v>355072.04000000004</v>
      </c>
      <c r="S110" s="73">
        <v>0</v>
      </c>
      <c r="T110" s="73">
        <v>355072.04000000004</v>
      </c>
      <c r="U110" s="71">
        <f>ERP_34[[#This Row],[LE2 Final Submission]]-ERP_34[[#This Row],[LE3 Final Submission]]</f>
        <v>-355072.04000000004</v>
      </c>
      <c r="V110" s="74"/>
      <c r="W110" s="75"/>
      <c r="X110" s="75"/>
      <c r="Y110" s="76"/>
      <c r="Z110" s="76"/>
      <c r="AA110" s="76"/>
      <c r="AB110" s="76"/>
      <c r="AC110" s="76"/>
      <c r="AD110" s="76"/>
      <c r="AE110" s="76"/>
      <c r="AF110" s="76"/>
      <c r="AG110" s="76"/>
      <c r="AH110" s="77">
        <f t="shared" si="8"/>
        <v>0</v>
      </c>
      <c r="AI110" s="108">
        <f>ERP_34[[#This Row],[2026 Working Total]]-ERP_34[[#This Row],[2026 LE0]]</f>
        <v>-355072.04000000004</v>
      </c>
      <c r="AJ110" s="79"/>
      <c r="AK110" s="79"/>
      <c r="AL1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0" s="80"/>
      <c r="AN110" s="79">
        <f>ERP_34[[#This Row],[2026 Working Total to Budget/LE]]-ERP_34[[#This Row],[Giveback]]</f>
        <v>-355072.04000000004</v>
      </c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>
        <v>0</v>
      </c>
      <c r="BC110" s="79">
        <v>27497.84</v>
      </c>
      <c r="BD110" s="79">
        <v>27805.69</v>
      </c>
      <c r="BE110" s="79">
        <v>37986.93</v>
      </c>
      <c r="BF110" s="79">
        <v>30575.919999999998</v>
      </c>
      <c r="BG110" s="79">
        <v>26871.200000000001</v>
      </c>
      <c r="BH110" s="79">
        <v>26871.200000000001</v>
      </c>
      <c r="BI110" s="79">
        <v>26871.200000000001</v>
      </c>
      <c r="BJ110" s="79">
        <v>31487.49</v>
      </c>
      <c r="BK110" s="79">
        <v>31751.82</v>
      </c>
      <c r="BL110" s="79">
        <v>31751.82</v>
      </c>
      <c r="BM110" s="79">
        <v>31751.82</v>
      </c>
      <c r="BN110" s="79">
        <v>31751.82</v>
      </c>
      <c r="BO110" s="79">
        <v>362974.75</v>
      </c>
    </row>
    <row r="111" spans="1:67">
      <c r="A111" s="66" t="s">
        <v>2905</v>
      </c>
      <c r="B111" s="66" t="str">
        <f>_xlfn.TEXTJOIN("_",,ERP_34[[#This Row],[LT Member -1*]],ERP_34[[#This Row],[Expense Category]],ERP_34[[#This Row],[Project Code*]])</f>
        <v>Dougherty, Chris_COMPENSATION_CompSalary001</v>
      </c>
      <c r="C111" s="67" t="s">
        <v>1136</v>
      </c>
      <c r="D111" s="67" t="s">
        <v>1135</v>
      </c>
      <c r="E111" s="67" t="s">
        <v>1135</v>
      </c>
      <c r="F111" s="67" t="s">
        <v>1137</v>
      </c>
      <c r="G111" s="68" t="s">
        <v>22</v>
      </c>
      <c r="H111" s="106" t="s">
        <v>2872</v>
      </c>
      <c r="I111" s="70"/>
      <c r="J111" s="70"/>
      <c r="K111" s="70" t="s">
        <v>29</v>
      </c>
      <c r="L111" s="70" t="s">
        <v>1139</v>
      </c>
      <c r="M111" s="70"/>
      <c r="N111" s="70"/>
      <c r="O111" s="67" t="s">
        <v>25</v>
      </c>
      <c r="P111" s="67"/>
      <c r="Q111" s="71"/>
      <c r="R111" s="72">
        <v>0</v>
      </c>
      <c r="S111" s="73">
        <v>0</v>
      </c>
      <c r="T111" s="73">
        <v>0</v>
      </c>
      <c r="U111" s="71">
        <f>ERP_34[[#This Row],[LE2 Final Submission]]-ERP_34[[#This Row],[LE3 Final Submission]]</f>
        <v>0</v>
      </c>
      <c r="V111" s="74"/>
      <c r="W111" s="75"/>
      <c r="X111" s="75"/>
      <c r="Y111" s="109">
        <v>0</v>
      </c>
      <c r="Z111" s="109">
        <v>0</v>
      </c>
      <c r="AA111" s="109">
        <v>0</v>
      </c>
      <c r="AB111" s="109">
        <v>0</v>
      </c>
      <c r="AC111" s="109">
        <v>0</v>
      </c>
      <c r="AD111" s="109">
        <v>0</v>
      </c>
      <c r="AE111" s="109">
        <v>0</v>
      </c>
      <c r="AF111" s="109">
        <v>0</v>
      </c>
      <c r="AG111" s="109">
        <v>0</v>
      </c>
      <c r="AH111" s="77">
        <f t="shared" si="8"/>
        <v>0</v>
      </c>
      <c r="AI111" s="108">
        <f>ERP_34[[#This Row],[2026 Working Total]]-ERP_34[[#This Row],[2026 LE0]]</f>
        <v>0</v>
      </c>
      <c r="AJ111" s="79"/>
      <c r="AK111" s="79"/>
      <c r="AL1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1" s="80"/>
      <c r="AN111" s="79">
        <f>ERP_34[[#This Row],[2026 Working Total to Budget/LE]]-ERP_34[[#This Row],[Giveback]]</f>
        <v>0</v>
      </c>
      <c r="AO111" s="81"/>
      <c r="AP111" s="81"/>
      <c r="AQ111" s="81"/>
      <c r="AR111" s="81"/>
      <c r="AS111" s="81">
        <v>0</v>
      </c>
      <c r="AT111" s="81">
        <v>0</v>
      </c>
      <c r="AU111" s="81">
        <v>0</v>
      </c>
      <c r="AV111" s="81">
        <v>0</v>
      </c>
      <c r="AW111" s="81">
        <v>0</v>
      </c>
      <c r="AX111" s="81">
        <v>0</v>
      </c>
      <c r="AY111" s="81">
        <v>0</v>
      </c>
      <c r="AZ111" s="81">
        <v>0</v>
      </c>
      <c r="BA111" s="81">
        <v>0</v>
      </c>
      <c r="BB111" s="81">
        <v>0</v>
      </c>
      <c r="BC111" s="79">
        <v>643457</v>
      </c>
      <c r="BD111" s="79">
        <v>643457</v>
      </c>
      <c r="BE111" s="79">
        <v>643457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0</v>
      </c>
      <c r="BN111" s="79">
        <v>0</v>
      </c>
      <c r="BO111" s="79">
        <v>1930371</v>
      </c>
    </row>
    <row r="112" spans="1:67">
      <c r="A112" s="66" t="s">
        <v>2906</v>
      </c>
      <c r="B112" s="66" t="str">
        <f>_xlfn.TEXTJOIN("_",,ERP_34[[#This Row],[LT Member -1*]],ERP_34[[#This Row],[Expense Category]],ERP_34[[#This Row],[Project Code*]])</f>
        <v>Maguire, Karla_COMPENSATION_CompSalary001</v>
      </c>
      <c r="C112" s="67" t="s">
        <v>1136</v>
      </c>
      <c r="D112" s="67" t="s">
        <v>1135</v>
      </c>
      <c r="E112" s="67" t="s">
        <v>1137</v>
      </c>
      <c r="F112" s="67" t="s">
        <v>1137</v>
      </c>
      <c r="G112" s="68" t="s">
        <v>22</v>
      </c>
      <c r="H112" s="106" t="s">
        <v>2872</v>
      </c>
      <c r="I112" s="70"/>
      <c r="J112" s="70"/>
      <c r="K112" s="70" t="s">
        <v>29</v>
      </c>
      <c r="L112" s="70" t="s">
        <v>1139</v>
      </c>
      <c r="M112" s="70"/>
      <c r="N112" s="70"/>
      <c r="O112" s="67" t="s">
        <v>25</v>
      </c>
      <c r="P112" s="67"/>
      <c r="Q112" s="71"/>
      <c r="R112" s="72">
        <v>9831851.3300000001</v>
      </c>
      <c r="S112" s="73">
        <v>15406112.624272117</v>
      </c>
      <c r="T112" s="73">
        <v>9831851.3300000001</v>
      </c>
      <c r="U112" s="71">
        <f>ERP_34[[#This Row],[LE2 Final Submission]]-ERP_34[[#This Row],[LE3 Final Submission]]</f>
        <v>5574261.2942721173</v>
      </c>
      <c r="V112" s="74">
        <v>1402914.3999999987</v>
      </c>
      <c r="W112" s="75">
        <v>1397677.6399999992</v>
      </c>
      <c r="X112" s="75">
        <v>1375284.8299999998</v>
      </c>
      <c r="Y112" s="76">
        <v>1386261.7499999984</v>
      </c>
      <c r="Z112" s="76">
        <v>1250571.8632276698</v>
      </c>
      <c r="AA112" s="76">
        <v>1235426.0682136698</v>
      </c>
      <c r="AB112" s="76">
        <v>1208851.7277970032</v>
      </c>
      <c r="AC112" s="76">
        <v>1221091.4455470033</v>
      </c>
      <c r="AD112" s="76">
        <v>1194419.2817703367</v>
      </c>
      <c r="AE112" s="76">
        <v>1239489.2742341459</v>
      </c>
      <c r="AF112" s="76">
        <v>1239489.2742341459</v>
      </c>
      <c r="AG112" s="76">
        <v>1254635.0692481461</v>
      </c>
      <c r="AH112" s="77">
        <f t="shared" si="8"/>
        <v>15406112.624272117</v>
      </c>
      <c r="AI112" s="108">
        <f>ERP_34[[#This Row],[2026 Working Total]]-ERP_34[[#This Row],[2026 LE0]]</f>
        <v>5574261.2942721173</v>
      </c>
      <c r="AJ112" s="79"/>
      <c r="AK112" s="79"/>
      <c r="AL1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2" s="80"/>
      <c r="AN112" s="79">
        <f>ERP_34[[#This Row],[2026 Working Total to Budget/LE]]-ERP_34[[#This Row],[Giveback]]</f>
        <v>5574261.2942721173</v>
      </c>
      <c r="AO112" s="81"/>
      <c r="AP112" s="81">
        <v>1402914.3999999987</v>
      </c>
      <c r="AQ112" s="81">
        <v>1397677.6399999992</v>
      </c>
      <c r="AR112" s="81">
        <v>1375284.8299999998</v>
      </c>
      <c r="AS112" s="81">
        <v>1386261.7499999984</v>
      </c>
      <c r="AT112" s="81">
        <v>1250571.8632276698</v>
      </c>
      <c r="AU112" s="81">
        <v>1235426.0682136698</v>
      </c>
      <c r="AV112" s="81">
        <v>1208851.7277970032</v>
      </c>
      <c r="AW112" s="81">
        <v>1221091.4455470033</v>
      </c>
      <c r="AX112" s="81">
        <v>1194419.2817703367</v>
      </c>
      <c r="AY112" s="81">
        <v>1239489.2742341459</v>
      </c>
      <c r="AZ112" s="81">
        <v>1239489.2742341459</v>
      </c>
      <c r="BA112" s="81">
        <v>1254635.0692481461</v>
      </c>
      <c r="BB112" s="81">
        <v>15406112.624272117</v>
      </c>
      <c r="BC112" s="79">
        <v>270417.52</v>
      </c>
      <c r="BD112" s="79">
        <v>276999.43</v>
      </c>
      <c r="BE112" s="79">
        <v>232520.6</v>
      </c>
      <c r="BF112" s="79">
        <v>809656.43</v>
      </c>
      <c r="BG112" s="79">
        <v>809656.43</v>
      </c>
      <c r="BH112" s="79">
        <v>809656.43</v>
      </c>
      <c r="BI112" s="79">
        <v>829249.26</v>
      </c>
      <c r="BJ112" s="79">
        <v>829249.26</v>
      </c>
      <c r="BK112" s="79">
        <v>854062.66</v>
      </c>
      <c r="BL112" s="79">
        <v>854062.66</v>
      </c>
      <c r="BM112" s="79">
        <v>854062.66</v>
      </c>
      <c r="BN112" s="79">
        <v>854062.66</v>
      </c>
      <c r="BO112" s="79">
        <v>8283656.0000000009</v>
      </c>
    </row>
    <row r="113" spans="1:67">
      <c r="A113" s="66" t="s">
        <v>2873</v>
      </c>
      <c r="B113" s="66" t="str">
        <f>_xlfn.TEXTJOIN("_",,ERP_34[[#This Row],[LT Member -1*]],ERP_34[[#This Row],[Expense Category]],ERP_34[[#This Row],[Project Code*]])</f>
        <v>DeHart, Lynn_COMPENSATION_CompSalary001</v>
      </c>
      <c r="C113" s="67" t="s">
        <v>1136</v>
      </c>
      <c r="D113" s="67" t="s">
        <v>1345</v>
      </c>
      <c r="E113" s="67" t="s">
        <v>1346</v>
      </c>
      <c r="F113" s="67" t="s">
        <v>1346</v>
      </c>
      <c r="G113" s="68" t="s">
        <v>22</v>
      </c>
      <c r="H113" s="106" t="s">
        <v>2872</v>
      </c>
      <c r="I113" s="70"/>
      <c r="J113" s="70"/>
      <c r="K113" s="70" t="s">
        <v>29</v>
      </c>
      <c r="L113" s="70" t="s">
        <v>1139</v>
      </c>
      <c r="M113" s="70"/>
      <c r="N113" s="70"/>
      <c r="O113" s="67" t="s">
        <v>25</v>
      </c>
      <c r="P113" s="150" t="s">
        <v>2874</v>
      </c>
      <c r="Q113" s="71"/>
      <c r="R113" s="72">
        <v>16484280.790000003</v>
      </c>
      <c r="S113" s="73">
        <v>21816549.886619337</v>
      </c>
      <c r="T113" s="73">
        <v>16484280.790000003</v>
      </c>
      <c r="U113" s="71">
        <f>ERP_34[[#This Row],[LE2 Final Submission]]-ERP_34[[#This Row],[LE3 Final Submission]]</f>
        <v>5332269.0966193341</v>
      </c>
      <c r="V113" s="74">
        <v>1733430.9899999991</v>
      </c>
      <c r="W113" s="75">
        <v>2659121.5100000012</v>
      </c>
      <c r="X113" s="75">
        <v>1591278.1799999983</v>
      </c>
      <c r="Y113" s="76">
        <v>2405320.04</v>
      </c>
      <c r="Z113" s="76">
        <v>657407.65222870966</v>
      </c>
      <c r="AA113" s="76">
        <v>1790825.862228709</v>
      </c>
      <c r="AB113" s="76">
        <v>1785306.7237904386</v>
      </c>
      <c r="AC113" s="76">
        <v>1781851.6968221199</v>
      </c>
      <c r="AD113" s="76">
        <v>1807055.77390462</v>
      </c>
      <c r="AE113" s="76">
        <v>1862531.492714915</v>
      </c>
      <c r="AF113" s="76">
        <v>1871209.9824649149</v>
      </c>
      <c r="AG113" s="76">
        <v>1871209.9824649149</v>
      </c>
      <c r="AH113" s="77">
        <f t="shared" si="8"/>
        <v>21816549.886619337</v>
      </c>
      <c r="AI113" s="108">
        <f>ERP_34[[#This Row],[2026 Working Total]]-ERP_34[[#This Row],[2026 LE0]]</f>
        <v>5332269.0966193341</v>
      </c>
      <c r="AJ113" s="79"/>
      <c r="AK113" s="79"/>
      <c r="AL1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3" s="80"/>
      <c r="AN113" s="79">
        <f>ERP_34[[#This Row],[2026 Working Total to Budget/LE]]-ERP_34[[#This Row],[Giveback]]</f>
        <v>5332269.0966193341</v>
      </c>
      <c r="AO113" s="81"/>
      <c r="AP113" s="81">
        <v>1733430.9899999991</v>
      </c>
      <c r="AQ113" s="81">
        <v>2659121.5100000012</v>
      </c>
      <c r="AR113" s="81">
        <v>1591278.1799999983</v>
      </c>
      <c r="AS113" s="81">
        <v>2405320.04</v>
      </c>
      <c r="AT113" s="81">
        <v>657407.65222870966</v>
      </c>
      <c r="AU113" s="81">
        <v>1790825.862228709</v>
      </c>
      <c r="AV113" s="81">
        <v>1785306.7237904386</v>
      </c>
      <c r="AW113" s="81">
        <v>1781851.6968221199</v>
      </c>
      <c r="AX113" s="81">
        <v>1807055.77390462</v>
      </c>
      <c r="AY113" s="81">
        <v>1862531.492714915</v>
      </c>
      <c r="AZ113" s="81">
        <v>1871209.9824649149</v>
      </c>
      <c r="BA113" s="81">
        <v>1871209.9824649149</v>
      </c>
      <c r="BB113" s="81">
        <v>21816549.886619337</v>
      </c>
      <c r="BC113" s="79">
        <v>1086387.3400000001</v>
      </c>
      <c r="BD113" s="79">
        <v>1551142.73</v>
      </c>
      <c r="BE113" s="79">
        <v>857806.14</v>
      </c>
      <c r="BF113" s="79">
        <v>1328752.27</v>
      </c>
      <c r="BG113" s="79">
        <v>1328097.83</v>
      </c>
      <c r="BH113" s="79">
        <v>1371182.86</v>
      </c>
      <c r="BI113" s="79">
        <v>1392643.5</v>
      </c>
      <c r="BJ113" s="79">
        <v>1403661.35</v>
      </c>
      <c r="BK113" s="79">
        <v>1403661.35</v>
      </c>
      <c r="BL113" s="79">
        <v>1403661.35</v>
      </c>
      <c r="BM113" s="79">
        <v>1409426</v>
      </c>
      <c r="BN113" s="79">
        <v>1409426</v>
      </c>
      <c r="BO113" s="79">
        <v>15945848.720000001</v>
      </c>
    </row>
    <row r="114" spans="1:67">
      <c r="A114" s="66" t="s">
        <v>2871</v>
      </c>
      <c r="B114" s="66" t="str">
        <f>_xlfn.TEXTJOIN("_",,ERP_34[[#This Row],[LT Member -1*]],ERP_34[[#This Row],[Expense Category]],ERP_34[[#This Row],[Project Code*]])</f>
        <v>Ganesan, Srinivasan_COMPENSATION_CompSalary001</v>
      </c>
      <c r="C114" s="67" t="s">
        <v>1136</v>
      </c>
      <c r="D114" s="67" t="s">
        <v>1345</v>
      </c>
      <c r="E114" s="67" t="s">
        <v>1344</v>
      </c>
      <c r="F114" s="67" t="s">
        <v>1346</v>
      </c>
      <c r="G114" s="68" t="s">
        <v>22</v>
      </c>
      <c r="H114" s="106" t="s">
        <v>2872</v>
      </c>
      <c r="I114" s="70"/>
      <c r="J114" s="70"/>
      <c r="K114" s="70" t="s">
        <v>29</v>
      </c>
      <c r="L114" s="70" t="s">
        <v>1139</v>
      </c>
      <c r="M114" s="70"/>
      <c r="N114" s="70"/>
      <c r="O114" s="67" t="s">
        <v>25</v>
      </c>
      <c r="P114" s="67"/>
      <c r="Q114" s="71"/>
      <c r="R114" s="72">
        <v>0</v>
      </c>
      <c r="S114" s="73">
        <v>0</v>
      </c>
      <c r="T114" s="73">
        <v>0</v>
      </c>
      <c r="U114" s="71">
        <f>ERP_34[[#This Row],[LE2 Final Submission]]-ERP_34[[#This Row],[LE3 Final Submission]]</f>
        <v>0</v>
      </c>
      <c r="V114" s="74"/>
      <c r="W114" s="75"/>
      <c r="X114" s="75"/>
      <c r="Y114" s="109">
        <v>0</v>
      </c>
      <c r="Z114" s="109">
        <v>0</v>
      </c>
      <c r="AA114" s="109">
        <v>0</v>
      </c>
      <c r="AB114" s="109">
        <v>0</v>
      </c>
      <c r="AC114" s="109">
        <v>0</v>
      </c>
      <c r="AD114" s="109">
        <v>0</v>
      </c>
      <c r="AE114" s="109">
        <v>0</v>
      </c>
      <c r="AF114" s="109">
        <v>0</v>
      </c>
      <c r="AG114" s="109">
        <v>0</v>
      </c>
      <c r="AH114" s="77">
        <f t="shared" si="8"/>
        <v>0</v>
      </c>
      <c r="AI114" s="108">
        <f>ERP_34[[#This Row],[2026 Working Total]]-ERP_34[[#This Row],[2026 LE0]]</f>
        <v>0</v>
      </c>
      <c r="AJ114" s="79"/>
      <c r="AK114" s="79"/>
      <c r="AL1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4" s="80"/>
      <c r="AN114" s="79">
        <f>ERP_34[[#This Row],[2026 Working Total to Budget/LE]]-ERP_34[[#This Row],[Giveback]]</f>
        <v>0</v>
      </c>
      <c r="AO114" s="81"/>
      <c r="AP114" s="81"/>
      <c r="AQ114" s="81"/>
      <c r="AR114" s="81"/>
      <c r="AS114" s="81">
        <v>0</v>
      </c>
      <c r="AT114" s="81">
        <v>0</v>
      </c>
      <c r="AU114" s="81">
        <v>0</v>
      </c>
      <c r="AV114" s="81">
        <v>0</v>
      </c>
      <c r="AW114" s="81">
        <v>0</v>
      </c>
      <c r="AX114" s="81">
        <v>0</v>
      </c>
      <c r="AY114" s="81">
        <v>0</v>
      </c>
      <c r="AZ114" s="81">
        <v>0</v>
      </c>
      <c r="BA114" s="81">
        <v>0</v>
      </c>
      <c r="BB114" s="81">
        <v>0</v>
      </c>
      <c r="BC114" s="79">
        <v>6685.48</v>
      </c>
      <c r="BD114" s="79">
        <v>-19872.71</v>
      </c>
      <c r="BE114" s="79">
        <v>7440.92</v>
      </c>
      <c r="BF114" s="79">
        <v>0</v>
      </c>
      <c r="BG114" s="79">
        <v>0</v>
      </c>
      <c r="BH114" s="79">
        <v>0</v>
      </c>
      <c r="BI114" s="79">
        <v>0</v>
      </c>
      <c r="BJ114" s="79">
        <v>0</v>
      </c>
      <c r="BK114" s="79">
        <v>0</v>
      </c>
      <c r="BL114" s="79">
        <v>0</v>
      </c>
      <c r="BM114" s="79">
        <v>0</v>
      </c>
      <c r="BN114" s="79">
        <v>0</v>
      </c>
      <c r="BO114" s="79">
        <v>-5746.3099999999995</v>
      </c>
    </row>
    <row r="115" spans="1:67">
      <c r="A115" s="66" t="s">
        <v>2877</v>
      </c>
      <c r="B115" s="66" t="str">
        <f>_xlfn.TEXTJOIN("_",,ERP_34[[#This Row],[LT Member -1*]],ERP_34[[#This Row],[Expense Category]],ERP_34[[#This Row],[Project Code*]])</f>
        <v>Jajodia, Amit_COMPENSATION_CompSalary001</v>
      </c>
      <c r="C115" s="67" t="s">
        <v>1136</v>
      </c>
      <c r="D115" s="67" t="s">
        <v>1345</v>
      </c>
      <c r="E115" s="67" t="s">
        <v>1515</v>
      </c>
      <c r="F115" s="67" t="s">
        <v>1346</v>
      </c>
      <c r="G115" s="68" t="s">
        <v>22</v>
      </c>
      <c r="H115" s="106" t="s">
        <v>2872</v>
      </c>
      <c r="I115" s="70"/>
      <c r="J115" s="70"/>
      <c r="K115" s="70" t="s">
        <v>29</v>
      </c>
      <c r="L115" s="70" t="s">
        <v>1139</v>
      </c>
      <c r="M115" s="70"/>
      <c r="N115" s="70"/>
      <c r="O115" s="67" t="s">
        <v>25</v>
      </c>
      <c r="P115" s="67"/>
      <c r="Q115" s="71"/>
      <c r="R115" s="72">
        <v>0</v>
      </c>
      <c r="S115" s="73">
        <v>0</v>
      </c>
      <c r="T115" s="73">
        <v>0</v>
      </c>
      <c r="U115" s="71">
        <f>ERP_34[[#This Row],[LE2 Final Submission]]-ERP_34[[#This Row],[LE3 Final Submission]]</f>
        <v>0</v>
      </c>
      <c r="V115" s="74"/>
      <c r="W115" s="75"/>
      <c r="X115" s="75"/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77">
        <f t="shared" si="8"/>
        <v>0</v>
      </c>
      <c r="AI115" s="108">
        <f>ERP_34[[#This Row],[2026 Working Total]]-ERP_34[[#This Row],[2026 LE0]]</f>
        <v>0</v>
      </c>
      <c r="AJ115" s="79"/>
      <c r="AK115" s="79"/>
      <c r="AL1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5" s="80"/>
      <c r="AN115" s="79">
        <f>ERP_34[[#This Row],[2026 Working Total to Budget/LE]]-ERP_34[[#This Row],[Giveback]]</f>
        <v>0</v>
      </c>
      <c r="AO115" s="81"/>
      <c r="AP115" s="81"/>
      <c r="AQ115" s="81"/>
      <c r="AR115" s="81"/>
      <c r="AS115" s="81">
        <v>0</v>
      </c>
      <c r="AT115" s="81">
        <v>0</v>
      </c>
      <c r="AU115" s="81">
        <v>0</v>
      </c>
      <c r="AV115" s="81">
        <v>0</v>
      </c>
      <c r="AW115" s="81">
        <v>0</v>
      </c>
      <c r="AX115" s="81">
        <v>0</v>
      </c>
      <c r="AY115" s="81">
        <v>0</v>
      </c>
      <c r="AZ115" s="81">
        <v>0</v>
      </c>
      <c r="BA115" s="81">
        <v>0</v>
      </c>
      <c r="BB115" s="81">
        <v>0</v>
      </c>
      <c r="BC115" s="79">
        <v>9779.9</v>
      </c>
      <c r="BD115" s="79">
        <v>9779.8799999999992</v>
      </c>
      <c r="BE115" s="79">
        <v>9779.8799999999992</v>
      </c>
      <c r="BF115" s="79">
        <v>0</v>
      </c>
      <c r="BG115" s="79">
        <v>0</v>
      </c>
      <c r="BH115" s="79">
        <v>0</v>
      </c>
      <c r="BI115" s="79">
        <v>0</v>
      </c>
      <c r="BJ115" s="79">
        <v>0</v>
      </c>
      <c r="BK115" s="79">
        <v>0</v>
      </c>
      <c r="BL115" s="79">
        <v>0</v>
      </c>
      <c r="BM115" s="79">
        <v>0</v>
      </c>
      <c r="BN115" s="79">
        <v>0</v>
      </c>
      <c r="BO115" s="79">
        <v>29339.659999999996</v>
      </c>
    </row>
    <row r="116" spans="1:67">
      <c r="A116" s="66" t="s">
        <v>2890</v>
      </c>
      <c r="B116" s="66" t="str">
        <f>_xlfn.TEXTJOIN("_",,ERP_34[[#This Row],[LT Member -1*]],ERP_34[[#This Row],[Expense Category]],ERP_34[[#This Row],[Project Code*]])</f>
        <v>McGettigan, David_COMPENSATION_CompSalary001</v>
      </c>
      <c r="C116" s="67" t="s">
        <v>1136</v>
      </c>
      <c r="D116" s="67" t="s">
        <v>1567</v>
      </c>
      <c r="E116" s="67" t="s">
        <v>1567</v>
      </c>
      <c r="F116" s="67" t="s">
        <v>1567</v>
      </c>
      <c r="G116" s="68" t="s">
        <v>22</v>
      </c>
      <c r="H116" s="106" t="s">
        <v>2872</v>
      </c>
      <c r="I116" s="70"/>
      <c r="J116" s="70"/>
      <c r="K116" s="70" t="s">
        <v>29</v>
      </c>
      <c r="L116" s="70" t="s">
        <v>1139</v>
      </c>
      <c r="M116" s="70"/>
      <c r="N116" s="70"/>
      <c r="O116" s="67" t="s">
        <v>25</v>
      </c>
      <c r="P116" s="150" t="s">
        <v>2892</v>
      </c>
      <c r="Q116" s="71"/>
      <c r="R116" s="72">
        <v>794938.1799999997</v>
      </c>
      <c r="S116" s="73">
        <v>806177.41999999993</v>
      </c>
      <c r="T116" s="73">
        <v>794938.1799999997</v>
      </c>
      <c r="U116" s="71">
        <f>ERP_34[[#This Row],[LE2 Final Submission]]-ERP_34[[#This Row],[LE3 Final Submission]]</f>
        <v>11239.240000000224</v>
      </c>
      <c r="V116" s="74">
        <v>358290.86</v>
      </c>
      <c r="W116" s="75">
        <v>-25689.760000000002</v>
      </c>
      <c r="X116" s="75">
        <v>41090.669999999984</v>
      </c>
      <c r="Y116" s="76">
        <v>85849.400000000009</v>
      </c>
      <c r="Z116" s="76">
        <v>-40000</v>
      </c>
      <c r="AA116" s="76">
        <v>55233.75</v>
      </c>
      <c r="AB116" s="76">
        <v>55233.75</v>
      </c>
      <c r="AC116" s="76">
        <v>55233.75</v>
      </c>
      <c r="AD116" s="76">
        <v>55233.75</v>
      </c>
      <c r="AE116" s="76">
        <v>55233.75</v>
      </c>
      <c r="AF116" s="76">
        <v>55233.75</v>
      </c>
      <c r="AG116" s="76">
        <v>55233.75</v>
      </c>
      <c r="AH116" s="77">
        <f t="shared" si="8"/>
        <v>806177.41999999993</v>
      </c>
      <c r="AI116" s="108">
        <f>ERP_34[[#This Row],[2026 Working Total]]-ERP_34[[#This Row],[2026 LE0]]</f>
        <v>11239.240000000224</v>
      </c>
      <c r="AJ116" s="79"/>
      <c r="AK116" s="79"/>
      <c r="AL1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6" s="80"/>
      <c r="AN116" s="79">
        <f>ERP_34[[#This Row],[2026 Working Total to Budget/LE]]-ERP_34[[#This Row],[Giveback]]</f>
        <v>11239.240000000224</v>
      </c>
      <c r="AO116" s="81"/>
      <c r="AP116" s="81">
        <v>358290.86</v>
      </c>
      <c r="AQ116" s="81">
        <v>-25689.760000000002</v>
      </c>
      <c r="AR116" s="81">
        <v>41090.669999999984</v>
      </c>
      <c r="AS116" s="81">
        <v>85849.400000000009</v>
      </c>
      <c r="AT116" s="81">
        <v>-40000</v>
      </c>
      <c r="AU116" s="81">
        <v>55233.75</v>
      </c>
      <c r="AV116" s="81">
        <v>55233.75</v>
      </c>
      <c r="AW116" s="81">
        <v>55233.75</v>
      </c>
      <c r="AX116" s="81">
        <v>55233.75</v>
      </c>
      <c r="AY116" s="81">
        <v>55233.75</v>
      </c>
      <c r="AZ116" s="81">
        <v>55233.75</v>
      </c>
      <c r="BA116" s="81">
        <v>55233.75</v>
      </c>
      <c r="BB116" s="81">
        <v>806177.41999999993</v>
      </c>
      <c r="BC116" s="79">
        <v>214497.38</v>
      </c>
      <c r="BD116" s="79">
        <v>-47930</v>
      </c>
      <c r="BE116" s="79">
        <v>-59863</v>
      </c>
      <c r="BF116" s="79">
        <v>49611.67</v>
      </c>
      <c r="BG116" s="79">
        <v>81799.17</v>
      </c>
      <c r="BH116" s="79">
        <v>79239.77</v>
      </c>
      <c r="BI116" s="79">
        <v>53645.83</v>
      </c>
      <c r="BJ116" s="79">
        <v>53645.83</v>
      </c>
      <c r="BK116" s="79">
        <v>53645.83</v>
      </c>
      <c r="BL116" s="79">
        <v>53645.83</v>
      </c>
      <c r="BM116" s="79">
        <v>53645.83</v>
      </c>
      <c r="BN116" s="79">
        <v>53645.83</v>
      </c>
      <c r="BO116" s="79">
        <v>639229.97</v>
      </c>
    </row>
    <row r="117" spans="1:67">
      <c r="A117" s="66" t="s">
        <v>2898</v>
      </c>
      <c r="B117" s="66" t="str">
        <f>_xlfn.TEXTJOIN("_",,ERP_34[[#This Row],[LT Member -1*]],ERP_34[[#This Row],[Expense Category]],ERP_34[[#This Row],[Project Code*]])</f>
        <v>Robertson, Jerome_COMPENSATION_CompSalary001</v>
      </c>
      <c r="C117" s="67" t="s">
        <v>1136</v>
      </c>
      <c r="D117" s="67" t="s">
        <v>1650</v>
      </c>
      <c r="E117" s="67" t="s">
        <v>1650</v>
      </c>
      <c r="F117" s="67" t="s">
        <v>1650</v>
      </c>
      <c r="G117" s="68" t="s">
        <v>22</v>
      </c>
      <c r="H117" s="106" t="s">
        <v>2872</v>
      </c>
      <c r="I117" s="70"/>
      <c r="J117" s="70"/>
      <c r="K117" s="70" t="s">
        <v>29</v>
      </c>
      <c r="L117" s="70" t="s">
        <v>1139</v>
      </c>
      <c r="M117" s="70"/>
      <c r="N117" s="70"/>
      <c r="O117" s="67" t="s">
        <v>25</v>
      </c>
      <c r="P117" s="67"/>
      <c r="Q117" s="71"/>
      <c r="R117" s="72">
        <v>2029390.9400000004</v>
      </c>
      <c r="S117" s="73">
        <v>3060870.8486933634</v>
      </c>
      <c r="T117" s="73">
        <v>2029390.9400000004</v>
      </c>
      <c r="U117" s="71">
        <f>ERP_34[[#This Row],[LE2 Final Submission]]-ERP_34[[#This Row],[LE3 Final Submission]]</f>
        <v>1031479.908693363</v>
      </c>
      <c r="V117" s="74">
        <v>238474.06999999998</v>
      </c>
      <c r="W117" s="75">
        <v>255306.30000000005</v>
      </c>
      <c r="X117" s="75">
        <v>190399.43</v>
      </c>
      <c r="Y117" s="76">
        <v>293204.89</v>
      </c>
      <c r="Z117" s="76">
        <v>239240.83906981352</v>
      </c>
      <c r="AA117" s="76">
        <v>239240.83906981352</v>
      </c>
      <c r="AB117" s="76">
        <v>239240.83906981352</v>
      </c>
      <c r="AC117" s="76">
        <v>265188.32548648014</v>
      </c>
      <c r="AD117" s="76">
        <v>265188.32548648014</v>
      </c>
      <c r="AE117" s="76">
        <v>278462.33017032093</v>
      </c>
      <c r="AF117" s="76">
        <v>278462.33017032093</v>
      </c>
      <c r="AG117" s="76">
        <v>278462.33017032093</v>
      </c>
      <c r="AH117" s="77">
        <f t="shared" si="8"/>
        <v>3060870.8486933634</v>
      </c>
      <c r="AI117" s="108">
        <f>ERP_34[[#This Row],[2026 Working Total]]-ERP_34[[#This Row],[2026 LE0]]</f>
        <v>1031479.908693363</v>
      </c>
      <c r="AJ117" s="79"/>
      <c r="AK117" s="79"/>
      <c r="AL1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7" s="80"/>
      <c r="AN117" s="79">
        <f>ERP_34[[#This Row],[2026 Working Total to Budget/LE]]-ERP_34[[#This Row],[Giveback]]</f>
        <v>1031479.908693363</v>
      </c>
      <c r="AO117" s="81"/>
      <c r="AP117" s="81">
        <v>238474.06999999998</v>
      </c>
      <c r="AQ117" s="81">
        <v>255306.30000000005</v>
      </c>
      <c r="AR117" s="81">
        <v>190399.43</v>
      </c>
      <c r="AS117" s="81">
        <v>293204.89</v>
      </c>
      <c r="AT117" s="81">
        <v>239240.83906981352</v>
      </c>
      <c r="AU117" s="81">
        <v>239240.83906981352</v>
      </c>
      <c r="AV117" s="81">
        <v>239240.83906981352</v>
      </c>
      <c r="AW117" s="81">
        <v>265188.32548648014</v>
      </c>
      <c r="AX117" s="81">
        <v>265188.32548648014</v>
      </c>
      <c r="AY117" s="81">
        <v>278462.33017032093</v>
      </c>
      <c r="AZ117" s="81">
        <v>278462.33017032093</v>
      </c>
      <c r="BA117" s="81">
        <v>278462.33017032093</v>
      </c>
      <c r="BB117" s="81">
        <v>3060870.8486933634</v>
      </c>
      <c r="BC117" s="79">
        <v>150107.01</v>
      </c>
      <c r="BD117" s="79">
        <v>161151.91</v>
      </c>
      <c r="BE117" s="79">
        <v>86856.18</v>
      </c>
      <c r="BF117" s="79">
        <v>173603.4</v>
      </c>
      <c r="BG117" s="79">
        <v>155785.32</v>
      </c>
      <c r="BH117" s="79">
        <v>155785.32</v>
      </c>
      <c r="BI117" s="79">
        <v>155785.32</v>
      </c>
      <c r="BJ117" s="79">
        <v>180905.4</v>
      </c>
      <c r="BK117" s="79">
        <v>182227.08</v>
      </c>
      <c r="BL117" s="79">
        <v>182227.08</v>
      </c>
      <c r="BM117" s="79">
        <v>182227.08</v>
      </c>
      <c r="BN117" s="79">
        <v>182227.08</v>
      </c>
      <c r="BO117" s="79">
        <v>1948888.1800000004</v>
      </c>
    </row>
    <row r="118" spans="1:67">
      <c r="A118" s="66" t="s">
        <v>1146</v>
      </c>
      <c r="B118" s="66" t="str">
        <f>_xlfn.TEXTJOIN("_",,ERP_34[[#This Row],[LT Member -1*]],ERP_34[[#This Row],[Expense Category]],ERP_34[[#This Row],[Project Code*]])</f>
        <v>Dougherty, Chris_CONTRACTORS_EnhanceChargeout001</v>
      </c>
      <c r="C118" s="67" t="s">
        <v>1136</v>
      </c>
      <c r="D118" s="67" t="s">
        <v>1135</v>
      </c>
      <c r="E118" s="67" t="s">
        <v>1135</v>
      </c>
      <c r="F118" s="67" t="s">
        <v>1137</v>
      </c>
      <c r="G118" s="68" t="s">
        <v>49</v>
      </c>
      <c r="H118" s="106" t="s">
        <v>1147</v>
      </c>
      <c r="I118" s="70"/>
      <c r="J118" s="70"/>
      <c r="K118" s="70" t="s">
        <v>53</v>
      </c>
      <c r="L118" s="70" t="s">
        <v>1149</v>
      </c>
      <c r="M118" s="70"/>
      <c r="N118" s="70"/>
      <c r="O118" s="67" t="s">
        <v>25</v>
      </c>
      <c r="P118" s="67"/>
      <c r="Q118" s="71"/>
      <c r="R118" s="72">
        <v>0</v>
      </c>
      <c r="S118" s="73">
        <v>-51577</v>
      </c>
      <c r="T118" s="73">
        <v>0</v>
      </c>
      <c r="U118" s="71">
        <f>ERP_34[[#This Row],[LE2 Final Submission]]-ERP_34[[#This Row],[LE3 Final Submission]]</f>
        <v>-51577</v>
      </c>
      <c r="V118" s="74">
        <v>44340</v>
      </c>
      <c r="W118" s="75">
        <v>-23011</v>
      </c>
      <c r="X118" s="75">
        <v>-72906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0</v>
      </c>
      <c r="AF118" s="109">
        <v>0</v>
      </c>
      <c r="AG118" s="109">
        <v>0</v>
      </c>
      <c r="AH118" s="77">
        <f t="shared" si="8"/>
        <v>-51577</v>
      </c>
      <c r="AI118" s="108">
        <f>ERP_34[[#This Row],[2026 Working Total]]-ERP_34[[#This Row],[2026 LE0]]</f>
        <v>-51577</v>
      </c>
      <c r="AJ118" s="79"/>
      <c r="AK118" s="79"/>
      <c r="AL1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8" s="80"/>
      <c r="AN118" s="79">
        <f>ERP_34[[#This Row],[2026 Working Total to Budget/LE]]-ERP_34[[#This Row],[Giveback]]</f>
        <v>-51577</v>
      </c>
      <c r="AO118" s="81"/>
      <c r="AP118" s="81">
        <v>44340</v>
      </c>
      <c r="AQ118" s="81">
        <v>-23011</v>
      </c>
      <c r="AR118" s="81">
        <v>-72906</v>
      </c>
      <c r="AS118" s="81">
        <v>0</v>
      </c>
      <c r="AT118" s="81">
        <v>0</v>
      </c>
      <c r="AU118" s="81">
        <v>0</v>
      </c>
      <c r="AV118" s="81">
        <v>0</v>
      </c>
      <c r="AW118" s="81">
        <v>0</v>
      </c>
      <c r="AX118" s="81">
        <v>0</v>
      </c>
      <c r="AY118" s="81">
        <v>0</v>
      </c>
      <c r="AZ118" s="81">
        <v>0</v>
      </c>
      <c r="BA118" s="81">
        <v>0</v>
      </c>
      <c r="BB118" s="81">
        <v>-51577</v>
      </c>
      <c r="BC118" s="79">
        <v>44340</v>
      </c>
      <c r="BD118" s="79">
        <v>-23011</v>
      </c>
      <c r="BE118" s="79">
        <v>-72906</v>
      </c>
      <c r="BF118" s="79">
        <v>0</v>
      </c>
      <c r="BG118" s="79">
        <v>0</v>
      </c>
      <c r="BH118" s="79">
        <v>0</v>
      </c>
      <c r="BI118" s="79">
        <v>0</v>
      </c>
      <c r="BJ118" s="79">
        <v>0</v>
      </c>
      <c r="BK118" s="79">
        <v>0</v>
      </c>
      <c r="BL118" s="79">
        <v>0</v>
      </c>
      <c r="BM118" s="79">
        <v>0</v>
      </c>
      <c r="BN118" s="79">
        <v>0</v>
      </c>
      <c r="BO118" s="79">
        <v>-51577</v>
      </c>
    </row>
    <row r="119" spans="1:67">
      <c r="A119" s="66" t="s">
        <v>1150</v>
      </c>
      <c r="B119" s="66" t="str">
        <f>_xlfn.TEXTJOIN("_",,ERP_34[[#This Row],[LT Member -1*]],ERP_34[[#This Row],[Expense Category]],ERP_34[[#This Row],[Project Code*]])</f>
        <v>McCormick, Pete_CONTRACTORS_EnhanceChargeout001</v>
      </c>
      <c r="C119" s="67" t="s">
        <v>1136</v>
      </c>
      <c r="D119" s="67" t="s">
        <v>1135</v>
      </c>
      <c r="E119" s="67" t="s">
        <v>1145</v>
      </c>
      <c r="F119" s="67" t="s">
        <v>1137</v>
      </c>
      <c r="G119" s="68" t="s">
        <v>49</v>
      </c>
      <c r="H119" s="106" t="s">
        <v>1147</v>
      </c>
      <c r="I119" s="70"/>
      <c r="J119" s="70"/>
      <c r="K119" s="70" t="s">
        <v>53</v>
      </c>
      <c r="L119" s="70" t="s">
        <v>1153</v>
      </c>
      <c r="M119" s="70"/>
      <c r="N119" s="70"/>
      <c r="O119" s="67" t="s">
        <v>25</v>
      </c>
      <c r="P119" s="67"/>
      <c r="Q119" s="71"/>
      <c r="R119" s="72">
        <v>-694940</v>
      </c>
      <c r="S119" s="73">
        <v>-587120.73</v>
      </c>
      <c r="T119" s="73">
        <v>-694940</v>
      </c>
      <c r="U119" s="71">
        <f>ERP_34[[#This Row],[LE2 Final Submission]]-ERP_34[[#This Row],[LE3 Final Submission]]</f>
        <v>107819.27000000002</v>
      </c>
      <c r="V119" s="74"/>
      <c r="W119" s="75">
        <v>-20640.86</v>
      </c>
      <c r="X119" s="75">
        <v>-10639.87</v>
      </c>
      <c r="Y119" s="76">
        <v>-55600</v>
      </c>
      <c r="Z119" s="76">
        <v>-6440</v>
      </c>
      <c r="AA119" s="76">
        <v>-43800</v>
      </c>
      <c r="AB119" s="76">
        <v>-75000</v>
      </c>
      <c r="AC119" s="76">
        <v>-75000</v>
      </c>
      <c r="AD119" s="76">
        <v>-75000</v>
      </c>
      <c r="AE119" s="76">
        <v>-75000</v>
      </c>
      <c r="AF119" s="76">
        <v>-75000</v>
      </c>
      <c r="AG119" s="76">
        <v>-75000</v>
      </c>
      <c r="AH119" s="77">
        <f t="shared" si="8"/>
        <v>-587120.73</v>
      </c>
      <c r="AI119" s="108">
        <f>ERP_34[[#This Row],[2026 Working Total]]-ERP_34[[#This Row],[2026 LE0]]</f>
        <v>107819.27000000002</v>
      </c>
      <c r="AJ119" s="79"/>
      <c r="AK119" s="79"/>
      <c r="AL1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19" s="80"/>
      <c r="AN119" s="79">
        <f>ERP_34[[#This Row],[2026 Working Total to Budget/LE]]-ERP_34[[#This Row],[Giveback]]</f>
        <v>107819.27000000002</v>
      </c>
      <c r="AO119" s="81"/>
      <c r="AP119" s="81"/>
      <c r="AQ119" s="81">
        <v>-20640.86</v>
      </c>
      <c r="AR119" s="81">
        <v>-10639.87</v>
      </c>
      <c r="AS119" s="81">
        <v>-55600</v>
      </c>
      <c r="AT119" s="81">
        <v>-6440</v>
      </c>
      <c r="AU119" s="81">
        <v>-43800</v>
      </c>
      <c r="AV119" s="81">
        <v>-75000</v>
      </c>
      <c r="AW119" s="81">
        <v>-75000</v>
      </c>
      <c r="AX119" s="81">
        <v>-75000</v>
      </c>
      <c r="AY119" s="81">
        <v>-75000</v>
      </c>
      <c r="AZ119" s="81">
        <v>-75000</v>
      </c>
      <c r="BA119" s="81">
        <v>-75000</v>
      </c>
      <c r="BB119" s="81">
        <v>-587120.73</v>
      </c>
      <c r="BC119" s="79"/>
      <c r="BD119" s="79">
        <v>-20640.86</v>
      </c>
      <c r="BE119" s="79">
        <v>-10639.87</v>
      </c>
      <c r="BF119" s="79">
        <v>-54600</v>
      </c>
      <c r="BG119" s="79">
        <v>-50000</v>
      </c>
      <c r="BH119" s="79">
        <v>-33840</v>
      </c>
      <c r="BI119" s="79">
        <v>-75000</v>
      </c>
      <c r="BJ119" s="79">
        <v>-75000</v>
      </c>
      <c r="BK119" s="79">
        <v>-75000</v>
      </c>
      <c r="BL119" s="79">
        <v>-75000</v>
      </c>
      <c r="BM119" s="79">
        <v>-75000</v>
      </c>
      <c r="BN119" s="79">
        <v>-75000</v>
      </c>
      <c r="BO119" s="79">
        <v>-619720.73</v>
      </c>
    </row>
    <row r="120" spans="1:67">
      <c r="A120" s="66" t="s">
        <v>1154</v>
      </c>
      <c r="B120" s="66" t="str">
        <f>_xlfn.TEXTJOIN("_",,ERP_34[[#This Row],[LT Member -1*]],ERP_34[[#This Row],[Expense Category]],ERP_34[[#This Row],[Project Code*]])</f>
        <v>Meadows, Leslie_CONTRACTORS_EnhanceChargeout001</v>
      </c>
      <c r="C120" s="67" t="s">
        <v>1136</v>
      </c>
      <c r="D120" s="67" t="s">
        <v>1135</v>
      </c>
      <c r="E120" s="67" t="s">
        <v>1156</v>
      </c>
      <c r="F120" s="67" t="s">
        <v>1137</v>
      </c>
      <c r="G120" s="68" t="s">
        <v>49</v>
      </c>
      <c r="H120" s="106" t="s">
        <v>1147</v>
      </c>
      <c r="I120" s="70"/>
      <c r="J120" s="70"/>
      <c r="K120" s="114" t="s">
        <v>53</v>
      </c>
      <c r="L120" s="70" t="s">
        <v>1153</v>
      </c>
      <c r="M120" s="70"/>
      <c r="N120" s="70"/>
      <c r="O120" s="67" t="s">
        <v>25</v>
      </c>
      <c r="P120" s="67"/>
      <c r="Q120" s="71"/>
      <c r="R120" s="72">
        <v>0</v>
      </c>
      <c r="S120" s="73">
        <v>-1440</v>
      </c>
      <c r="T120" s="73">
        <v>0</v>
      </c>
      <c r="U120" s="71">
        <f>ERP_34[[#This Row],[LE2 Final Submission]]-ERP_34[[#This Row],[LE3 Final Submission]]</f>
        <v>-1440</v>
      </c>
      <c r="V120" s="74"/>
      <c r="W120" s="75">
        <v>-1440</v>
      </c>
      <c r="X120" s="124">
        <v>0</v>
      </c>
      <c r="Y120" s="109">
        <v>0</v>
      </c>
      <c r="Z120" s="109">
        <v>0</v>
      </c>
      <c r="AA120" s="109">
        <v>0</v>
      </c>
      <c r="AB120" s="109">
        <v>0</v>
      </c>
      <c r="AC120" s="109">
        <v>0</v>
      </c>
      <c r="AD120" s="109">
        <v>0</v>
      </c>
      <c r="AE120" s="109">
        <v>0</v>
      </c>
      <c r="AF120" s="109">
        <v>0</v>
      </c>
      <c r="AG120" s="109">
        <v>0</v>
      </c>
      <c r="AH120" s="77">
        <f t="shared" si="8"/>
        <v>-1440</v>
      </c>
      <c r="AI120" s="108">
        <f>ERP_34[[#This Row],[2026 Working Total]]-ERP_34[[#This Row],[2026 LE0]]</f>
        <v>-1440</v>
      </c>
      <c r="AJ120" s="79"/>
      <c r="AK120" s="79"/>
      <c r="AL1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0" s="80"/>
      <c r="AN120" s="79">
        <f>ERP_34[[#This Row],[2026 Working Total to Budget/LE]]-ERP_34[[#This Row],[Giveback]]</f>
        <v>-1440</v>
      </c>
      <c r="AO120" s="81"/>
      <c r="AP120" s="81"/>
      <c r="AQ120" s="81">
        <v>-1440</v>
      </c>
      <c r="AR120" s="81">
        <v>0</v>
      </c>
      <c r="AS120" s="81">
        <v>0</v>
      </c>
      <c r="AT120" s="81">
        <v>0</v>
      </c>
      <c r="AU120" s="81">
        <v>0</v>
      </c>
      <c r="AV120" s="81">
        <v>0</v>
      </c>
      <c r="AW120" s="81">
        <v>0</v>
      </c>
      <c r="AX120" s="81">
        <v>0</v>
      </c>
      <c r="AY120" s="81">
        <v>0</v>
      </c>
      <c r="AZ120" s="81">
        <v>0</v>
      </c>
      <c r="BA120" s="81">
        <v>0</v>
      </c>
      <c r="BB120" s="81">
        <v>-1440</v>
      </c>
      <c r="BC120" s="79"/>
      <c r="BD120" s="79">
        <v>-1440</v>
      </c>
      <c r="BE120" s="79">
        <v>0</v>
      </c>
      <c r="BF120" s="79">
        <v>0</v>
      </c>
      <c r="BG120" s="79">
        <v>0</v>
      </c>
      <c r="BH120" s="79">
        <v>0</v>
      </c>
      <c r="BI120" s="79">
        <v>0</v>
      </c>
      <c r="BJ120" s="79">
        <v>0</v>
      </c>
      <c r="BK120" s="79">
        <v>0</v>
      </c>
      <c r="BL120" s="79">
        <v>0</v>
      </c>
      <c r="BM120" s="79">
        <v>0</v>
      </c>
      <c r="BN120" s="79">
        <v>0</v>
      </c>
      <c r="BO120" s="79">
        <v>-1440</v>
      </c>
    </row>
    <row r="121" spans="1:67">
      <c r="A121" s="66" t="s">
        <v>1159</v>
      </c>
      <c r="B121" s="66" t="str">
        <f>_xlfn.TEXTJOIN("_",,ERP_34[[#This Row],[LT Member -1*]],ERP_34[[#This Row],[Expense Category]],ERP_34[[#This Row],[Project Code*]])</f>
        <v>Patel, Nikunj Rohitkumar_CONTRACTORS_EnhanceChargeout001</v>
      </c>
      <c r="C121" s="67" t="s">
        <v>1136</v>
      </c>
      <c r="D121" s="67" t="s">
        <v>1135</v>
      </c>
      <c r="E121" s="67" t="s">
        <v>1161</v>
      </c>
      <c r="F121" s="67" t="s">
        <v>1137</v>
      </c>
      <c r="G121" s="68" t="s">
        <v>49</v>
      </c>
      <c r="H121" s="106" t="s">
        <v>1147</v>
      </c>
      <c r="I121" s="70"/>
      <c r="J121" s="70"/>
      <c r="K121" s="70" t="s">
        <v>53</v>
      </c>
      <c r="L121" s="70" t="s">
        <v>1153</v>
      </c>
      <c r="M121" s="70"/>
      <c r="N121" s="70"/>
      <c r="O121" s="67" t="s">
        <v>25</v>
      </c>
      <c r="P121" s="67"/>
      <c r="Q121" s="71"/>
      <c r="R121" s="72">
        <v>0</v>
      </c>
      <c r="S121" s="73">
        <v>-68766</v>
      </c>
      <c r="T121" s="73">
        <v>0</v>
      </c>
      <c r="U121" s="71">
        <f>ERP_34[[#This Row],[LE2 Final Submission]]-ERP_34[[#This Row],[LE3 Final Submission]]</f>
        <v>-68766</v>
      </c>
      <c r="V121" s="74"/>
      <c r="W121" s="75">
        <v>-57216</v>
      </c>
      <c r="X121" s="75">
        <v>-11550</v>
      </c>
      <c r="Y121" s="109">
        <v>0</v>
      </c>
      <c r="Z121" s="109">
        <v>0</v>
      </c>
      <c r="AA121" s="109">
        <v>0</v>
      </c>
      <c r="AB121" s="109">
        <v>0</v>
      </c>
      <c r="AC121" s="109">
        <v>0</v>
      </c>
      <c r="AD121" s="109">
        <v>0</v>
      </c>
      <c r="AE121" s="109">
        <v>0</v>
      </c>
      <c r="AF121" s="109">
        <v>0</v>
      </c>
      <c r="AG121" s="109">
        <v>0</v>
      </c>
      <c r="AH121" s="77">
        <f t="shared" si="8"/>
        <v>-68766</v>
      </c>
      <c r="AI121" s="108">
        <f>ERP_34[[#This Row],[2026 Working Total]]-ERP_34[[#This Row],[2026 LE0]]</f>
        <v>-68766</v>
      </c>
      <c r="AJ121" s="79"/>
      <c r="AK121" s="79"/>
      <c r="AL1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1" s="80"/>
      <c r="AN121" s="79">
        <f>ERP_34[[#This Row],[2026 Working Total to Budget/LE]]-ERP_34[[#This Row],[Giveback]]</f>
        <v>-68766</v>
      </c>
      <c r="AO121" s="81"/>
      <c r="AP121" s="81"/>
      <c r="AQ121" s="81">
        <v>-57216</v>
      </c>
      <c r="AR121" s="81">
        <v>-11550</v>
      </c>
      <c r="AS121" s="81">
        <v>0</v>
      </c>
      <c r="AT121" s="81">
        <v>0</v>
      </c>
      <c r="AU121" s="81">
        <v>0</v>
      </c>
      <c r="AV121" s="81">
        <v>0</v>
      </c>
      <c r="AW121" s="81">
        <v>0</v>
      </c>
      <c r="AX121" s="81">
        <v>0</v>
      </c>
      <c r="AY121" s="81">
        <v>0</v>
      </c>
      <c r="AZ121" s="81">
        <v>0</v>
      </c>
      <c r="BA121" s="81">
        <v>0</v>
      </c>
      <c r="BB121" s="81">
        <v>-68766</v>
      </c>
      <c r="BC121" s="79"/>
      <c r="BD121" s="79">
        <v>-57216</v>
      </c>
      <c r="BE121" s="79">
        <v>-11550</v>
      </c>
      <c r="BF121" s="79">
        <v>0</v>
      </c>
      <c r="BG121" s="79">
        <v>0</v>
      </c>
      <c r="BH121" s="79">
        <v>0</v>
      </c>
      <c r="BI121" s="79">
        <v>0</v>
      </c>
      <c r="BJ121" s="79">
        <v>0</v>
      </c>
      <c r="BK121" s="79">
        <v>0</v>
      </c>
      <c r="BL121" s="79">
        <v>0</v>
      </c>
      <c r="BM121" s="79">
        <v>0</v>
      </c>
      <c r="BN121" s="79">
        <v>0</v>
      </c>
      <c r="BO121" s="79">
        <v>-68766</v>
      </c>
    </row>
    <row r="122" spans="1:67">
      <c r="A122" s="66" t="s">
        <v>1789</v>
      </c>
      <c r="B122" s="66" t="str">
        <f>_xlfn.TEXTJOIN("_",,ERP_34[[#This Row],[LT Member -1*]],ERP_34[[#This Row],[Expense Category]],ERP_34[[#This Row],[Project Code*]])</f>
        <v>Dougherty, Chris_MANAGED SERVICES_EnhanceChargeout001</v>
      </c>
      <c r="C122" s="67" t="s">
        <v>1136</v>
      </c>
      <c r="D122" s="67" t="s">
        <v>1135</v>
      </c>
      <c r="E122" s="67" t="s">
        <v>1135</v>
      </c>
      <c r="F122" s="67" t="s">
        <v>1137</v>
      </c>
      <c r="G122" s="68" t="s">
        <v>389</v>
      </c>
      <c r="H122" s="106" t="s">
        <v>1147</v>
      </c>
      <c r="I122" s="70"/>
      <c r="J122" s="70"/>
      <c r="K122" s="70" t="s">
        <v>53</v>
      </c>
      <c r="L122" s="70" t="s">
        <v>1153</v>
      </c>
      <c r="M122" s="70"/>
      <c r="N122" s="70"/>
      <c r="O122" s="67" t="s">
        <v>25</v>
      </c>
      <c r="P122" s="67"/>
      <c r="Q122" s="71"/>
      <c r="R122" s="72">
        <v>0</v>
      </c>
      <c r="S122" s="73">
        <v>2101</v>
      </c>
      <c r="T122" s="73">
        <v>0</v>
      </c>
      <c r="U122" s="71">
        <f>ERP_34[[#This Row],[LE2 Final Submission]]-ERP_34[[#This Row],[LE3 Final Submission]]</f>
        <v>2101</v>
      </c>
      <c r="V122" s="74">
        <v>1821</v>
      </c>
      <c r="W122" s="75">
        <v>140</v>
      </c>
      <c r="X122" s="75">
        <v>140</v>
      </c>
      <c r="Y122" s="109">
        <v>0</v>
      </c>
      <c r="Z122" s="109">
        <v>0</v>
      </c>
      <c r="AA122" s="109">
        <v>0</v>
      </c>
      <c r="AB122" s="109">
        <v>0</v>
      </c>
      <c r="AC122" s="109">
        <v>0</v>
      </c>
      <c r="AD122" s="109">
        <v>0</v>
      </c>
      <c r="AE122" s="109">
        <v>0</v>
      </c>
      <c r="AF122" s="109">
        <v>0</v>
      </c>
      <c r="AG122" s="109">
        <v>0</v>
      </c>
      <c r="AH122" s="77">
        <f t="shared" si="8"/>
        <v>2101</v>
      </c>
      <c r="AI122" s="108">
        <f>ERP_34[[#This Row],[2026 Working Total]]-ERP_34[[#This Row],[2026 LE0]]</f>
        <v>2101</v>
      </c>
      <c r="AJ122" s="79"/>
      <c r="AK122" s="79"/>
      <c r="AL1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2" s="80"/>
      <c r="AN122" s="79">
        <f>ERP_34[[#This Row],[2026 Working Total to Budget/LE]]-ERP_34[[#This Row],[Giveback]]</f>
        <v>2101</v>
      </c>
      <c r="AO122" s="81"/>
      <c r="AP122" s="81">
        <v>1821</v>
      </c>
      <c r="AQ122" s="81">
        <v>140</v>
      </c>
      <c r="AR122" s="81">
        <v>140</v>
      </c>
      <c r="AS122" s="81">
        <v>0</v>
      </c>
      <c r="AT122" s="81">
        <v>0</v>
      </c>
      <c r="AU122" s="81">
        <v>0</v>
      </c>
      <c r="AV122" s="81">
        <v>0</v>
      </c>
      <c r="AW122" s="81">
        <v>0</v>
      </c>
      <c r="AX122" s="81">
        <v>0</v>
      </c>
      <c r="AY122" s="81">
        <v>0</v>
      </c>
      <c r="AZ122" s="81">
        <v>0</v>
      </c>
      <c r="BA122" s="81">
        <v>0</v>
      </c>
      <c r="BB122" s="81">
        <v>2101</v>
      </c>
      <c r="BC122" s="79">
        <v>1821</v>
      </c>
      <c r="BD122" s="79">
        <v>140</v>
      </c>
      <c r="BE122" s="79">
        <v>140</v>
      </c>
      <c r="BF122" s="79">
        <v>0</v>
      </c>
      <c r="BG122" s="79">
        <v>0</v>
      </c>
      <c r="BH122" s="79">
        <v>0</v>
      </c>
      <c r="BI122" s="79">
        <v>0</v>
      </c>
      <c r="BJ122" s="79">
        <v>0</v>
      </c>
      <c r="BK122" s="79">
        <v>0</v>
      </c>
      <c r="BL122" s="79">
        <v>0</v>
      </c>
      <c r="BM122" s="79">
        <v>0</v>
      </c>
      <c r="BN122" s="79">
        <v>0</v>
      </c>
      <c r="BO122" s="79">
        <v>2101</v>
      </c>
    </row>
    <row r="123" spans="1:67">
      <c r="A123" s="66" t="s">
        <v>2257</v>
      </c>
      <c r="B123" s="66" t="str">
        <f>_xlfn.TEXTJOIN("_",,ERP_34[[#This Row],[LT Member -1*]],ERP_34[[#This Row],[Expense Category]],ERP_34[[#This Row],[Project Code*]])</f>
        <v>Patel, Nikunj Rohitkumar_SOFTWARE_EnhanceChargeout001</v>
      </c>
      <c r="C123" s="67" t="s">
        <v>1136</v>
      </c>
      <c r="D123" s="67" t="s">
        <v>1135</v>
      </c>
      <c r="E123" s="67" t="s">
        <v>1161</v>
      </c>
      <c r="F123" s="67" t="s">
        <v>1137</v>
      </c>
      <c r="G123" s="68" t="s">
        <v>639</v>
      </c>
      <c r="H123" s="106" t="s">
        <v>1147</v>
      </c>
      <c r="I123" s="70"/>
      <c r="J123" s="70"/>
      <c r="K123" s="70" t="s">
        <v>53</v>
      </c>
      <c r="L123" s="70" t="s">
        <v>1153</v>
      </c>
      <c r="M123" s="70"/>
      <c r="N123" s="70"/>
      <c r="O123" s="67" t="s">
        <v>25</v>
      </c>
      <c r="P123" s="67"/>
      <c r="Q123" s="71"/>
      <c r="R123" s="72">
        <v>0</v>
      </c>
      <c r="S123" s="73">
        <v>227</v>
      </c>
      <c r="T123" s="73">
        <v>0</v>
      </c>
      <c r="U123" s="71">
        <f>ERP_34[[#This Row],[LE2 Final Submission]]-ERP_34[[#This Row],[LE3 Final Submission]]</f>
        <v>227</v>
      </c>
      <c r="V123" s="74"/>
      <c r="W123" s="75">
        <v>227</v>
      </c>
      <c r="X123" s="124">
        <v>0</v>
      </c>
      <c r="Y123" s="109">
        <v>0</v>
      </c>
      <c r="Z123" s="109">
        <v>0</v>
      </c>
      <c r="AA123" s="109">
        <v>0</v>
      </c>
      <c r="AB123" s="109">
        <v>0</v>
      </c>
      <c r="AC123" s="109">
        <v>0</v>
      </c>
      <c r="AD123" s="109">
        <v>0</v>
      </c>
      <c r="AE123" s="109">
        <v>0</v>
      </c>
      <c r="AF123" s="109">
        <v>0</v>
      </c>
      <c r="AG123" s="109">
        <v>0</v>
      </c>
      <c r="AH123" s="77">
        <f t="shared" si="8"/>
        <v>227</v>
      </c>
      <c r="AI123" s="108">
        <f>ERP_34[[#This Row],[2026 Working Total]]-ERP_34[[#This Row],[2026 LE0]]</f>
        <v>227</v>
      </c>
      <c r="AJ123" s="79"/>
      <c r="AK123" s="79"/>
      <c r="AL1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3" s="80"/>
      <c r="AN123" s="79">
        <f>ERP_34[[#This Row],[2026 Working Total to Budget/LE]]-ERP_34[[#This Row],[Giveback]]</f>
        <v>227</v>
      </c>
      <c r="AO123" s="81"/>
      <c r="AP123" s="81"/>
      <c r="AQ123" s="81">
        <v>227</v>
      </c>
      <c r="AR123" s="81">
        <v>0</v>
      </c>
      <c r="AS123" s="81">
        <v>0</v>
      </c>
      <c r="AT123" s="81">
        <v>0</v>
      </c>
      <c r="AU123" s="81">
        <v>0</v>
      </c>
      <c r="AV123" s="81">
        <v>0</v>
      </c>
      <c r="AW123" s="81">
        <v>0</v>
      </c>
      <c r="AX123" s="81">
        <v>0</v>
      </c>
      <c r="AY123" s="81">
        <v>0</v>
      </c>
      <c r="AZ123" s="81">
        <v>0</v>
      </c>
      <c r="BA123" s="81">
        <v>0</v>
      </c>
      <c r="BB123" s="81">
        <v>227</v>
      </c>
      <c r="BC123" s="79"/>
      <c r="BD123" s="79">
        <v>227</v>
      </c>
      <c r="BE123" s="79">
        <v>0</v>
      </c>
      <c r="BF123" s="79">
        <v>0</v>
      </c>
      <c r="BG123" s="79">
        <v>0</v>
      </c>
      <c r="BH123" s="79">
        <v>0</v>
      </c>
      <c r="BI123" s="79">
        <v>0</v>
      </c>
      <c r="BJ123" s="79">
        <v>0</v>
      </c>
      <c r="BK123" s="79">
        <v>0</v>
      </c>
      <c r="BL123" s="79">
        <v>0</v>
      </c>
      <c r="BM123" s="79">
        <v>0</v>
      </c>
      <c r="BN123" s="79">
        <v>0</v>
      </c>
      <c r="BO123" s="79">
        <v>227</v>
      </c>
    </row>
    <row r="124" spans="1:67">
      <c r="A124" s="66" t="s">
        <v>1357</v>
      </c>
      <c r="B124" s="66" t="str">
        <f>_xlfn.TEXTJOIN("_",,ERP_34[[#This Row],[LT Member -1*]],ERP_34[[#This Row],[Expense Category]],ERP_34[[#This Row],[Project Code*]])</f>
        <v>Ganesan, Srinivasan_CONTRACTORS_EnhanceChargeout001</v>
      </c>
      <c r="C124" s="67" t="s">
        <v>1136</v>
      </c>
      <c r="D124" s="67" t="s">
        <v>1345</v>
      </c>
      <c r="E124" s="67" t="s">
        <v>1344</v>
      </c>
      <c r="F124" s="67" t="s">
        <v>1346</v>
      </c>
      <c r="G124" s="68" t="s">
        <v>49</v>
      </c>
      <c r="H124" s="106" t="s">
        <v>1147</v>
      </c>
      <c r="I124" s="70"/>
      <c r="J124" s="70"/>
      <c r="K124" s="70" t="s">
        <v>53</v>
      </c>
      <c r="L124" s="70" t="s">
        <v>1153</v>
      </c>
      <c r="M124" s="70"/>
      <c r="N124" s="70"/>
      <c r="O124" s="67" t="s">
        <v>25</v>
      </c>
      <c r="P124" s="151" t="s">
        <v>1359</v>
      </c>
      <c r="Q124" s="71"/>
      <c r="R124" s="72">
        <v>0</v>
      </c>
      <c r="S124" s="73">
        <v>130143</v>
      </c>
      <c r="T124" s="73">
        <v>0</v>
      </c>
      <c r="U124" s="71">
        <f>ERP_34[[#This Row],[LE2 Final Submission]]-ERP_34[[#This Row],[LE3 Final Submission]]</f>
        <v>130143</v>
      </c>
      <c r="V124" s="152">
        <v>91657</v>
      </c>
      <c r="W124" s="153">
        <v>-50311</v>
      </c>
      <c r="X124" s="153">
        <v>88797</v>
      </c>
      <c r="Y124" s="154">
        <v>0</v>
      </c>
      <c r="Z124" s="109">
        <v>0</v>
      </c>
      <c r="AA124" s="109">
        <v>0</v>
      </c>
      <c r="AB124" s="109">
        <v>0</v>
      </c>
      <c r="AC124" s="109">
        <v>0</v>
      </c>
      <c r="AD124" s="109">
        <v>0</v>
      </c>
      <c r="AE124" s="109">
        <v>0</v>
      </c>
      <c r="AF124" s="109">
        <v>0</v>
      </c>
      <c r="AG124" s="109">
        <v>0</v>
      </c>
      <c r="AH124" s="77">
        <f t="shared" si="8"/>
        <v>130143</v>
      </c>
      <c r="AI124" s="108">
        <f>ERP_34[[#This Row],[2026 Working Total]]-ERP_34[[#This Row],[2026 LE0]]</f>
        <v>130143</v>
      </c>
      <c r="AJ124" s="79"/>
      <c r="AK124" s="79"/>
      <c r="AL1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4" s="80"/>
      <c r="AN124" s="79">
        <f>ERP_34[[#This Row],[2026 Working Total to Budget/LE]]-ERP_34[[#This Row],[Giveback]]</f>
        <v>130143</v>
      </c>
      <c r="AO124" s="155" t="s">
        <v>1360</v>
      </c>
      <c r="AP124" s="155">
        <v>91657</v>
      </c>
      <c r="AQ124" s="155">
        <v>-50311</v>
      </c>
      <c r="AR124" s="155">
        <v>88797</v>
      </c>
      <c r="AS124" s="155">
        <v>0</v>
      </c>
      <c r="AT124" s="155">
        <v>0</v>
      </c>
      <c r="AU124" s="155">
        <v>0</v>
      </c>
      <c r="AV124" s="155">
        <v>0</v>
      </c>
      <c r="AW124" s="155">
        <v>0</v>
      </c>
      <c r="AX124" s="155">
        <v>0</v>
      </c>
      <c r="AY124" s="155">
        <v>0</v>
      </c>
      <c r="AZ124" s="155">
        <v>0</v>
      </c>
      <c r="BA124" s="155">
        <v>0</v>
      </c>
      <c r="BB124" s="155">
        <v>130143</v>
      </c>
      <c r="BC124" s="79">
        <v>91657</v>
      </c>
      <c r="BD124" s="79">
        <v>-50311</v>
      </c>
      <c r="BE124" s="79">
        <v>88797</v>
      </c>
      <c r="BF124" s="79">
        <v>0</v>
      </c>
      <c r="BG124" s="79">
        <v>0</v>
      </c>
      <c r="BH124" s="79">
        <v>0</v>
      </c>
      <c r="BI124" s="79">
        <v>0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130143</v>
      </c>
    </row>
    <row r="125" spans="1:67">
      <c r="A125" s="66" t="s">
        <v>1432</v>
      </c>
      <c r="B125" s="66" t="str">
        <f>_xlfn.TEXTJOIN("_",,ERP_34[[#This Row],[LT Member -1*]],ERP_34[[#This Row],[Expense Category]],ERP_34[[#This Row],[Project Code*]])</f>
        <v>Hase, Raj_CONTRACTORS_EnhanceChargeout001</v>
      </c>
      <c r="C125" s="67" t="s">
        <v>1136</v>
      </c>
      <c r="D125" s="67" t="s">
        <v>1345</v>
      </c>
      <c r="E125" s="67" t="s">
        <v>1345</v>
      </c>
      <c r="F125" s="67" t="s">
        <v>1346</v>
      </c>
      <c r="G125" s="68" t="s">
        <v>49</v>
      </c>
      <c r="H125" s="106" t="s">
        <v>1147</v>
      </c>
      <c r="I125" s="70"/>
      <c r="J125" s="70"/>
      <c r="K125" s="70" t="s">
        <v>53</v>
      </c>
      <c r="L125" s="70" t="s">
        <v>1153</v>
      </c>
      <c r="M125" s="70"/>
      <c r="N125" s="70"/>
      <c r="O125" s="67" t="s">
        <v>25</v>
      </c>
      <c r="P125" s="67"/>
      <c r="Q125" s="71"/>
      <c r="R125" s="72">
        <v>0</v>
      </c>
      <c r="S125" s="73">
        <v>0</v>
      </c>
      <c r="T125" s="73">
        <v>0</v>
      </c>
      <c r="U125" s="71">
        <f>ERP_34[[#This Row],[LE2 Final Submission]]-ERP_34[[#This Row],[LE3 Final Submission]]</f>
        <v>0</v>
      </c>
      <c r="V125" s="74">
        <v>579568</v>
      </c>
      <c r="W125" s="75">
        <v>-598991</v>
      </c>
      <c r="X125" s="75">
        <v>-317436</v>
      </c>
      <c r="Y125" s="109">
        <v>110000</v>
      </c>
      <c r="Z125" s="109">
        <v>110000</v>
      </c>
      <c r="AA125" s="109">
        <v>116859</v>
      </c>
      <c r="AB125" s="109"/>
      <c r="AC125" s="109"/>
      <c r="AD125" s="109"/>
      <c r="AE125" s="109"/>
      <c r="AF125" s="109"/>
      <c r="AG125" s="109"/>
      <c r="AH125" s="77">
        <f t="shared" si="8"/>
        <v>0</v>
      </c>
      <c r="AI125" s="108">
        <f>ERP_34[[#This Row],[2026 Working Total]]-ERP_34[[#This Row],[2026 LE0]]</f>
        <v>0</v>
      </c>
      <c r="AJ125" s="79"/>
      <c r="AK125" s="79"/>
      <c r="AL1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5" s="80"/>
      <c r="AN125" s="79">
        <f>ERP_34[[#This Row],[2026 Working Total to Budget/LE]]-ERP_34[[#This Row],[Giveback]]</f>
        <v>0</v>
      </c>
      <c r="AO125" s="81"/>
      <c r="AP125" s="81">
        <v>579568</v>
      </c>
      <c r="AQ125" s="81">
        <v>-598991</v>
      </c>
      <c r="AR125" s="81">
        <v>-317436</v>
      </c>
      <c r="AS125" s="81">
        <v>110000</v>
      </c>
      <c r="AT125" s="81">
        <v>110000</v>
      </c>
      <c r="AU125" s="81">
        <v>116859</v>
      </c>
      <c r="AV125" s="81"/>
      <c r="AW125" s="81"/>
      <c r="AX125" s="81"/>
      <c r="AY125" s="81"/>
      <c r="AZ125" s="81"/>
      <c r="BA125" s="81"/>
      <c r="BB125" s="81">
        <v>0</v>
      </c>
      <c r="BC125" s="79">
        <v>579568</v>
      </c>
      <c r="BD125" s="79">
        <v>-598991</v>
      </c>
      <c r="BE125" s="79">
        <v>-317436</v>
      </c>
      <c r="BF125" s="79">
        <v>0</v>
      </c>
      <c r="BG125" s="79">
        <v>0</v>
      </c>
      <c r="BH125" s="79">
        <v>0</v>
      </c>
      <c r="BI125" s="79">
        <v>0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-336859</v>
      </c>
    </row>
    <row r="126" spans="1:67">
      <c r="A126" s="66" t="s">
        <v>1527</v>
      </c>
      <c r="B126" s="66" t="str">
        <f>_xlfn.TEXTJOIN("_",,ERP_34[[#This Row],[LT Member -1*]],ERP_34[[#This Row],[Expense Category]],ERP_34[[#This Row],[Project Code*]])</f>
        <v>Jajodia, Amit_CONTRACTORS_EnhanceChargeout001</v>
      </c>
      <c r="C126" s="67" t="s">
        <v>1136</v>
      </c>
      <c r="D126" s="67" t="s">
        <v>1345</v>
      </c>
      <c r="E126" s="67" t="s">
        <v>1515</v>
      </c>
      <c r="F126" s="67" t="s">
        <v>1346</v>
      </c>
      <c r="G126" s="68" t="s">
        <v>49</v>
      </c>
      <c r="H126" s="106" t="s">
        <v>1147</v>
      </c>
      <c r="I126" s="70"/>
      <c r="J126" s="70"/>
      <c r="K126" s="70" t="s">
        <v>53</v>
      </c>
      <c r="L126" s="70" t="s">
        <v>1153</v>
      </c>
      <c r="M126" s="70"/>
      <c r="N126" s="70"/>
      <c r="O126" s="67" t="s">
        <v>25</v>
      </c>
      <c r="P126" s="67"/>
      <c r="Q126" s="71"/>
      <c r="R126" s="72">
        <v>0</v>
      </c>
      <c r="S126" s="73">
        <v>-29144</v>
      </c>
      <c r="T126" s="73">
        <v>0</v>
      </c>
      <c r="U126" s="71">
        <f>ERP_34[[#This Row],[LE2 Final Submission]]-ERP_34[[#This Row],[LE3 Final Submission]]</f>
        <v>-29144</v>
      </c>
      <c r="V126" s="74">
        <v>101571</v>
      </c>
      <c r="W126" s="75">
        <v>-210932</v>
      </c>
      <c r="X126" s="75">
        <v>80217</v>
      </c>
      <c r="Y126" s="109">
        <v>0</v>
      </c>
      <c r="Z126" s="156">
        <v>0</v>
      </c>
      <c r="AA126" s="109">
        <v>0</v>
      </c>
      <c r="AB126" s="109">
        <v>0</v>
      </c>
      <c r="AC126" s="109">
        <v>0</v>
      </c>
      <c r="AD126" s="109">
        <v>0</v>
      </c>
      <c r="AE126" s="109">
        <v>0</v>
      </c>
      <c r="AF126" s="109">
        <v>0</v>
      </c>
      <c r="AG126" s="109">
        <v>0</v>
      </c>
      <c r="AH126" s="77">
        <f t="shared" si="8"/>
        <v>-29144</v>
      </c>
      <c r="AI126" s="108">
        <f>ERP_34[[#This Row],[2026 Working Total]]-ERP_34[[#This Row],[2026 LE0]]</f>
        <v>-29144</v>
      </c>
      <c r="AJ126" s="79"/>
      <c r="AK126" s="79"/>
      <c r="AL1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6" s="80"/>
      <c r="AN126" s="79">
        <f>ERP_34[[#This Row],[2026 Working Total to Budget/LE]]-ERP_34[[#This Row],[Giveback]]</f>
        <v>-29144</v>
      </c>
      <c r="AO126" s="81"/>
      <c r="AP126" s="81">
        <v>101571</v>
      </c>
      <c r="AQ126" s="81">
        <v>-210932</v>
      </c>
      <c r="AR126" s="81">
        <v>80217</v>
      </c>
      <c r="AS126" s="81">
        <v>0</v>
      </c>
      <c r="AT126" s="81">
        <v>0</v>
      </c>
      <c r="AU126" s="81">
        <v>0</v>
      </c>
      <c r="AV126" s="81">
        <v>0</v>
      </c>
      <c r="AW126" s="81">
        <v>0</v>
      </c>
      <c r="AX126" s="81">
        <v>0</v>
      </c>
      <c r="AY126" s="81">
        <v>0</v>
      </c>
      <c r="AZ126" s="81">
        <v>0</v>
      </c>
      <c r="BA126" s="81">
        <v>0</v>
      </c>
      <c r="BB126" s="81">
        <v>-29144</v>
      </c>
      <c r="BC126" s="79">
        <v>101571</v>
      </c>
      <c r="BD126" s="79">
        <v>-210932</v>
      </c>
      <c r="BE126" s="79">
        <v>80217</v>
      </c>
      <c r="BF126" s="79">
        <v>0</v>
      </c>
      <c r="BG126" s="79">
        <v>0</v>
      </c>
      <c r="BH126" s="79">
        <v>0</v>
      </c>
      <c r="BI126" s="79">
        <v>0</v>
      </c>
      <c r="BJ126" s="79">
        <v>0</v>
      </c>
      <c r="BK126" s="79">
        <v>0</v>
      </c>
      <c r="BL126" s="79">
        <v>0</v>
      </c>
      <c r="BM126" s="79">
        <v>0</v>
      </c>
      <c r="BN126" s="79">
        <v>0</v>
      </c>
      <c r="BO126" s="79">
        <v>-29144</v>
      </c>
    </row>
    <row r="127" spans="1:67">
      <c r="A127" s="66" t="s">
        <v>1478</v>
      </c>
      <c r="B127" s="66" t="str">
        <f>_xlfn.TEXTJOIN("_",,ERP_34[[#This Row],[LT Member -1*]],ERP_34[[#This Row],[Expense Category]],ERP_34[[#This Row],[Project Code*]])</f>
        <v>Vaidya, Sachin_CONTRACTORS_EnhanceChargeout001</v>
      </c>
      <c r="C127" s="67" t="s">
        <v>1136</v>
      </c>
      <c r="D127" s="67" t="s">
        <v>1345</v>
      </c>
      <c r="E127" s="67" t="s">
        <v>1481</v>
      </c>
      <c r="F127" s="67" t="s">
        <v>1346</v>
      </c>
      <c r="G127" s="68" t="s">
        <v>49</v>
      </c>
      <c r="H127" s="106" t="s">
        <v>1147</v>
      </c>
      <c r="I127" s="70"/>
      <c r="J127" s="70"/>
      <c r="K127" s="157" t="s">
        <v>53</v>
      </c>
      <c r="L127" s="70" t="s">
        <v>1153</v>
      </c>
      <c r="M127" s="70"/>
      <c r="N127" s="70"/>
      <c r="O127" s="67" t="s">
        <v>25</v>
      </c>
      <c r="P127" s="67" t="s">
        <v>1483</v>
      </c>
      <c r="Q127" s="71"/>
      <c r="R127" s="72">
        <v>0</v>
      </c>
      <c r="S127" s="73">
        <v>0</v>
      </c>
      <c r="T127" s="73">
        <v>0</v>
      </c>
      <c r="U127" s="71">
        <f>ERP_34[[#This Row],[LE2 Final Submission]]-ERP_34[[#This Row],[LE3 Final Submission]]</f>
        <v>0</v>
      </c>
      <c r="V127" s="74">
        <v>279973</v>
      </c>
      <c r="W127" s="75">
        <v>-451174</v>
      </c>
      <c r="X127" s="75">
        <v>173459</v>
      </c>
      <c r="Y127" s="109">
        <v>771452</v>
      </c>
      <c r="Z127" s="142">
        <f>-987788+214078</f>
        <v>-773710</v>
      </c>
      <c r="AA127" s="109">
        <v>0</v>
      </c>
      <c r="AB127" s="109">
        <v>0</v>
      </c>
      <c r="AC127" s="109">
        <v>0</v>
      </c>
      <c r="AD127" s="109">
        <v>0</v>
      </c>
      <c r="AE127" s="109">
        <v>0</v>
      </c>
      <c r="AF127" s="109">
        <v>0</v>
      </c>
      <c r="AG127" s="109">
        <v>0</v>
      </c>
      <c r="AH127" s="77">
        <f t="shared" si="8"/>
        <v>0</v>
      </c>
      <c r="AI127" s="108">
        <f>ERP_34[[#This Row],[2026 Working Total]]-ERP_34[[#This Row],[2026 LE0]]</f>
        <v>0</v>
      </c>
      <c r="AJ127" s="79"/>
      <c r="AK127" s="79"/>
      <c r="AL1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7" s="80"/>
      <c r="AN127" s="79">
        <f>ERP_34[[#This Row],[2026 Working Total to Budget/LE]]-ERP_34[[#This Row],[Giveback]]</f>
        <v>0</v>
      </c>
      <c r="AO127" s="81"/>
      <c r="AP127" s="81">
        <v>279973</v>
      </c>
      <c r="AQ127" s="81">
        <v>-451174</v>
      </c>
      <c r="AR127" s="81">
        <v>173459</v>
      </c>
      <c r="AS127" s="81">
        <v>771452</v>
      </c>
      <c r="AT127" s="81">
        <v>-773710</v>
      </c>
      <c r="AU127" s="81">
        <v>0</v>
      </c>
      <c r="AV127" s="81">
        <v>0</v>
      </c>
      <c r="AW127" s="81">
        <v>0</v>
      </c>
      <c r="AX127" s="81">
        <v>0</v>
      </c>
      <c r="AY127" s="81">
        <v>0</v>
      </c>
      <c r="AZ127" s="81">
        <v>0</v>
      </c>
      <c r="BA127" s="81">
        <v>0</v>
      </c>
      <c r="BB127" s="81">
        <v>0</v>
      </c>
      <c r="BC127" s="79">
        <v>279973</v>
      </c>
      <c r="BD127" s="79">
        <v>-451174</v>
      </c>
      <c r="BE127" s="79">
        <v>173459</v>
      </c>
      <c r="BF127" s="79">
        <v>0</v>
      </c>
      <c r="BG127" s="79">
        <v>51201</v>
      </c>
      <c r="BH127" s="79">
        <v>0</v>
      </c>
      <c r="BI127" s="79">
        <v>0</v>
      </c>
      <c r="BJ127" s="79">
        <v>0</v>
      </c>
      <c r="BK127" s="79">
        <v>0</v>
      </c>
      <c r="BL127" s="79">
        <v>0</v>
      </c>
      <c r="BM127" s="79">
        <v>0</v>
      </c>
      <c r="BN127" s="79">
        <v>0</v>
      </c>
      <c r="BO127" s="79">
        <v>53459</v>
      </c>
    </row>
    <row r="128" spans="1:67">
      <c r="A128" s="66" t="s">
        <v>1963</v>
      </c>
      <c r="B128" s="66" t="str">
        <f>_xlfn.TEXTJOIN("_",,ERP_34[[#This Row],[LT Member -1*]],ERP_34[[#This Row],[Expense Category]],ERP_34[[#This Row],[Project Code*]])</f>
        <v>Ganesan, Srinivasan_MANAGED SERVICES_EnhanceChargeout001</v>
      </c>
      <c r="C128" s="67" t="s">
        <v>1136</v>
      </c>
      <c r="D128" s="67" t="s">
        <v>1345</v>
      </c>
      <c r="E128" s="67" t="s">
        <v>1344</v>
      </c>
      <c r="F128" s="67" t="s">
        <v>1346</v>
      </c>
      <c r="G128" s="68" t="s">
        <v>389</v>
      </c>
      <c r="H128" s="106" t="s">
        <v>1147</v>
      </c>
      <c r="I128" s="70"/>
      <c r="J128" s="70"/>
      <c r="K128" s="70" t="s">
        <v>53</v>
      </c>
      <c r="L128" s="70" t="s">
        <v>1153</v>
      </c>
      <c r="M128" s="70"/>
      <c r="N128" s="70"/>
      <c r="O128" s="67" t="s">
        <v>25</v>
      </c>
      <c r="P128" s="67"/>
      <c r="Q128" s="71"/>
      <c r="R128" s="72">
        <v>0</v>
      </c>
      <c r="S128" s="73">
        <v>387</v>
      </c>
      <c r="T128" s="73">
        <v>0</v>
      </c>
      <c r="U128" s="71">
        <f>ERP_34[[#This Row],[LE2 Final Submission]]-ERP_34[[#This Row],[LE3 Final Submission]]</f>
        <v>387</v>
      </c>
      <c r="V128" s="74">
        <v>129</v>
      </c>
      <c r="W128" s="75">
        <v>129</v>
      </c>
      <c r="X128" s="75">
        <v>129</v>
      </c>
      <c r="Y128" s="109">
        <v>0</v>
      </c>
      <c r="Z128" s="109">
        <v>0</v>
      </c>
      <c r="AA128" s="109">
        <v>0</v>
      </c>
      <c r="AB128" s="109">
        <v>0</v>
      </c>
      <c r="AC128" s="109">
        <v>0</v>
      </c>
      <c r="AD128" s="109">
        <v>0</v>
      </c>
      <c r="AE128" s="109">
        <v>0</v>
      </c>
      <c r="AF128" s="109">
        <v>0</v>
      </c>
      <c r="AG128" s="109">
        <v>0</v>
      </c>
      <c r="AH128" s="77">
        <f t="shared" si="8"/>
        <v>387</v>
      </c>
      <c r="AI128" s="108">
        <f>ERP_34[[#This Row],[2026 Working Total]]-ERP_34[[#This Row],[2026 LE0]]</f>
        <v>387</v>
      </c>
      <c r="AJ128" s="79"/>
      <c r="AK128" s="79"/>
      <c r="AL1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8" s="80"/>
      <c r="AN128" s="79">
        <f>ERP_34[[#This Row],[2026 Working Total to Budget/LE]]-ERP_34[[#This Row],[Giveback]]</f>
        <v>387</v>
      </c>
      <c r="AO128" s="81"/>
      <c r="AP128" s="81">
        <v>129</v>
      </c>
      <c r="AQ128" s="81">
        <v>129</v>
      </c>
      <c r="AR128" s="81">
        <v>129</v>
      </c>
      <c r="AS128" s="81">
        <v>0</v>
      </c>
      <c r="AT128" s="81">
        <v>0</v>
      </c>
      <c r="AU128" s="81">
        <v>0</v>
      </c>
      <c r="AV128" s="81">
        <v>0</v>
      </c>
      <c r="AW128" s="81">
        <v>0</v>
      </c>
      <c r="AX128" s="81">
        <v>0</v>
      </c>
      <c r="AY128" s="81">
        <v>0</v>
      </c>
      <c r="AZ128" s="81">
        <v>0</v>
      </c>
      <c r="BA128" s="81">
        <v>0</v>
      </c>
      <c r="BB128" s="81">
        <v>387</v>
      </c>
      <c r="BC128" s="79">
        <v>129</v>
      </c>
      <c r="BD128" s="79">
        <v>129</v>
      </c>
      <c r="BE128" s="79">
        <v>129</v>
      </c>
      <c r="BF128" s="79">
        <v>0</v>
      </c>
      <c r="BG128" s="79">
        <v>0</v>
      </c>
      <c r="BH128" s="79">
        <v>0</v>
      </c>
      <c r="BI128" s="79">
        <v>0</v>
      </c>
      <c r="BJ128" s="79">
        <v>0</v>
      </c>
      <c r="BK128" s="79">
        <v>0</v>
      </c>
      <c r="BL128" s="79">
        <v>0</v>
      </c>
      <c r="BM128" s="79">
        <v>0</v>
      </c>
      <c r="BN128" s="79">
        <v>0</v>
      </c>
      <c r="BO128" s="79">
        <v>387</v>
      </c>
    </row>
    <row r="129" spans="1:67">
      <c r="A129" s="66" t="s">
        <v>2010</v>
      </c>
      <c r="B129" s="66" t="str">
        <f>_xlfn.TEXTJOIN("_",,ERP_34[[#This Row],[LT Member -1*]],ERP_34[[#This Row],[Expense Category]],ERP_34[[#This Row],[Project Code*]])</f>
        <v>Hase, Raj_MANAGED SERVICES_EnhanceChargeout001</v>
      </c>
      <c r="C129" s="67" t="s">
        <v>1136</v>
      </c>
      <c r="D129" s="67" t="s">
        <v>1345</v>
      </c>
      <c r="E129" s="67" t="s">
        <v>1345</v>
      </c>
      <c r="F129" s="67" t="s">
        <v>1346</v>
      </c>
      <c r="G129" s="68" t="s">
        <v>389</v>
      </c>
      <c r="H129" s="106" t="s">
        <v>1147</v>
      </c>
      <c r="I129" s="70"/>
      <c r="J129" s="70"/>
      <c r="K129" s="70" t="s">
        <v>53</v>
      </c>
      <c r="L129" s="70" t="s">
        <v>1153</v>
      </c>
      <c r="M129" s="70"/>
      <c r="N129" s="70"/>
      <c r="O129" s="67" t="s">
        <v>25</v>
      </c>
      <c r="P129" s="67"/>
      <c r="Q129" s="71"/>
      <c r="R129" s="72">
        <v>0</v>
      </c>
      <c r="S129" s="73">
        <v>0</v>
      </c>
      <c r="T129" s="73">
        <v>0</v>
      </c>
      <c r="U129" s="71">
        <f>ERP_34[[#This Row],[LE2 Final Submission]]-ERP_34[[#This Row],[LE3 Final Submission]]</f>
        <v>0</v>
      </c>
      <c r="V129" s="74"/>
      <c r="W129" s="75"/>
      <c r="X129" s="75">
        <v>7840</v>
      </c>
      <c r="Y129" s="109">
        <v>-2500</v>
      </c>
      <c r="Z129" s="109">
        <v>-2500</v>
      </c>
      <c r="AA129" s="109">
        <v>-2840</v>
      </c>
      <c r="AB129" s="109">
        <v>0</v>
      </c>
      <c r="AC129" s="109">
        <v>0</v>
      </c>
      <c r="AD129" s="109">
        <v>0</v>
      </c>
      <c r="AE129" s="109">
        <v>0</v>
      </c>
      <c r="AF129" s="109">
        <v>0</v>
      </c>
      <c r="AG129" s="109">
        <v>0</v>
      </c>
      <c r="AH129" s="77">
        <f t="shared" si="8"/>
        <v>0</v>
      </c>
      <c r="AI129" s="108">
        <f>ERP_34[[#This Row],[2026 Working Total]]-ERP_34[[#This Row],[2026 LE0]]</f>
        <v>0</v>
      </c>
      <c r="AJ129" s="79"/>
      <c r="AK129" s="79"/>
      <c r="AL12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29" s="80"/>
      <c r="AN129" s="79">
        <f>ERP_34[[#This Row],[2026 Working Total to Budget/LE]]-ERP_34[[#This Row],[Giveback]]</f>
        <v>0</v>
      </c>
      <c r="AO129" s="81"/>
      <c r="AP129" s="81"/>
      <c r="AQ129" s="81"/>
      <c r="AR129" s="81">
        <v>7840</v>
      </c>
      <c r="AS129" s="81">
        <v>-2500</v>
      </c>
      <c r="AT129" s="81">
        <v>-2500</v>
      </c>
      <c r="AU129" s="81">
        <v>-2840</v>
      </c>
      <c r="AV129" s="81">
        <v>0</v>
      </c>
      <c r="AW129" s="81">
        <v>0</v>
      </c>
      <c r="AX129" s="81">
        <v>0</v>
      </c>
      <c r="AY129" s="81">
        <v>0</v>
      </c>
      <c r="AZ129" s="81">
        <v>0</v>
      </c>
      <c r="BA129" s="81">
        <v>0</v>
      </c>
      <c r="BB129" s="81">
        <v>0</v>
      </c>
      <c r="BC129" s="79"/>
      <c r="BD129" s="79"/>
      <c r="BE129" s="79">
        <v>7840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0</v>
      </c>
      <c r="BN129" s="79">
        <v>0</v>
      </c>
      <c r="BO129" s="79">
        <v>7840</v>
      </c>
    </row>
    <row r="130" spans="1:67">
      <c r="A130" s="66" t="s">
        <v>2066</v>
      </c>
      <c r="B130" s="66" t="str">
        <f>_xlfn.TEXTJOIN("_",,ERP_34[[#This Row],[LT Member -1*]],ERP_34[[#This Row],[Expense Category]],ERP_34[[#This Row],[Project Code*]])</f>
        <v>Jajodia, Amit_MANAGED SERVICES_EnhanceChargeout001</v>
      </c>
      <c r="C130" s="67" t="s">
        <v>1136</v>
      </c>
      <c r="D130" s="67" t="s">
        <v>1345</v>
      </c>
      <c r="E130" s="67" t="s">
        <v>1515</v>
      </c>
      <c r="F130" s="67" t="s">
        <v>1346</v>
      </c>
      <c r="G130" s="68" t="s">
        <v>389</v>
      </c>
      <c r="H130" s="106" t="s">
        <v>1147</v>
      </c>
      <c r="I130" s="70"/>
      <c r="J130" s="70"/>
      <c r="K130" s="70" t="s">
        <v>53</v>
      </c>
      <c r="L130" s="70" t="s">
        <v>1153</v>
      </c>
      <c r="M130" s="70"/>
      <c r="N130" s="70"/>
      <c r="O130" s="67" t="s">
        <v>25</v>
      </c>
      <c r="P130" s="67"/>
      <c r="Q130" s="71"/>
      <c r="R130" s="72">
        <v>0</v>
      </c>
      <c r="S130" s="73">
        <v>1177</v>
      </c>
      <c r="T130" s="73">
        <v>0</v>
      </c>
      <c r="U130" s="71">
        <f>ERP_34[[#This Row],[LE2 Final Submission]]-ERP_34[[#This Row],[LE3 Final Submission]]</f>
        <v>1177</v>
      </c>
      <c r="V130" s="74">
        <v>-14023</v>
      </c>
      <c r="W130" s="75">
        <v>60</v>
      </c>
      <c r="X130" s="75">
        <v>15140</v>
      </c>
      <c r="Y130" s="109">
        <v>0</v>
      </c>
      <c r="Z130" s="109">
        <v>0</v>
      </c>
      <c r="AA130" s="109">
        <v>0</v>
      </c>
      <c r="AB130" s="109">
        <v>0</v>
      </c>
      <c r="AC130" s="109">
        <v>0</v>
      </c>
      <c r="AD130" s="109">
        <v>0</v>
      </c>
      <c r="AE130" s="109">
        <v>0</v>
      </c>
      <c r="AF130" s="109">
        <v>0</v>
      </c>
      <c r="AG130" s="109">
        <v>0</v>
      </c>
      <c r="AH130" s="77">
        <f t="shared" si="8"/>
        <v>1177</v>
      </c>
      <c r="AI130" s="108">
        <f>ERP_34[[#This Row],[2026 Working Total]]-ERP_34[[#This Row],[2026 LE0]]</f>
        <v>1177</v>
      </c>
      <c r="AJ130" s="79"/>
      <c r="AK130" s="79"/>
      <c r="AL1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0" s="80"/>
      <c r="AN130" s="79">
        <f>ERP_34[[#This Row],[2026 Working Total to Budget/LE]]-ERP_34[[#This Row],[Giveback]]</f>
        <v>1177</v>
      </c>
      <c r="AO130" s="81"/>
      <c r="AP130" s="81">
        <v>-14023</v>
      </c>
      <c r="AQ130" s="81">
        <v>60</v>
      </c>
      <c r="AR130" s="81">
        <v>15140</v>
      </c>
      <c r="AS130" s="81">
        <v>0</v>
      </c>
      <c r="AT130" s="81">
        <v>0</v>
      </c>
      <c r="AU130" s="81">
        <v>0</v>
      </c>
      <c r="AV130" s="81">
        <v>0</v>
      </c>
      <c r="AW130" s="81">
        <v>0</v>
      </c>
      <c r="AX130" s="81">
        <v>0</v>
      </c>
      <c r="AY130" s="81">
        <v>0</v>
      </c>
      <c r="AZ130" s="81">
        <v>0</v>
      </c>
      <c r="BA130" s="81">
        <v>0</v>
      </c>
      <c r="BB130" s="81">
        <v>1177</v>
      </c>
      <c r="BC130" s="79">
        <v>-14023</v>
      </c>
      <c r="BD130" s="79">
        <v>60</v>
      </c>
      <c r="BE130" s="79">
        <v>15140</v>
      </c>
      <c r="BF130" s="79">
        <v>0</v>
      </c>
      <c r="BG130" s="79">
        <v>0</v>
      </c>
      <c r="BH130" s="79">
        <v>0</v>
      </c>
      <c r="BI130" s="79">
        <v>0</v>
      </c>
      <c r="BJ130" s="79">
        <v>0</v>
      </c>
      <c r="BK130" s="79">
        <v>0</v>
      </c>
      <c r="BL130" s="79">
        <v>0</v>
      </c>
      <c r="BM130" s="79">
        <v>0</v>
      </c>
      <c r="BN130" s="79">
        <v>0</v>
      </c>
      <c r="BO130" s="79">
        <v>1177</v>
      </c>
    </row>
    <row r="131" spans="1:67">
      <c r="A131" s="66" t="s">
        <v>2047</v>
      </c>
      <c r="B131" s="66" t="str">
        <f>_xlfn.TEXTJOIN("_",,ERP_34[[#This Row],[LT Member -1*]],ERP_34[[#This Row],[Expense Category]],ERP_34[[#This Row],[Project Code*]])</f>
        <v>Vaidya, Sachin_MANAGED SERVICES_EnhanceChargeout001</v>
      </c>
      <c r="C131" s="67" t="s">
        <v>1136</v>
      </c>
      <c r="D131" s="67" t="s">
        <v>1345</v>
      </c>
      <c r="E131" s="67" t="s">
        <v>1481</v>
      </c>
      <c r="F131" s="67" t="s">
        <v>1346</v>
      </c>
      <c r="G131" s="68" t="s">
        <v>389</v>
      </c>
      <c r="H131" s="106" t="s">
        <v>1147</v>
      </c>
      <c r="I131" s="70"/>
      <c r="J131" s="70"/>
      <c r="K131" s="70" t="s">
        <v>53</v>
      </c>
      <c r="L131" s="70" t="s">
        <v>1153</v>
      </c>
      <c r="M131" s="70"/>
      <c r="N131" s="70"/>
      <c r="O131" s="67" t="s">
        <v>25</v>
      </c>
      <c r="P131" s="158" t="s">
        <v>1513</v>
      </c>
      <c r="Q131" s="71"/>
      <c r="R131" s="72">
        <v>0</v>
      </c>
      <c r="S131" s="73">
        <v>2360</v>
      </c>
      <c r="T131" s="73">
        <v>0</v>
      </c>
      <c r="U131" s="71">
        <f>ERP_34[[#This Row],[LE2 Final Submission]]-ERP_34[[#This Row],[LE3 Final Submission]]</f>
        <v>2360</v>
      </c>
      <c r="V131" s="74"/>
      <c r="W131" s="75">
        <v>2180</v>
      </c>
      <c r="X131" s="75">
        <v>180</v>
      </c>
      <c r="Y131" s="109">
        <v>0</v>
      </c>
      <c r="Z131" s="109">
        <v>0</v>
      </c>
      <c r="AA131" s="109">
        <v>0</v>
      </c>
      <c r="AB131" s="109">
        <v>0</v>
      </c>
      <c r="AC131" s="109">
        <v>0</v>
      </c>
      <c r="AD131" s="109">
        <v>0</v>
      </c>
      <c r="AE131" s="109">
        <v>0</v>
      </c>
      <c r="AF131" s="109">
        <v>0</v>
      </c>
      <c r="AG131" s="109">
        <v>0</v>
      </c>
      <c r="AH131" s="77">
        <f t="shared" si="8"/>
        <v>2360</v>
      </c>
      <c r="AI131" s="108">
        <f>ERP_34[[#This Row],[2026 Working Total]]-ERP_34[[#This Row],[2026 LE0]]</f>
        <v>2360</v>
      </c>
      <c r="AJ131" s="79"/>
      <c r="AK131" s="79"/>
      <c r="AL1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1" s="80"/>
      <c r="AN131" s="79">
        <f>ERP_34[[#This Row],[2026 Working Total to Budget/LE]]-ERP_34[[#This Row],[Giveback]]</f>
        <v>2360</v>
      </c>
      <c r="AO131" s="81"/>
      <c r="AP131" s="81"/>
      <c r="AQ131" s="81">
        <v>2180</v>
      </c>
      <c r="AR131" s="81">
        <v>180</v>
      </c>
      <c r="AS131" s="81">
        <v>0</v>
      </c>
      <c r="AT131" s="81">
        <v>0</v>
      </c>
      <c r="AU131" s="81">
        <v>0</v>
      </c>
      <c r="AV131" s="81">
        <v>0</v>
      </c>
      <c r="AW131" s="81">
        <v>0</v>
      </c>
      <c r="AX131" s="81">
        <v>0</v>
      </c>
      <c r="AY131" s="81">
        <v>0</v>
      </c>
      <c r="AZ131" s="81">
        <v>0</v>
      </c>
      <c r="BA131" s="81">
        <v>0</v>
      </c>
      <c r="BB131" s="81">
        <v>2360</v>
      </c>
      <c r="BC131" s="79"/>
      <c r="BD131" s="79">
        <v>2180</v>
      </c>
      <c r="BE131" s="79">
        <v>180</v>
      </c>
      <c r="BF131" s="79">
        <v>0</v>
      </c>
      <c r="BG131" s="79">
        <v>0</v>
      </c>
      <c r="BH131" s="79">
        <v>0</v>
      </c>
      <c r="BI131" s="79">
        <v>0</v>
      </c>
      <c r="BJ131" s="79">
        <v>0</v>
      </c>
      <c r="BK131" s="79">
        <v>0</v>
      </c>
      <c r="BL131" s="79">
        <v>0</v>
      </c>
      <c r="BM131" s="79">
        <v>0</v>
      </c>
      <c r="BN131" s="79">
        <v>0</v>
      </c>
      <c r="BO131" s="79">
        <v>2360</v>
      </c>
    </row>
    <row r="132" spans="1:67">
      <c r="A132" s="66" t="s">
        <v>2715</v>
      </c>
      <c r="B132" s="66" t="str">
        <f>_xlfn.TEXTJOIN("_",,ERP_34[[#This Row],[LT Member -1*]],ERP_34[[#This Row],[Expense Category]],ERP_34[[#This Row],[Project Code*]])</f>
        <v>Vaidya, Sachin_SOFTWARE_EnhanceChargeout001</v>
      </c>
      <c r="C132" s="67" t="s">
        <v>1136</v>
      </c>
      <c r="D132" s="67" t="s">
        <v>1345</v>
      </c>
      <c r="E132" s="67" t="s">
        <v>1481</v>
      </c>
      <c r="F132" s="67" t="s">
        <v>1346</v>
      </c>
      <c r="G132" s="68" t="s">
        <v>639</v>
      </c>
      <c r="H132" s="106" t="s">
        <v>1147</v>
      </c>
      <c r="I132" s="70"/>
      <c r="J132" s="70"/>
      <c r="K132" s="70" t="s">
        <v>53</v>
      </c>
      <c r="L132" s="70" t="s">
        <v>1153</v>
      </c>
      <c r="M132" s="70"/>
      <c r="N132" s="70"/>
      <c r="O132" s="67" t="s">
        <v>25</v>
      </c>
      <c r="P132" s="158" t="s">
        <v>1513</v>
      </c>
      <c r="Q132" s="71"/>
      <c r="R132" s="72">
        <v>0</v>
      </c>
      <c r="S132" s="73">
        <v>1520</v>
      </c>
      <c r="T132" s="73">
        <v>0</v>
      </c>
      <c r="U132" s="71">
        <f>ERP_34[[#This Row],[LE2 Final Submission]]-ERP_34[[#This Row],[LE3 Final Submission]]</f>
        <v>1520</v>
      </c>
      <c r="V132" s="74"/>
      <c r="W132" s="75">
        <v>1520</v>
      </c>
      <c r="X132" s="124">
        <v>0</v>
      </c>
      <c r="Y132" s="109">
        <v>0</v>
      </c>
      <c r="Z132" s="109">
        <v>0</v>
      </c>
      <c r="AA132" s="109">
        <v>0</v>
      </c>
      <c r="AB132" s="109">
        <v>0</v>
      </c>
      <c r="AC132" s="109">
        <v>0</v>
      </c>
      <c r="AD132" s="109">
        <v>0</v>
      </c>
      <c r="AE132" s="109">
        <v>0</v>
      </c>
      <c r="AF132" s="109">
        <v>0</v>
      </c>
      <c r="AG132" s="109">
        <v>0</v>
      </c>
      <c r="AH132" s="77">
        <f t="shared" si="8"/>
        <v>1520</v>
      </c>
      <c r="AI132" s="108">
        <f>ERP_34[[#This Row],[2026 Working Total]]-ERP_34[[#This Row],[2026 LE0]]</f>
        <v>1520</v>
      </c>
      <c r="AJ132" s="79"/>
      <c r="AK132" s="79"/>
      <c r="AL1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2" s="80"/>
      <c r="AN132" s="79">
        <f>ERP_34[[#This Row],[2026 Working Total to Budget/LE]]-ERP_34[[#This Row],[Giveback]]</f>
        <v>1520</v>
      </c>
      <c r="AO132" s="81"/>
      <c r="AP132" s="81"/>
      <c r="AQ132" s="81">
        <v>1520</v>
      </c>
      <c r="AR132" s="81">
        <v>0</v>
      </c>
      <c r="AS132" s="81">
        <v>0</v>
      </c>
      <c r="AT132" s="81">
        <v>0</v>
      </c>
      <c r="AU132" s="81">
        <v>0</v>
      </c>
      <c r="AV132" s="81">
        <v>0</v>
      </c>
      <c r="AW132" s="81">
        <v>0</v>
      </c>
      <c r="AX132" s="81">
        <v>0</v>
      </c>
      <c r="AY132" s="81">
        <v>0</v>
      </c>
      <c r="AZ132" s="81">
        <v>0</v>
      </c>
      <c r="BA132" s="81">
        <v>0</v>
      </c>
      <c r="BB132" s="81">
        <v>1520</v>
      </c>
      <c r="BC132" s="79"/>
      <c r="BD132" s="79">
        <v>1520</v>
      </c>
      <c r="BE132" s="79">
        <v>0</v>
      </c>
      <c r="BF132" s="79">
        <v>0</v>
      </c>
      <c r="BG132" s="79">
        <v>0</v>
      </c>
      <c r="BH132" s="79">
        <v>0</v>
      </c>
      <c r="BI132" s="79">
        <v>0</v>
      </c>
      <c r="BJ132" s="79">
        <v>0</v>
      </c>
      <c r="BK132" s="79">
        <v>0</v>
      </c>
      <c r="BL132" s="79">
        <v>0</v>
      </c>
      <c r="BM132" s="79">
        <v>0</v>
      </c>
      <c r="BN132" s="79">
        <v>0</v>
      </c>
      <c r="BO132" s="79">
        <v>1520</v>
      </c>
    </row>
    <row r="133" spans="1:67">
      <c r="A133" s="66" t="s">
        <v>1649</v>
      </c>
      <c r="B133" s="66" t="str">
        <f>_xlfn.TEXTJOIN("_",,ERP_34[[#This Row],[LT Member -1*]],ERP_34[[#This Row],[Expense Category]],ERP_34[[#This Row],[Project Code*]])</f>
        <v>Robertson, Jerome_CONTRACTORS_EnhanceChargeout001</v>
      </c>
      <c r="C133" s="67" t="s">
        <v>1136</v>
      </c>
      <c r="D133" s="67" t="s">
        <v>1650</v>
      </c>
      <c r="E133" s="67" t="s">
        <v>1650</v>
      </c>
      <c r="F133" s="67" t="s">
        <v>1650</v>
      </c>
      <c r="G133" s="68" t="s">
        <v>49</v>
      </c>
      <c r="H133" s="106" t="s">
        <v>1147</v>
      </c>
      <c r="I133" s="70"/>
      <c r="J133" s="70"/>
      <c r="K133" s="70" t="s">
        <v>53</v>
      </c>
      <c r="L133" s="70" t="s">
        <v>1153</v>
      </c>
      <c r="M133" s="70"/>
      <c r="N133" s="70"/>
      <c r="O133" s="67" t="s">
        <v>25</v>
      </c>
      <c r="P133" s="67" t="s">
        <v>1652</v>
      </c>
      <c r="Q133" s="71"/>
      <c r="R133" s="72">
        <v>-99996</v>
      </c>
      <c r="S133" s="73">
        <v>-82720</v>
      </c>
      <c r="T133" s="73">
        <v>-99996</v>
      </c>
      <c r="U133" s="71">
        <f>ERP_34[[#This Row],[LE2 Final Submission]]-ERP_34[[#This Row],[LE3 Final Submission]]</f>
        <v>17276</v>
      </c>
      <c r="V133" s="74"/>
      <c r="W133" s="75">
        <v>-54900</v>
      </c>
      <c r="X133" s="75">
        <f>27080-54900</f>
        <v>-27820</v>
      </c>
      <c r="Y133" s="76">
        <v>0</v>
      </c>
      <c r="Z133" s="76">
        <v>0</v>
      </c>
      <c r="AA133" s="76">
        <v>0</v>
      </c>
      <c r="AB133" s="76">
        <v>0</v>
      </c>
      <c r="AC133" s="76">
        <v>0</v>
      </c>
      <c r="AD133" s="76">
        <v>0</v>
      </c>
      <c r="AE133" s="76">
        <v>0</v>
      </c>
      <c r="AF133" s="76">
        <v>0</v>
      </c>
      <c r="AG133" s="76">
        <v>0</v>
      </c>
      <c r="AH133" s="77">
        <f t="shared" si="8"/>
        <v>-82720</v>
      </c>
      <c r="AI133" s="108">
        <f>ERP_34[[#This Row],[2026 Working Total]]-ERP_34[[#This Row],[2026 LE0]]</f>
        <v>17276</v>
      </c>
      <c r="AJ133" s="79"/>
      <c r="AK133" s="79"/>
      <c r="AL1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3" s="80"/>
      <c r="AN133" s="79">
        <f>ERP_34[[#This Row],[2026 Working Total to Budget/LE]]-ERP_34[[#This Row],[Giveback]]</f>
        <v>17276</v>
      </c>
      <c r="AO133" s="81"/>
      <c r="AP133" s="81"/>
      <c r="AQ133" s="81">
        <v>-54900</v>
      </c>
      <c r="AR133" s="81">
        <v>-27820</v>
      </c>
      <c r="AS133" s="81">
        <v>0</v>
      </c>
      <c r="AT133" s="81">
        <v>0</v>
      </c>
      <c r="AU133" s="81">
        <v>0</v>
      </c>
      <c r="AV133" s="81">
        <v>0</v>
      </c>
      <c r="AW133" s="81">
        <v>0</v>
      </c>
      <c r="AX133" s="81">
        <v>0</v>
      </c>
      <c r="AY133" s="81">
        <v>0</v>
      </c>
      <c r="AZ133" s="81">
        <v>0</v>
      </c>
      <c r="BA133" s="81">
        <v>0</v>
      </c>
      <c r="BB133" s="81">
        <v>-82720</v>
      </c>
      <c r="BC133" s="79"/>
      <c r="BD133" s="79">
        <v>-54900</v>
      </c>
      <c r="BE133" s="79">
        <v>27080</v>
      </c>
      <c r="BF133" s="79">
        <v>-8333</v>
      </c>
      <c r="BG133" s="79">
        <v>-8333</v>
      </c>
      <c r="BH133" s="79">
        <v>-8333</v>
      </c>
      <c r="BI133" s="79">
        <v>-8333</v>
      </c>
      <c r="BJ133" s="79">
        <v>-8333</v>
      </c>
      <c r="BK133" s="79">
        <v>-8333</v>
      </c>
      <c r="BL133" s="79">
        <v>-8333</v>
      </c>
      <c r="BM133" s="79">
        <v>-8333</v>
      </c>
      <c r="BN133" s="79">
        <v>-8333</v>
      </c>
      <c r="BO133" s="79">
        <v>-102817</v>
      </c>
    </row>
    <row r="134" spans="1:67">
      <c r="A134" s="66" t="s">
        <v>1172</v>
      </c>
      <c r="B134" s="66" t="str">
        <f>_xlfn.TEXTJOIN("_",,ERP_34[[#This Row],[LT Member -1*]],ERP_34[[#This Row],[Expense Category]],ERP_34[[#This Row],[Project Code*]])</f>
        <v>Tamavada, Ram_CONTRACTORS_EP&amp;SCharges001</v>
      </c>
      <c r="C134" s="67" t="s">
        <v>1136</v>
      </c>
      <c r="D134" s="67" t="s">
        <v>1135</v>
      </c>
      <c r="E134" s="67" t="s">
        <v>1165</v>
      </c>
      <c r="F134" s="67" t="s">
        <v>1137</v>
      </c>
      <c r="G134" s="68" t="s">
        <v>49</v>
      </c>
      <c r="H134" s="106" t="s">
        <v>1174</v>
      </c>
      <c r="I134" s="70"/>
      <c r="J134" s="70"/>
      <c r="K134" s="114" t="s">
        <v>56</v>
      </c>
      <c r="L134" s="70" t="s">
        <v>1139</v>
      </c>
      <c r="M134" s="70"/>
      <c r="N134" s="70"/>
      <c r="O134" s="67" t="s">
        <v>57</v>
      </c>
      <c r="P134" s="67"/>
      <c r="Q134" s="71"/>
      <c r="R134" s="72">
        <v>0</v>
      </c>
      <c r="S134" s="73">
        <v>1080</v>
      </c>
      <c r="T134" s="73">
        <v>0</v>
      </c>
      <c r="U134" s="71">
        <f>ERP_34[[#This Row],[LE2 Final Submission]]-ERP_34[[#This Row],[LE3 Final Submission]]</f>
        <v>1080</v>
      </c>
      <c r="V134" s="74">
        <v>360</v>
      </c>
      <c r="W134" s="75">
        <v>360</v>
      </c>
      <c r="X134" s="75">
        <v>360</v>
      </c>
      <c r="Y134" s="109">
        <v>0</v>
      </c>
      <c r="Z134" s="109">
        <v>0</v>
      </c>
      <c r="AA134" s="109">
        <v>0</v>
      </c>
      <c r="AB134" s="109">
        <v>0</v>
      </c>
      <c r="AC134" s="109">
        <v>0</v>
      </c>
      <c r="AD134" s="109">
        <v>0</v>
      </c>
      <c r="AE134" s="109">
        <v>0</v>
      </c>
      <c r="AF134" s="109">
        <v>0</v>
      </c>
      <c r="AG134" s="109">
        <v>0</v>
      </c>
      <c r="AH134" s="77">
        <f t="shared" si="8"/>
        <v>1080</v>
      </c>
      <c r="AI134" s="108">
        <f>ERP_34[[#This Row],[2026 Working Total]]-ERP_34[[#This Row],[2026 LE0]]</f>
        <v>1080</v>
      </c>
      <c r="AJ134" s="79"/>
      <c r="AK134" s="79"/>
      <c r="AL1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4" s="80"/>
      <c r="AN134" s="79">
        <f>ERP_34[[#This Row],[2026 Working Total to Budget/LE]]-ERP_34[[#This Row],[Giveback]]</f>
        <v>1080</v>
      </c>
      <c r="AO134" s="81"/>
      <c r="AP134" s="81">
        <v>360</v>
      </c>
      <c r="AQ134" s="81">
        <v>360</v>
      </c>
      <c r="AR134" s="81">
        <v>360</v>
      </c>
      <c r="AS134" s="81">
        <v>0</v>
      </c>
      <c r="AT134" s="81">
        <v>0</v>
      </c>
      <c r="AU134" s="81">
        <v>0</v>
      </c>
      <c r="AV134" s="81">
        <v>0</v>
      </c>
      <c r="AW134" s="81">
        <v>0</v>
      </c>
      <c r="AX134" s="81">
        <v>0</v>
      </c>
      <c r="AY134" s="81">
        <v>0</v>
      </c>
      <c r="AZ134" s="81">
        <v>0</v>
      </c>
      <c r="BA134" s="81">
        <v>0</v>
      </c>
      <c r="BB134" s="81">
        <v>1080</v>
      </c>
      <c r="BC134" s="79">
        <v>360</v>
      </c>
      <c r="BD134" s="79">
        <v>360</v>
      </c>
      <c r="BE134" s="79">
        <v>360</v>
      </c>
      <c r="BF134" s="79">
        <v>0</v>
      </c>
      <c r="BG134" s="79">
        <v>0</v>
      </c>
      <c r="BH134" s="79">
        <v>0</v>
      </c>
      <c r="BI134" s="79">
        <v>0</v>
      </c>
      <c r="BJ134" s="79">
        <v>0</v>
      </c>
      <c r="BK134" s="79">
        <v>0</v>
      </c>
      <c r="BL134" s="79">
        <v>0</v>
      </c>
      <c r="BM134" s="79">
        <v>0</v>
      </c>
      <c r="BN134" s="79">
        <v>0</v>
      </c>
      <c r="BO134" s="79">
        <v>1080</v>
      </c>
    </row>
    <row r="135" spans="1:67">
      <c r="A135" s="66" t="s">
        <v>1701</v>
      </c>
      <c r="B135" s="66" t="str">
        <f>_xlfn.TEXTJOIN("_",,ERP_34[[#This Row],[LT Member -1*]],ERP_34[[#This Row],[Expense Category]],ERP_34[[#This Row],[Project Code*]])</f>
        <v>Dougherty, Chris_HW MAINTENANCE_EP&amp;SCharges001</v>
      </c>
      <c r="C135" s="67" t="s">
        <v>1136</v>
      </c>
      <c r="D135" s="67" t="s">
        <v>1135</v>
      </c>
      <c r="E135" s="67" t="s">
        <v>1135</v>
      </c>
      <c r="F135" s="67" t="s">
        <v>1137</v>
      </c>
      <c r="G135" s="68" t="s">
        <v>342</v>
      </c>
      <c r="H135" s="106" t="s">
        <v>1174</v>
      </c>
      <c r="I135" s="70"/>
      <c r="J135" s="70"/>
      <c r="K135" s="70" t="s">
        <v>56</v>
      </c>
      <c r="L135" s="70" t="s">
        <v>1139</v>
      </c>
      <c r="M135" s="70"/>
      <c r="N135" s="70"/>
      <c r="O135" s="67" t="s">
        <v>57</v>
      </c>
      <c r="P135" s="67"/>
      <c r="Q135" s="71"/>
      <c r="R135" s="72">
        <v>0</v>
      </c>
      <c r="S135" s="73">
        <v>2120</v>
      </c>
      <c r="T135" s="73">
        <v>0</v>
      </c>
      <c r="U135" s="71">
        <f>ERP_34[[#This Row],[LE2 Final Submission]]-ERP_34[[#This Row],[LE3 Final Submission]]</f>
        <v>2120</v>
      </c>
      <c r="V135" s="74">
        <v>2120</v>
      </c>
      <c r="W135" s="124">
        <v>0</v>
      </c>
      <c r="X135" s="124">
        <v>0</v>
      </c>
      <c r="Y135" s="109">
        <v>0</v>
      </c>
      <c r="Z135" s="109">
        <v>0</v>
      </c>
      <c r="AA135" s="109">
        <v>0</v>
      </c>
      <c r="AB135" s="109">
        <v>0</v>
      </c>
      <c r="AC135" s="109">
        <v>0</v>
      </c>
      <c r="AD135" s="109">
        <v>0</v>
      </c>
      <c r="AE135" s="109">
        <v>0</v>
      </c>
      <c r="AF135" s="109">
        <v>0</v>
      </c>
      <c r="AG135" s="109">
        <v>0</v>
      </c>
      <c r="AH135" s="77">
        <f t="shared" si="8"/>
        <v>2120</v>
      </c>
      <c r="AI135" s="108">
        <f>ERP_34[[#This Row],[2026 Working Total]]-ERP_34[[#This Row],[2026 LE0]]</f>
        <v>2120</v>
      </c>
      <c r="AJ135" s="79"/>
      <c r="AK135" s="79"/>
      <c r="AL1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5" s="80"/>
      <c r="AN135" s="79">
        <f>ERP_34[[#This Row],[2026 Working Total to Budget/LE]]-ERP_34[[#This Row],[Giveback]]</f>
        <v>2120</v>
      </c>
      <c r="AO135" s="81"/>
      <c r="AP135" s="81">
        <v>2120</v>
      </c>
      <c r="AQ135" s="81">
        <v>0</v>
      </c>
      <c r="AR135" s="81">
        <v>0</v>
      </c>
      <c r="AS135" s="81">
        <v>0</v>
      </c>
      <c r="AT135" s="81">
        <v>0</v>
      </c>
      <c r="AU135" s="81">
        <v>0</v>
      </c>
      <c r="AV135" s="81">
        <v>0</v>
      </c>
      <c r="AW135" s="81">
        <v>0</v>
      </c>
      <c r="AX135" s="81">
        <v>0</v>
      </c>
      <c r="AY135" s="81">
        <v>0</v>
      </c>
      <c r="AZ135" s="81">
        <v>0</v>
      </c>
      <c r="BA135" s="81">
        <v>0</v>
      </c>
      <c r="BB135" s="81">
        <v>2120</v>
      </c>
      <c r="BC135" s="79">
        <v>2120</v>
      </c>
      <c r="BD135" s="79">
        <v>0</v>
      </c>
      <c r="BE135" s="79">
        <v>0</v>
      </c>
      <c r="BF135" s="79">
        <v>0</v>
      </c>
      <c r="BG135" s="79">
        <v>0</v>
      </c>
      <c r="BH135" s="79">
        <v>0</v>
      </c>
      <c r="BI135" s="79">
        <v>0</v>
      </c>
      <c r="BJ135" s="79">
        <v>0</v>
      </c>
      <c r="BK135" s="79">
        <v>0</v>
      </c>
      <c r="BL135" s="79">
        <v>0</v>
      </c>
      <c r="BM135" s="79">
        <v>0</v>
      </c>
      <c r="BN135" s="79">
        <v>0</v>
      </c>
      <c r="BO135" s="79">
        <v>2120</v>
      </c>
    </row>
    <row r="136" spans="1:67">
      <c r="A136" s="66" t="s">
        <v>1790</v>
      </c>
      <c r="B136" s="66" t="str">
        <f>_xlfn.TEXTJOIN("_",,ERP_34[[#This Row],[LT Member -1*]],ERP_34[[#This Row],[Expense Category]],ERP_34[[#This Row],[Project Code*]])</f>
        <v>Dougherty, Chris_MANAGED SERVICES_EP&amp;SCharges001</v>
      </c>
      <c r="C136" s="67" t="s">
        <v>1136</v>
      </c>
      <c r="D136" s="67" t="s">
        <v>1135</v>
      </c>
      <c r="E136" s="67" t="s">
        <v>1135</v>
      </c>
      <c r="F136" s="67" t="s">
        <v>1137</v>
      </c>
      <c r="G136" s="68" t="s">
        <v>389</v>
      </c>
      <c r="H136" s="106" t="s">
        <v>1174</v>
      </c>
      <c r="I136" s="70"/>
      <c r="J136" s="70"/>
      <c r="K136" s="70" t="s">
        <v>56</v>
      </c>
      <c r="L136" s="70" t="s">
        <v>1139</v>
      </c>
      <c r="M136" s="70"/>
      <c r="N136" s="70"/>
      <c r="O136" s="67" t="s">
        <v>57</v>
      </c>
      <c r="P136" s="67"/>
      <c r="Q136" s="71"/>
      <c r="R136" s="72">
        <v>48000</v>
      </c>
      <c r="S136" s="73">
        <v>49773.74</v>
      </c>
      <c r="T136" s="73">
        <v>48000</v>
      </c>
      <c r="U136" s="71">
        <f>ERP_34[[#This Row],[LE2 Final Submission]]-ERP_34[[#This Row],[LE3 Final Submission]]</f>
        <v>1773.739999999998</v>
      </c>
      <c r="V136" s="74">
        <v>4838.91</v>
      </c>
      <c r="W136" s="75">
        <v>4409.8999999999996</v>
      </c>
      <c r="X136" s="75">
        <v>4524.93</v>
      </c>
      <c r="Y136" s="76">
        <v>4000</v>
      </c>
      <c r="Z136" s="76">
        <v>4000</v>
      </c>
      <c r="AA136" s="76">
        <v>4000</v>
      </c>
      <c r="AB136" s="76">
        <v>4000</v>
      </c>
      <c r="AC136" s="76">
        <v>4000</v>
      </c>
      <c r="AD136" s="76">
        <v>4000</v>
      </c>
      <c r="AE136" s="76">
        <v>4000</v>
      </c>
      <c r="AF136" s="76">
        <v>4000</v>
      </c>
      <c r="AG136" s="76">
        <v>4000</v>
      </c>
      <c r="AH136" s="77">
        <f t="shared" si="8"/>
        <v>49773.74</v>
      </c>
      <c r="AI136" s="108">
        <f>ERP_34[[#This Row],[2026 Working Total]]-ERP_34[[#This Row],[2026 LE0]]</f>
        <v>1773.739999999998</v>
      </c>
      <c r="AJ136" s="79"/>
      <c r="AK136" s="79"/>
      <c r="AL1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6" s="80"/>
      <c r="AN136" s="79">
        <f>ERP_34[[#This Row],[2026 Working Total to Budget/LE]]-ERP_34[[#This Row],[Giveback]]</f>
        <v>1773.739999999998</v>
      </c>
      <c r="AO136" s="81"/>
      <c r="AP136" s="81">
        <v>4838.91</v>
      </c>
      <c r="AQ136" s="81">
        <v>4409.8999999999996</v>
      </c>
      <c r="AR136" s="81">
        <v>4524.93</v>
      </c>
      <c r="AS136" s="81">
        <v>4000</v>
      </c>
      <c r="AT136" s="81">
        <v>4000</v>
      </c>
      <c r="AU136" s="81">
        <v>4000</v>
      </c>
      <c r="AV136" s="81">
        <v>4000</v>
      </c>
      <c r="AW136" s="81">
        <v>4000</v>
      </c>
      <c r="AX136" s="81">
        <v>4000</v>
      </c>
      <c r="AY136" s="81">
        <v>4000</v>
      </c>
      <c r="AZ136" s="81">
        <v>4000</v>
      </c>
      <c r="BA136" s="81">
        <v>4000</v>
      </c>
      <c r="BB136" s="81">
        <v>49773.74</v>
      </c>
      <c r="BC136" s="79">
        <v>4838.91</v>
      </c>
      <c r="BD136" s="79">
        <v>4409.8999999999996</v>
      </c>
      <c r="BE136" s="79">
        <v>4524.93</v>
      </c>
      <c r="BF136" s="79">
        <v>4000</v>
      </c>
      <c r="BG136" s="79">
        <v>4000</v>
      </c>
      <c r="BH136" s="79">
        <v>4000</v>
      </c>
      <c r="BI136" s="79">
        <v>4000</v>
      </c>
      <c r="BJ136" s="79">
        <v>4000</v>
      </c>
      <c r="BK136" s="79">
        <v>4000</v>
      </c>
      <c r="BL136" s="79">
        <v>4000</v>
      </c>
      <c r="BM136" s="79">
        <v>4000</v>
      </c>
      <c r="BN136" s="79">
        <v>4000</v>
      </c>
      <c r="BO136" s="79">
        <v>49773.74</v>
      </c>
    </row>
    <row r="137" spans="1:67">
      <c r="A137" s="66" t="s">
        <v>1791</v>
      </c>
      <c r="B137" s="66" t="str">
        <f>_xlfn.TEXTJOIN("_",,ERP_34[[#This Row],[LT Member -1*]],ERP_34[[#This Row],[Expense Category]],ERP_34[[#This Row],[Project Code*]])</f>
        <v>Maguire, Karla_MANAGED SERVICES_EP&amp;SCharges001</v>
      </c>
      <c r="C137" s="67" t="s">
        <v>1136</v>
      </c>
      <c r="D137" s="67" t="s">
        <v>1135</v>
      </c>
      <c r="E137" s="67" t="s">
        <v>1137</v>
      </c>
      <c r="F137" s="67" t="s">
        <v>1137</v>
      </c>
      <c r="G137" s="68" t="s">
        <v>389</v>
      </c>
      <c r="H137" s="106" t="s">
        <v>1174</v>
      </c>
      <c r="I137" s="70"/>
      <c r="J137" s="70"/>
      <c r="K137" s="70" t="s">
        <v>56</v>
      </c>
      <c r="L137" s="70" t="s">
        <v>1139</v>
      </c>
      <c r="M137" s="70"/>
      <c r="N137" s="70"/>
      <c r="O137" s="67" t="s">
        <v>57</v>
      </c>
      <c r="P137" s="67"/>
      <c r="Q137" s="71"/>
      <c r="R137" s="72">
        <v>0</v>
      </c>
      <c r="S137" s="73">
        <v>1.26</v>
      </c>
      <c r="T137" s="73">
        <v>0</v>
      </c>
      <c r="U137" s="71">
        <f>ERP_34[[#This Row],[LE2 Final Submission]]-ERP_34[[#This Row],[LE3 Final Submission]]</f>
        <v>1.26</v>
      </c>
      <c r="V137" s="74">
        <v>0.42</v>
      </c>
      <c r="W137" s="75">
        <v>0.36</v>
      </c>
      <c r="X137" s="75">
        <v>0.48</v>
      </c>
      <c r="Y137" s="109">
        <v>0</v>
      </c>
      <c r="Z137" s="109">
        <v>0</v>
      </c>
      <c r="AA137" s="109">
        <v>0</v>
      </c>
      <c r="AB137" s="109">
        <v>0</v>
      </c>
      <c r="AC137" s="109">
        <v>0</v>
      </c>
      <c r="AD137" s="109">
        <v>0</v>
      </c>
      <c r="AE137" s="109">
        <v>0</v>
      </c>
      <c r="AF137" s="109">
        <v>0</v>
      </c>
      <c r="AG137" s="109">
        <v>0</v>
      </c>
      <c r="AH137" s="77">
        <f t="shared" si="8"/>
        <v>1.26</v>
      </c>
      <c r="AI137" s="108">
        <f>ERP_34[[#This Row],[2026 Working Total]]-ERP_34[[#This Row],[2026 LE0]]</f>
        <v>1.26</v>
      </c>
      <c r="AJ137" s="79"/>
      <c r="AK137" s="79"/>
      <c r="AL137" s="79">
        <f>ERP_34[[#This Row],[AP01]]+ERP_34[[#This Row],[AP02]]+ERP_34[[#This Row],[AP03]]+ERP_34[[#This Row],[AP04]]-ERP_34[[#This Row],[AP01 LE2]]-ERP_34[[#This Row],[AP02 LE2]]-ERP_34[[#This Row],[AP03 LE2]]-ERP_34[[#This Row],[AP04 LE2]]</f>
        <v>1.1102230246251565E-16</v>
      </c>
      <c r="AM137" s="80"/>
      <c r="AN137" s="79">
        <f>ERP_34[[#This Row],[2026 Working Total to Budget/LE]]-ERP_34[[#This Row],[Giveback]]</f>
        <v>1.26</v>
      </c>
      <c r="AO137" s="81"/>
      <c r="AP137" s="81">
        <v>0.42</v>
      </c>
      <c r="AQ137" s="81">
        <v>0.36</v>
      </c>
      <c r="AR137" s="81">
        <v>0.48</v>
      </c>
      <c r="AS137" s="81">
        <v>0</v>
      </c>
      <c r="AT137" s="81">
        <v>0</v>
      </c>
      <c r="AU137" s="81">
        <v>0</v>
      </c>
      <c r="AV137" s="81">
        <v>0</v>
      </c>
      <c r="AW137" s="81">
        <v>0</v>
      </c>
      <c r="AX137" s="81">
        <v>0</v>
      </c>
      <c r="AY137" s="81">
        <v>0</v>
      </c>
      <c r="AZ137" s="81">
        <v>0</v>
      </c>
      <c r="BA137" s="81">
        <v>0</v>
      </c>
      <c r="BB137" s="81">
        <v>1.26</v>
      </c>
      <c r="BC137" s="79">
        <v>0.42</v>
      </c>
      <c r="BD137" s="79">
        <v>0.36</v>
      </c>
      <c r="BE137" s="79">
        <v>0.48</v>
      </c>
      <c r="BF137" s="79">
        <v>0</v>
      </c>
      <c r="BG137" s="79">
        <v>0</v>
      </c>
      <c r="BH137" s="79">
        <v>0</v>
      </c>
      <c r="BI137" s="79">
        <v>0</v>
      </c>
      <c r="BJ137" s="79">
        <v>0</v>
      </c>
      <c r="BK137" s="79">
        <v>0</v>
      </c>
      <c r="BL137" s="79">
        <v>0</v>
      </c>
      <c r="BM137" s="79">
        <v>0</v>
      </c>
      <c r="BN137" s="79">
        <v>0</v>
      </c>
      <c r="BO137" s="79">
        <v>1.26</v>
      </c>
    </row>
    <row r="138" spans="1:67">
      <c r="A138" s="66" t="s">
        <v>1794</v>
      </c>
      <c r="B138" s="66" t="str">
        <f>_xlfn.TEXTJOIN("_",,ERP_34[[#This Row],[LT Member -1*]],ERP_34[[#This Row],[Expense Category]],ERP_34[[#This Row],[Project Code*]])</f>
        <v>McCormick, Pete_MANAGED SERVICES_EP&amp;SCharges001</v>
      </c>
      <c r="C138" s="67" t="s">
        <v>1136</v>
      </c>
      <c r="D138" s="67" t="s">
        <v>1135</v>
      </c>
      <c r="E138" s="67" t="s">
        <v>1145</v>
      </c>
      <c r="F138" s="67" t="s">
        <v>1137</v>
      </c>
      <c r="G138" s="68" t="s">
        <v>389</v>
      </c>
      <c r="H138" s="106" t="s">
        <v>1174</v>
      </c>
      <c r="I138" s="70"/>
      <c r="J138" s="70"/>
      <c r="K138" s="70" t="s">
        <v>56</v>
      </c>
      <c r="L138" s="70" t="s">
        <v>1153</v>
      </c>
      <c r="M138" s="70"/>
      <c r="N138" s="70"/>
      <c r="O138" s="67" t="s">
        <v>57</v>
      </c>
      <c r="P138" s="67"/>
      <c r="Q138" s="71"/>
      <c r="R138" s="72">
        <v>672000</v>
      </c>
      <c r="S138" s="73">
        <v>633103.17999999993</v>
      </c>
      <c r="T138" s="73">
        <v>672000</v>
      </c>
      <c r="U138" s="71">
        <f>ERP_34[[#This Row],[LE2 Final Submission]]-ERP_34[[#This Row],[LE3 Final Submission]]</f>
        <v>-38896.820000000065</v>
      </c>
      <c r="V138" s="74">
        <v>45611.11</v>
      </c>
      <c r="W138" s="75">
        <v>43675.76</v>
      </c>
      <c r="X138" s="75">
        <v>39816.31</v>
      </c>
      <c r="Y138" s="76">
        <v>56000</v>
      </c>
      <c r="Z138" s="76">
        <v>56000</v>
      </c>
      <c r="AA138" s="76">
        <v>56000</v>
      </c>
      <c r="AB138" s="76">
        <v>56000</v>
      </c>
      <c r="AC138" s="76">
        <v>56000</v>
      </c>
      <c r="AD138" s="76">
        <v>56000</v>
      </c>
      <c r="AE138" s="76">
        <v>56000</v>
      </c>
      <c r="AF138" s="76">
        <v>56000</v>
      </c>
      <c r="AG138" s="76">
        <v>56000</v>
      </c>
      <c r="AH138" s="77">
        <f t="shared" si="8"/>
        <v>633103.17999999993</v>
      </c>
      <c r="AI138" s="108">
        <f>ERP_34[[#This Row],[2026 Working Total]]-ERP_34[[#This Row],[2026 LE0]]</f>
        <v>-38896.820000000065</v>
      </c>
      <c r="AJ138" s="79"/>
      <c r="AK138" s="79"/>
      <c r="AL1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8" s="80"/>
      <c r="AN138" s="79">
        <f>ERP_34[[#This Row],[2026 Working Total to Budget/LE]]-ERP_34[[#This Row],[Giveback]]</f>
        <v>-38896.820000000065</v>
      </c>
      <c r="AO138" s="81"/>
      <c r="AP138" s="81">
        <v>45611.11</v>
      </c>
      <c r="AQ138" s="81">
        <v>43675.76</v>
      </c>
      <c r="AR138" s="81">
        <v>39816.31</v>
      </c>
      <c r="AS138" s="81">
        <v>56000</v>
      </c>
      <c r="AT138" s="81">
        <v>56000</v>
      </c>
      <c r="AU138" s="81">
        <v>56000</v>
      </c>
      <c r="AV138" s="81">
        <v>56000</v>
      </c>
      <c r="AW138" s="81">
        <v>56000</v>
      </c>
      <c r="AX138" s="81">
        <v>56000</v>
      </c>
      <c r="AY138" s="81">
        <v>56000</v>
      </c>
      <c r="AZ138" s="81">
        <v>56000</v>
      </c>
      <c r="BA138" s="81">
        <v>56000</v>
      </c>
      <c r="BB138" s="81">
        <v>633103.17999999993</v>
      </c>
      <c r="BC138" s="79">
        <v>45611.11</v>
      </c>
      <c r="BD138" s="79">
        <v>43675.76</v>
      </c>
      <c r="BE138" s="79">
        <v>39816.31</v>
      </c>
      <c r="BF138" s="79">
        <v>56000</v>
      </c>
      <c r="BG138" s="79">
        <v>56000</v>
      </c>
      <c r="BH138" s="79">
        <v>56000</v>
      </c>
      <c r="BI138" s="79">
        <v>56000</v>
      </c>
      <c r="BJ138" s="79">
        <v>56000</v>
      </c>
      <c r="BK138" s="79">
        <v>56000</v>
      </c>
      <c r="BL138" s="79">
        <v>56000</v>
      </c>
      <c r="BM138" s="79">
        <v>56000</v>
      </c>
      <c r="BN138" s="79">
        <v>56000</v>
      </c>
      <c r="BO138" s="79">
        <v>633103.17999999993</v>
      </c>
    </row>
    <row r="139" spans="1:67">
      <c r="A139" s="66" t="s">
        <v>1796</v>
      </c>
      <c r="B139" s="66" t="str">
        <f>_xlfn.TEXTJOIN("_",,ERP_34[[#This Row],[LT Member -1*]],ERP_34[[#This Row],[Expense Category]],ERP_34[[#This Row],[Project Code*]])</f>
        <v>Tamavada, Ram_MANAGED SERVICES_EP&amp;SCharges001</v>
      </c>
      <c r="C139" s="67" t="s">
        <v>1136</v>
      </c>
      <c r="D139" s="67" t="s">
        <v>1135</v>
      </c>
      <c r="E139" s="67" t="s">
        <v>1165</v>
      </c>
      <c r="F139" s="67" t="s">
        <v>1137</v>
      </c>
      <c r="G139" s="68" t="s">
        <v>389</v>
      </c>
      <c r="H139" s="106" t="s">
        <v>1174</v>
      </c>
      <c r="I139" s="70"/>
      <c r="J139" s="70"/>
      <c r="K139" s="114" t="s">
        <v>56</v>
      </c>
      <c r="L139" s="70"/>
      <c r="M139" s="70"/>
      <c r="N139" s="70"/>
      <c r="O139" s="67" t="s">
        <v>57</v>
      </c>
      <c r="P139" s="67"/>
      <c r="Q139" s="71"/>
      <c r="R139" s="72">
        <v>480000</v>
      </c>
      <c r="S139" s="73">
        <v>717425.61</v>
      </c>
      <c r="T139" s="73">
        <v>480000</v>
      </c>
      <c r="U139" s="71">
        <f>ERP_34[[#This Row],[LE2 Final Submission]]-ERP_34[[#This Row],[LE3 Final Submission]]</f>
        <v>237425.61</v>
      </c>
      <c r="V139" s="74">
        <v>61804.2</v>
      </c>
      <c r="W139" s="75">
        <v>58988.63</v>
      </c>
      <c r="X139" s="75">
        <v>56632.78</v>
      </c>
      <c r="Y139" s="76">
        <v>60000</v>
      </c>
      <c r="Z139" s="76">
        <v>60000</v>
      </c>
      <c r="AA139" s="76">
        <v>60000</v>
      </c>
      <c r="AB139" s="76">
        <v>60000</v>
      </c>
      <c r="AC139" s="76">
        <v>60000</v>
      </c>
      <c r="AD139" s="76">
        <v>60000</v>
      </c>
      <c r="AE139" s="76">
        <v>60000</v>
      </c>
      <c r="AF139" s="76">
        <v>60000</v>
      </c>
      <c r="AG139" s="76">
        <v>60000</v>
      </c>
      <c r="AH139" s="77">
        <f t="shared" si="8"/>
        <v>717425.61</v>
      </c>
      <c r="AI139" s="108">
        <f>ERP_34[[#This Row],[2026 Working Total]]-ERP_34[[#This Row],[2026 LE0]]</f>
        <v>237425.61</v>
      </c>
      <c r="AJ139" s="79"/>
      <c r="AK139" s="79"/>
      <c r="AL1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39" s="80"/>
      <c r="AN139" s="79">
        <f>ERP_34[[#This Row],[2026 Working Total to Budget/LE]]-ERP_34[[#This Row],[Giveback]]</f>
        <v>237425.61</v>
      </c>
      <c r="AO139" s="81"/>
      <c r="AP139" s="81">
        <v>61804.2</v>
      </c>
      <c r="AQ139" s="81">
        <v>58988.63</v>
      </c>
      <c r="AR139" s="81">
        <v>56632.78</v>
      </c>
      <c r="AS139" s="81">
        <v>60000</v>
      </c>
      <c r="AT139" s="81">
        <v>60000</v>
      </c>
      <c r="AU139" s="81">
        <v>60000</v>
      </c>
      <c r="AV139" s="81">
        <v>60000</v>
      </c>
      <c r="AW139" s="81">
        <v>60000</v>
      </c>
      <c r="AX139" s="81">
        <v>60000</v>
      </c>
      <c r="AY139" s="81">
        <v>60000</v>
      </c>
      <c r="AZ139" s="81">
        <v>60000</v>
      </c>
      <c r="BA139" s="81">
        <v>60000</v>
      </c>
      <c r="BB139" s="81">
        <v>717425.61</v>
      </c>
      <c r="BC139" s="79">
        <v>61804.2</v>
      </c>
      <c r="BD139" s="79">
        <v>58988.63</v>
      </c>
      <c r="BE139" s="79">
        <v>56632.78</v>
      </c>
      <c r="BF139" s="79">
        <v>40000</v>
      </c>
      <c r="BG139" s="79">
        <v>40000</v>
      </c>
      <c r="BH139" s="79">
        <v>40000</v>
      </c>
      <c r="BI139" s="79">
        <v>40000</v>
      </c>
      <c r="BJ139" s="79">
        <v>40000</v>
      </c>
      <c r="BK139" s="79">
        <v>40000</v>
      </c>
      <c r="BL139" s="79">
        <v>40000</v>
      </c>
      <c r="BM139" s="79">
        <v>40000</v>
      </c>
      <c r="BN139" s="79">
        <v>40000</v>
      </c>
      <c r="BO139" s="79">
        <v>537425.61</v>
      </c>
    </row>
    <row r="140" spans="1:67">
      <c r="A140" s="66" t="s">
        <v>2260</v>
      </c>
      <c r="B140" s="66" t="str">
        <f>_xlfn.TEXTJOIN("_",,ERP_34[[#This Row],[LT Member -1*]],ERP_34[[#This Row],[Expense Category]],ERP_34[[#This Row],[Project Code*]])</f>
        <v>Dougherty, Chris_SOFTWARE_EP&amp;SCharges001</v>
      </c>
      <c r="C140" s="67" t="s">
        <v>1136</v>
      </c>
      <c r="D140" s="67" t="s">
        <v>1135</v>
      </c>
      <c r="E140" s="67" t="s">
        <v>1135</v>
      </c>
      <c r="F140" s="67" t="s">
        <v>1137</v>
      </c>
      <c r="G140" s="68" t="s">
        <v>639</v>
      </c>
      <c r="H140" s="106" t="s">
        <v>1174</v>
      </c>
      <c r="I140" s="70"/>
      <c r="J140" s="70"/>
      <c r="K140" s="70" t="s">
        <v>56</v>
      </c>
      <c r="L140" s="70"/>
      <c r="M140" s="70"/>
      <c r="N140" s="70"/>
      <c r="O140" s="67" t="s">
        <v>57</v>
      </c>
      <c r="P140" s="67"/>
      <c r="Q140" s="71"/>
      <c r="R140" s="72">
        <v>0</v>
      </c>
      <c r="S140" s="73">
        <v>4158.38</v>
      </c>
      <c r="T140" s="73">
        <v>0</v>
      </c>
      <c r="U140" s="71">
        <f>ERP_34[[#This Row],[LE2 Final Submission]]-ERP_34[[#This Row],[LE3 Final Submission]]</f>
        <v>4158.38</v>
      </c>
      <c r="V140" s="74">
        <v>279.45999999999998</v>
      </c>
      <c r="W140" s="75">
        <v>279.45999999999998</v>
      </c>
      <c r="X140" s="75">
        <v>899.46</v>
      </c>
      <c r="Y140" s="109">
        <v>300</v>
      </c>
      <c r="Z140" s="109">
        <v>300</v>
      </c>
      <c r="AA140" s="109">
        <v>300</v>
      </c>
      <c r="AB140" s="109">
        <v>300</v>
      </c>
      <c r="AC140" s="109">
        <v>300</v>
      </c>
      <c r="AD140" s="109">
        <v>300</v>
      </c>
      <c r="AE140" s="109">
        <v>300</v>
      </c>
      <c r="AF140" s="109">
        <v>300</v>
      </c>
      <c r="AG140" s="109">
        <v>300</v>
      </c>
      <c r="AH140" s="77">
        <f t="shared" ref="AH140:AH203" si="9">SUM(V140:AG140)</f>
        <v>4158.38</v>
      </c>
      <c r="AI140" s="108">
        <f>ERP_34[[#This Row],[2026 Working Total]]-ERP_34[[#This Row],[2026 LE0]]</f>
        <v>4158.38</v>
      </c>
      <c r="AJ140" s="79"/>
      <c r="AK140" s="79"/>
      <c r="AL1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0" s="80"/>
      <c r="AN140" s="79">
        <f>ERP_34[[#This Row],[2026 Working Total to Budget/LE]]-ERP_34[[#This Row],[Giveback]]</f>
        <v>4158.38</v>
      </c>
      <c r="AO140" s="81"/>
      <c r="AP140" s="81">
        <v>279.45999999999998</v>
      </c>
      <c r="AQ140" s="81">
        <v>279.45999999999998</v>
      </c>
      <c r="AR140" s="81">
        <v>899.46</v>
      </c>
      <c r="AS140" s="81">
        <v>300</v>
      </c>
      <c r="AT140" s="81">
        <v>300</v>
      </c>
      <c r="AU140" s="81">
        <v>300</v>
      </c>
      <c r="AV140" s="81">
        <v>300</v>
      </c>
      <c r="AW140" s="81">
        <v>300</v>
      </c>
      <c r="AX140" s="81">
        <v>300</v>
      </c>
      <c r="AY140" s="81">
        <v>300</v>
      </c>
      <c r="AZ140" s="81">
        <v>300</v>
      </c>
      <c r="BA140" s="81">
        <v>300</v>
      </c>
      <c r="BB140" s="81">
        <v>4158.38</v>
      </c>
      <c r="BC140" s="79">
        <v>279.45999999999998</v>
      </c>
      <c r="BD140" s="79">
        <v>279.45999999999998</v>
      </c>
      <c r="BE140" s="79">
        <v>899.46</v>
      </c>
      <c r="BF140" s="79">
        <v>0</v>
      </c>
      <c r="BG140" s="79">
        <v>0</v>
      </c>
      <c r="BH140" s="79">
        <v>0</v>
      </c>
      <c r="BI140" s="79">
        <v>0</v>
      </c>
      <c r="BJ140" s="79">
        <v>0</v>
      </c>
      <c r="BK140" s="79">
        <v>0</v>
      </c>
      <c r="BL140" s="79">
        <v>0</v>
      </c>
      <c r="BM140" s="79">
        <v>0</v>
      </c>
      <c r="BN140" s="79">
        <v>0</v>
      </c>
      <c r="BO140" s="79">
        <v>1458.38</v>
      </c>
    </row>
    <row r="141" spans="1:67">
      <c r="A141" s="66" t="s">
        <v>2261</v>
      </c>
      <c r="B141" s="66" t="str">
        <f>_xlfn.TEXTJOIN("_",,ERP_34[[#This Row],[LT Member -1*]],ERP_34[[#This Row],[Expense Category]],ERP_34[[#This Row],[Project Code*]])</f>
        <v>McCormick, Pete_SOFTWARE_EP&amp;SCharges001</v>
      </c>
      <c r="C141" s="67" t="s">
        <v>1136</v>
      </c>
      <c r="D141" s="67" t="s">
        <v>1135</v>
      </c>
      <c r="E141" s="67" t="s">
        <v>1145</v>
      </c>
      <c r="F141" s="67" t="s">
        <v>1137</v>
      </c>
      <c r="G141" s="68" t="s">
        <v>639</v>
      </c>
      <c r="H141" s="106" t="s">
        <v>1174</v>
      </c>
      <c r="I141" s="70"/>
      <c r="J141" s="70"/>
      <c r="K141" s="70" t="s">
        <v>56</v>
      </c>
      <c r="L141" s="70"/>
      <c r="M141" s="70"/>
      <c r="N141" s="70"/>
      <c r="O141" s="67" t="s">
        <v>57</v>
      </c>
      <c r="P141" s="67"/>
      <c r="Q141" s="71"/>
      <c r="R141" s="72">
        <v>48000</v>
      </c>
      <c r="S141" s="73">
        <v>47938.130000000005</v>
      </c>
      <c r="T141" s="73">
        <v>48000</v>
      </c>
      <c r="U141" s="71">
        <f>ERP_34[[#This Row],[LE2 Final Submission]]-ERP_34[[#This Row],[LE3 Final Submission]]</f>
        <v>-61.869999999995343</v>
      </c>
      <c r="V141" s="74">
        <v>4052.17</v>
      </c>
      <c r="W141" s="75">
        <v>3772.71</v>
      </c>
      <c r="X141" s="75">
        <v>4113.25</v>
      </c>
      <c r="Y141" s="76">
        <v>4000</v>
      </c>
      <c r="Z141" s="76">
        <v>4000</v>
      </c>
      <c r="AA141" s="76">
        <v>4000</v>
      </c>
      <c r="AB141" s="76">
        <v>4000</v>
      </c>
      <c r="AC141" s="76">
        <v>4000</v>
      </c>
      <c r="AD141" s="76">
        <v>4000</v>
      </c>
      <c r="AE141" s="76">
        <v>4000</v>
      </c>
      <c r="AF141" s="76">
        <v>4000</v>
      </c>
      <c r="AG141" s="76">
        <v>4000</v>
      </c>
      <c r="AH141" s="77">
        <f t="shared" si="9"/>
        <v>47938.130000000005</v>
      </c>
      <c r="AI141" s="108">
        <f>ERP_34[[#This Row],[2026 Working Total]]-ERP_34[[#This Row],[2026 LE0]]</f>
        <v>-61.869999999995343</v>
      </c>
      <c r="AJ141" s="79"/>
      <c r="AK141" s="79"/>
      <c r="AL1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1" s="80"/>
      <c r="AN141" s="79">
        <f>ERP_34[[#This Row],[2026 Working Total to Budget/LE]]-ERP_34[[#This Row],[Giveback]]</f>
        <v>-61.869999999995343</v>
      </c>
      <c r="AO141" s="81"/>
      <c r="AP141" s="81">
        <v>4052.17</v>
      </c>
      <c r="AQ141" s="81">
        <v>3772.71</v>
      </c>
      <c r="AR141" s="81">
        <v>4113.25</v>
      </c>
      <c r="AS141" s="81">
        <v>4000</v>
      </c>
      <c r="AT141" s="81">
        <v>4000</v>
      </c>
      <c r="AU141" s="81">
        <v>4000</v>
      </c>
      <c r="AV141" s="81">
        <v>4000</v>
      </c>
      <c r="AW141" s="81">
        <v>4000</v>
      </c>
      <c r="AX141" s="81">
        <v>4000</v>
      </c>
      <c r="AY141" s="81">
        <v>4000</v>
      </c>
      <c r="AZ141" s="81">
        <v>4000</v>
      </c>
      <c r="BA141" s="81">
        <v>4000</v>
      </c>
      <c r="BB141" s="81">
        <v>47938.130000000005</v>
      </c>
      <c r="BC141" s="79">
        <v>4052.17</v>
      </c>
      <c r="BD141" s="79">
        <v>3772.71</v>
      </c>
      <c r="BE141" s="79">
        <v>4113.25</v>
      </c>
      <c r="BF141" s="79">
        <v>4000</v>
      </c>
      <c r="BG141" s="79">
        <v>4000</v>
      </c>
      <c r="BH141" s="79">
        <v>4000</v>
      </c>
      <c r="BI141" s="79">
        <v>4000</v>
      </c>
      <c r="BJ141" s="79">
        <v>4000</v>
      </c>
      <c r="BK141" s="79">
        <v>4000</v>
      </c>
      <c r="BL141" s="79">
        <v>4000</v>
      </c>
      <c r="BM141" s="79">
        <v>4000</v>
      </c>
      <c r="BN141" s="79">
        <v>4000</v>
      </c>
      <c r="BO141" s="79">
        <v>47938.130000000005</v>
      </c>
    </row>
    <row r="142" spans="1:67">
      <c r="A142" s="66" t="s">
        <v>2263</v>
      </c>
      <c r="B142" s="66" t="str">
        <f>_xlfn.TEXTJOIN("_",,ERP_34[[#This Row],[LT Member -1*]],ERP_34[[#This Row],[Expense Category]],ERP_34[[#This Row],[Project Code*]])</f>
        <v>Tamavada, Ram_SOFTWARE_EP&amp;SCharges001</v>
      </c>
      <c r="C142" s="67" t="s">
        <v>1136</v>
      </c>
      <c r="D142" s="67" t="s">
        <v>1135</v>
      </c>
      <c r="E142" s="67" t="s">
        <v>1165</v>
      </c>
      <c r="F142" s="67" t="s">
        <v>1137</v>
      </c>
      <c r="G142" s="68" t="s">
        <v>639</v>
      </c>
      <c r="H142" s="106" t="s">
        <v>1174</v>
      </c>
      <c r="I142" s="70"/>
      <c r="J142" s="70"/>
      <c r="K142" s="114" t="s">
        <v>56</v>
      </c>
      <c r="L142" s="70"/>
      <c r="M142" s="70"/>
      <c r="N142" s="70"/>
      <c r="O142" s="67" t="s">
        <v>57</v>
      </c>
      <c r="P142" s="67"/>
      <c r="Q142" s="71"/>
      <c r="R142" s="72">
        <v>8383.7999999999975</v>
      </c>
      <c r="S142" s="73">
        <v>8383.76</v>
      </c>
      <c r="T142" s="73">
        <v>8383.7999999999975</v>
      </c>
      <c r="U142" s="71">
        <f>ERP_34[[#This Row],[LE2 Final Submission]]-ERP_34[[#This Row],[LE3 Final Submission]]</f>
        <v>-3.9999999997235136E-2</v>
      </c>
      <c r="V142" s="74">
        <v>698.65</v>
      </c>
      <c r="W142" s="75">
        <v>558.91999999999996</v>
      </c>
      <c r="X142" s="75">
        <v>419.19</v>
      </c>
      <c r="Y142" s="76">
        <v>690</v>
      </c>
      <c r="Z142" s="76">
        <v>767</v>
      </c>
      <c r="AA142" s="76">
        <v>750</v>
      </c>
      <c r="AB142" s="76">
        <v>750</v>
      </c>
      <c r="AC142" s="76">
        <v>750</v>
      </c>
      <c r="AD142" s="76">
        <v>750</v>
      </c>
      <c r="AE142" s="76">
        <v>750</v>
      </c>
      <c r="AF142" s="76">
        <v>750</v>
      </c>
      <c r="AG142" s="76">
        <v>750</v>
      </c>
      <c r="AH142" s="77">
        <f t="shared" si="9"/>
        <v>8383.76</v>
      </c>
      <c r="AI142" s="108">
        <f>ERP_34[[#This Row],[2026 Working Total]]-ERP_34[[#This Row],[2026 LE0]]</f>
        <v>-3.9999999997235136E-2</v>
      </c>
      <c r="AJ142" s="79"/>
      <c r="AK142" s="79"/>
      <c r="AL1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2" s="80"/>
      <c r="AN142" s="79">
        <f>ERP_34[[#This Row],[2026 Working Total to Budget/LE]]-ERP_34[[#This Row],[Giveback]]</f>
        <v>-3.9999999997235136E-2</v>
      </c>
      <c r="AO142" s="81"/>
      <c r="AP142" s="81">
        <v>698.65</v>
      </c>
      <c r="AQ142" s="81">
        <v>558.91999999999996</v>
      </c>
      <c r="AR142" s="81">
        <v>419.19</v>
      </c>
      <c r="AS142" s="81">
        <v>690</v>
      </c>
      <c r="AT142" s="81">
        <v>767</v>
      </c>
      <c r="AU142" s="81">
        <v>750</v>
      </c>
      <c r="AV142" s="81">
        <v>750</v>
      </c>
      <c r="AW142" s="81">
        <v>750</v>
      </c>
      <c r="AX142" s="81">
        <v>750</v>
      </c>
      <c r="AY142" s="81">
        <v>750</v>
      </c>
      <c r="AZ142" s="81">
        <v>750</v>
      </c>
      <c r="BA142" s="81">
        <v>750</v>
      </c>
      <c r="BB142" s="81">
        <v>8383.76</v>
      </c>
      <c r="BC142" s="79">
        <v>698.65</v>
      </c>
      <c r="BD142" s="79">
        <v>558.91999999999996</v>
      </c>
      <c r="BE142" s="79">
        <v>419.19</v>
      </c>
      <c r="BF142" s="79">
        <v>698.65</v>
      </c>
      <c r="BG142" s="79">
        <v>698.65</v>
      </c>
      <c r="BH142" s="79">
        <v>698.65</v>
      </c>
      <c r="BI142" s="79">
        <v>698.65</v>
      </c>
      <c r="BJ142" s="79">
        <v>698.65</v>
      </c>
      <c r="BK142" s="79">
        <v>698.65</v>
      </c>
      <c r="BL142" s="79">
        <v>698.65</v>
      </c>
      <c r="BM142" s="79">
        <v>698.65</v>
      </c>
      <c r="BN142" s="79">
        <v>698.65</v>
      </c>
      <c r="BO142" s="79">
        <v>7964.6099999999979</v>
      </c>
    </row>
    <row r="143" spans="1:67">
      <c r="A143" s="66" t="s">
        <v>1449</v>
      </c>
      <c r="B143" s="66" t="str">
        <f>_xlfn.TEXTJOIN("_",,ERP_34[[#This Row],[LT Member -1*]],ERP_34[[#This Row],[Expense Category]],ERP_34[[#This Row],[Project Code*]])</f>
        <v>Herman, Shaun_CONTRACTORS_EP&amp;SCharges001</v>
      </c>
      <c r="C143" s="67" t="s">
        <v>1136</v>
      </c>
      <c r="D143" s="67" t="s">
        <v>1345</v>
      </c>
      <c r="E143" s="67" t="s">
        <v>1450</v>
      </c>
      <c r="F143" s="67" t="s">
        <v>1346</v>
      </c>
      <c r="G143" s="68" t="s">
        <v>49</v>
      </c>
      <c r="H143" s="106" t="s">
        <v>1174</v>
      </c>
      <c r="I143" s="70"/>
      <c r="J143" s="70"/>
      <c r="K143" s="70" t="s">
        <v>56</v>
      </c>
      <c r="L143" s="70"/>
      <c r="M143" s="70"/>
      <c r="N143" s="70"/>
      <c r="O143" s="67" t="s">
        <v>57</v>
      </c>
      <c r="P143" s="67"/>
      <c r="Q143" s="71"/>
      <c r="R143" s="72">
        <v>0</v>
      </c>
      <c r="S143" s="73">
        <v>2893.46</v>
      </c>
      <c r="T143" s="73">
        <v>0</v>
      </c>
      <c r="U143" s="71">
        <f>ERP_34[[#This Row],[LE2 Final Submission]]-ERP_34[[#This Row],[LE3 Final Submission]]</f>
        <v>2893.46</v>
      </c>
      <c r="V143" s="74">
        <v>183.12</v>
      </c>
      <c r="W143" s="75">
        <v>1029.04</v>
      </c>
      <c r="X143" s="75">
        <v>1681.3</v>
      </c>
      <c r="Y143" s="109">
        <v>0</v>
      </c>
      <c r="Z143" s="109">
        <v>0</v>
      </c>
      <c r="AA143" s="109">
        <v>0</v>
      </c>
      <c r="AB143" s="109">
        <v>0</v>
      </c>
      <c r="AC143" s="109">
        <v>0</v>
      </c>
      <c r="AD143" s="109">
        <v>0</v>
      </c>
      <c r="AE143" s="109">
        <v>0</v>
      </c>
      <c r="AF143" s="109">
        <v>0</v>
      </c>
      <c r="AG143" s="109">
        <v>0</v>
      </c>
      <c r="AH143" s="77">
        <f t="shared" si="9"/>
        <v>2893.46</v>
      </c>
      <c r="AI143" s="108">
        <f>ERP_34[[#This Row],[2026 Working Total]]-ERP_34[[#This Row],[2026 LE0]]</f>
        <v>2893.46</v>
      </c>
      <c r="AJ143" s="79"/>
      <c r="AK143" s="79"/>
      <c r="AL143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143" s="80"/>
      <c r="AN143" s="79">
        <f>ERP_34[[#This Row],[2026 Working Total to Budget/LE]]-ERP_34[[#This Row],[Giveback]]</f>
        <v>2893.46</v>
      </c>
      <c r="AO143" s="81"/>
      <c r="AP143" s="81">
        <v>183.12</v>
      </c>
      <c r="AQ143" s="81">
        <v>1029.04</v>
      </c>
      <c r="AR143" s="81">
        <v>1681.3</v>
      </c>
      <c r="AS143" s="81">
        <v>0</v>
      </c>
      <c r="AT143" s="81">
        <v>0</v>
      </c>
      <c r="AU143" s="81">
        <v>0</v>
      </c>
      <c r="AV143" s="81">
        <v>0</v>
      </c>
      <c r="AW143" s="81">
        <v>0</v>
      </c>
      <c r="AX143" s="81">
        <v>0</v>
      </c>
      <c r="AY143" s="81">
        <v>0</v>
      </c>
      <c r="AZ143" s="81">
        <v>0</v>
      </c>
      <c r="BA143" s="81">
        <v>0</v>
      </c>
      <c r="BB143" s="81">
        <v>2893.46</v>
      </c>
      <c r="BC143" s="79">
        <v>183.12</v>
      </c>
      <c r="BD143" s="79">
        <v>1029.04</v>
      </c>
      <c r="BE143" s="79">
        <v>1681.3</v>
      </c>
      <c r="BF143" s="79">
        <v>0</v>
      </c>
      <c r="BG143" s="79">
        <v>0</v>
      </c>
      <c r="BH143" s="79">
        <v>0</v>
      </c>
      <c r="BI143" s="79">
        <v>0</v>
      </c>
      <c r="BJ143" s="79">
        <v>0</v>
      </c>
      <c r="BK143" s="79">
        <v>0</v>
      </c>
      <c r="BL143" s="79">
        <v>0</v>
      </c>
      <c r="BM143" s="79">
        <v>0</v>
      </c>
      <c r="BN143" s="79">
        <v>0</v>
      </c>
      <c r="BO143" s="79">
        <v>2893.46</v>
      </c>
    </row>
    <row r="144" spans="1:67">
      <c r="A144" s="66" t="s">
        <v>1435</v>
      </c>
      <c r="B144" s="66" t="str">
        <f>_xlfn.TEXTJOIN("_",,ERP_34[[#This Row],[LT Member -1*]],ERP_34[[#This Row],[Expense Category]],ERP_34[[#This Row],[Project Code*]])</f>
        <v>Yeluri, Durga_CONTRACTORS_EP&amp;SCharges001</v>
      </c>
      <c r="C144" s="67" t="s">
        <v>1136</v>
      </c>
      <c r="D144" s="67" t="s">
        <v>1345</v>
      </c>
      <c r="E144" s="67" t="s">
        <v>1437</v>
      </c>
      <c r="F144" s="67" t="s">
        <v>1346</v>
      </c>
      <c r="G144" s="68" t="s">
        <v>49</v>
      </c>
      <c r="H144" s="159" t="s">
        <v>1174</v>
      </c>
      <c r="I144" s="70"/>
      <c r="J144" s="70"/>
      <c r="K144" s="70" t="s">
        <v>56</v>
      </c>
      <c r="L144" s="70"/>
      <c r="M144" s="70"/>
      <c r="N144" s="70"/>
      <c r="O144" s="67" t="s">
        <v>57</v>
      </c>
      <c r="P144" s="67"/>
      <c r="Q144" s="71"/>
      <c r="R144" s="72">
        <v>24000</v>
      </c>
      <c r="S144" s="73">
        <v>18457.8</v>
      </c>
      <c r="T144" s="73">
        <v>24000</v>
      </c>
      <c r="U144" s="71">
        <f>ERP_34[[#This Row],[LE2 Final Submission]]-ERP_34[[#This Row],[LE3 Final Submission]]</f>
        <v>-5542.2000000000007</v>
      </c>
      <c r="V144" s="74">
        <v>366.24</v>
      </c>
      <c r="W144" s="124">
        <v>0</v>
      </c>
      <c r="X144" s="75">
        <v>91.56</v>
      </c>
      <c r="Y144" s="136">
        <v>2000</v>
      </c>
      <c r="Z144" s="136">
        <v>2000</v>
      </c>
      <c r="AA144" s="136">
        <v>2000</v>
      </c>
      <c r="AB144" s="136">
        <v>2000</v>
      </c>
      <c r="AC144" s="136">
        <v>2000</v>
      </c>
      <c r="AD144" s="136">
        <v>2000</v>
      </c>
      <c r="AE144" s="136">
        <v>2000</v>
      </c>
      <c r="AF144" s="136">
        <v>2000</v>
      </c>
      <c r="AG144" s="136">
        <v>2000</v>
      </c>
      <c r="AH144" s="77">
        <f t="shared" si="9"/>
        <v>18457.8</v>
      </c>
      <c r="AI144" s="108">
        <f>ERP_34[[#This Row],[2026 Working Total]]-ERP_34[[#This Row],[2026 LE0]]</f>
        <v>-5542.2000000000007</v>
      </c>
      <c r="AJ144" s="79"/>
      <c r="AK144" s="79"/>
      <c r="AL1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4" s="80"/>
      <c r="AN144" s="79">
        <f>ERP_34[[#This Row],[2026 Working Total to Budget/LE]]-ERP_34[[#This Row],[Giveback]]</f>
        <v>-5542.2000000000007</v>
      </c>
      <c r="AO144" s="81"/>
      <c r="AP144" s="81">
        <v>366.24</v>
      </c>
      <c r="AQ144" s="81">
        <v>0</v>
      </c>
      <c r="AR144" s="81">
        <v>91.56</v>
      </c>
      <c r="AS144" s="81">
        <v>2000</v>
      </c>
      <c r="AT144" s="81">
        <v>2000</v>
      </c>
      <c r="AU144" s="81">
        <v>2000</v>
      </c>
      <c r="AV144" s="81">
        <v>2000</v>
      </c>
      <c r="AW144" s="81">
        <v>2000</v>
      </c>
      <c r="AX144" s="81">
        <v>2000</v>
      </c>
      <c r="AY144" s="81">
        <v>2000</v>
      </c>
      <c r="AZ144" s="81">
        <v>2000</v>
      </c>
      <c r="BA144" s="81">
        <v>2000</v>
      </c>
      <c r="BB144" s="81">
        <v>18457.8</v>
      </c>
      <c r="BC144" s="79">
        <v>366.24</v>
      </c>
      <c r="BD144" s="79">
        <v>0</v>
      </c>
      <c r="BE144" s="79">
        <v>91.56</v>
      </c>
      <c r="BF144" s="79">
        <v>2000</v>
      </c>
      <c r="BG144" s="79">
        <v>2000</v>
      </c>
      <c r="BH144" s="79">
        <v>2000</v>
      </c>
      <c r="BI144" s="79">
        <v>2000</v>
      </c>
      <c r="BJ144" s="79">
        <v>2000</v>
      </c>
      <c r="BK144" s="79">
        <v>2000</v>
      </c>
      <c r="BL144" s="79">
        <v>2000</v>
      </c>
      <c r="BM144" s="79">
        <v>2000</v>
      </c>
      <c r="BN144" s="79">
        <v>2000</v>
      </c>
      <c r="BO144" s="79">
        <v>18457.8</v>
      </c>
    </row>
    <row r="145" spans="1:67">
      <c r="A145" s="66" t="s">
        <v>2094</v>
      </c>
      <c r="B145" s="66" t="str">
        <f>_xlfn.TEXTJOIN("_",,ERP_34[[#This Row],[LT Member -1*]],ERP_34[[#This Row],[Expense Category]],ERP_34[[#This Row],[Project Code*]])</f>
        <v>DeHart, Lynn_MANAGED SERVICES_EP&amp;SCharges001</v>
      </c>
      <c r="C145" s="67" t="s">
        <v>1136</v>
      </c>
      <c r="D145" s="67" t="s">
        <v>1345</v>
      </c>
      <c r="E145" s="67" t="s">
        <v>1346</v>
      </c>
      <c r="F145" s="67" t="s">
        <v>1346</v>
      </c>
      <c r="G145" s="68" t="s">
        <v>389</v>
      </c>
      <c r="H145" s="106" t="s">
        <v>1174</v>
      </c>
      <c r="I145" s="70"/>
      <c r="J145" s="70"/>
      <c r="K145" s="70" t="s">
        <v>56</v>
      </c>
      <c r="L145" s="70"/>
      <c r="M145" s="70"/>
      <c r="N145" s="70"/>
      <c r="O145" s="67" t="s">
        <v>57</v>
      </c>
      <c r="P145" s="67"/>
      <c r="Q145" s="71"/>
      <c r="R145" s="72">
        <v>19212</v>
      </c>
      <c r="S145" s="73">
        <v>19118.86</v>
      </c>
      <c r="T145" s="73">
        <v>19212</v>
      </c>
      <c r="U145" s="71">
        <f>ERP_34[[#This Row],[LE2 Final Submission]]-ERP_34[[#This Row],[LE3 Final Submission]]</f>
        <v>-93.139999999999418</v>
      </c>
      <c r="V145" s="74">
        <v>1556.11</v>
      </c>
      <c r="W145" s="75">
        <v>1531.5</v>
      </c>
      <c r="X145" s="75">
        <v>1622.25</v>
      </c>
      <c r="Y145" s="76">
        <v>1601</v>
      </c>
      <c r="Z145" s="76">
        <v>1601</v>
      </c>
      <c r="AA145" s="76">
        <v>1601</v>
      </c>
      <c r="AB145" s="76">
        <v>1601</v>
      </c>
      <c r="AC145" s="76">
        <v>1601</v>
      </c>
      <c r="AD145" s="76">
        <v>1601</v>
      </c>
      <c r="AE145" s="76">
        <v>1601</v>
      </c>
      <c r="AF145" s="76">
        <v>1601</v>
      </c>
      <c r="AG145" s="76">
        <v>1601</v>
      </c>
      <c r="AH145" s="77">
        <f t="shared" si="9"/>
        <v>19118.86</v>
      </c>
      <c r="AI145" s="108">
        <f>ERP_34[[#This Row],[2026 Working Total]]-ERP_34[[#This Row],[2026 LE0]]</f>
        <v>-93.139999999999418</v>
      </c>
      <c r="AJ145" s="79"/>
      <c r="AK145" s="79"/>
      <c r="AL1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5" s="80"/>
      <c r="AN145" s="79">
        <f>ERP_34[[#This Row],[2026 Working Total to Budget/LE]]-ERP_34[[#This Row],[Giveback]]</f>
        <v>-93.139999999999418</v>
      </c>
      <c r="AO145" s="81"/>
      <c r="AP145" s="81">
        <v>1556.11</v>
      </c>
      <c r="AQ145" s="81">
        <v>1531.5</v>
      </c>
      <c r="AR145" s="81">
        <v>1622.25</v>
      </c>
      <c r="AS145" s="81">
        <v>1601</v>
      </c>
      <c r="AT145" s="81">
        <v>1601</v>
      </c>
      <c r="AU145" s="81">
        <v>1601</v>
      </c>
      <c r="AV145" s="81">
        <v>1601</v>
      </c>
      <c r="AW145" s="81">
        <v>1601</v>
      </c>
      <c r="AX145" s="81">
        <v>1601</v>
      </c>
      <c r="AY145" s="81">
        <v>1601</v>
      </c>
      <c r="AZ145" s="81">
        <v>1601</v>
      </c>
      <c r="BA145" s="81">
        <v>1601</v>
      </c>
      <c r="BB145" s="81">
        <v>19118.86</v>
      </c>
      <c r="BC145" s="79">
        <v>1556.11</v>
      </c>
      <c r="BD145" s="79">
        <v>1531.5</v>
      </c>
      <c r="BE145" s="79">
        <v>1622.25</v>
      </c>
      <c r="BF145" s="79">
        <v>1601</v>
      </c>
      <c r="BG145" s="79">
        <v>1601</v>
      </c>
      <c r="BH145" s="79">
        <v>1601</v>
      </c>
      <c r="BI145" s="79">
        <v>1601</v>
      </c>
      <c r="BJ145" s="79">
        <v>1601</v>
      </c>
      <c r="BK145" s="79">
        <v>1601</v>
      </c>
      <c r="BL145" s="79">
        <v>1601</v>
      </c>
      <c r="BM145" s="79">
        <v>1601</v>
      </c>
      <c r="BN145" s="79">
        <v>1601</v>
      </c>
      <c r="BO145" s="79">
        <v>19118.86</v>
      </c>
    </row>
    <row r="146" spans="1:67">
      <c r="A146" s="66" t="s">
        <v>1964</v>
      </c>
      <c r="B146" s="66" t="str">
        <f>_xlfn.TEXTJOIN("_",,ERP_34[[#This Row],[LT Member -1*]],ERP_34[[#This Row],[Expense Category]],ERP_34[[#This Row],[Project Code*]])</f>
        <v>Ganesan, Srinivasan_MANAGED SERVICES_EP&amp;SCharges001</v>
      </c>
      <c r="C146" s="67" t="s">
        <v>1136</v>
      </c>
      <c r="D146" s="67" t="s">
        <v>1345</v>
      </c>
      <c r="E146" s="67" t="s">
        <v>1344</v>
      </c>
      <c r="F146" s="67" t="s">
        <v>1346</v>
      </c>
      <c r="G146" s="68" t="s">
        <v>389</v>
      </c>
      <c r="H146" s="106" t="s">
        <v>1174</v>
      </c>
      <c r="I146" s="70"/>
      <c r="J146" s="70"/>
      <c r="K146" s="70" t="s">
        <v>56</v>
      </c>
      <c r="L146" s="70"/>
      <c r="M146" s="70"/>
      <c r="N146" s="70"/>
      <c r="O146" s="67" t="s">
        <v>57</v>
      </c>
      <c r="P146" s="67"/>
      <c r="Q146" s="71"/>
      <c r="R146" s="72">
        <v>18000</v>
      </c>
      <c r="S146" s="73">
        <v>16521.98</v>
      </c>
      <c r="T146" s="73">
        <v>18000</v>
      </c>
      <c r="U146" s="71">
        <f>ERP_34[[#This Row],[LE2 Final Submission]]-ERP_34[[#This Row],[LE3 Final Submission]]</f>
        <v>-1478.0200000000004</v>
      </c>
      <c r="V146" s="74">
        <v>920.95</v>
      </c>
      <c r="W146" s="75">
        <v>1065.45</v>
      </c>
      <c r="X146" s="75">
        <v>1035.58</v>
      </c>
      <c r="Y146" s="76">
        <v>1500</v>
      </c>
      <c r="Z146" s="76">
        <v>1500</v>
      </c>
      <c r="AA146" s="76">
        <v>1500</v>
      </c>
      <c r="AB146" s="76">
        <v>1500</v>
      </c>
      <c r="AC146" s="76">
        <v>1500</v>
      </c>
      <c r="AD146" s="76">
        <v>1500</v>
      </c>
      <c r="AE146" s="76">
        <v>1500</v>
      </c>
      <c r="AF146" s="76">
        <v>1500</v>
      </c>
      <c r="AG146" s="76">
        <v>1500</v>
      </c>
      <c r="AH146" s="77">
        <f t="shared" si="9"/>
        <v>16521.98</v>
      </c>
      <c r="AI146" s="108">
        <f>ERP_34[[#This Row],[2026 Working Total]]-ERP_34[[#This Row],[2026 LE0]]</f>
        <v>-1478.0200000000004</v>
      </c>
      <c r="AJ146" s="79"/>
      <c r="AK146" s="79"/>
      <c r="AL1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6" s="80"/>
      <c r="AN146" s="79">
        <f>ERP_34[[#This Row],[2026 Working Total to Budget/LE]]-ERP_34[[#This Row],[Giveback]]</f>
        <v>-1478.0200000000004</v>
      </c>
      <c r="AO146" s="81"/>
      <c r="AP146" s="81">
        <v>920.95</v>
      </c>
      <c r="AQ146" s="81">
        <v>1065.45</v>
      </c>
      <c r="AR146" s="81">
        <v>1035.58</v>
      </c>
      <c r="AS146" s="81">
        <v>1500</v>
      </c>
      <c r="AT146" s="81">
        <v>1500</v>
      </c>
      <c r="AU146" s="81">
        <v>1500</v>
      </c>
      <c r="AV146" s="81">
        <v>1500</v>
      </c>
      <c r="AW146" s="81">
        <v>1500</v>
      </c>
      <c r="AX146" s="81">
        <v>1500</v>
      </c>
      <c r="AY146" s="81">
        <v>1500</v>
      </c>
      <c r="AZ146" s="81">
        <v>1500</v>
      </c>
      <c r="BA146" s="81">
        <v>1500</v>
      </c>
      <c r="BB146" s="81">
        <v>16521.98</v>
      </c>
      <c r="BC146" s="79">
        <v>920.95</v>
      </c>
      <c r="BD146" s="79">
        <v>1065.45</v>
      </c>
      <c r="BE146" s="79">
        <v>1035.58</v>
      </c>
      <c r="BF146" s="79">
        <v>1500</v>
      </c>
      <c r="BG146" s="79">
        <v>1500</v>
      </c>
      <c r="BH146" s="79">
        <v>1500</v>
      </c>
      <c r="BI146" s="79">
        <v>1500</v>
      </c>
      <c r="BJ146" s="79">
        <v>1500</v>
      </c>
      <c r="BK146" s="79">
        <v>1500</v>
      </c>
      <c r="BL146" s="79">
        <v>1500</v>
      </c>
      <c r="BM146" s="79">
        <v>1500</v>
      </c>
      <c r="BN146" s="79">
        <v>1500</v>
      </c>
      <c r="BO146" s="79">
        <v>16521.98</v>
      </c>
    </row>
    <row r="147" spans="1:67">
      <c r="A147" s="66" t="s">
        <v>2011</v>
      </c>
      <c r="B147" s="66" t="str">
        <f>_xlfn.TEXTJOIN("_",,ERP_34[[#This Row],[LT Member -1*]],ERP_34[[#This Row],[Expense Category]],ERP_34[[#This Row],[Project Code*]])</f>
        <v>Hase, Raj_MANAGED SERVICES_EP&amp;SCharges001</v>
      </c>
      <c r="C147" s="67" t="s">
        <v>1136</v>
      </c>
      <c r="D147" s="67" t="s">
        <v>1345</v>
      </c>
      <c r="E147" s="67" t="s">
        <v>1345</v>
      </c>
      <c r="F147" s="67" t="s">
        <v>1346</v>
      </c>
      <c r="G147" s="68" t="s">
        <v>389</v>
      </c>
      <c r="H147" s="106" t="s">
        <v>1174</v>
      </c>
      <c r="I147" s="70"/>
      <c r="J147" s="70"/>
      <c r="K147" s="70" t="s">
        <v>56</v>
      </c>
      <c r="L147" s="70"/>
      <c r="M147" s="70"/>
      <c r="N147" s="70"/>
      <c r="O147" s="67" t="s">
        <v>57</v>
      </c>
      <c r="P147" s="67"/>
      <c r="Q147" s="71"/>
      <c r="R147" s="72">
        <v>10233</v>
      </c>
      <c r="S147" s="73">
        <v>10178.029999999999</v>
      </c>
      <c r="T147" s="73">
        <v>10233</v>
      </c>
      <c r="U147" s="71">
        <f>ERP_34[[#This Row],[LE2 Final Submission]]-ERP_34[[#This Row],[LE3 Final Submission]]</f>
        <v>-54.970000000001164</v>
      </c>
      <c r="V147" s="74">
        <v>961.55</v>
      </c>
      <c r="W147" s="75">
        <v>816.59</v>
      </c>
      <c r="X147" s="75">
        <v>725.14</v>
      </c>
      <c r="Y147" s="76">
        <v>852.75</v>
      </c>
      <c r="Z147" s="76">
        <v>852.75</v>
      </c>
      <c r="AA147" s="76">
        <v>852.75</v>
      </c>
      <c r="AB147" s="76">
        <v>852.75</v>
      </c>
      <c r="AC147" s="76">
        <v>852.75</v>
      </c>
      <c r="AD147" s="76">
        <v>852.75</v>
      </c>
      <c r="AE147" s="76">
        <v>852.75</v>
      </c>
      <c r="AF147" s="76">
        <v>852.75</v>
      </c>
      <c r="AG147" s="76">
        <v>852.75</v>
      </c>
      <c r="AH147" s="77">
        <f t="shared" si="9"/>
        <v>10178.029999999999</v>
      </c>
      <c r="AI147" s="108">
        <f>ERP_34[[#This Row],[2026 Working Total]]-ERP_34[[#This Row],[2026 LE0]]</f>
        <v>-54.970000000001164</v>
      </c>
      <c r="AJ147" s="79"/>
      <c r="AK147" s="79"/>
      <c r="AL1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7" s="80"/>
      <c r="AN147" s="79">
        <f>ERP_34[[#This Row],[2026 Working Total to Budget/LE]]-ERP_34[[#This Row],[Giveback]]</f>
        <v>-54.970000000001164</v>
      </c>
      <c r="AO147" s="81"/>
      <c r="AP147" s="81">
        <v>961.55</v>
      </c>
      <c r="AQ147" s="81">
        <v>816.59</v>
      </c>
      <c r="AR147" s="81">
        <v>725.14</v>
      </c>
      <c r="AS147" s="81">
        <v>852.75</v>
      </c>
      <c r="AT147" s="81">
        <v>852.75</v>
      </c>
      <c r="AU147" s="81">
        <v>852.75</v>
      </c>
      <c r="AV147" s="81">
        <v>852.75</v>
      </c>
      <c r="AW147" s="81">
        <v>852.75</v>
      </c>
      <c r="AX147" s="81">
        <v>852.75</v>
      </c>
      <c r="AY147" s="81">
        <v>852.75</v>
      </c>
      <c r="AZ147" s="81">
        <v>852.75</v>
      </c>
      <c r="BA147" s="81">
        <v>852.75</v>
      </c>
      <c r="BB147" s="81">
        <v>10178.029999999999</v>
      </c>
      <c r="BC147" s="79">
        <v>961.55</v>
      </c>
      <c r="BD147" s="79">
        <v>816.59</v>
      </c>
      <c r="BE147" s="79">
        <v>725.14</v>
      </c>
      <c r="BF147" s="79">
        <v>852.75</v>
      </c>
      <c r="BG147" s="79">
        <v>852.75</v>
      </c>
      <c r="BH147" s="79">
        <v>852.75</v>
      </c>
      <c r="BI147" s="79">
        <v>852.75</v>
      </c>
      <c r="BJ147" s="79">
        <v>852.75</v>
      </c>
      <c r="BK147" s="79">
        <v>852.75</v>
      </c>
      <c r="BL147" s="79">
        <v>852.75</v>
      </c>
      <c r="BM147" s="79">
        <v>852.75</v>
      </c>
      <c r="BN147" s="79">
        <v>852.75</v>
      </c>
      <c r="BO147" s="79">
        <v>10178.029999999999</v>
      </c>
    </row>
    <row r="148" spans="1:67">
      <c r="A148" s="66" t="s">
        <v>2035</v>
      </c>
      <c r="B148" s="66" t="str">
        <f>_xlfn.TEXTJOIN("_",,ERP_34[[#This Row],[LT Member -1*]],ERP_34[[#This Row],[Expense Category]],ERP_34[[#This Row],[Project Code*]])</f>
        <v>Herman, Shaun_MANAGED SERVICES_EP&amp;SCharges001</v>
      </c>
      <c r="C148" s="67" t="s">
        <v>1136</v>
      </c>
      <c r="D148" s="67" t="s">
        <v>1345</v>
      </c>
      <c r="E148" s="67" t="s">
        <v>1450</v>
      </c>
      <c r="F148" s="67" t="s">
        <v>1346</v>
      </c>
      <c r="G148" s="68" t="s">
        <v>389</v>
      </c>
      <c r="H148" s="106" t="s">
        <v>1174</v>
      </c>
      <c r="I148" s="70"/>
      <c r="J148" s="70"/>
      <c r="K148" s="70" t="s">
        <v>56</v>
      </c>
      <c r="L148" s="70"/>
      <c r="M148" s="70"/>
      <c r="N148" s="70"/>
      <c r="O148" s="67" t="s">
        <v>57</v>
      </c>
      <c r="P148" s="67"/>
      <c r="Q148" s="71"/>
      <c r="R148" s="72">
        <v>24000</v>
      </c>
      <c r="S148" s="73">
        <v>21077.66</v>
      </c>
      <c r="T148" s="73">
        <v>24000</v>
      </c>
      <c r="U148" s="71">
        <f>ERP_34[[#This Row],[LE2 Final Submission]]-ERP_34[[#This Row],[LE3 Final Submission]]</f>
        <v>-2922.34</v>
      </c>
      <c r="V148" s="74">
        <v>1075.3900000000001</v>
      </c>
      <c r="W148" s="75">
        <v>1075.5999999999999</v>
      </c>
      <c r="X148" s="75">
        <v>926.67</v>
      </c>
      <c r="Y148" s="76">
        <v>2000</v>
      </c>
      <c r="Z148" s="76">
        <v>2000</v>
      </c>
      <c r="AA148" s="76">
        <v>2000</v>
      </c>
      <c r="AB148" s="76">
        <v>2000</v>
      </c>
      <c r="AC148" s="76">
        <v>2000</v>
      </c>
      <c r="AD148" s="76">
        <v>2000</v>
      </c>
      <c r="AE148" s="76">
        <v>2000</v>
      </c>
      <c r="AF148" s="76">
        <v>2000</v>
      </c>
      <c r="AG148" s="76">
        <v>2000</v>
      </c>
      <c r="AH148" s="77">
        <f t="shared" si="9"/>
        <v>21077.66</v>
      </c>
      <c r="AI148" s="108">
        <f>ERP_34[[#This Row],[2026 Working Total]]-ERP_34[[#This Row],[2026 LE0]]</f>
        <v>-2922.34</v>
      </c>
      <c r="AJ148" s="79"/>
      <c r="AK148" s="79"/>
      <c r="AL1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8" s="80"/>
      <c r="AN148" s="79">
        <f>ERP_34[[#This Row],[2026 Working Total to Budget/LE]]-ERP_34[[#This Row],[Giveback]]</f>
        <v>-2922.34</v>
      </c>
      <c r="AO148" s="81"/>
      <c r="AP148" s="81">
        <v>1075.3900000000001</v>
      </c>
      <c r="AQ148" s="81">
        <v>1075.5999999999999</v>
      </c>
      <c r="AR148" s="81">
        <v>926.67</v>
      </c>
      <c r="AS148" s="81">
        <v>2000</v>
      </c>
      <c r="AT148" s="81">
        <v>2000</v>
      </c>
      <c r="AU148" s="81">
        <v>2000</v>
      </c>
      <c r="AV148" s="81">
        <v>2000</v>
      </c>
      <c r="AW148" s="81">
        <v>2000</v>
      </c>
      <c r="AX148" s="81">
        <v>2000</v>
      </c>
      <c r="AY148" s="81">
        <v>2000</v>
      </c>
      <c r="AZ148" s="81">
        <v>2000</v>
      </c>
      <c r="BA148" s="81">
        <v>2000</v>
      </c>
      <c r="BB148" s="81">
        <v>21077.66</v>
      </c>
      <c r="BC148" s="79">
        <v>1075.3900000000001</v>
      </c>
      <c r="BD148" s="79">
        <v>1075.5999999999999</v>
      </c>
      <c r="BE148" s="79">
        <v>926.67</v>
      </c>
      <c r="BF148" s="79">
        <v>2000</v>
      </c>
      <c r="BG148" s="79">
        <v>2000</v>
      </c>
      <c r="BH148" s="79">
        <v>2000</v>
      </c>
      <c r="BI148" s="79">
        <v>2000</v>
      </c>
      <c r="BJ148" s="79">
        <v>2000</v>
      </c>
      <c r="BK148" s="79">
        <v>2000</v>
      </c>
      <c r="BL148" s="79">
        <v>2000</v>
      </c>
      <c r="BM148" s="79">
        <v>2000</v>
      </c>
      <c r="BN148" s="79">
        <v>2000</v>
      </c>
      <c r="BO148" s="79">
        <v>21077.66</v>
      </c>
    </row>
    <row r="149" spans="1:67">
      <c r="A149" s="66" t="s">
        <v>2049</v>
      </c>
      <c r="B149" s="66" t="str">
        <f>_xlfn.TEXTJOIN("_",,ERP_34[[#This Row],[LT Member -1*]],ERP_34[[#This Row],[Expense Category]],ERP_34[[#This Row],[Project Code*]])</f>
        <v>Hovanyetz, Mike_MANAGED SERVICES_EP&amp;SCharges001</v>
      </c>
      <c r="C149" s="67" t="s">
        <v>1136</v>
      </c>
      <c r="D149" s="67" t="s">
        <v>1345</v>
      </c>
      <c r="E149" s="67" t="s">
        <v>1480</v>
      </c>
      <c r="F149" s="67" t="s">
        <v>1346</v>
      </c>
      <c r="G149" s="68" t="s">
        <v>389</v>
      </c>
      <c r="H149" s="106" t="s">
        <v>1174</v>
      </c>
      <c r="I149" s="70"/>
      <c r="J149" s="70"/>
      <c r="K149" s="70" t="s">
        <v>56</v>
      </c>
      <c r="L149" s="70"/>
      <c r="M149" s="70"/>
      <c r="N149" s="70"/>
      <c r="O149" s="67" t="s">
        <v>57</v>
      </c>
      <c r="P149" s="67" t="s">
        <v>2050</v>
      </c>
      <c r="Q149" s="71"/>
      <c r="R149" s="72">
        <v>36000</v>
      </c>
      <c r="S149" s="73">
        <v>38955.51</v>
      </c>
      <c r="T149" s="73">
        <v>36000</v>
      </c>
      <c r="U149" s="71">
        <f>ERP_34[[#This Row],[LE2 Final Submission]]-ERP_34[[#This Row],[LE3 Final Submission]]</f>
        <v>2955.510000000002</v>
      </c>
      <c r="V149" s="74">
        <v>4414.1899999999996</v>
      </c>
      <c r="W149" s="75">
        <v>3932.76</v>
      </c>
      <c r="X149" s="75">
        <v>3608.56</v>
      </c>
      <c r="Y149" s="76">
        <v>3000</v>
      </c>
      <c r="Z149" s="76">
        <v>3000</v>
      </c>
      <c r="AA149" s="76">
        <v>3000</v>
      </c>
      <c r="AB149" s="76">
        <v>3000</v>
      </c>
      <c r="AC149" s="76">
        <v>3000</v>
      </c>
      <c r="AD149" s="76">
        <v>3000</v>
      </c>
      <c r="AE149" s="76">
        <v>3000</v>
      </c>
      <c r="AF149" s="76">
        <v>3000</v>
      </c>
      <c r="AG149" s="76">
        <v>3000</v>
      </c>
      <c r="AH149" s="77">
        <f t="shared" si="9"/>
        <v>38955.51</v>
      </c>
      <c r="AI149" s="108">
        <f>ERP_34[[#This Row],[2026 Working Total]]-ERP_34[[#This Row],[2026 LE0]]</f>
        <v>2955.510000000002</v>
      </c>
      <c r="AJ149" s="79"/>
      <c r="AK149" s="79"/>
      <c r="AL1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49" s="80"/>
      <c r="AN149" s="79">
        <f>ERP_34[[#This Row],[2026 Working Total to Budget/LE]]-ERP_34[[#This Row],[Giveback]]</f>
        <v>2955.510000000002</v>
      </c>
      <c r="AO149" s="81"/>
      <c r="AP149" s="81">
        <v>4414.1899999999996</v>
      </c>
      <c r="AQ149" s="81">
        <v>3932.76</v>
      </c>
      <c r="AR149" s="81">
        <v>3608.56</v>
      </c>
      <c r="AS149" s="81">
        <v>3000</v>
      </c>
      <c r="AT149" s="81">
        <v>3000</v>
      </c>
      <c r="AU149" s="81">
        <v>3000</v>
      </c>
      <c r="AV149" s="81">
        <v>3000</v>
      </c>
      <c r="AW149" s="81">
        <v>3000</v>
      </c>
      <c r="AX149" s="81">
        <v>3000</v>
      </c>
      <c r="AY149" s="81">
        <v>3000</v>
      </c>
      <c r="AZ149" s="81">
        <v>3000</v>
      </c>
      <c r="BA149" s="81">
        <v>3000</v>
      </c>
      <c r="BB149" s="81">
        <v>38955.51</v>
      </c>
      <c r="BC149" s="79">
        <v>4414.1899999999996</v>
      </c>
      <c r="BD149" s="79">
        <v>3932.76</v>
      </c>
      <c r="BE149" s="79">
        <v>3608.56</v>
      </c>
      <c r="BF149" s="79">
        <v>3000</v>
      </c>
      <c r="BG149" s="79">
        <v>3000</v>
      </c>
      <c r="BH149" s="79">
        <v>3000</v>
      </c>
      <c r="BI149" s="79">
        <v>3000</v>
      </c>
      <c r="BJ149" s="79">
        <v>3000</v>
      </c>
      <c r="BK149" s="79">
        <v>3000</v>
      </c>
      <c r="BL149" s="79">
        <v>3000</v>
      </c>
      <c r="BM149" s="79">
        <v>3000</v>
      </c>
      <c r="BN149" s="79">
        <v>3000</v>
      </c>
      <c r="BO149" s="79">
        <v>38955.51</v>
      </c>
    </row>
    <row r="150" spans="1:67">
      <c r="A150" s="66" t="s">
        <v>2012</v>
      </c>
      <c r="B150" s="66" t="str">
        <f>_xlfn.TEXTJOIN("_",,ERP_34[[#This Row],[LT Member -1*]],ERP_34[[#This Row],[Expense Category]],ERP_34[[#This Row],[Project Code*]])</f>
        <v>Yeluri, Durga_MANAGED SERVICES_EP&amp;SCharges001</v>
      </c>
      <c r="C150" s="67" t="s">
        <v>1136</v>
      </c>
      <c r="D150" s="67" t="s">
        <v>1345</v>
      </c>
      <c r="E150" s="67" t="s">
        <v>1437</v>
      </c>
      <c r="F150" s="67" t="s">
        <v>1346</v>
      </c>
      <c r="G150" s="68" t="s">
        <v>389</v>
      </c>
      <c r="H150" s="106" t="s">
        <v>1174</v>
      </c>
      <c r="I150" s="70"/>
      <c r="J150" s="70"/>
      <c r="K150" s="70" t="s">
        <v>56</v>
      </c>
      <c r="L150" s="70"/>
      <c r="M150" s="70"/>
      <c r="N150" s="70"/>
      <c r="O150" s="67" t="s">
        <v>57</v>
      </c>
      <c r="P150" s="67"/>
      <c r="Q150" s="71"/>
      <c r="R150" s="72">
        <v>68292</v>
      </c>
      <c r="S150" s="73">
        <v>61982.03</v>
      </c>
      <c r="T150" s="73">
        <v>68292</v>
      </c>
      <c r="U150" s="71">
        <f>ERP_34[[#This Row],[LE2 Final Submission]]-ERP_34[[#This Row],[LE3 Final Submission]]</f>
        <v>-6309.9700000000012</v>
      </c>
      <c r="V150" s="74">
        <v>3349.03</v>
      </c>
      <c r="W150" s="75">
        <v>3352.38</v>
      </c>
      <c r="X150" s="75">
        <v>4061.62</v>
      </c>
      <c r="Y150" s="76">
        <v>5691</v>
      </c>
      <c r="Z150" s="76">
        <v>5691</v>
      </c>
      <c r="AA150" s="76">
        <v>5691</v>
      </c>
      <c r="AB150" s="76">
        <v>5691</v>
      </c>
      <c r="AC150" s="76">
        <v>5691</v>
      </c>
      <c r="AD150" s="76">
        <v>5691</v>
      </c>
      <c r="AE150" s="76">
        <v>5691</v>
      </c>
      <c r="AF150" s="76">
        <v>5691</v>
      </c>
      <c r="AG150" s="76">
        <v>5691</v>
      </c>
      <c r="AH150" s="77">
        <f t="shared" si="9"/>
        <v>61982.03</v>
      </c>
      <c r="AI150" s="108">
        <f>ERP_34[[#This Row],[2026 Working Total]]-ERP_34[[#This Row],[2026 LE0]]</f>
        <v>-6309.9700000000012</v>
      </c>
      <c r="AJ150" s="79"/>
      <c r="AK150" s="79"/>
      <c r="AL15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0" s="80"/>
      <c r="AN150" s="79">
        <f>ERP_34[[#This Row],[2026 Working Total to Budget/LE]]-ERP_34[[#This Row],[Giveback]]</f>
        <v>-6309.9700000000012</v>
      </c>
      <c r="AO150" s="81"/>
      <c r="AP150" s="81">
        <v>3349.03</v>
      </c>
      <c r="AQ150" s="81">
        <v>3352.38</v>
      </c>
      <c r="AR150" s="81">
        <v>4061.62</v>
      </c>
      <c r="AS150" s="81">
        <v>5691</v>
      </c>
      <c r="AT150" s="81">
        <v>5691</v>
      </c>
      <c r="AU150" s="81">
        <v>5691</v>
      </c>
      <c r="AV150" s="81">
        <v>5691</v>
      </c>
      <c r="AW150" s="81">
        <v>5691</v>
      </c>
      <c r="AX150" s="81">
        <v>5691</v>
      </c>
      <c r="AY150" s="81">
        <v>5691</v>
      </c>
      <c r="AZ150" s="81">
        <v>5691</v>
      </c>
      <c r="BA150" s="81">
        <v>5691</v>
      </c>
      <c r="BB150" s="81">
        <v>61982.03</v>
      </c>
      <c r="BC150" s="79">
        <v>3349.03</v>
      </c>
      <c r="BD150" s="79">
        <v>3352.38</v>
      </c>
      <c r="BE150" s="79">
        <v>4061.62</v>
      </c>
      <c r="BF150" s="79">
        <v>5691</v>
      </c>
      <c r="BG150" s="79">
        <v>5691</v>
      </c>
      <c r="BH150" s="79">
        <v>5691</v>
      </c>
      <c r="BI150" s="79">
        <v>5691</v>
      </c>
      <c r="BJ150" s="79">
        <v>5691</v>
      </c>
      <c r="BK150" s="79">
        <v>5691</v>
      </c>
      <c r="BL150" s="79">
        <v>5691</v>
      </c>
      <c r="BM150" s="79">
        <v>5691</v>
      </c>
      <c r="BN150" s="79">
        <v>5691</v>
      </c>
      <c r="BO150" s="79">
        <v>61982.03</v>
      </c>
    </row>
    <row r="151" spans="1:67">
      <c r="A151" s="66" t="s">
        <v>2608</v>
      </c>
      <c r="B151" s="66" t="str">
        <f>_xlfn.TEXTJOIN("_",,ERP_34[[#This Row],[LT Member -1*]],ERP_34[[#This Row],[Expense Category]],ERP_34[[#This Row],[Project Code*]])</f>
        <v>Ganesan, Srinivasan_SOFTWARE_EP&amp;SCharges001</v>
      </c>
      <c r="C151" s="67" t="s">
        <v>1136</v>
      </c>
      <c r="D151" s="67" t="s">
        <v>1345</v>
      </c>
      <c r="E151" s="67" t="s">
        <v>1344</v>
      </c>
      <c r="F151" s="67" t="s">
        <v>1346</v>
      </c>
      <c r="G151" s="68" t="s">
        <v>639</v>
      </c>
      <c r="H151" s="106" t="s">
        <v>1174</v>
      </c>
      <c r="I151" s="70"/>
      <c r="J151" s="70"/>
      <c r="K151" s="70" t="s">
        <v>56</v>
      </c>
      <c r="L151" s="70"/>
      <c r="M151" s="70"/>
      <c r="N151" s="70"/>
      <c r="O151" s="67" t="s">
        <v>57</v>
      </c>
      <c r="P151" s="67"/>
      <c r="Q151" s="71"/>
      <c r="R151" s="72">
        <v>4200</v>
      </c>
      <c r="S151" s="73">
        <v>3888.09</v>
      </c>
      <c r="T151" s="73">
        <v>4200</v>
      </c>
      <c r="U151" s="71">
        <f>ERP_34[[#This Row],[LE2 Final Submission]]-ERP_34[[#This Row],[LE3 Final Submission]]</f>
        <v>-311.90999999999985</v>
      </c>
      <c r="V151" s="74">
        <v>251.53</v>
      </c>
      <c r="W151" s="75">
        <v>246.74</v>
      </c>
      <c r="X151" s="75">
        <v>239.82</v>
      </c>
      <c r="Y151" s="76">
        <v>350</v>
      </c>
      <c r="Z151" s="76">
        <v>350</v>
      </c>
      <c r="AA151" s="76">
        <v>350</v>
      </c>
      <c r="AB151" s="76">
        <v>350</v>
      </c>
      <c r="AC151" s="76">
        <v>350</v>
      </c>
      <c r="AD151" s="76">
        <v>350</v>
      </c>
      <c r="AE151" s="76">
        <v>350</v>
      </c>
      <c r="AF151" s="76">
        <v>350</v>
      </c>
      <c r="AG151" s="76">
        <v>350</v>
      </c>
      <c r="AH151" s="77">
        <f t="shared" si="9"/>
        <v>3888.09</v>
      </c>
      <c r="AI151" s="108">
        <f>ERP_34[[#This Row],[2026 Working Total]]-ERP_34[[#This Row],[2026 LE0]]</f>
        <v>-311.90999999999985</v>
      </c>
      <c r="AJ151" s="79"/>
      <c r="AK151" s="79"/>
      <c r="AL1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1" s="80"/>
      <c r="AN151" s="79">
        <f>ERP_34[[#This Row],[2026 Working Total to Budget/LE]]-ERP_34[[#This Row],[Giveback]]</f>
        <v>-311.90999999999985</v>
      </c>
      <c r="AO151" s="81"/>
      <c r="AP151" s="81">
        <v>251.53</v>
      </c>
      <c r="AQ151" s="81">
        <v>246.74</v>
      </c>
      <c r="AR151" s="81">
        <v>239.82</v>
      </c>
      <c r="AS151" s="81">
        <v>350</v>
      </c>
      <c r="AT151" s="81">
        <v>350</v>
      </c>
      <c r="AU151" s="81">
        <v>350</v>
      </c>
      <c r="AV151" s="81">
        <v>350</v>
      </c>
      <c r="AW151" s="81">
        <v>350</v>
      </c>
      <c r="AX151" s="81">
        <v>350</v>
      </c>
      <c r="AY151" s="81">
        <v>350</v>
      </c>
      <c r="AZ151" s="81">
        <v>350</v>
      </c>
      <c r="BA151" s="81">
        <v>350</v>
      </c>
      <c r="BB151" s="81">
        <v>3888.09</v>
      </c>
      <c r="BC151" s="79">
        <v>251.53</v>
      </c>
      <c r="BD151" s="79">
        <v>246.74</v>
      </c>
      <c r="BE151" s="79">
        <v>239.82</v>
      </c>
      <c r="BF151" s="79">
        <v>350</v>
      </c>
      <c r="BG151" s="79">
        <v>350</v>
      </c>
      <c r="BH151" s="79">
        <v>350</v>
      </c>
      <c r="BI151" s="79">
        <v>350</v>
      </c>
      <c r="BJ151" s="79">
        <v>350</v>
      </c>
      <c r="BK151" s="79">
        <v>350</v>
      </c>
      <c r="BL151" s="79">
        <v>350</v>
      </c>
      <c r="BM151" s="79">
        <v>350</v>
      </c>
      <c r="BN151" s="79">
        <v>350</v>
      </c>
      <c r="BO151" s="79">
        <v>3888.09</v>
      </c>
    </row>
    <row r="152" spans="1:67">
      <c r="A152" s="66" t="s">
        <v>2669</v>
      </c>
      <c r="B152" s="66" t="str">
        <f>_xlfn.TEXTJOIN("_",,ERP_34[[#This Row],[LT Member -1*]],ERP_34[[#This Row],[Expense Category]],ERP_34[[#This Row],[Project Code*]])</f>
        <v>Yeluri, Durga_SOFTWARE_EP&amp;SCharges001</v>
      </c>
      <c r="C152" s="67" t="s">
        <v>1136</v>
      </c>
      <c r="D152" s="67" t="s">
        <v>1345</v>
      </c>
      <c r="E152" s="67" t="s">
        <v>1437</v>
      </c>
      <c r="F152" s="67" t="s">
        <v>1346</v>
      </c>
      <c r="G152" s="68" t="s">
        <v>639</v>
      </c>
      <c r="H152" s="106" t="s">
        <v>1174</v>
      </c>
      <c r="I152" s="70"/>
      <c r="J152" s="70"/>
      <c r="K152" s="70" t="s">
        <v>56</v>
      </c>
      <c r="L152" s="70"/>
      <c r="M152" s="70"/>
      <c r="N152" s="70"/>
      <c r="O152" s="67" t="s">
        <v>57</v>
      </c>
      <c r="P152" s="67"/>
      <c r="Q152" s="71"/>
      <c r="R152" s="72">
        <v>23474.640000000003</v>
      </c>
      <c r="S152" s="73">
        <v>27085.450000000004</v>
      </c>
      <c r="T152" s="73">
        <v>23474.640000000003</v>
      </c>
      <c r="U152" s="71">
        <f>ERP_34[[#This Row],[LE2 Final Submission]]-ERP_34[[#This Row],[LE3 Final Submission]]</f>
        <v>3610.8100000000013</v>
      </c>
      <c r="V152" s="74">
        <v>1816.49</v>
      </c>
      <c r="W152" s="75">
        <v>1816.49</v>
      </c>
      <c r="X152" s="75">
        <v>5846.49</v>
      </c>
      <c r="Y152" s="76">
        <v>1956.22</v>
      </c>
      <c r="Z152" s="76">
        <v>1956.22</v>
      </c>
      <c r="AA152" s="76">
        <v>1956.22</v>
      </c>
      <c r="AB152" s="76">
        <v>1956.22</v>
      </c>
      <c r="AC152" s="76">
        <v>1956.22</v>
      </c>
      <c r="AD152" s="76">
        <v>1956.22</v>
      </c>
      <c r="AE152" s="76">
        <v>1956.22</v>
      </c>
      <c r="AF152" s="76">
        <v>1956.22</v>
      </c>
      <c r="AG152" s="76">
        <v>1956.22</v>
      </c>
      <c r="AH152" s="77">
        <f t="shared" si="9"/>
        <v>27085.450000000004</v>
      </c>
      <c r="AI152" s="108">
        <f>ERP_34[[#This Row],[2026 Working Total]]-ERP_34[[#This Row],[2026 LE0]]</f>
        <v>3610.8100000000013</v>
      </c>
      <c r="AJ152" s="79"/>
      <c r="AK152" s="79"/>
      <c r="AL1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2" s="80"/>
      <c r="AN152" s="79">
        <f>ERP_34[[#This Row],[2026 Working Total to Budget/LE]]-ERP_34[[#This Row],[Giveback]]</f>
        <v>3610.8100000000013</v>
      </c>
      <c r="AO152" s="81"/>
      <c r="AP152" s="81">
        <v>1816.49</v>
      </c>
      <c r="AQ152" s="81">
        <v>1816.49</v>
      </c>
      <c r="AR152" s="81">
        <v>5846.49</v>
      </c>
      <c r="AS152" s="81">
        <v>1956.22</v>
      </c>
      <c r="AT152" s="81">
        <v>1956.22</v>
      </c>
      <c r="AU152" s="81">
        <v>1956.22</v>
      </c>
      <c r="AV152" s="81">
        <v>1956.22</v>
      </c>
      <c r="AW152" s="81">
        <v>1956.22</v>
      </c>
      <c r="AX152" s="81">
        <v>1956.22</v>
      </c>
      <c r="AY152" s="81">
        <v>1956.22</v>
      </c>
      <c r="AZ152" s="81">
        <v>1956.22</v>
      </c>
      <c r="BA152" s="81">
        <v>1956.22</v>
      </c>
      <c r="BB152" s="81">
        <v>27085.450000000004</v>
      </c>
      <c r="BC152" s="79">
        <v>1816.49</v>
      </c>
      <c r="BD152" s="79">
        <v>1816.49</v>
      </c>
      <c r="BE152" s="79">
        <v>5846.49</v>
      </c>
      <c r="BF152" s="79">
        <v>1956.22</v>
      </c>
      <c r="BG152" s="79">
        <v>1956.22</v>
      </c>
      <c r="BH152" s="79">
        <v>1956.22</v>
      </c>
      <c r="BI152" s="79">
        <v>1956.22</v>
      </c>
      <c r="BJ152" s="79">
        <v>1956.22</v>
      </c>
      <c r="BK152" s="79">
        <v>1956.22</v>
      </c>
      <c r="BL152" s="79">
        <v>1956.22</v>
      </c>
      <c r="BM152" s="79">
        <v>1956.22</v>
      </c>
      <c r="BN152" s="79">
        <v>1956.22</v>
      </c>
      <c r="BO152" s="79">
        <v>27085.450000000004</v>
      </c>
    </row>
    <row r="153" spans="1:67">
      <c r="A153" s="66" t="s">
        <v>1591</v>
      </c>
      <c r="B153" s="66" t="str">
        <f>_xlfn.TEXTJOIN("_",,ERP_34[[#This Row],[LT Member -1*]],ERP_34[[#This Row],[Expense Category]],ERP_34[[#This Row],[Project Code*]])</f>
        <v>McGettigan, David_CONTRACTORS_EP&amp;SCharges001</v>
      </c>
      <c r="C153" s="67" t="s">
        <v>1136</v>
      </c>
      <c r="D153" s="67" t="s">
        <v>1567</v>
      </c>
      <c r="E153" s="67" t="s">
        <v>1567</v>
      </c>
      <c r="F153" s="67" t="s">
        <v>1567</v>
      </c>
      <c r="G153" s="68" t="s">
        <v>49</v>
      </c>
      <c r="H153" s="106" t="s">
        <v>1174</v>
      </c>
      <c r="I153" s="70"/>
      <c r="J153" s="70"/>
      <c r="K153" s="70" t="s">
        <v>56</v>
      </c>
      <c r="L153" s="70"/>
      <c r="M153" s="70"/>
      <c r="N153" s="70"/>
      <c r="O153" s="67" t="s">
        <v>57</v>
      </c>
      <c r="P153" s="67"/>
      <c r="Q153" s="71"/>
      <c r="R153" s="72">
        <v>0</v>
      </c>
      <c r="S153" s="73">
        <v>13071.14</v>
      </c>
      <c r="T153" s="73">
        <v>0</v>
      </c>
      <c r="U153" s="71">
        <f>ERP_34[[#This Row],[LE2 Final Submission]]-ERP_34[[#This Row],[LE3 Final Submission]]</f>
        <v>13071.14</v>
      </c>
      <c r="V153" s="74">
        <v>5323.5</v>
      </c>
      <c r="W153" s="75">
        <v>2811.9</v>
      </c>
      <c r="X153" s="75">
        <v>4935.74</v>
      </c>
      <c r="Y153" s="109">
        <v>0</v>
      </c>
      <c r="Z153" s="109">
        <v>0</v>
      </c>
      <c r="AA153" s="109">
        <v>0</v>
      </c>
      <c r="AB153" s="109">
        <v>0</v>
      </c>
      <c r="AC153" s="109">
        <v>0</v>
      </c>
      <c r="AD153" s="109">
        <v>0</v>
      </c>
      <c r="AE153" s="109">
        <v>0</v>
      </c>
      <c r="AF153" s="109">
        <v>0</v>
      </c>
      <c r="AG153" s="109">
        <v>0</v>
      </c>
      <c r="AH153" s="77">
        <f t="shared" si="9"/>
        <v>13071.14</v>
      </c>
      <c r="AI153" s="108">
        <f>ERP_34[[#This Row],[2026 Working Total]]-ERP_34[[#This Row],[2026 LE0]]</f>
        <v>13071.14</v>
      </c>
      <c r="AJ153" s="79"/>
      <c r="AK153" s="79"/>
      <c r="AL1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3" s="80"/>
      <c r="AN153" s="79">
        <f>ERP_34[[#This Row],[2026 Working Total to Budget/LE]]-ERP_34[[#This Row],[Giveback]]</f>
        <v>13071.14</v>
      </c>
      <c r="AO153" s="81"/>
      <c r="AP153" s="81">
        <v>5323.5</v>
      </c>
      <c r="AQ153" s="81">
        <v>2811.9</v>
      </c>
      <c r="AR153" s="81">
        <v>4935.74</v>
      </c>
      <c r="AS153" s="81">
        <v>0</v>
      </c>
      <c r="AT153" s="81">
        <v>0</v>
      </c>
      <c r="AU153" s="81">
        <v>0</v>
      </c>
      <c r="AV153" s="81">
        <v>0</v>
      </c>
      <c r="AW153" s="81">
        <v>0</v>
      </c>
      <c r="AX153" s="81">
        <v>0</v>
      </c>
      <c r="AY153" s="81">
        <v>0</v>
      </c>
      <c r="AZ153" s="81">
        <v>0</v>
      </c>
      <c r="BA153" s="81">
        <v>0</v>
      </c>
      <c r="BB153" s="81">
        <v>13071.14</v>
      </c>
      <c r="BC153" s="79">
        <v>5323.5</v>
      </c>
      <c r="BD153" s="79">
        <v>2811.9</v>
      </c>
      <c r="BE153" s="79">
        <v>4935.74</v>
      </c>
      <c r="BF153" s="79">
        <v>0</v>
      </c>
      <c r="BG153" s="79">
        <v>0</v>
      </c>
      <c r="BH153" s="79">
        <v>0</v>
      </c>
      <c r="BI153" s="79">
        <v>0</v>
      </c>
      <c r="BJ153" s="79">
        <v>0</v>
      </c>
      <c r="BK153" s="79">
        <v>0</v>
      </c>
      <c r="BL153" s="79">
        <v>0</v>
      </c>
      <c r="BM153" s="79">
        <v>0</v>
      </c>
      <c r="BN153" s="79">
        <v>0</v>
      </c>
      <c r="BO153" s="79">
        <v>13071.14</v>
      </c>
    </row>
    <row r="154" spans="1:67">
      <c r="A154" s="66" t="s">
        <v>2096</v>
      </c>
      <c r="B154" s="66" t="str">
        <f>_xlfn.TEXTJOIN("_",,ERP_34[[#This Row],[LT Member -1*]],ERP_34[[#This Row],[Expense Category]],ERP_34[[#This Row],[Project Code*]])</f>
        <v>McGettigan, David_MANAGED SERVICES_EP&amp;SCharges001</v>
      </c>
      <c r="C154" s="67" t="s">
        <v>1136</v>
      </c>
      <c r="D154" s="67" t="s">
        <v>1567</v>
      </c>
      <c r="E154" s="67" t="s">
        <v>1567</v>
      </c>
      <c r="F154" s="67" t="s">
        <v>1567</v>
      </c>
      <c r="G154" s="68" t="s">
        <v>389</v>
      </c>
      <c r="H154" s="106" t="s">
        <v>1174</v>
      </c>
      <c r="I154" s="70"/>
      <c r="J154" s="70"/>
      <c r="K154" s="70" t="s">
        <v>56</v>
      </c>
      <c r="L154" s="70"/>
      <c r="M154" s="70"/>
      <c r="N154" s="70"/>
      <c r="O154" s="67" t="s">
        <v>57</v>
      </c>
      <c r="P154" s="67"/>
      <c r="Q154" s="71"/>
      <c r="R154" s="72">
        <v>42000</v>
      </c>
      <c r="S154" s="73">
        <v>36969.919999999998</v>
      </c>
      <c r="T154" s="73">
        <v>42000</v>
      </c>
      <c r="U154" s="71">
        <f>ERP_34[[#This Row],[LE2 Final Submission]]-ERP_34[[#This Row],[LE3 Final Submission]]</f>
        <v>-5030.0800000000017</v>
      </c>
      <c r="V154" s="74">
        <v>1654.46</v>
      </c>
      <c r="W154" s="75">
        <v>2175.66</v>
      </c>
      <c r="X154" s="75">
        <v>1639.8</v>
      </c>
      <c r="Y154" s="76">
        <v>3500</v>
      </c>
      <c r="Z154" s="76">
        <v>3500</v>
      </c>
      <c r="AA154" s="76">
        <v>3500</v>
      </c>
      <c r="AB154" s="76">
        <v>3500</v>
      </c>
      <c r="AC154" s="76">
        <v>3500</v>
      </c>
      <c r="AD154" s="76">
        <v>3500</v>
      </c>
      <c r="AE154" s="76">
        <v>3500</v>
      </c>
      <c r="AF154" s="76">
        <v>3500</v>
      </c>
      <c r="AG154" s="76">
        <v>3500</v>
      </c>
      <c r="AH154" s="77">
        <f t="shared" si="9"/>
        <v>36969.919999999998</v>
      </c>
      <c r="AI154" s="108">
        <f>ERP_34[[#This Row],[2026 Working Total]]-ERP_34[[#This Row],[2026 LE0]]</f>
        <v>-5030.0800000000017</v>
      </c>
      <c r="AJ154" s="79"/>
      <c r="AK154" s="79"/>
      <c r="AL1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4" s="80"/>
      <c r="AN154" s="79">
        <f>ERP_34[[#This Row],[2026 Working Total to Budget/LE]]-ERP_34[[#This Row],[Giveback]]</f>
        <v>-5030.0800000000017</v>
      </c>
      <c r="AO154" s="81"/>
      <c r="AP154" s="81">
        <v>1654.46</v>
      </c>
      <c r="AQ154" s="81">
        <v>2175.66</v>
      </c>
      <c r="AR154" s="81">
        <v>1639.8</v>
      </c>
      <c r="AS154" s="81">
        <v>3500</v>
      </c>
      <c r="AT154" s="81">
        <v>3500</v>
      </c>
      <c r="AU154" s="81">
        <v>3500</v>
      </c>
      <c r="AV154" s="81">
        <v>3500</v>
      </c>
      <c r="AW154" s="81">
        <v>3500</v>
      </c>
      <c r="AX154" s="81">
        <v>3500</v>
      </c>
      <c r="AY154" s="81">
        <v>3500</v>
      </c>
      <c r="AZ154" s="81">
        <v>3500</v>
      </c>
      <c r="BA154" s="81">
        <v>3500</v>
      </c>
      <c r="BB154" s="81">
        <v>36969.919999999998</v>
      </c>
      <c r="BC154" s="79">
        <v>1654.46</v>
      </c>
      <c r="BD154" s="79">
        <v>2175.66</v>
      </c>
      <c r="BE154" s="79">
        <v>1639.8</v>
      </c>
      <c r="BF154" s="79">
        <v>3500</v>
      </c>
      <c r="BG154" s="79">
        <v>3500</v>
      </c>
      <c r="BH154" s="79">
        <v>3500</v>
      </c>
      <c r="BI154" s="79">
        <v>3500</v>
      </c>
      <c r="BJ154" s="79">
        <v>3500</v>
      </c>
      <c r="BK154" s="79">
        <v>3500</v>
      </c>
      <c r="BL154" s="79">
        <v>3500</v>
      </c>
      <c r="BM154" s="79">
        <v>3500</v>
      </c>
      <c r="BN154" s="79">
        <v>3500</v>
      </c>
      <c r="BO154" s="79">
        <v>36969.919999999998</v>
      </c>
    </row>
    <row r="155" spans="1:67">
      <c r="A155" s="66" t="s">
        <v>1653</v>
      </c>
      <c r="B155" s="66" t="str">
        <f>_xlfn.TEXTJOIN("_",,ERP_34[[#This Row],[LT Member -1*]],ERP_34[[#This Row],[Expense Category]],ERP_34[[#This Row],[Project Code*]])</f>
        <v>Robertson, Jerome_CONTRACTORS_EP&amp;SCharges001</v>
      </c>
      <c r="C155" s="67" t="s">
        <v>1136</v>
      </c>
      <c r="D155" s="67" t="s">
        <v>1650</v>
      </c>
      <c r="E155" s="67" t="s">
        <v>1650</v>
      </c>
      <c r="F155" s="67" t="s">
        <v>1650</v>
      </c>
      <c r="G155" s="68" t="s">
        <v>49</v>
      </c>
      <c r="H155" s="106" t="s">
        <v>1174</v>
      </c>
      <c r="I155" s="70"/>
      <c r="J155" s="70"/>
      <c r="K155" s="70" t="s">
        <v>56</v>
      </c>
      <c r="L155" s="70"/>
      <c r="M155" s="70"/>
      <c r="N155" s="70"/>
      <c r="O155" s="67" t="s">
        <v>57</v>
      </c>
      <c r="P155" s="67"/>
      <c r="Q155" s="71"/>
      <c r="R155" s="72">
        <v>0</v>
      </c>
      <c r="S155" s="73">
        <v>400</v>
      </c>
      <c r="T155" s="73">
        <v>0</v>
      </c>
      <c r="U155" s="71">
        <f>ERP_34[[#This Row],[LE2 Final Submission]]-ERP_34[[#This Row],[LE3 Final Submission]]</f>
        <v>400</v>
      </c>
      <c r="V155" s="74"/>
      <c r="W155" s="75">
        <v>400</v>
      </c>
      <c r="X155" s="124">
        <v>0</v>
      </c>
      <c r="Y155" s="109">
        <v>0</v>
      </c>
      <c r="Z155" s="109">
        <v>0</v>
      </c>
      <c r="AA155" s="109">
        <v>0</v>
      </c>
      <c r="AB155" s="109">
        <v>0</v>
      </c>
      <c r="AC155" s="109">
        <v>0</v>
      </c>
      <c r="AD155" s="109">
        <v>0</v>
      </c>
      <c r="AE155" s="109">
        <v>0</v>
      </c>
      <c r="AF155" s="109">
        <v>0</v>
      </c>
      <c r="AG155" s="109">
        <v>0</v>
      </c>
      <c r="AH155" s="77">
        <f t="shared" si="9"/>
        <v>400</v>
      </c>
      <c r="AI155" s="108">
        <f>ERP_34[[#This Row],[2026 Working Total]]-ERP_34[[#This Row],[2026 LE0]]</f>
        <v>400</v>
      </c>
      <c r="AJ155" s="79"/>
      <c r="AK155" s="79"/>
      <c r="AL15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5" s="80"/>
      <c r="AN155" s="79">
        <f>ERP_34[[#This Row],[2026 Working Total to Budget/LE]]-ERP_34[[#This Row],[Giveback]]</f>
        <v>400</v>
      </c>
      <c r="AO155" s="81"/>
      <c r="AP155" s="81"/>
      <c r="AQ155" s="81">
        <v>400</v>
      </c>
      <c r="AR155" s="81">
        <v>0</v>
      </c>
      <c r="AS155" s="81">
        <v>0</v>
      </c>
      <c r="AT155" s="81">
        <v>0</v>
      </c>
      <c r="AU155" s="81">
        <v>0</v>
      </c>
      <c r="AV155" s="81">
        <v>0</v>
      </c>
      <c r="AW155" s="81">
        <v>0</v>
      </c>
      <c r="AX155" s="81">
        <v>0</v>
      </c>
      <c r="AY155" s="81">
        <v>0</v>
      </c>
      <c r="AZ155" s="81">
        <v>0</v>
      </c>
      <c r="BA155" s="81">
        <v>0</v>
      </c>
      <c r="BB155" s="81">
        <v>400</v>
      </c>
      <c r="BC155" s="79"/>
      <c r="BD155" s="79">
        <v>400</v>
      </c>
      <c r="BE155" s="79">
        <v>0</v>
      </c>
      <c r="BF155" s="79">
        <v>0</v>
      </c>
      <c r="BG155" s="79">
        <v>0</v>
      </c>
      <c r="BH155" s="79">
        <v>0</v>
      </c>
      <c r="BI155" s="79">
        <v>0</v>
      </c>
      <c r="BJ155" s="79">
        <v>0</v>
      </c>
      <c r="BK155" s="79">
        <v>0</v>
      </c>
      <c r="BL155" s="79">
        <v>0</v>
      </c>
      <c r="BM155" s="79">
        <v>0</v>
      </c>
      <c r="BN155" s="79">
        <v>0</v>
      </c>
      <c r="BO155" s="79">
        <v>400</v>
      </c>
    </row>
    <row r="156" spans="1:67">
      <c r="A156" s="66" t="s">
        <v>1748</v>
      </c>
      <c r="B156" s="66" t="str">
        <f>_xlfn.TEXTJOIN("_",,ERP_34[[#This Row],[LT Member -1*]],ERP_34[[#This Row],[Expense Category]],ERP_34[[#This Row],[Project Code*]])</f>
        <v>Robertson, Jerome_HW MAINTENANCE_EP&amp;SCharges001</v>
      </c>
      <c r="C156" s="67" t="s">
        <v>1136</v>
      </c>
      <c r="D156" s="67" t="s">
        <v>1650</v>
      </c>
      <c r="E156" s="67" t="s">
        <v>1650</v>
      </c>
      <c r="F156" s="67" t="s">
        <v>1650</v>
      </c>
      <c r="G156" s="68" t="s">
        <v>342</v>
      </c>
      <c r="H156" s="106" t="s">
        <v>1174</v>
      </c>
      <c r="I156" s="70"/>
      <c r="J156" s="70"/>
      <c r="K156" s="70" t="s">
        <v>56</v>
      </c>
      <c r="L156" s="70"/>
      <c r="M156" s="70"/>
      <c r="N156" s="70"/>
      <c r="O156" s="67" t="s">
        <v>57</v>
      </c>
      <c r="P156" s="67"/>
      <c r="Q156" s="71"/>
      <c r="R156" s="72">
        <v>0</v>
      </c>
      <c r="S156" s="73">
        <v>1060</v>
      </c>
      <c r="T156" s="73">
        <v>0</v>
      </c>
      <c r="U156" s="71">
        <f>ERP_34[[#This Row],[LE2 Final Submission]]-ERP_34[[#This Row],[LE3 Final Submission]]</f>
        <v>1060</v>
      </c>
      <c r="V156" s="74"/>
      <c r="W156" s="75">
        <v>1060</v>
      </c>
      <c r="X156" s="124">
        <v>0</v>
      </c>
      <c r="Y156" s="109">
        <v>0</v>
      </c>
      <c r="Z156" s="109">
        <v>0</v>
      </c>
      <c r="AA156" s="109">
        <v>0</v>
      </c>
      <c r="AB156" s="109">
        <v>0</v>
      </c>
      <c r="AC156" s="109">
        <v>0</v>
      </c>
      <c r="AD156" s="109">
        <v>0</v>
      </c>
      <c r="AE156" s="109">
        <v>0</v>
      </c>
      <c r="AF156" s="109">
        <v>0</v>
      </c>
      <c r="AG156" s="109">
        <v>0</v>
      </c>
      <c r="AH156" s="77">
        <f t="shared" si="9"/>
        <v>1060</v>
      </c>
      <c r="AI156" s="108">
        <f>ERP_34[[#This Row],[2026 Working Total]]-ERP_34[[#This Row],[2026 LE0]]</f>
        <v>1060</v>
      </c>
      <c r="AJ156" s="79"/>
      <c r="AK156" s="79"/>
      <c r="AL1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6" s="80"/>
      <c r="AN156" s="79">
        <f>ERP_34[[#This Row],[2026 Working Total to Budget/LE]]-ERP_34[[#This Row],[Giveback]]</f>
        <v>1060</v>
      </c>
      <c r="AO156" s="81"/>
      <c r="AP156" s="81"/>
      <c r="AQ156" s="81">
        <v>1060</v>
      </c>
      <c r="AR156" s="81">
        <v>0</v>
      </c>
      <c r="AS156" s="81">
        <v>0</v>
      </c>
      <c r="AT156" s="81">
        <v>0</v>
      </c>
      <c r="AU156" s="81">
        <v>0</v>
      </c>
      <c r="AV156" s="81">
        <v>0</v>
      </c>
      <c r="AW156" s="81">
        <v>0</v>
      </c>
      <c r="AX156" s="81">
        <v>0</v>
      </c>
      <c r="AY156" s="81">
        <v>0</v>
      </c>
      <c r="AZ156" s="81">
        <v>0</v>
      </c>
      <c r="BA156" s="81">
        <v>0</v>
      </c>
      <c r="BB156" s="81">
        <v>1060</v>
      </c>
      <c r="BC156" s="79"/>
      <c r="BD156" s="79">
        <v>1060</v>
      </c>
      <c r="BE156" s="79">
        <v>0</v>
      </c>
      <c r="BF156" s="79">
        <v>0</v>
      </c>
      <c r="BG156" s="79">
        <v>0</v>
      </c>
      <c r="BH156" s="79">
        <v>0</v>
      </c>
      <c r="BI156" s="79">
        <v>0</v>
      </c>
      <c r="BJ156" s="79">
        <v>0</v>
      </c>
      <c r="BK156" s="79">
        <v>0</v>
      </c>
      <c r="BL156" s="79">
        <v>0</v>
      </c>
      <c r="BM156" s="79">
        <v>0</v>
      </c>
      <c r="BN156" s="79">
        <v>0</v>
      </c>
      <c r="BO156" s="79">
        <v>1060</v>
      </c>
    </row>
    <row r="157" spans="1:67">
      <c r="A157" s="66" t="s">
        <v>2778</v>
      </c>
      <c r="B157" s="66" t="str">
        <f>_xlfn.TEXTJOIN("_",,ERP_34[[#This Row],[LT Member -1*]],ERP_34[[#This Row],[Expense Category]],ERP_34[[#This Row],[Project Code*]])</f>
        <v>McGettigan, David_SOFTWARE_ERP_Amort001</v>
      </c>
      <c r="C157" s="67" t="s">
        <v>1136</v>
      </c>
      <c r="D157" s="67" t="s">
        <v>1567</v>
      </c>
      <c r="E157" s="67" t="s">
        <v>1567</v>
      </c>
      <c r="F157" s="67" t="s">
        <v>1567</v>
      </c>
      <c r="G157" s="68" t="s">
        <v>639</v>
      </c>
      <c r="H157" s="106" t="s">
        <v>2780</v>
      </c>
      <c r="I157" s="70"/>
      <c r="J157" s="70"/>
      <c r="K157" s="70" t="s">
        <v>999</v>
      </c>
      <c r="L157" s="70"/>
      <c r="M157" s="70"/>
      <c r="N157" s="70"/>
      <c r="O157" s="67" t="s">
        <v>1000</v>
      </c>
      <c r="P157" s="67"/>
      <c r="Q157" s="137"/>
      <c r="R157" s="138">
        <v>0</v>
      </c>
      <c r="S157" s="139">
        <v>0</v>
      </c>
      <c r="T157" s="139">
        <v>0</v>
      </c>
      <c r="U157" s="137">
        <f>ERP_34[[#This Row],[LE2 Final Submission]]-ERP_34[[#This Row],[LE3 Final Submission]]</f>
        <v>0</v>
      </c>
      <c r="V157" s="74">
        <v>16675.14</v>
      </c>
      <c r="W157" s="124">
        <v>0</v>
      </c>
      <c r="X157" s="75">
        <v>-16675.14</v>
      </c>
      <c r="Y157" s="76"/>
      <c r="Z157" s="76"/>
      <c r="AA157" s="76"/>
      <c r="AB157" s="76"/>
      <c r="AC157" s="76"/>
      <c r="AD157" s="76"/>
      <c r="AE157" s="76"/>
      <c r="AF157" s="76"/>
      <c r="AG157" s="76"/>
      <c r="AH157" s="77">
        <f t="shared" si="9"/>
        <v>0</v>
      </c>
      <c r="AI157" s="108">
        <f>ERP_34[[#This Row],[2026 Working Total]]-ERP_34[[#This Row],[2026 LE0]]</f>
        <v>0</v>
      </c>
      <c r="AJ157" s="79"/>
      <c r="AK157" s="79"/>
      <c r="AL1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7" s="80"/>
      <c r="AN157" s="79">
        <f>ERP_34[[#This Row],[2026 Working Total to Budget/LE]]-ERP_34[[#This Row],[Giveback]]</f>
        <v>0</v>
      </c>
      <c r="AO157" s="81"/>
      <c r="AP157" s="81">
        <v>16675.14</v>
      </c>
      <c r="AQ157" s="81">
        <v>0</v>
      </c>
      <c r="AR157" s="81">
        <v>-16675.14</v>
      </c>
      <c r="AS157" s="81"/>
      <c r="AT157" s="81"/>
      <c r="AU157" s="81"/>
      <c r="AV157" s="81"/>
      <c r="AW157" s="81"/>
      <c r="AX157" s="81"/>
      <c r="AY157" s="81"/>
      <c r="AZ157" s="81"/>
      <c r="BA157" s="81"/>
      <c r="BB157" s="81">
        <v>0</v>
      </c>
      <c r="BC157" s="82">
        <v>16675.14</v>
      </c>
      <c r="BD157" s="82">
        <v>0</v>
      </c>
      <c r="BE157" s="82">
        <v>-16675.14</v>
      </c>
      <c r="BF157" s="82"/>
      <c r="BG157" s="82"/>
      <c r="BH157" s="82"/>
      <c r="BI157" s="82"/>
      <c r="BJ157" s="82"/>
      <c r="BK157" s="82"/>
      <c r="BL157" s="82"/>
      <c r="BM157" s="82"/>
      <c r="BN157" s="82"/>
      <c r="BO157" s="82">
        <v>0</v>
      </c>
    </row>
    <row r="158" spans="1:67">
      <c r="A158" s="66" t="s">
        <v>1661</v>
      </c>
      <c r="B158" s="66" t="str">
        <f>_xlfn.TEXTJOIN("_",,ERP_34[[#This Row],[LT Member -1*]],ERP_34[[#This Row],[Expense Category]],ERP_34[[#This Row],[Project Code*]])</f>
        <v>Maguire, Karla_DEPRECIATION_ERP_Depre001</v>
      </c>
      <c r="C158" s="67" t="s">
        <v>1136</v>
      </c>
      <c r="D158" s="67" t="s">
        <v>1135</v>
      </c>
      <c r="E158" s="67" t="s">
        <v>1137</v>
      </c>
      <c r="F158" s="67" t="s">
        <v>1137</v>
      </c>
      <c r="G158" s="68" t="s">
        <v>333</v>
      </c>
      <c r="H158" s="106" t="s">
        <v>1663</v>
      </c>
      <c r="I158" s="70"/>
      <c r="J158" s="70"/>
      <c r="K158" s="70" t="s">
        <v>336</v>
      </c>
      <c r="L158" s="70"/>
      <c r="M158" s="70"/>
      <c r="N158" s="70"/>
      <c r="O158" s="67" t="s">
        <v>25</v>
      </c>
      <c r="P158" s="67" t="s">
        <v>1666</v>
      </c>
      <c r="Q158" s="71"/>
      <c r="R158" s="72">
        <v>0</v>
      </c>
      <c r="S158" s="73">
        <v>22573.91</v>
      </c>
      <c r="T158" s="73">
        <v>0</v>
      </c>
      <c r="U158" s="71">
        <f>ERP_34[[#This Row],[LE2 Final Submission]]-ERP_34[[#This Row],[LE3 Final Submission]]</f>
        <v>22573.91</v>
      </c>
      <c r="V158" s="74">
        <v>656</v>
      </c>
      <c r="W158" s="75">
        <v>1537.91</v>
      </c>
      <c r="X158" s="75">
        <v>2038</v>
      </c>
      <c r="Y158" s="76">
        <v>2038</v>
      </c>
      <c r="Z158" s="76">
        <v>2038</v>
      </c>
      <c r="AA158" s="76">
        <v>2038</v>
      </c>
      <c r="AB158" s="76">
        <v>2038</v>
      </c>
      <c r="AC158" s="76">
        <v>2038</v>
      </c>
      <c r="AD158" s="76">
        <v>2038</v>
      </c>
      <c r="AE158" s="76">
        <v>2038</v>
      </c>
      <c r="AF158" s="76">
        <v>2038</v>
      </c>
      <c r="AG158" s="76">
        <v>2038</v>
      </c>
      <c r="AH158" s="77">
        <f t="shared" si="9"/>
        <v>22573.91</v>
      </c>
      <c r="AI158" s="108">
        <f>ERP_34[[#This Row],[2026 Working Total]]-ERP_34[[#This Row],[2026 LE0]]</f>
        <v>22573.91</v>
      </c>
      <c r="AJ158" s="79"/>
      <c r="AK158" s="79"/>
      <c r="AL1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8" s="80"/>
      <c r="AN158" s="79">
        <f>ERP_34[[#This Row],[2026 Working Total to Budget/LE]]-ERP_34[[#This Row],[Giveback]]</f>
        <v>22573.91</v>
      </c>
      <c r="AO158" s="81"/>
      <c r="AP158" s="81">
        <v>656</v>
      </c>
      <c r="AQ158" s="81">
        <v>1537.91</v>
      </c>
      <c r="AR158" s="81">
        <v>2038</v>
      </c>
      <c r="AS158" s="81">
        <v>2038</v>
      </c>
      <c r="AT158" s="81">
        <v>2038</v>
      </c>
      <c r="AU158" s="81">
        <v>2038</v>
      </c>
      <c r="AV158" s="81">
        <v>2038</v>
      </c>
      <c r="AW158" s="81">
        <v>2038</v>
      </c>
      <c r="AX158" s="81">
        <v>2038</v>
      </c>
      <c r="AY158" s="81">
        <v>2038</v>
      </c>
      <c r="AZ158" s="81">
        <v>2038</v>
      </c>
      <c r="BA158" s="81">
        <v>2038</v>
      </c>
      <c r="BB158" s="81">
        <v>22573.91</v>
      </c>
      <c r="BC158" s="79">
        <v>656</v>
      </c>
      <c r="BD158" s="79">
        <v>1537.91</v>
      </c>
      <c r="BE158" s="79">
        <v>2038</v>
      </c>
      <c r="BF158" s="79">
        <v>0</v>
      </c>
      <c r="BG158" s="79">
        <v>0</v>
      </c>
      <c r="BH158" s="79">
        <v>0</v>
      </c>
      <c r="BI158" s="79">
        <v>0</v>
      </c>
      <c r="BJ158" s="79">
        <v>0</v>
      </c>
      <c r="BK158" s="79">
        <v>0</v>
      </c>
      <c r="BL158" s="79">
        <v>0</v>
      </c>
      <c r="BM158" s="79">
        <v>0</v>
      </c>
      <c r="BN158" s="79">
        <v>0</v>
      </c>
      <c r="BO158" s="79">
        <v>4231.91</v>
      </c>
    </row>
    <row r="159" spans="1:67">
      <c r="A159" s="66" t="s">
        <v>1667</v>
      </c>
      <c r="B159" s="66" t="str">
        <f>_xlfn.TEXTJOIN("_",,ERP_34[[#This Row],[LT Member -1*]],ERP_34[[#This Row],[Expense Category]],ERP_34[[#This Row],[Project Code*]])</f>
        <v>DeHart, Lynn_DEPRECIATION_ERP_Depre001</v>
      </c>
      <c r="C159" s="67" t="s">
        <v>1136</v>
      </c>
      <c r="D159" s="67" t="s">
        <v>1345</v>
      </c>
      <c r="E159" s="67" t="s">
        <v>1346</v>
      </c>
      <c r="F159" s="67" t="s">
        <v>1346</v>
      </c>
      <c r="G159" s="68" t="s">
        <v>333</v>
      </c>
      <c r="H159" s="106" t="s">
        <v>1663</v>
      </c>
      <c r="I159" s="70"/>
      <c r="J159" s="70"/>
      <c r="K159" s="70" t="s">
        <v>336</v>
      </c>
      <c r="L159" s="70"/>
      <c r="M159" s="70"/>
      <c r="N159" s="70"/>
      <c r="O159" s="67" t="s">
        <v>25</v>
      </c>
      <c r="P159" s="67" t="s">
        <v>1666</v>
      </c>
      <c r="Q159" s="71"/>
      <c r="R159" s="72">
        <v>0</v>
      </c>
      <c r="S159" s="73">
        <v>19503</v>
      </c>
      <c r="T159" s="73">
        <v>0</v>
      </c>
      <c r="U159" s="71">
        <f>ERP_34[[#This Row],[LE2 Final Submission]]-ERP_34[[#This Row],[LE3 Final Submission]]</f>
        <v>19503</v>
      </c>
      <c r="V159" s="74">
        <v>336</v>
      </c>
      <c r="W159" s="75">
        <v>337</v>
      </c>
      <c r="X159" s="75">
        <v>1883</v>
      </c>
      <c r="Y159" s="76">
        <v>1883</v>
      </c>
      <c r="Z159" s="76">
        <v>1883</v>
      </c>
      <c r="AA159" s="76">
        <v>1883</v>
      </c>
      <c r="AB159" s="76">
        <v>1883</v>
      </c>
      <c r="AC159" s="76">
        <v>1883</v>
      </c>
      <c r="AD159" s="76">
        <v>1883</v>
      </c>
      <c r="AE159" s="76">
        <v>1883</v>
      </c>
      <c r="AF159" s="76">
        <v>1883</v>
      </c>
      <c r="AG159" s="76">
        <v>1883</v>
      </c>
      <c r="AH159" s="77">
        <f t="shared" si="9"/>
        <v>19503</v>
      </c>
      <c r="AI159" s="108">
        <f>ERP_34[[#This Row],[2026 Working Total]]-ERP_34[[#This Row],[2026 LE0]]</f>
        <v>19503</v>
      </c>
      <c r="AJ159" s="79"/>
      <c r="AK159" s="79"/>
      <c r="AL15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59" s="80"/>
      <c r="AN159" s="79">
        <f>ERP_34[[#This Row],[2026 Working Total to Budget/LE]]-ERP_34[[#This Row],[Giveback]]</f>
        <v>19503</v>
      </c>
      <c r="AO159" s="81"/>
      <c r="AP159" s="81">
        <v>336</v>
      </c>
      <c r="AQ159" s="81">
        <v>337</v>
      </c>
      <c r="AR159" s="81">
        <v>1883</v>
      </c>
      <c r="AS159" s="81">
        <v>1883</v>
      </c>
      <c r="AT159" s="81">
        <v>1883</v>
      </c>
      <c r="AU159" s="81">
        <v>1883</v>
      </c>
      <c r="AV159" s="81">
        <v>1883</v>
      </c>
      <c r="AW159" s="81">
        <v>1883</v>
      </c>
      <c r="AX159" s="81">
        <v>1883</v>
      </c>
      <c r="AY159" s="81">
        <v>1883</v>
      </c>
      <c r="AZ159" s="81">
        <v>1883</v>
      </c>
      <c r="BA159" s="81">
        <v>1883</v>
      </c>
      <c r="BB159" s="81">
        <v>19503</v>
      </c>
      <c r="BC159" s="79">
        <v>336</v>
      </c>
      <c r="BD159" s="79">
        <v>337</v>
      </c>
      <c r="BE159" s="79">
        <v>1883</v>
      </c>
      <c r="BF159" s="79">
        <v>0</v>
      </c>
      <c r="BG159" s="79">
        <v>0</v>
      </c>
      <c r="BH159" s="79">
        <v>0</v>
      </c>
      <c r="BI159" s="79">
        <v>0</v>
      </c>
      <c r="BJ159" s="79">
        <v>0</v>
      </c>
      <c r="BK159" s="79">
        <v>0</v>
      </c>
      <c r="BL159" s="79">
        <v>0</v>
      </c>
      <c r="BM159" s="79">
        <v>0</v>
      </c>
      <c r="BN159" s="79">
        <v>0</v>
      </c>
      <c r="BO159" s="79">
        <v>2556</v>
      </c>
    </row>
    <row r="160" spans="1:67">
      <c r="A160" s="66" t="s">
        <v>1665</v>
      </c>
      <c r="B160" s="66" t="str">
        <f>_xlfn.TEXTJOIN("_",,ERP_34[[#This Row],[LT Member -1*]],ERP_34[[#This Row],[Expense Category]],ERP_34[[#This Row],[Project Code*]])</f>
        <v>Ganesan, Srinivasan_DEPRECIATION_ERP_Depre001</v>
      </c>
      <c r="C160" s="67" t="s">
        <v>1136</v>
      </c>
      <c r="D160" s="67" t="s">
        <v>1345</v>
      </c>
      <c r="E160" s="67" t="s">
        <v>1344</v>
      </c>
      <c r="F160" s="67" t="s">
        <v>1346</v>
      </c>
      <c r="G160" s="68" t="s">
        <v>333</v>
      </c>
      <c r="H160" s="106" t="s">
        <v>1663</v>
      </c>
      <c r="I160" s="70"/>
      <c r="J160" s="70"/>
      <c r="K160" s="70" t="s">
        <v>336</v>
      </c>
      <c r="L160" s="70"/>
      <c r="M160" s="70"/>
      <c r="N160" s="70"/>
      <c r="O160" s="67" t="s">
        <v>25</v>
      </c>
      <c r="P160" s="67" t="s">
        <v>1666</v>
      </c>
      <c r="Q160" s="71"/>
      <c r="R160" s="72">
        <v>0</v>
      </c>
      <c r="S160" s="73">
        <v>6232.2000000000016</v>
      </c>
      <c r="T160" s="73">
        <v>0</v>
      </c>
      <c r="U160" s="71">
        <f>ERP_34[[#This Row],[LE2 Final Submission]]-ERP_34[[#This Row],[LE3 Final Submission]]</f>
        <v>6232.2000000000016</v>
      </c>
      <c r="V160" s="74">
        <v>519.35</v>
      </c>
      <c r="W160" s="75">
        <v>519.35</v>
      </c>
      <c r="X160" s="75">
        <v>519.35</v>
      </c>
      <c r="Y160" s="76">
        <v>519.35</v>
      </c>
      <c r="Z160" s="76">
        <v>519.35</v>
      </c>
      <c r="AA160" s="76">
        <v>519.35</v>
      </c>
      <c r="AB160" s="76">
        <v>519.35</v>
      </c>
      <c r="AC160" s="76">
        <v>519.35</v>
      </c>
      <c r="AD160" s="76">
        <v>519.35</v>
      </c>
      <c r="AE160" s="76">
        <v>519.35</v>
      </c>
      <c r="AF160" s="76">
        <v>519.35</v>
      </c>
      <c r="AG160" s="76">
        <v>519.35</v>
      </c>
      <c r="AH160" s="77">
        <f t="shared" si="9"/>
        <v>6232.2000000000016</v>
      </c>
      <c r="AI160" s="108">
        <f>ERP_34[[#This Row],[2026 Working Total]]-ERP_34[[#This Row],[2026 LE0]]</f>
        <v>6232.2000000000016</v>
      </c>
      <c r="AJ160" s="79"/>
      <c r="AK160" s="79"/>
      <c r="AL1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0" s="80"/>
      <c r="AN160" s="79">
        <f>ERP_34[[#This Row],[2026 Working Total to Budget/LE]]-ERP_34[[#This Row],[Giveback]]</f>
        <v>6232.2000000000016</v>
      </c>
      <c r="AO160" s="81"/>
      <c r="AP160" s="81">
        <v>519.35</v>
      </c>
      <c r="AQ160" s="81">
        <v>519.35</v>
      </c>
      <c r="AR160" s="81">
        <v>519.35</v>
      </c>
      <c r="AS160" s="81">
        <v>519.35</v>
      </c>
      <c r="AT160" s="81">
        <v>519.35</v>
      </c>
      <c r="AU160" s="81">
        <v>519.35</v>
      </c>
      <c r="AV160" s="81">
        <v>519.35</v>
      </c>
      <c r="AW160" s="81">
        <v>519.35</v>
      </c>
      <c r="AX160" s="81">
        <v>519.35</v>
      </c>
      <c r="AY160" s="81">
        <v>519.35</v>
      </c>
      <c r="AZ160" s="81">
        <v>519.35</v>
      </c>
      <c r="BA160" s="81">
        <v>519.35</v>
      </c>
      <c r="BB160" s="81">
        <v>6232.2000000000016</v>
      </c>
      <c r="BC160" s="79">
        <v>519.35</v>
      </c>
      <c r="BD160" s="79">
        <v>519.35</v>
      </c>
      <c r="BE160" s="79">
        <v>519.35</v>
      </c>
      <c r="BF160" s="79">
        <v>0</v>
      </c>
      <c r="BG160" s="79">
        <v>0</v>
      </c>
      <c r="BH160" s="79">
        <v>0</v>
      </c>
      <c r="BI160" s="79">
        <v>0</v>
      </c>
      <c r="BJ160" s="79">
        <v>0</v>
      </c>
      <c r="BK160" s="79">
        <v>0</v>
      </c>
      <c r="BL160" s="79">
        <v>0</v>
      </c>
      <c r="BM160" s="79">
        <v>0</v>
      </c>
      <c r="BN160" s="79">
        <v>0</v>
      </c>
      <c r="BO160" s="79">
        <v>1558.0500000000002</v>
      </c>
    </row>
    <row r="161" spans="1:67">
      <c r="A161" s="66" t="s">
        <v>1669</v>
      </c>
      <c r="B161" s="66" t="str">
        <f>_xlfn.TEXTJOIN("_",,ERP_34[[#This Row],[LT Member -1*]],ERP_34[[#This Row],[Expense Category]],ERP_34[[#This Row],[Project Code*]])</f>
        <v>McGettigan, David_DEPRECIATION_ERP_Depre001</v>
      </c>
      <c r="C161" s="67" t="s">
        <v>1136</v>
      </c>
      <c r="D161" s="67" t="s">
        <v>1567</v>
      </c>
      <c r="E161" s="67" t="s">
        <v>1567</v>
      </c>
      <c r="F161" s="67" t="s">
        <v>1567</v>
      </c>
      <c r="G161" s="68" t="s">
        <v>333</v>
      </c>
      <c r="H161" s="106" t="s">
        <v>1663</v>
      </c>
      <c r="I161" s="70"/>
      <c r="J161" s="70"/>
      <c r="K161" s="70" t="s">
        <v>336</v>
      </c>
      <c r="L161" s="70"/>
      <c r="M161" s="70"/>
      <c r="N161" s="70"/>
      <c r="O161" s="67" t="s">
        <v>25</v>
      </c>
      <c r="P161" s="67" t="s">
        <v>1666</v>
      </c>
      <c r="Q161" s="71"/>
      <c r="R161" s="72">
        <v>32110933.16</v>
      </c>
      <c r="S161" s="73">
        <v>34757461.509999998</v>
      </c>
      <c r="T161" s="73">
        <v>32110933.16</v>
      </c>
      <c r="U161" s="71">
        <f>ERP_34[[#This Row],[LE2 Final Submission]]-ERP_34[[#This Row],[LE3 Final Submission]]</f>
        <v>2646528.3499999978</v>
      </c>
      <c r="V161" s="74">
        <v>2815065.65</v>
      </c>
      <c r="W161" s="75">
        <v>3048410.85</v>
      </c>
      <c r="X161" s="75">
        <v>3021391.85</v>
      </c>
      <c r="Y161" s="76">
        <v>3021020.11</v>
      </c>
      <c r="Z161" s="76">
        <v>3021022.03</v>
      </c>
      <c r="AA161" s="76">
        <v>3021020.07</v>
      </c>
      <c r="AB161" s="76">
        <v>2977460.79</v>
      </c>
      <c r="AC161" s="76">
        <v>2957767.97</v>
      </c>
      <c r="AD161" s="76">
        <v>2824180.51</v>
      </c>
      <c r="AE161" s="76">
        <v>2683373.61</v>
      </c>
      <c r="AF161" s="76">
        <v>2683374.5</v>
      </c>
      <c r="AG161" s="76">
        <v>2683373.5699999998</v>
      </c>
      <c r="AH161" s="77">
        <f t="shared" si="9"/>
        <v>34757461.509999998</v>
      </c>
      <c r="AI161" s="108">
        <f>ERP_34[[#This Row],[2026 Working Total]]-ERP_34[[#This Row],[2026 LE0]]</f>
        <v>2646528.3499999978</v>
      </c>
      <c r="AJ161" s="79"/>
      <c r="AK161" s="79"/>
      <c r="AL16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1" s="80"/>
      <c r="AN161" s="79">
        <f>ERP_34[[#This Row],[2026 Working Total to Budget/LE]]-ERP_34[[#This Row],[Giveback]]</f>
        <v>2646528.3499999978</v>
      </c>
      <c r="AO161" s="81"/>
      <c r="AP161" s="81">
        <v>2815065.65</v>
      </c>
      <c r="AQ161" s="81">
        <v>3048410.85</v>
      </c>
      <c r="AR161" s="81">
        <v>3021391.85</v>
      </c>
      <c r="AS161" s="81">
        <v>3021020.11</v>
      </c>
      <c r="AT161" s="81">
        <v>3021022.03</v>
      </c>
      <c r="AU161" s="81">
        <v>3021020.07</v>
      </c>
      <c r="AV161" s="81">
        <v>2977460.79</v>
      </c>
      <c r="AW161" s="81">
        <v>2957767.97</v>
      </c>
      <c r="AX161" s="81">
        <v>2824180.51</v>
      </c>
      <c r="AY161" s="81">
        <v>2683373.61</v>
      </c>
      <c r="AZ161" s="81">
        <v>2683374.5</v>
      </c>
      <c r="BA161" s="81">
        <v>2683373.5699999998</v>
      </c>
      <c r="BB161" s="81">
        <v>34757461.509999998</v>
      </c>
      <c r="BC161" s="79">
        <v>2815065.65</v>
      </c>
      <c r="BD161" s="79">
        <v>3048410.85</v>
      </c>
      <c r="BE161" s="79">
        <v>3021391.85</v>
      </c>
      <c r="BF161" s="79">
        <v>3021020.11</v>
      </c>
      <c r="BG161" s="79">
        <v>3021022.03</v>
      </c>
      <c r="BH161" s="79">
        <v>3021020.07</v>
      </c>
      <c r="BI161" s="79">
        <v>2977460.79</v>
      </c>
      <c r="BJ161" s="79">
        <v>2957767.97</v>
      </c>
      <c r="BK161" s="79">
        <v>2824180.51</v>
      </c>
      <c r="BL161" s="79">
        <v>2683373.61</v>
      </c>
      <c r="BM161" s="79">
        <v>2683374.5</v>
      </c>
      <c r="BN161" s="79">
        <v>2683373.5699999998</v>
      </c>
      <c r="BO161" s="79">
        <v>34757461.509999998</v>
      </c>
    </row>
    <row r="162" spans="1:67">
      <c r="A162" s="66" t="s">
        <v>1671</v>
      </c>
      <c r="B162" s="66" t="str">
        <f>_xlfn.TEXTJOIN("_",,ERP_34[[#This Row],[LT Member -1*]],ERP_34[[#This Row],[Expense Category]],ERP_34[[#This Row],[Project Code*]])</f>
        <v>McGettigan, David_DEPRECIATION_ERP_DepreAUC001</v>
      </c>
      <c r="C162" s="67" t="s">
        <v>1136</v>
      </c>
      <c r="D162" s="67" t="s">
        <v>1567</v>
      </c>
      <c r="E162" s="67" t="s">
        <v>1567</v>
      </c>
      <c r="F162" s="67" t="s">
        <v>1567</v>
      </c>
      <c r="G162" s="68" t="s">
        <v>333</v>
      </c>
      <c r="H162" s="106" t="s">
        <v>1673</v>
      </c>
      <c r="I162" s="70"/>
      <c r="J162" s="70"/>
      <c r="K162" s="70" t="s">
        <v>339</v>
      </c>
      <c r="L162" s="70"/>
      <c r="M162" s="70"/>
      <c r="N162" s="70"/>
      <c r="O162" s="67" t="s">
        <v>340</v>
      </c>
      <c r="P162" s="67"/>
      <c r="Q162" s="71"/>
      <c r="R162" s="72">
        <v>3047384</v>
      </c>
      <c r="S162" s="73">
        <v>147762.3031111111</v>
      </c>
      <c r="T162" s="73">
        <v>3047384</v>
      </c>
      <c r="U162" s="71">
        <f>ERP_34[[#This Row],[LE2 Final Submission]]-ERP_34[[#This Row],[LE3 Final Submission]]</f>
        <v>-2899621.6968888887</v>
      </c>
      <c r="V162" s="74"/>
      <c r="W162" s="75"/>
      <c r="X162" s="75"/>
      <c r="Y162" s="76">
        <v>0</v>
      </c>
      <c r="Z162" s="76">
        <v>12850.03788888889</v>
      </c>
      <c r="AA162" s="76">
        <v>14915.704555555556</v>
      </c>
      <c r="AB162" s="76">
        <v>14915.704555555556</v>
      </c>
      <c r="AC162" s="76">
        <v>14915.704555555556</v>
      </c>
      <c r="AD162" s="76">
        <v>14915.704555555556</v>
      </c>
      <c r="AE162" s="76">
        <v>23394.593444444443</v>
      </c>
      <c r="AF162" s="76">
        <v>23394.593444444443</v>
      </c>
      <c r="AG162" s="76">
        <v>28460.260111111111</v>
      </c>
      <c r="AH162" s="77">
        <f t="shared" si="9"/>
        <v>147762.3031111111</v>
      </c>
      <c r="AI162" s="108">
        <f>ERP_34[[#This Row],[2026 Working Total]]-ERP_34[[#This Row],[2026 LE0]]</f>
        <v>-2899621.6968888887</v>
      </c>
      <c r="AJ162" s="79"/>
      <c r="AK162" s="79"/>
      <c r="AL16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2" s="80"/>
      <c r="AN162" s="79">
        <f>ERP_34[[#This Row],[2026 Working Total to Budget/LE]]-ERP_34[[#This Row],[Giveback]]</f>
        <v>-2899621.6968888887</v>
      </c>
      <c r="AO162" s="81"/>
      <c r="AP162" s="81"/>
      <c r="AQ162" s="81"/>
      <c r="AR162" s="81"/>
      <c r="AS162" s="81">
        <v>0</v>
      </c>
      <c r="AT162" s="81">
        <v>12850.03788888889</v>
      </c>
      <c r="AU162" s="81">
        <v>14915.704555555556</v>
      </c>
      <c r="AV162" s="81">
        <v>14915.704555555556</v>
      </c>
      <c r="AW162" s="81">
        <v>14915.704555555556</v>
      </c>
      <c r="AX162" s="81">
        <v>14915.704555555556</v>
      </c>
      <c r="AY162" s="81">
        <v>23394.593444444443</v>
      </c>
      <c r="AZ162" s="81">
        <v>23394.593444444443</v>
      </c>
      <c r="BA162" s="81">
        <v>28460.260111111111</v>
      </c>
      <c r="BB162" s="81">
        <v>147762.3031111111</v>
      </c>
      <c r="BC162" s="79"/>
      <c r="BD162" s="79"/>
      <c r="BE162" s="79"/>
      <c r="BF162" s="79">
        <v>12436.91</v>
      </c>
      <c r="BG162" s="79">
        <v>17183.39</v>
      </c>
      <c r="BH162" s="79">
        <v>19249.060000000001</v>
      </c>
      <c r="BI162" s="79">
        <v>19249.060000000001</v>
      </c>
      <c r="BJ162" s="79">
        <v>20917.810000000001</v>
      </c>
      <c r="BK162" s="79">
        <v>38739.129999999997</v>
      </c>
      <c r="BL162" s="79">
        <v>52766.07</v>
      </c>
      <c r="BM162" s="79">
        <v>52766.07</v>
      </c>
      <c r="BN162" s="79">
        <v>65150.49</v>
      </c>
      <c r="BO162" s="79">
        <v>298457.99</v>
      </c>
    </row>
    <row r="163" spans="1:67">
      <c r="A163" s="66" t="s">
        <v>1594</v>
      </c>
      <c r="B163" s="66" t="str">
        <f>_xlfn.TEXTJOIN("_",,ERP_34[[#This Row],[LT Member -1*]],ERP_34[[#This Row],[Expense Category]],ERP_34[[#This Row],[Project Code*]])</f>
        <v>McGettigan, David_CONTRACTORS_ERP_Digital Funded Project_002</v>
      </c>
      <c r="C163" s="67" t="s">
        <v>1136</v>
      </c>
      <c r="D163" s="67" t="s">
        <v>1567</v>
      </c>
      <c r="E163" s="67" t="s">
        <v>1567</v>
      </c>
      <c r="F163" s="67" t="s">
        <v>1567</v>
      </c>
      <c r="G163" s="68" t="s">
        <v>49</v>
      </c>
      <c r="H163" s="106" t="s">
        <v>1596</v>
      </c>
      <c r="I163" s="70"/>
      <c r="J163" s="70"/>
      <c r="K163" s="141" t="s">
        <v>286</v>
      </c>
      <c r="L163" s="70"/>
      <c r="M163" s="70"/>
      <c r="N163" s="70"/>
      <c r="O163" s="67" t="s">
        <v>272</v>
      </c>
      <c r="P163" s="67"/>
      <c r="Q163" s="71"/>
      <c r="R163" s="72">
        <v>100000</v>
      </c>
      <c r="S163" s="73">
        <v>100000</v>
      </c>
      <c r="T163" s="73">
        <v>100000</v>
      </c>
      <c r="U163" s="71">
        <f>ERP_34[[#This Row],[LE2 Final Submission]]-ERP_34[[#This Row],[LE3 Final Submission]]</f>
        <v>0</v>
      </c>
      <c r="V163" s="74"/>
      <c r="W163" s="75"/>
      <c r="X163" s="75"/>
      <c r="Y163" s="76">
        <v>25000</v>
      </c>
      <c r="Z163" s="76">
        <v>25000</v>
      </c>
      <c r="AA163" s="76">
        <v>25000</v>
      </c>
      <c r="AB163" s="76">
        <v>25000</v>
      </c>
      <c r="AC163" s="109">
        <v>0</v>
      </c>
      <c r="AD163" s="109">
        <v>0</v>
      </c>
      <c r="AE163" s="109">
        <v>0</v>
      </c>
      <c r="AF163" s="109">
        <v>0</v>
      </c>
      <c r="AG163" s="109">
        <v>0</v>
      </c>
      <c r="AH163" s="143">
        <f t="shared" si="9"/>
        <v>100000</v>
      </c>
      <c r="AI163" s="144">
        <f>ERP_34[[#This Row],[2026 Working Total]]-ERP_34[[#This Row],[2026 LE0]]</f>
        <v>0</v>
      </c>
      <c r="AJ163" s="79"/>
      <c r="AK163" s="79"/>
      <c r="AL1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3" s="80"/>
      <c r="AN163" s="79">
        <f>ERP_34[[#This Row],[2026 Working Total to Budget/LE]]-ERP_34[[#This Row],[Giveback]]</f>
        <v>0</v>
      </c>
      <c r="AO163" s="81"/>
      <c r="AP163" s="81"/>
      <c r="AQ163" s="81"/>
      <c r="AR163" s="81"/>
      <c r="AS163" s="81">
        <v>25000</v>
      </c>
      <c r="AT163" s="81">
        <v>25000</v>
      </c>
      <c r="AU163" s="81">
        <v>25000</v>
      </c>
      <c r="AV163" s="81">
        <v>25000</v>
      </c>
      <c r="AW163" s="81">
        <v>0</v>
      </c>
      <c r="AX163" s="81">
        <v>0</v>
      </c>
      <c r="AY163" s="81">
        <v>0</v>
      </c>
      <c r="AZ163" s="81">
        <v>0</v>
      </c>
      <c r="BA163" s="81">
        <v>0</v>
      </c>
      <c r="BB163" s="81">
        <v>100000</v>
      </c>
      <c r="BC163" s="79"/>
      <c r="BD163" s="79"/>
      <c r="BE163" s="79"/>
      <c r="BF163" s="79">
        <v>25000</v>
      </c>
      <c r="BG163" s="79">
        <v>25000</v>
      </c>
      <c r="BH163" s="79">
        <v>25000</v>
      </c>
      <c r="BI163" s="79">
        <v>25000</v>
      </c>
      <c r="BJ163" s="79">
        <v>0</v>
      </c>
      <c r="BK163" s="79">
        <v>0</v>
      </c>
      <c r="BL163" s="79">
        <v>0</v>
      </c>
      <c r="BM163" s="79">
        <v>0</v>
      </c>
      <c r="BN163" s="79">
        <v>0</v>
      </c>
      <c r="BO163" s="79">
        <v>100000</v>
      </c>
    </row>
    <row r="164" spans="1:67">
      <c r="A164" s="66" t="s">
        <v>1598</v>
      </c>
      <c r="B164" s="66" t="str">
        <f>_xlfn.TEXTJOIN("_",,ERP_34[[#This Row],[LT Member -1*]],ERP_34[[#This Row],[Expense Category]],ERP_34[[#This Row],[Project Code*]])</f>
        <v>McGettigan, David_CONTRACTORS_ERP_DigitalFundedProject001</v>
      </c>
      <c r="C164" s="67" t="s">
        <v>1136</v>
      </c>
      <c r="D164" s="67" t="s">
        <v>1567</v>
      </c>
      <c r="E164" s="67" t="s">
        <v>1567</v>
      </c>
      <c r="F164" s="67" t="s">
        <v>1567</v>
      </c>
      <c r="G164" s="68" t="s">
        <v>49</v>
      </c>
      <c r="H164" s="106" t="s">
        <v>1600</v>
      </c>
      <c r="I164" s="70"/>
      <c r="J164" s="70"/>
      <c r="K164" s="141" t="s">
        <v>288</v>
      </c>
      <c r="L164" s="70"/>
      <c r="M164" s="70"/>
      <c r="N164" s="70"/>
      <c r="O164" s="67" t="s">
        <v>272</v>
      </c>
      <c r="P164" s="67"/>
      <c r="Q164" s="71"/>
      <c r="R164" s="72">
        <v>45000</v>
      </c>
      <c r="S164" s="73">
        <v>30000</v>
      </c>
      <c r="T164" s="73">
        <v>45000</v>
      </c>
      <c r="U164" s="71">
        <f>ERP_34[[#This Row],[LE2 Final Submission]]-ERP_34[[#This Row],[LE3 Final Submission]]</f>
        <v>-15000</v>
      </c>
      <c r="V164" s="74"/>
      <c r="W164" s="75"/>
      <c r="X164" s="75"/>
      <c r="Y164" s="76">
        <v>15000</v>
      </c>
      <c r="Z164" s="76">
        <v>15000</v>
      </c>
      <c r="AA164" s="109">
        <v>0</v>
      </c>
      <c r="AB164" s="109">
        <v>0</v>
      </c>
      <c r="AC164" s="109">
        <v>0</v>
      </c>
      <c r="AD164" s="109">
        <v>0</v>
      </c>
      <c r="AE164" s="109">
        <v>0</v>
      </c>
      <c r="AF164" s="109">
        <v>0</v>
      </c>
      <c r="AG164" s="109">
        <v>0</v>
      </c>
      <c r="AH164" s="143">
        <f t="shared" si="9"/>
        <v>30000</v>
      </c>
      <c r="AI164" s="144">
        <f>ERP_34[[#This Row],[2026 Working Total]]-ERP_34[[#This Row],[2026 LE0]]</f>
        <v>-15000</v>
      </c>
      <c r="AJ164" s="79"/>
      <c r="AK164" s="79"/>
      <c r="AL16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4" s="80"/>
      <c r="AN164" s="79">
        <f>ERP_34[[#This Row],[2026 Working Total to Budget/LE]]-ERP_34[[#This Row],[Giveback]]</f>
        <v>-15000</v>
      </c>
      <c r="AO164" s="81"/>
      <c r="AP164" s="81"/>
      <c r="AQ164" s="81"/>
      <c r="AR164" s="81"/>
      <c r="AS164" s="81">
        <v>15000</v>
      </c>
      <c r="AT164" s="81">
        <v>15000</v>
      </c>
      <c r="AU164" s="81">
        <v>0</v>
      </c>
      <c r="AV164" s="81">
        <v>0</v>
      </c>
      <c r="AW164" s="81">
        <v>0</v>
      </c>
      <c r="AX164" s="81">
        <v>0</v>
      </c>
      <c r="AY164" s="81">
        <v>0</v>
      </c>
      <c r="AZ164" s="81">
        <v>0</v>
      </c>
      <c r="BA164" s="81">
        <v>0</v>
      </c>
      <c r="BB164" s="81">
        <v>30000</v>
      </c>
      <c r="BC164" s="79"/>
      <c r="BD164" s="79"/>
      <c r="BE164" s="79"/>
      <c r="BF164" s="79">
        <v>15000</v>
      </c>
      <c r="BG164" s="79">
        <v>15000</v>
      </c>
      <c r="BH164" s="79">
        <v>0</v>
      </c>
      <c r="BI164" s="79">
        <v>0</v>
      </c>
      <c r="BJ164" s="79">
        <v>0</v>
      </c>
      <c r="BK164" s="79">
        <v>0</v>
      </c>
      <c r="BL164" s="79">
        <v>0</v>
      </c>
      <c r="BM164" s="79">
        <v>0</v>
      </c>
      <c r="BN164" s="79">
        <v>0</v>
      </c>
      <c r="BO164" s="79">
        <v>30000</v>
      </c>
    </row>
    <row r="165" spans="1:67">
      <c r="A165" s="66" t="s">
        <v>1602</v>
      </c>
      <c r="B165" s="66" t="str">
        <f>_xlfn.TEXTJOIN("_",,ERP_34[[#This Row],[LT Member -1*]],ERP_34[[#This Row],[Expense Category]],ERP_34[[#This Row],[Project Code*]])</f>
        <v>McGettigan, David_CONTRACTORS_ERP_ProjectQuantaME001</v>
      </c>
      <c r="C165" s="67" t="s">
        <v>1136</v>
      </c>
      <c r="D165" s="67" t="s">
        <v>1567</v>
      </c>
      <c r="E165" s="67" t="s">
        <v>1567</v>
      </c>
      <c r="F165" s="67" t="s">
        <v>1567</v>
      </c>
      <c r="G165" s="68" t="s">
        <v>49</v>
      </c>
      <c r="H165" s="69" t="s">
        <v>1604</v>
      </c>
      <c r="I165" s="70"/>
      <c r="J165" s="70"/>
      <c r="K165" s="157" t="s">
        <v>290</v>
      </c>
      <c r="L165" s="70"/>
      <c r="M165" s="70"/>
      <c r="N165" s="70"/>
      <c r="O165" s="160" t="s">
        <v>291</v>
      </c>
      <c r="P165" s="160" t="s">
        <v>1605</v>
      </c>
      <c r="Q165" s="71"/>
      <c r="R165" s="161">
        <v>-351124.00000199996</v>
      </c>
      <c r="S165" s="73">
        <v>0</v>
      </c>
      <c r="T165" s="73">
        <v>-351124.00000199996</v>
      </c>
      <c r="U165" s="71">
        <f>ERP_34[[#This Row],[LE2 Final Submission]]-ERP_34[[#This Row],[LE3 Final Submission]]</f>
        <v>351124.00000199996</v>
      </c>
      <c r="V165" s="152"/>
      <c r="W165" s="153"/>
      <c r="X165" s="153"/>
      <c r="Y165" s="136"/>
      <c r="Z165" s="76"/>
      <c r="AA165" s="76"/>
      <c r="AB165" s="136">
        <f>-58520.666667+58520.666667</f>
        <v>0</v>
      </c>
      <c r="AC165" s="136">
        <f t="shared" ref="AC165:AG165" si="10">-58520.666667+58520.666667</f>
        <v>0</v>
      </c>
      <c r="AD165" s="136">
        <f t="shared" si="10"/>
        <v>0</v>
      </c>
      <c r="AE165" s="136">
        <f t="shared" si="10"/>
        <v>0</v>
      </c>
      <c r="AF165" s="136">
        <f t="shared" si="10"/>
        <v>0</v>
      </c>
      <c r="AG165" s="136">
        <f t="shared" si="10"/>
        <v>0</v>
      </c>
      <c r="AH165" s="142">
        <f t="shared" si="9"/>
        <v>0</v>
      </c>
      <c r="AI165" s="108">
        <f>ERP_34[[#This Row],[2026 Working Total]]-ERP_34[[#This Row],[2026 LE0]]</f>
        <v>351124.00000199996</v>
      </c>
      <c r="AJ165" s="79"/>
      <c r="AK165" s="79"/>
      <c r="AL16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5" s="80"/>
      <c r="AN165" s="79">
        <f>ERP_34[[#This Row],[2026 Working Total to Budget/LE]]-ERP_34[[#This Row],[Giveback]]</f>
        <v>351124.00000199996</v>
      </c>
      <c r="AO165" s="81"/>
      <c r="AP165" s="81"/>
      <c r="AQ165" s="81"/>
      <c r="AR165" s="81"/>
      <c r="AS165" s="81"/>
      <c r="AT165" s="81"/>
      <c r="AU165" s="81"/>
      <c r="AV165" s="81">
        <v>0</v>
      </c>
      <c r="AW165" s="81">
        <v>0</v>
      </c>
      <c r="AX165" s="81">
        <v>0</v>
      </c>
      <c r="AY165" s="81">
        <v>0</v>
      </c>
      <c r="AZ165" s="81">
        <v>0</v>
      </c>
      <c r="BA165" s="81">
        <v>0</v>
      </c>
      <c r="BB165" s="81">
        <v>0</v>
      </c>
      <c r="BC165" s="79"/>
      <c r="BD165" s="79"/>
      <c r="BE165" s="79"/>
      <c r="BF165" s="79"/>
      <c r="BG165" s="79"/>
      <c r="BH165" s="79"/>
      <c r="BI165" s="79">
        <v>-58520.666666999998</v>
      </c>
      <c r="BJ165" s="79">
        <v>-58520.666666999998</v>
      </c>
      <c r="BK165" s="79">
        <v>-58520.666666999998</v>
      </c>
      <c r="BL165" s="79">
        <v>-58520.666666999998</v>
      </c>
      <c r="BM165" s="79">
        <v>-58520.666666999998</v>
      </c>
      <c r="BN165" s="79">
        <v>-58520.666666999998</v>
      </c>
      <c r="BO165" s="79">
        <v>-351124.00000199996</v>
      </c>
    </row>
    <row r="166" spans="1:67">
      <c r="A166" s="66" t="s">
        <v>1798</v>
      </c>
      <c r="B166" s="66" t="str">
        <f>_xlfn.TEXTJOIN("_",,ERP_34[[#This Row],[LT Member -1*]],ERP_34[[#This Row],[Expense Category]],ERP_34[[#This Row],[Project Code*]])</f>
        <v>Tamavada, Ram_MANAGED SERVICES_IT-17BTF01-01</v>
      </c>
      <c r="C166" s="67" t="s">
        <v>1136</v>
      </c>
      <c r="D166" s="67" t="s">
        <v>1135</v>
      </c>
      <c r="E166" s="67" t="s">
        <v>1165</v>
      </c>
      <c r="F166" s="67" t="s">
        <v>1137</v>
      </c>
      <c r="G166" s="68" t="s">
        <v>389</v>
      </c>
      <c r="H166" s="106" t="s">
        <v>2962</v>
      </c>
      <c r="I166" s="70"/>
      <c r="J166" s="70"/>
      <c r="K166" s="114" t="s">
        <v>419</v>
      </c>
      <c r="L166" s="70"/>
      <c r="M166" s="70"/>
      <c r="N166" s="70"/>
      <c r="O166" s="67" t="s">
        <v>25</v>
      </c>
      <c r="P166" s="67"/>
      <c r="Q166" s="71"/>
      <c r="R166" s="72">
        <v>0</v>
      </c>
      <c r="S166" s="73">
        <v>2006.44</v>
      </c>
      <c r="T166" s="73">
        <v>0</v>
      </c>
      <c r="U166" s="71">
        <f>ERP_34[[#This Row],[LE2 Final Submission]]-ERP_34[[#This Row],[LE3 Final Submission]]</f>
        <v>2006.44</v>
      </c>
      <c r="V166" s="74">
        <v>0.45</v>
      </c>
      <c r="W166" s="75">
        <v>1838.45</v>
      </c>
      <c r="X166" s="75">
        <v>167.54</v>
      </c>
      <c r="Y166" s="109">
        <v>0</v>
      </c>
      <c r="Z166" s="109">
        <v>0</v>
      </c>
      <c r="AA166" s="109">
        <v>0</v>
      </c>
      <c r="AB166" s="109">
        <v>0</v>
      </c>
      <c r="AC166" s="109">
        <v>0</v>
      </c>
      <c r="AD166" s="109">
        <v>0</v>
      </c>
      <c r="AE166" s="109">
        <v>0</v>
      </c>
      <c r="AF166" s="109">
        <v>0</v>
      </c>
      <c r="AG166" s="109">
        <v>0</v>
      </c>
      <c r="AH166" s="77">
        <f t="shared" si="9"/>
        <v>2006.44</v>
      </c>
      <c r="AI166" s="108">
        <f>ERP_34[[#This Row],[2026 Working Total]]-ERP_34[[#This Row],[2026 LE0]]</f>
        <v>2006.44</v>
      </c>
      <c r="AJ166" s="79"/>
      <c r="AK166" s="79"/>
      <c r="AL166" s="79">
        <f>ERP_34[[#This Row],[AP01]]+ERP_34[[#This Row],[AP02]]+ERP_34[[#This Row],[AP03]]+ERP_34[[#This Row],[AP04]]-ERP_34[[#This Row],[AP01 LE2]]-ERP_34[[#This Row],[AP02 LE2]]-ERP_34[[#This Row],[AP03 LE2]]-ERP_34[[#This Row],[AP04 LE2]]</f>
        <v>-2.8421709430404007E-14</v>
      </c>
      <c r="AM166" s="80"/>
      <c r="AN166" s="79">
        <f>ERP_34[[#This Row],[2026 Working Total to Budget/LE]]-ERP_34[[#This Row],[Giveback]]</f>
        <v>2006.44</v>
      </c>
      <c r="AO166" s="81"/>
      <c r="AP166" s="81">
        <v>0.45</v>
      </c>
      <c r="AQ166" s="81">
        <v>1838.45</v>
      </c>
      <c r="AR166" s="81">
        <v>167.54</v>
      </c>
      <c r="AS166" s="81">
        <v>0</v>
      </c>
      <c r="AT166" s="81">
        <v>0</v>
      </c>
      <c r="AU166" s="81">
        <v>0</v>
      </c>
      <c r="AV166" s="81">
        <v>0</v>
      </c>
      <c r="AW166" s="81">
        <v>0</v>
      </c>
      <c r="AX166" s="81">
        <v>0</v>
      </c>
      <c r="AY166" s="81">
        <v>0</v>
      </c>
      <c r="AZ166" s="81">
        <v>0</v>
      </c>
      <c r="BA166" s="81">
        <v>0</v>
      </c>
      <c r="BB166" s="81">
        <v>2006.44</v>
      </c>
      <c r="BC166" s="79">
        <v>0.45</v>
      </c>
      <c r="BD166" s="79">
        <v>1838.45</v>
      </c>
      <c r="BE166" s="79">
        <v>167.54</v>
      </c>
      <c r="BF166" s="79">
        <v>0</v>
      </c>
      <c r="BG166" s="79">
        <v>0</v>
      </c>
      <c r="BH166" s="79">
        <v>0</v>
      </c>
      <c r="BI166" s="79">
        <v>0</v>
      </c>
      <c r="BJ166" s="79">
        <v>0</v>
      </c>
      <c r="BK166" s="79">
        <v>0</v>
      </c>
      <c r="BL166" s="79">
        <v>0</v>
      </c>
      <c r="BM166" s="79">
        <v>0</v>
      </c>
      <c r="BN166" s="79">
        <v>0</v>
      </c>
      <c r="BO166" s="79">
        <v>2006.44</v>
      </c>
    </row>
    <row r="167" spans="1:67">
      <c r="A167" s="66" t="s">
        <v>1529</v>
      </c>
      <c r="B167" s="66" t="str">
        <f>_xlfn.TEXTJOIN("_",,ERP_34[[#This Row],[LT Member -1*]],ERP_34[[#This Row],[Expense Category]],ERP_34[[#This Row],[Project Code*]])</f>
        <v>Jajodia, Amit_CONTRACTORS_IT-CTR0023-OG-US-00</v>
      </c>
      <c r="C167" s="67" t="s">
        <v>1136</v>
      </c>
      <c r="D167" s="67" t="s">
        <v>1345</v>
      </c>
      <c r="E167" s="67" t="s">
        <v>1515</v>
      </c>
      <c r="F167" s="67" t="s">
        <v>1346</v>
      </c>
      <c r="G167" s="68" t="s">
        <v>49</v>
      </c>
      <c r="H167" s="106" t="s">
        <v>1530</v>
      </c>
      <c r="I167" s="70"/>
      <c r="J167" s="70"/>
      <c r="K167" s="70" t="s">
        <v>248</v>
      </c>
      <c r="L167" s="70"/>
      <c r="M167" s="70"/>
      <c r="N167" s="70"/>
      <c r="O167" s="67" t="s">
        <v>25</v>
      </c>
      <c r="P167" s="67"/>
      <c r="Q167" s="137"/>
      <c r="R167" s="138">
        <v>0</v>
      </c>
      <c r="S167" s="139">
        <v>0</v>
      </c>
      <c r="T167" s="139">
        <v>0</v>
      </c>
      <c r="U167" s="137">
        <f>ERP_34[[#This Row],[LE2 Final Submission]]-ERP_34[[#This Row],[LE3 Final Submission]]</f>
        <v>0</v>
      </c>
      <c r="V167" s="74">
        <v>0.36</v>
      </c>
      <c r="W167" s="75">
        <v>-0.36</v>
      </c>
      <c r="X167" s="75"/>
      <c r="Y167" s="76"/>
      <c r="Z167" s="76"/>
      <c r="AA167" s="76"/>
      <c r="AB167" s="76"/>
      <c r="AC167" s="76"/>
      <c r="AD167" s="76"/>
      <c r="AE167" s="76"/>
      <c r="AF167" s="76"/>
      <c r="AG167" s="76"/>
      <c r="AH167" s="77">
        <f t="shared" si="9"/>
        <v>0</v>
      </c>
      <c r="AI167" s="108">
        <f>ERP_34[[#This Row],[2026 Working Total]]-ERP_34[[#This Row],[2026 LE0]]</f>
        <v>0</v>
      </c>
      <c r="AJ167" s="79"/>
      <c r="AK167" s="79"/>
      <c r="AL1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7" s="80"/>
      <c r="AN167" s="79">
        <f>ERP_34[[#This Row],[2026 Working Total to Budget/LE]]-ERP_34[[#This Row],[Giveback]]</f>
        <v>0</v>
      </c>
      <c r="AO167" s="81"/>
      <c r="AP167" s="81">
        <v>0.36</v>
      </c>
      <c r="AQ167" s="81">
        <v>-0.36</v>
      </c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>
        <v>0</v>
      </c>
      <c r="BC167" s="79">
        <v>0.36</v>
      </c>
      <c r="BD167" s="79">
        <v>-0.36</v>
      </c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>
        <v>0</v>
      </c>
    </row>
    <row r="168" spans="1:67">
      <c r="A168" s="66" t="s">
        <v>1452</v>
      </c>
      <c r="B168" s="66" t="str">
        <f>_xlfn.TEXTJOIN("_",,ERP_34[[#This Row],[LT Member -1*]],ERP_34[[#This Row],[Expense Category]],ERP_34[[#This Row],[Project Code*]])</f>
        <v>Herman, Shaun_CONTRACTORS_IT-CTR0024-OG-US-00</v>
      </c>
      <c r="C168" s="67" t="s">
        <v>1136</v>
      </c>
      <c r="D168" s="67" t="s">
        <v>1345</v>
      </c>
      <c r="E168" s="67" t="s">
        <v>1450</v>
      </c>
      <c r="F168" s="67" t="s">
        <v>1346</v>
      </c>
      <c r="G168" s="68" t="s">
        <v>49</v>
      </c>
      <c r="H168" s="106" t="s">
        <v>1453</v>
      </c>
      <c r="I168" s="70"/>
      <c r="J168" s="70"/>
      <c r="K168" s="70" t="s">
        <v>206</v>
      </c>
      <c r="L168" s="70"/>
      <c r="M168" s="70"/>
      <c r="N168" s="70"/>
      <c r="O168" s="67" t="s">
        <v>25</v>
      </c>
      <c r="P168" s="67"/>
      <c r="Q168" s="71"/>
      <c r="R168" s="72">
        <v>400000</v>
      </c>
      <c r="S168" s="73">
        <v>300897.52</v>
      </c>
      <c r="T168" s="73">
        <v>400000</v>
      </c>
      <c r="U168" s="71">
        <f>ERP_34[[#This Row],[LE2 Final Submission]]-ERP_34[[#This Row],[LE3 Final Submission]]</f>
        <v>-99102.479999999981</v>
      </c>
      <c r="V168" s="74">
        <v>123337.5</v>
      </c>
      <c r="W168" s="75">
        <v>19442.91</v>
      </c>
      <c r="X168" s="75">
        <v>113117.11</v>
      </c>
      <c r="Y168" s="76">
        <v>5000</v>
      </c>
      <c r="Z168" s="76">
        <v>-200000</v>
      </c>
      <c r="AA168" s="76">
        <v>30000</v>
      </c>
      <c r="AB168" s="76">
        <v>30000</v>
      </c>
      <c r="AC168" s="76">
        <v>30000</v>
      </c>
      <c r="AD168" s="76">
        <v>30000</v>
      </c>
      <c r="AE168" s="76">
        <v>40000</v>
      </c>
      <c r="AF168" s="76">
        <v>40000</v>
      </c>
      <c r="AG168" s="76">
        <v>40000</v>
      </c>
      <c r="AH168" s="77">
        <f t="shared" si="9"/>
        <v>300897.52</v>
      </c>
      <c r="AI168" s="108">
        <f>ERP_34[[#This Row],[2026 Working Total]]-ERP_34[[#This Row],[2026 LE0]]</f>
        <v>-99102.479999999981</v>
      </c>
      <c r="AJ168" s="79"/>
      <c r="AK168" s="79"/>
      <c r="AL168" s="79">
        <f>ERP_34[[#This Row],[AP01]]+ERP_34[[#This Row],[AP02]]+ERP_34[[#This Row],[AP03]]+ERP_34[[#This Row],[AP04]]-ERP_34[[#This Row],[AP01 LE2]]-ERP_34[[#This Row],[AP02 LE2]]-ERP_34[[#This Row],[AP03 LE2]]-ERP_34[[#This Row],[AP04 LE2]]</f>
        <v>1.4551915228366852E-11</v>
      </c>
      <c r="AM168" s="80"/>
      <c r="AN168" s="79">
        <f>ERP_34[[#This Row],[2026 Working Total to Budget/LE]]-ERP_34[[#This Row],[Giveback]]</f>
        <v>-99102.479999999981</v>
      </c>
      <c r="AO168" s="81" t="s">
        <v>1455</v>
      </c>
      <c r="AP168" s="81">
        <v>123337.5</v>
      </c>
      <c r="AQ168" s="81">
        <v>19442.91</v>
      </c>
      <c r="AR168" s="81">
        <v>113117.11</v>
      </c>
      <c r="AS168" s="81">
        <v>5000</v>
      </c>
      <c r="AT168" s="81">
        <v>-200000</v>
      </c>
      <c r="AU168" s="81">
        <v>30000</v>
      </c>
      <c r="AV168" s="81">
        <v>30000</v>
      </c>
      <c r="AW168" s="81">
        <v>30000</v>
      </c>
      <c r="AX168" s="81">
        <v>30000</v>
      </c>
      <c r="AY168" s="81">
        <v>40000</v>
      </c>
      <c r="AZ168" s="81">
        <v>40000</v>
      </c>
      <c r="BA168" s="81">
        <v>40000</v>
      </c>
      <c r="BB168" s="81">
        <v>300897.52</v>
      </c>
      <c r="BC168" s="79">
        <v>123337.5</v>
      </c>
      <c r="BD168" s="79">
        <v>19442.91</v>
      </c>
      <c r="BE168" s="79">
        <v>113117.11</v>
      </c>
      <c r="BF168" s="79">
        <v>30000</v>
      </c>
      <c r="BG168" s="79">
        <v>30000</v>
      </c>
      <c r="BH168" s="79">
        <v>30000</v>
      </c>
      <c r="BI168" s="79">
        <v>30000</v>
      </c>
      <c r="BJ168" s="79">
        <v>30000</v>
      </c>
      <c r="BK168" s="79">
        <v>20000</v>
      </c>
      <c r="BL168" s="79">
        <v>20000</v>
      </c>
      <c r="BM168" s="79">
        <v>20000</v>
      </c>
      <c r="BN168" s="79">
        <v>20000</v>
      </c>
      <c r="BO168" s="79">
        <v>485897.52</v>
      </c>
    </row>
    <row r="169" spans="1:67">
      <c r="A169" s="66" t="s">
        <v>1532</v>
      </c>
      <c r="B169" s="66" t="str">
        <f>_xlfn.TEXTJOIN("_",,ERP_34[[#This Row],[LT Member -1*]],ERP_34[[#This Row],[Expense Category]],ERP_34[[#This Row],[Project Code*]])</f>
        <v>Jajodia, Amit_CONTRACTORS_IT-CTR0027-OG-US-00</v>
      </c>
      <c r="C169" s="67" t="s">
        <v>1136</v>
      </c>
      <c r="D169" s="67" t="s">
        <v>1345</v>
      </c>
      <c r="E169" s="67" t="s">
        <v>1515</v>
      </c>
      <c r="F169" s="67" t="s">
        <v>1346</v>
      </c>
      <c r="G169" s="68" t="s">
        <v>49</v>
      </c>
      <c r="H169" s="106" t="s">
        <v>1533</v>
      </c>
      <c r="I169" s="70"/>
      <c r="J169" s="70"/>
      <c r="K169" s="70" t="s">
        <v>250</v>
      </c>
      <c r="L169" s="70"/>
      <c r="M169" s="70"/>
      <c r="N169" s="70"/>
      <c r="O169" s="67" t="s">
        <v>25</v>
      </c>
      <c r="P169" s="67"/>
      <c r="Q169" s="71"/>
      <c r="R169" s="72">
        <v>553800</v>
      </c>
      <c r="S169" s="73">
        <v>496255</v>
      </c>
      <c r="T169" s="73">
        <v>553800</v>
      </c>
      <c r="U169" s="71">
        <f>ERP_34[[#This Row],[LE2 Final Submission]]-ERP_34[[#This Row],[LE3 Final Submission]]</f>
        <v>-57545</v>
      </c>
      <c r="V169" s="74">
        <v>-0.24</v>
      </c>
      <c r="W169" s="75">
        <v>98366.34</v>
      </c>
      <c r="X169" s="75">
        <v>-98366.1</v>
      </c>
      <c r="Y169" s="76">
        <v>31546.666666666668</v>
      </c>
      <c r="Z169" s="76">
        <v>31546.666666666668</v>
      </c>
      <c r="AA169" s="76">
        <v>31546.666666666668</v>
      </c>
      <c r="AB169" s="76">
        <v>48381.166666666672</v>
      </c>
      <c r="AC169" s="76">
        <v>48381.166666666672</v>
      </c>
      <c r="AD169" s="76">
        <v>48381.166666666672</v>
      </c>
      <c r="AE169" s="76">
        <v>85490.5</v>
      </c>
      <c r="AF169" s="76">
        <v>85490.5</v>
      </c>
      <c r="AG169" s="76">
        <v>85490.5</v>
      </c>
      <c r="AH169" s="77">
        <f t="shared" si="9"/>
        <v>496255</v>
      </c>
      <c r="AI169" s="108">
        <f>ERP_34[[#This Row],[2026 Working Total]]-ERP_34[[#This Row],[2026 LE0]]</f>
        <v>-57545</v>
      </c>
      <c r="AJ169" s="79"/>
      <c r="AK169" s="79"/>
      <c r="AL16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69" s="80"/>
      <c r="AN169" s="79">
        <f>ERP_34[[#This Row],[2026 Working Total to Budget/LE]]-ERP_34[[#This Row],[Giveback]]</f>
        <v>-57545</v>
      </c>
      <c r="AO169" s="81"/>
      <c r="AP169" s="81">
        <v>-0.24</v>
      </c>
      <c r="AQ169" s="81">
        <v>98366.34</v>
      </c>
      <c r="AR169" s="81">
        <v>-98366.1</v>
      </c>
      <c r="AS169" s="81">
        <v>31546.666666666668</v>
      </c>
      <c r="AT169" s="81">
        <v>31546.666666666668</v>
      </c>
      <c r="AU169" s="81">
        <v>31546.666666666668</v>
      </c>
      <c r="AV169" s="81">
        <v>48381.166666666672</v>
      </c>
      <c r="AW169" s="81">
        <v>48381.166666666672</v>
      </c>
      <c r="AX169" s="81">
        <v>48381.166666666672</v>
      </c>
      <c r="AY169" s="81">
        <v>85490.5</v>
      </c>
      <c r="AZ169" s="81">
        <v>85490.5</v>
      </c>
      <c r="BA169" s="81">
        <v>85490.5</v>
      </c>
      <c r="BB169" s="81">
        <v>496255</v>
      </c>
      <c r="BC169" s="79">
        <v>-0.24</v>
      </c>
      <c r="BD169" s="79">
        <v>98366.34</v>
      </c>
      <c r="BE169" s="79">
        <v>-98366.1</v>
      </c>
      <c r="BF169" s="79">
        <v>57403.99</v>
      </c>
      <c r="BG169" s="79">
        <v>57403.99</v>
      </c>
      <c r="BH169" s="79">
        <v>57403.99</v>
      </c>
      <c r="BI169" s="79">
        <v>57403.99</v>
      </c>
      <c r="BJ169" s="79">
        <v>57403.99</v>
      </c>
      <c r="BK169" s="79">
        <v>57403.99</v>
      </c>
      <c r="BL169" s="79">
        <v>57403.99</v>
      </c>
      <c r="BM169" s="79">
        <v>57403.99</v>
      </c>
      <c r="BN169" s="79">
        <v>57403.99</v>
      </c>
      <c r="BO169" s="79">
        <v>516635.90999999992</v>
      </c>
    </row>
    <row r="170" spans="1:67">
      <c r="A170" s="66" t="s">
        <v>1535</v>
      </c>
      <c r="B170" s="66" t="str">
        <f>_xlfn.TEXTJOIN("_",,ERP_34[[#This Row],[LT Member -1*]],ERP_34[[#This Row],[Expense Category]],ERP_34[[#This Row],[Project Code*]])</f>
        <v>Jajodia, Amit_CONTRACTORS_IT-CTR0030-OG-US-00</v>
      </c>
      <c r="C170" s="67" t="s">
        <v>1136</v>
      </c>
      <c r="D170" s="67" t="s">
        <v>1345</v>
      </c>
      <c r="E170" s="67" t="s">
        <v>1515</v>
      </c>
      <c r="F170" s="67" t="s">
        <v>1346</v>
      </c>
      <c r="G170" s="68" t="s">
        <v>49</v>
      </c>
      <c r="H170" s="106" t="s">
        <v>1536</v>
      </c>
      <c r="I170" s="70"/>
      <c r="J170" s="70"/>
      <c r="K170" s="70" t="s">
        <v>252</v>
      </c>
      <c r="L170" s="70"/>
      <c r="M170" s="70"/>
      <c r="N170" s="70"/>
      <c r="O170" s="67" t="s">
        <v>25</v>
      </c>
      <c r="P170" s="67"/>
      <c r="Q170" s="71"/>
      <c r="R170" s="72">
        <v>269997.96000000008</v>
      </c>
      <c r="S170" s="73">
        <v>268017.38</v>
      </c>
      <c r="T170" s="73">
        <v>269997.96000000008</v>
      </c>
      <c r="U170" s="71">
        <f>ERP_34[[#This Row],[LE2 Final Submission]]-ERP_34[[#This Row],[LE3 Final Submission]]</f>
        <v>-1980.5800000000745</v>
      </c>
      <c r="V170" s="74">
        <v>19158.79</v>
      </c>
      <c r="W170" s="75">
        <v>20603.919999999998</v>
      </c>
      <c r="X170" s="75">
        <v>25754.67</v>
      </c>
      <c r="Y170" s="76">
        <v>22500</v>
      </c>
      <c r="Z170" s="76">
        <v>22500</v>
      </c>
      <c r="AA170" s="76">
        <v>22500</v>
      </c>
      <c r="AB170" s="76">
        <v>22500</v>
      </c>
      <c r="AC170" s="76">
        <v>22500</v>
      </c>
      <c r="AD170" s="76">
        <v>22500</v>
      </c>
      <c r="AE170" s="76">
        <v>22500</v>
      </c>
      <c r="AF170" s="76">
        <v>22500</v>
      </c>
      <c r="AG170" s="76">
        <v>22500</v>
      </c>
      <c r="AH170" s="77">
        <f t="shared" si="9"/>
        <v>268017.38</v>
      </c>
      <c r="AI170" s="108">
        <f>ERP_34[[#This Row],[2026 Working Total]]-ERP_34[[#This Row],[2026 LE0]]</f>
        <v>-1980.5800000000745</v>
      </c>
      <c r="AJ170" s="79"/>
      <c r="AK170" s="79"/>
      <c r="AL17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0" s="80"/>
      <c r="AN170" s="79">
        <f>ERP_34[[#This Row],[2026 Working Total to Budget/LE]]-ERP_34[[#This Row],[Giveback]]</f>
        <v>-1980.5800000000745</v>
      </c>
      <c r="AO170" s="81"/>
      <c r="AP170" s="81">
        <v>19158.79</v>
      </c>
      <c r="AQ170" s="81">
        <v>20603.919999999998</v>
      </c>
      <c r="AR170" s="81">
        <v>25754.67</v>
      </c>
      <c r="AS170" s="81">
        <v>22500</v>
      </c>
      <c r="AT170" s="81">
        <v>22500</v>
      </c>
      <c r="AU170" s="81">
        <v>22500</v>
      </c>
      <c r="AV170" s="81">
        <v>22500</v>
      </c>
      <c r="AW170" s="81">
        <v>22500</v>
      </c>
      <c r="AX170" s="81">
        <v>22500</v>
      </c>
      <c r="AY170" s="81">
        <v>22500</v>
      </c>
      <c r="AZ170" s="81">
        <v>22500</v>
      </c>
      <c r="BA170" s="81">
        <v>22500</v>
      </c>
      <c r="BB170" s="81">
        <v>268017.38</v>
      </c>
      <c r="BC170" s="79">
        <v>19158.79</v>
      </c>
      <c r="BD170" s="79">
        <v>20603.919999999998</v>
      </c>
      <c r="BE170" s="79">
        <v>25754.67</v>
      </c>
      <c r="BF170" s="79">
        <v>23474.3</v>
      </c>
      <c r="BG170" s="79">
        <v>23474.3</v>
      </c>
      <c r="BH170" s="79">
        <v>23474.3</v>
      </c>
      <c r="BI170" s="79">
        <v>23474.3</v>
      </c>
      <c r="BJ170" s="79">
        <v>23474.3</v>
      </c>
      <c r="BK170" s="79">
        <v>23474.3</v>
      </c>
      <c r="BL170" s="79">
        <v>23474.3</v>
      </c>
      <c r="BM170" s="79">
        <v>23474.3</v>
      </c>
      <c r="BN170" s="79">
        <v>23474.3</v>
      </c>
      <c r="BO170" s="79">
        <v>276786.07999999996</v>
      </c>
    </row>
    <row r="171" spans="1:67">
      <c r="A171" s="82" t="s">
        <v>1538</v>
      </c>
      <c r="B171" s="83" t="str">
        <f>_xlfn.TEXTJOIN("_",,ERP_34[[#This Row],[LT Member -1*]],ERP_34[[#This Row],[Expense Category]],ERP_34[[#This Row],[Project Code*]])</f>
        <v>Jajodia, Amit_CONTRACTORS_IT-CTR0031-OG-US-00</v>
      </c>
      <c r="C171" s="67" t="s">
        <v>2959</v>
      </c>
      <c r="D171" s="84" t="s">
        <v>1345</v>
      </c>
      <c r="E171" s="85" t="s">
        <v>1515</v>
      </c>
      <c r="F171" s="68" t="s">
        <v>1346</v>
      </c>
      <c r="G171" s="85" t="s">
        <v>49</v>
      </c>
      <c r="H171" s="110" t="s">
        <v>1539</v>
      </c>
      <c r="I171" s="67"/>
      <c r="J171" s="67"/>
      <c r="K171" s="91" t="s">
        <v>254</v>
      </c>
      <c r="L171" s="111"/>
      <c r="M171" s="70"/>
      <c r="N171" s="90" t="s">
        <v>2960</v>
      </c>
      <c r="O171" s="91" t="s">
        <v>25</v>
      </c>
      <c r="P171" s="118" t="s">
        <v>1540</v>
      </c>
      <c r="Q171" s="93"/>
      <c r="R171" s="94">
        <v>489720</v>
      </c>
      <c r="S171" s="95">
        <v>367290</v>
      </c>
      <c r="T171" s="112">
        <v>489720</v>
      </c>
      <c r="U171" s="113">
        <f>ERP_34[[#This Row],[LE2 Final Submission]]-ERP_34[[#This Row],[LE3 Final Submission]]</f>
        <v>-122430</v>
      </c>
      <c r="V171" s="98"/>
      <c r="W171" s="99"/>
      <c r="X171" s="99"/>
      <c r="Y171" s="125">
        <v>40810</v>
      </c>
      <c r="Z171" s="100">
        <v>40810</v>
      </c>
      <c r="AA171" s="100">
        <v>40810</v>
      </c>
      <c r="AB171" s="100">
        <v>40810</v>
      </c>
      <c r="AC171" s="100">
        <v>40810</v>
      </c>
      <c r="AD171" s="100">
        <v>40810</v>
      </c>
      <c r="AE171" s="100">
        <v>40810</v>
      </c>
      <c r="AF171" s="100">
        <v>40810</v>
      </c>
      <c r="AG171" s="100">
        <v>40810</v>
      </c>
      <c r="AH171" s="101">
        <f t="shared" si="9"/>
        <v>367290</v>
      </c>
      <c r="AI171" s="108">
        <f>ERP_34[[#This Row],[2026 Working Total]]-ERP_34[[#This Row],[2026 LE0]]</f>
        <v>-122430</v>
      </c>
      <c r="AJ171" s="79"/>
      <c r="AK171" s="79"/>
      <c r="AL17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1" s="80"/>
      <c r="AN171" s="79">
        <f>ERP_34[[#This Row],[2026 Working Total to Budget/LE]]-ERP_34[[#This Row],[Giveback]]</f>
        <v>-122430</v>
      </c>
      <c r="AO171" s="81"/>
      <c r="AP171" s="81"/>
      <c r="AQ171" s="81"/>
      <c r="AR171" s="81"/>
      <c r="AS171" s="81">
        <v>40810</v>
      </c>
      <c r="AT171" s="81">
        <v>40810</v>
      </c>
      <c r="AU171" s="81">
        <v>40810</v>
      </c>
      <c r="AV171" s="81">
        <v>40810</v>
      </c>
      <c r="AW171" s="81">
        <v>40810</v>
      </c>
      <c r="AX171" s="81">
        <v>40810</v>
      </c>
      <c r="AY171" s="81">
        <v>40810</v>
      </c>
      <c r="AZ171" s="81">
        <v>40810</v>
      </c>
      <c r="BA171" s="81">
        <v>40810</v>
      </c>
      <c r="BB171" s="81">
        <v>367290</v>
      </c>
      <c r="BC171" s="103">
        <v>40810</v>
      </c>
      <c r="BD171" s="103">
        <v>40810</v>
      </c>
      <c r="BE171" s="103">
        <v>40810</v>
      </c>
      <c r="BF171" s="103">
        <v>40810</v>
      </c>
      <c r="BG171" s="103">
        <v>40810</v>
      </c>
      <c r="BH171" s="103">
        <v>40810</v>
      </c>
      <c r="BI171" s="103">
        <v>40810</v>
      </c>
      <c r="BJ171" s="103">
        <v>40810</v>
      </c>
      <c r="BK171" s="103">
        <v>40810</v>
      </c>
      <c r="BL171" s="103">
        <v>40810</v>
      </c>
      <c r="BM171" s="103">
        <v>40810</v>
      </c>
      <c r="BN171" s="103">
        <v>40810</v>
      </c>
      <c r="BO171" s="82">
        <f>SUM(ERP_34[[#This Row],[2026 AP01]:[2026 AP12]])</f>
        <v>489720</v>
      </c>
    </row>
    <row r="172" spans="1:67">
      <c r="A172" s="66" t="s">
        <v>1546</v>
      </c>
      <c r="B172" s="66" t="str">
        <f>_xlfn.TEXTJOIN("_",,ERP_34[[#This Row],[LT Member -1*]],ERP_34[[#This Row],[Expense Category]],ERP_34[[#This Row],[Project Code*]])</f>
        <v>Jajodia, Amit_CONTRACTORS_IT-CTR0034-OG-US-00</v>
      </c>
      <c r="C172" s="67" t="s">
        <v>1136</v>
      </c>
      <c r="D172" s="67" t="s">
        <v>1345</v>
      </c>
      <c r="E172" s="67" t="s">
        <v>1515</v>
      </c>
      <c r="F172" s="67" t="s">
        <v>1346</v>
      </c>
      <c r="G172" s="68" t="s">
        <v>49</v>
      </c>
      <c r="H172" s="106" t="s">
        <v>1547</v>
      </c>
      <c r="I172" s="70"/>
      <c r="J172" s="70"/>
      <c r="K172" s="70" t="s">
        <v>256</v>
      </c>
      <c r="L172" s="70"/>
      <c r="M172" s="70"/>
      <c r="N172" s="70"/>
      <c r="O172" s="67" t="s">
        <v>25</v>
      </c>
      <c r="P172" s="67"/>
      <c r="Q172" s="71"/>
      <c r="R172" s="72">
        <v>529998.96000000008</v>
      </c>
      <c r="S172" s="73">
        <v>367389.04999999993</v>
      </c>
      <c r="T172" s="73">
        <v>529998.96000000008</v>
      </c>
      <c r="U172" s="71">
        <f>ERP_34[[#This Row],[LE2 Final Submission]]-ERP_34[[#This Row],[LE3 Final Submission]]</f>
        <v>-162609.91000000015</v>
      </c>
      <c r="V172" s="74">
        <v>31387.97</v>
      </c>
      <c r="W172" s="75">
        <v>29660.06</v>
      </c>
      <c r="X172" s="75">
        <v>28355.06</v>
      </c>
      <c r="Y172" s="76">
        <v>8474.82</v>
      </c>
      <c r="Z172" s="76">
        <v>36080.219999999994</v>
      </c>
      <c r="AA172" s="76">
        <v>36080.219999999994</v>
      </c>
      <c r="AB172" s="76">
        <v>36080.219999999994</v>
      </c>
      <c r="AC172" s="76">
        <v>26514.909999999996</v>
      </c>
      <c r="AD172" s="76">
        <v>26514.909999999996</v>
      </c>
      <c r="AE172" s="76">
        <v>36080.219999999994</v>
      </c>
      <c r="AF172" s="76">
        <v>36080.219999999994</v>
      </c>
      <c r="AG172" s="76">
        <v>36080.219999999994</v>
      </c>
      <c r="AH172" s="77">
        <f t="shared" si="9"/>
        <v>367389.04999999993</v>
      </c>
      <c r="AI172" s="108">
        <f>ERP_34[[#This Row],[2026 Working Total]]-ERP_34[[#This Row],[2026 LE0]]</f>
        <v>-162609.91000000015</v>
      </c>
      <c r="AJ172" s="79"/>
      <c r="AK172" s="79"/>
      <c r="AL17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2" s="80"/>
      <c r="AN172" s="79">
        <f>ERP_34[[#This Row],[2026 Working Total to Budget/LE]]-ERP_34[[#This Row],[Giveback]]</f>
        <v>-162609.91000000015</v>
      </c>
      <c r="AO172" s="81"/>
      <c r="AP172" s="81">
        <v>31387.97</v>
      </c>
      <c r="AQ172" s="81">
        <v>29660.06</v>
      </c>
      <c r="AR172" s="81">
        <v>28355.06</v>
      </c>
      <c r="AS172" s="81">
        <v>8474.82</v>
      </c>
      <c r="AT172" s="81">
        <v>36080.219999999994</v>
      </c>
      <c r="AU172" s="81">
        <v>36080.219999999994</v>
      </c>
      <c r="AV172" s="81">
        <v>36080.219999999994</v>
      </c>
      <c r="AW172" s="81">
        <v>26514.909999999996</v>
      </c>
      <c r="AX172" s="81">
        <v>26514.909999999996</v>
      </c>
      <c r="AY172" s="81">
        <v>36080.219999999994</v>
      </c>
      <c r="AZ172" s="81">
        <v>36080.219999999994</v>
      </c>
      <c r="BA172" s="81">
        <v>36080.219999999994</v>
      </c>
      <c r="BB172" s="81">
        <v>367389.04999999993</v>
      </c>
      <c r="BC172" s="79">
        <v>31387.97</v>
      </c>
      <c r="BD172" s="79">
        <v>29660.06</v>
      </c>
      <c r="BE172" s="79">
        <v>28355.06</v>
      </c>
      <c r="BF172" s="79">
        <v>44166.58</v>
      </c>
      <c r="BG172" s="79">
        <v>44166.58</v>
      </c>
      <c r="BH172" s="79">
        <v>44166.58</v>
      </c>
      <c r="BI172" s="79">
        <v>44166.58</v>
      </c>
      <c r="BJ172" s="79">
        <v>44166.58</v>
      </c>
      <c r="BK172" s="79">
        <v>44166.58</v>
      </c>
      <c r="BL172" s="79">
        <v>44166.58</v>
      </c>
      <c r="BM172" s="79">
        <v>44166.58</v>
      </c>
      <c r="BN172" s="79">
        <v>44166.58</v>
      </c>
      <c r="BO172" s="79">
        <v>486902.31000000011</v>
      </c>
    </row>
    <row r="173" spans="1:67">
      <c r="A173" s="66" t="s">
        <v>1456</v>
      </c>
      <c r="B173" s="66" t="str">
        <f>_xlfn.TEXTJOIN("_",,ERP_34[[#This Row],[LT Member -1*]],ERP_34[[#This Row],[Expense Category]],ERP_34[[#This Row],[Project Code*]])</f>
        <v>Herman, Shaun_CONTRACTORS_IT-CTR0037-OG-US-00</v>
      </c>
      <c r="C173" s="67" t="s">
        <v>1136</v>
      </c>
      <c r="D173" s="67" t="s">
        <v>1345</v>
      </c>
      <c r="E173" s="67" t="s">
        <v>1450</v>
      </c>
      <c r="F173" s="67" t="s">
        <v>1346</v>
      </c>
      <c r="G173" s="68" t="s">
        <v>49</v>
      </c>
      <c r="H173" s="106" t="s">
        <v>1457</v>
      </c>
      <c r="I173" s="70"/>
      <c r="J173" s="70"/>
      <c r="K173" s="70" t="s">
        <v>208</v>
      </c>
      <c r="L173" s="70"/>
      <c r="M173" s="70"/>
      <c r="N173" s="70" t="s">
        <v>2963</v>
      </c>
      <c r="O173" s="67" t="s">
        <v>25</v>
      </c>
      <c r="P173" s="67"/>
      <c r="Q173" s="71"/>
      <c r="R173" s="72">
        <v>270000</v>
      </c>
      <c r="S173" s="73">
        <v>201492</v>
      </c>
      <c r="T173" s="73">
        <v>270000</v>
      </c>
      <c r="U173" s="71">
        <f>ERP_34[[#This Row],[LE2 Final Submission]]-ERP_34[[#This Row],[LE3 Final Submission]]</f>
        <v>-68508</v>
      </c>
      <c r="V173" s="74">
        <v>-5507.82</v>
      </c>
      <c r="W173" s="75">
        <v>-0.18</v>
      </c>
      <c r="X173" s="124">
        <v>0</v>
      </c>
      <c r="Y173" s="136">
        <v>102000</v>
      </c>
      <c r="Z173" s="76">
        <v>0</v>
      </c>
      <c r="AA173" s="76">
        <v>20000</v>
      </c>
      <c r="AB173" s="76">
        <v>20000</v>
      </c>
      <c r="AC173" s="76">
        <v>20000</v>
      </c>
      <c r="AD173" s="76">
        <v>15000</v>
      </c>
      <c r="AE173" s="76">
        <v>10000</v>
      </c>
      <c r="AF173" s="76">
        <v>10000</v>
      </c>
      <c r="AG173" s="76">
        <v>10000</v>
      </c>
      <c r="AH173" s="77">
        <f t="shared" si="9"/>
        <v>201492</v>
      </c>
      <c r="AI173" s="108">
        <f>ERP_34[[#This Row],[2026 Working Total]]-ERP_34[[#This Row],[2026 LE0]]</f>
        <v>-68508</v>
      </c>
      <c r="AJ173" s="79"/>
      <c r="AK173" s="79"/>
      <c r="AL1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3" s="80"/>
      <c r="AN173" s="79">
        <f>ERP_34[[#This Row],[2026 Working Total to Budget/LE]]-ERP_34[[#This Row],[Giveback]]</f>
        <v>-68508</v>
      </c>
      <c r="AO173" s="81" t="s">
        <v>1455</v>
      </c>
      <c r="AP173" s="81">
        <v>-5507.82</v>
      </c>
      <c r="AQ173" s="81">
        <v>-0.18</v>
      </c>
      <c r="AR173" s="81">
        <v>0</v>
      </c>
      <c r="AS173" s="81">
        <v>102000</v>
      </c>
      <c r="AT173" s="81">
        <v>0</v>
      </c>
      <c r="AU173" s="81">
        <v>20000</v>
      </c>
      <c r="AV173" s="81">
        <v>20000</v>
      </c>
      <c r="AW173" s="81">
        <v>20000</v>
      </c>
      <c r="AX173" s="81">
        <v>15000</v>
      </c>
      <c r="AY173" s="81">
        <v>10000</v>
      </c>
      <c r="AZ173" s="81">
        <v>10000</v>
      </c>
      <c r="BA173" s="81">
        <v>10000</v>
      </c>
      <c r="BB173" s="81">
        <v>201492</v>
      </c>
      <c r="BC173" s="79">
        <v>-5507.82</v>
      </c>
      <c r="BD173" s="79">
        <v>-0.18</v>
      </c>
      <c r="BE173" s="79">
        <v>0</v>
      </c>
      <c r="BF173" s="79">
        <v>20000</v>
      </c>
      <c r="BG173" s="79">
        <v>20000</v>
      </c>
      <c r="BH173" s="79">
        <v>25000</v>
      </c>
      <c r="BI173" s="79">
        <v>30000</v>
      </c>
      <c r="BJ173" s="79">
        <v>30000</v>
      </c>
      <c r="BK173" s="79">
        <v>30000</v>
      </c>
      <c r="BL173" s="79">
        <v>30000</v>
      </c>
      <c r="BM173" s="79">
        <v>30000</v>
      </c>
      <c r="BN173" s="79">
        <v>30000</v>
      </c>
      <c r="BO173" s="79">
        <v>239492</v>
      </c>
    </row>
    <row r="174" spans="1:67">
      <c r="A174" s="66" t="s">
        <v>1459</v>
      </c>
      <c r="B174" s="66" t="str">
        <f>_xlfn.TEXTJOIN("_",,ERP_34[[#This Row],[LT Member -1*]],ERP_34[[#This Row],[Expense Category]],ERP_34[[#This Row],[Project Code*]])</f>
        <v>Herman, Shaun_CONTRACTORS_IT-CTR0039-OG-US-00</v>
      </c>
      <c r="C174" s="67" t="s">
        <v>1136</v>
      </c>
      <c r="D174" s="67" t="s">
        <v>1345</v>
      </c>
      <c r="E174" s="67" t="s">
        <v>1450</v>
      </c>
      <c r="F174" s="67" t="s">
        <v>1346</v>
      </c>
      <c r="G174" s="68" t="s">
        <v>49</v>
      </c>
      <c r="H174" s="106" t="s">
        <v>1460</v>
      </c>
      <c r="I174" s="70"/>
      <c r="J174" s="70"/>
      <c r="K174" s="70" t="s">
        <v>210</v>
      </c>
      <c r="L174" s="70"/>
      <c r="M174" s="70"/>
      <c r="N174" s="70"/>
      <c r="O174" s="67" t="s">
        <v>25</v>
      </c>
      <c r="P174" s="67"/>
      <c r="Q174" s="71"/>
      <c r="R174" s="72">
        <v>100000</v>
      </c>
      <c r="S174" s="73">
        <v>66000</v>
      </c>
      <c r="T174" s="73">
        <v>100000</v>
      </c>
      <c r="U174" s="71">
        <f>ERP_34[[#This Row],[LE2 Final Submission]]-ERP_34[[#This Row],[LE3 Final Submission]]</f>
        <v>-34000</v>
      </c>
      <c r="V174" s="74"/>
      <c r="W174" s="75"/>
      <c r="X174" s="75"/>
      <c r="Y174" s="76">
        <v>5000</v>
      </c>
      <c r="Z174" s="76">
        <v>5000</v>
      </c>
      <c r="AA174" s="76">
        <v>8000</v>
      </c>
      <c r="AB174" s="76">
        <v>8000</v>
      </c>
      <c r="AC174" s="76">
        <v>8000</v>
      </c>
      <c r="AD174" s="76">
        <v>8000</v>
      </c>
      <c r="AE174" s="76">
        <v>8000</v>
      </c>
      <c r="AF174" s="76">
        <v>8000</v>
      </c>
      <c r="AG174" s="76">
        <v>8000</v>
      </c>
      <c r="AH174" s="77">
        <f t="shared" si="9"/>
        <v>66000</v>
      </c>
      <c r="AI174" s="108">
        <f>ERP_34[[#This Row],[2026 Working Total]]-ERP_34[[#This Row],[2026 LE0]]</f>
        <v>-34000</v>
      </c>
      <c r="AJ174" s="79"/>
      <c r="AK174" s="79"/>
      <c r="AL17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4" s="80"/>
      <c r="AN174" s="79">
        <f>ERP_34[[#This Row],[2026 Working Total to Budget/LE]]-ERP_34[[#This Row],[Giveback]]</f>
        <v>-34000</v>
      </c>
      <c r="AO174" s="81" t="s">
        <v>1455</v>
      </c>
      <c r="AP174" s="81"/>
      <c r="AQ174" s="81"/>
      <c r="AR174" s="81"/>
      <c r="AS174" s="81">
        <v>5000</v>
      </c>
      <c r="AT174" s="81">
        <v>5000</v>
      </c>
      <c r="AU174" s="81">
        <v>8000</v>
      </c>
      <c r="AV174" s="81">
        <v>8000</v>
      </c>
      <c r="AW174" s="81">
        <v>8000</v>
      </c>
      <c r="AX174" s="81">
        <v>8000</v>
      </c>
      <c r="AY174" s="81">
        <v>8000</v>
      </c>
      <c r="AZ174" s="81">
        <v>8000</v>
      </c>
      <c r="BA174" s="81">
        <v>8000</v>
      </c>
      <c r="BB174" s="81">
        <v>66000</v>
      </c>
      <c r="BC174" s="79"/>
      <c r="BD174" s="79"/>
      <c r="BE174" s="79"/>
      <c r="BF174" s="79">
        <v>10000</v>
      </c>
      <c r="BG174" s="79">
        <v>10000</v>
      </c>
      <c r="BH174" s="79">
        <v>10000</v>
      </c>
      <c r="BI174" s="79">
        <v>10000</v>
      </c>
      <c r="BJ174" s="79">
        <v>10000</v>
      </c>
      <c r="BK174" s="79">
        <v>10000</v>
      </c>
      <c r="BL174" s="79">
        <v>10000</v>
      </c>
      <c r="BM174" s="79">
        <v>10000</v>
      </c>
      <c r="BN174" s="79">
        <v>10000</v>
      </c>
      <c r="BO174" s="79">
        <v>90000</v>
      </c>
    </row>
    <row r="175" spans="1:67">
      <c r="A175" s="66" t="s">
        <v>1361</v>
      </c>
      <c r="B175" s="66" t="str">
        <f>_xlfn.TEXTJOIN("_",,ERP_34[[#This Row],[LT Member -1*]],ERP_34[[#This Row],[Expense Category]],ERP_34[[#This Row],[Project Code*]])</f>
        <v>Ganesan, Srinivasan_CONTRACTORS_IT-CTR0040-OG-US-00</v>
      </c>
      <c r="C175" s="67" t="s">
        <v>1136</v>
      </c>
      <c r="D175" s="67" t="s">
        <v>1345</v>
      </c>
      <c r="E175" s="67" t="s">
        <v>1344</v>
      </c>
      <c r="F175" s="67" t="s">
        <v>1346</v>
      </c>
      <c r="G175" s="68" t="s">
        <v>49</v>
      </c>
      <c r="H175" s="106" t="s">
        <v>1362</v>
      </c>
      <c r="I175" s="70"/>
      <c r="J175" s="70"/>
      <c r="K175" s="70" t="s">
        <v>161</v>
      </c>
      <c r="L175" s="70"/>
      <c r="M175" s="70"/>
      <c r="N175" s="70"/>
      <c r="O175" s="67" t="s">
        <v>25</v>
      </c>
      <c r="P175" s="67"/>
      <c r="Q175" s="71"/>
      <c r="R175" s="72">
        <v>0</v>
      </c>
      <c r="S175" s="73">
        <v>0.1499999999996362</v>
      </c>
      <c r="T175" s="73">
        <v>0</v>
      </c>
      <c r="U175" s="71">
        <f>ERP_34[[#This Row],[LE2 Final Submission]]-ERP_34[[#This Row],[LE3 Final Submission]]</f>
        <v>0.1499999999996362</v>
      </c>
      <c r="V175" s="74"/>
      <c r="W175" s="75">
        <v>-16768</v>
      </c>
      <c r="X175" s="75">
        <v>12756.15</v>
      </c>
      <c r="Y175" s="109">
        <v>0</v>
      </c>
      <c r="Z175" s="109">
        <v>4012</v>
      </c>
      <c r="AA175" s="109">
        <v>0</v>
      </c>
      <c r="AB175" s="109">
        <v>0</v>
      </c>
      <c r="AC175" s="109">
        <v>0</v>
      </c>
      <c r="AD175" s="109">
        <v>0</v>
      </c>
      <c r="AE175" s="109">
        <v>0</v>
      </c>
      <c r="AF175" s="109">
        <v>0</v>
      </c>
      <c r="AG175" s="109">
        <v>0</v>
      </c>
      <c r="AH175" s="77">
        <f t="shared" si="9"/>
        <v>0.1499999999996362</v>
      </c>
      <c r="AI175" s="108">
        <f>ERP_34[[#This Row],[2026 Working Total]]-ERP_34[[#This Row],[2026 LE0]]</f>
        <v>0.1499999999996362</v>
      </c>
      <c r="AJ175" s="79"/>
      <c r="AK175" s="79"/>
      <c r="AL17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5" s="80"/>
      <c r="AN175" s="79">
        <f>ERP_34[[#This Row],[2026 Working Total to Budget/LE]]-ERP_34[[#This Row],[Giveback]]</f>
        <v>0.1499999999996362</v>
      </c>
      <c r="AO175" s="81" t="s">
        <v>1365</v>
      </c>
      <c r="AP175" s="81"/>
      <c r="AQ175" s="81">
        <v>-16768</v>
      </c>
      <c r="AR175" s="81">
        <v>12756.15</v>
      </c>
      <c r="AS175" s="81">
        <v>0</v>
      </c>
      <c r="AT175" s="81">
        <v>4012</v>
      </c>
      <c r="AU175" s="81">
        <v>0</v>
      </c>
      <c r="AV175" s="81">
        <v>0</v>
      </c>
      <c r="AW175" s="81">
        <v>0</v>
      </c>
      <c r="AX175" s="81">
        <v>0</v>
      </c>
      <c r="AY175" s="81">
        <v>0</v>
      </c>
      <c r="AZ175" s="81">
        <v>0</v>
      </c>
      <c r="BA175" s="81">
        <v>0</v>
      </c>
      <c r="BB175" s="81">
        <v>0.1499999999996362</v>
      </c>
      <c r="BC175" s="79"/>
      <c r="BD175" s="79">
        <v>-16768</v>
      </c>
      <c r="BE175" s="79">
        <v>12756.15</v>
      </c>
      <c r="BF175" s="79">
        <v>0</v>
      </c>
      <c r="BG175" s="79">
        <v>0</v>
      </c>
      <c r="BH175" s="79">
        <v>0</v>
      </c>
      <c r="BI175" s="79">
        <v>0</v>
      </c>
      <c r="BJ175" s="79">
        <v>0</v>
      </c>
      <c r="BK175" s="79">
        <v>0</v>
      </c>
      <c r="BL175" s="79">
        <v>0</v>
      </c>
      <c r="BM175" s="79">
        <v>0</v>
      </c>
      <c r="BN175" s="79">
        <v>0</v>
      </c>
      <c r="BO175" s="79">
        <v>-4011.8500000000004</v>
      </c>
    </row>
    <row r="176" spans="1:67">
      <c r="A176" s="66" t="s">
        <v>1549</v>
      </c>
      <c r="B176" s="66" t="str">
        <f>_xlfn.TEXTJOIN("_",,ERP_34[[#This Row],[LT Member -1*]],ERP_34[[#This Row],[Expense Category]],ERP_34[[#This Row],[Project Code*]])</f>
        <v>Jajodia, Amit_CONTRACTORS_IT-CTR0041-OG-US-00</v>
      </c>
      <c r="C176" s="67" t="s">
        <v>1136</v>
      </c>
      <c r="D176" s="67" t="s">
        <v>1345</v>
      </c>
      <c r="E176" s="67" t="s">
        <v>1515</v>
      </c>
      <c r="F176" s="67" t="s">
        <v>1346</v>
      </c>
      <c r="G176" s="68" t="s">
        <v>49</v>
      </c>
      <c r="H176" s="106" t="s">
        <v>1550</v>
      </c>
      <c r="I176" s="70"/>
      <c r="J176" s="70"/>
      <c r="K176" s="70" t="s">
        <v>258</v>
      </c>
      <c r="L176" s="70"/>
      <c r="M176" s="70"/>
      <c r="N176" s="70"/>
      <c r="O176" s="67" t="s">
        <v>25</v>
      </c>
      <c r="P176" s="67" t="s">
        <v>1521</v>
      </c>
      <c r="Q176" s="71"/>
      <c r="R176" s="72">
        <v>624000</v>
      </c>
      <c r="S176" s="73">
        <v>592260.42999999993</v>
      </c>
      <c r="T176" s="73">
        <v>624000</v>
      </c>
      <c r="U176" s="71">
        <f>ERP_34[[#This Row],[LE2 Final Submission]]-ERP_34[[#This Row],[LE3 Final Submission]]</f>
        <v>-31739.570000000065</v>
      </c>
      <c r="V176" s="74">
        <v>67126.64</v>
      </c>
      <c r="W176" s="75">
        <v>74377.41</v>
      </c>
      <c r="X176" s="75">
        <v>83640.33</v>
      </c>
      <c r="Y176" s="136">
        <v>17645.5</v>
      </c>
      <c r="Z176" s="76">
        <v>37705.5</v>
      </c>
      <c r="AA176" s="76">
        <v>37705.5</v>
      </c>
      <c r="AB176" s="76">
        <v>37705.5</v>
      </c>
      <c r="AC176" s="76">
        <v>47270.81</v>
      </c>
      <c r="AD176" s="76">
        <v>47270.81</v>
      </c>
      <c r="AE176" s="76">
        <v>47270.81</v>
      </c>
      <c r="AF176" s="76">
        <v>47270.81</v>
      </c>
      <c r="AG176" s="76">
        <v>47270.81</v>
      </c>
      <c r="AH176" s="77">
        <f t="shared" si="9"/>
        <v>592260.42999999993</v>
      </c>
      <c r="AI176" s="108">
        <f>ERP_34[[#This Row],[2026 Working Total]]-ERP_34[[#This Row],[2026 LE0]]</f>
        <v>-31739.570000000065</v>
      </c>
      <c r="AJ176" s="79"/>
      <c r="AK176" s="79"/>
      <c r="AL17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6" s="80"/>
      <c r="AN176" s="79">
        <f>ERP_34[[#This Row],[2026 Working Total to Budget/LE]]-ERP_34[[#This Row],[Giveback]]</f>
        <v>-31739.570000000065</v>
      </c>
      <c r="AO176" s="81"/>
      <c r="AP176" s="81">
        <v>67126.64</v>
      </c>
      <c r="AQ176" s="81">
        <v>74377.41</v>
      </c>
      <c r="AR176" s="81">
        <v>83640.33</v>
      </c>
      <c r="AS176" s="81">
        <v>17645.5</v>
      </c>
      <c r="AT176" s="81">
        <v>37705.5</v>
      </c>
      <c r="AU176" s="81">
        <v>37705.5</v>
      </c>
      <c r="AV176" s="81">
        <v>37705.5</v>
      </c>
      <c r="AW176" s="81">
        <v>47270.81</v>
      </c>
      <c r="AX176" s="81">
        <v>47270.81</v>
      </c>
      <c r="AY176" s="81">
        <v>47270.81</v>
      </c>
      <c r="AZ176" s="81">
        <v>47270.81</v>
      </c>
      <c r="BA176" s="81">
        <v>47270.81</v>
      </c>
      <c r="BB176" s="81">
        <v>592260.42999999993</v>
      </c>
      <c r="BC176" s="79">
        <v>67126.64</v>
      </c>
      <c r="BD176" s="79">
        <v>74377.41</v>
      </c>
      <c r="BE176" s="79">
        <v>83640.33</v>
      </c>
      <c r="BF176" s="79">
        <v>71858</v>
      </c>
      <c r="BG176" s="79">
        <v>71858</v>
      </c>
      <c r="BH176" s="79">
        <v>71858</v>
      </c>
      <c r="BI176" s="79">
        <v>71858</v>
      </c>
      <c r="BJ176" s="79">
        <v>71858</v>
      </c>
      <c r="BK176" s="79">
        <v>71858</v>
      </c>
      <c r="BL176" s="79">
        <v>71858</v>
      </c>
      <c r="BM176" s="79">
        <v>71858</v>
      </c>
      <c r="BN176" s="79">
        <v>71858</v>
      </c>
      <c r="BO176" s="79">
        <v>871866.38</v>
      </c>
    </row>
    <row r="177" spans="1:67">
      <c r="A177" s="66" t="s">
        <v>1176</v>
      </c>
      <c r="B177" s="66" t="str">
        <f>_xlfn.TEXTJOIN("_",,ERP_34[[#This Row],[LT Member -1*]],ERP_34[[#This Row],[Expense Category]],ERP_34[[#This Row],[Project Code*]])</f>
        <v>Meadows, Leslie_CONTRACTORS_IT-CTR0044-OG-US-00</v>
      </c>
      <c r="C177" s="67" t="s">
        <v>1136</v>
      </c>
      <c r="D177" s="67" t="s">
        <v>1135</v>
      </c>
      <c r="E177" s="67" t="s">
        <v>1156</v>
      </c>
      <c r="F177" s="67" t="s">
        <v>1137</v>
      </c>
      <c r="G177" s="68" t="s">
        <v>49</v>
      </c>
      <c r="H177" s="106" t="s">
        <v>1178</v>
      </c>
      <c r="I177" s="70"/>
      <c r="J177" s="70"/>
      <c r="K177" s="114" t="s">
        <v>59</v>
      </c>
      <c r="L177" s="70"/>
      <c r="M177" s="70"/>
      <c r="N177" s="70"/>
      <c r="O177" s="67" t="s">
        <v>25</v>
      </c>
      <c r="P177" s="67"/>
      <c r="Q177" s="71"/>
      <c r="R177" s="72">
        <v>551723.03999999992</v>
      </c>
      <c r="S177" s="73">
        <v>460642</v>
      </c>
      <c r="T177" s="73">
        <v>551723.03999999992</v>
      </c>
      <c r="U177" s="71">
        <f>ERP_34[[#This Row],[LE2 Final Submission]]-ERP_34[[#This Row],[LE3 Final Submission]]</f>
        <v>-91081.039999999921</v>
      </c>
      <c r="V177" s="74"/>
      <c r="W177" s="75"/>
      <c r="X177" s="75"/>
      <c r="Y177" s="76">
        <v>36666</v>
      </c>
      <c r="Z177" s="76">
        <v>141912</v>
      </c>
      <c r="AA177" s="76">
        <v>49848</v>
      </c>
      <c r="AB177" s="76">
        <v>40857</v>
      </c>
      <c r="AC177" s="76">
        <v>40681</v>
      </c>
      <c r="AD177" s="76">
        <v>37645</v>
      </c>
      <c r="AE177" s="76">
        <v>37694</v>
      </c>
      <c r="AF177" s="76">
        <v>37645</v>
      </c>
      <c r="AG177" s="76">
        <v>37694</v>
      </c>
      <c r="AH177" s="156">
        <f t="shared" si="9"/>
        <v>460642</v>
      </c>
      <c r="AI177" s="127">
        <f>ERP_34[[#This Row],[2026 Working Total]]-ERP_34[[#This Row],[2026 LE0]]</f>
        <v>-91081.039999999921</v>
      </c>
      <c r="AJ177" s="79"/>
      <c r="AK177" s="79"/>
      <c r="AL1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7" s="80">
        <v>-91081</v>
      </c>
      <c r="AN177" s="79">
        <f>ERP_34[[#This Row],[2026 Working Total to Budget/LE]]-ERP_34[[#This Row],[Giveback]]</f>
        <v>-3.9999999920837581E-2</v>
      </c>
      <c r="AO177" s="81" t="s">
        <v>1179</v>
      </c>
      <c r="AP177" s="81"/>
      <c r="AQ177" s="81"/>
      <c r="AR177" s="81"/>
      <c r="AS177" s="81">
        <v>36666</v>
      </c>
      <c r="AT177" s="81">
        <v>141912</v>
      </c>
      <c r="AU177" s="81">
        <v>49848</v>
      </c>
      <c r="AV177" s="81">
        <v>40857</v>
      </c>
      <c r="AW177" s="81">
        <v>40681</v>
      </c>
      <c r="AX177" s="81">
        <v>37645</v>
      </c>
      <c r="AY177" s="81">
        <v>37694</v>
      </c>
      <c r="AZ177" s="81">
        <v>37645</v>
      </c>
      <c r="BA177" s="81">
        <v>37694</v>
      </c>
      <c r="BB177" s="81">
        <v>460642</v>
      </c>
      <c r="BC177" s="79"/>
      <c r="BD177" s="79"/>
      <c r="BE177" s="79"/>
      <c r="BF177" s="79">
        <v>61303</v>
      </c>
      <c r="BG177" s="79">
        <v>61303</v>
      </c>
      <c r="BH177" s="79">
        <v>61303</v>
      </c>
      <c r="BI177" s="79">
        <v>61303</v>
      </c>
      <c r="BJ177" s="79">
        <v>61303</v>
      </c>
      <c r="BK177" s="79">
        <v>61303</v>
      </c>
      <c r="BL177" s="79">
        <v>61303</v>
      </c>
      <c r="BM177" s="79">
        <v>61303</v>
      </c>
      <c r="BN177" s="79">
        <v>61303</v>
      </c>
      <c r="BO177" s="79">
        <v>551727</v>
      </c>
    </row>
    <row r="178" spans="1:67">
      <c r="A178" s="162" t="s">
        <v>1366</v>
      </c>
      <c r="B178" s="66" t="str">
        <f>_xlfn.TEXTJOIN("_",,ERP_34[[#This Row],[LT Member -1*]],ERP_34[[#This Row],[Expense Category]],ERP_34[[#This Row],[Project Code*]])</f>
        <v>Ganesan, Srinivasan_CONTRACTORS_IT-CTR0045-OG-US-00</v>
      </c>
      <c r="C178" s="67" t="s">
        <v>1136</v>
      </c>
      <c r="D178" s="67" t="s">
        <v>1345</v>
      </c>
      <c r="E178" s="67" t="s">
        <v>1344</v>
      </c>
      <c r="F178" s="163" t="s">
        <v>1346</v>
      </c>
      <c r="G178" s="164" t="s">
        <v>49</v>
      </c>
      <c r="H178" s="106" t="s">
        <v>1367</v>
      </c>
      <c r="I178" s="70"/>
      <c r="J178" s="70"/>
      <c r="K178" s="92" t="s">
        <v>163</v>
      </c>
      <c r="L178" s="70" t="s">
        <v>1139</v>
      </c>
      <c r="M178" s="70"/>
      <c r="N178" s="70"/>
      <c r="O178" s="67" t="s">
        <v>25</v>
      </c>
      <c r="P178" s="163"/>
      <c r="Q178" s="165"/>
      <c r="R178" s="166">
        <v>0</v>
      </c>
      <c r="S178" s="167">
        <v>3558.41</v>
      </c>
      <c r="T178" s="167">
        <v>0</v>
      </c>
      <c r="U178" s="165">
        <f>ERP_34[[#This Row],[LE2 Final Submission]]-ERP_34[[#This Row],[LE3 Final Submission]]</f>
        <v>3558.41</v>
      </c>
      <c r="V178" s="168">
        <v>3558.41</v>
      </c>
      <c r="W178" s="169">
        <v>0</v>
      </c>
      <c r="X178" s="169">
        <v>0</v>
      </c>
      <c r="Y178" s="170">
        <v>0</v>
      </c>
      <c r="Z178" s="170">
        <v>0</v>
      </c>
      <c r="AA178" s="170">
        <v>0</v>
      </c>
      <c r="AB178" s="170">
        <v>0</v>
      </c>
      <c r="AC178" s="170">
        <v>0</v>
      </c>
      <c r="AD178" s="170">
        <v>0</v>
      </c>
      <c r="AE178" s="170">
        <v>0</v>
      </c>
      <c r="AF178" s="170">
        <v>0</v>
      </c>
      <c r="AG178" s="170">
        <v>0</v>
      </c>
      <c r="AH178" s="171">
        <f t="shared" si="9"/>
        <v>3558.41</v>
      </c>
      <c r="AI178" s="108">
        <f>ERP_34[[#This Row],[2026 Working Total]]-ERP_34[[#This Row],[2026 LE0]]</f>
        <v>3558.41</v>
      </c>
      <c r="AJ178" s="172"/>
      <c r="AK178" s="172"/>
      <c r="AL17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8" s="173"/>
      <c r="AN178" s="172">
        <f>ERP_34[[#This Row],[2026 Working Total to Budget/LE]]-ERP_34[[#This Row],[Giveback]]</f>
        <v>3558.41</v>
      </c>
      <c r="AO178" s="155" t="s">
        <v>1368</v>
      </c>
      <c r="AP178" s="155">
        <v>3558.41</v>
      </c>
      <c r="AQ178" s="155">
        <v>0</v>
      </c>
      <c r="AR178" s="155">
        <v>0</v>
      </c>
      <c r="AS178" s="155">
        <v>0</v>
      </c>
      <c r="AT178" s="155">
        <v>0</v>
      </c>
      <c r="AU178" s="155">
        <v>0</v>
      </c>
      <c r="AV178" s="155">
        <v>0</v>
      </c>
      <c r="AW178" s="155">
        <v>0</v>
      </c>
      <c r="AX178" s="155">
        <v>0</v>
      </c>
      <c r="AY178" s="155">
        <v>0</v>
      </c>
      <c r="AZ178" s="155">
        <v>0</v>
      </c>
      <c r="BA178" s="155">
        <v>0</v>
      </c>
      <c r="BB178" s="155">
        <v>3558.41</v>
      </c>
      <c r="BC178" s="172">
        <v>3558.41</v>
      </c>
      <c r="BD178" s="172">
        <v>0</v>
      </c>
      <c r="BE178" s="172">
        <v>0</v>
      </c>
      <c r="BF178" s="172">
        <v>0</v>
      </c>
      <c r="BG178" s="172">
        <v>0</v>
      </c>
      <c r="BH178" s="172">
        <v>0</v>
      </c>
      <c r="BI178" s="172">
        <v>0</v>
      </c>
      <c r="BJ178" s="172">
        <v>0</v>
      </c>
      <c r="BK178" s="172">
        <v>0</v>
      </c>
      <c r="BL178" s="172">
        <v>0</v>
      </c>
      <c r="BM178" s="172">
        <v>0</v>
      </c>
      <c r="BN178" s="172">
        <v>0</v>
      </c>
      <c r="BO178" s="172">
        <v>3558.41</v>
      </c>
    </row>
    <row r="179" spans="1:67">
      <c r="A179" s="66" t="s">
        <v>1551</v>
      </c>
      <c r="B179" s="66" t="str">
        <f>_xlfn.TEXTJOIN("_",,ERP_34[[#This Row],[LT Member -1*]],ERP_34[[#This Row],[Expense Category]],ERP_34[[#This Row],[Project Code*]])</f>
        <v>Jajodia, Amit_CONTRACTORS_IT-CTR0045-OG-US-00</v>
      </c>
      <c r="C179" s="67" t="s">
        <v>1136</v>
      </c>
      <c r="D179" s="67" t="s">
        <v>1345</v>
      </c>
      <c r="E179" s="67" t="s">
        <v>1515</v>
      </c>
      <c r="F179" s="67" t="s">
        <v>1346</v>
      </c>
      <c r="G179" s="68" t="s">
        <v>49</v>
      </c>
      <c r="H179" s="106" t="s">
        <v>1367</v>
      </c>
      <c r="I179" s="70"/>
      <c r="J179" s="70"/>
      <c r="K179" s="70" t="s">
        <v>163</v>
      </c>
      <c r="L179" s="70" t="s">
        <v>1139</v>
      </c>
      <c r="M179" s="70"/>
      <c r="N179" s="70"/>
      <c r="O179" s="67" t="s">
        <v>25</v>
      </c>
      <c r="P179" s="67"/>
      <c r="Q179" s="71"/>
      <c r="R179" s="72">
        <v>270422.03999999992</v>
      </c>
      <c r="S179" s="73">
        <v>166650</v>
      </c>
      <c r="T179" s="73">
        <v>270422.03999999992</v>
      </c>
      <c r="U179" s="71">
        <f>ERP_34[[#This Row],[LE2 Final Submission]]-ERP_34[[#This Row],[LE3 Final Submission]]</f>
        <v>-103772.03999999992</v>
      </c>
      <c r="V179" s="74"/>
      <c r="W179" s="75"/>
      <c r="X179" s="75"/>
      <c r="Y179" s="136">
        <f>103950-103950</f>
        <v>0</v>
      </c>
      <c r="Z179" s="76">
        <f>7837.5+103950</f>
        <v>111787.5</v>
      </c>
      <c r="AA179" s="76">
        <v>7837.5</v>
      </c>
      <c r="AB179" s="76">
        <v>7837.5</v>
      </c>
      <c r="AC179" s="76">
        <v>7837.5</v>
      </c>
      <c r="AD179" s="76">
        <v>7837.5</v>
      </c>
      <c r="AE179" s="76">
        <v>7837.5</v>
      </c>
      <c r="AF179" s="76">
        <v>7837.5</v>
      </c>
      <c r="AG179" s="76">
        <v>7837.5</v>
      </c>
      <c r="AH179" s="77">
        <f t="shared" si="9"/>
        <v>166650</v>
      </c>
      <c r="AI179" s="108">
        <f>ERP_34[[#This Row],[2026 Working Total]]-ERP_34[[#This Row],[2026 LE0]]</f>
        <v>-103772.03999999992</v>
      </c>
      <c r="AJ179" s="79"/>
      <c r="AK179" s="79"/>
      <c r="AL17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79" s="80"/>
      <c r="AN179" s="79">
        <f>ERP_34[[#This Row],[2026 Working Total to Budget/LE]]-ERP_34[[#This Row],[Giveback]]</f>
        <v>-103772.03999999992</v>
      </c>
      <c r="AO179" s="81"/>
      <c r="AP179" s="81"/>
      <c r="AQ179" s="81"/>
      <c r="AR179" s="81"/>
      <c r="AS179" s="81">
        <v>0</v>
      </c>
      <c r="AT179" s="81">
        <v>111787.5</v>
      </c>
      <c r="AU179" s="81">
        <v>7837.5</v>
      </c>
      <c r="AV179" s="81">
        <v>7837.5</v>
      </c>
      <c r="AW179" s="81">
        <v>7837.5</v>
      </c>
      <c r="AX179" s="81">
        <v>7837.5</v>
      </c>
      <c r="AY179" s="81">
        <v>7837.5</v>
      </c>
      <c r="AZ179" s="81">
        <v>7837.5</v>
      </c>
      <c r="BA179" s="81">
        <v>7837.5</v>
      </c>
      <c r="BB179" s="81">
        <v>166650</v>
      </c>
      <c r="BC179" s="79"/>
      <c r="BD179" s="79"/>
      <c r="BE179" s="79"/>
      <c r="BF179" s="79">
        <v>26158</v>
      </c>
      <c r="BG179" s="79">
        <v>26158</v>
      </c>
      <c r="BH179" s="79">
        <v>26158</v>
      </c>
      <c r="BI179" s="79">
        <v>26158</v>
      </c>
      <c r="BJ179" s="79">
        <v>26158</v>
      </c>
      <c r="BK179" s="79">
        <v>26158</v>
      </c>
      <c r="BL179" s="79">
        <v>26158</v>
      </c>
      <c r="BM179" s="79">
        <v>26158</v>
      </c>
      <c r="BN179" s="79">
        <v>26158</v>
      </c>
      <c r="BO179" s="79">
        <v>235422</v>
      </c>
    </row>
    <row r="180" spans="1:67">
      <c r="A180" s="66" t="s">
        <v>1461</v>
      </c>
      <c r="B180" s="66" t="str">
        <f>_xlfn.TEXTJOIN("_",,ERP_34[[#This Row],[LT Member -1*]],ERP_34[[#This Row],[Expense Category]],ERP_34[[#This Row],[Project Code*]])</f>
        <v>Herman, Shaun_CONTRACTORS_IT-CTR0046-OG-US-00</v>
      </c>
      <c r="C180" s="67" t="s">
        <v>1136</v>
      </c>
      <c r="D180" s="67" t="s">
        <v>1345</v>
      </c>
      <c r="E180" s="67" t="s">
        <v>1450</v>
      </c>
      <c r="F180" s="67" t="s">
        <v>1346</v>
      </c>
      <c r="G180" s="68" t="s">
        <v>49</v>
      </c>
      <c r="H180" s="106" t="s">
        <v>1462</v>
      </c>
      <c r="I180" s="70"/>
      <c r="J180" s="70"/>
      <c r="K180" s="70" t="s">
        <v>212</v>
      </c>
      <c r="L180" s="70"/>
      <c r="M180" s="70"/>
      <c r="N180" s="70"/>
      <c r="O180" s="67" t="s">
        <v>25</v>
      </c>
      <c r="P180" s="67"/>
      <c r="Q180" s="71"/>
      <c r="R180" s="72">
        <v>70000</v>
      </c>
      <c r="S180" s="73">
        <v>40000</v>
      </c>
      <c r="T180" s="73">
        <v>70000</v>
      </c>
      <c r="U180" s="71">
        <f>ERP_34[[#This Row],[LE2 Final Submission]]-ERP_34[[#This Row],[LE3 Final Submission]]</f>
        <v>-30000</v>
      </c>
      <c r="V180" s="74"/>
      <c r="W180" s="75"/>
      <c r="X180" s="75"/>
      <c r="Y180" s="76"/>
      <c r="Z180" s="76"/>
      <c r="AA180" s="76">
        <v>5000</v>
      </c>
      <c r="AB180" s="76">
        <v>5000</v>
      </c>
      <c r="AC180" s="76">
        <v>5000</v>
      </c>
      <c r="AD180" s="76">
        <v>5000</v>
      </c>
      <c r="AE180" s="76">
        <v>5000</v>
      </c>
      <c r="AF180" s="76">
        <v>5000</v>
      </c>
      <c r="AG180" s="76">
        <v>10000</v>
      </c>
      <c r="AH180" s="77">
        <f t="shared" si="9"/>
        <v>40000</v>
      </c>
      <c r="AI180" s="108">
        <f>ERP_34[[#This Row],[2026 Working Total]]-ERP_34[[#This Row],[2026 LE0]]</f>
        <v>-30000</v>
      </c>
      <c r="AJ180" s="79"/>
      <c r="AK180" s="79"/>
      <c r="AL18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0" s="80"/>
      <c r="AN180" s="79">
        <f>ERP_34[[#This Row],[2026 Working Total to Budget/LE]]-ERP_34[[#This Row],[Giveback]]</f>
        <v>-30000</v>
      </c>
      <c r="AO180" s="81" t="s">
        <v>1455</v>
      </c>
      <c r="AP180" s="81"/>
      <c r="AQ180" s="81"/>
      <c r="AR180" s="81"/>
      <c r="AS180" s="81"/>
      <c r="AT180" s="81"/>
      <c r="AU180" s="81">
        <v>5000</v>
      </c>
      <c r="AV180" s="81">
        <v>5000</v>
      </c>
      <c r="AW180" s="81">
        <v>5000</v>
      </c>
      <c r="AX180" s="81">
        <v>5000</v>
      </c>
      <c r="AY180" s="81">
        <v>5000</v>
      </c>
      <c r="AZ180" s="81">
        <v>5000</v>
      </c>
      <c r="BA180" s="81">
        <v>10000</v>
      </c>
      <c r="BB180" s="81">
        <v>40000</v>
      </c>
      <c r="BC180" s="79"/>
      <c r="BD180" s="79"/>
      <c r="BE180" s="79"/>
      <c r="BF180" s="79">
        <v>7000</v>
      </c>
      <c r="BG180" s="79">
        <v>7000</v>
      </c>
      <c r="BH180" s="79">
        <v>7000</v>
      </c>
      <c r="BI180" s="79">
        <v>7000</v>
      </c>
      <c r="BJ180" s="79">
        <v>7000</v>
      </c>
      <c r="BK180" s="79">
        <v>7000</v>
      </c>
      <c r="BL180" s="79">
        <v>7000</v>
      </c>
      <c r="BM180" s="79">
        <v>7000</v>
      </c>
      <c r="BN180" s="79">
        <v>7000</v>
      </c>
      <c r="BO180" s="79">
        <v>63000</v>
      </c>
    </row>
    <row r="181" spans="1:67">
      <c r="A181" s="66" t="s">
        <v>1369</v>
      </c>
      <c r="B181" s="66" t="str">
        <f>_xlfn.TEXTJOIN("_",,ERP_34[[#This Row],[LT Member -1*]],ERP_34[[#This Row],[Expense Category]],ERP_34[[#This Row],[Project Code*]])</f>
        <v>Ganesan, Srinivasan_CONTRACTORS_IT-CTR0049-OG-US-00</v>
      </c>
      <c r="C181" s="67" t="s">
        <v>1136</v>
      </c>
      <c r="D181" s="67" t="s">
        <v>1345</v>
      </c>
      <c r="E181" s="67" t="s">
        <v>1344</v>
      </c>
      <c r="F181" s="67" t="s">
        <v>1346</v>
      </c>
      <c r="G181" s="68" t="s">
        <v>49</v>
      </c>
      <c r="H181" s="106" t="s">
        <v>1370</v>
      </c>
      <c r="I181" s="70"/>
      <c r="J181" s="70"/>
      <c r="K181" s="70" t="s">
        <v>165</v>
      </c>
      <c r="L181" s="70"/>
      <c r="M181" s="70"/>
      <c r="N181" s="70"/>
      <c r="O181" s="67" t="s">
        <v>152</v>
      </c>
      <c r="P181" s="67"/>
      <c r="Q181" s="71"/>
      <c r="R181" s="72">
        <v>50000</v>
      </c>
      <c r="S181" s="73">
        <v>50000</v>
      </c>
      <c r="T181" s="73">
        <v>50000</v>
      </c>
      <c r="U181" s="71">
        <f>ERP_34[[#This Row],[LE2 Final Submission]]-ERP_34[[#This Row],[LE3 Final Submission]]</f>
        <v>0</v>
      </c>
      <c r="V181" s="74"/>
      <c r="W181" s="75"/>
      <c r="X181" s="75"/>
      <c r="Y181" s="76">
        <v>0</v>
      </c>
      <c r="Z181" s="76">
        <v>11100</v>
      </c>
      <c r="AA181" s="76">
        <v>11400</v>
      </c>
      <c r="AB181" s="76">
        <v>0</v>
      </c>
      <c r="AC181" s="76">
        <v>0</v>
      </c>
      <c r="AD181" s="76">
        <v>9000</v>
      </c>
      <c r="AE181" s="76">
        <v>9000</v>
      </c>
      <c r="AF181" s="76">
        <v>9500</v>
      </c>
      <c r="AG181" s="109">
        <v>0</v>
      </c>
      <c r="AH181" s="77">
        <f t="shared" si="9"/>
        <v>50000</v>
      </c>
      <c r="AI181" s="108">
        <f>ERP_34[[#This Row],[2026 Working Total]]-ERP_34[[#This Row],[2026 LE0]]</f>
        <v>0</v>
      </c>
      <c r="AJ181" s="79"/>
      <c r="AK181" s="79"/>
      <c r="AL1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1" s="80"/>
      <c r="AN181" s="79">
        <f>ERP_34[[#This Row],[2026 Working Total to Budget/LE]]-ERP_34[[#This Row],[Giveback]]</f>
        <v>0</v>
      </c>
      <c r="AO181" s="81"/>
      <c r="AP181" s="81"/>
      <c r="AQ181" s="81"/>
      <c r="AR181" s="81"/>
      <c r="AS181" s="81">
        <v>0</v>
      </c>
      <c r="AT181" s="81">
        <v>11100</v>
      </c>
      <c r="AU181" s="81">
        <v>11400</v>
      </c>
      <c r="AV181" s="81">
        <v>0</v>
      </c>
      <c r="AW181" s="81">
        <v>0</v>
      </c>
      <c r="AX181" s="81">
        <v>9000</v>
      </c>
      <c r="AY181" s="81">
        <v>9000</v>
      </c>
      <c r="AZ181" s="81">
        <v>9500</v>
      </c>
      <c r="BA181" s="81">
        <v>0</v>
      </c>
      <c r="BB181" s="81">
        <v>50000</v>
      </c>
      <c r="BC181" s="79"/>
      <c r="BD181" s="79"/>
      <c r="BE181" s="79"/>
      <c r="BF181" s="79"/>
      <c r="BG181" s="79"/>
      <c r="BH181" s="79"/>
      <c r="BI181" s="79">
        <v>10000</v>
      </c>
      <c r="BJ181" s="79">
        <v>10000</v>
      </c>
      <c r="BK181" s="79">
        <v>10000</v>
      </c>
      <c r="BL181" s="79">
        <v>10000</v>
      </c>
      <c r="BM181" s="79">
        <v>10000</v>
      </c>
      <c r="BN181" s="79">
        <v>0</v>
      </c>
      <c r="BO181" s="79">
        <v>50000</v>
      </c>
    </row>
    <row r="182" spans="1:67">
      <c r="A182" s="66" t="s">
        <v>1180</v>
      </c>
      <c r="B182" s="66" t="str">
        <f>_xlfn.TEXTJOIN("_",,ERP_34[[#This Row],[LT Member -1*]],ERP_34[[#This Row],[Expense Category]],ERP_34[[#This Row],[Project Code*]])</f>
        <v>Maguire, Karla_CONTRACTORS_IT-CTR0067-OG-CR-00</v>
      </c>
      <c r="C182" s="67" t="s">
        <v>1136</v>
      </c>
      <c r="D182" s="67" t="s">
        <v>1135</v>
      </c>
      <c r="E182" s="67" t="s">
        <v>1137</v>
      </c>
      <c r="F182" s="67" t="s">
        <v>1137</v>
      </c>
      <c r="G182" s="68" t="s">
        <v>49</v>
      </c>
      <c r="H182" s="106" t="s">
        <v>1182</v>
      </c>
      <c r="I182" s="70"/>
      <c r="J182" s="70"/>
      <c r="K182" s="70" t="s">
        <v>61</v>
      </c>
      <c r="L182" s="70"/>
      <c r="M182" s="70"/>
      <c r="N182" s="70"/>
      <c r="O182" s="67" t="s">
        <v>25</v>
      </c>
      <c r="P182" s="67"/>
      <c r="Q182" s="71"/>
      <c r="R182" s="72">
        <v>0</v>
      </c>
      <c r="S182" s="73">
        <v>214.49</v>
      </c>
      <c r="T182" s="73">
        <v>0</v>
      </c>
      <c r="U182" s="71">
        <f>ERP_34[[#This Row],[LE2 Final Submission]]-ERP_34[[#This Row],[LE3 Final Submission]]</f>
        <v>214.49</v>
      </c>
      <c r="V182" s="74">
        <v>215.71</v>
      </c>
      <c r="W182" s="75">
        <v>-1.22</v>
      </c>
      <c r="X182" s="124">
        <v>0</v>
      </c>
      <c r="Y182" s="109">
        <v>0</v>
      </c>
      <c r="Z182" s="109">
        <v>0</v>
      </c>
      <c r="AA182" s="109">
        <v>0</v>
      </c>
      <c r="AB182" s="109">
        <v>0</v>
      </c>
      <c r="AC182" s="109">
        <v>0</v>
      </c>
      <c r="AD182" s="109">
        <v>0</v>
      </c>
      <c r="AE182" s="109">
        <v>0</v>
      </c>
      <c r="AF182" s="109">
        <v>0</v>
      </c>
      <c r="AG182" s="109">
        <v>0</v>
      </c>
      <c r="AH182" s="77">
        <f t="shared" si="9"/>
        <v>214.49</v>
      </c>
      <c r="AI182" s="108">
        <f>ERP_34[[#This Row],[2026 Working Total]]-ERP_34[[#This Row],[2026 LE0]]</f>
        <v>214.49</v>
      </c>
      <c r="AJ182" s="79"/>
      <c r="AK182" s="79"/>
      <c r="AL182" s="79">
        <f>ERP_34[[#This Row],[AP01]]+ERP_34[[#This Row],[AP02]]+ERP_34[[#This Row],[AP03]]+ERP_34[[#This Row],[AP04]]-ERP_34[[#This Row],[AP01 LE2]]-ERP_34[[#This Row],[AP02 LE2]]-ERP_34[[#This Row],[AP03 LE2]]-ERP_34[[#This Row],[AP04 LE2]]</f>
        <v>1.1102230246251565E-15</v>
      </c>
      <c r="AM182" s="80"/>
      <c r="AN182" s="79">
        <f>ERP_34[[#This Row],[2026 Working Total to Budget/LE]]-ERP_34[[#This Row],[Giveback]]</f>
        <v>214.49</v>
      </c>
      <c r="AO182" s="81"/>
      <c r="AP182" s="81">
        <v>215.71</v>
      </c>
      <c r="AQ182" s="81">
        <v>-1.22</v>
      </c>
      <c r="AR182" s="81">
        <v>0</v>
      </c>
      <c r="AS182" s="81">
        <v>0</v>
      </c>
      <c r="AT182" s="81">
        <v>0</v>
      </c>
      <c r="AU182" s="81">
        <v>0</v>
      </c>
      <c r="AV182" s="81">
        <v>0</v>
      </c>
      <c r="AW182" s="81">
        <v>0</v>
      </c>
      <c r="AX182" s="81">
        <v>0</v>
      </c>
      <c r="AY182" s="81">
        <v>0</v>
      </c>
      <c r="AZ182" s="81">
        <v>0</v>
      </c>
      <c r="BA182" s="81">
        <v>0</v>
      </c>
      <c r="BB182" s="81">
        <v>214.49</v>
      </c>
      <c r="BC182" s="79">
        <v>215.71</v>
      </c>
      <c r="BD182" s="79">
        <v>-1.22</v>
      </c>
      <c r="BE182" s="79">
        <v>0</v>
      </c>
      <c r="BF182" s="79">
        <v>0</v>
      </c>
      <c r="BG182" s="79">
        <v>0</v>
      </c>
      <c r="BH182" s="79">
        <v>0</v>
      </c>
      <c r="BI182" s="79">
        <v>0</v>
      </c>
      <c r="BJ182" s="79">
        <v>0</v>
      </c>
      <c r="BK182" s="79">
        <v>0</v>
      </c>
      <c r="BL182" s="79">
        <v>0</v>
      </c>
      <c r="BM182" s="79">
        <v>0</v>
      </c>
      <c r="BN182" s="79">
        <v>0</v>
      </c>
      <c r="BO182" s="79">
        <v>214.49</v>
      </c>
    </row>
    <row r="183" spans="1:67">
      <c r="A183" s="66" t="s">
        <v>1372</v>
      </c>
      <c r="B183" s="66" t="str">
        <f>_xlfn.TEXTJOIN("_",,ERP_34[[#This Row],[LT Member -1*]],ERP_34[[#This Row],[Expense Category]],ERP_34[[#This Row],[Project Code*]])</f>
        <v>Ganesan, Srinivasan_CONTRACTORS_IT-CTR0075-OG-MX-00</v>
      </c>
      <c r="C183" s="67" t="s">
        <v>1136</v>
      </c>
      <c r="D183" s="67" t="s">
        <v>1345</v>
      </c>
      <c r="E183" s="67" t="s">
        <v>1344</v>
      </c>
      <c r="F183" s="67" t="s">
        <v>1346</v>
      </c>
      <c r="G183" s="68" t="s">
        <v>49</v>
      </c>
      <c r="H183" s="106" t="s">
        <v>1373</v>
      </c>
      <c r="I183" s="70"/>
      <c r="J183" s="70"/>
      <c r="K183" s="70" t="s">
        <v>167</v>
      </c>
      <c r="L183" s="70"/>
      <c r="M183" s="70"/>
      <c r="N183" s="70"/>
      <c r="O183" s="67" t="s">
        <v>25</v>
      </c>
      <c r="P183" s="67"/>
      <c r="Q183" s="71"/>
      <c r="R183" s="72">
        <v>6000</v>
      </c>
      <c r="S183" s="73">
        <v>6000</v>
      </c>
      <c r="T183" s="73">
        <v>6000</v>
      </c>
      <c r="U183" s="71">
        <f>ERP_34[[#This Row],[LE2 Final Submission]]-ERP_34[[#This Row],[LE3 Final Submission]]</f>
        <v>0</v>
      </c>
      <c r="V183" s="74"/>
      <c r="W183" s="75"/>
      <c r="X183" s="75"/>
      <c r="Y183" s="76"/>
      <c r="Z183" s="76"/>
      <c r="AA183" s="76"/>
      <c r="AB183" s="76"/>
      <c r="AC183" s="76"/>
      <c r="AD183" s="76">
        <v>6000</v>
      </c>
      <c r="AE183" s="109">
        <v>0</v>
      </c>
      <c r="AF183" s="109">
        <v>0</v>
      </c>
      <c r="AG183" s="109">
        <v>0</v>
      </c>
      <c r="AH183" s="77">
        <f t="shared" si="9"/>
        <v>6000</v>
      </c>
      <c r="AI183" s="108">
        <f>ERP_34[[#This Row],[2026 Working Total]]-ERP_34[[#This Row],[2026 LE0]]</f>
        <v>0</v>
      </c>
      <c r="AJ183" s="79"/>
      <c r="AK183" s="79"/>
      <c r="AL1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3" s="80"/>
      <c r="AN183" s="79">
        <f>ERP_34[[#This Row],[2026 Working Total to Budget/LE]]-ERP_34[[#This Row],[Giveback]]</f>
        <v>0</v>
      </c>
      <c r="AO183" s="81"/>
      <c r="AP183" s="81"/>
      <c r="AQ183" s="81"/>
      <c r="AR183" s="81"/>
      <c r="AS183" s="81"/>
      <c r="AT183" s="81"/>
      <c r="AU183" s="81"/>
      <c r="AV183" s="81"/>
      <c r="AW183" s="81"/>
      <c r="AX183" s="81">
        <v>6000</v>
      </c>
      <c r="AY183" s="81">
        <v>0</v>
      </c>
      <c r="AZ183" s="81">
        <v>0</v>
      </c>
      <c r="BA183" s="81">
        <v>0</v>
      </c>
      <c r="BB183" s="81">
        <v>6000</v>
      </c>
      <c r="BC183" s="79"/>
      <c r="BD183" s="79"/>
      <c r="BE183" s="79"/>
      <c r="BF183" s="79"/>
      <c r="BG183" s="79"/>
      <c r="BH183" s="79"/>
      <c r="BI183" s="79"/>
      <c r="BJ183" s="79"/>
      <c r="BK183" s="79">
        <v>6000</v>
      </c>
      <c r="BL183" s="79">
        <v>0</v>
      </c>
      <c r="BM183" s="79">
        <v>0</v>
      </c>
      <c r="BN183" s="79">
        <v>0</v>
      </c>
      <c r="BO183" s="79">
        <v>6000</v>
      </c>
    </row>
    <row r="184" spans="1:67">
      <c r="A184" s="66" t="s">
        <v>1374</v>
      </c>
      <c r="B184" s="66" t="str">
        <f>_xlfn.TEXTJOIN("_",,ERP_34[[#This Row],[LT Member -1*]],ERP_34[[#This Row],[Expense Category]],ERP_34[[#This Row],[Project Code*]])</f>
        <v>Ganesan, Srinivasan_CONTRACTORS_IT-CTR0076-OG-MX-00</v>
      </c>
      <c r="C184" s="67" t="s">
        <v>1136</v>
      </c>
      <c r="D184" s="67" t="s">
        <v>1345</v>
      </c>
      <c r="E184" s="67" t="s">
        <v>1344</v>
      </c>
      <c r="F184" s="67" t="s">
        <v>1346</v>
      </c>
      <c r="G184" s="68" t="s">
        <v>49</v>
      </c>
      <c r="H184" s="106" t="s">
        <v>1375</v>
      </c>
      <c r="I184" s="70"/>
      <c r="J184" s="70"/>
      <c r="K184" s="70" t="s">
        <v>169</v>
      </c>
      <c r="L184" s="70"/>
      <c r="M184" s="70"/>
      <c r="N184" s="70"/>
      <c r="O184" s="67" t="s">
        <v>25</v>
      </c>
      <c r="P184" s="67"/>
      <c r="Q184" s="71"/>
      <c r="R184" s="72">
        <v>6000</v>
      </c>
      <c r="S184" s="73">
        <v>6000</v>
      </c>
      <c r="T184" s="73">
        <v>6000</v>
      </c>
      <c r="U184" s="71">
        <f>ERP_34[[#This Row],[LE2 Final Submission]]-ERP_34[[#This Row],[LE3 Final Submission]]</f>
        <v>0</v>
      </c>
      <c r="V184" s="74"/>
      <c r="W184" s="75"/>
      <c r="X184" s="75"/>
      <c r="Y184" s="76"/>
      <c r="Z184" s="76"/>
      <c r="AA184" s="76"/>
      <c r="AB184" s="76"/>
      <c r="AC184" s="76"/>
      <c r="AD184" s="76">
        <v>6000</v>
      </c>
      <c r="AE184" s="109">
        <v>0</v>
      </c>
      <c r="AF184" s="109">
        <v>0</v>
      </c>
      <c r="AG184" s="109">
        <v>0</v>
      </c>
      <c r="AH184" s="77">
        <f t="shared" si="9"/>
        <v>6000</v>
      </c>
      <c r="AI184" s="108">
        <f>ERP_34[[#This Row],[2026 Working Total]]-ERP_34[[#This Row],[2026 LE0]]</f>
        <v>0</v>
      </c>
      <c r="AJ184" s="79"/>
      <c r="AK184" s="79"/>
      <c r="AL1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4" s="80"/>
      <c r="AN184" s="79">
        <f>ERP_34[[#This Row],[2026 Working Total to Budget/LE]]-ERP_34[[#This Row],[Giveback]]</f>
        <v>0</v>
      </c>
      <c r="AO184" s="81"/>
      <c r="AP184" s="81"/>
      <c r="AQ184" s="81"/>
      <c r="AR184" s="81"/>
      <c r="AS184" s="81"/>
      <c r="AT184" s="81"/>
      <c r="AU184" s="81"/>
      <c r="AV184" s="81"/>
      <c r="AW184" s="81"/>
      <c r="AX184" s="81">
        <v>6000</v>
      </c>
      <c r="AY184" s="81">
        <v>0</v>
      </c>
      <c r="AZ184" s="81">
        <v>0</v>
      </c>
      <c r="BA184" s="81">
        <v>0</v>
      </c>
      <c r="BB184" s="81">
        <v>6000</v>
      </c>
      <c r="BC184" s="79"/>
      <c r="BD184" s="79"/>
      <c r="BE184" s="79"/>
      <c r="BF184" s="79"/>
      <c r="BG184" s="79"/>
      <c r="BH184" s="79"/>
      <c r="BI184" s="79"/>
      <c r="BJ184" s="79"/>
      <c r="BK184" s="79">
        <v>6000</v>
      </c>
      <c r="BL184" s="79">
        <v>0</v>
      </c>
      <c r="BM184" s="79">
        <v>0</v>
      </c>
      <c r="BN184" s="79">
        <v>0</v>
      </c>
      <c r="BO184" s="79">
        <v>6000</v>
      </c>
    </row>
    <row r="185" spans="1:67">
      <c r="A185" s="66" t="s">
        <v>1376</v>
      </c>
      <c r="B185" s="66" t="str">
        <f>_xlfn.TEXTJOIN("_",,ERP_34[[#This Row],[LT Member -1*]],ERP_34[[#This Row],[Expense Category]],ERP_34[[#This Row],[Project Code*]])</f>
        <v>Ganesan, Srinivasan_CONTRACTORS_IT-CTR0077-OG-MX-00</v>
      </c>
      <c r="C185" s="67" t="s">
        <v>1136</v>
      </c>
      <c r="D185" s="67" t="s">
        <v>1345</v>
      </c>
      <c r="E185" s="67" t="s">
        <v>1344</v>
      </c>
      <c r="F185" s="67" t="s">
        <v>1346</v>
      </c>
      <c r="G185" s="68" t="s">
        <v>49</v>
      </c>
      <c r="H185" s="106" t="s">
        <v>1377</v>
      </c>
      <c r="I185" s="70"/>
      <c r="J185" s="70"/>
      <c r="K185" s="70" t="s">
        <v>171</v>
      </c>
      <c r="L185" s="70"/>
      <c r="M185" s="70"/>
      <c r="N185" s="70"/>
      <c r="O185" s="67" t="s">
        <v>25</v>
      </c>
      <c r="P185" s="67"/>
      <c r="Q185" s="71"/>
      <c r="R185" s="72">
        <v>45000</v>
      </c>
      <c r="S185" s="73">
        <v>45000</v>
      </c>
      <c r="T185" s="73">
        <v>45000</v>
      </c>
      <c r="U185" s="71">
        <f>ERP_34[[#This Row],[LE2 Final Submission]]-ERP_34[[#This Row],[LE3 Final Submission]]</f>
        <v>0</v>
      </c>
      <c r="V185" s="74"/>
      <c r="W185" s="75"/>
      <c r="X185" s="75"/>
      <c r="Y185" s="76"/>
      <c r="Z185" s="76"/>
      <c r="AA185" s="76"/>
      <c r="AB185" s="76"/>
      <c r="AC185" s="76"/>
      <c r="AD185" s="76">
        <v>45000</v>
      </c>
      <c r="AE185" s="109">
        <v>0</v>
      </c>
      <c r="AF185" s="109">
        <v>0</v>
      </c>
      <c r="AG185" s="109">
        <v>0</v>
      </c>
      <c r="AH185" s="77">
        <f t="shared" si="9"/>
        <v>45000</v>
      </c>
      <c r="AI185" s="108">
        <f>ERP_34[[#This Row],[2026 Working Total]]-ERP_34[[#This Row],[2026 LE0]]</f>
        <v>0</v>
      </c>
      <c r="AJ185" s="79"/>
      <c r="AK185" s="79"/>
      <c r="AL18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5" s="80"/>
      <c r="AN185" s="79">
        <f>ERP_34[[#This Row],[2026 Working Total to Budget/LE]]-ERP_34[[#This Row],[Giveback]]</f>
        <v>0</v>
      </c>
      <c r="AO185" s="81"/>
      <c r="AP185" s="81"/>
      <c r="AQ185" s="81"/>
      <c r="AR185" s="81"/>
      <c r="AS185" s="81"/>
      <c r="AT185" s="81"/>
      <c r="AU185" s="81"/>
      <c r="AV185" s="81"/>
      <c r="AW185" s="81"/>
      <c r="AX185" s="81">
        <v>45000</v>
      </c>
      <c r="AY185" s="81">
        <v>0</v>
      </c>
      <c r="AZ185" s="81">
        <v>0</v>
      </c>
      <c r="BA185" s="81">
        <v>0</v>
      </c>
      <c r="BB185" s="81">
        <v>45000</v>
      </c>
      <c r="BC185" s="79"/>
      <c r="BD185" s="79"/>
      <c r="BE185" s="79"/>
      <c r="BF185" s="79"/>
      <c r="BG185" s="79"/>
      <c r="BH185" s="79"/>
      <c r="BI185" s="79"/>
      <c r="BJ185" s="79"/>
      <c r="BK185" s="79">
        <v>45000</v>
      </c>
      <c r="BL185" s="79">
        <v>0</v>
      </c>
      <c r="BM185" s="79">
        <v>0</v>
      </c>
      <c r="BN185" s="79">
        <v>0</v>
      </c>
      <c r="BO185" s="79">
        <v>45000</v>
      </c>
    </row>
    <row r="186" spans="1:67">
      <c r="A186" s="66" t="s">
        <v>1608</v>
      </c>
      <c r="B186" s="66" t="str">
        <f>_xlfn.TEXTJOIN("_",,ERP_34[[#This Row],[LT Member -1*]],ERP_34[[#This Row],[Expense Category]],ERP_34[[#This Row],[Project Code*]])</f>
        <v>McGettigan, David_CONTRACTORS_IT-CTR0089-OG-US-00</v>
      </c>
      <c r="C186" s="67" t="s">
        <v>1136</v>
      </c>
      <c r="D186" s="67" t="s">
        <v>1567</v>
      </c>
      <c r="E186" s="67" t="s">
        <v>1567</v>
      </c>
      <c r="F186" s="67" t="s">
        <v>1567</v>
      </c>
      <c r="G186" s="68" t="s">
        <v>49</v>
      </c>
      <c r="H186" s="106" t="s">
        <v>1610</v>
      </c>
      <c r="I186" s="70"/>
      <c r="J186" s="70"/>
      <c r="K186" s="70" t="s">
        <v>295</v>
      </c>
      <c r="L186" s="70"/>
      <c r="M186" s="70"/>
      <c r="N186" s="70"/>
      <c r="O186" s="67" t="s">
        <v>296</v>
      </c>
      <c r="P186" s="67"/>
      <c r="Q186" s="137"/>
      <c r="R186" s="138">
        <v>0</v>
      </c>
      <c r="S186" s="139">
        <v>0</v>
      </c>
      <c r="T186" s="139">
        <v>0</v>
      </c>
      <c r="U186" s="137">
        <f>ERP_34[[#This Row],[LE2 Final Submission]]-ERP_34[[#This Row],[LE3 Final Submission]]</f>
        <v>0</v>
      </c>
      <c r="V186" s="74">
        <v>-1104045.58</v>
      </c>
      <c r="W186" s="75">
        <v>1104045.58</v>
      </c>
      <c r="X186" s="75"/>
      <c r="Y186" s="76"/>
      <c r="Z186" s="76"/>
      <c r="AA186" s="76"/>
      <c r="AB186" s="76"/>
      <c r="AC186" s="76"/>
      <c r="AD186" s="76"/>
      <c r="AE186" s="76"/>
      <c r="AF186" s="76"/>
      <c r="AG186" s="76"/>
      <c r="AH186" s="77">
        <f t="shared" si="9"/>
        <v>0</v>
      </c>
      <c r="AI186" s="108">
        <f>ERP_34[[#This Row],[2026 Working Total]]-ERP_34[[#This Row],[2026 LE0]]</f>
        <v>0</v>
      </c>
      <c r="AJ186" s="79"/>
      <c r="AK186" s="79"/>
      <c r="AL18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6" s="80"/>
      <c r="AN186" s="79">
        <f>ERP_34[[#This Row],[2026 Working Total to Budget/LE]]-ERP_34[[#This Row],[Giveback]]</f>
        <v>0</v>
      </c>
      <c r="AO186" s="81"/>
      <c r="AP186" s="81">
        <v>-1104045.58</v>
      </c>
      <c r="AQ186" s="81">
        <v>1104045.58</v>
      </c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>
        <v>0</v>
      </c>
      <c r="BC186" s="79">
        <v>-1104045.58</v>
      </c>
      <c r="BD186" s="79">
        <v>1104045.58</v>
      </c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>
        <v>0</v>
      </c>
    </row>
    <row r="187" spans="1:67">
      <c r="A187" s="66" t="s">
        <v>1552</v>
      </c>
      <c r="B187" s="66" t="str">
        <f>_xlfn.TEXTJOIN("_",,ERP_34[[#This Row],[LT Member -1*]],ERP_34[[#This Row],[Expense Category]],ERP_34[[#This Row],[Project Code*]])</f>
        <v>Jajodia, Amit_CONTRACTORS_IT-CTR0090-OG-US-00</v>
      </c>
      <c r="C187" s="67" t="s">
        <v>1136</v>
      </c>
      <c r="D187" s="67" t="s">
        <v>1345</v>
      </c>
      <c r="E187" s="67" t="s">
        <v>1515</v>
      </c>
      <c r="F187" s="67" t="s">
        <v>1346</v>
      </c>
      <c r="G187" s="68" t="s">
        <v>49</v>
      </c>
      <c r="H187" s="106" t="s">
        <v>1553</v>
      </c>
      <c r="I187" s="70"/>
      <c r="J187" s="70"/>
      <c r="K187" s="70" t="s">
        <v>261</v>
      </c>
      <c r="L187" s="70"/>
      <c r="M187" s="70"/>
      <c r="N187" s="70"/>
      <c r="O187" s="67" t="s">
        <v>25</v>
      </c>
      <c r="P187" s="67"/>
      <c r="Q187" s="71"/>
      <c r="R187" s="72">
        <v>10277</v>
      </c>
      <c r="S187" s="73">
        <v>10277</v>
      </c>
      <c r="T187" s="73">
        <v>10277</v>
      </c>
      <c r="U187" s="71">
        <f>ERP_34[[#This Row],[LE2 Final Submission]]-ERP_34[[#This Row],[LE3 Final Submission]]</f>
        <v>0</v>
      </c>
      <c r="V187" s="74"/>
      <c r="W187" s="75"/>
      <c r="X187" s="75"/>
      <c r="Y187" s="76"/>
      <c r="Z187" s="76">
        <v>4554</v>
      </c>
      <c r="AA187" s="109">
        <v>0</v>
      </c>
      <c r="AB187" s="109">
        <v>0</v>
      </c>
      <c r="AC187" s="76">
        <v>5723</v>
      </c>
      <c r="AD187" s="109">
        <v>0</v>
      </c>
      <c r="AE187" s="109">
        <v>0</v>
      </c>
      <c r="AF187" s="109">
        <v>0</v>
      </c>
      <c r="AG187" s="109">
        <v>0</v>
      </c>
      <c r="AH187" s="77">
        <f t="shared" si="9"/>
        <v>10277</v>
      </c>
      <c r="AI187" s="108">
        <f>ERP_34[[#This Row],[2026 Working Total]]-ERP_34[[#This Row],[2026 LE0]]</f>
        <v>0</v>
      </c>
      <c r="AJ187" s="79"/>
      <c r="AK187" s="79"/>
      <c r="AL18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7" s="80"/>
      <c r="AN187" s="79">
        <f>ERP_34[[#This Row],[2026 Working Total to Budget/LE]]-ERP_34[[#This Row],[Giveback]]</f>
        <v>0</v>
      </c>
      <c r="AO187" s="81"/>
      <c r="AP187" s="81"/>
      <c r="AQ187" s="81"/>
      <c r="AR187" s="81"/>
      <c r="AS187" s="81"/>
      <c r="AT187" s="81">
        <v>4554</v>
      </c>
      <c r="AU187" s="81">
        <v>0</v>
      </c>
      <c r="AV187" s="81">
        <v>0</v>
      </c>
      <c r="AW187" s="81">
        <v>5723</v>
      </c>
      <c r="AX187" s="81">
        <v>0</v>
      </c>
      <c r="AY187" s="81">
        <v>0</v>
      </c>
      <c r="AZ187" s="81">
        <v>0</v>
      </c>
      <c r="BA187" s="81">
        <v>0</v>
      </c>
      <c r="BB187" s="81">
        <v>10277</v>
      </c>
      <c r="BC187" s="79"/>
      <c r="BD187" s="79"/>
      <c r="BE187" s="79"/>
      <c r="BF187" s="79"/>
      <c r="BG187" s="79">
        <v>4554</v>
      </c>
      <c r="BH187" s="79">
        <v>0</v>
      </c>
      <c r="BI187" s="79">
        <v>0</v>
      </c>
      <c r="BJ187" s="79">
        <v>5723</v>
      </c>
      <c r="BK187" s="79">
        <v>0</v>
      </c>
      <c r="BL187" s="79">
        <v>0</v>
      </c>
      <c r="BM187" s="79">
        <v>0</v>
      </c>
      <c r="BN187" s="79">
        <v>0</v>
      </c>
      <c r="BO187" s="79">
        <v>10277</v>
      </c>
    </row>
    <row r="188" spans="1:67">
      <c r="A188" s="66" t="s">
        <v>1183</v>
      </c>
      <c r="B188" s="66" t="str">
        <f>_xlfn.TEXTJOIN("_",,ERP_34[[#This Row],[LT Member -1*]],ERP_34[[#This Row],[Expense Category]],ERP_34[[#This Row],[Project Code*]])</f>
        <v>McCormick, Pete_CONTRACTORS_IT-CTR0093-OG-US-00</v>
      </c>
      <c r="C188" s="67" t="s">
        <v>1136</v>
      </c>
      <c r="D188" s="67" t="s">
        <v>1135</v>
      </c>
      <c r="E188" s="67" t="s">
        <v>1145</v>
      </c>
      <c r="F188" s="67" t="s">
        <v>1137</v>
      </c>
      <c r="G188" s="68" t="s">
        <v>49</v>
      </c>
      <c r="H188" s="106" t="s">
        <v>1185</v>
      </c>
      <c r="I188" s="70"/>
      <c r="J188" s="70"/>
      <c r="K188" s="70" t="s">
        <v>63</v>
      </c>
      <c r="L188" s="70"/>
      <c r="M188" s="70"/>
      <c r="N188" s="70"/>
      <c r="O188" s="67" t="s">
        <v>64</v>
      </c>
      <c r="P188" s="67"/>
      <c r="Q188" s="71"/>
      <c r="R188" s="72">
        <v>345518.86</v>
      </c>
      <c r="S188" s="73">
        <v>345670.24</v>
      </c>
      <c r="T188" s="73">
        <v>345518.86</v>
      </c>
      <c r="U188" s="71">
        <f>ERP_34[[#This Row],[LE2 Final Submission]]-ERP_34[[#This Row],[LE3 Final Submission]]</f>
        <v>151.38000000000466</v>
      </c>
      <c r="V188" s="74">
        <v>35812</v>
      </c>
      <c r="W188" s="75">
        <v>40109.440000000002</v>
      </c>
      <c r="X188" s="75">
        <v>50136.800000000003</v>
      </c>
      <c r="Y188" s="76">
        <v>40000</v>
      </c>
      <c r="Z188" s="76">
        <v>28897</v>
      </c>
      <c r="AA188" s="76">
        <v>28897</v>
      </c>
      <c r="AB188" s="76">
        <v>23013</v>
      </c>
      <c r="AC188" s="76">
        <v>22297</v>
      </c>
      <c r="AD188" s="76">
        <v>19127</v>
      </c>
      <c r="AE188" s="76">
        <v>19127</v>
      </c>
      <c r="AF188" s="76">
        <v>19127</v>
      </c>
      <c r="AG188" s="76">
        <v>19127</v>
      </c>
      <c r="AH188" s="77">
        <f t="shared" si="9"/>
        <v>345670.24</v>
      </c>
      <c r="AI188" s="108">
        <f>ERP_34[[#This Row],[2026 Working Total]]-ERP_34[[#This Row],[2026 LE0]]</f>
        <v>151.38000000000466</v>
      </c>
      <c r="AJ188" s="79"/>
      <c r="AK188" s="79"/>
      <c r="AL18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8" s="80"/>
      <c r="AN188" s="79">
        <f>ERP_34[[#This Row],[2026 Working Total to Budget/LE]]-ERP_34[[#This Row],[Giveback]]</f>
        <v>151.38000000000466</v>
      </c>
      <c r="AO188" s="81"/>
      <c r="AP188" s="81">
        <v>35812</v>
      </c>
      <c r="AQ188" s="81">
        <v>40109.440000000002</v>
      </c>
      <c r="AR188" s="81">
        <v>50136.800000000003</v>
      </c>
      <c r="AS188" s="81">
        <v>40000</v>
      </c>
      <c r="AT188" s="81">
        <v>28897</v>
      </c>
      <c r="AU188" s="81">
        <v>28897</v>
      </c>
      <c r="AV188" s="81">
        <v>23013</v>
      </c>
      <c r="AW188" s="81">
        <v>22297</v>
      </c>
      <c r="AX188" s="81">
        <v>19127</v>
      </c>
      <c r="AY188" s="81">
        <v>19127</v>
      </c>
      <c r="AZ188" s="81">
        <v>19127</v>
      </c>
      <c r="BA188" s="81">
        <v>19127</v>
      </c>
      <c r="BB188" s="81">
        <v>345670.24</v>
      </c>
      <c r="BC188" s="79">
        <v>35812</v>
      </c>
      <c r="BD188" s="79">
        <v>40109.440000000002</v>
      </c>
      <c r="BE188" s="79">
        <v>50136.800000000003</v>
      </c>
      <c r="BF188" s="79">
        <v>40000</v>
      </c>
      <c r="BG188" s="79">
        <v>28897</v>
      </c>
      <c r="BH188" s="79">
        <v>28897</v>
      </c>
      <c r="BI188" s="79">
        <v>23013</v>
      </c>
      <c r="BJ188" s="79">
        <v>22297</v>
      </c>
      <c r="BK188" s="79">
        <v>22297</v>
      </c>
      <c r="BL188" s="79">
        <v>22297</v>
      </c>
      <c r="BM188" s="79">
        <v>22297</v>
      </c>
      <c r="BN188" s="79">
        <v>22297</v>
      </c>
      <c r="BO188" s="79">
        <v>358350.24</v>
      </c>
    </row>
    <row r="189" spans="1:67">
      <c r="A189" s="66" t="s">
        <v>1188</v>
      </c>
      <c r="B189" s="66" t="str">
        <f>_xlfn.TEXTJOIN("_",,ERP_34[[#This Row],[LT Member -1*]],ERP_34[[#This Row],[Expense Category]],ERP_34[[#This Row],[Project Code*]])</f>
        <v>Dougherty, Chris_CONTRACTORS_IT-CTR0094-OG-US-00</v>
      </c>
      <c r="C189" s="67" t="s">
        <v>1136</v>
      </c>
      <c r="D189" s="67" t="s">
        <v>1135</v>
      </c>
      <c r="E189" s="67" t="s">
        <v>1135</v>
      </c>
      <c r="F189" s="67" t="s">
        <v>1137</v>
      </c>
      <c r="G189" s="68" t="s">
        <v>49</v>
      </c>
      <c r="H189" s="106" t="s">
        <v>1189</v>
      </c>
      <c r="I189" s="70"/>
      <c r="J189" s="70"/>
      <c r="K189" s="114" t="s">
        <v>66</v>
      </c>
      <c r="L189" s="70"/>
      <c r="M189" s="70"/>
      <c r="N189" s="70"/>
      <c r="O189" s="67" t="s">
        <v>67</v>
      </c>
      <c r="P189" s="67"/>
      <c r="Q189" s="71"/>
      <c r="R189" s="72">
        <v>216000</v>
      </c>
      <c r="S189" s="73">
        <v>197423.06</v>
      </c>
      <c r="T189" s="73">
        <v>216000</v>
      </c>
      <c r="U189" s="71">
        <f>ERP_34[[#This Row],[LE2 Final Submission]]-ERP_34[[#This Row],[LE3 Final Submission]]</f>
        <v>-18576.940000000002</v>
      </c>
      <c r="V189" s="74">
        <v>14166</v>
      </c>
      <c r="W189" s="75">
        <v>18835.37</v>
      </c>
      <c r="X189" s="75">
        <v>16863.689999999999</v>
      </c>
      <c r="Y189" s="76">
        <v>11558</v>
      </c>
      <c r="Z189" s="76">
        <v>17000</v>
      </c>
      <c r="AA189" s="76">
        <v>17000</v>
      </c>
      <c r="AB189" s="76">
        <v>17000</v>
      </c>
      <c r="AC189" s="76">
        <v>17000</v>
      </c>
      <c r="AD189" s="76">
        <v>17000</v>
      </c>
      <c r="AE189" s="76">
        <v>17000</v>
      </c>
      <c r="AF189" s="76">
        <v>17000</v>
      </c>
      <c r="AG189" s="76">
        <v>17000</v>
      </c>
      <c r="AH189" s="77">
        <f t="shared" si="9"/>
        <v>197423.06</v>
      </c>
      <c r="AI189" s="127">
        <f>ERP_34[[#This Row],[2026 Working Total]]-ERP_34[[#This Row],[2026 LE0]]</f>
        <v>-18576.940000000002</v>
      </c>
      <c r="AJ189" s="79"/>
      <c r="AK189" s="79"/>
      <c r="AL18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89" s="80"/>
      <c r="AN189" s="79">
        <f>ERP_34[[#This Row],[2026 Working Total to Budget/LE]]-ERP_34[[#This Row],[Giveback]]</f>
        <v>-18576.940000000002</v>
      </c>
      <c r="AO189" s="81"/>
      <c r="AP189" s="81">
        <v>14166</v>
      </c>
      <c r="AQ189" s="81">
        <v>18835.37</v>
      </c>
      <c r="AR189" s="81">
        <v>16863.689999999999</v>
      </c>
      <c r="AS189" s="81">
        <v>11558</v>
      </c>
      <c r="AT189" s="81">
        <v>17000</v>
      </c>
      <c r="AU189" s="81">
        <v>17000</v>
      </c>
      <c r="AV189" s="81">
        <v>17000</v>
      </c>
      <c r="AW189" s="81">
        <v>17000</v>
      </c>
      <c r="AX189" s="81">
        <v>17000</v>
      </c>
      <c r="AY189" s="81">
        <v>17000</v>
      </c>
      <c r="AZ189" s="81">
        <v>17000</v>
      </c>
      <c r="BA189" s="81">
        <v>17000</v>
      </c>
      <c r="BB189" s="81">
        <v>197423.06</v>
      </c>
      <c r="BC189" s="79">
        <v>14166</v>
      </c>
      <c r="BD189" s="79">
        <v>18835.37</v>
      </c>
      <c r="BE189" s="79">
        <v>16863.689999999999</v>
      </c>
      <c r="BF189" s="79">
        <v>18000</v>
      </c>
      <c r="BG189" s="79">
        <v>18000</v>
      </c>
      <c r="BH189" s="79">
        <v>18000</v>
      </c>
      <c r="BI189" s="79">
        <v>18000</v>
      </c>
      <c r="BJ189" s="79">
        <v>18000</v>
      </c>
      <c r="BK189" s="79">
        <v>18000</v>
      </c>
      <c r="BL189" s="79">
        <v>18000</v>
      </c>
      <c r="BM189" s="79">
        <v>18000</v>
      </c>
      <c r="BN189" s="79">
        <v>18000</v>
      </c>
      <c r="BO189" s="79">
        <v>211865.06</v>
      </c>
    </row>
    <row r="190" spans="1:67">
      <c r="A190" s="66" t="s">
        <v>1193</v>
      </c>
      <c r="B190" s="66" t="str">
        <f>_xlfn.TEXTJOIN("_",,ERP_34[[#This Row],[LT Member -1*]],ERP_34[[#This Row],[Expense Category]],ERP_34[[#This Row],[Project Code*]])</f>
        <v>Dougherty, Chris_CONTRACTORS_IT-CTR0096-OG-US-00</v>
      </c>
      <c r="C190" s="67" t="s">
        <v>1136</v>
      </c>
      <c r="D190" s="67" t="s">
        <v>1135</v>
      </c>
      <c r="E190" s="67" t="s">
        <v>1135</v>
      </c>
      <c r="F190" s="67" t="s">
        <v>1137</v>
      </c>
      <c r="G190" s="68" t="s">
        <v>49</v>
      </c>
      <c r="H190" s="106" t="s">
        <v>1194</v>
      </c>
      <c r="I190" s="70"/>
      <c r="J190" s="70"/>
      <c r="K190" s="114" t="s">
        <v>69</v>
      </c>
      <c r="L190" s="70"/>
      <c r="M190" s="70"/>
      <c r="N190" s="70"/>
      <c r="O190" s="67" t="s">
        <v>67</v>
      </c>
      <c r="P190" s="67"/>
      <c r="Q190" s="71"/>
      <c r="R190" s="72">
        <v>237888</v>
      </c>
      <c r="S190" s="73">
        <v>236045.4</v>
      </c>
      <c r="T190" s="73">
        <v>237888</v>
      </c>
      <c r="U190" s="71">
        <f>ERP_34[[#This Row],[LE2 Final Submission]]-ERP_34[[#This Row],[LE3 Final Submission]]</f>
        <v>-1842.6000000000058</v>
      </c>
      <c r="V190" s="74">
        <v>16372</v>
      </c>
      <c r="W190" s="75">
        <v>18336.62</v>
      </c>
      <c r="X190" s="75">
        <v>22920.78</v>
      </c>
      <c r="Y190" s="76">
        <v>19824</v>
      </c>
      <c r="Z190" s="76">
        <v>19824</v>
      </c>
      <c r="AA190" s="76">
        <v>19824</v>
      </c>
      <c r="AB190" s="76">
        <v>19824</v>
      </c>
      <c r="AC190" s="76">
        <v>19824</v>
      </c>
      <c r="AD190" s="76">
        <v>19824</v>
      </c>
      <c r="AE190" s="76">
        <v>19824</v>
      </c>
      <c r="AF190" s="76">
        <v>19824</v>
      </c>
      <c r="AG190" s="76">
        <v>19824</v>
      </c>
      <c r="AH190" s="77">
        <f t="shared" si="9"/>
        <v>236045.4</v>
      </c>
      <c r="AI190" s="108">
        <f>ERP_34[[#This Row],[2026 Working Total]]-ERP_34[[#This Row],[2026 LE0]]</f>
        <v>-1842.6000000000058</v>
      </c>
      <c r="AJ190" s="79"/>
      <c r="AK190" s="79"/>
      <c r="AL19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0" s="80"/>
      <c r="AN190" s="79">
        <f>ERP_34[[#This Row],[2026 Working Total to Budget/LE]]-ERP_34[[#This Row],[Giveback]]</f>
        <v>-1842.6000000000058</v>
      </c>
      <c r="AO190" s="81"/>
      <c r="AP190" s="81">
        <v>16372</v>
      </c>
      <c r="AQ190" s="81">
        <v>18336.62</v>
      </c>
      <c r="AR190" s="81">
        <v>22920.78</v>
      </c>
      <c r="AS190" s="81">
        <v>19824</v>
      </c>
      <c r="AT190" s="81">
        <v>19824</v>
      </c>
      <c r="AU190" s="81">
        <v>19824</v>
      </c>
      <c r="AV190" s="81">
        <v>19824</v>
      </c>
      <c r="AW190" s="81">
        <v>19824</v>
      </c>
      <c r="AX190" s="81">
        <v>19824</v>
      </c>
      <c r="AY190" s="81">
        <v>19824</v>
      </c>
      <c r="AZ190" s="81">
        <v>19824</v>
      </c>
      <c r="BA190" s="81">
        <v>19824</v>
      </c>
      <c r="BB190" s="81">
        <v>236045.4</v>
      </c>
      <c r="BC190" s="79">
        <v>16372</v>
      </c>
      <c r="BD190" s="79">
        <v>18336.62</v>
      </c>
      <c r="BE190" s="79">
        <v>22920.78</v>
      </c>
      <c r="BF190" s="79">
        <v>19824</v>
      </c>
      <c r="BG190" s="79">
        <v>19824</v>
      </c>
      <c r="BH190" s="79">
        <v>19824</v>
      </c>
      <c r="BI190" s="79">
        <v>19824</v>
      </c>
      <c r="BJ190" s="79">
        <v>19824</v>
      </c>
      <c r="BK190" s="79">
        <v>19824</v>
      </c>
      <c r="BL190" s="79">
        <v>19824</v>
      </c>
      <c r="BM190" s="79">
        <v>19824</v>
      </c>
      <c r="BN190" s="79">
        <v>19824</v>
      </c>
      <c r="BO190" s="79">
        <v>236045.4</v>
      </c>
    </row>
    <row r="191" spans="1:67">
      <c r="A191" s="66" t="s">
        <v>1197</v>
      </c>
      <c r="B191" s="66" t="str">
        <f>_xlfn.TEXTJOIN("_",,ERP_34[[#This Row],[LT Member -1*]],ERP_34[[#This Row],[Expense Category]],ERP_34[[#This Row],[Project Code*]])</f>
        <v>Dougherty, Chris_CONTRACTORS_IT-CTR0097-OG-US-00</v>
      </c>
      <c r="C191" s="67" t="s">
        <v>1136</v>
      </c>
      <c r="D191" s="67" t="s">
        <v>1135</v>
      </c>
      <c r="E191" s="67" t="s">
        <v>1135</v>
      </c>
      <c r="F191" s="67" t="s">
        <v>1137</v>
      </c>
      <c r="G191" s="68" t="s">
        <v>49</v>
      </c>
      <c r="H191" s="106" t="s">
        <v>1198</v>
      </c>
      <c r="I191" s="70"/>
      <c r="J191" s="70"/>
      <c r="K191" s="114" t="s">
        <v>71</v>
      </c>
      <c r="L191" s="70"/>
      <c r="M191" s="70"/>
      <c r="N191" s="70"/>
      <c r="O191" s="67" t="s">
        <v>64</v>
      </c>
      <c r="P191" s="67"/>
      <c r="Q191" s="71"/>
      <c r="R191" s="72">
        <v>230004</v>
      </c>
      <c r="S191" s="73">
        <v>211390.3</v>
      </c>
      <c r="T191" s="73">
        <v>230004</v>
      </c>
      <c r="U191" s="71">
        <f>ERP_34[[#This Row],[LE2 Final Submission]]-ERP_34[[#This Row],[LE3 Final Submission]]</f>
        <v>-18613.700000000012</v>
      </c>
      <c r="V191" s="74">
        <v>14973</v>
      </c>
      <c r="W191" s="75">
        <v>18162.759999999998</v>
      </c>
      <c r="X191" s="75">
        <v>19567.54</v>
      </c>
      <c r="Y191" s="76">
        <v>19167</v>
      </c>
      <c r="Z191" s="76">
        <v>17440</v>
      </c>
      <c r="AA191" s="76">
        <v>17440</v>
      </c>
      <c r="AB191" s="76">
        <v>17440</v>
      </c>
      <c r="AC191" s="76">
        <v>17440</v>
      </c>
      <c r="AD191" s="76">
        <v>17440</v>
      </c>
      <c r="AE191" s="76">
        <v>17440</v>
      </c>
      <c r="AF191" s="76">
        <v>17440</v>
      </c>
      <c r="AG191" s="76">
        <v>17440</v>
      </c>
      <c r="AH191" s="77">
        <f t="shared" si="9"/>
        <v>211390.3</v>
      </c>
      <c r="AI191" s="127">
        <f>ERP_34[[#This Row],[2026 Working Total]]-ERP_34[[#This Row],[2026 LE0]]</f>
        <v>-18613.700000000012</v>
      </c>
      <c r="AJ191" s="79"/>
      <c r="AK191" s="79"/>
      <c r="AL19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1" s="80"/>
      <c r="AN191" s="79">
        <f>ERP_34[[#This Row],[2026 Working Total to Budget/LE]]-ERP_34[[#This Row],[Giveback]]</f>
        <v>-18613.700000000012</v>
      </c>
      <c r="AO191" s="81"/>
      <c r="AP191" s="81">
        <v>14973</v>
      </c>
      <c r="AQ191" s="81">
        <v>18162.759999999998</v>
      </c>
      <c r="AR191" s="81">
        <v>19567.54</v>
      </c>
      <c r="AS191" s="81">
        <v>19167</v>
      </c>
      <c r="AT191" s="81">
        <v>17440</v>
      </c>
      <c r="AU191" s="81">
        <v>17440</v>
      </c>
      <c r="AV191" s="81">
        <v>17440</v>
      </c>
      <c r="AW191" s="81">
        <v>17440</v>
      </c>
      <c r="AX191" s="81">
        <v>17440</v>
      </c>
      <c r="AY191" s="81">
        <v>17440</v>
      </c>
      <c r="AZ191" s="81">
        <v>17440</v>
      </c>
      <c r="BA191" s="81">
        <v>17440</v>
      </c>
      <c r="BB191" s="81">
        <v>211390.3</v>
      </c>
      <c r="BC191" s="79">
        <v>14973</v>
      </c>
      <c r="BD191" s="79">
        <v>18162.759999999998</v>
      </c>
      <c r="BE191" s="79">
        <v>19567.54</v>
      </c>
      <c r="BF191" s="79">
        <v>19167</v>
      </c>
      <c r="BG191" s="79">
        <v>19167</v>
      </c>
      <c r="BH191" s="79">
        <v>19167</v>
      </c>
      <c r="BI191" s="79">
        <v>19167</v>
      </c>
      <c r="BJ191" s="79">
        <v>19167</v>
      </c>
      <c r="BK191" s="79">
        <v>19167</v>
      </c>
      <c r="BL191" s="79">
        <v>19167</v>
      </c>
      <c r="BM191" s="79">
        <v>19167</v>
      </c>
      <c r="BN191" s="79">
        <v>19167</v>
      </c>
      <c r="BO191" s="79">
        <v>225206.3</v>
      </c>
    </row>
    <row r="192" spans="1:67">
      <c r="A192" s="66" t="s">
        <v>1200</v>
      </c>
      <c r="B192" s="66" t="str">
        <f>_xlfn.TEXTJOIN("_",,ERP_34[[#This Row],[LT Member -1*]],ERP_34[[#This Row],[Expense Category]],ERP_34[[#This Row],[Project Code*]])</f>
        <v>Dougherty, Chris_CONTRACTORS_IT-CTR0098-OG-US-00</v>
      </c>
      <c r="C192" s="67" t="s">
        <v>1136</v>
      </c>
      <c r="D192" s="67" t="s">
        <v>1135</v>
      </c>
      <c r="E192" s="67" t="s">
        <v>1135</v>
      </c>
      <c r="F192" s="67" t="s">
        <v>1137</v>
      </c>
      <c r="G192" s="68" t="s">
        <v>49</v>
      </c>
      <c r="H192" s="106" t="s">
        <v>1201</v>
      </c>
      <c r="I192" s="70"/>
      <c r="J192" s="70"/>
      <c r="K192" s="114" t="s">
        <v>73</v>
      </c>
      <c r="L192" s="70"/>
      <c r="M192" s="70"/>
      <c r="N192" s="70"/>
      <c r="O192" s="67" t="s">
        <v>64</v>
      </c>
      <c r="P192" s="67"/>
      <c r="Q192" s="71"/>
      <c r="R192" s="72">
        <v>187200</v>
      </c>
      <c r="S192" s="73">
        <v>185657.15</v>
      </c>
      <c r="T192" s="73">
        <v>187200</v>
      </c>
      <c r="U192" s="71">
        <f>ERP_34[[#This Row],[LE2 Final Submission]]-ERP_34[[#This Row],[LE3 Final Submission]]</f>
        <v>-1542.8500000000058</v>
      </c>
      <c r="V192" s="74">
        <v>12857</v>
      </c>
      <c r="W192" s="75">
        <v>18823.150000000001</v>
      </c>
      <c r="X192" s="75">
        <v>13577</v>
      </c>
      <c r="Y192" s="76">
        <v>15600</v>
      </c>
      <c r="Z192" s="76">
        <v>15600</v>
      </c>
      <c r="AA192" s="76">
        <v>15600</v>
      </c>
      <c r="AB192" s="76">
        <v>15600</v>
      </c>
      <c r="AC192" s="76">
        <v>15600</v>
      </c>
      <c r="AD192" s="76">
        <v>15600</v>
      </c>
      <c r="AE192" s="76">
        <v>15600</v>
      </c>
      <c r="AF192" s="76">
        <v>15600</v>
      </c>
      <c r="AG192" s="76">
        <v>15600</v>
      </c>
      <c r="AH192" s="77">
        <f t="shared" si="9"/>
        <v>185657.15</v>
      </c>
      <c r="AI192" s="127">
        <f>ERP_34[[#This Row],[2026 Working Total]]-ERP_34[[#This Row],[2026 LE0]]</f>
        <v>-1542.8500000000058</v>
      </c>
      <c r="AJ192" s="79"/>
      <c r="AK192" s="79"/>
      <c r="AL1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2" s="80"/>
      <c r="AN192" s="79">
        <f>ERP_34[[#This Row],[2026 Working Total to Budget/LE]]-ERP_34[[#This Row],[Giveback]]</f>
        <v>-1542.8500000000058</v>
      </c>
      <c r="AO192" s="81"/>
      <c r="AP192" s="81">
        <v>12857</v>
      </c>
      <c r="AQ192" s="81">
        <v>18823.150000000001</v>
      </c>
      <c r="AR192" s="81">
        <v>13577</v>
      </c>
      <c r="AS192" s="81">
        <v>15600</v>
      </c>
      <c r="AT192" s="81">
        <v>15600</v>
      </c>
      <c r="AU192" s="81">
        <v>15600</v>
      </c>
      <c r="AV192" s="81">
        <v>15600</v>
      </c>
      <c r="AW192" s="81">
        <v>15600</v>
      </c>
      <c r="AX192" s="81">
        <v>15600</v>
      </c>
      <c r="AY192" s="81">
        <v>15600</v>
      </c>
      <c r="AZ192" s="81">
        <v>15600</v>
      </c>
      <c r="BA192" s="81">
        <v>15600</v>
      </c>
      <c r="BB192" s="81">
        <v>185657.15</v>
      </c>
      <c r="BC192" s="79">
        <v>12857</v>
      </c>
      <c r="BD192" s="79">
        <v>18823.150000000001</v>
      </c>
      <c r="BE192" s="79">
        <v>13577</v>
      </c>
      <c r="BF192" s="79">
        <v>15600</v>
      </c>
      <c r="BG192" s="79">
        <v>15600</v>
      </c>
      <c r="BH192" s="79">
        <v>15600</v>
      </c>
      <c r="BI192" s="79">
        <v>15600</v>
      </c>
      <c r="BJ192" s="79">
        <v>15600</v>
      </c>
      <c r="BK192" s="79">
        <v>15600</v>
      </c>
      <c r="BL192" s="79">
        <v>15600</v>
      </c>
      <c r="BM192" s="79">
        <v>15600</v>
      </c>
      <c r="BN192" s="79">
        <v>15600</v>
      </c>
      <c r="BO192" s="79">
        <v>185657.15</v>
      </c>
    </row>
    <row r="193" spans="1:67">
      <c r="A193" s="66" t="s">
        <v>1204</v>
      </c>
      <c r="B193" s="66" t="str">
        <f>_xlfn.TEXTJOIN("_",,ERP_34[[#This Row],[LT Member -1*]],ERP_34[[#This Row],[Expense Category]],ERP_34[[#This Row],[Project Code*]])</f>
        <v>Dougherty, Chris_CONTRACTORS_IT-CTR0099-OG-US-00</v>
      </c>
      <c r="C193" s="67" t="s">
        <v>1136</v>
      </c>
      <c r="D193" s="67" t="s">
        <v>1135</v>
      </c>
      <c r="E193" s="67" t="s">
        <v>1135</v>
      </c>
      <c r="F193" s="67" t="s">
        <v>1137</v>
      </c>
      <c r="G193" s="68" t="s">
        <v>49</v>
      </c>
      <c r="H193" s="106" t="s">
        <v>1205</v>
      </c>
      <c r="I193" s="70"/>
      <c r="J193" s="70"/>
      <c r="K193" s="114" t="s">
        <v>75</v>
      </c>
      <c r="L193" s="70"/>
      <c r="M193" s="70"/>
      <c r="N193" s="70"/>
      <c r="O193" s="67" t="s">
        <v>64</v>
      </c>
      <c r="P193" s="67"/>
      <c r="Q193" s="71"/>
      <c r="R193" s="72">
        <v>141310.95000000001</v>
      </c>
      <c r="S193" s="73">
        <v>132735.51</v>
      </c>
      <c r="T193" s="73">
        <v>141310.95000000001</v>
      </c>
      <c r="U193" s="71">
        <f>ERP_34[[#This Row],[LE2 Final Submission]]-ERP_34[[#This Row],[LE3 Final Submission]]</f>
        <v>-8575.4400000000023</v>
      </c>
      <c r="V193" s="74">
        <v>9654</v>
      </c>
      <c r="W193" s="75">
        <v>14825.74</v>
      </c>
      <c r="X193" s="75">
        <v>12851.77</v>
      </c>
      <c r="Y193" s="76">
        <f>12852-910</f>
        <v>11942</v>
      </c>
      <c r="Z193" s="76">
        <f>11628-910</f>
        <v>10718</v>
      </c>
      <c r="AA193" s="76">
        <f>10500-910</f>
        <v>9590</v>
      </c>
      <c r="AB193" s="76">
        <f>10500-910</f>
        <v>9590</v>
      </c>
      <c r="AC193" s="76">
        <f>11628-910</f>
        <v>10718</v>
      </c>
      <c r="AD193" s="76">
        <f>12000-910</f>
        <v>11090</v>
      </c>
      <c r="AE193" s="76">
        <f>12000-910</f>
        <v>11090</v>
      </c>
      <c r="AF193" s="76">
        <f>10500-910</f>
        <v>9590</v>
      </c>
      <c r="AG193" s="76">
        <f>11986-910</f>
        <v>11076</v>
      </c>
      <c r="AH193" s="174">
        <f t="shared" si="9"/>
        <v>132735.51</v>
      </c>
      <c r="AI193" s="127">
        <f>ERP_34[[#This Row],[2026 Working Total]]-ERP_34[[#This Row],[2026 LE0]]</f>
        <v>-8575.4400000000023</v>
      </c>
      <c r="AJ193" s="79"/>
      <c r="AK193" s="79"/>
      <c r="AL1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3" s="80"/>
      <c r="AN193" s="79">
        <f>ERP_34[[#This Row],[2026 Working Total to Budget/LE]]-ERP_34[[#This Row],[Giveback]]</f>
        <v>-8575.4400000000023</v>
      </c>
      <c r="AO193" s="81"/>
      <c r="AP193" s="81">
        <v>9654</v>
      </c>
      <c r="AQ193" s="81">
        <v>14825.74</v>
      </c>
      <c r="AR193" s="81">
        <v>12851.77</v>
      </c>
      <c r="AS193" s="81">
        <v>11942</v>
      </c>
      <c r="AT193" s="81">
        <v>10718</v>
      </c>
      <c r="AU193" s="81">
        <v>9590</v>
      </c>
      <c r="AV193" s="81">
        <v>9590</v>
      </c>
      <c r="AW193" s="81">
        <v>10718</v>
      </c>
      <c r="AX193" s="81">
        <v>11090</v>
      </c>
      <c r="AY193" s="81">
        <v>11090</v>
      </c>
      <c r="AZ193" s="81">
        <v>9590</v>
      </c>
      <c r="BA193" s="81">
        <v>11076</v>
      </c>
      <c r="BB193" s="81">
        <v>132735.51</v>
      </c>
      <c r="BC193" s="79">
        <v>9654</v>
      </c>
      <c r="BD193" s="79">
        <v>14825.74</v>
      </c>
      <c r="BE193" s="79">
        <v>12851.77</v>
      </c>
      <c r="BF193" s="79">
        <v>10870.45</v>
      </c>
      <c r="BG193" s="79">
        <v>11986</v>
      </c>
      <c r="BH193" s="79">
        <v>11986</v>
      </c>
      <c r="BI193" s="79">
        <v>11986</v>
      </c>
      <c r="BJ193" s="79">
        <v>11986</v>
      </c>
      <c r="BK193" s="79">
        <v>11986</v>
      </c>
      <c r="BL193" s="79">
        <v>11986</v>
      </c>
      <c r="BM193" s="79">
        <v>11986</v>
      </c>
      <c r="BN193" s="79">
        <v>11986</v>
      </c>
      <c r="BO193" s="79">
        <v>144089.96</v>
      </c>
    </row>
    <row r="194" spans="1:67">
      <c r="A194" s="66" t="s">
        <v>1208</v>
      </c>
      <c r="B194" s="66" t="str">
        <f>_xlfn.TEXTJOIN("_",,ERP_34[[#This Row],[LT Member -1*]],ERP_34[[#This Row],[Expense Category]],ERP_34[[#This Row],[Project Code*]])</f>
        <v>Dougherty, Chris_CONTRACTORS_IT-CTR0101-OG-US-00</v>
      </c>
      <c r="C194" s="67" t="s">
        <v>1136</v>
      </c>
      <c r="D194" s="67" t="s">
        <v>1135</v>
      </c>
      <c r="E194" s="67" t="s">
        <v>1135</v>
      </c>
      <c r="F194" s="67" t="s">
        <v>1137</v>
      </c>
      <c r="G194" s="68" t="s">
        <v>49</v>
      </c>
      <c r="H194" s="106" t="s">
        <v>1209</v>
      </c>
      <c r="I194" s="70"/>
      <c r="J194" s="70"/>
      <c r="K194" s="114" t="s">
        <v>77</v>
      </c>
      <c r="L194" s="70"/>
      <c r="M194" s="70"/>
      <c r="N194" s="70"/>
      <c r="O194" s="67" t="s">
        <v>25</v>
      </c>
      <c r="P194" s="67"/>
      <c r="Q194" s="71"/>
      <c r="R194" s="72">
        <v>97500</v>
      </c>
      <c r="S194" s="73">
        <v>90751.67</v>
      </c>
      <c r="T194" s="73">
        <v>97500</v>
      </c>
      <c r="U194" s="71">
        <f>ERP_34[[#This Row],[LE2 Final Submission]]-ERP_34[[#This Row],[LE3 Final Submission]]</f>
        <v>-6748.3300000000017</v>
      </c>
      <c r="V194" s="74">
        <v>10704.42</v>
      </c>
      <c r="W194" s="75">
        <v>11988.8</v>
      </c>
      <c r="X194" s="75">
        <v>9558.4500000000007</v>
      </c>
      <c r="Y194" s="76">
        <v>6000</v>
      </c>
      <c r="Z194" s="76">
        <v>6000</v>
      </c>
      <c r="AA194" s="76">
        <v>6000</v>
      </c>
      <c r="AB194" s="76">
        <v>6000</v>
      </c>
      <c r="AC194" s="76">
        <v>6000</v>
      </c>
      <c r="AD194" s="76">
        <v>6000</v>
      </c>
      <c r="AE194" s="76">
        <v>7500</v>
      </c>
      <c r="AF194" s="76">
        <v>7500</v>
      </c>
      <c r="AG194" s="76">
        <v>7500</v>
      </c>
      <c r="AH194" s="77">
        <f t="shared" si="9"/>
        <v>90751.67</v>
      </c>
      <c r="AI194" s="127">
        <f>ERP_34[[#This Row],[2026 Working Total]]-ERP_34[[#This Row],[2026 LE0]]</f>
        <v>-6748.3300000000017</v>
      </c>
      <c r="AJ194" s="79"/>
      <c r="AK194" s="79"/>
      <c r="AL19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4" s="80"/>
      <c r="AN194" s="79">
        <f>ERP_34[[#This Row],[2026 Working Total to Budget/LE]]-ERP_34[[#This Row],[Giveback]]</f>
        <v>-6748.3300000000017</v>
      </c>
      <c r="AO194" s="81"/>
      <c r="AP194" s="81">
        <v>10704.42</v>
      </c>
      <c r="AQ194" s="81">
        <v>11988.8</v>
      </c>
      <c r="AR194" s="81">
        <v>9558.4500000000007</v>
      </c>
      <c r="AS194" s="81">
        <v>6000</v>
      </c>
      <c r="AT194" s="81">
        <v>6000</v>
      </c>
      <c r="AU194" s="81">
        <v>6000</v>
      </c>
      <c r="AV194" s="81">
        <v>6000</v>
      </c>
      <c r="AW194" s="81">
        <v>6000</v>
      </c>
      <c r="AX194" s="81">
        <v>6000</v>
      </c>
      <c r="AY194" s="81">
        <v>7500</v>
      </c>
      <c r="AZ194" s="81">
        <v>7500</v>
      </c>
      <c r="BA194" s="81">
        <v>7500</v>
      </c>
      <c r="BB194" s="81">
        <v>90751.67</v>
      </c>
      <c r="BC194" s="79">
        <v>10704.42</v>
      </c>
      <c r="BD194" s="79">
        <v>11988.8</v>
      </c>
      <c r="BE194" s="79">
        <v>9558.4500000000007</v>
      </c>
      <c r="BF194" s="79">
        <v>8125</v>
      </c>
      <c r="BG194" s="79">
        <v>8125</v>
      </c>
      <c r="BH194" s="79">
        <v>8125</v>
      </c>
      <c r="BI194" s="79">
        <v>8125</v>
      </c>
      <c r="BJ194" s="79">
        <v>8125</v>
      </c>
      <c r="BK194" s="79">
        <v>8125</v>
      </c>
      <c r="BL194" s="79">
        <v>8125</v>
      </c>
      <c r="BM194" s="79">
        <v>8125</v>
      </c>
      <c r="BN194" s="79">
        <v>8125</v>
      </c>
      <c r="BO194" s="79">
        <v>105376.67</v>
      </c>
    </row>
    <row r="195" spans="1:67">
      <c r="A195" s="66" t="s">
        <v>1212</v>
      </c>
      <c r="B195" s="66" t="str">
        <f>_xlfn.TEXTJOIN("_",,ERP_34[[#This Row],[LT Member -1*]],ERP_34[[#This Row],[Expense Category]],ERP_34[[#This Row],[Project Code*]])</f>
        <v>Dougherty, Chris_CONTRACTORS_IT-CTR0102-OG-US-00</v>
      </c>
      <c r="C195" s="67" t="s">
        <v>1136</v>
      </c>
      <c r="D195" s="67" t="s">
        <v>1135</v>
      </c>
      <c r="E195" s="67" t="s">
        <v>1135</v>
      </c>
      <c r="F195" s="67" t="s">
        <v>1137</v>
      </c>
      <c r="G195" s="68" t="s">
        <v>49</v>
      </c>
      <c r="H195" s="106" t="s">
        <v>1213</v>
      </c>
      <c r="I195" s="70"/>
      <c r="J195" s="70"/>
      <c r="K195" s="114" t="s">
        <v>79</v>
      </c>
      <c r="L195" s="70"/>
      <c r="M195" s="70"/>
      <c r="N195" s="70"/>
      <c r="O195" s="67" t="s">
        <v>25</v>
      </c>
      <c r="P195" s="67"/>
      <c r="Q195" s="71"/>
      <c r="R195" s="72">
        <v>107910</v>
      </c>
      <c r="S195" s="73">
        <v>99679.13</v>
      </c>
      <c r="T195" s="73">
        <v>107910</v>
      </c>
      <c r="U195" s="71">
        <f>ERP_34[[#This Row],[LE2 Final Submission]]-ERP_34[[#This Row],[LE3 Final Submission]]</f>
        <v>-8230.8699999999953</v>
      </c>
      <c r="V195" s="74">
        <v>6841</v>
      </c>
      <c r="W195" s="75">
        <v>9759.2000000000007</v>
      </c>
      <c r="X195" s="75">
        <v>7478.93</v>
      </c>
      <c r="Y195" s="76">
        <v>8400</v>
      </c>
      <c r="Z195" s="76">
        <v>8400</v>
      </c>
      <c r="AA195" s="76">
        <v>8400</v>
      </c>
      <c r="AB195" s="76">
        <v>8400</v>
      </c>
      <c r="AC195" s="76">
        <v>8400</v>
      </c>
      <c r="AD195" s="76">
        <v>8400</v>
      </c>
      <c r="AE195" s="76">
        <v>8400</v>
      </c>
      <c r="AF195" s="76">
        <v>8400</v>
      </c>
      <c r="AG195" s="76">
        <v>8400</v>
      </c>
      <c r="AH195" s="77">
        <f t="shared" si="9"/>
        <v>99679.13</v>
      </c>
      <c r="AI195" s="127">
        <f>ERP_34[[#This Row],[2026 Working Total]]-ERP_34[[#This Row],[2026 LE0]]</f>
        <v>-8230.8699999999953</v>
      </c>
      <c r="AJ195" s="79"/>
      <c r="AK195" s="79"/>
      <c r="AL19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5" s="80"/>
      <c r="AN195" s="79">
        <f>ERP_34[[#This Row],[2026 Working Total to Budget/LE]]-ERP_34[[#This Row],[Giveback]]</f>
        <v>-8230.8699999999953</v>
      </c>
      <c r="AO195" s="81"/>
      <c r="AP195" s="81">
        <v>6841</v>
      </c>
      <c r="AQ195" s="81">
        <v>9759.2000000000007</v>
      </c>
      <c r="AR195" s="81">
        <v>7478.93</v>
      </c>
      <c r="AS195" s="81">
        <v>8400</v>
      </c>
      <c r="AT195" s="81">
        <v>8400</v>
      </c>
      <c r="AU195" s="81">
        <v>8400</v>
      </c>
      <c r="AV195" s="81">
        <v>8400</v>
      </c>
      <c r="AW195" s="81">
        <v>8400</v>
      </c>
      <c r="AX195" s="81">
        <v>8400</v>
      </c>
      <c r="AY195" s="81">
        <v>8400</v>
      </c>
      <c r="AZ195" s="81">
        <v>8400</v>
      </c>
      <c r="BA195" s="81">
        <v>8400</v>
      </c>
      <c r="BB195" s="81">
        <v>99679.13</v>
      </c>
      <c r="BC195" s="79">
        <v>6841</v>
      </c>
      <c r="BD195" s="79">
        <v>9759.2000000000007</v>
      </c>
      <c r="BE195" s="79">
        <v>7478.93</v>
      </c>
      <c r="BF195" s="79">
        <v>8992.5</v>
      </c>
      <c r="BG195" s="79">
        <v>8992.5</v>
      </c>
      <c r="BH195" s="79">
        <v>8992.5</v>
      </c>
      <c r="BI195" s="79">
        <v>8992.5</v>
      </c>
      <c r="BJ195" s="79">
        <v>8992.5</v>
      </c>
      <c r="BK195" s="79">
        <v>8992.5</v>
      </c>
      <c r="BL195" s="79">
        <v>8992.5</v>
      </c>
      <c r="BM195" s="79">
        <v>8992.5</v>
      </c>
      <c r="BN195" s="79">
        <v>8992.5</v>
      </c>
      <c r="BO195" s="79">
        <v>105011.63</v>
      </c>
    </row>
    <row r="196" spans="1:67">
      <c r="A196" s="66" t="s">
        <v>1215</v>
      </c>
      <c r="B196" s="66" t="str">
        <f>_xlfn.TEXTJOIN("_",,ERP_34[[#This Row],[LT Member -1*]],ERP_34[[#This Row],[Expense Category]],ERP_34[[#This Row],[Project Code*]])</f>
        <v>Dougherty, Chris_CONTRACTORS_IT-CTR0103-OG-US-00</v>
      </c>
      <c r="C196" s="67" t="s">
        <v>1136</v>
      </c>
      <c r="D196" s="67" t="s">
        <v>1135</v>
      </c>
      <c r="E196" s="67" t="s">
        <v>1135</v>
      </c>
      <c r="F196" s="67" t="s">
        <v>1137</v>
      </c>
      <c r="G196" s="68" t="s">
        <v>49</v>
      </c>
      <c r="H196" s="106" t="s">
        <v>1216</v>
      </c>
      <c r="I196" s="70"/>
      <c r="J196" s="70"/>
      <c r="K196" s="114" t="s">
        <v>81</v>
      </c>
      <c r="L196" s="70"/>
      <c r="M196" s="70"/>
      <c r="N196" s="70"/>
      <c r="O196" s="67" t="s">
        <v>25</v>
      </c>
      <c r="P196" s="67"/>
      <c r="Q196" s="71"/>
      <c r="R196" s="72">
        <v>87360</v>
      </c>
      <c r="S196" s="73">
        <v>83873.7</v>
      </c>
      <c r="T196" s="73">
        <v>87360</v>
      </c>
      <c r="U196" s="71">
        <f>ERP_34[[#This Row],[LE2 Final Submission]]-ERP_34[[#This Row],[LE3 Final Submission]]</f>
        <v>-3486.3000000000029</v>
      </c>
      <c r="V196" s="74">
        <v>11538</v>
      </c>
      <c r="W196" s="75">
        <v>8258.77</v>
      </c>
      <c r="X196" s="75">
        <v>1796.93</v>
      </c>
      <c r="Y196" s="76">
        <v>6000</v>
      </c>
      <c r="Z196" s="76">
        <v>7000</v>
      </c>
      <c r="AA196" s="76">
        <v>7000</v>
      </c>
      <c r="AB196" s="76">
        <v>7000</v>
      </c>
      <c r="AC196" s="76">
        <v>7000</v>
      </c>
      <c r="AD196" s="76">
        <v>7000</v>
      </c>
      <c r="AE196" s="76">
        <v>7000</v>
      </c>
      <c r="AF196" s="76">
        <v>7000</v>
      </c>
      <c r="AG196" s="76">
        <v>7280</v>
      </c>
      <c r="AH196" s="77">
        <f t="shared" si="9"/>
        <v>83873.7</v>
      </c>
      <c r="AI196" s="127">
        <f>ERP_34[[#This Row],[2026 Working Total]]-ERP_34[[#This Row],[2026 LE0]]</f>
        <v>-3486.3000000000029</v>
      </c>
      <c r="AJ196" s="79"/>
      <c r="AK196" s="79"/>
      <c r="AL1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6" s="80"/>
      <c r="AN196" s="79">
        <f>ERP_34[[#This Row],[2026 Working Total to Budget/LE]]-ERP_34[[#This Row],[Giveback]]</f>
        <v>-3486.3000000000029</v>
      </c>
      <c r="AO196" s="81"/>
      <c r="AP196" s="81">
        <v>11538</v>
      </c>
      <c r="AQ196" s="81">
        <v>8258.77</v>
      </c>
      <c r="AR196" s="81">
        <v>1796.93</v>
      </c>
      <c r="AS196" s="81">
        <v>6000</v>
      </c>
      <c r="AT196" s="81">
        <v>7000</v>
      </c>
      <c r="AU196" s="81">
        <v>7000</v>
      </c>
      <c r="AV196" s="81">
        <v>7000</v>
      </c>
      <c r="AW196" s="81">
        <v>7000</v>
      </c>
      <c r="AX196" s="81">
        <v>7000</v>
      </c>
      <c r="AY196" s="81">
        <v>7000</v>
      </c>
      <c r="AZ196" s="81">
        <v>7000</v>
      </c>
      <c r="BA196" s="81">
        <v>7280</v>
      </c>
      <c r="BB196" s="81">
        <v>83873.7</v>
      </c>
      <c r="BC196" s="79">
        <v>11538</v>
      </c>
      <c r="BD196" s="79">
        <v>8258.77</v>
      </c>
      <c r="BE196" s="79">
        <v>1796.93</v>
      </c>
      <c r="BF196" s="79">
        <v>7280</v>
      </c>
      <c r="BG196" s="79">
        <v>7280</v>
      </c>
      <c r="BH196" s="79">
        <v>7280</v>
      </c>
      <c r="BI196" s="79">
        <v>7280</v>
      </c>
      <c r="BJ196" s="79">
        <v>7280</v>
      </c>
      <c r="BK196" s="79">
        <v>7280</v>
      </c>
      <c r="BL196" s="79">
        <v>7280</v>
      </c>
      <c r="BM196" s="79">
        <v>7280</v>
      </c>
      <c r="BN196" s="79">
        <v>7280</v>
      </c>
      <c r="BO196" s="79">
        <v>87113.7</v>
      </c>
    </row>
    <row r="197" spans="1:67">
      <c r="A197" s="66" t="s">
        <v>1218</v>
      </c>
      <c r="B197" s="66" t="str">
        <f>_xlfn.TEXTJOIN("_",,ERP_34[[#This Row],[LT Member -1*]],ERP_34[[#This Row],[Expense Category]],ERP_34[[#This Row],[Project Code*]])</f>
        <v>Meadows, Leslie_CONTRACTORS_IT-CTR0105-OG-US-00</v>
      </c>
      <c r="C197" s="67" t="s">
        <v>1136</v>
      </c>
      <c r="D197" s="67" t="s">
        <v>1135</v>
      </c>
      <c r="E197" s="67" t="s">
        <v>1156</v>
      </c>
      <c r="F197" s="67" t="s">
        <v>1137</v>
      </c>
      <c r="G197" s="68" t="s">
        <v>49</v>
      </c>
      <c r="H197" s="106" t="s">
        <v>1220</v>
      </c>
      <c r="I197" s="70"/>
      <c r="J197" s="70"/>
      <c r="K197" s="114" t="s">
        <v>83</v>
      </c>
      <c r="L197" s="70"/>
      <c r="M197" s="70"/>
      <c r="N197" s="70"/>
      <c r="O197" s="67" t="s">
        <v>25</v>
      </c>
      <c r="P197" s="67"/>
      <c r="Q197" s="71"/>
      <c r="R197" s="72">
        <v>750</v>
      </c>
      <c r="S197" s="73">
        <v>0</v>
      </c>
      <c r="T197" s="73">
        <v>750</v>
      </c>
      <c r="U197" s="71">
        <f>ERP_34[[#This Row],[LE2 Final Submission]]-ERP_34[[#This Row],[LE3 Final Submission]]</f>
        <v>-750</v>
      </c>
      <c r="V197" s="74"/>
      <c r="W197" s="75"/>
      <c r="X197" s="75"/>
      <c r="Y197" s="76"/>
      <c r="Z197" s="76"/>
      <c r="AA197" s="76"/>
      <c r="AB197" s="76"/>
      <c r="AC197" s="76"/>
      <c r="AD197" s="76"/>
      <c r="AE197" s="76"/>
      <c r="AF197" s="76"/>
      <c r="AG197" s="76"/>
      <c r="AH197" s="77">
        <f t="shared" si="9"/>
        <v>0</v>
      </c>
      <c r="AI197" s="108">
        <f>ERP_34[[#This Row],[2026 Working Total]]-ERP_34[[#This Row],[2026 LE0]]</f>
        <v>-750</v>
      </c>
      <c r="AJ197" s="79"/>
      <c r="AK197" s="79"/>
      <c r="AL1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7" s="80">
        <v>-750</v>
      </c>
      <c r="AN197" s="79">
        <f>ERP_34[[#This Row],[2026 Working Total to Budget/LE]]-ERP_34[[#This Row],[Giveback]]</f>
        <v>0</v>
      </c>
      <c r="AO197" s="81" t="s">
        <v>1223</v>
      </c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>
        <v>0</v>
      </c>
      <c r="BC197" s="79"/>
      <c r="BD197" s="79"/>
      <c r="BE197" s="79"/>
      <c r="BF197" s="79">
        <v>62.5</v>
      </c>
      <c r="BG197" s="79">
        <v>62.5</v>
      </c>
      <c r="BH197" s="79">
        <v>62.5</v>
      </c>
      <c r="BI197" s="79">
        <v>62.5</v>
      </c>
      <c r="BJ197" s="79">
        <v>62.5</v>
      </c>
      <c r="BK197" s="79">
        <v>62.5</v>
      </c>
      <c r="BL197" s="79">
        <v>62.5</v>
      </c>
      <c r="BM197" s="79">
        <v>62.5</v>
      </c>
      <c r="BN197" s="79">
        <v>62.5</v>
      </c>
      <c r="BO197" s="79">
        <v>562.5</v>
      </c>
    </row>
    <row r="198" spans="1:67">
      <c r="A198" s="66" t="s">
        <v>1611</v>
      </c>
      <c r="B198" s="66" t="str">
        <f>_xlfn.TEXTJOIN("_",,ERP_34[[#This Row],[LT Member -1*]],ERP_34[[#This Row],[Expense Category]],ERP_34[[#This Row],[Project Code*]])</f>
        <v>McGettigan, David_CONTRACTORS_IT-CTR0124-OT-US-00</v>
      </c>
      <c r="C198" s="67" t="s">
        <v>1136</v>
      </c>
      <c r="D198" s="67" t="s">
        <v>1567</v>
      </c>
      <c r="E198" s="67" t="s">
        <v>1567</v>
      </c>
      <c r="F198" s="67" t="s">
        <v>1567</v>
      </c>
      <c r="G198" s="68" t="s">
        <v>49</v>
      </c>
      <c r="H198" s="69" t="s">
        <v>1613</v>
      </c>
      <c r="I198" s="70"/>
      <c r="J198" s="70"/>
      <c r="K198" s="157" t="s">
        <v>298</v>
      </c>
      <c r="L198" s="70"/>
      <c r="M198" s="70"/>
      <c r="N198" s="70"/>
      <c r="O198" s="160" t="s">
        <v>25</v>
      </c>
      <c r="P198" s="160"/>
      <c r="Q198" s="71"/>
      <c r="R198" s="161">
        <v>0</v>
      </c>
      <c r="S198" s="73">
        <v>50489.729999999996</v>
      </c>
      <c r="T198" s="73">
        <v>0</v>
      </c>
      <c r="U198" s="71">
        <f>ERP_34[[#This Row],[LE2 Final Submission]]-ERP_34[[#This Row],[LE3 Final Submission]]</f>
        <v>50489.729999999996</v>
      </c>
      <c r="V198" s="152"/>
      <c r="W198" s="153">
        <v>38877.699999999997</v>
      </c>
      <c r="X198" s="153">
        <v>11612.03</v>
      </c>
      <c r="Y198" s="142">
        <v>0</v>
      </c>
      <c r="Z198" s="109">
        <v>0</v>
      </c>
      <c r="AA198" s="109">
        <v>0</v>
      </c>
      <c r="AB198" s="142">
        <v>0</v>
      </c>
      <c r="AC198" s="142">
        <v>0</v>
      </c>
      <c r="AD198" s="142">
        <v>0</v>
      </c>
      <c r="AE198" s="142">
        <v>0</v>
      </c>
      <c r="AF198" s="142">
        <v>0</v>
      </c>
      <c r="AG198" s="142">
        <v>0</v>
      </c>
      <c r="AH198" s="142">
        <f t="shared" si="9"/>
        <v>50489.729999999996</v>
      </c>
      <c r="AI198" s="108">
        <f>ERP_34[[#This Row],[2026 Working Total]]-ERP_34[[#This Row],[2026 LE0]]</f>
        <v>50489.729999999996</v>
      </c>
      <c r="AJ198" s="79"/>
      <c r="AK198" s="79"/>
      <c r="AL198" s="79">
        <f>ERP_34[[#This Row],[AP01]]+ERP_34[[#This Row],[AP02]]+ERP_34[[#This Row],[AP03]]+ERP_34[[#This Row],[AP04]]-ERP_34[[#This Row],[AP01 LE2]]-ERP_34[[#This Row],[AP02 LE2]]-ERP_34[[#This Row],[AP03 LE2]]-ERP_34[[#This Row],[AP04 LE2]]</f>
        <v>-1.8189894035458565E-12</v>
      </c>
      <c r="AM198" s="80"/>
      <c r="AN198" s="79">
        <f>ERP_34[[#This Row],[2026 Working Total to Budget/LE]]-ERP_34[[#This Row],[Giveback]]</f>
        <v>50489.729999999996</v>
      </c>
      <c r="AO198" s="81"/>
      <c r="AP198" s="81"/>
      <c r="AQ198" s="81">
        <v>38877.699999999997</v>
      </c>
      <c r="AR198" s="81">
        <v>11612.03</v>
      </c>
      <c r="AS198" s="81">
        <v>0</v>
      </c>
      <c r="AT198" s="81">
        <v>0</v>
      </c>
      <c r="AU198" s="81">
        <v>0</v>
      </c>
      <c r="AV198" s="81">
        <v>0</v>
      </c>
      <c r="AW198" s="81">
        <v>0</v>
      </c>
      <c r="AX198" s="81">
        <v>0</v>
      </c>
      <c r="AY198" s="81">
        <v>0</v>
      </c>
      <c r="AZ198" s="81">
        <v>0</v>
      </c>
      <c r="BA198" s="81">
        <v>0</v>
      </c>
      <c r="BB198" s="81">
        <v>50489.729999999996</v>
      </c>
      <c r="BC198" s="79"/>
      <c r="BD198" s="79">
        <v>38877.699999999997</v>
      </c>
      <c r="BE198" s="79">
        <v>11612.03</v>
      </c>
      <c r="BF198" s="79">
        <v>0</v>
      </c>
      <c r="BG198" s="79">
        <v>0</v>
      </c>
      <c r="BH198" s="79">
        <v>0</v>
      </c>
      <c r="BI198" s="79">
        <v>0</v>
      </c>
      <c r="BJ198" s="79">
        <v>0</v>
      </c>
      <c r="BK198" s="79">
        <v>0</v>
      </c>
      <c r="BL198" s="79">
        <v>0</v>
      </c>
      <c r="BM198" s="79">
        <v>0</v>
      </c>
      <c r="BN198" s="79">
        <v>0</v>
      </c>
      <c r="BO198" s="79">
        <v>50489.729999999996</v>
      </c>
    </row>
    <row r="199" spans="1:67">
      <c r="A199" s="66" t="s">
        <v>1224</v>
      </c>
      <c r="B199" s="66" t="str">
        <f>_xlfn.TEXTJOIN("_",,ERP_34[[#This Row],[LT Member -1*]],ERP_34[[#This Row],[Expense Category]],ERP_34[[#This Row],[Project Code*]])</f>
        <v>McCormick, Pete_CONTRACTORS_IT-CTR0130-OG-US-00</v>
      </c>
      <c r="C199" s="67" t="s">
        <v>1136</v>
      </c>
      <c r="D199" s="67" t="s">
        <v>1135</v>
      </c>
      <c r="E199" s="67" t="s">
        <v>1145</v>
      </c>
      <c r="F199" s="67" t="s">
        <v>1137</v>
      </c>
      <c r="G199" s="68" t="s">
        <v>49</v>
      </c>
      <c r="H199" s="106" t="s">
        <v>1226</v>
      </c>
      <c r="I199" s="70"/>
      <c r="J199" s="70"/>
      <c r="K199" s="70" t="s">
        <v>85</v>
      </c>
      <c r="L199" s="70"/>
      <c r="M199" s="70"/>
      <c r="N199" s="70"/>
      <c r="O199" s="67" t="s">
        <v>25</v>
      </c>
      <c r="P199" s="67"/>
      <c r="Q199" s="71"/>
      <c r="R199" s="72">
        <v>357000</v>
      </c>
      <c r="S199" s="73">
        <v>356999.8</v>
      </c>
      <c r="T199" s="73">
        <v>357000</v>
      </c>
      <c r="U199" s="71">
        <f>ERP_34[[#This Row],[LE2 Final Submission]]-ERP_34[[#This Row],[LE3 Final Submission]]</f>
        <v>-0.20000000001164153</v>
      </c>
      <c r="V199" s="74">
        <v>24570</v>
      </c>
      <c r="W199" s="75">
        <v>27517.439999999999</v>
      </c>
      <c r="X199" s="75">
        <v>34397.360000000001</v>
      </c>
      <c r="Y199" s="76">
        <v>32515</v>
      </c>
      <c r="Z199" s="76">
        <v>29750</v>
      </c>
      <c r="AA199" s="76">
        <v>29750</v>
      </c>
      <c r="AB199" s="76">
        <v>29750</v>
      </c>
      <c r="AC199" s="76">
        <v>29750</v>
      </c>
      <c r="AD199" s="76">
        <v>29750</v>
      </c>
      <c r="AE199" s="76">
        <v>29750</v>
      </c>
      <c r="AF199" s="76">
        <v>29750</v>
      </c>
      <c r="AG199" s="76">
        <v>29750</v>
      </c>
      <c r="AH199" s="77">
        <f t="shared" si="9"/>
        <v>356999.8</v>
      </c>
      <c r="AI199" s="108">
        <f>ERP_34[[#This Row],[2026 Working Total]]-ERP_34[[#This Row],[2026 LE0]]</f>
        <v>-0.20000000001164153</v>
      </c>
      <c r="AJ199" s="79"/>
      <c r="AK199" s="79"/>
      <c r="AL19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199" s="80"/>
      <c r="AN199" s="79">
        <f>ERP_34[[#This Row],[2026 Working Total to Budget/LE]]-ERP_34[[#This Row],[Giveback]]</f>
        <v>-0.20000000001164153</v>
      </c>
      <c r="AO199" s="81"/>
      <c r="AP199" s="81">
        <v>24570</v>
      </c>
      <c r="AQ199" s="81">
        <v>27517.439999999999</v>
      </c>
      <c r="AR199" s="81">
        <v>34397.360000000001</v>
      </c>
      <c r="AS199" s="81">
        <v>32515</v>
      </c>
      <c r="AT199" s="81">
        <v>29750</v>
      </c>
      <c r="AU199" s="81">
        <v>29750</v>
      </c>
      <c r="AV199" s="81">
        <v>29750</v>
      </c>
      <c r="AW199" s="81">
        <v>29750</v>
      </c>
      <c r="AX199" s="81">
        <v>29750</v>
      </c>
      <c r="AY199" s="81">
        <v>29750</v>
      </c>
      <c r="AZ199" s="81">
        <v>29750</v>
      </c>
      <c r="BA199" s="81">
        <v>29750</v>
      </c>
      <c r="BB199" s="81">
        <v>356999.8</v>
      </c>
      <c r="BC199" s="79">
        <v>24570</v>
      </c>
      <c r="BD199" s="79">
        <v>27517.439999999999</v>
      </c>
      <c r="BE199" s="79">
        <v>34397.360000000001</v>
      </c>
      <c r="BF199" s="79">
        <v>37163</v>
      </c>
      <c r="BG199" s="79">
        <v>29750</v>
      </c>
      <c r="BH199" s="79">
        <v>29750</v>
      </c>
      <c r="BI199" s="79">
        <v>29750</v>
      </c>
      <c r="BJ199" s="79">
        <v>29750</v>
      </c>
      <c r="BK199" s="79">
        <v>29750</v>
      </c>
      <c r="BL199" s="79">
        <v>29750</v>
      </c>
      <c r="BM199" s="79">
        <v>29750</v>
      </c>
      <c r="BN199" s="79">
        <v>29750</v>
      </c>
      <c r="BO199" s="79">
        <v>361647.8</v>
      </c>
    </row>
    <row r="200" spans="1:67">
      <c r="A200" s="66" t="s">
        <v>1229</v>
      </c>
      <c r="B200" s="66" t="str">
        <f>_xlfn.TEXTJOIN("_",,ERP_34[[#This Row],[LT Member -1*]],ERP_34[[#This Row],[Expense Category]],ERP_34[[#This Row],[Project Code*]])</f>
        <v>Dougherty, Chris_CONTRACTORS_IT-CTR0132-OT-US-00</v>
      </c>
      <c r="C200" s="67" t="s">
        <v>1136</v>
      </c>
      <c r="D200" s="67" t="s">
        <v>1135</v>
      </c>
      <c r="E200" s="67" t="s">
        <v>1135</v>
      </c>
      <c r="F200" s="67" t="s">
        <v>1137</v>
      </c>
      <c r="G200" s="68" t="s">
        <v>49</v>
      </c>
      <c r="H200" s="106" t="s">
        <v>1230</v>
      </c>
      <c r="I200" s="70" t="s">
        <v>2964</v>
      </c>
      <c r="J200" s="70"/>
      <c r="K200" s="114" t="s">
        <v>87</v>
      </c>
      <c r="L200" s="70"/>
      <c r="M200" s="70" t="s">
        <v>1232</v>
      </c>
      <c r="N200" s="70"/>
      <c r="O200" s="67" t="s">
        <v>25</v>
      </c>
      <c r="P200" s="67" t="s">
        <v>1233</v>
      </c>
      <c r="Q200" s="71"/>
      <c r="R200" s="72">
        <v>1678341.6000000003</v>
      </c>
      <c r="S200" s="73">
        <v>1647348.3599999999</v>
      </c>
      <c r="T200" s="73">
        <v>1678341.6000000003</v>
      </c>
      <c r="U200" s="71">
        <f>ERP_34[[#This Row],[LE2 Final Submission]]-ERP_34[[#This Row],[LE3 Final Submission]]</f>
        <v>-30993.240000000456</v>
      </c>
      <c r="V200" s="74">
        <v>113142.14</v>
      </c>
      <c r="W200" s="75">
        <v>160853.85999999999</v>
      </c>
      <c r="X200" s="75">
        <v>137841.35999999999</v>
      </c>
      <c r="Y200" s="76">
        <f>136998-136998</f>
        <v>0</v>
      </c>
      <c r="Z200" s="76">
        <f>136998-136998+137279+137279</f>
        <v>274558</v>
      </c>
      <c r="AA200" s="175">
        <f>136998-136998+137279</f>
        <v>137279</v>
      </c>
      <c r="AB200" s="76">
        <f>136998-136998</f>
        <v>0</v>
      </c>
      <c r="AC200" s="76">
        <f>136998-136998+137279+137279</f>
        <v>274558</v>
      </c>
      <c r="AD200" s="76">
        <f>136998-136998+137279</f>
        <v>137279</v>
      </c>
      <c r="AE200" s="76">
        <f>136998-136998</f>
        <v>0</v>
      </c>
      <c r="AF200" s="76">
        <f>136998-136998+137279+137279</f>
        <v>274558</v>
      </c>
      <c r="AG200" s="76">
        <f>136998-136998+137279</f>
        <v>137279</v>
      </c>
      <c r="AH200" s="176">
        <f t="shared" si="9"/>
        <v>1647348.3599999999</v>
      </c>
      <c r="AI200" s="177">
        <f>ERP_34[[#This Row],[2026 Working Total]]-ERP_34[[#This Row],[2026 LE0]]</f>
        <v>-30993.240000000456</v>
      </c>
      <c r="AJ200" s="79"/>
      <c r="AK200" s="79"/>
      <c r="AL20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0" s="80"/>
      <c r="AN200" s="79">
        <f>ERP_34[[#This Row],[2026 Working Total to Budget/LE]]-ERP_34[[#This Row],[Giveback]]</f>
        <v>-30993.240000000456</v>
      </c>
      <c r="AO200" s="81" t="s">
        <v>1234</v>
      </c>
      <c r="AP200" s="81">
        <v>113142.14</v>
      </c>
      <c r="AQ200" s="81">
        <v>160853.85999999999</v>
      </c>
      <c r="AR200" s="81">
        <v>137841.35999999999</v>
      </c>
      <c r="AS200" s="81">
        <v>0</v>
      </c>
      <c r="AT200" s="81">
        <v>274558</v>
      </c>
      <c r="AU200" s="81">
        <v>137279</v>
      </c>
      <c r="AV200" s="81">
        <v>0</v>
      </c>
      <c r="AW200" s="81">
        <v>274558</v>
      </c>
      <c r="AX200" s="81">
        <v>137279</v>
      </c>
      <c r="AY200" s="81">
        <v>0</v>
      </c>
      <c r="AZ200" s="81">
        <v>274558</v>
      </c>
      <c r="BA200" s="81">
        <v>137279</v>
      </c>
      <c r="BB200" s="81">
        <v>1647348.3599999999</v>
      </c>
      <c r="BC200" s="79">
        <v>113142.14</v>
      </c>
      <c r="BD200" s="79">
        <v>160853.85999999999</v>
      </c>
      <c r="BE200" s="79">
        <v>137841.35999999999</v>
      </c>
      <c r="BF200" s="79">
        <v>136998</v>
      </c>
      <c r="BG200" s="79">
        <v>136998</v>
      </c>
      <c r="BH200" s="79">
        <v>136998</v>
      </c>
      <c r="BI200" s="79">
        <v>136998</v>
      </c>
      <c r="BJ200" s="79">
        <v>136998</v>
      </c>
      <c r="BK200" s="79">
        <v>136998</v>
      </c>
      <c r="BL200" s="79">
        <v>136998</v>
      </c>
      <c r="BM200" s="79">
        <v>136998</v>
      </c>
      <c r="BN200" s="79">
        <v>136998</v>
      </c>
      <c r="BO200" s="79">
        <v>1644819.3599999999</v>
      </c>
    </row>
    <row r="201" spans="1:67">
      <c r="A201" s="82" t="s">
        <v>1235</v>
      </c>
      <c r="B201" s="83" t="str">
        <f>_xlfn.TEXTJOIN("_",,ERP_34[[#This Row],[LT Member -1*]],ERP_34[[#This Row],[Expense Category]],ERP_34[[#This Row],[Project Code*]])</f>
        <v>Dougherty, Chris_CONTRACTORS_IT-CTR0132-OT-US-00/BDC</v>
      </c>
      <c r="C201" s="67" t="s">
        <v>2959</v>
      </c>
      <c r="D201" s="84" t="s">
        <v>1135</v>
      </c>
      <c r="E201" s="120" t="s">
        <v>1135</v>
      </c>
      <c r="F201" s="68" t="s">
        <v>1137</v>
      </c>
      <c r="G201" s="85" t="s">
        <v>49</v>
      </c>
      <c r="H201" s="121" t="s">
        <v>1236</v>
      </c>
      <c r="I201" s="67"/>
      <c r="J201" s="67"/>
      <c r="K201" s="140" t="s">
        <v>89</v>
      </c>
      <c r="L201" s="111"/>
      <c r="M201" s="70"/>
      <c r="N201" s="178"/>
      <c r="O201" s="122" t="s">
        <v>25</v>
      </c>
      <c r="P201" s="67"/>
      <c r="Q201" s="93"/>
      <c r="R201" s="179">
        <f>-213108+213108</f>
        <v>0</v>
      </c>
      <c r="S201" s="95">
        <v>0</v>
      </c>
      <c r="T201" s="112">
        <v>-213108</v>
      </c>
      <c r="U201" s="113">
        <f>ERP_34[[#This Row],[LE2 Final Submission]]-ERP_34[[#This Row],[LE3 Final Submission]]</f>
        <v>213108</v>
      </c>
      <c r="V201" s="98"/>
      <c r="W201" s="99"/>
      <c r="X201" s="99"/>
      <c r="Y201" s="100">
        <v>0</v>
      </c>
      <c r="Z201" s="100">
        <v>0</v>
      </c>
      <c r="AA201" s="100">
        <f>-213108+213108</f>
        <v>0</v>
      </c>
      <c r="AB201" s="100">
        <v>0</v>
      </c>
      <c r="AC201" s="100">
        <v>0</v>
      </c>
      <c r="AD201" s="100">
        <v>0</v>
      </c>
      <c r="AE201" s="100">
        <v>0</v>
      </c>
      <c r="AF201" s="100">
        <v>0</v>
      </c>
      <c r="AG201" s="125"/>
      <c r="AH201" s="101">
        <f t="shared" si="9"/>
        <v>0</v>
      </c>
      <c r="AI201" s="108">
        <f>ERP_34[[#This Row],[2026 Working Total]]-ERP_34[[#This Row],[2026 LE0]]</f>
        <v>0</v>
      </c>
      <c r="AJ201" s="79"/>
      <c r="AK201" s="79"/>
      <c r="AL20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1" s="80"/>
      <c r="AN201" s="79">
        <f>ERP_34[[#This Row],[2026 Working Total to Budget/LE]]-ERP_34[[#This Row],[Giveback]]</f>
        <v>0</v>
      </c>
      <c r="AO201" s="81"/>
      <c r="AP201" s="81"/>
      <c r="AQ201" s="81"/>
      <c r="AR201" s="81"/>
      <c r="AS201" s="81">
        <v>0</v>
      </c>
      <c r="AT201" s="81">
        <v>0</v>
      </c>
      <c r="AU201" s="81">
        <v>0</v>
      </c>
      <c r="AV201" s="81">
        <v>0</v>
      </c>
      <c r="AW201" s="81">
        <v>0</v>
      </c>
      <c r="AX201" s="81">
        <v>0</v>
      </c>
      <c r="AY201" s="81">
        <v>0</v>
      </c>
      <c r="AZ201" s="81">
        <v>0</v>
      </c>
      <c r="BA201" s="81"/>
      <c r="BB201" s="81">
        <v>0</v>
      </c>
      <c r="BC201" s="103">
        <v>0</v>
      </c>
      <c r="BD201" s="103">
        <v>0</v>
      </c>
      <c r="BE201" s="103">
        <v>0</v>
      </c>
      <c r="BF201" s="103">
        <v>0</v>
      </c>
      <c r="BG201" s="103">
        <v>0</v>
      </c>
      <c r="BH201" s="103">
        <v>-213108</v>
      </c>
      <c r="BI201" s="103">
        <v>0</v>
      </c>
      <c r="BJ201" s="103">
        <v>0</v>
      </c>
      <c r="BK201" s="103">
        <v>0</v>
      </c>
      <c r="BL201" s="103">
        <v>0</v>
      </c>
      <c r="BM201" s="103">
        <v>0</v>
      </c>
      <c r="BN201" s="103">
        <v>0</v>
      </c>
      <c r="BO201" s="82">
        <f>SUM(ERP_34[[#This Row],[2026 AP01]:[2026 AP12]])</f>
        <v>-213108</v>
      </c>
    </row>
    <row r="202" spans="1:67">
      <c r="A202" s="82" t="s">
        <v>1237</v>
      </c>
      <c r="B202" s="83" t="str">
        <f>_xlfn.TEXTJOIN("_",,ERP_34[[#This Row],[LT Member -1*]],ERP_34[[#This Row],[Expense Category]],ERP_34[[#This Row],[Project Code*]])</f>
        <v>Dougherty, Chris_CONTRACTORS_IT-CTR0132-OT-US-00/Colalborate 360</v>
      </c>
      <c r="C202" s="67" t="s">
        <v>2959</v>
      </c>
      <c r="D202" s="84" t="s">
        <v>1135</v>
      </c>
      <c r="E202" s="120" t="s">
        <v>1135</v>
      </c>
      <c r="F202" s="68" t="s">
        <v>1137</v>
      </c>
      <c r="G202" s="85" t="s">
        <v>49</v>
      </c>
      <c r="H202" s="121" t="s">
        <v>1238</v>
      </c>
      <c r="I202" s="67"/>
      <c r="J202" s="67"/>
      <c r="K202" s="140" t="s">
        <v>91</v>
      </c>
      <c r="L202" s="111"/>
      <c r="M202" s="70"/>
      <c r="N202" s="178"/>
      <c r="O202" s="122" t="s">
        <v>25</v>
      </c>
      <c r="P202" s="67"/>
      <c r="Q202" s="93"/>
      <c r="R202" s="179">
        <f>76110+-76110</f>
        <v>0</v>
      </c>
      <c r="S202" s="95">
        <v>0</v>
      </c>
      <c r="T202" s="112">
        <v>-76110</v>
      </c>
      <c r="U202" s="113">
        <f>ERP_34[[#This Row],[LE2 Final Submission]]-ERP_34[[#This Row],[LE3 Final Submission]]</f>
        <v>76110</v>
      </c>
      <c r="V202" s="98"/>
      <c r="W202" s="99"/>
      <c r="X202" s="99"/>
      <c r="Y202" s="100">
        <v>0</v>
      </c>
      <c r="Z202" s="100">
        <v>0</v>
      </c>
      <c r="AA202" s="100">
        <f>-76110+76110</f>
        <v>0</v>
      </c>
      <c r="AB202" s="100">
        <v>0</v>
      </c>
      <c r="AC202" s="100">
        <v>0</v>
      </c>
      <c r="AD202" s="100">
        <v>0</v>
      </c>
      <c r="AE202" s="100">
        <v>0</v>
      </c>
      <c r="AF202" s="100">
        <v>0</v>
      </c>
      <c r="AG202" s="125"/>
      <c r="AH202" s="101">
        <f t="shared" si="9"/>
        <v>0</v>
      </c>
      <c r="AI202" s="108">
        <f>ERP_34[[#This Row],[2026 Working Total]]-ERP_34[[#This Row],[2026 LE0]]</f>
        <v>0</v>
      </c>
      <c r="AJ202" s="79"/>
      <c r="AK202" s="79"/>
      <c r="AL2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2" s="80"/>
      <c r="AN202" s="79">
        <f>ERP_34[[#This Row],[2026 Working Total to Budget/LE]]-ERP_34[[#This Row],[Giveback]]</f>
        <v>0</v>
      </c>
      <c r="AO202" s="81"/>
      <c r="AP202" s="81"/>
      <c r="AQ202" s="81"/>
      <c r="AR202" s="81"/>
      <c r="AS202" s="81">
        <v>0</v>
      </c>
      <c r="AT202" s="81">
        <v>0</v>
      </c>
      <c r="AU202" s="81">
        <v>0</v>
      </c>
      <c r="AV202" s="81">
        <v>0</v>
      </c>
      <c r="AW202" s="81">
        <v>0</v>
      </c>
      <c r="AX202" s="81">
        <v>0</v>
      </c>
      <c r="AY202" s="81">
        <v>0</v>
      </c>
      <c r="AZ202" s="81">
        <v>0</v>
      </c>
      <c r="BA202" s="81"/>
      <c r="BB202" s="81">
        <v>0</v>
      </c>
      <c r="BC202" s="103">
        <v>0</v>
      </c>
      <c r="BD202" s="103">
        <v>0</v>
      </c>
      <c r="BE202" s="103">
        <v>0</v>
      </c>
      <c r="BF202" s="103">
        <v>0</v>
      </c>
      <c r="BG202" s="103">
        <v>0</v>
      </c>
      <c r="BH202" s="103">
        <v>-76110</v>
      </c>
      <c r="BI202" s="103">
        <v>0</v>
      </c>
      <c r="BJ202" s="103">
        <v>0</v>
      </c>
      <c r="BK202" s="103">
        <v>0</v>
      </c>
      <c r="BL202" s="103">
        <v>0</v>
      </c>
      <c r="BM202" s="103">
        <v>0</v>
      </c>
      <c r="BN202" s="103">
        <v>0</v>
      </c>
      <c r="BO202" s="82">
        <f>SUM(ERP_34[[#This Row],[2026 AP01]:[2026 AP12]])</f>
        <v>-76110</v>
      </c>
    </row>
    <row r="203" spans="1:67">
      <c r="A203" s="82" t="s">
        <v>1239</v>
      </c>
      <c r="B203" s="83" t="str">
        <f>_xlfn.TEXTJOIN("_",,ERP_34[[#This Row],[LT Member -1*]],ERP_34[[#This Row],[Expense Category]],ERP_34[[#This Row],[Project Code*]])</f>
        <v>Dougherty, Chris_CONTRACTORS_IT-CTR0132-OT-US-00/iERP</v>
      </c>
      <c r="C203" s="67" t="s">
        <v>2959</v>
      </c>
      <c r="D203" s="84" t="s">
        <v>1135</v>
      </c>
      <c r="E203" s="120" t="s">
        <v>1135</v>
      </c>
      <c r="F203" s="68" t="s">
        <v>1137</v>
      </c>
      <c r="G203" s="85" t="s">
        <v>49</v>
      </c>
      <c r="H203" s="121" t="s">
        <v>1240</v>
      </c>
      <c r="I203" s="67"/>
      <c r="J203" s="67"/>
      <c r="K203" s="140" t="s">
        <v>93</v>
      </c>
      <c r="L203" s="111"/>
      <c r="M203" s="70"/>
      <c r="N203" s="178"/>
      <c r="O203" s="122" t="s">
        <v>25</v>
      </c>
      <c r="P203" s="67"/>
      <c r="Q203" s="93"/>
      <c r="R203" s="179">
        <f>-91332+91332</f>
        <v>0</v>
      </c>
      <c r="S203" s="95">
        <v>0</v>
      </c>
      <c r="T203" s="112">
        <v>-91332</v>
      </c>
      <c r="U203" s="113">
        <f>ERP_34[[#This Row],[LE2 Final Submission]]-ERP_34[[#This Row],[LE3 Final Submission]]</f>
        <v>91332</v>
      </c>
      <c r="V203" s="98"/>
      <c r="W203" s="99"/>
      <c r="X203" s="99"/>
      <c r="Y203" s="100">
        <v>0</v>
      </c>
      <c r="Z203" s="100">
        <v>0</v>
      </c>
      <c r="AA203" s="100">
        <f>-91332+91332</f>
        <v>0</v>
      </c>
      <c r="AB203" s="100">
        <v>0</v>
      </c>
      <c r="AC203" s="100">
        <v>0</v>
      </c>
      <c r="AD203" s="100">
        <v>0</v>
      </c>
      <c r="AE203" s="100">
        <v>0</v>
      </c>
      <c r="AF203" s="100">
        <v>0</v>
      </c>
      <c r="AG203" s="125"/>
      <c r="AH203" s="101">
        <f t="shared" si="9"/>
        <v>0</v>
      </c>
      <c r="AI203" s="108">
        <f>ERP_34[[#This Row],[2026 Working Total]]-ERP_34[[#This Row],[2026 LE0]]</f>
        <v>0</v>
      </c>
      <c r="AJ203" s="79"/>
      <c r="AK203" s="79"/>
      <c r="AL20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3" s="80"/>
      <c r="AN203" s="79">
        <f>ERP_34[[#This Row],[2026 Working Total to Budget/LE]]-ERP_34[[#This Row],[Giveback]]</f>
        <v>0</v>
      </c>
      <c r="AO203" s="81"/>
      <c r="AP203" s="81"/>
      <c r="AQ203" s="81"/>
      <c r="AR203" s="81"/>
      <c r="AS203" s="81">
        <v>0</v>
      </c>
      <c r="AT203" s="81">
        <v>0</v>
      </c>
      <c r="AU203" s="81">
        <v>0</v>
      </c>
      <c r="AV203" s="81">
        <v>0</v>
      </c>
      <c r="AW203" s="81">
        <v>0</v>
      </c>
      <c r="AX203" s="81">
        <v>0</v>
      </c>
      <c r="AY203" s="81">
        <v>0</v>
      </c>
      <c r="AZ203" s="81">
        <v>0</v>
      </c>
      <c r="BA203" s="81"/>
      <c r="BB203" s="81">
        <v>0</v>
      </c>
      <c r="BC203" s="103">
        <v>0</v>
      </c>
      <c r="BD203" s="103">
        <v>0</v>
      </c>
      <c r="BE203" s="103">
        <v>0</v>
      </c>
      <c r="BF203" s="103">
        <v>0</v>
      </c>
      <c r="BG203" s="103">
        <v>0</v>
      </c>
      <c r="BH203" s="103">
        <v>-91332</v>
      </c>
      <c r="BI203" s="103">
        <v>0</v>
      </c>
      <c r="BJ203" s="103">
        <v>0</v>
      </c>
      <c r="BK203" s="103">
        <v>0</v>
      </c>
      <c r="BL203" s="103">
        <v>0</v>
      </c>
      <c r="BM203" s="103">
        <v>0</v>
      </c>
      <c r="BN203" s="103">
        <v>0</v>
      </c>
      <c r="BO203" s="82">
        <f>SUM(ERP_34[[#This Row],[2026 AP01]:[2026 AP12]])</f>
        <v>-91332</v>
      </c>
    </row>
    <row r="204" spans="1:67">
      <c r="A204" s="82" t="s">
        <v>1241</v>
      </c>
      <c r="B204" s="83" t="str">
        <f>_xlfn.TEXTJOIN("_",,ERP_34[[#This Row],[LT Member -1*]],ERP_34[[#This Row],[Expense Category]],ERP_34[[#This Row],[Project Code*]])</f>
        <v>Dougherty, Chris_CONTRACTORS_IT-CTR0132-OT-US-00/S4 Innovation</v>
      </c>
      <c r="C204" s="67" t="s">
        <v>2959</v>
      </c>
      <c r="D204" s="84" t="s">
        <v>1135</v>
      </c>
      <c r="E204" s="120" t="s">
        <v>1135</v>
      </c>
      <c r="F204" s="68" t="s">
        <v>1137</v>
      </c>
      <c r="G204" s="85" t="s">
        <v>49</v>
      </c>
      <c r="H204" s="121" t="s">
        <v>1242</v>
      </c>
      <c r="I204" s="67"/>
      <c r="J204" s="67"/>
      <c r="K204" s="140" t="s">
        <v>95</v>
      </c>
      <c r="L204" s="111"/>
      <c r="M204" s="70"/>
      <c r="N204" s="178"/>
      <c r="O204" s="122" t="s">
        <v>25</v>
      </c>
      <c r="P204" s="67"/>
      <c r="Q204" s="93"/>
      <c r="R204" s="179">
        <f>-76110+76110</f>
        <v>0</v>
      </c>
      <c r="S204" s="95">
        <v>0</v>
      </c>
      <c r="T204" s="112">
        <v>-76110</v>
      </c>
      <c r="U204" s="113">
        <f>ERP_34[[#This Row],[LE2 Final Submission]]-ERP_34[[#This Row],[LE3 Final Submission]]</f>
        <v>76110</v>
      </c>
      <c r="V204" s="98"/>
      <c r="W204" s="99"/>
      <c r="X204" s="99"/>
      <c r="Y204" s="100">
        <v>0</v>
      </c>
      <c r="Z204" s="100">
        <v>0</v>
      </c>
      <c r="AA204" s="100">
        <f>-76110+76110</f>
        <v>0</v>
      </c>
      <c r="AB204" s="100">
        <v>0</v>
      </c>
      <c r="AC204" s="100">
        <v>0</v>
      </c>
      <c r="AD204" s="100">
        <v>0</v>
      </c>
      <c r="AE204" s="100">
        <v>0</v>
      </c>
      <c r="AF204" s="100">
        <v>0</v>
      </c>
      <c r="AG204" s="125"/>
      <c r="AH204" s="101">
        <f t="shared" ref="AH204:AH267" si="11">SUM(V204:AG204)</f>
        <v>0</v>
      </c>
      <c r="AI204" s="108">
        <f>ERP_34[[#This Row],[2026 Working Total]]-ERP_34[[#This Row],[2026 LE0]]</f>
        <v>0</v>
      </c>
      <c r="AJ204" s="79"/>
      <c r="AK204" s="79"/>
      <c r="AL20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4" s="80"/>
      <c r="AN204" s="79">
        <f>ERP_34[[#This Row],[2026 Working Total to Budget/LE]]-ERP_34[[#This Row],[Giveback]]</f>
        <v>0</v>
      </c>
      <c r="AO204" s="81"/>
      <c r="AP204" s="81"/>
      <c r="AQ204" s="81"/>
      <c r="AR204" s="81"/>
      <c r="AS204" s="81">
        <v>0</v>
      </c>
      <c r="AT204" s="81">
        <v>0</v>
      </c>
      <c r="AU204" s="81">
        <v>0</v>
      </c>
      <c r="AV204" s="81">
        <v>0</v>
      </c>
      <c r="AW204" s="81">
        <v>0</v>
      </c>
      <c r="AX204" s="81">
        <v>0</v>
      </c>
      <c r="AY204" s="81">
        <v>0</v>
      </c>
      <c r="AZ204" s="81">
        <v>0</v>
      </c>
      <c r="BA204" s="81"/>
      <c r="BB204" s="81">
        <v>0</v>
      </c>
      <c r="BC204" s="103">
        <v>0</v>
      </c>
      <c r="BD204" s="103">
        <v>0</v>
      </c>
      <c r="BE204" s="103">
        <v>0</v>
      </c>
      <c r="BF204" s="103">
        <v>0</v>
      </c>
      <c r="BG204" s="103">
        <v>0</v>
      </c>
      <c r="BH204" s="103">
        <v>-76110</v>
      </c>
      <c r="BI204" s="103">
        <v>0</v>
      </c>
      <c r="BJ204" s="103">
        <v>0</v>
      </c>
      <c r="BK204" s="103">
        <v>0</v>
      </c>
      <c r="BL204" s="103">
        <v>0</v>
      </c>
      <c r="BM204" s="103">
        <v>0</v>
      </c>
      <c r="BN204" s="103">
        <v>0</v>
      </c>
      <c r="BO204" s="82">
        <f>SUM(ERP_34[[#This Row],[2026 AP01]:[2026 AP12]])</f>
        <v>-76110</v>
      </c>
    </row>
    <row r="205" spans="1:67">
      <c r="A205" s="66" t="s">
        <v>1243</v>
      </c>
      <c r="B205" s="66" t="str">
        <f>_xlfn.TEXTJOIN("_",,ERP_34[[#This Row],[LT Member -1*]],ERP_34[[#This Row],[Expense Category]],ERP_34[[#This Row],[Project Code*]])</f>
        <v>Dougherty, Chris_CONTRACTORS_IT-CTR0132-OT-US-01</v>
      </c>
      <c r="C205" s="67" t="s">
        <v>1136</v>
      </c>
      <c r="D205" s="67" t="s">
        <v>1135</v>
      </c>
      <c r="E205" s="67" t="s">
        <v>1135</v>
      </c>
      <c r="F205" s="67" t="s">
        <v>1137</v>
      </c>
      <c r="G205" s="68" t="s">
        <v>49</v>
      </c>
      <c r="H205" s="106" t="s">
        <v>1238</v>
      </c>
      <c r="I205" s="70"/>
      <c r="J205" s="70"/>
      <c r="K205" s="70" t="s">
        <v>97</v>
      </c>
      <c r="L205" s="70"/>
      <c r="M205" s="70"/>
      <c r="N205" s="70"/>
      <c r="O205" s="67" t="s">
        <v>25</v>
      </c>
      <c r="P205" s="67" t="s">
        <v>2965</v>
      </c>
      <c r="Q205" s="180"/>
      <c r="R205" s="72">
        <v>0</v>
      </c>
      <c r="S205" s="73">
        <v>-76110</v>
      </c>
      <c r="T205" s="73">
        <v>0</v>
      </c>
      <c r="U205" s="181">
        <f>ERP_34[[#This Row],[LE2 Final Submission]]-ERP_34[[#This Row],[LE3 Final Submission]]</f>
        <v>-76110</v>
      </c>
      <c r="V205" s="74"/>
      <c r="W205" s="75"/>
      <c r="X205" s="75"/>
      <c r="Y205" s="76"/>
      <c r="Z205" s="76"/>
      <c r="AA205" s="76">
        <v>-76110</v>
      </c>
      <c r="AB205" s="109">
        <v>0</v>
      </c>
      <c r="AC205" s="109">
        <v>0</v>
      </c>
      <c r="AD205" s="109">
        <v>0</v>
      </c>
      <c r="AE205" s="109">
        <v>0</v>
      </c>
      <c r="AF205" s="109">
        <v>0</v>
      </c>
      <c r="AG205" s="109">
        <v>0</v>
      </c>
      <c r="AH205" s="156">
        <f t="shared" si="11"/>
        <v>-76110</v>
      </c>
      <c r="AI205" s="127">
        <f>ERP_34[[#This Row],[2026 Working Total]]-ERP_34[[#This Row],[2026 LE0]]</f>
        <v>-76110</v>
      </c>
      <c r="AJ205" s="79"/>
      <c r="AK205" s="79"/>
      <c r="AL20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5" s="80"/>
      <c r="AN205" s="79">
        <f>ERP_34[[#This Row],[2026 Working Total to Budget/LE]]-ERP_34[[#This Row],[Giveback]]</f>
        <v>-76110</v>
      </c>
      <c r="AO205" s="81"/>
      <c r="AP205" s="81"/>
      <c r="AQ205" s="81"/>
      <c r="AR205" s="81"/>
      <c r="AS205" s="81"/>
      <c r="AT205" s="81"/>
      <c r="AU205" s="81">
        <v>-76110</v>
      </c>
      <c r="AV205" s="81">
        <v>0</v>
      </c>
      <c r="AW205" s="81">
        <v>0</v>
      </c>
      <c r="AX205" s="81">
        <v>0</v>
      </c>
      <c r="AY205" s="81">
        <v>0</v>
      </c>
      <c r="AZ205" s="81">
        <v>0</v>
      </c>
      <c r="BA205" s="81">
        <v>0</v>
      </c>
      <c r="BB205" s="81">
        <v>-76110</v>
      </c>
      <c r="BC205" s="79"/>
      <c r="BD205" s="79"/>
      <c r="BE205" s="79"/>
      <c r="BF205" s="79"/>
      <c r="BG205" s="79"/>
      <c r="BH205" s="79">
        <v>-76110</v>
      </c>
      <c r="BI205" s="79">
        <v>0</v>
      </c>
      <c r="BJ205" s="79">
        <v>0</v>
      </c>
      <c r="BK205" s="79">
        <v>0</v>
      </c>
      <c r="BL205" s="79">
        <v>0</v>
      </c>
      <c r="BM205" s="79">
        <v>0</v>
      </c>
      <c r="BN205" s="79">
        <v>0</v>
      </c>
      <c r="BO205" s="79">
        <v>-76110</v>
      </c>
    </row>
    <row r="206" spans="1:67">
      <c r="A206" s="66" t="s">
        <v>1245</v>
      </c>
      <c r="B206" s="66" t="str">
        <f>_xlfn.TEXTJOIN("_",,ERP_34[[#This Row],[LT Member -1*]],ERP_34[[#This Row],[Expense Category]],ERP_34[[#This Row],[Project Code*]])</f>
        <v>Dougherty, Chris_CONTRACTORS_IT-CTR0132-OT-US-02</v>
      </c>
      <c r="C206" s="67" t="s">
        <v>1136</v>
      </c>
      <c r="D206" s="67" t="s">
        <v>1135</v>
      </c>
      <c r="E206" s="67" t="s">
        <v>1135</v>
      </c>
      <c r="F206" s="67" t="s">
        <v>1137</v>
      </c>
      <c r="G206" s="68" t="s">
        <v>49</v>
      </c>
      <c r="H206" s="106" t="s">
        <v>1242</v>
      </c>
      <c r="I206" s="70"/>
      <c r="J206" s="70"/>
      <c r="K206" s="70" t="s">
        <v>99</v>
      </c>
      <c r="L206" s="70"/>
      <c r="M206" s="70"/>
      <c r="N206" s="70"/>
      <c r="O206" s="67" t="s">
        <v>25</v>
      </c>
      <c r="P206" s="67" t="s">
        <v>2965</v>
      </c>
      <c r="Q206" s="180"/>
      <c r="R206" s="72">
        <v>0</v>
      </c>
      <c r="S206" s="73">
        <v>-136110</v>
      </c>
      <c r="T206" s="73">
        <v>0</v>
      </c>
      <c r="U206" s="181">
        <f>ERP_34[[#This Row],[LE2 Final Submission]]-ERP_34[[#This Row],[LE3 Final Submission]]</f>
        <v>-136110</v>
      </c>
      <c r="V206" s="74"/>
      <c r="W206" s="75"/>
      <c r="X206" s="75">
        <v>-60000</v>
      </c>
      <c r="Y206" s="109">
        <v>0</v>
      </c>
      <c r="Z206" s="109">
        <v>0</v>
      </c>
      <c r="AA206" s="76">
        <v>-76110</v>
      </c>
      <c r="AB206" s="109">
        <v>0</v>
      </c>
      <c r="AC206" s="109">
        <v>0</v>
      </c>
      <c r="AD206" s="109">
        <v>0</v>
      </c>
      <c r="AE206" s="109">
        <v>0</v>
      </c>
      <c r="AF206" s="109">
        <v>0</v>
      </c>
      <c r="AG206" s="109">
        <v>0</v>
      </c>
      <c r="AH206" s="156">
        <f t="shared" si="11"/>
        <v>-136110</v>
      </c>
      <c r="AI206" s="127">
        <f>ERP_34[[#This Row],[2026 Working Total]]-ERP_34[[#This Row],[2026 LE0]]</f>
        <v>-136110</v>
      </c>
      <c r="AJ206" s="79"/>
      <c r="AK206" s="79"/>
      <c r="AL20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6" s="80"/>
      <c r="AN206" s="79">
        <f>ERP_34[[#This Row],[2026 Working Total to Budget/LE]]-ERP_34[[#This Row],[Giveback]]</f>
        <v>-136110</v>
      </c>
      <c r="AO206" s="81"/>
      <c r="AP206" s="81"/>
      <c r="AQ206" s="81"/>
      <c r="AR206" s="81">
        <v>-60000</v>
      </c>
      <c r="AS206" s="81">
        <v>0</v>
      </c>
      <c r="AT206" s="81">
        <v>0</v>
      </c>
      <c r="AU206" s="81">
        <v>-76110</v>
      </c>
      <c r="AV206" s="81">
        <v>0</v>
      </c>
      <c r="AW206" s="81">
        <v>0</v>
      </c>
      <c r="AX206" s="81">
        <v>0</v>
      </c>
      <c r="AY206" s="81">
        <v>0</v>
      </c>
      <c r="AZ206" s="81">
        <v>0</v>
      </c>
      <c r="BA206" s="81">
        <v>0</v>
      </c>
      <c r="BB206" s="81">
        <v>-136110</v>
      </c>
      <c r="BC206" s="79"/>
      <c r="BD206" s="79"/>
      <c r="BE206" s="79">
        <v>-60000</v>
      </c>
      <c r="BF206" s="79">
        <v>0</v>
      </c>
      <c r="BG206" s="79">
        <v>0</v>
      </c>
      <c r="BH206" s="79">
        <v>-76110</v>
      </c>
      <c r="BI206" s="79">
        <v>0</v>
      </c>
      <c r="BJ206" s="79">
        <v>0</v>
      </c>
      <c r="BK206" s="79">
        <v>0</v>
      </c>
      <c r="BL206" s="79">
        <v>0</v>
      </c>
      <c r="BM206" s="79">
        <v>0</v>
      </c>
      <c r="BN206" s="79">
        <v>0</v>
      </c>
      <c r="BO206" s="79">
        <v>-136110</v>
      </c>
    </row>
    <row r="207" spans="1:67">
      <c r="A207" s="66" t="s">
        <v>1246</v>
      </c>
      <c r="B207" s="66" t="str">
        <f>_xlfn.TEXTJOIN("_",,ERP_34[[#This Row],[LT Member -1*]],ERP_34[[#This Row],[Expense Category]],ERP_34[[#This Row],[Project Code*]])</f>
        <v>Dougherty, Chris_CONTRACTORS_IT-CTR0132-OT-US-03</v>
      </c>
      <c r="C207" s="67" t="s">
        <v>1136</v>
      </c>
      <c r="D207" s="67" t="s">
        <v>1135</v>
      </c>
      <c r="E207" s="67" t="s">
        <v>1135</v>
      </c>
      <c r="F207" s="67" t="s">
        <v>1137</v>
      </c>
      <c r="G207" s="68" t="s">
        <v>49</v>
      </c>
      <c r="H207" s="106" t="s">
        <v>1240</v>
      </c>
      <c r="I207" s="70"/>
      <c r="J207" s="70"/>
      <c r="K207" s="70" t="s">
        <v>101</v>
      </c>
      <c r="L207" s="70"/>
      <c r="M207" s="70"/>
      <c r="N207" s="70"/>
      <c r="O207" s="67" t="s">
        <v>25</v>
      </c>
      <c r="P207" s="67" t="s">
        <v>2965</v>
      </c>
      <c r="Q207" s="180"/>
      <c r="R207" s="72">
        <v>0</v>
      </c>
      <c r="S207" s="73">
        <v>-91332</v>
      </c>
      <c r="T207" s="73">
        <v>0</v>
      </c>
      <c r="U207" s="181">
        <f>ERP_34[[#This Row],[LE2 Final Submission]]-ERP_34[[#This Row],[LE3 Final Submission]]</f>
        <v>-91332</v>
      </c>
      <c r="V207" s="74"/>
      <c r="W207" s="75"/>
      <c r="X207" s="75"/>
      <c r="Y207" s="76"/>
      <c r="Z207" s="76"/>
      <c r="AA207" s="76">
        <v>-91332</v>
      </c>
      <c r="AB207" s="109">
        <v>0</v>
      </c>
      <c r="AC207" s="109">
        <v>0</v>
      </c>
      <c r="AD207" s="109">
        <v>0</v>
      </c>
      <c r="AE207" s="109">
        <v>0</v>
      </c>
      <c r="AF207" s="109">
        <v>0</v>
      </c>
      <c r="AG207" s="109">
        <v>0</v>
      </c>
      <c r="AH207" s="156">
        <f t="shared" si="11"/>
        <v>-91332</v>
      </c>
      <c r="AI207" s="127">
        <f>ERP_34[[#This Row],[2026 Working Total]]-ERP_34[[#This Row],[2026 LE0]]</f>
        <v>-91332</v>
      </c>
      <c r="AJ207" s="79"/>
      <c r="AK207" s="79"/>
      <c r="AL2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7" s="80"/>
      <c r="AN207" s="79">
        <f>ERP_34[[#This Row],[2026 Working Total to Budget/LE]]-ERP_34[[#This Row],[Giveback]]</f>
        <v>-91332</v>
      </c>
      <c r="AO207" s="81"/>
      <c r="AP207" s="81"/>
      <c r="AQ207" s="81"/>
      <c r="AR207" s="81"/>
      <c r="AS207" s="81"/>
      <c r="AT207" s="81"/>
      <c r="AU207" s="81">
        <v>-91332</v>
      </c>
      <c r="AV207" s="81">
        <v>0</v>
      </c>
      <c r="AW207" s="81">
        <v>0</v>
      </c>
      <c r="AX207" s="81">
        <v>0</v>
      </c>
      <c r="AY207" s="81">
        <v>0</v>
      </c>
      <c r="AZ207" s="81">
        <v>0</v>
      </c>
      <c r="BA207" s="81">
        <v>0</v>
      </c>
      <c r="BB207" s="81">
        <v>-91332</v>
      </c>
      <c r="BC207" s="79"/>
      <c r="BD207" s="79"/>
      <c r="BE207" s="79"/>
      <c r="BF207" s="79"/>
      <c r="BG207" s="79"/>
      <c r="BH207" s="79">
        <v>-91332</v>
      </c>
      <c r="BI207" s="79">
        <v>0</v>
      </c>
      <c r="BJ207" s="79">
        <v>0</v>
      </c>
      <c r="BK207" s="79">
        <v>0</v>
      </c>
      <c r="BL207" s="79">
        <v>0</v>
      </c>
      <c r="BM207" s="79">
        <v>0</v>
      </c>
      <c r="BN207" s="79">
        <v>0</v>
      </c>
      <c r="BO207" s="79">
        <v>-91332</v>
      </c>
    </row>
    <row r="208" spans="1:67">
      <c r="A208" s="66" t="s">
        <v>1247</v>
      </c>
      <c r="B208" s="66" t="str">
        <f>_xlfn.TEXTJOIN("_",,ERP_34[[#This Row],[LT Member -1*]],ERP_34[[#This Row],[Expense Category]],ERP_34[[#This Row],[Project Code*]])</f>
        <v>Dougherty, Chris_CONTRACTORS_IT-CTR0132-OT-US-04</v>
      </c>
      <c r="C208" s="67" t="s">
        <v>1136</v>
      </c>
      <c r="D208" s="67" t="s">
        <v>1135</v>
      </c>
      <c r="E208" s="67" t="s">
        <v>1135</v>
      </c>
      <c r="F208" s="67" t="s">
        <v>1137</v>
      </c>
      <c r="G208" s="68" t="s">
        <v>49</v>
      </c>
      <c r="H208" s="106" t="s">
        <v>1236</v>
      </c>
      <c r="I208" s="70"/>
      <c r="J208" s="70"/>
      <c r="K208" s="70" t="s">
        <v>103</v>
      </c>
      <c r="L208" s="70"/>
      <c r="M208" s="70"/>
      <c r="N208" s="70"/>
      <c r="O208" s="67" t="s">
        <v>25</v>
      </c>
      <c r="P208" s="67" t="s">
        <v>2965</v>
      </c>
      <c r="Q208" s="180"/>
      <c r="R208" s="72">
        <v>0</v>
      </c>
      <c r="S208" s="73">
        <v>-213108</v>
      </c>
      <c r="T208" s="73">
        <v>0</v>
      </c>
      <c r="U208" s="181">
        <f>ERP_34[[#This Row],[LE2 Final Submission]]-ERP_34[[#This Row],[LE3 Final Submission]]</f>
        <v>-213108</v>
      </c>
      <c r="V208" s="74"/>
      <c r="W208" s="75"/>
      <c r="X208" s="75"/>
      <c r="Y208" s="76"/>
      <c r="Z208" s="76"/>
      <c r="AA208" s="76">
        <v>-213108</v>
      </c>
      <c r="AB208" s="109">
        <v>0</v>
      </c>
      <c r="AC208" s="109">
        <v>0</v>
      </c>
      <c r="AD208" s="109">
        <v>0</v>
      </c>
      <c r="AE208" s="109">
        <v>0</v>
      </c>
      <c r="AF208" s="109">
        <v>0</v>
      </c>
      <c r="AG208" s="109">
        <v>0</v>
      </c>
      <c r="AH208" s="156">
        <f t="shared" si="11"/>
        <v>-213108</v>
      </c>
      <c r="AI208" s="127">
        <f>ERP_34[[#This Row],[2026 Working Total]]-ERP_34[[#This Row],[2026 LE0]]</f>
        <v>-213108</v>
      </c>
      <c r="AJ208" s="79"/>
      <c r="AK208" s="79"/>
      <c r="AL20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8" s="80"/>
      <c r="AN208" s="79">
        <f>ERP_34[[#This Row],[2026 Working Total to Budget/LE]]-ERP_34[[#This Row],[Giveback]]</f>
        <v>-213108</v>
      </c>
      <c r="AO208" s="81"/>
      <c r="AP208" s="81"/>
      <c r="AQ208" s="81"/>
      <c r="AR208" s="81"/>
      <c r="AS208" s="81"/>
      <c r="AT208" s="81"/>
      <c r="AU208" s="81">
        <v>-213108</v>
      </c>
      <c r="AV208" s="81">
        <v>0</v>
      </c>
      <c r="AW208" s="81">
        <v>0</v>
      </c>
      <c r="AX208" s="81">
        <v>0</v>
      </c>
      <c r="AY208" s="81">
        <v>0</v>
      </c>
      <c r="AZ208" s="81">
        <v>0</v>
      </c>
      <c r="BA208" s="81">
        <v>0</v>
      </c>
      <c r="BB208" s="81">
        <v>-213108</v>
      </c>
      <c r="BC208" s="79"/>
      <c r="BD208" s="79"/>
      <c r="BE208" s="79"/>
      <c r="BF208" s="79"/>
      <c r="BG208" s="79"/>
      <c r="BH208" s="79">
        <v>-213108</v>
      </c>
      <c r="BI208" s="79">
        <v>0</v>
      </c>
      <c r="BJ208" s="79">
        <v>0</v>
      </c>
      <c r="BK208" s="79">
        <v>0</v>
      </c>
      <c r="BL208" s="79">
        <v>0</v>
      </c>
      <c r="BM208" s="79">
        <v>0</v>
      </c>
      <c r="BN208" s="79">
        <v>0</v>
      </c>
      <c r="BO208" s="79">
        <v>-213108</v>
      </c>
    </row>
    <row r="209" spans="1:67">
      <c r="A209" s="82" t="s">
        <v>1248</v>
      </c>
      <c r="B209" s="83" t="str">
        <f>_xlfn.TEXTJOIN("_",,ERP_34[[#This Row],[LT Member -1*]],ERP_34[[#This Row],[Expense Category]],ERP_34[[#This Row],[Project Code*]])</f>
        <v>Meadows, Leslie_CONTRACTORS_IT-CTR0140-OT-US-00</v>
      </c>
      <c r="C209" s="67" t="s">
        <v>2959</v>
      </c>
      <c r="D209" s="84" t="s">
        <v>1135</v>
      </c>
      <c r="E209" s="85" t="s">
        <v>1156</v>
      </c>
      <c r="F209" s="86" t="s">
        <v>1137</v>
      </c>
      <c r="G209" s="85" t="s">
        <v>49</v>
      </c>
      <c r="H209" s="110" t="s">
        <v>1250</v>
      </c>
      <c r="I209" s="84"/>
      <c r="J209" s="84"/>
      <c r="K209" s="88" t="s">
        <v>105</v>
      </c>
      <c r="L209" s="89"/>
      <c r="M209" s="90"/>
      <c r="N209" s="90" t="s">
        <v>2960</v>
      </c>
      <c r="O209" s="91" t="s">
        <v>25</v>
      </c>
      <c r="P209" s="92" t="s">
        <v>1254</v>
      </c>
      <c r="Q209" s="93"/>
      <c r="R209" s="94">
        <v>1</v>
      </c>
      <c r="S209" s="95">
        <v>0</v>
      </c>
      <c r="T209" s="96">
        <v>1</v>
      </c>
      <c r="U209" s="97">
        <f>ERP_34[[#This Row],[LE2 Final Submission]]-ERP_34[[#This Row],[LE3 Final Submission]]</f>
        <v>-1</v>
      </c>
      <c r="V209" s="98"/>
      <c r="W209" s="99"/>
      <c r="X209" s="99"/>
      <c r="Y209" s="100">
        <v>0</v>
      </c>
      <c r="Z209" s="100">
        <v>0</v>
      </c>
      <c r="AA209" s="100">
        <v>0</v>
      </c>
      <c r="AB209" s="100">
        <v>0</v>
      </c>
      <c r="AC209" s="100">
        <v>0</v>
      </c>
      <c r="AD209" s="100">
        <v>0</v>
      </c>
      <c r="AE209" s="100">
        <v>0</v>
      </c>
      <c r="AF209" s="100">
        <v>0</v>
      </c>
      <c r="AG209" s="100">
        <v>0</v>
      </c>
      <c r="AH209" s="101">
        <f t="shared" si="11"/>
        <v>0</v>
      </c>
      <c r="AI209" s="108">
        <f>ERP_34[[#This Row],[2026 Working Total]]-ERP_34[[#This Row],[2026 LE0]]</f>
        <v>-1</v>
      </c>
      <c r="AJ209" s="79"/>
      <c r="AK209" s="79"/>
      <c r="AL2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09" s="80"/>
      <c r="AN209" s="79">
        <f>ERP_34[[#This Row],[2026 Working Total to Budget/LE]]-ERP_34[[#This Row],[Giveback]]</f>
        <v>-1</v>
      </c>
      <c r="AO209" s="81"/>
      <c r="AP209" s="81"/>
      <c r="AQ209" s="81"/>
      <c r="AR209" s="81"/>
      <c r="AS209" s="81">
        <v>0</v>
      </c>
      <c r="AT209" s="81">
        <v>0</v>
      </c>
      <c r="AU209" s="81">
        <v>0</v>
      </c>
      <c r="AV209" s="81">
        <v>0</v>
      </c>
      <c r="AW209" s="81">
        <v>0</v>
      </c>
      <c r="AX209" s="81">
        <v>0</v>
      </c>
      <c r="AY209" s="81">
        <v>0</v>
      </c>
      <c r="AZ209" s="81">
        <v>0</v>
      </c>
      <c r="BA209" s="81">
        <v>0</v>
      </c>
      <c r="BB209" s="81">
        <v>0</v>
      </c>
      <c r="BC209" s="103">
        <v>0</v>
      </c>
      <c r="BD209" s="103">
        <v>0</v>
      </c>
      <c r="BE209" s="103">
        <v>0</v>
      </c>
      <c r="BF209" s="103">
        <v>0</v>
      </c>
      <c r="BG209" s="103">
        <v>0</v>
      </c>
      <c r="BH209" s="103">
        <v>0</v>
      </c>
      <c r="BI209" s="103">
        <v>0</v>
      </c>
      <c r="BJ209" s="103">
        <v>0</v>
      </c>
      <c r="BK209" s="103">
        <v>0</v>
      </c>
      <c r="BL209" s="103">
        <v>0</v>
      </c>
      <c r="BM209" s="103">
        <v>0</v>
      </c>
      <c r="BN209" s="103">
        <v>1</v>
      </c>
      <c r="BO209" s="82">
        <f>SUM(ERP_34[[#This Row],[2026 AP01]:[2026 AP12]])</f>
        <v>1</v>
      </c>
    </row>
    <row r="210" spans="1:67">
      <c r="A210" s="66" t="s">
        <v>1255</v>
      </c>
      <c r="B210" s="66" t="str">
        <f>_xlfn.TEXTJOIN("_",,ERP_34[[#This Row],[LT Member -1*]],ERP_34[[#This Row],[Expense Category]],ERP_34[[#This Row],[Project Code*]])</f>
        <v>Dougherty, Chris_CONTRACTORS_IT-CTR0147-OG-US-00</v>
      </c>
      <c r="C210" s="67" t="s">
        <v>1136</v>
      </c>
      <c r="D210" s="67" t="s">
        <v>1135</v>
      </c>
      <c r="E210" s="67" t="s">
        <v>1135</v>
      </c>
      <c r="F210" s="67" t="s">
        <v>1137</v>
      </c>
      <c r="G210" s="68" t="s">
        <v>49</v>
      </c>
      <c r="H210" s="106" t="s">
        <v>1256</v>
      </c>
      <c r="I210" s="70"/>
      <c r="J210" s="70"/>
      <c r="K210" s="114" t="s">
        <v>107</v>
      </c>
      <c r="L210" s="70"/>
      <c r="M210" s="70"/>
      <c r="N210" s="70"/>
      <c r="O210" s="67" t="s">
        <v>25</v>
      </c>
      <c r="P210" s="67"/>
      <c r="Q210" s="71"/>
      <c r="R210" s="72">
        <v>178000</v>
      </c>
      <c r="S210" s="73">
        <v>136206.91999999998</v>
      </c>
      <c r="T210" s="73">
        <v>178000</v>
      </c>
      <c r="U210" s="71">
        <f>ERP_34[[#This Row],[LE2 Final Submission]]-ERP_34[[#This Row],[LE3 Final Submission]]</f>
        <v>-41793.080000000016</v>
      </c>
      <c r="V210" s="74"/>
      <c r="W210" s="75">
        <v>53852.77</v>
      </c>
      <c r="X210" s="75">
        <v>35563.15</v>
      </c>
      <c r="Y210" s="76">
        <v>19053</v>
      </c>
      <c r="Z210" s="76">
        <v>27738</v>
      </c>
      <c r="AA210" s="76"/>
      <c r="AB210" s="109">
        <v>0</v>
      </c>
      <c r="AC210" s="109">
        <v>0</v>
      </c>
      <c r="AD210" s="109">
        <v>0</v>
      </c>
      <c r="AE210" s="109">
        <v>0</v>
      </c>
      <c r="AF210" s="109">
        <v>0</v>
      </c>
      <c r="AG210" s="109">
        <v>0</v>
      </c>
      <c r="AH210" s="77">
        <f t="shared" si="11"/>
        <v>136206.91999999998</v>
      </c>
      <c r="AI210" s="108">
        <f>ERP_34[[#This Row],[2026 Working Total]]-ERP_34[[#This Row],[2026 LE0]]</f>
        <v>-41793.080000000016</v>
      </c>
      <c r="AJ210" s="79"/>
      <c r="AK210" s="79"/>
      <c r="AL2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0" s="80"/>
      <c r="AN210" s="79">
        <f>ERP_34[[#This Row],[2026 Working Total to Budget/LE]]-ERP_34[[#This Row],[Giveback]]</f>
        <v>-41793.080000000016</v>
      </c>
      <c r="AO210" s="81"/>
      <c r="AP210" s="81"/>
      <c r="AQ210" s="81">
        <v>53852.77</v>
      </c>
      <c r="AR210" s="81">
        <v>35563.15</v>
      </c>
      <c r="AS210" s="81">
        <v>19053</v>
      </c>
      <c r="AT210" s="81">
        <v>27738</v>
      </c>
      <c r="AU210" s="81"/>
      <c r="AV210" s="81">
        <v>0</v>
      </c>
      <c r="AW210" s="81">
        <v>0</v>
      </c>
      <c r="AX210" s="81">
        <v>0</v>
      </c>
      <c r="AY210" s="81">
        <v>0</v>
      </c>
      <c r="AZ210" s="81">
        <v>0</v>
      </c>
      <c r="BA210" s="81">
        <v>0</v>
      </c>
      <c r="BB210" s="81">
        <v>136206.91999999998</v>
      </c>
      <c r="BC210" s="79"/>
      <c r="BD210" s="79">
        <v>53852.77</v>
      </c>
      <c r="BE210" s="79">
        <v>35563.15</v>
      </c>
      <c r="BF210" s="79">
        <v>29666.67</v>
      </c>
      <c r="BG210" s="79">
        <v>29666.67</v>
      </c>
      <c r="BH210" s="79">
        <v>29666.67</v>
      </c>
      <c r="BI210" s="79">
        <v>0</v>
      </c>
      <c r="BJ210" s="79">
        <v>0</v>
      </c>
      <c r="BK210" s="79">
        <v>0</v>
      </c>
      <c r="BL210" s="79">
        <v>0</v>
      </c>
      <c r="BM210" s="79">
        <v>0</v>
      </c>
      <c r="BN210" s="79">
        <v>0</v>
      </c>
      <c r="BO210" s="79">
        <v>178415.93</v>
      </c>
    </row>
    <row r="211" spans="1:67">
      <c r="A211" s="66" t="s">
        <v>1258</v>
      </c>
      <c r="B211" s="66" t="str">
        <f>_xlfn.TEXTJOIN("_",,ERP_34[[#This Row],[LT Member -1*]],ERP_34[[#This Row],[Expense Category]],ERP_34[[#This Row],[Project Code*]])</f>
        <v>Dougherty, Chris_CONTRACTORS_IT-CTR0148-OG-US-00</v>
      </c>
      <c r="C211" s="67" t="s">
        <v>1136</v>
      </c>
      <c r="D211" s="67" t="s">
        <v>1135</v>
      </c>
      <c r="E211" s="67" t="s">
        <v>1135</v>
      </c>
      <c r="F211" s="67" t="s">
        <v>1137</v>
      </c>
      <c r="G211" s="68" t="s">
        <v>49</v>
      </c>
      <c r="H211" s="106" t="s">
        <v>1259</v>
      </c>
      <c r="I211" s="70"/>
      <c r="J211" s="70"/>
      <c r="K211" s="114" t="s">
        <v>109</v>
      </c>
      <c r="L211" s="70"/>
      <c r="M211" s="70"/>
      <c r="N211" s="70"/>
      <c r="O211" s="67" t="s">
        <v>25</v>
      </c>
      <c r="P211" s="67"/>
      <c r="Q211" s="71"/>
      <c r="R211" s="72">
        <v>222000</v>
      </c>
      <c r="S211" s="73">
        <v>134302.39999999999</v>
      </c>
      <c r="T211" s="73">
        <v>222000</v>
      </c>
      <c r="U211" s="71">
        <f>ERP_34[[#This Row],[LE2 Final Submission]]-ERP_34[[#This Row],[LE3 Final Submission]]</f>
        <v>-87697.600000000006</v>
      </c>
      <c r="V211" s="74"/>
      <c r="W211" s="75">
        <v>72114.23</v>
      </c>
      <c r="X211" s="75">
        <v>40652.339999999997</v>
      </c>
      <c r="Y211" s="76">
        <v>-11823.57</v>
      </c>
      <c r="Z211" s="76">
        <f>36468-3108.6</f>
        <v>33359.4</v>
      </c>
      <c r="AA211" s="76"/>
      <c r="AB211" s="109">
        <v>0</v>
      </c>
      <c r="AC211" s="109">
        <v>0</v>
      </c>
      <c r="AD211" s="109">
        <v>0</v>
      </c>
      <c r="AE211" s="109">
        <v>0</v>
      </c>
      <c r="AF211" s="109">
        <v>0</v>
      </c>
      <c r="AG211" s="109">
        <v>0</v>
      </c>
      <c r="AH211" s="174">
        <f t="shared" si="11"/>
        <v>134302.39999999999</v>
      </c>
      <c r="AI211" s="108">
        <f>ERP_34[[#This Row],[2026 Working Total]]-ERP_34[[#This Row],[2026 LE0]]</f>
        <v>-87697.600000000006</v>
      </c>
      <c r="AJ211" s="79"/>
      <c r="AK211" s="79"/>
      <c r="AL2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1" s="80"/>
      <c r="AN211" s="79">
        <f>ERP_34[[#This Row],[2026 Working Total to Budget/LE]]-ERP_34[[#This Row],[Giveback]]</f>
        <v>-87697.600000000006</v>
      </c>
      <c r="AO211" s="81"/>
      <c r="AP211" s="81"/>
      <c r="AQ211" s="81">
        <v>72114.23</v>
      </c>
      <c r="AR211" s="81">
        <v>40652.339999999997</v>
      </c>
      <c r="AS211" s="81">
        <v>-11823.57</v>
      </c>
      <c r="AT211" s="81">
        <v>33359.4</v>
      </c>
      <c r="AU211" s="81"/>
      <c r="AV211" s="81">
        <v>0</v>
      </c>
      <c r="AW211" s="81">
        <v>0</v>
      </c>
      <c r="AX211" s="81">
        <v>0</v>
      </c>
      <c r="AY211" s="81">
        <v>0</v>
      </c>
      <c r="AZ211" s="81">
        <v>0</v>
      </c>
      <c r="BA211" s="81">
        <v>0</v>
      </c>
      <c r="BB211" s="81">
        <v>134302.39999999999</v>
      </c>
      <c r="BC211" s="79"/>
      <c r="BD211" s="79">
        <v>72114.23</v>
      </c>
      <c r="BE211" s="79">
        <v>40652.339999999997</v>
      </c>
      <c r="BF211" s="79">
        <v>37000</v>
      </c>
      <c r="BG211" s="79">
        <v>37000</v>
      </c>
      <c r="BH211" s="79">
        <v>37000</v>
      </c>
      <c r="BI211" s="79">
        <v>0</v>
      </c>
      <c r="BJ211" s="79">
        <v>0</v>
      </c>
      <c r="BK211" s="79">
        <v>0</v>
      </c>
      <c r="BL211" s="79">
        <v>0</v>
      </c>
      <c r="BM211" s="79">
        <v>0</v>
      </c>
      <c r="BN211" s="79">
        <v>0</v>
      </c>
      <c r="BO211" s="79">
        <v>223766.57</v>
      </c>
    </row>
    <row r="212" spans="1:67">
      <c r="A212" s="66" t="s">
        <v>1378</v>
      </c>
      <c r="B212" s="66" t="str">
        <f>_xlfn.TEXTJOIN("_",,ERP_34[[#This Row],[LT Member -1*]],ERP_34[[#This Row],[Expense Category]],ERP_34[[#This Row],[Project Code*]])</f>
        <v>Ganesan, Srinivasan_CONTRACTORS_IT-CTR0149-OG-US-00</v>
      </c>
      <c r="C212" s="67" t="s">
        <v>1136</v>
      </c>
      <c r="D212" s="67" t="s">
        <v>1345</v>
      </c>
      <c r="E212" s="67" t="s">
        <v>1344</v>
      </c>
      <c r="F212" s="67" t="s">
        <v>1346</v>
      </c>
      <c r="G212" s="68" t="s">
        <v>49</v>
      </c>
      <c r="H212" s="106" t="s">
        <v>1379</v>
      </c>
      <c r="I212" s="70"/>
      <c r="J212" s="70"/>
      <c r="K212" s="70" t="s">
        <v>173</v>
      </c>
      <c r="L212" s="70"/>
      <c r="M212" s="70"/>
      <c r="N212" s="70"/>
      <c r="O212" s="67" t="s">
        <v>25</v>
      </c>
      <c r="P212" s="67"/>
      <c r="Q212" s="71"/>
      <c r="R212" s="72">
        <v>515000</v>
      </c>
      <c r="S212" s="73">
        <v>335362.38</v>
      </c>
      <c r="T212" s="73">
        <v>515000</v>
      </c>
      <c r="U212" s="71">
        <f>ERP_34[[#This Row],[LE2 Final Submission]]-ERP_34[[#This Row],[LE3 Final Submission]]</f>
        <v>-179637.62</v>
      </c>
      <c r="V212" s="74"/>
      <c r="W212" s="75">
        <v>66916.990000000005</v>
      </c>
      <c r="X212" s="75">
        <v>75010.39</v>
      </c>
      <c r="Y212" s="76">
        <v>40062</v>
      </c>
      <c r="Z212" s="76">
        <v>40792</v>
      </c>
      <c r="AA212" s="76">
        <v>43581</v>
      </c>
      <c r="AB212" s="76">
        <v>35000</v>
      </c>
      <c r="AC212" s="76">
        <v>34000</v>
      </c>
      <c r="AD212" s="76">
        <v>0</v>
      </c>
      <c r="AE212" s="76">
        <v>0</v>
      </c>
      <c r="AF212" s="76">
        <v>0</v>
      </c>
      <c r="AG212" s="76">
        <v>0</v>
      </c>
      <c r="AH212" s="77">
        <f t="shared" si="11"/>
        <v>335362.38</v>
      </c>
      <c r="AI212" s="108">
        <f>ERP_34[[#This Row],[2026 Working Total]]-ERP_34[[#This Row],[2026 LE0]]</f>
        <v>-179637.62</v>
      </c>
      <c r="AJ212" s="79"/>
      <c r="AK212" s="79"/>
      <c r="AL2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2" s="80">
        <v>180000</v>
      </c>
      <c r="AN212" s="79">
        <f>ERP_34[[#This Row],[2026 Working Total to Budget/LE]]-ERP_34[[#This Row],[Giveback]]</f>
        <v>-359637.62</v>
      </c>
      <c r="AO212" s="81" t="s">
        <v>1381</v>
      </c>
      <c r="AP212" s="81"/>
      <c r="AQ212" s="81">
        <v>66916.990000000005</v>
      </c>
      <c r="AR212" s="81">
        <v>75010.39</v>
      </c>
      <c r="AS212" s="81">
        <v>40062</v>
      </c>
      <c r="AT212" s="81">
        <v>40792</v>
      </c>
      <c r="AU212" s="81">
        <v>43581</v>
      </c>
      <c r="AV212" s="81">
        <v>35000</v>
      </c>
      <c r="AW212" s="81">
        <v>34000</v>
      </c>
      <c r="AX212" s="81">
        <v>0</v>
      </c>
      <c r="AY212" s="81">
        <v>0</v>
      </c>
      <c r="AZ212" s="81">
        <v>0</v>
      </c>
      <c r="BA212" s="81">
        <v>0</v>
      </c>
      <c r="BB212" s="81">
        <v>335362.38</v>
      </c>
      <c r="BC212" s="79"/>
      <c r="BD212" s="79">
        <v>66916.990000000005</v>
      </c>
      <c r="BE212" s="79">
        <v>75010.39</v>
      </c>
      <c r="BF212" s="79">
        <v>48286</v>
      </c>
      <c r="BG212" s="79">
        <v>48386</v>
      </c>
      <c r="BH212" s="79">
        <v>48286</v>
      </c>
      <c r="BI212" s="79">
        <v>38449</v>
      </c>
      <c r="BJ212" s="79">
        <v>38449</v>
      </c>
      <c r="BK212" s="79">
        <v>44462</v>
      </c>
      <c r="BL212" s="79">
        <v>44462</v>
      </c>
      <c r="BM212" s="79">
        <v>44462</v>
      </c>
      <c r="BN212" s="79">
        <v>44462</v>
      </c>
      <c r="BO212" s="79">
        <v>541631.38</v>
      </c>
    </row>
    <row r="213" spans="1:67">
      <c r="A213" s="66" t="s">
        <v>1261</v>
      </c>
      <c r="B213" s="66" t="str">
        <f>_xlfn.TEXTJOIN("_",,ERP_34[[#This Row],[LT Member -1*]],ERP_34[[#This Row],[Expense Category]],ERP_34[[#This Row],[Project Code*]])</f>
        <v>Dougherty, Chris_CONTRACTORS_IT-CTR0150-OG-US-00</v>
      </c>
      <c r="C213" s="67" t="s">
        <v>1136</v>
      </c>
      <c r="D213" s="67" t="s">
        <v>1135</v>
      </c>
      <c r="E213" s="67" t="s">
        <v>1135</v>
      </c>
      <c r="F213" s="67" t="s">
        <v>1137</v>
      </c>
      <c r="G213" s="68" t="s">
        <v>49</v>
      </c>
      <c r="H213" s="106" t="s">
        <v>1262</v>
      </c>
      <c r="I213" s="70"/>
      <c r="J213" s="70"/>
      <c r="K213" s="114" t="s">
        <v>111</v>
      </c>
      <c r="L213" s="70"/>
      <c r="M213" s="70"/>
      <c r="N213" s="70"/>
      <c r="O213" s="67" t="s">
        <v>25</v>
      </c>
      <c r="P213" s="67"/>
      <c r="Q213" s="71"/>
      <c r="R213" s="72">
        <v>100000</v>
      </c>
      <c r="S213" s="73">
        <v>100000</v>
      </c>
      <c r="T213" s="73">
        <v>100000</v>
      </c>
      <c r="U213" s="71">
        <f>ERP_34[[#This Row],[LE2 Final Submission]]-ERP_34[[#This Row],[LE3 Final Submission]]</f>
        <v>0</v>
      </c>
      <c r="V213" s="74"/>
      <c r="W213" s="75"/>
      <c r="X213" s="75"/>
      <c r="Y213" s="76">
        <v>11111</v>
      </c>
      <c r="Z213" s="76">
        <v>11111</v>
      </c>
      <c r="AA213" s="76">
        <v>11111</v>
      </c>
      <c r="AB213" s="76">
        <v>11111</v>
      </c>
      <c r="AC213" s="76">
        <v>11111</v>
      </c>
      <c r="AD213" s="76">
        <v>11111</v>
      </c>
      <c r="AE213" s="76">
        <v>11111</v>
      </c>
      <c r="AF213" s="76">
        <v>11111</v>
      </c>
      <c r="AG213" s="76">
        <v>11112</v>
      </c>
      <c r="AH213" s="77">
        <f t="shared" si="11"/>
        <v>100000</v>
      </c>
      <c r="AI213" s="108">
        <f>ERP_34[[#This Row],[2026 Working Total]]-ERP_34[[#This Row],[2026 LE0]]</f>
        <v>0</v>
      </c>
      <c r="AJ213" s="79"/>
      <c r="AK213" s="79"/>
      <c r="AL2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3" s="80"/>
      <c r="AN213" s="79">
        <f>ERP_34[[#This Row],[2026 Working Total to Budget/LE]]-ERP_34[[#This Row],[Giveback]]</f>
        <v>0</v>
      </c>
      <c r="AO213" s="81"/>
      <c r="AP213" s="81"/>
      <c r="AQ213" s="81"/>
      <c r="AR213" s="81"/>
      <c r="AS213" s="81">
        <v>11111</v>
      </c>
      <c r="AT213" s="81">
        <v>11111</v>
      </c>
      <c r="AU213" s="81">
        <v>11111</v>
      </c>
      <c r="AV213" s="81">
        <v>11111</v>
      </c>
      <c r="AW213" s="81">
        <v>11111</v>
      </c>
      <c r="AX213" s="81">
        <v>11111</v>
      </c>
      <c r="AY213" s="81">
        <v>11111</v>
      </c>
      <c r="AZ213" s="81">
        <v>11111</v>
      </c>
      <c r="BA213" s="81">
        <v>11112</v>
      </c>
      <c r="BB213" s="81">
        <v>100000</v>
      </c>
      <c r="BC213" s="79"/>
      <c r="BD213" s="79"/>
      <c r="BE213" s="79"/>
      <c r="BF213" s="79">
        <v>11111</v>
      </c>
      <c r="BG213" s="79">
        <v>11111</v>
      </c>
      <c r="BH213" s="79">
        <v>11111</v>
      </c>
      <c r="BI213" s="79">
        <v>11111</v>
      </c>
      <c r="BJ213" s="79">
        <v>11111</v>
      </c>
      <c r="BK213" s="79">
        <v>11111</v>
      </c>
      <c r="BL213" s="79">
        <v>11111</v>
      </c>
      <c r="BM213" s="79">
        <v>11111</v>
      </c>
      <c r="BN213" s="79">
        <v>11112</v>
      </c>
      <c r="BO213" s="79">
        <v>100000</v>
      </c>
    </row>
    <row r="214" spans="1:67" ht="24">
      <c r="A214" s="66" t="s">
        <v>1484</v>
      </c>
      <c r="B214" s="66" t="str">
        <f>_xlfn.TEXTJOIN("_",,ERP_34[[#This Row],[LT Member -1*]],ERP_34[[#This Row],[Expense Category]],ERP_34[[#This Row],[Project Code*]])</f>
        <v>Vaidya, Sachin_CONTRACTORS_IT-CTR0151-OG-US-00</v>
      </c>
      <c r="C214" s="67" t="s">
        <v>1136</v>
      </c>
      <c r="D214" s="67" t="s">
        <v>1345</v>
      </c>
      <c r="E214" s="67" t="s">
        <v>1481</v>
      </c>
      <c r="F214" s="67" t="s">
        <v>1346</v>
      </c>
      <c r="G214" s="68" t="s">
        <v>49</v>
      </c>
      <c r="H214" s="106" t="s">
        <v>1486</v>
      </c>
      <c r="I214" s="70"/>
      <c r="J214" s="70"/>
      <c r="K214" s="70" t="s">
        <v>230</v>
      </c>
      <c r="L214" s="70"/>
      <c r="M214" s="70"/>
      <c r="N214" s="70"/>
      <c r="O214" s="67" t="s">
        <v>25</v>
      </c>
      <c r="P214" s="163" t="s">
        <v>1489</v>
      </c>
      <c r="Q214" s="71"/>
      <c r="R214" s="72">
        <v>0</v>
      </c>
      <c r="S214" s="73">
        <v>120000</v>
      </c>
      <c r="T214" s="73">
        <v>0</v>
      </c>
      <c r="U214" s="71">
        <f>ERP_34[[#This Row],[LE2 Final Submission]]-ERP_34[[#This Row],[LE3 Final Submission]]</f>
        <v>120000</v>
      </c>
      <c r="V214" s="74">
        <v>0</v>
      </c>
      <c r="W214" s="75">
        <v>0</v>
      </c>
      <c r="X214" s="75">
        <v>0</v>
      </c>
      <c r="Y214" s="76">
        <v>35640</v>
      </c>
      <c r="Z214" s="76">
        <v>35640</v>
      </c>
      <c r="AA214" s="76">
        <v>35640</v>
      </c>
      <c r="AB214" s="76">
        <v>13080</v>
      </c>
      <c r="AC214" s="76"/>
      <c r="AD214" s="76"/>
      <c r="AE214" s="76"/>
      <c r="AF214" s="76"/>
      <c r="AG214" s="76"/>
      <c r="AH214" s="182">
        <f t="shared" si="11"/>
        <v>120000</v>
      </c>
      <c r="AI214" s="107">
        <f>ERP_34[[#This Row],[2026 Working Total]]-ERP_34[[#This Row],[2026 LE0]]</f>
        <v>120000</v>
      </c>
      <c r="AJ214" s="79"/>
      <c r="AK214" s="79"/>
      <c r="AL2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4" s="80"/>
      <c r="AN214" s="79">
        <f>ERP_34[[#This Row],[2026 Working Total to Budget/LE]]-ERP_34[[#This Row],[Giveback]]</f>
        <v>120000</v>
      </c>
      <c r="AO214" s="81" t="s">
        <v>1490</v>
      </c>
      <c r="AP214" s="81">
        <v>0</v>
      </c>
      <c r="AQ214" s="81">
        <v>0</v>
      </c>
      <c r="AR214" s="81">
        <v>0</v>
      </c>
      <c r="AS214" s="81">
        <v>35640</v>
      </c>
      <c r="AT214" s="81">
        <v>35640</v>
      </c>
      <c r="AU214" s="81">
        <v>35640</v>
      </c>
      <c r="AV214" s="81">
        <v>13080</v>
      </c>
      <c r="AW214" s="81"/>
      <c r="AX214" s="81"/>
      <c r="AY214" s="81"/>
      <c r="AZ214" s="81"/>
      <c r="BA214" s="81"/>
      <c r="BB214" s="81">
        <v>120000</v>
      </c>
      <c r="BC214" s="79"/>
      <c r="BD214" s="79"/>
      <c r="BE214" s="79"/>
      <c r="BF214" s="79"/>
      <c r="BG214" s="79"/>
      <c r="BH214" s="79"/>
      <c r="BI214" s="79">
        <v>20000</v>
      </c>
      <c r="BJ214" s="79">
        <v>20000</v>
      </c>
      <c r="BK214" s="79">
        <v>20000</v>
      </c>
      <c r="BL214" s="79">
        <v>20000</v>
      </c>
      <c r="BM214" s="79">
        <v>20000</v>
      </c>
      <c r="BN214" s="79">
        <v>20000</v>
      </c>
      <c r="BO214" s="79">
        <v>120000</v>
      </c>
    </row>
    <row r="215" spans="1:67">
      <c r="A215" s="66" t="s">
        <v>1382</v>
      </c>
      <c r="B215" s="66" t="str">
        <f>_xlfn.TEXTJOIN("_",,ERP_34[[#This Row],[LT Member -1*]],ERP_34[[#This Row],[Expense Category]],ERP_34[[#This Row],[Project Code*]])</f>
        <v>Ganesan, Srinivasan_CONTRACTORS_IT-CTR0153-OG-US-00</v>
      </c>
      <c r="C215" s="67" t="s">
        <v>1136</v>
      </c>
      <c r="D215" s="67" t="s">
        <v>1345</v>
      </c>
      <c r="E215" s="67" t="s">
        <v>1344</v>
      </c>
      <c r="F215" s="67" t="s">
        <v>1346</v>
      </c>
      <c r="G215" s="68" t="s">
        <v>49</v>
      </c>
      <c r="H215" s="106" t="s">
        <v>1383</v>
      </c>
      <c r="I215" s="70"/>
      <c r="J215" s="70"/>
      <c r="K215" s="70" t="s">
        <v>175</v>
      </c>
      <c r="L215" s="70"/>
      <c r="M215" s="70"/>
      <c r="N215" s="70"/>
      <c r="O215" s="67" t="s">
        <v>25</v>
      </c>
      <c r="P215" s="67"/>
      <c r="Q215" s="71"/>
      <c r="R215" s="72">
        <v>0</v>
      </c>
      <c r="S215" s="73">
        <v>0</v>
      </c>
      <c r="T215" s="73">
        <v>0</v>
      </c>
      <c r="U215" s="71">
        <f>ERP_34[[#This Row],[LE2 Final Submission]]-ERP_34[[#This Row],[LE3 Final Submission]]</f>
        <v>0</v>
      </c>
      <c r="V215" s="74"/>
      <c r="W215" s="75"/>
      <c r="X215" s="75"/>
      <c r="Y215" s="76"/>
      <c r="Z215" s="76"/>
      <c r="AA215" s="76"/>
      <c r="AB215" s="76">
        <v>0</v>
      </c>
      <c r="AC215" s="76">
        <v>0</v>
      </c>
      <c r="AD215" s="76">
        <v>0</v>
      </c>
      <c r="AE215" s="76">
        <v>0</v>
      </c>
      <c r="AF215" s="76">
        <v>0</v>
      </c>
      <c r="AG215" s="76">
        <v>0</v>
      </c>
      <c r="AH215" s="77">
        <f t="shared" si="11"/>
        <v>0</v>
      </c>
      <c r="AI215" s="108">
        <f>ERP_34[[#This Row],[2026 Working Total]]-ERP_34[[#This Row],[2026 LE0]]</f>
        <v>0</v>
      </c>
      <c r="AJ215" s="79"/>
      <c r="AK215" s="79"/>
      <c r="AL2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5" s="80">
        <v>280000</v>
      </c>
      <c r="AN215" s="79">
        <f>ERP_34[[#This Row],[2026 Working Total to Budget/LE]]-ERP_34[[#This Row],[Giveback]]</f>
        <v>-280000</v>
      </c>
      <c r="AO215" s="81" t="s">
        <v>1384</v>
      </c>
      <c r="AP215" s="81"/>
      <c r="AQ215" s="81"/>
      <c r="AR215" s="81"/>
      <c r="AS215" s="81"/>
      <c r="AT215" s="81"/>
      <c r="AU215" s="81"/>
      <c r="AV215" s="81">
        <v>0</v>
      </c>
      <c r="AW215" s="81">
        <v>0</v>
      </c>
      <c r="AX215" s="81">
        <v>0</v>
      </c>
      <c r="AY215" s="81">
        <v>0</v>
      </c>
      <c r="AZ215" s="81">
        <v>0</v>
      </c>
      <c r="BA215" s="81">
        <v>0</v>
      </c>
      <c r="BB215" s="81">
        <v>0</v>
      </c>
      <c r="BC215" s="79"/>
      <c r="BD215" s="79"/>
      <c r="BE215" s="79"/>
      <c r="BF215" s="79"/>
      <c r="BG215" s="79"/>
      <c r="BH215" s="79"/>
      <c r="BI215" s="79">
        <v>46666.666666999998</v>
      </c>
      <c r="BJ215" s="79">
        <v>46666.666666999998</v>
      </c>
      <c r="BK215" s="79">
        <v>46666.666666999998</v>
      </c>
      <c r="BL215" s="79">
        <v>46666.666666999998</v>
      </c>
      <c r="BM215" s="79">
        <v>46666.666666999998</v>
      </c>
      <c r="BN215" s="79">
        <v>46666.666666999998</v>
      </c>
      <c r="BO215" s="79">
        <v>280000.00000199996</v>
      </c>
    </row>
    <row r="216" spans="1:67">
      <c r="A216" s="66" t="s">
        <v>2671</v>
      </c>
      <c r="B216" s="66" t="str">
        <f>_xlfn.TEXTJOIN("_",,ERP_34[[#This Row],[LT Member -1*]],ERP_34[[#This Row],[Expense Category]],ERP_34[[#This Row],[Project Code*]])</f>
        <v>Yeluri, Durga_SOFTWARE_IT-DATAIKU-01</v>
      </c>
      <c r="C216" s="67" t="s">
        <v>1136</v>
      </c>
      <c r="D216" s="67" t="s">
        <v>1345</v>
      </c>
      <c r="E216" s="67" t="s">
        <v>1437</v>
      </c>
      <c r="F216" s="67" t="s">
        <v>1346</v>
      </c>
      <c r="G216" s="68" t="s">
        <v>639</v>
      </c>
      <c r="H216" s="106" t="s">
        <v>2673</v>
      </c>
      <c r="I216" s="70"/>
      <c r="J216" s="70"/>
      <c r="K216" s="70" t="s">
        <v>944</v>
      </c>
      <c r="L216" s="70"/>
      <c r="M216" s="70"/>
      <c r="N216" s="70"/>
      <c r="O216" s="67" t="s">
        <v>25</v>
      </c>
      <c r="P216" s="67"/>
      <c r="Q216" s="71"/>
      <c r="R216" s="72">
        <v>0</v>
      </c>
      <c r="S216" s="73">
        <v>729.19</v>
      </c>
      <c r="T216" s="73">
        <v>0</v>
      </c>
      <c r="U216" s="71">
        <f>ERP_34[[#This Row],[LE2 Final Submission]]-ERP_34[[#This Row],[LE3 Final Submission]]</f>
        <v>729.19</v>
      </c>
      <c r="V216" s="74">
        <v>139.72999999999999</v>
      </c>
      <c r="W216" s="75">
        <v>139.72999999999999</v>
      </c>
      <c r="X216" s="75">
        <v>449.73</v>
      </c>
      <c r="Y216" s="109">
        <v>0</v>
      </c>
      <c r="Z216" s="109">
        <v>0</v>
      </c>
      <c r="AA216" s="109">
        <v>0</v>
      </c>
      <c r="AB216" s="109">
        <v>0</v>
      </c>
      <c r="AC216" s="109">
        <v>0</v>
      </c>
      <c r="AD216" s="109">
        <v>0</v>
      </c>
      <c r="AE216" s="109">
        <v>0</v>
      </c>
      <c r="AF216" s="109">
        <v>0</v>
      </c>
      <c r="AG216" s="109">
        <v>0</v>
      </c>
      <c r="AH216" s="77">
        <f t="shared" si="11"/>
        <v>729.19</v>
      </c>
      <c r="AI216" s="108">
        <f>ERP_34[[#This Row],[2026 Working Total]]-ERP_34[[#This Row],[2026 LE0]]</f>
        <v>729.19</v>
      </c>
      <c r="AJ216" s="79"/>
      <c r="AK216" s="79"/>
      <c r="AL2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6" s="80"/>
      <c r="AN216" s="79">
        <f>ERP_34[[#This Row],[2026 Working Total to Budget/LE]]-ERP_34[[#This Row],[Giveback]]</f>
        <v>729.19</v>
      </c>
      <c r="AO216" s="81"/>
      <c r="AP216" s="81">
        <v>139.72999999999999</v>
      </c>
      <c r="AQ216" s="81">
        <v>139.72999999999999</v>
      </c>
      <c r="AR216" s="81">
        <v>449.73</v>
      </c>
      <c r="AS216" s="81">
        <v>0</v>
      </c>
      <c r="AT216" s="81">
        <v>0</v>
      </c>
      <c r="AU216" s="81">
        <v>0</v>
      </c>
      <c r="AV216" s="81">
        <v>0</v>
      </c>
      <c r="AW216" s="81">
        <v>0</v>
      </c>
      <c r="AX216" s="81">
        <v>0</v>
      </c>
      <c r="AY216" s="81">
        <v>0</v>
      </c>
      <c r="AZ216" s="81">
        <v>0</v>
      </c>
      <c r="BA216" s="81">
        <v>0</v>
      </c>
      <c r="BB216" s="81">
        <v>729.19</v>
      </c>
      <c r="BC216" s="79">
        <v>139.72999999999999</v>
      </c>
      <c r="BD216" s="79">
        <v>139.72999999999999</v>
      </c>
      <c r="BE216" s="79">
        <v>449.73</v>
      </c>
      <c r="BF216" s="79">
        <v>0</v>
      </c>
      <c r="BG216" s="79">
        <v>0</v>
      </c>
      <c r="BH216" s="79">
        <v>0</v>
      </c>
      <c r="BI216" s="79">
        <v>0</v>
      </c>
      <c r="BJ216" s="79">
        <v>0</v>
      </c>
      <c r="BK216" s="79">
        <v>0</v>
      </c>
      <c r="BL216" s="79">
        <v>0</v>
      </c>
      <c r="BM216" s="79">
        <v>0</v>
      </c>
      <c r="BN216" s="79">
        <v>0</v>
      </c>
      <c r="BO216" s="79">
        <v>729.19</v>
      </c>
    </row>
    <row r="217" spans="1:67">
      <c r="A217" s="66" t="s">
        <v>1266</v>
      </c>
      <c r="B217" s="66" t="str">
        <f>_xlfn.TEXTJOIN("_",,ERP_34[[#This Row],[LT Member -1*]],ERP_34[[#This Row],[Expense Category]],ERP_34[[#This Row],[Project Code*]])</f>
        <v>Tamavada, Ram_CONTRACTORS_IT-FBT0066-OG-IN-00</v>
      </c>
      <c r="C217" s="67" t="s">
        <v>1136</v>
      </c>
      <c r="D217" s="67" t="s">
        <v>1135</v>
      </c>
      <c r="E217" s="67" t="s">
        <v>1165</v>
      </c>
      <c r="F217" s="67" t="s">
        <v>1137</v>
      </c>
      <c r="G217" s="68" t="s">
        <v>49</v>
      </c>
      <c r="H217" s="106" t="s">
        <v>1268</v>
      </c>
      <c r="I217" s="70"/>
      <c r="J217" s="70"/>
      <c r="K217" s="114" t="s">
        <v>113</v>
      </c>
      <c r="L217" s="70"/>
      <c r="M217" s="70"/>
      <c r="N217" s="70"/>
      <c r="O217" s="67" t="s">
        <v>114</v>
      </c>
      <c r="P217" s="67"/>
      <c r="Q217" s="71"/>
      <c r="R217" s="72">
        <v>39781.000000000015</v>
      </c>
      <c r="S217" s="73">
        <v>37314.43</v>
      </c>
      <c r="T217" s="73">
        <v>39781.000000000015</v>
      </c>
      <c r="U217" s="71">
        <f>ERP_34[[#This Row],[LE2 Final Submission]]-ERP_34[[#This Row],[LE3 Final Submission]]</f>
        <v>-2466.5700000000143</v>
      </c>
      <c r="V217" s="74">
        <v>3217.02</v>
      </c>
      <c r="W217" s="75">
        <v>2578.4899999999998</v>
      </c>
      <c r="X217" s="75">
        <v>2874.84</v>
      </c>
      <c r="Y217" s="76">
        <v>3315.08</v>
      </c>
      <c r="Z217" s="76">
        <v>3190</v>
      </c>
      <c r="AA217" s="76">
        <v>3190</v>
      </c>
      <c r="AB217" s="76">
        <v>3159</v>
      </c>
      <c r="AC217" s="76">
        <v>3190</v>
      </c>
      <c r="AD217" s="76">
        <v>3150</v>
      </c>
      <c r="AE217" s="76">
        <v>3150</v>
      </c>
      <c r="AF217" s="76">
        <v>3150</v>
      </c>
      <c r="AG217" s="76">
        <v>3150</v>
      </c>
      <c r="AH217" s="77">
        <f t="shared" si="11"/>
        <v>37314.43</v>
      </c>
      <c r="AI217" s="108">
        <f>ERP_34[[#This Row],[2026 Working Total]]-ERP_34[[#This Row],[2026 LE0]]</f>
        <v>-2466.5700000000143</v>
      </c>
      <c r="AJ217" s="79"/>
      <c r="AK217" s="79"/>
      <c r="AL2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7" s="80"/>
      <c r="AN217" s="79">
        <f>ERP_34[[#This Row],[2026 Working Total to Budget/LE]]-ERP_34[[#This Row],[Giveback]]</f>
        <v>-2466.5700000000143</v>
      </c>
      <c r="AO217" s="81"/>
      <c r="AP217" s="81">
        <v>3217.02</v>
      </c>
      <c r="AQ217" s="81">
        <v>2578.4899999999998</v>
      </c>
      <c r="AR217" s="81">
        <v>2874.84</v>
      </c>
      <c r="AS217" s="81">
        <v>3315.08</v>
      </c>
      <c r="AT217" s="81">
        <v>3190</v>
      </c>
      <c r="AU217" s="81">
        <v>3190</v>
      </c>
      <c r="AV217" s="81">
        <v>3159</v>
      </c>
      <c r="AW217" s="81">
        <v>3190</v>
      </c>
      <c r="AX217" s="81">
        <v>3150</v>
      </c>
      <c r="AY217" s="81">
        <v>3150</v>
      </c>
      <c r="AZ217" s="81">
        <v>3150</v>
      </c>
      <c r="BA217" s="81">
        <v>3150</v>
      </c>
      <c r="BB217" s="81">
        <v>37314.43</v>
      </c>
      <c r="BC217" s="79">
        <v>3217.02</v>
      </c>
      <c r="BD217" s="79">
        <v>2578.4899999999998</v>
      </c>
      <c r="BE217" s="79">
        <v>2874.84</v>
      </c>
      <c r="BF217" s="79">
        <v>3315.08</v>
      </c>
      <c r="BG217" s="79">
        <v>3315.08</v>
      </c>
      <c r="BH217" s="79">
        <v>3315.08</v>
      </c>
      <c r="BI217" s="79">
        <v>3315.08</v>
      </c>
      <c r="BJ217" s="79">
        <v>3315.08</v>
      </c>
      <c r="BK217" s="79">
        <v>3315.08</v>
      </c>
      <c r="BL217" s="79">
        <v>3315.08</v>
      </c>
      <c r="BM217" s="79">
        <v>3315.08</v>
      </c>
      <c r="BN217" s="79">
        <v>3315.12</v>
      </c>
      <c r="BO217" s="79">
        <v>38506.110000000008</v>
      </c>
    </row>
    <row r="218" spans="1:67" ht="15">
      <c r="A218" s="66" t="s">
        <v>1811</v>
      </c>
      <c r="B218" s="66" t="str">
        <f>_xlfn.TEXTJOIN("_",,ERP_34[[#This Row],[LT Member -1*]],ERP_34[[#This Row],[Expense Category]],ERP_34[[#This Row],[Project Code*]])</f>
        <v>Tamavada, Ram_MANAGED SERVICES_IT-FBT0074-OG-US-00</v>
      </c>
      <c r="C218" s="67" t="s">
        <v>1136</v>
      </c>
      <c r="D218" s="67" t="s">
        <v>1135</v>
      </c>
      <c r="E218" s="67" t="s">
        <v>1165</v>
      </c>
      <c r="F218" s="67" t="s">
        <v>1137</v>
      </c>
      <c r="G218" s="68" t="s">
        <v>389</v>
      </c>
      <c r="H218" s="106" t="s">
        <v>1813</v>
      </c>
      <c r="I218" s="70"/>
      <c r="J218" s="70"/>
      <c r="K218" s="114" t="s">
        <v>422</v>
      </c>
      <c r="L218" s="70"/>
      <c r="M218" s="70"/>
      <c r="N218" s="70"/>
      <c r="O218" s="67" t="s">
        <v>25</v>
      </c>
      <c r="P218" s="67"/>
      <c r="Q218" s="71"/>
      <c r="R218" s="72">
        <v>116304</v>
      </c>
      <c r="S218" s="73">
        <v>67844</v>
      </c>
      <c r="T218" s="73">
        <v>116304</v>
      </c>
      <c r="U218" s="71">
        <f>ERP_34[[#This Row],[LE2 Final Submission]]-ERP_34[[#This Row],[LE3 Final Submission]]</f>
        <v>-48460</v>
      </c>
      <c r="V218" s="74"/>
      <c r="W218" s="75"/>
      <c r="X218" s="75"/>
      <c r="Y218" s="76"/>
      <c r="Z218" s="76"/>
      <c r="AA218" s="76">
        <v>9692</v>
      </c>
      <c r="AB218" s="76">
        <v>9692</v>
      </c>
      <c r="AC218" s="76">
        <v>9692</v>
      </c>
      <c r="AD218" s="76">
        <v>9692</v>
      </c>
      <c r="AE218" s="76">
        <v>9692</v>
      </c>
      <c r="AF218" s="76">
        <v>9692</v>
      </c>
      <c r="AG218" s="76">
        <v>9692</v>
      </c>
      <c r="AH218" s="77">
        <f t="shared" si="11"/>
        <v>67844</v>
      </c>
      <c r="AI218" s="108">
        <f>ERP_34[[#This Row],[2026 Working Total]]-ERP_34[[#This Row],[2026 LE0]]</f>
        <v>-48460</v>
      </c>
      <c r="AJ218" s="79"/>
      <c r="AK218" s="79"/>
      <c r="AL2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8" s="80">
        <v>-48460</v>
      </c>
      <c r="AN218" s="79">
        <f>ERP_34[[#This Row],[2026 Working Total to Budget/LE]]-ERP_34[[#This Row],[Giveback]]</f>
        <v>0</v>
      </c>
      <c r="AO218" s="183" t="s">
        <v>1814</v>
      </c>
      <c r="AP218" s="183"/>
      <c r="AQ218" s="183"/>
      <c r="AR218" s="183"/>
      <c r="AS218" s="183"/>
      <c r="AT218" s="183"/>
      <c r="AU218" s="183">
        <v>9692</v>
      </c>
      <c r="AV218" s="183">
        <v>9692</v>
      </c>
      <c r="AW218" s="183">
        <v>9692</v>
      </c>
      <c r="AX218" s="183">
        <v>9692</v>
      </c>
      <c r="AY218" s="183">
        <v>9692</v>
      </c>
      <c r="AZ218" s="183">
        <v>9692</v>
      </c>
      <c r="BA218" s="183">
        <v>9692</v>
      </c>
      <c r="BB218" s="183">
        <v>67844</v>
      </c>
      <c r="BC218" s="79"/>
      <c r="BD218" s="79"/>
      <c r="BE218" s="79"/>
      <c r="BF218" s="79">
        <v>9692</v>
      </c>
      <c r="BG218" s="79">
        <v>9692</v>
      </c>
      <c r="BH218" s="79">
        <v>9692</v>
      </c>
      <c r="BI218" s="79">
        <v>9692</v>
      </c>
      <c r="BJ218" s="79">
        <v>9692</v>
      </c>
      <c r="BK218" s="79">
        <v>9692</v>
      </c>
      <c r="BL218" s="79">
        <v>9692</v>
      </c>
      <c r="BM218" s="79">
        <v>9692</v>
      </c>
      <c r="BN218" s="79">
        <v>9692</v>
      </c>
      <c r="BO218" s="79">
        <v>87228</v>
      </c>
    </row>
    <row r="219" spans="1:67">
      <c r="A219" s="129" t="s">
        <v>2014</v>
      </c>
      <c r="B219" s="66"/>
      <c r="C219" s="67" t="s">
        <v>1136</v>
      </c>
      <c r="D219" s="67" t="s">
        <v>1345</v>
      </c>
      <c r="E219" s="67" t="s">
        <v>1345</v>
      </c>
      <c r="F219" s="68" t="s">
        <v>1345</v>
      </c>
      <c r="G219" s="68" t="s">
        <v>389</v>
      </c>
      <c r="H219" s="106" t="s">
        <v>1863</v>
      </c>
      <c r="I219" s="67"/>
      <c r="J219" s="67"/>
      <c r="K219" s="70" t="s">
        <v>526</v>
      </c>
      <c r="L219" s="111"/>
      <c r="M219" s="70"/>
      <c r="N219" s="70"/>
      <c r="O219" s="67" t="s">
        <v>57</v>
      </c>
      <c r="P219" s="70" t="s">
        <v>2021</v>
      </c>
      <c r="Q219" s="130"/>
      <c r="R219" s="131"/>
      <c r="S219" s="132">
        <v>63000</v>
      </c>
      <c r="T219" s="133"/>
      <c r="U219" s="134"/>
      <c r="V219" s="74"/>
      <c r="W219" s="75"/>
      <c r="X219" s="75"/>
      <c r="Y219" s="80">
        <f t="shared" ref="Y219:AG219" si="12">(63000)/9</f>
        <v>7000</v>
      </c>
      <c r="Z219" s="80">
        <f t="shared" si="12"/>
        <v>7000</v>
      </c>
      <c r="AA219" s="80">
        <f t="shared" si="12"/>
        <v>7000</v>
      </c>
      <c r="AB219" s="80">
        <f t="shared" si="12"/>
        <v>7000</v>
      </c>
      <c r="AC219" s="80">
        <f t="shared" si="12"/>
        <v>7000</v>
      </c>
      <c r="AD219" s="80">
        <f t="shared" si="12"/>
        <v>7000</v>
      </c>
      <c r="AE219" s="80">
        <f t="shared" si="12"/>
        <v>7000</v>
      </c>
      <c r="AF219" s="80">
        <f t="shared" si="12"/>
        <v>7000</v>
      </c>
      <c r="AG219" s="80">
        <f t="shared" si="12"/>
        <v>7000</v>
      </c>
      <c r="AH219" s="101">
        <f t="shared" si="11"/>
        <v>63000</v>
      </c>
      <c r="AI219" s="108">
        <f>ERP_34[[#This Row],[2026 Working Total]]-ERP_34[[#This Row],[2026 LE0]]</f>
        <v>63000</v>
      </c>
      <c r="AJ219" s="79"/>
      <c r="AK219" s="79"/>
      <c r="AL2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19" s="80"/>
      <c r="AN219" s="79"/>
      <c r="AO219" s="81"/>
      <c r="AP219" s="81"/>
      <c r="AQ219" s="81"/>
      <c r="AR219" s="81"/>
      <c r="AS219" s="81">
        <v>7000</v>
      </c>
      <c r="AT219" s="81">
        <v>7000</v>
      </c>
      <c r="AU219" s="81">
        <v>7000</v>
      </c>
      <c r="AV219" s="81">
        <v>7000</v>
      </c>
      <c r="AW219" s="81">
        <v>7000</v>
      </c>
      <c r="AX219" s="81">
        <v>7000</v>
      </c>
      <c r="AY219" s="81">
        <v>7000</v>
      </c>
      <c r="AZ219" s="81">
        <v>7000</v>
      </c>
      <c r="BA219" s="81">
        <v>7000</v>
      </c>
      <c r="BB219" s="81">
        <v>63000</v>
      </c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</row>
    <row r="220" spans="1:67">
      <c r="A220" s="66" t="s">
        <v>2051</v>
      </c>
      <c r="B220" s="66" t="str">
        <f>_xlfn.TEXTJOIN("_",,ERP_34[[#This Row],[LT Member -1*]],ERP_34[[#This Row],[Expense Category]],ERP_34[[#This Row],[Project Code*]])</f>
        <v>Hovanyetz, Mike_MANAGED SERVICES_IT-FBT0157-OG-US-00</v>
      </c>
      <c r="C220" s="67" t="s">
        <v>1136</v>
      </c>
      <c r="D220" s="67" t="s">
        <v>1345</v>
      </c>
      <c r="E220" s="67" t="s">
        <v>1480</v>
      </c>
      <c r="F220" s="67" t="s">
        <v>1346</v>
      </c>
      <c r="G220" s="68" t="s">
        <v>389</v>
      </c>
      <c r="H220" s="106" t="s">
        <v>1863</v>
      </c>
      <c r="I220" s="70"/>
      <c r="J220" s="70"/>
      <c r="K220" s="70" t="s">
        <v>526</v>
      </c>
      <c r="L220" s="70"/>
      <c r="M220" s="70"/>
      <c r="N220" s="70"/>
      <c r="O220" s="67" t="s">
        <v>57</v>
      </c>
      <c r="P220" s="70" t="s">
        <v>2021</v>
      </c>
      <c r="Q220" s="71"/>
      <c r="R220" s="72">
        <v>84000</v>
      </c>
      <c r="S220" s="73">
        <v>-14686.309999999998</v>
      </c>
      <c r="T220" s="73">
        <v>84000</v>
      </c>
      <c r="U220" s="71">
        <f>ERP_34[[#This Row],[LE2 Final Submission]]-ERP_34[[#This Row],[LE3 Final Submission]]</f>
        <v>-98686.31</v>
      </c>
      <c r="V220" s="74">
        <v>6710.29</v>
      </c>
      <c r="W220" s="75">
        <v>-18265.05</v>
      </c>
      <c r="X220" s="75">
        <v>-3131.55</v>
      </c>
      <c r="Y220" s="76">
        <f t="shared" ref="Y220:AG220" si="13">7000-7000</f>
        <v>0</v>
      </c>
      <c r="Z220" s="76">
        <f t="shared" si="13"/>
        <v>0</v>
      </c>
      <c r="AA220" s="76">
        <f t="shared" si="13"/>
        <v>0</v>
      </c>
      <c r="AB220" s="76">
        <f t="shared" si="13"/>
        <v>0</v>
      </c>
      <c r="AC220" s="76">
        <f t="shared" si="13"/>
        <v>0</v>
      </c>
      <c r="AD220" s="76">
        <f t="shared" si="13"/>
        <v>0</v>
      </c>
      <c r="AE220" s="76">
        <f t="shared" si="13"/>
        <v>0</v>
      </c>
      <c r="AF220" s="76">
        <f t="shared" si="13"/>
        <v>0</v>
      </c>
      <c r="AG220" s="76">
        <f t="shared" si="13"/>
        <v>0</v>
      </c>
      <c r="AH220" s="77">
        <f t="shared" si="11"/>
        <v>-14686.309999999998</v>
      </c>
      <c r="AI220" s="108">
        <f>ERP_34[[#This Row],[2026 Working Total]]-ERP_34[[#This Row],[2026 LE0]]</f>
        <v>-98686.31</v>
      </c>
      <c r="AJ220" s="79"/>
      <c r="AK220" s="79"/>
      <c r="AL220" s="79">
        <f>ERP_34[[#This Row],[AP01]]+ERP_34[[#This Row],[AP02]]+ERP_34[[#This Row],[AP03]]+ERP_34[[#This Row],[AP04]]-ERP_34[[#This Row],[AP01 LE2]]-ERP_34[[#This Row],[AP02 LE2]]-ERP_34[[#This Row],[AP03 LE2]]-ERP_34[[#This Row],[AP04 LE2]]</f>
        <v>9.0949470177292824E-13</v>
      </c>
      <c r="AM220" s="80"/>
      <c r="AN220" s="79">
        <f>ERP_34[[#This Row],[2026 Working Total to Budget/LE]]-ERP_34[[#This Row],[Giveback]]</f>
        <v>-98686.31</v>
      </c>
      <c r="AO220" s="81"/>
      <c r="AP220" s="81">
        <v>6710.29</v>
      </c>
      <c r="AQ220" s="81">
        <v>-18265.05</v>
      </c>
      <c r="AR220" s="81">
        <v>-3131.55</v>
      </c>
      <c r="AS220" s="81">
        <v>0</v>
      </c>
      <c r="AT220" s="81">
        <v>0</v>
      </c>
      <c r="AU220" s="81">
        <v>0</v>
      </c>
      <c r="AV220" s="81">
        <v>0</v>
      </c>
      <c r="AW220" s="81">
        <v>0</v>
      </c>
      <c r="AX220" s="81">
        <v>0</v>
      </c>
      <c r="AY220" s="81">
        <v>0</v>
      </c>
      <c r="AZ220" s="81">
        <v>0</v>
      </c>
      <c r="BA220" s="81">
        <v>0</v>
      </c>
      <c r="BB220" s="81">
        <v>-14686.309999999998</v>
      </c>
      <c r="BC220" s="79">
        <v>6710.29</v>
      </c>
      <c r="BD220" s="79">
        <v>-18265.05</v>
      </c>
      <c r="BE220" s="79">
        <v>-3131.55</v>
      </c>
      <c r="BF220" s="79">
        <v>7000</v>
      </c>
      <c r="BG220" s="79">
        <v>7000</v>
      </c>
      <c r="BH220" s="79">
        <v>7000</v>
      </c>
      <c r="BI220" s="79">
        <v>7000</v>
      </c>
      <c r="BJ220" s="79">
        <v>7000</v>
      </c>
      <c r="BK220" s="79">
        <v>7000</v>
      </c>
      <c r="BL220" s="79">
        <v>7000</v>
      </c>
      <c r="BM220" s="79">
        <v>7000</v>
      </c>
      <c r="BN220" s="79">
        <v>7000</v>
      </c>
      <c r="BO220" s="79">
        <v>48313.69</v>
      </c>
    </row>
    <row r="221" spans="1:67">
      <c r="A221" s="66" t="s">
        <v>1815</v>
      </c>
      <c r="B221" s="66" t="str">
        <f>_xlfn.TEXTJOIN("_",,ERP_34[[#This Row],[LT Member -1*]],ERP_34[[#This Row],[Expense Category]],ERP_34[[#This Row],[Project Code*]])</f>
        <v>Meadows, Leslie_MANAGED SERVICES_IT-FBT0210-OG-US-00</v>
      </c>
      <c r="C221" s="67" t="s">
        <v>1136</v>
      </c>
      <c r="D221" s="67" t="s">
        <v>1135</v>
      </c>
      <c r="E221" s="67" t="s">
        <v>1156</v>
      </c>
      <c r="F221" s="67" t="s">
        <v>1137</v>
      </c>
      <c r="G221" s="68" t="s">
        <v>389</v>
      </c>
      <c r="H221" s="106" t="s">
        <v>1817</v>
      </c>
      <c r="I221" s="70"/>
      <c r="J221" s="70"/>
      <c r="K221" s="114" t="s">
        <v>424</v>
      </c>
      <c r="L221" s="70"/>
      <c r="M221" s="70"/>
      <c r="N221" s="70"/>
      <c r="O221" s="67" t="s">
        <v>67</v>
      </c>
      <c r="P221" s="67"/>
      <c r="Q221" s="71"/>
      <c r="R221" s="72">
        <v>588064.00000000012</v>
      </c>
      <c r="S221" s="73">
        <v>588064.16999999993</v>
      </c>
      <c r="T221" s="73">
        <v>588064.00000000012</v>
      </c>
      <c r="U221" s="71">
        <f>ERP_34[[#This Row],[LE2 Final Submission]]-ERP_34[[#This Row],[LE3 Final Submission]]</f>
        <v>0.16999999980907887</v>
      </c>
      <c r="V221" s="74">
        <v>40389</v>
      </c>
      <c r="W221" s="75">
        <v>55285.58</v>
      </c>
      <c r="X221" s="75">
        <v>47994.59</v>
      </c>
      <c r="Y221" s="76">
        <v>51000</v>
      </c>
      <c r="Z221" s="76">
        <v>49500</v>
      </c>
      <c r="AA221" s="76">
        <v>49495</v>
      </c>
      <c r="AB221" s="76">
        <v>49400</v>
      </c>
      <c r="AC221" s="76">
        <v>49000</v>
      </c>
      <c r="AD221" s="76">
        <v>49000</v>
      </c>
      <c r="AE221" s="76">
        <v>49000</v>
      </c>
      <c r="AF221" s="76">
        <v>49000</v>
      </c>
      <c r="AG221" s="76">
        <v>49000</v>
      </c>
      <c r="AH221" s="77">
        <f t="shared" si="11"/>
        <v>588064.16999999993</v>
      </c>
      <c r="AI221" s="108">
        <f>ERP_34[[#This Row],[2026 Working Total]]-ERP_34[[#This Row],[2026 LE0]]</f>
        <v>0.16999999980907887</v>
      </c>
      <c r="AJ221" s="79"/>
      <c r="AK221" s="79"/>
      <c r="AL2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1" s="80"/>
      <c r="AN221" s="79">
        <f>ERP_34[[#This Row],[2026 Working Total to Budget/LE]]-ERP_34[[#This Row],[Giveback]]</f>
        <v>0.16999999980907887</v>
      </c>
      <c r="AO221" s="81"/>
      <c r="AP221" s="81">
        <v>40389</v>
      </c>
      <c r="AQ221" s="81">
        <v>55285.58</v>
      </c>
      <c r="AR221" s="81">
        <v>47994.59</v>
      </c>
      <c r="AS221" s="81">
        <v>51000</v>
      </c>
      <c r="AT221" s="81">
        <v>49500</v>
      </c>
      <c r="AU221" s="81">
        <v>49495</v>
      </c>
      <c r="AV221" s="81">
        <v>49400</v>
      </c>
      <c r="AW221" s="81">
        <v>49000</v>
      </c>
      <c r="AX221" s="81">
        <v>49000</v>
      </c>
      <c r="AY221" s="81">
        <v>49000</v>
      </c>
      <c r="AZ221" s="81">
        <v>49000</v>
      </c>
      <c r="BA221" s="81">
        <v>49000</v>
      </c>
      <c r="BB221" s="81">
        <v>588064.16999999993</v>
      </c>
      <c r="BC221" s="79">
        <v>40389</v>
      </c>
      <c r="BD221" s="79">
        <v>55285.58</v>
      </c>
      <c r="BE221" s="79">
        <v>47994.59</v>
      </c>
      <c r="BF221" s="79">
        <v>49068</v>
      </c>
      <c r="BG221" s="79">
        <v>51240</v>
      </c>
      <c r="BH221" s="79">
        <v>37911</v>
      </c>
      <c r="BI221" s="79">
        <v>48731</v>
      </c>
      <c r="BJ221" s="79">
        <v>52076</v>
      </c>
      <c r="BK221" s="79">
        <v>52390</v>
      </c>
      <c r="BL221" s="79">
        <v>54876</v>
      </c>
      <c r="BM221" s="79">
        <v>42961</v>
      </c>
      <c r="BN221" s="79">
        <v>40649</v>
      </c>
      <c r="BO221" s="79">
        <v>573571.16999999993</v>
      </c>
    </row>
    <row r="222" spans="1:67">
      <c r="A222" s="66" t="s">
        <v>1273</v>
      </c>
      <c r="B222" s="66" t="str">
        <f>_xlfn.TEXTJOIN("_",,ERP_34[[#This Row],[LT Member -1*]],ERP_34[[#This Row],[Expense Category]],ERP_34[[#This Row],[Project Code*]])</f>
        <v>McCormick, Pete_CONTRACTORS_IT-FBT0213-OG-US-00</v>
      </c>
      <c r="C222" s="67" t="s">
        <v>1136</v>
      </c>
      <c r="D222" s="67" t="s">
        <v>1135</v>
      </c>
      <c r="E222" s="67" t="s">
        <v>1145</v>
      </c>
      <c r="F222" s="67" t="s">
        <v>1137</v>
      </c>
      <c r="G222" s="68" t="s">
        <v>49</v>
      </c>
      <c r="H222" s="106" t="s">
        <v>1275</v>
      </c>
      <c r="I222" s="70"/>
      <c r="J222" s="70"/>
      <c r="K222" s="70" t="s">
        <v>116</v>
      </c>
      <c r="L222" s="70"/>
      <c r="M222" s="70"/>
      <c r="N222" s="70"/>
      <c r="O222" s="67" t="s">
        <v>67</v>
      </c>
      <c r="P222" s="67"/>
      <c r="Q222" s="71"/>
      <c r="R222" s="72">
        <v>948000</v>
      </c>
      <c r="S222" s="73">
        <v>948000.73</v>
      </c>
      <c r="T222" s="73">
        <v>948000</v>
      </c>
      <c r="U222" s="71">
        <f>ERP_34[[#This Row],[LE2 Final Submission]]-ERP_34[[#This Row],[LE3 Final Submission]]</f>
        <v>0.72999999998137355</v>
      </c>
      <c r="V222" s="74">
        <v>59013</v>
      </c>
      <c r="W222" s="75">
        <v>227334.86</v>
      </c>
      <c r="X222" s="75">
        <v>185217.87</v>
      </c>
      <c r="Y222" s="76">
        <v>79000</v>
      </c>
      <c r="Z222" s="76">
        <v>29653</v>
      </c>
      <c r="AA222" s="109">
        <v>0</v>
      </c>
      <c r="AB222" s="76">
        <v>61297</v>
      </c>
      <c r="AC222" s="76">
        <v>61297</v>
      </c>
      <c r="AD222" s="76">
        <v>61297</v>
      </c>
      <c r="AE222" s="76">
        <v>61297</v>
      </c>
      <c r="AF222" s="76">
        <v>61297</v>
      </c>
      <c r="AG222" s="76">
        <v>61297</v>
      </c>
      <c r="AH222" s="77">
        <f t="shared" si="11"/>
        <v>948000.73</v>
      </c>
      <c r="AI222" s="108">
        <f>ERP_34[[#This Row],[2026 Working Total]]-ERP_34[[#This Row],[2026 LE0]]</f>
        <v>0.72999999998137355</v>
      </c>
      <c r="AJ222" s="79"/>
      <c r="AK222" s="79"/>
      <c r="AL2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2" s="80"/>
      <c r="AN222" s="79">
        <f>ERP_34[[#This Row],[2026 Working Total to Budget/LE]]-ERP_34[[#This Row],[Giveback]]</f>
        <v>0.72999999998137355</v>
      </c>
      <c r="AO222" s="81"/>
      <c r="AP222" s="81">
        <v>59013</v>
      </c>
      <c r="AQ222" s="81">
        <v>227334.86</v>
      </c>
      <c r="AR222" s="81">
        <v>185217.87</v>
      </c>
      <c r="AS222" s="81">
        <v>79000</v>
      </c>
      <c r="AT222" s="81">
        <v>29653</v>
      </c>
      <c r="AU222" s="81">
        <v>0</v>
      </c>
      <c r="AV222" s="81">
        <v>61297</v>
      </c>
      <c r="AW222" s="81">
        <v>61297</v>
      </c>
      <c r="AX222" s="81">
        <v>61297</v>
      </c>
      <c r="AY222" s="81">
        <v>61297</v>
      </c>
      <c r="AZ222" s="81">
        <v>61297</v>
      </c>
      <c r="BA222" s="81">
        <v>61297</v>
      </c>
      <c r="BB222" s="81">
        <v>948000.73</v>
      </c>
      <c r="BC222" s="79">
        <v>59013</v>
      </c>
      <c r="BD222" s="79">
        <v>227334.86</v>
      </c>
      <c r="BE222" s="79">
        <v>185217.87</v>
      </c>
      <c r="BF222" s="79">
        <v>79000</v>
      </c>
      <c r="BG222" s="79">
        <v>29653</v>
      </c>
      <c r="BH222" s="79">
        <v>0</v>
      </c>
      <c r="BI222" s="79">
        <v>79000</v>
      </c>
      <c r="BJ222" s="79">
        <v>79000</v>
      </c>
      <c r="BK222" s="79">
        <v>79000</v>
      </c>
      <c r="BL222" s="79">
        <v>79000</v>
      </c>
      <c r="BM222" s="79">
        <v>79000</v>
      </c>
      <c r="BN222" s="79">
        <v>79000</v>
      </c>
      <c r="BO222" s="79">
        <v>1054218.73</v>
      </c>
    </row>
    <row r="223" spans="1:67">
      <c r="A223" s="66" t="s">
        <v>1277</v>
      </c>
      <c r="B223" s="66" t="str">
        <f>_xlfn.TEXTJOIN("_",,ERP_34[[#This Row],[LT Member -1*]],ERP_34[[#This Row],[Expense Category]],ERP_34[[#This Row],[Project Code*]])</f>
        <v>Dougherty, Chris_CONTRACTORS_IT-FBT0219-OG-US-00</v>
      </c>
      <c r="C223" s="67" t="s">
        <v>1136</v>
      </c>
      <c r="D223" s="67" t="s">
        <v>1135</v>
      </c>
      <c r="E223" s="67" t="s">
        <v>1135</v>
      </c>
      <c r="F223" s="67" t="s">
        <v>1137</v>
      </c>
      <c r="G223" s="68" t="s">
        <v>49</v>
      </c>
      <c r="H223" s="106" t="s">
        <v>1278</v>
      </c>
      <c r="I223" s="70"/>
      <c r="J223" s="70"/>
      <c r="K223" s="70" t="s">
        <v>118</v>
      </c>
      <c r="L223" s="70"/>
      <c r="M223" s="70"/>
      <c r="N223" s="70"/>
      <c r="O223" s="67" t="s">
        <v>119</v>
      </c>
      <c r="P223" s="67"/>
      <c r="Q223" s="71"/>
      <c r="R223" s="72">
        <v>71440</v>
      </c>
      <c r="S223" s="73">
        <v>71440</v>
      </c>
      <c r="T223" s="73">
        <v>71440</v>
      </c>
      <c r="U223" s="71">
        <f>ERP_34[[#This Row],[LE2 Final Submission]]-ERP_34[[#This Row],[LE3 Final Submission]]</f>
        <v>0</v>
      </c>
      <c r="V223" s="74"/>
      <c r="W223" s="75"/>
      <c r="X223" s="75"/>
      <c r="Y223" s="76"/>
      <c r="Z223" s="76"/>
      <c r="AA223" s="76"/>
      <c r="AB223" s="76"/>
      <c r="AC223" s="76">
        <v>71440</v>
      </c>
      <c r="AD223" s="109">
        <v>0</v>
      </c>
      <c r="AE223" s="109">
        <v>0</v>
      </c>
      <c r="AF223" s="109">
        <v>0</v>
      </c>
      <c r="AG223" s="109">
        <v>0</v>
      </c>
      <c r="AH223" s="77">
        <f t="shared" si="11"/>
        <v>71440</v>
      </c>
      <c r="AI223" s="108">
        <f>ERP_34[[#This Row],[2026 Working Total]]-ERP_34[[#This Row],[2026 LE0]]</f>
        <v>0</v>
      </c>
      <c r="AJ223" s="79"/>
      <c r="AK223" s="79"/>
      <c r="AL2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3" s="80"/>
      <c r="AN223" s="79">
        <f>ERP_34[[#This Row],[2026 Working Total to Budget/LE]]-ERP_34[[#This Row],[Giveback]]</f>
        <v>0</v>
      </c>
      <c r="AO223" s="81"/>
      <c r="AP223" s="81"/>
      <c r="AQ223" s="81"/>
      <c r="AR223" s="81"/>
      <c r="AS223" s="81"/>
      <c r="AT223" s="81"/>
      <c r="AU223" s="81"/>
      <c r="AV223" s="81"/>
      <c r="AW223" s="81">
        <v>71440</v>
      </c>
      <c r="AX223" s="81">
        <v>0</v>
      </c>
      <c r="AY223" s="81">
        <v>0</v>
      </c>
      <c r="AZ223" s="81">
        <v>0</v>
      </c>
      <c r="BA223" s="81">
        <v>0</v>
      </c>
      <c r="BB223" s="81">
        <v>71440</v>
      </c>
      <c r="BC223" s="79"/>
      <c r="BD223" s="79"/>
      <c r="BE223" s="79"/>
      <c r="BF223" s="79"/>
      <c r="BG223" s="79"/>
      <c r="BH223" s="79"/>
      <c r="BI223" s="79"/>
      <c r="BJ223" s="79">
        <v>71440</v>
      </c>
      <c r="BK223" s="79">
        <v>0</v>
      </c>
      <c r="BL223" s="79">
        <v>0</v>
      </c>
      <c r="BM223" s="79">
        <v>0</v>
      </c>
      <c r="BN223" s="79">
        <v>0</v>
      </c>
      <c r="BO223" s="79">
        <v>71440</v>
      </c>
    </row>
    <row r="224" spans="1:67">
      <c r="A224" s="66" t="s">
        <v>1279</v>
      </c>
      <c r="B224" s="66" t="str">
        <f>_xlfn.TEXTJOIN("_",,ERP_34[[#This Row],[LT Member -1*]],ERP_34[[#This Row],[Expense Category]],ERP_34[[#This Row],[Project Code*]])</f>
        <v>Maguire, Karla_CONTRACTORS_IT-FBT0245-OG-US-00</v>
      </c>
      <c r="C224" s="67" t="s">
        <v>1136</v>
      </c>
      <c r="D224" s="67" t="s">
        <v>1135</v>
      </c>
      <c r="E224" s="67" t="s">
        <v>1137</v>
      </c>
      <c r="F224" s="67" t="s">
        <v>1137</v>
      </c>
      <c r="G224" s="68" t="s">
        <v>49</v>
      </c>
      <c r="H224" s="106" t="s">
        <v>1281</v>
      </c>
      <c r="I224" s="70"/>
      <c r="J224" s="70"/>
      <c r="K224" s="70" t="s">
        <v>121</v>
      </c>
      <c r="L224" s="70"/>
      <c r="M224" s="70"/>
      <c r="N224" s="70"/>
      <c r="O224" s="67" t="s">
        <v>122</v>
      </c>
      <c r="P224" s="67"/>
      <c r="Q224" s="137"/>
      <c r="R224" s="138">
        <v>0</v>
      </c>
      <c r="S224" s="139">
        <v>0</v>
      </c>
      <c r="T224" s="139">
        <v>0</v>
      </c>
      <c r="U224" s="137">
        <f>ERP_34[[#This Row],[LE2 Final Submission]]-ERP_34[[#This Row],[LE3 Final Submission]]</f>
        <v>0</v>
      </c>
      <c r="V224" s="74">
        <v>10113</v>
      </c>
      <c r="W224" s="75">
        <v>11863.11</v>
      </c>
      <c r="X224" s="75">
        <v>-21976.11</v>
      </c>
      <c r="Y224" s="76"/>
      <c r="Z224" s="76"/>
      <c r="AA224" s="76"/>
      <c r="AB224" s="76"/>
      <c r="AC224" s="76"/>
      <c r="AD224" s="76"/>
      <c r="AE224" s="76"/>
      <c r="AF224" s="76"/>
      <c r="AG224" s="76"/>
      <c r="AH224" s="77">
        <f t="shared" si="11"/>
        <v>0</v>
      </c>
      <c r="AI224" s="108">
        <f>ERP_34[[#This Row],[2026 Working Total]]-ERP_34[[#This Row],[2026 LE0]]</f>
        <v>0</v>
      </c>
      <c r="AJ224" s="79"/>
      <c r="AK224" s="79"/>
      <c r="AL2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4" s="80"/>
      <c r="AN224" s="79">
        <f>ERP_34[[#This Row],[2026 Working Total to Budget/LE]]-ERP_34[[#This Row],[Giveback]]</f>
        <v>0</v>
      </c>
      <c r="AO224" s="81"/>
      <c r="AP224" s="81">
        <v>10113</v>
      </c>
      <c r="AQ224" s="81">
        <v>11863.11</v>
      </c>
      <c r="AR224" s="81">
        <v>-21976.11</v>
      </c>
      <c r="AS224" s="81"/>
      <c r="AT224" s="81"/>
      <c r="AU224" s="81"/>
      <c r="AV224" s="81"/>
      <c r="AW224" s="81"/>
      <c r="AX224" s="81"/>
      <c r="AY224" s="81"/>
      <c r="AZ224" s="81"/>
      <c r="BA224" s="81"/>
      <c r="BB224" s="81">
        <v>0</v>
      </c>
      <c r="BC224" s="79">
        <v>10113</v>
      </c>
      <c r="BD224" s="79">
        <v>11863.11</v>
      </c>
      <c r="BE224" s="79">
        <v>-21976.11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>
        <v>0</v>
      </c>
    </row>
    <row r="225" spans="1:67">
      <c r="A225" s="66" t="s">
        <v>1282</v>
      </c>
      <c r="B225" s="66" t="str">
        <f>_xlfn.TEXTJOIN("_",,ERP_34[[#This Row],[LT Member -1*]],ERP_34[[#This Row],[Expense Category]],ERP_34[[#This Row],[Project Code*]])</f>
        <v>Tamavada, Ram_CONTRACTORS_IT-FBT0245-OG-US-00</v>
      </c>
      <c r="C225" s="67" t="s">
        <v>1136</v>
      </c>
      <c r="D225" s="67" t="s">
        <v>1135</v>
      </c>
      <c r="E225" s="67" t="s">
        <v>1165</v>
      </c>
      <c r="F225" s="67" t="s">
        <v>1137</v>
      </c>
      <c r="G225" s="68" t="s">
        <v>49</v>
      </c>
      <c r="H225" s="106" t="s">
        <v>1281</v>
      </c>
      <c r="I225" s="70"/>
      <c r="J225" s="70"/>
      <c r="K225" s="114" t="s">
        <v>121</v>
      </c>
      <c r="L225" s="70"/>
      <c r="M225" s="70"/>
      <c r="N225" s="70"/>
      <c r="O225" s="67" t="s">
        <v>122</v>
      </c>
      <c r="P225" s="67"/>
      <c r="Q225" s="71"/>
      <c r="R225" s="72">
        <v>150000</v>
      </c>
      <c r="S225" s="73">
        <v>149999.65</v>
      </c>
      <c r="T225" s="73">
        <v>150000</v>
      </c>
      <c r="U225" s="71">
        <f>ERP_34[[#This Row],[LE2 Final Submission]]-ERP_34[[#This Row],[LE3 Final Submission]]</f>
        <v>-0.35000000000582077</v>
      </c>
      <c r="V225" s="74"/>
      <c r="W225" s="75"/>
      <c r="X225" s="75">
        <v>36597.65</v>
      </c>
      <c r="Y225" s="76">
        <v>12900</v>
      </c>
      <c r="Z225" s="76">
        <v>12900</v>
      </c>
      <c r="AA225" s="76">
        <v>12602</v>
      </c>
      <c r="AB225" s="76">
        <v>12500</v>
      </c>
      <c r="AC225" s="76">
        <v>12500</v>
      </c>
      <c r="AD225" s="76">
        <v>12500</v>
      </c>
      <c r="AE225" s="76">
        <v>12500</v>
      </c>
      <c r="AF225" s="76">
        <v>12500</v>
      </c>
      <c r="AG225" s="76">
        <v>12500</v>
      </c>
      <c r="AH225" s="77">
        <f t="shared" si="11"/>
        <v>149999.65</v>
      </c>
      <c r="AI225" s="108">
        <f>ERP_34[[#This Row],[2026 Working Total]]-ERP_34[[#This Row],[2026 LE0]]</f>
        <v>-0.35000000000582077</v>
      </c>
      <c r="AJ225" s="79"/>
      <c r="AK225" s="79"/>
      <c r="AL2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5" s="80"/>
      <c r="AN225" s="79">
        <f>ERP_34[[#This Row],[2026 Working Total to Budget/LE]]-ERP_34[[#This Row],[Giveback]]</f>
        <v>-0.35000000000582077</v>
      </c>
      <c r="AO225" s="81"/>
      <c r="AP225" s="81"/>
      <c r="AQ225" s="81"/>
      <c r="AR225" s="81">
        <v>36597.65</v>
      </c>
      <c r="AS225" s="81">
        <v>12900</v>
      </c>
      <c r="AT225" s="81">
        <v>12900</v>
      </c>
      <c r="AU225" s="81">
        <v>12602</v>
      </c>
      <c r="AV225" s="81">
        <v>12500</v>
      </c>
      <c r="AW225" s="81">
        <v>12500</v>
      </c>
      <c r="AX225" s="81">
        <v>12500</v>
      </c>
      <c r="AY225" s="81">
        <v>12500</v>
      </c>
      <c r="AZ225" s="81">
        <v>12500</v>
      </c>
      <c r="BA225" s="81">
        <v>12500</v>
      </c>
      <c r="BB225" s="81">
        <v>149999.65</v>
      </c>
      <c r="BC225" s="79"/>
      <c r="BD225" s="79"/>
      <c r="BE225" s="79">
        <v>36597.65</v>
      </c>
      <c r="BF225" s="79">
        <v>12500</v>
      </c>
      <c r="BG225" s="79">
        <v>12500</v>
      </c>
      <c r="BH225" s="79">
        <v>12500</v>
      </c>
      <c r="BI225" s="79">
        <v>12500</v>
      </c>
      <c r="BJ225" s="79">
        <v>12500</v>
      </c>
      <c r="BK225" s="79">
        <v>12500</v>
      </c>
      <c r="BL225" s="79">
        <v>12500</v>
      </c>
      <c r="BM225" s="79">
        <v>12500</v>
      </c>
      <c r="BN225" s="79">
        <v>12500</v>
      </c>
      <c r="BO225" s="79">
        <v>149097.65</v>
      </c>
    </row>
    <row r="226" spans="1:67">
      <c r="A226" s="66" t="s">
        <v>1463</v>
      </c>
      <c r="B226" s="66" t="str">
        <f>_xlfn.TEXTJOIN("_",,ERP_34[[#This Row],[LT Member -1*]],ERP_34[[#This Row],[Expense Category]],ERP_34[[#This Row],[Project Code*]])</f>
        <v>Herman, Shaun_CONTRACTORS_IT-FBT0262-OG-US-00</v>
      </c>
      <c r="C226" s="67" t="s">
        <v>1136</v>
      </c>
      <c r="D226" s="67" t="s">
        <v>1345</v>
      </c>
      <c r="E226" s="67" t="s">
        <v>1450</v>
      </c>
      <c r="F226" s="67" t="s">
        <v>1346</v>
      </c>
      <c r="G226" s="68" t="s">
        <v>49</v>
      </c>
      <c r="H226" s="106" t="s">
        <v>1464</v>
      </c>
      <c r="I226" s="70"/>
      <c r="J226" s="70"/>
      <c r="K226" s="70" t="s">
        <v>214</v>
      </c>
      <c r="L226" s="70"/>
      <c r="M226" s="70"/>
      <c r="N226" s="70"/>
      <c r="O226" s="67" t="s">
        <v>188</v>
      </c>
      <c r="P226" s="67"/>
      <c r="Q226" s="71"/>
      <c r="R226" s="72">
        <v>35000</v>
      </c>
      <c r="S226" s="73">
        <v>0</v>
      </c>
      <c r="T226" s="73">
        <v>35000</v>
      </c>
      <c r="U226" s="71">
        <f>ERP_34[[#This Row],[LE2 Final Submission]]-ERP_34[[#This Row],[LE3 Final Submission]]</f>
        <v>-35000</v>
      </c>
      <c r="V226" s="74"/>
      <c r="W226" s="75"/>
      <c r="X226" s="75"/>
      <c r="Y226" s="76"/>
      <c r="Z226" s="76"/>
      <c r="AA226" s="76"/>
      <c r="AB226" s="76"/>
      <c r="AC226" s="76"/>
      <c r="AD226" s="76"/>
      <c r="AE226" s="76"/>
      <c r="AF226" s="76"/>
      <c r="AG226" s="76"/>
      <c r="AH226" s="77">
        <f t="shared" si="11"/>
        <v>0</v>
      </c>
      <c r="AI226" s="108">
        <f>ERP_34[[#This Row],[2026 Working Total]]-ERP_34[[#This Row],[2026 LE0]]</f>
        <v>-35000</v>
      </c>
      <c r="AJ226" s="79"/>
      <c r="AK226" s="79"/>
      <c r="AL2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6" s="80"/>
      <c r="AN226" s="79">
        <f>ERP_34[[#This Row],[2026 Working Total to Budget/LE]]-ERP_34[[#This Row],[Giveback]]</f>
        <v>-35000</v>
      </c>
      <c r="AO226" s="81" t="s">
        <v>1465</v>
      </c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>
        <v>0</v>
      </c>
      <c r="BC226" s="79"/>
      <c r="BD226" s="79"/>
      <c r="BE226" s="79"/>
      <c r="BF226" s="79">
        <v>2917</v>
      </c>
      <c r="BG226" s="79">
        <v>2917</v>
      </c>
      <c r="BH226" s="79">
        <v>2917</v>
      </c>
      <c r="BI226" s="79">
        <v>2917</v>
      </c>
      <c r="BJ226" s="79">
        <v>2917</v>
      </c>
      <c r="BK226" s="79">
        <v>2916</v>
      </c>
      <c r="BL226" s="79">
        <v>2916</v>
      </c>
      <c r="BM226" s="79">
        <v>2916</v>
      </c>
      <c r="BN226" s="79">
        <v>2916</v>
      </c>
      <c r="BO226" s="79">
        <v>26249</v>
      </c>
    </row>
    <row r="227" spans="1:67">
      <c r="A227" s="66" t="s">
        <v>2036</v>
      </c>
      <c r="B227" s="66" t="str">
        <f>_xlfn.TEXTJOIN("_",,ERP_34[[#This Row],[LT Member -1*]],ERP_34[[#This Row],[Expense Category]],ERP_34[[#This Row],[Project Code*]])</f>
        <v>Herman, Shaun_MANAGED SERVICES_IT-FBT0262-OG-US-00</v>
      </c>
      <c r="C227" s="67" t="s">
        <v>1136</v>
      </c>
      <c r="D227" s="67" t="s">
        <v>1345</v>
      </c>
      <c r="E227" s="67" t="s">
        <v>1450</v>
      </c>
      <c r="F227" s="67" t="s">
        <v>1346</v>
      </c>
      <c r="G227" s="68" t="s">
        <v>389</v>
      </c>
      <c r="H227" s="106" t="s">
        <v>1464</v>
      </c>
      <c r="I227" s="70"/>
      <c r="J227" s="70"/>
      <c r="K227" s="70" t="s">
        <v>214</v>
      </c>
      <c r="L227" s="70"/>
      <c r="M227" s="70"/>
      <c r="N227" s="70"/>
      <c r="O227" s="67" t="s">
        <v>188</v>
      </c>
      <c r="P227" s="67"/>
      <c r="Q227" s="71"/>
      <c r="R227" s="72">
        <v>0</v>
      </c>
      <c r="S227" s="73">
        <v>35000</v>
      </c>
      <c r="T227" s="73">
        <v>0</v>
      </c>
      <c r="U227" s="71">
        <f>ERP_34[[#This Row],[LE2 Final Submission]]-ERP_34[[#This Row],[LE3 Final Submission]]</f>
        <v>35000</v>
      </c>
      <c r="V227" s="74"/>
      <c r="W227" s="75"/>
      <c r="X227" s="75">
        <v>8751</v>
      </c>
      <c r="Y227" s="109">
        <v>2917</v>
      </c>
      <c r="Z227" s="109">
        <v>2917</v>
      </c>
      <c r="AA227" s="109">
        <v>2917</v>
      </c>
      <c r="AB227" s="109">
        <v>2917</v>
      </c>
      <c r="AC227" s="109">
        <v>2917</v>
      </c>
      <c r="AD227" s="109">
        <v>2916</v>
      </c>
      <c r="AE227" s="109">
        <v>2916</v>
      </c>
      <c r="AF227" s="109">
        <v>2916</v>
      </c>
      <c r="AG227" s="109">
        <v>2916</v>
      </c>
      <c r="AH227" s="77">
        <f t="shared" si="11"/>
        <v>35000</v>
      </c>
      <c r="AI227" s="108">
        <f>ERP_34[[#This Row],[2026 Working Total]]-ERP_34[[#This Row],[2026 LE0]]</f>
        <v>35000</v>
      </c>
      <c r="AJ227" s="79"/>
      <c r="AK227" s="79"/>
      <c r="AL2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7" s="80"/>
      <c r="AN227" s="79">
        <f>ERP_34[[#This Row],[2026 Working Total to Budget/LE]]-ERP_34[[#This Row],[Giveback]]</f>
        <v>35000</v>
      </c>
      <c r="AO227" s="81" t="s">
        <v>2037</v>
      </c>
      <c r="AP227" s="81"/>
      <c r="AQ227" s="81"/>
      <c r="AR227" s="81">
        <v>8751</v>
      </c>
      <c r="AS227" s="81">
        <v>2917</v>
      </c>
      <c r="AT227" s="81">
        <v>2917</v>
      </c>
      <c r="AU227" s="81">
        <v>2917</v>
      </c>
      <c r="AV227" s="81">
        <v>2917</v>
      </c>
      <c r="AW227" s="81">
        <v>2917</v>
      </c>
      <c r="AX227" s="81">
        <v>2916</v>
      </c>
      <c r="AY227" s="81">
        <v>2916</v>
      </c>
      <c r="AZ227" s="81">
        <v>2916</v>
      </c>
      <c r="BA227" s="81">
        <v>2916</v>
      </c>
      <c r="BB227" s="81">
        <v>35000</v>
      </c>
      <c r="BC227" s="79"/>
      <c r="BD227" s="79"/>
      <c r="BE227" s="79">
        <v>8751</v>
      </c>
      <c r="BF227" s="79">
        <v>0</v>
      </c>
      <c r="BG227" s="79">
        <v>0</v>
      </c>
      <c r="BH227" s="79">
        <v>0</v>
      </c>
      <c r="BI227" s="79">
        <v>0</v>
      </c>
      <c r="BJ227" s="79">
        <v>0</v>
      </c>
      <c r="BK227" s="79">
        <v>0</v>
      </c>
      <c r="BL227" s="79">
        <v>0</v>
      </c>
      <c r="BM227" s="79">
        <v>0</v>
      </c>
      <c r="BN227" s="79">
        <v>0</v>
      </c>
      <c r="BO227" s="79">
        <v>8751</v>
      </c>
    </row>
    <row r="228" spans="1:67">
      <c r="A228" s="66" t="s">
        <v>1818</v>
      </c>
      <c r="B228" s="66" t="str">
        <f>_xlfn.TEXTJOIN("_",,ERP_34[[#This Row],[LT Member -1*]],ERP_34[[#This Row],[Expense Category]],ERP_34[[#This Row],[Project Code*]])</f>
        <v>Tamavada, Ram_MANAGED SERVICES_IT-FBT0281-OG-US-00</v>
      </c>
      <c r="C228" s="67" t="s">
        <v>1136</v>
      </c>
      <c r="D228" s="67" t="s">
        <v>1135</v>
      </c>
      <c r="E228" s="67" t="s">
        <v>1165</v>
      </c>
      <c r="F228" s="67" t="s">
        <v>1137</v>
      </c>
      <c r="G228" s="68" t="s">
        <v>389</v>
      </c>
      <c r="H228" s="106" t="s">
        <v>1820</v>
      </c>
      <c r="I228" s="70"/>
      <c r="J228" s="70"/>
      <c r="K228" s="114" t="s">
        <v>426</v>
      </c>
      <c r="L228" s="70"/>
      <c r="M228" s="70"/>
      <c r="N228" s="70"/>
      <c r="O228" s="67" t="s">
        <v>427</v>
      </c>
      <c r="P228" s="184" t="s">
        <v>2966</v>
      </c>
      <c r="Q228" s="71"/>
      <c r="R228" s="72">
        <v>4651599.96</v>
      </c>
      <c r="S228" s="73">
        <v>4701598.17</v>
      </c>
      <c r="T228" s="73">
        <v>4651599.96</v>
      </c>
      <c r="U228" s="71">
        <f>ERP_34[[#This Row],[LE2 Final Submission]]-ERP_34[[#This Row],[LE3 Final Submission]]</f>
        <v>49998.209999999963</v>
      </c>
      <c r="V228" s="74">
        <v>387633.4</v>
      </c>
      <c r="W228" s="75">
        <v>404902.73</v>
      </c>
      <c r="X228" s="75">
        <v>356492.04</v>
      </c>
      <c r="Y228" s="76">
        <v>422337</v>
      </c>
      <c r="Z228" s="76">
        <v>391800</v>
      </c>
      <c r="AA228" s="76">
        <v>391800</v>
      </c>
      <c r="AB228" s="76">
        <v>391800</v>
      </c>
      <c r="AC228" s="76">
        <v>391800</v>
      </c>
      <c r="AD228" s="76">
        <v>391800</v>
      </c>
      <c r="AE228" s="76">
        <v>391800</v>
      </c>
      <c r="AF228" s="76">
        <v>391800</v>
      </c>
      <c r="AG228" s="76">
        <v>387633</v>
      </c>
      <c r="AH228" s="77">
        <f t="shared" si="11"/>
        <v>4701598.17</v>
      </c>
      <c r="AI228" s="108">
        <f>ERP_34[[#This Row],[2026 Working Total]]-ERP_34[[#This Row],[2026 LE0]]</f>
        <v>49998.209999999963</v>
      </c>
      <c r="AJ228" s="79"/>
      <c r="AK228" s="79"/>
      <c r="AL2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8" s="80"/>
      <c r="AN228" s="79">
        <f>ERP_34[[#This Row],[2026 Working Total to Budget/LE]]-ERP_34[[#This Row],[Giveback]]</f>
        <v>49998.209999999963</v>
      </c>
      <c r="AO228" s="81"/>
      <c r="AP228" s="81">
        <v>387633.4</v>
      </c>
      <c r="AQ228" s="81">
        <v>404902.73</v>
      </c>
      <c r="AR228" s="81">
        <v>356492.04</v>
      </c>
      <c r="AS228" s="81">
        <v>422337</v>
      </c>
      <c r="AT228" s="81">
        <v>391800</v>
      </c>
      <c r="AU228" s="81">
        <v>391800</v>
      </c>
      <c r="AV228" s="81">
        <v>391800</v>
      </c>
      <c r="AW228" s="81">
        <v>391800</v>
      </c>
      <c r="AX228" s="81">
        <v>391800</v>
      </c>
      <c r="AY228" s="81">
        <v>391800</v>
      </c>
      <c r="AZ228" s="81">
        <v>391800</v>
      </c>
      <c r="BA228" s="81">
        <v>387633</v>
      </c>
      <c r="BB228" s="81">
        <v>4701598.17</v>
      </c>
      <c r="BC228" s="79">
        <v>387633.4</v>
      </c>
      <c r="BD228" s="79">
        <v>404902.73</v>
      </c>
      <c r="BE228" s="79">
        <v>356492.04</v>
      </c>
      <c r="BF228" s="79">
        <v>387633.33</v>
      </c>
      <c r="BG228" s="79">
        <v>387633.33</v>
      </c>
      <c r="BH228" s="79">
        <v>387633.33</v>
      </c>
      <c r="BI228" s="79">
        <v>387633.33</v>
      </c>
      <c r="BJ228" s="79">
        <v>387633.33</v>
      </c>
      <c r="BK228" s="79">
        <v>387633.33</v>
      </c>
      <c r="BL228" s="79">
        <v>387633.33</v>
      </c>
      <c r="BM228" s="79">
        <v>387633.33</v>
      </c>
      <c r="BN228" s="79">
        <v>387633.33</v>
      </c>
      <c r="BO228" s="79">
        <v>4637728.1400000006</v>
      </c>
    </row>
    <row r="229" spans="1:67">
      <c r="A229" s="66" t="s">
        <v>1822</v>
      </c>
      <c r="B229" s="66" t="str">
        <f>_xlfn.TEXTJOIN("_",,ERP_34[[#This Row],[LT Member -1*]],ERP_34[[#This Row],[Expense Category]],ERP_34[[#This Row],[Project Code*]])</f>
        <v>Tamavada, Ram_MANAGED SERVICES_IT-FBT0282-OG-US-00</v>
      </c>
      <c r="C229" s="67" t="s">
        <v>1136</v>
      </c>
      <c r="D229" s="67" t="s">
        <v>1135</v>
      </c>
      <c r="E229" s="67" t="s">
        <v>1165</v>
      </c>
      <c r="F229" s="67" t="s">
        <v>1137</v>
      </c>
      <c r="G229" s="68" t="s">
        <v>389</v>
      </c>
      <c r="H229" s="106" t="s">
        <v>1824</v>
      </c>
      <c r="I229" s="70"/>
      <c r="J229" s="70"/>
      <c r="K229" s="114" t="s">
        <v>429</v>
      </c>
      <c r="L229" s="70"/>
      <c r="M229" s="70"/>
      <c r="N229" s="70"/>
      <c r="O229" s="67" t="s">
        <v>427</v>
      </c>
      <c r="P229" s="67"/>
      <c r="Q229" s="71"/>
      <c r="R229" s="72">
        <v>1832799.9600000002</v>
      </c>
      <c r="S229" s="73">
        <v>1832798.4200000002</v>
      </c>
      <c r="T229" s="73">
        <v>1832799.9600000002</v>
      </c>
      <c r="U229" s="71">
        <f>ERP_34[[#This Row],[LE2 Final Submission]]-ERP_34[[#This Row],[LE3 Final Submission]]</f>
        <v>-1.5400000000372529</v>
      </c>
      <c r="V229" s="74"/>
      <c r="W229" s="75">
        <v>293304.34999999998</v>
      </c>
      <c r="X229" s="75">
        <v>164894.1</v>
      </c>
      <c r="Y229" s="76">
        <v>152733.32999999999</v>
      </c>
      <c r="Z229" s="76">
        <v>152733.32999999999</v>
      </c>
      <c r="AA229" s="76">
        <v>152733.32999999999</v>
      </c>
      <c r="AB229" s="76">
        <v>152733.32999999999</v>
      </c>
      <c r="AC229" s="76">
        <v>152733.32999999999</v>
      </c>
      <c r="AD229" s="76">
        <v>152733.32999999999</v>
      </c>
      <c r="AE229" s="76">
        <v>152733.32999999999</v>
      </c>
      <c r="AF229" s="76">
        <v>152733.32999999999</v>
      </c>
      <c r="AG229" s="76">
        <v>152733.32999999999</v>
      </c>
      <c r="AH229" s="77">
        <f t="shared" si="11"/>
        <v>1832798.4200000002</v>
      </c>
      <c r="AI229" s="108">
        <f>ERP_34[[#This Row],[2026 Working Total]]-ERP_34[[#This Row],[2026 LE0]]</f>
        <v>-1.5400000000372529</v>
      </c>
      <c r="AJ229" s="79"/>
      <c r="AK229" s="79"/>
      <c r="AL22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29" s="80"/>
      <c r="AN229" s="79">
        <f>ERP_34[[#This Row],[2026 Working Total to Budget/LE]]-ERP_34[[#This Row],[Giveback]]</f>
        <v>-1.5400000000372529</v>
      </c>
      <c r="AO229" s="81"/>
      <c r="AP229" s="81"/>
      <c r="AQ229" s="81">
        <v>293304.34999999998</v>
      </c>
      <c r="AR229" s="81">
        <v>164894.1</v>
      </c>
      <c r="AS229" s="81">
        <v>152733.32999999999</v>
      </c>
      <c r="AT229" s="81">
        <v>152733.32999999999</v>
      </c>
      <c r="AU229" s="81">
        <v>152733.32999999999</v>
      </c>
      <c r="AV229" s="81">
        <v>152733.32999999999</v>
      </c>
      <c r="AW229" s="81">
        <v>152733.32999999999</v>
      </c>
      <c r="AX229" s="81">
        <v>152733.32999999999</v>
      </c>
      <c r="AY229" s="81">
        <v>152733.32999999999</v>
      </c>
      <c r="AZ229" s="81">
        <v>152733.32999999999</v>
      </c>
      <c r="BA229" s="81">
        <v>152733.32999999999</v>
      </c>
      <c r="BB229" s="81">
        <v>1832798.4200000002</v>
      </c>
      <c r="BC229" s="79"/>
      <c r="BD229" s="79">
        <v>293304.34999999998</v>
      </c>
      <c r="BE229" s="79">
        <v>164894.1</v>
      </c>
      <c r="BF229" s="79">
        <v>152733.32999999999</v>
      </c>
      <c r="BG229" s="79">
        <v>152733.32999999999</v>
      </c>
      <c r="BH229" s="79">
        <v>152733.32999999999</v>
      </c>
      <c r="BI229" s="79">
        <v>152733.32999999999</v>
      </c>
      <c r="BJ229" s="79">
        <v>152733.32999999999</v>
      </c>
      <c r="BK229" s="79">
        <v>152733.32999999999</v>
      </c>
      <c r="BL229" s="79">
        <v>152733.32999999999</v>
      </c>
      <c r="BM229" s="79">
        <v>152733.32999999999</v>
      </c>
      <c r="BN229" s="79">
        <v>152733.32999999999</v>
      </c>
      <c r="BO229" s="79">
        <v>1832798.4200000002</v>
      </c>
    </row>
    <row r="230" spans="1:67">
      <c r="A230" s="82" t="s">
        <v>2099</v>
      </c>
      <c r="B230" s="83" t="str">
        <f>_xlfn.TEXTJOIN("_",,ERP_34[[#This Row],[LT Member -1*]],ERP_34[[#This Row],[Expense Category]],ERP_34[[#This Row],[Project Code*]])</f>
        <v>DeHart, Lynn_MANAGED SERVICES_IT-FBT0285-OG-ES-00</v>
      </c>
      <c r="C230" s="67" t="s">
        <v>2959</v>
      </c>
      <c r="D230" s="84" t="s">
        <v>1345</v>
      </c>
      <c r="E230" s="85" t="s">
        <v>1346</v>
      </c>
      <c r="F230" s="68" t="s">
        <v>1346</v>
      </c>
      <c r="G230" s="85" t="s">
        <v>389</v>
      </c>
      <c r="H230" s="110" t="s">
        <v>2101</v>
      </c>
      <c r="I230" s="67"/>
      <c r="J230" s="67"/>
      <c r="K230" s="91" t="s">
        <v>571</v>
      </c>
      <c r="L230" s="111"/>
      <c r="M230" s="70"/>
      <c r="N230" s="90" t="s">
        <v>2960</v>
      </c>
      <c r="O230" s="91" t="s">
        <v>432</v>
      </c>
      <c r="P230" s="92" t="s">
        <v>2102</v>
      </c>
      <c r="Q230" s="93"/>
      <c r="R230" s="94">
        <v>1236</v>
      </c>
      <c r="S230" s="95">
        <v>0</v>
      </c>
      <c r="T230" s="112">
        <v>1236</v>
      </c>
      <c r="U230" s="113">
        <f>ERP_34[[#This Row],[LE2 Final Submission]]-ERP_34[[#This Row],[LE3 Final Submission]]</f>
        <v>-1236</v>
      </c>
      <c r="V230" s="98"/>
      <c r="W230" s="99"/>
      <c r="X230" s="99"/>
      <c r="Y230" s="100">
        <v>0</v>
      </c>
      <c r="Z230" s="100">
        <v>0</v>
      </c>
      <c r="AA230" s="100">
        <v>0</v>
      </c>
      <c r="AB230" s="100">
        <v>0</v>
      </c>
      <c r="AC230" s="100">
        <v>0</v>
      </c>
      <c r="AD230" s="100">
        <v>0</v>
      </c>
      <c r="AE230" s="100">
        <v>0</v>
      </c>
      <c r="AF230" s="100">
        <v>0</v>
      </c>
      <c r="AG230" s="100">
        <v>0</v>
      </c>
      <c r="AH230" s="101">
        <f t="shared" si="11"/>
        <v>0</v>
      </c>
      <c r="AI230" s="108">
        <f>ERP_34[[#This Row],[2026 Working Total]]-ERP_34[[#This Row],[2026 LE0]]</f>
        <v>-1236</v>
      </c>
      <c r="AJ230" s="79"/>
      <c r="AK230" s="79"/>
      <c r="AL2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0" s="80"/>
      <c r="AN230" s="79">
        <f>ERP_34[[#This Row],[2026 Working Total to Budget/LE]]-ERP_34[[#This Row],[Giveback]]</f>
        <v>-1236</v>
      </c>
      <c r="AO230" s="81"/>
      <c r="AP230" s="81"/>
      <c r="AQ230" s="81"/>
      <c r="AR230" s="81"/>
      <c r="AS230" s="81">
        <v>0</v>
      </c>
      <c r="AT230" s="81">
        <v>0</v>
      </c>
      <c r="AU230" s="81">
        <v>0</v>
      </c>
      <c r="AV230" s="81">
        <v>0</v>
      </c>
      <c r="AW230" s="81">
        <v>0</v>
      </c>
      <c r="AX230" s="81">
        <v>0</v>
      </c>
      <c r="AY230" s="81">
        <v>0</v>
      </c>
      <c r="AZ230" s="81">
        <v>0</v>
      </c>
      <c r="BA230" s="81">
        <v>0</v>
      </c>
      <c r="BB230" s="81">
        <v>0</v>
      </c>
      <c r="BC230" s="103">
        <v>412</v>
      </c>
      <c r="BD230" s="103">
        <v>412</v>
      </c>
      <c r="BE230" s="103">
        <v>412</v>
      </c>
      <c r="BF230" s="103">
        <v>0</v>
      </c>
      <c r="BG230" s="103">
        <v>0</v>
      </c>
      <c r="BH230" s="103">
        <v>0</v>
      </c>
      <c r="BI230" s="103">
        <v>0</v>
      </c>
      <c r="BJ230" s="103">
        <v>0</v>
      </c>
      <c r="BK230" s="103">
        <v>0</v>
      </c>
      <c r="BL230" s="103">
        <v>0</v>
      </c>
      <c r="BM230" s="103">
        <v>0</v>
      </c>
      <c r="BN230" s="103">
        <v>0</v>
      </c>
      <c r="BO230" s="82">
        <f>SUM(ERP_34[[#This Row],[2026 AP01]:[2026 AP12]])</f>
        <v>1236</v>
      </c>
    </row>
    <row r="231" spans="1:67">
      <c r="A231" s="66" t="s">
        <v>2052</v>
      </c>
      <c r="B231" s="66" t="str">
        <f>_xlfn.TEXTJOIN("_",,ERP_34[[#This Row],[LT Member -1*]],ERP_34[[#This Row],[Expense Category]],ERP_34[[#This Row],[Project Code*]])</f>
        <v>DeHart, Lynn_MANAGED SERVICES_IT-FBT0286-OG-BE-00</v>
      </c>
      <c r="C231" s="67" t="s">
        <v>1136</v>
      </c>
      <c r="D231" s="67" t="s">
        <v>1345</v>
      </c>
      <c r="E231" s="67" t="s">
        <v>1346</v>
      </c>
      <c r="F231" s="67" t="s">
        <v>1346</v>
      </c>
      <c r="G231" s="68" t="s">
        <v>389</v>
      </c>
      <c r="H231" s="106" t="s">
        <v>2054</v>
      </c>
      <c r="I231" s="70"/>
      <c r="J231" s="70"/>
      <c r="K231" s="70" t="s">
        <v>573</v>
      </c>
      <c r="L231" s="70"/>
      <c r="M231" s="70"/>
      <c r="N231" s="70"/>
      <c r="O231" s="67" t="s">
        <v>432</v>
      </c>
      <c r="P231" s="67"/>
      <c r="Q231" s="71"/>
      <c r="R231" s="72">
        <v>42000</v>
      </c>
      <c r="S231" s="73">
        <v>37871.96</v>
      </c>
      <c r="T231" s="73">
        <v>42000</v>
      </c>
      <c r="U231" s="71">
        <f>ERP_34[[#This Row],[LE2 Final Submission]]-ERP_34[[#This Row],[LE3 Final Submission]]</f>
        <v>-4128.0400000000009</v>
      </c>
      <c r="V231" s="74">
        <v>1370.43</v>
      </c>
      <c r="W231" s="75">
        <v>3605.56</v>
      </c>
      <c r="X231" s="75">
        <v>1395.97</v>
      </c>
      <c r="Y231" s="76">
        <v>3500</v>
      </c>
      <c r="Z231" s="76">
        <v>3500</v>
      </c>
      <c r="AA231" s="76">
        <v>3500</v>
      </c>
      <c r="AB231" s="76">
        <v>3500</v>
      </c>
      <c r="AC231" s="76">
        <v>3500</v>
      </c>
      <c r="AD231" s="76">
        <v>3500</v>
      </c>
      <c r="AE231" s="76">
        <v>3500</v>
      </c>
      <c r="AF231" s="76">
        <v>3500</v>
      </c>
      <c r="AG231" s="76">
        <v>3500</v>
      </c>
      <c r="AH231" s="77">
        <f t="shared" si="11"/>
        <v>37871.96</v>
      </c>
      <c r="AI231" s="108">
        <f>ERP_34[[#This Row],[2026 Working Total]]-ERP_34[[#This Row],[2026 LE0]]</f>
        <v>-4128.0400000000009</v>
      </c>
      <c r="AJ231" s="79"/>
      <c r="AK231" s="79"/>
      <c r="AL2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1" s="80"/>
      <c r="AN231" s="79">
        <f>ERP_34[[#This Row],[2026 Working Total to Budget/LE]]-ERP_34[[#This Row],[Giveback]]</f>
        <v>-4128.0400000000009</v>
      </c>
      <c r="AO231" s="81"/>
      <c r="AP231" s="81">
        <v>1370.43</v>
      </c>
      <c r="AQ231" s="81">
        <v>3605.56</v>
      </c>
      <c r="AR231" s="81">
        <v>1395.97</v>
      </c>
      <c r="AS231" s="81">
        <v>3500</v>
      </c>
      <c r="AT231" s="81">
        <v>3500</v>
      </c>
      <c r="AU231" s="81">
        <v>3500</v>
      </c>
      <c r="AV231" s="81">
        <v>3500</v>
      </c>
      <c r="AW231" s="81">
        <v>3500</v>
      </c>
      <c r="AX231" s="81">
        <v>3500</v>
      </c>
      <c r="AY231" s="81">
        <v>3500</v>
      </c>
      <c r="AZ231" s="81">
        <v>3500</v>
      </c>
      <c r="BA231" s="81">
        <v>3500</v>
      </c>
      <c r="BB231" s="81">
        <v>37871.96</v>
      </c>
      <c r="BC231" s="79">
        <v>1370.43</v>
      </c>
      <c r="BD231" s="79">
        <v>3605.56</v>
      </c>
      <c r="BE231" s="79">
        <v>1395.97</v>
      </c>
      <c r="BF231" s="79">
        <v>3500</v>
      </c>
      <c r="BG231" s="79">
        <v>3500</v>
      </c>
      <c r="BH231" s="79">
        <v>3500</v>
      </c>
      <c r="BI231" s="79">
        <v>3500</v>
      </c>
      <c r="BJ231" s="79">
        <v>3500</v>
      </c>
      <c r="BK231" s="79">
        <v>3500</v>
      </c>
      <c r="BL231" s="79">
        <v>3500</v>
      </c>
      <c r="BM231" s="79">
        <v>3500</v>
      </c>
      <c r="BN231" s="79">
        <v>3500</v>
      </c>
      <c r="BO231" s="79">
        <v>37871.96</v>
      </c>
    </row>
    <row r="232" spans="1:67">
      <c r="A232" s="66" t="s">
        <v>1826</v>
      </c>
      <c r="B232" s="66" t="str">
        <f>_xlfn.TEXTJOIN("_",,ERP_34[[#This Row],[LT Member -1*]],ERP_34[[#This Row],[Expense Category]],ERP_34[[#This Row],[Project Code*]])</f>
        <v>Maguire, Karla_MANAGED SERVICES_IT-FBT0288-OG-BE-00</v>
      </c>
      <c r="C232" s="67" t="s">
        <v>1136</v>
      </c>
      <c r="D232" s="67" t="s">
        <v>1135</v>
      </c>
      <c r="E232" s="67" t="s">
        <v>1137</v>
      </c>
      <c r="F232" s="67" t="s">
        <v>1137</v>
      </c>
      <c r="G232" s="68" t="s">
        <v>389</v>
      </c>
      <c r="H232" s="106" t="s">
        <v>1828</v>
      </c>
      <c r="I232" s="70"/>
      <c r="J232" s="70"/>
      <c r="K232" s="70" t="s">
        <v>431</v>
      </c>
      <c r="L232" s="70"/>
      <c r="M232" s="70"/>
      <c r="N232" s="70"/>
      <c r="O232" s="67" t="s">
        <v>432</v>
      </c>
      <c r="P232" s="67"/>
      <c r="Q232" s="71"/>
      <c r="R232" s="72">
        <v>18000</v>
      </c>
      <c r="S232" s="73">
        <v>19824.739999999998</v>
      </c>
      <c r="T232" s="73">
        <v>18000</v>
      </c>
      <c r="U232" s="71">
        <f>ERP_34[[#This Row],[LE2 Final Submission]]-ERP_34[[#This Row],[LE3 Final Submission]]</f>
        <v>1824.739999999998</v>
      </c>
      <c r="V232" s="74">
        <v>531.82000000000005</v>
      </c>
      <c r="W232" s="75">
        <v>3988.46</v>
      </c>
      <c r="X232" s="75">
        <v>1804.46</v>
      </c>
      <c r="Y232" s="76">
        <v>1500</v>
      </c>
      <c r="Z232" s="76">
        <v>1500</v>
      </c>
      <c r="AA232" s="76">
        <v>1500</v>
      </c>
      <c r="AB232" s="76">
        <v>1500</v>
      </c>
      <c r="AC232" s="76">
        <v>1500</v>
      </c>
      <c r="AD232" s="76">
        <v>1500</v>
      </c>
      <c r="AE232" s="76">
        <v>1500</v>
      </c>
      <c r="AF232" s="76">
        <v>1500</v>
      </c>
      <c r="AG232" s="76">
        <v>1500</v>
      </c>
      <c r="AH232" s="77">
        <f t="shared" si="11"/>
        <v>19824.739999999998</v>
      </c>
      <c r="AI232" s="108">
        <f>ERP_34[[#This Row],[2026 Working Total]]-ERP_34[[#This Row],[2026 LE0]]</f>
        <v>1824.739999999998</v>
      </c>
      <c r="AJ232" s="79"/>
      <c r="AK232" s="79"/>
      <c r="AL2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2" s="80"/>
      <c r="AN232" s="79">
        <f>ERP_34[[#This Row],[2026 Working Total to Budget/LE]]-ERP_34[[#This Row],[Giveback]]</f>
        <v>1824.739999999998</v>
      </c>
      <c r="AO232" s="81"/>
      <c r="AP232" s="81">
        <v>531.82000000000005</v>
      </c>
      <c r="AQ232" s="81">
        <v>3988.46</v>
      </c>
      <c r="AR232" s="81">
        <v>1804.46</v>
      </c>
      <c r="AS232" s="81">
        <v>1500</v>
      </c>
      <c r="AT232" s="81">
        <v>1500</v>
      </c>
      <c r="AU232" s="81">
        <v>1500</v>
      </c>
      <c r="AV232" s="81">
        <v>1500</v>
      </c>
      <c r="AW232" s="81">
        <v>1500</v>
      </c>
      <c r="AX232" s="81">
        <v>1500</v>
      </c>
      <c r="AY232" s="81">
        <v>1500</v>
      </c>
      <c r="AZ232" s="81">
        <v>1500</v>
      </c>
      <c r="BA232" s="81">
        <v>1500</v>
      </c>
      <c r="BB232" s="81">
        <v>19824.739999999998</v>
      </c>
      <c r="BC232" s="79">
        <v>531.82000000000005</v>
      </c>
      <c r="BD232" s="79">
        <v>3988.46</v>
      </c>
      <c r="BE232" s="79">
        <v>1804.46</v>
      </c>
      <c r="BF232" s="79">
        <v>1500</v>
      </c>
      <c r="BG232" s="79">
        <v>1500</v>
      </c>
      <c r="BH232" s="79">
        <v>1500</v>
      </c>
      <c r="BI232" s="79">
        <v>1500</v>
      </c>
      <c r="BJ232" s="79">
        <v>1500</v>
      </c>
      <c r="BK232" s="79">
        <v>1500</v>
      </c>
      <c r="BL232" s="79">
        <v>1500</v>
      </c>
      <c r="BM232" s="79">
        <v>1500</v>
      </c>
      <c r="BN232" s="79">
        <v>1500</v>
      </c>
      <c r="BO232" s="79">
        <v>19824.739999999998</v>
      </c>
    </row>
    <row r="233" spans="1:67">
      <c r="A233" s="66" t="s">
        <v>1829</v>
      </c>
      <c r="B233" s="66" t="str">
        <f>_xlfn.TEXTJOIN("_",,ERP_34[[#This Row],[LT Member -1*]],ERP_34[[#This Row],[Expense Category]],ERP_34[[#This Row],[Project Code*]])</f>
        <v>Tamavada, Ram_MANAGED SERVICES_IT-FBT0393-OG-JP-00</v>
      </c>
      <c r="C233" s="67" t="s">
        <v>1136</v>
      </c>
      <c r="D233" s="67" t="s">
        <v>1135</v>
      </c>
      <c r="E233" s="67" t="s">
        <v>1165</v>
      </c>
      <c r="F233" s="67" t="s">
        <v>1137</v>
      </c>
      <c r="G233" s="68" t="s">
        <v>389</v>
      </c>
      <c r="H233" s="106" t="s">
        <v>1831</v>
      </c>
      <c r="I233" s="70"/>
      <c r="J233" s="70"/>
      <c r="K233" s="114" t="s">
        <v>124</v>
      </c>
      <c r="L233" s="70"/>
      <c r="M233" s="70"/>
      <c r="N233" s="70"/>
      <c r="O233" s="67" t="s">
        <v>434</v>
      </c>
      <c r="P233" s="67"/>
      <c r="Q233" s="71"/>
      <c r="R233" s="72">
        <v>141887.51999999996</v>
      </c>
      <c r="S233" s="73">
        <v>62335.31</v>
      </c>
      <c r="T233" s="73">
        <v>141887.51999999996</v>
      </c>
      <c r="U233" s="71">
        <f>ERP_34[[#This Row],[LE2 Final Submission]]-ERP_34[[#This Row],[LE3 Final Submission]]</f>
        <v>-79552.209999999963</v>
      </c>
      <c r="V233" s="74">
        <v>11347.01</v>
      </c>
      <c r="W233" s="75">
        <v>7087.77</v>
      </c>
      <c r="X233" s="75">
        <v>10590.53</v>
      </c>
      <c r="Y233" s="76">
        <v>10590</v>
      </c>
      <c r="Z233" s="76">
        <v>12130</v>
      </c>
      <c r="AA233" s="76">
        <v>10590</v>
      </c>
      <c r="AB233" s="76"/>
      <c r="AC233" s="76"/>
      <c r="AD233" s="76"/>
      <c r="AE233" s="76"/>
      <c r="AF233" s="76"/>
      <c r="AG233" s="76"/>
      <c r="AH233" s="77">
        <f t="shared" si="11"/>
        <v>62335.31</v>
      </c>
      <c r="AI233" s="185">
        <f>ERP_34[[#This Row],[2026 Working Total]]-ERP_34[[#This Row],[2026 LE0]]</f>
        <v>-79552.209999999963</v>
      </c>
      <c r="AJ233" s="79"/>
      <c r="AK233" s="79"/>
      <c r="AL2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3" s="80"/>
      <c r="AN233" s="79">
        <f>ERP_34[[#This Row],[2026 Working Total to Budget/LE]]-ERP_34[[#This Row],[Giveback]]</f>
        <v>-79552.209999999963</v>
      </c>
      <c r="AO233" s="81"/>
      <c r="AP233" s="81">
        <v>11347.01</v>
      </c>
      <c r="AQ233" s="81">
        <v>7087.77</v>
      </c>
      <c r="AR233" s="81">
        <v>10590.53</v>
      </c>
      <c r="AS233" s="81">
        <v>10590</v>
      </c>
      <c r="AT233" s="81">
        <v>12130</v>
      </c>
      <c r="AU233" s="81">
        <v>10590</v>
      </c>
      <c r="AV233" s="81"/>
      <c r="AW233" s="81"/>
      <c r="AX233" s="81"/>
      <c r="AY233" s="81"/>
      <c r="AZ233" s="81"/>
      <c r="BA233" s="81"/>
      <c r="BB233" s="81">
        <v>62335.31</v>
      </c>
      <c r="BC233" s="79">
        <v>11347.01</v>
      </c>
      <c r="BD233" s="79">
        <v>7087.77</v>
      </c>
      <c r="BE233" s="79">
        <v>10590.53</v>
      </c>
      <c r="BF233" s="79">
        <v>11157</v>
      </c>
      <c r="BG233" s="79">
        <v>11157</v>
      </c>
      <c r="BH233" s="79">
        <v>11157</v>
      </c>
      <c r="BI233" s="79">
        <v>11157</v>
      </c>
      <c r="BJ233" s="79">
        <v>11157</v>
      </c>
      <c r="BK233" s="79">
        <v>11157</v>
      </c>
      <c r="BL233" s="79">
        <v>11157</v>
      </c>
      <c r="BM233" s="79">
        <v>11157</v>
      </c>
      <c r="BN233" s="79">
        <v>11157</v>
      </c>
      <c r="BO233" s="79">
        <v>129438.31</v>
      </c>
    </row>
    <row r="234" spans="1:67">
      <c r="A234" s="66" t="s">
        <v>1491</v>
      </c>
      <c r="B234" s="66" t="str">
        <f>_xlfn.TEXTJOIN("_",,ERP_34[[#This Row],[LT Member -1*]],ERP_34[[#This Row],[Expense Category]],ERP_34[[#This Row],[Project Code*]])</f>
        <v>Hovanyetz, Mike_CONTRACTORS_IT-FBT0450-OG-US-00</v>
      </c>
      <c r="C234" s="67" t="s">
        <v>1136</v>
      </c>
      <c r="D234" s="67" t="s">
        <v>1345</v>
      </c>
      <c r="E234" s="67" t="s">
        <v>1480</v>
      </c>
      <c r="F234" s="67" t="s">
        <v>1346</v>
      </c>
      <c r="G234" s="68" t="s">
        <v>49</v>
      </c>
      <c r="H234" s="106" t="s">
        <v>1492</v>
      </c>
      <c r="I234" s="70"/>
      <c r="J234" s="70"/>
      <c r="K234" s="70" t="s">
        <v>201</v>
      </c>
      <c r="L234" s="70"/>
      <c r="M234" s="70"/>
      <c r="N234" s="70"/>
      <c r="O234" s="67" t="s">
        <v>232</v>
      </c>
      <c r="P234" s="160" t="s">
        <v>1494</v>
      </c>
      <c r="Q234" s="137"/>
      <c r="R234" s="138">
        <v>0</v>
      </c>
      <c r="S234" s="139">
        <v>0</v>
      </c>
      <c r="T234" s="139">
        <v>0</v>
      </c>
      <c r="U234" s="137">
        <f>ERP_34[[#This Row],[LE2 Final Submission]]-ERP_34[[#This Row],[LE3 Final Submission]]</f>
        <v>0</v>
      </c>
      <c r="V234" s="74">
        <v>50000</v>
      </c>
      <c r="W234" s="124">
        <v>0</v>
      </c>
      <c r="X234" s="75">
        <v>-50000</v>
      </c>
      <c r="Y234" s="136">
        <v>50000</v>
      </c>
      <c r="Z234" s="136">
        <v>-50000</v>
      </c>
      <c r="AA234" s="76"/>
      <c r="AB234" s="76"/>
      <c r="AC234" s="76"/>
      <c r="AD234" s="76"/>
      <c r="AE234" s="76"/>
      <c r="AF234" s="76"/>
      <c r="AG234" s="76"/>
      <c r="AH234" s="77">
        <f t="shared" si="11"/>
        <v>0</v>
      </c>
      <c r="AI234" s="108">
        <f>ERP_34[[#This Row],[2026 Working Total]]-ERP_34[[#This Row],[2026 LE0]]</f>
        <v>0</v>
      </c>
      <c r="AJ234" s="79"/>
      <c r="AK234" s="79"/>
      <c r="AL2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4" s="80"/>
      <c r="AN234" s="79">
        <f>ERP_34[[#This Row],[2026 Working Total to Budget/LE]]-ERP_34[[#This Row],[Giveback]]</f>
        <v>0</v>
      </c>
      <c r="AO234" s="81"/>
      <c r="AP234" s="81">
        <v>50000</v>
      </c>
      <c r="AQ234" s="81">
        <v>0</v>
      </c>
      <c r="AR234" s="81">
        <v>-50000</v>
      </c>
      <c r="AS234" s="81">
        <v>50000</v>
      </c>
      <c r="AT234" s="81">
        <v>-50000</v>
      </c>
      <c r="AU234" s="81"/>
      <c r="AV234" s="81"/>
      <c r="AW234" s="81"/>
      <c r="AX234" s="81"/>
      <c r="AY234" s="81"/>
      <c r="AZ234" s="81"/>
      <c r="BA234" s="81"/>
      <c r="BB234" s="81">
        <v>0</v>
      </c>
      <c r="BC234" s="79">
        <v>50000</v>
      </c>
      <c r="BD234" s="79">
        <v>0</v>
      </c>
      <c r="BE234" s="79">
        <v>-50000</v>
      </c>
      <c r="BF234" s="79"/>
      <c r="BG234" s="79"/>
      <c r="BH234" s="79"/>
      <c r="BI234" s="79"/>
      <c r="BJ234" s="79"/>
      <c r="BK234" s="79"/>
      <c r="BL234" s="79"/>
      <c r="BM234" s="79"/>
      <c r="BN234" s="79"/>
      <c r="BO234" s="79">
        <v>0</v>
      </c>
    </row>
    <row r="235" spans="1:67">
      <c r="A235" s="66" t="s">
        <v>2016</v>
      </c>
      <c r="B235" s="66" t="str">
        <f>_xlfn.TEXTJOIN("_",,ERP_34[[#This Row],[LT Member -1*]],ERP_34[[#This Row],[Expense Category]],ERP_34[[#This Row],[Project Code*]])</f>
        <v>Hase, Raj_MANAGED SERVICES_IT-FBT0450-OG-US-00</v>
      </c>
      <c r="C235" s="67" t="s">
        <v>1136</v>
      </c>
      <c r="D235" s="67" t="s">
        <v>1345</v>
      </c>
      <c r="E235" s="67" t="s">
        <v>1345</v>
      </c>
      <c r="F235" s="67" t="s">
        <v>1346</v>
      </c>
      <c r="G235" s="68" t="s">
        <v>389</v>
      </c>
      <c r="H235" s="106" t="s">
        <v>1492</v>
      </c>
      <c r="I235" s="70"/>
      <c r="J235" s="70"/>
      <c r="K235" s="70" t="s">
        <v>201</v>
      </c>
      <c r="L235" s="70"/>
      <c r="M235" s="70"/>
      <c r="N235" s="70"/>
      <c r="O235" s="67" t="s">
        <v>232</v>
      </c>
      <c r="P235" s="67" t="s">
        <v>2057</v>
      </c>
      <c r="Q235" s="71"/>
      <c r="R235" s="72">
        <v>0</v>
      </c>
      <c r="S235" s="73">
        <v>200000</v>
      </c>
      <c r="T235" s="73">
        <v>0</v>
      </c>
      <c r="U235" s="71">
        <f>ERP_34[[#This Row],[LE2 Final Submission]]-ERP_34[[#This Row],[LE3 Final Submission]]</f>
        <v>200000</v>
      </c>
      <c r="V235" s="74"/>
      <c r="W235" s="75"/>
      <c r="X235" s="75">
        <v>50000</v>
      </c>
      <c r="Y235" s="109">
        <v>0</v>
      </c>
      <c r="Z235" s="76">
        <v>50000</v>
      </c>
      <c r="AA235" s="109">
        <v>0</v>
      </c>
      <c r="AB235" s="109">
        <v>0</v>
      </c>
      <c r="AC235" s="76">
        <v>50000</v>
      </c>
      <c r="AD235" s="109">
        <v>0</v>
      </c>
      <c r="AE235" s="76">
        <v>50000</v>
      </c>
      <c r="AF235" s="109">
        <v>0</v>
      </c>
      <c r="AG235" s="109">
        <v>0</v>
      </c>
      <c r="AH235" s="77">
        <f t="shared" si="11"/>
        <v>200000</v>
      </c>
      <c r="AI235" s="108">
        <f>ERP_34[[#This Row],[2026 Working Total]]-ERP_34[[#This Row],[2026 LE0]]</f>
        <v>200000</v>
      </c>
      <c r="AJ235" s="79"/>
      <c r="AK235" s="79"/>
      <c r="AL2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5" s="80"/>
      <c r="AN235" s="79">
        <f>ERP_34[[#This Row],[2026 Working Total to Budget/LE]]-ERP_34[[#This Row],[Giveback]]</f>
        <v>200000</v>
      </c>
      <c r="AO235" s="81"/>
      <c r="AP235" s="81"/>
      <c r="AQ235" s="81"/>
      <c r="AR235" s="81">
        <v>50000</v>
      </c>
      <c r="AS235" s="81">
        <v>0</v>
      </c>
      <c r="AT235" s="81">
        <v>50000</v>
      </c>
      <c r="AU235" s="81">
        <v>0</v>
      </c>
      <c r="AV235" s="81">
        <v>0</v>
      </c>
      <c r="AW235" s="81">
        <v>50000</v>
      </c>
      <c r="AX235" s="81">
        <v>0</v>
      </c>
      <c r="AY235" s="81">
        <v>50000</v>
      </c>
      <c r="AZ235" s="81">
        <v>0</v>
      </c>
      <c r="BA235" s="81">
        <v>0</v>
      </c>
      <c r="BB235" s="81">
        <v>200000</v>
      </c>
      <c r="BC235" s="79"/>
      <c r="BD235" s="79"/>
      <c r="BE235" s="79">
        <v>50000</v>
      </c>
      <c r="BF235" s="79">
        <v>0</v>
      </c>
      <c r="BG235" s="79">
        <v>0</v>
      </c>
      <c r="BH235" s="79">
        <v>0</v>
      </c>
      <c r="BI235" s="79">
        <v>0</v>
      </c>
      <c r="BJ235" s="79">
        <v>0</v>
      </c>
      <c r="BK235" s="79">
        <v>0</v>
      </c>
      <c r="BL235" s="79">
        <v>0</v>
      </c>
      <c r="BM235" s="79">
        <v>0</v>
      </c>
      <c r="BN235" s="79">
        <v>0</v>
      </c>
      <c r="BO235" s="79">
        <v>50000</v>
      </c>
    </row>
    <row r="236" spans="1:67">
      <c r="A236" s="66" t="s">
        <v>2056</v>
      </c>
      <c r="B236" s="66" t="str">
        <f>_xlfn.TEXTJOIN("_",,ERP_34[[#This Row],[LT Member -1*]],ERP_34[[#This Row],[Expense Category]],ERP_34[[#This Row],[Project Code*]])</f>
        <v>Hovanyetz, Mike_MANAGED SERVICES_IT-FBT0450-OG-US-00</v>
      </c>
      <c r="C236" s="67" t="s">
        <v>1136</v>
      </c>
      <c r="D236" s="67" t="s">
        <v>1345</v>
      </c>
      <c r="E236" s="67" t="s">
        <v>1480</v>
      </c>
      <c r="F236" s="67" t="s">
        <v>1346</v>
      </c>
      <c r="G236" s="68" t="s">
        <v>389</v>
      </c>
      <c r="H236" s="106" t="s">
        <v>1492</v>
      </c>
      <c r="I236" s="70"/>
      <c r="J236" s="70"/>
      <c r="K236" s="70" t="s">
        <v>201</v>
      </c>
      <c r="L236" s="70"/>
      <c r="M236" s="70"/>
      <c r="N236" s="70"/>
      <c r="O236" s="67" t="s">
        <v>232</v>
      </c>
      <c r="P236" s="67" t="s">
        <v>2057</v>
      </c>
      <c r="Q236" s="71"/>
      <c r="R236" s="72">
        <v>200000</v>
      </c>
      <c r="S236" s="73">
        <v>0</v>
      </c>
      <c r="T236" s="73">
        <v>200000</v>
      </c>
      <c r="U236" s="71">
        <f>ERP_34[[#This Row],[LE2 Final Submission]]-ERP_34[[#This Row],[LE3 Final Submission]]</f>
        <v>-200000</v>
      </c>
      <c r="V236" s="74"/>
      <c r="W236" s="75"/>
      <c r="X236" s="75"/>
      <c r="Y236" s="76"/>
      <c r="Z236" s="76">
        <v>0</v>
      </c>
      <c r="AA236" s="109">
        <v>0</v>
      </c>
      <c r="AB236" s="109">
        <v>0</v>
      </c>
      <c r="AC236" s="76">
        <v>0</v>
      </c>
      <c r="AD236" s="109">
        <v>0</v>
      </c>
      <c r="AE236" s="76">
        <v>0</v>
      </c>
      <c r="AF236" s="109">
        <v>0</v>
      </c>
      <c r="AG236" s="109">
        <v>0</v>
      </c>
      <c r="AH236" s="77">
        <f t="shared" si="11"/>
        <v>0</v>
      </c>
      <c r="AI236" s="108">
        <f>ERP_34[[#This Row],[2026 Working Total]]-ERP_34[[#This Row],[2026 LE0]]</f>
        <v>-200000</v>
      </c>
      <c r="AJ236" s="79"/>
      <c r="AK236" s="79"/>
      <c r="AL2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6" s="80"/>
      <c r="AN236" s="79">
        <f>ERP_34[[#This Row],[2026 Working Total to Budget/LE]]-ERP_34[[#This Row],[Giveback]]</f>
        <v>-200000</v>
      </c>
      <c r="AO236" s="81"/>
      <c r="AP236" s="81"/>
      <c r="AQ236" s="81"/>
      <c r="AR236" s="81"/>
      <c r="AS236" s="81"/>
      <c r="AT236" s="81">
        <v>0</v>
      </c>
      <c r="AU236" s="81">
        <v>0</v>
      </c>
      <c r="AV236" s="81">
        <v>0</v>
      </c>
      <c r="AW236" s="81">
        <v>0</v>
      </c>
      <c r="AX236" s="81">
        <v>0</v>
      </c>
      <c r="AY236" s="81">
        <v>0</v>
      </c>
      <c r="AZ236" s="81">
        <v>0</v>
      </c>
      <c r="BA236" s="81">
        <v>0</v>
      </c>
      <c r="BB236" s="81">
        <v>0</v>
      </c>
      <c r="BC236" s="79"/>
      <c r="BD236" s="79"/>
      <c r="BE236" s="79"/>
      <c r="BF236" s="79"/>
      <c r="BG236" s="79">
        <v>50000</v>
      </c>
      <c r="BH236" s="79">
        <v>0</v>
      </c>
      <c r="BI236" s="79">
        <v>0</v>
      </c>
      <c r="BJ236" s="79">
        <v>50000</v>
      </c>
      <c r="BK236" s="79">
        <v>0</v>
      </c>
      <c r="BL236" s="79">
        <v>50000</v>
      </c>
      <c r="BM236" s="79">
        <v>0</v>
      </c>
      <c r="BN236" s="79">
        <v>0</v>
      </c>
      <c r="BO236" s="79">
        <v>150000</v>
      </c>
    </row>
    <row r="237" spans="1:67">
      <c r="A237" s="66" t="s">
        <v>1285</v>
      </c>
      <c r="B237" s="66" t="str">
        <f>_xlfn.TEXTJOIN("_",,ERP_34[[#This Row],[LT Member -1*]],ERP_34[[#This Row],[Expense Category]],ERP_34[[#This Row],[Project Code*]])</f>
        <v>McCormick, Pete_CONTRACTORS_IT-FBT0509-OG-US-00</v>
      </c>
      <c r="C237" s="67" t="s">
        <v>1136</v>
      </c>
      <c r="D237" s="67" t="s">
        <v>1135</v>
      </c>
      <c r="E237" s="67" t="s">
        <v>1145</v>
      </c>
      <c r="F237" s="67" t="s">
        <v>1137</v>
      </c>
      <c r="G237" s="68" t="s">
        <v>49</v>
      </c>
      <c r="H237" s="106" t="s">
        <v>1287</v>
      </c>
      <c r="I237" s="70"/>
      <c r="J237" s="70"/>
      <c r="K237" s="70" t="s">
        <v>126</v>
      </c>
      <c r="L237" s="70"/>
      <c r="M237" s="70"/>
      <c r="N237" s="70"/>
      <c r="O237" s="67" t="s">
        <v>127</v>
      </c>
      <c r="P237" s="67"/>
      <c r="Q237" s="71"/>
      <c r="R237" s="72">
        <v>115200</v>
      </c>
      <c r="S237" s="73">
        <v>89600</v>
      </c>
      <c r="T237" s="73">
        <v>115200</v>
      </c>
      <c r="U237" s="71">
        <f>ERP_34[[#This Row],[LE2 Final Submission]]-ERP_34[[#This Row],[LE3 Final Submission]]</f>
        <v>-25600</v>
      </c>
      <c r="V237" s="74"/>
      <c r="W237" s="75"/>
      <c r="X237" s="75"/>
      <c r="Y237" s="76">
        <v>0</v>
      </c>
      <c r="Z237" s="76">
        <v>0</v>
      </c>
      <c r="AA237" s="76">
        <v>12800</v>
      </c>
      <c r="AB237" s="76">
        <v>12800</v>
      </c>
      <c r="AC237" s="76">
        <v>12800</v>
      </c>
      <c r="AD237" s="76">
        <v>12800</v>
      </c>
      <c r="AE237" s="76">
        <v>12800</v>
      </c>
      <c r="AF237" s="76">
        <v>12800</v>
      </c>
      <c r="AG237" s="76">
        <v>12800</v>
      </c>
      <c r="AH237" s="77">
        <f t="shared" si="11"/>
        <v>89600</v>
      </c>
      <c r="AI237" s="108">
        <f>ERP_34[[#This Row],[2026 Working Total]]-ERP_34[[#This Row],[2026 LE0]]</f>
        <v>-25600</v>
      </c>
      <c r="AJ237" s="79"/>
      <c r="AK237" s="79"/>
      <c r="AL2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7" s="80"/>
      <c r="AN237" s="79">
        <f>ERP_34[[#This Row],[2026 Working Total to Budget/LE]]-ERP_34[[#This Row],[Giveback]]</f>
        <v>-25600</v>
      </c>
      <c r="AO237" s="81"/>
      <c r="AP237" s="81"/>
      <c r="AQ237" s="81"/>
      <c r="AR237" s="81"/>
      <c r="AS237" s="81">
        <v>0</v>
      </c>
      <c r="AT237" s="81">
        <v>0</v>
      </c>
      <c r="AU237" s="81">
        <v>12800</v>
      </c>
      <c r="AV237" s="81">
        <v>12800</v>
      </c>
      <c r="AW237" s="81">
        <v>12800</v>
      </c>
      <c r="AX237" s="81">
        <v>12800</v>
      </c>
      <c r="AY237" s="81">
        <v>12800</v>
      </c>
      <c r="AZ237" s="81">
        <v>12800</v>
      </c>
      <c r="BA237" s="81">
        <v>12800</v>
      </c>
      <c r="BB237" s="81">
        <v>89600</v>
      </c>
      <c r="BC237" s="79"/>
      <c r="BD237" s="79"/>
      <c r="BE237" s="79"/>
      <c r="BF237" s="79">
        <v>12800</v>
      </c>
      <c r="BG237" s="79">
        <v>12800</v>
      </c>
      <c r="BH237" s="79">
        <v>12800</v>
      </c>
      <c r="BI237" s="79">
        <v>12800</v>
      </c>
      <c r="BJ237" s="79">
        <v>12800</v>
      </c>
      <c r="BK237" s="79">
        <v>12800</v>
      </c>
      <c r="BL237" s="79">
        <v>12800</v>
      </c>
      <c r="BM237" s="79">
        <v>12800</v>
      </c>
      <c r="BN237" s="79">
        <v>12800</v>
      </c>
      <c r="BO237" s="79">
        <v>115200</v>
      </c>
    </row>
    <row r="238" spans="1:67">
      <c r="A238" s="66" t="s">
        <v>1833</v>
      </c>
      <c r="B238" s="66" t="str">
        <f>_xlfn.TEXTJOIN("_",,ERP_34[[#This Row],[LT Member -1*]],ERP_34[[#This Row],[Expense Category]],ERP_34[[#This Row],[Project Code*]])</f>
        <v>Meadows, Leslie_MANAGED SERVICES_IT-FBT0524-OG-US-00</v>
      </c>
      <c r="C238" s="67" t="s">
        <v>1136</v>
      </c>
      <c r="D238" s="67" t="s">
        <v>1135</v>
      </c>
      <c r="E238" s="67" t="s">
        <v>1156</v>
      </c>
      <c r="F238" s="67" t="s">
        <v>1137</v>
      </c>
      <c r="G238" s="68" t="s">
        <v>389</v>
      </c>
      <c r="H238" s="106" t="s">
        <v>1835</v>
      </c>
      <c r="I238" s="70"/>
      <c r="J238" s="70"/>
      <c r="K238" s="157" t="s">
        <v>436</v>
      </c>
      <c r="L238" s="70"/>
      <c r="M238" s="70"/>
      <c r="N238" s="70"/>
      <c r="O238" s="67" t="s">
        <v>57</v>
      </c>
      <c r="P238" s="67"/>
      <c r="Q238" s="71"/>
      <c r="R238" s="72">
        <v>4558</v>
      </c>
      <c r="S238" s="73">
        <v>3418.5099999999998</v>
      </c>
      <c r="T238" s="73">
        <v>4558</v>
      </c>
      <c r="U238" s="71">
        <f>ERP_34[[#This Row],[LE2 Final Submission]]-ERP_34[[#This Row],[LE3 Final Submission]]</f>
        <v>-1139.4900000000002</v>
      </c>
      <c r="V238" s="74"/>
      <c r="W238" s="75"/>
      <c r="X238" s="75"/>
      <c r="Y238" s="76">
        <v>379.83</v>
      </c>
      <c r="Z238" s="76">
        <v>379.83</v>
      </c>
      <c r="AA238" s="76">
        <v>379.83</v>
      </c>
      <c r="AB238" s="76">
        <v>379.83</v>
      </c>
      <c r="AC238" s="76">
        <v>379.83</v>
      </c>
      <c r="AD238" s="76">
        <v>379.83</v>
      </c>
      <c r="AE238" s="76">
        <v>379.83</v>
      </c>
      <c r="AF238" s="76">
        <v>379.83</v>
      </c>
      <c r="AG238" s="76">
        <v>379.87</v>
      </c>
      <c r="AH238" s="77">
        <f t="shared" si="11"/>
        <v>3418.5099999999998</v>
      </c>
      <c r="AI238" s="108">
        <f>ERP_34[[#This Row],[2026 Working Total]]-ERP_34[[#This Row],[2026 LE0]]</f>
        <v>-1139.4900000000002</v>
      </c>
      <c r="AJ238" s="79"/>
      <c r="AK238" s="79"/>
      <c r="AL2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38" s="80"/>
      <c r="AN238" s="79">
        <f>ERP_34[[#This Row],[2026 Working Total to Budget/LE]]-ERP_34[[#This Row],[Giveback]]</f>
        <v>-1139.4900000000002</v>
      </c>
      <c r="AO238" s="81"/>
      <c r="AP238" s="81"/>
      <c r="AQ238" s="81"/>
      <c r="AR238" s="81"/>
      <c r="AS238" s="81">
        <v>379.83</v>
      </c>
      <c r="AT238" s="81">
        <v>379.83</v>
      </c>
      <c r="AU238" s="81">
        <v>379.83</v>
      </c>
      <c r="AV238" s="81">
        <v>379.83</v>
      </c>
      <c r="AW238" s="81">
        <v>379.83</v>
      </c>
      <c r="AX238" s="81">
        <v>379.83</v>
      </c>
      <c r="AY238" s="81">
        <v>379.83</v>
      </c>
      <c r="AZ238" s="81">
        <v>379.83</v>
      </c>
      <c r="BA238" s="81">
        <v>379.87</v>
      </c>
      <c r="BB238" s="81">
        <v>3418.5099999999998</v>
      </c>
      <c r="BC238" s="79"/>
      <c r="BD238" s="79"/>
      <c r="BE238" s="79"/>
      <c r="BF238" s="79">
        <v>379.83</v>
      </c>
      <c r="BG238" s="79">
        <v>379.83</v>
      </c>
      <c r="BH238" s="79">
        <v>379.83</v>
      </c>
      <c r="BI238" s="79">
        <v>379.83</v>
      </c>
      <c r="BJ238" s="79">
        <v>379.83</v>
      </c>
      <c r="BK238" s="79">
        <v>379.83</v>
      </c>
      <c r="BL238" s="79">
        <v>379.83</v>
      </c>
      <c r="BM238" s="79">
        <v>379.83</v>
      </c>
      <c r="BN238" s="79">
        <v>379.87</v>
      </c>
      <c r="BO238" s="79">
        <v>3418.5099999999998</v>
      </c>
    </row>
    <row r="239" spans="1:67">
      <c r="A239" s="66" t="s">
        <v>1837</v>
      </c>
      <c r="B239" s="66" t="str">
        <f>_xlfn.TEXTJOIN("_",,ERP_34[[#This Row],[LT Member -1*]],ERP_34[[#This Row],[Expense Category]],ERP_34[[#This Row],[Project Code*]])</f>
        <v>Tamavada, Ram_MANAGED SERVICES_IT-FBT0524-OG-US-00</v>
      </c>
      <c r="C239" s="67" t="s">
        <v>1136</v>
      </c>
      <c r="D239" s="67" t="s">
        <v>1135</v>
      </c>
      <c r="E239" s="67" t="s">
        <v>1165</v>
      </c>
      <c r="F239" s="67" t="s">
        <v>1137</v>
      </c>
      <c r="G239" s="68" t="s">
        <v>389</v>
      </c>
      <c r="H239" s="106" t="s">
        <v>1835</v>
      </c>
      <c r="I239" s="70"/>
      <c r="J239" s="70"/>
      <c r="K239" s="114" t="s">
        <v>436</v>
      </c>
      <c r="L239" s="70"/>
      <c r="M239" s="70"/>
      <c r="N239" s="70"/>
      <c r="O239" s="67" t="s">
        <v>57</v>
      </c>
      <c r="P239" s="67"/>
      <c r="Q239" s="71"/>
      <c r="R239" s="72">
        <v>0</v>
      </c>
      <c r="S239" s="73">
        <v>1351.1499999999999</v>
      </c>
      <c r="T239" s="73">
        <v>0</v>
      </c>
      <c r="U239" s="71">
        <f>ERP_34[[#This Row],[LE2 Final Submission]]-ERP_34[[#This Row],[LE3 Final Submission]]</f>
        <v>1351.1499999999999</v>
      </c>
      <c r="V239" s="74">
        <v>696.35</v>
      </c>
      <c r="W239" s="75">
        <v>599.02</v>
      </c>
      <c r="X239" s="75">
        <v>55.78</v>
      </c>
      <c r="Y239" s="76">
        <v>0</v>
      </c>
      <c r="Z239" s="76">
        <v>0</v>
      </c>
      <c r="AA239" s="76">
        <v>0</v>
      </c>
      <c r="AB239" s="76">
        <v>0</v>
      </c>
      <c r="AC239" s="76">
        <v>0</v>
      </c>
      <c r="AD239" s="76">
        <v>0</v>
      </c>
      <c r="AE239" s="76">
        <v>0</v>
      </c>
      <c r="AF239" s="76">
        <v>0</v>
      </c>
      <c r="AG239" s="76">
        <v>0</v>
      </c>
      <c r="AH239" s="77">
        <f t="shared" si="11"/>
        <v>1351.1499999999999</v>
      </c>
      <c r="AI239" s="108">
        <f>ERP_34[[#This Row],[2026 Working Total]]-ERP_34[[#This Row],[2026 LE0]]</f>
        <v>1351.1499999999999</v>
      </c>
      <c r="AJ239" s="79"/>
      <c r="AK239" s="79"/>
      <c r="AL239" s="79">
        <f>ERP_34[[#This Row],[AP01]]+ERP_34[[#This Row],[AP02]]+ERP_34[[#This Row],[AP03]]+ERP_34[[#This Row],[AP04]]-ERP_34[[#This Row],[AP01 LE2]]-ERP_34[[#This Row],[AP02 LE2]]-ERP_34[[#This Row],[AP03 LE2]]-ERP_34[[#This Row],[AP04 LE2]]</f>
        <v>-1.4210854715202004E-13</v>
      </c>
      <c r="AM239" s="80"/>
      <c r="AN239" s="79">
        <f>ERP_34[[#This Row],[2026 Working Total to Budget/LE]]-ERP_34[[#This Row],[Giveback]]</f>
        <v>1351.1499999999999</v>
      </c>
      <c r="AO239" s="81"/>
      <c r="AP239" s="81">
        <v>696.35</v>
      </c>
      <c r="AQ239" s="81">
        <v>599.02</v>
      </c>
      <c r="AR239" s="81">
        <v>55.78</v>
      </c>
      <c r="AS239" s="81">
        <v>0</v>
      </c>
      <c r="AT239" s="81">
        <v>0</v>
      </c>
      <c r="AU239" s="81">
        <v>0</v>
      </c>
      <c r="AV239" s="81">
        <v>0</v>
      </c>
      <c r="AW239" s="81">
        <v>0</v>
      </c>
      <c r="AX239" s="81">
        <v>0</v>
      </c>
      <c r="AY239" s="81">
        <v>0</v>
      </c>
      <c r="AZ239" s="81">
        <v>0</v>
      </c>
      <c r="BA239" s="81">
        <v>0</v>
      </c>
      <c r="BB239" s="81">
        <v>1351.1499999999999</v>
      </c>
      <c r="BC239" s="79">
        <v>696.35</v>
      </c>
      <c r="BD239" s="79">
        <v>599.02</v>
      </c>
      <c r="BE239" s="79">
        <v>55.78</v>
      </c>
      <c r="BF239" s="79">
        <v>600</v>
      </c>
      <c r="BG239" s="79">
        <v>600</v>
      </c>
      <c r="BH239" s="79">
        <v>600</v>
      </c>
      <c r="BI239" s="79">
        <v>600</v>
      </c>
      <c r="BJ239" s="79">
        <v>600</v>
      </c>
      <c r="BK239" s="79">
        <v>600</v>
      </c>
      <c r="BL239" s="79">
        <v>600</v>
      </c>
      <c r="BM239" s="79">
        <v>600</v>
      </c>
      <c r="BN239" s="79">
        <v>600</v>
      </c>
      <c r="BO239" s="79">
        <v>6751.15</v>
      </c>
    </row>
    <row r="240" spans="1:67" s="15" customFormat="1">
      <c r="A240" s="66" t="s">
        <v>1840</v>
      </c>
      <c r="B240" s="66" t="str">
        <f>_xlfn.TEXTJOIN("_",,ERP_34[[#This Row],[LT Member -1*]],ERP_34[[#This Row],[Expense Category]],ERP_34[[#This Row],[Project Code*]])</f>
        <v>Tamavada, Ram_MANAGED SERVICES_IT-FBT0528-OG-US-00</v>
      </c>
      <c r="C240" s="67" t="s">
        <v>1136</v>
      </c>
      <c r="D240" s="67" t="s">
        <v>1135</v>
      </c>
      <c r="E240" s="67" t="s">
        <v>1165</v>
      </c>
      <c r="F240" s="67" t="s">
        <v>1137</v>
      </c>
      <c r="G240" s="68" t="s">
        <v>389</v>
      </c>
      <c r="H240" s="106" t="s">
        <v>1842</v>
      </c>
      <c r="I240" s="70"/>
      <c r="J240" s="70"/>
      <c r="K240" s="114" t="s">
        <v>438</v>
      </c>
      <c r="L240" s="70"/>
      <c r="M240" s="70"/>
      <c r="N240" s="70"/>
      <c r="O240" s="67" t="s">
        <v>439</v>
      </c>
      <c r="P240" s="67"/>
      <c r="Q240" s="71"/>
      <c r="R240" s="72">
        <v>60000</v>
      </c>
      <c r="S240" s="73">
        <v>59587</v>
      </c>
      <c r="T240" s="73">
        <v>60000</v>
      </c>
      <c r="U240" s="71">
        <f>ERP_34[[#This Row],[LE2 Final Submission]]-ERP_34[[#This Row],[LE3 Final Submission]]</f>
        <v>-413</v>
      </c>
      <c r="V240" s="74"/>
      <c r="W240" s="75"/>
      <c r="X240" s="75">
        <v>7840</v>
      </c>
      <c r="Y240" s="76">
        <v>11747</v>
      </c>
      <c r="Z240" s="76">
        <v>5000</v>
      </c>
      <c r="AA240" s="76">
        <v>5000</v>
      </c>
      <c r="AB240" s="76">
        <v>5000</v>
      </c>
      <c r="AC240" s="76">
        <v>5000</v>
      </c>
      <c r="AD240" s="76">
        <v>5000</v>
      </c>
      <c r="AE240" s="76">
        <v>5000</v>
      </c>
      <c r="AF240" s="76">
        <v>5000</v>
      </c>
      <c r="AG240" s="76">
        <v>5000</v>
      </c>
      <c r="AH240" s="77">
        <f t="shared" si="11"/>
        <v>59587</v>
      </c>
      <c r="AI240" s="108">
        <f>ERP_34[[#This Row],[2026 Working Total]]-ERP_34[[#This Row],[2026 LE0]]</f>
        <v>-413</v>
      </c>
      <c r="AJ240" s="79"/>
      <c r="AK240" s="79"/>
      <c r="AL2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0" s="80"/>
      <c r="AN240" s="79">
        <f>ERP_34[[#This Row],[2026 Working Total to Budget/LE]]-ERP_34[[#This Row],[Giveback]]</f>
        <v>-413</v>
      </c>
      <c r="AO240" s="81"/>
      <c r="AP240" s="81"/>
      <c r="AQ240" s="81"/>
      <c r="AR240" s="81">
        <v>7840</v>
      </c>
      <c r="AS240" s="81">
        <v>11747</v>
      </c>
      <c r="AT240" s="81">
        <v>5000</v>
      </c>
      <c r="AU240" s="81">
        <v>5000</v>
      </c>
      <c r="AV240" s="81">
        <v>5000</v>
      </c>
      <c r="AW240" s="81">
        <v>5000</v>
      </c>
      <c r="AX240" s="81">
        <v>5000</v>
      </c>
      <c r="AY240" s="81">
        <v>5000</v>
      </c>
      <c r="AZ240" s="81">
        <v>5000</v>
      </c>
      <c r="BA240" s="81">
        <v>5000</v>
      </c>
      <c r="BB240" s="81">
        <v>59587</v>
      </c>
      <c r="BC240" s="79"/>
      <c r="BD240" s="79"/>
      <c r="BE240" s="79">
        <v>7840</v>
      </c>
      <c r="BF240" s="79">
        <v>5000</v>
      </c>
      <c r="BG240" s="79">
        <v>5000</v>
      </c>
      <c r="BH240" s="79">
        <v>5000</v>
      </c>
      <c r="BI240" s="79">
        <v>5000</v>
      </c>
      <c r="BJ240" s="79">
        <v>5000</v>
      </c>
      <c r="BK240" s="79">
        <v>5000</v>
      </c>
      <c r="BL240" s="79">
        <v>5000</v>
      </c>
      <c r="BM240" s="79">
        <v>5000</v>
      </c>
      <c r="BN240" s="79">
        <v>5000</v>
      </c>
      <c r="BO240" s="79">
        <v>52840</v>
      </c>
    </row>
    <row r="241" spans="1:67">
      <c r="A241" s="66" t="s">
        <v>1466</v>
      </c>
      <c r="B241" s="66" t="str">
        <f>_xlfn.TEXTJOIN("_",,ERP_34[[#This Row],[LT Member -1*]],ERP_34[[#This Row],[Expense Category]],ERP_34[[#This Row],[Project Code*]])</f>
        <v>Herman, Shaun_CONTRACTORS_IT-FBT0541-OG-US-00</v>
      </c>
      <c r="C241" s="67" t="s">
        <v>1136</v>
      </c>
      <c r="D241" s="67" t="s">
        <v>1345</v>
      </c>
      <c r="E241" s="67" t="s">
        <v>1450</v>
      </c>
      <c r="F241" s="67" t="s">
        <v>1346</v>
      </c>
      <c r="G241" s="68" t="s">
        <v>49</v>
      </c>
      <c r="H241" s="106" t="s">
        <v>1467</v>
      </c>
      <c r="I241" s="70"/>
      <c r="J241" s="70"/>
      <c r="K241" s="70" t="s">
        <v>216</v>
      </c>
      <c r="L241" s="70"/>
      <c r="M241" s="70"/>
      <c r="N241" s="70"/>
      <c r="O241" s="67" t="s">
        <v>217</v>
      </c>
      <c r="P241" s="67"/>
      <c r="Q241" s="71"/>
      <c r="R241" s="72">
        <v>6000</v>
      </c>
      <c r="S241" s="73">
        <v>0</v>
      </c>
      <c r="T241" s="73">
        <v>6000</v>
      </c>
      <c r="U241" s="71">
        <f>ERP_34[[#This Row],[LE2 Final Submission]]-ERP_34[[#This Row],[LE3 Final Submission]]</f>
        <v>-6000</v>
      </c>
      <c r="V241" s="74"/>
      <c r="W241" s="75"/>
      <c r="X241" s="75"/>
      <c r="Y241" s="76"/>
      <c r="Z241" s="76"/>
      <c r="AA241" s="76"/>
      <c r="AB241" s="76"/>
      <c r="AC241" s="76"/>
      <c r="AD241" s="76"/>
      <c r="AE241" s="76"/>
      <c r="AF241" s="76"/>
      <c r="AG241" s="76"/>
      <c r="AH241" s="77">
        <f t="shared" si="11"/>
        <v>0</v>
      </c>
      <c r="AI241" s="108">
        <f>ERP_34[[#This Row],[2026 Working Total]]-ERP_34[[#This Row],[2026 LE0]]</f>
        <v>-6000</v>
      </c>
      <c r="AJ241" s="79"/>
      <c r="AK241" s="79"/>
      <c r="AL2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1" s="80"/>
      <c r="AN241" s="79">
        <f>ERP_34[[#This Row],[2026 Working Total to Budget/LE]]-ERP_34[[#This Row],[Giveback]]</f>
        <v>-6000</v>
      </c>
      <c r="AO241" s="81" t="s">
        <v>1465</v>
      </c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>
        <v>0</v>
      </c>
      <c r="BC241" s="79"/>
      <c r="BD241" s="79"/>
      <c r="BE241" s="79"/>
      <c r="BF241" s="79">
        <v>500</v>
      </c>
      <c r="BG241" s="79">
        <v>500</v>
      </c>
      <c r="BH241" s="79">
        <v>500</v>
      </c>
      <c r="BI241" s="79">
        <v>500</v>
      </c>
      <c r="BJ241" s="79">
        <v>500</v>
      </c>
      <c r="BK241" s="79">
        <v>500</v>
      </c>
      <c r="BL241" s="79">
        <v>500</v>
      </c>
      <c r="BM241" s="79">
        <v>500</v>
      </c>
      <c r="BN241" s="79">
        <v>500</v>
      </c>
      <c r="BO241" s="79">
        <v>4500</v>
      </c>
    </row>
    <row r="242" spans="1:67">
      <c r="A242" s="66" t="s">
        <v>2038</v>
      </c>
      <c r="B242" s="66" t="str">
        <f>_xlfn.TEXTJOIN("_",,ERP_34[[#This Row],[LT Member -1*]],ERP_34[[#This Row],[Expense Category]],ERP_34[[#This Row],[Project Code*]])</f>
        <v>Herman, Shaun_MANAGED SERVICES_IT-FBT0541-OG-US-00</v>
      </c>
      <c r="C242" s="67" t="s">
        <v>1136</v>
      </c>
      <c r="D242" s="67" t="s">
        <v>1345</v>
      </c>
      <c r="E242" s="67" t="s">
        <v>1450</v>
      </c>
      <c r="F242" s="67" t="s">
        <v>1346</v>
      </c>
      <c r="G242" s="68" t="s">
        <v>389</v>
      </c>
      <c r="H242" s="106" t="s">
        <v>1467</v>
      </c>
      <c r="I242" s="70"/>
      <c r="J242" s="70"/>
      <c r="K242" s="70" t="s">
        <v>216</v>
      </c>
      <c r="L242" s="70"/>
      <c r="M242" s="70"/>
      <c r="N242" s="70"/>
      <c r="O242" s="67" t="s">
        <v>217</v>
      </c>
      <c r="P242" s="67"/>
      <c r="Q242" s="71"/>
      <c r="R242" s="72">
        <v>0</v>
      </c>
      <c r="S242" s="73">
        <v>7906.64</v>
      </c>
      <c r="T242" s="73">
        <v>0</v>
      </c>
      <c r="U242" s="71">
        <f>ERP_34[[#This Row],[LE2 Final Submission]]-ERP_34[[#This Row],[LE3 Final Submission]]</f>
        <v>7906.64</v>
      </c>
      <c r="V242" s="74">
        <v>988.33</v>
      </c>
      <c r="W242" s="75">
        <v>988.33</v>
      </c>
      <c r="X242" s="75">
        <v>988.33</v>
      </c>
      <c r="Y242" s="109">
        <v>988.33</v>
      </c>
      <c r="Z242" s="109">
        <v>988.33</v>
      </c>
      <c r="AA242" s="109">
        <v>988.33</v>
      </c>
      <c r="AB242" s="109">
        <v>988.33</v>
      </c>
      <c r="AC242" s="109">
        <v>988.33</v>
      </c>
      <c r="AD242" s="109">
        <v>0</v>
      </c>
      <c r="AE242" s="109">
        <v>0</v>
      </c>
      <c r="AF242" s="109">
        <v>0</v>
      </c>
      <c r="AG242" s="109">
        <v>0</v>
      </c>
      <c r="AH242" s="77">
        <f t="shared" si="11"/>
        <v>7906.64</v>
      </c>
      <c r="AI242" s="108">
        <f>ERP_34[[#This Row],[2026 Working Total]]-ERP_34[[#This Row],[2026 LE0]]</f>
        <v>7906.64</v>
      </c>
      <c r="AJ242" s="79"/>
      <c r="AK242" s="79"/>
      <c r="AL2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2" s="80"/>
      <c r="AN242" s="79">
        <f>ERP_34[[#This Row],[2026 Working Total to Budget/LE]]-ERP_34[[#This Row],[Giveback]]</f>
        <v>7906.64</v>
      </c>
      <c r="AO242" s="81" t="s">
        <v>2037</v>
      </c>
      <c r="AP242" s="81">
        <v>988.33</v>
      </c>
      <c r="AQ242" s="81">
        <v>988.33</v>
      </c>
      <c r="AR242" s="81">
        <v>988.33</v>
      </c>
      <c r="AS242" s="81">
        <v>988.33</v>
      </c>
      <c r="AT242" s="81">
        <v>988.33</v>
      </c>
      <c r="AU242" s="81">
        <v>988.33</v>
      </c>
      <c r="AV242" s="81">
        <v>988.33</v>
      </c>
      <c r="AW242" s="81">
        <v>988.33</v>
      </c>
      <c r="AX242" s="81">
        <v>0</v>
      </c>
      <c r="AY242" s="81">
        <v>0</v>
      </c>
      <c r="AZ242" s="81">
        <v>0</v>
      </c>
      <c r="BA242" s="81">
        <v>0</v>
      </c>
      <c r="BB242" s="81">
        <v>7906.64</v>
      </c>
      <c r="BC242" s="79">
        <v>988.33</v>
      </c>
      <c r="BD242" s="79">
        <v>988.33</v>
      </c>
      <c r="BE242" s="79">
        <v>988.33</v>
      </c>
      <c r="BF242" s="79">
        <v>0</v>
      </c>
      <c r="BG242" s="79">
        <v>0</v>
      </c>
      <c r="BH242" s="79">
        <v>0</v>
      </c>
      <c r="BI242" s="79">
        <v>0</v>
      </c>
      <c r="BJ242" s="79">
        <v>0</v>
      </c>
      <c r="BK242" s="79">
        <v>0</v>
      </c>
      <c r="BL242" s="79">
        <v>0</v>
      </c>
      <c r="BM242" s="79">
        <v>0</v>
      </c>
      <c r="BN242" s="79">
        <v>0</v>
      </c>
      <c r="BO242" s="79">
        <v>2964.9900000000002</v>
      </c>
    </row>
    <row r="243" spans="1:67">
      <c r="A243" s="66" t="s">
        <v>1385</v>
      </c>
      <c r="B243" s="66" t="str">
        <f>_xlfn.TEXTJOIN("_",,ERP_34[[#This Row],[LT Member -1*]],ERP_34[[#This Row],[Expense Category]],ERP_34[[#This Row],[Project Code*]])</f>
        <v>Ganesan, Srinivasan_CONTRACTORS_IT-FBT0544-OG-US-00</v>
      </c>
      <c r="C243" s="67" t="s">
        <v>1136</v>
      </c>
      <c r="D243" s="67" t="s">
        <v>1345</v>
      </c>
      <c r="E243" s="67" t="s">
        <v>1344</v>
      </c>
      <c r="F243" s="67" t="s">
        <v>1346</v>
      </c>
      <c r="G243" s="68" t="s">
        <v>49</v>
      </c>
      <c r="H243" s="106" t="s">
        <v>1386</v>
      </c>
      <c r="I243" s="70"/>
      <c r="J243" s="70"/>
      <c r="K243" s="70" t="s">
        <v>177</v>
      </c>
      <c r="L243" s="70"/>
      <c r="M243" s="70"/>
      <c r="N243" s="70"/>
      <c r="O243" s="67" t="s">
        <v>25</v>
      </c>
      <c r="P243" s="67"/>
      <c r="Q243" s="71"/>
      <c r="R243" s="72">
        <v>1452300</v>
      </c>
      <c r="S243" s="73">
        <v>963567.79</v>
      </c>
      <c r="T243" s="73">
        <v>1452300</v>
      </c>
      <c r="U243" s="71">
        <f>ERP_34[[#This Row],[LE2 Final Submission]]-ERP_34[[#This Row],[LE3 Final Submission]]</f>
        <v>-488732.20999999996</v>
      </c>
      <c r="V243" s="74">
        <v>48462.57</v>
      </c>
      <c r="W243" s="75">
        <v>207334.66</v>
      </c>
      <c r="X243" s="75">
        <v>98620.56</v>
      </c>
      <c r="Y243" s="76">
        <v>132050</v>
      </c>
      <c r="Z243" s="76">
        <v>132050</v>
      </c>
      <c r="AA243" s="76">
        <v>132050</v>
      </c>
      <c r="AB243" s="76">
        <v>68000</v>
      </c>
      <c r="AC243" s="76">
        <v>29000</v>
      </c>
      <c r="AD243" s="76">
        <v>29000</v>
      </c>
      <c r="AE243" s="76">
        <v>29000</v>
      </c>
      <c r="AF243" s="76">
        <v>29000</v>
      </c>
      <c r="AG243" s="76">
        <v>29000</v>
      </c>
      <c r="AH243" s="77">
        <f t="shared" si="11"/>
        <v>963567.79</v>
      </c>
      <c r="AI243" s="108">
        <f>ERP_34[[#This Row],[2026 Working Total]]-ERP_34[[#This Row],[2026 LE0]]</f>
        <v>-488732.20999999996</v>
      </c>
      <c r="AJ243" s="79"/>
      <c r="AK243" s="79"/>
      <c r="AL2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3" s="80">
        <v>488000</v>
      </c>
      <c r="AN243" s="79">
        <f>ERP_34[[#This Row],[2026 Working Total to Budget/LE]]-ERP_34[[#This Row],[Giveback]]</f>
        <v>-976732.21</v>
      </c>
      <c r="AO243" s="81" t="s">
        <v>1389</v>
      </c>
      <c r="AP243" s="81">
        <v>48462.57</v>
      </c>
      <c r="AQ243" s="81">
        <v>207334.66</v>
      </c>
      <c r="AR243" s="81">
        <v>98620.56</v>
      </c>
      <c r="AS243" s="81">
        <v>132050</v>
      </c>
      <c r="AT243" s="81">
        <v>132050</v>
      </c>
      <c r="AU243" s="81">
        <v>132050</v>
      </c>
      <c r="AV243" s="81">
        <v>68000</v>
      </c>
      <c r="AW243" s="81">
        <v>29000</v>
      </c>
      <c r="AX243" s="81">
        <v>29000</v>
      </c>
      <c r="AY243" s="81">
        <v>29000</v>
      </c>
      <c r="AZ243" s="81">
        <v>29000</v>
      </c>
      <c r="BA243" s="81">
        <v>29000</v>
      </c>
      <c r="BB243" s="81">
        <v>963567.79</v>
      </c>
      <c r="BC243" s="79">
        <v>48462.57</v>
      </c>
      <c r="BD243" s="79">
        <v>207334.66</v>
      </c>
      <c r="BE243" s="79">
        <v>98620.56</v>
      </c>
      <c r="BF243" s="79">
        <v>132050</v>
      </c>
      <c r="BG243" s="79">
        <v>132050</v>
      </c>
      <c r="BH243" s="79">
        <v>132050</v>
      </c>
      <c r="BI243" s="79">
        <v>108302.77</v>
      </c>
      <c r="BJ243" s="79">
        <v>100000</v>
      </c>
      <c r="BK243" s="79">
        <v>100000</v>
      </c>
      <c r="BL243" s="79">
        <v>100000</v>
      </c>
      <c r="BM243" s="79">
        <v>100000</v>
      </c>
      <c r="BN243" s="79">
        <v>100000</v>
      </c>
      <c r="BO243" s="79">
        <v>1358870.56</v>
      </c>
    </row>
    <row r="244" spans="1:67">
      <c r="A244" s="66" t="s">
        <v>1390</v>
      </c>
      <c r="B244" s="66" t="str">
        <f>_xlfn.TEXTJOIN("_",,ERP_34[[#This Row],[LT Member -1*]],ERP_34[[#This Row],[Expense Category]],ERP_34[[#This Row],[Project Code*]])</f>
        <v>Ganesan, Srinivasan_CONTRACTORS_IT-FBT0545-OG-US-00</v>
      </c>
      <c r="C244" s="67" t="s">
        <v>1136</v>
      </c>
      <c r="D244" s="67" t="s">
        <v>1345</v>
      </c>
      <c r="E244" s="67" t="s">
        <v>1344</v>
      </c>
      <c r="F244" s="67" t="s">
        <v>1346</v>
      </c>
      <c r="G244" s="68" t="s">
        <v>49</v>
      </c>
      <c r="H244" s="106" t="s">
        <v>1391</v>
      </c>
      <c r="I244" s="70"/>
      <c r="J244" s="70"/>
      <c r="K244" s="70" t="s">
        <v>179</v>
      </c>
      <c r="L244" s="70"/>
      <c r="M244" s="70"/>
      <c r="N244" s="70"/>
      <c r="O244" s="67" t="s">
        <v>25</v>
      </c>
      <c r="P244" s="67"/>
      <c r="Q244" s="71"/>
      <c r="R244" s="72">
        <v>486372.24000000005</v>
      </c>
      <c r="S244" s="73">
        <v>426376.62</v>
      </c>
      <c r="T244" s="73">
        <v>486372.24000000005</v>
      </c>
      <c r="U244" s="71">
        <f>ERP_34[[#This Row],[LE2 Final Submission]]-ERP_34[[#This Row],[LE3 Final Submission]]</f>
        <v>-59995.620000000054</v>
      </c>
      <c r="V244" s="74">
        <v>58570.53</v>
      </c>
      <c r="W244" s="75">
        <v>65599.81</v>
      </c>
      <c r="X244" s="75">
        <v>81999.28</v>
      </c>
      <c r="Y244" s="76">
        <v>70019</v>
      </c>
      <c r="Z244" s="76">
        <v>70019</v>
      </c>
      <c r="AA244" s="76">
        <v>70019</v>
      </c>
      <c r="AB244" s="76">
        <v>10150</v>
      </c>
      <c r="AC244" s="76">
        <v>0</v>
      </c>
      <c r="AD244" s="109">
        <v>0</v>
      </c>
      <c r="AE244" s="109">
        <v>0</v>
      </c>
      <c r="AF244" s="109">
        <v>0</v>
      </c>
      <c r="AG244" s="109">
        <v>0</v>
      </c>
      <c r="AH244" s="77">
        <f t="shared" si="11"/>
        <v>426376.62</v>
      </c>
      <c r="AI244" s="108">
        <f>ERP_34[[#This Row],[2026 Working Total]]-ERP_34[[#This Row],[2026 LE0]]</f>
        <v>-59995.620000000054</v>
      </c>
      <c r="AJ244" s="79"/>
      <c r="AK244" s="79"/>
      <c r="AL2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4" s="80">
        <v>60000</v>
      </c>
      <c r="AN244" s="79">
        <f>ERP_34[[#This Row],[2026 Working Total to Budget/LE]]-ERP_34[[#This Row],[Giveback]]</f>
        <v>-119995.62000000005</v>
      </c>
      <c r="AO244" s="81" t="s">
        <v>1393</v>
      </c>
      <c r="AP244" s="81">
        <v>58570.53</v>
      </c>
      <c r="AQ244" s="81">
        <v>65599.81</v>
      </c>
      <c r="AR244" s="81">
        <v>81999.28</v>
      </c>
      <c r="AS244" s="81">
        <v>70019</v>
      </c>
      <c r="AT244" s="81">
        <v>70019</v>
      </c>
      <c r="AU244" s="81">
        <v>70019</v>
      </c>
      <c r="AV244" s="81">
        <v>10150</v>
      </c>
      <c r="AW244" s="81">
        <v>0</v>
      </c>
      <c r="AX244" s="81">
        <v>0</v>
      </c>
      <c r="AY244" s="81">
        <v>0</v>
      </c>
      <c r="AZ244" s="81">
        <v>0</v>
      </c>
      <c r="BA244" s="81">
        <v>0</v>
      </c>
      <c r="BB244" s="81">
        <v>426376.62</v>
      </c>
      <c r="BC244" s="79">
        <v>58570.53</v>
      </c>
      <c r="BD244" s="79">
        <v>65599.81</v>
      </c>
      <c r="BE244" s="79">
        <v>81999.28</v>
      </c>
      <c r="BF244" s="79">
        <v>69224</v>
      </c>
      <c r="BG244" s="79">
        <v>69224</v>
      </c>
      <c r="BH244" s="79">
        <v>69224</v>
      </c>
      <c r="BI244" s="79">
        <v>71025</v>
      </c>
      <c r="BJ244" s="79">
        <v>15160</v>
      </c>
      <c r="BK244" s="79">
        <v>0</v>
      </c>
      <c r="BL244" s="79">
        <v>0</v>
      </c>
      <c r="BM244" s="79">
        <v>0</v>
      </c>
      <c r="BN244" s="79">
        <v>0</v>
      </c>
      <c r="BO244" s="79">
        <v>500026.62</v>
      </c>
    </row>
    <row r="245" spans="1:67">
      <c r="A245" s="66" t="s">
        <v>1394</v>
      </c>
      <c r="B245" s="66" t="str">
        <f>_xlfn.TEXTJOIN("_",,ERP_34[[#This Row],[LT Member -1*]],ERP_34[[#This Row],[Expense Category]],ERP_34[[#This Row],[Project Code*]])</f>
        <v>Ganesan, Srinivasan_CONTRACTORS_IT-FBT0546-OG-US-00</v>
      </c>
      <c r="C245" s="67" t="s">
        <v>1136</v>
      </c>
      <c r="D245" s="67" t="s">
        <v>1345</v>
      </c>
      <c r="E245" s="67" t="s">
        <v>1344</v>
      </c>
      <c r="F245" s="67" t="s">
        <v>1346</v>
      </c>
      <c r="G245" s="68" t="s">
        <v>49</v>
      </c>
      <c r="H245" s="106" t="s">
        <v>1395</v>
      </c>
      <c r="I245" s="70"/>
      <c r="J245" s="70"/>
      <c r="K245" s="70" t="s">
        <v>181</v>
      </c>
      <c r="L245" s="70"/>
      <c r="M245" s="70"/>
      <c r="N245" s="70"/>
      <c r="O245" s="67" t="s">
        <v>119</v>
      </c>
      <c r="P245" s="67"/>
      <c r="Q245" s="71"/>
      <c r="R245" s="72">
        <v>50000</v>
      </c>
      <c r="S245" s="73">
        <v>50000</v>
      </c>
      <c r="T245" s="73">
        <v>50000</v>
      </c>
      <c r="U245" s="71">
        <f>ERP_34[[#This Row],[LE2 Final Submission]]-ERP_34[[#This Row],[LE3 Final Submission]]</f>
        <v>0</v>
      </c>
      <c r="V245" s="74"/>
      <c r="W245" s="75"/>
      <c r="X245" s="75"/>
      <c r="Y245" s="76"/>
      <c r="Z245" s="76"/>
      <c r="AA245" s="76"/>
      <c r="AB245" s="76"/>
      <c r="AC245" s="76">
        <v>50000</v>
      </c>
      <c r="AD245" s="109">
        <v>0</v>
      </c>
      <c r="AE245" s="109">
        <v>0</v>
      </c>
      <c r="AF245" s="109">
        <v>0</v>
      </c>
      <c r="AG245" s="109">
        <v>0</v>
      </c>
      <c r="AH245" s="77">
        <f t="shared" si="11"/>
        <v>50000</v>
      </c>
      <c r="AI245" s="108">
        <f>ERP_34[[#This Row],[2026 Working Total]]-ERP_34[[#This Row],[2026 LE0]]</f>
        <v>0</v>
      </c>
      <c r="AJ245" s="79"/>
      <c r="AK245" s="79"/>
      <c r="AL2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5" s="80"/>
      <c r="AN245" s="79">
        <f>ERP_34[[#This Row],[2026 Working Total to Budget/LE]]-ERP_34[[#This Row],[Giveback]]</f>
        <v>0</v>
      </c>
      <c r="AO245" s="81"/>
      <c r="AP245" s="81"/>
      <c r="AQ245" s="81"/>
      <c r="AR245" s="81"/>
      <c r="AS245" s="81"/>
      <c r="AT245" s="81"/>
      <c r="AU245" s="81"/>
      <c r="AV245" s="81"/>
      <c r="AW245" s="81">
        <v>50000</v>
      </c>
      <c r="AX245" s="81">
        <v>0</v>
      </c>
      <c r="AY245" s="81">
        <v>0</v>
      </c>
      <c r="AZ245" s="81">
        <v>0</v>
      </c>
      <c r="BA245" s="81">
        <v>0</v>
      </c>
      <c r="BB245" s="81">
        <v>50000</v>
      </c>
      <c r="BC245" s="79"/>
      <c r="BD245" s="79"/>
      <c r="BE245" s="79"/>
      <c r="BF245" s="79"/>
      <c r="BG245" s="79"/>
      <c r="BH245" s="79"/>
      <c r="BI245" s="79"/>
      <c r="BJ245" s="79">
        <v>50000</v>
      </c>
      <c r="BK245" s="79">
        <v>0</v>
      </c>
      <c r="BL245" s="79">
        <v>0</v>
      </c>
      <c r="BM245" s="79">
        <v>0</v>
      </c>
      <c r="BN245" s="79">
        <v>0</v>
      </c>
      <c r="BO245" s="79">
        <v>50000</v>
      </c>
    </row>
    <row r="246" spans="1:67">
      <c r="A246" s="66" t="s">
        <v>1654</v>
      </c>
      <c r="B246" s="66" t="str">
        <f>_xlfn.TEXTJOIN("_",,ERP_34[[#This Row],[LT Member -1*]],ERP_34[[#This Row],[Expense Category]],ERP_34[[#This Row],[Project Code*]])</f>
        <v>Robertson, Jerome_CONTRACTORS_IT-FBT0572-OG-US-00</v>
      </c>
      <c r="C246" s="67" t="s">
        <v>1136</v>
      </c>
      <c r="D246" s="67" t="s">
        <v>1650</v>
      </c>
      <c r="E246" s="67" t="s">
        <v>1650</v>
      </c>
      <c r="F246" s="67" t="s">
        <v>1650</v>
      </c>
      <c r="G246" s="68" t="s">
        <v>49</v>
      </c>
      <c r="H246" s="106" t="s">
        <v>1655</v>
      </c>
      <c r="I246" s="70"/>
      <c r="J246" s="70"/>
      <c r="K246" s="70" t="s">
        <v>327</v>
      </c>
      <c r="L246" s="70"/>
      <c r="M246" s="70"/>
      <c r="N246" s="70"/>
      <c r="O246" s="67" t="s">
        <v>328</v>
      </c>
      <c r="P246" s="67" t="s">
        <v>1656</v>
      </c>
      <c r="Q246" s="71"/>
      <c r="R246" s="72">
        <v>224004</v>
      </c>
      <c r="S246" s="73">
        <v>53297.440000000002</v>
      </c>
      <c r="T246" s="73">
        <v>224004</v>
      </c>
      <c r="U246" s="71">
        <f>ERP_34[[#This Row],[LE2 Final Submission]]-ERP_34[[#This Row],[LE3 Final Submission]]</f>
        <v>-170706.56</v>
      </c>
      <c r="V246" s="74">
        <v>15089.11</v>
      </c>
      <c r="W246" s="75">
        <v>16899.45</v>
      </c>
      <c r="X246" s="75">
        <v>21308.880000000001</v>
      </c>
      <c r="Y246" s="76">
        <v>0</v>
      </c>
      <c r="Z246" s="76">
        <v>0</v>
      </c>
      <c r="AA246" s="76">
        <v>0</v>
      </c>
      <c r="AB246" s="76">
        <v>0</v>
      </c>
      <c r="AC246" s="76">
        <v>0</v>
      </c>
      <c r="AD246" s="76">
        <v>0</v>
      </c>
      <c r="AE246" s="76">
        <v>0</v>
      </c>
      <c r="AF246" s="76">
        <v>0</v>
      </c>
      <c r="AG246" s="76">
        <v>0</v>
      </c>
      <c r="AH246" s="77">
        <f t="shared" si="11"/>
        <v>53297.440000000002</v>
      </c>
      <c r="AI246" s="108">
        <f>ERP_34[[#This Row],[2026 Working Total]]-ERP_34[[#This Row],[2026 LE0]]</f>
        <v>-170706.56</v>
      </c>
      <c r="AJ246" s="79"/>
      <c r="AK246" s="79"/>
      <c r="AL2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6" s="80"/>
      <c r="AN246" s="79">
        <f>ERP_34[[#This Row],[2026 Working Total to Budget/LE]]-ERP_34[[#This Row],[Giveback]]</f>
        <v>-170706.56</v>
      </c>
      <c r="AO246" s="81"/>
      <c r="AP246" s="81">
        <v>15089.11</v>
      </c>
      <c r="AQ246" s="81">
        <v>16899.45</v>
      </c>
      <c r="AR246" s="81">
        <v>21308.880000000001</v>
      </c>
      <c r="AS246" s="81">
        <v>0</v>
      </c>
      <c r="AT246" s="81">
        <v>0</v>
      </c>
      <c r="AU246" s="81">
        <v>0</v>
      </c>
      <c r="AV246" s="81">
        <v>0</v>
      </c>
      <c r="AW246" s="81">
        <v>0</v>
      </c>
      <c r="AX246" s="81">
        <v>0</v>
      </c>
      <c r="AY246" s="81">
        <v>0</v>
      </c>
      <c r="AZ246" s="81">
        <v>0</v>
      </c>
      <c r="BA246" s="81">
        <v>0</v>
      </c>
      <c r="BB246" s="81">
        <v>53297.440000000002</v>
      </c>
      <c r="BC246" s="79">
        <v>15089.11</v>
      </c>
      <c r="BD246" s="79">
        <v>16899.45</v>
      </c>
      <c r="BE246" s="79">
        <v>21308.880000000001</v>
      </c>
      <c r="BF246" s="79">
        <v>18667</v>
      </c>
      <c r="BG246" s="79">
        <v>18667</v>
      </c>
      <c r="BH246" s="79">
        <v>18667</v>
      </c>
      <c r="BI246" s="79">
        <v>18667</v>
      </c>
      <c r="BJ246" s="79">
        <v>18667</v>
      </c>
      <c r="BK246" s="79">
        <v>18667</v>
      </c>
      <c r="BL246" s="79">
        <v>18667</v>
      </c>
      <c r="BM246" s="79">
        <v>18667</v>
      </c>
      <c r="BN246" s="79">
        <v>18667</v>
      </c>
      <c r="BO246" s="79">
        <v>221300.44</v>
      </c>
    </row>
    <row r="247" spans="1:67">
      <c r="A247" s="66" t="s">
        <v>1657</v>
      </c>
      <c r="B247" s="66" t="str">
        <f>_xlfn.TEXTJOIN("_",,ERP_34[[#This Row],[LT Member -1*]],ERP_34[[#This Row],[Expense Category]],ERP_34[[#This Row],[Project Code*]])</f>
        <v>Robertson, Jerome_CONTRACTORS_IT-FBT0573-OG-US-00</v>
      </c>
      <c r="C247" s="67" t="s">
        <v>1136</v>
      </c>
      <c r="D247" s="67" t="s">
        <v>1650</v>
      </c>
      <c r="E247" s="67" t="s">
        <v>1650</v>
      </c>
      <c r="F247" s="67" t="s">
        <v>1650</v>
      </c>
      <c r="G247" s="68" t="s">
        <v>49</v>
      </c>
      <c r="H247" s="106" t="s">
        <v>1658</v>
      </c>
      <c r="I247" s="70"/>
      <c r="J247" s="70"/>
      <c r="K247" s="70" t="s">
        <v>330</v>
      </c>
      <c r="L247" s="70"/>
      <c r="M247" s="70"/>
      <c r="N247" s="70"/>
      <c r="O247" s="67" t="s">
        <v>67</v>
      </c>
      <c r="P247" s="67"/>
      <c r="Q247" s="71"/>
      <c r="R247" s="72">
        <v>0</v>
      </c>
      <c r="S247" s="73">
        <v>112717.21</v>
      </c>
      <c r="T247" s="73">
        <v>0</v>
      </c>
      <c r="U247" s="71">
        <f>ERP_34[[#This Row],[LE2 Final Submission]]-ERP_34[[#This Row],[LE3 Final Submission]]</f>
        <v>112717.21</v>
      </c>
      <c r="V247" s="74">
        <v>94047.88</v>
      </c>
      <c r="W247" s="75">
        <v>124852.13</v>
      </c>
      <c r="X247" s="75">
        <v>-106182.8</v>
      </c>
      <c r="Y247" s="109">
        <v>0</v>
      </c>
      <c r="Z247" s="109">
        <v>0</v>
      </c>
      <c r="AA247" s="109">
        <v>0</v>
      </c>
      <c r="AB247" s="109">
        <v>0</v>
      </c>
      <c r="AC247" s="109">
        <v>0</v>
      </c>
      <c r="AD247" s="109">
        <v>0</v>
      </c>
      <c r="AE247" s="109">
        <v>0</v>
      </c>
      <c r="AF247" s="109">
        <v>0</v>
      </c>
      <c r="AG247" s="109">
        <v>0</v>
      </c>
      <c r="AH247" s="77">
        <f t="shared" si="11"/>
        <v>112717.21</v>
      </c>
      <c r="AI247" s="108">
        <f>ERP_34[[#This Row],[2026 Working Total]]-ERP_34[[#This Row],[2026 LE0]]</f>
        <v>112717.21</v>
      </c>
      <c r="AJ247" s="79"/>
      <c r="AK247" s="79"/>
      <c r="AL2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7" s="80"/>
      <c r="AN247" s="79">
        <f>ERP_34[[#This Row],[2026 Working Total to Budget/LE]]-ERP_34[[#This Row],[Giveback]]</f>
        <v>112717.21</v>
      </c>
      <c r="AO247" s="81"/>
      <c r="AP247" s="81">
        <v>94047.88</v>
      </c>
      <c r="AQ247" s="81">
        <v>124852.13</v>
      </c>
      <c r="AR247" s="81">
        <v>-106182.8</v>
      </c>
      <c r="AS247" s="81">
        <v>0</v>
      </c>
      <c r="AT247" s="81">
        <v>0</v>
      </c>
      <c r="AU247" s="81">
        <v>0</v>
      </c>
      <c r="AV247" s="81">
        <v>0</v>
      </c>
      <c r="AW247" s="81">
        <v>0</v>
      </c>
      <c r="AX247" s="81">
        <v>0</v>
      </c>
      <c r="AY247" s="81">
        <v>0</v>
      </c>
      <c r="AZ247" s="81">
        <v>0</v>
      </c>
      <c r="BA247" s="81">
        <v>0</v>
      </c>
      <c r="BB247" s="81">
        <v>112717.21</v>
      </c>
      <c r="BC247" s="79">
        <v>94047.88</v>
      </c>
      <c r="BD247" s="79">
        <v>124852.13</v>
      </c>
      <c r="BE247" s="79">
        <v>-106182.8</v>
      </c>
      <c r="BF247" s="79">
        <v>0</v>
      </c>
      <c r="BG247" s="79">
        <v>0</v>
      </c>
      <c r="BH247" s="79">
        <v>0</v>
      </c>
      <c r="BI247" s="79">
        <v>0</v>
      </c>
      <c r="BJ247" s="79">
        <v>0</v>
      </c>
      <c r="BK247" s="79">
        <v>0</v>
      </c>
      <c r="BL247" s="79">
        <v>0</v>
      </c>
      <c r="BM247" s="79">
        <v>0</v>
      </c>
      <c r="BN247" s="79">
        <v>0</v>
      </c>
      <c r="BO247" s="79">
        <v>112717.21</v>
      </c>
    </row>
    <row r="248" spans="1:67">
      <c r="A248" s="66" t="s">
        <v>2139</v>
      </c>
      <c r="B248" s="66" t="str">
        <f>_xlfn.TEXTJOIN("_",,ERP_34[[#This Row],[LT Member -1*]],ERP_34[[#This Row],[Expense Category]],ERP_34[[#This Row],[Project Code*]])</f>
        <v>Robertson, Jerome_MANAGED SERVICES_IT-FBT0573-OG-US-00</v>
      </c>
      <c r="C248" s="67" t="s">
        <v>1136</v>
      </c>
      <c r="D248" s="67" t="s">
        <v>1650</v>
      </c>
      <c r="E248" s="67" t="s">
        <v>1650</v>
      </c>
      <c r="F248" s="67" t="s">
        <v>1650</v>
      </c>
      <c r="G248" s="68" t="s">
        <v>389</v>
      </c>
      <c r="H248" s="106" t="s">
        <v>1658</v>
      </c>
      <c r="I248" s="70"/>
      <c r="J248" s="70"/>
      <c r="K248" s="70" t="s">
        <v>330</v>
      </c>
      <c r="L248" s="70"/>
      <c r="M248" s="70"/>
      <c r="N248" s="70"/>
      <c r="O248" s="67" t="s">
        <v>67</v>
      </c>
      <c r="P248" s="67"/>
      <c r="Q248" s="71"/>
      <c r="R248" s="72">
        <v>1274196</v>
      </c>
      <c r="S248" s="73">
        <v>1157512.03</v>
      </c>
      <c r="T248" s="73">
        <v>1274196</v>
      </c>
      <c r="U248" s="71">
        <f>ERP_34[[#This Row],[LE2 Final Submission]]-ERP_34[[#This Row],[LE3 Final Submission]]</f>
        <v>-116683.96999999997</v>
      </c>
      <c r="V248" s="74"/>
      <c r="W248" s="75"/>
      <c r="X248" s="75">
        <v>201865.03</v>
      </c>
      <c r="Y248" s="76">
        <v>106183</v>
      </c>
      <c r="Z248" s="76">
        <v>106183</v>
      </c>
      <c r="AA248" s="76">
        <v>106183</v>
      </c>
      <c r="AB248" s="76">
        <v>106183</v>
      </c>
      <c r="AC248" s="76">
        <v>106183</v>
      </c>
      <c r="AD248" s="76">
        <v>106183</v>
      </c>
      <c r="AE248" s="76">
        <v>106183</v>
      </c>
      <c r="AF248" s="76">
        <v>106183</v>
      </c>
      <c r="AG248" s="76">
        <v>106183</v>
      </c>
      <c r="AH248" s="77">
        <f t="shared" si="11"/>
        <v>1157512.03</v>
      </c>
      <c r="AI248" s="108">
        <f>ERP_34[[#This Row],[2026 Working Total]]-ERP_34[[#This Row],[2026 LE0]]</f>
        <v>-116683.96999999997</v>
      </c>
      <c r="AJ248" s="79"/>
      <c r="AK248" s="79"/>
      <c r="AL2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8" s="80"/>
      <c r="AN248" s="79">
        <f>ERP_34[[#This Row],[2026 Working Total to Budget/LE]]-ERP_34[[#This Row],[Giveback]]</f>
        <v>-116683.96999999997</v>
      </c>
      <c r="AO248" s="81"/>
      <c r="AP248" s="81"/>
      <c r="AQ248" s="81"/>
      <c r="AR248" s="81">
        <v>201865.03</v>
      </c>
      <c r="AS248" s="81">
        <v>106183</v>
      </c>
      <c r="AT248" s="81">
        <v>106183</v>
      </c>
      <c r="AU248" s="81">
        <v>106183</v>
      </c>
      <c r="AV248" s="81">
        <v>106183</v>
      </c>
      <c r="AW248" s="81">
        <v>106183</v>
      </c>
      <c r="AX248" s="81">
        <v>106183</v>
      </c>
      <c r="AY248" s="81">
        <v>106183</v>
      </c>
      <c r="AZ248" s="81">
        <v>106183</v>
      </c>
      <c r="BA248" s="81">
        <v>106183</v>
      </c>
      <c r="BB248" s="81">
        <v>1157512.03</v>
      </c>
      <c r="BC248" s="79"/>
      <c r="BD248" s="79"/>
      <c r="BE248" s="79">
        <v>201865.03</v>
      </c>
      <c r="BF248" s="79">
        <v>106183</v>
      </c>
      <c r="BG248" s="79">
        <v>106183</v>
      </c>
      <c r="BH248" s="79">
        <v>106183</v>
      </c>
      <c r="BI248" s="79">
        <v>106183</v>
      </c>
      <c r="BJ248" s="79">
        <v>106183</v>
      </c>
      <c r="BK248" s="79">
        <v>106183</v>
      </c>
      <c r="BL248" s="79">
        <v>106183</v>
      </c>
      <c r="BM248" s="79">
        <v>106183</v>
      </c>
      <c r="BN248" s="79">
        <v>106183</v>
      </c>
      <c r="BO248" s="79">
        <v>1157512.03</v>
      </c>
    </row>
    <row r="249" spans="1:67">
      <c r="A249" s="66" t="s">
        <v>2140</v>
      </c>
      <c r="B249" s="66" t="str">
        <f>_xlfn.TEXTJOIN("_",,ERP_34[[#This Row],[LT Member -1*]],ERP_34[[#This Row],[Expense Category]],ERP_34[[#This Row],[Project Code*]])</f>
        <v>Robertson, Jerome_MANAGED SERVICES_IT-FBT0573-OG-US-00-CB</v>
      </c>
      <c r="C249" s="67" t="s">
        <v>1136</v>
      </c>
      <c r="D249" s="67" t="s">
        <v>1650</v>
      </c>
      <c r="E249" s="67" t="s">
        <v>1650</v>
      </c>
      <c r="F249" s="67" t="s">
        <v>1650</v>
      </c>
      <c r="G249" s="68" t="s">
        <v>389</v>
      </c>
      <c r="H249" s="106" t="s">
        <v>1658</v>
      </c>
      <c r="I249" s="70"/>
      <c r="J249" s="70"/>
      <c r="K249" s="70" t="s">
        <v>596</v>
      </c>
      <c r="L249" s="70"/>
      <c r="M249" s="70"/>
      <c r="N249" s="70"/>
      <c r="O249" s="67" t="s">
        <v>67</v>
      </c>
      <c r="P249" s="67" t="s">
        <v>1652</v>
      </c>
      <c r="Q249" s="71"/>
      <c r="R249" s="72">
        <v>-12000</v>
      </c>
      <c r="S249" s="73">
        <v>0</v>
      </c>
      <c r="T249" s="73">
        <v>-12000</v>
      </c>
      <c r="U249" s="71">
        <f>ERP_34[[#This Row],[LE2 Final Submission]]-ERP_34[[#This Row],[LE3 Final Submission]]</f>
        <v>12000</v>
      </c>
      <c r="V249" s="74"/>
      <c r="W249" s="75"/>
      <c r="X249" s="75"/>
      <c r="Y249" s="76"/>
      <c r="Z249" s="76"/>
      <c r="AA249" s="109">
        <v>0</v>
      </c>
      <c r="AB249" s="109">
        <v>0</v>
      </c>
      <c r="AC249" s="109">
        <v>0</v>
      </c>
      <c r="AD249" s="109">
        <v>0</v>
      </c>
      <c r="AE249" s="109">
        <v>0</v>
      </c>
      <c r="AF249" s="109">
        <v>0</v>
      </c>
      <c r="AG249" s="109">
        <v>0</v>
      </c>
      <c r="AH249" s="77">
        <f t="shared" si="11"/>
        <v>0</v>
      </c>
      <c r="AI249" s="108">
        <f>ERP_34[[#This Row],[2026 Working Total]]-ERP_34[[#This Row],[2026 LE0]]</f>
        <v>12000</v>
      </c>
      <c r="AJ249" s="79"/>
      <c r="AK249" s="79"/>
      <c r="AL2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49" s="80"/>
      <c r="AN249" s="79">
        <f>ERP_34[[#This Row],[2026 Working Total to Budget/LE]]-ERP_34[[#This Row],[Giveback]]</f>
        <v>12000</v>
      </c>
      <c r="AO249" s="81"/>
      <c r="AP249" s="81"/>
      <c r="AQ249" s="81"/>
      <c r="AR249" s="81"/>
      <c r="AS249" s="81"/>
      <c r="AT249" s="81"/>
      <c r="AU249" s="81">
        <v>0</v>
      </c>
      <c r="AV249" s="81">
        <v>0</v>
      </c>
      <c r="AW249" s="81">
        <v>0</v>
      </c>
      <c r="AX249" s="81">
        <v>0</v>
      </c>
      <c r="AY249" s="81">
        <v>0</v>
      </c>
      <c r="AZ249" s="81">
        <v>0</v>
      </c>
      <c r="BA249" s="81">
        <v>0</v>
      </c>
      <c r="BB249" s="81">
        <v>0</v>
      </c>
      <c r="BC249" s="79"/>
      <c r="BD249" s="79"/>
      <c r="BE249" s="79"/>
      <c r="BF249" s="79"/>
      <c r="BG249" s="79"/>
      <c r="BH249" s="79">
        <v>-3000</v>
      </c>
      <c r="BI249" s="79">
        <v>0</v>
      </c>
      <c r="BJ249" s="79">
        <v>0</v>
      </c>
      <c r="BK249" s="79">
        <v>-3000</v>
      </c>
      <c r="BL249" s="79">
        <v>0</v>
      </c>
      <c r="BM249" s="79">
        <v>0</v>
      </c>
      <c r="BN249" s="79">
        <v>-3000</v>
      </c>
      <c r="BO249" s="79">
        <v>-9000</v>
      </c>
    </row>
    <row r="250" spans="1:67">
      <c r="A250" s="66" t="s">
        <v>1843</v>
      </c>
      <c r="B250" s="66" t="str">
        <f>_xlfn.TEXTJOIN("_",,ERP_34[[#This Row],[LT Member -1*]],ERP_34[[#This Row],[Expense Category]],ERP_34[[#This Row],[Project Code*]])</f>
        <v>Dougherty, Chris_MANAGED SERVICES_IT-FBT0587-OG-US-00</v>
      </c>
      <c r="C250" s="67" t="s">
        <v>1136</v>
      </c>
      <c r="D250" s="67" t="s">
        <v>1135</v>
      </c>
      <c r="E250" s="67" t="s">
        <v>1135</v>
      </c>
      <c r="F250" s="67" t="s">
        <v>1137</v>
      </c>
      <c r="G250" s="68" t="s">
        <v>389</v>
      </c>
      <c r="H250" s="106" t="s">
        <v>1844</v>
      </c>
      <c r="I250" s="70"/>
      <c r="J250" s="70"/>
      <c r="K250" s="70" t="s">
        <v>441</v>
      </c>
      <c r="L250" s="70"/>
      <c r="M250" s="70"/>
      <c r="N250" s="70"/>
      <c r="O250" s="67" t="s">
        <v>57</v>
      </c>
      <c r="P250" s="67"/>
      <c r="Q250" s="71"/>
      <c r="R250" s="72">
        <v>0</v>
      </c>
      <c r="S250" s="73">
        <v>10582.559999999998</v>
      </c>
      <c r="T250" s="73">
        <v>0</v>
      </c>
      <c r="U250" s="71">
        <f>ERP_34[[#This Row],[LE2 Final Submission]]-ERP_34[[#This Row],[LE3 Final Submission]]</f>
        <v>10582.559999999998</v>
      </c>
      <c r="V250" s="74">
        <v>881.88</v>
      </c>
      <c r="W250" s="75">
        <v>881.88</v>
      </c>
      <c r="X250" s="75">
        <v>881.88</v>
      </c>
      <c r="Y250" s="186">
        <v>881.88</v>
      </c>
      <c r="Z250" s="186">
        <v>881.88</v>
      </c>
      <c r="AA250" s="186">
        <v>881.88</v>
      </c>
      <c r="AB250" s="186">
        <v>881.88</v>
      </c>
      <c r="AC250" s="186">
        <v>881.88</v>
      </c>
      <c r="AD250" s="186">
        <v>881.88</v>
      </c>
      <c r="AE250" s="186">
        <v>881.88</v>
      </c>
      <c r="AF250" s="186">
        <v>881.88</v>
      </c>
      <c r="AG250" s="186">
        <v>881.88</v>
      </c>
      <c r="AH250" s="77">
        <f t="shared" si="11"/>
        <v>10582.559999999998</v>
      </c>
      <c r="AI250" s="108">
        <f>ERP_34[[#This Row],[2026 Working Total]]-ERP_34[[#This Row],[2026 LE0]]</f>
        <v>10582.559999999998</v>
      </c>
      <c r="AJ250" s="79"/>
      <c r="AK250" s="79"/>
      <c r="AL25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0" s="80"/>
      <c r="AN250" s="79">
        <f>ERP_34[[#This Row],[2026 Working Total to Budget/LE]]-ERP_34[[#This Row],[Giveback]]</f>
        <v>10582.559999999998</v>
      </c>
      <c r="AO250" s="81"/>
      <c r="AP250" s="81">
        <v>881.88</v>
      </c>
      <c r="AQ250" s="81">
        <v>881.88</v>
      </c>
      <c r="AR250" s="81">
        <v>881.88</v>
      </c>
      <c r="AS250" s="81">
        <v>881.88</v>
      </c>
      <c r="AT250" s="81">
        <v>881.88</v>
      </c>
      <c r="AU250" s="81">
        <v>881.88</v>
      </c>
      <c r="AV250" s="81">
        <v>881.88</v>
      </c>
      <c r="AW250" s="81">
        <v>881.88</v>
      </c>
      <c r="AX250" s="81">
        <v>881.88</v>
      </c>
      <c r="AY250" s="81">
        <v>881.88</v>
      </c>
      <c r="AZ250" s="81">
        <v>881.88</v>
      </c>
      <c r="BA250" s="81">
        <v>881.88</v>
      </c>
      <c r="BB250" s="81">
        <v>10582.559999999998</v>
      </c>
      <c r="BC250" s="79">
        <v>881.88</v>
      </c>
      <c r="BD250" s="79">
        <v>881.88</v>
      </c>
      <c r="BE250" s="79">
        <v>881.88</v>
      </c>
      <c r="BF250" s="79">
        <v>0</v>
      </c>
      <c r="BG250" s="79">
        <v>0</v>
      </c>
      <c r="BH250" s="79">
        <v>0</v>
      </c>
      <c r="BI250" s="79">
        <v>0</v>
      </c>
      <c r="BJ250" s="79">
        <v>0</v>
      </c>
      <c r="BK250" s="79">
        <v>0</v>
      </c>
      <c r="BL250" s="79">
        <v>0</v>
      </c>
      <c r="BM250" s="79">
        <v>0</v>
      </c>
      <c r="BN250" s="79">
        <v>0</v>
      </c>
      <c r="BO250" s="79">
        <v>2645.64</v>
      </c>
    </row>
    <row r="251" spans="1:67">
      <c r="A251" s="66" t="s">
        <v>1845</v>
      </c>
      <c r="B251" s="66" t="str">
        <f>_xlfn.TEXTJOIN("_",,ERP_34[[#This Row],[LT Member -1*]],ERP_34[[#This Row],[Expense Category]],ERP_34[[#This Row],[Project Code*]])</f>
        <v>Tamavada, Ram_MANAGED SERVICES_IT-FBT0587-OG-US-00</v>
      </c>
      <c r="C251" s="67" t="s">
        <v>1136</v>
      </c>
      <c r="D251" s="67" t="s">
        <v>1135</v>
      </c>
      <c r="E251" s="67" t="s">
        <v>1165</v>
      </c>
      <c r="F251" s="67" t="s">
        <v>1137</v>
      </c>
      <c r="G251" s="68" t="s">
        <v>389</v>
      </c>
      <c r="H251" s="106" t="s">
        <v>1844</v>
      </c>
      <c r="I251" s="70"/>
      <c r="J251" s="70"/>
      <c r="K251" s="114" t="s">
        <v>441</v>
      </c>
      <c r="L251" s="70"/>
      <c r="M251" s="70"/>
      <c r="N251" s="70"/>
      <c r="O251" s="67" t="s">
        <v>57</v>
      </c>
      <c r="P251" s="67"/>
      <c r="Q251" s="71"/>
      <c r="R251" s="72">
        <v>10599.999996000004</v>
      </c>
      <c r="S251" s="73">
        <v>0</v>
      </c>
      <c r="T251" s="73">
        <v>10599.999996000004</v>
      </c>
      <c r="U251" s="71">
        <f>ERP_34[[#This Row],[LE2 Final Submission]]-ERP_34[[#This Row],[LE3 Final Submission]]</f>
        <v>-10599.999996000004</v>
      </c>
      <c r="V251" s="74"/>
      <c r="W251" s="75"/>
      <c r="X251" s="75"/>
      <c r="Y251" s="76">
        <v>0</v>
      </c>
      <c r="Z251" s="76">
        <v>0</v>
      </c>
      <c r="AA251" s="76">
        <v>0</v>
      </c>
      <c r="AB251" s="76">
        <v>0</v>
      </c>
      <c r="AC251" s="76">
        <v>0</v>
      </c>
      <c r="AD251" s="76">
        <v>0</v>
      </c>
      <c r="AE251" s="76">
        <v>0</v>
      </c>
      <c r="AF251" s="76">
        <v>0</v>
      </c>
      <c r="AG251" s="76">
        <v>0</v>
      </c>
      <c r="AH251" s="77">
        <f t="shared" si="11"/>
        <v>0</v>
      </c>
      <c r="AI251" s="108">
        <f>ERP_34[[#This Row],[2026 Working Total]]-ERP_34[[#This Row],[2026 LE0]]</f>
        <v>-10599.999996000004</v>
      </c>
      <c r="AJ251" s="79"/>
      <c r="AK251" s="79"/>
      <c r="AL2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1" s="80">
        <v>-10600</v>
      </c>
      <c r="AN251" s="79">
        <f>ERP_34[[#This Row],[2026 Working Total to Budget/LE]]-ERP_34[[#This Row],[Giveback]]</f>
        <v>3.9999958971748129E-6</v>
      </c>
      <c r="AO251" s="81"/>
      <c r="AP251" s="81"/>
      <c r="AQ251" s="81"/>
      <c r="AR251" s="81"/>
      <c r="AS251" s="81">
        <v>0</v>
      </c>
      <c r="AT251" s="81">
        <v>0</v>
      </c>
      <c r="AU251" s="81">
        <v>0</v>
      </c>
      <c r="AV251" s="81">
        <v>0</v>
      </c>
      <c r="AW251" s="81">
        <v>0</v>
      </c>
      <c r="AX251" s="81">
        <v>0</v>
      </c>
      <c r="AY251" s="81">
        <v>0</v>
      </c>
      <c r="AZ251" s="81">
        <v>0</v>
      </c>
      <c r="BA251" s="81">
        <v>0</v>
      </c>
      <c r="BB251" s="81">
        <v>0</v>
      </c>
      <c r="BC251" s="79"/>
      <c r="BD251" s="79"/>
      <c r="BE251" s="79"/>
      <c r="BF251" s="79">
        <v>883.33333300000004</v>
      </c>
      <c r="BG251" s="79">
        <v>883.33333300000004</v>
      </c>
      <c r="BH251" s="79">
        <v>883.33333300000004</v>
      </c>
      <c r="BI251" s="79">
        <v>883.33333300000004</v>
      </c>
      <c r="BJ251" s="79">
        <v>883.33333300000004</v>
      </c>
      <c r="BK251" s="79">
        <v>883.33333300000004</v>
      </c>
      <c r="BL251" s="79">
        <v>883.33333300000004</v>
      </c>
      <c r="BM251" s="79">
        <v>883.33333300000004</v>
      </c>
      <c r="BN251" s="79">
        <v>883.33333300000004</v>
      </c>
      <c r="BO251" s="79">
        <v>7949.9999970000026</v>
      </c>
    </row>
    <row r="252" spans="1:67">
      <c r="A252" s="66" t="s">
        <v>1847</v>
      </c>
      <c r="B252" s="66" t="str">
        <f>_xlfn.TEXTJOIN("_",,ERP_34[[#This Row],[LT Member -1*]],ERP_34[[#This Row],[Expense Category]],ERP_34[[#This Row],[Project Code*]])</f>
        <v>Tamavada, Ram_MANAGED SERVICES_IT-FBT0588-OG-US-00</v>
      </c>
      <c r="C252" s="67" t="s">
        <v>1136</v>
      </c>
      <c r="D252" s="67" t="s">
        <v>1135</v>
      </c>
      <c r="E252" s="67" t="s">
        <v>1165</v>
      </c>
      <c r="F252" s="67" t="s">
        <v>1137</v>
      </c>
      <c r="G252" s="68" t="s">
        <v>389</v>
      </c>
      <c r="H252" s="106" t="s">
        <v>1849</v>
      </c>
      <c r="I252" s="70"/>
      <c r="J252" s="70"/>
      <c r="K252" s="114" t="s">
        <v>443</v>
      </c>
      <c r="L252" s="70"/>
      <c r="M252" s="70"/>
      <c r="N252" s="70"/>
      <c r="O252" s="67" t="s">
        <v>57</v>
      </c>
      <c r="P252" s="67"/>
      <c r="Q252" s="71"/>
      <c r="R252" s="72">
        <v>10599.999996000004</v>
      </c>
      <c r="S252" s="73">
        <v>10595.639997000004</v>
      </c>
      <c r="T252" s="73">
        <v>10599.999996000004</v>
      </c>
      <c r="U252" s="71">
        <f>ERP_34[[#This Row],[LE2 Final Submission]]-ERP_34[[#This Row],[LE3 Final Submission]]</f>
        <v>-4.3599990000002435</v>
      </c>
      <c r="V252" s="74">
        <v>881.88</v>
      </c>
      <c r="W252" s="75">
        <v>881.88</v>
      </c>
      <c r="X252" s="75">
        <v>881.88</v>
      </c>
      <c r="Y252" s="76">
        <v>883.33333300000004</v>
      </c>
      <c r="Z252" s="76">
        <v>883.33333300000004</v>
      </c>
      <c r="AA252" s="76">
        <v>883.33333300000004</v>
      </c>
      <c r="AB252" s="76">
        <v>883.33333300000004</v>
      </c>
      <c r="AC252" s="76">
        <v>883.33333300000004</v>
      </c>
      <c r="AD252" s="76">
        <v>883.33333300000004</v>
      </c>
      <c r="AE252" s="76">
        <v>883.33333300000004</v>
      </c>
      <c r="AF252" s="76">
        <v>883.33333300000004</v>
      </c>
      <c r="AG252" s="76">
        <v>883.33333300000004</v>
      </c>
      <c r="AH252" s="77">
        <f t="shared" si="11"/>
        <v>10595.639997000004</v>
      </c>
      <c r="AI252" s="108">
        <f>ERP_34[[#This Row],[2026 Working Total]]-ERP_34[[#This Row],[2026 LE0]]</f>
        <v>-4.3599990000002435</v>
      </c>
      <c r="AJ252" s="79"/>
      <c r="AK252" s="79"/>
      <c r="AL2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2" s="80"/>
      <c r="AN252" s="79">
        <f>ERP_34[[#This Row],[2026 Working Total to Budget/LE]]-ERP_34[[#This Row],[Giveback]]</f>
        <v>-4.3599990000002435</v>
      </c>
      <c r="AO252" s="81"/>
      <c r="AP252" s="81">
        <v>881.88</v>
      </c>
      <c r="AQ252" s="81">
        <v>881.88</v>
      </c>
      <c r="AR252" s="81">
        <v>881.88</v>
      </c>
      <c r="AS252" s="81">
        <v>883.33333300000004</v>
      </c>
      <c r="AT252" s="81">
        <v>883.33333300000004</v>
      </c>
      <c r="AU252" s="81">
        <v>883.33333300000004</v>
      </c>
      <c r="AV252" s="81">
        <v>883.33333300000004</v>
      </c>
      <c r="AW252" s="81">
        <v>883.33333300000004</v>
      </c>
      <c r="AX252" s="81">
        <v>883.33333300000004</v>
      </c>
      <c r="AY252" s="81">
        <v>883.33333300000004</v>
      </c>
      <c r="AZ252" s="81">
        <v>883.33333300000004</v>
      </c>
      <c r="BA252" s="81">
        <v>883.33333300000004</v>
      </c>
      <c r="BB252" s="81">
        <v>10595.639997000004</v>
      </c>
      <c r="BC252" s="79">
        <v>881.88</v>
      </c>
      <c r="BD252" s="79">
        <v>881.88</v>
      </c>
      <c r="BE252" s="79">
        <v>881.88</v>
      </c>
      <c r="BF252" s="79">
        <v>883.33333300000004</v>
      </c>
      <c r="BG252" s="79">
        <v>883.33333300000004</v>
      </c>
      <c r="BH252" s="79">
        <v>883.33333300000004</v>
      </c>
      <c r="BI252" s="79">
        <v>883.33333300000004</v>
      </c>
      <c r="BJ252" s="79">
        <v>883.33333300000004</v>
      </c>
      <c r="BK252" s="79">
        <v>883.33333300000004</v>
      </c>
      <c r="BL252" s="79">
        <v>883.33333300000004</v>
      </c>
      <c r="BM252" s="79">
        <v>883.33333300000004</v>
      </c>
      <c r="BN252" s="79">
        <v>883.33333300000004</v>
      </c>
      <c r="BO252" s="79">
        <v>10595.639997000004</v>
      </c>
    </row>
    <row r="253" spans="1:67">
      <c r="A253" s="66" t="s">
        <v>1288</v>
      </c>
      <c r="B253" s="66" t="str">
        <f>_xlfn.TEXTJOIN("_",,ERP_34[[#This Row],[LT Member -1*]],ERP_34[[#This Row],[Expense Category]],ERP_34[[#This Row],[Project Code*]])</f>
        <v>Tamavada, Ram_CONTRACTORS_IT-FBT0636-OG-IN-00</v>
      </c>
      <c r="C253" s="67" t="s">
        <v>1136</v>
      </c>
      <c r="D253" s="67" t="s">
        <v>1135</v>
      </c>
      <c r="E253" s="67" t="s">
        <v>1165</v>
      </c>
      <c r="F253" s="67" t="s">
        <v>1137</v>
      </c>
      <c r="G253" s="68" t="s">
        <v>49</v>
      </c>
      <c r="H253" s="106" t="s">
        <v>1290</v>
      </c>
      <c r="I253" s="70"/>
      <c r="J253" s="70"/>
      <c r="K253" s="114" t="s">
        <v>129</v>
      </c>
      <c r="L253" s="70"/>
      <c r="M253" s="70"/>
      <c r="N253" s="70"/>
      <c r="O253" s="67" t="s">
        <v>114</v>
      </c>
      <c r="P253" s="67"/>
      <c r="Q253" s="71"/>
      <c r="R253" s="72">
        <v>73711</v>
      </c>
      <c r="S253" s="73">
        <v>70191.98000000001</v>
      </c>
      <c r="T253" s="73">
        <v>73711</v>
      </c>
      <c r="U253" s="71">
        <f>ERP_34[[#This Row],[LE2 Final Submission]]-ERP_34[[#This Row],[LE3 Final Submission]]</f>
        <v>-3519.0199999999895</v>
      </c>
      <c r="V253" s="74">
        <v>5439.05</v>
      </c>
      <c r="W253" s="75">
        <v>4406.87</v>
      </c>
      <c r="X253" s="75">
        <v>5062.8</v>
      </c>
      <c r="Y253" s="76">
        <v>6142.58</v>
      </c>
      <c r="Z253" s="76">
        <v>6142.58</v>
      </c>
      <c r="AA253" s="76">
        <v>6142.58</v>
      </c>
      <c r="AB253" s="76">
        <v>6142.58</v>
      </c>
      <c r="AC253" s="76">
        <v>6142.58</v>
      </c>
      <c r="AD253" s="76">
        <v>6142.58</v>
      </c>
      <c r="AE253" s="76">
        <v>6142.58</v>
      </c>
      <c r="AF253" s="76">
        <v>6142.58</v>
      </c>
      <c r="AG253" s="76">
        <v>6142.62</v>
      </c>
      <c r="AH253" s="77">
        <f t="shared" si="11"/>
        <v>70191.98000000001</v>
      </c>
      <c r="AI253" s="108">
        <f>ERP_34[[#This Row],[2026 Working Total]]-ERP_34[[#This Row],[2026 LE0]]</f>
        <v>-3519.0199999999895</v>
      </c>
      <c r="AJ253" s="79"/>
      <c r="AK253" s="79"/>
      <c r="AL2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3" s="80"/>
      <c r="AN253" s="79">
        <f>ERP_34[[#This Row],[2026 Working Total to Budget/LE]]-ERP_34[[#This Row],[Giveback]]</f>
        <v>-3519.0199999999895</v>
      </c>
      <c r="AO253" s="81"/>
      <c r="AP253" s="81">
        <v>5439.05</v>
      </c>
      <c r="AQ253" s="81">
        <v>4406.87</v>
      </c>
      <c r="AR253" s="81">
        <v>5062.8</v>
      </c>
      <c r="AS253" s="81">
        <v>6142.58</v>
      </c>
      <c r="AT253" s="81">
        <v>6142.58</v>
      </c>
      <c r="AU253" s="81">
        <v>6142.58</v>
      </c>
      <c r="AV253" s="81">
        <v>6142.58</v>
      </c>
      <c r="AW253" s="81">
        <v>6142.58</v>
      </c>
      <c r="AX253" s="81">
        <v>6142.58</v>
      </c>
      <c r="AY253" s="81">
        <v>6142.58</v>
      </c>
      <c r="AZ253" s="81">
        <v>6142.58</v>
      </c>
      <c r="BA253" s="81">
        <v>6142.62</v>
      </c>
      <c r="BB253" s="81">
        <v>70191.98000000001</v>
      </c>
      <c r="BC253" s="79">
        <v>5439.05</v>
      </c>
      <c r="BD253" s="79">
        <v>4406.87</v>
      </c>
      <c r="BE253" s="79">
        <v>5062.8</v>
      </c>
      <c r="BF253" s="79">
        <v>6142.58</v>
      </c>
      <c r="BG253" s="79">
        <v>6142.58</v>
      </c>
      <c r="BH253" s="79">
        <v>6142.58</v>
      </c>
      <c r="BI253" s="79">
        <v>6142.58</v>
      </c>
      <c r="BJ253" s="79">
        <v>6142.58</v>
      </c>
      <c r="BK253" s="79">
        <v>6142.58</v>
      </c>
      <c r="BL253" s="79">
        <v>6142.58</v>
      </c>
      <c r="BM253" s="79">
        <v>6142.58</v>
      </c>
      <c r="BN253" s="79">
        <v>6142.62</v>
      </c>
      <c r="BO253" s="79">
        <v>70191.98000000001</v>
      </c>
    </row>
    <row r="254" spans="1:67">
      <c r="A254" s="66" t="s">
        <v>1291</v>
      </c>
      <c r="B254" s="66" t="str">
        <f>_xlfn.TEXTJOIN("_",,ERP_34[[#This Row],[LT Member -1*]],ERP_34[[#This Row],[Expense Category]],ERP_34[[#This Row],[Project Code*]])</f>
        <v>Tamavada, Ram_CONTRACTORS_IT-FBT0637-OG-IN-00</v>
      </c>
      <c r="C254" s="67" t="s">
        <v>1136</v>
      </c>
      <c r="D254" s="67" t="s">
        <v>1135</v>
      </c>
      <c r="E254" s="67" t="s">
        <v>1165</v>
      </c>
      <c r="F254" s="67" t="s">
        <v>1137</v>
      </c>
      <c r="G254" s="68" t="s">
        <v>49</v>
      </c>
      <c r="H254" s="106" t="s">
        <v>1293</v>
      </c>
      <c r="I254" s="70"/>
      <c r="J254" s="70"/>
      <c r="K254" s="114" t="s">
        <v>131</v>
      </c>
      <c r="L254" s="70"/>
      <c r="M254" s="70"/>
      <c r="N254" s="70"/>
      <c r="O254" s="67" t="s">
        <v>114</v>
      </c>
      <c r="P254" s="67"/>
      <c r="Q254" s="71"/>
      <c r="R254" s="72">
        <v>9592.0000000000018</v>
      </c>
      <c r="S254" s="73">
        <v>9470.880000000001</v>
      </c>
      <c r="T254" s="73">
        <v>9592.0000000000018</v>
      </c>
      <c r="U254" s="71">
        <f>ERP_34[[#This Row],[LE2 Final Submission]]-ERP_34[[#This Row],[LE3 Final Submission]]</f>
        <v>-121.1200000000008</v>
      </c>
      <c r="V254" s="74">
        <v>844.81</v>
      </c>
      <c r="W254" s="75">
        <v>677.12</v>
      </c>
      <c r="X254" s="75">
        <v>754.94</v>
      </c>
      <c r="Y254" s="76">
        <v>799.33</v>
      </c>
      <c r="Z254" s="76">
        <v>799.33</v>
      </c>
      <c r="AA254" s="76">
        <v>799.33</v>
      </c>
      <c r="AB254" s="76">
        <v>799.33</v>
      </c>
      <c r="AC254" s="76">
        <v>799.33</v>
      </c>
      <c r="AD254" s="76">
        <v>799.33</v>
      </c>
      <c r="AE254" s="76">
        <v>799.33</v>
      </c>
      <c r="AF254" s="76">
        <v>799.33</v>
      </c>
      <c r="AG254" s="76">
        <v>799.37</v>
      </c>
      <c r="AH254" s="77">
        <f t="shared" si="11"/>
        <v>9470.880000000001</v>
      </c>
      <c r="AI254" s="108">
        <f>ERP_34[[#This Row],[2026 Working Total]]-ERP_34[[#This Row],[2026 LE0]]</f>
        <v>-121.1200000000008</v>
      </c>
      <c r="AJ254" s="79"/>
      <c r="AK254" s="79"/>
      <c r="AL2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4" s="80"/>
      <c r="AN254" s="79">
        <f>ERP_34[[#This Row],[2026 Working Total to Budget/LE]]-ERP_34[[#This Row],[Giveback]]</f>
        <v>-121.1200000000008</v>
      </c>
      <c r="AO254" s="81"/>
      <c r="AP254" s="81">
        <v>844.81</v>
      </c>
      <c r="AQ254" s="81">
        <v>677.12</v>
      </c>
      <c r="AR254" s="81">
        <v>754.94</v>
      </c>
      <c r="AS254" s="81">
        <v>799.33</v>
      </c>
      <c r="AT254" s="81">
        <v>799.33</v>
      </c>
      <c r="AU254" s="81">
        <v>799.33</v>
      </c>
      <c r="AV254" s="81">
        <v>799.33</v>
      </c>
      <c r="AW254" s="81">
        <v>799.33</v>
      </c>
      <c r="AX254" s="81">
        <v>799.33</v>
      </c>
      <c r="AY254" s="81">
        <v>799.33</v>
      </c>
      <c r="AZ254" s="81">
        <v>799.33</v>
      </c>
      <c r="BA254" s="81">
        <v>799.37</v>
      </c>
      <c r="BB254" s="81">
        <v>9470.880000000001</v>
      </c>
      <c r="BC254" s="79">
        <v>844.81</v>
      </c>
      <c r="BD254" s="79">
        <v>677.12</v>
      </c>
      <c r="BE254" s="79">
        <v>754.94</v>
      </c>
      <c r="BF254" s="79">
        <v>799.33</v>
      </c>
      <c r="BG254" s="79">
        <v>799.33</v>
      </c>
      <c r="BH254" s="79">
        <v>799.33</v>
      </c>
      <c r="BI254" s="79">
        <v>799.33</v>
      </c>
      <c r="BJ254" s="79">
        <v>799.33</v>
      </c>
      <c r="BK254" s="79">
        <v>799.33</v>
      </c>
      <c r="BL254" s="79">
        <v>799.33</v>
      </c>
      <c r="BM254" s="79">
        <v>799.33</v>
      </c>
      <c r="BN254" s="79">
        <v>799.37</v>
      </c>
      <c r="BO254" s="79">
        <v>9470.880000000001</v>
      </c>
    </row>
    <row r="255" spans="1:67">
      <c r="A255" s="66" t="s">
        <v>1850</v>
      </c>
      <c r="B255" s="66" t="str">
        <f>_xlfn.TEXTJOIN("_",,ERP_34[[#This Row],[LT Member -1*]],ERP_34[[#This Row],[Expense Category]],ERP_34[[#This Row],[Project Code*]])</f>
        <v>Tamavada, Ram_MANAGED SERVICES_IT-FBT0638-OG-JP-00</v>
      </c>
      <c r="C255" s="67" t="s">
        <v>1136</v>
      </c>
      <c r="D255" s="67" t="s">
        <v>1135</v>
      </c>
      <c r="E255" s="67" t="s">
        <v>1165</v>
      </c>
      <c r="F255" s="67" t="s">
        <v>1137</v>
      </c>
      <c r="G255" s="68" t="s">
        <v>389</v>
      </c>
      <c r="H255" s="106" t="s">
        <v>1852</v>
      </c>
      <c r="I255" s="70"/>
      <c r="J255" s="70"/>
      <c r="K255" s="114" t="s">
        <v>445</v>
      </c>
      <c r="L255" s="70"/>
      <c r="M255" s="70"/>
      <c r="N255" s="70"/>
      <c r="O255" s="67" t="s">
        <v>434</v>
      </c>
      <c r="P255" s="67"/>
      <c r="Q255" s="71"/>
      <c r="R255" s="72">
        <v>132431.04000000001</v>
      </c>
      <c r="S255" s="73">
        <v>123849.26</v>
      </c>
      <c r="T255" s="73">
        <v>132431.04000000001</v>
      </c>
      <c r="U255" s="71">
        <f>ERP_34[[#This Row],[LE2 Final Submission]]-ERP_34[[#This Row],[LE3 Final Submission]]</f>
        <v>-8581.7800000000134</v>
      </c>
      <c r="V255" s="74">
        <v>10548.89</v>
      </c>
      <c r="W255" s="75">
        <v>8790.74</v>
      </c>
      <c r="X255" s="75">
        <v>9845.6299999999992</v>
      </c>
      <c r="Y255" s="76">
        <v>12296</v>
      </c>
      <c r="Z255" s="76">
        <v>10296</v>
      </c>
      <c r="AA255" s="76">
        <v>10296</v>
      </c>
      <c r="AB255" s="76">
        <v>10296</v>
      </c>
      <c r="AC255" s="76">
        <v>10296</v>
      </c>
      <c r="AD255" s="76">
        <v>10296</v>
      </c>
      <c r="AE255" s="76">
        <v>10296</v>
      </c>
      <c r="AF255" s="76">
        <v>10296</v>
      </c>
      <c r="AG255" s="76">
        <v>10296</v>
      </c>
      <c r="AH255" s="77">
        <f t="shared" si="11"/>
        <v>123849.26</v>
      </c>
      <c r="AI255" s="108">
        <f>ERP_34[[#This Row],[2026 Working Total]]-ERP_34[[#This Row],[2026 LE0]]</f>
        <v>-8581.7800000000134</v>
      </c>
      <c r="AJ255" s="79"/>
      <c r="AK255" s="79"/>
      <c r="AL25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5" s="80"/>
      <c r="AN255" s="79">
        <f>ERP_34[[#This Row],[2026 Working Total to Budget/LE]]-ERP_34[[#This Row],[Giveback]]</f>
        <v>-8581.7800000000134</v>
      </c>
      <c r="AO255" s="81"/>
      <c r="AP255" s="81">
        <v>10548.89</v>
      </c>
      <c r="AQ255" s="81">
        <v>8790.74</v>
      </c>
      <c r="AR255" s="81">
        <v>9845.6299999999992</v>
      </c>
      <c r="AS255" s="81">
        <v>12296</v>
      </c>
      <c r="AT255" s="81">
        <v>10296</v>
      </c>
      <c r="AU255" s="81">
        <v>10296</v>
      </c>
      <c r="AV255" s="81">
        <v>10296</v>
      </c>
      <c r="AW255" s="81">
        <v>10296</v>
      </c>
      <c r="AX255" s="81">
        <v>10296</v>
      </c>
      <c r="AY255" s="81">
        <v>10296</v>
      </c>
      <c r="AZ255" s="81">
        <v>10296</v>
      </c>
      <c r="BA255" s="81">
        <v>10296</v>
      </c>
      <c r="BB255" s="81">
        <v>123849.26</v>
      </c>
      <c r="BC255" s="79">
        <v>10548.89</v>
      </c>
      <c r="BD255" s="79">
        <v>8790.74</v>
      </c>
      <c r="BE255" s="79">
        <v>9845.6299999999992</v>
      </c>
      <c r="BF255" s="79">
        <v>11035.92</v>
      </c>
      <c r="BG255" s="79">
        <v>11035.92</v>
      </c>
      <c r="BH255" s="79">
        <v>11035.92</v>
      </c>
      <c r="BI255" s="79">
        <v>11035.92</v>
      </c>
      <c r="BJ255" s="79">
        <v>11035.92</v>
      </c>
      <c r="BK255" s="79">
        <v>11035.92</v>
      </c>
      <c r="BL255" s="79">
        <v>11035.92</v>
      </c>
      <c r="BM255" s="79">
        <v>11035.92</v>
      </c>
      <c r="BN255" s="79">
        <v>11035.92</v>
      </c>
      <c r="BO255" s="79">
        <v>128508.53999999998</v>
      </c>
    </row>
    <row r="256" spans="1:67">
      <c r="A256" s="82" t="s">
        <v>1853</v>
      </c>
      <c r="B256" s="83" t="str">
        <f>_xlfn.TEXTJOIN("_",,ERP_34[[#This Row],[LT Member -1*]],ERP_34[[#This Row],[Expense Category]],ERP_34[[#This Row],[Project Code*]])</f>
        <v>Maguire, Karla_MANAGED SERVICES_IT-FBT0651-OG-US-00</v>
      </c>
      <c r="C256" s="67" t="s">
        <v>2959</v>
      </c>
      <c r="D256" s="84" t="s">
        <v>1135</v>
      </c>
      <c r="E256" s="85" t="s">
        <v>1137</v>
      </c>
      <c r="F256" s="68" t="s">
        <v>1137</v>
      </c>
      <c r="G256" s="85" t="s">
        <v>389</v>
      </c>
      <c r="H256" s="110" t="s">
        <v>1855</v>
      </c>
      <c r="I256" s="67"/>
      <c r="J256" s="67"/>
      <c r="K256" s="91" t="s">
        <v>447</v>
      </c>
      <c r="L256" s="111"/>
      <c r="M256" s="70"/>
      <c r="N256" s="90" t="s">
        <v>2960</v>
      </c>
      <c r="O256" s="91" t="s">
        <v>57</v>
      </c>
      <c r="P256" s="92" t="s">
        <v>1348</v>
      </c>
      <c r="Q256" s="93"/>
      <c r="R256" s="94">
        <v>6000</v>
      </c>
      <c r="S256" s="95">
        <v>4500</v>
      </c>
      <c r="T256" s="112">
        <v>6000</v>
      </c>
      <c r="U256" s="113">
        <f>ERP_34[[#This Row],[LE2 Final Submission]]-ERP_34[[#This Row],[LE3 Final Submission]]</f>
        <v>-1500</v>
      </c>
      <c r="V256" s="98"/>
      <c r="W256" s="99"/>
      <c r="X256" s="99"/>
      <c r="Y256" s="100">
        <v>500</v>
      </c>
      <c r="Z256" s="100">
        <v>500</v>
      </c>
      <c r="AA256" s="100">
        <v>500</v>
      </c>
      <c r="AB256" s="100">
        <v>500</v>
      </c>
      <c r="AC256" s="100">
        <v>500</v>
      </c>
      <c r="AD256" s="100">
        <v>500</v>
      </c>
      <c r="AE256" s="100">
        <v>500</v>
      </c>
      <c r="AF256" s="100">
        <v>500</v>
      </c>
      <c r="AG256" s="100">
        <v>500</v>
      </c>
      <c r="AH256" s="101">
        <f t="shared" si="11"/>
        <v>4500</v>
      </c>
      <c r="AI256" s="108">
        <f>ERP_34[[#This Row],[2026 Working Total]]-ERP_34[[#This Row],[2026 LE0]]</f>
        <v>-1500</v>
      </c>
      <c r="AJ256" s="79"/>
      <c r="AK256" s="79"/>
      <c r="AL2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6" s="80"/>
      <c r="AN256" s="79">
        <f>ERP_34[[#This Row],[2026 Working Total to Budget/LE]]-ERP_34[[#This Row],[Giveback]]</f>
        <v>-1500</v>
      </c>
      <c r="AO256" s="81"/>
      <c r="AP256" s="81"/>
      <c r="AQ256" s="81"/>
      <c r="AR256" s="81"/>
      <c r="AS256" s="81">
        <v>500</v>
      </c>
      <c r="AT256" s="81">
        <v>500</v>
      </c>
      <c r="AU256" s="81">
        <v>500</v>
      </c>
      <c r="AV256" s="81">
        <v>500</v>
      </c>
      <c r="AW256" s="81">
        <v>500</v>
      </c>
      <c r="AX256" s="81">
        <v>500</v>
      </c>
      <c r="AY256" s="81">
        <v>500</v>
      </c>
      <c r="AZ256" s="81">
        <v>500</v>
      </c>
      <c r="BA256" s="81">
        <v>500</v>
      </c>
      <c r="BB256" s="81">
        <v>4500</v>
      </c>
      <c r="BC256" s="103">
        <v>500</v>
      </c>
      <c r="BD256" s="103">
        <v>500</v>
      </c>
      <c r="BE256" s="103">
        <v>500</v>
      </c>
      <c r="BF256" s="103">
        <v>500</v>
      </c>
      <c r="BG256" s="103">
        <v>500</v>
      </c>
      <c r="BH256" s="103">
        <v>500</v>
      </c>
      <c r="BI256" s="103">
        <v>500</v>
      </c>
      <c r="BJ256" s="103">
        <v>500</v>
      </c>
      <c r="BK256" s="103">
        <v>500</v>
      </c>
      <c r="BL256" s="103">
        <v>500</v>
      </c>
      <c r="BM256" s="103">
        <v>500</v>
      </c>
      <c r="BN256" s="103">
        <v>500</v>
      </c>
      <c r="BO256" s="82">
        <f>SUM(ERP_34[[#This Row],[2026 AP01]:[2026 AP12]])</f>
        <v>6000</v>
      </c>
    </row>
    <row r="257" spans="1:67">
      <c r="A257" s="66" t="s">
        <v>1396</v>
      </c>
      <c r="B257" s="66" t="str">
        <f>_xlfn.TEXTJOIN("_",,ERP_34[[#This Row],[LT Member -1*]],ERP_34[[#This Row],[Expense Category]],ERP_34[[#This Row],[Project Code*]])</f>
        <v>Ganesan, Srinivasan_CONTRACTORS_IT-FBT0657-OG-US-00</v>
      </c>
      <c r="C257" s="67" t="s">
        <v>1136</v>
      </c>
      <c r="D257" s="67" t="s">
        <v>1345</v>
      </c>
      <c r="E257" s="67" t="s">
        <v>1344</v>
      </c>
      <c r="F257" s="67" t="s">
        <v>1346</v>
      </c>
      <c r="G257" s="68" t="s">
        <v>49</v>
      </c>
      <c r="H257" s="106" t="s">
        <v>1397</v>
      </c>
      <c r="I257" s="70"/>
      <c r="J257" s="70"/>
      <c r="K257" s="70" t="s">
        <v>183</v>
      </c>
      <c r="L257" s="70"/>
      <c r="M257" s="70"/>
      <c r="N257" s="70"/>
      <c r="O257" s="67" t="s">
        <v>119</v>
      </c>
      <c r="P257" s="67"/>
      <c r="Q257" s="71"/>
      <c r="R257" s="72">
        <v>25000</v>
      </c>
      <c r="S257" s="73">
        <v>25000</v>
      </c>
      <c r="T257" s="73">
        <v>25000</v>
      </c>
      <c r="U257" s="71">
        <f>ERP_34[[#This Row],[LE2 Final Submission]]-ERP_34[[#This Row],[LE3 Final Submission]]</f>
        <v>0</v>
      </c>
      <c r="V257" s="74"/>
      <c r="W257" s="75"/>
      <c r="X257" s="75"/>
      <c r="Y257" s="76"/>
      <c r="Z257" s="76"/>
      <c r="AA257" s="76"/>
      <c r="AB257" s="76"/>
      <c r="AC257" s="76">
        <v>25000</v>
      </c>
      <c r="AD257" s="109">
        <v>0</v>
      </c>
      <c r="AE257" s="109">
        <v>0</v>
      </c>
      <c r="AF257" s="109">
        <v>0</v>
      </c>
      <c r="AG257" s="109">
        <v>0</v>
      </c>
      <c r="AH257" s="77">
        <f t="shared" si="11"/>
        <v>25000</v>
      </c>
      <c r="AI257" s="108">
        <f>ERP_34[[#This Row],[2026 Working Total]]-ERP_34[[#This Row],[2026 LE0]]</f>
        <v>0</v>
      </c>
      <c r="AJ257" s="79"/>
      <c r="AK257" s="79"/>
      <c r="AL2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7" s="80"/>
      <c r="AN257" s="79">
        <f>ERP_34[[#This Row],[2026 Working Total to Budget/LE]]-ERP_34[[#This Row],[Giveback]]</f>
        <v>0</v>
      </c>
      <c r="AO257" s="81"/>
      <c r="AP257" s="81"/>
      <c r="AQ257" s="81"/>
      <c r="AR257" s="81"/>
      <c r="AS257" s="81"/>
      <c r="AT257" s="81"/>
      <c r="AU257" s="81"/>
      <c r="AV257" s="81"/>
      <c r="AW257" s="81">
        <v>25000</v>
      </c>
      <c r="AX257" s="81">
        <v>0</v>
      </c>
      <c r="AY257" s="81">
        <v>0</v>
      </c>
      <c r="AZ257" s="81">
        <v>0</v>
      </c>
      <c r="BA257" s="81">
        <v>0</v>
      </c>
      <c r="BB257" s="81">
        <v>25000</v>
      </c>
      <c r="BC257" s="79"/>
      <c r="BD257" s="79"/>
      <c r="BE257" s="79"/>
      <c r="BF257" s="79"/>
      <c r="BG257" s="79"/>
      <c r="BH257" s="79"/>
      <c r="BI257" s="79"/>
      <c r="BJ257" s="79">
        <v>25000</v>
      </c>
      <c r="BK257" s="79">
        <v>0</v>
      </c>
      <c r="BL257" s="79">
        <v>0</v>
      </c>
      <c r="BM257" s="79">
        <v>0</v>
      </c>
      <c r="BN257" s="79">
        <v>0</v>
      </c>
      <c r="BO257" s="79">
        <v>25000</v>
      </c>
    </row>
    <row r="258" spans="1:67">
      <c r="A258" s="66" t="s">
        <v>1966</v>
      </c>
      <c r="B258" s="66" t="str">
        <f>_xlfn.TEXTJOIN("_",,ERP_34[[#This Row],[LT Member -1*]],ERP_34[[#This Row],[Expense Category]],ERP_34[[#This Row],[Project Code*]])</f>
        <v>Ganesan, Srinivasan_MANAGED SERVICES_IT-FBT0658-OG-US-00</v>
      </c>
      <c r="C258" s="67" t="s">
        <v>1136</v>
      </c>
      <c r="D258" s="67" t="s">
        <v>1345</v>
      </c>
      <c r="E258" s="67" t="s">
        <v>1344</v>
      </c>
      <c r="F258" s="67" t="s">
        <v>1346</v>
      </c>
      <c r="G258" s="68" t="s">
        <v>389</v>
      </c>
      <c r="H258" s="106" t="s">
        <v>1967</v>
      </c>
      <c r="I258" s="70"/>
      <c r="J258" s="70"/>
      <c r="K258" s="70" t="s">
        <v>495</v>
      </c>
      <c r="L258" s="70"/>
      <c r="M258" s="70"/>
      <c r="N258" s="70"/>
      <c r="O258" s="67" t="s">
        <v>57</v>
      </c>
      <c r="P258" s="67"/>
      <c r="Q258" s="71"/>
      <c r="R258" s="72">
        <v>8600</v>
      </c>
      <c r="S258" s="73">
        <v>8392.24</v>
      </c>
      <c r="T258" s="73">
        <v>8600</v>
      </c>
      <c r="U258" s="71">
        <f>ERP_34[[#This Row],[LE2 Final Submission]]-ERP_34[[#This Row],[LE3 Final Submission]]</f>
        <v>-207.76000000000022</v>
      </c>
      <c r="V258" s="74">
        <v>540.58000000000004</v>
      </c>
      <c r="W258" s="75">
        <v>540.04999999999995</v>
      </c>
      <c r="X258" s="75">
        <v>511.61</v>
      </c>
      <c r="Y258" s="76">
        <v>600</v>
      </c>
      <c r="Z258" s="76">
        <v>600</v>
      </c>
      <c r="AA258" s="76">
        <v>600</v>
      </c>
      <c r="AB258" s="76">
        <v>600</v>
      </c>
      <c r="AC258" s="76">
        <v>600</v>
      </c>
      <c r="AD258" s="76">
        <v>600</v>
      </c>
      <c r="AE258" s="76">
        <v>600</v>
      </c>
      <c r="AF258" s="76">
        <v>600</v>
      </c>
      <c r="AG258" s="76">
        <v>2000</v>
      </c>
      <c r="AH258" s="77">
        <f t="shared" si="11"/>
        <v>8392.24</v>
      </c>
      <c r="AI258" s="108">
        <f>ERP_34[[#This Row],[2026 Working Total]]-ERP_34[[#This Row],[2026 LE0]]</f>
        <v>-207.76000000000022</v>
      </c>
      <c r="AJ258" s="79"/>
      <c r="AK258" s="79"/>
      <c r="AL2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8" s="80"/>
      <c r="AN258" s="79">
        <f>ERP_34[[#This Row],[2026 Working Total to Budget/LE]]-ERP_34[[#This Row],[Giveback]]</f>
        <v>-207.76000000000022</v>
      </c>
      <c r="AO258" s="81"/>
      <c r="AP258" s="81">
        <v>540.58000000000004</v>
      </c>
      <c r="AQ258" s="81">
        <v>540.04999999999995</v>
      </c>
      <c r="AR258" s="81">
        <v>511.61</v>
      </c>
      <c r="AS258" s="81">
        <v>600</v>
      </c>
      <c r="AT258" s="81">
        <v>600</v>
      </c>
      <c r="AU258" s="81">
        <v>600</v>
      </c>
      <c r="AV258" s="81">
        <v>600</v>
      </c>
      <c r="AW258" s="81">
        <v>600</v>
      </c>
      <c r="AX258" s="81">
        <v>600</v>
      </c>
      <c r="AY258" s="81">
        <v>600</v>
      </c>
      <c r="AZ258" s="81">
        <v>600</v>
      </c>
      <c r="BA258" s="81">
        <v>2000</v>
      </c>
      <c r="BB258" s="81">
        <v>8392.24</v>
      </c>
      <c r="BC258" s="79">
        <v>540.58000000000004</v>
      </c>
      <c r="BD258" s="79">
        <v>540.04999999999995</v>
      </c>
      <c r="BE258" s="79">
        <v>511.61</v>
      </c>
      <c r="BF258" s="79">
        <v>600</v>
      </c>
      <c r="BG258" s="79">
        <v>600</v>
      </c>
      <c r="BH258" s="79">
        <v>600</v>
      </c>
      <c r="BI258" s="79">
        <v>600</v>
      </c>
      <c r="BJ258" s="79">
        <v>600</v>
      </c>
      <c r="BK258" s="79">
        <v>600</v>
      </c>
      <c r="BL258" s="79">
        <v>600</v>
      </c>
      <c r="BM258" s="79">
        <v>600</v>
      </c>
      <c r="BN258" s="79">
        <v>2000</v>
      </c>
      <c r="BO258" s="79">
        <v>8392.24</v>
      </c>
    </row>
    <row r="259" spans="1:67">
      <c r="A259" s="66" t="s">
        <v>2609</v>
      </c>
      <c r="B259" s="66" t="str">
        <f>_xlfn.TEXTJOIN("_",,ERP_34[[#This Row],[LT Member -1*]],ERP_34[[#This Row],[Expense Category]],ERP_34[[#This Row],[Project Code*]])</f>
        <v>Ganesan, Srinivasan_SOFTWARE_IT-FBT0658-OG-US-00</v>
      </c>
      <c r="C259" s="67" t="s">
        <v>1136</v>
      </c>
      <c r="D259" s="67" t="s">
        <v>1345</v>
      </c>
      <c r="E259" s="67" t="s">
        <v>1344</v>
      </c>
      <c r="F259" s="67" t="s">
        <v>1346</v>
      </c>
      <c r="G259" s="68" t="s">
        <v>639</v>
      </c>
      <c r="H259" s="106" t="s">
        <v>1967</v>
      </c>
      <c r="I259" s="70"/>
      <c r="J259" s="70"/>
      <c r="K259" s="70" t="s">
        <v>495</v>
      </c>
      <c r="L259" s="70"/>
      <c r="M259" s="70"/>
      <c r="N259" s="70"/>
      <c r="O259" s="67" t="s">
        <v>57</v>
      </c>
      <c r="P259" s="67"/>
      <c r="Q259" s="71"/>
      <c r="R259" s="72">
        <v>3348</v>
      </c>
      <c r="S259" s="73">
        <v>3659.38</v>
      </c>
      <c r="T259" s="73">
        <v>3348</v>
      </c>
      <c r="U259" s="71">
        <f>ERP_34[[#This Row],[LE2 Final Submission]]-ERP_34[[#This Row],[LE3 Final Submission]]</f>
        <v>311.38000000000011</v>
      </c>
      <c r="V259" s="74">
        <v>279.45999999999998</v>
      </c>
      <c r="W259" s="75">
        <v>279.45999999999998</v>
      </c>
      <c r="X259" s="75">
        <v>589.46</v>
      </c>
      <c r="Y259" s="76">
        <v>279</v>
      </c>
      <c r="Z259" s="76">
        <v>279</v>
      </c>
      <c r="AA259" s="76">
        <v>279</v>
      </c>
      <c r="AB259" s="76">
        <v>279</v>
      </c>
      <c r="AC259" s="76">
        <v>279</v>
      </c>
      <c r="AD259" s="76">
        <v>279</v>
      </c>
      <c r="AE259" s="76">
        <v>279</v>
      </c>
      <c r="AF259" s="76">
        <v>279</v>
      </c>
      <c r="AG259" s="76">
        <v>279</v>
      </c>
      <c r="AH259" s="77">
        <f t="shared" si="11"/>
        <v>3659.38</v>
      </c>
      <c r="AI259" s="108">
        <f>ERP_34[[#This Row],[2026 Working Total]]-ERP_34[[#This Row],[2026 LE0]]</f>
        <v>311.38000000000011</v>
      </c>
      <c r="AJ259" s="79"/>
      <c r="AK259" s="79"/>
      <c r="AL25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59" s="80"/>
      <c r="AN259" s="79">
        <f>ERP_34[[#This Row],[2026 Working Total to Budget/LE]]-ERP_34[[#This Row],[Giveback]]</f>
        <v>311.38000000000011</v>
      </c>
      <c r="AO259" s="81" t="s">
        <v>2610</v>
      </c>
      <c r="AP259" s="81">
        <v>279.45999999999998</v>
      </c>
      <c r="AQ259" s="81">
        <v>279.45999999999998</v>
      </c>
      <c r="AR259" s="81">
        <v>589.46</v>
      </c>
      <c r="AS259" s="81">
        <v>279</v>
      </c>
      <c r="AT259" s="81">
        <v>279</v>
      </c>
      <c r="AU259" s="81">
        <v>279</v>
      </c>
      <c r="AV259" s="81">
        <v>279</v>
      </c>
      <c r="AW259" s="81">
        <v>279</v>
      </c>
      <c r="AX259" s="81">
        <v>279</v>
      </c>
      <c r="AY259" s="81">
        <v>279</v>
      </c>
      <c r="AZ259" s="81">
        <v>279</v>
      </c>
      <c r="BA259" s="81">
        <v>279</v>
      </c>
      <c r="BB259" s="81">
        <v>3659.38</v>
      </c>
      <c r="BC259" s="79">
        <v>279.45999999999998</v>
      </c>
      <c r="BD259" s="79">
        <v>279.45999999999998</v>
      </c>
      <c r="BE259" s="79">
        <v>589.46</v>
      </c>
      <c r="BF259" s="79">
        <v>279</v>
      </c>
      <c r="BG259" s="79">
        <v>279</v>
      </c>
      <c r="BH259" s="79">
        <v>279</v>
      </c>
      <c r="BI259" s="79">
        <v>279</v>
      </c>
      <c r="BJ259" s="79">
        <v>279</v>
      </c>
      <c r="BK259" s="79">
        <v>279</v>
      </c>
      <c r="BL259" s="79">
        <v>279</v>
      </c>
      <c r="BM259" s="79">
        <v>279</v>
      </c>
      <c r="BN259" s="79">
        <v>279</v>
      </c>
      <c r="BO259" s="79">
        <v>3659.38</v>
      </c>
    </row>
    <row r="260" spans="1:67">
      <c r="A260" s="66" t="s">
        <v>1968</v>
      </c>
      <c r="B260" s="66" t="str">
        <f>_xlfn.TEXTJOIN("_",,ERP_34[[#This Row],[LT Member -1*]],ERP_34[[#This Row],[Expense Category]],ERP_34[[#This Row],[Project Code*]])</f>
        <v>Ganesan, Srinivasan_MANAGED SERVICES_IT-FBT0659-OG-US-00</v>
      </c>
      <c r="C260" s="67" t="s">
        <v>1136</v>
      </c>
      <c r="D260" s="67" t="s">
        <v>1345</v>
      </c>
      <c r="E260" s="67" t="s">
        <v>1344</v>
      </c>
      <c r="F260" s="67" t="s">
        <v>1346</v>
      </c>
      <c r="G260" s="68" t="s">
        <v>389</v>
      </c>
      <c r="H260" s="106" t="s">
        <v>1969</v>
      </c>
      <c r="I260" s="70"/>
      <c r="J260" s="70"/>
      <c r="K260" s="70" t="s">
        <v>497</v>
      </c>
      <c r="L260" s="70"/>
      <c r="M260" s="70"/>
      <c r="N260" s="70"/>
      <c r="O260" s="67" t="s">
        <v>25</v>
      </c>
      <c r="P260" s="67"/>
      <c r="Q260" s="71"/>
      <c r="R260" s="72">
        <v>1560</v>
      </c>
      <c r="S260" s="73">
        <v>1536.8899999999999</v>
      </c>
      <c r="T260" s="73">
        <v>1560</v>
      </c>
      <c r="U260" s="71">
        <f>ERP_34[[#This Row],[LE2 Final Submission]]-ERP_34[[#This Row],[LE3 Final Submission]]</f>
        <v>-23.110000000000127</v>
      </c>
      <c r="V260" s="74">
        <v>124.95</v>
      </c>
      <c r="W260" s="75">
        <v>125.88</v>
      </c>
      <c r="X260" s="75">
        <v>116.06</v>
      </c>
      <c r="Y260" s="76">
        <v>130</v>
      </c>
      <c r="Z260" s="76">
        <v>130</v>
      </c>
      <c r="AA260" s="76">
        <v>130</v>
      </c>
      <c r="AB260" s="76">
        <v>130</v>
      </c>
      <c r="AC260" s="76">
        <v>130</v>
      </c>
      <c r="AD260" s="76">
        <v>130</v>
      </c>
      <c r="AE260" s="76">
        <v>130</v>
      </c>
      <c r="AF260" s="76">
        <v>130</v>
      </c>
      <c r="AG260" s="76">
        <v>130</v>
      </c>
      <c r="AH260" s="77">
        <f t="shared" si="11"/>
        <v>1536.8899999999999</v>
      </c>
      <c r="AI260" s="108">
        <f>ERP_34[[#This Row],[2026 Working Total]]-ERP_34[[#This Row],[2026 LE0]]</f>
        <v>-23.110000000000127</v>
      </c>
      <c r="AJ260" s="79"/>
      <c r="AK260" s="79"/>
      <c r="AL2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0" s="80"/>
      <c r="AN260" s="79">
        <f>ERP_34[[#This Row],[2026 Working Total to Budget/LE]]-ERP_34[[#This Row],[Giveback]]</f>
        <v>-23.110000000000127</v>
      </c>
      <c r="AO260" s="81"/>
      <c r="AP260" s="81">
        <v>124.95</v>
      </c>
      <c r="AQ260" s="81">
        <v>125.88</v>
      </c>
      <c r="AR260" s="81">
        <v>116.06</v>
      </c>
      <c r="AS260" s="81">
        <v>130</v>
      </c>
      <c r="AT260" s="81">
        <v>130</v>
      </c>
      <c r="AU260" s="81">
        <v>130</v>
      </c>
      <c r="AV260" s="81">
        <v>130</v>
      </c>
      <c r="AW260" s="81">
        <v>130</v>
      </c>
      <c r="AX260" s="81">
        <v>130</v>
      </c>
      <c r="AY260" s="81">
        <v>130</v>
      </c>
      <c r="AZ260" s="81">
        <v>130</v>
      </c>
      <c r="BA260" s="81">
        <v>130</v>
      </c>
      <c r="BB260" s="81">
        <v>1536.8899999999999</v>
      </c>
      <c r="BC260" s="79">
        <v>124.95</v>
      </c>
      <c r="BD260" s="79">
        <v>125.88</v>
      </c>
      <c r="BE260" s="79">
        <v>116.06</v>
      </c>
      <c r="BF260" s="79">
        <v>130</v>
      </c>
      <c r="BG260" s="79">
        <v>130</v>
      </c>
      <c r="BH260" s="79">
        <v>130</v>
      </c>
      <c r="BI260" s="79">
        <v>130</v>
      </c>
      <c r="BJ260" s="79">
        <v>130</v>
      </c>
      <c r="BK260" s="79">
        <v>130</v>
      </c>
      <c r="BL260" s="79">
        <v>130</v>
      </c>
      <c r="BM260" s="79">
        <v>130</v>
      </c>
      <c r="BN260" s="79">
        <v>130</v>
      </c>
      <c r="BO260" s="79">
        <v>1536.8899999999999</v>
      </c>
    </row>
    <row r="261" spans="1:67">
      <c r="A261" s="66" t="s">
        <v>2068</v>
      </c>
      <c r="B261" s="66" t="str">
        <f>_xlfn.TEXTJOIN("_",,ERP_34[[#This Row],[LT Member -1*]],ERP_34[[#This Row],[Expense Category]],ERP_34[[#This Row],[Project Code*]])</f>
        <v>Jajodia, Amit_MANAGED SERVICES_IT-FBT0659-OG-US-00</v>
      </c>
      <c r="C261" s="67" t="s">
        <v>1136</v>
      </c>
      <c r="D261" s="67" t="s">
        <v>1345</v>
      </c>
      <c r="E261" s="67" t="s">
        <v>1515</v>
      </c>
      <c r="F261" s="67" t="s">
        <v>1346</v>
      </c>
      <c r="G261" s="68" t="s">
        <v>389</v>
      </c>
      <c r="H261" s="106" t="s">
        <v>1969</v>
      </c>
      <c r="I261" s="70"/>
      <c r="J261" s="70"/>
      <c r="K261" s="70" t="s">
        <v>497</v>
      </c>
      <c r="L261" s="70"/>
      <c r="M261" s="70"/>
      <c r="N261" s="70"/>
      <c r="O261" s="67" t="s">
        <v>25</v>
      </c>
      <c r="P261" s="67"/>
      <c r="Q261" s="71"/>
      <c r="R261" s="72">
        <v>4213</v>
      </c>
      <c r="S261" s="73">
        <v>3403</v>
      </c>
      <c r="T261" s="73">
        <v>4213</v>
      </c>
      <c r="U261" s="71">
        <f>ERP_34[[#This Row],[LE2 Final Submission]]-ERP_34[[#This Row],[LE3 Final Submission]]</f>
        <v>-810</v>
      </c>
      <c r="V261" s="74"/>
      <c r="W261" s="75"/>
      <c r="X261" s="75"/>
      <c r="Y261" s="76">
        <v>267</v>
      </c>
      <c r="Z261" s="76">
        <v>267</v>
      </c>
      <c r="AA261" s="76">
        <v>267</v>
      </c>
      <c r="AB261" s="76">
        <v>267</v>
      </c>
      <c r="AC261" s="76">
        <v>267</v>
      </c>
      <c r="AD261" s="76">
        <v>267</v>
      </c>
      <c r="AE261" s="76">
        <v>267</v>
      </c>
      <c r="AF261" s="76">
        <v>267</v>
      </c>
      <c r="AG261" s="76">
        <v>1267</v>
      </c>
      <c r="AH261" s="77">
        <f t="shared" si="11"/>
        <v>3403</v>
      </c>
      <c r="AI261" s="108">
        <f>ERP_34[[#This Row],[2026 Working Total]]-ERP_34[[#This Row],[2026 LE0]]</f>
        <v>-810</v>
      </c>
      <c r="AJ261" s="79"/>
      <c r="AK261" s="79"/>
      <c r="AL26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1" s="80"/>
      <c r="AN261" s="79">
        <f>ERP_34[[#This Row],[2026 Working Total to Budget/LE]]-ERP_34[[#This Row],[Giveback]]</f>
        <v>-810</v>
      </c>
      <c r="AO261" s="81"/>
      <c r="AP261" s="81"/>
      <c r="AQ261" s="81"/>
      <c r="AR261" s="81"/>
      <c r="AS261" s="81">
        <v>267</v>
      </c>
      <c r="AT261" s="81">
        <v>267</v>
      </c>
      <c r="AU261" s="81">
        <v>267</v>
      </c>
      <c r="AV261" s="81">
        <v>267</v>
      </c>
      <c r="AW261" s="81">
        <v>267</v>
      </c>
      <c r="AX261" s="81">
        <v>267</v>
      </c>
      <c r="AY261" s="81">
        <v>267</v>
      </c>
      <c r="AZ261" s="81">
        <v>267</v>
      </c>
      <c r="BA261" s="81">
        <v>1267</v>
      </c>
      <c r="BB261" s="81">
        <v>3403</v>
      </c>
      <c r="BC261" s="79"/>
      <c r="BD261" s="79"/>
      <c r="BE261" s="79"/>
      <c r="BF261" s="79">
        <v>267</v>
      </c>
      <c r="BG261" s="79">
        <v>267</v>
      </c>
      <c r="BH261" s="79">
        <v>267</v>
      </c>
      <c r="BI261" s="79">
        <v>267</v>
      </c>
      <c r="BJ261" s="79">
        <v>267</v>
      </c>
      <c r="BK261" s="79">
        <v>267</v>
      </c>
      <c r="BL261" s="79">
        <v>267</v>
      </c>
      <c r="BM261" s="79">
        <v>267</v>
      </c>
      <c r="BN261" s="79">
        <v>1267</v>
      </c>
      <c r="BO261" s="79">
        <v>3403</v>
      </c>
    </row>
    <row r="262" spans="1:67">
      <c r="A262" s="66" t="s">
        <v>1970</v>
      </c>
      <c r="B262" s="66" t="str">
        <f>_xlfn.TEXTJOIN("_",,ERP_34[[#This Row],[LT Member -1*]],ERP_34[[#This Row],[Expense Category]],ERP_34[[#This Row],[Project Code*]])</f>
        <v>Ganesan, Srinivasan_MANAGED SERVICES_IT-FBT0660-OG-US-00</v>
      </c>
      <c r="C262" s="67" t="s">
        <v>1136</v>
      </c>
      <c r="D262" s="67" t="s">
        <v>1345</v>
      </c>
      <c r="E262" s="67" t="s">
        <v>1344</v>
      </c>
      <c r="F262" s="67" t="s">
        <v>1346</v>
      </c>
      <c r="G262" s="68" t="s">
        <v>389</v>
      </c>
      <c r="H262" s="106" t="s">
        <v>1971</v>
      </c>
      <c r="I262" s="70"/>
      <c r="J262" s="70"/>
      <c r="K262" s="70" t="s">
        <v>499</v>
      </c>
      <c r="L262" s="70"/>
      <c r="M262" s="70"/>
      <c r="N262" s="70"/>
      <c r="O262" s="67" t="s">
        <v>57</v>
      </c>
      <c r="P262" s="67"/>
      <c r="Q262" s="71"/>
      <c r="R262" s="72">
        <v>0</v>
      </c>
      <c r="S262" s="73">
        <v>354.76</v>
      </c>
      <c r="T262" s="73">
        <v>0</v>
      </c>
      <c r="U262" s="71">
        <f>ERP_34[[#This Row],[LE2 Final Submission]]-ERP_34[[#This Row],[LE3 Final Submission]]</f>
        <v>354.76</v>
      </c>
      <c r="V262" s="74">
        <v>129.77000000000001</v>
      </c>
      <c r="W262" s="75">
        <v>129.72</v>
      </c>
      <c r="X262" s="75">
        <v>95.27</v>
      </c>
      <c r="Y262" s="109">
        <v>0</v>
      </c>
      <c r="Z262" s="109">
        <v>0</v>
      </c>
      <c r="AA262" s="109">
        <v>0</v>
      </c>
      <c r="AB262" s="109">
        <v>0</v>
      </c>
      <c r="AC262" s="109">
        <v>0</v>
      </c>
      <c r="AD262" s="109">
        <v>0</v>
      </c>
      <c r="AE262" s="109">
        <v>0</v>
      </c>
      <c r="AF262" s="109">
        <v>0</v>
      </c>
      <c r="AG262" s="109">
        <v>0</v>
      </c>
      <c r="AH262" s="77">
        <f t="shared" si="11"/>
        <v>354.76</v>
      </c>
      <c r="AI262" s="108">
        <f>ERP_34[[#This Row],[2026 Working Total]]-ERP_34[[#This Row],[2026 LE0]]</f>
        <v>354.76</v>
      </c>
      <c r="AJ262" s="79"/>
      <c r="AK262" s="79"/>
      <c r="AL262" s="79">
        <f>ERP_34[[#This Row],[AP01]]+ERP_34[[#This Row],[AP02]]+ERP_34[[#This Row],[AP03]]+ERP_34[[#This Row],[AP04]]-ERP_34[[#This Row],[AP01 LE2]]-ERP_34[[#This Row],[AP02 LE2]]-ERP_34[[#This Row],[AP03 LE2]]-ERP_34[[#This Row],[AP04 LE2]]</f>
        <v>-1.4210854715202004E-14</v>
      </c>
      <c r="AM262" s="80"/>
      <c r="AN262" s="79">
        <f>ERP_34[[#This Row],[2026 Working Total to Budget/LE]]-ERP_34[[#This Row],[Giveback]]</f>
        <v>354.76</v>
      </c>
      <c r="AO262" s="81"/>
      <c r="AP262" s="81">
        <v>129.77000000000001</v>
      </c>
      <c r="AQ262" s="81">
        <v>129.72</v>
      </c>
      <c r="AR262" s="81">
        <v>95.27</v>
      </c>
      <c r="AS262" s="81">
        <v>0</v>
      </c>
      <c r="AT262" s="81">
        <v>0</v>
      </c>
      <c r="AU262" s="81">
        <v>0</v>
      </c>
      <c r="AV262" s="81">
        <v>0</v>
      </c>
      <c r="AW262" s="81">
        <v>0</v>
      </c>
      <c r="AX262" s="81">
        <v>0</v>
      </c>
      <c r="AY262" s="81">
        <v>0</v>
      </c>
      <c r="AZ262" s="81">
        <v>0</v>
      </c>
      <c r="BA262" s="81">
        <v>0</v>
      </c>
      <c r="BB262" s="81">
        <v>354.76</v>
      </c>
      <c r="BC262" s="79">
        <v>129.77000000000001</v>
      </c>
      <c r="BD262" s="79">
        <v>129.72</v>
      </c>
      <c r="BE262" s="79">
        <v>95.27</v>
      </c>
      <c r="BF262" s="79">
        <v>0</v>
      </c>
      <c r="BG262" s="79">
        <v>0</v>
      </c>
      <c r="BH262" s="79">
        <v>0</v>
      </c>
      <c r="BI262" s="79">
        <v>0</v>
      </c>
      <c r="BJ262" s="79">
        <v>0</v>
      </c>
      <c r="BK262" s="79">
        <v>0</v>
      </c>
      <c r="BL262" s="79">
        <v>0</v>
      </c>
      <c r="BM262" s="79">
        <v>0</v>
      </c>
      <c r="BN262" s="79">
        <v>0</v>
      </c>
      <c r="BO262" s="79">
        <v>354.76</v>
      </c>
    </row>
    <row r="263" spans="1:67">
      <c r="A263" s="66" t="s">
        <v>2069</v>
      </c>
      <c r="B263" s="66" t="str">
        <f>_xlfn.TEXTJOIN("_",,ERP_34[[#This Row],[LT Member -1*]],ERP_34[[#This Row],[Expense Category]],ERP_34[[#This Row],[Project Code*]])</f>
        <v>Jajodia, Amit_MANAGED SERVICES_IT-FBT0660-OG-US-00</v>
      </c>
      <c r="C263" s="67" t="s">
        <v>1136</v>
      </c>
      <c r="D263" s="67" t="s">
        <v>1345</v>
      </c>
      <c r="E263" s="67" t="s">
        <v>1515</v>
      </c>
      <c r="F263" s="67" t="s">
        <v>1346</v>
      </c>
      <c r="G263" s="68" t="s">
        <v>389</v>
      </c>
      <c r="H263" s="106" t="s">
        <v>1971</v>
      </c>
      <c r="I263" s="70"/>
      <c r="J263" s="70"/>
      <c r="K263" s="70" t="s">
        <v>499</v>
      </c>
      <c r="L263" s="70"/>
      <c r="M263" s="70"/>
      <c r="N263" s="70"/>
      <c r="O263" s="67" t="s">
        <v>57</v>
      </c>
      <c r="P263" s="67"/>
      <c r="Q263" s="71"/>
      <c r="R263" s="72">
        <v>3260</v>
      </c>
      <c r="S263" s="73">
        <v>2780</v>
      </c>
      <c r="T263" s="73">
        <v>3260</v>
      </c>
      <c r="U263" s="71">
        <f>ERP_34[[#This Row],[LE2 Final Submission]]-ERP_34[[#This Row],[LE3 Final Submission]]</f>
        <v>-480</v>
      </c>
      <c r="V263" s="74"/>
      <c r="W263" s="75"/>
      <c r="X263" s="75"/>
      <c r="Y263" s="76">
        <v>160</v>
      </c>
      <c r="Z263" s="76">
        <v>160</v>
      </c>
      <c r="AA263" s="76">
        <v>160</v>
      </c>
      <c r="AB263" s="76">
        <v>160</v>
      </c>
      <c r="AC263" s="76">
        <v>160</v>
      </c>
      <c r="AD263" s="76">
        <v>160</v>
      </c>
      <c r="AE263" s="76">
        <v>160</v>
      </c>
      <c r="AF263" s="76">
        <v>160</v>
      </c>
      <c r="AG263" s="76">
        <v>1500</v>
      </c>
      <c r="AH263" s="77">
        <f t="shared" si="11"/>
        <v>2780</v>
      </c>
      <c r="AI263" s="108">
        <f>ERP_34[[#This Row],[2026 Working Total]]-ERP_34[[#This Row],[2026 LE0]]</f>
        <v>-480</v>
      </c>
      <c r="AJ263" s="79"/>
      <c r="AK263" s="79"/>
      <c r="AL2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3" s="80"/>
      <c r="AN263" s="79">
        <f>ERP_34[[#This Row],[2026 Working Total to Budget/LE]]-ERP_34[[#This Row],[Giveback]]</f>
        <v>-480</v>
      </c>
      <c r="AO263" s="81"/>
      <c r="AP263" s="81"/>
      <c r="AQ263" s="81"/>
      <c r="AR263" s="81"/>
      <c r="AS263" s="81">
        <v>160</v>
      </c>
      <c r="AT263" s="81">
        <v>160</v>
      </c>
      <c r="AU263" s="81">
        <v>160</v>
      </c>
      <c r="AV263" s="81">
        <v>160</v>
      </c>
      <c r="AW263" s="81">
        <v>160</v>
      </c>
      <c r="AX263" s="81">
        <v>160</v>
      </c>
      <c r="AY263" s="81">
        <v>160</v>
      </c>
      <c r="AZ263" s="81">
        <v>160</v>
      </c>
      <c r="BA263" s="81">
        <v>1500</v>
      </c>
      <c r="BB263" s="81">
        <v>2780</v>
      </c>
      <c r="BC263" s="79"/>
      <c r="BD263" s="79"/>
      <c r="BE263" s="79"/>
      <c r="BF263" s="79">
        <v>160</v>
      </c>
      <c r="BG263" s="79">
        <v>160</v>
      </c>
      <c r="BH263" s="79">
        <v>160</v>
      </c>
      <c r="BI263" s="79">
        <v>160</v>
      </c>
      <c r="BJ263" s="79">
        <v>160</v>
      </c>
      <c r="BK263" s="79">
        <v>160</v>
      </c>
      <c r="BL263" s="79">
        <v>160</v>
      </c>
      <c r="BM263" s="79">
        <v>160</v>
      </c>
      <c r="BN263" s="79">
        <v>1500</v>
      </c>
      <c r="BO263" s="79">
        <v>2780</v>
      </c>
    </row>
    <row r="264" spans="1:67">
      <c r="A264" s="66" t="s">
        <v>1398</v>
      </c>
      <c r="B264" s="66" t="str">
        <f>_xlfn.TEXTJOIN("_",,ERP_34[[#This Row],[LT Member -1*]],ERP_34[[#This Row],[Expense Category]],ERP_34[[#This Row],[Project Code*]])</f>
        <v>Ganesan, Srinivasan_CONTRACTORS_IT-FBT0661-OG-US-00</v>
      </c>
      <c r="C264" s="67" t="s">
        <v>1136</v>
      </c>
      <c r="D264" s="67" t="s">
        <v>1345</v>
      </c>
      <c r="E264" s="67" t="s">
        <v>1344</v>
      </c>
      <c r="F264" s="67" t="s">
        <v>1346</v>
      </c>
      <c r="G264" s="68" t="s">
        <v>49</v>
      </c>
      <c r="H264" s="106" t="s">
        <v>1399</v>
      </c>
      <c r="I264" s="70"/>
      <c r="J264" s="70"/>
      <c r="K264" s="70" t="s">
        <v>185</v>
      </c>
      <c r="L264" s="70"/>
      <c r="M264" s="70"/>
      <c r="N264" s="70"/>
      <c r="O264" s="67" t="s">
        <v>25</v>
      </c>
      <c r="P264" s="67" t="s">
        <v>1400</v>
      </c>
      <c r="Q264" s="71"/>
      <c r="R264" s="72">
        <v>47697</v>
      </c>
      <c r="S264" s="73">
        <v>53620</v>
      </c>
      <c r="T264" s="73">
        <v>47697</v>
      </c>
      <c r="U264" s="71">
        <f>ERP_34[[#This Row],[LE2 Final Submission]]-ERP_34[[#This Row],[LE3 Final Submission]]</f>
        <v>5923</v>
      </c>
      <c r="V264" s="74"/>
      <c r="W264" s="75"/>
      <c r="X264" s="75"/>
      <c r="Y264" s="136">
        <f>15000</f>
        <v>15000</v>
      </c>
      <c r="Z264" s="109">
        <v>5850</v>
      </c>
      <c r="AA264" s="109">
        <v>0</v>
      </c>
      <c r="AB264" s="76">
        <v>23247</v>
      </c>
      <c r="AC264" s="109">
        <v>0</v>
      </c>
      <c r="AD264" s="76">
        <v>9523</v>
      </c>
      <c r="AE264" s="109">
        <v>0</v>
      </c>
      <c r="AF264" s="109">
        <v>0</v>
      </c>
      <c r="AG264" s="109">
        <v>0</v>
      </c>
      <c r="AH264" s="77">
        <f t="shared" si="11"/>
        <v>53620</v>
      </c>
      <c r="AI264" s="108">
        <f>ERP_34[[#This Row],[2026 Working Total]]-ERP_34[[#This Row],[2026 LE0]]</f>
        <v>5923</v>
      </c>
      <c r="AJ264" s="79"/>
      <c r="AK264" s="79"/>
      <c r="AL26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4" s="80"/>
      <c r="AN264" s="79">
        <f>ERP_34[[#This Row],[2026 Working Total to Budget/LE]]-ERP_34[[#This Row],[Giveback]]</f>
        <v>5923</v>
      </c>
      <c r="AO264" s="81"/>
      <c r="AP264" s="81"/>
      <c r="AQ264" s="81"/>
      <c r="AR264" s="81"/>
      <c r="AS264" s="81">
        <v>15000</v>
      </c>
      <c r="AT264" s="81">
        <v>5850</v>
      </c>
      <c r="AU264" s="81">
        <v>0</v>
      </c>
      <c r="AV264" s="81">
        <v>23247</v>
      </c>
      <c r="AW264" s="81">
        <v>0</v>
      </c>
      <c r="AX264" s="81">
        <v>9523</v>
      </c>
      <c r="AY264" s="81">
        <v>0</v>
      </c>
      <c r="AZ264" s="81">
        <v>0</v>
      </c>
      <c r="BA264" s="81">
        <v>0</v>
      </c>
      <c r="BB264" s="81">
        <v>53620</v>
      </c>
      <c r="BC264" s="79"/>
      <c r="BD264" s="79"/>
      <c r="BE264" s="79"/>
      <c r="BF264" s="79">
        <v>15000</v>
      </c>
      <c r="BG264" s="79">
        <v>0</v>
      </c>
      <c r="BH264" s="79">
        <v>0</v>
      </c>
      <c r="BI264" s="79">
        <v>23247</v>
      </c>
      <c r="BJ264" s="79">
        <v>0</v>
      </c>
      <c r="BK264" s="79">
        <v>9523</v>
      </c>
      <c r="BL264" s="79">
        <v>0</v>
      </c>
      <c r="BM264" s="79">
        <v>0</v>
      </c>
      <c r="BN264" s="79">
        <v>0</v>
      </c>
      <c r="BO264" s="79">
        <v>47770</v>
      </c>
    </row>
    <row r="265" spans="1:67">
      <c r="A265" s="66" t="s">
        <v>1972</v>
      </c>
      <c r="B265" s="66" t="str">
        <f>_xlfn.TEXTJOIN("_",,ERP_34[[#This Row],[LT Member -1*]],ERP_34[[#This Row],[Expense Category]],ERP_34[[#This Row],[Project Code*]])</f>
        <v>Ganesan, Srinivasan_MANAGED SERVICES_IT-FBT0661-OG-US-00</v>
      </c>
      <c r="C265" s="67" t="s">
        <v>1136</v>
      </c>
      <c r="D265" s="67" t="s">
        <v>1345</v>
      </c>
      <c r="E265" s="67" t="s">
        <v>1344</v>
      </c>
      <c r="F265" s="67" t="s">
        <v>1346</v>
      </c>
      <c r="G265" s="68" t="s">
        <v>389</v>
      </c>
      <c r="H265" s="106" t="s">
        <v>1399</v>
      </c>
      <c r="I265" s="70"/>
      <c r="J265" s="70"/>
      <c r="K265" s="70" t="s">
        <v>185</v>
      </c>
      <c r="L265" s="70"/>
      <c r="M265" s="70"/>
      <c r="N265" s="70"/>
      <c r="O265" s="67" t="s">
        <v>25</v>
      </c>
      <c r="P265" s="67" t="s">
        <v>1400</v>
      </c>
      <c r="Q265" s="71"/>
      <c r="R265" s="72">
        <v>0</v>
      </c>
      <c r="S265" s="73">
        <v>0</v>
      </c>
      <c r="T265" s="73">
        <v>0</v>
      </c>
      <c r="U265" s="71">
        <f>ERP_34[[#This Row],[LE2 Final Submission]]-ERP_34[[#This Row],[LE3 Final Submission]]</f>
        <v>0</v>
      </c>
      <c r="V265" s="74"/>
      <c r="W265" s="75"/>
      <c r="X265" s="75">
        <v>5850</v>
      </c>
      <c r="Y265" s="80"/>
      <c r="Z265" s="142">
        <v>-5850</v>
      </c>
      <c r="AA265" s="109">
        <v>0</v>
      </c>
      <c r="AB265" s="109">
        <v>0</v>
      </c>
      <c r="AC265" s="109">
        <v>0</v>
      </c>
      <c r="AD265" s="109">
        <v>0</v>
      </c>
      <c r="AE265" s="109">
        <v>0</v>
      </c>
      <c r="AF265" s="109">
        <v>0</v>
      </c>
      <c r="AG265" s="109">
        <v>0</v>
      </c>
      <c r="AH265" s="77">
        <f t="shared" si="11"/>
        <v>0</v>
      </c>
      <c r="AI265" s="108">
        <f>ERP_34[[#This Row],[2026 Working Total]]-ERP_34[[#This Row],[2026 LE0]]</f>
        <v>0</v>
      </c>
      <c r="AJ265" s="79"/>
      <c r="AK265" s="79"/>
      <c r="AL26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5" s="80"/>
      <c r="AN265" s="79">
        <f>ERP_34[[#This Row],[2026 Working Total to Budget/LE]]-ERP_34[[#This Row],[Giveback]]</f>
        <v>0</v>
      </c>
      <c r="AO265" s="81"/>
      <c r="AP265" s="81"/>
      <c r="AQ265" s="81"/>
      <c r="AR265" s="81">
        <v>5850</v>
      </c>
      <c r="AS265" s="81"/>
      <c r="AT265" s="81">
        <v>-5850</v>
      </c>
      <c r="AU265" s="81">
        <v>0</v>
      </c>
      <c r="AV265" s="81">
        <v>0</v>
      </c>
      <c r="AW265" s="81">
        <v>0</v>
      </c>
      <c r="AX265" s="81">
        <v>0</v>
      </c>
      <c r="AY265" s="81">
        <v>0</v>
      </c>
      <c r="AZ265" s="81">
        <v>0</v>
      </c>
      <c r="BA265" s="81">
        <v>0</v>
      </c>
      <c r="BB265" s="81">
        <v>0</v>
      </c>
      <c r="BC265" s="79"/>
      <c r="BD265" s="79"/>
      <c r="BE265" s="79">
        <v>5850</v>
      </c>
      <c r="BF265" s="79">
        <v>0</v>
      </c>
      <c r="BG265" s="79">
        <v>0</v>
      </c>
      <c r="BH265" s="79">
        <v>0</v>
      </c>
      <c r="BI265" s="79">
        <v>0</v>
      </c>
      <c r="BJ265" s="79">
        <v>0</v>
      </c>
      <c r="BK265" s="79">
        <v>0</v>
      </c>
      <c r="BL265" s="79">
        <v>0</v>
      </c>
      <c r="BM265" s="79">
        <v>0</v>
      </c>
      <c r="BN265" s="79">
        <v>0</v>
      </c>
      <c r="BO265" s="79">
        <v>5850</v>
      </c>
    </row>
    <row r="266" spans="1:67">
      <c r="A266" s="66" t="s">
        <v>1857</v>
      </c>
      <c r="B266" s="66" t="str">
        <f>_xlfn.TEXTJOIN("_",,ERP_34[[#This Row],[LT Member -1*]],ERP_34[[#This Row],[Expense Category]],ERP_34[[#This Row],[Project Code*]])</f>
        <v>Dougherty, Chris_MANAGED SERVICES_IT-FBT0665-OG-US-00</v>
      </c>
      <c r="C266" s="67" t="s">
        <v>1136</v>
      </c>
      <c r="D266" s="67" t="s">
        <v>1135</v>
      </c>
      <c r="E266" s="67" t="s">
        <v>1135</v>
      </c>
      <c r="F266" s="67" t="s">
        <v>1137</v>
      </c>
      <c r="G266" s="68" t="s">
        <v>389</v>
      </c>
      <c r="H266" s="187" t="s">
        <v>1858</v>
      </c>
      <c r="I266" s="70"/>
      <c r="J266" s="70"/>
      <c r="K266" s="70" t="s">
        <v>449</v>
      </c>
      <c r="L266" s="70"/>
      <c r="M266" s="70"/>
      <c r="N266" s="70"/>
      <c r="O266" s="67" t="s">
        <v>57</v>
      </c>
      <c r="P266" s="67"/>
      <c r="Q266" s="71"/>
      <c r="R266" s="72">
        <v>0</v>
      </c>
      <c r="S266" s="73">
        <v>9126</v>
      </c>
      <c r="T266" s="73">
        <v>0</v>
      </c>
      <c r="U266" s="71">
        <f>ERP_34[[#This Row],[LE2 Final Submission]]-ERP_34[[#This Row],[LE3 Final Submission]]</f>
        <v>9126</v>
      </c>
      <c r="V266" s="74"/>
      <c r="W266" s="75"/>
      <c r="X266" s="75"/>
      <c r="Y266" s="76">
        <v>1014</v>
      </c>
      <c r="Z266" s="76">
        <v>1014</v>
      </c>
      <c r="AA266" s="76">
        <v>1014</v>
      </c>
      <c r="AB266" s="76">
        <v>1014</v>
      </c>
      <c r="AC266" s="76">
        <v>1014</v>
      </c>
      <c r="AD266" s="76">
        <v>1014</v>
      </c>
      <c r="AE266" s="76">
        <v>1014</v>
      </c>
      <c r="AF266" s="76">
        <v>1014</v>
      </c>
      <c r="AG266" s="76">
        <v>1014</v>
      </c>
      <c r="AH266" s="77">
        <f t="shared" si="11"/>
        <v>9126</v>
      </c>
      <c r="AI266" s="108">
        <f>ERP_34[[#This Row],[2026 Working Total]]-ERP_34[[#This Row],[2026 LE0]]</f>
        <v>9126</v>
      </c>
      <c r="AJ266" s="79"/>
      <c r="AK266" s="79"/>
      <c r="AL26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6" s="80"/>
      <c r="AN266" s="79">
        <f>ERP_34[[#This Row],[2026 Working Total to Budget/LE]]-ERP_34[[#This Row],[Giveback]]</f>
        <v>9126</v>
      </c>
      <c r="AO266" s="81"/>
      <c r="AP266" s="81"/>
      <c r="AQ266" s="81"/>
      <c r="AR266" s="81"/>
      <c r="AS266" s="81">
        <v>1014</v>
      </c>
      <c r="AT266" s="81">
        <v>1014</v>
      </c>
      <c r="AU266" s="81">
        <v>1014</v>
      </c>
      <c r="AV266" s="81">
        <v>1014</v>
      </c>
      <c r="AW266" s="81">
        <v>1014</v>
      </c>
      <c r="AX266" s="81">
        <v>1014</v>
      </c>
      <c r="AY266" s="81">
        <v>1014</v>
      </c>
      <c r="AZ266" s="81">
        <v>1014</v>
      </c>
      <c r="BA266" s="81">
        <v>1014</v>
      </c>
      <c r="BB266" s="81">
        <v>9126</v>
      </c>
      <c r="BC266" s="79"/>
      <c r="BD266" s="79"/>
      <c r="BE266" s="79"/>
      <c r="BF266" s="79">
        <v>1014</v>
      </c>
      <c r="BG266" s="79">
        <v>1014</v>
      </c>
      <c r="BH266" s="79">
        <v>1014</v>
      </c>
      <c r="BI266" s="79">
        <v>1014</v>
      </c>
      <c r="BJ266" s="79">
        <v>1014</v>
      </c>
      <c r="BK266" s="79">
        <v>1014</v>
      </c>
      <c r="BL266" s="79">
        <v>1014</v>
      </c>
      <c r="BM266" s="79">
        <v>1014</v>
      </c>
      <c r="BN266" s="79">
        <v>1014</v>
      </c>
      <c r="BO266" s="79">
        <v>9126</v>
      </c>
    </row>
    <row r="267" spans="1:67">
      <c r="A267" s="66" t="s">
        <v>1859</v>
      </c>
      <c r="B267" s="66" t="str">
        <f>_xlfn.TEXTJOIN("_",,ERP_34[[#This Row],[LT Member -1*]],ERP_34[[#This Row],[Expense Category]],ERP_34[[#This Row],[Project Code*]])</f>
        <v>Tamavada, Ram_MANAGED SERVICES_IT-FBT0665-OG-US-00</v>
      </c>
      <c r="C267" s="67" t="s">
        <v>1136</v>
      </c>
      <c r="D267" s="67" t="s">
        <v>1135</v>
      </c>
      <c r="E267" s="67" t="s">
        <v>1165</v>
      </c>
      <c r="F267" s="67" t="s">
        <v>1137</v>
      </c>
      <c r="G267" s="68" t="s">
        <v>389</v>
      </c>
      <c r="H267" s="106" t="s">
        <v>1858</v>
      </c>
      <c r="I267" s="70"/>
      <c r="J267" s="70"/>
      <c r="K267" s="70" t="s">
        <v>449</v>
      </c>
      <c r="L267" s="70"/>
      <c r="M267" s="70"/>
      <c r="N267" s="70"/>
      <c r="O267" s="67" t="s">
        <v>57</v>
      </c>
      <c r="P267" s="67"/>
      <c r="Q267" s="71"/>
      <c r="R267" s="72">
        <v>12168</v>
      </c>
      <c r="S267" s="73">
        <v>9604.119999999999</v>
      </c>
      <c r="T267" s="73">
        <v>12168</v>
      </c>
      <c r="U267" s="71">
        <f>ERP_34[[#This Row],[LE2 Final Submission]]-ERP_34[[#This Row],[LE3 Final Submission]]</f>
        <v>-2563.880000000001</v>
      </c>
      <c r="V267" s="74">
        <v>243.06</v>
      </c>
      <c r="W267" s="75">
        <v>235.06</v>
      </c>
      <c r="X267" s="124">
        <v>0</v>
      </c>
      <c r="Y267" s="76">
        <v>1014</v>
      </c>
      <c r="Z267" s="76">
        <v>1014</v>
      </c>
      <c r="AA267" s="76">
        <v>1014</v>
      </c>
      <c r="AB267" s="76">
        <v>1014</v>
      </c>
      <c r="AC267" s="76">
        <v>1014</v>
      </c>
      <c r="AD267" s="76">
        <v>1014</v>
      </c>
      <c r="AE267" s="76">
        <v>1014</v>
      </c>
      <c r="AF267" s="76">
        <v>1014</v>
      </c>
      <c r="AG267" s="76">
        <v>1014</v>
      </c>
      <c r="AH267" s="77">
        <f t="shared" si="11"/>
        <v>9604.119999999999</v>
      </c>
      <c r="AI267" s="108">
        <f>ERP_34[[#This Row],[2026 Working Total]]-ERP_34[[#This Row],[2026 LE0]]</f>
        <v>-2563.880000000001</v>
      </c>
      <c r="AJ267" s="79"/>
      <c r="AK267" s="79"/>
      <c r="AL2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7" s="80"/>
      <c r="AN267" s="79">
        <f>ERP_34[[#This Row],[2026 Working Total to Budget/LE]]-ERP_34[[#This Row],[Giveback]]</f>
        <v>-2563.880000000001</v>
      </c>
      <c r="AO267" s="81"/>
      <c r="AP267" s="81">
        <v>243.06</v>
      </c>
      <c r="AQ267" s="81">
        <v>235.06</v>
      </c>
      <c r="AR267" s="81">
        <v>0</v>
      </c>
      <c r="AS267" s="81">
        <v>1014</v>
      </c>
      <c r="AT267" s="81">
        <v>1014</v>
      </c>
      <c r="AU267" s="81">
        <v>1014</v>
      </c>
      <c r="AV267" s="81">
        <v>1014</v>
      </c>
      <c r="AW267" s="81">
        <v>1014</v>
      </c>
      <c r="AX267" s="81">
        <v>1014</v>
      </c>
      <c r="AY267" s="81">
        <v>1014</v>
      </c>
      <c r="AZ267" s="81">
        <v>1014</v>
      </c>
      <c r="BA267" s="81">
        <v>1014</v>
      </c>
      <c r="BB267" s="81">
        <v>9604.119999999999</v>
      </c>
      <c r="BC267" s="79">
        <v>243.06</v>
      </c>
      <c r="BD267" s="79">
        <v>235.06</v>
      </c>
      <c r="BE267" s="79">
        <v>0</v>
      </c>
      <c r="BF267" s="79">
        <v>1014</v>
      </c>
      <c r="BG267" s="79">
        <v>1014</v>
      </c>
      <c r="BH267" s="79">
        <v>1014</v>
      </c>
      <c r="BI267" s="79">
        <v>1014</v>
      </c>
      <c r="BJ267" s="79">
        <v>1014</v>
      </c>
      <c r="BK267" s="79">
        <v>1014</v>
      </c>
      <c r="BL267" s="79">
        <v>1014</v>
      </c>
      <c r="BM267" s="79">
        <v>1014</v>
      </c>
      <c r="BN267" s="79">
        <v>1014</v>
      </c>
      <c r="BO267" s="79">
        <v>9604.119999999999</v>
      </c>
    </row>
    <row r="268" spans="1:67">
      <c r="A268" s="66" t="s">
        <v>2265</v>
      </c>
      <c r="B268" s="66" t="str">
        <f>_xlfn.TEXTJOIN("_",,ERP_34[[#This Row],[LT Member -1*]],ERP_34[[#This Row],[Expense Category]],ERP_34[[#This Row],[Project Code*]])</f>
        <v>Tamavada, Ram_SOFTWARE_IT-FBT0665-OG-US-00</v>
      </c>
      <c r="C268" s="67" t="s">
        <v>1136</v>
      </c>
      <c r="D268" s="67" t="s">
        <v>1135</v>
      </c>
      <c r="E268" s="67" t="s">
        <v>1165</v>
      </c>
      <c r="F268" s="67" t="s">
        <v>1137</v>
      </c>
      <c r="G268" s="68" t="s">
        <v>639</v>
      </c>
      <c r="H268" s="106" t="s">
        <v>1858</v>
      </c>
      <c r="I268" s="70"/>
      <c r="J268" s="70"/>
      <c r="K268" s="70" t="s">
        <v>449</v>
      </c>
      <c r="L268" s="70"/>
      <c r="M268" s="70"/>
      <c r="N268" s="70"/>
      <c r="O268" s="67" t="s">
        <v>57</v>
      </c>
      <c r="P268" s="67"/>
      <c r="Q268" s="71"/>
      <c r="R268" s="72">
        <v>0</v>
      </c>
      <c r="S268" s="73">
        <v>838.37999999999988</v>
      </c>
      <c r="T268" s="73">
        <v>0</v>
      </c>
      <c r="U268" s="71">
        <f>ERP_34[[#This Row],[LE2 Final Submission]]-ERP_34[[#This Row],[LE3 Final Submission]]</f>
        <v>838.37999999999988</v>
      </c>
      <c r="V268" s="74">
        <v>279.45999999999998</v>
      </c>
      <c r="W268" s="75">
        <v>279.45999999999998</v>
      </c>
      <c r="X268" s="75">
        <v>279.45999999999998</v>
      </c>
      <c r="Y268" s="109">
        <v>0</v>
      </c>
      <c r="Z268" s="109">
        <v>0</v>
      </c>
      <c r="AA268" s="109">
        <v>0</v>
      </c>
      <c r="AB268" s="109">
        <v>0</v>
      </c>
      <c r="AC268" s="109">
        <v>0</v>
      </c>
      <c r="AD268" s="109">
        <v>0</v>
      </c>
      <c r="AE268" s="109">
        <v>0</v>
      </c>
      <c r="AF268" s="109">
        <v>0</v>
      </c>
      <c r="AG268" s="109">
        <v>0</v>
      </c>
      <c r="AH268" s="77">
        <f t="shared" ref="AH268:AH331" si="14">SUM(V268:AG268)</f>
        <v>838.37999999999988</v>
      </c>
      <c r="AI268" s="108">
        <f>ERP_34[[#This Row],[2026 Working Total]]-ERP_34[[#This Row],[2026 LE0]]</f>
        <v>838.37999999999988</v>
      </c>
      <c r="AJ268" s="79"/>
      <c r="AK268" s="79"/>
      <c r="AL268" s="79">
        <f>ERP_34[[#This Row],[AP01]]+ERP_34[[#This Row],[AP02]]+ERP_34[[#This Row],[AP03]]+ERP_34[[#This Row],[AP04]]-ERP_34[[#This Row],[AP01 LE2]]-ERP_34[[#This Row],[AP02 LE2]]-ERP_34[[#This Row],[AP03 LE2]]-ERP_34[[#This Row],[AP04 LE2]]</f>
        <v>-1.1368683772161603E-13</v>
      </c>
      <c r="AM268" s="80"/>
      <c r="AN268" s="79">
        <f>ERP_34[[#This Row],[2026 Working Total to Budget/LE]]-ERP_34[[#This Row],[Giveback]]</f>
        <v>838.37999999999988</v>
      </c>
      <c r="AO268" s="81"/>
      <c r="AP268" s="81">
        <v>279.45999999999998</v>
      </c>
      <c r="AQ268" s="81">
        <v>279.45999999999998</v>
      </c>
      <c r="AR268" s="81">
        <v>279.45999999999998</v>
      </c>
      <c r="AS268" s="81">
        <v>0</v>
      </c>
      <c r="AT268" s="81">
        <v>0</v>
      </c>
      <c r="AU268" s="81">
        <v>0</v>
      </c>
      <c r="AV268" s="81">
        <v>0</v>
      </c>
      <c r="AW268" s="81">
        <v>0</v>
      </c>
      <c r="AX268" s="81">
        <v>0</v>
      </c>
      <c r="AY268" s="81">
        <v>0</v>
      </c>
      <c r="AZ268" s="81">
        <v>0</v>
      </c>
      <c r="BA268" s="81">
        <v>0</v>
      </c>
      <c r="BB268" s="81">
        <v>838.37999999999988</v>
      </c>
      <c r="BC268" s="79">
        <v>279.45999999999998</v>
      </c>
      <c r="BD268" s="79">
        <v>279.45999999999998</v>
      </c>
      <c r="BE268" s="79">
        <v>279.45999999999998</v>
      </c>
      <c r="BF268" s="79">
        <v>0</v>
      </c>
      <c r="BG268" s="79">
        <v>0</v>
      </c>
      <c r="BH268" s="79">
        <v>0</v>
      </c>
      <c r="BI268" s="79">
        <v>0</v>
      </c>
      <c r="BJ268" s="79">
        <v>0</v>
      </c>
      <c r="BK268" s="79">
        <v>0</v>
      </c>
      <c r="BL268" s="79">
        <v>0</v>
      </c>
      <c r="BM268" s="79">
        <v>0</v>
      </c>
      <c r="BN268" s="79">
        <v>0</v>
      </c>
      <c r="BO268" s="79">
        <v>838.37999999999988</v>
      </c>
    </row>
    <row r="269" spans="1:67">
      <c r="A269" s="66" t="s">
        <v>1861</v>
      </c>
      <c r="B269" s="66" t="str">
        <f>_xlfn.TEXTJOIN("_",,ERP_34[[#This Row],[LT Member -1*]],ERP_34[[#This Row],[Expense Category]],ERP_34[[#This Row],[Project Code*]])</f>
        <v>Tamavada, Ram_MANAGED SERVICES_IT-FBT0675-OG-US-00</v>
      </c>
      <c r="C269" s="67" t="s">
        <v>1136</v>
      </c>
      <c r="D269" s="67" t="s">
        <v>1135</v>
      </c>
      <c r="E269" s="67" t="s">
        <v>1165</v>
      </c>
      <c r="F269" s="67" t="s">
        <v>1137</v>
      </c>
      <c r="G269" s="68" t="s">
        <v>389</v>
      </c>
      <c r="H269" s="106" t="s">
        <v>1863</v>
      </c>
      <c r="I269" s="70"/>
      <c r="J269" s="70"/>
      <c r="K269" s="70" t="s">
        <v>451</v>
      </c>
      <c r="L269" s="70"/>
      <c r="M269" s="70"/>
      <c r="N269" s="70"/>
      <c r="O269" s="67" t="s">
        <v>57</v>
      </c>
      <c r="P269" s="67"/>
      <c r="Q269" s="71"/>
      <c r="R269" s="72">
        <v>26558.000004000005</v>
      </c>
      <c r="S269" s="73">
        <v>24873.730003000001</v>
      </c>
      <c r="T269" s="73">
        <v>26558.000004000005</v>
      </c>
      <c r="U269" s="71">
        <f>ERP_34[[#This Row],[LE2 Final Submission]]-ERP_34[[#This Row],[LE3 Final Submission]]</f>
        <v>-1684.2700010000044</v>
      </c>
      <c r="V269" s="74">
        <v>1680.68</v>
      </c>
      <c r="W269" s="75">
        <v>1679.61</v>
      </c>
      <c r="X269" s="75">
        <v>1594.94</v>
      </c>
      <c r="Y269" s="76">
        <v>2213.166667</v>
      </c>
      <c r="Z269" s="76">
        <v>2213.166667</v>
      </c>
      <c r="AA269" s="76">
        <v>2213.166667</v>
      </c>
      <c r="AB269" s="76">
        <v>2213.166667</v>
      </c>
      <c r="AC269" s="76">
        <v>2213.166667</v>
      </c>
      <c r="AD269" s="76">
        <v>2213.166667</v>
      </c>
      <c r="AE269" s="76">
        <v>2213.166667</v>
      </c>
      <c r="AF269" s="76">
        <v>2213.166667</v>
      </c>
      <c r="AG269" s="76">
        <v>2213.166667</v>
      </c>
      <c r="AH269" s="77">
        <f t="shared" si="14"/>
        <v>24873.730003000001</v>
      </c>
      <c r="AI269" s="108">
        <f>ERP_34[[#This Row],[2026 Working Total]]-ERP_34[[#This Row],[2026 LE0]]</f>
        <v>-1684.2700010000044</v>
      </c>
      <c r="AJ269" s="79"/>
      <c r="AK269" s="79"/>
      <c r="AL26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69" s="80"/>
      <c r="AN269" s="79">
        <f>ERP_34[[#This Row],[2026 Working Total to Budget/LE]]-ERP_34[[#This Row],[Giveback]]</f>
        <v>-1684.2700010000044</v>
      </c>
      <c r="AO269" s="81"/>
      <c r="AP269" s="81">
        <v>1680.68</v>
      </c>
      <c r="AQ269" s="81">
        <v>1679.61</v>
      </c>
      <c r="AR269" s="81">
        <v>1594.94</v>
      </c>
      <c r="AS269" s="81">
        <v>2213.166667</v>
      </c>
      <c r="AT269" s="81">
        <v>2213.166667</v>
      </c>
      <c r="AU269" s="81">
        <v>2213.166667</v>
      </c>
      <c r="AV269" s="81">
        <v>2213.166667</v>
      </c>
      <c r="AW269" s="81">
        <v>2213.166667</v>
      </c>
      <c r="AX269" s="81">
        <v>2213.166667</v>
      </c>
      <c r="AY269" s="81">
        <v>2213.166667</v>
      </c>
      <c r="AZ269" s="81">
        <v>2213.166667</v>
      </c>
      <c r="BA269" s="81">
        <v>2213.166667</v>
      </c>
      <c r="BB269" s="81">
        <v>24873.730003000001</v>
      </c>
      <c r="BC269" s="79">
        <v>1680.68</v>
      </c>
      <c r="BD269" s="79">
        <v>1679.61</v>
      </c>
      <c r="BE269" s="79">
        <v>1594.94</v>
      </c>
      <c r="BF269" s="79">
        <v>2213.166667</v>
      </c>
      <c r="BG269" s="79">
        <v>2213.166667</v>
      </c>
      <c r="BH269" s="79">
        <v>2213.166667</v>
      </c>
      <c r="BI269" s="79">
        <v>2213.166667</v>
      </c>
      <c r="BJ269" s="79">
        <v>2213.166667</v>
      </c>
      <c r="BK269" s="79">
        <v>2213.166667</v>
      </c>
      <c r="BL269" s="79">
        <v>2213.166667</v>
      </c>
      <c r="BM269" s="79">
        <v>2213.166667</v>
      </c>
      <c r="BN269" s="79">
        <v>2213.166667</v>
      </c>
      <c r="BO269" s="79">
        <v>24873.730003000001</v>
      </c>
    </row>
    <row r="270" spans="1:67">
      <c r="A270" s="66" t="s">
        <v>2267</v>
      </c>
      <c r="B270" s="66" t="str">
        <f>_xlfn.TEXTJOIN("_",,ERP_34[[#This Row],[LT Member -1*]],ERP_34[[#This Row],[Expense Category]],ERP_34[[#This Row],[Project Code*]])</f>
        <v>Tamavada, Ram_SOFTWARE_IT-FBT0675-OG-US-00</v>
      </c>
      <c r="C270" s="67" t="s">
        <v>1136</v>
      </c>
      <c r="D270" s="67" t="s">
        <v>1135</v>
      </c>
      <c r="E270" s="67" t="s">
        <v>1165</v>
      </c>
      <c r="F270" s="67" t="s">
        <v>1137</v>
      </c>
      <c r="G270" s="68" t="s">
        <v>639</v>
      </c>
      <c r="H270" s="106" t="s">
        <v>1863</v>
      </c>
      <c r="I270" s="70"/>
      <c r="J270" s="70"/>
      <c r="K270" s="70" t="s">
        <v>451</v>
      </c>
      <c r="L270" s="70"/>
      <c r="M270" s="70"/>
      <c r="N270" s="70"/>
      <c r="O270" s="67" t="s">
        <v>57</v>
      </c>
      <c r="P270" s="67"/>
      <c r="Q270" s="71"/>
      <c r="R270" s="72">
        <v>1854.9999960000002</v>
      </c>
      <c r="S270" s="73">
        <v>2120.4399970000004</v>
      </c>
      <c r="T270" s="73">
        <v>1854.9999960000002</v>
      </c>
      <c r="U270" s="71">
        <f>ERP_34[[#This Row],[LE2 Final Submission]]-ERP_34[[#This Row],[LE3 Final Submission]]</f>
        <v>265.44000100000017</v>
      </c>
      <c r="V270" s="74">
        <v>139.72999999999999</v>
      </c>
      <c r="W270" s="75">
        <v>139.72999999999999</v>
      </c>
      <c r="X270" s="75">
        <v>449.73</v>
      </c>
      <c r="Y270" s="76">
        <v>154.58333300000001</v>
      </c>
      <c r="Z270" s="76">
        <v>154.58333300000001</v>
      </c>
      <c r="AA270" s="76">
        <v>154.58333300000001</v>
      </c>
      <c r="AB270" s="76">
        <v>154.58333300000001</v>
      </c>
      <c r="AC270" s="76">
        <v>154.58333300000001</v>
      </c>
      <c r="AD270" s="76">
        <v>154.58333300000001</v>
      </c>
      <c r="AE270" s="76">
        <v>154.58333300000001</v>
      </c>
      <c r="AF270" s="76">
        <v>154.58333300000001</v>
      </c>
      <c r="AG270" s="76">
        <v>154.58333300000001</v>
      </c>
      <c r="AH270" s="77">
        <f t="shared" si="14"/>
        <v>2120.4399970000004</v>
      </c>
      <c r="AI270" s="108">
        <f>ERP_34[[#This Row],[2026 Working Total]]-ERP_34[[#This Row],[2026 LE0]]</f>
        <v>265.44000100000017</v>
      </c>
      <c r="AJ270" s="79"/>
      <c r="AK270" s="79"/>
      <c r="AL27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0" s="80"/>
      <c r="AN270" s="79">
        <f>ERP_34[[#This Row],[2026 Working Total to Budget/LE]]-ERP_34[[#This Row],[Giveback]]</f>
        <v>265.44000100000017</v>
      </c>
      <c r="AO270" s="81"/>
      <c r="AP270" s="81">
        <v>139.72999999999999</v>
      </c>
      <c r="AQ270" s="81">
        <v>139.72999999999999</v>
      </c>
      <c r="AR270" s="81">
        <v>449.73</v>
      </c>
      <c r="AS270" s="81">
        <v>154.58333300000001</v>
      </c>
      <c r="AT270" s="81">
        <v>154.58333300000001</v>
      </c>
      <c r="AU270" s="81">
        <v>154.58333300000001</v>
      </c>
      <c r="AV270" s="81">
        <v>154.58333300000001</v>
      </c>
      <c r="AW270" s="81">
        <v>154.58333300000001</v>
      </c>
      <c r="AX270" s="81">
        <v>154.58333300000001</v>
      </c>
      <c r="AY270" s="81">
        <v>154.58333300000001</v>
      </c>
      <c r="AZ270" s="81">
        <v>154.58333300000001</v>
      </c>
      <c r="BA270" s="81">
        <v>154.58333300000001</v>
      </c>
      <c r="BB270" s="81">
        <v>2120.4399970000004</v>
      </c>
      <c r="BC270" s="79">
        <v>139.72999999999999</v>
      </c>
      <c r="BD270" s="79">
        <v>139.72999999999999</v>
      </c>
      <c r="BE270" s="79">
        <v>449.73</v>
      </c>
      <c r="BF270" s="79">
        <v>154.58333300000001</v>
      </c>
      <c r="BG270" s="79">
        <v>154.58333300000001</v>
      </c>
      <c r="BH270" s="79">
        <v>154.58333300000001</v>
      </c>
      <c r="BI270" s="79">
        <v>154.58333300000001</v>
      </c>
      <c r="BJ270" s="79">
        <v>154.58333300000001</v>
      </c>
      <c r="BK270" s="79">
        <v>154.58333300000001</v>
      </c>
      <c r="BL270" s="79">
        <v>154.58333300000001</v>
      </c>
      <c r="BM270" s="79">
        <v>154.58333300000001</v>
      </c>
      <c r="BN270" s="79">
        <v>154.58333300000001</v>
      </c>
      <c r="BO270" s="79">
        <v>2120.4399970000004</v>
      </c>
    </row>
    <row r="271" spans="1:67">
      <c r="A271" s="66" t="s">
        <v>1864</v>
      </c>
      <c r="B271" s="66" t="str">
        <f>_xlfn.TEXTJOIN("_",,ERP_34[[#This Row],[LT Member -1*]],ERP_34[[#This Row],[Expense Category]],ERP_34[[#This Row],[Project Code*]])</f>
        <v>Dougherty, Chris_MANAGED SERVICES_IT-FBT0693-OG-US-00</v>
      </c>
      <c r="C271" s="67" t="s">
        <v>1136</v>
      </c>
      <c r="D271" s="67" t="s">
        <v>1135</v>
      </c>
      <c r="E271" s="67" t="s">
        <v>1135</v>
      </c>
      <c r="F271" s="67" t="s">
        <v>1137</v>
      </c>
      <c r="G271" s="68" t="s">
        <v>389</v>
      </c>
      <c r="H271" s="106" t="s">
        <v>1863</v>
      </c>
      <c r="I271" s="70"/>
      <c r="J271" s="70"/>
      <c r="K271" s="70" t="s">
        <v>453</v>
      </c>
      <c r="L271" s="70"/>
      <c r="M271" s="70"/>
      <c r="N271" s="70"/>
      <c r="O271" s="67" t="s">
        <v>57</v>
      </c>
      <c r="P271" s="67"/>
      <c r="Q271" s="71"/>
      <c r="R271" s="72">
        <v>60000</v>
      </c>
      <c r="S271" s="73">
        <v>58916.17</v>
      </c>
      <c r="T271" s="73">
        <v>60000</v>
      </c>
      <c r="U271" s="71">
        <f>ERP_34[[#This Row],[LE2 Final Submission]]-ERP_34[[#This Row],[LE3 Final Submission]]</f>
        <v>-1083.8300000000017</v>
      </c>
      <c r="V271" s="74">
        <v>5046.78</v>
      </c>
      <c r="W271" s="75">
        <v>4733.08</v>
      </c>
      <c r="X271" s="75">
        <v>4136.3100000000004</v>
      </c>
      <c r="Y271" s="76">
        <v>5000</v>
      </c>
      <c r="Z271" s="76">
        <v>5000</v>
      </c>
      <c r="AA271" s="76">
        <v>5000</v>
      </c>
      <c r="AB271" s="76">
        <v>5000</v>
      </c>
      <c r="AC271" s="76">
        <v>5000</v>
      </c>
      <c r="AD271" s="76">
        <v>5000</v>
      </c>
      <c r="AE271" s="76">
        <v>5000</v>
      </c>
      <c r="AF271" s="76">
        <v>5000</v>
      </c>
      <c r="AG271" s="76">
        <v>5000</v>
      </c>
      <c r="AH271" s="77">
        <f t="shared" si="14"/>
        <v>58916.17</v>
      </c>
      <c r="AI271" s="108">
        <f>ERP_34[[#This Row],[2026 Working Total]]-ERP_34[[#This Row],[2026 LE0]]</f>
        <v>-1083.8300000000017</v>
      </c>
      <c r="AJ271" s="79"/>
      <c r="AK271" s="79"/>
      <c r="AL27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1" s="80"/>
      <c r="AN271" s="79">
        <f>ERP_34[[#This Row],[2026 Working Total to Budget/LE]]-ERP_34[[#This Row],[Giveback]]</f>
        <v>-1083.8300000000017</v>
      </c>
      <c r="AO271" s="81"/>
      <c r="AP271" s="81">
        <v>5046.78</v>
      </c>
      <c r="AQ271" s="81">
        <v>4733.08</v>
      </c>
      <c r="AR271" s="81">
        <v>4136.3100000000004</v>
      </c>
      <c r="AS271" s="81">
        <v>5000</v>
      </c>
      <c r="AT271" s="81">
        <v>5000</v>
      </c>
      <c r="AU271" s="81">
        <v>5000</v>
      </c>
      <c r="AV271" s="81">
        <v>5000</v>
      </c>
      <c r="AW271" s="81">
        <v>5000</v>
      </c>
      <c r="AX271" s="81">
        <v>5000</v>
      </c>
      <c r="AY271" s="81">
        <v>5000</v>
      </c>
      <c r="AZ271" s="81">
        <v>5000</v>
      </c>
      <c r="BA271" s="81">
        <v>5000</v>
      </c>
      <c r="BB271" s="81">
        <v>58916.17</v>
      </c>
      <c r="BC271" s="79">
        <v>5046.78</v>
      </c>
      <c r="BD271" s="79">
        <v>4733.08</v>
      </c>
      <c r="BE271" s="79">
        <v>4136.3100000000004</v>
      </c>
      <c r="BF271" s="79">
        <v>5000</v>
      </c>
      <c r="BG271" s="79">
        <v>5000</v>
      </c>
      <c r="BH271" s="79">
        <v>5000</v>
      </c>
      <c r="BI271" s="79">
        <v>5000</v>
      </c>
      <c r="BJ271" s="79">
        <v>5000</v>
      </c>
      <c r="BK271" s="79">
        <v>5000</v>
      </c>
      <c r="BL271" s="79">
        <v>5000</v>
      </c>
      <c r="BM271" s="79">
        <v>5000</v>
      </c>
      <c r="BN271" s="79">
        <v>5000</v>
      </c>
      <c r="BO271" s="79">
        <v>58916.17</v>
      </c>
    </row>
    <row r="272" spans="1:67">
      <c r="A272" s="66" t="s">
        <v>1865</v>
      </c>
      <c r="B272" s="66" t="str">
        <f>_xlfn.TEXTJOIN("_",,ERP_34[[#This Row],[LT Member -1*]],ERP_34[[#This Row],[Expense Category]],ERP_34[[#This Row],[Project Code*]])</f>
        <v>McCormick, Pete_MANAGED SERVICES_IT-FBT0693-OG-US-00</v>
      </c>
      <c r="C272" s="67" t="s">
        <v>1136</v>
      </c>
      <c r="D272" s="67" t="s">
        <v>1135</v>
      </c>
      <c r="E272" s="67" t="s">
        <v>1145</v>
      </c>
      <c r="F272" s="67" t="s">
        <v>1137</v>
      </c>
      <c r="G272" s="68" t="s">
        <v>389</v>
      </c>
      <c r="H272" s="106" t="s">
        <v>1863</v>
      </c>
      <c r="I272" s="70"/>
      <c r="J272" s="70"/>
      <c r="K272" s="70" t="s">
        <v>453</v>
      </c>
      <c r="L272" s="70"/>
      <c r="M272" s="70"/>
      <c r="N272" s="70"/>
      <c r="O272" s="67" t="s">
        <v>57</v>
      </c>
      <c r="P272" s="67"/>
      <c r="Q272" s="71"/>
      <c r="R272" s="72">
        <v>0</v>
      </c>
      <c r="S272" s="73">
        <v>81</v>
      </c>
      <c r="T272" s="73">
        <v>0</v>
      </c>
      <c r="U272" s="71">
        <f>ERP_34[[#This Row],[LE2 Final Submission]]-ERP_34[[#This Row],[LE3 Final Submission]]</f>
        <v>81</v>
      </c>
      <c r="V272" s="74">
        <v>1.65</v>
      </c>
      <c r="W272" s="75">
        <v>76.819999999999993</v>
      </c>
      <c r="X272" s="75">
        <v>2.5299999999999998</v>
      </c>
      <c r="Y272" s="109">
        <v>0</v>
      </c>
      <c r="Z272" s="109">
        <v>0</v>
      </c>
      <c r="AA272" s="109">
        <v>0</v>
      </c>
      <c r="AB272" s="109">
        <v>0</v>
      </c>
      <c r="AC272" s="109">
        <v>0</v>
      </c>
      <c r="AD272" s="109">
        <v>0</v>
      </c>
      <c r="AE272" s="109">
        <v>0</v>
      </c>
      <c r="AF272" s="109">
        <v>0</v>
      </c>
      <c r="AG272" s="109">
        <v>0</v>
      </c>
      <c r="AH272" s="77">
        <f t="shared" si="14"/>
        <v>81</v>
      </c>
      <c r="AI272" s="108">
        <f>ERP_34[[#This Row],[2026 Working Total]]-ERP_34[[#This Row],[2026 LE0]]</f>
        <v>81</v>
      </c>
      <c r="AJ272" s="79"/>
      <c r="AK272" s="79"/>
      <c r="AL272" s="79">
        <f>ERP_34[[#This Row],[AP01]]+ERP_34[[#This Row],[AP02]]+ERP_34[[#This Row],[AP03]]+ERP_34[[#This Row],[AP04]]-ERP_34[[#This Row],[AP01 LE2]]-ERP_34[[#This Row],[AP02 LE2]]-ERP_34[[#This Row],[AP03 LE2]]-ERP_34[[#This Row],[AP04 LE2]]</f>
        <v>1.3322676295501878E-15</v>
      </c>
      <c r="AM272" s="80"/>
      <c r="AN272" s="79">
        <f>ERP_34[[#This Row],[2026 Working Total to Budget/LE]]-ERP_34[[#This Row],[Giveback]]</f>
        <v>81</v>
      </c>
      <c r="AO272" s="81"/>
      <c r="AP272" s="81">
        <v>1.65</v>
      </c>
      <c r="AQ272" s="81">
        <v>76.819999999999993</v>
      </c>
      <c r="AR272" s="81">
        <v>2.5299999999999998</v>
      </c>
      <c r="AS272" s="81">
        <v>0</v>
      </c>
      <c r="AT272" s="81">
        <v>0</v>
      </c>
      <c r="AU272" s="81">
        <v>0</v>
      </c>
      <c r="AV272" s="81">
        <v>0</v>
      </c>
      <c r="AW272" s="81">
        <v>0</v>
      </c>
      <c r="AX272" s="81">
        <v>0</v>
      </c>
      <c r="AY272" s="81">
        <v>0</v>
      </c>
      <c r="AZ272" s="81">
        <v>0</v>
      </c>
      <c r="BA272" s="81">
        <v>0</v>
      </c>
      <c r="BB272" s="81">
        <v>81</v>
      </c>
      <c r="BC272" s="79">
        <v>1.65</v>
      </c>
      <c r="BD272" s="79">
        <v>76.819999999999993</v>
      </c>
      <c r="BE272" s="79">
        <v>2.5299999999999998</v>
      </c>
      <c r="BF272" s="79">
        <v>0</v>
      </c>
      <c r="BG272" s="79">
        <v>0</v>
      </c>
      <c r="BH272" s="79">
        <v>0</v>
      </c>
      <c r="BI272" s="79">
        <v>0</v>
      </c>
      <c r="BJ272" s="79">
        <v>0</v>
      </c>
      <c r="BK272" s="79">
        <v>0</v>
      </c>
      <c r="BL272" s="79">
        <v>0</v>
      </c>
      <c r="BM272" s="79">
        <v>0</v>
      </c>
      <c r="BN272" s="79">
        <v>0</v>
      </c>
      <c r="BO272" s="79">
        <v>81</v>
      </c>
    </row>
    <row r="273" spans="1:67">
      <c r="A273" s="66" t="s">
        <v>1867</v>
      </c>
      <c r="B273" s="66" t="str">
        <f>_xlfn.TEXTJOIN("_",,ERP_34[[#This Row],[LT Member -1*]],ERP_34[[#This Row],[Expense Category]],ERP_34[[#This Row],[Project Code*]])</f>
        <v>Tamavada, Ram_MANAGED SERVICES_IT-FBT0693-OG-US-00</v>
      </c>
      <c r="C273" s="67" t="s">
        <v>1136</v>
      </c>
      <c r="D273" s="67" t="s">
        <v>1135</v>
      </c>
      <c r="E273" s="67" t="s">
        <v>1165</v>
      </c>
      <c r="F273" s="67" t="s">
        <v>1137</v>
      </c>
      <c r="G273" s="68" t="s">
        <v>389</v>
      </c>
      <c r="H273" s="106" t="s">
        <v>1863</v>
      </c>
      <c r="I273" s="70"/>
      <c r="J273" s="70"/>
      <c r="K273" s="70" t="s">
        <v>453</v>
      </c>
      <c r="L273" s="70"/>
      <c r="M273" s="70"/>
      <c r="N273" s="70"/>
      <c r="O273" s="67" t="s">
        <v>57</v>
      </c>
      <c r="P273" s="67"/>
      <c r="Q273" s="71"/>
      <c r="R273" s="72">
        <v>14400</v>
      </c>
      <c r="S273" s="73">
        <v>11192.33</v>
      </c>
      <c r="T273" s="73">
        <v>14400</v>
      </c>
      <c r="U273" s="71">
        <f>ERP_34[[#This Row],[LE2 Final Submission]]-ERP_34[[#This Row],[LE3 Final Submission]]</f>
        <v>-3207.67</v>
      </c>
      <c r="V273" s="74">
        <v>200.57</v>
      </c>
      <c r="W273" s="75">
        <v>191.76</v>
      </c>
      <c r="X273" s="124">
        <v>0</v>
      </c>
      <c r="Y273" s="76">
        <v>1200</v>
      </c>
      <c r="Z273" s="76">
        <v>1200</v>
      </c>
      <c r="AA273" s="76">
        <v>1200</v>
      </c>
      <c r="AB273" s="76">
        <v>1200</v>
      </c>
      <c r="AC273" s="76">
        <v>1200</v>
      </c>
      <c r="AD273" s="76">
        <v>1200</v>
      </c>
      <c r="AE273" s="76">
        <v>1200</v>
      </c>
      <c r="AF273" s="76">
        <v>1200</v>
      </c>
      <c r="AG273" s="76">
        <v>1200</v>
      </c>
      <c r="AH273" s="77">
        <f t="shared" si="14"/>
        <v>11192.33</v>
      </c>
      <c r="AI273" s="108">
        <f>ERP_34[[#This Row],[2026 Working Total]]-ERP_34[[#This Row],[2026 LE0]]</f>
        <v>-3207.67</v>
      </c>
      <c r="AJ273" s="79"/>
      <c r="AK273" s="79"/>
      <c r="AL2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3" s="80"/>
      <c r="AN273" s="79">
        <f>ERP_34[[#This Row],[2026 Working Total to Budget/LE]]-ERP_34[[#This Row],[Giveback]]</f>
        <v>-3207.67</v>
      </c>
      <c r="AO273" s="81"/>
      <c r="AP273" s="81">
        <v>200.57</v>
      </c>
      <c r="AQ273" s="81">
        <v>191.76</v>
      </c>
      <c r="AR273" s="81">
        <v>0</v>
      </c>
      <c r="AS273" s="81">
        <v>1200</v>
      </c>
      <c r="AT273" s="81">
        <v>1200</v>
      </c>
      <c r="AU273" s="81">
        <v>1200</v>
      </c>
      <c r="AV273" s="81">
        <v>1200</v>
      </c>
      <c r="AW273" s="81">
        <v>1200</v>
      </c>
      <c r="AX273" s="81">
        <v>1200</v>
      </c>
      <c r="AY273" s="81">
        <v>1200</v>
      </c>
      <c r="AZ273" s="81">
        <v>1200</v>
      </c>
      <c r="BA273" s="81">
        <v>1200</v>
      </c>
      <c r="BB273" s="81">
        <v>11192.33</v>
      </c>
      <c r="BC273" s="79">
        <v>200.57</v>
      </c>
      <c r="BD273" s="79">
        <v>191.76</v>
      </c>
      <c r="BE273" s="79">
        <v>0</v>
      </c>
      <c r="BF273" s="79">
        <v>1200</v>
      </c>
      <c r="BG273" s="79">
        <v>1200</v>
      </c>
      <c r="BH273" s="79">
        <v>1200</v>
      </c>
      <c r="BI273" s="79">
        <v>1200</v>
      </c>
      <c r="BJ273" s="79">
        <v>1200</v>
      </c>
      <c r="BK273" s="79">
        <v>1200</v>
      </c>
      <c r="BL273" s="79">
        <v>1200</v>
      </c>
      <c r="BM273" s="79">
        <v>1200</v>
      </c>
      <c r="BN273" s="79">
        <v>1200</v>
      </c>
      <c r="BO273" s="79">
        <v>11192.33</v>
      </c>
    </row>
    <row r="274" spans="1:67">
      <c r="A274" s="66" t="s">
        <v>1869</v>
      </c>
      <c r="B274" s="66" t="str">
        <f>_xlfn.TEXTJOIN("_",,ERP_34[[#This Row],[LT Member -1*]],ERP_34[[#This Row],[Expense Category]],ERP_34[[#This Row],[Project Code*]])</f>
        <v>Tamavada, Ram_MANAGED SERVICES_IT-FBT0700-OG-US-00</v>
      </c>
      <c r="C274" s="67" t="s">
        <v>1136</v>
      </c>
      <c r="D274" s="67" t="s">
        <v>1135</v>
      </c>
      <c r="E274" s="67" t="s">
        <v>1165</v>
      </c>
      <c r="F274" s="67" t="s">
        <v>1137</v>
      </c>
      <c r="G274" s="68" t="s">
        <v>389</v>
      </c>
      <c r="H274" s="106" t="s">
        <v>1871</v>
      </c>
      <c r="I274" s="70"/>
      <c r="J274" s="70"/>
      <c r="K274" s="114" t="s">
        <v>455</v>
      </c>
      <c r="L274" s="70"/>
      <c r="M274" s="70"/>
      <c r="N274" s="70"/>
      <c r="O274" s="67" t="s">
        <v>427</v>
      </c>
      <c r="P274" s="67"/>
      <c r="Q274" s="71"/>
      <c r="R274" s="72">
        <v>376200</v>
      </c>
      <c r="S274" s="73">
        <v>376200.45999999996</v>
      </c>
      <c r="T274" s="73">
        <v>376200</v>
      </c>
      <c r="U274" s="71">
        <f>ERP_34[[#This Row],[LE2 Final Submission]]-ERP_34[[#This Row],[LE3 Final Submission]]</f>
        <v>0.4599999999627471</v>
      </c>
      <c r="V274" s="74">
        <v>25838</v>
      </c>
      <c r="W274" s="75">
        <v>36872.379999999997</v>
      </c>
      <c r="X274" s="75">
        <v>31340.080000000002</v>
      </c>
      <c r="Y274" s="76">
        <v>31350</v>
      </c>
      <c r="Z274" s="76">
        <v>31350</v>
      </c>
      <c r="AA274" s="76">
        <v>31350</v>
      </c>
      <c r="AB274" s="76">
        <v>31350</v>
      </c>
      <c r="AC274" s="76">
        <v>31350</v>
      </c>
      <c r="AD274" s="76">
        <v>31350</v>
      </c>
      <c r="AE274" s="76">
        <v>31350</v>
      </c>
      <c r="AF274" s="76">
        <v>31350</v>
      </c>
      <c r="AG274" s="76">
        <v>31350</v>
      </c>
      <c r="AH274" s="77">
        <f t="shared" si="14"/>
        <v>376200.45999999996</v>
      </c>
      <c r="AI274" s="108">
        <f>ERP_34[[#This Row],[2026 Working Total]]-ERP_34[[#This Row],[2026 LE0]]</f>
        <v>0.4599999999627471</v>
      </c>
      <c r="AJ274" s="79"/>
      <c r="AK274" s="79"/>
      <c r="AL27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4" s="80"/>
      <c r="AN274" s="79">
        <f>ERP_34[[#This Row],[2026 Working Total to Budget/LE]]-ERP_34[[#This Row],[Giveback]]</f>
        <v>0.4599999999627471</v>
      </c>
      <c r="AO274" s="81"/>
      <c r="AP274" s="81">
        <v>25838</v>
      </c>
      <c r="AQ274" s="81">
        <v>36872.379999999997</v>
      </c>
      <c r="AR274" s="81">
        <v>31340.080000000002</v>
      </c>
      <c r="AS274" s="81">
        <v>31350</v>
      </c>
      <c r="AT274" s="81">
        <v>31350</v>
      </c>
      <c r="AU274" s="81">
        <v>31350</v>
      </c>
      <c r="AV274" s="81">
        <v>31350</v>
      </c>
      <c r="AW274" s="81">
        <v>31350</v>
      </c>
      <c r="AX274" s="81">
        <v>31350</v>
      </c>
      <c r="AY274" s="81">
        <v>31350</v>
      </c>
      <c r="AZ274" s="81">
        <v>31350</v>
      </c>
      <c r="BA274" s="81">
        <v>31350</v>
      </c>
      <c r="BB274" s="81">
        <v>376200.45999999996</v>
      </c>
      <c r="BC274" s="79">
        <v>25838</v>
      </c>
      <c r="BD274" s="79">
        <v>36872.379999999997</v>
      </c>
      <c r="BE274" s="79">
        <v>31340.080000000002</v>
      </c>
      <c r="BF274" s="79">
        <v>31350</v>
      </c>
      <c r="BG274" s="79">
        <v>31350</v>
      </c>
      <c r="BH274" s="79">
        <v>31350</v>
      </c>
      <c r="BI274" s="79">
        <v>31350</v>
      </c>
      <c r="BJ274" s="79">
        <v>31350</v>
      </c>
      <c r="BK274" s="79">
        <v>31350</v>
      </c>
      <c r="BL274" s="79">
        <v>31350</v>
      </c>
      <c r="BM274" s="79">
        <v>31350</v>
      </c>
      <c r="BN274" s="79">
        <v>31350</v>
      </c>
      <c r="BO274" s="79">
        <v>376200.45999999996</v>
      </c>
    </row>
    <row r="275" spans="1:67">
      <c r="A275" s="66" t="s">
        <v>1468</v>
      </c>
      <c r="B275" s="66" t="str">
        <f>_xlfn.TEXTJOIN("_",,ERP_34[[#This Row],[LT Member -1*]],ERP_34[[#This Row],[Expense Category]],ERP_34[[#This Row],[Project Code*]])</f>
        <v>Herman, Shaun_CONTRACTORS_IT-FBT0702-OG-US-00</v>
      </c>
      <c r="C275" s="67" t="s">
        <v>1136</v>
      </c>
      <c r="D275" s="67" t="s">
        <v>1345</v>
      </c>
      <c r="E275" s="67" t="s">
        <v>1450</v>
      </c>
      <c r="F275" s="67" t="s">
        <v>1346</v>
      </c>
      <c r="G275" s="68" t="s">
        <v>49</v>
      </c>
      <c r="H275" s="106" t="s">
        <v>1469</v>
      </c>
      <c r="I275" s="70"/>
      <c r="J275" s="70"/>
      <c r="K275" s="70" t="s">
        <v>219</v>
      </c>
      <c r="L275" s="70"/>
      <c r="M275" s="70"/>
      <c r="N275" s="70" t="s">
        <v>2967</v>
      </c>
      <c r="O275" s="67" t="s">
        <v>67</v>
      </c>
      <c r="P275" s="67"/>
      <c r="Q275" s="71"/>
      <c r="R275" s="72">
        <v>50000</v>
      </c>
      <c r="S275" s="73">
        <v>50000</v>
      </c>
      <c r="T275" s="73">
        <v>50000</v>
      </c>
      <c r="U275" s="71">
        <f>ERP_34[[#This Row],[LE2 Final Submission]]-ERP_34[[#This Row],[LE3 Final Submission]]</f>
        <v>0</v>
      </c>
      <c r="V275" s="74"/>
      <c r="W275" s="75"/>
      <c r="X275" s="75"/>
      <c r="Y275" s="76">
        <f>50000-50000</f>
        <v>0</v>
      </c>
      <c r="Z275" s="109">
        <v>50000</v>
      </c>
      <c r="AA275" s="109">
        <v>0</v>
      </c>
      <c r="AB275" s="109">
        <v>0</v>
      </c>
      <c r="AC275" s="109">
        <v>0</v>
      </c>
      <c r="AD275" s="109">
        <v>0</v>
      </c>
      <c r="AE275" s="109">
        <v>0</v>
      </c>
      <c r="AF275" s="109">
        <v>0</v>
      </c>
      <c r="AG275" s="109">
        <v>0</v>
      </c>
      <c r="AH275" s="77">
        <f t="shared" si="14"/>
        <v>50000</v>
      </c>
      <c r="AI275" s="108">
        <f>ERP_34[[#This Row],[2026 Working Total]]-ERP_34[[#This Row],[2026 LE0]]</f>
        <v>0</v>
      </c>
      <c r="AJ275" s="79"/>
      <c r="AK275" s="79"/>
      <c r="AL27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5" s="80"/>
      <c r="AN275" s="79">
        <f>ERP_34[[#This Row],[2026 Working Total to Budget/LE]]-ERP_34[[#This Row],[Giveback]]</f>
        <v>0</v>
      </c>
      <c r="AO275" s="81"/>
      <c r="AP275" s="81"/>
      <c r="AQ275" s="81"/>
      <c r="AR275" s="81"/>
      <c r="AS275" s="81">
        <v>0</v>
      </c>
      <c r="AT275" s="81">
        <v>50000</v>
      </c>
      <c r="AU275" s="81">
        <v>0</v>
      </c>
      <c r="AV275" s="81">
        <v>0</v>
      </c>
      <c r="AW275" s="81">
        <v>0</v>
      </c>
      <c r="AX275" s="81">
        <v>0</v>
      </c>
      <c r="AY275" s="81">
        <v>0</v>
      </c>
      <c r="AZ275" s="81">
        <v>0</v>
      </c>
      <c r="BA275" s="81">
        <v>0</v>
      </c>
      <c r="BB275" s="81">
        <v>50000</v>
      </c>
      <c r="BC275" s="79"/>
      <c r="BD275" s="79"/>
      <c r="BE275" s="79"/>
      <c r="BF275" s="79">
        <v>50000</v>
      </c>
      <c r="BG275" s="79">
        <v>0</v>
      </c>
      <c r="BH275" s="79">
        <v>0</v>
      </c>
      <c r="BI275" s="79">
        <v>0</v>
      </c>
      <c r="BJ275" s="79">
        <v>0</v>
      </c>
      <c r="BK275" s="79">
        <v>0</v>
      </c>
      <c r="BL275" s="79">
        <v>0</v>
      </c>
      <c r="BM275" s="79">
        <v>0</v>
      </c>
      <c r="BN275" s="79">
        <v>0</v>
      </c>
      <c r="BO275" s="79">
        <v>50000</v>
      </c>
    </row>
    <row r="276" spans="1:67">
      <c r="A276" s="66" t="s">
        <v>1614</v>
      </c>
      <c r="B276" s="66" t="str">
        <f>_xlfn.TEXTJOIN("_",,ERP_34[[#This Row],[LT Member -1*]],ERP_34[[#This Row],[Expense Category]],ERP_34[[#This Row],[Project Code*]])</f>
        <v>McGettigan, David_CONTRACTORS_IT-FBT0748-OT-US-00</v>
      </c>
      <c r="C276" s="67" t="s">
        <v>1136</v>
      </c>
      <c r="D276" s="67" t="s">
        <v>1567</v>
      </c>
      <c r="E276" s="67" t="s">
        <v>1567</v>
      </c>
      <c r="F276" s="67" t="s">
        <v>1567</v>
      </c>
      <c r="G276" s="68" t="s">
        <v>49</v>
      </c>
      <c r="H276" s="106" t="s">
        <v>1616</v>
      </c>
      <c r="I276" s="70"/>
      <c r="J276" s="70"/>
      <c r="K276" s="141" t="s">
        <v>300</v>
      </c>
      <c r="L276" s="70"/>
      <c r="M276" s="70"/>
      <c r="N276" s="70"/>
      <c r="O276" s="67" t="s">
        <v>272</v>
      </c>
      <c r="P276" s="67"/>
      <c r="Q276" s="71"/>
      <c r="R276" s="72">
        <v>-1080865</v>
      </c>
      <c r="S276" s="73">
        <v>-1080865</v>
      </c>
      <c r="T276" s="73">
        <v>-1080865</v>
      </c>
      <c r="U276" s="71">
        <f>ERP_34[[#This Row],[LE2 Final Submission]]-ERP_34[[#This Row],[LE3 Final Submission]]</f>
        <v>0</v>
      </c>
      <c r="V276" s="74"/>
      <c r="W276" s="75"/>
      <c r="X276" s="75">
        <v>-180144.16</v>
      </c>
      <c r="Y276" s="109">
        <v>0</v>
      </c>
      <c r="Z276" s="76">
        <v>-270216</v>
      </c>
      <c r="AA276" s="76">
        <v>-90072</v>
      </c>
      <c r="AB276" s="109">
        <v>0</v>
      </c>
      <c r="AC276" s="76">
        <v>-180144</v>
      </c>
      <c r="AD276" s="76">
        <v>-90072</v>
      </c>
      <c r="AE276" s="109">
        <v>0</v>
      </c>
      <c r="AF276" s="76">
        <v>-180144</v>
      </c>
      <c r="AG276" s="76">
        <v>-90072.84</v>
      </c>
      <c r="AH276" s="143">
        <f t="shared" si="14"/>
        <v>-1080865</v>
      </c>
      <c r="AI276" s="144">
        <f>ERP_34[[#This Row],[2026 Working Total]]-ERP_34[[#This Row],[2026 LE0]]</f>
        <v>0</v>
      </c>
      <c r="AJ276" s="79"/>
      <c r="AK276" s="79"/>
      <c r="AL27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6" s="80"/>
      <c r="AN276" s="79">
        <f>ERP_34[[#This Row],[2026 Working Total to Budget/LE]]-ERP_34[[#This Row],[Giveback]]</f>
        <v>0</v>
      </c>
      <c r="AO276" s="81"/>
      <c r="AP276" s="81"/>
      <c r="AQ276" s="81"/>
      <c r="AR276" s="81">
        <v>-180144.16</v>
      </c>
      <c r="AS276" s="81">
        <v>0</v>
      </c>
      <c r="AT276" s="81">
        <v>-270216</v>
      </c>
      <c r="AU276" s="81">
        <v>-90072</v>
      </c>
      <c r="AV276" s="81">
        <v>0</v>
      </c>
      <c r="AW276" s="81">
        <v>-180144</v>
      </c>
      <c r="AX276" s="81">
        <v>-90072</v>
      </c>
      <c r="AY276" s="81">
        <v>0</v>
      </c>
      <c r="AZ276" s="81">
        <v>-180144</v>
      </c>
      <c r="BA276" s="81">
        <v>-90072.84</v>
      </c>
      <c r="BB276" s="81">
        <v>-1080865</v>
      </c>
      <c r="BC276" s="79"/>
      <c r="BD276" s="79"/>
      <c r="BE276" s="79">
        <v>-180144.16</v>
      </c>
      <c r="BF276" s="79">
        <v>0</v>
      </c>
      <c r="BG276" s="79">
        <v>-180144.16</v>
      </c>
      <c r="BH276" s="79">
        <v>-90072.08</v>
      </c>
      <c r="BI276" s="79">
        <v>0</v>
      </c>
      <c r="BJ276" s="79">
        <v>-180144.16</v>
      </c>
      <c r="BK276" s="79">
        <v>-90072.08</v>
      </c>
      <c r="BL276" s="79">
        <v>0</v>
      </c>
      <c r="BM276" s="79">
        <v>-180144.16</v>
      </c>
      <c r="BN276" s="79">
        <v>-90072.12</v>
      </c>
      <c r="BO276" s="79">
        <v>-990792.92</v>
      </c>
    </row>
    <row r="277" spans="1:67">
      <c r="A277" s="66" t="s">
        <v>1872</v>
      </c>
      <c r="B277" s="66" t="str">
        <f>_xlfn.TEXTJOIN("_",,ERP_34[[#This Row],[LT Member -1*]],ERP_34[[#This Row],[Expense Category]],ERP_34[[#This Row],[Project Code*]])</f>
        <v>Tamavada, Ram_MANAGED SERVICES_IT-FBT0753-OT-US-00</v>
      </c>
      <c r="C277" s="67" t="s">
        <v>1136</v>
      </c>
      <c r="D277" s="67" t="s">
        <v>1135</v>
      </c>
      <c r="E277" s="67" t="s">
        <v>1165</v>
      </c>
      <c r="F277" s="67" t="s">
        <v>1137</v>
      </c>
      <c r="G277" s="68" t="s">
        <v>389</v>
      </c>
      <c r="H277" s="106" t="s">
        <v>1874</v>
      </c>
      <c r="I277" s="70"/>
      <c r="J277" s="70"/>
      <c r="K277" s="114" t="s">
        <v>457</v>
      </c>
      <c r="L277" s="70"/>
      <c r="M277" s="70"/>
      <c r="N277" s="70"/>
      <c r="O277" s="67" t="s">
        <v>25</v>
      </c>
      <c r="P277" s="67"/>
      <c r="Q277" s="71"/>
      <c r="R277" s="72">
        <v>335904</v>
      </c>
      <c r="S277" s="73">
        <v>335903.61</v>
      </c>
      <c r="T277" s="73">
        <v>335904</v>
      </c>
      <c r="U277" s="71">
        <f>ERP_34[[#This Row],[LE2 Final Submission]]-ERP_34[[#This Row],[LE3 Final Submission]]</f>
        <v>-0.39000000001396984</v>
      </c>
      <c r="V277" s="74">
        <v>0.04</v>
      </c>
      <c r="W277" s="75">
        <v>55984.1</v>
      </c>
      <c r="X277" s="75">
        <v>27991.47</v>
      </c>
      <c r="Y277" s="76">
        <v>27992</v>
      </c>
      <c r="Z277" s="76">
        <v>27992</v>
      </c>
      <c r="AA277" s="76">
        <v>27992</v>
      </c>
      <c r="AB277" s="76">
        <v>27992</v>
      </c>
      <c r="AC277" s="76">
        <v>27992</v>
      </c>
      <c r="AD277" s="76">
        <v>27992</v>
      </c>
      <c r="AE277" s="76">
        <v>27992</v>
      </c>
      <c r="AF277" s="76">
        <v>27992</v>
      </c>
      <c r="AG277" s="76">
        <v>27992</v>
      </c>
      <c r="AH277" s="77">
        <f t="shared" si="14"/>
        <v>335903.61</v>
      </c>
      <c r="AI277" s="108">
        <f>ERP_34[[#This Row],[2026 Working Total]]-ERP_34[[#This Row],[2026 LE0]]</f>
        <v>-0.39000000001396984</v>
      </c>
      <c r="AJ277" s="79"/>
      <c r="AK277" s="79"/>
      <c r="AL2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7" s="80"/>
      <c r="AN277" s="79">
        <f>ERP_34[[#This Row],[2026 Working Total to Budget/LE]]-ERP_34[[#This Row],[Giveback]]</f>
        <v>-0.39000000001396984</v>
      </c>
      <c r="AO277" s="81"/>
      <c r="AP277" s="81">
        <v>0.04</v>
      </c>
      <c r="AQ277" s="81">
        <v>55984.1</v>
      </c>
      <c r="AR277" s="81">
        <v>27991.47</v>
      </c>
      <c r="AS277" s="81">
        <v>27992</v>
      </c>
      <c r="AT277" s="81">
        <v>27992</v>
      </c>
      <c r="AU277" s="81">
        <v>27992</v>
      </c>
      <c r="AV277" s="81">
        <v>27992</v>
      </c>
      <c r="AW277" s="81">
        <v>27992</v>
      </c>
      <c r="AX277" s="81">
        <v>27992</v>
      </c>
      <c r="AY277" s="81">
        <v>27992</v>
      </c>
      <c r="AZ277" s="81">
        <v>27992</v>
      </c>
      <c r="BA277" s="81">
        <v>27992</v>
      </c>
      <c r="BB277" s="81">
        <v>335903.61</v>
      </c>
      <c r="BC277" s="79">
        <v>0.04</v>
      </c>
      <c r="BD277" s="79">
        <v>55984.1</v>
      </c>
      <c r="BE277" s="79">
        <v>27991.47</v>
      </c>
      <c r="BF277" s="79">
        <v>27992</v>
      </c>
      <c r="BG277" s="79">
        <v>27992</v>
      </c>
      <c r="BH277" s="79">
        <v>27992</v>
      </c>
      <c r="BI277" s="79">
        <v>27992</v>
      </c>
      <c r="BJ277" s="79">
        <v>27992</v>
      </c>
      <c r="BK277" s="79">
        <v>27992</v>
      </c>
      <c r="BL277" s="79">
        <v>27992</v>
      </c>
      <c r="BM277" s="79">
        <v>27992</v>
      </c>
      <c r="BN277" s="79">
        <v>27992</v>
      </c>
      <c r="BO277" s="79">
        <v>335903.61</v>
      </c>
    </row>
    <row r="278" spans="1:67">
      <c r="A278" s="66" t="s">
        <v>1554</v>
      </c>
      <c r="B278" s="66" t="str">
        <f>_xlfn.TEXTJOIN("_",,ERP_34[[#This Row],[LT Member -1*]],ERP_34[[#This Row],[Expense Category]],ERP_34[[#This Row],[Project Code*]])</f>
        <v>Jajodia, Amit_CONTRACTORS_IT-FBT0757-OG-US-00</v>
      </c>
      <c r="C278" s="67" t="s">
        <v>1136</v>
      </c>
      <c r="D278" s="67" t="s">
        <v>1345</v>
      </c>
      <c r="E278" s="67" t="s">
        <v>1515</v>
      </c>
      <c r="F278" s="67" t="s">
        <v>1346</v>
      </c>
      <c r="G278" s="68" t="s">
        <v>49</v>
      </c>
      <c r="H278" s="106" t="s">
        <v>1555</v>
      </c>
      <c r="I278" s="70"/>
      <c r="J278" s="70"/>
      <c r="K278" s="70" t="s">
        <v>263</v>
      </c>
      <c r="L278" s="70"/>
      <c r="M278" s="70"/>
      <c r="N278" s="70"/>
      <c r="O278" s="67" t="s">
        <v>25</v>
      </c>
      <c r="P278" s="67"/>
      <c r="Q278" s="71"/>
      <c r="R278" s="188">
        <v>357309.48</v>
      </c>
      <c r="S278" s="73">
        <v>263234.2</v>
      </c>
      <c r="T278" s="73">
        <v>357309.48</v>
      </c>
      <c r="U278" s="71">
        <f>ERP_34[[#This Row],[LE2 Final Submission]]-ERP_34[[#This Row],[LE3 Final Submission]]</f>
        <v>-94075.27999999997</v>
      </c>
      <c r="V278" s="74"/>
      <c r="W278" s="75"/>
      <c r="X278" s="75">
        <v>168756.2</v>
      </c>
      <c r="Y278" s="76">
        <v>0</v>
      </c>
      <c r="Z278" s="76">
        <v>11809.75</v>
      </c>
      <c r="AA278" s="76">
        <v>11809.75</v>
      </c>
      <c r="AB278" s="76">
        <v>11809.75</v>
      </c>
      <c r="AC278" s="76">
        <v>11809.75</v>
      </c>
      <c r="AD278" s="76">
        <v>11809.75</v>
      </c>
      <c r="AE278" s="76">
        <v>11809.75</v>
      </c>
      <c r="AF278" s="76">
        <v>11809.75</v>
      </c>
      <c r="AG278" s="76">
        <v>11809.75</v>
      </c>
      <c r="AH278" s="77">
        <f t="shared" si="14"/>
        <v>263234.2</v>
      </c>
      <c r="AI278" s="108">
        <f>ERP_34[[#This Row],[2026 Working Total]]-ERP_34[[#This Row],[2026 LE0]]</f>
        <v>-94075.27999999997</v>
      </c>
      <c r="AJ278" s="79"/>
      <c r="AK278" s="79"/>
      <c r="AL27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78" s="80"/>
      <c r="AN278" s="79">
        <f>ERP_34[[#This Row],[2026 Working Total to Budget/LE]]-ERP_34[[#This Row],[Giveback]]</f>
        <v>-94075.27999999997</v>
      </c>
      <c r="AO278" s="81"/>
      <c r="AP278" s="81"/>
      <c r="AQ278" s="81"/>
      <c r="AR278" s="81">
        <v>168756.2</v>
      </c>
      <c r="AS278" s="81">
        <v>0</v>
      </c>
      <c r="AT278" s="81">
        <v>11809.75</v>
      </c>
      <c r="AU278" s="81">
        <v>11809.75</v>
      </c>
      <c r="AV278" s="81">
        <v>11809.75</v>
      </c>
      <c r="AW278" s="81">
        <v>11809.75</v>
      </c>
      <c r="AX278" s="81">
        <v>11809.75</v>
      </c>
      <c r="AY278" s="81">
        <v>11809.75</v>
      </c>
      <c r="AZ278" s="81">
        <v>11809.75</v>
      </c>
      <c r="BA278" s="81">
        <v>11809.75</v>
      </c>
      <c r="BB278" s="81">
        <v>263234.2</v>
      </c>
      <c r="BC278" s="79"/>
      <c r="BD278" s="79"/>
      <c r="BE278" s="79">
        <v>168756.2</v>
      </c>
      <c r="BF278" s="79">
        <v>29775.79</v>
      </c>
      <c r="BG278" s="79">
        <v>29775.79</v>
      </c>
      <c r="BH278" s="79">
        <v>29775.79</v>
      </c>
      <c r="BI278" s="79">
        <v>29775.79</v>
      </c>
      <c r="BJ278" s="79">
        <v>29775.79</v>
      </c>
      <c r="BK278" s="79">
        <v>29775.79</v>
      </c>
      <c r="BL278" s="79">
        <v>29775.79</v>
      </c>
      <c r="BM278" s="79">
        <v>29775.79</v>
      </c>
      <c r="BN278" s="79">
        <v>29775.79</v>
      </c>
      <c r="BO278" s="79">
        <v>436738.30999999994</v>
      </c>
    </row>
    <row r="279" spans="1:67">
      <c r="A279" s="66" t="s">
        <v>1876</v>
      </c>
      <c r="B279" s="66" t="str">
        <f>_xlfn.TEXTJOIN("_",,ERP_34[[#This Row],[LT Member -1*]],ERP_34[[#This Row],[Expense Category]],ERP_34[[#This Row],[Project Code*]])</f>
        <v>Tamavada, Ram_MANAGED SERVICES_IT-FBT0769-OT-US-00</v>
      </c>
      <c r="C279" s="67" t="s">
        <v>1136</v>
      </c>
      <c r="D279" s="67" t="s">
        <v>1135</v>
      </c>
      <c r="E279" s="67" t="s">
        <v>1165</v>
      </c>
      <c r="F279" s="67" t="s">
        <v>1137</v>
      </c>
      <c r="G279" s="68" t="s">
        <v>389</v>
      </c>
      <c r="H279" s="106" t="s">
        <v>1878</v>
      </c>
      <c r="I279" s="70"/>
      <c r="J279" s="70"/>
      <c r="K279" s="70" t="s">
        <v>459</v>
      </c>
      <c r="L279" s="70"/>
      <c r="M279" s="70"/>
      <c r="N279" s="70"/>
      <c r="O279" s="67" t="s">
        <v>57</v>
      </c>
      <c r="P279" s="67"/>
      <c r="Q279" s="137"/>
      <c r="R279" s="138">
        <v>4212</v>
      </c>
      <c r="S279" s="139">
        <v>0</v>
      </c>
      <c r="T279" s="139">
        <v>4212</v>
      </c>
      <c r="U279" s="137">
        <f>ERP_34[[#This Row],[LE2 Final Submission]]-ERP_34[[#This Row],[LE3 Final Submission]]</f>
        <v>-4212</v>
      </c>
      <c r="V279" s="74">
        <v>212.71</v>
      </c>
      <c r="W279" s="75">
        <v>212.88</v>
      </c>
      <c r="X279" s="75">
        <v>-425.59</v>
      </c>
      <c r="Y279" s="76"/>
      <c r="Z279" s="76"/>
      <c r="AA279" s="76"/>
      <c r="AB279" s="76"/>
      <c r="AC279" s="76"/>
      <c r="AD279" s="76"/>
      <c r="AE279" s="76"/>
      <c r="AF279" s="76"/>
      <c r="AG279" s="76"/>
      <c r="AH279" s="77">
        <f t="shared" si="14"/>
        <v>0</v>
      </c>
      <c r="AI279" s="108">
        <f>ERP_34[[#This Row],[2026 Working Total]]-ERP_34[[#This Row],[2026 LE0]]</f>
        <v>-4212</v>
      </c>
      <c r="AJ279" s="79"/>
      <c r="AK279" s="79"/>
      <c r="AL279" s="79">
        <f>ERP_34[[#This Row],[AP01]]+ERP_34[[#This Row],[AP02]]+ERP_34[[#This Row],[AP03]]+ERP_34[[#This Row],[AP04]]-ERP_34[[#This Row],[AP01 LE2]]-ERP_34[[#This Row],[AP02 LE2]]-ERP_34[[#This Row],[AP03 LE2]]-ERP_34[[#This Row],[AP04 LE2]]</f>
        <v>5.6843418860808015E-14</v>
      </c>
      <c r="AM279" s="80"/>
      <c r="AN279" s="79">
        <f>ERP_34[[#This Row],[2026 Working Total to Budget/LE]]-ERP_34[[#This Row],[Giveback]]</f>
        <v>-4212</v>
      </c>
      <c r="AO279" s="81"/>
      <c r="AP279" s="81">
        <v>212.71</v>
      </c>
      <c r="AQ279" s="81">
        <v>212.88</v>
      </c>
      <c r="AR279" s="81">
        <v>-425.59</v>
      </c>
      <c r="AS279" s="81"/>
      <c r="AT279" s="81"/>
      <c r="AU279" s="81"/>
      <c r="AV279" s="81"/>
      <c r="AW279" s="81"/>
      <c r="AX279" s="81"/>
      <c r="AY279" s="81"/>
      <c r="AZ279" s="81"/>
      <c r="BA279" s="81"/>
      <c r="BB279" s="81">
        <v>0</v>
      </c>
      <c r="BC279" s="79">
        <v>212.71</v>
      </c>
      <c r="BD279" s="79">
        <v>212.88</v>
      </c>
      <c r="BE279" s="79">
        <v>-425.59</v>
      </c>
      <c r="BF279" s="79"/>
      <c r="BG279" s="79"/>
      <c r="BH279" s="79"/>
      <c r="BI279" s="79"/>
      <c r="BJ279" s="79"/>
      <c r="BK279" s="79"/>
      <c r="BL279" s="79"/>
      <c r="BM279" s="79"/>
      <c r="BN279" s="79"/>
      <c r="BO279" s="79">
        <v>0</v>
      </c>
    </row>
    <row r="280" spans="1:67">
      <c r="A280" s="66" t="s">
        <v>2017</v>
      </c>
      <c r="B280" s="66" t="str">
        <f>_xlfn.TEXTJOIN("_",,ERP_34[[#This Row],[LT Member -1*]],ERP_34[[#This Row],[Expense Category]],ERP_34[[#This Row],[Project Code*]])</f>
        <v>Yeluri, Durga_MANAGED SERVICES_IT-FBT0769-OT-US-00</v>
      </c>
      <c r="C280" s="67" t="s">
        <v>1136</v>
      </c>
      <c r="D280" s="67" t="s">
        <v>1345</v>
      </c>
      <c r="E280" s="67" t="s">
        <v>1437</v>
      </c>
      <c r="F280" s="67" t="s">
        <v>1346</v>
      </c>
      <c r="G280" s="68" t="s">
        <v>389</v>
      </c>
      <c r="H280" s="106" t="s">
        <v>1878</v>
      </c>
      <c r="I280" s="70"/>
      <c r="J280" s="70"/>
      <c r="K280" s="70" t="s">
        <v>459</v>
      </c>
      <c r="L280" s="70"/>
      <c r="M280" s="70"/>
      <c r="N280" s="70"/>
      <c r="O280" s="67" t="s">
        <v>57</v>
      </c>
      <c r="P280" s="67"/>
      <c r="Q280" s="71"/>
      <c r="R280" s="72">
        <v>6600</v>
      </c>
      <c r="S280" s="73">
        <v>497.06000000000006</v>
      </c>
      <c r="T280" s="73">
        <v>6600</v>
      </c>
      <c r="U280" s="71">
        <f>ERP_34[[#This Row],[LE2 Final Submission]]-ERP_34[[#This Row],[LE3 Final Submission]]</f>
        <v>-6102.94</v>
      </c>
      <c r="V280" s="74">
        <v>521.38</v>
      </c>
      <c r="W280" s="75">
        <v>527.30999999999995</v>
      </c>
      <c r="X280" s="75">
        <v>-551.63</v>
      </c>
      <c r="Y280" s="109">
        <v>0</v>
      </c>
      <c r="Z280" s="109">
        <v>0</v>
      </c>
      <c r="AA280" s="109">
        <v>0</v>
      </c>
      <c r="AB280" s="109">
        <v>0</v>
      </c>
      <c r="AC280" s="109">
        <v>0</v>
      </c>
      <c r="AD280" s="109">
        <v>0</v>
      </c>
      <c r="AE280" s="109">
        <v>0</v>
      </c>
      <c r="AF280" s="109">
        <v>0</v>
      </c>
      <c r="AG280" s="109">
        <v>0</v>
      </c>
      <c r="AH280" s="77">
        <f t="shared" si="14"/>
        <v>497.06000000000006</v>
      </c>
      <c r="AI280" s="108">
        <f>ERP_34[[#This Row],[2026 Working Total]]-ERP_34[[#This Row],[2026 LE0]]</f>
        <v>-6102.94</v>
      </c>
      <c r="AJ280" s="79"/>
      <c r="AK280" s="79"/>
      <c r="AL280" s="79">
        <f>ERP_34[[#This Row],[AP01]]+ERP_34[[#This Row],[AP02]]+ERP_34[[#This Row],[AP03]]+ERP_34[[#This Row],[AP04]]-ERP_34[[#This Row],[AP01 LE2]]-ERP_34[[#This Row],[AP02 LE2]]-ERP_34[[#This Row],[AP03 LE2]]-ERP_34[[#This Row],[AP04 LE2]]</f>
        <v>1.1368683772161603E-13</v>
      </c>
      <c r="AM280" s="80"/>
      <c r="AN280" s="79">
        <f>ERP_34[[#This Row],[2026 Working Total to Budget/LE]]-ERP_34[[#This Row],[Giveback]]</f>
        <v>-6102.94</v>
      </c>
      <c r="AO280" s="81"/>
      <c r="AP280" s="81">
        <v>521.38</v>
      </c>
      <c r="AQ280" s="81">
        <v>527.30999999999995</v>
      </c>
      <c r="AR280" s="81">
        <v>-551.63</v>
      </c>
      <c r="AS280" s="81">
        <v>0</v>
      </c>
      <c r="AT280" s="81">
        <v>0</v>
      </c>
      <c r="AU280" s="81">
        <v>0</v>
      </c>
      <c r="AV280" s="81">
        <v>0</v>
      </c>
      <c r="AW280" s="81">
        <v>0</v>
      </c>
      <c r="AX280" s="81">
        <v>0</v>
      </c>
      <c r="AY280" s="81">
        <v>0</v>
      </c>
      <c r="AZ280" s="81">
        <v>0</v>
      </c>
      <c r="BA280" s="81">
        <v>0</v>
      </c>
      <c r="BB280" s="81">
        <v>497.06000000000006</v>
      </c>
      <c r="BC280" s="79">
        <v>521.38</v>
      </c>
      <c r="BD280" s="79">
        <v>527.30999999999995</v>
      </c>
      <c r="BE280" s="79">
        <v>-551.63</v>
      </c>
      <c r="BF280" s="79">
        <v>0</v>
      </c>
      <c r="BG280" s="79">
        <v>0</v>
      </c>
      <c r="BH280" s="79">
        <v>0</v>
      </c>
      <c r="BI280" s="79">
        <v>0</v>
      </c>
      <c r="BJ280" s="79">
        <v>0</v>
      </c>
      <c r="BK280" s="79">
        <v>0</v>
      </c>
      <c r="BL280" s="79">
        <v>0</v>
      </c>
      <c r="BM280" s="79">
        <v>0</v>
      </c>
      <c r="BN280" s="79">
        <v>0</v>
      </c>
      <c r="BO280" s="79">
        <v>497.06000000000006</v>
      </c>
    </row>
    <row r="281" spans="1:67">
      <c r="A281" s="66" t="s">
        <v>1879</v>
      </c>
      <c r="B281" s="66" t="str">
        <f>_xlfn.TEXTJOIN("_",,ERP_34[[#This Row],[LT Member -1*]],ERP_34[[#This Row],[Expense Category]],ERP_34[[#This Row],[Project Code*]])</f>
        <v>Tamavada, Ram_MANAGED SERVICES_IT-FBT0770-OT-US-00</v>
      </c>
      <c r="C281" s="67" t="s">
        <v>1136</v>
      </c>
      <c r="D281" s="67" t="s">
        <v>1135</v>
      </c>
      <c r="E281" s="67" t="s">
        <v>1165</v>
      </c>
      <c r="F281" s="67" t="s">
        <v>1137</v>
      </c>
      <c r="G281" s="68" t="s">
        <v>389</v>
      </c>
      <c r="H281" s="106" t="s">
        <v>1881</v>
      </c>
      <c r="I281" s="70"/>
      <c r="J281" s="70"/>
      <c r="K281" s="114" t="s">
        <v>133</v>
      </c>
      <c r="L281" s="70"/>
      <c r="M281" s="70"/>
      <c r="N281" s="70"/>
      <c r="O281" s="67" t="s">
        <v>25</v>
      </c>
      <c r="P281" s="67"/>
      <c r="Q281" s="137"/>
      <c r="R281" s="138">
        <v>0</v>
      </c>
      <c r="S281" s="139">
        <v>0</v>
      </c>
      <c r="T281" s="139">
        <v>0</v>
      </c>
      <c r="U281" s="137">
        <f>ERP_34[[#This Row],[LE2 Final Submission]]-ERP_34[[#This Row],[LE3 Final Submission]]</f>
        <v>0</v>
      </c>
      <c r="V281" s="74">
        <v>95.28</v>
      </c>
      <c r="W281" s="75">
        <v>31.62</v>
      </c>
      <c r="X281" s="75">
        <v>-126.9</v>
      </c>
      <c r="Y281" s="76"/>
      <c r="Z281" s="76"/>
      <c r="AA281" s="76"/>
      <c r="AB281" s="76"/>
      <c r="AC281" s="76"/>
      <c r="AD281" s="76"/>
      <c r="AE281" s="76"/>
      <c r="AF281" s="76"/>
      <c r="AG281" s="76"/>
      <c r="AH281" s="77">
        <f t="shared" si="14"/>
        <v>0</v>
      </c>
      <c r="AI281" s="108">
        <f>ERP_34[[#This Row],[2026 Working Total]]-ERP_34[[#This Row],[2026 LE0]]</f>
        <v>0</v>
      </c>
      <c r="AJ281" s="79"/>
      <c r="AK281" s="79"/>
      <c r="AL2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1" s="80"/>
      <c r="AN281" s="79">
        <f>ERP_34[[#This Row],[2026 Working Total to Budget/LE]]-ERP_34[[#This Row],[Giveback]]</f>
        <v>0</v>
      </c>
      <c r="AO281" s="81"/>
      <c r="AP281" s="81">
        <v>95.28</v>
      </c>
      <c r="AQ281" s="81">
        <v>31.62</v>
      </c>
      <c r="AR281" s="81">
        <v>-126.9</v>
      </c>
      <c r="AS281" s="81"/>
      <c r="AT281" s="81"/>
      <c r="AU281" s="81"/>
      <c r="AV281" s="81"/>
      <c r="AW281" s="81"/>
      <c r="AX281" s="81"/>
      <c r="AY281" s="81"/>
      <c r="AZ281" s="81"/>
      <c r="BA281" s="81"/>
      <c r="BB281" s="81">
        <v>0</v>
      </c>
      <c r="BC281" s="79">
        <v>95.28</v>
      </c>
      <c r="BD281" s="79">
        <v>31.62</v>
      </c>
      <c r="BE281" s="79">
        <v>-126.9</v>
      </c>
      <c r="BF281" s="79"/>
      <c r="BG281" s="79"/>
      <c r="BH281" s="79"/>
      <c r="BI281" s="79"/>
      <c r="BJ281" s="79"/>
      <c r="BK281" s="79"/>
      <c r="BL281" s="79"/>
      <c r="BM281" s="79"/>
      <c r="BN281" s="79"/>
      <c r="BO281" s="79">
        <v>0</v>
      </c>
    </row>
    <row r="282" spans="1:67">
      <c r="A282" s="66" t="s">
        <v>1557</v>
      </c>
      <c r="B282" s="66" t="str">
        <f>_xlfn.TEXTJOIN("_",,ERP_34[[#This Row],[LT Member -1*]],ERP_34[[#This Row],[Expense Category]],ERP_34[[#This Row],[Project Code*]])</f>
        <v>Jajodia, Amit_CONTRACTORS_IT-FBT0771-OG-US-00</v>
      </c>
      <c r="C282" s="67" t="s">
        <v>1136</v>
      </c>
      <c r="D282" s="67" t="s">
        <v>1345</v>
      </c>
      <c r="E282" s="67" t="s">
        <v>1515</v>
      </c>
      <c r="F282" s="67" t="s">
        <v>1346</v>
      </c>
      <c r="G282" s="68" t="s">
        <v>49</v>
      </c>
      <c r="H282" s="106" t="s">
        <v>1558</v>
      </c>
      <c r="I282" s="70"/>
      <c r="J282" s="70"/>
      <c r="K282" s="70" t="s">
        <v>265</v>
      </c>
      <c r="L282" s="70"/>
      <c r="M282" s="70"/>
      <c r="N282" s="70"/>
      <c r="O282" s="67" t="s">
        <v>119</v>
      </c>
      <c r="P282" s="67"/>
      <c r="Q282" s="71"/>
      <c r="R282" s="72">
        <v>25000</v>
      </c>
      <c r="S282" s="73">
        <v>25000</v>
      </c>
      <c r="T282" s="73">
        <v>25000</v>
      </c>
      <c r="U282" s="71">
        <f>ERP_34[[#This Row],[LE2 Final Submission]]-ERP_34[[#This Row],[LE3 Final Submission]]</f>
        <v>0</v>
      </c>
      <c r="V282" s="74"/>
      <c r="W282" s="75"/>
      <c r="X282" s="75"/>
      <c r="Y282" s="76"/>
      <c r="Z282" s="76"/>
      <c r="AA282" s="76"/>
      <c r="AB282" s="76"/>
      <c r="AC282" s="76">
        <v>25000</v>
      </c>
      <c r="AD282" s="109">
        <v>0</v>
      </c>
      <c r="AE282" s="109">
        <v>0</v>
      </c>
      <c r="AF282" s="109">
        <v>0</v>
      </c>
      <c r="AG282" s="109">
        <v>0</v>
      </c>
      <c r="AH282" s="77">
        <f t="shared" si="14"/>
        <v>25000</v>
      </c>
      <c r="AI282" s="108">
        <f>ERP_34[[#This Row],[2026 Working Total]]-ERP_34[[#This Row],[2026 LE0]]</f>
        <v>0</v>
      </c>
      <c r="AJ282" s="79"/>
      <c r="AK282" s="79"/>
      <c r="AL28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2" s="80"/>
      <c r="AN282" s="79">
        <f>ERP_34[[#This Row],[2026 Working Total to Budget/LE]]-ERP_34[[#This Row],[Giveback]]</f>
        <v>0</v>
      </c>
      <c r="AO282" s="81"/>
      <c r="AP282" s="81"/>
      <c r="AQ282" s="81"/>
      <c r="AR282" s="81"/>
      <c r="AS282" s="81"/>
      <c r="AT282" s="81"/>
      <c r="AU282" s="81"/>
      <c r="AV282" s="81"/>
      <c r="AW282" s="81">
        <v>25000</v>
      </c>
      <c r="AX282" s="81">
        <v>0</v>
      </c>
      <c r="AY282" s="81">
        <v>0</v>
      </c>
      <c r="AZ282" s="81">
        <v>0</v>
      </c>
      <c r="BA282" s="81">
        <v>0</v>
      </c>
      <c r="BB282" s="81">
        <v>25000</v>
      </c>
      <c r="BC282" s="79"/>
      <c r="BD282" s="79"/>
      <c r="BE282" s="79"/>
      <c r="BF282" s="79"/>
      <c r="BG282" s="79"/>
      <c r="BH282" s="79"/>
      <c r="BI282" s="79"/>
      <c r="BJ282" s="79">
        <v>25000</v>
      </c>
      <c r="BK282" s="79">
        <v>0</v>
      </c>
      <c r="BL282" s="79">
        <v>0</v>
      </c>
      <c r="BM282" s="79">
        <v>0</v>
      </c>
      <c r="BN282" s="79">
        <v>0</v>
      </c>
      <c r="BO282" s="79">
        <v>25000</v>
      </c>
    </row>
    <row r="283" spans="1:67">
      <c r="A283" s="66" t="s">
        <v>2070</v>
      </c>
      <c r="B283" s="66" t="str">
        <f>_xlfn.TEXTJOIN("_",,ERP_34[[#This Row],[LT Member -1*]],ERP_34[[#This Row],[Expense Category]],ERP_34[[#This Row],[Project Code*]])</f>
        <v>Jajodia, Amit_MANAGED SERVICES_IT-FBT0772-OG-US-00</v>
      </c>
      <c r="C283" s="67" t="s">
        <v>1136</v>
      </c>
      <c r="D283" s="67" t="s">
        <v>1345</v>
      </c>
      <c r="E283" s="67" t="s">
        <v>1515</v>
      </c>
      <c r="F283" s="67" t="s">
        <v>1346</v>
      </c>
      <c r="G283" s="68" t="s">
        <v>389</v>
      </c>
      <c r="H283" s="106" t="s">
        <v>2071</v>
      </c>
      <c r="I283" s="70"/>
      <c r="J283" s="70"/>
      <c r="K283" s="70" t="s">
        <v>559</v>
      </c>
      <c r="L283" s="70"/>
      <c r="M283" s="70"/>
      <c r="N283" s="70"/>
      <c r="O283" s="67" t="s">
        <v>57</v>
      </c>
      <c r="P283" s="67"/>
      <c r="Q283" s="71"/>
      <c r="R283" s="72">
        <v>17000</v>
      </c>
      <c r="S283" s="73">
        <v>13700</v>
      </c>
      <c r="T283" s="73">
        <v>17000</v>
      </c>
      <c r="U283" s="71">
        <f>ERP_34[[#This Row],[LE2 Final Submission]]-ERP_34[[#This Row],[LE3 Final Submission]]</f>
        <v>-3300</v>
      </c>
      <c r="V283" s="74"/>
      <c r="W283" s="75"/>
      <c r="X283" s="75"/>
      <c r="Y283" s="76">
        <v>1100</v>
      </c>
      <c r="Z283" s="76">
        <v>1100</v>
      </c>
      <c r="AA283" s="76">
        <v>1100</v>
      </c>
      <c r="AB283" s="76">
        <v>1100</v>
      </c>
      <c r="AC283" s="76">
        <v>1100</v>
      </c>
      <c r="AD283" s="76">
        <v>1100</v>
      </c>
      <c r="AE283" s="76">
        <v>1100</v>
      </c>
      <c r="AF283" s="76">
        <v>3000</v>
      </c>
      <c r="AG283" s="76">
        <v>3000</v>
      </c>
      <c r="AH283" s="77">
        <f t="shared" si="14"/>
        <v>13700</v>
      </c>
      <c r="AI283" s="108">
        <f>ERP_34[[#This Row],[2026 Working Total]]-ERP_34[[#This Row],[2026 LE0]]</f>
        <v>-3300</v>
      </c>
      <c r="AJ283" s="79"/>
      <c r="AK283" s="79"/>
      <c r="AL2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3" s="80"/>
      <c r="AN283" s="79">
        <f>ERP_34[[#This Row],[2026 Working Total to Budget/LE]]-ERP_34[[#This Row],[Giveback]]</f>
        <v>-3300</v>
      </c>
      <c r="AO283" s="81"/>
      <c r="AP283" s="81"/>
      <c r="AQ283" s="81"/>
      <c r="AR283" s="81"/>
      <c r="AS283" s="81">
        <v>1100</v>
      </c>
      <c r="AT283" s="81">
        <v>1100</v>
      </c>
      <c r="AU283" s="81">
        <v>1100</v>
      </c>
      <c r="AV283" s="81">
        <v>1100</v>
      </c>
      <c r="AW283" s="81">
        <v>1100</v>
      </c>
      <c r="AX283" s="81">
        <v>1100</v>
      </c>
      <c r="AY283" s="81">
        <v>1100</v>
      </c>
      <c r="AZ283" s="81">
        <v>3000</v>
      </c>
      <c r="BA283" s="81">
        <v>3000</v>
      </c>
      <c r="BB283" s="81">
        <v>13700</v>
      </c>
      <c r="BC283" s="79"/>
      <c r="BD283" s="79"/>
      <c r="BE283" s="79"/>
      <c r="BF283" s="79">
        <v>1100</v>
      </c>
      <c r="BG283" s="79">
        <v>1100</v>
      </c>
      <c r="BH283" s="79">
        <v>1100</v>
      </c>
      <c r="BI283" s="79">
        <v>1100</v>
      </c>
      <c r="BJ283" s="79">
        <v>1100</v>
      </c>
      <c r="BK283" s="79">
        <v>1100</v>
      </c>
      <c r="BL283" s="79">
        <v>1100</v>
      </c>
      <c r="BM283" s="79">
        <v>3000</v>
      </c>
      <c r="BN283" s="79">
        <v>3000</v>
      </c>
      <c r="BO283" s="79">
        <v>13700</v>
      </c>
    </row>
    <row r="284" spans="1:67">
      <c r="A284" s="66" t="s">
        <v>1401</v>
      </c>
      <c r="B284" s="66" t="str">
        <f>_xlfn.TEXTJOIN("_",,ERP_34[[#This Row],[LT Member -1*]],ERP_34[[#This Row],[Expense Category]],ERP_34[[#This Row],[Project Code*]])</f>
        <v>Ganesan, Srinivasan_CONTRACTORS_IT-FBT0778-OT-US-00</v>
      </c>
      <c r="C284" s="67" t="s">
        <v>1136</v>
      </c>
      <c r="D284" s="67" t="s">
        <v>1345</v>
      </c>
      <c r="E284" s="67" t="s">
        <v>1344</v>
      </c>
      <c r="F284" s="67" t="s">
        <v>1346</v>
      </c>
      <c r="G284" s="68" t="s">
        <v>49</v>
      </c>
      <c r="H284" s="106" t="s">
        <v>1402</v>
      </c>
      <c r="I284" s="70"/>
      <c r="J284" s="70"/>
      <c r="K284" s="70" t="s">
        <v>187</v>
      </c>
      <c r="L284" s="70"/>
      <c r="M284" s="70"/>
      <c r="N284" s="70"/>
      <c r="O284" s="67" t="s">
        <v>188</v>
      </c>
      <c r="P284" s="67" t="s">
        <v>1403</v>
      </c>
      <c r="Q284" s="71"/>
      <c r="R284" s="72">
        <v>25200</v>
      </c>
      <c r="S284" s="73">
        <v>0</v>
      </c>
      <c r="T284" s="73">
        <v>25200</v>
      </c>
      <c r="U284" s="71">
        <f>ERP_34[[#This Row],[LE2 Final Submission]]-ERP_34[[#This Row],[LE3 Final Submission]]</f>
        <v>-25200</v>
      </c>
      <c r="V284" s="74"/>
      <c r="W284" s="75"/>
      <c r="X284" s="75"/>
      <c r="Y284" s="76">
        <f t="shared" ref="Y284:AG284" si="15">2100-2100</f>
        <v>0</v>
      </c>
      <c r="Z284" s="76">
        <f t="shared" si="15"/>
        <v>0</v>
      </c>
      <c r="AA284" s="76">
        <f t="shared" si="15"/>
        <v>0</v>
      </c>
      <c r="AB284" s="76">
        <f t="shared" si="15"/>
        <v>0</v>
      </c>
      <c r="AC284" s="76">
        <f t="shared" si="15"/>
        <v>0</v>
      </c>
      <c r="AD284" s="76">
        <f t="shared" si="15"/>
        <v>0</v>
      </c>
      <c r="AE284" s="76">
        <f t="shared" si="15"/>
        <v>0</v>
      </c>
      <c r="AF284" s="76">
        <f t="shared" si="15"/>
        <v>0</v>
      </c>
      <c r="AG284" s="76">
        <f t="shared" si="15"/>
        <v>0</v>
      </c>
      <c r="AH284" s="77">
        <f t="shared" si="14"/>
        <v>0</v>
      </c>
      <c r="AI284" s="108">
        <f>ERP_34[[#This Row],[2026 Working Total]]-ERP_34[[#This Row],[2026 LE0]]</f>
        <v>-25200</v>
      </c>
      <c r="AJ284" s="79"/>
      <c r="AK284" s="79"/>
      <c r="AL2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4" s="80"/>
      <c r="AN284" s="79">
        <f>ERP_34[[#This Row],[2026 Working Total to Budget/LE]]-ERP_34[[#This Row],[Giveback]]</f>
        <v>-25200</v>
      </c>
      <c r="AO284" s="81"/>
      <c r="AP284" s="81"/>
      <c r="AQ284" s="81"/>
      <c r="AR284" s="81"/>
      <c r="AS284" s="81">
        <v>0</v>
      </c>
      <c r="AT284" s="81">
        <v>0</v>
      </c>
      <c r="AU284" s="81">
        <v>0</v>
      </c>
      <c r="AV284" s="81">
        <v>0</v>
      </c>
      <c r="AW284" s="81">
        <v>0</v>
      </c>
      <c r="AX284" s="81">
        <v>0</v>
      </c>
      <c r="AY284" s="81">
        <v>0</v>
      </c>
      <c r="AZ284" s="81">
        <v>0</v>
      </c>
      <c r="BA284" s="81">
        <v>0</v>
      </c>
      <c r="BB284" s="81">
        <v>0</v>
      </c>
      <c r="BC284" s="79"/>
      <c r="BD284" s="79"/>
      <c r="BE284" s="79"/>
      <c r="BF284" s="79">
        <v>2100</v>
      </c>
      <c r="BG284" s="79">
        <v>2100</v>
      </c>
      <c r="BH284" s="79">
        <v>2100</v>
      </c>
      <c r="BI284" s="79">
        <v>2100</v>
      </c>
      <c r="BJ284" s="79">
        <v>2100</v>
      </c>
      <c r="BK284" s="79">
        <v>2100</v>
      </c>
      <c r="BL284" s="79">
        <v>2100</v>
      </c>
      <c r="BM284" s="79">
        <v>2100</v>
      </c>
      <c r="BN284" s="79">
        <v>2100</v>
      </c>
      <c r="BO284" s="79">
        <v>18900</v>
      </c>
    </row>
    <row r="285" spans="1:67">
      <c r="A285" s="66" t="s">
        <v>1973</v>
      </c>
      <c r="B285" s="66" t="str">
        <f>_xlfn.TEXTJOIN("_",,ERP_34[[#This Row],[LT Member -1*]],ERP_34[[#This Row],[Expense Category]],ERP_34[[#This Row],[Project Code*]])</f>
        <v>Ganesan, Srinivasan_MANAGED SERVICES_IT-FBT0778-OT-US-00</v>
      </c>
      <c r="C285" s="67" t="s">
        <v>1136</v>
      </c>
      <c r="D285" s="67" t="s">
        <v>1345</v>
      </c>
      <c r="E285" s="67" t="s">
        <v>1344</v>
      </c>
      <c r="F285" s="67" t="s">
        <v>1346</v>
      </c>
      <c r="G285" s="68" t="s">
        <v>389</v>
      </c>
      <c r="H285" s="106" t="s">
        <v>1402</v>
      </c>
      <c r="I285" s="70"/>
      <c r="J285" s="70"/>
      <c r="K285" s="70" t="s">
        <v>187</v>
      </c>
      <c r="L285" s="70"/>
      <c r="M285" s="70"/>
      <c r="N285" s="70"/>
      <c r="O285" s="67" t="s">
        <v>188</v>
      </c>
      <c r="P285" s="67" t="s">
        <v>1403</v>
      </c>
      <c r="Q285" s="71"/>
      <c r="R285" s="72">
        <v>0</v>
      </c>
      <c r="S285" s="73">
        <v>25200</v>
      </c>
      <c r="T285" s="73">
        <v>0</v>
      </c>
      <c r="U285" s="71">
        <f>ERP_34[[#This Row],[LE2 Final Submission]]-ERP_34[[#This Row],[LE3 Final Submission]]</f>
        <v>25200</v>
      </c>
      <c r="V285" s="74"/>
      <c r="W285" s="75"/>
      <c r="X285" s="75">
        <v>6300</v>
      </c>
      <c r="Y285" s="109">
        <v>2100</v>
      </c>
      <c r="Z285" s="109">
        <v>2100</v>
      </c>
      <c r="AA285" s="109">
        <v>2100</v>
      </c>
      <c r="AB285" s="109">
        <v>2100</v>
      </c>
      <c r="AC285" s="109">
        <v>2100</v>
      </c>
      <c r="AD285" s="109">
        <v>2100</v>
      </c>
      <c r="AE285" s="109">
        <v>2100</v>
      </c>
      <c r="AF285" s="109">
        <v>2100</v>
      </c>
      <c r="AG285" s="109">
        <v>2100</v>
      </c>
      <c r="AH285" s="77">
        <f t="shared" si="14"/>
        <v>25200</v>
      </c>
      <c r="AI285" s="108">
        <f>ERP_34[[#This Row],[2026 Working Total]]-ERP_34[[#This Row],[2026 LE0]]</f>
        <v>25200</v>
      </c>
      <c r="AJ285" s="79"/>
      <c r="AK285" s="79"/>
      <c r="AL28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5" s="80"/>
      <c r="AN285" s="79">
        <f>ERP_34[[#This Row],[2026 Working Total to Budget/LE]]-ERP_34[[#This Row],[Giveback]]</f>
        <v>25200</v>
      </c>
      <c r="AO285" s="81"/>
      <c r="AP285" s="81"/>
      <c r="AQ285" s="81"/>
      <c r="AR285" s="81">
        <v>6300</v>
      </c>
      <c r="AS285" s="81">
        <v>2100</v>
      </c>
      <c r="AT285" s="81">
        <v>2100</v>
      </c>
      <c r="AU285" s="81">
        <v>2100</v>
      </c>
      <c r="AV285" s="81">
        <v>2100</v>
      </c>
      <c r="AW285" s="81">
        <v>2100</v>
      </c>
      <c r="AX285" s="81">
        <v>2100</v>
      </c>
      <c r="AY285" s="81">
        <v>2100</v>
      </c>
      <c r="AZ285" s="81">
        <v>2100</v>
      </c>
      <c r="BA285" s="81">
        <v>2100</v>
      </c>
      <c r="BB285" s="81">
        <v>25200</v>
      </c>
      <c r="BC285" s="79"/>
      <c r="BD285" s="79"/>
      <c r="BE285" s="79">
        <v>6300</v>
      </c>
      <c r="BF285" s="79">
        <v>0</v>
      </c>
      <c r="BG285" s="79">
        <v>0</v>
      </c>
      <c r="BH285" s="79">
        <v>0</v>
      </c>
      <c r="BI285" s="79">
        <v>0</v>
      </c>
      <c r="BJ285" s="79">
        <v>0</v>
      </c>
      <c r="BK285" s="79">
        <v>0</v>
      </c>
      <c r="BL285" s="79">
        <v>0</v>
      </c>
      <c r="BM285" s="79">
        <v>0</v>
      </c>
      <c r="BN285" s="79">
        <v>0</v>
      </c>
      <c r="BO285" s="79">
        <v>6300</v>
      </c>
    </row>
    <row r="286" spans="1:67">
      <c r="A286" s="66" t="s">
        <v>1470</v>
      </c>
      <c r="B286" s="66" t="str">
        <f>_xlfn.TEXTJOIN("_",,ERP_34[[#This Row],[LT Member -1*]],ERP_34[[#This Row],[Expense Category]],ERP_34[[#This Row],[Project Code*]])</f>
        <v>Herman, Shaun_CONTRACTORS_IT-FBT0779-OT-US-00</v>
      </c>
      <c r="C286" s="67" t="s">
        <v>1136</v>
      </c>
      <c r="D286" s="67" t="s">
        <v>1345</v>
      </c>
      <c r="E286" s="67" t="s">
        <v>1450</v>
      </c>
      <c r="F286" s="67" t="s">
        <v>1346</v>
      </c>
      <c r="G286" s="68" t="s">
        <v>49</v>
      </c>
      <c r="H286" s="106" t="s">
        <v>1471</v>
      </c>
      <c r="I286" s="70"/>
      <c r="J286" s="70"/>
      <c r="K286" s="70" t="s">
        <v>221</v>
      </c>
      <c r="L286" s="70"/>
      <c r="M286" s="70"/>
      <c r="N286" s="70"/>
      <c r="O286" s="67" t="s">
        <v>188</v>
      </c>
      <c r="P286" s="67"/>
      <c r="Q286" s="71"/>
      <c r="R286" s="72">
        <v>35000</v>
      </c>
      <c r="S286" s="73">
        <v>26249</v>
      </c>
      <c r="T286" s="73">
        <v>35000</v>
      </c>
      <c r="U286" s="71">
        <f>ERP_34[[#This Row],[LE2 Final Submission]]-ERP_34[[#This Row],[LE3 Final Submission]]</f>
        <v>-8751</v>
      </c>
      <c r="V286" s="74"/>
      <c r="W286" s="75"/>
      <c r="X286" s="75"/>
      <c r="Y286" s="76">
        <v>2917</v>
      </c>
      <c r="Z286" s="76">
        <v>2917</v>
      </c>
      <c r="AA286" s="76">
        <v>2917</v>
      </c>
      <c r="AB286" s="76">
        <v>2917</v>
      </c>
      <c r="AC286" s="76">
        <v>2917</v>
      </c>
      <c r="AD286" s="76">
        <v>2916</v>
      </c>
      <c r="AE286" s="76">
        <v>2916</v>
      </c>
      <c r="AF286" s="76">
        <v>2916</v>
      </c>
      <c r="AG286" s="76">
        <v>2916</v>
      </c>
      <c r="AH286" s="77">
        <f t="shared" si="14"/>
        <v>26249</v>
      </c>
      <c r="AI286" s="108">
        <f>ERP_34[[#This Row],[2026 Working Total]]-ERP_34[[#This Row],[2026 LE0]]</f>
        <v>-8751</v>
      </c>
      <c r="AJ286" s="79"/>
      <c r="AK286" s="79"/>
      <c r="AL28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6" s="80"/>
      <c r="AN286" s="79">
        <f>ERP_34[[#This Row],[2026 Working Total to Budget/LE]]-ERP_34[[#This Row],[Giveback]]</f>
        <v>-8751</v>
      </c>
      <c r="AO286" s="81"/>
      <c r="AP286" s="81"/>
      <c r="AQ286" s="81"/>
      <c r="AR286" s="81"/>
      <c r="AS286" s="81">
        <v>2917</v>
      </c>
      <c r="AT286" s="81">
        <v>2917</v>
      </c>
      <c r="AU286" s="81">
        <v>2917</v>
      </c>
      <c r="AV286" s="81">
        <v>2917</v>
      </c>
      <c r="AW286" s="81">
        <v>2917</v>
      </c>
      <c r="AX286" s="81">
        <v>2916</v>
      </c>
      <c r="AY286" s="81">
        <v>2916</v>
      </c>
      <c r="AZ286" s="81">
        <v>2916</v>
      </c>
      <c r="BA286" s="81">
        <v>2916</v>
      </c>
      <c r="BB286" s="81">
        <v>26249</v>
      </c>
      <c r="BC286" s="79"/>
      <c r="BD286" s="79"/>
      <c r="BE286" s="79"/>
      <c r="BF286" s="79">
        <v>2917</v>
      </c>
      <c r="BG286" s="79">
        <v>2917</v>
      </c>
      <c r="BH286" s="79">
        <v>2917</v>
      </c>
      <c r="BI286" s="79">
        <v>2917</v>
      </c>
      <c r="BJ286" s="79">
        <v>2917</v>
      </c>
      <c r="BK286" s="79">
        <v>2916</v>
      </c>
      <c r="BL286" s="79">
        <v>2916</v>
      </c>
      <c r="BM286" s="79">
        <v>2916</v>
      </c>
      <c r="BN286" s="79">
        <v>2916</v>
      </c>
      <c r="BO286" s="79">
        <v>26249</v>
      </c>
    </row>
    <row r="287" spans="1:67">
      <c r="A287" s="66" t="s">
        <v>1974</v>
      </c>
      <c r="B287" s="66" t="str">
        <f>_xlfn.TEXTJOIN("_",,ERP_34[[#This Row],[LT Member -1*]],ERP_34[[#This Row],[Expense Category]],ERP_34[[#This Row],[Project Code*]])</f>
        <v>Ganesan, Srinivasan_MANAGED SERVICES_IT-FBT0779-OT-US-00</v>
      </c>
      <c r="C287" s="67" t="s">
        <v>1136</v>
      </c>
      <c r="D287" s="67" t="s">
        <v>1345</v>
      </c>
      <c r="E287" s="67" t="s">
        <v>1344</v>
      </c>
      <c r="F287" s="67" t="s">
        <v>1346</v>
      </c>
      <c r="G287" s="68" t="s">
        <v>389</v>
      </c>
      <c r="H287" s="106" t="s">
        <v>1471</v>
      </c>
      <c r="I287" s="70"/>
      <c r="J287" s="70"/>
      <c r="K287" s="70" t="s">
        <v>221</v>
      </c>
      <c r="L287" s="70"/>
      <c r="M287" s="70"/>
      <c r="N287" s="70"/>
      <c r="O287" s="67" t="s">
        <v>188</v>
      </c>
      <c r="P287" s="67"/>
      <c r="Q287" s="71"/>
      <c r="R287" s="72">
        <v>0</v>
      </c>
      <c r="S287" s="73">
        <v>8751</v>
      </c>
      <c r="T287" s="73">
        <v>0</v>
      </c>
      <c r="U287" s="71">
        <f>ERP_34[[#This Row],[LE2 Final Submission]]-ERP_34[[#This Row],[LE3 Final Submission]]</f>
        <v>8751</v>
      </c>
      <c r="V287" s="74"/>
      <c r="W287" s="75"/>
      <c r="X287" s="75">
        <v>8751</v>
      </c>
      <c r="Y287" s="109">
        <v>0</v>
      </c>
      <c r="Z287" s="109">
        <v>0</v>
      </c>
      <c r="AA287" s="109">
        <v>0</v>
      </c>
      <c r="AB287" s="109">
        <v>0</v>
      </c>
      <c r="AC287" s="109">
        <v>0</v>
      </c>
      <c r="AD287" s="109">
        <v>0</v>
      </c>
      <c r="AE287" s="109">
        <v>0</v>
      </c>
      <c r="AF287" s="109">
        <v>0</v>
      </c>
      <c r="AG287" s="109">
        <v>0</v>
      </c>
      <c r="AH287" s="77">
        <f t="shared" si="14"/>
        <v>8751</v>
      </c>
      <c r="AI287" s="108">
        <f>ERP_34[[#This Row],[2026 Working Total]]-ERP_34[[#This Row],[2026 LE0]]</f>
        <v>8751</v>
      </c>
      <c r="AJ287" s="79"/>
      <c r="AK287" s="79"/>
      <c r="AL28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7" s="80"/>
      <c r="AN287" s="79">
        <f>ERP_34[[#This Row],[2026 Working Total to Budget/LE]]-ERP_34[[#This Row],[Giveback]]</f>
        <v>8751</v>
      </c>
      <c r="AO287" s="81"/>
      <c r="AP287" s="81"/>
      <c r="AQ287" s="81"/>
      <c r="AR287" s="81">
        <v>8751</v>
      </c>
      <c r="AS287" s="81">
        <v>0</v>
      </c>
      <c r="AT287" s="81">
        <v>0</v>
      </c>
      <c r="AU287" s="81">
        <v>0</v>
      </c>
      <c r="AV287" s="81">
        <v>0</v>
      </c>
      <c r="AW287" s="81">
        <v>0</v>
      </c>
      <c r="AX287" s="81">
        <v>0</v>
      </c>
      <c r="AY287" s="81">
        <v>0</v>
      </c>
      <c r="AZ287" s="81">
        <v>0</v>
      </c>
      <c r="BA287" s="81">
        <v>0</v>
      </c>
      <c r="BB287" s="81">
        <v>8751</v>
      </c>
      <c r="BC287" s="79"/>
      <c r="BD287" s="79"/>
      <c r="BE287" s="79">
        <v>8751</v>
      </c>
      <c r="BF287" s="79">
        <v>0</v>
      </c>
      <c r="BG287" s="79">
        <v>0</v>
      </c>
      <c r="BH287" s="79">
        <v>0</v>
      </c>
      <c r="BI287" s="79">
        <v>0</v>
      </c>
      <c r="BJ287" s="79">
        <v>0</v>
      </c>
      <c r="BK287" s="79">
        <v>0</v>
      </c>
      <c r="BL287" s="79">
        <v>0</v>
      </c>
      <c r="BM287" s="79">
        <v>0</v>
      </c>
      <c r="BN287" s="79">
        <v>0</v>
      </c>
      <c r="BO287" s="79">
        <v>8751</v>
      </c>
    </row>
    <row r="288" spans="1:67">
      <c r="A288" s="66" t="s">
        <v>1297</v>
      </c>
      <c r="B288" s="66" t="str">
        <f>_xlfn.TEXTJOIN("_",,ERP_34[[#This Row],[LT Member -1*]],ERP_34[[#This Row],[Expense Category]],ERP_34[[#This Row],[Project Code*]])</f>
        <v>Meadows, Leslie_CONTRACTORS_IT-FBT0780-OT-US-00</v>
      </c>
      <c r="C288" s="67" t="s">
        <v>1136</v>
      </c>
      <c r="D288" s="67" t="s">
        <v>1135</v>
      </c>
      <c r="E288" s="67" t="s">
        <v>1156</v>
      </c>
      <c r="F288" s="67" t="s">
        <v>1137</v>
      </c>
      <c r="G288" s="68" t="s">
        <v>49</v>
      </c>
      <c r="H288" s="106" t="s">
        <v>1299</v>
      </c>
      <c r="I288" s="70"/>
      <c r="J288" s="70"/>
      <c r="K288" s="114" t="s">
        <v>135</v>
      </c>
      <c r="L288" s="70"/>
      <c r="M288" s="70"/>
      <c r="N288" s="70"/>
      <c r="O288" s="67" t="s">
        <v>25</v>
      </c>
      <c r="P288" s="67"/>
      <c r="Q288" s="71"/>
      <c r="R288" s="72">
        <v>499304.03999999986</v>
      </c>
      <c r="S288" s="73">
        <v>502636.17</v>
      </c>
      <c r="T288" s="73">
        <v>499304.03999999986</v>
      </c>
      <c r="U288" s="71">
        <f>ERP_34[[#This Row],[LE2 Final Submission]]-ERP_34[[#This Row],[LE3 Final Submission]]</f>
        <v>3332.1300000001211</v>
      </c>
      <c r="V288" s="74">
        <v>30113.96</v>
      </c>
      <c r="W288" s="75">
        <v>19240.66</v>
      </c>
      <c r="X288" s="75">
        <v>44681.55</v>
      </c>
      <c r="Y288" s="76">
        <v>40000</v>
      </c>
      <c r="Z288" s="76">
        <v>90000</v>
      </c>
      <c r="AA288" s="76">
        <v>44000</v>
      </c>
      <c r="AB288" s="76">
        <v>35600</v>
      </c>
      <c r="AC288" s="76">
        <v>44000</v>
      </c>
      <c r="AD288" s="76">
        <v>36000</v>
      </c>
      <c r="AE288" s="76">
        <v>40000</v>
      </c>
      <c r="AF288" s="76">
        <v>36000</v>
      </c>
      <c r="AG288" s="76">
        <v>43000</v>
      </c>
      <c r="AH288" s="77">
        <f t="shared" si="14"/>
        <v>502636.17</v>
      </c>
      <c r="AI288" s="108">
        <f>ERP_34[[#This Row],[2026 Working Total]]-ERP_34[[#This Row],[2026 LE0]]</f>
        <v>3332.1300000001211</v>
      </c>
      <c r="AJ288" s="79"/>
      <c r="AK288" s="79"/>
      <c r="AL28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8" s="80"/>
      <c r="AN288" s="79">
        <f>ERP_34[[#This Row],[2026 Working Total to Budget/LE]]-ERP_34[[#This Row],[Giveback]]</f>
        <v>3332.1300000001211</v>
      </c>
      <c r="AO288" s="81"/>
      <c r="AP288" s="81">
        <v>30113.96</v>
      </c>
      <c r="AQ288" s="81">
        <v>19240.66</v>
      </c>
      <c r="AR288" s="81">
        <v>44681.55</v>
      </c>
      <c r="AS288" s="81">
        <v>40000</v>
      </c>
      <c r="AT288" s="81">
        <v>90000</v>
      </c>
      <c r="AU288" s="81">
        <v>44000</v>
      </c>
      <c r="AV288" s="81">
        <v>35600</v>
      </c>
      <c r="AW288" s="81">
        <v>44000</v>
      </c>
      <c r="AX288" s="81">
        <v>36000</v>
      </c>
      <c r="AY288" s="81">
        <v>40000</v>
      </c>
      <c r="AZ288" s="81">
        <v>36000</v>
      </c>
      <c r="BA288" s="81">
        <v>43000</v>
      </c>
      <c r="BB288" s="81">
        <v>502636.17</v>
      </c>
      <c r="BC288" s="79">
        <v>30113.96</v>
      </c>
      <c r="BD288" s="79">
        <v>19240.66</v>
      </c>
      <c r="BE288" s="79">
        <v>44681.55</v>
      </c>
      <c r="BF288" s="79">
        <v>44995</v>
      </c>
      <c r="BG288" s="79">
        <v>44995</v>
      </c>
      <c r="BH288" s="79">
        <v>44995</v>
      </c>
      <c r="BI288" s="79">
        <v>44995</v>
      </c>
      <c r="BJ288" s="79">
        <v>44995</v>
      </c>
      <c r="BK288" s="79">
        <v>44995</v>
      </c>
      <c r="BL288" s="79">
        <v>44995</v>
      </c>
      <c r="BM288" s="79">
        <v>44995</v>
      </c>
      <c r="BN288" s="79">
        <v>44995</v>
      </c>
      <c r="BO288" s="79">
        <v>498991.17</v>
      </c>
    </row>
    <row r="289" spans="1:67">
      <c r="A289" s="66" t="s">
        <v>1404</v>
      </c>
      <c r="B289" s="66" t="str">
        <f>_xlfn.TEXTJOIN("_",,ERP_34[[#This Row],[LT Member -1*]],ERP_34[[#This Row],[Expense Category]],ERP_34[[#This Row],[Project Code*]])</f>
        <v>Ganesan, Srinivasan_CONTRACTORS_IT-FBT0784-OG-US-00</v>
      </c>
      <c r="C289" s="67" t="s">
        <v>1136</v>
      </c>
      <c r="D289" s="67" t="s">
        <v>1345</v>
      </c>
      <c r="E289" s="67" t="s">
        <v>1344</v>
      </c>
      <c r="F289" s="67" t="s">
        <v>1346</v>
      </c>
      <c r="G289" s="68" t="s">
        <v>49</v>
      </c>
      <c r="H289" s="106" t="s">
        <v>1405</v>
      </c>
      <c r="I289" s="70"/>
      <c r="J289" s="70"/>
      <c r="K289" s="70" t="s">
        <v>190</v>
      </c>
      <c r="L289" s="70" t="s">
        <v>1153</v>
      </c>
      <c r="M289" s="70"/>
      <c r="N289" s="70"/>
      <c r="O289" s="67" t="s">
        <v>25</v>
      </c>
      <c r="P289" s="67" t="s">
        <v>1407</v>
      </c>
      <c r="Q289" s="71"/>
      <c r="R289" s="72">
        <v>1129982.58</v>
      </c>
      <c r="S289" s="73">
        <v>874707.09</v>
      </c>
      <c r="T289" s="73">
        <v>1129982.58</v>
      </c>
      <c r="U289" s="71">
        <f>ERP_34[[#This Row],[LE2 Final Submission]]-ERP_34[[#This Row],[LE3 Final Submission]]</f>
        <v>-255275.49000000011</v>
      </c>
      <c r="V289" s="74">
        <v>77285</v>
      </c>
      <c r="W289" s="75">
        <v>177053.54</v>
      </c>
      <c r="X289" s="75">
        <v>-2920.45</v>
      </c>
      <c r="Y289" s="76">
        <v>97087</v>
      </c>
      <c r="Z289" s="76">
        <v>97087</v>
      </c>
      <c r="AA289" s="76">
        <v>97087</v>
      </c>
      <c r="AB289" s="76">
        <v>55338</v>
      </c>
      <c r="AC289" s="76">
        <v>55338</v>
      </c>
      <c r="AD289" s="76">
        <v>55338</v>
      </c>
      <c r="AE289" s="76">
        <v>55338</v>
      </c>
      <c r="AF289" s="76">
        <v>55338</v>
      </c>
      <c r="AG289" s="76">
        <v>55338</v>
      </c>
      <c r="AH289" s="77">
        <f t="shared" si="14"/>
        <v>874707.09</v>
      </c>
      <c r="AI289" s="108">
        <f>ERP_34[[#This Row],[2026 Working Total]]-ERP_34[[#This Row],[2026 LE0]]</f>
        <v>-255275.49000000011</v>
      </c>
      <c r="AJ289" s="79"/>
      <c r="AK289" s="79"/>
      <c r="AL28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89" s="80">
        <v>255000</v>
      </c>
      <c r="AN289" s="79">
        <f>ERP_34[[#This Row],[2026 Working Total to Budget/LE]]-ERP_34[[#This Row],[Giveback]]</f>
        <v>-510275.49000000011</v>
      </c>
      <c r="AO289" s="81" t="s">
        <v>1408</v>
      </c>
      <c r="AP289" s="81">
        <v>77285</v>
      </c>
      <c r="AQ289" s="81">
        <v>177053.54</v>
      </c>
      <c r="AR289" s="81">
        <v>-2920.45</v>
      </c>
      <c r="AS289" s="81">
        <v>97087</v>
      </c>
      <c r="AT289" s="81">
        <v>97087</v>
      </c>
      <c r="AU289" s="81">
        <v>97087</v>
      </c>
      <c r="AV289" s="81">
        <v>55338</v>
      </c>
      <c r="AW289" s="81">
        <v>55338</v>
      </c>
      <c r="AX289" s="81">
        <v>55338</v>
      </c>
      <c r="AY289" s="81">
        <v>55338</v>
      </c>
      <c r="AZ289" s="81">
        <v>55338</v>
      </c>
      <c r="BA289" s="81">
        <v>55338</v>
      </c>
      <c r="BB289" s="81">
        <v>874707.09</v>
      </c>
      <c r="BC289" s="79">
        <v>77285</v>
      </c>
      <c r="BD289" s="79">
        <v>177053.54</v>
      </c>
      <c r="BE289" s="79">
        <v>-2920.45</v>
      </c>
      <c r="BF289" s="79">
        <v>90495</v>
      </c>
      <c r="BG289" s="79">
        <v>90495</v>
      </c>
      <c r="BH289" s="79">
        <v>99200</v>
      </c>
      <c r="BI289" s="79">
        <v>54165</v>
      </c>
      <c r="BJ289" s="79">
        <v>54165</v>
      </c>
      <c r="BK289" s="79">
        <v>54165</v>
      </c>
      <c r="BL289" s="79">
        <v>54165</v>
      </c>
      <c r="BM289" s="79">
        <v>54165</v>
      </c>
      <c r="BN289" s="79">
        <v>54165</v>
      </c>
      <c r="BO289" s="79">
        <v>856598.09</v>
      </c>
    </row>
    <row r="290" spans="1:67">
      <c r="A290" s="66" t="s">
        <v>2611</v>
      </c>
      <c r="B290" s="66" t="str">
        <f>_xlfn.TEXTJOIN("_",,ERP_34[[#This Row],[LT Member -1*]],ERP_34[[#This Row],[Expense Category]],ERP_34[[#This Row],[Project Code*]])</f>
        <v>Ganesan, Srinivasan_SOFTWARE_IT-FBT0784-OG-US-00</v>
      </c>
      <c r="C290" s="67" t="s">
        <v>1136</v>
      </c>
      <c r="D290" s="67" t="s">
        <v>1345</v>
      </c>
      <c r="E290" s="67" t="s">
        <v>1344</v>
      </c>
      <c r="F290" s="67" t="s">
        <v>1346</v>
      </c>
      <c r="G290" s="68" t="s">
        <v>639</v>
      </c>
      <c r="H290" s="106" t="s">
        <v>1405</v>
      </c>
      <c r="I290" s="70"/>
      <c r="J290" s="70"/>
      <c r="K290" s="70" t="s">
        <v>190</v>
      </c>
      <c r="L290" s="70" t="s">
        <v>1153</v>
      </c>
      <c r="M290" s="70"/>
      <c r="N290" s="70"/>
      <c r="O290" s="67" t="s">
        <v>25</v>
      </c>
      <c r="P290" s="67"/>
      <c r="Q290" s="71"/>
      <c r="R290" s="72">
        <v>0</v>
      </c>
      <c r="S290" s="73">
        <v>292.39999999999998</v>
      </c>
      <c r="T290" s="73">
        <v>0</v>
      </c>
      <c r="U290" s="71">
        <f>ERP_34[[#This Row],[LE2 Final Submission]]-ERP_34[[#This Row],[LE3 Final Submission]]</f>
        <v>292.39999999999998</v>
      </c>
      <c r="V290" s="74"/>
      <c r="W290" s="75"/>
      <c r="X290" s="75">
        <v>292.39999999999998</v>
      </c>
      <c r="Y290" s="109">
        <v>0</v>
      </c>
      <c r="Z290" s="109">
        <v>0</v>
      </c>
      <c r="AA290" s="109">
        <v>0</v>
      </c>
      <c r="AB290" s="109">
        <v>0</v>
      </c>
      <c r="AC290" s="109">
        <v>0</v>
      </c>
      <c r="AD290" s="109">
        <v>0</v>
      </c>
      <c r="AE290" s="109">
        <v>0</v>
      </c>
      <c r="AF290" s="109">
        <v>0</v>
      </c>
      <c r="AG290" s="109">
        <v>0</v>
      </c>
      <c r="AH290" s="77">
        <f t="shared" si="14"/>
        <v>292.39999999999998</v>
      </c>
      <c r="AI290" s="108">
        <f>ERP_34[[#This Row],[2026 Working Total]]-ERP_34[[#This Row],[2026 LE0]]</f>
        <v>292.39999999999998</v>
      </c>
      <c r="AJ290" s="79"/>
      <c r="AK290" s="79"/>
      <c r="AL29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0" s="80"/>
      <c r="AN290" s="79">
        <f>ERP_34[[#This Row],[2026 Working Total to Budget/LE]]-ERP_34[[#This Row],[Giveback]]</f>
        <v>292.39999999999998</v>
      </c>
      <c r="AO290" s="81" t="s">
        <v>2612</v>
      </c>
      <c r="AP290" s="81"/>
      <c r="AQ290" s="81"/>
      <c r="AR290" s="81">
        <v>292.39999999999998</v>
      </c>
      <c r="AS290" s="81">
        <v>0</v>
      </c>
      <c r="AT290" s="81">
        <v>0</v>
      </c>
      <c r="AU290" s="81">
        <v>0</v>
      </c>
      <c r="AV290" s="81">
        <v>0</v>
      </c>
      <c r="AW290" s="81">
        <v>0</v>
      </c>
      <c r="AX290" s="81">
        <v>0</v>
      </c>
      <c r="AY290" s="81">
        <v>0</v>
      </c>
      <c r="AZ290" s="81">
        <v>0</v>
      </c>
      <c r="BA290" s="81">
        <v>0</v>
      </c>
      <c r="BB290" s="81">
        <v>292.39999999999998</v>
      </c>
      <c r="BC290" s="79"/>
      <c r="BD290" s="79"/>
      <c r="BE290" s="79">
        <v>292.39999999999998</v>
      </c>
      <c r="BF290" s="79">
        <v>0</v>
      </c>
      <c r="BG290" s="79">
        <v>0</v>
      </c>
      <c r="BH290" s="79">
        <v>0</v>
      </c>
      <c r="BI290" s="79">
        <v>0</v>
      </c>
      <c r="BJ290" s="79">
        <v>0</v>
      </c>
      <c r="BK290" s="79">
        <v>0</v>
      </c>
      <c r="BL290" s="79">
        <v>0</v>
      </c>
      <c r="BM290" s="79">
        <v>0</v>
      </c>
      <c r="BN290" s="79">
        <v>0</v>
      </c>
      <c r="BO290" s="79">
        <v>292.39999999999998</v>
      </c>
    </row>
    <row r="291" spans="1:67">
      <c r="A291" s="66" t="s">
        <v>1559</v>
      </c>
      <c r="B291" s="66" t="str">
        <f>_xlfn.TEXTJOIN("_",,ERP_34[[#This Row],[LT Member -1*]],ERP_34[[#This Row],[Expense Category]],ERP_34[[#This Row],[Project Code*]])</f>
        <v>Jajodia, Amit_CONTRACTORS_IT-FBT0785-OG-US-00</v>
      </c>
      <c r="C291" s="67" t="s">
        <v>1136</v>
      </c>
      <c r="D291" s="67" t="s">
        <v>1345</v>
      </c>
      <c r="E291" s="67" t="s">
        <v>1515</v>
      </c>
      <c r="F291" s="67" t="s">
        <v>1346</v>
      </c>
      <c r="G291" s="68" t="s">
        <v>49</v>
      </c>
      <c r="H291" s="106" t="s">
        <v>1560</v>
      </c>
      <c r="I291" s="70"/>
      <c r="J291" s="70"/>
      <c r="K291" s="141" t="s">
        <v>267</v>
      </c>
      <c r="L291" s="70"/>
      <c r="M291" s="70"/>
      <c r="N291" s="70"/>
      <c r="O291" s="67" t="s">
        <v>25</v>
      </c>
      <c r="P291" s="67" t="s">
        <v>1561</v>
      </c>
      <c r="Q291" s="71"/>
      <c r="R291" s="72">
        <v>325000.08000000007</v>
      </c>
      <c r="S291" s="73">
        <v>378801.32</v>
      </c>
      <c r="T291" s="73">
        <v>325000.08000000007</v>
      </c>
      <c r="U291" s="71">
        <f>ERP_34[[#This Row],[LE2 Final Submission]]-ERP_34[[#This Row],[LE3 Final Submission]]</f>
        <v>53801.239999999932</v>
      </c>
      <c r="V291" s="74">
        <v>43362</v>
      </c>
      <c r="W291" s="75">
        <v>48564.89</v>
      </c>
      <c r="X291" s="75">
        <v>60706.43</v>
      </c>
      <c r="Y291" s="76">
        <v>31668</v>
      </c>
      <c r="Z291" s="76">
        <v>11500</v>
      </c>
      <c r="AA291" s="76">
        <v>11500</v>
      </c>
      <c r="AB291" s="76">
        <v>29000</v>
      </c>
      <c r="AC291" s="76">
        <v>29000</v>
      </c>
      <c r="AD291" s="76">
        <v>28000</v>
      </c>
      <c r="AE291" s="76">
        <v>28500</v>
      </c>
      <c r="AF291" s="76">
        <v>28500</v>
      </c>
      <c r="AG291" s="76">
        <v>28500</v>
      </c>
      <c r="AH291" s="77">
        <f t="shared" si="14"/>
        <v>378801.32</v>
      </c>
      <c r="AI291" s="107">
        <f>ERP_34[[#This Row],[2026 Working Total]]-ERP_34[[#This Row],[2026 LE0]]</f>
        <v>53801.239999999932</v>
      </c>
      <c r="AJ291" s="79"/>
      <c r="AK291" s="79"/>
      <c r="AL29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1" s="80"/>
      <c r="AN291" s="79">
        <f>ERP_34[[#This Row],[2026 Working Total to Budget/LE]]-ERP_34[[#This Row],[Giveback]]</f>
        <v>53801.239999999932</v>
      </c>
      <c r="AO291" s="189" t="s">
        <v>1518</v>
      </c>
      <c r="AP291" s="189">
        <v>43362</v>
      </c>
      <c r="AQ291" s="189">
        <v>48564.89</v>
      </c>
      <c r="AR291" s="189">
        <v>60706.43</v>
      </c>
      <c r="AS291" s="189">
        <v>31668</v>
      </c>
      <c r="AT291" s="189">
        <v>11500</v>
      </c>
      <c r="AU291" s="189">
        <v>11500</v>
      </c>
      <c r="AV291" s="189">
        <v>29000</v>
      </c>
      <c r="AW291" s="189">
        <v>29000</v>
      </c>
      <c r="AX291" s="189">
        <v>28000</v>
      </c>
      <c r="AY291" s="189">
        <v>28500</v>
      </c>
      <c r="AZ291" s="189">
        <v>28500</v>
      </c>
      <c r="BA291" s="189">
        <v>28500</v>
      </c>
      <c r="BB291" s="189">
        <v>378801.32</v>
      </c>
      <c r="BC291" s="79">
        <v>43362</v>
      </c>
      <c r="BD291" s="79">
        <v>48564.89</v>
      </c>
      <c r="BE291" s="79">
        <v>60706.43</v>
      </c>
      <c r="BF291" s="79">
        <v>49897</v>
      </c>
      <c r="BG291" s="79">
        <v>49897</v>
      </c>
      <c r="BH291" s="79">
        <v>49897</v>
      </c>
      <c r="BI291" s="79">
        <v>49897</v>
      </c>
      <c r="BJ291" s="79">
        <v>49897</v>
      </c>
      <c r="BK291" s="79">
        <v>49897</v>
      </c>
      <c r="BL291" s="79">
        <v>49897</v>
      </c>
      <c r="BM291" s="79">
        <v>49897</v>
      </c>
      <c r="BN291" s="79">
        <v>49897</v>
      </c>
      <c r="BO291" s="79">
        <v>601706.32000000007</v>
      </c>
    </row>
    <row r="292" spans="1:67">
      <c r="A292" s="66" t="s">
        <v>1409</v>
      </c>
      <c r="B292" s="66" t="str">
        <f>_xlfn.TEXTJOIN("_",,ERP_34[[#This Row],[LT Member -1*]],ERP_34[[#This Row],[Expense Category]],ERP_34[[#This Row],[Project Code*]])</f>
        <v>Ganesan, Srinivasan_CONTRACTORS_IT-FBT0790-OG-US-00</v>
      </c>
      <c r="C292" s="67" t="s">
        <v>1136</v>
      </c>
      <c r="D292" s="67" t="s">
        <v>1345</v>
      </c>
      <c r="E292" s="67" t="s">
        <v>1344</v>
      </c>
      <c r="F292" s="67" t="s">
        <v>1346</v>
      </c>
      <c r="G292" s="68" t="s">
        <v>49</v>
      </c>
      <c r="H292" s="106" t="s">
        <v>1410</v>
      </c>
      <c r="I292" s="70"/>
      <c r="J292" s="70"/>
      <c r="K292" s="70" t="s">
        <v>192</v>
      </c>
      <c r="L292" s="70"/>
      <c r="M292" s="70"/>
      <c r="N292" s="70"/>
      <c r="O292" s="67" t="s">
        <v>25</v>
      </c>
      <c r="P292" s="67"/>
      <c r="Q292" s="71"/>
      <c r="R292" s="72">
        <v>513000</v>
      </c>
      <c r="S292" s="73">
        <v>384928.75</v>
      </c>
      <c r="T292" s="73">
        <v>513000</v>
      </c>
      <c r="U292" s="71">
        <f>ERP_34[[#This Row],[LE2 Final Submission]]-ERP_34[[#This Row],[LE3 Final Submission]]</f>
        <v>-128071.25</v>
      </c>
      <c r="V292" s="74">
        <v>98474.5</v>
      </c>
      <c r="W292" s="75">
        <v>-21757.25</v>
      </c>
      <c r="X292" s="75">
        <v>-81628.5</v>
      </c>
      <c r="Y292" s="76">
        <v>0</v>
      </c>
      <c r="Z292" s="76">
        <v>0</v>
      </c>
      <c r="AA292" s="76">
        <v>0</v>
      </c>
      <c r="AB292" s="76">
        <v>64140</v>
      </c>
      <c r="AC292" s="76">
        <v>64140</v>
      </c>
      <c r="AD292" s="76">
        <v>64140</v>
      </c>
      <c r="AE292" s="76">
        <v>64140</v>
      </c>
      <c r="AF292" s="76">
        <v>64140</v>
      </c>
      <c r="AG292" s="76">
        <v>69140</v>
      </c>
      <c r="AH292" s="77">
        <f t="shared" si="14"/>
        <v>384928.75</v>
      </c>
      <c r="AI292" s="108">
        <f>ERP_34[[#This Row],[2026 Working Total]]-ERP_34[[#This Row],[2026 LE0]]</f>
        <v>-128071.25</v>
      </c>
      <c r="AJ292" s="79"/>
      <c r="AK292" s="79"/>
      <c r="AL2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2" s="80">
        <v>128000</v>
      </c>
      <c r="AN292" s="79">
        <f>ERP_34[[#This Row],[2026 Working Total to Budget/LE]]-ERP_34[[#This Row],[Giveback]]</f>
        <v>-256071.25</v>
      </c>
      <c r="AO292" s="81" t="s">
        <v>1411</v>
      </c>
      <c r="AP292" s="81">
        <v>98474.5</v>
      </c>
      <c r="AQ292" s="81">
        <v>-21757.25</v>
      </c>
      <c r="AR292" s="81">
        <v>-81628.5</v>
      </c>
      <c r="AS292" s="81">
        <v>0</v>
      </c>
      <c r="AT292" s="81">
        <v>0</v>
      </c>
      <c r="AU292" s="81">
        <v>0</v>
      </c>
      <c r="AV292" s="81">
        <v>64140</v>
      </c>
      <c r="AW292" s="81">
        <v>64140</v>
      </c>
      <c r="AX292" s="81">
        <v>64140</v>
      </c>
      <c r="AY292" s="81">
        <v>64140</v>
      </c>
      <c r="AZ292" s="81">
        <v>64140</v>
      </c>
      <c r="BA292" s="81">
        <v>69140</v>
      </c>
      <c r="BB292" s="81">
        <v>384928.75</v>
      </c>
      <c r="BC292" s="79">
        <v>98474.5</v>
      </c>
      <c r="BD292" s="79">
        <v>-21757.25</v>
      </c>
      <c r="BE292" s="79">
        <v>-81628.5</v>
      </c>
      <c r="BF292" s="79">
        <v>7667</v>
      </c>
      <c r="BG292" s="79">
        <v>9667</v>
      </c>
      <c r="BH292" s="79">
        <v>15667</v>
      </c>
      <c r="BI292" s="79">
        <v>70892</v>
      </c>
      <c r="BJ292" s="79">
        <v>65000</v>
      </c>
      <c r="BK292" s="79">
        <v>65000</v>
      </c>
      <c r="BL292" s="79">
        <v>65000</v>
      </c>
      <c r="BM292" s="79">
        <v>65000</v>
      </c>
      <c r="BN292" s="79">
        <v>65000</v>
      </c>
      <c r="BO292" s="79">
        <v>423981.75</v>
      </c>
    </row>
    <row r="293" spans="1:67">
      <c r="A293" s="82" t="s">
        <v>1975</v>
      </c>
      <c r="B293" s="83" t="str">
        <f>_xlfn.TEXTJOIN("_",,ERP_34[[#This Row],[LT Member -1*]],ERP_34[[#This Row],[Expense Category]],ERP_34[[#This Row],[Project Code*]])</f>
        <v>Ganesan, Srinivasan_MANAGED SERVICES_IT-FBT0793-OG-US-00</v>
      </c>
      <c r="C293" s="67" t="s">
        <v>2959</v>
      </c>
      <c r="D293" s="84" t="s">
        <v>1345</v>
      </c>
      <c r="E293" s="85" t="s">
        <v>1344</v>
      </c>
      <c r="F293" s="68" t="s">
        <v>1346</v>
      </c>
      <c r="G293" s="85" t="s">
        <v>389</v>
      </c>
      <c r="H293" s="110" t="s">
        <v>1976</v>
      </c>
      <c r="I293" s="67"/>
      <c r="J293" s="67"/>
      <c r="K293" s="91" t="s">
        <v>504</v>
      </c>
      <c r="L293" s="111"/>
      <c r="M293" s="70"/>
      <c r="N293" s="90" t="s">
        <v>2960</v>
      </c>
      <c r="O293" s="91" t="s">
        <v>25</v>
      </c>
      <c r="P293" s="92" t="s">
        <v>1348</v>
      </c>
      <c r="Q293" s="93"/>
      <c r="R293" s="94">
        <v>12500</v>
      </c>
      <c r="S293" s="95">
        <v>0</v>
      </c>
      <c r="T293" s="190">
        <v>12500</v>
      </c>
      <c r="U293" s="191">
        <f>ERP_34[[#This Row],[LE2 Final Submission]]-ERP_34[[#This Row],[LE3 Final Submission]]</f>
        <v>-12500</v>
      </c>
      <c r="V293" s="98"/>
      <c r="W293" s="99"/>
      <c r="X293" s="99"/>
      <c r="Y293" s="100">
        <v>0</v>
      </c>
      <c r="Z293" s="100">
        <v>0</v>
      </c>
      <c r="AA293" s="100">
        <v>0</v>
      </c>
      <c r="AB293" s="100">
        <v>0</v>
      </c>
      <c r="AC293" s="100">
        <v>0</v>
      </c>
      <c r="AD293" s="100">
        <v>0</v>
      </c>
      <c r="AE293" s="100">
        <v>0</v>
      </c>
      <c r="AF293" s="100">
        <v>0</v>
      </c>
      <c r="AG293" s="100">
        <v>0</v>
      </c>
      <c r="AH293" s="101">
        <f t="shared" si="14"/>
        <v>0</v>
      </c>
      <c r="AI293" s="108">
        <f>ERP_34[[#This Row],[2026 Working Total]]-ERP_34[[#This Row],[2026 LE0]]</f>
        <v>-12500</v>
      </c>
      <c r="AJ293" s="79"/>
      <c r="AK293" s="79"/>
      <c r="AL2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3" s="80"/>
      <c r="AN293" s="79">
        <f>ERP_34[[#This Row],[2026 Working Total to Budget/LE]]-ERP_34[[#This Row],[Giveback]]</f>
        <v>-12500</v>
      </c>
      <c r="AO293" s="81"/>
      <c r="AP293" s="81"/>
      <c r="AQ293" s="81"/>
      <c r="AR293" s="81"/>
      <c r="AS293" s="81">
        <v>0</v>
      </c>
      <c r="AT293" s="81">
        <v>0</v>
      </c>
      <c r="AU293" s="81">
        <v>0</v>
      </c>
      <c r="AV293" s="81">
        <v>0</v>
      </c>
      <c r="AW293" s="81">
        <v>0</v>
      </c>
      <c r="AX293" s="81">
        <v>0</v>
      </c>
      <c r="AY293" s="81">
        <v>0</v>
      </c>
      <c r="AZ293" s="81">
        <v>0</v>
      </c>
      <c r="BA293" s="81">
        <v>0</v>
      </c>
      <c r="BB293" s="81">
        <v>0</v>
      </c>
      <c r="BC293" s="103">
        <v>0</v>
      </c>
      <c r="BD293" s="103">
        <v>0</v>
      </c>
      <c r="BE293" s="103">
        <v>12500</v>
      </c>
      <c r="BF293" s="103">
        <v>0</v>
      </c>
      <c r="BG293" s="103">
        <v>0</v>
      </c>
      <c r="BH293" s="103">
        <v>0</v>
      </c>
      <c r="BI293" s="103">
        <v>0</v>
      </c>
      <c r="BJ293" s="103">
        <v>0</v>
      </c>
      <c r="BK293" s="103">
        <v>0</v>
      </c>
      <c r="BL293" s="103">
        <v>0</v>
      </c>
      <c r="BM293" s="103">
        <v>0</v>
      </c>
      <c r="BN293" s="103">
        <v>0</v>
      </c>
      <c r="BO293" s="82">
        <f>SUM(ERP_34[[#This Row],[2026 AP01]:[2026 AP12]])</f>
        <v>12500</v>
      </c>
    </row>
    <row r="294" spans="1:67">
      <c r="A294" s="82" t="s">
        <v>1977</v>
      </c>
      <c r="B294" s="83" t="str">
        <f>_xlfn.TEXTJOIN("_",,ERP_34[[#This Row],[LT Member -1*]],ERP_34[[#This Row],[Expense Category]],ERP_34[[#This Row],[Project Code*]])</f>
        <v>Ganesan, Srinivasan_MANAGED SERVICES_IT-FBT0793-OG-US-00/CB</v>
      </c>
      <c r="C294" s="67" t="s">
        <v>2959</v>
      </c>
      <c r="D294" s="84" t="s">
        <v>1345</v>
      </c>
      <c r="E294" s="85" t="s">
        <v>1344</v>
      </c>
      <c r="F294" s="68" t="s">
        <v>1346</v>
      </c>
      <c r="G294" s="85" t="s">
        <v>389</v>
      </c>
      <c r="H294" s="110" t="s">
        <v>1976</v>
      </c>
      <c r="I294" s="67"/>
      <c r="J294" s="67"/>
      <c r="K294" s="91" t="s">
        <v>506</v>
      </c>
      <c r="L294" s="111"/>
      <c r="M294" s="70"/>
      <c r="N294" s="90" t="s">
        <v>2960</v>
      </c>
      <c r="O294" s="91" t="s">
        <v>25</v>
      </c>
      <c r="P294" s="92" t="s">
        <v>1348</v>
      </c>
      <c r="Q294" s="93"/>
      <c r="R294" s="94">
        <v>-12500</v>
      </c>
      <c r="S294" s="95">
        <v>0</v>
      </c>
      <c r="T294" s="190">
        <v>-12500</v>
      </c>
      <c r="U294" s="191">
        <f>ERP_34[[#This Row],[LE2 Final Submission]]-ERP_34[[#This Row],[LE3 Final Submission]]</f>
        <v>12500</v>
      </c>
      <c r="V294" s="98"/>
      <c r="W294" s="99"/>
      <c r="X294" s="99"/>
      <c r="Y294" s="100">
        <v>0</v>
      </c>
      <c r="Z294" s="100">
        <v>0</v>
      </c>
      <c r="AA294" s="100">
        <v>0</v>
      </c>
      <c r="AB294" s="100">
        <v>0</v>
      </c>
      <c r="AC294" s="100">
        <v>0</v>
      </c>
      <c r="AD294" s="100">
        <v>0</v>
      </c>
      <c r="AE294" s="100">
        <v>0</v>
      </c>
      <c r="AF294" s="100">
        <v>0</v>
      </c>
      <c r="AG294" s="100">
        <v>0</v>
      </c>
      <c r="AH294" s="101">
        <f t="shared" si="14"/>
        <v>0</v>
      </c>
      <c r="AI294" s="108">
        <f>ERP_34[[#This Row],[2026 Working Total]]-ERP_34[[#This Row],[2026 LE0]]</f>
        <v>12500</v>
      </c>
      <c r="AJ294" s="79"/>
      <c r="AK294" s="79"/>
      <c r="AL29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4" s="80"/>
      <c r="AN294" s="79">
        <f>ERP_34[[#This Row],[2026 Working Total to Budget/LE]]-ERP_34[[#This Row],[Giveback]]</f>
        <v>12500</v>
      </c>
      <c r="AO294" s="81"/>
      <c r="AP294" s="81"/>
      <c r="AQ294" s="81"/>
      <c r="AR294" s="81"/>
      <c r="AS294" s="81">
        <v>0</v>
      </c>
      <c r="AT294" s="81">
        <v>0</v>
      </c>
      <c r="AU294" s="81">
        <v>0</v>
      </c>
      <c r="AV294" s="81">
        <v>0</v>
      </c>
      <c r="AW294" s="81">
        <v>0</v>
      </c>
      <c r="AX294" s="81">
        <v>0</v>
      </c>
      <c r="AY294" s="81">
        <v>0</v>
      </c>
      <c r="AZ294" s="81">
        <v>0</v>
      </c>
      <c r="BA294" s="81">
        <v>0</v>
      </c>
      <c r="BB294" s="81">
        <v>0</v>
      </c>
      <c r="BC294" s="103">
        <v>0</v>
      </c>
      <c r="BD294" s="103">
        <v>0</v>
      </c>
      <c r="BE294" s="103">
        <v>-12500</v>
      </c>
      <c r="BF294" s="103">
        <v>0</v>
      </c>
      <c r="BG294" s="103">
        <v>0</v>
      </c>
      <c r="BH294" s="103">
        <v>0</v>
      </c>
      <c r="BI294" s="103">
        <v>0</v>
      </c>
      <c r="BJ294" s="103">
        <v>0</v>
      </c>
      <c r="BK294" s="103">
        <v>0</v>
      </c>
      <c r="BL294" s="103">
        <v>0</v>
      </c>
      <c r="BM294" s="103">
        <v>0</v>
      </c>
      <c r="BN294" s="103">
        <v>0</v>
      </c>
      <c r="BO294" s="82">
        <f>SUM(ERP_34[[#This Row],[2026 AP01]:[2026 AP12]])</f>
        <v>-12500</v>
      </c>
    </row>
    <row r="295" spans="1:67">
      <c r="A295" s="66" t="s">
        <v>1980</v>
      </c>
      <c r="B295" s="66" t="str">
        <f>_xlfn.TEXTJOIN("_",,ERP_34[[#This Row],[LT Member -1*]],ERP_34[[#This Row],[Expense Category]],ERP_34[[#This Row],[Project Code*]])</f>
        <v>DeHart, Lynn_MANAGED SERVICES_IT-FBT0798-OG-BE-00</v>
      </c>
      <c r="C295" s="67" t="s">
        <v>1136</v>
      </c>
      <c r="D295" s="67" t="s">
        <v>1345</v>
      </c>
      <c r="E295" s="67" t="s">
        <v>1346</v>
      </c>
      <c r="F295" s="67" t="s">
        <v>1346</v>
      </c>
      <c r="G295" s="68" t="s">
        <v>389</v>
      </c>
      <c r="H295" s="106" t="s">
        <v>1979</v>
      </c>
      <c r="I295" s="70"/>
      <c r="J295" s="70"/>
      <c r="K295" s="70" t="s">
        <v>508</v>
      </c>
      <c r="L295" s="70"/>
      <c r="M295" s="70"/>
      <c r="N295" s="70"/>
      <c r="O295" s="67" t="s">
        <v>432</v>
      </c>
      <c r="P295" s="67"/>
      <c r="Q295" s="71"/>
      <c r="R295" s="72">
        <v>0</v>
      </c>
      <c r="S295" s="73">
        <v>3866.47</v>
      </c>
      <c r="T295" s="73">
        <v>0</v>
      </c>
      <c r="U295" s="71">
        <f>ERP_34[[#This Row],[LE2 Final Submission]]-ERP_34[[#This Row],[LE3 Final Submission]]</f>
        <v>3866.47</v>
      </c>
      <c r="V295" s="74">
        <v>387.61</v>
      </c>
      <c r="W295" s="75">
        <v>1445.99</v>
      </c>
      <c r="X295" s="75">
        <v>2032.87</v>
      </c>
      <c r="Y295" s="109">
        <v>0</v>
      </c>
      <c r="Z295" s="109">
        <v>0</v>
      </c>
      <c r="AA295" s="109">
        <v>0</v>
      </c>
      <c r="AB295" s="109">
        <v>0</v>
      </c>
      <c r="AC295" s="109">
        <v>0</v>
      </c>
      <c r="AD295" s="109">
        <v>0</v>
      </c>
      <c r="AE295" s="109">
        <v>0</v>
      </c>
      <c r="AF295" s="109">
        <v>0</v>
      </c>
      <c r="AG295" s="109">
        <v>0</v>
      </c>
      <c r="AH295" s="77">
        <f t="shared" si="14"/>
        <v>3866.47</v>
      </c>
      <c r="AI295" s="108">
        <f>ERP_34[[#This Row],[2026 Working Total]]-ERP_34[[#This Row],[2026 LE0]]</f>
        <v>3866.47</v>
      </c>
      <c r="AJ295" s="79"/>
      <c r="AK295" s="79"/>
      <c r="AL295" s="79">
        <f>ERP_34[[#This Row],[AP01]]+ERP_34[[#This Row],[AP02]]+ERP_34[[#This Row],[AP03]]+ERP_34[[#This Row],[AP04]]-ERP_34[[#This Row],[AP01 LE2]]-ERP_34[[#This Row],[AP02 LE2]]-ERP_34[[#This Row],[AP03 LE2]]-ERP_34[[#This Row],[AP04 LE2]]</f>
        <v>-2.2737367544323206E-13</v>
      </c>
      <c r="AM295" s="80"/>
      <c r="AN295" s="79">
        <f>ERP_34[[#This Row],[2026 Working Total to Budget/LE]]-ERP_34[[#This Row],[Giveback]]</f>
        <v>3866.47</v>
      </c>
      <c r="AO295" s="81"/>
      <c r="AP295" s="81">
        <v>387.61</v>
      </c>
      <c r="AQ295" s="81">
        <v>1445.99</v>
      </c>
      <c r="AR295" s="81">
        <v>2032.87</v>
      </c>
      <c r="AS295" s="81">
        <v>0</v>
      </c>
      <c r="AT295" s="81">
        <v>0</v>
      </c>
      <c r="AU295" s="81">
        <v>0</v>
      </c>
      <c r="AV295" s="81">
        <v>0</v>
      </c>
      <c r="AW295" s="81">
        <v>0</v>
      </c>
      <c r="AX295" s="81">
        <v>0</v>
      </c>
      <c r="AY295" s="81">
        <v>0</v>
      </c>
      <c r="AZ295" s="81">
        <v>0</v>
      </c>
      <c r="BA295" s="81">
        <v>0</v>
      </c>
      <c r="BB295" s="81">
        <v>3866.47</v>
      </c>
      <c r="BC295" s="79">
        <v>387.61</v>
      </c>
      <c r="BD295" s="79">
        <v>1445.99</v>
      </c>
      <c r="BE295" s="79">
        <v>2032.87</v>
      </c>
      <c r="BF295" s="79">
        <v>0</v>
      </c>
      <c r="BG295" s="79">
        <v>0</v>
      </c>
      <c r="BH295" s="79">
        <v>0</v>
      </c>
      <c r="BI295" s="79">
        <v>0</v>
      </c>
      <c r="BJ295" s="79">
        <v>0</v>
      </c>
      <c r="BK295" s="79">
        <v>0</v>
      </c>
      <c r="BL295" s="79">
        <v>0</v>
      </c>
      <c r="BM295" s="79">
        <v>0</v>
      </c>
      <c r="BN295" s="79">
        <v>0</v>
      </c>
      <c r="BO295" s="79">
        <v>3866.47</v>
      </c>
    </row>
    <row r="296" spans="1:67">
      <c r="A296" s="66" t="s">
        <v>1978</v>
      </c>
      <c r="B296" s="66" t="str">
        <f>_xlfn.TEXTJOIN("_",,ERP_34[[#This Row],[LT Member -1*]],ERP_34[[#This Row],[Expense Category]],ERP_34[[#This Row],[Project Code*]])</f>
        <v>Ganesan, Srinivasan_MANAGED SERVICES_IT-FBT0798-OG-BE-00</v>
      </c>
      <c r="C296" s="67" t="s">
        <v>1136</v>
      </c>
      <c r="D296" s="67" t="s">
        <v>1345</v>
      </c>
      <c r="E296" s="67" t="s">
        <v>1344</v>
      </c>
      <c r="F296" s="67" t="s">
        <v>1346</v>
      </c>
      <c r="G296" s="68" t="s">
        <v>389</v>
      </c>
      <c r="H296" s="106" t="s">
        <v>1979</v>
      </c>
      <c r="I296" s="70"/>
      <c r="J296" s="70"/>
      <c r="K296" s="70" t="s">
        <v>508</v>
      </c>
      <c r="L296" s="70"/>
      <c r="M296" s="70"/>
      <c r="N296" s="70"/>
      <c r="O296" s="67" t="s">
        <v>432</v>
      </c>
      <c r="P296" s="67"/>
      <c r="Q296" s="71"/>
      <c r="R296" s="72">
        <v>14400</v>
      </c>
      <c r="S296" s="73">
        <v>10800</v>
      </c>
      <c r="T296" s="73">
        <v>14400</v>
      </c>
      <c r="U296" s="71">
        <f>ERP_34[[#This Row],[LE2 Final Submission]]-ERP_34[[#This Row],[LE3 Final Submission]]</f>
        <v>-3600</v>
      </c>
      <c r="V296" s="74"/>
      <c r="W296" s="75"/>
      <c r="X296" s="75"/>
      <c r="Y296" s="76">
        <v>1200</v>
      </c>
      <c r="Z296" s="76">
        <v>1200</v>
      </c>
      <c r="AA296" s="76">
        <v>1200</v>
      </c>
      <c r="AB296" s="76">
        <v>1200</v>
      </c>
      <c r="AC296" s="76">
        <v>1200</v>
      </c>
      <c r="AD296" s="76">
        <v>1200</v>
      </c>
      <c r="AE296" s="76">
        <v>1200</v>
      </c>
      <c r="AF296" s="76">
        <v>1200</v>
      </c>
      <c r="AG296" s="76">
        <v>1200</v>
      </c>
      <c r="AH296" s="77">
        <f t="shared" si="14"/>
        <v>10800</v>
      </c>
      <c r="AI296" s="108">
        <f>ERP_34[[#This Row],[2026 Working Total]]-ERP_34[[#This Row],[2026 LE0]]</f>
        <v>-3600</v>
      </c>
      <c r="AJ296" s="79"/>
      <c r="AK296" s="79"/>
      <c r="AL2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6" s="80"/>
      <c r="AN296" s="79">
        <f>ERP_34[[#This Row],[2026 Working Total to Budget/LE]]-ERP_34[[#This Row],[Giveback]]</f>
        <v>-3600</v>
      </c>
      <c r="AO296" s="81"/>
      <c r="AP296" s="81"/>
      <c r="AQ296" s="81"/>
      <c r="AR296" s="81"/>
      <c r="AS296" s="81">
        <v>1200</v>
      </c>
      <c r="AT296" s="81">
        <v>1200</v>
      </c>
      <c r="AU296" s="81">
        <v>1200</v>
      </c>
      <c r="AV296" s="81">
        <v>1200</v>
      </c>
      <c r="AW296" s="81">
        <v>1200</v>
      </c>
      <c r="AX296" s="81">
        <v>1200</v>
      </c>
      <c r="AY296" s="81">
        <v>1200</v>
      </c>
      <c r="AZ296" s="81">
        <v>1200</v>
      </c>
      <c r="BA296" s="81">
        <v>1200</v>
      </c>
      <c r="BB296" s="81">
        <v>10800</v>
      </c>
      <c r="BC296" s="79"/>
      <c r="BD296" s="79"/>
      <c r="BE296" s="79"/>
      <c r="BF296" s="79">
        <v>1200</v>
      </c>
      <c r="BG296" s="79">
        <v>1200</v>
      </c>
      <c r="BH296" s="79">
        <v>1200</v>
      </c>
      <c r="BI296" s="79">
        <v>1200</v>
      </c>
      <c r="BJ296" s="79">
        <v>1200</v>
      </c>
      <c r="BK296" s="79">
        <v>1200</v>
      </c>
      <c r="BL296" s="79">
        <v>1200</v>
      </c>
      <c r="BM296" s="79">
        <v>1200</v>
      </c>
      <c r="BN296" s="79">
        <v>1200</v>
      </c>
      <c r="BO296" s="79">
        <v>10800</v>
      </c>
    </row>
    <row r="297" spans="1:67">
      <c r="A297" s="66" t="s">
        <v>1984</v>
      </c>
      <c r="B297" s="66" t="str">
        <f>_xlfn.TEXTJOIN("_",,ERP_34[[#This Row],[LT Member -1*]],ERP_34[[#This Row],[Expense Category]],ERP_34[[#This Row],[Project Code*]])</f>
        <v>Ganesan, Srinivasan_MANAGED SERVICES_IT-FBT0799-OG-MX-00</v>
      </c>
      <c r="C297" s="67" t="s">
        <v>1136</v>
      </c>
      <c r="D297" s="67" t="s">
        <v>1345</v>
      </c>
      <c r="E297" s="67" t="s">
        <v>1344</v>
      </c>
      <c r="F297" s="67" t="s">
        <v>1346</v>
      </c>
      <c r="G297" s="68" t="s">
        <v>389</v>
      </c>
      <c r="H297" s="106" t="s">
        <v>1985</v>
      </c>
      <c r="I297" s="70"/>
      <c r="J297" s="70"/>
      <c r="K297" s="70" t="s">
        <v>510</v>
      </c>
      <c r="L297" s="70"/>
      <c r="M297" s="70"/>
      <c r="N297" s="70"/>
      <c r="O297" s="67" t="s">
        <v>432</v>
      </c>
      <c r="P297" s="67"/>
      <c r="Q297" s="71"/>
      <c r="R297" s="72">
        <v>3000</v>
      </c>
      <c r="S297" s="73">
        <v>2250</v>
      </c>
      <c r="T297" s="73">
        <v>3000</v>
      </c>
      <c r="U297" s="71">
        <f>ERP_34[[#This Row],[LE2 Final Submission]]-ERP_34[[#This Row],[LE3 Final Submission]]</f>
        <v>-750</v>
      </c>
      <c r="V297" s="74"/>
      <c r="W297" s="75"/>
      <c r="X297" s="75"/>
      <c r="Y297" s="76">
        <v>250</v>
      </c>
      <c r="Z297" s="76">
        <v>250</v>
      </c>
      <c r="AA297" s="76">
        <v>250</v>
      </c>
      <c r="AB297" s="76">
        <v>250</v>
      </c>
      <c r="AC297" s="76">
        <v>250</v>
      </c>
      <c r="AD297" s="76">
        <v>250</v>
      </c>
      <c r="AE297" s="76">
        <v>250</v>
      </c>
      <c r="AF297" s="76">
        <v>250</v>
      </c>
      <c r="AG297" s="76">
        <v>250</v>
      </c>
      <c r="AH297" s="77">
        <f t="shared" si="14"/>
        <v>2250</v>
      </c>
      <c r="AI297" s="108">
        <f>ERP_34[[#This Row],[2026 Working Total]]-ERP_34[[#This Row],[2026 LE0]]</f>
        <v>-750</v>
      </c>
      <c r="AJ297" s="79"/>
      <c r="AK297" s="79"/>
      <c r="AL2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7" s="80"/>
      <c r="AN297" s="79">
        <f>ERP_34[[#This Row],[2026 Working Total to Budget/LE]]-ERP_34[[#This Row],[Giveback]]</f>
        <v>-750</v>
      </c>
      <c r="AO297" s="81"/>
      <c r="AP297" s="81"/>
      <c r="AQ297" s="81"/>
      <c r="AR297" s="81"/>
      <c r="AS297" s="81">
        <v>250</v>
      </c>
      <c r="AT297" s="81">
        <v>250</v>
      </c>
      <c r="AU297" s="81">
        <v>250</v>
      </c>
      <c r="AV297" s="81">
        <v>250</v>
      </c>
      <c r="AW297" s="81">
        <v>250</v>
      </c>
      <c r="AX297" s="81">
        <v>250</v>
      </c>
      <c r="AY297" s="81">
        <v>250</v>
      </c>
      <c r="AZ297" s="81">
        <v>250</v>
      </c>
      <c r="BA297" s="81">
        <v>250</v>
      </c>
      <c r="BB297" s="81">
        <v>2250</v>
      </c>
      <c r="BC297" s="79"/>
      <c r="BD297" s="79"/>
      <c r="BE297" s="79"/>
      <c r="BF297" s="79">
        <v>250</v>
      </c>
      <c r="BG297" s="79">
        <v>250</v>
      </c>
      <c r="BH297" s="79">
        <v>250</v>
      </c>
      <c r="BI297" s="79">
        <v>250</v>
      </c>
      <c r="BJ297" s="79">
        <v>250</v>
      </c>
      <c r="BK297" s="79">
        <v>250</v>
      </c>
      <c r="BL297" s="79">
        <v>250</v>
      </c>
      <c r="BM297" s="79">
        <v>250</v>
      </c>
      <c r="BN297" s="79">
        <v>250</v>
      </c>
      <c r="BO297" s="79">
        <v>2250</v>
      </c>
    </row>
    <row r="298" spans="1:67">
      <c r="A298" s="66" t="s">
        <v>1302</v>
      </c>
      <c r="B298" s="66" t="str">
        <f>_xlfn.TEXTJOIN("_",,ERP_34[[#This Row],[LT Member -1*]],ERP_34[[#This Row],[Expense Category]],ERP_34[[#This Row],[Project Code*]])</f>
        <v>Meadows, Leslie_CONTRACTORS_IT-FBT0801-OG-US-00</v>
      </c>
      <c r="C298" s="67" t="s">
        <v>1136</v>
      </c>
      <c r="D298" s="67" t="s">
        <v>1135</v>
      </c>
      <c r="E298" s="67" t="s">
        <v>1156</v>
      </c>
      <c r="F298" s="67" t="s">
        <v>1137</v>
      </c>
      <c r="G298" s="68" t="s">
        <v>49</v>
      </c>
      <c r="H298" s="106" t="s">
        <v>1304</v>
      </c>
      <c r="I298" s="70"/>
      <c r="J298" s="70"/>
      <c r="K298" s="114" t="s">
        <v>137</v>
      </c>
      <c r="L298" s="70"/>
      <c r="M298" s="70"/>
      <c r="N298" s="70"/>
      <c r="O298" s="67" t="s">
        <v>25</v>
      </c>
      <c r="P298" s="67"/>
      <c r="Q298" s="71"/>
      <c r="R298" s="72">
        <v>216000</v>
      </c>
      <c r="S298" s="73">
        <v>178669.02</v>
      </c>
      <c r="T298" s="73">
        <v>216000</v>
      </c>
      <c r="U298" s="71">
        <f>ERP_34[[#This Row],[LE2 Final Submission]]-ERP_34[[#This Row],[LE3 Final Submission]]</f>
        <v>-37330.98000000001</v>
      </c>
      <c r="V298" s="74">
        <v>13712.98</v>
      </c>
      <c r="W298" s="75">
        <v>15359.13</v>
      </c>
      <c r="X298" s="75">
        <v>67493.539999999994</v>
      </c>
      <c r="Y298" s="76">
        <v>4300</v>
      </c>
      <c r="Z298" s="76">
        <f>40795-4991.63</f>
        <v>35803.370000000003</v>
      </c>
      <c r="AA298" s="76">
        <v>6000</v>
      </c>
      <c r="AB298" s="76">
        <v>6000</v>
      </c>
      <c r="AC298" s="76">
        <v>6000</v>
      </c>
      <c r="AD298" s="76">
        <v>6000</v>
      </c>
      <c r="AE298" s="76">
        <v>6000</v>
      </c>
      <c r="AF298" s="76">
        <v>6000</v>
      </c>
      <c r="AG298" s="76">
        <v>6000</v>
      </c>
      <c r="AH298" s="174">
        <f t="shared" si="14"/>
        <v>178669.02</v>
      </c>
      <c r="AI298" s="127">
        <f>ERP_34[[#This Row],[2026 Working Total]]-ERP_34[[#This Row],[2026 LE0]]</f>
        <v>-37330.98000000001</v>
      </c>
      <c r="AJ298" s="79"/>
      <c r="AK298" s="79"/>
      <c r="AL29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8" s="80">
        <v>-32339</v>
      </c>
      <c r="AN298" s="79">
        <f>ERP_34[[#This Row],[2026 Working Total to Budget/LE]]-ERP_34[[#This Row],[Giveback]]</f>
        <v>-4991.9800000000105</v>
      </c>
      <c r="AO298" s="81" t="s">
        <v>1179</v>
      </c>
      <c r="AP298" s="81">
        <v>13712.98</v>
      </c>
      <c r="AQ298" s="81">
        <v>15359.13</v>
      </c>
      <c r="AR298" s="81">
        <v>67493.539999999994</v>
      </c>
      <c r="AS298" s="81">
        <v>4300</v>
      </c>
      <c r="AT298" s="81">
        <v>35803.370000000003</v>
      </c>
      <c r="AU298" s="81">
        <v>6000</v>
      </c>
      <c r="AV298" s="81">
        <v>6000</v>
      </c>
      <c r="AW298" s="81">
        <v>6000</v>
      </c>
      <c r="AX298" s="81">
        <v>6000</v>
      </c>
      <c r="AY298" s="81">
        <v>6000</v>
      </c>
      <c r="AZ298" s="81">
        <v>6000</v>
      </c>
      <c r="BA298" s="81">
        <v>6000</v>
      </c>
      <c r="BB298" s="81">
        <v>178669.02</v>
      </c>
      <c r="BC298" s="79">
        <v>13712.98</v>
      </c>
      <c r="BD298" s="79">
        <v>15359.13</v>
      </c>
      <c r="BE298" s="79">
        <v>67493.539999999994</v>
      </c>
      <c r="BF298" s="79">
        <v>18693</v>
      </c>
      <c r="BG298" s="79">
        <v>18693</v>
      </c>
      <c r="BH298" s="79">
        <v>18693</v>
      </c>
      <c r="BI298" s="79">
        <v>18693</v>
      </c>
      <c r="BJ298" s="79">
        <v>18693</v>
      </c>
      <c r="BK298" s="79">
        <v>18693</v>
      </c>
      <c r="BL298" s="79">
        <v>18693</v>
      </c>
      <c r="BM298" s="79">
        <v>18693</v>
      </c>
      <c r="BN298" s="79">
        <v>18693</v>
      </c>
      <c r="BO298" s="79">
        <v>264802.65000000002</v>
      </c>
    </row>
    <row r="299" spans="1:67">
      <c r="A299" s="129"/>
      <c r="B299" s="66"/>
      <c r="C299" s="67" t="s">
        <v>1136</v>
      </c>
      <c r="D299" s="67" t="s">
        <v>1345</v>
      </c>
      <c r="E299" s="67" t="s">
        <v>1345</v>
      </c>
      <c r="F299" s="67" t="s">
        <v>1345</v>
      </c>
      <c r="G299" s="68" t="s">
        <v>389</v>
      </c>
      <c r="H299" s="106" t="s">
        <v>2020</v>
      </c>
      <c r="I299" s="67"/>
      <c r="J299" s="67"/>
      <c r="K299" s="70" t="s">
        <v>530</v>
      </c>
      <c r="L299" s="111"/>
      <c r="M299" s="70"/>
      <c r="N299" s="70"/>
      <c r="O299" s="67" t="s">
        <v>531</v>
      </c>
      <c r="P299" s="70" t="s">
        <v>2021</v>
      </c>
      <c r="Q299" s="130"/>
      <c r="R299" s="131"/>
      <c r="S299" s="132">
        <v>26000</v>
      </c>
      <c r="T299" s="133"/>
      <c r="U299" s="134"/>
      <c r="V299" s="74"/>
      <c r="W299" s="75"/>
      <c r="X299" s="75"/>
      <c r="Y299" s="80"/>
      <c r="Z299" s="80">
        <v>13000</v>
      </c>
      <c r="AA299" s="80"/>
      <c r="AB299" s="80"/>
      <c r="AC299" s="80"/>
      <c r="AD299" s="80"/>
      <c r="AE299" s="80">
        <v>13000</v>
      </c>
      <c r="AF299" s="80"/>
      <c r="AG299" s="80"/>
      <c r="AH299" s="101">
        <f t="shared" si="14"/>
        <v>26000</v>
      </c>
      <c r="AI299" s="108">
        <f>ERP_34[[#This Row],[2026 Working Total]]-ERP_34[[#This Row],[2026 LE0]]</f>
        <v>26000</v>
      </c>
      <c r="AJ299" s="79"/>
      <c r="AK299" s="79"/>
      <c r="AL29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299" s="80"/>
      <c r="AN299" s="79"/>
      <c r="AO299" s="81"/>
      <c r="AP299" s="81"/>
      <c r="AQ299" s="81"/>
      <c r="AR299" s="81"/>
      <c r="AS299" s="81"/>
      <c r="AT299" s="81">
        <v>13000</v>
      </c>
      <c r="AU299" s="81"/>
      <c r="AV299" s="81"/>
      <c r="AW299" s="81"/>
      <c r="AX299" s="81"/>
      <c r="AY299" s="81">
        <v>13000</v>
      </c>
      <c r="AZ299" s="81"/>
      <c r="BA299" s="81"/>
      <c r="BB299" s="81">
        <v>26000</v>
      </c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</row>
    <row r="300" spans="1:67">
      <c r="A300" s="66" t="s">
        <v>2058</v>
      </c>
      <c r="B300" s="66" t="str">
        <f>_xlfn.TEXTJOIN("_",,ERP_34[[#This Row],[LT Member -1*]],ERP_34[[#This Row],[Expense Category]],ERP_34[[#This Row],[Project Code*]])</f>
        <v>Hovanyetz, Mike_MANAGED SERVICES_IT-FBT0824-OT-US-00</v>
      </c>
      <c r="C300" s="67" t="s">
        <v>1136</v>
      </c>
      <c r="D300" s="67" t="s">
        <v>1345</v>
      </c>
      <c r="E300" s="67" t="s">
        <v>1480</v>
      </c>
      <c r="F300" s="67" t="s">
        <v>1346</v>
      </c>
      <c r="G300" s="68" t="s">
        <v>389</v>
      </c>
      <c r="H300" s="106" t="s">
        <v>2020</v>
      </c>
      <c r="I300" s="70"/>
      <c r="J300" s="70"/>
      <c r="K300" s="70" t="s">
        <v>530</v>
      </c>
      <c r="L300" s="70"/>
      <c r="M300" s="70"/>
      <c r="N300" s="70"/>
      <c r="O300" s="67" t="s">
        <v>531</v>
      </c>
      <c r="P300" s="70" t="s">
        <v>2021</v>
      </c>
      <c r="Q300" s="71"/>
      <c r="R300" s="72">
        <v>26000</v>
      </c>
      <c r="S300" s="73">
        <v>0</v>
      </c>
      <c r="T300" s="73">
        <v>26000</v>
      </c>
      <c r="U300" s="71">
        <f>ERP_34[[#This Row],[LE2 Final Submission]]-ERP_34[[#This Row],[LE3 Final Submission]]</f>
        <v>-26000</v>
      </c>
      <c r="V300" s="74"/>
      <c r="W300" s="75"/>
      <c r="X300" s="75"/>
      <c r="Y300" s="76"/>
      <c r="Z300" s="76">
        <f>13000-13000</f>
        <v>0</v>
      </c>
      <c r="AA300" s="109">
        <v>0</v>
      </c>
      <c r="AB300" s="109">
        <v>0</v>
      </c>
      <c r="AC300" s="109">
        <v>0</v>
      </c>
      <c r="AD300" s="109">
        <v>0</v>
      </c>
      <c r="AE300" s="76">
        <f>13000-13000</f>
        <v>0</v>
      </c>
      <c r="AF300" s="109">
        <v>0</v>
      </c>
      <c r="AG300" s="109">
        <v>0</v>
      </c>
      <c r="AH300" s="77">
        <f t="shared" si="14"/>
        <v>0</v>
      </c>
      <c r="AI300" s="108">
        <f>ERP_34[[#This Row],[2026 Working Total]]-ERP_34[[#This Row],[2026 LE0]]</f>
        <v>-26000</v>
      </c>
      <c r="AJ300" s="79"/>
      <c r="AK300" s="79"/>
      <c r="AL30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0" s="80"/>
      <c r="AN300" s="79">
        <f>ERP_34[[#This Row],[2026 Working Total to Budget/LE]]-ERP_34[[#This Row],[Giveback]]</f>
        <v>-26000</v>
      </c>
      <c r="AO300" s="81"/>
      <c r="AP300" s="81"/>
      <c r="AQ300" s="81"/>
      <c r="AR300" s="81"/>
      <c r="AS300" s="81"/>
      <c r="AT300" s="81">
        <v>0</v>
      </c>
      <c r="AU300" s="81">
        <v>0</v>
      </c>
      <c r="AV300" s="81">
        <v>0</v>
      </c>
      <c r="AW300" s="81">
        <v>0</v>
      </c>
      <c r="AX300" s="81">
        <v>0</v>
      </c>
      <c r="AY300" s="81">
        <v>0</v>
      </c>
      <c r="AZ300" s="81">
        <v>0</v>
      </c>
      <c r="BA300" s="81">
        <v>0</v>
      </c>
      <c r="BB300" s="81">
        <v>0</v>
      </c>
      <c r="BC300" s="79"/>
      <c r="BD300" s="79"/>
      <c r="BE300" s="79"/>
      <c r="BF300" s="79"/>
      <c r="BG300" s="79">
        <v>13000</v>
      </c>
      <c r="BH300" s="79">
        <v>0</v>
      </c>
      <c r="BI300" s="79">
        <v>0</v>
      </c>
      <c r="BJ300" s="79">
        <v>0</v>
      </c>
      <c r="BK300" s="79">
        <v>0</v>
      </c>
      <c r="BL300" s="79">
        <v>13000</v>
      </c>
      <c r="BM300" s="79">
        <v>0</v>
      </c>
      <c r="BN300" s="79">
        <v>0</v>
      </c>
      <c r="BO300" s="79">
        <v>26000</v>
      </c>
    </row>
    <row r="301" spans="1:67">
      <c r="A301" s="66" t="s">
        <v>1306</v>
      </c>
      <c r="B301" s="66" t="str">
        <f>_xlfn.TEXTJOIN("_",,ERP_34[[#This Row],[LT Member -1*]],ERP_34[[#This Row],[Expense Category]],ERP_34[[#This Row],[Project Code*]])</f>
        <v>Meadows, Leslie_CONTRACTORS_IT-FBT0826-OG-US-00</v>
      </c>
      <c r="C301" s="67" t="s">
        <v>1136</v>
      </c>
      <c r="D301" s="67" t="s">
        <v>1135</v>
      </c>
      <c r="E301" s="67" t="s">
        <v>1156</v>
      </c>
      <c r="F301" s="67" t="s">
        <v>1137</v>
      </c>
      <c r="G301" s="68" t="s">
        <v>49</v>
      </c>
      <c r="H301" s="106" t="s">
        <v>1308</v>
      </c>
      <c r="I301" s="70"/>
      <c r="J301" s="70"/>
      <c r="K301" s="114" t="s">
        <v>139</v>
      </c>
      <c r="L301" s="70"/>
      <c r="M301" s="70"/>
      <c r="N301" s="70"/>
      <c r="O301" s="67" t="s">
        <v>25</v>
      </c>
      <c r="P301" s="67"/>
      <c r="Q301" s="71"/>
      <c r="R301" s="72">
        <v>96720</v>
      </c>
      <c r="S301" s="73">
        <v>96720.44</v>
      </c>
      <c r="T301" s="73">
        <v>96720</v>
      </c>
      <c r="U301" s="71">
        <f>ERP_34[[#This Row],[LE2 Final Submission]]-ERP_34[[#This Row],[LE3 Final Submission]]</f>
        <v>0.44000000000232831</v>
      </c>
      <c r="V301" s="74">
        <v>6643.44</v>
      </c>
      <c r="W301" s="75">
        <v>5644</v>
      </c>
      <c r="X301" s="75">
        <v>8304</v>
      </c>
      <c r="Y301" s="76">
        <v>11029</v>
      </c>
      <c r="Z301" s="76">
        <v>7812</v>
      </c>
      <c r="AA301" s="76">
        <v>8184</v>
      </c>
      <c r="AB301" s="76">
        <v>8556</v>
      </c>
      <c r="AC301" s="76">
        <v>7812</v>
      </c>
      <c r="AD301" s="76">
        <v>8184</v>
      </c>
      <c r="AE301" s="76">
        <v>8184</v>
      </c>
      <c r="AF301" s="76">
        <v>7812</v>
      </c>
      <c r="AG301" s="76">
        <v>8556</v>
      </c>
      <c r="AH301" s="77">
        <f t="shared" si="14"/>
        <v>96720.44</v>
      </c>
      <c r="AI301" s="108">
        <f>ERP_34[[#This Row],[2026 Working Total]]-ERP_34[[#This Row],[2026 LE0]]</f>
        <v>0.44000000000232831</v>
      </c>
      <c r="AJ301" s="79"/>
      <c r="AK301" s="79"/>
      <c r="AL30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1" s="80"/>
      <c r="AN301" s="79">
        <f>ERP_34[[#This Row],[2026 Working Total to Budget/LE]]-ERP_34[[#This Row],[Giveback]]</f>
        <v>0.44000000000232831</v>
      </c>
      <c r="AO301" s="81"/>
      <c r="AP301" s="81">
        <v>6643.44</v>
      </c>
      <c r="AQ301" s="81">
        <v>5644</v>
      </c>
      <c r="AR301" s="81">
        <v>8304</v>
      </c>
      <c r="AS301" s="81">
        <v>11029</v>
      </c>
      <c r="AT301" s="81">
        <v>7812</v>
      </c>
      <c r="AU301" s="81">
        <v>8184</v>
      </c>
      <c r="AV301" s="81">
        <v>8556</v>
      </c>
      <c r="AW301" s="81">
        <v>7812</v>
      </c>
      <c r="AX301" s="81">
        <v>8184</v>
      </c>
      <c r="AY301" s="81">
        <v>8184</v>
      </c>
      <c r="AZ301" s="81">
        <v>7812</v>
      </c>
      <c r="BA301" s="81">
        <v>8556</v>
      </c>
      <c r="BB301" s="81">
        <v>96720.44</v>
      </c>
      <c r="BC301" s="79">
        <v>6643.44</v>
      </c>
      <c r="BD301" s="79">
        <v>5644</v>
      </c>
      <c r="BE301" s="79">
        <v>8304</v>
      </c>
      <c r="BF301" s="79">
        <v>8184</v>
      </c>
      <c r="BG301" s="79">
        <v>7812</v>
      </c>
      <c r="BH301" s="79">
        <v>8184</v>
      </c>
      <c r="BI301" s="79">
        <v>8556</v>
      </c>
      <c r="BJ301" s="79">
        <v>7812</v>
      </c>
      <c r="BK301" s="79">
        <v>8184</v>
      </c>
      <c r="BL301" s="79">
        <v>8184</v>
      </c>
      <c r="BM301" s="79">
        <v>7812</v>
      </c>
      <c r="BN301" s="79">
        <v>8556</v>
      </c>
      <c r="BO301" s="79">
        <v>93875.44</v>
      </c>
    </row>
    <row r="302" spans="1:67">
      <c r="A302" s="66" t="s">
        <v>2105</v>
      </c>
      <c r="B302" s="66" t="str">
        <f>_xlfn.TEXTJOIN("_",,ERP_34[[#This Row],[LT Member -1*]],ERP_34[[#This Row],[Expense Category]],ERP_34[[#This Row],[Project Code*]])</f>
        <v>McGettigan, David_MANAGED SERVICES_IT-FBT0830-OT-US-00</v>
      </c>
      <c r="C302" s="67" t="s">
        <v>1136</v>
      </c>
      <c r="D302" s="67" t="s">
        <v>1567</v>
      </c>
      <c r="E302" s="67" t="s">
        <v>1567</v>
      </c>
      <c r="F302" s="67" t="s">
        <v>1567</v>
      </c>
      <c r="G302" s="68" t="s">
        <v>389</v>
      </c>
      <c r="H302" s="106" t="s">
        <v>2107</v>
      </c>
      <c r="I302" s="70"/>
      <c r="J302" s="70"/>
      <c r="K302" s="141" t="s">
        <v>576</v>
      </c>
      <c r="L302" s="70"/>
      <c r="M302" s="70"/>
      <c r="N302" s="70"/>
      <c r="O302" s="67" t="s">
        <v>272</v>
      </c>
      <c r="P302" s="67"/>
      <c r="Q302" s="71"/>
      <c r="R302" s="72">
        <v>-30</v>
      </c>
      <c r="S302" s="73">
        <v>-30</v>
      </c>
      <c r="T302" s="73">
        <v>-30</v>
      </c>
      <c r="U302" s="71">
        <f>ERP_34[[#This Row],[LE2 Final Submission]]-ERP_34[[#This Row],[LE3 Final Submission]]</f>
        <v>0</v>
      </c>
      <c r="V302" s="74"/>
      <c r="W302" s="75"/>
      <c r="X302" s="75">
        <v>-30</v>
      </c>
      <c r="Y302" s="109">
        <v>0</v>
      </c>
      <c r="Z302" s="109">
        <v>0</v>
      </c>
      <c r="AA302" s="76">
        <v>0</v>
      </c>
      <c r="AB302" s="109">
        <v>0</v>
      </c>
      <c r="AC302" s="109">
        <v>0</v>
      </c>
      <c r="AD302" s="76">
        <v>0</v>
      </c>
      <c r="AE302" s="109">
        <v>0</v>
      </c>
      <c r="AF302" s="109">
        <v>0</v>
      </c>
      <c r="AG302" s="76">
        <v>0</v>
      </c>
      <c r="AH302" s="143">
        <f t="shared" si="14"/>
        <v>-30</v>
      </c>
      <c r="AI302" s="144">
        <f>ERP_34[[#This Row],[2026 Working Total]]-ERP_34[[#This Row],[2026 LE0]]</f>
        <v>0</v>
      </c>
      <c r="AJ302" s="79"/>
      <c r="AK302" s="79"/>
      <c r="AL3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2" s="80"/>
      <c r="AN302" s="79">
        <f>ERP_34[[#This Row],[2026 Working Total to Budget/LE]]-ERP_34[[#This Row],[Giveback]]</f>
        <v>0</v>
      </c>
      <c r="AO302" s="81"/>
      <c r="AP302" s="81"/>
      <c r="AQ302" s="81"/>
      <c r="AR302" s="81">
        <v>-30</v>
      </c>
      <c r="AS302" s="81">
        <v>0</v>
      </c>
      <c r="AT302" s="81">
        <v>0</v>
      </c>
      <c r="AU302" s="81">
        <v>0</v>
      </c>
      <c r="AV302" s="81">
        <v>0</v>
      </c>
      <c r="AW302" s="81">
        <v>0</v>
      </c>
      <c r="AX302" s="81">
        <v>0</v>
      </c>
      <c r="AY302" s="81">
        <v>0</v>
      </c>
      <c r="AZ302" s="81">
        <v>0</v>
      </c>
      <c r="BA302" s="81">
        <v>0</v>
      </c>
      <c r="BB302" s="81">
        <v>-30</v>
      </c>
      <c r="BC302" s="79"/>
      <c r="BD302" s="79"/>
      <c r="BE302" s="79">
        <v>-30</v>
      </c>
      <c r="BF302" s="79">
        <v>0</v>
      </c>
      <c r="BG302" s="79">
        <v>0</v>
      </c>
      <c r="BH302" s="79">
        <v>5000</v>
      </c>
      <c r="BI302" s="79">
        <v>0</v>
      </c>
      <c r="BJ302" s="79">
        <v>0</v>
      </c>
      <c r="BK302" s="79">
        <v>5000</v>
      </c>
      <c r="BL302" s="79">
        <v>0</v>
      </c>
      <c r="BM302" s="79">
        <v>0</v>
      </c>
      <c r="BN302" s="79">
        <v>-15000</v>
      </c>
      <c r="BO302" s="79">
        <v>-5030</v>
      </c>
    </row>
    <row r="303" spans="1:67">
      <c r="A303" s="66" t="s">
        <v>1310</v>
      </c>
      <c r="B303" s="66" t="str">
        <f>_xlfn.TEXTJOIN("_",,ERP_34[[#This Row],[LT Member -1*]],ERP_34[[#This Row],[Expense Category]],ERP_34[[#This Row],[Project Code*]])</f>
        <v>McCormick, Pete_CONTRACTORS_IT-FBT0831-OT-US-00</v>
      </c>
      <c r="C303" s="67" t="s">
        <v>1136</v>
      </c>
      <c r="D303" s="67" t="s">
        <v>1135</v>
      </c>
      <c r="E303" s="67" t="s">
        <v>1145</v>
      </c>
      <c r="F303" s="67" t="s">
        <v>1137</v>
      </c>
      <c r="G303" s="68" t="s">
        <v>49</v>
      </c>
      <c r="H303" s="106" t="s">
        <v>1312</v>
      </c>
      <c r="I303" s="70"/>
      <c r="J303" s="70"/>
      <c r="K303" s="70" t="s">
        <v>141</v>
      </c>
      <c r="L303" s="70"/>
      <c r="M303" s="70"/>
      <c r="N303" s="70"/>
      <c r="O303" s="67" t="s">
        <v>25</v>
      </c>
      <c r="P303" s="67"/>
      <c r="Q303" s="71"/>
      <c r="R303" s="72">
        <v>49000</v>
      </c>
      <c r="S303" s="73">
        <v>48800.63</v>
      </c>
      <c r="T303" s="73">
        <v>49000</v>
      </c>
      <c r="U303" s="71">
        <f>ERP_34[[#This Row],[LE2 Final Submission]]-ERP_34[[#This Row],[LE3 Final Submission]]</f>
        <v>-199.37000000000262</v>
      </c>
      <c r="V303" s="74">
        <v>3356.36</v>
      </c>
      <c r="W303" s="75">
        <v>3758.72</v>
      </c>
      <c r="X303" s="75">
        <v>4698.63</v>
      </c>
      <c r="Y303" s="109">
        <v>0</v>
      </c>
      <c r="Z303" s="109">
        <v>0</v>
      </c>
      <c r="AA303" s="76">
        <v>17384.919999999998</v>
      </c>
      <c r="AB303" s="109">
        <v>0</v>
      </c>
      <c r="AC303" s="109">
        <v>0</v>
      </c>
      <c r="AD303" s="76">
        <v>12250</v>
      </c>
      <c r="AE303" s="109">
        <v>0</v>
      </c>
      <c r="AF303" s="109">
        <v>0</v>
      </c>
      <c r="AG303" s="76">
        <v>7352</v>
      </c>
      <c r="AH303" s="77">
        <f t="shared" si="14"/>
        <v>48800.63</v>
      </c>
      <c r="AI303" s="108">
        <f>ERP_34[[#This Row],[2026 Working Total]]-ERP_34[[#This Row],[2026 LE0]]</f>
        <v>-199.37000000000262</v>
      </c>
      <c r="AJ303" s="79"/>
      <c r="AK303" s="79"/>
      <c r="AL303" s="79">
        <f>ERP_34[[#This Row],[AP01]]+ERP_34[[#This Row],[AP02]]+ERP_34[[#This Row],[AP03]]+ERP_34[[#This Row],[AP04]]-ERP_34[[#This Row],[AP01 LE2]]-ERP_34[[#This Row],[AP02 LE2]]-ERP_34[[#This Row],[AP03 LE2]]-ERP_34[[#This Row],[AP04 LE2]]</f>
        <v>-9.0949470177292824E-13</v>
      </c>
      <c r="AM303" s="80"/>
      <c r="AN303" s="79">
        <f>ERP_34[[#This Row],[2026 Working Total to Budget/LE]]-ERP_34[[#This Row],[Giveback]]</f>
        <v>-199.37000000000262</v>
      </c>
      <c r="AO303" s="81"/>
      <c r="AP303" s="81">
        <v>3356.36</v>
      </c>
      <c r="AQ303" s="81">
        <v>3758.72</v>
      </c>
      <c r="AR303" s="81">
        <v>4698.63</v>
      </c>
      <c r="AS303" s="81">
        <v>0</v>
      </c>
      <c r="AT303" s="81">
        <v>0</v>
      </c>
      <c r="AU303" s="81">
        <v>17384.919999999998</v>
      </c>
      <c r="AV303" s="81">
        <v>0</v>
      </c>
      <c r="AW303" s="81">
        <v>0</v>
      </c>
      <c r="AX303" s="81">
        <v>12250</v>
      </c>
      <c r="AY303" s="81">
        <v>0</v>
      </c>
      <c r="AZ303" s="81">
        <v>0</v>
      </c>
      <c r="BA303" s="81">
        <v>7352</v>
      </c>
      <c r="BB303" s="81">
        <v>48800.63</v>
      </c>
      <c r="BC303" s="79">
        <v>3356.36</v>
      </c>
      <c r="BD303" s="79">
        <v>3758.72</v>
      </c>
      <c r="BE303" s="79">
        <v>4698.63</v>
      </c>
      <c r="BF303" s="79">
        <v>0</v>
      </c>
      <c r="BG303" s="79">
        <v>0</v>
      </c>
      <c r="BH303" s="79">
        <v>17384.919999999998</v>
      </c>
      <c r="BI303" s="79">
        <v>0</v>
      </c>
      <c r="BJ303" s="79">
        <v>0</v>
      </c>
      <c r="BK303" s="79">
        <v>12250</v>
      </c>
      <c r="BL303" s="79">
        <v>0</v>
      </c>
      <c r="BM303" s="79">
        <v>0</v>
      </c>
      <c r="BN303" s="79">
        <v>12250</v>
      </c>
      <c r="BO303" s="79">
        <v>53698.63</v>
      </c>
    </row>
    <row r="304" spans="1:67">
      <c r="A304" s="66" t="s">
        <v>1314</v>
      </c>
      <c r="B304" s="66" t="str">
        <f>_xlfn.TEXTJOIN("_",,ERP_34[[#This Row],[LT Member -1*]],ERP_34[[#This Row],[Expense Category]],ERP_34[[#This Row],[Project Code*]])</f>
        <v>McCormick, Pete_CONTRACTORS_IT-FBT0832-OT-US-00</v>
      </c>
      <c r="C304" s="67" t="s">
        <v>1136</v>
      </c>
      <c r="D304" s="67" t="s">
        <v>1135</v>
      </c>
      <c r="E304" s="67" t="s">
        <v>1145</v>
      </c>
      <c r="F304" s="67" t="s">
        <v>1137</v>
      </c>
      <c r="G304" s="68" t="s">
        <v>49</v>
      </c>
      <c r="H304" s="106" t="s">
        <v>1316</v>
      </c>
      <c r="I304" s="70"/>
      <c r="J304" s="70"/>
      <c r="K304" s="70" t="s">
        <v>143</v>
      </c>
      <c r="L304" s="70"/>
      <c r="M304" s="70"/>
      <c r="N304" s="70"/>
      <c r="O304" s="67" t="s">
        <v>25</v>
      </c>
      <c r="P304" s="67"/>
      <c r="Q304" s="71"/>
      <c r="R304" s="72">
        <v>23000</v>
      </c>
      <c r="S304" s="73">
        <v>21621.640000000003</v>
      </c>
      <c r="T304" s="73">
        <v>23000</v>
      </c>
      <c r="U304" s="71">
        <f>ERP_34[[#This Row],[LE2 Final Submission]]-ERP_34[[#This Row],[LE3 Final Submission]]</f>
        <v>-1378.3599999999969</v>
      </c>
      <c r="V304" s="74">
        <v>1355</v>
      </c>
      <c r="W304" s="75">
        <v>1517.05</v>
      </c>
      <c r="X304" s="75">
        <v>1896.64</v>
      </c>
      <c r="Y304" s="109">
        <v>0</v>
      </c>
      <c r="Z304" s="109">
        <v>0</v>
      </c>
      <c r="AA304" s="76">
        <v>13000</v>
      </c>
      <c r="AB304" s="109">
        <v>0</v>
      </c>
      <c r="AC304" s="109">
        <v>0</v>
      </c>
      <c r="AD304" s="76">
        <v>3852.95</v>
      </c>
      <c r="AE304" s="109">
        <v>0</v>
      </c>
      <c r="AF304" s="109">
        <v>0</v>
      </c>
      <c r="AG304" s="109">
        <v>0</v>
      </c>
      <c r="AH304" s="77">
        <f t="shared" si="14"/>
        <v>21621.640000000003</v>
      </c>
      <c r="AI304" s="108">
        <f>ERP_34[[#This Row],[2026 Working Total]]-ERP_34[[#This Row],[2026 LE0]]</f>
        <v>-1378.3599999999969</v>
      </c>
      <c r="AJ304" s="79"/>
      <c r="AK304" s="79"/>
      <c r="AL304" s="79">
        <f>ERP_34[[#This Row],[AP01]]+ERP_34[[#This Row],[AP02]]+ERP_34[[#This Row],[AP03]]+ERP_34[[#This Row],[AP04]]-ERP_34[[#This Row],[AP01 LE2]]-ERP_34[[#This Row],[AP02 LE2]]-ERP_34[[#This Row],[AP03 LE2]]-ERP_34[[#This Row],[AP04 LE2]]</f>
        <v>4.5474735088646412E-13</v>
      </c>
      <c r="AM304" s="80"/>
      <c r="AN304" s="79">
        <f>ERP_34[[#This Row],[2026 Working Total to Budget/LE]]-ERP_34[[#This Row],[Giveback]]</f>
        <v>-1378.3599999999969</v>
      </c>
      <c r="AO304" s="81"/>
      <c r="AP304" s="81">
        <v>1355</v>
      </c>
      <c r="AQ304" s="81">
        <v>1517.05</v>
      </c>
      <c r="AR304" s="81">
        <v>1896.64</v>
      </c>
      <c r="AS304" s="81">
        <v>0</v>
      </c>
      <c r="AT304" s="81">
        <v>0</v>
      </c>
      <c r="AU304" s="81">
        <v>13000</v>
      </c>
      <c r="AV304" s="81">
        <v>0</v>
      </c>
      <c r="AW304" s="81">
        <v>0</v>
      </c>
      <c r="AX304" s="81">
        <v>3852.95</v>
      </c>
      <c r="AY304" s="81">
        <v>0</v>
      </c>
      <c r="AZ304" s="81">
        <v>0</v>
      </c>
      <c r="BA304" s="81">
        <v>0</v>
      </c>
      <c r="BB304" s="81">
        <v>21621.640000000003</v>
      </c>
      <c r="BC304" s="79">
        <v>1355</v>
      </c>
      <c r="BD304" s="79">
        <v>1517.05</v>
      </c>
      <c r="BE304" s="79">
        <v>1896.64</v>
      </c>
      <c r="BF304" s="79">
        <v>0</v>
      </c>
      <c r="BG304" s="79">
        <v>0</v>
      </c>
      <c r="BH304" s="79">
        <v>13000</v>
      </c>
      <c r="BI304" s="79">
        <v>0</v>
      </c>
      <c r="BJ304" s="79">
        <v>0</v>
      </c>
      <c r="BK304" s="79">
        <v>3852.95</v>
      </c>
      <c r="BL304" s="79">
        <v>0</v>
      </c>
      <c r="BM304" s="79">
        <v>0</v>
      </c>
      <c r="BN304" s="79">
        <v>0</v>
      </c>
      <c r="BO304" s="79">
        <v>21621.640000000003</v>
      </c>
    </row>
    <row r="305" spans="1:67">
      <c r="A305" s="66" t="s">
        <v>1617</v>
      </c>
      <c r="B305" s="66" t="str">
        <f>_xlfn.TEXTJOIN("_",,ERP_34[[#This Row],[LT Member -1*]],ERP_34[[#This Row],[Expense Category]],ERP_34[[#This Row],[Project Code*]])</f>
        <v>McGettigan, David_CONTRACTORS_IT-FBT0934-OT-US-00</v>
      </c>
      <c r="C305" s="67" t="s">
        <v>1136</v>
      </c>
      <c r="D305" s="67" t="s">
        <v>1567</v>
      </c>
      <c r="E305" s="67" t="s">
        <v>1567</v>
      </c>
      <c r="F305" s="67" t="s">
        <v>1567</v>
      </c>
      <c r="G305" s="68" t="s">
        <v>49</v>
      </c>
      <c r="H305" s="106" t="s">
        <v>1619</v>
      </c>
      <c r="I305" s="70"/>
      <c r="J305" s="70"/>
      <c r="K305" s="141" t="s">
        <v>302</v>
      </c>
      <c r="L305" s="70"/>
      <c r="M305" s="70"/>
      <c r="N305" s="70"/>
      <c r="O305" s="67" t="s">
        <v>303</v>
      </c>
      <c r="P305" s="67"/>
      <c r="Q305" s="71"/>
      <c r="R305" s="72">
        <v>-2578</v>
      </c>
      <c r="S305" s="73">
        <v>-51385.37</v>
      </c>
      <c r="T305" s="73">
        <v>-2578</v>
      </c>
      <c r="U305" s="71">
        <f>ERP_34[[#This Row],[LE2 Final Submission]]-ERP_34[[#This Row],[LE3 Final Submission]]</f>
        <v>-48807.37</v>
      </c>
      <c r="V305" s="74"/>
      <c r="W305" s="75"/>
      <c r="X305" s="75">
        <v>-2578.37</v>
      </c>
      <c r="Y305" s="109">
        <v>0</v>
      </c>
      <c r="Z305" s="109">
        <v>-48807</v>
      </c>
      <c r="AA305" s="109">
        <v>0</v>
      </c>
      <c r="AB305" s="109">
        <v>0</v>
      </c>
      <c r="AC305" s="109">
        <v>0</v>
      </c>
      <c r="AD305" s="109">
        <v>0</v>
      </c>
      <c r="AE305" s="109">
        <v>0</v>
      </c>
      <c r="AF305" s="109">
        <v>0</v>
      </c>
      <c r="AG305" s="109">
        <v>0</v>
      </c>
      <c r="AH305" s="143">
        <f t="shared" si="14"/>
        <v>-51385.37</v>
      </c>
      <c r="AI305" s="144">
        <f>ERP_34[[#This Row],[2026 Working Total]]-ERP_34[[#This Row],[2026 LE0]]</f>
        <v>-48807.37</v>
      </c>
      <c r="AJ305" s="79"/>
      <c r="AK305" s="79"/>
      <c r="AL30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5" s="80"/>
      <c r="AN305" s="79">
        <f>ERP_34[[#This Row],[2026 Working Total to Budget/LE]]-ERP_34[[#This Row],[Giveback]]</f>
        <v>-48807.37</v>
      </c>
      <c r="AO305" s="81"/>
      <c r="AP305" s="81"/>
      <c r="AQ305" s="81"/>
      <c r="AR305" s="81">
        <v>-2578.37</v>
      </c>
      <c r="AS305" s="81">
        <v>0</v>
      </c>
      <c r="AT305" s="81">
        <v>-48807</v>
      </c>
      <c r="AU305" s="81">
        <v>0</v>
      </c>
      <c r="AV305" s="81">
        <v>0</v>
      </c>
      <c r="AW305" s="81">
        <v>0</v>
      </c>
      <c r="AX305" s="81">
        <v>0</v>
      </c>
      <c r="AY305" s="81">
        <v>0</v>
      </c>
      <c r="AZ305" s="81">
        <v>0</v>
      </c>
      <c r="BA305" s="81">
        <v>0</v>
      </c>
      <c r="BB305" s="81">
        <v>-51385.37</v>
      </c>
      <c r="BC305" s="79"/>
      <c r="BD305" s="79"/>
      <c r="BE305" s="79">
        <v>-2578.37</v>
      </c>
      <c r="BF305" s="79">
        <v>0</v>
      </c>
      <c r="BG305" s="79">
        <v>0</v>
      </c>
      <c r="BH305" s="79">
        <v>0</v>
      </c>
      <c r="BI305" s="79">
        <v>0</v>
      </c>
      <c r="BJ305" s="79">
        <v>0</v>
      </c>
      <c r="BK305" s="79">
        <v>0</v>
      </c>
      <c r="BL305" s="79">
        <v>0</v>
      </c>
      <c r="BM305" s="79">
        <v>0</v>
      </c>
      <c r="BN305" s="79">
        <v>0</v>
      </c>
      <c r="BO305" s="79">
        <v>-2578.37</v>
      </c>
    </row>
    <row r="306" spans="1:67">
      <c r="A306" s="66" t="s">
        <v>1887</v>
      </c>
      <c r="B306" s="66" t="str">
        <f>_xlfn.TEXTJOIN("_",,ERP_34[[#This Row],[LT Member -1*]],ERP_34[[#This Row],[Expense Category]],ERP_34[[#This Row],[Project Code*]])</f>
        <v>DeHart, Lynn_MANAGED SERVICES_IT-FBT0980-OT-US-00</v>
      </c>
      <c r="C306" s="67" t="s">
        <v>1136</v>
      </c>
      <c r="D306" s="67" t="s">
        <v>1345</v>
      </c>
      <c r="E306" s="67" t="s">
        <v>1346</v>
      </c>
      <c r="F306" s="67" t="s">
        <v>1346</v>
      </c>
      <c r="G306" s="68" t="s">
        <v>389</v>
      </c>
      <c r="H306" s="106" t="s">
        <v>1889</v>
      </c>
      <c r="I306" s="70"/>
      <c r="J306" s="70"/>
      <c r="K306" s="70" t="s">
        <v>578</v>
      </c>
      <c r="L306" s="70"/>
      <c r="M306" s="70"/>
      <c r="N306" s="70"/>
      <c r="O306" s="67" t="s">
        <v>272</v>
      </c>
      <c r="P306" s="67"/>
      <c r="Q306" s="71"/>
      <c r="R306" s="72">
        <v>0</v>
      </c>
      <c r="S306" s="73">
        <v>275.15000000000055</v>
      </c>
      <c r="T306" s="73">
        <v>0</v>
      </c>
      <c r="U306" s="71">
        <f>ERP_34[[#This Row],[LE2 Final Submission]]-ERP_34[[#This Row],[LE3 Final Submission]]</f>
        <v>275.15000000000055</v>
      </c>
      <c r="V306" s="74">
        <v>2699.63</v>
      </c>
      <c r="W306" s="75">
        <v>2847.71</v>
      </c>
      <c r="X306" s="75">
        <v>-5272.19</v>
      </c>
      <c r="Y306" s="76">
        <v>0</v>
      </c>
      <c r="Z306" s="76">
        <v>0</v>
      </c>
      <c r="AA306" s="76">
        <v>0</v>
      </c>
      <c r="AB306" s="76">
        <v>0</v>
      </c>
      <c r="AC306" s="76">
        <v>0</v>
      </c>
      <c r="AD306" s="76">
        <v>0</v>
      </c>
      <c r="AE306" s="76">
        <v>0</v>
      </c>
      <c r="AF306" s="76">
        <v>0</v>
      </c>
      <c r="AG306" s="76">
        <v>0</v>
      </c>
      <c r="AH306" s="143">
        <f t="shared" si="14"/>
        <v>275.15000000000055</v>
      </c>
      <c r="AI306" s="144">
        <f>ERP_34[[#This Row],[2026 Working Total]]-ERP_34[[#This Row],[2026 LE0]]</f>
        <v>275.15000000000055</v>
      </c>
      <c r="AJ306" s="79"/>
      <c r="AK306" s="79"/>
      <c r="AL30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6" s="80"/>
      <c r="AN306" s="79">
        <f>ERP_34[[#This Row],[2026 Working Total to Budget/LE]]-ERP_34[[#This Row],[Giveback]]</f>
        <v>275.15000000000055</v>
      </c>
      <c r="AO306" s="81"/>
      <c r="AP306" s="81">
        <v>2699.63</v>
      </c>
      <c r="AQ306" s="81">
        <v>2847.71</v>
      </c>
      <c r="AR306" s="81">
        <v>-5272.19</v>
      </c>
      <c r="AS306" s="81">
        <v>0</v>
      </c>
      <c r="AT306" s="81">
        <v>0</v>
      </c>
      <c r="AU306" s="81">
        <v>0</v>
      </c>
      <c r="AV306" s="81">
        <v>0</v>
      </c>
      <c r="AW306" s="81">
        <v>0</v>
      </c>
      <c r="AX306" s="81">
        <v>0</v>
      </c>
      <c r="AY306" s="81">
        <v>0</v>
      </c>
      <c r="AZ306" s="81">
        <v>0</v>
      </c>
      <c r="BA306" s="81">
        <v>0</v>
      </c>
      <c r="BB306" s="81">
        <v>275.15000000000055</v>
      </c>
      <c r="BC306" s="79">
        <v>2699.63</v>
      </c>
      <c r="BD306" s="79">
        <v>2847.71</v>
      </c>
      <c r="BE306" s="79">
        <v>-5272.19</v>
      </c>
      <c r="BF306" s="79">
        <v>2847.71</v>
      </c>
      <c r="BG306" s="79">
        <v>2847.71</v>
      </c>
      <c r="BH306" s="79">
        <v>2847.71</v>
      </c>
      <c r="BI306" s="79">
        <v>2847.71</v>
      </c>
      <c r="BJ306" s="79">
        <v>2847.71</v>
      </c>
      <c r="BK306" s="79">
        <v>2847.71</v>
      </c>
      <c r="BL306" s="79">
        <v>2847.71</v>
      </c>
      <c r="BM306" s="79">
        <v>2847.71</v>
      </c>
      <c r="BN306" s="79">
        <v>2847.71</v>
      </c>
      <c r="BO306" s="79">
        <v>25904.539999999997</v>
      </c>
    </row>
    <row r="307" spans="1:67">
      <c r="A307" s="66" t="s">
        <v>2269</v>
      </c>
      <c r="B307" s="66" t="str">
        <f>_xlfn.TEXTJOIN("_",,ERP_34[[#This Row],[LT Member -1*]],ERP_34[[#This Row],[Expense Category]],ERP_34[[#This Row],[Project Code*]])</f>
        <v>DeHart, Lynn_SOFTWARE_IT-FBT0980-OT-US-00</v>
      </c>
      <c r="C307" s="67" t="s">
        <v>1136</v>
      </c>
      <c r="D307" s="67" t="s">
        <v>1345</v>
      </c>
      <c r="E307" s="67" t="s">
        <v>1346</v>
      </c>
      <c r="F307" s="67" t="s">
        <v>1346</v>
      </c>
      <c r="G307" s="68" t="s">
        <v>639</v>
      </c>
      <c r="H307" s="106" t="s">
        <v>1889</v>
      </c>
      <c r="I307" s="70"/>
      <c r="J307" s="70"/>
      <c r="K307" s="70" t="s">
        <v>578</v>
      </c>
      <c r="L307" s="70"/>
      <c r="M307" s="70"/>
      <c r="N307" s="70"/>
      <c r="O307" s="67" t="s">
        <v>272</v>
      </c>
      <c r="P307" s="67"/>
      <c r="Q307" s="71"/>
      <c r="R307" s="72">
        <v>0</v>
      </c>
      <c r="S307" s="73">
        <v>139.72999999999999</v>
      </c>
      <c r="T307" s="73">
        <v>0</v>
      </c>
      <c r="U307" s="71">
        <f>ERP_34[[#This Row],[LE2 Final Submission]]-ERP_34[[#This Row],[LE3 Final Submission]]</f>
        <v>139.72999999999999</v>
      </c>
      <c r="V307" s="74">
        <v>139.72999999999999</v>
      </c>
      <c r="W307" s="75">
        <v>139.72999999999999</v>
      </c>
      <c r="X307" s="75">
        <v>-139.72999999999999</v>
      </c>
      <c r="Y307" s="76">
        <v>0</v>
      </c>
      <c r="Z307" s="76">
        <v>0</v>
      </c>
      <c r="AA307" s="76">
        <v>0</v>
      </c>
      <c r="AB307" s="76">
        <v>0</v>
      </c>
      <c r="AC307" s="76">
        <v>0</v>
      </c>
      <c r="AD307" s="76">
        <v>0</v>
      </c>
      <c r="AE307" s="76">
        <v>0</v>
      </c>
      <c r="AF307" s="76">
        <v>0</v>
      </c>
      <c r="AG307" s="76">
        <v>0</v>
      </c>
      <c r="AH307" s="143">
        <f t="shared" si="14"/>
        <v>139.72999999999999</v>
      </c>
      <c r="AI307" s="144">
        <f>ERP_34[[#This Row],[2026 Working Total]]-ERP_34[[#This Row],[2026 LE0]]</f>
        <v>139.72999999999999</v>
      </c>
      <c r="AJ307" s="79"/>
      <c r="AK307" s="79"/>
      <c r="AL3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7" s="80"/>
      <c r="AN307" s="79">
        <f>ERP_34[[#This Row],[2026 Working Total to Budget/LE]]-ERP_34[[#This Row],[Giveback]]</f>
        <v>139.72999999999999</v>
      </c>
      <c r="AO307" s="81"/>
      <c r="AP307" s="81">
        <v>139.72999999999999</v>
      </c>
      <c r="AQ307" s="81">
        <v>139.72999999999999</v>
      </c>
      <c r="AR307" s="81">
        <v>-139.72999999999999</v>
      </c>
      <c r="AS307" s="81">
        <v>0</v>
      </c>
      <c r="AT307" s="81">
        <v>0</v>
      </c>
      <c r="AU307" s="81">
        <v>0</v>
      </c>
      <c r="AV307" s="81">
        <v>0</v>
      </c>
      <c r="AW307" s="81">
        <v>0</v>
      </c>
      <c r="AX307" s="81">
        <v>0</v>
      </c>
      <c r="AY307" s="81">
        <v>0</v>
      </c>
      <c r="AZ307" s="81">
        <v>0</v>
      </c>
      <c r="BA307" s="81">
        <v>0</v>
      </c>
      <c r="BB307" s="81">
        <v>139.72999999999999</v>
      </c>
      <c r="BC307" s="79">
        <v>139.72999999999999</v>
      </c>
      <c r="BD307" s="79">
        <v>139.72999999999999</v>
      </c>
      <c r="BE307" s="79">
        <v>-139.72999999999999</v>
      </c>
      <c r="BF307" s="79">
        <v>139.72999999999999</v>
      </c>
      <c r="BG307" s="79">
        <v>139.72999999999999</v>
      </c>
      <c r="BH307" s="79">
        <v>139.72999999999999</v>
      </c>
      <c r="BI307" s="79">
        <v>139.72999999999999</v>
      </c>
      <c r="BJ307" s="79">
        <v>139.72999999999999</v>
      </c>
      <c r="BK307" s="79">
        <v>139.72999999999999</v>
      </c>
      <c r="BL307" s="79">
        <v>139.72999999999999</v>
      </c>
      <c r="BM307" s="79">
        <v>139.72999999999999</v>
      </c>
      <c r="BN307" s="79">
        <v>139.72999999999999</v>
      </c>
      <c r="BO307" s="79">
        <v>1397.3</v>
      </c>
    </row>
    <row r="308" spans="1:67">
      <c r="A308" s="82" t="s">
        <v>1621</v>
      </c>
      <c r="B308" s="83" t="str">
        <f>_xlfn.TEXTJOIN("_",,ERP_34[[#This Row],[LT Member -1*]],ERP_34[[#This Row],[Expense Category]],ERP_34[[#This Row],[Project Code*]])</f>
        <v>McGettigan, David_CONTRACTORS_IT-FBT0992-OT-US-00</v>
      </c>
      <c r="C308" s="67" t="s">
        <v>2959</v>
      </c>
      <c r="D308" s="85" t="s">
        <v>1567</v>
      </c>
      <c r="E308" s="120" t="s">
        <v>1567</v>
      </c>
      <c r="F308" s="86" t="s">
        <v>1567</v>
      </c>
      <c r="G308" s="85" t="s">
        <v>49</v>
      </c>
      <c r="H308" s="121" t="s">
        <v>1623</v>
      </c>
      <c r="I308" s="84"/>
      <c r="J308" s="84"/>
      <c r="K308" s="141" t="s">
        <v>305</v>
      </c>
      <c r="L308" s="89"/>
      <c r="M308" s="90"/>
      <c r="N308" s="70" t="s">
        <v>2961</v>
      </c>
      <c r="O308" s="122" t="s">
        <v>272</v>
      </c>
      <c r="P308" s="70" t="s">
        <v>1348</v>
      </c>
      <c r="Q308" s="93"/>
      <c r="R308" s="94">
        <v>1078625</v>
      </c>
      <c r="S308" s="95">
        <v>0</v>
      </c>
      <c r="T308" s="192">
        <v>1078625</v>
      </c>
      <c r="U308" s="193">
        <f>ERP_34[[#This Row],[LE2 Final Submission]]-ERP_34[[#This Row],[LE3 Final Submission]]</f>
        <v>-1078625</v>
      </c>
      <c r="V308" s="98"/>
      <c r="W308" s="99"/>
      <c r="X308" s="99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47">
        <f t="shared" si="14"/>
        <v>0</v>
      </c>
      <c r="AI308" s="144">
        <f>ERP_34[[#This Row],[2026 Working Total]]-ERP_34[[#This Row],[2026 LE0]]</f>
        <v>-1078625</v>
      </c>
      <c r="AJ308" s="79"/>
      <c r="AK308" s="79"/>
      <c r="AL30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8" s="80"/>
      <c r="AN308" s="79">
        <f>ERP_34[[#This Row],[2026 Working Total to Budget/LE]]-ERP_34[[#This Row],[Giveback]]</f>
        <v>-1078625</v>
      </c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>
        <v>0</v>
      </c>
      <c r="BC308" s="103">
        <v>63566</v>
      </c>
      <c r="BD308" s="103">
        <v>71261</v>
      </c>
      <c r="BE308" s="103">
        <v>89885</v>
      </c>
      <c r="BF308" s="103">
        <v>89885</v>
      </c>
      <c r="BG308" s="103">
        <v>134828</v>
      </c>
      <c r="BH308" s="103">
        <v>134828</v>
      </c>
      <c r="BI308" s="103">
        <v>134828</v>
      </c>
      <c r="BJ308" s="103">
        <v>91283</v>
      </c>
      <c r="BK308" s="103">
        <v>89885</v>
      </c>
      <c r="BL308" s="103">
        <v>89885</v>
      </c>
      <c r="BM308" s="103">
        <v>44942</v>
      </c>
      <c r="BN308" s="103">
        <v>43549</v>
      </c>
      <c r="BO308" s="82">
        <f>SUM(ERP_34[[#This Row],[2026 AP01]:[2026 AP12]])</f>
        <v>1078625</v>
      </c>
    </row>
    <row r="309" spans="1:67">
      <c r="A309" s="66" t="s">
        <v>2109</v>
      </c>
      <c r="B309" s="66" t="str">
        <f>_xlfn.TEXTJOIN("_",,ERP_34[[#This Row],[LT Member -1*]],ERP_34[[#This Row],[Expense Category]],ERP_34[[#This Row],[Project Code*]])</f>
        <v>McGettigan, David_MANAGED SERVICES_IT-FBT1017-OT-US-00</v>
      </c>
      <c r="C309" s="67" t="s">
        <v>1136</v>
      </c>
      <c r="D309" s="67" t="s">
        <v>1567</v>
      </c>
      <c r="E309" s="67" t="s">
        <v>1567</v>
      </c>
      <c r="F309" s="67" t="s">
        <v>1567</v>
      </c>
      <c r="G309" s="68" t="s">
        <v>389</v>
      </c>
      <c r="H309" s="106" t="s">
        <v>1626</v>
      </c>
      <c r="I309" s="70"/>
      <c r="J309" s="70"/>
      <c r="K309" s="141" t="s">
        <v>307</v>
      </c>
      <c r="L309" s="70"/>
      <c r="M309" s="70"/>
      <c r="N309" s="70"/>
      <c r="O309" s="67" t="s">
        <v>272</v>
      </c>
      <c r="P309" s="67"/>
      <c r="Q309" s="71"/>
      <c r="R309" s="72">
        <v>0</v>
      </c>
      <c r="S309" s="73">
        <v>2089.6999999999998</v>
      </c>
      <c r="T309" s="73">
        <v>0</v>
      </c>
      <c r="U309" s="71">
        <f>ERP_34[[#This Row],[LE2 Final Submission]]-ERP_34[[#This Row],[LE3 Final Submission]]</f>
        <v>2089.6999999999998</v>
      </c>
      <c r="V309" s="74"/>
      <c r="W309" s="75"/>
      <c r="X309" s="75">
        <v>2089.6999999999998</v>
      </c>
      <c r="Y309" s="109">
        <v>0</v>
      </c>
      <c r="Z309" s="109">
        <v>0</v>
      </c>
      <c r="AA309" s="109">
        <v>0</v>
      </c>
      <c r="AB309" s="109">
        <v>0</v>
      </c>
      <c r="AC309" s="109">
        <v>0</v>
      </c>
      <c r="AD309" s="109">
        <v>0</v>
      </c>
      <c r="AE309" s="109">
        <v>0</v>
      </c>
      <c r="AF309" s="109">
        <v>0</v>
      </c>
      <c r="AG309" s="109">
        <v>0</v>
      </c>
      <c r="AH309" s="143">
        <f t="shared" si="14"/>
        <v>2089.6999999999998</v>
      </c>
      <c r="AI309" s="144">
        <f>ERP_34[[#This Row],[2026 Working Total]]-ERP_34[[#This Row],[2026 LE0]]</f>
        <v>2089.6999999999998</v>
      </c>
      <c r="AJ309" s="79"/>
      <c r="AK309" s="79"/>
      <c r="AL3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09" s="80"/>
      <c r="AN309" s="79">
        <f>ERP_34[[#This Row],[2026 Working Total to Budget/LE]]-ERP_34[[#This Row],[Giveback]]</f>
        <v>2089.6999999999998</v>
      </c>
      <c r="AO309" s="81"/>
      <c r="AP309" s="81"/>
      <c r="AQ309" s="81"/>
      <c r="AR309" s="81">
        <v>2089.6999999999998</v>
      </c>
      <c r="AS309" s="81">
        <v>0</v>
      </c>
      <c r="AT309" s="81">
        <v>0</v>
      </c>
      <c r="AU309" s="81">
        <v>0</v>
      </c>
      <c r="AV309" s="81">
        <v>0</v>
      </c>
      <c r="AW309" s="81">
        <v>0</v>
      </c>
      <c r="AX309" s="81">
        <v>0</v>
      </c>
      <c r="AY309" s="81">
        <v>0</v>
      </c>
      <c r="AZ309" s="81">
        <v>0</v>
      </c>
      <c r="BA309" s="81">
        <v>0</v>
      </c>
      <c r="BB309" s="81">
        <v>2089.6999999999998</v>
      </c>
      <c r="BC309" s="79"/>
      <c r="BD309" s="79"/>
      <c r="BE309" s="79">
        <v>2089.6999999999998</v>
      </c>
      <c r="BF309" s="79">
        <v>0</v>
      </c>
      <c r="BG309" s="79">
        <v>0</v>
      </c>
      <c r="BH309" s="79">
        <v>0</v>
      </c>
      <c r="BI309" s="79">
        <v>0</v>
      </c>
      <c r="BJ309" s="79">
        <v>0</v>
      </c>
      <c r="BK309" s="79">
        <v>0</v>
      </c>
      <c r="BL309" s="79">
        <v>0</v>
      </c>
      <c r="BM309" s="79">
        <v>0</v>
      </c>
      <c r="BN309" s="79">
        <v>0</v>
      </c>
      <c r="BO309" s="79">
        <v>2089.6999999999998</v>
      </c>
    </row>
    <row r="310" spans="1:67">
      <c r="A310" s="82" t="s">
        <v>1624</v>
      </c>
      <c r="B310" s="83" t="str">
        <f>_xlfn.TEXTJOIN("_",,ERP_34[[#This Row],[LT Member -1*]],ERP_34[[#This Row],[Expense Category]],ERP_34[[#This Row],[Project Code*]])</f>
        <v>McGettigan, David_CONTRACTORS_IT-FBT1017-OT-US-00</v>
      </c>
      <c r="C310" s="67" t="s">
        <v>2959</v>
      </c>
      <c r="D310" s="85" t="s">
        <v>1567</v>
      </c>
      <c r="E310" s="120" t="s">
        <v>1567</v>
      </c>
      <c r="F310" s="86" t="s">
        <v>1567</v>
      </c>
      <c r="G310" s="85" t="s">
        <v>49</v>
      </c>
      <c r="H310" s="121" t="s">
        <v>1626</v>
      </c>
      <c r="I310" s="84"/>
      <c r="J310" s="84"/>
      <c r="K310" s="141" t="s">
        <v>307</v>
      </c>
      <c r="L310" s="89"/>
      <c r="M310" s="90"/>
      <c r="N310" s="70" t="s">
        <v>2961</v>
      </c>
      <c r="O310" s="122" t="s">
        <v>272</v>
      </c>
      <c r="P310" s="70" t="s">
        <v>1348</v>
      </c>
      <c r="Q310" s="93"/>
      <c r="R310" s="94">
        <v>7850</v>
      </c>
      <c r="S310" s="95">
        <v>0</v>
      </c>
      <c r="T310" s="192">
        <v>7850</v>
      </c>
      <c r="U310" s="193">
        <f>ERP_34[[#This Row],[LE2 Final Submission]]-ERP_34[[#This Row],[LE3 Final Submission]]</f>
        <v>-7850</v>
      </c>
      <c r="V310" s="98"/>
      <c r="W310" s="99"/>
      <c r="X310" s="99"/>
      <c r="Y310" s="100">
        <v>0</v>
      </c>
      <c r="Z310" s="100">
        <v>0</v>
      </c>
      <c r="AA310" s="100">
        <v>0</v>
      </c>
      <c r="AB310" s="100">
        <v>0</v>
      </c>
      <c r="AC310" s="100">
        <v>0</v>
      </c>
      <c r="AD310" s="100">
        <v>0</v>
      </c>
      <c r="AE310" s="100">
        <v>0</v>
      </c>
      <c r="AF310" s="100">
        <v>0</v>
      </c>
      <c r="AG310" s="100"/>
      <c r="AH310" s="147">
        <f t="shared" si="14"/>
        <v>0</v>
      </c>
      <c r="AI310" s="144">
        <f>ERP_34[[#This Row],[2026 Working Total]]-ERP_34[[#This Row],[2026 LE0]]</f>
        <v>-7850</v>
      </c>
      <c r="AJ310" s="79"/>
      <c r="AK310" s="79"/>
      <c r="AL3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0" s="80"/>
      <c r="AN310" s="79">
        <f>ERP_34[[#This Row],[2026 Working Total to Budget/LE]]-ERP_34[[#This Row],[Giveback]]</f>
        <v>-7850</v>
      </c>
      <c r="AO310" s="81"/>
      <c r="AP310" s="81"/>
      <c r="AQ310" s="81"/>
      <c r="AR310" s="81"/>
      <c r="AS310" s="81">
        <v>0</v>
      </c>
      <c r="AT310" s="81">
        <v>0</v>
      </c>
      <c r="AU310" s="81">
        <v>0</v>
      </c>
      <c r="AV310" s="81">
        <v>0</v>
      </c>
      <c r="AW310" s="81">
        <v>0</v>
      </c>
      <c r="AX310" s="81">
        <v>0</v>
      </c>
      <c r="AY310" s="81">
        <v>0</v>
      </c>
      <c r="AZ310" s="81">
        <v>0</v>
      </c>
      <c r="BA310" s="81"/>
      <c r="BB310" s="81">
        <v>0</v>
      </c>
      <c r="BC310" s="103">
        <v>2090</v>
      </c>
      <c r="BD310" s="103">
        <v>0</v>
      </c>
      <c r="BE310" s="103">
        <v>0</v>
      </c>
      <c r="BF310" s="103">
        <v>0</v>
      </c>
      <c r="BG310" s="103">
        <v>0</v>
      </c>
      <c r="BH310" s="103">
        <v>0</v>
      </c>
      <c r="BI310" s="103">
        <v>0</v>
      </c>
      <c r="BJ310" s="103">
        <v>0</v>
      </c>
      <c r="BK310" s="103">
        <v>0</v>
      </c>
      <c r="BL310" s="103">
        <v>0</v>
      </c>
      <c r="BM310" s="103">
        <v>0</v>
      </c>
      <c r="BN310" s="103">
        <v>5760</v>
      </c>
      <c r="BO310" s="82">
        <f>SUM(ERP_34[[#This Row],[2026 AP01]:[2026 AP12]])</f>
        <v>7850</v>
      </c>
    </row>
    <row r="311" spans="1:67">
      <c r="A311" s="66" t="s">
        <v>2272</v>
      </c>
      <c r="B311" s="66" t="str">
        <f>_xlfn.TEXTJOIN("_",,ERP_34[[#This Row],[LT Member -1*]],ERP_34[[#This Row],[Expense Category]],ERP_34[[#This Row],[Project Code*]])</f>
        <v>McCormick, Pete_SOFTWARE_IT-FGS0298-SW-US-00</v>
      </c>
      <c r="C311" s="67" t="s">
        <v>1136</v>
      </c>
      <c r="D311" s="67" t="s">
        <v>1135</v>
      </c>
      <c r="E311" s="67" t="s">
        <v>1145</v>
      </c>
      <c r="F311" s="67" t="s">
        <v>1137</v>
      </c>
      <c r="G311" s="68" t="s">
        <v>639</v>
      </c>
      <c r="H311" s="106" t="s">
        <v>2274</v>
      </c>
      <c r="I311" s="70"/>
      <c r="J311" s="70"/>
      <c r="K311" s="70" t="s">
        <v>673</v>
      </c>
      <c r="L311" s="70"/>
      <c r="M311" s="70"/>
      <c r="N311" s="70"/>
      <c r="O311" s="67" t="s">
        <v>57</v>
      </c>
      <c r="P311" s="67"/>
      <c r="Q311" s="71"/>
      <c r="R311" s="72">
        <v>0</v>
      </c>
      <c r="S311" s="73">
        <v>616.66</v>
      </c>
      <c r="T311" s="73">
        <v>0</v>
      </c>
      <c r="U311" s="71">
        <f>ERP_34[[#This Row],[LE2 Final Submission]]-ERP_34[[#This Row],[LE3 Final Submission]]</f>
        <v>616.66</v>
      </c>
      <c r="V311" s="74">
        <v>308.33</v>
      </c>
      <c r="W311" s="124">
        <v>0</v>
      </c>
      <c r="X311" s="75">
        <v>308.33</v>
      </c>
      <c r="Y311" s="109">
        <v>0</v>
      </c>
      <c r="Z311" s="109">
        <v>0</v>
      </c>
      <c r="AA311" s="109">
        <v>0</v>
      </c>
      <c r="AB311" s="109">
        <v>0</v>
      </c>
      <c r="AC311" s="109">
        <v>0</v>
      </c>
      <c r="AD311" s="109">
        <v>0</v>
      </c>
      <c r="AE311" s="109">
        <v>0</v>
      </c>
      <c r="AF311" s="109">
        <v>0</v>
      </c>
      <c r="AG311" s="109">
        <v>0</v>
      </c>
      <c r="AH311" s="77">
        <f t="shared" si="14"/>
        <v>616.66</v>
      </c>
      <c r="AI311" s="108">
        <f>ERP_34[[#This Row],[2026 Working Total]]-ERP_34[[#This Row],[2026 LE0]]</f>
        <v>616.66</v>
      </c>
      <c r="AJ311" s="79"/>
      <c r="AK311" s="79"/>
      <c r="AL3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1" s="80"/>
      <c r="AN311" s="79">
        <f>ERP_34[[#This Row],[2026 Working Total to Budget/LE]]-ERP_34[[#This Row],[Giveback]]</f>
        <v>616.66</v>
      </c>
      <c r="AO311" s="81"/>
      <c r="AP311" s="81">
        <v>308.33</v>
      </c>
      <c r="AQ311" s="81">
        <v>0</v>
      </c>
      <c r="AR311" s="81">
        <v>308.33</v>
      </c>
      <c r="AS311" s="81">
        <v>0</v>
      </c>
      <c r="AT311" s="81">
        <v>0</v>
      </c>
      <c r="AU311" s="81">
        <v>0</v>
      </c>
      <c r="AV311" s="81">
        <v>0</v>
      </c>
      <c r="AW311" s="81">
        <v>0</v>
      </c>
      <c r="AX311" s="81">
        <v>0</v>
      </c>
      <c r="AY311" s="81">
        <v>0</v>
      </c>
      <c r="AZ311" s="81">
        <v>0</v>
      </c>
      <c r="BA311" s="81">
        <v>0</v>
      </c>
      <c r="BB311" s="81">
        <v>616.66</v>
      </c>
      <c r="BC311" s="79">
        <v>308.33</v>
      </c>
      <c r="BD311" s="79">
        <v>0</v>
      </c>
      <c r="BE311" s="79">
        <v>308.33</v>
      </c>
      <c r="BF311" s="79">
        <v>0</v>
      </c>
      <c r="BG311" s="79">
        <v>0</v>
      </c>
      <c r="BH311" s="79">
        <v>0</v>
      </c>
      <c r="BI311" s="79">
        <v>0</v>
      </c>
      <c r="BJ311" s="79">
        <v>0</v>
      </c>
      <c r="BK311" s="79">
        <v>0</v>
      </c>
      <c r="BL311" s="79">
        <v>0</v>
      </c>
      <c r="BM311" s="79">
        <v>0</v>
      </c>
      <c r="BN311" s="79">
        <v>0</v>
      </c>
      <c r="BO311" s="79">
        <v>616.66</v>
      </c>
    </row>
    <row r="312" spans="1:67">
      <c r="A312" s="66" t="s">
        <v>2275</v>
      </c>
      <c r="B312" s="66" t="str">
        <f>_xlfn.TEXTJOIN("_",,ERP_34[[#This Row],[LT Member -1*]],ERP_34[[#This Row],[Expense Category]],ERP_34[[#This Row],[Project Code*]])</f>
        <v>Tamavada, Ram_SOFTWARE_IT-FGS0298-SW-US-00</v>
      </c>
      <c r="C312" s="67" t="s">
        <v>1136</v>
      </c>
      <c r="D312" s="67" t="s">
        <v>1135</v>
      </c>
      <c r="E312" s="67" t="s">
        <v>1165</v>
      </c>
      <c r="F312" s="67" t="s">
        <v>1137</v>
      </c>
      <c r="G312" s="68" t="s">
        <v>639</v>
      </c>
      <c r="H312" s="106" t="s">
        <v>2274</v>
      </c>
      <c r="I312" s="70"/>
      <c r="J312" s="70"/>
      <c r="K312" s="70" t="s">
        <v>673</v>
      </c>
      <c r="L312" s="70"/>
      <c r="M312" s="70"/>
      <c r="N312" s="70"/>
      <c r="O312" s="67" t="s">
        <v>57</v>
      </c>
      <c r="P312" s="67"/>
      <c r="Q312" s="71"/>
      <c r="R312" s="72">
        <v>11109.88</v>
      </c>
      <c r="S312" s="73">
        <v>9249.9</v>
      </c>
      <c r="T312" s="73">
        <v>11109.88</v>
      </c>
      <c r="U312" s="71">
        <f>ERP_34[[#This Row],[LE2 Final Submission]]-ERP_34[[#This Row],[LE3 Final Submission]]</f>
        <v>-1859.9799999999996</v>
      </c>
      <c r="V312" s="74">
        <v>616.66</v>
      </c>
      <c r="W312" s="124">
        <v>0</v>
      </c>
      <c r="X312" s="75">
        <v>308.33</v>
      </c>
      <c r="Y312" s="76">
        <v>924.99</v>
      </c>
      <c r="Z312" s="76">
        <v>924.99</v>
      </c>
      <c r="AA312" s="76">
        <v>924.99</v>
      </c>
      <c r="AB312" s="76">
        <v>924.99</v>
      </c>
      <c r="AC312" s="76">
        <v>924.99</v>
      </c>
      <c r="AD312" s="76">
        <v>924.99</v>
      </c>
      <c r="AE312" s="76">
        <v>924.99</v>
      </c>
      <c r="AF312" s="76">
        <v>924.99</v>
      </c>
      <c r="AG312" s="76">
        <v>924.99</v>
      </c>
      <c r="AH312" s="77">
        <f t="shared" si="14"/>
        <v>9249.9</v>
      </c>
      <c r="AI312" s="108">
        <f>ERP_34[[#This Row],[2026 Working Total]]-ERP_34[[#This Row],[2026 LE0]]</f>
        <v>-1859.9799999999996</v>
      </c>
      <c r="AJ312" s="79"/>
      <c r="AK312" s="79"/>
      <c r="AL3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2" s="80"/>
      <c r="AN312" s="79">
        <f>ERP_34[[#This Row],[2026 Working Total to Budget/LE]]-ERP_34[[#This Row],[Giveback]]</f>
        <v>-1859.9799999999996</v>
      </c>
      <c r="AO312" s="81"/>
      <c r="AP312" s="81">
        <v>616.66</v>
      </c>
      <c r="AQ312" s="81">
        <v>0</v>
      </c>
      <c r="AR312" s="81">
        <v>308.33</v>
      </c>
      <c r="AS312" s="81">
        <v>924.99</v>
      </c>
      <c r="AT312" s="81">
        <v>924.99</v>
      </c>
      <c r="AU312" s="81">
        <v>924.99</v>
      </c>
      <c r="AV312" s="81">
        <v>924.99</v>
      </c>
      <c r="AW312" s="81">
        <v>924.99</v>
      </c>
      <c r="AX312" s="81">
        <v>924.99</v>
      </c>
      <c r="AY312" s="81">
        <v>924.99</v>
      </c>
      <c r="AZ312" s="81">
        <v>924.99</v>
      </c>
      <c r="BA312" s="81">
        <v>924.99</v>
      </c>
      <c r="BB312" s="81">
        <v>9249.9</v>
      </c>
      <c r="BC312" s="79">
        <v>616.66</v>
      </c>
      <c r="BD312" s="79">
        <v>0</v>
      </c>
      <c r="BE312" s="79">
        <v>308.33</v>
      </c>
      <c r="BF312" s="79">
        <v>924.99</v>
      </c>
      <c r="BG312" s="79">
        <v>924.99</v>
      </c>
      <c r="BH312" s="79">
        <v>924.99</v>
      </c>
      <c r="BI312" s="79">
        <v>924.99</v>
      </c>
      <c r="BJ312" s="79">
        <v>924.99</v>
      </c>
      <c r="BK312" s="79">
        <v>924.99</v>
      </c>
      <c r="BL312" s="79">
        <v>924.99</v>
      </c>
      <c r="BM312" s="79">
        <v>924.99</v>
      </c>
      <c r="BN312" s="79">
        <v>924.99</v>
      </c>
      <c r="BO312" s="79">
        <v>9249.9</v>
      </c>
    </row>
    <row r="313" spans="1:67">
      <c r="A313" s="66" t="s">
        <v>2677</v>
      </c>
      <c r="B313" s="66" t="str">
        <f>_xlfn.TEXTJOIN("_",,ERP_34[[#This Row],[LT Member -1*]],ERP_34[[#This Row],[Expense Category]],ERP_34[[#This Row],[Project Code*]])</f>
        <v>Yeluri, Durga_SOFTWARE_IT-FGS0298-SW-US-00</v>
      </c>
      <c r="C313" s="67" t="s">
        <v>1136</v>
      </c>
      <c r="D313" s="67" t="s">
        <v>1345</v>
      </c>
      <c r="E313" s="67" t="s">
        <v>1437</v>
      </c>
      <c r="F313" s="67" t="s">
        <v>1346</v>
      </c>
      <c r="G313" s="68" t="s">
        <v>639</v>
      </c>
      <c r="H313" s="106" t="s">
        <v>2274</v>
      </c>
      <c r="I313" s="70"/>
      <c r="J313" s="70"/>
      <c r="K313" s="70" t="s">
        <v>673</v>
      </c>
      <c r="L313" s="70"/>
      <c r="M313" s="70"/>
      <c r="N313" s="70"/>
      <c r="O313" s="67" t="s">
        <v>57</v>
      </c>
      <c r="P313" s="67"/>
      <c r="Q313" s="71"/>
      <c r="R313" s="72">
        <v>18499.8</v>
      </c>
      <c r="S313" s="73">
        <v>16958.149999999998</v>
      </c>
      <c r="T313" s="73">
        <v>18499.8</v>
      </c>
      <c r="U313" s="71">
        <f>ERP_34[[#This Row],[LE2 Final Submission]]-ERP_34[[#This Row],[LE3 Final Submission]]</f>
        <v>-1541.6500000000015</v>
      </c>
      <c r="V313" s="74">
        <v>1541.65</v>
      </c>
      <c r="W313" s="124">
        <v>0</v>
      </c>
      <c r="X313" s="75">
        <v>1541.65</v>
      </c>
      <c r="Y313" s="76">
        <v>1541.65</v>
      </c>
      <c r="Z313" s="76">
        <v>1541.65</v>
      </c>
      <c r="AA313" s="76">
        <v>1541.65</v>
      </c>
      <c r="AB313" s="76">
        <v>1541.65</v>
      </c>
      <c r="AC313" s="76">
        <v>1541.65</v>
      </c>
      <c r="AD313" s="76">
        <v>1541.65</v>
      </c>
      <c r="AE313" s="76">
        <v>1541.65</v>
      </c>
      <c r="AF313" s="76">
        <v>1541.65</v>
      </c>
      <c r="AG313" s="76">
        <v>1541.65</v>
      </c>
      <c r="AH313" s="77">
        <f t="shared" si="14"/>
        <v>16958.149999999998</v>
      </c>
      <c r="AI313" s="108">
        <f>ERP_34[[#This Row],[2026 Working Total]]-ERP_34[[#This Row],[2026 LE0]]</f>
        <v>-1541.6500000000015</v>
      </c>
      <c r="AJ313" s="79"/>
      <c r="AK313" s="79"/>
      <c r="AL3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3" s="80"/>
      <c r="AN313" s="79">
        <f>ERP_34[[#This Row],[2026 Working Total to Budget/LE]]-ERP_34[[#This Row],[Giveback]]</f>
        <v>-1541.6500000000015</v>
      </c>
      <c r="AO313" s="81"/>
      <c r="AP313" s="81">
        <v>1541.65</v>
      </c>
      <c r="AQ313" s="81">
        <v>0</v>
      </c>
      <c r="AR313" s="81">
        <v>1541.65</v>
      </c>
      <c r="AS313" s="81">
        <v>1541.65</v>
      </c>
      <c r="AT313" s="81">
        <v>1541.65</v>
      </c>
      <c r="AU313" s="81">
        <v>1541.65</v>
      </c>
      <c r="AV313" s="81">
        <v>1541.65</v>
      </c>
      <c r="AW313" s="81">
        <v>1541.65</v>
      </c>
      <c r="AX313" s="81">
        <v>1541.65</v>
      </c>
      <c r="AY313" s="81">
        <v>1541.65</v>
      </c>
      <c r="AZ313" s="81">
        <v>1541.65</v>
      </c>
      <c r="BA313" s="81">
        <v>1541.65</v>
      </c>
      <c r="BB313" s="81">
        <v>16958.149999999998</v>
      </c>
      <c r="BC313" s="79">
        <v>1541.65</v>
      </c>
      <c r="BD313" s="79">
        <v>0</v>
      </c>
      <c r="BE313" s="79">
        <v>1541.65</v>
      </c>
      <c r="BF313" s="79">
        <v>1541.65</v>
      </c>
      <c r="BG313" s="79">
        <v>1541.65</v>
      </c>
      <c r="BH313" s="79">
        <v>1541.65</v>
      </c>
      <c r="BI313" s="79">
        <v>1541.65</v>
      </c>
      <c r="BJ313" s="79">
        <v>1541.65</v>
      </c>
      <c r="BK313" s="79">
        <v>1541.65</v>
      </c>
      <c r="BL313" s="79">
        <v>1541.65</v>
      </c>
      <c r="BM313" s="79">
        <v>1541.65</v>
      </c>
      <c r="BN313" s="79">
        <v>1541.65</v>
      </c>
      <c r="BO313" s="79">
        <v>16958.149999999998</v>
      </c>
    </row>
    <row r="314" spans="1:67">
      <c r="A314" s="66" t="s">
        <v>1702</v>
      </c>
      <c r="B314" s="66" t="str">
        <f>_xlfn.TEXTJOIN("_",,ERP_34[[#This Row],[LT Member -1*]],ERP_34[[#This Row],[Expense Category]],ERP_34[[#This Row],[Project Code*]])</f>
        <v>Dougherty, Chris_HW MAINTENANCE_IT-FGS0299-OG-US-00</v>
      </c>
      <c r="C314" s="67" t="s">
        <v>1136</v>
      </c>
      <c r="D314" s="67" t="s">
        <v>1135</v>
      </c>
      <c r="E314" s="67" t="s">
        <v>1135</v>
      </c>
      <c r="F314" s="67" t="s">
        <v>1137</v>
      </c>
      <c r="G314" s="68" t="s">
        <v>342</v>
      </c>
      <c r="H314" s="106" t="s">
        <v>1703</v>
      </c>
      <c r="I314" s="70"/>
      <c r="J314" s="70"/>
      <c r="K314" s="70" t="s">
        <v>365</v>
      </c>
      <c r="L314" s="70"/>
      <c r="M314" s="70"/>
      <c r="N314" s="70"/>
      <c r="O314" s="67" t="s">
        <v>57</v>
      </c>
      <c r="P314" s="67"/>
      <c r="Q314" s="71"/>
      <c r="R314" s="72">
        <v>0</v>
      </c>
      <c r="S314" s="73">
        <v>20</v>
      </c>
      <c r="T314" s="73">
        <v>0</v>
      </c>
      <c r="U314" s="71">
        <f>ERP_34[[#This Row],[LE2 Final Submission]]-ERP_34[[#This Row],[LE3 Final Submission]]</f>
        <v>20</v>
      </c>
      <c r="V314" s="74">
        <v>20</v>
      </c>
      <c r="W314" s="124">
        <v>0</v>
      </c>
      <c r="X314" s="124">
        <v>0</v>
      </c>
      <c r="Y314" s="109">
        <v>0</v>
      </c>
      <c r="Z314" s="109">
        <v>0</v>
      </c>
      <c r="AA314" s="109">
        <v>0</v>
      </c>
      <c r="AB314" s="109">
        <v>0</v>
      </c>
      <c r="AC314" s="109">
        <v>0</v>
      </c>
      <c r="AD314" s="109">
        <v>0</v>
      </c>
      <c r="AE314" s="109">
        <v>0</v>
      </c>
      <c r="AF314" s="109">
        <v>0</v>
      </c>
      <c r="AG314" s="109">
        <v>0</v>
      </c>
      <c r="AH314" s="77">
        <f t="shared" si="14"/>
        <v>20</v>
      </c>
      <c r="AI314" s="108">
        <f>ERP_34[[#This Row],[2026 Working Total]]-ERP_34[[#This Row],[2026 LE0]]</f>
        <v>20</v>
      </c>
      <c r="AJ314" s="79"/>
      <c r="AK314" s="79"/>
      <c r="AL3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4" s="80"/>
      <c r="AN314" s="79">
        <f>ERP_34[[#This Row],[2026 Working Total to Budget/LE]]-ERP_34[[#This Row],[Giveback]]</f>
        <v>20</v>
      </c>
      <c r="AO314" s="81"/>
      <c r="AP314" s="81">
        <v>20</v>
      </c>
      <c r="AQ314" s="81">
        <v>0</v>
      </c>
      <c r="AR314" s="81">
        <v>0</v>
      </c>
      <c r="AS314" s="81">
        <v>0</v>
      </c>
      <c r="AT314" s="81">
        <v>0</v>
      </c>
      <c r="AU314" s="81">
        <v>0</v>
      </c>
      <c r="AV314" s="81">
        <v>0</v>
      </c>
      <c r="AW314" s="81">
        <v>0</v>
      </c>
      <c r="AX314" s="81">
        <v>0</v>
      </c>
      <c r="AY314" s="81">
        <v>0</v>
      </c>
      <c r="AZ314" s="81">
        <v>0</v>
      </c>
      <c r="BA314" s="81">
        <v>0</v>
      </c>
      <c r="BB314" s="81">
        <v>20</v>
      </c>
      <c r="BC314" s="79">
        <v>20</v>
      </c>
      <c r="BD314" s="79">
        <v>0</v>
      </c>
      <c r="BE314" s="79">
        <v>0</v>
      </c>
      <c r="BF314" s="79">
        <v>0</v>
      </c>
      <c r="BG314" s="79">
        <v>0</v>
      </c>
      <c r="BH314" s="79">
        <v>0</v>
      </c>
      <c r="BI314" s="79">
        <v>0</v>
      </c>
      <c r="BJ314" s="79">
        <v>0</v>
      </c>
      <c r="BK314" s="79">
        <v>0</v>
      </c>
      <c r="BL314" s="79">
        <v>0</v>
      </c>
      <c r="BM314" s="79">
        <v>0</v>
      </c>
      <c r="BN314" s="79">
        <v>0</v>
      </c>
      <c r="BO314" s="79">
        <v>20</v>
      </c>
    </row>
    <row r="315" spans="1:67">
      <c r="A315" s="66" t="s">
        <v>1704</v>
      </c>
      <c r="B315" s="66" t="str">
        <f>_xlfn.TEXTJOIN("_",,ERP_34[[#This Row],[LT Member -1*]],ERP_34[[#This Row],[Expense Category]],ERP_34[[#This Row],[Project Code*]])</f>
        <v>Maguire, Karla_HW MAINTENANCE_IT-FGS0299-OG-US-00</v>
      </c>
      <c r="C315" s="67" t="s">
        <v>1136</v>
      </c>
      <c r="D315" s="67" t="s">
        <v>1135</v>
      </c>
      <c r="E315" s="67" t="s">
        <v>1137</v>
      </c>
      <c r="F315" s="67" t="s">
        <v>1137</v>
      </c>
      <c r="G315" s="68" t="s">
        <v>342</v>
      </c>
      <c r="H315" s="106" t="s">
        <v>1703</v>
      </c>
      <c r="I315" s="70"/>
      <c r="J315" s="70"/>
      <c r="K315" s="70" t="s">
        <v>365</v>
      </c>
      <c r="L315" s="70"/>
      <c r="M315" s="70"/>
      <c r="N315" s="70"/>
      <c r="O315" s="67" t="s">
        <v>57</v>
      </c>
      <c r="P315" s="67"/>
      <c r="Q315" s="71"/>
      <c r="R315" s="72">
        <v>0</v>
      </c>
      <c r="S315" s="73">
        <v>2955.3</v>
      </c>
      <c r="T315" s="73">
        <v>0</v>
      </c>
      <c r="U315" s="71">
        <f>ERP_34[[#This Row],[LE2 Final Submission]]-ERP_34[[#This Row],[LE3 Final Submission]]</f>
        <v>2955.3</v>
      </c>
      <c r="V315" s="74">
        <v>1146.01</v>
      </c>
      <c r="W315" s="124">
        <v>0</v>
      </c>
      <c r="X315" s="75">
        <v>1809.29</v>
      </c>
      <c r="Y315" s="109">
        <v>0</v>
      </c>
      <c r="Z315" s="109">
        <v>0</v>
      </c>
      <c r="AA315" s="109">
        <v>0</v>
      </c>
      <c r="AB315" s="109">
        <v>0</v>
      </c>
      <c r="AC315" s="109">
        <v>0</v>
      </c>
      <c r="AD315" s="109">
        <v>0</v>
      </c>
      <c r="AE315" s="109">
        <v>0</v>
      </c>
      <c r="AF315" s="109">
        <v>0</v>
      </c>
      <c r="AG315" s="109">
        <v>0</v>
      </c>
      <c r="AH315" s="77">
        <f t="shared" si="14"/>
        <v>2955.3</v>
      </c>
      <c r="AI315" s="108">
        <f>ERP_34[[#This Row],[2026 Working Total]]-ERP_34[[#This Row],[2026 LE0]]</f>
        <v>2955.3</v>
      </c>
      <c r="AJ315" s="79"/>
      <c r="AK315" s="79"/>
      <c r="AL315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315" s="80"/>
      <c r="AN315" s="79">
        <f>ERP_34[[#This Row],[2026 Working Total to Budget/LE]]-ERP_34[[#This Row],[Giveback]]</f>
        <v>2955.3</v>
      </c>
      <c r="AO315" s="81"/>
      <c r="AP315" s="81">
        <v>1146.01</v>
      </c>
      <c r="AQ315" s="81">
        <v>0</v>
      </c>
      <c r="AR315" s="81">
        <v>1809.29</v>
      </c>
      <c r="AS315" s="81">
        <v>0</v>
      </c>
      <c r="AT315" s="81">
        <v>0</v>
      </c>
      <c r="AU315" s="81">
        <v>0</v>
      </c>
      <c r="AV315" s="81">
        <v>0</v>
      </c>
      <c r="AW315" s="81">
        <v>0</v>
      </c>
      <c r="AX315" s="81">
        <v>0</v>
      </c>
      <c r="AY315" s="81">
        <v>0</v>
      </c>
      <c r="AZ315" s="81">
        <v>0</v>
      </c>
      <c r="BA315" s="81">
        <v>0</v>
      </c>
      <c r="BB315" s="81">
        <v>2955.3</v>
      </c>
      <c r="BC315" s="79">
        <v>1146.01</v>
      </c>
      <c r="BD315" s="79">
        <v>0</v>
      </c>
      <c r="BE315" s="79">
        <v>1809.29</v>
      </c>
      <c r="BF315" s="79">
        <v>0</v>
      </c>
      <c r="BG315" s="79">
        <v>0</v>
      </c>
      <c r="BH315" s="79">
        <v>0</v>
      </c>
      <c r="BI315" s="79">
        <v>0</v>
      </c>
      <c r="BJ315" s="79">
        <v>0</v>
      </c>
      <c r="BK315" s="79">
        <v>0</v>
      </c>
      <c r="BL315" s="79">
        <v>0</v>
      </c>
      <c r="BM315" s="79">
        <v>0</v>
      </c>
      <c r="BN315" s="79">
        <v>0</v>
      </c>
      <c r="BO315" s="79">
        <v>2955.3</v>
      </c>
    </row>
    <row r="316" spans="1:67">
      <c r="A316" s="66" t="s">
        <v>1894</v>
      </c>
      <c r="B316" s="66" t="str">
        <f>_xlfn.TEXTJOIN("_",,ERP_34[[#This Row],[LT Member -1*]],ERP_34[[#This Row],[Expense Category]],ERP_34[[#This Row],[Project Code*]])</f>
        <v>Dougherty, Chris_MANAGED SERVICES_IT-FGS0299-OG-US-00</v>
      </c>
      <c r="C316" s="67" t="s">
        <v>1136</v>
      </c>
      <c r="D316" s="67" t="s">
        <v>1135</v>
      </c>
      <c r="E316" s="67" t="s">
        <v>1135</v>
      </c>
      <c r="F316" s="67" t="s">
        <v>1137</v>
      </c>
      <c r="G316" s="68" t="s">
        <v>389</v>
      </c>
      <c r="H316" s="106" t="s">
        <v>1703</v>
      </c>
      <c r="I316" s="70"/>
      <c r="J316" s="70"/>
      <c r="K316" s="70" t="s">
        <v>365</v>
      </c>
      <c r="L316" s="70"/>
      <c r="M316" s="70"/>
      <c r="N316" s="70"/>
      <c r="O316" s="67" t="s">
        <v>57</v>
      </c>
      <c r="P316" s="67"/>
      <c r="Q316" s="71"/>
      <c r="R316" s="72">
        <v>0</v>
      </c>
      <c r="S316" s="73">
        <v>5151.76</v>
      </c>
      <c r="T316" s="73">
        <v>0</v>
      </c>
      <c r="U316" s="71">
        <f>ERP_34[[#This Row],[LE2 Final Submission]]-ERP_34[[#This Row],[LE3 Final Submission]]</f>
        <v>5151.76</v>
      </c>
      <c r="V316" s="74">
        <v>1210.3599999999999</v>
      </c>
      <c r="W316" s="75">
        <v>1569.34</v>
      </c>
      <c r="X316" s="75">
        <v>2372.06</v>
      </c>
      <c r="Y316" s="109">
        <v>0</v>
      </c>
      <c r="Z316" s="109">
        <v>0</v>
      </c>
      <c r="AA316" s="109">
        <v>0</v>
      </c>
      <c r="AB316" s="109">
        <v>0</v>
      </c>
      <c r="AC316" s="109">
        <v>0</v>
      </c>
      <c r="AD316" s="109">
        <v>0</v>
      </c>
      <c r="AE316" s="109">
        <v>0</v>
      </c>
      <c r="AF316" s="109">
        <v>0</v>
      </c>
      <c r="AG316" s="109">
        <v>0</v>
      </c>
      <c r="AH316" s="77">
        <f t="shared" si="14"/>
        <v>5151.76</v>
      </c>
      <c r="AI316" s="108">
        <f>ERP_34[[#This Row],[2026 Working Total]]-ERP_34[[#This Row],[2026 LE0]]</f>
        <v>5151.76</v>
      </c>
      <c r="AJ316" s="79"/>
      <c r="AK316" s="79"/>
      <c r="AL316" s="79">
        <f>ERP_34[[#This Row],[AP01]]+ERP_34[[#This Row],[AP02]]+ERP_34[[#This Row],[AP03]]+ERP_34[[#This Row],[AP04]]-ERP_34[[#This Row],[AP01 LE2]]-ERP_34[[#This Row],[AP02 LE2]]-ERP_34[[#This Row],[AP03 LE2]]-ERP_34[[#This Row],[AP04 LE2]]</f>
        <v>4.5474735088646412E-13</v>
      </c>
      <c r="AM316" s="80"/>
      <c r="AN316" s="79">
        <f>ERP_34[[#This Row],[2026 Working Total to Budget/LE]]-ERP_34[[#This Row],[Giveback]]</f>
        <v>5151.76</v>
      </c>
      <c r="AO316" s="81"/>
      <c r="AP316" s="81">
        <v>1210.3599999999999</v>
      </c>
      <c r="AQ316" s="81">
        <v>1569.34</v>
      </c>
      <c r="AR316" s="81">
        <v>2372.06</v>
      </c>
      <c r="AS316" s="81">
        <v>0</v>
      </c>
      <c r="AT316" s="81">
        <v>0</v>
      </c>
      <c r="AU316" s="81">
        <v>0</v>
      </c>
      <c r="AV316" s="81">
        <v>0</v>
      </c>
      <c r="AW316" s="81">
        <v>0</v>
      </c>
      <c r="AX316" s="81">
        <v>0</v>
      </c>
      <c r="AY316" s="81">
        <v>0</v>
      </c>
      <c r="AZ316" s="81">
        <v>0</v>
      </c>
      <c r="BA316" s="81">
        <v>0</v>
      </c>
      <c r="BB316" s="81">
        <v>5151.76</v>
      </c>
      <c r="BC316" s="79">
        <v>1210.3599999999999</v>
      </c>
      <c r="BD316" s="79">
        <v>1569.34</v>
      </c>
      <c r="BE316" s="79">
        <v>2372.06</v>
      </c>
      <c r="BF316" s="79">
        <v>0</v>
      </c>
      <c r="BG316" s="79">
        <v>0</v>
      </c>
      <c r="BH316" s="79">
        <v>0</v>
      </c>
      <c r="BI316" s="79">
        <v>0</v>
      </c>
      <c r="BJ316" s="79">
        <v>0</v>
      </c>
      <c r="BK316" s="79">
        <v>0</v>
      </c>
      <c r="BL316" s="79">
        <v>0</v>
      </c>
      <c r="BM316" s="79">
        <v>0</v>
      </c>
      <c r="BN316" s="79">
        <v>0</v>
      </c>
      <c r="BO316" s="79">
        <v>5151.76</v>
      </c>
    </row>
    <row r="317" spans="1:67">
      <c r="A317" s="66" t="s">
        <v>1895</v>
      </c>
      <c r="B317" s="66" t="str">
        <f>_xlfn.TEXTJOIN("_",,ERP_34[[#This Row],[LT Member -1*]],ERP_34[[#This Row],[Expense Category]],ERP_34[[#This Row],[Project Code*]])</f>
        <v>Maguire, Karla_MANAGED SERVICES_IT-FGS0299-OG-US-00</v>
      </c>
      <c r="C317" s="67" t="s">
        <v>1136</v>
      </c>
      <c r="D317" s="67" t="s">
        <v>1135</v>
      </c>
      <c r="E317" s="67" t="s">
        <v>1137</v>
      </c>
      <c r="F317" s="67" t="s">
        <v>1137</v>
      </c>
      <c r="G317" s="68" t="s">
        <v>389</v>
      </c>
      <c r="H317" s="106" t="s">
        <v>1703</v>
      </c>
      <c r="I317" s="70"/>
      <c r="J317" s="70"/>
      <c r="K317" s="70" t="s">
        <v>365</v>
      </c>
      <c r="L317" s="70"/>
      <c r="M317" s="70"/>
      <c r="N317" s="70"/>
      <c r="O317" s="67" t="s">
        <v>57</v>
      </c>
      <c r="P317" s="67"/>
      <c r="Q317" s="71"/>
      <c r="R317" s="72">
        <v>3300</v>
      </c>
      <c r="S317" s="73">
        <v>1500</v>
      </c>
      <c r="T317" s="73">
        <v>3300</v>
      </c>
      <c r="U317" s="71">
        <f>ERP_34[[#This Row],[LE2 Final Submission]]-ERP_34[[#This Row],[LE3 Final Submission]]</f>
        <v>-1800</v>
      </c>
      <c r="V317" s="74"/>
      <c r="W317" s="75"/>
      <c r="X317" s="75"/>
      <c r="Y317" s="76">
        <v>300</v>
      </c>
      <c r="Z317" s="76">
        <v>300</v>
      </c>
      <c r="AA317" s="76">
        <v>300</v>
      </c>
      <c r="AB317" s="76">
        <v>300</v>
      </c>
      <c r="AC317" s="76">
        <v>300</v>
      </c>
      <c r="AD317" s="109">
        <v>0</v>
      </c>
      <c r="AE317" s="109">
        <v>0</v>
      </c>
      <c r="AF317" s="109">
        <v>0</v>
      </c>
      <c r="AG317" s="109">
        <v>0</v>
      </c>
      <c r="AH317" s="77">
        <f t="shared" si="14"/>
        <v>1500</v>
      </c>
      <c r="AI317" s="108">
        <f>ERP_34[[#This Row],[2026 Working Total]]-ERP_34[[#This Row],[2026 LE0]]</f>
        <v>-1800</v>
      </c>
      <c r="AJ317" s="79"/>
      <c r="AK317" s="79"/>
      <c r="AL3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7" s="80"/>
      <c r="AN317" s="79">
        <f>ERP_34[[#This Row],[2026 Working Total to Budget/LE]]-ERP_34[[#This Row],[Giveback]]</f>
        <v>-1800</v>
      </c>
      <c r="AO317" s="81"/>
      <c r="AP317" s="81"/>
      <c r="AQ317" s="81"/>
      <c r="AR317" s="81"/>
      <c r="AS317" s="81">
        <v>300</v>
      </c>
      <c r="AT317" s="81">
        <v>300</v>
      </c>
      <c r="AU317" s="81">
        <v>300</v>
      </c>
      <c r="AV317" s="81">
        <v>300</v>
      </c>
      <c r="AW317" s="81">
        <v>300</v>
      </c>
      <c r="AX317" s="81">
        <v>0</v>
      </c>
      <c r="AY317" s="81">
        <v>0</v>
      </c>
      <c r="AZ317" s="81">
        <v>0</v>
      </c>
      <c r="BA317" s="81">
        <v>0</v>
      </c>
      <c r="BB317" s="81">
        <v>1500</v>
      </c>
      <c r="BC317" s="79"/>
      <c r="BD317" s="79"/>
      <c r="BE317" s="79"/>
      <c r="BF317" s="79">
        <v>300</v>
      </c>
      <c r="BG317" s="79">
        <v>300</v>
      </c>
      <c r="BH317" s="79">
        <v>300</v>
      </c>
      <c r="BI317" s="79">
        <v>300</v>
      </c>
      <c r="BJ317" s="79">
        <v>300</v>
      </c>
      <c r="BK317" s="79">
        <v>0</v>
      </c>
      <c r="BL317" s="79">
        <v>0</v>
      </c>
      <c r="BM317" s="79">
        <v>0</v>
      </c>
      <c r="BN317" s="79">
        <v>0</v>
      </c>
      <c r="BO317" s="79">
        <v>1500</v>
      </c>
    </row>
    <row r="318" spans="1:67">
      <c r="A318" s="66" t="s">
        <v>1897</v>
      </c>
      <c r="B318" s="66" t="str">
        <f>_xlfn.TEXTJOIN("_",,ERP_34[[#This Row],[LT Member -1*]],ERP_34[[#This Row],[Expense Category]],ERP_34[[#This Row],[Project Code*]])</f>
        <v>McCormick, Pete_MANAGED SERVICES_IT-FGS0299-OG-US-00</v>
      </c>
      <c r="C318" s="67" t="s">
        <v>1136</v>
      </c>
      <c r="D318" s="67" t="s">
        <v>1135</v>
      </c>
      <c r="E318" s="67" t="s">
        <v>1145</v>
      </c>
      <c r="F318" s="67" t="s">
        <v>1137</v>
      </c>
      <c r="G318" s="68" t="s">
        <v>389</v>
      </c>
      <c r="H318" s="106" t="s">
        <v>1703</v>
      </c>
      <c r="I318" s="70"/>
      <c r="J318" s="70"/>
      <c r="K318" s="70" t="s">
        <v>365</v>
      </c>
      <c r="L318" s="70"/>
      <c r="M318" s="70"/>
      <c r="N318" s="70"/>
      <c r="O318" s="67" t="s">
        <v>57</v>
      </c>
      <c r="P318" s="67"/>
      <c r="Q318" s="71"/>
      <c r="R318" s="72">
        <v>240000</v>
      </c>
      <c r="S318" s="73">
        <v>230345.91999999998</v>
      </c>
      <c r="T318" s="73">
        <v>240000</v>
      </c>
      <c r="U318" s="71">
        <f>ERP_34[[#This Row],[LE2 Final Submission]]-ERP_34[[#This Row],[LE3 Final Submission]]</f>
        <v>-9654.0800000000163</v>
      </c>
      <c r="V318" s="74">
        <v>18590.2</v>
      </c>
      <c r="W318" s="75">
        <v>19113.38</v>
      </c>
      <c r="X318" s="75">
        <v>12642.34</v>
      </c>
      <c r="Y318" s="76">
        <v>20000</v>
      </c>
      <c r="Z318" s="76">
        <v>20000</v>
      </c>
      <c r="AA318" s="76">
        <v>20000</v>
      </c>
      <c r="AB318" s="76">
        <v>20000</v>
      </c>
      <c r="AC318" s="76">
        <v>20000</v>
      </c>
      <c r="AD318" s="76">
        <v>20000</v>
      </c>
      <c r="AE318" s="76">
        <v>20000</v>
      </c>
      <c r="AF318" s="76">
        <v>20000</v>
      </c>
      <c r="AG318" s="76">
        <v>20000</v>
      </c>
      <c r="AH318" s="77">
        <f t="shared" si="14"/>
        <v>230345.91999999998</v>
      </c>
      <c r="AI318" s="108">
        <f>ERP_34[[#This Row],[2026 Working Total]]-ERP_34[[#This Row],[2026 LE0]]</f>
        <v>-9654.0800000000163</v>
      </c>
      <c r="AJ318" s="79"/>
      <c r="AK318" s="79"/>
      <c r="AL3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8" s="80"/>
      <c r="AN318" s="79">
        <f>ERP_34[[#This Row],[2026 Working Total to Budget/LE]]-ERP_34[[#This Row],[Giveback]]</f>
        <v>-9654.0800000000163</v>
      </c>
      <c r="AO318" s="81"/>
      <c r="AP318" s="81">
        <v>18590.2</v>
      </c>
      <c r="AQ318" s="81">
        <v>19113.38</v>
      </c>
      <c r="AR318" s="81">
        <v>12642.34</v>
      </c>
      <c r="AS318" s="81">
        <v>20000</v>
      </c>
      <c r="AT318" s="81">
        <v>20000</v>
      </c>
      <c r="AU318" s="81">
        <v>20000</v>
      </c>
      <c r="AV318" s="81">
        <v>20000</v>
      </c>
      <c r="AW318" s="81">
        <v>20000</v>
      </c>
      <c r="AX318" s="81">
        <v>20000</v>
      </c>
      <c r="AY318" s="81">
        <v>20000</v>
      </c>
      <c r="AZ318" s="81">
        <v>20000</v>
      </c>
      <c r="BA318" s="81">
        <v>20000</v>
      </c>
      <c r="BB318" s="81">
        <v>230345.91999999998</v>
      </c>
      <c r="BC318" s="79">
        <v>18590.2</v>
      </c>
      <c r="BD318" s="79">
        <v>19113.38</v>
      </c>
      <c r="BE318" s="79">
        <v>12642.34</v>
      </c>
      <c r="BF318" s="79">
        <v>20000</v>
      </c>
      <c r="BG318" s="79">
        <v>20000</v>
      </c>
      <c r="BH318" s="79">
        <v>20000</v>
      </c>
      <c r="BI318" s="79">
        <v>20000</v>
      </c>
      <c r="BJ318" s="79">
        <v>20000</v>
      </c>
      <c r="BK318" s="79">
        <v>20000</v>
      </c>
      <c r="BL318" s="79">
        <v>20000</v>
      </c>
      <c r="BM318" s="79">
        <v>20000</v>
      </c>
      <c r="BN318" s="79">
        <v>20000</v>
      </c>
      <c r="BO318" s="79">
        <v>230345.91999999998</v>
      </c>
    </row>
    <row r="319" spans="1:67">
      <c r="A319" s="66" t="s">
        <v>1899</v>
      </c>
      <c r="B319" s="66" t="str">
        <f>_xlfn.TEXTJOIN("_",,ERP_34[[#This Row],[LT Member -1*]],ERP_34[[#This Row],[Expense Category]],ERP_34[[#This Row],[Project Code*]])</f>
        <v>Tamavada, Ram_MANAGED SERVICES_IT-FGS0299-OG-US-00</v>
      </c>
      <c r="C319" s="67" t="s">
        <v>1136</v>
      </c>
      <c r="D319" s="67" t="s">
        <v>1135</v>
      </c>
      <c r="E319" s="67" t="s">
        <v>1165</v>
      </c>
      <c r="F319" s="67" t="s">
        <v>1137</v>
      </c>
      <c r="G319" s="68" t="s">
        <v>389</v>
      </c>
      <c r="H319" s="106" t="s">
        <v>1703</v>
      </c>
      <c r="I319" s="70"/>
      <c r="J319" s="70"/>
      <c r="K319" s="70" t="s">
        <v>365</v>
      </c>
      <c r="L319" s="70"/>
      <c r="M319" s="70"/>
      <c r="N319" s="70"/>
      <c r="O319" s="67" t="s">
        <v>57</v>
      </c>
      <c r="P319" s="67"/>
      <c r="Q319" s="71"/>
      <c r="R319" s="72">
        <v>12000</v>
      </c>
      <c r="S319" s="73">
        <v>20372.89</v>
      </c>
      <c r="T319" s="73">
        <v>12000</v>
      </c>
      <c r="U319" s="71">
        <f>ERP_34[[#This Row],[LE2 Final Submission]]-ERP_34[[#This Row],[LE3 Final Submission]]</f>
        <v>8372.89</v>
      </c>
      <c r="V319" s="74">
        <v>3485.94</v>
      </c>
      <c r="W319" s="75">
        <v>4743.4799999999996</v>
      </c>
      <c r="X319" s="75">
        <v>3143.47</v>
      </c>
      <c r="Y319" s="76">
        <v>1000</v>
      </c>
      <c r="Z319" s="76">
        <v>1000</v>
      </c>
      <c r="AA319" s="76">
        <v>1000</v>
      </c>
      <c r="AB319" s="76">
        <v>1000</v>
      </c>
      <c r="AC319" s="76">
        <v>1000</v>
      </c>
      <c r="AD319" s="76">
        <v>1000</v>
      </c>
      <c r="AE319" s="76">
        <v>1000</v>
      </c>
      <c r="AF319" s="76">
        <v>1000</v>
      </c>
      <c r="AG319" s="76">
        <v>1000</v>
      </c>
      <c r="AH319" s="77">
        <f t="shared" si="14"/>
        <v>20372.89</v>
      </c>
      <c r="AI319" s="108">
        <f>ERP_34[[#This Row],[2026 Working Total]]-ERP_34[[#This Row],[2026 LE0]]</f>
        <v>8372.89</v>
      </c>
      <c r="AJ319" s="79"/>
      <c r="AK319" s="79"/>
      <c r="AL3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19" s="80"/>
      <c r="AN319" s="79">
        <f>ERP_34[[#This Row],[2026 Working Total to Budget/LE]]-ERP_34[[#This Row],[Giveback]]</f>
        <v>8372.89</v>
      </c>
      <c r="AO319" s="81"/>
      <c r="AP319" s="81">
        <v>3485.94</v>
      </c>
      <c r="AQ319" s="81">
        <v>4743.4799999999996</v>
      </c>
      <c r="AR319" s="81">
        <v>3143.47</v>
      </c>
      <c r="AS319" s="81">
        <v>1000</v>
      </c>
      <c r="AT319" s="81">
        <v>1000</v>
      </c>
      <c r="AU319" s="81">
        <v>1000</v>
      </c>
      <c r="AV319" s="81">
        <v>1000</v>
      </c>
      <c r="AW319" s="81">
        <v>1000</v>
      </c>
      <c r="AX319" s="81">
        <v>1000</v>
      </c>
      <c r="AY319" s="81">
        <v>1000</v>
      </c>
      <c r="AZ319" s="81">
        <v>1000</v>
      </c>
      <c r="BA319" s="81">
        <v>1000</v>
      </c>
      <c r="BB319" s="81">
        <v>20372.89</v>
      </c>
      <c r="BC319" s="79">
        <v>3485.94</v>
      </c>
      <c r="BD319" s="79">
        <v>4743.4799999999996</v>
      </c>
      <c r="BE319" s="79">
        <v>3143.47</v>
      </c>
      <c r="BF319" s="79">
        <v>1000</v>
      </c>
      <c r="BG319" s="79">
        <v>1000</v>
      </c>
      <c r="BH319" s="79">
        <v>1000</v>
      </c>
      <c r="BI319" s="79">
        <v>1000</v>
      </c>
      <c r="BJ319" s="79">
        <v>1000</v>
      </c>
      <c r="BK319" s="79">
        <v>1000</v>
      </c>
      <c r="BL319" s="79">
        <v>1000</v>
      </c>
      <c r="BM319" s="79">
        <v>1000</v>
      </c>
      <c r="BN319" s="79">
        <v>1000</v>
      </c>
      <c r="BO319" s="79">
        <v>20372.89</v>
      </c>
    </row>
    <row r="320" spans="1:67">
      <c r="A320" s="66" t="s">
        <v>2277</v>
      </c>
      <c r="B320" s="66" t="str">
        <f>_xlfn.TEXTJOIN("_",,ERP_34[[#This Row],[LT Member -1*]],ERP_34[[#This Row],[Expense Category]],ERP_34[[#This Row],[Project Code*]])</f>
        <v>Dougherty, Chris_SOFTWARE_IT-FGS0299-OG-US-00</v>
      </c>
      <c r="C320" s="67" t="s">
        <v>1136</v>
      </c>
      <c r="D320" s="67" t="s">
        <v>1135</v>
      </c>
      <c r="E320" s="67" t="s">
        <v>1135</v>
      </c>
      <c r="F320" s="67" t="s">
        <v>1137</v>
      </c>
      <c r="G320" s="68" t="s">
        <v>639</v>
      </c>
      <c r="H320" s="106" t="s">
        <v>1703</v>
      </c>
      <c r="I320" s="70"/>
      <c r="J320" s="70"/>
      <c r="K320" s="70" t="s">
        <v>365</v>
      </c>
      <c r="L320" s="70"/>
      <c r="M320" s="70"/>
      <c r="N320" s="70"/>
      <c r="O320" s="67" t="s">
        <v>57</v>
      </c>
      <c r="P320" s="67"/>
      <c r="Q320" s="71"/>
      <c r="R320" s="72">
        <v>0</v>
      </c>
      <c r="S320" s="73">
        <v>288</v>
      </c>
      <c r="T320" s="73">
        <v>0</v>
      </c>
      <c r="U320" s="71">
        <f>ERP_34[[#This Row],[LE2 Final Submission]]-ERP_34[[#This Row],[LE3 Final Submission]]</f>
        <v>288</v>
      </c>
      <c r="V320" s="74"/>
      <c r="W320" s="75">
        <v>288</v>
      </c>
      <c r="X320" s="124">
        <v>0</v>
      </c>
      <c r="Y320" s="109">
        <v>0</v>
      </c>
      <c r="Z320" s="109">
        <v>0</v>
      </c>
      <c r="AA320" s="109">
        <v>0</v>
      </c>
      <c r="AB320" s="109">
        <v>0</v>
      </c>
      <c r="AC320" s="109">
        <v>0</v>
      </c>
      <c r="AD320" s="109">
        <v>0</v>
      </c>
      <c r="AE320" s="109">
        <v>0</v>
      </c>
      <c r="AF320" s="109">
        <v>0</v>
      </c>
      <c r="AG320" s="109">
        <v>0</v>
      </c>
      <c r="AH320" s="77">
        <f t="shared" si="14"/>
        <v>288</v>
      </c>
      <c r="AI320" s="108">
        <f>ERP_34[[#This Row],[2026 Working Total]]-ERP_34[[#This Row],[2026 LE0]]</f>
        <v>288</v>
      </c>
      <c r="AJ320" s="79"/>
      <c r="AK320" s="79"/>
      <c r="AL3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0" s="80"/>
      <c r="AN320" s="79">
        <f>ERP_34[[#This Row],[2026 Working Total to Budget/LE]]-ERP_34[[#This Row],[Giveback]]</f>
        <v>288</v>
      </c>
      <c r="AO320" s="81"/>
      <c r="AP320" s="81"/>
      <c r="AQ320" s="81">
        <v>288</v>
      </c>
      <c r="AR320" s="81">
        <v>0</v>
      </c>
      <c r="AS320" s="81">
        <v>0</v>
      </c>
      <c r="AT320" s="81">
        <v>0</v>
      </c>
      <c r="AU320" s="81">
        <v>0</v>
      </c>
      <c r="AV320" s="81">
        <v>0</v>
      </c>
      <c r="AW320" s="81">
        <v>0</v>
      </c>
      <c r="AX320" s="81">
        <v>0</v>
      </c>
      <c r="AY320" s="81">
        <v>0</v>
      </c>
      <c r="AZ320" s="81">
        <v>0</v>
      </c>
      <c r="BA320" s="81">
        <v>0</v>
      </c>
      <c r="BB320" s="81">
        <v>288</v>
      </c>
      <c r="BC320" s="79"/>
      <c r="BD320" s="79">
        <v>288</v>
      </c>
      <c r="BE320" s="79">
        <v>0</v>
      </c>
      <c r="BF320" s="79">
        <v>0</v>
      </c>
      <c r="BG320" s="79">
        <v>0</v>
      </c>
      <c r="BH320" s="79">
        <v>0</v>
      </c>
      <c r="BI320" s="79">
        <v>0</v>
      </c>
      <c r="BJ320" s="79">
        <v>0</v>
      </c>
      <c r="BK320" s="79">
        <v>0</v>
      </c>
      <c r="BL320" s="79">
        <v>0</v>
      </c>
      <c r="BM320" s="79">
        <v>0</v>
      </c>
      <c r="BN320" s="79">
        <v>0</v>
      </c>
      <c r="BO320" s="79">
        <v>288</v>
      </c>
    </row>
    <row r="321" spans="1:67">
      <c r="A321" s="66" t="s">
        <v>2280</v>
      </c>
      <c r="B321" s="66" t="str">
        <f>_xlfn.TEXTJOIN("_",,ERP_34[[#This Row],[LT Member -1*]],ERP_34[[#This Row],[Expense Category]],ERP_34[[#This Row],[Project Code*]])</f>
        <v>Tamavada, Ram_SOFTWARE_IT-FGS0299-OG-US-00</v>
      </c>
      <c r="C321" s="67" t="s">
        <v>1136</v>
      </c>
      <c r="D321" s="67" t="s">
        <v>1135</v>
      </c>
      <c r="E321" s="67" t="s">
        <v>1165</v>
      </c>
      <c r="F321" s="67" t="s">
        <v>1137</v>
      </c>
      <c r="G321" s="68" t="s">
        <v>639</v>
      </c>
      <c r="H321" s="106" t="s">
        <v>1703</v>
      </c>
      <c r="I321" s="70"/>
      <c r="J321" s="70"/>
      <c r="K321" s="70" t="s">
        <v>365</v>
      </c>
      <c r="L321" s="70"/>
      <c r="M321" s="70"/>
      <c r="N321" s="70"/>
      <c r="O321" s="67" t="s">
        <v>57</v>
      </c>
      <c r="P321" s="67"/>
      <c r="Q321" s="71"/>
      <c r="R321" s="72">
        <v>0</v>
      </c>
      <c r="S321" s="73">
        <v>18.920000000000002</v>
      </c>
      <c r="T321" s="73">
        <v>0</v>
      </c>
      <c r="U321" s="71">
        <f>ERP_34[[#This Row],[LE2 Final Submission]]-ERP_34[[#This Row],[LE3 Final Submission]]</f>
        <v>18.920000000000002</v>
      </c>
      <c r="V321" s="74"/>
      <c r="W321" s="75">
        <v>18.920000000000002</v>
      </c>
      <c r="X321" s="124">
        <v>0</v>
      </c>
      <c r="Y321" s="109">
        <v>0</v>
      </c>
      <c r="Z321" s="109">
        <v>0</v>
      </c>
      <c r="AA321" s="109">
        <v>0</v>
      </c>
      <c r="AB321" s="109">
        <v>0</v>
      </c>
      <c r="AC321" s="109">
        <v>0</v>
      </c>
      <c r="AD321" s="109">
        <v>0</v>
      </c>
      <c r="AE321" s="109">
        <v>0</v>
      </c>
      <c r="AF321" s="109">
        <v>0</v>
      </c>
      <c r="AG321" s="109">
        <v>0</v>
      </c>
      <c r="AH321" s="77">
        <f t="shared" si="14"/>
        <v>18.920000000000002</v>
      </c>
      <c r="AI321" s="108">
        <f>ERP_34[[#This Row],[2026 Working Total]]-ERP_34[[#This Row],[2026 LE0]]</f>
        <v>18.920000000000002</v>
      </c>
      <c r="AJ321" s="79"/>
      <c r="AK321" s="79"/>
      <c r="AL3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1" s="80"/>
      <c r="AN321" s="79">
        <f>ERP_34[[#This Row],[2026 Working Total to Budget/LE]]-ERP_34[[#This Row],[Giveback]]</f>
        <v>18.920000000000002</v>
      </c>
      <c r="AO321" s="81"/>
      <c r="AP321" s="81"/>
      <c r="AQ321" s="81">
        <v>18.920000000000002</v>
      </c>
      <c r="AR321" s="81">
        <v>0</v>
      </c>
      <c r="AS321" s="81">
        <v>0</v>
      </c>
      <c r="AT321" s="81">
        <v>0</v>
      </c>
      <c r="AU321" s="81">
        <v>0</v>
      </c>
      <c r="AV321" s="81">
        <v>0</v>
      </c>
      <c r="AW321" s="81">
        <v>0</v>
      </c>
      <c r="AX321" s="81">
        <v>0</v>
      </c>
      <c r="AY321" s="81">
        <v>0</v>
      </c>
      <c r="AZ321" s="81">
        <v>0</v>
      </c>
      <c r="BA321" s="81">
        <v>0</v>
      </c>
      <c r="BB321" s="81">
        <v>18.920000000000002</v>
      </c>
      <c r="BC321" s="79"/>
      <c r="BD321" s="79">
        <v>18.920000000000002</v>
      </c>
      <c r="BE321" s="79">
        <v>0</v>
      </c>
      <c r="BF321" s="79">
        <v>0</v>
      </c>
      <c r="BG321" s="79">
        <v>0</v>
      </c>
      <c r="BH321" s="79">
        <v>0</v>
      </c>
      <c r="BI321" s="79">
        <v>0</v>
      </c>
      <c r="BJ321" s="79">
        <v>0</v>
      </c>
      <c r="BK321" s="79">
        <v>0</v>
      </c>
      <c r="BL321" s="79">
        <v>0</v>
      </c>
      <c r="BM321" s="79">
        <v>0</v>
      </c>
      <c r="BN321" s="79">
        <v>0</v>
      </c>
      <c r="BO321" s="79">
        <v>18.920000000000002</v>
      </c>
    </row>
    <row r="322" spans="1:67">
      <c r="A322" s="66" t="s">
        <v>1738</v>
      </c>
      <c r="B322" s="66" t="str">
        <f>_xlfn.TEXTJOIN("_",,ERP_34[[#This Row],[LT Member -1*]],ERP_34[[#This Row],[Expense Category]],ERP_34[[#This Row],[Project Code*]])</f>
        <v>DeHart, Lynn_HW MAINTENANCE_IT-FGS0299-OG-US-00</v>
      </c>
      <c r="C322" s="67" t="s">
        <v>1136</v>
      </c>
      <c r="D322" s="67" t="s">
        <v>1345</v>
      </c>
      <c r="E322" s="67" t="s">
        <v>1346</v>
      </c>
      <c r="F322" s="67" t="s">
        <v>1346</v>
      </c>
      <c r="G322" s="68" t="s">
        <v>342</v>
      </c>
      <c r="H322" s="106" t="s">
        <v>1703</v>
      </c>
      <c r="I322" s="70"/>
      <c r="J322" s="70"/>
      <c r="K322" s="70" t="s">
        <v>365</v>
      </c>
      <c r="L322" s="70"/>
      <c r="M322" s="70"/>
      <c r="N322" s="70"/>
      <c r="O322" s="67" t="s">
        <v>57</v>
      </c>
      <c r="P322" s="67"/>
      <c r="Q322" s="71"/>
      <c r="R322" s="72">
        <v>0</v>
      </c>
      <c r="S322" s="73">
        <v>4063.1000000000004</v>
      </c>
      <c r="T322" s="73">
        <v>0</v>
      </c>
      <c r="U322" s="71">
        <f>ERP_34[[#This Row],[LE2 Final Submission]]-ERP_34[[#This Row],[LE3 Final Submission]]</f>
        <v>4063.1000000000004</v>
      </c>
      <c r="V322" s="74">
        <v>322.64</v>
      </c>
      <c r="W322" s="75">
        <v>376.04</v>
      </c>
      <c r="X322" s="75">
        <v>3364.42</v>
      </c>
      <c r="Y322" s="109">
        <v>0</v>
      </c>
      <c r="Z322" s="109">
        <v>0</v>
      </c>
      <c r="AA322" s="109">
        <v>0</v>
      </c>
      <c r="AB322" s="109">
        <v>0</v>
      </c>
      <c r="AC322" s="109">
        <v>0</v>
      </c>
      <c r="AD322" s="109">
        <v>0</v>
      </c>
      <c r="AE322" s="109">
        <v>0</v>
      </c>
      <c r="AF322" s="109">
        <v>0</v>
      </c>
      <c r="AG322" s="109">
        <v>0</v>
      </c>
      <c r="AH322" s="77">
        <f t="shared" si="14"/>
        <v>4063.1000000000004</v>
      </c>
      <c r="AI322" s="108">
        <f>ERP_34[[#This Row],[2026 Working Total]]-ERP_34[[#This Row],[2026 LE0]]</f>
        <v>4063.1000000000004</v>
      </c>
      <c r="AJ322" s="79"/>
      <c r="AK322" s="79"/>
      <c r="AL322" s="79">
        <f>ERP_34[[#This Row],[AP01]]+ERP_34[[#This Row],[AP02]]+ERP_34[[#This Row],[AP03]]+ERP_34[[#This Row],[AP04]]-ERP_34[[#This Row],[AP01 LE2]]-ERP_34[[#This Row],[AP02 LE2]]-ERP_34[[#This Row],[AP03 LE2]]-ERP_34[[#This Row],[AP04 LE2]]</f>
        <v>4.5474735088646412E-13</v>
      </c>
      <c r="AM322" s="80"/>
      <c r="AN322" s="79">
        <f>ERP_34[[#This Row],[2026 Working Total to Budget/LE]]-ERP_34[[#This Row],[Giveback]]</f>
        <v>4063.1000000000004</v>
      </c>
      <c r="AO322" s="81"/>
      <c r="AP322" s="81">
        <v>322.64</v>
      </c>
      <c r="AQ322" s="81">
        <v>376.04</v>
      </c>
      <c r="AR322" s="81">
        <v>3364.42</v>
      </c>
      <c r="AS322" s="81">
        <v>0</v>
      </c>
      <c r="AT322" s="81">
        <v>0</v>
      </c>
      <c r="AU322" s="81">
        <v>0</v>
      </c>
      <c r="AV322" s="81">
        <v>0</v>
      </c>
      <c r="AW322" s="81">
        <v>0</v>
      </c>
      <c r="AX322" s="81">
        <v>0</v>
      </c>
      <c r="AY322" s="81">
        <v>0</v>
      </c>
      <c r="AZ322" s="81">
        <v>0</v>
      </c>
      <c r="BA322" s="81">
        <v>0</v>
      </c>
      <c r="BB322" s="81">
        <v>4063.1000000000004</v>
      </c>
      <c r="BC322" s="79">
        <v>322.64</v>
      </c>
      <c r="BD322" s="79">
        <v>376.04</v>
      </c>
      <c r="BE322" s="79">
        <v>3364.42</v>
      </c>
      <c r="BF322" s="79">
        <v>0</v>
      </c>
      <c r="BG322" s="79">
        <v>0</v>
      </c>
      <c r="BH322" s="79">
        <v>0</v>
      </c>
      <c r="BI322" s="79">
        <v>0</v>
      </c>
      <c r="BJ322" s="79">
        <v>0</v>
      </c>
      <c r="BK322" s="79">
        <v>0</v>
      </c>
      <c r="BL322" s="79">
        <v>0</v>
      </c>
      <c r="BM322" s="79">
        <v>0</v>
      </c>
      <c r="BN322" s="79">
        <v>0</v>
      </c>
      <c r="BO322" s="79">
        <v>4063.1000000000004</v>
      </c>
    </row>
    <row r="323" spans="1:67">
      <c r="A323" s="66" t="s">
        <v>2112</v>
      </c>
      <c r="B323" s="66" t="str">
        <f>_xlfn.TEXTJOIN("_",,ERP_34[[#This Row],[LT Member -1*]],ERP_34[[#This Row],[Expense Category]],ERP_34[[#This Row],[Project Code*]])</f>
        <v>DeHart, Lynn_MANAGED SERVICES_IT-FGS0299-OG-US-00</v>
      </c>
      <c r="C323" s="67" t="s">
        <v>1136</v>
      </c>
      <c r="D323" s="67" t="s">
        <v>1345</v>
      </c>
      <c r="E323" s="67" t="s">
        <v>1346</v>
      </c>
      <c r="F323" s="67" t="s">
        <v>1346</v>
      </c>
      <c r="G323" s="68" t="s">
        <v>389</v>
      </c>
      <c r="H323" s="106" t="s">
        <v>1703</v>
      </c>
      <c r="I323" s="70"/>
      <c r="J323" s="70"/>
      <c r="K323" s="70" t="s">
        <v>365</v>
      </c>
      <c r="L323" s="70"/>
      <c r="M323" s="70"/>
      <c r="N323" s="70"/>
      <c r="O323" s="67" t="s">
        <v>57</v>
      </c>
      <c r="P323" s="67"/>
      <c r="Q323" s="71"/>
      <c r="R323" s="72">
        <v>0</v>
      </c>
      <c r="S323" s="73">
        <v>2000</v>
      </c>
      <c r="T323" s="73">
        <v>0</v>
      </c>
      <c r="U323" s="71">
        <f>ERP_34[[#This Row],[LE2 Final Submission]]-ERP_34[[#This Row],[LE3 Final Submission]]</f>
        <v>2000</v>
      </c>
      <c r="V323" s="74">
        <v>2000</v>
      </c>
      <c r="W323" s="124">
        <v>0</v>
      </c>
      <c r="X323" s="124">
        <v>0</v>
      </c>
      <c r="Y323" s="109">
        <v>0</v>
      </c>
      <c r="Z323" s="109">
        <v>0</v>
      </c>
      <c r="AA323" s="109">
        <v>0</v>
      </c>
      <c r="AB323" s="109">
        <v>0</v>
      </c>
      <c r="AC323" s="109">
        <v>0</v>
      </c>
      <c r="AD323" s="109">
        <v>0</v>
      </c>
      <c r="AE323" s="109">
        <v>0</v>
      </c>
      <c r="AF323" s="109">
        <v>0</v>
      </c>
      <c r="AG323" s="109">
        <v>0</v>
      </c>
      <c r="AH323" s="77">
        <f t="shared" si="14"/>
        <v>2000</v>
      </c>
      <c r="AI323" s="108">
        <f>ERP_34[[#This Row],[2026 Working Total]]-ERP_34[[#This Row],[2026 LE0]]</f>
        <v>2000</v>
      </c>
      <c r="AJ323" s="79"/>
      <c r="AK323" s="79"/>
      <c r="AL3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3" s="80"/>
      <c r="AN323" s="79">
        <f>ERP_34[[#This Row],[2026 Working Total to Budget/LE]]-ERP_34[[#This Row],[Giveback]]</f>
        <v>2000</v>
      </c>
      <c r="AO323" s="81"/>
      <c r="AP323" s="81">
        <v>2000</v>
      </c>
      <c r="AQ323" s="81">
        <v>0</v>
      </c>
      <c r="AR323" s="81">
        <v>0</v>
      </c>
      <c r="AS323" s="81">
        <v>0</v>
      </c>
      <c r="AT323" s="81">
        <v>0</v>
      </c>
      <c r="AU323" s="81">
        <v>0</v>
      </c>
      <c r="AV323" s="81">
        <v>0</v>
      </c>
      <c r="AW323" s="81">
        <v>0</v>
      </c>
      <c r="AX323" s="81">
        <v>0</v>
      </c>
      <c r="AY323" s="81">
        <v>0</v>
      </c>
      <c r="AZ323" s="81">
        <v>0</v>
      </c>
      <c r="BA323" s="81">
        <v>0</v>
      </c>
      <c r="BB323" s="81">
        <v>2000</v>
      </c>
      <c r="BC323" s="79">
        <v>2000</v>
      </c>
      <c r="BD323" s="79">
        <v>0</v>
      </c>
      <c r="BE323" s="79">
        <v>0</v>
      </c>
      <c r="BF323" s="79">
        <v>0</v>
      </c>
      <c r="BG323" s="79">
        <v>0</v>
      </c>
      <c r="BH323" s="79">
        <v>0</v>
      </c>
      <c r="BI323" s="79">
        <v>0</v>
      </c>
      <c r="BJ323" s="79">
        <v>0</v>
      </c>
      <c r="BK323" s="79">
        <v>0</v>
      </c>
      <c r="BL323" s="79">
        <v>0</v>
      </c>
      <c r="BM323" s="79">
        <v>0</v>
      </c>
      <c r="BN323" s="79">
        <v>0</v>
      </c>
      <c r="BO323" s="79">
        <v>2000</v>
      </c>
    </row>
    <row r="324" spans="1:67">
      <c r="A324" s="66" t="s">
        <v>2039</v>
      </c>
      <c r="B324" s="66" t="str">
        <f>_xlfn.TEXTJOIN("_",,ERP_34[[#This Row],[LT Member -1*]],ERP_34[[#This Row],[Expense Category]],ERP_34[[#This Row],[Project Code*]])</f>
        <v>Herman, Shaun_MANAGED SERVICES_IT-FGS0299-OG-US-00</v>
      </c>
      <c r="C324" s="67" t="s">
        <v>1136</v>
      </c>
      <c r="D324" s="67" t="s">
        <v>1345</v>
      </c>
      <c r="E324" s="67" t="s">
        <v>1450</v>
      </c>
      <c r="F324" s="67" t="s">
        <v>1346</v>
      </c>
      <c r="G324" s="68" t="s">
        <v>389</v>
      </c>
      <c r="H324" s="106" t="s">
        <v>1703</v>
      </c>
      <c r="I324" s="70"/>
      <c r="J324" s="70"/>
      <c r="K324" s="70" t="s">
        <v>365</v>
      </c>
      <c r="L324" s="70"/>
      <c r="M324" s="70"/>
      <c r="N324" s="70"/>
      <c r="O324" s="67" t="s">
        <v>57</v>
      </c>
      <c r="P324" s="67"/>
      <c r="Q324" s="71"/>
      <c r="R324" s="72">
        <v>8220</v>
      </c>
      <c r="S324" s="73">
        <v>7536.92</v>
      </c>
      <c r="T324" s="73">
        <v>8220</v>
      </c>
      <c r="U324" s="71">
        <f>ERP_34[[#This Row],[LE2 Final Submission]]-ERP_34[[#This Row],[LE3 Final Submission]]</f>
        <v>-683.07999999999993</v>
      </c>
      <c r="V324" s="74">
        <v>685.96</v>
      </c>
      <c r="W324" s="75">
        <v>685.96</v>
      </c>
      <c r="X324" s="124">
        <v>0</v>
      </c>
      <c r="Y324" s="76">
        <v>685</v>
      </c>
      <c r="Z324" s="76">
        <v>685</v>
      </c>
      <c r="AA324" s="76">
        <v>685</v>
      </c>
      <c r="AB324" s="76">
        <v>685</v>
      </c>
      <c r="AC324" s="76">
        <v>685</v>
      </c>
      <c r="AD324" s="76">
        <v>685</v>
      </c>
      <c r="AE324" s="76">
        <v>685</v>
      </c>
      <c r="AF324" s="76">
        <v>685</v>
      </c>
      <c r="AG324" s="76">
        <v>685</v>
      </c>
      <c r="AH324" s="77">
        <f t="shared" si="14"/>
        <v>7536.92</v>
      </c>
      <c r="AI324" s="108">
        <f>ERP_34[[#This Row],[2026 Working Total]]-ERP_34[[#This Row],[2026 LE0]]</f>
        <v>-683.07999999999993</v>
      </c>
      <c r="AJ324" s="79"/>
      <c r="AK324" s="79"/>
      <c r="AL3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4" s="80"/>
      <c r="AN324" s="79">
        <f>ERP_34[[#This Row],[2026 Working Total to Budget/LE]]-ERP_34[[#This Row],[Giveback]]</f>
        <v>-683.07999999999993</v>
      </c>
      <c r="AO324" s="81"/>
      <c r="AP324" s="81">
        <v>685.96</v>
      </c>
      <c r="AQ324" s="81">
        <v>685.96</v>
      </c>
      <c r="AR324" s="81">
        <v>0</v>
      </c>
      <c r="AS324" s="81">
        <v>685</v>
      </c>
      <c r="AT324" s="81">
        <v>685</v>
      </c>
      <c r="AU324" s="81">
        <v>685</v>
      </c>
      <c r="AV324" s="81">
        <v>685</v>
      </c>
      <c r="AW324" s="81">
        <v>685</v>
      </c>
      <c r="AX324" s="81">
        <v>685</v>
      </c>
      <c r="AY324" s="81">
        <v>685</v>
      </c>
      <c r="AZ324" s="81">
        <v>685</v>
      </c>
      <c r="BA324" s="81">
        <v>685</v>
      </c>
      <c r="BB324" s="81">
        <v>7536.92</v>
      </c>
      <c r="BC324" s="79">
        <v>685.96</v>
      </c>
      <c r="BD324" s="79">
        <v>685.96</v>
      </c>
      <c r="BE324" s="79">
        <v>0</v>
      </c>
      <c r="BF324" s="79">
        <v>685</v>
      </c>
      <c r="BG324" s="79">
        <v>685</v>
      </c>
      <c r="BH324" s="79">
        <v>685</v>
      </c>
      <c r="BI324" s="79">
        <v>685</v>
      </c>
      <c r="BJ324" s="79">
        <v>685</v>
      </c>
      <c r="BK324" s="79">
        <v>685</v>
      </c>
      <c r="BL324" s="79">
        <v>685</v>
      </c>
      <c r="BM324" s="79">
        <v>685</v>
      </c>
      <c r="BN324" s="79">
        <v>685</v>
      </c>
      <c r="BO324" s="79">
        <v>7536.92</v>
      </c>
    </row>
    <row r="325" spans="1:67">
      <c r="A325" s="66" t="s">
        <v>2022</v>
      </c>
      <c r="B325" s="66" t="str">
        <f>_xlfn.TEXTJOIN("_",,ERP_34[[#This Row],[LT Member -1*]],ERP_34[[#This Row],[Expense Category]],ERP_34[[#This Row],[Project Code*]])</f>
        <v>Yeluri, Durga_MANAGED SERVICES_IT-FGS0299-OG-US-00</v>
      </c>
      <c r="C325" s="67" t="s">
        <v>1136</v>
      </c>
      <c r="D325" s="67" t="s">
        <v>1345</v>
      </c>
      <c r="E325" s="67" t="s">
        <v>1437</v>
      </c>
      <c r="F325" s="67" t="s">
        <v>1346</v>
      </c>
      <c r="G325" s="68" t="s">
        <v>389</v>
      </c>
      <c r="H325" s="106" t="s">
        <v>1703</v>
      </c>
      <c r="I325" s="70"/>
      <c r="J325" s="70"/>
      <c r="K325" s="70" t="s">
        <v>365</v>
      </c>
      <c r="L325" s="70"/>
      <c r="M325" s="70"/>
      <c r="N325" s="70"/>
      <c r="O325" s="67" t="s">
        <v>57</v>
      </c>
      <c r="P325" s="67"/>
      <c r="Q325" s="71"/>
      <c r="R325" s="72">
        <v>29055.720000000005</v>
      </c>
      <c r="S325" s="73">
        <v>28350.190000000002</v>
      </c>
      <c r="T325" s="73">
        <v>29055.720000000005</v>
      </c>
      <c r="U325" s="71">
        <f>ERP_34[[#This Row],[LE2 Final Submission]]-ERP_34[[#This Row],[LE3 Final Submission]]</f>
        <v>-705.53000000000247</v>
      </c>
      <c r="V325" s="74">
        <v>2204.83</v>
      </c>
      <c r="W325" s="75">
        <v>2275.48</v>
      </c>
      <c r="X325" s="75">
        <v>2078.09</v>
      </c>
      <c r="Y325" s="76">
        <v>2421.31</v>
      </c>
      <c r="Z325" s="76">
        <v>2421.31</v>
      </c>
      <c r="AA325" s="76">
        <v>2421.31</v>
      </c>
      <c r="AB325" s="76">
        <v>2421.31</v>
      </c>
      <c r="AC325" s="76">
        <v>2421.31</v>
      </c>
      <c r="AD325" s="76">
        <v>2421.31</v>
      </c>
      <c r="AE325" s="76">
        <v>2421.31</v>
      </c>
      <c r="AF325" s="76">
        <v>2421.31</v>
      </c>
      <c r="AG325" s="76">
        <v>2421.31</v>
      </c>
      <c r="AH325" s="77">
        <f t="shared" si="14"/>
        <v>28350.190000000002</v>
      </c>
      <c r="AI325" s="108">
        <f>ERP_34[[#This Row],[2026 Working Total]]-ERP_34[[#This Row],[2026 LE0]]</f>
        <v>-705.53000000000247</v>
      </c>
      <c r="AJ325" s="79"/>
      <c r="AK325" s="79"/>
      <c r="AL3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5" s="80"/>
      <c r="AN325" s="79">
        <f>ERP_34[[#This Row],[2026 Working Total to Budget/LE]]-ERP_34[[#This Row],[Giveback]]</f>
        <v>-705.53000000000247</v>
      </c>
      <c r="AO325" s="81"/>
      <c r="AP325" s="81">
        <v>2204.83</v>
      </c>
      <c r="AQ325" s="81">
        <v>2275.48</v>
      </c>
      <c r="AR325" s="81">
        <v>2078.09</v>
      </c>
      <c r="AS325" s="81">
        <v>2421.31</v>
      </c>
      <c r="AT325" s="81">
        <v>2421.31</v>
      </c>
      <c r="AU325" s="81">
        <v>2421.31</v>
      </c>
      <c r="AV325" s="81">
        <v>2421.31</v>
      </c>
      <c r="AW325" s="81">
        <v>2421.31</v>
      </c>
      <c r="AX325" s="81">
        <v>2421.31</v>
      </c>
      <c r="AY325" s="81">
        <v>2421.31</v>
      </c>
      <c r="AZ325" s="81">
        <v>2421.31</v>
      </c>
      <c r="BA325" s="81">
        <v>2421.31</v>
      </c>
      <c r="BB325" s="81">
        <v>28350.190000000002</v>
      </c>
      <c r="BC325" s="79">
        <v>2204.83</v>
      </c>
      <c r="BD325" s="79">
        <v>2275.48</v>
      </c>
      <c r="BE325" s="79">
        <v>2078.09</v>
      </c>
      <c r="BF325" s="79">
        <v>2421.31</v>
      </c>
      <c r="BG325" s="79">
        <v>2421.31</v>
      </c>
      <c r="BH325" s="79">
        <v>2421.31</v>
      </c>
      <c r="BI325" s="79">
        <v>2421.31</v>
      </c>
      <c r="BJ325" s="79">
        <v>2421.31</v>
      </c>
      <c r="BK325" s="79">
        <v>2421.31</v>
      </c>
      <c r="BL325" s="79">
        <v>2421.31</v>
      </c>
      <c r="BM325" s="79">
        <v>2421.31</v>
      </c>
      <c r="BN325" s="79">
        <v>2421.31</v>
      </c>
      <c r="BO325" s="79">
        <v>28350.190000000002</v>
      </c>
    </row>
    <row r="326" spans="1:67">
      <c r="A326" s="66" t="s">
        <v>2115</v>
      </c>
      <c r="B326" s="66" t="str">
        <f>_xlfn.TEXTJOIN("_",,ERP_34[[#This Row],[LT Member -1*]],ERP_34[[#This Row],[Expense Category]],ERP_34[[#This Row],[Project Code*]])</f>
        <v>McGettigan, David_MANAGED SERVICES_IT-FGS0299-OG-US-00</v>
      </c>
      <c r="C326" s="67" t="s">
        <v>1136</v>
      </c>
      <c r="D326" s="67" t="s">
        <v>1567</v>
      </c>
      <c r="E326" s="67" t="s">
        <v>1567</v>
      </c>
      <c r="F326" s="67" t="s">
        <v>1567</v>
      </c>
      <c r="G326" s="68" t="s">
        <v>389</v>
      </c>
      <c r="H326" s="106" t="s">
        <v>1703</v>
      </c>
      <c r="I326" s="70"/>
      <c r="J326" s="70"/>
      <c r="K326" s="70" t="s">
        <v>365</v>
      </c>
      <c r="L326" s="70"/>
      <c r="M326" s="70"/>
      <c r="N326" s="70"/>
      <c r="O326" s="67" t="s">
        <v>57</v>
      </c>
      <c r="P326" s="67"/>
      <c r="Q326" s="71"/>
      <c r="R326" s="72">
        <v>18000</v>
      </c>
      <c r="S326" s="73">
        <v>15727.5</v>
      </c>
      <c r="T326" s="73">
        <v>18000</v>
      </c>
      <c r="U326" s="71">
        <f>ERP_34[[#This Row],[LE2 Final Submission]]-ERP_34[[#This Row],[LE3 Final Submission]]</f>
        <v>-2272.5</v>
      </c>
      <c r="V326" s="74">
        <v>2227.5</v>
      </c>
      <c r="W326" s="124">
        <v>0</v>
      </c>
      <c r="X326" s="124">
        <v>0</v>
      </c>
      <c r="Y326" s="76">
        <v>1500</v>
      </c>
      <c r="Z326" s="76">
        <v>1500</v>
      </c>
      <c r="AA326" s="76">
        <v>1500</v>
      </c>
      <c r="AB326" s="76">
        <v>1500</v>
      </c>
      <c r="AC326" s="76">
        <v>1500</v>
      </c>
      <c r="AD326" s="76">
        <v>1500</v>
      </c>
      <c r="AE326" s="76">
        <v>1500</v>
      </c>
      <c r="AF326" s="76">
        <v>1500</v>
      </c>
      <c r="AG326" s="76">
        <v>1500</v>
      </c>
      <c r="AH326" s="77">
        <f t="shared" si="14"/>
        <v>15727.5</v>
      </c>
      <c r="AI326" s="108">
        <f>ERP_34[[#This Row],[2026 Working Total]]-ERP_34[[#This Row],[2026 LE0]]</f>
        <v>-2272.5</v>
      </c>
      <c r="AJ326" s="79"/>
      <c r="AK326" s="79"/>
      <c r="AL3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6" s="80"/>
      <c r="AN326" s="79">
        <f>ERP_34[[#This Row],[2026 Working Total to Budget/LE]]-ERP_34[[#This Row],[Giveback]]</f>
        <v>-2272.5</v>
      </c>
      <c r="AO326" s="81"/>
      <c r="AP326" s="81">
        <v>2227.5</v>
      </c>
      <c r="AQ326" s="81">
        <v>0</v>
      </c>
      <c r="AR326" s="81">
        <v>0</v>
      </c>
      <c r="AS326" s="81">
        <v>1500</v>
      </c>
      <c r="AT326" s="81">
        <v>1500</v>
      </c>
      <c r="AU326" s="81">
        <v>1500</v>
      </c>
      <c r="AV326" s="81">
        <v>1500</v>
      </c>
      <c r="AW326" s="81">
        <v>1500</v>
      </c>
      <c r="AX326" s="81">
        <v>1500</v>
      </c>
      <c r="AY326" s="81">
        <v>1500</v>
      </c>
      <c r="AZ326" s="81">
        <v>1500</v>
      </c>
      <c r="BA326" s="81">
        <v>1500</v>
      </c>
      <c r="BB326" s="81">
        <v>15727.5</v>
      </c>
      <c r="BC326" s="79">
        <v>2227.5</v>
      </c>
      <c r="BD326" s="79">
        <v>0</v>
      </c>
      <c r="BE326" s="79">
        <v>0</v>
      </c>
      <c r="BF326" s="79">
        <v>1500</v>
      </c>
      <c r="BG326" s="79">
        <v>1500</v>
      </c>
      <c r="BH326" s="79">
        <v>1500</v>
      </c>
      <c r="BI326" s="79">
        <v>1500</v>
      </c>
      <c r="BJ326" s="79">
        <v>1500</v>
      </c>
      <c r="BK326" s="79">
        <v>1500</v>
      </c>
      <c r="BL326" s="79">
        <v>1500</v>
      </c>
      <c r="BM326" s="79">
        <v>1500</v>
      </c>
      <c r="BN326" s="79">
        <v>1500</v>
      </c>
      <c r="BO326" s="79">
        <v>15727.5</v>
      </c>
    </row>
    <row r="327" spans="1:67">
      <c r="A327" s="66" t="s">
        <v>1749</v>
      </c>
      <c r="B327" s="66" t="str">
        <f>_xlfn.TEXTJOIN("_",,ERP_34[[#This Row],[LT Member -1*]],ERP_34[[#This Row],[Expense Category]],ERP_34[[#This Row],[Project Code*]])</f>
        <v>Robertson, Jerome_HW MAINTENANCE_IT-FGS0299-OG-US-00</v>
      </c>
      <c r="C327" s="67" t="s">
        <v>1136</v>
      </c>
      <c r="D327" s="67" t="s">
        <v>1650</v>
      </c>
      <c r="E327" s="67" t="s">
        <v>1650</v>
      </c>
      <c r="F327" s="67" t="s">
        <v>1650</v>
      </c>
      <c r="G327" s="68" t="s">
        <v>342</v>
      </c>
      <c r="H327" s="106" t="s">
        <v>1703</v>
      </c>
      <c r="I327" s="70"/>
      <c r="J327" s="70"/>
      <c r="K327" s="70" t="s">
        <v>365</v>
      </c>
      <c r="L327" s="70"/>
      <c r="M327" s="70"/>
      <c r="N327" s="70"/>
      <c r="O327" s="67" t="s">
        <v>57</v>
      </c>
      <c r="P327" s="67"/>
      <c r="Q327" s="71"/>
      <c r="R327" s="72">
        <v>0</v>
      </c>
      <c r="S327" s="73">
        <v>2902.66</v>
      </c>
      <c r="T327" s="73">
        <v>0</v>
      </c>
      <c r="U327" s="71">
        <f>ERP_34[[#This Row],[LE2 Final Submission]]-ERP_34[[#This Row],[LE3 Final Submission]]</f>
        <v>2902.66</v>
      </c>
      <c r="V327" s="74"/>
      <c r="W327" s="75"/>
      <c r="X327" s="75">
        <v>2902.66</v>
      </c>
      <c r="Y327" s="109">
        <v>0</v>
      </c>
      <c r="Z327" s="109">
        <v>0</v>
      </c>
      <c r="AA327" s="109">
        <v>0</v>
      </c>
      <c r="AB327" s="109">
        <v>0</v>
      </c>
      <c r="AC327" s="109">
        <v>0</v>
      </c>
      <c r="AD327" s="109">
        <v>0</v>
      </c>
      <c r="AE327" s="109">
        <v>0</v>
      </c>
      <c r="AF327" s="109">
        <v>0</v>
      </c>
      <c r="AG327" s="109">
        <v>0</v>
      </c>
      <c r="AH327" s="77">
        <f t="shared" si="14"/>
        <v>2902.66</v>
      </c>
      <c r="AI327" s="108">
        <f>ERP_34[[#This Row],[2026 Working Total]]-ERP_34[[#This Row],[2026 LE0]]</f>
        <v>2902.66</v>
      </c>
      <c r="AJ327" s="79"/>
      <c r="AK327" s="79"/>
      <c r="AL3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7" s="80"/>
      <c r="AN327" s="79">
        <f>ERP_34[[#This Row],[2026 Working Total to Budget/LE]]-ERP_34[[#This Row],[Giveback]]</f>
        <v>2902.66</v>
      </c>
      <c r="AO327" s="81"/>
      <c r="AP327" s="81"/>
      <c r="AQ327" s="81"/>
      <c r="AR327" s="81">
        <v>2902.66</v>
      </c>
      <c r="AS327" s="81">
        <v>0</v>
      </c>
      <c r="AT327" s="81">
        <v>0</v>
      </c>
      <c r="AU327" s="81">
        <v>0</v>
      </c>
      <c r="AV327" s="81">
        <v>0</v>
      </c>
      <c r="AW327" s="81">
        <v>0</v>
      </c>
      <c r="AX327" s="81">
        <v>0</v>
      </c>
      <c r="AY327" s="81">
        <v>0</v>
      </c>
      <c r="AZ327" s="81">
        <v>0</v>
      </c>
      <c r="BA327" s="81">
        <v>0</v>
      </c>
      <c r="BB327" s="81">
        <v>2902.66</v>
      </c>
      <c r="BC327" s="79"/>
      <c r="BD327" s="79"/>
      <c r="BE327" s="79">
        <v>2902.66</v>
      </c>
      <c r="BF327" s="79">
        <v>0</v>
      </c>
      <c r="BG327" s="79">
        <v>0</v>
      </c>
      <c r="BH327" s="79">
        <v>0</v>
      </c>
      <c r="BI327" s="79">
        <v>0</v>
      </c>
      <c r="BJ327" s="79">
        <v>0</v>
      </c>
      <c r="BK327" s="79">
        <v>0</v>
      </c>
      <c r="BL327" s="79">
        <v>0</v>
      </c>
      <c r="BM327" s="79">
        <v>0</v>
      </c>
      <c r="BN327" s="79">
        <v>0</v>
      </c>
      <c r="BO327" s="79">
        <v>2902.66</v>
      </c>
    </row>
    <row r="328" spans="1:67">
      <c r="A328" s="66" t="s">
        <v>2284</v>
      </c>
      <c r="B328" s="66" t="str">
        <f>_xlfn.TEXTJOIN("_",,ERP_34[[#This Row],[LT Member -1*]],ERP_34[[#This Row],[Expense Category]],ERP_34[[#This Row],[Project Code*]])</f>
        <v>Dougherty, Chris_SOFTWARE_IT-FGS0300-SW-US-00</v>
      </c>
      <c r="C328" s="67" t="s">
        <v>1136</v>
      </c>
      <c r="D328" s="67" t="s">
        <v>1135</v>
      </c>
      <c r="E328" s="67" t="s">
        <v>1135</v>
      </c>
      <c r="F328" s="67" t="s">
        <v>1137</v>
      </c>
      <c r="G328" s="68" t="s">
        <v>639</v>
      </c>
      <c r="H328" s="106" t="s">
        <v>2285</v>
      </c>
      <c r="I328" s="70"/>
      <c r="J328" s="70"/>
      <c r="K328" s="70" t="s">
        <v>676</v>
      </c>
      <c r="L328" s="70"/>
      <c r="M328" s="70"/>
      <c r="N328" s="70"/>
      <c r="O328" s="67" t="s">
        <v>677</v>
      </c>
      <c r="P328" s="67"/>
      <c r="Q328" s="71"/>
      <c r="R328" s="72">
        <v>6000</v>
      </c>
      <c r="S328" s="73">
        <v>10540</v>
      </c>
      <c r="T328" s="73">
        <v>6000</v>
      </c>
      <c r="U328" s="71">
        <f>ERP_34[[#This Row],[LE2 Final Submission]]-ERP_34[[#This Row],[LE3 Final Submission]]</f>
        <v>4540</v>
      </c>
      <c r="V328" s="74"/>
      <c r="W328" s="75">
        <v>4313</v>
      </c>
      <c r="X328" s="75">
        <v>227</v>
      </c>
      <c r="Y328" s="109">
        <v>0</v>
      </c>
      <c r="Z328" s="109">
        <v>0</v>
      </c>
      <c r="AA328" s="109">
        <v>0</v>
      </c>
      <c r="AB328" s="109">
        <v>0</v>
      </c>
      <c r="AC328" s="76">
        <v>6000</v>
      </c>
      <c r="AD328" s="109">
        <v>0</v>
      </c>
      <c r="AE328" s="109">
        <v>0</v>
      </c>
      <c r="AF328" s="109">
        <v>0</v>
      </c>
      <c r="AG328" s="109">
        <v>0</v>
      </c>
      <c r="AH328" s="77">
        <f t="shared" si="14"/>
        <v>10540</v>
      </c>
      <c r="AI328" s="108">
        <f>ERP_34[[#This Row],[2026 Working Total]]-ERP_34[[#This Row],[2026 LE0]]</f>
        <v>4540</v>
      </c>
      <c r="AJ328" s="79"/>
      <c r="AK328" s="79"/>
      <c r="AL3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28" s="80"/>
      <c r="AN328" s="79">
        <f>ERP_34[[#This Row],[2026 Working Total to Budget/LE]]-ERP_34[[#This Row],[Giveback]]</f>
        <v>4540</v>
      </c>
      <c r="AO328" s="81"/>
      <c r="AP328" s="81"/>
      <c r="AQ328" s="81">
        <v>4313</v>
      </c>
      <c r="AR328" s="81">
        <v>227</v>
      </c>
      <c r="AS328" s="81">
        <v>0</v>
      </c>
      <c r="AT328" s="81">
        <v>0</v>
      </c>
      <c r="AU328" s="81">
        <v>0</v>
      </c>
      <c r="AV328" s="81">
        <v>0</v>
      </c>
      <c r="AW328" s="81">
        <v>6000</v>
      </c>
      <c r="AX328" s="81">
        <v>0</v>
      </c>
      <c r="AY328" s="81">
        <v>0</v>
      </c>
      <c r="AZ328" s="81">
        <v>0</v>
      </c>
      <c r="BA328" s="81">
        <v>0</v>
      </c>
      <c r="BB328" s="81">
        <v>10540</v>
      </c>
      <c r="BC328" s="79"/>
      <c r="BD328" s="79">
        <v>4313</v>
      </c>
      <c r="BE328" s="79">
        <v>227</v>
      </c>
      <c r="BF328" s="79">
        <v>0</v>
      </c>
      <c r="BG328" s="79">
        <v>0</v>
      </c>
      <c r="BH328" s="79">
        <v>0</v>
      </c>
      <c r="BI328" s="79">
        <v>0</v>
      </c>
      <c r="BJ328" s="79">
        <v>6000</v>
      </c>
      <c r="BK328" s="79">
        <v>0</v>
      </c>
      <c r="BL328" s="79">
        <v>0</v>
      </c>
      <c r="BM328" s="79">
        <v>0</v>
      </c>
      <c r="BN328" s="79">
        <v>0</v>
      </c>
      <c r="BO328" s="79">
        <v>10540</v>
      </c>
    </row>
    <row r="329" spans="1:67">
      <c r="A329" s="66" t="s">
        <v>2286</v>
      </c>
      <c r="B329" s="66" t="str">
        <f>_xlfn.TEXTJOIN("_",,ERP_34[[#This Row],[LT Member -1*]],ERP_34[[#This Row],[Expense Category]],ERP_34[[#This Row],[Project Code*]])</f>
        <v>Maguire, Karla_SOFTWARE_IT-FGS0300-SW-US-00</v>
      </c>
      <c r="C329" s="67" t="s">
        <v>1136</v>
      </c>
      <c r="D329" s="67" t="s">
        <v>1135</v>
      </c>
      <c r="E329" s="67" t="s">
        <v>1137</v>
      </c>
      <c r="F329" s="67" t="s">
        <v>1137</v>
      </c>
      <c r="G329" s="68" t="s">
        <v>639</v>
      </c>
      <c r="H329" s="106" t="s">
        <v>2285</v>
      </c>
      <c r="I329" s="70"/>
      <c r="J329" s="70"/>
      <c r="K329" s="70" t="s">
        <v>676</v>
      </c>
      <c r="L329" s="70"/>
      <c r="M329" s="70"/>
      <c r="N329" s="70"/>
      <c r="O329" s="67" t="s">
        <v>677</v>
      </c>
      <c r="P329" s="67"/>
      <c r="Q329" s="71"/>
      <c r="R329" s="72">
        <v>10000</v>
      </c>
      <c r="S329" s="73">
        <v>12811.43</v>
      </c>
      <c r="T329" s="73">
        <v>10000</v>
      </c>
      <c r="U329" s="71">
        <f>ERP_34[[#This Row],[LE2 Final Submission]]-ERP_34[[#This Row],[LE3 Final Submission]]</f>
        <v>2811.4300000000003</v>
      </c>
      <c r="V329" s="74">
        <v>553.5</v>
      </c>
      <c r="W329" s="75">
        <v>681</v>
      </c>
      <c r="X329" s="75">
        <v>1576.93</v>
      </c>
      <c r="Y329" s="109">
        <v>0</v>
      </c>
      <c r="Z329" s="109">
        <v>0</v>
      </c>
      <c r="AA329" s="76">
        <v>5000</v>
      </c>
      <c r="AB329" s="109">
        <v>0</v>
      </c>
      <c r="AC329" s="109">
        <v>0</v>
      </c>
      <c r="AD329" s="109">
        <v>0</v>
      </c>
      <c r="AE329" s="109">
        <v>0</v>
      </c>
      <c r="AF329" s="109">
        <v>0</v>
      </c>
      <c r="AG329" s="76">
        <v>5000</v>
      </c>
      <c r="AH329" s="77">
        <f t="shared" si="14"/>
        <v>12811.43</v>
      </c>
      <c r="AI329" s="108">
        <f>ERP_34[[#This Row],[2026 Working Total]]-ERP_34[[#This Row],[2026 LE0]]</f>
        <v>2811.4300000000003</v>
      </c>
      <c r="AJ329" s="79"/>
      <c r="AK329" s="79"/>
      <c r="AL329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329" s="80"/>
      <c r="AN329" s="79">
        <f>ERP_34[[#This Row],[2026 Working Total to Budget/LE]]-ERP_34[[#This Row],[Giveback]]</f>
        <v>2811.4300000000003</v>
      </c>
      <c r="AO329" s="81"/>
      <c r="AP329" s="81">
        <v>553.5</v>
      </c>
      <c r="AQ329" s="81">
        <v>681</v>
      </c>
      <c r="AR329" s="81">
        <v>1576.93</v>
      </c>
      <c r="AS329" s="81">
        <v>0</v>
      </c>
      <c r="AT329" s="81">
        <v>0</v>
      </c>
      <c r="AU329" s="81">
        <v>5000</v>
      </c>
      <c r="AV329" s="81">
        <v>0</v>
      </c>
      <c r="AW329" s="81">
        <v>0</v>
      </c>
      <c r="AX329" s="81">
        <v>0</v>
      </c>
      <c r="AY329" s="81">
        <v>0</v>
      </c>
      <c r="AZ329" s="81">
        <v>0</v>
      </c>
      <c r="BA329" s="81">
        <v>5000</v>
      </c>
      <c r="BB329" s="81">
        <v>12811.43</v>
      </c>
      <c r="BC329" s="79">
        <v>553.5</v>
      </c>
      <c r="BD329" s="79">
        <v>681</v>
      </c>
      <c r="BE329" s="79">
        <v>1576.93</v>
      </c>
      <c r="BF329" s="79">
        <v>0</v>
      </c>
      <c r="BG329" s="79">
        <v>0</v>
      </c>
      <c r="BH329" s="79">
        <v>5000</v>
      </c>
      <c r="BI329" s="79">
        <v>0</v>
      </c>
      <c r="BJ329" s="79">
        <v>0</v>
      </c>
      <c r="BK329" s="79">
        <v>0</v>
      </c>
      <c r="BL329" s="79">
        <v>0</v>
      </c>
      <c r="BM329" s="79">
        <v>0</v>
      </c>
      <c r="BN329" s="79">
        <v>5000</v>
      </c>
      <c r="BO329" s="79">
        <v>12811.43</v>
      </c>
    </row>
    <row r="330" spans="1:67">
      <c r="A330" s="66" t="s">
        <v>2288</v>
      </c>
      <c r="B330" s="66" t="str">
        <f>_xlfn.TEXTJOIN("_",,ERP_34[[#This Row],[LT Member -1*]],ERP_34[[#This Row],[Expense Category]],ERP_34[[#This Row],[Project Code*]])</f>
        <v>McCormick, Pete_SOFTWARE_IT-FGS0300-SW-US-00</v>
      </c>
      <c r="C330" s="67" t="s">
        <v>1136</v>
      </c>
      <c r="D330" s="67" t="s">
        <v>1135</v>
      </c>
      <c r="E330" s="67" t="s">
        <v>1145</v>
      </c>
      <c r="F330" s="67" t="s">
        <v>1137</v>
      </c>
      <c r="G330" s="68" t="s">
        <v>639</v>
      </c>
      <c r="H330" s="106" t="s">
        <v>2285</v>
      </c>
      <c r="I330" s="70"/>
      <c r="J330" s="70"/>
      <c r="K330" s="70" t="s">
        <v>676</v>
      </c>
      <c r="L330" s="70"/>
      <c r="M330" s="70"/>
      <c r="N330" s="70"/>
      <c r="O330" s="67" t="s">
        <v>677</v>
      </c>
      <c r="P330" s="67"/>
      <c r="Q330" s="71"/>
      <c r="R330" s="72">
        <v>550</v>
      </c>
      <c r="S330" s="73">
        <v>777</v>
      </c>
      <c r="T330" s="73">
        <v>550</v>
      </c>
      <c r="U330" s="71">
        <f>ERP_34[[#This Row],[LE2 Final Submission]]-ERP_34[[#This Row],[LE3 Final Submission]]</f>
        <v>227</v>
      </c>
      <c r="V330" s="74"/>
      <c r="W330" s="75">
        <v>227</v>
      </c>
      <c r="X330" s="124">
        <v>0</v>
      </c>
      <c r="Y330" s="76">
        <v>550</v>
      </c>
      <c r="Z330" s="109">
        <v>0</v>
      </c>
      <c r="AA330" s="109">
        <v>0</v>
      </c>
      <c r="AB330" s="109">
        <v>0</v>
      </c>
      <c r="AC330" s="109">
        <v>0</v>
      </c>
      <c r="AD330" s="109">
        <v>0</v>
      </c>
      <c r="AE330" s="109">
        <v>0</v>
      </c>
      <c r="AF330" s="109">
        <v>0</v>
      </c>
      <c r="AG330" s="109">
        <v>0</v>
      </c>
      <c r="AH330" s="77">
        <f t="shared" si="14"/>
        <v>777</v>
      </c>
      <c r="AI330" s="108">
        <f>ERP_34[[#This Row],[2026 Working Total]]-ERP_34[[#This Row],[2026 LE0]]</f>
        <v>227</v>
      </c>
      <c r="AJ330" s="79"/>
      <c r="AK330" s="79"/>
      <c r="AL3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0" s="80"/>
      <c r="AN330" s="79">
        <f>ERP_34[[#This Row],[2026 Working Total to Budget/LE]]-ERP_34[[#This Row],[Giveback]]</f>
        <v>227</v>
      </c>
      <c r="AO330" s="81"/>
      <c r="AP330" s="81"/>
      <c r="AQ330" s="81">
        <v>227</v>
      </c>
      <c r="AR330" s="81">
        <v>0</v>
      </c>
      <c r="AS330" s="81">
        <v>550</v>
      </c>
      <c r="AT330" s="81">
        <v>0</v>
      </c>
      <c r="AU330" s="81">
        <v>0</v>
      </c>
      <c r="AV330" s="81">
        <v>0</v>
      </c>
      <c r="AW330" s="81">
        <v>0</v>
      </c>
      <c r="AX330" s="81">
        <v>0</v>
      </c>
      <c r="AY330" s="81">
        <v>0</v>
      </c>
      <c r="AZ330" s="81">
        <v>0</v>
      </c>
      <c r="BA330" s="81">
        <v>0</v>
      </c>
      <c r="BB330" s="81">
        <v>777</v>
      </c>
      <c r="BC330" s="79"/>
      <c r="BD330" s="79">
        <v>227</v>
      </c>
      <c r="BE330" s="79">
        <v>0</v>
      </c>
      <c r="BF330" s="79">
        <v>550</v>
      </c>
      <c r="BG330" s="79">
        <v>0</v>
      </c>
      <c r="BH330" s="79">
        <v>0</v>
      </c>
      <c r="BI330" s="79">
        <v>0</v>
      </c>
      <c r="BJ330" s="79">
        <v>0</v>
      </c>
      <c r="BK330" s="79">
        <v>0</v>
      </c>
      <c r="BL330" s="79">
        <v>0</v>
      </c>
      <c r="BM330" s="79">
        <v>0</v>
      </c>
      <c r="BN330" s="79">
        <v>0</v>
      </c>
      <c r="BO330" s="79">
        <v>777</v>
      </c>
    </row>
    <row r="331" spans="1:67">
      <c r="A331" s="66" t="s">
        <v>2784</v>
      </c>
      <c r="B331" s="66" t="str">
        <f>_xlfn.TEXTJOIN("_",,ERP_34[[#This Row],[LT Member -1*]],ERP_34[[#This Row],[Expense Category]],ERP_34[[#This Row],[Project Code*]])</f>
        <v>DeHart, Lynn_SOFTWARE_IT-FGS0300-SW-US-00</v>
      </c>
      <c r="C331" s="67" t="s">
        <v>1136</v>
      </c>
      <c r="D331" s="67" t="s">
        <v>1345</v>
      </c>
      <c r="E331" s="67" t="s">
        <v>1346</v>
      </c>
      <c r="F331" s="67" t="s">
        <v>1346</v>
      </c>
      <c r="G331" s="68" t="s">
        <v>639</v>
      </c>
      <c r="H331" s="106" t="s">
        <v>2285</v>
      </c>
      <c r="I331" s="70"/>
      <c r="J331" s="70"/>
      <c r="K331" s="70" t="s">
        <v>676</v>
      </c>
      <c r="L331" s="70"/>
      <c r="M331" s="70"/>
      <c r="N331" s="70"/>
      <c r="O331" s="67" t="s">
        <v>677</v>
      </c>
      <c r="P331" s="67"/>
      <c r="Q331" s="71"/>
      <c r="R331" s="72">
        <v>6000</v>
      </c>
      <c r="S331" s="73">
        <v>13404.42</v>
      </c>
      <c r="T331" s="73">
        <v>6000</v>
      </c>
      <c r="U331" s="71">
        <f>ERP_34[[#This Row],[LE2 Final Submission]]-ERP_34[[#This Row],[LE3 Final Submission]]</f>
        <v>7404.42</v>
      </c>
      <c r="V331" s="74">
        <v>542.75</v>
      </c>
      <c r="W331" s="75">
        <v>6823.51</v>
      </c>
      <c r="X331" s="75">
        <v>1538.16</v>
      </c>
      <c r="Y331" s="76">
        <v>500</v>
      </c>
      <c r="Z331" s="76">
        <v>500</v>
      </c>
      <c r="AA331" s="76">
        <v>500</v>
      </c>
      <c r="AB331" s="76">
        <v>500</v>
      </c>
      <c r="AC331" s="76">
        <v>500</v>
      </c>
      <c r="AD331" s="76">
        <v>500</v>
      </c>
      <c r="AE331" s="76">
        <v>500</v>
      </c>
      <c r="AF331" s="76">
        <v>500</v>
      </c>
      <c r="AG331" s="76">
        <v>500</v>
      </c>
      <c r="AH331" s="77">
        <f t="shared" si="14"/>
        <v>13404.42</v>
      </c>
      <c r="AI331" s="108">
        <f>ERP_34[[#This Row],[2026 Working Total]]-ERP_34[[#This Row],[2026 LE0]]</f>
        <v>7404.42</v>
      </c>
      <c r="AJ331" s="79"/>
      <c r="AK331" s="79"/>
      <c r="AL3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1" s="80"/>
      <c r="AN331" s="79">
        <f>ERP_34[[#This Row],[2026 Working Total to Budget/LE]]-ERP_34[[#This Row],[Giveback]]</f>
        <v>7404.42</v>
      </c>
      <c r="AO331" s="81"/>
      <c r="AP331" s="81">
        <v>542.75</v>
      </c>
      <c r="AQ331" s="81">
        <v>6823.51</v>
      </c>
      <c r="AR331" s="81">
        <v>1538.16</v>
      </c>
      <c r="AS331" s="81">
        <v>500</v>
      </c>
      <c r="AT331" s="81">
        <v>500</v>
      </c>
      <c r="AU331" s="81">
        <v>500</v>
      </c>
      <c r="AV331" s="81">
        <v>500</v>
      </c>
      <c r="AW331" s="81">
        <v>500</v>
      </c>
      <c r="AX331" s="81">
        <v>500</v>
      </c>
      <c r="AY331" s="81">
        <v>500</v>
      </c>
      <c r="AZ331" s="81">
        <v>500</v>
      </c>
      <c r="BA331" s="81">
        <v>500</v>
      </c>
      <c r="BB331" s="81">
        <v>13404.42</v>
      </c>
      <c r="BC331" s="79">
        <v>542.75</v>
      </c>
      <c r="BD331" s="79">
        <v>6823.51</v>
      </c>
      <c r="BE331" s="79">
        <v>1538.16</v>
      </c>
      <c r="BF331" s="79">
        <v>500</v>
      </c>
      <c r="BG331" s="79">
        <v>500</v>
      </c>
      <c r="BH331" s="79">
        <v>500</v>
      </c>
      <c r="BI331" s="79">
        <v>500</v>
      </c>
      <c r="BJ331" s="79">
        <v>500</v>
      </c>
      <c r="BK331" s="79">
        <v>500</v>
      </c>
      <c r="BL331" s="79">
        <v>500</v>
      </c>
      <c r="BM331" s="79">
        <v>500</v>
      </c>
      <c r="BN331" s="79">
        <v>500</v>
      </c>
      <c r="BO331" s="79">
        <v>13404.42</v>
      </c>
    </row>
    <row r="332" spans="1:67">
      <c r="A332" s="66" t="s">
        <v>2679</v>
      </c>
      <c r="B332" s="66" t="str">
        <f>_xlfn.TEXTJOIN("_",,ERP_34[[#This Row],[LT Member -1*]],ERP_34[[#This Row],[Expense Category]],ERP_34[[#This Row],[Project Code*]])</f>
        <v>Hase, Raj_SOFTWARE_IT-FGS0300-SW-US-00</v>
      </c>
      <c r="C332" s="67" t="s">
        <v>1136</v>
      </c>
      <c r="D332" s="67" t="s">
        <v>1345</v>
      </c>
      <c r="E332" s="67" t="s">
        <v>1345</v>
      </c>
      <c r="F332" s="67" t="s">
        <v>1346</v>
      </c>
      <c r="G332" s="68" t="s">
        <v>639</v>
      </c>
      <c r="H332" s="106" t="s">
        <v>2285</v>
      </c>
      <c r="I332" s="70"/>
      <c r="J332" s="70"/>
      <c r="K332" s="70" t="s">
        <v>676</v>
      </c>
      <c r="L332" s="70"/>
      <c r="M332" s="70"/>
      <c r="N332" s="70"/>
      <c r="O332" s="67" t="s">
        <v>677</v>
      </c>
      <c r="P332" s="67"/>
      <c r="Q332" s="71"/>
      <c r="R332" s="72">
        <v>275</v>
      </c>
      <c r="S332" s="73">
        <v>227</v>
      </c>
      <c r="T332" s="73">
        <v>275</v>
      </c>
      <c r="U332" s="71">
        <f>ERP_34[[#This Row],[LE2 Final Submission]]-ERP_34[[#This Row],[LE3 Final Submission]]</f>
        <v>-48</v>
      </c>
      <c r="V332" s="74"/>
      <c r="W332" s="75">
        <v>227</v>
      </c>
      <c r="X332" s="124">
        <v>0</v>
      </c>
      <c r="Y332" s="109">
        <v>0</v>
      </c>
      <c r="Z332" s="109">
        <v>0</v>
      </c>
      <c r="AA332" s="109">
        <v>0</v>
      </c>
      <c r="AB332" s="109">
        <v>0</v>
      </c>
      <c r="AC332" s="109">
        <v>0</v>
      </c>
      <c r="AD332" s="109">
        <v>0</v>
      </c>
      <c r="AE332" s="109">
        <v>0</v>
      </c>
      <c r="AF332" s="109">
        <v>0</v>
      </c>
      <c r="AG332" s="109">
        <v>0</v>
      </c>
      <c r="AH332" s="77">
        <f t="shared" ref="AH332:AH395" si="16">SUM(V332:AG332)</f>
        <v>227</v>
      </c>
      <c r="AI332" s="108">
        <f>ERP_34[[#This Row],[2026 Working Total]]-ERP_34[[#This Row],[2026 LE0]]</f>
        <v>-48</v>
      </c>
      <c r="AJ332" s="79"/>
      <c r="AK332" s="79"/>
      <c r="AL3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2" s="80"/>
      <c r="AN332" s="79">
        <f>ERP_34[[#This Row],[2026 Working Total to Budget/LE]]-ERP_34[[#This Row],[Giveback]]</f>
        <v>-48</v>
      </c>
      <c r="AO332" s="81"/>
      <c r="AP332" s="81"/>
      <c r="AQ332" s="81">
        <v>227</v>
      </c>
      <c r="AR332" s="81">
        <v>0</v>
      </c>
      <c r="AS332" s="81">
        <v>0</v>
      </c>
      <c r="AT332" s="81">
        <v>0</v>
      </c>
      <c r="AU332" s="81">
        <v>0</v>
      </c>
      <c r="AV332" s="81">
        <v>0</v>
      </c>
      <c r="AW332" s="81">
        <v>0</v>
      </c>
      <c r="AX332" s="81">
        <v>0</v>
      </c>
      <c r="AY332" s="81">
        <v>0</v>
      </c>
      <c r="AZ332" s="81">
        <v>0</v>
      </c>
      <c r="BA332" s="81">
        <v>0</v>
      </c>
      <c r="BB332" s="81">
        <v>227</v>
      </c>
      <c r="BC332" s="79"/>
      <c r="BD332" s="79">
        <v>227</v>
      </c>
      <c r="BE332" s="79">
        <v>0</v>
      </c>
      <c r="BF332" s="79">
        <v>0</v>
      </c>
      <c r="BG332" s="79">
        <v>0</v>
      </c>
      <c r="BH332" s="79">
        <v>0</v>
      </c>
      <c r="BI332" s="79">
        <v>0</v>
      </c>
      <c r="BJ332" s="79">
        <v>0</v>
      </c>
      <c r="BK332" s="79">
        <v>0</v>
      </c>
      <c r="BL332" s="79">
        <v>0</v>
      </c>
      <c r="BM332" s="79">
        <v>0</v>
      </c>
      <c r="BN332" s="79">
        <v>0</v>
      </c>
      <c r="BO332" s="79">
        <v>227</v>
      </c>
    </row>
    <row r="333" spans="1:67">
      <c r="A333" s="66" t="s">
        <v>2717</v>
      </c>
      <c r="B333" s="66" t="str">
        <f>_xlfn.TEXTJOIN("_",,ERP_34[[#This Row],[LT Member -1*]],ERP_34[[#This Row],[Expense Category]],ERP_34[[#This Row],[Project Code*]])</f>
        <v>Hovanyetz, Mike_SOFTWARE_IT-FGS0300-SW-US-00</v>
      </c>
      <c r="C333" s="67" t="s">
        <v>1136</v>
      </c>
      <c r="D333" s="67" t="s">
        <v>1345</v>
      </c>
      <c r="E333" s="67" t="s">
        <v>1480</v>
      </c>
      <c r="F333" s="67" t="s">
        <v>1346</v>
      </c>
      <c r="G333" s="68" t="s">
        <v>639</v>
      </c>
      <c r="H333" s="106" t="s">
        <v>2285</v>
      </c>
      <c r="I333" s="70"/>
      <c r="J333" s="70"/>
      <c r="K333" s="70" t="s">
        <v>676</v>
      </c>
      <c r="L333" s="70"/>
      <c r="M333" s="70"/>
      <c r="N333" s="70"/>
      <c r="O333" s="67" t="s">
        <v>677</v>
      </c>
      <c r="P333" s="67"/>
      <c r="Q333" s="71"/>
      <c r="R333" s="72">
        <v>1100</v>
      </c>
      <c r="S333" s="73">
        <v>825</v>
      </c>
      <c r="T333" s="73">
        <v>1100</v>
      </c>
      <c r="U333" s="71">
        <f>ERP_34[[#This Row],[LE2 Final Submission]]-ERP_34[[#This Row],[LE3 Final Submission]]</f>
        <v>-275</v>
      </c>
      <c r="V333" s="74"/>
      <c r="W333" s="75"/>
      <c r="X333" s="75"/>
      <c r="Y333" s="76"/>
      <c r="Z333" s="76"/>
      <c r="AA333" s="76">
        <v>275</v>
      </c>
      <c r="AB333" s="109">
        <v>0</v>
      </c>
      <c r="AC333" s="109">
        <v>0</v>
      </c>
      <c r="AD333" s="76">
        <v>275</v>
      </c>
      <c r="AE333" s="109">
        <v>0</v>
      </c>
      <c r="AF333" s="109">
        <v>0</v>
      </c>
      <c r="AG333" s="76">
        <v>275</v>
      </c>
      <c r="AH333" s="77">
        <f t="shared" si="16"/>
        <v>825</v>
      </c>
      <c r="AI333" s="108">
        <f>ERP_34[[#This Row],[2026 Working Total]]-ERP_34[[#This Row],[2026 LE0]]</f>
        <v>-275</v>
      </c>
      <c r="AJ333" s="79"/>
      <c r="AK333" s="79"/>
      <c r="AL3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3" s="80"/>
      <c r="AN333" s="79">
        <f>ERP_34[[#This Row],[2026 Working Total to Budget/LE]]-ERP_34[[#This Row],[Giveback]]</f>
        <v>-275</v>
      </c>
      <c r="AO333" s="81"/>
      <c r="AP333" s="81"/>
      <c r="AQ333" s="81"/>
      <c r="AR333" s="81"/>
      <c r="AS333" s="81"/>
      <c r="AT333" s="81"/>
      <c r="AU333" s="81">
        <v>275</v>
      </c>
      <c r="AV333" s="81">
        <v>0</v>
      </c>
      <c r="AW333" s="81">
        <v>0</v>
      </c>
      <c r="AX333" s="81">
        <v>275</v>
      </c>
      <c r="AY333" s="81">
        <v>0</v>
      </c>
      <c r="AZ333" s="81">
        <v>0</v>
      </c>
      <c r="BA333" s="81">
        <v>275</v>
      </c>
      <c r="BB333" s="81">
        <v>825</v>
      </c>
      <c r="BC333" s="79"/>
      <c r="BD333" s="79"/>
      <c r="BE333" s="79"/>
      <c r="BF333" s="79"/>
      <c r="BG333" s="79"/>
      <c r="BH333" s="79">
        <v>275</v>
      </c>
      <c r="BI333" s="79">
        <v>0</v>
      </c>
      <c r="BJ333" s="79">
        <v>0</v>
      </c>
      <c r="BK333" s="79">
        <v>275</v>
      </c>
      <c r="BL333" s="79">
        <v>0</v>
      </c>
      <c r="BM333" s="79">
        <v>0</v>
      </c>
      <c r="BN333" s="79">
        <v>275</v>
      </c>
      <c r="BO333" s="79">
        <v>825</v>
      </c>
    </row>
    <row r="334" spans="1:67">
      <c r="A334" s="66" t="s">
        <v>2747</v>
      </c>
      <c r="B334" s="66" t="str">
        <f>_xlfn.TEXTJOIN("_",,ERP_34[[#This Row],[LT Member -1*]],ERP_34[[#This Row],[Expense Category]],ERP_34[[#This Row],[Project Code*]])</f>
        <v>Jajodia, Amit_SOFTWARE_IT-FGS0300-SW-US-00</v>
      </c>
      <c r="C334" s="67" t="s">
        <v>1136</v>
      </c>
      <c r="D334" s="67" t="s">
        <v>1345</v>
      </c>
      <c r="E334" s="67" t="s">
        <v>1515</v>
      </c>
      <c r="F334" s="67" t="s">
        <v>1346</v>
      </c>
      <c r="G334" s="68" t="s">
        <v>639</v>
      </c>
      <c r="H334" s="106" t="s">
        <v>2285</v>
      </c>
      <c r="I334" s="70"/>
      <c r="J334" s="70"/>
      <c r="K334" s="70" t="s">
        <v>676</v>
      </c>
      <c r="L334" s="70"/>
      <c r="M334" s="70"/>
      <c r="N334" s="70"/>
      <c r="O334" s="67" t="s">
        <v>677</v>
      </c>
      <c r="P334" s="67"/>
      <c r="Q334" s="71"/>
      <c r="R334" s="72">
        <v>0</v>
      </c>
      <c r="S334" s="73">
        <v>218.38</v>
      </c>
      <c r="T334" s="73">
        <v>0</v>
      </c>
      <c r="U334" s="71">
        <f>ERP_34[[#This Row],[LE2 Final Submission]]-ERP_34[[#This Row],[LE3 Final Submission]]</f>
        <v>218.38</v>
      </c>
      <c r="V334" s="74"/>
      <c r="W334" s="75"/>
      <c r="X334" s="75">
        <v>218.38</v>
      </c>
      <c r="Y334" s="109">
        <v>0</v>
      </c>
      <c r="Z334" s="109">
        <v>0</v>
      </c>
      <c r="AA334" s="109">
        <v>0</v>
      </c>
      <c r="AB334" s="109">
        <v>0</v>
      </c>
      <c r="AC334" s="109">
        <v>0</v>
      </c>
      <c r="AD334" s="109">
        <v>0</v>
      </c>
      <c r="AE334" s="109">
        <v>0</v>
      </c>
      <c r="AF334" s="109">
        <v>0</v>
      </c>
      <c r="AG334" s="109">
        <v>0</v>
      </c>
      <c r="AH334" s="77">
        <f t="shared" si="16"/>
        <v>218.38</v>
      </c>
      <c r="AI334" s="108">
        <f>ERP_34[[#This Row],[2026 Working Total]]-ERP_34[[#This Row],[2026 LE0]]</f>
        <v>218.38</v>
      </c>
      <c r="AJ334" s="79"/>
      <c r="AK334" s="79"/>
      <c r="AL3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4" s="80"/>
      <c r="AN334" s="79">
        <f>ERP_34[[#This Row],[2026 Working Total to Budget/LE]]-ERP_34[[#This Row],[Giveback]]</f>
        <v>218.38</v>
      </c>
      <c r="AO334" s="81"/>
      <c r="AP334" s="81"/>
      <c r="AQ334" s="81"/>
      <c r="AR334" s="81">
        <v>218.38</v>
      </c>
      <c r="AS334" s="81">
        <v>0</v>
      </c>
      <c r="AT334" s="81">
        <v>0</v>
      </c>
      <c r="AU334" s="81">
        <v>0</v>
      </c>
      <c r="AV334" s="81">
        <v>0</v>
      </c>
      <c r="AW334" s="81">
        <v>0</v>
      </c>
      <c r="AX334" s="81">
        <v>0</v>
      </c>
      <c r="AY334" s="81">
        <v>0</v>
      </c>
      <c r="AZ334" s="81">
        <v>0</v>
      </c>
      <c r="BA334" s="81">
        <v>0</v>
      </c>
      <c r="BB334" s="81">
        <v>218.38</v>
      </c>
      <c r="BC334" s="79"/>
      <c r="BD334" s="79"/>
      <c r="BE334" s="79">
        <v>218.38</v>
      </c>
      <c r="BF334" s="79">
        <v>0</v>
      </c>
      <c r="BG334" s="79">
        <v>0</v>
      </c>
      <c r="BH334" s="79">
        <v>0</v>
      </c>
      <c r="BI334" s="79">
        <v>0</v>
      </c>
      <c r="BJ334" s="79">
        <v>0</v>
      </c>
      <c r="BK334" s="79">
        <v>0</v>
      </c>
      <c r="BL334" s="79">
        <v>0</v>
      </c>
      <c r="BM334" s="79">
        <v>0</v>
      </c>
      <c r="BN334" s="79">
        <v>0</v>
      </c>
      <c r="BO334" s="79">
        <v>218.38</v>
      </c>
    </row>
    <row r="335" spans="1:67">
      <c r="A335" s="66" t="s">
        <v>2786</v>
      </c>
      <c r="B335" s="66" t="str">
        <f>_xlfn.TEXTJOIN("_",,ERP_34[[#This Row],[LT Member -1*]],ERP_34[[#This Row],[Expense Category]],ERP_34[[#This Row],[Project Code*]])</f>
        <v>McGettigan, David_SOFTWARE_IT-FGS0300-SW-US-00</v>
      </c>
      <c r="C335" s="67" t="s">
        <v>1136</v>
      </c>
      <c r="D335" s="67" t="s">
        <v>1567</v>
      </c>
      <c r="E335" s="67" t="s">
        <v>1567</v>
      </c>
      <c r="F335" s="67" t="s">
        <v>1567</v>
      </c>
      <c r="G335" s="68" t="s">
        <v>639</v>
      </c>
      <c r="H335" s="106" t="s">
        <v>2285</v>
      </c>
      <c r="I335" s="70"/>
      <c r="J335" s="70"/>
      <c r="K335" s="70" t="s">
        <v>676</v>
      </c>
      <c r="L335" s="70"/>
      <c r="M335" s="70"/>
      <c r="N335" s="70"/>
      <c r="O335" s="67" t="s">
        <v>677</v>
      </c>
      <c r="P335" s="67"/>
      <c r="Q335" s="71"/>
      <c r="R335" s="72">
        <v>0</v>
      </c>
      <c r="S335" s="73">
        <v>934.17</v>
      </c>
      <c r="T335" s="73">
        <v>0</v>
      </c>
      <c r="U335" s="71">
        <f>ERP_34[[#This Row],[LE2 Final Submission]]-ERP_34[[#This Row],[LE3 Final Submission]]</f>
        <v>934.17</v>
      </c>
      <c r="V335" s="74">
        <v>253.17</v>
      </c>
      <c r="W335" s="75">
        <v>681</v>
      </c>
      <c r="X335" s="124">
        <v>0</v>
      </c>
      <c r="Y335" s="109">
        <v>0</v>
      </c>
      <c r="Z335" s="109">
        <v>0</v>
      </c>
      <c r="AA335" s="109">
        <v>0</v>
      </c>
      <c r="AB335" s="109">
        <v>0</v>
      </c>
      <c r="AC335" s="109">
        <v>0</v>
      </c>
      <c r="AD335" s="109">
        <v>0</v>
      </c>
      <c r="AE335" s="109">
        <v>0</v>
      </c>
      <c r="AF335" s="109">
        <v>0</v>
      </c>
      <c r="AG335" s="109">
        <v>0</v>
      </c>
      <c r="AH335" s="77">
        <f t="shared" si="16"/>
        <v>934.17</v>
      </c>
      <c r="AI335" s="108">
        <f>ERP_34[[#This Row],[2026 Working Total]]-ERP_34[[#This Row],[2026 LE0]]</f>
        <v>934.17</v>
      </c>
      <c r="AJ335" s="79"/>
      <c r="AK335" s="79"/>
      <c r="AL3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5" s="80"/>
      <c r="AN335" s="79">
        <f>ERP_34[[#This Row],[2026 Working Total to Budget/LE]]-ERP_34[[#This Row],[Giveback]]</f>
        <v>934.17</v>
      </c>
      <c r="AO335" s="81"/>
      <c r="AP335" s="81">
        <v>253.17</v>
      </c>
      <c r="AQ335" s="81">
        <v>681</v>
      </c>
      <c r="AR335" s="81">
        <v>0</v>
      </c>
      <c r="AS335" s="81">
        <v>0</v>
      </c>
      <c r="AT335" s="81">
        <v>0</v>
      </c>
      <c r="AU335" s="81">
        <v>0</v>
      </c>
      <c r="AV335" s="81">
        <v>0</v>
      </c>
      <c r="AW335" s="81">
        <v>0</v>
      </c>
      <c r="AX335" s="81">
        <v>0</v>
      </c>
      <c r="AY335" s="81">
        <v>0</v>
      </c>
      <c r="AZ335" s="81">
        <v>0</v>
      </c>
      <c r="BA335" s="81">
        <v>0</v>
      </c>
      <c r="BB335" s="81">
        <v>934.17</v>
      </c>
      <c r="BC335" s="82">
        <v>253.17</v>
      </c>
      <c r="BD335" s="82">
        <v>681</v>
      </c>
      <c r="BE335" s="82">
        <v>0</v>
      </c>
      <c r="BF335" s="82">
        <v>0</v>
      </c>
      <c r="BG335" s="82">
        <v>0</v>
      </c>
      <c r="BH335" s="82">
        <v>0</v>
      </c>
      <c r="BI335" s="82">
        <v>0</v>
      </c>
      <c r="BJ335" s="82">
        <v>0</v>
      </c>
      <c r="BK335" s="82">
        <v>0</v>
      </c>
      <c r="BL335" s="82">
        <v>0</v>
      </c>
      <c r="BM335" s="82">
        <v>0</v>
      </c>
      <c r="BN335" s="82">
        <v>0</v>
      </c>
      <c r="BO335" s="82">
        <v>934.17</v>
      </c>
    </row>
    <row r="336" spans="1:67">
      <c r="A336" s="66" t="s">
        <v>2810</v>
      </c>
      <c r="B336" s="66" t="str">
        <f>_xlfn.TEXTJOIN("_",,ERP_34[[#This Row],[LT Member -1*]],ERP_34[[#This Row],[Expense Category]],ERP_34[[#This Row],[Project Code*]])</f>
        <v>Robertson, Jerome_SOFTWARE_IT-FGS0300-SW-US-00</v>
      </c>
      <c r="C336" s="67" t="s">
        <v>1136</v>
      </c>
      <c r="D336" s="67" t="s">
        <v>1650</v>
      </c>
      <c r="E336" s="67" t="s">
        <v>1650</v>
      </c>
      <c r="F336" s="67" t="s">
        <v>1650</v>
      </c>
      <c r="G336" s="68" t="s">
        <v>639</v>
      </c>
      <c r="H336" s="106" t="s">
        <v>2285</v>
      </c>
      <c r="I336" s="70"/>
      <c r="J336" s="70"/>
      <c r="K336" s="70" t="s">
        <v>676</v>
      </c>
      <c r="L336" s="70"/>
      <c r="M336" s="70"/>
      <c r="N336" s="70"/>
      <c r="O336" s="67" t="s">
        <v>677</v>
      </c>
      <c r="P336" s="67"/>
      <c r="Q336" s="71"/>
      <c r="R336" s="72">
        <v>838.44</v>
      </c>
      <c r="S336" s="73">
        <v>1759.95</v>
      </c>
      <c r="T336" s="73">
        <v>838.44</v>
      </c>
      <c r="U336" s="71">
        <f>ERP_34[[#This Row],[LE2 Final Submission]]-ERP_34[[#This Row],[LE3 Final Submission]]</f>
        <v>921.51</v>
      </c>
      <c r="V336" s="74"/>
      <c r="W336" s="75">
        <v>921.51</v>
      </c>
      <c r="X336" s="124">
        <v>0</v>
      </c>
      <c r="Y336" s="109">
        <v>0</v>
      </c>
      <c r="Z336" s="109">
        <v>0</v>
      </c>
      <c r="AA336" s="109">
        <v>0</v>
      </c>
      <c r="AB336" s="109">
        <v>0</v>
      </c>
      <c r="AC336" s="76">
        <v>550</v>
      </c>
      <c r="AD336" s="76">
        <v>288.44</v>
      </c>
      <c r="AE336" s="109">
        <v>0</v>
      </c>
      <c r="AF336" s="109">
        <v>0</v>
      </c>
      <c r="AG336" s="109">
        <v>0</v>
      </c>
      <c r="AH336" s="194">
        <f t="shared" si="16"/>
        <v>1759.95</v>
      </c>
      <c r="AI336" s="108">
        <f>ERP_34[[#This Row],[2026 Working Total]]-ERP_34[[#This Row],[2026 LE0]]</f>
        <v>921.51</v>
      </c>
      <c r="AJ336" s="79"/>
      <c r="AK336" s="79"/>
      <c r="AL3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6" s="80"/>
      <c r="AN336" s="79">
        <f>ERP_34[[#This Row],[2026 Working Total to Budget/LE]]-ERP_34[[#This Row],[Giveback]]</f>
        <v>921.51</v>
      </c>
      <c r="AO336" s="81"/>
      <c r="AP336" s="81"/>
      <c r="AQ336" s="81">
        <v>921.51</v>
      </c>
      <c r="AR336" s="81">
        <v>0</v>
      </c>
      <c r="AS336" s="81">
        <v>0</v>
      </c>
      <c r="AT336" s="81">
        <v>0</v>
      </c>
      <c r="AU336" s="81">
        <v>0</v>
      </c>
      <c r="AV336" s="81">
        <v>0</v>
      </c>
      <c r="AW336" s="81">
        <v>550</v>
      </c>
      <c r="AX336" s="81">
        <v>288.44</v>
      </c>
      <c r="AY336" s="81">
        <v>0</v>
      </c>
      <c r="AZ336" s="81">
        <v>0</v>
      </c>
      <c r="BA336" s="81">
        <v>0</v>
      </c>
      <c r="BB336" s="81">
        <v>1759.95</v>
      </c>
      <c r="BC336" s="79"/>
      <c r="BD336" s="79">
        <v>921.51</v>
      </c>
      <c r="BE336" s="79">
        <v>0</v>
      </c>
      <c r="BF336" s="79">
        <v>0</v>
      </c>
      <c r="BG336" s="79">
        <v>0</v>
      </c>
      <c r="BH336" s="79">
        <v>0</v>
      </c>
      <c r="BI336" s="79">
        <v>0</v>
      </c>
      <c r="BJ336" s="79">
        <v>550</v>
      </c>
      <c r="BK336" s="79">
        <v>288.44</v>
      </c>
      <c r="BL336" s="79">
        <v>0</v>
      </c>
      <c r="BM336" s="79">
        <v>0</v>
      </c>
      <c r="BN336" s="79">
        <v>0</v>
      </c>
      <c r="BO336" s="79">
        <v>1759.95</v>
      </c>
    </row>
    <row r="337" spans="1:67">
      <c r="A337" s="66" t="s">
        <v>1901</v>
      </c>
      <c r="B337" s="66" t="str">
        <f>_xlfn.TEXTJOIN("_",,ERP_34[[#This Row],[LT Member -1*]],ERP_34[[#This Row],[Expense Category]],ERP_34[[#This Row],[Project Code*]])</f>
        <v>Dougherty, Chris_MANAGED SERVICES_IT-FGS0301-OG-US-00</v>
      </c>
      <c r="C337" s="67" t="s">
        <v>1136</v>
      </c>
      <c r="D337" s="67" t="s">
        <v>1135</v>
      </c>
      <c r="E337" s="67" t="s">
        <v>1135</v>
      </c>
      <c r="F337" s="67" t="s">
        <v>1137</v>
      </c>
      <c r="G337" s="68" t="s">
        <v>389</v>
      </c>
      <c r="H337" s="106" t="s">
        <v>1855</v>
      </c>
      <c r="I337" s="70"/>
      <c r="J337" s="70"/>
      <c r="K337" s="70" t="s">
        <v>466</v>
      </c>
      <c r="L337" s="70"/>
      <c r="M337" s="70"/>
      <c r="N337" s="70"/>
      <c r="O337" s="67" t="s">
        <v>57</v>
      </c>
      <c r="P337" s="67"/>
      <c r="Q337" s="71"/>
      <c r="R337" s="72">
        <v>120000</v>
      </c>
      <c r="S337" s="73">
        <v>141134</v>
      </c>
      <c r="T337" s="73">
        <v>120000</v>
      </c>
      <c r="U337" s="71">
        <f>ERP_34[[#This Row],[LE2 Final Submission]]-ERP_34[[#This Row],[LE3 Final Submission]]</f>
        <v>21134</v>
      </c>
      <c r="V337" s="74">
        <v>17770</v>
      </c>
      <c r="W337" s="75">
        <v>18328</v>
      </c>
      <c r="X337" s="75">
        <v>15036</v>
      </c>
      <c r="Y337" s="76">
        <v>10000</v>
      </c>
      <c r="Z337" s="76">
        <v>10000</v>
      </c>
      <c r="AA337" s="76">
        <v>10000</v>
      </c>
      <c r="AB337" s="76">
        <v>10000</v>
      </c>
      <c r="AC337" s="76">
        <v>10000</v>
      </c>
      <c r="AD337" s="76">
        <v>10000</v>
      </c>
      <c r="AE337" s="76">
        <v>10000</v>
      </c>
      <c r="AF337" s="76">
        <v>10000</v>
      </c>
      <c r="AG337" s="76">
        <v>10000</v>
      </c>
      <c r="AH337" s="77">
        <f t="shared" si="16"/>
        <v>141134</v>
      </c>
      <c r="AI337" s="108">
        <f>ERP_34[[#This Row],[2026 Working Total]]-ERP_34[[#This Row],[2026 LE0]]</f>
        <v>21134</v>
      </c>
      <c r="AJ337" s="79"/>
      <c r="AK337" s="79"/>
      <c r="AL3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7" s="80"/>
      <c r="AN337" s="79">
        <f>ERP_34[[#This Row],[2026 Working Total to Budget/LE]]-ERP_34[[#This Row],[Giveback]]</f>
        <v>21134</v>
      </c>
      <c r="AO337" s="81"/>
      <c r="AP337" s="81">
        <v>17770</v>
      </c>
      <c r="AQ337" s="81">
        <v>18328</v>
      </c>
      <c r="AR337" s="81">
        <v>15036</v>
      </c>
      <c r="AS337" s="81">
        <v>10000</v>
      </c>
      <c r="AT337" s="81">
        <v>10000</v>
      </c>
      <c r="AU337" s="81">
        <v>10000</v>
      </c>
      <c r="AV337" s="81">
        <v>10000</v>
      </c>
      <c r="AW337" s="81">
        <v>10000</v>
      </c>
      <c r="AX337" s="81">
        <v>10000</v>
      </c>
      <c r="AY337" s="81">
        <v>10000</v>
      </c>
      <c r="AZ337" s="81">
        <v>10000</v>
      </c>
      <c r="BA337" s="81">
        <v>10000</v>
      </c>
      <c r="BB337" s="81">
        <v>141134</v>
      </c>
      <c r="BC337" s="79">
        <v>17770</v>
      </c>
      <c r="BD337" s="79">
        <v>18328</v>
      </c>
      <c r="BE337" s="79">
        <v>15036</v>
      </c>
      <c r="BF337" s="79">
        <v>10000</v>
      </c>
      <c r="BG337" s="79">
        <v>10000</v>
      </c>
      <c r="BH337" s="79">
        <v>10000</v>
      </c>
      <c r="BI337" s="79">
        <v>10000</v>
      </c>
      <c r="BJ337" s="79">
        <v>10000</v>
      </c>
      <c r="BK337" s="79">
        <v>10000</v>
      </c>
      <c r="BL337" s="79">
        <v>10000</v>
      </c>
      <c r="BM337" s="79">
        <v>10000</v>
      </c>
      <c r="BN337" s="79">
        <v>10000</v>
      </c>
      <c r="BO337" s="79">
        <v>141134</v>
      </c>
    </row>
    <row r="338" spans="1:67">
      <c r="A338" s="66" t="s">
        <v>1903</v>
      </c>
      <c r="B338" s="66" t="str">
        <f>_xlfn.TEXTJOIN("_",,ERP_34[[#This Row],[LT Member -1*]],ERP_34[[#This Row],[Expense Category]],ERP_34[[#This Row],[Project Code*]])</f>
        <v>Maguire, Karla_MANAGED SERVICES_IT-FGS0301-OG-US-00</v>
      </c>
      <c r="C338" s="67" t="s">
        <v>1136</v>
      </c>
      <c r="D338" s="67" t="s">
        <v>1135</v>
      </c>
      <c r="E338" s="67" t="s">
        <v>1137</v>
      </c>
      <c r="F338" s="67" t="s">
        <v>1137</v>
      </c>
      <c r="G338" s="68" t="s">
        <v>389</v>
      </c>
      <c r="H338" s="106" t="s">
        <v>1855</v>
      </c>
      <c r="I338" s="70"/>
      <c r="J338" s="70"/>
      <c r="K338" s="70" t="s">
        <v>466</v>
      </c>
      <c r="L338" s="70"/>
      <c r="M338" s="70"/>
      <c r="N338" s="70"/>
      <c r="O338" s="67" t="s">
        <v>57</v>
      </c>
      <c r="P338" s="67"/>
      <c r="Q338" s="71"/>
      <c r="R338" s="72">
        <v>0</v>
      </c>
      <c r="S338" s="73">
        <v>12459.34</v>
      </c>
      <c r="T338" s="73">
        <v>0</v>
      </c>
      <c r="U338" s="71">
        <f>ERP_34[[#This Row],[LE2 Final Submission]]-ERP_34[[#This Row],[LE3 Final Submission]]</f>
        <v>12459.34</v>
      </c>
      <c r="V338" s="74">
        <v>3067.29</v>
      </c>
      <c r="W338" s="75">
        <v>2981.39</v>
      </c>
      <c r="X338" s="75">
        <v>1910.66</v>
      </c>
      <c r="Y338" s="76">
        <v>500</v>
      </c>
      <c r="Z338" s="76">
        <v>500</v>
      </c>
      <c r="AA338" s="76">
        <v>500</v>
      </c>
      <c r="AB338" s="76">
        <v>500</v>
      </c>
      <c r="AC338" s="76">
        <v>500</v>
      </c>
      <c r="AD338" s="76">
        <v>500</v>
      </c>
      <c r="AE338" s="76">
        <v>500</v>
      </c>
      <c r="AF338" s="76">
        <v>500</v>
      </c>
      <c r="AG338" s="76">
        <v>500</v>
      </c>
      <c r="AH338" s="77">
        <f t="shared" si="16"/>
        <v>12459.34</v>
      </c>
      <c r="AI338" s="108">
        <f>ERP_34[[#This Row],[2026 Working Total]]-ERP_34[[#This Row],[2026 LE0]]</f>
        <v>12459.34</v>
      </c>
      <c r="AJ338" s="79"/>
      <c r="AK338" s="79"/>
      <c r="AL3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8" s="80"/>
      <c r="AN338" s="79">
        <f>ERP_34[[#This Row],[2026 Working Total to Budget/LE]]-ERP_34[[#This Row],[Giveback]]</f>
        <v>12459.34</v>
      </c>
      <c r="AO338" s="81"/>
      <c r="AP338" s="81">
        <v>3067.29</v>
      </c>
      <c r="AQ338" s="81">
        <v>2981.39</v>
      </c>
      <c r="AR338" s="81">
        <v>1910.66</v>
      </c>
      <c r="AS338" s="81">
        <v>500</v>
      </c>
      <c r="AT338" s="81">
        <v>500</v>
      </c>
      <c r="AU338" s="81">
        <v>500</v>
      </c>
      <c r="AV338" s="81">
        <v>500</v>
      </c>
      <c r="AW338" s="81">
        <v>500</v>
      </c>
      <c r="AX338" s="81">
        <v>500</v>
      </c>
      <c r="AY338" s="81">
        <v>500</v>
      </c>
      <c r="AZ338" s="81">
        <v>500</v>
      </c>
      <c r="BA338" s="81">
        <v>500</v>
      </c>
      <c r="BB338" s="81">
        <v>12459.34</v>
      </c>
      <c r="BC338" s="79">
        <v>3067.29</v>
      </c>
      <c r="BD338" s="79">
        <v>2981.39</v>
      </c>
      <c r="BE338" s="79">
        <v>1910.66</v>
      </c>
      <c r="BF338" s="79">
        <v>500</v>
      </c>
      <c r="BG338" s="79">
        <v>500</v>
      </c>
      <c r="BH338" s="79">
        <v>500</v>
      </c>
      <c r="BI338" s="79">
        <v>500</v>
      </c>
      <c r="BJ338" s="79">
        <v>500</v>
      </c>
      <c r="BK338" s="79">
        <v>500</v>
      </c>
      <c r="BL338" s="79">
        <v>500</v>
      </c>
      <c r="BM338" s="79">
        <v>500</v>
      </c>
      <c r="BN338" s="79">
        <v>500</v>
      </c>
      <c r="BO338" s="79">
        <v>12459.34</v>
      </c>
    </row>
    <row r="339" spans="1:67">
      <c r="A339" s="66" t="s">
        <v>1906</v>
      </c>
      <c r="B339" s="66" t="str">
        <f>_xlfn.TEXTJOIN("_",,ERP_34[[#This Row],[LT Member -1*]],ERP_34[[#This Row],[Expense Category]],ERP_34[[#This Row],[Project Code*]])</f>
        <v>McCormick, Pete_MANAGED SERVICES_IT-FGS0301-OG-US-00</v>
      </c>
      <c r="C339" s="67" t="s">
        <v>1136</v>
      </c>
      <c r="D339" s="67" t="s">
        <v>1135</v>
      </c>
      <c r="E339" s="67" t="s">
        <v>1145</v>
      </c>
      <c r="F339" s="67" t="s">
        <v>1137</v>
      </c>
      <c r="G339" s="68" t="s">
        <v>389</v>
      </c>
      <c r="H339" s="106" t="s">
        <v>1855</v>
      </c>
      <c r="I339" s="70"/>
      <c r="J339" s="70"/>
      <c r="K339" s="70" t="s">
        <v>466</v>
      </c>
      <c r="L339" s="70"/>
      <c r="M339" s="70"/>
      <c r="N339" s="70"/>
      <c r="O339" s="67" t="s">
        <v>57</v>
      </c>
      <c r="P339" s="67"/>
      <c r="Q339" s="71"/>
      <c r="R339" s="72">
        <v>42000</v>
      </c>
      <c r="S339" s="73">
        <v>31512</v>
      </c>
      <c r="T339" s="73">
        <v>42000</v>
      </c>
      <c r="U339" s="71">
        <f>ERP_34[[#This Row],[LE2 Final Submission]]-ERP_34[[#This Row],[LE3 Final Submission]]</f>
        <v>-10488</v>
      </c>
      <c r="V339" s="74">
        <v>3202</v>
      </c>
      <c r="W339" s="75">
        <v>2807</v>
      </c>
      <c r="X339" s="75">
        <v>240</v>
      </c>
      <c r="Y339" s="76">
        <v>2807</v>
      </c>
      <c r="Z339" s="76">
        <v>2807</v>
      </c>
      <c r="AA339" s="76">
        <v>2807</v>
      </c>
      <c r="AB339" s="76">
        <v>2807</v>
      </c>
      <c r="AC339" s="76">
        <v>2807</v>
      </c>
      <c r="AD339" s="76">
        <v>2807</v>
      </c>
      <c r="AE339" s="76">
        <v>2807</v>
      </c>
      <c r="AF339" s="76">
        <v>2807</v>
      </c>
      <c r="AG339" s="76">
        <v>2807</v>
      </c>
      <c r="AH339" s="77">
        <f t="shared" si="16"/>
        <v>31512</v>
      </c>
      <c r="AI339" s="108">
        <f>ERP_34[[#This Row],[2026 Working Total]]-ERP_34[[#This Row],[2026 LE0]]</f>
        <v>-10488</v>
      </c>
      <c r="AJ339" s="79"/>
      <c r="AK339" s="79"/>
      <c r="AL3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39" s="80"/>
      <c r="AN339" s="79">
        <f>ERP_34[[#This Row],[2026 Working Total to Budget/LE]]-ERP_34[[#This Row],[Giveback]]</f>
        <v>-10488</v>
      </c>
      <c r="AO339" s="81"/>
      <c r="AP339" s="81">
        <v>3202</v>
      </c>
      <c r="AQ339" s="81">
        <v>2807</v>
      </c>
      <c r="AR339" s="81">
        <v>240</v>
      </c>
      <c r="AS339" s="81">
        <v>2807</v>
      </c>
      <c r="AT339" s="81">
        <v>2807</v>
      </c>
      <c r="AU339" s="81">
        <v>2807</v>
      </c>
      <c r="AV339" s="81">
        <v>2807</v>
      </c>
      <c r="AW339" s="81">
        <v>2807</v>
      </c>
      <c r="AX339" s="81">
        <v>2807</v>
      </c>
      <c r="AY339" s="81">
        <v>2807</v>
      </c>
      <c r="AZ339" s="81">
        <v>2807</v>
      </c>
      <c r="BA339" s="81">
        <v>2807</v>
      </c>
      <c r="BB339" s="81">
        <v>31512</v>
      </c>
      <c r="BC339" s="79">
        <v>3202</v>
      </c>
      <c r="BD339" s="79">
        <v>2807</v>
      </c>
      <c r="BE339" s="79">
        <v>240</v>
      </c>
      <c r="BF339" s="79">
        <v>2807</v>
      </c>
      <c r="BG339" s="79">
        <v>2807</v>
      </c>
      <c r="BH339" s="79">
        <v>2807</v>
      </c>
      <c r="BI339" s="79">
        <v>2807</v>
      </c>
      <c r="BJ339" s="79">
        <v>2807</v>
      </c>
      <c r="BK339" s="79">
        <v>2807</v>
      </c>
      <c r="BL339" s="79">
        <v>2807</v>
      </c>
      <c r="BM339" s="79">
        <v>2807</v>
      </c>
      <c r="BN339" s="79">
        <v>2807</v>
      </c>
      <c r="BO339" s="79">
        <v>31512</v>
      </c>
    </row>
    <row r="340" spans="1:67">
      <c r="A340" s="66" t="s">
        <v>1908</v>
      </c>
      <c r="B340" s="66" t="str">
        <f>_xlfn.TEXTJOIN("_",,ERP_34[[#This Row],[LT Member -1*]],ERP_34[[#This Row],[Expense Category]],ERP_34[[#This Row],[Project Code*]])</f>
        <v>Meadows, Leslie_MANAGED SERVICES_IT-FGS0301-OG-US-00</v>
      </c>
      <c r="C340" s="67" t="s">
        <v>1136</v>
      </c>
      <c r="D340" s="67" t="s">
        <v>1135</v>
      </c>
      <c r="E340" s="67" t="s">
        <v>1156</v>
      </c>
      <c r="F340" s="67" t="s">
        <v>1137</v>
      </c>
      <c r="G340" s="68" t="s">
        <v>389</v>
      </c>
      <c r="H340" s="106" t="s">
        <v>1855</v>
      </c>
      <c r="I340" s="70"/>
      <c r="J340" s="70"/>
      <c r="K340" s="157" t="s">
        <v>466</v>
      </c>
      <c r="L340" s="70"/>
      <c r="M340" s="70"/>
      <c r="N340" s="70"/>
      <c r="O340" s="67" t="s">
        <v>57</v>
      </c>
      <c r="P340" s="67"/>
      <c r="Q340" s="71"/>
      <c r="R340" s="72">
        <v>0</v>
      </c>
      <c r="S340" s="73">
        <v>3535</v>
      </c>
      <c r="T340" s="73">
        <v>0</v>
      </c>
      <c r="U340" s="71">
        <f>ERP_34[[#This Row],[LE2 Final Submission]]-ERP_34[[#This Row],[LE3 Final Submission]]</f>
        <v>3535</v>
      </c>
      <c r="V340" s="74">
        <v>60</v>
      </c>
      <c r="W340" s="124">
        <v>0</v>
      </c>
      <c r="X340" s="75">
        <v>3475</v>
      </c>
      <c r="Y340" s="109">
        <v>0</v>
      </c>
      <c r="Z340" s="109">
        <v>0</v>
      </c>
      <c r="AA340" s="109">
        <v>0</v>
      </c>
      <c r="AB340" s="109">
        <v>0</v>
      </c>
      <c r="AC340" s="109">
        <v>0</v>
      </c>
      <c r="AD340" s="109">
        <v>0</v>
      </c>
      <c r="AE340" s="109">
        <v>0</v>
      </c>
      <c r="AF340" s="109">
        <v>0</v>
      </c>
      <c r="AG340" s="109">
        <v>0</v>
      </c>
      <c r="AH340" s="77">
        <f t="shared" si="16"/>
        <v>3535</v>
      </c>
      <c r="AI340" s="108">
        <f>ERP_34[[#This Row],[2026 Working Total]]-ERP_34[[#This Row],[2026 LE0]]</f>
        <v>3535</v>
      </c>
      <c r="AJ340" s="79"/>
      <c r="AK340" s="79"/>
      <c r="AL3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0" s="80"/>
      <c r="AN340" s="79">
        <f>ERP_34[[#This Row],[2026 Working Total to Budget/LE]]-ERP_34[[#This Row],[Giveback]]</f>
        <v>3535</v>
      </c>
      <c r="AO340" s="81"/>
      <c r="AP340" s="81">
        <v>60</v>
      </c>
      <c r="AQ340" s="81">
        <v>0</v>
      </c>
      <c r="AR340" s="81">
        <v>3475</v>
      </c>
      <c r="AS340" s="81">
        <v>0</v>
      </c>
      <c r="AT340" s="81">
        <v>0</v>
      </c>
      <c r="AU340" s="81">
        <v>0</v>
      </c>
      <c r="AV340" s="81">
        <v>0</v>
      </c>
      <c r="AW340" s="81">
        <v>0</v>
      </c>
      <c r="AX340" s="81">
        <v>0</v>
      </c>
      <c r="AY340" s="81">
        <v>0</v>
      </c>
      <c r="AZ340" s="81">
        <v>0</v>
      </c>
      <c r="BA340" s="81">
        <v>0</v>
      </c>
      <c r="BB340" s="81">
        <v>3535</v>
      </c>
      <c r="BC340" s="79">
        <v>60</v>
      </c>
      <c r="BD340" s="79">
        <v>0</v>
      </c>
      <c r="BE340" s="79">
        <v>3475</v>
      </c>
      <c r="BF340" s="79">
        <v>0</v>
      </c>
      <c r="BG340" s="79">
        <v>0</v>
      </c>
      <c r="BH340" s="79">
        <v>0</v>
      </c>
      <c r="BI340" s="79">
        <v>0</v>
      </c>
      <c r="BJ340" s="79">
        <v>0</v>
      </c>
      <c r="BK340" s="79">
        <v>0</v>
      </c>
      <c r="BL340" s="79">
        <v>0</v>
      </c>
      <c r="BM340" s="79">
        <v>0</v>
      </c>
      <c r="BN340" s="79">
        <v>0</v>
      </c>
      <c r="BO340" s="79">
        <v>3535</v>
      </c>
    </row>
    <row r="341" spans="1:67">
      <c r="A341" s="66" t="s">
        <v>1910</v>
      </c>
      <c r="B341" s="66" t="str">
        <f>_xlfn.TEXTJOIN("_",,ERP_34[[#This Row],[LT Member -1*]],ERP_34[[#This Row],[Expense Category]],ERP_34[[#This Row],[Project Code*]])</f>
        <v>Patel, Nikunj Rohitkumar_MANAGED SERVICES_IT-FGS0301-OG-US-00</v>
      </c>
      <c r="C341" s="67" t="s">
        <v>1136</v>
      </c>
      <c r="D341" s="67" t="s">
        <v>1135</v>
      </c>
      <c r="E341" s="67" t="s">
        <v>1161</v>
      </c>
      <c r="F341" s="67" t="s">
        <v>1137</v>
      </c>
      <c r="G341" s="68" t="s">
        <v>389</v>
      </c>
      <c r="H341" s="106" t="s">
        <v>1855</v>
      </c>
      <c r="I341" s="70"/>
      <c r="J341" s="70"/>
      <c r="K341" s="70" t="s">
        <v>466</v>
      </c>
      <c r="L341" s="70"/>
      <c r="M341" s="70"/>
      <c r="N341" s="70"/>
      <c r="O341" s="67" t="s">
        <v>57</v>
      </c>
      <c r="P341" s="67"/>
      <c r="Q341" s="71"/>
      <c r="R341" s="72">
        <v>0</v>
      </c>
      <c r="S341" s="73">
        <v>1245</v>
      </c>
      <c r="T341" s="73">
        <v>0</v>
      </c>
      <c r="U341" s="71">
        <f>ERP_34[[#This Row],[LE2 Final Submission]]-ERP_34[[#This Row],[LE3 Final Submission]]</f>
        <v>1245</v>
      </c>
      <c r="V341" s="74"/>
      <c r="W341" s="75"/>
      <c r="X341" s="75">
        <v>1245</v>
      </c>
      <c r="Y341" s="109">
        <v>0</v>
      </c>
      <c r="Z341" s="109">
        <v>0</v>
      </c>
      <c r="AA341" s="109">
        <v>0</v>
      </c>
      <c r="AB341" s="109">
        <v>0</v>
      </c>
      <c r="AC341" s="109">
        <v>0</v>
      </c>
      <c r="AD341" s="109">
        <v>0</v>
      </c>
      <c r="AE341" s="109">
        <v>0</v>
      </c>
      <c r="AF341" s="109">
        <v>0</v>
      </c>
      <c r="AG341" s="109">
        <v>0</v>
      </c>
      <c r="AH341" s="194">
        <f t="shared" si="16"/>
        <v>1245</v>
      </c>
      <c r="AI341" s="108">
        <f>ERP_34[[#This Row],[2026 Working Total]]-ERP_34[[#This Row],[2026 LE0]]</f>
        <v>1245</v>
      </c>
      <c r="AJ341" s="79"/>
      <c r="AK341" s="79"/>
      <c r="AL3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1" s="80"/>
      <c r="AN341" s="79">
        <f>ERP_34[[#This Row],[2026 Working Total to Budget/LE]]-ERP_34[[#This Row],[Giveback]]</f>
        <v>1245</v>
      </c>
      <c r="AO341" s="81"/>
      <c r="AP341" s="81"/>
      <c r="AQ341" s="81"/>
      <c r="AR341" s="81">
        <v>1245</v>
      </c>
      <c r="AS341" s="81">
        <v>0</v>
      </c>
      <c r="AT341" s="81">
        <v>0</v>
      </c>
      <c r="AU341" s="81">
        <v>0</v>
      </c>
      <c r="AV341" s="81">
        <v>0</v>
      </c>
      <c r="AW341" s="81">
        <v>0</v>
      </c>
      <c r="AX341" s="81">
        <v>0</v>
      </c>
      <c r="AY341" s="81">
        <v>0</v>
      </c>
      <c r="AZ341" s="81">
        <v>0</v>
      </c>
      <c r="BA341" s="81">
        <v>0</v>
      </c>
      <c r="BB341" s="81">
        <v>1245</v>
      </c>
      <c r="BC341" s="79"/>
      <c r="BD341" s="79"/>
      <c r="BE341" s="79">
        <v>1245</v>
      </c>
      <c r="BF341" s="79">
        <v>0</v>
      </c>
      <c r="BG341" s="79">
        <v>0</v>
      </c>
      <c r="BH341" s="79">
        <v>0</v>
      </c>
      <c r="BI341" s="79">
        <v>0</v>
      </c>
      <c r="BJ341" s="79">
        <v>0</v>
      </c>
      <c r="BK341" s="79">
        <v>0</v>
      </c>
      <c r="BL341" s="79">
        <v>0</v>
      </c>
      <c r="BM341" s="79">
        <v>0</v>
      </c>
      <c r="BN341" s="79">
        <v>0</v>
      </c>
      <c r="BO341" s="79">
        <v>1245</v>
      </c>
    </row>
    <row r="342" spans="1:67">
      <c r="A342" s="66" t="s">
        <v>1912</v>
      </c>
      <c r="B342" s="66" t="str">
        <f>_xlfn.TEXTJOIN("_",,ERP_34[[#This Row],[LT Member -1*]],ERP_34[[#This Row],[Expense Category]],ERP_34[[#This Row],[Project Code*]])</f>
        <v>Tamavada, Ram_MANAGED SERVICES_IT-FGS0301-OG-US-00</v>
      </c>
      <c r="C342" s="67" t="s">
        <v>1136</v>
      </c>
      <c r="D342" s="67" t="s">
        <v>1135</v>
      </c>
      <c r="E342" s="67" t="s">
        <v>1165</v>
      </c>
      <c r="F342" s="67" t="s">
        <v>1137</v>
      </c>
      <c r="G342" s="68" t="s">
        <v>389</v>
      </c>
      <c r="H342" s="106" t="s">
        <v>1855</v>
      </c>
      <c r="I342" s="70"/>
      <c r="J342" s="70"/>
      <c r="K342" s="70" t="s">
        <v>466</v>
      </c>
      <c r="L342" s="70"/>
      <c r="M342" s="70"/>
      <c r="N342" s="70"/>
      <c r="O342" s="67" t="s">
        <v>57</v>
      </c>
      <c r="P342" s="67"/>
      <c r="Q342" s="71"/>
      <c r="R342" s="72">
        <v>120000</v>
      </c>
      <c r="S342" s="73">
        <v>114396</v>
      </c>
      <c r="T342" s="73">
        <v>120000</v>
      </c>
      <c r="U342" s="71">
        <f>ERP_34[[#This Row],[LE2 Final Submission]]-ERP_34[[#This Row],[LE3 Final Submission]]</f>
        <v>-5604</v>
      </c>
      <c r="V342" s="74">
        <v>8661</v>
      </c>
      <c r="W342" s="75">
        <v>6471</v>
      </c>
      <c r="X342" s="75">
        <v>9264</v>
      </c>
      <c r="Y342" s="76">
        <v>10000</v>
      </c>
      <c r="Z342" s="76">
        <v>10000</v>
      </c>
      <c r="AA342" s="76">
        <v>10000</v>
      </c>
      <c r="AB342" s="76">
        <v>10000</v>
      </c>
      <c r="AC342" s="76">
        <v>10000</v>
      </c>
      <c r="AD342" s="76">
        <v>10000</v>
      </c>
      <c r="AE342" s="76">
        <v>10000</v>
      </c>
      <c r="AF342" s="76">
        <v>10000</v>
      </c>
      <c r="AG342" s="76">
        <v>10000</v>
      </c>
      <c r="AH342" s="77">
        <f t="shared" si="16"/>
        <v>114396</v>
      </c>
      <c r="AI342" s="108">
        <f>ERP_34[[#This Row],[2026 Working Total]]-ERP_34[[#This Row],[2026 LE0]]</f>
        <v>-5604</v>
      </c>
      <c r="AJ342" s="79"/>
      <c r="AK342" s="79"/>
      <c r="AL3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2" s="80"/>
      <c r="AN342" s="79">
        <f>ERP_34[[#This Row],[2026 Working Total to Budget/LE]]-ERP_34[[#This Row],[Giveback]]</f>
        <v>-5604</v>
      </c>
      <c r="AO342" s="81"/>
      <c r="AP342" s="81">
        <v>8661</v>
      </c>
      <c r="AQ342" s="81">
        <v>6471</v>
      </c>
      <c r="AR342" s="81">
        <v>9264</v>
      </c>
      <c r="AS342" s="81">
        <v>10000</v>
      </c>
      <c r="AT342" s="81">
        <v>10000</v>
      </c>
      <c r="AU342" s="81">
        <v>10000</v>
      </c>
      <c r="AV342" s="81">
        <v>10000</v>
      </c>
      <c r="AW342" s="81">
        <v>10000</v>
      </c>
      <c r="AX342" s="81">
        <v>10000</v>
      </c>
      <c r="AY342" s="81">
        <v>10000</v>
      </c>
      <c r="AZ342" s="81">
        <v>10000</v>
      </c>
      <c r="BA342" s="81">
        <v>10000</v>
      </c>
      <c r="BB342" s="81">
        <v>114396</v>
      </c>
      <c r="BC342" s="79">
        <v>8661</v>
      </c>
      <c r="BD342" s="79">
        <v>6471</v>
      </c>
      <c r="BE342" s="79">
        <v>9264</v>
      </c>
      <c r="BF342" s="79">
        <v>10000</v>
      </c>
      <c r="BG342" s="79">
        <v>10000</v>
      </c>
      <c r="BH342" s="79">
        <v>10000</v>
      </c>
      <c r="BI342" s="79">
        <v>10000</v>
      </c>
      <c r="BJ342" s="79">
        <v>10000</v>
      </c>
      <c r="BK342" s="79">
        <v>10000</v>
      </c>
      <c r="BL342" s="79">
        <v>10000</v>
      </c>
      <c r="BM342" s="79">
        <v>10000</v>
      </c>
      <c r="BN342" s="79">
        <v>10000</v>
      </c>
      <c r="BO342" s="79">
        <v>114396</v>
      </c>
    </row>
    <row r="343" spans="1:67">
      <c r="A343" s="66" t="s">
        <v>2117</v>
      </c>
      <c r="B343" s="66" t="str">
        <f>_xlfn.TEXTJOIN("_",,ERP_34[[#This Row],[LT Member -1*]],ERP_34[[#This Row],[Expense Category]],ERP_34[[#This Row],[Project Code*]])</f>
        <v>DeHart, Lynn_MANAGED SERVICES_IT-FGS0301-OG-US-00</v>
      </c>
      <c r="C343" s="67" t="s">
        <v>1136</v>
      </c>
      <c r="D343" s="67" t="s">
        <v>1345</v>
      </c>
      <c r="E343" s="67" t="s">
        <v>1346</v>
      </c>
      <c r="F343" s="67" t="s">
        <v>1346</v>
      </c>
      <c r="G343" s="68" t="s">
        <v>389</v>
      </c>
      <c r="H343" s="106" t="s">
        <v>1855</v>
      </c>
      <c r="I343" s="70"/>
      <c r="J343" s="70"/>
      <c r="K343" s="70" t="s">
        <v>466</v>
      </c>
      <c r="L343" s="70"/>
      <c r="M343" s="70"/>
      <c r="N343" s="70"/>
      <c r="O343" s="67" t="s">
        <v>57</v>
      </c>
      <c r="P343" s="67"/>
      <c r="Q343" s="71"/>
      <c r="R343" s="72">
        <v>60000</v>
      </c>
      <c r="S343" s="73">
        <v>76216.11</v>
      </c>
      <c r="T343" s="73">
        <v>60000</v>
      </c>
      <c r="U343" s="71">
        <f>ERP_34[[#This Row],[LE2 Final Submission]]-ERP_34[[#This Row],[LE3 Final Submission]]</f>
        <v>16216.11</v>
      </c>
      <c r="V343" s="74">
        <v>14407.17</v>
      </c>
      <c r="W343" s="75">
        <v>13803.08</v>
      </c>
      <c r="X343" s="75">
        <v>3005.86</v>
      </c>
      <c r="Y343" s="76">
        <v>5000</v>
      </c>
      <c r="Z343" s="76">
        <v>5000</v>
      </c>
      <c r="AA343" s="76">
        <v>5000</v>
      </c>
      <c r="AB343" s="76">
        <v>5000</v>
      </c>
      <c r="AC343" s="76">
        <v>5000</v>
      </c>
      <c r="AD343" s="76">
        <v>5000</v>
      </c>
      <c r="AE343" s="76">
        <v>5000</v>
      </c>
      <c r="AF343" s="76">
        <v>5000</v>
      </c>
      <c r="AG343" s="76">
        <v>5000</v>
      </c>
      <c r="AH343" s="77">
        <f t="shared" si="16"/>
        <v>76216.11</v>
      </c>
      <c r="AI343" s="108">
        <f>ERP_34[[#This Row],[2026 Working Total]]-ERP_34[[#This Row],[2026 LE0]]</f>
        <v>16216.11</v>
      </c>
      <c r="AJ343" s="79"/>
      <c r="AK343" s="79"/>
      <c r="AL3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3" s="80"/>
      <c r="AN343" s="79">
        <f>ERP_34[[#This Row],[2026 Working Total to Budget/LE]]-ERP_34[[#This Row],[Giveback]]</f>
        <v>16216.11</v>
      </c>
      <c r="AO343" s="81"/>
      <c r="AP343" s="81">
        <v>14407.17</v>
      </c>
      <c r="AQ343" s="81">
        <v>13803.08</v>
      </c>
      <c r="AR343" s="81">
        <v>3005.86</v>
      </c>
      <c r="AS343" s="81">
        <v>5000</v>
      </c>
      <c r="AT343" s="81">
        <v>5000</v>
      </c>
      <c r="AU343" s="81">
        <v>5000</v>
      </c>
      <c r="AV343" s="81">
        <v>5000</v>
      </c>
      <c r="AW343" s="81">
        <v>5000</v>
      </c>
      <c r="AX343" s="81">
        <v>5000</v>
      </c>
      <c r="AY343" s="81">
        <v>5000</v>
      </c>
      <c r="AZ343" s="81">
        <v>5000</v>
      </c>
      <c r="BA343" s="81">
        <v>5000</v>
      </c>
      <c r="BB343" s="81">
        <v>76216.11</v>
      </c>
      <c r="BC343" s="79">
        <v>14407.17</v>
      </c>
      <c r="BD343" s="79">
        <v>13803.08</v>
      </c>
      <c r="BE343" s="79">
        <v>3005.86</v>
      </c>
      <c r="BF343" s="79">
        <v>5000</v>
      </c>
      <c r="BG343" s="79">
        <v>5000</v>
      </c>
      <c r="BH343" s="79">
        <v>5000</v>
      </c>
      <c r="BI343" s="79">
        <v>5000</v>
      </c>
      <c r="BJ343" s="79">
        <v>5000</v>
      </c>
      <c r="BK343" s="79">
        <v>5000</v>
      </c>
      <c r="BL343" s="79">
        <v>5000</v>
      </c>
      <c r="BM343" s="79">
        <v>5000</v>
      </c>
      <c r="BN343" s="79">
        <v>5000</v>
      </c>
      <c r="BO343" s="79">
        <v>76216.11</v>
      </c>
    </row>
    <row r="344" spans="1:67">
      <c r="A344" s="66" t="s">
        <v>1986</v>
      </c>
      <c r="B344" s="66" t="str">
        <f>_xlfn.TEXTJOIN("_",,ERP_34[[#This Row],[LT Member -1*]],ERP_34[[#This Row],[Expense Category]],ERP_34[[#This Row],[Project Code*]])</f>
        <v>Ganesan, Srinivasan_MANAGED SERVICES_IT-FGS0301-OG-US-00</v>
      </c>
      <c r="C344" s="67" t="s">
        <v>1136</v>
      </c>
      <c r="D344" s="67" t="s">
        <v>1345</v>
      </c>
      <c r="E344" s="67" t="s">
        <v>1344</v>
      </c>
      <c r="F344" s="67" t="s">
        <v>1346</v>
      </c>
      <c r="G344" s="68" t="s">
        <v>389</v>
      </c>
      <c r="H344" s="106" t="s">
        <v>1855</v>
      </c>
      <c r="I344" s="70"/>
      <c r="J344" s="70"/>
      <c r="K344" s="70" t="s">
        <v>466</v>
      </c>
      <c r="L344" s="70"/>
      <c r="M344" s="70"/>
      <c r="N344" s="70"/>
      <c r="O344" s="67" t="s">
        <v>57</v>
      </c>
      <c r="P344" s="67"/>
      <c r="Q344" s="71"/>
      <c r="R344" s="72">
        <v>26400</v>
      </c>
      <c r="S344" s="73">
        <v>26962</v>
      </c>
      <c r="T344" s="73">
        <v>26400</v>
      </c>
      <c r="U344" s="71">
        <f>ERP_34[[#This Row],[LE2 Final Submission]]-ERP_34[[#This Row],[LE3 Final Submission]]</f>
        <v>562</v>
      </c>
      <c r="V344" s="74">
        <v>2359</v>
      </c>
      <c r="W344" s="75">
        <v>1615</v>
      </c>
      <c r="X344" s="75">
        <v>3188</v>
      </c>
      <c r="Y344" s="76">
        <v>2200</v>
      </c>
      <c r="Z344" s="76">
        <v>2200</v>
      </c>
      <c r="AA344" s="76">
        <v>2200</v>
      </c>
      <c r="AB344" s="76">
        <v>2200</v>
      </c>
      <c r="AC344" s="76">
        <v>2200</v>
      </c>
      <c r="AD344" s="76">
        <v>2200</v>
      </c>
      <c r="AE344" s="76">
        <v>2200</v>
      </c>
      <c r="AF344" s="76">
        <v>2200</v>
      </c>
      <c r="AG344" s="76">
        <v>2200</v>
      </c>
      <c r="AH344" s="77">
        <f t="shared" si="16"/>
        <v>26962</v>
      </c>
      <c r="AI344" s="108">
        <f>ERP_34[[#This Row],[2026 Working Total]]-ERP_34[[#This Row],[2026 LE0]]</f>
        <v>562</v>
      </c>
      <c r="AJ344" s="79"/>
      <c r="AK344" s="79"/>
      <c r="AL3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4" s="80"/>
      <c r="AN344" s="79">
        <f>ERP_34[[#This Row],[2026 Working Total to Budget/LE]]-ERP_34[[#This Row],[Giveback]]</f>
        <v>562</v>
      </c>
      <c r="AO344" s="81"/>
      <c r="AP344" s="81">
        <v>2359</v>
      </c>
      <c r="AQ344" s="81">
        <v>1615</v>
      </c>
      <c r="AR344" s="81">
        <v>3188</v>
      </c>
      <c r="AS344" s="81">
        <v>2200</v>
      </c>
      <c r="AT344" s="81">
        <v>2200</v>
      </c>
      <c r="AU344" s="81">
        <v>2200</v>
      </c>
      <c r="AV344" s="81">
        <v>2200</v>
      </c>
      <c r="AW344" s="81">
        <v>2200</v>
      </c>
      <c r="AX344" s="81">
        <v>2200</v>
      </c>
      <c r="AY344" s="81">
        <v>2200</v>
      </c>
      <c r="AZ344" s="81">
        <v>2200</v>
      </c>
      <c r="BA344" s="81">
        <v>2200</v>
      </c>
      <c r="BB344" s="81">
        <v>26962</v>
      </c>
      <c r="BC344" s="79">
        <v>2359</v>
      </c>
      <c r="BD344" s="79">
        <v>1615</v>
      </c>
      <c r="BE344" s="79">
        <v>3188</v>
      </c>
      <c r="BF344" s="79">
        <v>2200</v>
      </c>
      <c r="BG344" s="79">
        <v>2200</v>
      </c>
      <c r="BH344" s="79">
        <v>2200</v>
      </c>
      <c r="BI344" s="79">
        <v>2200</v>
      </c>
      <c r="BJ344" s="79">
        <v>2200</v>
      </c>
      <c r="BK344" s="79">
        <v>2200</v>
      </c>
      <c r="BL344" s="79">
        <v>2200</v>
      </c>
      <c r="BM344" s="79">
        <v>2200</v>
      </c>
      <c r="BN344" s="79">
        <v>2200</v>
      </c>
      <c r="BO344" s="79">
        <v>26962</v>
      </c>
    </row>
    <row r="345" spans="1:67">
      <c r="A345" s="66" t="s">
        <v>2024</v>
      </c>
      <c r="B345" s="66" t="str">
        <f>_xlfn.TEXTJOIN("_",,ERP_34[[#This Row],[LT Member -1*]],ERP_34[[#This Row],[Expense Category]],ERP_34[[#This Row],[Project Code*]])</f>
        <v>Hase, Raj_MANAGED SERVICES_IT-FGS0301-OG-US-00</v>
      </c>
      <c r="C345" s="67" t="s">
        <v>1136</v>
      </c>
      <c r="D345" s="67" t="s">
        <v>1345</v>
      </c>
      <c r="E345" s="67" t="s">
        <v>1345</v>
      </c>
      <c r="F345" s="67" t="s">
        <v>1346</v>
      </c>
      <c r="G345" s="68" t="s">
        <v>389</v>
      </c>
      <c r="H345" s="106" t="s">
        <v>1855</v>
      </c>
      <c r="I345" s="70"/>
      <c r="J345" s="70"/>
      <c r="K345" s="70" t="s">
        <v>466</v>
      </c>
      <c r="L345" s="70"/>
      <c r="M345" s="70"/>
      <c r="N345" s="70"/>
      <c r="O345" s="67" t="s">
        <v>57</v>
      </c>
      <c r="P345" s="67"/>
      <c r="Q345" s="71"/>
      <c r="R345" s="72">
        <v>19176</v>
      </c>
      <c r="S345" s="73">
        <v>21479</v>
      </c>
      <c r="T345" s="73">
        <v>19176</v>
      </c>
      <c r="U345" s="71">
        <f>ERP_34[[#This Row],[LE2 Final Submission]]-ERP_34[[#This Row],[LE3 Final Submission]]</f>
        <v>2303</v>
      </c>
      <c r="V345" s="74">
        <v>1566</v>
      </c>
      <c r="W345" s="75">
        <v>1439</v>
      </c>
      <c r="X345" s="75">
        <v>4092</v>
      </c>
      <c r="Y345" s="76">
        <v>1598</v>
      </c>
      <c r="Z345" s="76">
        <v>1598</v>
      </c>
      <c r="AA345" s="76">
        <v>1598</v>
      </c>
      <c r="AB345" s="76">
        <v>1598</v>
      </c>
      <c r="AC345" s="76">
        <v>1598</v>
      </c>
      <c r="AD345" s="76">
        <v>1598</v>
      </c>
      <c r="AE345" s="76">
        <v>1598</v>
      </c>
      <c r="AF345" s="76">
        <v>1598</v>
      </c>
      <c r="AG345" s="76">
        <v>1598</v>
      </c>
      <c r="AH345" s="77">
        <f t="shared" si="16"/>
        <v>21479</v>
      </c>
      <c r="AI345" s="108">
        <f>ERP_34[[#This Row],[2026 Working Total]]-ERP_34[[#This Row],[2026 LE0]]</f>
        <v>2303</v>
      </c>
      <c r="AJ345" s="79"/>
      <c r="AK345" s="79"/>
      <c r="AL3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5" s="80"/>
      <c r="AN345" s="79">
        <f>ERP_34[[#This Row],[2026 Working Total to Budget/LE]]-ERP_34[[#This Row],[Giveback]]</f>
        <v>2303</v>
      </c>
      <c r="AO345" s="81"/>
      <c r="AP345" s="81">
        <v>1566</v>
      </c>
      <c r="AQ345" s="81">
        <v>1439</v>
      </c>
      <c r="AR345" s="81">
        <v>4092</v>
      </c>
      <c r="AS345" s="81">
        <v>1598</v>
      </c>
      <c r="AT345" s="81">
        <v>1598</v>
      </c>
      <c r="AU345" s="81">
        <v>1598</v>
      </c>
      <c r="AV345" s="81">
        <v>1598</v>
      </c>
      <c r="AW345" s="81">
        <v>1598</v>
      </c>
      <c r="AX345" s="81">
        <v>1598</v>
      </c>
      <c r="AY345" s="81">
        <v>1598</v>
      </c>
      <c r="AZ345" s="81">
        <v>1598</v>
      </c>
      <c r="BA345" s="81">
        <v>1598</v>
      </c>
      <c r="BB345" s="81">
        <v>21479</v>
      </c>
      <c r="BC345" s="79">
        <v>1566</v>
      </c>
      <c r="BD345" s="79">
        <v>1439</v>
      </c>
      <c r="BE345" s="79">
        <v>4092</v>
      </c>
      <c r="BF345" s="79">
        <v>1598</v>
      </c>
      <c r="BG345" s="79">
        <v>1598</v>
      </c>
      <c r="BH345" s="79">
        <v>1598</v>
      </c>
      <c r="BI345" s="79">
        <v>1598</v>
      </c>
      <c r="BJ345" s="79">
        <v>1598</v>
      </c>
      <c r="BK345" s="79">
        <v>1598</v>
      </c>
      <c r="BL345" s="79">
        <v>1598</v>
      </c>
      <c r="BM345" s="79">
        <v>1598</v>
      </c>
      <c r="BN345" s="79">
        <v>1598</v>
      </c>
      <c r="BO345" s="79">
        <v>21479</v>
      </c>
    </row>
    <row r="346" spans="1:67">
      <c r="A346" s="66" t="s">
        <v>2040</v>
      </c>
      <c r="B346" s="66" t="str">
        <f>_xlfn.TEXTJOIN("_",,ERP_34[[#This Row],[LT Member -1*]],ERP_34[[#This Row],[Expense Category]],ERP_34[[#This Row],[Project Code*]])</f>
        <v>Herman, Shaun_MANAGED SERVICES_IT-FGS0301-OG-US-00</v>
      </c>
      <c r="C346" s="67" t="s">
        <v>1136</v>
      </c>
      <c r="D346" s="67" t="s">
        <v>1345</v>
      </c>
      <c r="E346" s="67" t="s">
        <v>1450</v>
      </c>
      <c r="F346" s="67" t="s">
        <v>1346</v>
      </c>
      <c r="G346" s="68" t="s">
        <v>389</v>
      </c>
      <c r="H346" s="106" t="s">
        <v>1855</v>
      </c>
      <c r="I346" s="70"/>
      <c r="J346" s="70"/>
      <c r="K346" s="70" t="s">
        <v>466</v>
      </c>
      <c r="L346" s="70"/>
      <c r="M346" s="70"/>
      <c r="N346" s="70"/>
      <c r="O346" s="67" t="s">
        <v>57</v>
      </c>
      <c r="P346" s="67"/>
      <c r="Q346" s="71"/>
      <c r="R346" s="72">
        <v>36000</v>
      </c>
      <c r="S346" s="73">
        <v>34822</v>
      </c>
      <c r="T346" s="73">
        <v>36000</v>
      </c>
      <c r="U346" s="71">
        <f>ERP_34[[#This Row],[LE2 Final Submission]]-ERP_34[[#This Row],[LE3 Final Submission]]</f>
        <v>-1178</v>
      </c>
      <c r="V346" s="74">
        <v>2137</v>
      </c>
      <c r="W346" s="75">
        <v>1809</v>
      </c>
      <c r="X346" s="75">
        <v>3876</v>
      </c>
      <c r="Y346" s="76">
        <v>3000</v>
      </c>
      <c r="Z346" s="76">
        <v>3000</v>
      </c>
      <c r="AA346" s="76">
        <v>3000</v>
      </c>
      <c r="AB346" s="76">
        <v>3000</v>
      </c>
      <c r="AC346" s="76">
        <v>3000</v>
      </c>
      <c r="AD346" s="76">
        <v>3000</v>
      </c>
      <c r="AE346" s="76">
        <v>3000</v>
      </c>
      <c r="AF346" s="76">
        <v>3000</v>
      </c>
      <c r="AG346" s="76">
        <v>3000</v>
      </c>
      <c r="AH346" s="77">
        <f t="shared" si="16"/>
        <v>34822</v>
      </c>
      <c r="AI346" s="108">
        <f>ERP_34[[#This Row],[2026 Working Total]]-ERP_34[[#This Row],[2026 LE0]]</f>
        <v>-1178</v>
      </c>
      <c r="AJ346" s="79"/>
      <c r="AK346" s="79"/>
      <c r="AL3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6" s="80"/>
      <c r="AN346" s="79">
        <f>ERP_34[[#This Row],[2026 Working Total to Budget/LE]]-ERP_34[[#This Row],[Giveback]]</f>
        <v>-1178</v>
      </c>
      <c r="AO346" s="81"/>
      <c r="AP346" s="81">
        <v>2137</v>
      </c>
      <c r="AQ346" s="81">
        <v>1809</v>
      </c>
      <c r="AR346" s="81">
        <v>3876</v>
      </c>
      <c r="AS346" s="81">
        <v>3000</v>
      </c>
      <c r="AT346" s="81">
        <v>3000</v>
      </c>
      <c r="AU346" s="81">
        <v>3000</v>
      </c>
      <c r="AV346" s="81">
        <v>3000</v>
      </c>
      <c r="AW346" s="81">
        <v>3000</v>
      </c>
      <c r="AX346" s="81">
        <v>3000</v>
      </c>
      <c r="AY346" s="81">
        <v>3000</v>
      </c>
      <c r="AZ346" s="81">
        <v>3000</v>
      </c>
      <c r="BA346" s="81">
        <v>3000</v>
      </c>
      <c r="BB346" s="81">
        <v>34822</v>
      </c>
      <c r="BC346" s="79">
        <v>2137</v>
      </c>
      <c r="BD346" s="79">
        <v>1809</v>
      </c>
      <c r="BE346" s="79">
        <v>3876</v>
      </c>
      <c r="BF346" s="79">
        <v>3000</v>
      </c>
      <c r="BG346" s="79">
        <v>3000</v>
      </c>
      <c r="BH346" s="79">
        <v>3000</v>
      </c>
      <c r="BI346" s="79">
        <v>3000</v>
      </c>
      <c r="BJ346" s="79">
        <v>3000</v>
      </c>
      <c r="BK346" s="79">
        <v>3000</v>
      </c>
      <c r="BL346" s="79">
        <v>3000</v>
      </c>
      <c r="BM346" s="79">
        <v>3000</v>
      </c>
      <c r="BN346" s="79">
        <v>3000</v>
      </c>
      <c r="BO346" s="79">
        <v>34822</v>
      </c>
    </row>
    <row r="347" spans="1:67">
      <c r="A347" s="66" t="s">
        <v>2059</v>
      </c>
      <c r="B347" s="66" t="str">
        <f>_xlfn.TEXTJOIN("_",,ERP_34[[#This Row],[LT Member -1*]],ERP_34[[#This Row],[Expense Category]],ERP_34[[#This Row],[Project Code*]])</f>
        <v>Hovanyetz, Mike_MANAGED SERVICES_IT-FGS0301-OG-US-00</v>
      </c>
      <c r="C347" s="67" t="s">
        <v>1136</v>
      </c>
      <c r="D347" s="67" t="s">
        <v>1345</v>
      </c>
      <c r="E347" s="67" t="s">
        <v>1480</v>
      </c>
      <c r="F347" s="67" t="s">
        <v>1346</v>
      </c>
      <c r="G347" s="68" t="s">
        <v>389</v>
      </c>
      <c r="H347" s="106" t="s">
        <v>1855</v>
      </c>
      <c r="I347" s="70"/>
      <c r="J347" s="70"/>
      <c r="K347" s="70" t="s">
        <v>466</v>
      </c>
      <c r="L347" s="70"/>
      <c r="M347" s="70"/>
      <c r="N347" s="70"/>
      <c r="O347" s="67" t="s">
        <v>57</v>
      </c>
      <c r="P347" s="67"/>
      <c r="Q347" s="71"/>
      <c r="R347" s="72">
        <v>27000</v>
      </c>
      <c r="S347" s="73">
        <v>26481</v>
      </c>
      <c r="T347" s="73">
        <v>27000</v>
      </c>
      <c r="U347" s="71">
        <f>ERP_34[[#This Row],[LE2 Final Submission]]-ERP_34[[#This Row],[LE3 Final Submission]]</f>
        <v>-519</v>
      </c>
      <c r="V347" s="74">
        <v>1883</v>
      </c>
      <c r="W347" s="75">
        <v>1481</v>
      </c>
      <c r="X347" s="75">
        <v>2867</v>
      </c>
      <c r="Y347" s="76">
        <v>2250</v>
      </c>
      <c r="Z347" s="76">
        <v>2250</v>
      </c>
      <c r="AA347" s="76">
        <v>2250</v>
      </c>
      <c r="AB347" s="76">
        <v>2250</v>
      </c>
      <c r="AC347" s="76">
        <v>2250</v>
      </c>
      <c r="AD347" s="76">
        <v>2250</v>
      </c>
      <c r="AE347" s="76">
        <v>2250</v>
      </c>
      <c r="AF347" s="76">
        <v>2250</v>
      </c>
      <c r="AG347" s="76">
        <v>2250</v>
      </c>
      <c r="AH347" s="77">
        <f t="shared" si="16"/>
        <v>26481</v>
      </c>
      <c r="AI347" s="108">
        <f>ERP_34[[#This Row],[2026 Working Total]]-ERP_34[[#This Row],[2026 LE0]]</f>
        <v>-519</v>
      </c>
      <c r="AJ347" s="79"/>
      <c r="AK347" s="79"/>
      <c r="AL3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7" s="80"/>
      <c r="AN347" s="79">
        <f>ERP_34[[#This Row],[2026 Working Total to Budget/LE]]-ERP_34[[#This Row],[Giveback]]</f>
        <v>-519</v>
      </c>
      <c r="AO347" s="81"/>
      <c r="AP347" s="81">
        <v>1883</v>
      </c>
      <c r="AQ347" s="81">
        <v>1481</v>
      </c>
      <c r="AR347" s="81">
        <v>2867</v>
      </c>
      <c r="AS347" s="81">
        <v>2250</v>
      </c>
      <c r="AT347" s="81">
        <v>2250</v>
      </c>
      <c r="AU347" s="81">
        <v>2250</v>
      </c>
      <c r="AV347" s="81">
        <v>2250</v>
      </c>
      <c r="AW347" s="81">
        <v>2250</v>
      </c>
      <c r="AX347" s="81">
        <v>2250</v>
      </c>
      <c r="AY347" s="81">
        <v>2250</v>
      </c>
      <c r="AZ347" s="81">
        <v>2250</v>
      </c>
      <c r="BA347" s="81">
        <v>2250</v>
      </c>
      <c r="BB347" s="81">
        <v>26481</v>
      </c>
      <c r="BC347" s="79">
        <v>1883</v>
      </c>
      <c r="BD347" s="79">
        <v>1481</v>
      </c>
      <c r="BE347" s="79">
        <v>2867</v>
      </c>
      <c r="BF347" s="79">
        <v>2250</v>
      </c>
      <c r="BG347" s="79">
        <v>2250</v>
      </c>
      <c r="BH347" s="79">
        <v>2250</v>
      </c>
      <c r="BI347" s="79">
        <v>2250</v>
      </c>
      <c r="BJ347" s="79">
        <v>2250</v>
      </c>
      <c r="BK347" s="79">
        <v>2250</v>
      </c>
      <c r="BL347" s="79">
        <v>2250</v>
      </c>
      <c r="BM347" s="79">
        <v>2250</v>
      </c>
      <c r="BN347" s="79">
        <v>2250</v>
      </c>
      <c r="BO347" s="79">
        <v>26481</v>
      </c>
    </row>
    <row r="348" spans="1:67">
      <c r="A348" s="66" t="s">
        <v>2072</v>
      </c>
      <c r="B348" s="66" t="str">
        <f>_xlfn.TEXTJOIN("_",,ERP_34[[#This Row],[LT Member -1*]],ERP_34[[#This Row],[Expense Category]],ERP_34[[#This Row],[Project Code*]])</f>
        <v>Jajodia, Amit_MANAGED SERVICES_IT-FGS0301-OG-US-00</v>
      </c>
      <c r="C348" s="67" t="s">
        <v>1136</v>
      </c>
      <c r="D348" s="67" t="s">
        <v>1345</v>
      </c>
      <c r="E348" s="67" t="s">
        <v>1515</v>
      </c>
      <c r="F348" s="67" t="s">
        <v>1346</v>
      </c>
      <c r="G348" s="68" t="s">
        <v>389</v>
      </c>
      <c r="H348" s="106" t="s">
        <v>1855</v>
      </c>
      <c r="I348" s="70"/>
      <c r="J348" s="70"/>
      <c r="K348" s="70" t="s">
        <v>466</v>
      </c>
      <c r="L348" s="70"/>
      <c r="M348" s="70"/>
      <c r="N348" s="70"/>
      <c r="O348" s="67" t="s">
        <v>57</v>
      </c>
      <c r="P348" s="67"/>
      <c r="Q348" s="71"/>
      <c r="R348" s="72">
        <v>0</v>
      </c>
      <c r="S348" s="73">
        <v>3562</v>
      </c>
      <c r="T348" s="73">
        <v>0</v>
      </c>
      <c r="U348" s="71">
        <f>ERP_34[[#This Row],[LE2 Final Submission]]-ERP_34[[#This Row],[LE3 Final Submission]]</f>
        <v>3562</v>
      </c>
      <c r="V348" s="74">
        <v>60</v>
      </c>
      <c r="W348" s="124">
        <v>0</v>
      </c>
      <c r="X348" s="75">
        <v>3502</v>
      </c>
      <c r="Y348" s="109">
        <v>0</v>
      </c>
      <c r="Z348" s="109">
        <v>0</v>
      </c>
      <c r="AA348" s="109">
        <v>0</v>
      </c>
      <c r="AB348" s="109">
        <v>0</v>
      </c>
      <c r="AC348" s="109">
        <v>0</v>
      </c>
      <c r="AD348" s="109">
        <v>0</v>
      </c>
      <c r="AE348" s="109">
        <v>0</v>
      </c>
      <c r="AF348" s="109">
        <v>0</v>
      </c>
      <c r="AG348" s="109">
        <v>0</v>
      </c>
      <c r="AH348" s="77">
        <f t="shared" si="16"/>
        <v>3562</v>
      </c>
      <c r="AI348" s="108">
        <f>ERP_34[[#This Row],[2026 Working Total]]-ERP_34[[#This Row],[2026 LE0]]</f>
        <v>3562</v>
      </c>
      <c r="AJ348" s="79"/>
      <c r="AK348" s="79"/>
      <c r="AL3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8" s="80"/>
      <c r="AN348" s="79">
        <f>ERP_34[[#This Row],[2026 Working Total to Budget/LE]]-ERP_34[[#This Row],[Giveback]]</f>
        <v>3562</v>
      </c>
      <c r="AO348" s="81"/>
      <c r="AP348" s="81">
        <v>60</v>
      </c>
      <c r="AQ348" s="81">
        <v>0</v>
      </c>
      <c r="AR348" s="81">
        <v>3502</v>
      </c>
      <c r="AS348" s="81">
        <v>0</v>
      </c>
      <c r="AT348" s="81">
        <v>0</v>
      </c>
      <c r="AU348" s="81">
        <v>0</v>
      </c>
      <c r="AV348" s="81">
        <v>0</v>
      </c>
      <c r="AW348" s="81">
        <v>0</v>
      </c>
      <c r="AX348" s="81">
        <v>0</v>
      </c>
      <c r="AY348" s="81">
        <v>0</v>
      </c>
      <c r="AZ348" s="81">
        <v>0</v>
      </c>
      <c r="BA348" s="81">
        <v>0</v>
      </c>
      <c r="BB348" s="81">
        <v>3562</v>
      </c>
      <c r="BC348" s="79">
        <v>60</v>
      </c>
      <c r="BD348" s="79">
        <v>0</v>
      </c>
      <c r="BE348" s="79">
        <v>3502</v>
      </c>
      <c r="BF348" s="79">
        <v>0</v>
      </c>
      <c r="BG348" s="79">
        <v>0</v>
      </c>
      <c r="BH348" s="79">
        <v>0</v>
      </c>
      <c r="BI348" s="79">
        <v>0</v>
      </c>
      <c r="BJ348" s="79">
        <v>0</v>
      </c>
      <c r="BK348" s="79">
        <v>0</v>
      </c>
      <c r="BL348" s="79">
        <v>0</v>
      </c>
      <c r="BM348" s="79">
        <v>0</v>
      </c>
      <c r="BN348" s="79">
        <v>0</v>
      </c>
      <c r="BO348" s="79">
        <v>3562</v>
      </c>
    </row>
    <row r="349" spans="1:67">
      <c r="A349" s="66" t="s">
        <v>2061</v>
      </c>
      <c r="B349" s="66" t="str">
        <f>_xlfn.TEXTJOIN("_",,ERP_34[[#This Row],[LT Member -1*]],ERP_34[[#This Row],[Expense Category]],ERP_34[[#This Row],[Project Code*]])</f>
        <v>Vaidya, Sachin_MANAGED SERVICES_IT-FGS0301-OG-US-00</v>
      </c>
      <c r="C349" s="67" t="s">
        <v>1136</v>
      </c>
      <c r="D349" s="67" t="s">
        <v>1345</v>
      </c>
      <c r="E349" s="67" t="s">
        <v>1481</v>
      </c>
      <c r="F349" s="67" t="s">
        <v>1346</v>
      </c>
      <c r="G349" s="68" t="s">
        <v>389</v>
      </c>
      <c r="H349" s="106" t="s">
        <v>1855</v>
      </c>
      <c r="I349" s="70"/>
      <c r="J349" s="70"/>
      <c r="K349" s="70" t="s">
        <v>466</v>
      </c>
      <c r="L349" s="70"/>
      <c r="M349" s="70"/>
      <c r="N349" s="70"/>
      <c r="O349" s="67" t="s">
        <v>57</v>
      </c>
      <c r="P349" s="158" t="s">
        <v>1513</v>
      </c>
      <c r="Q349" s="71"/>
      <c r="R349" s="72">
        <v>18852</v>
      </c>
      <c r="S349" s="73">
        <v>18092</v>
      </c>
      <c r="T349" s="73">
        <v>18852</v>
      </c>
      <c r="U349" s="71">
        <f>ERP_34[[#This Row],[LE2 Final Submission]]-ERP_34[[#This Row],[LE3 Final Submission]]</f>
        <v>-760</v>
      </c>
      <c r="V349" s="74">
        <v>1206</v>
      </c>
      <c r="W349" s="75">
        <v>1139</v>
      </c>
      <c r="X349" s="75">
        <v>1608</v>
      </c>
      <c r="Y349" s="76">
        <v>1571</v>
      </c>
      <c r="Z349" s="76">
        <v>1571</v>
      </c>
      <c r="AA349" s="76">
        <v>1571</v>
      </c>
      <c r="AB349" s="76">
        <v>1571</v>
      </c>
      <c r="AC349" s="76">
        <v>1571</v>
      </c>
      <c r="AD349" s="76">
        <v>1571</v>
      </c>
      <c r="AE349" s="76">
        <v>1571</v>
      </c>
      <c r="AF349" s="76">
        <v>1571</v>
      </c>
      <c r="AG349" s="76">
        <v>1571</v>
      </c>
      <c r="AH349" s="77">
        <f t="shared" si="16"/>
        <v>18092</v>
      </c>
      <c r="AI349" s="108">
        <f>ERP_34[[#This Row],[2026 Working Total]]-ERP_34[[#This Row],[2026 LE0]]</f>
        <v>-760</v>
      </c>
      <c r="AJ349" s="79"/>
      <c r="AK349" s="79"/>
      <c r="AL3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49" s="80"/>
      <c r="AN349" s="79">
        <f>ERP_34[[#This Row],[2026 Working Total to Budget/LE]]-ERP_34[[#This Row],[Giveback]]</f>
        <v>-760</v>
      </c>
      <c r="AO349" s="81"/>
      <c r="AP349" s="81">
        <v>1206</v>
      </c>
      <c r="AQ349" s="81">
        <v>1139</v>
      </c>
      <c r="AR349" s="81">
        <v>1608</v>
      </c>
      <c r="AS349" s="81">
        <v>1571</v>
      </c>
      <c r="AT349" s="81">
        <v>1571</v>
      </c>
      <c r="AU349" s="81">
        <v>1571</v>
      </c>
      <c r="AV349" s="81">
        <v>1571</v>
      </c>
      <c r="AW349" s="81">
        <v>1571</v>
      </c>
      <c r="AX349" s="81">
        <v>1571</v>
      </c>
      <c r="AY349" s="81">
        <v>1571</v>
      </c>
      <c r="AZ349" s="81">
        <v>1571</v>
      </c>
      <c r="BA349" s="81">
        <v>1571</v>
      </c>
      <c r="BB349" s="81">
        <v>18092</v>
      </c>
      <c r="BC349" s="79">
        <v>1206</v>
      </c>
      <c r="BD349" s="79">
        <v>1139</v>
      </c>
      <c r="BE349" s="79">
        <v>1608</v>
      </c>
      <c r="BF349" s="79">
        <v>1571</v>
      </c>
      <c r="BG349" s="79">
        <v>1571</v>
      </c>
      <c r="BH349" s="79">
        <v>1571</v>
      </c>
      <c r="BI349" s="79">
        <v>1571</v>
      </c>
      <c r="BJ349" s="79">
        <v>1571</v>
      </c>
      <c r="BK349" s="79">
        <v>1571</v>
      </c>
      <c r="BL349" s="79">
        <v>1571</v>
      </c>
      <c r="BM349" s="79">
        <v>1571</v>
      </c>
      <c r="BN349" s="79">
        <v>1571</v>
      </c>
      <c r="BO349" s="79">
        <v>18092</v>
      </c>
    </row>
    <row r="350" spans="1:67">
      <c r="A350" s="66" t="s">
        <v>2025</v>
      </c>
      <c r="B350" s="66" t="str">
        <f>_xlfn.TEXTJOIN("_",,ERP_34[[#This Row],[LT Member -1*]],ERP_34[[#This Row],[Expense Category]],ERP_34[[#This Row],[Project Code*]])</f>
        <v>Yeluri, Durga_MANAGED SERVICES_IT-FGS0301-OG-US-00</v>
      </c>
      <c r="C350" s="67" t="s">
        <v>1136</v>
      </c>
      <c r="D350" s="67" t="s">
        <v>1345</v>
      </c>
      <c r="E350" s="67" t="s">
        <v>1437</v>
      </c>
      <c r="F350" s="67" t="s">
        <v>1346</v>
      </c>
      <c r="G350" s="68" t="s">
        <v>389</v>
      </c>
      <c r="H350" s="106" t="s">
        <v>1855</v>
      </c>
      <c r="I350" s="70"/>
      <c r="J350" s="70"/>
      <c r="K350" s="70" t="s">
        <v>466</v>
      </c>
      <c r="L350" s="70"/>
      <c r="M350" s="70"/>
      <c r="N350" s="70"/>
      <c r="O350" s="67" t="s">
        <v>57</v>
      </c>
      <c r="P350" s="67"/>
      <c r="Q350" s="71"/>
      <c r="R350" s="72">
        <v>22800</v>
      </c>
      <c r="S350" s="73">
        <v>20679</v>
      </c>
      <c r="T350" s="73">
        <v>22800</v>
      </c>
      <c r="U350" s="71">
        <f>ERP_34[[#This Row],[LE2 Final Submission]]-ERP_34[[#This Row],[LE3 Final Submission]]</f>
        <v>-2121</v>
      </c>
      <c r="V350" s="74">
        <v>1636</v>
      </c>
      <c r="W350" s="75">
        <v>1153</v>
      </c>
      <c r="X350" s="75">
        <v>790</v>
      </c>
      <c r="Y350" s="76">
        <v>1900</v>
      </c>
      <c r="Z350" s="76">
        <v>1900</v>
      </c>
      <c r="AA350" s="76">
        <v>1900</v>
      </c>
      <c r="AB350" s="76">
        <v>1900</v>
      </c>
      <c r="AC350" s="76">
        <v>1900</v>
      </c>
      <c r="AD350" s="76">
        <v>1900</v>
      </c>
      <c r="AE350" s="76">
        <v>1900</v>
      </c>
      <c r="AF350" s="76">
        <v>1900</v>
      </c>
      <c r="AG350" s="76">
        <v>1900</v>
      </c>
      <c r="AH350" s="77">
        <f t="shared" si="16"/>
        <v>20679</v>
      </c>
      <c r="AI350" s="108">
        <f>ERP_34[[#This Row],[2026 Working Total]]-ERP_34[[#This Row],[2026 LE0]]</f>
        <v>-2121</v>
      </c>
      <c r="AJ350" s="79"/>
      <c r="AK350" s="79"/>
      <c r="AL35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0" s="80"/>
      <c r="AN350" s="79">
        <f>ERP_34[[#This Row],[2026 Working Total to Budget/LE]]-ERP_34[[#This Row],[Giveback]]</f>
        <v>-2121</v>
      </c>
      <c r="AO350" s="81"/>
      <c r="AP350" s="81">
        <v>1636</v>
      </c>
      <c r="AQ350" s="81">
        <v>1153</v>
      </c>
      <c r="AR350" s="81">
        <v>790</v>
      </c>
      <c r="AS350" s="81">
        <v>1900</v>
      </c>
      <c r="AT350" s="81">
        <v>1900</v>
      </c>
      <c r="AU350" s="81">
        <v>1900</v>
      </c>
      <c r="AV350" s="81">
        <v>1900</v>
      </c>
      <c r="AW350" s="81">
        <v>1900</v>
      </c>
      <c r="AX350" s="81">
        <v>1900</v>
      </c>
      <c r="AY350" s="81">
        <v>1900</v>
      </c>
      <c r="AZ350" s="81">
        <v>1900</v>
      </c>
      <c r="BA350" s="81">
        <v>1900</v>
      </c>
      <c r="BB350" s="81">
        <v>20679</v>
      </c>
      <c r="BC350" s="79">
        <v>1636</v>
      </c>
      <c r="BD350" s="79">
        <v>1153</v>
      </c>
      <c r="BE350" s="79">
        <v>790</v>
      </c>
      <c r="BF350" s="79">
        <v>1900</v>
      </c>
      <c r="BG350" s="79">
        <v>1900</v>
      </c>
      <c r="BH350" s="79">
        <v>1900</v>
      </c>
      <c r="BI350" s="79">
        <v>1900</v>
      </c>
      <c r="BJ350" s="79">
        <v>1900</v>
      </c>
      <c r="BK350" s="79">
        <v>1900</v>
      </c>
      <c r="BL350" s="79">
        <v>1900</v>
      </c>
      <c r="BM350" s="79">
        <v>1900</v>
      </c>
      <c r="BN350" s="79">
        <v>1900</v>
      </c>
      <c r="BO350" s="79">
        <v>20679</v>
      </c>
    </row>
    <row r="351" spans="1:67">
      <c r="A351" s="66" t="s">
        <v>2120</v>
      </c>
      <c r="B351" s="66" t="str">
        <f>_xlfn.TEXTJOIN("_",,ERP_34[[#This Row],[LT Member -1*]],ERP_34[[#This Row],[Expense Category]],ERP_34[[#This Row],[Project Code*]])</f>
        <v>McGettigan, David_MANAGED SERVICES_IT-FGS0301-OG-US-00</v>
      </c>
      <c r="C351" s="67" t="s">
        <v>1136</v>
      </c>
      <c r="D351" s="67" t="s">
        <v>1567</v>
      </c>
      <c r="E351" s="67" t="s">
        <v>1567</v>
      </c>
      <c r="F351" s="67" t="s">
        <v>1567</v>
      </c>
      <c r="G351" s="68" t="s">
        <v>389</v>
      </c>
      <c r="H351" s="106" t="s">
        <v>1855</v>
      </c>
      <c r="I351" s="70"/>
      <c r="J351" s="70"/>
      <c r="K351" s="70" t="s">
        <v>466</v>
      </c>
      <c r="L351" s="70"/>
      <c r="M351" s="70"/>
      <c r="N351" s="70"/>
      <c r="O351" s="67" t="s">
        <v>57</v>
      </c>
      <c r="P351" s="67"/>
      <c r="Q351" s="71"/>
      <c r="R351" s="72">
        <v>0</v>
      </c>
      <c r="S351" s="73">
        <v>882</v>
      </c>
      <c r="T351" s="73">
        <v>0</v>
      </c>
      <c r="U351" s="71">
        <f>ERP_34[[#This Row],[LE2 Final Submission]]-ERP_34[[#This Row],[LE3 Final Submission]]</f>
        <v>882</v>
      </c>
      <c r="V351" s="74">
        <v>194</v>
      </c>
      <c r="W351" s="75">
        <v>194</v>
      </c>
      <c r="X351" s="75">
        <v>494</v>
      </c>
      <c r="Y351" s="109">
        <v>0</v>
      </c>
      <c r="Z351" s="109">
        <v>0</v>
      </c>
      <c r="AA351" s="109">
        <v>0</v>
      </c>
      <c r="AB351" s="109">
        <v>0</v>
      </c>
      <c r="AC351" s="109">
        <v>0</v>
      </c>
      <c r="AD351" s="109">
        <v>0</v>
      </c>
      <c r="AE351" s="109">
        <v>0</v>
      </c>
      <c r="AF351" s="109">
        <v>0</v>
      </c>
      <c r="AG351" s="109">
        <v>0</v>
      </c>
      <c r="AH351" s="77">
        <f t="shared" si="16"/>
        <v>882</v>
      </c>
      <c r="AI351" s="108">
        <f>ERP_34[[#This Row],[2026 Working Total]]-ERP_34[[#This Row],[2026 LE0]]</f>
        <v>882</v>
      </c>
      <c r="AJ351" s="79"/>
      <c r="AK351" s="79"/>
      <c r="AL3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1" s="80"/>
      <c r="AN351" s="79">
        <f>ERP_34[[#This Row],[2026 Working Total to Budget/LE]]-ERP_34[[#This Row],[Giveback]]</f>
        <v>882</v>
      </c>
      <c r="AO351" s="81"/>
      <c r="AP351" s="81">
        <v>194</v>
      </c>
      <c r="AQ351" s="81">
        <v>194</v>
      </c>
      <c r="AR351" s="81">
        <v>494</v>
      </c>
      <c r="AS351" s="81">
        <v>0</v>
      </c>
      <c r="AT351" s="81">
        <v>0</v>
      </c>
      <c r="AU351" s="81">
        <v>0</v>
      </c>
      <c r="AV351" s="81">
        <v>0</v>
      </c>
      <c r="AW351" s="81">
        <v>0</v>
      </c>
      <c r="AX351" s="81">
        <v>0</v>
      </c>
      <c r="AY351" s="81">
        <v>0</v>
      </c>
      <c r="AZ351" s="81">
        <v>0</v>
      </c>
      <c r="BA351" s="81">
        <v>0</v>
      </c>
      <c r="BB351" s="81">
        <v>882</v>
      </c>
      <c r="BC351" s="79">
        <v>194</v>
      </c>
      <c r="BD351" s="79">
        <v>194</v>
      </c>
      <c r="BE351" s="79">
        <v>494</v>
      </c>
      <c r="BF351" s="79">
        <v>0</v>
      </c>
      <c r="BG351" s="79">
        <v>0</v>
      </c>
      <c r="BH351" s="79">
        <v>0</v>
      </c>
      <c r="BI351" s="79">
        <v>0</v>
      </c>
      <c r="BJ351" s="79">
        <v>0</v>
      </c>
      <c r="BK351" s="79">
        <v>0</v>
      </c>
      <c r="BL351" s="79">
        <v>0</v>
      </c>
      <c r="BM351" s="79">
        <v>0</v>
      </c>
      <c r="BN351" s="79">
        <v>0</v>
      </c>
      <c r="BO351" s="79">
        <v>882</v>
      </c>
    </row>
    <row r="352" spans="1:67">
      <c r="A352" s="66" t="s">
        <v>2141</v>
      </c>
      <c r="B352" s="66" t="str">
        <f>_xlfn.TEXTJOIN("_",,ERP_34[[#This Row],[LT Member -1*]],ERP_34[[#This Row],[Expense Category]],ERP_34[[#This Row],[Project Code*]])</f>
        <v>Robertson, Jerome_MANAGED SERVICES_IT-FGS0301-OG-US-00</v>
      </c>
      <c r="C352" s="67" t="s">
        <v>1136</v>
      </c>
      <c r="D352" s="67" t="s">
        <v>1650</v>
      </c>
      <c r="E352" s="67" t="s">
        <v>1650</v>
      </c>
      <c r="F352" s="67" t="s">
        <v>1650</v>
      </c>
      <c r="G352" s="68" t="s">
        <v>389</v>
      </c>
      <c r="H352" s="106" t="s">
        <v>1855</v>
      </c>
      <c r="I352" s="70"/>
      <c r="J352" s="70"/>
      <c r="K352" s="70" t="s">
        <v>466</v>
      </c>
      <c r="L352" s="70"/>
      <c r="M352" s="70"/>
      <c r="N352" s="70"/>
      <c r="O352" s="67" t="s">
        <v>57</v>
      </c>
      <c r="P352" s="67"/>
      <c r="Q352" s="71"/>
      <c r="R352" s="72">
        <v>0</v>
      </c>
      <c r="S352" s="73">
        <v>11571</v>
      </c>
      <c r="T352" s="73">
        <v>0</v>
      </c>
      <c r="U352" s="71">
        <f>ERP_34[[#This Row],[LE2 Final Submission]]-ERP_34[[#This Row],[LE3 Final Submission]]</f>
        <v>11571</v>
      </c>
      <c r="V352" s="74">
        <v>681</v>
      </c>
      <c r="W352" s="75">
        <v>981</v>
      </c>
      <c r="X352" s="75">
        <v>2709</v>
      </c>
      <c r="Y352" s="76">
        <v>800</v>
      </c>
      <c r="Z352" s="76">
        <v>800</v>
      </c>
      <c r="AA352" s="76">
        <v>800</v>
      </c>
      <c r="AB352" s="76">
        <v>800</v>
      </c>
      <c r="AC352" s="76">
        <v>800</v>
      </c>
      <c r="AD352" s="76">
        <v>800</v>
      </c>
      <c r="AE352" s="76">
        <v>800</v>
      </c>
      <c r="AF352" s="76">
        <v>800</v>
      </c>
      <c r="AG352" s="76">
        <v>800</v>
      </c>
      <c r="AH352" s="77">
        <f t="shared" si="16"/>
        <v>11571</v>
      </c>
      <c r="AI352" s="108">
        <f>ERP_34[[#This Row],[2026 Working Total]]-ERP_34[[#This Row],[2026 LE0]]</f>
        <v>11571</v>
      </c>
      <c r="AJ352" s="79"/>
      <c r="AK352" s="79"/>
      <c r="AL3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2" s="80"/>
      <c r="AN352" s="79">
        <f>ERP_34[[#This Row],[2026 Working Total to Budget/LE]]-ERP_34[[#This Row],[Giveback]]</f>
        <v>11571</v>
      </c>
      <c r="AO352" s="81"/>
      <c r="AP352" s="81">
        <v>681</v>
      </c>
      <c r="AQ352" s="81">
        <v>981</v>
      </c>
      <c r="AR352" s="81">
        <v>2709</v>
      </c>
      <c r="AS352" s="81">
        <v>800</v>
      </c>
      <c r="AT352" s="81">
        <v>800</v>
      </c>
      <c r="AU352" s="81">
        <v>800</v>
      </c>
      <c r="AV352" s="81">
        <v>800</v>
      </c>
      <c r="AW352" s="81">
        <v>800</v>
      </c>
      <c r="AX352" s="81">
        <v>800</v>
      </c>
      <c r="AY352" s="81">
        <v>800</v>
      </c>
      <c r="AZ352" s="81">
        <v>800</v>
      </c>
      <c r="BA352" s="81">
        <v>800</v>
      </c>
      <c r="BB352" s="81">
        <v>11571</v>
      </c>
      <c r="BC352" s="79">
        <v>681</v>
      </c>
      <c r="BD352" s="79">
        <v>981</v>
      </c>
      <c r="BE352" s="79">
        <v>2709</v>
      </c>
      <c r="BF352" s="79">
        <v>800</v>
      </c>
      <c r="BG352" s="79">
        <v>800</v>
      </c>
      <c r="BH352" s="79">
        <v>800</v>
      </c>
      <c r="BI352" s="79">
        <v>800</v>
      </c>
      <c r="BJ352" s="79">
        <v>800</v>
      </c>
      <c r="BK352" s="79">
        <v>800</v>
      </c>
      <c r="BL352" s="79">
        <v>800</v>
      </c>
      <c r="BM352" s="79">
        <v>800</v>
      </c>
      <c r="BN352" s="79">
        <v>800</v>
      </c>
      <c r="BO352" s="79">
        <v>11571</v>
      </c>
    </row>
    <row r="353" spans="1:67">
      <c r="A353" s="66" t="s">
        <v>2290</v>
      </c>
      <c r="B353" s="66" t="str">
        <f>_xlfn.TEXTJOIN("_",,ERP_34[[#This Row],[LT Member -1*]],ERP_34[[#This Row],[Expense Category]],ERP_34[[#This Row],[Project Code*]])</f>
        <v>Dougherty, Chris_SOFTWARE_IT-FGS0302-SW-US-00</v>
      </c>
      <c r="C353" s="67" t="s">
        <v>1136</v>
      </c>
      <c r="D353" s="67" t="s">
        <v>1135</v>
      </c>
      <c r="E353" s="67" t="s">
        <v>1135</v>
      </c>
      <c r="F353" s="67" t="s">
        <v>1137</v>
      </c>
      <c r="G353" s="68" t="s">
        <v>639</v>
      </c>
      <c r="H353" s="106" t="s">
        <v>2291</v>
      </c>
      <c r="I353" s="70"/>
      <c r="J353" s="70"/>
      <c r="K353" s="70" t="s">
        <v>679</v>
      </c>
      <c r="L353" s="70" t="s">
        <v>1153</v>
      </c>
      <c r="M353" s="70"/>
      <c r="N353" s="70"/>
      <c r="O353" s="67" t="s">
        <v>680</v>
      </c>
      <c r="P353" s="67"/>
      <c r="Q353" s="71"/>
      <c r="R353" s="72">
        <v>180000</v>
      </c>
      <c r="S353" s="73">
        <v>164308</v>
      </c>
      <c r="T353" s="73">
        <v>180000</v>
      </c>
      <c r="U353" s="71">
        <f>ERP_34[[#This Row],[LE2 Final Submission]]-ERP_34[[#This Row],[LE3 Final Submission]]</f>
        <v>-15692</v>
      </c>
      <c r="V353" s="74">
        <v>8189</v>
      </c>
      <c r="W353" s="75">
        <v>13361</v>
      </c>
      <c r="X353" s="75">
        <v>7758</v>
      </c>
      <c r="Y353" s="76">
        <v>15000</v>
      </c>
      <c r="Z353" s="76">
        <v>15000</v>
      </c>
      <c r="AA353" s="76">
        <v>15000</v>
      </c>
      <c r="AB353" s="76">
        <v>15000</v>
      </c>
      <c r="AC353" s="76">
        <v>15000</v>
      </c>
      <c r="AD353" s="76">
        <v>15000</v>
      </c>
      <c r="AE353" s="76">
        <v>15000</v>
      </c>
      <c r="AF353" s="76">
        <v>15000</v>
      </c>
      <c r="AG353" s="76">
        <v>15000</v>
      </c>
      <c r="AH353" s="77">
        <f t="shared" si="16"/>
        <v>164308</v>
      </c>
      <c r="AI353" s="108">
        <f>ERP_34[[#This Row],[2026 Working Total]]-ERP_34[[#This Row],[2026 LE0]]</f>
        <v>-15692</v>
      </c>
      <c r="AJ353" s="79"/>
      <c r="AK353" s="79"/>
      <c r="AL3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3" s="80"/>
      <c r="AN353" s="79">
        <f>ERP_34[[#This Row],[2026 Working Total to Budget/LE]]-ERP_34[[#This Row],[Giveback]]</f>
        <v>-15692</v>
      </c>
      <c r="AO353" s="81"/>
      <c r="AP353" s="81">
        <v>8189</v>
      </c>
      <c r="AQ353" s="81">
        <v>13361</v>
      </c>
      <c r="AR353" s="81">
        <v>7758</v>
      </c>
      <c r="AS353" s="81">
        <v>15000</v>
      </c>
      <c r="AT353" s="81">
        <v>15000</v>
      </c>
      <c r="AU353" s="81">
        <v>15000</v>
      </c>
      <c r="AV353" s="81">
        <v>15000</v>
      </c>
      <c r="AW353" s="81">
        <v>15000</v>
      </c>
      <c r="AX353" s="81">
        <v>15000</v>
      </c>
      <c r="AY353" s="81">
        <v>15000</v>
      </c>
      <c r="AZ353" s="81">
        <v>15000</v>
      </c>
      <c r="BA353" s="81">
        <v>15000</v>
      </c>
      <c r="BB353" s="81">
        <v>164308</v>
      </c>
      <c r="BC353" s="79">
        <v>8189</v>
      </c>
      <c r="BD353" s="79">
        <v>13361</v>
      </c>
      <c r="BE353" s="79">
        <v>7758</v>
      </c>
      <c r="BF353" s="79">
        <v>15000</v>
      </c>
      <c r="BG353" s="79">
        <v>15000</v>
      </c>
      <c r="BH353" s="79">
        <v>15000</v>
      </c>
      <c r="BI353" s="79">
        <v>15000</v>
      </c>
      <c r="BJ353" s="79">
        <v>15000</v>
      </c>
      <c r="BK353" s="79">
        <v>15000</v>
      </c>
      <c r="BL353" s="79">
        <v>15000</v>
      </c>
      <c r="BM353" s="79">
        <v>15000</v>
      </c>
      <c r="BN353" s="79">
        <v>15000</v>
      </c>
      <c r="BO353" s="79">
        <v>164308</v>
      </c>
    </row>
    <row r="354" spans="1:67">
      <c r="A354" s="66" t="s">
        <v>2292</v>
      </c>
      <c r="B354" s="66" t="str">
        <f>_xlfn.TEXTJOIN("_",,ERP_34[[#This Row],[LT Member -1*]],ERP_34[[#This Row],[Expense Category]],ERP_34[[#This Row],[Project Code*]])</f>
        <v>Maguire, Karla_SOFTWARE_IT-FGS0302-SW-US-00</v>
      </c>
      <c r="C354" s="67" t="s">
        <v>1136</v>
      </c>
      <c r="D354" s="67" t="s">
        <v>1135</v>
      </c>
      <c r="E354" s="67" t="s">
        <v>1137</v>
      </c>
      <c r="F354" s="67" t="s">
        <v>1137</v>
      </c>
      <c r="G354" s="68" t="s">
        <v>639</v>
      </c>
      <c r="H354" s="106" t="s">
        <v>2291</v>
      </c>
      <c r="I354" s="70"/>
      <c r="J354" s="70"/>
      <c r="K354" s="70" t="s">
        <v>679</v>
      </c>
      <c r="L354" s="70" t="s">
        <v>1153</v>
      </c>
      <c r="M354" s="70"/>
      <c r="N354" s="70"/>
      <c r="O354" s="67" t="s">
        <v>680</v>
      </c>
      <c r="P354" s="67"/>
      <c r="Q354" s="71"/>
      <c r="R354" s="72">
        <v>12000</v>
      </c>
      <c r="S354" s="73">
        <v>13503.74</v>
      </c>
      <c r="T354" s="73">
        <v>12000</v>
      </c>
      <c r="U354" s="71">
        <f>ERP_34[[#This Row],[LE2 Final Submission]]-ERP_34[[#This Row],[LE3 Final Submission]]</f>
        <v>1503.7399999999998</v>
      </c>
      <c r="V354" s="74">
        <v>3614.02</v>
      </c>
      <c r="W354" s="124">
        <v>0</v>
      </c>
      <c r="X354" s="75">
        <v>889.72</v>
      </c>
      <c r="Y354" s="76">
        <v>1000</v>
      </c>
      <c r="Z354" s="76">
        <v>1000</v>
      </c>
      <c r="AA354" s="76">
        <v>1000</v>
      </c>
      <c r="AB354" s="76">
        <v>1000</v>
      </c>
      <c r="AC354" s="76">
        <v>1000</v>
      </c>
      <c r="AD354" s="76">
        <v>1000</v>
      </c>
      <c r="AE354" s="76">
        <v>1000</v>
      </c>
      <c r="AF354" s="76">
        <v>1000</v>
      </c>
      <c r="AG354" s="76">
        <v>1000</v>
      </c>
      <c r="AH354" s="77">
        <f t="shared" si="16"/>
        <v>13503.74</v>
      </c>
      <c r="AI354" s="108">
        <f>ERP_34[[#This Row],[2026 Working Total]]-ERP_34[[#This Row],[2026 LE0]]</f>
        <v>1503.7399999999998</v>
      </c>
      <c r="AJ354" s="79"/>
      <c r="AK354" s="79"/>
      <c r="AL3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4" s="80"/>
      <c r="AN354" s="79">
        <f>ERP_34[[#This Row],[2026 Working Total to Budget/LE]]-ERP_34[[#This Row],[Giveback]]</f>
        <v>1503.7399999999998</v>
      </c>
      <c r="AO354" s="81"/>
      <c r="AP354" s="81">
        <v>3614.02</v>
      </c>
      <c r="AQ354" s="81">
        <v>0</v>
      </c>
      <c r="AR354" s="81">
        <v>889.72</v>
      </c>
      <c r="AS354" s="81">
        <v>1000</v>
      </c>
      <c r="AT354" s="81">
        <v>1000</v>
      </c>
      <c r="AU354" s="81">
        <v>1000</v>
      </c>
      <c r="AV354" s="81">
        <v>1000</v>
      </c>
      <c r="AW354" s="81">
        <v>1000</v>
      </c>
      <c r="AX354" s="81">
        <v>1000</v>
      </c>
      <c r="AY354" s="81">
        <v>1000</v>
      </c>
      <c r="AZ354" s="81">
        <v>1000</v>
      </c>
      <c r="BA354" s="81">
        <v>1000</v>
      </c>
      <c r="BB354" s="81">
        <v>13503.74</v>
      </c>
      <c r="BC354" s="79">
        <v>3614.02</v>
      </c>
      <c r="BD354" s="79">
        <v>0</v>
      </c>
      <c r="BE354" s="79">
        <v>889.72</v>
      </c>
      <c r="BF354" s="79">
        <v>1000</v>
      </c>
      <c r="BG354" s="79">
        <v>1000</v>
      </c>
      <c r="BH354" s="79">
        <v>1000</v>
      </c>
      <c r="BI354" s="79">
        <v>1000</v>
      </c>
      <c r="BJ354" s="79">
        <v>1000</v>
      </c>
      <c r="BK354" s="79">
        <v>1000</v>
      </c>
      <c r="BL354" s="79">
        <v>1000</v>
      </c>
      <c r="BM354" s="79">
        <v>1000</v>
      </c>
      <c r="BN354" s="79">
        <v>1000</v>
      </c>
      <c r="BO354" s="79">
        <v>13503.74</v>
      </c>
    </row>
    <row r="355" spans="1:67">
      <c r="A355" s="66" t="s">
        <v>2294</v>
      </c>
      <c r="B355" s="66" t="str">
        <f>_xlfn.TEXTJOIN("_",,ERP_34[[#This Row],[LT Member -1*]],ERP_34[[#This Row],[Expense Category]],ERP_34[[#This Row],[Project Code*]])</f>
        <v>McCormick, Pete_SOFTWARE_IT-FGS0302-SW-US-00</v>
      </c>
      <c r="C355" s="67" t="s">
        <v>1136</v>
      </c>
      <c r="D355" s="67" t="s">
        <v>1135</v>
      </c>
      <c r="E355" s="67" t="s">
        <v>1145</v>
      </c>
      <c r="F355" s="67" t="s">
        <v>1137</v>
      </c>
      <c r="G355" s="68" t="s">
        <v>639</v>
      </c>
      <c r="H355" s="106" t="s">
        <v>2291</v>
      </c>
      <c r="I355" s="70"/>
      <c r="J355" s="70"/>
      <c r="K355" s="70" t="s">
        <v>679</v>
      </c>
      <c r="L355" s="70" t="s">
        <v>1153</v>
      </c>
      <c r="M355" s="70"/>
      <c r="N355" s="70"/>
      <c r="O355" s="67" t="s">
        <v>680</v>
      </c>
      <c r="P355" s="67"/>
      <c r="Q355" s="71"/>
      <c r="R355" s="72">
        <v>370</v>
      </c>
      <c r="S355" s="73">
        <v>370</v>
      </c>
      <c r="T355" s="73">
        <v>370</v>
      </c>
      <c r="U355" s="71">
        <f>ERP_34[[#This Row],[LE2 Final Submission]]-ERP_34[[#This Row],[LE3 Final Submission]]</f>
        <v>0</v>
      </c>
      <c r="V355" s="74"/>
      <c r="W355" s="75"/>
      <c r="X355" s="75"/>
      <c r="Y355" s="76">
        <v>370</v>
      </c>
      <c r="Z355" s="109">
        <v>0</v>
      </c>
      <c r="AA355" s="109">
        <v>0</v>
      </c>
      <c r="AB355" s="109">
        <v>0</v>
      </c>
      <c r="AC355" s="109">
        <v>0</v>
      </c>
      <c r="AD355" s="109">
        <v>0</v>
      </c>
      <c r="AE355" s="109">
        <v>0</v>
      </c>
      <c r="AF355" s="109">
        <v>0</v>
      </c>
      <c r="AG355" s="109">
        <v>0</v>
      </c>
      <c r="AH355" s="77">
        <f t="shared" si="16"/>
        <v>370</v>
      </c>
      <c r="AI355" s="108">
        <f>ERP_34[[#This Row],[2026 Working Total]]-ERP_34[[#This Row],[2026 LE0]]</f>
        <v>0</v>
      </c>
      <c r="AJ355" s="79"/>
      <c r="AK355" s="79"/>
      <c r="AL35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5" s="80"/>
      <c r="AN355" s="79">
        <f>ERP_34[[#This Row],[2026 Working Total to Budget/LE]]-ERP_34[[#This Row],[Giveback]]</f>
        <v>0</v>
      </c>
      <c r="AO355" s="81"/>
      <c r="AP355" s="81"/>
      <c r="AQ355" s="81"/>
      <c r="AR355" s="81"/>
      <c r="AS355" s="81">
        <v>370</v>
      </c>
      <c r="AT355" s="81">
        <v>0</v>
      </c>
      <c r="AU355" s="81">
        <v>0</v>
      </c>
      <c r="AV355" s="81">
        <v>0</v>
      </c>
      <c r="AW355" s="81">
        <v>0</v>
      </c>
      <c r="AX355" s="81">
        <v>0</v>
      </c>
      <c r="AY355" s="81">
        <v>0</v>
      </c>
      <c r="AZ355" s="81">
        <v>0</v>
      </c>
      <c r="BA355" s="81">
        <v>0</v>
      </c>
      <c r="BB355" s="81">
        <v>370</v>
      </c>
      <c r="BC355" s="79"/>
      <c r="BD355" s="79"/>
      <c r="BE355" s="79"/>
      <c r="BF355" s="79">
        <v>370</v>
      </c>
      <c r="BG355" s="79">
        <v>0</v>
      </c>
      <c r="BH355" s="79">
        <v>0</v>
      </c>
      <c r="BI355" s="79">
        <v>0</v>
      </c>
      <c r="BJ355" s="79">
        <v>0</v>
      </c>
      <c r="BK355" s="79">
        <v>0</v>
      </c>
      <c r="BL355" s="79">
        <v>0</v>
      </c>
      <c r="BM355" s="79">
        <v>0</v>
      </c>
      <c r="BN355" s="79">
        <v>0</v>
      </c>
      <c r="BO355" s="79">
        <v>370</v>
      </c>
    </row>
    <row r="356" spans="1:67">
      <c r="A356" s="66" t="s">
        <v>2296</v>
      </c>
      <c r="B356" s="66" t="str">
        <f>_xlfn.TEXTJOIN("_",,ERP_34[[#This Row],[LT Member -1*]],ERP_34[[#This Row],[Expense Category]],ERP_34[[#This Row],[Project Code*]])</f>
        <v>Tamavada, Ram_SOFTWARE_IT-FGS0302-SW-US-00</v>
      </c>
      <c r="C356" s="67" t="s">
        <v>1136</v>
      </c>
      <c r="D356" s="67" t="s">
        <v>1135</v>
      </c>
      <c r="E356" s="67" t="s">
        <v>1165</v>
      </c>
      <c r="F356" s="67" t="s">
        <v>1137</v>
      </c>
      <c r="G356" s="68" t="s">
        <v>639</v>
      </c>
      <c r="H356" s="106" t="s">
        <v>2291</v>
      </c>
      <c r="I356" s="70"/>
      <c r="J356" s="70"/>
      <c r="K356" s="114" t="s">
        <v>679</v>
      </c>
      <c r="L356" s="70" t="s">
        <v>1153</v>
      </c>
      <c r="M356" s="70"/>
      <c r="N356" s="70"/>
      <c r="O356" s="67" t="s">
        <v>680</v>
      </c>
      <c r="P356" s="67"/>
      <c r="Q356" s="71"/>
      <c r="R356" s="72">
        <v>0</v>
      </c>
      <c r="S356" s="73">
        <v>1293</v>
      </c>
      <c r="T356" s="73">
        <v>0</v>
      </c>
      <c r="U356" s="71">
        <f>ERP_34[[#This Row],[LE2 Final Submission]]-ERP_34[[#This Row],[LE3 Final Submission]]</f>
        <v>1293</v>
      </c>
      <c r="V356" s="74"/>
      <c r="W356" s="75">
        <v>1293</v>
      </c>
      <c r="X356" s="124">
        <v>0</v>
      </c>
      <c r="Y356" s="109">
        <v>0</v>
      </c>
      <c r="Z356" s="109">
        <v>0</v>
      </c>
      <c r="AA356" s="109">
        <v>0</v>
      </c>
      <c r="AB356" s="109">
        <v>0</v>
      </c>
      <c r="AC356" s="109">
        <v>0</v>
      </c>
      <c r="AD356" s="109">
        <v>0</v>
      </c>
      <c r="AE356" s="109">
        <v>0</v>
      </c>
      <c r="AF356" s="109">
        <v>0</v>
      </c>
      <c r="AG356" s="109">
        <v>0</v>
      </c>
      <c r="AH356" s="77">
        <f t="shared" si="16"/>
        <v>1293</v>
      </c>
      <c r="AI356" s="108">
        <f>ERP_34[[#This Row],[2026 Working Total]]-ERP_34[[#This Row],[2026 LE0]]</f>
        <v>1293</v>
      </c>
      <c r="AJ356" s="79"/>
      <c r="AK356" s="79"/>
      <c r="AL3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6" s="80"/>
      <c r="AN356" s="79">
        <f>ERP_34[[#This Row],[2026 Working Total to Budget/LE]]-ERP_34[[#This Row],[Giveback]]</f>
        <v>1293</v>
      </c>
      <c r="AO356" s="81"/>
      <c r="AP356" s="81"/>
      <c r="AQ356" s="81">
        <v>1293</v>
      </c>
      <c r="AR356" s="81">
        <v>0</v>
      </c>
      <c r="AS356" s="81">
        <v>0</v>
      </c>
      <c r="AT356" s="81">
        <v>0</v>
      </c>
      <c r="AU356" s="81">
        <v>0</v>
      </c>
      <c r="AV356" s="81">
        <v>0</v>
      </c>
      <c r="AW356" s="81">
        <v>0</v>
      </c>
      <c r="AX356" s="81">
        <v>0</v>
      </c>
      <c r="AY356" s="81">
        <v>0</v>
      </c>
      <c r="AZ356" s="81">
        <v>0</v>
      </c>
      <c r="BA356" s="81">
        <v>0</v>
      </c>
      <c r="BB356" s="81">
        <v>1293</v>
      </c>
      <c r="BC356" s="79"/>
      <c r="BD356" s="79">
        <v>1293</v>
      </c>
      <c r="BE356" s="79">
        <v>0</v>
      </c>
      <c r="BF356" s="79">
        <v>0</v>
      </c>
      <c r="BG356" s="79">
        <v>0</v>
      </c>
      <c r="BH356" s="79">
        <v>0</v>
      </c>
      <c r="BI356" s="79">
        <v>0</v>
      </c>
      <c r="BJ356" s="79">
        <v>0</v>
      </c>
      <c r="BK356" s="79">
        <v>0</v>
      </c>
      <c r="BL356" s="79">
        <v>0</v>
      </c>
      <c r="BM356" s="79">
        <v>0</v>
      </c>
      <c r="BN356" s="79">
        <v>0</v>
      </c>
      <c r="BO356" s="79">
        <v>1293</v>
      </c>
    </row>
    <row r="357" spans="1:67">
      <c r="A357" s="66" t="s">
        <v>2788</v>
      </c>
      <c r="B357" s="66" t="str">
        <f>_xlfn.TEXTJOIN("_",,ERP_34[[#This Row],[LT Member -1*]],ERP_34[[#This Row],[Expense Category]],ERP_34[[#This Row],[Project Code*]])</f>
        <v>DeHart, Lynn_SOFTWARE_IT-FGS0302-SW-US-00</v>
      </c>
      <c r="C357" s="67" t="s">
        <v>1136</v>
      </c>
      <c r="D357" s="67" t="s">
        <v>1345</v>
      </c>
      <c r="E357" s="67" t="s">
        <v>1346</v>
      </c>
      <c r="F357" s="67" t="s">
        <v>1346</v>
      </c>
      <c r="G357" s="68" t="s">
        <v>639</v>
      </c>
      <c r="H357" s="106" t="s">
        <v>2291</v>
      </c>
      <c r="I357" s="70"/>
      <c r="J357" s="70"/>
      <c r="K357" s="70" t="s">
        <v>679</v>
      </c>
      <c r="L357" s="70"/>
      <c r="M357" s="70"/>
      <c r="N357" s="70"/>
      <c r="O357" s="67" t="s">
        <v>680</v>
      </c>
      <c r="P357" s="67"/>
      <c r="Q357" s="71"/>
      <c r="R357" s="72">
        <v>36000</v>
      </c>
      <c r="S357" s="73">
        <v>46414.39</v>
      </c>
      <c r="T357" s="73">
        <v>36000</v>
      </c>
      <c r="U357" s="71">
        <f>ERP_34[[#This Row],[LE2 Final Submission]]-ERP_34[[#This Row],[LE3 Final Submission]]</f>
        <v>10414.39</v>
      </c>
      <c r="V357" s="74">
        <v>6465</v>
      </c>
      <c r="W357" s="75">
        <v>5197.6400000000003</v>
      </c>
      <c r="X357" s="75">
        <v>7751.75</v>
      </c>
      <c r="Y357" s="76">
        <v>3000</v>
      </c>
      <c r="Z357" s="76">
        <v>3000</v>
      </c>
      <c r="AA357" s="76">
        <v>3000</v>
      </c>
      <c r="AB357" s="76">
        <v>3000</v>
      </c>
      <c r="AC357" s="76">
        <v>3000</v>
      </c>
      <c r="AD357" s="76">
        <v>3000</v>
      </c>
      <c r="AE357" s="76">
        <v>3000</v>
      </c>
      <c r="AF357" s="76">
        <v>3000</v>
      </c>
      <c r="AG357" s="76">
        <v>3000</v>
      </c>
      <c r="AH357" s="77">
        <f t="shared" si="16"/>
        <v>46414.39</v>
      </c>
      <c r="AI357" s="108">
        <f>ERP_34[[#This Row],[2026 Working Total]]-ERP_34[[#This Row],[2026 LE0]]</f>
        <v>10414.39</v>
      </c>
      <c r="AJ357" s="79"/>
      <c r="AK357" s="79"/>
      <c r="AL3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7" s="80"/>
      <c r="AN357" s="79">
        <f>ERP_34[[#This Row],[2026 Working Total to Budget/LE]]-ERP_34[[#This Row],[Giveback]]</f>
        <v>10414.39</v>
      </c>
      <c r="AO357" s="81"/>
      <c r="AP357" s="81">
        <v>6465</v>
      </c>
      <c r="AQ357" s="81">
        <v>5197.6400000000003</v>
      </c>
      <c r="AR357" s="81">
        <v>7751.75</v>
      </c>
      <c r="AS357" s="81">
        <v>3000</v>
      </c>
      <c r="AT357" s="81">
        <v>3000</v>
      </c>
      <c r="AU357" s="81">
        <v>3000</v>
      </c>
      <c r="AV357" s="81">
        <v>3000</v>
      </c>
      <c r="AW357" s="81">
        <v>3000</v>
      </c>
      <c r="AX357" s="81">
        <v>3000</v>
      </c>
      <c r="AY357" s="81">
        <v>3000</v>
      </c>
      <c r="AZ357" s="81">
        <v>3000</v>
      </c>
      <c r="BA357" s="81">
        <v>3000</v>
      </c>
      <c r="BB357" s="81">
        <v>46414.39</v>
      </c>
      <c r="BC357" s="79">
        <v>6465</v>
      </c>
      <c r="BD357" s="79">
        <v>5197.6400000000003</v>
      </c>
      <c r="BE357" s="79">
        <v>7751.75</v>
      </c>
      <c r="BF357" s="79">
        <v>3000</v>
      </c>
      <c r="BG357" s="79">
        <v>3000</v>
      </c>
      <c r="BH357" s="79">
        <v>3000</v>
      </c>
      <c r="BI357" s="79">
        <v>3000</v>
      </c>
      <c r="BJ357" s="79">
        <v>3000</v>
      </c>
      <c r="BK357" s="79">
        <v>3000</v>
      </c>
      <c r="BL357" s="79">
        <v>3000</v>
      </c>
      <c r="BM357" s="79">
        <v>3000</v>
      </c>
      <c r="BN357" s="79">
        <v>3000</v>
      </c>
      <c r="BO357" s="79">
        <v>46414.39</v>
      </c>
    </row>
    <row r="358" spans="1:67">
      <c r="A358" s="66" t="s">
        <v>2615</v>
      </c>
      <c r="B358" s="66" t="str">
        <f>_xlfn.TEXTJOIN("_",,ERP_34[[#This Row],[LT Member -1*]],ERP_34[[#This Row],[Expense Category]],ERP_34[[#This Row],[Project Code*]])</f>
        <v>Ganesan, Srinivasan_SOFTWARE_IT-FGS0302-SW-US-00</v>
      </c>
      <c r="C358" s="67" t="s">
        <v>1136</v>
      </c>
      <c r="D358" s="67" t="s">
        <v>1345</v>
      </c>
      <c r="E358" s="67" t="s">
        <v>1344</v>
      </c>
      <c r="F358" s="67" t="s">
        <v>1346</v>
      </c>
      <c r="G358" s="68" t="s">
        <v>639</v>
      </c>
      <c r="H358" s="106" t="s">
        <v>2291</v>
      </c>
      <c r="I358" s="70"/>
      <c r="J358" s="70"/>
      <c r="K358" s="70" t="s">
        <v>679</v>
      </c>
      <c r="L358" s="70"/>
      <c r="M358" s="70"/>
      <c r="N358" s="70"/>
      <c r="O358" s="67" t="s">
        <v>680</v>
      </c>
      <c r="P358" s="67"/>
      <c r="Q358" s="71"/>
      <c r="R358" s="72">
        <v>6000</v>
      </c>
      <c r="S358" s="73">
        <v>4931</v>
      </c>
      <c r="T358" s="73">
        <v>6000</v>
      </c>
      <c r="U358" s="71">
        <f>ERP_34[[#This Row],[LE2 Final Submission]]-ERP_34[[#This Row],[LE3 Final Submission]]</f>
        <v>-1069</v>
      </c>
      <c r="V358" s="74">
        <v>431</v>
      </c>
      <c r="W358" s="124">
        <v>0</v>
      </c>
      <c r="X358" s="124">
        <v>0</v>
      </c>
      <c r="Y358" s="76">
        <v>500</v>
      </c>
      <c r="Z358" s="76">
        <v>500</v>
      </c>
      <c r="AA358" s="76">
        <v>500</v>
      </c>
      <c r="AB358" s="76">
        <v>500</v>
      </c>
      <c r="AC358" s="76">
        <v>500</v>
      </c>
      <c r="AD358" s="76">
        <v>500</v>
      </c>
      <c r="AE358" s="76">
        <v>500</v>
      </c>
      <c r="AF358" s="76">
        <v>500</v>
      </c>
      <c r="AG358" s="76">
        <v>500</v>
      </c>
      <c r="AH358" s="77">
        <f t="shared" si="16"/>
        <v>4931</v>
      </c>
      <c r="AI358" s="108">
        <f>ERP_34[[#This Row],[2026 Working Total]]-ERP_34[[#This Row],[2026 LE0]]</f>
        <v>-1069</v>
      </c>
      <c r="AJ358" s="79"/>
      <c r="AK358" s="79"/>
      <c r="AL3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8" s="80"/>
      <c r="AN358" s="79">
        <f>ERP_34[[#This Row],[2026 Working Total to Budget/LE]]-ERP_34[[#This Row],[Giveback]]</f>
        <v>-1069</v>
      </c>
      <c r="AO358" s="81"/>
      <c r="AP358" s="81">
        <v>431</v>
      </c>
      <c r="AQ358" s="81">
        <v>0</v>
      </c>
      <c r="AR358" s="81">
        <v>0</v>
      </c>
      <c r="AS358" s="81">
        <v>500</v>
      </c>
      <c r="AT358" s="81">
        <v>500</v>
      </c>
      <c r="AU358" s="81">
        <v>500</v>
      </c>
      <c r="AV358" s="81">
        <v>500</v>
      </c>
      <c r="AW358" s="81">
        <v>500</v>
      </c>
      <c r="AX358" s="81">
        <v>500</v>
      </c>
      <c r="AY358" s="81">
        <v>500</v>
      </c>
      <c r="AZ358" s="81">
        <v>500</v>
      </c>
      <c r="BA358" s="81">
        <v>500</v>
      </c>
      <c r="BB358" s="81">
        <v>4931</v>
      </c>
      <c r="BC358" s="79">
        <v>431</v>
      </c>
      <c r="BD358" s="79">
        <v>0</v>
      </c>
      <c r="BE358" s="79">
        <v>0</v>
      </c>
      <c r="BF358" s="79">
        <v>500</v>
      </c>
      <c r="BG358" s="79">
        <v>500</v>
      </c>
      <c r="BH358" s="79">
        <v>500</v>
      </c>
      <c r="BI358" s="79">
        <v>500</v>
      </c>
      <c r="BJ358" s="79">
        <v>500</v>
      </c>
      <c r="BK358" s="79">
        <v>500</v>
      </c>
      <c r="BL358" s="79">
        <v>500</v>
      </c>
      <c r="BM358" s="79">
        <v>500</v>
      </c>
      <c r="BN358" s="79">
        <v>500</v>
      </c>
      <c r="BO358" s="79">
        <v>4931</v>
      </c>
    </row>
    <row r="359" spans="1:67">
      <c r="A359" s="66" t="s">
        <v>2718</v>
      </c>
      <c r="B359" s="66" t="str">
        <f>_xlfn.TEXTJOIN("_",,ERP_34[[#This Row],[LT Member -1*]],ERP_34[[#This Row],[Expense Category]],ERP_34[[#This Row],[Project Code*]])</f>
        <v>Hovanyetz, Mike_SOFTWARE_IT-FGS0302-SW-US-00</v>
      </c>
      <c r="C359" s="67" t="s">
        <v>1136</v>
      </c>
      <c r="D359" s="67" t="s">
        <v>1345</v>
      </c>
      <c r="E359" s="67" t="s">
        <v>1480</v>
      </c>
      <c r="F359" s="67" t="s">
        <v>1346</v>
      </c>
      <c r="G359" s="68" t="s">
        <v>639</v>
      </c>
      <c r="H359" s="106" t="s">
        <v>2291</v>
      </c>
      <c r="I359" s="70"/>
      <c r="J359" s="70"/>
      <c r="K359" s="70" t="s">
        <v>679</v>
      </c>
      <c r="L359" s="70"/>
      <c r="M359" s="70"/>
      <c r="N359" s="70"/>
      <c r="O359" s="67" t="s">
        <v>680</v>
      </c>
      <c r="P359" s="67"/>
      <c r="Q359" s="71"/>
      <c r="R359" s="72">
        <v>370</v>
      </c>
      <c r="S359" s="73">
        <v>370</v>
      </c>
      <c r="T359" s="73">
        <v>370</v>
      </c>
      <c r="U359" s="71">
        <f>ERP_34[[#This Row],[LE2 Final Submission]]-ERP_34[[#This Row],[LE3 Final Submission]]</f>
        <v>0</v>
      </c>
      <c r="V359" s="74"/>
      <c r="W359" s="75"/>
      <c r="X359" s="75"/>
      <c r="Y359" s="76">
        <v>370</v>
      </c>
      <c r="Z359" s="109">
        <v>0</v>
      </c>
      <c r="AA359" s="109">
        <v>0</v>
      </c>
      <c r="AB359" s="109">
        <v>0</v>
      </c>
      <c r="AC359" s="109">
        <v>0</v>
      </c>
      <c r="AD359" s="109">
        <v>0</v>
      </c>
      <c r="AE359" s="109">
        <v>0</v>
      </c>
      <c r="AF359" s="109">
        <v>0</v>
      </c>
      <c r="AG359" s="109">
        <v>0</v>
      </c>
      <c r="AH359" s="77">
        <f t="shared" si="16"/>
        <v>370</v>
      </c>
      <c r="AI359" s="108">
        <f>ERP_34[[#This Row],[2026 Working Total]]-ERP_34[[#This Row],[2026 LE0]]</f>
        <v>0</v>
      </c>
      <c r="AJ359" s="79"/>
      <c r="AK359" s="79"/>
      <c r="AL35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59" s="80"/>
      <c r="AN359" s="79">
        <f>ERP_34[[#This Row],[2026 Working Total to Budget/LE]]-ERP_34[[#This Row],[Giveback]]</f>
        <v>0</v>
      </c>
      <c r="AO359" s="81"/>
      <c r="AP359" s="81"/>
      <c r="AQ359" s="81"/>
      <c r="AR359" s="81"/>
      <c r="AS359" s="81">
        <v>370</v>
      </c>
      <c r="AT359" s="81">
        <v>0</v>
      </c>
      <c r="AU359" s="81">
        <v>0</v>
      </c>
      <c r="AV359" s="81">
        <v>0</v>
      </c>
      <c r="AW359" s="81">
        <v>0</v>
      </c>
      <c r="AX359" s="81">
        <v>0</v>
      </c>
      <c r="AY359" s="81">
        <v>0</v>
      </c>
      <c r="AZ359" s="81">
        <v>0</v>
      </c>
      <c r="BA359" s="81">
        <v>0</v>
      </c>
      <c r="BB359" s="81">
        <v>370</v>
      </c>
      <c r="BC359" s="79"/>
      <c r="BD359" s="79"/>
      <c r="BE359" s="79"/>
      <c r="BF359" s="79">
        <v>370</v>
      </c>
      <c r="BG359" s="79">
        <v>0</v>
      </c>
      <c r="BH359" s="79">
        <v>0</v>
      </c>
      <c r="BI359" s="79">
        <v>0</v>
      </c>
      <c r="BJ359" s="79">
        <v>0</v>
      </c>
      <c r="BK359" s="79">
        <v>0</v>
      </c>
      <c r="BL359" s="79">
        <v>0</v>
      </c>
      <c r="BM359" s="79">
        <v>0</v>
      </c>
      <c r="BN359" s="79">
        <v>0</v>
      </c>
      <c r="BO359" s="79">
        <v>370</v>
      </c>
    </row>
    <row r="360" spans="1:67">
      <c r="A360" s="66" t="s">
        <v>2790</v>
      </c>
      <c r="B360" s="66" t="str">
        <f>_xlfn.TEXTJOIN("_",,ERP_34[[#This Row],[LT Member -1*]],ERP_34[[#This Row],[Expense Category]],ERP_34[[#This Row],[Project Code*]])</f>
        <v>McGettigan, David_SOFTWARE_IT-FGS0302-SW-US-00</v>
      </c>
      <c r="C360" s="67" t="s">
        <v>1136</v>
      </c>
      <c r="D360" s="67" t="s">
        <v>1567</v>
      </c>
      <c r="E360" s="67" t="s">
        <v>1567</v>
      </c>
      <c r="F360" s="67" t="s">
        <v>1567</v>
      </c>
      <c r="G360" s="68" t="s">
        <v>639</v>
      </c>
      <c r="H360" s="106" t="s">
        <v>2291</v>
      </c>
      <c r="I360" s="70"/>
      <c r="J360" s="70"/>
      <c r="K360" s="70" t="s">
        <v>679</v>
      </c>
      <c r="L360" s="70"/>
      <c r="M360" s="70"/>
      <c r="N360" s="70"/>
      <c r="O360" s="67" t="s">
        <v>680</v>
      </c>
      <c r="P360" s="67"/>
      <c r="Q360" s="71"/>
      <c r="R360" s="72">
        <v>0</v>
      </c>
      <c r="S360" s="73">
        <v>2155</v>
      </c>
      <c r="T360" s="73">
        <v>0</v>
      </c>
      <c r="U360" s="71">
        <f>ERP_34[[#This Row],[LE2 Final Submission]]-ERP_34[[#This Row],[LE3 Final Submission]]</f>
        <v>2155</v>
      </c>
      <c r="V360" s="74"/>
      <c r="W360" s="75"/>
      <c r="X360" s="75">
        <v>2155</v>
      </c>
      <c r="Y360" s="109">
        <v>0</v>
      </c>
      <c r="Z360" s="109">
        <v>0</v>
      </c>
      <c r="AA360" s="109">
        <v>0</v>
      </c>
      <c r="AB360" s="109">
        <v>0</v>
      </c>
      <c r="AC360" s="109">
        <v>0</v>
      </c>
      <c r="AD360" s="109">
        <v>0</v>
      </c>
      <c r="AE360" s="109">
        <v>0</v>
      </c>
      <c r="AF360" s="109">
        <v>0</v>
      </c>
      <c r="AG360" s="109">
        <v>0</v>
      </c>
      <c r="AH360" s="77">
        <f t="shared" si="16"/>
        <v>2155</v>
      </c>
      <c r="AI360" s="108">
        <f>ERP_34[[#This Row],[2026 Working Total]]-ERP_34[[#This Row],[2026 LE0]]</f>
        <v>2155</v>
      </c>
      <c r="AJ360" s="79"/>
      <c r="AK360" s="79"/>
      <c r="AL3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0" s="80"/>
      <c r="AN360" s="79">
        <f>ERP_34[[#This Row],[2026 Working Total to Budget/LE]]-ERP_34[[#This Row],[Giveback]]</f>
        <v>2155</v>
      </c>
      <c r="AO360" s="81"/>
      <c r="AP360" s="81"/>
      <c r="AQ360" s="81"/>
      <c r="AR360" s="81">
        <v>2155</v>
      </c>
      <c r="AS360" s="81">
        <v>0</v>
      </c>
      <c r="AT360" s="81">
        <v>0</v>
      </c>
      <c r="AU360" s="81">
        <v>0</v>
      </c>
      <c r="AV360" s="81">
        <v>0</v>
      </c>
      <c r="AW360" s="81">
        <v>0</v>
      </c>
      <c r="AX360" s="81">
        <v>0</v>
      </c>
      <c r="AY360" s="81">
        <v>0</v>
      </c>
      <c r="AZ360" s="81">
        <v>0</v>
      </c>
      <c r="BA360" s="81">
        <v>0</v>
      </c>
      <c r="BB360" s="81">
        <v>2155</v>
      </c>
      <c r="BC360" s="82"/>
      <c r="BD360" s="82"/>
      <c r="BE360" s="82">
        <v>2155</v>
      </c>
      <c r="BF360" s="82">
        <v>0</v>
      </c>
      <c r="BG360" s="82">
        <v>0</v>
      </c>
      <c r="BH360" s="82">
        <v>0</v>
      </c>
      <c r="BI360" s="82">
        <v>0</v>
      </c>
      <c r="BJ360" s="82">
        <v>0</v>
      </c>
      <c r="BK360" s="82">
        <v>0</v>
      </c>
      <c r="BL360" s="82">
        <v>0</v>
      </c>
      <c r="BM360" s="82">
        <v>0</v>
      </c>
      <c r="BN360" s="82">
        <v>0</v>
      </c>
      <c r="BO360" s="82">
        <v>2155</v>
      </c>
    </row>
    <row r="361" spans="1:67">
      <c r="A361" s="66" t="s">
        <v>2811</v>
      </c>
      <c r="B361" s="66" t="str">
        <f>_xlfn.TEXTJOIN("_",,ERP_34[[#This Row],[LT Member -1*]],ERP_34[[#This Row],[Expense Category]],ERP_34[[#This Row],[Project Code*]])</f>
        <v>Robertson, Jerome_SOFTWARE_IT-FGS0302-SW-US-00</v>
      </c>
      <c r="C361" s="67" t="s">
        <v>1136</v>
      </c>
      <c r="D361" s="67" t="s">
        <v>1650</v>
      </c>
      <c r="E361" s="67" t="s">
        <v>1650</v>
      </c>
      <c r="F361" s="67" t="s">
        <v>1650</v>
      </c>
      <c r="G361" s="68" t="s">
        <v>639</v>
      </c>
      <c r="H361" s="106" t="s">
        <v>2291</v>
      </c>
      <c r="I361" s="70"/>
      <c r="J361" s="70"/>
      <c r="K361" s="70" t="s">
        <v>679</v>
      </c>
      <c r="L361" s="70"/>
      <c r="M361" s="70"/>
      <c r="N361" s="70"/>
      <c r="O361" s="67" t="s">
        <v>680</v>
      </c>
      <c r="P361" s="67"/>
      <c r="Q361" s="71"/>
      <c r="R361" s="72">
        <v>4500</v>
      </c>
      <c r="S361" s="73">
        <v>8574.7199999999993</v>
      </c>
      <c r="T361" s="73">
        <v>4500</v>
      </c>
      <c r="U361" s="71">
        <f>ERP_34[[#This Row],[LE2 Final Submission]]-ERP_34[[#This Row],[LE3 Final Submission]]</f>
        <v>4074.7199999999993</v>
      </c>
      <c r="V361" s="74">
        <v>431</v>
      </c>
      <c r="W361" s="75">
        <v>2586</v>
      </c>
      <c r="X361" s="75">
        <v>2182.7199999999998</v>
      </c>
      <c r="Y361" s="76">
        <v>375</v>
      </c>
      <c r="Z361" s="76">
        <v>375</v>
      </c>
      <c r="AA361" s="76">
        <v>375</v>
      </c>
      <c r="AB361" s="76">
        <v>375</v>
      </c>
      <c r="AC361" s="76">
        <v>375</v>
      </c>
      <c r="AD361" s="76">
        <v>375</v>
      </c>
      <c r="AE361" s="76">
        <v>375</v>
      </c>
      <c r="AF361" s="76">
        <v>375</v>
      </c>
      <c r="AG361" s="76">
        <v>375</v>
      </c>
      <c r="AH361" s="77">
        <f t="shared" si="16"/>
        <v>8574.7199999999993</v>
      </c>
      <c r="AI361" s="108">
        <f>ERP_34[[#This Row],[2026 Working Total]]-ERP_34[[#This Row],[2026 LE0]]</f>
        <v>4074.7199999999993</v>
      </c>
      <c r="AJ361" s="79"/>
      <c r="AK361" s="79"/>
      <c r="AL361" s="79">
        <f>ERP_34[[#This Row],[AP01]]+ERP_34[[#This Row],[AP02]]+ERP_34[[#This Row],[AP03]]+ERP_34[[#This Row],[AP04]]-ERP_34[[#This Row],[AP01 LE2]]-ERP_34[[#This Row],[AP02 LE2]]-ERP_34[[#This Row],[AP03 LE2]]-ERP_34[[#This Row],[AP04 LE2]]</f>
        <v>-4.5474735088646412E-13</v>
      </c>
      <c r="AM361" s="80"/>
      <c r="AN361" s="79">
        <f>ERP_34[[#This Row],[2026 Working Total to Budget/LE]]-ERP_34[[#This Row],[Giveback]]</f>
        <v>4074.7199999999993</v>
      </c>
      <c r="AO361" s="81"/>
      <c r="AP361" s="81">
        <v>431</v>
      </c>
      <c r="AQ361" s="81">
        <v>2586</v>
      </c>
      <c r="AR361" s="81">
        <v>2182.7199999999998</v>
      </c>
      <c r="AS361" s="81">
        <v>375</v>
      </c>
      <c r="AT361" s="81">
        <v>375</v>
      </c>
      <c r="AU361" s="81">
        <v>375</v>
      </c>
      <c r="AV361" s="81">
        <v>375</v>
      </c>
      <c r="AW361" s="81">
        <v>375</v>
      </c>
      <c r="AX361" s="81">
        <v>375</v>
      </c>
      <c r="AY361" s="81">
        <v>375</v>
      </c>
      <c r="AZ361" s="81">
        <v>375</v>
      </c>
      <c r="BA361" s="81">
        <v>375</v>
      </c>
      <c r="BB361" s="81">
        <v>8574.7199999999993</v>
      </c>
      <c r="BC361" s="79">
        <v>431</v>
      </c>
      <c r="BD361" s="79">
        <v>2586</v>
      </c>
      <c r="BE361" s="79">
        <v>2182.7199999999998</v>
      </c>
      <c r="BF361" s="79">
        <v>375</v>
      </c>
      <c r="BG361" s="79">
        <v>375</v>
      </c>
      <c r="BH361" s="79">
        <v>375</v>
      </c>
      <c r="BI361" s="79">
        <v>375</v>
      </c>
      <c r="BJ361" s="79">
        <v>375</v>
      </c>
      <c r="BK361" s="79">
        <v>375</v>
      </c>
      <c r="BL361" s="79">
        <v>375</v>
      </c>
      <c r="BM361" s="79">
        <v>375</v>
      </c>
      <c r="BN361" s="79">
        <v>375</v>
      </c>
      <c r="BO361" s="79">
        <v>8574.7199999999993</v>
      </c>
    </row>
    <row r="362" spans="1:67">
      <c r="A362" s="82" t="s">
        <v>1706</v>
      </c>
      <c r="B362" s="83" t="str">
        <f>_xlfn.TEXTJOIN("_",,ERP_34[[#This Row],[LT Member -1*]],ERP_34[[#This Row],[Expense Category]],ERP_34[[#This Row],[Project Code*]])</f>
        <v>McCormick, Pete_HW MAINTENANCE_IT-HRD0003-OG-US-DH</v>
      </c>
      <c r="C362" s="67" t="s">
        <v>2959</v>
      </c>
      <c r="D362" s="84" t="s">
        <v>1135</v>
      </c>
      <c r="E362" s="85" t="s">
        <v>1145</v>
      </c>
      <c r="F362" s="68" t="s">
        <v>1137</v>
      </c>
      <c r="G362" s="85" t="s">
        <v>342</v>
      </c>
      <c r="H362" s="110" t="s">
        <v>1708</v>
      </c>
      <c r="I362" s="67"/>
      <c r="J362" s="67"/>
      <c r="K362" s="91" t="s">
        <v>367</v>
      </c>
      <c r="L362" s="111"/>
      <c r="M362" s="70"/>
      <c r="N362" s="70" t="s">
        <v>1710</v>
      </c>
      <c r="O362" s="91" t="s">
        <v>368</v>
      </c>
      <c r="P362" s="70" t="s">
        <v>1348</v>
      </c>
      <c r="Q362" s="195"/>
      <c r="R362" s="94">
        <v>749252.78</v>
      </c>
      <c r="S362" s="95">
        <v>0</v>
      </c>
      <c r="T362" s="190">
        <v>749252.78</v>
      </c>
      <c r="U362" s="191">
        <f>ERP_34[[#This Row],[LE2 Final Submission]]-ERP_34[[#This Row],[LE3 Final Submission]]</f>
        <v>-749252.78</v>
      </c>
      <c r="V362" s="98"/>
      <c r="W362" s="99"/>
      <c r="X362" s="99"/>
      <c r="Y362" s="100">
        <v>0</v>
      </c>
      <c r="Z362" s="100">
        <v>0</v>
      </c>
      <c r="AA362" s="100">
        <v>0</v>
      </c>
      <c r="AB362" s="100">
        <v>0</v>
      </c>
      <c r="AC362" s="100">
        <v>0</v>
      </c>
      <c r="AD362" s="100">
        <v>0</v>
      </c>
      <c r="AE362" s="100">
        <v>0</v>
      </c>
      <c r="AF362" s="100">
        <v>0</v>
      </c>
      <c r="AG362" s="100">
        <v>0</v>
      </c>
      <c r="AH362" s="101">
        <f t="shared" si="16"/>
        <v>0</v>
      </c>
      <c r="AI362" s="108">
        <f>ERP_34[[#This Row],[2026 Working Total]]-ERP_34[[#This Row],[2026 LE0]]</f>
        <v>-749252.78</v>
      </c>
      <c r="AJ362" s="79"/>
      <c r="AK362" s="79"/>
      <c r="AL36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2" s="80"/>
      <c r="AN362" s="79">
        <f>ERP_34[[#This Row],[2026 Working Total to Budget/LE]]-ERP_34[[#This Row],[Giveback]]</f>
        <v>-749252.78</v>
      </c>
      <c r="AO362" s="81"/>
      <c r="AP362" s="81"/>
      <c r="AQ362" s="81"/>
      <c r="AR362" s="81"/>
      <c r="AS362" s="81">
        <v>0</v>
      </c>
      <c r="AT362" s="81">
        <v>0</v>
      </c>
      <c r="AU362" s="81">
        <v>0</v>
      </c>
      <c r="AV362" s="81">
        <v>0</v>
      </c>
      <c r="AW362" s="81">
        <v>0</v>
      </c>
      <c r="AX362" s="81">
        <v>0</v>
      </c>
      <c r="AY362" s="81">
        <v>0</v>
      </c>
      <c r="AZ362" s="81">
        <v>0</v>
      </c>
      <c r="BA362" s="81">
        <v>0</v>
      </c>
      <c r="BB362" s="81">
        <v>0</v>
      </c>
      <c r="BC362" s="103">
        <v>749252.78</v>
      </c>
      <c r="BD362" s="103">
        <v>0</v>
      </c>
      <c r="BE362" s="103">
        <v>0</v>
      </c>
      <c r="BF362" s="103">
        <v>0</v>
      </c>
      <c r="BG362" s="103">
        <v>0</v>
      </c>
      <c r="BH362" s="103">
        <v>0</v>
      </c>
      <c r="BI362" s="103">
        <v>0</v>
      </c>
      <c r="BJ362" s="103">
        <v>0</v>
      </c>
      <c r="BK362" s="103">
        <v>0</v>
      </c>
      <c r="BL362" s="103">
        <v>0</v>
      </c>
      <c r="BM362" s="103">
        <v>0</v>
      </c>
      <c r="BN362" s="103">
        <v>0</v>
      </c>
      <c r="BO362" s="82">
        <f>SUM(ERP_34[[#This Row],[2026 AP01]:[2026 AP12]])</f>
        <v>749252.78</v>
      </c>
    </row>
    <row r="363" spans="1:67">
      <c r="A363" s="82" t="s">
        <v>1711</v>
      </c>
      <c r="B363" s="83" t="str">
        <f>_xlfn.TEXTJOIN("_",,ERP_34[[#This Row],[LT Member -1*]],ERP_34[[#This Row],[Expense Category]],ERP_34[[#This Row],[Project Code*]])</f>
        <v>McCormick, Pete_HW MAINTENANCE_IT-HRD0003-OG-US-DH/PF</v>
      </c>
      <c r="C363" s="67" t="s">
        <v>2959</v>
      </c>
      <c r="D363" s="84" t="s">
        <v>1135</v>
      </c>
      <c r="E363" s="85" t="s">
        <v>1145</v>
      </c>
      <c r="F363" s="68" t="s">
        <v>1137</v>
      </c>
      <c r="G363" s="85" t="s">
        <v>342</v>
      </c>
      <c r="H363" s="110" t="s">
        <v>1713</v>
      </c>
      <c r="I363" s="67"/>
      <c r="J363" s="67"/>
      <c r="K363" s="91" t="s">
        <v>370</v>
      </c>
      <c r="L363" s="111"/>
      <c r="M363" s="70"/>
      <c r="N363" s="70" t="s">
        <v>1710</v>
      </c>
      <c r="O363" s="91" t="s">
        <v>368</v>
      </c>
      <c r="P363" s="70" t="s">
        <v>1348</v>
      </c>
      <c r="Q363" s="195"/>
      <c r="R363" s="94">
        <v>-749252.78</v>
      </c>
      <c r="S363" s="95">
        <v>0</v>
      </c>
      <c r="T363" s="190">
        <v>-749252.78</v>
      </c>
      <c r="U363" s="191">
        <f>ERP_34[[#This Row],[LE2 Final Submission]]-ERP_34[[#This Row],[LE3 Final Submission]]</f>
        <v>749252.78</v>
      </c>
      <c r="V363" s="98"/>
      <c r="W363" s="99"/>
      <c r="X363" s="99"/>
      <c r="Y363" s="100">
        <v>0</v>
      </c>
      <c r="Z363" s="100">
        <v>0</v>
      </c>
      <c r="AA363" s="100">
        <v>0</v>
      </c>
      <c r="AB363" s="100">
        <v>0</v>
      </c>
      <c r="AC363" s="100">
        <v>0</v>
      </c>
      <c r="AD363" s="100">
        <v>0</v>
      </c>
      <c r="AE363" s="100">
        <v>0</v>
      </c>
      <c r="AF363" s="100">
        <v>0</v>
      </c>
      <c r="AG363" s="100">
        <v>0</v>
      </c>
      <c r="AH363" s="101">
        <f t="shared" si="16"/>
        <v>0</v>
      </c>
      <c r="AI363" s="108">
        <f>ERP_34[[#This Row],[2026 Working Total]]-ERP_34[[#This Row],[2026 LE0]]</f>
        <v>749252.78</v>
      </c>
      <c r="AJ363" s="79"/>
      <c r="AK363" s="79"/>
      <c r="AL3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3" s="80"/>
      <c r="AN363" s="79">
        <f>ERP_34[[#This Row],[2026 Working Total to Budget/LE]]-ERP_34[[#This Row],[Giveback]]</f>
        <v>749252.78</v>
      </c>
      <c r="AO363" s="81"/>
      <c r="AP363" s="81"/>
      <c r="AQ363" s="81"/>
      <c r="AR363" s="81"/>
      <c r="AS363" s="81">
        <v>0</v>
      </c>
      <c r="AT363" s="81">
        <v>0</v>
      </c>
      <c r="AU363" s="81">
        <v>0</v>
      </c>
      <c r="AV363" s="81">
        <v>0</v>
      </c>
      <c r="AW363" s="81">
        <v>0</v>
      </c>
      <c r="AX363" s="81">
        <v>0</v>
      </c>
      <c r="AY363" s="81">
        <v>0</v>
      </c>
      <c r="AZ363" s="81">
        <v>0</v>
      </c>
      <c r="BA363" s="81">
        <v>0</v>
      </c>
      <c r="BB363" s="81">
        <v>0</v>
      </c>
      <c r="BC363" s="103">
        <v>-749252.78</v>
      </c>
      <c r="BD363" s="103">
        <v>0</v>
      </c>
      <c r="BE363" s="103">
        <v>0</v>
      </c>
      <c r="BF363" s="103">
        <v>0</v>
      </c>
      <c r="BG363" s="103">
        <v>0</v>
      </c>
      <c r="BH363" s="103">
        <v>0</v>
      </c>
      <c r="BI363" s="103">
        <v>0</v>
      </c>
      <c r="BJ363" s="103">
        <v>0</v>
      </c>
      <c r="BK363" s="103">
        <v>0</v>
      </c>
      <c r="BL363" s="103">
        <v>0</v>
      </c>
      <c r="BM363" s="103">
        <v>0</v>
      </c>
      <c r="BN363" s="103">
        <v>0</v>
      </c>
      <c r="BO363" s="82">
        <f>SUM(ERP_34[[#This Row],[2026 AP01]:[2026 AP12]])</f>
        <v>-749252.78</v>
      </c>
    </row>
    <row r="364" spans="1:67">
      <c r="A364" s="82" t="s">
        <v>1714</v>
      </c>
      <c r="B364" s="83" t="str">
        <f>_xlfn.TEXTJOIN("_",,ERP_34[[#This Row],[LT Member -1*]],ERP_34[[#This Row],[Expense Category]],ERP_34[[#This Row],[Project Code*]])</f>
        <v>McCormick, Pete_HW MAINTENANCE_IT-HRD0004-OG-US-SS</v>
      </c>
      <c r="C364" s="67" t="s">
        <v>2959</v>
      </c>
      <c r="D364" s="84" t="s">
        <v>1135</v>
      </c>
      <c r="E364" s="85" t="s">
        <v>1145</v>
      </c>
      <c r="F364" s="68" t="s">
        <v>1137</v>
      </c>
      <c r="G364" s="85" t="s">
        <v>342</v>
      </c>
      <c r="H364" s="110" t="s">
        <v>1716</v>
      </c>
      <c r="I364" s="67"/>
      <c r="J364" s="67"/>
      <c r="K364" s="91" t="s">
        <v>372</v>
      </c>
      <c r="L364" s="111"/>
      <c r="M364" s="70"/>
      <c r="N364" s="70" t="s">
        <v>1710</v>
      </c>
      <c r="O364" s="91" t="s">
        <v>368</v>
      </c>
      <c r="P364" s="70" t="s">
        <v>1348</v>
      </c>
      <c r="Q364" s="195"/>
      <c r="R364" s="94">
        <v>783580.73</v>
      </c>
      <c r="S364" s="95">
        <v>0</v>
      </c>
      <c r="T364" s="190">
        <v>783580.73</v>
      </c>
      <c r="U364" s="191">
        <f>ERP_34[[#This Row],[LE2 Final Submission]]-ERP_34[[#This Row],[LE3 Final Submission]]</f>
        <v>-783580.73</v>
      </c>
      <c r="V364" s="98"/>
      <c r="W364" s="99"/>
      <c r="X364" s="99"/>
      <c r="Y364" s="100">
        <v>0</v>
      </c>
      <c r="Z364" s="100">
        <v>0</v>
      </c>
      <c r="AA364" s="100">
        <v>0</v>
      </c>
      <c r="AB364" s="100">
        <v>0</v>
      </c>
      <c r="AC364" s="100">
        <v>0</v>
      </c>
      <c r="AD364" s="100">
        <v>0</v>
      </c>
      <c r="AE364" s="100">
        <v>0</v>
      </c>
      <c r="AF364" s="100">
        <v>0</v>
      </c>
      <c r="AG364" s="100">
        <v>0</v>
      </c>
      <c r="AH364" s="101">
        <f t="shared" si="16"/>
        <v>0</v>
      </c>
      <c r="AI364" s="108">
        <f>ERP_34[[#This Row],[2026 Working Total]]-ERP_34[[#This Row],[2026 LE0]]</f>
        <v>-783580.73</v>
      </c>
      <c r="AJ364" s="79"/>
      <c r="AK364" s="79"/>
      <c r="AL36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4" s="80"/>
      <c r="AN364" s="79">
        <f>ERP_34[[#This Row],[2026 Working Total to Budget/LE]]-ERP_34[[#This Row],[Giveback]]</f>
        <v>-783580.73</v>
      </c>
      <c r="AO364" s="81"/>
      <c r="AP364" s="81"/>
      <c r="AQ364" s="81"/>
      <c r="AR364" s="81"/>
      <c r="AS364" s="81">
        <v>0</v>
      </c>
      <c r="AT364" s="81">
        <v>0</v>
      </c>
      <c r="AU364" s="81">
        <v>0</v>
      </c>
      <c r="AV364" s="81">
        <v>0</v>
      </c>
      <c r="AW364" s="81">
        <v>0</v>
      </c>
      <c r="AX364" s="81">
        <v>0</v>
      </c>
      <c r="AY364" s="81">
        <v>0</v>
      </c>
      <c r="AZ364" s="81">
        <v>0</v>
      </c>
      <c r="BA364" s="81">
        <v>0</v>
      </c>
      <c r="BB364" s="81">
        <v>0</v>
      </c>
      <c r="BC364" s="103">
        <v>783580.73</v>
      </c>
      <c r="BD364" s="103">
        <v>0</v>
      </c>
      <c r="BE364" s="103">
        <v>0</v>
      </c>
      <c r="BF364" s="103">
        <v>0</v>
      </c>
      <c r="BG364" s="103">
        <v>0</v>
      </c>
      <c r="BH364" s="103">
        <v>0</v>
      </c>
      <c r="BI364" s="103">
        <v>0</v>
      </c>
      <c r="BJ364" s="103">
        <v>0</v>
      </c>
      <c r="BK364" s="103">
        <v>0</v>
      </c>
      <c r="BL364" s="103">
        <v>0</v>
      </c>
      <c r="BM364" s="103">
        <v>0</v>
      </c>
      <c r="BN364" s="103">
        <v>0</v>
      </c>
      <c r="BO364" s="82">
        <f>SUM(ERP_34[[#This Row],[2026 AP01]:[2026 AP12]])</f>
        <v>783580.73</v>
      </c>
    </row>
    <row r="365" spans="1:67">
      <c r="A365" s="82" t="s">
        <v>1718</v>
      </c>
      <c r="B365" s="83" t="str">
        <f>_xlfn.TEXTJOIN("_",,ERP_34[[#This Row],[LT Member -1*]],ERP_34[[#This Row],[Expense Category]],ERP_34[[#This Row],[Project Code*]])</f>
        <v>McCormick, Pete_HW MAINTENANCE_IT-HRD0004-OG-US-SS/PF</v>
      </c>
      <c r="C365" s="67" t="s">
        <v>2959</v>
      </c>
      <c r="D365" s="84" t="s">
        <v>1135</v>
      </c>
      <c r="E365" s="85" t="s">
        <v>1145</v>
      </c>
      <c r="F365" s="68" t="s">
        <v>1137</v>
      </c>
      <c r="G365" s="85" t="s">
        <v>342</v>
      </c>
      <c r="H365" s="110" t="s">
        <v>1720</v>
      </c>
      <c r="I365" s="67"/>
      <c r="J365" s="67"/>
      <c r="K365" s="91" t="s">
        <v>374</v>
      </c>
      <c r="L365" s="111"/>
      <c r="M365" s="70"/>
      <c r="N365" s="70" t="s">
        <v>1710</v>
      </c>
      <c r="O365" s="91" t="s">
        <v>368</v>
      </c>
      <c r="P365" s="70" t="s">
        <v>1348</v>
      </c>
      <c r="Q365" s="195"/>
      <c r="R365" s="94">
        <v>-783580.73</v>
      </c>
      <c r="S365" s="95">
        <v>0</v>
      </c>
      <c r="T365" s="190">
        <v>-783580.73</v>
      </c>
      <c r="U365" s="191">
        <f>ERP_34[[#This Row],[LE2 Final Submission]]-ERP_34[[#This Row],[LE3 Final Submission]]</f>
        <v>783580.73</v>
      </c>
      <c r="V365" s="98"/>
      <c r="W365" s="99"/>
      <c r="X365" s="99"/>
      <c r="Y365" s="100">
        <v>0</v>
      </c>
      <c r="Z365" s="100">
        <v>0</v>
      </c>
      <c r="AA365" s="100">
        <v>0</v>
      </c>
      <c r="AB365" s="100">
        <v>0</v>
      </c>
      <c r="AC365" s="100">
        <v>0</v>
      </c>
      <c r="AD365" s="100">
        <v>0</v>
      </c>
      <c r="AE365" s="100">
        <v>0</v>
      </c>
      <c r="AF365" s="100">
        <v>0</v>
      </c>
      <c r="AG365" s="100">
        <v>0</v>
      </c>
      <c r="AH365" s="101">
        <f t="shared" si="16"/>
        <v>0</v>
      </c>
      <c r="AI365" s="108">
        <f>ERP_34[[#This Row],[2026 Working Total]]-ERP_34[[#This Row],[2026 LE0]]</f>
        <v>783580.73</v>
      </c>
      <c r="AJ365" s="79"/>
      <c r="AK365" s="79"/>
      <c r="AL36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5" s="80"/>
      <c r="AN365" s="79">
        <f>ERP_34[[#This Row],[2026 Working Total to Budget/LE]]-ERP_34[[#This Row],[Giveback]]</f>
        <v>783580.73</v>
      </c>
      <c r="AO365" s="81"/>
      <c r="AP365" s="81"/>
      <c r="AQ365" s="81"/>
      <c r="AR365" s="81"/>
      <c r="AS365" s="81">
        <v>0</v>
      </c>
      <c r="AT365" s="81">
        <v>0</v>
      </c>
      <c r="AU365" s="81">
        <v>0</v>
      </c>
      <c r="AV365" s="81">
        <v>0</v>
      </c>
      <c r="AW365" s="81">
        <v>0</v>
      </c>
      <c r="AX365" s="81">
        <v>0</v>
      </c>
      <c r="AY365" s="81">
        <v>0</v>
      </c>
      <c r="AZ365" s="81">
        <v>0</v>
      </c>
      <c r="BA365" s="81">
        <v>0</v>
      </c>
      <c r="BB365" s="81">
        <v>0</v>
      </c>
      <c r="BC365" s="103">
        <v>-783580.73</v>
      </c>
      <c r="BD365" s="103">
        <v>0</v>
      </c>
      <c r="BE365" s="103">
        <v>0</v>
      </c>
      <c r="BF365" s="103">
        <v>0</v>
      </c>
      <c r="BG365" s="103">
        <v>0</v>
      </c>
      <c r="BH365" s="103">
        <v>0</v>
      </c>
      <c r="BI365" s="103">
        <v>0</v>
      </c>
      <c r="BJ365" s="103">
        <v>0</v>
      </c>
      <c r="BK365" s="103">
        <v>0</v>
      </c>
      <c r="BL365" s="103">
        <v>0</v>
      </c>
      <c r="BM365" s="103">
        <v>0</v>
      </c>
      <c r="BN365" s="103">
        <v>0</v>
      </c>
      <c r="BO365" s="82">
        <f>SUM(ERP_34[[#This Row],[2026 AP01]:[2026 AP12]])</f>
        <v>-783580.73</v>
      </c>
    </row>
    <row r="366" spans="1:67">
      <c r="A366" s="66" t="s">
        <v>1914</v>
      </c>
      <c r="B366" s="66" t="str">
        <f>_xlfn.TEXTJOIN("_",,ERP_34[[#This Row],[LT Member -1*]],ERP_34[[#This Row],[Expense Category]],ERP_34[[#This Row],[Project Code*]])</f>
        <v>McCormick, Pete_MANAGED SERVICES_IT-HRD0005-OG-US-SS</v>
      </c>
      <c r="C366" s="67" t="s">
        <v>1136</v>
      </c>
      <c r="D366" s="67" t="s">
        <v>1135</v>
      </c>
      <c r="E366" s="67" t="s">
        <v>1145</v>
      </c>
      <c r="F366" s="67" t="s">
        <v>1137</v>
      </c>
      <c r="G366" s="68" t="s">
        <v>389</v>
      </c>
      <c r="H366" s="106" t="s">
        <v>1916</v>
      </c>
      <c r="I366" s="70"/>
      <c r="J366" s="70"/>
      <c r="K366" s="70" t="s">
        <v>468</v>
      </c>
      <c r="L366" s="70"/>
      <c r="M366" s="70"/>
      <c r="N366" s="70"/>
      <c r="O366" s="67" t="s">
        <v>25</v>
      </c>
      <c r="P366" s="67"/>
      <c r="Q366" s="71"/>
      <c r="R366" s="72">
        <v>301000</v>
      </c>
      <c r="S366" s="73">
        <v>305973.58</v>
      </c>
      <c r="T366" s="73">
        <v>301000</v>
      </c>
      <c r="U366" s="71">
        <f>ERP_34[[#This Row],[LE2 Final Submission]]-ERP_34[[#This Row],[LE3 Final Submission]]</f>
        <v>4973.5800000000163</v>
      </c>
      <c r="V366" s="74">
        <v>80223.58</v>
      </c>
      <c r="W366" s="124">
        <v>0</v>
      </c>
      <c r="X366" s="124">
        <v>0</v>
      </c>
      <c r="Y366" s="76">
        <v>75250</v>
      </c>
      <c r="Z366" s="109">
        <v>0</v>
      </c>
      <c r="AA366" s="109">
        <v>0</v>
      </c>
      <c r="AB366" s="76">
        <v>75250</v>
      </c>
      <c r="AC366" s="109">
        <v>0</v>
      </c>
      <c r="AD366" s="109">
        <v>0</v>
      </c>
      <c r="AE366" s="76">
        <v>75250</v>
      </c>
      <c r="AF366" s="109">
        <v>0</v>
      </c>
      <c r="AG366" s="109">
        <v>0</v>
      </c>
      <c r="AH366" s="77">
        <f t="shared" si="16"/>
        <v>305973.58</v>
      </c>
      <c r="AI366" s="108">
        <f>ERP_34[[#This Row],[2026 Working Total]]-ERP_34[[#This Row],[2026 LE0]]</f>
        <v>4973.5800000000163</v>
      </c>
      <c r="AJ366" s="79"/>
      <c r="AK366" s="79"/>
      <c r="AL36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6" s="80"/>
      <c r="AN366" s="79">
        <f>ERP_34[[#This Row],[2026 Working Total to Budget/LE]]-ERP_34[[#This Row],[Giveback]]</f>
        <v>4973.5800000000163</v>
      </c>
      <c r="AO366" s="81"/>
      <c r="AP366" s="81">
        <v>80223.58</v>
      </c>
      <c r="AQ366" s="81">
        <v>0</v>
      </c>
      <c r="AR366" s="81">
        <v>0</v>
      </c>
      <c r="AS366" s="81">
        <v>75250</v>
      </c>
      <c r="AT366" s="81">
        <v>0</v>
      </c>
      <c r="AU366" s="81">
        <v>0</v>
      </c>
      <c r="AV366" s="81">
        <v>75250</v>
      </c>
      <c r="AW366" s="81">
        <v>0</v>
      </c>
      <c r="AX366" s="81">
        <v>0</v>
      </c>
      <c r="AY366" s="81">
        <v>75250</v>
      </c>
      <c r="AZ366" s="81">
        <v>0</v>
      </c>
      <c r="BA366" s="81">
        <v>0</v>
      </c>
      <c r="BB366" s="81">
        <v>305973.58</v>
      </c>
      <c r="BC366" s="79">
        <v>80223.58</v>
      </c>
      <c r="BD366" s="79">
        <v>0</v>
      </c>
      <c r="BE366" s="79">
        <v>0</v>
      </c>
      <c r="BF366" s="79">
        <v>75250</v>
      </c>
      <c r="BG366" s="79">
        <v>0</v>
      </c>
      <c r="BH366" s="79">
        <v>0</v>
      </c>
      <c r="BI366" s="79">
        <v>75250</v>
      </c>
      <c r="BJ366" s="79">
        <v>0</v>
      </c>
      <c r="BK366" s="79">
        <v>0</v>
      </c>
      <c r="BL366" s="79">
        <v>75250</v>
      </c>
      <c r="BM366" s="79">
        <v>0</v>
      </c>
      <c r="BN366" s="79">
        <v>0</v>
      </c>
      <c r="BO366" s="79">
        <v>305973.58</v>
      </c>
    </row>
    <row r="367" spans="1:67">
      <c r="A367" s="66" t="s">
        <v>1919</v>
      </c>
      <c r="B367" s="66" t="str">
        <f>_xlfn.TEXTJOIN("_",,ERP_34[[#This Row],[LT Member -1*]],ERP_34[[#This Row],[Expense Category]],ERP_34[[#This Row],[Project Code*]])</f>
        <v>McCormick, Pete_MANAGED SERVICES_IT-HRD0006-OG-US-DH</v>
      </c>
      <c r="C367" s="67" t="s">
        <v>1136</v>
      </c>
      <c r="D367" s="67" t="s">
        <v>1135</v>
      </c>
      <c r="E367" s="67" t="s">
        <v>1145</v>
      </c>
      <c r="F367" s="67" t="s">
        <v>1137</v>
      </c>
      <c r="G367" s="68" t="s">
        <v>389</v>
      </c>
      <c r="H367" s="106" t="s">
        <v>1921</v>
      </c>
      <c r="I367" s="70"/>
      <c r="J367" s="70"/>
      <c r="K367" s="70" t="s">
        <v>470</v>
      </c>
      <c r="L367" s="70"/>
      <c r="M367" s="70"/>
      <c r="N367" s="70"/>
      <c r="O367" s="67" t="s">
        <v>25</v>
      </c>
      <c r="P367" s="67"/>
      <c r="Q367" s="71"/>
      <c r="R367" s="72">
        <v>282792</v>
      </c>
      <c r="S367" s="73">
        <v>282791.93</v>
      </c>
      <c r="T367" s="73">
        <v>282792</v>
      </c>
      <c r="U367" s="71">
        <f>ERP_34[[#This Row],[LE2 Final Submission]]-ERP_34[[#This Row],[LE3 Final Submission]]</f>
        <v>-7.0000000006984919E-2</v>
      </c>
      <c r="V367" s="74">
        <v>70697.440000000002</v>
      </c>
      <c r="W367" s="75">
        <v>0.49</v>
      </c>
      <c r="X367" s="124">
        <v>0</v>
      </c>
      <c r="Y367" s="76">
        <v>70698</v>
      </c>
      <c r="Z367" s="109">
        <v>0</v>
      </c>
      <c r="AA367" s="109">
        <v>0</v>
      </c>
      <c r="AB367" s="76">
        <v>70698</v>
      </c>
      <c r="AC367" s="109">
        <v>0</v>
      </c>
      <c r="AD367" s="109">
        <v>0</v>
      </c>
      <c r="AE367" s="76">
        <v>70698</v>
      </c>
      <c r="AF367" s="109">
        <v>0</v>
      </c>
      <c r="AG367" s="109">
        <v>0</v>
      </c>
      <c r="AH367" s="77">
        <f t="shared" si="16"/>
        <v>282791.93</v>
      </c>
      <c r="AI367" s="108">
        <f>ERP_34[[#This Row],[2026 Working Total]]-ERP_34[[#This Row],[2026 LE0]]</f>
        <v>-7.0000000006984919E-2</v>
      </c>
      <c r="AJ367" s="79"/>
      <c r="AK367" s="79"/>
      <c r="AL3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7" s="80"/>
      <c r="AN367" s="79">
        <f>ERP_34[[#This Row],[2026 Working Total to Budget/LE]]-ERP_34[[#This Row],[Giveback]]</f>
        <v>-7.0000000006984919E-2</v>
      </c>
      <c r="AO367" s="81"/>
      <c r="AP367" s="81">
        <v>70697.440000000002</v>
      </c>
      <c r="AQ367" s="81">
        <v>0.49</v>
      </c>
      <c r="AR367" s="81">
        <v>0</v>
      </c>
      <c r="AS367" s="81">
        <v>70698</v>
      </c>
      <c r="AT367" s="81">
        <v>0</v>
      </c>
      <c r="AU367" s="81">
        <v>0</v>
      </c>
      <c r="AV367" s="81">
        <v>70698</v>
      </c>
      <c r="AW367" s="81">
        <v>0</v>
      </c>
      <c r="AX367" s="81">
        <v>0</v>
      </c>
      <c r="AY367" s="81">
        <v>70698</v>
      </c>
      <c r="AZ367" s="81">
        <v>0</v>
      </c>
      <c r="BA367" s="81">
        <v>0</v>
      </c>
      <c r="BB367" s="81">
        <v>282791.93</v>
      </c>
      <c r="BC367" s="79">
        <v>70697.440000000002</v>
      </c>
      <c r="BD367" s="79">
        <v>0.49</v>
      </c>
      <c r="BE367" s="79">
        <v>0</v>
      </c>
      <c r="BF367" s="79">
        <v>70698</v>
      </c>
      <c r="BG367" s="79">
        <v>0</v>
      </c>
      <c r="BH367" s="79">
        <v>0</v>
      </c>
      <c r="BI367" s="79">
        <v>70698</v>
      </c>
      <c r="BJ367" s="79">
        <v>0</v>
      </c>
      <c r="BK367" s="79">
        <v>0</v>
      </c>
      <c r="BL367" s="79">
        <v>70698</v>
      </c>
      <c r="BM367" s="79">
        <v>0</v>
      </c>
      <c r="BN367" s="79">
        <v>0</v>
      </c>
      <c r="BO367" s="79">
        <v>282791.93</v>
      </c>
    </row>
    <row r="368" spans="1:67">
      <c r="A368" s="66" t="s">
        <v>1740</v>
      </c>
      <c r="B368" s="66" t="str">
        <f>_xlfn.TEXTJOIN("_",,ERP_34[[#This Row],[LT Member -1*]],ERP_34[[#This Row],[Expense Category]],ERP_34[[#This Row],[Project Code*]])</f>
        <v>DeHart, Lynn_HW MAINTENANCE_IT-HRD0058-OG-US-00</v>
      </c>
      <c r="C368" s="67" t="s">
        <v>1136</v>
      </c>
      <c r="D368" s="67" t="s">
        <v>1345</v>
      </c>
      <c r="E368" s="67" t="s">
        <v>1346</v>
      </c>
      <c r="F368" s="67" t="s">
        <v>1346</v>
      </c>
      <c r="G368" s="68" t="s">
        <v>342</v>
      </c>
      <c r="H368" s="106" t="s">
        <v>1742</v>
      </c>
      <c r="I368" s="70"/>
      <c r="J368" s="70"/>
      <c r="K368" s="70" t="s">
        <v>383</v>
      </c>
      <c r="L368" s="70"/>
      <c r="M368" s="70"/>
      <c r="N368" s="70"/>
      <c r="O368" s="67" t="s">
        <v>25</v>
      </c>
      <c r="P368" s="67"/>
      <c r="Q368" s="71"/>
      <c r="R368" s="72">
        <v>1659</v>
      </c>
      <c r="S368" s="73">
        <v>1209</v>
      </c>
      <c r="T368" s="73">
        <v>1659</v>
      </c>
      <c r="U368" s="71">
        <f>ERP_34[[#This Row],[LE2 Final Submission]]-ERP_34[[#This Row],[LE3 Final Submission]]</f>
        <v>-450</v>
      </c>
      <c r="V368" s="74"/>
      <c r="W368" s="75"/>
      <c r="X368" s="75"/>
      <c r="Y368" s="76">
        <v>150</v>
      </c>
      <c r="Z368" s="76">
        <v>159</v>
      </c>
      <c r="AA368" s="76">
        <v>150</v>
      </c>
      <c r="AB368" s="76">
        <v>150</v>
      </c>
      <c r="AC368" s="76">
        <v>150</v>
      </c>
      <c r="AD368" s="76">
        <v>150</v>
      </c>
      <c r="AE368" s="76">
        <v>150</v>
      </c>
      <c r="AF368" s="109">
        <v>0</v>
      </c>
      <c r="AG368" s="76">
        <v>150</v>
      </c>
      <c r="AH368" s="77">
        <f t="shared" si="16"/>
        <v>1209</v>
      </c>
      <c r="AI368" s="108">
        <f>ERP_34[[#This Row],[2026 Working Total]]-ERP_34[[#This Row],[2026 LE0]]</f>
        <v>-450</v>
      </c>
      <c r="AJ368" s="79"/>
      <c r="AK368" s="79"/>
      <c r="AL36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8" s="80"/>
      <c r="AN368" s="79">
        <f>ERP_34[[#This Row],[2026 Working Total to Budget/LE]]-ERP_34[[#This Row],[Giveback]]</f>
        <v>-450</v>
      </c>
      <c r="AO368" s="81"/>
      <c r="AP368" s="81"/>
      <c r="AQ368" s="81"/>
      <c r="AR368" s="81"/>
      <c r="AS368" s="81">
        <v>150</v>
      </c>
      <c r="AT368" s="81">
        <v>159</v>
      </c>
      <c r="AU368" s="81">
        <v>150</v>
      </c>
      <c r="AV368" s="81">
        <v>150</v>
      </c>
      <c r="AW368" s="81">
        <v>150</v>
      </c>
      <c r="AX368" s="81">
        <v>150</v>
      </c>
      <c r="AY368" s="81">
        <v>150</v>
      </c>
      <c r="AZ368" s="81">
        <v>0</v>
      </c>
      <c r="BA368" s="81">
        <v>150</v>
      </c>
      <c r="BB368" s="81">
        <v>1209</v>
      </c>
      <c r="BC368" s="79"/>
      <c r="BD368" s="79"/>
      <c r="BE368" s="79"/>
      <c r="BF368" s="79">
        <v>150</v>
      </c>
      <c r="BG368" s="79">
        <v>159</v>
      </c>
      <c r="BH368" s="79">
        <v>150</v>
      </c>
      <c r="BI368" s="79">
        <v>150</v>
      </c>
      <c r="BJ368" s="79">
        <v>150</v>
      </c>
      <c r="BK368" s="79">
        <v>150</v>
      </c>
      <c r="BL368" s="79">
        <v>150</v>
      </c>
      <c r="BM368" s="79">
        <v>0</v>
      </c>
      <c r="BN368" s="79">
        <v>150</v>
      </c>
      <c r="BO368" s="79">
        <v>1209</v>
      </c>
    </row>
    <row r="369" spans="1:67">
      <c r="A369" s="66" t="s">
        <v>2122</v>
      </c>
      <c r="B369" s="66" t="str">
        <f>_xlfn.TEXTJOIN("_",,ERP_34[[#This Row],[LT Member -1*]],ERP_34[[#This Row],[Expense Category]],ERP_34[[#This Row],[Project Code*]])</f>
        <v>DeHart, Lynn_MANAGED SERVICES_IT-MGS0158-OG-US-00</v>
      </c>
      <c r="C369" s="67" t="s">
        <v>1136</v>
      </c>
      <c r="D369" s="67" t="s">
        <v>1345</v>
      </c>
      <c r="E369" s="67" t="s">
        <v>1346</v>
      </c>
      <c r="F369" s="67" t="s">
        <v>1346</v>
      </c>
      <c r="G369" s="68" t="s">
        <v>389</v>
      </c>
      <c r="H369" s="106" t="s">
        <v>2124</v>
      </c>
      <c r="I369" s="70"/>
      <c r="J369" s="70"/>
      <c r="K369" s="70" t="s">
        <v>583</v>
      </c>
      <c r="L369" s="70"/>
      <c r="M369" s="70"/>
      <c r="N369" s="70"/>
      <c r="O369" s="67" t="s">
        <v>25</v>
      </c>
      <c r="P369" s="67"/>
      <c r="Q369" s="71"/>
      <c r="R369" s="72">
        <v>4032</v>
      </c>
      <c r="S369" s="73">
        <v>3024</v>
      </c>
      <c r="T369" s="73">
        <v>4032</v>
      </c>
      <c r="U369" s="71">
        <f>ERP_34[[#This Row],[LE2 Final Submission]]-ERP_34[[#This Row],[LE3 Final Submission]]</f>
        <v>-1008</v>
      </c>
      <c r="V369" s="74"/>
      <c r="W369" s="75"/>
      <c r="X369" s="75"/>
      <c r="Y369" s="76">
        <v>336</v>
      </c>
      <c r="Z369" s="76">
        <v>336</v>
      </c>
      <c r="AA369" s="76">
        <v>336</v>
      </c>
      <c r="AB369" s="76">
        <v>336</v>
      </c>
      <c r="AC369" s="76">
        <v>336</v>
      </c>
      <c r="AD369" s="76">
        <v>336</v>
      </c>
      <c r="AE369" s="76">
        <v>336</v>
      </c>
      <c r="AF369" s="76">
        <v>336</v>
      </c>
      <c r="AG369" s="76">
        <v>336</v>
      </c>
      <c r="AH369" s="77">
        <f t="shared" si="16"/>
        <v>3024</v>
      </c>
      <c r="AI369" s="108">
        <f>ERP_34[[#This Row],[2026 Working Total]]-ERP_34[[#This Row],[2026 LE0]]</f>
        <v>-1008</v>
      </c>
      <c r="AJ369" s="79"/>
      <c r="AK369" s="79"/>
      <c r="AL36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69" s="80"/>
      <c r="AN369" s="79">
        <f>ERP_34[[#This Row],[2026 Working Total to Budget/LE]]-ERP_34[[#This Row],[Giveback]]</f>
        <v>-1008</v>
      </c>
      <c r="AO369" s="81"/>
      <c r="AP369" s="81"/>
      <c r="AQ369" s="81"/>
      <c r="AR369" s="81"/>
      <c r="AS369" s="81">
        <v>336</v>
      </c>
      <c r="AT369" s="81">
        <v>336</v>
      </c>
      <c r="AU369" s="81">
        <v>336</v>
      </c>
      <c r="AV369" s="81">
        <v>336</v>
      </c>
      <c r="AW369" s="81">
        <v>336</v>
      </c>
      <c r="AX369" s="81">
        <v>336</v>
      </c>
      <c r="AY369" s="81">
        <v>336</v>
      </c>
      <c r="AZ369" s="81">
        <v>336</v>
      </c>
      <c r="BA369" s="81">
        <v>336</v>
      </c>
      <c r="BB369" s="81">
        <v>3024</v>
      </c>
      <c r="BC369" s="79"/>
      <c r="BD369" s="79"/>
      <c r="BE369" s="79"/>
      <c r="BF369" s="79">
        <v>336</v>
      </c>
      <c r="BG369" s="79">
        <v>336</v>
      </c>
      <c r="BH369" s="79">
        <v>336</v>
      </c>
      <c r="BI369" s="79">
        <v>336</v>
      </c>
      <c r="BJ369" s="79">
        <v>336</v>
      </c>
      <c r="BK369" s="79">
        <v>336</v>
      </c>
      <c r="BL369" s="79">
        <v>336</v>
      </c>
      <c r="BM369" s="79">
        <v>336</v>
      </c>
      <c r="BN369" s="79">
        <v>336</v>
      </c>
      <c r="BO369" s="79">
        <v>3024</v>
      </c>
    </row>
    <row r="370" spans="1:67">
      <c r="A370" s="66" t="s">
        <v>2143</v>
      </c>
      <c r="B370" s="66" t="str">
        <f>_xlfn.TEXTJOIN("_",,ERP_34[[#This Row],[LT Member -1*]],ERP_34[[#This Row],[Expense Category]],ERP_34[[#This Row],[Project Code*]])</f>
        <v>Robertson, Jerome_MANAGED SERVICES_IT-MGS0165-OG-US-00</v>
      </c>
      <c r="C370" s="67" t="s">
        <v>1136</v>
      </c>
      <c r="D370" s="67" t="s">
        <v>1650</v>
      </c>
      <c r="E370" s="67" t="s">
        <v>1650</v>
      </c>
      <c r="F370" s="67" t="s">
        <v>1650</v>
      </c>
      <c r="G370" s="68" t="s">
        <v>389</v>
      </c>
      <c r="H370" s="106" t="s">
        <v>2144</v>
      </c>
      <c r="I370" s="70"/>
      <c r="J370" s="70"/>
      <c r="K370" s="70" t="s">
        <v>599</v>
      </c>
      <c r="L370" s="70"/>
      <c r="M370" s="70"/>
      <c r="N370" s="70"/>
      <c r="O370" s="67" t="s">
        <v>25</v>
      </c>
      <c r="P370" s="67"/>
      <c r="Q370" s="71"/>
      <c r="R370" s="72">
        <v>12000</v>
      </c>
      <c r="S370" s="73">
        <v>12000</v>
      </c>
      <c r="T370" s="73">
        <v>12000</v>
      </c>
      <c r="U370" s="71">
        <f>ERP_34[[#This Row],[LE2 Final Submission]]-ERP_34[[#This Row],[LE3 Final Submission]]</f>
        <v>0</v>
      </c>
      <c r="V370" s="74"/>
      <c r="W370" s="75"/>
      <c r="X370" s="75"/>
      <c r="Y370" s="76"/>
      <c r="Z370" s="76"/>
      <c r="AA370" s="76">
        <v>12000</v>
      </c>
      <c r="AB370" s="109">
        <v>0</v>
      </c>
      <c r="AC370" s="109">
        <v>0</v>
      </c>
      <c r="AD370" s="109">
        <v>0</v>
      </c>
      <c r="AE370" s="109">
        <v>0</v>
      </c>
      <c r="AF370" s="109">
        <v>0</v>
      </c>
      <c r="AG370" s="109">
        <v>0</v>
      </c>
      <c r="AH370" s="77">
        <f t="shared" si="16"/>
        <v>12000</v>
      </c>
      <c r="AI370" s="108">
        <f>ERP_34[[#This Row],[2026 Working Total]]-ERP_34[[#This Row],[2026 LE0]]</f>
        <v>0</v>
      </c>
      <c r="AJ370" s="79"/>
      <c r="AK370" s="79"/>
      <c r="AL37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0" s="80"/>
      <c r="AN370" s="79">
        <f>ERP_34[[#This Row],[2026 Working Total to Budget/LE]]-ERP_34[[#This Row],[Giveback]]</f>
        <v>0</v>
      </c>
      <c r="AO370" s="81"/>
      <c r="AP370" s="81"/>
      <c r="AQ370" s="81"/>
      <c r="AR370" s="81"/>
      <c r="AS370" s="81"/>
      <c r="AT370" s="81"/>
      <c r="AU370" s="81">
        <v>12000</v>
      </c>
      <c r="AV370" s="81">
        <v>0</v>
      </c>
      <c r="AW370" s="81">
        <v>0</v>
      </c>
      <c r="AX370" s="81">
        <v>0</v>
      </c>
      <c r="AY370" s="81">
        <v>0</v>
      </c>
      <c r="AZ370" s="81">
        <v>0</v>
      </c>
      <c r="BA370" s="81">
        <v>0</v>
      </c>
      <c r="BB370" s="81">
        <v>12000</v>
      </c>
      <c r="BC370" s="79"/>
      <c r="BD370" s="79"/>
      <c r="BE370" s="79"/>
      <c r="BF370" s="79"/>
      <c r="BG370" s="79"/>
      <c r="BH370" s="79">
        <v>12000</v>
      </c>
      <c r="BI370" s="79">
        <v>0</v>
      </c>
      <c r="BJ370" s="79">
        <v>0</v>
      </c>
      <c r="BK370" s="79">
        <v>0</v>
      </c>
      <c r="BL370" s="79">
        <v>0</v>
      </c>
      <c r="BM370" s="79">
        <v>0</v>
      </c>
      <c r="BN370" s="79">
        <v>0</v>
      </c>
      <c r="BO370" s="79">
        <v>12000</v>
      </c>
    </row>
    <row r="371" spans="1:67">
      <c r="A371" s="82" t="s">
        <v>2812</v>
      </c>
      <c r="B371" s="83" t="str">
        <f>_xlfn.TEXTJOIN("_",,ERP_34[[#This Row],[LT Member -1*]],ERP_34[[#This Row],[Expense Category]],ERP_34[[#This Row],[Project Code*]])</f>
        <v>Robertson, Jerome_SOFTWARE_IT-MGS0167-OG-US-00</v>
      </c>
      <c r="C371" s="67" t="s">
        <v>2959</v>
      </c>
      <c r="D371" s="85" t="s">
        <v>1650</v>
      </c>
      <c r="E371" s="120" t="s">
        <v>1650</v>
      </c>
      <c r="F371" s="86" t="s">
        <v>1650</v>
      </c>
      <c r="G371" s="85" t="s">
        <v>639</v>
      </c>
      <c r="H371" s="121" t="s">
        <v>2813</v>
      </c>
      <c r="I371" s="84"/>
      <c r="J371" s="84"/>
      <c r="K371" s="122" t="s">
        <v>1020</v>
      </c>
      <c r="L371" s="89"/>
      <c r="M371" s="90"/>
      <c r="N371" s="90" t="s">
        <v>2960</v>
      </c>
      <c r="O371" s="122" t="s">
        <v>1021</v>
      </c>
      <c r="P371" s="92" t="s">
        <v>1348</v>
      </c>
      <c r="Q371" s="93"/>
      <c r="R371" s="94">
        <v>340000</v>
      </c>
      <c r="S371" s="95">
        <v>340000</v>
      </c>
      <c r="T371" s="192">
        <v>340000</v>
      </c>
      <c r="U371" s="193">
        <f>ERP_34[[#This Row],[LE2 Final Submission]]-ERP_34[[#This Row],[LE3 Final Submission]]</f>
        <v>0</v>
      </c>
      <c r="V371" s="98"/>
      <c r="W371" s="99"/>
      <c r="X371" s="99"/>
      <c r="Y371" s="100">
        <v>0</v>
      </c>
      <c r="Z371" s="100">
        <v>0</v>
      </c>
      <c r="AA371" s="100">
        <v>0</v>
      </c>
      <c r="AB371" s="100">
        <v>0</v>
      </c>
      <c r="AC371" s="100">
        <v>340000</v>
      </c>
      <c r="AD371" s="100">
        <v>0</v>
      </c>
      <c r="AE371" s="100">
        <v>0</v>
      </c>
      <c r="AF371" s="100">
        <v>0</v>
      </c>
      <c r="AG371" s="100">
        <v>0</v>
      </c>
      <c r="AH371" s="101">
        <f t="shared" si="16"/>
        <v>340000</v>
      </c>
      <c r="AI371" s="108">
        <f>ERP_34[[#This Row],[2026 Working Total]]-ERP_34[[#This Row],[2026 LE0]]</f>
        <v>0</v>
      </c>
      <c r="AJ371" s="79"/>
      <c r="AK371" s="79"/>
      <c r="AL37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1" s="80"/>
      <c r="AN371" s="79">
        <f>ERP_34[[#This Row],[2026 Working Total to Budget/LE]]-ERP_34[[#This Row],[Giveback]]</f>
        <v>0</v>
      </c>
      <c r="AO371" s="81"/>
      <c r="AP371" s="81"/>
      <c r="AQ371" s="81"/>
      <c r="AR371" s="81"/>
      <c r="AS371" s="81">
        <v>0</v>
      </c>
      <c r="AT371" s="81">
        <v>0</v>
      </c>
      <c r="AU371" s="81">
        <v>0</v>
      </c>
      <c r="AV371" s="81">
        <v>0</v>
      </c>
      <c r="AW371" s="81">
        <v>340000</v>
      </c>
      <c r="AX371" s="81">
        <v>0</v>
      </c>
      <c r="AY371" s="81">
        <v>0</v>
      </c>
      <c r="AZ371" s="81">
        <v>0</v>
      </c>
      <c r="BA371" s="81">
        <v>0</v>
      </c>
      <c r="BB371" s="81">
        <v>340000</v>
      </c>
      <c r="BC371" s="103">
        <v>0</v>
      </c>
      <c r="BD371" s="103">
        <v>0</v>
      </c>
      <c r="BE371" s="103">
        <v>340000</v>
      </c>
      <c r="BF371" s="103">
        <v>0</v>
      </c>
      <c r="BG371" s="103">
        <v>0</v>
      </c>
      <c r="BH371" s="103">
        <v>0</v>
      </c>
      <c r="BI371" s="103">
        <v>0</v>
      </c>
      <c r="BJ371" s="103">
        <v>0</v>
      </c>
      <c r="BK371" s="103">
        <v>0</v>
      </c>
      <c r="BL371" s="103">
        <v>0</v>
      </c>
      <c r="BM371" s="103">
        <v>0</v>
      </c>
      <c r="BN371" s="103">
        <v>0</v>
      </c>
      <c r="BO371" s="82">
        <f>SUM(ERP_34[[#This Row],[2026 AP01]:[2026 AP12]])</f>
        <v>340000</v>
      </c>
    </row>
    <row r="372" spans="1:67">
      <c r="A372" s="66" t="s">
        <v>1924</v>
      </c>
      <c r="B372" s="66" t="str">
        <f>_xlfn.TEXTJOIN("_",,ERP_34[[#This Row],[LT Member -1*]],ERP_34[[#This Row],[Expense Category]],ERP_34[[#This Row],[Project Code*]])</f>
        <v>Dougherty, Chris_MANAGED SERVICES_IT-MGS0168-OG-US-00</v>
      </c>
      <c r="C372" s="67" t="s">
        <v>1136</v>
      </c>
      <c r="D372" s="67" t="s">
        <v>1135</v>
      </c>
      <c r="E372" s="67" t="s">
        <v>1135</v>
      </c>
      <c r="F372" s="67" t="s">
        <v>1137</v>
      </c>
      <c r="G372" s="68" t="s">
        <v>389</v>
      </c>
      <c r="H372" s="110" t="s">
        <v>1319</v>
      </c>
      <c r="I372" s="70"/>
      <c r="J372" s="70"/>
      <c r="K372" s="70" t="s">
        <v>145</v>
      </c>
      <c r="L372" s="70" t="s">
        <v>1139</v>
      </c>
      <c r="M372" s="70"/>
      <c r="N372" s="70"/>
      <c r="O372" s="67" t="s">
        <v>25</v>
      </c>
      <c r="P372" s="67"/>
      <c r="Q372" s="71"/>
      <c r="R372" s="72">
        <v>0</v>
      </c>
      <c r="S372" s="73">
        <v>1472196.6600000001</v>
      </c>
      <c r="T372" s="73">
        <v>0</v>
      </c>
      <c r="U372" s="71">
        <f>ERP_34[[#This Row],[LE2 Final Submission]]-ERP_34[[#This Row],[LE3 Final Submission]]</f>
        <v>1472196.6600000001</v>
      </c>
      <c r="V372" s="74"/>
      <c r="W372" s="75">
        <v>245366</v>
      </c>
      <c r="X372" s="75">
        <v>122683.66</v>
      </c>
      <c r="Y372" s="76">
        <v>122683</v>
      </c>
      <c r="Z372" s="76">
        <v>122683</v>
      </c>
      <c r="AA372" s="76">
        <v>122683</v>
      </c>
      <c r="AB372" s="76">
        <v>122683</v>
      </c>
      <c r="AC372" s="76">
        <v>122683</v>
      </c>
      <c r="AD372" s="76">
        <v>122683</v>
      </c>
      <c r="AE372" s="76">
        <v>122683</v>
      </c>
      <c r="AF372" s="76">
        <v>122683</v>
      </c>
      <c r="AG372" s="76">
        <v>122683</v>
      </c>
      <c r="AH372" s="77">
        <f t="shared" si="16"/>
        <v>1472196.6600000001</v>
      </c>
      <c r="AI372" s="108">
        <f>ERP_34[[#This Row],[2026 Working Total]]-ERP_34[[#This Row],[2026 LE0]]</f>
        <v>1472196.6600000001</v>
      </c>
      <c r="AJ372" s="79"/>
      <c r="AK372" s="79"/>
      <c r="AL37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2" s="80"/>
      <c r="AN372" s="79">
        <f>ERP_34[[#This Row],[2026 Working Total to Budget/LE]]-ERP_34[[#This Row],[Giveback]]</f>
        <v>1472196.6600000001</v>
      </c>
      <c r="AO372" s="81"/>
      <c r="AP372" s="81"/>
      <c r="AQ372" s="81">
        <v>245366</v>
      </c>
      <c r="AR372" s="81">
        <v>122683.66</v>
      </c>
      <c r="AS372" s="81">
        <v>122683</v>
      </c>
      <c r="AT372" s="81">
        <v>122683</v>
      </c>
      <c r="AU372" s="81">
        <v>122683</v>
      </c>
      <c r="AV372" s="81">
        <v>122683</v>
      </c>
      <c r="AW372" s="81">
        <v>122683</v>
      </c>
      <c r="AX372" s="81">
        <v>122683</v>
      </c>
      <c r="AY372" s="81">
        <v>122683</v>
      </c>
      <c r="AZ372" s="81">
        <v>122683</v>
      </c>
      <c r="BA372" s="81">
        <v>122683</v>
      </c>
      <c r="BB372" s="81">
        <v>1472196.6600000001</v>
      </c>
      <c r="BC372" s="79"/>
      <c r="BD372" s="79">
        <v>245366</v>
      </c>
      <c r="BE372" s="79">
        <v>122683.66</v>
      </c>
      <c r="BF372" s="79">
        <v>122683</v>
      </c>
      <c r="BG372" s="79">
        <v>122683</v>
      </c>
      <c r="BH372" s="79">
        <v>122683</v>
      </c>
      <c r="BI372" s="79">
        <v>122683</v>
      </c>
      <c r="BJ372" s="79">
        <v>122683</v>
      </c>
      <c r="BK372" s="79">
        <v>122683</v>
      </c>
      <c r="BL372" s="79">
        <v>122683</v>
      </c>
      <c r="BM372" s="79">
        <v>122683</v>
      </c>
      <c r="BN372" s="79">
        <v>122683</v>
      </c>
      <c r="BO372" s="79">
        <v>1472196.6600000001</v>
      </c>
    </row>
    <row r="373" spans="1:67" ht="24">
      <c r="A373" s="82" t="s">
        <v>1318</v>
      </c>
      <c r="B373" s="83" t="str">
        <f>_xlfn.TEXTJOIN("_",,ERP_34[[#This Row],[LT Member -1*]],ERP_34[[#This Row],[Expense Category]],ERP_34[[#This Row],[Project Code*]])</f>
        <v>Dougherty, Chris_CONTRACTORS_IT-MGS0168-OG-US-00</v>
      </c>
      <c r="C373" s="67" t="s">
        <v>2959</v>
      </c>
      <c r="D373" s="84" t="s">
        <v>1135</v>
      </c>
      <c r="E373" s="85" t="s">
        <v>1135</v>
      </c>
      <c r="F373" s="68" t="s">
        <v>1137</v>
      </c>
      <c r="G373" s="85" t="s">
        <v>49</v>
      </c>
      <c r="H373" s="110" t="s">
        <v>1319</v>
      </c>
      <c r="I373" s="67"/>
      <c r="J373" s="67"/>
      <c r="K373" s="91" t="s">
        <v>145</v>
      </c>
      <c r="L373" s="70" t="s">
        <v>1139</v>
      </c>
      <c r="M373" s="70"/>
      <c r="N373" s="90" t="s">
        <v>2960</v>
      </c>
      <c r="O373" s="91" t="s">
        <v>25</v>
      </c>
      <c r="P373" s="92" t="s">
        <v>1320</v>
      </c>
      <c r="Q373" s="93"/>
      <c r="R373" s="196">
        <v>1472196</v>
      </c>
      <c r="S373" s="95">
        <v>0</v>
      </c>
      <c r="T373" s="197">
        <v>1472196</v>
      </c>
      <c r="U373" s="198">
        <f>ERP_34[[#This Row],[LE2 Final Submission]]-ERP_34[[#This Row],[LE3 Final Submission]]</f>
        <v>-1472196</v>
      </c>
      <c r="V373" s="98"/>
      <c r="W373" s="99"/>
      <c r="X373" s="99"/>
      <c r="Y373" s="100">
        <f t="shared" ref="Y373:AG373" si="17">122683-122683</f>
        <v>0</v>
      </c>
      <c r="Z373" s="100">
        <f t="shared" si="17"/>
        <v>0</v>
      </c>
      <c r="AA373" s="100">
        <f t="shared" si="17"/>
        <v>0</v>
      </c>
      <c r="AB373" s="100">
        <f t="shared" si="17"/>
        <v>0</v>
      </c>
      <c r="AC373" s="100">
        <f t="shared" si="17"/>
        <v>0</v>
      </c>
      <c r="AD373" s="100">
        <f t="shared" si="17"/>
        <v>0</v>
      </c>
      <c r="AE373" s="100">
        <f t="shared" si="17"/>
        <v>0</v>
      </c>
      <c r="AF373" s="100">
        <f t="shared" si="17"/>
        <v>0</v>
      </c>
      <c r="AG373" s="100">
        <f t="shared" si="17"/>
        <v>0</v>
      </c>
      <c r="AH373" s="101">
        <f t="shared" si="16"/>
        <v>0</v>
      </c>
      <c r="AI373" s="108">
        <f>ERP_34[[#This Row],[2026 Working Total]]-ERP_34[[#This Row],[2026 LE0]]</f>
        <v>-1472196</v>
      </c>
      <c r="AJ373" s="79"/>
      <c r="AK373" s="79"/>
      <c r="AL3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3" s="80"/>
      <c r="AN373" s="79">
        <f>ERP_34[[#This Row],[2026 Working Total to Budget/LE]]-ERP_34[[#This Row],[Giveback]]</f>
        <v>-1472196</v>
      </c>
      <c r="AO373" s="81"/>
      <c r="AP373" s="81"/>
      <c r="AQ373" s="81"/>
      <c r="AR373" s="81"/>
      <c r="AS373" s="81">
        <v>0</v>
      </c>
      <c r="AT373" s="81">
        <v>0</v>
      </c>
      <c r="AU373" s="81">
        <v>0</v>
      </c>
      <c r="AV373" s="81">
        <v>0</v>
      </c>
      <c r="AW373" s="81">
        <v>0</v>
      </c>
      <c r="AX373" s="81">
        <v>0</v>
      </c>
      <c r="AY373" s="81">
        <v>0</v>
      </c>
      <c r="AZ373" s="81">
        <v>0</v>
      </c>
      <c r="BA373" s="81">
        <v>0</v>
      </c>
      <c r="BB373" s="81">
        <v>0</v>
      </c>
      <c r="BC373" s="103">
        <v>122683</v>
      </c>
      <c r="BD373" s="103">
        <v>122683</v>
      </c>
      <c r="BE373" s="103">
        <v>122683</v>
      </c>
      <c r="BF373" s="103">
        <v>122683</v>
      </c>
      <c r="BG373" s="103">
        <v>122683</v>
      </c>
      <c r="BH373" s="103">
        <v>122683</v>
      </c>
      <c r="BI373" s="103">
        <v>122683</v>
      </c>
      <c r="BJ373" s="103">
        <v>122683</v>
      </c>
      <c r="BK373" s="103">
        <v>122683</v>
      </c>
      <c r="BL373" s="103">
        <v>122683</v>
      </c>
      <c r="BM373" s="103">
        <v>122683</v>
      </c>
      <c r="BN373" s="103">
        <v>122683</v>
      </c>
      <c r="BO373" s="82">
        <f>SUM(ERP_34[[#This Row],[2026 AP01]:[2026 AP12]])</f>
        <v>1472196</v>
      </c>
    </row>
    <row r="374" spans="1:67">
      <c r="A374" s="123" t="s">
        <v>1925</v>
      </c>
      <c r="B374" s="66" t="str">
        <f>_xlfn.TEXTJOIN("_",,ERP_34[[#This Row],[LT Member -1*]],ERP_34[[#This Row],[Expense Category]],ERP_34[[#This Row],[Project Code*]])</f>
        <v>Tamavada, Ram_MANAGED SERVICES_IT-MGS0202-OG-US-00</v>
      </c>
      <c r="C374" s="67" t="s">
        <v>1136</v>
      </c>
      <c r="D374" s="67" t="s">
        <v>1135</v>
      </c>
      <c r="E374" s="67" t="s">
        <v>1165</v>
      </c>
      <c r="F374" s="67" t="s">
        <v>1137</v>
      </c>
      <c r="G374" s="68" t="s">
        <v>389</v>
      </c>
      <c r="H374" s="106" t="s">
        <v>1927</v>
      </c>
      <c r="I374" s="70"/>
      <c r="J374" s="70"/>
      <c r="K374" s="114" t="s">
        <v>473</v>
      </c>
      <c r="L374" s="70"/>
      <c r="M374" s="70"/>
      <c r="N374" s="70"/>
      <c r="O374" s="67" t="s">
        <v>25</v>
      </c>
      <c r="P374" s="67" t="s">
        <v>1928</v>
      </c>
      <c r="Q374" s="71"/>
      <c r="R374" s="72">
        <v>123538.99999999999</v>
      </c>
      <c r="S374" s="73">
        <v>0</v>
      </c>
      <c r="T374" s="73">
        <v>123538.99999999999</v>
      </c>
      <c r="U374" s="71">
        <f>ERP_34[[#This Row],[LE2 Final Submission]]-ERP_34[[#This Row],[LE3 Final Submission]]</f>
        <v>-123538.99999999999</v>
      </c>
      <c r="V374" s="74"/>
      <c r="W374" s="75"/>
      <c r="X374" s="75"/>
      <c r="Y374" s="76">
        <v>0</v>
      </c>
      <c r="Z374" s="76">
        <v>0</v>
      </c>
      <c r="AA374" s="76">
        <v>0</v>
      </c>
      <c r="AB374" s="76">
        <v>0</v>
      </c>
      <c r="AC374" s="76">
        <f>88117-88117</f>
        <v>0</v>
      </c>
      <c r="AD374" s="76">
        <v>0</v>
      </c>
      <c r="AE374" s="76">
        <v>0</v>
      </c>
      <c r="AF374" s="76">
        <v>0</v>
      </c>
      <c r="AG374" s="76">
        <v>0</v>
      </c>
      <c r="AH374" s="104">
        <f t="shared" si="16"/>
        <v>0</v>
      </c>
      <c r="AI374" s="105">
        <f>ERP_34[[#This Row],[2026 Working Total]]-ERP_34[[#This Row],[2026 LE0]]</f>
        <v>-123538.99999999999</v>
      </c>
      <c r="AJ374" s="79"/>
      <c r="AK374" s="79"/>
      <c r="AL37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4" s="80"/>
      <c r="AN374" s="79">
        <f>ERP_34[[#This Row],[2026 Working Total to Budget/LE]]-ERP_34[[#This Row],[Giveback]]</f>
        <v>-123538.99999999999</v>
      </c>
      <c r="AO374" s="81" t="s">
        <v>1929</v>
      </c>
      <c r="AP374" s="81"/>
      <c r="AQ374" s="81"/>
      <c r="AR374" s="81"/>
      <c r="AS374" s="81">
        <v>0</v>
      </c>
      <c r="AT374" s="81">
        <v>0</v>
      </c>
      <c r="AU374" s="81">
        <v>0</v>
      </c>
      <c r="AV374" s="81">
        <v>0</v>
      </c>
      <c r="AW374" s="81">
        <v>0</v>
      </c>
      <c r="AX374" s="81">
        <v>0</v>
      </c>
      <c r="AY374" s="81">
        <v>0</v>
      </c>
      <c r="AZ374" s="81">
        <v>0</v>
      </c>
      <c r="BA374" s="81">
        <v>0</v>
      </c>
      <c r="BB374" s="81">
        <v>0</v>
      </c>
      <c r="BC374" s="79"/>
      <c r="BD374" s="79"/>
      <c r="BE374" s="79"/>
      <c r="BF374" s="79">
        <v>10294.92</v>
      </c>
      <c r="BG374" s="79">
        <v>10294.92</v>
      </c>
      <c r="BH374" s="79">
        <v>10294.92</v>
      </c>
      <c r="BI374" s="79">
        <v>10294.92</v>
      </c>
      <c r="BJ374" s="79">
        <v>10294.92</v>
      </c>
      <c r="BK374" s="79">
        <v>10294.92</v>
      </c>
      <c r="BL374" s="79">
        <v>10294.92</v>
      </c>
      <c r="BM374" s="79">
        <v>10294.92</v>
      </c>
      <c r="BN374" s="79">
        <v>10294.92</v>
      </c>
      <c r="BO374" s="79">
        <v>92654.28</v>
      </c>
    </row>
    <row r="375" spans="1:67">
      <c r="A375" s="66" t="s">
        <v>1930</v>
      </c>
      <c r="B375" s="66" t="str">
        <f>_xlfn.TEXTJOIN("_",,ERP_34[[#This Row],[LT Member -1*]],ERP_34[[#This Row],[Expense Category]],ERP_34[[#This Row],[Project Code*]])</f>
        <v>Tamavada, Ram_MANAGED SERVICES_IT-MGS0203-OG-US-00</v>
      </c>
      <c r="C375" s="67" t="s">
        <v>1136</v>
      </c>
      <c r="D375" s="67" t="s">
        <v>1135</v>
      </c>
      <c r="E375" s="67" t="s">
        <v>1165</v>
      </c>
      <c r="F375" s="67" t="s">
        <v>1137</v>
      </c>
      <c r="G375" s="68" t="s">
        <v>389</v>
      </c>
      <c r="H375" s="106" t="s">
        <v>1932</v>
      </c>
      <c r="I375" s="70"/>
      <c r="J375" s="70"/>
      <c r="K375" s="114" t="s">
        <v>475</v>
      </c>
      <c r="L375" s="70"/>
      <c r="M375" s="70"/>
      <c r="N375" s="70"/>
      <c r="O375" s="67" t="s">
        <v>25</v>
      </c>
      <c r="P375" s="67"/>
      <c r="Q375" s="71"/>
      <c r="R375" s="72">
        <v>26400</v>
      </c>
      <c r="S375" s="73">
        <v>0</v>
      </c>
      <c r="T375" s="73">
        <v>26400</v>
      </c>
      <c r="U375" s="71">
        <f>ERP_34[[#This Row],[LE2 Final Submission]]-ERP_34[[#This Row],[LE3 Final Submission]]</f>
        <v>-26400</v>
      </c>
      <c r="V375" s="74"/>
      <c r="W375" s="75"/>
      <c r="X375" s="75"/>
      <c r="Y375" s="76">
        <v>0</v>
      </c>
      <c r="Z375" s="76">
        <v>0</v>
      </c>
      <c r="AA375" s="76">
        <v>0</v>
      </c>
      <c r="AB375" s="76">
        <v>0</v>
      </c>
      <c r="AC375" s="76">
        <v>0</v>
      </c>
      <c r="AD375" s="76">
        <v>0</v>
      </c>
      <c r="AE375" s="76">
        <v>0</v>
      </c>
      <c r="AF375" s="76">
        <v>0</v>
      </c>
      <c r="AG375" s="76">
        <v>0</v>
      </c>
      <c r="AH375" s="77">
        <f t="shared" si="16"/>
        <v>0</v>
      </c>
      <c r="AI375" s="185">
        <f>ERP_34[[#This Row],[2026 Working Total]]-ERP_34[[#This Row],[2026 LE0]]</f>
        <v>-26400</v>
      </c>
      <c r="AJ375" s="79"/>
      <c r="AK375" s="79"/>
      <c r="AL37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5" s="80">
        <v>-26400</v>
      </c>
      <c r="AN375" s="79">
        <f>ERP_34[[#This Row],[2026 Working Total to Budget/LE]]-ERP_34[[#This Row],[Giveback]]</f>
        <v>0</v>
      </c>
      <c r="AO375" s="81"/>
      <c r="AP375" s="81"/>
      <c r="AQ375" s="81"/>
      <c r="AR375" s="81"/>
      <c r="AS375" s="81">
        <v>0</v>
      </c>
      <c r="AT375" s="81">
        <v>0</v>
      </c>
      <c r="AU375" s="81">
        <v>0</v>
      </c>
      <c r="AV375" s="81">
        <v>0</v>
      </c>
      <c r="AW375" s="81">
        <v>0</v>
      </c>
      <c r="AX375" s="81">
        <v>0</v>
      </c>
      <c r="AY375" s="81">
        <v>0</v>
      </c>
      <c r="AZ375" s="81">
        <v>0</v>
      </c>
      <c r="BA375" s="81">
        <v>0</v>
      </c>
      <c r="BB375" s="81">
        <v>0</v>
      </c>
      <c r="BC375" s="79"/>
      <c r="BD375" s="79"/>
      <c r="BE375" s="79"/>
      <c r="BF375" s="79">
        <v>2200</v>
      </c>
      <c r="BG375" s="79">
        <v>2200</v>
      </c>
      <c r="BH375" s="79">
        <v>2200</v>
      </c>
      <c r="BI375" s="79">
        <v>2200</v>
      </c>
      <c r="BJ375" s="79">
        <v>2200</v>
      </c>
      <c r="BK375" s="79">
        <v>2200</v>
      </c>
      <c r="BL375" s="79">
        <v>2200</v>
      </c>
      <c r="BM375" s="79">
        <v>2200</v>
      </c>
      <c r="BN375" s="79">
        <v>2200</v>
      </c>
      <c r="BO375" s="79">
        <v>19800</v>
      </c>
    </row>
    <row r="376" spans="1:67">
      <c r="A376" s="66" t="s">
        <v>1933</v>
      </c>
      <c r="B376" s="66" t="str">
        <f>_xlfn.TEXTJOIN("_",,ERP_34[[#This Row],[LT Member -1*]],ERP_34[[#This Row],[Expense Category]],ERP_34[[#This Row],[Project Code*]])</f>
        <v>Tamavada, Ram_MANAGED SERVICES_IT-MGS0204-OG-US-00</v>
      </c>
      <c r="C376" s="67" t="s">
        <v>1136</v>
      </c>
      <c r="D376" s="67" t="s">
        <v>1135</v>
      </c>
      <c r="E376" s="67" t="s">
        <v>1165</v>
      </c>
      <c r="F376" s="67" t="s">
        <v>1137</v>
      </c>
      <c r="G376" s="68" t="s">
        <v>389</v>
      </c>
      <c r="H376" s="106" t="s">
        <v>1935</v>
      </c>
      <c r="I376" s="70"/>
      <c r="J376" s="70"/>
      <c r="K376" s="114" t="s">
        <v>477</v>
      </c>
      <c r="L376" s="70"/>
      <c r="M376" s="70"/>
      <c r="N376" s="70"/>
      <c r="O376" s="67" t="s">
        <v>478</v>
      </c>
      <c r="P376" s="67"/>
      <c r="Q376" s="71"/>
      <c r="R376" s="72">
        <v>36000</v>
      </c>
      <c r="S376" s="73">
        <v>36000.300000000003</v>
      </c>
      <c r="T376" s="73">
        <v>36000</v>
      </c>
      <c r="U376" s="71">
        <f>ERP_34[[#This Row],[LE2 Final Submission]]-ERP_34[[#This Row],[LE3 Final Submission]]</f>
        <v>0.30000000000291038</v>
      </c>
      <c r="V376" s="74"/>
      <c r="W376" s="75">
        <v>5999.76</v>
      </c>
      <c r="X376" s="75">
        <v>2703.54</v>
      </c>
      <c r="Y376" s="76">
        <v>3297</v>
      </c>
      <c r="Z376" s="76">
        <v>3000</v>
      </c>
      <c r="AA376" s="76">
        <v>3000</v>
      </c>
      <c r="AB376" s="76">
        <v>3000</v>
      </c>
      <c r="AC376" s="76">
        <v>3000</v>
      </c>
      <c r="AD376" s="76">
        <v>3000</v>
      </c>
      <c r="AE376" s="76">
        <v>3000</v>
      </c>
      <c r="AF376" s="76">
        <v>3000</v>
      </c>
      <c r="AG376" s="76">
        <v>3000</v>
      </c>
      <c r="AH376" s="77">
        <f t="shared" si="16"/>
        <v>36000.300000000003</v>
      </c>
      <c r="AI376" s="108">
        <f>ERP_34[[#This Row],[2026 Working Total]]-ERP_34[[#This Row],[2026 LE0]]</f>
        <v>0.30000000000291038</v>
      </c>
      <c r="AJ376" s="79"/>
      <c r="AK376" s="79"/>
      <c r="AL37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6" s="80"/>
      <c r="AN376" s="79">
        <f>ERP_34[[#This Row],[2026 Working Total to Budget/LE]]-ERP_34[[#This Row],[Giveback]]</f>
        <v>0.30000000000291038</v>
      </c>
      <c r="AO376" s="81"/>
      <c r="AP376" s="81"/>
      <c r="AQ376" s="81">
        <v>5999.76</v>
      </c>
      <c r="AR376" s="81">
        <v>2703.54</v>
      </c>
      <c r="AS376" s="81">
        <v>3297</v>
      </c>
      <c r="AT376" s="81">
        <v>3000</v>
      </c>
      <c r="AU376" s="81">
        <v>3000</v>
      </c>
      <c r="AV376" s="81">
        <v>3000</v>
      </c>
      <c r="AW376" s="81">
        <v>3000</v>
      </c>
      <c r="AX376" s="81">
        <v>3000</v>
      </c>
      <c r="AY376" s="81">
        <v>3000</v>
      </c>
      <c r="AZ376" s="81">
        <v>3000</v>
      </c>
      <c r="BA376" s="81">
        <v>3000</v>
      </c>
      <c r="BB376" s="81">
        <v>36000.300000000003</v>
      </c>
      <c r="BC376" s="79"/>
      <c r="BD376" s="79">
        <v>5999.76</v>
      </c>
      <c r="BE376" s="79">
        <v>2703.54</v>
      </c>
      <c r="BF376" s="79">
        <v>3000</v>
      </c>
      <c r="BG376" s="79">
        <v>3000</v>
      </c>
      <c r="BH376" s="79">
        <v>3000</v>
      </c>
      <c r="BI376" s="79">
        <v>3000</v>
      </c>
      <c r="BJ376" s="79">
        <v>3000</v>
      </c>
      <c r="BK376" s="79">
        <v>3000</v>
      </c>
      <c r="BL376" s="79">
        <v>3000</v>
      </c>
      <c r="BM376" s="79">
        <v>3000</v>
      </c>
      <c r="BN376" s="79">
        <v>3000</v>
      </c>
      <c r="BO376" s="79">
        <v>35703.300000000003</v>
      </c>
    </row>
    <row r="377" spans="1:67">
      <c r="A377" s="66" t="s">
        <v>1936</v>
      </c>
      <c r="B377" s="66" t="str">
        <f>_xlfn.TEXTJOIN("_",,ERP_34[[#This Row],[LT Member -1*]],ERP_34[[#This Row],[Expense Category]],ERP_34[[#This Row],[Project Code*]])</f>
        <v>Tamavada, Ram_MANAGED SERVICES_IT-MGS0205-OG-US-00</v>
      </c>
      <c r="C377" s="67" t="s">
        <v>1136</v>
      </c>
      <c r="D377" s="67" t="s">
        <v>1135</v>
      </c>
      <c r="E377" s="67" t="s">
        <v>1165</v>
      </c>
      <c r="F377" s="67" t="s">
        <v>1137</v>
      </c>
      <c r="G377" s="68" t="s">
        <v>389</v>
      </c>
      <c r="H377" s="106" t="s">
        <v>1938</v>
      </c>
      <c r="I377" s="70"/>
      <c r="J377" s="70"/>
      <c r="K377" s="114" t="s">
        <v>480</v>
      </c>
      <c r="L377" s="70"/>
      <c r="M377" s="70"/>
      <c r="N377" s="70"/>
      <c r="O377" s="67" t="s">
        <v>478</v>
      </c>
      <c r="P377" s="67"/>
      <c r="Q377" s="71"/>
      <c r="R377" s="72">
        <v>345000</v>
      </c>
      <c r="S377" s="73">
        <v>333579.34999999998</v>
      </c>
      <c r="T377" s="73">
        <v>345000</v>
      </c>
      <c r="U377" s="71">
        <f>ERP_34[[#This Row],[LE2 Final Submission]]-ERP_34[[#This Row],[LE3 Final Submission]]</f>
        <v>-11420.650000000023</v>
      </c>
      <c r="V377" s="74"/>
      <c r="W377" s="75"/>
      <c r="X377" s="75">
        <v>80924.350000000006</v>
      </c>
      <c r="Y377" s="76">
        <v>28215</v>
      </c>
      <c r="Z377" s="76">
        <v>26933</v>
      </c>
      <c r="AA377" s="76">
        <v>28215</v>
      </c>
      <c r="AB377" s="76">
        <v>29498</v>
      </c>
      <c r="AC377" s="76">
        <v>26933</v>
      </c>
      <c r="AD377" s="76">
        <v>28215</v>
      </c>
      <c r="AE377" s="76">
        <v>28215</v>
      </c>
      <c r="AF377" s="76">
        <v>26933</v>
      </c>
      <c r="AG377" s="76">
        <v>29498</v>
      </c>
      <c r="AH377" s="77">
        <f t="shared" si="16"/>
        <v>333579.34999999998</v>
      </c>
      <c r="AI377" s="108">
        <f>ERP_34[[#This Row],[2026 Working Total]]-ERP_34[[#This Row],[2026 LE0]]</f>
        <v>-11420.650000000023</v>
      </c>
      <c r="AJ377" s="79"/>
      <c r="AK377" s="79"/>
      <c r="AL3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7" s="80"/>
      <c r="AN377" s="79">
        <f>ERP_34[[#This Row],[2026 Working Total to Budget/LE]]-ERP_34[[#This Row],[Giveback]]</f>
        <v>-11420.650000000023</v>
      </c>
      <c r="AO377" s="81"/>
      <c r="AP377" s="81"/>
      <c r="AQ377" s="81"/>
      <c r="AR377" s="81">
        <v>80924.350000000006</v>
      </c>
      <c r="AS377" s="81">
        <v>28215</v>
      </c>
      <c r="AT377" s="81">
        <v>26933</v>
      </c>
      <c r="AU377" s="81">
        <v>28215</v>
      </c>
      <c r="AV377" s="81">
        <v>29498</v>
      </c>
      <c r="AW377" s="81">
        <v>26933</v>
      </c>
      <c r="AX377" s="81">
        <v>28215</v>
      </c>
      <c r="AY377" s="81">
        <v>28215</v>
      </c>
      <c r="AZ377" s="81">
        <v>26933</v>
      </c>
      <c r="BA377" s="81">
        <v>29498</v>
      </c>
      <c r="BB377" s="81">
        <v>333579.34999999998</v>
      </c>
      <c r="BC377" s="79"/>
      <c r="BD377" s="79"/>
      <c r="BE377" s="79">
        <v>80924.350000000006</v>
      </c>
      <c r="BF377" s="79">
        <v>27894</v>
      </c>
      <c r="BG377" s="79">
        <v>27894</v>
      </c>
      <c r="BH377" s="79">
        <v>27894</v>
      </c>
      <c r="BI377" s="79">
        <v>27894</v>
      </c>
      <c r="BJ377" s="79">
        <v>27894</v>
      </c>
      <c r="BK377" s="79">
        <v>27894</v>
      </c>
      <c r="BL377" s="79">
        <v>27894</v>
      </c>
      <c r="BM377" s="79">
        <v>27894</v>
      </c>
      <c r="BN377" s="79">
        <v>27894</v>
      </c>
      <c r="BO377" s="79">
        <v>331970.34999999998</v>
      </c>
    </row>
    <row r="378" spans="1:67">
      <c r="A378" s="66" t="s">
        <v>1939</v>
      </c>
      <c r="B378" s="66" t="str">
        <f>_xlfn.TEXTJOIN("_",,ERP_34[[#This Row],[LT Member -1*]],ERP_34[[#This Row],[Expense Category]],ERP_34[[#This Row],[Project Code*]])</f>
        <v>Dougherty, Chris_MANAGED SERVICES_IT-MGS0207-OG-US-00</v>
      </c>
      <c r="C378" s="67" t="s">
        <v>1136</v>
      </c>
      <c r="D378" s="67" t="s">
        <v>1135</v>
      </c>
      <c r="E378" s="67" t="s">
        <v>1135</v>
      </c>
      <c r="F378" s="67" t="s">
        <v>1137</v>
      </c>
      <c r="G378" s="68" t="s">
        <v>389</v>
      </c>
      <c r="H378" s="106" t="s">
        <v>1778</v>
      </c>
      <c r="I378" s="70"/>
      <c r="J378" s="70"/>
      <c r="K378" s="70" t="s">
        <v>482</v>
      </c>
      <c r="L378" s="70"/>
      <c r="M378" s="70"/>
      <c r="N378" s="70"/>
      <c r="O378" s="67" t="s">
        <v>408</v>
      </c>
      <c r="P378" s="67"/>
      <c r="Q378" s="71"/>
      <c r="R378" s="72">
        <v>0</v>
      </c>
      <c r="S378" s="73">
        <v>-18450</v>
      </c>
      <c r="T378" s="73">
        <v>0</v>
      </c>
      <c r="U378" s="71">
        <f>ERP_34[[#This Row],[LE2 Final Submission]]-ERP_34[[#This Row],[LE3 Final Submission]]</f>
        <v>-18450</v>
      </c>
      <c r="V378" s="74"/>
      <c r="W378" s="75"/>
      <c r="X378" s="75">
        <v>-3450</v>
      </c>
      <c r="Y378" s="76">
        <v>-3333.33</v>
      </c>
      <c r="Z378" s="76">
        <v>-3333.33</v>
      </c>
      <c r="AA378" s="76">
        <v>-3333.33</v>
      </c>
      <c r="AB378" s="76">
        <v>-1666.67</v>
      </c>
      <c r="AC378" s="76">
        <v>-1666.67</v>
      </c>
      <c r="AD378" s="76">
        <v>-1666.67</v>
      </c>
      <c r="AE378" s="109">
        <v>0</v>
      </c>
      <c r="AF378" s="109">
        <v>0</v>
      </c>
      <c r="AG378" s="109">
        <v>0</v>
      </c>
      <c r="AH378" s="77">
        <f t="shared" si="16"/>
        <v>-18450</v>
      </c>
      <c r="AI378" s="108">
        <f>ERP_34[[#This Row],[2026 Working Total]]-ERP_34[[#This Row],[2026 LE0]]</f>
        <v>-18450</v>
      </c>
      <c r="AJ378" s="79"/>
      <c r="AK378" s="79"/>
      <c r="AL37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8" s="80"/>
      <c r="AN378" s="79">
        <f>ERP_34[[#This Row],[2026 Working Total to Budget/LE]]-ERP_34[[#This Row],[Giveback]]</f>
        <v>-18450</v>
      </c>
      <c r="AO378" s="81"/>
      <c r="AP378" s="81"/>
      <c r="AQ378" s="81"/>
      <c r="AR378" s="81">
        <v>-3450</v>
      </c>
      <c r="AS378" s="81">
        <v>-3333.33</v>
      </c>
      <c r="AT378" s="81">
        <v>-3333.33</v>
      </c>
      <c r="AU378" s="81">
        <v>-3333.33</v>
      </c>
      <c r="AV378" s="81">
        <v>-1666.67</v>
      </c>
      <c r="AW378" s="81">
        <v>-1666.67</v>
      </c>
      <c r="AX378" s="81">
        <v>-1666.67</v>
      </c>
      <c r="AY378" s="81">
        <v>0</v>
      </c>
      <c r="AZ378" s="81">
        <v>0</v>
      </c>
      <c r="BA378" s="81">
        <v>0</v>
      </c>
      <c r="BB378" s="81">
        <v>-18450</v>
      </c>
      <c r="BC378" s="79"/>
      <c r="BD378" s="79"/>
      <c r="BE378" s="79">
        <v>-3450</v>
      </c>
      <c r="BF378" s="79">
        <v>-3333.33</v>
      </c>
      <c r="BG378" s="79">
        <v>-3333.33</v>
      </c>
      <c r="BH378" s="79">
        <v>-3333.33</v>
      </c>
      <c r="BI378" s="79">
        <v>-1666.67</v>
      </c>
      <c r="BJ378" s="79">
        <v>-1666.67</v>
      </c>
      <c r="BK378" s="79">
        <v>-1666.67</v>
      </c>
      <c r="BL378" s="79">
        <v>0</v>
      </c>
      <c r="BM378" s="79">
        <v>0</v>
      </c>
      <c r="BN378" s="79">
        <v>0</v>
      </c>
      <c r="BO378" s="79">
        <v>-18450</v>
      </c>
    </row>
    <row r="379" spans="1:67">
      <c r="A379" s="66" t="s">
        <v>1940</v>
      </c>
      <c r="B379" s="66" t="str">
        <f>_xlfn.TEXTJOIN("_",,ERP_34[[#This Row],[LT Member -1*]],ERP_34[[#This Row],[Expense Category]],ERP_34[[#This Row],[Project Code*]])</f>
        <v>DeHart, Lynn_MANAGED SERVICES_IT-MGS0208-OG-US-00</v>
      </c>
      <c r="C379" s="67" t="s">
        <v>1136</v>
      </c>
      <c r="D379" s="67" t="s">
        <v>1345</v>
      </c>
      <c r="E379" s="67" t="s">
        <v>1346</v>
      </c>
      <c r="F379" s="67" t="s">
        <v>1346</v>
      </c>
      <c r="G379" s="68" t="s">
        <v>389</v>
      </c>
      <c r="H379" s="106" t="s">
        <v>1942</v>
      </c>
      <c r="I379" s="70"/>
      <c r="J379" s="70"/>
      <c r="K379" s="70" t="s">
        <v>585</v>
      </c>
      <c r="L379" s="70"/>
      <c r="M379" s="70"/>
      <c r="N379" s="70"/>
      <c r="O379" s="67" t="s">
        <v>57</v>
      </c>
      <c r="P379" s="67"/>
      <c r="Q379" s="71"/>
      <c r="R379" s="72">
        <v>0</v>
      </c>
      <c r="S379" s="73">
        <v>31176.729999999992</v>
      </c>
      <c r="T379" s="73">
        <v>0</v>
      </c>
      <c r="U379" s="71">
        <f>ERP_34[[#This Row],[LE2 Final Submission]]-ERP_34[[#This Row],[LE3 Final Submission]]</f>
        <v>31176.729999999992</v>
      </c>
      <c r="V379" s="74"/>
      <c r="W379" s="75"/>
      <c r="X379" s="75">
        <v>5547.34</v>
      </c>
      <c r="Y379" s="109">
        <v>2847.71</v>
      </c>
      <c r="Z379" s="109">
        <v>2847.71</v>
      </c>
      <c r="AA379" s="109">
        <v>2847.71</v>
      </c>
      <c r="AB379" s="109">
        <v>2847.71</v>
      </c>
      <c r="AC379" s="109">
        <v>2847.71</v>
      </c>
      <c r="AD379" s="109">
        <v>2847.71</v>
      </c>
      <c r="AE379" s="109">
        <v>2847.71</v>
      </c>
      <c r="AF379" s="109">
        <v>2847.71</v>
      </c>
      <c r="AG379" s="109">
        <v>2847.71</v>
      </c>
      <c r="AH379" s="77">
        <f t="shared" si="16"/>
        <v>31176.729999999992</v>
      </c>
      <c r="AI379" s="108">
        <f>ERP_34[[#This Row],[2026 Working Total]]-ERP_34[[#This Row],[2026 LE0]]</f>
        <v>31176.729999999992</v>
      </c>
      <c r="AJ379" s="79"/>
      <c r="AK379" s="79"/>
      <c r="AL37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79" s="80"/>
      <c r="AN379" s="79">
        <f>ERP_34[[#This Row],[2026 Working Total to Budget/LE]]-ERP_34[[#This Row],[Giveback]]</f>
        <v>31176.729999999992</v>
      </c>
      <c r="AO379" s="81"/>
      <c r="AP379" s="81"/>
      <c r="AQ379" s="81"/>
      <c r="AR379" s="81">
        <v>5547.34</v>
      </c>
      <c r="AS379" s="81">
        <v>2847.71</v>
      </c>
      <c r="AT379" s="81">
        <v>2847.71</v>
      </c>
      <c r="AU379" s="81">
        <v>2847.71</v>
      </c>
      <c r="AV379" s="81">
        <v>2847.71</v>
      </c>
      <c r="AW379" s="81">
        <v>2847.71</v>
      </c>
      <c r="AX379" s="81">
        <v>2847.71</v>
      </c>
      <c r="AY379" s="81">
        <v>2847.71</v>
      </c>
      <c r="AZ379" s="81">
        <v>2847.71</v>
      </c>
      <c r="BA379" s="81">
        <v>2847.71</v>
      </c>
      <c r="BB379" s="81">
        <v>31176.729999999992</v>
      </c>
      <c r="BC379" s="79"/>
      <c r="BD379" s="79"/>
      <c r="BE379" s="79">
        <v>5547.34</v>
      </c>
      <c r="BF379" s="79">
        <v>0</v>
      </c>
      <c r="BG379" s="79">
        <v>0</v>
      </c>
      <c r="BH379" s="79">
        <v>0</v>
      </c>
      <c r="BI379" s="79">
        <v>0</v>
      </c>
      <c r="BJ379" s="79">
        <v>0</v>
      </c>
      <c r="BK379" s="79">
        <v>0</v>
      </c>
      <c r="BL379" s="79">
        <v>0</v>
      </c>
      <c r="BM379" s="79">
        <v>0</v>
      </c>
      <c r="BN379" s="79">
        <v>0</v>
      </c>
      <c r="BO379" s="79">
        <v>5547.34</v>
      </c>
    </row>
    <row r="380" spans="1:67">
      <c r="A380" s="66" t="s">
        <v>2300</v>
      </c>
      <c r="B380" s="66" t="str">
        <f>_xlfn.TEXTJOIN("_",,ERP_34[[#This Row],[LT Member -1*]],ERP_34[[#This Row],[Expense Category]],ERP_34[[#This Row],[Project Code*]])</f>
        <v>DeHart, Lynn_SOFTWARE_IT-MGS0208-OG-US-00</v>
      </c>
      <c r="C380" s="67" t="s">
        <v>1136</v>
      </c>
      <c r="D380" s="67" t="s">
        <v>1345</v>
      </c>
      <c r="E380" s="67" t="s">
        <v>1346</v>
      </c>
      <c r="F380" s="67" t="s">
        <v>1346</v>
      </c>
      <c r="G380" s="68" t="s">
        <v>639</v>
      </c>
      <c r="H380" s="106" t="s">
        <v>1942</v>
      </c>
      <c r="I380" s="70"/>
      <c r="J380" s="70"/>
      <c r="K380" s="70" t="s">
        <v>585</v>
      </c>
      <c r="L380" s="70"/>
      <c r="M380" s="70"/>
      <c r="N380" s="70"/>
      <c r="O380" s="67" t="s">
        <v>57</v>
      </c>
      <c r="P380" s="67"/>
      <c r="Q380" s="71"/>
      <c r="R380" s="72">
        <v>0</v>
      </c>
      <c r="S380" s="73">
        <v>1537.03</v>
      </c>
      <c r="T380" s="73">
        <v>0</v>
      </c>
      <c r="U380" s="71">
        <f>ERP_34[[#This Row],[LE2 Final Submission]]-ERP_34[[#This Row],[LE3 Final Submission]]</f>
        <v>1537.03</v>
      </c>
      <c r="V380" s="74"/>
      <c r="W380" s="75"/>
      <c r="X380" s="75">
        <v>279.45999999999998</v>
      </c>
      <c r="Y380" s="109">
        <v>139.72999999999999</v>
      </c>
      <c r="Z380" s="109">
        <v>139.72999999999999</v>
      </c>
      <c r="AA380" s="109">
        <v>139.72999999999999</v>
      </c>
      <c r="AB380" s="109">
        <v>139.72999999999999</v>
      </c>
      <c r="AC380" s="109">
        <v>139.72999999999999</v>
      </c>
      <c r="AD380" s="109">
        <v>139.72999999999999</v>
      </c>
      <c r="AE380" s="109">
        <v>139.72999999999999</v>
      </c>
      <c r="AF380" s="109">
        <v>139.72999999999999</v>
      </c>
      <c r="AG380" s="109">
        <v>139.72999999999999</v>
      </c>
      <c r="AH380" s="77">
        <f t="shared" si="16"/>
        <v>1537.03</v>
      </c>
      <c r="AI380" s="108">
        <f>ERP_34[[#This Row],[2026 Working Total]]-ERP_34[[#This Row],[2026 LE0]]</f>
        <v>1537.03</v>
      </c>
      <c r="AJ380" s="79"/>
      <c r="AK380" s="79"/>
      <c r="AL38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0" s="80"/>
      <c r="AN380" s="79">
        <f>ERP_34[[#This Row],[2026 Working Total to Budget/LE]]-ERP_34[[#This Row],[Giveback]]</f>
        <v>1537.03</v>
      </c>
      <c r="AO380" s="81"/>
      <c r="AP380" s="81"/>
      <c r="AQ380" s="81"/>
      <c r="AR380" s="81">
        <v>279.45999999999998</v>
      </c>
      <c r="AS380" s="81">
        <v>139.72999999999999</v>
      </c>
      <c r="AT380" s="81">
        <v>139.72999999999999</v>
      </c>
      <c r="AU380" s="81">
        <v>139.72999999999999</v>
      </c>
      <c r="AV380" s="81">
        <v>139.72999999999999</v>
      </c>
      <c r="AW380" s="81">
        <v>139.72999999999999</v>
      </c>
      <c r="AX380" s="81">
        <v>139.72999999999999</v>
      </c>
      <c r="AY380" s="81">
        <v>139.72999999999999</v>
      </c>
      <c r="AZ380" s="81">
        <v>139.72999999999999</v>
      </c>
      <c r="BA380" s="81">
        <v>139.72999999999999</v>
      </c>
      <c r="BB380" s="81">
        <v>1537.03</v>
      </c>
      <c r="BC380" s="79"/>
      <c r="BD380" s="79"/>
      <c r="BE380" s="79">
        <v>279.45999999999998</v>
      </c>
      <c r="BF380" s="79">
        <v>0</v>
      </c>
      <c r="BG380" s="79">
        <v>0</v>
      </c>
      <c r="BH380" s="79">
        <v>0</v>
      </c>
      <c r="BI380" s="79">
        <v>0</v>
      </c>
      <c r="BJ380" s="79">
        <v>0</v>
      </c>
      <c r="BK380" s="79">
        <v>0</v>
      </c>
      <c r="BL380" s="79">
        <v>0</v>
      </c>
      <c r="BM380" s="79">
        <v>0</v>
      </c>
      <c r="BN380" s="79">
        <v>0</v>
      </c>
      <c r="BO380" s="79">
        <v>279.45999999999998</v>
      </c>
    </row>
    <row r="381" spans="1:67">
      <c r="A381" s="66" t="s">
        <v>1943</v>
      </c>
      <c r="B381" s="66" t="str">
        <f>_xlfn.TEXTJOIN("_",,ERP_34[[#This Row],[LT Member -1*]],ERP_34[[#This Row],[Expense Category]],ERP_34[[#This Row],[Project Code*]])</f>
        <v>Tamavada, Ram_MANAGED SERVICES_IT-MGS0209-OG-US-00</v>
      </c>
      <c r="C381" s="67" t="s">
        <v>1136</v>
      </c>
      <c r="D381" s="67" t="s">
        <v>1135</v>
      </c>
      <c r="E381" s="67" t="s">
        <v>1165</v>
      </c>
      <c r="F381" s="67" t="s">
        <v>1137</v>
      </c>
      <c r="G381" s="68" t="s">
        <v>389</v>
      </c>
      <c r="H381" s="106" t="s">
        <v>1945</v>
      </c>
      <c r="I381" s="70"/>
      <c r="J381" s="70"/>
      <c r="K381" s="114" t="s">
        <v>484</v>
      </c>
      <c r="L381" s="70"/>
      <c r="M381" s="70"/>
      <c r="N381" s="70"/>
      <c r="O381" s="67" t="s">
        <v>57</v>
      </c>
      <c r="P381" s="67"/>
      <c r="Q381" s="71"/>
      <c r="R381" s="72">
        <v>0</v>
      </c>
      <c r="S381" s="73">
        <v>3711.49</v>
      </c>
      <c r="T381" s="73">
        <v>0</v>
      </c>
      <c r="U381" s="71">
        <f>ERP_34[[#This Row],[LE2 Final Submission]]-ERP_34[[#This Row],[LE3 Final Submission]]</f>
        <v>3711.49</v>
      </c>
      <c r="V381" s="74"/>
      <c r="W381" s="75"/>
      <c r="X381" s="75">
        <v>552.49</v>
      </c>
      <c r="Y381" s="76">
        <v>351</v>
      </c>
      <c r="Z381" s="76">
        <v>351</v>
      </c>
      <c r="AA381" s="76">
        <v>351</v>
      </c>
      <c r="AB381" s="76">
        <v>351</v>
      </c>
      <c r="AC381" s="76">
        <v>351</v>
      </c>
      <c r="AD381" s="76">
        <v>351</v>
      </c>
      <c r="AE381" s="76">
        <v>351</v>
      </c>
      <c r="AF381" s="76">
        <v>351</v>
      </c>
      <c r="AG381" s="76">
        <v>351</v>
      </c>
      <c r="AH381" s="77">
        <f t="shared" si="16"/>
        <v>3711.49</v>
      </c>
      <c r="AI381" s="108">
        <f>ERP_34[[#This Row],[2026 Working Total]]-ERP_34[[#This Row],[2026 LE0]]</f>
        <v>3711.49</v>
      </c>
      <c r="AJ381" s="79"/>
      <c r="AK381" s="79"/>
      <c r="AL3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1" s="80"/>
      <c r="AN381" s="79">
        <f>ERP_34[[#This Row],[2026 Working Total to Budget/LE]]-ERP_34[[#This Row],[Giveback]]</f>
        <v>3711.49</v>
      </c>
      <c r="AO381" s="81"/>
      <c r="AP381" s="81"/>
      <c r="AQ381" s="81"/>
      <c r="AR381" s="81">
        <v>552.49</v>
      </c>
      <c r="AS381" s="81">
        <v>351</v>
      </c>
      <c r="AT381" s="81">
        <v>351</v>
      </c>
      <c r="AU381" s="81">
        <v>351</v>
      </c>
      <c r="AV381" s="81">
        <v>351</v>
      </c>
      <c r="AW381" s="81">
        <v>351</v>
      </c>
      <c r="AX381" s="81">
        <v>351</v>
      </c>
      <c r="AY381" s="81">
        <v>351</v>
      </c>
      <c r="AZ381" s="81">
        <v>351</v>
      </c>
      <c r="BA381" s="81">
        <v>351</v>
      </c>
      <c r="BB381" s="81">
        <v>3711.49</v>
      </c>
      <c r="BC381" s="79"/>
      <c r="BD381" s="79"/>
      <c r="BE381" s="79">
        <v>552.49</v>
      </c>
      <c r="BF381" s="79">
        <v>351</v>
      </c>
      <c r="BG381" s="79">
        <v>351</v>
      </c>
      <c r="BH381" s="79">
        <v>351</v>
      </c>
      <c r="BI381" s="79">
        <v>351</v>
      </c>
      <c r="BJ381" s="79">
        <v>351</v>
      </c>
      <c r="BK381" s="79">
        <v>351</v>
      </c>
      <c r="BL381" s="79">
        <v>351</v>
      </c>
      <c r="BM381" s="79">
        <v>351</v>
      </c>
      <c r="BN381" s="79">
        <v>351</v>
      </c>
      <c r="BO381" s="79">
        <v>3711.49</v>
      </c>
    </row>
    <row r="382" spans="1:67">
      <c r="A382" s="66" t="s">
        <v>2027</v>
      </c>
      <c r="B382" s="66" t="str">
        <f>_xlfn.TEXTJOIN("_",,ERP_34[[#This Row],[LT Member -1*]],ERP_34[[#This Row],[Expense Category]],ERP_34[[#This Row],[Project Code*]])</f>
        <v>Yeluri, Durga_MANAGED SERVICES_IT-MGS0210-OG-US-00</v>
      </c>
      <c r="C382" s="67" t="s">
        <v>1136</v>
      </c>
      <c r="D382" s="67" t="s">
        <v>1345</v>
      </c>
      <c r="E382" s="67" t="s">
        <v>1437</v>
      </c>
      <c r="F382" s="67" t="s">
        <v>1346</v>
      </c>
      <c r="G382" s="68" t="s">
        <v>389</v>
      </c>
      <c r="H382" s="106" t="s">
        <v>2029</v>
      </c>
      <c r="I382" s="70"/>
      <c r="J382" s="70"/>
      <c r="K382" s="70" t="s">
        <v>535</v>
      </c>
      <c r="L382" s="70"/>
      <c r="M382" s="70"/>
      <c r="N382" s="70"/>
      <c r="O382" s="67" t="s">
        <v>57</v>
      </c>
      <c r="P382" s="67"/>
      <c r="Q382" s="71"/>
      <c r="R382" s="72">
        <v>0</v>
      </c>
      <c r="S382" s="73">
        <v>5998.6900000000005</v>
      </c>
      <c r="T382" s="73">
        <v>0</v>
      </c>
      <c r="U382" s="71">
        <f>ERP_34[[#This Row],[LE2 Final Submission]]-ERP_34[[#This Row],[LE3 Final Submission]]</f>
        <v>5998.6900000000005</v>
      </c>
      <c r="V382" s="74"/>
      <c r="W382" s="75"/>
      <c r="X382" s="75">
        <v>1048.69</v>
      </c>
      <c r="Y382" s="76">
        <v>550</v>
      </c>
      <c r="Z382" s="76">
        <v>550</v>
      </c>
      <c r="AA382" s="76">
        <v>550</v>
      </c>
      <c r="AB382" s="76">
        <v>550</v>
      </c>
      <c r="AC382" s="76">
        <v>550</v>
      </c>
      <c r="AD382" s="76">
        <v>550</v>
      </c>
      <c r="AE382" s="76">
        <v>550</v>
      </c>
      <c r="AF382" s="76">
        <v>550</v>
      </c>
      <c r="AG382" s="76">
        <v>550</v>
      </c>
      <c r="AH382" s="77">
        <f t="shared" si="16"/>
        <v>5998.6900000000005</v>
      </c>
      <c r="AI382" s="108">
        <f>ERP_34[[#This Row],[2026 Working Total]]-ERP_34[[#This Row],[2026 LE0]]</f>
        <v>5998.6900000000005</v>
      </c>
      <c r="AJ382" s="79"/>
      <c r="AK382" s="79"/>
      <c r="AL38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2" s="80"/>
      <c r="AN382" s="79">
        <f>ERP_34[[#This Row],[2026 Working Total to Budget/LE]]-ERP_34[[#This Row],[Giveback]]</f>
        <v>5998.6900000000005</v>
      </c>
      <c r="AO382" s="81"/>
      <c r="AP382" s="81"/>
      <c r="AQ382" s="81"/>
      <c r="AR382" s="81">
        <v>1048.69</v>
      </c>
      <c r="AS382" s="81">
        <v>550</v>
      </c>
      <c r="AT382" s="81">
        <v>550</v>
      </c>
      <c r="AU382" s="81">
        <v>550</v>
      </c>
      <c r="AV382" s="81">
        <v>550</v>
      </c>
      <c r="AW382" s="81">
        <v>550</v>
      </c>
      <c r="AX382" s="81">
        <v>550</v>
      </c>
      <c r="AY382" s="81">
        <v>550</v>
      </c>
      <c r="AZ382" s="81">
        <v>550</v>
      </c>
      <c r="BA382" s="81">
        <v>550</v>
      </c>
      <c r="BB382" s="81">
        <v>5998.6900000000005</v>
      </c>
      <c r="BC382" s="79"/>
      <c r="BD382" s="79"/>
      <c r="BE382" s="79">
        <v>1048.69</v>
      </c>
      <c r="BF382" s="79">
        <v>550</v>
      </c>
      <c r="BG382" s="79">
        <v>550</v>
      </c>
      <c r="BH382" s="79">
        <v>550</v>
      </c>
      <c r="BI382" s="79">
        <v>550</v>
      </c>
      <c r="BJ382" s="79">
        <v>550</v>
      </c>
      <c r="BK382" s="79">
        <v>550</v>
      </c>
      <c r="BL382" s="79">
        <v>550</v>
      </c>
      <c r="BM382" s="79">
        <v>550</v>
      </c>
      <c r="BN382" s="79">
        <v>550</v>
      </c>
      <c r="BO382" s="79">
        <v>5998.6900000000005</v>
      </c>
    </row>
    <row r="383" spans="1:67">
      <c r="A383" s="66" t="s">
        <v>2163</v>
      </c>
      <c r="B383" s="66" t="str">
        <f>_xlfn.TEXTJOIN("_",,ERP_34[[#This Row],[LT Member -1*]],ERP_34[[#This Row],[Expense Category]],ERP_34[[#This Row],[Project Code*]])</f>
        <v>Vaidya, Sachin_OTHER_IT-OTH0062-OG-US-00</v>
      </c>
      <c r="C383" s="67" t="s">
        <v>1136</v>
      </c>
      <c r="D383" s="67" t="s">
        <v>1345</v>
      </c>
      <c r="E383" s="67" t="s">
        <v>1481</v>
      </c>
      <c r="F383" s="67" t="s">
        <v>1346</v>
      </c>
      <c r="G383" s="68" t="s">
        <v>602</v>
      </c>
      <c r="H383" s="106" t="s">
        <v>2165</v>
      </c>
      <c r="I383" s="70"/>
      <c r="J383" s="70"/>
      <c r="K383" s="70" t="s">
        <v>615</v>
      </c>
      <c r="L383" s="70"/>
      <c r="M383" s="70"/>
      <c r="N383" s="70"/>
      <c r="O383" s="67" t="s">
        <v>25</v>
      </c>
      <c r="P383" s="163" t="s">
        <v>2166</v>
      </c>
      <c r="Q383" s="71"/>
      <c r="R383" s="72">
        <v>80000</v>
      </c>
      <c r="S383" s="73">
        <v>40000</v>
      </c>
      <c r="T383" s="73">
        <v>80000</v>
      </c>
      <c r="U383" s="71">
        <f>ERP_34[[#This Row],[LE2 Final Submission]]-ERP_34[[#This Row],[LE3 Final Submission]]</f>
        <v>-40000</v>
      </c>
      <c r="V383" s="74"/>
      <c r="W383" s="75"/>
      <c r="X383" s="75"/>
      <c r="Y383" s="109">
        <v>0</v>
      </c>
      <c r="Z383" s="109">
        <v>0</v>
      </c>
      <c r="AA383" s="109">
        <v>0</v>
      </c>
      <c r="AB383" s="109">
        <v>0</v>
      </c>
      <c r="AC383" s="76">
        <v>10000</v>
      </c>
      <c r="AD383" s="109">
        <v>10000</v>
      </c>
      <c r="AE383" s="109">
        <v>10000</v>
      </c>
      <c r="AF383" s="109">
        <v>10000</v>
      </c>
      <c r="AG383" s="109">
        <v>0</v>
      </c>
      <c r="AH383" s="77">
        <f t="shared" si="16"/>
        <v>40000</v>
      </c>
      <c r="AI383" s="108">
        <f>ERP_34[[#This Row],[2026 Working Total]]-ERP_34[[#This Row],[2026 LE0]]</f>
        <v>-40000</v>
      </c>
      <c r="AJ383" s="79"/>
      <c r="AK383" s="79"/>
      <c r="AL3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3" s="80"/>
      <c r="AN383" s="79">
        <f>ERP_34[[#This Row],[2026 Working Total to Budget/LE]]-ERP_34[[#This Row],[Giveback]]</f>
        <v>-40000</v>
      </c>
      <c r="AO383" s="81"/>
      <c r="AP383" s="81"/>
      <c r="AQ383" s="81"/>
      <c r="AR383" s="81"/>
      <c r="AS383" s="81">
        <v>0</v>
      </c>
      <c r="AT383" s="81">
        <v>0</v>
      </c>
      <c r="AU383" s="81">
        <v>0</v>
      </c>
      <c r="AV383" s="81">
        <v>0</v>
      </c>
      <c r="AW383" s="81">
        <v>10000</v>
      </c>
      <c r="AX383" s="81">
        <v>10000</v>
      </c>
      <c r="AY383" s="81">
        <v>10000</v>
      </c>
      <c r="AZ383" s="81">
        <v>10000</v>
      </c>
      <c r="BA383" s="81">
        <v>0</v>
      </c>
      <c r="BB383" s="81">
        <v>40000</v>
      </c>
      <c r="BC383" s="79"/>
      <c r="BD383" s="79"/>
      <c r="BE383" s="79"/>
      <c r="BF383" s="79">
        <v>20000</v>
      </c>
      <c r="BG383" s="79">
        <v>20000</v>
      </c>
      <c r="BH383" s="79">
        <v>20000</v>
      </c>
      <c r="BI383" s="79">
        <v>20000</v>
      </c>
      <c r="BJ383" s="79">
        <v>0</v>
      </c>
      <c r="BK383" s="79">
        <v>0</v>
      </c>
      <c r="BL383" s="79">
        <v>0</v>
      </c>
      <c r="BM383" s="79">
        <v>0</v>
      </c>
      <c r="BN383" s="79">
        <v>0</v>
      </c>
      <c r="BO383" s="79">
        <v>80000</v>
      </c>
    </row>
    <row r="384" spans="1:67">
      <c r="A384" s="66" t="s">
        <v>1472</v>
      </c>
      <c r="B384" s="66" t="str">
        <f>_xlfn.TEXTJOIN("_",,ERP_34[[#This Row],[LT Member -1*]],ERP_34[[#This Row],[Expense Category]],ERP_34[[#This Row],[Project Code*]])</f>
        <v>Herman, Shaun_CONTRACTORS_IT-OTH0063-OG-US-00</v>
      </c>
      <c r="C384" s="67" t="s">
        <v>1136</v>
      </c>
      <c r="D384" s="67" t="s">
        <v>1345</v>
      </c>
      <c r="E384" s="67" t="s">
        <v>1450</v>
      </c>
      <c r="F384" s="67" t="s">
        <v>1346</v>
      </c>
      <c r="G384" s="68" t="s">
        <v>49</v>
      </c>
      <c r="H384" s="106" t="s">
        <v>1473</v>
      </c>
      <c r="I384" s="70"/>
      <c r="J384" s="70"/>
      <c r="K384" s="199" t="s">
        <v>223</v>
      </c>
      <c r="L384" s="70"/>
      <c r="M384" s="70"/>
      <c r="N384" s="70" t="s">
        <v>2968</v>
      </c>
      <c r="O384" s="67" t="s">
        <v>152</v>
      </c>
      <c r="P384" s="67"/>
      <c r="Q384" s="71"/>
      <c r="R384" s="72">
        <v>90000</v>
      </c>
      <c r="S384" s="73">
        <v>90000</v>
      </c>
      <c r="T384" s="73">
        <v>90000</v>
      </c>
      <c r="U384" s="71">
        <f>ERP_34[[#This Row],[LE2 Final Submission]]-ERP_34[[#This Row],[LE3 Final Submission]]</f>
        <v>0</v>
      </c>
      <c r="V384" s="74"/>
      <c r="W384" s="75"/>
      <c r="X384" s="75"/>
      <c r="Y384" s="136">
        <v>0</v>
      </c>
      <c r="Z384" s="76">
        <v>82000</v>
      </c>
      <c r="AA384" s="76">
        <v>0</v>
      </c>
      <c r="AB384" s="76">
        <v>0</v>
      </c>
      <c r="AC384" s="76">
        <v>4000</v>
      </c>
      <c r="AD384" s="76">
        <v>4000</v>
      </c>
      <c r="AE384" s="76">
        <v>0</v>
      </c>
      <c r="AF384" s="76">
        <v>0</v>
      </c>
      <c r="AG384" s="76">
        <v>0</v>
      </c>
      <c r="AH384" s="77">
        <f t="shared" si="16"/>
        <v>90000</v>
      </c>
      <c r="AI384" s="108">
        <f>ERP_34[[#This Row],[2026 Working Total]]-ERP_34[[#This Row],[2026 LE0]]</f>
        <v>0</v>
      </c>
      <c r="AJ384" s="79"/>
      <c r="AK384" s="79"/>
      <c r="AL3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4" s="80"/>
      <c r="AN384" s="79">
        <f>ERP_34[[#This Row],[2026 Working Total to Budget/LE]]-ERP_34[[#This Row],[Giveback]]</f>
        <v>0</v>
      </c>
      <c r="AO384" s="81"/>
      <c r="AP384" s="81"/>
      <c r="AQ384" s="81"/>
      <c r="AR384" s="81"/>
      <c r="AS384" s="81">
        <v>0</v>
      </c>
      <c r="AT384" s="81">
        <v>82000</v>
      </c>
      <c r="AU384" s="81">
        <v>0</v>
      </c>
      <c r="AV384" s="81">
        <v>0</v>
      </c>
      <c r="AW384" s="81">
        <v>4000</v>
      </c>
      <c r="AX384" s="81">
        <v>4000</v>
      </c>
      <c r="AY384" s="81">
        <v>0</v>
      </c>
      <c r="AZ384" s="81">
        <v>0</v>
      </c>
      <c r="BA384" s="81">
        <v>0</v>
      </c>
      <c r="BB384" s="81">
        <v>90000</v>
      </c>
      <c r="BC384" s="79"/>
      <c r="BD384" s="79"/>
      <c r="BE384" s="79"/>
      <c r="BF384" s="79">
        <v>8000</v>
      </c>
      <c r="BG384" s="79">
        <v>8000</v>
      </c>
      <c r="BH384" s="79">
        <v>8000</v>
      </c>
      <c r="BI384" s="79">
        <v>8000</v>
      </c>
      <c r="BJ384" s="79">
        <v>10000</v>
      </c>
      <c r="BK384" s="79">
        <v>10000</v>
      </c>
      <c r="BL384" s="79">
        <v>10000</v>
      </c>
      <c r="BM384" s="79">
        <v>10000</v>
      </c>
      <c r="BN384" s="79">
        <v>10000</v>
      </c>
      <c r="BO384" s="79">
        <v>82000</v>
      </c>
    </row>
    <row r="385" spans="1:67">
      <c r="A385" s="66" t="s">
        <v>1474</v>
      </c>
      <c r="B385" s="66" t="str">
        <f>_xlfn.TEXTJOIN("_",,ERP_34[[#This Row],[LT Member -1*]],ERP_34[[#This Row],[Expense Category]],ERP_34[[#This Row],[Project Code*]])</f>
        <v>Herman, Shaun_CONTRACTORS_IT-PBS0936-OT-US-00</v>
      </c>
      <c r="C385" s="67" t="s">
        <v>1136</v>
      </c>
      <c r="D385" s="67" t="s">
        <v>1345</v>
      </c>
      <c r="E385" s="67" t="s">
        <v>1450</v>
      </c>
      <c r="F385" s="67" t="s">
        <v>1346</v>
      </c>
      <c r="G385" s="68" t="s">
        <v>49</v>
      </c>
      <c r="H385" s="106" t="s">
        <v>1475</v>
      </c>
      <c r="I385" s="70"/>
      <c r="J385" s="70"/>
      <c r="K385" s="70" t="s">
        <v>225</v>
      </c>
      <c r="L385" s="70"/>
      <c r="M385" s="70"/>
      <c r="N385" s="70"/>
      <c r="O385" s="67" t="s">
        <v>25</v>
      </c>
      <c r="P385" s="67"/>
      <c r="Q385" s="71"/>
      <c r="R385" s="72">
        <v>0</v>
      </c>
      <c r="S385" s="73">
        <v>70950</v>
      </c>
      <c r="T385" s="73">
        <v>0</v>
      </c>
      <c r="U385" s="71">
        <f>ERP_34[[#This Row],[LE2 Final Submission]]-ERP_34[[#This Row],[LE3 Final Submission]]</f>
        <v>70950</v>
      </c>
      <c r="V385" s="74"/>
      <c r="W385" s="75"/>
      <c r="X385" s="75">
        <v>70950</v>
      </c>
      <c r="Y385" s="109">
        <v>0</v>
      </c>
      <c r="Z385" s="109">
        <v>0</v>
      </c>
      <c r="AA385" s="109">
        <v>0</v>
      </c>
      <c r="AB385" s="109">
        <v>0</v>
      </c>
      <c r="AC385" s="109">
        <v>0</v>
      </c>
      <c r="AD385" s="109">
        <v>0</v>
      </c>
      <c r="AE385" s="109">
        <v>0</v>
      </c>
      <c r="AF385" s="109">
        <v>0</v>
      </c>
      <c r="AG385" s="109">
        <v>0</v>
      </c>
      <c r="AH385" s="77">
        <f t="shared" si="16"/>
        <v>70950</v>
      </c>
      <c r="AI385" s="108">
        <f>ERP_34[[#This Row],[2026 Working Total]]-ERP_34[[#This Row],[2026 LE0]]</f>
        <v>70950</v>
      </c>
      <c r="AJ385" s="79"/>
      <c r="AK385" s="79"/>
      <c r="AL38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5" s="80"/>
      <c r="AN385" s="79">
        <f>ERP_34[[#This Row],[2026 Working Total to Budget/LE]]-ERP_34[[#This Row],[Giveback]]</f>
        <v>70950</v>
      </c>
      <c r="AO385" s="81"/>
      <c r="AP385" s="81"/>
      <c r="AQ385" s="81"/>
      <c r="AR385" s="81">
        <v>70950</v>
      </c>
      <c r="AS385" s="81">
        <v>0</v>
      </c>
      <c r="AT385" s="81">
        <v>0</v>
      </c>
      <c r="AU385" s="81">
        <v>0</v>
      </c>
      <c r="AV385" s="81">
        <v>0</v>
      </c>
      <c r="AW385" s="81">
        <v>0</v>
      </c>
      <c r="AX385" s="81">
        <v>0</v>
      </c>
      <c r="AY385" s="81">
        <v>0</v>
      </c>
      <c r="AZ385" s="81">
        <v>0</v>
      </c>
      <c r="BA385" s="81">
        <v>0</v>
      </c>
      <c r="BB385" s="81">
        <v>70950</v>
      </c>
      <c r="BC385" s="79"/>
      <c r="BD385" s="79"/>
      <c r="BE385" s="79">
        <v>70950</v>
      </c>
      <c r="BF385" s="79">
        <v>0</v>
      </c>
      <c r="BG385" s="79">
        <v>0</v>
      </c>
      <c r="BH385" s="79">
        <v>0</v>
      </c>
      <c r="BI385" s="79">
        <v>0</v>
      </c>
      <c r="BJ385" s="79">
        <v>0</v>
      </c>
      <c r="BK385" s="79">
        <v>0</v>
      </c>
      <c r="BL385" s="79">
        <v>0</v>
      </c>
      <c r="BM385" s="79">
        <v>0</v>
      </c>
      <c r="BN385" s="79">
        <v>0</v>
      </c>
      <c r="BO385" s="79">
        <v>70950</v>
      </c>
    </row>
    <row r="386" spans="1:67">
      <c r="A386" s="66" t="s">
        <v>1412</v>
      </c>
      <c r="B386" s="66" t="str">
        <f>_xlfn.TEXTJOIN("_",,ERP_34[[#This Row],[LT Member -1*]],ERP_34[[#This Row],[Expense Category]],ERP_34[[#This Row],[Project Code*]])</f>
        <v>DeHart, Lynn_CONTRACTORS_IT-PBU0901-OT-US-00</v>
      </c>
      <c r="C386" s="67" t="s">
        <v>1136</v>
      </c>
      <c r="D386" s="67" t="s">
        <v>1345</v>
      </c>
      <c r="E386" s="67" t="s">
        <v>1346</v>
      </c>
      <c r="F386" s="67" t="s">
        <v>1346</v>
      </c>
      <c r="G386" s="68" t="s">
        <v>49</v>
      </c>
      <c r="H386" s="106" t="s">
        <v>1414</v>
      </c>
      <c r="I386" s="70"/>
      <c r="J386" s="70"/>
      <c r="K386" s="70" t="s">
        <v>314</v>
      </c>
      <c r="L386" s="70"/>
      <c r="M386" s="70"/>
      <c r="N386" s="70"/>
      <c r="O386" s="67" t="s">
        <v>25</v>
      </c>
      <c r="P386" s="67"/>
      <c r="Q386" s="71"/>
      <c r="R386" s="72">
        <v>0</v>
      </c>
      <c r="S386" s="73">
        <v>0.33000000000174623</v>
      </c>
      <c r="T386" s="73">
        <v>0</v>
      </c>
      <c r="U386" s="71">
        <f>ERP_34[[#This Row],[LE2 Final Submission]]-ERP_34[[#This Row],[LE3 Final Submission]]</f>
        <v>0.33000000000174623</v>
      </c>
      <c r="V386" s="74"/>
      <c r="W386" s="75">
        <v>63054.92</v>
      </c>
      <c r="X386" s="75">
        <v>-63054.59</v>
      </c>
      <c r="Y386" s="109">
        <v>0</v>
      </c>
      <c r="Z386" s="109">
        <v>0</v>
      </c>
      <c r="AA386" s="109">
        <v>0</v>
      </c>
      <c r="AB386" s="109">
        <v>0</v>
      </c>
      <c r="AC386" s="109">
        <v>0</v>
      </c>
      <c r="AD386" s="109">
        <v>0</v>
      </c>
      <c r="AE386" s="109">
        <v>0</v>
      </c>
      <c r="AF386" s="109">
        <v>0</v>
      </c>
      <c r="AG386" s="109">
        <v>0</v>
      </c>
      <c r="AH386" s="77">
        <f t="shared" si="16"/>
        <v>0.33000000000174623</v>
      </c>
      <c r="AI386" s="108">
        <f>ERP_34[[#This Row],[2026 Working Total]]-ERP_34[[#This Row],[2026 LE0]]</f>
        <v>0.33000000000174623</v>
      </c>
      <c r="AJ386" s="79"/>
      <c r="AK386" s="79"/>
      <c r="AL38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6" s="80"/>
      <c r="AN386" s="79">
        <f>ERP_34[[#This Row],[2026 Working Total to Budget/LE]]-ERP_34[[#This Row],[Giveback]]</f>
        <v>0.33000000000174623</v>
      </c>
      <c r="AO386" s="81"/>
      <c r="AP386" s="81"/>
      <c r="AQ386" s="81">
        <v>63054.92</v>
      </c>
      <c r="AR386" s="81">
        <v>-63054.59</v>
      </c>
      <c r="AS386" s="81">
        <v>0</v>
      </c>
      <c r="AT386" s="81">
        <v>0</v>
      </c>
      <c r="AU386" s="81">
        <v>0</v>
      </c>
      <c r="AV386" s="81">
        <v>0</v>
      </c>
      <c r="AW386" s="81">
        <v>0</v>
      </c>
      <c r="AX386" s="81">
        <v>0</v>
      </c>
      <c r="AY386" s="81">
        <v>0</v>
      </c>
      <c r="AZ386" s="81">
        <v>0</v>
      </c>
      <c r="BA386" s="81">
        <v>0</v>
      </c>
      <c r="BB386" s="81">
        <v>0.33000000000174623</v>
      </c>
      <c r="BC386" s="79"/>
      <c r="BD386" s="79">
        <v>63054.92</v>
      </c>
      <c r="BE386" s="79">
        <v>-63054.59</v>
      </c>
      <c r="BF386" s="79">
        <v>0</v>
      </c>
      <c r="BG386" s="79">
        <v>0</v>
      </c>
      <c r="BH386" s="79">
        <v>0</v>
      </c>
      <c r="BI386" s="79">
        <v>0</v>
      </c>
      <c r="BJ386" s="79">
        <v>0</v>
      </c>
      <c r="BK386" s="79">
        <v>0</v>
      </c>
      <c r="BL386" s="79">
        <v>0</v>
      </c>
      <c r="BM386" s="79">
        <v>0</v>
      </c>
      <c r="BN386" s="79">
        <v>0</v>
      </c>
      <c r="BO386" s="79">
        <v>0.33000000000174623</v>
      </c>
    </row>
    <row r="387" spans="1:67">
      <c r="A387" s="66" t="s">
        <v>1418</v>
      </c>
      <c r="B387" s="66" t="str">
        <f>_xlfn.TEXTJOIN("_",,ERP_34[[#This Row],[LT Member -1*]],ERP_34[[#This Row],[Expense Category]],ERP_34[[#This Row],[Project Code*]])</f>
        <v>DeHart, Lynn_CONTRACTORS_IT-PBU1059-OT-US-00</v>
      </c>
      <c r="C387" s="67" t="s">
        <v>1136</v>
      </c>
      <c r="D387" s="67" t="s">
        <v>1345</v>
      </c>
      <c r="E387" s="67" t="s">
        <v>1346</v>
      </c>
      <c r="F387" s="67" t="s">
        <v>1346</v>
      </c>
      <c r="G387" s="68" t="s">
        <v>49</v>
      </c>
      <c r="H387" s="106" t="s">
        <v>1420</v>
      </c>
      <c r="I387" s="70"/>
      <c r="J387" s="70"/>
      <c r="K387" s="70" t="s">
        <v>316</v>
      </c>
      <c r="L387" s="70"/>
      <c r="M387" s="70"/>
      <c r="N387" s="70"/>
      <c r="O387" s="67" t="s">
        <v>25</v>
      </c>
      <c r="P387" s="67"/>
      <c r="Q387" s="137"/>
      <c r="R387" s="138">
        <v>0</v>
      </c>
      <c r="S387" s="139">
        <v>0</v>
      </c>
      <c r="T387" s="139">
        <v>0</v>
      </c>
      <c r="U387" s="137">
        <f>ERP_34[[#This Row],[LE2 Final Submission]]-ERP_34[[#This Row],[LE3 Final Submission]]</f>
        <v>0</v>
      </c>
      <c r="V387" s="74"/>
      <c r="W387" s="75">
        <v>89550.8</v>
      </c>
      <c r="X387" s="75">
        <v>-89550.8</v>
      </c>
      <c r="Y387" s="76"/>
      <c r="Z387" s="76"/>
      <c r="AA387" s="76"/>
      <c r="AB387" s="76"/>
      <c r="AC387" s="76"/>
      <c r="AD387" s="76"/>
      <c r="AE387" s="76"/>
      <c r="AF387" s="76"/>
      <c r="AG387" s="76"/>
      <c r="AH387" s="77">
        <f t="shared" si="16"/>
        <v>0</v>
      </c>
      <c r="AI387" s="108">
        <f>ERP_34[[#This Row],[2026 Working Total]]-ERP_34[[#This Row],[2026 LE0]]</f>
        <v>0</v>
      </c>
      <c r="AJ387" s="79"/>
      <c r="AK387" s="79"/>
      <c r="AL38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7" s="80"/>
      <c r="AN387" s="79">
        <f>ERP_34[[#This Row],[2026 Working Total to Budget/LE]]-ERP_34[[#This Row],[Giveback]]</f>
        <v>0</v>
      </c>
      <c r="AO387" s="81"/>
      <c r="AP387" s="81"/>
      <c r="AQ387" s="81">
        <v>89550.8</v>
      </c>
      <c r="AR387" s="81">
        <v>-89550.8</v>
      </c>
      <c r="AS387" s="81"/>
      <c r="AT387" s="81"/>
      <c r="AU387" s="81"/>
      <c r="AV387" s="81"/>
      <c r="AW387" s="81"/>
      <c r="AX387" s="81"/>
      <c r="AY387" s="81"/>
      <c r="AZ387" s="81"/>
      <c r="BA387" s="81"/>
      <c r="BB387" s="81">
        <v>0</v>
      </c>
      <c r="BC387" s="79"/>
      <c r="BD387" s="79">
        <v>89550.8</v>
      </c>
      <c r="BE387" s="79">
        <v>-89550.8</v>
      </c>
      <c r="BF387" s="79"/>
      <c r="BG387" s="79"/>
      <c r="BH387" s="79"/>
      <c r="BI387" s="79"/>
      <c r="BJ387" s="79"/>
      <c r="BK387" s="79"/>
      <c r="BL387" s="79"/>
      <c r="BM387" s="79"/>
      <c r="BN387" s="79"/>
      <c r="BO387" s="79">
        <v>0</v>
      </c>
    </row>
    <row r="388" spans="1:67">
      <c r="A388" s="66" t="s">
        <v>2854</v>
      </c>
      <c r="B388" s="66" t="str">
        <f>_xlfn.TEXTJOIN("_",,ERP_34[[#This Row],[LT Member -1*]],ERP_34[[#This Row],[Expense Category]],ERP_34[[#This Row],[Project Code*]])</f>
        <v>DeHart, Lynn_TRAVEL &amp; ENTERTAINMENT_IT-PBU1070-OT-IE-00</v>
      </c>
      <c r="C388" s="67" t="s">
        <v>1136</v>
      </c>
      <c r="D388" s="67" t="s">
        <v>1345</v>
      </c>
      <c r="E388" s="67" t="s">
        <v>1346</v>
      </c>
      <c r="F388" s="67" t="s">
        <v>1346</v>
      </c>
      <c r="G388" s="68" t="s">
        <v>1037</v>
      </c>
      <c r="H388" s="106" t="s">
        <v>2856</v>
      </c>
      <c r="I388" s="70"/>
      <c r="J388" s="70"/>
      <c r="K388" s="70" t="s">
        <v>318</v>
      </c>
      <c r="L388" s="70"/>
      <c r="M388" s="70"/>
      <c r="N388" s="70"/>
      <c r="O388" s="67" t="s">
        <v>25</v>
      </c>
      <c r="P388" s="67"/>
      <c r="Q388" s="71"/>
      <c r="R388" s="72">
        <v>0</v>
      </c>
      <c r="S388" s="73">
        <v>1583.99</v>
      </c>
      <c r="T388" s="73">
        <v>0</v>
      </c>
      <c r="U388" s="71">
        <f>ERP_34[[#This Row],[LE2 Final Submission]]-ERP_34[[#This Row],[LE3 Final Submission]]</f>
        <v>1583.99</v>
      </c>
      <c r="V388" s="74"/>
      <c r="W388" s="75"/>
      <c r="X388" s="75">
        <v>1583.99</v>
      </c>
      <c r="Y388" s="109">
        <v>0</v>
      </c>
      <c r="Z388" s="109">
        <v>0</v>
      </c>
      <c r="AA388" s="109">
        <v>0</v>
      </c>
      <c r="AB388" s="109">
        <v>0</v>
      </c>
      <c r="AC388" s="109">
        <v>0</v>
      </c>
      <c r="AD388" s="109">
        <v>0</v>
      </c>
      <c r="AE388" s="109">
        <v>0</v>
      </c>
      <c r="AF388" s="109">
        <v>0</v>
      </c>
      <c r="AG388" s="109">
        <v>0</v>
      </c>
      <c r="AH388" s="77">
        <f t="shared" si="16"/>
        <v>1583.99</v>
      </c>
      <c r="AI388" s="108">
        <f>ERP_34[[#This Row],[2026 Working Total]]-ERP_34[[#This Row],[2026 LE0]]</f>
        <v>1583.99</v>
      </c>
      <c r="AJ388" s="79"/>
      <c r="AK388" s="79"/>
      <c r="AL38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8" s="80"/>
      <c r="AN388" s="79">
        <f>ERP_34[[#This Row],[2026 Working Total to Budget/LE]]-ERP_34[[#This Row],[Giveback]]</f>
        <v>1583.99</v>
      </c>
      <c r="AO388" s="81"/>
      <c r="AP388" s="81"/>
      <c r="AQ388" s="81"/>
      <c r="AR388" s="81">
        <v>1583.99</v>
      </c>
      <c r="AS388" s="81">
        <v>0</v>
      </c>
      <c r="AT388" s="81">
        <v>0</v>
      </c>
      <c r="AU388" s="81">
        <v>0</v>
      </c>
      <c r="AV388" s="81">
        <v>0</v>
      </c>
      <c r="AW388" s="81">
        <v>0</v>
      </c>
      <c r="AX388" s="81">
        <v>0</v>
      </c>
      <c r="AY388" s="81">
        <v>0</v>
      </c>
      <c r="AZ388" s="81">
        <v>0</v>
      </c>
      <c r="BA388" s="81">
        <v>0</v>
      </c>
      <c r="BB388" s="81">
        <v>1583.99</v>
      </c>
      <c r="BC388" s="79"/>
      <c r="BD388" s="79"/>
      <c r="BE388" s="79">
        <v>1583.99</v>
      </c>
      <c r="BF388" s="79">
        <v>0</v>
      </c>
      <c r="BG388" s="79">
        <v>0</v>
      </c>
      <c r="BH388" s="79">
        <v>0</v>
      </c>
      <c r="BI388" s="79">
        <v>0</v>
      </c>
      <c r="BJ388" s="79">
        <v>0</v>
      </c>
      <c r="BK388" s="79">
        <v>0</v>
      </c>
      <c r="BL388" s="79">
        <v>0</v>
      </c>
      <c r="BM388" s="79">
        <v>0</v>
      </c>
      <c r="BN388" s="79">
        <v>0</v>
      </c>
      <c r="BO388" s="79">
        <v>1583.99</v>
      </c>
    </row>
    <row r="389" spans="1:67">
      <c r="A389" s="66" t="s">
        <v>2302</v>
      </c>
      <c r="B389" s="66" t="str">
        <f>_xlfn.TEXTJOIN("_",,ERP_34[[#This Row],[LT Member -1*]],ERP_34[[#This Row],[Expense Category]],ERP_34[[#This Row],[Project Code*]])</f>
        <v>Tamavada, Ram_SOFTWARE_IT-SFT0159-86-OG-US</v>
      </c>
      <c r="C389" s="67" t="s">
        <v>1136</v>
      </c>
      <c r="D389" s="67" t="s">
        <v>1135</v>
      </c>
      <c r="E389" s="67" t="s">
        <v>1165</v>
      </c>
      <c r="F389" s="67" t="s">
        <v>1137</v>
      </c>
      <c r="G389" s="68" t="s">
        <v>639</v>
      </c>
      <c r="H389" s="106" t="s">
        <v>2304</v>
      </c>
      <c r="I389" s="70"/>
      <c r="J389" s="70"/>
      <c r="K389" s="114" t="s">
        <v>683</v>
      </c>
      <c r="L389" s="70"/>
      <c r="M389" s="70"/>
      <c r="N389" s="70" t="s">
        <v>1710</v>
      </c>
      <c r="O389" s="67" t="s">
        <v>684</v>
      </c>
      <c r="P389" s="67"/>
      <c r="Q389" s="137"/>
      <c r="R389" s="138">
        <v>146492.82999999999</v>
      </c>
      <c r="S389" s="139">
        <v>-115764.16</v>
      </c>
      <c r="T389" s="139">
        <v>146492.82999999999</v>
      </c>
      <c r="U389" s="137">
        <f>ERP_34[[#This Row],[LE2 Final Submission]]-ERP_34[[#This Row],[LE3 Final Submission]]</f>
        <v>-262256.99</v>
      </c>
      <c r="V389" s="74">
        <v>-115764.16</v>
      </c>
      <c r="W389" s="75">
        <f>115764.16-115764.16</f>
        <v>0</v>
      </c>
      <c r="X389" s="75"/>
      <c r="Y389" s="76"/>
      <c r="Z389" s="76"/>
      <c r="AA389" s="76"/>
      <c r="AB389" s="76"/>
      <c r="AC389" s="76"/>
      <c r="AD389" s="76"/>
      <c r="AE389" s="76"/>
      <c r="AF389" s="76"/>
      <c r="AG389" s="76"/>
      <c r="AH389" s="104">
        <f t="shared" si="16"/>
        <v>-115764.16</v>
      </c>
      <c r="AI389" s="105">
        <f>ERP_34[[#This Row],[2026 Working Total]]-ERP_34[[#This Row],[2026 LE0]]</f>
        <v>-262256.99</v>
      </c>
      <c r="AJ389" s="79"/>
      <c r="AK389" s="79"/>
      <c r="AL38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89" s="80"/>
      <c r="AN389" s="79">
        <f>ERP_34[[#This Row],[2026 Working Total to Budget/LE]]-ERP_34[[#This Row],[Giveback]]</f>
        <v>-262256.99</v>
      </c>
      <c r="AO389" s="81"/>
      <c r="AP389" s="81">
        <v>-115764.16</v>
      </c>
      <c r="AQ389" s="81">
        <v>0</v>
      </c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>
        <v>-115764.16</v>
      </c>
      <c r="BC389" s="79">
        <v>-115764.16</v>
      </c>
      <c r="BD389" s="79">
        <v>115764.16</v>
      </c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>
        <v>0</v>
      </c>
    </row>
    <row r="390" spans="1:67">
      <c r="A390" s="82" t="s">
        <v>2307</v>
      </c>
      <c r="B390" s="83" t="str">
        <f>_xlfn.TEXTJOIN("_",,ERP_34[[#This Row],[LT Member -1*]],ERP_34[[#This Row],[Expense Category]],ERP_34[[#This Row],[Project Code*]])</f>
        <v>Tamavada, Ram_SOFTWARE_IT-SFT0159-86-OG-US/PF</v>
      </c>
      <c r="C390" s="67" t="s">
        <v>2959</v>
      </c>
      <c r="D390" s="84" t="s">
        <v>1135</v>
      </c>
      <c r="E390" s="85" t="s">
        <v>1165</v>
      </c>
      <c r="F390" s="86" t="s">
        <v>1137</v>
      </c>
      <c r="G390" s="85" t="s">
        <v>639</v>
      </c>
      <c r="H390" s="200" t="s">
        <v>2309</v>
      </c>
      <c r="I390" s="84"/>
      <c r="J390" s="84"/>
      <c r="K390" s="88" t="s">
        <v>686</v>
      </c>
      <c r="L390" s="89"/>
      <c r="M390" s="90"/>
      <c r="N390" s="70" t="s">
        <v>2310</v>
      </c>
      <c r="O390" s="91" t="s">
        <v>684</v>
      </c>
      <c r="P390" s="70" t="s">
        <v>1779</v>
      </c>
      <c r="Q390" s="195"/>
      <c r="R390" s="94">
        <v>-146492.82999999999</v>
      </c>
      <c r="S390" s="95">
        <v>115764.16</v>
      </c>
      <c r="T390" s="192">
        <v>-146492.82999999999</v>
      </c>
      <c r="U390" s="193">
        <f>ERP_34[[#This Row],[LE2 Final Submission]]-ERP_34[[#This Row],[LE3 Final Submission]]</f>
        <v>262256.99</v>
      </c>
      <c r="V390" s="98"/>
      <c r="W390" s="99">
        <v>115764.16</v>
      </c>
      <c r="X390" s="99"/>
      <c r="Y390" s="100">
        <v>0</v>
      </c>
      <c r="Z390" s="100">
        <v>0</v>
      </c>
      <c r="AA390" s="100">
        <v>0</v>
      </c>
      <c r="AB390" s="100">
        <v>0</v>
      </c>
      <c r="AC390" s="100">
        <v>0</v>
      </c>
      <c r="AD390" s="100">
        <v>0</v>
      </c>
      <c r="AE390" s="100">
        <v>0</v>
      </c>
      <c r="AF390" s="100">
        <v>0</v>
      </c>
      <c r="AG390" s="100">
        <v>0</v>
      </c>
      <c r="AH390" s="201">
        <f t="shared" si="16"/>
        <v>115764.16</v>
      </c>
      <c r="AI390" s="105">
        <f>ERP_34[[#This Row],[2026 Working Total]]-ERP_34[[#This Row],[2026 LE0]]</f>
        <v>262256.99</v>
      </c>
      <c r="AJ390" s="79"/>
      <c r="AK390" s="79"/>
      <c r="AL39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0" s="80"/>
      <c r="AN390" s="79">
        <f>ERP_34[[#This Row],[2026 Working Total to Budget/LE]]-ERP_34[[#This Row],[Giveback]]</f>
        <v>262256.99</v>
      </c>
      <c r="AO390" s="81"/>
      <c r="AP390" s="81"/>
      <c r="AQ390" s="81">
        <v>115764.16</v>
      </c>
      <c r="AR390" s="81"/>
      <c r="AS390" s="81">
        <v>0</v>
      </c>
      <c r="AT390" s="81">
        <v>0</v>
      </c>
      <c r="AU390" s="81">
        <v>0</v>
      </c>
      <c r="AV390" s="81">
        <v>0</v>
      </c>
      <c r="AW390" s="81">
        <v>0</v>
      </c>
      <c r="AX390" s="81">
        <v>0</v>
      </c>
      <c r="AY390" s="81">
        <v>0</v>
      </c>
      <c r="AZ390" s="81">
        <v>0</v>
      </c>
      <c r="BA390" s="81">
        <v>0</v>
      </c>
      <c r="BB390" s="81">
        <v>115764.16</v>
      </c>
      <c r="BC390" s="103">
        <v>-146492.82999999999</v>
      </c>
      <c r="BD390" s="103">
        <v>0</v>
      </c>
      <c r="BE390" s="103">
        <v>0</v>
      </c>
      <c r="BF390" s="103">
        <v>0</v>
      </c>
      <c r="BG390" s="103">
        <v>0</v>
      </c>
      <c r="BH390" s="103">
        <v>0</v>
      </c>
      <c r="BI390" s="103">
        <v>0</v>
      </c>
      <c r="BJ390" s="103">
        <v>0</v>
      </c>
      <c r="BK390" s="103">
        <v>0</v>
      </c>
      <c r="BL390" s="103">
        <v>0</v>
      </c>
      <c r="BM390" s="103">
        <v>0</v>
      </c>
      <c r="BN390" s="103">
        <v>0</v>
      </c>
      <c r="BO390" s="82">
        <f>SUM(ERP_34[[#This Row],[2026 AP01]:[2026 AP12]])</f>
        <v>-146492.82999999999</v>
      </c>
    </row>
    <row r="391" spans="1:67">
      <c r="A391" s="82" t="s">
        <v>2311</v>
      </c>
      <c r="B391" s="83" t="str">
        <f>_xlfn.TEXTJOIN("_",,ERP_34[[#This Row],[LT Member -1*]],ERP_34[[#This Row],[Expense Category]],ERP_34[[#This Row],[Project Code*]])</f>
        <v>Tamavada, Ram_SOFTWARE_IT-SFT0170-86-OG-US</v>
      </c>
      <c r="C391" s="67" t="s">
        <v>2959</v>
      </c>
      <c r="D391" s="84" t="s">
        <v>1135</v>
      </c>
      <c r="E391" s="85" t="s">
        <v>1165</v>
      </c>
      <c r="F391" s="86" t="s">
        <v>1137</v>
      </c>
      <c r="G391" s="85" t="s">
        <v>639</v>
      </c>
      <c r="H391" s="110" t="s">
        <v>2313</v>
      </c>
      <c r="I391" s="84"/>
      <c r="J391" s="84"/>
      <c r="K391" s="88" t="s">
        <v>688</v>
      </c>
      <c r="L391" s="89"/>
      <c r="M391" s="90"/>
      <c r="N391" s="70" t="s">
        <v>1710</v>
      </c>
      <c r="O391" s="91" t="s">
        <v>689</v>
      </c>
      <c r="P391" s="70" t="s">
        <v>1348</v>
      </c>
      <c r="Q391" s="195"/>
      <c r="R391" s="94">
        <v>169727.17</v>
      </c>
      <c r="S391" s="95">
        <v>0</v>
      </c>
      <c r="T391" s="202">
        <v>169727.17</v>
      </c>
      <c r="U391" s="203">
        <f>ERP_34[[#This Row],[LE2 Final Submission]]-ERP_34[[#This Row],[LE3 Final Submission]]</f>
        <v>-169727.17</v>
      </c>
      <c r="V391" s="98"/>
      <c r="W391" s="99"/>
      <c r="X391" s="99"/>
      <c r="Y391" s="100">
        <v>0</v>
      </c>
      <c r="Z391" s="100">
        <v>0</v>
      </c>
      <c r="AA391" s="100">
        <v>0</v>
      </c>
      <c r="AB391" s="100">
        <v>0</v>
      </c>
      <c r="AC391" s="100">
        <v>0</v>
      </c>
      <c r="AD391" s="100">
        <v>0</v>
      </c>
      <c r="AE391" s="100">
        <v>0</v>
      </c>
      <c r="AF391" s="100">
        <v>0</v>
      </c>
      <c r="AG391" s="100">
        <v>0</v>
      </c>
      <c r="AH391" s="101">
        <f t="shared" si="16"/>
        <v>0</v>
      </c>
      <c r="AI391" s="108">
        <f>ERP_34[[#This Row],[2026 Working Total]]-ERP_34[[#This Row],[2026 LE0]]</f>
        <v>-169727.17</v>
      </c>
      <c r="AJ391" s="79"/>
      <c r="AK391" s="79"/>
      <c r="AL39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1" s="80"/>
      <c r="AN391" s="79">
        <f>ERP_34[[#This Row],[2026 Working Total to Budget/LE]]-ERP_34[[#This Row],[Giveback]]</f>
        <v>-169727.17</v>
      </c>
      <c r="AO391" s="81"/>
      <c r="AP391" s="81"/>
      <c r="AQ391" s="81"/>
      <c r="AR391" s="81"/>
      <c r="AS391" s="81">
        <v>0</v>
      </c>
      <c r="AT391" s="81">
        <v>0</v>
      </c>
      <c r="AU391" s="81">
        <v>0</v>
      </c>
      <c r="AV391" s="81">
        <v>0</v>
      </c>
      <c r="AW391" s="81">
        <v>0</v>
      </c>
      <c r="AX391" s="81">
        <v>0</v>
      </c>
      <c r="AY391" s="81">
        <v>0</v>
      </c>
      <c r="AZ391" s="81">
        <v>0</v>
      </c>
      <c r="BA391" s="81">
        <v>0</v>
      </c>
      <c r="BB391" s="81">
        <v>0</v>
      </c>
      <c r="BC391" s="103">
        <v>169727.17</v>
      </c>
      <c r="BD391" s="103">
        <v>0</v>
      </c>
      <c r="BE391" s="103">
        <v>0</v>
      </c>
      <c r="BF391" s="103">
        <v>0</v>
      </c>
      <c r="BG391" s="103">
        <v>0</v>
      </c>
      <c r="BH391" s="103">
        <v>0</v>
      </c>
      <c r="BI391" s="103">
        <v>0</v>
      </c>
      <c r="BJ391" s="103">
        <v>0</v>
      </c>
      <c r="BK391" s="103">
        <v>0</v>
      </c>
      <c r="BL391" s="103">
        <v>0</v>
      </c>
      <c r="BM391" s="103">
        <v>0</v>
      </c>
      <c r="BN391" s="103">
        <v>0</v>
      </c>
      <c r="BO391" s="82">
        <f>SUM(ERP_34[[#This Row],[2026 AP01]:[2026 AP12]])</f>
        <v>169727.17</v>
      </c>
    </row>
    <row r="392" spans="1:67">
      <c r="A392" s="82" t="s">
        <v>2316</v>
      </c>
      <c r="B392" s="83" t="str">
        <f>_xlfn.TEXTJOIN("_",,ERP_34[[#This Row],[LT Member -1*]],ERP_34[[#This Row],[Expense Category]],ERP_34[[#This Row],[Project Code*]])</f>
        <v>Tamavada, Ram_SOFTWARE_IT-SFT0170-86-OG-US/PF</v>
      </c>
      <c r="C392" s="67" t="s">
        <v>2959</v>
      </c>
      <c r="D392" s="84" t="s">
        <v>1135</v>
      </c>
      <c r="E392" s="85" t="s">
        <v>1165</v>
      </c>
      <c r="F392" s="86" t="s">
        <v>1137</v>
      </c>
      <c r="G392" s="85" t="s">
        <v>639</v>
      </c>
      <c r="H392" s="110" t="s">
        <v>2318</v>
      </c>
      <c r="I392" s="84"/>
      <c r="J392" s="84"/>
      <c r="K392" s="88" t="s">
        <v>691</v>
      </c>
      <c r="L392" s="89"/>
      <c r="M392" s="90"/>
      <c r="N392" s="70" t="s">
        <v>1710</v>
      </c>
      <c r="O392" s="91" t="s">
        <v>689</v>
      </c>
      <c r="P392" s="70" t="s">
        <v>1348</v>
      </c>
      <c r="Q392" s="195"/>
      <c r="R392" s="94">
        <v>-169727.17</v>
      </c>
      <c r="S392" s="95">
        <v>0</v>
      </c>
      <c r="T392" s="202">
        <v>-169727.17</v>
      </c>
      <c r="U392" s="203">
        <f>ERP_34[[#This Row],[LE2 Final Submission]]-ERP_34[[#This Row],[LE3 Final Submission]]</f>
        <v>169727.17</v>
      </c>
      <c r="V392" s="98"/>
      <c r="W392" s="99"/>
      <c r="X392" s="99"/>
      <c r="Y392" s="100">
        <v>0</v>
      </c>
      <c r="Z392" s="100">
        <v>0</v>
      </c>
      <c r="AA392" s="100">
        <v>0</v>
      </c>
      <c r="AB392" s="100">
        <v>0</v>
      </c>
      <c r="AC392" s="100">
        <v>0</v>
      </c>
      <c r="AD392" s="100">
        <v>0</v>
      </c>
      <c r="AE392" s="100">
        <v>0</v>
      </c>
      <c r="AF392" s="100">
        <v>0</v>
      </c>
      <c r="AG392" s="100">
        <v>0</v>
      </c>
      <c r="AH392" s="101">
        <f t="shared" si="16"/>
        <v>0</v>
      </c>
      <c r="AI392" s="108">
        <f>ERP_34[[#This Row],[2026 Working Total]]-ERP_34[[#This Row],[2026 LE0]]</f>
        <v>169727.17</v>
      </c>
      <c r="AJ392" s="79"/>
      <c r="AK392" s="79"/>
      <c r="AL3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2" s="80"/>
      <c r="AN392" s="79">
        <f>ERP_34[[#This Row],[2026 Working Total to Budget/LE]]-ERP_34[[#This Row],[Giveback]]</f>
        <v>169727.17</v>
      </c>
      <c r="AO392" s="81"/>
      <c r="AP392" s="81"/>
      <c r="AQ392" s="81"/>
      <c r="AR392" s="81"/>
      <c r="AS392" s="81">
        <v>0</v>
      </c>
      <c r="AT392" s="81">
        <v>0</v>
      </c>
      <c r="AU392" s="81">
        <v>0</v>
      </c>
      <c r="AV392" s="81">
        <v>0</v>
      </c>
      <c r="AW392" s="81">
        <v>0</v>
      </c>
      <c r="AX392" s="81">
        <v>0</v>
      </c>
      <c r="AY392" s="81">
        <v>0</v>
      </c>
      <c r="AZ392" s="81">
        <v>0</v>
      </c>
      <c r="BA392" s="81">
        <v>0</v>
      </c>
      <c r="BB392" s="81">
        <v>0</v>
      </c>
      <c r="BC392" s="103">
        <v>-169727.17</v>
      </c>
      <c r="BD392" s="103">
        <v>0</v>
      </c>
      <c r="BE392" s="103">
        <v>0</v>
      </c>
      <c r="BF392" s="103">
        <v>0</v>
      </c>
      <c r="BG392" s="103">
        <v>0</v>
      </c>
      <c r="BH392" s="103">
        <v>0</v>
      </c>
      <c r="BI392" s="103">
        <v>0</v>
      </c>
      <c r="BJ392" s="103">
        <v>0</v>
      </c>
      <c r="BK392" s="103">
        <v>0</v>
      </c>
      <c r="BL392" s="103">
        <v>0</v>
      </c>
      <c r="BM392" s="103">
        <v>0</v>
      </c>
      <c r="BN392" s="103">
        <v>0</v>
      </c>
      <c r="BO392" s="82">
        <f>SUM(ERP_34[[#This Row],[2026 AP01]:[2026 AP12]])</f>
        <v>-169727.17</v>
      </c>
    </row>
    <row r="393" spans="1:67">
      <c r="A393" s="66" t="s">
        <v>2616</v>
      </c>
      <c r="B393" s="66" t="str">
        <f>_xlfn.TEXTJOIN("_",,ERP_34[[#This Row],[LT Member -1*]],ERP_34[[#This Row],[Expense Category]],ERP_34[[#This Row],[Project Code*]])</f>
        <v>Ganesan, Srinivasan_SOFTWARE_IT-SFT0486-86-OG-MX</v>
      </c>
      <c r="C393" s="67" t="s">
        <v>1136</v>
      </c>
      <c r="D393" s="67" t="s">
        <v>1345</v>
      </c>
      <c r="E393" s="67" t="s">
        <v>1344</v>
      </c>
      <c r="F393" s="67" t="s">
        <v>1346</v>
      </c>
      <c r="G393" s="68" t="s">
        <v>639</v>
      </c>
      <c r="H393" s="106" t="s">
        <v>2617</v>
      </c>
      <c r="I393" s="70"/>
      <c r="J393" s="70"/>
      <c r="K393" s="70" t="s">
        <v>909</v>
      </c>
      <c r="L393" s="70"/>
      <c r="M393" s="70"/>
      <c r="N393" s="70"/>
      <c r="O393" s="67" t="s">
        <v>910</v>
      </c>
      <c r="P393" s="67"/>
      <c r="Q393" s="71"/>
      <c r="R393" s="72">
        <v>50000</v>
      </c>
      <c r="S393" s="73">
        <v>50000</v>
      </c>
      <c r="T393" s="73">
        <v>50000</v>
      </c>
      <c r="U393" s="71">
        <f>ERP_34[[#This Row],[LE2 Final Submission]]-ERP_34[[#This Row],[LE3 Final Submission]]</f>
        <v>0</v>
      </c>
      <c r="V393" s="74"/>
      <c r="W393" s="75"/>
      <c r="X393" s="75"/>
      <c r="Y393" s="76"/>
      <c r="Z393" s="76"/>
      <c r="AA393" s="76"/>
      <c r="AB393" s="76"/>
      <c r="AC393" s="76"/>
      <c r="AD393" s="76"/>
      <c r="AE393" s="76">
        <v>50000</v>
      </c>
      <c r="AF393" s="109">
        <v>0</v>
      </c>
      <c r="AG393" s="109">
        <v>0</v>
      </c>
      <c r="AH393" s="77">
        <f t="shared" si="16"/>
        <v>50000</v>
      </c>
      <c r="AI393" s="108">
        <f>ERP_34[[#This Row],[2026 Working Total]]-ERP_34[[#This Row],[2026 LE0]]</f>
        <v>0</v>
      </c>
      <c r="AJ393" s="79"/>
      <c r="AK393" s="79"/>
      <c r="AL3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3" s="80"/>
      <c r="AN393" s="79">
        <f>ERP_34[[#This Row],[2026 Working Total to Budget/LE]]-ERP_34[[#This Row],[Giveback]]</f>
        <v>0</v>
      </c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>
        <v>50000</v>
      </c>
      <c r="AZ393" s="81">
        <v>0</v>
      </c>
      <c r="BA393" s="81">
        <v>0</v>
      </c>
      <c r="BB393" s="81">
        <v>50000</v>
      </c>
      <c r="BC393" s="79"/>
      <c r="BD393" s="79"/>
      <c r="BE393" s="79"/>
      <c r="BF393" s="79"/>
      <c r="BG393" s="79"/>
      <c r="BH393" s="79"/>
      <c r="BI393" s="79"/>
      <c r="BJ393" s="79"/>
      <c r="BK393" s="79"/>
      <c r="BL393" s="79">
        <v>50000</v>
      </c>
      <c r="BM393" s="79">
        <v>0</v>
      </c>
      <c r="BN393" s="79">
        <v>0</v>
      </c>
      <c r="BO393" s="79">
        <v>50000</v>
      </c>
    </row>
    <row r="394" spans="1:67">
      <c r="A394" s="66" t="s">
        <v>2319</v>
      </c>
      <c r="B394" s="66" t="str">
        <f>_xlfn.TEXTJOIN("_",,ERP_34[[#This Row],[LT Member -1*]],ERP_34[[#This Row],[Expense Category]],ERP_34[[#This Row],[Project Code*]])</f>
        <v>Patel, Nikunj Rohitkumar_SOFTWARE_IT-SFT0673-86-OG-US</v>
      </c>
      <c r="C394" s="67" t="s">
        <v>1136</v>
      </c>
      <c r="D394" s="67" t="s">
        <v>1135</v>
      </c>
      <c r="E394" s="67" t="s">
        <v>1161</v>
      </c>
      <c r="F394" s="67" t="s">
        <v>1137</v>
      </c>
      <c r="G394" s="68" t="s">
        <v>639</v>
      </c>
      <c r="H394" s="106" t="s">
        <v>2321</v>
      </c>
      <c r="I394" s="70"/>
      <c r="J394" s="70"/>
      <c r="K394" s="70" t="s">
        <v>693</v>
      </c>
      <c r="L394" s="70"/>
      <c r="M394" s="70"/>
      <c r="N394" s="70"/>
      <c r="O394" s="67" t="s">
        <v>25</v>
      </c>
      <c r="P394" s="67"/>
      <c r="Q394" s="71"/>
      <c r="R394" s="72">
        <v>11026</v>
      </c>
      <c r="S394" s="73">
        <v>11026</v>
      </c>
      <c r="T394" s="73">
        <v>11026</v>
      </c>
      <c r="U394" s="71">
        <f>ERP_34[[#This Row],[LE2 Final Submission]]-ERP_34[[#This Row],[LE3 Final Submission]]</f>
        <v>0</v>
      </c>
      <c r="V394" s="74"/>
      <c r="W394" s="75"/>
      <c r="X394" s="75"/>
      <c r="Y394" s="76"/>
      <c r="Z394" s="76"/>
      <c r="AA394" s="76"/>
      <c r="AB394" s="76"/>
      <c r="AC394" s="76"/>
      <c r="AD394" s="76"/>
      <c r="AE394" s="76"/>
      <c r="AF394" s="76">
        <v>11026</v>
      </c>
      <c r="AG394" s="109">
        <v>0</v>
      </c>
      <c r="AH394" s="77">
        <f t="shared" si="16"/>
        <v>11026</v>
      </c>
      <c r="AI394" s="108">
        <f>ERP_34[[#This Row],[2026 Working Total]]-ERP_34[[#This Row],[2026 LE0]]</f>
        <v>0</v>
      </c>
      <c r="AJ394" s="79"/>
      <c r="AK394" s="79"/>
      <c r="AL39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4" s="80"/>
      <c r="AN394" s="79">
        <f>ERP_34[[#This Row],[2026 Working Total to Budget/LE]]-ERP_34[[#This Row],[Giveback]]</f>
        <v>0</v>
      </c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>
        <v>11026</v>
      </c>
      <c r="BA394" s="81">
        <v>0</v>
      </c>
      <c r="BB394" s="81">
        <v>11026</v>
      </c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>
        <v>11026</v>
      </c>
      <c r="BN394" s="79">
        <v>0</v>
      </c>
      <c r="BO394" s="79">
        <v>11026</v>
      </c>
    </row>
    <row r="395" spans="1:67">
      <c r="A395" s="82" t="s">
        <v>2325</v>
      </c>
      <c r="B395" s="83" t="str">
        <f>_xlfn.TEXTJOIN("_",,ERP_34[[#This Row],[LT Member -1*]],ERP_34[[#This Row],[Expense Category]],ERP_34[[#This Row],[Project Code*]])</f>
        <v>McCormick, Pete_SOFTWARE_IT-SFT1003-86-OG-US</v>
      </c>
      <c r="C395" s="67" t="s">
        <v>2959</v>
      </c>
      <c r="D395" s="84" t="s">
        <v>1135</v>
      </c>
      <c r="E395" s="85" t="s">
        <v>1145</v>
      </c>
      <c r="F395" s="68" t="s">
        <v>1137</v>
      </c>
      <c r="G395" s="85" t="s">
        <v>639</v>
      </c>
      <c r="H395" s="110" t="s">
        <v>2327</v>
      </c>
      <c r="I395" s="67"/>
      <c r="J395" s="67"/>
      <c r="K395" s="91" t="s">
        <v>695</v>
      </c>
      <c r="L395" s="111"/>
      <c r="M395" s="70"/>
      <c r="N395" s="70" t="s">
        <v>1710</v>
      </c>
      <c r="O395" s="91" t="s">
        <v>696</v>
      </c>
      <c r="P395" s="70" t="s">
        <v>1348</v>
      </c>
      <c r="Q395" s="195"/>
      <c r="R395" s="94">
        <v>325620</v>
      </c>
      <c r="S395" s="95">
        <v>0</v>
      </c>
      <c r="T395" s="190">
        <v>325620</v>
      </c>
      <c r="U395" s="191">
        <f>ERP_34[[#This Row],[LE2 Final Submission]]-ERP_34[[#This Row],[LE3 Final Submission]]</f>
        <v>-325620</v>
      </c>
      <c r="V395" s="98"/>
      <c r="W395" s="99"/>
      <c r="X395" s="99"/>
      <c r="Y395" s="100">
        <v>0</v>
      </c>
      <c r="Z395" s="100">
        <v>0</v>
      </c>
      <c r="AA395" s="100">
        <v>0</v>
      </c>
      <c r="AB395" s="100">
        <v>0</v>
      </c>
      <c r="AC395" s="100">
        <v>0</v>
      </c>
      <c r="AD395" s="100">
        <v>0</v>
      </c>
      <c r="AE395" s="100">
        <v>0</v>
      </c>
      <c r="AF395" s="100">
        <v>0</v>
      </c>
      <c r="AG395" s="100">
        <v>0</v>
      </c>
      <c r="AH395" s="101">
        <f t="shared" si="16"/>
        <v>0</v>
      </c>
      <c r="AI395" s="108">
        <f>ERP_34[[#This Row],[2026 Working Total]]-ERP_34[[#This Row],[2026 LE0]]</f>
        <v>-325620</v>
      </c>
      <c r="AJ395" s="79"/>
      <c r="AK395" s="79"/>
      <c r="AL39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5" s="80"/>
      <c r="AN395" s="79">
        <f>ERP_34[[#This Row],[2026 Working Total to Budget/LE]]-ERP_34[[#This Row],[Giveback]]</f>
        <v>-325620</v>
      </c>
      <c r="AO395" s="81"/>
      <c r="AP395" s="81"/>
      <c r="AQ395" s="81"/>
      <c r="AR395" s="81"/>
      <c r="AS395" s="81">
        <v>0</v>
      </c>
      <c r="AT395" s="81">
        <v>0</v>
      </c>
      <c r="AU395" s="81">
        <v>0</v>
      </c>
      <c r="AV395" s="81">
        <v>0</v>
      </c>
      <c r="AW395" s="81">
        <v>0</v>
      </c>
      <c r="AX395" s="81">
        <v>0</v>
      </c>
      <c r="AY395" s="81">
        <v>0</v>
      </c>
      <c r="AZ395" s="81">
        <v>0</v>
      </c>
      <c r="BA395" s="81">
        <v>0</v>
      </c>
      <c r="BB395" s="81">
        <v>0</v>
      </c>
      <c r="BC395" s="103">
        <v>325620</v>
      </c>
      <c r="BD395" s="103">
        <v>0</v>
      </c>
      <c r="BE395" s="103">
        <v>0</v>
      </c>
      <c r="BF395" s="103">
        <v>0</v>
      </c>
      <c r="BG395" s="103">
        <v>0</v>
      </c>
      <c r="BH395" s="103">
        <v>0</v>
      </c>
      <c r="BI395" s="103">
        <v>0</v>
      </c>
      <c r="BJ395" s="103">
        <v>0</v>
      </c>
      <c r="BK395" s="103">
        <v>0</v>
      </c>
      <c r="BL395" s="103">
        <v>0</v>
      </c>
      <c r="BM395" s="103">
        <v>0</v>
      </c>
      <c r="BN395" s="103">
        <v>0</v>
      </c>
      <c r="BO395" s="82">
        <f>SUM(ERP_34[[#This Row],[2026 AP01]:[2026 AP12]])</f>
        <v>325620</v>
      </c>
    </row>
    <row r="396" spans="1:67">
      <c r="A396" s="82" t="s">
        <v>2330</v>
      </c>
      <c r="B396" s="83" t="str">
        <f>_xlfn.TEXTJOIN("_",,ERP_34[[#This Row],[LT Member -1*]],ERP_34[[#This Row],[Expense Category]],ERP_34[[#This Row],[Project Code*]])</f>
        <v>McCormick, Pete_SOFTWARE_IT-SFT1003-86-OG-US/PF</v>
      </c>
      <c r="C396" s="67" t="s">
        <v>2959</v>
      </c>
      <c r="D396" s="84" t="s">
        <v>1135</v>
      </c>
      <c r="E396" s="85" t="s">
        <v>1145</v>
      </c>
      <c r="F396" s="68" t="s">
        <v>1137</v>
      </c>
      <c r="G396" s="85" t="s">
        <v>639</v>
      </c>
      <c r="H396" s="110" t="s">
        <v>2332</v>
      </c>
      <c r="I396" s="67"/>
      <c r="J396" s="67"/>
      <c r="K396" s="91" t="s">
        <v>698</v>
      </c>
      <c r="L396" s="111"/>
      <c r="M396" s="70"/>
      <c r="N396" s="70" t="s">
        <v>1710</v>
      </c>
      <c r="O396" s="91" t="s">
        <v>696</v>
      </c>
      <c r="P396" s="70" t="s">
        <v>1348</v>
      </c>
      <c r="Q396" s="195"/>
      <c r="R396" s="94">
        <v>-325620</v>
      </c>
      <c r="S396" s="95">
        <v>0</v>
      </c>
      <c r="T396" s="190">
        <v>-325620</v>
      </c>
      <c r="U396" s="191">
        <f>ERP_34[[#This Row],[LE2 Final Submission]]-ERP_34[[#This Row],[LE3 Final Submission]]</f>
        <v>325620</v>
      </c>
      <c r="V396" s="98"/>
      <c r="W396" s="99"/>
      <c r="X396" s="99"/>
      <c r="Y396" s="100">
        <v>0</v>
      </c>
      <c r="Z396" s="100">
        <v>0</v>
      </c>
      <c r="AA396" s="100">
        <v>0</v>
      </c>
      <c r="AB396" s="100">
        <v>0</v>
      </c>
      <c r="AC396" s="100">
        <v>0</v>
      </c>
      <c r="AD396" s="100">
        <v>0</v>
      </c>
      <c r="AE396" s="100">
        <v>0</v>
      </c>
      <c r="AF396" s="100">
        <v>0</v>
      </c>
      <c r="AG396" s="100">
        <v>0</v>
      </c>
      <c r="AH396" s="101">
        <f t="shared" ref="AH396:AH459" si="18">SUM(V396:AG396)</f>
        <v>0</v>
      </c>
      <c r="AI396" s="108">
        <f>ERP_34[[#This Row],[2026 Working Total]]-ERP_34[[#This Row],[2026 LE0]]</f>
        <v>325620</v>
      </c>
      <c r="AJ396" s="79"/>
      <c r="AK396" s="79"/>
      <c r="AL3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6" s="80"/>
      <c r="AN396" s="79">
        <f>ERP_34[[#This Row],[2026 Working Total to Budget/LE]]-ERP_34[[#This Row],[Giveback]]</f>
        <v>325620</v>
      </c>
      <c r="AO396" s="81"/>
      <c r="AP396" s="81"/>
      <c r="AQ396" s="81"/>
      <c r="AR396" s="81"/>
      <c r="AS396" s="81">
        <v>0</v>
      </c>
      <c r="AT396" s="81">
        <v>0</v>
      </c>
      <c r="AU396" s="81">
        <v>0</v>
      </c>
      <c r="AV396" s="81">
        <v>0</v>
      </c>
      <c r="AW396" s="81">
        <v>0</v>
      </c>
      <c r="AX396" s="81">
        <v>0</v>
      </c>
      <c r="AY396" s="81">
        <v>0</v>
      </c>
      <c r="AZ396" s="81">
        <v>0</v>
      </c>
      <c r="BA396" s="81">
        <v>0</v>
      </c>
      <c r="BB396" s="81">
        <v>0</v>
      </c>
      <c r="BC396" s="103">
        <v>-325620</v>
      </c>
      <c r="BD396" s="103">
        <v>0</v>
      </c>
      <c r="BE396" s="103">
        <v>0</v>
      </c>
      <c r="BF396" s="103">
        <v>0</v>
      </c>
      <c r="BG396" s="103">
        <v>0</v>
      </c>
      <c r="BH396" s="103">
        <v>0</v>
      </c>
      <c r="BI396" s="103">
        <v>0</v>
      </c>
      <c r="BJ396" s="103">
        <v>0</v>
      </c>
      <c r="BK396" s="103">
        <v>0</v>
      </c>
      <c r="BL396" s="103">
        <v>0</v>
      </c>
      <c r="BM396" s="103">
        <v>0</v>
      </c>
      <c r="BN396" s="103">
        <v>0</v>
      </c>
      <c r="BO396" s="82">
        <f>SUM(ERP_34[[#This Row],[2026 AP01]:[2026 AP12]])</f>
        <v>-325620</v>
      </c>
    </row>
    <row r="397" spans="1:67">
      <c r="A397" s="66" t="s">
        <v>2333</v>
      </c>
      <c r="B397" s="66" t="str">
        <f>_xlfn.TEXTJOIN("_",,ERP_34[[#This Row],[LT Member -1*]],ERP_34[[#This Row],[Expense Category]],ERP_34[[#This Row],[Project Code*]])</f>
        <v>McCormick, Pete_SOFTWARE_IT-SFT1006-86-OG-US</v>
      </c>
      <c r="C397" s="67" t="s">
        <v>1136</v>
      </c>
      <c r="D397" s="67" t="s">
        <v>1135</v>
      </c>
      <c r="E397" s="67" t="s">
        <v>1145</v>
      </c>
      <c r="F397" s="67" t="s">
        <v>1137</v>
      </c>
      <c r="G397" s="68" t="s">
        <v>639</v>
      </c>
      <c r="H397" s="106" t="s">
        <v>2335</v>
      </c>
      <c r="I397" s="70"/>
      <c r="J397" s="70"/>
      <c r="K397" s="70" t="s">
        <v>700</v>
      </c>
      <c r="L397" s="70"/>
      <c r="M397" s="70"/>
      <c r="N397" s="70"/>
      <c r="O397" s="67" t="s">
        <v>701</v>
      </c>
      <c r="P397" s="67"/>
      <c r="Q397" s="71"/>
      <c r="R397" s="72">
        <v>54093.63</v>
      </c>
      <c r="S397" s="73">
        <v>55716.44</v>
      </c>
      <c r="T397" s="73">
        <v>54093.63</v>
      </c>
      <c r="U397" s="71">
        <f>ERP_34[[#This Row],[LE2 Final Submission]]-ERP_34[[#This Row],[LE3 Final Submission]]</f>
        <v>1622.8100000000049</v>
      </c>
      <c r="V397" s="74"/>
      <c r="W397" s="75">
        <v>55716.44</v>
      </c>
      <c r="X397" s="124">
        <v>0</v>
      </c>
      <c r="Y397" s="109">
        <v>0</v>
      </c>
      <c r="Z397" s="109">
        <v>0</v>
      </c>
      <c r="AA397" s="109">
        <v>0</v>
      </c>
      <c r="AB397" s="109">
        <v>0</v>
      </c>
      <c r="AC397" s="109">
        <v>0</v>
      </c>
      <c r="AD397" s="109">
        <v>0</v>
      </c>
      <c r="AE397" s="109">
        <v>0</v>
      </c>
      <c r="AF397" s="109">
        <v>0</v>
      </c>
      <c r="AG397" s="109">
        <v>0</v>
      </c>
      <c r="AH397" s="182">
        <f t="shared" si="18"/>
        <v>55716.44</v>
      </c>
      <c r="AI397" s="107">
        <f>ERP_34[[#This Row],[2026 Working Total]]-ERP_34[[#This Row],[2026 LE0]]</f>
        <v>1622.8100000000049</v>
      </c>
      <c r="AJ397" s="79"/>
      <c r="AK397" s="79"/>
      <c r="AL3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7" s="80"/>
      <c r="AN397" s="79">
        <f>ERP_34[[#This Row],[2026 Working Total to Budget/LE]]-ERP_34[[#This Row],[Giveback]]</f>
        <v>1622.8100000000049</v>
      </c>
      <c r="AO397" s="81"/>
      <c r="AP397" s="81"/>
      <c r="AQ397" s="81">
        <v>55716.44</v>
      </c>
      <c r="AR397" s="81">
        <v>0</v>
      </c>
      <c r="AS397" s="81">
        <v>0</v>
      </c>
      <c r="AT397" s="81">
        <v>0</v>
      </c>
      <c r="AU397" s="81">
        <v>0</v>
      </c>
      <c r="AV397" s="81">
        <v>0</v>
      </c>
      <c r="AW397" s="81">
        <v>0</v>
      </c>
      <c r="AX397" s="81">
        <v>0</v>
      </c>
      <c r="AY397" s="81">
        <v>0</v>
      </c>
      <c r="AZ397" s="81">
        <v>0</v>
      </c>
      <c r="BA397" s="81">
        <v>0</v>
      </c>
      <c r="BB397" s="81">
        <v>55716.44</v>
      </c>
      <c r="BC397" s="82"/>
      <c r="BD397" s="82">
        <v>55716.44</v>
      </c>
      <c r="BE397" s="82">
        <v>0</v>
      </c>
      <c r="BF397" s="82">
        <v>0</v>
      </c>
      <c r="BG397" s="82">
        <v>0</v>
      </c>
      <c r="BH397" s="82">
        <v>0</v>
      </c>
      <c r="BI397" s="82">
        <v>0</v>
      </c>
      <c r="BJ397" s="82">
        <v>0</v>
      </c>
      <c r="BK397" s="82">
        <v>0</v>
      </c>
      <c r="BL397" s="82">
        <v>0</v>
      </c>
      <c r="BM397" s="82">
        <v>0</v>
      </c>
      <c r="BN397" s="82">
        <v>0</v>
      </c>
      <c r="BO397" s="82">
        <v>55716.44</v>
      </c>
    </row>
    <row r="398" spans="1:67">
      <c r="A398" s="66" t="s">
        <v>2337</v>
      </c>
      <c r="B398" s="66" t="str">
        <f>_xlfn.TEXTJOIN("_",,ERP_34[[#This Row],[LT Member -1*]],ERP_34[[#This Row],[Expense Category]],ERP_34[[#This Row],[Project Code*]])</f>
        <v>Dougherty, Chris_SOFTWARE_IT-SFT1009-86-OG-US</v>
      </c>
      <c r="C398" s="67" t="s">
        <v>1136</v>
      </c>
      <c r="D398" s="67" t="s">
        <v>1135</v>
      </c>
      <c r="E398" s="67" t="s">
        <v>1135</v>
      </c>
      <c r="F398" s="67" t="s">
        <v>1137</v>
      </c>
      <c r="G398" s="68" t="s">
        <v>639</v>
      </c>
      <c r="H398" s="106" t="s">
        <v>2338</v>
      </c>
      <c r="I398" s="70" t="s">
        <v>2964</v>
      </c>
      <c r="J398" s="70"/>
      <c r="K398" s="157" t="s">
        <v>703</v>
      </c>
      <c r="L398" s="70"/>
      <c r="M398" s="1" t="s">
        <v>2339</v>
      </c>
      <c r="N398" s="70"/>
      <c r="O398" s="67" t="s">
        <v>704</v>
      </c>
      <c r="P398" s="67" t="s">
        <v>2340</v>
      </c>
      <c r="Q398" s="71"/>
      <c r="R398" s="204">
        <v>3581394.5999999992</v>
      </c>
      <c r="S398" s="73">
        <v>3026808.87</v>
      </c>
      <c r="T398" s="73">
        <v>3581394.5999999992</v>
      </c>
      <c r="U398" s="71">
        <f>ERP_34[[#This Row],[LE2 Final Submission]]-ERP_34[[#This Row],[LE3 Final Submission]]</f>
        <v>-554585.72999999905</v>
      </c>
      <c r="V398" s="74">
        <v>3026811.49</v>
      </c>
      <c r="W398" s="75">
        <v>-3073725.16</v>
      </c>
      <c r="X398" s="205">
        <v>803616.54</v>
      </c>
      <c r="Y398" s="76">
        <f>252234-252234</f>
        <v>0</v>
      </c>
      <c r="Z398" s="76">
        <f>252234+252234</f>
        <v>504468</v>
      </c>
      <c r="AA398" s="175">
        <v>252234</v>
      </c>
      <c r="AB398" s="76">
        <f>252234-252234</f>
        <v>0</v>
      </c>
      <c r="AC398" s="76">
        <f>252234+252234</f>
        <v>504468</v>
      </c>
      <c r="AD398" s="76">
        <v>252234</v>
      </c>
      <c r="AE398" s="76">
        <f>252234-252234</f>
        <v>0</v>
      </c>
      <c r="AF398" s="76">
        <f>252234+252234</f>
        <v>504468</v>
      </c>
      <c r="AG398" s="76">
        <v>252234</v>
      </c>
      <c r="AH398" s="206">
        <f t="shared" si="18"/>
        <v>3026808.87</v>
      </c>
      <c r="AI398" s="207">
        <f>ERP_34[[#This Row],[2026 Working Total]]-ERP_34[[#This Row],[2026 LE0]]</f>
        <v>-554585.72999999905</v>
      </c>
      <c r="AJ398" s="79"/>
      <c r="AK398" s="79"/>
      <c r="AL39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8" s="80"/>
      <c r="AN398" s="79">
        <f>ERP_34[[#This Row],[2026 Working Total to Budget/LE]]-ERP_34[[#This Row],[Giveback]]</f>
        <v>-554585.72999999905</v>
      </c>
      <c r="AO398" s="81"/>
      <c r="AP398" s="81">
        <v>3026811.49</v>
      </c>
      <c r="AQ398" s="81">
        <v>-3073725.16</v>
      </c>
      <c r="AR398" s="81">
        <v>803616.54</v>
      </c>
      <c r="AS398" s="81">
        <v>0</v>
      </c>
      <c r="AT398" s="81">
        <v>504468</v>
      </c>
      <c r="AU398" s="81">
        <v>252234</v>
      </c>
      <c r="AV398" s="81">
        <v>0</v>
      </c>
      <c r="AW398" s="81">
        <v>504468</v>
      </c>
      <c r="AX398" s="81">
        <v>252234</v>
      </c>
      <c r="AY398" s="81">
        <v>0</v>
      </c>
      <c r="AZ398" s="81">
        <v>504468</v>
      </c>
      <c r="BA398" s="81">
        <v>252234</v>
      </c>
      <c r="BB398" s="81">
        <v>3026808.87</v>
      </c>
      <c r="BC398" s="79">
        <v>3026811.49</v>
      </c>
      <c r="BD398" s="79">
        <v>-3073725.16</v>
      </c>
      <c r="BE398" s="79">
        <v>803616.54</v>
      </c>
      <c r="BF398" s="79">
        <v>252234</v>
      </c>
      <c r="BG398" s="79">
        <v>252234</v>
      </c>
      <c r="BH398" s="79">
        <v>252234</v>
      </c>
      <c r="BI398" s="79">
        <v>252234</v>
      </c>
      <c r="BJ398" s="79">
        <v>252234</v>
      </c>
      <c r="BK398" s="79">
        <v>252234</v>
      </c>
      <c r="BL398" s="79">
        <v>252234</v>
      </c>
      <c r="BM398" s="79">
        <v>252234</v>
      </c>
      <c r="BN398" s="79">
        <v>252234</v>
      </c>
      <c r="BO398" s="79">
        <v>3026808.87</v>
      </c>
    </row>
    <row r="399" spans="1:67">
      <c r="A399" s="82" t="s">
        <v>2341</v>
      </c>
      <c r="B399" s="83" t="str">
        <f>_xlfn.TEXTJOIN("_",,ERP_34[[#This Row],[LT Member -1*]],ERP_34[[#This Row],[Expense Category]],ERP_34[[#This Row],[Project Code*]])</f>
        <v>Dougherty, Chris_SOFTWARE_IT-SFT1009-86-OG-US/02</v>
      </c>
      <c r="C399" s="67" t="s">
        <v>2959</v>
      </c>
      <c r="D399" s="84" t="s">
        <v>1135</v>
      </c>
      <c r="E399" s="85" t="s">
        <v>1135</v>
      </c>
      <c r="F399" s="68" t="s">
        <v>1137</v>
      </c>
      <c r="G399" s="85" t="s">
        <v>639</v>
      </c>
      <c r="H399" s="110" t="s">
        <v>2342</v>
      </c>
      <c r="I399" s="67"/>
      <c r="J399" s="67"/>
      <c r="K399" s="88" t="s">
        <v>706</v>
      </c>
      <c r="L399" s="111"/>
      <c r="M399" s="1" t="s">
        <v>2339</v>
      </c>
      <c r="N399" s="70" t="s">
        <v>1710</v>
      </c>
      <c r="O399" s="91" t="s">
        <v>707</v>
      </c>
      <c r="P399" s="70" t="s">
        <v>1348</v>
      </c>
      <c r="Q399" s="195"/>
      <c r="R399" s="208">
        <v>678893.73</v>
      </c>
      <c r="S399" s="95">
        <v>0</v>
      </c>
      <c r="T399" s="190">
        <v>678893.73</v>
      </c>
      <c r="U399" s="191">
        <f>ERP_34[[#This Row],[LE2 Final Submission]]-ERP_34[[#This Row],[LE3 Final Submission]]</f>
        <v>-678893.73</v>
      </c>
      <c r="V399" s="98"/>
      <c r="W399" s="99"/>
      <c r="X399" s="99"/>
      <c r="Y399" s="100">
        <v>0</v>
      </c>
      <c r="Z399" s="100">
        <v>0</v>
      </c>
      <c r="AA399" s="100">
        <v>0</v>
      </c>
      <c r="AB399" s="100">
        <v>0</v>
      </c>
      <c r="AC399" s="100">
        <v>0</v>
      </c>
      <c r="AD399" s="100">
        <v>0</v>
      </c>
      <c r="AE399" s="100">
        <v>0</v>
      </c>
      <c r="AF399" s="100">
        <v>0</v>
      </c>
      <c r="AG399" s="100">
        <v>0</v>
      </c>
      <c r="AH399" s="101">
        <f t="shared" si="18"/>
        <v>0</v>
      </c>
      <c r="AI399" s="108">
        <f>ERP_34[[#This Row],[2026 Working Total]]-ERP_34[[#This Row],[2026 LE0]]</f>
        <v>-678893.73</v>
      </c>
      <c r="AJ399" s="79"/>
      <c r="AK399" s="79"/>
      <c r="AL39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399" s="80"/>
      <c r="AN399" s="79">
        <f>ERP_34[[#This Row],[2026 Working Total to Budget/LE]]-ERP_34[[#This Row],[Giveback]]</f>
        <v>-678893.73</v>
      </c>
      <c r="AO399" s="81"/>
      <c r="AP399" s="81"/>
      <c r="AQ399" s="81"/>
      <c r="AR399" s="81"/>
      <c r="AS399" s="81">
        <v>0</v>
      </c>
      <c r="AT399" s="81">
        <v>0</v>
      </c>
      <c r="AU399" s="81">
        <v>0</v>
      </c>
      <c r="AV399" s="81">
        <v>0</v>
      </c>
      <c r="AW399" s="81">
        <v>0</v>
      </c>
      <c r="AX399" s="81">
        <v>0</v>
      </c>
      <c r="AY399" s="81">
        <v>0</v>
      </c>
      <c r="AZ399" s="81">
        <v>0</v>
      </c>
      <c r="BA399" s="81">
        <v>0</v>
      </c>
      <c r="BB399" s="81">
        <v>0</v>
      </c>
      <c r="BC399" s="103">
        <v>678893.73</v>
      </c>
      <c r="BD399" s="103">
        <v>0</v>
      </c>
      <c r="BE399" s="103">
        <v>0</v>
      </c>
      <c r="BF399" s="103">
        <v>0</v>
      </c>
      <c r="BG399" s="103">
        <v>0</v>
      </c>
      <c r="BH399" s="103">
        <v>0</v>
      </c>
      <c r="BI399" s="103">
        <v>0</v>
      </c>
      <c r="BJ399" s="103">
        <v>0</v>
      </c>
      <c r="BK399" s="103">
        <v>0</v>
      </c>
      <c r="BL399" s="103">
        <v>0</v>
      </c>
      <c r="BM399" s="103">
        <v>0</v>
      </c>
      <c r="BN399" s="103">
        <v>0</v>
      </c>
      <c r="BO399" s="82">
        <f>SUM(ERP_34[[#This Row],[2026 AP01]:[2026 AP12]])</f>
        <v>678893.73</v>
      </c>
    </row>
    <row r="400" spans="1:67">
      <c r="A400" s="82" t="s">
        <v>2345</v>
      </c>
      <c r="B400" s="83" t="str">
        <f>_xlfn.TEXTJOIN("_",,ERP_34[[#This Row],[LT Member -1*]],ERP_34[[#This Row],[Expense Category]],ERP_34[[#This Row],[Project Code*]])</f>
        <v>Dougherty, Chris_SOFTWARE_IT-SFT1009-86-OG-US/02/PF</v>
      </c>
      <c r="C400" s="67" t="s">
        <v>2959</v>
      </c>
      <c r="D400" s="84" t="s">
        <v>1135</v>
      </c>
      <c r="E400" s="85" t="s">
        <v>1135</v>
      </c>
      <c r="F400" s="68" t="s">
        <v>1137</v>
      </c>
      <c r="G400" s="85" t="s">
        <v>639</v>
      </c>
      <c r="H400" s="110" t="s">
        <v>2346</v>
      </c>
      <c r="I400" s="67"/>
      <c r="J400" s="67"/>
      <c r="K400" s="88" t="s">
        <v>709</v>
      </c>
      <c r="L400" s="111"/>
      <c r="M400" s="1" t="s">
        <v>2969</v>
      </c>
      <c r="N400" s="70" t="s">
        <v>1710</v>
      </c>
      <c r="O400" s="91" t="s">
        <v>707</v>
      </c>
      <c r="P400" s="70" t="s">
        <v>1348</v>
      </c>
      <c r="Q400" s="195"/>
      <c r="R400" s="94">
        <v>-678893.73</v>
      </c>
      <c r="S400" s="95">
        <v>0</v>
      </c>
      <c r="T400" s="190">
        <v>-678893.73</v>
      </c>
      <c r="U400" s="191">
        <f>ERP_34[[#This Row],[LE2 Final Submission]]-ERP_34[[#This Row],[LE3 Final Submission]]</f>
        <v>678893.73</v>
      </c>
      <c r="V400" s="98"/>
      <c r="W400" s="99"/>
      <c r="X400" s="99"/>
      <c r="Y400" s="100">
        <v>0</v>
      </c>
      <c r="Z400" s="100">
        <v>0</v>
      </c>
      <c r="AA400" s="100">
        <v>0</v>
      </c>
      <c r="AB400" s="100">
        <v>0</v>
      </c>
      <c r="AC400" s="100">
        <v>0</v>
      </c>
      <c r="AD400" s="100">
        <v>0</v>
      </c>
      <c r="AE400" s="100">
        <v>0</v>
      </c>
      <c r="AF400" s="100">
        <v>0</v>
      </c>
      <c r="AG400" s="100">
        <v>0</v>
      </c>
      <c r="AH400" s="101">
        <f t="shared" si="18"/>
        <v>0</v>
      </c>
      <c r="AI400" s="108">
        <f>ERP_34[[#This Row],[2026 Working Total]]-ERP_34[[#This Row],[2026 LE0]]</f>
        <v>678893.73</v>
      </c>
      <c r="AJ400" s="79"/>
      <c r="AK400" s="79"/>
      <c r="AL40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0" s="80"/>
      <c r="AN400" s="79">
        <f>ERP_34[[#This Row],[2026 Working Total to Budget/LE]]-ERP_34[[#This Row],[Giveback]]</f>
        <v>678893.73</v>
      </c>
      <c r="AO400" s="81"/>
      <c r="AP400" s="81"/>
      <c r="AQ400" s="81"/>
      <c r="AR400" s="81"/>
      <c r="AS400" s="81">
        <v>0</v>
      </c>
      <c r="AT400" s="81">
        <v>0</v>
      </c>
      <c r="AU400" s="81">
        <v>0</v>
      </c>
      <c r="AV400" s="81">
        <v>0</v>
      </c>
      <c r="AW400" s="81">
        <v>0</v>
      </c>
      <c r="AX400" s="81">
        <v>0</v>
      </c>
      <c r="AY400" s="81">
        <v>0</v>
      </c>
      <c r="AZ400" s="81">
        <v>0</v>
      </c>
      <c r="BA400" s="81">
        <v>0</v>
      </c>
      <c r="BB400" s="81">
        <v>0</v>
      </c>
      <c r="BC400" s="103">
        <v>-678893.73</v>
      </c>
      <c r="BD400" s="103">
        <v>0</v>
      </c>
      <c r="BE400" s="103">
        <v>0</v>
      </c>
      <c r="BF400" s="103">
        <v>0</v>
      </c>
      <c r="BG400" s="103">
        <v>0</v>
      </c>
      <c r="BH400" s="103">
        <v>0</v>
      </c>
      <c r="BI400" s="103">
        <v>0</v>
      </c>
      <c r="BJ400" s="103">
        <v>0</v>
      </c>
      <c r="BK400" s="103">
        <v>0</v>
      </c>
      <c r="BL400" s="103">
        <v>0</v>
      </c>
      <c r="BM400" s="103">
        <v>0</v>
      </c>
      <c r="BN400" s="103">
        <v>0</v>
      </c>
      <c r="BO400" s="82">
        <f>SUM(ERP_34[[#This Row],[2026 AP01]:[2026 AP12]])</f>
        <v>-678893.73</v>
      </c>
    </row>
    <row r="401" spans="1:67">
      <c r="A401" s="82" t="s">
        <v>2347</v>
      </c>
      <c r="B401" s="83" t="str">
        <f>_xlfn.TEXTJOIN("_",,ERP_34[[#This Row],[LT Member -1*]],ERP_34[[#This Row],[Expense Category]],ERP_34[[#This Row],[Project Code*]])</f>
        <v>Dougherty, Chris_SOFTWARE_IT-SFT1009-86-OG-US/04</v>
      </c>
      <c r="C401" s="67" t="s">
        <v>2959</v>
      </c>
      <c r="D401" s="84" t="s">
        <v>1135</v>
      </c>
      <c r="E401" s="85" t="s">
        <v>1135</v>
      </c>
      <c r="F401" s="68" t="s">
        <v>1137</v>
      </c>
      <c r="G401" s="85" t="s">
        <v>639</v>
      </c>
      <c r="H401" s="110" t="s">
        <v>2348</v>
      </c>
      <c r="I401" s="67"/>
      <c r="J401" s="67"/>
      <c r="K401" s="88" t="s">
        <v>711</v>
      </c>
      <c r="L401" s="111"/>
      <c r="M401" s="1" t="s">
        <v>2339</v>
      </c>
      <c r="N401" s="70" t="s">
        <v>1710</v>
      </c>
      <c r="O401" s="91" t="s">
        <v>707</v>
      </c>
      <c r="P401" s="70" t="s">
        <v>1348</v>
      </c>
      <c r="Q401" s="195"/>
      <c r="R401" s="208">
        <v>4128.4799999999996</v>
      </c>
      <c r="S401" s="95">
        <v>0</v>
      </c>
      <c r="T401" s="190">
        <v>4128.4799999999996</v>
      </c>
      <c r="U401" s="191">
        <f>ERP_34[[#This Row],[LE2 Final Submission]]-ERP_34[[#This Row],[LE3 Final Submission]]</f>
        <v>-4128.4799999999996</v>
      </c>
      <c r="V401" s="98"/>
      <c r="W401" s="99"/>
      <c r="X401" s="99"/>
      <c r="Y401" s="100">
        <v>0</v>
      </c>
      <c r="Z401" s="100">
        <v>0</v>
      </c>
      <c r="AA401" s="100">
        <v>0</v>
      </c>
      <c r="AB401" s="100">
        <v>0</v>
      </c>
      <c r="AC401" s="100">
        <v>0</v>
      </c>
      <c r="AD401" s="100">
        <v>0</v>
      </c>
      <c r="AE401" s="100">
        <v>0</v>
      </c>
      <c r="AF401" s="100">
        <v>0</v>
      </c>
      <c r="AG401" s="100">
        <v>0</v>
      </c>
      <c r="AH401" s="101">
        <f t="shared" si="18"/>
        <v>0</v>
      </c>
      <c r="AI401" s="108">
        <f>ERP_34[[#This Row],[2026 Working Total]]-ERP_34[[#This Row],[2026 LE0]]</f>
        <v>-4128.4799999999996</v>
      </c>
      <c r="AJ401" s="79"/>
      <c r="AK401" s="79"/>
      <c r="AL40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1" s="80"/>
      <c r="AN401" s="79">
        <f>ERP_34[[#This Row],[2026 Working Total to Budget/LE]]-ERP_34[[#This Row],[Giveback]]</f>
        <v>-4128.4799999999996</v>
      </c>
      <c r="AO401" s="81"/>
      <c r="AP401" s="81"/>
      <c r="AQ401" s="81"/>
      <c r="AR401" s="81"/>
      <c r="AS401" s="81">
        <v>0</v>
      </c>
      <c r="AT401" s="81">
        <v>0</v>
      </c>
      <c r="AU401" s="81">
        <v>0</v>
      </c>
      <c r="AV401" s="81">
        <v>0</v>
      </c>
      <c r="AW401" s="81">
        <v>0</v>
      </c>
      <c r="AX401" s="81">
        <v>0</v>
      </c>
      <c r="AY401" s="81">
        <v>0</v>
      </c>
      <c r="AZ401" s="81">
        <v>0</v>
      </c>
      <c r="BA401" s="81">
        <v>0</v>
      </c>
      <c r="BB401" s="81">
        <v>0</v>
      </c>
      <c r="BC401" s="103">
        <v>4128.4799999999996</v>
      </c>
      <c r="BD401" s="103">
        <v>0</v>
      </c>
      <c r="BE401" s="103">
        <v>0</v>
      </c>
      <c r="BF401" s="103">
        <v>0</v>
      </c>
      <c r="BG401" s="103">
        <v>0</v>
      </c>
      <c r="BH401" s="103">
        <v>0</v>
      </c>
      <c r="BI401" s="103">
        <v>0</v>
      </c>
      <c r="BJ401" s="103">
        <v>0</v>
      </c>
      <c r="BK401" s="103">
        <v>0</v>
      </c>
      <c r="BL401" s="103">
        <v>0</v>
      </c>
      <c r="BM401" s="103">
        <v>0</v>
      </c>
      <c r="BN401" s="103">
        <v>0</v>
      </c>
      <c r="BO401" s="82">
        <f>SUM(ERP_34[[#This Row],[2026 AP01]:[2026 AP12]])</f>
        <v>4128.4799999999996</v>
      </c>
    </row>
    <row r="402" spans="1:67">
      <c r="A402" s="82" t="s">
        <v>2349</v>
      </c>
      <c r="B402" s="83" t="str">
        <f>_xlfn.TEXTJOIN("_",,ERP_34[[#This Row],[LT Member -1*]],ERP_34[[#This Row],[Expense Category]],ERP_34[[#This Row],[Project Code*]])</f>
        <v>Dougherty, Chris_SOFTWARE_IT-SFT1009-86-OG-US/04/PF</v>
      </c>
      <c r="C402" s="67" t="s">
        <v>2959</v>
      </c>
      <c r="D402" s="84" t="s">
        <v>1135</v>
      </c>
      <c r="E402" s="85" t="s">
        <v>1135</v>
      </c>
      <c r="F402" s="68" t="s">
        <v>1137</v>
      </c>
      <c r="G402" s="85" t="s">
        <v>639</v>
      </c>
      <c r="H402" s="110" t="s">
        <v>2350</v>
      </c>
      <c r="I402" s="67"/>
      <c r="J402" s="67"/>
      <c r="K402" s="88" t="s">
        <v>713</v>
      </c>
      <c r="L402" s="111"/>
      <c r="M402" s="1" t="s">
        <v>2969</v>
      </c>
      <c r="N402" s="70" t="s">
        <v>1710</v>
      </c>
      <c r="O402" s="91" t="s">
        <v>707</v>
      </c>
      <c r="P402" s="70" t="s">
        <v>1348</v>
      </c>
      <c r="Q402" s="195"/>
      <c r="R402" s="94">
        <v>-4128.4799999999996</v>
      </c>
      <c r="S402" s="95">
        <v>0</v>
      </c>
      <c r="T402" s="190">
        <v>-4128.4799999999996</v>
      </c>
      <c r="U402" s="191">
        <f>ERP_34[[#This Row],[LE2 Final Submission]]-ERP_34[[#This Row],[LE3 Final Submission]]</f>
        <v>4128.4799999999996</v>
      </c>
      <c r="V402" s="98"/>
      <c r="W402" s="99"/>
      <c r="X402" s="99"/>
      <c r="Y402" s="100">
        <v>0</v>
      </c>
      <c r="Z402" s="100">
        <v>0</v>
      </c>
      <c r="AA402" s="100">
        <v>0</v>
      </c>
      <c r="AB402" s="100">
        <v>0</v>
      </c>
      <c r="AC402" s="100">
        <v>0</v>
      </c>
      <c r="AD402" s="100">
        <v>0</v>
      </c>
      <c r="AE402" s="100">
        <v>0</v>
      </c>
      <c r="AF402" s="100">
        <v>0</v>
      </c>
      <c r="AG402" s="100">
        <v>0</v>
      </c>
      <c r="AH402" s="101">
        <f t="shared" si="18"/>
        <v>0</v>
      </c>
      <c r="AI402" s="108">
        <f>ERP_34[[#This Row],[2026 Working Total]]-ERP_34[[#This Row],[2026 LE0]]</f>
        <v>4128.4799999999996</v>
      </c>
      <c r="AJ402" s="79"/>
      <c r="AK402" s="79"/>
      <c r="AL4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2" s="80"/>
      <c r="AN402" s="79">
        <f>ERP_34[[#This Row],[2026 Working Total to Budget/LE]]-ERP_34[[#This Row],[Giveback]]</f>
        <v>4128.4799999999996</v>
      </c>
      <c r="AO402" s="81"/>
      <c r="AP402" s="81"/>
      <c r="AQ402" s="81"/>
      <c r="AR402" s="81"/>
      <c r="AS402" s="81">
        <v>0</v>
      </c>
      <c r="AT402" s="81">
        <v>0</v>
      </c>
      <c r="AU402" s="81">
        <v>0</v>
      </c>
      <c r="AV402" s="81">
        <v>0</v>
      </c>
      <c r="AW402" s="81">
        <v>0</v>
      </c>
      <c r="AX402" s="81">
        <v>0</v>
      </c>
      <c r="AY402" s="81">
        <v>0</v>
      </c>
      <c r="AZ402" s="81">
        <v>0</v>
      </c>
      <c r="BA402" s="81">
        <v>0</v>
      </c>
      <c r="BB402" s="81">
        <v>0</v>
      </c>
      <c r="BC402" s="103">
        <v>-4128.4799999999996</v>
      </c>
      <c r="BD402" s="103">
        <v>0</v>
      </c>
      <c r="BE402" s="103">
        <v>0</v>
      </c>
      <c r="BF402" s="103">
        <v>0</v>
      </c>
      <c r="BG402" s="103">
        <v>0</v>
      </c>
      <c r="BH402" s="103">
        <v>0</v>
      </c>
      <c r="BI402" s="103">
        <v>0</v>
      </c>
      <c r="BJ402" s="103">
        <v>0</v>
      </c>
      <c r="BK402" s="103">
        <v>0</v>
      </c>
      <c r="BL402" s="103">
        <v>0</v>
      </c>
      <c r="BM402" s="103">
        <v>0</v>
      </c>
      <c r="BN402" s="103">
        <v>0</v>
      </c>
      <c r="BO402" s="82">
        <f>SUM(ERP_34[[#This Row],[2026 AP01]:[2026 AP12]])</f>
        <v>-4128.4799999999996</v>
      </c>
    </row>
    <row r="403" spans="1:67">
      <c r="A403" s="82" t="s">
        <v>2351</v>
      </c>
      <c r="B403" s="83" t="str">
        <f>_xlfn.TEXTJOIN("_",,ERP_34[[#This Row],[LT Member -1*]],ERP_34[[#This Row],[Expense Category]],ERP_34[[#This Row],[Project Code*]])</f>
        <v>Dougherty, Chris_SOFTWARE_IT-SFT1009-86-OG-US/05</v>
      </c>
      <c r="C403" s="67" t="s">
        <v>2959</v>
      </c>
      <c r="D403" s="84" t="s">
        <v>1135</v>
      </c>
      <c r="E403" s="85" t="s">
        <v>1135</v>
      </c>
      <c r="F403" s="68" t="s">
        <v>1137</v>
      </c>
      <c r="G403" s="85" t="s">
        <v>639</v>
      </c>
      <c r="H403" s="110" t="s">
        <v>2352</v>
      </c>
      <c r="I403" s="67"/>
      <c r="J403" s="67"/>
      <c r="K403" s="88" t="s">
        <v>715</v>
      </c>
      <c r="L403" s="111"/>
      <c r="M403" s="1" t="s">
        <v>2339</v>
      </c>
      <c r="N403" s="70" t="s">
        <v>1710</v>
      </c>
      <c r="O403" s="91" t="s">
        <v>707</v>
      </c>
      <c r="P403" s="70" t="s">
        <v>1348</v>
      </c>
      <c r="Q403" s="195"/>
      <c r="R403" s="208">
        <v>37248.410000000003</v>
      </c>
      <c r="S403" s="95">
        <v>0</v>
      </c>
      <c r="T403" s="190">
        <v>37248.410000000003</v>
      </c>
      <c r="U403" s="191">
        <f>ERP_34[[#This Row],[LE2 Final Submission]]-ERP_34[[#This Row],[LE3 Final Submission]]</f>
        <v>-37248.410000000003</v>
      </c>
      <c r="V403" s="98"/>
      <c r="W403" s="99"/>
      <c r="X403" s="99"/>
      <c r="Y403" s="100">
        <v>0</v>
      </c>
      <c r="Z403" s="100">
        <v>0</v>
      </c>
      <c r="AA403" s="100">
        <v>0</v>
      </c>
      <c r="AB403" s="100">
        <v>0</v>
      </c>
      <c r="AC403" s="100">
        <v>0</v>
      </c>
      <c r="AD403" s="100">
        <v>0</v>
      </c>
      <c r="AE403" s="100">
        <v>0</v>
      </c>
      <c r="AF403" s="100">
        <v>0</v>
      </c>
      <c r="AG403" s="100">
        <v>0</v>
      </c>
      <c r="AH403" s="101">
        <f t="shared" si="18"/>
        <v>0</v>
      </c>
      <c r="AI403" s="108">
        <f>ERP_34[[#This Row],[2026 Working Total]]-ERP_34[[#This Row],[2026 LE0]]</f>
        <v>-37248.410000000003</v>
      </c>
      <c r="AJ403" s="79"/>
      <c r="AK403" s="79"/>
      <c r="AL40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3" s="80"/>
      <c r="AN403" s="79">
        <f>ERP_34[[#This Row],[2026 Working Total to Budget/LE]]-ERP_34[[#This Row],[Giveback]]</f>
        <v>-37248.410000000003</v>
      </c>
      <c r="AO403" s="81"/>
      <c r="AP403" s="81"/>
      <c r="AQ403" s="81"/>
      <c r="AR403" s="81"/>
      <c r="AS403" s="81">
        <v>0</v>
      </c>
      <c r="AT403" s="81">
        <v>0</v>
      </c>
      <c r="AU403" s="81">
        <v>0</v>
      </c>
      <c r="AV403" s="81">
        <v>0</v>
      </c>
      <c r="AW403" s="81">
        <v>0</v>
      </c>
      <c r="AX403" s="81">
        <v>0</v>
      </c>
      <c r="AY403" s="81">
        <v>0</v>
      </c>
      <c r="AZ403" s="81">
        <v>0</v>
      </c>
      <c r="BA403" s="81">
        <v>0</v>
      </c>
      <c r="BB403" s="81">
        <v>0</v>
      </c>
      <c r="BC403" s="103">
        <v>37248.410000000003</v>
      </c>
      <c r="BD403" s="103">
        <v>0</v>
      </c>
      <c r="BE403" s="103">
        <v>0</v>
      </c>
      <c r="BF403" s="103">
        <v>0</v>
      </c>
      <c r="BG403" s="103">
        <v>0</v>
      </c>
      <c r="BH403" s="103">
        <v>0</v>
      </c>
      <c r="BI403" s="103">
        <v>0</v>
      </c>
      <c r="BJ403" s="103">
        <v>0</v>
      </c>
      <c r="BK403" s="103">
        <v>0</v>
      </c>
      <c r="BL403" s="103">
        <v>0</v>
      </c>
      <c r="BM403" s="103">
        <v>0</v>
      </c>
      <c r="BN403" s="103">
        <v>0</v>
      </c>
      <c r="BO403" s="82">
        <f>SUM(ERP_34[[#This Row],[2026 AP01]:[2026 AP12]])</f>
        <v>37248.410000000003</v>
      </c>
    </row>
    <row r="404" spans="1:67">
      <c r="A404" s="82" t="s">
        <v>2353</v>
      </c>
      <c r="B404" s="83" t="str">
        <f>_xlfn.TEXTJOIN("_",,ERP_34[[#This Row],[LT Member -1*]],ERP_34[[#This Row],[Expense Category]],ERP_34[[#This Row],[Project Code*]])</f>
        <v>Dougherty, Chris_SOFTWARE_IT-SFT1009-86-OG-US/05/PF</v>
      </c>
      <c r="C404" s="67" t="s">
        <v>2959</v>
      </c>
      <c r="D404" s="84" t="s">
        <v>1135</v>
      </c>
      <c r="E404" s="85" t="s">
        <v>1135</v>
      </c>
      <c r="F404" s="68" t="s">
        <v>1137</v>
      </c>
      <c r="G404" s="85" t="s">
        <v>639</v>
      </c>
      <c r="H404" s="110" t="s">
        <v>2354</v>
      </c>
      <c r="I404" s="67"/>
      <c r="J404" s="67"/>
      <c r="K404" s="88" t="s">
        <v>717</v>
      </c>
      <c r="L404" s="111"/>
      <c r="M404" s="1" t="s">
        <v>2969</v>
      </c>
      <c r="N404" s="70" t="s">
        <v>1710</v>
      </c>
      <c r="O404" s="91" t="s">
        <v>707</v>
      </c>
      <c r="P404" s="70" t="s">
        <v>1348</v>
      </c>
      <c r="Q404" s="195"/>
      <c r="R404" s="94">
        <v>-37248.410000000003</v>
      </c>
      <c r="S404" s="95">
        <v>0</v>
      </c>
      <c r="T404" s="190">
        <v>-37248.410000000003</v>
      </c>
      <c r="U404" s="191">
        <f>ERP_34[[#This Row],[LE2 Final Submission]]-ERP_34[[#This Row],[LE3 Final Submission]]</f>
        <v>37248.410000000003</v>
      </c>
      <c r="V404" s="98"/>
      <c r="W404" s="99"/>
      <c r="X404" s="99"/>
      <c r="Y404" s="100">
        <v>0</v>
      </c>
      <c r="Z404" s="100">
        <v>0</v>
      </c>
      <c r="AA404" s="100">
        <v>0</v>
      </c>
      <c r="AB404" s="100">
        <v>0</v>
      </c>
      <c r="AC404" s="100">
        <v>0</v>
      </c>
      <c r="AD404" s="100">
        <v>0</v>
      </c>
      <c r="AE404" s="100">
        <v>0</v>
      </c>
      <c r="AF404" s="100">
        <v>0</v>
      </c>
      <c r="AG404" s="100">
        <v>0</v>
      </c>
      <c r="AH404" s="101">
        <f t="shared" si="18"/>
        <v>0</v>
      </c>
      <c r="AI404" s="108">
        <f>ERP_34[[#This Row],[2026 Working Total]]-ERP_34[[#This Row],[2026 LE0]]</f>
        <v>37248.410000000003</v>
      </c>
      <c r="AJ404" s="79"/>
      <c r="AK404" s="79"/>
      <c r="AL40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4" s="80"/>
      <c r="AN404" s="79">
        <f>ERP_34[[#This Row],[2026 Working Total to Budget/LE]]-ERP_34[[#This Row],[Giveback]]</f>
        <v>37248.410000000003</v>
      </c>
      <c r="AO404" s="81"/>
      <c r="AP404" s="81"/>
      <c r="AQ404" s="81"/>
      <c r="AR404" s="81"/>
      <c r="AS404" s="81">
        <v>0</v>
      </c>
      <c r="AT404" s="81">
        <v>0</v>
      </c>
      <c r="AU404" s="81">
        <v>0</v>
      </c>
      <c r="AV404" s="81">
        <v>0</v>
      </c>
      <c r="AW404" s="81">
        <v>0</v>
      </c>
      <c r="AX404" s="81">
        <v>0</v>
      </c>
      <c r="AY404" s="81">
        <v>0</v>
      </c>
      <c r="AZ404" s="81">
        <v>0</v>
      </c>
      <c r="BA404" s="81">
        <v>0</v>
      </c>
      <c r="BB404" s="81">
        <v>0</v>
      </c>
      <c r="BC404" s="103">
        <v>-37248.410000000003</v>
      </c>
      <c r="BD404" s="103">
        <v>0</v>
      </c>
      <c r="BE404" s="103">
        <v>0</v>
      </c>
      <c r="BF404" s="103">
        <v>0</v>
      </c>
      <c r="BG404" s="103">
        <v>0</v>
      </c>
      <c r="BH404" s="103">
        <v>0</v>
      </c>
      <c r="BI404" s="103">
        <v>0</v>
      </c>
      <c r="BJ404" s="103">
        <v>0</v>
      </c>
      <c r="BK404" s="103">
        <v>0</v>
      </c>
      <c r="BL404" s="103">
        <v>0</v>
      </c>
      <c r="BM404" s="103">
        <v>0</v>
      </c>
      <c r="BN404" s="103">
        <v>0</v>
      </c>
      <c r="BO404" s="82">
        <f>SUM(ERP_34[[#This Row],[2026 AP01]:[2026 AP12]])</f>
        <v>-37248.410000000003</v>
      </c>
    </row>
    <row r="405" spans="1:67">
      <c r="A405" s="82" t="s">
        <v>2355</v>
      </c>
      <c r="B405" s="83" t="str">
        <f>_xlfn.TEXTJOIN("_",,ERP_34[[#This Row],[LT Member -1*]],ERP_34[[#This Row],[Expense Category]],ERP_34[[#This Row],[Project Code*]])</f>
        <v>Dougherty, Chris_SOFTWARE_IT-SFT1009-86-OG-US/07</v>
      </c>
      <c r="C405" s="67" t="s">
        <v>2959</v>
      </c>
      <c r="D405" s="84" t="s">
        <v>1135</v>
      </c>
      <c r="E405" s="85" t="s">
        <v>1135</v>
      </c>
      <c r="F405" s="68" t="s">
        <v>1137</v>
      </c>
      <c r="G405" s="85" t="s">
        <v>639</v>
      </c>
      <c r="H405" s="110" t="s">
        <v>2356</v>
      </c>
      <c r="I405" s="67"/>
      <c r="J405" s="67"/>
      <c r="K405" s="88" t="s">
        <v>719</v>
      </c>
      <c r="L405" s="111"/>
      <c r="M405" s="1" t="s">
        <v>2339</v>
      </c>
      <c r="N405" s="70" t="s">
        <v>1710</v>
      </c>
      <c r="O405" s="91" t="s">
        <v>707</v>
      </c>
      <c r="P405" s="70" t="s">
        <v>1348</v>
      </c>
      <c r="Q405" s="195"/>
      <c r="R405" s="208">
        <v>40181.519999999997</v>
      </c>
      <c r="S405" s="95">
        <v>0</v>
      </c>
      <c r="T405" s="190">
        <v>40181.519999999997</v>
      </c>
      <c r="U405" s="191">
        <f>ERP_34[[#This Row],[LE2 Final Submission]]-ERP_34[[#This Row],[LE3 Final Submission]]</f>
        <v>-40181.519999999997</v>
      </c>
      <c r="V405" s="98"/>
      <c r="W405" s="99"/>
      <c r="X405" s="99"/>
      <c r="Y405" s="100">
        <v>0</v>
      </c>
      <c r="Z405" s="100">
        <v>0</v>
      </c>
      <c r="AA405" s="100">
        <v>0</v>
      </c>
      <c r="AB405" s="100">
        <v>0</v>
      </c>
      <c r="AC405" s="100">
        <v>0</v>
      </c>
      <c r="AD405" s="100">
        <v>0</v>
      </c>
      <c r="AE405" s="100">
        <v>0</v>
      </c>
      <c r="AF405" s="100">
        <v>0</v>
      </c>
      <c r="AG405" s="100">
        <v>0</v>
      </c>
      <c r="AH405" s="101">
        <f t="shared" si="18"/>
        <v>0</v>
      </c>
      <c r="AI405" s="108">
        <f>ERP_34[[#This Row],[2026 Working Total]]-ERP_34[[#This Row],[2026 LE0]]</f>
        <v>-40181.519999999997</v>
      </c>
      <c r="AJ405" s="79"/>
      <c r="AK405" s="79"/>
      <c r="AL40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5" s="80"/>
      <c r="AN405" s="79">
        <f>ERP_34[[#This Row],[2026 Working Total to Budget/LE]]-ERP_34[[#This Row],[Giveback]]</f>
        <v>-40181.519999999997</v>
      </c>
      <c r="AO405" s="81"/>
      <c r="AP405" s="81"/>
      <c r="AQ405" s="81"/>
      <c r="AR405" s="81"/>
      <c r="AS405" s="81">
        <v>0</v>
      </c>
      <c r="AT405" s="81">
        <v>0</v>
      </c>
      <c r="AU405" s="81">
        <v>0</v>
      </c>
      <c r="AV405" s="81">
        <v>0</v>
      </c>
      <c r="AW405" s="81">
        <v>0</v>
      </c>
      <c r="AX405" s="81">
        <v>0</v>
      </c>
      <c r="AY405" s="81">
        <v>0</v>
      </c>
      <c r="AZ405" s="81">
        <v>0</v>
      </c>
      <c r="BA405" s="81">
        <v>0</v>
      </c>
      <c r="BB405" s="81">
        <v>0</v>
      </c>
      <c r="BC405" s="103">
        <v>40181.519999999997</v>
      </c>
      <c r="BD405" s="103">
        <v>0</v>
      </c>
      <c r="BE405" s="103">
        <v>0</v>
      </c>
      <c r="BF405" s="103">
        <v>0</v>
      </c>
      <c r="BG405" s="103">
        <v>0</v>
      </c>
      <c r="BH405" s="103">
        <v>0</v>
      </c>
      <c r="BI405" s="103">
        <v>0</v>
      </c>
      <c r="BJ405" s="103">
        <v>0</v>
      </c>
      <c r="BK405" s="103">
        <v>0</v>
      </c>
      <c r="BL405" s="103">
        <v>0</v>
      </c>
      <c r="BM405" s="103">
        <v>0</v>
      </c>
      <c r="BN405" s="103">
        <v>0</v>
      </c>
      <c r="BO405" s="82">
        <f>SUM(ERP_34[[#This Row],[2026 AP01]:[2026 AP12]])</f>
        <v>40181.519999999997</v>
      </c>
    </row>
    <row r="406" spans="1:67">
      <c r="A406" s="82" t="s">
        <v>2357</v>
      </c>
      <c r="B406" s="83" t="str">
        <f>_xlfn.TEXTJOIN("_",,ERP_34[[#This Row],[LT Member -1*]],ERP_34[[#This Row],[Expense Category]],ERP_34[[#This Row],[Project Code*]])</f>
        <v>Dougherty, Chris_SOFTWARE_IT-SFT1009-86-OG-US/07/PF</v>
      </c>
      <c r="C406" s="67" t="s">
        <v>2959</v>
      </c>
      <c r="D406" s="84" t="s">
        <v>1135</v>
      </c>
      <c r="E406" s="85" t="s">
        <v>1135</v>
      </c>
      <c r="F406" s="68" t="s">
        <v>1137</v>
      </c>
      <c r="G406" s="85" t="s">
        <v>639</v>
      </c>
      <c r="H406" s="110" t="s">
        <v>2358</v>
      </c>
      <c r="I406" s="67"/>
      <c r="J406" s="67"/>
      <c r="K406" s="88" t="s">
        <v>721</v>
      </c>
      <c r="L406" s="111"/>
      <c r="M406" s="1" t="s">
        <v>2969</v>
      </c>
      <c r="N406" s="70" t="s">
        <v>1710</v>
      </c>
      <c r="O406" s="91" t="s">
        <v>707</v>
      </c>
      <c r="P406" s="70" t="s">
        <v>1348</v>
      </c>
      <c r="Q406" s="195"/>
      <c r="R406" s="94">
        <v>-40181</v>
      </c>
      <c r="S406" s="95">
        <v>0</v>
      </c>
      <c r="T406" s="190">
        <v>-40181</v>
      </c>
      <c r="U406" s="191">
        <f>ERP_34[[#This Row],[LE2 Final Submission]]-ERP_34[[#This Row],[LE3 Final Submission]]</f>
        <v>40181</v>
      </c>
      <c r="V406" s="98"/>
      <c r="W406" s="99"/>
      <c r="X406" s="99"/>
      <c r="Y406" s="100">
        <v>0</v>
      </c>
      <c r="Z406" s="100">
        <v>0</v>
      </c>
      <c r="AA406" s="100">
        <v>0</v>
      </c>
      <c r="AB406" s="100">
        <v>0</v>
      </c>
      <c r="AC406" s="100">
        <v>0</v>
      </c>
      <c r="AD406" s="100">
        <v>0</v>
      </c>
      <c r="AE406" s="100">
        <v>0</v>
      </c>
      <c r="AF406" s="100">
        <v>0</v>
      </c>
      <c r="AG406" s="100">
        <v>0</v>
      </c>
      <c r="AH406" s="101">
        <f t="shared" si="18"/>
        <v>0</v>
      </c>
      <c r="AI406" s="108">
        <f>ERP_34[[#This Row],[2026 Working Total]]-ERP_34[[#This Row],[2026 LE0]]</f>
        <v>40181</v>
      </c>
      <c r="AJ406" s="79"/>
      <c r="AK406" s="79"/>
      <c r="AL40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6" s="80"/>
      <c r="AN406" s="79">
        <f>ERP_34[[#This Row],[2026 Working Total to Budget/LE]]-ERP_34[[#This Row],[Giveback]]</f>
        <v>40181</v>
      </c>
      <c r="AO406" s="81"/>
      <c r="AP406" s="81"/>
      <c r="AQ406" s="81"/>
      <c r="AR406" s="81"/>
      <c r="AS406" s="81">
        <v>0</v>
      </c>
      <c r="AT406" s="81">
        <v>0</v>
      </c>
      <c r="AU406" s="81">
        <v>0</v>
      </c>
      <c r="AV406" s="81">
        <v>0</v>
      </c>
      <c r="AW406" s="81">
        <v>0</v>
      </c>
      <c r="AX406" s="81">
        <v>0</v>
      </c>
      <c r="AY406" s="81">
        <v>0</v>
      </c>
      <c r="AZ406" s="81">
        <v>0</v>
      </c>
      <c r="BA406" s="81">
        <v>0</v>
      </c>
      <c r="BB406" s="81">
        <v>0</v>
      </c>
      <c r="BC406" s="103">
        <v>-40181</v>
      </c>
      <c r="BD406" s="103">
        <v>0</v>
      </c>
      <c r="BE406" s="103">
        <v>0</v>
      </c>
      <c r="BF406" s="103">
        <v>0</v>
      </c>
      <c r="BG406" s="103">
        <v>0</v>
      </c>
      <c r="BH406" s="103">
        <v>0</v>
      </c>
      <c r="BI406" s="103">
        <v>0</v>
      </c>
      <c r="BJ406" s="103">
        <v>0</v>
      </c>
      <c r="BK406" s="103">
        <v>0</v>
      </c>
      <c r="BL406" s="103">
        <v>0</v>
      </c>
      <c r="BM406" s="103">
        <v>0</v>
      </c>
      <c r="BN406" s="103">
        <v>0</v>
      </c>
      <c r="BO406" s="82">
        <f>SUM(ERP_34[[#This Row],[2026 AP01]:[2026 AP12]])</f>
        <v>-40181</v>
      </c>
    </row>
    <row r="407" spans="1:67">
      <c r="A407" s="82" t="s">
        <v>2359</v>
      </c>
      <c r="B407" s="83" t="str">
        <f>_xlfn.TEXTJOIN("_",,ERP_34[[#This Row],[LT Member -1*]],ERP_34[[#This Row],[Expense Category]],ERP_34[[#This Row],[Project Code*]])</f>
        <v>Dougherty, Chris_SOFTWARE_IT-SFT1009-86-OG-US/08</v>
      </c>
      <c r="C407" s="67" t="s">
        <v>2959</v>
      </c>
      <c r="D407" s="84" t="s">
        <v>1135</v>
      </c>
      <c r="E407" s="85" t="s">
        <v>1135</v>
      </c>
      <c r="F407" s="68" t="s">
        <v>1137</v>
      </c>
      <c r="G407" s="85" t="s">
        <v>639</v>
      </c>
      <c r="H407" s="110" t="s">
        <v>2360</v>
      </c>
      <c r="I407" s="67"/>
      <c r="J407" s="67"/>
      <c r="K407" s="88" t="s">
        <v>723</v>
      </c>
      <c r="L407" s="111"/>
      <c r="M407" s="1" t="s">
        <v>2339</v>
      </c>
      <c r="N407" s="70" t="s">
        <v>1710</v>
      </c>
      <c r="O407" s="91" t="s">
        <v>707</v>
      </c>
      <c r="P407" s="70" t="s">
        <v>1348</v>
      </c>
      <c r="Q407" s="195"/>
      <c r="R407" s="208">
        <v>253752.12</v>
      </c>
      <c r="S407" s="95">
        <v>0</v>
      </c>
      <c r="T407" s="190">
        <v>253752.12</v>
      </c>
      <c r="U407" s="191">
        <f>ERP_34[[#This Row],[LE2 Final Submission]]-ERP_34[[#This Row],[LE3 Final Submission]]</f>
        <v>-253752.12</v>
      </c>
      <c r="V407" s="98"/>
      <c r="W407" s="99"/>
      <c r="X407" s="99"/>
      <c r="Y407" s="100">
        <v>0</v>
      </c>
      <c r="Z407" s="100">
        <v>0</v>
      </c>
      <c r="AA407" s="100">
        <v>0</v>
      </c>
      <c r="AB407" s="100">
        <v>0</v>
      </c>
      <c r="AC407" s="100">
        <v>0</v>
      </c>
      <c r="AD407" s="100">
        <v>0</v>
      </c>
      <c r="AE407" s="100">
        <v>0</v>
      </c>
      <c r="AF407" s="100">
        <v>0</v>
      </c>
      <c r="AG407" s="100">
        <v>0</v>
      </c>
      <c r="AH407" s="101">
        <f t="shared" si="18"/>
        <v>0</v>
      </c>
      <c r="AI407" s="108">
        <f>ERP_34[[#This Row],[2026 Working Total]]-ERP_34[[#This Row],[2026 LE0]]</f>
        <v>-253752.12</v>
      </c>
      <c r="AJ407" s="79"/>
      <c r="AK407" s="79"/>
      <c r="AL4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7" s="80"/>
      <c r="AN407" s="79">
        <f>ERP_34[[#This Row],[2026 Working Total to Budget/LE]]-ERP_34[[#This Row],[Giveback]]</f>
        <v>-253752.12</v>
      </c>
      <c r="AO407" s="81"/>
      <c r="AP407" s="81"/>
      <c r="AQ407" s="81"/>
      <c r="AR407" s="81"/>
      <c r="AS407" s="81">
        <v>0</v>
      </c>
      <c r="AT407" s="81">
        <v>0</v>
      </c>
      <c r="AU407" s="81">
        <v>0</v>
      </c>
      <c r="AV407" s="81">
        <v>0</v>
      </c>
      <c r="AW407" s="81">
        <v>0</v>
      </c>
      <c r="AX407" s="81">
        <v>0</v>
      </c>
      <c r="AY407" s="81">
        <v>0</v>
      </c>
      <c r="AZ407" s="81">
        <v>0</v>
      </c>
      <c r="BA407" s="81">
        <v>0</v>
      </c>
      <c r="BB407" s="81">
        <v>0</v>
      </c>
      <c r="BC407" s="103">
        <v>253752.12</v>
      </c>
      <c r="BD407" s="103">
        <v>0</v>
      </c>
      <c r="BE407" s="103">
        <v>0</v>
      </c>
      <c r="BF407" s="103">
        <v>0</v>
      </c>
      <c r="BG407" s="103">
        <v>0</v>
      </c>
      <c r="BH407" s="103">
        <v>0</v>
      </c>
      <c r="BI407" s="103">
        <v>0</v>
      </c>
      <c r="BJ407" s="103">
        <v>0</v>
      </c>
      <c r="BK407" s="103">
        <v>0</v>
      </c>
      <c r="BL407" s="103">
        <v>0</v>
      </c>
      <c r="BM407" s="103">
        <v>0</v>
      </c>
      <c r="BN407" s="103">
        <v>0</v>
      </c>
      <c r="BO407" s="82">
        <f>SUM(ERP_34[[#This Row],[2026 AP01]:[2026 AP12]])</f>
        <v>253752.12</v>
      </c>
    </row>
    <row r="408" spans="1:67">
      <c r="A408" s="82" t="s">
        <v>2361</v>
      </c>
      <c r="B408" s="83" t="str">
        <f>_xlfn.TEXTJOIN("_",,ERP_34[[#This Row],[LT Member -1*]],ERP_34[[#This Row],[Expense Category]],ERP_34[[#This Row],[Project Code*]])</f>
        <v>Dougherty, Chris_SOFTWARE_IT-SFT1009-86-OG-US/08/PF</v>
      </c>
      <c r="C408" s="67" t="s">
        <v>2959</v>
      </c>
      <c r="D408" s="84" t="s">
        <v>1135</v>
      </c>
      <c r="E408" s="85" t="s">
        <v>1135</v>
      </c>
      <c r="F408" s="68" t="s">
        <v>1137</v>
      </c>
      <c r="G408" s="85" t="s">
        <v>639</v>
      </c>
      <c r="H408" s="110" t="s">
        <v>2362</v>
      </c>
      <c r="I408" s="67"/>
      <c r="J408" s="67"/>
      <c r="K408" s="88" t="s">
        <v>725</v>
      </c>
      <c r="L408" s="111"/>
      <c r="M408" s="1" t="s">
        <v>2969</v>
      </c>
      <c r="N408" s="70" t="s">
        <v>1710</v>
      </c>
      <c r="O408" s="91" t="s">
        <v>707</v>
      </c>
      <c r="P408" s="70" t="s">
        <v>1348</v>
      </c>
      <c r="Q408" s="195"/>
      <c r="R408" s="94">
        <v>-253752.12</v>
      </c>
      <c r="S408" s="95">
        <v>0</v>
      </c>
      <c r="T408" s="190">
        <v>-253752.12</v>
      </c>
      <c r="U408" s="191">
        <f>ERP_34[[#This Row],[LE2 Final Submission]]-ERP_34[[#This Row],[LE3 Final Submission]]</f>
        <v>253752.12</v>
      </c>
      <c r="V408" s="98"/>
      <c r="W408" s="99"/>
      <c r="X408" s="99"/>
      <c r="Y408" s="100">
        <v>0</v>
      </c>
      <c r="Z408" s="100">
        <v>0</v>
      </c>
      <c r="AA408" s="100">
        <v>0</v>
      </c>
      <c r="AB408" s="100">
        <v>0</v>
      </c>
      <c r="AC408" s="100">
        <v>0</v>
      </c>
      <c r="AD408" s="100">
        <v>0</v>
      </c>
      <c r="AE408" s="100">
        <v>0</v>
      </c>
      <c r="AF408" s="100">
        <v>0</v>
      </c>
      <c r="AG408" s="100">
        <v>0</v>
      </c>
      <c r="AH408" s="101">
        <f t="shared" si="18"/>
        <v>0</v>
      </c>
      <c r="AI408" s="108">
        <f>ERP_34[[#This Row],[2026 Working Total]]-ERP_34[[#This Row],[2026 LE0]]</f>
        <v>253752.12</v>
      </c>
      <c r="AJ408" s="79"/>
      <c r="AK408" s="79"/>
      <c r="AL40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8" s="80"/>
      <c r="AN408" s="79">
        <f>ERP_34[[#This Row],[2026 Working Total to Budget/LE]]-ERP_34[[#This Row],[Giveback]]</f>
        <v>253752.12</v>
      </c>
      <c r="AO408" s="81"/>
      <c r="AP408" s="81"/>
      <c r="AQ408" s="81"/>
      <c r="AR408" s="81"/>
      <c r="AS408" s="81">
        <v>0</v>
      </c>
      <c r="AT408" s="81">
        <v>0</v>
      </c>
      <c r="AU408" s="81">
        <v>0</v>
      </c>
      <c r="AV408" s="81">
        <v>0</v>
      </c>
      <c r="AW408" s="81">
        <v>0</v>
      </c>
      <c r="AX408" s="81">
        <v>0</v>
      </c>
      <c r="AY408" s="81">
        <v>0</v>
      </c>
      <c r="AZ408" s="81">
        <v>0</v>
      </c>
      <c r="BA408" s="81">
        <v>0</v>
      </c>
      <c r="BB408" s="81">
        <v>0</v>
      </c>
      <c r="BC408" s="103">
        <v>-253752.12</v>
      </c>
      <c r="BD408" s="103">
        <v>0</v>
      </c>
      <c r="BE408" s="103">
        <v>0</v>
      </c>
      <c r="BF408" s="103">
        <v>0</v>
      </c>
      <c r="BG408" s="103">
        <v>0</v>
      </c>
      <c r="BH408" s="103">
        <v>0</v>
      </c>
      <c r="BI408" s="103">
        <v>0</v>
      </c>
      <c r="BJ408" s="103">
        <v>0</v>
      </c>
      <c r="BK408" s="103">
        <v>0</v>
      </c>
      <c r="BL408" s="103">
        <v>0</v>
      </c>
      <c r="BM408" s="103">
        <v>0</v>
      </c>
      <c r="BN408" s="103">
        <v>0</v>
      </c>
      <c r="BO408" s="82">
        <f>SUM(ERP_34[[#This Row],[2026 AP01]:[2026 AP12]])</f>
        <v>-253752.12</v>
      </c>
    </row>
    <row r="409" spans="1:67">
      <c r="A409" s="82" t="s">
        <v>2363</v>
      </c>
      <c r="B409" s="83" t="str">
        <f>_xlfn.TEXTJOIN("_",,ERP_34[[#This Row],[LT Member -1*]],ERP_34[[#This Row],[Expense Category]],ERP_34[[#This Row],[Project Code*]])</f>
        <v>Dougherty, Chris_SOFTWARE_IT-SFT1009-86-OG-US/13</v>
      </c>
      <c r="C409" s="67" t="s">
        <v>2959</v>
      </c>
      <c r="D409" s="84" t="s">
        <v>1135</v>
      </c>
      <c r="E409" s="85" t="s">
        <v>1135</v>
      </c>
      <c r="F409" s="68" t="s">
        <v>1137</v>
      </c>
      <c r="G409" s="85" t="s">
        <v>639</v>
      </c>
      <c r="H409" s="110" t="s">
        <v>2364</v>
      </c>
      <c r="I409" s="67"/>
      <c r="J409" s="67"/>
      <c r="K409" s="88" t="s">
        <v>727</v>
      </c>
      <c r="L409" s="111"/>
      <c r="M409" s="1" t="s">
        <v>2339</v>
      </c>
      <c r="N409" s="70" t="s">
        <v>1710</v>
      </c>
      <c r="O409" s="91" t="s">
        <v>707</v>
      </c>
      <c r="P409" s="70" t="s">
        <v>1348</v>
      </c>
      <c r="Q409" s="195"/>
      <c r="R409" s="208">
        <v>6285.51</v>
      </c>
      <c r="S409" s="95">
        <v>0</v>
      </c>
      <c r="T409" s="190">
        <v>6285.51</v>
      </c>
      <c r="U409" s="191">
        <f>ERP_34[[#This Row],[LE2 Final Submission]]-ERP_34[[#This Row],[LE3 Final Submission]]</f>
        <v>-6285.51</v>
      </c>
      <c r="V409" s="98"/>
      <c r="W409" s="99"/>
      <c r="X409" s="99"/>
      <c r="Y409" s="100">
        <v>0</v>
      </c>
      <c r="Z409" s="100">
        <v>0</v>
      </c>
      <c r="AA409" s="100">
        <v>0</v>
      </c>
      <c r="AB409" s="100">
        <v>0</v>
      </c>
      <c r="AC409" s="100">
        <v>0</v>
      </c>
      <c r="AD409" s="100">
        <v>0</v>
      </c>
      <c r="AE409" s="100">
        <v>0</v>
      </c>
      <c r="AF409" s="100">
        <v>0</v>
      </c>
      <c r="AG409" s="100">
        <v>0</v>
      </c>
      <c r="AH409" s="101">
        <f t="shared" si="18"/>
        <v>0</v>
      </c>
      <c r="AI409" s="108">
        <f>ERP_34[[#This Row],[2026 Working Total]]-ERP_34[[#This Row],[2026 LE0]]</f>
        <v>-6285.51</v>
      </c>
      <c r="AJ409" s="79"/>
      <c r="AK409" s="79"/>
      <c r="AL4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09" s="80"/>
      <c r="AN409" s="79">
        <f>ERP_34[[#This Row],[2026 Working Total to Budget/LE]]-ERP_34[[#This Row],[Giveback]]</f>
        <v>-6285.51</v>
      </c>
      <c r="AO409" s="81"/>
      <c r="AP409" s="81"/>
      <c r="AQ409" s="81"/>
      <c r="AR409" s="81"/>
      <c r="AS409" s="81">
        <v>0</v>
      </c>
      <c r="AT409" s="81">
        <v>0</v>
      </c>
      <c r="AU409" s="81">
        <v>0</v>
      </c>
      <c r="AV409" s="81">
        <v>0</v>
      </c>
      <c r="AW409" s="81">
        <v>0</v>
      </c>
      <c r="AX409" s="81">
        <v>0</v>
      </c>
      <c r="AY409" s="81">
        <v>0</v>
      </c>
      <c r="AZ409" s="81">
        <v>0</v>
      </c>
      <c r="BA409" s="81">
        <v>0</v>
      </c>
      <c r="BB409" s="81">
        <v>0</v>
      </c>
      <c r="BC409" s="103">
        <v>6285.51</v>
      </c>
      <c r="BD409" s="103">
        <v>0</v>
      </c>
      <c r="BE409" s="103">
        <v>0</v>
      </c>
      <c r="BF409" s="103">
        <v>0</v>
      </c>
      <c r="BG409" s="103">
        <v>0</v>
      </c>
      <c r="BH409" s="103">
        <v>0</v>
      </c>
      <c r="BI409" s="103">
        <v>0</v>
      </c>
      <c r="BJ409" s="103">
        <v>0</v>
      </c>
      <c r="BK409" s="103">
        <v>0</v>
      </c>
      <c r="BL409" s="103">
        <v>0</v>
      </c>
      <c r="BM409" s="103">
        <v>0</v>
      </c>
      <c r="BN409" s="103">
        <v>0</v>
      </c>
      <c r="BO409" s="82">
        <f>SUM(ERP_34[[#This Row],[2026 AP01]:[2026 AP12]])</f>
        <v>6285.51</v>
      </c>
    </row>
    <row r="410" spans="1:67">
      <c r="A410" s="82" t="s">
        <v>2365</v>
      </c>
      <c r="B410" s="83" t="str">
        <f>_xlfn.TEXTJOIN("_",,ERP_34[[#This Row],[LT Member -1*]],ERP_34[[#This Row],[Expense Category]],ERP_34[[#This Row],[Project Code*]])</f>
        <v>Dougherty, Chris_SOFTWARE_IT-SFT1009-86-OG-US/13/PF</v>
      </c>
      <c r="C410" s="67" t="s">
        <v>2959</v>
      </c>
      <c r="D410" s="84" t="s">
        <v>1135</v>
      </c>
      <c r="E410" s="85" t="s">
        <v>1135</v>
      </c>
      <c r="F410" s="68" t="s">
        <v>1137</v>
      </c>
      <c r="G410" s="85" t="s">
        <v>639</v>
      </c>
      <c r="H410" s="110" t="s">
        <v>2366</v>
      </c>
      <c r="I410" s="67"/>
      <c r="J410" s="67"/>
      <c r="K410" s="88" t="s">
        <v>729</v>
      </c>
      <c r="L410" s="111"/>
      <c r="M410" s="1" t="s">
        <v>2969</v>
      </c>
      <c r="N410" s="70" t="s">
        <v>1710</v>
      </c>
      <c r="O410" s="91" t="s">
        <v>707</v>
      </c>
      <c r="P410" s="70" t="s">
        <v>1348</v>
      </c>
      <c r="Q410" s="195"/>
      <c r="R410" s="94">
        <v>-6285.51</v>
      </c>
      <c r="S410" s="95">
        <v>0</v>
      </c>
      <c r="T410" s="190">
        <v>-6285.51</v>
      </c>
      <c r="U410" s="191">
        <f>ERP_34[[#This Row],[LE2 Final Submission]]-ERP_34[[#This Row],[LE3 Final Submission]]</f>
        <v>6285.51</v>
      </c>
      <c r="V410" s="98"/>
      <c r="W410" s="99"/>
      <c r="X410" s="99"/>
      <c r="Y410" s="100">
        <v>0</v>
      </c>
      <c r="Z410" s="100">
        <v>0</v>
      </c>
      <c r="AA410" s="100">
        <v>0</v>
      </c>
      <c r="AB410" s="100">
        <v>0</v>
      </c>
      <c r="AC410" s="100">
        <v>0</v>
      </c>
      <c r="AD410" s="100">
        <v>0</v>
      </c>
      <c r="AE410" s="100">
        <v>0</v>
      </c>
      <c r="AF410" s="100">
        <v>0</v>
      </c>
      <c r="AG410" s="100">
        <v>0</v>
      </c>
      <c r="AH410" s="101">
        <f t="shared" si="18"/>
        <v>0</v>
      </c>
      <c r="AI410" s="108">
        <f>ERP_34[[#This Row],[2026 Working Total]]-ERP_34[[#This Row],[2026 LE0]]</f>
        <v>6285.51</v>
      </c>
      <c r="AJ410" s="79"/>
      <c r="AK410" s="79"/>
      <c r="AL4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0" s="80"/>
      <c r="AN410" s="79">
        <f>ERP_34[[#This Row],[2026 Working Total to Budget/LE]]-ERP_34[[#This Row],[Giveback]]</f>
        <v>6285.51</v>
      </c>
      <c r="AO410" s="81"/>
      <c r="AP410" s="81"/>
      <c r="AQ410" s="81"/>
      <c r="AR410" s="81"/>
      <c r="AS410" s="81">
        <v>0</v>
      </c>
      <c r="AT410" s="81">
        <v>0</v>
      </c>
      <c r="AU410" s="81">
        <v>0</v>
      </c>
      <c r="AV410" s="81">
        <v>0</v>
      </c>
      <c r="AW410" s="81">
        <v>0</v>
      </c>
      <c r="AX410" s="81">
        <v>0</v>
      </c>
      <c r="AY410" s="81">
        <v>0</v>
      </c>
      <c r="AZ410" s="81">
        <v>0</v>
      </c>
      <c r="BA410" s="81">
        <v>0</v>
      </c>
      <c r="BB410" s="81">
        <v>0</v>
      </c>
      <c r="BC410" s="103">
        <v>-6285.51</v>
      </c>
      <c r="BD410" s="103">
        <v>0</v>
      </c>
      <c r="BE410" s="103">
        <v>0</v>
      </c>
      <c r="BF410" s="103">
        <v>0</v>
      </c>
      <c r="BG410" s="103">
        <v>0</v>
      </c>
      <c r="BH410" s="103">
        <v>0</v>
      </c>
      <c r="BI410" s="103">
        <v>0</v>
      </c>
      <c r="BJ410" s="103">
        <v>0</v>
      </c>
      <c r="BK410" s="103">
        <v>0</v>
      </c>
      <c r="BL410" s="103">
        <v>0</v>
      </c>
      <c r="BM410" s="103">
        <v>0</v>
      </c>
      <c r="BN410" s="103">
        <v>0</v>
      </c>
      <c r="BO410" s="82">
        <f>SUM(ERP_34[[#This Row],[2026 AP01]:[2026 AP12]])</f>
        <v>-6285.51</v>
      </c>
    </row>
    <row r="411" spans="1:67">
      <c r="A411" s="82" t="s">
        <v>2367</v>
      </c>
      <c r="B411" s="83" t="str">
        <f>_xlfn.TEXTJOIN("_",,ERP_34[[#This Row],[LT Member -1*]],ERP_34[[#This Row],[Expense Category]],ERP_34[[#This Row],[Project Code*]])</f>
        <v>Dougherty, Chris_SOFTWARE_IT-SFT1009-86-OG-US/17</v>
      </c>
      <c r="C411" s="67" t="s">
        <v>2959</v>
      </c>
      <c r="D411" s="84" t="s">
        <v>1135</v>
      </c>
      <c r="E411" s="85" t="s">
        <v>1135</v>
      </c>
      <c r="F411" s="68" t="s">
        <v>1137</v>
      </c>
      <c r="G411" s="85" t="s">
        <v>639</v>
      </c>
      <c r="H411" s="110" t="s">
        <v>2368</v>
      </c>
      <c r="I411" s="67"/>
      <c r="J411" s="67"/>
      <c r="K411" s="88" t="s">
        <v>731</v>
      </c>
      <c r="L411" s="111"/>
      <c r="M411" s="1" t="s">
        <v>2339</v>
      </c>
      <c r="N411" s="70" t="s">
        <v>1710</v>
      </c>
      <c r="O411" s="91" t="s">
        <v>707</v>
      </c>
      <c r="P411" s="70" t="s">
        <v>1348</v>
      </c>
      <c r="Q411" s="195"/>
      <c r="R411" s="208">
        <v>30136.080000000002</v>
      </c>
      <c r="S411" s="95">
        <v>0</v>
      </c>
      <c r="T411" s="190">
        <v>30136.080000000002</v>
      </c>
      <c r="U411" s="191">
        <f>ERP_34[[#This Row],[LE2 Final Submission]]-ERP_34[[#This Row],[LE3 Final Submission]]</f>
        <v>-30136.080000000002</v>
      </c>
      <c r="V411" s="98"/>
      <c r="W411" s="99"/>
      <c r="X411" s="99"/>
      <c r="Y411" s="100">
        <v>0</v>
      </c>
      <c r="Z411" s="100">
        <v>0</v>
      </c>
      <c r="AA411" s="100">
        <v>0</v>
      </c>
      <c r="AB411" s="100">
        <v>0</v>
      </c>
      <c r="AC411" s="100">
        <v>0</v>
      </c>
      <c r="AD411" s="100">
        <v>0</v>
      </c>
      <c r="AE411" s="100">
        <v>0</v>
      </c>
      <c r="AF411" s="100">
        <v>0</v>
      </c>
      <c r="AG411" s="100">
        <v>0</v>
      </c>
      <c r="AH411" s="101">
        <f t="shared" si="18"/>
        <v>0</v>
      </c>
      <c r="AI411" s="108">
        <f>ERP_34[[#This Row],[2026 Working Total]]-ERP_34[[#This Row],[2026 LE0]]</f>
        <v>-30136.080000000002</v>
      </c>
      <c r="AJ411" s="79"/>
      <c r="AK411" s="79"/>
      <c r="AL4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1" s="80"/>
      <c r="AN411" s="79">
        <f>ERP_34[[#This Row],[2026 Working Total to Budget/LE]]-ERP_34[[#This Row],[Giveback]]</f>
        <v>-30136.080000000002</v>
      </c>
      <c r="AO411" s="81"/>
      <c r="AP411" s="81"/>
      <c r="AQ411" s="81"/>
      <c r="AR411" s="81"/>
      <c r="AS411" s="81">
        <v>0</v>
      </c>
      <c r="AT411" s="81">
        <v>0</v>
      </c>
      <c r="AU411" s="81">
        <v>0</v>
      </c>
      <c r="AV411" s="81">
        <v>0</v>
      </c>
      <c r="AW411" s="81">
        <v>0</v>
      </c>
      <c r="AX411" s="81">
        <v>0</v>
      </c>
      <c r="AY411" s="81">
        <v>0</v>
      </c>
      <c r="AZ411" s="81">
        <v>0</v>
      </c>
      <c r="BA411" s="81">
        <v>0</v>
      </c>
      <c r="BB411" s="81">
        <v>0</v>
      </c>
      <c r="BC411" s="103">
        <v>30136.080000000002</v>
      </c>
      <c r="BD411" s="103">
        <v>0</v>
      </c>
      <c r="BE411" s="103">
        <v>0</v>
      </c>
      <c r="BF411" s="103">
        <v>0</v>
      </c>
      <c r="BG411" s="103">
        <v>0</v>
      </c>
      <c r="BH411" s="103">
        <v>0</v>
      </c>
      <c r="BI411" s="103">
        <v>0</v>
      </c>
      <c r="BJ411" s="103">
        <v>0</v>
      </c>
      <c r="BK411" s="103">
        <v>0</v>
      </c>
      <c r="BL411" s="103">
        <v>0</v>
      </c>
      <c r="BM411" s="103">
        <v>0</v>
      </c>
      <c r="BN411" s="103">
        <v>0</v>
      </c>
      <c r="BO411" s="82">
        <f>SUM(ERP_34[[#This Row],[2026 AP01]:[2026 AP12]])</f>
        <v>30136.080000000002</v>
      </c>
    </row>
    <row r="412" spans="1:67">
      <c r="A412" s="82" t="s">
        <v>2369</v>
      </c>
      <c r="B412" s="83" t="str">
        <f>_xlfn.TEXTJOIN("_",,ERP_34[[#This Row],[LT Member -1*]],ERP_34[[#This Row],[Expense Category]],ERP_34[[#This Row],[Project Code*]])</f>
        <v>Dougherty, Chris_SOFTWARE_IT-SFT1009-86-OG-US/17/PF</v>
      </c>
      <c r="C412" s="67" t="s">
        <v>2959</v>
      </c>
      <c r="D412" s="84" t="s">
        <v>1135</v>
      </c>
      <c r="E412" s="85" t="s">
        <v>1135</v>
      </c>
      <c r="F412" s="68" t="s">
        <v>1137</v>
      </c>
      <c r="G412" s="85" t="s">
        <v>639</v>
      </c>
      <c r="H412" s="110" t="s">
        <v>2370</v>
      </c>
      <c r="I412" s="67"/>
      <c r="J412" s="67"/>
      <c r="K412" s="88" t="s">
        <v>733</v>
      </c>
      <c r="L412" s="111"/>
      <c r="M412" s="1" t="s">
        <v>2969</v>
      </c>
      <c r="N412" s="70" t="s">
        <v>1710</v>
      </c>
      <c r="O412" s="91" t="s">
        <v>707</v>
      </c>
      <c r="P412" s="70" t="s">
        <v>1348</v>
      </c>
      <c r="Q412" s="195"/>
      <c r="R412" s="94">
        <v>-30136.080000000002</v>
      </c>
      <c r="S412" s="95">
        <v>0</v>
      </c>
      <c r="T412" s="190">
        <v>-30136.080000000002</v>
      </c>
      <c r="U412" s="191">
        <f>ERP_34[[#This Row],[LE2 Final Submission]]-ERP_34[[#This Row],[LE3 Final Submission]]</f>
        <v>30136.080000000002</v>
      </c>
      <c r="V412" s="98"/>
      <c r="W412" s="99"/>
      <c r="X412" s="99"/>
      <c r="Y412" s="100">
        <v>0</v>
      </c>
      <c r="Z412" s="100">
        <v>0</v>
      </c>
      <c r="AA412" s="100">
        <v>0</v>
      </c>
      <c r="AB412" s="100">
        <v>0</v>
      </c>
      <c r="AC412" s="100">
        <v>0</v>
      </c>
      <c r="AD412" s="100">
        <v>0</v>
      </c>
      <c r="AE412" s="100">
        <v>0</v>
      </c>
      <c r="AF412" s="100">
        <v>0</v>
      </c>
      <c r="AG412" s="100">
        <v>0</v>
      </c>
      <c r="AH412" s="101">
        <f t="shared" si="18"/>
        <v>0</v>
      </c>
      <c r="AI412" s="108">
        <f>ERP_34[[#This Row],[2026 Working Total]]-ERP_34[[#This Row],[2026 LE0]]</f>
        <v>30136.080000000002</v>
      </c>
      <c r="AJ412" s="79"/>
      <c r="AK412" s="79"/>
      <c r="AL4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2" s="80"/>
      <c r="AN412" s="79">
        <f>ERP_34[[#This Row],[2026 Working Total to Budget/LE]]-ERP_34[[#This Row],[Giveback]]</f>
        <v>30136.080000000002</v>
      </c>
      <c r="AO412" s="81"/>
      <c r="AP412" s="81"/>
      <c r="AQ412" s="81"/>
      <c r="AR412" s="81"/>
      <c r="AS412" s="81">
        <v>0</v>
      </c>
      <c r="AT412" s="81">
        <v>0</v>
      </c>
      <c r="AU412" s="81">
        <v>0</v>
      </c>
      <c r="AV412" s="81">
        <v>0</v>
      </c>
      <c r="AW412" s="81">
        <v>0</v>
      </c>
      <c r="AX412" s="81">
        <v>0</v>
      </c>
      <c r="AY412" s="81">
        <v>0</v>
      </c>
      <c r="AZ412" s="81">
        <v>0</v>
      </c>
      <c r="BA412" s="81">
        <v>0</v>
      </c>
      <c r="BB412" s="81">
        <v>0</v>
      </c>
      <c r="BC412" s="103">
        <v>-30136.080000000002</v>
      </c>
      <c r="BD412" s="103">
        <v>0</v>
      </c>
      <c r="BE412" s="103">
        <v>0</v>
      </c>
      <c r="BF412" s="103">
        <v>0</v>
      </c>
      <c r="BG412" s="103">
        <v>0</v>
      </c>
      <c r="BH412" s="103">
        <v>0</v>
      </c>
      <c r="BI412" s="103">
        <v>0</v>
      </c>
      <c r="BJ412" s="103">
        <v>0</v>
      </c>
      <c r="BK412" s="103">
        <v>0</v>
      </c>
      <c r="BL412" s="103">
        <v>0</v>
      </c>
      <c r="BM412" s="103">
        <v>0</v>
      </c>
      <c r="BN412" s="103">
        <v>0</v>
      </c>
      <c r="BO412" s="82">
        <f>SUM(ERP_34[[#This Row],[2026 AP01]:[2026 AP12]])</f>
        <v>-30136.080000000002</v>
      </c>
    </row>
    <row r="413" spans="1:67">
      <c r="A413" s="82" t="s">
        <v>2371</v>
      </c>
      <c r="B413" s="83" t="str">
        <f>_xlfn.TEXTJOIN("_",,ERP_34[[#This Row],[LT Member -1*]],ERP_34[[#This Row],[Expense Category]],ERP_34[[#This Row],[Project Code*]])</f>
        <v>Dougherty, Chris_SOFTWARE_IT-SFT1009-86-OG-US/19</v>
      </c>
      <c r="C413" s="67" t="s">
        <v>2959</v>
      </c>
      <c r="D413" s="84" t="s">
        <v>1135</v>
      </c>
      <c r="E413" s="85" t="s">
        <v>1135</v>
      </c>
      <c r="F413" s="68" t="s">
        <v>1137</v>
      </c>
      <c r="G413" s="85" t="s">
        <v>639</v>
      </c>
      <c r="H413" s="110" t="s">
        <v>2372</v>
      </c>
      <c r="I413" s="67"/>
      <c r="J413" s="67"/>
      <c r="K413" s="88" t="s">
        <v>735</v>
      </c>
      <c r="L413" s="111"/>
      <c r="M413" s="1" t="s">
        <v>2339</v>
      </c>
      <c r="N413" s="70" t="s">
        <v>1710</v>
      </c>
      <c r="O413" s="91" t="s">
        <v>707</v>
      </c>
      <c r="P413" s="70" t="s">
        <v>1348</v>
      </c>
      <c r="Q413" s="195"/>
      <c r="R413" s="208">
        <v>17349.84</v>
      </c>
      <c r="S413" s="95">
        <v>0</v>
      </c>
      <c r="T413" s="190">
        <v>17349.84</v>
      </c>
      <c r="U413" s="191">
        <f>ERP_34[[#This Row],[LE2 Final Submission]]-ERP_34[[#This Row],[LE3 Final Submission]]</f>
        <v>-17349.84</v>
      </c>
      <c r="V413" s="98"/>
      <c r="W413" s="99"/>
      <c r="X413" s="99"/>
      <c r="Y413" s="100">
        <v>0</v>
      </c>
      <c r="Z413" s="100">
        <v>0</v>
      </c>
      <c r="AA413" s="100">
        <v>0</v>
      </c>
      <c r="AB413" s="100">
        <v>0</v>
      </c>
      <c r="AC413" s="100">
        <v>0</v>
      </c>
      <c r="AD413" s="100">
        <v>0</v>
      </c>
      <c r="AE413" s="100">
        <v>0</v>
      </c>
      <c r="AF413" s="100">
        <v>0</v>
      </c>
      <c r="AG413" s="100">
        <v>0</v>
      </c>
      <c r="AH413" s="101">
        <f t="shared" si="18"/>
        <v>0</v>
      </c>
      <c r="AI413" s="108">
        <f>ERP_34[[#This Row],[2026 Working Total]]-ERP_34[[#This Row],[2026 LE0]]</f>
        <v>-17349.84</v>
      </c>
      <c r="AJ413" s="79"/>
      <c r="AK413" s="79"/>
      <c r="AL4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3" s="80"/>
      <c r="AN413" s="79">
        <f>ERP_34[[#This Row],[2026 Working Total to Budget/LE]]-ERP_34[[#This Row],[Giveback]]</f>
        <v>-17349.84</v>
      </c>
      <c r="AO413" s="81"/>
      <c r="AP413" s="81"/>
      <c r="AQ413" s="81"/>
      <c r="AR413" s="81"/>
      <c r="AS413" s="81">
        <v>0</v>
      </c>
      <c r="AT413" s="81">
        <v>0</v>
      </c>
      <c r="AU413" s="81">
        <v>0</v>
      </c>
      <c r="AV413" s="81">
        <v>0</v>
      </c>
      <c r="AW413" s="81">
        <v>0</v>
      </c>
      <c r="AX413" s="81">
        <v>0</v>
      </c>
      <c r="AY413" s="81">
        <v>0</v>
      </c>
      <c r="AZ413" s="81">
        <v>0</v>
      </c>
      <c r="BA413" s="81">
        <v>0</v>
      </c>
      <c r="BB413" s="81">
        <v>0</v>
      </c>
      <c r="BC413" s="103">
        <v>17349.84</v>
      </c>
      <c r="BD413" s="103">
        <v>0</v>
      </c>
      <c r="BE413" s="103">
        <v>0</v>
      </c>
      <c r="BF413" s="103">
        <v>0</v>
      </c>
      <c r="BG413" s="103">
        <v>0</v>
      </c>
      <c r="BH413" s="103">
        <v>0</v>
      </c>
      <c r="BI413" s="103">
        <v>0</v>
      </c>
      <c r="BJ413" s="103">
        <v>0</v>
      </c>
      <c r="BK413" s="103">
        <v>0</v>
      </c>
      <c r="BL413" s="103">
        <v>0</v>
      </c>
      <c r="BM413" s="103">
        <v>0</v>
      </c>
      <c r="BN413" s="103">
        <v>0</v>
      </c>
      <c r="BO413" s="82">
        <f>SUM(ERP_34[[#This Row],[2026 AP01]:[2026 AP12]])</f>
        <v>17349.84</v>
      </c>
    </row>
    <row r="414" spans="1:67">
      <c r="A414" s="82" t="s">
        <v>2373</v>
      </c>
      <c r="B414" s="83" t="str">
        <f>_xlfn.TEXTJOIN("_",,ERP_34[[#This Row],[LT Member -1*]],ERP_34[[#This Row],[Expense Category]],ERP_34[[#This Row],[Project Code*]])</f>
        <v>Dougherty, Chris_SOFTWARE_IT-SFT1009-86-OG-US/19/PF</v>
      </c>
      <c r="C414" s="67" t="s">
        <v>2959</v>
      </c>
      <c r="D414" s="84" t="s">
        <v>1135</v>
      </c>
      <c r="E414" s="85" t="s">
        <v>1135</v>
      </c>
      <c r="F414" s="68" t="s">
        <v>1137</v>
      </c>
      <c r="G414" s="85" t="s">
        <v>639</v>
      </c>
      <c r="H414" s="110" t="s">
        <v>2374</v>
      </c>
      <c r="I414" s="67"/>
      <c r="J414" s="67"/>
      <c r="K414" s="88" t="s">
        <v>737</v>
      </c>
      <c r="L414" s="111"/>
      <c r="M414" s="1" t="s">
        <v>2969</v>
      </c>
      <c r="N414" s="70" t="s">
        <v>1710</v>
      </c>
      <c r="O414" s="91" t="s">
        <v>707</v>
      </c>
      <c r="P414" s="70" t="s">
        <v>1348</v>
      </c>
      <c r="Q414" s="195"/>
      <c r="R414" s="94">
        <v>-17349.84</v>
      </c>
      <c r="S414" s="95">
        <v>0</v>
      </c>
      <c r="T414" s="190">
        <v>-17349.84</v>
      </c>
      <c r="U414" s="191">
        <f>ERP_34[[#This Row],[LE2 Final Submission]]-ERP_34[[#This Row],[LE3 Final Submission]]</f>
        <v>17349.84</v>
      </c>
      <c r="V414" s="98"/>
      <c r="W414" s="99"/>
      <c r="X414" s="99"/>
      <c r="Y414" s="100">
        <v>0</v>
      </c>
      <c r="Z414" s="100">
        <v>0</v>
      </c>
      <c r="AA414" s="100">
        <v>0</v>
      </c>
      <c r="AB414" s="100">
        <v>0</v>
      </c>
      <c r="AC414" s="100">
        <v>0</v>
      </c>
      <c r="AD414" s="100">
        <v>0</v>
      </c>
      <c r="AE414" s="100">
        <v>0</v>
      </c>
      <c r="AF414" s="100">
        <v>0</v>
      </c>
      <c r="AG414" s="100">
        <v>0</v>
      </c>
      <c r="AH414" s="101">
        <f t="shared" si="18"/>
        <v>0</v>
      </c>
      <c r="AI414" s="108">
        <f>ERP_34[[#This Row],[2026 Working Total]]-ERP_34[[#This Row],[2026 LE0]]</f>
        <v>17349.84</v>
      </c>
      <c r="AJ414" s="79"/>
      <c r="AK414" s="79"/>
      <c r="AL4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4" s="80"/>
      <c r="AN414" s="79">
        <f>ERP_34[[#This Row],[2026 Working Total to Budget/LE]]-ERP_34[[#This Row],[Giveback]]</f>
        <v>17349.84</v>
      </c>
      <c r="AO414" s="81"/>
      <c r="AP414" s="81"/>
      <c r="AQ414" s="81"/>
      <c r="AR414" s="81"/>
      <c r="AS414" s="81">
        <v>0</v>
      </c>
      <c r="AT414" s="81">
        <v>0</v>
      </c>
      <c r="AU414" s="81">
        <v>0</v>
      </c>
      <c r="AV414" s="81">
        <v>0</v>
      </c>
      <c r="AW414" s="81">
        <v>0</v>
      </c>
      <c r="AX414" s="81">
        <v>0</v>
      </c>
      <c r="AY414" s="81">
        <v>0</v>
      </c>
      <c r="AZ414" s="81">
        <v>0</v>
      </c>
      <c r="BA414" s="81">
        <v>0</v>
      </c>
      <c r="BB414" s="81">
        <v>0</v>
      </c>
      <c r="BC414" s="103">
        <v>-17349.84</v>
      </c>
      <c r="BD414" s="103">
        <v>0</v>
      </c>
      <c r="BE414" s="103">
        <v>0</v>
      </c>
      <c r="BF414" s="103">
        <v>0</v>
      </c>
      <c r="BG414" s="103">
        <v>0</v>
      </c>
      <c r="BH414" s="103">
        <v>0</v>
      </c>
      <c r="BI414" s="103">
        <v>0</v>
      </c>
      <c r="BJ414" s="103">
        <v>0</v>
      </c>
      <c r="BK414" s="103">
        <v>0</v>
      </c>
      <c r="BL414" s="103">
        <v>0</v>
      </c>
      <c r="BM414" s="103">
        <v>0</v>
      </c>
      <c r="BN414" s="103">
        <v>0</v>
      </c>
      <c r="BO414" s="82">
        <f>SUM(ERP_34[[#This Row],[2026 AP01]:[2026 AP12]])</f>
        <v>-17349.84</v>
      </c>
    </row>
    <row r="415" spans="1:67">
      <c r="A415" s="82" t="s">
        <v>2375</v>
      </c>
      <c r="B415" s="83" t="str">
        <f>_xlfn.TEXTJOIN("_",,ERP_34[[#This Row],[LT Member -1*]],ERP_34[[#This Row],[Expense Category]],ERP_34[[#This Row],[Project Code*]])</f>
        <v>Dougherty, Chris_SOFTWARE_IT-SFT1009-86-OG-US/23</v>
      </c>
      <c r="C415" s="67" t="s">
        <v>2959</v>
      </c>
      <c r="D415" s="84" t="s">
        <v>1135</v>
      </c>
      <c r="E415" s="85" t="s">
        <v>1135</v>
      </c>
      <c r="F415" s="68" t="s">
        <v>1137</v>
      </c>
      <c r="G415" s="85" t="s">
        <v>639</v>
      </c>
      <c r="H415" s="110" t="s">
        <v>2376</v>
      </c>
      <c r="I415" s="67"/>
      <c r="J415" s="67"/>
      <c r="K415" s="88" t="s">
        <v>739</v>
      </c>
      <c r="L415" s="111"/>
      <c r="M415" s="1" t="s">
        <v>2339</v>
      </c>
      <c r="N415" s="70" t="s">
        <v>1710</v>
      </c>
      <c r="O415" s="91" t="s">
        <v>707</v>
      </c>
      <c r="P415" s="70" t="s">
        <v>1348</v>
      </c>
      <c r="Q415" s="195"/>
      <c r="R415" s="208">
        <v>5357.52</v>
      </c>
      <c r="S415" s="95">
        <v>0</v>
      </c>
      <c r="T415" s="190">
        <v>5357.52</v>
      </c>
      <c r="U415" s="191">
        <f>ERP_34[[#This Row],[LE2 Final Submission]]-ERP_34[[#This Row],[LE3 Final Submission]]</f>
        <v>-5357.52</v>
      </c>
      <c r="V415" s="98"/>
      <c r="W415" s="99"/>
      <c r="X415" s="99"/>
      <c r="Y415" s="100">
        <v>0</v>
      </c>
      <c r="Z415" s="100">
        <v>0</v>
      </c>
      <c r="AA415" s="100">
        <v>0</v>
      </c>
      <c r="AB415" s="100">
        <v>0</v>
      </c>
      <c r="AC415" s="100">
        <v>0</v>
      </c>
      <c r="AD415" s="100">
        <v>0</v>
      </c>
      <c r="AE415" s="100">
        <v>0</v>
      </c>
      <c r="AF415" s="100">
        <v>0</v>
      </c>
      <c r="AG415" s="100">
        <v>0</v>
      </c>
      <c r="AH415" s="101">
        <f t="shared" si="18"/>
        <v>0</v>
      </c>
      <c r="AI415" s="108">
        <f>ERP_34[[#This Row],[2026 Working Total]]-ERP_34[[#This Row],[2026 LE0]]</f>
        <v>-5357.52</v>
      </c>
      <c r="AJ415" s="79"/>
      <c r="AK415" s="79"/>
      <c r="AL4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5" s="80"/>
      <c r="AN415" s="79">
        <f>ERP_34[[#This Row],[2026 Working Total to Budget/LE]]-ERP_34[[#This Row],[Giveback]]</f>
        <v>-5357.52</v>
      </c>
      <c r="AO415" s="81"/>
      <c r="AP415" s="81"/>
      <c r="AQ415" s="81"/>
      <c r="AR415" s="81"/>
      <c r="AS415" s="81">
        <v>0</v>
      </c>
      <c r="AT415" s="81">
        <v>0</v>
      </c>
      <c r="AU415" s="81">
        <v>0</v>
      </c>
      <c r="AV415" s="81">
        <v>0</v>
      </c>
      <c r="AW415" s="81">
        <v>0</v>
      </c>
      <c r="AX415" s="81">
        <v>0</v>
      </c>
      <c r="AY415" s="81">
        <v>0</v>
      </c>
      <c r="AZ415" s="81">
        <v>0</v>
      </c>
      <c r="BA415" s="81">
        <v>0</v>
      </c>
      <c r="BB415" s="81">
        <v>0</v>
      </c>
      <c r="BC415" s="103">
        <v>5357.52</v>
      </c>
      <c r="BD415" s="103">
        <v>0</v>
      </c>
      <c r="BE415" s="103">
        <v>0</v>
      </c>
      <c r="BF415" s="103">
        <v>0</v>
      </c>
      <c r="BG415" s="103">
        <v>0</v>
      </c>
      <c r="BH415" s="103">
        <v>0</v>
      </c>
      <c r="BI415" s="103">
        <v>0</v>
      </c>
      <c r="BJ415" s="103">
        <v>0</v>
      </c>
      <c r="BK415" s="103">
        <v>0</v>
      </c>
      <c r="BL415" s="103">
        <v>0</v>
      </c>
      <c r="BM415" s="103">
        <v>0</v>
      </c>
      <c r="BN415" s="103">
        <v>0</v>
      </c>
      <c r="BO415" s="82">
        <f>SUM(ERP_34[[#This Row],[2026 AP01]:[2026 AP12]])</f>
        <v>5357.52</v>
      </c>
    </row>
    <row r="416" spans="1:67">
      <c r="A416" s="82" t="s">
        <v>2377</v>
      </c>
      <c r="B416" s="83" t="str">
        <f>_xlfn.TEXTJOIN("_",,ERP_34[[#This Row],[LT Member -1*]],ERP_34[[#This Row],[Expense Category]],ERP_34[[#This Row],[Project Code*]])</f>
        <v>Dougherty, Chris_SOFTWARE_IT-SFT1009-86-OG-US/23/PF</v>
      </c>
      <c r="C416" s="67" t="s">
        <v>2959</v>
      </c>
      <c r="D416" s="84" t="s">
        <v>1135</v>
      </c>
      <c r="E416" s="85" t="s">
        <v>1135</v>
      </c>
      <c r="F416" s="68" t="s">
        <v>1137</v>
      </c>
      <c r="G416" s="85" t="s">
        <v>639</v>
      </c>
      <c r="H416" s="110" t="s">
        <v>2378</v>
      </c>
      <c r="I416" s="67"/>
      <c r="J416" s="67"/>
      <c r="K416" s="88" t="s">
        <v>741</v>
      </c>
      <c r="L416" s="111"/>
      <c r="M416" s="1" t="s">
        <v>2969</v>
      </c>
      <c r="N416" s="70" t="s">
        <v>1710</v>
      </c>
      <c r="O416" s="91" t="s">
        <v>707</v>
      </c>
      <c r="P416" s="70" t="s">
        <v>1348</v>
      </c>
      <c r="Q416" s="195"/>
      <c r="R416" s="94">
        <v>-5357.52</v>
      </c>
      <c r="S416" s="95">
        <v>0</v>
      </c>
      <c r="T416" s="190">
        <v>-5357.52</v>
      </c>
      <c r="U416" s="191">
        <f>ERP_34[[#This Row],[LE2 Final Submission]]-ERP_34[[#This Row],[LE3 Final Submission]]</f>
        <v>5357.52</v>
      </c>
      <c r="V416" s="98"/>
      <c r="W416" s="99"/>
      <c r="X416" s="99"/>
      <c r="Y416" s="100">
        <v>0</v>
      </c>
      <c r="Z416" s="100">
        <v>0</v>
      </c>
      <c r="AA416" s="100">
        <v>0</v>
      </c>
      <c r="AB416" s="100">
        <v>0</v>
      </c>
      <c r="AC416" s="100">
        <v>0</v>
      </c>
      <c r="AD416" s="100">
        <v>0</v>
      </c>
      <c r="AE416" s="100">
        <v>0</v>
      </c>
      <c r="AF416" s="100">
        <v>0</v>
      </c>
      <c r="AG416" s="100">
        <v>0</v>
      </c>
      <c r="AH416" s="101">
        <f t="shared" si="18"/>
        <v>0</v>
      </c>
      <c r="AI416" s="108">
        <f>ERP_34[[#This Row],[2026 Working Total]]-ERP_34[[#This Row],[2026 LE0]]</f>
        <v>5357.52</v>
      </c>
      <c r="AJ416" s="79"/>
      <c r="AK416" s="79"/>
      <c r="AL4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6" s="80"/>
      <c r="AN416" s="79">
        <f>ERP_34[[#This Row],[2026 Working Total to Budget/LE]]-ERP_34[[#This Row],[Giveback]]</f>
        <v>5357.52</v>
      </c>
      <c r="AO416" s="81"/>
      <c r="AP416" s="81"/>
      <c r="AQ416" s="81"/>
      <c r="AR416" s="81"/>
      <c r="AS416" s="81">
        <v>0</v>
      </c>
      <c r="AT416" s="81">
        <v>0</v>
      </c>
      <c r="AU416" s="81">
        <v>0</v>
      </c>
      <c r="AV416" s="81">
        <v>0</v>
      </c>
      <c r="AW416" s="81">
        <v>0</v>
      </c>
      <c r="AX416" s="81">
        <v>0</v>
      </c>
      <c r="AY416" s="81">
        <v>0</v>
      </c>
      <c r="AZ416" s="81">
        <v>0</v>
      </c>
      <c r="BA416" s="81">
        <v>0</v>
      </c>
      <c r="BB416" s="81">
        <v>0</v>
      </c>
      <c r="BC416" s="103">
        <v>-5357.52</v>
      </c>
      <c r="BD416" s="103">
        <v>0</v>
      </c>
      <c r="BE416" s="103">
        <v>0</v>
      </c>
      <c r="BF416" s="103">
        <v>0</v>
      </c>
      <c r="BG416" s="103">
        <v>0</v>
      </c>
      <c r="BH416" s="103">
        <v>0</v>
      </c>
      <c r="BI416" s="103">
        <v>0</v>
      </c>
      <c r="BJ416" s="103">
        <v>0</v>
      </c>
      <c r="BK416" s="103">
        <v>0</v>
      </c>
      <c r="BL416" s="103">
        <v>0</v>
      </c>
      <c r="BM416" s="103">
        <v>0</v>
      </c>
      <c r="BN416" s="103">
        <v>0</v>
      </c>
      <c r="BO416" s="82">
        <f>SUM(ERP_34[[#This Row],[2026 AP01]:[2026 AP12]])</f>
        <v>-5357.52</v>
      </c>
    </row>
    <row r="417" spans="1:67">
      <c r="A417" s="82" t="s">
        <v>2379</v>
      </c>
      <c r="B417" s="83" t="str">
        <f>_xlfn.TEXTJOIN("_",,ERP_34[[#This Row],[LT Member -1*]],ERP_34[[#This Row],[Expense Category]],ERP_34[[#This Row],[Project Code*]])</f>
        <v>Dougherty, Chris_SOFTWARE_IT-SFT1009-86-OG-US/25</v>
      </c>
      <c r="C417" s="67" t="s">
        <v>2959</v>
      </c>
      <c r="D417" s="84" t="s">
        <v>1135</v>
      </c>
      <c r="E417" s="85" t="s">
        <v>1135</v>
      </c>
      <c r="F417" s="68" t="s">
        <v>1137</v>
      </c>
      <c r="G417" s="85" t="s">
        <v>639</v>
      </c>
      <c r="H417" s="110" t="s">
        <v>2380</v>
      </c>
      <c r="I417" s="67"/>
      <c r="J417" s="67"/>
      <c r="K417" s="88" t="s">
        <v>743</v>
      </c>
      <c r="L417" s="111"/>
      <c r="M417" s="1" t="s">
        <v>2339</v>
      </c>
      <c r="N417" s="70" t="s">
        <v>1710</v>
      </c>
      <c r="O417" s="91" t="s">
        <v>707</v>
      </c>
      <c r="P417" s="70" t="s">
        <v>1348</v>
      </c>
      <c r="Q417" s="195"/>
      <c r="R417" s="208">
        <v>101279.37</v>
      </c>
      <c r="S417" s="95">
        <v>0</v>
      </c>
      <c r="T417" s="190">
        <v>101279.37</v>
      </c>
      <c r="U417" s="191">
        <f>ERP_34[[#This Row],[LE2 Final Submission]]-ERP_34[[#This Row],[LE3 Final Submission]]</f>
        <v>-101279.37</v>
      </c>
      <c r="V417" s="98"/>
      <c r="W417" s="99"/>
      <c r="X417" s="99"/>
      <c r="Y417" s="100">
        <v>0</v>
      </c>
      <c r="Z417" s="100">
        <v>0</v>
      </c>
      <c r="AA417" s="100">
        <v>0</v>
      </c>
      <c r="AB417" s="100">
        <v>0</v>
      </c>
      <c r="AC417" s="100">
        <v>0</v>
      </c>
      <c r="AD417" s="100">
        <v>0</v>
      </c>
      <c r="AE417" s="100">
        <v>0</v>
      </c>
      <c r="AF417" s="100">
        <v>0</v>
      </c>
      <c r="AG417" s="100">
        <v>0</v>
      </c>
      <c r="AH417" s="101">
        <f t="shared" si="18"/>
        <v>0</v>
      </c>
      <c r="AI417" s="108">
        <f>ERP_34[[#This Row],[2026 Working Total]]-ERP_34[[#This Row],[2026 LE0]]</f>
        <v>-101279.37</v>
      </c>
      <c r="AJ417" s="79"/>
      <c r="AK417" s="79"/>
      <c r="AL4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7" s="80"/>
      <c r="AN417" s="79">
        <f>ERP_34[[#This Row],[2026 Working Total to Budget/LE]]-ERP_34[[#This Row],[Giveback]]</f>
        <v>-101279.37</v>
      </c>
      <c r="AO417" s="81"/>
      <c r="AP417" s="81"/>
      <c r="AQ417" s="81"/>
      <c r="AR417" s="81"/>
      <c r="AS417" s="81">
        <v>0</v>
      </c>
      <c r="AT417" s="81">
        <v>0</v>
      </c>
      <c r="AU417" s="81">
        <v>0</v>
      </c>
      <c r="AV417" s="81">
        <v>0</v>
      </c>
      <c r="AW417" s="81">
        <v>0</v>
      </c>
      <c r="AX417" s="81">
        <v>0</v>
      </c>
      <c r="AY417" s="81">
        <v>0</v>
      </c>
      <c r="AZ417" s="81">
        <v>0</v>
      </c>
      <c r="BA417" s="81">
        <v>0</v>
      </c>
      <c r="BB417" s="81">
        <v>0</v>
      </c>
      <c r="BC417" s="103">
        <v>101279.37</v>
      </c>
      <c r="BD417" s="103">
        <v>0</v>
      </c>
      <c r="BE417" s="103">
        <v>0</v>
      </c>
      <c r="BF417" s="103">
        <v>0</v>
      </c>
      <c r="BG417" s="103">
        <v>0</v>
      </c>
      <c r="BH417" s="103">
        <v>0</v>
      </c>
      <c r="BI417" s="103">
        <v>0</v>
      </c>
      <c r="BJ417" s="103">
        <v>0</v>
      </c>
      <c r="BK417" s="103">
        <v>0</v>
      </c>
      <c r="BL417" s="103">
        <v>0</v>
      </c>
      <c r="BM417" s="103">
        <v>0</v>
      </c>
      <c r="BN417" s="103">
        <v>0</v>
      </c>
      <c r="BO417" s="82">
        <f>SUM(ERP_34[[#This Row],[2026 AP01]:[2026 AP12]])</f>
        <v>101279.37</v>
      </c>
    </row>
    <row r="418" spans="1:67">
      <c r="A418" s="82" t="s">
        <v>2381</v>
      </c>
      <c r="B418" s="83" t="str">
        <f>_xlfn.TEXTJOIN("_",,ERP_34[[#This Row],[LT Member -1*]],ERP_34[[#This Row],[Expense Category]],ERP_34[[#This Row],[Project Code*]])</f>
        <v>Dougherty, Chris_SOFTWARE_IT-SFT1009-86-OG-US/25/PF</v>
      </c>
      <c r="C418" s="67" t="s">
        <v>2959</v>
      </c>
      <c r="D418" s="84" t="s">
        <v>1135</v>
      </c>
      <c r="E418" s="85" t="s">
        <v>1135</v>
      </c>
      <c r="F418" s="68" t="s">
        <v>1137</v>
      </c>
      <c r="G418" s="85" t="s">
        <v>639</v>
      </c>
      <c r="H418" s="110" t="s">
        <v>2382</v>
      </c>
      <c r="I418" s="67"/>
      <c r="J418" s="67"/>
      <c r="K418" s="88" t="s">
        <v>745</v>
      </c>
      <c r="L418" s="111"/>
      <c r="M418" s="1" t="s">
        <v>2969</v>
      </c>
      <c r="N418" s="70" t="s">
        <v>1710</v>
      </c>
      <c r="O418" s="91" t="s">
        <v>707</v>
      </c>
      <c r="P418" s="70" t="s">
        <v>1348</v>
      </c>
      <c r="Q418" s="195"/>
      <c r="R418" s="94">
        <v>-101279.37</v>
      </c>
      <c r="S418" s="95">
        <v>0</v>
      </c>
      <c r="T418" s="190">
        <v>-101279.37</v>
      </c>
      <c r="U418" s="191">
        <f>ERP_34[[#This Row],[LE2 Final Submission]]-ERP_34[[#This Row],[LE3 Final Submission]]</f>
        <v>101279.37</v>
      </c>
      <c r="V418" s="98"/>
      <c r="W418" s="99"/>
      <c r="X418" s="99"/>
      <c r="Y418" s="100">
        <v>0</v>
      </c>
      <c r="Z418" s="100">
        <v>0</v>
      </c>
      <c r="AA418" s="100">
        <v>0</v>
      </c>
      <c r="AB418" s="100">
        <v>0</v>
      </c>
      <c r="AC418" s="100">
        <v>0</v>
      </c>
      <c r="AD418" s="100">
        <v>0</v>
      </c>
      <c r="AE418" s="100">
        <v>0</v>
      </c>
      <c r="AF418" s="100">
        <v>0</v>
      </c>
      <c r="AG418" s="100">
        <v>0</v>
      </c>
      <c r="AH418" s="101">
        <f t="shared" si="18"/>
        <v>0</v>
      </c>
      <c r="AI418" s="108">
        <f>ERP_34[[#This Row],[2026 Working Total]]-ERP_34[[#This Row],[2026 LE0]]</f>
        <v>101279.37</v>
      </c>
      <c r="AJ418" s="79"/>
      <c r="AK418" s="79"/>
      <c r="AL4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8" s="80"/>
      <c r="AN418" s="79">
        <f>ERP_34[[#This Row],[2026 Working Total to Budget/LE]]-ERP_34[[#This Row],[Giveback]]</f>
        <v>101279.37</v>
      </c>
      <c r="AO418" s="81"/>
      <c r="AP418" s="81"/>
      <c r="AQ418" s="81"/>
      <c r="AR418" s="81"/>
      <c r="AS418" s="81">
        <v>0</v>
      </c>
      <c r="AT418" s="81">
        <v>0</v>
      </c>
      <c r="AU418" s="81">
        <v>0</v>
      </c>
      <c r="AV418" s="81">
        <v>0</v>
      </c>
      <c r="AW418" s="81">
        <v>0</v>
      </c>
      <c r="AX418" s="81">
        <v>0</v>
      </c>
      <c r="AY418" s="81">
        <v>0</v>
      </c>
      <c r="AZ418" s="81">
        <v>0</v>
      </c>
      <c r="BA418" s="81">
        <v>0</v>
      </c>
      <c r="BB418" s="81">
        <v>0</v>
      </c>
      <c r="BC418" s="103">
        <v>-101279.37</v>
      </c>
      <c r="BD418" s="103">
        <v>0</v>
      </c>
      <c r="BE418" s="103">
        <v>0</v>
      </c>
      <c r="BF418" s="103">
        <v>0</v>
      </c>
      <c r="BG418" s="103">
        <v>0</v>
      </c>
      <c r="BH418" s="103">
        <v>0</v>
      </c>
      <c r="BI418" s="103">
        <v>0</v>
      </c>
      <c r="BJ418" s="103">
        <v>0</v>
      </c>
      <c r="BK418" s="103">
        <v>0</v>
      </c>
      <c r="BL418" s="103">
        <v>0</v>
      </c>
      <c r="BM418" s="103">
        <v>0</v>
      </c>
      <c r="BN418" s="103">
        <v>0</v>
      </c>
      <c r="BO418" s="82">
        <f>SUM(ERP_34[[#This Row],[2026 AP01]:[2026 AP12]])</f>
        <v>-101279.37</v>
      </c>
    </row>
    <row r="419" spans="1:67">
      <c r="A419" s="82" t="s">
        <v>2383</v>
      </c>
      <c r="B419" s="83" t="str">
        <f>_xlfn.TEXTJOIN("_",,ERP_34[[#This Row],[LT Member -1*]],ERP_34[[#This Row],[Expense Category]],ERP_34[[#This Row],[Project Code*]])</f>
        <v>Dougherty, Chris_SOFTWARE_IT-SFT1009-86-OG-US/29</v>
      </c>
      <c r="C419" s="67" t="s">
        <v>2959</v>
      </c>
      <c r="D419" s="84" t="s">
        <v>1135</v>
      </c>
      <c r="E419" s="85" t="s">
        <v>1135</v>
      </c>
      <c r="F419" s="68" t="s">
        <v>1137</v>
      </c>
      <c r="G419" s="85" t="s">
        <v>639</v>
      </c>
      <c r="H419" s="110" t="s">
        <v>2384</v>
      </c>
      <c r="I419" s="67"/>
      <c r="J419" s="67"/>
      <c r="K419" s="88" t="s">
        <v>747</v>
      </c>
      <c r="L419" s="111"/>
      <c r="M419" s="1" t="s">
        <v>2339</v>
      </c>
      <c r="N419" s="70" t="s">
        <v>1710</v>
      </c>
      <c r="O419" s="91" t="s">
        <v>707</v>
      </c>
      <c r="P419" s="70" t="s">
        <v>1348</v>
      </c>
      <c r="Q419" s="195"/>
      <c r="R419" s="208">
        <v>169017.36</v>
      </c>
      <c r="S419" s="95">
        <v>0</v>
      </c>
      <c r="T419" s="190">
        <v>169017.36</v>
      </c>
      <c r="U419" s="191">
        <f>ERP_34[[#This Row],[LE2 Final Submission]]-ERP_34[[#This Row],[LE3 Final Submission]]</f>
        <v>-169017.36</v>
      </c>
      <c r="V419" s="98"/>
      <c r="W419" s="99"/>
      <c r="X419" s="99"/>
      <c r="Y419" s="100">
        <v>0</v>
      </c>
      <c r="Z419" s="100">
        <v>0</v>
      </c>
      <c r="AA419" s="100">
        <v>0</v>
      </c>
      <c r="AB419" s="100">
        <v>0</v>
      </c>
      <c r="AC419" s="100">
        <v>0</v>
      </c>
      <c r="AD419" s="100">
        <v>0</v>
      </c>
      <c r="AE419" s="100">
        <v>0</v>
      </c>
      <c r="AF419" s="100">
        <v>0</v>
      </c>
      <c r="AG419" s="100">
        <v>0</v>
      </c>
      <c r="AH419" s="101">
        <f t="shared" si="18"/>
        <v>0</v>
      </c>
      <c r="AI419" s="108">
        <f>ERP_34[[#This Row],[2026 Working Total]]-ERP_34[[#This Row],[2026 LE0]]</f>
        <v>-169017.36</v>
      </c>
      <c r="AJ419" s="79"/>
      <c r="AK419" s="79"/>
      <c r="AL4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19" s="80"/>
      <c r="AN419" s="79">
        <f>ERP_34[[#This Row],[2026 Working Total to Budget/LE]]-ERP_34[[#This Row],[Giveback]]</f>
        <v>-169017.36</v>
      </c>
      <c r="AO419" s="81"/>
      <c r="AP419" s="81"/>
      <c r="AQ419" s="81"/>
      <c r="AR419" s="81"/>
      <c r="AS419" s="81">
        <v>0</v>
      </c>
      <c r="AT419" s="81">
        <v>0</v>
      </c>
      <c r="AU419" s="81">
        <v>0</v>
      </c>
      <c r="AV419" s="81">
        <v>0</v>
      </c>
      <c r="AW419" s="81">
        <v>0</v>
      </c>
      <c r="AX419" s="81">
        <v>0</v>
      </c>
      <c r="AY419" s="81">
        <v>0</v>
      </c>
      <c r="AZ419" s="81">
        <v>0</v>
      </c>
      <c r="BA419" s="81">
        <v>0</v>
      </c>
      <c r="BB419" s="81">
        <v>0</v>
      </c>
      <c r="BC419" s="103">
        <v>169017.36</v>
      </c>
      <c r="BD419" s="103">
        <v>0</v>
      </c>
      <c r="BE419" s="103">
        <v>0</v>
      </c>
      <c r="BF419" s="103">
        <v>0</v>
      </c>
      <c r="BG419" s="103">
        <v>0</v>
      </c>
      <c r="BH419" s="103">
        <v>0</v>
      </c>
      <c r="BI419" s="103">
        <v>0</v>
      </c>
      <c r="BJ419" s="103">
        <v>0</v>
      </c>
      <c r="BK419" s="103">
        <v>0</v>
      </c>
      <c r="BL419" s="103">
        <v>0</v>
      </c>
      <c r="BM419" s="103">
        <v>0</v>
      </c>
      <c r="BN419" s="103">
        <v>0</v>
      </c>
      <c r="BO419" s="82">
        <f>SUM(ERP_34[[#This Row],[2026 AP01]:[2026 AP12]])</f>
        <v>169017.36</v>
      </c>
    </row>
    <row r="420" spans="1:67">
      <c r="A420" s="82" t="s">
        <v>2385</v>
      </c>
      <c r="B420" s="83" t="str">
        <f>_xlfn.TEXTJOIN("_",,ERP_34[[#This Row],[LT Member -1*]],ERP_34[[#This Row],[Expense Category]],ERP_34[[#This Row],[Project Code*]])</f>
        <v>Dougherty, Chris_SOFTWARE_IT-SFT1009-86-OG-US/29/PF</v>
      </c>
      <c r="C420" s="67" t="s">
        <v>2959</v>
      </c>
      <c r="D420" s="84" t="s">
        <v>1135</v>
      </c>
      <c r="E420" s="85" t="s">
        <v>1135</v>
      </c>
      <c r="F420" s="68" t="s">
        <v>1137</v>
      </c>
      <c r="G420" s="85" t="s">
        <v>639</v>
      </c>
      <c r="H420" s="110" t="s">
        <v>2386</v>
      </c>
      <c r="I420" s="67"/>
      <c r="J420" s="67"/>
      <c r="K420" s="88" t="s">
        <v>749</v>
      </c>
      <c r="L420" s="111"/>
      <c r="M420" s="1" t="s">
        <v>2969</v>
      </c>
      <c r="N420" s="70" t="s">
        <v>1710</v>
      </c>
      <c r="O420" s="91" t="s">
        <v>707</v>
      </c>
      <c r="P420" s="70" t="s">
        <v>1348</v>
      </c>
      <c r="Q420" s="195"/>
      <c r="R420" s="94">
        <v>-169017.36</v>
      </c>
      <c r="S420" s="95">
        <v>0</v>
      </c>
      <c r="T420" s="190">
        <v>-169017.36</v>
      </c>
      <c r="U420" s="191">
        <f>ERP_34[[#This Row],[LE2 Final Submission]]-ERP_34[[#This Row],[LE3 Final Submission]]</f>
        <v>169017.36</v>
      </c>
      <c r="V420" s="98"/>
      <c r="W420" s="99"/>
      <c r="X420" s="99"/>
      <c r="Y420" s="100">
        <v>0</v>
      </c>
      <c r="Z420" s="100">
        <v>0</v>
      </c>
      <c r="AA420" s="100">
        <v>0</v>
      </c>
      <c r="AB420" s="100">
        <v>0</v>
      </c>
      <c r="AC420" s="100">
        <v>0</v>
      </c>
      <c r="AD420" s="100">
        <v>0</v>
      </c>
      <c r="AE420" s="100">
        <v>0</v>
      </c>
      <c r="AF420" s="100">
        <v>0</v>
      </c>
      <c r="AG420" s="100">
        <v>0</v>
      </c>
      <c r="AH420" s="101">
        <f t="shared" si="18"/>
        <v>0</v>
      </c>
      <c r="AI420" s="108">
        <f>ERP_34[[#This Row],[2026 Working Total]]-ERP_34[[#This Row],[2026 LE0]]</f>
        <v>169017.36</v>
      </c>
      <c r="AJ420" s="79"/>
      <c r="AK420" s="79"/>
      <c r="AL4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0" s="80"/>
      <c r="AN420" s="79">
        <f>ERP_34[[#This Row],[2026 Working Total to Budget/LE]]-ERP_34[[#This Row],[Giveback]]</f>
        <v>169017.36</v>
      </c>
      <c r="AO420" s="81"/>
      <c r="AP420" s="81"/>
      <c r="AQ420" s="81"/>
      <c r="AR420" s="81"/>
      <c r="AS420" s="81">
        <v>0</v>
      </c>
      <c r="AT420" s="81">
        <v>0</v>
      </c>
      <c r="AU420" s="81">
        <v>0</v>
      </c>
      <c r="AV420" s="81">
        <v>0</v>
      </c>
      <c r="AW420" s="81">
        <v>0</v>
      </c>
      <c r="AX420" s="81">
        <v>0</v>
      </c>
      <c r="AY420" s="81">
        <v>0</v>
      </c>
      <c r="AZ420" s="81">
        <v>0</v>
      </c>
      <c r="BA420" s="81">
        <v>0</v>
      </c>
      <c r="BB420" s="81">
        <v>0</v>
      </c>
      <c r="BC420" s="103">
        <v>-169017.36</v>
      </c>
      <c r="BD420" s="103">
        <v>0</v>
      </c>
      <c r="BE420" s="103">
        <v>0</v>
      </c>
      <c r="BF420" s="103">
        <v>0</v>
      </c>
      <c r="BG420" s="103">
        <v>0</v>
      </c>
      <c r="BH420" s="103">
        <v>0</v>
      </c>
      <c r="BI420" s="103">
        <v>0</v>
      </c>
      <c r="BJ420" s="103">
        <v>0</v>
      </c>
      <c r="BK420" s="103">
        <v>0</v>
      </c>
      <c r="BL420" s="103">
        <v>0</v>
      </c>
      <c r="BM420" s="103">
        <v>0</v>
      </c>
      <c r="BN420" s="103">
        <v>0</v>
      </c>
      <c r="BO420" s="82">
        <f>SUM(ERP_34[[#This Row],[2026 AP01]:[2026 AP12]])</f>
        <v>-169017.36</v>
      </c>
    </row>
    <row r="421" spans="1:67">
      <c r="A421" s="82" t="s">
        <v>2387</v>
      </c>
      <c r="B421" s="83" t="str">
        <f>_xlfn.TEXTJOIN("_",,ERP_34[[#This Row],[LT Member -1*]],ERP_34[[#This Row],[Expense Category]],ERP_34[[#This Row],[Project Code*]])</f>
        <v>Dougherty, Chris_SOFTWARE_IT-SFT1009-86-OG-US/30</v>
      </c>
      <c r="C421" s="67" t="s">
        <v>2959</v>
      </c>
      <c r="D421" s="84" t="s">
        <v>1135</v>
      </c>
      <c r="E421" s="85" t="s">
        <v>1135</v>
      </c>
      <c r="F421" s="68" t="s">
        <v>1137</v>
      </c>
      <c r="G421" s="85" t="s">
        <v>639</v>
      </c>
      <c r="H421" s="110" t="s">
        <v>2388</v>
      </c>
      <c r="I421" s="67"/>
      <c r="J421" s="67"/>
      <c r="K421" s="88" t="s">
        <v>751</v>
      </c>
      <c r="L421" s="111"/>
      <c r="M421" s="1" t="s">
        <v>2339</v>
      </c>
      <c r="N421" s="70" t="s">
        <v>1710</v>
      </c>
      <c r="O421" s="91" t="s">
        <v>707</v>
      </c>
      <c r="P421" s="70" t="s">
        <v>1348</v>
      </c>
      <c r="Q421" s="195"/>
      <c r="R421" s="208">
        <v>872512.08</v>
      </c>
      <c r="S421" s="95">
        <v>0</v>
      </c>
      <c r="T421" s="190">
        <v>872512.08</v>
      </c>
      <c r="U421" s="191">
        <f>ERP_34[[#This Row],[LE2 Final Submission]]-ERP_34[[#This Row],[LE3 Final Submission]]</f>
        <v>-872512.08</v>
      </c>
      <c r="V421" s="98"/>
      <c r="W421" s="99"/>
      <c r="X421" s="99"/>
      <c r="Y421" s="100">
        <v>0</v>
      </c>
      <c r="Z421" s="100">
        <v>0</v>
      </c>
      <c r="AA421" s="100">
        <v>0</v>
      </c>
      <c r="AB421" s="100">
        <v>0</v>
      </c>
      <c r="AC421" s="100">
        <v>0</v>
      </c>
      <c r="AD421" s="100">
        <v>0</v>
      </c>
      <c r="AE421" s="100">
        <v>0</v>
      </c>
      <c r="AF421" s="100">
        <v>0</v>
      </c>
      <c r="AG421" s="100">
        <v>0</v>
      </c>
      <c r="AH421" s="101">
        <f t="shared" si="18"/>
        <v>0</v>
      </c>
      <c r="AI421" s="108">
        <f>ERP_34[[#This Row],[2026 Working Total]]-ERP_34[[#This Row],[2026 LE0]]</f>
        <v>-872512.08</v>
      </c>
      <c r="AJ421" s="79"/>
      <c r="AK421" s="79"/>
      <c r="AL4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1" s="80"/>
      <c r="AN421" s="79">
        <f>ERP_34[[#This Row],[2026 Working Total to Budget/LE]]-ERP_34[[#This Row],[Giveback]]</f>
        <v>-872512.08</v>
      </c>
      <c r="AO421" s="81"/>
      <c r="AP421" s="81"/>
      <c r="AQ421" s="81"/>
      <c r="AR421" s="81"/>
      <c r="AS421" s="81">
        <v>0</v>
      </c>
      <c r="AT421" s="81">
        <v>0</v>
      </c>
      <c r="AU421" s="81">
        <v>0</v>
      </c>
      <c r="AV421" s="81">
        <v>0</v>
      </c>
      <c r="AW421" s="81">
        <v>0</v>
      </c>
      <c r="AX421" s="81">
        <v>0</v>
      </c>
      <c r="AY421" s="81">
        <v>0</v>
      </c>
      <c r="AZ421" s="81">
        <v>0</v>
      </c>
      <c r="BA421" s="81">
        <v>0</v>
      </c>
      <c r="BB421" s="81">
        <v>0</v>
      </c>
      <c r="BC421" s="103">
        <v>872512.08</v>
      </c>
      <c r="BD421" s="103">
        <v>0</v>
      </c>
      <c r="BE421" s="103">
        <v>0</v>
      </c>
      <c r="BF421" s="103">
        <v>0</v>
      </c>
      <c r="BG421" s="103">
        <v>0</v>
      </c>
      <c r="BH421" s="103">
        <v>0</v>
      </c>
      <c r="BI421" s="103">
        <v>0</v>
      </c>
      <c r="BJ421" s="103">
        <v>0</v>
      </c>
      <c r="BK421" s="103">
        <v>0</v>
      </c>
      <c r="BL421" s="103">
        <v>0</v>
      </c>
      <c r="BM421" s="103">
        <v>0</v>
      </c>
      <c r="BN421" s="103">
        <v>0</v>
      </c>
      <c r="BO421" s="82">
        <f>SUM(ERP_34[[#This Row],[2026 AP01]:[2026 AP12]])</f>
        <v>872512.08</v>
      </c>
    </row>
    <row r="422" spans="1:67">
      <c r="A422" s="82" t="s">
        <v>2389</v>
      </c>
      <c r="B422" s="83" t="str">
        <f>_xlfn.TEXTJOIN("_",,ERP_34[[#This Row],[LT Member -1*]],ERP_34[[#This Row],[Expense Category]],ERP_34[[#This Row],[Project Code*]])</f>
        <v>Dougherty, Chris_SOFTWARE_IT-SFT1009-86-OG-US/30/PF</v>
      </c>
      <c r="C422" s="67" t="s">
        <v>2959</v>
      </c>
      <c r="D422" s="84" t="s">
        <v>1135</v>
      </c>
      <c r="E422" s="85" t="s">
        <v>1135</v>
      </c>
      <c r="F422" s="68" t="s">
        <v>1137</v>
      </c>
      <c r="G422" s="85" t="s">
        <v>639</v>
      </c>
      <c r="H422" s="110" t="s">
        <v>2390</v>
      </c>
      <c r="I422" s="67"/>
      <c r="J422" s="67"/>
      <c r="K422" s="88" t="s">
        <v>753</v>
      </c>
      <c r="L422" s="111"/>
      <c r="M422" s="1" t="s">
        <v>2969</v>
      </c>
      <c r="N422" s="70" t="s">
        <v>1710</v>
      </c>
      <c r="O422" s="91" t="s">
        <v>707</v>
      </c>
      <c r="P422" s="70" t="s">
        <v>1348</v>
      </c>
      <c r="Q422" s="195"/>
      <c r="R422" s="94">
        <v>-872512.08</v>
      </c>
      <c r="S422" s="95">
        <v>0</v>
      </c>
      <c r="T422" s="190">
        <v>-872512.08</v>
      </c>
      <c r="U422" s="191">
        <f>ERP_34[[#This Row],[LE2 Final Submission]]-ERP_34[[#This Row],[LE3 Final Submission]]</f>
        <v>872512.08</v>
      </c>
      <c r="V422" s="98"/>
      <c r="W422" s="99"/>
      <c r="X422" s="99"/>
      <c r="Y422" s="100">
        <v>0</v>
      </c>
      <c r="Z422" s="100">
        <v>0</v>
      </c>
      <c r="AA422" s="100">
        <v>0</v>
      </c>
      <c r="AB422" s="100">
        <v>0</v>
      </c>
      <c r="AC422" s="100">
        <v>0</v>
      </c>
      <c r="AD422" s="100">
        <v>0</v>
      </c>
      <c r="AE422" s="100">
        <v>0</v>
      </c>
      <c r="AF422" s="100">
        <v>0</v>
      </c>
      <c r="AG422" s="100">
        <v>0</v>
      </c>
      <c r="AH422" s="101">
        <f t="shared" si="18"/>
        <v>0</v>
      </c>
      <c r="AI422" s="108">
        <f>ERP_34[[#This Row],[2026 Working Total]]-ERP_34[[#This Row],[2026 LE0]]</f>
        <v>872512.08</v>
      </c>
      <c r="AJ422" s="79"/>
      <c r="AK422" s="79"/>
      <c r="AL4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2" s="80"/>
      <c r="AN422" s="79">
        <f>ERP_34[[#This Row],[2026 Working Total to Budget/LE]]-ERP_34[[#This Row],[Giveback]]</f>
        <v>872512.08</v>
      </c>
      <c r="AO422" s="81"/>
      <c r="AP422" s="81"/>
      <c r="AQ422" s="81"/>
      <c r="AR422" s="81"/>
      <c r="AS422" s="81">
        <v>0</v>
      </c>
      <c r="AT422" s="81">
        <v>0</v>
      </c>
      <c r="AU422" s="81">
        <v>0</v>
      </c>
      <c r="AV422" s="81">
        <v>0</v>
      </c>
      <c r="AW422" s="81">
        <v>0</v>
      </c>
      <c r="AX422" s="81">
        <v>0</v>
      </c>
      <c r="AY422" s="81">
        <v>0</v>
      </c>
      <c r="AZ422" s="81">
        <v>0</v>
      </c>
      <c r="BA422" s="81">
        <v>0</v>
      </c>
      <c r="BB422" s="81">
        <v>0</v>
      </c>
      <c r="BC422" s="103">
        <v>-872512.08</v>
      </c>
      <c r="BD422" s="103">
        <v>0</v>
      </c>
      <c r="BE422" s="103">
        <v>0</v>
      </c>
      <c r="BF422" s="103">
        <v>0</v>
      </c>
      <c r="BG422" s="103">
        <v>0</v>
      </c>
      <c r="BH422" s="103">
        <v>0</v>
      </c>
      <c r="BI422" s="103">
        <v>0</v>
      </c>
      <c r="BJ422" s="103">
        <v>0</v>
      </c>
      <c r="BK422" s="103">
        <v>0</v>
      </c>
      <c r="BL422" s="103">
        <v>0</v>
      </c>
      <c r="BM422" s="103">
        <v>0</v>
      </c>
      <c r="BN422" s="103">
        <v>0</v>
      </c>
      <c r="BO422" s="82">
        <f>SUM(ERP_34[[#This Row],[2026 AP01]:[2026 AP12]])</f>
        <v>-872512.08</v>
      </c>
    </row>
    <row r="423" spans="1:67">
      <c r="A423" s="82" t="s">
        <v>2391</v>
      </c>
      <c r="B423" s="83" t="str">
        <f>_xlfn.TEXTJOIN("_",,ERP_34[[#This Row],[LT Member -1*]],ERP_34[[#This Row],[Expense Category]],ERP_34[[#This Row],[Project Code*]])</f>
        <v>Dougherty, Chris_SOFTWARE_IT-SFT1009-86-OG-US/32</v>
      </c>
      <c r="C423" s="67" t="s">
        <v>2959</v>
      </c>
      <c r="D423" s="84" t="s">
        <v>1135</v>
      </c>
      <c r="E423" s="85" t="s">
        <v>1135</v>
      </c>
      <c r="F423" s="68" t="s">
        <v>1137</v>
      </c>
      <c r="G423" s="85" t="s">
        <v>639</v>
      </c>
      <c r="H423" s="110" t="s">
        <v>2392</v>
      </c>
      <c r="I423" s="67"/>
      <c r="J423" s="67"/>
      <c r="K423" s="88" t="s">
        <v>755</v>
      </c>
      <c r="L423" s="111"/>
      <c r="M423" s="1" t="s">
        <v>2339</v>
      </c>
      <c r="N423" s="70" t="s">
        <v>1710</v>
      </c>
      <c r="O423" s="91" t="s">
        <v>707</v>
      </c>
      <c r="P423" s="70" t="s">
        <v>1348</v>
      </c>
      <c r="Q423" s="195"/>
      <c r="R423" s="208">
        <v>267876.47999999998</v>
      </c>
      <c r="S423" s="95">
        <v>0</v>
      </c>
      <c r="T423" s="190">
        <v>267876.47999999998</v>
      </c>
      <c r="U423" s="191">
        <f>ERP_34[[#This Row],[LE2 Final Submission]]-ERP_34[[#This Row],[LE3 Final Submission]]</f>
        <v>-267876.47999999998</v>
      </c>
      <c r="V423" s="98"/>
      <c r="W423" s="99"/>
      <c r="X423" s="99"/>
      <c r="Y423" s="100">
        <v>0</v>
      </c>
      <c r="Z423" s="100">
        <v>0</v>
      </c>
      <c r="AA423" s="100">
        <v>0</v>
      </c>
      <c r="AB423" s="100">
        <v>0</v>
      </c>
      <c r="AC423" s="100">
        <v>0</v>
      </c>
      <c r="AD423" s="100">
        <v>0</v>
      </c>
      <c r="AE423" s="100">
        <v>0</v>
      </c>
      <c r="AF423" s="100">
        <v>0</v>
      </c>
      <c r="AG423" s="100">
        <v>0</v>
      </c>
      <c r="AH423" s="101">
        <f t="shared" si="18"/>
        <v>0</v>
      </c>
      <c r="AI423" s="108">
        <f>ERP_34[[#This Row],[2026 Working Total]]-ERP_34[[#This Row],[2026 LE0]]</f>
        <v>-267876.47999999998</v>
      </c>
      <c r="AJ423" s="79"/>
      <c r="AK423" s="79"/>
      <c r="AL4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3" s="80"/>
      <c r="AN423" s="79">
        <f>ERP_34[[#This Row],[2026 Working Total to Budget/LE]]-ERP_34[[#This Row],[Giveback]]</f>
        <v>-267876.47999999998</v>
      </c>
      <c r="AO423" s="81"/>
      <c r="AP423" s="81"/>
      <c r="AQ423" s="81"/>
      <c r="AR423" s="81"/>
      <c r="AS423" s="81">
        <v>0</v>
      </c>
      <c r="AT423" s="81">
        <v>0</v>
      </c>
      <c r="AU423" s="81">
        <v>0</v>
      </c>
      <c r="AV423" s="81">
        <v>0</v>
      </c>
      <c r="AW423" s="81">
        <v>0</v>
      </c>
      <c r="AX423" s="81">
        <v>0</v>
      </c>
      <c r="AY423" s="81">
        <v>0</v>
      </c>
      <c r="AZ423" s="81">
        <v>0</v>
      </c>
      <c r="BA423" s="81">
        <v>0</v>
      </c>
      <c r="BB423" s="81">
        <v>0</v>
      </c>
      <c r="BC423" s="103">
        <v>267876.47999999998</v>
      </c>
      <c r="BD423" s="103">
        <v>0</v>
      </c>
      <c r="BE423" s="103">
        <v>0</v>
      </c>
      <c r="BF423" s="103">
        <v>0</v>
      </c>
      <c r="BG423" s="103">
        <v>0</v>
      </c>
      <c r="BH423" s="103">
        <v>0</v>
      </c>
      <c r="BI423" s="103">
        <v>0</v>
      </c>
      <c r="BJ423" s="103">
        <v>0</v>
      </c>
      <c r="BK423" s="103">
        <v>0</v>
      </c>
      <c r="BL423" s="103">
        <v>0</v>
      </c>
      <c r="BM423" s="103">
        <v>0</v>
      </c>
      <c r="BN423" s="103">
        <v>0</v>
      </c>
      <c r="BO423" s="82">
        <f>SUM(ERP_34[[#This Row],[2026 AP01]:[2026 AP12]])</f>
        <v>267876.47999999998</v>
      </c>
    </row>
    <row r="424" spans="1:67">
      <c r="A424" s="82" t="s">
        <v>2393</v>
      </c>
      <c r="B424" s="83" t="str">
        <f>_xlfn.TEXTJOIN("_",,ERP_34[[#This Row],[LT Member -1*]],ERP_34[[#This Row],[Expense Category]],ERP_34[[#This Row],[Project Code*]])</f>
        <v>Dougherty, Chris_SOFTWARE_IT-SFT1009-86-OG-US/32/PF</v>
      </c>
      <c r="C424" s="67" t="s">
        <v>2959</v>
      </c>
      <c r="D424" s="84" t="s">
        <v>1135</v>
      </c>
      <c r="E424" s="85" t="s">
        <v>1135</v>
      </c>
      <c r="F424" s="68" t="s">
        <v>1137</v>
      </c>
      <c r="G424" s="85" t="s">
        <v>639</v>
      </c>
      <c r="H424" s="110" t="s">
        <v>2394</v>
      </c>
      <c r="I424" s="67"/>
      <c r="J424" s="67"/>
      <c r="K424" s="88" t="s">
        <v>757</v>
      </c>
      <c r="L424" s="111"/>
      <c r="M424" s="1" t="s">
        <v>2969</v>
      </c>
      <c r="N424" s="70" t="s">
        <v>1710</v>
      </c>
      <c r="O424" s="91" t="s">
        <v>707</v>
      </c>
      <c r="P424" s="70" t="s">
        <v>1348</v>
      </c>
      <c r="Q424" s="195"/>
      <c r="R424" s="94">
        <v>-267876.47999999998</v>
      </c>
      <c r="S424" s="95">
        <v>0</v>
      </c>
      <c r="T424" s="190">
        <v>-267876.47999999998</v>
      </c>
      <c r="U424" s="191">
        <f>ERP_34[[#This Row],[LE2 Final Submission]]-ERP_34[[#This Row],[LE3 Final Submission]]</f>
        <v>267876.47999999998</v>
      </c>
      <c r="V424" s="98"/>
      <c r="W424" s="99"/>
      <c r="X424" s="99"/>
      <c r="Y424" s="100">
        <v>0</v>
      </c>
      <c r="Z424" s="100">
        <v>0</v>
      </c>
      <c r="AA424" s="100">
        <v>0</v>
      </c>
      <c r="AB424" s="100">
        <v>0</v>
      </c>
      <c r="AC424" s="100">
        <v>0</v>
      </c>
      <c r="AD424" s="100">
        <v>0</v>
      </c>
      <c r="AE424" s="100">
        <v>0</v>
      </c>
      <c r="AF424" s="100">
        <v>0</v>
      </c>
      <c r="AG424" s="100">
        <v>0</v>
      </c>
      <c r="AH424" s="101">
        <f t="shared" si="18"/>
        <v>0</v>
      </c>
      <c r="AI424" s="108">
        <f>ERP_34[[#This Row],[2026 Working Total]]-ERP_34[[#This Row],[2026 LE0]]</f>
        <v>267876.47999999998</v>
      </c>
      <c r="AJ424" s="79"/>
      <c r="AK424" s="79"/>
      <c r="AL4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4" s="80"/>
      <c r="AN424" s="79">
        <f>ERP_34[[#This Row],[2026 Working Total to Budget/LE]]-ERP_34[[#This Row],[Giveback]]</f>
        <v>267876.47999999998</v>
      </c>
      <c r="AO424" s="81"/>
      <c r="AP424" s="81"/>
      <c r="AQ424" s="81"/>
      <c r="AR424" s="81"/>
      <c r="AS424" s="81">
        <v>0</v>
      </c>
      <c r="AT424" s="81">
        <v>0</v>
      </c>
      <c r="AU424" s="81">
        <v>0</v>
      </c>
      <c r="AV424" s="81">
        <v>0</v>
      </c>
      <c r="AW424" s="81">
        <v>0</v>
      </c>
      <c r="AX424" s="81">
        <v>0</v>
      </c>
      <c r="AY424" s="81">
        <v>0</v>
      </c>
      <c r="AZ424" s="81">
        <v>0</v>
      </c>
      <c r="BA424" s="81">
        <v>0</v>
      </c>
      <c r="BB424" s="81">
        <v>0</v>
      </c>
      <c r="BC424" s="103">
        <v>-267876.47999999998</v>
      </c>
      <c r="BD424" s="103">
        <v>0</v>
      </c>
      <c r="BE424" s="103">
        <v>0</v>
      </c>
      <c r="BF424" s="103">
        <v>0</v>
      </c>
      <c r="BG424" s="103">
        <v>0</v>
      </c>
      <c r="BH424" s="103">
        <v>0</v>
      </c>
      <c r="BI424" s="103">
        <v>0</v>
      </c>
      <c r="BJ424" s="103">
        <v>0</v>
      </c>
      <c r="BK424" s="103">
        <v>0</v>
      </c>
      <c r="BL424" s="103">
        <v>0</v>
      </c>
      <c r="BM424" s="103">
        <v>0</v>
      </c>
      <c r="BN424" s="103">
        <v>0</v>
      </c>
      <c r="BO424" s="82">
        <f>SUM(ERP_34[[#This Row],[2026 AP01]:[2026 AP12]])</f>
        <v>-267876.47999999998</v>
      </c>
    </row>
    <row r="425" spans="1:67">
      <c r="A425" s="66" t="s">
        <v>2395</v>
      </c>
      <c r="B425" s="66" t="str">
        <f>_xlfn.TEXTJOIN("_",,ERP_34[[#This Row],[LT Member -1*]],ERP_34[[#This Row],[Expense Category]],ERP_34[[#This Row],[Project Code*]])</f>
        <v>Dougherty, Chris_SOFTWARE_IT-SFT1009-86-OG-US/35</v>
      </c>
      <c r="C425" s="67" t="s">
        <v>1136</v>
      </c>
      <c r="D425" s="67" t="s">
        <v>1135</v>
      </c>
      <c r="E425" s="67" t="s">
        <v>1135</v>
      </c>
      <c r="F425" s="67" t="s">
        <v>1137</v>
      </c>
      <c r="G425" s="68" t="s">
        <v>639</v>
      </c>
      <c r="H425" s="106" t="s">
        <v>2396</v>
      </c>
      <c r="I425" s="70" t="s">
        <v>2964</v>
      </c>
      <c r="J425" s="70"/>
      <c r="K425" s="70" t="s">
        <v>759</v>
      </c>
      <c r="L425" s="70"/>
      <c r="M425" s="1" t="s">
        <v>2339</v>
      </c>
      <c r="N425" s="70"/>
      <c r="O425" s="67" t="s">
        <v>704</v>
      </c>
      <c r="P425" s="67" t="s">
        <v>2340</v>
      </c>
      <c r="Q425" s="71"/>
      <c r="R425" s="204">
        <v>2542329.3599999994</v>
      </c>
      <c r="S425" s="73">
        <v>2542329.36</v>
      </c>
      <c r="T425" s="73">
        <v>2542329.3599999994</v>
      </c>
      <c r="U425" s="71">
        <f>ERP_34[[#This Row],[LE2 Final Submission]]-ERP_34[[#This Row],[LE3 Final Submission]]</f>
        <v>0</v>
      </c>
      <c r="V425" s="74">
        <v>2542329.37</v>
      </c>
      <c r="W425" s="75">
        <v>-2118607.81</v>
      </c>
      <c r="X425" s="205">
        <v>211860.78</v>
      </c>
      <c r="Y425" s="76">
        <f>211860.78-211860.78</f>
        <v>0</v>
      </c>
      <c r="Z425" s="76">
        <f>211860.78+211860.78</f>
        <v>423721.56</v>
      </c>
      <c r="AA425" s="175">
        <v>211860.78</v>
      </c>
      <c r="AB425" s="76">
        <f>211860.78-211860.78</f>
        <v>0</v>
      </c>
      <c r="AC425" s="76">
        <f>211860.78+211860.78</f>
        <v>423721.56</v>
      </c>
      <c r="AD425" s="76">
        <v>211860.78</v>
      </c>
      <c r="AE425" s="76">
        <f>211860.78-211860.78</f>
        <v>0</v>
      </c>
      <c r="AF425" s="76">
        <f>211860.78+211860.78</f>
        <v>423721.56</v>
      </c>
      <c r="AG425" s="76">
        <v>211860.78</v>
      </c>
      <c r="AH425" s="176">
        <f t="shared" si="18"/>
        <v>2542329.36</v>
      </c>
      <c r="AI425" s="108">
        <f>ERP_34[[#This Row],[2026 Working Total]]-ERP_34[[#This Row],[2026 LE0]]</f>
        <v>0</v>
      </c>
      <c r="AJ425" s="79"/>
      <c r="AK425" s="79"/>
      <c r="AL425" s="79">
        <f>ERP_34[[#This Row],[AP01]]+ERP_34[[#This Row],[AP02]]+ERP_34[[#This Row],[AP03]]+ERP_34[[#This Row],[AP04]]-ERP_34[[#This Row],[AP01 LE2]]-ERP_34[[#This Row],[AP02 LE2]]-ERP_34[[#This Row],[AP03 LE2]]-ERP_34[[#This Row],[AP04 LE2]]</f>
        <v>2.9103830456733704E-11</v>
      </c>
      <c r="AM425" s="80"/>
      <c r="AN425" s="79">
        <f>ERP_34[[#This Row],[2026 Working Total to Budget/LE]]-ERP_34[[#This Row],[Giveback]]</f>
        <v>0</v>
      </c>
      <c r="AO425" s="81"/>
      <c r="AP425" s="81">
        <v>2542329.37</v>
      </c>
      <c r="AQ425" s="81">
        <v>-2118607.81</v>
      </c>
      <c r="AR425" s="81">
        <v>211860.78</v>
      </c>
      <c r="AS425" s="81">
        <v>0</v>
      </c>
      <c r="AT425" s="81">
        <v>423721.56</v>
      </c>
      <c r="AU425" s="81">
        <v>211860.78</v>
      </c>
      <c r="AV425" s="81">
        <v>0</v>
      </c>
      <c r="AW425" s="81">
        <v>423721.56</v>
      </c>
      <c r="AX425" s="81">
        <v>211860.78</v>
      </c>
      <c r="AY425" s="81">
        <v>0</v>
      </c>
      <c r="AZ425" s="81">
        <v>423721.56</v>
      </c>
      <c r="BA425" s="81">
        <v>211860.78</v>
      </c>
      <c r="BB425" s="81">
        <v>2542329.36</v>
      </c>
      <c r="BC425" s="79">
        <v>2542329.37</v>
      </c>
      <c r="BD425" s="79">
        <v>-2118607.81</v>
      </c>
      <c r="BE425" s="79">
        <v>211860.78</v>
      </c>
      <c r="BF425" s="79">
        <v>211860.78</v>
      </c>
      <c r="BG425" s="79">
        <v>211860.78</v>
      </c>
      <c r="BH425" s="79">
        <v>211860.78</v>
      </c>
      <c r="BI425" s="79">
        <v>211860.78</v>
      </c>
      <c r="BJ425" s="79">
        <v>211860.78</v>
      </c>
      <c r="BK425" s="79">
        <v>211860.78</v>
      </c>
      <c r="BL425" s="79">
        <v>211860.78</v>
      </c>
      <c r="BM425" s="79">
        <v>211860.78</v>
      </c>
      <c r="BN425" s="79">
        <v>211860.78</v>
      </c>
      <c r="BO425" s="79">
        <v>2542329.36</v>
      </c>
    </row>
    <row r="426" spans="1:67">
      <c r="A426" s="82" t="s">
        <v>2397</v>
      </c>
      <c r="B426" s="83" t="str">
        <f>_xlfn.TEXTJOIN("_",,ERP_34[[#This Row],[LT Member -1*]],ERP_34[[#This Row],[Expense Category]],ERP_34[[#This Row],[Project Code*]])</f>
        <v>Dougherty, Chris_SOFTWARE_IT-SFT1009-86-OG-US/37</v>
      </c>
      <c r="C426" s="67" t="s">
        <v>2959</v>
      </c>
      <c r="D426" s="84" t="s">
        <v>1135</v>
      </c>
      <c r="E426" s="85" t="s">
        <v>1135</v>
      </c>
      <c r="F426" s="68" t="s">
        <v>1137</v>
      </c>
      <c r="G426" s="85" t="s">
        <v>639</v>
      </c>
      <c r="H426" s="110" t="s">
        <v>2398</v>
      </c>
      <c r="I426" s="67"/>
      <c r="J426" s="67"/>
      <c r="K426" s="88" t="s">
        <v>761</v>
      </c>
      <c r="L426" s="111"/>
      <c r="M426" s="1" t="s">
        <v>2339</v>
      </c>
      <c r="N426" s="70" t="s">
        <v>1710</v>
      </c>
      <c r="O426" s="91" t="s">
        <v>707</v>
      </c>
      <c r="P426" s="70" t="s">
        <v>1348</v>
      </c>
      <c r="Q426" s="195"/>
      <c r="R426" s="208">
        <v>539731.92000000004</v>
      </c>
      <c r="S426" s="95">
        <v>0</v>
      </c>
      <c r="T426" s="190">
        <v>539731.92000000004</v>
      </c>
      <c r="U426" s="191">
        <f>ERP_34[[#This Row],[LE2 Final Submission]]-ERP_34[[#This Row],[LE3 Final Submission]]</f>
        <v>-539731.92000000004</v>
      </c>
      <c r="V426" s="98"/>
      <c r="W426" s="99"/>
      <c r="X426" s="99"/>
      <c r="Y426" s="100">
        <v>0</v>
      </c>
      <c r="Z426" s="100">
        <v>0</v>
      </c>
      <c r="AA426" s="100">
        <v>0</v>
      </c>
      <c r="AB426" s="100">
        <v>0</v>
      </c>
      <c r="AC426" s="100">
        <v>0</v>
      </c>
      <c r="AD426" s="100">
        <v>0</v>
      </c>
      <c r="AE426" s="100">
        <v>0</v>
      </c>
      <c r="AF426" s="100">
        <v>0</v>
      </c>
      <c r="AG426" s="100">
        <v>0</v>
      </c>
      <c r="AH426" s="101">
        <f t="shared" si="18"/>
        <v>0</v>
      </c>
      <c r="AI426" s="108">
        <f>ERP_34[[#This Row],[2026 Working Total]]-ERP_34[[#This Row],[2026 LE0]]</f>
        <v>-539731.92000000004</v>
      </c>
      <c r="AJ426" s="79"/>
      <c r="AK426" s="79"/>
      <c r="AL4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6" s="80"/>
      <c r="AN426" s="79">
        <f>ERP_34[[#This Row],[2026 Working Total to Budget/LE]]-ERP_34[[#This Row],[Giveback]]</f>
        <v>-539731.92000000004</v>
      </c>
      <c r="AO426" s="81"/>
      <c r="AP426" s="81"/>
      <c r="AQ426" s="81"/>
      <c r="AR426" s="81"/>
      <c r="AS426" s="81">
        <v>0</v>
      </c>
      <c r="AT426" s="81">
        <v>0</v>
      </c>
      <c r="AU426" s="81">
        <v>0</v>
      </c>
      <c r="AV426" s="81">
        <v>0</v>
      </c>
      <c r="AW426" s="81">
        <v>0</v>
      </c>
      <c r="AX426" s="81">
        <v>0</v>
      </c>
      <c r="AY426" s="81">
        <v>0</v>
      </c>
      <c r="AZ426" s="81">
        <v>0</v>
      </c>
      <c r="BA426" s="81">
        <v>0</v>
      </c>
      <c r="BB426" s="81">
        <v>0</v>
      </c>
      <c r="BC426" s="103">
        <v>539731.92000000004</v>
      </c>
      <c r="BD426" s="103">
        <v>0</v>
      </c>
      <c r="BE426" s="103">
        <v>0</v>
      </c>
      <c r="BF426" s="103">
        <v>0</v>
      </c>
      <c r="BG426" s="103">
        <v>0</v>
      </c>
      <c r="BH426" s="103">
        <v>0</v>
      </c>
      <c r="BI426" s="103">
        <v>0</v>
      </c>
      <c r="BJ426" s="103">
        <v>0</v>
      </c>
      <c r="BK426" s="103">
        <v>0</v>
      </c>
      <c r="BL426" s="103">
        <v>0</v>
      </c>
      <c r="BM426" s="103">
        <v>0</v>
      </c>
      <c r="BN426" s="103">
        <v>0</v>
      </c>
      <c r="BO426" s="82">
        <f>SUM(ERP_34[[#This Row],[2026 AP01]:[2026 AP12]])</f>
        <v>539731.92000000004</v>
      </c>
    </row>
    <row r="427" spans="1:67">
      <c r="A427" s="82" t="s">
        <v>2399</v>
      </c>
      <c r="B427" s="83" t="str">
        <f>_xlfn.TEXTJOIN("_",,ERP_34[[#This Row],[LT Member -1*]],ERP_34[[#This Row],[Expense Category]],ERP_34[[#This Row],[Project Code*]])</f>
        <v>Dougherty, Chris_SOFTWARE_IT-SFT1009-86-OG-US/37/PF</v>
      </c>
      <c r="C427" s="67" t="s">
        <v>2959</v>
      </c>
      <c r="D427" s="84" t="s">
        <v>1135</v>
      </c>
      <c r="E427" s="85" t="s">
        <v>1135</v>
      </c>
      <c r="F427" s="68" t="s">
        <v>1137</v>
      </c>
      <c r="G427" s="85" t="s">
        <v>639</v>
      </c>
      <c r="H427" s="110" t="s">
        <v>2400</v>
      </c>
      <c r="I427" s="67"/>
      <c r="J427" s="67"/>
      <c r="K427" s="88" t="s">
        <v>763</v>
      </c>
      <c r="L427" s="111"/>
      <c r="M427" s="1" t="s">
        <v>2969</v>
      </c>
      <c r="N427" s="70" t="s">
        <v>1710</v>
      </c>
      <c r="O427" s="91" t="s">
        <v>707</v>
      </c>
      <c r="P427" s="70" t="s">
        <v>1348</v>
      </c>
      <c r="Q427" s="195"/>
      <c r="R427" s="94">
        <v>-539731.92000000004</v>
      </c>
      <c r="S427" s="95">
        <v>0</v>
      </c>
      <c r="T427" s="190">
        <v>-539731.92000000004</v>
      </c>
      <c r="U427" s="191">
        <f>ERP_34[[#This Row],[LE2 Final Submission]]-ERP_34[[#This Row],[LE3 Final Submission]]</f>
        <v>539731.92000000004</v>
      </c>
      <c r="V427" s="98"/>
      <c r="W427" s="99"/>
      <c r="X427" s="99"/>
      <c r="Y427" s="100">
        <v>0</v>
      </c>
      <c r="Z427" s="100">
        <v>0</v>
      </c>
      <c r="AA427" s="100">
        <v>0</v>
      </c>
      <c r="AB427" s="100">
        <v>0</v>
      </c>
      <c r="AC427" s="100">
        <v>0</v>
      </c>
      <c r="AD427" s="100">
        <v>0</v>
      </c>
      <c r="AE427" s="100">
        <v>0</v>
      </c>
      <c r="AF427" s="100">
        <v>0</v>
      </c>
      <c r="AG427" s="100">
        <v>0</v>
      </c>
      <c r="AH427" s="101">
        <f t="shared" si="18"/>
        <v>0</v>
      </c>
      <c r="AI427" s="108">
        <f>ERP_34[[#This Row],[2026 Working Total]]-ERP_34[[#This Row],[2026 LE0]]</f>
        <v>539731.92000000004</v>
      </c>
      <c r="AJ427" s="79"/>
      <c r="AK427" s="79"/>
      <c r="AL4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7" s="80"/>
      <c r="AN427" s="79">
        <f>ERP_34[[#This Row],[2026 Working Total to Budget/LE]]-ERP_34[[#This Row],[Giveback]]</f>
        <v>539731.92000000004</v>
      </c>
      <c r="AO427" s="81"/>
      <c r="AP427" s="81"/>
      <c r="AQ427" s="81"/>
      <c r="AR427" s="81"/>
      <c r="AS427" s="81">
        <v>0</v>
      </c>
      <c r="AT427" s="81">
        <v>0</v>
      </c>
      <c r="AU427" s="81">
        <v>0</v>
      </c>
      <c r="AV427" s="81">
        <v>0</v>
      </c>
      <c r="AW427" s="81">
        <v>0</v>
      </c>
      <c r="AX427" s="81">
        <v>0</v>
      </c>
      <c r="AY427" s="81">
        <v>0</v>
      </c>
      <c r="AZ427" s="81">
        <v>0</v>
      </c>
      <c r="BA427" s="81">
        <v>0</v>
      </c>
      <c r="BB427" s="81">
        <v>0</v>
      </c>
      <c r="BC427" s="103">
        <v>-539731.92000000004</v>
      </c>
      <c r="BD427" s="103">
        <v>0</v>
      </c>
      <c r="BE427" s="103">
        <v>0</v>
      </c>
      <c r="BF427" s="103">
        <v>0</v>
      </c>
      <c r="BG427" s="103">
        <v>0</v>
      </c>
      <c r="BH427" s="103">
        <v>0</v>
      </c>
      <c r="BI427" s="103">
        <v>0</v>
      </c>
      <c r="BJ427" s="103">
        <v>0</v>
      </c>
      <c r="BK427" s="103">
        <v>0</v>
      </c>
      <c r="BL427" s="103">
        <v>0</v>
      </c>
      <c r="BM427" s="103">
        <v>0</v>
      </c>
      <c r="BN427" s="103">
        <v>0</v>
      </c>
      <c r="BO427" s="82">
        <f>SUM(ERP_34[[#This Row],[2026 AP01]:[2026 AP12]])</f>
        <v>-539731.92000000004</v>
      </c>
    </row>
    <row r="428" spans="1:67">
      <c r="A428" s="82" t="s">
        <v>2401</v>
      </c>
      <c r="B428" s="83" t="str">
        <f>_xlfn.TEXTJOIN("_",,ERP_34[[#This Row],[LT Member -1*]],ERP_34[[#This Row],[Expense Category]],ERP_34[[#This Row],[Project Code*]])</f>
        <v>Dougherty, Chris_SOFTWARE_IT-SFT1009-86-OG-US/38</v>
      </c>
      <c r="C428" s="67" t="s">
        <v>2959</v>
      </c>
      <c r="D428" s="84" t="s">
        <v>1135</v>
      </c>
      <c r="E428" s="85" t="s">
        <v>1135</v>
      </c>
      <c r="F428" s="68" t="s">
        <v>1137</v>
      </c>
      <c r="G428" s="85" t="s">
        <v>639</v>
      </c>
      <c r="H428" s="110" t="s">
        <v>2402</v>
      </c>
      <c r="I428" s="67"/>
      <c r="J428" s="67"/>
      <c r="K428" s="88" t="s">
        <v>765</v>
      </c>
      <c r="L428" s="111"/>
      <c r="M428" s="1" t="s">
        <v>2339</v>
      </c>
      <c r="N428" s="70" t="s">
        <v>1710</v>
      </c>
      <c r="O428" s="91" t="s">
        <v>707</v>
      </c>
      <c r="P428" s="70" t="s">
        <v>1348</v>
      </c>
      <c r="Q428" s="195"/>
      <c r="R428" s="208">
        <v>60272.160000000003</v>
      </c>
      <c r="S428" s="95">
        <v>0</v>
      </c>
      <c r="T428" s="190">
        <v>60272.160000000003</v>
      </c>
      <c r="U428" s="191">
        <f>ERP_34[[#This Row],[LE2 Final Submission]]-ERP_34[[#This Row],[LE3 Final Submission]]</f>
        <v>-60272.160000000003</v>
      </c>
      <c r="V428" s="98"/>
      <c r="W428" s="99"/>
      <c r="X428" s="99"/>
      <c r="Y428" s="100">
        <v>0</v>
      </c>
      <c r="Z428" s="100">
        <v>0</v>
      </c>
      <c r="AA428" s="100">
        <v>0</v>
      </c>
      <c r="AB428" s="100">
        <v>0</v>
      </c>
      <c r="AC428" s="100">
        <v>0</v>
      </c>
      <c r="AD428" s="100">
        <v>0</v>
      </c>
      <c r="AE428" s="100">
        <v>0</v>
      </c>
      <c r="AF428" s="100">
        <v>0</v>
      </c>
      <c r="AG428" s="100">
        <v>0</v>
      </c>
      <c r="AH428" s="101">
        <f t="shared" si="18"/>
        <v>0</v>
      </c>
      <c r="AI428" s="108">
        <f>ERP_34[[#This Row],[2026 Working Total]]-ERP_34[[#This Row],[2026 LE0]]</f>
        <v>-60272.160000000003</v>
      </c>
      <c r="AJ428" s="79"/>
      <c r="AK428" s="79"/>
      <c r="AL4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8" s="80"/>
      <c r="AN428" s="79">
        <f>ERP_34[[#This Row],[2026 Working Total to Budget/LE]]-ERP_34[[#This Row],[Giveback]]</f>
        <v>-60272.160000000003</v>
      </c>
      <c r="AO428" s="81"/>
      <c r="AP428" s="81"/>
      <c r="AQ428" s="81"/>
      <c r="AR428" s="81"/>
      <c r="AS428" s="81">
        <v>0</v>
      </c>
      <c r="AT428" s="81">
        <v>0</v>
      </c>
      <c r="AU428" s="81">
        <v>0</v>
      </c>
      <c r="AV428" s="81">
        <v>0</v>
      </c>
      <c r="AW428" s="81">
        <v>0</v>
      </c>
      <c r="AX428" s="81">
        <v>0</v>
      </c>
      <c r="AY428" s="81">
        <v>0</v>
      </c>
      <c r="AZ428" s="81">
        <v>0</v>
      </c>
      <c r="BA428" s="81">
        <v>0</v>
      </c>
      <c r="BB428" s="81">
        <v>0</v>
      </c>
      <c r="BC428" s="103">
        <v>60272.160000000003</v>
      </c>
      <c r="BD428" s="103">
        <v>0</v>
      </c>
      <c r="BE428" s="103">
        <v>0</v>
      </c>
      <c r="BF428" s="103">
        <v>0</v>
      </c>
      <c r="BG428" s="103">
        <v>0</v>
      </c>
      <c r="BH428" s="103">
        <v>0</v>
      </c>
      <c r="BI428" s="103">
        <v>0</v>
      </c>
      <c r="BJ428" s="103">
        <v>0</v>
      </c>
      <c r="BK428" s="103">
        <v>0</v>
      </c>
      <c r="BL428" s="103">
        <v>0</v>
      </c>
      <c r="BM428" s="103">
        <v>0</v>
      </c>
      <c r="BN428" s="103">
        <v>0</v>
      </c>
      <c r="BO428" s="82">
        <f>SUM(ERP_34[[#This Row],[2026 AP01]:[2026 AP12]])</f>
        <v>60272.160000000003</v>
      </c>
    </row>
    <row r="429" spans="1:67">
      <c r="A429" s="82" t="s">
        <v>2403</v>
      </c>
      <c r="B429" s="83" t="str">
        <f>_xlfn.TEXTJOIN("_",,ERP_34[[#This Row],[LT Member -1*]],ERP_34[[#This Row],[Expense Category]],ERP_34[[#This Row],[Project Code*]])</f>
        <v>Dougherty, Chris_SOFTWARE_IT-SFT1009-86-OG-US/38/PF</v>
      </c>
      <c r="C429" s="67" t="s">
        <v>2959</v>
      </c>
      <c r="D429" s="84" t="s">
        <v>1135</v>
      </c>
      <c r="E429" s="85" t="s">
        <v>1135</v>
      </c>
      <c r="F429" s="68" t="s">
        <v>1137</v>
      </c>
      <c r="G429" s="85" t="s">
        <v>639</v>
      </c>
      <c r="H429" s="110" t="s">
        <v>2404</v>
      </c>
      <c r="I429" s="67"/>
      <c r="J429" s="67"/>
      <c r="K429" s="88" t="s">
        <v>767</v>
      </c>
      <c r="L429" s="111"/>
      <c r="M429" s="1" t="s">
        <v>2969</v>
      </c>
      <c r="N429" s="70" t="s">
        <v>1710</v>
      </c>
      <c r="O429" s="91" t="s">
        <v>707</v>
      </c>
      <c r="P429" s="70" t="s">
        <v>1348</v>
      </c>
      <c r="Q429" s="195"/>
      <c r="R429" s="94">
        <v>-60272.160000000003</v>
      </c>
      <c r="S429" s="95">
        <v>0</v>
      </c>
      <c r="T429" s="190">
        <v>-60272.160000000003</v>
      </c>
      <c r="U429" s="191">
        <f>ERP_34[[#This Row],[LE2 Final Submission]]-ERP_34[[#This Row],[LE3 Final Submission]]</f>
        <v>60272.160000000003</v>
      </c>
      <c r="V429" s="98"/>
      <c r="W429" s="99"/>
      <c r="X429" s="99"/>
      <c r="Y429" s="100">
        <v>0</v>
      </c>
      <c r="Z429" s="100">
        <v>0</v>
      </c>
      <c r="AA429" s="100">
        <v>0</v>
      </c>
      <c r="AB429" s="100">
        <v>0</v>
      </c>
      <c r="AC429" s="100">
        <v>0</v>
      </c>
      <c r="AD429" s="100">
        <v>0</v>
      </c>
      <c r="AE429" s="100">
        <v>0</v>
      </c>
      <c r="AF429" s="100">
        <v>0</v>
      </c>
      <c r="AG429" s="100">
        <v>0</v>
      </c>
      <c r="AH429" s="101">
        <f t="shared" si="18"/>
        <v>0</v>
      </c>
      <c r="AI429" s="108">
        <f>ERP_34[[#This Row],[2026 Working Total]]-ERP_34[[#This Row],[2026 LE0]]</f>
        <v>60272.160000000003</v>
      </c>
      <c r="AJ429" s="79"/>
      <c r="AK429" s="79"/>
      <c r="AL42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29" s="80"/>
      <c r="AN429" s="79">
        <f>ERP_34[[#This Row],[2026 Working Total to Budget/LE]]-ERP_34[[#This Row],[Giveback]]</f>
        <v>60272.160000000003</v>
      </c>
      <c r="AO429" s="81"/>
      <c r="AP429" s="81"/>
      <c r="AQ429" s="81"/>
      <c r="AR429" s="81"/>
      <c r="AS429" s="81">
        <v>0</v>
      </c>
      <c r="AT429" s="81">
        <v>0</v>
      </c>
      <c r="AU429" s="81">
        <v>0</v>
      </c>
      <c r="AV429" s="81">
        <v>0</v>
      </c>
      <c r="AW429" s="81">
        <v>0</v>
      </c>
      <c r="AX429" s="81">
        <v>0</v>
      </c>
      <c r="AY429" s="81">
        <v>0</v>
      </c>
      <c r="AZ429" s="81">
        <v>0</v>
      </c>
      <c r="BA429" s="81">
        <v>0</v>
      </c>
      <c r="BB429" s="81">
        <v>0</v>
      </c>
      <c r="BC429" s="103">
        <v>-60272.160000000003</v>
      </c>
      <c r="BD429" s="103">
        <v>0</v>
      </c>
      <c r="BE429" s="103">
        <v>0</v>
      </c>
      <c r="BF429" s="103">
        <v>0</v>
      </c>
      <c r="BG429" s="103">
        <v>0</v>
      </c>
      <c r="BH429" s="103">
        <v>0</v>
      </c>
      <c r="BI429" s="103">
        <v>0</v>
      </c>
      <c r="BJ429" s="103">
        <v>0</v>
      </c>
      <c r="BK429" s="103">
        <v>0</v>
      </c>
      <c r="BL429" s="103">
        <v>0</v>
      </c>
      <c r="BM429" s="103">
        <v>0</v>
      </c>
      <c r="BN429" s="103">
        <v>0</v>
      </c>
      <c r="BO429" s="82">
        <f>SUM(ERP_34[[#This Row],[2026 AP01]:[2026 AP12]])</f>
        <v>-60272.160000000003</v>
      </c>
    </row>
    <row r="430" spans="1:67">
      <c r="A430" s="82" t="s">
        <v>2405</v>
      </c>
      <c r="B430" s="83" t="str">
        <f>_xlfn.TEXTJOIN("_",,ERP_34[[#This Row],[LT Member -1*]],ERP_34[[#This Row],[Expense Category]],ERP_34[[#This Row],[Project Code*]])</f>
        <v>Dougherty, Chris_SOFTWARE_IT-SFT1009-86-OG-US/41</v>
      </c>
      <c r="C430" s="67" t="s">
        <v>2959</v>
      </c>
      <c r="D430" s="84" t="s">
        <v>1135</v>
      </c>
      <c r="E430" s="85" t="s">
        <v>1135</v>
      </c>
      <c r="F430" s="68" t="s">
        <v>1137</v>
      </c>
      <c r="G430" s="85" t="s">
        <v>639</v>
      </c>
      <c r="H430" s="110" t="s">
        <v>2406</v>
      </c>
      <c r="I430" s="67"/>
      <c r="J430" s="67"/>
      <c r="K430" s="88" t="s">
        <v>769</v>
      </c>
      <c r="L430" s="111"/>
      <c r="M430" s="1" t="s">
        <v>2339</v>
      </c>
      <c r="N430" s="70" t="s">
        <v>1710</v>
      </c>
      <c r="O430" s="91" t="s">
        <v>707</v>
      </c>
      <c r="P430" s="70" t="s">
        <v>1348</v>
      </c>
      <c r="Q430" s="195"/>
      <c r="R430" s="208">
        <v>626867.82999999996</v>
      </c>
      <c r="S430" s="95">
        <v>0</v>
      </c>
      <c r="T430" s="190">
        <v>626867.82999999996</v>
      </c>
      <c r="U430" s="191">
        <f>ERP_34[[#This Row],[LE2 Final Submission]]-ERP_34[[#This Row],[LE3 Final Submission]]</f>
        <v>-626867.82999999996</v>
      </c>
      <c r="V430" s="98"/>
      <c r="W430" s="99"/>
      <c r="X430" s="99"/>
      <c r="Y430" s="100">
        <v>0</v>
      </c>
      <c r="Z430" s="100">
        <v>0</v>
      </c>
      <c r="AA430" s="100">
        <v>0</v>
      </c>
      <c r="AB430" s="100">
        <v>0</v>
      </c>
      <c r="AC430" s="100">
        <v>0</v>
      </c>
      <c r="AD430" s="100">
        <v>0</v>
      </c>
      <c r="AE430" s="100">
        <v>0</v>
      </c>
      <c r="AF430" s="100">
        <v>0</v>
      </c>
      <c r="AG430" s="100">
        <v>0</v>
      </c>
      <c r="AH430" s="101">
        <f t="shared" si="18"/>
        <v>0</v>
      </c>
      <c r="AI430" s="108">
        <f>ERP_34[[#This Row],[2026 Working Total]]-ERP_34[[#This Row],[2026 LE0]]</f>
        <v>-626867.82999999996</v>
      </c>
      <c r="AJ430" s="79"/>
      <c r="AK430" s="79"/>
      <c r="AL4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0" s="80"/>
      <c r="AN430" s="79">
        <f>ERP_34[[#This Row],[2026 Working Total to Budget/LE]]-ERP_34[[#This Row],[Giveback]]</f>
        <v>-626867.82999999996</v>
      </c>
      <c r="AO430" s="81"/>
      <c r="AP430" s="81"/>
      <c r="AQ430" s="81"/>
      <c r="AR430" s="81"/>
      <c r="AS430" s="81">
        <v>0</v>
      </c>
      <c r="AT430" s="81">
        <v>0</v>
      </c>
      <c r="AU430" s="81">
        <v>0</v>
      </c>
      <c r="AV430" s="81">
        <v>0</v>
      </c>
      <c r="AW430" s="81">
        <v>0</v>
      </c>
      <c r="AX430" s="81">
        <v>0</v>
      </c>
      <c r="AY430" s="81">
        <v>0</v>
      </c>
      <c r="AZ430" s="81">
        <v>0</v>
      </c>
      <c r="BA430" s="81">
        <v>0</v>
      </c>
      <c r="BB430" s="81">
        <v>0</v>
      </c>
      <c r="BC430" s="103">
        <v>626867.82999999996</v>
      </c>
      <c r="BD430" s="103">
        <v>0</v>
      </c>
      <c r="BE430" s="103">
        <v>0</v>
      </c>
      <c r="BF430" s="103">
        <v>0</v>
      </c>
      <c r="BG430" s="103">
        <v>0</v>
      </c>
      <c r="BH430" s="103">
        <v>0</v>
      </c>
      <c r="BI430" s="103">
        <v>0</v>
      </c>
      <c r="BJ430" s="103">
        <v>0</v>
      </c>
      <c r="BK430" s="103">
        <v>0</v>
      </c>
      <c r="BL430" s="103">
        <v>0</v>
      </c>
      <c r="BM430" s="103">
        <v>0</v>
      </c>
      <c r="BN430" s="103">
        <v>0</v>
      </c>
      <c r="BO430" s="82">
        <f>SUM(ERP_34[[#This Row],[2026 AP01]:[2026 AP12]])</f>
        <v>626867.82999999996</v>
      </c>
    </row>
    <row r="431" spans="1:67">
      <c r="A431" s="82" t="s">
        <v>2407</v>
      </c>
      <c r="B431" s="83" t="str">
        <f>_xlfn.TEXTJOIN("_",,ERP_34[[#This Row],[LT Member -1*]],ERP_34[[#This Row],[Expense Category]],ERP_34[[#This Row],[Project Code*]])</f>
        <v>Dougherty, Chris_SOFTWARE_IT-SFT1009-86-OG-US/41/PF</v>
      </c>
      <c r="C431" s="67" t="s">
        <v>2959</v>
      </c>
      <c r="D431" s="84" t="s">
        <v>1135</v>
      </c>
      <c r="E431" s="85" t="s">
        <v>1135</v>
      </c>
      <c r="F431" s="68" t="s">
        <v>1137</v>
      </c>
      <c r="G431" s="85" t="s">
        <v>639</v>
      </c>
      <c r="H431" s="110" t="s">
        <v>2408</v>
      </c>
      <c r="I431" s="67"/>
      <c r="J431" s="67"/>
      <c r="K431" s="88" t="s">
        <v>771</v>
      </c>
      <c r="L431" s="111"/>
      <c r="M431" s="1" t="s">
        <v>2969</v>
      </c>
      <c r="N431" s="70" t="s">
        <v>1710</v>
      </c>
      <c r="O431" s="91" t="s">
        <v>707</v>
      </c>
      <c r="P431" s="70" t="s">
        <v>1348</v>
      </c>
      <c r="Q431" s="195"/>
      <c r="R431" s="94">
        <v>-626867.82999999996</v>
      </c>
      <c r="S431" s="95">
        <v>0</v>
      </c>
      <c r="T431" s="190">
        <v>-626867.82999999996</v>
      </c>
      <c r="U431" s="191">
        <f>ERP_34[[#This Row],[LE2 Final Submission]]-ERP_34[[#This Row],[LE3 Final Submission]]</f>
        <v>626867.82999999996</v>
      </c>
      <c r="V431" s="98"/>
      <c r="W431" s="99"/>
      <c r="X431" s="99"/>
      <c r="Y431" s="100">
        <v>0</v>
      </c>
      <c r="Z431" s="100">
        <v>0</v>
      </c>
      <c r="AA431" s="100">
        <v>0</v>
      </c>
      <c r="AB431" s="100">
        <v>0</v>
      </c>
      <c r="AC431" s="100">
        <v>0</v>
      </c>
      <c r="AD431" s="100">
        <v>0</v>
      </c>
      <c r="AE431" s="100">
        <v>0</v>
      </c>
      <c r="AF431" s="100">
        <v>0</v>
      </c>
      <c r="AG431" s="100">
        <v>0</v>
      </c>
      <c r="AH431" s="101">
        <f t="shared" si="18"/>
        <v>0</v>
      </c>
      <c r="AI431" s="108">
        <f>ERP_34[[#This Row],[2026 Working Total]]-ERP_34[[#This Row],[2026 LE0]]</f>
        <v>626867.82999999996</v>
      </c>
      <c r="AJ431" s="79"/>
      <c r="AK431" s="79"/>
      <c r="AL4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1" s="80"/>
      <c r="AN431" s="79">
        <f>ERP_34[[#This Row],[2026 Working Total to Budget/LE]]-ERP_34[[#This Row],[Giveback]]</f>
        <v>626867.82999999996</v>
      </c>
      <c r="AO431" s="81"/>
      <c r="AP431" s="81"/>
      <c r="AQ431" s="81"/>
      <c r="AR431" s="81"/>
      <c r="AS431" s="81">
        <v>0</v>
      </c>
      <c r="AT431" s="81">
        <v>0</v>
      </c>
      <c r="AU431" s="81">
        <v>0</v>
      </c>
      <c r="AV431" s="81">
        <v>0</v>
      </c>
      <c r="AW431" s="81">
        <v>0</v>
      </c>
      <c r="AX431" s="81">
        <v>0</v>
      </c>
      <c r="AY431" s="81">
        <v>0</v>
      </c>
      <c r="AZ431" s="81">
        <v>0</v>
      </c>
      <c r="BA431" s="81">
        <v>0</v>
      </c>
      <c r="BB431" s="81">
        <v>0</v>
      </c>
      <c r="BC431" s="103">
        <v>-626867.82999999996</v>
      </c>
      <c r="BD431" s="103">
        <v>0</v>
      </c>
      <c r="BE431" s="103">
        <v>0</v>
      </c>
      <c r="BF431" s="103">
        <v>0</v>
      </c>
      <c r="BG431" s="103">
        <v>0</v>
      </c>
      <c r="BH431" s="103">
        <v>0</v>
      </c>
      <c r="BI431" s="103">
        <v>0</v>
      </c>
      <c r="BJ431" s="103">
        <v>0</v>
      </c>
      <c r="BK431" s="103">
        <v>0</v>
      </c>
      <c r="BL431" s="103">
        <v>0</v>
      </c>
      <c r="BM431" s="103">
        <v>0</v>
      </c>
      <c r="BN431" s="103">
        <v>0</v>
      </c>
      <c r="BO431" s="82">
        <f>SUM(ERP_34[[#This Row],[2026 AP01]:[2026 AP12]])</f>
        <v>-626867.82999999996</v>
      </c>
    </row>
    <row r="432" spans="1:67">
      <c r="A432" s="82" t="s">
        <v>2409</v>
      </c>
      <c r="B432" s="83" t="str">
        <f>_xlfn.TEXTJOIN("_",,ERP_34[[#This Row],[LT Member -1*]],ERP_34[[#This Row],[Expense Category]],ERP_34[[#This Row],[Project Code*]])</f>
        <v>Dougherty, Chris_SOFTWARE_IT-SFT1009-86-OG-US/45</v>
      </c>
      <c r="C432" s="67" t="s">
        <v>2959</v>
      </c>
      <c r="D432" s="84" t="s">
        <v>1135</v>
      </c>
      <c r="E432" s="85" t="s">
        <v>1135</v>
      </c>
      <c r="F432" s="68" t="s">
        <v>1137</v>
      </c>
      <c r="G432" s="85" t="s">
        <v>639</v>
      </c>
      <c r="H432" s="110" t="s">
        <v>2410</v>
      </c>
      <c r="I432" s="67"/>
      <c r="J432" s="67"/>
      <c r="K432" s="88" t="s">
        <v>773</v>
      </c>
      <c r="L432" s="111"/>
      <c r="M432" s="1" t="s">
        <v>2339</v>
      </c>
      <c r="N432" s="70" t="s">
        <v>1710</v>
      </c>
      <c r="O432" s="91" t="s">
        <v>707</v>
      </c>
      <c r="P432" s="70" t="s">
        <v>1348</v>
      </c>
      <c r="Q432" s="195"/>
      <c r="R432" s="208">
        <v>15713.16</v>
      </c>
      <c r="S432" s="95">
        <v>0</v>
      </c>
      <c r="T432" s="190">
        <v>15713.16</v>
      </c>
      <c r="U432" s="191">
        <f>ERP_34[[#This Row],[LE2 Final Submission]]-ERP_34[[#This Row],[LE3 Final Submission]]</f>
        <v>-15713.16</v>
      </c>
      <c r="V432" s="98"/>
      <c r="W432" s="99"/>
      <c r="X432" s="99"/>
      <c r="Y432" s="100">
        <v>0</v>
      </c>
      <c r="Z432" s="100">
        <v>0</v>
      </c>
      <c r="AA432" s="100">
        <v>0</v>
      </c>
      <c r="AB432" s="100">
        <v>0</v>
      </c>
      <c r="AC432" s="100">
        <v>0</v>
      </c>
      <c r="AD432" s="100">
        <v>0</v>
      </c>
      <c r="AE432" s="100">
        <v>0</v>
      </c>
      <c r="AF432" s="100">
        <v>0</v>
      </c>
      <c r="AG432" s="100">
        <v>0</v>
      </c>
      <c r="AH432" s="101">
        <f t="shared" si="18"/>
        <v>0</v>
      </c>
      <c r="AI432" s="108">
        <f>ERP_34[[#This Row],[2026 Working Total]]-ERP_34[[#This Row],[2026 LE0]]</f>
        <v>-15713.16</v>
      </c>
      <c r="AJ432" s="79"/>
      <c r="AK432" s="79"/>
      <c r="AL4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2" s="80"/>
      <c r="AN432" s="79">
        <f>ERP_34[[#This Row],[2026 Working Total to Budget/LE]]-ERP_34[[#This Row],[Giveback]]</f>
        <v>-15713.16</v>
      </c>
      <c r="AO432" s="81"/>
      <c r="AP432" s="81"/>
      <c r="AQ432" s="81"/>
      <c r="AR432" s="81"/>
      <c r="AS432" s="81">
        <v>0</v>
      </c>
      <c r="AT432" s="81">
        <v>0</v>
      </c>
      <c r="AU432" s="81">
        <v>0</v>
      </c>
      <c r="AV432" s="81">
        <v>0</v>
      </c>
      <c r="AW432" s="81">
        <v>0</v>
      </c>
      <c r="AX432" s="81">
        <v>0</v>
      </c>
      <c r="AY432" s="81">
        <v>0</v>
      </c>
      <c r="AZ432" s="81">
        <v>0</v>
      </c>
      <c r="BA432" s="81">
        <v>0</v>
      </c>
      <c r="BB432" s="81">
        <v>0</v>
      </c>
      <c r="BC432" s="103">
        <v>15713.16</v>
      </c>
      <c r="BD432" s="103">
        <v>0</v>
      </c>
      <c r="BE432" s="103">
        <v>0</v>
      </c>
      <c r="BF432" s="103">
        <v>0</v>
      </c>
      <c r="BG432" s="103">
        <v>0</v>
      </c>
      <c r="BH432" s="103">
        <v>0</v>
      </c>
      <c r="BI432" s="103">
        <v>0</v>
      </c>
      <c r="BJ432" s="103">
        <v>0</v>
      </c>
      <c r="BK432" s="103">
        <v>0</v>
      </c>
      <c r="BL432" s="103">
        <v>0</v>
      </c>
      <c r="BM432" s="103">
        <v>0</v>
      </c>
      <c r="BN432" s="103">
        <v>0</v>
      </c>
      <c r="BO432" s="82">
        <f>SUM(ERP_34[[#This Row],[2026 AP01]:[2026 AP12]])</f>
        <v>15713.16</v>
      </c>
    </row>
    <row r="433" spans="1:67">
      <c r="A433" s="82" t="s">
        <v>2411</v>
      </c>
      <c r="B433" s="83" t="str">
        <f>_xlfn.TEXTJOIN("_",,ERP_34[[#This Row],[LT Member -1*]],ERP_34[[#This Row],[Expense Category]],ERP_34[[#This Row],[Project Code*]])</f>
        <v>Dougherty, Chris_SOFTWARE_IT-SFT1009-86-OG-US/45/PF</v>
      </c>
      <c r="C433" s="67" t="s">
        <v>2959</v>
      </c>
      <c r="D433" s="84" t="s">
        <v>1135</v>
      </c>
      <c r="E433" s="85" t="s">
        <v>1135</v>
      </c>
      <c r="F433" s="68" t="s">
        <v>1137</v>
      </c>
      <c r="G433" s="85" t="s">
        <v>639</v>
      </c>
      <c r="H433" s="110" t="s">
        <v>2412</v>
      </c>
      <c r="I433" s="67"/>
      <c r="J433" s="67"/>
      <c r="K433" s="88" t="s">
        <v>775</v>
      </c>
      <c r="L433" s="111"/>
      <c r="M433" s="1" t="s">
        <v>2969</v>
      </c>
      <c r="N433" s="70" t="s">
        <v>1710</v>
      </c>
      <c r="O433" s="91" t="s">
        <v>707</v>
      </c>
      <c r="P433" s="70" t="s">
        <v>1348</v>
      </c>
      <c r="Q433" s="195"/>
      <c r="R433" s="94">
        <v>-15713.16</v>
      </c>
      <c r="S433" s="95">
        <v>0</v>
      </c>
      <c r="T433" s="190">
        <v>-15713.16</v>
      </c>
      <c r="U433" s="191">
        <f>ERP_34[[#This Row],[LE2 Final Submission]]-ERP_34[[#This Row],[LE3 Final Submission]]</f>
        <v>15713.16</v>
      </c>
      <c r="V433" s="98"/>
      <c r="W433" s="99"/>
      <c r="X433" s="99"/>
      <c r="Y433" s="100">
        <v>0</v>
      </c>
      <c r="Z433" s="100">
        <v>0</v>
      </c>
      <c r="AA433" s="100">
        <v>0</v>
      </c>
      <c r="AB433" s="100">
        <v>0</v>
      </c>
      <c r="AC433" s="100">
        <v>0</v>
      </c>
      <c r="AD433" s="100">
        <v>0</v>
      </c>
      <c r="AE433" s="100">
        <v>0</v>
      </c>
      <c r="AF433" s="100">
        <v>0</v>
      </c>
      <c r="AG433" s="100">
        <v>0</v>
      </c>
      <c r="AH433" s="101">
        <f t="shared" si="18"/>
        <v>0</v>
      </c>
      <c r="AI433" s="108">
        <f>ERP_34[[#This Row],[2026 Working Total]]-ERP_34[[#This Row],[2026 LE0]]</f>
        <v>15713.16</v>
      </c>
      <c r="AJ433" s="79"/>
      <c r="AK433" s="79"/>
      <c r="AL4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3" s="80"/>
      <c r="AN433" s="79">
        <f>ERP_34[[#This Row],[2026 Working Total to Budget/LE]]-ERP_34[[#This Row],[Giveback]]</f>
        <v>15713.16</v>
      </c>
      <c r="AO433" s="81"/>
      <c r="AP433" s="81"/>
      <c r="AQ433" s="81"/>
      <c r="AR433" s="81"/>
      <c r="AS433" s="81">
        <v>0</v>
      </c>
      <c r="AT433" s="81">
        <v>0</v>
      </c>
      <c r="AU433" s="81">
        <v>0</v>
      </c>
      <c r="AV433" s="81">
        <v>0</v>
      </c>
      <c r="AW433" s="81">
        <v>0</v>
      </c>
      <c r="AX433" s="81">
        <v>0</v>
      </c>
      <c r="AY433" s="81">
        <v>0</v>
      </c>
      <c r="AZ433" s="81">
        <v>0</v>
      </c>
      <c r="BA433" s="81">
        <v>0</v>
      </c>
      <c r="BB433" s="81">
        <v>0</v>
      </c>
      <c r="BC433" s="103">
        <v>-15713.16</v>
      </c>
      <c r="BD433" s="103">
        <v>0</v>
      </c>
      <c r="BE433" s="103">
        <v>0</v>
      </c>
      <c r="BF433" s="103">
        <v>0</v>
      </c>
      <c r="BG433" s="103">
        <v>0</v>
      </c>
      <c r="BH433" s="103">
        <v>0</v>
      </c>
      <c r="BI433" s="103">
        <v>0</v>
      </c>
      <c r="BJ433" s="103">
        <v>0</v>
      </c>
      <c r="BK433" s="103">
        <v>0</v>
      </c>
      <c r="BL433" s="103">
        <v>0</v>
      </c>
      <c r="BM433" s="103">
        <v>0</v>
      </c>
      <c r="BN433" s="103">
        <v>0</v>
      </c>
      <c r="BO433" s="82">
        <f>SUM(ERP_34[[#This Row],[2026 AP01]:[2026 AP12]])</f>
        <v>-15713.16</v>
      </c>
    </row>
    <row r="434" spans="1:67">
      <c r="A434" s="82" t="s">
        <v>2413</v>
      </c>
      <c r="B434" s="83" t="str">
        <f>_xlfn.TEXTJOIN("_",,ERP_34[[#This Row],[LT Member -1*]],ERP_34[[#This Row],[Expense Category]],ERP_34[[#This Row],[Project Code*]])</f>
        <v>Dougherty, Chris_SOFTWARE_IT-SFT1009-86-OG-US/46</v>
      </c>
      <c r="C434" s="67" t="s">
        <v>2959</v>
      </c>
      <c r="D434" s="84" t="s">
        <v>1135</v>
      </c>
      <c r="E434" s="85" t="s">
        <v>1135</v>
      </c>
      <c r="F434" s="68" t="s">
        <v>1137</v>
      </c>
      <c r="G434" s="85" t="s">
        <v>639</v>
      </c>
      <c r="H434" s="110" t="s">
        <v>2414</v>
      </c>
      <c r="I434" s="67"/>
      <c r="J434" s="67"/>
      <c r="K434" s="88" t="s">
        <v>777</v>
      </c>
      <c r="L434" s="111"/>
      <c r="M434" s="1" t="s">
        <v>2339</v>
      </c>
      <c r="N434" s="70" t="s">
        <v>1710</v>
      </c>
      <c r="O434" s="91" t="s">
        <v>707</v>
      </c>
      <c r="P434" s="70" t="s">
        <v>1348</v>
      </c>
      <c r="Q434" s="195"/>
      <c r="R434" s="208">
        <v>930750</v>
      </c>
      <c r="S434" s="95">
        <v>0</v>
      </c>
      <c r="T434" s="190">
        <v>930750</v>
      </c>
      <c r="U434" s="191">
        <f>ERP_34[[#This Row],[LE2 Final Submission]]-ERP_34[[#This Row],[LE3 Final Submission]]</f>
        <v>-930750</v>
      </c>
      <c r="V434" s="98"/>
      <c r="W434" s="99"/>
      <c r="X434" s="99"/>
      <c r="Y434" s="100">
        <v>0</v>
      </c>
      <c r="Z434" s="100">
        <v>0</v>
      </c>
      <c r="AA434" s="100">
        <v>0</v>
      </c>
      <c r="AB434" s="100">
        <v>0</v>
      </c>
      <c r="AC434" s="100">
        <v>0</v>
      </c>
      <c r="AD434" s="100">
        <v>0</v>
      </c>
      <c r="AE434" s="100">
        <v>0</v>
      </c>
      <c r="AF434" s="100">
        <v>0</v>
      </c>
      <c r="AG434" s="100">
        <v>0</v>
      </c>
      <c r="AH434" s="101">
        <f t="shared" si="18"/>
        <v>0</v>
      </c>
      <c r="AI434" s="108">
        <f>ERP_34[[#This Row],[2026 Working Total]]-ERP_34[[#This Row],[2026 LE0]]</f>
        <v>-930750</v>
      </c>
      <c r="AJ434" s="79"/>
      <c r="AK434" s="79"/>
      <c r="AL4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4" s="80"/>
      <c r="AN434" s="79">
        <f>ERP_34[[#This Row],[2026 Working Total to Budget/LE]]-ERP_34[[#This Row],[Giveback]]</f>
        <v>-930750</v>
      </c>
      <c r="AO434" s="81"/>
      <c r="AP434" s="81"/>
      <c r="AQ434" s="81"/>
      <c r="AR434" s="81"/>
      <c r="AS434" s="81">
        <v>0</v>
      </c>
      <c r="AT434" s="81">
        <v>0</v>
      </c>
      <c r="AU434" s="81">
        <v>0</v>
      </c>
      <c r="AV434" s="81">
        <v>0</v>
      </c>
      <c r="AW434" s="81">
        <v>0</v>
      </c>
      <c r="AX434" s="81">
        <v>0</v>
      </c>
      <c r="AY434" s="81">
        <v>0</v>
      </c>
      <c r="AZ434" s="81">
        <v>0</v>
      </c>
      <c r="BA434" s="81">
        <v>0</v>
      </c>
      <c r="BB434" s="81">
        <v>0</v>
      </c>
      <c r="BC434" s="103">
        <v>930750</v>
      </c>
      <c r="BD434" s="103">
        <v>0</v>
      </c>
      <c r="BE434" s="103">
        <v>0</v>
      </c>
      <c r="BF434" s="103">
        <v>0</v>
      </c>
      <c r="BG434" s="103">
        <v>0</v>
      </c>
      <c r="BH434" s="103">
        <v>0</v>
      </c>
      <c r="BI434" s="103">
        <v>0</v>
      </c>
      <c r="BJ434" s="103">
        <v>0</v>
      </c>
      <c r="BK434" s="103">
        <v>0</v>
      </c>
      <c r="BL434" s="103">
        <v>0</v>
      </c>
      <c r="BM434" s="103">
        <v>0</v>
      </c>
      <c r="BN434" s="103">
        <v>0</v>
      </c>
      <c r="BO434" s="82">
        <f>SUM(ERP_34[[#This Row],[2026 AP01]:[2026 AP12]])</f>
        <v>930750</v>
      </c>
    </row>
    <row r="435" spans="1:67">
      <c r="A435" s="82" t="s">
        <v>2415</v>
      </c>
      <c r="B435" s="83" t="str">
        <f>_xlfn.TEXTJOIN("_",,ERP_34[[#This Row],[LT Member -1*]],ERP_34[[#This Row],[Expense Category]],ERP_34[[#This Row],[Project Code*]])</f>
        <v>Dougherty, Chris_SOFTWARE_IT-SFT1009-86-OG-US/46/PF</v>
      </c>
      <c r="C435" s="67" t="s">
        <v>2959</v>
      </c>
      <c r="D435" s="84" t="s">
        <v>1135</v>
      </c>
      <c r="E435" s="85" t="s">
        <v>1135</v>
      </c>
      <c r="F435" s="68" t="s">
        <v>1137</v>
      </c>
      <c r="G435" s="85" t="s">
        <v>639</v>
      </c>
      <c r="H435" s="110" t="s">
        <v>2416</v>
      </c>
      <c r="I435" s="67"/>
      <c r="J435" s="67"/>
      <c r="K435" s="88" t="s">
        <v>779</v>
      </c>
      <c r="L435" s="111"/>
      <c r="M435" s="1" t="s">
        <v>2969</v>
      </c>
      <c r="N435" s="70" t="s">
        <v>1710</v>
      </c>
      <c r="O435" s="91" t="s">
        <v>707</v>
      </c>
      <c r="P435" s="70" t="s">
        <v>1348</v>
      </c>
      <c r="Q435" s="195"/>
      <c r="R435" s="94">
        <v>-930750</v>
      </c>
      <c r="S435" s="95">
        <v>0</v>
      </c>
      <c r="T435" s="190">
        <v>-930750</v>
      </c>
      <c r="U435" s="191">
        <f>ERP_34[[#This Row],[LE2 Final Submission]]-ERP_34[[#This Row],[LE3 Final Submission]]</f>
        <v>930750</v>
      </c>
      <c r="V435" s="98"/>
      <c r="W435" s="99"/>
      <c r="X435" s="99"/>
      <c r="Y435" s="100">
        <v>0</v>
      </c>
      <c r="Z435" s="100">
        <v>0</v>
      </c>
      <c r="AA435" s="100">
        <v>0</v>
      </c>
      <c r="AB435" s="100">
        <v>0</v>
      </c>
      <c r="AC435" s="100">
        <v>0</v>
      </c>
      <c r="AD435" s="100">
        <v>0</v>
      </c>
      <c r="AE435" s="100">
        <v>0</v>
      </c>
      <c r="AF435" s="100">
        <v>0</v>
      </c>
      <c r="AG435" s="100">
        <v>0</v>
      </c>
      <c r="AH435" s="101">
        <f t="shared" si="18"/>
        <v>0</v>
      </c>
      <c r="AI435" s="108">
        <f>ERP_34[[#This Row],[2026 Working Total]]-ERP_34[[#This Row],[2026 LE0]]</f>
        <v>930750</v>
      </c>
      <c r="AJ435" s="79"/>
      <c r="AK435" s="79"/>
      <c r="AL4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5" s="80"/>
      <c r="AN435" s="79">
        <f>ERP_34[[#This Row],[2026 Working Total to Budget/LE]]-ERP_34[[#This Row],[Giveback]]</f>
        <v>930750</v>
      </c>
      <c r="AO435" s="81"/>
      <c r="AP435" s="81"/>
      <c r="AQ435" s="81"/>
      <c r="AR435" s="81"/>
      <c r="AS435" s="81">
        <v>0</v>
      </c>
      <c r="AT435" s="81">
        <v>0</v>
      </c>
      <c r="AU435" s="81">
        <v>0</v>
      </c>
      <c r="AV435" s="81">
        <v>0</v>
      </c>
      <c r="AW435" s="81">
        <v>0</v>
      </c>
      <c r="AX435" s="81">
        <v>0</v>
      </c>
      <c r="AY435" s="81">
        <v>0</v>
      </c>
      <c r="AZ435" s="81">
        <v>0</v>
      </c>
      <c r="BA435" s="81">
        <v>0</v>
      </c>
      <c r="BB435" s="81">
        <v>0</v>
      </c>
      <c r="BC435" s="103">
        <v>-930750</v>
      </c>
      <c r="BD435" s="103">
        <v>0</v>
      </c>
      <c r="BE435" s="103">
        <v>0</v>
      </c>
      <c r="BF435" s="103">
        <v>0</v>
      </c>
      <c r="BG435" s="103">
        <v>0</v>
      </c>
      <c r="BH435" s="103">
        <v>0</v>
      </c>
      <c r="BI435" s="103">
        <v>0</v>
      </c>
      <c r="BJ435" s="103">
        <v>0</v>
      </c>
      <c r="BK435" s="103">
        <v>0</v>
      </c>
      <c r="BL435" s="103">
        <v>0</v>
      </c>
      <c r="BM435" s="103">
        <v>0</v>
      </c>
      <c r="BN435" s="103">
        <v>0</v>
      </c>
      <c r="BO435" s="82">
        <f>SUM(ERP_34[[#This Row],[2026 AP01]:[2026 AP12]])</f>
        <v>-930750</v>
      </c>
    </row>
    <row r="436" spans="1:67">
      <c r="A436" s="82" t="s">
        <v>2417</v>
      </c>
      <c r="B436" s="83" t="str">
        <f>_xlfn.TEXTJOIN("_",,ERP_34[[#This Row],[LT Member -1*]],ERP_34[[#This Row],[Expense Category]],ERP_34[[#This Row],[Project Code*]])</f>
        <v>Dougherty, Chris_SOFTWARE_IT-SFT1009-86-OG-US/FV</v>
      </c>
      <c r="C436" s="67" t="s">
        <v>2959</v>
      </c>
      <c r="D436" s="84" t="s">
        <v>1135</v>
      </c>
      <c r="E436" s="85" t="s">
        <v>1135</v>
      </c>
      <c r="F436" s="68" t="s">
        <v>1137</v>
      </c>
      <c r="G436" s="85" t="s">
        <v>639</v>
      </c>
      <c r="H436" s="110" t="s">
        <v>2418</v>
      </c>
      <c r="I436" s="67"/>
      <c r="J436" s="67"/>
      <c r="K436" s="88" t="s">
        <v>781</v>
      </c>
      <c r="L436" s="111"/>
      <c r="M436" s="70" t="s">
        <v>2970</v>
      </c>
      <c r="N436" s="70" t="s">
        <v>1710</v>
      </c>
      <c r="O436" s="91" t="s">
        <v>707</v>
      </c>
      <c r="P436" s="70" t="s">
        <v>1348</v>
      </c>
      <c r="Q436" s="195"/>
      <c r="R436" s="94">
        <v>9567</v>
      </c>
      <c r="S436" s="95">
        <v>0</v>
      </c>
      <c r="T436" s="190">
        <v>9567</v>
      </c>
      <c r="U436" s="191">
        <f>ERP_34[[#This Row],[LE2 Final Submission]]-ERP_34[[#This Row],[LE3 Final Submission]]</f>
        <v>-9567</v>
      </c>
      <c r="V436" s="98"/>
      <c r="W436" s="99"/>
      <c r="X436" s="99"/>
      <c r="Y436" s="100">
        <v>0</v>
      </c>
      <c r="Z436" s="100">
        <v>0</v>
      </c>
      <c r="AA436" s="100">
        <v>0</v>
      </c>
      <c r="AB436" s="100">
        <v>0</v>
      </c>
      <c r="AC436" s="100">
        <v>0</v>
      </c>
      <c r="AD436" s="100">
        <v>0</v>
      </c>
      <c r="AE436" s="100">
        <v>0</v>
      </c>
      <c r="AF436" s="100">
        <v>0</v>
      </c>
      <c r="AG436" s="100">
        <v>0</v>
      </c>
      <c r="AH436" s="101">
        <f t="shared" si="18"/>
        <v>0</v>
      </c>
      <c r="AI436" s="108">
        <f>ERP_34[[#This Row],[2026 Working Total]]-ERP_34[[#This Row],[2026 LE0]]</f>
        <v>-9567</v>
      </c>
      <c r="AJ436" s="79"/>
      <c r="AK436" s="79"/>
      <c r="AL4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6" s="80"/>
      <c r="AN436" s="79">
        <f>ERP_34[[#This Row],[2026 Working Total to Budget/LE]]-ERP_34[[#This Row],[Giveback]]</f>
        <v>-9567</v>
      </c>
      <c r="AO436" s="81"/>
      <c r="AP436" s="81"/>
      <c r="AQ436" s="81"/>
      <c r="AR436" s="81"/>
      <c r="AS436" s="81">
        <v>0</v>
      </c>
      <c r="AT436" s="81">
        <v>0</v>
      </c>
      <c r="AU436" s="81">
        <v>0</v>
      </c>
      <c r="AV436" s="81">
        <v>0</v>
      </c>
      <c r="AW436" s="81">
        <v>0</v>
      </c>
      <c r="AX436" s="81">
        <v>0</v>
      </c>
      <c r="AY436" s="81">
        <v>0</v>
      </c>
      <c r="AZ436" s="81">
        <v>0</v>
      </c>
      <c r="BA436" s="81">
        <v>0</v>
      </c>
      <c r="BB436" s="81">
        <v>0</v>
      </c>
      <c r="BC436" s="103">
        <v>9567</v>
      </c>
      <c r="BD436" s="103">
        <v>0</v>
      </c>
      <c r="BE436" s="103">
        <v>0</v>
      </c>
      <c r="BF436" s="103">
        <v>0</v>
      </c>
      <c r="BG436" s="103">
        <v>0</v>
      </c>
      <c r="BH436" s="103">
        <v>0</v>
      </c>
      <c r="BI436" s="103">
        <v>0</v>
      </c>
      <c r="BJ436" s="103">
        <v>0</v>
      </c>
      <c r="BK436" s="103">
        <v>0</v>
      </c>
      <c r="BL436" s="103">
        <v>0</v>
      </c>
      <c r="BM436" s="103">
        <v>0</v>
      </c>
      <c r="BN436" s="103">
        <v>0</v>
      </c>
      <c r="BO436" s="82">
        <f>SUM(ERP_34[[#This Row],[2026 AP01]:[2026 AP12]])</f>
        <v>9567</v>
      </c>
    </row>
    <row r="437" spans="1:67">
      <c r="A437" s="82" t="s">
        <v>2419</v>
      </c>
      <c r="B437" s="83" t="str">
        <f>_xlfn.TEXTJOIN("_",,ERP_34[[#This Row],[LT Member -1*]],ERP_34[[#This Row],[Expense Category]],ERP_34[[#This Row],[Project Code*]])</f>
        <v>Dougherty, Chris_SOFTWARE_IT-SFT1009-86-OG-US/FV/PF</v>
      </c>
      <c r="C437" s="67" t="s">
        <v>2959</v>
      </c>
      <c r="D437" s="84" t="s">
        <v>1135</v>
      </c>
      <c r="E437" s="85" t="s">
        <v>1135</v>
      </c>
      <c r="F437" s="68" t="s">
        <v>1137</v>
      </c>
      <c r="G437" s="85" t="s">
        <v>639</v>
      </c>
      <c r="H437" s="110" t="s">
        <v>2420</v>
      </c>
      <c r="I437" s="67"/>
      <c r="J437" s="67"/>
      <c r="K437" s="88" t="s">
        <v>783</v>
      </c>
      <c r="L437" s="111"/>
      <c r="M437" s="1" t="s">
        <v>2969</v>
      </c>
      <c r="N437" s="70" t="s">
        <v>1710</v>
      </c>
      <c r="O437" s="91" t="s">
        <v>707</v>
      </c>
      <c r="P437" s="70" t="s">
        <v>1348</v>
      </c>
      <c r="Q437" s="195"/>
      <c r="R437" s="94">
        <v>-9567</v>
      </c>
      <c r="S437" s="95">
        <v>0</v>
      </c>
      <c r="T437" s="190">
        <v>-9567</v>
      </c>
      <c r="U437" s="191">
        <f>ERP_34[[#This Row],[LE2 Final Submission]]-ERP_34[[#This Row],[LE3 Final Submission]]</f>
        <v>9567</v>
      </c>
      <c r="V437" s="98"/>
      <c r="W437" s="99"/>
      <c r="X437" s="99"/>
      <c r="Y437" s="100">
        <v>0</v>
      </c>
      <c r="Z437" s="100">
        <v>0</v>
      </c>
      <c r="AA437" s="100">
        <v>0</v>
      </c>
      <c r="AB437" s="100">
        <v>0</v>
      </c>
      <c r="AC437" s="100">
        <v>0</v>
      </c>
      <c r="AD437" s="100">
        <v>0</v>
      </c>
      <c r="AE437" s="100">
        <v>0</v>
      </c>
      <c r="AF437" s="100">
        <v>0</v>
      </c>
      <c r="AG437" s="100">
        <v>0</v>
      </c>
      <c r="AH437" s="101">
        <f t="shared" si="18"/>
        <v>0</v>
      </c>
      <c r="AI437" s="108">
        <f>ERP_34[[#This Row],[2026 Working Total]]-ERP_34[[#This Row],[2026 LE0]]</f>
        <v>9567</v>
      </c>
      <c r="AJ437" s="79"/>
      <c r="AK437" s="79"/>
      <c r="AL4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7" s="80"/>
      <c r="AN437" s="79">
        <f>ERP_34[[#This Row],[2026 Working Total to Budget/LE]]-ERP_34[[#This Row],[Giveback]]</f>
        <v>9567</v>
      </c>
      <c r="AO437" s="81"/>
      <c r="AP437" s="81"/>
      <c r="AQ437" s="81"/>
      <c r="AR437" s="81"/>
      <c r="AS437" s="81">
        <v>0</v>
      </c>
      <c r="AT437" s="81">
        <v>0</v>
      </c>
      <c r="AU437" s="81">
        <v>0</v>
      </c>
      <c r="AV437" s="81">
        <v>0</v>
      </c>
      <c r="AW437" s="81">
        <v>0</v>
      </c>
      <c r="AX437" s="81">
        <v>0</v>
      </c>
      <c r="AY437" s="81">
        <v>0</v>
      </c>
      <c r="AZ437" s="81">
        <v>0</v>
      </c>
      <c r="BA437" s="81">
        <v>0</v>
      </c>
      <c r="BB437" s="81">
        <v>0</v>
      </c>
      <c r="BC437" s="103">
        <v>-9567</v>
      </c>
      <c r="BD437" s="103">
        <v>0</v>
      </c>
      <c r="BE437" s="103">
        <v>0</v>
      </c>
      <c r="BF437" s="103">
        <v>0</v>
      </c>
      <c r="BG437" s="103">
        <v>0</v>
      </c>
      <c r="BH437" s="103">
        <v>0</v>
      </c>
      <c r="BI437" s="103">
        <v>0</v>
      </c>
      <c r="BJ437" s="103">
        <v>0</v>
      </c>
      <c r="BK437" s="103">
        <v>0</v>
      </c>
      <c r="BL437" s="103">
        <v>0</v>
      </c>
      <c r="BM437" s="103">
        <v>0</v>
      </c>
      <c r="BN437" s="103">
        <v>0</v>
      </c>
      <c r="BO437" s="82">
        <f>SUM(ERP_34[[#This Row],[2026 AP01]:[2026 AP12]])</f>
        <v>-9567</v>
      </c>
    </row>
    <row r="438" spans="1:67">
      <c r="A438" s="66" t="s">
        <v>2421</v>
      </c>
      <c r="B438" s="66" t="str">
        <f>_xlfn.TEXTJOIN("_",,ERP_34[[#This Row],[LT Member -1*]],ERP_34[[#This Row],[Expense Category]],ERP_34[[#This Row],[Project Code*]])</f>
        <v>Dougherty, Chris_SOFTWARE_IT-SFT1009-86-OG-US-CB</v>
      </c>
      <c r="C438" s="67" t="s">
        <v>1136</v>
      </c>
      <c r="D438" s="67" t="s">
        <v>1135</v>
      </c>
      <c r="E438" s="67" t="s">
        <v>1135</v>
      </c>
      <c r="F438" s="67" t="s">
        <v>1137</v>
      </c>
      <c r="G438" s="68" t="s">
        <v>639</v>
      </c>
      <c r="H438" s="106" t="s">
        <v>2422</v>
      </c>
      <c r="I438" s="70"/>
      <c r="J438" s="70"/>
      <c r="K438" s="70" t="s">
        <v>785</v>
      </c>
      <c r="L438" s="70"/>
      <c r="M438" s="1" t="s">
        <v>2971</v>
      </c>
      <c r="N438" s="70"/>
      <c r="O438" s="67" t="s">
        <v>67</v>
      </c>
      <c r="P438" s="67"/>
      <c r="Q438" s="71"/>
      <c r="R438" s="72">
        <v>-551382.25</v>
      </c>
      <c r="S438" s="73">
        <v>-551382.25</v>
      </c>
      <c r="T438" s="73">
        <v>-551382.25</v>
      </c>
      <c r="U438" s="71">
        <f>ERP_34[[#This Row],[LE2 Final Submission]]-ERP_34[[#This Row],[LE3 Final Submission]]</f>
        <v>0</v>
      </c>
      <c r="V438" s="74"/>
      <c r="W438" s="75"/>
      <c r="X438" s="153">
        <v>-551382.25</v>
      </c>
      <c r="Y438" s="109">
        <v>0</v>
      </c>
      <c r="Z438" s="109">
        <v>0</v>
      </c>
      <c r="AA438" s="109">
        <v>0</v>
      </c>
      <c r="AB438" s="109">
        <v>0</v>
      </c>
      <c r="AC438" s="109">
        <v>0</v>
      </c>
      <c r="AD438" s="109">
        <v>0</v>
      </c>
      <c r="AE438" s="109">
        <v>0</v>
      </c>
      <c r="AF438" s="109">
        <v>0</v>
      </c>
      <c r="AG438" s="109">
        <v>0</v>
      </c>
      <c r="AH438" s="77">
        <f t="shared" si="18"/>
        <v>-551382.25</v>
      </c>
      <c r="AI438" s="108">
        <f>ERP_34[[#This Row],[2026 Working Total]]-ERP_34[[#This Row],[2026 LE0]]</f>
        <v>0</v>
      </c>
      <c r="AJ438" s="79"/>
      <c r="AK438" s="79"/>
      <c r="AL4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8" s="80"/>
      <c r="AN438" s="79">
        <f>ERP_34[[#This Row],[2026 Working Total to Budget/LE]]-ERP_34[[#This Row],[Giveback]]</f>
        <v>0</v>
      </c>
      <c r="AO438" s="81"/>
      <c r="AP438" s="81"/>
      <c r="AQ438" s="81"/>
      <c r="AR438" s="81">
        <v>-551382.25</v>
      </c>
      <c r="AS438" s="81">
        <v>0</v>
      </c>
      <c r="AT438" s="81">
        <v>0</v>
      </c>
      <c r="AU438" s="81">
        <v>0</v>
      </c>
      <c r="AV438" s="81">
        <v>0</v>
      </c>
      <c r="AW438" s="81">
        <v>0</v>
      </c>
      <c r="AX438" s="81">
        <v>0</v>
      </c>
      <c r="AY438" s="81">
        <v>0</v>
      </c>
      <c r="AZ438" s="81">
        <v>0</v>
      </c>
      <c r="BA438" s="81">
        <v>0</v>
      </c>
      <c r="BB438" s="81">
        <v>-551382.25</v>
      </c>
      <c r="BC438" s="79"/>
      <c r="BD438" s="79"/>
      <c r="BE438" s="79">
        <v>-551382.25</v>
      </c>
      <c r="BF438" s="79">
        <v>0</v>
      </c>
      <c r="BG438" s="79">
        <v>0</v>
      </c>
      <c r="BH438" s="79">
        <v>0</v>
      </c>
      <c r="BI438" s="79">
        <v>0</v>
      </c>
      <c r="BJ438" s="79">
        <v>0</v>
      </c>
      <c r="BK438" s="79">
        <v>0</v>
      </c>
      <c r="BL438" s="79">
        <v>0</v>
      </c>
      <c r="BM438" s="79">
        <v>0</v>
      </c>
      <c r="BN438" s="79">
        <v>0</v>
      </c>
      <c r="BO438" s="79">
        <v>-551382.25</v>
      </c>
    </row>
    <row r="439" spans="1:67">
      <c r="A439" s="66" t="s">
        <v>2148</v>
      </c>
      <c r="B439" s="66" t="str">
        <f>_xlfn.TEXTJOIN("_",,ERP_34[[#This Row],[LT Member -1*]],ERP_34[[#This Row],[Expense Category]],ERP_34[[#This Row],[Project Code*]])</f>
        <v>Dougherty, Chris_OTHER_IT-SFT1010-86-OG-US</v>
      </c>
      <c r="C439" s="67" t="s">
        <v>1136</v>
      </c>
      <c r="D439" s="67" t="s">
        <v>1135</v>
      </c>
      <c r="E439" s="67" t="s">
        <v>1135</v>
      </c>
      <c r="F439" s="67" t="s">
        <v>1137</v>
      </c>
      <c r="G439" s="68" t="s">
        <v>602</v>
      </c>
      <c r="H439" s="106" t="s">
        <v>2149</v>
      </c>
      <c r="I439" s="70"/>
      <c r="J439" s="70"/>
      <c r="K439" s="70" t="s">
        <v>604</v>
      </c>
      <c r="L439" s="70"/>
      <c r="M439" s="70"/>
      <c r="N439" s="70"/>
      <c r="O439" s="67" t="s">
        <v>605</v>
      </c>
      <c r="P439" s="67"/>
      <c r="Q439" s="137"/>
      <c r="R439" s="138">
        <v>0</v>
      </c>
      <c r="S439" s="139">
        <v>0</v>
      </c>
      <c r="T439" s="139">
        <v>0</v>
      </c>
      <c r="U439" s="137">
        <f>ERP_34[[#This Row],[LE2 Final Submission]]-ERP_34[[#This Row],[LE3 Final Submission]]</f>
        <v>0</v>
      </c>
      <c r="V439" s="74">
        <v>4356992.08</v>
      </c>
      <c r="W439" s="75">
        <v>-4356992.08</v>
      </c>
      <c r="X439" s="75"/>
      <c r="Y439" s="76"/>
      <c r="Z439" s="76"/>
      <c r="AA439" s="76"/>
      <c r="AB439" s="76"/>
      <c r="AC439" s="76"/>
      <c r="AD439" s="76"/>
      <c r="AE439" s="76"/>
      <c r="AF439" s="76"/>
      <c r="AG439" s="76"/>
      <c r="AH439" s="77">
        <f t="shared" si="18"/>
        <v>0</v>
      </c>
      <c r="AI439" s="108">
        <f>ERP_34[[#This Row],[2026 Working Total]]-ERP_34[[#This Row],[2026 LE0]]</f>
        <v>0</v>
      </c>
      <c r="AJ439" s="79"/>
      <c r="AK439" s="79"/>
      <c r="AL4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39" s="80"/>
      <c r="AN439" s="79">
        <f>ERP_34[[#This Row],[2026 Working Total to Budget/LE]]-ERP_34[[#This Row],[Giveback]]</f>
        <v>0</v>
      </c>
      <c r="AO439" s="81"/>
      <c r="AP439" s="81">
        <v>4356992.08</v>
      </c>
      <c r="AQ439" s="81">
        <v>-4356992.08</v>
      </c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>
        <v>0</v>
      </c>
      <c r="BC439" s="79">
        <v>4356992.08</v>
      </c>
      <c r="BD439" s="79">
        <v>-4356992.08</v>
      </c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>
        <v>0</v>
      </c>
    </row>
    <row r="440" spans="1:67">
      <c r="A440" s="66" t="s">
        <v>2423</v>
      </c>
      <c r="B440" s="66" t="str">
        <f>_xlfn.TEXTJOIN("_",,ERP_34[[#This Row],[LT Member -1*]],ERP_34[[#This Row],[Expense Category]],ERP_34[[#This Row],[Project Code*]])</f>
        <v>Dougherty, Chris_SOFTWARE_IT-SFT1010-86-OG-US</v>
      </c>
      <c r="C440" s="67" t="s">
        <v>1136</v>
      </c>
      <c r="D440" s="67" t="s">
        <v>1135</v>
      </c>
      <c r="E440" s="67" t="s">
        <v>1135</v>
      </c>
      <c r="F440" s="67" t="s">
        <v>1137</v>
      </c>
      <c r="G440" s="68" t="s">
        <v>639</v>
      </c>
      <c r="H440" s="106" t="s">
        <v>2149</v>
      </c>
      <c r="I440" s="70" t="s">
        <v>2964</v>
      </c>
      <c r="J440" s="70"/>
      <c r="K440" s="70" t="s">
        <v>604</v>
      </c>
      <c r="L440" s="70"/>
      <c r="M440" s="70" t="s">
        <v>2424</v>
      </c>
      <c r="N440" s="70"/>
      <c r="O440" s="67" t="s">
        <v>605</v>
      </c>
      <c r="P440" s="67" t="s">
        <v>2425</v>
      </c>
      <c r="Q440" s="71"/>
      <c r="R440" s="72">
        <v>4356984</v>
      </c>
      <c r="S440" s="73">
        <v>4356986.0199999996</v>
      </c>
      <c r="T440" s="73">
        <v>4356984</v>
      </c>
      <c r="U440" s="71">
        <f>ERP_34[[#This Row],[LE2 Final Submission]]-ERP_34[[#This Row],[LE3 Final Submission]]</f>
        <v>2.0199999995529652</v>
      </c>
      <c r="V440" s="74"/>
      <c r="W440" s="75">
        <v>726165.35</v>
      </c>
      <c r="X440" s="75">
        <v>363082.67</v>
      </c>
      <c r="Y440" s="76">
        <f>363082-363082</f>
        <v>0</v>
      </c>
      <c r="Z440" s="76">
        <f>363082+363082</f>
        <v>726164</v>
      </c>
      <c r="AA440" s="175">
        <v>363082</v>
      </c>
      <c r="AB440" s="76">
        <f>363082-363082</f>
        <v>0</v>
      </c>
      <c r="AC440" s="76">
        <f>363082+363082</f>
        <v>726164</v>
      </c>
      <c r="AD440" s="76">
        <v>363082</v>
      </c>
      <c r="AE440" s="76">
        <f>363082-363082</f>
        <v>0</v>
      </c>
      <c r="AF440" s="76">
        <f>363082+363082</f>
        <v>726164</v>
      </c>
      <c r="AG440" s="76">
        <v>363082</v>
      </c>
      <c r="AH440" s="176">
        <f t="shared" si="18"/>
        <v>4356986.0199999996</v>
      </c>
      <c r="AI440" s="108">
        <f>ERP_34[[#This Row],[2026 Working Total]]-ERP_34[[#This Row],[2026 LE0]]</f>
        <v>2.0199999995529652</v>
      </c>
      <c r="AJ440" s="79"/>
      <c r="AK440" s="79"/>
      <c r="AL440" s="79">
        <f>ERP_34[[#This Row],[AP01]]+ERP_34[[#This Row],[AP02]]+ERP_34[[#This Row],[AP03]]+ERP_34[[#This Row],[AP04]]-ERP_34[[#This Row],[AP01 LE2]]-ERP_34[[#This Row],[AP02 LE2]]-ERP_34[[#This Row],[AP03 LE2]]-ERP_34[[#This Row],[AP04 LE2]]</f>
        <v>5.8207660913467407E-11</v>
      </c>
      <c r="AM440" s="80"/>
      <c r="AN440" s="79">
        <f>ERP_34[[#This Row],[2026 Working Total to Budget/LE]]-ERP_34[[#This Row],[Giveback]]</f>
        <v>2.0199999995529652</v>
      </c>
      <c r="AO440" s="81"/>
      <c r="AP440" s="81"/>
      <c r="AQ440" s="81">
        <v>726165.35</v>
      </c>
      <c r="AR440" s="81">
        <v>363082.67</v>
      </c>
      <c r="AS440" s="81">
        <v>0</v>
      </c>
      <c r="AT440" s="81">
        <v>726164</v>
      </c>
      <c r="AU440" s="81">
        <v>363082</v>
      </c>
      <c r="AV440" s="81">
        <v>0</v>
      </c>
      <c r="AW440" s="81">
        <v>726164</v>
      </c>
      <c r="AX440" s="81">
        <v>363082</v>
      </c>
      <c r="AY440" s="81">
        <v>0</v>
      </c>
      <c r="AZ440" s="81">
        <v>726164</v>
      </c>
      <c r="BA440" s="81">
        <v>363082</v>
      </c>
      <c r="BB440" s="81">
        <v>4356986.0199999996</v>
      </c>
      <c r="BC440" s="79"/>
      <c r="BD440" s="79">
        <v>726165.35</v>
      </c>
      <c r="BE440" s="79">
        <v>363082.67</v>
      </c>
      <c r="BF440" s="79">
        <v>363082</v>
      </c>
      <c r="BG440" s="79">
        <v>363082</v>
      </c>
      <c r="BH440" s="79">
        <v>363082</v>
      </c>
      <c r="BI440" s="79">
        <v>363082</v>
      </c>
      <c r="BJ440" s="79">
        <v>363082</v>
      </c>
      <c r="BK440" s="79">
        <v>363082</v>
      </c>
      <c r="BL440" s="79">
        <v>363082</v>
      </c>
      <c r="BM440" s="79">
        <v>363082</v>
      </c>
      <c r="BN440" s="79">
        <v>363082</v>
      </c>
      <c r="BO440" s="79">
        <v>4356986.0199999996</v>
      </c>
    </row>
    <row r="441" spans="1:67">
      <c r="A441" s="66" t="s">
        <v>2426</v>
      </c>
      <c r="B441" s="66" t="str">
        <f>_xlfn.TEXTJOIN("_",,ERP_34[[#This Row],[LT Member -1*]],ERP_34[[#This Row],[Expense Category]],ERP_34[[#This Row],[Project Code*]])</f>
        <v>Dougherty, Chris_SOFTWARE_IT-SFT1012-86-OG-US</v>
      </c>
      <c r="C441" s="67" t="s">
        <v>1136</v>
      </c>
      <c r="D441" s="67" t="s">
        <v>1135</v>
      </c>
      <c r="E441" s="67" t="s">
        <v>1135</v>
      </c>
      <c r="F441" s="67" t="s">
        <v>1137</v>
      </c>
      <c r="G441" s="68" t="s">
        <v>639</v>
      </c>
      <c r="H441" s="106" t="s">
        <v>2427</v>
      </c>
      <c r="I441" s="70"/>
      <c r="J441" s="70"/>
      <c r="K441" s="114" t="s">
        <v>788</v>
      </c>
      <c r="L441" s="70"/>
      <c r="M441" s="70"/>
      <c r="N441" s="70"/>
      <c r="O441" s="67" t="s">
        <v>789</v>
      </c>
      <c r="P441" s="67"/>
      <c r="Q441" s="71"/>
      <c r="R441" s="72">
        <v>5012</v>
      </c>
      <c r="S441" s="73">
        <v>2512</v>
      </c>
      <c r="T441" s="73">
        <v>5012</v>
      </c>
      <c r="U441" s="71">
        <f>ERP_34[[#This Row],[LE2 Final Submission]]-ERP_34[[#This Row],[LE3 Final Submission]]</f>
        <v>-2500</v>
      </c>
      <c r="V441" s="74"/>
      <c r="W441" s="75"/>
      <c r="X441" s="75"/>
      <c r="Y441" s="76"/>
      <c r="Z441" s="76"/>
      <c r="AA441" s="76"/>
      <c r="AB441" s="109">
        <v>0</v>
      </c>
      <c r="AC441" s="109">
        <v>0</v>
      </c>
      <c r="AD441" s="109">
        <v>0</v>
      </c>
      <c r="AE441" s="109">
        <v>0</v>
      </c>
      <c r="AF441" s="76">
        <v>2512</v>
      </c>
      <c r="AG441" s="109">
        <v>0</v>
      </c>
      <c r="AH441" s="77">
        <f t="shared" si="18"/>
        <v>2512</v>
      </c>
      <c r="AI441" s="108">
        <f>ERP_34[[#This Row],[2026 Working Total]]-ERP_34[[#This Row],[2026 LE0]]</f>
        <v>-2500</v>
      </c>
      <c r="AJ441" s="79"/>
      <c r="AK441" s="79"/>
      <c r="AL4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1" s="80"/>
      <c r="AN441" s="79">
        <f>ERP_34[[#This Row],[2026 Working Total to Budget/LE]]-ERP_34[[#This Row],[Giveback]]</f>
        <v>-2500</v>
      </c>
      <c r="AO441" s="81"/>
      <c r="AP441" s="81"/>
      <c r="AQ441" s="81"/>
      <c r="AR441" s="81"/>
      <c r="AS441" s="81"/>
      <c r="AT441" s="81"/>
      <c r="AU441" s="81"/>
      <c r="AV441" s="81">
        <v>0</v>
      </c>
      <c r="AW441" s="81">
        <v>0</v>
      </c>
      <c r="AX441" s="81">
        <v>0</v>
      </c>
      <c r="AY441" s="81">
        <v>0</v>
      </c>
      <c r="AZ441" s="81">
        <v>2512</v>
      </c>
      <c r="BA441" s="81">
        <v>0</v>
      </c>
      <c r="BB441" s="81">
        <v>2512</v>
      </c>
      <c r="BC441" s="79"/>
      <c r="BD441" s="79"/>
      <c r="BE441" s="79"/>
      <c r="BF441" s="79"/>
      <c r="BG441" s="79"/>
      <c r="BH441" s="79">
        <v>2500</v>
      </c>
      <c r="BI441" s="79">
        <v>0</v>
      </c>
      <c r="BJ441" s="79">
        <v>0</v>
      </c>
      <c r="BK441" s="79">
        <v>0</v>
      </c>
      <c r="BL441" s="79">
        <v>0</v>
      </c>
      <c r="BM441" s="79">
        <v>2512</v>
      </c>
      <c r="BN441" s="79">
        <v>0</v>
      </c>
      <c r="BO441" s="79">
        <v>5012</v>
      </c>
    </row>
    <row r="442" spans="1:67">
      <c r="A442" s="82" t="s">
        <v>2429</v>
      </c>
      <c r="B442" s="83" t="str">
        <f>_xlfn.TEXTJOIN("_",,ERP_34[[#This Row],[LT Member -1*]],ERP_34[[#This Row],[Expense Category]],ERP_34[[#This Row],[Project Code*]])</f>
        <v>Patel, Nikunj Rohitkumar_SOFTWARE_IT-SFT1023-86-OG-US</v>
      </c>
      <c r="C442" s="67" t="s">
        <v>2959</v>
      </c>
      <c r="D442" s="84" t="s">
        <v>1135</v>
      </c>
      <c r="E442" s="120" t="s">
        <v>1161</v>
      </c>
      <c r="F442" s="86" t="s">
        <v>1137</v>
      </c>
      <c r="G442" s="85" t="s">
        <v>639</v>
      </c>
      <c r="H442" s="121" t="s">
        <v>2431</v>
      </c>
      <c r="I442" s="84"/>
      <c r="J442" s="84"/>
      <c r="K442" s="122" t="s">
        <v>791</v>
      </c>
      <c r="L442" s="89"/>
      <c r="M442" s="90"/>
      <c r="N442" s="70" t="s">
        <v>1710</v>
      </c>
      <c r="O442" s="122" t="s">
        <v>792</v>
      </c>
      <c r="P442" s="70" t="s">
        <v>1348</v>
      </c>
      <c r="Q442" s="195"/>
      <c r="R442" s="94">
        <v>56404</v>
      </c>
      <c r="S442" s="95">
        <v>0</v>
      </c>
      <c r="T442" s="202">
        <v>56404</v>
      </c>
      <c r="U442" s="203">
        <f>ERP_34[[#This Row],[LE2 Final Submission]]-ERP_34[[#This Row],[LE3 Final Submission]]</f>
        <v>-56404</v>
      </c>
      <c r="V442" s="98"/>
      <c r="W442" s="99"/>
      <c r="X442" s="99"/>
      <c r="Y442" s="100">
        <v>0</v>
      </c>
      <c r="Z442" s="100">
        <v>0</v>
      </c>
      <c r="AA442" s="100">
        <v>0</v>
      </c>
      <c r="AB442" s="100">
        <v>0</v>
      </c>
      <c r="AC442" s="100">
        <v>0</v>
      </c>
      <c r="AD442" s="100">
        <v>0</v>
      </c>
      <c r="AE442" s="100">
        <v>0</v>
      </c>
      <c r="AF442" s="100">
        <v>0</v>
      </c>
      <c r="AG442" s="100">
        <v>0</v>
      </c>
      <c r="AH442" s="101">
        <f t="shared" si="18"/>
        <v>0</v>
      </c>
      <c r="AI442" s="108">
        <f>ERP_34[[#This Row],[2026 Working Total]]-ERP_34[[#This Row],[2026 LE0]]</f>
        <v>-56404</v>
      </c>
      <c r="AJ442" s="79"/>
      <c r="AK442" s="79"/>
      <c r="AL4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2" s="80"/>
      <c r="AN442" s="79">
        <f>ERP_34[[#This Row],[2026 Working Total to Budget/LE]]-ERP_34[[#This Row],[Giveback]]</f>
        <v>-56404</v>
      </c>
      <c r="AO442" s="81"/>
      <c r="AP442" s="81"/>
      <c r="AQ442" s="81"/>
      <c r="AR442" s="81"/>
      <c r="AS442" s="81">
        <v>0</v>
      </c>
      <c r="AT442" s="81">
        <v>0</v>
      </c>
      <c r="AU442" s="81">
        <v>0</v>
      </c>
      <c r="AV442" s="81">
        <v>0</v>
      </c>
      <c r="AW442" s="81">
        <v>0</v>
      </c>
      <c r="AX442" s="81">
        <v>0</v>
      </c>
      <c r="AY442" s="81">
        <v>0</v>
      </c>
      <c r="AZ442" s="81">
        <v>0</v>
      </c>
      <c r="BA442" s="81">
        <v>0</v>
      </c>
      <c r="BB442" s="81">
        <v>0</v>
      </c>
      <c r="BC442" s="103">
        <v>56404</v>
      </c>
      <c r="BD442" s="103">
        <v>0</v>
      </c>
      <c r="BE442" s="103">
        <v>0</v>
      </c>
      <c r="BF442" s="103">
        <v>0</v>
      </c>
      <c r="BG442" s="103">
        <v>0</v>
      </c>
      <c r="BH442" s="103">
        <v>0</v>
      </c>
      <c r="BI442" s="103">
        <v>0</v>
      </c>
      <c r="BJ442" s="103">
        <v>0</v>
      </c>
      <c r="BK442" s="103">
        <v>0</v>
      </c>
      <c r="BL442" s="103">
        <v>0</v>
      </c>
      <c r="BM442" s="103">
        <v>0</v>
      </c>
      <c r="BN442" s="103">
        <v>0</v>
      </c>
      <c r="BO442" s="82">
        <f>SUM(ERP_34[[#This Row],[2026 AP01]:[2026 AP12]])</f>
        <v>56404</v>
      </c>
    </row>
    <row r="443" spans="1:67">
      <c r="A443" s="82" t="s">
        <v>2435</v>
      </c>
      <c r="B443" s="83" t="str">
        <f>_xlfn.TEXTJOIN("_",,ERP_34[[#This Row],[LT Member -1*]],ERP_34[[#This Row],[Expense Category]],ERP_34[[#This Row],[Project Code*]])</f>
        <v>Patel, Nikunj Rohitkumar_SOFTWARE_IT-SFT1023-86-OG-US/PF</v>
      </c>
      <c r="C443" s="67" t="s">
        <v>2959</v>
      </c>
      <c r="D443" s="84" t="s">
        <v>1135</v>
      </c>
      <c r="E443" s="120" t="s">
        <v>1161</v>
      </c>
      <c r="F443" s="86" t="s">
        <v>1137</v>
      </c>
      <c r="G443" s="85" t="s">
        <v>639</v>
      </c>
      <c r="H443" s="121" t="s">
        <v>2437</v>
      </c>
      <c r="I443" s="84"/>
      <c r="J443" s="84"/>
      <c r="K443" s="122" t="s">
        <v>794</v>
      </c>
      <c r="L443" s="89"/>
      <c r="M443" s="90"/>
      <c r="N443" s="70" t="s">
        <v>1710</v>
      </c>
      <c r="O443" s="122" t="s">
        <v>792</v>
      </c>
      <c r="P443" s="70" t="s">
        <v>1348</v>
      </c>
      <c r="Q443" s="195"/>
      <c r="R443" s="94">
        <v>-56404</v>
      </c>
      <c r="S443" s="95">
        <v>0</v>
      </c>
      <c r="T443" s="202">
        <v>-56404</v>
      </c>
      <c r="U443" s="203">
        <f>ERP_34[[#This Row],[LE2 Final Submission]]-ERP_34[[#This Row],[LE3 Final Submission]]</f>
        <v>56404</v>
      </c>
      <c r="V443" s="98"/>
      <c r="W443" s="99"/>
      <c r="X443" s="99"/>
      <c r="Y443" s="100">
        <v>0</v>
      </c>
      <c r="Z443" s="100">
        <v>0</v>
      </c>
      <c r="AA443" s="100">
        <v>0</v>
      </c>
      <c r="AB443" s="100">
        <v>0</v>
      </c>
      <c r="AC443" s="100">
        <v>0</v>
      </c>
      <c r="AD443" s="100">
        <v>0</v>
      </c>
      <c r="AE443" s="100">
        <v>0</v>
      </c>
      <c r="AF443" s="100">
        <v>0</v>
      </c>
      <c r="AG443" s="100">
        <v>0</v>
      </c>
      <c r="AH443" s="101">
        <f t="shared" si="18"/>
        <v>0</v>
      </c>
      <c r="AI443" s="108">
        <f>ERP_34[[#This Row],[2026 Working Total]]-ERP_34[[#This Row],[2026 LE0]]</f>
        <v>56404</v>
      </c>
      <c r="AJ443" s="79"/>
      <c r="AK443" s="79"/>
      <c r="AL4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3" s="80"/>
      <c r="AN443" s="79">
        <f>ERP_34[[#This Row],[2026 Working Total to Budget/LE]]-ERP_34[[#This Row],[Giveback]]</f>
        <v>56404</v>
      </c>
      <c r="AO443" s="81"/>
      <c r="AP443" s="81"/>
      <c r="AQ443" s="81"/>
      <c r="AR443" s="81"/>
      <c r="AS443" s="81">
        <v>0</v>
      </c>
      <c r="AT443" s="81">
        <v>0</v>
      </c>
      <c r="AU443" s="81">
        <v>0</v>
      </c>
      <c r="AV443" s="81">
        <v>0</v>
      </c>
      <c r="AW443" s="81">
        <v>0</v>
      </c>
      <c r="AX443" s="81">
        <v>0</v>
      </c>
      <c r="AY443" s="81">
        <v>0</v>
      </c>
      <c r="AZ443" s="81">
        <v>0</v>
      </c>
      <c r="BA443" s="81">
        <v>0</v>
      </c>
      <c r="BB443" s="81">
        <v>0</v>
      </c>
      <c r="BC443" s="103">
        <v>-56404</v>
      </c>
      <c r="BD443" s="103">
        <v>0</v>
      </c>
      <c r="BE443" s="103">
        <v>0</v>
      </c>
      <c r="BF443" s="103">
        <v>0</v>
      </c>
      <c r="BG443" s="103">
        <v>0</v>
      </c>
      <c r="BH443" s="103">
        <v>0</v>
      </c>
      <c r="BI443" s="103">
        <v>0</v>
      </c>
      <c r="BJ443" s="103">
        <v>0</v>
      </c>
      <c r="BK443" s="103">
        <v>0</v>
      </c>
      <c r="BL443" s="103">
        <v>0</v>
      </c>
      <c r="BM443" s="103">
        <v>0</v>
      </c>
      <c r="BN443" s="103">
        <v>0</v>
      </c>
      <c r="BO443" s="82">
        <f>SUM(ERP_34[[#This Row],[2026 AP01]:[2026 AP12]])</f>
        <v>-56404</v>
      </c>
    </row>
    <row r="444" spans="1:67">
      <c r="A444" s="82" t="s">
        <v>2719</v>
      </c>
      <c r="B444" s="83" t="str">
        <f>_xlfn.TEXTJOIN("_",,ERP_34[[#This Row],[LT Member -1*]],ERP_34[[#This Row],[Expense Category]],ERP_34[[#This Row],[Project Code*]])</f>
        <v>Hovanyetz, Mike_SOFTWARE_IT-SFT1040-02-OG-US</v>
      </c>
      <c r="C444" s="67" t="s">
        <v>2959</v>
      </c>
      <c r="D444" s="84" t="s">
        <v>1345</v>
      </c>
      <c r="E444" s="85" t="s">
        <v>1480</v>
      </c>
      <c r="F444" s="68" t="s">
        <v>1346</v>
      </c>
      <c r="G444" s="85" t="s">
        <v>639</v>
      </c>
      <c r="H444" s="110" t="s">
        <v>2720</v>
      </c>
      <c r="I444" s="67"/>
      <c r="J444" s="67"/>
      <c r="K444" s="91" t="s">
        <v>970</v>
      </c>
      <c r="L444" s="111"/>
      <c r="M444" s="70"/>
      <c r="N444" s="70" t="s">
        <v>1710</v>
      </c>
      <c r="O444" s="91" t="s">
        <v>863</v>
      </c>
      <c r="P444" s="70" t="s">
        <v>1348</v>
      </c>
      <c r="Q444" s="195"/>
      <c r="R444" s="94">
        <v>26967.21</v>
      </c>
      <c r="S444" s="95">
        <v>0</v>
      </c>
      <c r="T444" s="190">
        <v>26967.21</v>
      </c>
      <c r="U444" s="191">
        <f>ERP_34[[#This Row],[LE2 Final Submission]]-ERP_34[[#This Row],[LE3 Final Submission]]</f>
        <v>-26967.21</v>
      </c>
      <c r="V444" s="98"/>
      <c r="W444" s="99"/>
      <c r="X444" s="99"/>
      <c r="Y444" s="100">
        <v>0</v>
      </c>
      <c r="Z444" s="100">
        <v>0</v>
      </c>
      <c r="AA444" s="100">
        <v>0</v>
      </c>
      <c r="AB444" s="100">
        <v>0</v>
      </c>
      <c r="AC444" s="100">
        <v>0</v>
      </c>
      <c r="AD444" s="100">
        <v>0</v>
      </c>
      <c r="AE444" s="100">
        <v>0</v>
      </c>
      <c r="AF444" s="100">
        <v>0</v>
      </c>
      <c r="AG444" s="100">
        <v>0</v>
      </c>
      <c r="AH444" s="101">
        <f t="shared" si="18"/>
        <v>0</v>
      </c>
      <c r="AI444" s="108">
        <f>ERP_34[[#This Row],[2026 Working Total]]-ERP_34[[#This Row],[2026 LE0]]</f>
        <v>-26967.21</v>
      </c>
      <c r="AJ444" s="79"/>
      <c r="AK444" s="79"/>
      <c r="AL4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4" s="80"/>
      <c r="AN444" s="79">
        <f>ERP_34[[#This Row],[2026 Working Total to Budget/LE]]-ERP_34[[#This Row],[Giveback]]</f>
        <v>-26967.21</v>
      </c>
      <c r="AO444" s="81"/>
      <c r="AP444" s="81"/>
      <c r="AQ444" s="81"/>
      <c r="AR444" s="81"/>
      <c r="AS444" s="81">
        <v>0</v>
      </c>
      <c r="AT444" s="81">
        <v>0</v>
      </c>
      <c r="AU444" s="81">
        <v>0</v>
      </c>
      <c r="AV444" s="81">
        <v>0</v>
      </c>
      <c r="AW444" s="81">
        <v>0</v>
      </c>
      <c r="AX444" s="81">
        <v>0</v>
      </c>
      <c r="AY444" s="81">
        <v>0</v>
      </c>
      <c r="AZ444" s="81">
        <v>0</v>
      </c>
      <c r="BA444" s="81">
        <v>0</v>
      </c>
      <c r="BB444" s="81">
        <v>0</v>
      </c>
      <c r="BC444" s="103">
        <v>26967.21</v>
      </c>
      <c r="BD444" s="103">
        <v>0</v>
      </c>
      <c r="BE444" s="103">
        <v>0</v>
      </c>
      <c r="BF444" s="103">
        <v>0</v>
      </c>
      <c r="BG444" s="103">
        <v>0</v>
      </c>
      <c r="BH444" s="103">
        <v>0</v>
      </c>
      <c r="BI444" s="103">
        <v>0</v>
      </c>
      <c r="BJ444" s="103">
        <v>0</v>
      </c>
      <c r="BK444" s="103">
        <v>0</v>
      </c>
      <c r="BL444" s="103">
        <v>0</v>
      </c>
      <c r="BM444" s="103">
        <v>0</v>
      </c>
      <c r="BN444" s="103">
        <v>0</v>
      </c>
      <c r="BO444" s="82">
        <f>SUM(ERP_34[[#This Row],[2026 AP01]:[2026 AP12]])</f>
        <v>26967.21</v>
      </c>
    </row>
    <row r="445" spans="1:67">
      <c r="A445" s="82" t="s">
        <v>2723</v>
      </c>
      <c r="B445" s="83" t="str">
        <f>_xlfn.TEXTJOIN("_",,ERP_34[[#This Row],[LT Member -1*]],ERP_34[[#This Row],[Expense Category]],ERP_34[[#This Row],[Project Code*]])</f>
        <v>Hovanyetz, Mike_SOFTWARE_IT-SFT1040-02-OG-US/PF</v>
      </c>
      <c r="C445" s="67" t="s">
        <v>2959</v>
      </c>
      <c r="D445" s="84" t="s">
        <v>1345</v>
      </c>
      <c r="E445" s="85" t="s">
        <v>1480</v>
      </c>
      <c r="F445" s="68" t="s">
        <v>1346</v>
      </c>
      <c r="G445" s="85" t="s">
        <v>639</v>
      </c>
      <c r="H445" s="110" t="s">
        <v>2724</v>
      </c>
      <c r="I445" s="67"/>
      <c r="J445" s="67"/>
      <c r="K445" s="91" t="s">
        <v>972</v>
      </c>
      <c r="L445" s="111"/>
      <c r="M445" s="70"/>
      <c r="N445" s="70" t="s">
        <v>1710</v>
      </c>
      <c r="O445" s="91" t="s">
        <v>863</v>
      </c>
      <c r="P445" s="70" t="s">
        <v>1348</v>
      </c>
      <c r="Q445" s="195"/>
      <c r="R445" s="94">
        <v>-26967.21</v>
      </c>
      <c r="S445" s="95">
        <v>0</v>
      </c>
      <c r="T445" s="190">
        <v>-26967.21</v>
      </c>
      <c r="U445" s="191">
        <f>ERP_34[[#This Row],[LE2 Final Submission]]-ERP_34[[#This Row],[LE3 Final Submission]]</f>
        <v>26967.21</v>
      </c>
      <c r="V445" s="98"/>
      <c r="W445" s="99"/>
      <c r="X445" s="99"/>
      <c r="Y445" s="100">
        <v>0</v>
      </c>
      <c r="Z445" s="100">
        <v>0</v>
      </c>
      <c r="AA445" s="100">
        <v>0</v>
      </c>
      <c r="AB445" s="100">
        <v>0</v>
      </c>
      <c r="AC445" s="100">
        <v>0</v>
      </c>
      <c r="AD445" s="100">
        <v>0</v>
      </c>
      <c r="AE445" s="100">
        <v>0</v>
      </c>
      <c r="AF445" s="100">
        <v>0</v>
      </c>
      <c r="AG445" s="100">
        <v>0</v>
      </c>
      <c r="AH445" s="101">
        <f t="shared" si="18"/>
        <v>0</v>
      </c>
      <c r="AI445" s="108">
        <f>ERP_34[[#This Row],[2026 Working Total]]-ERP_34[[#This Row],[2026 LE0]]</f>
        <v>26967.21</v>
      </c>
      <c r="AJ445" s="79"/>
      <c r="AK445" s="79"/>
      <c r="AL4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5" s="80"/>
      <c r="AN445" s="79">
        <f>ERP_34[[#This Row],[2026 Working Total to Budget/LE]]-ERP_34[[#This Row],[Giveback]]</f>
        <v>26967.21</v>
      </c>
      <c r="AO445" s="81"/>
      <c r="AP445" s="81"/>
      <c r="AQ445" s="81"/>
      <c r="AR445" s="81"/>
      <c r="AS445" s="81">
        <v>0</v>
      </c>
      <c r="AT445" s="81">
        <v>0</v>
      </c>
      <c r="AU445" s="81">
        <v>0</v>
      </c>
      <c r="AV445" s="81">
        <v>0</v>
      </c>
      <c r="AW445" s="81">
        <v>0</v>
      </c>
      <c r="AX445" s="81">
        <v>0</v>
      </c>
      <c r="AY445" s="81">
        <v>0</v>
      </c>
      <c r="AZ445" s="81">
        <v>0</v>
      </c>
      <c r="BA445" s="81">
        <v>0</v>
      </c>
      <c r="BB445" s="81">
        <v>0</v>
      </c>
      <c r="BC445" s="103">
        <v>-26967.21</v>
      </c>
      <c r="BD445" s="103">
        <v>0</v>
      </c>
      <c r="BE445" s="103">
        <v>0</v>
      </c>
      <c r="BF445" s="103">
        <v>0</v>
      </c>
      <c r="BG445" s="103">
        <v>0</v>
      </c>
      <c r="BH445" s="103">
        <v>0</v>
      </c>
      <c r="BI445" s="103">
        <v>0</v>
      </c>
      <c r="BJ445" s="103">
        <v>0</v>
      </c>
      <c r="BK445" s="103">
        <v>0</v>
      </c>
      <c r="BL445" s="103">
        <v>0</v>
      </c>
      <c r="BM445" s="103">
        <v>0</v>
      </c>
      <c r="BN445" s="103">
        <v>0</v>
      </c>
      <c r="BO445" s="82">
        <f>SUM(ERP_34[[#This Row],[2026 AP01]:[2026 AP12]])</f>
        <v>-26967.21</v>
      </c>
    </row>
    <row r="446" spans="1:67">
      <c r="A446" s="66" t="s">
        <v>2618</v>
      </c>
      <c r="B446" s="66" t="str">
        <f>_xlfn.TEXTJOIN("_",,ERP_34[[#This Row],[LT Member -1*]],ERP_34[[#This Row],[Expense Category]],ERP_34[[#This Row],[Project Code*]])</f>
        <v>Ganesan, Srinivasan_SOFTWARE_IT-SFT1042-02-OG-US</v>
      </c>
      <c r="C446" s="67" t="s">
        <v>1136</v>
      </c>
      <c r="D446" s="67" t="s">
        <v>1345</v>
      </c>
      <c r="E446" s="67" t="s">
        <v>1344</v>
      </c>
      <c r="F446" s="67" t="s">
        <v>1346</v>
      </c>
      <c r="G446" s="68" t="s">
        <v>639</v>
      </c>
      <c r="H446" s="106" t="s">
        <v>2619</v>
      </c>
      <c r="I446" s="70"/>
      <c r="J446" s="70"/>
      <c r="K446" s="70" t="s">
        <v>912</v>
      </c>
      <c r="L446" s="70"/>
      <c r="M446" s="70"/>
      <c r="N446" s="70"/>
      <c r="O446" s="67" t="s">
        <v>25</v>
      </c>
      <c r="P446" s="67"/>
      <c r="Q446" s="71"/>
      <c r="R446" s="72">
        <v>5000</v>
      </c>
      <c r="S446" s="73">
        <v>5000</v>
      </c>
      <c r="T446" s="73">
        <v>5000</v>
      </c>
      <c r="U446" s="71">
        <f>ERP_34[[#This Row],[LE2 Final Submission]]-ERP_34[[#This Row],[LE3 Final Submission]]</f>
        <v>0</v>
      </c>
      <c r="V446" s="74"/>
      <c r="W446" s="75"/>
      <c r="X446" s="75"/>
      <c r="Y446" s="76"/>
      <c r="Z446" s="76"/>
      <c r="AA446" s="76"/>
      <c r="AB446" s="76"/>
      <c r="AC446" s="76"/>
      <c r="AD446" s="76"/>
      <c r="AE446" s="76"/>
      <c r="AF446" s="76"/>
      <c r="AG446" s="76">
        <v>5000</v>
      </c>
      <c r="AH446" s="77">
        <f t="shared" si="18"/>
        <v>5000</v>
      </c>
      <c r="AI446" s="108">
        <f>ERP_34[[#This Row],[2026 Working Total]]-ERP_34[[#This Row],[2026 LE0]]</f>
        <v>0</v>
      </c>
      <c r="AJ446" s="79"/>
      <c r="AK446" s="79"/>
      <c r="AL4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6" s="80"/>
      <c r="AN446" s="79">
        <f>ERP_34[[#This Row],[2026 Working Total to Budget/LE]]-ERP_34[[#This Row],[Giveback]]</f>
        <v>0</v>
      </c>
      <c r="AO446" s="81" t="s">
        <v>2620</v>
      </c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>
        <v>5000</v>
      </c>
      <c r="BB446" s="81">
        <v>5000</v>
      </c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>
        <v>5000</v>
      </c>
      <c r="BO446" s="79">
        <v>5000</v>
      </c>
    </row>
    <row r="447" spans="1:67">
      <c r="A447" s="66" t="s">
        <v>2439</v>
      </c>
      <c r="B447" s="66" t="str">
        <f>_xlfn.TEXTJOIN("_",,ERP_34[[#This Row],[LT Member -1*]],ERP_34[[#This Row],[Expense Category]],ERP_34[[#This Row],[Project Code*]])</f>
        <v>Maguire, Karla_SOFTWARE_IT-SFT1119-86-OG-US</v>
      </c>
      <c r="C447" s="67" t="s">
        <v>1136</v>
      </c>
      <c r="D447" s="67" t="s">
        <v>1135</v>
      </c>
      <c r="E447" s="67" t="s">
        <v>1137</v>
      </c>
      <c r="F447" s="67" t="s">
        <v>1137</v>
      </c>
      <c r="G447" s="68" t="s">
        <v>639</v>
      </c>
      <c r="H447" s="106" t="s">
        <v>2441</v>
      </c>
      <c r="I447" s="70"/>
      <c r="J447" s="70"/>
      <c r="K447" s="70" t="s">
        <v>796</v>
      </c>
      <c r="L447" s="70"/>
      <c r="M447" s="70"/>
      <c r="N447" s="70"/>
      <c r="O447" s="67" t="s">
        <v>680</v>
      </c>
      <c r="P447" s="67"/>
      <c r="Q447" s="71"/>
      <c r="R447" s="72">
        <v>1200</v>
      </c>
      <c r="S447" s="73">
        <v>600</v>
      </c>
      <c r="T447" s="73">
        <v>1200</v>
      </c>
      <c r="U447" s="71">
        <f>ERP_34[[#This Row],[LE2 Final Submission]]-ERP_34[[#This Row],[LE3 Final Submission]]</f>
        <v>-600</v>
      </c>
      <c r="V447" s="74"/>
      <c r="W447" s="75"/>
      <c r="X447" s="75"/>
      <c r="Y447" s="76"/>
      <c r="Z447" s="76"/>
      <c r="AA447" s="76"/>
      <c r="AB447" s="76">
        <v>600</v>
      </c>
      <c r="AC447" s="109">
        <v>0</v>
      </c>
      <c r="AD447" s="109">
        <v>0</v>
      </c>
      <c r="AE447" s="109">
        <v>0</v>
      </c>
      <c r="AF447" s="109">
        <v>0</v>
      </c>
      <c r="AG447" s="109">
        <v>0</v>
      </c>
      <c r="AH447" s="77">
        <f t="shared" si="18"/>
        <v>600</v>
      </c>
      <c r="AI447" s="108">
        <f>ERP_34[[#This Row],[2026 Working Total]]-ERP_34[[#This Row],[2026 LE0]]</f>
        <v>-600</v>
      </c>
      <c r="AJ447" s="79"/>
      <c r="AK447" s="79"/>
      <c r="AL4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7" s="80"/>
      <c r="AN447" s="79">
        <f>ERP_34[[#This Row],[2026 Working Total to Budget/LE]]-ERP_34[[#This Row],[Giveback]]</f>
        <v>-600</v>
      </c>
      <c r="AO447" s="81"/>
      <c r="AP447" s="81"/>
      <c r="AQ447" s="81"/>
      <c r="AR447" s="81"/>
      <c r="AS447" s="81"/>
      <c r="AT447" s="81"/>
      <c r="AU447" s="81"/>
      <c r="AV447" s="81">
        <v>600</v>
      </c>
      <c r="AW447" s="81">
        <v>0</v>
      </c>
      <c r="AX447" s="81">
        <v>0</v>
      </c>
      <c r="AY447" s="81">
        <v>0</v>
      </c>
      <c r="AZ447" s="81">
        <v>0</v>
      </c>
      <c r="BA447" s="81">
        <v>0</v>
      </c>
      <c r="BB447" s="81">
        <v>600</v>
      </c>
      <c r="BC447" s="79"/>
      <c r="BD447" s="79"/>
      <c r="BE447" s="79"/>
      <c r="BF447" s="79"/>
      <c r="BG447" s="79"/>
      <c r="BH447" s="79"/>
      <c r="BI447" s="79">
        <v>600</v>
      </c>
      <c r="BJ447" s="79">
        <v>0</v>
      </c>
      <c r="BK447" s="79">
        <v>0</v>
      </c>
      <c r="BL447" s="79">
        <v>0</v>
      </c>
      <c r="BM447" s="79">
        <v>0</v>
      </c>
      <c r="BN447" s="79">
        <v>0</v>
      </c>
      <c r="BO447" s="79">
        <v>600</v>
      </c>
    </row>
    <row r="448" spans="1:67">
      <c r="A448" s="66" t="s">
        <v>2442</v>
      </c>
      <c r="B448" s="66" t="str">
        <f>_xlfn.TEXTJOIN("_",,ERP_34[[#This Row],[LT Member -1*]],ERP_34[[#This Row],[Expense Category]],ERP_34[[#This Row],[Project Code*]])</f>
        <v>Maguire, Karla_SOFTWARE_IT-SFT1121-86-OG-US</v>
      </c>
      <c r="C448" s="67" t="s">
        <v>1136</v>
      </c>
      <c r="D448" s="67" t="s">
        <v>1135</v>
      </c>
      <c r="E448" s="67" t="s">
        <v>1137</v>
      </c>
      <c r="F448" s="67" t="s">
        <v>1137</v>
      </c>
      <c r="G448" s="68" t="s">
        <v>639</v>
      </c>
      <c r="H448" s="106" t="s">
        <v>2444</v>
      </c>
      <c r="I448" s="70"/>
      <c r="J448" s="70"/>
      <c r="K448" s="70" t="s">
        <v>798</v>
      </c>
      <c r="L448" s="70"/>
      <c r="M448" s="70"/>
      <c r="N448" s="70"/>
      <c r="O448" s="67" t="s">
        <v>680</v>
      </c>
      <c r="P448" s="67"/>
      <c r="Q448" s="71"/>
      <c r="R448" s="72">
        <v>600</v>
      </c>
      <c r="S448" s="73">
        <v>600</v>
      </c>
      <c r="T448" s="73">
        <v>600</v>
      </c>
      <c r="U448" s="71">
        <f>ERP_34[[#This Row],[LE2 Final Submission]]-ERP_34[[#This Row],[LE3 Final Submission]]</f>
        <v>0</v>
      </c>
      <c r="V448" s="74"/>
      <c r="W448" s="75"/>
      <c r="X448" s="75"/>
      <c r="Y448" s="76"/>
      <c r="Z448" s="76"/>
      <c r="AA448" s="76"/>
      <c r="AB448" s="76"/>
      <c r="AC448" s="76"/>
      <c r="AD448" s="76"/>
      <c r="AE448" s="76"/>
      <c r="AF448" s="76"/>
      <c r="AG448" s="76">
        <v>600</v>
      </c>
      <c r="AH448" s="77">
        <f t="shared" si="18"/>
        <v>600</v>
      </c>
      <c r="AI448" s="108">
        <f>ERP_34[[#This Row],[2026 Working Total]]-ERP_34[[#This Row],[2026 LE0]]</f>
        <v>0</v>
      </c>
      <c r="AJ448" s="79"/>
      <c r="AK448" s="79"/>
      <c r="AL4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8" s="80"/>
      <c r="AN448" s="79">
        <f>ERP_34[[#This Row],[2026 Working Total to Budget/LE]]-ERP_34[[#This Row],[Giveback]]</f>
        <v>0</v>
      </c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>
        <v>600</v>
      </c>
      <c r="BB448" s="81">
        <v>600</v>
      </c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>
        <v>600</v>
      </c>
      <c r="BO448" s="79">
        <v>600</v>
      </c>
    </row>
    <row r="449" spans="1:67">
      <c r="A449" s="66" t="s">
        <v>2621</v>
      </c>
      <c r="B449" s="66" t="str">
        <f>_xlfn.TEXTJOIN("_",,ERP_34[[#This Row],[LT Member -1*]],ERP_34[[#This Row],[Expense Category]],ERP_34[[#This Row],[Project Code*]])</f>
        <v>Ganesan, Srinivasan_SOFTWARE_IT-SFT1126-86-OG-US</v>
      </c>
      <c r="C449" s="67" t="s">
        <v>1136</v>
      </c>
      <c r="D449" s="67" t="s">
        <v>1345</v>
      </c>
      <c r="E449" s="67" t="s">
        <v>1344</v>
      </c>
      <c r="F449" s="67" t="s">
        <v>1346</v>
      </c>
      <c r="G449" s="68" t="s">
        <v>639</v>
      </c>
      <c r="H449" s="106" t="s">
        <v>2622</v>
      </c>
      <c r="I449" s="70"/>
      <c r="J449" s="70"/>
      <c r="K449" s="70" t="s">
        <v>914</v>
      </c>
      <c r="L449" s="70"/>
      <c r="M449" s="70"/>
      <c r="N449" s="70"/>
      <c r="O449" s="67" t="s">
        <v>119</v>
      </c>
      <c r="P449" s="67"/>
      <c r="Q449" s="71"/>
      <c r="R449" s="72">
        <v>25000</v>
      </c>
      <c r="S449" s="73">
        <v>25000</v>
      </c>
      <c r="T449" s="73">
        <v>25000</v>
      </c>
      <c r="U449" s="71">
        <f>ERP_34[[#This Row],[LE2 Final Submission]]-ERP_34[[#This Row],[LE3 Final Submission]]</f>
        <v>0</v>
      </c>
      <c r="V449" s="74"/>
      <c r="W449" s="75"/>
      <c r="X449" s="75"/>
      <c r="Y449" s="76"/>
      <c r="Z449" s="76"/>
      <c r="AA449" s="76"/>
      <c r="AB449" s="76"/>
      <c r="AC449" s="76">
        <v>25000</v>
      </c>
      <c r="AD449" s="109">
        <v>0</v>
      </c>
      <c r="AE449" s="109">
        <v>0</v>
      </c>
      <c r="AF449" s="109">
        <v>0</v>
      </c>
      <c r="AG449" s="109">
        <v>0</v>
      </c>
      <c r="AH449" s="77">
        <f t="shared" si="18"/>
        <v>25000</v>
      </c>
      <c r="AI449" s="108">
        <f>ERP_34[[#This Row],[2026 Working Total]]-ERP_34[[#This Row],[2026 LE0]]</f>
        <v>0</v>
      </c>
      <c r="AJ449" s="79"/>
      <c r="AK449" s="79"/>
      <c r="AL4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49" s="80"/>
      <c r="AN449" s="79">
        <f>ERP_34[[#This Row],[2026 Working Total to Budget/LE]]-ERP_34[[#This Row],[Giveback]]</f>
        <v>0</v>
      </c>
      <c r="AO449" s="81"/>
      <c r="AP449" s="81"/>
      <c r="AQ449" s="81"/>
      <c r="AR449" s="81"/>
      <c r="AS449" s="81"/>
      <c r="AT449" s="81"/>
      <c r="AU449" s="81"/>
      <c r="AV449" s="81"/>
      <c r="AW449" s="81">
        <v>25000</v>
      </c>
      <c r="AX449" s="81">
        <v>0</v>
      </c>
      <c r="AY449" s="81">
        <v>0</v>
      </c>
      <c r="AZ449" s="81">
        <v>0</v>
      </c>
      <c r="BA449" s="81">
        <v>0</v>
      </c>
      <c r="BB449" s="81">
        <v>25000</v>
      </c>
      <c r="BC449" s="79"/>
      <c r="BD449" s="79"/>
      <c r="BE449" s="79"/>
      <c r="BF449" s="79"/>
      <c r="BG449" s="79"/>
      <c r="BH449" s="79"/>
      <c r="BI449" s="79"/>
      <c r="BJ449" s="79">
        <v>25000</v>
      </c>
      <c r="BK449" s="79">
        <v>0</v>
      </c>
      <c r="BL449" s="79">
        <v>0</v>
      </c>
      <c r="BM449" s="79">
        <v>0</v>
      </c>
      <c r="BN449" s="79">
        <v>0</v>
      </c>
      <c r="BO449" s="79">
        <v>25000</v>
      </c>
    </row>
    <row r="450" spans="1:67">
      <c r="A450" s="66" t="s">
        <v>2680</v>
      </c>
      <c r="B450" s="66" t="str">
        <f>_xlfn.TEXTJOIN("_",,ERP_34[[#This Row],[LT Member -1*]],ERP_34[[#This Row],[Expense Category]],ERP_34[[#This Row],[Project Code*]])</f>
        <v>Yeluri, Durga_SOFTWARE_IT-SFT1139-86-OG-US</v>
      </c>
      <c r="C450" s="67" t="s">
        <v>1136</v>
      </c>
      <c r="D450" s="67" t="s">
        <v>1345</v>
      </c>
      <c r="E450" s="67" t="s">
        <v>1437</v>
      </c>
      <c r="F450" s="67" t="s">
        <v>1346</v>
      </c>
      <c r="G450" s="68" t="s">
        <v>639</v>
      </c>
      <c r="H450" s="106" t="s">
        <v>2682</v>
      </c>
      <c r="I450" s="70"/>
      <c r="J450" s="70"/>
      <c r="K450" s="70" t="s">
        <v>948</v>
      </c>
      <c r="L450" s="70"/>
      <c r="M450" s="70"/>
      <c r="N450" s="70"/>
      <c r="O450" s="67" t="s">
        <v>949</v>
      </c>
      <c r="P450" s="67" t="s">
        <v>2684</v>
      </c>
      <c r="Q450" s="71"/>
      <c r="R450" s="72">
        <v>7299999.96</v>
      </c>
      <c r="S450" s="73">
        <v>7299999.96</v>
      </c>
      <c r="T450" s="73">
        <v>7299999.96</v>
      </c>
      <c r="U450" s="71">
        <f>ERP_34[[#This Row],[LE2 Final Submission]]-ERP_34[[#This Row],[LE3 Final Submission]]</f>
        <v>0</v>
      </c>
      <c r="V450" s="74"/>
      <c r="W450" s="75">
        <v>1216666.6599999999</v>
      </c>
      <c r="X450" s="75">
        <v>608333.32999999996</v>
      </c>
      <c r="Y450" s="76">
        <f>608333.33-608333.33</f>
        <v>0</v>
      </c>
      <c r="Z450" s="76">
        <f>608333.33*2</f>
        <v>1216666.6599999999</v>
      </c>
      <c r="AA450" s="76">
        <v>608333.32999999996</v>
      </c>
      <c r="AB450" s="76">
        <f>608333.33-608333.33</f>
        <v>0</v>
      </c>
      <c r="AC450" s="76">
        <f>608333.33*2</f>
        <v>1216666.6599999999</v>
      </c>
      <c r="AD450" s="76">
        <v>608333.32999999996</v>
      </c>
      <c r="AE450" s="76">
        <f>608333.33-608333.33</f>
        <v>0</v>
      </c>
      <c r="AF450" s="76">
        <f>608333.33*2</f>
        <v>1216666.6599999999</v>
      </c>
      <c r="AG450" s="76">
        <v>608333.32999999996</v>
      </c>
      <c r="AH450" s="77">
        <f t="shared" si="18"/>
        <v>7299999.96</v>
      </c>
      <c r="AI450" s="108">
        <f>ERP_34[[#This Row],[2026 Working Total]]-ERP_34[[#This Row],[2026 LE0]]</f>
        <v>0</v>
      </c>
      <c r="AJ450" s="79"/>
      <c r="AK450" s="79"/>
      <c r="AL450" s="79">
        <f>ERP_34[[#This Row],[AP01]]+ERP_34[[#This Row],[AP02]]+ERP_34[[#This Row],[AP03]]+ERP_34[[#This Row],[AP04]]-ERP_34[[#This Row],[AP01 LE2]]-ERP_34[[#This Row],[AP02 LE2]]-ERP_34[[#This Row],[AP03 LE2]]-ERP_34[[#This Row],[AP04 LE2]]</f>
        <v>-1.1641532182693481E-10</v>
      </c>
      <c r="AM450" s="80"/>
      <c r="AN450" s="79">
        <f>ERP_34[[#This Row],[2026 Working Total to Budget/LE]]-ERP_34[[#This Row],[Giveback]]</f>
        <v>0</v>
      </c>
      <c r="AO450" s="81"/>
      <c r="AP450" s="81"/>
      <c r="AQ450" s="81">
        <v>1216666.6599999999</v>
      </c>
      <c r="AR450" s="81">
        <v>608333.32999999996</v>
      </c>
      <c r="AS450" s="81">
        <v>0</v>
      </c>
      <c r="AT450" s="81">
        <v>1216666.6599999999</v>
      </c>
      <c r="AU450" s="81">
        <v>608333.32999999996</v>
      </c>
      <c r="AV450" s="81">
        <v>0</v>
      </c>
      <c r="AW450" s="81">
        <v>1216666.6599999999</v>
      </c>
      <c r="AX450" s="81">
        <v>608333.32999999996</v>
      </c>
      <c r="AY450" s="81">
        <v>0</v>
      </c>
      <c r="AZ450" s="81">
        <v>1216666.6599999999</v>
      </c>
      <c r="BA450" s="81">
        <v>608333.32999999996</v>
      </c>
      <c r="BB450" s="81">
        <v>7299999.96</v>
      </c>
      <c r="BC450" s="79"/>
      <c r="BD450" s="79">
        <v>1216666.6599999999</v>
      </c>
      <c r="BE450" s="79">
        <v>608333.32999999996</v>
      </c>
      <c r="BF450" s="79">
        <v>608333.32999999996</v>
      </c>
      <c r="BG450" s="79">
        <v>608333.32999999996</v>
      </c>
      <c r="BH450" s="79">
        <v>608333.32999999996</v>
      </c>
      <c r="BI450" s="79">
        <v>608333.32999999996</v>
      </c>
      <c r="BJ450" s="79">
        <v>608333.32999999996</v>
      </c>
      <c r="BK450" s="79">
        <v>608333.32999999996</v>
      </c>
      <c r="BL450" s="79">
        <v>608333.32999999996</v>
      </c>
      <c r="BM450" s="79">
        <v>608333.32999999996</v>
      </c>
      <c r="BN450" s="79">
        <v>608333.32999999996</v>
      </c>
      <c r="BO450" s="79">
        <v>7299999.96</v>
      </c>
    </row>
    <row r="451" spans="1:67">
      <c r="A451" s="82" t="s">
        <v>2445</v>
      </c>
      <c r="B451" s="83" t="str">
        <f>_xlfn.TEXTJOIN("_",,ERP_34[[#This Row],[LT Member -1*]],ERP_34[[#This Row],[Expense Category]],ERP_34[[#This Row],[Project Code*]])</f>
        <v>Meadows, Leslie_SOFTWARE_IT-SFT1147-86-OG-US</v>
      </c>
      <c r="C451" s="67" t="s">
        <v>2959</v>
      </c>
      <c r="D451" s="84" t="s">
        <v>1135</v>
      </c>
      <c r="E451" s="85" t="s">
        <v>1156</v>
      </c>
      <c r="F451" s="86" t="s">
        <v>1137</v>
      </c>
      <c r="G451" s="85" t="s">
        <v>639</v>
      </c>
      <c r="H451" s="110" t="s">
        <v>2447</v>
      </c>
      <c r="I451" s="84"/>
      <c r="J451" s="84"/>
      <c r="K451" s="88" t="s">
        <v>800</v>
      </c>
      <c r="L451" s="89"/>
      <c r="M451" s="90"/>
      <c r="N451" s="90" t="s">
        <v>1710</v>
      </c>
      <c r="O451" s="91" t="s">
        <v>801</v>
      </c>
      <c r="P451" s="70" t="s">
        <v>2453</v>
      </c>
      <c r="Q451" s="93"/>
      <c r="R451" s="94">
        <v>120000</v>
      </c>
      <c r="S451" s="95">
        <v>0</v>
      </c>
      <c r="T451" s="202">
        <v>120000</v>
      </c>
      <c r="U451" s="203">
        <f>ERP_34[[#This Row],[LE2 Final Submission]]-ERP_34[[#This Row],[LE3 Final Submission]]</f>
        <v>-120000</v>
      </c>
      <c r="V451" s="98"/>
      <c r="W451" s="99"/>
      <c r="X451" s="99"/>
      <c r="Y451" s="100">
        <v>0</v>
      </c>
      <c r="Z451" s="100">
        <v>0</v>
      </c>
      <c r="AA451" s="100">
        <v>0</v>
      </c>
      <c r="AB451" s="100">
        <v>0</v>
      </c>
      <c r="AC451" s="100">
        <v>0</v>
      </c>
      <c r="AD451" s="100">
        <v>0</v>
      </c>
      <c r="AE451" s="100">
        <v>0</v>
      </c>
      <c r="AF451" s="100">
        <v>0</v>
      </c>
      <c r="AG451" s="100">
        <v>0</v>
      </c>
      <c r="AH451" s="101">
        <f t="shared" si="18"/>
        <v>0</v>
      </c>
      <c r="AI451" s="108">
        <f>ERP_34[[#This Row],[2026 Working Total]]-ERP_34[[#This Row],[2026 LE0]]</f>
        <v>-120000</v>
      </c>
      <c r="AJ451" s="79"/>
      <c r="AK451" s="79"/>
      <c r="AL4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1" s="80"/>
      <c r="AN451" s="79">
        <f>ERP_34[[#This Row],[2026 Working Total to Budget/LE]]-ERP_34[[#This Row],[Giveback]]</f>
        <v>-120000</v>
      </c>
      <c r="AO451" s="81"/>
      <c r="AP451" s="81"/>
      <c r="AQ451" s="81"/>
      <c r="AR451" s="81"/>
      <c r="AS451" s="81">
        <v>0</v>
      </c>
      <c r="AT451" s="81">
        <v>0</v>
      </c>
      <c r="AU451" s="81">
        <v>0</v>
      </c>
      <c r="AV451" s="81">
        <v>0</v>
      </c>
      <c r="AW451" s="81">
        <v>0</v>
      </c>
      <c r="AX451" s="81">
        <v>0</v>
      </c>
      <c r="AY451" s="81">
        <v>0</v>
      </c>
      <c r="AZ451" s="81">
        <v>0</v>
      </c>
      <c r="BA451" s="81">
        <v>0</v>
      </c>
      <c r="BB451" s="81">
        <v>0</v>
      </c>
      <c r="BC451" s="103">
        <v>120000</v>
      </c>
      <c r="BD451" s="103">
        <v>0</v>
      </c>
      <c r="BE451" s="103">
        <v>0</v>
      </c>
      <c r="BF451" s="103">
        <v>0</v>
      </c>
      <c r="BG451" s="103">
        <v>0</v>
      </c>
      <c r="BH451" s="103">
        <v>0</v>
      </c>
      <c r="BI451" s="103">
        <v>0</v>
      </c>
      <c r="BJ451" s="103">
        <v>0</v>
      </c>
      <c r="BK451" s="103">
        <v>0</v>
      </c>
      <c r="BL451" s="103">
        <v>0</v>
      </c>
      <c r="BM451" s="103">
        <v>0</v>
      </c>
      <c r="BN451" s="103">
        <v>0</v>
      </c>
      <c r="BO451" s="82">
        <f>SUM(ERP_34[[#This Row],[2026 AP01]:[2026 AP12]])</f>
        <v>120000</v>
      </c>
    </row>
    <row r="452" spans="1:67">
      <c r="A452" s="82" t="s">
        <v>2450</v>
      </c>
      <c r="B452" s="83" t="str">
        <f>_xlfn.TEXTJOIN("_",,ERP_34[[#This Row],[LT Member -1*]],ERP_34[[#This Row],[Expense Category]],ERP_34[[#This Row],[Project Code*]])</f>
        <v>Meadows, Leslie_SOFTWARE_IT-SFT1147-86-OG-US/PF</v>
      </c>
      <c r="C452" s="67" t="s">
        <v>2959</v>
      </c>
      <c r="D452" s="84" t="s">
        <v>1135</v>
      </c>
      <c r="E452" s="85" t="s">
        <v>1156</v>
      </c>
      <c r="F452" s="86" t="s">
        <v>1137</v>
      </c>
      <c r="G452" s="85" t="s">
        <v>639</v>
      </c>
      <c r="H452" s="110" t="s">
        <v>2452</v>
      </c>
      <c r="I452" s="84"/>
      <c r="J452" s="84"/>
      <c r="K452" s="88" t="s">
        <v>803</v>
      </c>
      <c r="L452" s="89"/>
      <c r="M452" s="90"/>
      <c r="N452" s="90" t="s">
        <v>1710</v>
      </c>
      <c r="O452" s="91" t="s">
        <v>801</v>
      </c>
      <c r="P452" s="70" t="s">
        <v>2453</v>
      </c>
      <c r="Q452" s="93"/>
      <c r="R452" s="94">
        <v>-120000</v>
      </c>
      <c r="S452" s="95">
        <v>0</v>
      </c>
      <c r="T452" s="202">
        <v>-120000</v>
      </c>
      <c r="U452" s="203">
        <f>ERP_34[[#This Row],[LE2 Final Submission]]-ERP_34[[#This Row],[LE3 Final Submission]]</f>
        <v>120000</v>
      </c>
      <c r="V452" s="98"/>
      <c r="W452" s="99"/>
      <c r="X452" s="99"/>
      <c r="Y452" s="100">
        <v>0</v>
      </c>
      <c r="Z452" s="100">
        <v>0</v>
      </c>
      <c r="AA452" s="100">
        <v>0</v>
      </c>
      <c r="AB452" s="100">
        <v>0</v>
      </c>
      <c r="AC452" s="100">
        <v>0</v>
      </c>
      <c r="AD452" s="100">
        <v>0</v>
      </c>
      <c r="AE452" s="100">
        <v>0</v>
      </c>
      <c r="AF452" s="100">
        <v>0</v>
      </c>
      <c r="AG452" s="100">
        <v>0</v>
      </c>
      <c r="AH452" s="101">
        <f t="shared" si="18"/>
        <v>0</v>
      </c>
      <c r="AI452" s="108">
        <f>ERP_34[[#This Row],[2026 Working Total]]-ERP_34[[#This Row],[2026 LE0]]</f>
        <v>120000</v>
      </c>
      <c r="AJ452" s="79"/>
      <c r="AK452" s="79"/>
      <c r="AL4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2" s="80"/>
      <c r="AN452" s="79">
        <f>ERP_34[[#This Row],[2026 Working Total to Budget/LE]]-ERP_34[[#This Row],[Giveback]]</f>
        <v>120000</v>
      </c>
      <c r="AO452" s="81"/>
      <c r="AP452" s="81"/>
      <c r="AQ452" s="81"/>
      <c r="AR452" s="81"/>
      <c r="AS452" s="81">
        <v>0</v>
      </c>
      <c r="AT452" s="81">
        <v>0</v>
      </c>
      <c r="AU452" s="81">
        <v>0</v>
      </c>
      <c r="AV452" s="81">
        <v>0</v>
      </c>
      <c r="AW452" s="81">
        <v>0</v>
      </c>
      <c r="AX452" s="81">
        <v>0</v>
      </c>
      <c r="AY452" s="81">
        <v>0</v>
      </c>
      <c r="AZ452" s="81">
        <v>0</v>
      </c>
      <c r="BA452" s="81">
        <v>0</v>
      </c>
      <c r="BB452" s="81">
        <v>0</v>
      </c>
      <c r="BC452" s="103">
        <v>-120000</v>
      </c>
      <c r="BD452" s="103">
        <v>0</v>
      </c>
      <c r="BE452" s="103">
        <v>0</v>
      </c>
      <c r="BF452" s="103">
        <v>0</v>
      </c>
      <c r="BG452" s="103">
        <v>0</v>
      </c>
      <c r="BH452" s="103">
        <v>0</v>
      </c>
      <c r="BI452" s="103">
        <v>0</v>
      </c>
      <c r="BJ452" s="103">
        <v>0</v>
      </c>
      <c r="BK452" s="103">
        <v>0</v>
      </c>
      <c r="BL452" s="103">
        <v>0</v>
      </c>
      <c r="BM452" s="103">
        <v>0</v>
      </c>
      <c r="BN452" s="103">
        <v>0</v>
      </c>
      <c r="BO452" s="82">
        <f>SUM(ERP_34[[#This Row],[2026 AP01]:[2026 AP12]])</f>
        <v>-120000</v>
      </c>
    </row>
    <row r="453" spans="1:67">
      <c r="A453" s="82" t="s">
        <v>2454</v>
      </c>
      <c r="B453" s="83" t="str">
        <f>_xlfn.TEXTJOIN("_",,ERP_34[[#This Row],[LT Member -1*]],ERP_34[[#This Row],[Expense Category]],ERP_34[[#This Row],[Project Code*]])</f>
        <v>McCormick, Pete_SOFTWARE_IT-SFT1172-86-OG-US</v>
      </c>
      <c r="C453" s="67" t="s">
        <v>2959</v>
      </c>
      <c r="D453" s="84" t="s">
        <v>1135</v>
      </c>
      <c r="E453" s="85" t="s">
        <v>1145</v>
      </c>
      <c r="F453" s="68" t="s">
        <v>1137</v>
      </c>
      <c r="G453" s="85" t="s">
        <v>639</v>
      </c>
      <c r="H453" s="110" t="s">
        <v>2456</v>
      </c>
      <c r="I453" s="67"/>
      <c r="J453" s="67"/>
      <c r="K453" s="91" t="s">
        <v>805</v>
      </c>
      <c r="L453" s="111"/>
      <c r="M453" s="70"/>
      <c r="N453" s="70" t="s">
        <v>1710</v>
      </c>
      <c r="O453" s="91" t="s">
        <v>806</v>
      </c>
      <c r="P453" s="70" t="s">
        <v>1348</v>
      </c>
      <c r="Q453" s="195"/>
      <c r="R453" s="94">
        <v>99064.42</v>
      </c>
      <c r="S453" s="95">
        <v>0</v>
      </c>
      <c r="T453" s="190">
        <v>99064.42</v>
      </c>
      <c r="U453" s="191">
        <f>ERP_34[[#This Row],[LE2 Final Submission]]-ERP_34[[#This Row],[LE3 Final Submission]]</f>
        <v>-99064.42</v>
      </c>
      <c r="V453" s="98"/>
      <c r="W453" s="99"/>
      <c r="X453" s="99"/>
      <c r="Y453" s="100">
        <v>0</v>
      </c>
      <c r="Z453" s="100">
        <v>0</v>
      </c>
      <c r="AA453" s="100">
        <v>0</v>
      </c>
      <c r="AB453" s="100">
        <v>0</v>
      </c>
      <c r="AC453" s="100">
        <v>0</v>
      </c>
      <c r="AD453" s="100">
        <v>0</v>
      </c>
      <c r="AE453" s="100">
        <v>0</v>
      </c>
      <c r="AF453" s="100">
        <v>0</v>
      </c>
      <c r="AG453" s="100">
        <v>0</v>
      </c>
      <c r="AH453" s="101">
        <f t="shared" si="18"/>
        <v>0</v>
      </c>
      <c r="AI453" s="108">
        <f>ERP_34[[#This Row],[2026 Working Total]]-ERP_34[[#This Row],[2026 LE0]]</f>
        <v>-99064.42</v>
      </c>
      <c r="AJ453" s="79"/>
      <c r="AK453" s="79"/>
      <c r="AL4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3" s="80"/>
      <c r="AN453" s="79">
        <f>ERP_34[[#This Row],[2026 Working Total to Budget/LE]]-ERP_34[[#This Row],[Giveback]]</f>
        <v>-99064.42</v>
      </c>
      <c r="AO453" s="81"/>
      <c r="AP453" s="81"/>
      <c r="AQ453" s="81"/>
      <c r="AR453" s="81"/>
      <c r="AS453" s="81">
        <v>0</v>
      </c>
      <c r="AT453" s="81">
        <v>0</v>
      </c>
      <c r="AU453" s="81">
        <v>0</v>
      </c>
      <c r="AV453" s="81">
        <v>0</v>
      </c>
      <c r="AW453" s="81">
        <v>0</v>
      </c>
      <c r="AX453" s="81">
        <v>0</v>
      </c>
      <c r="AY453" s="81">
        <v>0</v>
      </c>
      <c r="AZ453" s="81">
        <v>0</v>
      </c>
      <c r="BA453" s="81">
        <v>0</v>
      </c>
      <c r="BB453" s="81">
        <v>0</v>
      </c>
      <c r="BC453" s="103">
        <v>99064.42</v>
      </c>
      <c r="BD453" s="103">
        <v>0</v>
      </c>
      <c r="BE453" s="103">
        <v>0</v>
      </c>
      <c r="BF453" s="103">
        <v>0</v>
      </c>
      <c r="BG453" s="103">
        <v>0</v>
      </c>
      <c r="BH453" s="103">
        <v>0</v>
      </c>
      <c r="BI453" s="103">
        <v>0</v>
      </c>
      <c r="BJ453" s="103">
        <v>0</v>
      </c>
      <c r="BK453" s="103">
        <v>0</v>
      </c>
      <c r="BL453" s="103">
        <v>0</v>
      </c>
      <c r="BM453" s="103">
        <v>0</v>
      </c>
      <c r="BN453" s="103">
        <v>0</v>
      </c>
      <c r="BO453" s="82">
        <f>SUM(ERP_34[[#This Row],[2026 AP01]:[2026 AP12]])</f>
        <v>99064.42</v>
      </c>
    </row>
    <row r="454" spans="1:67">
      <c r="A454" s="82" t="s">
        <v>2459</v>
      </c>
      <c r="B454" s="83" t="str">
        <f>_xlfn.TEXTJOIN("_",,ERP_34[[#This Row],[LT Member -1*]],ERP_34[[#This Row],[Expense Category]],ERP_34[[#This Row],[Project Code*]])</f>
        <v>McCormick, Pete_SOFTWARE_IT-SFT1172-86-OG-US/PF</v>
      </c>
      <c r="C454" s="67" t="s">
        <v>2959</v>
      </c>
      <c r="D454" s="84" t="s">
        <v>1135</v>
      </c>
      <c r="E454" s="85" t="s">
        <v>1145</v>
      </c>
      <c r="F454" s="68" t="s">
        <v>1137</v>
      </c>
      <c r="G454" s="85" t="s">
        <v>639</v>
      </c>
      <c r="H454" s="110" t="s">
        <v>2461</v>
      </c>
      <c r="I454" s="67"/>
      <c r="J454" s="67"/>
      <c r="K454" s="91" t="s">
        <v>808</v>
      </c>
      <c r="L454" s="111"/>
      <c r="M454" s="70"/>
      <c r="N454" s="70" t="s">
        <v>1710</v>
      </c>
      <c r="O454" s="91" t="s">
        <v>806</v>
      </c>
      <c r="P454" s="70" t="s">
        <v>1348</v>
      </c>
      <c r="Q454" s="195"/>
      <c r="R454" s="94">
        <v>-99064.42</v>
      </c>
      <c r="S454" s="95">
        <v>0</v>
      </c>
      <c r="T454" s="190">
        <v>-99064.42</v>
      </c>
      <c r="U454" s="191">
        <f>ERP_34[[#This Row],[LE2 Final Submission]]-ERP_34[[#This Row],[LE3 Final Submission]]</f>
        <v>99064.42</v>
      </c>
      <c r="V454" s="98"/>
      <c r="W454" s="99"/>
      <c r="X454" s="99"/>
      <c r="Y454" s="100">
        <v>0</v>
      </c>
      <c r="Z454" s="100">
        <v>0</v>
      </c>
      <c r="AA454" s="100">
        <v>0</v>
      </c>
      <c r="AB454" s="100">
        <v>0</v>
      </c>
      <c r="AC454" s="100">
        <v>0</v>
      </c>
      <c r="AD454" s="100">
        <v>0</v>
      </c>
      <c r="AE454" s="100">
        <v>0</v>
      </c>
      <c r="AF454" s="100">
        <v>0</v>
      </c>
      <c r="AG454" s="100">
        <v>0</v>
      </c>
      <c r="AH454" s="101">
        <f t="shared" si="18"/>
        <v>0</v>
      </c>
      <c r="AI454" s="108">
        <f>ERP_34[[#This Row],[2026 Working Total]]-ERP_34[[#This Row],[2026 LE0]]</f>
        <v>99064.42</v>
      </c>
      <c r="AJ454" s="79"/>
      <c r="AK454" s="79"/>
      <c r="AL4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4" s="80"/>
      <c r="AN454" s="79">
        <f>ERP_34[[#This Row],[2026 Working Total to Budget/LE]]-ERP_34[[#This Row],[Giveback]]</f>
        <v>99064.42</v>
      </c>
      <c r="AO454" s="81"/>
      <c r="AP454" s="81"/>
      <c r="AQ454" s="81"/>
      <c r="AR454" s="81"/>
      <c r="AS454" s="81">
        <v>0</v>
      </c>
      <c r="AT454" s="81">
        <v>0</v>
      </c>
      <c r="AU454" s="81">
        <v>0</v>
      </c>
      <c r="AV454" s="81">
        <v>0</v>
      </c>
      <c r="AW454" s="81">
        <v>0</v>
      </c>
      <c r="AX454" s="81">
        <v>0</v>
      </c>
      <c r="AY454" s="81">
        <v>0</v>
      </c>
      <c r="AZ454" s="81">
        <v>0</v>
      </c>
      <c r="BA454" s="81">
        <v>0</v>
      </c>
      <c r="BB454" s="81">
        <v>0</v>
      </c>
      <c r="BC454" s="103">
        <v>-99064.42</v>
      </c>
      <c r="BD454" s="103">
        <v>0</v>
      </c>
      <c r="BE454" s="103">
        <v>0</v>
      </c>
      <c r="BF454" s="103">
        <v>0</v>
      </c>
      <c r="BG454" s="103">
        <v>0</v>
      </c>
      <c r="BH454" s="103">
        <v>0</v>
      </c>
      <c r="BI454" s="103">
        <v>0</v>
      </c>
      <c r="BJ454" s="103">
        <v>0</v>
      </c>
      <c r="BK454" s="103">
        <v>0</v>
      </c>
      <c r="BL454" s="103">
        <v>0</v>
      </c>
      <c r="BM454" s="103">
        <v>0</v>
      </c>
      <c r="BN454" s="103">
        <v>0</v>
      </c>
      <c r="BO454" s="82">
        <f>SUM(ERP_34[[#This Row],[2026 AP01]:[2026 AP12]])</f>
        <v>-99064.42</v>
      </c>
    </row>
    <row r="455" spans="1:67">
      <c r="A455" s="66" t="s">
        <v>2462</v>
      </c>
      <c r="B455" s="66" t="str">
        <f>_xlfn.TEXTJOIN("_",,ERP_34[[#This Row],[LT Member -1*]],ERP_34[[#This Row],[Expense Category]],ERP_34[[#This Row],[Project Code*]])</f>
        <v>Dougherty, Chris_SOFTWARE_IT-SFT1185-86-OG-US</v>
      </c>
      <c r="C455" s="67" t="s">
        <v>1136</v>
      </c>
      <c r="D455" s="67" t="s">
        <v>1135</v>
      </c>
      <c r="E455" s="67" t="s">
        <v>1135</v>
      </c>
      <c r="F455" s="67" t="s">
        <v>1137</v>
      </c>
      <c r="G455" s="68" t="s">
        <v>639</v>
      </c>
      <c r="H455" s="106" t="s">
        <v>2463</v>
      </c>
      <c r="I455" s="70" t="s">
        <v>2964</v>
      </c>
      <c r="J455" s="70"/>
      <c r="K455" s="70" t="s">
        <v>810</v>
      </c>
      <c r="L455" s="70"/>
      <c r="M455" s="1" t="s">
        <v>2972</v>
      </c>
      <c r="N455" s="70"/>
      <c r="O455" s="67" t="s">
        <v>811</v>
      </c>
      <c r="P455" s="67" t="s">
        <v>2464</v>
      </c>
      <c r="Q455" s="71"/>
      <c r="R455" s="72">
        <v>1136537.76</v>
      </c>
      <c r="S455" s="73">
        <v>1100039.77</v>
      </c>
      <c r="T455" s="73">
        <v>1136537.76</v>
      </c>
      <c r="U455" s="71">
        <f>ERP_34[[#This Row],[LE2 Final Submission]]-ERP_34[[#This Row],[LE3 Final Submission]]</f>
        <v>-36497.989999999991</v>
      </c>
      <c r="V455" s="74">
        <v>818279</v>
      </c>
      <c r="W455" s="75">
        <v>-636439.42000000004</v>
      </c>
      <c r="X455" s="75">
        <v>90919.92</v>
      </c>
      <c r="Y455" s="76">
        <f>90919.92-90919.92</f>
        <v>0</v>
      </c>
      <c r="Z455" s="76">
        <f>90919.92+90919.92</f>
        <v>181839.84</v>
      </c>
      <c r="AA455" s="175">
        <v>90919.92</v>
      </c>
      <c r="AB455" s="76">
        <f>90919.92-90919.92</f>
        <v>0</v>
      </c>
      <c r="AC455" s="76">
        <f>90919.92+90919.92</f>
        <v>181839.84</v>
      </c>
      <c r="AD455" s="76">
        <v>90919.92</v>
      </c>
      <c r="AE455" s="76">
        <f>90919.92-90919.92</f>
        <v>0</v>
      </c>
      <c r="AF455" s="209">
        <f>(1127043/12)*2</f>
        <v>187840.5</v>
      </c>
      <c r="AG455" s="209">
        <v>93920.25</v>
      </c>
      <c r="AH455" s="210">
        <f t="shared" si="18"/>
        <v>1100039.77</v>
      </c>
      <c r="AI455" s="108">
        <f>ERP_34[[#This Row],[2026 Working Total]]-ERP_34[[#This Row],[2026 LE0]]</f>
        <v>-36497.989999999991</v>
      </c>
      <c r="AJ455" s="79"/>
      <c r="AK455" s="79"/>
      <c r="AL455" s="79">
        <f>ERP_34[[#This Row],[AP01]]+ERP_34[[#This Row],[AP02]]+ERP_34[[#This Row],[AP03]]+ERP_34[[#This Row],[AP04]]-ERP_34[[#This Row],[AP01 LE2]]-ERP_34[[#This Row],[AP02 LE2]]-ERP_34[[#This Row],[AP03 LE2]]-ERP_34[[#This Row],[AP04 LE2]]</f>
        <v>4.3655745685100555E-11</v>
      </c>
      <c r="AM455" s="80"/>
      <c r="AN455" s="79">
        <f>ERP_34[[#This Row],[2026 Working Total to Budget/LE]]-ERP_34[[#This Row],[Giveback]]</f>
        <v>-36497.989999999991</v>
      </c>
      <c r="AO455" s="81"/>
      <c r="AP455" s="81">
        <v>818279</v>
      </c>
      <c r="AQ455" s="81">
        <v>-636439.42000000004</v>
      </c>
      <c r="AR455" s="81">
        <v>90919.92</v>
      </c>
      <c r="AS455" s="81">
        <v>0</v>
      </c>
      <c r="AT455" s="81">
        <v>181839.84</v>
      </c>
      <c r="AU455" s="81">
        <v>90919.92</v>
      </c>
      <c r="AV455" s="81">
        <v>0</v>
      </c>
      <c r="AW455" s="81">
        <v>181839.84</v>
      </c>
      <c r="AX455" s="81">
        <v>90919.92</v>
      </c>
      <c r="AY455" s="81">
        <v>0</v>
      </c>
      <c r="AZ455" s="81">
        <v>187840.5</v>
      </c>
      <c r="BA455" s="81">
        <v>93920.25</v>
      </c>
      <c r="BB455" s="81">
        <v>1100039.77</v>
      </c>
      <c r="BC455" s="79">
        <v>818279</v>
      </c>
      <c r="BD455" s="79">
        <v>-636439.42000000004</v>
      </c>
      <c r="BE455" s="79">
        <v>90919.92</v>
      </c>
      <c r="BF455" s="79">
        <v>90919.92</v>
      </c>
      <c r="BG455" s="79">
        <v>90919.92</v>
      </c>
      <c r="BH455" s="79">
        <v>90919.92</v>
      </c>
      <c r="BI455" s="79">
        <v>90919.92</v>
      </c>
      <c r="BJ455" s="79">
        <v>90919.92</v>
      </c>
      <c r="BK455" s="79">
        <v>90919.92</v>
      </c>
      <c r="BL455" s="79">
        <v>106085.92</v>
      </c>
      <c r="BM455" s="79">
        <v>106085.92</v>
      </c>
      <c r="BN455" s="79">
        <v>106085.92</v>
      </c>
      <c r="BO455" s="79">
        <v>1136536.78</v>
      </c>
    </row>
    <row r="456" spans="1:67">
      <c r="A456" s="66" t="s">
        <v>2465</v>
      </c>
      <c r="B456" s="66" t="str">
        <f>_xlfn.TEXTJOIN("_",,ERP_34[[#This Row],[LT Member -1*]],ERP_34[[#This Row],[Expense Category]],ERP_34[[#This Row],[Project Code*]])</f>
        <v>Dougherty, Chris_SOFTWARE_IT-SFT1185-86-OG-US/01</v>
      </c>
      <c r="C456" s="67" t="s">
        <v>1136</v>
      </c>
      <c r="D456" s="67" t="s">
        <v>1135</v>
      </c>
      <c r="E456" s="67" t="s">
        <v>1135</v>
      </c>
      <c r="F456" s="67" t="s">
        <v>1137</v>
      </c>
      <c r="G456" s="68" t="s">
        <v>639</v>
      </c>
      <c r="H456" s="106" t="s">
        <v>2466</v>
      </c>
      <c r="I456" s="70"/>
      <c r="J456" s="70"/>
      <c r="K456" s="70" t="s">
        <v>813</v>
      </c>
      <c r="L456" s="70"/>
      <c r="M456" s="70"/>
      <c r="N456" s="70"/>
      <c r="O456" s="67" t="s">
        <v>64</v>
      </c>
      <c r="P456" s="67" t="s">
        <v>2467</v>
      </c>
      <c r="Q456" s="71"/>
      <c r="R456" s="72">
        <v>287700</v>
      </c>
      <c r="S456" s="73">
        <v>297194</v>
      </c>
      <c r="T456" s="73">
        <v>287700</v>
      </c>
      <c r="U456" s="71">
        <f>ERP_34[[#This Row],[LE2 Final Submission]]-ERP_34[[#This Row],[LE3 Final Submission]]</f>
        <v>9494</v>
      </c>
      <c r="V456" s="74"/>
      <c r="W456" s="75"/>
      <c r="X456" s="75"/>
      <c r="Y456" s="76"/>
      <c r="Z456" s="76"/>
      <c r="AA456" s="76"/>
      <c r="AB456" s="76"/>
      <c r="AC456" s="76"/>
      <c r="AD456" s="76"/>
      <c r="AE456" s="209">
        <f>287700-287700+297194</f>
        <v>297194</v>
      </c>
      <c r="AF456" s="109">
        <v>0</v>
      </c>
      <c r="AG456" s="109">
        <v>0</v>
      </c>
      <c r="AH456" s="210">
        <f t="shared" si="18"/>
        <v>297194</v>
      </c>
      <c r="AI456" s="108">
        <f>ERP_34[[#This Row],[2026 Working Total]]-ERP_34[[#This Row],[2026 LE0]]</f>
        <v>9494</v>
      </c>
      <c r="AJ456" s="79"/>
      <c r="AK456" s="79"/>
      <c r="AL4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6" s="80"/>
      <c r="AN456" s="79">
        <f>ERP_34[[#This Row],[2026 Working Total to Budget/LE]]-ERP_34[[#This Row],[Giveback]]</f>
        <v>9494</v>
      </c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>
        <v>297194</v>
      </c>
      <c r="AZ456" s="81">
        <v>0</v>
      </c>
      <c r="BA456" s="81">
        <v>0</v>
      </c>
      <c r="BB456" s="81">
        <v>297194</v>
      </c>
      <c r="BC456" s="79"/>
      <c r="BD456" s="79"/>
      <c r="BE456" s="79"/>
      <c r="BF456" s="79"/>
      <c r="BG456" s="79"/>
      <c r="BH456" s="79"/>
      <c r="BI456" s="79"/>
      <c r="BJ456" s="79"/>
      <c r="BK456" s="79"/>
      <c r="BL456" s="79">
        <v>287700</v>
      </c>
      <c r="BM456" s="79">
        <v>0</v>
      </c>
      <c r="BN456" s="79">
        <v>0</v>
      </c>
      <c r="BO456" s="79">
        <v>287700</v>
      </c>
    </row>
    <row r="457" spans="1:67">
      <c r="A457" s="66" t="s">
        <v>2468</v>
      </c>
      <c r="B457" s="66" t="str">
        <f>_xlfn.TEXTJOIN("_",,ERP_34[[#This Row],[LT Member -1*]],ERP_34[[#This Row],[Expense Category]],ERP_34[[#This Row],[Project Code*]])</f>
        <v>Dougherty, Chris_SOFTWARE_IT-SFT1186-86-OG-US</v>
      </c>
      <c r="C457" s="67" t="s">
        <v>1136</v>
      </c>
      <c r="D457" s="67" t="s">
        <v>1135</v>
      </c>
      <c r="E457" s="67" t="s">
        <v>1135</v>
      </c>
      <c r="F457" s="67" t="s">
        <v>1137</v>
      </c>
      <c r="G457" s="68" t="s">
        <v>639</v>
      </c>
      <c r="H457" s="106" t="s">
        <v>2469</v>
      </c>
      <c r="I457" s="70"/>
      <c r="J457" s="70"/>
      <c r="K457" s="70" t="s">
        <v>815</v>
      </c>
      <c r="L457" s="70"/>
      <c r="M457" s="70"/>
      <c r="N457" s="70"/>
      <c r="O457" s="67" t="s">
        <v>67</v>
      </c>
      <c r="P457" s="67"/>
      <c r="Q457" s="71"/>
      <c r="R457" s="72">
        <v>58000</v>
      </c>
      <c r="S457" s="73">
        <v>58000</v>
      </c>
      <c r="T457" s="73">
        <v>58000</v>
      </c>
      <c r="U457" s="71">
        <f>ERP_34[[#This Row],[LE2 Final Submission]]-ERP_34[[#This Row],[LE3 Final Submission]]</f>
        <v>0</v>
      </c>
      <c r="V457" s="74"/>
      <c r="W457" s="75"/>
      <c r="X457" s="75"/>
      <c r="Y457" s="76"/>
      <c r="Z457" s="76"/>
      <c r="AA457" s="76"/>
      <c r="AB457" s="76"/>
      <c r="AC457" s="76"/>
      <c r="AD457" s="76">
        <v>22000</v>
      </c>
      <c r="AE457" s="109">
        <v>0</v>
      </c>
      <c r="AF457" s="76">
        <v>36000</v>
      </c>
      <c r="AG457" s="109">
        <v>0</v>
      </c>
      <c r="AH457" s="77">
        <f t="shared" si="18"/>
        <v>58000</v>
      </c>
      <c r="AI457" s="108">
        <f>ERP_34[[#This Row],[2026 Working Total]]-ERP_34[[#This Row],[2026 LE0]]</f>
        <v>0</v>
      </c>
      <c r="AJ457" s="79"/>
      <c r="AK457" s="79"/>
      <c r="AL4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7" s="80"/>
      <c r="AN457" s="79">
        <f>ERP_34[[#This Row],[2026 Working Total to Budget/LE]]-ERP_34[[#This Row],[Giveback]]</f>
        <v>0</v>
      </c>
      <c r="AO457" s="81"/>
      <c r="AP457" s="81"/>
      <c r="AQ457" s="81"/>
      <c r="AR457" s="81"/>
      <c r="AS457" s="81"/>
      <c r="AT457" s="81"/>
      <c r="AU457" s="81"/>
      <c r="AV457" s="81"/>
      <c r="AW457" s="81"/>
      <c r="AX457" s="81">
        <v>22000</v>
      </c>
      <c r="AY457" s="81">
        <v>0</v>
      </c>
      <c r="AZ457" s="81">
        <v>36000</v>
      </c>
      <c r="BA457" s="81">
        <v>0</v>
      </c>
      <c r="BB457" s="81">
        <v>58000</v>
      </c>
      <c r="BC457" s="79"/>
      <c r="BD457" s="79"/>
      <c r="BE457" s="79"/>
      <c r="BF457" s="79"/>
      <c r="BG457" s="79"/>
      <c r="BH457" s="79"/>
      <c r="BI457" s="79"/>
      <c r="BJ457" s="79"/>
      <c r="BK457" s="79">
        <v>22000</v>
      </c>
      <c r="BL457" s="79">
        <v>0</v>
      </c>
      <c r="BM457" s="79">
        <v>36000</v>
      </c>
      <c r="BN457" s="79">
        <v>0</v>
      </c>
      <c r="BO457" s="79">
        <v>58000</v>
      </c>
    </row>
    <row r="458" spans="1:67">
      <c r="A458" s="66" t="s">
        <v>2470</v>
      </c>
      <c r="B458" s="66" t="str">
        <f>_xlfn.TEXTJOIN("_",,ERP_34[[#This Row],[LT Member -1*]],ERP_34[[#This Row],[Expense Category]],ERP_34[[#This Row],[Project Code*]])</f>
        <v>Dougherty, Chris_SOFTWARE_IT-SFT1194-86-OG-US</v>
      </c>
      <c r="C458" s="67" t="s">
        <v>1136</v>
      </c>
      <c r="D458" s="67" t="s">
        <v>1135</v>
      </c>
      <c r="E458" s="67" t="s">
        <v>1135</v>
      </c>
      <c r="F458" s="67" t="s">
        <v>1137</v>
      </c>
      <c r="G458" s="68" t="s">
        <v>639</v>
      </c>
      <c r="H458" s="106" t="s">
        <v>818</v>
      </c>
      <c r="I458" s="70"/>
      <c r="J458" s="70"/>
      <c r="K458" s="70" t="s">
        <v>817</v>
      </c>
      <c r="L458" s="70"/>
      <c r="M458" s="70"/>
      <c r="N458" s="70"/>
      <c r="O458" s="67" t="s">
        <v>818</v>
      </c>
      <c r="P458" s="67"/>
      <c r="Q458" s="71"/>
      <c r="R458" s="72">
        <v>124504</v>
      </c>
      <c r="S458" s="73">
        <v>146423.48000000001</v>
      </c>
      <c r="T458" s="73">
        <v>124504</v>
      </c>
      <c r="U458" s="71">
        <f>ERP_34[[#This Row],[LE2 Final Submission]]-ERP_34[[#This Row],[LE3 Final Submission]]</f>
        <v>21919.48000000001</v>
      </c>
      <c r="V458" s="74"/>
      <c r="W458" s="75"/>
      <c r="X458" s="75">
        <v>61919.48</v>
      </c>
      <c r="Y458" s="109">
        <v>0</v>
      </c>
      <c r="Z458" s="109">
        <v>0</v>
      </c>
      <c r="AA458" s="76">
        <v>40000</v>
      </c>
      <c r="AB458" s="109">
        <v>0</v>
      </c>
      <c r="AC458" s="109">
        <v>0</v>
      </c>
      <c r="AD458" s="76">
        <v>40000</v>
      </c>
      <c r="AE458" s="109">
        <v>0</v>
      </c>
      <c r="AF458" s="76">
        <v>4504</v>
      </c>
      <c r="AG458" s="109">
        <v>0</v>
      </c>
      <c r="AH458" s="77">
        <f t="shared" si="18"/>
        <v>146423.48000000001</v>
      </c>
      <c r="AI458" s="108">
        <f>ERP_34[[#This Row],[2026 Working Total]]-ERP_34[[#This Row],[2026 LE0]]</f>
        <v>21919.48000000001</v>
      </c>
      <c r="AJ458" s="79"/>
      <c r="AK458" s="79"/>
      <c r="AL4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8" s="80"/>
      <c r="AN458" s="79">
        <f>ERP_34[[#This Row],[2026 Working Total to Budget/LE]]-ERP_34[[#This Row],[Giveback]]</f>
        <v>21919.48000000001</v>
      </c>
      <c r="AO458" s="81"/>
      <c r="AP458" s="81"/>
      <c r="AQ458" s="81"/>
      <c r="AR458" s="81">
        <v>61919.48</v>
      </c>
      <c r="AS458" s="81">
        <v>0</v>
      </c>
      <c r="AT458" s="81">
        <v>0</v>
      </c>
      <c r="AU458" s="81">
        <v>40000</v>
      </c>
      <c r="AV458" s="81">
        <v>0</v>
      </c>
      <c r="AW458" s="81">
        <v>0</v>
      </c>
      <c r="AX458" s="81">
        <v>40000</v>
      </c>
      <c r="AY458" s="81">
        <v>0</v>
      </c>
      <c r="AZ458" s="81">
        <v>4504</v>
      </c>
      <c r="BA458" s="81">
        <v>0</v>
      </c>
      <c r="BB458" s="81">
        <v>146423.48000000001</v>
      </c>
      <c r="BC458" s="79"/>
      <c r="BD458" s="79"/>
      <c r="BE458" s="79">
        <v>61919.48</v>
      </c>
      <c r="BF458" s="79">
        <v>0</v>
      </c>
      <c r="BG458" s="79">
        <v>0</v>
      </c>
      <c r="BH458" s="79">
        <v>40000</v>
      </c>
      <c r="BI458" s="79">
        <v>0</v>
      </c>
      <c r="BJ458" s="79">
        <v>0</v>
      </c>
      <c r="BK458" s="79">
        <v>40000</v>
      </c>
      <c r="BL458" s="79">
        <v>0</v>
      </c>
      <c r="BM458" s="79">
        <v>4504</v>
      </c>
      <c r="BN458" s="79">
        <v>0</v>
      </c>
      <c r="BO458" s="79">
        <v>146423.48000000001</v>
      </c>
    </row>
    <row r="459" spans="1:67">
      <c r="A459" s="66" t="s">
        <v>2471</v>
      </c>
      <c r="B459" s="66" t="str">
        <f>_xlfn.TEXTJOIN("_",,ERP_34[[#This Row],[LT Member -1*]],ERP_34[[#This Row],[Expense Category]],ERP_34[[#This Row],[Project Code*]])</f>
        <v>Maguire, Karla_SOFTWARE_IT-SFT1194-86-OG-US</v>
      </c>
      <c r="C459" s="67" t="s">
        <v>1136</v>
      </c>
      <c r="D459" s="67" t="s">
        <v>1135</v>
      </c>
      <c r="E459" s="67" t="s">
        <v>1137</v>
      </c>
      <c r="F459" s="67" t="s">
        <v>1137</v>
      </c>
      <c r="G459" s="68" t="s">
        <v>639</v>
      </c>
      <c r="H459" s="106" t="s">
        <v>818</v>
      </c>
      <c r="I459" s="70"/>
      <c r="J459" s="70"/>
      <c r="K459" s="70" t="s">
        <v>817</v>
      </c>
      <c r="L459" s="70"/>
      <c r="M459" s="70"/>
      <c r="N459" s="70"/>
      <c r="O459" s="67" t="s">
        <v>818</v>
      </c>
      <c r="P459" s="67"/>
      <c r="Q459" s="71"/>
      <c r="R459" s="72">
        <v>50000</v>
      </c>
      <c r="S459" s="73">
        <v>38665</v>
      </c>
      <c r="T459" s="73">
        <v>50000</v>
      </c>
      <c r="U459" s="71">
        <f>ERP_34[[#This Row],[LE2 Final Submission]]-ERP_34[[#This Row],[LE3 Final Submission]]</f>
        <v>-11335</v>
      </c>
      <c r="V459" s="74"/>
      <c r="W459" s="75"/>
      <c r="X459" s="75">
        <v>1165</v>
      </c>
      <c r="Y459" s="109">
        <v>0</v>
      </c>
      <c r="Z459" s="109">
        <v>0</v>
      </c>
      <c r="AA459" s="76">
        <v>12500</v>
      </c>
      <c r="AB459" s="109">
        <v>0</v>
      </c>
      <c r="AC459" s="109">
        <v>0</v>
      </c>
      <c r="AD459" s="76">
        <v>12500</v>
      </c>
      <c r="AE459" s="109">
        <v>0</v>
      </c>
      <c r="AF459" s="76">
        <v>12500</v>
      </c>
      <c r="AG459" s="109">
        <v>0</v>
      </c>
      <c r="AH459" s="77">
        <f t="shared" si="18"/>
        <v>38665</v>
      </c>
      <c r="AI459" s="108">
        <f>ERP_34[[#This Row],[2026 Working Total]]-ERP_34[[#This Row],[2026 LE0]]</f>
        <v>-11335</v>
      </c>
      <c r="AJ459" s="79"/>
      <c r="AK459" s="79"/>
      <c r="AL45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59" s="80"/>
      <c r="AN459" s="79">
        <f>ERP_34[[#This Row],[2026 Working Total to Budget/LE]]-ERP_34[[#This Row],[Giveback]]</f>
        <v>-11335</v>
      </c>
      <c r="AO459" s="81"/>
      <c r="AP459" s="81"/>
      <c r="AQ459" s="81"/>
      <c r="AR459" s="81">
        <v>1165</v>
      </c>
      <c r="AS459" s="81">
        <v>0</v>
      </c>
      <c r="AT459" s="81">
        <v>0</v>
      </c>
      <c r="AU459" s="81">
        <v>12500</v>
      </c>
      <c r="AV459" s="81">
        <v>0</v>
      </c>
      <c r="AW459" s="81">
        <v>0</v>
      </c>
      <c r="AX459" s="81">
        <v>12500</v>
      </c>
      <c r="AY459" s="81">
        <v>0</v>
      </c>
      <c r="AZ459" s="81">
        <v>12500</v>
      </c>
      <c r="BA459" s="81">
        <v>0</v>
      </c>
      <c r="BB459" s="81">
        <v>38665</v>
      </c>
      <c r="BC459" s="79"/>
      <c r="BD459" s="79"/>
      <c r="BE459" s="79">
        <v>1165</v>
      </c>
      <c r="BF459" s="79">
        <v>0</v>
      </c>
      <c r="BG459" s="79">
        <v>0</v>
      </c>
      <c r="BH459" s="79">
        <v>12500</v>
      </c>
      <c r="BI459" s="79">
        <v>0</v>
      </c>
      <c r="BJ459" s="79">
        <v>0</v>
      </c>
      <c r="BK459" s="79">
        <v>12500</v>
      </c>
      <c r="BL459" s="79">
        <v>0</v>
      </c>
      <c r="BM459" s="79">
        <v>12500</v>
      </c>
      <c r="BN459" s="79">
        <v>0</v>
      </c>
      <c r="BO459" s="79">
        <v>38665</v>
      </c>
    </row>
    <row r="460" spans="1:67">
      <c r="A460" s="66" t="s">
        <v>2473</v>
      </c>
      <c r="B460" s="66" t="str">
        <f>_xlfn.TEXTJOIN("_",,ERP_34[[#This Row],[LT Member -1*]],ERP_34[[#This Row],[Expense Category]],ERP_34[[#This Row],[Project Code*]])</f>
        <v>McCormick, Pete_SOFTWARE_IT-SFT1194-86-OG-US</v>
      </c>
      <c r="C460" s="67" t="s">
        <v>1136</v>
      </c>
      <c r="D460" s="67" t="s">
        <v>1135</v>
      </c>
      <c r="E460" s="67" t="s">
        <v>1145</v>
      </c>
      <c r="F460" s="67" t="s">
        <v>1137</v>
      </c>
      <c r="G460" s="68" t="s">
        <v>639</v>
      </c>
      <c r="H460" s="106" t="s">
        <v>818</v>
      </c>
      <c r="I460" s="70"/>
      <c r="J460" s="70"/>
      <c r="K460" s="70" t="s">
        <v>817</v>
      </c>
      <c r="L460" s="70"/>
      <c r="M460" s="70"/>
      <c r="N460" s="70"/>
      <c r="O460" s="67" t="s">
        <v>818</v>
      </c>
      <c r="P460" s="67"/>
      <c r="Q460" s="71"/>
      <c r="R460" s="72">
        <v>3000</v>
      </c>
      <c r="S460" s="73">
        <v>3010.21</v>
      </c>
      <c r="T460" s="73">
        <v>3000</v>
      </c>
      <c r="U460" s="71">
        <f>ERP_34[[#This Row],[LE2 Final Submission]]-ERP_34[[#This Row],[LE3 Final Submission]]</f>
        <v>10.210000000000036</v>
      </c>
      <c r="V460" s="74"/>
      <c r="W460" s="75"/>
      <c r="X460" s="75">
        <v>410.21</v>
      </c>
      <c r="Y460" s="76">
        <v>2600</v>
      </c>
      <c r="Z460" s="109">
        <v>0</v>
      </c>
      <c r="AA460" s="109">
        <v>0</v>
      </c>
      <c r="AB460" s="109">
        <v>0</v>
      </c>
      <c r="AC460" s="109">
        <v>0</v>
      </c>
      <c r="AD460" s="109">
        <v>0</v>
      </c>
      <c r="AE460" s="109">
        <v>0</v>
      </c>
      <c r="AF460" s="109">
        <v>0</v>
      </c>
      <c r="AG460" s="109">
        <v>0</v>
      </c>
      <c r="AH460" s="77">
        <f t="shared" ref="AH460:AH523" si="19">SUM(V460:AG460)</f>
        <v>3010.21</v>
      </c>
      <c r="AI460" s="108">
        <f>ERP_34[[#This Row],[2026 Working Total]]-ERP_34[[#This Row],[2026 LE0]]</f>
        <v>10.210000000000036</v>
      </c>
      <c r="AJ460" s="79"/>
      <c r="AK460" s="79"/>
      <c r="AL4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0" s="80"/>
      <c r="AN460" s="79">
        <f>ERP_34[[#This Row],[2026 Working Total to Budget/LE]]-ERP_34[[#This Row],[Giveback]]</f>
        <v>10.210000000000036</v>
      </c>
      <c r="AO460" s="81"/>
      <c r="AP460" s="81"/>
      <c r="AQ460" s="81"/>
      <c r="AR460" s="81">
        <v>410.21</v>
      </c>
      <c r="AS460" s="81">
        <v>2600</v>
      </c>
      <c r="AT460" s="81">
        <v>0</v>
      </c>
      <c r="AU460" s="81">
        <v>0</v>
      </c>
      <c r="AV460" s="81">
        <v>0</v>
      </c>
      <c r="AW460" s="81">
        <v>0</v>
      </c>
      <c r="AX460" s="81">
        <v>0</v>
      </c>
      <c r="AY460" s="81">
        <v>0</v>
      </c>
      <c r="AZ460" s="81">
        <v>0</v>
      </c>
      <c r="BA460" s="81">
        <v>0</v>
      </c>
      <c r="BB460" s="81">
        <v>3010.21</v>
      </c>
      <c r="BC460" s="79"/>
      <c r="BD460" s="79"/>
      <c r="BE460" s="79">
        <v>410.21</v>
      </c>
      <c r="BF460" s="79">
        <v>3000</v>
      </c>
      <c r="BG460" s="79">
        <v>0</v>
      </c>
      <c r="BH460" s="79">
        <v>0</v>
      </c>
      <c r="BI460" s="79">
        <v>0</v>
      </c>
      <c r="BJ460" s="79">
        <v>0</v>
      </c>
      <c r="BK460" s="79">
        <v>0</v>
      </c>
      <c r="BL460" s="79">
        <v>0</v>
      </c>
      <c r="BM460" s="79">
        <v>0</v>
      </c>
      <c r="BN460" s="79">
        <v>0</v>
      </c>
      <c r="BO460" s="79">
        <v>3410.21</v>
      </c>
    </row>
    <row r="461" spans="1:67">
      <c r="A461" s="66" t="s">
        <v>2475</v>
      </c>
      <c r="B461" s="66" t="str">
        <f>_xlfn.TEXTJOIN("_",,ERP_34[[#This Row],[LT Member -1*]],ERP_34[[#This Row],[Expense Category]],ERP_34[[#This Row],[Project Code*]])</f>
        <v>Meadows, Leslie_SOFTWARE_IT-SFT1194-86-OG-US</v>
      </c>
      <c r="C461" s="67" t="s">
        <v>1136</v>
      </c>
      <c r="D461" s="67" t="s">
        <v>1135</v>
      </c>
      <c r="E461" s="67" t="s">
        <v>1156</v>
      </c>
      <c r="F461" s="67" t="s">
        <v>1137</v>
      </c>
      <c r="G461" s="68" t="s">
        <v>639</v>
      </c>
      <c r="H461" s="106" t="s">
        <v>818</v>
      </c>
      <c r="I461" s="70"/>
      <c r="J461" s="70"/>
      <c r="K461" s="114" t="s">
        <v>817</v>
      </c>
      <c r="L461" s="70"/>
      <c r="M461" s="70"/>
      <c r="N461" s="70"/>
      <c r="O461" s="67" t="s">
        <v>818</v>
      </c>
      <c r="P461" s="67"/>
      <c r="Q461" s="71"/>
      <c r="R461" s="72">
        <v>2800</v>
      </c>
      <c r="S461" s="73">
        <v>11294.74</v>
      </c>
      <c r="T461" s="73">
        <v>2800</v>
      </c>
      <c r="U461" s="71">
        <f>ERP_34[[#This Row],[LE2 Final Submission]]-ERP_34[[#This Row],[LE3 Final Submission]]</f>
        <v>8494.74</v>
      </c>
      <c r="V461" s="74"/>
      <c r="W461" s="75"/>
      <c r="X461" s="75">
        <v>3116.74</v>
      </c>
      <c r="Y461" s="109">
        <v>0</v>
      </c>
      <c r="Z461" s="109">
        <v>0</v>
      </c>
      <c r="AA461" s="76">
        <v>2726</v>
      </c>
      <c r="AB461" s="109">
        <v>0</v>
      </c>
      <c r="AC461" s="109">
        <v>0</v>
      </c>
      <c r="AD461" s="76">
        <v>2726</v>
      </c>
      <c r="AE461" s="109">
        <v>0</v>
      </c>
      <c r="AF461" s="76">
        <v>2726</v>
      </c>
      <c r="AG461" s="109">
        <v>0</v>
      </c>
      <c r="AH461" s="77">
        <f t="shared" si="19"/>
        <v>11294.74</v>
      </c>
      <c r="AI461" s="108">
        <f>ERP_34[[#This Row],[2026 Working Total]]-ERP_34[[#This Row],[2026 LE0]]</f>
        <v>8494.74</v>
      </c>
      <c r="AJ461" s="79"/>
      <c r="AK461" s="79"/>
      <c r="AL46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1" s="80"/>
      <c r="AN461" s="79">
        <f>ERP_34[[#This Row],[2026 Working Total to Budget/LE]]-ERP_34[[#This Row],[Giveback]]</f>
        <v>8494.74</v>
      </c>
      <c r="AO461" s="81"/>
      <c r="AP461" s="81"/>
      <c r="AQ461" s="81"/>
      <c r="AR461" s="81">
        <v>3116.74</v>
      </c>
      <c r="AS461" s="81">
        <v>0</v>
      </c>
      <c r="AT461" s="81">
        <v>0</v>
      </c>
      <c r="AU461" s="81">
        <v>2726</v>
      </c>
      <c r="AV461" s="81">
        <v>0</v>
      </c>
      <c r="AW461" s="81">
        <v>0</v>
      </c>
      <c r="AX461" s="81">
        <v>2726</v>
      </c>
      <c r="AY461" s="81">
        <v>0</v>
      </c>
      <c r="AZ461" s="81">
        <v>2726</v>
      </c>
      <c r="BA461" s="81">
        <v>0</v>
      </c>
      <c r="BB461" s="81">
        <v>11294.74</v>
      </c>
      <c r="BC461" s="82"/>
      <c r="BD461" s="82"/>
      <c r="BE461" s="82">
        <v>3116.74</v>
      </c>
      <c r="BF461" s="82">
        <v>0</v>
      </c>
      <c r="BG461" s="82">
        <v>0</v>
      </c>
      <c r="BH461" s="82">
        <v>700</v>
      </c>
      <c r="BI461" s="82">
        <v>0</v>
      </c>
      <c r="BJ461" s="82">
        <v>0</v>
      </c>
      <c r="BK461" s="82">
        <v>700</v>
      </c>
      <c r="BL461" s="82">
        <v>0</v>
      </c>
      <c r="BM461" s="82">
        <v>700</v>
      </c>
      <c r="BN461" s="82">
        <v>0</v>
      </c>
      <c r="BO461" s="82">
        <v>5216.74</v>
      </c>
    </row>
    <row r="462" spans="1:67">
      <c r="A462" s="66" t="s">
        <v>2478</v>
      </c>
      <c r="B462" s="66" t="str">
        <f>_xlfn.TEXTJOIN("_",,ERP_34[[#This Row],[LT Member -1*]],ERP_34[[#This Row],[Expense Category]],ERP_34[[#This Row],[Project Code*]])</f>
        <v>Patel, Nikunj Rohitkumar_SOFTWARE_IT-SFT1194-86-OG-US</v>
      </c>
      <c r="C462" s="67" t="s">
        <v>1136</v>
      </c>
      <c r="D462" s="67" t="s">
        <v>1135</v>
      </c>
      <c r="E462" s="67" t="s">
        <v>1161</v>
      </c>
      <c r="F462" s="67" t="s">
        <v>1137</v>
      </c>
      <c r="G462" s="68" t="s">
        <v>639</v>
      </c>
      <c r="H462" s="106" t="s">
        <v>818</v>
      </c>
      <c r="I462" s="70"/>
      <c r="J462" s="70"/>
      <c r="K462" s="70" t="s">
        <v>817</v>
      </c>
      <c r="L462" s="70"/>
      <c r="M462" s="70"/>
      <c r="N462" s="70"/>
      <c r="O462" s="67" t="s">
        <v>818</v>
      </c>
      <c r="P462" s="67"/>
      <c r="Q462" s="71"/>
      <c r="R462" s="72">
        <v>800</v>
      </c>
      <c r="S462" s="73">
        <v>4147.87</v>
      </c>
      <c r="T462" s="73">
        <v>800</v>
      </c>
      <c r="U462" s="71">
        <f>ERP_34[[#This Row],[LE2 Final Submission]]-ERP_34[[#This Row],[LE3 Final Submission]]</f>
        <v>3347.87</v>
      </c>
      <c r="V462" s="74"/>
      <c r="W462" s="75"/>
      <c r="X462" s="75">
        <v>3547.87</v>
      </c>
      <c r="Y462" s="109">
        <v>0</v>
      </c>
      <c r="Z462" s="109">
        <v>0</v>
      </c>
      <c r="AA462" s="76">
        <v>200</v>
      </c>
      <c r="AB462" s="109">
        <v>0</v>
      </c>
      <c r="AC462" s="109">
        <v>0</v>
      </c>
      <c r="AD462" s="76">
        <v>200</v>
      </c>
      <c r="AE462" s="109">
        <v>0</v>
      </c>
      <c r="AF462" s="76">
        <v>200</v>
      </c>
      <c r="AG462" s="109">
        <v>0</v>
      </c>
      <c r="AH462" s="77">
        <f t="shared" si="19"/>
        <v>4147.87</v>
      </c>
      <c r="AI462" s="108">
        <f>ERP_34[[#This Row],[2026 Working Total]]-ERP_34[[#This Row],[2026 LE0]]</f>
        <v>3347.87</v>
      </c>
      <c r="AJ462" s="79"/>
      <c r="AK462" s="79"/>
      <c r="AL46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2" s="80"/>
      <c r="AN462" s="79">
        <f>ERP_34[[#This Row],[2026 Working Total to Budget/LE]]-ERP_34[[#This Row],[Giveback]]</f>
        <v>3347.87</v>
      </c>
      <c r="AO462" s="81"/>
      <c r="AP462" s="81"/>
      <c r="AQ462" s="81"/>
      <c r="AR462" s="81">
        <v>3547.87</v>
      </c>
      <c r="AS462" s="81">
        <v>0</v>
      </c>
      <c r="AT462" s="81">
        <v>0</v>
      </c>
      <c r="AU462" s="81">
        <v>200</v>
      </c>
      <c r="AV462" s="81">
        <v>0</v>
      </c>
      <c r="AW462" s="81">
        <v>0</v>
      </c>
      <c r="AX462" s="81">
        <v>200</v>
      </c>
      <c r="AY462" s="81">
        <v>0</v>
      </c>
      <c r="AZ462" s="81">
        <v>200</v>
      </c>
      <c r="BA462" s="81">
        <v>0</v>
      </c>
      <c r="BB462" s="81">
        <v>4147.87</v>
      </c>
      <c r="BC462" s="79"/>
      <c r="BD462" s="79"/>
      <c r="BE462" s="79">
        <v>3547.87</v>
      </c>
      <c r="BF462" s="79">
        <v>0</v>
      </c>
      <c r="BG462" s="79">
        <v>0</v>
      </c>
      <c r="BH462" s="79">
        <v>200</v>
      </c>
      <c r="BI462" s="79">
        <v>0</v>
      </c>
      <c r="BJ462" s="79">
        <v>0</v>
      </c>
      <c r="BK462" s="79">
        <v>200</v>
      </c>
      <c r="BL462" s="79">
        <v>0</v>
      </c>
      <c r="BM462" s="79">
        <v>200</v>
      </c>
      <c r="BN462" s="79">
        <v>0</v>
      </c>
      <c r="BO462" s="79">
        <v>4147.87</v>
      </c>
    </row>
    <row r="463" spans="1:67">
      <c r="A463" s="66" t="s">
        <v>2480</v>
      </c>
      <c r="B463" s="66" t="str">
        <f>_xlfn.TEXTJOIN("_",,ERP_34[[#This Row],[LT Member -1*]],ERP_34[[#This Row],[Expense Category]],ERP_34[[#This Row],[Project Code*]])</f>
        <v>Tamavada, Ram_SOFTWARE_IT-SFT1194-86-OG-US</v>
      </c>
      <c r="C463" s="67" t="s">
        <v>1136</v>
      </c>
      <c r="D463" s="67" t="s">
        <v>1135</v>
      </c>
      <c r="E463" s="67" t="s">
        <v>1165</v>
      </c>
      <c r="F463" s="67" t="s">
        <v>1137</v>
      </c>
      <c r="G463" s="68" t="s">
        <v>639</v>
      </c>
      <c r="H463" s="106" t="s">
        <v>818</v>
      </c>
      <c r="I463" s="70"/>
      <c r="J463" s="70"/>
      <c r="K463" s="70" t="s">
        <v>817</v>
      </c>
      <c r="L463" s="70"/>
      <c r="M463" s="70"/>
      <c r="N463" s="70"/>
      <c r="O463" s="67" t="s">
        <v>818</v>
      </c>
      <c r="P463" s="67"/>
      <c r="Q463" s="71"/>
      <c r="R463" s="72">
        <v>12119.24</v>
      </c>
      <c r="S463" s="73">
        <v>21230.870000000003</v>
      </c>
      <c r="T463" s="73">
        <v>12119.24</v>
      </c>
      <c r="U463" s="71">
        <f>ERP_34[[#This Row],[LE2 Final Submission]]-ERP_34[[#This Row],[LE3 Final Submission]]</f>
        <v>9111.6300000000028</v>
      </c>
      <c r="V463" s="74"/>
      <c r="W463" s="75"/>
      <c r="X463" s="75">
        <v>12141.44</v>
      </c>
      <c r="Y463" s="109">
        <v>0</v>
      </c>
      <c r="Z463" s="109">
        <v>0</v>
      </c>
      <c r="AA463" s="76">
        <v>3029.81</v>
      </c>
      <c r="AB463" s="109">
        <v>0</v>
      </c>
      <c r="AC463" s="109">
        <v>0</v>
      </c>
      <c r="AD463" s="76">
        <v>3029.81</v>
      </c>
      <c r="AE463" s="109">
        <v>0</v>
      </c>
      <c r="AF463" s="76">
        <v>3029.81</v>
      </c>
      <c r="AG463" s="109">
        <v>0</v>
      </c>
      <c r="AH463" s="77">
        <f t="shared" si="19"/>
        <v>21230.870000000003</v>
      </c>
      <c r="AI463" s="108">
        <f>ERP_34[[#This Row],[2026 Working Total]]-ERP_34[[#This Row],[2026 LE0]]</f>
        <v>9111.6300000000028</v>
      </c>
      <c r="AJ463" s="79"/>
      <c r="AK463" s="79"/>
      <c r="AL4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3" s="80"/>
      <c r="AN463" s="79">
        <f>ERP_34[[#This Row],[2026 Working Total to Budget/LE]]-ERP_34[[#This Row],[Giveback]]</f>
        <v>9111.6300000000028</v>
      </c>
      <c r="AO463" s="81"/>
      <c r="AP463" s="81"/>
      <c r="AQ463" s="81"/>
      <c r="AR463" s="81">
        <v>12141.44</v>
      </c>
      <c r="AS463" s="81">
        <v>0</v>
      </c>
      <c r="AT463" s="81">
        <v>0</v>
      </c>
      <c r="AU463" s="81">
        <v>3029.81</v>
      </c>
      <c r="AV463" s="81">
        <v>0</v>
      </c>
      <c r="AW463" s="81">
        <v>0</v>
      </c>
      <c r="AX463" s="81">
        <v>3029.81</v>
      </c>
      <c r="AY463" s="81">
        <v>0</v>
      </c>
      <c r="AZ463" s="81">
        <v>3029.81</v>
      </c>
      <c r="BA463" s="81">
        <v>0</v>
      </c>
      <c r="BB463" s="81">
        <v>21230.870000000003</v>
      </c>
      <c r="BC463" s="79"/>
      <c r="BD463" s="79"/>
      <c r="BE463" s="79">
        <v>12141.44</v>
      </c>
      <c r="BF463" s="79">
        <v>0</v>
      </c>
      <c r="BG463" s="79">
        <v>0</v>
      </c>
      <c r="BH463" s="79">
        <v>3029.81</v>
      </c>
      <c r="BI463" s="79">
        <v>0</v>
      </c>
      <c r="BJ463" s="79">
        <v>0</v>
      </c>
      <c r="BK463" s="79">
        <v>3029.81</v>
      </c>
      <c r="BL463" s="79">
        <v>0</v>
      </c>
      <c r="BM463" s="79">
        <v>3029.81</v>
      </c>
      <c r="BN463" s="79">
        <v>0</v>
      </c>
      <c r="BO463" s="79">
        <v>21230.870000000003</v>
      </c>
    </row>
    <row r="464" spans="1:67">
      <c r="A464" s="66" t="s">
        <v>2792</v>
      </c>
      <c r="B464" s="66" t="str">
        <f>_xlfn.TEXTJOIN("_",,ERP_34[[#This Row],[LT Member -1*]],ERP_34[[#This Row],[Expense Category]],ERP_34[[#This Row],[Project Code*]])</f>
        <v>DeHart, Lynn_SOFTWARE_IT-SFT1194-86-OG-US</v>
      </c>
      <c r="C464" s="67" t="s">
        <v>1136</v>
      </c>
      <c r="D464" s="67" t="s">
        <v>1345</v>
      </c>
      <c r="E464" s="67" t="s">
        <v>1346</v>
      </c>
      <c r="F464" s="67" t="s">
        <v>1346</v>
      </c>
      <c r="G464" s="68" t="s">
        <v>639</v>
      </c>
      <c r="H464" s="106" t="s">
        <v>818</v>
      </c>
      <c r="I464" s="70"/>
      <c r="J464" s="70"/>
      <c r="K464" s="70" t="s">
        <v>817</v>
      </c>
      <c r="L464" s="70"/>
      <c r="M464" s="70"/>
      <c r="N464" s="70"/>
      <c r="O464" s="67" t="s">
        <v>818</v>
      </c>
      <c r="P464" s="67"/>
      <c r="Q464" s="71"/>
      <c r="R464" s="72">
        <v>0</v>
      </c>
      <c r="S464" s="73">
        <v>3886.48</v>
      </c>
      <c r="T464" s="73">
        <v>0</v>
      </c>
      <c r="U464" s="71">
        <f>ERP_34[[#This Row],[LE2 Final Submission]]-ERP_34[[#This Row],[LE3 Final Submission]]</f>
        <v>3886.48</v>
      </c>
      <c r="V464" s="74"/>
      <c r="W464" s="75"/>
      <c r="X464" s="75">
        <v>3886.48</v>
      </c>
      <c r="Y464" s="109">
        <v>0</v>
      </c>
      <c r="Z464" s="109">
        <v>0</v>
      </c>
      <c r="AA464" s="109">
        <v>0</v>
      </c>
      <c r="AB464" s="109">
        <v>0</v>
      </c>
      <c r="AC464" s="109">
        <v>0</v>
      </c>
      <c r="AD464" s="109">
        <v>0</v>
      </c>
      <c r="AE464" s="109">
        <v>0</v>
      </c>
      <c r="AF464" s="109">
        <v>0</v>
      </c>
      <c r="AG464" s="109">
        <v>0</v>
      </c>
      <c r="AH464" s="77">
        <f t="shared" si="19"/>
        <v>3886.48</v>
      </c>
      <c r="AI464" s="108">
        <f>ERP_34[[#This Row],[2026 Working Total]]-ERP_34[[#This Row],[2026 LE0]]</f>
        <v>3886.48</v>
      </c>
      <c r="AJ464" s="79"/>
      <c r="AK464" s="79"/>
      <c r="AL46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4" s="80"/>
      <c r="AN464" s="79">
        <f>ERP_34[[#This Row],[2026 Working Total to Budget/LE]]-ERP_34[[#This Row],[Giveback]]</f>
        <v>3886.48</v>
      </c>
      <c r="AO464" s="81"/>
      <c r="AP464" s="81"/>
      <c r="AQ464" s="81"/>
      <c r="AR464" s="81">
        <v>3886.48</v>
      </c>
      <c r="AS464" s="81">
        <v>0</v>
      </c>
      <c r="AT464" s="81">
        <v>0</v>
      </c>
      <c r="AU464" s="81">
        <v>0</v>
      </c>
      <c r="AV464" s="81">
        <v>0</v>
      </c>
      <c r="AW464" s="81">
        <v>0</v>
      </c>
      <c r="AX464" s="81">
        <v>0</v>
      </c>
      <c r="AY464" s="81">
        <v>0</v>
      </c>
      <c r="AZ464" s="81">
        <v>0</v>
      </c>
      <c r="BA464" s="81">
        <v>0</v>
      </c>
      <c r="BB464" s="81">
        <v>3886.48</v>
      </c>
      <c r="BC464" s="79"/>
      <c r="BD464" s="79"/>
      <c r="BE464" s="79">
        <v>3886.48</v>
      </c>
      <c r="BF464" s="79">
        <v>0</v>
      </c>
      <c r="BG464" s="79">
        <v>0</v>
      </c>
      <c r="BH464" s="79">
        <v>0</v>
      </c>
      <c r="BI464" s="79">
        <v>0</v>
      </c>
      <c r="BJ464" s="79">
        <v>0</v>
      </c>
      <c r="BK464" s="79">
        <v>0</v>
      </c>
      <c r="BL464" s="79">
        <v>0</v>
      </c>
      <c r="BM464" s="79">
        <v>0</v>
      </c>
      <c r="BN464" s="79">
        <v>0</v>
      </c>
      <c r="BO464" s="79">
        <v>3886.48</v>
      </c>
    </row>
    <row r="465" spans="1:67">
      <c r="A465" s="66" t="s">
        <v>2623</v>
      </c>
      <c r="B465" s="66" t="str">
        <f>_xlfn.TEXTJOIN("_",,ERP_34[[#This Row],[LT Member -1*]],ERP_34[[#This Row],[Expense Category]],ERP_34[[#This Row],[Project Code*]])</f>
        <v>Ganesan, Srinivasan_SOFTWARE_IT-SFT1194-86-OG-US</v>
      </c>
      <c r="C465" s="67" t="s">
        <v>1136</v>
      </c>
      <c r="D465" s="67" t="s">
        <v>1345</v>
      </c>
      <c r="E465" s="67" t="s">
        <v>1344</v>
      </c>
      <c r="F465" s="67" t="s">
        <v>1346</v>
      </c>
      <c r="G465" s="68" t="s">
        <v>639</v>
      </c>
      <c r="H465" s="106" t="s">
        <v>818</v>
      </c>
      <c r="I465" s="70"/>
      <c r="J465" s="70"/>
      <c r="K465" s="70" t="s">
        <v>817</v>
      </c>
      <c r="L465" s="70"/>
      <c r="M465" s="70"/>
      <c r="N465" s="70"/>
      <c r="O465" s="67" t="s">
        <v>818</v>
      </c>
      <c r="P465" s="67"/>
      <c r="Q465" s="71"/>
      <c r="R465" s="72">
        <v>8000</v>
      </c>
      <c r="S465" s="73">
        <v>16362.7</v>
      </c>
      <c r="T465" s="73">
        <v>8000</v>
      </c>
      <c r="U465" s="71">
        <f>ERP_34[[#This Row],[LE2 Final Submission]]-ERP_34[[#This Row],[LE3 Final Submission]]</f>
        <v>8362.7000000000007</v>
      </c>
      <c r="V465" s="74"/>
      <c r="W465" s="75"/>
      <c r="X465" s="75">
        <v>10362.700000000001</v>
      </c>
      <c r="Y465" s="109">
        <v>0</v>
      </c>
      <c r="Z465" s="109">
        <v>0</v>
      </c>
      <c r="AA465" s="76">
        <v>2000</v>
      </c>
      <c r="AB465" s="109">
        <v>0</v>
      </c>
      <c r="AC465" s="109">
        <v>0</v>
      </c>
      <c r="AD465" s="76">
        <v>2000</v>
      </c>
      <c r="AE465" s="109">
        <v>0</v>
      </c>
      <c r="AF465" s="76">
        <v>2000</v>
      </c>
      <c r="AG465" s="109">
        <v>0</v>
      </c>
      <c r="AH465" s="77">
        <f t="shared" si="19"/>
        <v>16362.7</v>
      </c>
      <c r="AI465" s="108">
        <f>ERP_34[[#This Row],[2026 Working Total]]-ERP_34[[#This Row],[2026 LE0]]</f>
        <v>8362.7000000000007</v>
      </c>
      <c r="AJ465" s="79"/>
      <c r="AK465" s="79"/>
      <c r="AL46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5" s="80"/>
      <c r="AN465" s="79">
        <f>ERP_34[[#This Row],[2026 Working Total to Budget/LE]]-ERP_34[[#This Row],[Giveback]]</f>
        <v>8362.7000000000007</v>
      </c>
      <c r="AO465" s="81"/>
      <c r="AP465" s="81"/>
      <c r="AQ465" s="81"/>
      <c r="AR465" s="81">
        <v>10362.700000000001</v>
      </c>
      <c r="AS465" s="81">
        <v>0</v>
      </c>
      <c r="AT465" s="81">
        <v>0</v>
      </c>
      <c r="AU465" s="81">
        <v>2000</v>
      </c>
      <c r="AV465" s="81">
        <v>0</v>
      </c>
      <c r="AW465" s="81">
        <v>0</v>
      </c>
      <c r="AX465" s="81">
        <v>2000</v>
      </c>
      <c r="AY465" s="81">
        <v>0</v>
      </c>
      <c r="AZ465" s="81">
        <v>2000</v>
      </c>
      <c r="BA465" s="81">
        <v>0</v>
      </c>
      <c r="BB465" s="81">
        <v>16362.7</v>
      </c>
      <c r="BC465" s="79"/>
      <c r="BD465" s="79"/>
      <c r="BE465" s="79">
        <v>10362.700000000001</v>
      </c>
      <c r="BF465" s="79">
        <v>0</v>
      </c>
      <c r="BG465" s="79">
        <v>0</v>
      </c>
      <c r="BH465" s="79">
        <v>2000</v>
      </c>
      <c r="BI465" s="79">
        <v>0</v>
      </c>
      <c r="BJ465" s="79">
        <v>0</v>
      </c>
      <c r="BK465" s="79">
        <v>2000</v>
      </c>
      <c r="BL465" s="79">
        <v>0</v>
      </c>
      <c r="BM465" s="79">
        <v>2000</v>
      </c>
      <c r="BN465" s="79">
        <v>0</v>
      </c>
      <c r="BO465" s="79">
        <v>16362.7</v>
      </c>
    </row>
    <row r="466" spans="1:67">
      <c r="A466" s="66" t="s">
        <v>2685</v>
      </c>
      <c r="B466" s="66" t="str">
        <f>_xlfn.TEXTJOIN("_",,ERP_34[[#This Row],[LT Member -1*]],ERP_34[[#This Row],[Expense Category]],ERP_34[[#This Row],[Project Code*]])</f>
        <v>Hase, Raj_SOFTWARE_IT-SFT1194-86-OG-US</v>
      </c>
      <c r="C466" s="67" t="s">
        <v>1136</v>
      </c>
      <c r="D466" s="67" t="s">
        <v>1345</v>
      </c>
      <c r="E466" s="67" t="s">
        <v>1345</v>
      </c>
      <c r="F466" s="67" t="s">
        <v>1346</v>
      </c>
      <c r="G466" s="68" t="s">
        <v>639</v>
      </c>
      <c r="H466" s="106" t="s">
        <v>818</v>
      </c>
      <c r="I466" s="70"/>
      <c r="J466" s="70"/>
      <c r="K466" s="70" t="s">
        <v>817</v>
      </c>
      <c r="L466" s="70"/>
      <c r="M466" s="70"/>
      <c r="N466" s="70"/>
      <c r="O466" s="67" t="s">
        <v>818</v>
      </c>
      <c r="P466" s="67"/>
      <c r="Q466" s="71"/>
      <c r="R466" s="72">
        <v>13200</v>
      </c>
      <c r="S466" s="73">
        <v>19370.91</v>
      </c>
      <c r="T466" s="73">
        <v>13200</v>
      </c>
      <c r="U466" s="71">
        <f>ERP_34[[#This Row],[LE2 Final Submission]]-ERP_34[[#This Row],[LE3 Final Submission]]</f>
        <v>6170.91</v>
      </c>
      <c r="V466" s="74"/>
      <c r="W466" s="75"/>
      <c r="X466" s="75">
        <v>9470.91</v>
      </c>
      <c r="Y466" s="109">
        <v>0</v>
      </c>
      <c r="Z466" s="109">
        <v>0</v>
      </c>
      <c r="AA466" s="76">
        <v>3300</v>
      </c>
      <c r="AB466" s="109">
        <v>0</v>
      </c>
      <c r="AC466" s="109">
        <v>0</v>
      </c>
      <c r="AD466" s="76">
        <v>3300</v>
      </c>
      <c r="AE466" s="109">
        <v>0</v>
      </c>
      <c r="AF466" s="109">
        <v>0</v>
      </c>
      <c r="AG466" s="76">
        <v>3300</v>
      </c>
      <c r="AH466" s="77">
        <f t="shared" si="19"/>
        <v>19370.91</v>
      </c>
      <c r="AI466" s="108">
        <f>ERP_34[[#This Row],[2026 Working Total]]-ERP_34[[#This Row],[2026 LE0]]</f>
        <v>6170.91</v>
      </c>
      <c r="AJ466" s="79"/>
      <c r="AK466" s="79"/>
      <c r="AL46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6" s="80"/>
      <c r="AN466" s="79">
        <f>ERP_34[[#This Row],[2026 Working Total to Budget/LE]]-ERP_34[[#This Row],[Giveback]]</f>
        <v>6170.91</v>
      </c>
      <c r="AO466" s="81"/>
      <c r="AP466" s="81"/>
      <c r="AQ466" s="81"/>
      <c r="AR466" s="81">
        <v>9470.91</v>
      </c>
      <c r="AS466" s="81">
        <v>0</v>
      </c>
      <c r="AT466" s="81">
        <v>0</v>
      </c>
      <c r="AU466" s="81">
        <v>3300</v>
      </c>
      <c r="AV466" s="81">
        <v>0</v>
      </c>
      <c r="AW466" s="81">
        <v>0</v>
      </c>
      <c r="AX466" s="81">
        <v>3300</v>
      </c>
      <c r="AY466" s="81">
        <v>0</v>
      </c>
      <c r="AZ466" s="81">
        <v>0</v>
      </c>
      <c r="BA466" s="81">
        <v>3300</v>
      </c>
      <c r="BB466" s="81">
        <v>19370.91</v>
      </c>
      <c r="BC466" s="79"/>
      <c r="BD466" s="79"/>
      <c r="BE466" s="79">
        <v>9470.91</v>
      </c>
      <c r="BF466" s="79">
        <v>0</v>
      </c>
      <c r="BG466" s="79">
        <v>0</v>
      </c>
      <c r="BH466" s="79">
        <v>3300</v>
      </c>
      <c r="BI466" s="79">
        <v>0</v>
      </c>
      <c r="BJ466" s="79">
        <v>0</v>
      </c>
      <c r="BK466" s="79">
        <v>3300</v>
      </c>
      <c r="BL466" s="79">
        <v>0</v>
      </c>
      <c r="BM466" s="79">
        <v>0</v>
      </c>
      <c r="BN466" s="79">
        <v>3300</v>
      </c>
      <c r="BO466" s="79">
        <v>19370.91</v>
      </c>
    </row>
    <row r="467" spans="1:67">
      <c r="A467" s="66" t="s">
        <v>2703</v>
      </c>
      <c r="B467" s="66" t="str">
        <f>_xlfn.TEXTJOIN("_",,ERP_34[[#This Row],[LT Member -1*]],ERP_34[[#This Row],[Expense Category]],ERP_34[[#This Row],[Project Code*]])</f>
        <v>Herman, Shaun_SOFTWARE_IT-SFT1194-86-OG-US</v>
      </c>
      <c r="C467" s="67" t="s">
        <v>1136</v>
      </c>
      <c r="D467" s="67" t="s">
        <v>1345</v>
      </c>
      <c r="E467" s="67" t="s">
        <v>1450</v>
      </c>
      <c r="F467" s="67" t="s">
        <v>1346</v>
      </c>
      <c r="G467" s="68" t="s">
        <v>639</v>
      </c>
      <c r="H467" s="106" t="s">
        <v>818</v>
      </c>
      <c r="I467" s="70"/>
      <c r="J467" s="70"/>
      <c r="K467" s="70" t="s">
        <v>817</v>
      </c>
      <c r="L467" s="70"/>
      <c r="M467" s="70"/>
      <c r="N467" s="70"/>
      <c r="O467" s="67" t="s">
        <v>818</v>
      </c>
      <c r="P467" s="67"/>
      <c r="Q467" s="71"/>
      <c r="R467" s="72">
        <v>12000</v>
      </c>
      <c r="S467" s="73">
        <v>19022.099999999999</v>
      </c>
      <c r="T467" s="73">
        <v>12000</v>
      </c>
      <c r="U467" s="71">
        <f>ERP_34[[#This Row],[LE2 Final Submission]]-ERP_34[[#This Row],[LE3 Final Submission]]</f>
        <v>7022.0999999999985</v>
      </c>
      <c r="V467" s="74"/>
      <c r="W467" s="75"/>
      <c r="X467" s="75">
        <v>10022.1</v>
      </c>
      <c r="Y467" s="109">
        <v>0</v>
      </c>
      <c r="Z467" s="109">
        <v>0</v>
      </c>
      <c r="AA467" s="76">
        <v>3000</v>
      </c>
      <c r="AB467" s="109">
        <v>0</v>
      </c>
      <c r="AC467" s="109">
        <v>0</v>
      </c>
      <c r="AD467" s="76">
        <v>3000</v>
      </c>
      <c r="AE467" s="109">
        <v>0</v>
      </c>
      <c r="AF467" s="109">
        <v>0</v>
      </c>
      <c r="AG467" s="76">
        <v>3000</v>
      </c>
      <c r="AH467" s="77">
        <f t="shared" si="19"/>
        <v>19022.099999999999</v>
      </c>
      <c r="AI467" s="108">
        <f>ERP_34[[#This Row],[2026 Working Total]]-ERP_34[[#This Row],[2026 LE0]]</f>
        <v>7022.0999999999985</v>
      </c>
      <c r="AJ467" s="79"/>
      <c r="AK467" s="79"/>
      <c r="AL4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7" s="80"/>
      <c r="AN467" s="79">
        <f>ERP_34[[#This Row],[2026 Working Total to Budget/LE]]-ERP_34[[#This Row],[Giveback]]</f>
        <v>7022.0999999999985</v>
      </c>
      <c r="AO467" s="81"/>
      <c r="AP467" s="81"/>
      <c r="AQ467" s="81"/>
      <c r="AR467" s="81">
        <v>10022.1</v>
      </c>
      <c r="AS467" s="81">
        <v>0</v>
      </c>
      <c r="AT467" s="81">
        <v>0</v>
      </c>
      <c r="AU467" s="81">
        <v>3000</v>
      </c>
      <c r="AV467" s="81">
        <v>0</v>
      </c>
      <c r="AW467" s="81">
        <v>0</v>
      </c>
      <c r="AX467" s="81">
        <v>3000</v>
      </c>
      <c r="AY467" s="81">
        <v>0</v>
      </c>
      <c r="AZ467" s="81">
        <v>0</v>
      </c>
      <c r="BA467" s="81">
        <v>3000</v>
      </c>
      <c r="BB467" s="81">
        <v>19022.099999999999</v>
      </c>
      <c r="BC467" s="79"/>
      <c r="BD467" s="79"/>
      <c r="BE467" s="79">
        <v>10022.1</v>
      </c>
      <c r="BF467" s="79">
        <v>0</v>
      </c>
      <c r="BG467" s="79">
        <v>0</v>
      </c>
      <c r="BH467" s="79">
        <v>3000</v>
      </c>
      <c r="BI467" s="79">
        <v>0</v>
      </c>
      <c r="BJ467" s="79">
        <v>0</v>
      </c>
      <c r="BK467" s="79">
        <v>3000</v>
      </c>
      <c r="BL467" s="79">
        <v>0</v>
      </c>
      <c r="BM467" s="79">
        <v>0</v>
      </c>
      <c r="BN467" s="79">
        <v>3000</v>
      </c>
      <c r="BO467" s="79">
        <v>19022.099999999999</v>
      </c>
    </row>
    <row r="468" spans="1:67">
      <c r="A468" s="66" t="s">
        <v>2725</v>
      </c>
      <c r="B468" s="66" t="str">
        <f>_xlfn.TEXTJOIN("_",,ERP_34[[#This Row],[LT Member -1*]],ERP_34[[#This Row],[Expense Category]],ERP_34[[#This Row],[Project Code*]])</f>
        <v>Hovanyetz, Mike_SOFTWARE_IT-SFT1194-86-OG-US</v>
      </c>
      <c r="C468" s="67" t="s">
        <v>1136</v>
      </c>
      <c r="D468" s="67" t="s">
        <v>1345</v>
      </c>
      <c r="E468" s="67" t="s">
        <v>1480</v>
      </c>
      <c r="F468" s="67" t="s">
        <v>1346</v>
      </c>
      <c r="G468" s="68" t="s">
        <v>639</v>
      </c>
      <c r="H468" s="106" t="s">
        <v>818</v>
      </c>
      <c r="I468" s="70"/>
      <c r="J468" s="70"/>
      <c r="K468" s="70" t="s">
        <v>817</v>
      </c>
      <c r="L468" s="70"/>
      <c r="M468" s="70"/>
      <c r="N468" s="70"/>
      <c r="O468" s="67" t="s">
        <v>818</v>
      </c>
      <c r="P468" s="67"/>
      <c r="Q468" s="71"/>
      <c r="R468" s="72">
        <v>30000</v>
      </c>
      <c r="S468" s="73">
        <v>33718.54</v>
      </c>
      <c r="T468" s="73">
        <v>30000</v>
      </c>
      <c r="U468" s="71">
        <f>ERP_34[[#This Row],[LE2 Final Submission]]-ERP_34[[#This Row],[LE3 Final Submission]]</f>
        <v>3718.5400000000009</v>
      </c>
      <c r="V468" s="74"/>
      <c r="W468" s="75"/>
      <c r="X468" s="75">
        <v>11218.54</v>
      </c>
      <c r="Y468" s="109">
        <v>0</v>
      </c>
      <c r="Z468" s="109">
        <v>0</v>
      </c>
      <c r="AA468" s="76">
        <v>7500</v>
      </c>
      <c r="AB468" s="109">
        <v>0</v>
      </c>
      <c r="AC468" s="109">
        <v>0</v>
      </c>
      <c r="AD468" s="76">
        <v>7500</v>
      </c>
      <c r="AE468" s="109">
        <v>0</v>
      </c>
      <c r="AF468" s="76">
        <v>7500</v>
      </c>
      <c r="AG468" s="109">
        <v>0</v>
      </c>
      <c r="AH468" s="77">
        <f t="shared" si="19"/>
        <v>33718.54</v>
      </c>
      <c r="AI468" s="108">
        <f>ERP_34[[#This Row],[2026 Working Total]]-ERP_34[[#This Row],[2026 LE0]]</f>
        <v>3718.5400000000009</v>
      </c>
      <c r="AJ468" s="79"/>
      <c r="AK468" s="79"/>
      <c r="AL46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8" s="80"/>
      <c r="AN468" s="79">
        <f>ERP_34[[#This Row],[2026 Working Total to Budget/LE]]-ERP_34[[#This Row],[Giveback]]</f>
        <v>3718.5400000000009</v>
      </c>
      <c r="AO468" s="81"/>
      <c r="AP468" s="81"/>
      <c r="AQ468" s="81"/>
      <c r="AR468" s="81">
        <v>11218.54</v>
      </c>
      <c r="AS468" s="81">
        <v>0</v>
      </c>
      <c r="AT468" s="81">
        <v>0</v>
      </c>
      <c r="AU468" s="81">
        <v>7500</v>
      </c>
      <c r="AV468" s="81">
        <v>0</v>
      </c>
      <c r="AW468" s="81">
        <v>0</v>
      </c>
      <c r="AX468" s="81">
        <v>7500</v>
      </c>
      <c r="AY468" s="81">
        <v>0</v>
      </c>
      <c r="AZ468" s="81">
        <v>7500</v>
      </c>
      <c r="BA468" s="81">
        <v>0</v>
      </c>
      <c r="BB468" s="81">
        <v>33718.54</v>
      </c>
      <c r="BC468" s="79"/>
      <c r="BD468" s="79"/>
      <c r="BE468" s="79">
        <v>11218.54</v>
      </c>
      <c r="BF468" s="79">
        <v>0</v>
      </c>
      <c r="BG468" s="79">
        <v>0</v>
      </c>
      <c r="BH468" s="79">
        <v>7500</v>
      </c>
      <c r="BI468" s="79">
        <v>0</v>
      </c>
      <c r="BJ468" s="79">
        <v>0</v>
      </c>
      <c r="BK468" s="79">
        <v>7500</v>
      </c>
      <c r="BL468" s="79">
        <v>0</v>
      </c>
      <c r="BM468" s="79">
        <v>7500</v>
      </c>
      <c r="BN468" s="79">
        <v>0</v>
      </c>
      <c r="BO468" s="79">
        <v>33718.54</v>
      </c>
    </row>
    <row r="469" spans="1:67">
      <c r="A469" s="66" t="s">
        <v>2751</v>
      </c>
      <c r="B469" s="66" t="str">
        <f>_xlfn.TEXTJOIN("_",,ERP_34[[#This Row],[LT Member -1*]],ERP_34[[#This Row],[Expense Category]],ERP_34[[#This Row],[Project Code*]])</f>
        <v>Jajodia, Amit_SOFTWARE_IT-SFT1194-86-OG-US</v>
      </c>
      <c r="C469" s="67" t="s">
        <v>1136</v>
      </c>
      <c r="D469" s="67" t="s">
        <v>1345</v>
      </c>
      <c r="E469" s="67" t="s">
        <v>1515</v>
      </c>
      <c r="F469" s="67" t="s">
        <v>1346</v>
      </c>
      <c r="G469" s="68" t="s">
        <v>639</v>
      </c>
      <c r="H469" s="106" t="s">
        <v>818</v>
      </c>
      <c r="I469" s="70"/>
      <c r="J469" s="70"/>
      <c r="K469" s="70" t="s">
        <v>817</v>
      </c>
      <c r="L469" s="70"/>
      <c r="M469" s="70"/>
      <c r="N469" s="70"/>
      <c r="O469" s="67" t="s">
        <v>818</v>
      </c>
      <c r="P469" s="67"/>
      <c r="Q469" s="71"/>
      <c r="R469" s="72">
        <v>8000</v>
      </c>
      <c r="S469" s="73">
        <v>17389.7</v>
      </c>
      <c r="T469" s="73">
        <v>8000</v>
      </c>
      <c r="U469" s="71">
        <f>ERP_34[[#This Row],[LE2 Final Submission]]-ERP_34[[#This Row],[LE3 Final Submission]]</f>
        <v>9389.7000000000007</v>
      </c>
      <c r="V469" s="74"/>
      <c r="W469" s="75"/>
      <c r="X469" s="75">
        <v>11389.7</v>
      </c>
      <c r="Y469" s="109">
        <v>0</v>
      </c>
      <c r="Z469" s="109">
        <v>0</v>
      </c>
      <c r="AA469" s="76">
        <v>2000</v>
      </c>
      <c r="AB469" s="109">
        <v>0</v>
      </c>
      <c r="AC469" s="109">
        <v>0</v>
      </c>
      <c r="AD469" s="76">
        <v>2000</v>
      </c>
      <c r="AE469" s="109">
        <v>0</v>
      </c>
      <c r="AF469" s="76">
        <v>2000</v>
      </c>
      <c r="AG469" s="109">
        <v>0</v>
      </c>
      <c r="AH469" s="77">
        <f t="shared" si="19"/>
        <v>17389.7</v>
      </c>
      <c r="AI469" s="108">
        <f>ERP_34[[#This Row],[2026 Working Total]]-ERP_34[[#This Row],[2026 LE0]]</f>
        <v>9389.7000000000007</v>
      </c>
      <c r="AJ469" s="79"/>
      <c r="AK469" s="79"/>
      <c r="AL46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69" s="80"/>
      <c r="AN469" s="79">
        <f>ERP_34[[#This Row],[2026 Working Total to Budget/LE]]-ERP_34[[#This Row],[Giveback]]</f>
        <v>9389.7000000000007</v>
      </c>
      <c r="AO469" s="81"/>
      <c r="AP469" s="81"/>
      <c r="AQ469" s="81"/>
      <c r="AR469" s="81">
        <v>11389.7</v>
      </c>
      <c r="AS469" s="81">
        <v>0</v>
      </c>
      <c r="AT469" s="81">
        <v>0</v>
      </c>
      <c r="AU469" s="81">
        <v>2000</v>
      </c>
      <c r="AV469" s="81">
        <v>0</v>
      </c>
      <c r="AW469" s="81">
        <v>0</v>
      </c>
      <c r="AX469" s="81">
        <v>2000</v>
      </c>
      <c r="AY469" s="81">
        <v>0</v>
      </c>
      <c r="AZ469" s="81">
        <v>2000</v>
      </c>
      <c r="BA469" s="81">
        <v>0</v>
      </c>
      <c r="BB469" s="81">
        <v>17389.7</v>
      </c>
      <c r="BC469" s="79"/>
      <c r="BD469" s="79"/>
      <c r="BE469" s="79">
        <v>11389.7</v>
      </c>
      <c r="BF469" s="79">
        <v>0</v>
      </c>
      <c r="BG469" s="79">
        <v>0</v>
      </c>
      <c r="BH469" s="79">
        <v>2000</v>
      </c>
      <c r="BI469" s="79">
        <v>0</v>
      </c>
      <c r="BJ469" s="79">
        <v>0</v>
      </c>
      <c r="BK469" s="79">
        <v>2000</v>
      </c>
      <c r="BL469" s="79">
        <v>0</v>
      </c>
      <c r="BM469" s="79">
        <v>2000</v>
      </c>
      <c r="BN469" s="79">
        <v>0</v>
      </c>
      <c r="BO469" s="79">
        <v>17389.7</v>
      </c>
    </row>
    <row r="470" spans="1:67">
      <c r="A470" s="66" t="s">
        <v>2726</v>
      </c>
      <c r="B470" s="66" t="str">
        <f>_xlfn.TEXTJOIN("_",,ERP_34[[#This Row],[LT Member -1*]],ERP_34[[#This Row],[Expense Category]],ERP_34[[#This Row],[Project Code*]])</f>
        <v>Vaidya, Sachin_SOFTWARE_IT-SFT1194-86-OG-US</v>
      </c>
      <c r="C470" s="67" t="s">
        <v>1136</v>
      </c>
      <c r="D470" s="67" t="s">
        <v>1345</v>
      </c>
      <c r="E470" s="67" t="s">
        <v>1481</v>
      </c>
      <c r="F470" s="67" t="s">
        <v>1346</v>
      </c>
      <c r="G470" s="68" t="s">
        <v>639</v>
      </c>
      <c r="H470" s="106" t="s">
        <v>818</v>
      </c>
      <c r="I470" s="70"/>
      <c r="J470" s="70"/>
      <c r="K470" s="70" t="s">
        <v>817</v>
      </c>
      <c r="L470" s="70"/>
      <c r="M470" s="70"/>
      <c r="N470" s="70"/>
      <c r="O470" s="67" t="s">
        <v>818</v>
      </c>
      <c r="P470" s="67" t="s">
        <v>1513</v>
      </c>
      <c r="Q470" s="71"/>
      <c r="R470" s="72">
        <v>7176</v>
      </c>
      <c r="S470" s="73">
        <v>11702.54</v>
      </c>
      <c r="T470" s="73">
        <v>7176</v>
      </c>
      <c r="U470" s="71">
        <f>ERP_34[[#This Row],[LE2 Final Submission]]-ERP_34[[#This Row],[LE3 Final Submission]]</f>
        <v>4526.5400000000009</v>
      </c>
      <c r="V470" s="74"/>
      <c r="W470" s="75"/>
      <c r="X470" s="75">
        <v>6320.54</v>
      </c>
      <c r="Y470" s="109">
        <v>0</v>
      </c>
      <c r="Z470" s="109">
        <v>0</v>
      </c>
      <c r="AA470" s="76">
        <v>1794</v>
      </c>
      <c r="AB470" s="109">
        <v>0</v>
      </c>
      <c r="AC470" s="109">
        <v>0</v>
      </c>
      <c r="AD470" s="76">
        <v>1794</v>
      </c>
      <c r="AE470" s="109">
        <v>0</v>
      </c>
      <c r="AF470" s="76">
        <v>1794</v>
      </c>
      <c r="AG470" s="109">
        <v>0</v>
      </c>
      <c r="AH470" s="77">
        <f t="shared" si="19"/>
        <v>11702.54</v>
      </c>
      <c r="AI470" s="108">
        <f>ERP_34[[#This Row],[2026 Working Total]]-ERP_34[[#This Row],[2026 LE0]]</f>
        <v>4526.5400000000009</v>
      </c>
      <c r="AJ470" s="79"/>
      <c r="AK470" s="79"/>
      <c r="AL47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0" s="80"/>
      <c r="AN470" s="79">
        <f>ERP_34[[#This Row],[2026 Working Total to Budget/LE]]-ERP_34[[#This Row],[Giveback]]</f>
        <v>4526.5400000000009</v>
      </c>
      <c r="AO470" s="81"/>
      <c r="AP470" s="81"/>
      <c r="AQ470" s="81"/>
      <c r="AR470" s="81">
        <v>6320.54</v>
      </c>
      <c r="AS470" s="81">
        <v>0</v>
      </c>
      <c r="AT470" s="81">
        <v>0</v>
      </c>
      <c r="AU470" s="81">
        <v>1794</v>
      </c>
      <c r="AV470" s="81">
        <v>0</v>
      </c>
      <c r="AW470" s="81">
        <v>0</v>
      </c>
      <c r="AX470" s="81">
        <v>1794</v>
      </c>
      <c r="AY470" s="81">
        <v>0</v>
      </c>
      <c r="AZ470" s="81">
        <v>1794</v>
      </c>
      <c r="BA470" s="81">
        <v>0</v>
      </c>
      <c r="BB470" s="81">
        <v>11702.54</v>
      </c>
      <c r="BC470" s="79"/>
      <c r="BD470" s="79"/>
      <c r="BE470" s="79">
        <v>6320.54</v>
      </c>
      <c r="BF470" s="79">
        <v>0</v>
      </c>
      <c r="BG470" s="79">
        <v>0</v>
      </c>
      <c r="BH470" s="79">
        <v>1794</v>
      </c>
      <c r="BI470" s="79">
        <v>0</v>
      </c>
      <c r="BJ470" s="79">
        <v>0</v>
      </c>
      <c r="BK470" s="79">
        <v>1794</v>
      </c>
      <c r="BL470" s="79">
        <v>0</v>
      </c>
      <c r="BM470" s="79">
        <v>1794</v>
      </c>
      <c r="BN470" s="79">
        <v>0</v>
      </c>
      <c r="BO470" s="79">
        <v>11702.54</v>
      </c>
    </row>
    <row r="471" spans="1:67">
      <c r="A471" s="66" t="s">
        <v>2794</v>
      </c>
      <c r="B471" s="66" t="str">
        <f>_xlfn.TEXTJOIN("_",,ERP_34[[#This Row],[LT Member -1*]],ERP_34[[#This Row],[Expense Category]],ERP_34[[#This Row],[Project Code*]])</f>
        <v>McGettigan, David_SOFTWARE_IT-SFT1194-86-OG-US</v>
      </c>
      <c r="C471" s="67" t="s">
        <v>1136</v>
      </c>
      <c r="D471" s="67" t="s">
        <v>1567</v>
      </c>
      <c r="E471" s="67" t="s">
        <v>1567</v>
      </c>
      <c r="F471" s="67" t="s">
        <v>1567</v>
      </c>
      <c r="G471" s="68" t="s">
        <v>639</v>
      </c>
      <c r="H471" s="106" t="s">
        <v>818</v>
      </c>
      <c r="I471" s="70"/>
      <c r="J471" s="70"/>
      <c r="K471" s="70" t="s">
        <v>817</v>
      </c>
      <c r="L471" s="70"/>
      <c r="M471" s="70"/>
      <c r="N471" s="70"/>
      <c r="O471" s="67" t="s">
        <v>818</v>
      </c>
      <c r="P471" s="67"/>
      <c r="Q471" s="71"/>
      <c r="R471" s="72">
        <v>0</v>
      </c>
      <c r="S471" s="73">
        <v>95.05</v>
      </c>
      <c r="T471" s="73">
        <v>0</v>
      </c>
      <c r="U471" s="71">
        <f>ERP_34[[#This Row],[LE2 Final Submission]]-ERP_34[[#This Row],[LE3 Final Submission]]</f>
        <v>95.05</v>
      </c>
      <c r="V471" s="74"/>
      <c r="W471" s="75"/>
      <c r="X471" s="75">
        <v>95.05</v>
      </c>
      <c r="Y471" s="109">
        <v>0</v>
      </c>
      <c r="Z471" s="109">
        <v>0</v>
      </c>
      <c r="AA471" s="109">
        <v>0</v>
      </c>
      <c r="AB471" s="109">
        <v>0</v>
      </c>
      <c r="AC471" s="109">
        <v>0</v>
      </c>
      <c r="AD471" s="109">
        <v>0</v>
      </c>
      <c r="AE471" s="109">
        <v>0</v>
      </c>
      <c r="AF471" s="109">
        <v>0</v>
      </c>
      <c r="AG471" s="109">
        <v>0</v>
      </c>
      <c r="AH471" s="77">
        <f t="shared" si="19"/>
        <v>95.05</v>
      </c>
      <c r="AI471" s="108">
        <f>ERP_34[[#This Row],[2026 Working Total]]-ERP_34[[#This Row],[2026 LE0]]</f>
        <v>95.05</v>
      </c>
      <c r="AJ471" s="79"/>
      <c r="AK471" s="79"/>
      <c r="AL47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1" s="80"/>
      <c r="AN471" s="79">
        <f>ERP_34[[#This Row],[2026 Working Total to Budget/LE]]-ERP_34[[#This Row],[Giveback]]</f>
        <v>95.05</v>
      </c>
      <c r="AO471" s="81"/>
      <c r="AP471" s="81"/>
      <c r="AQ471" s="81"/>
      <c r="AR471" s="81">
        <v>95.05</v>
      </c>
      <c r="AS471" s="81">
        <v>0</v>
      </c>
      <c r="AT471" s="81">
        <v>0</v>
      </c>
      <c r="AU471" s="81">
        <v>0</v>
      </c>
      <c r="AV471" s="81">
        <v>0</v>
      </c>
      <c r="AW471" s="81">
        <v>0</v>
      </c>
      <c r="AX471" s="81">
        <v>0</v>
      </c>
      <c r="AY471" s="81">
        <v>0</v>
      </c>
      <c r="AZ471" s="81">
        <v>0</v>
      </c>
      <c r="BA471" s="81">
        <v>0</v>
      </c>
      <c r="BB471" s="81">
        <v>95.05</v>
      </c>
      <c r="BC471" s="82"/>
      <c r="BD471" s="82"/>
      <c r="BE471" s="82">
        <v>95.05</v>
      </c>
      <c r="BF471" s="82">
        <v>0</v>
      </c>
      <c r="BG471" s="82">
        <v>0</v>
      </c>
      <c r="BH471" s="82">
        <v>0</v>
      </c>
      <c r="BI471" s="82">
        <v>0</v>
      </c>
      <c r="BJ471" s="82">
        <v>0</v>
      </c>
      <c r="BK471" s="82">
        <v>0</v>
      </c>
      <c r="BL471" s="82">
        <v>0</v>
      </c>
      <c r="BM471" s="82">
        <v>0</v>
      </c>
      <c r="BN471" s="82">
        <v>0</v>
      </c>
      <c r="BO471" s="82">
        <v>95.05</v>
      </c>
    </row>
    <row r="472" spans="1:67">
      <c r="A472" s="66" t="s">
        <v>2815</v>
      </c>
      <c r="B472" s="66" t="str">
        <f>_xlfn.TEXTJOIN("_",,ERP_34[[#This Row],[LT Member -1*]],ERP_34[[#This Row],[Expense Category]],ERP_34[[#This Row],[Project Code*]])</f>
        <v>Robertson, Jerome_SOFTWARE_IT-SFT1194-86-OG-US</v>
      </c>
      <c r="C472" s="67" t="s">
        <v>1136</v>
      </c>
      <c r="D472" s="67" t="s">
        <v>1650</v>
      </c>
      <c r="E472" s="67" t="s">
        <v>1650</v>
      </c>
      <c r="F472" s="67" t="s">
        <v>1650</v>
      </c>
      <c r="G472" s="68" t="s">
        <v>639</v>
      </c>
      <c r="H472" s="106" t="s">
        <v>818</v>
      </c>
      <c r="I472" s="70"/>
      <c r="J472" s="70"/>
      <c r="K472" s="70" t="s">
        <v>817</v>
      </c>
      <c r="L472" s="70"/>
      <c r="M472" s="70"/>
      <c r="N472" s="70"/>
      <c r="O472" s="67" t="s">
        <v>818</v>
      </c>
      <c r="P472" s="67" t="s">
        <v>2816</v>
      </c>
      <c r="Q472" s="71"/>
      <c r="R472" s="72">
        <v>17784.52</v>
      </c>
      <c r="S472" s="73">
        <v>32897.279999999999</v>
      </c>
      <c r="T472" s="73">
        <v>17784.52</v>
      </c>
      <c r="U472" s="71">
        <f>ERP_34[[#This Row],[LE2 Final Submission]]-ERP_34[[#This Row],[LE3 Final Submission]]</f>
        <v>15112.759999999998</v>
      </c>
      <c r="V472" s="74"/>
      <c r="W472" s="75"/>
      <c r="X472" s="75">
        <v>8224.32</v>
      </c>
      <c r="Y472" s="109">
        <v>0</v>
      </c>
      <c r="Z472" s="109">
        <v>0</v>
      </c>
      <c r="AA472" s="136">
        <v>8224.32</v>
      </c>
      <c r="AB472" s="109">
        <v>0</v>
      </c>
      <c r="AC472" s="109">
        <v>0</v>
      </c>
      <c r="AD472" s="136">
        <v>8224.32</v>
      </c>
      <c r="AE472" s="109">
        <v>0</v>
      </c>
      <c r="AF472" s="136">
        <v>8224.32</v>
      </c>
      <c r="AG472" s="109">
        <v>0</v>
      </c>
      <c r="AH472" s="77">
        <f t="shared" si="19"/>
        <v>32897.279999999999</v>
      </c>
      <c r="AI472" s="108">
        <f>ERP_34[[#This Row],[2026 Working Total]]-ERP_34[[#This Row],[2026 LE0]]</f>
        <v>15112.759999999998</v>
      </c>
      <c r="AJ472" s="79"/>
      <c r="AK472" s="79"/>
      <c r="AL47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2" s="80"/>
      <c r="AN472" s="79">
        <f>ERP_34[[#This Row],[2026 Working Total to Budget/LE]]-ERP_34[[#This Row],[Giveback]]</f>
        <v>15112.759999999998</v>
      </c>
      <c r="AO472" s="81"/>
      <c r="AP472" s="81"/>
      <c r="AQ472" s="81"/>
      <c r="AR472" s="81">
        <v>8224.32</v>
      </c>
      <c r="AS472" s="81">
        <v>0</v>
      </c>
      <c r="AT472" s="81">
        <v>0</v>
      </c>
      <c r="AU472" s="81">
        <v>8224.32</v>
      </c>
      <c r="AV472" s="81">
        <v>0</v>
      </c>
      <c r="AW472" s="81">
        <v>0</v>
      </c>
      <c r="AX472" s="81">
        <v>8224.32</v>
      </c>
      <c r="AY472" s="81">
        <v>0</v>
      </c>
      <c r="AZ472" s="81">
        <v>8224.32</v>
      </c>
      <c r="BA472" s="81">
        <v>0</v>
      </c>
      <c r="BB472" s="81">
        <v>32897.279999999999</v>
      </c>
      <c r="BC472" s="79"/>
      <c r="BD472" s="79"/>
      <c r="BE472" s="79">
        <v>8224.32</v>
      </c>
      <c r="BF472" s="79">
        <v>0</v>
      </c>
      <c r="BG472" s="79">
        <v>0</v>
      </c>
      <c r="BH472" s="79">
        <v>4446.13</v>
      </c>
      <c r="BI472" s="79">
        <v>0</v>
      </c>
      <c r="BJ472" s="79">
        <v>0</v>
      </c>
      <c r="BK472" s="79">
        <v>4446.13</v>
      </c>
      <c r="BL472" s="79">
        <v>0</v>
      </c>
      <c r="BM472" s="79">
        <v>4446.13</v>
      </c>
      <c r="BN472" s="79">
        <v>0</v>
      </c>
      <c r="BO472" s="79">
        <v>21562.710000000003</v>
      </c>
    </row>
    <row r="473" spans="1:67">
      <c r="A473" s="66" t="s">
        <v>1422</v>
      </c>
      <c r="B473" s="66" t="str">
        <f>_xlfn.TEXTJOIN("_",,ERP_34[[#This Row],[LT Member -1*]],ERP_34[[#This Row],[Expense Category]],ERP_34[[#This Row],[Project Code*]])</f>
        <v>Ganesan, Srinivasan_CONTRACTORS_IT-SFT1205-86-OG-US</v>
      </c>
      <c r="C473" s="67" t="s">
        <v>1136</v>
      </c>
      <c r="D473" s="67" t="s">
        <v>1345</v>
      </c>
      <c r="E473" s="67" t="s">
        <v>1344</v>
      </c>
      <c r="F473" s="67" t="s">
        <v>1346</v>
      </c>
      <c r="G473" s="68" t="s">
        <v>49</v>
      </c>
      <c r="H473" s="106" t="s">
        <v>1423</v>
      </c>
      <c r="I473" s="70"/>
      <c r="J473" s="70"/>
      <c r="K473" s="70" t="s">
        <v>194</v>
      </c>
      <c r="L473" s="70"/>
      <c r="M473" s="70"/>
      <c r="N473" s="70"/>
      <c r="O473" s="67" t="s">
        <v>25</v>
      </c>
      <c r="P473" s="67"/>
      <c r="Q473" s="71"/>
      <c r="R473" s="72">
        <v>0</v>
      </c>
      <c r="S473" s="73">
        <v>3710</v>
      </c>
      <c r="T473" s="73">
        <v>0</v>
      </c>
      <c r="U473" s="71">
        <f>ERP_34[[#This Row],[LE2 Final Submission]]-ERP_34[[#This Row],[LE3 Final Submission]]</f>
        <v>3710</v>
      </c>
      <c r="V473" s="74"/>
      <c r="W473" s="75">
        <v>3710</v>
      </c>
      <c r="X473" s="124">
        <v>0</v>
      </c>
      <c r="Y473" s="109">
        <v>0</v>
      </c>
      <c r="Z473" s="109">
        <v>0</v>
      </c>
      <c r="AA473" s="109">
        <v>0</v>
      </c>
      <c r="AB473" s="109">
        <v>0</v>
      </c>
      <c r="AC473" s="109">
        <v>0</v>
      </c>
      <c r="AD473" s="109">
        <v>0</v>
      </c>
      <c r="AE473" s="109">
        <v>0</v>
      </c>
      <c r="AF473" s="109">
        <v>0</v>
      </c>
      <c r="AG473" s="109">
        <v>0</v>
      </c>
      <c r="AH473" s="77">
        <f t="shared" si="19"/>
        <v>3710</v>
      </c>
      <c r="AI473" s="108">
        <f>ERP_34[[#This Row],[2026 Working Total]]-ERP_34[[#This Row],[2026 LE0]]</f>
        <v>3710</v>
      </c>
      <c r="AJ473" s="79"/>
      <c r="AK473" s="79"/>
      <c r="AL4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3" s="80"/>
      <c r="AN473" s="79">
        <f>ERP_34[[#This Row],[2026 Working Total to Budget/LE]]-ERP_34[[#This Row],[Giveback]]</f>
        <v>3710</v>
      </c>
      <c r="AO473" s="155" t="s">
        <v>1424</v>
      </c>
      <c r="AP473" s="155"/>
      <c r="AQ473" s="155">
        <v>3710</v>
      </c>
      <c r="AR473" s="155">
        <v>0</v>
      </c>
      <c r="AS473" s="155">
        <v>0</v>
      </c>
      <c r="AT473" s="155">
        <v>0</v>
      </c>
      <c r="AU473" s="155">
        <v>0</v>
      </c>
      <c r="AV473" s="155">
        <v>0</v>
      </c>
      <c r="AW473" s="155">
        <v>0</v>
      </c>
      <c r="AX473" s="155">
        <v>0</v>
      </c>
      <c r="AY473" s="155">
        <v>0</v>
      </c>
      <c r="AZ473" s="155">
        <v>0</v>
      </c>
      <c r="BA473" s="155">
        <v>0</v>
      </c>
      <c r="BB473" s="155">
        <v>3710</v>
      </c>
      <c r="BC473" s="79"/>
      <c r="BD473" s="79">
        <v>3710</v>
      </c>
      <c r="BE473" s="79">
        <v>0</v>
      </c>
      <c r="BF473" s="79">
        <v>0</v>
      </c>
      <c r="BG473" s="79">
        <v>0</v>
      </c>
      <c r="BH473" s="79">
        <v>0</v>
      </c>
      <c r="BI473" s="79">
        <v>0</v>
      </c>
      <c r="BJ473" s="79">
        <v>0</v>
      </c>
      <c r="BK473" s="79">
        <v>0</v>
      </c>
      <c r="BL473" s="79">
        <v>0</v>
      </c>
      <c r="BM473" s="79">
        <v>0</v>
      </c>
      <c r="BN473" s="79">
        <v>0</v>
      </c>
      <c r="BO473" s="79">
        <v>3710</v>
      </c>
    </row>
    <row r="474" spans="1:67">
      <c r="A474" s="66" t="s">
        <v>2624</v>
      </c>
      <c r="B474" s="66" t="str">
        <f>_xlfn.TEXTJOIN("_",,ERP_34[[#This Row],[LT Member -1*]],ERP_34[[#This Row],[Expense Category]],ERP_34[[#This Row],[Project Code*]])</f>
        <v>Ganesan, Srinivasan_SOFTWARE_IT-SFT1205-86-OG-US</v>
      </c>
      <c r="C474" s="67" t="s">
        <v>1136</v>
      </c>
      <c r="D474" s="67" t="s">
        <v>1345</v>
      </c>
      <c r="E474" s="67" t="s">
        <v>1344</v>
      </c>
      <c r="F474" s="67" t="s">
        <v>1346</v>
      </c>
      <c r="G474" s="68" t="s">
        <v>639</v>
      </c>
      <c r="H474" s="106" t="s">
        <v>1423</v>
      </c>
      <c r="I474" s="70"/>
      <c r="J474" s="70"/>
      <c r="K474" s="70" t="s">
        <v>194</v>
      </c>
      <c r="L474" s="70"/>
      <c r="M474" s="70"/>
      <c r="N474" s="70"/>
      <c r="O474" s="67" t="s">
        <v>25</v>
      </c>
      <c r="P474" s="67"/>
      <c r="Q474" s="71"/>
      <c r="R474" s="72">
        <v>21665.519999999993</v>
      </c>
      <c r="S474" s="73">
        <v>21665.52</v>
      </c>
      <c r="T474" s="73">
        <v>21665.519999999993</v>
      </c>
      <c r="U474" s="71">
        <f>ERP_34[[#This Row],[LE2 Final Submission]]-ERP_34[[#This Row],[LE3 Final Submission]]</f>
        <v>0</v>
      </c>
      <c r="V474" s="74"/>
      <c r="W474" s="75"/>
      <c r="X474" s="75"/>
      <c r="Y474" s="76"/>
      <c r="Z474" s="76"/>
      <c r="AA474" s="76"/>
      <c r="AB474" s="76"/>
      <c r="AC474" s="76"/>
      <c r="AD474" s="76"/>
      <c r="AE474" s="76">
        <v>21665.52</v>
      </c>
      <c r="AF474" s="76"/>
      <c r="AG474" s="76"/>
      <c r="AH474" s="77">
        <f t="shared" si="19"/>
        <v>21665.52</v>
      </c>
      <c r="AI474" s="108">
        <f>ERP_34[[#This Row],[2026 Working Total]]-ERP_34[[#This Row],[2026 LE0]]</f>
        <v>0</v>
      </c>
      <c r="AJ474" s="79"/>
      <c r="AK474" s="79"/>
      <c r="AL47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4" s="80"/>
      <c r="AN474" s="79">
        <f>ERP_34[[#This Row],[2026 Working Total to Budget/LE]]-ERP_34[[#This Row],[Giveback]]</f>
        <v>0</v>
      </c>
      <c r="AO474" s="81" t="s">
        <v>1423</v>
      </c>
      <c r="AP474" s="81"/>
      <c r="AQ474" s="81"/>
      <c r="AR474" s="81"/>
      <c r="AS474" s="81"/>
      <c r="AT474" s="81"/>
      <c r="AU474" s="81"/>
      <c r="AV474" s="81"/>
      <c r="AW474" s="81"/>
      <c r="AX474" s="81"/>
      <c r="AY474" s="81">
        <v>21665.52</v>
      </c>
      <c r="AZ474" s="81"/>
      <c r="BA474" s="81"/>
      <c r="BB474" s="81">
        <v>21665.52</v>
      </c>
      <c r="BC474" s="79"/>
      <c r="BD474" s="79"/>
      <c r="BE474" s="79"/>
      <c r="BF474" s="79">
        <v>1805.46</v>
      </c>
      <c r="BG474" s="79">
        <v>1805.46</v>
      </c>
      <c r="BH474" s="79">
        <v>1805.46</v>
      </c>
      <c r="BI474" s="79">
        <v>1805.46</v>
      </c>
      <c r="BJ474" s="79">
        <v>1805.46</v>
      </c>
      <c r="BK474" s="79">
        <v>1805.46</v>
      </c>
      <c r="BL474" s="79">
        <v>1805.46</v>
      </c>
      <c r="BM474" s="79">
        <v>1805.46</v>
      </c>
      <c r="BN474" s="79">
        <v>1805.46</v>
      </c>
      <c r="BO474" s="79">
        <v>16249.139999999996</v>
      </c>
    </row>
    <row r="475" spans="1:67">
      <c r="A475" s="66" t="s">
        <v>2482</v>
      </c>
      <c r="B475" s="66" t="str">
        <f>_xlfn.TEXTJOIN("_",,ERP_34[[#This Row],[LT Member -1*]],ERP_34[[#This Row],[Expense Category]],ERP_34[[#This Row],[Project Code*]])</f>
        <v>Dougherty, Chris_SOFTWARE_IT-SFT1208-86-OG-US</v>
      </c>
      <c r="C475" s="67" t="s">
        <v>1136</v>
      </c>
      <c r="D475" s="67" t="s">
        <v>1135</v>
      </c>
      <c r="E475" s="67" t="s">
        <v>1135</v>
      </c>
      <c r="F475" s="67" t="s">
        <v>1137</v>
      </c>
      <c r="G475" s="68" t="s">
        <v>639</v>
      </c>
      <c r="H475" s="211" t="s">
        <v>2483</v>
      </c>
      <c r="I475" s="70" t="s">
        <v>67</v>
      </c>
      <c r="J475" s="70"/>
      <c r="K475" s="114" t="s">
        <v>820</v>
      </c>
      <c r="L475" s="70"/>
      <c r="M475" s="70"/>
      <c r="N475" s="70"/>
      <c r="O475" s="212" t="s">
        <v>821</v>
      </c>
      <c r="P475" s="184" t="s">
        <v>2485</v>
      </c>
      <c r="Q475" s="71"/>
      <c r="R475" s="72">
        <v>280976</v>
      </c>
      <c r="S475" s="73">
        <v>290275.11</v>
      </c>
      <c r="T475" s="73">
        <v>280976</v>
      </c>
      <c r="U475" s="71">
        <f>ERP_34[[#This Row],[LE2 Final Submission]]-ERP_34[[#This Row],[LE3 Final Submission]]</f>
        <v>9299.109999999986</v>
      </c>
      <c r="V475" s="74"/>
      <c r="W475" s="75"/>
      <c r="X475" s="75"/>
      <c r="Y475" s="76"/>
      <c r="Z475" s="76">
        <v>290275.11</v>
      </c>
      <c r="AA475" s="109">
        <v>0</v>
      </c>
      <c r="AB475" s="109">
        <v>0</v>
      </c>
      <c r="AC475" s="109">
        <v>0</v>
      </c>
      <c r="AD475" s="109">
        <v>0</v>
      </c>
      <c r="AE475" s="109">
        <v>0</v>
      </c>
      <c r="AF475" s="109">
        <v>0</v>
      </c>
      <c r="AG475" s="109">
        <v>0</v>
      </c>
      <c r="AH475" s="77">
        <f t="shared" si="19"/>
        <v>290275.11</v>
      </c>
      <c r="AI475" s="108">
        <f>ERP_34[[#This Row],[2026 Working Total]]-ERP_34[[#This Row],[2026 LE0]]</f>
        <v>9299.109999999986</v>
      </c>
      <c r="AJ475" s="79"/>
      <c r="AK475" s="79"/>
      <c r="AL47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5" s="80"/>
      <c r="AN475" s="79">
        <f>ERP_34[[#This Row],[2026 Working Total to Budget/LE]]-ERP_34[[#This Row],[Giveback]]</f>
        <v>9299.109999999986</v>
      </c>
      <c r="AO475" s="81"/>
      <c r="AP475" s="81"/>
      <c r="AQ475" s="81"/>
      <c r="AR475" s="81"/>
      <c r="AS475" s="81"/>
      <c r="AT475" s="81">
        <v>290275.11</v>
      </c>
      <c r="AU475" s="81">
        <v>0</v>
      </c>
      <c r="AV475" s="81">
        <v>0</v>
      </c>
      <c r="AW475" s="81">
        <v>0</v>
      </c>
      <c r="AX475" s="81">
        <v>0</v>
      </c>
      <c r="AY475" s="81">
        <v>0</v>
      </c>
      <c r="AZ475" s="81">
        <v>0</v>
      </c>
      <c r="BA475" s="81">
        <v>0</v>
      </c>
      <c r="BB475" s="81">
        <v>290275.11</v>
      </c>
      <c r="BC475" s="79"/>
      <c r="BD475" s="79"/>
      <c r="BE475" s="79"/>
      <c r="BF475" s="79"/>
      <c r="BG475" s="79">
        <v>280976</v>
      </c>
      <c r="BH475" s="79">
        <v>0</v>
      </c>
      <c r="BI475" s="79">
        <v>0</v>
      </c>
      <c r="BJ475" s="79">
        <v>0</v>
      </c>
      <c r="BK475" s="79">
        <v>0</v>
      </c>
      <c r="BL475" s="79">
        <v>0</v>
      </c>
      <c r="BM475" s="79">
        <v>0</v>
      </c>
      <c r="BN475" s="79">
        <v>0</v>
      </c>
      <c r="BO475" s="79">
        <v>280976</v>
      </c>
    </row>
    <row r="476" spans="1:67">
      <c r="A476" s="66" t="s">
        <v>2796</v>
      </c>
      <c r="B476" s="66" t="str">
        <f>_xlfn.TEXTJOIN("_",,ERP_34[[#This Row],[LT Member -1*]],ERP_34[[#This Row],[Expense Category]],ERP_34[[#This Row],[Project Code*]])</f>
        <v>DeHart, Lynn_SOFTWARE_IT-SFT1220-86-OG-US</v>
      </c>
      <c r="C476" s="67" t="s">
        <v>1136</v>
      </c>
      <c r="D476" s="67" t="s">
        <v>1345</v>
      </c>
      <c r="E476" s="67" t="s">
        <v>1346</v>
      </c>
      <c r="F476" s="67" t="s">
        <v>1346</v>
      </c>
      <c r="G476" s="68" t="s">
        <v>639</v>
      </c>
      <c r="H476" s="106" t="s">
        <v>2798</v>
      </c>
      <c r="I476" s="70"/>
      <c r="J476" s="70"/>
      <c r="K476" s="70" t="s">
        <v>1008</v>
      </c>
      <c r="L476" s="70"/>
      <c r="M476" s="70"/>
      <c r="N476" s="70"/>
      <c r="O476" s="67" t="s">
        <v>57</v>
      </c>
      <c r="P476" s="67"/>
      <c r="Q476" s="71"/>
      <c r="R476" s="72">
        <v>3348</v>
      </c>
      <c r="S476" s="73">
        <v>2511</v>
      </c>
      <c r="T476" s="73">
        <v>3348</v>
      </c>
      <c r="U476" s="71">
        <f>ERP_34[[#This Row],[LE2 Final Submission]]-ERP_34[[#This Row],[LE3 Final Submission]]</f>
        <v>-837</v>
      </c>
      <c r="V476" s="74"/>
      <c r="W476" s="75"/>
      <c r="X476" s="75"/>
      <c r="Y476" s="76">
        <v>279</v>
      </c>
      <c r="Z476" s="76">
        <v>279</v>
      </c>
      <c r="AA476" s="76">
        <v>279</v>
      </c>
      <c r="AB476" s="76">
        <v>279</v>
      </c>
      <c r="AC476" s="76">
        <v>279</v>
      </c>
      <c r="AD476" s="76">
        <v>279</v>
      </c>
      <c r="AE476" s="76">
        <v>279</v>
      </c>
      <c r="AF476" s="76">
        <v>279</v>
      </c>
      <c r="AG476" s="76">
        <v>279</v>
      </c>
      <c r="AH476" s="77">
        <f t="shared" si="19"/>
        <v>2511</v>
      </c>
      <c r="AI476" s="108">
        <f>ERP_34[[#This Row],[2026 Working Total]]-ERP_34[[#This Row],[2026 LE0]]</f>
        <v>-837</v>
      </c>
      <c r="AJ476" s="79"/>
      <c r="AK476" s="79"/>
      <c r="AL47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6" s="80"/>
      <c r="AN476" s="79">
        <f>ERP_34[[#This Row],[2026 Working Total to Budget/LE]]-ERP_34[[#This Row],[Giveback]]</f>
        <v>-837</v>
      </c>
      <c r="AO476" s="81"/>
      <c r="AP476" s="81"/>
      <c r="AQ476" s="81"/>
      <c r="AR476" s="81"/>
      <c r="AS476" s="81">
        <v>279</v>
      </c>
      <c r="AT476" s="81">
        <v>279</v>
      </c>
      <c r="AU476" s="81">
        <v>279</v>
      </c>
      <c r="AV476" s="81">
        <v>279</v>
      </c>
      <c r="AW476" s="81">
        <v>279</v>
      </c>
      <c r="AX476" s="81">
        <v>279</v>
      </c>
      <c r="AY476" s="81">
        <v>279</v>
      </c>
      <c r="AZ476" s="81">
        <v>279</v>
      </c>
      <c r="BA476" s="81">
        <v>279</v>
      </c>
      <c r="BB476" s="81">
        <v>2511</v>
      </c>
      <c r="BC476" s="79"/>
      <c r="BD476" s="79"/>
      <c r="BE476" s="79"/>
      <c r="BF476" s="79">
        <v>279</v>
      </c>
      <c r="BG476" s="79">
        <v>279</v>
      </c>
      <c r="BH476" s="79">
        <v>279</v>
      </c>
      <c r="BI476" s="79">
        <v>279</v>
      </c>
      <c r="BJ476" s="79">
        <v>279</v>
      </c>
      <c r="BK476" s="79">
        <v>279</v>
      </c>
      <c r="BL476" s="79">
        <v>279</v>
      </c>
      <c r="BM476" s="79">
        <v>279</v>
      </c>
      <c r="BN476" s="79">
        <v>279</v>
      </c>
      <c r="BO476" s="79">
        <v>2511</v>
      </c>
    </row>
    <row r="477" spans="1:67">
      <c r="A477" s="82" t="s">
        <v>2625</v>
      </c>
      <c r="B477" s="83" t="str">
        <f>_xlfn.TEXTJOIN("_",,ERP_34[[#This Row],[LT Member -1*]],ERP_34[[#This Row],[Expense Category]],ERP_34[[#This Row],[Project Code*]])</f>
        <v>Ganesan, Srinivasan_SOFTWARE_IT-SFT1224-86-OG-US</v>
      </c>
      <c r="C477" s="67" t="s">
        <v>2959</v>
      </c>
      <c r="D477" s="84" t="s">
        <v>1345</v>
      </c>
      <c r="E477" s="85" t="s">
        <v>1344</v>
      </c>
      <c r="F477" s="68" t="s">
        <v>1346</v>
      </c>
      <c r="G477" s="85" t="s">
        <v>639</v>
      </c>
      <c r="H477" s="110" t="s">
        <v>2626</v>
      </c>
      <c r="I477" s="67"/>
      <c r="J477" s="67"/>
      <c r="K477" s="91" t="s">
        <v>918</v>
      </c>
      <c r="L477" s="111"/>
      <c r="M477" s="70"/>
      <c r="N477" s="90" t="s">
        <v>2960</v>
      </c>
      <c r="O477" s="91" t="s">
        <v>25</v>
      </c>
      <c r="P477" s="92" t="s">
        <v>1348</v>
      </c>
      <c r="Q477" s="93"/>
      <c r="R477" s="94">
        <v>65000</v>
      </c>
      <c r="S477" s="95">
        <v>0</v>
      </c>
      <c r="T477" s="112">
        <v>65000</v>
      </c>
      <c r="U477" s="113">
        <f>ERP_34[[#This Row],[LE2 Final Submission]]-ERP_34[[#This Row],[LE3 Final Submission]]</f>
        <v>-65000</v>
      </c>
      <c r="V477" s="98"/>
      <c r="W477" s="99"/>
      <c r="X477" s="99"/>
      <c r="Y477" s="100">
        <v>0</v>
      </c>
      <c r="Z477" s="100">
        <v>0</v>
      </c>
      <c r="AA477" s="100">
        <v>0</v>
      </c>
      <c r="AB477" s="100">
        <v>0</v>
      </c>
      <c r="AC477" s="100">
        <v>0</v>
      </c>
      <c r="AD477" s="100">
        <v>0</v>
      </c>
      <c r="AE477" s="100">
        <v>0</v>
      </c>
      <c r="AF477" s="100">
        <v>0</v>
      </c>
      <c r="AG477" s="100">
        <v>0</v>
      </c>
      <c r="AH477" s="101">
        <f t="shared" si="19"/>
        <v>0</v>
      </c>
      <c r="AI477" s="108">
        <f>ERP_34[[#This Row],[2026 Working Total]]-ERP_34[[#This Row],[2026 LE0]]</f>
        <v>-65000</v>
      </c>
      <c r="AJ477" s="79"/>
      <c r="AK477" s="79"/>
      <c r="AL4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7" s="80"/>
      <c r="AN477" s="79">
        <f>ERP_34[[#This Row],[2026 Working Total to Budget/LE]]-ERP_34[[#This Row],[Giveback]]</f>
        <v>-65000</v>
      </c>
      <c r="AO477" s="81"/>
      <c r="AP477" s="81"/>
      <c r="AQ477" s="81"/>
      <c r="AR477" s="81"/>
      <c r="AS477" s="81">
        <v>0</v>
      </c>
      <c r="AT477" s="81">
        <v>0</v>
      </c>
      <c r="AU477" s="81">
        <v>0</v>
      </c>
      <c r="AV477" s="81">
        <v>0</v>
      </c>
      <c r="AW477" s="81">
        <v>0</v>
      </c>
      <c r="AX477" s="81">
        <v>0</v>
      </c>
      <c r="AY477" s="81">
        <v>0</v>
      </c>
      <c r="AZ477" s="81">
        <v>0</v>
      </c>
      <c r="BA477" s="81">
        <v>0</v>
      </c>
      <c r="BB477" s="81">
        <v>0</v>
      </c>
      <c r="BC477" s="103">
        <v>0</v>
      </c>
      <c r="BD477" s="103">
        <v>0</v>
      </c>
      <c r="BE477" s="103">
        <v>65000</v>
      </c>
      <c r="BF477" s="103">
        <v>0</v>
      </c>
      <c r="BG477" s="103">
        <v>0</v>
      </c>
      <c r="BH477" s="103">
        <v>0</v>
      </c>
      <c r="BI477" s="103">
        <v>0</v>
      </c>
      <c r="BJ477" s="103">
        <v>0</v>
      </c>
      <c r="BK477" s="103">
        <v>0</v>
      </c>
      <c r="BL477" s="103">
        <v>0</v>
      </c>
      <c r="BM477" s="103">
        <v>0</v>
      </c>
      <c r="BN477" s="103">
        <v>0</v>
      </c>
      <c r="BO477" s="82">
        <f>SUM(ERP_34[[#This Row],[2026 AP01]:[2026 AP12]])</f>
        <v>65000</v>
      </c>
    </row>
    <row r="478" spans="1:67">
      <c r="A478" s="66" t="s">
        <v>2486</v>
      </c>
      <c r="B478" s="66" t="str">
        <f>_xlfn.TEXTJOIN("_",,ERP_34[[#This Row],[LT Member -1*]],ERP_34[[#This Row],[Expense Category]],ERP_34[[#This Row],[Project Code*]])</f>
        <v>Dougherty, Chris_SOFTWARE_IT-SFT1235-86-OG-US</v>
      </c>
      <c r="C478" s="67" t="s">
        <v>1136</v>
      </c>
      <c r="D478" s="67" t="s">
        <v>1135</v>
      </c>
      <c r="E478" s="67" t="s">
        <v>1135</v>
      </c>
      <c r="F478" s="67" t="s">
        <v>1137</v>
      </c>
      <c r="G478" s="68" t="s">
        <v>639</v>
      </c>
      <c r="H478" s="106" t="s">
        <v>2487</v>
      </c>
      <c r="I478" s="70"/>
      <c r="J478" s="70"/>
      <c r="K478" s="70" t="s">
        <v>823</v>
      </c>
      <c r="L478" s="70"/>
      <c r="M478" s="213" t="s">
        <v>2973</v>
      </c>
      <c r="N478" s="70"/>
      <c r="O478" s="67" t="s">
        <v>605</v>
      </c>
      <c r="P478" s="67"/>
      <c r="Q478" s="71"/>
      <c r="R478" s="72">
        <v>849804</v>
      </c>
      <c r="S478" s="73">
        <v>637353</v>
      </c>
      <c r="T478" s="73">
        <v>849804</v>
      </c>
      <c r="U478" s="71">
        <f>ERP_34[[#This Row],[LE2 Final Submission]]-ERP_34[[#This Row],[LE3 Final Submission]]</f>
        <v>-212451</v>
      </c>
      <c r="V478" s="74"/>
      <c r="W478" s="75"/>
      <c r="X478" s="75">
        <v>-212451</v>
      </c>
      <c r="Y478" s="109">
        <v>0</v>
      </c>
      <c r="Z478" s="109">
        <v>0</v>
      </c>
      <c r="AA478" s="109">
        <v>0</v>
      </c>
      <c r="AB478" s="109">
        <v>0</v>
      </c>
      <c r="AC478" s="109">
        <v>0</v>
      </c>
      <c r="AD478" s="76">
        <v>849804</v>
      </c>
      <c r="AE478" s="109">
        <v>0</v>
      </c>
      <c r="AF478" s="109">
        <v>0</v>
      </c>
      <c r="AG478" s="109">
        <v>0</v>
      </c>
      <c r="AH478" s="77">
        <f t="shared" si="19"/>
        <v>637353</v>
      </c>
      <c r="AI478" s="108">
        <f>ERP_34[[#This Row],[2026 Working Total]]-ERP_34[[#This Row],[2026 LE0]]</f>
        <v>-212451</v>
      </c>
      <c r="AJ478" s="79"/>
      <c r="AK478" s="79"/>
      <c r="AL47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8" s="80"/>
      <c r="AN478" s="79">
        <f>ERP_34[[#This Row],[2026 Working Total to Budget/LE]]-ERP_34[[#This Row],[Giveback]]</f>
        <v>-212451</v>
      </c>
      <c r="AO478" s="81"/>
      <c r="AP478" s="81"/>
      <c r="AQ478" s="81"/>
      <c r="AR478" s="81">
        <v>-212451</v>
      </c>
      <c r="AS478" s="81">
        <v>0</v>
      </c>
      <c r="AT478" s="81">
        <v>0</v>
      </c>
      <c r="AU478" s="81">
        <v>0</v>
      </c>
      <c r="AV478" s="81">
        <v>0</v>
      </c>
      <c r="AW478" s="81">
        <v>0</v>
      </c>
      <c r="AX478" s="81">
        <v>849804</v>
      </c>
      <c r="AY478" s="81">
        <v>0</v>
      </c>
      <c r="AZ478" s="81">
        <v>0</v>
      </c>
      <c r="BA478" s="81">
        <v>0</v>
      </c>
      <c r="BB478" s="81">
        <v>637353</v>
      </c>
      <c r="BC478" s="79"/>
      <c r="BD478" s="79"/>
      <c r="BE478" s="79">
        <v>-212451</v>
      </c>
      <c r="BF478" s="79">
        <v>0</v>
      </c>
      <c r="BG478" s="79">
        <v>0</v>
      </c>
      <c r="BH478" s="79">
        <v>0</v>
      </c>
      <c r="BI478" s="79">
        <v>0</v>
      </c>
      <c r="BJ478" s="79">
        <v>0</v>
      </c>
      <c r="BK478" s="79">
        <v>849804</v>
      </c>
      <c r="BL478" s="79">
        <v>0</v>
      </c>
      <c r="BM478" s="79">
        <v>0</v>
      </c>
      <c r="BN478" s="79">
        <v>0</v>
      </c>
      <c r="BO478" s="79">
        <v>637353</v>
      </c>
    </row>
    <row r="479" spans="1:67">
      <c r="A479" s="82" t="s">
        <v>2488</v>
      </c>
      <c r="B479" s="83" t="str">
        <f>_xlfn.TEXTJOIN("_",,ERP_34[[#This Row],[LT Member -1*]],ERP_34[[#This Row],[Expense Category]],ERP_34[[#This Row],[Project Code*]])</f>
        <v>Dougherty, Chris_SOFTWARE_IT-SFT1236-86-OG-US</v>
      </c>
      <c r="C479" s="67" t="s">
        <v>2959</v>
      </c>
      <c r="D479" s="84" t="s">
        <v>1135</v>
      </c>
      <c r="E479" s="85" t="s">
        <v>1135</v>
      </c>
      <c r="F479" s="68" t="s">
        <v>1137</v>
      </c>
      <c r="G479" s="85" t="s">
        <v>639</v>
      </c>
      <c r="H479" s="110" t="s">
        <v>2489</v>
      </c>
      <c r="I479" s="67"/>
      <c r="J479" s="67"/>
      <c r="K479" s="88" t="s">
        <v>825</v>
      </c>
      <c r="L479" s="111"/>
      <c r="M479" s="70"/>
      <c r="N479" s="70" t="s">
        <v>1710</v>
      </c>
      <c r="O479" s="91" t="s">
        <v>826</v>
      </c>
      <c r="P479" s="70" t="s">
        <v>1348</v>
      </c>
      <c r="Q479" s="195"/>
      <c r="R479" s="94">
        <v>44842</v>
      </c>
      <c r="S479" s="95">
        <v>0</v>
      </c>
      <c r="T479" s="190">
        <v>44842</v>
      </c>
      <c r="U479" s="191">
        <f>ERP_34[[#This Row],[LE2 Final Submission]]-ERP_34[[#This Row],[LE3 Final Submission]]</f>
        <v>-44842</v>
      </c>
      <c r="V479" s="98"/>
      <c r="W479" s="99"/>
      <c r="X479" s="99"/>
      <c r="Y479" s="100">
        <v>0</v>
      </c>
      <c r="Z479" s="100">
        <v>0</v>
      </c>
      <c r="AA479" s="100">
        <v>0</v>
      </c>
      <c r="AB479" s="100">
        <v>0</v>
      </c>
      <c r="AC479" s="100">
        <v>0</v>
      </c>
      <c r="AD479" s="100">
        <v>0</v>
      </c>
      <c r="AE479" s="100">
        <v>0</v>
      </c>
      <c r="AF479" s="100">
        <v>0</v>
      </c>
      <c r="AG479" s="100">
        <v>0</v>
      </c>
      <c r="AH479" s="101">
        <f t="shared" si="19"/>
        <v>0</v>
      </c>
      <c r="AI479" s="108">
        <f>ERP_34[[#This Row],[2026 Working Total]]-ERP_34[[#This Row],[2026 LE0]]</f>
        <v>-44842</v>
      </c>
      <c r="AJ479" s="79"/>
      <c r="AK479" s="79"/>
      <c r="AL47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79" s="80"/>
      <c r="AN479" s="79">
        <f>ERP_34[[#This Row],[2026 Working Total to Budget/LE]]-ERP_34[[#This Row],[Giveback]]</f>
        <v>-44842</v>
      </c>
      <c r="AO479" s="81"/>
      <c r="AP479" s="81"/>
      <c r="AQ479" s="81"/>
      <c r="AR479" s="81"/>
      <c r="AS479" s="81">
        <v>0</v>
      </c>
      <c r="AT479" s="81">
        <v>0</v>
      </c>
      <c r="AU479" s="81">
        <v>0</v>
      </c>
      <c r="AV479" s="81">
        <v>0</v>
      </c>
      <c r="AW479" s="81">
        <v>0</v>
      </c>
      <c r="AX479" s="81">
        <v>0</v>
      </c>
      <c r="AY479" s="81">
        <v>0</v>
      </c>
      <c r="AZ479" s="81">
        <v>0</v>
      </c>
      <c r="BA479" s="81">
        <v>0</v>
      </c>
      <c r="BB479" s="81">
        <v>0</v>
      </c>
      <c r="BC479" s="103">
        <v>44842</v>
      </c>
      <c r="BD479" s="103">
        <v>0</v>
      </c>
      <c r="BE479" s="103">
        <v>0</v>
      </c>
      <c r="BF479" s="103">
        <v>0</v>
      </c>
      <c r="BG479" s="103">
        <v>0</v>
      </c>
      <c r="BH479" s="103">
        <v>0</v>
      </c>
      <c r="BI479" s="103">
        <v>0</v>
      </c>
      <c r="BJ479" s="103">
        <v>0</v>
      </c>
      <c r="BK479" s="103">
        <v>0</v>
      </c>
      <c r="BL479" s="103">
        <v>0</v>
      </c>
      <c r="BM479" s="103">
        <v>0</v>
      </c>
      <c r="BN479" s="103">
        <v>0</v>
      </c>
      <c r="BO479" s="82">
        <f>SUM(ERP_34[[#This Row],[2026 AP01]:[2026 AP12]])</f>
        <v>44842</v>
      </c>
    </row>
    <row r="480" spans="1:67">
      <c r="A480" s="82" t="s">
        <v>2491</v>
      </c>
      <c r="B480" s="83" t="str">
        <f>_xlfn.TEXTJOIN("_",,ERP_34[[#This Row],[LT Member -1*]],ERP_34[[#This Row],[Expense Category]],ERP_34[[#This Row],[Project Code*]])</f>
        <v>Dougherty, Chris_SOFTWARE_IT-SFT1236-86-OG-US/PF</v>
      </c>
      <c r="C480" s="67" t="s">
        <v>2959</v>
      </c>
      <c r="D480" s="84" t="s">
        <v>1135</v>
      </c>
      <c r="E480" s="85" t="s">
        <v>1135</v>
      </c>
      <c r="F480" s="68" t="s">
        <v>1137</v>
      </c>
      <c r="G480" s="85" t="s">
        <v>639</v>
      </c>
      <c r="H480" s="110" t="s">
        <v>2492</v>
      </c>
      <c r="I480" s="67"/>
      <c r="J480" s="67"/>
      <c r="K480" s="88" t="s">
        <v>828</v>
      </c>
      <c r="L480" s="111"/>
      <c r="M480" s="70"/>
      <c r="N480" s="70" t="s">
        <v>1710</v>
      </c>
      <c r="O480" s="91" t="s">
        <v>826</v>
      </c>
      <c r="P480" s="70" t="s">
        <v>1348</v>
      </c>
      <c r="Q480" s="195"/>
      <c r="R480" s="94">
        <v>-44842</v>
      </c>
      <c r="S480" s="95">
        <v>0</v>
      </c>
      <c r="T480" s="190">
        <v>-44842</v>
      </c>
      <c r="U480" s="191">
        <f>ERP_34[[#This Row],[LE2 Final Submission]]-ERP_34[[#This Row],[LE3 Final Submission]]</f>
        <v>44842</v>
      </c>
      <c r="V480" s="98"/>
      <c r="W480" s="99"/>
      <c r="X480" s="99"/>
      <c r="Y480" s="100">
        <v>0</v>
      </c>
      <c r="Z480" s="100">
        <v>0</v>
      </c>
      <c r="AA480" s="100">
        <v>0</v>
      </c>
      <c r="AB480" s="100">
        <v>0</v>
      </c>
      <c r="AC480" s="100">
        <v>0</v>
      </c>
      <c r="AD480" s="100">
        <v>0</v>
      </c>
      <c r="AE480" s="100">
        <v>0</v>
      </c>
      <c r="AF480" s="100">
        <v>0</v>
      </c>
      <c r="AG480" s="100">
        <v>0</v>
      </c>
      <c r="AH480" s="101">
        <f t="shared" si="19"/>
        <v>0</v>
      </c>
      <c r="AI480" s="108">
        <f>ERP_34[[#This Row],[2026 Working Total]]-ERP_34[[#This Row],[2026 LE0]]</f>
        <v>44842</v>
      </c>
      <c r="AJ480" s="79"/>
      <c r="AK480" s="79"/>
      <c r="AL48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0" s="80"/>
      <c r="AN480" s="79">
        <f>ERP_34[[#This Row],[2026 Working Total to Budget/LE]]-ERP_34[[#This Row],[Giveback]]</f>
        <v>44842</v>
      </c>
      <c r="AO480" s="81"/>
      <c r="AP480" s="81"/>
      <c r="AQ480" s="81"/>
      <c r="AR480" s="81"/>
      <c r="AS480" s="81">
        <v>0</v>
      </c>
      <c r="AT480" s="81">
        <v>0</v>
      </c>
      <c r="AU480" s="81">
        <v>0</v>
      </c>
      <c r="AV480" s="81">
        <v>0</v>
      </c>
      <c r="AW480" s="81">
        <v>0</v>
      </c>
      <c r="AX480" s="81">
        <v>0</v>
      </c>
      <c r="AY480" s="81">
        <v>0</v>
      </c>
      <c r="AZ480" s="81">
        <v>0</v>
      </c>
      <c r="BA480" s="81">
        <v>0</v>
      </c>
      <c r="BB480" s="81">
        <v>0</v>
      </c>
      <c r="BC480" s="103">
        <v>-44842</v>
      </c>
      <c r="BD480" s="103">
        <v>0</v>
      </c>
      <c r="BE480" s="103">
        <v>0</v>
      </c>
      <c r="BF480" s="103">
        <v>0</v>
      </c>
      <c r="BG480" s="103">
        <v>0</v>
      </c>
      <c r="BH480" s="103">
        <v>0</v>
      </c>
      <c r="BI480" s="103">
        <v>0</v>
      </c>
      <c r="BJ480" s="103">
        <v>0</v>
      </c>
      <c r="BK480" s="103">
        <v>0</v>
      </c>
      <c r="BL480" s="103">
        <v>0</v>
      </c>
      <c r="BM480" s="103">
        <v>0</v>
      </c>
      <c r="BN480" s="103">
        <v>0</v>
      </c>
      <c r="BO480" s="82">
        <f>SUM(ERP_34[[#This Row],[2026 AP01]:[2026 AP12]])</f>
        <v>-44842</v>
      </c>
    </row>
    <row r="481" spans="1:67">
      <c r="A481" s="82" t="s">
        <v>2493</v>
      </c>
      <c r="B481" s="83" t="str">
        <f>_xlfn.TEXTJOIN("_",,ERP_34[[#This Row],[LT Member -1*]],ERP_34[[#This Row],[Expense Category]],ERP_34[[#This Row],[Project Code*]])</f>
        <v>Dougherty, Chris_SOFTWARE_IT-SFT1237-86-US-00</v>
      </c>
      <c r="C481" s="67" t="s">
        <v>2959</v>
      </c>
      <c r="D481" s="84" t="s">
        <v>1135</v>
      </c>
      <c r="E481" s="85" t="s">
        <v>1135</v>
      </c>
      <c r="F481" s="68" t="s">
        <v>1137</v>
      </c>
      <c r="G481" s="85" t="s">
        <v>639</v>
      </c>
      <c r="H481" s="110" t="s">
        <v>2494</v>
      </c>
      <c r="I481" s="67"/>
      <c r="J481" s="67"/>
      <c r="K481" s="88" t="s">
        <v>830</v>
      </c>
      <c r="L481" s="111"/>
      <c r="M481" s="70"/>
      <c r="N481" s="70" t="s">
        <v>1710</v>
      </c>
      <c r="O481" s="91" t="s">
        <v>826</v>
      </c>
      <c r="P481" s="70" t="s">
        <v>2496</v>
      </c>
      <c r="Q481" s="195"/>
      <c r="R481" s="94">
        <v>664963</v>
      </c>
      <c r="S481" s="95">
        <v>0</v>
      </c>
      <c r="T481" s="190">
        <v>664963</v>
      </c>
      <c r="U481" s="191">
        <f>ERP_34[[#This Row],[LE2 Final Submission]]-ERP_34[[#This Row],[LE3 Final Submission]]</f>
        <v>-664963</v>
      </c>
      <c r="V481" s="98"/>
      <c r="W481" s="99"/>
      <c r="X481" s="99"/>
      <c r="Y481" s="100">
        <v>0</v>
      </c>
      <c r="Z481" s="100">
        <v>0</v>
      </c>
      <c r="AA481" s="100">
        <v>0</v>
      </c>
      <c r="AB481" s="100">
        <v>0</v>
      </c>
      <c r="AC481" s="100">
        <v>0</v>
      </c>
      <c r="AD481" s="100">
        <v>0</v>
      </c>
      <c r="AE481" s="100">
        <v>0</v>
      </c>
      <c r="AF481" s="100">
        <v>0</v>
      </c>
      <c r="AG481" s="100">
        <v>0</v>
      </c>
      <c r="AH481" s="101">
        <f t="shared" si="19"/>
        <v>0</v>
      </c>
      <c r="AI481" s="108">
        <f>ERP_34[[#This Row],[2026 Working Total]]-ERP_34[[#This Row],[2026 LE0]]</f>
        <v>-664963</v>
      </c>
      <c r="AJ481" s="79"/>
      <c r="AK481" s="79"/>
      <c r="AL4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1" s="80"/>
      <c r="AN481" s="79">
        <f>ERP_34[[#This Row],[2026 Working Total to Budget/LE]]-ERP_34[[#This Row],[Giveback]]</f>
        <v>-664963</v>
      </c>
      <c r="AO481" s="81"/>
      <c r="AP481" s="81"/>
      <c r="AQ481" s="81"/>
      <c r="AR481" s="81"/>
      <c r="AS481" s="81">
        <v>0</v>
      </c>
      <c r="AT481" s="81">
        <v>0</v>
      </c>
      <c r="AU481" s="81">
        <v>0</v>
      </c>
      <c r="AV481" s="81">
        <v>0</v>
      </c>
      <c r="AW481" s="81">
        <v>0</v>
      </c>
      <c r="AX481" s="81">
        <v>0</v>
      </c>
      <c r="AY481" s="81">
        <v>0</v>
      </c>
      <c r="AZ481" s="81">
        <v>0</v>
      </c>
      <c r="BA481" s="81">
        <v>0</v>
      </c>
      <c r="BB481" s="81">
        <v>0</v>
      </c>
      <c r="BC481" s="103">
        <v>664963</v>
      </c>
      <c r="BD481" s="103">
        <v>0</v>
      </c>
      <c r="BE481" s="103">
        <v>0</v>
      </c>
      <c r="BF481" s="103">
        <v>0</v>
      </c>
      <c r="BG481" s="103">
        <v>0</v>
      </c>
      <c r="BH481" s="103">
        <v>0</v>
      </c>
      <c r="BI481" s="103">
        <v>0</v>
      </c>
      <c r="BJ481" s="103">
        <v>0</v>
      </c>
      <c r="BK481" s="103">
        <v>0</v>
      </c>
      <c r="BL481" s="103">
        <v>0</v>
      </c>
      <c r="BM481" s="103">
        <v>0</v>
      </c>
      <c r="BN481" s="103">
        <v>0</v>
      </c>
      <c r="BO481" s="82">
        <f>SUM(ERP_34[[#This Row],[2026 AP01]:[2026 AP12]])</f>
        <v>664963</v>
      </c>
    </row>
    <row r="482" spans="1:67">
      <c r="A482" s="82" t="s">
        <v>2497</v>
      </c>
      <c r="B482" s="83" t="str">
        <f>_xlfn.TEXTJOIN("_",,ERP_34[[#This Row],[LT Member -1*]],ERP_34[[#This Row],[Expense Category]],ERP_34[[#This Row],[Project Code*]])</f>
        <v>Dougherty, Chris_SOFTWARE_IT-SFT1237-86-US-00/PF</v>
      </c>
      <c r="C482" s="67" t="s">
        <v>2959</v>
      </c>
      <c r="D482" s="84" t="s">
        <v>1135</v>
      </c>
      <c r="E482" s="120" t="s">
        <v>1135</v>
      </c>
      <c r="F482" s="68" t="s">
        <v>1137</v>
      </c>
      <c r="G482" s="85" t="s">
        <v>639</v>
      </c>
      <c r="H482" s="121" t="s">
        <v>2498</v>
      </c>
      <c r="I482" s="67"/>
      <c r="J482" s="67"/>
      <c r="K482" s="140" t="s">
        <v>832</v>
      </c>
      <c r="L482" s="111"/>
      <c r="M482" s="70"/>
      <c r="N482" s="70" t="s">
        <v>1710</v>
      </c>
      <c r="O482" s="122" t="s">
        <v>826</v>
      </c>
      <c r="P482" s="70" t="s">
        <v>2499</v>
      </c>
      <c r="Q482" s="195"/>
      <c r="R482" s="94">
        <v>-664963</v>
      </c>
      <c r="S482" s="95">
        <v>0</v>
      </c>
      <c r="T482" s="190">
        <v>-664963</v>
      </c>
      <c r="U482" s="191">
        <f>ERP_34[[#This Row],[LE2 Final Submission]]-ERP_34[[#This Row],[LE3 Final Submission]]</f>
        <v>664963</v>
      </c>
      <c r="V482" s="98"/>
      <c r="W482" s="99"/>
      <c r="X482" s="99"/>
      <c r="Y482" s="100">
        <v>0</v>
      </c>
      <c r="Z482" s="100">
        <v>0</v>
      </c>
      <c r="AA482" s="100">
        <v>0</v>
      </c>
      <c r="AB482" s="100">
        <v>0</v>
      </c>
      <c r="AC482" s="100">
        <v>0</v>
      </c>
      <c r="AD482" s="100">
        <v>0</v>
      </c>
      <c r="AE482" s="100">
        <v>0</v>
      </c>
      <c r="AF482" s="100">
        <v>0</v>
      </c>
      <c r="AG482" s="100">
        <v>0</v>
      </c>
      <c r="AH482" s="101">
        <f t="shared" si="19"/>
        <v>0</v>
      </c>
      <c r="AI482" s="108">
        <f>ERP_34[[#This Row],[2026 Working Total]]-ERP_34[[#This Row],[2026 LE0]]</f>
        <v>664963</v>
      </c>
      <c r="AJ482" s="79"/>
      <c r="AK482" s="79"/>
      <c r="AL48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2" s="80"/>
      <c r="AN482" s="79">
        <f>ERP_34[[#This Row],[2026 Working Total to Budget/LE]]-ERP_34[[#This Row],[Giveback]]</f>
        <v>664963</v>
      </c>
      <c r="AO482" s="81"/>
      <c r="AP482" s="81"/>
      <c r="AQ482" s="81"/>
      <c r="AR482" s="81"/>
      <c r="AS482" s="81">
        <v>0</v>
      </c>
      <c r="AT482" s="81">
        <v>0</v>
      </c>
      <c r="AU482" s="81">
        <v>0</v>
      </c>
      <c r="AV482" s="81">
        <v>0</v>
      </c>
      <c r="AW482" s="81">
        <v>0</v>
      </c>
      <c r="AX482" s="81">
        <v>0</v>
      </c>
      <c r="AY482" s="81">
        <v>0</v>
      </c>
      <c r="AZ482" s="81">
        <v>0</v>
      </c>
      <c r="BA482" s="81">
        <v>0</v>
      </c>
      <c r="BB482" s="81">
        <v>0</v>
      </c>
      <c r="BC482" s="103">
        <v>-664963</v>
      </c>
      <c r="BD482" s="103">
        <v>0</v>
      </c>
      <c r="BE482" s="103">
        <v>0</v>
      </c>
      <c r="BF482" s="103">
        <v>0</v>
      </c>
      <c r="BG482" s="103">
        <v>0</v>
      </c>
      <c r="BH482" s="103">
        <v>0</v>
      </c>
      <c r="BI482" s="103">
        <v>0</v>
      </c>
      <c r="BJ482" s="103">
        <v>0</v>
      </c>
      <c r="BK482" s="103">
        <v>0</v>
      </c>
      <c r="BL482" s="103">
        <v>0</v>
      </c>
      <c r="BM482" s="103">
        <v>0</v>
      </c>
      <c r="BN482" s="103">
        <v>0</v>
      </c>
      <c r="BO482" s="82">
        <f>SUM(ERP_34[[#This Row],[2026 AP01]:[2026 AP12]])</f>
        <v>-664963</v>
      </c>
    </row>
    <row r="483" spans="1:67">
      <c r="A483" s="82" t="s">
        <v>2500</v>
      </c>
      <c r="B483" s="83" t="str">
        <f>_xlfn.TEXTJOIN("_",,ERP_34[[#This Row],[LT Member -1*]],ERP_34[[#This Row],[Expense Category]],ERP_34[[#This Row],[Project Code*]])</f>
        <v>Dougherty, Chris_SOFTWARE_IT-SFT1238-86-OG-US</v>
      </c>
      <c r="C483" s="67" t="s">
        <v>2959</v>
      </c>
      <c r="D483" s="84" t="s">
        <v>1135</v>
      </c>
      <c r="E483" s="85" t="s">
        <v>1135</v>
      </c>
      <c r="F483" s="68" t="s">
        <v>1137</v>
      </c>
      <c r="G483" s="85" t="s">
        <v>639</v>
      </c>
      <c r="H483" s="110" t="s">
        <v>2501</v>
      </c>
      <c r="I483" s="67"/>
      <c r="J483" s="67"/>
      <c r="K483" s="88" t="s">
        <v>834</v>
      </c>
      <c r="L483" s="111"/>
      <c r="M483" s="70"/>
      <c r="N483" s="70" t="s">
        <v>1710</v>
      </c>
      <c r="O483" s="91" t="s">
        <v>826</v>
      </c>
      <c r="P483" s="70" t="s">
        <v>2496</v>
      </c>
      <c r="Q483" s="195"/>
      <c r="R483" s="94">
        <v>663273</v>
      </c>
      <c r="S483" s="95">
        <v>0</v>
      </c>
      <c r="T483" s="190">
        <v>663273</v>
      </c>
      <c r="U483" s="191">
        <f>ERP_34[[#This Row],[LE2 Final Submission]]-ERP_34[[#This Row],[LE3 Final Submission]]</f>
        <v>-663273</v>
      </c>
      <c r="V483" s="98"/>
      <c r="W483" s="99"/>
      <c r="X483" s="99"/>
      <c r="Y483" s="100">
        <v>0</v>
      </c>
      <c r="Z483" s="100">
        <v>0</v>
      </c>
      <c r="AA483" s="100">
        <v>0</v>
      </c>
      <c r="AB483" s="100">
        <v>0</v>
      </c>
      <c r="AC483" s="100">
        <v>0</v>
      </c>
      <c r="AD483" s="100">
        <v>0</v>
      </c>
      <c r="AE483" s="100">
        <v>0</v>
      </c>
      <c r="AF483" s="100">
        <v>0</v>
      </c>
      <c r="AG483" s="100">
        <v>0</v>
      </c>
      <c r="AH483" s="101">
        <f t="shared" si="19"/>
        <v>0</v>
      </c>
      <c r="AI483" s="108">
        <f>ERP_34[[#This Row],[2026 Working Total]]-ERP_34[[#This Row],[2026 LE0]]</f>
        <v>-663273</v>
      </c>
      <c r="AJ483" s="79"/>
      <c r="AK483" s="79"/>
      <c r="AL4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3" s="80"/>
      <c r="AN483" s="79">
        <f>ERP_34[[#This Row],[2026 Working Total to Budget/LE]]-ERP_34[[#This Row],[Giveback]]</f>
        <v>-663273</v>
      </c>
      <c r="AO483" s="81"/>
      <c r="AP483" s="81"/>
      <c r="AQ483" s="81"/>
      <c r="AR483" s="81"/>
      <c r="AS483" s="81">
        <v>0</v>
      </c>
      <c r="AT483" s="81">
        <v>0</v>
      </c>
      <c r="AU483" s="81">
        <v>0</v>
      </c>
      <c r="AV483" s="81">
        <v>0</v>
      </c>
      <c r="AW483" s="81">
        <v>0</v>
      </c>
      <c r="AX483" s="81">
        <v>0</v>
      </c>
      <c r="AY483" s="81">
        <v>0</v>
      </c>
      <c r="AZ483" s="81">
        <v>0</v>
      </c>
      <c r="BA483" s="81">
        <v>0</v>
      </c>
      <c r="BB483" s="81">
        <v>0</v>
      </c>
      <c r="BC483" s="103">
        <v>663273</v>
      </c>
      <c r="BD483" s="103">
        <v>0</v>
      </c>
      <c r="BE483" s="103">
        <v>0</v>
      </c>
      <c r="BF483" s="103">
        <v>0</v>
      </c>
      <c r="BG483" s="103">
        <v>0</v>
      </c>
      <c r="BH483" s="103">
        <v>0</v>
      </c>
      <c r="BI483" s="103">
        <v>0</v>
      </c>
      <c r="BJ483" s="103">
        <v>0</v>
      </c>
      <c r="BK483" s="103">
        <v>0</v>
      </c>
      <c r="BL483" s="103">
        <v>0</v>
      </c>
      <c r="BM483" s="103">
        <v>0</v>
      </c>
      <c r="BN483" s="103">
        <v>0</v>
      </c>
      <c r="BO483" s="82">
        <f>SUM(ERP_34[[#This Row],[2026 AP01]:[2026 AP12]])</f>
        <v>663273</v>
      </c>
    </row>
    <row r="484" spans="1:67">
      <c r="A484" s="82" t="s">
        <v>2503</v>
      </c>
      <c r="B484" s="83" t="str">
        <f>_xlfn.TEXTJOIN("_",,ERP_34[[#This Row],[LT Member -1*]],ERP_34[[#This Row],[Expense Category]],ERP_34[[#This Row],[Project Code*]])</f>
        <v>Dougherty, Chris_SOFTWARE_IT-SFT1238-86-OG-US/PF</v>
      </c>
      <c r="C484" s="67" t="s">
        <v>2959</v>
      </c>
      <c r="D484" s="84" t="s">
        <v>1135</v>
      </c>
      <c r="E484" s="120" t="s">
        <v>1135</v>
      </c>
      <c r="F484" s="68" t="s">
        <v>1137</v>
      </c>
      <c r="G484" s="85" t="s">
        <v>639</v>
      </c>
      <c r="H484" s="121" t="s">
        <v>2504</v>
      </c>
      <c r="I484" s="67"/>
      <c r="J484" s="67"/>
      <c r="K484" s="140" t="s">
        <v>836</v>
      </c>
      <c r="L484" s="111"/>
      <c r="M484" s="70"/>
      <c r="N484" s="70" t="s">
        <v>1710</v>
      </c>
      <c r="O484" s="122" t="s">
        <v>826</v>
      </c>
      <c r="P484" s="70" t="s">
        <v>2499</v>
      </c>
      <c r="Q484" s="195"/>
      <c r="R484" s="94">
        <v>-663273</v>
      </c>
      <c r="S484" s="95">
        <v>0</v>
      </c>
      <c r="T484" s="190">
        <v>-663273</v>
      </c>
      <c r="U484" s="191">
        <f>ERP_34[[#This Row],[LE2 Final Submission]]-ERP_34[[#This Row],[LE3 Final Submission]]</f>
        <v>663273</v>
      </c>
      <c r="V484" s="98"/>
      <c r="W484" s="99"/>
      <c r="X484" s="99"/>
      <c r="Y484" s="100">
        <v>0</v>
      </c>
      <c r="Z484" s="100">
        <v>0</v>
      </c>
      <c r="AA484" s="100">
        <v>0</v>
      </c>
      <c r="AB484" s="100">
        <v>0</v>
      </c>
      <c r="AC484" s="100">
        <v>0</v>
      </c>
      <c r="AD484" s="100">
        <v>0</v>
      </c>
      <c r="AE484" s="100">
        <v>0</v>
      </c>
      <c r="AF484" s="100">
        <v>0</v>
      </c>
      <c r="AG484" s="100">
        <v>0</v>
      </c>
      <c r="AH484" s="101">
        <f t="shared" si="19"/>
        <v>0</v>
      </c>
      <c r="AI484" s="108">
        <f>ERP_34[[#This Row],[2026 Working Total]]-ERP_34[[#This Row],[2026 LE0]]</f>
        <v>663273</v>
      </c>
      <c r="AJ484" s="79"/>
      <c r="AK484" s="79"/>
      <c r="AL4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4" s="80"/>
      <c r="AN484" s="79">
        <f>ERP_34[[#This Row],[2026 Working Total to Budget/LE]]-ERP_34[[#This Row],[Giveback]]</f>
        <v>663273</v>
      </c>
      <c r="AO484" s="81"/>
      <c r="AP484" s="81"/>
      <c r="AQ484" s="81"/>
      <c r="AR484" s="81"/>
      <c r="AS484" s="81">
        <v>0</v>
      </c>
      <c r="AT484" s="81">
        <v>0</v>
      </c>
      <c r="AU484" s="81">
        <v>0</v>
      </c>
      <c r="AV484" s="81">
        <v>0</v>
      </c>
      <c r="AW484" s="81">
        <v>0</v>
      </c>
      <c r="AX484" s="81">
        <v>0</v>
      </c>
      <c r="AY484" s="81">
        <v>0</v>
      </c>
      <c r="AZ484" s="81">
        <v>0</v>
      </c>
      <c r="BA484" s="81">
        <v>0</v>
      </c>
      <c r="BB484" s="81">
        <v>0</v>
      </c>
      <c r="BC484" s="103">
        <v>-663273</v>
      </c>
      <c r="BD484" s="103">
        <v>0</v>
      </c>
      <c r="BE484" s="103">
        <v>0</v>
      </c>
      <c r="BF484" s="103">
        <v>0</v>
      </c>
      <c r="BG484" s="103">
        <v>0</v>
      </c>
      <c r="BH484" s="103">
        <v>0</v>
      </c>
      <c r="BI484" s="103">
        <v>0</v>
      </c>
      <c r="BJ484" s="103">
        <v>0</v>
      </c>
      <c r="BK484" s="103">
        <v>0</v>
      </c>
      <c r="BL484" s="103">
        <v>0</v>
      </c>
      <c r="BM484" s="103">
        <v>0</v>
      </c>
      <c r="BN484" s="103">
        <v>0</v>
      </c>
      <c r="BO484" s="82">
        <f>SUM(ERP_34[[#This Row],[2026 AP01]:[2026 AP12]])</f>
        <v>-663273</v>
      </c>
    </row>
    <row r="485" spans="1:67">
      <c r="A485" s="66" t="s">
        <v>2505</v>
      </c>
      <c r="B485" s="66" t="str">
        <f>_xlfn.TEXTJOIN("_",,ERP_34[[#This Row],[LT Member -1*]],ERP_34[[#This Row],[Expense Category]],ERP_34[[#This Row],[Project Code*]])</f>
        <v>Dougherty, Chris_SOFTWARE_IT-SFT1239-86-OG-US</v>
      </c>
      <c r="C485" s="67" t="s">
        <v>1136</v>
      </c>
      <c r="D485" s="67" t="s">
        <v>1135</v>
      </c>
      <c r="E485" s="67" t="s">
        <v>1135</v>
      </c>
      <c r="F485" s="67" t="s">
        <v>1137</v>
      </c>
      <c r="G485" s="68" t="s">
        <v>639</v>
      </c>
      <c r="H485" s="106" t="s">
        <v>2506</v>
      </c>
      <c r="I485" s="70"/>
      <c r="J485" s="70"/>
      <c r="K485" s="70" t="s">
        <v>838</v>
      </c>
      <c r="L485" s="70"/>
      <c r="M485" s="70"/>
      <c r="N485" s="70"/>
      <c r="O485" s="67" t="s">
        <v>605</v>
      </c>
      <c r="P485" s="67"/>
      <c r="Q485" s="71"/>
      <c r="R485" s="72">
        <v>107212</v>
      </c>
      <c r="S485" s="73">
        <v>107212</v>
      </c>
      <c r="T485" s="73">
        <v>107212</v>
      </c>
      <c r="U485" s="71">
        <f>ERP_34[[#This Row],[LE2 Final Submission]]-ERP_34[[#This Row],[LE3 Final Submission]]</f>
        <v>0</v>
      </c>
      <c r="V485" s="74"/>
      <c r="W485" s="75"/>
      <c r="X485" s="75"/>
      <c r="Y485" s="76"/>
      <c r="Z485" s="76">
        <v>107212</v>
      </c>
      <c r="AA485" s="109">
        <v>0</v>
      </c>
      <c r="AB485" s="109">
        <v>0</v>
      </c>
      <c r="AC485" s="109">
        <v>0</v>
      </c>
      <c r="AD485" s="109">
        <v>0</v>
      </c>
      <c r="AE485" s="109">
        <v>0</v>
      </c>
      <c r="AF485" s="109">
        <v>0</v>
      </c>
      <c r="AG485" s="109">
        <v>0</v>
      </c>
      <c r="AH485" s="77">
        <f t="shared" si="19"/>
        <v>107212</v>
      </c>
      <c r="AI485" s="108">
        <f>ERP_34[[#This Row],[2026 Working Total]]-ERP_34[[#This Row],[2026 LE0]]</f>
        <v>0</v>
      </c>
      <c r="AJ485" s="79"/>
      <c r="AK485" s="79"/>
      <c r="AL48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5" s="80"/>
      <c r="AN485" s="79">
        <f>ERP_34[[#This Row],[2026 Working Total to Budget/LE]]-ERP_34[[#This Row],[Giveback]]</f>
        <v>0</v>
      </c>
      <c r="AO485" s="81"/>
      <c r="AP485" s="81"/>
      <c r="AQ485" s="81"/>
      <c r="AR485" s="81"/>
      <c r="AS485" s="81"/>
      <c r="AT485" s="81">
        <v>107212</v>
      </c>
      <c r="AU485" s="81">
        <v>0</v>
      </c>
      <c r="AV485" s="81">
        <v>0</v>
      </c>
      <c r="AW485" s="81">
        <v>0</v>
      </c>
      <c r="AX485" s="81">
        <v>0</v>
      </c>
      <c r="AY485" s="81">
        <v>0</v>
      </c>
      <c r="AZ485" s="81">
        <v>0</v>
      </c>
      <c r="BA485" s="81">
        <v>0</v>
      </c>
      <c r="BB485" s="81">
        <v>107212</v>
      </c>
      <c r="BC485" s="79"/>
      <c r="BD485" s="79"/>
      <c r="BE485" s="79"/>
      <c r="BF485" s="79"/>
      <c r="BG485" s="79">
        <v>107212</v>
      </c>
      <c r="BH485" s="79">
        <v>0</v>
      </c>
      <c r="BI485" s="79">
        <v>0</v>
      </c>
      <c r="BJ485" s="79">
        <v>0</v>
      </c>
      <c r="BK485" s="79">
        <v>0</v>
      </c>
      <c r="BL485" s="79">
        <v>0</v>
      </c>
      <c r="BM485" s="79">
        <v>0</v>
      </c>
      <c r="BN485" s="79">
        <v>0</v>
      </c>
      <c r="BO485" s="79">
        <v>107212</v>
      </c>
    </row>
    <row r="486" spans="1:67">
      <c r="A486" s="66" t="s">
        <v>2507</v>
      </c>
      <c r="B486" s="66" t="str">
        <f>_xlfn.TEXTJOIN("_",,ERP_34[[#This Row],[LT Member -1*]],ERP_34[[#This Row],[Expense Category]],ERP_34[[#This Row],[Project Code*]])</f>
        <v>Dougherty, Chris_SOFTWARE_IT-SFT1240-86-OG-US</v>
      </c>
      <c r="C486" s="67" t="s">
        <v>1136</v>
      </c>
      <c r="D486" s="67" t="s">
        <v>1135</v>
      </c>
      <c r="E486" s="67" t="s">
        <v>1135</v>
      </c>
      <c r="F486" s="67" t="s">
        <v>1137</v>
      </c>
      <c r="G486" s="68" t="s">
        <v>639</v>
      </c>
      <c r="H486" s="106" t="s">
        <v>2508</v>
      </c>
      <c r="I486" s="70" t="s">
        <v>2964</v>
      </c>
      <c r="J486" s="70"/>
      <c r="K486" s="114" t="s">
        <v>840</v>
      </c>
      <c r="L486" s="70"/>
      <c r="M486" s="70" t="s">
        <v>2509</v>
      </c>
      <c r="N486" s="70"/>
      <c r="O486" s="67" t="s">
        <v>605</v>
      </c>
      <c r="P486" s="67" t="s">
        <v>2340</v>
      </c>
      <c r="Q486" s="71"/>
      <c r="R486" s="72">
        <v>1155056.04</v>
      </c>
      <c r="S486" s="73">
        <v>1155043.3</v>
      </c>
      <c r="T486" s="73">
        <v>1155056.04</v>
      </c>
      <c r="U486" s="71">
        <f>ERP_34[[#This Row],[LE2 Final Submission]]-ERP_34[[#This Row],[LE3 Final Submission]]</f>
        <v>-12.739999999990687</v>
      </c>
      <c r="V486" s="74">
        <v>1155005.0900000001</v>
      </c>
      <c r="W486" s="75">
        <v>-962504.24</v>
      </c>
      <c r="X486" s="75">
        <v>96250.42</v>
      </c>
      <c r="Y486" s="76">
        <f>96254.67-96254.67</f>
        <v>0</v>
      </c>
      <c r="Z486" s="76">
        <f>96254.67+96254.67</f>
        <v>192509.34</v>
      </c>
      <c r="AA486" s="175">
        <v>96254.67</v>
      </c>
      <c r="AB486" s="76">
        <f>96254.67-96254.67</f>
        <v>0</v>
      </c>
      <c r="AC486" s="76">
        <f>96254.67+96254.67</f>
        <v>192509.34</v>
      </c>
      <c r="AD486" s="76">
        <v>96254.67</v>
      </c>
      <c r="AE486" s="76">
        <f>96254.67-96254.67</f>
        <v>0</v>
      </c>
      <c r="AF486" s="76">
        <f>96254.67+96254.67</f>
        <v>192509.34</v>
      </c>
      <c r="AG486" s="76">
        <v>96254.67</v>
      </c>
      <c r="AH486" s="176">
        <f t="shared" si="19"/>
        <v>1155043.3</v>
      </c>
      <c r="AI486" s="108">
        <f>ERP_34[[#This Row],[2026 Working Total]]-ERP_34[[#This Row],[2026 LE0]]</f>
        <v>-12.739999999990687</v>
      </c>
      <c r="AJ486" s="79"/>
      <c r="AK486" s="79"/>
      <c r="AL486" s="79">
        <f>ERP_34[[#This Row],[AP01]]+ERP_34[[#This Row],[AP02]]+ERP_34[[#This Row],[AP03]]+ERP_34[[#This Row],[AP04]]-ERP_34[[#This Row],[AP01 LE2]]-ERP_34[[#This Row],[AP02 LE2]]-ERP_34[[#This Row],[AP03 LE2]]-ERP_34[[#This Row],[AP04 LE2]]</f>
        <v>-7.2759576141834259E-11</v>
      </c>
      <c r="AM486" s="80"/>
      <c r="AN486" s="79">
        <f>ERP_34[[#This Row],[2026 Working Total to Budget/LE]]-ERP_34[[#This Row],[Giveback]]</f>
        <v>-12.739999999990687</v>
      </c>
      <c r="AO486" s="81"/>
      <c r="AP486" s="81">
        <v>1155005.0900000001</v>
      </c>
      <c r="AQ486" s="81">
        <v>-962504.24</v>
      </c>
      <c r="AR486" s="81">
        <v>96250.42</v>
      </c>
      <c r="AS486" s="81">
        <v>0</v>
      </c>
      <c r="AT486" s="81">
        <v>192509.34</v>
      </c>
      <c r="AU486" s="81">
        <v>96254.67</v>
      </c>
      <c r="AV486" s="81">
        <v>0</v>
      </c>
      <c r="AW486" s="81">
        <v>192509.34</v>
      </c>
      <c r="AX486" s="81">
        <v>96254.67</v>
      </c>
      <c r="AY486" s="81">
        <v>0</v>
      </c>
      <c r="AZ486" s="81">
        <v>192509.34</v>
      </c>
      <c r="BA486" s="81">
        <v>96254.67</v>
      </c>
      <c r="BB486" s="81">
        <v>1155043.3</v>
      </c>
      <c r="BC486" s="79">
        <v>1155005.0900000001</v>
      </c>
      <c r="BD486" s="79">
        <v>-962504.24</v>
      </c>
      <c r="BE486" s="79">
        <v>96250.42</v>
      </c>
      <c r="BF486" s="79">
        <v>96254.67</v>
      </c>
      <c r="BG486" s="79">
        <v>96254.67</v>
      </c>
      <c r="BH486" s="79">
        <v>96254.67</v>
      </c>
      <c r="BI486" s="79">
        <v>96254.67</v>
      </c>
      <c r="BJ486" s="79">
        <v>96254.67</v>
      </c>
      <c r="BK486" s="79">
        <v>96254.67</v>
      </c>
      <c r="BL486" s="79">
        <v>96254.67</v>
      </c>
      <c r="BM486" s="79">
        <v>96254.67</v>
      </c>
      <c r="BN486" s="79">
        <v>96254.67</v>
      </c>
      <c r="BO486" s="79">
        <v>1155043.3</v>
      </c>
    </row>
    <row r="487" spans="1:67">
      <c r="A487" s="66" t="s">
        <v>2510</v>
      </c>
      <c r="B487" s="66" t="str">
        <f>_xlfn.TEXTJOIN("_",,ERP_34[[#This Row],[LT Member -1*]],ERP_34[[#This Row],[Expense Category]],ERP_34[[#This Row],[Project Code*]])</f>
        <v>Dougherty, Chris_SOFTWARE_IT-SFT1247-86-OG-US</v>
      </c>
      <c r="C487" s="67" t="s">
        <v>1136</v>
      </c>
      <c r="D487" s="67" t="s">
        <v>1135</v>
      </c>
      <c r="E487" s="67" t="s">
        <v>1135</v>
      </c>
      <c r="F487" s="67" t="s">
        <v>1137</v>
      </c>
      <c r="G487" s="68" t="s">
        <v>639</v>
      </c>
      <c r="H487" s="106" t="s">
        <v>2511</v>
      </c>
      <c r="I487" s="70" t="s">
        <v>2964</v>
      </c>
      <c r="J487" s="70"/>
      <c r="K487" s="157" t="s">
        <v>842</v>
      </c>
      <c r="L487" s="70"/>
      <c r="M487" s="214" t="s">
        <v>2339</v>
      </c>
      <c r="N487" s="70"/>
      <c r="O487" s="67" t="s">
        <v>843</v>
      </c>
      <c r="P487" s="67" t="s">
        <v>2340</v>
      </c>
      <c r="Q487" s="71"/>
      <c r="R487" s="204">
        <v>3290595.8399999994</v>
      </c>
      <c r="S487" s="73">
        <v>3254950.82</v>
      </c>
      <c r="T487" s="73">
        <v>3290595.8399999994</v>
      </c>
      <c r="U487" s="71">
        <f>ERP_34[[#This Row],[LE2 Final Submission]]-ERP_34[[#This Row],[LE3 Final Submission]]</f>
        <v>-35645.019999999553</v>
      </c>
      <c r="V487" s="74">
        <v>3254947.27</v>
      </c>
      <c r="W487" s="75">
        <v>-2712456.06</v>
      </c>
      <c r="X487" s="75">
        <v>271245.61</v>
      </c>
      <c r="Y487" s="76">
        <f>271246-271246</f>
        <v>0</v>
      </c>
      <c r="Z487" s="76">
        <f>271246+271246</f>
        <v>542492</v>
      </c>
      <c r="AA487" s="175">
        <v>271246</v>
      </c>
      <c r="AB487" s="76">
        <f>271246-271246</f>
        <v>0</v>
      </c>
      <c r="AC487" s="76">
        <f>271246+271246</f>
        <v>542492</v>
      </c>
      <c r="AD487" s="76">
        <v>271246</v>
      </c>
      <c r="AE487" s="76">
        <f>271246-271246</f>
        <v>0</v>
      </c>
      <c r="AF487" s="76">
        <f>271246+271246</f>
        <v>542492</v>
      </c>
      <c r="AG487" s="76">
        <v>271246</v>
      </c>
      <c r="AH487" s="176">
        <f t="shared" si="19"/>
        <v>3254950.82</v>
      </c>
      <c r="AI487" s="108">
        <f>ERP_34[[#This Row],[2026 Working Total]]-ERP_34[[#This Row],[2026 LE0]]</f>
        <v>-35645.019999999553</v>
      </c>
      <c r="AJ487" s="79"/>
      <c r="AK487" s="79"/>
      <c r="AL487" s="79">
        <f>ERP_34[[#This Row],[AP01]]+ERP_34[[#This Row],[AP02]]+ERP_34[[#This Row],[AP03]]+ERP_34[[#This Row],[AP04]]-ERP_34[[#This Row],[AP01 LE2]]-ERP_34[[#This Row],[AP02 LE2]]-ERP_34[[#This Row],[AP03 LE2]]-ERP_34[[#This Row],[AP04 LE2]]</f>
        <v>-1.1641532182693481E-10</v>
      </c>
      <c r="AM487" s="80"/>
      <c r="AN487" s="79">
        <f>ERP_34[[#This Row],[2026 Working Total to Budget/LE]]-ERP_34[[#This Row],[Giveback]]</f>
        <v>-35645.019999999553</v>
      </c>
      <c r="AO487" s="81"/>
      <c r="AP487" s="81">
        <v>3254947.27</v>
      </c>
      <c r="AQ487" s="81">
        <v>-2712456.06</v>
      </c>
      <c r="AR487" s="81">
        <v>271245.61</v>
      </c>
      <c r="AS487" s="81">
        <v>0</v>
      </c>
      <c r="AT487" s="81">
        <v>542492</v>
      </c>
      <c r="AU487" s="81">
        <v>271246</v>
      </c>
      <c r="AV487" s="81">
        <v>0</v>
      </c>
      <c r="AW487" s="81">
        <v>542492</v>
      </c>
      <c r="AX487" s="81">
        <v>271246</v>
      </c>
      <c r="AY487" s="81">
        <v>0</v>
      </c>
      <c r="AZ487" s="81">
        <v>542492</v>
      </c>
      <c r="BA487" s="81">
        <v>271246</v>
      </c>
      <c r="BB487" s="81">
        <v>3254950.82</v>
      </c>
      <c r="BC487" s="79">
        <v>3254947.27</v>
      </c>
      <c r="BD487" s="79">
        <v>-2712456.06</v>
      </c>
      <c r="BE487" s="79">
        <v>271245.61</v>
      </c>
      <c r="BF487" s="79">
        <v>271246</v>
      </c>
      <c r="BG487" s="79">
        <v>271246</v>
      </c>
      <c r="BH487" s="79">
        <v>271246</v>
      </c>
      <c r="BI487" s="79">
        <v>271246</v>
      </c>
      <c r="BJ487" s="79">
        <v>271246</v>
      </c>
      <c r="BK487" s="79">
        <v>271246</v>
      </c>
      <c r="BL487" s="79">
        <v>271246</v>
      </c>
      <c r="BM487" s="79">
        <v>271246</v>
      </c>
      <c r="BN487" s="79">
        <v>271246</v>
      </c>
      <c r="BO487" s="79">
        <v>3254950.82</v>
      </c>
    </row>
    <row r="488" spans="1:67">
      <c r="A488" s="66" t="s">
        <v>2151</v>
      </c>
      <c r="B488" s="66" t="str">
        <f>_xlfn.TEXTJOIN("_",,ERP_34[[#This Row],[LT Member -1*]],ERP_34[[#This Row],[Expense Category]],ERP_34[[#This Row],[Project Code*]])</f>
        <v>McCormick, Pete_OTHER_IT-SFT1249-86-OG-US</v>
      </c>
      <c r="C488" s="67" t="s">
        <v>1136</v>
      </c>
      <c r="D488" s="67" t="s">
        <v>1135</v>
      </c>
      <c r="E488" s="67" t="s">
        <v>1145</v>
      </c>
      <c r="F488" s="67" t="s">
        <v>1137</v>
      </c>
      <c r="G488" s="68" t="s">
        <v>602</v>
      </c>
      <c r="H488" s="106" t="s">
        <v>2153</v>
      </c>
      <c r="I488" s="70"/>
      <c r="J488" s="70"/>
      <c r="K488" s="70" t="s">
        <v>607</v>
      </c>
      <c r="L488" s="70" t="s">
        <v>1153</v>
      </c>
      <c r="M488" s="70"/>
      <c r="N488" s="70" t="s">
        <v>1710</v>
      </c>
      <c r="O488" s="67" t="s">
        <v>608</v>
      </c>
      <c r="P488" s="67"/>
      <c r="Q488" s="137"/>
      <c r="R488" s="138">
        <v>0</v>
      </c>
      <c r="S488" s="139">
        <v>0</v>
      </c>
      <c r="T488" s="139">
        <v>0</v>
      </c>
      <c r="U488" s="137">
        <f>ERP_34[[#This Row],[LE2 Final Submission]]-ERP_34[[#This Row],[LE3 Final Submission]]</f>
        <v>0</v>
      </c>
      <c r="V488" s="74">
        <v>-11125</v>
      </c>
      <c r="W488" s="75">
        <v>11125</v>
      </c>
      <c r="X488" s="75"/>
      <c r="Y488" s="76"/>
      <c r="Z488" s="76"/>
      <c r="AA488" s="76"/>
      <c r="AB488" s="76"/>
      <c r="AC488" s="76"/>
      <c r="AD488" s="76"/>
      <c r="AE488" s="76"/>
      <c r="AF488" s="76"/>
      <c r="AG488" s="76"/>
      <c r="AH488" s="77">
        <f t="shared" si="19"/>
        <v>0</v>
      </c>
      <c r="AI488" s="108">
        <f>ERP_34[[#This Row],[2026 Working Total]]-ERP_34[[#This Row],[2026 LE0]]</f>
        <v>0</v>
      </c>
      <c r="AJ488" s="79"/>
      <c r="AK488" s="79"/>
      <c r="AL48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8" s="80"/>
      <c r="AN488" s="79">
        <f>ERP_34[[#This Row],[2026 Working Total to Budget/LE]]-ERP_34[[#This Row],[Giveback]]</f>
        <v>0</v>
      </c>
      <c r="AO488" s="81"/>
      <c r="AP488" s="81">
        <v>-11125</v>
      </c>
      <c r="AQ488" s="81">
        <v>11125</v>
      </c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>
        <v>0</v>
      </c>
      <c r="BC488" s="79">
        <v>-11125</v>
      </c>
      <c r="BD488" s="79">
        <v>11125</v>
      </c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>
        <v>0</v>
      </c>
    </row>
    <row r="489" spans="1:67">
      <c r="A489" s="82" t="s">
        <v>2512</v>
      </c>
      <c r="B489" s="83" t="str">
        <f>_xlfn.TEXTJOIN("_",,ERP_34[[#This Row],[LT Member -1*]],ERP_34[[#This Row],[Expense Category]],ERP_34[[#This Row],[Project Code*]])</f>
        <v>McCormick, Pete_SOFTWARE_IT-SFT1249-86-OG-US</v>
      </c>
      <c r="C489" s="67" t="s">
        <v>2959</v>
      </c>
      <c r="D489" s="84" t="s">
        <v>1135</v>
      </c>
      <c r="E489" s="85" t="s">
        <v>1145</v>
      </c>
      <c r="F489" s="68" t="s">
        <v>1137</v>
      </c>
      <c r="G489" s="85" t="s">
        <v>639</v>
      </c>
      <c r="H489" s="110" t="s">
        <v>2514</v>
      </c>
      <c r="I489" s="67"/>
      <c r="J489" s="67"/>
      <c r="K489" s="91" t="s">
        <v>607</v>
      </c>
      <c r="L489" s="70" t="s">
        <v>1153</v>
      </c>
      <c r="M489" s="70"/>
      <c r="N489" s="70" t="s">
        <v>1710</v>
      </c>
      <c r="O489" s="91" t="s">
        <v>608</v>
      </c>
      <c r="P489" s="70" t="s">
        <v>1779</v>
      </c>
      <c r="Q489" s="195"/>
      <c r="R489" s="94">
        <v>11125</v>
      </c>
      <c r="S489" s="95">
        <v>0</v>
      </c>
      <c r="T489" s="190">
        <v>11125</v>
      </c>
      <c r="U489" s="191">
        <f>ERP_34[[#This Row],[LE2 Final Submission]]-ERP_34[[#This Row],[LE3 Final Submission]]</f>
        <v>-11125</v>
      </c>
      <c r="V489" s="98"/>
      <c r="W489" s="99"/>
      <c r="X489" s="99"/>
      <c r="Y489" s="100">
        <v>0</v>
      </c>
      <c r="Z489" s="100">
        <v>0</v>
      </c>
      <c r="AA489" s="100">
        <v>0</v>
      </c>
      <c r="AB489" s="100">
        <v>0</v>
      </c>
      <c r="AC489" s="100">
        <v>0</v>
      </c>
      <c r="AD489" s="100">
        <v>0</v>
      </c>
      <c r="AE489" s="100">
        <v>0</v>
      </c>
      <c r="AF489" s="100">
        <v>0</v>
      </c>
      <c r="AG489" s="100">
        <v>0</v>
      </c>
      <c r="AH489" s="101">
        <f t="shared" si="19"/>
        <v>0</v>
      </c>
      <c r="AI489" s="108">
        <f>ERP_34[[#This Row],[2026 Working Total]]-ERP_34[[#This Row],[2026 LE0]]</f>
        <v>-11125</v>
      </c>
      <c r="AJ489" s="79"/>
      <c r="AK489" s="79"/>
      <c r="AL48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89" s="80"/>
      <c r="AN489" s="79">
        <f>ERP_34[[#This Row],[2026 Working Total to Budget/LE]]-ERP_34[[#This Row],[Giveback]]</f>
        <v>-11125</v>
      </c>
      <c r="AO489" s="81"/>
      <c r="AP489" s="81"/>
      <c r="AQ489" s="81"/>
      <c r="AR489" s="81"/>
      <c r="AS489" s="81">
        <v>0</v>
      </c>
      <c r="AT489" s="81">
        <v>0</v>
      </c>
      <c r="AU489" s="81">
        <v>0</v>
      </c>
      <c r="AV489" s="81">
        <v>0</v>
      </c>
      <c r="AW489" s="81">
        <v>0</v>
      </c>
      <c r="AX489" s="81">
        <v>0</v>
      </c>
      <c r="AY489" s="81">
        <v>0</v>
      </c>
      <c r="AZ489" s="81">
        <v>0</v>
      </c>
      <c r="BA489" s="81">
        <v>0</v>
      </c>
      <c r="BB489" s="81">
        <v>0</v>
      </c>
      <c r="BC489" s="103">
        <v>11125</v>
      </c>
      <c r="BD489" s="103">
        <v>0</v>
      </c>
      <c r="BE489" s="103">
        <v>0</v>
      </c>
      <c r="BF489" s="103">
        <v>0</v>
      </c>
      <c r="BG489" s="103">
        <v>0</v>
      </c>
      <c r="BH489" s="103">
        <v>0</v>
      </c>
      <c r="BI489" s="103">
        <v>0</v>
      </c>
      <c r="BJ489" s="103">
        <v>0</v>
      </c>
      <c r="BK489" s="103">
        <v>0</v>
      </c>
      <c r="BL489" s="103">
        <v>0</v>
      </c>
      <c r="BM489" s="103">
        <v>0</v>
      </c>
      <c r="BN489" s="103">
        <v>0</v>
      </c>
      <c r="BO489" s="82">
        <f>SUM(ERP_34[[#This Row],[2026 AP01]:[2026 AP12]])</f>
        <v>11125</v>
      </c>
    </row>
    <row r="490" spans="1:67">
      <c r="A490" s="82" t="s">
        <v>2515</v>
      </c>
      <c r="B490" s="83" t="str">
        <f>_xlfn.TEXTJOIN("_",,ERP_34[[#This Row],[LT Member -1*]],ERP_34[[#This Row],[Expense Category]],ERP_34[[#This Row],[Project Code*]])</f>
        <v>McCormick, Pete_SOFTWARE_IT-SFT1249-86-OG-US/PF</v>
      </c>
      <c r="C490" s="67" t="s">
        <v>2959</v>
      </c>
      <c r="D490" s="84" t="s">
        <v>1135</v>
      </c>
      <c r="E490" s="85" t="s">
        <v>1145</v>
      </c>
      <c r="F490" s="68" t="s">
        <v>1137</v>
      </c>
      <c r="G490" s="85" t="s">
        <v>639</v>
      </c>
      <c r="H490" s="110" t="s">
        <v>2517</v>
      </c>
      <c r="I490" s="67"/>
      <c r="J490" s="67"/>
      <c r="K490" s="91" t="s">
        <v>846</v>
      </c>
      <c r="L490" s="111"/>
      <c r="M490" s="70"/>
      <c r="N490" s="70" t="s">
        <v>1710</v>
      </c>
      <c r="O490" s="91" t="s">
        <v>608</v>
      </c>
      <c r="P490" s="70" t="s">
        <v>1348</v>
      </c>
      <c r="Q490" s="195"/>
      <c r="R490" s="94">
        <v>-11125</v>
      </c>
      <c r="S490" s="95">
        <v>0</v>
      </c>
      <c r="T490" s="190">
        <v>-11125</v>
      </c>
      <c r="U490" s="191">
        <f>ERP_34[[#This Row],[LE2 Final Submission]]-ERP_34[[#This Row],[LE3 Final Submission]]</f>
        <v>11125</v>
      </c>
      <c r="V490" s="98"/>
      <c r="W490" s="99"/>
      <c r="X490" s="99"/>
      <c r="Y490" s="100">
        <v>0</v>
      </c>
      <c r="Z490" s="100">
        <v>0</v>
      </c>
      <c r="AA490" s="100">
        <v>0</v>
      </c>
      <c r="AB490" s="100">
        <v>0</v>
      </c>
      <c r="AC490" s="100">
        <v>0</v>
      </c>
      <c r="AD490" s="100">
        <v>0</v>
      </c>
      <c r="AE490" s="100">
        <v>0</v>
      </c>
      <c r="AF490" s="100">
        <v>0</v>
      </c>
      <c r="AG490" s="100">
        <v>0</v>
      </c>
      <c r="AH490" s="101">
        <f t="shared" si="19"/>
        <v>0</v>
      </c>
      <c r="AI490" s="108">
        <f>ERP_34[[#This Row],[2026 Working Total]]-ERP_34[[#This Row],[2026 LE0]]</f>
        <v>11125</v>
      </c>
      <c r="AJ490" s="79"/>
      <c r="AK490" s="79"/>
      <c r="AL49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0" s="80"/>
      <c r="AN490" s="79">
        <f>ERP_34[[#This Row],[2026 Working Total to Budget/LE]]-ERP_34[[#This Row],[Giveback]]</f>
        <v>11125</v>
      </c>
      <c r="AO490" s="81"/>
      <c r="AP490" s="81"/>
      <c r="AQ490" s="81"/>
      <c r="AR490" s="81"/>
      <c r="AS490" s="81">
        <v>0</v>
      </c>
      <c r="AT490" s="81">
        <v>0</v>
      </c>
      <c r="AU490" s="81">
        <v>0</v>
      </c>
      <c r="AV490" s="81">
        <v>0</v>
      </c>
      <c r="AW490" s="81">
        <v>0</v>
      </c>
      <c r="AX490" s="81">
        <v>0</v>
      </c>
      <c r="AY490" s="81">
        <v>0</v>
      </c>
      <c r="AZ490" s="81">
        <v>0</v>
      </c>
      <c r="BA490" s="81">
        <v>0</v>
      </c>
      <c r="BB490" s="81">
        <v>0</v>
      </c>
      <c r="BC490" s="103">
        <v>-11125</v>
      </c>
      <c r="BD490" s="103">
        <v>0</v>
      </c>
      <c r="BE490" s="103">
        <v>0</v>
      </c>
      <c r="BF490" s="103">
        <v>0</v>
      </c>
      <c r="BG490" s="103">
        <v>0</v>
      </c>
      <c r="BH490" s="103">
        <v>0</v>
      </c>
      <c r="BI490" s="103">
        <v>0</v>
      </c>
      <c r="BJ490" s="103">
        <v>0</v>
      </c>
      <c r="BK490" s="103">
        <v>0</v>
      </c>
      <c r="BL490" s="103">
        <v>0</v>
      </c>
      <c r="BM490" s="103">
        <v>0</v>
      </c>
      <c r="BN490" s="103">
        <v>0</v>
      </c>
      <c r="BO490" s="82">
        <f>SUM(ERP_34[[#This Row],[2026 AP01]:[2026 AP12]])</f>
        <v>-11125</v>
      </c>
    </row>
    <row r="491" spans="1:67">
      <c r="A491" s="66" t="s">
        <v>2518</v>
      </c>
      <c r="B491" s="66" t="str">
        <f>_xlfn.TEXTJOIN("_",,ERP_34[[#This Row],[LT Member -1*]],ERP_34[[#This Row],[Expense Category]],ERP_34[[#This Row],[Project Code*]])</f>
        <v>McCormick, Pete_SOFTWARE_IT-SFT1257-86-OG-US</v>
      </c>
      <c r="C491" s="67" t="s">
        <v>1136</v>
      </c>
      <c r="D491" s="67" t="s">
        <v>1135</v>
      </c>
      <c r="E491" s="67" t="s">
        <v>1145</v>
      </c>
      <c r="F491" s="67" t="s">
        <v>1137</v>
      </c>
      <c r="G491" s="68" t="s">
        <v>639</v>
      </c>
      <c r="H491" s="106" t="s">
        <v>2520</v>
      </c>
      <c r="I491" s="70"/>
      <c r="J491" s="70"/>
      <c r="K491" s="70" t="s">
        <v>848</v>
      </c>
      <c r="L491" s="70"/>
      <c r="M491" s="70"/>
      <c r="N491" s="70"/>
      <c r="O491" s="67" t="s">
        <v>849</v>
      </c>
      <c r="P491" s="67"/>
      <c r="Q491" s="71"/>
      <c r="R491" s="72">
        <v>307237.74</v>
      </c>
      <c r="S491" s="73">
        <v>331713.26</v>
      </c>
      <c r="T491" s="73">
        <v>307237.74</v>
      </c>
      <c r="U491" s="71">
        <f>ERP_34[[#This Row],[LE2 Final Submission]]-ERP_34[[#This Row],[LE3 Final Submission]]</f>
        <v>24475.520000000019</v>
      </c>
      <c r="V491" s="74">
        <v>67277.88</v>
      </c>
      <c r="W491" s="75">
        <v>13527.14</v>
      </c>
      <c r="X491" s="75">
        <v>16908.240000000002</v>
      </c>
      <c r="Y491" s="109">
        <v>0</v>
      </c>
      <c r="Z491" s="109">
        <v>0</v>
      </c>
      <c r="AA491" s="76">
        <v>78000</v>
      </c>
      <c r="AB491" s="109">
        <v>0</v>
      </c>
      <c r="AC491" s="109">
        <v>0</v>
      </c>
      <c r="AD491" s="76">
        <v>78000</v>
      </c>
      <c r="AE491" s="109">
        <v>0</v>
      </c>
      <c r="AF491" s="109">
        <v>0</v>
      </c>
      <c r="AG491" s="76">
        <v>78000</v>
      </c>
      <c r="AH491" s="77">
        <f t="shared" si="19"/>
        <v>331713.26</v>
      </c>
      <c r="AI491" s="108">
        <f>ERP_34[[#This Row],[2026 Working Total]]-ERP_34[[#This Row],[2026 LE0]]</f>
        <v>24475.520000000019</v>
      </c>
      <c r="AJ491" s="79"/>
      <c r="AK491" s="79"/>
      <c r="AL491" s="79">
        <f>ERP_34[[#This Row],[AP01]]+ERP_34[[#This Row],[AP02]]+ERP_34[[#This Row],[AP03]]+ERP_34[[#This Row],[AP04]]-ERP_34[[#This Row],[AP01 LE2]]-ERP_34[[#This Row],[AP02 LE2]]-ERP_34[[#This Row],[AP03 LE2]]-ERP_34[[#This Row],[AP04 LE2]]</f>
        <v>3.637978807091713E-12</v>
      </c>
      <c r="AM491" s="80"/>
      <c r="AN491" s="79">
        <f>ERP_34[[#This Row],[2026 Working Total to Budget/LE]]-ERP_34[[#This Row],[Giveback]]</f>
        <v>24475.520000000019</v>
      </c>
      <c r="AO491" s="81"/>
      <c r="AP491" s="81">
        <v>67277.88</v>
      </c>
      <c r="AQ491" s="81">
        <v>13527.14</v>
      </c>
      <c r="AR491" s="81">
        <v>16908.240000000002</v>
      </c>
      <c r="AS491" s="81">
        <v>0</v>
      </c>
      <c r="AT491" s="81">
        <v>0</v>
      </c>
      <c r="AU491" s="81">
        <v>78000</v>
      </c>
      <c r="AV491" s="81">
        <v>0</v>
      </c>
      <c r="AW491" s="81">
        <v>0</v>
      </c>
      <c r="AX491" s="81">
        <v>78000</v>
      </c>
      <c r="AY491" s="81">
        <v>0</v>
      </c>
      <c r="AZ491" s="81">
        <v>0</v>
      </c>
      <c r="BA491" s="81">
        <v>78000</v>
      </c>
      <c r="BB491" s="81">
        <v>331713.26</v>
      </c>
      <c r="BC491" s="82">
        <v>67277.88</v>
      </c>
      <c r="BD491" s="82">
        <v>13527.14</v>
      </c>
      <c r="BE491" s="82">
        <v>16908.240000000002</v>
      </c>
      <c r="BF491" s="82">
        <v>0</v>
      </c>
      <c r="BG491" s="82">
        <v>0</v>
      </c>
      <c r="BH491" s="82">
        <v>78000</v>
      </c>
      <c r="BI491" s="82">
        <v>0</v>
      </c>
      <c r="BJ491" s="82">
        <v>0</v>
      </c>
      <c r="BK491" s="82">
        <v>78000</v>
      </c>
      <c r="BL491" s="82">
        <v>0</v>
      </c>
      <c r="BM491" s="82">
        <v>0</v>
      </c>
      <c r="BN491" s="82">
        <v>78000</v>
      </c>
      <c r="BO491" s="82">
        <v>331713.26</v>
      </c>
    </row>
    <row r="492" spans="1:67">
      <c r="A492" s="82" t="s">
        <v>2627</v>
      </c>
      <c r="B492" s="83" t="str">
        <f>_xlfn.TEXTJOIN("_",,ERP_34[[#This Row],[LT Member -1*]],ERP_34[[#This Row],[Expense Category]],ERP_34[[#This Row],[Project Code*]])</f>
        <v>Ganesan, Srinivasan_SOFTWARE_IT-SFT1262-86-OG-US</v>
      </c>
      <c r="C492" s="67" t="s">
        <v>2959</v>
      </c>
      <c r="D492" s="84" t="s">
        <v>1345</v>
      </c>
      <c r="E492" s="85" t="s">
        <v>1344</v>
      </c>
      <c r="F492" s="68" t="s">
        <v>1346</v>
      </c>
      <c r="G492" s="85" t="s">
        <v>639</v>
      </c>
      <c r="H492" s="110" t="s">
        <v>2628</v>
      </c>
      <c r="I492" s="67"/>
      <c r="J492" s="67"/>
      <c r="K492" s="91" t="s">
        <v>920</v>
      </c>
      <c r="L492" s="111"/>
      <c r="M492" s="70"/>
      <c r="N492" s="90" t="s">
        <v>2960</v>
      </c>
      <c r="O492" s="91" t="s">
        <v>25</v>
      </c>
      <c r="P492" s="92" t="s">
        <v>2629</v>
      </c>
      <c r="Q492" s="93"/>
      <c r="R492" s="94">
        <v>32000</v>
      </c>
      <c r="S492" s="95">
        <v>32000</v>
      </c>
      <c r="T492" s="112">
        <v>32000</v>
      </c>
      <c r="U492" s="113">
        <f>ERP_34[[#This Row],[LE2 Final Submission]]-ERP_34[[#This Row],[LE3 Final Submission]]</f>
        <v>0</v>
      </c>
      <c r="V492" s="98"/>
      <c r="W492" s="99"/>
      <c r="X492" s="99"/>
      <c r="Y492" s="100">
        <v>0</v>
      </c>
      <c r="Z492" s="100">
        <v>0</v>
      </c>
      <c r="AA492" s="100">
        <v>0</v>
      </c>
      <c r="AB492" s="100">
        <v>0</v>
      </c>
      <c r="AC492" s="100">
        <v>0</v>
      </c>
      <c r="AD492" s="100">
        <v>0</v>
      </c>
      <c r="AE492" s="100">
        <v>32000</v>
      </c>
      <c r="AF492" s="100">
        <v>0</v>
      </c>
      <c r="AG492" s="100">
        <v>0</v>
      </c>
      <c r="AH492" s="101">
        <f t="shared" si="19"/>
        <v>32000</v>
      </c>
      <c r="AI492" s="108">
        <f>ERP_34[[#This Row],[2026 Working Total]]-ERP_34[[#This Row],[2026 LE0]]</f>
        <v>0</v>
      </c>
      <c r="AJ492" s="79"/>
      <c r="AK492" s="79"/>
      <c r="AL4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2" s="80"/>
      <c r="AN492" s="79">
        <f>ERP_34[[#This Row],[2026 Working Total to Budget/LE]]-ERP_34[[#This Row],[Giveback]]</f>
        <v>0</v>
      </c>
      <c r="AO492" s="155" t="s">
        <v>2630</v>
      </c>
      <c r="AP492" s="155"/>
      <c r="AQ492" s="155"/>
      <c r="AR492" s="155"/>
      <c r="AS492" s="155">
        <v>0</v>
      </c>
      <c r="AT492" s="155">
        <v>0</v>
      </c>
      <c r="AU492" s="155">
        <v>0</v>
      </c>
      <c r="AV492" s="155">
        <v>0</v>
      </c>
      <c r="AW492" s="155">
        <v>0</v>
      </c>
      <c r="AX492" s="155">
        <v>0</v>
      </c>
      <c r="AY492" s="155">
        <v>32000</v>
      </c>
      <c r="AZ492" s="155">
        <v>0</v>
      </c>
      <c r="BA492" s="155">
        <v>0</v>
      </c>
      <c r="BB492" s="155">
        <v>32000</v>
      </c>
      <c r="BC492" s="103">
        <v>0</v>
      </c>
      <c r="BD492" s="103">
        <v>32000</v>
      </c>
      <c r="BE492" s="103">
        <v>0</v>
      </c>
      <c r="BF492" s="103">
        <v>0</v>
      </c>
      <c r="BG492" s="103">
        <v>0</v>
      </c>
      <c r="BH492" s="103">
        <v>0</v>
      </c>
      <c r="BI492" s="103">
        <v>0</v>
      </c>
      <c r="BJ492" s="103">
        <v>0</v>
      </c>
      <c r="BK492" s="103">
        <v>0</v>
      </c>
      <c r="BL492" s="103">
        <v>0</v>
      </c>
      <c r="BM492" s="103">
        <v>0</v>
      </c>
      <c r="BN492" s="103">
        <v>0</v>
      </c>
      <c r="BO492" s="82">
        <f>SUM(ERP_34[[#This Row],[2026 AP01]:[2026 AP12]])</f>
        <v>32000</v>
      </c>
    </row>
    <row r="493" spans="1:67">
      <c r="A493" s="66" t="s">
        <v>2631</v>
      </c>
      <c r="B493" s="66" t="str">
        <f>_xlfn.TEXTJOIN("_",,ERP_34[[#This Row],[LT Member -1*]],ERP_34[[#This Row],[Expense Category]],ERP_34[[#This Row],[Project Code*]])</f>
        <v>Ganesan, Srinivasan_SOFTWARE_IT-SFT1266-86-OG-US</v>
      </c>
      <c r="C493" s="67" t="s">
        <v>1136</v>
      </c>
      <c r="D493" s="67" t="s">
        <v>1345</v>
      </c>
      <c r="E493" s="67" t="s">
        <v>1344</v>
      </c>
      <c r="F493" s="67" t="s">
        <v>1346</v>
      </c>
      <c r="G493" s="68" t="s">
        <v>639</v>
      </c>
      <c r="H493" s="106" t="s">
        <v>2632</v>
      </c>
      <c r="I493" s="70"/>
      <c r="J493" s="70"/>
      <c r="K493" s="70" t="s">
        <v>922</v>
      </c>
      <c r="L493" s="70"/>
      <c r="M493" s="70"/>
      <c r="N493" s="70"/>
      <c r="O493" s="67" t="s">
        <v>25</v>
      </c>
      <c r="P493" s="67"/>
      <c r="Q493" s="71"/>
      <c r="R493" s="72">
        <v>5000</v>
      </c>
      <c r="S493" s="73">
        <v>5000</v>
      </c>
      <c r="T493" s="73">
        <v>5000</v>
      </c>
      <c r="U493" s="71">
        <f>ERP_34[[#This Row],[LE2 Final Submission]]-ERP_34[[#This Row],[LE3 Final Submission]]</f>
        <v>0</v>
      </c>
      <c r="V493" s="74"/>
      <c r="W493" s="75"/>
      <c r="X493" s="75"/>
      <c r="Y493" s="76"/>
      <c r="Z493" s="76"/>
      <c r="AA493" s="76"/>
      <c r="AB493" s="76"/>
      <c r="AC493" s="76"/>
      <c r="AD493" s="76">
        <v>5000</v>
      </c>
      <c r="AE493" s="109">
        <v>0</v>
      </c>
      <c r="AF493" s="109">
        <v>0</v>
      </c>
      <c r="AG493" s="109">
        <v>0</v>
      </c>
      <c r="AH493" s="77">
        <f t="shared" si="19"/>
        <v>5000</v>
      </c>
      <c r="AI493" s="108">
        <f>ERP_34[[#This Row],[2026 Working Total]]-ERP_34[[#This Row],[2026 LE0]]</f>
        <v>0</v>
      </c>
      <c r="AJ493" s="79"/>
      <c r="AK493" s="79"/>
      <c r="AL4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3" s="80"/>
      <c r="AN493" s="79">
        <f>ERP_34[[#This Row],[2026 Working Total to Budget/LE]]-ERP_34[[#This Row],[Giveback]]</f>
        <v>0</v>
      </c>
      <c r="AO493" s="81"/>
      <c r="AP493" s="81"/>
      <c r="AQ493" s="81"/>
      <c r="AR493" s="81"/>
      <c r="AS493" s="81"/>
      <c r="AT493" s="81"/>
      <c r="AU493" s="81"/>
      <c r="AV493" s="81"/>
      <c r="AW493" s="81"/>
      <c r="AX493" s="81">
        <v>5000</v>
      </c>
      <c r="AY493" s="81">
        <v>0</v>
      </c>
      <c r="AZ493" s="81">
        <v>0</v>
      </c>
      <c r="BA493" s="81">
        <v>0</v>
      </c>
      <c r="BB493" s="81">
        <v>5000</v>
      </c>
      <c r="BC493" s="79"/>
      <c r="BD493" s="79"/>
      <c r="BE493" s="79"/>
      <c r="BF493" s="79"/>
      <c r="BG493" s="79"/>
      <c r="BH493" s="79"/>
      <c r="BI493" s="79"/>
      <c r="BJ493" s="79"/>
      <c r="BK493" s="79">
        <v>5000</v>
      </c>
      <c r="BL493" s="79">
        <v>0</v>
      </c>
      <c r="BM493" s="79">
        <v>0</v>
      </c>
      <c r="BN493" s="79">
        <v>0</v>
      </c>
      <c r="BO493" s="79">
        <v>5000</v>
      </c>
    </row>
    <row r="494" spans="1:67">
      <c r="A494" s="66" t="s">
        <v>2633</v>
      </c>
      <c r="B494" s="66" t="str">
        <f>_xlfn.TEXTJOIN("_",,ERP_34[[#This Row],[LT Member -1*]],ERP_34[[#This Row],[Expense Category]],ERP_34[[#This Row],[Project Code*]])</f>
        <v>Ganesan, Srinivasan_SOFTWARE_IT-SFT1267-86-OG-US</v>
      </c>
      <c r="C494" s="67" t="s">
        <v>1136</v>
      </c>
      <c r="D494" s="67" t="s">
        <v>1345</v>
      </c>
      <c r="E494" s="67" t="s">
        <v>1344</v>
      </c>
      <c r="F494" s="67" t="s">
        <v>1346</v>
      </c>
      <c r="G494" s="68" t="s">
        <v>639</v>
      </c>
      <c r="H494" s="106" t="s">
        <v>2634</v>
      </c>
      <c r="I494" s="70"/>
      <c r="J494" s="70"/>
      <c r="K494" s="70" t="s">
        <v>924</v>
      </c>
      <c r="L494" s="70"/>
      <c r="M494" s="70"/>
      <c r="N494" s="70"/>
      <c r="O494" s="67" t="s">
        <v>25</v>
      </c>
      <c r="P494" s="67"/>
      <c r="Q494" s="71"/>
      <c r="R494" s="72">
        <v>6000</v>
      </c>
      <c r="S494" s="73">
        <v>4500</v>
      </c>
      <c r="T494" s="73">
        <v>6000</v>
      </c>
      <c r="U494" s="71">
        <f>ERP_34[[#This Row],[LE2 Final Submission]]-ERP_34[[#This Row],[LE3 Final Submission]]</f>
        <v>-1500</v>
      </c>
      <c r="V494" s="74"/>
      <c r="W494" s="75"/>
      <c r="X494" s="75"/>
      <c r="Y494" s="76"/>
      <c r="Z494" s="76"/>
      <c r="AA494" s="76">
        <v>1500</v>
      </c>
      <c r="AB494" s="109">
        <v>0</v>
      </c>
      <c r="AC494" s="109">
        <v>0</v>
      </c>
      <c r="AD494" s="76">
        <v>1500</v>
      </c>
      <c r="AE494" s="109">
        <v>0</v>
      </c>
      <c r="AF494" s="109">
        <v>0</v>
      </c>
      <c r="AG494" s="76">
        <v>1500</v>
      </c>
      <c r="AH494" s="77">
        <f t="shared" si="19"/>
        <v>4500</v>
      </c>
      <c r="AI494" s="108">
        <f>ERP_34[[#This Row],[2026 Working Total]]-ERP_34[[#This Row],[2026 LE0]]</f>
        <v>-1500</v>
      </c>
      <c r="AJ494" s="79"/>
      <c r="AK494" s="79"/>
      <c r="AL49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4" s="80"/>
      <c r="AN494" s="79">
        <f>ERP_34[[#This Row],[2026 Working Total to Budget/LE]]-ERP_34[[#This Row],[Giveback]]</f>
        <v>-1500</v>
      </c>
      <c r="AO494" s="81"/>
      <c r="AP494" s="81"/>
      <c r="AQ494" s="81"/>
      <c r="AR494" s="81"/>
      <c r="AS494" s="81"/>
      <c r="AT494" s="81"/>
      <c r="AU494" s="81">
        <v>1500</v>
      </c>
      <c r="AV494" s="81">
        <v>0</v>
      </c>
      <c r="AW494" s="81">
        <v>0</v>
      </c>
      <c r="AX494" s="81">
        <v>1500</v>
      </c>
      <c r="AY494" s="81">
        <v>0</v>
      </c>
      <c r="AZ494" s="81">
        <v>0</v>
      </c>
      <c r="BA494" s="81">
        <v>1500</v>
      </c>
      <c r="BB494" s="81">
        <v>4500</v>
      </c>
      <c r="BC494" s="79"/>
      <c r="BD494" s="79"/>
      <c r="BE494" s="79"/>
      <c r="BF494" s="79"/>
      <c r="BG494" s="79"/>
      <c r="BH494" s="79">
        <v>1500</v>
      </c>
      <c r="BI494" s="79">
        <v>0</v>
      </c>
      <c r="BJ494" s="79">
        <v>0</v>
      </c>
      <c r="BK494" s="79">
        <v>1500</v>
      </c>
      <c r="BL494" s="79">
        <v>0</v>
      </c>
      <c r="BM494" s="79">
        <v>0</v>
      </c>
      <c r="BN494" s="79">
        <v>1500</v>
      </c>
      <c r="BO494" s="79">
        <v>4500</v>
      </c>
    </row>
    <row r="495" spans="1:67">
      <c r="A495" s="82" t="s">
        <v>2635</v>
      </c>
      <c r="B495" s="83" t="str">
        <f>_xlfn.TEXTJOIN("_",,ERP_34[[#This Row],[LT Member -1*]],ERP_34[[#This Row],[Expense Category]],ERP_34[[#This Row],[Project Code*]])</f>
        <v>Ganesan, Srinivasan_SOFTWARE_IT-SFT1269-86-OG-US</v>
      </c>
      <c r="C495" s="67" t="s">
        <v>2959</v>
      </c>
      <c r="D495" s="84" t="s">
        <v>1345</v>
      </c>
      <c r="E495" s="85" t="s">
        <v>1344</v>
      </c>
      <c r="F495" s="68" t="s">
        <v>1346</v>
      </c>
      <c r="G495" s="85" t="s">
        <v>639</v>
      </c>
      <c r="H495" s="110" t="s">
        <v>2636</v>
      </c>
      <c r="I495" s="67"/>
      <c r="J495" s="67"/>
      <c r="K495" s="91" t="s">
        <v>926</v>
      </c>
      <c r="L495" s="111"/>
      <c r="M495" s="70"/>
      <c r="N495" s="70" t="s">
        <v>1710</v>
      </c>
      <c r="O495" s="91" t="s">
        <v>863</v>
      </c>
      <c r="P495" s="70" t="s">
        <v>2639</v>
      </c>
      <c r="Q495" s="195"/>
      <c r="R495" s="94">
        <v>111372.91</v>
      </c>
      <c r="S495" s="95">
        <v>0</v>
      </c>
      <c r="T495" s="190">
        <v>111372.91</v>
      </c>
      <c r="U495" s="191">
        <f>ERP_34[[#This Row],[LE2 Final Submission]]-ERP_34[[#This Row],[LE3 Final Submission]]</f>
        <v>-111372.91</v>
      </c>
      <c r="V495" s="98"/>
      <c r="W495" s="99"/>
      <c r="X495" s="99"/>
      <c r="Y495" s="100">
        <v>0</v>
      </c>
      <c r="Z495" s="100">
        <v>0</v>
      </c>
      <c r="AA495" s="100">
        <v>0</v>
      </c>
      <c r="AB495" s="100">
        <v>0</v>
      </c>
      <c r="AC495" s="100">
        <v>0</v>
      </c>
      <c r="AD495" s="100">
        <v>0</v>
      </c>
      <c r="AE495" s="100">
        <f>115000-115000</f>
        <v>0</v>
      </c>
      <c r="AF495" s="100">
        <v>0</v>
      </c>
      <c r="AG495" s="80"/>
      <c r="AH495" s="201">
        <f t="shared" si="19"/>
        <v>0</v>
      </c>
      <c r="AI495" s="105">
        <f>ERP_34[[#This Row],[2026 Working Total]]-ERP_34[[#This Row],[2026 LE0]]</f>
        <v>-111372.91</v>
      </c>
      <c r="AJ495" s="79"/>
      <c r="AK495" s="79"/>
      <c r="AL49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5" s="80"/>
      <c r="AN495" s="79">
        <f>ERP_34[[#This Row],[2026 Working Total to Budget/LE]]-ERP_34[[#This Row],[Giveback]]</f>
        <v>-111372.91</v>
      </c>
      <c r="AO495" s="81" t="s">
        <v>2640</v>
      </c>
      <c r="AP495" s="81"/>
      <c r="AQ495" s="81"/>
      <c r="AR495" s="81"/>
      <c r="AS495" s="81">
        <v>0</v>
      </c>
      <c r="AT495" s="81">
        <v>0</v>
      </c>
      <c r="AU495" s="81">
        <v>0</v>
      </c>
      <c r="AV495" s="81">
        <v>0</v>
      </c>
      <c r="AW495" s="81">
        <v>0</v>
      </c>
      <c r="AX495" s="81">
        <v>0</v>
      </c>
      <c r="AY495" s="81">
        <v>0</v>
      </c>
      <c r="AZ495" s="81">
        <v>0</v>
      </c>
      <c r="BA495" s="81"/>
      <c r="BB495" s="81">
        <v>0</v>
      </c>
      <c r="BC495" s="103">
        <v>111372.91</v>
      </c>
      <c r="BD495" s="103">
        <v>0</v>
      </c>
      <c r="BE495" s="103">
        <v>0</v>
      </c>
      <c r="BF495" s="103">
        <v>0</v>
      </c>
      <c r="BG495" s="103">
        <v>0</v>
      </c>
      <c r="BH495" s="103">
        <v>0</v>
      </c>
      <c r="BI495" s="103">
        <v>0</v>
      </c>
      <c r="BJ495" s="103">
        <v>0</v>
      </c>
      <c r="BK495" s="103">
        <v>0</v>
      </c>
      <c r="BL495" s="103">
        <v>0</v>
      </c>
      <c r="BM495" s="103">
        <v>0</v>
      </c>
      <c r="BN495" s="103">
        <v>0</v>
      </c>
      <c r="BO495" s="82">
        <f>SUM(ERP_34[[#This Row],[2026 AP01]:[2026 AP12]])</f>
        <v>111372.91</v>
      </c>
    </row>
    <row r="496" spans="1:67">
      <c r="A496" s="82" t="s">
        <v>2641</v>
      </c>
      <c r="B496" s="83" t="str">
        <f>_xlfn.TEXTJOIN("_",,ERP_34[[#This Row],[LT Member -1*]],ERP_34[[#This Row],[Expense Category]],ERP_34[[#This Row],[Project Code*]])</f>
        <v>Ganesan, Srinivasan_SOFTWARE_IT-SFT1269-86-OG-US/PF</v>
      </c>
      <c r="C496" s="67" t="s">
        <v>2959</v>
      </c>
      <c r="D496" s="84" t="s">
        <v>1345</v>
      </c>
      <c r="E496" s="85" t="s">
        <v>1344</v>
      </c>
      <c r="F496" s="68" t="s">
        <v>1346</v>
      </c>
      <c r="G496" s="85" t="s">
        <v>639</v>
      </c>
      <c r="H496" s="110" t="s">
        <v>2642</v>
      </c>
      <c r="I496" s="67"/>
      <c r="J496" s="67"/>
      <c r="K496" s="91" t="s">
        <v>928</v>
      </c>
      <c r="L496" s="111"/>
      <c r="M496" s="70"/>
      <c r="N496" s="70" t="s">
        <v>1710</v>
      </c>
      <c r="O496" s="91" t="s">
        <v>863</v>
      </c>
      <c r="P496" s="70" t="s">
        <v>2643</v>
      </c>
      <c r="Q496" s="195"/>
      <c r="R496" s="94">
        <v>-111372.91</v>
      </c>
      <c r="S496" s="95">
        <v>0</v>
      </c>
      <c r="T496" s="190">
        <v>-111372.91</v>
      </c>
      <c r="U496" s="191">
        <f>ERP_34[[#This Row],[LE2 Final Submission]]-ERP_34[[#This Row],[LE3 Final Submission]]</f>
        <v>111372.91</v>
      </c>
      <c r="V496" s="98"/>
      <c r="W496" s="99"/>
      <c r="X496" s="99"/>
      <c r="Y496" s="100">
        <v>0</v>
      </c>
      <c r="Z496" s="100">
        <v>0</v>
      </c>
      <c r="AA496" s="100">
        <v>0</v>
      </c>
      <c r="AB496" s="100">
        <v>0</v>
      </c>
      <c r="AC496" s="100">
        <v>0</v>
      </c>
      <c r="AD496" s="100">
        <v>0</v>
      </c>
      <c r="AE496" s="100">
        <f>-115000+115000</f>
        <v>0</v>
      </c>
      <c r="AF496" s="100">
        <v>0</v>
      </c>
      <c r="AG496" s="100">
        <v>0</v>
      </c>
      <c r="AH496" s="201">
        <f t="shared" si="19"/>
        <v>0</v>
      </c>
      <c r="AI496" s="105">
        <f>ERP_34[[#This Row],[2026 Working Total]]-ERP_34[[#This Row],[2026 LE0]]</f>
        <v>111372.91</v>
      </c>
      <c r="AJ496" s="79"/>
      <c r="AK496" s="79"/>
      <c r="AL4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6" s="80"/>
      <c r="AN496" s="79">
        <f>ERP_34[[#This Row],[2026 Working Total to Budget/LE]]-ERP_34[[#This Row],[Giveback]]</f>
        <v>111372.91</v>
      </c>
      <c r="AO496" s="81" t="s">
        <v>2640</v>
      </c>
      <c r="AP496" s="81"/>
      <c r="AQ496" s="81"/>
      <c r="AR496" s="81"/>
      <c r="AS496" s="81">
        <v>0</v>
      </c>
      <c r="AT496" s="81">
        <v>0</v>
      </c>
      <c r="AU496" s="81">
        <v>0</v>
      </c>
      <c r="AV496" s="81">
        <v>0</v>
      </c>
      <c r="AW496" s="81">
        <v>0</v>
      </c>
      <c r="AX496" s="81">
        <v>0</v>
      </c>
      <c r="AY496" s="81">
        <v>0</v>
      </c>
      <c r="AZ496" s="81">
        <v>0</v>
      </c>
      <c r="BA496" s="81">
        <v>0</v>
      </c>
      <c r="BB496" s="81">
        <v>0</v>
      </c>
      <c r="BC496" s="103">
        <v>-111372.91</v>
      </c>
      <c r="BD496" s="103">
        <v>0</v>
      </c>
      <c r="BE496" s="103">
        <v>0</v>
      </c>
      <c r="BF496" s="103">
        <v>0</v>
      </c>
      <c r="BG496" s="103">
        <v>0</v>
      </c>
      <c r="BH496" s="103">
        <v>0</v>
      </c>
      <c r="BI496" s="103">
        <v>0</v>
      </c>
      <c r="BJ496" s="103">
        <v>0</v>
      </c>
      <c r="BK496" s="103">
        <v>0</v>
      </c>
      <c r="BL496" s="103">
        <v>0</v>
      </c>
      <c r="BM496" s="103">
        <v>0</v>
      </c>
      <c r="BN496" s="103">
        <v>0</v>
      </c>
      <c r="BO496" s="82">
        <f>SUM(ERP_34[[#This Row],[2026 AP01]:[2026 AP12]])</f>
        <v>-111372.91</v>
      </c>
    </row>
    <row r="497" spans="1:67">
      <c r="A497" s="66" t="s">
        <v>2522</v>
      </c>
      <c r="B497" s="66" t="str">
        <f>_xlfn.TEXTJOIN("_",,ERP_34[[#This Row],[LT Member -1*]],ERP_34[[#This Row],[Expense Category]],ERP_34[[#This Row],[Project Code*]])</f>
        <v>Dougherty, Chris_SOFTWARE_IT-SFT1270-86-OG-US</v>
      </c>
      <c r="C497" s="67" t="s">
        <v>1136</v>
      </c>
      <c r="D497" s="67" t="s">
        <v>1135</v>
      </c>
      <c r="E497" s="67" t="s">
        <v>1135</v>
      </c>
      <c r="F497" s="67" t="s">
        <v>1137</v>
      </c>
      <c r="G497" s="68" t="s">
        <v>639</v>
      </c>
      <c r="H497" s="106" t="s">
        <v>2523</v>
      </c>
      <c r="I497" s="70"/>
      <c r="J497" s="70"/>
      <c r="K497" s="70" t="s">
        <v>851</v>
      </c>
      <c r="L497" s="70" t="s">
        <v>1153</v>
      </c>
      <c r="M497" s="70"/>
      <c r="N497" s="70"/>
      <c r="O497" s="67" t="s">
        <v>64</v>
      </c>
      <c r="P497" s="67"/>
      <c r="Q497" s="71"/>
      <c r="R497" s="72">
        <v>1527544</v>
      </c>
      <c r="S497" s="73">
        <v>1513628.4099999997</v>
      </c>
      <c r="T497" s="73">
        <v>1527544</v>
      </c>
      <c r="U497" s="71">
        <f>ERP_34[[#This Row],[LE2 Final Submission]]-ERP_34[[#This Row],[LE3 Final Submission]]</f>
        <v>-13915.590000000317</v>
      </c>
      <c r="V497" s="74"/>
      <c r="W497" s="75"/>
      <c r="X497" s="75">
        <v>367969.99</v>
      </c>
      <c r="Y497" s="76">
        <v>127295.38</v>
      </c>
      <c r="Z497" s="76">
        <v>127295.38</v>
      </c>
      <c r="AA497" s="76">
        <v>127295.38</v>
      </c>
      <c r="AB497" s="76">
        <v>127295.38</v>
      </c>
      <c r="AC497" s="76">
        <v>127295.38</v>
      </c>
      <c r="AD497" s="76">
        <v>127295.38</v>
      </c>
      <c r="AE497" s="76">
        <v>127295.38</v>
      </c>
      <c r="AF497" s="76">
        <v>127295.38</v>
      </c>
      <c r="AG497" s="76">
        <v>127295.38</v>
      </c>
      <c r="AH497" s="77">
        <f t="shared" si="19"/>
        <v>1513628.4099999997</v>
      </c>
      <c r="AI497" s="127">
        <f>ERP_34[[#This Row],[2026 Working Total]]-ERP_34[[#This Row],[2026 LE0]]</f>
        <v>-13915.590000000317</v>
      </c>
      <c r="AJ497" s="79"/>
      <c r="AK497" s="79"/>
      <c r="AL4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7" s="80"/>
      <c r="AN497" s="79">
        <f>ERP_34[[#This Row],[2026 Working Total to Budget/LE]]-ERP_34[[#This Row],[Giveback]]</f>
        <v>-13915.590000000317</v>
      </c>
      <c r="AO497" s="81"/>
      <c r="AP497" s="81"/>
      <c r="AQ497" s="81"/>
      <c r="AR497" s="81">
        <v>367969.99</v>
      </c>
      <c r="AS497" s="81">
        <v>127295.38</v>
      </c>
      <c r="AT497" s="81">
        <v>127295.38</v>
      </c>
      <c r="AU497" s="81">
        <v>127295.38</v>
      </c>
      <c r="AV497" s="81">
        <v>127295.38</v>
      </c>
      <c r="AW497" s="81">
        <v>127295.38</v>
      </c>
      <c r="AX497" s="81">
        <v>127295.38</v>
      </c>
      <c r="AY497" s="81">
        <v>127295.38</v>
      </c>
      <c r="AZ497" s="81">
        <v>127295.38</v>
      </c>
      <c r="BA497" s="81">
        <v>127295.38</v>
      </c>
      <c r="BB497" s="81">
        <v>1513628.4099999997</v>
      </c>
      <c r="BC497" s="79"/>
      <c r="BD497" s="79"/>
      <c r="BE497" s="79">
        <v>367969.99</v>
      </c>
      <c r="BF497" s="79">
        <v>127295.38</v>
      </c>
      <c r="BG497" s="79">
        <v>127295.38</v>
      </c>
      <c r="BH497" s="79">
        <v>127295.38</v>
      </c>
      <c r="BI497" s="79">
        <v>127295.38</v>
      </c>
      <c r="BJ497" s="79">
        <v>127295.38</v>
      </c>
      <c r="BK497" s="79">
        <v>127295.38</v>
      </c>
      <c r="BL497" s="79">
        <v>127295.38</v>
      </c>
      <c r="BM497" s="79">
        <v>127295.38</v>
      </c>
      <c r="BN497" s="79">
        <v>127295.38</v>
      </c>
      <c r="BO497" s="79">
        <v>1513628.4099999997</v>
      </c>
    </row>
    <row r="498" spans="1:67">
      <c r="A498" s="66" t="s">
        <v>2524</v>
      </c>
      <c r="B498" s="66" t="str">
        <f>_xlfn.TEXTJOIN("_",,ERP_34[[#This Row],[LT Member -1*]],ERP_34[[#This Row],[Expense Category]],ERP_34[[#This Row],[Project Code*]])</f>
        <v>McCormick, Pete_SOFTWARE_IT-SFT1270-86-OG-US</v>
      </c>
      <c r="C498" s="67" t="s">
        <v>1136</v>
      </c>
      <c r="D498" s="67" t="s">
        <v>1135</v>
      </c>
      <c r="E498" s="67" t="s">
        <v>1145</v>
      </c>
      <c r="F498" s="67" t="s">
        <v>1137</v>
      </c>
      <c r="G498" s="68" t="s">
        <v>639</v>
      </c>
      <c r="H498" s="106" t="s">
        <v>2523</v>
      </c>
      <c r="I498" s="70"/>
      <c r="J498" s="70"/>
      <c r="K498" s="70" t="s">
        <v>851</v>
      </c>
      <c r="L498" s="70" t="s">
        <v>1153</v>
      </c>
      <c r="M498" s="70"/>
      <c r="N498" s="70"/>
      <c r="O498" s="67" t="s">
        <v>64</v>
      </c>
      <c r="P498" s="67"/>
      <c r="Q498" s="137"/>
      <c r="R498" s="138">
        <v>0</v>
      </c>
      <c r="S498" s="139">
        <v>0</v>
      </c>
      <c r="T498" s="139">
        <v>0</v>
      </c>
      <c r="U498" s="137">
        <f>ERP_34[[#This Row],[LE2 Final Submission]]-ERP_34[[#This Row],[LE3 Final Submission]]</f>
        <v>0</v>
      </c>
      <c r="V498" s="74">
        <v>127295.39</v>
      </c>
      <c r="W498" s="75">
        <v>113379.22</v>
      </c>
      <c r="X498" s="75">
        <v>-240674.61</v>
      </c>
      <c r="Y498" s="76"/>
      <c r="Z498" s="76"/>
      <c r="AA498" s="76"/>
      <c r="AB498" s="76"/>
      <c r="AC498" s="76"/>
      <c r="AD498" s="76"/>
      <c r="AE498" s="76"/>
      <c r="AF498" s="76"/>
      <c r="AG498" s="76"/>
      <c r="AH498" s="77">
        <f t="shared" si="19"/>
        <v>0</v>
      </c>
      <c r="AI498" s="108">
        <f>ERP_34[[#This Row],[2026 Working Total]]-ERP_34[[#This Row],[2026 LE0]]</f>
        <v>0</v>
      </c>
      <c r="AJ498" s="79"/>
      <c r="AK498" s="79"/>
      <c r="AL49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8" s="80"/>
      <c r="AN498" s="79">
        <f>ERP_34[[#This Row],[2026 Working Total to Budget/LE]]-ERP_34[[#This Row],[Giveback]]</f>
        <v>0</v>
      </c>
      <c r="AO498" s="81"/>
      <c r="AP498" s="81">
        <v>127295.39</v>
      </c>
      <c r="AQ498" s="81">
        <v>113379.22</v>
      </c>
      <c r="AR498" s="81">
        <v>-240674.61</v>
      </c>
      <c r="AS498" s="81"/>
      <c r="AT498" s="81"/>
      <c r="AU498" s="81"/>
      <c r="AV498" s="81"/>
      <c r="AW498" s="81"/>
      <c r="AX498" s="81"/>
      <c r="AY498" s="81"/>
      <c r="AZ498" s="81"/>
      <c r="BA498" s="81"/>
      <c r="BB498" s="81">
        <v>0</v>
      </c>
      <c r="BC498" s="79">
        <v>127295.39</v>
      </c>
      <c r="BD498" s="79">
        <v>113379.22</v>
      </c>
      <c r="BE498" s="79">
        <v>-240674.61</v>
      </c>
      <c r="BF498" s="79"/>
      <c r="BG498" s="79"/>
      <c r="BH498" s="79"/>
      <c r="BI498" s="79"/>
      <c r="BJ498" s="79"/>
      <c r="BK498" s="79"/>
      <c r="BL498" s="79"/>
      <c r="BM498" s="79"/>
      <c r="BN498" s="79"/>
      <c r="BO498" s="79">
        <v>0</v>
      </c>
    </row>
    <row r="499" spans="1:67">
      <c r="A499" s="66" t="s">
        <v>2644</v>
      </c>
      <c r="B499" s="66" t="str">
        <f>_xlfn.TEXTJOIN("_",,ERP_34[[#This Row],[LT Member -1*]],ERP_34[[#This Row],[Expense Category]],ERP_34[[#This Row],[Project Code*]])</f>
        <v>Ganesan, Srinivasan_SOFTWARE_IT-SFT1281-86-OG-US</v>
      </c>
      <c r="C499" s="67" t="s">
        <v>1136</v>
      </c>
      <c r="D499" s="67" t="s">
        <v>1345</v>
      </c>
      <c r="E499" s="67" t="s">
        <v>1344</v>
      </c>
      <c r="F499" s="67" t="s">
        <v>1346</v>
      </c>
      <c r="G499" s="68" t="s">
        <v>639</v>
      </c>
      <c r="H499" s="106" t="s">
        <v>2645</v>
      </c>
      <c r="I499" s="70"/>
      <c r="J499" s="70"/>
      <c r="K499" s="70" t="s">
        <v>930</v>
      </c>
      <c r="L499" s="70"/>
      <c r="M499" s="70"/>
      <c r="N499" s="70"/>
      <c r="O499" s="67" t="s">
        <v>677</v>
      </c>
      <c r="P499" s="67"/>
      <c r="Q499" s="71"/>
      <c r="R499" s="72">
        <v>0</v>
      </c>
      <c r="S499" s="73">
        <v>227</v>
      </c>
      <c r="T499" s="73">
        <v>0</v>
      </c>
      <c r="U499" s="71">
        <f>ERP_34[[#This Row],[LE2 Final Submission]]-ERP_34[[#This Row],[LE3 Final Submission]]</f>
        <v>227</v>
      </c>
      <c r="V499" s="74"/>
      <c r="W499" s="75">
        <v>227</v>
      </c>
      <c r="X499" s="124">
        <v>0</v>
      </c>
      <c r="Y499" s="109">
        <v>0</v>
      </c>
      <c r="Z499" s="109">
        <v>0</v>
      </c>
      <c r="AA499" s="109">
        <v>0</v>
      </c>
      <c r="AB499" s="109">
        <v>0</v>
      </c>
      <c r="AC499" s="109">
        <v>0</v>
      </c>
      <c r="AD499" s="109">
        <v>0</v>
      </c>
      <c r="AE499" s="109">
        <v>0</v>
      </c>
      <c r="AF499" s="109">
        <v>0</v>
      </c>
      <c r="AG499" s="109">
        <v>0</v>
      </c>
      <c r="AH499" s="77">
        <f t="shared" si="19"/>
        <v>227</v>
      </c>
      <c r="AI499" s="108">
        <f>ERP_34[[#This Row],[2026 Working Total]]-ERP_34[[#This Row],[2026 LE0]]</f>
        <v>227</v>
      </c>
      <c r="AJ499" s="79"/>
      <c r="AK499" s="79"/>
      <c r="AL49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499" s="80"/>
      <c r="AN499" s="79">
        <f>ERP_34[[#This Row],[2026 Working Total to Budget/LE]]-ERP_34[[#This Row],[Giveback]]</f>
        <v>227</v>
      </c>
      <c r="AO499" s="81"/>
      <c r="AP499" s="81"/>
      <c r="AQ499" s="81">
        <v>227</v>
      </c>
      <c r="AR499" s="81">
        <v>0</v>
      </c>
      <c r="AS499" s="81">
        <v>0</v>
      </c>
      <c r="AT499" s="81">
        <v>0</v>
      </c>
      <c r="AU499" s="81">
        <v>0</v>
      </c>
      <c r="AV499" s="81">
        <v>0</v>
      </c>
      <c r="AW499" s="81">
        <v>0</v>
      </c>
      <c r="AX499" s="81">
        <v>0</v>
      </c>
      <c r="AY499" s="81">
        <v>0</v>
      </c>
      <c r="AZ499" s="81">
        <v>0</v>
      </c>
      <c r="BA499" s="81">
        <v>0</v>
      </c>
      <c r="BB499" s="81">
        <v>227</v>
      </c>
      <c r="BC499" s="79"/>
      <c r="BD499" s="79">
        <v>227</v>
      </c>
      <c r="BE499" s="79">
        <v>0</v>
      </c>
      <c r="BF499" s="79">
        <v>0</v>
      </c>
      <c r="BG499" s="79">
        <v>0</v>
      </c>
      <c r="BH499" s="79">
        <v>0</v>
      </c>
      <c r="BI499" s="79">
        <v>0</v>
      </c>
      <c r="BJ499" s="79">
        <v>0</v>
      </c>
      <c r="BK499" s="79">
        <v>0</v>
      </c>
      <c r="BL499" s="79">
        <v>0</v>
      </c>
      <c r="BM499" s="79">
        <v>0</v>
      </c>
      <c r="BN499" s="79">
        <v>0</v>
      </c>
      <c r="BO499" s="79">
        <v>227</v>
      </c>
    </row>
    <row r="500" spans="1:67">
      <c r="A500" s="66" t="s">
        <v>1946</v>
      </c>
      <c r="B500" s="66" t="str">
        <f>_xlfn.TEXTJOIN("_",,ERP_34[[#This Row],[LT Member -1*]],ERP_34[[#This Row],[Expense Category]],ERP_34[[#This Row],[Project Code*]])</f>
        <v>Dougherty, Chris_MANAGED SERVICES_IT-SFT1282-86-OG-US</v>
      </c>
      <c r="C500" s="67" t="s">
        <v>1136</v>
      </c>
      <c r="D500" s="67" t="s">
        <v>1135</v>
      </c>
      <c r="E500" s="67" t="s">
        <v>1135</v>
      </c>
      <c r="F500" s="67" t="s">
        <v>1137</v>
      </c>
      <c r="G500" s="68" t="s">
        <v>389</v>
      </c>
      <c r="H500" s="106" t="s">
        <v>1947</v>
      </c>
      <c r="I500" s="70"/>
      <c r="J500" s="70"/>
      <c r="K500" s="70" t="s">
        <v>486</v>
      </c>
      <c r="L500" s="70" t="s">
        <v>1153</v>
      </c>
      <c r="M500" s="70"/>
      <c r="N500" s="70"/>
      <c r="O500" s="67" t="s">
        <v>487</v>
      </c>
      <c r="P500" s="67"/>
      <c r="Q500" s="71"/>
      <c r="R500" s="72">
        <v>-608600</v>
      </c>
      <c r="S500" s="73">
        <v>-597160</v>
      </c>
      <c r="T500" s="73">
        <v>-608600</v>
      </c>
      <c r="U500" s="71">
        <f>ERP_34[[#This Row],[LE2 Final Submission]]-ERP_34[[#This Row],[LE3 Final Submission]]</f>
        <v>11440</v>
      </c>
      <c r="V500" s="74"/>
      <c r="W500" s="75"/>
      <c r="X500" s="75">
        <v>-123760</v>
      </c>
      <c r="Y500" s="76">
        <v>-52600</v>
      </c>
      <c r="Z500" s="76">
        <v>-52600</v>
      </c>
      <c r="AA500" s="76">
        <v>-52600</v>
      </c>
      <c r="AB500" s="76">
        <v>-52600</v>
      </c>
      <c r="AC500" s="76">
        <v>-52600</v>
      </c>
      <c r="AD500" s="76">
        <v>-52600</v>
      </c>
      <c r="AE500" s="76">
        <v>-52600</v>
      </c>
      <c r="AF500" s="76">
        <v>-52600</v>
      </c>
      <c r="AG500" s="76">
        <v>-52600</v>
      </c>
      <c r="AH500" s="77">
        <f t="shared" si="19"/>
        <v>-597160</v>
      </c>
      <c r="AI500" s="108">
        <f>ERP_34[[#This Row],[2026 Working Total]]-ERP_34[[#This Row],[2026 LE0]]</f>
        <v>11440</v>
      </c>
      <c r="AJ500" s="79"/>
      <c r="AK500" s="79"/>
      <c r="AL50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0" s="80"/>
      <c r="AN500" s="79">
        <f>ERP_34[[#This Row],[2026 Working Total to Budget/LE]]-ERP_34[[#This Row],[Giveback]]</f>
        <v>11440</v>
      </c>
      <c r="AO500" s="81"/>
      <c r="AP500" s="81"/>
      <c r="AQ500" s="81"/>
      <c r="AR500" s="81">
        <v>-123760</v>
      </c>
      <c r="AS500" s="81">
        <v>-52600</v>
      </c>
      <c r="AT500" s="81">
        <v>-52600</v>
      </c>
      <c r="AU500" s="81">
        <v>-52600</v>
      </c>
      <c r="AV500" s="81">
        <v>-52600</v>
      </c>
      <c r="AW500" s="81">
        <v>-52600</v>
      </c>
      <c r="AX500" s="81">
        <v>-52600</v>
      </c>
      <c r="AY500" s="81">
        <v>-52600</v>
      </c>
      <c r="AZ500" s="81">
        <v>-52600</v>
      </c>
      <c r="BA500" s="81">
        <v>-52600</v>
      </c>
      <c r="BB500" s="81">
        <v>-597160</v>
      </c>
      <c r="BC500" s="79"/>
      <c r="BD500" s="79"/>
      <c r="BE500" s="79">
        <v>-123760</v>
      </c>
      <c r="BF500" s="79">
        <v>-52600</v>
      </c>
      <c r="BG500" s="79">
        <v>-52600</v>
      </c>
      <c r="BH500" s="79">
        <v>-52600</v>
      </c>
      <c r="BI500" s="79">
        <v>-52600</v>
      </c>
      <c r="BJ500" s="79">
        <v>-52600</v>
      </c>
      <c r="BK500" s="79">
        <v>-52600</v>
      </c>
      <c r="BL500" s="79">
        <v>-52600</v>
      </c>
      <c r="BM500" s="79">
        <v>-52600</v>
      </c>
      <c r="BN500" s="79">
        <v>-52600</v>
      </c>
      <c r="BO500" s="79">
        <v>-597160</v>
      </c>
    </row>
    <row r="501" spans="1:67">
      <c r="A501" s="66" t="s">
        <v>1948</v>
      </c>
      <c r="B501" s="66" t="str">
        <f>_xlfn.TEXTJOIN("_",,ERP_34[[#This Row],[LT Member -1*]],ERP_34[[#This Row],[Expense Category]],ERP_34[[#This Row],[Project Code*]])</f>
        <v>McCormick, Pete_MANAGED SERVICES_IT-SFT1282-86-OG-US</v>
      </c>
      <c r="C501" s="67" t="s">
        <v>1136</v>
      </c>
      <c r="D501" s="67" t="s">
        <v>1135</v>
      </c>
      <c r="E501" s="67" t="s">
        <v>1145</v>
      </c>
      <c r="F501" s="67" t="s">
        <v>1137</v>
      </c>
      <c r="G501" s="68" t="s">
        <v>389</v>
      </c>
      <c r="H501" s="106" t="s">
        <v>1947</v>
      </c>
      <c r="I501" s="70"/>
      <c r="J501" s="70"/>
      <c r="K501" s="70" t="s">
        <v>486</v>
      </c>
      <c r="L501" s="70" t="s">
        <v>1153</v>
      </c>
      <c r="M501" s="70"/>
      <c r="N501" s="70"/>
      <c r="O501" s="67" t="s">
        <v>487</v>
      </c>
      <c r="P501" s="67"/>
      <c r="Q501" s="137"/>
      <c r="R501" s="138">
        <v>0</v>
      </c>
      <c r="S501" s="139">
        <v>0</v>
      </c>
      <c r="T501" s="139">
        <v>0</v>
      </c>
      <c r="U501" s="137">
        <f>ERP_34[[#This Row],[LE2 Final Submission]]-ERP_34[[#This Row],[LE3 Final Submission]]</f>
        <v>0</v>
      </c>
      <c r="V501" s="74"/>
      <c r="W501" s="75">
        <v>-68030</v>
      </c>
      <c r="X501" s="75">
        <v>68030</v>
      </c>
      <c r="Y501" s="76"/>
      <c r="Z501" s="76"/>
      <c r="AA501" s="76"/>
      <c r="AB501" s="76"/>
      <c r="AC501" s="76"/>
      <c r="AD501" s="76"/>
      <c r="AE501" s="76"/>
      <c r="AF501" s="76"/>
      <c r="AG501" s="76"/>
      <c r="AH501" s="77">
        <f t="shared" si="19"/>
        <v>0</v>
      </c>
      <c r="AI501" s="108">
        <f>ERP_34[[#This Row],[2026 Working Total]]-ERP_34[[#This Row],[2026 LE0]]</f>
        <v>0</v>
      </c>
      <c r="AJ501" s="79"/>
      <c r="AK501" s="79"/>
      <c r="AL50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1" s="80"/>
      <c r="AN501" s="79">
        <f>ERP_34[[#This Row],[2026 Working Total to Budget/LE]]-ERP_34[[#This Row],[Giveback]]</f>
        <v>0</v>
      </c>
      <c r="AO501" s="81"/>
      <c r="AP501" s="81"/>
      <c r="AQ501" s="81">
        <v>-68030</v>
      </c>
      <c r="AR501" s="81">
        <v>68030</v>
      </c>
      <c r="AS501" s="81"/>
      <c r="AT501" s="81"/>
      <c r="AU501" s="81"/>
      <c r="AV501" s="81"/>
      <c r="AW501" s="81"/>
      <c r="AX501" s="81"/>
      <c r="AY501" s="81"/>
      <c r="AZ501" s="81"/>
      <c r="BA501" s="81"/>
      <c r="BB501" s="81">
        <v>0</v>
      </c>
      <c r="BC501" s="79"/>
      <c r="BD501" s="79">
        <v>-68030</v>
      </c>
      <c r="BE501" s="79">
        <v>68030</v>
      </c>
      <c r="BF501" s="79"/>
      <c r="BG501" s="79"/>
      <c r="BH501" s="79"/>
      <c r="BI501" s="79"/>
      <c r="BJ501" s="79"/>
      <c r="BK501" s="79"/>
      <c r="BL501" s="79"/>
      <c r="BM501" s="79"/>
      <c r="BN501" s="79"/>
      <c r="BO501" s="79">
        <v>0</v>
      </c>
    </row>
    <row r="502" spans="1:67">
      <c r="A502" s="66" t="s">
        <v>2526</v>
      </c>
      <c r="B502" s="66" t="str">
        <f>_xlfn.TEXTJOIN("_",,ERP_34[[#This Row],[LT Member -1*]],ERP_34[[#This Row],[Expense Category]],ERP_34[[#This Row],[Project Code*]])</f>
        <v>Dougherty, Chris_SOFTWARE_IT-SFT1282-86-OG-US</v>
      </c>
      <c r="C502" s="67" t="s">
        <v>1136</v>
      </c>
      <c r="D502" s="67" t="s">
        <v>1135</v>
      </c>
      <c r="E502" s="67" t="s">
        <v>1135</v>
      </c>
      <c r="F502" s="67" t="s">
        <v>1137</v>
      </c>
      <c r="G502" s="68" t="s">
        <v>639</v>
      </c>
      <c r="H502" s="106" t="s">
        <v>1947</v>
      </c>
      <c r="I502" s="70"/>
      <c r="J502" s="70"/>
      <c r="K502" s="70" t="s">
        <v>486</v>
      </c>
      <c r="L502" s="70" t="s">
        <v>1153</v>
      </c>
      <c r="M502" s="70"/>
      <c r="N502" s="70"/>
      <c r="O502" s="67" t="s">
        <v>487</v>
      </c>
      <c r="P502" s="67"/>
      <c r="Q502" s="71"/>
      <c r="R502" s="72">
        <v>-937488</v>
      </c>
      <c r="S502" s="73">
        <v>-925916</v>
      </c>
      <c r="T502" s="73">
        <v>-937488</v>
      </c>
      <c r="U502" s="71">
        <f>ERP_34[[#This Row],[LE2 Final Submission]]-ERP_34[[#This Row],[LE3 Final Submission]]</f>
        <v>11572</v>
      </c>
      <c r="V502" s="74"/>
      <c r="W502" s="75"/>
      <c r="X502" s="75">
        <v>-222800</v>
      </c>
      <c r="Y502" s="76">
        <v>-78124</v>
      </c>
      <c r="Z502" s="76">
        <v>-78124</v>
      </c>
      <c r="AA502" s="76">
        <v>-78124</v>
      </c>
      <c r="AB502" s="76">
        <v>-78124</v>
      </c>
      <c r="AC502" s="76">
        <v>-78124</v>
      </c>
      <c r="AD502" s="76">
        <v>-78124</v>
      </c>
      <c r="AE502" s="76">
        <v>-78124</v>
      </c>
      <c r="AF502" s="76">
        <v>-78124</v>
      </c>
      <c r="AG502" s="76">
        <v>-78124</v>
      </c>
      <c r="AH502" s="77">
        <f t="shared" si="19"/>
        <v>-925916</v>
      </c>
      <c r="AI502" s="108">
        <f>ERP_34[[#This Row],[2026 Working Total]]-ERP_34[[#This Row],[2026 LE0]]</f>
        <v>11572</v>
      </c>
      <c r="AJ502" s="79"/>
      <c r="AK502" s="79"/>
      <c r="AL5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2" s="80"/>
      <c r="AN502" s="79">
        <f>ERP_34[[#This Row],[2026 Working Total to Budget/LE]]-ERP_34[[#This Row],[Giveback]]</f>
        <v>11572</v>
      </c>
      <c r="AO502" s="81"/>
      <c r="AP502" s="81"/>
      <c r="AQ502" s="81"/>
      <c r="AR502" s="81">
        <v>-222800</v>
      </c>
      <c r="AS502" s="81">
        <v>-78124</v>
      </c>
      <c r="AT502" s="81">
        <v>-78124</v>
      </c>
      <c r="AU502" s="81">
        <v>-78124</v>
      </c>
      <c r="AV502" s="81">
        <v>-78124</v>
      </c>
      <c r="AW502" s="81">
        <v>-78124</v>
      </c>
      <c r="AX502" s="81">
        <v>-78124</v>
      </c>
      <c r="AY502" s="81">
        <v>-78124</v>
      </c>
      <c r="AZ502" s="81">
        <v>-78124</v>
      </c>
      <c r="BA502" s="81">
        <v>-78124</v>
      </c>
      <c r="BB502" s="81">
        <v>-925916</v>
      </c>
      <c r="BC502" s="79"/>
      <c r="BD502" s="79"/>
      <c r="BE502" s="79">
        <v>-222800</v>
      </c>
      <c r="BF502" s="79">
        <v>-78124</v>
      </c>
      <c r="BG502" s="79">
        <v>-78124</v>
      </c>
      <c r="BH502" s="79">
        <v>-78124</v>
      </c>
      <c r="BI502" s="79">
        <v>-78124</v>
      </c>
      <c r="BJ502" s="79">
        <v>-78124</v>
      </c>
      <c r="BK502" s="79">
        <v>-78124</v>
      </c>
      <c r="BL502" s="79">
        <v>-78124</v>
      </c>
      <c r="BM502" s="79">
        <v>-78124</v>
      </c>
      <c r="BN502" s="79">
        <v>-78124</v>
      </c>
      <c r="BO502" s="79">
        <v>-925916</v>
      </c>
    </row>
    <row r="503" spans="1:67">
      <c r="A503" s="66" t="s">
        <v>2527</v>
      </c>
      <c r="B503" s="66" t="str">
        <f>_xlfn.TEXTJOIN("_",,ERP_34[[#This Row],[LT Member -1*]],ERP_34[[#This Row],[Expense Category]],ERP_34[[#This Row],[Project Code*]])</f>
        <v>McCormick, Pete_SOFTWARE_IT-SFT1282-86-OG-US</v>
      </c>
      <c r="C503" s="67" t="s">
        <v>1136</v>
      </c>
      <c r="D503" s="67" t="s">
        <v>1135</v>
      </c>
      <c r="E503" s="67" t="s">
        <v>1145</v>
      </c>
      <c r="F503" s="67" t="s">
        <v>1137</v>
      </c>
      <c r="G503" s="68" t="s">
        <v>639</v>
      </c>
      <c r="H503" s="106" t="s">
        <v>1947</v>
      </c>
      <c r="I503" s="70"/>
      <c r="J503" s="70"/>
      <c r="K503" s="70" t="s">
        <v>486</v>
      </c>
      <c r="L503" s="70" t="s">
        <v>1153</v>
      </c>
      <c r="M503" s="70"/>
      <c r="N503" s="70"/>
      <c r="O503" s="67" t="s">
        <v>487</v>
      </c>
      <c r="P503" s="67"/>
      <c r="Q503" s="137"/>
      <c r="R503" s="138">
        <v>0</v>
      </c>
      <c r="S503" s="139">
        <v>0</v>
      </c>
      <c r="T503" s="139">
        <v>0</v>
      </c>
      <c r="U503" s="137">
        <f>ERP_34[[#This Row],[LE2 Final Submission]]-ERP_34[[#This Row],[LE3 Final Submission]]</f>
        <v>0</v>
      </c>
      <c r="V503" s="74"/>
      <c r="W503" s="75">
        <v>-158800</v>
      </c>
      <c r="X503" s="75">
        <v>158800</v>
      </c>
      <c r="Y503" s="76"/>
      <c r="Z503" s="76"/>
      <c r="AA503" s="76"/>
      <c r="AB503" s="76"/>
      <c r="AC503" s="76"/>
      <c r="AD503" s="76"/>
      <c r="AE503" s="76"/>
      <c r="AF503" s="76"/>
      <c r="AG503" s="76"/>
      <c r="AH503" s="77">
        <f t="shared" si="19"/>
        <v>0</v>
      </c>
      <c r="AI503" s="108">
        <f>ERP_34[[#This Row],[2026 Working Total]]-ERP_34[[#This Row],[2026 LE0]]</f>
        <v>0</v>
      </c>
      <c r="AJ503" s="79"/>
      <c r="AK503" s="79"/>
      <c r="AL50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3" s="80"/>
      <c r="AN503" s="79">
        <f>ERP_34[[#This Row],[2026 Working Total to Budget/LE]]-ERP_34[[#This Row],[Giveback]]</f>
        <v>0</v>
      </c>
      <c r="AO503" s="81"/>
      <c r="AP503" s="81"/>
      <c r="AQ503" s="81">
        <v>-158800</v>
      </c>
      <c r="AR503" s="81">
        <v>158800</v>
      </c>
      <c r="AS503" s="81"/>
      <c r="AT503" s="81"/>
      <c r="AU503" s="81"/>
      <c r="AV503" s="81"/>
      <c r="AW503" s="81"/>
      <c r="AX503" s="81"/>
      <c r="AY503" s="81"/>
      <c r="AZ503" s="81"/>
      <c r="BA503" s="81"/>
      <c r="BB503" s="81">
        <v>0</v>
      </c>
      <c r="BC503" s="79"/>
      <c r="BD503" s="79">
        <v>-158800</v>
      </c>
      <c r="BE503" s="79">
        <v>158800</v>
      </c>
      <c r="BF503" s="79"/>
      <c r="BG503" s="79"/>
      <c r="BH503" s="79"/>
      <c r="BI503" s="79"/>
      <c r="BJ503" s="79"/>
      <c r="BK503" s="79"/>
      <c r="BL503" s="79"/>
      <c r="BM503" s="79"/>
      <c r="BN503" s="79"/>
      <c r="BO503" s="79">
        <v>0</v>
      </c>
    </row>
    <row r="504" spans="1:67">
      <c r="A504" s="82" t="s">
        <v>2529</v>
      </c>
      <c r="B504" s="83" t="str">
        <f>_xlfn.TEXTJOIN("_",,ERP_34[[#This Row],[LT Member -1*]],ERP_34[[#This Row],[Expense Category]],ERP_34[[#This Row],[Project Code*]])</f>
        <v>McCormick, Pete_SOFTWARE_IT-SFT1283-86-OG-US</v>
      </c>
      <c r="C504" s="67" t="s">
        <v>2959</v>
      </c>
      <c r="D504" s="84" t="s">
        <v>1135</v>
      </c>
      <c r="E504" s="85" t="s">
        <v>1145</v>
      </c>
      <c r="F504" s="68" t="s">
        <v>1137</v>
      </c>
      <c r="G504" s="85" t="s">
        <v>639</v>
      </c>
      <c r="H504" s="110" t="s">
        <v>2531</v>
      </c>
      <c r="I504" s="67"/>
      <c r="J504" s="67"/>
      <c r="K504" s="91" t="s">
        <v>854</v>
      </c>
      <c r="L504" s="111"/>
      <c r="M504" s="70"/>
      <c r="N504" s="70" t="s">
        <v>1710</v>
      </c>
      <c r="O504" s="91" t="s">
        <v>368</v>
      </c>
      <c r="P504" s="70" t="s">
        <v>1348</v>
      </c>
      <c r="Q504" s="195"/>
      <c r="R504" s="94">
        <v>40902.519999999997</v>
      </c>
      <c r="S504" s="95">
        <v>0</v>
      </c>
      <c r="T504" s="190">
        <v>40902.519999999997</v>
      </c>
      <c r="U504" s="191">
        <f>ERP_34[[#This Row],[LE2 Final Submission]]-ERP_34[[#This Row],[LE3 Final Submission]]</f>
        <v>-40902.519999999997</v>
      </c>
      <c r="V504" s="98"/>
      <c r="W504" s="99"/>
      <c r="X504" s="99"/>
      <c r="Y504" s="100">
        <v>0</v>
      </c>
      <c r="Z504" s="100">
        <v>0</v>
      </c>
      <c r="AA504" s="100">
        <v>0</v>
      </c>
      <c r="AB504" s="100">
        <v>0</v>
      </c>
      <c r="AC504" s="100">
        <v>0</v>
      </c>
      <c r="AD504" s="100">
        <v>0</v>
      </c>
      <c r="AE504" s="100">
        <v>0</v>
      </c>
      <c r="AF504" s="100">
        <v>0</v>
      </c>
      <c r="AG504" s="100">
        <v>0</v>
      </c>
      <c r="AH504" s="101">
        <f t="shared" si="19"/>
        <v>0</v>
      </c>
      <c r="AI504" s="108">
        <f>ERP_34[[#This Row],[2026 Working Total]]-ERP_34[[#This Row],[2026 LE0]]</f>
        <v>-40902.519999999997</v>
      </c>
      <c r="AJ504" s="79"/>
      <c r="AK504" s="79"/>
      <c r="AL50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4" s="80"/>
      <c r="AN504" s="79">
        <f>ERP_34[[#This Row],[2026 Working Total to Budget/LE]]-ERP_34[[#This Row],[Giveback]]</f>
        <v>-40902.519999999997</v>
      </c>
      <c r="AO504" s="81"/>
      <c r="AP504" s="81"/>
      <c r="AQ504" s="81"/>
      <c r="AR504" s="81"/>
      <c r="AS504" s="81">
        <v>0</v>
      </c>
      <c r="AT504" s="81">
        <v>0</v>
      </c>
      <c r="AU504" s="81">
        <v>0</v>
      </c>
      <c r="AV504" s="81">
        <v>0</v>
      </c>
      <c r="AW504" s="81">
        <v>0</v>
      </c>
      <c r="AX504" s="81">
        <v>0</v>
      </c>
      <c r="AY504" s="81">
        <v>0</v>
      </c>
      <c r="AZ504" s="81">
        <v>0</v>
      </c>
      <c r="BA504" s="81">
        <v>0</v>
      </c>
      <c r="BB504" s="81">
        <v>0</v>
      </c>
      <c r="BC504" s="103">
        <v>40902.519999999997</v>
      </c>
      <c r="BD504" s="103">
        <v>0</v>
      </c>
      <c r="BE504" s="103">
        <v>0</v>
      </c>
      <c r="BF504" s="103">
        <v>0</v>
      </c>
      <c r="BG504" s="103">
        <v>0</v>
      </c>
      <c r="BH504" s="103">
        <v>0</v>
      </c>
      <c r="BI504" s="103">
        <v>0</v>
      </c>
      <c r="BJ504" s="103">
        <v>0</v>
      </c>
      <c r="BK504" s="103">
        <v>0</v>
      </c>
      <c r="BL504" s="103">
        <v>0</v>
      </c>
      <c r="BM504" s="103">
        <v>0</v>
      </c>
      <c r="BN504" s="103">
        <v>0</v>
      </c>
      <c r="BO504" s="82">
        <f>SUM(ERP_34[[#This Row],[2026 AP01]:[2026 AP12]])</f>
        <v>40902.519999999997</v>
      </c>
    </row>
    <row r="505" spans="1:67">
      <c r="A505" s="82" t="s">
        <v>2533</v>
      </c>
      <c r="B505" s="83" t="str">
        <f>_xlfn.TEXTJOIN("_",,ERP_34[[#This Row],[LT Member -1*]],ERP_34[[#This Row],[Expense Category]],ERP_34[[#This Row],[Project Code*]])</f>
        <v>McCormick, Pete_SOFTWARE_IT-SFT1283-86-OG-US/PF</v>
      </c>
      <c r="C505" s="67" t="s">
        <v>2959</v>
      </c>
      <c r="D505" s="84" t="s">
        <v>1135</v>
      </c>
      <c r="E505" s="85" t="s">
        <v>1145</v>
      </c>
      <c r="F505" s="68" t="s">
        <v>1137</v>
      </c>
      <c r="G505" s="85" t="s">
        <v>639</v>
      </c>
      <c r="H505" s="110" t="s">
        <v>2535</v>
      </c>
      <c r="I505" s="67"/>
      <c r="J505" s="67"/>
      <c r="K505" s="91" t="s">
        <v>856</v>
      </c>
      <c r="L505" s="111"/>
      <c r="M505" s="70"/>
      <c r="N505" s="70" t="s">
        <v>1710</v>
      </c>
      <c r="O505" s="91" t="s">
        <v>368</v>
      </c>
      <c r="P505" s="70" t="s">
        <v>1348</v>
      </c>
      <c r="Q505" s="195"/>
      <c r="R505" s="94">
        <v>-40902.519999999997</v>
      </c>
      <c r="S505" s="95">
        <v>0</v>
      </c>
      <c r="T505" s="190">
        <v>-40902.519999999997</v>
      </c>
      <c r="U505" s="191">
        <f>ERP_34[[#This Row],[LE2 Final Submission]]-ERP_34[[#This Row],[LE3 Final Submission]]</f>
        <v>40902.519999999997</v>
      </c>
      <c r="V505" s="98"/>
      <c r="W505" s="99"/>
      <c r="X505" s="99"/>
      <c r="Y505" s="100">
        <v>0</v>
      </c>
      <c r="Z505" s="100">
        <v>0</v>
      </c>
      <c r="AA505" s="100">
        <v>0</v>
      </c>
      <c r="AB505" s="100">
        <v>0</v>
      </c>
      <c r="AC505" s="100">
        <v>0</v>
      </c>
      <c r="AD505" s="100">
        <v>0</v>
      </c>
      <c r="AE505" s="100">
        <v>0</v>
      </c>
      <c r="AF505" s="100">
        <v>0</v>
      </c>
      <c r="AG505" s="100">
        <v>0</v>
      </c>
      <c r="AH505" s="101">
        <f t="shared" si="19"/>
        <v>0</v>
      </c>
      <c r="AI505" s="108">
        <f>ERP_34[[#This Row],[2026 Working Total]]-ERP_34[[#This Row],[2026 LE0]]</f>
        <v>40902.519999999997</v>
      </c>
      <c r="AJ505" s="79"/>
      <c r="AK505" s="79"/>
      <c r="AL50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5" s="80"/>
      <c r="AN505" s="79">
        <f>ERP_34[[#This Row],[2026 Working Total to Budget/LE]]-ERP_34[[#This Row],[Giveback]]</f>
        <v>40902.519999999997</v>
      </c>
      <c r="AO505" s="81"/>
      <c r="AP505" s="81"/>
      <c r="AQ505" s="81"/>
      <c r="AR505" s="81"/>
      <c r="AS505" s="81">
        <v>0</v>
      </c>
      <c r="AT505" s="81">
        <v>0</v>
      </c>
      <c r="AU505" s="81">
        <v>0</v>
      </c>
      <c r="AV505" s="81">
        <v>0</v>
      </c>
      <c r="AW505" s="81">
        <v>0</v>
      </c>
      <c r="AX505" s="81">
        <v>0</v>
      </c>
      <c r="AY505" s="81">
        <v>0</v>
      </c>
      <c r="AZ505" s="81">
        <v>0</v>
      </c>
      <c r="BA505" s="81">
        <v>0</v>
      </c>
      <c r="BB505" s="81">
        <v>0</v>
      </c>
      <c r="BC505" s="103">
        <v>-40902.519999999997</v>
      </c>
      <c r="BD505" s="103">
        <v>0</v>
      </c>
      <c r="BE505" s="103">
        <v>0</v>
      </c>
      <c r="BF505" s="103">
        <v>0</v>
      </c>
      <c r="BG505" s="103">
        <v>0</v>
      </c>
      <c r="BH505" s="103">
        <v>0</v>
      </c>
      <c r="BI505" s="103">
        <v>0</v>
      </c>
      <c r="BJ505" s="103">
        <v>0</v>
      </c>
      <c r="BK505" s="103">
        <v>0</v>
      </c>
      <c r="BL505" s="103">
        <v>0</v>
      </c>
      <c r="BM505" s="103">
        <v>0</v>
      </c>
      <c r="BN505" s="103">
        <v>0</v>
      </c>
      <c r="BO505" s="82">
        <f>SUM(ERP_34[[#This Row],[2026 AP01]:[2026 AP12]])</f>
        <v>-40902.519999999997</v>
      </c>
    </row>
    <row r="506" spans="1:67">
      <c r="A506" s="82" t="s">
        <v>2536</v>
      </c>
      <c r="B506" s="83" t="str">
        <f>_xlfn.TEXTJOIN("_",,ERP_34[[#This Row],[LT Member -1*]],ERP_34[[#This Row],[Expense Category]],ERP_34[[#This Row],[Project Code*]])</f>
        <v>McCormick, Pete_SOFTWARE_IT-SFT1284-86-OG-US</v>
      </c>
      <c r="C506" s="67" t="s">
        <v>2959</v>
      </c>
      <c r="D506" s="84" t="s">
        <v>1135</v>
      </c>
      <c r="E506" s="85" t="s">
        <v>1145</v>
      </c>
      <c r="F506" s="68" t="s">
        <v>1137</v>
      </c>
      <c r="G506" s="85" t="s">
        <v>639</v>
      </c>
      <c r="H506" s="110" t="s">
        <v>2538</v>
      </c>
      <c r="I506" s="67"/>
      <c r="J506" s="67"/>
      <c r="K506" s="91" t="s">
        <v>858</v>
      </c>
      <c r="L506" s="111"/>
      <c r="M506" s="70"/>
      <c r="N506" s="70" t="s">
        <v>1710</v>
      </c>
      <c r="O506" s="91" t="s">
        <v>368</v>
      </c>
      <c r="P506" s="70" t="s">
        <v>1348</v>
      </c>
      <c r="Q506" s="195"/>
      <c r="R506" s="94">
        <v>26386.85</v>
      </c>
      <c r="S506" s="95">
        <v>0</v>
      </c>
      <c r="T506" s="190">
        <v>26386.85</v>
      </c>
      <c r="U506" s="191">
        <f>ERP_34[[#This Row],[LE2 Final Submission]]-ERP_34[[#This Row],[LE3 Final Submission]]</f>
        <v>-26386.85</v>
      </c>
      <c r="V506" s="98"/>
      <c r="W506" s="99"/>
      <c r="X506" s="99"/>
      <c r="Y506" s="100">
        <v>0</v>
      </c>
      <c r="Z506" s="100">
        <v>0</v>
      </c>
      <c r="AA506" s="100">
        <v>0</v>
      </c>
      <c r="AB506" s="100">
        <v>0</v>
      </c>
      <c r="AC506" s="100">
        <v>0</v>
      </c>
      <c r="AD506" s="100">
        <v>0</v>
      </c>
      <c r="AE506" s="100">
        <v>0</v>
      </c>
      <c r="AF506" s="100">
        <v>0</v>
      </c>
      <c r="AG506" s="100">
        <v>0</v>
      </c>
      <c r="AH506" s="101">
        <f t="shared" si="19"/>
        <v>0</v>
      </c>
      <c r="AI506" s="108">
        <f>ERP_34[[#This Row],[2026 Working Total]]-ERP_34[[#This Row],[2026 LE0]]</f>
        <v>-26386.85</v>
      </c>
      <c r="AJ506" s="79"/>
      <c r="AK506" s="79"/>
      <c r="AL50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6" s="80"/>
      <c r="AN506" s="79">
        <f>ERP_34[[#This Row],[2026 Working Total to Budget/LE]]-ERP_34[[#This Row],[Giveback]]</f>
        <v>-26386.85</v>
      </c>
      <c r="AO506" s="81"/>
      <c r="AP506" s="81"/>
      <c r="AQ506" s="81"/>
      <c r="AR506" s="81"/>
      <c r="AS506" s="81">
        <v>0</v>
      </c>
      <c r="AT506" s="81">
        <v>0</v>
      </c>
      <c r="AU506" s="81">
        <v>0</v>
      </c>
      <c r="AV506" s="81">
        <v>0</v>
      </c>
      <c r="AW506" s="81">
        <v>0</v>
      </c>
      <c r="AX506" s="81">
        <v>0</v>
      </c>
      <c r="AY506" s="81">
        <v>0</v>
      </c>
      <c r="AZ506" s="81">
        <v>0</v>
      </c>
      <c r="BA506" s="81">
        <v>0</v>
      </c>
      <c r="BB506" s="81">
        <v>0</v>
      </c>
      <c r="BC506" s="103">
        <v>26386.85</v>
      </c>
      <c r="BD506" s="103">
        <v>0</v>
      </c>
      <c r="BE506" s="103">
        <v>0</v>
      </c>
      <c r="BF506" s="103">
        <v>0</v>
      </c>
      <c r="BG506" s="103">
        <v>0</v>
      </c>
      <c r="BH506" s="103">
        <v>0</v>
      </c>
      <c r="BI506" s="103">
        <v>0</v>
      </c>
      <c r="BJ506" s="103">
        <v>0</v>
      </c>
      <c r="BK506" s="103">
        <v>0</v>
      </c>
      <c r="BL506" s="103">
        <v>0</v>
      </c>
      <c r="BM506" s="103">
        <v>0</v>
      </c>
      <c r="BN506" s="103">
        <v>0</v>
      </c>
      <c r="BO506" s="82">
        <f>SUM(ERP_34[[#This Row],[2026 AP01]:[2026 AP12]])</f>
        <v>26386.85</v>
      </c>
    </row>
    <row r="507" spans="1:67">
      <c r="A507" s="82" t="s">
        <v>2539</v>
      </c>
      <c r="B507" s="83" t="str">
        <f>_xlfn.TEXTJOIN("_",,ERP_34[[#This Row],[LT Member -1*]],ERP_34[[#This Row],[Expense Category]],ERP_34[[#This Row],[Project Code*]])</f>
        <v>McCormick, Pete_SOFTWARE_IT-SFT1284-86-OG-US/PF</v>
      </c>
      <c r="C507" s="67" t="s">
        <v>2959</v>
      </c>
      <c r="D507" s="84" t="s">
        <v>1135</v>
      </c>
      <c r="E507" s="85" t="s">
        <v>1145</v>
      </c>
      <c r="F507" s="68" t="s">
        <v>1137</v>
      </c>
      <c r="G507" s="85" t="s">
        <v>639</v>
      </c>
      <c r="H507" s="110" t="s">
        <v>2541</v>
      </c>
      <c r="I507" s="67"/>
      <c r="J507" s="67"/>
      <c r="K507" s="91" t="s">
        <v>860</v>
      </c>
      <c r="L507" s="111"/>
      <c r="M507" s="70"/>
      <c r="N507" s="70" t="s">
        <v>1710</v>
      </c>
      <c r="O507" s="91" t="s">
        <v>368</v>
      </c>
      <c r="P507" s="70" t="s">
        <v>1348</v>
      </c>
      <c r="Q507" s="195"/>
      <c r="R507" s="94">
        <v>-26386.85</v>
      </c>
      <c r="S507" s="95">
        <v>0</v>
      </c>
      <c r="T507" s="190">
        <v>-26386.85</v>
      </c>
      <c r="U507" s="191">
        <f>ERP_34[[#This Row],[LE2 Final Submission]]-ERP_34[[#This Row],[LE3 Final Submission]]</f>
        <v>26386.85</v>
      </c>
      <c r="V507" s="98"/>
      <c r="W507" s="99"/>
      <c r="X507" s="99"/>
      <c r="Y507" s="100">
        <v>0</v>
      </c>
      <c r="Z507" s="100">
        <v>0</v>
      </c>
      <c r="AA507" s="100">
        <v>0</v>
      </c>
      <c r="AB507" s="100">
        <v>0</v>
      </c>
      <c r="AC507" s="100">
        <v>0</v>
      </c>
      <c r="AD507" s="100">
        <v>0</v>
      </c>
      <c r="AE507" s="100">
        <v>0</v>
      </c>
      <c r="AF507" s="100">
        <v>0</v>
      </c>
      <c r="AG507" s="100">
        <v>0</v>
      </c>
      <c r="AH507" s="101">
        <f t="shared" si="19"/>
        <v>0</v>
      </c>
      <c r="AI507" s="108">
        <f>ERP_34[[#This Row],[2026 Working Total]]-ERP_34[[#This Row],[2026 LE0]]</f>
        <v>26386.85</v>
      </c>
      <c r="AJ507" s="79"/>
      <c r="AK507" s="79"/>
      <c r="AL5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7" s="80"/>
      <c r="AN507" s="79">
        <f>ERP_34[[#This Row],[2026 Working Total to Budget/LE]]-ERP_34[[#This Row],[Giveback]]</f>
        <v>26386.85</v>
      </c>
      <c r="AO507" s="81"/>
      <c r="AP507" s="81"/>
      <c r="AQ507" s="81"/>
      <c r="AR507" s="81"/>
      <c r="AS507" s="81">
        <v>0</v>
      </c>
      <c r="AT507" s="81">
        <v>0</v>
      </c>
      <c r="AU507" s="81">
        <v>0</v>
      </c>
      <c r="AV507" s="81">
        <v>0</v>
      </c>
      <c r="AW507" s="81">
        <v>0</v>
      </c>
      <c r="AX507" s="81">
        <v>0</v>
      </c>
      <c r="AY507" s="81">
        <v>0</v>
      </c>
      <c r="AZ507" s="81">
        <v>0</v>
      </c>
      <c r="BA507" s="81">
        <v>0</v>
      </c>
      <c r="BB507" s="81">
        <v>0</v>
      </c>
      <c r="BC507" s="103">
        <v>-26386.85</v>
      </c>
      <c r="BD507" s="103">
        <v>0</v>
      </c>
      <c r="BE507" s="103">
        <v>0</v>
      </c>
      <c r="BF507" s="103">
        <v>0</v>
      </c>
      <c r="BG507" s="103">
        <v>0</v>
      </c>
      <c r="BH507" s="103">
        <v>0</v>
      </c>
      <c r="BI507" s="103">
        <v>0</v>
      </c>
      <c r="BJ507" s="103">
        <v>0</v>
      </c>
      <c r="BK507" s="103">
        <v>0</v>
      </c>
      <c r="BL507" s="103">
        <v>0</v>
      </c>
      <c r="BM507" s="103">
        <v>0</v>
      </c>
      <c r="BN507" s="103">
        <v>0</v>
      </c>
      <c r="BO507" s="82">
        <f>SUM(ERP_34[[#This Row],[2026 AP01]:[2026 AP12]])</f>
        <v>-26386.85</v>
      </c>
    </row>
    <row r="508" spans="1:67">
      <c r="A508" s="66" t="s">
        <v>2799</v>
      </c>
      <c r="B508" s="66" t="str">
        <f>_xlfn.TEXTJOIN("_",,ERP_34[[#This Row],[LT Member -1*]],ERP_34[[#This Row],[Expense Category]],ERP_34[[#This Row],[Project Code*]])</f>
        <v>DeHart, Lynn_SOFTWARE_IT-SFT1346-OG-US-00</v>
      </c>
      <c r="C508" s="67" t="s">
        <v>1136</v>
      </c>
      <c r="D508" s="67" t="s">
        <v>1345</v>
      </c>
      <c r="E508" s="67" t="s">
        <v>1346</v>
      </c>
      <c r="F508" s="67" t="s">
        <v>1346</v>
      </c>
      <c r="G508" s="68" t="s">
        <v>639</v>
      </c>
      <c r="H508" s="106" t="s">
        <v>2801</v>
      </c>
      <c r="I508" s="70"/>
      <c r="J508" s="70"/>
      <c r="K508" s="70" t="s">
        <v>1010</v>
      </c>
      <c r="L508" s="70"/>
      <c r="M508" s="70"/>
      <c r="N508" s="70"/>
      <c r="O508" s="67" t="s">
        <v>25</v>
      </c>
      <c r="P508" s="67"/>
      <c r="Q508" s="71"/>
      <c r="R508" s="72">
        <v>500</v>
      </c>
      <c r="S508" s="73">
        <v>500</v>
      </c>
      <c r="T508" s="73">
        <v>500</v>
      </c>
      <c r="U508" s="71">
        <f>ERP_34[[#This Row],[LE2 Final Submission]]-ERP_34[[#This Row],[LE3 Final Submission]]</f>
        <v>0</v>
      </c>
      <c r="V508" s="74"/>
      <c r="W508" s="75"/>
      <c r="X508" s="75"/>
      <c r="Y508" s="76"/>
      <c r="Z508" s="76"/>
      <c r="AA508" s="76"/>
      <c r="AB508" s="76"/>
      <c r="AC508" s="76"/>
      <c r="AD508" s="76"/>
      <c r="AE508" s="76"/>
      <c r="AF508" s="76">
        <v>500</v>
      </c>
      <c r="AG508" s="109">
        <v>0</v>
      </c>
      <c r="AH508" s="77">
        <f t="shared" si="19"/>
        <v>500</v>
      </c>
      <c r="AI508" s="108">
        <f>ERP_34[[#This Row],[2026 Working Total]]-ERP_34[[#This Row],[2026 LE0]]</f>
        <v>0</v>
      </c>
      <c r="AJ508" s="79"/>
      <c r="AK508" s="79"/>
      <c r="AL50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8" s="80"/>
      <c r="AN508" s="79">
        <f>ERP_34[[#This Row],[2026 Working Total to Budget/LE]]-ERP_34[[#This Row],[Giveback]]</f>
        <v>0</v>
      </c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>
        <v>500</v>
      </c>
      <c r="BA508" s="81">
        <v>0</v>
      </c>
      <c r="BB508" s="81">
        <v>500</v>
      </c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>
        <v>500</v>
      </c>
      <c r="BN508" s="79">
        <v>0</v>
      </c>
      <c r="BO508" s="79">
        <v>500</v>
      </c>
    </row>
    <row r="509" spans="1:67">
      <c r="A509" s="66" t="s">
        <v>2802</v>
      </c>
      <c r="B509" s="66" t="str">
        <f>_xlfn.TEXTJOIN("_",,ERP_34[[#This Row],[LT Member -1*]],ERP_34[[#This Row],[Expense Category]],ERP_34[[#This Row],[Project Code*]])</f>
        <v>DeHart, Lynn_SOFTWARE_IT-SFT1347-OG-US-00</v>
      </c>
      <c r="C509" s="67" t="s">
        <v>1136</v>
      </c>
      <c r="D509" s="67" t="s">
        <v>1345</v>
      </c>
      <c r="E509" s="67" t="s">
        <v>1346</v>
      </c>
      <c r="F509" s="67" t="s">
        <v>1346</v>
      </c>
      <c r="G509" s="68" t="s">
        <v>639</v>
      </c>
      <c r="H509" s="106" t="s">
        <v>2804</v>
      </c>
      <c r="I509" s="70"/>
      <c r="J509" s="70"/>
      <c r="K509" s="70" t="s">
        <v>1012</v>
      </c>
      <c r="L509" s="70"/>
      <c r="M509" s="70"/>
      <c r="N509" s="70"/>
      <c r="O509" s="67" t="s">
        <v>25</v>
      </c>
      <c r="P509" s="67"/>
      <c r="Q509" s="71"/>
      <c r="R509" s="72">
        <v>130</v>
      </c>
      <c r="S509" s="73">
        <v>130</v>
      </c>
      <c r="T509" s="73">
        <v>130</v>
      </c>
      <c r="U509" s="71">
        <f>ERP_34[[#This Row],[LE2 Final Submission]]-ERP_34[[#This Row],[LE3 Final Submission]]</f>
        <v>0</v>
      </c>
      <c r="V509" s="74"/>
      <c r="W509" s="75"/>
      <c r="X509" s="75"/>
      <c r="Y509" s="76"/>
      <c r="Z509" s="76"/>
      <c r="AA509" s="76">
        <v>130</v>
      </c>
      <c r="AB509" s="109">
        <v>0</v>
      </c>
      <c r="AC509" s="109">
        <v>0</v>
      </c>
      <c r="AD509" s="109">
        <v>0</v>
      </c>
      <c r="AE509" s="109">
        <v>0</v>
      </c>
      <c r="AF509" s="109">
        <v>0</v>
      </c>
      <c r="AG509" s="109">
        <v>0</v>
      </c>
      <c r="AH509" s="77">
        <f t="shared" si="19"/>
        <v>130</v>
      </c>
      <c r="AI509" s="108">
        <f>ERP_34[[#This Row],[2026 Working Total]]-ERP_34[[#This Row],[2026 LE0]]</f>
        <v>0</v>
      </c>
      <c r="AJ509" s="79"/>
      <c r="AK509" s="79"/>
      <c r="AL5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09" s="80"/>
      <c r="AN509" s="79">
        <f>ERP_34[[#This Row],[2026 Working Total to Budget/LE]]-ERP_34[[#This Row],[Giveback]]</f>
        <v>0</v>
      </c>
      <c r="AO509" s="81"/>
      <c r="AP509" s="81"/>
      <c r="AQ509" s="81"/>
      <c r="AR509" s="81"/>
      <c r="AS509" s="81"/>
      <c r="AT509" s="81"/>
      <c r="AU509" s="81">
        <v>130</v>
      </c>
      <c r="AV509" s="81">
        <v>0</v>
      </c>
      <c r="AW509" s="81">
        <v>0</v>
      </c>
      <c r="AX509" s="81">
        <v>0</v>
      </c>
      <c r="AY509" s="81">
        <v>0</v>
      </c>
      <c r="AZ509" s="81">
        <v>0</v>
      </c>
      <c r="BA509" s="81">
        <v>0</v>
      </c>
      <c r="BB509" s="81">
        <v>130</v>
      </c>
      <c r="BC509" s="79"/>
      <c r="BD509" s="79"/>
      <c r="BE509" s="79"/>
      <c r="BF509" s="79"/>
      <c r="BG509" s="79"/>
      <c r="BH509" s="79">
        <v>130</v>
      </c>
      <c r="BI509" s="79">
        <v>0</v>
      </c>
      <c r="BJ509" s="79">
        <v>0</v>
      </c>
      <c r="BK509" s="79">
        <v>0</v>
      </c>
      <c r="BL509" s="79">
        <v>0</v>
      </c>
      <c r="BM509" s="79">
        <v>0</v>
      </c>
      <c r="BN509" s="79">
        <v>0</v>
      </c>
      <c r="BO509" s="79">
        <v>130</v>
      </c>
    </row>
    <row r="510" spans="1:67">
      <c r="A510" s="66" t="s">
        <v>2688</v>
      </c>
      <c r="B510" s="66" t="str">
        <f>_xlfn.TEXTJOIN("_",,ERP_34[[#This Row],[LT Member -1*]],ERP_34[[#This Row],[Expense Category]],ERP_34[[#This Row],[Project Code*]])</f>
        <v>DeHart, Lynn_SOFTWARE_IT-SFT1398-OG-US-00</v>
      </c>
      <c r="C510" s="67" t="s">
        <v>1136</v>
      </c>
      <c r="D510" s="67" t="s">
        <v>1345</v>
      </c>
      <c r="E510" s="67" t="s">
        <v>1346</v>
      </c>
      <c r="F510" s="67" t="s">
        <v>1346</v>
      </c>
      <c r="G510" s="68" t="s">
        <v>639</v>
      </c>
      <c r="H510" s="106" t="s">
        <v>2690</v>
      </c>
      <c r="I510" s="70"/>
      <c r="J510" s="70"/>
      <c r="K510" s="70" t="s">
        <v>1014</v>
      </c>
      <c r="L510" s="70"/>
      <c r="M510" s="70"/>
      <c r="N510" s="70"/>
      <c r="O510" s="67" t="s">
        <v>25</v>
      </c>
      <c r="P510" s="67" t="s">
        <v>2913</v>
      </c>
      <c r="Q510" s="71"/>
      <c r="R510" s="72">
        <v>250000</v>
      </c>
      <c r="S510" s="73">
        <v>250000</v>
      </c>
      <c r="T510" s="73">
        <v>250000</v>
      </c>
      <c r="U510" s="71">
        <f>ERP_34[[#This Row],[LE2 Final Submission]]-ERP_34[[#This Row],[LE3 Final Submission]]</f>
        <v>0</v>
      </c>
      <c r="V510" s="74"/>
      <c r="W510" s="75"/>
      <c r="X510" s="75"/>
      <c r="Y510" s="76"/>
      <c r="Z510" s="76"/>
      <c r="AA510" s="76">
        <v>250000</v>
      </c>
      <c r="AB510" s="109">
        <v>0</v>
      </c>
      <c r="AC510" s="109">
        <v>0</v>
      </c>
      <c r="AD510" s="109">
        <v>0</v>
      </c>
      <c r="AE510" s="109">
        <v>0</v>
      </c>
      <c r="AF510" s="109">
        <v>0</v>
      </c>
      <c r="AG510" s="109">
        <v>0</v>
      </c>
      <c r="AH510" s="77">
        <f t="shared" si="19"/>
        <v>250000</v>
      </c>
      <c r="AI510" s="108">
        <f>ERP_34[[#This Row],[2026 Working Total]]-ERP_34[[#This Row],[2026 LE0]]</f>
        <v>0</v>
      </c>
      <c r="AJ510" s="79"/>
      <c r="AK510" s="79"/>
      <c r="AL5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0" s="80"/>
      <c r="AN510" s="79">
        <f>ERP_34[[#This Row],[2026 Working Total to Budget/LE]]-ERP_34[[#This Row],[Giveback]]</f>
        <v>0</v>
      </c>
      <c r="AO510" s="81"/>
      <c r="AP510" s="81"/>
      <c r="AQ510" s="81"/>
      <c r="AR510" s="81"/>
      <c r="AS510" s="81"/>
      <c r="AT510" s="81"/>
      <c r="AU510" s="81">
        <v>250000</v>
      </c>
      <c r="AV510" s="81">
        <v>0</v>
      </c>
      <c r="AW510" s="81">
        <v>0</v>
      </c>
      <c r="AX510" s="81">
        <v>0</v>
      </c>
      <c r="AY510" s="81">
        <v>0</v>
      </c>
      <c r="AZ510" s="81">
        <v>0</v>
      </c>
      <c r="BA510" s="81">
        <v>0</v>
      </c>
      <c r="BB510" s="81">
        <v>250000</v>
      </c>
      <c r="BC510" s="79"/>
      <c r="BD510" s="79"/>
      <c r="BE510" s="79"/>
      <c r="BF510" s="79"/>
      <c r="BG510" s="79"/>
      <c r="BH510" s="79">
        <v>250000</v>
      </c>
      <c r="BI510" s="79">
        <v>0</v>
      </c>
      <c r="BJ510" s="79">
        <v>0</v>
      </c>
      <c r="BK510" s="79">
        <v>0</v>
      </c>
      <c r="BL510" s="79">
        <v>0</v>
      </c>
      <c r="BM510" s="79">
        <v>0</v>
      </c>
      <c r="BN510" s="79">
        <v>0</v>
      </c>
      <c r="BO510" s="79">
        <v>250000</v>
      </c>
    </row>
    <row r="511" spans="1:67">
      <c r="A511" s="82" t="s">
        <v>2542</v>
      </c>
      <c r="B511" s="83" t="str">
        <f>_xlfn.TEXTJOIN("_",,ERP_34[[#This Row],[LT Member -1*]],ERP_34[[#This Row],[Expense Category]],ERP_34[[#This Row],[Project Code*]])</f>
        <v>McCormick, Pete_SOFTWARE_IT-SFT1401-OG-US-00</v>
      </c>
      <c r="C511" s="67" t="s">
        <v>2959</v>
      </c>
      <c r="D511" s="84" t="s">
        <v>1135</v>
      </c>
      <c r="E511" s="85" t="s">
        <v>1145</v>
      </c>
      <c r="F511" s="68" t="s">
        <v>1137</v>
      </c>
      <c r="G511" s="85" t="s">
        <v>639</v>
      </c>
      <c r="H511" s="110" t="s">
        <v>2544</v>
      </c>
      <c r="I511" s="67"/>
      <c r="J511" s="67"/>
      <c r="K511" s="91" t="s">
        <v>862</v>
      </c>
      <c r="L511" s="111"/>
      <c r="M511" s="70"/>
      <c r="N511" s="70" t="s">
        <v>1710</v>
      </c>
      <c r="O511" s="91" t="s">
        <v>863</v>
      </c>
      <c r="P511" s="70" t="s">
        <v>1348</v>
      </c>
      <c r="Q511" s="195"/>
      <c r="R511" s="94">
        <v>21386.720000000001</v>
      </c>
      <c r="S511" s="95">
        <v>0</v>
      </c>
      <c r="T511" s="190">
        <v>21386.720000000001</v>
      </c>
      <c r="U511" s="191">
        <f>ERP_34[[#This Row],[LE2 Final Submission]]-ERP_34[[#This Row],[LE3 Final Submission]]</f>
        <v>-21386.720000000001</v>
      </c>
      <c r="V511" s="98"/>
      <c r="W511" s="99"/>
      <c r="X511" s="99"/>
      <c r="Y511" s="100">
        <v>0</v>
      </c>
      <c r="Z511" s="100">
        <v>0</v>
      </c>
      <c r="AA511" s="100">
        <v>0</v>
      </c>
      <c r="AB511" s="100">
        <v>0</v>
      </c>
      <c r="AC511" s="100">
        <v>0</v>
      </c>
      <c r="AD511" s="100">
        <v>0</v>
      </c>
      <c r="AE511" s="100">
        <v>0</v>
      </c>
      <c r="AF511" s="100">
        <v>0</v>
      </c>
      <c r="AG511" s="100">
        <v>0</v>
      </c>
      <c r="AH511" s="101">
        <f t="shared" si="19"/>
        <v>0</v>
      </c>
      <c r="AI511" s="108">
        <f>ERP_34[[#This Row],[2026 Working Total]]-ERP_34[[#This Row],[2026 LE0]]</f>
        <v>-21386.720000000001</v>
      </c>
      <c r="AJ511" s="79"/>
      <c r="AK511" s="79"/>
      <c r="AL5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1" s="80"/>
      <c r="AN511" s="79">
        <f>ERP_34[[#This Row],[2026 Working Total to Budget/LE]]-ERP_34[[#This Row],[Giveback]]</f>
        <v>-21386.720000000001</v>
      </c>
      <c r="AO511" s="81"/>
      <c r="AP511" s="81"/>
      <c r="AQ511" s="81"/>
      <c r="AR511" s="81"/>
      <c r="AS511" s="81">
        <v>0</v>
      </c>
      <c r="AT511" s="81">
        <v>0</v>
      </c>
      <c r="AU511" s="81">
        <v>0</v>
      </c>
      <c r="AV511" s="81">
        <v>0</v>
      </c>
      <c r="AW511" s="81">
        <v>0</v>
      </c>
      <c r="AX511" s="81">
        <v>0</v>
      </c>
      <c r="AY511" s="81">
        <v>0</v>
      </c>
      <c r="AZ511" s="81">
        <v>0</v>
      </c>
      <c r="BA511" s="81">
        <v>0</v>
      </c>
      <c r="BB511" s="81">
        <v>0</v>
      </c>
      <c r="BC511" s="103">
        <v>21386.720000000001</v>
      </c>
      <c r="BD511" s="103">
        <v>0</v>
      </c>
      <c r="BE511" s="103">
        <v>0</v>
      </c>
      <c r="BF511" s="103">
        <v>0</v>
      </c>
      <c r="BG511" s="103">
        <v>0</v>
      </c>
      <c r="BH511" s="103">
        <v>0</v>
      </c>
      <c r="BI511" s="103">
        <v>0</v>
      </c>
      <c r="BJ511" s="103">
        <v>0</v>
      </c>
      <c r="BK511" s="103">
        <v>0</v>
      </c>
      <c r="BL511" s="103">
        <v>0</v>
      </c>
      <c r="BM511" s="103">
        <v>0</v>
      </c>
      <c r="BN511" s="103">
        <v>0</v>
      </c>
      <c r="BO511" s="82">
        <f>SUM(ERP_34[[#This Row],[2026 AP01]:[2026 AP12]])</f>
        <v>21386.720000000001</v>
      </c>
    </row>
    <row r="512" spans="1:67">
      <c r="A512" s="82" t="s">
        <v>2547</v>
      </c>
      <c r="B512" s="83" t="str">
        <f>_xlfn.TEXTJOIN("_",,ERP_34[[#This Row],[LT Member -1*]],ERP_34[[#This Row],[Expense Category]],ERP_34[[#This Row],[Project Code*]])</f>
        <v>McCormick, Pete_SOFTWARE_IT-SFT1401-OG-US-00/PF</v>
      </c>
      <c r="C512" s="67" t="s">
        <v>2959</v>
      </c>
      <c r="D512" s="84" t="s">
        <v>1135</v>
      </c>
      <c r="E512" s="85" t="s">
        <v>1145</v>
      </c>
      <c r="F512" s="68" t="s">
        <v>1137</v>
      </c>
      <c r="G512" s="85" t="s">
        <v>639</v>
      </c>
      <c r="H512" s="110" t="s">
        <v>2549</v>
      </c>
      <c r="I512" s="67"/>
      <c r="J512" s="67"/>
      <c r="K512" s="91" t="s">
        <v>865</v>
      </c>
      <c r="L512" s="111"/>
      <c r="M512" s="70"/>
      <c r="N512" s="70" t="s">
        <v>1710</v>
      </c>
      <c r="O512" s="91" t="s">
        <v>863</v>
      </c>
      <c r="P512" s="70" t="s">
        <v>1348</v>
      </c>
      <c r="Q512" s="195"/>
      <c r="R512" s="94">
        <v>-21386.720000000001</v>
      </c>
      <c r="S512" s="95">
        <v>0</v>
      </c>
      <c r="T512" s="190">
        <v>-21386.720000000001</v>
      </c>
      <c r="U512" s="191">
        <f>ERP_34[[#This Row],[LE2 Final Submission]]-ERP_34[[#This Row],[LE3 Final Submission]]</f>
        <v>21386.720000000001</v>
      </c>
      <c r="V512" s="98"/>
      <c r="W512" s="99"/>
      <c r="X512" s="99"/>
      <c r="Y512" s="100">
        <v>0</v>
      </c>
      <c r="Z512" s="100">
        <v>0</v>
      </c>
      <c r="AA512" s="100">
        <v>0</v>
      </c>
      <c r="AB512" s="100">
        <v>0</v>
      </c>
      <c r="AC512" s="100">
        <v>0</v>
      </c>
      <c r="AD512" s="100">
        <v>0</v>
      </c>
      <c r="AE512" s="100">
        <v>0</v>
      </c>
      <c r="AF512" s="100">
        <v>0</v>
      </c>
      <c r="AG512" s="100">
        <v>0</v>
      </c>
      <c r="AH512" s="101">
        <f t="shared" si="19"/>
        <v>0</v>
      </c>
      <c r="AI512" s="108">
        <f>ERP_34[[#This Row],[2026 Working Total]]-ERP_34[[#This Row],[2026 LE0]]</f>
        <v>21386.720000000001</v>
      </c>
      <c r="AJ512" s="79"/>
      <c r="AK512" s="79"/>
      <c r="AL5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2" s="80"/>
      <c r="AN512" s="79">
        <f>ERP_34[[#This Row],[2026 Working Total to Budget/LE]]-ERP_34[[#This Row],[Giveback]]</f>
        <v>21386.720000000001</v>
      </c>
      <c r="AO512" s="81"/>
      <c r="AP512" s="81"/>
      <c r="AQ512" s="81"/>
      <c r="AR512" s="81"/>
      <c r="AS512" s="81">
        <v>0</v>
      </c>
      <c r="AT512" s="81">
        <v>0</v>
      </c>
      <c r="AU512" s="81">
        <v>0</v>
      </c>
      <c r="AV512" s="81">
        <v>0</v>
      </c>
      <c r="AW512" s="81">
        <v>0</v>
      </c>
      <c r="AX512" s="81">
        <v>0</v>
      </c>
      <c r="AY512" s="81">
        <v>0</v>
      </c>
      <c r="AZ512" s="81">
        <v>0</v>
      </c>
      <c r="BA512" s="81">
        <v>0</v>
      </c>
      <c r="BB512" s="81">
        <v>0</v>
      </c>
      <c r="BC512" s="103">
        <v>-21386.720000000001</v>
      </c>
      <c r="BD512" s="103">
        <v>0</v>
      </c>
      <c r="BE512" s="103">
        <v>0</v>
      </c>
      <c r="BF512" s="103">
        <v>0</v>
      </c>
      <c r="BG512" s="103">
        <v>0</v>
      </c>
      <c r="BH512" s="103">
        <v>0</v>
      </c>
      <c r="BI512" s="103">
        <v>0</v>
      </c>
      <c r="BJ512" s="103">
        <v>0</v>
      </c>
      <c r="BK512" s="103">
        <v>0</v>
      </c>
      <c r="BL512" s="103">
        <v>0</v>
      </c>
      <c r="BM512" s="103">
        <v>0</v>
      </c>
      <c r="BN512" s="103">
        <v>0</v>
      </c>
      <c r="BO512" s="82">
        <f>SUM(ERP_34[[#This Row],[2026 AP01]:[2026 AP12]])</f>
        <v>-21386.720000000001</v>
      </c>
    </row>
    <row r="513" spans="1:67">
      <c r="A513" s="66" t="s">
        <v>2550</v>
      </c>
      <c r="B513" s="66" t="str">
        <f>_xlfn.TEXTJOIN("_",,ERP_34[[#This Row],[LT Member -1*]],ERP_34[[#This Row],[Expense Category]],ERP_34[[#This Row],[Project Code*]])</f>
        <v>Dougherty, Chris_SOFTWARE_IT-SFT1402-OG-US-00</v>
      </c>
      <c r="C513" s="67" t="s">
        <v>1136</v>
      </c>
      <c r="D513" s="67" t="s">
        <v>1135</v>
      </c>
      <c r="E513" s="67" t="s">
        <v>1135</v>
      </c>
      <c r="F513" s="67" t="s">
        <v>1137</v>
      </c>
      <c r="G513" s="68" t="s">
        <v>639</v>
      </c>
      <c r="H513" s="106" t="s">
        <v>2551</v>
      </c>
      <c r="I513" s="70"/>
      <c r="J513" s="70"/>
      <c r="K513" s="114" t="s">
        <v>867</v>
      </c>
      <c r="L513" s="70"/>
      <c r="M513" s="70"/>
      <c r="N513" s="70"/>
      <c r="O513" s="67" t="s">
        <v>64</v>
      </c>
      <c r="P513" s="67"/>
      <c r="Q513" s="71"/>
      <c r="R513" s="72">
        <v>207900</v>
      </c>
      <c r="S513" s="73">
        <v>196875</v>
      </c>
      <c r="T513" s="73">
        <v>207900</v>
      </c>
      <c r="U513" s="71">
        <f>ERP_34[[#This Row],[LE2 Final Submission]]-ERP_34[[#This Row],[LE3 Final Submission]]</f>
        <v>-11025</v>
      </c>
      <c r="V513" s="74">
        <v>15750</v>
      </c>
      <c r="W513" s="75">
        <v>15750</v>
      </c>
      <c r="X513" s="75">
        <v>15750</v>
      </c>
      <c r="Y513" s="76">
        <v>15750</v>
      </c>
      <c r="Z513" s="76">
        <v>15750</v>
      </c>
      <c r="AA513" s="76">
        <v>15750</v>
      </c>
      <c r="AB513" s="76">
        <v>15750</v>
      </c>
      <c r="AC513" s="76">
        <v>17325</v>
      </c>
      <c r="AD513" s="76">
        <v>17325</v>
      </c>
      <c r="AE513" s="76">
        <v>17325</v>
      </c>
      <c r="AF513" s="76">
        <v>17325</v>
      </c>
      <c r="AG513" s="76">
        <v>17325</v>
      </c>
      <c r="AH513" s="77">
        <f t="shared" si="19"/>
        <v>196875</v>
      </c>
      <c r="AI513" s="127">
        <f>ERP_34[[#This Row],[2026 Working Total]]-ERP_34[[#This Row],[2026 LE0]]</f>
        <v>-11025</v>
      </c>
      <c r="AJ513" s="79"/>
      <c r="AK513" s="79"/>
      <c r="AL5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3" s="80"/>
      <c r="AN513" s="79">
        <f>ERP_34[[#This Row],[2026 Working Total to Budget/LE]]-ERP_34[[#This Row],[Giveback]]</f>
        <v>-11025</v>
      </c>
      <c r="AO513" s="81"/>
      <c r="AP513" s="81">
        <v>15750</v>
      </c>
      <c r="AQ513" s="81">
        <v>15750</v>
      </c>
      <c r="AR513" s="81">
        <v>15750</v>
      </c>
      <c r="AS513" s="81">
        <v>15750</v>
      </c>
      <c r="AT513" s="81">
        <v>15750</v>
      </c>
      <c r="AU513" s="81">
        <v>15750</v>
      </c>
      <c r="AV513" s="81">
        <v>15750</v>
      </c>
      <c r="AW513" s="81">
        <v>17325</v>
      </c>
      <c r="AX513" s="81">
        <v>17325</v>
      </c>
      <c r="AY513" s="81">
        <v>17325</v>
      </c>
      <c r="AZ513" s="81">
        <v>17325</v>
      </c>
      <c r="BA513" s="81">
        <v>17325</v>
      </c>
      <c r="BB513" s="81">
        <v>196875</v>
      </c>
      <c r="BC513" s="79">
        <v>15750</v>
      </c>
      <c r="BD513" s="79">
        <v>15750</v>
      </c>
      <c r="BE513" s="79">
        <v>15750</v>
      </c>
      <c r="BF513" s="79">
        <v>17325</v>
      </c>
      <c r="BG513" s="79">
        <v>17325</v>
      </c>
      <c r="BH513" s="79">
        <v>17325</v>
      </c>
      <c r="BI513" s="79">
        <v>17325</v>
      </c>
      <c r="BJ513" s="79">
        <v>17325</v>
      </c>
      <c r="BK513" s="79">
        <v>17325</v>
      </c>
      <c r="BL513" s="79">
        <v>17325</v>
      </c>
      <c r="BM513" s="79">
        <v>17325</v>
      </c>
      <c r="BN513" s="79">
        <v>17325</v>
      </c>
      <c r="BO513" s="79">
        <v>203175</v>
      </c>
    </row>
    <row r="514" spans="1:67">
      <c r="A514" s="66" t="s">
        <v>2553</v>
      </c>
      <c r="B514" s="66" t="str">
        <f>_xlfn.TEXTJOIN("_",,ERP_34[[#This Row],[LT Member -1*]],ERP_34[[#This Row],[Expense Category]],ERP_34[[#This Row],[Project Code*]])</f>
        <v>Dougherty, Chris_SOFTWARE_IT-SFT1406-OG-US-00</v>
      </c>
      <c r="C514" s="67" t="s">
        <v>1136</v>
      </c>
      <c r="D514" s="67" t="s">
        <v>1135</v>
      </c>
      <c r="E514" s="67" t="s">
        <v>1135</v>
      </c>
      <c r="F514" s="67" t="s">
        <v>1137</v>
      </c>
      <c r="G514" s="68" t="s">
        <v>639</v>
      </c>
      <c r="H514" s="106" t="s">
        <v>2554</v>
      </c>
      <c r="I514" s="70"/>
      <c r="J514" s="70"/>
      <c r="K514" s="70" t="s">
        <v>869</v>
      </c>
      <c r="L514" s="70"/>
      <c r="M514" s="70"/>
      <c r="N514" s="70"/>
      <c r="O514" s="67" t="s">
        <v>152</v>
      </c>
      <c r="P514" s="67"/>
      <c r="Q514" s="71"/>
      <c r="R514" s="72">
        <v>37661</v>
      </c>
      <c r="S514" s="73">
        <v>37661</v>
      </c>
      <c r="T514" s="73">
        <v>37661</v>
      </c>
      <c r="U514" s="71">
        <f>ERP_34[[#This Row],[LE2 Final Submission]]-ERP_34[[#This Row],[LE3 Final Submission]]</f>
        <v>0</v>
      </c>
      <c r="V514" s="74"/>
      <c r="W514" s="75"/>
      <c r="X514" s="75"/>
      <c r="Y514" s="76"/>
      <c r="Z514" s="76"/>
      <c r="AA514" s="76"/>
      <c r="AB514" s="76"/>
      <c r="AC514" s="76"/>
      <c r="AD514" s="76"/>
      <c r="AE514" s="76">
        <v>37661</v>
      </c>
      <c r="AF514" s="109">
        <v>0</v>
      </c>
      <c r="AG514" s="109">
        <v>0</v>
      </c>
      <c r="AH514" s="77">
        <f t="shared" si="19"/>
        <v>37661</v>
      </c>
      <c r="AI514" s="108">
        <f>ERP_34[[#This Row],[2026 Working Total]]-ERP_34[[#This Row],[2026 LE0]]</f>
        <v>0</v>
      </c>
      <c r="AJ514" s="79"/>
      <c r="AK514" s="79"/>
      <c r="AL5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4" s="80"/>
      <c r="AN514" s="79">
        <f>ERP_34[[#This Row],[2026 Working Total to Budget/LE]]-ERP_34[[#This Row],[Giveback]]</f>
        <v>0</v>
      </c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>
        <v>37661</v>
      </c>
      <c r="AZ514" s="81">
        <v>0</v>
      </c>
      <c r="BA514" s="81">
        <v>0</v>
      </c>
      <c r="BB514" s="81">
        <v>37661</v>
      </c>
      <c r="BC514" s="79"/>
      <c r="BD514" s="79"/>
      <c r="BE514" s="79"/>
      <c r="BF514" s="79"/>
      <c r="BG514" s="79"/>
      <c r="BH514" s="79"/>
      <c r="BI514" s="79"/>
      <c r="BJ514" s="79"/>
      <c r="BK514" s="79"/>
      <c r="BL514" s="79">
        <v>37661</v>
      </c>
      <c r="BM514" s="79">
        <v>0</v>
      </c>
      <c r="BN514" s="79">
        <v>0</v>
      </c>
      <c r="BO514" s="79">
        <v>37661</v>
      </c>
    </row>
    <row r="515" spans="1:67">
      <c r="A515" s="66" t="s">
        <v>2555</v>
      </c>
      <c r="B515" s="66" t="str">
        <f>_xlfn.TEXTJOIN("_",,ERP_34[[#This Row],[LT Member -1*]],ERP_34[[#This Row],[Expense Category]],ERP_34[[#This Row],[Project Code*]])</f>
        <v>Dougherty, Chris_SOFTWARE_IT-SFT1408-OG-US-00</v>
      </c>
      <c r="C515" s="67" t="s">
        <v>1136</v>
      </c>
      <c r="D515" s="67" t="s">
        <v>1135</v>
      </c>
      <c r="E515" s="67" t="s">
        <v>1135</v>
      </c>
      <c r="F515" s="67" t="s">
        <v>1137</v>
      </c>
      <c r="G515" s="68" t="s">
        <v>639</v>
      </c>
      <c r="H515" s="106" t="s">
        <v>2556</v>
      </c>
      <c r="I515" s="70"/>
      <c r="J515" s="70"/>
      <c r="K515" s="70" t="s">
        <v>871</v>
      </c>
      <c r="L515" s="70"/>
      <c r="M515" s="70"/>
      <c r="N515" s="70"/>
      <c r="O515" s="67" t="s">
        <v>25</v>
      </c>
      <c r="P515" s="67"/>
      <c r="Q515" s="71"/>
      <c r="R515" s="72">
        <v>24500</v>
      </c>
      <c r="S515" s="73">
        <v>24500</v>
      </c>
      <c r="T515" s="73">
        <v>24500</v>
      </c>
      <c r="U515" s="71">
        <f>ERP_34[[#This Row],[LE2 Final Submission]]-ERP_34[[#This Row],[LE3 Final Submission]]</f>
        <v>0</v>
      </c>
      <c r="V515" s="74"/>
      <c r="W515" s="75"/>
      <c r="X515" s="75"/>
      <c r="Y515" s="76"/>
      <c r="Z515" s="76"/>
      <c r="AA515" s="76"/>
      <c r="AB515" s="76"/>
      <c r="AC515" s="76"/>
      <c r="AD515" s="76">
        <v>24500</v>
      </c>
      <c r="AE515" s="109">
        <v>0</v>
      </c>
      <c r="AF515" s="109">
        <v>0</v>
      </c>
      <c r="AG515" s="109">
        <v>0</v>
      </c>
      <c r="AH515" s="77">
        <f t="shared" si="19"/>
        <v>24500</v>
      </c>
      <c r="AI515" s="108">
        <f>ERP_34[[#This Row],[2026 Working Total]]-ERP_34[[#This Row],[2026 LE0]]</f>
        <v>0</v>
      </c>
      <c r="AJ515" s="79"/>
      <c r="AK515" s="79"/>
      <c r="AL5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5" s="80"/>
      <c r="AN515" s="79">
        <f>ERP_34[[#This Row],[2026 Working Total to Budget/LE]]-ERP_34[[#This Row],[Giveback]]</f>
        <v>0</v>
      </c>
      <c r="AO515" s="81"/>
      <c r="AP515" s="81"/>
      <c r="AQ515" s="81"/>
      <c r="AR515" s="81"/>
      <c r="AS515" s="81"/>
      <c r="AT515" s="81"/>
      <c r="AU515" s="81"/>
      <c r="AV515" s="81"/>
      <c r="AW515" s="81"/>
      <c r="AX515" s="81">
        <v>24500</v>
      </c>
      <c r="AY515" s="81">
        <v>0</v>
      </c>
      <c r="AZ515" s="81">
        <v>0</v>
      </c>
      <c r="BA515" s="81">
        <v>0</v>
      </c>
      <c r="BB515" s="81">
        <v>24500</v>
      </c>
      <c r="BC515" s="79"/>
      <c r="BD515" s="79"/>
      <c r="BE515" s="79"/>
      <c r="BF515" s="79"/>
      <c r="BG515" s="79"/>
      <c r="BH515" s="79"/>
      <c r="BI515" s="79"/>
      <c r="BJ515" s="79"/>
      <c r="BK515" s="79">
        <v>24500</v>
      </c>
      <c r="BL515" s="79">
        <v>0</v>
      </c>
      <c r="BM515" s="79">
        <v>0</v>
      </c>
      <c r="BN515" s="79">
        <v>0</v>
      </c>
      <c r="BO515" s="79">
        <v>24500</v>
      </c>
    </row>
    <row r="516" spans="1:67">
      <c r="A516" s="66" t="s">
        <v>2557</v>
      </c>
      <c r="B516" s="66" t="str">
        <f>_xlfn.TEXTJOIN("_",,ERP_34[[#This Row],[LT Member -1*]],ERP_34[[#This Row],[Expense Category]],ERP_34[[#This Row],[Project Code*]])</f>
        <v>McCormick, Pete_SOFTWARE_IT-SFT1410-OG-US-00</v>
      </c>
      <c r="C516" s="67" t="s">
        <v>1136</v>
      </c>
      <c r="D516" s="67" t="s">
        <v>1135</v>
      </c>
      <c r="E516" s="67" t="s">
        <v>1145</v>
      </c>
      <c r="F516" s="67" t="s">
        <v>1137</v>
      </c>
      <c r="G516" s="68" t="s">
        <v>639</v>
      </c>
      <c r="H516" s="106" t="s">
        <v>2559</v>
      </c>
      <c r="I516" s="70"/>
      <c r="J516" s="70"/>
      <c r="K516" s="70" t="s">
        <v>873</v>
      </c>
      <c r="L516" s="70"/>
      <c r="M516" s="70"/>
      <c r="N516" s="70" t="s">
        <v>1710</v>
      </c>
      <c r="O516" s="67" t="s">
        <v>874</v>
      </c>
      <c r="P516" s="67"/>
      <c r="Q516" s="137"/>
      <c r="R516" s="138">
        <v>14353.4</v>
      </c>
      <c r="S516" s="139">
        <v>0</v>
      </c>
      <c r="T516" s="139">
        <v>14353.4</v>
      </c>
      <c r="U516" s="137">
        <f>ERP_34[[#This Row],[LE2 Final Submission]]-ERP_34[[#This Row],[LE3 Final Submission]]</f>
        <v>-14353.4</v>
      </c>
      <c r="V516" s="74">
        <v>0.28000000000000003</v>
      </c>
      <c r="W516" s="75">
        <v>-0.28000000000000003</v>
      </c>
      <c r="X516" s="75"/>
      <c r="Y516" s="76"/>
      <c r="Z516" s="76"/>
      <c r="AA516" s="76"/>
      <c r="AB516" s="76"/>
      <c r="AC516" s="76"/>
      <c r="AD516" s="76"/>
      <c r="AE516" s="76"/>
      <c r="AF516" s="76"/>
      <c r="AG516" s="76"/>
      <c r="AH516" s="77">
        <f t="shared" si="19"/>
        <v>0</v>
      </c>
      <c r="AI516" s="108">
        <f>ERP_34[[#This Row],[2026 Working Total]]-ERP_34[[#This Row],[2026 LE0]]</f>
        <v>-14353.4</v>
      </c>
      <c r="AJ516" s="79"/>
      <c r="AK516" s="79"/>
      <c r="AL5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6" s="80"/>
      <c r="AN516" s="79">
        <f>ERP_34[[#This Row],[2026 Working Total to Budget/LE]]-ERP_34[[#This Row],[Giveback]]</f>
        <v>-14353.4</v>
      </c>
      <c r="AO516" s="81"/>
      <c r="AP516" s="81">
        <v>0.28000000000000003</v>
      </c>
      <c r="AQ516" s="81">
        <v>-0.28000000000000003</v>
      </c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>
        <v>0</v>
      </c>
      <c r="BC516" s="82">
        <v>0.28000000000000003</v>
      </c>
      <c r="BD516" s="82">
        <v>-0.28000000000000003</v>
      </c>
      <c r="BE516" s="82"/>
      <c r="BF516" s="82"/>
      <c r="BG516" s="82"/>
      <c r="BH516" s="82"/>
      <c r="BI516" s="82"/>
      <c r="BJ516" s="82"/>
      <c r="BK516" s="82"/>
      <c r="BL516" s="82"/>
      <c r="BM516" s="82"/>
      <c r="BN516" s="82"/>
      <c r="BO516" s="82">
        <v>0</v>
      </c>
    </row>
    <row r="517" spans="1:67">
      <c r="A517" s="82" t="s">
        <v>2561</v>
      </c>
      <c r="B517" s="83" t="str">
        <f>_xlfn.TEXTJOIN("_",,ERP_34[[#This Row],[LT Member -1*]],ERP_34[[#This Row],[Expense Category]],ERP_34[[#This Row],[Project Code*]])</f>
        <v>McCormick, Pete_SOFTWARE_IT-SFT1410-OG-US-00/PF</v>
      </c>
      <c r="C517" s="67" t="s">
        <v>2959</v>
      </c>
      <c r="D517" s="84" t="s">
        <v>1135</v>
      </c>
      <c r="E517" s="85" t="s">
        <v>1145</v>
      </c>
      <c r="F517" s="68" t="s">
        <v>1137</v>
      </c>
      <c r="G517" s="85" t="s">
        <v>639</v>
      </c>
      <c r="H517" s="110" t="s">
        <v>2563</v>
      </c>
      <c r="I517" s="67"/>
      <c r="J517" s="67"/>
      <c r="K517" s="91" t="s">
        <v>876</v>
      </c>
      <c r="L517" s="111"/>
      <c r="M517" s="70"/>
      <c r="N517" s="70" t="s">
        <v>2310</v>
      </c>
      <c r="O517" s="91" t="s">
        <v>874</v>
      </c>
      <c r="P517" s="70" t="s">
        <v>1779</v>
      </c>
      <c r="Q517" s="195"/>
      <c r="R517" s="94">
        <v>-14353.4</v>
      </c>
      <c r="S517" s="95">
        <v>0</v>
      </c>
      <c r="T517" s="145">
        <v>-14353.4</v>
      </c>
      <c r="U517" s="146">
        <f>ERP_34[[#This Row],[LE2 Final Submission]]-ERP_34[[#This Row],[LE3 Final Submission]]</f>
        <v>14353.4</v>
      </c>
      <c r="V517" s="98"/>
      <c r="W517" s="99"/>
      <c r="X517" s="99"/>
      <c r="Y517" s="100">
        <v>0</v>
      </c>
      <c r="Z517" s="100">
        <v>0</v>
      </c>
      <c r="AA517" s="100">
        <v>0</v>
      </c>
      <c r="AB517" s="100">
        <v>0</v>
      </c>
      <c r="AC517" s="100">
        <v>0</v>
      </c>
      <c r="AD517" s="100">
        <v>0</v>
      </c>
      <c r="AE517" s="100">
        <v>0</v>
      </c>
      <c r="AF517" s="100">
        <v>0</v>
      </c>
      <c r="AG517" s="100">
        <v>0</v>
      </c>
      <c r="AH517" s="101">
        <f t="shared" si="19"/>
        <v>0</v>
      </c>
      <c r="AI517" s="108">
        <f>ERP_34[[#This Row],[2026 Working Total]]-ERP_34[[#This Row],[2026 LE0]]</f>
        <v>14353.4</v>
      </c>
      <c r="AJ517" s="79"/>
      <c r="AK517" s="79"/>
      <c r="AL5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7" s="80"/>
      <c r="AN517" s="79">
        <f>ERP_34[[#This Row],[2026 Working Total to Budget/LE]]-ERP_34[[#This Row],[Giveback]]</f>
        <v>14353.4</v>
      </c>
      <c r="AO517" s="81"/>
      <c r="AP517" s="81"/>
      <c r="AQ517" s="81"/>
      <c r="AR517" s="81"/>
      <c r="AS517" s="81">
        <v>0</v>
      </c>
      <c r="AT517" s="81">
        <v>0</v>
      </c>
      <c r="AU517" s="81">
        <v>0</v>
      </c>
      <c r="AV517" s="81">
        <v>0</v>
      </c>
      <c r="AW517" s="81">
        <v>0</v>
      </c>
      <c r="AX517" s="81">
        <v>0</v>
      </c>
      <c r="AY517" s="81">
        <v>0</v>
      </c>
      <c r="AZ517" s="81">
        <v>0</v>
      </c>
      <c r="BA517" s="81">
        <v>0</v>
      </c>
      <c r="BB517" s="81">
        <v>0</v>
      </c>
      <c r="BC517" s="103">
        <v>-14353.4</v>
      </c>
      <c r="BD517" s="103">
        <v>0</v>
      </c>
      <c r="BE517" s="103">
        <v>0</v>
      </c>
      <c r="BF517" s="103">
        <v>0</v>
      </c>
      <c r="BG517" s="103">
        <v>0</v>
      </c>
      <c r="BH517" s="103">
        <v>0</v>
      </c>
      <c r="BI517" s="103">
        <v>0</v>
      </c>
      <c r="BJ517" s="103">
        <v>0</v>
      </c>
      <c r="BK517" s="103">
        <v>0</v>
      </c>
      <c r="BL517" s="103">
        <v>0</v>
      </c>
      <c r="BM517" s="103">
        <v>0</v>
      </c>
      <c r="BN517" s="103">
        <v>0</v>
      </c>
      <c r="BO517" s="82">
        <f>SUM(ERP_34[[#This Row],[2026 AP01]:[2026 AP12]])</f>
        <v>-14353.4</v>
      </c>
    </row>
    <row r="518" spans="1:67">
      <c r="A518" s="66" t="s">
        <v>2564</v>
      </c>
      <c r="B518" s="66" t="str">
        <f>_xlfn.TEXTJOIN("_",,ERP_34[[#This Row],[LT Member -1*]],ERP_34[[#This Row],[Expense Category]],ERP_34[[#This Row],[Project Code*]])</f>
        <v>McCormick, Pete_SOFTWARE_IT-SFT1412-OG-US-00</v>
      </c>
      <c r="C518" s="67" t="s">
        <v>1136</v>
      </c>
      <c r="D518" s="67" t="s">
        <v>1135</v>
      </c>
      <c r="E518" s="67" t="s">
        <v>1145</v>
      </c>
      <c r="F518" s="67" t="s">
        <v>1137</v>
      </c>
      <c r="G518" s="68" t="s">
        <v>639</v>
      </c>
      <c r="H518" s="106" t="s">
        <v>2566</v>
      </c>
      <c r="I518" s="70"/>
      <c r="J518" s="70"/>
      <c r="K518" s="70" t="s">
        <v>878</v>
      </c>
      <c r="L518" s="70"/>
      <c r="M518" s="70"/>
      <c r="N518" s="70"/>
      <c r="O518" s="67" t="s">
        <v>849</v>
      </c>
      <c r="P518" s="67"/>
      <c r="Q518" s="71"/>
      <c r="R518" s="72">
        <v>4000</v>
      </c>
      <c r="S518" s="73">
        <v>4000</v>
      </c>
      <c r="T518" s="73">
        <v>4000</v>
      </c>
      <c r="U518" s="71">
        <f>ERP_34[[#This Row],[LE2 Final Submission]]-ERP_34[[#This Row],[LE3 Final Submission]]</f>
        <v>0</v>
      </c>
      <c r="V518" s="74">
        <v>0.1</v>
      </c>
      <c r="W518" s="75">
        <v>-0.1</v>
      </c>
      <c r="X518" s="75"/>
      <c r="Y518" s="76"/>
      <c r="Z518" s="76"/>
      <c r="AA518" s="76">
        <v>2000</v>
      </c>
      <c r="AB518" s="76">
        <v>2000</v>
      </c>
      <c r="AC518" s="109">
        <v>0</v>
      </c>
      <c r="AD518" s="109">
        <v>0</v>
      </c>
      <c r="AE518" s="109">
        <v>0</v>
      </c>
      <c r="AF518" s="109">
        <v>0</v>
      </c>
      <c r="AG518" s="109">
        <v>0</v>
      </c>
      <c r="AH518" s="77">
        <f t="shared" si="19"/>
        <v>4000</v>
      </c>
      <c r="AI518" s="108">
        <f>ERP_34[[#This Row],[2026 Working Total]]-ERP_34[[#This Row],[2026 LE0]]</f>
        <v>0</v>
      </c>
      <c r="AJ518" s="79"/>
      <c r="AK518" s="79"/>
      <c r="AL5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8" s="80"/>
      <c r="AN518" s="79">
        <f>ERP_34[[#This Row],[2026 Working Total to Budget/LE]]-ERP_34[[#This Row],[Giveback]]</f>
        <v>0</v>
      </c>
      <c r="AO518" s="81"/>
      <c r="AP518" s="81">
        <v>0.1</v>
      </c>
      <c r="AQ518" s="81">
        <v>-0.1</v>
      </c>
      <c r="AR518" s="81"/>
      <c r="AS518" s="81"/>
      <c r="AT518" s="81"/>
      <c r="AU518" s="81">
        <v>2000</v>
      </c>
      <c r="AV518" s="81">
        <v>2000</v>
      </c>
      <c r="AW518" s="81">
        <v>0</v>
      </c>
      <c r="AX518" s="81">
        <v>0</v>
      </c>
      <c r="AY518" s="81">
        <v>0</v>
      </c>
      <c r="AZ518" s="81">
        <v>0</v>
      </c>
      <c r="BA518" s="81">
        <v>0</v>
      </c>
      <c r="BB518" s="81">
        <v>4000</v>
      </c>
      <c r="BC518" s="82">
        <v>0.1</v>
      </c>
      <c r="BD518" s="82">
        <v>-0.1</v>
      </c>
      <c r="BE518" s="82"/>
      <c r="BF518" s="82"/>
      <c r="BG518" s="82"/>
      <c r="BH518" s="82">
        <v>2000</v>
      </c>
      <c r="BI518" s="82">
        <v>2000</v>
      </c>
      <c r="BJ518" s="82">
        <v>0</v>
      </c>
      <c r="BK518" s="82">
        <v>0</v>
      </c>
      <c r="BL518" s="82">
        <v>0</v>
      </c>
      <c r="BM518" s="82">
        <v>0</v>
      </c>
      <c r="BN518" s="82">
        <v>0</v>
      </c>
      <c r="BO518" s="82">
        <v>4000</v>
      </c>
    </row>
    <row r="519" spans="1:67">
      <c r="A519" s="66" t="s">
        <v>2567</v>
      </c>
      <c r="B519" s="66" t="str">
        <f>_xlfn.TEXTJOIN("_",,ERP_34[[#This Row],[LT Member -1*]],ERP_34[[#This Row],[Expense Category]],ERP_34[[#This Row],[Project Code*]])</f>
        <v>Dougherty, Chris_SOFTWARE_IT-SFT1413-OG-US-00</v>
      </c>
      <c r="C519" s="67" t="s">
        <v>1136</v>
      </c>
      <c r="D519" s="67" t="s">
        <v>1135</v>
      </c>
      <c r="E519" s="67" t="s">
        <v>1135</v>
      </c>
      <c r="F519" s="67" t="s">
        <v>1137</v>
      </c>
      <c r="G519" s="68" t="s">
        <v>639</v>
      </c>
      <c r="H519" s="106" t="s">
        <v>2568</v>
      </c>
      <c r="I519" s="70"/>
      <c r="J519" s="70"/>
      <c r="K519" s="114" t="s">
        <v>880</v>
      </c>
      <c r="L519" s="70"/>
      <c r="M519" s="70"/>
      <c r="N519" s="70"/>
      <c r="O519" s="67" t="s">
        <v>64</v>
      </c>
      <c r="P519" s="67"/>
      <c r="Q519" s="71"/>
      <c r="R519" s="72">
        <v>144819</v>
      </c>
      <c r="S519" s="73">
        <v>144819</v>
      </c>
      <c r="T519" s="73">
        <v>144819</v>
      </c>
      <c r="U519" s="71">
        <f>ERP_34[[#This Row],[LE2 Final Submission]]-ERP_34[[#This Row],[LE3 Final Submission]]</f>
        <v>0</v>
      </c>
      <c r="V519" s="74"/>
      <c r="W519" s="75"/>
      <c r="X519" s="75"/>
      <c r="Y519" s="76"/>
      <c r="Z519" s="109">
        <v>144819</v>
      </c>
      <c r="AA519" s="109">
        <v>0</v>
      </c>
      <c r="AB519" s="109">
        <v>0</v>
      </c>
      <c r="AC519" s="109">
        <v>0</v>
      </c>
      <c r="AD519" s="109">
        <v>0</v>
      </c>
      <c r="AE519" s="109">
        <v>0</v>
      </c>
      <c r="AF519" s="109">
        <v>0</v>
      </c>
      <c r="AG519" s="109">
        <v>0</v>
      </c>
      <c r="AH519" s="77">
        <f t="shared" si="19"/>
        <v>144819</v>
      </c>
      <c r="AI519" s="108">
        <f>ERP_34[[#This Row],[2026 Working Total]]-ERP_34[[#This Row],[2026 LE0]]</f>
        <v>0</v>
      </c>
      <c r="AJ519" s="79"/>
      <c r="AK519" s="79"/>
      <c r="AL5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19" s="80"/>
      <c r="AN519" s="79">
        <f>ERP_34[[#This Row],[2026 Working Total to Budget/LE]]-ERP_34[[#This Row],[Giveback]]</f>
        <v>0</v>
      </c>
      <c r="AO519" s="81"/>
      <c r="AP519" s="81"/>
      <c r="AQ519" s="81"/>
      <c r="AR519" s="81"/>
      <c r="AS519" s="81"/>
      <c r="AT519" s="81">
        <v>144819</v>
      </c>
      <c r="AU519" s="81">
        <v>0</v>
      </c>
      <c r="AV519" s="81">
        <v>0</v>
      </c>
      <c r="AW519" s="81">
        <v>0</v>
      </c>
      <c r="AX519" s="81">
        <v>0</v>
      </c>
      <c r="AY519" s="81">
        <v>0</v>
      </c>
      <c r="AZ519" s="81">
        <v>0</v>
      </c>
      <c r="BA519" s="81">
        <v>0</v>
      </c>
      <c r="BB519" s="81">
        <v>144819</v>
      </c>
      <c r="BC519" s="79"/>
      <c r="BD519" s="79"/>
      <c r="BE519" s="79"/>
      <c r="BF519" s="79">
        <v>144819</v>
      </c>
      <c r="BG519" s="79">
        <v>0</v>
      </c>
      <c r="BH519" s="79">
        <v>0</v>
      </c>
      <c r="BI519" s="79">
        <v>0</v>
      </c>
      <c r="BJ519" s="79">
        <v>0</v>
      </c>
      <c r="BK519" s="79">
        <v>0</v>
      </c>
      <c r="BL519" s="79">
        <v>0</v>
      </c>
      <c r="BM519" s="79">
        <v>0</v>
      </c>
      <c r="BN519" s="79">
        <v>0</v>
      </c>
      <c r="BO519" s="79">
        <v>144819</v>
      </c>
    </row>
    <row r="520" spans="1:67">
      <c r="A520" s="82" t="s">
        <v>2570</v>
      </c>
      <c r="B520" s="83" t="str">
        <f>_xlfn.TEXTJOIN("_",,ERP_34[[#This Row],[LT Member -1*]],ERP_34[[#This Row],[Expense Category]],ERP_34[[#This Row],[Project Code*]])</f>
        <v>Dougherty, Chris_SOFTWARE_IT-SFT1414-OG-US-00</v>
      </c>
      <c r="C520" s="67" t="s">
        <v>2959</v>
      </c>
      <c r="D520" s="84" t="s">
        <v>1135</v>
      </c>
      <c r="E520" s="85" t="s">
        <v>1135</v>
      </c>
      <c r="F520" s="68" t="s">
        <v>1137</v>
      </c>
      <c r="G520" s="85" t="s">
        <v>639</v>
      </c>
      <c r="H520" s="110" t="s">
        <v>2571</v>
      </c>
      <c r="I520" s="67"/>
      <c r="J520" s="67"/>
      <c r="K520" s="88" t="s">
        <v>882</v>
      </c>
      <c r="L520" s="111"/>
      <c r="M520" s="70"/>
      <c r="N520" s="70" t="s">
        <v>1710</v>
      </c>
      <c r="O520" s="91" t="s">
        <v>883</v>
      </c>
      <c r="P520" s="70" t="s">
        <v>1779</v>
      </c>
      <c r="Q520" s="195"/>
      <c r="R520" s="196">
        <v>64566</v>
      </c>
      <c r="S520" s="95">
        <v>0</v>
      </c>
      <c r="T520" s="190">
        <v>64566</v>
      </c>
      <c r="U520" s="191">
        <f>ERP_34[[#This Row],[LE2 Final Submission]]-ERP_34[[#This Row],[LE3 Final Submission]]</f>
        <v>-64566</v>
      </c>
      <c r="V520" s="98"/>
      <c r="W520" s="99"/>
      <c r="X520" s="99"/>
      <c r="Y520" s="100">
        <v>0</v>
      </c>
      <c r="Z520" s="100">
        <v>0</v>
      </c>
      <c r="AA520" s="100">
        <v>0</v>
      </c>
      <c r="AB520" s="100">
        <v>0</v>
      </c>
      <c r="AC520" s="100">
        <v>0</v>
      </c>
      <c r="AD520" s="100">
        <v>0</v>
      </c>
      <c r="AE520" s="100">
        <v>0</v>
      </c>
      <c r="AF520" s="100">
        <v>0</v>
      </c>
      <c r="AG520" s="100">
        <v>0</v>
      </c>
      <c r="AH520" s="101">
        <f t="shared" si="19"/>
        <v>0</v>
      </c>
      <c r="AI520" s="108">
        <f>ERP_34[[#This Row],[2026 Working Total]]-ERP_34[[#This Row],[2026 LE0]]</f>
        <v>-64566</v>
      </c>
      <c r="AJ520" s="79"/>
      <c r="AK520" s="79"/>
      <c r="AL5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0" s="80"/>
      <c r="AN520" s="79">
        <f>ERP_34[[#This Row],[2026 Working Total to Budget/LE]]-ERP_34[[#This Row],[Giveback]]</f>
        <v>-64566</v>
      </c>
      <c r="AO520" s="81"/>
      <c r="AP520" s="81"/>
      <c r="AQ520" s="81"/>
      <c r="AR520" s="81"/>
      <c r="AS520" s="81">
        <v>0</v>
      </c>
      <c r="AT520" s="81">
        <v>0</v>
      </c>
      <c r="AU520" s="81">
        <v>0</v>
      </c>
      <c r="AV520" s="81">
        <v>0</v>
      </c>
      <c r="AW520" s="81">
        <v>0</v>
      </c>
      <c r="AX520" s="81">
        <v>0</v>
      </c>
      <c r="AY520" s="81">
        <v>0</v>
      </c>
      <c r="AZ520" s="81">
        <v>0</v>
      </c>
      <c r="BA520" s="81">
        <v>0</v>
      </c>
      <c r="BB520" s="81">
        <v>0</v>
      </c>
      <c r="BC520" s="103">
        <v>64566</v>
      </c>
      <c r="BD520" s="103">
        <v>0</v>
      </c>
      <c r="BE520" s="103">
        <v>0</v>
      </c>
      <c r="BF520" s="103">
        <v>0</v>
      </c>
      <c r="BG520" s="103">
        <v>0</v>
      </c>
      <c r="BH520" s="103">
        <v>0</v>
      </c>
      <c r="BI520" s="103">
        <v>0</v>
      </c>
      <c r="BJ520" s="103">
        <v>0</v>
      </c>
      <c r="BK520" s="103">
        <v>0</v>
      </c>
      <c r="BL520" s="103">
        <v>0</v>
      </c>
      <c r="BM520" s="103">
        <v>0</v>
      </c>
      <c r="BN520" s="103">
        <v>0</v>
      </c>
      <c r="BO520" s="82">
        <f>SUM(ERP_34[[#This Row],[2026 AP01]:[2026 AP12]])</f>
        <v>64566</v>
      </c>
    </row>
    <row r="521" spans="1:67">
      <c r="A521" s="82" t="s">
        <v>2573</v>
      </c>
      <c r="B521" s="83" t="str">
        <f>_xlfn.TEXTJOIN("_",,ERP_34[[#This Row],[LT Member -1*]],ERP_34[[#This Row],[Expense Category]],ERP_34[[#This Row],[Project Code*]])</f>
        <v>Dougherty, Chris_SOFTWARE_IT-SFT1414-OG-US-00/PF</v>
      </c>
      <c r="C521" s="67" t="s">
        <v>2959</v>
      </c>
      <c r="D521" s="84" t="s">
        <v>1135</v>
      </c>
      <c r="E521" s="120" t="s">
        <v>1135</v>
      </c>
      <c r="F521" s="68" t="s">
        <v>1137</v>
      </c>
      <c r="G521" s="85" t="s">
        <v>639</v>
      </c>
      <c r="H521" s="121" t="s">
        <v>2574</v>
      </c>
      <c r="I521" s="67"/>
      <c r="J521" s="67"/>
      <c r="K521" s="140" t="s">
        <v>885</v>
      </c>
      <c r="L521" s="111"/>
      <c r="M521" s="70"/>
      <c r="N521" s="70" t="s">
        <v>1710</v>
      </c>
      <c r="O521" s="122" t="s">
        <v>883</v>
      </c>
      <c r="P521" s="70" t="s">
        <v>2499</v>
      </c>
      <c r="Q521" s="195"/>
      <c r="R521" s="94">
        <v>-64566</v>
      </c>
      <c r="S521" s="95">
        <v>0</v>
      </c>
      <c r="T521" s="190">
        <v>-64566</v>
      </c>
      <c r="U521" s="191">
        <f>ERP_34[[#This Row],[LE2 Final Submission]]-ERP_34[[#This Row],[LE3 Final Submission]]</f>
        <v>64566</v>
      </c>
      <c r="V521" s="98"/>
      <c r="W521" s="99"/>
      <c r="X521" s="99"/>
      <c r="Y521" s="100">
        <v>0</v>
      </c>
      <c r="Z521" s="100">
        <v>0</v>
      </c>
      <c r="AA521" s="100">
        <v>0</v>
      </c>
      <c r="AB521" s="100">
        <v>0</v>
      </c>
      <c r="AC521" s="100">
        <v>0</v>
      </c>
      <c r="AD521" s="100">
        <v>0</v>
      </c>
      <c r="AE521" s="100">
        <v>0</v>
      </c>
      <c r="AF521" s="100">
        <v>0</v>
      </c>
      <c r="AG521" s="100">
        <v>0</v>
      </c>
      <c r="AH521" s="101">
        <f t="shared" si="19"/>
        <v>0</v>
      </c>
      <c r="AI521" s="108">
        <f>ERP_34[[#This Row],[2026 Working Total]]-ERP_34[[#This Row],[2026 LE0]]</f>
        <v>64566</v>
      </c>
      <c r="AJ521" s="79"/>
      <c r="AK521" s="79"/>
      <c r="AL5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1" s="80"/>
      <c r="AN521" s="79">
        <f>ERP_34[[#This Row],[2026 Working Total to Budget/LE]]-ERP_34[[#This Row],[Giveback]]</f>
        <v>64566</v>
      </c>
      <c r="AO521" s="81"/>
      <c r="AP521" s="81"/>
      <c r="AQ521" s="81"/>
      <c r="AR521" s="81"/>
      <c r="AS521" s="81">
        <v>0</v>
      </c>
      <c r="AT521" s="81">
        <v>0</v>
      </c>
      <c r="AU521" s="81">
        <v>0</v>
      </c>
      <c r="AV521" s="81">
        <v>0</v>
      </c>
      <c r="AW521" s="81">
        <v>0</v>
      </c>
      <c r="AX521" s="81">
        <v>0</v>
      </c>
      <c r="AY521" s="81">
        <v>0</v>
      </c>
      <c r="AZ521" s="81">
        <v>0</v>
      </c>
      <c r="BA521" s="81">
        <v>0</v>
      </c>
      <c r="BB521" s="81">
        <v>0</v>
      </c>
      <c r="BC521" s="103">
        <v>-64566</v>
      </c>
      <c r="BD521" s="103">
        <v>0</v>
      </c>
      <c r="BE521" s="103">
        <v>0</v>
      </c>
      <c r="BF521" s="103">
        <v>0</v>
      </c>
      <c r="BG521" s="103">
        <v>0</v>
      </c>
      <c r="BH521" s="103">
        <v>0</v>
      </c>
      <c r="BI521" s="103">
        <v>0</v>
      </c>
      <c r="BJ521" s="103">
        <v>0</v>
      </c>
      <c r="BK521" s="103">
        <v>0</v>
      </c>
      <c r="BL521" s="103">
        <v>0</v>
      </c>
      <c r="BM521" s="103">
        <v>0</v>
      </c>
      <c r="BN521" s="103">
        <v>0</v>
      </c>
      <c r="BO521" s="82">
        <f>SUM(ERP_34[[#This Row],[2026 AP01]:[2026 AP12]])</f>
        <v>-64566</v>
      </c>
    </row>
    <row r="522" spans="1:67">
      <c r="A522" s="215" t="s">
        <v>2575</v>
      </c>
      <c r="B522" s="215" t="str">
        <f>_xlfn.TEXTJOIN("_",,ERP_34[[#This Row],[LT Member -1*]],ERP_34[[#This Row],[Expense Category]],ERP_34[[#This Row],[Project Code*]])</f>
        <v>Dougherty, Chris_SOFTWARE_IT-SFT1415-OG-US-00</v>
      </c>
      <c r="C522" s="67" t="s">
        <v>1136</v>
      </c>
      <c r="D522" s="216" t="s">
        <v>1135</v>
      </c>
      <c r="E522" s="216" t="s">
        <v>1135</v>
      </c>
      <c r="F522" s="216" t="s">
        <v>1137</v>
      </c>
      <c r="G522" s="217" t="s">
        <v>639</v>
      </c>
      <c r="H522" s="218" t="s">
        <v>2576</v>
      </c>
      <c r="I522" s="219"/>
      <c r="J522" s="219"/>
      <c r="K522" s="220" t="s">
        <v>887</v>
      </c>
      <c r="L522" s="219"/>
      <c r="M522" s="219"/>
      <c r="N522" s="219"/>
      <c r="O522" s="216" t="s">
        <v>64</v>
      </c>
      <c r="P522" s="221"/>
      <c r="Q522" s="222"/>
      <c r="R522" s="71">
        <v>0</v>
      </c>
      <c r="S522" s="73">
        <v>5298.95</v>
      </c>
      <c r="T522" s="223">
        <v>0</v>
      </c>
      <c r="U522" s="71">
        <f>ERP_34[[#This Row],[LE2 Final Submission]]-ERP_34[[#This Row],[LE3 Final Submission]]</f>
        <v>5298.95</v>
      </c>
      <c r="V522" s="224"/>
      <c r="W522" s="225"/>
      <c r="X522" s="225">
        <v>5298.95</v>
      </c>
      <c r="Y522" s="226">
        <v>0</v>
      </c>
      <c r="Z522" s="226">
        <v>0</v>
      </c>
      <c r="AA522" s="226">
        <v>0</v>
      </c>
      <c r="AB522" s="226">
        <v>0</v>
      </c>
      <c r="AC522" s="226">
        <v>0</v>
      </c>
      <c r="AD522" s="226">
        <v>0</v>
      </c>
      <c r="AE522" s="226">
        <v>0</v>
      </c>
      <c r="AF522" s="226">
        <v>0</v>
      </c>
      <c r="AG522" s="226">
        <v>0</v>
      </c>
      <c r="AH522" s="194">
        <f t="shared" si="19"/>
        <v>5298.95</v>
      </c>
      <c r="AI522" s="108">
        <f>ERP_34[[#This Row],[2026 Working Total]]-ERP_34[[#This Row],[2026 LE0]]</f>
        <v>5298.95</v>
      </c>
      <c r="AJ522" s="227"/>
      <c r="AK522" s="227"/>
      <c r="AL5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2" s="80"/>
      <c r="AN522" s="79">
        <f>ERP_34[[#This Row],[2026 Working Total to Budget/LE]]-ERP_34[[#This Row],[Giveback]]</f>
        <v>5298.95</v>
      </c>
      <c r="AO522" s="81"/>
      <c r="AP522" s="81"/>
      <c r="AQ522" s="81"/>
      <c r="AR522" s="81">
        <v>5298.95</v>
      </c>
      <c r="AS522" s="81">
        <v>0</v>
      </c>
      <c r="AT522" s="81">
        <v>0</v>
      </c>
      <c r="AU522" s="81">
        <v>0</v>
      </c>
      <c r="AV522" s="81">
        <v>0</v>
      </c>
      <c r="AW522" s="81">
        <v>0</v>
      </c>
      <c r="AX522" s="81">
        <v>0</v>
      </c>
      <c r="AY522" s="81">
        <v>0</v>
      </c>
      <c r="AZ522" s="81">
        <v>0</v>
      </c>
      <c r="BA522" s="81">
        <v>0</v>
      </c>
      <c r="BB522" s="81">
        <v>5298.95</v>
      </c>
      <c r="BC522" s="227"/>
      <c r="BD522" s="227"/>
      <c r="BE522" s="227">
        <v>5298.95</v>
      </c>
      <c r="BF522" s="227">
        <v>0</v>
      </c>
      <c r="BG522" s="227">
        <v>0</v>
      </c>
      <c r="BH522" s="227">
        <v>0</v>
      </c>
      <c r="BI522" s="227">
        <v>0</v>
      </c>
      <c r="BJ522" s="227">
        <v>0</v>
      </c>
      <c r="BK522" s="227">
        <v>0</v>
      </c>
      <c r="BL522" s="227">
        <v>0</v>
      </c>
      <c r="BM522" s="227">
        <v>0</v>
      </c>
      <c r="BN522" s="227">
        <v>0</v>
      </c>
      <c r="BO522" s="227">
        <v>5298.95</v>
      </c>
    </row>
    <row r="523" spans="1:67">
      <c r="A523" s="215" t="s">
        <v>2579</v>
      </c>
      <c r="B523" s="215" t="str">
        <f>_xlfn.TEXTJOIN("_",,ERP_34[[#This Row],[LT Member -1*]],ERP_34[[#This Row],[Expense Category]],ERP_34[[#This Row],[Project Code*]])</f>
        <v>McCormick, Pete_SOFTWARE_IT-SFT1416-OG-US-00</v>
      </c>
      <c r="C523" s="67" t="s">
        <v>1136</v>
      </c>
      <c r="D523" s="216" t="s">
        <v>1135</v>
      </c>
      <c r="E523" s="216" t="s">
        <v>1145</v>
      </c>
      <c r="F523" s="216" t="s">
        <v>1137</v>
      </c>
      <c r="G523" s="217" t="s">
        <v>639</v>
      </c>
      <c r="H523" s="218" t="s">
        <v>2581</v>
      </c>
      <c r="I523" s="219"/>
      <c r="J523" s="219"/>
      <c r="K523" s="219" t="s">
        <v>889</v>
      </c>
      <c r="L523" s="219"/>
      <c r="M523" s="219"/>
      <c r="N523" s="219"/>
      <c r="O523" s="216" t="s">
        <v>25</v>
      </c>
      <c r="P523" s="221"/>
      <c r="Q523" s="222"/>
      <c r="R523" s="71">
        <v>1190.6600000000001</v>
      </c>
      <c r="S523" s="73">
        <v>1190.6600000000001</v>
      </c>
      <c r="T523" s="223">
        <v>1190.6600000000001</v>
      </c>
      <c r="U523" s="71">
        <f>ERP_34[[#This Row],[LE2 Final Submission]]-ERP_34[[#This Row],[LE3 Final Submission]]</f>
        <v>0</v>
      </c>
      <c r="V523" s="224"/>
      <c r="W523" s="225"/>
      <c r="X523" s="225"/>
      <c r="Y523" s="228"/>
      <c r="Z523" s="228"/>
      <c r="AA523" s="228">
        <v>1190.6600000000001</v>
      </c>
      <c r="AB523" s="226">
        <v>0</v>
      </c>
      <c r="AC523" s="226">
        <v>0</v>
      </c>
      <c r="AD523" s="226">
        <v>0</v>
      </c>
      <c r="AE523" s="226">
        <v>0</v>
      </c>
      <c r="AF523" s="226">
        <v>0</v>
      </c>
      <c r="AG523" s="226">
        <v>0</v>
      </c>
      <c r="AH523" s="194">
        <f t="shared" si="19"/>
        <v>1190.6600000000001</v>
      </c>
      <c r="AI523" s="108">
        <f>ERP_34[[#This Row],[2026 Working Total]]-ERP_34[[#This Row],[2026 LE0]]</f>
        <v>0</v>
      </c>
      <c r="AJ523" s="227"/>
      <c r="AK523" s="227"/>
      <c r="AL52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3" s="80"/>
      <c r="AN523" s="79">
        <f>ERP_34[[#This Row],[2026 Working Total to Budget/LE]]-ERP_34[[#This Row],[Giveback]]</f>
        <v>0</v>
      </c>
      <c r="AO523" s="81"/>
      <c r="AP523" s="81"/>
      <c r="AQ523" s="81"/>
      <c r="AR523" s="81"/>
      <c r="AS523" s="81"/>
      <c r="AT523" s="81"/>
      <c r="AU523" s="81">
        <v>1190.6600000000001</v>
      </c>
      <c r="AV523" s="81">
        <v>0</v>
      </c>
      <c r="AW523" s="81">
        <v>0</v>
      </c>
      <c r="AX523" s="81">
        <v>0</v>
      </c>
      <c r="AY523" s="81">
        <v>0</v>
      </c>
      <c r="AZ523" s="81">
        <v>0</v>
      </c>
      <c r="BA523" s="81">
        <v>0</v>
      </c>
      <c r="BB523" s="81">
        <v>1190.6600000000001</v>
      </c>
      <c r="BC523" s="229"/>
      <c r="BD523" s="229"/>
      <c r="BE523" s="229"/>
      <c r="BF523" s="229"/>
      <c r="BG523" s="229"/>
      <c r="BH523" s="229">
        <v>1190.6600000000001</v>
      </c>
      <c r="BI523" s="229">
        <v>0</v>
      </c>
      <c r="BJ523" s="229">
        <v>0</v>
      </c>
      <c r="BK523" s="229">
        <v>0</v>
      </c>
      <c r="BL523" s="229">
        <v>0</v>
      </c>
      <c r="BM523" s="229">
        <v>0</v>
      </c>
      <c r="BN523" s="229">
        <v>0</v>
      </c>
      <c r="BO523" s="229">
        <v>1190.6600000000001</v>
      </c>
    </row>
    <row r="524" spans="1:67">
      <c r="A524" s="215" t="s">
        <v>1950</v>
      </c>
      <c r="B524" s="215" t="str">
        <f>_xlfn.TEXTJOIN("_",,ERP_34[[#This Row],[LT Member -1*]],ERP_34[[#This Row],[Expense Category]],ERP_34[[#This Row],[Project Code*]])</f>
        <v>Tamavada, Ram_MANAGED SERVICES_IT-SFT1434-OG-US-00</v>
      </c>
      <c r="C524" s="67" t="s">
        <v>1136</v>
      </c>
      <c r="D524" s="216" t="s">
        <v>1135</v>
      </c>
      <c r="E524" s="216" t="s">
        <v>1165</v>
      </c>
      <c r="F524" s="216" t="s">
        <v>1137</v>
      </c>
      <c r="G524" s="217" t="s">
        <v>389</v>
      </c>
      <c r="H524" s="218" t="s">
        <v>1952</v>
      </c>
      <c r="I524" s="219"/>
      <c r="J524" s="219"/>
      <c r="K524" s="220" t="s">
        <v>489</v>
      </c>
      <c r="L524" s="70" t="s">
        <v>1153</v>
      </c>
      <c r="M524" s="219"/>
      <c r="N524" s="219"/>
      <c r="O524" s="216" t="s">
        <v>490</v>
      </c>
      <c r="P524" s="221"/>
      <c r="Q524" s="222"/>
      <c r="R524" s="71">
        <v>3999.9999999999995</v>
      </c>
      <c r="S524" s="73">
        <v>4632.7199999999993</v>
      </c>
      <c r="T524" s="223">
        <v>3999.9999999999995</v>
      </c>
      <c r="U524" s="71">
        <f>ERP_34[[#This Row],[LE2 Final Submission]]-ERP_34[[#This Row],[LE3 Final Submission]]</f>
        <v>632.7199999999998</v>
      </c>
      <c r="V524" s="224">
        <v>571.28</v>
      </c>
      <c r="W524" s="225">
        <v>587.64</v>
      </c>
      <c r="X524" s="225">
        <v>473.79</v>
      </c>
      <c r="Y524" s="228">
        <v>333.33</v>
      </c>
      <c r="Z524" s="228">
        <v>333.33</v>
      </c>
      <c r="AA524" s="228">
        <v>333.33</v>
      </c>
      <c r="AB524" s="228">
        <v>333.33</v>
      </c>
      <c r="AC524" s="228">
        <v>333.33</v>
      </c>
      <c r="AD524" s="228">
        <v>333.33</v>
      </c>
      <c r="AE524" s="228">
        <v>333.33</v>
      </c>
      <c r="AF524" s="228">
        <v>333.33</v>
      </c>
      <c r="AG524" s="228">
        <v>333.37</v>
      </c>
      <c r="AH524" s="194">
        <f t="shared" ref="AH524:AH587" si="20">SUM(V524:AG524)</f>
        <v>4632.7199999999993</v>
      </c>
      <c r="AI524" s="108">
        <f>ERP_34[[#This Row],[2026 Working Total]]-ERP_34[[#This Row],[2026 LE0]]</f>
        <v>632.7199999999998</v>
      </c>
      <c r="AJ524" s="227"/>
      <c r="AK524" s="227"/>
      <c r="AL5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4" s="80"/>
      <c r="AN524" s="79">
        <f>ERP_34[[#This Row],[2026 Working Total to Budget/LE]]-ERP_34[[#This Row],[Giveback]]</f>
        <v>632.7199999999998</v>
      </c>
      <c r="AO524" s="81"/>
      <c r="AP524" s="81">
        <v>571.28</v>
      </c>
      <c r="AQ524" s="81">
        <v>587.64</v>
      </c>
      <c r="AR524" s="81">
        <v>473.79</v>
      </c>
      <c r="AS524" s="81">
        <v>333.33</v>
      </c>
      <c r="AT524" s="81">
        <v>333.33</v>
      </c>
      <c r="AU524" s="81">
        <v>333.33</v>
      </c>
      <c r="AV524" s="81">
        <v>333.33</v>
      </c>
      <c r="AW524" s="81">
        <v>333.33</v>
      </c>
      <c r="AX524" s="81">
        <v>333.33</v>
      </c>
      <c r="AY524" s="81">
        <v>333.33</v>
      </c>
      <c r="AZ524" s="81">
        <v>333.33</v>
      </c>
      <c r="BA524" s="81">
        <v>333.37</v>
      </c>
      <c r="BB524" s="81">
        <v>4632.7199999999993</v>
      </c>
      <c r="BC524" s="227">
        <v>571.28</v>
      </c>
      <c r="BD524" s="227">
        <v>587.64</v>
      </c>
      <c r="BE524" s="227">
        <v>473.79</v>
      </c>
      <c r="BF524" s="227">
        <v>333.33</v>
      </c>
      <c r="BG524" s="227">
        <v>333.33</v>
      </c>
      <c r="BH524" s="227">
        <v>333.33</v>
      </c>
      <c r="BI524" s="227">
        <v>333.33</v>
      </c>
      <c r="BJ524" s="227">
        <v>333.33</v>
      </c>
      <c r="BK524" s="227">
        <v>333.33</v>
      </c>
      <c r="BL524" s="227">
        <v>333.33</v>
      </c>
      <c r="BM524" s="227">
        <v>333.33</v>
      </c>
      <c r="BN524" s="227">
        <v>333.37</v>
      </c>
      <c r="BO524" s="227">
        <v>4632.7199999999993</v>
      </c>
    </row>
    <row r="525" spans="1:67">
      <c r="A525" s="215" t="s">
        <v>2582</v>
      </c>
      <c r="B525" s="215" t="str">
        <f>_xlfn.TEXTJOIN("_",,ERP_34[[#This Row],[LT Member -1*]],ERP_34[[#This Row],[Expense Category]],ERP_34[[#This Row],[Project Code*]])</f>
        <v>Tamavada, Ram_SOFTWARE_IT-SFT1434-OG-US-00</v>
      </c>
      <c r="C525" s="67" t="s">
        <v>1136</v>
      </c>
      <c r="D525" s="216" t="s">
        <v>1135</v>
      </c>
      <c r="E525" s="216" t="s">
        <v>1165</v>
      </c>
      <c r="F525" s="216" t="s">
        <v>1137</v>
      </c>
      <c r="G525" s="217" t="s">
        <v>639</v>
      </c>
      <c r="H525" s="218" t="s">
        <v>1952</v>
      </c>
      <c r="I525" s="219"/>
      <c r="J525" s="219"/>
      <c r="K525" s="220" t="s">
        <v>489</v>
      </c>
      <c r="L525" s="70" t="s">
        <v>1153</v>
      </c>
      <c r="M525" s="219"/>
      <c r="N525" s="219"/>
      <c r="O525" s="216" t="s">
        <v>490</v>
      </c>
      <c r="P525" s="221"/>
      <c r="Q525" s="222"/>
      <c r="R525" s="71">
        <v>23000</v>
      </c>
      <c r="S525" s="73">
        <v>21098.22</v>
      </c>
      <c r="T525" s="223">
        <v>23000</v>
      </c>
      <c r="U525" s="71">
        <f>ERP_34[[#This Row],[LE2 Final Submission]]-ERP_34[[#This Row],[LE3 Final Submission]]</f>
        <v>-1901.7799999999988</v>
      </c>
      <c r="V525" s="224"/>
      <c r="W525" s="225"/>
      <c r="X525" s="225">
        <v>21098.22</v>
      </c>
      <c r="Y525" s="228">
        <v>0</v>
      </c>
      <c r="Z525" s="226">
        <v>0</v>
      </c>
      <c r="AA525" s="226">
        <v>0</v>
      </c>
      <c r="AB525" s="226">
        <v>0</v>
      </c>
      <c r="AC525" s="226">
        <v>0</v>
      </c>
      <c r="AD525" s="226">
        <v>0</v>
      </c>
      <c r="AE525" s="226">
        <v>0</v>
      </c>
      <c r="AF525" s="226">
        <v>0</v>
      </c>
      <c r="AG525" s="226">
        <v>0</v>
      </c>
      <c r="AH525" s="194">
        <f t="shared" si="20"/>
        <v>21098.22</v>
      </c>
      <c r="AI525" s="108">
        <f>ERP_34[[#This Row],[2026 Working Total]]-ERP_34[[#This Row],[2026 LE0]]</f>
        <v>-1901.7799999999988</v>
      </c>
      <c r="AJ525" s="227"/>
      <c r="AK525" s="227"/>
      <c r="AL5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5" s="80"/>
      <c r="AN525" s="79">
        <f>ERP_34[[#This Row],[2026 Working Total to Budget/LE]]-ERP_34[[#This Row],[Giveback]]</f>
        <v>-1901.7799999999988</v>
      </c>
      <c r="AO525" s="81"/>
      <c r="AP525" s="81"/>
      <c r="AQ525" s="81"/>
      <c r="AR525" s="81">
        <v>21098.22</v>
      </c>
      <c r="AS525" s="81">
        <v>0</v>
      </c>
      <c r="AT525" s="81">
        <v>0</v>
      </c>
      <c r="AU525" s="81">
        <v>0</v>
      </c>
      <c r="AV525" s="81">
        <v>0</v>
      </c>
      <c r="AW525" s="81">
        <v>0</v>
      </c>
      <c r="AX525" s="81">
        <v>0</v>
      </c>
      <c r="AY525" s="81">
        <v>0</v>
      </c>
      <c r="AZ525" s="81">
        <v>0</v>
      </c>
      <c r="BA525" s="81">
        <v>0</v>
      </c>
      <c r="BB525" s="81">
        <v>21098.22</v>
      </c>
      <c r="BC525" s="227"/>
      <c r="BD525" s="227"/>
      <c r="BE525" s="227">
        <v>21098.22</v>
      </c>
      <c r="BF525" s="227">
        <v>21098.22</v>
      </c>
      <c r="BG525" s="227">
        <v>0</v>
      </c>
      <c r="BH525" s="227">
        <v>0</v>
      </c>
      <c r="BI525" s="227">
        <v>0</v>
      </c>
      <c r="BJ525" s="227">
        <v>0</v>
      </c>
      <c r="BK525" s="227">
        <v>0</v>
      </c>
      <c r="BL525" s="227">
        <v>0</v>
      </c>
      <c r="BM525" s="227">
        <v>0</v>
      </c>
      <c r="BN525" s="227">
        <v>0</v>
      </c>
      <c r="BO525" s="227">
        <v>42196.44</v>
      </c>
    </row>
    <row r="526" spans="1:67">
      <c r="A526" s="215" t="s">
        <v>2030</v>
      </c>
      <c r="B526" s="215" t="str">
        <f>_xlfn.TEXTJOIN("_",,ERP_34[[#This Row],[LT Member -1*]],ERP_34[[#This Row],[Expense Category]],ERP_34[[#This Row],[Project Code*]])</f>
        <v>Hase, Raj_MANAGED SERVICES_IT-SFT1436-OG-US-00</v>
      </c>
      <c r="C526" s="67" t="s">
        <v>1136</v>
      </c>
      <c r="D526" s="216" t="s">
        <v>1345</v>
      </c>
      <c r="E526" s="216" t="s">
        <v>1345</v>
      </c>
      <c r="F526" s="216" t="s">
        <v>1346</v>
      </c>
      <c r="G526" s="217" t="s">
        <v>389</v>
      </c>
      <c r="H526" s="218" t="s">
        <v>2031</v>
      </c>
      <c r="I526" s="219"/>
      <c r="J526" s="219"/>
      <c r="K526" s="219" t="s">
        <v>537</v>
      </c>
      <c r="L526" s="219"/>
      <c r="M526" s="219"/>
      <c r="N526" s="219"/>
      <c r="O526" s="216" t="s">
        <v>25</v>
      </c>
      <c r="P526" s="221"/>
      <c r="Q526" s="222"/>
      <c r="R526" s="71">
        <v>9476.7599999999984</v>
      </c>
      <c r="S526" s="73">
        <v>8989.8399999999983</v>
      </c>
      <c r="T526" s="223">
        <v>9476.7599999999984</v>
      </c>
      <c r="U526" s="71">
        <f>ERP_34[[#This Row],[LE2 Final Submission]]-ERP_34[[#This Row],[LE3 Final Submission]]</f>
        <v>-486.92000000000007</v>
      </c>
      <c r="V526" s="224">
        <v>730.3</v>
      </c>
      <c r="W526" s="225">
        <v>738.84</v>
      </c>
      <c r="X526" s="225">
        <v>752.07</v>
      </c>
      <c r="Y526" s="228">
        <v>752.07</v>
      </c>
      <c r="Z526" s="228">
        <v>752.07</v>
      </c>
      <c r="AA526" s="228">
        <v>752.07</v>
      </c>
      <c r="AB526" s="228">
        <v>752.07</v>
      </c>
      <c r="AC526" s="228">
        <v>752.07</v>
      </c>
      <c r="AD526" s="228">
        <v>752.07</v>
      </c>
      <c r="AE526" s="228">
        <v>752.07</v>
      </c>
      <c r="AF526" s="228">
        <v>752.07</v>
      </c>
      <c r="AG526" s="228">
        <v>752.07</v>
      </c>
      <c r="AH526" s="194">
        <f t="shared" si="20"/>
        <v>8989.8399999999983</v>
      </c>
      <c r="AI526" s="108">
        <f>ERP_34[[#This Row],[2026 Working Total]]-ERP_34[[#This Row],[2026 LE0]]</f>
        <v>-486.92000000000007</v>
      </c>
      <c r="AJ526" s="227"/>
      <c r="AK526" s="227"/>
      <c r="AL5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6" s="80"/>
      <c r="AN526" s="79">
        <f>ERP_34[[#This Row],[2026 Working Total to Budget/LE]]-ERP_34[[#This Row],[Giveback]]</f>
        <v>-486.92000000000007</v>
      </c>
      <c r="AO526" s="81"/>
      <c r="AP526" s="81">
        <v>730.3</v>
      </c>
      <c r="AQ526" s="81">
        <v>738.84</v>
      </c>
      <c r="AR526" s="81">
        <v>752.07</v>
      </c>
      <c r="AS526" s="81">
        <v>752.07</v>
      </c>
      <c r="AT526" s="81">
        <v>752.07</v>
      </c>
      <c r="AU526" s="81">
        <v>752.07</v>
      </c>
      <c r="AV526" s="81">
        <v>752.07</v>
      </c>
      <c r="AW526" s="81">
        <v>752.07</v>
      </c>
      <c r="AX526" s="81">
        <v>752.07</v>
      </c>
      <c r="AY526" s="81">
        <v>752.07</v>
      </c>
      <c r="AZ526" s="81">
        <v>752.07</v>
      </c>
      <c r="BA526" s="81">
        <v>752.07</v>
      </c>
      <c r="BB526" s="81">
        <v>8989.8399999999983</v>
      </c>
      <c r="BC526" s="227">
        <v>730.3</v>
      </c>
      <c r="BD526" s="227">
        <v>738.84</v>
      </c>
      <c r="BE526" s="227">
        <v>752.07</v>
      </c>
      <c r="BF526" s="227">
        <v>789.73</v>
      </c>
      <c r="BG526" s="227">
        <v>789.73</v>
      </c>
      <c r="BH526" s="227">
        <v>789.73</v>
      </c>
      <c r="BI526" s="227">
        <v>789.73</v>
      </c>
      <c r="BJ526" s="227">
        <v>789.73</v>
      </c>
      <c r="BK526" s="227">
        <v>789.73</v>
      </c>
      <c r="BL526" s="227">
        <v>789.73</v>
      </c>
      <c r="BM526" s="227">
        <v>789.73</v>
      </c>
      <c r="BN526" s="227">
        <v>789.73</v>
      </c>
      <c r="BO526" s="227">
        <v>9328.779999999997</v>
      </c>
    </row>
    <row r="527" spans="1:67">
      <c r="A527" s="215" t="s">
        <v>2584</v>
      </c>
      <c r="B527" s="215" t="str">
        <f>_xlfn.TEXTJOIN("_",,ERP_34[[#This Row],[LT Member -1*]],ERP_34[[#This Row],[Expense Category]],ERP_34[[#This Row],[Project Code*]])</f>
        <v>Tamavada, Ram_SOFTWARE_IT-SFT1441-OG-US-00</v>
      </c>
      <c r="C527" s="67" t="s">
        <v>1136</v>
      </c>
      <c r="D527" s="216" t="s">
        <v>1135</v>
      </c>
      <c r="E527" s="216" t="s">
        <v>1165</v>
      </c>
      <c r="F527" s="216" t="s">
        <v>1137</v>
      </c>
      <c r="G527" s="217" t="s">
        <v>639</v>
      </c>
      <c r="H527" s="218" t="s">
        <v>2586</v>
      </c>
      <c r="I527" s="219"/>
      <c r="J527" s="219"/>
      <c r="K527" s="219" t="s">
        <v>892</v>
      </c>
      <c r="L527" s="219"/>
      <c r="M527" s="219"/>
      <c r="N527" s="219"/>
      <c r="O527" s="216" t="s">
        <v>490</v>
      </c>
      <c r="P527" s="221"/>
      <c r="Q527" s="222"/>
      <c r="R527" s="71">
        <v>35569</v>
      </c>
      <c r="S527" s="73">
        <v>35569</v>
      </c>
      <c r="T527" s="223">
        <v>35569</v>
      </c>
      <c r="U527" s="71">
        <f>ERP_34[[#This Row],[LE2 Final Submission]]-ERP_34[[#This Row],[LE3 Final Submission]]</f>
        <v>0</v>
      </c>
      <c r="V527" s="224"/>
      <c r="W527" s="225"/>
      <c r="X527" s="225"/>
      <c r="Y527" s="228"/>
      <c r="Z527" s="228"/>
      <c r="AA527" s="228">
        <v>35569</v>
      </c>
      <c r="AB527" s="226">
        <v>0</v>
      </c>
      <c r="AC527" s="226">
        <v>0</v>
      </c>
      <c r="AD527" s="226">
        <v>0</v>
      </c>
      <c r="AE527" s="226">
        <v>0</v>
      </c>
      <c r="AF527" s="226">
        <v>0</v>
      </c>
      <c r="AG527" s="226">
        <v>0</v>
      </c>
      <c r="AH527" s="194">
        <f t="shared" si="20"/>
        <v>35569</v>
      </c>
      <c r="AI527" s="108">
        <f>ERP_34[[#This Row],[2026 Working Total]]-ERP_34[[#This Row],[2026 LE0]]</f>
        <v>0</v>
      </c>
      <c r="AJ527" s="227"/>
      <c r="AK527" s="227"/>
      <c r="AL5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7" s="80"/>
      <c r="AN527" s="79">
        <f>ERP_34[[#This Row],[2026 Working Total to Budget/LE]]-ERP_34[[#This Row],[Giveback]]</f>
        <v>0</v>
      </c>
      <c r="AO527" s="81"/>
      <c r="AP527" s="81"/>
      <c r="AQ527" s="81"/>
      <c r="AR527" s="81"/>
      <c r="AS527" s="81"/>
      <c r="AT527" s="81"/>
      <c r="AU527" s="81">
        <v>35569</v>
      </c>
      <c r="AV527" s="81">
        <v>0</v>
      </c>
      <c r="AW527" s="81">
        <v>0</v>
      </c>
      <c r="AX527" s="81">
        <v>0</v>
      </c>
      <c r="AY527" s="81">
        <v>0</v>
      </c>
      <c r="AZ527" s="81">
        <v>0</v>
      </c>
      <c r="BA527" s="81">
        <v>0</v>
      </c>
      <c r="BB527" s="81">
        <v>35569</v>
      </c>
      <c r="BC527" s="227"/>
      <c r="BD527" s="227"/>
      <c r="BE527" s="227"/>
      <c r="BF527" s="227"/>
      <c r="BG527" s="227"/>
      <c r="BH527" s="227">
        <v>35569</v>
      </c>
      <c r="BI527" s="227">
        <v>0</v>
      </c>
      <c r="BJ527" s="227">
        <v>0</v>
      </c>
      <c r="BK527" s="227">
        <v>0</v>
      </c>
      <c r="BL527" s="227">
        <v>0</v>
      </c>
      <c r="BM527" s="227">
        <v>0</v>
      </c>
      <c r="BN527" s="227">
        <v>0</v>
      </c>
      <c r="BO527" s="227">
        <v>35569</v>
      </c>
    </row>
    <row r="528" spans="1:67">
      <c r="A528" s="215" t="s">
        <v>2125</v>
      </c>
      <c r="B528" s="215" t="str">
        <f>_xlfn.TEXTJOIN("_",,ERP_34[[#This Row],[LT Member -1*]],ERP_34[[#This Row],[Expense Category]],ERP_34[[#This Row],[Project Code*]])</f>
        <v>McGettigan, David_MANAGED SERVICES_IT-SFT1442-OG-US-00</v>
      </c>
      <c r="C528" s="67" t="s">
        <v>1136</v>
      </c>
      <c r="D528" s="216" t="s">
        <v>1567</v>
      </c>
      <c r="E528" s="216" t="s">
        <v>1567</v>
      </c>
      <c r="F528" s="216" t="s">
        <v>1567</v>
      </c>
      <c r="G528" s="217" t="s">
        <v>389</v>
      </c>
      <c r="H528" s="218" t="s">
        <v>2127</v>
      </c>
      <c r="I528" s="219"/>
      <c r="J528" s="219"/>
      <c r="K528" s="70" t="s">
        <v>587</v>
      </c>
      <c r="L528" s="219"/>
      <c r="M528" s="219"/>
      <c r="N528" s="219"/>
      <c r="O528" s="216" t="s">
        <v>25</v>
      </c>
      <c r="P528" s="221"/>
      <c r="Q528" s="222"/>
      <c r="R528" s="71">
        <v>0</v>
      </c>
      <c r="S528" s="73">
        <v>21.89</v>
      </c>
      <c r="T528" s="223">
        <v>0</v>
      </c>
      <c r="U528" s="71">
        <f>ERP_34[[#This Row],[LE2 Final Submission]]-ERP_34[[#This Row],[LE3 Final Submission]]</f>
        <v>21.89</v>
      </c>
      <c r="V528" s="224">
        <v>11.06</v>
      </c>
      <c r="W528" s="225">
        <v>5.54</v>
      </c>
      <c r="X528" s="225">
        <v>5.29</v>
      </c>
      <c r="Y528" s="226">
        <v>0</v>
      </c>
      <c r="Z528" s="226">
        <v>0</v>
      </c>
      <c r="AA528" s="226">
        <v>0</v>
      </c>
      <c r="AB528" s="226">
        <v>0</v>
      </c>
      <c r="AC528" s="226">
        <v>0</v>
      </c>
      <c r="AD528" s="226">
        <v>0</v>
      </c>
      <c r="AE528" s="226">
        <v>0</v>
      </c>
      <c r="AF528" s="226">
        <v>0</v>
      </c>
      <c r="AG528" s="226">
        <v>0</v>
      </c>
      <c r="AH528" s="194">
        <f t="shared" si="20"/>
        <v>21.89</v>
      </c>
      <c r="AI528" s="108">
        <f>ERP_34[[#This Row],[2026 Working Total]]-ERP_34[[#This Row],[2026 LE0]]</f>
        <v>21.89</v>
      </c>
      <c r="AJ528" s="227"/>
      <c r="AK528" s="227"/>
      <c r="AL52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8" s="80"/>
      <c r="AN528" s="79">
        <f>ERP_34[[#This Row],[2026 Working Total to Budget/LE]]-ERP_34[[#This Row],[Giveback]]</f>
        <v>21.89</v>
      </c>
      <c r="AO528" s="81"/>
      <c r="AP528" s="81">
        <v>11.06</v>
      </c>
      <c r="AQ528" s="81">
        <v>5.54</v>
      </c>
      <c r="AR528" s="81">
        <v>5.29</v>
      </c>
      <c r="AS528" s="81">
        <v>0</v>
      </c>
      <c r="AT528" s="81">
        <v>0</v>
      </c>
      <c r="AU528" s="81">
        <v>0</v>
      </c>
      <c r="AV528" s="81">
        <v>0</v>
      </c>
      <c r="AW528" s="81">
        <v>0</v>
      </c>
      <c r="AX528" s="81">
        <v>0</v>
      </c>
      <c r="AY528" s="81">
        <v>0</v>
      </c>
      <c r="AZ528" s="81">
        <v>0</v>
      </c>
      <c r="BA528" s="81">
        <v>0</v>
      </c>
      <c r="BB528" s="81">
        <v>21.89</v>
      </c>
      <c r="BC528" s="227">
        <v>11.06</v>
      </c>
      <c r="BD528" s="227">
        <v>5.54</v>
      </c>
      <c r="BE528" s="227">
        <v>5.29</v>
      </c>
      <c r="BF528" s="227">
        <v>0</v>
      </c>
      <c r="BG528" s="227">
        <v>0</v>
      </c>
      <c r="BH528" s="227">
        <v>0</v>
      </c>
      <c r="BI528" s="227">
        <v>0</v>
      </c>
      <c r="BJ528" s="227">
        <v>0</v>
      </c>
      <c r="BK528" s="227">
        <v>0</v>
      </c>
      <c r="BL528" s="227">
        <v>0</v>
      </c>
      <c r="BM528" s="227">
        <v>0</v>
      </c>
      <c r="BN528" s="227">
        <v>0</v>
      </c>
      <c r="BO528" s="227">
        <v>21.89</v>
      </c>
    </row>
    <row r="529" spans="1:67">
      <c r="A529" s="215" t="s">
        <v>2587</v>
      </c>
      <c r="B529" s="215" t="str">
        <f>_xlfn.TEXTJOIN("_",,ERP_34[[#This Row],[LT Member -1*]],ERP_34[[#This Row],[Expense Category]],ERP_34[[#This Row],[Project Code*]])</f>
        <v>Dougherty, Chris_SOFTWARE_IT-SFT1445-OG-US-00</v>
      </c>
      <c r="C529" s="67" t="s">
        <v>1136</v>
      </c>
      <c r="D529" s="216" t="s">
        <v>1135</v>
      </c>
      <c r="E529" s="216" t="s">
        <v>1135</v>
      </c>
      <c r="F529" s="216" t="s">
        <v>1137</v>
      </c>
      <c r="G529" s="217" t="s">
        <v>639</v>
      </c>
      <c r="H529" s="218" t="s">
        <v>2588</v>
      </c>
      <c r="I529" s="219"/>
      <c r="J529" s="219"/>
      <c r="K529" s="219" t="s">
        <v>894</v>
      </c>
      <c r="L529" s="219"/>
      <c r="M529" s="219"/>
      <c r="N529" s="219"/>
      <c r="O529" s="216" t="s">
        <v>25</v>
      </c>
      <c r="P529" s="221"/>
      <c r="Q529" s="222"/>
      <c r="R529" s="71">
        <v>30000</v>
      </c>
      <c r="S529" s="73">
        <v>30000</v>
      </c>
      <c r="T529" s="223">
        <v>30000</v>
      </c>
      <c r="U529" s="71">
        <f>ERP_34[[#This Row],[LE2 Final Submission]]-ERP_34[[#This Row],[LE3 Final Submission]]</f>
        <v>0</v>
      </c>
      <c r="V529" s="224"/>
      <c r="W529" s="225"/>
      <c r="X529" s="225"/>
      <c r="Y529" s="228"/>
      <c r="Z529" s="228"/>
      <c r="AA529" s="228"/>
      <c r="AB529" s="228"/>
      <c r="AC529" s="228">
        <v>30000</v>
      </c>
      <c r="AD529" s="226">
        <v>0</v>
      </c>
      <c r="AE529" s="226">
        <v>0</v>
      </c>
      <c r="AF529" s="226">
        <v>0</v>
      </c>
      <c r="AG529" s="226">
        <v>0</v>
      </c>
      <c r="AH529" s="194">
        <f t="shared" si="20"/>
        <v>30000</v>
      </c>
      <c r="AI529" s="108">
        <f>ERP_34[[#This Row],[2026 Working Total]]-ERP_34[[#This Row],[2026 LE0]]</f>
        <v>0</v>
      </c>
      <c r="AJ529" s="227"/>
      <c r="AK529" s="227"/>
      <c r="AL52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29" s="80"/>
      <c r="AN529" s="79">
        <f>ERP_34[[#This Row],[2026 Working Total to Budget/LE]]-ERP_34[[#This Row],[Giveback]]</f>
        <v>0</v>
      </c>
      <c r="AO529" s="81"/>
      <c r="AP529" s="81"/>
      <c r="AQ529" s="81"/>
      <c r="AR529" s="81"/>
      <c r="AS529" s="81"/>
      <c r="AT529" s="81"/>
      <c r="AU529" s="81"/>
      <c r="AV529" s="81"/>
      <c r="AW529" s="81">
        <v>30000</v>
      </c>
      <c r="AX529" s="81">
        <v>0</v>
      </c>
      <c r="AY529" s="81">
        <v>0</v>
      </c>
      <c r="AZ529" s="81">
        <v>0</v>
      </c>
      <c r="BA529" s="81">
        <v>0</v>
      </c>
      <c r="BB529" s="81">
        <v>30000</v>
      </c>
      <c r="BC529" s="227"/>
      <c r="BD529" s="227"/>
      <c r="BE529" s="227"/>
      <c r="BF529" s="227"/>
      <c r="BG529" s="227"/>
      <c r="BH529" s="227"/>
      <c r="BI529" s="227"/>
      <c r="BJ529" s="227">
        <v>30000</v>
      </c>
      <c r="BK529" s="227">
        <v>0</v>
      </c>
      <c r="BL529" s="227">
        <v>0</v>
      </c>
      <c r="BM529" s="227">
        <v>0</v>
      </c>
      <c r="BN529" s="227">
        <v>0</v>
      </c>
      <c r="BO529" s="227">
        <v>30000</v>
      </c>
    </row>
    <row r="530" spans="1:67">
      <c r="A530" s="229" t="s">
        <v>2692</v>
      </c>
      <c r="B530" s="230" t="str">
        <f>_xlfn.TEXTJOIN("_",,ERP_34[[#This Row],[LT Member -1*]],ERP_34[[#This Row],[Expense Category]],ERP_34[[#This Row],[Project Code*]])</f>
        <v>Yeluri, Durga_SOFTWARE_IT-SFT1449-OG-US-00</v>
      </c>
      <c r="C530" s="67" t="s">
        <v>2959</v>
      </c>
      <c r="D530" s="231" t="s">
        <v>1345</v>
      </c>
      <c r="E530" s="232" t="s">
        <v>1437</v>
      </c>
      <c r="F530" s="233" t="s">
        <v>1346</v>
      </c>
      <c r="G530" s="232" t="s">
        <v>639</v>
      </c>
      <c r="H530" s="234" t="s">
        <v>2694</v>
      </c>
      <c r="I530" s="231"/>
      <c r="J530" s="231"/>
      <c r="K530" s="235" t="s">
        <v>952</v>
      </c>
      <c r="L530" s="236"/>
      <c r="M530" s="237"/>
      <c r="N530" s="219" t="s">
        <v>1710</v>
      </c>
      <c r="O530" s="235" t="s">
        <v>863</v>
      </c>
      <c r="P530" s="238" t="s">
        <v>1348</v>
      </c>
      <c r="Q530" s="239"/>
      <c r="R530" s="240">
        <v>231903.75</v>
      </c>
      <c r="S530" s="95">
        <v>0</v>
      </c>
      <c r="T530" s="241">
        <v>231903.75</v>
      </c>
      <c r="U530" s="203">
        <f>ERP_34[[#This Row],[LE2 Final Submission]]-ERP_34[[#This Row],[LE3 Final Submission]]</f>
        <v>-231903.75</v>
      </c>
      <c r="V530" s="242"/>
      <c r="W530" s="243"/>
      <c r="X530" s="243"/>
      <c r="Y530" s="244">
        <v>0</v>
      </c>
      <c r="Z530" s="244">
        <v>0</v>
      </c>
      <c r="AA530" s="244">
        <v>0</v>
      </c>
      <c r="AB530" s="244">
        <v>0</v>
      </c>
      <c r="AC530" s="244">
        <v>0</v>
      </c>
      <c r="AD530" s="244">
        <v>0</v>
      </c>
      <c r="AE530" s="244">
        <v>0</v>
      </c>
      <c r="AF530" s="244">
        <v>0</v>
      </c>
      <c r="AG530" s="244">
        <v>0</v>
      </c>
      <c r="AH530" s="245">
        <f t="shared" si="20"/>
        <v>0</v>
      </c>
      <c r="AI530" s="108">
        <f>ERP_34[[#This Row],[2026 Working Total]]-ERP_34[[#This Row],[2026 LE0]]</f>
        <v>-231903.75</v>
      </c>
      <c r="AJ530" s="227"/>
      <c r="AK530" s="227"/>
      <c r="AL53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0" s="80"/>
      <c r="AN530" s="79">
        <f>ERP_34[[#This Row],[2026 Working Total to Budget/LE]]-ERP_34[[#This Row],[Giveback]]</f>
        <v>-231903.75</v>
      </c>
      <c r="AO530" s="81"/>
      <c r="AP530" s="81"/>
      <c r="AQ530" s="81"/>
      <c r="AR530" s="81"/>
      <c r="AS530" s="81">
        <v>0</v>
      </c>
      <c r="AT530" s="81">
        <v>0</v>
      </c>
      <c r="AU530" s="81">
        <v>0</v>
      </c>
      <c r="AV530" s="81">
        <v>0</v>
      </c>
      <c r="AW530" s="81">
        <v>0</v>
      </c>
      <c r="AX530" s="81">
        <v>0</v>
      </c>
      <c r="AY530" s="81">
        <v>0</v>
      </c>
      <c r="AZ530" s="81">
        <v>0</v>
      </c>
      <c r="BA530" s="81">
        <v>0</v>
      </c>
      <c r="BB530" s="81">
        <v>0</v>
      </c>
      <c r="BC530" s="246">
        <v>231903.75</v>
      </c>
      <c r="BD530" s="246">
        <v>0</v>
      </c>
      <c r="BE530" s="246">
        <v>0</v>
      </c>
      <c r="BF530" s="246">
        <v>0</v>
      </c>
      <c r="BG530" s="246">
        <v>0</v>
      </c>
      <c r="BH530" s="246">
        <v>0</v>
      </c>
      <c r="BI530" s="246">
        <v>0</v>
      </c>
      <c r="BJ530" s="246">
        <v>0</v>
      </c>
      <c r="BK530" s="246">
        <v>0</v>
      </c>
      <c r="BL530" s="246">
        <v>0</v>
      </c>
      <c r="BM530" s="246">
        <v>0</v>
      </c>
      <c r="BN530" s="246">
        <v>0</v>
      </c>
      <c r="BO530" s="229">
        <f>SUM(ERP_34[[#This Row],[2026 AP01]:[2026 AP12]])</f>
        <v>231903.75</v>
      </c>
    </row>
    <row r="531" spans="1:67">
      <c r="A531" s="229" t="s">
        <v>2696</v>
      </c>
      <c r="B531" s="230" t="str">
        <f>_xlfn.TEXTJOIN("_",,ERP_34[[#This Row],[LT Member -1*]],ERP_34[[#This Row],[Expense Category]],ERP_34[[#This Row],[Project Code*]])</f>
        <v>Yeluri, Durga_SOFTWARE_IT-SFT1449-OG-US-00/PF</v>
      </c>
      <c r="C531" s="67" t="s">
        <v>2959</v>
      </c>
      <c r="D531" s="231" t="s">
        <v>1345</v>
      </c>
      <c r="E531" s="232" t="s">
        <v>1437</v>
      </c>
      <c r="F531" s="233" t="s">
        <v>1346</v>
      </c>
      <c r="G531" s="232" t="s">
        <v>639</v>
      </c>
      <c r="H531" s="234" t="s">
        <v>2698</v>
      </c>
      <c r="I531" s="231"/>
      <c r="J531" s="231"/>
      <c r="K531" s="235" t="s">
        <v>954</v>
      </c>
      <c r="L531" s="236"/>
      <c r="M531" s="237"/>
      <c r="N531" s="219" t="s">
        <v>1710</v>
      </c>
      <c r="O531" s="235" t="s">
        <v>863</v>
      </c>
      <c r="P531" s="238" t="s">
        <v>1348</v>
      </c>
      <c r="Q531" s="239"/>
      <c r="R531" s="240">
        <v>-231903.75</v>
      </c>
      <c r="S531" s="95">
        <v>0</v>
      </c>
      <c r="T531" s="241">
        <v>-231903.75</v>
      </c>
      <c r="U531" s="203">
        <f>ERP_34[[#This Row],[LE2 Final Submission]]-ERP_34[[#This Row],[LE3 Final Submission]]</f>
        <v>231903.75</v>
      </c>
      <c r="V531" s="242"/>
      <c r="W531" s="243"/>
      <c r="X531" s="243"/>
      <c r="Y531" s="244">
        <v>0</v>
      </c>
      <c r="Z531" s="244">
        <v>0</v>
      </c>
      <c r="AA531" s="244">
        <v>0</v>
      </c>
      <c r="AB531" s="244">
        <v>0</v>
      </c>
      <c r="AC531" s="244">
        <v>0</v>
      </c>
      <c r="AD531" s="244">
        <v>0</v>
      </c>
      <c r="AE531" s="244">
        <v>0</v>
      </c>
      <c r="AF531" s="244">
        <v>0</v>
      </c>
      <c r="AG531" s="244">
        <v>0</v>
      </c>
      <c r="AH531" s="245">
        <f t="shared" si="20"/>
        <v>0</v>
      </c>
      <c r="AI531" s="108">
        <f>ERP_34[[#This Row],[2026 Working Total]]-ERP_34[[#This Row],[2026 LE0]]</f>
        <v>231903.75</v>
      </c>
      <c r="AJ531" s="227"/>
      <c r="AK531" s="227"/>
      <c r="AL53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1" s="80"/>
      <c r="AN531" s="79">
        <f>ERP_34[[#This Row],[2026 Working Total to Budget/LE]]-ERP_34[[#This Row],[Giveback]]</f>
        <v>231903.75</v>
      </c>
      <c r="AO531" s="81"/>
      <c r="AP531" s="81"/>
      <c r="AQ531" s="81"/>
      <c r="AR531" s="81"/>
      <c r="AS531" s="81">
        <v>0</v>
      </c>
      <c r="AT531" s="81">
        <v>0</v>
      </c>
      <c r="AU531" s="81">
        <v>0</v>
      </c>
      <c r="AV531" s="81">
        <v>0</v>
      </c>
      <c r="AW531" s="81">
        <v>0</v>
      </c>
      <c r="AX531" s="81">
        <v>0</v>
      </c>
      <c r="AY531" s="81">
        <v>0</v>
      </c>
      <c r="AZ531" s="81">
        <v>0</v>
      </c>
      <c r="BA531" s="81">
        <v>0</v>
      </c>
      <c r="BB531" s="81">
        <v>0</v>
      </c>
      <c r="BC531" s="246">
        <v>-231903.75</v>
      </c>
      <c r="BD531" s="246">
        <v>0</v>
      </c>
      <c r="BE531" s="246">
        <v>0</v>
      </c>
      <c r="BF531" s="246">
        <v>0</v>
      </c>
      <c r="BG531" s="246">
        <v>0</v>
      </c>
      <c r="BH531" s="246">
        <v>0</v>
      </c>
      <c r="BI531" s="246">
        <v>0</v>
      </c>
      <c r="BJ531" s="246">
        <v>0</v>
      </c>
      <c r="BK531" s="246">
        <v>0</v>
      </c>
      <c r="BL531" s="246">
        <v>0</v>
      </c>
      <c r="BM531" s="246">
        <v>0</v>
      </c>
      <c r="BN531" s="246">
        <v>0</v>
      </c>
      <c r="BO531" s="229">
        <f>SUM(ERP_34[[#This Row],[2026 AP01]:[2026 AP12]])</f>
        <v>-231903.75</v>
      </c>
    </row>
    <row r="532" spans="1:67">
      <c r="A532" s="215" t="s">
        <v>2817</v>
      </c>
      <c r="B532" s="215" t="str">
        <f>_xlfn.TEXTJOIN("_",,ERP_34[[#This Row],[LT Member -1*]],ERP_34[[#This Row],[Expense Category]],ERP_34[[#This Row],[Project Code*]])</f>
        <v>Robertson, Jerome_SOFTWARE_IT-SFT1453-OG-US-00</v>
      </c>
      <c r="C532" s="67" t="s">
        <v>1136</v>
      </c>
      <c r="D532" s="216" t="s">
        <v>1650</v>
      </c>
      <c r="E532" s="216" t="s">
        <v>1650</v>
      </c>
      <c r="F532" s="216" t="s">
        <v>1650</v>
      </c>
      <c r="G532" s="217" t="s">
        <v>639</v>
      </c>
      <c r="H532" s="218" t="s">
        <v>2818</v>
      </c>
      <c r="I532" s="219"/>
      <c r="J532" s="219"/>
      <c r="K532" s="219" t="s">
        <v>1024</v>
      </c>
      <c r="L532" s="219"/>
      <c r="M532" s="219"/>
      <c r="N532" s="219"/>
      <c r="O532" s="216" t="s">
        <v>25</v>
      </c>
      <c r="P532" s="221"/>
      <c r="Q532" s="222"/>
      <c r="R532" s="71">
        <v>156778.01999999999</v>
      </c>
      <c r="S532" s="73">
        <v>156778.01999999999</v>
      </c>
      <c r="T532" s="223">
        <v>156778.01999999999</v>
      </c>
      <c r="U532" s="71">
        <f>ERP_34[[#This Row],[LE2 Final Submission]]-ERP_34[[#This Row],[LE3 Final Submission]]</f>
        <v>0</v>
      </c>
      <c r="V532" s="224">
        <v>10768</v>
      </c>
      <c r="W532" s="225">
        <v>146010.01999999999</v>
      </c>
      <c r="X532" s="247">
        <v>0</v>
      </c>
      <c r="Y532" s="226">
        <v>0</v>
      </c>
      <c r="Z532" s="226">
        <v>0</v>
      </c>
      <c r="AA532" s="226">
        <v>0</v>
      </c>
      <c r="AB532" s="226">
        <v>0</v>
      </c>
      <c r="AC532" s="226">
        <v>0</v>
      </c>
      <c r="AD532" s="226">
        <v>0</v>
      </c>
      <c r="AE532" s="226">
        <v>0</v>
      </c>
      <c r="AF532" s="226">
        <v>0</v>
      </c>
      <c r="AG532" s="226">
        <v>0</v>
      </c>
      <c r="AH532" s="194">
        <f t="shared" si="20"/>
        <v>156778.01999999999</v>
      </c>
      <c r="AI532" s="108">
        <f>ERP_34[[#This Row],[2026 Working Total]]-ERP_34[[#This Row],[2026 LE0]]</f>
        <v>0</v>
      </c>
      <c r="AJ532" s="227"/>
      <c r="AK532" s="227"/>
      <c r="AL53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2" s="80"/>
      <c r="AN532" s="79">
        <f>ERP_34[[#This Row],[2026 Working Total to Budget/LE]]-ERP_34[[#This Row],[Giveback]]</f>
        <v>0</v>
      </c>
      <c r="AO532" s="81"/>
      <c r="AP532" s="81">
        <v>10768</v>
      </c>
      <c r="AQ532" s="81">
        <v>146010.01999999999</v>
      </c>
      <c r="AR532" s="81">
        <v>0</v>
      </c>
      <c r="AS532" s="81">
        <v>0</v>
      </c>
      <c r="AT532" s="81">
        <v>0</v>
      </c>
      <c r="AU532" s="81">
        <v>0</v>
      </c>
      <c r="AV532" s="81">
        <v>0</v>
      </c>
      <c r="AW532" s="81">
        <v>0</v>
      </c>
      <c r="AX532" s="81">
        <v>0</v>
      </c>
      <c r="AY532" s="81">
        <v>0</v>
      </c>
      <c r="AZ532" s="81">
        <v>0</v>
      </c>
      <c r="BA532" s="81">
        <v>0</v>
      </c>
      <c r="BB532" s="81">
        <v>156778.01999999999</v>
      </c>
      <c r="BC532" s="227">
        <v>10768</v>
      </c>
      <c r="BD532" s="227">
        <v>146010.01999999999</v>
      </c>
      <c r="BE532" s="227">
        <v>0</v>
      </c>
      <c r="BF532" s="227">
        <v>0</v>
      </c>
      <c r="BG532" s="227">
        <v>0</v>
      </c>
      <c r="BH532" s="227">
        <v>0</v>
      </c>
      <c r="BI532" s="227">
        <v>0</v>
      </c>
      <c r="BJ532" s="227">
        <v>0</v>
      </c>
      <c r="BK532" s="227">
        <v>0</v>
      </c>
      <c r="BL532" s="227">
        <v>0</v>
      </c>
      <c r="BM532" s="227">
        <v>0</v>
      </c>
      <c r="BN532" s="227">
        <v>0</v>
      </c>
      <c r="BO532" s="227">
        <v>156778.01999999999</v>
      </c>
    </row>
    <row r="533" spans="1:67">
      <c r="A533" s="229" t="s">
        <v>2589</v>
      </c>
      <c r="B533" s="230" t="str">
        <f>_xlfn.TEXTJOIN("_",,ERP_34[[#This Row],[LT Member -1*]],ERP_34[[#This Row],[Expense Category]],ERP_34[[#This Row],[Project Code*]])</f>
        <v>Dougherty, Chris_SOFTWARE_IT-SFT1457-OG-US-00</v>
      </c>
      <c r="C533" s="67" t="s">
        <v>2959</v>
      </c>
      <c r="D533" s="231" t="s">
        <v>1135</v>
      </c>
      <c r="E533" s="232" t="s">
        <v>1135</v>
      </c>
      <c r="F533" s="217" t="s">
        <v>1137</v>
      </c>
      <c r="G533" s="232" t="s">
        <v>639</v>
      </c>
      <c r="H533" s="234" t="s">
        <v>2590</v>
      </c>
      <c r="I533" s="216"/>
      <c r="J533" s="216"/>
      <c r="K533" s="248" t="s">
        <v>896</v>
      </c>
      <c r="L533" s="249"/>
      <c r="M533" s="219"/>
      <c r="N533" s="219" t="s">
        <v>1710</v>
      </c>
      <c r="O533" s="235" t="s">
        <v>863</v>
      </c>
      <c r="P533" s="238" t="s">
        <v>1779</v>
      </c>
      <c r="Q533" s="239"/>
      <c r="R533" s="240">
        <v>169614.9</v>
      </c>
      <c r="S533" s="95">
        <v>0</v>
      </c>
      <c r="T533" s="250">
        <v>169614.9</v>
      </c>
      <c r="U533" s="191">
        <f>ERP_34[[#This Row],[LE2 Final Submission]]-ERP_34[[#This Row],[LE3 Final Submission]]</f>
        <v>-169614.9</v>
      </c>
      <c r="V533" s="242"/>
      <c r="W533" s="243"/>
      <c r="X533" s="243"/>
      <c r="Y533" s="244">
        <v>0</v>
      </c>
      <c r="Z533" s="244">
        <v>0</v>
      </c>
      <c r="AA533" s="244">
        <v>0</v>
      </c>
      <c r="AB533" s="244">
        <v>0</v>
      </c>
      <c r="AC533" s="244">
        <v>0</v>
      </c>
      <c r="AD533" s="244">
        <v>0</v>
      </c>
      <c r="AE533" s="244">
        <v>0</v>
      </c>
      <c r="AF533" s="244">
        <v>0</v>
      </c>
      <c r="AG533" s="244">
        <v>0</v>
      </c>
      <c r="AH533" s="245">
        <f t="shared" si="20"/>
        <v>0</v>
      </c>
      <c r="AI533" s="108">
        <f>ERP_34[[#This Row],[2026 Working Total]]-ERP_34[[#This Row],[2026 LE0]]</f>
        <v>-169614.9</v>
      </c>
      <c r="AJ533" s="227"/>
      <c r="AK533" s="227"/>
      <c r="AL5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3" s="80"/>
      <c r="AN533" s="79">
        <f>ERP_34[[#This Row],[2026 Working Total to Budget/LE]]-ERP_34[[#This Row],[Giveback]]</f>
        <v>-169614.9</v>
      </c>
      <c r="AO533" s="81"/>
      <c r="AP533" s="81"/>
      <c r="AQ533" s="81"/>
      <c r="AR533" s="81"/>
      <c r="AS533" s="81">
        <v>0</v>
      </c>
      <c r="AT533" s="81">
        <v>0</v>
      </c>
      <c r="AU533" s="81">
        <v>0</v>
      </c>
      <c r="AV533" s="81">
        <v>0</v>
      </c>
      <c r="AW533" s="81">
        <v>0</v>
      </c>
      <c r="AX533" s="81">
        <v>0</v>
      </c>
      <c r="AY533" s="81">
        <v>0</v>
      </c>
      <c r="AZ533" s="81">
        <v>0</v>
      </c>
      <c r="BA533" s="81">
        <v>0</v>
      </c>
      <c r="BB533" s="81">
        <v>0</v>
      </c>
      <c r="BC533" s="246">
        <v>169614.9</v>
      </c>
      <c r="BD533" s="246">
        <v>0</v>
      </c>
      <c r="BE533" s="246">
        <v>0</v>
      </c>
      <c r="BF533" s="246">
        <v>0</v>
      </c>
      <c r="BG533" s="246">
        <v>0</v>
      </c>
      <c r="BH533" s="246">
        <v>0</v>
      </c>
      <c r="BI533" s="246">
        <v>0</v>
      </c>
      <c r="BJ533" s="246">
        <v>0</v>
      </c>
      <c r="BK533" s="246">
        <v>0</v>
      </c>
      <c r="BL533" s="246">
        <v>0</v>
      </c>
      <c r="BM533" s="246">
        <v>0</v>
      </c>
      <c r="BN533" s="246">
        <v>0</v>
      </c>
      <c r="BO533" s="229">
        <f>SUM(ERP_34[[#This Row],[2026 AP01]:[2026 AP12]])</f>
        <v>169614.9</v>
      </c>
    </row>
    <row r="534" spans="1:67">
      <c r="A534" s="229" t="s">
        <v>2592</v>
      </c>
      <c r="B534" s="230" t="str">
        <f>_xlfn.TEXTJOIN("_",,ERP_34[[#This Row],[LT Member -1*]],ERP_34[[#This Row],[Expense Category]],ERP_34[[#This Row],[Project Code*]])</f>
        <v>Dougherty, Chris_SOFTWARE_IT-SFT1457-OG-US-00/PF</v>
      </c>
      <c r="C534" s="67" t="s">
        <v>2959</v>
      </c>
      <c r="D534" s="231" t="s">
        <v>1135</v>
      </c>
      <c r="E534" s="251" t="s">
        <v>1135</v>
      </c>
      <c r="F534" s="217" t="s">
        <v>1137</v>
      </c>
      <c r="G534" s="232" t="s">
        <v>639</v>
      </c>
      <c r="H534" s="252" t="s">
        <v>2593</v>
      </c>
      <c r="I534" s="216"/>
      <c r="J534" s="216"/>
      <c r="K534" s="140" t="s">
        <v>898</v>
      </c>
      <c r="L534" s="249"/>
      <c r="M534" s="219"/>
      <c r="N534" s="219" t="s">
        <v>1710</v>
      </c>
      <c r="O534" s="253" t="s">
        <v>863</v>
      </c>
      <c r="P534" s="238" t="s">
        <v>2499</v>
      </c>
      <c r="Q534" s="239"/>
      <c r="R534" s="240">
        <v>-169614.9</v>
      </c>
      <c r="S534" s="95">
        <v>0</v>
      </c>
      <c r="T534" s="250">
        <v>-169614.9</v>
      </c>
      <c r="U534" s="191">
        <f>ERP_34[[#This Row],[LE2 Final Submission]]-ERP_34[[#This Row],[LE3 Final Submission]]</f>
        <v>169614.9</v>
      </c>
      <c r="V534" s="242"/>
      <c r="W534" s="243"/>
      <c r="X534" s="243"/>
      <c r="Y534" s="244">
        <v>0</v>
      </c>
      <c r="Z534" s="244">
        <v>0</v>
      </c>
      <c r="AA534" s="244">
        <v>0</v>
      </c>
      <c r="AB534" s="244">
        <v>0</v>
      </c>
      <c r="AC534" s="244">
        <v>0</v>
      </c>
      <c r="AD534" s="244">
        <v>0</v>
      </c>
      <c r="AE534" s="244">
        <v>0</v>
      </c>
      <c r="AF534" s="244">
        <v>0</v>
      </c>
      <c r="AG534" s="244">
        <v>0</v>
      </c>
      <c r="AH534" s="245">
        <f t="shared" si="20"/>
        <v>0</v>
      </c>
      <c r="AI534" s="108">
        <f>ERP_34[[#This Row],[2026 Working Total]]-ERP_34[[#This Row],[2026 LE0]]</f>
        <v>169614.9</v>
      </c>
      <c r="AJ534" s="227"/>
      <c r="AK534" s="227"/>
      <c r="AL5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4" s="80"/>
      <c r="AN534" s="79">
        <f>ERP_34[[#This Row],[2026 Working Total to Budget/LE]]-ERP_34[[#This Row],[Giveback]]</f>
        <v>169614.9</v>
      </c>
      <c r="AO534" s="81"/>
      <c r="AP534" s="81"/>
      <c r="AQ534" s="81"/>
      <c r="AR534" s="81"/>
      <c r="AS534" s="81">
        <v>0</v>
      </c>
      <c r="AT534" s="81">
        <v>0</v>
      </c>
      <c r="AU534" s="81">
        <v>0</v>
      </c>
      <c r="AV534" s="81">
        <v>0</v>
      </c>
      <c r="AW534" s="81">
        <v>0</v>
      </c>
      <c r="AX534" s="81">
        <v>0</v>
      </c>
      <c r="AY534" s="81">
        <v>0</v>
      </c>
      <c r="AZ534" s="81">
        <v>0</v>
      </c>
      <c r="BA534" s="81">
        <v>0</v>
      </c>
      <c r="BB534" s="81">
        <v>0</v>
      </c>
      <c r="BC534" s="246">
        <v>-169614.9</v>
      </c>
      <c r="BD534" s="246">
        <v>0</v>
      </c>
      <c r="BE534" s="246">
        <v>0</v>
      </c>
      <c r="BF534" s="246">
        <v>0</v>
      </c>
      <c r="BG534" s="246">
        <v>0</v>
      </c>
      <c r="BH534" s="246">
        <v>0</v>
      </c>
      <c r="BI534" s="246">
        <v>0</v>
      </c>
      <c r="BJ534" s="246">
        <v>0</v>
      </c>
      <c r="BK534" s="246">
        <v>0</v>
      </c>
      <c r="BL534" s="246">
        <v>0</v>
      </c>
      <c r="BM534" s="246">
        <v>0</v>
      </c>
      <c r="BN534" s="246">
        <v>0</v>
      </c>
      <c r="BO534" s="229">
        <f>SUM(ERP_34[[#This Row],[2026 AP01]:[2026 AP12]])</f>
        <v>-169614.9</v>
      </c>
    </row>
    <row r="535" spans="1:67">
      <c r="A535" s="215" t="s">
        <v>1502</v>
      </c>
      <c r="B535" s="215" t="str">
        <f>_xlfn.TEXTJOIN("_",,ERP_34[[#This Row],[LT Member -1*]],ERP_34[[#This Row],[Expense Category]],ERP_34[[#This Row],[Project Code*]])</f>
        <v>Vaidya, Sachin_CONTRACTORS_IT-SFT1458-OG-US-00</v>
      </c>
      <c r="C535" s="67" t="s">
        <v>1136</v>
      </c>
      <c r="D535" s="216" t="s">
        <v>1345</v>
      </c>
      <c r="E535" s="216" t="s">
        <v>1481</v>
      </c>
      <c r="F535" s="216" t="s">
        <v>1346</v>
      </c>
      <c r="G535" s="217" t="s">
        <v>49</v>
      </c>
      <c r="H535" s="218" t="s">
        <v>1504</v>
      </c>
      <c r="I535" s="219"/>
      <c r="J535" s="219"/>
      <c r="K535" s="219" t="s">
        <v>234</v>
      </c>
      <c r="L535" s="219"/>
      <c r="M535" s="219"/>
      <c r="N535" s="219"/>
      <c r="O535" s="216" t="s">
        <v>25</v>
      </c>
      <c r="P535" s="254" t="s">
        <v>1505</v>
      </c>
      <c r="Q535" s="255"/>
      <c r="R535" s="137">
        <v>0</v>
      </c>
      <c r="S535" s="139">
        <v>0</v>
      </c>
      <c r="T535" s="256">
        <v>0</v>
      </c>
      <c r="U535" s="137">
        <f>ERP_34[[#This Row],[LE2 Final Submission]]-ERP_34[[#This Row],[LE3 Final Submission]]</f>
        <v>0</v>
      </c>
      <c r="V535" s="224"/>
      <c r="W535" s="225">
        <v>304987.09999999998</v>
      </c>
      <c r="X535" s="225">
        <v>-304987.09999999998</v>
      </c>
      <c r="Y535" s="228"/>
      <c r="Z535" s="228"/>
      <c r="AA535" s="228"/>
      <c r="AB535" s="228"/>
      <c r="AC535" s="228"/>
      <c r="AD535" s="228"/>
      <c r="AE535" s="228"/>
      <c r="AF535" s="228"/>
      <c r="AG535" s="228"/>
      <c r="AH535" s="257">
        <f t="shared" si="20"/>
        <v>0</v>
      </c>
      <c r="AI535" s="107">
        <f>ERP_34[[#This Row],[2026 Working Total]]-ERP_34[[#This Row],[2026 LE0]]</f>
        <v>0</v>
      </c>
      <c r="AJ535" s="227"/>
      <c r="AK535" s="227"/>
      <c r="AL5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5" s="80"/>
      <c r="AN535" s="79">
        <f>ERP_34[[#This Row],[2026 Working Total to Budget/LE]]-ERP_34[[#This Row],[Giveback]]</f>
        <v>0</v>
      </c>
      <c r="AO535" s="81"/>
      <c r="AP535" s="81"/>
      <c r="AQ535" s="81">
        <v>304987.09999999998</v>
      </c>
      <c r="AR535" s="81">
        <v>-304987.09999999998</v>
      </c>
      <c r="AS535" s="81"/>
      <c r="AT535" s="81"/>
      <c r="AU535" s="81"/>
      <c r="AV535" s="81"/>
      <c r="AW535" s="81"/>
      <c r="AX535" s="81"/>
      <c r="AY535" s="81"/>
      <c r="AZ535" s="81"/>
      <c r="BA535" s="81"/>
      <c r="BB535" s="81">
        <v>0</v>
      </c>
      <c r="BC535" s="227"/>
      <c r="BD535" s="227">
        <v>304987.09999999998</v>
      </c>
      <c r="BE535" s="227">
        <v>-304987.09999999998</v>
      </c>
      <c r="BF535" s="227"/>
      <c r="BG535" s="227"/>
      <c r="BH535" s="227"/>
      <c r="BI535" s="227"/>
      <c r="BJ535" s="227"/>
      <c r="BK535" s="227"/>
      <c r="BL535" s="227"/>
      <c r="BM535" s="227"/>
      <c r="BN535" s="227"/>
      <c r="BO535" s="227">
        <v>0</v>
      </c>
    </row>
    <row r="536" spans="1:67">
      <c r="A536" s="215" t="s">
        <v>2728</v>
      </c>
      <c r="B536" s="215" t="str">
        <f>_xlfn.TEXTJOIN("_",,ERP_34[[#This Row],[LT Member -1*]],ERP_34[[#This Row],[Expense Category]],ERP_34[[#This Row],[Project Code*]])</f>
        <v>Vaidya, Sachin_SOFTWARE_IT-SFT1458-OG-US-00</v>
      </c>
      <c r="C536" s="67" t="s">
        <v>1136</v>
      </c>
      <c r="D536" s="216" t="s">
        <v>1345</v>
      </c>
      <c r="E536" s="216" t="s">
        <v>1481</v>
      </c>
      <c r="F536" s="216" t="s">
        <v>1346</v>
      </c>
      <c r="G536" s="217" t="s">
        <v>639</v>
      </c>
      <c r="H536" s="218" t="s">
        <v>1504</v>
      </c>
      <c r="I536" s="219"/>
      <c r="J536" s="219"/>
      <c r="K536" s="219" t="s">
        <v>234</v>
      </c>
      <c r="L536" s="219"/>
      <c r="M536" s="219"/>
      <c r="N536" s="219"/>
      <c r="O536" s="216" t="s">
        <v>25</v>
      </c>
      <c r="P536" s="221" t="s">
        <v>1483</v>
      </c>
      <c r="Q536" s="222"/>
      <c r="R536" s="71">
        <v>353631</v>
      </c>
      <c r="S536" s="73">
        <v>353631</v>
      </c>
      <c r="T536" s="223">
        <v>353631</v>
      </c>
      <c r="U536" s="71">
        <f>ERP_34[[#This Row],[LE2 Final Submission]]-ERP_34[[#This Row],[LE3 Final Submission]]</f>
        <v>0</v>
      </c>
      <c r="V536" s="224"/>
      <c r="W536" s="225"/>
      <c r="X536" s="225">
        <v>304987.09999999998</v>
      </c>
      <c r="Y536" s="226">
        <v>0</v>
      </c>
      <c r="Z536" s="226">
        <v>0</v>
      </c>
      <c r="AA536" s="226">
        <v>0</v>
      </c>
      <c r="AB536" s="226">
        <v>0</v>
      </c>
      <c r="AC536" s="226">
        <v>0</v>
      </c>
      <c r="AD536" s="228">
        <v>48643.9</v>
      </c>
      <c r="AE536" s="226">
        <v>0</v>
      </c>
      <c r="AF536" s="226">
        <v>0</v>
      </c>
      <c r="AG536" s="226">
        <v>0</v>
      </c>
      <c r="AH536" s="257">
        <f t="shared" si="20"/>
        <v>353631</v>
      </c>
      <c r="AI536" s="107">
        <f>ERP_34[[#This Row],[2026 Working Total]]-ERP_34[[#This Row],[2026 LE0]]</f>
        <v>0</v>
      </c>
      <c r="AJ536" s="227"/>
      <c r="AK536" s="227"/>
      <c r="AL5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6" s="80"/>
      <c r="AN536" s="79">
        <f>ERP_34[[#This Row],[2026 Working Total to Budget/LE]]-ERP_34[[#This Row],[Giveback]]</f>
        <v>0</v>
      </c>
      <c r="AO536" s="81"/>
      <c r="AP536" s="81"/>
      <c r="AQ536" s="81"/>
      <c r="AR536" s="81">
        <v>304987.09999999998</v>
      </c>
      <c r="AS536" s="81">
        <v>0</v>
      </c>
      <c r="AT536" s="81">
        <v>0</v>
      </c>
      <c r="AU536" s="81">
        <v>0</v>
      </c>
      <c r="AV536" s="81">
        <v>0</v>
      </c>
      <c r="AW536" s="81">
        <v>0</v>
      </c>
      <c r="AX536" s="81">
        <v>48643.9</v>
      </c>
      <c r="AY536" s="81">
        <v>0</v>
      </c>
      <c r="AZ536" s="81">
        <v>0</v>
      </c>
      <c r="BA536" s="81">
        <v>0</v>
      </c>
      <c r="BB536" s="81">
        <v>353631</v>
      </c>
      <c r="BC536" s="227"/>
      <c r="BD536" s="227"/>
      <c r="BE536" s="227">
        <v>304987.09999999998</v>
      </c>
      <c r="BF536" s="227">
        <v>0</v>
      </c>
      <c r="BG536" s="227">
        <v>0</v>
      </c>
      <c r="BH536" s="227">
        <v>0</v>
      </c>
      <c r="BI536" s="227">
        <v>24321.95</v>
      </c>
      <c r="BJ536" s="227">
        <v>24321.95</v>
      </c>
      <c r="BK536" s="227">
        <v>0</v>
      </c>
      <c r="BL536" s="227">
        <v>0</v>
      </c>
      <c r="BM536" s="227">
        <v>0</v>
      </c>
      <c r="BN536" s="227">
        <v>0</v>
      </c>
      <c r="BO536" s="227">
        <v>353631</v>
      </c>
    </row>
    <row r="537" spans="1:67">
      <c r="A537" s="215" t="s">
        <v>1506</v>
      </c>
      <c r="B537" s="215" t="str">
        <f>_xlfn.TEXTJOIN("_",,ERP_34[[#This Row],[LT Member -1*]],ERP_34[[#This Row],[Expense Category]],ERP_34[[#This Row],[Project Code*]])</f>
        <v>Vaidya, Sachin_CONTRACTORS_IT-SFT1459-OG-US-00</v>
      </c>
      <c r="C537" s="67" t="s">
        <v>1136</v>
      </c>
      <c r="D537" s="216" t="s">
        <v>1345</v>
      </c>
      <c r="E537" s="216" t="s">
        <v>1481</v>
      </c>
      <c r="F537" s="216" t="s">
        <v>1346</v>
      </c>
      <c r="G537" s="217" t="s">
        <v>49</v>
      </c>
      <c r="H537" s="218" t="s">
        <v>1508</v>
      </c>
      <c r="I537" s="219"/>
      <c r="J537" s="219"/>
      <c r="K537" s="219" t="s">
        <v>236</v>
      </c>
      <c r="L537" s="219"/>
      <c r="M537" s="219"/>
      <c r="N537" s="219"/>
      <c r="O537" s="216" t="s">
        <v>25</v>
      </c>
      <c r="P537" s="254" t="s">
        <v>1509</v>
      </c>
      <c r="Q537" s="255"/>
      <c r="R537" s="137">
        <v>0</v>
      </c>
      <c r="S537" s="139">
        <v>0</v>
      </c>
      <c r="T537" s="256">
        <v>0</v>
      </c>
      <c r="U537" s="137">
        <f>ERP_34[[#This Row],[LE2 Final Submission]]-ERP_34[[#This Row],[LE3 Final Submission]]</f>
        <v>0</v>
      </c>
      <c r="V537" s="224"/>
      <c r="W537" s="225">
        <v>331000</v>
      </c>
      <c r="X537" s="225">
        <v>-331000</v>
      </c>
      <c r="Y537" s="228"/>
      <c r="Z537" s="228"/>
      <c r="AA537" s="228"/>
      <c r="AB537" s="228"/>
      <c r="AC537" s="228"/>
      <c r="AD537" s="228"/>
      <c r="AE537" s="228"/>
      <c r="AF537" s="228"/>
      <c r="AG537" s="228"/>
      <c r="AH537" s="194">
        <f t="shared" si="20"/>
        <v>0</v>
      </c>
      <c r="AI537" s="108">
        <f>ERP_34[[#This Row],[2026 Working Total]]-ERP_34[[#This Row],[2026 LE0]]</f>
        <v>0</v>
      </c>
      <c r="AJ537" s="227"/>
      <c r="AK537" s="227"/>
      <c r="AL5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7" s="80"/>
      <c r="AN537" s="79">
        <f>ERP_34[[#This Row],[2026 Working Total to Budget/LE]]-ERP_34[[#This Row],[Giveback]]</f>
        <v>0</v>
      </c>
      <c r="AO537" s="81"/>
      <c r="AP537" s="81"/>
      <c r="AQ537" s="81">
        <v>331000</v>
      </c>
      <c r="AR537" s="81">
        <v>-331000</v>
      </c>
      <c r="AS537" s="81"/>
      <c r="AT537" s="81"/>
      <c r="AU537" s="81"/>
      <c r="AV537" s="81"/>
      <c r="AW537" s="81"/>
      <c r="AX537" s="81"/>
      <c r="AY537" s="81"/>
      <c r="AZ537" s="81"/>
      <c r="BA537" s="81"/>
      <c r="BB537" s="81">
        <v>0</v>
      </c>
      <c r="BC537" s="227"/>
      <c r="BD537" s="227">
        <v>331000</v>
      </c>
      <c r="BE537" s="227">
        <v>-331000</v>
      </c>
      <c r="BF537" s="227"/>
      <c r="BG537" s="227"/>
      <c r="BH537" s="227"/>
      <c r="BI537" s="227"/>
      <c r="BJ537" s="227"/>
      <c r="BK537" s="227"/>
      <c r="BL537" s="227"/>
      <c r="BM537" s="227"/>
      <c r="BN537" s="227"/>
      <c r="BO537" s="227">
        <v>0</v>
      </c>
    </row>
    <row r="538" spans="1:67">
      <c r="A538" s="215" t="s">
        <v>2730</v>
      </c>
      <c r="B538" s="215" t="str">
        <f>_xlfn.TEXTJOIN("_",,ERP_34[[#This Row],[LT Member -1*]],ERP_34[[#This Row],[Expense Category]],ERP_34[[#This Row],[Project Code*]])</f>
        <v>Vaidya, Sachin_SOFTWARE_IT-SFT1459-OG-US-00</v>
      </c>
      <c r="C538" s="67" t="s">
        <v>1136</v>
      </c>
      <c r="D538" s="216" t="s">
        <v>1345</v>
      </c>
      <c r="E538" s="216" t="s">
        <v>1481</v>
      </c>
      <c r="F538" s="216" t="s">
        <v>1346</v>
      </c>
      <c r="G538" s="217" t="s">
        <v>639</v>
      </c>
      <c r="H538" s="218" t="s">
        <v>1508</v>
      </c>
      <c r="I538" s="219"/>
      <c r="J538" s="219"/>
      <c r="K538" s="219" t="s">
        <v>236</v>
      </c>
      <c r="L538" s="219"/>
      <c r="M538" s="219"/>
      <c r="N538" s="219"/>
      <c r="O538" s="216" t="s">
        <v>25</v>
      </c>
      <c r="P538" s="221" t="s">
        <v>1483</v>
      </c>
      <c r="Q538" s="222"/>
      <c r="R538" s="71">
        <v>434000</v>
      </c>
      <c r="S538" s="73">
        <v>434000</v>
      </c>
      <c r="T538" s="223">
        <v>434000</v>
      </c>
      <c r="U538" s="71">
        <f>ERP_34[[#This Row],[LE2 Final Submission]]-ERP_34[[#This Row],[LE3 Final Submission]]</f>
        <v>0</v>
      </c>
      <c r="V538" s="224"/>
      <c r="W538" s="225"/>
      <c r="X538" s="225">
        <v>331000</v>
      </c>
      <c r="Y538" s="226">
        <v>0</v>
      </c>
      <c r="Z538" s="226">
        <v>0</v>
      </c>
      <c r="AA538" s="226">
        <v>81000</v>
      </c>
      <c r="AB538" s="226">
        <v>0</v>
      </c>
      <c r="AC538" s="226">
        <v>0</v>
      </c>
      <c r="AD538" s="226">
        <v>0</v>
      </c>
      <c r="AE538" s="226">
        <v>22000</v>
      </c>
      <c r="AF538" s="226">
        <v>0</v>
      </c>
      <c r="AG538" s="226">
        <v>0</v>
      </c>
      <c r="AH538" s="194">
        <f t="shared" si="20"/>
        <v>434000</v>
      </c>
      <c r="AI538" s="108">
        <f>ERP_34[[#This Row],[2026 Working Total]]-ERP_34[[#This Row],[2026 LE0]]</f>
        <v>0</v>
      </c>
      <c r="AJ538" s="227"/>
      <c r="AK538" s="227"/>
      <c r="AL5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8" s="80"/>
      <c r="AN538" s="79">
        <f>ERP_34[[#This Row],[2026 Working Total to Budget/LE]]-ERP_34[[#This Row],[Giveback]]</f>
        <v>0</v>
      </c>
      <c r="AO538" s="81"/>
      <c r="AP538" s="81"/>
      <c r="AQ538" s="81"/>
      <c r="AR538" s="81">
        <v>331000</v>
      </c>
      <c r="AS538" s="81">
        <v>0</v>
      </c>
      <c r="AT538" s="81">
        <v>0</v>
      </c>
      <c r="AU538" s="81">
        <v>81000</v>
      </c>
      <c r="AV538" s="81">
        <v>0</v>
      </c>
      <c r="AW538" s="81">
        <v>0</v>
      </c>
      <c r="AX538" s="81">
        <v>0</v>
      </c>
      <c r="AY538" s="81">
        <v>22000</v>
      </c>
      <c r="AZ538" s="81">
        <v>0</v>
      </c>
      <c r="BA538" s="81">
        <v>0</v>
      </c>
      <c r="BB538" s="81">
        <v>434000</v>
      </c>
      <c r="BC538" s="227"/>
      <c r="BD538" s="227"/>
      <c r="BE538" s="227">
        <v>331000</v>
      </c>
      <c r="BF538" s="227">
        <v>0</v>
      </c>
      <c r="BG538" s="227">
        <v>0</v>
      </c>
      <c r="BH538" s="227">
        <v>0</v>
      </c>
      <c r="BI538" s="227">
        <v>0</v>
      </c>
      <c r="BJ538" s="227">
        <v>103000</v>
      </c>
      <c r="BK538" s="227">
        <v>0</v>
      </c>
      <c r="BL538" s="227">
        <v>0</v>
      </c>
      <c r="BM538" s="227">
        <v>0</v>
      </c>
      <c r="BN538" s="227">
        <v>0</v>
      </c>
      <c r="BO538" s="227">
        <v>434000</v>
      </c>
    </row>
    <row r="539" spans="1:67">
      <c r="A539" s="215" t="s">
        <v>2732</v>
      </c>
      <c r="B539" s="215" t="str">
        <f>_xlfn.TEXTJOIN("_",,ERP_34[[#This Row],[LT Member -1*]],ERP_34[[#This Row],[Expense Category]],ERP_34[[#This Row],[Project Code*]])</f>
        <v>Vaidya, Sachin_SOFTWARE_IT-SFT1461-OG-US-00</v>
      </c>
      <c r="C539" s="67" t="s">
        <v>1136</v>
      </c>
      <c r="D539" s="216" t="s">
        <v>1345</v>
      </c>
      <c r="E539" s="216" t="s">
        <v>1481</v>
      </c>
      <c r="F539" s="216" t="s">
        <v>1346</v>
      </c>
      <c r="G539" s="217" t="s">
        <v>639</v>
      </c>
      <c r="H539" s="218" t="s">
        <v>2734</v>
      </c>
      <c r="I539" s="219"/>
      <c r="J539" s="219"/>
      <c r="K539" s="219" t="s">
        <v>977</v>
      </c>
      <c r="L539" s="219"/>
      <c r="M539" s="219"/>
      <c r="N539" s="219"/>
      <c r="O539" s="216" t="s">
        <v>25</v>
      </c>
      <c r="P539" s="221" t="s">
        <v>2914</v>
      </c>
      <c r="Q539" s="222"/>
      <c r="R539" s="71">
        <v>15096</v>
      </c>
      <c r="S539" s="73">
        <v>0</v>
      </c>
      <c r="T539" s="223">
        <v>15096</v>
      </c>
      <c r="U539" s="71">
        <f>ERP_34[[#This Row],[LE2 Final Submission]]-ERP_34[[#This Row],[LE3 Final Submission]]</f>
        <v>-15096</v>
      </c>
      <c r="V539" s="224"/>
      <c r="W539" s="225"/>
      <c r="X539" s="225"/>
      <c r="Y539" s="226">
        <v>0</v>
      </c>
      <c r="Z539" s="226">
        <v>0</v>
      </c>
      <c r="AA539" s="226">
        <v>0</v>
      </c>
      <c r="AB539" s="226">
        <v>0</v>
      </c>
      <c r="AC539" s="226">
        <v>0</v>
      </c>
      <c r="AD539" s="226">
        <v>0</v>
      </c>
      <c r="AE539" s="226">
        <v>0</v>
      </c>
      <c r="AF539" s="226">
        <v>0</v>
      </c>
      <c r="AG539" s="226">
        <v>0</v>
      </c>
      <c r="AH539" s="194">
        <f t="shared" si="20"/>
        <v>0</v>
      </c>
      <c r="AI539" s="108">
        <f>ERP_34[[#This Row],[2026 Working Total]]-ERP_34[[#This Row],[2026 LE0]]</f>
        <v>-15096</v>
      </c>
      <c r="AJ539" s="227"/>
      <c r="AK539" s="227"/>
      <c r="AL5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39" s="80"/>
      <c r="AN539" s="79">
        <f>ERP_34[[#This Row],[2026 Working Total to Budget/LE]]-ERP_34[[#This Row],[Giveback]]</f>
        <v>-15096</v>
      </c>
      <c r="AO539" s="81"/>
      <c r="AP539" s="81"/>
      <c r="AQ539" s="81"/>
      <c r="AR539" s="81"/>
      <c r="AS539" s="81">
        <v>0</v>
      </c>
      <c r="AT539" s="81">
        <v>0</v>
      </c>
      <c r="AU539" s="81">
        <v>0</v>
      </c>
      <c r="AV539" s="81">
        <v>0</v>
      </c>
      <c r="AW539" s="81">
        <v>0</v>
      </c>
      <c r="AX539" s="81">
        <v>0</v>
      </c>
      <c r="AY539" s="81">
        <v>0</v>
      </c>
      <c r="AZ539" s="81">
        <v>0</v>
      </c>
      <c r="BA539" s="81">
        <v>0</v>
      </c>
      <c r="BB539" s="81">
        <v>0</v>
      </c>
      <c r="BC539" s="227"/>
      <c r="BD539" s="227"/>
      <c r="BE539" s="227"/>
      <c r="BF539" s="227"/>
      <c r="BG539" s="227"/>
      <c r="BH539" s="227">
        <v>15096</v>
      </c>
      <c r="BI539" s="227">
        <v>0</v>
      </c>
      <c r="BJ539" s="227">
        <v>0</v>
      </c>
      <c r="BK539" s="227">
        <v>0</v>
      </c>
      <c r="BL539" s="227">
        <v>0</v>
      </c>
      <c r="BM539" s="227">
        <v>0</v>
      </c>
      <c r="BN539" s="227">
        <v>0</v>
      </c>
      <c r="BO539" s="227">
        <v>15096</v>
      </c>
    </row>
    <row r="540" spans="1:67" ht="24">
      <c r="A540" s="229" t="s">
        <v>2736</v>
      </c>
      <c r="B540" s="230" t="str">
        <f>_xlfn.TEXTJOIN("_",,ERP_34[[#This Row],[LT Member -1*]],ERP_34[[#This Row],[Expense Category]],ERP_34[[#This Row],[Project Code*]])</f>
        <v>Vaidya, Sachin_SOFTWARE_IT-SFT1462-OG-US-00</v>
      </c>
      <c r="C540" s="67" t="s">
        <v>2959</v>
      </c>
      <c r="D540" s="231" t="s">
        <v>1345</v>
      </c>
      <c r="E540" s="251" t="s">
        <v>1481</v>
      </c>
      <c r="F540" s="233" t="s">
        <v>1346</v>
      </c>
      <c r="G540" s="232" t="s">
        <v>639</v>
      </c>
      <c r="H540" s="252" t="s">
        <v>1486</v>
      </c>
      <c r="I540" s="231"/>
      <c r="J540" s="231"/>
      <c r="K540" s="253" t="s">
        <v>979</v>
      </c>
      <c r="L540" s="236"/>
      <c r="M540" s="237"/>
      <c r="N540" s="237"/>
      <c r="O540" s="253" t="s">
        <v>25</v>
      </c>
      <c r="P540" s="258" t="s">
        <v>2738</v>
      </c>
      <c r="Q540" s="259"/>
      <c r="R540" s="240">
        <v>120000</v>
      </c>
      <c r="S540" s="95">
        <v>0</v>
      </c>
      <c r="T540" s="260">
        <v>120000</v>
      </c>
      <c r="U540" s="97">
        <f>ERP_34[[#This Row],[LE2 Final Submission]]-ERP_34[[#This Row],[LE3 Final Submission]]</f>
        <v>-120000</v>
      </c>
      <c r="V540" s="242">
        <v>0</v>
      </c>
      <c r="W540" s="243">
        <v>0</v>
      </c>
      <c r="X540" s="243">
        <v>0</v>
      </c>
      <c r="Y540" s="244">
        <v>0</v>
      </c>
      <c r="Z540" s="244">
        <v>0</v>
      </c>
      <c r="AA540" s="244">
        <v>0</v>
      </c>
      <c r="AB540" s="244">
        <f t="shared" ref="AB540:AG540" si="21">20000-20000</f>
        <v>0</v>
      </c>
      <c r="AC540" s="244">
        <f t="shared" si="21"/>
        <v>0</v>
      </c>
      <c r="AD540" s="244">
        <f t="shared" si="21"/>
        <v>0</v>
      </c>
      <c r="AE540" s="244">
        <f t="shared" si="21"/>
        <v>0</v>
      </c>
      <c r="AF540" s="244">
        <f t="shared" si="21"/>
        <v>0</v>
      </c>
      <c r="AG540" s="244">
        <f t="shared" si="21"/>
        <v>0</v>
      </c>
      <c r="AH540" s="261">
        <f t="shared" si="20"/>
        <v>0</v>
      </c>
      <c r="AI540" s="107">
        <f>ERP_34[[#This Row],[2026 Working Total]]-ERP_34[[#This Row],[2026 LE0]]</f>
        <v>-120000</v>
      </c>
      <c r="AJ540" s="227"/>
      <c r="AK540" s="227"/>
      <c r="AL5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0" s="80"/>
      <c r="AN540" s="79">
        <f>ERP_34[[#This Row],[2026 Working Total to Budget/LE]]-ERP_34[[#This Row],[Giveback]]</f>
        <v>-120000</v>
      </c>
      <c r="AO540" s="81" t="s">
        <v>2739</v>
      </c>
      <c r="AP540" s="81">
        <v>0</v>
      </c>
      <c r="AQ540" s="81">
        <v>0</v>
      </c>
      <c r="AR540" s="81">
        <v>0</v>
      </c>
      <c r="AS540" s="81">
        <v>0</v>
      </c>
      <c r="AT540" s="81">
        <v>0</v>
      </c>
      <c r="AU540" s="81">
        <v>0</v>
      </c>
      <c r="AV540" s="81">
        <v>0</v>
      </c>
      <c r="AW540" s="81">
        <v>0</v>
      </c>
      <c r="AX540" s="81">
        <v>0</v>
      </c>
      <c r="AY540" s="81">
        <v>0</v>
      </c>
      <c r="AZ540" s="81">
        <v>0</v>
      </c>
      <c r="BA540" s="81">
        <v>0</v>
      </c>
      <c r="BB540" s="81">
        <v>0</v>
      </c>
      <c r="BC540" s="246">
        <v>0</v>
      </c>
      <c r="BD540" s="246">
        <v>0</v>
      </c>
      <c r="BE540" s="246">
        <v>0</v>
      </c>
      <c r="BF540" s="246">
        <v>0</v>
      </c>
      <c r="BG540" s="246">
        <v>0</v>
      </c>
      <c r="BH540" s="246">
        <v>0</v>
      </c>
      <c r="BI540" s="246">
        <v>20000</v>
      </c>
      <c r="BJ540" s="246">
        <v>20000</v>
      </c>
      <c r="BK540" s="246">
        <v>20000</v>
      </c>
      <c r="BL540" s="246">
        <v>20000</v>
      </c>
      <c r="BM540" s="246">
        <v>20000</v>
      </c>
      <c r="BN540" s="246">
        <v>20000</v>
      </c>
      <c r="BO540" s="229">
        <f>SUM(ERP_34[[#This Row],[2026 AP01]:[2026 AP12]])</f>
        <v>120000</v>
      </c>
    </row>
    <row r="541" spans="1:67">
      <c r="A541" s="215" t="s">
        <v>2192</v>
      </c>
      <c r="B541" s="215" t="str">
        <f>_xlfn.TEXTJOIN("_",,ERP_34[[#This Row],[LT Member -1*]],ERP_34[[#This Row],[Expense Category]],ERP_34[[#This Row],[Project Code*]])</f>
        <v>Jajodia, Amit_RENT AND UTILITIES_KM_CompanyCar001</v>
      </c>
      <c r="C541" s="67" t="s">
        <v>1136</v>
      </c>
      <c r="D541" s="216" t="s">
        <v>1345</v>
      </c>
      <c r="E541" s="216" t="s">
        <v>1515</v>
      </c>
      <c r="F541" s="216" t="s">
        <v>1346</v>
      </c>
      <c r="G541" s="217" t="s">
        <v>629</v>
      </c>
      <c r="H541" s="218" t="s">
        <v>2193</v>
      </c>
      <c r="I541" s="219"/>
      <c r="J541" s="219"/>
      <c r="K541" s="219" t="s">
        <v>631</v>
      </c>
      <c r="L541" s="219"/>
      <c r="M541" s="219"/>
      <c r="N541" s="219"/>
      <c r="O541" s="216" t="s">
        <v>632</v>
      </c>
      <c r="P541" s="221"/>
      <c r="Q541" s="222"/>
      <c r="R541" s="71">
        <v>17000</v>
      </c>
      <c r="S541" s="73">
        <v>15576.84</v>
      </c>
      <c r="T541" s="223">
        <v>17000</v>
      </c>
      <c r="U541" s="71">
        <f>ERP_34[[#This Row],[LE2 Final Submission]]-ERP_34[[#This Row],[LE3 Final Submission]]</f>
        <v>-1423.1599999999999</v>
      </c>
      <c r="V541" s="224"/>
      <c r="W541" s="225">
        <v>1512.59</v>
      </c>
      <c r="X541" s="225">
        <v>814.25</v>
      </c>
      <c r="Y541" s="228">
        <v>1250</v>
      </c>
      <c r="Z541" s="228">
        <v>1500</v>
      </c>
      <c r="AA541" s="228">
        <v>1500</v>
      </c>
      <c r="AB541" s="228">
        <v>1500</v>
      </c>
      <c r="AC541" s="228">
        <v>1500</v>
      </c>
      <c r="AD541" s="228">
        <v>1500</v>
      </c>
      <c r="AE541" s="228">
        <v>1500</v>
      </c>
      <c r="AF541" s="228">
        <v>1500</v>
      </c>
      <c r="AG541" s="228">
        <v>1500</v>
      </c>
      <c r="AH541" s="194">
        <f t="shared" si="20"/>
        <v>15576.84</v>
      </c>
      <c r="AI541" s="108">
        <f>ERP_34[[#This Row],[2026 Working Total]]-ERP_34[[#This Row],[2026 LE0]]</f>
        <v>-1423.1599999999999</v>
      </c>
      <c r="AJ541" s="227"/>
      <c r="AK541" s="227"/>
      <c r="AL5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1" s="80"/>
      <c r="AN541" s="79">
        <f>ERP_34[[#This Row],[2026 Working Total to Budget/LE]]-ERP_34[[#This Row],[Giveback]]</f>
        <v>-1423.1599999999999</v>
      </c>
      <c r="AO541" s="81"/>
      <c r="AP541" s="81"/>
      <c r="AQ541" s="81">
        <v>1512.59</v>
      </c>
      <c r="AR541" s="81">
        <v>814.25</v>
      </c>
      <c r="AS541" s="81">
        <v>1250</v>
      </c>
      <c r="AT541" s="81">
        <v>1500</v>
      </c>
      <c r="AU541" s="81">
        <v>1500</v>
      </c>
      <c r="AV541" s="81">
        <v>1500</v>
      </c>
      <c r="AW541" s="81">
        <v>1500</v>
      </c>
      <c r="AX541" s="81">
        <v>1500</v>
      </c>
      <c r="AY541" s="81">
        <v>1500</v>
      </c>
      <c r="AZ541" s="81">
        <v>1500</v>
      </c>
      <c r="BA541" s="81">
        <v>1500</v>
      </c>
      <c r="BB541" s="81">
        <v>15576.84</v>
      </c>
      <c r="BC541" s="227"/>
      <c r="BD541" s="227">
        <v>1512.59</v>
      </c>
      <c r="BE541" s="227">
        <v>814.25</v>
      </c>
      <c r="BF541" s="227">
        <v>1250</v>
      </c>
      <c r="BG541" s="227">
        <v>1500</v>
      </c>
      <c r="BH541" s="227">
        <v>1500</v>
      </c>
      <c r="BI541" s="227">
        <v>1500</v>
      </c>
      <c r="BJ541" s="227">
        <v>1500</v>
      </c>
      <c r="BK541" s="227">
        <v>1500</v>
      </c>
      <c r="BL541" s="227">
        <v>1500</v>
      </c>
      <c r="BM541" s="227">
        <v>1500</v>
      </c>
      <c r="BN541" s="227">
        <v>1500</v>
      </c>
      <c r="BO541" s="227">
        <v>15576.84</v>
      </c>
    </row>
    <row r="542" spans="1:67">
      <c r="A542" s="215" t="s">
        <v>1326</v>
      </c>
      <c r="B542" s="215" t="str">
        <f>_xlfn.TEXTJOIN("_",,ERP_34[[#This Row],[LT Member -1*]],ERP_34[[#This Row],[Expense Category]],ERP_34[[#This Row],[Project Code*]])</f>
        <v>Dougherty, Chris_CONTRACTORS_MISC001</v>
      </c>
      <c r="C542" s="67" t="s">
        <v>1136</v>
      </c>
      <c r="D542" s="216" t="s">
        <v>1135</v>
      </c>
      <c r="E542" s="216" t="s">
        <v>1135</v>
      </c>
      <c r="F542" s="216" t="s">
        <v>1137</v>
      </c>
      <c r="G542" s="217" t="s">
        <v>49</v>
      </c>
      <c r="H542" s="218" t="s">
        <v>1327</v>
      </c>
      <c r="I542" s="219"/>
      <c r="J542" s="219"/>
      <c r="K542" s="219" t="s">
        <v>147</v>
      </c>
      <c r="L542" s="219"/>
      <c r="M542" s="219"/>
      <c r="N542" s="219"/>
      <c r="O542" s="216" t="s">
        <v>25</v>
      </c>
      <c r="P542" s="221"/>
      <c r="Q542" s="222"/>
      <c r="R542" s="71">
        <v>0</v>
      </c>
      <c r="S542" s="73">
        <v>-0.11000000000058208</v>
      </c>
      <c r="T542" s="223">
        <v>0</v>
      </c>
      <c r="U542" s="71">
        <f>ERP_34[[#This Row],[LE2 Final Submission]]-ERP_34[[#This Row],[LE3 Final Submission]]</f>
        <v>-0.11000000000058208</v>
      </c>
      <c r="V542" s="224">
        <v>20093.099999999999</v>
      </c>
      <c r="W542" s="225">
        <v>22504.89</v>
      </c>
      <c r="X542" s="225">
        <v>-42598.1</v>
      </c>
      <c r="Y542" s="226">
        <v>0</v>
      </c>
      <c r="Z542" s="226">
        <v>0</v>
      </c>
      <c r="AA542" s="226">
        <v>0</v>
      </c>
      <c r="AB542" s="226">
        <v>0</v>
      </c>
      <c r="AC542" s="226">
        <v>0</v>
      </c>
      <c r="AD542" s="226">
        <v>0</v>
      </c>
      <c r="AE542" s="226">
        <v>0</v>
      </c>
      <c r="AF542" s="226">
        <v>0</v>
      </c>
      <c r="AG542" s="226">
        <v>0</v>
      </c>
      <c r="AH542" s="194">
        <f t="shared" si="20"/>
        <v>-0.11000000000058208</v>
      </c>
      <c r="AI542" s="108">
        <f>ERP_34[[#This Row],[2026 Working Total]]-ERP_34[[#This Row],[2026 LE0]]</f>
        <v>-0.11000000000058208</v>
      </c>
      <c r="AJ542" s="227"/>
      <c r="AK542" s="227"/>
      <c r="AL5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2" s="80"/>
      <c r="AN542" s="79">
        <f>ERP_34[[#This Row],[2026 Working Total to Budget/LE]]-ERP_34[[#This Row],[Giveback]]</f>
        <v>-0.11000000000058208</v>
      </c>
      <c r="AO542" s="81"/>
      <c r="AP542" s="81">
        <v>20093.099999999999</v>
      </c>
      <c r="AQ542" s="81">
        <v>22504.89</v>
      </c>
      <c r="AR542" s="81">
        <v>-42598.1</v>
      </c>
      <c r="AS542" s="81">
        <v>0</v>
      </c>
      <c r="AT542" s="81">
        <v>0</v>
      </c>
      <c r="AU542" s="81">
        <v>0</v>
      </c>
      <c r="AV542" s="81">
        <v>0</v>
      </c>
      <c r="AW542" s="81">
        <v>0</v>
      </c>
      <c r="AX542" s="81">
        <v>0</v>
      </c>
      <c r="AY542" s="81">
        <v>0</v>
      </c>
      <c r="AZ542" s="81">
        <v>0</v>
      </c>
      <c r="BA542" s="81">
        <v>0</v>
      </c>
      <c r="BB542" s="81">
        <v>-0.11000000000058208</v>
      </c>
      <c r="BC542" s="227">
        <v>20093.099999999999</v>
      </c>
      <c r="BD542" s="227">
        <v>22504.89</v>
      </c>
      <c r="BE542" s="227">
        <v>-42598.1</v>
      </c>
      <c r="BF542" s="227">
        <v>0</v>
      </c>
      <c r="BG542" s="227">
        <v>0</v>
      </c>
      <c r="BH542" s="227">
        <v>0</v>
      </c>
      <c r="BI542" s="227">
        <v>0</v>
      </c>
      <c r="BJ542" s="227">
        <v>0</v>
      </c>
      <c r="BK542" s="227">
        <v>0</v>
      </c>
      <c r="BL542" s="227">
        <v>0</v>
      </c>
      <c r="BM542" s="227">
        <v>0</v>
      </c>
      <c r="BN542" s="227">
        <v>0</v>
      </c>
      <c r="BO542" s="227">
        <v>-0.11000000000058208</v>
      </c>
    </row>
    <row r="543" spans="1:67">
      <c r="A543" s="215" t="s">
        <v>1328</v>
      </c>
      <c r="B543" s="215" t="str">
        <f>_xlfn.TEXTJOIN("_",,ERP_34[[#This Row],[LT Member -1*]],ERP_34[[#This Row],[Expense Category]],ERP_34[[#This Row],[Project Code*]])</f>
        <v>Maguire, Karla_CONTRACTORS_MISC001</v>
      </c>
      <c r="C543" s="67" t="s">
        <v>1136</v>
      </c>
      <c r="D543" s="216" t="s">
        <v>1135</v>
      </c>
      <c r="E543" s="216" t="s">
        <v>1137</v>
      </c>
      <c r="F543" s="216" t="s">
        <v>1137</v>
      </c>
      <c r="G543" s="217" t="s">
        <v>49</v>
      </c>
      <c r="H543" s="218" t="s">
        <v>1327</v>
      </c>
      <c r="I543" s="219"/>
      <c r="J543" s="219"/>
      <c r="K543" s="219" t="s">
        <v>147</v>
      </c>
      <c r="L543" s="219"/>
      <c r="M543" s="219"/>
      <c r="N543" s="219"/>
      <c r="O543" s="216" t="s">
        <v>25</v>
      </c>
      <c r="P543" s="221"/>
      <c r="Q543" s="222"/>
      <c r="R543" s="71">
        <v>0</v>
      </c>
      <c r="S543" s="73">
        <v>1220.75</v>
      </c>
      <c r="T543" s="223">
        <v>0</v>
      </c>
      <c r="U543" s="71">
        <f>ERP_34[[#This Row],[LE2 Final Submission]]-ERP_34[[#This Row],[LE3 Final Submission]]</f>
        <v>1220.75</v>
      </c>
      <c r="V543" s="224">
        <v>669.53</v>
      </c>
      <c r="W543" s="225">
        <v>7.26</v>
      </c>
      <c r="X543" s="225">
        <v>543.96</v>
      </c>
      <c r="Y543" s="226">
        <v>0</v>
      </c>
      <c r="Z543" s="226">
        <v>0</v>
      </c>
      <c r="AA543" s="226">
        <v>0</v>
      </c>
      <c r="AB543" s="226">
        <v>0</v>
      </c>
      <c r="AC543" s="226">
        <v>0</v>
      </c>
      <c r="AD543" s="226">
        <v>0</v>
      </c>
      <c r="AE543" s="226">
        <v>0</v>
      </c>
      <c r="AF543" s="226">
        <v>0</v>
      </c>
      <c r="AG543" s="226">
        <v>0</v>
      </c>
      <c r="AH543" s="194">
        <f t="shared" si="20"/>
        <v>1220.75</v>
      </c>
      <c r="AI543" s="108">
        <f>ERP_34[[#This Row],[2026 Working Total]]-ERP_34[[#This Row],[2026 LE0]]</f>
        <v>1220.75</v>
      </c>
      <c r="AJ543" s="227"/>
      <c r="AK543" s="227"/>
      <c r="AL5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3" s="80"/>
      <c r="AN543" s="79">
        <f>ERP_34[[#This Row],[2026 Working Total to Budget/LE]]-ERP_34[[#This Row],[Giveback]]</f>
        <v>1220.75</v>
      </c>
      <c r="AO543" s="81"/>
      <c r="AP543" s="81">
        <v>669.53</v>
      </c>
      <c r="AQ543" s="81">
        <v>7.26</v>
      </c>
      <c r="AR543" s="81">
        <v>543.96</v>
      </c>
      <c r="AS543" s="81">
        <v>0</v>
      </c>
      <c r="AT543" s="81">
        <v>0</v>
      </c>
      <c r="AU543" s="81">
        <v>0</v>
      </c>
      <c r="AV543" s="81">
        <v>0</v>
      </c>
      <c r="AW543" s="81">
        <v>0</v>
      </c>
      <c r="AX543" s="81">
        <v>0</v>
      </c>
      <c r="AY543" s="81">
        <v>0</v>
      </c>
      <c r="AZ543" s="81">
        <v>0</v>
      </c>
      <c r="BA543" s="81">
        <v>0</v>
      </c>
      <c r="BB543" s="81">
        <v>1220.75</v>
      </c>
      <c r="BC543" s="227">
        <v>669.53</v>
      </c>
      <c r="BD543" s="227">
        <v>7.26</v>
      </c>
      <c r="BE543" s="227">
        <v>543.96</v>
      </c>
      <c r="BF543" s="227">
        <v>0</v>
      </c>
      <c r="BG543" s="227">
        <v>0</v>
      </c>
      <c r="BH543" s="227">
        <v>0</v>
      </c>
      <c r="BI543" s="227">
        <v>0</v>
      </c>
      <c r="BJ543" s="227">
        <v>0</v>
      </c>
      <c r="BK543" s="227">
        <v>0</v>
      </c>
      <c r="BL543" s="227">
        <v>0</v>
      </c>
      <c r="BM543" s="227">
        <v>0</v>
      </c>
      <c r="BN543" s="227">
        <v>0</v>
      </c>
      <c r="BO543" s="227">
        <v>1220.75</v>
      </c>
    </row>
    <row r="544" spans="1:67">
      <c r="A544" s="215" t="s">
        <v>1330</v>
      </c>
      <c r="B544" s="215" t="str">
        <f>_xlfn.TEXTJOIN("_",,ERP_34[[#This Row],[LT Member -1*]],ERP_34[[#This Row],[Expense Category]],ERP_34[[#This Row],[Project Code*]])</f>
        <v>McCormick, Pete_CONTRACTORS_MISC001</v>
      </c>
      <c r="C544" s="67" t="s">
        <v>1136</v>
      </c>
      <c r="D544" s="216" t="s">
        <v>1135</v>
      </c>
      <c r="E544" s="216" t="s">
        <v>1145</v>
      </c>
      <c r="F544" s="216" t="s">
        <v>1137</v>
      </c>
      <c r="G544" s="217" t="s">
        <v>49</v>
      </c>
      <c r="H544" s="218" t="s">
        <v>1327</v>
      </c>
      <c r="I544" s="219"/>
      <c r="J544" s="219"/>
      <c r="K544" s="219" t="s">
        <v>147</v>
      </c>
      <c r="L544" s="219"/>
      <c r="M544" s="219"/>
      <c r="N544" s="219"/>
      <c r="O544" s="216" t="s">
        <v>25</v>
      </c>
      <c r="P544" s="221"/>
      <c r="Q544" s="222"/>
      <c r="R544" s="71">
        <v>0</v>
      </c>
      <c r="S544" s="73">
        <v>5030.5599999999995</v>
      </c>
      <c r="T544" s="223">
        <v>0</v>
      </c>
      <c r="U544" s="71">
        <f>ERP_34[[#This Row],[LE2 Final Submission]]-ERP_34[[#This Row],[LE3 Final Submission]]</f>
        <v>5030.5599999999995</v>
      </c>
      <c r="V544" s="224">
        <v>-0.36</v>
      </c>
      <c r="W544" s="225">
        <v>0.35</v>
      </c>
      <c r="X544" s="225">
        <v>5030.57</v>
      </c>
      <c r="Y544" s="226">
        <v>0</v>
      </c>
      <c r="Z544" s="226">
        <v>0</v>
      </c>
      <c r="AA544" s="226">
        <v>0</v>
      </c>
      <c r="AB544" s="226">
        <v>0</v>
      </c>
      <c r="AC544" s="226">
        <v>0</v>
      </c>
      <c r="AD544" s="226">
        <v>0</v>
      </c>
      <c r="AE544" s="226">
        <v>0</v>
      </c>
      <c r="AF544" s="226">
        <v>0</v>
      </c>
      <c r="AG544" s="226">
        <v>0</v>
      </c>
      <c r="AH544" s="194">
        <f t="shared" si="20"/>
        <v>5030.5599999999995</v>
      </c>
      <c r="AI544" s="108">
        <f>ERP_34[[#This Row],[2026 Working Total]]-ERP_34[[#This Row],[2026 LE0]]</f>
        <v>5030.5599999999995</v>
      </c>
      <c r="AJ544" s="227"/>
      <c r="AK544" s="227"/>
      <c r="AL544" s="79">
        <f>ERP_34[[#This Row],[AP01]]+ERP_34[[#This Row],[AP02]]+ERP_34[[#This Row],[AP03]]+ERP_34[[#This Row],[AP04]]-ERP_34[[#This Row],[AP01 LE2]]-ERP_34[[#This Row],[AP02 LE2]]-ERP_34[[#This Row],[AP03 LE2]]-ERP_34[[#This Row],[AP04 LE2]]</f>
        <v>-9.0949470177292824E-13</v>
      </c>
      <c r="AM544" s="80"/>
      <c r="AN544" s="79">
        <f>ERP_34[[#This Row],[2026 Working Total to Budget/LE]]-ERP_34[[#This Row],[Giveback]]</f>
        <v>5030.5599999999995</v>
      </c>
      <c r="AO544" s="81"/>
      <c r="AP544" s="81">
        <v>-0.36</v>
      </c>
      <c r="AQ544" s="81">
        <v>0.35</v>
      </c>
      <c r="AR544" s="81">
        <v>5030.57</v>
      </c>
      <c r="AS544" s="81">
        <v>0</v>
      </c>
      <c r="AT544" s="81">
        <v>0</v>
      </c>
      <c r="AU544" s="81">
        <v>0</v>
      </c>
      <c r="AV544" s="81">
        <v>0</v>
      </c>
      <c r="AW544" s="81">
        <v>0</v>
      </c>
      <c r="AX544" s="81">
        <v>0</v>
      </c>
      <c r="AY544" s="81">
        <v>0</v>
      </c>
      <c r="AZ544" s="81">
        <v>0</v>
      </c>
      <c r="BA544" s="81">
        <v>0</v>
      </c>
      <c r="BB544" s="81">
        <v>5030.5599999999995</v>
      </c>
      <c r="BC544" s="227">
        <v>-0.36</v>
      </c>
      <c r="BD544" s="227">
        <v>0.35</v>
      </c>
      <c r="BE544" s="227">
        <v>5030.57</v>
      </c>
      <c r="BF544" s="227">
        <v>0</v>
      </c>
      <c r="BG544" s="227">
        <v>0</v>
      </c>
      <c r="BH544" s="227">
        <v>0</v>
      </c>
      <c r="BI544" s="227">
        <v>0</v>
      </c>
      <c r="BJ544" s="227">
        <v>0</v>
      </c>
      <c r="BK544" s="227">
        <v>0</v>
      </c>
      <c r="BL544" s="227">
        <v>0</v>
      </c>
      <c r="BM544" s="227">
        <v>0</v>
      </c>
      <c r="BN544" s="227">
        <v>0</v>
      </c>
      <c r="BO544" s="227">
        <v>5030.5599999999995</v>
      </c>
    </row>
    <row r="545" spans="1:67">
      <c r="A545" s="215" t="s">
        <v>1332</v>
      </c>
      <c r="B545" s="215" t="str">
        <f>_xlfn.TEXTJOIN("_",,ERP_34[[#This Row],[LT Member -1*]],ERP_34[[#This Row],[Expense Category]],ERP_34[[#This Row],[Project Code*]])</f>
        <v>Meadows, Leslie_CONTRACTORS_MISC001</v>
      </c>
      <c r="C545" s="67" t="s">
        <v>1136</v>
      </c>
      <c r="D545" s="216" t="s">
        <v>1135</v>
      </c>
      <c r="E545" s="216" t="s">
        <v>1156</v>
      </c>
      <c r="F545" s="216" t="s">
        <v>1137</v>
      </c>
      <c r="G545" s="217" t="s">
        <v>49</v>
      </c>
      <c r="H545" s="218" t="s">
        <v>1327</v>
      </c>
      <c r="I545" s="219"/>
      <c r="J545" s="219"/>
      <c r="K545" s="220" t="s">
        <v>147</v>
      </c>
      <c r="L545" s="219"/>
      <c r="M545" s="219"/>
      <c r="N545" s="219"/>
      <c r="O545" s="216" t="s">
        <v>25</v>
      </c>
      <c r="P545" s="221"/>
      <c r="Q545" s="222"/>
      <c r="R545" s="71">
        <v>0</v>
      </c>
      <c r="S545" s="73">
        <v>-0.26</v>
      </c>
      <c r="T545" s="223">
        <v>0</v>
      </c>
      <c r="U545" s="71">
        <f>ERP_34[[#This Row],[LE2 Final Submission]]-ERP_34[[#This Row],[LE3 Final Submission]]</f>
        <v>-0.26</v>
      </c>
      <c r="V545" s="224">
        <v>-0.38</v>
      </c>
      <c r="W545" s="225">
        <v>0.21</v>
      </c>
      <c r="X545" s="225">
        <v>-0.09</v>
      </c>
      <c r="Y545" s="226">
        <v>0</v>
      </c>
      <c r="Z545" s="226">
        <v>0</v>
      </c>
      <c r="AA545" s="226">
        <v>0</v>
      </c>
      <c r="AB545" s="226">
        <v>0</v>
      </c>
      <c r="AC545" s="226">
        <v>0</v>
      </c>
      <c r="AD545" s="226">
        <v>0</v>
      </c>
      <c r="AE545" s="226">
        <v>0</v>
      </c>
      <c r="AF545" s="226">
        <v>0</v>
      </c>
      <c r="AG545" s="226">
        <v>0</v>
      </c>
      <c r="AH545" s="194">
        <f t="shared" si="20"/>
        <v>-0.26</v>
      </c>
      <c r="AI545" s="108">
        <f>ERP_34[[#This Row],[2026 Working Total]]-ERP_34[[#This Row],[2026 LE0]]</f>
        <v>-0.26</v>
      </c>
      <c r="AJ545" s="227"/>
      <c r="AK545" s="227"/>
      <c r="AL5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5" s="80"/>
      <c r="AN545" s="79">
        <f>ERP_34[[#This Row],[2026 Working Total to Budget/LE]]-ERP_34[[#This Row],[Giveback]]</f>
        <v>-0.26</v>
      </c>
      <c r="AO545" s="81"/>
      <c r="AP545" s="81">
        <v>-0.38</v>
      </c>
      <c r="AQ545" s="81">
        <v>0.21</v>
      </c>
      <c r="AR545" s="81">
        <v>-0.09</v>
      </c>
      <c r="AS545" s="81">
        <v>0</v>
      </c>
      <c r="AT545" s="81">
        <v>0</v>
      </c>
      <c r="AU545" s="81">
        <v>0</v>
      </c>
      <c r="AV545" s="81">
        <v>0</v>
      </c>
      <c r="AW545" s="81">
        <v>0</v>
      </c>
      <c r="AX545" s="81">
        <v>0</v>
      </c>
      <c r="AY545" s="81">
        <v>0</v>
      </c>
      <c r="AZ545" s="81">
        <v>0</v>
      </c>
      <c r="BA545" s="81">
        <v>0</v>
      </c>
      <c r="BB545" s="81">
        <v>-0.26</v>
      </c>
      <c r="BC545" s="227">
        <v>-0.38</v>
      </c>
      <c r="BD545" s="227">
        <v>0.21</v>
      </c>
      <c r="BE545" s="227">
        <v>-0.09</v>
      </c>
      <c r="BF545" s="227">
        <v>0</v>
      </c>
      <c r="BG545" s="227">
        <v>0</v>
      </c>
      <c r="BH545" s="227">
        <v>0</v>
      </c>
      <c r="BI545" s="227">
        <v>0</v>
      </c>
      <c r="BJ545" s="227">
        <v>0</v>
      </c>
      <c r="BK545" s="227">
        <v>0</v>
      </c>
      <c r="BL545" s="227">
        <v>0</v>
      </c>
      <c r="BM545" s="227">
        <v>0</v>
      </c>
      <c r="BN545" s="227">
        <v>0</v>
      </c>
      <c r="BO545" s="227">
        <v>-0.26</v>
      </c>
    </row>
    <row r="546" spans="1:67">
      <c r="A546" s="215" t="s">
        <v>1335</v>
      </c>
      <c r="B546" s="215" t="str">
        <f>_xlfn.TEXTJOIN("_",,ERP_34[[#This Row],[LT Member -1*]],ERP_34[[#This Row],[Expense Category]],ERP_34[[#This Row],[Project Code*]])</f>
        <v>Tamavada, Ram_CONTRACTORS_MISC001</v>
      </c>
      <c r="C546" s="67" t="s">
        <v>1136</v>
      </c>
      <c r="D546" s="216" t="s">
        <v>1135</v>
      </c>
      <c r="E546" s="216" t="s">
        <v>1165</v>
      </c>
      <c r="F546" s="216" t="s">
        <v>1137</v>
      </c>
      <c r="G546" s="217" t="s">
        <v>49</v>
      </c>
      <c r="H546" s="218" t="s">
        <v>1327</v>
      </c>
      <c r="I546" s="219"/>
      <c r="J546" s="219"/>
      <c r="K546" s="220" t="s">
        <v>147</v>
      </c>
      <c r="L546" s="219"/>
      <c r="M546" s="219"/>
      <c r="N546" s="219"/>
      <c r="O546" s="216" t="s">
        <v>25</v>
      </c>
      <c r="P546" s="221"/>
      <c r="Q546" s="222"/>
      <c r="R546" s="71">
        <v>0</v>
      </c>
      <c r="S546" s="73">
        <v>0.35000000000000003</v>
      </c>
      <c r="T546" s="223">
        <v>0</v>
      </c>
      <c r="U546" s="71">
        <f>ERP_34[[#This Row],[LE2 Final Submission]]-ERP_34[[#This Row],[LE3 Final Submission]]</f>
        <v>0.35000000000000003</v>
      </c>
      <c r="V546" s="224"/>
      <c r="W546" s="225">
        <v>0.01</v>
      </c>
      <c r="X546" s="225">
        <v>0.34</v>
      </c>
      <c r="Y546" s="226">
        <v>0</v>
      </c>
      <c r="Z546" s="226">
        <v>0</v>
      </c>
      <c r="AA546" s="226">
        <v>0</v>
      </c>
      <c r="AB546" s="226">
        <v>0</v>
      </c>
      <c r="AC546" s="226">
        <v>0</v>
      </c>
      <c r="AD546" s="226">
        <v>0</v>
      </c>
      <c r="AE546" s="226">
        <v>0</v>
      </c>
      <c r="AF546" s="226">
        <v>0</v>
      </c>
      <c r="AG546" s="226">
        <v>0</v>
      </c>
      <c r="AH546" s="194">
        <f t="shared" si="20"/>
        <v>0.35000000000000003</v>
      </c>
      <c r="AI546" s="108">
        <f>ERP_34[[#This Row],[2026 Working Total]]-ERP_34[[#This Row],[2026 LE0]]</f>
        <v>0.35000000000000003</v>
      </c>
      <c r="AJ546" s="227"/>
      <c r="AK546" s="227"/>
      <c r="AL5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6" s="80"/>
      <c r="AN546" s="79">
        <f>ERP_34[[#This Row],[2026 Working Total to Budget/LE]]-ERP_34[[#This Row],[Giveback]]</f>
        <v>0.35000000000000003</v>
      </c>
      <c r="AO546" s="81"/>
      <c r="AP546" s="81"/>
      <c r="AQ546" s="81">
        <v>0.01</v>
      </c>
      <c r="AR546" s="81">
        <v>0.34</v>
      </c>
      <c r="AS546" s="81">
        <v>0</v>
      </c>
      <c r="AT546" s="81">
        <v>0</v>
      </c>
      <c r="AU546" s="81">
        <v>0</v>
      </c>
      <c r="AV546" s="81">
        <v>0</v>
      </c>
      <c r="AW546" s="81">
        <v>0</v>
      </c>
      <c r="AX546" s="81">
        <v>0</v>
      </c>
      <c r="AY546" s="81">
        <v>0</v>
      </c>
      <c r="AZ546" s="81">
        <v>0</v>
      </c>
      <c r="BA546" s="81">
        <v>0</v>
      </c>
      <c r="BB546" s="81">
        <v>0.35000000000000003</v>
      </c>
      <c r="BC546" s="227"/>
      <c r="BD546" s="227">
        <v>0.01</v>
      </c>
      <c r="BE546" s="227">
        <v>0.34</v>
      </c>
      <c r="BF546" s="227">
        <v>0</v>
      </c>
      <c r="BG546" s="227">
        <v>0</v>
      </c>
      <c r="BH546" s="227">
        <v>0</v>
      </c>
      <c r="BI546" s="227">
        <v>0</v>
      </c>
      <c r="BJ546" s="227">
        <v>0</v>
      </c>
      <c r="BK546" s="227">
        <v>0</v>
      </c>
      <c r="BL546" s="227">
        <v>0</v>
      </c>
      <c r="BM546" s="227">
        <v>0</v>
      </c>
      <c r="BN546" s="227">
        <v>0</v>
      </c>
      <c r="BO546" s="227">
        <v>0.35000000000000003</v>
      </c>
    </row>
    <row r="547" spans="1:67">
      <c r="A547" s="215" t="s">
        <v>1722</v>
      </c>
      <c r="B547" s="215" t="str">
        <f>_xlfn.TEXTJOIN("_",,ERP_34[[#This Row],[LT Member -1*]],ERP_34[[#This Row],[Expense Category]],ERP_34[[#This Row],[Project Code*]])</f>
        <v>Maguire, Karla_HW MAINTENANCE_MISC001</v>
      </c>
      <c r="C547" s="67" t="s">
        <v>1136</v>
      </c>
      <c r="D547" s="216" t="s">
        <v>1135</v>
      </c>
      <c r="E547" s="216" t="s">
        <v>1137</v>
      </c>
      <c r="F547" s="216" t="s">
        <v>1137</v>
      </c>
      <c r="G547" s="217" t="s">
        <v>342</v>
      </c>
      <c r="H547" s="218" t="s">
        <v>1327</v>
      </c>
      <c r="I547" s="219"/>
      <c r="J547" s="219"/>
      <c r="K547" s="219" t="s">
        <v>147</v>
      </c>
      <c r="L547" s="219"/>
      <c r="M547" s="219"/>
      <c r="N547" s="219"/>
      <c r="O547" s="216" t="s">
        <v>25</v>
      </c>
      <c r="P547" s="221"/>
      <c r="Q547" s="222"/>
      <c r="R547" s="71">
        <v>0</v>
      </c>
      <c r="S547" s="73">
        <v>0.62000000000000011</v>
      </c>
      <c r="T547" s="223">
        <v>0</v>
      </c>
      <c r="U547" s="71">
        <f>ERP_34[[#This Row],[LE2 Final Submission]]-ERP_34[[#This Row],[LE3 Final Submission]]</f>
        <v>0.62000000000000011</v>
      </c>
      <c r="V547" s="224">
        <v>-0.1</v>
      </c>
      <c r="W547" s="225">
        <v>-0.09</v>
      </c>
      <c r="X547" s="225">
        <v>0.81</v>
      </c>
      <c r="Y547" s="226">
        <v>0</v>
      </c>
      <c r="Z547" s="226">
        <v>0</v>
      </c>
      <c r="AA547" s="226">
        <v>0</v>
      </c>
      <c r="AB547" s="226">
        <v>0</v>
      </c>
      <c r="AC547" s="226">
        <v>0</v>
      </c>
      <c r="AD547" s="226">
        <v>0</v>
      </c>
      <c r="AE547" s="226">
        <v>0</v>
      </c>
      <c r="AF547" s="226">
        <v>0</v>
      </c>
      <c r="AG547" s="226">
        <v>0</v>
      </c>
      <c r="AH547" s="194">
        <f t="shared" si="20"/>
        <v>0.62000000000000011</v>
      </c>
      <c r="AI547" s="108">
        <f>ERP_34[[#This Row],[2026 Working Total]]-ERP_34[[#This Row],[2026 LE0]]</f>
        <v>0.62000000000000011</v>
      </c>
      <c r="AJ547" s="227"/>
      <c r="AK547" s="227"/>
      <c r="AL5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7" s="80"/>
      <c r="AN547" s="79">
        <f>ERP_34[[#This Row],[2026 Working Total to Budget/LE]]-ERP_34[[#This Row],[Giveback]]</f>
        <v>0.62000000000000011</v>
      </c>
      <c r="AO547" s="81"/>
      <c r="AP547" s="81">
        <v>-0.1</v>
      </c>
      <c r="AQ547" s="81">
        <v>-0.09</v>
      </c>
      <c r="AR547" s="81">
        <v>0.81</v>
      </c>
      <c r="AS547" s="81">
        <v>0</v>
      </c>
      <c r="AT547" s="81">
        <v>0</v>
      </c>
      <c r="AU547" s="81">
        <v>0</v>
      </c>
      <c r="AV547" s="81">
        <v>0</v>
      </c>
      <c r="AW547" s="81">
        <v>0</v>
      </c>
      <c r="AX547" s="81">
        <v>0</v>
      </c>
      <c r="AY547" s="81">
        <v>0</v>
      </c>
      <c r="AZ547" s="81">
        <v>0</v>
      </c>
      <c r="BA547" s="81">
        <v>0</v>
      </c>
      <c r="BB547" s="81">
        <v>0.62000000000000011</v>
      </c>
      <c r="BC547" s="227">
        <v>-0.1</v>
      </c>
      <c r="BD547" s="227">
        <v>-0.09</v>
      </c>
      <c r="BE547" s="227">
        <v>0.81</v>
      </c>
      <c r="BF547" s="227">
        <v>0</v>
      </c>
      <c r="BG547" s="227">
        <v>0</v>
      </c>
      <c r="BH547" s="227">
        <v>0</v>
      </c>
      <c r="BI547" s="227">
        <v>0</v>
      </c>
      <c r="BJ547" s="227">
        <v>0</v>
      </c>
      <c r="BK547" s="227">
        <v>0</v>
      </c>
      <c r="BL547" s="227">
        <v>0</v>
      </c>
      <c r="BM547" s="227">
        <v>0</v>
      </c>
      <c r="BN547" s="227">
        <v>0</v>
      </c>
      <c r="BO547" s="227">
        <v>0.62000000000000011</v>
      </c>
    </row>
    <row r="548" spans="1:67">
      <c r="A548" s="215" t="s">
        <v>1953</v>
      </c>
      <c r="B548" s="215" t="str">
        <f>_xlfn.TEXTJOIN("_",,ERP_34[[#This Row],[LT Member -1*]],ERP_34[[#This Row],[Expense Category]],ERP_34[[#This Row],[Project Code*]])</f>
        <v>Dougherty, Chris_MANAGED SERVICES_MISC001</v>
      </c>
      <c r="C548" s="67" t="s">
        <v>1136</v>
      </c>
      <c r="D548" s="216" t="s">
        <v>1135</v>
      </c>
      <c r="E548" s="216" t="s">
        <v>1135</v>
      </c>
      <c r="F548" s="216" t="s">
        <v>1137</v>
      </c>
      <c r="G548" s="217" t="s">
        <v>389</v>
      </c>
      <c r="H548" s="218" t="s">
        <v>1327</v>
      </c>
      <c r="I548" s="219"/>
      <c r="J548" s="219"/>
      <c r="K548" s="219" t="s">
        <v>147</v>
      </c>
      <c r="L548" s="219"/>
      <c r="M548" s="219"/>
      <c r="N548" s="219"/>
      <c r="O548" s="216" t="s">
        <v>25</v>
      </c>
      <c r="P548" s="221"/>
      <c r="Q548" s="222"/>
      <c r="R548" s="71">
        <v>0</v>
      </c>
      <c r="S548" s="73">
        <v>0.03</v>
      </c>
      <c r="T548" s="223">
        <v>0</v>
      </c>
      <c r="U548" s="71">
        <f>ERP_34[[#This Row],[LE2 Final Submission]]-ERP_34[[#This Row],[LE3 Final Submission]]</f>
        <v>0.03</v>
      </c>
      <c r="V548" s="224">
        <v>7.0000000000000007E-2</v>
      </c>
      <c r="W548" s="225">
        <v>-0.2</v>
      </c>
      <c r="X548" s="225">
        <v>0.16</v>
      </c>
      <c r="Y548" s="226">
        <v>0</v>
      </c>
      <c r="Z548" s="226">
        <v>0</v>
      </c>
      <c r="AA548" s="226">
        <v>0</v>
      </c>
      <c r="AB548" s="226">
        <v>0</v>
      </c>
      <c r="AC548" s="226">
        <v>0</v>
      </c>
      <c r="AD548" s="226">
        <v>0</v>
      </c>
      <c r="AE548" s="226">
        <v>0</v>
      </c>
      <c r="AF548" s="226">
        <v>0</v>
      </c>
      <c r="AG548" s="226">
        <v>0</v>
      </c>
      <c r="AH548" s="194">
        <f t="shared" si="20"/>
        <v>0.03</v>
      </c>
      <c r="AI548" s="108">
        <f>ERP_34[[#This Row],[2026 Working Total]]-ERP_34[[#This Row],[2026 LE0]]</f>
        <v>0.03</v>
      </c>
      <c r="AJ548" s="227"/>
      <c r="AK548" s="227"/>
      <c r="AL5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8" s="80"/>
      <c r="AN548" s="79">
        <f>ERP_34[[#This Row],[2026 Working Total to Budget/LE]]-ERP_34[[#This Row],[Giveback]]</f>
        <v>0.03</v>
      </c>
      <c r="AO548" s="81"/>
      <c r="AP548" s="81">
        <v>7.0000000000000007E-2</v>
      </c>
      <c r="AQ548" s="81">
        <v>-0.2</v>
      </c>
      <c r="AR548" s="81">
        <v>0.16</v>
      </c>
      <c r="AS548" s="81">
        <v>0</v>
      </c>
      <c r="AT548" s="81">
        <v>0</v>
      </c>
      <c r="AU548" s="81">
        <v>0</v>
      </c>
      <c r="AV548" s="81">
        <v>0</v>
      </c>
      <c r="AW548" s="81">
        <v>0</v>
      </c>
      <c r="AX548" s="81">
        <v>0</v>
      </c>
      <c r="AY548" s="81">
        <v>0</v>
      </c>
      <c r="AZ548" s="81">
        <v>0</v>
      </c>
      <c r="BA548" s="81">
        <v>0</v>
      </c>
      <c r="BB548" s="81">
        <v>0.03</v>
      </c>
      <c r="BC548" s="227">
        <v>7.0000000000000007E-2</v>
      </c>
      <c r="BD548" s="227">
        <v>-0.2</v>
      </c>
      <c r="BE548" s="227">
        <v>0.16</v>
      </c>
      <c r="BF548" s="227">
        <v>0</v>
      </c>
      <c r="BG548" s="227">
        <v>0</v>
      </c>
      <c r="BH548" s="227">
        <v>0</v>
      </c>
      <c r="BI548" s="227">
        <v>0</v>
      </c>
      <c r="BJ548" s="227">
        <v>0</v>
      </c>
      <c r="BK548" s="227">
        <v>0</v>
      </c>
      <c r="BL548" s="227">
        <v>0</v>
      </c>
      <c r="BM548" s="227">
        <v>0</v>
      </c>
      <c r="BN548" s="227">
        <v>0</v>
      </c>
      <c r="BO548" s="227">
        <v>0.03</v>
      </c>
    </row>
    <row r="549" spans="1:67">
      <c r="A549" s="215" t="s">
        <v>1954</v>
      </c>
      <c r="B549" s="215" t="str">
        <f>_xlfn.TEXTJOIN("_",,ERP_34[[#This Row],[LT Member -1*]],ERP_34[[#This Row],[Expense Category]],ERP_34[[#This Row],[Project Code*]])</f>
        <v>Maguire, Karla_MANAGED SERVICES_MISC001</v>
      </c>
      <c r="C549" s="67" t="s">
        <v>1136</v>
      </c>
      <c r="D549" s="216" t="s">
        <v>1135</v>
      </c>
      <c r="E549" s="216" t="s">
        <v>1137</v>
      </c>
      <c r="F549" s="216" t="s">
        <v>1137</v>
      </c>
      <c r="G549" s="217" t="s">
        <v>389</v>
      </c>
      <c r="H549" s="218" t="s">
        <v>1327</v>
      </c>
      <c r="I549" s="219"/>
      <c r="J549" s="219"/>
      <c r="K549" s="219" t="s">
        <v>147</v>
      </c>
      <c r="L549" s="219"/>
      <c r="M549" s="219"/>
      <c r="N549" s="219"/>
      <c r="O549" s="216" t="s">
        <v>25</v>
      </c>
      <c r="P549" s="221"/>
      <c r="Q549" s="222"/>
      <c r="R549" s="71">
        <v>0</v>
      </c>
      <c r="S549" s="73">
        <v>1777.1799999999998</v>
      </c>
      <c r="T549" s="223">
        <v>0</v>
      </c>
      <c r="U549" s="71">
        <f>ERP_34[[#This Row],[LE2 Final Submission]]-ERP_34[[#This Row],[LE3 Final Submission]]</f>
        <v>1777.1799999999998</v>
      </c>
      <c r="V549" s="224">
        <v>843.63</v>
      </c>
      <c r="W549" s="225">
        <v>-313.26</v>
      </c>
      <c r="X549" s="225">
        <v>1246.81</v>
      </c>
      <c r="Y549" s="226">
        <v>0</v>
      </c>
      <c r="Z549" s="226">
        <v>0</v>
      </c>
      <c r="AA549" s="226">
        <v>0</v>
      </c>
      <c r="AB549" s="226">
        <v>0</v>
      </c>
      <c r="AC549" s="226">
        <v>0</v>
      </c>
      <c r="AD549" s="226">
        <v>0</v>
      </c>
      <c r="AE549" s="226">
        <v>0</v>
      </c>
      <c r="AF549" s="226">
        <v>0</v>
      </c>
      <c r="AG549" s="226">
        <v>0</v>
      </c>
      <c r="AH549" s="194">
        <f t="shared" si="20"/>
        <v>1777.1799999999998</v>
      </c>
      <c r="AI549" s="108">
        <f>ERP_34[[#This Row],[2026 Working Total]]-ERP_34[[#This Row],[2026 LE0]]</f>
        <v>1777.1799999999998</v>
      </c>
      <c r="AJ549" s="227"/>
      <c r="AK549" s="227"/>
      <c r="AL5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49" s="80"/>
      <c r="AN549" s="79">
        <f>ERP_34[[#This Row],[2026 Working Total to Budget/LE]]-ERP_34[[#This Row],[Giveback]]</f>
        <v>1777.1799999999998</v>
      </c>
      <c r="AO549" s="81"/>
      <c r="AP549" s="81">
        <v>843.63</v>
      </c>
      <c r="AQ549" s="81">
        <v>-313.26</v>
      </c>
      <c r="AR549" s="81">
        <v>1246.81</v>
      </c>
      <c r="AS549" s="81">
        <v>0</v>
      </c>
      <c r="AT549" s="81">
        <v>0</v>
      </c>
      <c r="AU549" s="81">
        <v>0</v>
      </c>
      <c r="AV549" s="81">
        <v>0</v>
      </c>
      <c r="AW549" s="81">
        <v>0</v>
      </c>
      <c r="AX549" s="81">
        <v>0</v>
      </c>
      <c r="AY549" s="81">
        <v>0</v>
      </c>
      <c r="AZ549" s="81">
        <v>0</v>
      </c>
      <c r="BA549" s="81">
        <v>0</v>
      </c>
      <c r="BB549" s="81">
        <v>1777.1799999999998</v>
      </c>
      <c r="BC549" s="227">
        <v>843.63</v>
      </c>
      <c r="BD549" s="227">
        <v>-313.26</v>
      </c>
      <c r="BE549" s="227">
        <v>1246.81</v>
      </c>
      <c r="BF549" s="227">
        <v>0</v>
      </c>
      <c r="BG549" s="227">
        <v>0</v>
      </c>
      <c r="BH549" s="227">
        <v>0</v>
      </c>
      <c r="BI549" s="227">
        <v>0</v>
      </c>
      <c r="BJ549" s="227">
        <v>0</v>
      </c>
      <c r="BK549" s="227">
        <v>0</v>
      </c>
      <c r="BL549" s="227">
        <v>0</v>
      </c>
      <c r="BM549" s="227">
        <v>0</v>
      </c>
      <c r="BN549" s="227">
        <v>0</v>
      </c>
      <c r="BO549" s="227">
        <v>1777.1799999999998</v>
      </c>
    </row>
    <row r="550" spans="1:67">
      <c r="A550" s="215" t="s">
        <v>1957</v>
      </c>
      <c r="B550" s="215" t="str">
        <f>_xlfn.TEXTJOIN("_",,ERP_34[[#This Row],[LT Member -1*]],ERP_34[[#This Row],[Expense Category]],ERP_34[[#This Row],[Project Code*]])</f>
        <v>McCormick, Pete_MANAGED SERVICES_MISC001</v>
      </c>
      <c r="C550" s="67" t="s">
        <v>1136</v>
      </c>
      <c r="D550" s="216" t="s">
        <v>1135</v>
      </c>
      <c r="E550" s="216" t="s">
        <v>1145</v>
      </c>
      <c r="F550" s="216" t="s">
        <v>1137</v>
      </c>
      <c r="G550" s="217" t="s">
        <v>389</v>
      </c>
      <c r="H550" s="218" t="s">
        <v>1327</v>
      </c>
      <c r="I550" s="219"/>
      <c r="J550" s="219"/>
      <c r="K550" s="219" t="s">
        <v>147</v>
      </c>
      <c r="L550" s="219"/>
      <c r="M550" s="219"/>
      <c r="N550" s="219"/>
      <c r="O550" s="216" t="s">
        <v>25</v>
      </c>
      <c r="P550" s="221"/>
      <c r="Q550" s="222"/>
      <c r="R550" s="71">
        <v>0</v>
      </c>
      <c r="S550" s="73">
        <v>-0.12</v>
      </c>
      <c r="T550" s="223">
        <v>0</v>
      </c>
      <c r="U550" s="71">
        <f>ERP_34[[#This Row],[LE2 Final Submission]]-ERP_34[[#This Row],[LE3 Final Submission]]</f>
        <v>-0.12</v>
      </c>
      <c r="V550" s="224">
        <v>0.02</v>
      </c>
      <c r="W550" s="225">
        <v>0.04</v>
      </c>
      <c r="X550" s="225">
        <v>-0.18</v>
      </c>
      <c r="Y550" s="226">
        <v>0</v>
      </c>
      <c r="Z550" s="226">
        <v>0</v>
      </c>
      <c r="AA550" s="226">
        <v>0</v>
      </c>
      <c r="AB550" s="226">
        <v>0</v>
      </c>
      <c r="AC550" s="226">
        <v>0</v>
      </c>
      <c r="AD550" s="226">
        <v>0</v>
      </c>
      <c r="AE550" s="226">
        <v>0</v>
      </c>
      <c r="AF550" s="226">
        <v>0</v>
      </c>
      <c r="AG550" s="226">
        <v>0</v>
      </c>
      <c r="AH550" s="194">
        <f t="shared" si="20"/>
        <v>-0.12</v>
      </c>
      <c r="AI550" s="108">
        <f>ERP_34[[#This Row],[2026 Working Total]]-ERP_34[[#This Row],[2026 LE0]]</f>
        <v>-0.12</v>
      </c>
      <c r="AJ550" s="227"/>
      <c r="AK550" s="227"/>
      <c r="AL55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0" s="80"/>
      <c r="AN550" s="79">
        <f>ERP_34[[#This Row],[2026 Working Total to Budget/LE]]-ERP_34[[#This Row],[Giveback]]</f>
        <v>-0.12</v>
      </c>
      <c r="AO550" s="81"/>
      <c r="AP550" s="81">
        <v>0.02</v>
      </c>
      <c r="AQ550" s="81">
        <v>0.04</v>
      </c>
      <c r="AR550" s="81">
        <v>-0.18</v>
      </c>
      <c r="AS550" s="81">
        <v>0</v>
      </c>
      <c r="AT550" s="81">
        <v>0</v>
      </c>
      <c r="AU550" s="81">
        <v>0</v>
      </c>
      <c r="AV550" s="81">
        <v>0</v>
      </c>
      <c r="AW550" s="81">
        <v>0</v>
      </c>
      <c r="AX550" s="81">
        <v>0</v>
      </c>
      <c r="AY550" s="81">
        <v>0</v>
      </c>
      <c r="AZ550" s="81">
        <v>0</v>
      </c>
      <c r="BA550" s="81">
        <v>0</v>
      </c>
      <c r="BB550" s="81">
        <v>-0.12</v>
      </c>
      <c r="BC550" s="227">
        <v>0.02</v>
      </c>
      <c r="BD550" s="227">
        <v>0.04</v>
      </c>
      <c r="BE550" s="227">
        <v>-0.18</v>
      </c>
      <c r="BF550" s="227">
        <v>0</v>
      </c>
      <c r="BG550" s="227">
        <v>0</v>
      </c>
      <c r="BH550" s="227">
        <v>0</v>
      </c>
      <c r="BI550" s="227">
        <v>0</v>
      </c>
      <c r="BJ550" s="227">
        <v>0</v>
      </c>
      <c r="BK550" s="227">
        <v>0</v>
      </c>
      <c r="BL550" s="227">
        <v>0</v>
      </c>
      <c r="BM550" s="227">
        <v>0</v>
      </c>
      <c r="BN550" s="227">
        <v>0</v>
      </c>
      <c r="BO550" s="227">
        <v>-0.12</v>
      </c>
    </row>
    <row r="551" spans="1:67">
      <c r="A551" s="215" t="s">
        <v>1959</v>
      </c>
      <c r="B551" s="215" t="str">
        <f>_xlfn.TEXTJOIN("_",,ERP_34[[#This Row],[LT Member -1*]],ERP_34[[#This Row],[Expense Category]],ERP_34[[#This Row],[Project Code*]])</f>
        <v>Meadows, Leslie_MANAGED SERVICES_MISC001</v>
      </c>
      <c r="C551" s="67" t="s">
        <v>1136</v>
      </c>
      <c r="D551" s="216" t="s">
        <v>1135</v>
      </c>
      <c r="E551" s="216" t="s">
        <v>1156</v>
      </c>
      <c r="F551" s="216" t="s">
        <v>1137</v>
      </c>
      <c r="G551" s="217" t="s">
        <v>389</v>
      </c>
      <c r="H551" s="218" t="s">
        <v>1327</v>
      </c>
      <c r="I551" s="219"/>
      <c r="J551" s="219"/>
      <c r="K551" s="220" t="s">
        <v>147</v>
      </c>
      <c r="L551" s="219"/>
      <c r="M551" s="219"/>
      <c r="N551" s="219"/>
      <c r="O551" s="216" t="s">
        <v>25</v>
      </c>
      <c r="P551" s="221"/>
      <c r="Q551" s="222"/>
      <c r="R551" s="71">
        <v>0</v>
      </c>
      <c r="S551" s="73">
        <v>-0.16999999999999998</v>
      </c>
      <c r="T551" s="223">
        <v>0</v>
      </c>
      <c r="U551" s="71">
        <f>ERP_34[[#This Row],[LE2 Final Submission]]-ERP_34[[#This Row],[LE3 Final Submission]]</f>
        <v>-0.16999999999999998</v>
      </c>
      <c r="V551" s="224"/>
      <c r="W551" s="225">
        <v>0.42</v>
      </c>
      <c r="X551" s="225">
        <v>-0.59</v>
      </c>
      <c r="Y551" s="226">
        <v>0</v>
      </c>
      <c r="Z551" s="226">
        <v>0</v>
      </c>
      <c r="AA551" s="226">
        <v>0</v>
      </c>
      <c r="AB551" s="226">
        <v>0</v>
      </c>
      <c r="AC551" s="226">
        <v>0</v>
      </c>
      <c r="AD551" s="226">
        <v>0</v>
      </c>
      <c r="AE551" s="226">
        <v>0</v>
      </c>
      <c r="AF551" s="226">
        <v>0</v>
      </c>
      <c r="AG551" s="226">
        <v>0</v>
      </c>
      <c r="AH551" s="194">
        <f t="shared" si="20"/>
        <v>-0.16999999999999998</v>
      </c>
      <c r="AI551" s="108">
        <f>ERP_34[[#This Row],[2026 Working Total]]-ERP_34[[#This Row],[2026 LE0]]</f>
        <v>-0.16999999999999998</v>
      </c>
      <c r="AJ551" s="227"/>
      <c r="AK551" s="227"/>
      <c r="AL55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1" s="80"/>
      <c r="AN551" s="79">
        <f>ERP_34[[#This Row],[2026 Working Total to Budget/LE]]-ERP_34[[#This Row],[Giveback]]</f>
        <v>-0.16999999999999998</v>
      </c>
      <c r="AO551" s="81"/>
      <c r="AP551" s="81"/>
      <c r="AQ551" s="81">
        <v>0.42</v>
      </c>
      <c r="AR551" s="81">
        <v>-0.59</v>
      </c>
      <c r="AS551" s="81">
        <v>0</v>
      </c>
      <c r="AT551" s="81">
        <v>0</v>
      </c>
      <c r="AU551" s="81">
        <v>0</v>
      </c>
      <c r="AV551" s="81">
        <v>0</v>
      </c>
      <c r="AW551" s="81">
        <v>0</v>
      </c>
      <c r="AX551" s="81">
        <v>0</v>
      </c>
      <c r="AY551" s="81">
        <v>0</v>
      </c>
      <c r="AZ551" s="81">
        <v>0</v>
      </c>
      <c r="BA551" s="81">
        <v>0</v>
      </c>
      <c r="BB551" s="81">
        <v>-0.16999999999999998</v>
      </c>
      <c r="BC551" s="227"/>
      <c r="BD551" s="227">
        <v>0.42</v>
      </c>
      <c r="BE551" s="227">
        <v>-0.59</v>
      </c>
      <c r="BF551" s="227">
        <v>0</v>
      </c>
      <c r="BG551" s="227">
        <v>0</v>
      </c>
      <c r="BH551" s="227">
        <v>0</v>
      </c>
      <c r="BI551" s="227">
        <v>0</v>
      </c>
      <c r="BJ551" s="227">
        <v>0</v>
      </c>
      <c r="BK551" s="227">
        <v>0</v>
      </c>
      <c r="BL551" s="227">
        <v>0</v>
      </c>
      <c r="BM551" s="227">
        <v>0</v>
      </c>
      <c r="BN551" s="227">
        <v>0</v>
      </c>
      <c r="BO551" s="227">
        <v>-0.16999999999999998</v>
      </c>
    </row>
    <row r="552" spans="1:67">
      <c r="A552" s="215" t="s">
        <v>1961</v>
      </c>
      <c r="B552" s="215" t="str">
        <f>_xlfn.TEXTJOIN("_",,ERP_34[[#This Row],[LT Member -1*]],ERP_34[[#This Row],[Expense Category]],ERP_34[[#This Row],[Project Code*]])</f>
        <v>Tamavada, Ram_MANAGED SERVICES_MISC001</v>
      </c>
      <c r="C552" s="67" t="s">
        <v>1136</v>
      </c>
      <c r="D552" s="216" t="s">
        <v>1135</v>
      </c>
      <c r="E552" s="216" t="s">
        <v>1165</v>
      </c>
      <c r="F552" s="216" t="s">
        <v>1137</v>
      </c>
      <c r="G552" s="217" t="s">
        <v>389</v>
      </c>
      <c r="H552" s="218" t="s">
        <v>1327</v>
      </c>
      <c r="I552" s="219"/>
      <c r="J552" s="219"/>
      <c r="K552" s="220" t="s">
        <v>147</v>
      </c>
      <c r="L552" s="219"/>
      <c r="M552" s="219"/>
      <c r="N552" s="219"/>
      <c r="O552" s="216" t="s">
        <v>25</v>
      </c>
      <c r="P552" s="221"/>
      <c r="Q552" s="222"/>
      <c r="R552" s="71">
        <v>0</v>
      </c>
      <c r="S552" s="73">
        <v>39996</v>
      </c>
      <c r="T552" s="223">
        <v>0</v>
      </c>
      <c r="U552" s="71">
        <f>ERP_34[[#This Row],[LE2 Final Submission]]-ERP_34[[#This Row],[LE3 Final Submission]]</f>
        <v>39996</v>
      </c>
      <c r="V552" s="224">
        <v>0.22</v>
      </c>
      <c r="W552" s="225">
        <v>45000.28</v>
      </c>
      <c r="X552" s="225">
        <v>-5004.5</v>
      </c>
      <c r="Y552" s="226">
        <v>0</v>
      </c>
      <c r="Z552" s="226">
        <v>0</v>
      </c>
      <c r="AA552" s="226">
        <v>0</v>
      </c>
      <c r="AB552" s="226">
        <v>0</v>
      </c>
      <c r="AC552" s="226">
        <v>0</v>
      </c>
      <c r="AD552" s="226">
        <v>0</v>
      </c>
      <c r="AE552" s="226">
        <v>0</v>
      </c>
      <c r="AF552" s="226">
        <v>0</v>
      </c>
      <c r="AG552" s="226">
        <v>0</v>
      </c>
      <c r="AH552" s="194">
        <f t="shared" si="20"/>
        <v>39996</v>
      </c>
      <c r="AI552" s="108">
        <f>ERP_34[[#This Row],[2026 Working Total]]-ERP_34[[#This Row],[2026 LE0]]</f>
        <v>39996</v>
      </c>
      <c r="AJ552" s="227"/>
      <c r="AK552" s="227"/>
      <c r="AL55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2" s="80"/>
      <c r="AN552" s="79">
        <f>ERP_34[[#This Row],[2026 Working Total to Budget/LE]]-ERP_34[[#This Row],[Giveback]]</f>
        <v>39996</v>
      </c>
      <c r="AO552" s="81"/>
      <c r="AP552" s="81">
        <v>0.22</v>
      </c>
      <c r="AQ552" s="81">
        <v>45000.28</v>
      </c>
      <c r="AR552" s="81">
        <v>-5004.5</v>
      </c>
      <c r="AS552" s="81">
        <v>0</v>
      </c>
      <c r="AT552" s="81">
        <v>0</v>
      </c>
      <c r="AU552" s="81">
        <v>0</v>
      </c>
      <c r="AV552" s="81">
        <v>0</v>
      </c>
      <c r="AW552" s="81">
        <v>0</v>
      </c>
      <c r="AX552" s="81">
        <v>0</v>
      </c>
      <c r="AY552" s="81">
        <v>0</v>
      </c>
      <c r="AZ552" s="81">
        <v>0</v>
      </c>
      <c r="BA552" s="81">
        <v>0</v>
      </c>
      <c r="BB552" s="81">
        <v>39996</v>
      </c>
      <c r="BC552" s="227">
        <v>0.22</v>
      </c>
      <c r="BD552" s="227">
        <v>45000.28</v>
      </c>
      <c r="BE552" s="227">
        <v>-5004.5</v>
      </c>
      <c r="BF552" s="227">
        <v>0</v>
      </c>
      <c r="BG552" s="227">
        <v>0</v>
      </c>
      <c r="BH552" s="227">
        <v>0</v>
      </c>
      <c r="BI552" s="227">
        <v>0</v>
      </c>
      <c r="BJ552" s="227">
        <v>0</v>
      </c>
      <c r="BK552" s="227">
        <v>0</v>
      </c>
      <c r="BL552" s="227">
        <v>0</v>
      </c>
      <c r="BM552" s="227">
        <v>0</v>
      </c>
      <c r="BN552" s="227">
        <v>0</v>
      </c>
      <c r="BO552" s="227">
        <v>39996</v>
      </c>
    </row>
    <row r="553" spans="1:67">
      <c r="A553" s="215" t="s">
        <v>2594</v>
      </c>
      <c r="B553" s="215" t="str">
        <f>_xlfn.TEXTJOIN("_",,ERP_34[[#This Row],[LT Member -1*]],ERP_34[[#This Row],[Expense Category]],ERP_34[[#This Row],[Project Code*]])</f>
        <v>Dougherty, Chris_SOFTWARE_MISC001</v>
      </c>
      <c r="C553" s="67" t="s">
        <v>1136</v>
      </c>
      <c r="D553" s="216" t="s">
        <v>1135</v>
      </c>
      <c r="E553" s="216" t="s">
        <v>1135</v>
      </c>
      <c r="F553" s="216" t="s">
        <v>1137</v>
      </c>
      <c r="G553" s="217" t="s">
        <v>639</v>
      </c>
      <c r="H553" s="218" t="s">
        <v>1327</v>
      </c>
      <c r="I553" s="219"/>
      <c r="J553" s="219"/>
      <c r="K553" s="219" t="s">
        <v>147</v>
      </c>
      <c r="L553" s="219"/>
      <c r="M553" s="219"/>
      <c r="N553" s="219"/>
      <c r="O553" s="216" t="s">
        <v>25</v>
      </c>
      <c r="P553" s="221"/>
      <c r="Q553" s="222"/>
      <c r="R553" s="71">
        <v>0</v>
      </c>
      <c r="S553" s="73">
        <v>0.3</v>
      </c>
      <c r="T553" s="223">
        <v>0</v>
      </c>
      <c r="U553" s="71">
        <f>ERP_34[[#This Row],[LE2 Final Submission]]-ERP_34[[#This Row],[LE3 Final Submission]]</f>
        <v>0.3</v>
      </c>
      <c r="V553" s="224">
        <v>0.32</v>
      </c>
      <c r="W553" s="225">
        <v>-0.45</v>
      </c>
      <c r="X553" s="225">
        <v>0.43</v>
      </c>
      <c r="Y553" s="226">
        <v>0</v>
      </c>
      <c r="Z553" s="226">
        <v>0</v>
      </c>
      <c r="AA553" s="226">
        <v>0</v>
      </c>
      <c r="AB553" s="226">
        <v>0</v>
      </c>
      <c r="AC553" s="226">
        <v>0</v>
      </c>
      <c r="AD553" s="226">
        <v>0</v>
      </c>
      <c r="AE553" s="226">
        <v>0</v>
      </c>
      <c r="AF553" s="226">
        <v>0</v>
      </c>
      <c r="AG553" s="226">
        <v>0</v>
      </c>
      <c r="AH553" s="194">
        <f t="shared" si="20"/>
        <v>0.3</v>
      </c>
      <c r="AI553" s="108">
        <f>ERP_34[[#This Row],[2026 Working Total]]-ERP_34[[#This Row],[2026 LE0]]</f>
        <v>0.3</v>
      </c>
      <c r="AJ553" s="227"/>
      <c r="AK553" s="227"/>
      <c r="AL55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3" s="80"/>
      <c r="AN553" s="79">
        <f>ERP_34[[#This Row],[2026 Working Total to Budget/LE]]-ERP_34[[#This Row],[Giveback]]</f>
        <v>0.3</v>
      </c>
      <c r="AO553" s="81"/>
      <c r="AP553" s="81">
        <v>0.32</v>
      </c>
      <c r="AQ553" s="81">
        <v>-0.45</v>
      </c>
      <c r="AR553" s="81">
        <v>0.43</v>
      </c>
      <c r="AS553" s="81">
        <v>0</v>
      </c>
      <c r="AT553" s="81">
        <v>0</v>
      </c>
      <c r="AU553" s="81">
        <v>0</v>
      </c>
      <c r="AV553" s="81">
        <v>0</v>
      </c>
      <c r="AW553" s="81">
        <v>0</v>
      </c>
      <c r="AX553" s="81">
        <v>0</v>
      </c>
      <c r="AY553" s="81">
        <v>0</v>
      </c>
      <c r="AZ553" s="81">
        <v>0</v>
      </c>
      <c r="BA553" s="81">
        <v>0</v>
      </c>
      <c r="BB553" s="81">
        <v>0.3</v>
      </c>
      <c r="BC553" s="227">
        <v>0.32</v>
      </c>
      <c r="BD553" s="227">
        <v>-0.45</v>
      </c>
      <c r="BE553" s="227">
        <v>0.43</v>
      </c>
      <c r="BF553" s="227">
        <v>0</v>
      </c>
      <c r="BG553" s="227">
        <v>0</v>
      </c>
      <c r="BH553" s="227">
        <v>0</v>
      </c>
      <c r="BI553" s="227">
        <v>0</v>
      </c>
      <c r="BJ553" s="227">
        <v>0</v>
      </c>
      <c r="BK553" s="227">
        <v>0</v>
      </c>
      <c r="BL553" s="227">
        <v>0</v>
      </c>
      <c r="BM553" s="227">
        <v>0</v>
      </c>
      <c r="BN553" s="227">
        <v>0</v>
      </c>
      <c r="BO553" s="227">
        <v>0.3</v>
      </c>
    </row>
    <row r="554" spans="1:67">
      <c r="A554" s="215" t="s">
        <v>2595</v>
      </c>
      <c r="B554" s="215" t="str">
        <f>_xlfn.TEXTJOIN("_",,ERP_34[[#This Row],[LT Member -1*]],ERP_34[[#This Row],[Expense Category]],ERP_34[[#This Row],[Project Code*]])</f>
        <v>Maguire, Karla_SOFTWARE_MISC001</v>
      </c>
      <c r="C554" s="67" t="s">
        <v>1136</v>
      </c>
      <c r="D554" s="216" t="s">
        <v>1135</v>
      </c>
      <c r="E554" s="216" t="s">
        <v>1137</v>
      </c>
      <c r="F554" s="216" t="s">
        <v>1137</v>
      </c>
      <c r="G554" s="217" t="s">
        <v>639</v>
      </c>
      <c r="H554" s="218" t="s">
        <v>1327</v>
      </c>
      <c r="I554" s="219"/>
      <c r="J554" s="219"/>
      <c r="K554" s="219" t="s">
        <v>147</v>
      </c>
      <c r="L554" s="219"/>
      <c r="M554" s="219"/>
      <c r="N554" s="219"/>
      <c r="O554" s="216" t="s">
        <v>25</v>
      </c>
      <c r="P554" s="221"/>
      <c r="Q554" s="222"/>
      <c r="R554" s="71">
        <v>0</v>
      </c>
      <c r="S554" s="73">
        <v>-1868.9199999999998</v>
      </c>
      <c r="T554" s="223">
        <v>0</v>
      </c>
      <c r="U554" s="71">
        <f>ERP_34[[#This Row],[LE2 Final Submission]]-ERP_34[[#This Row],[LE3 Final Submission]]</f>
        <v>-1868.9199999999998</v>
      </c>
      <c r="V554" s="224">
        <v>0.19</v>
      </c>
      <c r="W554" s="225">
        <v>-0.3</v>
      </c>
      <c r="X554" s="225">
        <v>-1868.81</v>
      </c>
      <c r="Y554" s="226">
        <v>0</v>
      </c>
      <c r="Z554" s="226">
        <v>0</v>
      </c>
      <c r="AA554" s="226">
        <v>0</v>
      </c>
      <c r="AB554" s="226">
        <v>0</v>
      </c>
      <c r="AC554" s="226">
        <v>0</v>
      </c>
      <c r="AD554" s="226">
        <v>0</v>
      </c>
      <c r="AE554" s="226">
        <v>0</v>
      </c>
      <c r="AF554" s="226">
        <v>0</v>
      </c>
      <c r="AG554" s="226">
        <v>0</v>
      </c>
      <c r="AH554" s="194">
        <f t="shared" si="20"/>
        <v>-1868.9199999999998</v>
      </c>
      <c r="AI554" s="108">
        <f>ERP_34[[#This Row],[2026 Working Total]]-ERP_34[[#This Row],[2026 LE0]]</f>
        <v>-1868.9199999999998</v>
      </c>
      <c r="AJ554" s="227"/>
      <c r="AK554" s="227"/>
      <c r="AL55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4" s="80"/>
      <c r="AN554" s="79">
        <f>ERP_34[[#This Row],[2026 Working Total to Budget/LE]]-ERP_34[[#This Row],[Giveback]]</f>
        <v>-1868.9199999999998</v>
      </c>
      <c r="AO554" s="81"/>
      <c r="AP554" s="81">
        <v>0.19</v>
      </c>
      <c r="AQ554" s="81">
        <v>-0.3</v>
      </c>
      <c r="AR554" s="81">
        <v>-1868.81</v>
      </c>
      <c r="AS554" s="81">
        <v>0</v>
      </c>
      <c r="AT554" s="81">
        <v>0</v>
      </c>
      <c r="AU554" s="81">
        <v>0</v>
      </c>
      <c r="AV554" s="81">
        <v>0</v>
      </c>
      <c r="AW554" s="81">
        <v>0</v>
      </c>
      <c r="AX554" s="81">
        <v>0</v>
      </c>
      <c r="AY554" s="81">
        <v>0</v>
      </c>
      <c r="AZ554" s="81">
        <v>0</v>
      </c>
      <c r="BA554" s="81">
        <v>0</v>
      </c>
      <c r="BB554" s="81">
        <v>-1868.9199999999998</v>
      </c>
      <c r="BC554" s="227">
        <v>0.19</v>
      </c>
      <c r="BD554" s="227">
        <v>-0.3</v>
      </c>
      <c r="BE554" s="227">
        <v>-1868.81</v>
      </c>
      <c r="BF554" s="227">
        <v>0</v>
      </c>
      <c r="BG554" s="227">
        <v>0</v>
      </c>
      <c r="BH554" s="227">
        <v>0</v>
      </c>
      <c r="BI554" s="227">
        <v>0</v>
      </c>
      <c r="BJ554" s="227">
        <v>0</v>
      </c>
      <c r="BK554" s="227">
        <v>0</v>
      </c>
      <c r="BL554" s="227">
        <v>0</v>
      </c>
      <c r="BM554" s="227">
        <v>0</v>
      </c>
      <c r="BN554" s="227">
        <v>0</v>
      </c>
      <c r="BO554" s="227">
        <v>-1868.9199999999998</v>
      </c>
    </row>
    <row r="555" spans="1:67">
      <c r="A555" s="215" t="s">
        <v>2597</v>
      </c>
      <c r="B555" s="215" t="str">
        <f>_xlfn.TEXTJOIN("_",,ERP_34[[#This Row],[LT Member -1*]],ERP_34[[#This Row],[Expense Category]],ERP_34[[#This Row],[Project Code*]])</f>
        <v>McCormick, Pete_SOFTWARE_MISC001</v>
      </c>
      <c r="C555" s="67" t="s">
        <v>1136</v>
      </c>
      <c r="D555" s="216" t="s">
        <v>1135</v>
      </c>
      <c r="E555" s="216" t="s">
        <v>1145</v>
      </c>
      <c r="F555" s="216" t="s">
        <v>1137</v>
      </c>
      <c r="G555" s="217" t="s">
        <v>639</v>
      </c>
      <c r="H555" s="218" t="s">
        <v>1327</v>
      </c>
      <c r="I555" s="219"/>
      <c r="J555" s="219"/>
      <c r="K555" s="219" t="s">
        <v>147</v>
      </c>
      <c r="L555" s="219"/>
      <c r="M555" s="219"/>
      <c r="N555" s="219"/>
      <c r="O555" s="216" t="s">
        <v>25</v>
      </c>
      <c r="P555" s="221"/>
      <c r="Q555" s="222"/>
      <c r="R555" s="71">
        <v>0</v>
      </c>
      <c r="S555" s="73">
        <v>-0.26</v>
      </c>
      <c r="T555" s="223">
        <v>0</v>
      </c>
      <c r="U555" s="71">
        <f>ERP_34[[#This Row],[LE2 Final Submission]]-ERP_34[[#This Row],[LE3 Final Submission]]</f>
        <v>-0.26</v>
      </c>
      <c r="V555" s="224">
        <v>-0.15</v>
      </c>
      <c r="W555" s="225">
        <v>0.31</v>
      </c>
      <c r="X555" s="225">
        <v>-0.42</v>
      </c>
      <c r="Y555" s="226">
        <v>0</v>
      </c>
      <c r="Z555" s="226">
        <v>0</v>
      </c>
      <c r="AA555" s="226">
        <v>0</v>
      </c>
      <c r="AB555" s="226">
        <v>0</v>
      </c>
      <c r="AC555" s="226">
        <v>0</v>
      </c>
      <c r="AD555" s="226">
        <v>0</v>
      </c>
      <c r="AE555" s="226">
        <v>0</v>
      </c>
      <c r="AF555" s="226">
        <v>0</v>
      </c>
      <c r="AG555" s="226">
        <v>0</v>
      </c>
      <c r="AH555" s="194">
        <f t="shared" si="20"/>
        <v>-0.26</v>
      </c>
      <c r="AI555" s="108">
        <f>ERP_34[[#This Row],[2026 Working Total]]-ERP_34[[#This Row],[2026 LE0]]</f>
        <v>-0.26</v>
      </c>
      <c r="AJ555" s="227"/>
      <c r="AK555" s="227"/>
      <c r="AL555" s="79">
        <f>ERP_34[[#This Row],[AP01]]+ERP_34[[#This Row],[AP02]]+ERP_34[[#This Row],[AP03]]+ERP_34[[#This Row],[AP04]]-ERP_34[[#This Row],[AP01 LE2]]-ERP_34[[#This Row],[AP02 LE2]]-ERP_34[[#This Row],[AP03 LE2]]-ERP_34[[#This Row],[AP04 LE2]]</f>
        <v>-5.5511151231257827E-17</v>
      </c>
      <c r="AM555" s="80"/>
      <c r="AN555" s="79">
        <f>ERP_34[[#This Row],[2026 Working Total to Budget/LE]]-ERP_34[[#This Row],[Giveback]]</f>
        <v>-0.26</v>
      </c>
      <c r="AO555" s="81"/>
      <c r="AP555" s="81">
        <v>-0.15</v>
      </c>
      <c r="AQ555" s="81">
        <v>0.31</v>
      </c>
      <c r="AR555" s="81">
        <v>-0.42</v>
      </c>
      <c r="AS555" s="81">
        <v>0</v>
      </c>
      <c r="AT555" s="81">
        <v>0</v>
      </c>
      <c r="AU555" s="81">
        <v>0</v>
      </c>
      <c r="AV555" s="81">
        <v>0</v>
      </c>
      <c r="AW555" s="81">
        <v>0</v>
      </c>
      <c r="AX555" s="81">
        <v>0</v>
      </c>
      <c r="AY555" s="81">
        <v>0</v>
      </c>
      <c r="AZ555" s="81">
        <v>0</v>
      </c>
      <c r="BA555" s="81">
        <v>0</v>
      </c>
      <c r="BB555" s="81">
        <v>-0.26</v>
      </c>
      <c r="BC555" s="229">
        <v>-0.15</v>
      </c>
      <c r="BD555" s="229">
        <v>0.31</v>
      </c>
      <c r="BE555" s="229">
        <v>-0.42</v>
      </c>
      <c r="BF555" s="229">
        <v>0</v>
      </c>
      <c r="BG555" s="229">
        <v>0</v>
      </c>
      <c r="BH555" s="229">
        <v>0</v>
      </c>
      <c r="BI555" s="229">
        <v>0</v>
      </c>
      <c r="BJ555" s="229">
        <v>0</v>
      </c>
      <c r="BK555" s="229">
        <v>0</v>
      </c>
      <c r="BL555" s="229">
        <v>0</v>
      </c>
      <c r="BM555" s="229">
        <v>0</v>
      </c>
      <c r="BN555" s="229">
        <v>0</v>
      </c>
      <c r="BO555" s="229">
        <v>-0.26</v>
      </c>
    </row>
    <row r="556" spans="1:67">
      <c r="A556" s="215" t="s">
        <v>2599</v>
      </c>
      <c r="B556" s="215" t="str">
        <f>_xlfn.TEXTJOIN("_",,ERP_34[[#This Row],[LT Member -1*]],ERP_34[[#This Row],[Expense Category]],ERP_34[[#This Row],[Project Code*]])</f>
        <v>Meadows, Leslie_SOFTWARE_MISC001</v>
      </c>
      <c r="C556" s="67" t="s">
        <v>1136</v>
      </c>
      <c r="D556" s="216" t="s">
        <v>1135</v>
      </c>
      <c r="E556" s="216" t="s">
        <v>1156</v>
      </c>
      <c r="F556" s="216" t="s">
        <v>1137</v>
      </c>
      <c r="G556" s="217" t="s">
        <v>639</v>
      </c>
      <c r="H556" s="218" t="s">
        <v>1327</v>
      </c>
      <c r="I556" s="219"/>
      <c r="J556" s="219"/>
      <c r="K556" s="220" t="s">
        <v>147</v>
      </c>
      <c r="L556" s="219"/>
      <c r="M556" s="219"/>
      <c r="N556" s="219"/>
      <c r="O556" s="216" t="s">
        <v>25</v>
      </c>
      <c r="P556" s="221"/>
      <c r="Q556" s="222"/>
      <c r="R556" s="71">
        <v>0</v>
      </c>
      <c r="S556" s="73">
        <v>0.26</v>
      </c>
      <c r="T556" s="223">
        <v>0</v>
      </c>
      <c r="U556" s="71">
        <f>ERP_34[[#This Row],[LE2 Final Submission]]-ERP_34[[#This Row],[LE3 Final Submission]]</f>
        <v>0.26</v>
      </c>
      <c r="V556" s="224"/>
      <c r="W556" s="225"/>
      <c r="X556" s="225">
        <v>0.26</v>
      </c>
      <c r="Y556" s="226">
        <v>0</v>
      </c>
      <c r="Z556" s="226">
        <v>0</v>
      </c>
      <c r="AA556" s="226">
        <v>0</v>
      </c>
      <c r="AB556" s="226">
        <v>0</v>
      </c>
      <c r="AC556" s="226">
        <v>0</v>
      </c>
      <c r="AD556" s="226">
        <v>0</v>
      </c>
      <c r="AE556" s="226">
        <v>0</v>
      </c>
      <c r="AF556" s="226">
        <v>0</v>
      </c>
      <c r="AG556" s="226">
        <v>0</v>
      </c>
      <c r="AH556" s="194">
        <f t="shared" si="20"/>
        <v>0.26</v>
      </c>
      <c r="AI556" s="108">
        <f>ERP_34[[#This Row],[2026 Working Total]]-ERP_34[[#This Row],[2026 LE0]]</f>
        <v>0.26</v>
      </c>
      <c r="AJ556" s="227"/>
      <c r="AK556" s="227"/>
      <c r="AL55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6" s="80"/>
      <c r="AN556" s="79">
        <f>ERP_34[[#This Row],[2026 Working Total to Budget/LE]]-ERP_34[[#This Row],[Giveback]]</f>
        <v>0.26</v>
      </c>
      <c r="AO556" s="81"/>
      <c r="AP556" s="81"/>
      <c r="AQ556" s="81"/>
      <c r="AR556" s="81">
        <v>0.26</v>
      </c>
      <c r="AS556" s="81">
        <v>0</v>
      </c>
      <c r="AT556" s="81">
        <v>0</v>
      </c>
      <c r="AU556" s="81">
        <v>0</v>
      </c>
      <c r="AV556" s="81">
        <v>0</v>
      </c>
      <c r="AW556" s="81">
        <v>0</v>
      </c>
      <c r="AX556" s="81">
        <v>0</v>
      </c>
      <c r="AY556" s="81">
        <v>0</v>
      </c>
      <c r="AZ556" s="81">
        <v>0</v>
      </c>
      <c r="BA556" s="81">
        <v>0</v>
      </c>
      <c r="BB556" s="81">
        <v>0.26</v>
      </c>
      <c r="BC556" s="229"/>
      <c r="BD556" s="229"/>
      <c r="BE556" s="229">
        <v>0.26</v>
      </c>
      <c r="BF556" s="229">
        <v>0</v>
      </c>
      <c r="BG556" s="229">
        <v>0</v>
      </c>
      <c r="BH556" s="229">
        <v>0</v>
      </c>
      <c r="BI556" s="229">
        <v>0</v>
      </c>
      <c r="BJ556" s="229">
        <v>0</v>
      </c>
      <c r="BK556" s="229">
        <v>0</v>
      </c>
      <c r="BL556" s="229">
        <v>0</v>
      </c>
      <c r="BM556" s="229">
        <v>0</v>
      </c>
      <c r="BN556" s="229">
        <v>0</v>
      </c>
      <c r="BO556" s="229">
        <v>0.26</v>
      </c>
    </row>
    <row r="557" spans="1:67">
      <c r="A557" s="215" t="s">
        <v>2601</v>
      </c>
      <c r="B557" s="215" t="str">
        <f>_xlfn.TEXTJOIN("_",,ERP_34[[#This Row],[LT Member -1*]],ERP_34[[#This Row],[Expense Category]],ERP_34[[#This Row],[Project Code*]])</f>
        <v>Patel, Nikunj Rohitkumar_SOFTWARE_MISC001</v>
      </c>
      <c r="C557" s="67" t="s">
        <v>1136</v>
      </c>
      <c r="D557" s="216" t="s">
        <v>1135</v>
      </c>
      <c r="E557" s="216" t="s">
        <v>1161</v>
      </c>
      <c r="F557" s="216" t="s">
        <v>1137</v>
      </c>
      <c r="G557" s="217" t="s">
        <v>639</v>
      </c>
      <c r="H557" s="218" t="s">
        <v>1327</v>
      </c>
      <c r="I557" s="219"/>
      <c r="J557" s="219"/>
      <c r="K557" s="219" t="s">
        <v>147</v>
      </c>
      <c r="L557" s="219"/>
      <c r="M557" s="219"/>
      <c r="N557" s="219"/>
      <c r="O557" s="216" t="s">
        <v>25</v>
      </c>
      <c r="P557" s="221"/>
      <c r="Q557" s="222"/>
      <c r="R557" s="71">
        <v>0</v>
      </c>
      <c r="S557" s="73">
        <v>0.13</v>
      </c>
      <c r="T557" s="223">
        <v>0</v>
      </c>
      <c r="U557" s="71">
        <f>ERP_34[[#This Row],[LE2 Final Submission]]-ERP_34[[#This Row],[LE3 Final Submission]]</f>
        <v>0.13</v>
      </c>
      <c r="V557" s="224"/>
      <c r="W557" s="225"/>
      <c r="X557" s="225">
        <v>0.13</v>
      </c>
      <c r="Y557" s="226">
        <v>0</v>
      </c>
      <c r="Z557" s="226">
        <v>0</v>
      </c>
      <c r="AA557" s="226">
        <v>0</v>
      </c>
      <c r="AB557" s="226">
        <v>0</v>
      </c>
      <c r="AC557" s="226">
        <v>0</v>
      </c>
      <c r="AD557" s="226">
        <v>0</v>
      </c>
      <c r="AE557" s="226">
        <v>0</v>
      </c>
      <c r="AF557" s="226">
        <v>0</v>
      </c>
      <c r="AG557" s="226">
        <v>0</v>
      </c>
      <c r="AH557" s="194">
        <f t="shared" si="20"/>
        <v>0.13</v>
      </c>
      <c r="AI557" s="108">
        <f>ERP_34[[#This Row],[2026 Working Total]]-ERP_34[[#This Row],[2026 LE0]]</f>
        <v>0.13</v>
      </c>
      <c r="AJ557" s="227"/>
      <c r="AK557" s="227"/>
      <c r="AL55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7" s="80"/>
      <c r="AN557" s="79">
        <f>ERP_34[[#This Row],[2026 Working Total to Budget/LE]]-ERP_34[[#This Row],[Giveback]]</f>
        <v>0.13</v>
      </c>
      <c r="AO557" s="81"/>
      <c r="AP557" s="81"/>
      <c r="AQ557" s="81"/>
      <c r="AR557" s="81">
        <v>0.13</v>
      </c>
      <c r="AS557" s="81">
        <v>0</v>
      </c>
      <c r="AT557" s="81">
        <v>0</v>
      </c>
      <c r="AU557" s="81">
        <v>0</v>
      </c>
      <c r="AV557" s="81">
        <v>0</v>
      </c>
      <c r="AW557" s="81">
        <v>0</v>
      </c>
      <c r="AX557" s="81">
        <v>0</v>
      </c>
      <c r="AY557" s="81">
        <v>0</v>
      </c>
      <c r="AZ557" s="81">
        <v>0</v>
      </c>
      <c r="BA557" s="81">
        <v>0</v>
      </c>
      <c r="BB557" s="81">
        <v>0.13</v>
      </c>
      <c r="BC557" s="227"/>
      <c r="BD557" s="227"/>
      <c r="BE557" s="227">
        <v>0.13</v>
      </c>
      <c r="BF557" s="227">
        <v>0</v>
      </c>
      <c r="BG557" s="227">
        <v>0</v>
      </c>
      <c r="BH557" s="227">
        <v>0</v>
      </c>
      <c r="BI557" s="227">
        <v>0</v>
      </c>
      <c r="BJ557" s="227">
        <v>0</v>
      </c>
      <c r="BK557" s="227">
        <v>0</v>
      </c>
      <c r="BL557" s="227">
        <v>0</v>
      </c>
      <c r="BM557" s="227">
        <v>0</v>
      </c>
      <c r="BN557" s="227">
        <v>0</v>
      </c>
      <c r="BO557" s="227">
        <v>0.13</v>
      </c>
    </row>
    <row r="558" spans="1:67">
      <c r="A558" s="215" t="s">
        <v>2603</v>
      </c>
      <c r="B558" s="215" t="str">
        <f>_xlfn.TEXTJOIN("_",,ERP_34[[#This Row],[LT Member -1*]],ERP_34[[#This Row],[Expense Category]],ERP_34[[#This Row],[Project Code*]])</f>
        <v>Tamavada, Ram_SOFTWARE_MISC001</v>
      </c>
      <c r="C558" s="67" t="s">
        <v>1136</v>
      </c>
      <c r="D558" s="216" t="s">
        <v>1135</v>
      </c>
      <c r="E558" s="216" t="s">
        <v>1165</v>
      </c>
      <c r="F558" s="216" t="s">
        <v>1137</v>
      </c>
      <c r="G558" s="217" t="s">
        <v>639</v>
      </c>
      <c r="H558" s="218" t="s">
        <v>1327</v>
      </c>
      <c r="I558" s="219"/>
      <c r="J558" s="219"/>
      <c r="K558" s="220" t="s">
        <v>147</v>
      </c>
      <c r="L558" s="219"/>
      <c r="M558" s="219"/>
      <c r="N558" s="219"/>
      <c r="O558" s="216" t="s">
        <v>25</v>
      </c>
      <c r="P558" s="221"/>
      <c r="Q558" s="222"/>
      <c r="R558" s="71">
        <v>0</v>
      </c>
      <c r="S558" s="73">
        <v>0.19999999999999996</v>
      </c>
      <c r="T558" s="223">
        <v>0</v>
      </c>
      <c r="U558" s="71">
        <f>ERP_34[[#This Row],[LE2 Final Submission]]-ERP_34[[#This Row],[LE3 Final Submission]]</f>
        <v>0.19999999999999996</v>
      </c>
      <c r="V558" s="224">
        <v>-0.34</v>
      </c>
      <c r="W558" s="225">
        <v>-0.09</v>
      </c>
      <c r="X558" s="225">
        <v>0.63</v>
      </c>
      <c r="Y558" s="226">
        <v>0</v>
      </c>
      <c r="Z558" s="226">
        <v>0</v>
      </c>
      <c r="AA558" s="226">
        <v>0</v>
      </c>
      <c r="AB558" s="226">
        <v>0</v>
      </c>
      <c r="AC558" s="226">
        <v>0</v>
      </c>
      <c r="AD558" s="226">
        <v>0</v>
      </c>
      <c r="AE558" s="226">
        <v>0</v>
      </c>
      <c r="AF558" s="226">
        <v>0</v>
      </c>
      <c r="AG558" s="226">
        <v>0</v>
      </c>
      <c r="AH558" s="194">
        <f t="shared" si="20"/>
        <v>0.19999999999999996</v>
      </c>
      <c r="AI558" s="108">
        <f>ERP_34[[#This Row],[2026 Working Total]]-ERP_34[[#This Row],[2026 LE0]]</f>
        <v>0.19999999999999996</v>
      </c>
      <c r="AJ558" s="227"/>
      <c r="AK558" s="227"/>
      <c r="AL55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58" s="80"/>
      <c r="AN558" s="79">
        <f>ERP_34[[#This Row],[2026 Working Total to Budget/LE]]-ERP_34[[#This Row],[Giveback]]</f>
        <v>0.19999999999999996</v>
      </c>
      <c r="AO558" s="81"/>
      <c r="AP558" s="81">
        <v>-0.34</v>
      </c>
      <c r="AQ558" s="81">
        <v>-0.09</v>
      </c>
      <c r="AR558" s="81">
        <v>0.63</v>
      </c>
      <c r="AS558" s="81">
        <v>0</v>
      </c>
      <c r="AT558" s="81">
        <v>0</v>
      </c>
      <c r="AU558" s="81">
        <v>0</v>
      </c>
      <c r="AV558" s="81">
        <v>0</v>
      </c>
      <c r="AW558" s="81">
        <v>0</v>
      </c>
      <c r="AX558" s="81">
        <v>0</v>
      </c>
      <c r="AY558" s="81">
        <v>0</v>
      </c>
      <c r="AZ558" s="81">
        <v>0</v>
      </c>
      <c r="BA558" s="81">
        <v>0</v>
      </c>
      <c r="BB558" s="81">
        <v>0.19999999999999996</v>
      </c>
      <c r="BC558" s="227">
        <v>-0.34</v>
      </c>
      <c r="BD558" s="227">
        <v>-0.09</v>
      </c>
      <c r="BE558" s="227">
        <v>0.63</v>
      </c>
      <c r="BF558" s="227">
        <v>0</v>
      </c>
      <c r="BG558" s="227">
        <v>0</v>
      </c>
      <c r="BH558" s="227">
        <v>0</v>
      </c>
      <c r="BI558" s="227">
        <v>0</v>
      </c>
      <c r="BJ558" s="227">
        <v>0</v>
      </c>
      <c r="BK558" s="227">
        <v>0</v>
      </c>
      <c r="BL558" s="227">
        <v>0</v>
      </c>
      <c r="BM558" s="227">
        <v>0</v>
      </c>
      <c r="BN558" s="227">
        <v>0</v>
      </c>
      <c r="BO558" s="227">
        <v>0.19999999999999996</v>
      </c>
    </row>
    <row r="559" spans="1:67">
      <c r="A559" s="215" t="s">
        <v>1639</v>
      </c>
      <c r="B559" s="215" t="str">
        <f>_xlfn.TEXTJOIN("_",,ERP_34[[#This Row],[LT Member -1*]],ERP_34[[#This Row],[Expense Category]],ERP_34[[#This Row],[Project Code*]])</f>
        <v>DeHart, Lynn_CONTRACTORS_MISC001</v>
      </c>
      <c r="C559" s="67" t="s">
        <v>1136</v>
      </c>
      <c r="D559" s="216" t="s">
        <v>1345</v>
      </c>
      <c r="E559" s="216" t="s">
        <v>1346</v>
      </c>
      <c r="F559" s="216" t="s">
        <v>1346</v>
      </c>
      <c r="G559" s="217" t="s">
        <v>49</v>
      </c>
      <c r="H559" s="218" t="s">
        <v>1327</v>
      </c>
      <c r="I559" s="219"/>
      <c r="J559" s="219"/>
      <c r="K559" s="219" t="s">
        <v>147</v>
      </c>
      <c r="L559" s="219"/>
      <c r="M559" s="219"/>
      <c r="N559" s="219"/>
      <c r="O559" s="216" t="s">
        <v>25</v>
      </c>
      <c r="P559" s="221"/>
      <c r="Q559" s="222"/>
      <c r="R559" s="71">
        <v>0</v>
      </c>
      <c r="S559" s="73">
        <v>19969.14</v>
      </c>
      <c r="T559" s="223">
        <v>0</v>
      </c>
      <c r="U559" s="71">
        <f>ERP_34[[#This Row],[LE2 Final Submission]]-ERP_34[[#This Row],[LE3 Final Submission]]</f>
        <v>19969.14</v>
      </c>
      <c r="V559" s="224">
        <v>6818.85</v>
      </c>
      <c r="W559" s="225">
        <v>9998.51</v>
      </c>
      <c r="X559" s="225">
        <v>3151.78</v>
      </c>
      <c r="Y559" s="226">
        <v>0</v>
      </c>
      <c r="Z559" s="226">
        <v>0</v>
      </c>
      <c r="AA559" s="226">
        <v>0</v>
      </c>
      <c r="AB559" s="226">
        <v>0</v>
      </c>
      <c r="AC559" s="226">
        <v>0</v>
      </c>
      <c r="AD559" s="226">
        <v>0</v>
      </c>
      <c r="AE559" s="226">
        <v>0</v>
      </c>
      <c r="AF559" s="226">
        <v>0</v>
      </c>
      <c r="AG559" s="226">
        <v>0</v>
      </c>
      <c r="AH559" s="194">
        <f t="shared" si="20"/>
        <v>19969.14</v>
      </c>
      <c r="AI559" s="108">
        <f>ERP_34[[#This Row],[2026 Working Total]]-ERP_34[[#This Row],[2026 LE0]]</f>
        <v>19969.14</v>
      </c>
      <c r="AJ559" s="227"/>
      <c r="AK559" s="227"/>
      <c r="AL559" s="79">
        <f>ERP_34[[#This Row],[AP01]]+ERP_34[[#This Row],[AP02]]+ERP_34[[#This Row],[AP03]]+ERP_34[[#This Row],[AP04]]-ERP_34[[#This Row],[AP01 LE2]]-ERP_34[[#This Row],[AP02 LE2]]-ERP_34[[#This Row],[AP03 LE2]]-ERP_34[[#This Row],[AP04 LE2]]</f>
        <v>-1.3642420526593924E-12</v>
      </c>
      <c r="AM559" s="80"/>
      <c r="AN559" s="79">
        <f>ERP_34[[#This Row],[2026 Working Total to Budget/LE]]-ERP_34[[#This Row],[Giveback]]</f>
        <v>19969.14</v>
      </c>
      <c r="AO559" s="81"/>
      <c r="AP559" s="81">
        <v>6818.85</v>
      </c>
      <c r="AQ559" s="81">
        <v>9998.51</v>
      </c>
      <c r="AR559" s="81">
        <v>3151.78</v>
      </c>
      <c r="AS559" s="81">
        <v>0</v>
      </c>
      <c r="AT559" s="81">
        <v>0</v>
      </c>
      <c r="AU559" s="81">
        <v>0</v>
      </c>
      <c r="AV559" s="81">
        <v>0</v>
      </c>
      <c r="AW559" s="81">
        <v>0</v>
      </c>
      <c r="AX559" s="81">
        <v>0</v>
      </c>
      <c r="AY559" s="81">
        <v>0</v>
      </c>
      <c r="AZ559" s="81">
        <v>0</v>
      </c>
      <c r="BA559" s="81">
        <v>0</v>
      </c>
      <c r="BB559" s="81">
        <v>19969.14</v>
      </c>
      <c r="BC559" s="227">
        <v>6818.85</v>
      </c>
      <c r="BD559" s="227">
        <v>9998.51</v>
      </c>
      <c r="BE559" s="227">
        <v>3151.78</v>
      </c>
      <c r="BF559" s="227">
        <v>0</v>
      </c>
      <c r="BG559" s="227">
        <v>0</v>
      </c>
      <c r="BH559" s="227">
        <v>0</v>
      </c>
      <c r="BI559" s="227">
        <v>0</v>
      </c>
      <c r="BJ559" s="227">
        <v>0</v>
      </c>
      <c r="BK559" s="227">
        <v>0</v>
      </c>
      <c r="BL559" s="227">
        <v>0</v>
      </c>
      <c r="BM559" s="227">
        <v>0</v>
      </c>
      <c r="BN559" s="227">
        <v>0</v>
      </c>
      <c r="BO559" s="227">
        <v>19969.14</v>
      </c>
    </row>
    <row r="560" spans="1:67">
      <c r="A560" s="215" t="s">
        <v>1425</v>
      </c>
      <c r="B560" s="215" t="str">
        <f>_xlfn.TEXTJOIN("_",,ERP_34[[#This Row],[LT Member -1*]],ERP_34[[#This Row],[Expense Category]],ERP_34[[#This Row],[Project Code*]])</f>
        <v>Ganesan, Srinivasan_CONTRACTORS_MISC001</v>
      </c>
      <c r="C560" s="67" t="s">
        <v>1136</v>
      </c>
      <c r="D560" s="216" t="s">
        <v>1345</v>
      </c>
      <c r="E560" s="216" t="s">
        <v>1344</v>
      </c>
      <c r="F560" s="216" t="s">
        <v>1346</v>
      </c>
      <c r="G560" s="217" t="s">
        <v>49</v>
      </c>
      <c r="H560" s="218" t="s">
        <v>1327</v>
      </c>
      <c r="I560" s="219"/>
      <c r="J560" s="219"/>
      <c r="K560" s="219" t="s">
        <v>147</v>
      </c>
      <c r="L560" s="219"/>
      <c r="M560" s="219"/>
      <c r="N560" s="219"/>
      <c r="O560" s="216" t="s">
        <v>25</v>
      </c>
      <c r="P560" s="221"/>
      <c r="Q560" s="222"/>
      <c r="R560" s="71">
        <v>0</v>
      </c>
      <c r="S560" s="73">
        <v>-0.47</v>
      </c>
      <c r="T560" s="223">
        <v>0</v>
      </c>
      <c r="U560" s="71">
        <f>ERP_34[[#This Row],[LE2 Final Submission]]-ERP_34[[#This Row],[LE3 Final Submission]]</f>
        <v>-0.47</v>
      </c>
      <c r="V560" s="224">
        <v>-0.28999999999999998</v>
      </c>
      <c r="W560" s="225">
        <v>0.43</v>
      </c>
      <c r="X560" s="225">
        <v>-0.61</v>
      </c>
      <c r="Y560" s="226">
        <v>0</v>
      </c>
      <c r="Z560" s="226">
        <v>0</v>
      </c>
      <c r="AA560" s="226">
        <v>0</v>
      </c>
      <c r="AB560" s="226">
        <v>0</v>
      </c>
      <c r="AC560" s="226">
        <v>0</v>
      </c>
      <c r="AD560" s="226">
        <v>0</v>
      </c>
      <c r="AE560" s="226">
        <v>0</v>
      </c>
      <c r="AF560" s="226">
        <v>0</v>
      </c>
      <c r="AG560" s="226">
        <v>0</v>
      </c>
      <c r="AH560" s="194">
        <f t="shared" si="20"/>
        <v>-0.47</v>
      </c>
      <c r="AI560" s="108">
        <f>ERP_34[[#This Row],[2026 Working Total]]-ERP_34[[#This Row],[2026 LE0]]</f>
        <v>-0.47</v>
      </c>
      <c r="AJ560" s="227"/>
      <c r="AK560" s="227"/>
      <c r="AL56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0" s="80"/>
      <c r="AN560" s="79">
        <f>ERP_34[[#This Row],[2026 Working Total to Budget/LE]]-ERP_34[[#This Row],[Giveback]]</f>
        <v>-0.47</v>
      </c>
      <c r="AO560" s="81"/>
      <c r="AP560" s="81">
        <v>-0.28999999999999998</v>
      </c>
      <c r="AQ560" s="81">
        <v>0.43</v>
      </c>
      <c r="AR560" s="81">
        <v>-0.61</v>
      </c>
      <c r="AS560" s="81">
        <v>0</v>
      </c>
      <c r="AT560" s="81">
        <v>0</v>
      </c>
      <c r="AU560" s="81">
        <v>0</v>
      </c>
      <c r="AV560" s="81">
        <v>0</v>
      </c>
      <c r="AW560" s="81">
        <v>0</v>
      </c>
      <c r="AX560" s="81">
        <v>0</v>
      </c>
      <c r="AY560" s="81">
        <v>0</v>
      </c>
      <c r="AZ560" s="81">
        <v>0</v>
      </c>
      <c r="BA560" s="81">
        <v>0</v>
      </c>
      <c r="BB560" s="81">
        <v>-0.47</v>
      </c>
      <c r="BC560" s="227">
        <v>-0.28999999999999998</v>
      </c>
      <c r="BD560" s="227">
        <v>0.43</v>
      </c>
      <c r="BE560" s="227">
        <v>-0.61</v>
      </c>
      <c r="BF560" s="227">
        <v>0</v>
      </c>
      <c r="BG560" s="227">
        <v>0</v>
      </c>
      <c r="BH560" s="227">
        <v>0</v>
      </c>
      <c r="BI560" s="227">
        <v>0</v>
      </c>
      <c r="BJ560" s="227">
        <v>0</v>
      </c>
      <c r="BK560" s="227">
        <v>0</v>
      </c>
      <c r="BL560" s="227">
        <v>0</v>
      </c>
      <c r="BM560" s="227">
        <v>0</v>
      </c>
      <c r="BN560" s="227">
        <v>0</v>
      </c>
      <c r="BO560" s="227">
        <v>-0.47</v>
      </c>
    </row>
    <row r="561" spans="1:67">
      <c r="A561" s="215" t="s">
        <v>1476</v>
      </c>
      <c r="B561" s="215" t="str">
        <f>_xlfn.TEXTJOIN("_",,ERP_34[[#This Row],[LT Member -1*]],ERP_34[[#This Row],[Expense Category]],ERP_34[[#This Row],[Project Code*]])</f>
        <v>Herman, Shaun_CONTRACTORS_MISC001</v>
      </c>
      <c r="C561" s="67" t="s">
        <v>1136</v>
      </c>
      <c r="D561" s="216" t="s">
        <v>1345</v>
      </c>
      <c r="E561" s="216" t="s">
        <v>1450</v>
      </c>
      <c r="F561" s="216" t="s">
        <v>1346</v>
      </c>
      <c r="G561" s="217" t="s">
        <v>49</v>
      </c>
      <c r="H561" s="218" t="s">
        <v>1327</v>
      </c>
      <c r="I561" s="219"/>
      <c r="J561" s="219"/>
      <c r="K561" s="219" t="s">
        <v>147</v>
      </c>
      <c r="L561" s="219"/>
      <c r="M561" s="219"/>
      <c r="N561" s="219"/>
      <c r="O561" s="216" t="s">
        <v>25</v>
      </c>
      <c r="P561" s="221"/>
      <c r="Q561" s="222"/>
      <c r="R561" s="71">
        <v>0</v>
      </c>
      <c r="S561" s="73">
        <v>-0.32999999999999996</v>
      </c>
      <c r="T561" s="223">
        <v>0</v>
      </c>
      <c r="U561" s="71">
        <f>ERP_34[[#This Row],[LE2 Final Submission]]-ERP_34[[#This Row],[LE3 Final Submission]]</f>
        <v>-0.32999999999999996</v>
      </c>
      <c r="V561" s="224">
        <v>-0.15</v>
      </c>
      <c r="W561" s="225">
        <v>0.23</v>
      </c>
      <c r="X561" s="225">
        <v>-0.41</v>
      </c>
      <c r="Y561" s="226">
        <v>0</v>
      </c>
      <c r="Z561" s="226">
        <v>0</v>
      </c>
      <c r="AA561" s="226">
        <v>0</v>
      </c>
      <c r="AB561" s="226">
        <v>0</v>
      </c>
      <c r="AC561" s="226">
        <v>0</v>
      </c>
      <c r="AD561" s="226">
        <v>0</v>
      </c>
      <c r="AE561" s="226">
        <v>0</v>
      </c>
      <c r="AF561" s="226">
        <v>0</v>
      </c>
      <c r="AG561" s="226">
        <v>0</v>
      </c>
      <c r="AH561" s="194">
        <f t="shared" si="20"/>
        <v>-0.32999999999999996</v>
      </c>
      <c r="AI561" s="108">
        <f>ERP_34[[#This Row],[2026 Working Total]]-ERP_34[[#This Row],[2026 LE0]]</f>
        <v>-0.32999999999999996</v>
      </c>
      <c r="AJ561" s="227"/>
      <c r="AK561" s="227"/>
      <c r="AL56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1" s="80"/>
      <c r="AN561" s="79">
        <f>ERP_34[[#This Row],[2026 Working Total to Budget/LE]]-ERP_34[[#This Row],[Giveback]]</f>
        <v>-0.32999999999999996</v>
      </c>
      <c r="AO561" s="81"/>
      <c r="AP561" s="81">
        <v>-0.15</v>
      </c>
      <c r="AQ561" s="81">
        <v>0.23</v>
      </c>
      <c r="AR561" s="81">
        <v>-0.41</v>
      </c>
      <c r="AS561" s="81">
        <v>0</v>
      </c>
      <c r="AT561" s="81">
        <v>0</v>
      </c>
      <c r="AU561" s="81">
        <v>0</v>
      </c>
      <c r="AV561" s="81">
        <v>0</v>
      </c>
      <c r="AW561" s="81">
        <v>0</v>
      </c>
      <c r="AX561" s="81">
        <v>0</v>
      </c>
      <c r="AY561" s="81">
        <v>0</v>
      </c>
      <c r="AZ561" s="81">
        <v>0</v>
      </c>
      <c r="BA561" s="81">
        <v>0</v>
      </c>
      <c r="BB561" s="81">
        <v>-0.32999999999999996</v>
      </c>
      <c r="BC561" s="227">
        <v>-0.15</v>
      </c>
      <c r="BD561" s="227">
        <v>0.23</v>
      </c>
      <c r="BE561" s="227">
        <v>-0.41</v>
      </c>
      <c r="BF561" s="227">
        <v>0</v>
      </c>
      <c r="BG561" s="227">
        <v>0</v>
      </c>
      <c r="BH561" s="227">
        <v>0</v>
      </c>
      <c r="BI561" s="227">
        <v>0</v>
      </c>
      <c r="BJ561" s="227">
        <v>0</v>
      </c>
      <c r="BK561" s="227">
        <v>0</v>
      </c>
      <c r="BL561" s="227">
        <v>0</v>
      </c>
      <c r="BM561" s="227">
        <v>0</v>
      </c>
      <c r="BN561" s="227">
        <v>0</v>
      </c>
      <c r="BO561" s="227">
        <v>-0.32999999999999996</v>
      </c>
    </row>
    <row r="562" spans="1:67">
      <c r="A562" s="215" t="s">
        <v>1562</v>
      </c>
      <c r="B562" s="215" t="str">
        <f>_xlfn.TEXTJOIN("_",,ERP_34[[#This Row],[LT Member -1*]],ERP_34[[#This Row],[Expense Category]],ERP_34[[#This Row],[Project Code*]])</f>
        <v>Jajodia, Amit_CONTRACTORS_MISC001</v>
      </c>
      <c r="C562" s="67" t="s">
        <v>1136</v>
      </c>
      <c r="D562" s="216" t="s">
        <v>1345</v>
      </c>
      <c r="E562" s="216" t="s">
        <v>1515</v>
      </c>
      <c r="F562" s="216" t="s">
        <v>1346</v>
      </c>
      <c r="G562" s="217" t="s">
        <v>49</v>
      </c>
      <c r="H562" s="218" t="s">
        <v>1327</v>
      </c>
      <c r="I562" s="219"/>
      <c r="J562" s="219"/>
      <c r="K562" s="219" t="s">
        <v>147</v>
      </c>
      <c r="L562" s="219"/>
      <c r="M562" s="219"/>
      <c r="N562" s="219"/>
      <c r="O562" s="216" t="s">
        <v>25</v>
      </c>
      <c r="P562" s="221"/>
      <c r="Q562" s="222"/>
      <c r="R562" s="71">
        <v>0</v>
      </c>
      <c r="S562" s="73">
        <v>19639.919999999998</v>
      </c>
      <c r="T562" s="223">
        <v>0</v>
      </c>
      <c r="U562" s="71">
        <f>ERP_34[[#This Row],[LE2 Final Submission]]-ERP_34[[#This Row],[LE3 Final Submission]]</f>
        <v>19639.919999999998</v>
      </c>
      <c r="V562" s="224">
        <v>-0.23</v>
      </c>
      <c r="W562" s="225">
        <v>-0.24</v>
      </c>
      <c r="X562" s="225">
        <v>19640.39</v>
      </c>
      <c r="Y562" s="226">
        <v>0</v>
      </c>
      <c r="Z562" s="226">
        <v>0</v>
      </c>
      <c r="AA562" s="226">
        <v>0</v>
      </c>
      <c r="AB562" s="226">
        <v>0</v>
      </c>
      <c r="AC562" s="226">
        <v>0</v>
      </c>
      <c r="AD562" s="226">
        <v>0</v>
      </c>
      <c r="AE562" s="226">
        <v>0</v>
      </c>
      <c r="AF562" s="226">
        <v>0</v>
      </c>
      <c r="AG562" s="226">
        <v>0</v>
      </c>
      <c r="AH562" s="194">
        <f t="shared" si="20"/>
        <v>19639.919999999998</v>
      </c>
      <c r="AI562" s="108">
        <f>ERP_34[[#This Row],[2026 Working Total]]-ERP_34[[#This Row],[2026 LE0]]</f>
        <v>19639.919999999998</v>
      </c>
      <c r="AJ562" s="227"/>
      <c r="AK562" s="227"/>
      <c r="AL56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2" s="80"/>
      <c r="AN562" s="79">
        <f>ERP_34[[#This Row],[2026 Working Total to Budget/LE]]-ERP_34[[#This Row],[Giveback]]</f>
        <v>19639.919999999998</v>
      </c>
      <c r="AO562" s="81"/>
      <c r="AP562" s="81">
        <v>-0.23</v>
      </c>
      <c r="AQ562" s="81">
        <v>-0.24</v>
      </c>
      <c r="AR562" s="81">
        <v>19640.39</v>
      </c>
      <c r="AS562" s="81">
        <v>0</v>
      </c>
      <c r="AT562" s="81">
        <v>0</v>
      </c>
      <c r="AU562" s="81">
        <v>0</v>
      </c>
      <c r="AV562" s="81">
        <v>0</v>
      </c>
      <c r="AW562" s="81">
        <v>0</v>
      </c>
      <c r="AX562" s="81">
        <v>0</v>
      </c>
      <c r="AY562" s="81">
        <v>0</v>
      </c>
      <c r="AZ562" s="81">
        <v>0</v>
      </c>
      <c r="BA562" s="81">
        <v>0</v>
      </c>
      <c r="BB562" s="81">
        <v>19639.919999999998</v>
      </c>
      <c r="BC562" s="227">
        <v>-0.23</v>
      </c>
      <c r="BD562" s="227">
        <v>-0.24</v>
      </c>
      <c r="BE562" s="227">
        <v>19640.39</v>
      </c>
      <c r="BF562" s="227">
        <v>0</v>
      </c>
      <c r="BG562" s="227">
        <v>0</v>
      </c>
      <c r="BH562" s="227">
        <v>0</v>
      </c>
      <c r="BI562" s="227">
        <v>0</v>
      </c>
      <c r="BJ562" s="227">
        <v>0</v>
      </c>
      <c r="BK562" s="227">
        <v>0</v>
      </c>
      <c r="BL562" s="227">
        <v>0</v>
      </c>
      <c r="BM562" s="227">
        <v>0</v>
      </c>
      <c r="BN562" s="227">
        <v>0</v>
      </c>
      <c r="BO562" s="227">
        <v>19639.919999999998</v>
      </c>
    </row>
    <row r="563" spans="1:67">
      <c r="A563" s="215" t="s">
        <v>1511</v>
      </c>
      <c r="B563" s="215" t="str">
        <f>_xlfn.TEXTJOIN("_",,ERP_34[[#This Row],[LT Member -1*]],ERP_34[[#This Row],[Expense Category]],ERP_34[[#This Row],[Project Code*]])</f>
        <v>Vaidya, Sachin_CONTRACTORS_MISC001</v>
      </c>
      <c r="C563" s="67" t="s">
        <v>1136</v>
      </c>
      <c r="D563" s="216" t="s">
        <v>1345</v>
      </c>
      <c r="E563" s="216" t="s">
        <v>1481</v>
      </c>
      <c r="F563" s="216" t="s">
        <v>1346</v>
      </c>
      <c r="G563" s="217" t="s">
        <v>49</v>
      </c>
      <c r="H563" s="218" t="s">
        <v>1327</v>
      </c>
      <c r="I563" s="219"/>
      <c r="J563" s="219"/>
      <c r="K563" s="219" t="s">
        <v>147</v>
      </c>
      <c r="L563" s="219"/>
      <c r="M563" s="219"/>
      <c r="N563" s="219"/>
      <c r="O563" s="216" t="s">
        <v>25</v>
      </c>
      <c r="P563" s="262" t="s">
        <v>1513</v>
      </c>
      <c r="Q563" s="255"/>
      <c r="R563" s="137">
        <v>0</v>
      </c>
      <c r="S563" s="139">
        <v>0</v>
      </c>
      <c r="T563" s="256">
        <v>0</v>
      </c>
      <c r="U563" s="137">
        <f>ERP_34[[#This Row],[LE2 Final Submission]]-ERP_34[[#This Row],[LE3 Final Submission]]</f>
        <v>0</v>
      </c>
      <c r="V563" s="224"/>
      <c r="W563" s="225">
        <v>-0.1</v>
      </c>
      <c r="X563" s="225">
        <v>0.1</v>
      </c>
      <c r="Y563" s="228"/>
      <c r="Z563" s="228"/>
      <c r="AA563" s="228"/>
      <c r="AB563" s="228"/>
      <c r="AC563" s="228"/>
      <c r="AD563" s="228"/>
      <c r="AE563" s="228"/>
      <c r="AF563" s="228"/>
      <c r="AG563" s="228"/>
      <c r="AH563" s="194">
        <f t="shared" si="20"/>
        <v>0</v>
      </c>
      <c r="AI563" s="108">
        <f>ERP_34[[#This Row],[2026 Working Total]]-ERP_34[[#This Row],[2026 LE0]]</f>
        <v>0</v>
      </c>
      <c r="AJ563" s="227"/>
      <c r="AK563" s="227"/>
      <c r="AL56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3" s="80"/>
      <c r="AN563" s="79">
        <f>ERP_34[[#This Row],[2026 Working Total to Budget/LE]]-ERP_34[[#This Row],[Giveback]]</f>
        <v>0</v>
      </c>
      <c r="AO563" s="81"/>
      <c r="AP563" s="81"/>
      <c r="AQ563" s="81">
        <v>-0.1</v>
      </c>
      <c r="AR563" s="81">
        <v>0.1</v>
      </c>
      <c r="AS563" s="81"/>
      <c r="AT563" s="81"/>
      <c r="AU563" s="81"/>
      <c r="AV563" s="81"/>
      <c r="AW563" s="81"/>
      <c r="AX563" s="81"/>
      <c r="AY563" s="81"/>
      <c r="AZ563" s="81"/>
      <c r="BA563" s="81"/>
      <c r="BB563" s="81">
        <v>0</v>
      </c>
      <c r="BC563" s="227"/>
      <c r="BD563" s="227">
        <v>-0.1</v>
      </c>
      <c r="BE563" s="227">
        <v>0.1</v>
      </c>
      <c r="BF563" s="227"/>
      <c r="BG563" s="227"/>
      <c r="BH563" s="227"/>
      <c r="BI563" s="227"/>
      <c r="BJ563" s="227"/>
      <c r="BK563" s="227"/>
      <c r="BL563" s="227"/>
      <c r="BM563" s="227"/>
      <c r="BN563" s="227"/>
      <c r="BO563" s="227">
        <v>0</v>
      </c>
    </row>
    <row r="564" spans="1:67">
      <c r="A564" s="215" t="s">
        <v>1445</v>
      </c>
      <c r="B564" s="215" t="str">
        <f>_xlfn.TEXTJOIN("_",,ERP_34[[#This Row],[LT Member -1*]],ERP_34[[#This Row],[Expense Category]],ERP_34[[#This Row],[Project Code*]])</f>
        <v>Yeluri, Durga_CONTRACTORS_MISC001</v>
      </c>
      <c r="C564" s="67" t="s">
        <v>1136</v>
      </c>
      <c r="D564" s="216" t="s">
        <v>1345</v>
      </c>
      <c r="E564" s="216" t="s">
        <v>1437</v>
      </c>
      <c r="F564" s="216" t="s">
        <v>1346</v>
      </c>
      <c r="G564" s="217" t="s">
        <v>49</v>
      </c>
      <c r="H564" s="218" t="s">
        <v>1327</v>
      </c>
      <c r="I564" s="219"/>
      <c r="J564" s="219"/>
      <c r="K564" s="219" t="s">
        <v>147</v>
      </c>
      <c r="L564" s="219"/>
      <c r="M564" s="219"/>
      <c r="N564" s="219"/>
      <c r="O564" s="216" t="s">
        <v>25</v>
      </c>
      <c r="P564" s="221"/>
      <c r="Q564" s="222"/>
      <c r="R564" s="71">
        <v>0</v>
      </c>
      <c r="S564" s="73">
        <v>0.33999999999999997</v>
      </c>
      <c r="T564" s="223">
        <v>0</v>
      </c>
      <c r="U564" s="71">
        <f>ERP_34[[#This Row],[LE2 Final Submission]]-ERP_34[[#This Row],[LE3 Final Submission]]</f>
        <v>0.33999999999999997</v>
      </c>
      <c r="V564" s="224">
        <v>-0.1</v>
      </c>
      <c r="W564" s="247">
        <v>0</v>
      </c>
      <c r="X564" s="225">
        <v>0.44</v>
      </c>
      <c r="Y564" s="226">
        <v>0</v>
      </c>
      <c r="Z564" s="226">
        <v>0</v>
      </c>
      <c r="AA564" s="226">
        <v>0</v>
      </c>
      <c r="AB564" s="226">
        <v>0</v>
      </c>
      <c r="AC564" s="226">
        <v>0</v>
      </c>
      <c r="AD564" s="226">
        <v>0</v>
      </c>
      <c r="AE564" s="226">
        <v>0</v>
      </c>
      <c r="AF564" s="226">
        <v>0</v>
      </c>
      <c r="AG564" s="226">
        <v>0</v>
      </c>
      <c r="AH564" s="194">
        <f t="shared" si="20"/>
        <v>0.33999999999999997</v>
      </c>
      <c r="AI564" s="108">
        <f>ERP_34[[#This Row],[2026 Working Total]]-ERP_34[[#This Row],[2026 LE0]]</f>
        <v>0.33999999999999997</v>
      </c>
      <c r="AJ564" s="227"/>
      <c r="AK564" s="227"/>
      <c r="AL564" s="79">
        <f>ERP_34[[#This Row],[AP01]]+ERP_34[[#This Row],[AP02]]+ERP_34[[#This Row],[AP03]]+ERP_34[[#This Row],[AP04]]-ERP_34[[#This Row],[AP01 LE2]]-ERP_34[[#This Row],[AP02 LE2]]-ERP_34[[#This Row],[AP03 LE2]]-ERP_34[[#This Row],[AP04 LE2]]</f>
        <v>-5.5511151231257827E-17</v>
      </c>
      <c r="AM564" s="80"/>
      <c r="AN564" s="79">
        <f>ERP_34[[#This Row],[2026 Working Total to Budget/LE]]-ERP_34[[#This Row],[Giveback]]</f>
        <v>0.33999999999999997</v>
      </c>
      <c r="AO564" s="81"/>
      <c r="AP564" s="81">
        <v>-0.1</v>
      </c>
      <c r="AQ564" s="81">
        <v>0</v>
      </c>
      <c r="AR564" s="81">
        <v>0.44</v>
      </c>
      <c r="AS564" s="81">
        <v>0</v>
      </c>
      <c r="AT564" s="81">
        <v>0</v>
      </c>
      <c r="AU564" s="81">
        <v>0</v>
      </c>
      <c r="AV564" s="81">
        <v>0</v>
      </c>
      <c r="AW564" s="81">
        <v>0</v>
      </c>
      <c r="AX564" s="81">
        <v>0</v>
      </c>
      <c r="AY564" s="81">
        <v>0</v>
      </c>
      <c r="AZ564" s="81">
        <v>0</v>
      </c>
      <c r="BA564" s="81">
        <v>0</v>
      </c>
      <c r="BB564" s="81">
        <v>0.33999999999999997</v>
      </c>
      <c r="BC564" s="227">
        <v>-0.1</v>
      </c>
      <c r="BD564" s="227">
        <v>0</v>
      </c>
      <c r="BE564" s="227">
        <v>0.44</v>
      </c>
      <c r="BF564" s="227">
        <v>0</v>
      </c>
      <c r="BG564" s="227">
        <v>0</v>
      </c>
      <c r="BH564" s="227">
        <v>0</v>
      </c>
      <c r="BI564" s="227">
        <v>0</v>
      </c>
      <c r="BJ564" s="227">
        <v>0</v>
      </c>
      <c r="BK564" s="227">
        <v>0</v>
      </c>
      <c r="BL564" s="227">
        <v>0</v>
      </c>
      <c r="BM564" s="227">
        <v>0</v>
      </c>
      <c r="BN564" s="227">
        <v>0</v>
      </c>
      <c r="BO564" s="227">
        <v>0.33999999999999997</v>
      </c>
    </row>
    <row r="565" spans="1:67">
      <c r="A565" s="215" t="s">
        <v>1744</v>
      </c>
      <c r="B565" s="215" t="str">
        <f>_xlfn.TEXTJOIN("_",,ERP_34[[#This Row],[LT Member -1*]],ERP_34[[#This Row],[Expense Category]],ERP_34[[#This Row],[Project Code*]])</f>
        <v>DeHart, Lynn_HW MAINTENANCE_MISC001</v>
      </c>
      <c r="C565" s="67" t="s">
        <v>1136</v>
      </c>
      <c r="D565" s="216" t="s">
        <v>1345</v>
      </c>
      <c r="E565" s="216" t="s">
        <v>1346</v>
      </c>
      <c r="F565" s="216" t="s">
        <v>1346</v>
      </c>
      <c r="G565" s="217" t="s">
        <v>342</v>
      </c>
      <c r="H565" s="218" t="s">
        <v>1327</v>
      </c>
      <c r="I565" s="219"/>
      <c r="J565" s="219"/>
      <c r="K565" s="219" t="s">
        <v>147</v>
      </c>
      <c r="L565" s="219"/>
      <c r="M565" s="219"/>
      <c r="N565" s="219"/>
      <c r="O565" s="216" t="s">
        <v>25</v>
      </c>
      <c r="P565" s="221"/>
      <c r="Q565" s="222"/>
      <c r="R565" s="71">
        <v>0</v>
      </c>
      <c r="S565" s="73">
        <v>835.42000000000007</v>
      </c>
      <c r="T565" s="223">
        <v>0</v>
      </c>
      <c r="U565" s="71">
        <f>ERP_34[[#This Row],[LE2 Final Submission]]-ERP_34[[#This Row],[LE3 Final Submission]]</f>
        <v>835.42000000000007</v>
      </c>
      <c r="V565" s="224">
        <v>-0.14000000000000001</v>
      </c>
      <c r="W565" s="225">
        <v>464.29</v>
      </c>
      <c r="X565" s="225">
        <v>371.27</v>
      </c>
      <c r="Y565" s="226">
        <v>0</v>
      </c>
      <c r="Z565" s="226">
        <v>0</v>
      </c>
      <c r="AA565" s="226">
        <v>0</v>
      </c>
      <c r="AB565" s="226">
        <v>0</v>
      </c>
      <c r="AC565" s="226">
        <v>0</v>
      </c>
      <c r="AD565" s="226">
        <v>0</v>
      </c>
      <c r="AE565" s="226">
        <v>0</v>
      </c>
      <c r="AF565" s="226">
        <v>0</v>
      </c>
      <c r="AG565" s="226">
        <v>0</v>
      </c>
      <c r="AH565" s="194">
        <f t="shared" si="20"/>
        <v>835.42000000000007</v>
      </c>
      <c r="AI565" s="108">
        <f>ERP_34[[#This Row],[2026 Working Total]]-ERP_34[[#This Row],[2026 LE0]]</f>
        <v>835.42000000000007</v>
      </c>
      <c r="AJ565" s="227"/>
      <c r="AK565" s="227"/>
      <c r="AL565" s="79">
        <f>ERP_34[[#This Row],[AP01]]+ERP_34[[#This Row],[AP02]]+ERP_34[[#This Row],[AP03]]+ERP_34[[#This Row],[AP04]]-ERP_34[[#This Row],[AP01 LE2]]-ERP_34[[#This Row],[AP02 LE2]]-ERP_34[[#This Row],[AP03 LE2]]-ERP_34[[#This Row],[AP04 LE2]]</f>
        <v>5.6843418860808015E-14</v>
      </c>
      <c r="AM565" s="80"/>
      <c r="AN565" s="79">
        <f>ERP_34[[#This Row],[2026 Working Total to Budget/LE]]-ERP_34[[#This Row],[Giveback]]</f>
        <v>835.42000000000007</v>
      </c>
      <c r="AO565" s="81"/>
      <c r="AP565" s="81">
        <v>-0.14000000000000001</v>
      </c>
      <c r="AQ565" s="81">
        <v>464.29</v>
      </c>
      <c r="AR565" s="81">
        <v>371.27</v>
      </c>
      <c r="AS565" s="81">
        <v>0</v>
      </c>
      <c r="AT565" s="81">
        <v>0</v>
      </c>
      <c r="AU565" s="81">
        <v>0</v>
      </c>
      <c r="AV565" s="81">
        <v>0</v>
      </c>
      <c r="AW565" s="81">
        <v>0</v>
      </c>
      <c r="AX565" s="81">
        <v>0</v>
      </c>
      <c r="AY565" s="81">
        <v>0</v>
      </c>
      <c r="AZ565" s="81">
        <v>0</v>
      </c>
      <c r="BA565" s="81">
        <v>0</v>
      </c>
      <c r="BB565" s="81">
        <v>835.42000000000007</v>
      </c>
      <c r="BC565" s="227">
        <v>-0.14000000000000001</v>
      </c>
      <c r="BD565" s="227">
        <v>464.29</v>
      </c>
      <c r="BE565" s="227">
        <v>371.27</v>
      </c>
      <c r="BF565" s="227">
        <v>0</v>
      </c>
      <c r="BG565" s="227">
        <v>0</v>
      </c>
      <c r="BH565" s="227">
        <v>0</v>
      </c>
      <c r="BI565" s="227">
        <v>0</v>
      </c>
      <c r="BJ565" s="227">
        <v>0</v>
      </c>
      <c r="BK565" s="227">
        <v>0</v>
      </c>
      <c r="BL565" s="227">
        <v>0</v>
      </c>
      <c r="BM565" s="227">
        <v>0</v>
      </c>
      <c r="BN565" s="227">
        <v>0</v>
      </c>
      <c r="BO565" s="227">
        <v>835.42000000000007</v>
      </c>
    </row>
    <row r="566" spans="1:67">
      <c r="A566" s="215" t="s">
        <v>2129</v>
      </c>
      <c r="B566" s="215" t="str">
        <f>_xlfn.TEXTJOIN("_",,ERP_34[[#This Row],[LT Member -1*]],ERP_34[[#This Row],[Expense Category]],ERP_34[[#This Row],[Project Code*]])</f>
        <v>DeHart, Lynn_MANAGED SERVICES_MISC001</v>
      </c>
      <c r="C566" s="67" t="s">
        <v>1136</v>
      </c>
      <c r="D566" s="216" t="s">
        <v>1345</v>
      </c>
      <c r="E566" s="216" t="s">
        <v>1346</v>
      </c>
      <c r="F566" s="216" t="s">
        <v>1346</v>
      </c>
      <c r="G566" s="217" t="s">
        <v>389</v>
      </c>
      <c r="H566" s="218" t="s">
        <v>1327</v>
      </c>
      <c r="I566" s="219"/>
      <c r="J566" s="219"/>
      <c r="K566" s="219" t="s">
        <v>147</v>
      </c>
      <c r="L566" s="219"/>
      <c r="M566" s="219"/>
      <c r="N566" s="219"/>
      <c r="O566" s="216" t="s">
        <v>25</v>
      </c>
      <c r="P566" s="221"/>
      <c r="Q566" s="222"/>
      <c r="R566" s="71">
        <v>0</v>
      </c>
      <c r="S566" s="73">
        <v>-991.60999999999967</v>
      </c>
      <c r="T566" s="223">
        <v>0</v>
      </c>
      <c r="U566" s="71">
        <f>ERP_34[[#This Row],[LE2 Final Submission]]-ERP_34[[#This Row],[LE3 Final Submission]]</f>
        <v>-991.60999999999967</v>
      </c>
      <c r="V566" s="224">
        <v>2949.13</v>
      </c>
      <c r="W566" s="225">
        <v>-734.7</v>
      </c>
      <c r="X566" s="225">
        <v>-3206.04</v>
      </c>
      <c r="Y566" s="226">
        <v>0</v>
      </c>
      <c r="Z566" s="226">
        <v>0</v>
      </c>
      <c r="AA566" s="226">
        <v>0</v>
      </c>
      <c r="AB566" s="226">
        <v>0</v>
      </c>
      <c r="AC566" s="226">
        <v>0</v>
      </c>
      <c r="AD566" s="226">
        <v>0</v>
      </c>
      <c r="AE566" s="226">
        <v>0</v>
      </c>
      <c r="AF566" s="226">
        <v>0</v>
      </c>
      <c r="AG566" s="226">
        <v>0</v>
      </c>
      <c r="AH566" s="194">
        <f t="shared" si="20"/>
        <v>-991.60999999999967</v>
      </c>
      <c r="AI566" s="108">
        <f>ERP_34[[#This Row],[2026 Working Total]]-ERP_34[[#This Row],[2026 LE0]]</f>
        <v>-991.60999999999967</v>
      </c>
      <c r="AJ566" s="227"/>
      <c r="AK566" s="227"/>
      <c r="AL56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6" s="80"/>
      <c r="AN566" s="79">
        <f>ERP_34[[#This Row],[2026 Working Total to Budget/LE]]-ERP_34[[#This Row],[Giveback]]</f>
        <v>-991.60999999999967</v>
      </c>
      <c r="AO566" s="81"/>
      <c r="AP566" s="81">
        <v>2949.13</v>
      </c>
      <c r="AQ566" s="81">
        <v>-734.7</v>
      </c>
      <c r="AR566" s="81">
        <v>-3206.04</v>
      </c>
      <c r="AS566" s="81">
        <v>0</v>
      </c>
      <c r="AT566" s="81">
        <v>0</v>
      </c>
      <c r="AU566" s="81">
        <v>0</v>
      </c>
      <c r="AV566" s="81">
        <v>0</v>
      </c>
      <c r="AW566" s="81">
        <v>0</v>
      </c>
      <c r="AX566" s="81">
        <v>0</v>
      </c>
      <c r="AY566" s="81">
        <v>0</v>
      </c>
      <c r="AZ566" s="81">
        <v>0</v>
      </c>
      <c r="BA566" s="81">
        <v>0</v>
      </c>
      <c r="BB566" s="81">
        <v>-991.60999999999967</v>
      </c>
      <c r="BC566" s="227">
        <v>2949.13</v>
      </c>
      <c r="BD566" s="227">
        <v>-734.7</v>
      </c>
      <c r="BE566" s="227">
        <v>-3206.04</v>
      </c>
      <c r="BF566" s="227">
        <v>0</v>
      </c>
      <c r="BG566" s="227">
        <v>0</v>
      </c>
      <c r="BH566" s="227">
        <v>0</v>
      </c>
      <c r="BI566" s="227">
        <v>0</v>
      </c>
      <c r="BJ566" s="227">
        <v>0</v>
      </c>
      <c r="BK566" s="227">
        <v>0</v>
      </c>
      <c r="BL566" s="227">
        <v>0</v>
      </c>
      <c r="BM566" s="227">
        <v>0</v>
      </c>
      <c r="BN566" s="227">
        <v>0</v>
      </c>
      <c r="BO566" s="227">
        <v>-991.60999999999967</v>
      </c>
    </row>
    <row r="567" spans="1:67">
      <c r="A567" s="215" t="s">
        <v>1987</v>
      </c>
      <c r="B567" s="215" t="str">
        <f>_xlfn.TEXTJOIN("_",,ERP_34[[#This Row],[LT Member -1*]],ERP_34[[#This Row],[Expense Category]],ERP_34[[#This Row],[Project Code*]])</f>
        <v>Ganesan, Srinivasan_MANAGED SERVICES_MISC001</v>
      </c>
      <c r="C567" s="67" t="s">
        <v>1136</v>
      </c>
      <c r="D567" s="216" t="s">
        <v>1345</v>
      </c>
      <c r="E567" s="216" t="s">
        <v>1344</v>
      </c>
      <c r="F567" s="216" t="s">
        <v>1346</v>
      </c>
      <c r="G567" s="217" t="s">
        <v>389</v>
      </c>
      <c r="H567" s="218" t="s">
        <v>1327</v>
      </c>
      <c r="I567" s="219"/>
      <c r="J567" s="219"/>
      <c r="K567" s="219" t="s">
        <v>147</v>
      </c>
      <c r="L567" s="219"/>
      <c r="M567" s="219"/>
      <c r="N567" s="219"/>
      <c r="O567" s="216" t="s">
        <v>25</v>
      </c>
      <c r="P567" s="221"/>
      <c r="Q567" s="222"/>
      <c r="R567" s="71">
        <v>0</v>
      </c>
      <c r="S567" s="73">
        <v>799.29000000000008</v>
      </c>
      <c r="T567" s="223">
        <v>0</v>
      </c>
      <c r="U567" s="71">
        <f>ERP_34[[#This Row],[LE2 Final Submission]]-ERP_34[[#This Row],[LE3 Final Submission]]</f>
        <v>799.29000000000008</v>
      </c>
      <c r="V567" s="224">
        <v>-79.28</v>
      </c>
      <c r="W567" s="225">
        <v>124.37</v>
      </c>
      <c r="X567" s="225">
        <v>754.2</v>
      </c>
      <c r="Y567" s="226">
        <v>0</v>
      </c>
      <c r="Z567" s="226">
        <v>0</v>
      </c>
      <c r="AA567" s="226">
        <v>0</v>
      </c>
      <c r="AB567" s="226">
        <v>0</v>
      </c>
      <c r="AC567" s="226">
        <v>0</v>
      </c>
      <c r="AD567" s="226">
        <v>0</v>
      </c>
      <c r="AE567" s="226">
        <v>0</v>
      </c>
      <c r="AF567" s="226">
        <v>0</v>
      </c>
      <c r="AG567" s="226">
        <v>0</v>
      </c>
      <c r="AH567" s="194">
        <f t="shared" si="20"/>
        <v>799.29000000000008</v>
      </c>
      <c r="AI567" s="108">
        <f>ERP_34[[#This Row],[2026 Working Total]]-ERP_34[[#This Row],[2026 LE0]]</f>
        <v>799.29000000000008</v>
      </c>
      <c r="AJ567" s="227"/>
      <c r="AK567" s="227"/>
      <c r="AL56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67" s="80"/>
      <c r="AN567" s="79">
        <f>ERP_34[[#This Row],[2026 Working Total to Budget/LE]]-ERP_34[[#This Row],[Giveback]]</f>
        <v>799.29000000000008</v>
      </c>
      <c r="AO567" s="81"/>
      <c r="AP567" s="81">
        <v>-79.28</v>
      </c>
      <c r="AQ567" s="81">
        <v>124.37</v>
      </c>
      <c r="AR567" s="81">
        <v>754.2</v>
      </c>
      <c r="AS567" s="81">
        <v>0</v>
      </c>
      <c r="AT567" s="81">
        <v>0</v>
      </c>
      <c r="AU567" s="81">
        <v>0</v>
      </c>
      <c r="AV567" s="81">
        <v>0</v>
      </c>
      <c r="AW567" s="81">
        <v>0</v>
      </c>
      <c r="AX567" s="81">
        <v>0</v>
      </c>
      <c r="AY567" s="81">
        <v>0</v>
      </c>
      <c r="AZ567" s="81">
        <v>0</v>
      </c>
      <c r="BA567" s="81">
        <v>0</v>
      </c>
      <c r="BB567" s="81">
        <v>799.29000000000008</v>
      </c>
      <c r="BC567" s="227">
        <v>-79.28</v>
      </c>
      <c r="BD567" s="227">
        <v>124.37</v>
      </c>
      <c r="BE567" s="227">
        <v>754.2</v>
      </c>
      <c r="BF567" s="227">
        <v>0</v>
      </c>
      <c r="BG567" s="227">
        <v>0</v>
      </c>
      <c r="BH567" s="227">
        <v>0</v>
      </c>
      <c r="BI567" s="227">
        <v>0</v>
      </c>
      <c r="BJ567" s="227">
        <v>0</v>
      </c>
      <c r="BK567" s="227">
        <v>0</v>
      </c>
      <c r="BL567" s="227">
        <v>0</v>
      </c>
      <c r="BM567" s="227">
        <v>0</v>
      </c>
      <c r="BN567" s="227">
        <v>0</v>
      </c>
      <c r="BO567" s="227">
        <v>799.29000000000008</v>
      </c>
    </row>
    <row r="568" spans="1:67">
      <c r="A568" s="215" t="s">
        <v>2032</v>
      </c>
      <c r="B568" s="215" t="str">
        <f>_xlfn.TEXTJOIN("_",,ERP_34[[#This Row],[LT Member -1*]],ERP_34[[#This Row],[Expense Category]],ERP_34[[#This Row],[Project Code*]])</f>
        <v>Hase, Raj_MANAGED SERVICES_MISC001</v>
      </c>
      <c r="C568" s="67" t="s">
        <v>1136</v>
      </c>
      <c r="D568" s="216" t="s">
        <v>1345</v>
      </c>
      <c r="E568" s="216" t="s">
        <v>1345</v>
      </c>
      <c r="F568" s="216" t="s">
        <v>1346</v>
      </c>
      <c r="G568" s="217" t="s">
        <v>389</v>
      </c>
      <c r="H568" s="218" t="s">
        <v>1327</v>
      </c>
      <c r="I568" s="219"/>
      <c r="J568" s="219"/>
      <c r="K568" s="219" t="s">
        <v>147</v>
      </c>
      <c r="L568" s="219"/>
      <c r="M568" s="219"/>
      <c r="N568" s="219"/>
      <c r="O568" s="216" t="s">
        <v>25</v>
      </c>
      <c r="P568" s="221"/>
      <c r="Q568" s="222"/>
      <c r="R568" s="71">
        <v>0</v>
      </c>
      <c r="S568" s="73">
        <v>0.11999999999999997</v>
      </c>
      <c r="T568" s="223">
        <v>0</v>
      </c>
      <c r="U568" s="71">
        <f>ERP_34[[#This Row],[LE2 Final Submission]]-ERP_34[[#This Row],[LE3 Final Submission]]</f>
        <v>0.11999999999999997</v>
      </c>
      <c r="V568" s="224">
        <v>-0.3</v>
      </c>
      <c r="W568" s="225">
        <v>0.57999999999999996</v>
      </c>
      <c r="X568" s="225">
        <v>-0.16</v>
      </c>
      <c r="Y568" s="226">
        <v>0</v>
      </c>
      <c r="Z568" s="226">
        <v>0</v>
      </c>
      <c r="AA568" s="226">
        <v>0</v>
      </c>
      <c r="AB568" s="226">
        <v>0</v>
      </c>
      <c r="AC568" s="226">
        <v>0</v>
      </c>
      <c r="AD568" s="226">
        <v>0</v>
      </c>
      <c r="AE568" s="226">
        <v>0</v>
      </c>
      <c r="AF568" s="226">
        <v>0</v>
      </c>
      <c r="AG568" s="226">
        <v>0</v>
      </c>
      <c r="AH568" s="194">
        <f t="shared" si="20"/>
        <v>0.11999999999999997</v>
      </c>
      <c r="AI568" s="108">
        <f>ERP_34[[#This Row],[2026 Working Total]]-ERP_34[[#This Row],[2026 LE0]]</f>
        <v>0.11999999999999997</v>
      </c>
      <c r="AJ568" s="227"/>
      <c r="AK568" s="227"/>
      <c r="AL568" s="79">
        <f>ERP_34[[#This Row],[AP01]]+ERP_34[[#This Row],[AP02]]+ERP_34[[#This Row],[AP03]]+ERP_34[[#This Row],[AP04]]-ERP_34[[#This Row],[AP01 LE2]]-ERP_34[[#This Row],[AP02 LE2]]-ERP_34[[#This Row],[AP03 LE2]]-ERP_34[[#This Row],[AP04 LE2]]</f>
        <v>-2.7755575615628914E-17</v>
      </c>
      <c r="AM568" s="80"/>
      <c r="AN568" s="79">
        <f>ERP_34[[#This Row],[2026 Working Total to Budget/LE]]-ERP_34[[#This Row],[Giveback]]</f>
        <v>0.11999999999999997</v>
      </c>
      <c r="AO568" s="81"/>
      <c r="AP568" s="81">
        <v>-0.3</v>
      </c>
      <c r="AQ568" s="81">
        <v>0.57999999999999996</v>
      </c>
      <c r="AR568" s="81">
        <v>-0.16</v>
      </c>
      <c r="AS568" s="81">
        <v>0</v>
      </c>
      <c r="AT568" s="81">
        <v>0</v>
      </c>
      <c r="AU568" s="81">
        <v>0</v>
      </c>
      <c r="AV568" s="81">
        <v>0</v>
      </c>
      <c r="AW568" s="81">
        <v>0</v>
      </c>
      <c r="AX568" s="81">
        <v>0</v>
      </c>
      <c r="AY568" s="81">
        <v>0</v>
      </c>
      <c r="AZ568" s="81">
        <v>0</v>
      </c>
      <c r="BA568" s="81">
        <v>0</v>
      </c>
      <c r="BB568" s="81">
        <v>0.11999999999999997</v>
      </c>
      <c r="BC568" s="227">
        <v>-0.3</v>
      </c>
      <c r="BD568" s="227">
        <v>0.57999999999999996</v>
      </c>
      <c r="BE568" s="227">
        <v>-0.16</v>
      </c>
      <c r="BF568" s="227">
        <v>0</v>
      </c>
      <c r="BG568" s="227">
        <v>0</v>
      </c>
      <c r="BH568" s="227">
        <v>0</v>
      </c>
      <c r="BI568" s="227">
        <v>0</v>
      </c>
      <c r="BJ568" s="227">
        <v>0</v>
      </c>
      <c r="BK568" s="227">
        <v>0</v>
      </c>
      <c r="BL568" s="227">
        <v>0</v>
      </c>
      <c r="BM568" s="227">
        <v>0</v>
      </c>
      <c r="BN568" s="227">
        <v>0</v>
      </c>
      <c r="BO568" s="227">
        <v>0.11999999999999997</v>
      </c>
    </row>
    <row r="569" spans="1:67">
      <c r="A569" s="215" t="s">
        <v>2041</v>
      </c>
      <c r="B569" s="215" t="str">
        <f>_xlfn.TEXTJOIN("_",,ERP_34[[#This Row],[LT Member -1*]],ERP_34[[#This Row],[Expense Category]],ERP_34[[#This Row],[Project Code*]])</f>
        <v>Herman, Shaun_MANAGED SERVICES_MISC001</v>
      </c>
      <c r="C569" s="67" t="s">
        <v>1136</v>
      </c>
      <c r="D569" s="216" t="s">
        <v>1345</v>
      </c>
      <c r="E569" s="216" t="s">
        <v>1450</v>
      </c>
      <c r="F569" s="216" t="s">
        <v>1346</v>
      </c>
      <c r="G569" s="217" t="s">
        <v>389</v>
      </c>
      <c r="H569" s="218" t="s">
        <v>1327</v>
      </c>
      <c r="I569" s="219"/>
      <c r="J569" s="219"/>
      <c r="K569" s="219" t="s">
        <v>147</v>
      </c>
      <c r="L569" s="219"/>
      <c r="M569" s="219"/>
      <c r="N569" s="219"/>
      <c r="O569" s="216" t="s">
        <v>25</v>
      </c>
      <c r="P569" s="221"/>
      <c r="Q569" s="222"/>
      <c r="R569" s="71">
        <v>0</v>
      </c>
      <c r="S569" s="73">
        <v>0.43</v>
      </c>
      <c r="T569" s="223">
        <v>0</v>
      </c>
      <c r="U569" s="71">
        <f>ERP_34[[#This Row],[LE2 Final Submission]]-ERP_34[[#This Row],[LE3 Final Submission]]</f>
        <v>0.43</v>
      </c>
      <c r="V569" s="224">
        <v>0.32</v>
      </c>
      <c r="W569" s="225">
        <v>0.11</v>
      </c>
      <c r="X569" s="247">
        <v>0</v>
      </c>
      <c r="Y569" s="226">
        <v>0</v>
      </c>
      <c r="Z569" s="226">
        <v>0</v>
      </c>
      <c r="AA569" s="226">
        <v>0</v>
      </c>
      <c r="AB569" s="226">
        <v>0</v>
      </c>
      <c r="AC569" s="226">
        <v>0</v>
      </c>
      <c r="AD569" s="226">
        <v>0</v>
      </c>
      <c r="AE569" s="226">
        <v>0</v>
      </c>
      <c r="AF569" s="226">
        <v>0</v>
      </c>
      <c r="AG569" s="226">
        <v>0</v>
      </c>
      <c r="AH569" s="194">
        <f t="shared" si="20"/>
        <v>0.43</v>
      </c>
      <c r="AI569" s="108">
        <f>ERP_34[[#This Row],[2026 Working Total]]-ERP_34[[#This Row],[2026 LE0]]</f>
        <v>0.43</v>
      </c>
      <c r="AJ569" s="227"/>
      <c r="AK569" s="227"/>
      <c r="AL569" s="79">
        <f>ERP_34[[#This Row],[AP01]]+ERP_34[[#This Row],[AP02]]+ERP_34[[#This Row],[AP03]]+ERP_34[[#This Row],[AP04]]-ERP_34[[#This Row],[AP01 LE2]]-ERP_34[[#This Row],[AP02 LE2]]-ERP_34[[#This Row],[AP03 LE2]]-ERP_34[[#This Row],[AP04 LE2]]</f>
        <v>-1.3877787807814457E-17</v>
      </c>
      <c r="AM569" s="80"/>
      <c r="AN569" s="79">
        <f>ERP_34[[#This Row],[2026 Working Total to Budget/LE]]-ERP_34[[#This Row],[Giveback]]</f>
        <v>0.43</v>
      </c>
      <c r="AO569" s="81"/>
      <c r="AP569" s="81">
        <v>0.32</v>
      </c>
      <c r="AQ569" s="81">
        <v>0.11</v>
      </c>
      <c r="AR569" s="81">
        <v>0</v>
      </c>
      <c r="AS569" s="81">
        <v>0</v>
      </c>
      <c r="AT569" s="81">
        <v>0</v>
      </c>
      <c r="AU569" s="81">
        <v>0</v>
      </c>
      <c r="AV569" s="81">
        <v>0</v>
      </c>
      <c r="AW569" s="81">
        <v>0</v>
      </c>
      <c r="AX569" s="81">
        <v>0</v>
      </c>
      <c r="AY569" s="81">
        <v>0</v>
      </c>
      <c r="AZ569" s="81">
        <v>0</v>
      </c>
      <c r="BA569" s="81">
        <v>0</v>
      </c>
      <c r="BB569" s="81">
        <v>0.43</v>
      </c>
      <c r="BC569" s="227">
        <v>0.32</v>
      </c>
      <c r="BD569" s="227">
        <v>0.11</v>
      </c>
      <c r="BE569" s="227">
        <v>0</v>
      </c>
      <c r="BF569" s="227">
        <v>0</v>
      </c>
      <c r="BG569" s="227">
        <v>0</v>
      </c>
      <c r="BH569" s="227">
        <v>0</v>
      </c>
      <c r="BI569" s="227">
        <v>0</v>
      </c>
      <c r="BJ569" s="227">
        <v>0</v>
      </c>
      <c r="BK569" s="227">
        <v>0</v>
      </c>
      <c r="BL569" s="227">
        <v>0</v>
      </c>
      <c r="BM569" s="227">
        <v>0</v>
      </c>
      <c r="BN569" s="227">
        <v>0</v>
      </c>
      <c r="BO569" s="227">
        <v>0.43</v>
      </c>
    </row>
    <row r="570" spans="1:67">
      <c r="A570" s="215" t="s">
        <v>2063</v>
      </c>
      <c r="B570" s="215" t="str">
        <f>_xlfn.TEXTJOIN("_",,ERP_34[[#This Row],[LT Member -1*]],ERP_34[[#This Row],[Expense Category]],ERP_34[[#This Row],[Project Code*]])</f>
        <v>Hovanyetz, Mike_MANAGED SERVICES_MISC001</v>
      </c>
      <c r="C570" s="67" t="s">
        <v>1136</v>
      </c>
      <c r="D570" s="216" t="s">
        <v>1345</v>
      </c>
      <c r="E570" s="216" t="s">
        <v>1480</v>
      </c>
      <c r="F570" s="216" t="s">
        <v>1346</v>
      </c>
      <c r="G570" s="217" t="s">
        <v>389</v>
      </c>
      <c r="H570" s="218" t="s">
        <v>1327</v>
      </c>
      <c r="I570" s="219"/>
      <c r="J570" s="219"/>
      <c r="K570" s="219" t="s">
        <v>147</v>
      </c>
      <c r="L570" s="219"/>
      <c r="M570" s="219"/>
      <c r="N570" s="219"/>
      <c r="O570" s="216" t="s">
        <v>25</v>
      </c>
      <c r="P570" s="221"/>
      <c r="Q570" s="222"/>
      <c r="R570" s="71">
        <v>0</v>
      </c>
      <c r="S570" s="73">
        <v>-0.2</v>
      </c>
      <c r="T570" s="223">
        <v>0</v>
      </c>
      <c r="U570" s="71">
        <f>ERP_34[[#This Row],[LE2 Final Submission]]-ERP_34[[#This Row],[LE3 Final Submission]]</f>
        <v>-0.2</v>
      </c>
      <c r="V570" s="224">
        <v>-0.48</v>
      </c>
      <c r="W570" s="225">
        <v>0.28999999999999998</v>
      </c>
      <c r="X570" s="225">
        <v>-0.01</v>
      </c>
      <c r="Y570" s="226">
        <v>0</v>
      </c>
      <c r="Z570" s="226">
        <v>0</v>
      </c>
      <c r="AA570" s="226">
        <v>0</v>
      </c>
      <c r="AB570" s="226">
        <v>0</v>
      </c>
      <c r="AC570" s="226">
        <v>0</v>
      </c>
      <c r="AD570" s="226">
        <v>0</v>
      </c>
      <c r="AE570" s="226">
        <v>0</v>
      </c>
      <c r="AF570" s="226">
        <v>0</v>
      </c>
      <c r="AG570" s="226">
        <v>0</v>
      </c>
      <c r="AH570" s="194">
        <f t="shared" si="20"/>
        <v>-0.2</v>
      </c>
      <c r="AI570" s="108">
        <f>ERP_34[[#This Row],[2026 Working Total]]-ERP_34[[#This Row],[2026 LE0]]</f>
        <v>-0.2</v>
      </c>
      <c r="AJ570" s="227"/>
      <c r="AK570" s="227"/>
      <c r="AL570" s="79">
        <f>ERP_34[[#This Row],[AP01]]+ERP_34[[#This Row],[AP02]]+ERP_34[[#This Row],[AP03]]+ERP_34[[#This Row],[AP04]]-ERP_34[[#This Row],[AP01 LE2]]-ERP_34[[#This Row],[AP02 LE2]]-ERP_34[[#This Row],[AP03 LE2]]-ERP_34[[#This Row],[AP04 LE2]]</f>
        <v>-8.6736173798840355E-18</v>
      </c>
      <c r="AM570" s="80"/>
      <c r="AN570" s="79">
        <f>ERP_34[[#This Row],[2026 Working Total to Budget/LE]]-ERP_34[[#This Row],[Giveback]]</f>
        <v>-0.2</v>
      </c>
      <c r="AO570" s="81"/>
      <c r="AP570" s="81">
        <v>-0.48</v>
      </c>
      <c r="AQ570" s="81">
        <v>0.28999999999999998</v>
      </c>
      <c r="AR570" s="81">
        <v>-0.01</v>
      </c>
      <c r="AS570" s="81">
        <v>0</v>
      </c>
      <c r="AT570" s="81">
        <v>0</v>
      </c>
      <c r="AU570" s="81">
        <v>0</v>
      </c>
      <c r="AV570" s="81">
        <v>0</v>
      </c>
      <c r="AW570" s="81">
        <v>0</v>
      </c>
      <c r="AX570" s="81">
        <v>0</v>
      </c>
      <c r="AY570" s="81">
        <v>0</v>
      </c>
      <c r="AZ570" s="81">
        <v>0</v>
      </c>
      <c r="BA570" s="81">
        <v>0</v>
      </c>
      <c r="BB570" s="81">
        <v>-0.2</v>
      </c>
      <c r="BC570" s="227">
        <v>-0.48</v>
      </c>
      <c r="BD570" s="227">
        <v>0.28999999999999998</v>
      </c>
      <c r="BE570" s="227">
        <v>-0.01</v>
      </c>
      <c r="BF570" s="227">
        <v>0</v>
      </c>
      <c r="BG570" s="227">
        <v>0</v>
      </c>
      <c r="BH570" s="227">
        <v>0</v>
      </c>
      <c r="BI570" s="227">
        <v>0</v>
      </c>
      <c r="BJ570" s="227">
        <v>0</v>
      </c>
      <c r="BK570" s="227">
        <v>0</v>
      </c>
      <c r="BL570" s="227">
        <v>0</v>
      </c>
      <c r="BM570" s="227">
        <v>0</v>
      </c>
      <c r="BN570" s="227">
        <v>0</v>
      </c>
      <c r="BO570" s="227">
        <v>-0.2</v>
      </c>
    </row>
    <row r="571" spans="1:67">
      <c r="A571" s="215" t="s">
        <v>2033</v>
      </c>
      <c r="B571" s="215" t="str">
        <f>_xlfn.TEXTJOIN("_",,ERP_34[[#This Row],[LT Member -1*]],ERP_34[[#This Row],[Expense Category]],ERP_34[[#This Row],[Project Code*]])</f>
        <v>Yeluri, Durga_MANAGED SERVICES_MISC001</v>
      </c>
      <c r="C571" s="67" t="s">
        <v>1136</v>
      </c>
      <c r="D571" s="216" t="s">
        <v>1345</v>
      </c>
      <c r="E571" s="216" t="s">
        <v>1437</v>
      </c>
      <c r="F571" s="216" t="s">
        <v>1346</v>
      </c>
      <c r="G571" s="217" t="s">
        <v>389</v>
      </c>
      <c r="H571" s="218" t="s">
        <v>1327</v>
      </c>
      <c r="I571" s="219"/>
      <c r="J571" s="219"/>
      <c r="K571" s="219" t="s">
        <v>147</v>
      </c>
      <c r="L571" s="219"/>
      <c r="M571" s="219"/>
      <c r="N571" s="219"/>
      <c r="O571" s="216" t="s">
        <v>25</v>
      </c>
      <c r="P571" s="221"/>
      <c r="Q571" s="222"/>
      <c r="R571" s="71">
        <v>0</v>
      </c>
      <c r="S571" s="73">
        <v>-0.18000000000000002</v>
      </c>
      <c r="T571" s="223">
        <v>0</v>
      </c>
      <c r="U571" s="71">
        <f>ERP_34[[#This Row],[LE2 Final Submission]]-ERP_34[[#This Row],[LE3 Final Submission]]</f>
        <v>-0.18000000000000002</v>
      </c>
      <c r="V571" s="224">
        <v>-0.24</v>
      </c>
      <c r="W571" s="225">
        <v>-0.17</v>
      </c>
      <c r="X571" s="225">
        <v>0.23</v>
      </c>
      <c r="Y571" s="226">
        <v>0</v>
      </c>
      <c r="Z571" s="226">
        <v>0</v>
      </c>
      <c r="AA571" s="226">
        <v>0</v>
      </c>
      <c r="AB571" s="226">
        <v>0</v>
      </c>
      <c r="AC571" s="226">
        <v>0</v>
      </c>
      <c r="AD571" s="226">
        <v>0</v>
      </c>
      <c r="AE571" s="226">
        <v>0</v>
      </c>
      <c r="AF571" s="226">
        <v>0</v>
      </c>
      <c r="AG571" s="226">
        <v>0</v>
      </c>
      <c r="AH571" s="194">
        <f t="shared" si="20"/>
        <v>-0.18000000000000002</v>
      </c>
      <c r="AI571" s="108">
        <f>ERP_34[[#This Row],[2026 Working Total]]-ERP_34[[#This Row],[2026 LE0]]</f>
        <v>-0.18000000000000002</v>
      </c>
      <c r="AJ571" s="227"/>
      <c r="AK571" s="227"/>
      <c r="AL571" s="79">
        <f>ERP_34[[#This Row],[AP01]]+ERP_34[[#This Row],[AP02]]+ERP_34[[#This Row],[AP03]]+ERP_34[[#This Row],[AP04]]-ERP_34[[#This Row],[AP01 LE2]]-ERP_34[[#This Row],[AP02 LE2]]-ERP_34[[#This Row],[AP03 LE2]]-ERP_34[[#This Row],[AP04 LE2]]</f>
        <v>-2.7755575615628914E-17</v>
      </c>
      <c r="AM571" s="80"/>
      <c r="AN571" s="79">
        <f>ERP_34[[#This Row],[2026 Working Total to Budget/LE]]-ERP_34[[#This Row],[Giveback]]</f>
        <v>-0.18000000000000002</v>
      </c>
      <c r="AO571" s="81"/>
      <c r="AP571" s="81">
        <v>-0.24</v>
      </c>
      <c r="AQ571" s="81">
        <v>-0.17</v>
      </c>
      <c r="AR571" s="81">
        <v>0.23</v>
      </c>
      <c r="AS571" s="81">
        <v>0</v>
      </c>
      <c r="AT571" s="81">
        <v>0</v>
      </c>
      <c r="AU571" s="81">
        <v>0</v>
      </c>
      <c r="AV571" s="81">
        <v>0</v>
      </c>
      <c r="AW571" s="81">
        <v>0</v>
      </c>
      <c r="AX571" s="81">
        <v>0</v>
      </c>
      <c r="AY571" s="81">
        <v>0</v>
      </c>
      <c r="AZ571" s="81">
        <v>0</v>
      </c>
      <c r="BA571" s="81">
        <v>0</v>
      </c>
      <c r="BB571" s="81">
        <v>-0.18000000000000002</v>
      </c>
      <c r="BC571" s="227">
        <v>-0.24</v>
      </c>
      <c r="BD571" s="227">
        <v>-0.17</v>
      </c>
      <c r="BE571" s="227">
        <v>0.23</v>
      </c>
      <c r="BF571" s="227">
        <v>0</v>
      </c>
      <c r="BG571" s="227">
        <v>0</v>
      </c>
      <c r="BH571" s="227">
        <v>0</v>
      </c>
      <c r="BI571" s="227">
        <v>0</v>
      </c>
      <c r="BJ571" s="227">
        <v>0</v>
      </c>
      <c r="BK571" s="227">
        <v>0</v>
      </c>
      <c r="BL571" s="227">
        <v>0</v>
      </c>
      <c r="BM571" s="227">
        <v>0</v>
      </c>
      <c r="BN571" s="227">
        <v>0</v>
      </c>
      <c r="BO571" s="227">
        <v>-0.18000000000000002</v>
      </c>
    </row>
    <row r="572" spans="1:67">
      <c r="A572" s="215" t="s">
        <v>2195</v>
      </c>
      <c r="B572" s="215" t="str">
        <f>_xlfn.TEXTJOIN("_",,ERP_34[[#This Row],[LT Member -1*]],ERP_34[[#This Row],[Expense Category]],ERP_34[[#This Row],[Project Code*]])</f>
        <v>DeHart, Lynn_RENT AND UTILITIES_MISC001</v>
      </c>
      <c r="C572" s="67" t="s">
        <v>1136</v>
      </c>
      <c r="D572" s="216" t="s">
        <v>1345</v>
      </c>
      <c r="E572" s="216" t="s">
        <v>1346</v>
      </c>
      <c r="F572" s="216" t="s">
        <v>1346</v>
      </c>
      <c r="G572" s="217" t="s">
        <v>629</v>
      </c>
      <c r="H572" s="218" t="s">
        <v>1327</v>
      </c>
      <c r="I572" s="219"/>
      <c r="J572" s="219"/>
      <c r="K572" s="219" t="s">
        <v>147</v>
      </c>
      <c r="L572" s="219"/>
      <c r="M572" s="219"/>
      <c r="N572" s="219"/>
      <c r="O572" s="216" t="s">
        <v>25</v>
      </c>
      <c r="P572" s="221"/>
      <c r="Q572" s="222"/>
      <c r="R572" s="71">
        <v>0</v>
      </c>
      <c r="S572" s="73">
        <v>7191.02</v>
      </c>
      <c r="T572" s="223">
        <v>0</v>
      </c>
      <c r="U572" s="71">
        <f>ERP_34[[#This Row],[LE2 Final Submission]]-ERP_34[[#This Row],[LE3 Final Submission]]</f>
        <v>7191.02</v>
      </c>
      <c r="V572" s="224">
        <v>843.69</v>
      </c>
      <c r="W572" s="225">
        <v>4879.99</v>
      </c>
      <c r="X572" s="225">
        <v>1467.34</v>
      </c>
      <c r="Y572" s="226">
        <v>0</v>
      </c>
      <c r="Z572" s="226">
        <v>0</v>
      </c>
      <c r="AA572" s="226">
        <v>0</v>
      </c>
      <c r="AB572" s="226">
        <v>0</v>
      </c>
      <c r="AC572" s="226">
        <v>0</v>
      </c>
      <c r="AD572" s="226">
        <v>0</v>
      </c>
      <c r="AE572" s="226">
        <v>0</v>
      </c>
      <c r="AF572" s="226">
        <v>0</v>
      </c>
      <c r="AG572" s="226">
        <v>0</v>
      </c>
      <c r="AH572" s="194">
        <f t="shared" si="20"/>
        <v>7191.02</v>
      </c>
      <c r="AI572" s="108">
        <f>ERP_34[[#This Row],[2026 Working Total]]-ERP_34[[#This Row],[2026 LE0]]</f>
        <v>7191.02</v>
      </c>
      <c r="AJ572" s="227"/>
      <c r="AK572" s="227"/>
      <c r="AL572" s="79">
        <f>ERP_34[[#This Row],[AP01]]+ERP_34[[#This Row],[AP02]]+ERP_34[[#This Row],[AP03]]+ERP_34[[#This Row],[AP04]]-ERP_34[[#This Row],[AP01 LE2]]-ERP_34[[#This Row],[AP02 LE2]]-ERP_34[[#This Row],[AP03 LE2]]-ERP_34[[#This Row],[AP04 LE2]]</f>
        <v>2.2737367544323206E-13</v>
      </c>
      <c r="AM572" s="80"/>
      <c r="AN572" s="79">
        <f>ERP_34[[#This Row],[2026 Working Total to Budget/LE]]-ERP_34[[#This Row],[Giveback]]</f>
        <v>7191.02</v>
      </c>
      <c r="AO572" s="81"/>
      <c r="AP572" s="81">
        <v>843.69</v>
      </c>
      <c r="AQ572" s="81">
        <v>4879.99</v>
      </c>
      <c r="AR572" s="81">
        <v>1467.34</v>
      </c>
      <c r="AS572" s="81">
        <v>0</v>
      </c>
      <c r="AT572" s="81">
        <v>0</v>
      </c>
      <c r="AU572" s="81">
        <v>0</v>
      </c>
      <c r="AV572" s="81">
        <v>0</v>
      </c>
      <c r="AW572" s="81">
        <v>0</v>
      </c>
      <c r="AX572" s="81">
        <v>0</v>
      </c>
      <c r="AY572" s="81">
        <v>0</v>
      </c>
      <c r="AZ572" s="81">
        <v>0</v>
      </c>
      <c r="BA572" s="81">
        <v>0</v>
      </c>
      <c r="BB572" s="81">
        <v>7191.02</v>
      </c>
      <c r="BC572" s="227">
        <v>843.69</v>
      </c>
      <c r="BD572" s="227">
        <v>4879.99</v>
      </c>
      <c r="BE572" s="227">
        <v>1467.34</v>
      </c>
      <c r="BF572" s="227">
        <v>0</v>
      </c>
      <c r="BG572" s="227">
        <v>0</v>
      </c>
      <c r="BH572" s="227">
        <v>0</v>
      </c>
      <c r="BI572" s="227">
        <v>0</v>
      </c>
      <c r="BJ572" s="227">
        <v>0</v>
      </c>
      <c r="BK572" s="227">
        <v>0</v>
      </c>
      <c r="BL572" s="227">
        <v>0</v>
      </c>
      <c r="BM572" s="227">
        <v>0</v>
      </c>
      <c r="BN572" s="227">
        <v>0</v>
      </c>
      <c r="BO572" s="227">
        <v>7191.02</v>
      </c>
    </row>
    <row r="573" spans="1:67">
      <c r="A573" s="215" t="s">
        <v>2194</v>
      </c>
      <c r="B573" s="215" t="str">
        <f>_xlfn.TEXTJOIN("_",,ERP_34[[#This Row],[LT Member -1*]],ERP_34[[#This Row],[Expense Category]],ERP_34[[#This Row],[Project Code*]])</f>
        <v>Jajodia, Amit_RENT AND UTILITIES_MISC001</v>
      </c>
      <c r="C573" s="67" t="s">
        <v>1136</v>
      </c>
      <c r="D573" s="216" t="s">
        <v>1345</v>
      </c>
      <c r="E573" s="216" t="s">
        <v>1515</v>
      </c>
      <c r="F573" s="216" t="s">
        <v>1346</v>
      </c>
      <c r="G573" s="217" t="s">
        <v>629</v>
      </c>
      <c r="H573" s="218" t="s">
        <v>1327</v>
      </c>
      <c r="I573" s="219"/>
      <c r="J573" s="219"/>
      <c r="K573" s="219" t="s">
        <v>147</v>
      </c>
      <c r="L573" s="219"/>
      <c r="M573" s="219"/>
      <c r="N573" s="219"/>
      <c r="O573" s="216" t="s">
        <v>25</v>
      </c>
      <c r="P573" s="221"/>
      <c r="Q573" s="222"/>
      <c r="R573" s="71">
        <v>0</v>
      </c>
      <c r="S573" s="73">
        <v>1.999999999999999E-2</v>
      </c>
      <c r="T573" s="223">
        <v>0</v>
      </c>
      <c r="U573" s="71">
        <f>ERP_34[[#This Row],[LE2 Final Submission]]-ERP_34[[#This Row],[LE3 Final Submission]]</f>
        <v>1.999999999999999E-2</v>
      </c>
      <c r="V573" s="224"/>
      <c r="W573" s="225">
        <v>0.21</v>
      </c>
      <c r="X573" s="225">
        <v>-0.19</v>
      </c>
      <c r="Y573" s="226">
        <v>0</v>
      </c>
      <c r="Z573" s="226">
        <v>0</v>
      </c>
      <c r="AA573" s="226">
        <v>0</v>
      </c>
      <c r="AB573" s="226">
        <v>0</v>
      </c>
      <c r="AC573" s="226">
        <v>0</v>
      </c>
      <c r="AD573" s="226">
        <v>0</v>
      </c>
      <c r="AE573" s="226">
        <v>0</v>
      </c>
      <c r="AF573" s="226">
        <v>0</v>
      </c>
      <c r="AG573" s="226">
        <v>0</v>
      </c>
      <c r="AH573" s="194">
        <f t="shared" si="20"/>
        <v>1.999999999999999E-2</v>
      </c>
      <c r="AI573" s="108">
        <f>ERP_34[[#This Row],[2026 Working Total]]-ERP_34[[#This Row],[2026 LE0]]</f>
        <v>1.999999999999999E-2</v>
      </c>
      <c r="AJ573" s="227"/>
      <c r="AK573" s="227"/>
      <c r="AL57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73" s="80"/>
      <c r="AN573" s="79">
        <f>ERP_34[[#This Row],[2026 Working Total to Budget/LE]]-ERP_34[[#This Row],[Giveback]]</f>
        <v>1.999999999999999E-2</v>
      </c>
      <c r="AO573" s="81"/>
      <c r="AP573" s="81"/>
      <c r="AQ573" s="81">
        <v>0.21</v>
      </c>
      <c r="AR573" s="81">
        <v>-0.19</v>
      </c>
      <c r="AS573" s="81">
        <v>0</v>
      </c>
      <c r="AT573" s="81">
        <v>0</v>
      </c>
      <c r="AU573" s="81">
        <v>0</v>
      </c>
      <c r="AV573" s="81">
        <v>0</v>
      </c>
      <c r="AW573" s="81">
        <v>0</v>
      </c>
      <c r="AX573" s="81">
        <v>0</v>
      </c>
      <c r="AY573" s="81">
        <v>0</v>
      </c>
      <c r="AZ573" s="81">
        <v>0</v>
      </c>
      <c r="BA573" s="81">
        <v>0</v>
      </c>
      <c r="BB573" s="81">
        <v>1.999999999999999E-2</v>
      </c>
      <c r="BC573" s="227"/>
      <c r="BD573" s="227">
        <v>0.21</v>
      </c>
      <c r="BE573" s="227">
        <v>-0.19</v>
      </c>
      <c r="BF573" s="227">
        <v>0</v>
      </c>
      <c r="BG573" s="227">
        <v>0</v>
      </c>
      <c r="BH573" s="227">
        <v>0</v>
      </c>
      <c r="BI573" s="227">
        <v>0</v>
      </c>
      <c r="BJ573" s="227">
        <v>0</v>
      </c>
      <c r="BK573" s="227">
        <v>0</v>
      </c>
      <c r="BL573" s="227">
        <v>0</v>
      </c>
      <c r="BM573" s="227">
        <v>0</v>
      </c>
      <c r="BN573" s="227">
        <v>0</v>
      </c>
      <c r="BO573" s="227">
        <v>1.999999999999999E-2</v>
      </c>
    </row>
    <row r="574" spans="1:67">
      <c r="A574" s="215" t="s">
        <v>2805</v>
      </c>
      <c r="B574" s="215" t="str">
        <f>_xlfn.TEXTJOIN("_",,ERP_34[[#This Row],[LT Member -1*]],ERP_34[[#This Row],[Expense Category]],ERP_34[[#This Row],[Project Code*]])</f>
        <v>DeHart, Lynn_SOFTWARE_MISC001</v>
      </c>
      <c r="C574" s="67" t="s">
        <v>1136</v>
      </c>
      <c r="D574" s="216" t="s">
        <v>1345</v>
      </c>
      <c r="E574" s="216" t="s">
        <v>1346</v>
      </c>
      <c r="F574" s="216" t="s">
        <v>1346</v>
      </c>
      <c r="G574" s="217" t="s">
        <v>639</v>
      </c>
      <c r="H574" s="218" t="s">
        <v>1327</v>
      </c>
      <c r="I574" s="219"/>
      <c r="J574" s="219"/>
      <c r="K574" s="219" t="s">
        <v>147</v>
      </c>
      <c r="L574" s="219"/>
      <c r="M574" s="219"/>
      <c r="N574" s="219"/>
      <c r="O574" s="216" t="s">
        <v>25</v>
      </c>
      <c r="P574" s="221"/>
      <c r="Q574" s="222"/>
      <c r="R574" s="71">
        <v>0</v>
      </c>
      <c r="S574" s="73">
        <v>2702.75</v>
      </c>
      <c r="T574" s="223">
        <v>0</v>
      </c>
      <c r="U574" s="71">
        <f>ERP_34[[#This Row],[LE2 Final Submission]]-ERP_34[[#This Row],[LE3 Final Submission]]</f>
        <v>2702.75</v>
      </c>
      <c r="V574" s="224">
        <v>45.54</v>
      </c>
      <c r="W574" s="225">
        <v>0.09</v>
      </c>
      <c r="X574" s="225">
        <v>2657.12</v>
      </c>
      <c r="Y574" s="226">
        <v>0</v>
      </c>
      <c r="Z574" s="226">
        <v>0</v>
      </c>
      <c r="AA574" s="226">
        <v>0</v>
      </c>
      <c r="AB574" s="226">
        <v>0</v>
      </c>
      <c r="AC574" s="226">
        <v>0</v>
      </c>
      <c r="AD574" s="226">
        <v>0</v>
      </c>
      <c r="AE574" s="226">
        <v>0</v>
      </c>
      <c r="AF574" s="226">
        <v>0</v>
      </c>
      <c r="AG574" s="226">
        <v>0</v>
      </c>
      <c r="AH574" s="194">
        <f t="shared" si="20"/>
        <v>2702.75</v>
      </c>
      <c r="AI574" s="108">
        <f>ERP_34[[#This Row],[2026 Working Total]]-ERP_34[[#This Row],[2026 LE0]]</f>
        <v>2702.75</v>
      </c>
      <c r="AJ574" s="227"/>
      <c r="AK574" s="227"/>
      <c r="AL57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74" s="80"/>
      <c r="AN574" s="79">
        <f>ERP_34[[#This Row],[2026 Working Total to Budget/LE]]-ERP_34[[#This Row],[Giveback]]</f>
        <v>2702.75</v>
      </c>
      <c r="AO574" s="81"/>
      <c r="AP574" s="81">
        <v>45.54</v>
      </c>
      <c r="AQ574" s="81">
        <v>0.09</v>
      </c>
      <c r="AR574" s="81">
        <v>2657.12</v>
      </c>
      <c r="AS574" s="81">
        <v>0</v>
      </c>
      <c r="AT574" s="81">
        <v>0</v>
      </c>
      <c r="AU574" s="81">
        <v>0</v>
      </c>
      <c r="AV574" s="81">
        <v>0</v>
      </c>
      <c r="AW574" s="81">
        <v>0</v>
      </c>
      <c r="AX574" s="81">
        <v>0</v>
      </c>
      <c r="AY574" s="81">
        <v>0</v>
      </c>
      <c r="AZ574" s="81">
        <v>0</v>
      </c>
      <c r="BA574" s="81">
        <v>0</v>
      </c>
      <c r="BB574" s="81">
        <v>2702.75</v>
      </c>
      <c r="BC574" s="227">
        <v>45.54</v>
      </c>
      <c r="BD574" s="227">
        <v>0.09</v>
      </c>
      <c r="BE574" s="227">
        <v>2657.12</v>
      </c>
      <c r="BF574" s="227">
        <v>0</v>
      </c>
      <c r="BG574" s="227">
        <v>0</v>
      </c>
      <c r="BH574" s="227">
        <v>0</v>
      </c>
      <c r="BI574" s="227">
        <v>0</v>
      </c>
      <c r="BJ574" s="227">
        <v>0</v>
      </c>
      <c r="BK574" s="227">
        <v>0</v>
      </c>
      <c r="BL574" s="227">
        <v>0</v>
      </c>
      <c r="BM574" s="227">
        <v>0</v>
      </c>
      <c r="BN574" s="227">
        <v>0</v>
      </c>
      <c r="BO574" s="227">
        <v>2702.75</v>
      </c>
    </row>
    <row r="575" spans="1:67">
      <c r="A575" s="215" t="s">
        <v>2646</v>
      </c>
      <c r="B575" s="215" t="str">
        <f>_xlfn.TEXTJOIN("_",,ERP_34[[#This Row],[LT Member -1*]],ERP_34[[#This Row],[Expense Category]],ERP_34[[#This Row],[Project Code*]])</f>
        <v>Ganesan, Srinivasan_SOFTWARE_MISC001</v>
      </c>
      <c r="C575" s="67" t="s">
        <v>1136</v>
      </c>
      <c r="D575" s="216" t="s">
        <v>1345</v>
      </c>
      <c r="E575" s="216" t="s">
        <v>1344</v>
      </c>
      <c r="F575" s="216" t="s">
        <v>1346</v>
      </c>
      <c r="G575" s="217" t="s">
        <v>639</v>
      </c>
      <c r="H575" s="218" t="s">
        <v>1327</v>
      </c>
      <c r="I575" s="219"/>
      <c r="J575" s="219"/>
      <c r="K575" s="219" t="s">
        <v>147</v>
      </c>
      <c r="L575" s="219"/>
      <c r="M575" s="219"/>
      <c r="N575" s="219"/>
      <c r="O575" s="216" t="s">
        <v>25</v>
      </c>
      <c r="P575" s="221"/>
      <c r="Q575" s="222"/>
      <c r="R575" s="71">
        <v>0</v>
      </c>
      <c r="S575" s="73">
        <v>44.39</v>
      </c>
      <c r="T575" s="223">
        <v>0</v>
      </c>
      <c r="U575" s="71">
        <f>ERP_34[[#This Row],[LE2 Final Submission]]-ERP_34[[#This Row],[LE3 Final Submission]]</f>
        <v>44.39</v>
      </c>
      <c r="V575" s="224">
        <v>44.95</v>
      </c>
      <c r="W575" s="225">
        <v>-0.67</v>
      </c>
      <c r="X575" s="225">
        <v>0.11</v>
      </c>
      <c r="Y575" s="226">
        <v>0</v>
      </c>
      <c r="Z575" s="226">
        <v>0</v>
      </c>
      <c r="AA575" s="226">
        <v>0</v>
      </c>
      <c r="AB575" s="226">
        <v>0</v>
      </c>
      <c r="AC575" s="226">
        <v>0</v>
      </c>
      <c r="AD575" s="226">
        <v>0</v>
      </c>
      <c r="AE575" s="226">
        <v>0</v>
      </c>
      <c r="AF575" s="226">
        <v>0</v>
      </c>
      <c r="AG575" s="226">
        <v>0</v>
      </c>
      <c r="AH575" s="194">
        <f t="shared" si="20"/>
        <v>44.39</v>
      </c>
      <c r="AI575" s="108">
        <f>ERP_34[[#This Row],[2026 Working Total]]-ERP_34[[#This Row],[2026 LE0]]</f>
        <v>44.39</v>
      </c>
      <c r="AJ575" s="227"/>
      <c r="AK575" s="227"/>
      <c r="AL575" s="79">
        <f>ERP_34[[#This Row],[AP01]]+ERP_34[[#This Row],[AP02]]+ERP_34[[#This Row],[AP03]]+ERP_34[[#This Row],[AP04]]-ERP_34[[#This Row],[AP01 LE2]]-ERP_34[[#This Row],[AP02 LE2]]-ERP_34[[#This Row],[AP03 LE2]]-ERP_34[[#This Row],[AP04 LE2]]</f>
        <v>-2.2343238370581275E-15</v>
      </c>
      <c r="AM575" s="80"/>
      <c r="AN575" s="79">
        <f>ERP_34[[#This Row],[2026 Working Total to Budget/LE]]-ERP_34[[#This Row],[Giveback]]</f>
        <v>44.39</v>
      </c>
      <c r="AO575" s="81"/>
      <c r="AP575" s="81">
        <v>44.95</v>
      </c>
      <c r="AQ575" s="81">
        <v>-0.67</v>
      </c>
      <c r="AR575" s="81">
        <v>0.11</v>
      </c>
      <c r="AS575" s="81">
        <v>0</v>
      </c>
      <c r="AT575" s="81">
        <v>0</v>
      </c>
      <c r="AU575" s="81">
        <v>0</v>
      </c>
      <c r="AV575" s="81">
        <v>0</v>
      </c>
      <c r="AW575" s="81">
        <v>0</v>
      </c>
      <c r="AX575" s="81">
        <v>0</v>
      </c>
      <c r="AY575" s="81">
        <v>0</v>
      </c>
      <c r="AZ575" s="81">
        <v>0</v>
      </c>
      <c r="BA575" s="81">
        <v>0</v>
      </c>
      <c r="BB575" s="81">
        <v>44.39</v>
      </c>
      <c r="BC575" s="227">
        <v>44.95</v>
      </c>
      <c r="BD575" s="227">
        <v>-0.67</v>
      </c>
      <c r="BE575" s="227">
        <v>0.11</v>
      </c>
      <c r="BF575" s="227">
        <v>0</v>
      </c>
      <c r="BG575" s="227">
        <v>0</v>
      </c>
      <c r="BH575" s="227">
        <v>0</v>
      </c>
      <c r="BI575" s="227">
        <v>0</v>
      </c>
      <c r="BJ575" s="227">
        <v>0</v>
      </c>
      <c r="BK575" s="227">
        <v>0</v>
      </c>
      <c r="BL575" s="227">
        <v>0</v>
      </c>
      <c r="BM575" s="227">
        <v>0</v>
      </c>
      <c r="BN575" s="227">
        <v>0</v>
      </c>
      <c r="BO575" s="227">
        <v>44.39</v>
      </c>
    </row>
    <row r="576" spans="1:67">
      <c r="A576" s="215" t="s">
        <v>2699</v>
      </c>
      <c r="B576" s="215" t="str">
        <f>_xlfn.TEXTJOIN("_",,ERP_34[[#This Row],[LT Member -1*]],ERP_34[[#This Row],[Expense Category]],ERP_34[[#This Row],[Project Code*]])</f>
        <v>Hase, Raj_SOFTWARE_MISC001</v>
      </c>
      <c r="C576" s="67" t="s">
        <v>1136</v>
      </c>
      <c r="D576" s="216" t="s">
        <v>1345</v>
      </c>
      <c r="E576" s="216" t="s">
        <v>1345</v>
      </c>
      <c r="F576" s="216" t="s">
        <v>1346</v>
      </c>
      <c r="G576" s="217" t="s">
        <v>639</v>
      </c>
      <c r="H576" s="218" t="s">
        <v>1327</v>
      </c>
      <c r="I576" s="219"/>
      <c r="J576" s="219"/>
      <c r="K576" s="219" t="s">
        <v>147</v>
      </c>
      <c r="L576" s="219"/>
      <c r="M576" s="219"/>
      <c r="N576" s="219"/>
      <c r="O576" s="216" t="s">
        <v>25</v>
      </c>
      <c r="P576" s="221"/>
      <c r="Q576" s="222"/>
      <c r="R576" s="71">
        <v>0</v>
      </c>
      <c r="S576" s="73">
        <v>0.32999999999999996</v>
      </c>
      <c r="T576" s="223">
        <v>0</v>
      </c>
      <c r="U576" s="71">
        <f>ERP_34[[#This Row],[LE2 Final Submission]]-ERP_34[[#This Row],[LE3 Final Submission]]</f>
        <v>0.32999999999999996</v>
      </c>
      <c r="V576" s="224"/>
      <c r="W576" s="225">
        <v>0.24</v>
      </c>
      <c r="X576" s="225">
        <v>0.09</v>
      </c>
      <c r="Y576" s="226">
        <v>0</v>
      </c>
      <c r="Z576" s="226">
        <v>0</v>
      </c>
      <c r="AA576" s="226">
        <v>0</v>
      </c>
      <c r="AB576" s="226">
        <v>0</v>
      </c>
      <c r="AC576" s="226">
        <v>0</v>
      </c>
      <c r="AD576" s="226">
        <v>0</v>
      </c>
      <c r="AE576" s="226">
        <v>0</v>
      </c>
      <c r="AF576" s="226">
        <v>0</v>
      </c>
      <c r="AG576" s="226">
        <v>0</v>
      </c>
      <c r="AH576" s="194">
        <f t="shared" si="20"/>
        <v>0.32999999999999996</v>
      </c>
      <c r="AI576" s="108">
        <f>ERP_34[[#This Row],[2026 Working Total]]-ERP_34[[#This Row],[2026 LE0]]</f>
        <v>0.32999999999999996</v>
      </c>
      <c r="AJ576" s="227"/>
      <c r="AK576" s="227"/>
      <c r="AL576" s="79">
        <f>ERP_34[[#This Row],[AP01]]+ERP_34[[#This Row],[AP02]]+ERP_34[[#This Row],[AP03]]+ERP_34[[#This Row],[AP04]]-ERP_34[[#This Row],[AP01 LE2]]-ERP_34[[#This Row],[AP02 LE2]]-ERP_34[[#This Row],[AP03 LE2]]-ERP_34[[#This Row],[AP04 LE2]]</f>
        <v>-2.7755575615628914E-17</v>
      </c>
      <c r="AM576" s="80"/>
      <c r="AN576" s="79">
        <f>ERP_34[[#This Row],[2026 Working Total to Budget/LE]]-ERP_34[[#This Row],[Giveback]]</f>
        <v>0.32999999999999996</v>
      </c>
      <c r="AO576" s="81"/>
      <c r="AP576" s="81"/>
      <c r="AQ576" s="81">
        <v>0.24</v>
      </c>
      <c r="AR576" s="81">
        <v>0.09</v>
      </c>
      <c r="AS576" s="81">
        <v>0</v>
      </c>
      <c r="AT576" s="81">
        <v>0</v>
      </c>
      <c r="AU576" s="81">
        <v>0</v>
      </c>
      <c r="AV576" s="81">
        <v>0</v>
      </c>
      <c r="AW576" s="81">
        <v>0</v>
      </c>
      <c r="AX576" s="81">
        <v>0</v>
      </c>
      <c r="AY576" s="81">
        <v>0</v>
      </c>
      <c r="AZ576" s="81">
        <v>0</v>
      </c>
      <c r="BA576" s="81">
        <v>0</v>
      </c>
      <c r="BB576" s="81">
        <v>0.32999999999999996</v>
      </c>
      <c r="BC576" s="227"/>
      <c r="BD576" s="227">
        <v>0.24</v>
      </c>
      <c r="BE576" s="227">
        <v>0.09</v>
      </c>
      <c r="BF576" s="227">
        <v>0</v>
      </c>
      <c r="BG576" s="227">
        <v>0</v>
      </c>
      <c r="BH576" s="227">
        <v>0</v>
      </c>
      <c r="BI576" s="227">
        <v>0</v>
      </c>
      <c r="BJ576" s="227">
        <v>0</v>
      </c>
      <c r="BK576" s="227">
        <v>0</v>
      </c>
      <c r="BL576" s="227">
        <v>0</v>
      </c>
      <c r="BM576" s="227">
        <v>0</v>
      </c>
      <c r="BN576" s="227">
        <v>0</v>
      </c>
      <c r="BO576" s="227">
        <v>0.32999999999999996</v>
      </c>
    </row>
    <row r="577" spans="1:67">
      <c r="A577" s="215" t="s">
        <v>2704</v>
      </c>
      <c r="B577" s="215" t="str">
        <f>_xlfn.TEXTJOIN("_",,ERP_34[[#This Row],[LT Member -1*]],ERP_34[[#This Row],[Expense Category]],ERP_34[[#This Row],[Project Code*]])</f>
        <v>Herman, Shaun_SOFTWARE_MISC001</v>
      </c>
      <c r="C577" s="67" t="s">
        <v>1136</v>
      </c>
      <c r="D577" s="216" t="s">
        <v>1345</v>
      </c>
      <c r="E577" s="216" t="s">
        <v>1450</v>
      </c>
      <c r="F577" s="216" t="s">
        <v>1346</v>
      </c>
      <c r="G577" s="217" t="s">
        <v>639</v>
      </c>
      <c r="H577" s="218" t="s">
        <v>1327</v>
      </c>
      <c r="I577" s="219"/>
      <c r="J577" s="219"/>
      <c r="K577" s="219" t="s">
        <v>147</v>
      </c>
      <c r="L577" s="219"/>
      <c r="M577" s="219"/>
      <c r="N577" s="219"/>
      <c r="O577" s="216" t="s">
        <v>25</v>
      </c>
      <c r="P577" s="221"/>
      <c r="Q577" s="222"/>
      <c r="R577" s="71">
        <v>0</v>
      </c>
      <c r="S577" s="73">
        <v>-0.13</v>
      </c>
      <c r="T577" s="223">
        <v>0</v>
      </c>
      <c r="U577" s="71">
        <f>ERP_34[[#This Row],[LE2 Final Submission]]-ERP_34[[#This Row],[LE3 Final Submission]]</f>
        <v>-0.13</v>
      </c>
      <c r="V577" s="224"/>
      <c r="W577" s="225">
        <v>-0.03</v>
      </c>
      <c r="X577" s="225">
        <v>-0.1</v>
      </c>
      <c r="Y577" s="226">
        <v>0</v>
      </c>
      <c r="Z577" s="226">
        <v>0</v>
      </c>
      <c r="AA577" s="226">
        <v>0</v>
      </c>
      <c r="AB577" s="226">
        <v>0</v>
      </c>
      <c r="AC577" s="226">
        <v>0</v>
      </c>
      <c r="AD577" s="226">
        <v>0</v>
      </c>
      <c r="AE577" s="226">
        <v>0</v>
      </c>
      <c r="AF577" s="226">
        <v>0</v>
      </c>
      <c r="AG577" s="226">
        <v>0</v>
      </c>
      <c r="AH577" s="194">
        <f t="shared" si="20"/>
        <v>-0.13</v>
      </c>
      <c r="AI577" s="108">
        <f>ERP_34[[#This Row],[2026 Working Total]]-ERP_34[[#This Row],[2026 LE0]]</f>
        <v>-0.13</v>
      </c>
      <c r="AJ577" s="227"/>
      <c r="AK577" s="227"/>
      <c r="AL57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77" s="80"/>
      <c r="AN577" s="79">
        <f>ERP_34[[#This Row],[2026 Working Total to Budget/LE]]-ERP_34[[#This Row],[Giveback]]</f>
        <v>-0.13</v>
      </c>
      <c r="AO577" s="81"/>
      <c r="AP577" s="81"/>
      <c r="AQ577" s="81">
        <v>-0.03</v>
      </c>
      <c r="AR577" s="81">
        <v>-0.1</v>
      </c>
      <c r="AS577" s="81">
        <v>0</v>
      </c>
      <c r="AT577" s="81">
        <v>0</v>
      </c>
      <c r="AU577" s="81">
        <v>0</v>
      </c>
      <c r="AV577" s="81">
        <v>0</v>
      </c>
      <c r="AW577" s="81">
        <v>0</v>
      </c>
      <c r="AX577" s="81">
        <v>0</v>
      </c>
      <c r="AY577" s="81">
        <v>0</v>
      </c>
      <c r="AZ577" s="81">
        <v>0</v>
      </c>
      <c r="BA577" s="81">
        <v>0</v>
      </c>
      <c r="BB577" s="81">
        <v>-0.13</v>
      </c>
      <c r="BC577" s="227"/>
      <c r="BD577" s="227">
        <v>-0.03</v>
      </c>
      <c r="BE577" s="227">
        <v>-0.1</v>
      </c>
      <c r="BF577" s="227">
        <v>0</v>
      </c>
      <c r="BG577" s="227">
        <v>0</v>
      </c>
      <c r="BH577" s="227">
        <v>0</v>
      </c>
      <c r="BI577" s="227">
        <v>0</v>
      </c>
      <c r="BJ577" s="227">
        <v>0</v>
      </c>
      <c r="BK577" s="227">
        <v>0</v>
      </c>
      <c r="BL577" s="227">
        <v>0</v>
      </c>
      <c r="BM577" s="227">
        <v>0</v>
      </c>
      <c r="BN577" s="227">
        <v>0</v>
      </c>
      <c r="BO577" s="227">
        <v>-0.13</v>
      </c>
    </row>
    <row r="578" spans="1:67">
      <c r="A578" s="215" t="s">
        <v>2740</v>
      </c>
      <c r="B578" s="215" t="str">
        <f>_xlfn.TEXTJOIN("_",,ERP_34[[#This Row],[LT Member -1*]],ERP_34[[#This Row],[Expense Category]],ERP_34[[#This Row],[Project Code*]])</f>
        <v>Hovanyetz, Mike_SOFTWARE_MISC001</v>
      </c>
      <c r="C578" s="67" t="s">
        <v>1136</v>
      </c>
      <c r="D578" s="216" t="s">
        <v>1345</v>
      </c>
      <c r="E578" s="216" t="s">
        <v>1480</v>
      </c>
      <c r="F578" s="216" t="s">
        <v>1346</v>
      </c>
      <c r="G578" s="217" t="s">
        <v>639</v>
      </c>
      <c r="H578" s="218" t="s">
        <v>1327</v>
      </c>
      <c r="I578" s="219"/>
      <c r="J578" s="219"/>
      <c r="K578" s="219" t="s">
        <v>147</v>
      </c>
      <c r="L578" s="219"/>
      <c r="M578" s="219"/>
      <c r="N578" s="219"/>
      <c r="O578" s="216" t="s">
        <v>25</v>
      </c>
      <c r="P578" s="221"/>
      <c r="Q578" s="222"/>
      <c r="R578" s="71">
        <v>0</v>
      </c>
      <c r="S578" s="73">
        <v>16.46</v>
      </c>
      <c r="T578" s="223">
        <v>0</v>
      </c>
      <c r="U578" s="71">
        <f>ERP_34[[#This Row],[LE2 Final Submission]]-ERP_34[[#This Row],[LE3 Final Submission]]</f>
        <v>16.46</v>
      </c>
      <c r="V578" s="224"/>
      <c r="W578" s="225">
        <v>18</v>
      </c>
      <c r="X578" s="225">
        <v>-1.54</v>
      </c>
      <c r="Y578" s="226">
        <v>0</v>
      </c>
      <c r="Z578" s="226">
        <v>0</v>
      </c>
      <c r="AA578" s="226">
        <v>0</v>
      </c>
      <c r="AB578" s="226">
        <v>0</v>
      </c>
      <c r="AC578" s="226">
        <v>0</v>
      </c>
      <c r="AD578" s="226">
        <v>0</v>
      </c>
      <c r="AE578" s="226">
        <v>0</v>
      </c>
      <c r="AF578" s="226">
        <v>0</v>
      </c>
      <c r="AG578" s="226">
        <v>0</v>
      </c>
      <c r="AH578" s="194">
        <f t="shared" si="20"/>
        <v>16.46</v>
      </c>
      <c r="AI578" s="108">
        <f>ERP_34[[#This Row],[2026 Working Total]]-ERP_34[[#This Row],[2026 LE0]]</f>
        <v>16.46</v>
      </c>
      <c r="AJ578" s="227"/>
      <c r="AK578" s="227"/>
      <c r="AL578" s="79">
        <f>ERP_34[[#This Row],[AP01]]+ERP_34[[#This Row],[AP02]]+ERP_34[[#This Row],[AP03]]+ERP_34[[#This Row],[AP04]]-ERP_34[[#This Row],[AP01 LE2]]-ERP_34[[#This Row],[AP02 LE2]]-ERP_34[[#This Row],[AP03 LE2]]-ERP_34[[#This Row],[AP04 LE2]]</f>
        <v>8.8817841970012523E-16</v>
      </c>
      <c r="AM578" s="80"/>
      <c r="AN578" s="79">
        <f>ERP_34[[#This Row],[2026 Working Total to Budget/LE]]-ERP_34[[#This Row],[Giveback]]</f>
        <v>16.46</v>
      </c>
      <c r="AO578" s="81"/>
      <c r="AP578" s="81"/>
      <c r="AQ578" s="81">
        <v>18</v>
      </c>
      <c r="AR578" s="81">
        <v>-1.54</v>
      </c>
      <c r="AS578" s="81">
        <v>0</v>
      </c>
      <c r="AT578" s="81">
        <v>0</v>
      </c>
      <c r="AU578" s="81">
        <v>0</v>
      </c>
      <c r="AV578" s="81">
        <v>0</v>
      </c>
      <c r="AW578" s="81">
        <v>0</v>
      </c>
      <c r="AX578" s="81">
        <v>0</v>
      </c>
      <c r="AY578" s="81">
        <v>0</v>
      </c>
      <c r="AZ578" s="81">
        <v>0</v>
      </c>
      <c r="BA578" s="81">
        <v>0</v>
      </c>
      <c r="BB578" s="81">
        <v>16.46</v>
      </c>
      <c r="BC578" s="227"/>
      <c r="BD578" s="227">
        <v>18</v>
      </c>
      <c r="BE578" s="227">
        <v>-1.54</v>
      </c>
      <c r="BF578" s="227">
        <v>0</v>
      </c>
      <c r="BG578" s="227">
        <v>0</v>
      </c>
      <c r="BH578" s="227">
        <v>0</v>
      </c>
      <c r="BI578" s="227">
        <v>0</v>
      </c>
      <c r="BJ578" s="227">
        <v>0</v>
      </c>
      <c r="BK578" s="227">
        <v>0</v>
      </c>
      <c r="BL578" s="227">
        <v>0</v>
      </c>
      <c r="BM578" s="227">
        <v>0</v>
      </c>
      <c r="BN578" s="227">
        <v>0</v>
      </c>
      <c r="BO578" s="227">
        <v>16.46</v>
      </c>
    </row>
    <row r="579" spans="1:67">
      <c r="A579" s="215" t="s">
        <v>2752</v>
      </c>
      <c r="B579" s="215" t="str">
        <f>_xlfn.TEXTJOIN("_",,ERP_34[[#This Row],[LT Member -1*]],ERP_34[[#This Row],[Expense Category]],ERP_34[[#This Row],[Project Code*]])</f>
        <v>Jajodia, Amit_SOFTWARE_MISC001</v>
      </c>
      <c r="C579" s="67" t="s">
        <v>1136</v>
      </c>
      <c r="D579" s="216" t="s">
        <v>1345</v>
      </c>
      <c r="E579" s="216" t="s">
        <v>1515</v>
      </c>
      <c r="F579" s="216" t="s">
        <v>1346</v>
      </c>
      <c r="G579" s="217" t="s">
        <v>639</v>
      </c>
      <c r="H579" s="218" t="s">
        <v>1327</v>
      </c>
      <c r="I579" s="219"/>
      <c r="J579" s="219"/>
      <c r="K579" s="219" t="s">
        <v>147</v>
      </c>
      <c r="L579" s="219"/>
      <c r="M579" s="219"/>
      <c r="N579" s="219"/>
      <c r="O579" s="216" t="s">
        <v>25</v>
      </c>
      <c r="P579" s="221"/>
      <c r="Q579" s="222"/>
      <c r="R579" s="71">
        <v>0</v>
      </c>
      <c r="S579" s="73">
        <v>0.63</v>
      </c>
      <c r="T579" s="223">
        <v>0</v>
      </c>
      <c r="U579" s="71">
        <f>ERP_34[[#This Row],[LE2 Final Submission]]-ERP_34[[#This Row],[LE3 Final Submission]]</f>
        <v>0.63</v>
      </c>
      <c r="V579" s="224"/>
      <c r="W579" s="225"/>
      <c r="X579" s="225">
        <v>0.63</v>
      </c>
      <c r="Y579" s="226">
        <v>0</v>
      </c>
      <c r="Z579" s="226">
        <v>0</v>
      </c>
      <c r="AA579" s="226">
        <v>0</v>
      </c>
      <c r="AB579" s="226">
        <v>0</v>
      </c>
      <c r="AC579" s="226">
        <v>0</v>
      </c>
      <c r="AD579" s="226">
        <v>0</v>
      </c>
      <c r="AE579" s="226">
        <v>0</v>
      </c>
      <c r="AF579" s="226">
        <v>0</v>
      </c>
      <c r="AG579" s="226">
        <v>0</v>
      </c>
      <c r="AH579" s="194">
        <f t="shared" si="20"/>
        <v>0.63</v>
      </c>
      <c r="AI579" s="108">
        <f>ERP_34[[#This Row],[2026 Working Total]]-ERP_34[[#This Row],[2026 LE0]]</f>
        <v>0.63</v>
      </c>
      <c r="AJ579" s="227"/>
      <c r="AK579" s="227"/>
      <c r="AL57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79" s="80"/>
      <c r="AN579" s="79">
        <f>ERP_34[[#This Row],[2026 Working Total to Budget/LE]]-ERP_34[[#This Row],[Giveback]]</f>
        <v>0.63</v>
      </c>
      <c r="AO579" s="81"/>
      <c r="AP579" s="81"/>
      <c r="AQ579" s="81"/>
      <c r="AR579" s="81">
        <v>0.63</v>
      </c>
      <c r="AS579" s="81">
        <v>0</v>
      </c>
      <c r="AT579" s="81">
        <v>0</v>
      </c>
      <c r="AU579" s="81">
        <v>0</v>
      </c>
      <c r="AV579" s="81">
        <v>0</v>
      </c>
      <c r="AW579" s="81">
        <v>0</v>
      </c>
      <c r="AX579" s="81">
        <v>0</v>
      </c>
      <c r="AY579" s="81">
        <v>0</v>
      </c>
      <c r="AZ579" s="81">
        <v>0</v>
      </c>
      <c r="BA579" s="81">
        <v>0</v>
      </c>
      <c r="BB579" s="81">
        <v>0.63</v>
      </c>
      <c r="BC579" s="227"/>
      <c r="BD579" s="227"/>
      <c r="BE579" s="227">
        <v>0.63</v>
      </c>
      <c r="BF579" s="227">
        <v>0</v>
      </c>
      <c r="BG579" s="227">
        <v>0</v>
      </c>
      <c r="BH579" s="227">
        <v>0</v>
      </c>
      <c r="BI579" s="227">
        <v>0</v>
      </c>
      <c r="BJ579" s="227">
        <v>0</v>
      </c>
      <c r="BK579" s="227">
        <v>0</v>
      </c>
      <c r="BL579" s="227">
        <v>0</v>
      </c>
      <c r="BM579" s="227">
        <v>0</v>
      </c>
      <c r="BN579" s="227">
        <v>0</v>
      </c>
      <c r="BO579" s="227">
        <v>0.63</v>
      </c>
    </row>
    <row r="580" spans="1:67">
      <c r="A580" s="215" t="s">
        <v>2741</v>
      </c>
      <c r="B580" s="215" t="str">
        <f>_xlfn.TEXTJOIN("_",,ERP_34[[#This Row],[LT Member -1*]],ERP_34[[#This Row],[Expense Category]],ERP_34[[#This Row],[Project Code*]])</f>
        <v>Vaidya, Sachin_SOFTWARE_MISC001</v>
      </c>
      <c r="C580" s="67" t="s">
        <v>1136</v>
      </c>
      <c r="D580" s="216" t="s">
        <v>1345</v>
      </c>
      <c r="E580" s="216" t="s">
        <v>1481</v>
      </c>
      <c r="F580" s="216" t="s">
        <v>1346</v>
      </c>
      <c r="G580" s="217" t="s">
        <v>639</v>
      </c>
      <c r="H580" s="218" t="s">
        <v>1327</v>
      </c>
      <c r="I580" s="219"/>
      <c r="J580" s="219"/>
      <c r="K580" s="219" t="s">
        <v>147</v>
      </c>
      <c r="L580" s="219"/>
      <c r="M580" s="219"/>
      <c r="N580" s="219"/>
      <c r="O580" s="216" t="s">
        <v>25</v>
      </c>
      <c r="P580" s="263" t="s">
        <v>1513</v>
      </c>
      <c r="Q580" s="222"/>
      <c r="R580" s="71">
        <v>0</v>
      </c>
      <c r="S580" s="73">
        <v>0.36</v>
      </c>
      <c r="T580" s="223">
        <v>0</v>
      </c>
      <c r="U580" s="71">
        <f>ERP_34[[#This Row],[LE2 Final Submission]]-ERP_34[[#This Row],[LE3 Final Submission]]</f>
        <v>0.36</v>
      </c>
      <c r="V580" s="224"/>
      <c r="W580" s="225"/>
      <c r="X580" s="225">
        <v>0.36</v>
      </c>
      <c r="Y580" s="226">
        <v>0</v>
      </c>
      <c r="Z580" s="226">
        <v>0</v>
      </c>
      <c r="AA580" s="226">
        <v>0</v>
      </c>
      <c r="AB580" s="226">
        <v>0</v>
      </c>
      <c r="AC580" s="226">
        <v>0</v>
      </c>
      <c r="AD580" s="226">
        <v>0</v>
      </c>
      <c r="AE580" s="226">
        <v>0</v>
      </c>
      <c r="AF580" s="226">
        <v>0</v>
      </c>
      <c r="AG580" s="226">
        <v>0</v>
      </c>
      <c r="AH580" s="194">
        <f t="shared" si="20"/>
        <v>0.36</v>
      </c>
      <c r="AI580" s="108">
        <f>ERP_34[[#This Row],[2026 Working Total]]-ERP_34[[#This Row],[2026 LE0]]</f>
        <v>0.36</v>
      </c>
      <c r="AJ580" s="227"/>
      <c r="AK580" s="227"/>
      <c r="AL58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0" s="80"/>
      <c r="AN580" s="79">
        <f>ERP_34[[#This Row],[2026 Working Total to Budget/LE]]-ERP_34[[#This Row],[Giveback]]</f>
        <v>0.36</v>
      </c>
      <c r="AO580" s="81"/>
      <c r="AP580" s="81"/>
      <c r="AQ580" s="81"/>
      <c r="AR580" s="81">
        <v>0.36</v>
      </c>
      <c r="AS580" s="81">
        <v>0</v>
      </c>
      <c r="AT580" s="81">
        <v>0</v>
      </c>
      <c r="AU580" s="81">
        <v>0</v>
      </c>
      <c r="AV580" s="81">
        <v>0</v>
      </c>
      <c r="AW580" s="81">
        <v>0</v>
      </c>
      <c r="AX580" s="81">
        <v>0</v>
      </c>
      <c r="AY580" s="81">
        <v>0</v>
      </c>
      <c r="AZ580" s="81">
        <v>0</v>
      </c>
      <c r="BA580" s="81">
        <v>0</v>
      </c>
      <c r="BB580" s="81">
        <v>0.36</v>
      </c>
      <c r="BC580" s="227"/>
      <c r="BD580" s="227"/>
      <c r="BE580" s="227">
        <v>0.36</v>
      </c>
      <c r="BF580" s="227">
        <v>0</v>
      </c>
      <c r="BG580" s="227">
        <v>0</v>
      </c>
      <c r="BH580" s="227">
        <v>0</v>
      </c>
      <c r="BI580" s="227">
        <v>0</v>
      </c>
      <c r="BJ580" s="227">
        <v>0</v>
      </c>
      <c r="BK580" s="227">
        <v>0</v>
      </c>
      <c r="BL580" s="227">
        <v>0</v>
      </c>
      <c r="BM580" s="227">
        <v>0</v>
      </c>
      <c r="BN580" s="227">
        <v>0</v>
      </c>
      <c r="BO580" s="227">
        <v>0.36</v>
      </c>
    </row>
    <row r="581" spans="1:67">
      <c r="A581" s="215" t="s">
        <v>2700</v>
      </c>
      <c r="B581" s="215" t="str">
        <f>_xlfn.TEXTJOIN("_",,ERP_34[[#This Row],[LT Member -1*]],ERP_34[[#This Row],[Expense Category]],ERP_34[[#This Row],[Project Code*]])</f>
        <v>Yeluri, Durga_SOFTWARE_MISC001</v>
      </c>
      <c r="C581" s="67" t="s">
        <v>1136</v>
      </c>
      <c r="D581" s="216" t="s">
        <v>1345</v>
      </c>
      <c r="E581" s="216" t="s">
        <v>1437</v>
      </c>
      <c r="F581" s="216" t="s">
        <v>1346</v>
      </c>
      <c r="G581" s="217" t="s">
        <v>639</v>
      </c>
      <c r="H581" s="218" t="s">
        <v>1327</v>
      </c>
      <c r="I581" s="219"/>
      <c r="J581" s="219"/>
      <c r="K581" s="219" t="s">
        <v>147</v>
      </c>
      <c r="L581" s="219"/>
      <c r="M581" s="219"/>
      <c r="N581" s="219"/>
      <c r="O581" s="216" t="s">
        <v>25</v>
      </c>
      <c r="P581" s="221"/>
      <c r="Q581" s="222"/>
      <c r="R581" s="71">
        <v>0</v>
      </c>
      <c r="S581" s="73">
        <v>1.999999999999999E-2</v>
      </c>
      <c r="T581" s="223">
        <v>0</v>
      </c>
      <c r="U581" s="71">
        <f>ERP_34[[#This Row],[LE2 Final Submission]]-ERP_34[[#This Row],[LE3 Final Submission]]</f>
        <v>1.999999999999999E-2</v>
      </c>
      <c r="V581" s="224">
        <v>0.13</v>
      </c>
      <c r="W581" s="225">
        <v>0.09</v>
      </c>
      <c r="X581" s="225">
        <v>-0.2</v>
      </c>
      <c r="Y581" s="226">
        <v>0</v>
      </c>
      <c r="Z581" s="226">
        <v>0</v>
      </c>
      <c r="AA581" s="226">
        <v>0</v>
      </c>
      <c r="AB581" s="226">
        <v>0</v>
      </c>
      <c r="AC581" s="226">
        <v>0</v>
      </c>
      <c r="AD581" s="226">
        <v>0</v>
      </c>
      <c r="AE581" s="226">
        <v>0</v>
      </c>
      <c r="AF581" s="226">
        <v>0</v>
      </c>
      <c r="AG581" s="226">
        <v>0</v>
      </c>
      <c r="AH581" s="194">
        <f t="shared" si="20"/>
        <v>1.999999999999999E-2</v>
      </c>
      <c r="AI581" s="108">
        <f>ERP_34[[#This Row],[2026 Working Total]]-ERP_34[[#This Row],[2026 LE0]]</f>
        <v>1.999999999999999E-2</v>
      </c>
      <c r="AJ581" s="227"/>
      <c r="AK581" s="227"/>
      <c r="AL58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1" s="80"/>
      <c r="AN581" s="79">
        <f>ERP_34[[#This Row],[2026 Working Total to Budget/LE]]-ERP_34[[#This Row],[Giveback]]</f>
        <v>1.999999999999999E-2</v>
      </c>
      <c r="AO581" s="81"/>
      <c r="AP581" s="81">
        <v>0.13</v>
      </c>
      <c r="AQ581" s="81">
        <v>0.09</v>
      </c>
      <c r="AR581" s="81">
        <v>-0.2</v>
      </c>
      <c r="AS581" s="81">
        <v>0</v>
      </c>
      <c r="AT581" s="81">
        <v>0</v>
      </c>
      <c r="AU581" s="81">
        <v>0</v>
      </c>
      <c r="AV581" s="81">
        <v>0</v>
      </c>
      <c r="AW581" s="81">
        <v>0</v>
      </c>
      <c r="AX581" s="81">
        <v>0</v>
      </c>
      <c r="AY581" s="81">
        <v>0</v>
      </c>
      <c r="AZ581" s="81">
        <v>0</v>
      </c>
      <c r="BA581" s="81">
        <v>0</v>
      </c>
      <c r="BB581" s="81">
        <v>1.999999999999999E-2</v>
      </c>
      <c r="BC581" s="227">
        <v>0.13</v>
      </c>
      <c r="BD581" s="227">
        <v>0.09</v>
      </c>
      <c r="BE581" s="227">
        <v>-0.2</v>
      </c>
      <c r="BF581" s="227">
        <v>0</v>
      </c>
      <c r="BG581" s="227">
        <v>0</v>
      </c>
      <c r="BH581" s="227">
        <v>0</v>
      </c>
      <c r="BI581" s="227">
        <v>0</v>
      </c>
      <c r="BJ581" s="227">
        <v>0</v>
      </c>
      <c r="BK581" s="227">
        <v>0</v>
      </c>
      <c r="BL581" s="227">
        <v>0</v>
      </c>
      <c r="BM581" s="227">
        <v>0</v>
      </c>
      <c r="BN581" s="227">
        <v>0</v>
      </c>
      <c r="BO581" s="227">
        <v>1.999999999999999E-2</v>
      </c>
    </row>
    <row r="582" spans="1:67">
      <c r="A582" s="215" t="s">
        <v>1641</v>
      </c>
      <c r="B582" s="215" t="str">
        <f>_xlfn.TEXTJOIN("_",,ERP_34[[#This Row],[LT Member -1*]],ERP_34[[#This Row],[Expense Category]],ERP_34[[#This Row],[Project Code*]])</f>
        <v>McGettigan, David_CONTRACTORS_MISC001</v>
      </c>
      <c r="C582" s="67" t="s">
        <v>1136</v>
      </c>
      <c r="D582" s="216" t="s">
        <v>1567</v>
      </c>
      <c r="E582" s="216" t="s">
        <v>1567</v>
      </c>
      <c r="F582" s="216" t="s">
        <v>1567</v>
      </c>
      <c r="G582" s="217" t="s">
        <v>49</v>
      </c>
      <c r="H582" s="218" t="s">
        <v>1327</v>
      </c>
      <c r="I582" s="219"/>
      <c r="J582" s="219"/>
      <c r="K582" s="219" t="s">
        <v>147</v>
      </c>
      <c r="L582" s="219"/>
      <c r="M582" s="219"/>
      <c r="N582" s="219"/>
      <c r="O582" s="216" t="s">
        <v>25</v>
      </c>
      <c r="P582" s="221"/>
      <c r="Q582" s="222"/>
      <c r="R582" s="71">
        <v>0</v>
      </c>
      <c r="S582" s="73">
        <v>-2284.04</v>
      </c>
      <c r="T582" s="223">
        <v>0</v>
      </c>
      <c r="U582" s="71">
        <f>ERP_34[[#This Row],[LE2 Final Submission]]-ERP_34[[#This Row],[LE3 Final Submission]]</f>
        <v>-2284.04</v>
      </c>
      <c r="V582" s="224">
        <v>0.08</v>
      </c>
      <c r="W582" s="225">
        <v>-0.17</v>
      </c>
      <c r="X582" s="225">
        <v>-2283.9499999999998</v>
      </c>
      <c r="Y582" s="226">
        <v>0</v>
      </c>
      <c r="Z582" s="226">
        <v>0</v>
      </c>
      <c r="AA582" s="226">
        <v>0</v>
      </c>
      <c r="AB582" s="226">
        <v>0</v>
      </c>
      <c r="AC582" s="226">
        <v>0</v>
      </c>
      <c r="AD582" s="226">
        <v>0</v>
      </c>
      <c r="AE582" s="226">
        <v>0</v>
      </c>
      <c r="AF582" s="226">
        <v>0</v>
      </c>
      <c r="AG582" s="109">
        <v>0</v>
      </c>
      <c r="AH582" s="194">
        <f t="shared" si="20"/>
        <v>-2284.04</v>
      </c>
      <c r="AI582" s="108">
        <f>ERP_34[[#This Row],[2026 Working Total]]-ERP_34[[#This Row],[2026 LE0]]</f>
        <v>-2284.04</v>
      </c>
      <c r="AJ582" s="227"/>
      <c r="AK582" s="227"/>
      <c r="AL58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2" s="80"/>
      <c r="AN582" s="79">
        <f>ERP_34[[#This Row],[2026 Working Total to Budget/LE]]-ERP_34[[#This Row],[Giveback]]</f>
        <v>-2284.04</v>
      </c>
      <c r="AO582" s="81"/>
      <c r="AP582" s="81">
        <v>0.08</v>
      </c>
      <c r="AQ582" s="81">
        <v>-0.17</v>
      </c>
      <c r="AR582" s="81">
        <v>-2283.9499999999998</v>
      </c>
      <c r="AS582" s="81">
        <v>0</v>
      </c>
      <c r="AT582" s="81">
        <v>0</v>
      </c>
      <c r="AU582" s="81">
        <v>0</v>
      </c>
      <c r="AV582" s="81">
        <v>0</v>
      </c>
      <c r="AW582" s="81">
        <v>0</v>
      </c>
      <c r="AX582" s="81">
        <v>0</v>
      </c>
      <c r="AY582" s="81">
        <v>0</v>
      </c>
      <c r="AZ582" s="81">
        <v>0</v>
      </c>
      <c r="BA582" s="81">
        <v>0</v>
      </c>
      <c r="BB582" s="81">
        <v>-2284.04</v>
      </c>
      <c r="BC582" s="227">
        <v>0.08</v>
      </c>
      <c r="BD582" s="227">
        <v>-0.17</v>
      </c>
      <c r="BE582" s="227">
        <v>-2283.9499999999998</v>
      </c>
      <c r="BF582" s="227">
        <v>0</v>
      </c>
      <c r="BG582" s="227">
        <v>0</v>
      </c>
      <c r="BH582" s="227">
        <v>0</v>
      </c>
      <c r="BI582" s="227">
        <v>0</v>
      </c>
      <c r="BJ582" s="227">
        <v>0</v>
      </c>
      <c r="BK582" s="227">
        <v>0</v>
      </c>
      <c r="BL582" s="227">
        <v>0</v>
      </c>
      <c r="BM582" s="227">
        <v>0</v>
      </c>
      <c r="BN582" s="227">
        <v>0</v>
      </c>
      <c r="BO582" s="227">
        <v>-2284.04</v>
      </c>
    </row>
    <row r="583" spans="1:67">
      <c r="A583" s="215" t="s">
        <v>1746</v>
      </c>
      <c r="B583" s="215" t="str">
        <f>_xlfn.TEXTJOIN("_",,ERP_34[[#This Row],[LT Member -1*]],ERP_34[[#This Row],[Expense Category]],ERP_34[[#This Row],[Project Code*]])</f>
        <v>McGettigan, David_HW MAINTENANCE_MISC001</v>
      </c>
      <c r="C583" s="67" t="s">
        <v>1136</v>
      </c>
      <c r="D583" s="216" t="s">
        <v>1567</v>
      </c>
      <c r="E583" s="216" t="s">
        <v>1567</v>
      </c>
      <c r="F583" s="216" t="s">
        <v>1567</v>
      </c>
      <c r="G583" s="217" t="s">
        <v>342</v>
      </c>
      <c r="H583" s="218" t="s">
        <v>1327</v>
      </c>
      <c r="I583" s="219"/>
      <c r="J583" s="219"/>
      <c r="K583" s="219" t="s">
        <v>147</v>
      </c>
      <c r="L583" s="219"/>
      <c r="M583" s="219"/>
      <c r="N583" s="219"/>
      <c r="O583" s="216" t="s">
        <v>25</v>
      </c>
      <c r="P583" s="221"/>
      <c r="Q583" s="222"/>
      <c r="R583" s="71">
        <v>0</v>
      </c>
      <c r="S583" s="73">
        <v>-0.23</v>
      </c>
      <c r="T583" s="223">
        <v>0</v>
      </c>
      <c r="U583" s="71">
        <f>ERP_34[[#This Row],[LE2 Final Submission]]-ERP_34[[#This Row],[LE3 Final Submission]]</f>
        <v>-0.23</v>
      </c>
      <c r="V583" s="224"/>
      <c r="W583" s="225"/>
      <c r="X583" s="225">
        <v>-0.23</v>
      </c>
      <c r="Y583" s="226">
        <v>0</v>
      </c>
      <c r="Z583" s="226">
        <v>0</v>
      </c>
      <c r="AA583" s="226">
        <v>0</v>
      </c>
      <c r="AB583" s="226">
        <v>0</v>
      </c>
      <c r="AC583" s="226">
        <v>0</v>
      </c>
      <c r="AD583" s="226">
        <v>0</v>
      </c>
      <c r="AE583" s="226">
        <v>0</v>
      </c>
      <c r="AF583" s="226">
        <v>0</v>
      </c>
      <c r="AG583" s="226">
        <v>0</v>
      </c>
      <c r="AH583" s="194">
        <f t="shared" si="20"/>
        <v>-0.23</v>
      </c>
      <c r="AI583" s="108">
        <f>ERP_34[[#This Row],[2026 Working Total]]-ERP_34[[#This Row],[2026 LE0]]</f>
        <v>-0.23</v>
      </c>
      <c r="AJ583" s="227"/>
      <c r="AK583" s="227"/>
      <c r="AL58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3" s="80"/>
      <c r="AN583" s="79">
        <f>ERP_34[[#This Row],[2026 Working Total to Budget/LE]]-ERP_34[[#This Row],[Giveback]]</f>
        <v>-0.23</v>
      </c>
      <c r="AO583" s="81"/>
      <c r="AP583" s="81"/>
      <c r="AQ583" s="81"/>
      <c r="AR583" s="81">
        <v>-0.23</v>
      </c>
      <c r="AS583" s="81">
        <v>0</v>
      </c>
      <c r="AT583" s="81">
        <v>0</v>
      </c>
      <c r="AU583" s="81">
        <v>0</v>
      </c>
      <c r="AV583" s="81">
        <v>0</v>
      </c>
      <c r="AW583" s="81">
        <v>0</v>
      </c>
      <c r="AX583" s="81">
        <v>0</v>
      </c>
      <c r="AY583" s="81">
        <v>0</v>
      </c>
      <c r="AZ583" s="81">
        <v>0</v>
      </c>
      <c r="BA583" s="81">
        <v>0</v>
      </c>
      <c r="BB583" s="81">
        <v>-0.23</v>
      </c>
      <c r="BC583" s="227"/>
      <c r="BD583" s="227"/>
      <c r="BE583" s="227">
        <v>-0.23</v>
      </c>
      <c r="BF583" s="227">
        <v>0</v>
      </c>
      <c r="BG583" s="227">
        <v>0</v>
      </c>
      <c r="BH583" s="227">
        <v>0</v>
      </c>
      <c r="BI583" s="227">
        <v>0</v>
      </c>
      <c r="BJ583" s="227">
        <v>0</v>
      </c>
      <c r="BK583" s="227">
        <v>0</v>
      </c>
      <c r="BL583" s="227">
        <v>0</v>
      </c>
      <c r="BM583" s="227">
        <v>0</v>
      </c>
      <c r="BN583" s="227">
        <v>0</v>
      </c>
      <c r="BO583" s="227">
        <v>-0.23</v>
      </c>
    </row>
    <row r="584" spans="1:67">
      <c r="A584" s="215" t="s">
        <v>2131</v>
      </c>
      <c r="B584" s="215" t="str">
        <f>_xlfn.TEXTJOIN("_",,ERP_34[[#This Row],[LT Member -1*]],ERP_34[[#This Row],[Expense Category]],ERP_34[[#This Row],[Project Code*]])</f>
        <v>McGettigan, David_MANAGED SERVICES_MISC001</v>
      </c>
      <c r="C584" s="67" t="s">
        <v>1136</v>
      </c>
      <c r="D584" s="216" t="s">
        <v>1567</v>
      </c>
      <c r="E584" s="216" t="s">
        <v>1567</v>
      </c>
      <c r="F584" s="216" t="s">
        <v>1567</v>
      </c>
      <c r="G584" s="217" t="s">
        <v>389</v>
      </c>
      <c r="H584" s="218" t="s">
        <v>1327</v>
      </c>
      <c r="I584" s="219"/>
      <c r="J584" s="219"/>
      <c r="K584" s="219" t="s">
        <v>147</v>
      </c>
      <c r="L584" s="219"/>
      <c r="M584" s="219"/>
      <c r="N584" s="219"/>
      <c r="O584" s="216" t="s">
        <v>25</v>
      </c>
      <c r="P584" s="221"/>
      <c r="Q584" s="222"/>
      <c r="R584" s="71">
        <v>0</v>
      </c>
      <c r="S584" s="73">
        <v>1501.59</v>
      </c>
      <c r="T584" s="223">
        <v>0</v>
      </c>
      <c r="U584" s="71">
        <f>ERP_34[[#This Row],[LE2 Final Submission]]-ERP_34[[#This Row],[LE3 Final Submission]]</f>
        <v>1501.59</v>
      </c>
      <c r="V584" s="224">
        <v>-0.46</v>
      </c>
      <c r="W584" s="225">
        <v>0.71</v>
      </c>
      <c r="X584" s="225">
        <v>1501.34</v>
      </c>
      <c r="Y584" s="226">
        <v>0</v>
      </c>
      <c r="Z584" s="226">
        <v>0</v>
      </c>
      <c r="AA584" s="226">
        <v>0</v>
      </c>
      <c r="AB584" s="226">
        <v>0</v>
      </c>
      <c r="AC584" s="226">
        <v>0</v>
      </c>
      <c r="AD584" s="226">
        <v>0</v>
      </c>
      <c r="AE584" s="226">
        <v>0</v>
      </c>
      <c r="AF584" s="226">
        <v>0</v>
      </c>
      <c r="AG584" s="226">
        <v>0</v>
      </c>
      <c r="AH584" s="194">
        <f t="shared" si="20"/>
        <v>1501.59</v>
      </c>
      <c r="AI584" s="108">
        <f>ERP_34[[#This Row],[2026 Working Total]]-ERP_34[[#This Row],[2026 LE0]]</f>
        <v>1501.59</v>
      </c>
      <c r="AJ584" s="227"/>
      <c r="AK584" s="227"/>
      <c r="AL58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4" s="80"/>
      <c r="AN584" s="79">
        <f>ERP_34[[#This Row],[2026 Working Total to Budget/LE]]-ERP_34[[#This Row],[Giveback]]</f>
        <v>1501.59</v>
      </c>
      <c r="AO584" s="81"/>
      <c r="AP584" s="81">
        <v>-0.46</v>
      </c>
      <c r="AQ584" s="81">
        <v>0.71</v>
      </c>
      <c r="AR584" s="81">
        <v>1501.34</v>
      </c>
      <c r="AS584" s="81">
        <v>0</v>
      </c>
      <c r="AT584" s="81">
        <v>0</v>
      </c>
      <c r="AU584" s="81">
        <v>0</v>
      </c>
      <c r="AV584" s="81">
        <v>0</v>
      </c>
      <c r="AW584" s="81">
        <v>0</v>
      </c>
      <c r="AX584" s="81">
        <v>0</v>
      </c>
      <c r="AY584" s="81">
        <v>0</v>
      </c>
      <c r="AZ584" s="81">
        <v>0</v>
      </c>
      <c r="BA584" s="81">
        <v>0</v>
      </c>
      <c r="BB584" s="81">
        <v>1501.59</v>
      </c>
      <c r="BC584" s="227">
        <v>-0.46</v>
      </c>
      <c r="BD584" s="227">
        <v>0.71</v>
      </c>
      <c r="BE584" s="227">
        <v>1501.34</v>
      </c>
      <c r="BF584" s="227">
        <v>0</v>
      </c>
      <c r="BG584" s="227">
        <v>0</v>
      </c>
      <c r="BH584" s="227">
        <v>0</v>
      </c>
      <c r="BI584" s="227">
        <v>0</v>
      </c>
      <c r="BJ584" s="227">
        <v>0</v>
      </c>
      <c r="BK584" s="227">
        <v>0</v>
      </c>
      <c r="BL584" s="227">
        <v>0</v>
      </c>
      <c r="BM584" s="227">
        <v>0</v>
      </c>
      <c r="BN584" s="227">
        <v>0</v>
      </c>
      <c r="BO584" s="227">
        <v>1501.59</v>
      </c>
    </row>
    <row r="585" spans="1:67">
      <c r="A585" s="215" t="s">
        <v>2807</v>
      </c>
      <c r="B585" s="215" t="str">
        <f>_xlfn.TEXTJOIN("_",,ERP_34[[#This Row],[LT Member -1*]],ERP_34[[#This Row],[Expense Category]],ERP_34[[#This Row],[Project Code*]])</f>
        <v>McGettigan, David_SOFTWARE_MISC001</v>
      </c>
      <c r="C585" s="67" t="s">
        <v>1136</v>
      </c>
      <c r="D585" s="216" t="s">
        <v>1567</v>
      </c>
      <c r="E585" s="216" t="s">
        <v>1567</v>
      </c>
      <c r="F585" s="216" t="s">
        <v>1567</v>
      </c>
      <c r="G585" s="217" t="s">
        <v>639</v>
      </c>
      <c r="H585" s="218" t="s">
        <v>1327</v>
      </c>
      <c r="I585" s="219"/>
      <c r="J585" s="219"/>
      <c r="K585" s="219" t="s">
        <v>147</v>
      </c>
      <c r="L585" s="219"/>
      <c r="M585" s="219"/>
      <c r="N585" s="219"/>
      <c r="O585" s="216" t="s">
        <v>25</v>
      </c>
      <c r="P585" s="221"/>
      <c r="Q585" s="222"/>
      <c r="R585" s="71">
        <v>0</v>
      </c>
      <c r="S585" s="73">
        <v>-711.61</v>
      </c>
      <c r="T585" s="223">
        <v>0</v>
      </c>
      <c r="U585" s="71">
        <f>ERP_34[[#This Row],[LE2 Final Submission]]-ERP_34[[#This Row],[LE3 Final Submission]]</f>
        <v>-711.61</v>
      </c>
      <c r="V585" s="224">
        <v>-0.39</v>
      </c>
      <c r="W585" s="225">
        <v>0.11</v>
      </c>
      <c r="X585" s="225">
        <v>-711.33</v>
      </c>
      <c r="Y585" s="226">
        <v>0</v>
      </c>
      <c r="Z585" s="226">
        <v>0</v>
      </c>
      <c r="AA585" s="226">
        <v>0</v>
      </c>
      <c r="AB585" s="226">
        <v>0</v>
      </c>
      <c r="AC585" s="226">
        <v>0</v>
      </c>
      <c r="AD585" s="226">
        <v>0</v>
      </c>
      <c r="AE585" s="226">
        <v>0</v>
      </c>
      <c r="AF585" s="226">
        <v>0</v>
      </c>
      <c r="AG585" s="226">
        <v>0</v>
      </c>
      <c r="AH585" s="194">
        <f t="shared" si="20"/>
        <v>-711.61</v>
      </c>
      <c r="AI585" s="108">
        <f>ERP_34[[#This Row],[2026 Working Total]]-ERP_34[[#This Row],[2026 LE0]]</f>
        <v>-711.61</v>
      </c>
      <c r="AJ585" s="227"/>
      <c r="AK585" s="227"/>
      <c r="AL58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5" s="80"/>
      <c r="AN585" s="79">
        <f>ERP_34[[#This Row],[2026 Working Total to Budget/LE]]-ERP_34[[#This Row],[Giveback]]</f>
        <v>-711.61</v>
      </c>
      <c r="AO585" s="81"/>
      <c r="AP585" s="81">
        <v>-0.39</v>
      </c>
      <c r="AQ585" s="81">
        <v>0.11</v>
      </c>
      <c r="AR585" s="81">
        <v>-711.33</v>
      </c>
      <c r="AS585" s="81">
        <v>0</v>
      </c>
      <c r="AT585" s="81">
        <v>0</v>
      </c>
      <c r="AU585" s="81">
        <v>0</v>
      </c>
      <c r="AV585" s="81">
        <v>0</v>
      </c>
      <c r="AW585" s="81">
        <v>0</v>
      </c>
      <c r="AX585" s="81">
        <v>0</v>
      </c>
      <c r="AY585" s="81">
        <v>0</v>
      </c>
      <c r="AZ585" s="81">
        <v>0</v>
      </c>
      <c r="BA585" s="81">
        <v>0</v>
      </c>
      <c r="BB585" s="81">
        <v>-711.61</v>
      </c>
      <c r="BC585" s="229">
        <v>-0.39</v>
      </c>
      <c r="BD585" s="229">
        <v>0.11</v>
      </c>
      <c r="BE585" s="229">
        <v>-711.33</v>
      </c>
      <c r="BF585" s="229">
        <v>0</v>
      </c>
      <c r="BG585" s="229">
        <v>0</v>
      </c>
      <c r="BH585" s="229">
        <v>0</v>
      </c>
      <c r="BI585" s="229">
        <v>0</v>
      </c>
      <c r="BJ585" s="229">
        <v>0</v>
      </c>
      <c r="BK585" s="229">
        <v>0</v>
      </c>
      <c r="BL585" s="229">
        <v>0</v>
      </c>
      <c r="BM585" s="229">
        <v>0</v>
      </c>
      <c r="BN585" s="229">
        <v>0</v>
      </c>
      <c r="BO585" s="229">
        <v>-711.61</v>
      </c>
    </row>
    <row r="586" spans="1:67">
      <c r="A586" s="215" t="s">
        <v>1659</v>
      </c>
      <c r="B586" s="215" t="str">
        <f>_xlfn.TEXTJOIN("_",,ERP_34[[#This Row],[LT Member -1*]],ERP_34[[#This Row],[Expense Category]],ERP_34[[#This Row],[Project Code*]])</f>
        <v>Robertson, Jerome_CONTRACTORS_MISC001</v>
      </c>
      <c r="C586" s="67" t="s">
        <v>1136</v>
      </c>
      <c r="D586" s="216" t="s">
        <v>1650</v>
      </c>
      <c r="E586" s="216" t="s">
        <v>1650</v>
      </c>
      <c r="F586" s="216" t="s">
        <v>1650</v>
      </c>
      <c r="G586" s="217" t="s">
        <v>49</v>
      </c>
      <c r="H586" s="218" t="s">
        <v>1327</v>
      </c>
      <c r="I586" s="219"/>
      <c r="J586" s="219"/>
      <c r="K586" s="219" t="s">
        <v>147</v>
      </c>
      <c r="L586" s="219"/>
      <c r="M586" s="219"/>
      <c r="N586" s="219"/>
      <c r="O586" s="216" t="s">
        <v>25</v>
      </c>
      <c r="P586" s="221"/>
      <c r="Q586" s="222"/>
      <c r="R586" s="71">
        <v>0</v>
      </c>
      <c r="S586" s="73">
        <v>79.110000000000298</v>
      </c>
      <c r="T586" s="223">
        <v>0</v>
      </c>
      <c r="U586" s="71">
        <f>ERP_34[[#This Row],[LE2 Final Submission]]-ERP_34[[#This Row],[LE3 Final Submission]]</f>
        <v>79.110000000000298</v>
      </c>
      <c r="V586" s="224">
        <v>0.01</v>
      </c>
      <c r="W586" s="225">
        <v>0.42</v>
      </c>
      <c r="X586" s="247">
        <f>-54821.32+54900</f>
        <v>78.680000000000291</v>
      </c>
      <c r="Y586" s="226">
        <v>0</v>
      </c>
      <c r="Z586" s="226">
        <v>0</v>
      </c>
      <c r="AA586" s="226">
        <v>0</v>
      </c>
      <c r="AB586" s="226">
        <v>0</v>
      </c>
      <c r="AC586" s="226">
        <v>0</v>
      </c>
      <c r="AD586" s="226">
        <v>0</v>
      </c>
      <c r="AE586" s="226">
        <v>0</v>
      </c>
      <c r="AF586" s="226">
        <v>0</v>
      </c>
      <c r="AG586" s="226">
        <v>0</v>
      </c>
      <c r="AH586" s="194">
        <f t="shared" si="20"/>
        <v>79.110000000000298</v>
      </c>
      <c r="AI586" s="108">
        <f>ERP_34[[#This Row],[2026 Working Total]]-ERP_34[[#This Row],[2026 LE0]]</f>
        <v>79.110000000000298</v>
      </c>
      <c r="AJ586" s="227"/>
      <c r="AK586" s="227"/>
      <c r="AL58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6" s="80"/>
      <c r="AN586" s="79">
        <f>ERP_34[[#This Row],[2026 Working Total to Budget/LE]]-ERP_34[[#This Row],[Giveback]]</f>
        <v>79.110000000000298</v>
      </c>
      <c r="AO586" s="81"/>
      <c r="AP586" s="81">
        <v>0.01</v>
      </c>
      <c r="AQ586" s="81">
        <v>0.42</v>
      </c>
      <c r="AR586" s="81">
        <v>78.680000000000291</v>
      </c>
      <c r="AS586" s="81">
        <v>0</v>
      </c>
      <c r="AT586" s="81">
        <v>0</v>
      </c>
      <c r="AU586" s="81">
        <v>0</v>
      </c>
      <c r="AV586" s="81">
        <v>0</v>
      </c>
      <c r="AW586" s="81">
        <v>0</v>
      </c>
      <c r="AX586" s="81">
        <v>0</v>
      </c>
      <c r="AY586" s="81">
        <v>0</v>
      </c>
      <c r="AZ586" s="81">
        <v>0</v>
      </c>
      <c r="BA586" s="81">
        <v>0</v>
      </c>
      <c r="BB586" s="81">
        <v>79.110000000000298</v>
      </c>
      <c r="BC586" s="227">
        <v>0.01</v>
      </c>
      <c r="BD586" s="227">
        <v>0.42</v>
      </c>
      <c r="BE586" s="227">
        <v>-54821.32</v>
      </c>
      <c r="BF586" s="227">
        <v>0</v>
      </c>
      <c r="BG586" s="227">
        <v>0</v>
      </c>
      <c r="BH586" s="227">
        <v>0</v>
      </c>
      <c r="BI586" s="227">
        <v>0</v>
      </c>
      <c r="BJ586" s="227">
        <v>0</v>
      </c>
      <c r="BK586" s="227">
        <v>0</v>
      </c>
      <c r="BL586" s="227">
        <v>0</v>
      </c>
      <c r="BM586" s="227">
        <v>0</v>
      </c>
      <c r="BN586" s="227">
        <v>0</v>
      </c>
      <c r="BO586" s="227">
        <v>-54820.89</v>
      </c>
    </row>
    <row r="587" spans="1:67">
      <c r="A587" s="215" t="s">
        <v>1750</v>
      </c>
      <c r="B587" s="215" t="str">
        <f>_xlfn.TEXTJOIN("_",,ERP_34[[#This Row],[LT Member -1*]],ERP_34[[#This Row],[Expense Category]],ERP_34[[#This Row],[Project Code*]])</f>
        <v>Robertson, Jerome_HW MAINTENANCE_MISC001</v>
      </c>
      <c r="C587" s="67" t="s">
        <v>1136</v>
      </c>
      <c r="D587" s="216" t="s">
        <v>1650</v>
      </c>
      <c r="E587" s="216" t="s">
        <v>1650</v>
      </c>
      <c r="F587" s="216" t="s">
        <v>1650</v>
      </c>
      <c r="G587" s="217" t="s">
        <v>342</v>
      </c>
      <c r="H587" s="218" t="s">
        <v>1327</v>
      </c>
      <c r="I587" s="219"/>
      <c r="J587" s="219"/>
      <c r="K587" s="219" t="s">
        <v>147</v>
      </c>
      <c r="L587" s="219"/>
      <c r="M587" s="219"/>
      <c r="N587" s="219"/>
      <c r="O587" s="216" t="s">
        <v>25</v>
      </c>
      <c r="P587" s="221"/>
      <c r="Q587" s="222"/>
      <c r="R587" s="71">
        <v>0</v>
      </c>
      <c r="S587" s="73">
        <v>420.97</v>
      </c>
      <c r="T587" s="223">
        <v>0</v>
      </c>
      <c r="U587" s="71">
        <f>ERP_34[[#This Row],[LE2 Final Submission]]-ERP_34[[#This Row],[LE3 Final Submission]]</f>
        <v>420.97</v>
      </c>
      <c r="V587" s="224"/>
      <c r="W587" s="225"/>
      <c r="X587" s="225">
        <v>420.97</v>
      </c>
      <c r="Y587" s="226">
        <v>0</v>
      </c>
      <c r="Z587" s="226">
        <v>0</v>
      </c>
      <c r="AA587" s="226">
        <v>0</v>
      </c>
      <c r="AB587" s="226">
        <v>0</v>
      </c>
      <c r="AC587" s="226">
        <v>0</v>
      </c>
      <c r="AD587" s="226">
        <v>0</v>
      </c>
      <c r="AE587" s="226">
        <v>0</v>
      </c>
      <c r="AF587" s="226">
        <v>0</v>
      </c>
      <c r="AG587" s="226">
        <v>0</v>
      </c>
      <c r="AH587" s="194">
        <f t="shared" si="20"/>
        <v>420.97</v>
      </c>
      <c r="AI587" s="108">
        <f>ERP_34[[#This Row],[2026 Working Total]]-ERP_34[[#This Row],[2026 LE0]]</f>
        <v>420.97</v>
      </c>
      <c r="AJ587" s="227"/>
      <c r="AK587" s="227"/>
      <c r="AL58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7" s="80"/>
      <c r="AN587" s="79">
        <f>ERP_34[[#This Row],[2026 Working Total to Budget/LE]]-ERP_34[[#This Row],[Giveback]]</f>
        <v>420.97</v>
      </c>
      <c r="AO587" s="81"/>
      <c r="AP587" s="81"/>
      <c r="AQ587" s="81"/>
      <c r="AR587" s="81">
        <v>420.97</v>
      </c>
      <c r="AS587" s="81">
        <v>0</v>
      </c>
      <c r="AT587" s="81">
        <v>0</v>
      </c>
      <c r="AU587" s="81">
        <v>0</v>
      </c>
      <c r="AV587" s="81">
        <v>0</v>
      </c>
      <c r="AW587" s="81">
        <v>0</v>
      </c>
      <c r="AX587" s="81">
        <v>0</v>
      </c>
      <c r="AY587" s="81">
        <v>0</v>
      </c>
      <c r="AZ587" s="81">
        <v>0</v>
      </c>
      <c r="BA587" s="81">
        <v>0</v>
      </c>
      <c r="BB587" s="81">
        <v>420.97</v>
      </c>
      <c r="BC587" s="227"/>
      <c r="BD587" s="227"/>
      <c r="BE587" s="227">
        <v>420.97</v>
      </c>
      <c r="BF587" s="227">
        <v>0</v>
      </c>
      <c r="BG587" s="227">
        <v>0</v>
      </c>
      <c r="BH587" s="227">
        <v>0</v>
      </c>
      <c r="BI587" s="227">
        <v>0</v>
      </c>
      <c r="BJ587" s="227">
        <v>0</v>
      </c>
      <c r="BK587" s="227">
        <v>0</v>
      </c>
      <c r="BL587" s="227">
        <v>0</v>
      </c>
      <c r="BM587" s="227">
        <v>0</v>
      </c>
      <c r="BN587" s="227">
        <v>0</v>
      </c>
      <c r="BO587" s="227">
        <v>420.97</v>
      </c>
    </row>
    <row r="588" spans="1:67">
      <c r="A588" s="215" t="s">
        <v>2145</v>
      </c>
      <c r="B588" s="215" t="str">
        <f>_xlfn.TEXTJOIN("_",,ERP_34[[#This Row],[LT Member -1*]],ERP_34[[#This Row],[Expense Category]],ERP_34[[#This Row],[Project Code*]])</f>
        <v>Robertson, Jerome_MANAGED SERVICES_MISC001</v>
      </c>
      <c r="C588" s="67" t="s">
        <v>1136</v>
      </c>
      <c r="D588" s="216" t="s">
        <v>1650</v>
      </c>
      <c r="E588" s="216" t="s">
        <v>1650</v>
      </c>
      <c r="F588" s="216" t="s">
        <v>1650</v>
      </c>
      <c r="G588" s="217" t="s">
        <v>389</v>
      </c>
      <c r="H588" s="218" t="s">
        <v>1327</v>
      </c>
      <c r="I588" s="219"/>
      <c r="J588" s="219"/>
      <c r="K588" s="219" t="s">
        <v>147</v>
      </c>
      <c r="L588" s="219"/>
      <c r="M588" s="219"/>
      <c r="N588" s="219"/>
      <c r="O588" s="216" t="s">
        <v>25</v>
      </c>
      <c r="P588" s="221"/>
      <c r="Q588" s="222"/>
      <c r="R588" s="71">
        <v>0</v>
      </c>
      <c r="S588" s="73">
        <v>-0.03</v>
      </c>
      <c r="T588" s="223">
        <v>0</v>
      </c>
      <c r="U588" s="71">
        <f>ERP_34[[#This Row],[LE2 Final Submission]]-ERP_34[[#This Row],[LE3 Final Submission]]</f>
        <v>-0.03</v>
      </c>
      <c r="V588" s="224"/>
      <c r="W588" s="225"/>
      <c r="X588" s="225">
        <v>-0.03</v>
      </c>
      <c r="Y588" s="226">
        <v>0</v>
      </c>
      <c r="Z588" s="226">
        <v>0</v>
      </c>
      <c r="AA588" s="226">
        <v>0</v>
      </c>
      <c r="AB588" s="226">
        <v>0</v>
      </c>
      <c r="AC588" s="226">
        <v>0</v>
      </c>
      <c r="AD588" s="226">
        <v>0</v>
      </c>
      <c r="AE588" s="226">
        <v>0</v>
      </c>
      <c r="AF588" s="226">
        <v>0</v>
      </c>
      <c r="AG588" s="226">
        <v>0</v>
      </c>
      <c r="AH588" s="194">
        <f t="shared" ref="AH588:AH637" si="22">SUM(V588:AG588)</f>
        <v>-0.03</v>
      </c>
      <c r="AI588" s="108">
        <f>ERP_34[[#This Row],[2026 Working Total]]-ERP_34[[#This Row],[2026 LE0]]</f>
        <v>-0.03</v>
      </c>
      <c r="AJ588" s="227"/>
      <c r="AK588" s="227"/>
      <c r="AL58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8" s="80"/>
      <c r="AN588" s="79">
        <f>ERP_34[[#This Row],[2026 Working Total to Budget/LE]]-ERP_34[[#This Row],[Giveback]]</f>
        <v>-0.03</v>
      </c>
      <c r="AO588" s="81"/>
      <c r="AP588" s="81"/>
      <c r="AQ588" s="81"/>
      <c r="AR588" s="81">
        <v>-0.03</v>
      </c>
      <c r="AS588" s="81">
        <v>0</v>
      </c>
      <c r="AT588" s="81">
        <v>0</v>
      </c>
      <c r="AU588" s="81">
        <v>0</v>
      </c>
      <c r="AV588" s="81">
        <v>0</v>
      </c>
      <c r="AW588" s="81">
        <v>0</v>
      </c>
      <c r="AX588" s="81">
        <v>0</v>
      </c>
      <c r="AY588" s="81">
        <v>0</v>
      </c>
      <c r="AZ588" s="81">
        <v>0</v>
      </c>
      <c r="BA588" s="81">
        <v>0</v>
      </c>
      <c r="BB588" s="81">
        <v>-0.03</v>
      </c>
      <c r="BC588" s="227"/>
      <c r="BD588" s="227"/>
      <c r="BE588" s="227">
        <v>-0.03</v>
      </c>
      <c r="BF588" s="227">
        <v>0</v>
      </c>
      <c r="BG588" s="227">
        <v>0</v>
      </c>
      <c r="BH588" s="227">
        <v>0</v>
      </c>
      <c r="BI588" s="227">
        <v>0</v>
      </c>
      <c r="BJ588" s="227">
        <v>0</v>
      </c>
      <c r="BK588" s="227">
        <v>0</v>
      </c>
      <c r="BL588" s="227">
        <v>0</v>
      </c>
      <c r="BM588" s="227">
        <v>0</v>
      </c>
      <c r="BN588" s="227">
        <v>0</v>
      </c>
      <c r="BO588" s="227">
        <v>-0.03</v>
      </c>
    </row>
    <row r="589" spans="1:67">
      <c r="A589" s="215" t="s">
        <v>2819</v>
      </c>
      <c r="B589" s="215" t="str">
        <f>_xlfn.TEXTJOIN("_",,ERP_34[[#This Row],[LT Member -1*]],ERP_34[[#This Row],[Expense Category]],ERP_34[[#This Row],[Project Code*]])</f>
        <v>Robertson, Jerome_SOFTWARE_MISC001</v>
      </c>
      <c r="C589" s="67" t="s">
        <v>1136</v>
      </c>
      <c r="D589" s="216" t="s">
        <v>1650</v>
      </c>
      <c r="E589" s="216" t="s">
        <v>1650</v>
      </c>
      <c r="F589" s="216" t="s">
        <v>1650</v>
      </c>
      <c r="G589" s="217" t="s">
        <v>639</v>
      </c>
      <c r="H589" s="218" t="s">
        <v>1327</v>
      </c>
      <c r="I589" s="219"/>
      <c r="J589" s="219"/>
      <c r="K589" s="219" t="s">
        <v>147</v>
      </c>
      <c r="L589" s="219"/>
      <c r="M589" s="219"/>
      <c r="N589" s="219"/>
      <c r="O589" s="216" t="s">
        <v>25</v>
      </c>
      <c r="P589" s="221"/>
      <c r="Q589" s="222"/>
      <c r="R589" s="71">
        <v>0</v>
      </c>
      <c r="S589" s="73">
        <v>227.23999999999998</v>
      </c>
      <c r="T589" s="223">
        <v>0</v>
      </c>
      <c r="U589" s="71">
        <f>ERP_34[[#This Row],[LE2 Final Submission]]-ERP_34[[#This Row],[LE3 Final Submission]]</f>
        <v>227.23999999999998</v>
      </c>
      <c r="V589" s="224"/>
      <c r="W589" s="225">
        <v>-0.02</v>
      </c>
      <c r="X589" s="225">
        <v>227.26</v>
      </c>
      <c r="Y589" s="226">
        <v>0</v>
      </c>
      <c r="Z589" s="226">
        <v>0</v>
      </c>
      <c r="AA589" s="226">
        <v>0</v>
      </c>
      <c r="AB589" s="226">
        <v>0</v>
      </c>
      <c r="AC589" s="226">
        <v>0</v>
      </c>
      <c r="AD589" s="226">
        <v>0</v>
      </c>
      <c r="AE589" s="226">
        <v>0</v>
      </c>
      <c r="AF589" s="226">
        <v>0</v>
      </c>
      <c r="AG589" s="226">
        <v>0</v>
      </c>
      <c r="AH589" s="194">
        <f t="shared" si="22"/>
        <v>227.23999999999998</v>
      </c>
      <c r="AI589" s="108">
        <f>ERP_34[[#This Row],[2026 Working Total]]-ERP_34[[#This Row],[2026 LE0]]</f>
        <v>227.23999999999998</v>
      </c>
      <c r="AJ589" s="227"/>
      <c r="AK589" s="227"/>
      <c r="AL58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89" s="80"/>
      <c r="AN589" s="79">
        <f>ERP_34[[#This Row],[2026 Working Total to Budget/LE]]-ERP_34[[#This Row],[Giveback]]</f>
        <v>227.23999999999998</v>
      </c>
      <c r="AO589" s="81"/>
      <c r="AP589" s="81"/>
      <c r="AQ589" s="81">
        <v>-0.02</v>
      </c>
      <c r="AR589" s="81">
        <v>227.26</v>
      </c>
      <c r="AS589" s="81">
        <v>0</v>
      </c>
      <c r="AT589" s="81">
        <v>0</v>
      </c>
      <c r="AU589" s="81">
        <v>0</v>
      </c>
      <c r="AV589" s="81">
        <v>0</v>
      </c>
      <c r="AW589" s="81">
        <v>0</v>
      </c>
      <c r="AX589" s="81">
        <v>0</v>
      </c>
      <c r="AY589" s="81">
        <v>0</v>
      </c>
      <c r="AZ589" s="81">
        <v>0</v>
      </c>
      <c r="BA589" s="81">
        <v>0</v>
      </c>
      <c r="BB589" s="81">
        <v>227.23999999999998</v>
      </c>
      <c r="BC589" s="227"/>
      <c r="BD589" s="227">
        <v>-0.02</v>
      </c>
      <c r="BE589" s="227">
        <v>227.26</v>
      </c>
      <c r="BF589" s="227">
        <v>0</v>
      </c>
      <c r="BG589" s="227">
        <v>0</v>
      </c>
      <c r="BH589" s="227">
        <v>0</v>
      </c>
      <c r="BI589" s="227">
        <v>0</v>
      </c>
      <c r="BJ589" s="227">
        <v>0</v>
      </c>
      <c r="BK589" s="227">
        <v>0</v>
      </c>
      <c r="BL589" s="227">
        <v>0</v>
      </c>
      <c r="BM589" s="227">
        <v>0</v>
      </c>
      <c r="BN589" s="227">
        <v>0</v>
      </c>
      <c r="BO589" s="227">
        <v>227.23999999999998</v>
      </c>
    </row>
    <row r="590" spans="1:67">
      <c r="A590" s="215" t="s">
        <v>2174</v>
      </c>
      <c r="B590" s="215" t="str">
        <f>_xlfn.TEXTJOIN("_",,ERP_34[[#This Row],[LT Member -1*]],ERP_34[[#This Row],[Expense Category]],ERP_34[[#This Row],[Project Code*]])</f>
        <v>DeHart, Lynn_OTHER_NondigitalCatering001</v>
      </c>
      <c r="C590" s="67" t="s">
        <v>1136</v>
      </c>
      <c r="D590" s="216" t="s">
        <v>1345</v>
      </c>
      <c r="E590" s="216" t="s">
        <v>1346</v>
      </c>
      <c r="F590" s="216" t="s">
        <v>1346</v>
      </c>
      <c r="G590" s="217" t="s">
        <v>602</v>
      </c>
      <c r="H590" s="218" t="s">
        <v>2176</v>
      </c>
      <c r="I590" s="219"/>
      <c r="J590" s="219"/>
      <c r="K590" s="219" t="s">
        <v>620</v>
      </c>
      <c r="L590" s="219"/>
      <c r="M590" s="219"/>
      <c r="N590" s="219"/>
      <c r="O590" s="216" t="s">
        <v>25</v>
      </c>
      <c r="P590" s="221"/>
      <c r="Q590" s="222"/>
      <c r="R590" s="71">
        <v>0</v>
      </c>
      <c r="S590" s="73">
        <v>614.69000000000005</v>
      </c>
      <c r="T590" s="223">
        <v>0</v>
      </c>
      <c r="U590" s="71">
        <f>ERP_34[[#This Row],[LE2 Final Submission]]-ERP_34[[#This Row],[LE3 Final Submission]]</f>
        <v>614.69000000000005</v>
      </c>
      <c r="V590" s="224"/>
      <c r="W590" s="225">
        <v>260.76</v>
      </c>
      <c r="X590" s="225">
        <v>353.93</v>
      </c>
      <c r="Y590" s="226">
        <v>0</v>
      </c>
      <c r="Z590" s="226">
        <v>0</v>
      </c>
      <c r="AA590" s="226">
        <v>0</v>
      </c>
      <c r="AB590" s="226">
        <v>0</v>
      </c>
      <c r="AC590" s="226">
        <v>0</v>
      </c>
      <c r="AD590" s="226">
        <v>0</v>
      </c>
      <c r="AE590" s="226">
        <v>0</v>
      </c>
      <c r="AF590" s="226">
        <v>0</v>
      </c>
      <c r="AG590" s="226">
        <v>0</v>
      </c>
      <c r="AH590" s="194">
        <f t="shared" si="22"/>
        <v>614.69000000000005</v>
      </c>
      <c r="AI590" s="108">
        <f>ERP_34[[#This Row],[2026 Working Total]]-ERP_34[[#This Row],[2026 LE0]]</f>
        <v>614.69000000000005</v>
      </c>
      <c r="AJ590" s="227"/>
      <c r="AK590" s="227"/>
      <c r="AL590" s="79">
        <f>ERP_34[[#This Row],[AP01]]+ERP_34[[#This Row],[AP02]]+ERP_34[[#This Row],[AP03]]+ERP_34[[#This Row],[AP04]]-ERP_34[[#This Row],[AP01 LE2]]-ERP_34[[#This Row],[AP02 LE2]]-ERP_34[[#This Row],[AP03 LE2]]-ERP_34[[#This Row],[AP04 LE2]]</f>
        <v>5.6843418860808015E-14</v>
      </c>
      <c r="AM590" s="80"/>
      <c r="AN590" s="79">
        <f>ERP_34[[#This Row],[2026 Working Total to Budget/LE]]-ERP_34[[#This Row],[Giveback]]</f>
        <v>614.69000000000005</v>
      </c>
      <c r="AO590" s="81"/>
      <c r="AP590" s="81"/>
      <c r="AQ590" s="81">
        <v>260.76</v>
      </c>
      <c r="AR590" s="81">
        <v>353.93</v>
      </c>
      <c r="AS590" s="81">
        <v>0</v>
      </c>
      <c r="AT590" s="81">
        <v>0</v>
      </c>
      <c r="AU590" s="81">
        <v>0</v>
      </c>
      <c r="AV590" s="81">
        <v>0</v>
      </c>
      <c r="AW590" s="81">
        <v>0</v>
      </c>
      <c r="AX590" s="81">
        <v>0</v>
      </c>
      <c r="AY590" s="81">
        <v>0</v>
      </c>
      <c r="AZ590" s="81">
        <v>0</v>
      </c>
      <c r="BA590" s="81">
        <v>0</v>
      </c>
      <c r="BB590" s="81">
        <v>614.69000000000005</v>
      </c>
      <c r="BC590" s="227"/>
      <c r="BD590" s="227">
        <v>260.76</v>
      </c>
      <c r="BE590" s="227">
        <v>353.93</v>
      </c>
      <c r="BF590" s="227">
        <v>0</v>
      </c>
      <c r="BG590" s="227">
        <v>0</v>
      </c>
      <c r="BH590" s="227">
        <v>0</v>
      </c>
      <c r="BI590" s="227">
        <v>0</v>
      </c>
      <c r="BJ590" s="227">
        <v>0</v>
      </c>
      <c r="BK590" s="227">
        <v>0</v>
      </c>
      <c r="BL590" s="227">
        <v>0</v>
      </c>
      <c r="BM590" s="227">
        <v>0</v>
      </c>
      <c r="BN590" s="227">
        <v>0</v>
      </c>
      <c r="BO590" s="227">
        <v>614.69000000000005</v>
      </c>
    </row>
    <row r="591" spans="1:67">
      <c r="A591" s="215" t="s">
        <v>2177</v>
      </c>
      <c r="B591" s="215" t="str">
        <f>_xlfn.TEXTJOIN("_",,ERP_34[[#This Row],[LT Member -1*]],ERP_34[[#This Row],[Expense Category]],ERP_34[[#This Row],[Project Code*]])</f>
        <v>McGettigan, David_OTHER_NondigitalCatering001</v>
      </c>
      <c r="C591" s="67" t="s">
        <v>1136</v>
      </c>
      <c r="D591" s="216" t="s">
        <v>1567</v>
      </c>
      <c r="E591" s="216" t="s">
        <v>1567</v>
      </c>
      <c r="F591" s="216" t="s">
        <v>1567</v>
      </c>
      <c r="G591" s="217" t="s">
        <v>602</v>
      </c>
      <c r="H591" s="218" t="s">
        <v>2176</v>
      </c>
      <c r="I591" s="219"/>
      <c r="J591" s="219"/>
      <c r="K591" s="219" t="s">
        <v>620</v>
      </c>
      <c r="L591" s="219"/>
      <c r="M591" s="219"/>
      <c r="N591" s="219"/>
      <c r="O591" s="216" t="s">
        <v>25</v>
      </c>
      <c r="P591" s="221"/>
      <c r="Q591" s="222"/>
      <c r="R591" s="71">
        <v>0</v>
      </c>
      <c r="S591" s="73">
        <v>11815.17</v>
      </c>
      <c r="T591" s="223">
        <v>0</v>
      </c>
      <c r="U591" s="71">
        <f>ERP_34[[#This Row],[LE2 Final Submission]]-ERP_34[[#This Row],[LE3 Final Submission]]</f>
        <v>11815.17</v>
      </c>
      <c r="V591" s="224"/>
      <c r="W591" s="225">
        <v>11815.17</v>
      </c>
      <c r="X591" s="247">
        <v>0</v>
      </c>
      <c r="Y591" s="226">
        <v>0</v>
      </c>
      <c r="Z591" s="226">
        <v>0</v>
      </c>
      <c r="AA591" s="226">
        <v>0</v>
      </c>
      <c r="AB591" s="226">
        <v>0</v>
      </c>
      <c r="AC591" s="226">
        <v>0</v>
      </c>
      <c r="AD591" s="226">
        <v>0</v>
      </c>
      <c r="AE591" s="226">
        <v>0</v>
      </c>
      <c r="AF591" s="226">
        <v>0</v>
      </c>
      <c r="AG591" s="226">
        <v>0</v>
      </c>
      <c r="AH591" s="194">
        <f t="shared" si="22"/>
        <v>11815.17</v>
      </c>
      <c r="AI591" s="108">
        <f>ERP_34[[#This Row],[2026 Working Total]]-ERP_34[[#This Row],[2026 LE0]]</f>
        <v>11815.17</v>
      </c>
      <c r="AJ591" s="227"/>
      <c r="AK591" s="227"/>
      <c r="AL59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1" s="80"/>
      <c r="AN591" s="79">
        <f>ERP_34[[#This Row],[2026 Working Total to Budget/LE]]-ERP_34[[#This Row],[Giveback]]</f>
        <v>11815.17</v>
      </c>
      <c r="AO591" s="81"/>
      <c r="AP591" s="81"/>
      <c r="AQ591" s="81">
        <v>11815.17</v>
      </c>
      <c r="AR591" s="81">
        <v>0</v>
      </c>
      <c r="AS591" s="81">
        <v>0</v>
      </c>
      <c r="AT591" s="81">
        <v>0</v>
      </c>
      <c r="AU591" s="81">
        <v>0</v>
      </c>
      <c r="AV591" s="81">
        <v>0</v>
      </c>
      <c r="AW591" s="81">
        <v>0</v>
      </c>
      <c r="AX591" s="81">
        <v>0</v>
      </c>
      <c r="AY591" s="81">
        <v>0</v>
      </c>
      <c r="AZ591" s="81">
        <v>0</v>
      </c>
      <c r="BA591" s="81">
        <v>0</v>
      </c>
      <c r="BB591" s="81">
        <v>11815.17</v>
      </c>
      <c r="BC591" s="227"/>
      <c r="BD591" s="227">
        <v>11815.17</v>
      </c>
      <c r="BE591" s="227">
        <v>0</v>
      </c>
      <c r="BF591" s="227">
        <v>0</v>
      </c>
      <c r="BG591" s="227">
        <v>0</v>
      </c>
      <c r="BH591" s="227">
        <v>0</v>
      </c>
      <c r="BI591" s="227">
        <v>0</v>
      </c>
      <c r="BJ591" s="227">
        <v>0</v>
      </c>
      <c r="BK591" s="227">
        <v>0</v>
      </c>
      <c r="BL591" s="227">
        <v>0</v>
      </c>
      <c r="BM591" s="227">
        <v>0</v>
      </c>
      <c r="BN591" s="227">
        <v>0</v>
      </c>
      <c r="BO591" s="227">
        <v>11815.17</v>
      </c>
    </row>
    <row r="592" spans="1:67">
      <c r="A592" s="215" t="s">
        <v>2134</v>
      </c>
      <c r="B592" s="215" t="str">
        <f>_xlfn.TEXTJOIN("_",,ERP_34[[#This Row],[LT Member -1*]],ERP_34[[#This Row],[Expense Category]],ERP_34[[#This Row],[Project Code*]])</f>
        <v>McGettigan, David_MANAGED SERVICES_OnetimeCredit002</v>
      </c>
      <c r="C592" s="67" t="s">
        <v>1136</v>
      </c>
      <c r="D592" s="216" t="s">
        <v>1567</v>
      </c>
      <c r="E592" s="216" t="s">
        <v>1567</v>
      </c>
      <c r="F592" s="216" t="s">
        <v>1567</v>
      </c>
      <c r="G592" s="217" t="s">
        <v>389</v>
      </c>
      <c r="H592" s="218" t="s">
        <v>2136</v>
      </c>
      <c r="I592" s="219"/>
      <c r="J592" s="219"/>
      <c r="K592" s="219" t="s">
        <v>590</v>
      </c>
      <c r="L592" s="219"/>
      <c r="M592" s="219"/>
      <c r="N592" s="219"/>
      <c r="O592" s="216" t="s">
        <v>44</v>
      </c>
      <c r="P592" s="221"/>
      <c r="Q592" s="222"/>
      <c r="R592" s="71">
        <v>-338500</v>
      </c>
      <c r="S592" s="73">
        <v>-435500</v>
      </c>
      <c r="T592" s="223">
        <v>-338500</v>
      </c>
      <c r="U592" s="71">
        <f>ERP_34[[#This Row],[LE2 Final Submission]]-ERP_34[[#This Row],[LE3 Final Submission]]</f>
        <v>-97000</v>
      </c>
      <c r="V592" s="224"/>
      <c r="W592" s="225"/>
      <c r="X592" s="225"/>
      <c r="Y592" s="228"/>
      <c r="Z592" s="228"/>
      <c r="AA592" s="228">
        <v>-135400</v>
      </c>
      <c r="AB592" s="226">
        <v>0</v>
      </c>
      <c r="AC592" s="226">
        <v>0</v>
      </c>
      <c r="AD592" s="228">
        <v>-203100</v>
      </c>
      <c r="AE592" s="226">
        <v>0</v>
      </c>
      <c r="AF592" s="226">
        <v>0</v>
      </c>
      <c r="AG592" s="228">
        <v>-97000</v>
      </c>
      <c r="AH592" s="194">
        <f t="shared" si="22"/>
        <v>-435500</v>
      </c>
      <c r="AI592" s="108">
        <f>ERP_34[[#This Row],[2026 Working Total]]-ERP_34[[#This Row],[2026 LE0]]</f>
        <v>-97000</v>
      </c>
      <c r="AJ592" s="227"/>
      <c r="AK592" s="227"/>
      <c r="AL59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2" s="80"/>
      <c r="AN592" s="79">
        <f>ERP_34[[#This Row],[2026 Working Total to Budget/LE]]-ERP_34[[#This Row],[Giveback]]</f>
        <v>-97000</v>
      </c>
      <c r="AO592" s="81"/>
      <c r="AP592" s="81"/>
      <c r="AQ592" s="81"/>
      <c r="AR592" s="81"/>
      <c r="AS592" s="81"/>
      <c r="AT592" s="81"/>
      <c r="AU592" s="81">
        <v>-135400</v>
      </c>
      <c r="AV592" s="81">
        <v>0</v>
      </c>
      <c r="AW592" s="81">
        <v>0</v>
      </c>
      <c r="AX592" s="81">
        <v>-203100</v>
      </c>
      <c r="AY592" s="81">
        <v>0</v>
      </c>
      <c r="AZ592" s="81">
        <v>0</v>
      </c>
      <c r="BA592" s="81">
        <v>-97000</v>
      </c>
      <c r="BB592" s="81">
        <v>-435500</v>
      </c>
      <c r="BC592" s="227"/>
      <c r="BD592" s="227"/>
      <c r="BE592" s="227"/>
      <c r="BF592" s="227"/>
      <c r="BG592" s="227"/>
      <c r="BH592" s="227">
        <v>-135400</v>
      </c>
      <c r="BI592" s="227">
        <v>0</v>
      </c>
      <c r="BJ592" s="227">
        <v>0</v>
      </c>
      <c r="BK592" s="227">
        <v>-203100</v>
      </c>
      <c r="BL592" s="227">
        <v>0</v>
      </c>
      <c r="BM592" s="227">
        <v>0</v>
      </c>
      <c r="BN592" s="227">
        <v>-97000</v>
      </c>
      <c r="BO592" s="227">
        <v>-435500</v>
      </c>
    </row>
    <row r="593" spans="1:67">
      <c r="A593" s="215" t="s">
        <v>2155</v>
      </c>
      <c r="B593" s="215" t="str">
        <f>_xlfn.TEXTJOIN("_",,ERP_34[[#This Row],[LT Member -1*]],ERP_34[[#This Row],[Expense Category]],ERP_34[[#This Row],[Project Code*]])</f>
        <v>Dougherty, Chris_OTHER_Others001</v>
      </c>
      <c r="C593" s="67" t="s">
        <v>1136</v>
      </c>
      <c r="D593" s="216" t="s">
        <v>1135</v>
      </c>
      <c r="E593" s="216" t="s">
        <v>1135</v>
      </c>
      <c r="F593" s="216" t="s">
        <v>1137</v>
      </c>
      <c r="G593" s="217" t="s">
        <v>602</v>
      </c>
      <c r="H593" s="218" t="s">
        <v>611</v>
      </c>
      <c r="I593" s="219"/>
      <c r="J593" s="219"/>
      <c r="K593" s="219" t="s">
        <v>610</v>
      </c>
      <c r="L593" s="219"/>
      <c r="M593" s="219"/>
      <c r="N593" s="219"/>
      <c r="O593" s="216" t="s">
        <v>611</v>
      </c>
      <c r="P593" s="221"/>
      <c r="Q593" s="222"/>
      <c r="R593" s="71">
        <v>0</v>
      </c>
      <c r="S593" s="73">
        <v>69</v>
      </c>
      <c r="T593" s="223">
        <v>0</v>
      </c>
      <c r="U593" s="71">
        <f>ERP_34[[#This Row],[LE2 Final Submission]]-ERP_34[[#This Row],[LE3 Final Submission]]</f>
        <v>69</v>
      </c>
      <c r="V593" s="224">
        <v>-0.08</v>
      </c>
      <c r="W593" s="225">
        <v>69.08</v>
      </c>
      <c r="X593" s="247">
        <v>0</v>
      </c>
      <c r="Y593" s="226">
        <v>0</v>
      </c>
      <c r="Z593" s="226">
        <v>0</v>
      </c>
      <c r="AA593" s="226">
        <v>0</v>
      </c>
      <c r="AB593" s="226">
        <v>0</v>
      </c>
      <c r="AC593" s="226">
        <v>0</v>
      </c>
      <c r="AD593" s="226">
        <v>0</v>
      </c>
      <c r="AE593" s="226">
        <v>0</v>
      </c>
      <c r="AF593" s="226">
        <v>0</v>
      </c>
      <c r="AG593" s="226">
        <v>0</v>
      </c>
      <c r="AH593" s="194">
        <f t="shared" si="22"/>
        <v>69</v>
      </c>
      <c r="AI593" s="108">
        <f>ERP_34[[#This Row],[2026 Working Total]]-ERP_34[[#This Row],[2026 LE0]]</f>
        <v>69</v>
      </c>
      <c r="AJ593" s="227"/>
      <c r="AK593" s="227"/>
      <c r="AL59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3" s="80"/>
      <c r="AN593" s="79">
        <f>ERP_34[[#This Row],[2026 Working Total to Budget/LE]]-ERP_34[[#This Row],[Giveback]]</f>
        <v>69</v>
      </c>
      <c r="AO593" s="81"/>
      <c r="AP593" s="81">
        <v>-0.08</v>
      </c>
      <c r="AQ593" s="81">
        <v>69.08</v>
      </c>
      <c r="AR593" s="81">
        <v>0</v>
      </c>
      <c r="AS593" s="81">
        <v>0</v>
      </c>
      <c r="AT593" s="81">
        <v>0</v>
      </c>
      <c r="AU593" s="81">
        <v>0</v>
      </c>
      <c r="AV593" s="81">
        <v>0</v>
      </c>
      <c r="AW593" s="81">
        <v>0</v>
      </c>
      <c r="AX593" s="81">
        <v>0</v>
      </c>
      <c r="AY593" s="81">
        <v>0</v>
      </c>
      <c r="AZ593" s="81">
        <v>0</v>
      </c>
      <c r="BA593" s="81">
        <v>0</v>
      </c>
      <c r="BB593" s="81">
        <v>69</v>
      </c>
      <c r="BC593" s="227">
        <v>-0.08</v>
      </c>
      <c r="BD593" s="227">
        <v>69.08</v>
      </c>
      <c r="BE593" s="227">
        <v>0</v>
      </c>
      <c r="BF593" s="227">
        <v>0</v>
      </c>
      <c r="BG593" s="227">
        <v>0</v>
      </c>
      <c r="BH593" s="227">
        <v>0</v>
      </c>
      <c r="BI593" s="227">
        <v>0</v>
      </c>
      <c r="BJ593" s="227">
        <v>0</v>
      </c>
      <c r="BK593" s="227">
        <v>0</v>
      </c>
      <c r="BL593" s="227">
        <v>0</v>
      </c>
      <c r="BM593" s="227">
        <v>0</v>
      </c>
      <c r="BN593" s="227">
        <v>0</v>
      </c>
      <c r="BO593" s="227">
        <v>69</v>
      </c>
    </row>
    <row r="594" spans="1:67">
      <c r="A594" s="215" t="s">
        <v>2156</v>
      </c>
      <c r="B594" s="215" t="str">
        <f>_xlfn.TEXTJOIN("_",,ERP_34[[#This Row],[LT Member -1*]],ERP_34[[#This Row],[Expense Category]],ERP_34[[#This Row],[Project Code*]])</f>
        <v>Maguire, Karla_OTHER_Others001</v>
      </c>
      <c r="C594" s="67" t="s">
        <v>1136</v>
      </c>
      <c r="D594" s="216" t="s">
        <v>1135</v>
      </c>
      <c r="E594" s="216" t="s">
        <v>1137</v>
      </c>
      <c r="F594" s="216" t="s">
        <v>1137</v>
      </c>
      <c r="G594" s="217" t="s">
        <v>602</v>
      </c>
      <c r="H594" s="218" t="s">
        <v>611</v>
      </c>
      <c r="I594" s="219"/>
      <c r="J594" s="219"/>
      <c r="K594" s="219" t="s">
        <v>610</v>
      </c>
      <c r="L594" s="219"/>
      <c r="M594" s="219"/>
      <c r="N594" s="219"/>
      <c r="O594" s="216" t="s">
        <v>611</v>
      </c>
      <c r="P594" s="221"/>
      <c r="Q594" s="222"/>
      <c r="R594" s="71">
        <v>0</v>
      </c>
      <c r="S594" s="73">
        <v>9271.2199999999993</v>
      </c>
      <c r="T594" s="223">
        <v>0</v>
      </c>
      <c r="U594" s="71">
        <f>ERP_34[[#This Row],[LE2 Final Submission]]-ERP_34[[#This Row],[LE3 Final Submission]]</f>
        <v>9271.2199999999993</v>
      </c>
      <c r="V594" s="224">
        <v>497.32</v>
      </c>
      <c r="W594" s="225">
        <v>7672.35</v>
      </c>
      <c r="X594" s="225">
        <v>1101.55</v>
      </c>
      <c r="Y594" s="226">
        <v>0</v>
      </c>
      <c r="Z594" s="226">
        <v>0</v>
      </c>
      <c r="AA594" s="226">
        <v>0</v>
      </c>
      <c r="AB594" s="226">
        <v>0</v>
      </c>
      <c r="AC594" s="226">
        <v>0</v>
      </c>
      <c r="AD594" s="226">
        <v>0</v>
      </c>
      <c r="AE594" s="226">
        <v>0</v>
      </c>
      <c r="AF594" s="226">
        <v>0</v>
      </c>
      <c r="AG594" s="226">
        <v>0</v>
      </c>
      <c r="AH594" s="194">
        <f t="shared" si="22"/>
        <v>9271.2199999999993</v>
      </c>
      <c r="AI594" s="108">
        <f>ERP_34[[#This Row],[2026 Working Total]]-ERP_34[[#This Row],[2026 LE0]]</f>
        <v>9271.2199999999993</v>
      </c>
      <c r="AJ594" s="227"/>
      <c r="AK594" s="227"/>
      <c r="AL594" s="79">
        <f>ERP_34[[#This Row],[AP01]]+ERP_34[[#This Row],[AP02]]+ERP_34[[#This Row],[AP03]]+ERP_34[[#This Row],[AP04]]-ERP_34[[#This Row],[AP01 LE2]]-ERP_34[[#This Row],[AP02 LE2]]-ERP_34[[#This Row],[AP03 LE2]]-ERP_34[[#This Row],[AP04 LE2]]</f>
        <v>-6.8212102632969618E-13</v>
      </c>
      <c r="AM594" s="80"/>
      <c r="AN594" s="79">
        <f>ERP_34[[#This Row],[2026 Working Total to Budget/LE]]-ERP_34[[#This Row],[Giveback]]</f>
        <v>9271.2199999999993</v>
      </c>
      <c r="AO594" s="81"/>
      <c r="AP594" s="81">
        <v>497.32</v>
      </c>
      <c r="AQ594" s="81">
        <v>7672.35</v>
      </c>
      <c r="AR594" s="81">
        <v>1101.55</v>
      </c>
      <c r="AS594" s="81">
        <v>0</v>
      </c>
      <c r="AT594" s="81">
        <v>0</v>
      </c>
      <c r="AU594" s="81">
        <v>0</v>
      </c>
      <c r="AV594" s="81">
        <v>0</v>
      </c>
      <c r="AW594" s="81">
        <v>0</v>
      </c>
      <c r="AX594" s="81">
        <v>0</v>
      </c>
      <c r="AY594" s="81">
        <v>0</v>
      </c>
      <c r="AZ594" s="81">
        <v>0</v>
      </c>
      <c r="BA594" s="81">
        <v>0</v>
      </c>
      <c r="BB594" s="81">
        <v>9271.2199999999993</v>
      </c>
      <c r="BC594" s="227">
        <v>497.32</v>
      </c>
      <c r="BD594" s="227">
        <v>7672.35</v>
      </c>
      <c r="BE594" s="227">
        <v>1101.55</v>
      </c>
      <c r="BF594" s="227">
        <v>0</v>
      </c>
      <c r="BG594" s="227">
        <v>0</v>
      </c>
      <c r="BH594" s="227">
        <v>0</v>
      </c>
      <c r="BI594" s="227">
        <v>0</v>
      </c>
      <c r="BJ594" s="227">
        <v>0</v>
      </c>
      <c r="BK594" s="227">
        <v>0</v>
      </c>
      <c r="BL594" s="227">
        <v>0</v>
      </c>
      <c r="BM594" s="227">
        <v>0</v>
      </c>
      <c r="BN594" s="227">
        <v>0</v>
      </c>
      <c r="BO594" s="227">
        <v>9271.2199999999993</v>
      </c>
    </row>
    <row r="595" spans="1:67">
      <c r="A595" s="215" t="s">
        <v>2180</v>
      </c>
      <c r="B595" s="215" t="str">
        <f>_xlfn.TEXTJOIN("_",,ERP_34[[#This Row],[LT Member -1*]],ERP_34[[#This Row],[Expense Category]],ERP_34[[#This Row],[Project Code*]])</f>
        <v>DeHart, Lynn_OTHER_Others001</v>
      </c>
      <c r="C595" s="67" t="s">
        <v>1136</v>
      </c>
      <c r="D595" s="216" t="s">
        <v>1345</v>
      </c>
      <c r="E595" s="216" t="s">
        <v>1346</v>
      </c>
      <c r="F595" s="216" t="s">
        <v>1346</v>
      </c>
      <c r="G595" s="217" t="s">
        <v>602</v>
      </c>
      <c r="H595" s="218" t="s">
        <v>611</v>
      </c>
      <c r="I595" s="219"/>
      <c r="J595" s="219"/>
      <c r="K595" s="219" t="s">
        <v>610</v>
      </c>
      <c r="L595" s="219"/>
      <c r="M595" s="219"/>
      <c r="N595" s="219"/>
      <c r="O595" s="216" t="s">
        <v>611</v>
      </c>
      <c r="P595" s="221"/>
      <c r="Q595" s="222"/>
      <c r="R595" s="71">
        <v>0</v>
      </c>
      <c r="S595" s="73">
        <v>9893.24</v>
      </c>
      <c r="T595" s="223">
        <v>0</v>
      </c>
      <c r="U595" s="71">
        <f>ERP_34[[#This Row],[LE2 Final Submission]]-ERP_34[[#This Row],[LE3 Final Submission]]</f>
        <v>9893.24</v>
      </c>
      <c r="V595" s="224">
        <v>478.59</v>
      </c>
      <c r="W595" s="225">
        <v>9120.75</v>
      </c>
      <c r="X595" s="225">
        <v>293.89999999999998</v>
      </c>
      <c r="Y595" s="226">
        <v>0</v>
      </c>
      <c r="Z595" s="226">
        <v>0</v>
      </c>
      <c r="AA595" s="226">
        <v>0</v>
      </c>
      <c r="AB595" s="226">
        <v>0</v>
      </c>
      <c r="AC595" s="226">
        <v>0</v>
      </c>
      <c r="AD595" s="226">
        <v>0</v>
      </c>
      <c r="AE595" s="226">
        <v>0</v>
      </c>
      <c r="AF595" s="226">
        <v>0</v>
      </c>
      <c r="AG595" s="226">
        <v>0</v>
      </c>
      <c r="AH595" s="194">
        <f t="shared" si="22"/>
        <v>9893.24</v>
      </c>
      <c r="AI595" s="108">
        <f>ERP_34[[#This Row],[2026 Working Total]]-ERP_34[[#This Row],[2026 LE0]]</f>
        <v>9893.24</v>
      </c>
      <c r="AJ595" s="227"/>
      <c r="AK595" s="227"/>
      <c r="AL595" s="79">
        <f>ERP_34[[#This Row],[AP01]]+ERP_34[[#This Row],[AP02]]+ERP_34[[#This Row],[AP03]]+ERP_34[[#This Row],[AP04]]-ERP_34[[#This Row],[AP01 LE2]]-ERP_34[[#This Row],[AP02 LE2]]-ERP_34[[#This Row],[AP03 LE2]]-ERP_34[[#This Row],[AP04 LE2]]</f>
        <v>-3.4106051316484809E-13</v>
      </c>
      <c r="AM595" s="80"/>
      <c r="AN595" s="79">
        <f>ERP_34[[#This Row],[2026 Working Total to Budget/LE]]-ERP_34[[#This Row],[Giveback]]</f>
        <v>9893.24</v>
      </c>
      <c r="AO595" s="81"/>
      <c r="AP595" s="81">
        <v>478.59</v>
      </c>
      <c r="AQ595" s="81">
        <v>9120.75</v>
      </c>
      <c r="AR595" s="81">
        <v>293.89999999999998</v>
      </c>
      <c r="AS595" s="81">
        <v>0</v>
      </c>
      <c r="AT595" s="81">
        <v>0</v>
      </c>
      <c r="AU595" s="81">
        <v>0</v>
      </c>
      <c r="AV595" s="81">
        <v>0</v>
      </c>
      <c r="AW595" s="81">
        <v>0</v>
      </c>
      <c r="AX595" s="81">
        <v>0</v>
      </c>
      <c r="AY595" s="81">
        <v>0</v>
      </c>
      <c r="AZ595" s="81">
        <v>0</v>
      </c>
      <c r="BA595" s="81">
        <v>0</v>
      </c>
      <c r="BB595" s="81">
        <v>9893.24</v>
      </c>
      <c r="BC595" s="227">
        <v>478.59</v>
      </c>
      <c r="BD595" s="227">
        <v>9120.75</v>
      </c>
      <c r="BE595" s="227">
        <v>293.89999999999998</v>
      </c>
      <c r="BF595" s="227">
        <v>0</v>
      </c>
      <c r="BG595" s="227">
        <v>0</v>
      </c>
      <c r="BH595" s="227">
        <v>0</v>
      </c>
      <c r="BI595" s="227">
        <v>0</v>
      </c>
      <c r="BJ595" s="227">
        <v>0</v>
      </c>
      <c r="BK595" s="227">
        <v>0</v>
      </c>
      <c r="BL595" s="227">
        <v>0</v>
      </c>
      <c r="BM595" s="227">
        <v>0</v>
      </c>
      <c r="BN595" s="227">
        <v>0</v>
      </c>
      <c r="BO595" s="227">
        <v>9893.24</v>
      </c>
    </row>
    <row r="596" spans="1:67">
      <c r="A596" s="215" t="s">
        <v>2161</v>
      </c>
      <c r="B596" s="215" t="str">
        <f>_xlfn.TEXTJOIN("_",,ERP_34[[#This Row],[LT Member -1*]],ERP_34[[#This Row],[Expense Category]],ERP_34[[#This Row],[Project Code*]])</f>
        <v>Ganesan, Srinivasan_OTHER_Others001</v>
      </c>
      <c r="C596" s="67" t="s">
        <v>1136</v>
      </c>
      <c r="D596" s="216" t="s">
        <v>1345</v>
      </c>
      <c r="E596" s="216" t="s">
        <v>1344</v>
      </c>
      <c r="F596" s="216" t="s">
        <v>1346</v>
      </c>
      <c r="G596" s="217" t="s">
        <v>602</v>
      </c>
      <c r="H596" s="218" t="s">
        <v>611</v>
      </c>
      <c r="I596" s="219"/>
      <c r="J596" s="219"/>
      <c r="K596" s="219" t="s">
        <v>610</v>
      </c>
      <c r="L596" s="219"/>
      <c r="M596" s="219"/>
      <c r="N596" s="219"/>
      <c r="O596" s="216" t="s">
        <v>611</v>
      </c>
      <c r="P596" s="221"/>
      <c r="Q596" s="222"/>
      <c r="R596" s="71">
        <v>0</v>
      </c>
      <c r="S596" s="73">
        <v>85.04</v>
      </c>
      <c r="T596" s="223">
        <v>0</v>
      </c>
      <c r="U596" s="71">
        <f>ERP_34[[#This Row],[LE2 Final Submission]]-ERP_34[[#This Row],[LE3 Final Submission]]</f>
        <v>85.04</v>
      </c>
      <c r="V596" s="224">
        <v>38.450000000000003</v>
      </c>
      <c r="W596" s="247">
        <v>0</v>
      </c>
      <c r="X596" s="225">
        <v>46.59</v>
      </c>
      <c r="Y596" s="226">
        <v>0</v>
      </c>
      <c r="Z596" s="226">
        <v>0</v>
      </c>
      <c r="AA596" s="226">
        <v>0</v>
      </c>
      <c r="AB596" s="226">
        <v>0</v>
      </c>
      <c r="AC596" s="226">
        <v>0</v>
      </c>
      <c r="AD596" s="226">
        <v>0</v>
      </c>
      <c r="AE596" s="226">
        <v>0</v>
      </c>
      <c r="AF596" s="226">
        <v>0</v>
      </c>
      <c r="AG596" s="226">
        <v>0</v>
      </c>
      <c r="AH596" s="194">
        <f t="shared" si="22"/>
        <v>85.04</v>
      </c>
      <c r="AI596" s="108">
        <f>ERP_34[[#This Row],[2026 Working Total]]-ERP_34[[#This Row],[2026 LE0]]</f>
        <v>85.04</v>
      </c>
      <c r="AJ596" s="227"/>
      <c r="AK596" s="227"/>
      <c r="AL59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6" s="80"/>
      <c r="AN596" s="79">
        <f>ERP_34[[#This Row],[2026 Working Total to Budget/LE]]-ERP_34[[#This Row],[Giveback]]</f>
        <v>85.04</v>
      </c>
      <c r="AO596" s="81"/>
      <c r="AP596" s="81">
        <v>38.450000000000003</v>
      </c>
      <c r="AQ596" s="81">
        <v>0</v>
      </c>
      <c r="AR596" s="81">
        <v>46.59</v>
      </c>
      <c r="AS596" s="81">
        <v>0</v>
      </c>
      <c r="AT596" s="81">
        <v>0</v>
      </c>
      <c r="AU596" s="81">
        <v>0</v>
      </c>
      <c r="AV596" s="81">
        <v>0</v>
      </c>
      <c r="AW596" s="81">
        <v>0</v>
      </c>
      <c r="AX596" s="81">
        <v>0</v>
      </c>
      <c r="AY596" s="81">
        <v>0</v>
      </c>
      <c r="AZ596" s="81">
        <v>0</v>
      </c>
      <c r="BA596" s="81">
        <v>0</v>
      </c>
      <c r="BB596" s="81">
        <v>85.04</v>
      </c>
      <c r="BC596" s="227">
        <v>38.450000000000003</v>
      </c>
      <c r="BD596" s="227">
        <v>0</v>
      </c>
      <c r="BE596" s="227">
        <v>46.59</v>
      </c>
      <c r="BF596" s="227">
        <v>0</v>
      </c>
      <c r="BG596" s="227">
        <v>0</v>
      </c>
      <c r="BH596" s="227">
        <v>0</v>
      </c>
      <c r="BI596" s="227">
        <v>0</v>
      </c>
      <c r="BJ596" s="227">
        <v>0</v>
      </c>
      <c r="BK596" s="227">
        <v>0</v>
      </c>
      <c r="BL596" s="227">
        <v>0</v>
      </c>
      <c r="BM596" s="227">
        <v>0</v>
      </c>
      <c r="BN596" s="227">
        <v>0</v>
      </c>
      <c r="BO596" s="227">
        <v>85.04</v>
      </c>
    </row>
    <row r="597" spans="1:67">
      <c r="A597" s="215" t="s">
        <v>2162</v>
      </c>
      <c r="B597" s="215" t="str">
        <f>_xlfn.TEXTJOIN("_",,ERP_34[[#This Row],[LT Member -1*]],ERP_34[[#This Row],[Expense Category]],ERP_34[[#This Row],[Project Code*]])</f>
        <v>Hase, Raj_OTHER_Others001</v>
      </c>
      <c r="C597" s="67" t="s">
        <v>1136</v>
      </c>
      <c r="D597" s="216" t="s">
        <v>1345</v>
      </c>
      <c r="E597" s="216" t="s">
        <v>1345</v>
      </c>
      <c r="F597" s="216" t="s">
        <v>1346</v>
      </c>
      <c r="G597" s="217" t="s">
        <v>602</v>
      </c>
      <c r="H597" s="218" t="s">
        <v>611</v>
      </c>
      <c r="I597" s="219"/>
      <c r="J597" s="219"/>
      <c r="K597" s="219" t="s">
        <v>610</v>
      </c>
      <c r="L597" s="219"/>
      <c r="M597" s="219"/>
      <c r="N597" s="219"/>
      <c r="O597" s="216" t="s">
        <v>611</v>
      </c>
      <c r="P597" s="221"/>
      <c r="Q597" s="222"/>
      <c r="R597" s="71">
        <v>0</v>
      </c>
      <c r="S597" s="73">
        <v>57</v>
      </c>
      <c r="T597" s="223">
        <v>0</v>
      </c>
      <c r="U597" s="71">
        <f>ERP_34[[#This Row],[LE2 Final Submission]]-ERP_34[[#This Row],[LE3 Final Submission]]</f>
        <v>57</v>
      </c>
      <c r="V597" s="224">
        <v>57</v>
      </c>
      <c r="W597" s="247">
        <v>0</v>
      </c>
      <c r="X597" s="247">
        <v>0</v>
      </c>
      <c r="Y597" s="226">
        <v>0</v>
      </c>
      <c r="Z597" s="226">
        <v>0</v>
      </c>
      <c r="AA597" s="226">
        <v>0</v>
      </c>
      <c r="AB597" s="226">
        <v>0</v>
      </c>
      <c r="AC597" s="226">
        <v>0</v>
      </c>
      <c r="AD597" s="226">
        <v>0</v>
      </c>
      <c r="AE597" s="226">
        <v>0</v>
      </c>
      <c r="AF597" s="226">
        <v>0</v>
      </c>
      <c r="AG597" s="226">
        <v>0</v>
      </c>
      <c r="AH597" s="194">
        <f t="shared" si="22"/>
        <v>57</v>
      </c>
      <c r="AI597" s="108">
        <f>ERP_34[[#This Row],[2026 Working Total]]-ERP_34[[#This Row],[2026 LE0]]</f>
        <v>57</v>
      </c>
      <c r="AJ597" s="227"/>
      <c r="AK597" s="227"/>
      <c r="AL59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7" s="80"/>
      <c r="AN597" s="79">
        <f>ERP_34[[#This Row],[2026 Working Total to Budget/LE]]-ERP_34[[#This Row],[Giveback]]</f>
        <v>57</v>
      </c>
      <c r="AO597" s="81"/>
      <c r="AP597" s="81">
        <v>57</v>
      </c>
      <c r="AQ597" s="81">
        <v>0</v>
      </c>
      <c r="AR597" s="81">
        <v>0</v>
      </c>
      <c r="AS597" s="81">
        <v>0</v>
      </c>
      <c r="AT597" s="81">
        <v>0</v>
      </c>
      <c r="AU597" s="81">
        <v>0</v>
      </c>
      <c r="AV597" s="81">
        <v>0</v>
      </c>
      <c r="AW597" s="81">
        <v>0</v>
      </c>
      <c r="AX597" s="81">
        <v>0</v>
      </c>
      <c r="AY597" s="81">
        <v>0</v>
      </c>
      <c r="AZ597" s="81">
        <v>0</v>
      </c>
      <c r="BA597" s="81">
        <v>0</v>
      </c>
      <c r="BB597" s="81">
        <v>57</v>
      </c>
      <c r="BC597" s="227">
        <v>57</v>
      </c>
      <c r="BD597" s="227">
        <v>0</v>
      </c>
      <c r="BE597" s="227">
        <v>0</v>
      </c>
      <c r="BF597" s="227">
        <v>0</v>
      </c>
      <c r="BG597" s="227">
        <v>0</v>
      </c>
      <c r="BH597" s="227">
        <v>0</v>
      </c>
      <c r="BI597" s="227">
        <v>0</v>
      </c>
      <c r="BJ597" s="227">
        <v>0</v>
      </c>
      <c r="BK597" s="227">
        <v>0</v>
      </c>
      <c r="BL597" s="227">
        <v>0</v>
      </c>
      <c r="BM597" s="227">
        <v>0</v>
      </c>
      <c r="BN597" s="227">
        <v>0</v>
      </c>
      <c r="BO597" s="227">
        <v>57</v>
      </c>
    </row>
    <row r="598" spans="1:67">
      <c r="A598" s="215" t="s">
        <v>2169</v>
      </c>
      <c r="B598" s="215" t="str">
        <f>_xlfn.TEXTJOIN("_",,ERP_34[[#This Row],[LT Member -1*]],ERP_34[[#This Row],[Expense Category]],ERP_34[[#This Row],[Project Code*]])</f>
        <v>Jajodia, Amit_OTHER_Others001</v>
      </c>
      <c r="C598" s="67" t="s">
        <v>1136</v>
      </c>
      <c r="D598" s="216" t="s">
        <v>1345</v>
      </c>
      <c r="E598" s="216" t="s">
        <v>1515</v>
      </c>
      <c r="F598" s="216" t="s">
        <v>1346</v>
      </c>
      <c r="G598" s="217" t="s">
        <v>602</v>
      </c>
      <c r="H598" s="218" t="s">
        <v>611</v>
      </c>
      <c r="I598" s="219"/>
      <c r="J598" s="219"/>
      <c r="K598" s="219" t="s">
        <v>610</v>
      </c>
      <c r="L598" s="219"/>
      <c r="M598" s="219"/>
      <c r="N598" s="219"/>
      <c r="O598" s="216" t="s">
        <v>611</v>
      </c>
      <c r="P598" s="221"/>
      <c r="Q598" s="222"/>
      <c r="R598" s="71">
        <v>0</v>
      </c>
      <c r="S598" s="73">
        <v>414.36</v>
      </c>
      <c r="T598" s="223">
        <v>0</v>
      </c>
      <c r="U598" s="71">
        <f>ERP_34[[#This Row],[LE2 Final Submission]]-ERP_34[[#This Row],[LE3 Final Submission]]</f>
        <v>414.36</v>
      </c>
      <c r="V598" s="224"/>
      <c r="W598" s="225"/>
      <c r="X598" s="225">
        <v>414.36</v>
      </c>
      <c r="Y598" s="226">
        <v>0</v>
      </c>
      <c r="Z598" s="226">
        <v>0</v>
      </c>
      <c r="AA598" s="226">
        <v>0</v>
      </c>
      <c r="AB598" s="226">
        <v>0</v>
      </c>
      <c r="AC598" s="226">
        <v>0</v>
      </c>
      <c r="AD598" s="226">
        <v>0</v>
      </c>
      <c r="AE598" s="226">
        <v>0</v>
      </c>
      <c r="AF598" s="226">
        <v>0</v>
      </c>
      <c r="AG598" s="226">
        <v>0</v>
      </c>
      <c r="AH598" s="194">
        <f t="shared" si="22"/>
        <v>414.36</v>
      </c>
      <c r="AI598" s="108">
        <f>ERP_34[[#This Row],[2026 Working Total]]-ERP_34[[#This Row],[2026 LE0]]</f>
        <v>414.36</v>
      </c>
      <c r="AJ598" s="227"/>
      <c r="AK598" s="227"/>
      <c r="AL59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598" s="80"/>
      <c r="AN598" s="79">
        <f>ERP_34[[#This Row],[2026 Working Total to Budget/LE]]-ERP_34[[#This Row],[Giveback]]</f>
        <v>414.36</v>
      </c>
      <c r="AO598" s="81"/>
      <c r="AP598" s="81"/>
      <c r="AQ598" s="81"/>
      <c r="AR598" s="81">
        <v>414.36</v>
      </c>
      <c r="AS598" s="81">
        <v>0</v>
      </c>
      <c r="AT598" s="81">
        <v>0</v>
      </c>
      <c r="AU598" s="81">
        <v>0</v>
      </c>
      <c r="AV598" s="81">
        <v>0</v>
      </c>
      <c r="AW598" s="81">
        <v>0</v>
      </c>
      <c r="AX598" s="81">
        <v>0</v>
      </c>
      <c r="AY598" s="81">
        <v>0</v>
      </c>
      <c r="AZ598" s="81">
        <v>0</v>
      </c>
      <c r="BA598" s="81">
        <v>0</v>
      </c>
      <c r="BB598" s="81">
        <v>414.36</v>
      </c>
      <c r="BC598" s="227"/>
      <c r="BD598" s="227"/>
      <c r="BE598" s="227">
        <v>414.36</v>
      </c>
      <c r="BF598" s="227">
        <v>0</v>
      </c>
      <c r="BG598" s="227">
        <v>0</v>
      </c>
      <c r="BH598" s="227">
        <v>0</v>
      </c>
      <c r="BI598" s="227">
        <v>0</v>
      </c>
      <c r="BJ598" s="227">
        <v>0</v>
      </c>
      <c r="BK598" s="227">
        <v>0</v>
      </c>
      <c r="BL598" s="227">
        <v>0</v>
      </c>
      <c r="BM598" s="227">
        <v>0</v>
      </c>
      <c r="BN598" s="227">
        <v>0</v>
      </c>
      <c r="BO598" s="227">
        <v>414.36</v>
      </c>
    </row>
    <row r="599" spans="1:67">
      <c r="A599" s="215" t="s">
        <v>2188</v>
      </c>
      <c r="B599" s="215" t="str">
        <f>_xlfn.TEXTJOIN("_",,ERP_34[[#This Row],[LT Member -1*]],ERP_34[[#This Row],[Expense Category]],ERP_34[[#This Row],[Project Code*]])</f>
        <v>DeHart, Lynn_OUTSIDE COUNSEL_Others001</v>
      </c>
      <c r="C599" s="67" t="s">
        <v>1136</v>
      </c>
      <c r="D599" s="216" t="s">
        <v>1345</v>
      </c>
      <c r="E599" s="216" t="s">
        <v>1346</v>
      </c>
      <c r="F599" s="216" t="s">
        <v>1346</v>
      </c>
      <c r="G599" s="217" t="s">
        <v>625</v>
      </c>
      <c r="H599" s="218" t="s">
        <v>611</v>
      </c>
      <c r="I599" s="219"/>
      <c r="J599" s="219"/>
      <c r="K599" s="219" t="s">
        <v>610</v>
      </c>
      <c r="L599" s="219"/>
      <c r="M599" s="219"/>
      <c r="N599" s="219"/>
      <c r="O599" s="216" t="s">
        <v>611</v>
      </c>
      <c r="P599" s="221"/>
      <c r="Q599" s="222"/>
      <c r="R599" s="71">
        <v>0</v>
      </c>
      <c r="S599" s="73">
        <v>20.21</v>
      </c>
      <c r="T599" s="223">
        <v>0</v>
      </c>
      <c r="U599" s="71">
        <f>ERP_34[[#This Row],[LE2 Final Submission]]-ERP_34[[#This Row],[LE3 Final Submission]]</f>
        <v>20.21</v>
      </c>
      <c r="V599" s="224">
        <v>16.29</v>
      </c>
      <c r="W599" s="247">
        <v>0</v>
      </c>
      <c r="X599" s="225">
        <v>3.92</v>
      </c>
      <c r="Y599" s="226">
        <v>0</v>
      </c>
      <c r="Z599" s="226">
        <v>0</v>
      </c>
      <c r="AA599" s="226">
        <v>0</v>
      </c>
      <c r="AB599" s="226">
        <v>0</v>
      </c>
      <c r="AC599" s="226">
        <v>0</v>
      </c>
      <c r="AD599" s="226">
        <v>0</v>
      </c>
      <c r="AE599" s="226">
        <v>0</v>
      </c>
      <c r="AF599" s="226">
        <v>0</v>
      </c>
      <c r="AG599" s="226">
        <v>0</v>
      </c>
      <c r="AH599" s="194">
        <f t="shared" si="22"/>
        <v>20.21</v>
      </c>
      <c r="AI599" s="108">
        <f>ERP_34[[#This Row],[2026 Working Total]]-ERP_34[[#This Row],[2026 LE0]]</f>
        <v>20.21</v>
      </c>
      <c r="AJ599" s="227"/>
      <c r="AK599" s="227"/>
      <c r="AL599" s="79">
        <f>ERP_34[[#This Row],[AP01]]+ERP_34[[#This Row],[AP02]]+ERP_34[[#This Row],[AP03]]+ERP_34[[#This Row],[AP04]]-ERP_34[[#This Row],[AP01 LE2]]-ERP_34[[#This Row],[AP02 LE2]]-ERP_34[[#This Row],[AP03 LE2]]-ERP_34[[#This Row],[AP04 LE2]]</f>
        <v>1.7763568394002505E-15</v>
      </c>
      <c r="AM599" s="80"/>
      <c r="AN599" s="79">
        <f>ERP_34[[#This Row],[2026 Working Total to Budget/LE]]-ERP_34[[#This Row],[Giveback]]</f>
        <v>20.21</v>
      </c>
      <c r="AO599" s="81"/>
      <c r="AP599" s="81">
        <v>16.29</v>
      </c>
      <c r="AQ599" s="81">
        <v>0</v>
      </c>
      <c r="AR599" s="81">
        <v>3.92</v>
      </c>
      <c r="AS599" s="81">
        <v>0</v>
      </c>
      <c r="AT599" s="81">
        <v>0</v>
      </c>
      <c r="AU599" s="81">
        <v>0</v>
      </c>
      <c r="AV599" s="81">
        <v>0</v>
      </c>
      <c r="AW599" s="81">
        <v>0</v>
      </c>
      <c r="AX599" s="81">
        <v>0</v>
      </c>
      <c r="AY599" s="81">
        <v>0</v>
      </c>
      <c r="AZ599" s="81">
        <v>0</v>
      </c>
      <c r="BA599" s="81">
        <v>0</v>
      </c>
      <c r="BB599" s="81">
        <v>20.21</v>
      </c>
      <c r="BC599" s="227">
        <v>16.29</v>
      </c>
      <c r="BD599" s="227">
        <v>0</v>
      </c>
      <c r="BE599" s="227">
        <v>3.92</v>
      </c>
      <c r="BF599" s="227">
        <v>0</v>
      </c>
      <c r="BG599" s="227">
        <v>0</v>
      </c>
      <c r="BH599" s="227">
        <v>0</v>
      </c>
      <c r="BI599" s="227">
        <v>0</v>
      </c>
      <c r="BJ599" s="227">
        <v>0</v>
      </c>
      <c r="BK599" s="227">
        <v>0</v>
      </c>
      <c r="BL599" s="227">
        <v>0</v>
      </c>
      <c r="BM599" s="227">
        <v>0</v>
      </c>
      <c r="BN599" s="227">
        <v>0</v>
      </c>
      <c r="BO599" s="227">
        <v>20.21</v>
      </c>
    </row>
    <row r="600" spans="1:67">
      <c r="A600" s="215" t="s">
        <v>2182</v>
      </c>
      <c r="B600" s="215" t="str">
        <f>_xlfn.TEXTJOIN("_",,ERP_34[[#This Row],[LT Member -1*]],ERP_34[[#This Row],[Expense Category]],ERP_34[[#This Row],[Project Code*]])</f>
        <v>McGettigan, David_OTHER_Others001</v>
      </c>
      <c r="C600" s="67" t="s">
        <v>1136</v>
      </c>
      <c r="D600" s="216" t="s">
        <v>1567</v>
      </c>
      <c r="E600" s="216" t="s">
        <v>1567</v>
      </c>
      <c r="F600" s="216" t="s">
        <v>1567</v>
      </c>
      <c r="G600" s="217" t="s">
        <v>602</v>
      </c>
      <c r="H600" s="218" t="s">
        <v>611</v>
      </c>
      <c r="I600" s="219"/>
      <c r="J600" s="219"/>
      <c r="K600" s="219" t="s">
        <v>610</v>
      </c>
      <c r="L600" s="219"/>
      <c r="M600" s="219"/>
      <c r="N600" s="219"/>
      <c r="O600" s="216" t="s">
        <v>611</v>
      </c>
      <c r="P600" s="221"/>
      <c r="Q600" s="222"/>
      <c r="R600" s="71">
        <v>0</v>
      </c>
      <c r="S600" s="73">
        <v>18.829999999999998</v>
      </c>
      <c r="T600" s="223">
        <v>0</v>
      </c>
      <c r="U600" s="71">
        <f>ERP_34[[#This Row],[LE2 Final Submission]]-ERP_34[[#This Row],[LE3 Final Submission]]</f>
        <v>18.829999999999998</v>
      </c>
      <c r="V600" s="224">
        <v>19</v>
      </c>
      <c r="W600" s="225">
        <v>-0.17</v>
      </c>
      <c r="X600" s="247">
        <v>0</v>
      </c>
      <c r="Y600" s="226">
        <v>0</v>
      </c>
      <c r="Z600" s="226">
        <v>0</v>
      </c>
      <c r="AA600" s="226">
        <v>0</v>
      </c>
      <c r="AB600" s="226">
        <v>0</v>
      </c>
      <c r="AC600" s="226">
        <v>0</v>
      </c>
      <c r="AD600" s="226">
        <v>0</v>
      </c>
      <c r="AE600" s="226">
        <v>0</v>
      </c>
      <c r="AF600" s="226">
        <v>0</v>
      </c>
      <c r="AG600" s="226">
        <v>0</v>
      </c>
      <c r="AH600" s="194">
        <f t="shared" si="22"/>
        <v>18.829999999999998</v>
      </c>
      <c r="AI600" s="108">
        <f>ERP_34[[#This Row],[2026 Working Total]]-ERP_34[[#This Row],[2026 LE0]]</f>
        <v>18.829999999999998</v>
      </c>
      <c r="AJ600" s="227"/>
      <c r="AK600" s="227"/>
      <c r="AL600" s="79">
        <f>ERP_34[[#This Row],[AP01]]+ERP_34[[#This Row],[AP02]]+ERP_34[[#This Row],[AP03]]+ERP_34[[#This Row],[AP04]]-ERP_34[[#This Row],[AP01 LE2]]-ERP_34[[#This Row],[AP02 LE2]]-ERP_34[[#This Row],[AP03 LE2]]-ERP_34[[#This Row],[AP04 LE2]]</f>
        <v>-1.6930901125533637E-15</v>
      </c>
      <c r="AM600" s="80"/>
      <c r="AN600" s="79">
        <f>ERP_34[[#This Row],[2026 Working Total to Budget/LE]]-ERP_34[[#This Row],[Giveback]]</f>
        <v>18.829999999999998</v>
      </c>
      <c r="AO600" s="81"/>
      <c r="AP600" s="81">
        <v>19</v>
      </c>
      <c r="AQ600" s="81">
        <v>-0.17</v>
      </c>
      <c r="AR600" s="81">
        <v>0</v>
      </c>
      <c r="AS600" s="81">
        <v>0</v>
      </c>
      <c r="AT600" s="81">
        <v>0</v>
      </c>
      <c r="AU600" s="81">
        <v>0</v>
      </c>
      <c r="AV600" s="81">
        <v>0</v>
      </c>
      <c r="AW600" s="81">
        <v>0</v>
      </c>
      <c r="AX600" s="81">
        <v>0</v>
      </c>
      <c r="AY600" s="81">
        <v>0</v>
      </c>
      <c r="AZ600" s="81">
        <v>0</v>
      </c>
      <c r="BA600" s="81">
        <v>0</v>
      </c>
      <c r="BB600" s="81">
        <v>18.829999999999998</v>
      </c>
      <c r="BC600" s="227">
        <v>19</v>
      </c>
      <c r="BD600" s="227">
        <v>-0.17</v>
      </c>
      <c r="BE600" s="227">
        <v>0</v>
      </c>
      <c r="BF600" s="227">
        <v>0</v>
      </c>
      <c r="BG600" s="227">
        <v>0</v>
      </c>
      <c r="BH600" s="227">
        <v>0</v>
      </c>
      <c r="BI600" s="227">
        <v>0</v>
      </c>
      <c r="BJ600" s="227">
        <v>0</v>
      </c>
      <c r="BK600" s="227">
        <v>0</v>
      </c>
      <c r="BL600" s="227">
        <v>0</v>
      </c>
      <c r="BM600" s="227">
        <v>0</v>
      </c>
      <c r="BN600" s="227">
        <v>0</v>
      </c>
      <c r="BO600" s="227">
        <v>18.829999999999998</v>
      </c>
    </row>
    <row r="601" spans="1:67">
      <c r="A601" s="215" t="s">
        <v>2186</v>
      </c>
      <c r="B601" s="215" t="str">
        <f>_xlfn.TEXTJOIN("_",,ERP_34[[#This Row],[LT Member -1*]],ERP_34[[#This Row],[Expense Category]],ERP_34[[#This Row],[Project Code*]])</f>
        <v>Robertson, Jerome_OTHER_Others001</v>
      </c>
      <c r="C601" s="67" t="s">
        <v>1136</v>
      </c>
      <c r="D601" s="216" t="s">
        <v>1650</v>
      </c>
      <c r="E601" s="216" t="s">
        <v>1650</v>
      </c>
      <c r="F601" s="216" t="s">
        <v>1650</v>
      </c>
      <c r="G601" s="217" t="s">
        <v>602</v>
      </c>
      <c r="H601" s="218" t="s">
        <v>611</v>
      </c>
      <c r="I601" s="219"/>
      <c r="J601" s="219"/>
      <c r="K601" s="219" t="s">
        <v>610</v>
      </c>
      <c r="L601" s="219"/>
      <c r="M601" s="219"/>
      <c r="N601" s="219"/>
      <c r="O601" s="216" t="s">
        <v>611</v>
      </c>
      <c r="P601" s="221"/>
      <c r="Q601" s="222"/>
      <c r="R601" s="71">
        <v>0</v>
      </c>
      <c r="S601" s="73">
        <v>28.1</v>
      </c>
      <c r="T601" s="223">
        <v>0</v>
      </c>
      <c r="U601" s="71">
        <f>ERP_34[[#This Row],[LE2 Final Submission]]-ERP_34[[#This Row],[LE3 Final Submission]]</f>
        <v>28.1</v>
      </c>
      <c r="V601" s="224"/>
      <c r="W601" s="225">
        <v>27.55</v>
      </c>
      <c r="X601" s="225">
        <v>0.55000000000000004</v>
      </c>
      <c r="Y601" s="226">
        <v>0</v>
      </c>
      <c r="Z601" s="226">
        <v>0</v>
      </c>
      <c r="AA601" s="226">
        <v>0</v>
      </c>
      <c r="AB601" s="226">
        <v>0</v>
      </c>
      <c r="AC601" s="226">
        <v>0</v>
      </c>
      <c r="AD601" s="226">
        <v>0</v>
      </c>
      <c r="AE601" s="226">
        <v>0</v>
      </c>
      <c r="AF601" s="226">
        <v>0</v>
      </c>
      <c r="AG601" s="226">
        <v>0</v>
      </c>
      <c r="AH601" s="194">
        <f t="shared" si="22"/>
        <v>28.1</v>
      </c>
      <c r="AI601" s="108">
        <f>ERP_34[[#This Row],[2026 Working Total]]-ERP_34[[#This Row],[2026 LE0]]</f>
        <v>28.1</v>
      </c>
      <c r="AJ601" s="227"/>
      <c r="AK601" s="227"/>
      <c r="AL601" s="79">
        <f>ERP_34[[#This Row],[AP01]]+ERP_34[[#This Row],[AP02]]+ERP_34[[#This Row],[AP03]]+ERP_34[[#This Row],[AP04]]-ERP_34[[#This Row],[AP01 LE2]]-ERP_34[[#This Row],[AP02 LE2]]-ERP_34[[#This Row],[AP03 LE2]]-ERP_34[[#This Row],[AP04 LE2]]</f>
        <v>6.6613381477509392E-16</v>
      </c>
      <c r="AM601" s="80"/>
      <c r="AN601" s="79">
        <f>ERP_34[[#This Row],[2026 Working Total to Budget/LE]]-ERP_34[[#This Row],[Giveback]]</f>
        <v>28.1</v>
      </c>
      <c r="AO601" s="81"/>
      <c r="AP601" s="81"/>
      <c r="AQ601" s="81">
        <v>27.55</v>
      </c>
      <c r="AR601" s="81">
        <v>0.55000000000000004</v>
      </c>
      <c r="AS601" s="81">
        <v>0</v>
      </c>
      <c r="AT601" s="81">
        <v>0</v>
      </c>
      <c r="AU601" s="81">
        <v>0</v>
      </c>
      <c r="AV601" s="81">
        <v>0</v>
      </c>
      <c r="AW601" s="81">
        <v>0</v>
      </c>
      <c r="AX601" s="81">
        <v>0</v>
      </c>
      <c r="AY601" s="81">
        <v>0</v>
      </c>
      <c r="AZ601" s="81">
        <v>0</v>
      </c>
      <c r="BA601" s="81">
        <v>0</v>
      </c>
      <c r="BB601" s="81">
        <v>28.1</v>
      </c>
      <c r="BC601" s="227"/>
      <c r="BD601" s="227">
        <v>27.55</v>
      </c>
      <c r="BE601" s="227">
        <v>0.55000000000000004</v>
      </c>
      <c r="BF601" s="227">
        <v>0</v>
      </c>
      <c r="BG601" s="227">
        <v>0</v>
      </c>
      <c r="BH601" s="227">
        <v>0</v>
      </c>
      <c r="BI601" s="227">
        <v>0</v>
      </c>
      <c r="BJ601" s="227">
        <v>0</v>
      </c>
      <c r="BK601" s="227">
        <v>0</v>
      </c>
      <c r="BL601" s="227">
        <v>0</v>
      </c>
      <c r="BM601" s="227">
        <v>0</v>
      </c>
      <c r="BN601" s="227">
        <v>0</v>
      </c>
      <c r="BO601" s="227">
        <v>28.1</v>
      </c>
    </row>
    <row r="602" spans="1:67">
      <c r="A602" s="215" t="s">
        <v>1339</v>
      </c>
      <c r="B602" s="215" t="str">
        <f>_xlfn.TEXTJOIN("_",,ERP_34[[#This Row],[LT Member -1*]],ERP_34[[#This Row],[Expense Category]],ERP_34[[#This Row],[Project Code*]])</f>
        <v>Dougherty, Chris_CONTRACTORS_POClosure001</v>
      </c>
      <c r="C602" s="67" t="s">
        <v>1136</v>
      </c>
      <c r="D602" s="216" t="s">
        <v>1135</v>
      </c>
      <c r="E602" s="216" t="s">
        <v>1135</v>
      </c>
      <c r="F602" s="216" t="s">
        <v>1137</v>
      </c>
      <c r="G602" s="217" t="s">
        <v>49</v>
      </c>
      <c r="H602" s="218" t="s">
        <v>1340</v>
      </c>
      <c r="I602" s="219"/>
      <c r="J602" s="219"/>
      <c r="K602" s="219" t="s">
        <v>149</v>
      </c>
      <c r="L602" s="70" t="s">
        <v>1139</v>
      </c>
      <c r="M602" s="219"/>
      <c r="N602" s="219"/>
      <c r="O602" s="216" t="s">
        <v>25</v>
      </c>
      <c r="P602" s="221"/>
      <c r="Q602" s="222"/>
      <c r="R602" s="71">
        <v>0</v>
      </c>
      <c r="S602" s="73">
        <v>-16166.66</v>
      </c>
      <c r="T602" s="223">
        <v>0</v>
      </c>
      <c r="U602" s="71">
        <f>ERP_34[[#This Row],[LE2 Final Submission]]-ERP_34[[#This Row],[LE3 Final Submission]]</f>
        <v>-16166.66</v>
      </c>
      <c r="V602" s="224">
        <v>0.34</v>
      </c>
      <c r="W602" s="225">
        <v>-10499.16</v>
      </c>
      <c r="X602" s="225">
        <v>-5667.84</v>
      </c>
      <c r="Y602" s="226">
        <v>0</v>
      </c>
      <c r="Z602" s="226">
        <v>0</v>
      </c>
      <c r="AA602" s="226">
        <v>0</v>
      </c>
      <c r="AB602" s="226">
        <v>0</v>
      </c>
      <c r="AC602" s="226">
        <v>0</v>
      </c>
      <c r="AD602" s="226">
        <v>0</v>
      </c>
      <c r="AE602" s="226">
        <v>0</v>
      </c>
      <c r="AF602" s="226">
        <v>0</v>
      </c>
      <c r="AG602" s="226">
        <v>0</v>
      </c>
      <c r="AH602" s="194">
        <f t="shared" si="22"/>
        <v>-16166.66</v>
      </c>
      <c r="AI602" s="108">
        <f>ERP_34[[#This Row],[2026 Working Total]]-ERP_34[[#This Row],[2026 LE0]]</f>
        <v>-16166.66</v>
      </c>
      <c r="AJ602" s="227"/>
      <c r="AK602" s="227"/>
      <c r="AL60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02" s="80"/>
      <c r="AN602" s="79">
        <f>ERP_34[[#This Row],[2026 Working Total to Budget/LE]]-ERP_34[[#This Row],[Giveback]]</f>
        <v>-16166.66</v>
      </c>
      <c r="AO602" s="81"/>
      <c r="AP602" s="81">
        <v>0.34</v>
      </c>
      <c r="AQ602" s="81">
        <v>-10499.16</v>
      </c>
      <c r="AR602" s="81">
        <v>-5667.84</v>
      </c>
      <c r="AS602" s="81">
        <v>0</v>
      </c>
      <c r="AT602" s="81">
        <v>0</v>
      </c>
      <c r="AU602" s="81">
        <v>0</v>
      </c>
      <c r="AV602" s="81">
        <v>0</v>
      </c>
      <c r="AW602" s="81">
        <v>0</v>
      </c>
      <c r="AX602" s="81">
        <v>0</v>
      </c>
      <c r="AY602" s="81">
        <v>0</v>
      </c>
      <c r="AZ602" s="81">
        <v>0</v>
      </c>
      <c r="BA602" s="81">
        <v>0</v>
      </c>
      <c r="BB602" s="81">
        <v>-16166.66</v>
      </c>
      <c r="BC602" s="227">
        <v>0.34</v>
      </c>
      <c r="BD602" s="227">
        <v>-10499.16</v>
      </c>
      <c r="BE602" s="227">
        <v>-5667.84</v>
      </c>
      <c r="BF602" s="227">
        <v>0</v>
      </c>
      <c r="BG602" s="227">
        <v>0</v>
      </c>
      <c r="BH602" s="227">
        <v>0</v>
      </c>
      <c r="BI602" s="227">
        <v>0</v>
      </c>
      <c r="BJ602" s="227">
        <v>0</v>
      </c>
      <c r="BK602" s="227">
        <v>0</v>
      </c>
      <c r="BL602" s="227">
        <v>0</v>
      </c>
      <c r="BM602" s="227">
        <v>0</v>
      </c>
      <c r="BN602" s="227">
        <v>0</v>
      </c>
      <c r="BO602" s="227">
        <v>-16166.66</v>
      </c>
    </row>
    <row r="603" spans="1:67">
      <c r="A603" s="215" t="s">
        <v>1341</v>
      </c>
      <c r="B603" s="215" t="str">
        <f>_xlfn.TEXTJOIN("_",,ERP_34[[#This Row],[LT Member -1*]],ERP_34[[#This Row],[Expense Category]],ERP_34[[#This Row],[Project Code*]])</f>
        <v>Meadows, Leslie_CONTRACTORS_POClosure001</v>
      </c>
      <c r="C603" s="67" t="s">
        <v>1136</v>
      </c>
      <c r="D603" s="216" t="s">
        <v>1135</v>
      </c>
      <c r="E603" s="216" t="s">
        <v>1156</v>
      </c>
      <c r="F603" s="216" t="s">
        <v>1137</v>
      </c>
      <c r="G603" s="217" t="s">
        <v>49</v>
      </c>
      <c r="H603" s="218" t="s">
        <v>1340</v>
      </c>
      <c r="I603" s="219"/>
      <c r="J603" s="219"/>
      <c r="K603" s="220" t="s">
        <v>149</v>
      </c>
      <c r="L603" s="70" t="s">
        <v>1139</v>
      </c>
      <c r="M603" s="219"/>
      <c r="N603" s="219"/>
      <c r="O603" s="216" t="s">
        <v>25</v>
      </c>
      <c r="P603" s="221"/>
      <c r="Q603" s="222"/>
      <c r="R603" s="71">
        <v>0</v>
      </c>
      <c r="S603" s="73">
        <v>-14694</v>
      </c>
      <c r="T603" s="223">
        <v>0</v>
      </c>
      <c r="U603" s="71">
        <f>ERP_34[[#This Row],[LE2 Final Submission]]-ERP_34[[#This Row],[LE3 Final Submission]]</f>
        <v>-14694</v>
      </c>
      <c r="V603" s="224"/>
      <c r="W603" s="225"/>
      <c r="X603" s="225">
        <v>-14694</v>
      </c>
      <c r="Y603" s="226">
        <v>0</v>
      </c>
      <c r="Z603" s="226">
        <v>0</v>
      </c>
      <c r="AA603" s="226">
        <v>0</v>
      </c>
      <c r="AB603" s="226">
        <v>0</v>
      </c>
      <c r="AC603" s="226">
        <v>0</v>
      </c>
      <c r="AD603" s="226">
        <v>0</v>
      </c>
      <c r="AE603" s="226">
        <v>0</v>
      </c>
      <c r="AF603" s="226">
        <v>0</v>
      </c>
      <c r="AG603" s="226">
        <v>0</v>
      </c>
      <c r="AH603" s="194">
        <f t="shared" si="22"/>
        <v>-14694</v>
      </c>
      <c r="AI603" s="108">
        <f>ERP_34[[#This Row],[2026 Working Total]]-ERP_34[[#This Row],[2026 LE0]]</f>
        <v>-14694</v>
      </c>
      <c r="AJ603" s="227"/>
      <c r="AK603" s="227"/>
      <c r="AL60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03" s="80"/>
      <c r="AN603" s="79">
        <f>ERP_34[[#This Row],[2026 Working Total to Budget/LE]]-ERP_34[[#This Row],[Giveback]]</f>
        <v>-14694</v>
      </c>
      <c r="AO603" s="81"/>
      <c r="AP603" s="81"/>
      <c r="AQ603" s="81"/>
      <c r="AR603" s="81">
        <v>-14694</v>
      </c>
      <c r="AS603" s="81">
        <v>0</v>
      </c>
      <c r="AT603" s="81">
        <v>0</v>
      </c>
      <c r="AU603" s="81">
        <v>0</v>
      </c>
      <c r="AV603" s="81">
        <v>0</v>
      </c>
      <c r="AW603" s="81">
        <v>0</v>
      </c>
      <c r="AX603" s="81">
        <v>0</v>
      </c>
      <c r="AY603" s="81">
        <v>0</v>
      </c>
      <c r="AZ603" s="81">
        <v>0</v>
      </c>
      <c r="BA603" s="81">
        <v>0</v>
      </c>
      <c r="BB603" s="81">
        <v>-14694</v>
      </c>
      <c r="BC603" s="227"/>
      <c r="BD603" s="227"/>
      <c r="BE603" s="227">
        <v>-14694</v>
      </c>
      <c r="BF603" s="227">
        <v>0</v>
      </c>
      <c r="BG603" s="227">
        <v>0</v>
      </c>
      <c r="BH603" s="227">
        <v>0</v>
      </c>
      <c r="BI603" s="227">
        <v>0</v>
      </c>
      <c r="BJ603" s="227">
        <v>0</v>
      </c>
      <c r="BK603" s="227">
        <v>0</v>
      </c>
      <c r="BL603" s="227">
        <v>0</v>
      </c>
      <c r="BM603" s="227">
        <v>0</v>
      </c>
      <c r="BN603" s="227">
        <v>0</v>
      </c>
      <c r="BO603" s="227">
        <v>-14694</v>
      </c>
    </row>
    <row r="604" spans="1:67">
      <c r="A604" s="215" t="s">
        <v>1426</v>
      </c>
      <c r="B604" s="215" t="str">
        <f>_xlfn.TEXTJOIN("_",,ERP_34[[#This Row],[LT Member -1*]],ERP_34[[#This Row],[Expense Category]],ERP_34[[#This Row],[Project Code*]])</f>
        <v>Ganesan, Srinivasan_CONTRACTORS_POClosure001</v>
      </c>
      <c r="C604" s="67" t="s">
        <v>1136</v>
      </c>
      <c r="D604" s="216" t="s">
        <v>1345</v>
      </c>
      <c r="E604" s="216" t="s">
        <v>1344</v>
      </c>
      <c r="F604" s="216" t="s">
        <v>1346</v>
      </c>
      <c r="G604" s="217" t="s">
        <v>49</v>
      </c>
      <c r="H604" s="218" t="s">
        <v>1340</v>
      </c>
      <c r="I604" s="219"/>
      <c r="J604" s="219"/>
      <c r="K604" s="219" t="s">
        <v>149</v>
      </c>
      <c r="L604" s="70" t="s">
        <v>1139</v>
      </c>
      <c r="M604" s="219"/>
      <c r="N604" s="219"/>
      <c r="O604" s="216" t="s">
        <v>25</v>
      </c>
      <c r="P604" s="221"/>
      <c r="Q604" s="222"/>
      <c r="R604" s="71">
        <v>0</v>
      </c>
      <c r="S604" s="73">
        <v>-8178.7199999999993</v>
      </c>
      <c r="T604" s="223">
        <v>0</v>
      </c>
      <c r="U604" s="71">
        <f>ERP_34[[#This Row],[LE2 Final Submission]]-ERP_34[[#This Row],[LE3 Final Submission]]</f>
        <v>-8178.7199999999993</v>
      </c>
      <c r="V604" s="224">
        <v>-879.72</v>
      </c>
      <c r="W604" s="225">
        <v>-0.18</v>
      </c>
      <c r="X604" s="225">
        <v>-7298.82</v>
      </c>
      <c r="Y604" s="226">
        <v>0</v>
      </c>
      <c r="Z604" s="226">
        <v>0</v>
      </c>
      <c r="AA604" s="226">
        <v>0</v>
      </c>
      <c r="AB604" s="226">
        <v>0</v>
      </c>
      <c r="AC604" s="226">
        <v>0</v>
      </c>
      <c r="AD604" s="226">
        <v>0</v>
      </c>
      <c r="AE604" s="226">
        <v>0</v>
      </c>
      <c r="AF604" s="226">
        <v>0</v>
      </c>
      <c r="AG604" s="226">
        <v>0</v>
      </c>
      <c r="AH604" s="194">
        <f t="shared" si="22"/>
        <v>-8178.7199999999993</v>
      </c>
      <c r="AI604" s="108">
        <f>ERP_34[[#This Row],[2026 Working Total]]-ERP_34[[#This Row],[2026 LE0]]</f>
        <v>-8178.7199999999993</v>
      </c>
      <c r="AJ604" s="227"/>
      <c r="AK604" s="227"/>
      <c r="AL604" s="79">
        <f>ERP_34[[#This Row],[AP01]]+ERP_34[[#This Row],[AP02]]+ERP_34[[#This Row],[AP03]]+ERP_34[[#This Row],[AP04]]-ERP_34[[#This Row],[AP01 LE2]]-ERP_34[[#This Row],[AP02 LE2]]-ERP_34[[#This Row],[AP03 LE2]]-ERP_34[[#This Row],[AP04 LE2]]</f>
        <v>9.0949470177292824E-13</v>
      </c>
      <c r="AM604" s="80"/>
      <c r="AN604" s="79">
        <f>ERP_34[[#This Row],[2026 Working Total to Budget/LE]]-ERP_34[[#This Row],[Giveback]]</f>
        <v>-8178.7199999999993</v>
      </c>
      <c r="AO604" s="81"/>
      <c r="AP604" s="81">
        <v>-879.72</v>
      </c>
      <c r="AQ604" s="81">
        <v>-0.18</v>
      </c>
      <c r="AR604" s="81">
        <v>-7298.82</v>
      </c>
      <c r="AS604" s="81">
        <v>0</v>
      </c>
      <c r="AT604" s="81">
        <v>0</v>
      </c>
      <c r="AU604" s="81">
        <v>0</v>
      </c>
      <c r="AV604" s="81">
        <v>0</v>
      </c>
      <c r="AW604" s="81">
        <v>0</v>
      </c>
      <c r="AX604" s="81">
        <v>0</v>
      </c>
      <c r="AY604" s="81">
        <v>0</v>
      </c>
      <c r="AZ604" s="81">
        <v>0</v>
      </c>
      <c r="BA604" s="81">
        <v>0</v>
      </c>
      <c r="BB604" s="81">
        <v>-8178.7199999999993</v>
      </c>
      <c r="BC604" s="227">
        <v>-879.72</v>
      </c>
      <c r="BD604" s="227">
        <v>-0.18</v>
      </c>
      <c r="BE604" s="227">
        <v>-7298.82</v>
      </c>
      <c r="BF604" s="227">
        <v>0</v>
      </c>
      <c r="BG604" s="227">
        <v>0</v>
      </c>
      <c r="BH604" s="227">
        <v>0</v>
      </c>
      <c r="BI604" s="227">
        <v>0</v>
      </c>
      <c r="BJ604" s="227">
        <v>0</v>
      </c>
      <c r="BK604" s="227">
        <v>0</v>
      </c>
      <c r="BL604" s="227">
        <v>0</v>
      </c>
      <c r="BM604" s="227">
        <v>0</v>
      </c>
      <c r="BN604" s="227">
        <v>0</v>
      </c>
      <c r="BO604" s="227">
        <v>-8178.7199999999993</v>
      </c>
    </row>
    <row r="605" spans="1:67">
      <c r="A605" s="215" t="s">
        <v>1477</v>
      </c>
      <c r="B605" s="215" t="str">
        <f>_xlfn.TEXTJOIN("_",,ERP_34[[#This Row],[LT Member -1*]],ERP_34[[#This Row],[Expense Category]],ERP_34[[#This Row],[Project Code*]])</f>
        <v>Herman, Shaun_CONTRACTORS_POClosure001</v>
      </c>
      <c r="C605" s="67" t="s">
        <v>1136</v>
      </c>
      <c r="D605" s="216" t="s">
        <v>1345</v>
      </c>
      <c r="E605" s="216" t="s">
        <v>1450</v>
      </c>
      <c r="F605" s="216" t="s">
        <v>1346</v>
      </c>
      <c r="G605" s="217" t="s">
        <v>49</v>
      </c>
      <c r="H605" s="218" t="s">
        <v>1340</v>
      </c>
      <c r="I605" s="219"/>
      <c r="J605" s="219"/>
      <c r="K605" s="219" t="s">
        <v>149</v>
      </c>
      <c r="L605" s="70" t="s">
        <v>1139</v>
      </c>
      <c r="M605" s="219"/>
      <c r="N605" s="219"/>
      <c r="O605" s="216" t="s">
        <v>25</v>
      </c>
      <c r="P605" s="221"/>
      <c r="Q605" s="222"/>
      <c r="R605" s="71">
        <v>0</v>
      </c>
      <c r="S605" s="73">
        <v>-4283.6499999999996</v>
      </c>
      <c r="T605" s="223">
        <v>0</v>
      </c>
      <c r="U605" s="71">
        <f>ERP_34[[#This Row],[LE2 Final Submission]]-ERP_34[[#This Row],[LE3 Final Submission]]</f>
        <v>-4283.6499999999996</v>
      </c>
      <c r="V605" s="224">
        <v>-487.65</v>
      </c>
      <c r="W605" s="225">
        <v>-3796</v>
      </c>
      <c r="X605" s="247">
        <v>0</v>
      </c>
      <c r="Y605" s="226">
        <v>0</v>
      </c>
      <c r="Z605" s="226">
        <v>0</v>
      </c>
      <c r="AA605" s="226">
        <v>0</v>
      </c>
      <c r="AB605" s="226">
        <v>0</v>
      </c>
      <c r="AC605" s="226">
        <v>0</v>
      </c>
      <c r="AD605" s="226">
        <v>0</v>
      </c>
      <c r="AE605" s="226">
        <v>0</v>
      </c>
      <c r="AF605" s="226">
        <v>0</v>
      </c>
      <c r="AG605" s="226">
        <v>0</v>
      </c>
      <c r="AH605" s="194">
        <f t="shared" si="22"/>
        <v>-4283.6499999999996</v>
      </c>
      <c r="AI605" s="108">
        <f>ERP_34[[#This Row],[2026 Working Total]]-ERP_34[[#This Row],[2026 LE0]]</f>
        <v>-4283.6499999999996</v>
      </c>
      <c r="AJ605" s="227"/>
      <c r="AK605" s="227"/>
      <c r="AL605" s="79">
        <f>ERP_34[[#This Row],[AP01]]+ERP_34[[#This Row],[AP02]]+ERP_34[[#This Row],[AP03]]+ERP_34[[#This Row],[AP04]]-ERP_34[[#This Row],[AP01 LE2]]-ERP_34[[#This Row],[AP02 LE2]]-ERP_34[[#This Row],[AP03 LE2]]-ERP_34[[#This Row],[AP04 LE2]]</f>
        <v>4.5474735088646412E-13</v>
      </c>
      <c r="AM605" s="80"/>
      <c r="AN605" s="79">
        <f>ERP_34[[#This Row],[2026 Working Total to Budget/LE]]-ERP_34[[#This Row],[Giveback]]</f>
        <v>-4283.6499999999996</v>
      </c>
      <c r="AO605" s="81"/>
      <c r="AP605" s="81">
        <v>-487.65</v>
      </c>
      <c r="AQ605" s="81">
        <v>-3796</v>
      </c>
      <c r="AR605" s="81">
        <v>0</v>
      </c>
      <c r="AS605" s="81">
        <v>0</v>
      </c>
      <c r="AT605" s="81">
        <v>0</v>
      </c>
      <c r="AU605" s="81">
        <v>0</v>
      </c>
      <c r="AV605" s="81">
        <v>0</v>
      </c>
      <c r="AW605" s="81">
        <v>0</v>
      </c>
      <c r="AX605" s="81">
        <v>0</v>
      </c>
      <c r="AY605" s="81">
        <v>0</v>
      </c>
      <c r="AZ605" s="81">
        <v>0</v>
      </c>
      <c r="BA605" s="81">
        <v>0</v>
      </c>
      <c r="BB605" s="81">
        <v>-4283.6499999999996</v>
      </c>
      <c r="BC605" s="227">
        <v>-487.65</v>
      </c>
      <c r="BD605" s="227">
        <v>-3796</v>
      </c>
      <c r="BE605" s="227">
        <v>0</v>
      </c>
      <c r="BF605" s="227">
        <v>0</v>
      </c>
      <c r="BG605" s="227">
        <v>0</v>
      </c>
      <c r="BH605" s="227">
        <v>0</v>
      </c>
      <c r="BI605" s="227">
        <v>0</v>
      </c>
      <c r="BJ605" s="227">
        <v>0</v>
      </c>
      <c r="BK605" s="227">
        <v>0</v>
      </c>
      <c r="BL605" s="227">
        <v>0</v>
      </c>
      <c r="BM605" s="227">
        <v>0</v>
      </c>
      <c r="BN605" s="227">
        <v>0</v>
      </c>
      <c r="BO605" s="227">
        <v>-4283.6499999999996</v>
      </c>
    </row>
    <row r="606" spans="1:67">
      <c r="A606" s="215" t="s">
        <v>1563</v>
      </c>
      <c r="B606" s="215" t="str">
        <f>_xlfn.TEXTJOIN("_",,ERP_34[[#This Row],[LT Member -1*]],ERP_34[[#This Row],[Expense Category]],ERP_34[[#This Row],[Project Code*]])</f>
        <v>Jajodia, Amit_CONTRACTORS_POClosure001</v>
      </c>
      <c r="C606" s="67" t="s">
        <v>1136</v>
      </c>
      <c r="D606" s="216" t="s">
        <v>1345</v>
      </c>
      <c r="E606" s="216" t="s">
        <v>1515</v>
      </c>
      <c r="F606" s="216" t="s">
        <v>1346</v>
      </c>
      <c r="G606" s="217" t="s">
        <v>49</v>
      </c>
      <c r="H606" s="218" t="s">
        <v>1340</v>
      </c>
      <c r="I606" s="219"/>
      <c r="J606" s="219"/>
      <c r="K606" s="219" t="s">
        <v>149</v>
      </c>
      <c r="L606" s="70" t="s">
        <v>1139</v>
      </c>
      <c r="M606" s="219"/>
      <c r="N606" s="219"/>
      <c r="O606" s="216" t="s">
        <v>25</v>
      </c>
      <c r="P606" s="221"/>
      <c r="Q606" s="222"/>
      <c r="R606" s="71">
        <v>0</v>
      </c>
      <c r="S606" s="73">
        <v>-54295.289999999994</v>
      </c>
      <c r="T606" s="223">
        <v>0</v>
      </c>
      <c r="U606" s="71">
        <f>ERP_34[[#This Row],[LE2 Final Submission]]-ERP_34[[#This Row],[LE3 Final Submission]]</f>
        <v>-54295.289999999994</v>
      </c>
      <c r="V606" s="224">
        <v>-4506.29</v>
      </c>
      <c r="W606" s="225">
        <v>-29540.02</v>
      </c>
      <c r="X606" s="225">
        <v>-20248.98</v>
      </c>
      <c r="Y606" s="226">
        <v>0</v>
      </c>
      <c r="Z606" s="226">
        <v>0</v>
      </c>
      <c r="AA606" s="226">
        <v>0</v>
      </c>
      <c r="AB606" s="226">
        <v>0</v>
      </c>
      <c r="AC606" s="226">
        <v>0</v>
      </c>
      <c r="AD606" s="226">
        <v>0</v>
      </c>
      <c r="AE606" s="226">
        <v>0</v>
      </c>
      <c r="AF606" s="226">
        <v>0</v>
      </c>
      <c r="AG606" s="226">
        <v>0</v>
      </c>
      <c r="AH606" s="194">
        <f t="shared" si="22"/>
        <v>-54295.289999999994</v>
      </c>
      <c r="AI606" s="108">
        <f>ERP_34[[#This Row],[2026 Working Total]]-ERP_34[[#This Row],[2026 LE0]]</f>
        <v>-54295.289999999994</v>
      </c>
      <c r="AJ606" s="227"/>
      <c r="AK606" s="227"/>
      <c r="AL606" s="79">
        <f>ERP_34[[#This Row],[AP01]]+ERP_34[[#This Row],[AP02]]+ERP_34[[#This Row],[AP03]]+ERP_34[[#This Row],[AP04]]-ERP_34[[#This Row],[AP01 LE2]]-ERP_34[[#This Row],[AP02 LE2]]-ERP_34[[#This Row],[AP03 LE2]]-ERP_34[[#This Row],[AP04 LE2]]</f>
        <v>7.2759576141834259E-12</v>
      </c>
      <c r="AM606" s="80"/>
      <c r="AN606" s="79">
        <f>ERP_34[[#This Row],[2026 Working Total to Budget/LE]]-ERP_34[[#This Row],[Giveback]]</f>
        <v>-54295.289999999994</v>
      </c>
      <c r="AO606" s="81"/>
      <c r="AP606" s="81">
        <v>-4506.29</v>
      </c>
      <c r="AQ606" s="81">
        <v>-29540.02</v>
      </c>
      <c r="AR606" s="81">
        <v>-20248.98</v>
      </c>
      <c r="AS606" s="81">
        <v>0</v>
      </c>
      <c r="AT606" s="81">
        <v>0</v>
      </c>
      <c r="AU606" s="81">
        <v>0</v>
      </c>
      <c r="AV606" s="81">
        <v>0</v>
      </c>
      <c r="AW606" s="81">
        <v>0</v>
      </c>
      <c r="AX606" s="81">
        <v>0</v>
      </c>
      <c r="AY606" s="81">
        <v>0</v>
      </c>
      <c r="AZ606" s="81">
        <v>0</v>
      </c>
      <c r="BA606" s="81">
        <v>0</v>
      </c>
      <c r="BB606" s="81">
        <v>-54295.289999999994</v>
      </c>
      <c r="BC606" s="227">
        <v>-4506.29</v>
      </c>
      <c r="BD606" s="227">
        <v>-29540.02</v>
      </c>
      <c r="BE606" s="227">
        <v>-20248.98</v>
      </c>
      <c r="BF606" s="227">
        <v>0</v>
      </c>
      <c r="BG606" s="227">
        <v>0</v>
      </c>
      <c r="BH606" s="227">
        <v>0</v>
      </c>
      <c r="BI606" s="227">
        <v>0</v>
      </c>
      <c r="BJ606" s="227">
        <v>0</v>
      </c>
      <c r="BK606" s="227">
        <v>0</v>
      </c>
      <c r="BL606" s="227">
        <v>0</v>
      </c>
      <c r="BM606" s="227">
        <v>0</v>
      </c>
      <c r="BN606" s="227">
        <v>0</v>
      </c>
      <c r="BO606" s="227">
        <v>-54295.289999999994</v>
      </c>
    </row>
    <row r="607" spans="1:67">
      <c r="A607" s="215" t="s">
        <v>1447</v>
      </c>
      <c r="B607" s="215" t="str">
        <f>_xlfn.TEXTJOIN("_",,ERP_34[[#This Row],[LT Member -1*]],ERP_34[[#This Row],[Expense Category]],ERP_34[[#This Row],[Project Code*]])</f>
        <v>Yeluri, Durga_CONTRACTORS_POClosure001</v>
      </c>
      <c r="C607" s="67" t="s">
        <v>1136</v>
      </c>
      <c r="D607" s="216" t="s">
        <v>1345</v>
      </c>
      <c r="E607" s="216" t="s">
        <v>1437</v>
      </c>
      <c r="F607" s="216" t="s">
        <v>1346</v>
      </c>
      <c r="G607" s="217" t="s">
        <v>49</v>
      </c>
      <c r="H607" s="218" t="s">
        <v>1340</v>
      </c>
      <c r="I607" s="219"/>
      <c r="J607" s="219"/>
      <c r="K607" s="219" t="s">
        <v>149</v>
      </c>
      <c r="L607" s="70" t="s">
        <v>1139</v>
      </c>
      <c r="M607" s="219"/>
      <c r="N607" s="219"/>
      <c r="O607" s="216" t="s">
        <v>25</v>
      </c>
      <c r="P607" s="221"/>
      <c r="Q607" s="222"/>
      <c r="R607" s="71">
        <v>0</v>
      </c>
      <c r="S607" s="73">
        <v>-4133.1400000000003</v>
      </c>
      <c r="T607" s="223">
        <v>0</v>
      </c>
      <c r="U607" s="71">
        <f>ERP_34[[#This Row],[LE2 Final Submission]]-ERP_34[[#This Row],[LE3 Final Submission]]</f>
        <v>-4133.1400000000003</v>
      </c>
      <c r="V607" s="224">
        <v>-4133.1400000000003</v>
      </c>
      <c r="W607" s="247">
        <v>0</v>
      </c>
      <c r="X607" s="247">
        <v>0</v>
      </c>
      <c r="Y607" s="226">
        <v>0</v>
      </c>
      <c r="Z607" s="226">
        <v>0</v>
      </c>
      <c r="AA607" s="226">
        <v>0</v>
      </c>
      <c r="AB607" s="226">
        <v>0</v>
      </c>
      <c r="AC607" s="226">
        <v>0</v>
      </c>
      <c r="AD607" s="226">
        <v>0</v>
      </c>
      <c r="AE607" s="226">
        <v>0</v>
      </c>
      <c r="AF607" s="226">
        <v>0</v>
      </c>
      <c r="AG607" s="226">
        <v>0</v>
      </c>
      <c r="AH607" s="194">
        <f t="shared" si="22"/>
        <v>-4133.1400000000003</v>
      </c>
      <c r="AI607" s="108">
        <f>ERP_34[[#This Row],[2026 Working Total]]-ERP_34[[#This Row],[2026 LE0]]</f>
        <v>-4133.1400000000003</v>
      </c>
      <c r="AJ607" s="227"/>
      <c r="AK607" s="227"/>
      <c r="AL60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07" s="80"/>
      <c r="AN607" s="79">
        <f>ERP_34[[#This Row],[2026 Working Total to Budget/LE]]-ERP_34[[#This Row],[Giveback]]</f>
        <v>-4133.1400000000003</v>
      </c>
      <c r="AO607" s="81"/>
      <c r="AP607" s="81">
        <v>-4133.1400000000003</v>
      </c>
      <c r="AQ607" s="81">
        <v>0</v>
      </c>
      <c r="AR607" s="81">
        <v>0</v>
      </c>
      <c r="AS607" s="81">
        <v>0</v>
      </c>
      <c r="AT607" s="81">
        <v>0</v>
      </c>
      <c r="AU607" s="81">
        <v>0</v>
      </c>
      <c r="AV607" s="81">
        <v>0</v>
      </c>
      <c r="AW607" s="81">
        <v>0</v>
      </c>
      <c r="AX607" s="81">
        <v>0</v>
      </c>
      <c r="AY607" s="81">
        <v>0</v>
      </c>
      <c r="AZ607" s="81">
        <v>0</v>
      </c>
      <c r="BA607" s="81">
        <v>0</v>
      </c>
      <c r="BB607" s="81">
        <v>-4133.1400000000003</v>
      </c>
      <c r="BC607" s="227">
        <v>-4133.1400000000003</v>
      </c>
      <c r="BD607" s="227">
        <v>0</v>
      </c>
      <c r="BE607" s="227">
        <v>0</v>
      </c>
      <c r="BF607" s="227">
        <v>0</v>
      </c>
      <c r="BG607" s="227">
        <v>0</v>
      </c>
      <c r="BH607" s="227">
        <v>0</v>
      </c>
      <c r="BI607" s="227">
        <v>0</v>
      </c>
      <c r="BJ607" s="227">
        <v>0</v>
      </c>
      <c r="BK607" s="227">
        <v>0</v>
      </c>
      <c r="BL607" s="227">
        <v>0</v>
      </c>
      <c r="BM607" s="227">
        <v>0</v>
      </c>
      <c r="BN607" s="227">
        <v>0</v>
      </c>
      <c r="BO607" s="227">
        <v>-4133.1400000000003</v>
      </c>
    </row>
    <row r="608" spans="1:67">
      <c r="A608" s="215" t="s">
        <v>1988</v>
      </c>
      <c r="B608" s="215" t="str">
        <f>_xlfn.TEXTJOIN("_",,ERP_34[[#This Row],[LT Member -1*]],ERP_34[[#This Row],[Expense Category]],ERP_34[[#This Row],[Project Code*]])</f>
        <v>Ganesan, Srinivasan_MANAGED SERVICES_PR-252001-0000007901</v>
      </c>
      <c r="C608" s="67" t="s">
        <v>1136</v>
      </c>
      <c r="D608" s="216" t="s">
        <v>1345</v>
      </c>
      <c r="E608" s="216" t="s">
        <v>1344</v>
      </c>
      <c r="F608" s="216" t="s">
        <v>1346</v>
      </c>
      <c r="G608" s="217" t="s">
        <v>389</v>
      </c>
      <c r="H608" s="218" t="s">
        <v>1645</v>
      </c>
      <c r="I608" s="219"/>
      <c r="J608" s="219"/>
      <c r="K608" s="219" t="s">
        <v>514</v>
      </c>
      <c r="L608" s="219"/>
      <c r="M608" s="219"/>
      <c r="N608" s="219"/>
      <c r="O608" s="216" t="s">
        <v>25</v>
      </c>
      <c r="P608" s="221"/>
      <c r="Q608" s="222"/>
      <c r="R608" s="71">
        <v>0</v>
      </c>
      <c r="S608" s="73">
        <v>298.89999999999998</v>
      </c>
      <c r="T608" s="223">
        <v>0</v>
      </c>
      <c r="U608" s="71">
        <f>ERP_34[[#This Row],[LE2 Final Submission]]-ERP_34[[#This Row],[LE3 Final Submission]]</f>
        <v>298.89999999999998</v>
      </c>
      <c r="V608" s="224"/>
      <c r="W608" s="225">
        <v>256.18</v>
      </c>
      <c r="X608" s="225">
        <v>42.72</v>
      </c>
      <c r="Y608" s="226">
        <v>0</v>
      </c>
      <c r="Z608" s="226">
        <v>0</v>
      </c>
      <c r="AA608" s="226">
        <v>0</v>
      </c>
      <c r="AB608" s="226">
        <v>0</v>
      </c>
      <c r="AC608" s="226">
        <v>0</v>
      </c>
      <c r="AD608" s="226">
        <v>0</v>
      </c>
      <c r="AE608" s="226">
        <v>0</v>
      </c>
      <c r="AF608" s="226">
        <v>0</v>
      </c>
      <c r="AG608" s="226">
        <v>0</v>
      </c>
      <c r="AH608" s="194">
        <f t="shared" si="22"/>
        <v>298.89999999999998</v>
      </c>
      <c r="AI608" s="108">
        <f>ERP_34[[#This Row],[2026 Working Total]]-ERP_34[[#This Row],[2026 LE0]]</f>
        <v>298.89999999999998</v>
      </c>
      <c r="AJ608" s="227"/>
      <c r="AK608" s="227"/>
      <c r="AL608" s="79">
        <f>ERP_34[[#This Row],[AP01]]+ERP_34[[#This Row],[AP02]]+ERP_34[[#This Row],[AP03]]+ERP_34[[#This Row],[AP04]]-ERP_34[[#This Row],[AP01 LE2]]-ERP_34[[#This Row],[AP02 LE2]]-ERP_34[[#This Row],[AP03 LE2]]-ERP_34[[#This Row],[AP04 LE2]]</f>
        <v>-2.8421709430404007E-14</v>
      </c>
      <c r="AM608" s="80"/>
      <c r="AN608" s="79">
        <f>ERP_34[[#This Row],[2026 Working Total to Budget/LE]]-ERP_34[[#This Row],[Giveback]]</f>
        <v>298.89999999999998</v>
      </c>
      <c r="AO608" s="81"/>
      <c r="AP608" s="81"/>
      <c r="AQ608" s="81">
        <v>256.18</v>
      </c>
      <c r="AR608" s="81">
        <v>42.72</v>
      </c>
      <c r="AS608" s="81">
        <v>0</v>
      </c>
      <c r="AT608" s="81">
        <v>0</v>
      </c>
      <c r="AU608" s="81">
        <v>0</v>
      </c>
      <c r="AV608" s="81">
        <v>0</v>
      </c>
      <c r="AW608" s="81">
        <v>0</v>
      </c>
      <c r="AX608" s="81">
        <v>0</v>
      </c>
      <c r="AY608" s="81">
        <v>0</v>
      </c>
      <c r="AZ608" s="81">
        <v>0</v>
      </c>
      <c r="BA608" s="81">
        <v>0</v>
      </c>
      <c r="BB608" s="81">
        <v>298.89999999999998</v>
      </c>
      <c r="BC608" s="227"/>
      <c r="BD608" s="227">
        <v>256.18</v>
      </c>
      <c r="BE608" s="227">
        <v>42.72</v>
      </c>
      <c r="BF608" s="227">
        <v>0</v>
      </c>
      <c r="BG608" s="227">
        <v>0</v>
      </c>
      <c r="BH608" s="227">
        <v>0</v>
      </c>
      <c r="BI608" s="227">
        <v>0</v>
      </c>
      <c r="BJ608" s="227">
        <v>0</v>
      </c>
      <c r="BK608" s="227">
        <v>0</v>
      </c>
      <c r="BL608" s="227">
        <v>0</v>
      </c>
      <c r="BM608" s="227">
        <v>0</v>
      </c>
      <c r="BN608" s="227">
        <v>0</v>
      </c>
      <c r="BO608" s="227">
        <v>298.89999999999998</v>
      </c>
    </row>
    <row r="609" spans="1:67">
      <c r="A609" s="215" t="s">
        <v>1643</v>
      </c>
      <c r="B609" s="215" t="str">
        <f>_xlfn.TEXTJOIN("_",,ERP_34[[#This Row],[LT Member -1*]],ERP_34[[#This Row],[Expense Category]],ERP_34[[#This Row],[Project Code*]])</f>
        <v>McGettigan, David_CONTRACTORS_PR-320001-0000007901</v>
      </c>
      <c r="C609" s="67" t="s">
        <v>1136</v>
      </c>
      <c r="D609" s="216" t="s">
        <v>1567</v>
      </c>
      <c r="E609" s="216" t="s">
        <v>1567</v>
      </c>
      <c r="F609" s="216" t="s">
        <v>1567</v>
      </c>
      <c r="G609" s="217" t="s">
        <v>49</v>
      </c>
      <c r="H609" s="218" t="s">
        <v>1645</v>
      </c>
      <c r="I609" s="219"/>
      <c r="J609" s="219"/>
      <c r="K609" s="219" t="s">
        <v>321</v>
      </c>
      <c r="L609" s="219"/>
      <c r="M609" s="219"/>
      <c r="N609" s="219"/>
      <c r="O609" s="216" t="s">
        <v>25</v>
      </c>
      <c r="P609" s="221"/>
      <c r="Q609" s="222"/>
      <c r="R609" s="71">
        <v>0</v>
      </c>
      <c r="S609" s="73">
        <v>7271.4</v>
      </c>
      <c r="T609" s="223">
        <v>0</v>
      </c>
      <c r="U609" s="71">
        <f>ERP_34[[#This Row],[LE2 Final Submission]]-ERP_34[[#This Row],[LE3 Final Submission]]</f>
        <v>7271.4</v>
      </c>
      <c r="V609" s="224"/>
      <c r="W609" s="225">
        <v>7271.4</v>
      </c>
      <c r="X609" s="247">
        <v>0</v>
      </c>
      <c r="Y609" s="226">
        <v>0</v>
      </c>
      <c r="Z609" s="226">
        <v>0</v>
      </c>
      <c r="AA609" s="226">
        <v>0</v>
      </c>
      <c r="AB609" s="226">
        <v>0</v>
      </c>
      <c r="AC609" s="226">
        <v>0</v>
      </c>
      <c r="AD609" s="226">
        <v>0</v>
      </c>
      <c r="AE609" s="226">
        <v>0</v>
      </c>
      <c r="AF609" s="226">
        <v>0</v>
      </c>
      <c r="AG609" s="226">
        <v>0</v>
      </c>
      <c r="AH609" s="194">
        <f t="shared" si="22"/>
        <v>7271.4</v>
      </c>
      <c r="AI609" s="108">
        <f>ERP_34[[#This Row],[2026 Working Total]]-ERP_34[[#This Row],[2026 LE0]]</f>
        <v>7271.4</v>
      </c>
      <c r="AJ609" s="227"/>
      <c r="AK609" s="227"/>
      <c r="AL60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09" s="80"/>
      <c r="AN609" s="79">
        <f>ERP_34[[#This Row],[2026 Working Total to Budget/LE]]-ERP_34[[#This Row],[Giveback]]</f>
        <v>7271.4</v>
      </c>
      <c r="AO609" s="81"/>
      <c r="AP609" s="81"/>
      <c r="AQ609" s="81">
        <v>7271.4</v>
      </c>
      <c r="AR609" s="81">
        <v>0</v>
      </c>
      <c r="AS609" s="81">
        <v>0</v>
      </c>
      <c r="AT609" s="81">
        <v>0</v>
      </c>
      <c r="AU609" s="81">
        <v>0</v>
      </c>
      <c r="AV609" s="81">
        <v>0</v>
      </c>
      <c r="AW609" s="81">
        <v>0</v>
      </c>
      <c r="AX609" s="81">
        <v>0</v>
      </c>
      <c r="AY609" s="81">
        <v>0</v>
      </c>
      <c r="AZ609" s="81">
        <v>0</v>
      </c>
      <c r="BA609" s="81">
        <v>0</v>
      </c>
      <c r="BB609" s="81">
        <v>7271.4</v>
      </c>
      <c r="BC609" s="227"/>
      <c r="BD609" s="227">
        <v>7271.4</v>
      </c>
      <c r="BE609" s="227">
        <v>0</v>
      </c>
      <c r="BF609" s="227">
        <v>0</v>
      </c>
      <c r="BG609" s="227">
        <v>0</v>
      </c>
      <c r="BH609" s="227">
        <v>0</v>
      </c>
      <c r="BI609" s="227">
        <v>0</v>
      </c>
      <c r="BJ609" s="227">
        <v>0</v>
      </c>
      <c r="BK609" s="227">
        <v>0</v>
      </c>
      <c r="BL609" s="227">
        <v>0</v>
      </c>
      <c r="BM609" s="227">
        <v>0</v>
      </c>
      <c r="BN609" s="227">
        <v>0</v>
      </c>
      <c r="BO609" s="227">
        <v>7271.4</v>
      </c>
    </row>
    <row r="610" spans="1:67">
      <c r="A610" s="215" t="s">
        <v>2835</v>
      </c>
      <c r="B610" s="215" t="str">
        <f>_xlfn.TEXTJOIN("_",,ERP_34[[#This Row],[LT Member -1*]],ERP_34[[#This Row],[Expense Category]],ERP_34[[#This Row],[Project Code*]])</f>
        <v>McGettigan, David_TELECOMMUNICATIONS_PR-320001-0000007901</v>
      </c>
      <c r="C610" s="67" t="s">
        <v>1136</v>
      </c>
      <c r="D610" s="216" t="s">
        <v>1567</v>
      </c>
      <c r="E610" s="216" t="s">
        <v>1567</v>
      </c>
      <c r="F610" s="216" t="s">
        <v>1567</v>
      </c>
      <c r="G610" s="217" t="s">
        <v>1027</v>
      </c>
      <c r="H610" s="218" t="s">
        <v>1645</v>
      </c>
      <c r="I610" s="219"/>
      <c r="J610" s="219"/>
      <c r="K610" s="219" t="s">
        <v>321</v>
      </c>
      <c r="L610" s="219"/>
      <c r="M610" s="219"/>
      <c r="N610" s="219"/>
      <c r="O610" s="216" t="s">
        <v>25</v>
      </c>
      <c r="P610" s="221"/>
      <c r="Q610" s="222"/>
      <c r="R610" s="71">
        <v>0</v>
      </c>
      <c r="S610" s="73">
        <v>8.51</v>
      </c>
      <c r="T610" s="223">
        <v>0</v>
      </c>
      <c r="U610" s="71">
        <f>ERP_34[[#This Row],[LE2 Final Submission]]-ERP_34[[#This Row],[LE3 Final Submission]]</f>
        <v>8.51</v>
      </c>
      <c r="V610" s="224"/>
      <c r="W610" s="225">
        <v>8.51</v>
      </c>
      <c r="X610" s="247">
        <v>0</v>
      </c>
      <c r="Y610" s="226">
        <v>0</v>
      </c>
      <c r="Z610" s="226">
        <v>0</v>
      </c>
      <c r="AA610" s="226">
        <v>0</v>
      </c>
      <c r="AB610" s="226">
        <v>0</v>
      </c>
      <c r="AC610" s="226">
        <v>0</v>
      </c>
      <c r="AD610" s="226">
        <v>0</v>
      </c>
      <c r="AE610" s="226">
        <v>0</v>
      </c>
      <c r="AF610" s="226">
        <v>0</v>
      </c>
      <c r="AG610" s="226">
        <v>0</v>
      </c>
      <c r="AH610" s="194">
        <f t="shared" si="22"/>
        <v>8.51</v>
      </c>
      <c r="AI610" s="108">
        <f>ERP_34[[#This Row],[2026 Working Total]]-ERP_34[[#This Row],[2026 LE0]]</f>
        <v>8.51</v>
      </c>
      <c r="AJ610" s="227"/>
      <c r="AK610" s="227"/>
      <c r="AL61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0" s="80"/>
      <c r="AN610" s="79">
        <f>ERP_34[[#This Row],[2026 Working Total to Budget/LE]]-ERP_34[[#This Row],[Giveback]]</f>
        <v>8.51</v>
      </c>
      <c r="AO610" s="81"/>
      <c r="AP610" s="81"/>
      <c r="AQ610" s="81">
        <v>8.51</v>
      </c>
      <c r="AR610" s="81">
        <v>0</v>
      </c>
      <c r="AS610" s="81">
        <v>0</v>
      </c>
      <c r="AT610" s="81">
        <v>0</v>
      </c>
      <c r="AU610" s="81">
        <v>0</v>
      </c>
      <c r="AV610" s="81">
        <v>0</v>
      </c>
      <c r="AW610" s="81">
        <v>0</v>
      </c>
      <c r="AX610" s="81">
        <v>0</v>
      </c>
      <c r="AY610" s="81">
        <v>0</v>
      </c>
      <c r="AZ610" s="81">
        <v>0</v>
      </c>
      <c r="BA610" s="81">
        <v>0</v>
      </c>
      <c r="BB610" s="81">
        <v>8.51</v>
      </c>
      <c r="BC610" s="227"/>
      <c r="BD610" s="227">
        <v>8.51</v>
      </c>
      <c r="BE610" s="227">
        <v>0</v>
      </c>
      <c r="BF610" s="227">
        <v>0</v>
      </c>
      <c r="BG610" s="227">
        <v>0</v>
      </c>
      <c r="BH610" s="227">
        <v>0</v>
      </c>
      <c r="BI610" s="227">
        <v>0</v>
      </c>
      <c r="BJ610" s="227">
        <v>0</v>
      </c>
      <c r="BK610" s="227">
        <v>0</v>
      </c>
      <c r="BL610" s="227">
        <v>0</v>
      </c>
      <c r="BM610" s="227">
        <v>0</v>
      </c>
      <c r="BN610" s="227">
        <v>0</v>
      </c>
      <c r="BO610" s="227">
        <v>8.51</v>
      </c>
    </row>
    <row r="611" spans="1:67">
      <c r="A611" s="215" t="s">
        <v>2199</v>
      </c>
      <c r="B611" s="215" t="str">
        <f>_xlfn.TEXTJOIN("_",,ERP_34[[#This Row],[LT Member -1*]],ERP_34[[#This Row],[Expense Category]],ERP_34[[#This Row],[Project Code*]])</f>
        <v>DeHart, Lynn_RENT AND UTILITIES_PR-320001-0000007986</v>
      </c>
      <c r="C611" s="67" t="s">
        <v>1136</v>
      </c>
      <c r="D611" s="216" t="s">
        <v>1345</v>
      </c>
      <c r="E611" s="216" t="s">
        <v>1346</v>
      </c>
      <c r="F611" s="216" t="s">
        <v>1346</v>
      </c>
      <c r="G611" s="217" t="s">
        <v>629</v>
      </c>
      <c r="H611" s="218" t="s">
        <v>1648</v>
      </c>
      <c r="I611" s="219"/>
      <c r="J611" s="219"/>
      <c r="K611" s="219" t="s">
        <v>636</v>
      </c>
      <c r="L611" s="219"/>
      <c r="M611" s="219"/>
      <c r="N611" s="219"/>
      <c r="O611" s="216" t="s">
        <v>25</v>
      </c>
      <c r="P611" s="221"/>
      <c r="Q611" s="222"/>
      <c r="R611" s="71">
        <v>0</v>
      </c>
      <c r="S611" s="73">
        <v>961.71</v>
      </c>
      <c r="T611" s="223">
        <v>0</v>
      </c>
      <c r="U611" s="71">
        <f>ERP_34[[#This Row],[LE2 Final Submission]]-ERP_34[[#This Row],[LE3 Final Submission]]</f>
        <v>961.71</v>
      </c>
      <c r="V611" s="224"/>
      <c r="W611" s="225">
        <v>961.71</v>
      </c>
      <c r="X611" s="247">
        <v>0</v>
      </c>
      <c r="Y611" s="226">
        <v>0</v>
      </c>
      <c r="Z611" s="226">
        <v>0</v>
      </c>
      <c r="AA611" s="226">
        <v>0</v>
      </c>
      <c r="AB611" s="226">
        <v>0</v>
      </c>
      <c r="AC611" s="226">
        <v>0</v>
      </c>
      <c r="AD611" s="226">
        <v>0</v>
      </c>
      <c r="AE611" s="226">
        <v>0</v>
      </c>
      <c r="AF611" s="226">
        <v>0</v>
      </c>
      <c r="AG611" s="226">
        <v>0</v>
      </c>
      <c r="AH611" s="194">
        <f t="shared" si="22"/>
        <v>961.71</v>
      </c>
      <c r="AI611" s="108">
        <f>ERP_34[[#This Row],[2026 Working Total]]-ERP_34[[#This Row],[2026 LE0]]</f>
        <v>961.71</v>
      </c>
      <c r="AJ611" s="227"/>
      <c r="AK611" s="227"/>
      <c r="AL61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1" s="80"/>
      <c r="AN611" s="79">
        <f>ERP_34[[#This Row],[2026 Working Total to Budget/LE]]-ERP_34[[#This Row],[Giveback]]</f>
        <v>961.71</v>
      </c>
      <c r="AO611" s="81"/>
      <c r="AP611" s="81"/>
      <c r="AQ611" s="81">
        <v>961.71</v>
      </c>
      <c r="AR611" s="81">
        <v>0</v>
      </c>
      <c r="AS611" s="81">
        <v>0</v>
      </c>
      <c r="AT611" s="81">
        <v>0</v>
      </c>
      <c r="AU611" s="81">
        <v>0</v>
      </c>
      <c r="AV611" s="81">
        <v>0</v>
      </c>
      <c r="AW611" s="81">
        <v>0</v>
      </c>
      <c r="AX611" s="81">
        <v>0</v>
      </c>
      <c r="AY611" s="81">
        <v>0</v>
      </c>
      <c r="AZ611" s="81">
        <v>0</v>
      </c>
      <c r="BA611" s="81">
        <v>0</v>
      </c>
      <c r="BB611" s="81">
        <v>961.71</v>
      </c>
      <c r="BC611" s="227"/>
      <c r="BD611" s="227">
        <v>961.71</v>
      </c>
      <c r="BE611" s="227">
        <v>0</v>
      </c>
      <c r="BF611" s="227">
        <v>0</v>
      </c>
      <c r="BG611" s="227">
        <v>0</v>
      </c>
      <c r="BH611" s="227">
        <v>0</v>
      </c>
      <c r="BI611" s="227">
        <v>0</v>
      </c>
      <c r="BJ611" s="227">
        <v>0</v>
      </c>
      <c r="BK611" s="227">
        <v>0</v>
      </c>
      <c r="BL611" s="227">
        <v>0</v>
      </c>
      <c r="BM611" s="227">
        <v>0</v>
      </c>
      <c r="BN611" s="227">
        <v>0</v>
      </c>
      <c r="BO611" s="227">
        <v>961.71</v>
      </c>
    </row>
    <row r="612" spans="1:67">
      <c r="A612" s="215" t="s">
        <v>2837</v>
      </c>
      <c r="B612" s="215" t="str">
        <f>_xlfn.TEXTJOIN("_",,ERP_34[[#This Row],[LT Member -1*]],ERP_34[[#This Row],[Expense Category]],ERP_34[[#This Row],[Project Code*]])</f>
        <v>DeHart, Lynn_TELECOMMUNICATIONS_PR-320001-0000007986</v>
      </c>
      <c r="C612" s="67" t="s">
        <v>1136</v>
      </c>
      <c r="D612" s="216" t="s">
        <v>1345</v>
      </c>
      <c r="E612" s="216" t="s">
        <v>1346</v>
      </c>
      <c r="F612" s="216" t="s">
        <v>1346</v>
      </c>
      <c r="G612" s="217" t="s">
        <v>1027</v>
      </c>
      <c r="H612" s="218" t="s">
        <v>1648</v>
      </c>
      <c r="I612" s="219"/>
      <c r="J612" s="219"/>
      <c r="K612" s="219" t="s">
        <v>636</v>
      </c>
      <c r="L612" s="219"/>
      <c r="M612" s="219"/>
      <c r="N612" s="219"/>
      <c r="O612" s="216" t="s">
        <v>25</v>
      </c>
      <c r="P612" s="221"/>
      <c r="Q612" s="222"/>
      <c r="R612" s="71">
        <v>0</v>
      </c>
      <c r="S612" s="73">
        <v>11.32</v>
      </c>
      <c r="T612" s="223">
        <v>0</v>
      </c>
      <c r="U612" s="71">
        <f>ERP_34[[#This Row],[LE2 Final Submission]]-ERP_34[[#This Row],[LE3 Final Submission]]</f>
        <v>11.32</v>
      </c>
      <c r="V612" s="224"/>
      <c r="W612" s="225">
        <v>11.32</v>
      </c>
      <c r="X612" s="247">
        <v>0</v>
      </c>
      <c r="Y612" s="226">
        <v>0</v>
      </c>
      <c r="Z612" s="226">
        <v>0</v>
      </c>
      <c r="AA612" s="226">
        <v>0</v>
      </c>
      <c r="AB612" s="226">
        <v>0</v>
      </c>
      <c r="AC612" s="226">
        <v>0</v>
      </c>
      <c r="AD612" s="226">
        <v>0</v>
      </c>
      <c r="AE612" s="226">
        <v>0</v>
      </c>
      <c r="AF612" s="226">
        <v>0</v>
      </c>
      <c r="AG612" s="226">
        <v>0</v>
      </c>
      <c r="AH612" s="194">
        <f t="shared" si="22"/>
        <v>11.32</v>
      </c>
      <c r="AI612" s="108">
        <f>ERP_34[[#This Row],[2026 Working Total]]-ERP_34[[#This Row],[2026 LE0]]</f>
        <v>11.32</v>
      </c>
      <c r="AJ612" s="227"/>
      <c r="AK612" s="227"/>
      <c r="AL61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2" s="80"/>
      <c r="AN612" s="79">
        <f>ERP_34[[#This Row],[2026 Working Total to Budget/LE]]-ERP_34[[#This Row],[Giveback]]</f>
        <v>11.32</v>
      </c>
      <c r="AO612" s="81"/>
      <c r="AP612" s="81"/>
      <c r="AQ612" s="81">
        <v>11.32</v>
      </c>
      <c r="AR612" s="81">
        <v>0</v>
      </c>
      <c r="AS612" s="81">
        <v>0</v>
      </c>
      <c r="AT612" s="81">
        <v>0</v>
      </c>
      <c r="AU612" s="81">
        <v>0</v>
      </c>
      <c r="AV612" s="81">
        <v>0</v>
      </c>
      <c r="AW612" s="81">
        <v>0</v>
      </c>
      <c r="AX612" s="81">
        <v>0</v>
      </c>
      <c r="AY612" s="81">
        <v>0</v>
      </c>
      <c r="AZ612" s="81">
        <v>0</v>
      </c>
      <c r="BA612" s="81">
        <v>0</v>
      </c>
      <c r="BB612" s="81">
        <v>11.32</v>
      </c>
      <c r="BC612" s="227"/>
      <c r="BD612" s="227">
        <v>11.32</v>
      </c>
      <c r="BE612" s="227">
        <v>0</v>
      </c>
      <c r="BF612" s="227">
        <v>0</v>
      </c>
      <c r="BG612" s="227">
        <v>0</v>
      </c>
      <c r="BH612" s="227">
        <v>0</v>
      </c>
      <c r="BI612" s="227">
        <v>0</v>
      </c>
      <c r="BJ612" s="227">
        <v>0</v>
      </c>
      <c r="BK612" s="227">
        <v>0</v>
      </c>
      <c r="BL612" s="227">
        <v>0</v>
      </c>
      <c r="BM612" s="227">
        <v>0</v>
      </c>
      <c r="BN612" s="227">
        <v>0</v>
      </c>
      <c r="BO612" s="227">
        <v>11.32</v>
      </c>
    </row>
    <row r="613" spans="1:67">
      <c r="A613" s="215" t="s">
        <v>1646</v>
      </c>
      <c r="B613" s="215" t="str">
        <f>_xlfn.TEXTJOIN("_",,ERP_34[[#This Row],[LT Member -1*]],ERP_34[[#This Row],[Expense Category]],ERP_34[[#This Row],[Project Code*]])</f>
        <v>DeHart, Lynn_CONTRACTORS_PR-587101-0000007986</v>
      </c>
      <c r="C613" s="67" t="s">
        <v>1136</v>
      </c>
      <c r="D613" s="216" t="s">
        <v>1345</v>
      </c>
      <c r="E613" s="216" t="s">
        <v>1346</v>
      </c>
      <c r="F613" s="216" t="s">
        <v>1346</v>
      </c>
      <c r="G613" s="217" t="s">
        <v>49</v>
      </c>
      <c r="H613" s="218" t="s">
        <v>1648</v>
      </c>
      <c r="I613" s="219"/>
      <c r="J613" s="219"/>
      <c r="K613" s="219" t="s">
        <v>323</v>
      </c>
      <c r="L613" s="219"/>
      <c r="M613" s="219"/>
      <c r="N613" s="219"/>
      <c r="O613" s="216" t="s">
        <v>25</v>
      </c>
      <c r="P613" s="221"/>
      <c r="Q613" s="222"/>
      <c r="R613" s="71">
        <v>0</v>
      </c>
      <c r="S613" s="73">
        <v>130.62</v>
      </c>
      <c r="T613" s="223">
        <v>0</v>
      </c>
      <c r="U613" s="71">
        <f>ERP_34[[#This Row],[LE2 Final Submission]]-ERP_34[[#This Row],[LE3 Final Submission]]</f>
        <v>130.62</v>
      </c>
      <c r="V613" s="224"/>
      <c r="W613" s="225">
        <v>130.62</v>
      </c>
      <c r="X613" s="247">
        <v>0</v>
      </c>
      <c r="Y613" s="226">
        <v>0</v>
      </c>
      <c r="Z613" s="226">
        <v>0</v>
      </c>
      <c r="AA613" s="226">
        <v>0</v>
      </c>
      <c r="AB613" s="226">
        <v>0</v>
      </c>
      <c r="AC613" s="226">
        <v>0</v>
      </c>
      <c r="AD613" s="226">
        <v>0</v>
      </c>
      <c r="AE613" s="226">
        <v>0</v>
      </c>
      <c r="AF613" s="226">
        <v>0</v>
      </c>
      <c r="AG613" s="226">
        <v>0</v>
      </c>
      <c r="AH613" s="194">
        <f t="shared" si="22"/>
        <v>130.62</v>
      </c>
      <c r="AI613" s="108">
        <f>ERP_34[[#This Row],[2026 Working Total]]-ERP_34[[#This Row],[2026 LE0]]</f>
        <v>130.62</v>
      </c>
      <c r="AJ613" s="227"/>
      <c r="AK613" s="227"/>
      <c r="AL61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3" s="80"/>
      <c r="AN613" s="79">
        <f>ERP_34[[#This Row],[2026 Working Total to Budget/LE]]-ERP_34[[#This Row],[Giveback]]</f>
        <v>130.62</v>
      </c>
      <c r="AO613" s="81"/>
      <c r="AP613" s="81"/>
      <c r="AQ613" s="81">
        <v>130.62</v>
      </c>
      <c r="AR613" s="81">
        <v>0</v>
      </c>
      <c r="AS613" s="81">
        <v>0</v>
      </c>
      <c r="AT613" s="81">
        <v>0</v>
      </c>
      <c r="AU613" s="81">
        <v>0</v>
      </c>
      <c r="AV613" s="81">
        <v>0</v>
      </c>
      <c r="AW613" s="81">
        <v>0</v>
      </c>
      <c r="AX613" s="81">
        <v>0</v>
      </c>
      <c r="AY613" s="81">
        <v>0</v>
      </c>
      <c r="AZ613" s="81">
        <v>0</v>
      </c>
      <c r="BA613" s="81">
        <v>0</v>
      </c>
      <c r="BB613" s="81">
        <v>130.62</v>
      </c>
      <c r="BC613" s="227"/>
      <c r="BD613" s="227">
        <v>130.62</v>
      </c>
      <c r="BE613" s="227">
        <v>0</v>
      </c>
      <c r="BF613" s="227">
        <v>0</v>
      </c>
      <c r="BG613" s="227">
        <v>0</v>
      </c>
      <c r="BH613" s="227">
        <v>0</v>
      </c>
      <c r="BI613" s="227">
        <v>0</v>
      </c>
      <c r="BJ613" s="227">
        <v>0</v>
      </c>
      <c r="BK613" s="227">
        <v>0</v>
      </c>
      <c r="BL613" s="227">
        <v>0</v>
      </c>
      <c r="BM613" s="227">
        <v>0</v>
      </c>
      <c r="BN613" s="227">
        <v>0</v>
      </c>
      <c r="BO613" s="227">
        <v>130.62</v>
      </c>
    </row>
    <row r="614" spans="1:67">
      <c r="A614" s="215" t="s">
        <v>2137</v>
      </c>
      <c r="B614" s="215" t="str">
        <f>_xlfn.TEXTJOIN("_",,ERP_34[[#This Row],[LT Member -1*]],ERP_34[[#This Row],[Expense Category]],ERP_34[[#This Row],[Project Code*]])</f>
        <v>DeHart, Lynn_MANAGED SERVICES_PR-587101-0000007986</v>
      </c>
      <c r="C614" s="67" t="s">
        <v>1136</v>
      </c>
      <c r="D614" s="216" t="s">
        <v>1345</v>
      </c>
      <c r="E614" s="216" t="s">
        <v>1346</v>
      </c>
      <c r="F614" s="216" t="s">
        <v>1346</v>
      </c>
      <c r="G614" s="217" t="s">
        <v>389</v>
      </c>
      <c r="H614" s="218" t="s">
        <v>1648</v>
      </c>
      <c r="I614" s="219"/>
      <c r="J614" s="219"/>
      <c r="K614" s="219" t="s">
        <v>323</v>
      </c>
      <c r="L614" s="219"/>
      <c r="M614" s="219"/>
      <c r="N614" s="219"/>
      <c r="O614" s="216" t="s">
        <v>25</v>
      </c>
      <c r="P614" s="221"/>
      <c r="Q614" s="222"/>
      <c r="R614" s="71">
        <v>0</v>
      </c>
      <c r="S614" s="73">
        <v>356.72</v>
      </c>
      <c r="T614" s="223">
        <v>0</v>
      </c>
      <c r="U614" s="71">
        <f>ERP_34[[#This Row],[LE2 Final Submission]]-ERP_34[[#This Row],[LE3 Final Submission]]</f>
        <v>356.72</v>
      </c>
      <c r="V614" s="224"/>
      <c r="W614" s="225">
        <v>356.72</v>
      </c>
      <c r="X614" s="247">
        <v>0</v>
      </c>
      <c r="Y614" s="226">
        <v>0</v>
      </c>
      <c r="Z614" s="226">
        <v>0</v>
      </c>
      <c r="AA614" s="226">
        <v>0</v>
      </c>
      <c r="AB614" s="226">
        <v>0</v>
      </c>
      <c r="AC614" s="226">
        <v>0</v>
      </c>
      <c r="AD614" s="226">
        <v>0</v>
      </c>
      <c r="AE614" s="226">
        <v>0</v>
      </c>
      <c r="AF614" s="226">
        <v>0</v>
      </c>
      <c r="AG614" s="226">
        <v>0</v>
      </c>
      <c r="AH614" s="194">
        <f t="shared" si="22"/>
        <v>356.72</v>
      </c>
      <c r="AI614" s="108">
        <f>ERP_34[[#This Row],[2026 Working Total]]-ERP_34[[#This Row],[2026 LE0]]</f>
        <v>356.72</v>
      </c>
      <c r="AJ614" s="227"/>
      <c r="AK614" s="227"/>
      <c r="AL61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4" s="80"/>
      <c r="AN614" s="79">
        <f>ERP_34[[#This Row],[2026 Working Total to Budget/LE]]-ERP_34[[#This Row],[Giveback]]</f>
        <v>356.72</v>
      </c>
      <c r="AO614" s="81"/>
      <c r="AP614" s="81"/>
      <c r="AQ614" s="81">
        <v>356.72</v>
      </c>
      <c r="AR614" s="81">
        <v>0</v>
      </c>
      <c r="AS614" s="81">
        <v>0</v>
      </c>
      <c r="AT614" s="81">
        <v>0</v>
      </c>
      <c r="AU614" s="81">
        <v>0</v>
      </c>
      <c r="AV614" s="81">
        <v>0</v>
      </c>
      <c r="AW614" s="81">
        <v>0</v>
      </c>
      <c r="AX614" s="81">
        <v>0</v>
      </c>
      <c r="AY614" s="81">
        <v>0</v>
      </c>
      <c r="AZ614" s="81">
        <v>0</v>
      </c>
      <c r="BA614" s="81">
        <v>0</v>
      </c>
      <c r="BB614" s="81">
        <v>356.72</v>
      </c>
      <c r="BC614" s="227"/>
      <c r="BD614" s="227">
        <v>356.72</v>
      </c>
      <c r="BE614" s="227">
        <v>0</v>
      </c>
      <c r="BF614" s="227">
        <v>0</v>
      </c>
      <c r="BG614" s="227">
        <v>0</v>
      </c>
      <c r="BH614" s="227">
        <v>0</v>
      </c>
      <c r="BI614" s="227">
        <v>0</v>
      </c>
      <c r="BJ614" s="227">
        <v>0</v>
      </c>
      <c r="BK614" s="227">
        <v>0</v>
      </c>
      <c r="BL614" s="227">
        <v>0</v>
      </c>
      <c r="BM614" s="227">
        <v>0</v>
      </c>
      <c r="BN614" s="227">
        <v>0</v>
      </c>
      <c r="BO614" s="227">
        <v>356.72</v>
      </c>
    </row>
    <row r="615" spans="1:67">
      <c r="A615" s="215" t="s">
        <v>2184</v>
      </c>
      <c r="B615" s="215" t="str">
        <f>_xlfn.TEXTJOIN("_",,ERP_34[[#This Row],[LT Member -1*]],ERP_34[[#This Row],[Expense Category]],ERP_34[[#This Row],[Project Code*]])</f>
        <v>DeHart, Lynn_OTHER_PR-587101-0000007986</v>
      </c>
      <c r="C615" s="67" t="s">
        <v>1136</v>
      </c>
      <c r="D615" s="216" t="s">
        <v>1345</v>
      </c>
      <c r="E615" s="216" t="s">
        <v>1346</v>
      </c>
      <c r="F615" s="216" t="s">
        <v>1346</v>
      </c>
      <c r="G615" s="217" t="s">
        <v>602</v>
      </c>
      <c r="H615" s="218" t="s">
        <v>1648</v>
      </c>
      <c r="I615" s="219"/>
      <c r="J615" s="219"/>
      <c r="K615" s="219" t="s">
        <v>323</v>
      </c>
      <c r="L615" s="219"/>
      <c r="M615" s="219"/>
      <c r="N615" s="219"/>
      <c r="O615" s="216" t="s">
        <v>25</v>
      </c>
      <c r="P615" s="221"/>
      <c r="Q615" s="222"/>
      <c r="R615" s="71">
        <v>0</v>
      </c>
      <c r="S615" s="73">
        <v>220.29</v>
      </c>
      <c r="T615" s="223">
        <v>0</v>
      </c>
      <c r="U615" s="71">
        <f>ERP_34[[#This Row],[LE2 Final Submission]]-ERP_34[[#This Row],[LE3 Final Submission]]</f>
        <v>220.29</v>
      </c>
      <c r="V615" s="224"/>
      <c r="W615" s="225">
        <v>220.29</v>
      </c>
      <c r="X615" s="247">
        <v>0</v>
      </c>
      <c r="Y615" s="226">
        <v>0</v>
      </c>
      <c r="Z615" s="226">
        <v>0</v>
      </c>
      <c r="AA615" s="226">
        <v>0</v>
      </c>
      <c r="AB615" s="226">
        <v>0</v>
      </c>
      <c r="AC615" s="226">
        <v>0</v>
      </c>
      <c r="AD615" s="226">
        <v>0</v>
      </c>
      <c r="AE615" s="226">
        <v>0</v>
      </c>
      <c r="AF615" s="226">
        <v>0</v>
      </c>
      <c r="AG615" s="226">
        <v>0</v>
      </c>
      <c r="AH615" s="194">
        <f t="shared" si="22"/>
        <v>220.29</v>
      </c>
      <c r="AI615" s="108">
        <f>ERP_34[[#This Row],[2026 Working Total]]-ERP_34[[#This Row],[2026 LE0]]</f>
        <v>220.29</v>
      </c>
      <c r="AJ615" s="227"/>
      <c r="AK615" s="227"/>
      <c r="AL61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5" s="80"/>
      <c r="AN615" s="79">
        <f>ERP_34[[#This Row],[2026 Working Total to Budget/LE]]-ERP_34[[#This Row],[Giveback]]</f>
        <v>220.29</v>
      </c>
      <c r="AO615" s="81"/>
      <c r="AP615" s="81"/>
      <c r="AQ615" s="81">
        <v>220.29</v>
      </c>
      <c r="AR615" s="81">
        <v>0</v>
      </c>
      <c r="AS615" s="81">
        <v>0</v>
      </c>
      <c r="AT615" s="81">
        <v>0</v>
      </c>
      <c r="AU615" s="81">
        <v>0</v>
      </c>
      <c r="AV615" s="81">
        <v>0</v>
      </c>
      <c r="AW615" s="81">
        <v>0</v>
      </c>
      <c r="AX615" s="81">
        <v>0</v>
      </c>
      <c r="AY615" s="81">
        <v>0</v>
      </c>
      <c r="AZ615" s="81">
        <v>0</v>
      </c>
      <c r="BA615" s="81">
        <v>0</v>
      </c>
      <c r="BB615" s="81">
        <v>220.29</v>
      </c>
      <c r="BC615" s="227"/>
      <c r="BD615" s="227">
        <v>220.29</v>
      </c>
      <c r="BE615" s="227">
        <v>0</v>
      </c>
      <c r="BF615" s="227">
        <v>0</v>
      </c>
      <c r="BG615" s="227">
        <v>0</v>
      </c>
      <c r="BH615" s="227">
        <v>0</v>
      </c>
      <c r="BI615" s="227">
        <v>0</v>
      </c>
      <c r="BJ615" s="227">
        <v>0</v>
      </c>
      <c r="BK615" s="227">
        <v>0</v>
      </c>
      <c r="BL615" s="227">
        <v>0</v>
      </c>
      <c r="BM615" s="227">
        <v>0</v>
      </c>
      <c r="BN615" s="227">
        <v>0</v>
      </c>
      <c r="BO615" s="227">
        <v>220.29</v>
      </c>
    </row>
    <row r="616" spans="1:67">
      <c r="A616" s="215" t="s">
        <v>2190</v>
      </c>
      <c r="B616" s="215" t="str">
        <f>_xlfn.TEXTJOIN("_",,ERP_34[[#This Row],[LT Member -1*]],ERP_34[[#This Row],[Expense Category]],ERP_34[[#This Row],[Project Code*]])</f>
        <v>DeHart, Lynn_OUTSIDE COUNSEL_PR-587101-0000007986</v>
      </c>
      <c r="C616" s="67" t="s">
        <v>1136</v>
      </c>
      <c r="D616" s="216" t="s">
        <v>1345</v>
      </c>
      <c r="E616" s="216" t="s">
        <v>1346</v>
      </c>
      <c r="F616" s="216" t="s">
        <v>1346</v>
      </c>
      <c r="G616" s="217" t="s">
        <v>625</v>
      </c>
      <c r="H616" s="218" t="s">
        <v>1648</v>
      </c>
      <c r="I616" s="219"/>
      <c r="J616" s="219"/>
      <c r="K616" s="219" t="s">
        <v>323</v>
      </c>
      <c r="L616" s="219"/>
      <c r="M616" s="219"/>
      <c r="N616" s="219"/>
      <c r="O616" s="216" t="s">
        <v>25</v>
      </c>
      <c r="P616" s="221"/>
      <c r="Q616" s="222"/>
      <c r="R616" s="71">
        <v>0</v>
      </c>
      <c r="S616" s="73">
        <v>3.5</v>
      </c>
      <c r="T616" s="223">
        <v>0</v>
      </c>
      <c r="U616" s="71">
        <f>ERP_34[[#This Row],[LE2 Final Submission]]-ERP_34[[#This Row],[LE3 Final Submission]]</f>
        <v>3.5</v>
      </c>
      <c r="V616" s="224"/>
      <c r="W616" s="225">
        <v>3.5</v>
      </c>
      <c r="X616" s="247">
        <v>0</v>
      </c>
      <c r="Y616" s="226">
        <v>0</v>
      </c>
      <c r="Z616" s="226">
        <v>0</v>
      </c>
      <c r="AA616" s="226">
        <v>0</v>
      </c>
      <c r="AB616" s="226">
        <v>0</v>
      </c>
      <c r="AC616" s="226">
        <v>0</v>
      </c>
      <c r="AD616" s="226">
        <v>0</v>
      </c>
      <c r="AE616" s="226">
        <v>0</v>
      </c>
      <c r="AF616" s="226">
        <v>0</v>
      </c>
      <c r="AG616" s="226">
        <v>0</v>
      </c>
      <c r="AH616" s="194">
        <f t="shared" si="22"/>
        <v>3.5</v>
      </c>
      <c r="AI616" s="108">
        <f>ERP_34[[#This Row],[2026 Working Total]]-ERP_34[[#This Row],[2026 LE0]]</f>
        <v>3.5</v>
      </c>
      <c r="AJ616" s="227"/>
      <c r="AK616" s="227"/>
      <c r="AL61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6" s="80"/>
      <c r="AN616" s="79">
        <f>ERP_34[[#This Row],[2026 Working Total to Budget/LE]]-ERP_34[[#This Row],[Giveback]]</f>
        <v>3.5</v>
      </c>
      <c r="AO616" s="81"/>
      <c r="AP616" s="81"/>
      <c r="AQ616" s="81">
        <v>3.5</v>
      </c>
      <c r="AR616" s="81">
        <v>0</v>
      </c>
      <c r="AS616" s="81">
        <v>0</v>
      </c>
      <c r="AT616" s="81">
        <v>0</v>
      </c>
      <c r="AU616" s="81">
        <v>0</v>
      </c>
      <c r="AV616" s="81">
        <v>0</v>
      </c>
      <c r="AW616" s="81">
        <v>0</v>
      </c>
      <c r="AX616" s="81">
        <v>0</v>
      </c>
      <c r="AY616" s="81">
        <v>0</v>
      </c>
      <c r="AZ616" s="81">
        <v>0</v>
      </c>
      <c r="BA616" s="81">
        <v>0</v>
      </c>
      <c r="BB616" s="81">
        <v>3.5</v>
      </c>
      <c r="BC616" s="227"/>
      <c r="BD616" s="227">
        <v>3.5</v>
      </c>
      <c r="BE616" s="227">
        <v>0</v>
      </c>
      <c r="BF616" s="227">
        <v>0</v>
      </c>
      <c r="BG616" s="227">
        <v>0</v>
      </c>
      <c r="BH616" s="227">
        <v>0</v>
      </c>
      <c r="BI616" s="227">
        <v>0</v>
      </c>
      <c r="BJ616" s="227">
        <v>0</v>
      </c>
      <c r="BK616" s="227">
        <v>0</v>
      </c>
      <c r="BL616" s="227">
        <v>0</v>
      </c>
      <c r="BM616" s="227">
        <v>0</v>
      </c>
      <c r="BN616" s="227">
        <v>0</v>
      </c>
      <c r="BO616" s="227">
        <v>3.5</v>
      </c>
    </row>
    <row r="617" spans="1:67">
      <c r="A617" s="215" t="s">
        <v>2201</v>
      </c>
      <c r="B617" s="215" t="str">
        <f>_xlfn.TEXTJOIN("_",,ERP_34[[#This Row],[LT Member -1*]],ERP_34[[#This Row],[Expense Category]],ERP_34[[#This Row],[Project Code*]])</f>
        <v>DeHart, Lynn_RENT AND UTILITIES_PR-587101-0000007986</v>
      </c>
      <c r="C617" s="67" t="s">
        <v>1136</v>
      </c>
      <c r="D617" s="216" t="s">
        <v>1345</v>
      </c>
      <c r="E617" s="216" t="s">
        <v>1346</v>
      </c>
      <c r="F617" s="216" t="s">
        <v>1346</v>
      </c>
      <c r="G617" s="217" t="s">
        <v>629</v>
      </c>
      <c r="H617" s="218" t="s">
        <v>1648</v>
      </c>
      <c r="I617" s="219"/>
      <c r="J617" s="219"/>
      <c r="K617" s="219" t="s">
        <v>323</v>
      </c>
      <c r="L617" s="219"/>
      <c r="M617" s="219"/>
      <c r="N617" s="219"/>
      <c r="O617" s="216" t="s">
        <v>25</v>
      </c>
      <c r="P617" s="221"/>
      <c r="Q617" s="222"/>
      <c r="R617" s="71">
        <v>0</v>
      </c>
      <c r="S617" s="73">
        <v>1672.26</v>
      </c>
      <c r="T617" s="223">
        <v>0</v>
      </c>
      <c r="U617" s="71">
        <f>ERP_34[[#This Row],[LE2 Final Submission]]-ERP_34[[#This Row],[LE3 Final Submission]]</f>
        <v>1672.26</v>
      </c>
      <c r="V617" s="224"/>
      <c r="W617" s="225">
        <v>1672.26</v>
      </c>
      <c r="X617" s="247">
        <v>0</v>
      </c>
      <c r="Y617" s="226">
        <v>0</v>
      </c>
      <c r="Z617" s="226">
        <v>0</v>
      </c>
      <c r="AA617" s="226">
        <v>0</v>
      </c>
      <c r="AB617" s="226">
        <v>0</v>
      </c>
      <c r="AC617" s="226">
        <v>0</v>
      </c>
      <c r="AD617" s="226">
        <v>0</v>
      </c>
      <c r="AE617" s="226">
        <v>0</v>
      </c>
      <c r="AF617" s="226">
        <v>0</v>
      </c>
      <c r="AG617" s="226">
        <v>0</v>
      </c>
      <c r="AH617" s="194">
        <f t="shared" si="22"/>
        <v>1672.26</v>
      </c>
      <c r="AI617" s="108">
        <f>ERP_34[[#This Row],[2026 Working Total]]-ERP_34[[#This Row],[2026 LE0]]</f>
        <v>1672.26</v>
      </c>
      <c r="AJ617" s="227"/>
      <c r="AK617" s="227"/>
      <c r="AL61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7" s="80"/>
      <c r="AN617" s="79">
        <f>ERP_34[[#This Row],[2026 Working Total to Budget/LE]]-ERP_34[[#This Row],[Giveback]]</f>
        <v>1672.26</v>
      </c>
      <c r="AO617" s="81"/>
      <c r="AP617" s="81"/>
      <c r="AQ617" s="81">
        <v>1672.26</v>
      </c>
      <c r="AR617" s="81">
        <v>0</v>
      </c>
      <c r="AS617" s="81">
        <v>0</v>
      </c>
      <c r="AT617" s="81">
        <v>0</v>
      </c>
      <c r="AU617" s="81">
        <v>0</v>
      </c>
      <c r="AV617" s="81">
        <v>0</v>
      </c>
      <c r="AW617" s="81">
        <v>0</v>
      </c>
      <c r="AX617" s="81">
        <v>0</v>
      </c>
      <c r="AY617" s="81">
        <v>0</v>
      </c>
      <c r="AZ617" s="81">
        <v>0</v>
      </c>
      <c r="BA617" s="81">
        <v>0</v>
      </c>
      <c r="BB617" s="81">
        <v>1672.26</v>
      </c>
      <c r="BC617" s="227"/>
      <c r="BD617" s="227">
        <v>1672.26</v>
      </c>
      <c r="BE617" s="227">
        <v>0</v>
      </c>
      <c r="BF617" s="227">
        <v>0</v>
      </c>
      <c r="BG617" s="227">
        <v>0</v>
      </c>
      <c r="BH617" s="227">
        <v>0</v>
      </c>
      <c r="BI617" s="227">
        <v>0</v>
      </c>
      <c r="BJ617" s="227">
        <v>0</v>
      </c>
      <c r="BK617" s="227">
        <v>0</v>
      </c>
      <c r="BL617" s="227">
        <v>0</v>
      </c>
      <c r="BM617" s="227">
        <v>0</v>
      </c>
      <c r="BN617" s="227">
        <v>0</v>
      </c>
      <c r="BO617" s="227">
        <v>1672.26</v>
      </c>
    </row>
    <row r="618" spans="1:67">
      <c r="A618" s="215" t="s">
        <v>2857</v>
      </c>
      <c r="B618" s="215" t="str">
        <f>_xlfn.TEXTJOIN("_",,ERP_34[[#This Row],[LT Member -1*]],ERP_34[[#This Row],[Expense Category]],ERP_34[[#This Row],[Project Code*]])</f>
        <v>DeHart, Lynn_TRAVEL &amp; ENTERTAINMENT_PR-587101-0000007986</v>
      </c>
      <c r="C618" s="67" t="s">
        <v>1136</v>
      </c>
      <c r="D618" s="216" t="s">
        <v>1345</v>
      </c>
      <c r="E618" s="216" t="s">
        <v>1346</v>
      </c>
      <c r="F618" s="216" t="s">
        <v>1346</v>
      </c>
      <c r="G618" s="217" t="s">
        <v>1037</v>
      </c>
      <c r="H618" s="218" t="s">
        <v>1648</v>
      </c>
      <c r="I618" s="219"/>
      <c r="J618" s="219"/>
      <c r="K618" s="219" t="s">
        <v>323</v>
      </c>
      <c r="L618" s="219"/>
      <c r="M618" s="219"/>
      <c r="N618" s="219"/>
      <c r="O618" s="216" t="s">
        <v>25</v>
      </c>
      <c r="P618" s="221"/>
      <c r="Q618" s="222"/>
      <c r="R618" s="71">
        <v>0</v>
      </c>
      <c r="S618" s="73">
        <v>64.67</v>
      </c>
      <c r="T618" s="223">
        <v>0</v>
      </c>
      <c r="U618" s="71">
        <f>ERP_34[[#This Row],[LE2 Final Submission]]-ERP_34[[#This Row],[LE3 Final Submission]]</f>
        <v>64.67</v>
      </c>
      <c r="V618" s="224"/>
      <c r="W618" s="225">
        <v>64.67</v>
      </c>
      <c r="X618" s="247">
        <v>0</v>
      </c>
      <c r="Y618" s="226">
        <v>0</v>
      </c>
      <c r="Z618" s="226">
        <v>0</v>
      </c>
      <c r="AA618" s="226">
        <v>0</v>
      </c>
      <c r="AB618" s="226">
        <v>0</v>
      </c>
      <c r="AC618" s="226">
        <v>0</v>
      </c>
      <c r="AD618" s="226">
        <v>0</v>
      </c>
      <c r="AE618" s="226">
        <v>0</v>
      </c>
      <c r="AF618" s="226">
        <v>0</v>
      </c>
      <c r="AG618" s="226">
        <v>0</v>
      </c>
      <c r="AH618" s="194">
        <f t="shared" si="22"/>
        <v>64.67</v>
      </c>
      <c r="AI618" s="108">
        <f>ERP_34[[#This Row],[2026 Working Total]]-ERP_34[[#This Row],[2026 LE0]]</f>
        <v>64.67</v>
      </c>
      <c r="AJ618" s="227"/>
      <c r="AK618" s="227"/>
      <c r="AL61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8" s="80"/>
      <c r="AN618" s="79">
        <f>ERP_34[[#This Row],[2026 Working Total to Budget/LE]]-ERP_34[[#This Row],[Giveback]]</f>
        <v>64.67</v>
      </c>
      <c r="AO618" s="81"/>
      <c r="AP618" s="81"/>
      <c r="AQ618" s="81">
        <v>64.67</v>
      </c>
      <c r="AR618" s="81">
        <v>0</v>
      </c>
      <c r="AS618" s="81">
        <v>0</v>
      </c>
      <c r="AT618" s="81">
        <v>0</v>
      </c>
      <c r="AU618" s="81">
        <v>0</v>
      </c>
      <c r="AV618" s="81">
        <v>0</v>
      </c>
      <c r="AW618" s="81">
        <v>0</v>
      </c>
      <c r="AX618" s="81">
        <v>0</v>
      </c>
      <c r="AY618" s="81">
        <v>0</v>
      </c>
      <c r="AZ618" s="81">
        <v>0</v>
      </c>
      <c r="BA618" s="81">
        <v>0</v>
      </c>
      <c r="BB618" s="81">
        <v>64.67</v>
      </c>
      <c r="BC618" s="227"/>
      <c r="BD618" s="227">
        <v>64.67</v>
      </c>
      <c r="BE618" s="227">
        <v>0</v>
      </c>
      <c r="BF618" s="227">
        <v>0</v>
      </c>
      <c r="BG618" s="227">
        <v>0</v>
      </c>
      <c r="BH618" s="227">
        <v>0</v>
      </c>
      <c r="BI618" s="227">
        <v>0</v>
      </c>
      <c r="BJ618" s="227">
        <v>0</v>
      </c>
      <c r="BK618" s="227">
        <v>0</v>
      </c>
      <c r="BL618" s="227">
        <v>0</v>
      </c>
      <c r="BM618" s="227">
        <v>0</v>
      </c>
      <c r="BN618" s="227">
        <v>0</v>
      </c>
      <c r="BO618" s="227">
        <v>64.67</v>
      </c>
    </row>
    <row r="619" spans="1:67">
      <c r="A619" s="215" t="s">
        <v>2829</v>
      </c>
      <c r="B619" s="215" t="str">
        <f>_xlfn.TEXTJOIN("_",,ERP_34[[#This Row],[LT Member -1*]],ERP_34[[#This Row],[Expense Category]],ERP_34[[#This Row],[Project Code*]])</f>
        <v>Dougherty, Chris_TELECOMMUNICATIONS_Telecom001</v>
      </c>
      <c r="C619" s="67" t="s">
        <v>1136</v>
      </c>
      <c r="D619" s="216" t="s">
        <v>1135</v>
      </c>
      <c r="E619" s="216" t="s">
        <v>1135</v>
      </c>
      <c r="F619" s="216" t="s">
        <v>1137</v>
      </c>
      <c r="G619" s="217" t="s">
        <v>1027</v>
      </c>
      <c r="H619" s="218" t="s">
        <v>2830</v>
      </c>
      <c r="I619" s="219"/>
      <c r="J619" s="219"/>
      <c r="K619" s="219" t="s">
        <v>1029</v>
      </c>
      <c r="L619" s="219"/>
      <c r="M619" s="219"/>
      <c r="N619" s="219"/>
      <c r="O619" s="216" t="s">
        <v>25</v>
      </c>
      <c r="P619" s="221"/>
      <c r="Q619" s="222"/>
      <c r="R619" s="71">
        <v>0</v>
      </c>
      <c r="S619" s="73">
        <v>4741</v>
      </c>
      <c r="T619" s="223">
        <v>0</v>
      </c>
      <c r="U619" s="71">
        <f>ERP_34[[#This Row],[LE2 Final Submission]]-ERP_34[[#This Row],[LE3 Final Submission]]</f>
        <v>4741</v>
      </c>
      <c r="V619" s="224">
        <v>876</v>
      </c>
      <c r="W619" s="225">
        <v>1712</v>
      </c>
      <c r="X619" s="225">
        <v>2153</v>
      </c>
      <c r="Y619" s="226">
        <v>0</v>
      </c>
      <c r="Z619" s="226">
        <v>0</v>
      </c>
      <c r="AA619" s="226">
        <v>0</v>
      </c>
      <c r="AB619" s="226">
        <v>0</v>
      </c>
      <c r="AC619" s="226">
        <v>0</v>
      </c>
      <c r="AD619" s="226">
        <v>0</v>
      </c>
      <c r="AE619" s="226">
        <v>0</v>
      </c>
      <c r="AF619" s="226">
        <v>0</v>
      </c>
      <c r="AG619" s="226">
        <v>0</v>
      </c>
      <c r="AH619" s="194">
        <f t="shared" si="22"/>
        <v>4741</v>
      </c>
      <c r="AI619" s="108">
        <f>ERP_34[[#This Row],[2026 Working Total]]-ERP_34[[#This Row],[2026 LE0]]</f>
        <v>4741</v>
      </c>
      <c r="AJ619" s="227"/>
      <c r="AK619" s="227"/>
      <c r="AL61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19" s="80"/>
      <c r="AN619" s="79">
        <f>ERP_34[[#This Row],[2026 Working Total to Budget/LE]]-ERP_34[[#This Row],[Giveback]]</f>
        <v>4741</v>
      </c>
      <c r="AO619" s="81"/>
      <c r="AP619" s="81">
        <v>876</v>
      </c>
      <c r="AQ619" s="81">
        <v>1712</v>
      </c>
      <c r="AR619" s="81">
        <v>2153</v>
      </c>
      <c r="AS619" s="81">
        <v>0</v>
      </c>
      <c r="AT619" s="81">
        <v>0</v>
      </c>
      <c r="AU619" s="81">
        <v>0</v>
      </c>
      <c r="AV619" s="81">
        <v>0</v>
      </c>
      <c r="AW619" s="81">
        <v>0</v>
      </c>
      <c r="AX619" s="81">
        <v>0</v>
      </c>
      <c r="AY619" s="81">
        <v>0</v>
      </c>
      <c r="AZ619" s="81">
        <v>0</v>
      </c>
      <c r="BA619" s="81">
        <v>0</v>
      </c>
      <c r="BB619" s="81">
        <v>4741</v>
      </c>
      <c r="BC619" s="227">
        <v>876</v>
      </c>
      <c r="BD619" s="227">
        <v>1712</v>
      </c>
      <c r="BE619" s="227">
        <v>2153</v>
      </c>
      <c r="BF619" s="227">
        <v>0</v>
      </c>
      <c r="BG619" s="227">
        <v>0</v>
      </c>
      <c r="BH619" s="227">
        <v>0</v>
      </c>
      <c r="BI619" s="227">
        <v>0</v>
      </c>
      <c r="BJ619" s="227">
        <v>0</v>
      </c>
      <c r="BK619" s="227">
        <v>0</v>
      </c>
      <c r="BL619" s="227">
        <v>0</v>
      </c>
      <c r="BM619" s="227">
        <v>0</v>
      </c>
      <c r="BN619" s="227">
        <v>0</v>
      </c>
      <c r="BO619" s="227">
        <v>4741</v>
      </c>
    </row>
    <row r="620" spans="1:67">
      <c r="A620" s="215" t="s">
        <v>2831</v>
      </c>
      <c r="B620" s="215" t="str">
        <f>_xlfn.TEXTJOIN("_",,ERP_34[[#This Row],[LT Member -1*]],ERP_34[[#This Row],[Expense Category]],ERP_34[[#This Row],[Project Code*]])</f>
        <v>Maguire, Karla_TELECOMMUNICATIONS_Telecom001</v>
      </c>
      <c r="C620" s="67" t="s">
        <v>1136</v>
      </c>
      <c r="D620" s="216" t="s">
        <v>1135</v>
      </c>
      <c r="E620" s="216" t="s">
        <v>1137</v>
      </c>
      <c r="F620" s="216" t="s">
        <v>1137</v>
      </c>
      <c r="G620" s="217" t="s">
        <v>1027</v>
      </c>
      <c r="H620" s="218" t="s">
        <v>2830</v>
      </c>
      <c r="I620" s="219"/>
      <c r="J620" s="219"/>
      <c r="K620" s="219" t="s">
        <v>1029</v>
      </c>
      <c r="L620" s="219"/>
      <c r="M620" s="219"/>
      <c r="N620" s="219"/>
      <c r="O620" s="216" t="s">
        <v>25</v>
      </c>
      <c r="P620" s="221"/>
      <c r="Q620" s="222"/>
      <c r="R620" s="71">
        <v>78300</v>
      </c>
      <c r="S620" s="73">
        <v>62093.21</v>
      </c>
      <c r="T620" s="223">
        <v>78300</v>
      </c>
      <c r="U620" s="71">
        <f>ERP_34[[#This Row],[LE2 Final Submission]]-ERP_34[[#This Row],[LE3 Final Submission]]</f>
        <v>-16206.79</v>
      </c>
      <c r="V620" s="224">
        <v>350.82</v>
      </c>
      <c r="W620" s="225">
        <v>683.3</v>
      </c>
      <c r="X620" s="225">
        <v>1259.0899999999999</v>
      </c>
      <c r="Y620" s="228">
        <v>6400</v>
      </c>
      <c r="Z620" s="228">
        <v>6400</v>
      </c>
      <c r="AA620" s="228">
        <v>6400</v>
      </c>
      <c r="AB620" s="228">
        <v>6500</v>
      </c>
      <c r="AC620" s="228">
        <v>6500</v>
      </c>
      <c r="AD620" s="228">
        <v>6900</v>
      </c>
      <c r="AE620" s="228">
        <v>6900</v>
      </c>
      <c r="AF620" s="228">
        <v>6900</v>
      </c>
      <c r="AG620" s="228">
        <v>6900</v>
      </c>
      <c r="AH620" s="194">
        <f t="shared" si="22"/>
        <v>62093.21</v>
      </c>
      <c r="AI620" s="108">
        <f>ERP_34[[#This Row],[2026 Working Total]]-ERP_34[[#This Row],[2026 LE0]]</f>
        <v>-16206.79</v>
      </c>
      <c r="AJ620" s="227"/>
      <c r="AK620" s="227"/>
      <c r="AL62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0" s="80"/>
      <c r="AN620" s="79">
        <f>ERP_34[[#This Row],[2026 Working Total to Budget/LE]]-ERP_34[[#This Row],[Giveback]]</f>
        <v>-16206.79</v>
      </c>
      <c r="AO620" s="81"/>
      <c r="AP620" s="81">
        <v>350.82</v>
      </c>
      <c r="AQ620" s="81">
        <v>683.3</v>
      </c>
      <c r="AR620" s="81">
        <v>1259.0899999999999</v>
      </c>
      <c r="AS620" s="81">
        <v>6400</v>
      </c>
      <c r="AT620" s="81">
        <v>6400</v>
      </c>
      <c r="AU620" s="81">
        <v>6400</v>
      </c>
      <c r="AV620" s="81">
        <v>6500</v>
      </c>
      <c r="AW620" s="81">
        <v>6500</v>
      </c>
      <c r="AX620" s="81">
        <v>6900</v>
      </c>
      <c r="AY620" s="81">
        <v>6900</v>
      </c>
      <c r="AZ620" s="81">
        <v>6900</v>
      </c>
      <c r="BA620" s="81">
        <v>6900</v>
      </c>
      <c r="BB620" s="81">
        <v>62093.21</v>
      </c>
      <c r="BC620" s="227">
        <v>350.82</v>
      </c>
      <c r="BD620" s="227">
        <v>683.3</v>
      </c>
      <c r="BE620" s="227">
        <v>1259.0899999999999</v>
      </c>
      <c r="BF620" s="227">
        <v>6400</v>
      </c>
      <c r="BG620" s="227">
        <v>6400</v>
      </c>
      <c r="BH620" s="227">
        <v>6400</v>
      </c>
      <c r="BI620" s="227">
        <v>6500</v>
      </c>
      <c r="BJ620" s="227">
        <v>6500</v>
      </c>
      <c r="BK620" s="227">
        <v>6900</v>
      </c>
      <c r="BL620" s="227">
        <v>6900</v>
      </c>
      <c r="BM620" s="227">
        <v>6900</v>
      </c>
      <c r="BN620" s="227">
        <v>6900</v>
      </c>
      <c r="BO620" s="227">
        <v>62093.21</v>
      </c>
    </row>
    <row r="621" spans="1:67">
      <c r="A621" s="215" t="s">
        <v>2840</v>
      </c>
      <c r="B621" s="215" t="str">
        <f>_xlfn.TEXTJOIN("_",,ERP_34[[#This Row],[LT Member -1*]],ERP_34[[#This Row],[Expense Category]],ERP_34[[#This Row],[Project Code*]])</f>
        <v>DeHart, Lynn_TELECOMMUNICATIONS_Telecom001</v>
      </c>
      <c r="C621" s="67" t="s">
        <v>1136</v>
      </c>
      <c r="D621" s="216" t="s">
        <v>1345</v>
      </c>
      <c r="E621" s="216" t="s">
        <v>1346</v>
      </c>
      <c r="F621" s="216" t="s">
        <v>1346</v>
      </c>
      <c r="G621" s="217" t="s">
        <v>1027</v>
      </c>
      <c r="H621" s="218" t="s">
        <v>2830</v>
      </c>
      <c r="I621" s="219"/>
      <c r="J621" s="219"/>
      <c r="K621" s="219" t="s">
        <v>1029</v>
      </c>
      <c r="L621" s="219"/>
      <c r="M621" s="219"/>
      <c r="N621" s="219"/>
      <c r="O621" s="216" t="s">
        <v>25</v>
      </c>
      <c r="P621" s="221"/>
      <c r="Q621" s="222"/>
      <c r="R621" s="71">
        <v>157900</v>
      </c>
      <c r="S621" s="73">
        <v>130982.95</v>
      </c>
      <c r="T621" s="223">
        <v>157900</v>
      </c>
      <c r="U621" s="71">
        <f>ERP_34[[#This Row],[LE2 Final Submission]]-ERP_34[[#This Row],[LE3 Final Submission]]</f>
        <v>-26917.050000000003</v>
      </c>
      <c r="V621" s="224">
        <v>2896.56</v>
      </c>
      <c r="W621" s="225">
        <v>3761.9</v>
      </c>
      <c r="X621" s="225">
        <v>4324.49</v>
      </c>
      <c r="Y621" s="228">
        <v>12300</v>
      </c>
      <c r="Z621" s="228">
        <v>12300</v>
      </c>
      <c r="AA621" s="228">
        <v>13200</v>
      </c>
      <c r="AB621" s="228">
        <v>13500</v>
      </c>
      <c r="AC621" s="228">
        <v>13700</v>
      </c>
      <c r="AD621" s="228">
        <v>13700</v>
      </c>
      <c r="AE621" s="228">
        <v>13700</v>
      </c>
      <c r="AF621" s="228">
        <v>13800</v>
      </c>
      <c r="AG621" s="228">
        <v>13800</v>
      </c>
      <c r="AH621" s="194">
        <f t="shared" si="22"/>
        <v>130982.95</v>
      </c>
      <c r="AI621" s="108">
        <f>ERP_34[[#This Row],[2026 Working Total]]-ERP_34[[#This Row],[2026 LE0]]</f>
        <v>-26917.050000000003</v>
      </c>
      <c r="AJ621" s="227"/>
      <c r="AK621" s="227"/>
      <c r="AL62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1" s="80"/>
      <c r="AN621" s="79">
        <f>ERP_34[[#This Row],[2026 Working Total to Budget/LE]]-ERP_34[[#This Row],[Giveback]]</f>
        <v>-26917.050000000003</v>
      </c>
      <c r="AO621" s="81"/>
      <c r="AP621" s="81">
        <v>2896.56</v>
      </c>
      <c r="AQ621" s="81">
        <v>3761.9</v>
      </c>
      <c r="AR621" s="81">
        <v>4324.49</v>
      </c>
      <c r="AS621" s="81">
        <v>12300</v>
      </c>
      <c r="AT621" s="81">
        <v>12300</v>
      </c>
      <c r="AU621" s="81">
        <v>13200</v>
      </c>
      <c r="AV621" s="81">
        <v>13500</v>
      </c>
      <c r="AW621" s="81">
        <v>13700</v>
      </c>
      <c r="AX621" s="81">
        <v>13700</v>
      </c>
      <c r="AY621" s="81">
        <v>13700</v>
      </c>
      <c r="AZ621" s="81">
        <v>13800</v>
      </c>
      <c r="BA621" s="81">
        <v>13800</v>
      </c>
      <c r="BB621" s="81">
        <v>130982.95</v>
      </c>
      <c r="BC621" s="227">
        <v>2896.56</v>
      </c>
      <c r="BD621" s="227">
        <v>3761.9</v>
      </c>
      <c r="BE621" s="227">
        <v>4324.49</v>
      </c>
      <c r="BF621" s="227">
        <v>12300</v>
      </c>
      <c r="BG621" s="227">
        <v>12300</v>
      </c>
      <c r="BH621" s="227">
        <v>13200</v>
      </c>
      <c r="BI621" s="227">
        <v>13500</v>
      </c>
      <c r="BJ621" s="227">
        <v>13700</v>
      </c>
      <c r="BK621" s="227">
        <v>13700</v>
      </c>
      <c r="BL621" s="227">
        <v>13700</v>
      </c>
      <c r="BM621" s="227">
        <v>13800</v>
      </c>
      <c r="BN621" s="227">
        <v>13800</v>
      </c>
      <c r="BO621" s="227">
        <v>130982.95</v>
      </c>
    </row>
    <row r="622" spans="1:67">
      <c r="A622" s="215" t="s">
        <v>2833</v>
      </c>
      <c r="B622" s="215" t="str">
        <f>_xlfn.TEXTJOIN("_",,ERP_34[[#This Row],[LT Member -1*]],ERP_34[[#This Row],[Expense Category]],ERP_34[[#This Row],[Project Code*]])</f>
        <v>Ganesan, Srinivasan_TELECOMMUNICATIONS_Telecom001</v>
      </c>
      <c r="C622" s="67" t="s">
        <v>1136</v>
      </c>
      <c r="D622" s="216" t="s">
        <v>1345</v>
      </c>
      <c r="E622" s="216" t="s">
        <v>1344</v>
      </c>
      <c r="F622" s="216" t="s">
        <v>1346</v>
      </c>
      <c r="G622" s="217" t="s">
        <v>1027</v>
      </c>
      <c r="H622" s="218" t="s">
        <v>2830</v>
      </c>
      <c r="I622" s="219"/>
      <c r="J622" s="219"/>
      <c r="K622" s="219" t="s">
        <v>1029</v>
      </c>
      <c r="L622" s="219"/>
      <c r="M622" s="219"/>
      <c r="N622" s="219"/>
      <c r="O622" s="216" t="s">
        <v>25</v>
      </c>
      <c r="P622" s="221"/>
      <c r="Q622" s="222"/>
      <c r="R622" s="71">
        <v>0</v>
      </c>
      <c r="S622" s="73">
        <v>39.089999999999996</v>
      </c>
      <c r="T622" s="223">
        <v>0</v>
      </c>
      <c r="U622" s="71">
        <f>ERP_34[[#This Row],[LE2 Final Submission]]-ERP_34[[#This Row],[LE3 Final Submission]]</f>
        <v>39.089999999999996</v>
      </c>
      <c r="V622" s="224">
        <v>-39.24</v>
      </c>
      <c r="W622" s="225">
        <v>78.33</v>
      </c>
      <c r="X622" s="247">
        <v>0</v>
      </c>
      <c r="Y622" s="226">
        <v>0</v>
      </c>
      <c r="Z622" s="226">
        <v>0</v>
      </c>
      <c r="AA622" s="226">
        <v>0</v>
      </c>
      <c r="AB622" s="226">
        <v>0</v>
      </c>
      <c r="AC622" s="226">
        <v>0</v>
      </c>
      <c r="AD622" s="226">
        <v>0</v>
      </c>
      <c r="AE622" s="226">
        <v>0</v>
      </c>
      <c r="AF622" s="226">
        <v>0</v>
      </c>
      <c r="AG622" s="226">
        <v>0</v>
      </c>
      <c r="AH622" s="194">
        <f t="shared" si="22"/>
        <v>39.089999999999996</v>
      </c>
      <c r="AI622" s="108">
        <f>ERP_34[[#This Row],[2026 Working Total]]-ERP_34[[#This Row],[2026 LE0]]</f>
        <v>39.089999999999996</v>
      </c>
      <c r="AJ622" s="227"/>
      <c r="AK622" s="227"/>
      <c r="AL62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2" s="80"/>
      <c r="AN622" s="79">
        <f>ERP_34[[#This Row],[2026 Working Total to Budget/LE]]-ERP_34[[#This Row],[Giveback]]</f>
        <v>39.089999999999996</v>
      </c>
      <c r="AO622" s="81"/>
      <c r="AP622" s="81">
        <v>-39.24</v>
      </c>
      <c r="AQ622" s="81">
        <v>78.33</v>
      </c>
      <c r="AR622" s="81">
        <v>0</v>
      </c>
      <c r="AS622" s="81">
        <v>0</v>
      </c>
      <c r="AT622" s="81">
        <v>0</v>
      </c>
      <c r="AU622" s="81">
        <v>0</v>
      </c>
      <c r="AV622" s="81">
        <v>0</v>
      </c>
      <c r="AW622" s="81">
        <v>0</v>
      </c>
      <c r="AX622" s="81">
        <v>0</v>
      </c>
      <c r="AY622" s="81">
        <v>0</v>
      </c>
      <c r="AZ622" s="81">
        <v>0</v>
      </c>
      <c r="BA622" s="81">
        <v>0</v>
      </c>
      <c r="BB622" s="81">
        <v>39.089999999999996</v>
      </c>
      <c r="BC622" s="227">
        <v>-39.24</v>
      </c>
      <c r="BD622" s="227">
        <v>78.33</v>
      </c>
      <c r="BE622" s="227">
        <v>0</v>
      </c>
      <c r="BF622" s="227">
        <v>0</v>
      </c>
      <c r="BG622" s="227">
        <v>0</v>
      </c>
      <c r="BH622" s="227">
        <v>0</v>
      </c>
      <c r="BI622" s="227">
        <v>0</v>
      </c>
      <c r="BJ622" s="227">
        <v>0</v>
      </c>
      <c r="BK622" s="227">
        <v>0</v>
      </c>
      <c r="BL622" s="227">
        <v>0</v>
      </c>
      <c r="BM622" s="227">
        <v>0</v>
      </c>
      <c r="BN622" s="227">
        <v>0</v>
      </c>
      <c r="BO622" s="227">
        <v>39.089999999999996</v>
      </c>
    </row>
    <row r="623" spans="1:67">
      <c r="A623" s="215" t="s">
        <v>2834</v>
      </c>
      <c r="B623" s="215" t="str">
        <f>_xlfn.TEXTJOIN("_",,ERP_34[[#This Row],[LT Member -1*]],ERP_34[[#This Row],[Expense Category]],ERP_34[[#This Row],[Project Code*]])</f>
        <v>Jajodia, Amit_TELECOMMUNICATIONS_Telecom001</v>
      </c>
      <c r="C623" s="67" t="s">
        <v>1136</v>
      </c>
      <c r="D623" s="216" t="s">
        <v>1345</v>
      </c>
      <c r="E623" s="216" t="s">
        <v>1515</v>
      </c>
      <c r="F623" s="216" t="s">
        <v>1346</v>
      </c>
      <c r="G623" s="217" t="s">
        <v>1027</v>
      </c>
      <c r="H623" s="218" t="s">
        <v>2830</v>
      </c>
      <c r="I623" s="219"/>
      <c r="J623" s="219"/>
      <c r="K623" s="219" t="s">
        <v>1029</v>
      </c>
      <c r="L623" s="219"/>
      <c r="M623" s="219"/>
      <c r="N623" s="219"/>
      <c r="O623" s="216" t="s">
        <v>25</v>
      </c>
      <c r="P623" s="221"/>
      <c r="Q623" s="222"/>
      <c r="R623" s="71">
        <v>0</v>
      </c>
      <c r="S623" s="73">
        <v>208.93</v>
      </c>
      <c r="T623" s="223">
        <v>0</v>
      </c>
      <c r="U623" s="71">
        <f>ERP_34[[#This Row],[LE2 Final Submission]]-ERP_34[[#This Row],[LE3 Final Submission]]</f>
        <v>208.93</v>
      </c>
      <c r="V623" s="224">
        <v>-76.86</v>
      </c>
      <c r="W623" s="225">
        <v>111.1</v>
      </c>
      <c r="X623" s="225">
        <v>174.69</v>
      </c>
      <c r="Y623" s="226">
        <v>0</v>
      </c>
      <c r="Z623" s="226">
        <v>0</v>
      </c>
      <c r="AA623" s="226">
        <v>0</v>
      </c>
      <c r="AB623" s="226">
        <v>0</v>
      </c>
      <c r="AC623" s="226">
        <v>0</v>
      </c>
      <c r="AD623" s="226">
        <v>0</v>
      </c>
      <c r="AE623" s="226">
        <v>0</v>
      </c>
      <c r="AF623" s="226">
        <v>0</v>
      </c>
      <c r="AG623" s="226">
        <v>0</v>
      </c>
      <c r="AH623" s="194">
        <f t="shared" si="22"/>
        <v>208.93</v>
      </c>
      <c r="AI623" s="108">
        <f>ERP_34[[#This Row],[2026 Working Total]]-ERP_34[[#This Row],[2026 LE0]]</f>
        <v>208.93</v>
      </c>
      <c r="AJ623" s="227"/>
      <c r="AK623" s="227"/>
      <c r="AL623" s="79">
        <f>ERP_34[[#This Row],[AP01]]+ERP_34[[#This Row],[AP02]]+ERP_34[[#This Row],[AP03]]+ERP_34[[#This Row],[AP04]]-ERP_34[[#This Row],[AP01 LE2]]-ERP_34[[#This Row],[AP02 LE2]]-ERP_34[[#This Row],[AP03 LE2]]-ERP_34[[#This Row],[AP04 LE2]]</f>
        <v>2.8421709430404007E-14</v>
      </c>
      <c r="AM623" s="80"/>
      <c r="AN623" s="79">
        <f>ERP_34[[#This Row],[2026 Working Total to Budget/LE]]-ERP_34[[#This Row],[Giveback]]</f>
        <v>208.93</v>
      </c>
      <c r="AO623" s="81"/>
      <c r="AP623" s="81">
        <v>-76.86</v>
      </c>
      <c r="AQ623" s="81">
        <v>111.1</v>
      </c>
      <c r="AR623" s="81">
        <v>174.69</v>
      </c>
      <c r="AS623" s="81">
        <v>0</v>
      </c>
      <c r="AT623" s="81">
        <v>0</v>
      </c>
      <c r="AU623" s="81">
        <v>0</v>
      </c>
      <c r="AV623" s="81">
        <v>0</v>
      </c>
      <c r="AW623" s="81">
        <v>0</v>
      </c>
      <c r="AX623" s="81">
        <v>0</v>
      </c>
      <c r="AY623" s="81">
        <v>0</v>
      </c>
      <c r="AZ623" s="81">
        <v>0</v>
      </c>
      <c r="BA623" s="81">
        <v>0</v>
      </c>
      <c r="BB623" s="81">
        <v>208.93</v>
      </c>
      <c r="BC623" s="227">
        <v>-76.86</v>
      </c>
      <c r="BD623" s="227">
        <v>111.1</v>
      </c>
      <c r="BE623" s="227">
        <v>174.69</v>
      </c>
      <c r="BF623" s="227">
        <v>0</v>
      </c>
      <c r="BG623" s="227">
        <v>0</v>
      </c>
      <c r="BH623" s="227">
        <v>0</v>
      </c>
      <c r="BI623" s="227">
        <v>0</v>
      </c>
      <c r="BJ623" s="227">
        <v>0</v>
      </c>
      <c r="BK623" s="227">
        <v>0</v>
      </c>
      <c r="BL623" s="227">
        <v>0</v>
      </c>
      <c r="BM623" s="227">
        <v>0</v>
      </c>
      <c r="BN623" s="227">
        <v>0</v>
      </c>
      <c r="BO623" s="227">
        <v>208.93</v>
      </c>
    </row>
    <row r="624" spans="1:67">
      <c r="A624" s="215" t="s">
        <v>2842</v>
      </c>
      <c r="B624" s="215" t="str">
        <f>_xlfn.TEXTJOIN("_",,ERP_34[[#This Row],[LT Member -1*]],ERP_34[[#This Row],[Expense Category]],ERP_34[[#This Row],[Project Code*]])</f>
        <v>McGettigan, David_TELECOMMUNICATIONS_Telecom001</v>
      </c>
      <c r="C624" s="67" t="s">
        <v>1136</v>
      </c>
      <c r="D624" s="216" t="s">
        <v>1567</v>
      </c>
      <c r="E624" s="216" t="s">
        <v>1567</v>
      </c>
      <c r="F624" s="216" t="s">
        <v>1567</v>
      </c>
      <c r="G624" s="217" t="s">
        <v>1027</v>
      </c>
      <c r="H624" s="218" t="s">
        <v>2830</v>
      </c>
      <c r="I624" s="219"/>
      <c r="J624" s="219"/>
      <c r="K624" s="219" t="s">
        <v>1029</v>
      </c>
      <c r="L624" s="219"/>
      <c r="M624" s="219"/>
      <c r="N624" s="219"/>
      <c r="O624" s="216" t="s">
        <v>25</v>
      </c>
      <c r="P624" s="221"/>
      <c r="Q624" s="222"/>
      <c r="R624" s="71">
        <v>3200</v>
      </c>
      <c r="S624" s="73">
        <v>4217.2800000000007</v>
      </c>
      <c r="T624" s="223">
        <v>3200</v>
      </c>
      <c r="U624" s="71">
        <f>ERP_34[[#This Row],[LE2 Final Submission]]-ERP_34[[#This Row],[LE3 Final Submission]]</f>
        <v>1017.2800000000007</v>
      </c>
      <c r="V624" s="224">
        <v>470.66</v>
      </c>
      <c r="W624" s="225">
        <v>1081.01</v>
      </c>
      <c r="X624" s="225">
        <v>665.61</v>
      </c>
      <c r="Y624" s="228">
        <v>200</v>
      </c>
      <c r="Z624" s="228">
        <v>300</v>
      </c>
      <c r="AA624" s="228">
        <v>300</v>
      </c>
      <c r="AB624" s="228">
        <v>200</v>
      </c>
      <c r="AC624" s="228">
        <v>200</v>
      </c>
      <c r="AD624" s="228">
        <v>200</v>
      </c>
      <c r="AE624" s="228">
        <v>200</v>
      </c>
      <c r="AF624" s="228">
        <v>200</v>
      </c>
      <c r="AG624" s="228">
        <v>200</v>
      </c>
      <c r="AH624" s="194">
        <f t="shared" si="22"/>
        <v>4217.2800000000007</v>
      </c>
      <c r="AI624" s="108">
        <f>ERP_34[[#This Row],[2026 Working Total]]-ERP_34[[#This Row],[2026 LE0]]</f>
        <v>1017.2800000000007</v>
      </c>
      <c r="AJ624" s="227"/>
      <c r="AK624" s="227"/>
      <c r="AL62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4" s="80"/>
      <c r="AN624" s="79">
        <f>ERP_34[[#This Row],[2026 Working Total to Budget/LE]]-ERP_34[[#This Row],[Giveback]]</f>
        <v>1017.2800000000007</v>
      </c>
      <c r="AO624" s="81"/>
      <c r="AP624" s="81">
        <v>470.66</v>
      </c>
      <c r="AQ624" s="81">
        <v>1081.01</v>
      </c>
      <c r="AR624" s="81">
        <v>665.61</v>
      </c>
      <c r="AS624" s="81">
        <v>200</v>
      </c>
      <c r="AT624" s="81">
        <v>300</v>
      </c>
      <c r="AU624" s="81">
        <v>300</v>
      </c>
      <c r="AV624" s="81">
        <v>200</v>
      </c>
      <c r="AW624" s="81">
        <v>200</v>
      </c>
      <c r="AX624" s="81">
        <v>200</v>
      </c>
      <c r="AY624" s="81">
        <v>200</v>
      </c>
      <c r="AZ624" s="81">
        <v>200</v>
      </c>
      <c r="BA624" s="81">
        <v>200</v>
      </c>
      <c r="BB624" s="81">
        <v>4217.2800000000007</v>
      </c>
      <c r="BC624" s="227">
        <v>470.66</v>
      </c>
      <c r="BD624" s="227">
        <v>1081.01</v>
      </c>
      <c r="BE624" s="227">
        <v>665.61</v>
      </c>
      <c r="BF624" s="227">
        <v>200</v>
      </c>
      <c r="BG624" s="227">
        <v>300</v>
      </c>
      <c r="BH624" s="227">
        <v>300</v>
      </c>
      <c r="BI624" s="227">
        <v>200</v>
      </c>
      <c r="BJ624" s="227">
        <v>200</v>
      </c>
      <c r="BK624" s="227">
        <v>200</v>
      </c>
      <c r="BL624" s="227">
        <v>200</v>
      </c>
      <c r="BM624" s="227">
        <v>200</v>
      </c>
      <c r="BN624" s="227">
        <v>200</v>
      </c>
      <c r="BO624" s="227">
        <v>4217.2800000000007</v>
      </c>
    </row>
    <row r="625" spans="1:67">
      <c r="A625" s="215" t="s">
        <v>2844</v>
      </c>
      <c r="B625" s="215" t="str">
        <f>_xlfn.TEXTJOIN("_",,ERP_34[[#This Row],[LT Member -1*]],ERP_34[[#This Row],[Expense Category]],ERP_34[[#This Row],[Project Code*]])</f>
        <v>Robertson, Jerome_TELECOMMUNICATIONS_Telecom001</v>
      </c>
      <c r="C625" s="67" t="s">
        <v>1136</v>
      </c>
      <c r="D625" s="216" t="s">
        <v>1650</v>
      </c>
      <c r="E625" s="216" t="s">
        <v>1650</v>
      </c>
      <c r="F625" s="216" t="s">
        <v>1650</v>
      </c>
      <c r="G625" s="217" t="s">
        <v>1027</v>
      </c>
      <c r="H625" s="218" t="s">
        <v>2830</v>
      </c>
      <c r="I625" s="219"/>
      <c r="J625" s="219"/>
      <c r="K625" s="219" t="s">
        <v>1029</v>
      </c>
      <c r="L625" s="219"/>
      <c r="M625" s="219"/>
      <c r="N625" s="219"/>
      <c r="O625" s="216" t="s">
        <v>25</v>
      </c>
      <c r="P625" s="221"/>
      <c r="Q625" s="222"/>
      <c r="R625" s="71">
        <v>18800</v>
      </c>
      <c r="S625" s="73">
        <v>15498</v>
      </c>
      <c r="T625" s="223">
        <v>18800</v>
      </c>
      <c r="U625" s="71">
        <f>ERP_34[[#This Row],[LE2 Final Submission]]-ERP_34[[#This Row],[LE3 Final Submission]]</f>
        <v>-3302</v>
      </c>
      <c r="V625" s="224">
        <v>102</v>
      </c>
      <c r="W625" s="225">
        <v>121</v>
      </c>
      <c r="X625" s="225">
        <v>675</v>
      </c>
      <c r="Y625" s="228">
        <v>1600</v>
      </c>
      <c r="Z625" s="228">
        <v>1500</v>
      </c>
      <c r="AA625" s="228">
        <v>1500</v>
      </c>
      <c r="AB625" s="228">
        <v>1500</v>
      </c>
      <c r="AC625" s="228">
        <v>1700</v>
      </c>
      <c r="AD625" s="228">
        <v>1700</v>
      </c>
      <c r="AE625" s="228">
        <v>1700</v>
      </c>
      <c r="AF625" s="228">
        <v>1700</v>
      </c>
      <c r="AG625" s="228">
        <v>1700</v>
      </c>
      <c r="AH625" s="194">
        <f t="shared" si="22"/>
        <v>15498</v>
      </c>
      <c r="AI625" s="108">
        <f>ERP_34[[#This Row],[2026 Working Total]]-ERP_34[[#This Row],[2026 LE0]]</f>
        <v>-3302</v>
      </c>
      <c r="AJ625" s="227"/>
      <c r="AK625" s="227"/>
      <c r="AL62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5" s="80"/>
      <c r="AN625" s="79">
        <f>ERP_34[[#This Row],[2026 Working Total to Budget/LE]]-ERP_34[[#This Row],[Giveback]]</f>
        <v>-3302</v>
      </c>
      <c r="AO625" s="81"/>
      <c r="AP625" s="81">
        <v>102</v>
      </c>
      <c r="AQ625" s="81">
        <v>121</v>
      </c>
      <c r="AR625" s="81">
        <v>675</v>
      </c>
      <c r="AS625" s="81">
        <v>1600</v>
      </c>
      <c r="AT625" s="81">
        <v>1500</v>
      </c>
      <c r="AU625" s="81">
        <v>1500</v>
      </c>
      <c r="AV625" s="81">
        <v>1500</v>
      </c>
      <c r="AW625" s="81">
        <v>1700</v>
      </c>
      <c r="AX625" s="81">
        <v>1700</v>
      </c>
      <c r="AY625" s="81">
        <v>1700</v>
      </c>
      <c r="AZ625" s="81">
        <v>1700</v>
      </c>
      <c r="BA625" s="81">
        <v>1700</v>
      </c>
      <c r="BB625" s="81">
        <v>15498</v>
      </c>
      <c r="BC625" s="227">
        <v>102</v>
      </c>
      <c r="BD625" s="227">
        <v>121</v>
      </c>
      <c r="BE625" s="227">
        <v>675</v>
      </c>
      <c r="BF625" s="227">
        <v>1600</v>
      </c>
      <c r="BG625" s="227">
        <v>1500</v>
      </c>
      <c r="BH625" s="227">
        <v>1500</v>
      </c>
      <c r="BI625" s="227">
        <v>1500</v>
      </c>
      <c r="BJ625" s="227">
        <v>1700</v>
      </c>
      <c r="BK625" s="227">
        <v>1700</v>
      </c>
      <c r="BL625" s="227">
        <v>1700</v>
      </c>
      <c r="BM625" s="227">
        <v>1700</v>
      </c>
      <c r="BN625" s="227">
        <v>1700</v>
      </c>
      <c r="BO625" s="227">
        <v>15498</v>
      </c>
    </row>
    <row r="626" spans="1:67">
      <c r="A626" s="215" t="s">
        <v>2845</v>
      </c>
      <c r="B626" s="264" t="str">
        <f>_xlfn.TEXTJOIN("_",,ERP_34[[#This Row],[LT Member -1*]],ERP_34[[#This Row],[Expense Category]],ERP_34[[#This Row],[Project Code*]])</f>
        <v>Dougherty, Chris_TRAVEL &amp; ENTERTAINMENT_TravelEnt001</v>
      </c>
      <c r="C626" s="67" t="s">
        <v>1136</v>
      </c>
      <c r="D626" s="265" t="s">
        <v>1135</v>
      </c>
      <c r="E626" s="266" t="s">
        <v>1135</v>
      </c>
      <c r="F626" s="216" t="s">
        <v>1137</v>
      </c>
      <c r="G626" s="267" t="s">
        <v>1037</v>
      </c>
      <c r="H626" s="268" t="s">
        <v>2846</v>
      </c>
      <c r="I626" s="219"/>
      <c r="J626" s="219"/>
      <c r="K626" s="269" t="s">
        <v>1039</v>
      </c>
      <c r="L626" s="219"/>
      <c r="M626" s="219"/>
      <c r="N626" s="219"/>
      <c r="O626" s="266" t="s">
        <v>1040</v>
      </c>
      <c r="P626" s="221"/>
      <c r="Q626" s="222"/>
      <c r="R626" s="270">
        <v>0</v>
      </c>
      <c r="S626" s="271">
        <v>4</v>
      </c>
      <c r="T626" s="272">
        <v>0</v>
      </c>
      <c r="U626" s="273">
        <f>ERP_34[[#This Row],[LE2 Final Submission]]-ERP_34[[#This Row],[LE3 Final Submission]]</f>
        <v>4</v>
      </c>
      <c r="V626" s="274"/>
      <c r="W626" s="274">
        <v>-101</v>
      </c>
      <c r="X626" s="274">
        <v>105</v>
      </c>
      <c r="Y626" s="275">
        <v>0</v>
      </c>
      <c r="Z626" s="275">
        <v>0</v>
      </c>
      <c r="AA626" s="275">
        <v>0</v>
      </c>
      <c r="AB626" s="275">
        <v>0</v>
      </c>
      <c r="AC626" s="275">
        <v>0</v>
      </c>
      <c r="AD626" s="275">
        <v>0</v>
      </c>
      <c r="AE626" s="275">
        <v>0</v>
      </c>
      <c r="AF626" s="275">
        <v>0</v>
      </c>
      <c r="AG626" s="275">
        <v>0</v>
      </c>
      <c r="AH626" s="194">
        <f t="shared" si="22"/>
        <v>4</v>
      </c>
      <c r="AI626" s="108">
        <f>ERP_34[[#This Row],[2026 Working Total]]-ERP_34[[#This Row],[2026 LE0]]</f>
        <v>4</v>
      </c>
      <c r="AJ626" s="227"/>
      <c r="AK626" s="227"/>
      <c r="AL62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6" s="80"/>
      <c r="AN626" s="79">
        <f>ERP_34[[#This Row],[2026 Working Total to Budget/LE]]-ERP_34[[#This Row],[Giveback]]</f>
        <v>4</v>
      </c>
      <c r="AO626" s="81"/>
      <c r="AP626" s="81"/>
      <c r="AQ626" s="81">
        <v>-101</v>
      </c>
      <c r="AR626" s="81">
        <v>105</v>
      </c>
      <c r="AS626" s="81">
        <v>0</v>
      </c>
      <c r="AT626" s="81">
        <v>0</v>
      </c>
      <c r="AU626" s="81">
        <v>0</v>
      </c>
      <c r="AV626" s="81">
        <v>0</v>
      </c>
      <c r="AW626" s="81">
        <v>0</v>
      </c>
      <c r="AX626" s="81">
        <v>0</v>
      </c>
      <c r="AY626" s="81">
        <v>0</v>
      </c>
      <c r="AZ626" s="81">
        <v>0</v>
      </c>
      <c r="BA626" s="81">
        <v>0</v>
      </c>
      <c r="BB626" s="81">
        <v>4</v>
      </c>
      <c r="BC626" s="276"/>
      <c r="BD626" s="276">
        <v>-101</v>
      </c>
      <c r="BE626" s="276">
        <v>105</v>
      </c>
      <c r="BF626" s="276">
        <v>0</v>
      </c>
      <c r="BG626" s="276">
        <v>0</v>
      </c>
      <c r="BH626" s="276">
        <v>0</v>
      </c>
      <c r="BI626" s="276">
        <v>0</v>
      </c>
      <c r="BJ626" s="276">
        <v>0</v>
      </c>
      <c r="BK626" s="276">
        <v>0</v>
      </c>
      <c r="BL626" s="276">
        <v>0</v>
      </c>
      <c r="BM626" s="276">
        <v>0</v>
      </c>
      <c r="BN626" s="276">
        <v>0</v>
      </c>
      <c r="BO626" s="227">
        <v>4</v>
      </c>
    </row>
    <row r="627" spans="1:67">
      <c r="A627" s="215" t="s">
        <v>2847</v>
      </c>
      <c r="B627" s="264" t="str">
        <f>_xlfn.TEXTJOIN("_",,ERP_34[[#This Row],[LT Member -1*]],ERP_34[[#This Row],[Expense Category]],ERP_34[[#This Row],[Project Code*]])</f>
        <v>Maguire, Karla_TRAVEL &amp; ENTERTAINMENT_TravelEnt001</v>
      </c>
      <c r="C627" s="67" t="s">
        <v>1136</v>
      </c>
      <c r="D627" s="265" t="s">
        <v>1135</v>
      </c>
      <c r="E627" s="266" t="s">
        <v>1137</v>
      </c>
      <c r="F627" s="216" t="s">
        <v>1137</v>
      </c>
      <c r="G627" s="267" t="s">
        <v>1037</v>
      </c>
      <c r="H627" s="268" t="s">
        <v>2846</v>
      </c>
      <c r="I627" s="219"/>
      <c r="J627" s="219"/>
      <c r="K627" s="269" t="s">
        <v>1039</v>
      </c>
      <c r="L627" s="219"/>
      <c r="M627" s="219"/>
      <c r="N627" s="219"/>
      <c r="O627" s="266" t="s">
        <v>1040</v>
      </c>
      <c r="P627" s="221"/>
      <c r="Q627" s="222"/>
      <c r="R627" s="270">
        <v>0</v>
      </c>
      <c r="S627" s="271">
        <v>7225.12</v>
      </c>
      <c r="T627" s="272">
        <v>0</v>
      </c>
      <c r="U627" s="273">
        <f>ERP_34[[#This Row],[LE2 Final Submission]]-ERP_34[[#This Row],[LE3 Final Submission]]</f>
        <v>7225.12</v>
      </c>
      <c r="V627" s="274">
        <v>302.32</v>
      </c>
      <c r="W627" s="274">
        <v>-468.02</v>
      </c>
      <c r="X627" s="274">
        <v>7390.82</v>
      </c>
      <c r="Y627" s="275">
        <v>0</v>
      </c>
      <c r="Z627" s="275">
        <v>0</v>
      </c>
      <c r="AA627" s="275">
        <v>0</v>
      </c>
      <c r="AB627" s="275">
        <v>0</v>
      </c>
      <c r="AC627" s="275">
        <v>0</v>
      </c>
      <c r="AD627" s="275">
        <v>0</v>
      </c>
      <c r="AE627" s="275">
        <v>0</v>
      </c>
      <c r="AF627" s="275">
        <v>0</v>
      </c>
      <c r="AG627" s="275">
        <v>0</v>
      </c>
      <c r="AH627" s="194">
        <f t="shared" si="22"/>
        <v>7225.12</v>
      </c>
      <c r="AI627" s="108">
        <f>ERP_34[[#This Row],[2026 Working Total]]-ERP_34[[#This Row],[2026 LE0]]</f>
        <v>7225.12</v>
      </c>
      <c r="AJ627" s="227"/>
      <c r="AK627" s="227"/>
      <c r="AL62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27" s="80"/>
      <c r="AN627" s="79">
        <f>ERP_34[[#This Row],[2026 Working Total to Budget/LE]]-ERP_34[[#This Row],[Giveback]]</f>
        <v>7225.12</v>
      </c>
      <c r="AO627" s="81"/>
      <c r="AP627" s="81">
        <v>302.32</v>
      </c>
      <c r="AQ627" s="81">
        <v>-468.02</v>
      </c>
      <c r="AR627" s="81">
        <v>7390.82</v>
      </c>
      <c r="AS627" s="81">
        <v>0</v>
      </c>
      <c r="AT627" s="81">
        <v>0</v>
      </c>
      <c r="AU627" s="81">
        <v>0</v>
      </c>
      <c r="AV627" s="81">
        <v>0</v>
      </c>
      <c r="AW627" s="81">
        <v>0</v>
      </c>
      <c r="AX627" s="81">
        <v>0</v>
      </c>
      <c r="AY627" s="81">
        <v>0</v>
      </c>
      <c r="AZ627" s="81">
        <v>0</v>
      </c>
      <c r="BA627" s="81">
        <v>0</v>
      </c>
      <c r="BB627" s="81">
        <v>7225.12</v>
      </c>
      <c r="BC627" s="276">
        <v>302.32</v>
      </c>
      <c r="BD627" s="276">
        <v>-468.02</v>
      </c>
      <c r="BE627" s="276">
        <v>7390.82</v>
      </c>
      <c r="BF627" s="276">
        <v>0</v>
      </c>
      <c r="BG627" s="276">
        <v>0</v>
      </c>
      <c r="BH627" s="276">
        <v>0</v>
      </c>
      <c r="BI627" s="276">
        <v>0</v>
      </c>
      <c r="BJ627" s="276">
        <v>0</v>
      </c>
      <c r="BK627" s="276">
        <v>0</v>
      </c>
      <c r="BL627" s="276">
        <v>0</v>
      </c>
      <c r="BM627" s="276">
        <v>0</v>
      </c>
      <c r="BN627" s="276">
        <v>0</v>
      </c>
      <c r="BO627" s="227">
        <v>7225.12</v>
      </c>
    </row>
    <row r="628" spans="1:67">
      <c r="A628" s="215" t="s">
        <v>2860</v>
      </c>
      <c r="B628" s="264" t="str">
        <f>_xlfn.TEXTJOIN("_",,ERP_34[[#This Row],[LT Member -1*]],ERP_34[[#This Row],[Expense Category]],ERP_34[[#This Row],[Project Code*]])</f>
        <v>DeHart, Lynn_TRAVEL &amp; ENTERTAINMENT_TravelEnt001</v>
      </c>
      <c r="C628" s="67" t="s">
        <v>1136</v>
      </c>
      <c r="D628" s="265" t="s">
        <v>1345</v>
      </c>
      <c r="E628" s="266" t="s">
        <v>1346</v>
      </c>
      <c r="F628" s="216" t="s">
        <v>1346</v>
      </c>
      <c r="G628" s="267" t="s">
        <v>1037</v>
      </c>
      <c r="H628" s="268" t="s">
        <v>2846</v>
      </c>
      <c r="I628" s="219"/>
      <c r="J628" s="219"/>
      <c r="K628" s="269" t="s">
        <v>1039</v>
      </c>
      <c r="L628" s="219"/>
      <c r="M628" s="219"/>
      <c r="N628" s="219"/>
      <c r="O628" s="266" t="s">
        <v>1040</v>
      </c>
      <c r="P628" s="221"/>
      <c r="Q628" s="222"/>
      <c r="R628" s="270">
        <v>0</v>
      </c>
      <c r="S628" s="271">
        <v>23976.370000000003</v>
      </c>
      <c r="T628" s="272">
        <v>0</v>
      </c>
      <c r="U628" s="273">
        <f>ERP_34[[#This Row],[LE2 Final Submission]]-ERP_34[[#This Row],[LE3 Final Submission]]</f>
        <v>23976.370000000003</v>
      </c>
      <c r="V628" s="274">
        <v>10095.790000000001</v>
      </c>
      <c r="W628" s="274">
        <v>9921.4500000000007</v>
      </c>
      <c r="X628" s="274">
        <v>3959.13</v>
      </c>
      <c r="Y628" s="275">
        <v>0</v>
      </c>
      <c r="Z628" s="275">
        <v>0</v>
      </c>
      <c r="AA628" s="275">
        <v>0</v>
      </c>
      <c r="AB628" s="275">
        <v>0</v>
      </c>
      <c r="AC628" s="275">
        <v>0</v>
      </c>
      <c r="AD628" s="275">
        <v>0</v>
      </c>
      <c r="AE628" s="275">
        <v>0</v>
      </c>
      <c r="AF628" s="275">
        <v>0</v>
      </c>
      <c r="AG628" s="275">
        <v>0</v>
      </c>
      <c r="AH628" s="194">
        <f t="shared" si="22"/>
        <v>23976.370000000003</v>
      </c>
      <c r="AI628" s="108">
        <f>ERP_34[[#This Row],[2026 Working Total]]-ERP_34[[#This Row],[2026 LE0]]</f>
        <v>23976.370000000003</v>
      </c>
      <c r="AJ628" s="227"/>
      <c r="AK628" s="227"/>
      <c r="AL628" s="79">
        <f>ERP_34[[#This Row],[AP01]]+ERP_34[[#This Row],[AP02]]+ERP_34[[#This Row],[AP03]]+ERP_34[[#This Row],[AP04]]-ERP_34[[#This Row],[AP01 LE2]]-ERP_34[[#This Row],[AP02 LE2]]-ERP_34[[#This Row],[AP03 LE2]]-ERP_34[[#This Row],[AP04 LE2]]</f>
        <v>9.0949470177292824E-13</v>
      </c>
      <c r="AM628" s="80"/>
      <c r="AN628" s="79">
        <f>ERP_34[[#This Row],[2026 Working Total to Budget/LE]]-ERP_34[[#This Row],[Giveback]]</f>
        <v>23976.370000000003</v>
      </c>
      <c r="AO628" s="81"/>
      <c r="AP628" s="81">
        <v>10095.790000000001</v>
      </c>
      <c r="AQ628" s="81">
        <v>9921.4500000000007</v>
      </c>
      <c r="AR628" s="81">
        <v>3959.13</v>
      </c>
      <c r="AS628" s="81">
        <v>0</v>
      </c>
      <c r="AT628" s="81">
        <v>0</v>
      </c>
      <c r="AU628" s="81">
        <v>0</v>
      </c>
      <c r="AV628" s="81">
        <v>0</v>
      </c>
      <c r="AW628" s="81">
        <v>0</v>
      </c>
      <c r="AX628" s="81">
        <v>0</v>
      </c>
      <c r="AY628" s="81">
        <v>0</v>
      </c>
      <c r="AZ628" s="81">
        <v>0</v>
      </c>
      <c r="BA628" s="81">
        <v>0</v>
      </c>
      <c r="BB628" s="81">
        <v>23976.370000000003</v>
      </c>
      <c r="BC628" s="276">
        <v>10095.790000000001</v>
      </c>
      <c r="BD628" s="276">
        <v>9921.4500000000007</v>
      </c>
      <c r="BE628" s="276">
        <v>3959.13</v>
      </c>
      <c r="BF628" s="276">
        <v>0</v>
      </c>
      <c r="BG628" s="276">
        <v>0</v>
      </c>
      <c r="BH628" s="276">
        <v>0</v>
      </c>
      <c r="BI628" s="276">
        <v>0</v>
      </c>
      <c r="BJ628" s="276">
        <v>0</v>
      </c>
      <c r="BK628" s="276">
        <v>0</v>
      </c>
      <c r="BL628" s="276">
        <v>0</v>
      </c>
      <c r="BM628" s="276">
        <v>0</v>
      </c>
      <c r="BN628" s="276">
        <v>0</v>
      </c>
      <c r="BO628" s="227">
        <v>23976.370000000003</v>
      </c>
    </row>
    <row r="629" spans="1:67">
      <c r="A629" s="215" t="s">
        <v>2849</v>
      </c>
      <c r="B629" s="264" t="str">
        <f>_xlfn.TEXTJOIN("_",,ERP_34[[#This Row],[LT Member -1*]],ERP_34[[#This Row],[Expense Category]],ERP_34[[#This Row],[Project Code*]])</f>
        <v>Ganesan, Srinivasan_TRAVEL &amp; ENTERTAINMENT_TravelEnt001</v>
      </c>
      <c r="C629" s="67" t="s">
        <v>1136</v>
      </c>
      <c r="D629" s="265" t="s">
        <v>1345</v>
      </c>
      <c r="E629" s="266" t="s">
        <v>1344</v>
      </c>
      <c r="F629" s="216" t="s">
        <v>1346</v>
      </c>
      <c r="G629" s="267" t="s">
        <v>1037</v>
      </c>
      <c r="H629" s="268" t="s">
        <v>2846</v>
      </c>
      <c r="I629" s="219"/>
      <c r="J629" s="219"/>
      <c r="K629" s="269" t="s">
        <v>1039</v>
      </c>
      <c r="L629" s="219"/>
      <c r="M629" s="219"/>
      <c r="N629" s="219"/>
      <c r="O629" s="266" t="s">
        <v>1040</v>
      </c>
      <c r="P629" s="221"/>
      <c r="Q629" s="222"/>
      <c r="R629" s="270">
        <v>0</v>
      </c>
      <c r="S629" s="271">
        <v>995.34</v>
      </c>
      <c r="T629" s="272">
        <v>0</v>
      </c>
      <c r="U629" s="273">
        <f>ERP_34[[#This Row],[LE2 Final Submission]]-ERP_34[[#This Row],[LE3 Final Submission]]</f>
        <v>995.34</v>
      </c>
      <c r="V629" s="274">
        <v>948.99</v>
      </c>
      <c r="W629" s="277">
        <v>0</v>
      </c>
      <c r="X629" s="274">
        <v>46.35</v>
      </c>
      <c r="Y629" s="275">
        <v>0</v>
      </c>
      <c r="Z629" s="275">
        <v>0</v>
      </c>
      <c r="AA629" s="275">
        <v>0</v>
      </c>
      <c r="AB629" s="275">
        <v>0</v>
      </c>
      <c r="AC629" s="275">
        <v>0</v>
      </c>
      <c r="AD629" s="275">
        <v>0</v>
      </c>
      <c r="AE629" s="275">
        <v>0</v>
      </c>
      <c r="AF629" s="275">
        <v>0</v>
      </c>
      <c r="AG629" s="275">
        <v>0</v>
      </c>
      <c r="AH629" s="194">
        <f t="shared" si="22"/>
        <v>995.34</v>
      </c>
      <c r="AI629" s="108">
        <f>ERP_34[[#This Row],[2026 Working Total]]-ERP_34[[#This Row],[2026 LE0]]</f>
        <v>995.34</v>
      </c>
      <c r="AJ629" s="227"/>
      <c r="AK629" s="227"/>
      <c r="AL629" s="79">
        <f>ERP_34[[#This Row],[AP01]]+ERP_34[[#This Row],[AP02]]+ERP_34[[#This Row],[AP03]]+ERP_34[[#This Row],[AP04]]-ERP_34[[#This Row],[AP01 LE2]]-ERP_34[[#This Row],[AP02 LE2]]-ERP_34[[#This Row],[AP03 LE2]]-ERP_34[[#This Row],[AP04 LE2]]</f>
        <v>2.1316282072803006E-14</v>
      </c>
      <c r="AM629" s="80"/>
      <c r="AN629" s="79">
        <f>ERP_34[[#This Row],[2026 Working Total to Budget/LE]]-ERP_34[[#This Row],[Giveback]]</f>
        <v>995.34</v>
      </c>
      <c r="AO629" s="81"/>
      <c r="AP629" s="81">
        <v>948.99</v>
      </c>
      <c r="AQ629" s="81">
        <v>0</v>
      </c>
      <c r="AR629" s="81">
        <v>46.35</v>
      </c>
      <c r="AS629" s="81">
        <v>0</v>
      </c>
      <c r="AT629" s="81">
        <v>0</v>
      </c>
      <c r="AU629" s="81">
        <v>0</v>
      </c>
      <c r="AV629" s="81">
        <v>0</v>
      </c>
      <c r="AW629" s="81">
        <v>0</v>
      </c>
      <c r="AX629" s="81">
        <v>0</v>
      </c>
      <c r="AY629" s="81">
        <v>0</v>
      </c>
      <c r="AZ629" s="81">
        <v>0</v>
      </c>
      <c r="BA629" s="81">
        <v>0</v>
      </c>
      <c r="BB629" s="81">
        <v>995.34</v>
      </c>
      <c r="BC629" s="276">
        <v>948.99</v>
      </c>
      <c r="BD629" s="276">
        <v>0</v>
      </c>
      <c r="BE629" s="276">
        <v>46.35</v>
      </c>
      <c r="BF629" s="276">
        <v>0</v>
      </c>
      <c r="BG629" s="276">
        <v>0</v>
      </c>
      <c r="BH629" s="276">
        <v>0</v>
      </c>
      <c r="BI629" s="276">
        <v>0</v>
      </c>
      <c r="BJ629" s="276">
        <v>0</v>
      </c>
      <c r="BK629" s="276">
        <v>0</v>
      </c>
      <c r="BL629" s="276">
        <v>0</v>
      </c>
      <c r="BM629" s="276">
        <v>0</v>
      </c>
      <c r="BN629" s="276">
        <v>0</v>
      </c>
      <c r="BO629" s="227">
        <v>995.34</v>
      </c>
    </row>
    <row r="630" spans="1:67">
      <c r="A630" s="215" t="s">
        <v>2850</v>
      </c>
      <c r="B630" s="264" t="str">
        <f>_xlfn.TEXTJOIN("_",,ERP_34[[#This Row],[LT Member -1*]],ERP_34[[#This Row],[Expense Category]],ERP_34[[#This Row],[Project Code*]])</f>
        <v>Jajodia, Amit_TRAVEL &amp; ENTERTAINMENT_TravelEnt001</v>
      </c>
      <c r="C630" s="67" t="s">
        <v>1136</v>
      </c>
      <c r="D630" s="265" t="s">
        <v>1345</v>
      </c>
      <c r="E630" s="266" t="s">
        <v>1515</v>
      </c>
      <c r="F630" s="216" t="s">
        <v>1346</v>
      </c>
      <c r="G630" s="267" t="s">
        <v>1037</v>
      </c>
      <c r="H630" s="268" t="s">
        <v>2846</v>
      </c>
      <c r="I630" s="219"/>
      <c r="J630" s="219"/>
      <c r="K630" s="269" t="s">
        <v>1039</v>
      </c>
      <c r="L630" s="219"/>
      <c r="M630" s="219"/>
      <c r="N630" s="219"/>
      <c r="O630" s="266" t="s">
        <v>1040</v>
      </c>
      <c r="P630" s="221"/>
      <c r="Q630" s="222"/>
      <c r="R630" s="270">
        <v>0</v>
      </c>
      <c r="S630" s="271">
        <v>1947.4499999999998</v>
      </c>
      <c r="T630" s="272">
        <v>0</v>
      </c>
      <c r="U630" s="273">
        <f>ERP_34[[#This Row],[LE2 Final Submission]]-ERP_34[[#This Row],[LE3 Final Submission]]</f>
        <v>1947.4499999999998</v>
      </c>
      <c r="V630" s="274">
        <v>1400.32</v>
      </c>
      <c r="W630" s="274">
        <v>547.13</v>
      </c>
      <c r="X630" s="277">
        <v>0</v>
      </c>
      <c r="Y630" s="275">
        <v>0</v>
      </c>
      <c r="Z630" s="275">
        <v>0</v>
      </c>
      <c r="AA630" s="275">
        <v>0</v>
      </c>
      <c r="AB630" s="275">
        <v>0</v>
      </c>
      <c r="AC630" s="275">
        <v>0</v>
      </c>
      <c r="AD630" s="275">
        <v>0</v>
      </c>
      <c r="AE630" s="275">
        <v>0</v>
      </c>
      <c r="AF630" s="275">
        <v>0</v>
      </c>
      <c r="AG630" s="275">
        <v>0</v>
      </c>
      <c r="AH630" s="194">
        <f t="shared" si="22"/>
        <v>1947.4499999999998</v>
      </c>
      <c r="AI630" s="108">
        <f>ERP_34[[#This Row],[2026 Working Total]]-ERP_34[[#This Row],[2026 LE0]]</f>
        <v>1947.4499999999998</v>
      </c>
      <c r="AJ630" s="227"/>
      <c r="AK630" s="227"/>
      <c r="AL630" s="79">
        <f>ERP_34[[#This Row],[AP01]]+ERP_34[[#This Row],[AP02]]+ERP_34[[#This Row],[AP03]]+ERP_34[[#This Row],[AP04]]-ERP_34[[#This Row],[AP01 LE2]]-ERP_34[[#This Row],[AP02 LE2]]-ERP_34[[#This Row],[AP03 LE2]]-ERP_34[[#This Row],[AP04 LE2]]</f>
        <v>-1.1368683772161603E-13</v>
      </c>
      <c r="AM630" s="80"/>
      <c r="AN630" s="79">
        <f>ERP_34[[#This Row],[2026 Working Total to Budget/LE]]-ERP_34[[#This Row],[Giveback]]</f>
        <v>1947.4499999999998</v>
      </c>
      <c r="AO630" s="81"/>
      <c r="AP630" s="81">
        <v>1400.32</v>
      </c>
      <c r="AQ630" s="81">
        <v>547.13</v>
      </c>
      <c r="AR630" s="81">
        <v>0</v>
      </c>
      <c r="AS630" s="81">
        <v>0</v>
      </c>
      <c r="AT630" s="81">
        <v>0</v>
      </c>
      <c r="AU630" s="81">
        <v>0</v>
      </c>
      <c r="AV630" s="81">
        <v>0</v>
      </c>
      <c r="AW630" s="81">
        <v>0</v>
      </c>
      <c r="AX630" s="81">
        <v>0</v>
      </c>
      <c r="AY630" s="81">
        <v>0</v>
      </c>
      <c r="AZ630" s="81">
        <v>0</v>
      </c>
      <c r="BA630" s="81">
        <v>0</v>
      </c>
      <c r="BB630" s="81">
        <v>1947.4499999999998</v>
      </c>
      <c r="BC630" s="276">
        <v>1400.32</v>
      </c>
      <c r="BD630" s="276">
        <v>547.13</v>
      </c>
      <c r="BE630" s="276">
        <v>0</v>
      </c>
      <c r="BF630" s="276">
        <v>0</v>
      </c>
      <c r="BG630" s="276">
        <v>0</v>
      </c>
      <c r="BH630" s="276">
        <v>0</v>
      </c>
      <c r="BI630" s="276">
        <v>0</v>
      </c>
      <c r="BJ630" s="276">
        <v>0</v>
      </c>
      <c r="BK630" s="276">
        <v>0</v>
      </c>
      <c r="BL630" s="276">
        <v>0</v>
      </c>
      <c r="BM630" s="276">
        <v>0</v>
      </c>
      <c r="BN630" s="276">
        <v>0</v>
      </c>
      <c r="BO630" s="227">
        <v>1947.4499999999998</v>
      </c>
    </row>
    <row r="631" spans="1:67">
      <c r="A631" s="215" t="s">
        <v>2862</v>
      </c>
      <c r="B631" s="264" t="str">
        <f>_xlfn.TEXTJOIN("_",,ERP_34[[#This Row],[LT Member -1*]],ERP_34[[#This Row],[Expense Category]],ERP_34[[#This Row],[Project Code*]])</f>
        <v>McGettigan, David_TRAVEL &amp; ENTERTAINMENT_TravelEnt001</v>
      </c>
      <c r="C631" s="67" t="s">
        <v>1136</v>
      </c>
      <c r="D631" s="265" t="s">
        <v>1567</v>
      </c>
      <c r="E631" s="266" t="s">
        <v>1567</v>
      </c>
      <c r="F631" s="216" t="s">
        <v>1567</v>
      </c>
      <c r="G631" s="267" t="s">
        <v>1037</v>
      </c>
      <c r="H631" s="268" t="s">
        <v>2846</v>
      </c>
      <c r="I631" s="219"/>
      <c r="J631" s="219"/>
      <c r="K631" s="269" t="s">
        <v>1039</v>
      </c>
      <c r="L631" s="219"/>
      <c r="M631" s="219"/>
      <c r="N631" s="219"/>
      <c r="O631" s="266" t="s">
        <v>1040</v>
      </c>
      <c r="P631" s="221"/>
      <c r="Q631" s="222"/>
      <c r="R631" s="270">
        <v>0</v>
      </c>
      <c r="S631" s="271">
        <v>-468023.23</v>
      </c>
      <c r="T631" s="272">
        <v>0</v>
      </c>
      <c r="U631" s="273">
        <f>ERP_34[[#This Row],[LE2 Final Submission]]-ERP_34[[#This Row],[LE3 Final Submission]]</f>
        <v>-468023.23</v>
      </c>
      <c r="V631" s="274">
        <v>-478537.04</v>
      </c>
      <c r="W631" s="274">
        <v>11513.92</v>
      </c>
      <c r="X631" s="274">
        <v>-1000.11</v>
      </c>
      <c r="Y631" s="275">
        <v>0</v>
      </c>
      <c r="Z631" s="275">
        <v>0</v>
      </c>
      <c r="AA631" s="275">
        <v>0</v>
      </c>
      <c r="AB631" s="275">
        <v>0</v>
      </c>
      <c r="AC631" s="275">
        <v>0</v>
      </c>
      <c r="AD631" s="275">
        <v>0</v>
      </c>
      <c r="AE631" s="275">
        <v>0</v>
      </c>
      <c r="AF631" s="275">
        <v>0</v>
      </c>
      <c r="AG631" s="275">
        <v>0</v>
      </c>
      <c r="AH631" s="194">
        <f t="shared" si="22"/>
        <v>-468023.23</v>
      </c>
      <c r="AI631" s="108">
        <f>ERP_34[[#This Row],[2026 Working Total]]-ERP_34[[#This Row],[2026 LE0]]</f>
        <v>-468023.23</v>
      </c>
      <c r="AJ631" s="227"/>
      <c r="AK631" s="227"/>
      <c r="AL631" s="79">
        <f>ERP_34[[#This Row],[AP01]]+ERP_34[[#This Row],[AP02]]+ERP_34[[#This Row],[AP03]]+ERP_34[[#This Row],[AP04]]-ERP_34[[#This Row],[AP01 LE2]]-ERP_34[[#This Row],[AP02 LE2]]-ERP_34[[#This Row],[AP03 LE2]]-ERP_34[[#This Row],[AP04 LE2]]</f>
        <v>-2.3874235921539366E-12</v>
      </c>
      <c r="AM631" s="80"/>
      <c r="AN631" s="79">
        <f>ERP_34[[#This Row],[2026 Working Total to Budget/LE]]-ERP_34[[#This Row],[Giveback]]</f>
        <v>-468023.23</v>
      </c>
      <c r="AO631" s="81"/>
      <c r="AP631" s="81">
        <v>-478537.04</v>
      </c>
      <c r="AQ631" s="81">
        <v>11513.92</v>
      </c>
      <c r="AR631" s="81">
        <v>-1000.11</v>
      </c>
      <c r="AS631" s="81">
        <v>0</v>
      </c>
      <c r="AT631" s="81">
        <v>0</v>
      </c>
      <c r="AU631" s="81">
        <v>0</v>
      </c>
      <c r="AV631" s="81">
        <v>0</v>
      </c>
      <c r="AW631" s="81">
        <v>0</v>
      </c>
      <c r="AX631" s="81">
        <v>0</v>
      </c>
      <c r="AY631" s="81">
        <v>0</v>
      </c>
      <c r="AZ631" s="81">
        <v>0</v>
      </c>
      <c r="BA631" s="81">
        <v>0</v>
      </c>
      <c r="BB631" s="81">
        <v>-468023.23</v>
      </c>
      <c r="BC631" s="276">
        <v>-478537.04</v>
      </c>
      <c r="BD631" s="276">
        <v>11513.92</v>
      </c>
      <c r="BE631" s="276">
        <v>-1000.11</v>
      </c>
      <c r="BF631" s="276">
        <v>0</v>
      </c>
      <c r="BG631" s="276">
        <v>0</v>
      </c>
      <c r="BH631" s="276">
        <v>0</v>
      </c>
      <c r="BI631" s="276">
        <v>0</v>
      </c>
      <c r="BJ631" s="276">
        <v>0</v>
      </c>
      <c r="BK631" s="276">
        <v>0</v>
      </c>
      <c r="BL631" s="276">
        <v>0</v>
      </c>
      <c r="BM631" s="276">
        <v>0</v>
      </c>
      <c r="BN631" s="276">
        <v>0</v>
      </c>
      <c r="BO631" s="227">
        <v>-468023.23</v>
      </c>
    </row>
    <row r="632" spans="1:67">
      <c r="A632" s="215" t="s">
        <v>2866</v>
      </c>
      <c r="B632" s="264" t="str">
        <f>_xlfn.TEXTJOIN("_",,ERP_34[[#This Row],[LT Member -1*]],ERP_34[[#This Row],[Expense Category]],ERP_34[[#This Row],[Project Code*]])</f>
        <v>Robertson, Jerome_TRAVEL &amp; ENTERTAINMENT_TravelEnt001</v>
      </c>
      <c r="C632" s="67" t="s">
        <v>1136</v>
      </c>
      <c r="D632" s="265" t="s">
        <v>1650</v>
      </c>
      <c r="E632" s="266" t="s">
        <v>1650</v>
      </c>
      <c r="F632" s="216" t="s">
        <v>1650</v>
      </c>
      <c r="G632" s="267" t="s">
        <v>1037</v>
      </c>
      <c r="H632" s="268" t="s">
        <v>2846</v>
      </c>
      <c r="I632" s="219"/>
      <c r="J632" s="219"/>
      <c r="K632" s="269" t="s">
        <v>1039</v>
      </c>
      <c r="L632" s="219"/>
      <c r="M632" s="219"/>
      <c r="N632" s="219"/>
      <c r="O632" s="266" t="s">
        <v>1040</v>
      </c>
      <c r="P632" s="221"/>
      <c r="Q632" s="222"/>
      <c r="R632" s="270">
        <v>0</v>
      </c>
      <c r="S632" s="271">
        <v>17997.310000000001</v>
      </c>
      <c r="T632" s="272">
        <v>0</v>
      </c>
      <c r="U632" s="273">
        <f>ERP_34[[#This Row],[LE2 Final Submission]]-ERP_34[[#This Row],[LE3 Final Submission]]</f>
        <v>17997.310000000001</v>
      </c>
      <c r="V632" s="274">
        <v>401</v>
      </c>
      <c r="W632" s="274">
        <v>11440.6</v>
      </c>
      <c r="X632" s="274">
        <v>6155.71</v>
      </c>
      <c r="Y632" s="275">
        <v>0</v>
      </c>
      <c r="Z632" s="275">
        <v>0</v>
      </c>
      <c r="AA632" s="275">
        <v>0</v>
      </c>
      <c r="AB632" s="275">
        <v>0</v>
      </c>
      <c r="AC632" s="275">
        <v>0</v>
      </c>
      <c r="AD632" s="275">
        <v>0</v>
      </c>
      <c r="AE632" s="275">
        <v>0</v>
      </c>
      <c r="AF632" s="275">
        <v>0</v>
      </c>
      <c r="AG632" s="275">
        <v>0</v>
      </c>
      <c r="AH632" s="194">
        <f t="shared" si="22"/>
        <v>17997.310000000001</v>
      </c>
      <c r="AI632" s="108">
        <f>ERP_34[[#This Row],[2026 Working Total]]-ERP_34[[#This Row],[2026 LE0]]</f>
        <v>17997.310000000001</v>
      </c>
      <c r="AJ632" s="227"/>
      <c r="AK632" s="227"/>
      <c r="AL632" s="79">
        <f>ERP_34[[#This Row],[AP01]]+ERP_34[[#This Row],[AP02]]+ERP_34[[#This Row],[AP03]]+ERP_34[[#This Row],[AP04]]-ERP_34[[#This Row],[AP01 LE2]]-ERP_34[[#This Row],[AP02 LE2]]-ERP_34[[#This Row],[AP03 LE2]]-ERP_34[[#This Row],[AP04 LE2]]</f>
        <v>9.0949470177292824E-13</v>
      </c>
      <c r="AM632" s="80"/>
      <c r="AN632" s="79">
        <f>ERP_34[[#This Row],[2026 Working Total to Budget/LE]]-ERP_34[[#This Row],[Giveback]]</f>
        <v>17997.310000000001</v>
      </c>
      <c r="AO632" s="81"/>
      <c r="AP632" s="81">
        <v>401</v>
      </c>
      <c r="AQ632" s="81">
        <v>11440.6</v>
      </c>
      <c r="AR632" s="81">
        <v>6155.71</v>
      </c>
      <c r="AS632" s="81">
        <v>0</v>
      </c>
      <c r="AT632" s="81">
        <v>0</v>
      </c>
      <c r="AU632" s="81">
        <v>0</v>
      </c>
      <c r="AV632" s="81">
        <v>0</v>
      </c>
      <c r="AW632" s="81">
        <v>0</v>
      </c>
      <c r="AX632" s="81">
        <v>0</v>
      </c>
      <c r="AY632" s="81">
        <v>0</v>
      </c>
      <c r="AZ632" s="81">
        <v>0</v>
      </c>
      <c r="BA632" s="81">
        <v>0</v>
      </c>
      <c r="BB632" s="81">
        <v>17997.310000000001</v>
      </c>
      <c r="BC632" s="276">
        <v>401</v>
      </c>
      <c r="BD632" s="276">
        <v>11440.6</v>
      </c>
      <c r="BE632" s="276">
        <v>6155.71</v>
      </c>
      <c r="BF632" s="276">
        <v>0</v>
      </c>
      <c r="BG632" s="276">
        <v>0</v>
      </c>
      <c r="BH632" s="276">
        <v>0</v>
      </c>
      <c r="BI632" s="276">
        <v>0</v>
      </c>
      <c r="BJ632" s="276">
        <v>0</v>
      </c>
      <c r="BK632" s="276">
        <v>0</v>
      </c>
      <c r="BL632" s="276">
        <v>0</v>
      </c>
      <c r="BM632" s="276">
        <v>0</v>
      </c>
      <c r="BN632" s="276">
        <v>0</v>
      </c>
      <c r="BO632" s="227">
        <v>17997.310000000001</v>
      </c>
    </row>
    <row r="633" spans="1:67">
      <c r="A633" s="215" t="s">
        <v>2864</v>
      </c>
      <c r="B633" s="264" t="str">
        <f>_xlfn.TEXTJOIN("_",,ERP_34[[#This Row],[LT Member -1*]],ERP_34[[#This Row],[Expense Category]],ERP_34[[#This Row],[Project Code*]])</f>
        <v>McGettigan, David_TRAVEL &amp; ENTERTAINMENT_TravelEnt001_Reserve</v>
      </c>
      <c r="C633" s="67" t="s">
        <v>1136</v>
      </c>
      <c r="D633" s="265" t="s">
        <v>1567</v>
      </c>
      <c r="E633" s="266" t="s">
        <v>1567</v>
      </c>
      <c r="F633" s="216" t="s">
        <v>1567</v>
      </c>
      <c r="G633" s="267" t="s">
        <v>1037</v>
      </c>
      <c r="H633" s="268" t="s">
        <v>1049</v>
      </c>
      <c r="I633" s="219"/>
      <c r="J633" s="219"/>
      <c r="K633" s="70" t="s">
        <v>1049</v>
      </c>
      <c r="L633" s="219"/>
      <c r="M633" s="219"/>
      <c r="N633" s="219"/>
      <c r="O633" s="266" t="s">
        <v>44</v>
      </c>
      <c r="P633" s="221"/>
      <c r="Q633" s="222"/>
      <c r="R633" s="270">
        <v>285714.29000400001</v>
      </c>
      <c r="S633" s="271">
        <v>214285.71750299999</v>
      </c>
      <c r="T633" s="272">
        <v>285714.29000400001</v>
      </c>
      <c r="U633" s="273">
        <f>ERP_34[[#This Row],[LE2 Final Submission]]-ERP_34[[#This Row],[LE3 Final Submission]]</f>
        <v>-71428.572501000017</v>
      </c>
      <c r="V633" s="274"/>
      <c r="W633" s="274"/>
      <c r="X633" s="274"/>
      <c r="Y633" s="278">
        <v>23809.524167</v>
      </c>
      <c r="Z633" s="278">
        <v>23809.524167</v>
      </c>
      <c r="AA633" s="278">
        <v>23809.524167</v>
      </c>
      <c r="AB633" s="278">
        <v>23809.524167</v>
      </c>
      <c r="AC633" s="278">
        <v>23809.524167</v>
      </c>
      <c r="AD633" s="278">
        <v>23809.524167</v>
      </c>
      <c r="AE633" s="278">
        <v>23809.524167</v>
      </c>
      <c r="AF633" s="278">
        <v>23809.524167</v>
      </c>
      <c r="AG633" s="278">
        <v>23809.524167</v>
      </c>
      <c r="AH633" s="194">
        <f t="shared" si="22"/>
        <v>214285.71750299999</v>
      </c>
      <c r="AI633" s="108">
        <f>ERP_34[[#This Row],[2026 Working Total]]-ERP_34[[#This Row],[2026 LE0]]</f>
        <v>-71428.572501000017</v>
      </c>
      <c r="AJ633" s="227"/>
      <c r="AK633" s="227"/>
      <c r="AL63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3" s="80"/>
      <c r="AN633" s="79">
        <f>ERP_34[[#This Row],[2026 Working Total to Budget/LE]]-ERP_34[[#This Row],[Giveback]]</f>
        <v>-71428.572501000017</v>
      </c>
      <c r="AO633" s="81"/>
      <c r="AP633" s="81"/>
      <c r="AQ633" s="81"/>
      <c r="AR633" s="81"/>
      <c r="AS633" s="81">
        <v>23809.524167</v>
      </c>
      <c r="AT633" s="81">
        <v>23809.524167</v>
      </c>
      <c r="AU633" s="81">
        <v>23809.524167</v>
      </c>
      <c r="AV633" s="81">
        <v>23809.524167</v>
      </c>
      <c r="AW633" s="81">
        <v>23809.524167</v>
      </c>
      <c r="AX633" s="81">
        <v>23809.524167</v>
      </c>
      <c r="AY633" s="81">
        <v>23809.524167</v>
      </c>
      <c r="AZ633" s="81">
        <v>23809.524167</v>
      </c>
      <c r="BA633" s="81">
        <v>23809.524167</v>
      </c>
      <c r="BB633" s="81">
        <v>214285.71750299999</v>
      </c>
      <c r="BC633" s="276"/>
      <c r="BD633" s="276"/>
      <c r="BE633" s="276"/>
      <c r="BF633" s="276">
        <v>23809.524167</v>
      </c>
      <c r="BG633" s="276">
        <v>23809.524167</v>
      </c>
      <c r="BH633" s="276">
        <v>23809.524167</v>
      </c>
      <c r="BI633" s="276">
        <v>23809.524167</v>
      </c>
      <c r="BJ633" s="276">
        <v>23809.524167</v>
      </c>
      <c r="BK633" s="276">
        <v>23809.524167</v>
      </c>
      <c r="BL633" s="276">
        <v>23809.524167</v>
      </c>
      <c r="BM633" s="276">
        <v>23809.524167</v>
      </c>
      <c r="BN633" s="276">
        <v>23809.524167</v>
      </c>
      <c r="BO633" s="227">
        <v>214285.71750299999</v>
      </c>
    </row>
    <row r="634" spans="1:67">
      <c r="A634" s="279" t="s">
        <v>2893</v>
      </c>
      <c r="B634" s="264" t="str">
        <f>_xlfn.TEXTJOIN("_",,ERP_34[[#This Row],[LT Member -1*]],ERP_34[[#This Row],[Expense Category]],ERP_34[[#This Row],[Project Code*]])</f>
        <v>McGettigan, David_COMPENSATION_VacancyFactor001</v>
      </c>
      <c r="C634" s="67" t="s">
        <v>1136</v>
      </c>
      <c r="D634" s="280" t="s">
        <v>1567</v>
      </c>
      <c r="E634" s="281" t="s">
        <v>1567</v>
      </c>
      <c r="F634" s="282" t="s">
        <v>1567</v>
      </c>
      <c r="G634" s="283" t="s">
        <v>22</v>
      </c>
      <c r="H634" s="148" t="s">
        <v>2895</v>
      </c>
      <c r="I634" s="284"/>
      <c r="J634" s="284"/>
      <c r="K634" s="285" t="s">
        <v>43</v>
      </c>
      <c r="L634" s="284"/>
      <c r="M634" s="284"/>
      <c r="N634" s="284"/>
      <c r="O634" s="281" t="s">
        <v>44</v>
      </c>
      <c r="P634" s="286"/>
      <c r="Q634" s="287"/>
      <c r="R634" s="288">
        <v>-472222.21000000008</v>
      </c>
      <c r="S634" s="289">
        <v>-160000</v>
      </c>
      <c r="T634" s="290">
        <v>-472222.21000000008</v>
      </c>
      <c r="U634" s="291">
        <f>ERP_34[[#This Row],[LE2 Final Submission]]-ERP_34[[#This Row],[LE3 Final Submission]]</f>
        <v>312222.21000000008</v>
      </c>
      <c r="V634" s="292"/>
      <c r="W634" s="292"/>
      <c r="X634" s="292"/>
      <c r="Y634" s="293"/>
      <c r="Z634" s="293">
        <v>-20000</v>
      </c>
      <c r="AA634" s="293">
        <v>-20000</v>
      </c>
      <c r="AB634" s="293">
        <v>-20000</v>
      </c>
      <c r="AC634" s="293">
        <v>-20000</v>
      </c>
      <c r="AD634" s="293">
        <v>-20000</v>
      </c>
      <c r="AE634" s="293">
        <v>-20000</v>
      </c>
      <c r="AF634" s="293">
        <v>-20000</v>
      </c>
      <c r="AG634" s="293">
        <v>-20000</v>
      </c>
      <c r="AH634" s="194">
        <f t="shared" si="22"/>
        <v>-160000</v>
      </c>
      <c r="AI634" s="108">
        <f>ERP_34[[#This Row],[2026 Working Total]]-ERP_34[[#This Row],[2026 LE0]]</f>
        <v>312222.21000000008</v>
      </c>
      <c r="AJ634" s="294"/>
      <c r="AK634" s="294"/>
      <c r="AL63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4" s="80"/>
      <c r="AN634" s="79">
        <f>ERP_34[[#This Row],[2026 Working Total to Budget/LE]]-ERP_34[[#This Row],[Giveback]]</f>
        <v>312222.21000000008</v>
      </c>
      <c r="AO634" s="81"/>
      <c r="AP634" s="81"/>
      <c r="AQ634" s="81"/>
      <c r="AR634" s="81"/>
      <c r="AS634" s="81"/>
      <c r="AT634" s="81">
        <v>-20000</v>
      </c>
      <c r="AU634" s="81">
        <v>-20000</v>
      </c>
      <c r="AV634" s="81">
        <v>-20000</v>
      </c>
      <c r="AW634" s="81">
        <v>-20000</v>
      </c>
      <c r="AX634" s="81">
        <v>-20000</v>
      </c>
      <c r="AY634" s="81">
        <v>-20000</v>
      </c>
      <c r="AZ634" s="81">
        <v>-20000</v>
      </c>
      <c r="BA634" s="81">
        <v>-20000</v>
      </c>
      <c r="BB634" s="81">
        <v>-160000</v>
      </c>
      <c r="BC634" s="295"/>
      <c r="BD634" s="295"/>
      <c r="BE634" s="295"/>
      <c r="BF634" s="295">
        <v>-47222.220999999998</v>
      </c>
      <c r="BG634" s="295">
        <v>-47222.220999999998</v>
      </c>
      <c r="BH634" s="295">
        <v>-47222.220999999998</v>
      </c>
      <c r="BI634" s="295">
        <v>-47222.220999999998</v>
      </c>
      <c r="BJ634" s="295">
        <v>-47222.220999999998</v>
      </c>
      <c r="BK634" s="295">
        <v>-47222.220999999998</v>
      </c>
      <c r="BL634" s="295">
        <v>-47222.220999999998</v>
      </c>
      <c r="BM634" s="295">
        <v>-47222.220999999998</v>
      </c>
      <c r="BN634" s="295">
        <v>-47222.220999999998</v>
      </c>
      <c r="BO634" s="227">
        <v>-424999.98900000006</v>
      </c>
    </row>
    <row r="635" spans="1:67">
      <c r="A635" s="79" t="s">
        <v>2647</v>
      </c>
      <c r="B635" s="296" t="str">
        <f>_xlfn.TEXTJOIN("_",,ERP_34[[#This Row],[LT Member -1*]],ERP_34[[#This Row],[Expense Category]],ERP_34[[#This Row],[Project Code*]])</f>
        <v>Ganesan, Srinivasan_SOFTWARE</v>
      </c>
      <c r="C635" s="67" t="s">
        <v>1136</v>
      </c>
      <c r="D635" s="216" t="s">
        <v>1345</v>
      </c>
      <c r="E635" s="297" t="s">
        <v>1344</v>
      </c>
      <c r="F635" s="298" t="s">
        <v>1346</v>
      </c>
      <c r="G635" s="297" t="s">
        <v>639</v>
      </c>
      <c r="H635" s="299" t="s">
        <v>2649</v>
      </c>
      <c r="I635" s="84"/>
      <c r="J635" s="84"/>
      <c r="K635" s="300"/>
      <c r="L635" s="89"/>
      <c r="M635" s="90"/>
      <c r="N635" s="90"/>
      <c r="O635" s="90"/>
      <c r="P635" s="301" t="s">
        <v>2915</v>
      </c>
      <c r="Q635" s="90">
        <f t="shared" ref="Q635:Q643" si="23">ABS(T635)</f>
        <v>0</v>
      </c>
      <c r="R635" s="302"/>
      <c r="S635" s="303">
        <v>143000</v>
      </c>
      <c r="T635" s="304"/>
      <c r="U635" s="305">
        <f>ERP_34[[#This Row],[LE2 Final Submission]]-ERP_34[[#This Row],[LE3 Final Submission]]</f>
        <v>143000</v>
      </c>
      <c r="V635" s="306"/>
      <c r="W635" s="306"/>
      <c r="X635" s="306"/>
      <c r="Y635" s="80"/>
      <c r="Z635" s="80"/>
      <c r="AA635" s="80"/>
      <c r="AB635" s="80"/>
      <c r="AC635" s="80"/>
      <c r="AD635" s="80"/>
      <c r="AE635" s="80">
        <v>143000</v>
      </c>
      <c r="AF635" s="80"/>
      <c r="AG635" s="80"/>
      <c r="AH635" s="245">
        <f t="shared" si="22"/>
        <v>143000</v>
      </c>
      <c r="AI635" s="108">
        <f>ERP_34[[#This Row],[2026 Working Total]]-ERP_34[[#This Row],[2026 LE0]]</f>
        <v>143000</v>
      </c>
      <c r="AJ635" s="79"/>
      <c r="AK635" s="79"/>
      <c r="AL63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5" s="80"/>
      <c r="AN635" s="82">
        <f>ERP_34[[#This Row],[2026 Working Total to Budget/LE]]-ERP_34[[#This Row],[Giveback]]</f>
        <v>143000</v>
      </c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>
        <v>143000</v>
      </c>
      <c r="AZ635" s="81"/>
      <c r="BA635" s="81"/>
      <c r="BB635" s="81">
        <v>143000</v>
      </c>
      <c r="BC635" s="79"/>
      <c r="BD635" s="79"/>
      <c r="BE635" s="79"/>
      <c r="BF635" s="79"/>
      <c r="BG635" s="79"/>
      <c r="BH635" s="79"/>
      <c r="BI635" s="79"/>
      <c r="BJ635" s="79"/>
      <c r="BK635" s="79"/>
      <c r="BL635" s="79"/>
      <c r="BM635" s="79"/>
      <c r="BN635" s="79"/>
      <c r="BO635" s="79"/>
    </row>
    <row r="636" spans="1:67">
      <c r="A636" s="79" t="s">
        <v>2203</v>
      </c>
      <c r="B636" s="296" t="str">
        <f>_xlfn.TEXTJOIN("_",,ERP_34[[#This Row],[LT Member -1*]],ERP_34[[#This Row],[Expense Category]],ERP_34[[#This Row],[Project Code*]])</f>
        <v>Dougherty, Chris_SOFTWARE</v>
      </c>
      <c r="C636" s="67" t="s">
        <v>1136</v>
      </c>
      <c r="D636" s="282" t="s">
        <v>1135</v>
      </c>
      <c r="E636" s="297" t="s">
        <v>1135</v>
      </c>
      <c r="F636" s="298" t="s">
        <v>1346</v>
      </c>
      <c r="G636" s="297" t="s">
        <v>639</v>
      </c>
      <c r="H636" s="299" t="s">
        <v>2205</v>
      </c>
      <c r="I636" s="84"/>
      <c r="J636" s="84"/>
      <c r="K636" s="90"/>
      <c r="L636" s="89"/>
      <c r="M636" s="90"/>
      <c r="N636" s="90"/>
      <c r="O636" s="90"/>
      <c r="P636" s="90" t="s">
        <v>2207</v>
      </c>
      <c r="Q636" s="307">
        <f t="shared" si="23"/>
        <v>0</v>
      </c>
      <c r="R636" s="302"/>
      <c r="S636" s="303">
        <v>624226</v>
      </c>
      <c r="T636" s="304"/>
      <c r="U636" s="305">
        <f>ERP_34[[#This Row],[LE2 Final Submission]]-ERP_34[[#This Row],[LE3 Final Submission]]</f>
        <v>624226</v>
      </c>
      <c r="V636" s="306"/>
      <c r="W636" s="306"/>
      <c r="X636" s="306"/>
      <c r="Y636" s="80"/>
      <c r="Z636" s="80"/>
      <c r="AA636" s="80"/>
      <c r="AB636" s="80"/>
      <c r="AC636" s="80"/>
      <c r="AD636" s="80"/>
      <c r="AE636" s="80"/>
      <c r="AF636" s="80"/>
      <c r="AG636" s="80">
        <v>624226</v>
      </c>
      <c r="AH636" s="308">
        <f t="shared" si="22"/>
        <v>624226</v>
      </c>
      <c r="AI636" s="309">
        <f>ERP_34[[#This Row],[2026 Working Total]]-ERP_34[[#This Row],[2026 LE0]]</f>
        <v>624226</v>
      </c>
      <c r="AJ636" s="79"/>
      <c r="AK636" s="79"/>
      <c r="AL63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6" s="80"/>
      <c r="AN636" s="79">
        <f>ERP_34[[#This Row],[2026 Working Total to Budget/LE]]-ERP_34[[#This Row],[Giveback]]</f>
        <v>624226</v>
      </c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>
        <v>624226</v>
      </c>
      <c r="BB636" s="81">
        <v>624226</v>
      </c>
      <c r="BC636" s="79"/>
      <c r="BD636" s="79"/>
      <c r="BE636" s="79"/>
      <c r="BF636" s="79"/>
      <c r="BG636" s="79"/>
      <c r="BH636" s="79"/>
      <c r="BI636" s="79"/>
      <c r="BJ636" s="79"/>
      <c r="BK636" s="79"/>
      <c r="BL636" s="79"/>
      <c r="BM636" s="79"/>
      <c r="BN636" s="79"/>
      <c r="BO636" s="79"/>
    </row>
    <row r="637" spans="1:67">
      <c r="A637" s="79" t="s">
        <v>2298</v>
      </c>
      <c r="B637" s="296" t="str">
        <f>_xlfn.TEXTJOIN("_",,ERP_34[[#This Row],[LT Member -1*]],ERP_34[[#This Row],[Expense Category]],ERP_34[[#This Row],[Project Code*]])</f>
        <v>Tamavada, Ram_SOFTWARE_IT-MGS0202-OG-US-00</v>
      </c>
      <c r="C637" s="67" t="s">
        <v>1136</v>
      </c>
      <c r="D637" s="67" t="s">
        <v>1135</v>
      </c>
      <c r="E637" s="67" t="s">
        <v>1165</v>
      </c>
      <c r="F637" s="86"/>
      <c r="G637" s="84" t="s">
        <v>639</v>
      </c>
      <c r="H637" s="106" t="s">
        <v>1927</v>
      </c>
      <c r="I637" s="84"/>
      <c r="J637" s="84"/>
      <c r="K637" s="114" t="s">
        <v>473</v>
      </c>
      <c r="L637" s="89"/>
      <c r="M637" s="90"/>
      <c r="N637" s="90"/>
      <c r="O637" s="90"/>
      <c r="P637" s="67" t="s">
        <v>1928</v>
      </c>
      <c r="Q637" s="307">
        <f t="shared" si="23"/>
        <v>0</v>
      </c>
      <c r="R637" s="310"/>
      <c r="S637" s="311">
        <v>123539</v>
      </c>
      <c r="T637" s="304"/>
      <c r="U637" s="305">
        <f>ERP_34[[#This Row],[LE2 Final Submission]]-ERP_34[[#This Row],[LE3 Final Submission]]</f>
        <v>123539</v>
      </c>
      <c r="V637" s="306"/>
      <c r="W637" s="306"/>
      <c r="X637" s="306"/>
      <c r="Y637" s="80"/>
      <c r="Z637" s="80"/>
      <c r="AA637" s="80"/>
      <c r="AB637" s="80"/>
      <c r="AC637" s="80">
        <v>123539</v>
      </c>
      <c r="AD637" s="80"/>
      <c r="AE637" s="80"/>
      <c r="AF637" s="80"/>
      <c r="AG637" s="80"/>
      <c r="AH637" s="312">
        <f t="shared" si="22"/>
        <v>123539</v>
      </c>
      <c r="AI637" s="313">
        <f>ERP_34[[#This Row],[2026 Working Total]]-ERP_34[[#This Row],[2026 LE0]]</f>
        <v>123539</v>
      </c>
      <c r="AJ637" s="79"/>
      <c r="AK637" s="79"/>
      <c r="AL63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7" s="80"/>
      <c r="AN637" s="79">
        <f>ERP_34[[#This Row],[2026 Working Total to Budget/LE]]-ERP_34[[#This Row],[Giveback]]</f>
        <v>123539</v>
      </c>
      <c r="AO637" s="81" t="s">
        <v>1929</v>
      </c>
      <c r="AP637" s="81"/>
      <c r="AQ637" s="81"/>
      <c r="AR637" s="81"/>
      <c r="AS637" s="81"/>
      <c r="AT637" s="81"/>
      <c r="AU637" s="81"/>
      <c r="AV637" s="81"/>
      <c r="AW637" s="81">
        <v>123539</v>
      </c>
      <c r="AX637" s="81"/>
      <c r="AY637" s="81"/>
      <c r="AZ637" s="81"/>
      <c r="BA637" s="81"/>
      <c r="BB637" s="81">
        <v>123539</v>
      </c>
      <c r="BC637" s="79"/>
      <c r="BD637" s="79"/>
      <c r="BE637" s="79"/>
      <c r="BF637" s="79"/>
      <c r="BG637" s="79"/>
      <c r="BH637" s="79"/>
      <c r="BI637" s="79"/>
      <c r="BJ637" s="79"/>
      <c r="BK637" s="79"/>
      <c r="BL637" s="79"/>
      <c r="BM637" s="79"/>
      <c r="BN637" s="79"/>
      <c r="BO637" s="79"/>
    </row>
    <row r="638" spans="1:67">
      <c r="A638" s="79" t="s">
        <v>2974</v>
      </c>
      <c r="B638" s="296" t="str">
        <f>_xlfn.TEXTJOIN("_",,ERP_34[[#This Row],[LT Member -1*]],ERP_34[[#This Row],[Expense Category]],ERP_34[[#This Row],[Project Code*]])</f>
        <v>Dougherty, Chris_CONTRACTORS_EnhanceChargeout001</v>
      </c>
      <c r="C638" s="84" t="s">
        <v>1136</v>
      </c>
      <c r="D638" s="84" t="s">
        <v>1135</v>
      </c>
      <c r="E638" s="84" t="s">
        <v>1135</v>
      </c>
      <c r="F638" s="86"/>
      <c r="G638" s="84" t="s">
        <v>49</v>
      </c>
      <c r="H638" s="314" t="s">
        <v>2668</v>
      </c>
      <c r="I638" s="84"/>
      <c r="J638" s="84"/>
      <c r="K638" s="70" t="s">
        <v>53</v>
      </c>
      <c r="L638" s="89"/>
      <c r="M638" s="90"/>
      <c r="N638" s="90"/>
      <c r="O638" s="90"/>
      <c r="P638" s="90" t="s">
        <v>1700</v>
      </c>
      <c r="Q638" s="307">
        <f t="shared" si="23"/>
        <v>0</v>
      </c>
      <c r="R638" s="310"/>
      <c r="S638" s="311">
        <v>0</v>
      </c>
      <c r="T638" s="304"/>
      <c r="U638" s="305">
        <f>ERP_34[[#This Row],[LE2 Final Submission]]-ERP_34[[#This Row],[LE3 Final Submission]]</f>
        <v>0</v>
      </c>
      <c r="V638" s="306"/>
      <c r="W638" s="306"/>
      <c r="X638" s="306"/>
      <c r="Y638" s="80">
        <v>237411</v>
      </c>
      <c r="Z638" s="80">
        <v>-237411</v>
      </c>
      <c r="AA638" s="80"/>
      <c r="AB638" s="80"/>
      <c r="AC638" s="80"/>
      <c r="AD638" s="80"/>
      <c r="AE638" s="80"/>
      <c r="AF638" s="80"/>
      <c r="AG638" s="80"/>
      <c r="AH638" s="308">
        <f>SUM(V638:AG638)</f>
        <v>0</v>
      </c>
      <c r="AI638" s="309">
        <f>ERP_34[[#This Row],[2026 Working Total]]-ERP_34[[#This Row],[2026 LE0]]</f>
        <v>0</v>
      </c>
      <c r="AJ638" s="79"/>
      <c r="AK638" s="79"/>
      <c r="AL63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8" s="80"/>
      <c r="AN638" s="79">
        <f>ERP_34[[#This Row],[2026 Working Total to Budget/LE]]-ERP_34[[#This Row],[Giveback]]</f>
        <v>0</v>
      </c>
      <c r="AO638" s="81"/>
      <c r="AP638" s="81"/>
      <c r="AQ638" s="81"/>
      <c r="AR638" s="81"/>
      <c r="AS638" s="81">
        <v>237411</v>
      </c>
      <c r="AT638" s="81">
        <v>-237411</v>
      </c>
      <c r="AU638" s="81"/>
      <c r="AV638" s="81"/>
      <c r="AW638" s="81"/>
      <c r="AX638" s="81"/>
      <c r="AY638" s="81"/>
      <c r="AZ638" s="81"/>
      <c r="BA638" s="81"/>
      <c r="BB638" s="81">
        <v>0</v>
      </c>
      <c r="BC638" s="79"/>
      <c r="BD638" s="79"/>
      <c r="BE638" s="79"/>
      <c r="BF638" s="79"/>
      <c r="BG638" s="79"/>
      <c r="BH638" s="79"/>
      <c r="BI638" s="79"/>
      <c r="BJ638" s="79"/>
      <c r="BK638" s="79"/>
      <c r="BL638" s="79"/>
      <c r="BM638" s="79"/>
      <c r="BN638" s="79"/>
      <c r="BO638" s="79"/>
    </row>
    <row r="639" spans="1:67">
      <c r="A639" s="79" t="s">
        <v>2975</v>
      </c>
      <c r="B639" s="296" t="str">
        <f>_xlfn.TEXTJOIN("_",,ERP_34[[#This Row],[LT Member -1*]],ERP_34[[#This Row],[Expense Category]],ERP_34[[#This Row],[Project Code*]])</f>
        <v>Hase, Raj_CONTRACTORS_EnhanceChargeout001</v>
      </c>
      <c r="C639" s="84" t="s">
        <v>1136</v>
      </c>
      <c r="D639" s="84" t="s">
        <v>1345</v>
      </c>
      <c r="E639" s="84" t="s">
        <v>1345</v>
      </c>
      <c r="F639" s="86"/>
      <c r="G639" s="84" t="s">
        <v>49</v>
      </c>
      <c r="H639" s="314" t="s">
        <v>2668</v>
      </c>
      <c r="I639" s="84"/>
      <c r="J639" s="84"/>
      <c r="K639" s="70" t="s">
        <v>53</v>
      </c>
      <c r="L639" s="89"/>
      <c r="M639" s="90"/>
      <c r="N639" s="90"/>
      <c r="O639" s="90"/>
      <c r="P639" s="90" t="s">
        <v>1700</v>
      </c>
      <c r="Q639" s="307">
        <f t="shared" si="23"/>
        <v>0</v>
      </c>
      <c r="R639" s="310"/>
      <c r="S639" s="311">
        <v>0</v>
      </c>
      <c r="T639" s="304"/>
      <c r="U639" s="305">
        <f>ERP_34[[#This Row],[LE2 Final Submission]]-ERP_34[[#This Row],[LE3 Final Submission]]</f>
        <v>0</v>
      </c>
      <c r="V639" s="306"/>
      <c r="W639" s="306"/>
      <c r="X639" s="306"/>
      <c r="Y639" s="80">
        <v>715490</v>
      </c>
      <c r="Z639" s="80">
        <v>-715490</v>
      </c>
      <c r="AA639" s="80"/>
      <c r="AB639" s="80"/>
      <c r="AC639" s="80"/>
      <c r="AD639" s="80"/>
      <c r="AE639" s="80"/>
      <c r="AF639" s="80"/>
      <c r="AG639" s="80"/>
      <c r="AH639" s="308">
        <f>SUM(V639:AG639)</f>
        <v>0</v>
      </c>
      <c r="AI639" s="309">
        <f>ERP_34[[#This Row],[2026 Working Total]]-ERP_34[[#This Row],[2026 LE0]]</f>
        <v>0</v>
      </c>
      <c r="AJ639" s="79"/>
      <c r="AK639" s="79"/>
      <c r="AL63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39" s="80"/>
      <c r="AN639" s="79">
        <f>ERP_34[[#This Row],[2026 Working Total to Budget/LE]]-ERP_34[[#This Row],[Giveback]]</f>
        <v>0</v>
      </c>
      <c r="AO639" s="81"/>
      <c r="AP639" s="81"/>
      <c r="AQ639" s="81"/>
      <c r="AR639" s="81"/>
      <c r="AS639" s="81">
        <v>715490</v>
      </c>
      <c r="AT639" s="81">
        <v>-715490</v>
      </c>
      <c r="AU639" s="81"/>
      <c r="AV639" s="81"/>
      <c r="AW639" s="81"/>
      <c r="AX639" s="81"/>
      <c r="AY639" s="81"/>
      <c r="AZ639" s="81"/>
      <c r="BA639" s="81"/>
      <c r="BB639" s="81">
        <v>0</v>
      </c>
      <c r="BC639" s="79"/>
      <c r="BD639" s="79"/>
      <c r="BE639" s="79"/>
      <c r="BF639" s="79"/>
      <c r="BG639" s="79"/>
      <c r="BH639" s="79"/>
      <c r="BI639" s="79"/>
      <c r="BJ639" s="79"/>
      <c r="BK639" s="79"/>
      <c r="BL639" s="79"/>
      <c r="BM639" s="79"/>
      <c r="BN639" s="79"/>
      <c r="BO639" s="79"/>
    </row>
    <row r="640" spans="1:67">
      <c r="A640" s="79" t="s">
        <v>2976</v>
      </c>
      <c r="B640" s="296" t="str">
        <f>_xlfn.TEXTJOIN("_",,ERP_34[[#This Row],[LT Member -1*]],ERP_34[[#This Row],[Expense Category]],ERP_34[[#This Row],[Project Code*]])</f>
        <v>Robertson, Jerome_CONTRACTORS_EnhanceChargeout001</v>
      </c>
      <c r="C640" s="84" t="s">
        <v>1136</v>
      </c>
      <c r="D640" s="84" t="s">
        <v>1650</v>
      </c>
      <c r="E640" s="84" t="s">
        <v>1650</v>
      </c>
      <c r="F640" s="86"/>
      <c r="G640" s="84" t="s">
        <v>49</v>
      </c>
      <c r="H640" s="314" t="s">
        <v>2668</v>
      </c>
      <c r="I640" s="84"/>
      <c r="J640" s="84"/>
      <c r="K640" s="70" t="s">
        <v>53</v>
      </c>
      <c r="L640" s="89"/>
      <c r="M640" s="90"/>
      <c r="N640" s="90"/>
      <c r="O640" s="90"/>
      <c r="P640" s="90" t="s">
        <v>1700</v>
      </c>
      <c r="Q640" s="307">
        <f t="shared" si="23"/>
        <v>0</v>
      </c>
      <c r="R640" s="310"/>
      <c r="S640" s="311">
        <v>0</v>
      </c>
      <c r="T640" s="304"/>
      <c r="U640" s="305">
        <f>ERP_34[[#This Row],[LE2 Final Submission]]-ERP_34[[#This Row],[LE3 Final Submission]]</f>
        <v>0</v>
      </c>
      <c r="V640" s="306"/>
      <c r="W640" s="306"/>
      <c r="X640" s="306"/>
      <c r="Y640" s="80">
        <v>28331</v>
      </c>
      <c r="Z640" s="80">
        <v>-28331</v>
      </c>
      <c r="AA640" s="80"/>
      <c r="AB640" s="80"/>
      <c r="AC640" s="80"/>
      <c r="AD640" s="80"/>
      <c r="AE640" s="80"/>
      <c r="AF640" s="80"/>
      <c r="AG640" s="80"/>
      <c r="AH640" s="308">
        <f>SUM(V640:AG640)</f>
        <v>0</v>
      </c>
      <c r="AI640" s="309">
        <f>ERP_34[[#This Row],[2026 Working Total]]-ERP_34[[#This Row],[2026 LE0]]</f>
        <v>0</v>
      </c>
      <c r="AJ640" s="79"/>
      <c r="AK640" s="79"/>
      <c r="AL640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0" s="80"/>
      <c r="AN640" s="79">
        <f>ERP_34[[#This Row],[2026 Working Total to Budget/LE]]-ERP_34[[#This Row],[Giveback]]</f>
        <v>0</v>
      </c>
      <c r="AO640" s="81"/>
      <c r="AP640" s="81"/>
      <c r="AQ640" s="81"/>
      <c r="AR640" s="81"/>
      <c r="AS640" s="81">
        <v>28331</v>
      </c>
      <c r="AT640" s="81">
        <v>-28331</v>
      </c>
      <c r="AU640" s="81"/>
      <c r="AV640" s="81"/>
      <c r="AW640" s="81"/>
      <c r="AX640" s="81"/>
      <c r="AY640" s="81"/>
      <c r="AZ640" s="81"/>
      <c r="BA640" s="81"/>
      <c r="BB640" s="81">
        <v>0</v>
      </c>
      <c r="BC640" s="79"/>
      <c r="BD640" s="79"/>
      <c r="BE640" s="79"/>
      <c r="BF640" s="79"/>
      <c r="BG640" s="79"/>
      <c r="BH640" s="79"/>
      <c r="BI640" s="79"/>
      <c r="BJ640" s="79"/>
      <c r="BK640" s="79"/>
      <c r="BL640" s="79"/>
      <c r="BM640" s="79"/>
      <c r="BN640" s="79"/>
      <c r="BO640" s="79"/>
    </row>
    <row r="641" spans="1:67">
      <c r="A641" s="79" t="s">
        <v>2977</v>
      </c>
      <c r="B641" s="296" t="str">
        <f>_xlfn.TEXTJOIN("_",,ERP_34[[#This Row],[LT Member -1*]],ERP_34[[#This Row],[Expense Category]],ERP_34[[#This Row],[Project Code*]])</f>
        <v>Hase, Raj_MANAGED SERVICES_EnhanceChargeout001</v>
      </c>
      <c r="C641" s="84" t="s">
        <v>1136</v>
      </c>
      <c r="D641" s="84" t="s">
        <v>1345</v>
      </c>
      <c r="E641" s="84" t="s">
        <v>1345</v>
      </c>
      <c r="F641" s="86"/>
      <c r="G641" s="84" t="s">
        <v>389</v>
      </c>
      <c r="H641" s="314" t="s">
        <v>2668</v>
      </c>
      <c r="I641" s="84"/>
      <c r="J641" s="84"/>
      <c r="K641" s="70" t="s">
        <v>53</v>
      </c>
      <c r="L641" s="89"/>
      <c r="M641" s="90"/>
      <c r="N641" s="90"/>
      <c r="O641" s="90"/>
      <c r="P641" s="90" t="s">
        <v>1700</v>
      </c>
      <c r="Q641" s="307">
        <f t="shared" si="23"/>
        <v>0</v>
      </c>
      <c r="R641" s="310"/>
      <c r="S641" s="311">
        <v>0</v>
      </c>
      <c r="T641" s="304"/>
      <c r="U641" s="305">
        <f>ERP_34[[#This Row],[LE2 Final Submission]]-ERP_34[[#This Row],[LE3 Final Submission]]</f>
        <v>0</v>
      </c>
      <c r="V641" s="306"/>
      <c r="W641" s="306"/>
      <c r="X641" s="306"/>
      <c r="Y641" s="80">
        <v>7780</v>
      </c>
      <c r="Z641" s="80">
        <v>-7780</v>
      </c>
      <c r="AA641" s="80"/>
      <c r="AB641" s="80"/>
      <c r="AC641" s="80"/>
      <c r="AD641" s="80"/>
      <c r="AE641" s="80"/>
      <c r="AF641" s="80"/>
      <c r="AG641" s="80"/>
      <c r="AH641" s="308">
        <f>SUM(V641:AG641)</f>
        <v>0</v>
      </c>
      <c r="AI641" s="309">
        <f>ERP_34[[#This Row],[2026 Working Total]]-ERP_34[[#This Row],[2026 LE0]]</f>
        <v>0</v>
      </c>
      <c r="AJ641" s="79"/>
      <c r="AK641" s="79"/>
      <c r="AL641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1" s="80"/>
      <c r="AN641" s="79">
        <f>ERP_34[[#This Row],[2026 Working Total to Budget/LE]]-ERP_34[[#This Row],[Giveback]]</f>
        <v>0</v>
      </c>
      <c r="AO641" s="81"/>
      <c r="AP641" s="81"/>
      <c r="AQ641" s="81"/>
      <c r="AR641" s="81"/>
      <c r="AS641" s="81">
        <v>7780</v>
      </c>
      <c r="AT641" s="81">
        <v>-7780</v>
      </c>
      <c r="AU641" s="81"/>
      <c r="AV641" s="81"/>
      <c r="AW641" s="81"/>
      <c r="AX641" s="81"/>
      <c r="AY641" s="81"/>
      <c r="AZ641" s="81"/>
      <c r="BA641" s="81"/>
      <c r="BB641" s="81">
        <v>0</v>
      </c>
      <c r="BC641" s="79"/>
      <c r="BD641" s="79"/>
      <c r="BE641" s="79"/>
      <c r="BF641" s="79"/>
      <c r="BG641" s="79"/>
      <c r="BH641" s="79"/>
      <c r="BI641" s="79"/>
      <c r="BJ641" s="79"/>
      <c r="BK641" s="79"/>
      <c r="BL641" s="79"/>
      <c r="BM641" s="79"/>
      <c r="BN641" s="79"/>
      <c r="BO641" s="79"/>
    </row>
    <row r="642" spans="1:67">
      <c r="A642" s="79" t="s">
        <v>2667</v>
      </c>
      <c r="B642" s="296" t="str">
        <f>_xlfn.TEXTJOIN("_",,ERP_34[[#This Row],[LT Member -1*]],ERP_34[[#This Row],[Expense Category]],ERP_34[[#This Row],[Project Code*]])</f>
        <v>Hase, Raj_SOFTWARE_EnhanceChargeout001</v>
      </c>
      <c r="C642" s="84" t="s">
        <v>1136</v>
      </c>
      <c r="D642" s="84" t="s">
        <v>1345</v>
      </c>
      <c r="E642" s="84" t="s">
        <v>1345</v>
      </c>
      <c r="F642" s="86"/>
      <c r="G642" s="84" t="s">
        <v>639</v>
      </c>
      <c r="H642" s="314" t="s">
        <v>2668</v>
      </c>
      <c r="I642" s="84"/>
      <c r="J642" s="84"/>
      <c r="K642" s="70" t="s">
        <v>53</v>
      </c>
      <c r="L642" s="89"/>
      <c r="M642" s="90"/>
      <c r="N642" s="90"/>
      <c r="O642" s="90"/>
      <c r="P642" s="90" t="s">
        <v>1700</v>
      </c>
      <c r="Q642" s="307">
        <f t="shared" si="23"/>
        <v>0</v>
      </c>
      <c r="R642" s="310"/>
      <c r="S642" s="311">
        <v>0</v>
      </c>
      <c r="T642" s="304"/>
      <c r="U642" s="305">
        <f>ERP_34[[#This Row],[LE2 Final Submission]]-ERP_34[[#This Row],[LE3 Final Submission]]</f>
        <v>0</v>
      </c>
      <c r="V642" s="306"/>
      <c r="W642" s="306"/>
      <c r="X642" s="306"/>
      <c r="Y642" s="80">
        <v>180</v>
      </c>
      <c r="Z642" s="80">
        <v>-180</v>
      </c>
      <c r="AA642" s="80"/>
      <c r="AB642" s="80"/>
      <c r="AC642" s="80"/>
      <c r="AD642" s="80"/>
      <c r="AE642" s="80"/>
      <c r="AF642" s="80"/>
      <c r="AG642" s="80"/>
      <c r="AH642" s="308">
        <f t="shared" ref="AH642:AH643" si="24">SUM(V642:AG642)</f>
        <v>0</v>
      </c>
      <c r="AI642" s="309">
        <f>ERP_34[[#This Row],[2026 Working Total]]-ERP_34[[#This Row],[2026 LE0]]</f>
        <v>0</v>
      </c>
      <c r="AJ642" s="79"/>
      <c r="AK642" s="79"/>
      <c r="AL642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2" s="80"/>
      <c r="AN642" s="79">
        <f>ERP_34[[#This Row],[2026 Working Total to Budget/LE]]-ERP_34[[#This Row],[Giveback]]</f>
        <v>0</v>
      </c>
      <c r="AO642" s="81"/>
      <c r="AP642" s="81"/>
      <c r="AQ642" s="81"/>
      <c r="AR642" s="81"/>
      <c r="AS642" s="81">
        <v>180</v>
      </c>
      <c r="AT642" s="81">
        <v>-180</v>
      </c>
      <c r="AU642" s="81"/>
      <c r="AV642" s="81"/>
      <c r="AW642" s="81"/>
      <c r="AX642" s="81"/>
      <c r="AY642" s="81"/>
      <c r="AZ642" s="81"/>
      <c r="BA642" s="81"/>
      <c r="BB642" s="81">
        <v>0</v>
      </c>
      <c r="BC642" s="79"/>
      <c r="BD642" s="79"/>
      <c r="BE642" s="79"/>
      <c r="BF642" s="79"/>
      <c r="BG642" s="79"/>
      <c r="BH642" s="79"/>
      <c r="BI642" s="79"/>
      <c r="BJ642" s="79"/>
      <c r="BK642" s="79"/>
      <c r="BL642" s="79"/>
      <c r="BM642" s="79"/>
      <c r="BN642" s="79"/>
      <c r="BO642" s="79"/>
    </row>
    <row r="643" spans="1:67">
      <c r="A643" s="79" t="s">
        <v>1698</v>
      </c>
      <c r="B643" s="296"/>
      <c r="C643" s="84" t="s">
        <v>1136</v>
      </c>
      <c r="D643" t="s">
        <v>1135</v>
      </c>
      <c r="E643" t="s">
        <v>1135</v>
      </c>
      <c r="F643" s="86"/>
      <c r="G643" s="84" t="s">
        <v>342</v>
      </c>
      <c r="H643" t="s">
        <v>1699</v>
      </c>
      <c r="I643" s="84"/>
      <c r="J643" s="84"/>
      <c r="K643" s="70" t="s">
        <v>362</v>
      </c>
      <c r="L643" s="89"/>
      <c r="M643" s="90"/>
      <c r="N643" s="90"/>
      <c r="O643" s="90"/>
      <c r="P643" s="90" t="s">
        <v>1700</v>
      </c>
      <c r="Q643" s="307">
        <f t="shared" si="23"/>
        <v>0</v>
      </c>
      <c r="R643" s="310"/>
      <c r="S643" s="311">
        <v>0</v>
      </c>
      <c r="T643" s="304"/>
      <c r="U643" s="305">
        <f>ERP_34[[#This Row],[LE2 Final Submission]]-ERP_34[[#This Row],[LE3 Final Submission]]</f>
        <v>0</v>
      </c>
      <c r="V643" s="306"/>
      <c r="W643" s="306"/>
      <c r="X643" s="306"/>
      <c r="Y643" s="315">
        <v>-16084.39</v>
      </c>
      <c r="Z643" s="316">
        <v>16084.39</v>
      </c>
      <c r="AA643" s="80"/>
      <c r="AB643" s="80"/>
      <c r="AC643" s="80"/>
      <c r="AD643" s="80"/>
      <c r="AE643" s="80"/>
      <c r="AF643" s="80"/>
      <c r="AG643" s="80"/>
      <c r="AH643" s="308">
        <f t="shared" si="24"/>
        <v>0</v>
      </c>
      <c r="AI643" s="309">
        <f>ERP_34[[#This Row],[2026 Working Total]]-ERP_34[[#This Row],[2026 LE0]]</f>
        <v>0</v>
      </c>
      <c r="AJ643" s="79"/>
      <c r="AK643" s="79"/>
      <c r="AL643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3" s="80"/>
      <c r="AN643" s="79">
        <f>ERP_34[[#This Row],[2026 Working Total to Budget/LE]]-ERP_34[[#This Row],[Giveback]]</f>
        <v>0</v>
      </c>
      <c r="AO643" s="81"/>
      <c r="AP643" s="81"/>
      <c r="AQ643" s="81"/>
      <c r="AR643" s="81"/>
      <c r="AS643" s="81">
        <v>-16084.39</v>
      </c>
      <c r="AT643" s="81">
        <v>16084.39</v>
      </c>
      <c r="AU643" s="81"/>
      <c r="AV643" s="81"/>
      <c r="AW643" s="81"/>
      <c r="AX643" s="81"/>
      <c r="AY643" s="81"/>
      <c r="AZ643" s="81"/>
      <c r="BA643" s="81"/>
      <c r="BB643" s="81">
        <v>0</v>
      </c>
      <c r="BC643" s="79"/>
      <c r="BD643" s="79"/>
      <c r="BE643" s="79"/>
      <c r="BF643" s="79"/>
      <c r="BG643" s="79"/>
      <c r="BH643" s="79"/>
      <c r="BI643" s="79"/>
      <c r="BJ643" s="79"/>
      <c r="BK643" s="79"/>
      <c r="BL643" s="79"/>
      <c r="BM643" s="79"/>
      <c r="BN643" s="79"/>
      <c r="BO643" s="79"/>
    </row>
    <row r="644" spans="1:67">
      <c r="A644" s="79" t="s">
        <v>1733</v>
      </c>
      <c r="B644" s="296" t="str">
        <f>_xlfn.TEXTJOIN("_",,ERP_34[[#This Row],[LT Member -1*]],ERP_34[[#This Row],[Expense Category]],ERP_34[[#This Row],[Project Code*]])</f>
        <v>McGettigan, David_HW MAINTENANCE_BillSweepMisc</v>
      </c>
      <c r="C644" s="84" t="s">
        <v>1136</v>
      </c>
      <c r="D644" t="s">
        <v>1567</v>
      </c>
      <c r="E644" t="s">
        <v>1567</v>
      </c>
      <c r="F644" s="86"/>
      <c r="G644" s="84" t="s">
        <v>342</v>
      </c>
      <c r="H644" s="314" t="s">
        <v>1699</v>
      </c>
      <c r="I644" s="84"/>
      <c r="J644" s="84"/>
      <c r="K644" s="70" t="s">
        <v>362</v>
      </c>
      <c r="L644" s="89"/>
      <c r="M644" s="90"/>
      <c r="N644" s="90"/>
      <c r="O644" s="90"/>
      <c r="P644" s="90" t="s">
        <v>1700</v>
      </c>
      <c r="Q644" s="307">
        <f>ABS(T644)</f>
        <v>0</v>
      </c>
      <c r="R644" s="310"/>
      <c r="S644" s="311">
        <v>0</v>
      </c>
      <c r="T644" s="304"/>
      <c r="U644" s="305">
        <f>ERP_34[[#This Row],[LE2 Final Submission]]-ERP_34[[#This Row],[LE3 Final Submission]]</f>
        <v>0</v>
      </c>
      <c r="V644" s="306"/>
      <c r="W644" s="306"/>
      <c r="X644" s="306"/>
      <c r="Y644" s="315">
        <v>-13303.91</v>
      </c>
      <c r="Z644" s="316">
        <v>13303.91</v>
      </c>
      <c r="AA644" s="80"/>
      <c r="AB644" s="80"/>
      <c r="AC644" s="80"/>
      <c r="AD644" s="80"/>
      <c r="AE644" s="80"/>
      <c r="AF644" s="80"/>
      <c r="AG644" s="80"/>
      <c r="AH644" s="308">
        <f>SUM(V644:AG644)</f>
        <v>0</v>
      </c>
      <c r="AI644" s="309">
        <f>ERP_34[[#This Row],[2026 Working Total]]-ERP_34[[#This Row],[2026 LE0]]</f>
        <v>0</v>
      </c>
      <c r="AJ644" s="79"/>
      <c r="AK644" s="79"/>
      <c r="AL644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4" s="80"/>
      <c r="AN644" s="79">
        <f>ERP_34[[#This Row],[2026 Working Total to Budget/LE]]-ERP_34[[#This Row],[Giveback]]</f>
        <v>0</v>
      </c>
      <c r="AO644" s="81"/>
      <c r="AP644" s="81"/>
      <c r="AQ644" s="81"/>
      <c r="AR644" s="81"/>
      <c r="AS644" s="81">
        <v>-13303.91</v>
      </c>
      <c r="AT644" s="81">
        <v>13303.91</v>
      </c>
      <c r="AU644" s="81"/>
      <c r="AV644" s="81"/>
      <c r="AW644" s="81"/>
      <c r="AX644" s="81"/>
      <c r="AY644" s="81"/>
      <c r="AZ644" s="81"/>
      <c r="BA644" s="81"/>
      <c r="BB644" s="81">
        <v>0</v>
      </c>
      <c r="BC644" s="79"/>
      <c r="BD644" s="79"/>
      <c r="BE644" s="79"/>
      <c r="BF644" s="79"/>
      <c r="BG644" s="79"/>
      <c r="BH644" s="79"/>
      <c r="BI644" s="79"/>
      <c r="BJ644" s="79"/>
      <c r="BK644" s="79"/>
      <c r="BL644" s="79"/>
      <c r="BM644" s="79"/>
      <c r="BN644" s="79"/>
      <c r="BO644" s="79"/>
    </row>
    <row r="645" spans="1:67">
      <c r="A645" s="79" t="s">
        <v>1788</v>
      </c>
      <c r="B645" s="296" t="str">
        <f>_xlfn.TEXTJOIN("_",,ERP_34[[#This Row],[LT Member -1*]],ERP_34[[#This Row],[Expense Category]],ERP_34[[#This Row],[Project Code*]])</f>
        <v>Dougherty, Chris_MANAGED SERVICES_BillSweepMisc</v>
      </c>
      <c r="C645" s="84" t="s">
        <v>1136</v>
      </c>
      <c r="D645" t="s">
        <v>1135</v>
      </c>
      <c r="E645" t="s">
        <v>1135</v>
      </c>
      <c r="F645" s="86"/>
      <c r="G645" s="84" t="s">
        <v>389</v>
      </c>
      <c r="H645" s="314" t="s">
        <v>1699</v>
      </c>
      <c r="I645" s="84"/>
      <c r="J645" s="84"/>
      <c r="K645" s="70" t="s">
        <v>362</v>
      </c>
      <c r="L645" s="89"/>
      <c r="M645" s="90"/>
      <c r="N645" s="90"/>
      <c r="O645" s="90"/>
      <c r="P645" s="90" t="s">
        <v>1700</v>
      </c>
      <c r="Q645" s="307">
        <f>ABS(T645)</f>
        <v>0</v>
      </c>
      <c r="R645" s="310"/>
      <c r="S645" s="311">
        <v>0</v>
      </c>
      <c r="T645" s="304"/>
      <c r="U645" s="305">
        <f>ERP_34[[#This Row],[LE2 Final Submission]]-ERP_34[[#This Row],[LE3 Final Submission]]</f>
        <v>0</v>
      </c>
      <c r="V645" s="306"/>
      <c r="W645" s="306"/>
      <c r="X645" s="306"/>
      <c r="Y645" s="80">
        <v>-9141.65</v>
      </c>
      <c r="Z645" s="80">
        <v>9141.65</v>
      </c>
      <c r="AA645" s="80"/>
      <c r="AB645" s="80"/>
      <c r="AC645" s="80"/>
      <c r="AD645" s="80"/>
      <c r="AE645" s="80"/>
      <c r="AF645" s="80"/>
      <c r="AG645" s="80"/>
      <c r="AH645" s="308">
        <f>SUM(V645:AG645)</f>
        <v>0</v>
      </c>
      <c r="AI645" s="309">
        <f>ERP_34[[#This Row],[2026 Working Total]]-ERP_34[[#This Row],[2026 LE0]]</f>
        <v>0</v>
      </c>
      <c r="AJ645" s="79"/>
      <c r="AK645" s="79"/>
      <c r="AL645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5" s="80"/>
      <c r="AN645" s="79">
        <f>ERP_34[[#This Row],[2026 Working Total to Budget/LE]]-ERP_34[[#This Row],[Giveback]]</f>
        <v>0</v>
      </c>
      <c r="AO645" s="81"/>
      <c r="AP645" s="81"/>
      <c r="AQ645" s="81"/>
      <c r="AR645" s="81"/>
      <c r="AS645" s="81">
        <v>-9141.65</v>
      </c>
      <c r="AT645" s="81">
        <v>9141.65</v>
      </c>
      <c r="AU645" s="81"/>
      <c r="AV645" s="81"/>
      <c r="AW645" s="81"/>
      <c r="AX645" s="81"/>
      <c r="AY645" s="81"/>
      <c r="AZ645" s="81"/>
      <c r="BA645" s="81"/>
      <c r="BB645" s="81">
        <v>0</v>
      </c>
      <c r="BC645" s="79"/>
      <c r="BD645" s="79"/>
      <c r="BE645" s="79"/>
      <c r="BF645" s="79"/>
      <c r="BG645" s="79"/>
      <c r="BH645" s="79"/>
      <c r="BI645" s="79"/>
      <c r="BJ645" s="79"/>
      <c r="BK645" s="79"/>
      <c r="BL645" s="79"/>
      <c r="BM645" s="79"/>
      <c r="BN645" s="79"/>
      <c r="BO645" s="79"/>
    </row>
    <row r="646" spans="1:67">
      <c r="A646" s="79" t="s">
        <v>2083</v>
      </c>
      <c r="B646" s="296" t="str">
        <f>_xlfn.TEXTJOIN("_",,ERP_34[[#This Row],[LT Member -1*]],ERP_34[[#This Row],[Expense Category]],ERP_34[[#This Row],[Project Code*]])</f>
        <v>McGettigan, David_MANAGED SERVICES_BillSweepMisc</v>
      </c>
      <c r="C646" s="84" t="s">
        <v>1136</v>
      </c>
      <c r="D646" t="s">
        <v>1567</v>
      </c>
      <c r="E646" t="s">
        <v>1567</v>
      </c>
      <c r="F646" s="86"/>
      <c r="G646" s="84" t="s">
        <v>389</v>
      </c>
      <c r="H646" s="314" t="s">
        <v>1699</v>
      </c>
      <c r="I646" s="84"/>
      <c r="J646" s="84"/>
      <c r="K646" s="70" t="s">
        <v>362</v>
      </c>
      <c r="L646" s="89"/>
      <c r="M646" s="90"/>
      <c r="N646" s="90"/>
      <c r="O646" s="90"/>
      <c r="P646" s="90" t="s">
        <v>1700</v>
      </c>
      <c r="Q646" s="307">
        <f>ABS(T646)</f>
        <v>0</v>
      </c>
      <c r="R646" s="310"/>
      <c r="S646" s="311">
        <v>0</v>
      </c>
      <c r="T646" s="304"/>
      <c r="U646" s="305">
        <f>ERP_34[[#This Row],[LE2 Final Submission]]-ERP_34[[#This Row],[LE3 Final Submission]]</f>
        <v>0</v>
      </c>
      <c r="V646" s="306"/>
      <c r="W646" s="306"/>
      <c r="X646" s="306"/>
      <c r="Y646" s="80">
        <v>-5045.4799999999996</v>
      </c>
      <c r="Z646" s="80">
        <v>5045.4799999999996</v>
      </c>
      <c r="AA646" s="80"/>
      <c r="AB646" s="80"/>
      <c r="AC646" s="80"/>
      <c r="AD646" s="80"/>
      <c r="AE646" s="80"/>
      <c r="AF646" s="80"/>
      <c r="AG646" s="80"/>
      <c r="AH646" s="308">
        <f>SUM(V646:AG646)</f>
        <v>0</v>
      </c>
      <c r="AI646" s="309">
        <f>ERP_34[[#This Row],[2026 Working Total]]-ERP_34[[#This Row],[2026 LE0]]</f>
        <v>0</v>
      </c>
      <c r="AJ646" s="79"/>
      <c r="AK646" s="79"/>
      <c r="AL646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6" s="80"/>
      <c r="AN646" s="79">
        <f>ERP_34[[#This Row],[2026 Working Total to Budget/LE]]-ERP_34[[#This Row],[Giveback]]</f>
        <v>0</v>
      </c>
      <c r="AO646" s="81"/>
      <c r="AP646" s="81"/>
      <c r="AQ646" s="81"/>
      <c r="AR646" s="81"/>
      <c r="AS646" s="81">
        <v>-5045.4799999999996</v>
      </c>
      <c r="AT646" s="81">
        <v>5045.4799999999996</v>
      </c>
      <c r="AU646" s="81"/>
      <c r="AV646" s="81"/>
      <c r="AW646" s="81"/>
      <c r="AX646" s="81"/>
      <c r="AY646" s="81"/>
      <c r="AZ646" s="81"/>
      <c r="BA646" s="81"/>
      <c r="BB646" s="81">
        <v>0</v>
      </c>
      <c r="BC646" s="79"/>
      <c r="BD646" s="79"/>
      <c r="BE646" s="79"/>
      <c r="BF646" s="79"/>
      <c r="BG646" s="79"/>
      <c r="BH646" s="79"/>
      <c r="BI646" s="79"/>
      <c r="BJ646" s="79"/>
      <c r="BK646" s="79"/>
      <c r="BL646" s="79"/>
      <c r="BM646" s="79"/>
      <c r="BN646" s="79"/>
      <c r="BO646" s="79"/>
    </row>
    <row r="647" spans="1:67">
      <c r="A647" s="79" t="s">
        <v>2247</v>
      </c>
      <c r="B647" s="296" t="str">
        <f>_xlfn.TEXTJOIN("_",,ERP_34[[#This Row],[LT Member -1*]],ERP_34[[#This Row],[Expense Category]],ERP_34[[#This Row],[Project Code*]])</f>
        <v>Dougherty, Chris_SOFTWARE_BillSweepMisc</v>
      </c>
      <c r="C647" s="84" t="s">
        <v>1136</v>
      </c>
      <c r="D647" t="s">
        <v>1135</v>
      </c>
      <c r="E647" t="s">
        <v>1135</v>
      </c>
      <c r="F647" s="86"/>
      <c r="G647" s="317" t="s">
        <v>639</v>
      </c>
      <c r="H647" s="314" t="s">
        <v>1699</v>
      </c>
      <c r="I647" s="84"/>
      <c r="J647" s="84"/>
      <c r="K647" s="70" t="s">
        <v>362</v>
      </c>
      <c r="L647" s="89"/>
      <c r="M647" s="90"/>
      <c r="N647" s="90"/>
      <c r="O647" s="90"/>
      <c r="P647" s="90" t="s">
        <v>1700</v>
      </c>
      <c r="Q647" s="307">
        <f t="shared" ref="Q647:Q648" si="25">ABS(T647)</f>
        <v>0</v>
      </c>
      <c r="R647" s="310"/>
      <c r="S647" s="311">
        <v>0</v>
      </c>
      <c r="T647" s="304"/>
      <c r="U647" s="305">
        <f>ERP_34[[#This Row],[LE2 Final Submission]]-ERP_34[[#This Row],[LE3 Final Submission]]</f>
        <v>0</v>
      </c>
      <c r="V647" s="306"/>
      <c r="W647" s="306"/>
      <c r="X647" s="306"/>
      <c r="Y647" s="80">
        <v>-84081.45</v>
      </c>
      <c r="Z647" s="80">
        <v>84081.45</v>
      </c>
      <c r="AA647" s="80"/>
      <c r="AB647" s="80"/>
      <c r="AC647" s="80"/>
      <c r="AD647" s="80"/>
      <c r="AE647" s="80"/>
      <c r="AF647" s="80"/>
      <c r="AG647" s="80"/>
      <c r="AH647" s="308">
        <f t="shared" ref="AH647:AH648" si="26">SUM(V647:AG647)</f>
        <v>0</v>
      </c>
      <c r="AI647" s="309">
        <f>ERP_34[[#This Row],[2026 Working Total]]-ERP_34[[#This Row],[2026 LE0]]</f>
        <v>0</v>
      </c>
      <c r="AJ647" s="79"/>
      <c r="AK647" s="79"/>
      <c r="AL647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7" s="80"/>
      <c r="AN647" s="79">
        <f>ERP_34[[#This Row],[2026 Working Total to Budget/LE]]-ERP_34[[#This Row],[Giveback]]</f>
        <v>0</v>
      </c>
      <c r="AO647" s="81"/>
      <c r="AP647" s="81"/>
      <c r="AQ647" s="81"/>
      <c r="AR647" s="81"/>
      <c r="AS647" s="81">
        <v>-84081.45</v>
      </c>
      <c r="AT647" s="81">
        <v>84081.45</v>
      </c>
      <c r="AU647" s="81"/>
      <c r="AV647" s="81"/>
      <c r="AW647" s="81"/>
      <c r="AX647" s="81"/>
      <c r="AY647" s="81"/>
      <c r="AZ647" s="81"/>
      <c r="BA647" s="81"/>
      <c r="BB647" s="81">
        <v>0</v>
      </c>
      <c r="BC647" s="79"/>
      <c r="BD647" s="79"/>
      <c r="BE647" s="79"/>
      <c r="BF647" s="79"/>
      <c r="BG647" s="79"/>
      <c r="BH647" s="79"/>
      <c r="BI647" s="79"/>
      <c r="BJ647" s="79"/>
      <c r="BK647" s="79"/>
      <c r="BL647" s="79"/>
      <c r="BM647" s="79"/>
      <c r="BN647" s="79"/>
      <c r="BO647" s="79"/>
    </row>
    <row r="648" spans="1:67">
      <c r="A648" s="79" t="s">
        <v>2769</v>
      </c>
      <c r="B648" s="296" t="str">
        <f>_xlfn.TEXTJOIN("_",,ERP_34[[#This Row],[LT Member -1*]],ERP_34[[#This Row],[Expense Category]],ERP_34[[#This Row],[Project Code*]])</f>
        <v>McGettigan, David_SOFTWARE_BillSweepMisc</v>
      </c>
      <c r="C648" s="84" t="s">
        <v>1136</v>
      </c>
      <c r="D648" t="s">
        <v>1567</v>
      </c>
      <c r="E648" t="s">
        <v>1567</v>
      </c>
      <c r="F648" s="86"/>
      <c r="G648" s="317" t="s">
        <v>639</v>
      </c>
      <c r="H648" s="314" t="s">
        <v>1699</v>
      </c>
      <c r="I648" s="84"/>
      <c r="J648" s="84"/>
      <c r="K648" s="70" t="s">
        <v>362</v>
      </c>
      <c r="L648" s="89"/>
      <c r="M648" s="90"/>
      <c r="N648" s="90"/>
      <c r="O648" s="90"/>
      <c r="P648" s="90" t="s">
        <v>1700</v>
      </c>
      <c r="Q648" s="307">
        <f t="shared" si="25"/>
        <v>0</v>
      </c>
      <c r="R648" s="310"/>
      <c r="S648" s="311">
        <v>0</v>
      </c>
      <c r="T648" s="304"/>
      <c r="U648" s="305">
        <f>ERP_34[[#This Row],[LE2 Final Submission]]-ERP_34[[#This Row],[LE3 Final Submission]]</f>
        <v>0</v>
      </c>
      <c r="V648" s="306"/>
      <c r="W648" s="306"/>
      <c r="X648" s="306"/>
      <c r="Y648" s="80">
        <v>-7671.84</v>
      </c>
      <c r="Z648" s="80">
        <v>7671.84</v>
      </c>
      <c r="AA648" s="80"/>
      <c r="AB648" s="80"/>
      <c r="AC648" s="80"/>
      <c r="AD648" s="80"/>
      <c r="AE648" s="80"/>
      <c r="AF648" s="80"/>
      <c r="AG648" s="80"/>
      <c r="AH648" s="308">
        <f t="shared" si="26"/>
        <v>0</v>
      </c>
      <c r="AI648" s="309">
        <f>ERP_34[[#This Row],[2026 Working Total]]-ERP_34[[#This Row],[2026 LE0]]</f>
        <v>0</v>
      </c>
      <c r="AJ648" s="79"/>
      <c r="AK648" s="79"/>
      <c r="AL648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8" s="80"/>
      <c r="AN648" s="79">
        <f>ERP_34[[#This Row],[2026 Working Total to Budget/LE]]-ERP_34[[#This Row],[Giveback]]</f>
        <v>0</v>
      </c>
      <c r="AO648" s="81"/>
      <c r="AP648" s="81"/>
      <c r="AQ648" s="81"/>
      <c r="AR648" s="81"/>
      <c r="AS648" s="81">
        <v>-7671.84</v>
      </c>
      <c r="AT648" s="81">
        <v>7671.84</v>
      </c>
      <c r="AU648" s="81"/>
      <c r="AV648" s="81"/>
      <c r="AW648" s="81"/>
      <c r="AX648" s="81"/>
      <c r="AY648" s="81"/>
      <c r="AZ648" s="81"/>
      <c r="BA648" s="81"/>
      <c r="BB648" s="81">
        <v>0</v>
      </c>
      <c r="BC648" s="79"/>
      <c r="BD648" s="79"/>
      <c r="BE648" s="79"/>
      <c r="BF648" s="79"/>
      <c r="BG648" s="79"/>
      <c r="BH648" s="79"/>
      <c r="BI648" s="79"/>
      <c r="BJ648" s="79"/>
      <c r="BK648" s="79"/>
      <c r="BL648" s="79"/>
      <c r="BM648" s="79"/>
      <c r="BN648" s="79"/>
      <c r="BO648" s="79"/>
    </row>
    <row r="649" spans="1:67">
      <c r="A649" s="79" t="s">
        <v>2170</v>
      </c>
      <c r="B649" s="296" t="str">
        <f>_xlfn.TEXTJOIN("_",,ERP_34[[#This Row],[LT Member -1*]],ERP_34[[#This Row],[Expense Category]],ERP_34[[#This Row],[Project Code*]])</f>
        <v>McGettigan, David_OTHER</v>
      </c>
      <c r="C649" s="84" t="s">
        <v>1136</v>
      </c>
      <c r="D649" s="84" t="s">
        <v>1567</v>
      </c>
      <c r="E649" s="84" t="s">
        <v>1567</v>
      </c>
      <c r="F649" s="86"/>
      <c r="G649" s="84" t="s">
        <v>602</v>
      </c>
      <c r="H649" s="299" t="s">
        <v>2172</v>
      </c>
      <c r="I649" s="84"/>
      <c r="J649" s="84"/>
      <c r="K649" s="90"/>
      <c r="L649" s="89"/>
      <c r="M649" s="90"/>
      <c r="N649" s="90"/>
      <c r="O649" s="90"/>
      <c r="P649" s="90" t="s">
        <v>2173</v>
      </c>
      <c r="Q649" s="307">
        <f>ABS(T649)</f>
        <v>0</v>
      </c>
      <c r="R649" s="310"/>
      <c r="S649" s="311">
        <v>-6407318.4800000004</v>
      </c>
      <c r="T649" s="304"/>
      <c r="U649" s="305">
        <f>ERP_34[[#This Row],[LE2 Final Submission]]-ERP_34[[#This Row],[LE3 Final Submission]]</f>
        <v>-6407318.4800000004</v>
      </c>
      <c r="V649" s="306"/>
      <c r="W649" s="306"/>
      <c r="X649" s="306"/>
      <c r="Y649" s="80"/>
      <c r="Z649" s="80"/>
      <c r="AA649" s="80"/>
      <c r="AB649" s="80"/>
      <c r="AC649" s="80"/>
      <c r="AD649" s="80">
        <v>-1601829.62</v>
      </c>
      <c r="AE649" s="80">
        <v>-1601829.62</v>
      </c>
      <c r="AF649" s="80">
        <v>-1601829.62</v>
      </c>
      <c r="AG649" s="80">
        <v>-1601829.62</v>
      </c>
      <c r="AH649" s="308">
        <f>SUM(V649:AG649)</f>
        <v>-6407318.4800000004</v>
      </c>
      <c r="AI649" s="309">
        <f>ERP_34[[#This Row],[2026 Working Total]]-ERP_34[[#This Row],[2026 LE0]]</f>
        <v>-6407318.4800000004</v>
      </c>
      <c r="AJ649" s="79"/>
      <c r="AK649" s="79"/>
      <c r="AL649" s="79">
        <f>ERP_34[[#This Row],[AP01]]+ERP_34[[#This Row],[AP02]]+ERP_34[[#This Row],[AP03]]+ERP_34[[#This Row],[AP04]]-ERP_34[[#This Row],[AP01 LE2]]-ERP_34[[#This Row],[AP02 LE2]]-ERP_34[[#This Row],[AP03 LE2]]-ERP_34[[#This Row],[AP04 LE2]]</f>
        <v>0</v>
      </c>
      <c r="AM649" s="80"/>
      <c r="AN649" s="79">
        <f>ERP_34[[#This Row],[2026 Working Total to Budget/LE]]-ERP_34[[#This Row],[Giveback]]</f>
        <v>-6407318.4800000004</v>
      </c>
      <c r="AO649" s="81"/>
      <c r="AP649" s="81"/>
      <c r="AQ649" s="81"/>
      <c r="AR649" s="81"/>
      <c r="AS649" s="81"/>
      <c r="AT649" s="81"/>
      <c r="AU649" s="81"/>
      <c r="AV649" s="81"/>
      <c r="AW649" s="81"/>
      <c r="AX649" s="81">
        <v>-1601829.62</v>
      </c>
      <c r="AY649" s="81">
        <v>-1601829.62</v>
      </c>
      <c r="AZ649" s="81">
        <v>-1601829.62</v>
      </c>
      <c r="BA649" s="81">
        <v>-1601829.62</v>
      </c>
      <c r="BB649" s="81">
        <v>-6407318.4800000004</v>
      </c>
      <c r="BC649" s="79"/>
      <c r="BD649" s="79"/>
      <c r="BE649" s="79"/>
      <c r="BF649" s="79"/>
      <c r="BG649" s="79"/>
      <c r="BH649" s="79"/>
      <c r="BI649" s="79"/>
      <c r="BJ649" s="79"/>
      <c r="BK649" s="79"/>
      <c r="BL649" s="79"/>
      <c r="BM649" s="79"/>
      <c r="BN649" s="79"/>
      <c r="BO649" s="79"/>
    </row>
  </sheetData>
  <sheetProtection formatCells="0" formatColumns="0" formatRows="0" insertRows="0" sort="0" autoFilter="0" pivotTables="0"/>
  <conditionalFormatting sqref="K1:K1048576">
    <cfRule type="duplicateValues" dxfId="175" priority="3"/>
  </conditionalFormatting>
  <conditionalFormatting sqref="K522:K527 K529:K533 K535:K632 K634">
    <cfRule type="duplicateValues" dxfId="174" priority="5"/>
  </conditionalFormatting>
  <conditionalFormatting sqref="K626:K632 K634">
    <cfRule type="duplicateValues" dxfId="173" priority="4"/>
  </conditionalFormatting>
  <conditionalFormatting sqref="M1:M6">
    <cfRule type="duplicateValues" dxfId="172" priority="6"/>
  </conditionalFormatting>
  <conditionalFormatting sqref="AO26:BB26">
    <cfRule type="duplicateValues" dxfId="171" priority="2"/>
  </conditionalFormatting>
  <conditionalFormatting sqref="AO291:BB291">
    <cfRule type="duplicateValues" dxfId="170" priority="1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6462-EFF0-4A6E-9D83-FBE397BA33FE}">
  <dimension ref="A3:P2027"/>
  <sheetViews>
    <sheetView workbookViewId="0">
      <selection activeCell="P1" sqref="A1:P1048576"/>
    </sheetView>
  </sheetViews>
  <sheetFormatPr defaultRowHeight="14.45"/>
  <cols>
    <col min="1" max="1" width="16.85546875" customWidth="1"/>
    <col min="2" max="2" width="63.85546875" customWidth="1"/>
    <col min="3" max="3" width="25.140625" style="321" customWidth="1"/>
    <col min="4" max="4" width="24.5703125" style="321" bestFit="1" customWidth="1"/>
    <col min="5" max="5" width="31.42578125" style="321" customWidth="1"/>
    <col min="6" max="6" width="179.85546875" bestFit="1" customWidth="1"/>
    <col min="7" max="11" width="12" bestFit="1" customWidth="1"/>
    <col min="12" max="16" width="15.85546875" bestFit="1" customWidth="1"/>
  </cols>
  <sheetData>
    <row r="3" spans="1:16">
      <c r="A3" s="319" t="s">
        <v>1067</v>
      </c>
      <c r="B3" s="319" t="s">
        <v>1</v>
      </c>
      <c r="C3" s="319" t="s">
        <v>1073</v>
      </c>
      <c r="D3" s="319" t="s">
        <v>1074</v>
      </c>
      <c r="E3" s="319" t="s">
        <v>0</v>
      </c>
      <c r="F3" s="319" t="s">
        <v>1076</v>
      </c>
      <c r="G3" t="s">
        <v>11</v>
      </c>
      <c r="H3" t="s">
        <v>8</v>
      </c>
      <c r="I3" t="s">
        <v>9</v>
      </c>
      <c r="J3" t="s">
        <v>10</v>
      </c>
      <c r="K3" t="s">
        <v>12</v>
      </c>
      <c r="L3" t="s">
        <v>2978</v>
      </c>
      <c r="M3" t="s">
        <v>2979</v>
      </c>
      <c r="N3" t="s">
        <v>2980</v>
      </c>
      <c r="O3" t="s">
        <v>2981</v>
      </c>
      <c r="P3" t="s">
        <v>2982</v>
      </c>
    </row>
    <row r="4" spans="1:16">
      <c r="A4" t="s">
        <v>2647</v>
      </c>
      <c r="B4" t="s">
        <v>2648</v>
      </c>
      <c r="C4" t="s">
        <v>1345</v>
      </c>
      <c r="D4" t="s">
        <v>1344</v>
      </c>
      <c r="E4" t="s">
        <v>639</v>
      </c>
      <c r="F4" t="s">
        <v>2649</v>
      </c>
      <c r="G4" s="381">
        <v>0</v>
      </c>
      <c r="H4" s="381"/>
      <c r="I4" s="381"/>
      <c r="J4" s="381"/>
      <c r="K4" s="381">
        <v>0</v>
      </c>
      <c r="L4" s="381"/>
      <c r="M4" s="381"/>
      <c r="N4" s="381"/>
      <c r="O4" s="381"/>
      <c r="P4" s="381"/>
    </row>
    <row r="5" spans="1:16">
      <c r="A5" t="s">
        <v>2203</v>
      </c>
      <c r="B5" t="s">
        <v>2204</v>
      </c>
      <c r="C5" t="s">
        <v>1135</v>
      </c>
      <c r="D5" t="s">
        <v>1135</v>
      </c>
      <c r="E5" t="s">
        <v>639</v>
      </c>
      <c r="F5" t="s">
        <v>2205</v>
      </c>
      <c r="G5" s="381">
        <v>0</v>
      </c>
      <c r="H5" s="381"/>
      <c r="I5" s="381"/>
      <c r="J5" s="381"/>
      <c r="K5" s="381">
        <v>0</v>
      </c>
      <c r="L5" s="381"/>
      <c r="M5" s="381"/>
      <c r="N5" s="381"/>
      <c r="O5" s="381"/>
      <c r="P5" s="381"/>
    </row>
    <row r="6" spans="1:16">
      <c r="A6" t="s">
        <v>2711</v>
      </c>
      <c r="B6" t="s">
        <v>964</v>
      </c>
      <c r="C6" t="s">
        <v>1345</v>
      </c>
      <c r="D6" t="s">
        <v>1480</v>
      </c>
      <c r="E6" t="s">
        <v>639</v>
      </c>
      <c r="F6" t="s">
        <v>2660</v>
      </c>
      <c r="G6" s="381">
        <v>0</v>
      </c>
      <c r="H6" s="381"/>
      <c r="I6" s="381"/>
      <c r="J6" s="381"/>
      <c r="K6" s="381">
        <v>0</v>
      </c>
      <c r="L6" s="381"/>
      <c r="M6" s="381"/>
      <c r="N6" s="381"/>
      <c r="O6" s="381"/>
      <c r="P6" s="381"/>
    </row>
    <row r="7" spans="1:16">
      <c r="A7" t="s">
        <v>2713</v>
      </c>
      <c r="B7" t="s">
        <v>965</v>
      </c>
      <c r="C7" t="s">
        <v>1345</v>
      </c>
      <c r="D7" t="s">
        <v>1480</v>
      </c>
      <c r="E7" t="s">
        <v>639</v>
      </c>
      <c r="F7" t="s">
        <v>2663</v>
      </c>
      <c r="G7" s="381">
        <v>0</v>
      </c>
      <c r="H7" s="381"/>
      <c r="I7" s="381"/>
      <c r="J7" s="381"/>
      <c r="K7" s="381">
        <v>0</v>
      </c>
      <c r="L7" s="381"/>
      <c r="M7" s="381"/>
      <c r="N7" s="381"/>
      <c r="O7" s="381">
        <v>0</v>
      </c>
      <c r="P7" s="381">
        <v>0</v>
      </c>
    </row>
    <row r="8" spans="1:16">
      <c r="A8" t="s">
        <v>2014</v>
      </c>
      <c r="B8" t="s">
        <v>525</v>
      </c>
      <c r="C8" t="s">
        <v>1345</v>
      </c>
      <c r="D8" t="s">
        <v>1345</v>
      </c>
      <c r="E8" t="s">
        <v>389</v>
      </c>
      <c r="F8" t="s">
        <v>1863</v>
      </c>
      <c r="G8" s="381">
        <v>0</v>
      </c>
      <c r="H8" s="381"/>
      <c r="I8" s="381"/>
      <c r="J8" s="381"/>
      <c r="K8" s="381">
        <v>0</v>
      </c>
      <c r="L8" s="381"/>
      <c r="M8" s="381"/>
      <c r="N8" s="381"/>
      <c r="O8" s="381">
        <v>7000</v>
      </c>
      <c r="P8" s="381">
        <v>7000</v>
      </c>
    </row>
    <row r="9" spans="1:16">
      <c r="A9" t="s">
        <v>2298</v>
      </c>
      <c r="B9" t="s">
        <v>2299</v>
      </c>
      <c r="C9" t="s">
        <v>1135</v>
      </c>
      <c r="D9" t="s">
        <v>1165</v>
      </c>
      <c r="E9" t="s">
        <v>639</v>
      </c>
      <c r="F9" t="s">
        <v>1927</v>
      </c>
      <c r="G9" s="381">
        <v>0</v>
      </c>
      <c r="H9" s="381"/>
      <c r="I9" s="381"/>
      <c r="J9" s="381"/>
      <c r="K9" s="381">
        <v>0</v>
      </c>
      <c r="L9" s="381"/>
      <c r="M9" s="381"/>
      <c r="N9" s="381"/>
      <c r="O9" s="381"/>
      <c r="P9" s="381"/>
    </row>
    <row r="10" spans="1:16">
      <c r="A10" t="s">
        <v>2667</v>
      </c>
      <c r="B10" t="s">
        <v>941</v>
      </c>
      <c r="C10" t="s">
        <v>1345</v>
      </c>
      <c r="D10" t="s">
        <v>1345</v>
      </c>
      <c r="E10" t="s">
        <v>639</v>
      </c>
      <c r="F10" t="s">
        <v>2668</v>
      </c>
      <c r="G10" s="381">
        <v>0</v>
      </c>
      <c r="H10" s="381"/>
      <c r="I10" s="381"/>
      <c r="J10" s="381"/>
      <c r="K10" s="381">
        <v>0</v>
      </c>
      <c r="L10" s="381"/>
      <c r="M10" s="381"/>
      <c r="N10" s="381"/>
      <c r="O10" s="381">
        <v>180</v>
      </c>
      <c r="P10" s="381">
        <v>-180</v>
      </c>
    </row>
    <row r="11" spans="1:16">
      <c r="A11" t="s">
        <v>1698</v>
      </c>
      <c r="B11" t="s">
        <v>361</v>
      </c>
      <c r="C11" t="s">
        <v>1135</v>
      </c>
      <c r="D11" t="s">
        <v>1135</v>
      </c>
      <c r="E11" t="s">
        <v>342</v>
      </c>
      <c r="F11" t="s">
        <v>1699</v>
      </c>
      <c r="G11" s="381">
        <v>0</v>
      </c>
      <c r="H11" s="381"/>
      <c r="I11" s="381"/>
      <c r="J11" s="381"/>
      <c r="K11" s="381">
        <v>0</v>
      </c>
      <c r="L11" s="381"/>
      <c r="M11" s="381"/>
      <c r="N11" s="381"/>
      <c r="O11" s="381">
        <v>-16084.39</v>
      </c>
      <c r="P11" s="381">
        <v>16084.39</v>
      </c>
    </row>
    <row r="12" spans="1:16">
      <c r="A12" t="s">
        <v>1733</v>
      </c>
      <c r="B12" t="s">
        <v>1734</v>
      </c>
      <c r="C12" t="s">
        <v>1567</v>
      </c>
      <c r="D12" t="s">
        <v>1567</v>
      </c>
      <c r="E12" t="s">
        <v>342</v>
      </c>
      <c r="F12" t="s">
        <v>1699</v>
      </c>
      <c r="G12" s="381">
        <v>0</v>
      </c>
      <c r="H12" s="381"/>
      <c r="I12" s="381"/>
      <c r="J12" s="381"/>
      <c r="K12" s="381">
        <v>0</v>
      </c>
      <c r="L12" s="381"/>
      <c r="M12" s="381"/>
      <c r="N12" s="381"/>
      <c r="O12" s="381">
        <v>-13303.91</v>
      </c>
      <c r="P12" s="381">
        <v>13303.91</v>
      </c>
    </row>
    <row r="13" spans="1:16">
      <c r="A13" t="s">
        <v>1788</v>
      </c>
      <c r="B13" t="s">
        <v>415</v>
      </c>
      <c r="C13" t="s">
        <v>1135</v>
      </c>
      <c r="D13" t="s">
        <v>1135</v>
      </c>
      <c r="E13" t="s">
        <v>389</v>
      </c>
      <c r="F13" t="s">
        <v>1699</v>
      </c>
      <c r="G13" s="381">
        <v>0</v>
      </c>
      <c r="H13" s="381"/>
      <c r="I13" s="381"/>
      <c r="J13" s="381"/>
      <c r="K13" s="381">
        <v>0</v>
      </c>
      <c r="L13" s="381"/>
      <c r="M13" s="381"/>
      <c r="N13" s="381"/>
      <c r="O13" s="381">
        <v>-9141.65</v>
      </c>
      <c r="P13" s="381">
        <v>9141.65</v>
      </c>
    </row>
    <row r="14" spans="1:16">
      <c r="A14" t="s">
        <v>2083</v>
      </c>
      <c r="B14" t="s">
        <v>2084</v>
      </c>
      <c r="C14" t="s">
        <v>1567</v>
      </c>
      <c r="D14" t="s">
        <v>1567</v>
      </c>
      <c r="E14" t="s">
        <v>389</v>
      </c>
      <c r="F14" t="s">
        <v>1699</v>
      </c>
      <c r="G14" s="381">
        <v>0</v>
      </c>
      <c r="H14" s="381"/>
      <c r="I14" s="381"/>
      <c r="J14" s="381"/>
      <c r="K14" s="381">
        <v>0</v>
      </c>
      <c r="L14" s="381"/>
      <c r="M14" s="381"/>
      <c r="N14" s="381"/>
      <c r="O14" s="381">
        <v>-5045.4799999999996</v>
      </c>
      <c r="P14" s="381">
        <v>5045.4799999999996</v>
      </c>
    </row>
    <row r="15" spans="1:16">
      <c r="A15" t="s">
        <v>2247</v>
      </c>
      <c r="B15" t="s">
        <v>666</v>
      </c>
      <c r="C15" t="s">
        <v>1135</v>
      </c>
      <c r="D15" t="s">
        <v>1135</v>
      </c>
      <c r="E15" t="s">
        <v>639</v>
      </c>
      <c r="F15" t="s">
        <v>1699</v>
      </c>
      <c r="G15" s="381">
        <v>0</v>
      </c>
      <c r="H15" s="381"/>
      <c r="I15" s="381"/>
      <c r="J15" s="381"/>
      <c r="K15" s="381">
        <v>0</v>
      </c>
      <c r="L15" s="381"/>
      <c r="M15" s="381"/>
      <c r="N15" s="381"/>
      <c r="O15" s="381">
        <v>-84081.45</v>
      </c>
      <c r="P15" s="381">
        <v>84081.45</v>
      </c>
    </row>
    <row r="16" spans="1:16">
      <c r="A16" t="s">
        <v>2769</v>
      </c>
      <c r="B16" t="s">
        <v>2770</v>
      </c>
      <c r="C16" t="s">
        <v>1567</v>
      </c>
      <c r="D16" t="s">
        <v>1567</v>
      </c>
      <c r="E16" t="s">
        <v>639</v>
      </c>
      <c r="F16" t="s">
        <v>1699</v>
      </c>
      <c r="G16" s="381">
        <v>0</v>
      </c>
      <c r="H16" s="381"/>
      <c r="I16" s="381"/>
      <c r="J16" s="381"/>
      <c r="K16" s="381">
        <v>0</v>
      </c>
      <c r="L16" s="381"/>
      <c r="M16" s="381"/>
      <c r="N16" s="381"/>
      <c r="O16" s="381">
        <v>-7671.84</v>
      </c>
      <c r="P16" s="381">
        <v>7671.84</v>
      </c>
    </row>
    <row r="17" spans="1:16">
      <c r="A17" t="s">
        <v>2170</v>
      </c>
      <c r="B17" t="s">
        <v>2171</v>
      </c>
      <c r="C17" t="s">
        <v>1567</v>
      </c>
      <c r="D17" t="s">
        <v>1567</v>
      </c>
      <c r="E17" t="s">
        <v>602</v>
      </c>
      <c r="F17" t="s">
        <v>2172</v>
      </c>
      <c r="G17" s="381">
        <v>0</v>
      </c>
      <c r="H17" s="381"/>
      <c r="I17" s="381"/>
      <c r="J17" s="381"/>
      <c r="K17" s="381">
        <v>0</v>
      </c>
      <c r="L17" s="381"/>
      <c r="M17" s="381"/>
      <c r="N17" s="381"/>
      <c r="O17" s="381"/>
      <c r="P17" s="381"/>
    </row>
    <row r="18" spans="1:16">
      <c r="A18" t="s">
        <v>2052</v>
      </c>
      <c r="B18" t="s">
        <v>2053</v>
      </c>
      <c r="C18" t="s">
        <v>1345</v>
      </c>
      <c r="D18" t="s">
        <v>1346</v>
      </c>
      <c r="E18" t="s">
        <v>389</v>
      </c>
      <c r="F18" t="s">
        <v>2054</v>
      </c>
      <c r="G18" s="381">
        <v>1255.79</v>
      </c>
      <c r="H18" s="381">
        <v>1370.43</v>
      </c>
      <c r="I18" s="381">
        <v>3605.56</v>
      </c>
      <c r="J18" s="381">
        <v>1395.97</v>
      </c>
      <c r="K18" s="381">
        <v>2734.6699999999996</v>
      </c>
      <c r="L18" s="381">
        <v>1370.43</v>
      </c>
      <c r="M18" s="381">
        <v>3605.56</v>
      </c>
      <c r="N18" s="381">
        <v>1395.97</v>
      </c>
      <c r="O18" s="381">
        <v>3500</v>
      </c>
      <c r="P18" s="381">
        <v>3500</v>
      </c>
    </row>
    <row r="19" spans="1:16">
      <c r="A19" t="s">
        <v>1980</v>
      </c>
      <c r="B19" t="s">
        <v>1981</v>
      </c>
      <c r="C19" t="s">
        <v>1345</v>
      </c>
      <c r="D19" t="s">
        <v>1346</v>
      </c>
      <c r="E19" t="s">
        <v>389</v>
      </c>
      <c r="F19" t="s">
        <v>1979</v>
      </c>
      <c r="G19" s="381">
        <v>1085.24</v>
      </c>
      <c r="H19" s="381">
        <v>387.61</v>
      </c>
      <c r="I19" s="381">
        <v>1445.99</v>
      </c>
      <c r="J19" s="381">
        <v>2032.87</v>
      </c>
      <c r="K19" s="381">
        <v>866.11</v>
      </c>
      <c r="L19" s="381">
        <v>387.61</v>
      </c>
      <c r="M19" s="381">
        <v>1445.99</v>
      </c>
      <c r="N19" s="381">
        <v>2032.87</v>
      </c>
      <c r="O19" s="381">
        <v>0</v>
      </c>
      <c r="P19" s="381">
        <v>0</v>
      </c>
    </row>
    <row r="20" spans="1:16">
      <c r="A20" t="s">
        <v>2784</v>
      </c>
      <c r="B20" t="s">
        <v>2785</v>
      </c>
      <c r="C20" t="s">
        <v>1345</v>
      </c>
      <c r="D20" t="s">
        <v>1346</v>
      </c>
      <c r="E20" t="s">
        <v>639</v>
      </c>
      <c r="F20" t="s">
        <v>2285</v>
      </c>
      <c r="G20" s="381">
        <v>1141.3400000000001</v>
      </c>
      <c r="H20" s="381">
        <v>542.75</v>
      </c>
      <c r="I20" s="381">
        <v>6823.51</v>
      </c>
      <c r="J20" s="381">
        <v>1538.16</v>
      </c>
      <c r="K20" s="381">
        <v>2127.96</v>
      </c>
      <c r="L20" s="381">
        <v>542.75</v>
      </c>
      <c r="M20" s="381">
        <v>6823.51</v>
      </c>
      <c r="N20" s="381">
        <v>1538.16</v>
      </c>
      <c r="O20" s="381">
        <v>500</v>
      </c>
      <c r="P20" s="381">
        <v>500</v>
      </c>
    </row>
    <row r="21" spans="1:16">
      <c r="A21" t="s">
        <v>2792</v>
      </c>
      <c r="B21" t="s">
        <v>2793</v>
      </c>
      <c r="C21" t="s">
        <v>1345</v>
      </c>
      <c r="D21" t="s">
        <v>1346</v>
      </c>
      <c r="E21" t="s">
        <v>639</v>
      </c>
      <c r="F21" t="s">
        <v>818</v>
      </c>
      <c r="G21" s="381">
        <v>174.65</v>
      </c>
      <c r="H21" s="381"/>
      <c r="I21" s="381"/>
      <c r="J21" s="381">
        <v>3886.48</v>
      </c>
      <c r="K21" s="381">
        <v>0</v>
      </c>
      <c r="L21" s="381"/>
      <c r="M21" s="381"/>
      <c r="N21" s="381">
        <v>3886.48</v>
      </c>
      <c r="O21" s="381">
        <v>0</v>
      </c>
      <c r="P21" s="381">
        <v>0</v>
      </c>
    </row>
    <row r="22" spans="1:16">
      <c r="A22" t="s">
        <v>1887</v>
      </c>
      <c r="B22" t="s">
        <v>1888</v>
      </c>
      <c r="C22" t="s">
        <v>1345</v>
      </c>
      <c r="D22" t="s">
        <v>1346</v>
      </c>
      <c r="E22" t="s">
        <v>389</v>
      </c>
      <c r="F22" t="s">
        <v>1889</v>
      </c>
      <c r="G22" s="381">
        <v>3353.36</v>
      </c>
      <c r="H22" s="381">
        <v>2699.63</v>
      </c>
      <c r="I22" s="381">
        <v>2847.71</v>
      </c>
      <c r="J22" s="381">
        <v>-5272.19</v>
      </c>
      <c r="K22" s="381">
        <v>2931.3300000000004</v>
      </c>
      <c r="L22" s="381">
        <v>2699.63</v>
      </c>
      <c r="M22" s="381">
        <v>2847.71</v>
      </c>
      <c r="N22" s="381">
        <v>-5272.19</v>
      </c>
      <c r="O22" s="381">
        <v>0</v>
      </c>
      <c r="P22" s="381">
        <v>0</v>
      </c>
    </row>
    <row r="23" spans="1:16">
      <c r="A23" t="s">
        <v>2269</v>
      </c>
      <c r="B23" t="s">
        <v>2270</v>
      </c>
      <c r="C23" t="s">
        <v>1345</v>
      </c>
      <c r="D23" t="s">
        <v>1346</v>
      </c>
      <c r="E23" t="s">
        <v>639</v>
      </c>
      <c r="F23" t="s">
        <v>1889</v>
      </c>
      <c r="G23" s="381">
        <v>0</v>
      </c>
      <c r="H23" s="381">
        <v>139.72999999999999</v>
      </c>
      <c r="I23" s="381">
        <v>139.72999999999999</v>
      </c>
      <c r="J23" s="381">
        <v>-139.72999999999999</v>
      </c>
      <c r="K23" s="381">
        <v>0</v>
      </c>
      <c r="L23" s="381">
        <v>139.72999999999999</v>
      </c>
      <c r="M23" s="381">
        <v>139.72999999999999</v>
      </c>
      <c r="N23" s="381">
        <v>-139.72999999999999</v>
      </c>
      <c r="O23" s="381">
        <v>0</v>
      </c>
      <c r="P23" s="381">
        <v>0</v>
      </c>
    </row>
    <row r="24" spans="1:16">
      <c r="A24" t="s">
        <v>2851</v>
      </c>
      <c r="B24" t="s">
        <v>2852</v>
      </c>
      <c r="C24" t="s">
        <v>1345</v>
      </c>
      <c r="D24" t="s">
        <v>1346</v>
      </c>
      <c r="E24" t="s">
        <v>1037</v>
      </c>
      <c r="F24" t="s">
        <v>2853</v>
      </c>
      <c r="G24" s="381">
        <v>0</v>
      </c>
      <c r="H24" s="381"/>
      <c r="I24" s="381"/>
      <c r="J24" s="381">
        <v>485.43</v>
      </c>
      <c r="K24" s="381">
        <v>0</v>
      </c>
      <c r="L24" s="381"/>
      <c r="M24" s="381"/>
      <c r="N24" s="381">
        <v>485.43</v>
      </c>
      <c r="O24" s="381">
        <v>0</v>
      </c>
      <c r="P24" s="381">
        <v>0</v>
      </c>
    </row>
    <row r="25" spans="1:16">
      <c r="A25" t="s">
        <v>1738</v>
      </c>
      <c r="B25" t="s">
        <v>1739</v>
      </c>
      <c r="C25" t="s">
        <v>1345</v>
      </c>
      <c r="D25" t="s">
        <v>1346</v>
      </c>
      <c r="E25" t="s">
        <v>342</v>
      </c>
      <c r="F25" t="s">
        <v>1703</v>
      </c>
      <c r="G25" s="381">
        <v>389.04999999999995</v>
      </c>
      <c r="H25" s="381">
        <v>322.64</v>
      </c>
      <c r="I25" s="381">
        <v>376.04</v>
      </c>
      <c r="J25" s="381">
        <v>3364.42</v>
      </c>
      <c r="K25" s="381">
        <v>3602.75</v>
      </c>
      <c r="L25" s="381">
        <v>322.64</v>
      </c>
      <c r="M25" s="381">
        <v>376.04</v>
      </c>
      <c r="N25" s="381">
        <v>3364.42</v>
      </c>
      <c r="O25" s="381">
        <v>0</v>
      </c>
      <c r="P25" s="381">
        <v>0</v>
      </c>
    </row>
    <row r="26" spans="1:16">
      <c r="A26" t="s">
        <v>2112</v>
      </c>
      <c r="B26" t="s">
        <v>2113</v>
      </c>
      <c r="C26" t="s">
        <v>1345</v>
      </c>
      <c r="D26" t="s">
        <v>1346</v>
      </c>
      <c r="E26" t="s">
        <v>389</v>
      </c>
      <c r="F26" t="s">
        <v>1703</v>
      </c>
      <c r="G26" s="381">
        <v>0</v>
      </c>
      <c r="H26" s="381">
        <v>2000</v>
      </c>
      <c r="I26" s="381">
        <v>0</v>
      </c>
      <c r="J26" s="381">
        <v>0</v>
      </c>
      <c r="K26" s="381">
        <v>90.2</v>
      </c>
      <c r="L26" s="381">
        <v>2000</v>
      </c>
      <c r="M26" s="381">
        <v>0</v>
      </c>
      <c r="N26" s="381">
        <v>0</v>
      </c>
      <c r="O26" s="381">
        <v>0</v>
      </c>
      <c r="P26" s="381">
        <v>0</v>
      </c>
    </row>
    <row r="27" spans="1:16">
      <c r="A27" t="s">
        <v>2117</v>
      </c>
      <c r="B27" t="s">
        <v>2118</v>
      </c>
      <c r="C27" t="s">
        <v>1345</v>
      </c>
      <c r="D27" t="s">
        <v>1346</v>
      </c>
      <c r="E27" t="s">
        <v>389</v>
      </c>
      <c r="F27" t="s">
        <v>1855</v>
      </c>
      <c r="G27" s="381">
        <v>15296.21</v>
      </c>
      <c r="H27" s="381">
        <v>14407.17</v>
      </c>
      <c r="I27" s="381">
        <v>13803.08</v>
      </c>
      <c r="J27" s="381">
        <v>3005.86</v>
      </c>
      <c r="K27" s="381">
        <v>17035.269999999997</v>
      </c>
      <c r="L27" s="381">
        <v>14407.17</v>
      </c>
      <c r="M27" s="381">
        <v>13803.08</v>
      </c>
      <c r="N27" s="381">
        <v>3005.86</v>
      </c>
      <c r="O27" s="381">
        <v>5000</v>
      </c>
      <c r="P27" s="381">
        <v>5000</v>
      </c>
    </row>
    <row r="28" spans="1:16">
      <c r="A28" t="s">
        <v>1940</v>
      </c>
      <c r="B28" t="s">
        <v>1941</v>
      </c>
      <c r="C28" t="s">
        <v>1345</v>
      </c>
      <c r="D28" t="s">
        <v>1346</v>
      </c>
      <c r="E28" t="s">
        <v>389</v>
      </c>
      <c r="F28" t="s">
        <v>1942</v>
      </c>
      <c r="G28" s="381">
        <v>0</v>
      </c>
      <c r="H28" s="381"/>
      <c r="I28" s="381"/>
      <c r="J28" s="381">
        <v>5547.34</v>
      </c>
      <c r="K28" s="381">
        <v>112.07</v>
      </c>
      <c r="L28" s="381"/>
      <c r="M28" s="381"/>
      <c r="N28" s="381">
        <v>5547.34</v>
      </c>
      <c r="O28" s="381">
        <v>2847.71</v>
      </c>
      <c r="P28" s="381">
        <v>2847.71</v>
      </c>
    </row>
    <row r="29" spans="1:16">
      <c r="A29" t="s">
        <v>2094</v>
      </c>
      <c r="B29" t="s">
        <v>2095</v>
      </c>
      <c r="C29" t="s">
        <v>1345</v>
      </c>
      <c r="D29" t="s">
        <v>1346</v>
      </c>
      <c r="E29" t="s">
        <v>389</v>
      </c>
      <c r="F29" t="s">
        <v>1174</v>
      </c>
      <c r="G29" s="381">
        <v>1712.9899999999998</v>
      </c>
      <c r="H29" s="381">
        <v>1556.11</v>
      </c>
      <c r="I29" s="381">
        <v>1531.5</v>
      </c>
      <c r="J29" s="381">
        <v>1622.25</v>
      </c>
      <c r="K29" s="381">
        <v>1903.18</v>
      </c>
      <c r="L29" s="381">
        <v>1556.11</v>
      </c>
      <c r="M29" s="381">
        <v>1531.5</v>
      </c>
      <c r="N29" s="381">
        <v>1622.25</v>
      </c>
      <c r="O29" s="381">
        <v>1601</v>
      </c>
      <c r="P29" s="381">
        <v>1601</v>
      </c>
    </row>
    <row r="30" spans="1:16">
      <c r="A30" t="s">
        <v>2300</v>
      </c>
      <c r="B30" t="s">
        <v>2301</v>
      </c>
      <c r="C30" t="s">
        <v>1345</v>
      </c>
      <c r="D30" t="s">
        <v>1346</v>
      </c>
      <c r="E30" t="s">
        <v>639</v>
      </c>
      <c r="F30" t="s">
        <v>1942</v>
      </c>
      <c r="G30" s="381">
        <v>139.72999999999999</v>
      </c>
      <c r="H30" s="381"/>
      <c r="I30" s="381"/>
      <c r="J30" s="381">
        <v>279.45999999999998</v>
      </c>
      <c r="K30" s="381">
        <v>139.72999999999999</v>
      </c>
      <c r="L30" s="381"/>
      <c r="M30" s="381"/>
      <c r="N30" s="381">
        <v>279.45999999999998</v>
      </c>
      <c r="O30" s="381">
        <v>139.72999999999999</v>
      </c>
      <c r="P30" s="381">
        <v>139.72999999999999</v>
      </c>
    </row>
    <row r="31" spans="1:16">
      <c r="A31" t="s">
        <v>2796</v>
      </c>
      <c r="B31" t="s">
        <v>2797</v>
      </c>
      <c r="C31" t="s">
        <v>1345</v>
      </c>
      <c r="D31" t="s">
        <v>1346</v>
      </c>
      <c r="E31" t="s">
        <v>639</v>
      </c>
      <c r="F31" t="s">
        <v>2798</v>
      </c>
      <c r="G31" s="381">
        <v>0</v>
      </c>
      <c r="H31" s="381"/>
      <c r="I31" s="381"/>
      <c r="J31" s="381"/>
      <c r="K31" s="381">
        <v>0</v>
      </c>
      <c r="L31" s="381"/>
      <c r="M31" s="381"/>
      <c r="N31" s="381"/>
      <c r="O31" s="381">
        <v>279</v>
      </c>
      <c r="P31" s="381">
        <v>279</v>
      </c>
    </row>
    <row r="32" spans="1:16">
      <c r="A32" t="s">
        <v>2788</v>
      </c>
      <c r="B32" t="s">
        <v>2789</v>
      </c>
      <c r="C32" t="s">
        <v>1345</v>
      </c>
      <c r="D32" t="s">
        <v>1346</v>
      </c>
      <c r="E32" t="s">
        <v>639</v>
      </c>
      <c r="F32" t="s">
        <v>2291</v>
      </c>
      <c r="G32" s="381">
        <v>17671</v>
      </c>
      <c r="H32" s="381">
        <v>6465</v>
      </c>
      <c r="I32" s="381">
        <v>5197.6400000000003</v>
      </c>
      <c r="J32" s="381">
        <v>7751.75</v>
      </c>
      <c r="K32" s="381">
        <v>9482</v>
      </c>
      <c r="L32" s="381">
        <v>6465</v>
      </c>
      <c r="M32" s="381">
        <v>5197.6400000000003</v>
      </c>
      <c r="N32" s="381">
        <v>7751.75</v>
      </c>
      <c r="O32" s="381">
        <v>3000</v>
      </c>
      <c r="P32" s="381">
        <v>3000</v>
      </c>
    </row>
    <row r="33" spans="1:16">
      <c r="A33" t="s">
        <v>1412</v>
      </c>
      <c r="B33" t="s">
        <v>1413</v>
      </c>
      <c r="C33" t="s">
        <v>1345</v>
      </c>
      <c r="D33" t="s">
        <v>1346</v>
      </c>
      <c r="E33" t="s">
        <v>49</v>
      </c>
      <c r="F33" t="s">
        <v>1414</v>
      </c>
      <c r="G33" s="381">
        <v>0</v>
      </c>
      <c r="H33" s="381"/>
      <c r="I33" s="381">
        <v>63054.92</v>
      </c>
      <c r="J33" s="381">
        <v>-63054.59</v>
      </c>
      <c r="K33" s="381">
        <v>0</v>
      </c>
      <c r="L33" s="381"/>
      <c r="M33" s="381">
        <v>63054.92</v>
      </c>
      <c r="N33" s="381">
        <v>-63054.59</v>
      </c>
      <c r="O33" s="381">
        <v>0</v>
      </c>
      <c r="P33" s="381">
        <v>0</v>
      </c>
    </row>
    <row r="34" spans="1:16">
      <c r="A34" t="s">
        <v>1418</v>
      </c>
      <c r="B34" t="s">
        <v>1419</v>
      </c>
      <c r="C34" t="s">
        <v>1345</v>
      </c>
      <c r="D34" t="s">
        <v>1346</v>
      </c>
      <c r="E34" t="s">
        <v>49</v>
      </c>
      <c r="F34" t="s">
        <v>1420</v>
      </c>
      <c r="G34" s="381">
        <v>0</v>
      </c>
      <c r="H34" s="381"/>
      <c r="I34" s="381">
        <v>89550.8</v>
      </c>
      <c r="J34" s="381">
        <v>-89550.8</v>
      </c>
      <c r="K34" s="381">
        <v>0</v>
      </c>
      <c r="L34" s="381"/>
      <c r="M34" s="381">
        <v>89550.8</v>
      </c>
      <c r="N34" s="381">
        <v>-89550.8</v>
      </c>
      <c r="O34" s="381"/>
      <c r="P34" s="381"/>
    </row>
    <row r="35" spans="1:16">
      <c r="A35" t="s">
        <v>1646</v>
      </c>
      <c r="B35" t="s">
        <v>1647</v>
      </c>
      <c r="C35" t="s">
        <v>1345</v>
      </c>
      <c r="D35" t="s">
        <v>1346</v>
      </c>
      <c r="E35" t="s">
        <v>49</v>
      </c>
      <c r="F35" t="s">
        <v>1648</v>
      </c>
      <c r="G35" s="381">
        <v>0</v>
      </c>
      <c r="H35" s="381"/>
      <c r="I35" s="381">
        <v>130.62</v>
      </c>
      <c r="J35" s="381">
        <v>0</v>
      </c>
      <c r="K35" s="381">
        <v>0</v>
      </c>
      <c r="L35" s="381"/>
      <c r="M35" s="381">
        <v>130.62</v>
      </c>
      <c r="N35" s="381">
        <v>0</v>
      </c>
      <c r="O35" s="381">
        <v>0</v>
      </c>
      <c r="P35" s="381">
        <v>0</v>
      </c>
    </row>
    <row r="36" spans="1:16">
      <c r="A36" t="s">
        <v>1639</v>
      </c>
      <c r="B36" t="s">
        <v>1640</v>
      </c>
      <c r="C36" t="s">
        <v>1345</v>
      </c>
      <c r="D36" t="s">
        <v>1346</v>
      </c>
      <c r="E36" t="s">
        <v>49</v>
      </c>
      <c r="F36" t="s">
        <v>1327</v>
      </c>
      <c r="G36" s="381">
        <v>13245.82</v>
      </c>
      <c r="H36" s="381">
        <v>6818.85</v>
      </c>
      <c r="I36" s="381">
        <v>9998.51</v>
      </c>
      <c r="J36" s="381">
        <v>3151.78</v>
      </c>
      <c r="K36" s="381">
        <v>11713.649999999994</v>
      </c>
      <c r="L36" s="381">
        <v>6818.85</v>
      </c>
      <c r="M36" s="381">
        <v>9998.51</v>
      </c>
      <c r="N36" s="381">
        <v>3151.78</v>
      </c>
      <c r="O36" s="381">
        <v>0</v>
      </c>
      <c r="P36" s="381">
        <v>0</v>
      </c>
    </row>
    <row r="37" spans="1:16">
      <c r="A37" t="s">
        <v>1740</v>
      </c>
      <c r="B37" t="s">
        <v>1741</v>
      </c>
      <c r="C37" t="s">
        <v>1345</v>
      </c>
      <c r="D37" t="s">
        <v>1346</v>
      </c>
      <c r="E37" t="s">
        <v>342</v>
      </c>
      <c r="F37" t="s">
        <v>1742</v>
      </c>
      <c r="G37" s="381">
        <v>0</v>
      </c>
      <c r="H37" s="381"/>
      <c r="I37" s="381"/>
      <c r="J37" s="381"/>
      <c r="K37" s="381">
        <v>0</v>
      </c>
      <c r="L37" s="381"/>
      <c r="M37" s="381"/>
      <c r="N37" s="381"/>
      <c r="O37" s="381">
        <v>150</v>
      </c>
      <c r="P37" s="381">
        <v>159</v>
      </c>
    </row>
    <row r="38" spans="1:16">
      <c r="A38" t="s">
        <v>1724</v>
      </c>
      <c r="B38" t="s">
        <v>1725</v>
      </c>
      <c r="C38" t="s">
        <v>1345</v>
      </c>
      <c r="D38" t="s">
        <v>1346</v>
      </c>
      <c r="E38" t="s">
        <v>342</v>
      </c>
      <c r="F38" t="s">
        <v>1685</v>
      </c>
      <c r="G38" s="381">
        <v>0</v>
      </c>
      <c r="H38" s="381">
        <v>904.37</v>
      </c>
      <c r="I38" s="381">
        <v>0</v>
      </c>
      <c r="J38" s="381">
        <v>0</v>
      </c>
      <c r="K38" s="381">
        <v>0</v>
      </c>
      <c r="L38" s="381">
        <v>904.37</v>
      </c>
      <c r="M38" s="381">
        <v>0</v>
      </c>
      <c r="N38" s="381">
        <v>0</v>
      </c>
      <c r="O38" s="381">
        <v>0</v>
      </c>
      <c r="P38" s="381">
        <v>0</v>
      </c>
    </row>
    <row r="39" spans="1:16">
      <c r="A39" t="s">
        <v>1744</v>
      </c>
      <c r="B39" t="s">
        <v>1745</v>
      </c>
      <c r="C39" t="s">
        <v>1345</v>
      </c>
      <c r="D39" t="s">
        <v>1346</v>
      </c>
      <c r="E39" t="s">
        <v>342</v>
      </c>
      <c r="F39" t="s">
        <v>1327</v>
      </c>
      <c r="G39" s="381">
        <v>-0.06</v>
      </c>
      <c r="H39" s="381">
        <v>-0.14000000000000001</v>
      </c>
      <c r="I39" s="381">
        <v>464.29</v>
      </c>
      <c r="J39" s="381">
        <v>371.27</v>
      </c>
      <c r="K39" s="381">
        <v>2499.4899999999998</v>
      </c>
      <c r="L39" s="381">
        <v>-0.14000000000000001</v>
      </c>
      <c r="M39" s="381">
        <v>464.29</v>
      </c>
      <c r="N39" s="381">
        <v>371.27</v>
      </c>
      <c r="O39" s="381">
        <v>0</v>
      </c>
      <c r="P39" s="381">
        <v>0</v>
      </c>
    </row>
    <row r="40" spans="1:16">
      <c r="A40" t="s">
        <v>2122</v>
      </c>
      <c r="B40" t="s">
        <v>2123</v>
      </c>
      <c r="C40" t="s">
        <v>1345</v>
      </c>
      <c r="D40" t="s">
        <v>1346</v>
      </c>
      <c r="E40" t="s">
        <v>389</v>
      </c>
      <c r="F40" t="s">
        <v>2124</v>
      </c>
      <c r="G40" s="381">
        <v>0</v>
      </c>
      <c r="H40" s="381"/>
      <c r="I40" s="381"/>
      <c r="J40" s="381"/>
      <c r="K40" s="381">
        <v>0</v>
      </c>
      <c r="L40" s="381"/>
      <c r="M40" s="381"/>
      <c r="N40" s="381"/>
      <c r="O40" s="381">
        <v>336</v>
      </c>
      <c r="P40" s="381">
        <v>336</v>
      </c>
    </row>
    <row r="41" spans="1:16">
      <c r="A41" t="s">
        <v>2137</v>
      </c>
      <c r="B41" t="s">
        <v>2138</v>
      </c>
      <c r="C41" t="s">
        <v>1345</v>
      </c>
      <c r="D41" t="s">
        <v>1346</v>
      </c>
      <c r="E41" t="s">
        <v>389</v>
      </c>
      <c r="F41" t="s">
        <v>1648</v>
      </c>
      <c r="G41" s="381">
        <v>0</v>
      </c>
      <c r="H41" s="381"/>
      <c r="I41" s="381">
        <v>356.72</v>
      </c>
      <c r="J41" s="381">
        <v>0</v>
      </c>
      <c r="K41" s="381">
        <v>0</v>
      </c>
      <c r="L41" s="381"/>
      <c r="M41" s="381">
        <v>356.72</v>
      </c>
      <c r="N41" s="381">
        <v>0</v>
      </c>
      <c r="O41" s="381">
        <v>0</v>
      </c>
      <c r="P41" s="381">
        <v>0</v>
      </c>
    </row>
    <row r="42" spans="1:16">
      <c r="A42" t="s">
        <v>2077</v>
      </c>
      <c r="B42" t="s">
        <v>2078</v>
      </c>
      <c r="C42" t="s">
        <v>1345</v>
      </c>
      <c r="D42" t="s">
        <v>1346</v>
      </c>
      <c r="E42" t="s">
        <v>389</v>
      </c>
      <c r="F42" t="s">
        <v>1685</v>
      </c>
      <c r="G42" s="381">
        <v>0</v>
      </c>
      <c r="H42" s="381">
        <v>108.52</v>
      </c>
      <c r="I42" s="381">
        <v>0</v>
      </c>
      <c r="J42" s="381">
        <v>0</v>
      </c>
      <c r="K42" s="381">
        <v>0</v>
      </c>
      <c r="L42" s="381">
        <v>108.52</v>
      </c>
      <c r="M42" s="381">
        <v>0</v>
      </c>
      <c r="N42" s="381">
        <v>0</v>
      </c>
      <c r="O42" s="381">
        <v>0</v>
      </c>
      <c r="P42" s="381">
        <v>0</v>
      </c>
    </row>
    <row r="43" spans="1:16">
      <c r="A43" t="s">
        <v>2129</v>
      </c>
      <c r="B43" t="s">
        <v>2130</v>
      </c>
      <c r="C43" t="s">
        <v>1345</v>
      </c>
      <c r="D43" t="s">
        <v>1346</v>
      </c>
      <c r="E43" t="s">
        <v>389</v>
      </c>
      <c r="F43" t="s">
        <v>1327</v>
      </c>
      <c r="G43" s="381">
        <v>1083.7399999999998</v>
      </c>
      <c r="H43" s="381">
        <v>2949.13</v>
      </c>
      <c r="I43" s="381">
        <v>-734.7</v>
      </c>
      <c r="J43" s="381">
        <v>-3206.04</v>
      </c>
      <c r="K43" s="381">
        <v>2193.66</v>
      </c>
      <c r="L43" s="381">
        <v>2949.13</v>
      </c>
      <c r="M43" s="381">
        <v>-734.7</v>
      </c>
      <c r="N43" s="381">
        <v>-3206.04</v>
      </c>
      <c r="O43" s="381">
        <v>0</v>
      </c>
      <c r="P43" s="381">
        <v>0</v>
      </c>
    </row>
    <row r="44" spans="1:16">
      <c r="A44" t="s">
        <v>2184</v>
      </c>
      <c r="B44" t="s">
        <v>2185</v>
      </c>
      <c r="C44" t="s">
        <v>1345</v>
      </c>
      <c r="D44" t="s">
        <v>1346</v>
      </c>
      <c r="E44" t="s">
        <v>602</v>
      </c>
      <c r="F44" t="s">
        <v>1648</v>
      </c>
      <c r="G44" s="381">
        <v>0</v>
      </c>
      <c r="H44" s="381"/>
      <c r="I44" s="381">
        <v>220.29</v>
      </c>
      <c r="J44" s="381">
        <v>0</v>
      </c>
      <c r="K44" s="381">
        <v>0</v>
      </c>
      <c r="L44" s="381"/>
      <c r="M44" s="381">
        <v>220.29</v>
      </c>
      <c r="N44" s="381">
        <v>0</v>
      </c>
      <c r="O44" s="381">
        <v>0</v>
      </c>
      <c r="P44" s="381">
        <v>0</v>
      </c>
    </row>
    <row r="45" spans="1:16">
      <c r="A45" t="s">
        <v>2174</v>
      </c>
      <c r="B45" t="s">
        <v>2175</v>
      </c>
      <c r="C45" t="s">
        <v>1345</v>
      </c>
      <c r="D45" t="s">
        <v>1346</v>
      </c>
      <c r="E45" t="s">
        <v>602</v>
      </c>
      <c r="F45" t="s">
        <v>2176</v>
      </c>
      <c r="G45" s="381">
        <v>0</v>
      </c>
      <c r="H45" s="381"/>
      <c r="I45" s="381">
        <v>260.76</v>
      </c>
      <c r="J45" s="381">
        <v>353.93</v>
      </c>
      <c r="K45" s="381">
        <v>0</v>
      </c>
      <c r="L45" s="381"/>
      <c r="M45" s="381">
        <v>260.76</v>
      </c>
      <c r="N45" s="381">
        <v>353.93</v>
      </c>
      <c r="O45" s="381">
        <v>0</v>
      </c>
      <c r="P45" s="381">
        <v>0</v>
      </c>
    </row>
    <row r="46" spans="1:16">
      <c r="A46" t="s">
        <v>2190</v>
      </c>
      <c r="B46" t="s">
        <v>2191</v>
      </c>
      <c r="C46" t="s">
        <v>1345</v>
      </c>
      <c r="D46" t="s">
        <v>1346</v>
      </c>
      <c r="E46" t="s">
        <v>625</v>
      </c>
      <c r="F46" t="s">
        <v>1648</v>
      </c>
      <c r="G46" s="381">
        <v>0</v>
      </c>
      <c r="H46" s="381"/>
      <c r="I46" s="381">
        <v>3.5</v>
      </c>
      <c r="J46" s="381">
        <v>0</v>
      </c>
      <c r="K46" s="381">
        <v>0</v>
      </c>
      <c r="L46" s="381"/>
      <c r="M46" s="381">
        <v>3.5</v>
      </c>
      <c r="N46" s="381">
        <v>0</v>
      </c>
      <c r="O46" s="381">
        <v>0</v>
      </c>
      <c r="P46" s="381">
        <v>0</v>
      </c>
    </row>
    <row r="47" spans="1:16">
      <c r="A47" t="s">
        <v>2199</v>
      </c>
      <c r="B47" t="s">
        <v>2200</v>
      </c>
      <c r="C47" t="s">
        <v>1345</v>
      </c>
      <c r="D47" t="s">
        <v>1346</v>
      </c>
      <c r="E47" t="s">
        <v>629</v>
      </c>
      <c r="F47" t="s">
        <v>1648</v>
      </c>
      <c r="G47" s="381">
        <v>0</v>
      </c>
      <c r="H47" s="381"/>
      <c r="I47" s="381">
        <v>961.71</v>
      </c>
      <c r="J47" s="381">
        <v>0</v>
      </c>
      <c r="K47" s="381">
        <v>0</v>
      </c>
      <c r="L47" s="381"/>
      <c r="M47" s="381">
        <v>961.71</v>
      </c>
      <c r="N47" s="381">
        <v>0</v>
      </c>
      <c r="O47" s="381">
        <v>0</v>
      </c>
      <c r="P47" s="381">
        <v>0</v>
      </c>
    </row>
    <row r="48" spans="1:16">
      <c r="A48" t="s">
        <v>2201</v>
      </c>
      <c r="B48" t="s">
        <v>2202</v>
      </c>
      <c r="C48" t="s">
        <v>1345</v>
      </c>
      <c r="D48" t="s">
        <v>1346</v>
      </c>
      <c r="E48" t="s">
        <v>629</v>
      </c>
      <c r="F48" t="s">
        <v>1648</v>
      </c>
      <c r="G48" s="381">
        <v>0</v>
      </c>
      <c r="H48" s="381"/>
      <c r="I48" s="381">
        <v>1672.26</v>
      </c>
      <c r="J48" s="381">
        <v>0</v>
      </c>
      <c r="K48" s="381">
        <v>0</v>
      </c>
      <c r="L48" s="381"/>
      <c r="M48" s="381">
        <v>1672.26</v>
      </c>
      <c r="N48" s="381">
        <v>0</v>
      </c>
      <c r="O48" s="381">
        <v>0</v>
      </c>
      <c r="P48" s="381">
        <v>0</v>
      </c>
    </row>
    <row r="49" spans="1:16">
      <c r="A49" t="s">
        <v>2195</v>
      </c>
      <c r="B49" t="s">
        <v>2196</v>
      </c>
      <c r="C49" t="s">
        <v>1345</v>
      </c>
      <c r="D49" t="s">
        <v>1346</v>
      </c>
      <c r="E49" t="s">
        <v>629</v>
      </c>
      <c r="F49" t="s">
        <v>1327</v>
      </c>
      <c r="G49" s="381">
        <v>0</v>
      </c>
      <c r="H49" s="381">
        <v>843.69</v>
      </c>
      <c r="I49" s="381">
        <v>4879.99</v>
      </c>
      <c r="J49" s="381">
        <v>1467.34</v>
      </c>
      <c r="K49" s="381">
        <v>0</v>
      </c>
      <c r="L49" s="381">
        <v>843.69</v>
      </c>
      <c r="M49" s="381">
        <v>4879.99</v>
      </c>
      <c r="N49" s="381">
        <v>1467.34</v>
      </c>
      <c r="O49" s="381">
        <v>0</v>
      </c>
      <c r="P49" s="381">
        <v>0</v>
      </c>
    </row>
    <row r="50" spans="1:16">
      <c r="A50" t="s">
        <v>2799</v>
      </c>
      <c r="B50" t="s">
        <v>2800</v>
      </c>
      <c r="C50" t="s">
        <v>1345</v>
      </c>
      <c r="D50" t="s">
        <v>1346</v>
      </c>
      <c r="E50" t="s">
        <v>639</v>
      </c>
      <c r="F50" t="s">
        <v>2801</v>
      </c>
      <c r="G50" s="381">
        <v>0</v>
      </c>
      <c r="H50" s="381"/>
      <c r="I50" s="381"/>
      <c r="J50" s="381"/>
      <c r="K50" s="381">
        <v>0</v>
      </c>
      <c r="L50" s="381"/>
      <c r="M50" s="381"/>
      <c r="N50" s="381"/>
      <c r="O50" s="381"/>
      <c r="P50" s="381"/>
    </row>
    <row r="51" spans="1:16">
      <c r="A51" t="s">
        <v>2802</v>
      </c>
      <c r="B51" t="s">
        <v>2803</v>
      </c>
      <c r="C51" t="s">
        <v>1345</v>
      </c>
      <c r="D51" t="s">
        <v>1346</v>
      </c>
      <c r="E51" t="s">
        <v>639</v>
      </c>
      <c r="F51" t="s">
        <v>2804</v>
      </c>
      <c r="G51" s="381">
        <v>0</v>
      </c>
      <c r="H51" s="381"/>
      <c r="I51" s="381"/>
      <c r="J51" s="381"/>
      <c r="K51" s="381">
        <v>0</v>
      </c>
      <c r="L51" s="381"/>
      <c r="M51" s="381"/>
      <c r="N51" s="381"/>
      <c r="O51" s="381"/>
      <c r="P51" s="381"/>
    </row>
    <row r="52" spans="1:16">
      <c r="A52" t="s">
        <v>2688</v>
      </c>
      <c r="B52" t="s">
        <v>2689</v>
      </c>
      <c r="C52" t="s">
        <v>1345</v>
      </c>
      <c r="D52" t="s">
        <v>1346</v>
      </c>
      <c r="E52" t="s">
        <v>639</v>
      </c>
      <c r="F52" t="s">
        <v>2690</v>
      </c>
      <c r="G52" s="381">
        <v>0</v>
      </c>
      <c r="H52" s="381"/>
      <c r="I52" s="381"/>
      <c r="J52" s="381"/>
      <c r="K52" s="381">
        <v>0</v>
      </c>
      <c r="L52" s="381"/>
      <c r="M52" s="381"/>
      <c r="N52" s="381"/>
      <c r="O52" s="381"/>
      <c r="P52" s="381"/>
    </row>
    <row r="53" spans="1:16">
      <c r="A53" t="s">
        <v>2763</v>
      </c>
      <c r="B53" t="s">
        <v>2764</v>
      </c>
      <c r="C53" t="s">
        <v>1345</v>
      </c>
      <c r="D53" t="s">
        <v>1346</v>
      </c>
      <c r="E53" t="s">
        <v>639</v>
      </c>
      <c r="F53" t="s">
        <v>1685</v>
      </c>
      <c r="G53" s="381">
        <v>0</v>
      </c>
      <c r="H53" s="381">
        <v>-256.76</v>
      </c>
      <c r="I53" s="381">
        <v>256.76</v>
      </c>
      <c r="J53" s="381">
        <v>0</v>
      </c>
      <c r="K53" s="381">
        <v>0</v>
      </c>
      <c r="L53" s="381">
        <v>-256.76</v>
      </c>
      <c r="M53" s="381">
        <v>256.76</v>
      </c>
      <c r="N53" s="381">
        <v>0</v>
      </c>
      <c r="O53" s="381">
        <v>0</v>
      </c>
      <c r="P53" s="381">
        <v>0</v>
      </c>
    </row>
    <row r="54" spans="1:16">
      <c r="A54" t="s">
        <v>2774</v>
      </c>
      <c r="B54" t="s">
        <v>2775</v>
      </c>
      <c r="C54" t="s">
        <v>1345</v>
      </c>
      <c r="D54" t="s">
        <v>1346</v>
      </c>
      <c r="E54" t="s">
        <v>639</v>
      </c>
      <c r="F54" t="s">
        <v>1138</v>
      </c>
      <c r="G54" s="381">
        <v>0</v>
      </c>
      <c r="H54" s="381"/>
      <c r="I54" s="381">
        <v>1859.42</v>
      </c>
      <c r="J54" s="381">
        <v>1367.8</v>
      </c>
      <c r="K54" s="381">
        <v>682.06</v>
      </c>
      <c r="L54" s="381"/>
      <c r="M54" s="381">
        <v>1859.42</v>
      </c>
      <c r="N54" s="381">
        <v>1367.8</v>
      </c>
      <c r="O54" s="381">
        <v>0</v>
      </c>
      <c r="P54" s="381">
        <v>0</v>
      </c>
    </row>
    <row r="55" spans="1:16">
      <c r="A55" t="s">
        <v>2805</v>
      </c>
      <c r="B55" t="s">
        <v>2806</v>
      </c>
      <c r="C55" t="s">
        <v>1345</v>
      </c>
      <c r="D55" t="s">
        <v>1346</v>
      </c>
      <c r="E55" t="s">
        <v>639</v>
      </c>
      <c r="F55" t="s">
        <v>1327</v>
      </c>
      <c r="G55" s="381">
        <v>12.72</v>
      </c>
      <c r="H55" s="381">
        <v>45.54</v>
      </c>
      <c r="I55" s="381">
        <v>0.09</v>
      </c>
      <c r="J55" s="381">
        <v>2657.12</v>
      </c>
      <c r="K55" s="381">
        <v>29.21</v>
      </c>
      <c r="L55" s="381">
        <v>45.54</v>
      </c>
      <c r="M55" s="381">
        <v>0.09</v>
      </c>
      <c r="N55" s="381">
        <v>2657.12</v>
      </c>
      <c r="O55" s="381">
        <v>0</v>
      </c>
      <c r="P55" s="381">
        <v>0</v>
      </c>
    </row>
    <row r="56" spans="1:16">
      <c r="A56" t="s">
        <v>2837</v>
      </c>
      <c r="B56" t="s">
        <v>2838</v>
      </c>
      <c r="C56" t="s">
        <v>1345</v>
      </c>
      <c r="D56" t="s">
        <v>1346</v>
      </c>
      <c r="E56" t="s">
        <v>1027</v>
      </c>
      <c r="F56" t="s">
        <v>1648</v>
      </c>
      <c r="G56" s="381">
        <v>0</v>
      </c>
      <c r="H56" s="381"/>
      <c r="I56" s="381">
        <v>11.32</v>
      </c>
      <c r="J56" s="381">
        <v>0</v>
      </c>
      <c r="K56" s="381">
        <v>0</v>
      </c>
      <c r="L56" s="381"/>
      <c r="M56" s="381">
        <v>11.32</v>
      </c>
      <c r="N56" s="381">
        <v>0</v>
      </c>
      <c r="O56" s="381">
        <v>0</v>
      </c>
      <c r="P56" s="381">
        <v>0</v>
      </c>
    </row>
    <row r="57" spans="1:16">
      <c r="A57" t="s">
        <v>2840</v>
      </c>
      <c r="B57" t="s">
        <v>2841</v>
      </c>
      <c r="C57" t="s">
        <v>1345</v>
      </c>
      <c r="D57" t="s">
        <v>1346</v>
      </c>
      <c r="E57" t="s">
        <v>1027</v>
      </c>
      <c r="F57" t="s">
        <v>2830</v>
      </c>
      <c r="G57" s="381">
        <v>5457.6899999999987</v>
      </c>
      <c r="H57" s="381">
        <v>2896.56</v>
      </c>
      <c r="I57" s="381">
        <v>3761.9</v>
      </c>
      <c r="J57" s="381">
        <v>4324.49</v>
      </c>
      <c r="K57" s="381">
        <v>8526.0100000000039</v>
      </c>
      <c r="L57" s="381">
        <v>2896.56</v>
      </c>
      <c r="M57" s="381">
        <v>3761.9</v>
      </c>
      <c r="N57" s="381">
        <v>4324.49</v>
      </c>
      <c r="O57" s="381">
        <v>12300</v>
      </c>
      <c r="P57" s="381">
        <v>12300</v>
      </c>
    </row>
    <row r="58" spans="1:16">
      <c r="A58" t="s">
        <v>2854</v>
      </c>
      <c r="B58" t="s">
        <v>2855</v>
      </c>
      <c r="C58" t="s">
        <v>1345</v>
      </c>
      <c r="D58" t="s">
        <v>1346</v>
      </c>
      <c r="E58" t="s">
        <v>1037</v>
      </c>
      <c r="F58" t="s">
        <v>2856</v>
      </c>
      <c r="G58" s="381">
        <v>0</v>
      </c>
      <c r="H58" s="381"/>
      <c r="I58" s="381"/>
      <c r="J58" s="381">
        <v>1583.99</v>
      </c>
      <c r="K58" s="381">
        <v>0</v>
      </c>
      <c r="L58" s="381"/>
      <c r="M58" s="381"/>
      <c r="N58" s="381">
        <v>1583.99</v>
      </c>
      <c r="O58" s="381">
        <v>0</v>
      </c>
      <c r="P58" s="381">
        <v>0</v>
      </c>
    </row>
    <row r="59" spans="1:16">
      <c r="A59" t="s">
        <v>2857</v>
      </c>
      <c r="B59" t="s">
        <v>2858</v>
      </c>
      <c r="C59" t="s">
        <v>1345</v>
      </c>
      <c r="D59" t="s">
        <v>1346</v>
      </c>
      <c r="E59" t="s">
        <v>1037</v>
      </c>
      <c r="F59" t="s">
        <v>1648</v>
      </c>
      <c r="G59" s="381">
        <v>0</v>
      </c>
      <c r="H59" s="381"/>
      <c r="I59" s="381">
        <v>64.67</v>
      </c>
      <c r="J59" s="381">
        <v>0</v>
      </c>
      <c r="K59" s="381">
        <v>0</v>
      </c>
      <c r="L59" s="381"/>
      <c r="M59" s="381">
        <v>64.67</v>
      </c>
      <c r="N59" s="381">
        <v>0</v>
      </c>
      <c r="O59" s="381">
        <v>0</v>
      </c>
      <c r="P59" s="381">
        <v>0</v>
      </c>
    </row>
    <row r="60" spans="1:16">
      <c r="A60" t="s">
        <v>2878</v>
      </c>
      <c r="B60" t="s">
        <v>2879</v>
      </c>
      <c r="C60" t="s">
        <v>1345</v>
      </c>
      <c r="D60" t="s">
        <v>1346</v>
      </c>
      <c r="E60" t="s">
        <v>22</v>
      </c>
      <c r="F60" t="s">
        <v>2868</v>
      </c>
      <c r="G60" s="381">
        <v>0</v>
      </c>
      <c r="H60" s="381"/>
      <c r="I60" s="381"/>
      <c r="J60" s="381"/>
      <c r="K60" s="381">
        <v>0</v>
      </c>
      <c r="L60" s="381"/>
      <c r="M60" s="381"/>
      <c r="N60" s="381"/>
      <c r="O60" s="381"/>
      <c r="P60" s="381"/>
    </row>
    <row r="61" spans="1:16">
      <c r="A61" t="s">
        <v>2885</v>
      </c>
      <c r="B61" t="s">
        <v>2886</v>
      </c>
      <c r="C61" t="s">
        <v>1345</v>
      </c>
      <c r="D61" t="s">
        <v>1346</v>
      </c>
      <c r="E61" t="s">
        <v>22</v>
      </c>
      <c r="F61" t="s">
        <v>2870</v>
      </c>
      <c r="G61" s="381">
        <v>0</v>
      </c>
      <c r="H61" s="381"/>
      <c r="I61" s="381"/>
      <c r="J61" s="381"/>
      <c r="K61" s="381">
        <v>0</v>
      </c>
      <c r="L61" s="381"/>
      <c r="M61" s="381"/>
      <c r="N61" s="381"/>
      <c r="O61" s="381"/>
      <c r="P61" s="381"/>
    </row>
    <row r="62" spans="1:16">
      <c r="A62" t="s">
        <v>2873</v>
      </c>
      <c r="B62" t="s">
        <v>33</v>
      </c>
      <c r="C62" t="s">
        <v>1345</v>
      </c>
      <c r="D62" t="s">
        <v>1345</v>
      </c>
      <c r="E62" t="s">
        <v>22</v>
      </c>
      <c r="F62" t="s">
        <v>2872</v>
      </c>
      <c r="G62" s="381">
        <v>2358182.7000000007</v>
      </c>
      <c r="H62" s="381">
        <v>1733430.9899999991</v>
      </c>
      <c r="I62" s="381">
        <v>2659121.5100000012</v>
      </c>
      <c r="J62" s="381">
        <v>1591278.1799999983</v>
      </c>
      <c r="K62" s="381">
        <v>54442.760000000351</v>
      </c>
      <c r="L62" s="381">
        <v>1733430.9899999991</v>
      </c>
      <c r="M62" s="381">
        <v>2659121.5100000012</v>
      </c>
      <c r="N62" s="381">
        <v>1591278.1799999983</v>
      </c>
      <c r="O62" s="381">
        <v>2405320.04</v>
      </c>
      <c r="P62" s="381">
        <v>657407.65222870966</v>
      </c>
    </row>
    <row r="63" spans="1:16">
      <c r="A63" t="s">
        <v>1667</v>
      </c>
      <c r="B63" t="s">
        <v>1668</v>
      </c>
      <c r="C63" t="s">
        <v>1345</v>
      </c>
      <c r="D63" t="s">
        <v>1346</v>
      </c>
      <c r="E63" t="s">
        <v>333</v>
      </c>
      <c r="F63" t="s">
        <v>1663</v>
      </c>
      <c r="G63" s="381">
        <v>852.00000000000011</v>
      </c>
      <c r="H63" s="381">
        <v>336</v>
      </c>
      <c r="I63" s="381">
        <v>337</v>
      </c>
      <c r="J63" s="381">
        <v>1883</v>
      </c>
      <c r="K63" s="381">
        <v>1823.6399999999999</v>
      </c>
      <c r="L63" s="381">
        <v>336</v>
      </c>
      <c r="M63" s="381">
        <v>337</v>
      </c>
      <c r="N63" s="381">
        <v>1883</v>
      </c>
      <c r="O63" s="381">
        <v>1883</v>
      </c>
      <c r="P63" s="381">
        <v>1883</v>
      </c>
    </row>
    <row r="64" spans="1:16">
      <c r="A64" t="s">
        <v>2180</v>
      </c>
      <c r="B64" t="s">
        <v>2181</v>
      </c>
      <c r="C64" t="s">
        <v>1345</v>
      </c>
      <c r="D64" t="s">
        <v>1346</v>
      </c>
      <c r="E64" t="s">
        <v>602</v>
      </c>
      <c r="F64" t="s">
        <v>611</v>
      </c>
      <c r="G64" s="381">
        <v>94.080000000000013</v>
      </c>
      <c r="H64" s="381">
        <v>478.59</v>
      </c>
      <c r="I64" s="381">
        <v>9120.75</v>
      </c>
      <c r="J64" s="381">
        <v>293.89999999999998</v>
      </c>
      <c r="K64" s="381">
        <v>275.29999999999984</v>
      </c>
      <c r="L64" s="381">
        <v>478.59</v>
      </c>
      <c r="M64" s="381">
        <v>9120.75</v>
      </c>
      <c r="N64" s="381">
        <v>293.89999999999998</v>
      </c>
      <c r="O64" s="381">
        <v>0</v>
      </c>
      <c r="P64" s="381">
        <v>0</v>
      </c>
    </row>
    <row r="65" spans="1:16">
      <c r="A65" t="s">
        <v>2188</v>
      </c>
      <c r="B65" t="s">
        <v>2189</v>
      </c>
      <c r="C65" t="s">
        <v>1345</v>
      </c>
      <c r="D65" t="s">
        <v>1346</v>
      </c>
      <c r="E65" t="s">
        <v>625</v>
      </c>
      <c r="F65" t="s">
        <v>611</v>
      </c>
      <c r="G65" s="381">
        <v>0</v>
      </c>
      <c r="H65" s="381">
        <v>16.29</v>
      </c>
      <c r="I65" s="381">
        <v>0</v>
      </c>
      <c r="J65" s="381">
        <v>3.92</v>
      </c>
      <c r="K65" s="381">
        <v>0</v>
      </c>
      <c r="L65" s="381">
        <v>16.29</v>
      </c>
      <c r="M65" s="381">
        <v>0</v>
      </c>
      <c r="N65" s="381">
        <v>3.92</v>
      </c>
      <c r="O65" s="381">
        <v>0</v>
      </c>
      <c r="P65" s="381">
        <v>0</v>
      </c>
    </row>
    <row r="66" spans="1:16">
      <c r="A66" t="s">
        <v>2860</v>
      </c>
      <c r="B66" t="s">
        <v>2861</v>
      </c>
      <c r="C66" t="s">
        <v>1345</v>
      </c>
      <c r="D66" t="s">
        <v>1346</v>
      </c>
      <c r="E66" t="s">
        <v>1037</v>
      </c>
      <c r="F66" t="s">
        <v>2846</v>
      </c>
      <c r="G66" s="381">
        <v>7339.65</v>
      </c>
      <c r="H66" s="381">
        <v>10095.790000000001</v>
      </c>
      <c r="I66" s="381">
        <v>9921.4500000000007</v>
      </c>
      <c r="J66" s="381">
        <v>3959.13</v>
      </c>
      <c r="K66" s="381">
        <v>-891.2900000000003</v>
      </c>
      <c r="L66" s="381">
        <v>10095.790000000001</v>
      </c>
      <c r="M66" s="381">
        <v>9921.4500000000007</v>
      </c>
      <c r="N66" s="381">
        <v>3959.13</v>
      </c>
      <c r="O66" s="381">
        <v>0</v>
      </c>
      <c r="P66" s="381">
        <v>0</v>
      </c>
    </row>
    <row r="67" spans="1:16">
      <c r="A67" t="s">
        <v>1197</v>
      </c>
      <c r="B67" t="s">
        <v>70</v>
      </c>
      <c r="C67" t="s">
        <v>1135</v>
      </c>
      <c r="D67" t="s">
        <v>1135</v>
      </c>
      <c r="E67" t="s">
        <v>49</v>
      </c>
      <c r="F67" t="s">
        <v>1198</v>
      </c>
      <c r="G67" s="381">
        <v>16769.23</v>
      </c>
      <c r="H67" s="381">
        <v>14973</v>
      </c>
      <c r="I67" s="381">
        <v>18162.759999999998</v>
      </c>
      <c r="J67" s="381">
        <v>19567.54</v>
      </c>
      <c r="K67" s="381">
        <v>16769.23</v>
      </c>
      <c r="L67" s="381">
        <v>14973</v>
      </c>
      <c r="M67" s="381">
        <v>18162.759999999998</v>
      </c>
      <c r="N67" s="381">
        <v>19567.54</v>
      </c>
      <c r="O67" s="381">
        <v>19167</v>
      </c>
      <c r="P67" s="381">
        <v>17440</v>
      </c>
    </row>
    <row r="68" spans="1:16">
      <c r="A68" t="s">
        <v>1200</v>
      </c>
      <c r="B68" t="s">
        <v>72</v>
      </c>
      <c r="C68" t="s">
        <v>1135</v>
      </c>
      <c r="D68" t="s">
        <v>1135</v>
      </c>
      <c r="E68" t="s">
        <v>49</v>
      </c>
      <c r="F68" t="s">
        <v>1201</v>
      </c>
      <c r="G68" s="381">
        <v>14400</v>
      </c>
      <c r="H68" s="381">
        <v>12857</v>
      </c>
      <c r="I68" s="381">
        <v>18823.150000000001</v>
      </c>
      <c r="J68" s="381">
        <v>13577</v>
      </c>
      <c r="K68" s="381">
        <v>17263</v>
      </c>
      <c r="L68" s="381">
        <v>12857</v>
      </c>
      <c r="M68" s="381">
        <v>18823.150000000001</v>
      </c>
      <c r="N68" s="381">
        <v>13577</v>
      </c>
      <c r="O68" s="381">
        <v>15600</v>
      </c>
      <c r="P68" s="381">
        <v>15600</v>
      </c>
    </row>
    <row r="69" spans="1:16">
      <c r="A69" t="s">
        <v>1204</v>
      </c>
      <c r="B69" t="s">
        <v>74</v>
      </c>
      <c r="C69" t="s">
        <v>1135</v>
      </c>
      <c r="D69" t="s">
        <v>1135</v>
      </c>
      <c r="E69" t="s">
        <v>49</v>
      </c>
      <c r="F69" t="s">
        <v>1205</v>
      </c>
      <c r="G69" s="381">
        <v>7463.62</v>
      </c>
      <c r="H69" s="381">
        <v>9654</v>
      </c>
      <c r="I69" s="381">
        <v>14825.74</v>
      </c>
      <c r="J69" s="381">
        <v>12851.77</v>
      </c>
      <c r="K69" s="381">
        <v>16343.609999999997</v>
      </c>
      <c r="L69" s="381">
        <v>9654</v>
      </c>
      <c r="M69" s="381">
        <v>14825.74</v>
      </c>
      <c r="N69" s="381">
        <v>12851.77</v>
      </c>
      <c r="O69" s="381">
        <v>11942</v>
      </c>
      <c r="P69" s="381">
        <v>10718</v>
      </c>
    </row>
    <row r="70" spans="1:16">
      <c r="A70" t="s">
        <v>2465</v>
      </c>
      <c r="B70" t="s">
        <v>812</v>
      </c>
      <c r="C70" t="s">
        <v>1135</v>
      </c>
      <c r="D70" t="s">
        <v>1135</v>
      </c>
      <c r="E70" t="s">
        <v>639</v>
      </c>
      <c r="F70" t="s">
        <v>2466</v>
      </c>
      <c r="G70" s="381">
        <v>0</v>
      </c>
      <c r="H70" s="381"/>
      <c r="I70" s="381"/>
      <c r="J70" s="381"/>
      <c r="K70" s="381">
        <v>0</v>
      </c>
      <c r="L70" s="381"/>
      <c r="M70" s="381"/>
      <c r="N70" s="381"/>
      <c r="O70" s="381"/>
      <c r="P70" s="381"/>
    </row>
    <row r="71" spans="1:16">
      <c r="A71" t="s">
        <v>2522</v>
      </c>
      <c r="B71" t="s">
        <v>850</v>
      </c>
      <c r="C71" t="s">
        <v>1135</v>
      </c>
      <c r="D71" t="s">
        <v>1135</v>
      </c>
      <c r="E71" t="s">
        <v>639</v>
      </c>
      <c r="F71" t="s">
        <v>2523</v>
      </c>
      <c r="G71" s="381">
        <v>0</v>
      </c>
      <c r="H71" s="381"/>
      <c r="I71" s="381"/>
      <c r="J71" s="381">
        <v>367969.99</v>
      </c>
      <c r="K71" s="381">
        <v>254590.76</v>
      </c>
      <c r="L71" s="381"/>
      <c r="M71" s="381"/>
      <c r="N71" s="381">
        <v>367969.99</v>
      </c>
      <c r="O71" s="381">
        <v>127295.38</v>
      </c>
      <c r="P71" s="381">
        <v>127295.38</v>
      </c>
    </row>
    <row r="72" spans="1:16">
      <c r="A72" t="s">
        <v>2550</v>
      </c>
      <c r="B72" t="s">
        <v>866</v>
      </c>
      <c r="C72" t="s">
        <v>1135</v>
      </c>
      <c r="D72" t="s">
        <v>1135</v>
      </c>
      <c r="E72" t="s">
        <v>639</v>
      </c>
      <c r="F72" t="s">
        <v>2551</v>
      </c>
      <c r="G72" s="381">
        <v>15750</v>
      </c>
      <c r="H72" s="381">
        <v>15750</v>
      </c>
      <c r="I72" s="381">
        <v>15750</v>
      </c>
      <c r="J72" s="381">
        <v>15750</v>
      </c>
      <c r="K72" s="381">
        <v>15750</v>
      </c>
      <c r="L72" s="381">
        <v>15750</v>
      </c>
      <c r="M72" s="381">
        <v>15750</v>
      </c>
      <c r="N72" s="381">
        <v>15750</v>
      </c>
      <c r="O72" s="381">
        <v>15750</v>
      </c>
      <c r="P72" s="381">
        <v>15750</v>
      </c>
    </row>
    <row r="73" spans="1:16">
      <c r="A73" t="s">
        <v>2567</v>
      </c>
      <c r="B73" t="s">
        <v>879</v>
      </c>
      <c r="C73" t="s">
        <v>1135</v>
      </c>
      <c r="D73" t="s">
        <v>1135</v>
      </c>
      <c r="E73" t="s">
        <v>639</v>
      </c>
      <c r="F73" t="s">
        <v>2568</v>
      </c>
      <c r="G73" s="381">
        <v>0</v>
      </c>
      <c r="H73" s="381"/>
      <c r="I73" s="381"/>
      <c r="J73" s="381"/>
      <c r="K73" s="381">
        <v>0</v>
      </c>
      <c r="L73" s="381"/>
      <c r="M73" s="381"/>
      <c r="N73" s="381"/>
      <c r="O73" s="381"/>
      <c r="P73" s="381">
        <v>144819</v>
      </c>
    </row>
    <row r="74" spans="1:16">
      <c r="A74" t="s">
        <v>2575</v>
      </c>
      <c r="B74" t="s">
        <v>886</v>
      </c>
      <c r="C74" t="s">
        <v>1135</v>
      </c>
      <c r="D74" t="s">
        <v>1135</v>
      </c>
      <c r="E74" t="s">
        <v>639</v>
      </c>
      <c r="F74" t="s">
        <v>2576</v>
      </c>
      <c r="G74" s="381">
        <v>0</v>
      </c>
      <c r="H74" s="381"/>
      <c r="I74" s="381"/>
      <c r="J74" s="381">
        <v>5298.95</v>
      </c>
      <c r="K74" s="381">
        <v>0</v>
      </c>
      <c r="L74" s="381"/>
      <c r="M74" s="381"/>
      <c r="N74" s="381">
        <v>5298.95</v>
      </c>
      <c r="O74" s="381">
        <v>0</v>
      </c>
      <c r="P74" s="381">
        <v>0</v>
      </c>
    </row>
    <row r="75" spans="1:16">
      <c r="A75" t="s">
        <v>2553</v>
      </c>
      <c r="B75" t="s">
        <v>868</v>
      </c>
      <c r="C75" t="s">
        <v>1135</v>
      </c>
      <c r="D75" t="s">
        <v>1135</v>
      </c>
      <c r="E75" t="s">
        <v>639</v>
      </c>
      <c r="F75" t="s">
        <v>2554</v>
      </c>
      <c r="G75" s="381">
        <v>0</v>
      </c>
      <c r="H75" s="381"/>
      <c r="I75" s="381"/>
      <c r="J75" s="381"/>
      <c r="K75" s="381">
        <v>0</v>
      </c>
      <c r="L75" s="381"/>
      <c r="M75" s="381"/>
      <c r="N75" s="381"/>
      <c r="O75" s="381"/>
      <c r="P75" s="381"/>
    </row>
    <row r="76" spans="1:16">
      <c r="A76" t="s">
        <v>2208</v>
      </c>
      <c r="B76" t="s">
        <v>641</v>
      </c>
      <c r="C76" t="s">
        <v>1135</v>
      </c>
      <c r="D76" t="s">
        <v>1135</v>
      </c>
      <c r="E76" t="s">
        <v>639</v>
      </c>
      <c r="F76" t="s">
        <v>2209</v>
      </c>
      <c r="G76" s="381">
        <v>0</v>
      </c>
      <c r="H76" s="381"/>
      <c r="I76" s="381"/>
      <c r="J76" s="381"/>
      <c r="K76" s="381">
        <v>0</v>
      </c>
      <c r="L76" s="381"/>
      <c r="M76" s="381"/>
      <c r="N76" s="381"/>
      <c r="O76" s="381">
        <v>8622.08</v>
      </c>
      <c r="P76" s="381">
        <v>8622.08</v>
      </c>
    </row>
    <row r="77" spans="1:16">
      <c r="A77" t="s">
        <v>2210</v>
      </c>
      <c r="B77" t="s">
        <v>643</v>
      </c>
      <c r="C77" t="s">
        <v>1135</v>
      </c>
      <c r="D77" t="s">
        <v>1135</v>
      </c>
      <c r="E77" t="s">
        <v>639</v>
      </c>
      <c r="F77" t="s">
        <v>2211</v>
      </c>
      <c r="G77" s="381">
        <v>0</v>
      </c>
      <c r="H77" s="381"/>
      <c r="I77" s="381"/>
      <c r="J77" s="381"/>
      <c r="K77" s="381">
        <v>0</v>
      </c>
      <c r="L77" s="381"/>
      <c r="M77" s="381"/>
      <c r="N77" s="381"/>
      <c r="O77" s="381">
        <v>0</v>
      </c>
      <c r="P77" s="381">
        <v>0</v>
      </c>
    </row>
    <row r="78" spans="1:16">
      <c r="A78" t="s">
        <v>2213</v>
      </c>
      <c r="B78" t="s">
        <v>645</v>
      </c>
      <c r="C78" t="s">
        <v>1135</v>
      </c>
      <c r="D78" t="s">
        <v>1135</v>
      </c>
      <c r="E78" t="s">
        <v>639</v>
      </c>
      <c r="F78" t="s">
        <v>2214</v>
      </c>
      <c r="G78" s="381">
        <v>0</v>
      </c>
      <c r="H78" s="381"/>
      <c r="I78" s="381"/>
      <c r="J78" s="381"/>
      <c r="K78" s="381">
        <v>0</v>
      </c>
      <c r="L78" s="381"/>
      <c r="M78" s="381"/>
      <c r="N78" s="381"/>
      <c r="O78" s="381"/>
      <c r="P78" s="381"/>
    </row>
    <row r="79" spans="1:16">
      <c r="A79" t="s">
        <v>2217</v>
      </c>
      <c r="B79" t="s">
        <v>647</v>
      </c>
      <c r="C79" t="s">
        <v>1135</v>
      </c>
      <c r="D79" t="s">
        <v>1135</v>
      </c>
      <c r="E79" t="s">
        <v>639</v>
      </c>
      <c r="F79" t="s">
        <v>2218</v>
      </c>
      <c r="G79" s="381">
        <v>0</v>
      </c>
      <c r="H79" s="381"/>
      <c r="I79" s="381"/>
      <c r="J79" s="381"/>
      <c r="K79" s="381">
        <v>0</v>
      </c>
      <c r="L79" s="381"/>
      <c r="M79" s="381"/>
      <c r="N79" s="381"/>
      <c r="O79" s="381"/>
      <c r="P79" s="381"/>
    </row>
    <row r="80" spans="1:16">
      <c r="A80" t="s">
        <v>2220</v>
      </c>
      <c r="B80" t="s">
        <v>649</v>
      </c>
      <c r="C80" t="s">
        <v>1135</v>
      </c>
      <c r="D80" t="s">
        <v>1135</v>
      </c>
      <c r="E80" t="s">
        <v>639</v>
      </c>
      <c r="F80" t="s">
        <v>2221</v>
      </c>
      <c r="G80" s="381">
        <v>0</v>
      </c>
      <c r="H80" s="381"/>
      <c r="I80" s="381"/>
      <c r="J80" s="381"/>
      <c r="K80" s="381">
        <v>0</v>
      </c>
      <c r="L80" s="381"/>
      <c r="M80" s="381"/>
      <c r="N80" s="381"/>
      <c r="O80" s="381">
        <v>275</v>
      </c>
      <c r="P80" s="381">
        <v>275</v>
      </c>
    </row>
    <row r="81" spans="1:16">
      <c r="A81" t="s">
        <v>1946</v>
      </c>
      <c r="B81" t="s">
        <v>485</v>
      </c>
      <c r="C81" t="s">
        <v>1135</v>
      </c>
      <c r="D81" t="s">
        <v>1135</v>
      </c>
      <c r="E81" t="s">
        <v>389</v>
      </c>
      <c r="F81" t="s">
        <v>1947</v>
      </c>
      <c r="G81" s="381">
        <v>0</v>
      </c>
      <c r="H81" s="381"/>
      <c r="I81" s="381"/>
      <c r="J81" s="381">
        <v>-123760</v>
      </c>
      <c r="K81" s="381">
        <v>-113731.04000000001</v>
      </c>
      <c r="L81" s="381"/>
      <c r="M81" s="381"/>
      <c r="N81" s="381">
        <v>-123760</v>
      </c>
      <c r="O81" s="381">
        <v>-52600</v>
      </c>
      <c r="P81" s="381">
        <v>-52600</v>
      </c>
    </row>
    <row r="82" spans="1:16">
      <c r="A82" t="s">
        <v>2526</v>
      </c>
      <c r="B82" t="s">
        <v>852</v>
      </c>
      <c r="C82" t="s">
        <v>1135</v>
      </c>
      <c r="D82" t="s">
        <v>1135</v>
      </c>
      <c r="E82" t="s">
        <v>639</v>
      </c>
      <c r="F82" t="s">
        <v>1947</v>
      </c>
      <c r="G82" s="381">
        <v>0</v>
      </c>
      <c r="H82" s="381"/>
      <c r="I82" s="381"/>
      <c r="J82" s="381">
        <v>-222800</v>
      </c>
      <c r="K82" s="381">
        <v>-128741.87</v>
      </c>
      <c r="L82" s="381"/>
      <c r="M82" s="381"/>
      <c r="N82" s="381">
        <v>-222800</v>
      </c>
      <c r="O82" s="381">
        <v>-78124</v>
      </c>
      <c r="P82" s="381">
        <v>-78124</v>
      </c>
    </row>
    <row r="83" spans="1:16">
      <c r="A83" t="s">
        <v>1939</v>
      </c>
      <c r="B83" t="s">
        <v>481</v>
      </c>
      <c r="C83" t="s">
        <v>1135</v>
      </c>
      <c r="D83" t="s">
        <v>1135</v>
      </c>
      <c r="E83" t="s">
        <v>389</v>
      </c>
      <c r="F83" t="s">
        <v>1778</v>
      </c>
      <c r="G83" s="381">
        <v>0</v>
      </c>
      <c r="H83" s="381"/>
      <c r="I83" s="381"/>
      <c r="J83" s="381">
        <v>-3450</v>
      </c>
      <c r="K83" s="381">
        <v>-7116.77</v>
      </c>
      <c r="L83" s="381"/>
      <c r="M83" s="381"/>
      <c r="N83" s="381">
        <v>-3450</v>
      </c>
      <c r="O83" s="381">
        <v>-3333.33</v>
      </c>
      <c r="P83" s="381">
        <v>-3333.33</v>
      </c>
    </row>
    <row r="84" spans="1:16">
      <c r="A84" t="s">
        <v>2284</v>
      </c>
      <c r="B84" t="s">
        <v>675</v>
      </c>
      <c r="C84" t="s">
        <v>1135</v>
      </c>
      <c r="D84" t="s">
        <v>1135</v>
      </c>
      <c r="E84" t="s">
        <v>639</v>
      </c>
      <c r="F84" t="s">
        <v>2285</v>
      </c>
      <c r="G84" s="381">
        <v>0</v>
      </c>
      <c r="H84" s="381"/>
      <c r="I84" s="381">
        <v>4313</v>
      </c>
      <c r="J84" s="381">
        <v>227</v>
      </c>
      <c r="K84" s="381">
        <v>1362</v>
      </c>
      <c r="L84" s="381"/>
      <c r="M84" s="381">
        <v>4313</v>
      </c>
      <c r="N84" s="381">
        <v>227</v>
      </c>
      <c r="O84" s="381">
        <v>0</v>
      </c>
      <c r="P84" s="381">
        <v>0</v>
      </c>
    </row>
    <row r="85" spans="1:16">
      <c r="A85" t="s">
        <v>2470</v>
      </c>
      <c r="B85" t="s">
        <v>816</v>
      </c>
      <c r="C85" t="s">
        <v>1135</v>
      </c>
      <c r="D85" t="s">
        <v>1135</v>
      </c>
      <c r="E85" t="s">
        <v>639</v>
      </c>
      <c r="F85" t="s">
        <v>818</v>
      </c>
      <c r="G85" s="381">
        <v>0</v>
      </c>
      <c r="H85" s="381"/>
      <c r="I85" s="381"/>
      <c r="J85" s="381">
        <v>61919.48</v>
      </c>
      <c r="K85" s="381">
        <v>0</v>
      </c>
      <c r="L85" s="381"/>
      <c r="M85" s="381"/>
      <c r="N85" s="381">
        <v>61919.48</v>
      </c>
      <c r="O85" s="381">
        <v>0</v>
      </c>
      <c r="P85" s="381">
        <v>0</v>
      </c>
    </row>
    <row r="86" spans="1:16">
      <c r="A86" t="s">
        <v>1702</v>
      </c>
      <c r="B86" t="s">
        <v>364</v>
      </c>
      <c r="C86" t="s">
        <v>1135</v>
      </c>
      <c r="D86" t="s">
        <v>1135</v>
      </c>
      <c r="E86" t="s">
        <v>342</v>
      </c>
      <c r="F86" t="s">
        <v>1703</v>
      </c>
      <c r="G86" s="381">
        <v>22</v>
      </c>
      <c r="H86" s="381">
        <v>20</v>
      </c>
      <c r="I86" s="381">
        <v>0</v>
      </c>
      <c r="J86" s="381">
        <v>0</v>
      </c>
      <c r="K86" s="381">
        <v>0</v>
      </c>
      <c r="L86" s="381">
        <v>20</v>
      </c>
      <c r="M86" s="381">
        <v>0</v>
      </c>
      <c r="N86" s="381">
        <v>0</v>
      </c>
      <c r="O86" s="381">
        <v>0</v>
      </c>
      <c r="P86" s="381">
        <v>0</v>
      </c>
    </row>
    <row r="87" spans="1:16">
      <c r="A87" t="s">
        <v>1701</v>
      </c>
      <c r="B87" t="s">
        <v>363</v>
      </c>
      <c r="C87" t="s">
        <v>1135</v>
      </c>
      <c r="D87" t="s">
        <v>1135</v>
      </c>
      <c r="E87" t="s">
        <v>342</v>
      </c>
      <c r="F87" t="s">
        <v>1174</v>
      </c>
      <c r="G87" s="381">
        <v>0</v>
      </c>
      <c r="H87" s="381">
        <v>2120</v>
      </c>
      <c r="I87" s="381">
        <v>0</v>
      </c>
      <c r="J87" s="381">
        <v>0</v>
      </c>
      <c r="K87" s="381">
        <v>0</v>
      </c>
      <c r="L87" s="381">
        <v>2120</v>
      </c>
      <c r="M87" s="381">
        <v>0</v>
      </c>
      <c r="N87" s="381">
        <v>0</v>
      </c>
      <c r="O87" s="381">
        <v>0</v>
      </c>
      <c r="P87" s="381">
        <v>0</v>
      </c>
    </row>
    <row r="88" spans="1:16">
      <c r="A88" t="s">
        <v>1843</v>
      </c>
      <c r="B88" t="s">
        <v>440</v>
      </c>
      <c r="C88" t="s">
        <v>1135</v>
      </c>
      <c r="D88" t="s">
        <v>1135</v>
      </c>
      <c r="E88" t="s">
        <v>389</v>
      </c>
      <c r="F88" t="s">
        <v>1844</v>
      </c>
      <c r="G88" s="381">
        <v>881.88</v>
      </c>
      <c r="H88" s="381">
        <v>881.88</v>
      </c>
      <c r="I88" s="381">
        <v>881.88</v>
      </c>
      <c r="J88" s="381">
        <v>881.88</v>
      </c>
      <c r="K88" s="381">
        <v>881.88</v>
      </c>
      <c r="L88" s="381">
        <v>881.88</v>
      </c>
      <c r="M88" s="381">
        <v>881.88</v>
      </c>
      <c r="N88" s="381">
        <v>881.88</v>
      </c>
      <c r="O88" s="381">
        <v>881.88</v>
      </c>
      <c r="P88" s="381">
        <v>881.88</v>
      </c>
    </row>
    <row r="89" spans="1:16">
      <c r="A89" t="s">
        <v>1857</v>
      </c>
      <c r="B89" t="s">
        <v>448</v>
      </c>
      <c r="C89" t="s">
        <v>1135</v>
      </c>
      <c r="D89" t="s">
        <v>1135</v>
      </c>
      <c r="E89" t="s">
        <v>389</v>
      </c>
      <c r="F89" t="s">
        <v>1858</v>
      </c>
      <c r="G89" s="381">
        <v>0</v>
      </c>
      <c r="H89" s="381"/>
      <c r="I89" s="381"/>
      <c r="J89" s="381"/>
      <c r="K89" s="381">
        <v>0</v>
      </c>
      <c r="L89" s="381"/>
      <c r="M89" s="381"/>
      <c r="N89" s="381"/>
      <c r="O89" s="381">
        <v>1014</v>
      </c>
      <c r="P89" s="381">
        <v>1014</v>
      </c>
    </row>
    <row r="90" spans="1:16">
      <c r="A90" t="s">
        <v>1864</v>
      </c>
      <c r="B90" t="s">
        <v>452</v>
      </c>
      <c r="C90" t="s">
        <v>1135</v>
      </c>
      <c r="D90" t="s">
        <v>1135</v>
      </c>
      <c r="E90" t="s">
        <v>389</v>
      </c>
      <c r="F90" t="s">
        <v>1863</v>
      </c>
      <c r="G90" s="381">
        <v>1611.3500000000001</v>
      </c>
      <c r="H90" s="381">
        <v>5046.78</v>
      </c>
      <c r="I90" s="381">
        <v>4733.08</v>
      </c>
      <c r="J90" s="381">
        <v>4136.3100000000004</v>
      </c>
      <c r="K90" s="381">
        <v>1548.42</v>
      </c>
      <c r="L90" s="381">
        <v>5046.78</v>
      </c>
      <c r="M90" s="381">
        <v>4733.08</v>
      </c>
      <c r="N90" s="381">
        <v>4136.3100000000004</v>
      </c>
      <c r="O90" s="381">
        <v>5000</v>
      </c>
      <c r="P90" s="381">
        <v>5000</v>
      </c>
    </row>
    <row r="91" spans="1:16">
      <c r="A91" t="s">
        <v>1894</v>
      </c>
      <c r="B91" t="s">
        <v>464</v>
      </c>
      <c r="C91" t="s">
        <v>1135</v>
      </c>
      <c r="D91" t="s">
        <v>1135</v>
      </c>
      <c r="E91" t="s">
        <v>389</v>
      </c>
      <c r="F91" t="s">
        <v>1703</v>
      </c>
      <c r="G91" s="381">
        <v>345.21</v>
      </c>
      <c r="H91" s="381">
        <v>1210.3599999999999</v>
      </c>
      <c r="I91" s="381">
        <v>1569.34</v>
      </c>
      <c r="J91" s="381">
        <v>2372.06</v>
      </c>
      <c r="K91" s="381">
        <v>674.56</v>
      </c>
      <c r="L91" s="381">
        <v>1210.3599999999999</v>
      </c>
      <c r="M91" s="381">
        <v>1569.34</v>
      </c>
      <c r="N91" s="381">
        <v>2372.06</v>
      </c>
      <c r="O91" s="381">
        <v>0</v>
      </c>
      <c r="P91" s="381">
        <v>0</v>
      </c>
    </row>
    <row r="92" spans="1:16">
      <c r="A92" t="s">
        <v>1901</v>
      </c>
      <c r="B92" t="s">
        <v>465</v>
      </c>
      <c r="C92" t="s">
        <v>1135</v>
      </c>
      <c r="D92" t="s">
        <v>1135</v>
      </c>
      <c r="E92" t="s">
        <v>389</v>
      </c>
      <c r="F92" t="s">
        <v>1855</v>
      </c>
      <c r="G92" s="381">
        <v>16438</v>
      </c>
      <c r="H92" s="381">
        <v>17770</v>
      </c>
      <c r="I92" s="381">
        <v>18328</v>
      </c>
      <c r="J92" s="381">
        <v>15036</v>
      </c>
      <c r="K92" s="381">
        <v>18792</v>
      </c>
      <c r="L92" s="381">
        <v>17770</v>
      </c>
      <c r="M92" s="381">
        <v>18328</v>
      </c>
      <c r="N92" s="381">
        <v>15036</v>
      </c>
      <c r="O92" s="381">
        <v>10000</v>
      </c>
      <c r="P92" s="381">
        <v>10000</v>
      </c>
    </row>
    <row r="93" spans="1:16">
      <c r="A93" t="s">
        <v>1790</v>
      </c>
      <c r="B93" t="s">
        <v>417</v>
      </c>
      <c r="C93" t="s">
        <v>1135</v>
      </c>
      <c r="D93" t="s">
        <v>1135</v>
      </c>
      <c r="E93" t="s">
        <v>389</v>
      </c>
      <c r="F93" t="s">
        <v>1174</v>
      </c>
      <c r="G93" s="381">
        <v>3908.87</v>
      </c>
      <c r="H93" s="381">
        <v>4838.91</v>
      </c>
      <c r="I93" s="381">
        <v>4409.8999999999996</v>
      </c>
      <c r="J93" s="381">
        <v>4524.93</v>
      </c>
      <c r="K93" s="381">
        <v>4454.8399999999992</v>
      </c>
      <c r="L93" s="381">
        <v>4838.91</v>
      </c>
      <c r="M93" s="381">
        <v>4409.8999999999996</v>
      </c>
      <c r="N93" s="381">
        <v>4524.93</v>
      </c>
      <c r="O93" s="381">
        <v>4000</v>
      </c>
      <c r="P93" s="381">
        <v>4000</v>
      </c>
    </row>
    <row r="94" spans="1:16">
      <c r="A94" t="s">
        <v>2277</v>
      </c>
      <c r="B94" t="s">
        <v>674</v>
      </c>
      <c r="C94" t="s">
        <v>1135</v>
      </c>
      <c r="D94" t="s">
        <v>1135</v>
      </c>
      <c r="E94" t="s">
        <v>639</v>
      </c>
      <c r="F94" t="s">
        <v>1703</v>
      </c>
      <c r="G94" s="381">
        <v>0</v>
      </c>
      <c r="H94" s="381"/>
      <c r="I94" s="381">
        <v>288</v>
      </c>
      <c r="J94" s="381">
        <v>0</v>
      </c>
      <c r="K94" s="381">
        <v>800</v>
      </c>
      <c r="L94" s="381"/>
      <c r="M94" s="381">
        <v>288</v>
      </c>
      <c r="N94" s="381">
        <v>0</v>
      </c>
      <c r="O94" s="381">
        <v>0</v>
      </c>
      <c r="P94" s="381">
        <v>0</v>
      </c>
    </row>
    <row r="95" spans="1:16">
      <c r="A95" t="s">
        <v>2260</v>
      </c>
      <c r="B95" t="s">
        <v>669</v>
      </c>
      <c r="C95" t="s">
        <v>1135</v>
      </c>
      <c r="D95" t="s">
        <v>1135</v>
      </c>
      <c r="E95" t="s">
        <v>639</v>
      </c>
      <c r="F95" t="s">
        <v>1174</v>
      </c>
      <c r="G95" s="381">
        <v>139.72999999999999</v>
      </c>
      <c r="H95" s="381">
        <v>279.45999999999998</v>
      </c>
      <c r="I95" s="381">
        <v>279.45999999999998</v>
      </c>
      <c r="J95" s="381">
        <v>899.46</v>
      </c>
      <c r="K95" s="381">
        <v>139.72999999999999</v>
      </c>
      <c r="L95" s="381">
        <v>279.45999999999998</v>
      </c>
      <c r="M95" s="381">
        <v>279.45999999999998</v>
      </c>
      <c r="N95" s="381">
        <v>899.46</v>
      </c>
      <c r="O95" s="381">
        <v>300</v>
      </c>
      <c r="P95" s="381">
        <v>300</v>
      </c>
    </row>
    <row r="96" spans="1:16">
      <c r="A96" t="s">
        <v>2290</v>
      </c>
      <c r="B96" t="s">
        <v>678</v>
      </c>
      <c r="C96" t="s">
        <v>1135</v>
      </c>
      <c r="D96" t="s">
        <v>1135</v>
      </c>
      <c r="E96" t="s">
        <v>639</v>
      </c>
      <c r="F96" t="s">
        <v>2291</v>
      </c>
      <c r="G96" s="381">
        <v>16378</v>
      </c>
      <c r="H96" s="381">
        <v>8189</v>
      </c>
      <c r="I96" s="381">
        <v>13361</v>
      </c>
      <c r="J96" s="381">
        <v>7758</v>
      </c>
      <c r="K96" s="381">
        <v>11637</v>
      </c>
      <c r="L96" s="381">
        <v>8189</v>
      </c>
      <c r="M96" s="381">
        <v>13361</v>
      </c>
      <c r="N96" s="381">
        <v>7758</v>
      </c>
      <c r="O96" s="381">
        <v>15000</v>
      </c>
      <c r="P96" s="381">
        <v>15000</v>
      </c>
    </row>
    <row r="97" spans="1:16">
      <c r="A97" t="s">
        <v>1277</v>
      </c>
      <c r="B97" t="s">
        <v>117</v>
      </c>
      <c r="C97" t="s">
        <v>1135</v>
      </c>
      <c r="D97" t="s">
        <v>1135</v>
      </c>
      <c r="E97" t="s">
        <v>49</v>
      </c>
      <c r="F97" t="s">
        <v>1278</v>
      </c>
      <c r="G97" s="381">
        <v>0</v>
      </c>
      <c r="H97" s="381"/>
      <c r="I97" s="381"/>
      <c r="J97" s="381"/>
      <c r="K97" s="381">
        <v>0</v>
      </c>
      <c r="L97" s="381"/>
      <c r="M97" s="381"/>
      <c r="N97" s="381"/>
      <c r="O97" s="381"/>
      <c r="P97" s="381"/>
    </row>
    <row r="98" spans="1:16">
      <c r="A98" t="s">
        <v>1208</v>
      </c>
      <c r="B98" t="s">
        <v>76</v>
      </c>
      <c r="C98" t="s">
        <v>1135</v>
      </c>
      <c r="D98" t="s">
        <v>1135</v>
      </c>
      <c r="E98" t="s">
        <v>49</v>
      </c>
      <c r="F98" t="s">
        <v>1209</v>
      </c>
      <c r="G98" s="381">
        <v>6923.07</v>
      </c>
      <c r="H98" s="381">
        <v>10704.42</v>
      </c>
      <c r="I98" s="381">
        <v>11988.8</v>
      </c>
      <c r="J98" s="381">
        <v>9558.4500000000007</v>
      </c>
      <c r="K98" s="381">
        <v>8819.08</v>
      </c>
      <c r="L98" s="381">
        <v>10704.42</v>
      </c>
      <c r="M98" s="381">
        <v>11988.8</v>
      </c>
      <c r="N98" s="381">
        <v>9558.4500000000007</v>
      </c>
      <c r="O98" s="381">
        <v>6000</v>
      </c>
      <c r="P98" s="381">
        <v>6000</v>
      </c>
    </row>
    <row r="99" spans="1:16">
      <c r="A99" t="s">
        <v>1212</v>
      </c>
      <c r="B99" t="s">
        <v>78</v>
      </c>
      <c r="C99" t="s">
        <v>1135</v>
      </c>
      <c r="D99" t="s">
        <v>1135</v>
      </c>
      <c r="E99" t="s">
        <v>49</v>
      </c>
      <c r="F99" t="s">
        <v>1213</v>
      </c>
      <c r="G99" s="381">
        <v>7661.53</v>
      </c>
      <c r="H99" s="381">
        <v>6841</v>
      </c>
      <c r="I99" s="381">
        <v>9759.2000000000007</v>
      </c>
      <c r="J99" s="381">
        <v>7478.93</v>
      </c>
      <c r="K99" s="381">
        <v>9759.5400000000009</v>
      </c>
      <c r="L99" s="381">
        <v>6841</v>
      </c>
      <c r="M99" s="381">
        <v>9759.2000000000007</v>
      </c>
      <c r="N99" s="381">
        <v>7478.93</v>
      </c>
      <c r="O99" s="381">
        <v>8400</v>
      </c>
      <c r="P99" s="381">
        <v>8400</v>
      </c>
    </row>
    <row r="100" spans="1:16">
      <c r="A100" t="s">
        <v>1215</v>
      </c>
      <c r="B100" t="s">
        <v>80</v>
      </c>
      <c r="C100" t="s">
        <v>1135</v>
      </c>
      <c r="D100" t="s">
        <v>1135</v>
      </c>
      <c r="E100" t="s">
        <v>49</v>
      </c>
      <c r="F100" t="s">
        <v>1216</v>
      </c>
      <c r="G100" s="381">
        <v>5175.54</v>
      </c>
      <c r="H100" s="381">
        <v>11538</v>
      </c>
      <c r="I100" s="381">
        <v>8258.77</v>
      </c>
      <c r="J100" s="381">
        <v>1796.93</v>
      </c>
      <c r="K100" s="381">
        <v>10565.529999999999</v>
      </c>
      <c r="L100" s="381">
        <v>11538</v>
      </c>
      <c r="M100" s="381">
        <v>8258.77</v>
      </c>
      <c r="N100" s="381">
        <v>1796.93</v>
      </c>
      <c r="O100" s="381">
        <v>6000</v>
      </c>
      <c r="P100" s="381">
        <v>7000</v>
      </c>
    </row>
    <row r="101" spans="1:16">
      <c r="A101" t="s">
        <v>1229</v>
      </c>
      <c r="B101" t="s">
        <v>86</v>
      </c>
      <c r="C101" t="s">
        <v>1135</v>
      </c>
      <c r="D101" t="s">
        <v>1135</v>
      </c>
      <c r="E101" t="s">
        <v>49</v>
      </c>
      <c r="F101" t="s">
        <v>1230</v>
      </c>
      <c r="G101" s="381">
        <v>0</v>
      </c>
      <c r="H101" s="381">
        <v>113142.14</v>
      </c>
      <c r="I101" s="381">
        <v>160853.85999999999</v>
      </c>
      <c r="J101" s="381">
        <v>137841.35999999999</v>
      </c>
      <c r="K101" s="381">
        <v>274558.24</v>
      </c>
      <c r="L101" s="381">
        <v>113142.14</v>
      </c>
      <c r="M101" s="381">
        <v>160853.85999999999</v>
      </c>
      <c r="N101" s="381">
        <v>137841.35999999999</v>
      </c>
      <c r="O101" s="381">
        <v>0</v>
      </c>
      <c r="P101" s="381">
        <v>274558</v>
      </c>
    </row>
    <row r="102" spans="1:16">
      <c r="A102" t="s">
        <v>1243</v>
      </c>
      <c r="B102" t="s">
        <v>96</v>
      </c>
      <c r="C102" t="s">
        <v>1135</v>
      </c>
      <c r="D102" t="s">
        <v>1135</v>
      </c>
      <c r="E102" t="s">
        <v>49</v>
      </c>
      <c r="F102" t="s">
        <v>1238</v>
      </c>
      <c r="G102" s="381">
        <v>0</v>
      </c>
      <c r="H102" s="381"/>
      <c r="I102" s="381"/>
      <c r="J102" s="381"/>
      <c r="K102" s="381">
        <v>-76110</v>
      </c>
      <c r="L102" s="381"/>
      <c r="M102" s="381"/>
      <c r="N102" s="381"/>
      <c r="O102" s="381"/>
      <c r="P102" s="381"/>
    </row>
    <row r="103" spans="1:16">
      <c r="A103" t="s">
        <v>1245</v>
      </c>
      <c r="B103" t="s">
        <v>98</v>
      </c>
      <c r="C103" t="s">
        <v>1135</v>
      </c>
      <c r="D103" t="s">
        <v>1135</v>
      </c>
      <c r="E103" t="s">
        <v>49</v>
      </c>
      <c r="F103" t="s">
        <v>1242</v>
      </c>
      <c r="G103" s="381">
        <v>0</v>
      </c>
      <c r="H103" s="381"/>
      <c r="I103" s="381"/>
      <c r="J103" s="381">
        <v>-60000</v>
      </c>
      <c r="K103" s="381">
        <v>-76110</v>
      </c>
      <c r="L103" s="381"/>
      <c r="M103" s="381"/>
      <c r="N103" s="381">
        <v>-60000</v>
      </c>
      <c r="O103" s="381">
        <v>0</v>
      </c>
      <c r="P103" s="381">
        <v>0</v>
      </c>
    </row>
    <row r="104" spans="1:16">
      <c r="A104" t="s">
        <v>1246</v>
      </c>
      <c r="B104" t="s">
        <v>100</v>
      </c>
      <c r="C104" t="s">
        <v>1135</v>
      </c>
      <c r="D104" t="s">
        <v>1135</v>
      </c>
      <c r="E104" t="s">
        <v>49</v>
      </c>
      <c r="F104" t="s">
        <v>1240</v>
      </c>
      <c r="G104" s="381">
        <v>0</v>
      </c>
      <c r="H104" s="381"/>
      <c r="I104" s="381"/>
      <c r="J104" s="381"/>
      <c r="K104" s="381">
        <v>-91332</v>
      </c>
      <c r="L104" s="381"/>
      <c r="M104" s="381"/>
      <c r="N104" s="381"/>
      <c r="O104" s="381"/>
      <c r="P104" s="381"/>
    </row>
    <row r="105" spans="1:16">
      <c r="A105" t="s">
        <v>1247</v>
      </c>
      <c r="B105" t="s">
        <v>102</v>
      </c>
      <c r="C105" t="s">
        <v>1135</v>
      </c>
      <c r="D105" t="s">
        <v>1135</v>
      </c>
      <c r="E105" t="s">
        <v>49</v>
      </c>
      <c r="F105" t="s">
        <v>1236</v>
      </c>
      <c r="G105" s="381">
        <v>0</v>
      </c>
      <c r="H105" s="381"/>
      <c r="I105" s="381"/>
      <c r="J105" s="381"/>
      <c r="K105" s="381">
        <v>-213108</v>
      </c>
      <c r="L105" s="381"/>
      <c r="M105" s="381"/>
      <c r="N105" s="381"/>
      <c r="O105" s="381"/>
      <c r="P105" s="381"/>
    </row>
    <row r="106" spans="1:16">
      <c r="A106" t="s">
        <v>1255</v>
      </c>
      <c r="B106" t="s">
        <v>106</v>
      </c>
      <c r="C106" t="s">
        <v>1135</v>
      </c>
      <c r="D106" t="s">
        <v>1135</v>
      </c>
      <c r="E106" t="s">
        <v>49</v>
      </c>
      <c r="F106" t="s">
        <v>1256</v>
      </c>
      <c r="G106" s="381">
        <v>1016.0800000000017</v>
      </c>
      <c r="H106" s="381"/>
      <c r="I106" s="381">
        <v>53852.77</v>
      </c>
      <c r="J106" s="381">
        <v>35563.15</v>
      </c>
      <c r="K106" s="381">
        <v>-9701</v>
      </c>
      <c r="L106" s="381"/>
      <c r="M106" s="381">
        <v>53852.77</v>
      </c>
      <c r="N106" s="381">
        <v>35563.15</v>
      </c>
      <c r="O106" s="381">
        <v>19053</v>
      </c>
      <c r="P106" s="381">
        <v>27738</v>
      </c>
    </row>
    <row r="107" spans="1:16">
      <c r="A107" t="s">
        <v>1258</v>
      </c>
      <c r="B107" t="s">
        <v>108</v>
      </c>
      <c r="C107" t="s">
        <v>1135</v>
      </c>
      <c r="D107" t="s">
        <v>1135</v>
      </c>
      <c r="E107" t="s">
        <v>49</v>
      </c>
      <c r="F107" t="s">
        <v>1259</v>
      </c>
      <c r="G107" s="381">
        <v>64472.479999999989</v>
      </c>
      <c r="H107" s="381"/>
      <c r="I107" s="381">
        <v>72114.23</v>
      </c>
      <c r="J107" s="381">
        <v>40652.339999999997</v>
      </c>
      <c r="K107" s="381">
        <v>-4813.7299999999959</v>
      </c>
      <c r="L107" s="381"/>
      <c r="M107" s="381">
        <v>72114.23</v>
      </c>
      <c r="N107" s="381">
        <v>40652.339999999997</v>
      </c>
      <c r="O107" s="381">
        <v>-11823.57</v>
      </c>
      <c r="P107" s="381">
        <v>33359.4</v>
      </c>
    </row>
    <row r="108" spans="1:16">
      <c r="A108" t="s">
        <v>1261</v>
      </c>
      <c r="B108" t="s">
        <v>110</v>
      </c>
      <c r="C108" t="s">
        <v>1135</v>
      </c>
      <c r="D108" t="s">
        <v>1135</v>
      </c>
      <c r="E108" t="s">
        <v>49</v>
      </c>
      <c r="F108" t="s">
        <v>1262</v>
      </c>
      <c r="G108" s="381">
        <v>0</v>
      </c>
      <c r="H108" s="381"/>
      <c r="I108" s="381"/>
      <c r="J108" s="381"/>
      <c r="K108" s="381">
        <v>0</v>
      </c>
      <c r="L108" s="381"/>
      <c r="M108" s="381"/>
      <c r="N108" s="381"/>
      <c r="O108" s="381">
        <v>11111</v>
      </c>
      <c r="P108" s="381">
        <v>11111</v>
      </c>
    </row>
    <row r="109" spans="1:16">
      <c r="A109" t="s">
        <v>1146</v>
      </c>
      <c r="B109" t="s">
        <v>52</v>
      </c>
      <c r="C109" t="s">
        <v>1135</v>
      </c>
      <c r="D109" t="s">
        <v>1135</v>
      </c>
      <c r="E109" t="s">
        <v>49</v>
      </c>
      <c r="F109" t="s">
        <v>1147</v>
      </c>
      <c r="G109" s="381">
        <v>9489</v>
      </c>
      <c r="H109" s="381">
        <v>44340</v>
      </c>
      <c r="I109" s="381">
        <v>-23011</v>
      </c>
      <c r="J109" s="381">
        <v>-72906</v>
      </c>
      <c r="K109" s="381">
        <v>-2647</v>
      </c>
      <c r="L109" s="381">
        <v>44340</v>
      </c>
      <c r="M109" s="381">
        <v>-23011</v>
      </c>
      <c r="N109" s="381">
        <v>-72906</v>
      </c>
      <c r="O109" s="381">
        <v>0</v>
      </c>
      <c r="P109" s="381">
        <v>0</v>
      </c>
    </row>
    <row r="110" spans="1:16">
      <c r="A110" t="s">
        <v>1326</v>
      </c>
      <c r="B110" t="s">
        <v>146</v>
      </c>
      <c r="C110" t="s">
        <v>1135</v>
      </c>
      <c r="D110" t="s">
        <v>1135</v>
      </c>
      <c r="E110" t="s">
        <v>49</v>
      </c>
      <c r="F110" t="s">
        <v>1327</v>
      </c>
      <c r="G110" s="381">
        <v>-0.33</v>
      </c>
      <c r="H110" s="381">
        <v>20093.099999999999</v>
      </c>
      <c r="I110" s="381">
        <v>22504.89</v>
      </c>
      <c r="J110" s="381">
        <v>-42598.1</v>
      </c>
      <c r="K110" s="381">
        <v>0.71</v>
      </c>
      <c r="L110" s="381">
        <v>20093.099999999999</v>
      </c>
      <c r="M110" s="381">
        <v>22504.89</v>
      </c>
      <c r="N110" s="381">
        <v>-42598.1</v>
      </c>
      <c r="O110" s="381">
        <v>0</v>
      </c>
      <c r="P110" s="381">
        <v>0</v>
      </c>
    </row>
    <row r="111" spans="1:16">
      <c r="A111" t="s">
        <v>1339</v>
      </c>
      <c r="B111" t="s">
        <v>148</v>
      </c>
      <c r="C111" t="s">
        <v>1135</v>
      </c>
      <c r="D111" t="s">
        <v>1135</v>
      </c>
      <c r="E111" t="s">
        <v>49</v>
      </c>
      <c r="F111" t="s">
        <v>1340</v>
      </c>
      <c r="G111" s="381">
        <v>0</v>
      </c>
      <c r="H111" s="381">
        <v>0.34</v>
      </c>
      <c r="I111" s="381">
        <v>-10499.16</v>
      </c>
      <c r="J111" s="381">
        <v>-5667.84</v>
      </c>
      <c r="K111" s="381">
        <v>0</v>
      </c>
      <c r="L111" s="381">
        <v>0.34</v>
      </c>
      <c r="M111" s="381">
        <v>-10499.16</v>
      </c>
      <c r="N111" s="381">
        <v>-5667.84</v>
      </c>
      <c r="O111" s="381">
        <v>0</v>
      </c>
      <c r="P111" s="381">
        <v>0</v>
      </c>
    </row>
    <row r="112" spans="1:16">
      <c r="A112" t="s">
        <v>1924</v>
      </c>
      <c r="B112" t="s">
        <v>471</v>
      </c>
      <c r="C112" t="s">
        <v>1135</v>
      </c>
      <c r="D112" t="s">
        <v>1135</v>
      </c>
      <c r="E112" t="s">
        <v>389</v>
      </c>
      <c r="F112" t="s">
        <v>1319</v>
      </c>
      <c r="G112" s="381">
        <v>101112.98</v>
      </c>
      <c r="H112" s="381"/>
      <c r="I112" s="381">
        <v>245366</v>
      </c>
      <c r="J112" s="381">
        <v>122683.66</v>
      </c>
      <c r="K112" s="381">
        <v>144254.16</v>
      </c>
      <c r="L112" s="381"/>
      <c r="M112" s="381">
        <v>245366</v>
      </c>
      <c r="N112" s="381">
        <v>122683.66</v>
      </c>
      <c r="O112" s="381">
        <v>122683</v>
      </c>
      <c r="P112" s="381">
        <v>122683</v>
      </c>
    </row>
    <row r="113" spans="1:16">
      <c r="A113" t="s">
        <v>1789</v>
      </c>
      <c r="B113" t="s">
        <v>416</v>
      </c>
      <c r="C113" t="s">
        <v>1135</v>
      </c>
      <c r="D113" t="s">
        <v>1135</v>
      </c>
      <c r="E113" t="s">
        <v>389</v>
      </c>
      <c r="F113" t="s">
        <v>1147</v>
      </c>
      <c r="G113" s="381">
        <v>139</v>
      </c>
      <c r="H113" s="381">
        <v>1821</v>
      </c>
      <c r="I113" s="381">
        <v>140</v>
      </c>
      <c r="J113" s="381">
        <v>140</v>
      </c>
      <c r="K113" s="381">
        <v>2028.9999999999998</v>
      </c>
      <c r="L113" s="381">
        <v>1821</v>
      </c>
      <c r="M113" s="381">
        <v>140</v>
      </c>
      <c r="N113" s="381">
        <v>140</v>
      </c>
      <c r="O113" s="381">
        <v>0</v>
      </c>
      <c r="P113" s="381">
        <v>0</v>
      </c>
    </row>
    <row r="114" spans="1:16">
      <c r="A114" t="s">
        <v>1953</v>
      </c>
      <c r="B114" t="s">
        <v>491</v>
      </c>
      <c r="C114" t="s">
        <v>1135</v>
      </c>
      <c r="D114" t="s">
        <v>1135</v>
      </c>
      <c r="E114" t="s">
        <v>389</v>
      </c>
      <c r="F114" t="s">
        <v>1327</v>
      </c>
      <c r="G114" s="381">
        <v>-0.28999999999999998</v>
      </c>
      <c r="H114" s="381">
        <v>7.0000000000000007E-2</v>
      </c>
      <c r="I114" s="381">
        <v>-0.2</v>
      </c>
      <c r="J114" s="381">
        <v>0.16</v>
      </c>
      <c r="K114" s="381">
        <v>71439.95</v>
      </c>
      <c r="L114" s="381">
        <v>7.0000000000000007E-2</v>
      </c>
      <c r="M114" s="381">
        <v>-0.2</v>
      </c>
      <c r="N114" s="381">
        <v>0.16</v>
      </c>
      <c r="O114" s="381">
        <v>0</v>
      </c>
      <c r="P114" s="381">
        <v>0</v>
      </c>
    </row>
    <row r="115" spans="1:16">
      <c r="A115" t="s">
        <v>2555</v>
      </c>
      <c r="B115" t="s">
        <v>870</v>
      </c>
      <c r="C115" t="s">
        <v>1135</v>
      </c>
      <c r="D115" t="s">
        <v>1135</v>
      </c>
      <c r="E115" t="s">
        <v>639</v>
      </c>
      <c r="F115" t="s">
        <v>2556</v>
      </c>
      <c r="G115" s="381">
        <v>0</v>
      </c>
      <c r="H115" s="381"/>
      <c r="I115" s="381"/>
      <c r="J115" s="381"/>
      <c r="K115" s="381">
        <v>0</v>
      </c>
      <c r="L115" s="381"/>
      <c r="M115" s="381"/>
      <c r="N115" s="381"/>
      <c r="O115" s="381"/>
      <c r="P115" s="381"/>
    </row>
    <row r="116" spans="1:16">
      <c r="A116" t="s">
        <v>2587</v>
      </c>
      <c r="B116" t="s">
        <v>893</v>
      </c>
      <c r="C116" t="s">
        <v>1135</v>
      </c>
      <c r="D116" t="s">
        <v>1135</v>
      </c>
      <c r="E116" t="s">
        <v>639</v>
      </c>
      <c r="F116" t="s">
        <v>2588</v>
      </c>
      <c r="G116" s="381">
        <v>0</v>
      </c>
      <c r="H116" s="381"/>
      <c r="I116" s="381"/>
      <c r="J116" s="381"/>
      <c r="K116" s="381">
        <v>0</v>
      </c>
      <c r="L116" s="381"/>
      <c r="M116" s="381"/>
      <c r="N116" s="381"/>
      <c r="O116" s="381"/>
      <c r="P116" s="381"/>
    </row>
    <row r="117" spans="1:16">
      <c r="A117" t="s">
        <v>2248</v>
      </c>
      <c r="B117" t="s">
        <v>667</v>
      </c>
      <c r="C117" t="s">
        <v>1135</v>
      </c>
      <c r="D117" t="s">
        <v>1135</v>
      </c>
      <c r="E117" t="s">
        <v>639</v>
      </c>
      <c r="F117" t="s">
        <v>1138</v>
      </c>
      <c r="G117" s="381">
        <v>83.61</v>
      </c>
      <c r="H117" s="381"/>
      <c r="I117" s="381">
        <v>3777.33</v>
      </c>
      <c r="J117" s="381">
        <v>0</v>
      </c>
      <c r="K117" s="381">
        <v>0</v>
      </c>
      <c r="L117" s="381"/>
      <c r="M117" s="381">
        <v>3777.33</v>
      </c>
      <c r="N117" s="381">
        <v>0</v>
      </c>
      <c r="O117" s="381">
        <v>0</v>
      </c>
      <c r="P117" s="381">
        <v>0</v>
      </c>
    </row>
    <row r="118" spans="1:16">
      <c r="A118" t="s">
        <v>2594</v>
      </c>
      <c r="B118" t="s">
        <v>899</v>
      </c>
      <c r="C118" t="s">
        <v>1135</v>
      </c>
      <c r="D118" t="s">
        <v>1135</v>
      </c>
      <c r="E118" t="s">
        <v>639</v>
      </c>
      <c r="F118" t="s">
        <v>1327</v>
      </c>
      <c r="G118" s="381">
        <v>-0.34</v>
      </c>
      <c r="H118" s="381">
        <v>0.32</v>
      </c>
      <c r="I118" s="381">
        <v>-0.45</v>
      </c>
      <c r="J118" s="381">
        <v>0.43</v>
      </c>
      <c r="K118" s="381">
        <v>30694.750000000004</v>
      </c>
      <c r="L118" s="381">
        <v>0.32</v>
      </c>
      <c r="M118" s="381">
        <v>-0.45</v>
      </c>
      <c r="N118" s="381">
        <v>0.43</v>
      </c>
      <c r="O118" s="381">
        <v>0</v>
      </c>
      <c r="P118" s="381">
        <v>0</v>
      </c>
    </row>
    <row r="119" spans="1:16">
      <c r="A119" t="s">
        <v>2829</v>
      </c>
      <c r="B119" t="s">
        <v>1028</v>
      </c>
      <c r="C119" t="s">
        <v>1135</v>
      </c>
      <c r="D119" t="s">
        <v>1135</v>
      </c>
      <c r="E119" t="s">
        <v>1027</v>
      </c>
      <c r="F119" t="s">
        <v>2830</v>
      </c>
      <c r="G119" s="381">
        <v>1577</v>
      </c>
      <c r="H119" s="381">
        <v>876</v>
      </c>
      <c r="I119" s="381">
        <v>1712</v>
      </c>
      <c r="J119" s="381">
        <v>2153</v>
      </c>
      <c r="K119" s="381">
        <v>1546.0000000000002</v>
      </c>
      <c r="L119" s="381">
        <v>876</v>
      </c>
      <c r="M119" s="381">
        <v>1712</v>
      </c>
      <c r="N119" s="381">
        <v>2153</v>
      </c>
      <c r="O119" s="381">
        <v>0</v>
      </c>
      <c r="P119" s="381">
        <v>0</v>
      </c>
    </row>
    <row r="120" spans="1:16">
      <c r="A120" t="s">
        <v>2899</v>
      </c>
      <c r="B120" t="s">
        <v>23</v>
      </c>
      <c r="C120" t="s">
        <v>1135</v>
      </c>
      <c r="D120" t="s">
        <v>1135</v>
      </c>
      <c r="E120" t="s">
        <v>22</v>
      </c>
      <c r="F120" t="s">
        <v>2868</v>
      </c>
      <c r="G120" s="381">
        <v>0</v>
      </c>
      <c r="H120" s="381"/>
      <c r="I120" s="381"/>
      <c r="J120" s="381"/>
      <c r="K120" s="381">
        <v>0</v>
      </c>
      <c r="L120" s="381"/>
      <c r="M120" s="381"/>
      <c r="N120" s="381"/>
      <c r="O120" s="381">
        <v>0</v>
      </c>
      <c r="P120" s="381">
        <v>0</v>
      </c>
    </row>
    <row r="121" spans="1:16">
      <c r="A121" t="s">
        <v>2902</v>
      </c>
      <c r="B121" t="s">
        <v>26</v>
      </c>
      <c r="C121" t="s">
        <v>1135</v>
      </c>
      <c r="D121" t="s">
        <v>1135</v>
      </c>
      <c r="E121" t="s">
        <v>22</v>
      </c>
      <c r="F121" t="s">
        <v>2870</v>
      </c>
      <c r="G121" s="381">
        <v>0</v>
      </c>
      <c r="H121" s="381"/>
      <c r="I121" s="381"/>
      <c r="J121" s="381"/>
      <c r="K121" s="381">
        <v>0</v>
      </c>
      <c r="L121" s="381"/>
      <c r="M121" s="381"/>
      <c r="N121" s="381"/>
      <c r="O121" s="381">
        <v>0</v>
      </c>
      <c r="P121" s="381">
        <v>0</v>
      </c>
    </row>
    <row r="122" spans="1:16">
      <c r="A122" t="s">
        <v>2905</v>
      </c>
      <c r="B122" t="s">
        <v>28</v>
      </c>
      <c r="C122" t="s">
        <v>1135</v>
      </c>
      <c r="D122" t="s">
        <v>1135</v>
      </c>
      <c r="E122" t="s">
        <v>22</v>
      </c>
      <c r="F122" t="s">
        <v>2872</v>
      </c>
      <c r="G122" s="381"/>
      <c r="H122" s="381"/>
      <c r="I122" s="381"/>
      <c r="J122" s="381"/>
      <c r="K122" s="381"/>
      <c r="L122" s="381"/>
      <c r="M122" s="381"/>
      <c r="N122" s="381"/>
      <c r="O122" s="381">
        <v>0</v>
      </c>
      <c r="P122" s="381">
        <v>0</v>
      </c>
    </row>
    <row r="123" spans="1:16">
      <c r="A123" t="s">
        <v>2155</v>
      </c>
      <c r="B123" t="s">
        <v>609</v>
      </c>
      <c r="C123" t="s">
        <v>1135</v>
      </c>
      <c r="D123" t="s">
        <v>1135</v>
      </c>
      <c r="E123" t="s">
        <v>602</v>
      </c>
      <c r="F123" t="s">
        <v>611</v>
      </c>
      <c r="G123" s="381">
        <v>61</v>
      </c>
      <c r="H123" s="381">
        <v>-0.08</v>
      </c>
      <c r="I123" s="381">
        <v>69.08</v>
      </c>
      <c r="J123" s="381">
        <v>0</v>
      </c>
      <c r="K123" s="381">
        <v>104</v>
      </c>
      <c r="L123" s="381">
        <v>-0.08</v>
      </c>
      <c r="M123" s="381">
        <v>69.08</v>
      </c>
      <c r="N123" s="381">
        <v>0</v>
      </c>
      <c r="O123" s="381">
        <v>0</v>
      </c>
      <c r="P123" s="381">
        <v>0</v>
      </c>
    </row>
    <row r="124" spans="1:16">
      <c r="A124" t="s">
        <v>2482</v>
      </c>
      <c r="B124" t="s">
        <v>819</v>
      </c>
      <c r="C124" t="s">
        <v>1135</v>
      </c>
      <c r="D124" t="s">
        <v>1135</v>
      </c>
      <c r="E124" t="s">
        <v>639</v>
      </c>
      <c r="F124" t="s">
        <v>2483</v>
      </c>
      <c r="G124" s="381">
        <v>0</v>
      </c>
      <c r="H124" s="381"/>
      <c r="I124" s="381"/>
      <c r="J124" s="381"/>
      <c r="K124" s="381">
        <v>390539.25000000006</v>
      </c>
      <c r="L124" s="381"/>
      <c r="M124" s="381"/>
      <c r="N124" s="381"/>
      <c r="O124" s="381"/>
      <c r="P124" s="381">
        <v>290275.11</v>
      </c>
    </row>
    <row r="125" spans="1:16">
      <c r="A125" t="s">
        <v>1188</v>
      </c>
      <c r="B125" t="s">
        <v>65</v>
      </c>
      <c r="C125" t="s">
        <v>1135</v>
      </c>
      <c r="D125" t="s">
        <v>1135</v>
      </c>
      <c r="E125" t="s">
        <v>49</v>
      </c>
      <c r="F125" t="s">
        <v>1189</v>
      </c>
      <c r="G125" s="381">
        <v>15866.15</v>
      </c>
      <c r="H125" s="381">
        <v>14166</v>
      </c>
      <c r="I125" s="381">
        <v>18835.37</v>
      </c>
      <c r="J125" s="381">
        <v>16863.689999999999</v>
      </c>
      <c r="K125" s="381">
        <v>15866.160000000003</v>
      </c>
      <c r="L125" s="381">
        <v>14166</v>
      </c>
      <c r="M125" s="381">
        <v>18835.37</v>
      </c>
      <c r="N125" s="381">
        <v>16863.689999999999</v>
      </c>
      <c r="O125" s="381">
        <v>11558</v>
      </c>
      <c r="P125" s="381">
        <v>17000</v>
      </c>
    </row>
    <row r="126" spans="1:16">
      <c r="A126" t="s">
        <v>1193</v>
      </c>
      <c r="B126" t="s">
        <v>68</v>
      </c>
      <c r="C126" t="s">
        <v>1135</v>
      </c>
      <c r="D126" t="s">
        <v>1135</v>
      </c>
      <c r="E126" t="s">
        <v>49</v>
      </c>
      <c r="F126" t="s">
        <v>1194</v>
      </c>
      <c r="G126" s="381">
        <v>18336.629999999997</v>
      </c>
      <c r="H126" s="381">
        <v>16372</v>
      </c>
      <c r="I126" s="381">
        <v>18336.62</v>
      </c>
      <c r="J126" s="381">
        <v>22920.78</v>
      </c>
      <c r="K126" s="381">
        <v>18336.63</v>
      </c>
      <c r="L126" s="381">
        <v>16372</v>
      </c>
      <c r="M126" s="381">
        <v>18336.62</v>
      </c>
      <c r="N126" s="381">
        <v>22920.78</v>
      </c>
      <c r="O126" s="381">
        <v>19824</v>
      </c>
      <c r="P126" s="381">
        <v>19824</v>
      </c>
    </row>
    <row r="127" spans="1:16">
      <c r="A127" t="s">
        <v>2468</v>
      </c>
      <c r="B127" t="s">
        <v>814</v>
      </c>
      <c r="C127" t="s">
        <v>1135</v>
      </c>
      <c r="D127" t="s">
        <v>1135</v>
      </c>
      <c r="E127" t="s">
        <v>639</v>
      </c>
      <c r="F127" t="s">
        <v>2469</v>
      </c>
      <c r="G127" s="381">
        <v>0</v>
      </c>
      <c r="H127" s="381"/>
      <c r="I127" s="381"/>
      <c r="J127" s="381"/>
      <c r="K127" s="381">
        <v>0</v>
      </c>
      <c r="L127" s="381"/>
      <c r="M127" s="381"/>
      <c r="N127" s="381"/>
      <c r="O127" s="381"/>
      <c r="P127" s="381"/>
    </row>
    <row r="128" spans="1:16">
      <c r="A128" t="s">
        <v>2421</v>
      </c>
      <c r="B128" t="s">
        <v>784</v>
      </c>
      <c r="C128" t="s">
        <v>1135</v>
      </c>
      <c r="D128" t="s">
        <v>1135</v>
      </c>
      <c r="E128" t="s">
        <v>639</v>
      </c>
      <c r="F128" t="s">
        <v>2422</v>
      </c>
      <c r="G128" s="381">
        <v>0</v>
      </c>
      <c r="H128" s="381"/>
      <c r="I128" s="381"/>
      <c r="J128" s="381">
        <v>-551382.25</v>
      </c>
      <c r="K128" s="381">
        <v>0</v>
      </c>
      <c r="L128" s="381"/>
      <c r="M128" s="381"/>
      <c r="N128" s="381">
        <v>-551382.25</v>
      </c>
      <c r="O128" s="381">
        <v>0</v>
      </c>
      <c r="P128" s="381">
        <v>0</v>
      </c>
    </row>
    <row r="129" spans="1:16">
      <c r="A129" t="s">
        <v>2337</v>
      </c>
      <c r="B129" t="s">
        <v>702</v>
      </c>
      <c r="C129" t="s">
        <v>1135</v>
      </c>
      <c r="D129" t="s">
        <v>1135</v>
      </c>
      <c r="E129" t="s">
        <v>639</v>
      </c>
      <c r="F129" t="s">
        <v>2338</v>
      </c>
      <c r="G129" s="381">
        <v>0</v>
      </c>
      <c r="H129" s="381">
        <v>3026811.49</v>
      </c>
      <c r="I129" s="381">
        <v>-3073725.16</v>
      </c>
      <c r="J129" s="381">
        <v>803616.54</v>
      </c>
      <c r="K129" s="381">
        <v>1470681.36</v>
      </c>
      <c r="L129" s="381">
        <v>3026811.49</v>
      </c>
      <c r="M129" s="381">
        <v>-3073725.16</v>
      </c>
      <c r="N129" s="381">
        <v>803616.54</v>
      </c>
      <c r="O129" s="381">
        <v>0</v>
      </c>
      <c r="P129" s="381">
        <v>504468</v>
      </c>
    </row>
    <row r="130" spans="1:16">
      <c r="A130" t="s">
        <v>2395</v>
      </c>
      <c r="B130" t="s">
        <v>758</v>
      </c>
      <c r="C130" t="s">
        <v>1135</v>
      </c>
      <c r="D130" t="s">
        <v>1135</v>
      </c>
      <c r="E130" t="s">
        <v>639</v>
      </c>
      <c r="F130" t="s">
        <v>2396</v>
      </c>
      <c r="G130" s="381">
        <v>0</v>
      </c>
      <c r="H130" s="381">
        <v>2542329.37</v>
      </c>
      <c r="I130" s="381">
        <v>-2118607.81</v>
      </c>
      <c r="J130" s="381">
        <v>211860.78</v>
      </c>
      <c r="K130" s="381">
        <v>0</v>
      </c>
      <c r="L130" s="381">
        <v>2542329.37</v>
      </c>
      <c r="M130" s="381">
        <v>-2118607.81</v>
      </c>
      <c r="N130" s="381">
        <v>211860.78</v>
      </c>
      <c r="O130" s="381">
        <v>0</v>
      </c>
      <c r="P130" s="381">
        <v>423721.56</v>
      </c>
    </row>
    <row r="131" spans="1:16">
      <c r="A131" t="s">
        <v>2510</v>
      </c>
      <c r="B131" t="s">
        <v>841</v>
      </c>
      <c r="C131" t="s">
        <v>1135</v>
      </c>
      <c r="D131" t="s">
        <v>1135</v>
      </c>
      <c r="E131" t="s">
        <v>639</v>
      </c>
      <c r="F131" t="s">
        <v>2511</v>
      </c>
      <c r="G131" s="381">
        <v>0</v>
      </c>
      <c r="H131" s="381">
        <v>3254947.27</v>
      </c>
      <c r="I131" s="381">
        <v>-2712456.06</v>
      </c>
      <c r="J131" s="381">
        <v>271245.61</v>
      </c>
      <c r="K131" s="381">
        <v>0</v>
      </c>
      <c r="L131" s="381">
        <v>3254947.27</v>
      </c>
      <c r="M131" s="381">
        <v>-2712456.06</v>
      </c>
      <c r="N131" s="381">
        <v>271245.61</v>
      </c>
      <c r="O131" s="381">
        <v>0</v>
      </c>
      <c r="P131" s="381">
        <v>542492</v>
      </c>
    </row>
    <row r="132" spans="1:16">
      <c r="A132" t="s">
        <v>2148</v>
      </c>
      <c r="B132" t="s">
        <v>603</v>
      </c>
      <c r="C132" t="s">
        <v>1135</v>
      </c>
      <c r="D132" t="s">
        <v>1135</v>
      </c>
      <c r="E132" t="s">
        <v>602</v>
      </c>
      <c r="F132" t="s">
        <v>2149</v>
      </c>
      <c r="G132" s="381">
        <v>0</v>
      </c>
      <c r="H132" s="381">
        <v>4356992.08</v>
      </c>
      <c r="I132" s="381">
        <v>-4356992.08</v>
      </c>
      <c r="J132" s="381"/>
      <c r="K132" s="381">
        <v>0</v>
      </c>
      <c r="L132" s="381">
        <v>4356992.08</v>
      </c>
      <c r="M132" s="381">
        <v>-4356992.08</v>
      </c>
      <c r="N132" s="381"/>
      <c r="O132" s="381"/>
      <c r="P132" s="381"/>
    </row>
    <row r="133" spans="1:16">
      <c r="A133" t="s">
        <v>2423</v>
      </c>
      <c r="B133" t="s">
        <v>786</v>
      </c>
      <c r="C133" t="s">
        <v>1135</v>
      </c>
      <c r="D133" t="s">
        <v>1135</v>
      </c>
      <c r="E133" t="s">
        <v>639</v>
      </c>
      <c r="F133" t="s">
        <v>2149</v>
      </c>
      <c r="G133" s="381">
        <v>0</v>
      </c>
      <c r="H133" s="381"/>
      <c r="I133" s="381">
        <v>726165.35</v>
      </c>
      <c r="J133" s="381">
        <v>363082.67</v>
      </c>
      <c r="K133" s="381">
        <v>726165.34</v>
      </c>
      <c r="L133" s="381"/>
      <c r="M133" s="381">
        <v>726165.35</v>
      </c>
      <c r="N133" s="381">
        <v>363082.67</v>
      </c>
      <c r="O133" s="381">
        <v>0</v>
      </c>
      <c r="P133" s="381">
        <v>726164</v>
      </c>
    </row>
    <row r="134" spans="1:16">
      <c r="A134" t="s">
        <v>2486</v>
      </c>
      <c r="B134" t="s">
        <v>822</v>
      </c>
      <c r="C134" t="s">
        <v>1135</v>
      </c>
      <c r="D134" t="s">
        <v>1135</v>
      </c>
      <c r="E134" t="s">
        <v>639</v>
      </c>
      <c r="F134" t="s">
        <v>2487</v>
      </c>
      <c r="G134" s="381">
        <v>0</v>
      </c>
      <c r="H134" s="381"/>
      <c r="I134" s="381"/>
      <c r="J134" s="381">
        <v>-212451</v>
      </c>
      <c r="K134" s="381">
        <v>0</v>
      </c>
      <c r="L134" s="381"/>
      <c r="M134" s="381"/>
      <c r="N134" s="381">
        <v>-212451</v>
      </c>
      <c r="O134" s="381">
        <v>0</v>
      </c>
      <c r="P134" s="381">
        <v>0</v>
      </c>
    </row>
    <row r="135" spans="1:16">
      <c r="A135" t="s">
        <v>2505</v>
      </c>
      <c r="B135" t="s">
        <v>837</v>
      </c>
      <c r="C135" t="s">
        <v>1135</v>
      </c>
      <c r="D135" t="s">
        <v>1135</v>
      </c>
      <c r="E135" t="s">
        <v>639</v>
      </c>
      <c r="F135" t="s">
        <v>2506</v>
      </c>
      <c r="G135" s="381">
        <v>0</v>
      </c>
      <c r="H135" s="381"/>
      <c r="I135" s="381"/>
      <c r="J135" s="381"/>
      <c r="K135" s="381">
        <v>0</v>
      </c>
      <c r="L135" s="381"/>
      <c r="M135" s="381"/>
      <c r="N135" s="381"/>
      <c r="O135" s="381"/>
      <c r="P135" s="381">
        <v>107212</v>
      </c>
    </row>
    <row r="136" spans="1:16">
      <c r="A136" t="s">
        <v>2507</v>
      </c>
      <c r="B136" t="s">
        <v>839</v>
      </c>
      <c r="C136" t="s">
        <v>1135</v>
      </c>
      <c r="D136" t="s">
        <v>1135</v>
      </c>
      <c r="E136" t="s">
        <v>639</v>
      </c>
      <c r="F136" t="s">
        <v>2508</v>
      </c>
      <c r="G136" s="381">
        <v>0</v>
      </c>
      <c r="H136" s="381">
        <v>1155005.0900000001</v>
      </c>
      <c r="I136" s="381">
        <v>-962504.24</v>
      </c>
      <c r="J136" s="381">
        <v>96250.42</v>
      </c>
      <c r="K136" s="381">
        <v>192500.84</v>
      </c>
      <c r="L136" s="381">
        <v>1155005.0900000001</v>
      </c>
      <c r="M136" s="381">
        <v>-962504.24</v>
      </c>
      <c r="N136" s="381">
        <v>96250.42</v>
      </c>
      <c r="O136" s="381">
        <v>0</v>
      </c>
      <c r="P136" s="381">
        <v>192509.34</v>
      </c>
    </row>
    <row r="137" spans="1:16">
      <c r="A137" t="s">
        <v>2462</v>
      </c>
      <c r="B137" t="s">
        <v>809</v>
      </c>
      <c r="C137" t="s">
        <v>1135</v>
      </c>
      <c r="D137" t="s">
        <v>1135</v>
      </c>
      <c r="E137" t="s">
        <v>639</v>
      </c>
      <c r="F137" t="s">
        <v>2463</v>
      </c>
      <c r="G137" s="381">
        <v>0</v>
      </c>
      <c r="H137" s="381">
        <v>818279</v>
      </c>
      <c r="I137" s="381">
        <v>-636439.42000000004</v>
      </c>
      <c r="J137" s="381">
        <v>90919.92</v>
      </c>
      <c r="K137" s="381">
        <v>181839.84</v>
      </c>
      <c r="L137" s="381">
        <v>818279</v>
      </c>
      <c r="M137" s="381">
        <v>-636439.42000000004</v>
      </c>
      <c r="N137" s="381">
        <v>90919.92</v>
      </c>
      <c r="O137" s="381">
        <v>0</v>
      </c>
      <c r="P137" s="381">
        <v>181839.84</v>
      </c>
    </row>
    <row r="138" spans="1:16">
      <c r="A138" t="s">
        <v>2426</v>
      </c>
      <c r="B138" t="s">
        <v>787</v>
      </c>
      <c r="C138" t="s">
        <v>1135</v>
      </c>
      <c r="D138" t="s">
        <v>1135</v>
      </c>
      <c r="E138" t="s">
        <v>639</v>
      </c>
      <c r="F138" t="s">
        <v>2427</v>
      </c>
      <c r="G138" s="381">
        <v>0</v>
      </c>
      <c r="H138" s="381"/>
      <c r="I138" s="381"/>
      <c r="J138" s="381"/>
      <c r="K138" s="381">
        <v>0</v>
      </c>
      <c r="L138" s="381"/>
      <c r="M138" s="381"/>
      <c r="N138" s="381"/>
      <c r="O138" s="381"/>
      <c r="P138" s="381"/>
    </row>
    <row r="139" spans="1:16">
      <c r="A139" t="s">
        <v>2845</v>
      </c>
      <c r="B139" t="s">
        <v>1038</v>
      </c>
      <c r="C139" t="s">
        <v>1135</v>
      </c>
      <c r="D139" t="s">
        <v>1135</v>
      </c>
      <c r="E139" t="s">
        <v>1037</v>
      </c>
      <c r="F139" t="s">
        <v>2846</v>
      </c>
      <c r="G139" s="381">
        <v>479</v>
      </c>
      <c r="H139" s="381"/>
      <c r="I139" s="381">
        <v>-101</v>
      </c>
      <c r="J139" s="381">
        <v>105</v>
      </c>
      <c r="K139" s="381">
        <v>66</v>
      </c>
      <c r="L139" s="381"/>
      <c r="M139" s="381">
        <v>-101</v>
      </c>
      <c r="N139" s="381">
        <v>105</v>
      </c>
      <c r="O139" s="381">
        <v>0</v>
      </c>
      <c r="P139" s="381">
        <v>0</v>
      </c>
    </row>
    <row r="140" spans="1:16">
      <c r="A140" t="s">
        <v>1369</v>
      </c>
      <c r="B140" t="s">
        <v>164</v>
      </c>
      <c r="C140" t="s">
        <v>1345</v>
      </c>
      <c r="D140" t="s">
        <v>1344</v>
      </c>
      <c r="E140" t="s">
        <v>49</v>
      </c>
      <c r="F140" t="s">
        <v>1370</v>
      </c>
      <c r="G140" s="381">
        <v>0</v>
      </c>
      <c r="H140" s="381"/>
      <c r="I140" s="381"/>
      <c r="J140" s="381"/>
      <c r="K140" s="381">
        <v>0</v>
      </c>
      <c r="L140" s="381"/>
      <c r="M140" s="381"/>
      <c r="N140" s="381"/>
      <c r="O140" s="381">
        <v>0</v>
      </c>
      <c r="P140" s="381">
        <v>11100</v>
      </c>
    </row>
    <row r="141" spans="1:16">
      <c r="A141" t="s">
        <v>1978</v>
      </c>
      <c r="B141" t="s">
        <v>507</v>
      </c>
      <c r="C141" t="s">
        <v>1345</v>
      </c>
      <c r="D141" t="s">
        <v>1344</v>
      </c>
      <c r="E141" t="s">
        <v>389</v>
      </c>
      <c r="F141" t="s">
        <v>1979</v>
      </c>
      <c r="G141" s="381">
        <v>0</v>
      </c>
      <c r="H141" s="381"/>
      <c r="I141" s="381"/>
      <c r="J141" s="381"/>
      <c r="K141" s="381">
        <v>0</v>
      </c>
      <c r="L141" s="381"/>
      <c r="M141" s="381"/>
      <c r="N141" s="381"/>
      <c r="O141" s="381">
        <v>1200</v>
      </c>
      <c r="P141" s="381">
        <v>1200</v>
      </c>
    </row>
    <row r="142" spans="1:16">
      <c r="A142" t="s">
        <v>1984</v>
      </c>
      <c r="B142" t="s">
        <v>509</v>
      </c>
      <c r="C142" t="s">
        <v>1345</v>
      </c>
      <c r="D142" t="s">
        <v>1344</v>
      </c>
      <c r="E142" t="s">
        <v>389</v>
      </c>
      <c r="F142" t="s">
        <v>1985</v>
      </c>
      <c r="G142" s="381">
        <v>0</v>
      </c>
      <c r="H142" s="381"/>
      <c r="I142" s="381"/>
      <c r="J142" s="381"/>
      <c r="K142" s="381">
        <v>0</v>
      </c>
      <c r="L142" s="381"/>
      <c r="M142" s="381"/>
      <c r="N142" s="381"/>
      <c r="O142" s="381">
        <v>250</v>
      </c>
      <c r="P142" s="381">
        <v>250</v>
      </c>
    </row>
    <row r="143" spans="1:16">
      <c r="A143" t="s">
        <v>2644</v>
      </c>
      <c r="B143" t="s">
        <v>929</v>
      </c>
      <c r="C143" t="s">
        <v>1345</v>
      </c>
      <c r="D143" t="s">
        <v>1344</v>
      </c>
      <c r="E143" t="s">
        <v>639</v>
      </c>
      <c r="F143" t="s">
        <v>2645</v>
      </c>
      <c r="G143" s="381">
        <v>0</v>
      </c>
      <c r="H143" s="381"/>
      <c r="I143" s="381">
        <v>227</v>
      </c>
      <c r="J143" s="381">
        <v>0</v>
      </c>
      <c r="K143" s="381">
        <v>0</v>
      </c>
      <c r="L143" s="381"/>
      <c r="M143" s="381">
        <v>227</v>
      </c>
      <c r="N143" s="381">
        <v>0</v>
      </c>
      <c r="O143" s="381">
        <v>0</v>
      </c>
      <c r="P143" s="381">
        <v>0</v>
      </c>
    </row>
    <row r="144" spans="1:16">
      <c r="A144" t="s">
        <v>2623</v>
      </c>
      <c r="B144" t="s">
        <v>915</v>
      </c>
      <c r="C144" t="s">
        <v>1345</v>
      </c>
      <c r="D144" t="s">
        <v>1344</v>
      </c>
      <c r="E144" t="s">
        <v>639</v>
      </c>
      <c r="F144" t="s">
        <v>818</v>
      </c>
      <c r="G144" s="381">
        <v>0</v>
      </c>
      <c r="H144" s="381"/>
      <c r="I144" s="381"/>
      <c r="J144" s="381">
        <v>10362.700000000001</v>
      </c>
      <c r="K144" s="381">
        <v>0</v>
      </c>
      <c r="L144" s="381"/>
      <c r="M144" s="381"/>
      <c r="N144" s="381">
        <v>10362.700000000001</v>
      </c>
      <c r="O144" s="381">
        <v>0</v>
      </c>
      <c r="P144" s="381">
        <v>0</v>
      </c>
    </row>
    <row r="145" spans="1:16">
      <c r="A145" t="s">
        <v>1966</v>
      </c>
      <c r="B145" t="s">
        <v>494</v>
      </c>
      <c r="C145" t="s">
        <v>1345</v>
      </c>
      <c r="D145" t="s">
        <v>1344</v>
      </c>
      <c r="E145" t="s">
        <v>389</v>
      </c>
      <c r="F145" t="s">
        <v>1967</v>
      </c>
      <c r="G145" s="381">
        <v>547.18999999999994</v>
      </c>
      <c r="H145" s="381">
        <v>540.58000000000004</v>
      </c>
      <c r="I145" s="381">
        <v>540.04999999999995</v>
      </c>
      <c r="J145" s="381">
        <v>511.61</v>
      </c>
      <c r="K145" s="381">
        <v>534.1099999999999</v>
      </c>
      <c r="L145" s="381">
        <v>540.58000000000004</v>
      </c>
      <c r="M145" s="381">
        <v>540.04999999999995</v>
      </c>
      <c r="N145" s="381">
        <v>511.61</v>
      </c>
      <c r="O145" s="381">
        <v>600</v>
      </c>
      <c r="P145" s="381">
        <v>600</v>
      </c>
    </row>
    <row r="146" spans="1:16">
      <c r="A146" t="s">
        <v>1970</v>
      </c>
      <c r="B146" t="s">
        <v>498</v>
      </c>
      <c r="C146" t="s">
        <v>1345</v>
      </c>
      <c r="D146" t="s">
        <v>1344</v>
      </c>
      <c r="E146" t="s">
        <v>389</v>
      </c>
      <c r="F146" t="s">
        <v>1971</v>
      </c>
      <c r="G146" s="381">
        <v>108.61</v>
      </c>
      <c r="H146" s="381">
        <v>129.77000000000001</v>
      </c>
      <c r="I146" s="381">
        <v>129.72</v>
      </c>
      <c r="J146" s="381">
        <v>95.27</v>
      </c>
      <c r="K146" s="381">
        <v>126.27000000000001</v>
      </c>
      <c r="L146" s="381">
        <v>129.77000000000001</v>
      </c>
      <c r="M146" s="381">
        <v>129.72</v>
      </c>
      <c r="N146" s="381">
        <v>95.27</v>
      </c>
      <c r="O146" s="381">
        <v>0</v>
      </c>
      <c r="P146" s="381">
        <v>0</v>
      </c>
    </row>
    <row r="147" spans="1:16">
      <c r="A147" t="s">
        <v>1986</v>
      </c>
      <c r="B147" t="s">
        <v>511</v>
      </c>
      <c r="C147" t="s">
        <v>1345</v>
      </c>
      <c r="D147" t="s">
        <v>1344</v>
      </c>
      <c r="E147" t="s">
        <v>389</v>
      </c>
      <c r="F147" t="s">
        <v>1855</v>
      </c>
      <c r="G147" s="381">
        <v>2158</v>
      </c>
      <c r="H147" s="381">
        <v>2359</v>
      </c>
      <c r="I147" s="381">
        <v>1615</v>
      </c>
      <c r="J147" s="381">
        <v>3188</v>
      </c>
      <c r="K147" s="381">
        <v>2091</v>
      </c>
      <c r="L147" s="381">
        <v>2359</v>
      </c>
      <c r="M147" s="381">
        <v>1615</v>
      </c>
      <c r="N147" s="381">
        <v>3188</v>
      </c>
      <c r="O147" s="381">
        <v>2200</v>
      </c>
      <c r="P147" s="381">
        <v>2200</v>
      </c>
    </row>
    <row r="148" spans="1:16">
      <c r="A148" t="s">
        <v>1964</v>
      </c>
      <c r="B148" t="s">
        <v>493</v>
      </c>
      <c r="C148" t="s">
        <v>1345</v>
      </c>
      <c r="D148" t="s">
        <v>1344</v>
      </c>
      <c r="E148" t="s">
        <v>389</v>
      </c>
      <c r="F148" t="s">
        <v>1174</v>
      </c>
      <c r="G148" s="381">
        <v>1019.5500000000001</v>
      </c>
      <c r="H148" s="381">
        <v>920.95</v>
      </c>
      <c r="I148" s="381">
        <v>1065.45</v>
      </c>
      <c r="J148" s="381">
        <v>1035.58</v>
      </c>
      <c r="K148" s="381">
        <v>110.62</v>
      </c>
      <c r="L148" s="381">
        <v>920.95</v>
      </c>
      <c r="M148" s="381">
        <v>1065.45</v>
      </c>
      <c r="N148" s="381">
        <v>1035.58</v>
      </c>
      <c r="O148" s="381">
        <v>1500</v>
      </c>
      <c r="P148" s="381">
        <v>1500</v>
      </c>
    </row>
    <row r="149" spans="1:16">
      <c r="A149" t="s">
        <v>2609</v>
      </c>
      <c r="B149" t="s">
        <v>904</v>
      </c>
      <c r="C149" t="s">
        <v>1345</v>
      </c>
      <c r="D149" t="s">
        <v>1344</v>
      </c>
      <c r="E149" t="s">
        <v>639</v>
      </c>
      <c r="F149" t="s">
        <v>1967</v>
      </c>
      <c r="G149" s="381">
        <v>279.45999999999998</v>
      </c>
      <c r="H149" s="381">
        <v>279.45999999999998</v>
      </c>
      <c r="I149" s="381">
        <v>279.45999999999998</v>
      </c>
      <c r="J149" s="381">
        <v>589.46</v>
      </c>
      <c r="K149" s="381">
        <v>279.45999999999998</v>
      </c>
      <c r="L149" s="381">
        <v>279.45999999999998</v>
      </c>
      <c r="M149" s="381">
        <v>279.45999999999998</v>
      </c>
      <c r="N149" s="381">
        <v>589.46</v>
      </c>
      <c r="O149" s="381">
        <v>279</v>
      </c>
      <c r="P149" s="381">
        <v>279</v>
      </c>
    </row>
    <row r="150" spans="1:16">
      <c r="A150" t="s">
        <v>2608</v>
      </c>
      <c r="B150" t="s">
        <v>903</v>
      </c>
      <c r="C150" t="s">
        <v>1345</v>
      </c>
      <c r="D150" t="s">
        <v>1344</v>
      </c>
      <c r="E150" t="s">
        <v>639</v>
      </c>
      <c r="F150" t="s">
        <v>1174</v>
      </c>
      <c r="G150" s="381">
        <v>236.11</v>
      </c>
      <c r="H150" s="381">
        <v>251.53</v>
      </c>
      <c r="I150" s="381">
        <v>246.74</v>
      </c>
      <c r="J150" s="381">
        <v>239.82</v>
      </c>
      <c r="K150" s="381">
        <v>0</v>
      </c>
      <c r="L150" s="381">
        <v>251.53</v>
      </c>
      <c r="M150" s="381">
        <v>246.74</v>
      </c>
      <c r="N150" s="381">
        <v>239.82</v>
      </c>
      <c r="O150" s="381">
        <v>350</v>
      </c>
      <c r="P150" s="381">
        <v>350</v>
      </c>
    </row>
    <row r="151" spans="1:16">
      <c r="A151" t="s">
        <v>2615</v>
      </c>
      <c r="B151" t="s">
        <v>907</v>
      </c>
      <c r="C151" t="s">
        <v>1345</v>
      </c>
      <c r="D151" t="s">
        <v>1344</v>
      </c>
      <c r="E151" t="s">
        <v>639</v>
      </c>
      <c r="F151" t="s">
        <v>2291</v>
      </c>
      <c r="G151" s="381">
        <v>0</v>
      </c>
      <c r="H151" s="381">
        <v>431</v>
      </c>
      <c r="I151" s="381">
        <v>0</v>
      </c>
      <c r="J151" s="381">
        <v>0</v>
      </c>
      <c r="K151" s="381">
        <v>0</v>
      </c>
      <c r="L151" s="381">
        <v>431</v>
      </c>
      <c r="M151" s="381">
        <v>0</v>
      </c>
      <c r="N151" s="381">
        <v>0</v>
      </c>
      <c r="O151" s="381">
        <v>500</v>
      </c>
      <c r="P151" s="381">
        <v>500</v>
      </c>
    </row>
    <row r="152" spans="1:16">
      <c r="A152" t="s">
        <v>1401</v>
      </c>
      <c r="B152" t="s">
        <v>186</v>
      </c>
      <c r="C152" t="s">
        <v>1345</v>
      </c>
      <c r="D152" t="s">
        <v>1344</v>
      </c>
      <c r="E152" t="s">
        <v>49</v>
      </c>
      <c r="F152" t="s">
        <v>1402</v>
      </c>
      <c r="G152" s="381">
        <v>0</v>
      </c>
      <c r="H152" s="381"/>
      <c r="I152" s="381"/>
      <c r="J152" s="381"/>
      <c r="K152" s="381">
        <v>0</v>
      </c>
      <c r="L152" s="381"/>
      <c r="M152" s="381"/>
      <c r="N152" s="381"/>
      <c r="O152" s="381">
        <v>0</v>
      </c>
      <c r="P152" s="381">
        <v>0</v>
      </c>
    </row>
    <row r="153" spans="1:16">
      <c r="A153" t="s">
        <v>1973</v>
      </c>
      <c r="B153" t="s">
        <v>501</v>
      </c>
      <c r="C153" t="s">
        <v>1345</v>
      </c>
      <c r="D153" t="s">
        <v>1344</v>
      </c>
      <c r="E153" t="s">
        <v>389</v>
      </c>
      <c r="F153" t="s">
        <v>1402</v>
      </c>
      <c r="G153" s="381">
        <v>0</v>
      </c>
      <c r="H153" s="381"/>
      <c r="I153" s="381"/>
      <c r="J153" s="381">
        <v>6300</v>
      </c>
      <c r="K153" s="381">
        <v>4200</v>
      </c>
      <c r="L153" s="381"/>
      <c r="M153" s="381"/>
      <c r="N153" s="381">
        <v>6300</v>
      </c>
      <c r="O153" s="381">
        <v>2100</v>
      </c>
      <c r="P153" s="381">
        <v>2100</v>
      </c>
    </row>
    <row r="154" spans="1:16">
      <c r="A154" t="s">
        <v>1974</v>
      </c>
      <c r="B154" t="s">
        <v>502</v>
      </c>
      <c r="C154" t="s">
        <v>1345</v>
      </c>
      <c r="D154" t="s">
        <v>1344</v>
      </c>
      <c r="E154" t="s">
        <v>389</v>
      </c>
      <c r="F154" t="s">
        <v>1471</v>
      </c>
      <c r="G154" s="381">
        <v>0</v>
      </c>
      <c r="H154" s="381"/>
      <c r="I154" s="381"/>
      <c r="J154" s="381">
        <v>8751</v>
      </c>
      <c r="K154" s="381">
        <v>5834</v>
      </c>
      <c r="L154" s="381"/>
      <c r="M154" s="381"/>
      <c r="N154" s="381">
        <v>8751</v>
      </c>
      <c r="O154" s="381">
        <v>0</v>
      </c>
      <c r="P154" s="381">
        <v>0</v>
      </c>
    </row>
    <row r="155" spans="1:16">
      <c r="A155" t="s">
        <v>1394</v>
      </c>
      <c r="B155" t="s">
        <v>180</v>
      </c>
      <c r="C155" t="s">
        <v>1345</v>
      </c>
      <c r="D155" t="s">
        <v>1344</v>
      </c>
      <c r="E155" t="s">
        <v>49</v>
      </c>
      <c r="F155" t="s">
        <v>1395</v>
      </c>
      <c r="G155" s="381">
        <v>0</v>
      </c>
      <c r="H155" s="381"/>
      <c r="I155" s="381"/>
      <c r="J155" s="381"/>
      <c r="K155" s="381">
        <v>0</v>
      </c>
      <c r="L155" s="381"/>
      <c r="M155" s="381"/>
      <c r="N155" s="381"/>
      <c r="O155" s="381"/>
      <c r="P155" s="381"/>
    </row>
    <row r="156" spans="1:16">
      <c r="A156" t="s">
        <v>1396</v>
      </c>
      <c r="B156" t="s">
        <v>182</v>
      </c>
      <c r="C156" t="s">
        <v>1345</v>
      </c>
      <c r="D156" t="s">
        <v>1344</v>
      </c>
      <c r="E156" t="s">
        <v>49</v>
      </c>
      <c r="F156" t="s">
        <v>1397</v>
      </c>
      <c r="G156" s="381">
        <v>0</v>
      </c>
      <c r="H156" s="381"/>
      <c r="I156" s="381"/>
      <c r="J156" s="381"/>
      <c r="K156" s="381">
        <v>0</v>
      </c>
      <c r="L156" s="381"/>
      <c r="M156" s="381"/>
      <c r="N156" s="381"/>
      <c r="O156" s="381"/>
      <c r="P156" s="381"/>
    </row>
    <row r="157" spans="1:16">
      <c r="A157" t="s">
        <v>2621</v>
      </c>
      <c r="B157" t="s">
        <v>913</v>
      </c>
      <c r="C157" t="s">
        <v>1345</v>
      </c>
      <c r="D157" t="s">
        <v>1344</v>
      </c>
      <c r="E157" t="s">
        <v>639</v>
      </c>
      <c r="F157" t="s">
        <v>2622</v>
      </c>
      <c r="G157" s="381">
        <v>0</v>
      </c>
      <c r="H157" s="381"/>
      <c r="I157" s="381"/>
      <c r="J157" s="381"/>
      <c r="K157" s="381">
        <v>0</v>
      </c>
      <c r="L157" s="381"/>
      <c r="M157" s="381"/>
      <c r="N157" s="381"/>
      <c r="O157" s="381"/>
      <c r="P157" s="381"/>
    </row>
    <row r="158" spans="1:16">
      <c r="A158" t="s">
        <v>1361</v>
      </c>
      <c r="B158" t="s">
        <v>160</v>
      </c>
      <c r="C158" t="s">
        <v>1345</v>
      </c>
      <c r="D158" t="s">
        <v>1344</v>
      </c>
      <c r="E158" t="s">
        <v>49</v>
      </c>
      <c r="F158" t="s">
        <v>1362</v>
      </c>
      <c r="G158" s="381">
        <v>6266.17</v>
      </c>
      <c r="H158" s="381"/>
      <c r="I158" s="381">
        <v>-16768</v>
      </c>
      <c r="J158" s="381">
        <v>12756.15</v>
      </c>
      <c r="K158" s="381">
        <v>6266.17</v>
      </c>
      <c r="L158" s="381"/>
      <c r="M158" s="381">
        <v>-16768</v>
      </c>
      <c r="N158" s="381">
        <v>12756.15</v>
      </c>
      <c r="O158" s="381">
        <v>0</v>
      </c>
      <c r="P158" s="381">
        <v>4012</v>
      </c>
    </row>
    <row r="159" spans="1:16">
      <c r="A159" t="s">
        <v>1366</v>
      </c>
      <c r="B159" t="s">
        <v>162</v>
      </c>
      <c r="C159" t="s">
        <v>1345</v>
      </c>
      <c r="D159" t="s">
        <v>1344</v>
      </c>
      <c r="E159" t="s">
        <v>49</v>
      </c>
      <c r="F159" t="s">
        <v>1367</v>
      </c>
      <c r="G159" s="381">
        <v>0</v>
      </c>
      <c r="H159" s="381">
        <v>3558.41</v>
      </c>
      <c r="I159" s="381">
        <v>0</v>
      </c>
      <c r="J159" s="381">
        <v>0</v>
      </c>
      <c r="K159" s="381">
        <v>0</v>
      </c>
      <c r="L159" s="381">
        <v>3558.41</v>
      </c>
      <c r="M159" s="381">
        <v>0</v>
      </c>
      <c r="N159" s="381">
        <v>0</v>
      </c>
      <c r="O159" s="381">
        <v>0</v>
      </c>
      <c r="P159" s="381">
        <v>0</v>
      </c>
    </row>
    <row r="160" spans="1:16">
      <c r="A160" t="s">
        <v>1372</v>
      </c>
      <c r="B160" t="s">
        <v>166</v>
      </c>
      <c r="C160" t="s">
        <v>1345</v>
      </c>
      <c r="D160" t="s">
        <v>1344</v>
      </c>
      <c r="E160" t="s">
        <v>49</v>
      </c>
      <c r="F160" t="s">
        <v>1373</v>
      </c>
      <c r="G160" s="381">
        <v>0</v>
      </c>
      <c r="H160" s="381"/>
      <c r="I160" s="381"/>
      <c r="J160" s="381"/>
      <c r="K160" s="381">
        <v>0</v>
      </c>
      <c r="L160" s="381"/>
      <c r="M160" s="381"/>
      <c r="N160" s="381"/>
      <c r="O160" s="381"/>
      <c r="P160" s="381"/>
    </row>
    <row r="161" spans="1:16">
      <c r="A161" t="s">
        <v>1374</v>
      </c>
      <c r="B161" t="s">
        <v>168</v>
      </c>
      <c r="C161" t="s">
        <v>1345</v>
      </c>
      <c r="D161" t="s">
        <v>1344</v>
      </c>
      <c r="E161" t="s">
        <v>49</v>
      </c>
      <c r="F161" t="s">
        <v>1375</v>
      </c>
      <c r="G161" s="381">
        <v>0</v>
      </c>
      <c r="H161" s="381"/>
      <c r="I161" s="381"/>
      <c r="J161" s="381"/>
      <c r="K161" s="381">
        <v>0</v>
      </c>
      <c r="L161" s="381"/>
      <c r="M161" s="381"/>
      <c r="N161" s="381"/>
      <c r="O161" s="381"/>
      <c r="P161" s="381"/>
    </row>
    <row r="162" spans="1:16">
      <c r="A162" t="s">
        <v>1376</v>
      </c>
      <c r="B162" t="s">
        <v>170</v>
      </c>
      <c r="C162" t="s">
        <v>1345</v>
      </c>
      <c r="D162" t="s">
        <v>1344</v>
      </c>
      <c r="E162" t="s">
        <v>49</v>
      </c>
      <c r="F162" t="s">
        <v>1377</v>
      </c>
      <c r="G162" s="381">
        <v>0</v>
      </c>
      <c r="H162" s="381"/>
      <c r="I162" s="381"/>
      <c r="J162" s="381"/>
      <c r="K162" s="381">
        <v>0</v>
      </c>
      <c r="L162" s="381"/>
      <c r="M162" s="381"/>
      <c r="N162" s="381"/>
      <c r="O162" s="381"/>
      <c r="P162" s="381"/>
    </row>
    <row r="163" spans="1:16">
      <c r="A163" t="s">
        <v>1378</v>
      </c>
      <c r="B163" t="s">
        <v>172</v>
      </c>
      <c r="C163" t="s">
        <v>1345</v>
      </c>
      <c r="D163" t="s">
        <v>1344</v>
      </c>
      <c r="E163" t="s">
        <v>49</v>
      </c>
      <c r="F163" t="s">
        <v>1379</v>
      </c>
      <c r="G163" s="381">
        <v>45158.709999999992</v>
      </c>
      <c r="H163" s="381"/>
      <c r="I163" s="381">
        <v>66916.990000000005</v>
      </c>
      <c r="J163" s="381">
        <v>75010.39</v>
      </c>
      <c r="K163" s="381">
        <v>45158.710000000006</v>
      </c>
      <c r="L163" s="381"/>
      <c r="M163" s="381">
        <v>66916.990000000005</v>
      </c>
      <c r="N163" s="381">
        <v>75010.39</v>
      </c>
      <c r="O163" s="381">
        <v>40062</v>
      </c>
      <c r="P163" s="381">
        <v>40792</v>
      </c>
    </row>
    <row r="164" spans="1:16">
      <c r="A164" t="s">
        <v>1382</v>
      </c>
      <c r="B164" t="s">
        <v>174</v>
      </c>
      <c r="C164" t="s">
        <v>1345</v>
      </c>
      <c r="D164" t="s">
        <v>1344</v>
      </c>
      <c r="E164" t="s">
        <v>49</v>
      </c>
      <c r="F164" t="s">
        <v>1383</v>
      </c>
      <c r="G164" s="381">
        <v>0</v>
      </c>
      <c r="H164" s="381"/>
      <c r="I164" s="381"/>
      <c r="J164" s="381"/>
      <c r="K164" s="381">
        <v>0</v>
      </c>
      <c r="L164" s="381"/>
      <c r="M164" s="381"/>
      <c r="N164" s="381"/>
      <c r="O164" s="381"/>
      <c r="P164" s="381"/>
    </row>
    <row r="165" spans="1:16">
      <c r="A165" t="s">
        <v>1385</v>
      </c>
      <c r="B165" t="s">
        <v>176</v>
      </c>
      <c r="C165" t="s">
        <v>1345</v>
      </c>
      <c r="D165" t="s">
        <v>1344</v>
      </c>
      <c r="E165" t="s">
        <v>49</v>
      </c>
      <c r="F165" t="s">
        <v>1386</v>
      </c>
      <c r="G165" s="381">
        <v>116861</v>
      </c>
      <c r="H165" s="381">
        <v>48462.57</v>
      </c>
      <c r="I165" s="381">
        <v>207334.66</v>
      </c>
      <c r="J165" s="381">
        <v>98620.56</v>
      </c>
      <c r="K165" s="381">
        <v>28181.629999999976</v>
      </c>
      <c r="L165" s="381">
        <v>48462.57</v>
      </c>
      <c r="M165" s="381">
        <v>207334.66</v>
      </c>
      <c r="N165" s="381">
        <v>98620.56</v>
      </c>
      <c r="O165" s="381">
        <v>132050</v>
      </c>
      <c r="P165" s="381">
        <v>132050</v>
      </c>
    </row>
    <row r="166" spans="1:16">
      <c r="A166" t="s">
        <v>1390</v>
      </c>
      <c r="B166" t="s">
        <v>178</v>
      </c>
      <c r="C166" t="s">
        <v>1345</v>
      </c>
      <c r="D166" t="s">
        <v>1344</v>
      </c>
      <c r="E166" t="s">
        <v>49</v>
      </c>
      <c r="F166" t="s">
        <v>1391</v>
      </c>
      <c r="G166" s="381">
        <v>65599.430000000008</v>
      </c>
      <c r="H166" s="381">
        <v>58570.53</v>
      </c>
      <c r="I166" s="381">
        <v>65599.81</v>
      </c>
      <c r="J166" s="381">
        <v>81999.28</v>
      </c>
      <c r="K166" s="381">
        <v>65599.420000000013</v>
      </c>
      <c r="L166" s="381">
        <v>58570.53</v>
      </c>
      <c r="M166" s="381">
        <v>65599.81</v>
      </c>
      <c r="N166" s="381">
        <v>81999.28</v>
      </c>
      <c r="O166" s="381">
        <v>70019</v>
      </c>
      <c r="P166" s="381">
        <v>70019</v>
      </c>
    </row>
    <row r="167" spans="1:16">
      <c r="A167" t="s">
        <v>1398</v>
      </c>
      <c r="B167" t="s">
        <v>184</v>
      </c>
      <c r="C167" t="s">
        <v>1345</v>
      </c>
      <c r="D167" t="s">
        <v>1344</v>
      </c>
      <c r="E167" t="s">
        <v>49</v>
      </c>
      <c r="F167" t="s">
        <v>1399</v>
      </c>
      <c r="G167" s="381">
        <v>0</v>
      </c>
      <c r="H167" s="381"/>
      <c r="I167" s="381"/>
      <c r="J167" s="381"/>
      <c r="K167" s="381">
        <v>5850</v>
      </c>
      <c r="L167" s="381"/>
      <c r="M167" s="381"/>
      <c r="N167" s="381"/>
      <c r="O167" s="381">
        <v>15000</v>
      </c>
      <c r="P167" s="381">
        <v>5850</v>
      </c>
    </row>
    <row r="168" spans="1:16">
      <c r="A168" t="s">
        <v>1404</v>
      </c>
      <c r="B168" t="s">
        <v>189</v>
      </c>
      <c r="C168" t="s">
        <v>1345</v>
      </c>
      <c r="D168" t="s">
        <v>1344</v>
      </c>
      <c r="E168" t="s">
        <v>49</v>
      </c>
      <c r="F168" t="s">
        <v>1405</v>
      </c>
      <c r="G168" s="381">
        <v>86558.849999999991</v>
      </c>
      <c r="H168" s="381">
        <v>77285</v>
      </c>
      <c r="I168" s="381">
        <v>177053.54</v>
      </c>
      <c r="J168" s="381">
        <v>-2920.45</v>
      </c>
      <c r="K168" s="381">
        <v>86558.85</v>
      </c>
      <c r="L168" s="381">
        <v>77285</v>
      </c>
      <c r="M168" s="381">
        <v>177053.54</v>
      </c>
      <c r="N168" s="381">
        <v>-2920.45</v>
      </c>
      <c r="O168" s="381">
        <v>97087</v>
      </c>
      <c r="P168" s="381">
        <v>97087</v>
      </c>
    </row>
    <row r="169" spans="1:16">
      <c r="A169" t="s">
        <v>1409</v>
      </c>
      <c r="B169" t="s">
        <v>191</v>
      </c>
      <c r="C169" t="s">
        <v>1345</v>
      </c>
      <c r="D169" t="s">
        <v>1344</v>
      </c>
      <c r="E169" t="s">
        <v>49</v>
      </c>
      <c r="F169" t="s">
        <v>1410</v>
      </c>
      <c r="G169" s="381">
        <v>-18382.5</v>
      </c>
      <c r="H169" s="381">
        <v>98474.5</v>
      </c>
      <c r="I169" s="381">
        <v>-21757.25</v>
      </c>
      <c r="J169" s="381">
        <v>-81628.5</v>
      </c>
      <c r="K169" s="381">
        <v>0</v>
      </c>
      <c r="L169" s="381">
        <v>98474.5</v>
      </c>
      <c r="M169" s="381">
        <v>-21757.25</v>
      </c>
      <c r="N169" s="381">
        <v>-81628.5</v>
      </c>
      <c r="O169" s="381">
        <v>0</v>
      </c>
      <c r="P169" s="381">
        <v>0</v>
      </c>
    </row>
    <row r="170" spans="1:16">
      <c r="A170" t="s">
        <v>1422</v>
      </c>
      <c r="B170" t="s">
        <v>193</v>
      </c>
      <c r="C170" t="s">
        <v>1345</v>
      </c>
      <c r="D170" t="s">
        <v>1344</v>
      </c>
      <c r="E170" t="s">
        <v>49</v>
      </c>
      <c r="F170" t="s">
        <v>1423</v>
      </c>
      <c r="G170" s="381">
        <v>0</v>
      </c>
      <c r="H170" s="381"/>
      <c r="I170" s="381">
        <v>3710</v>
      </c>
      <c r="J170" s="381">
        <v>0</v>
      </c>
      <c r="K170" s="381">
        <v>0</v>
      </c>
      <c r="L170" s="381"/>
      <c r="M170" s="381">
        <v>3710</v>
      </c>
      <c r="N170" s="381">
        <v>0</v>
      </c>
      <c r="O170" s="381">
        <v>0</v>
      </c>
      <c r="P170" s="381">
        <v>0</v>
      </c>
    </row>
    <row r="171" spans="1:16">
      <c r="A171" t="s">
        <v>1357</v>
      </c>
      <c r="B171" t="s">
        <v>159</v>
      </c>
      <c r="C171" t="s">
        <v>1345</v>
      </c>
      <c r="D171" t="s">
        <v>1344</v>
      </c>
      <c r="E171" t="s">
        <v>49</v>
      </c>
      <c r="F171" t="s">
        <v>1147</v>
      </c>
      <c r="G171" s="381">
        <v>142812</v>
      </c>
      <c r="H171" s="381">
        <v>91657</v>
      </c>
      <c r="I171" s="381">
        <v>-50311</v>
      </c>
      <c r="J171" s="381">
        <v>88797</v>
      </c>
      <c r="K171" s="381">
        <v>-181452</v>
      </c>
      <c r="L171" s="381">
        <v>91657</v>
      </c>
      <c r="M171" s="381">
        <v>-50311</v>
      </c>
      <c r="N171" s="381">
        <v>88797</v>
      </c>
      <c r="O171" s="381">
        <v>0</v>
      </c>
      <c r="P171" s="381">
        <v>0</v>
      </c>
    </row>
    <row r="172" spans="1:16">
      <c r="A172" t="s">
        <v>1425</v>
      </c>
      <c r="B172" t="s">
        <v>195</v>
      </c>
      <c r="C172" t="s">
        <v>1345</v>
      </c>
      <c r="D172" t="s">
        <v>1344</v>
      </c>
      <c r="E172" t="s">
        <v>49</v>
      </c>
      <c r="F172" t="s">
        <v>1327</v>
      </c>
      <c r="G172" s="381">
        <v>0.34</v>
      </c>
      <c r="H172" s="381">
        <v>-0.28999999999999998</v>
      </c>
      <c r="I172" s="381">
        <v>0.43</v>
      </c>
      <c r="J172" s="381">
        <v>-0.61</v>
      </c>
      <c r="K172" s="381">
        <v>0.22</v>
      </c>
      <c r="L172" s="381">
        <v>-0.28999999999999998</v>
      </c>
      <c r="M172" s="381">
        <v>0.43</v>
      </c>
      <c r="N172" s="381">
        <v>-0.61</v>
      </c>
      <c r="O172" s="381">
        <v>0</v>
      </c>
      <c r="P172" s="381">
        <v>0</v>
      </c>
    </row>
    <row r="173" spans="1:16">
      <c r="A173" t="s">
        <v>1426</v>
      </c>
      <c r="B173" t="s">
        <v>196</v>
      </c>
      <c r="C173" t="s">
        <v>1345</v>
      </c>
      <c r="D173" t="s">
        <v>1344</v>
      </c>
      <c r="E173" t="s">
        <v>49</v>
      </c>
      <c r="F173" t="s">
        <v>1340</v>
      </c>
      <c r="G173" s="381">
        <v>0</v>
      </c>
      <c r="H173" s="381">
        <v>-879.72</v>
      </c>
      <c r="I173" s="381">
        <v>-0.18</v>
      </c>
      <c r="J173" s="381">
        <v>-7298.82</v>
      </c>
      <c r="K173" s="381">
        <v>0</v>
      </c>
      <c r="L173" s="381">
        <v>-879.72</v>
      </c>
      <c r="M173" s="381">
        <v>-0.18</v>
      </c>
      <c r="N173" s="381">
        <v>-7298.82</v>
      </c>
      <c r="O173" s="381">
        <v>0</v>
      </c>
      <c r="P173" s="381">
        <v>0</v>
      </c>
    </row>
    <row r="174" spans="1:16">
      <c r="A174" t="s">
        <v>1968</v>
      </c>
      <c r="B174" t="s">
        <v>496</v>
      </c>
      <c r="C174" t="s">
        <v>1345</v>
      </c>
      <c r="D174" t="s">
        <v>1344</v>
      </c>
      <c r="E174" t="s">
        <v>389</v>
      </c>
      <c r="F174" t="s">
        <v>1969</v>
      </c>
      <c r="G174" s="381">
        <v>129.38999999999999</v>
      </c>
      <c r="H174" s="381">
        <v>124.95</v>
      </c>
      <c r="I174" s="381">
        <v>125.88</v>
      </c>
      <c r="J174" s="381">
        <v>116.06</v>
      </c>
      <c r="K174" s="381">
        <v>122.35</v>
      </c>
      <c r="L174" s="381">
        <v>124.95</v>
      </c>
      <c r="M174" s="381">
        <v>125.88</v>
      </c>
      <c r="N174" s="381">
        <v>116.06</v>
      </c>
      <c r="O174" s="381">
        <v>130</v>
      </c>
      <c r="P174" s="381">
        <v>130</v>
      </c>
    </row>
    <row r="175" spans="1:16">
      <c r="A175" t="s">
        <v>1972</v>
      </c>
      <c r="B175" t="s">
        <v>500</v>
      </c>
      <c r="C175" t="s">
        <v>1345</v>
      </c>
      <c r="D175" t="s">
        <v>1344</v>
      </c>
      <c r="E175" t="s">
        <v>389</v>
      </c>
      <c r="F175" t="s">
        <v>1399</v>
      </c>
      <c r="G175" s="381">
        <v>0</v>
      </c>
      <c r="H175" s="381"/>
      <c r="I175" s="381"/>
      <c r="J175" s="381">
        <v>5850</v>
      </c>
      <c r="K175" s="381">
        <v>-5800.26</v>
      </c>
      <c r="L175" s="381"/>
      <c r="M175" s="381"/>
      <c r="N175" s="381">
        <v>5850</v>
      </c>
      <c r="O175" s="381"/>
      <c r="P175" s="381">
        <v>-5850</v>
      </c>
    </row>
    <row r="176" spans="1:16">
      <c r="A176" t="s">
        <v>1988</v>
      </c>
      <c r="B176" t="s">
        <v>513</v>
      </c>
      <c r="C176" t="s">
        <v>1345</v>
      </c>
      <c r="D176" t="s">
        <v>1344</v>
      </c>
      <c r="E176" t="s">
        <v>389</v>
      </c>
      <c r="F176" t="s">
        <v>1645</v>
      </c>
      <c r="G176" s="381">
        <v>0</v>
      </c>
      <c r="H176" s="381"/>
      <c r="I176" s="381">
        <v>256.18</v>
      </c>
      <c r="J176" s="381">
        <v>42.72</v>
      </c>
      <c r="K176" s="381">
        <v>0</v>
      </c>
      <c r="L176" s="381"/>
      <c r="M176" s="381">
        <v>256.18</v>
      </c>
      <c r="N176" s="381">
        <v>42.72</v>
      </c>
      <c r="O176" s="381">
        <v>0</v>
      </c>
      <c r="P176" s="381">
        <v>0</v>
      </c>
    </row>
    <row r="177" spans="1:16">
      <c r="A177" t="s">
        <v>1963</v>
      </c>
      <c r="B177" t="s">
        <v>492</v>
      </c>
      <c r="C177" t="s">
        <v>1345</v>
      </c>
      <c r="D177" t="s">
        <v>1344</v>
      </c>
      <c r="E177" t="s">
        <v>389</v>
      </c>
      <c r="F177" t="s">
        <v>1147</v>
      </c>
      <c r="G177" s="381">
        <v>129</v>
      </c>
      <c r="H177" s="381">
        <v>129</v>
      </c>
      <c r="I177" s="381">
        <v>129</v>
      </c>
      <c r="J177" s="381">
        <v>129</v>
      </c>
      <c r="K177" s="381">
        <v>129</v>
      </c>
      <c r="L177" s="381">
        <v>129</v>
      </c>
      <c r="M177" s="381">
        <v>129</v>
      </c>
      <c r="N177" s="381">
        <v>129</v>
      </c>
      <c r="O177" s="381">
        <v>0</v>
      </c>
      <c r="P177" s="381">
        <v>0</v>
      </c>
    </row>
    <row r="178" spans="1:16">
      <c r="A178" t="s">
        <v>1987</v>
      </c>
      <c r="B178" t="s">
        <v>512</v>
      </c>
      <c r="C178" t="s">
        <v>1345</v>
      </c>
      <c r="D178" t="s">
        <v>1344</v>
      </c>
      <c r="E178" t="s">
        <v>389</v>
      </c>
      <c r="F178" t="s">
        <v>1327</v>
      </c>
      <c r="G178" s="381">
        <v>171.12</v>
      </c>
      <c r="H178" s="381">
        <v>-79.28</v>
      </c>
      <c r="I178" s="381">
        <v>124.37</v>
      </c>
      <c r="J178" s="381">
        <v>754.2</v>
      </c>
      <c r="K178" s="381">
        <v>538.97</v>
      </c>
      <c r="L178" s="381">
        <v>-79.28</v>
      </c>
      <c r="M178" s="381">
        <v>124.37</v>
      </c>
      <c r="N178" s="381">
        <v>754.2</v>
      </c>
      <c r="O178" s="381">
        <v>0</v>
      </c>
      <c r="P178" s="381">
        <v>0</v>
      </c>
    </row>
    <row r="179" spans="1:16">
      <c r="A179" t="s">
        <v>2611</v>
      </c>
      <c r="B179" t="s">
        <v>905</v>
      </c>
      <c r="C179" t="s">
        <v>1345</v>
      </c>
      <c r="D179" t="s">
        <v>1344</v>
      </c>
      <c r="E179" t="s">
        <v>639</v>
      </c>
      <c r="F179" t="s">
        <v>1405</v>
      </c>
      <c r="G179" s="381">
        <v>0</v>
      </c>
      <c r="H179" s="381"/>
      <c r="I179" s="381"/>
      <c r="J179" s="381">
        <v>292.39999999999998</v>
      </c>
      <c r="K179" s="381">
        <v>0</v>
      </c>
      <c r="L179" s="381"/>
      <c r="M179" s="381"/>
      <c r="N179" s="381">
        <v>292.39999999999998</v>
      </c>
      <c r="O179" s="381">
        <v>0</v>
      </c>
      <c r="P179" s="381">
        <v>0</v>
      </c>
    </row>
    <row r="180" spans="1:16">
      <c r="A180" t="s">
        <v>2618</v>
      </c>
      <c r="B180" t="s">
        <v>911</v>
      </c>
      <c r="C180" t="s">
        <v>1345</v>
      </c>
      <c r="D180" t="s">
        <v>1344</v>
      </c>
      <c r="E180" t="s">
        <v>639</v>
      </c>
      <c r="F180" t="s">
        <v>2619</v>
      </c>
      <c r="G180" s="381">
        <v>0</v>
      </c>
      <c r="H180" s="381"/>
      <c r="I180" s="381"/>
      <c r="J180" s="381"/>
      <c r="K180" s="381">
        <v>0</v>
      </c>
      <c r="L180" s="381"/>
      <c r="M180" s="381"/>
      <c r="N180" s="381"/>
      <c r="O180" s="381"/>
      <c r="P180" s="381"/>
    </row>
    <row r="181" spans="1:16">
      <c r="A181" t="s">
        <v>2624</v>
      </c>
      <c r="B181" t="s">
        <v>916</v>
      </c>
      <c r="C181" t="s">
        <v>1345</v>
      </c>
      <c r="D181" t="s">
        <v>1344</v>
      </c>
      <c r="E181" t="s">
        <v>639</v>
      </c>
      <c r="F181" t="s">
        <v>1423</v>
      </c>
      <c r="G181" s="381">
        <v>0</v>
      </c>
      <c r="H181" s="381"/>
      <c r="I181" s="381"/>
      <c r="J181" s="381"/>
      <c r="K181" s="381">
        <v>0</v>
      </c>
      <c r="L181" s="381"/>
      <c r="M181" s="381"/>
      <c r="N181" s="381"/>
      <c r="O181" s="381"/>
      <c r="P181" s="381"/>
    </row>
    <row r="182" spans="1:16">
      <c r="A182" t="s">
        <v>2631</v>
      </c>
      <c r="B182" t="s">
        <v>921</v>
      </c>
      <c r="C182" t="s">
        <v>1345</v>
      </c>
      <c r="D182" t="s">
        <v>1344</v>
      </c>
      <c r="E182" t="s">
        <v>639</v>
      </c>
      <c r="F182" t="s">
        <v>2632</v>
      </c>
      <c r="G182" s="381">
        <v>0</v>
      </c>
      <c r="H182" s="381"/>
      <c r="I182" s="381"/>
      <c r="J182" s="381"/>
      <c r="K182" s="381">
        <v>0</v>
      </c>
      <c r="L182" s="381"/>
      <c r="M182" s="381"/>
      <c r="N182" s="381"/>
      <c r="O182" s="381"/>
      <c r="P182" s="381"/>
    </row>
    <row r="183" spans="1:16">
      <c r="A183" t="s">
        <v>2633</v>
      </c>
      <c r="B183" t="s">
        <v>923</v>
      </c>
      <c r="C183" t="s">
        <v>1345</v>
      </c>
      <c r="D183" t="s">
        <v>1344</v>
      </c>
      <c r="E183" t="s">
        <v>639</v>
      </c>
      <c r="F183" t="s">
        <v>2634</v>
      </c>
      <c r="G183" s="381">
        <v>0</v>
      </c>
      <c r="H183" s="381"/>
      <c r="I183" s="381"/>
      <c r="J183" s="381"/>
      <c r="K183" s="381">
        <v>0</v>
      </c>
      <c r="L183" s="381"/>
      <c r="M183" s="381"/>
      <c r="N183" s="381"/>
      <c r="O183" s="381"/>
      <c r="P183" s="381"/>
    </row>
    <row r="184" spans="1:16">
      <c r="A184" t="s">
        <v>2605</v>
      </c>
      <c r="B184" t="s">
        <v>901</v>
      </c>
      <c r="C184" t="s">
        <v>1345</v>
      </c>
      <c r="D184" t="s">
        <v>1344</v>
      </c>
      <c r="E184" t="s">
        <v>639</v>
      </c>
      <c r="F184" t="s">
        <v>1138</v>
      </c>
      <c r="G184" s="381">
        <v>0</v>
      </c>
      <c r="H184" s="381"/>
      <c r="I184" s="381">
        <v>2188.1999999999998</v>
      </c>
      <c r="J184" s="381">
        <v>100.32</v>
      </c>
      <c r="K184" s="381">
        <v>0</v>
      </c>
      <c r="L184" s="381"/>
      <c r="M184" s="381">
        <v>2188.1999999999998</v>
      </c>
      <c r="N184" s="381">
        <v>100.32</v>
      </c>
      <c r="O184" s="381">
        <v>0</v>
      </c>
      <c r="P184" s="381">
        <v>0</v>
      </c>
    </row>
    <row r="185" spans="1:16">
      <c r="A185" t="s">
        <v>2646</v>
      </c>
      <c r="B185" t="s">
        <v>931</v>
      </c>
      <c r="C185" t="s">
        <v>1345</v>
      </c>
      <c r="D185" t="s">
        <v>1344</v>
      </c>
      <c r="E185" t="s">
        <v>639</v>
      </c>
      <c r="F185" t="s">
        <v>1327</v>
      </c>
      <c r="G185" s="381">
        <v>0.56000000000000005</v>
      </c>
      <c r="H185" s="381">
        <v>44.95</v>
      </c>
      <c r="I185" s="381">
        <v>-0.67</v>
      </c>
      <c r="J185" s="381">
        <v>0.11</v>
      </c>
      <c r="K185" s="381">
        <v>-0.46</v>
      </c>
      <c r="L185" s="381">
        <v>44.95</v>
      </c>
      <c r="M185" s="381">
        <v>-0.67</v>
      </c>
      <c r="N185" s="381">
        <v>0.11</v>
      </c>
      <c r="O185" s="381">
        <v>0</v>
      </c>
      <c r="P185" s="381">
        <v>0</v>
      </c>
    </row>
    <row r="186" spans="1:16">
      <c r="A186" t="s">
        <v>2833</v>
      </c>
      <c r="B186" t="s">
        <v>1030</v>
      </c>
      <c r="C186" t="s">
        <v>1345</v>
      </c>
      <c r="D186" t="s">
        <v>1344</v>
      </c>
      <c r="E186" t="s">
        <v>1027</v>
      </c>
      <c r="F186" t="s">
        <v>2830</v>
      </c>
      <c r="G186" s="381">
        <v>101.53</v>
      </c>
      <c r="H186" s="381">
        <v>-39.24</v>
      </c>
      <c r="I186" s="381">
        <v>78.33</v>
      </c>
      <c r="J186" s="381">
        <v>0</v>
      </c>
      <c r="K186" s="381">
        <v>0</v>
      </c>
      <c r="L186" s="381">
        <v>-39.24</v>
      </c>
      <c r="M186" s="381">
        <v>78.33</v>
      </c>
      <c r="N186" s="381">
        <v>0</v>
      </c>
      <c r="O186" s="381">
        <v>0</v>
      </c>
      <c r="P186" s="381">
        <v>0</v>
      </c>
    </row>
    <row r="187" spans="1:16">
      <c r="A187" t="s">
        <v>2867</v>
      </c>
      <c r="B187" t="s">
        <v>30</v>
      </c>
      <c r="C187" t="s">
        <v>1345</v>
      </c>
      <c r="D187" t="s">
        <v>1344</v>
      </c>
      <c r="E187" t="s">
        <v>22</v>
      </c>
      <c r="F187" t="s">
        <v>2868</v>
      </c>
      <c r="G187" s="381">
        <v>0</v>
      </c>
      <c r="H187" s="381"/>
      <c r="I187" s="381"/>
      <c r="J187" s="381"/>
      <c r="K187" s="381">
        <v>0</v>
      </c>
      <c r="L187" s="381"/>
      <c r="M187" s="381"/>
      <c r="N187" s="381"/>
      <c r="O187" s="381">
        <v>0</v>
      </c>
      <c r="P187" s="381">
        <v>0</v>
      </c>
    </row>
    <row r="188" spans="1:16">
      <c r="A188" t="s">
        <v>2869</v>
      </c>
      <c r="B188" t="s">
        <v>31</v>
      </c>
      <c r="C188" t="s">
        <v>1345</v>
      </c>
      <c r="D188" t="s">
        <v>1344</v>
      </c>
      <c r="E188" t="s">
        <v>22</v>
      </c>
      <c r="F188" t="s">
        <v>2870</v>
      </c>
      <c r="G188" s="381">
        <v>0</v>
      </c>
      <c r="H188" s="381"/>
      <c r="I188" s="381"/>
      <c r="J188" s="381"/>
      <c r="K188" s="381">
        <v>0</v>
      </c>
      <c r="L188" s="381"/>
      <c r="M188" s="381"/>
      <c r="N188" s="381"/>
      <c r="O188" s="381">
        <v>0</v>
      </c>
      <c r="P188" s="381">
        <v>0</v>
      </c>
    </row>
    <row r="189" spans="1:16">
      <c r="A189" t="s">
        <v>2871</v>
      </c>
      <c r="B189" t="s">
        <v>32</v>
      </c>
      <c r="C189" t="s">
        <v>1345</v>
      </c>
      <c r="D189" t="s">
        <v>1344</v>
      </c>
      <c r="E189" t="s">
        <v>22</v>
      </c>
      <c r="F189" t="s">
        <v>2872</v>
      </c>
      <c r="G189" s="381"/>
      <c r="H189" s="381"/>
      <c r="I189" s="381"/>
      <c r="J189" s="381"/>
      <c r="K189" s="381"/>
      <c r="L189" s="381"/>
      <c r="M189" s="381"/>
      <c r="N189" s="381"/>
      <c r="O189" s="381">
        <v>0</v>
      </c>
      <c r="P189" s="381">
        <v>0</v>
      </c>
    </row>
    <row r="190" spans="1:16">
      <c r="A190" t="s">
        <v>1665</v>
      </c>
      <c r="B190" t="s">
        <v>335</v>
      </c>
      <c r="C190" t="s">
        <v>1345</v>
      </c>
      <c r="D190" t="s">
        <v>1344</v>
      </c>
      <c r="E190" t="s">
        <v>333</v>
      </c>
      <c r="F190" t="s">
        <v>1663</v>
      </c>
      <c r="G190" s="381">
        <v>519.35</v>
      </c>
      <c r="H190" s="381">
        <v>519.35</v>
      </c>
      <c r="I190" s="381">
        <v>519.35</v>
      </c>
      <c r="J190" s="381">
        <v>519.35</v>
      </c>
      <c r="K190" s="381">
        <v>519.35</v>
      </c>
      <c r="L190" s="381">
        <v>519.35</v>
      </c>
      <c r="M190" s="381">
        <v>519.35</v>
      </c>
      <c r="N190" s="381">
        <v>519.35</v>
      </c>
      <c r="O190" s="381">
        <v>519.35</v>
      </c>
      <c r="P190" s="381">
        <v>519.35</v>
      </c>
    </row>
    <row r="191" spans="1:16">
      <c r="A191" t="s">
        <v>2161</v>
      </c>
      <c r="B191" t="s">
        <v>612</v>
      </c>
      <c r="C191" t="s">
        <v>1345</v>
      </c>
      <c r="D191" t="s">
        <v>1344</v>
      </c>
      <c r="E191" t="s">
        <v>602</v>
      </c>
      <c r="F191" t="s">
        <v>611</v>
      </c>
      <c r="G191" s="381">
        <v>0</v>
      </c>
      <c r="H191" s="381">
        <v>38.450000000000003</v>
      </c>
      <c r="I191" s="381">
        <v>0</v>
      </c>
      <c r="J191" s="381">
        <v>46.59</v>
      </c>
      <c r="K191" s="381">
        <v>91.13</v>
      </c>
      <c r="L191" s="381">
        <v>38.450000000000003</v>
      </c>
      <c r="M191" s="381">
        <v>0</v>
      </c>
      <c r="N191" s="381">
        <v>46.59</v>
      </c>
      <c r="O191" s="381">
        <v>0</v>
      </c>
      <c r="P191" s="381">
        <v>0</v>
      </c>
    </row>
    <row r="192" spans="1:16">
      <c r="A192" t="s">
        <v>2616</v>
      </c>
      <c r="B192" t="s">
        <v>908</v>
      </c>
      <c r="C192" t="s">
        <v>1345</v>
      </c>
      <c r="D192" t="s">
        <v>1344</v>
      </c>
      <c r="E192" t="s">
        <v>639</v>
      </c>
      <c r="F192" t="s">
        <v>2617</v>
      </c>
      <c r="G192" s="381">
        <v>0</v>
      </c>
      <c r="H192" s="381"/>
      <c r="I192" s="381"/>
      <c r="J192" s="381"/>
      <c r="K192" s="381">
        <v>0</v>
      </c>
      <c r="L192" s="381"/>
      <c r="M192" s="381"/>
      <c r="N192" s="381"/>
      <c r="O192" s="381"/>
      <c r="P192" s="381"/>
    </row>
    <row r="193" spans="1:16">
      <c r="A193" t="s">
        <v>2849</v>
      </c>
      <c r="B193" t="s">
        <v>1041</v>
      </c>
      <c r="C193" t="s">
        <v>1345</v>
      </c>
      <c r="D193" t="s">
        <v>1344</v>
      </c>
      <c r="E193" t="s">
        <v>1037</v>
      </c>
      <c r="F193" t="s">
        <v>2846</v>
      </c>
      <c r="G193" s="381">
        <v>0</v>
      </c>
      <c r="H193" s="381">
        <v>948.99</v>
      </c>
      <c r="I193" s="381">
        <v>0</v>
      </c>
      <c r="J193" s="381">
        <v>46.35</v>
      </c>
      <c r="K193" s="381">
        <v>0</v>
      </c>
      <c r="L193" s="381">
        <v>948.99</v>
      </c>
      <c r="M193" s="381">
        <v>0</v>
      </c>
      <c r="N193" s="381">
        <v>46.35</v>
      </c>
      <c r="O193" s="381">
        <v>0</v>
      </c>
      <c r="P193" s="381">
        <v>0</v>
      </c>
    </row>
    <row r="194" spans="1:16">
      <c r="A194" t="s">
        <v>2656</v>
      </c>
      <c r="B194" t="s">
        <v>934</v>
      </c>
      <c r="C194" t="s">
        <v>1345</v>
      </c>
      <c r="D194" t="s">
        <v>1345</v>
      </c>
      <c r="E194" t="s">
        <v>639</v>
      </c>
      <c r="F194" t="s">
        <v>2657</v>
      </c>
      <c r="G194" s="381">
        <v>0</v>
      </c>
      <c r="H194" s="381"/>
      <c r="I194" s="381"/>
      <c r="J194" s="381"/>
      <c r="K194" s="381">
        <v>0</v>
      </c>
      <c r="L194" s="381"/>
      <c r="M194" s="381"/>
      <c r="N194" s="381"/>
      <c r="O194" s="381">
        <v>0</v>
      </c>
      <c r="P194" s="381">
        <v>0</v>
      </c>
    </row>
    <row r="195" spans="1:16">
      <c r="A195" t="s">
        <v>2659</v>
      </c>
      <c r="B195" t="s">
        <v>936</v>
      </c>
      <c r="C195" t="s">
        <v>1345</v>
      </c>
      <c r="D195" t="s">
        <v>1345</v>
      </c>
      <c r="E195" t="s">
        <v>639</v>
      </c>
      <c r="F195" t="s">
        <v>2660</v>
      </c>
      <c r="G195" s="381">
        <v>0</v>
      </c>
      <c r="H195" s="381"/>
      <c r="I195" s="381"/>
      <c r="J195" s="381"/>
      <c r="K195" s="381">
        <v>0</v>
      </c>
      <c r="L195" s="381"/>
      <c r="M195" s="381"/>
      <c r="N195" s="381"/>
      <c r="O195" s="381">
        <v>0</v>
      </c>
      <c r="P195" s="381">
        <v>0</v>
      </c>
    </row>
    <row r="196" spans="1:16">
      <c r="A196" t="s">
        <v>2662</v>
      </c>
      <c r="B196" t="s">
        <v>938</v>
      </c>
      <c r="C196" t="s">
        <v>1345</v>
      </c>
      <c r="D196" t="s">
        <v>1345</v>
      </c>
      <c r="E196" t="s">
        <v>639</v>
      </c>
      <c r="F196" t="s">
        <v>2663</v>
      </c>
      <c r="G196" s="381">
        <v>0</v>
      </c>
      <c r="H196" s="381"/>
      <c r="I196" s="381"/>
      <c r="J196" s="381"/>
      <c r="K196" s="381">
        <v>0</v>
      </c>
      <c r="L196" s="381"/>
      <c r="M196" s="381"/>
      <c r="N196" s="381"/>
      <c r="O196" s="381">
        <v>0</v>
      </c>
      <c r="P196" s="381">
        <v>0</v>
      </c>
    </row>
    <row r="197" spans="1:16">
      <c r="A197" t="s">
        <v>2016</v>
      </c>
      <c r="B197" t="s">
        <v>527</v>
      </c>
      <c r="C197" t="s">
        <v>1345</v>
      </c>
      <c r="D197" t="s">
        <v>1345</v>
      </c>
      <c r="E197" t="s">
        <v>389</v>
      </c>
      <c r="F197" t="s">
        <v>1492</v>
      </c>
      <c r="G197" s="381">
        <v>0</v>
      </c>
      <c r="H197" s="381"/>
      <c r="I197" s="381"/>
      <c r="J197" s="381">
        <v>50000</v>
      </c>
      <c r="K197" s="381">
        <v>0</v>
      </c>
      <c r="L197" s="381"/>
      <c r="M197" s="381"/>
      <c r="N197" s="381">
        <v>50000</v>
      </c>
      <c r="O197" s="381">
        <v>0</v>
      </c>
      <c r="P197" s="381">
        <v>50000</v>
      </c>
    </row>
    <row r="198" spans="1:16">
      <c r="A198" t="s">
        <v>2679</v>
      </c>
      <c r="B198" t="s">
        <v>946</v>
      </c>
      <c r="C198" t="s">
        <v>1345</v>
      </c>
      <c r="D198" t="s">
        <v>1345</v>
      </c>
      <c r="E198" t="s">
        <v>639</v>
      </c>
      <c r="F198" t="s">
        <v>2285</v>
      </c>
      <c r="G198" s="381">
        <v>0</v>
      </c>
      <c r="H198" s="381"/>
      <c r="I198" s="381">
        <v>227</v>
      </c>
      <c r="J198" s="381">
        <v>0</v>
      </c>
      <c r="K198" s="381">
        <v>0</v>
      </c>
      <c r="L198" s="381"/>
      <c r="M198" s="381">
        <v>227</v>
      </c>
      <c r="N198" s="381">
        <v>0</v>
      </c>
      <c r="O198" s="381">
        <v>0</v>
      </c>
      <c r="P198" s="381">
        <v>0</v>
      </c>
    </row>
    <row r="199" spans="1:16">
      <c r="A199" t="s">
        <v>2685</v>
      </c>
      <c r="B199" t="s">
        <v>950</v>
      </c>
      <c r="C199" t="s">
        <v>1345</v>
      </c>
      <c r="D199" t="s">
        <v>1345</v>
      </c>
      <c r="E199" t="s">
        <v>639</v>
      </c>
      <c r="F199" t="s">
        <v>818</v>
      </c>
      <c r="G199" s="381">
        <v>0</v>
      </c>
      <c r="H199" s="381"/>
      <c r="I199" s="381"/>
      <c r="J199" s="381">
        <v>9470.91</v>
      </c>
      <c r="K199" s="381">
        <v>0</v>
      </c>
      <c r="L199" s="381"/>
      <c r="M199" s="381"/>
      <c r="N199" s="381">
        <v>9470.91</v>
      </c>
      <c r="O199" s="381">
        <v>0</v>
      </c>
      <c r="P199" s="381">
        <v>0</v>
      </c>
    </row>
    <row r="200" spans="1:16">
      <c r="A200" t="s">
        <v>2009</v>
      </c>
      <c r="B200" t="s">
        <v>522</v>
      </c>
      <c r="C200" t="s">
        <v>1345</v>
      </c>
      <c r="D200" t="s">
        <v>1345</v>
      </c>
      <c r="E200" t="s">
        <v>389</v>
      </c>
      <c r="F200" t="s">
        <v>1574</v>
      </c>
      <c r="G200" s="381">
        <v>1990.16</v>
      </c>
      <c r="H200" s="381">
        <v>1841.45</v>
      </c>
      <c r="I200" s="381">
        <v>1719.99</v>
      </c>
      <c r="J200" s="381">
        <v>-1298.05</v>
      </c>
      <c r="K200" s="381">
        <v>-2552.9100000000003</v>
      </c>
      <c r="L200" s="381">
        <v>1841.45</v>
      </c>
      <c r="M200" s="381">
        <v>1719.99</v>
      </c>
      <c r="N200" s="381">
        <v>-1298.05</v>
      </c>
      <c r="O200" s="381">
        <v>0</v>
      </c>
      <c r="P200" s="381">
        <v>0</v>
      </c>
    </row>
    <row r="201" spans="1:16">
      <c r="A201" t="s">
        <v>2024</v>
      </c>
      <c r="B201" t="s">
        <v>533</v>
      </c>
      <c r="C201" t="s">
        <v>1345</v>
      </c>
      <c r="D201" t="s">
        <v>1345</v>
      </c>
      <c r="E201" t="s">
        <v>389</v>
      </c>
      <c r="F201" t="s">
        <v>1855</v>
      </c>
      <c r="G201" s="381">
        <v>1259</v>
      </c>
      <c r="H201" s="381">
        <v>1566</v>
      </c>
      <c r="I201" s="381">
        <v>1439</v>
      </c>
      <c r="J201" s="381">
        <v>4092</v>
      </c>
      <c r="K201" s="381">
        <v>1259</v>
      </c>
      <c r="L201" s="381">
        <v>1566</v>
      </c>
      <c r="M201" s="381">
        <v>1439</v>
      </c>
      <c r="N201" s="381">
        <v>4092</v>
      </c>
      <c r="O201" s="381">
        <v>1598</v>
      </c>
      <c r="P201" s="381">
        <v>1598</v>
      </c>
    </row>
    <row r="202" spans="1:16">
      <c r="A202" t="s">
        <v>2011</v>
      </c>
      <c r="B202" t="s">
        <v>524</v>
      </c>
      <c r="C202" t="s">
        <v>1345</v>
      </c>
      <c r="D202" t="s">
        <v>1345</v>
      </c>
      <c r="E202" t="s">
        <v>389</v>
      </c>
      <c r="F202" t="s">
        <v>1174</v>
      </c>
      <c r="G202" s="381">
        <v>139.44999999999999</v>
      </c>
      <c r="H202" s="381">
        <v>961.55</v>
      </c>
      <c r="I202" s="381">
        <v>816.59</v>
      </c>
      <c r="J202" s="381">
        <v>725.14</v>
      </c>
      <c r="K202" s="381">
        <v>1450.2800000000002</v>
      </c>
      <c r="L202" s="381">
        <v>961.55</v>
      </c>
      <c r="M202" s="381">
        <v>816.59</v>
      </c>
      <c r="N202" s="381">
        <v>725.14</v>
      </c>
      <c r="O202" s="381">
        <v>852.75</v>
      </c>
      <c r="P202" s="381">
        <v>852.75</v>
      </c>
    </row>
    <row r="203" spans="1:16">
      <c r="A203" t="s">
        <v>1432</v>
      </c>
      <c r="B203" t="s">
        <v>198</v>
      </c>
      <c r="C203" t="s">
        <v>1345</v>
      </c>
      <c r="D203" t="s">
        <v>1345</v>
      </c>
      <c r="E203" t="s">
        <v>49</v>
      </c>
      <c r="F203" t="s">
        <v>1147</v>
      </c>
      <c r="G203" s="381">
        <v>577046</v>
      </c>
      <c r="H203" s="381">
        <v>579568</v>
      </c>
      <c r="I203" s="381">
        <v>-598991</v>
      </c>
      <c r="J203" s="381">
        <v>-317436</v>
      </c>
      <c r="K203" s="381">
        <v>-397395</v>
      </c>
      <c r="L203" s="381">
        <v>579568</v>
      </c>
      <c r="M203" s="381">
        <v>-598991</v>
      </c>
      <c r="N203" s="381">
        <v>-317436</v>
      </c>
      <c r="O203" s="381">
        <v>110000</v>
      </c>
      <c r="P203" s="381">
        <v>110000</v>
      </c>
    </row>
    <row r="204" spans="1:16">
      <c r="A204" t="s">
        <v>2030</v>
      </c>
      <c r="B204" t="s">
        <v>536</v>
      </c>
      <c r="C204" t="s">
        <v>1345</v>
      </c>
      <c r="D204" t="s">
        <v>1345</v>
      </c>
      <c r="E204" t="s">
        <v>389</v>
      </c>
      <c r="F204" t="s">
        <v>2031</v>
      </c>
      <c r="G204" s="381">
        <v>738.27</v>
      </c>
      <c r="H204" s="381">
        <v>730.3</v>
      </c>
      <c r="I204" s="381">
        <v>738.84</v>
      </c>
      <c r="J204" s="381">
        <v>752.07</v>
      </c>
      <c r="K204" s="381">
        <v>704.13</v>
      </c>
      <c r="L204" s="381">
        <v>730.3</v>
      </c>
      <c r="M204" s="381">
        <v>738.84</v>
      </c>
      <c r="N204" s="381">
        <v>752.07</v>
      </c>
      <c r="O204" s="381">
        <v>752.07</v>
      </c>
      <c r="P204" s="381">
        <v>752.07</v>
      </c>
    </row>
    <row r="205" spans="1:16">
      <c r="A205" t="s">
        <v>2010</v>
      </c>
      <c r="B205" t="s">
        <v>523</v>
      </c>
      <c r="C205" t="s">
        <v>1345</v>
      </c>
      <c r="D205" t="s">
        <v>1345</v>
      </c>
      <c r="E205" t="s">
        <v>389</v>
      </c>
      <c r="F205" t="s">
        <v>1147</v>
      </c>
      <c r="G205" s="381">
        <v>4772</v>
      </c>
      <c r="H205" s="381"/>
      <c r="I205" s="381"/>
      <c r="J205" s="381">
        <v>7840</v>
      </c>
      <c r="K205" s="381">
        <v>4772</v>
      </c>
      <c r="L205" s="381"/>
      <c r="M205" s="381"/>
      <c r="N205" s="381">
        <v>7840</v>
      </c>
      <c r="O205" s="381">
        <v>-2500</v>
      </c>
      <c r="P205" s="381">
        <v>-2500</v>
      </c>
    </row>
    <row r="206" spans="1:16">
      <c r="A206" t="s">
        <v>2032</v>
      </c>
      <c r="B206" t="s">
        <v>538</v>
      </c>
      <c r="C206" t="s">
        <v>1345</v>
      </c>
      <c r="D206" t="s">
        <v>1345</v>
      </c>
      <c r="E206" t="s">
        <v>389</v>
      </c>
      <c r="F206" t="s">
        <v>1327</v>
      </c>
      <c r="G206" s="381">
        <v>0.12</v>
      </c>
      <c r="H206" s="381">
        <v>-0.3</v>
      </c>
      <c r="I206" s="381">
        <v>0.57999999999999996</v>
      </c>
      <c r="J206" s="381">
        <v>-0.16</v>
      </c>
      <c r="K206" s="381">
        <v>-0.5</v>
      </c>
      <c r="L206" s="381">
        <v>-0.3</v>
      </c>
      <c r="M206" s="381">
        <v>0.57999999999999996</v>
      </c>
      <c r="N206" s="381">
        <v>-0.16</v>
      </c>
      <c r="O206" s="381">
        <v>0</v>
      </c>
      <c r="P206" s="381">
        <v>0</v>
      </c>
    </row>
    <row r="207" spans="1:16">
      <c r="A207" t="s">
        <v>2664</v>
      </c>
      <c r="B207" t="s">
        <v>940</v>
      </c>
      <c r="C207" t="s">
        <v>1345</v>
      </c>
      <c r="D207" t="s">
        <v>1345</v>
      </c>
      <c r="E207" t="s">
        <v>639</v>
      </c>
      <c r="F207" t="s">
        <v>1138</v>
      </c>
      <c r="G207" s="381">
        <v>0</v>
      </c>
      <c r="H207" s="381"/>
      <c r="I207" s="381">
        <v>218.76</v>
      </c>
      <c r="J207" s="381">
        <v>0</v>
      </c>
      <c r="K207" s="381">
        <v>0</v>
      </c>
      <c r="L207" s="381"/>
      <c r="M207" s="381">
        <v>218.76</v>
      </c>
      <c r="N207" s="381">
        <v>0</v>
      </c>
      <c r="O207" s="381">
        <v>0</v>
      </c>
      <c r="P207" s="381">
        <v>0</v>
      </c>
    </row>
    <row r="208" spans="1:16">
      <c r="A208" t="s">
        <v>2699</v>
      </c>
      <c r="B208" t="s">
        <v>955</v>
      </c>
      <c r="C208" t="s">
        <v>1345</v>
      </c>
      <c r="D208" t="s">
        <v>1345</v>
      </c>
      <c r="E208" t="s">
        <v>639</v>
      </c>
      <c r="F208" t="s">
        <v>1327</v>
      </c>
      <c r="G208" s="381">
        <v>0</v>
      </c>
      <c r="H208" s="381"/>
      <c r="I208" s="381">
        <v>0.24</v>
      </c>
      <c r="J208" s="381">
        <v>0.09</v>
      </c>
      <c r="K208" s="381">
        <v>0</v>
      </c>
      <c r="L208" s="381"/>
      <c r="M208" s="381">
        <v>0.24</v>
      </c>
      <c r="N208" s="381">
        <v>0.09</v>
      </c>
      <c r="O208" s="381">
        <v>0</v>
      </c>
      <c r="P208" s="381">
        <v>0</v>
      </c>
    </row>
    <row r="209" spans="1:16">
      <c r="A209" t="s">
        <v>2162</v>
      </c>
      <c r="B209" t="s">
        <v>613</v>
      </c>
      <c r="C209" t="s">
        <v>1345</v>
      </c>
      <c r="D209" t="s">
        <v>1345</v>
      </c>
      <c r="E209" t="s">
        <v>602</v>
      </c>
      <c r="F209" t="s">
        <v>611</v>
      </c>
      <c r="G209" s="381">
        <v>0</v>
      </c>
      <c r="H209" s="381">
        <v>57</v>
      </c>
      <c r="I209" s="381">
        <v>0</v>
      </c>
      <c r="J209" s="381">
        <v>0</v>
      </c>
      <c r="K209" s="381">
        <v>16</v>
      </c>
      <c r="L209" s="381">
        <v>57</v>
      </c>
      <c r="M209" s="381">
        <v>0</v>
      </c>
      <c r="N209" s="381">
        <v>0</v>
      </c>
      <c r="O209" s="381">
        <v>0</v>
      </c>
      <c r="P209" s="381">
        <v>0</v>
      </c>
    </row>
    <row r="210" spans="1:16">
      <c r="A210" t="s">
        <v>1472</v>
      </c>
      <c r="B210" t="s">
        <v>222</v>
      </c>
      <c r="C210" t="s">
        <v>1345</v>
      </c>
      <c r="D210" t="s">
        <v>1450</v>
      </c>
      <c r="E210" t="s">
        <v>49</v>
      </c>
      <c r="F210" t="s">
        <v>1473</v>
      </c>
      <c r="G210" s="381">
        <v>0</v>
      </c>
      <c r="H210" s="381"/>
      <c r="I210" s="381"/>
      <c r="J210" s="381"/>
      <c r="K210" s="381">
        <v>0</v>
      </c>
      <c r="L210" s="381"/>
      <c r="M210" s="381"/>
      <c r="N210" s="381"/>
      <c r="O210" s="381">
        <v>0</v>
      </c>
      <c r="P210" s="381">
        <v>82000</v>
      </c>
    </row>
    <row r="211" spans="1:16">
      <c r="A211" t="s">
        <v>1466</v>
      </c>
      <c r="B211" t="s">
        <v>215</v>
      </c>
      <c r="C211" t="s">
        <v>1345</v>
      </c>
      <c r="D211" t="s">
        <v>1450</v>
      </c>
      <c r="E211" t="s">
        <v>49</v>
      </c>
      <c r="F211" t="s">
        <v>1467</v>
      </c>
      <c r="G211" s="381">
        <v>0</v>
      </c>
      <c r="H211" s="381"/>
      <c r="I211" s="381"/>
      <c r="J211" s="381"/>
      <c r="K211" s="381">
        <v>79.41</v>
      </c>
      <c r="L211" s="381"/>
      <c r="M211" s="381"/>
      <c r="N211" s="381"/>
      <c r="O211" s="381"/>
      <c r="P211" s="381"/>
    </row>
    <row r="212" spans="1:16">
      <c r="A212" t="s">
        <v>2038</v>
      </c>
      <c r="B212" t="s">
        <v>541</v>
      </c>
      <c r="C212" t="s">
        <v>1345</v>
      </c>
      <c r="D212" t="s">
        <v>1450</v>
      </c>
      <c r="E212" t="s">
        <v>389</v>
      </c>
      <c r="F212" t="s">
        <v>1467</v>
      </c>
      <c r="G212" s="381">
        <v>1792.83</v>
      </c>
      <c r="H212" s="381">
        <v>988.33</v>
      </c>
      <c r="I212" s="381">
        <v>988.33</v>
      </c>
      <c r="J212" s="381">
        <v>988.33</v>
      </c>
      <c r="K212" s="381">
        <v>988.32999999999993</v>
      </c>
      <c r="L212" s="381">
        <v>988.33</v>
      </c>
      <c r="M212" s="381">
        <v>988.33</v>
      </c>
      <c r="N212" s="381">
        <v>988.33</v>
      </c>
      <c r="O212" s="381">
        <v>988.33</v>
      </c>
      <c r="P212" s="381">
        <v>988.33</v>
      </c>
    </row>
    <row r="213" spans="1:16">
      <c r="A213" t="s">
        <v>2703</v>
      </c>
      <c r="B213" t="s">
        <v>957</v>
      </c>
      <c r="C213" t="s">
        <v>1345</v>
      </c>
      <c r="D213" t="s">
        <v>1450</v>
      </c>
      <c r="E213" t="s">
        <v>639</v>
      </c>
      <c r="F213" t="s">
        <v>818</v>
      </c>
      <c r="G213" s="381">
        <v>0</v>
      </c>
      <c r="H213" s="381"/>
      <c r="I213" s="381"/>
      <c r="J213" s="381">
        <v>10022.1</v>
      </c>
      <c r="K213" s="381">
        <v>0</v>
      </c>
      <c r="L213" s="381"/>
      <c r="M213" s="381"/>
      <c r="N213" s="381">
        <v>10022.1</v>
      </c>
      <c r="O213" s="381">
        <v>0</v>
      </c>
      <c r="P213" s="381">
        <v>0</v>
      </c>
    </row>
    <row r="214" spans="1:16">
      <c r="A214" t="s">
        <v>1449</v>
      </c>
      <c r="B214" t="s">
        <v>204</v>
      </c>
      <c r="C214" t="s">
        <v>1345</v>
      </c>
      <c r="D214" t="s">
        <v>1450</v>
      </c>
      <c r="E214" t="s">
        <v>49</v>
      </c>
      <c r="F214" t="s">
        <v>1174</v>
      </c>
      <c r="G214" s="381">
        <v>1593.8</v>
      </c>
      <c r="H214" s="381">
        <v>183.12</v>
      </c>
      <c r="I214" s="381">
        <v>1029.04</v>
      </c>
      <c r="J214" s="381">
        <v>1681.3</v>
      </c>
      <c r="K214" s="381">
        <v>85.08</v>
      </c>
      <c r="L214" s="381">
        <v>183.12</v>
      </c>
      <c r="M214" s="381">
        <v>1029.04</v>
      </c>
      <c r="N214" s="381">
        <v>1681.3</v>
      </c>
      <c r="O214" s="381">
        <v>0</v>
      </c>
      <c r="P214" s="381">
        <v>0</v>
      </c>
    </row>
    <row r="215" spans="1:16">
      <c r="A215" t="s">
        <v>2039</v>
      </c>
      <c r="B215" t="s">
        <v>542</v>
      </c>
      <c r="C215" t="s">
        <v>1345</v>
      </c>
      <c r="D215" t="s">
        <v>1450</v>
      </c>
      <c r="E215" t="s">
        <v>389</v>
      </c>
      <c r="F215" t="s">
        <v>1703</v>
      </c>
      <c r="G215" s="381">
        <v>510.91</v>
      </c>
      <c r="H215" s="381">
        <v>685.96</v>
      </c>
      <c r="I215" s="381">
        <v>685.96</v>
      </c>
      <c r="J215" s="381">
        <v>0</v>
      </c>
      <c r="K215" s="381">
        <v>685.96</v>
      </c>
      <c r="L215" s="381">
        <v>685.96</v>
      </c>
      <c r="M215" s="381">
        <v>685.96</v>
      </c>
      <c r="N215" s="381">
        <v>0</v>
      </c>
      <c r="O215" s="381">
        <v>685</v>
      </c>
      <c r="P215" s="381">
        <v>685</v>
      </c>
    </row>
    <row r="216" spans="1:16">
      <c r="A216" t="s">
        <v>2040</v>
      </c>
      <c r="B216" t="s">
        <v>543</v>
      </c>
      <c r="C216" t="s">
        <v>1345</v>
      </c>
      <c r="D216" t="s">
        <v>1450</v>
      </c>
      <c r="E216" t="s">
        <v>389</v>
      </c>
      <c r="F216" t="s">
        <v>1855</v>
      </c>
      <c r="G216" s="381">
        <v>1749</v>
      </c>
      <c r="H216" s="381">
        <v>2137</v>
      </c>
      <c r="I216" s="381">
        <v>1809</v>
      </c>
      <c r="J216" s="381">
        <v>3876</v>
      </c>
      <c r="K216" s="381">
        <v>1548</v>
      </c>
      <c r="L216" s="381">
        <v>2137</v>
      </c>
      <c r="M216" s="381">
        <v>1809</v>
      </c>
      <c r="N216" s="381">
        <v>3876</v>
      </c>
      <c r="O216" s="381">
        <v>3000</v>
      </c>
      <c r="P216" s="381">
        <v>3000</v>
      </c>
    </row>
    <row r="217" spans="1:16">
      <c r="A217" t="s">
        <v>2035</v>
      </c>
      <c r="B217" t="s">
        <v>539</v>
      </c>
      <c r="C217" t="s">
        <v>1345</v>
      </c>
      <c r="D217" t="s">
        <v>1450</v>
      </c>
      <c r="E217" t="s">
        <v>389</v>
      </c>
      <c r="F217" t="s">
        <v>1174</v>
      </c>
      <c r="G217" s="381">
        <v>1030.1999999999998</v>
      </c>
      <c r="H217" s="381">
        <v>1075.3900000000001</v>
      </c>
      <c r="I217" s="381">
        <v>1075.5999999999999</v>
      </c>
      <c r="J217" s="381">
        <v>926.67</v>
      </c>
      <c r="K217" s="381">
        <v>1176.04</v>
      </c>
      <c r="L217" s="381">
        <v>1075.3900000000001</v>
      </c>
      <c r="M217" s="381">
        <v>1075.5999999999999</v>
      </c>
      <c r="N217" s="381">
        <v>926.67</v>
      </c>
      <c r="O217" s="381">
        <v>2000</v>
      </c>
      <c r="P217" s="381">
        <v>2000</v>
      </c>
    </row>
    <row r="218" spans="1:16">
      <c r="A218" t="s">
        <v>1463</v>
      </c>
      <c r="B218" t="s">
        <v>213</v>
      </c>
      <c r="C218" t="s">
        <v>1345</v>
      </c>
      <c r="D218" t="s">
        <v>1450</v>
      </c>
      <c r="E218" t="s">
        <v>49</v>
      </c>
      <c r="F218" t="s">
        <v>1464</v>
      </c>
      <c r="G218" s="381">
        <v>0</v>
      </c>
      <c r="H218" s="381"/>
      <c r="I218" s="381"/>
      <c r="J218" s="381"/>
      <c r="K218" s="381">
        <v>0</v>
      </c>
      <c r="L218" s="381"/>
      <c r="M218" s="381"/>
      <c r="N218" s="381"/>
      <c r="O218" s="381"/>
      <c r="P218" s="381"/>
    </row>
    <row r="219" spans="1:16">
      <c r="A219" t="s">
        <v>1470</v>
      </c>
      <c r="B219" t="s">
        <v>220</v>
      </c>
      <c r="C219" t="s">
        <v>1345</v>
      </c>
      <c r="D219" t="s">
        <v>1450</v>
      </c>
      <c r="E219" t="s">
        <v>49</v>
      </c>
      <c r="F219" t="s">
        <v>1471</v>
      </c>
      <c r="G219" s="381">
        <v>0</v>
      </c>
      <c r="H219" s="381"/>
      <c r="I219" s="381"/>
      <c r="J219" s="381"/>
      <c r="K219" s="381">
        <v>0</v>
      </c>
      <c r="L219" s="381"/>
      <c r="M219" s="381"/>
      <c r="N219" s="381"/>
      <c r="O219" s="381">
        <v>2917</v>
      </c>
      <c r="P219" s="381">
        <v>2917</v>
      </c>
    </row>
    <row r="220" spans="1:16">
      <c r="A220" t="s">
        <v>2036</v>
      </c>
      <c r="B220" t="s">
        <v>540</v>
      </c>
      <c r="C220" t="s">
        <v>1345</v>
      </c>
      <c r="D220" t="s">
        <v>1450</v>
      </c>
      <c r="E220" t="s">
        <v>389</v>
      </c>
      <c r="F220" t="s">
        <v>1464</v>
      </c>
      <c r="G220" s="381">
        <v>0</v>
      </c>
      <c r="H220" s="381"/>
      <c r="I220" s="381"/>
      <c r="J220" s="381">
        <v>8751</v>
      </c>
      <c r="K220" s="381">
        <v>5834</v>
      </c>
      <c r="L220" s="381"/>
      <c r="M220" s="381"/>
      <c r="N220" s="381">
        <v>8751</v>
      </c>
      <c r="O220" s="381">
        <v>2917</v>
      </c>
      <c r="P220" s="381">
        <v>2917</v>
      </c>
    </row>
    <row r="221" spans="1:16">
      <c r="A221" t="s">
        <v>1452</v>
      </c>
      <c r="B221" t="s">
        <v>205</v>
      </c>
      <c r="C221" t="s">
        <v>1345</v>
      </c>
      <c r="D221" t="s">
        <v>1450</v>
      </c>
      <c r="E221" t="s">
        <v>49</v>
      </c>
      <c r="F221" t="s">
        <v>1453</v>
      </c>
      <c r="G221" s="381">
        <v>5172.1500000000306</v>
      </c>
      <c r="H221" s="381">
        <v>123337.5</v>
      </c>
      <c r="I221" s="381">
        <v>19442.91</v>
      </c>
      <c r="J221" s="381">
        <v>113117.11</v>
      </c>
      <c r="K221" s="381">
        <v>-24184.46000000001</v>
      </c>
      <c r="L221" s="381">
        <v>123337.5</v>
      </c>
      <c r="M221" s="381">
        <v>19442.91</v>
      </c>
      <c r="N221" s="381">
        <v>113117.11</v>
      </c>
      <c r="O221" s="381">
        <v>5000</v>
      </c>
      <c r="P221" s="381">
        <v>-200000</v>
      </c>
    </row>
    <row r="222" spans="1:16">
      <c r="A222" t="s">
        <v>1456</v>
      </c>
      <c r="B222" t="s">
        <v>207</v>
      </c>
      <c r="C222" t="s">
        <v>1345</v>
      </c>
      <c r="D222" t="s">
        <v>1450</v>
      </c>
      <c r="E222" t="s">
        <v>49</v>
      </c>
      <c r="F222" t="s">
        <v>1457</v>
      </c>
      <c r="G222" s="381">
        <v>92692.25</v>
      </c>
      <c r="H222" s="381">
        <v>-5507.82</v>
      </c>
      <c r="I222" s="381">
        <v>-0.18</v>
      </c>
      <c r="J222" s="381">
        <v>0</v>
      </c>
      <c r="K222" s="381">
        <v>25462.14</v>
      </c>
      <c r="L222" s="381">
        <v>-5507.82</v>
      </c>
      <c r="M222" s="381">
        <v>-0.18</v>
      </c>
      <c r="N222" s="381">
        <v>0</v>
      </c>
      <c r="O222" s="381">
        <v>102000</v>
      </c>
      <c r="P222" s="381">
        <v>0</v>
      </c>
    </row>
    <row r="223" spans="1:16">
      <c r="A223" t="s">
        <v>1459</v>
      </c>
      <c r="B223" t="s">
        <v>209</v>
      </c>
      <c r="C223" t="s">
        <v>1345</v>
      </c>
      <c r="D223" t="s">
        <v>1450</v>
      </c>
      <c r="E223" t="s">
        <v>49</v>
      </c>
      <c r="F223" t="s">
        <v>1460</v>
      </c>
      <c r="G223" s="381">
        <v>0</v>
      </c>
      <c r="H223" s="381"/>
      <c r="I223" s="381"/>
      <c r="J223" s="381"/>
      <c r="K223" s="381">
        <v>0</v>
      </c>
      <c r="L223" s="381"/>
      <c r="M223" s="381"/>
      <c r="N223" s="381"/>
      <c r="O223" s="381">
        <v>5000</v>
      </c>
      <c r="P223" s="381">
        <v>5000</v>
      </c>
    </row>
    <row r="224" spans="1:16">
      <c r="A224" t="s">
        <v>1461</v>
      </c>
      <c r="B224" t="s">
        <v>211</v>
      </c>
      <c r="C224" t="s">
        <v>1345</v>
      </c>
      <c r="D224" t="s">
        <v>1450</v>
      </c>
      <c r="E224" t="s">
        <v>49</v>
      </c>
      <c r="F224" t="s">
        <v>1462</v>
      </c>
      <c r="G224" s="381">
        <v>0</v>
      </c>
      <c r="H224" s="381"/>
      <c r="I224" s="381"/>
      <c r="J224" s="381"/>
      <c r="K224" s="381">
        <v>0</v>
      </c>
      <c r="L224" s="381"/>
      <c r="M224" s="381"/>
      <c r="N224" s="381"/>
      <c r="O224" s="381"/>
      <c r="P224" s="381"/>
    </row>
    <row r="225" spans="1:16">
      <c r="A225" t="s">
        <v>1474</v>
      </c>
      <c r="B225" t="s">
        <v>224</v>
      </c>
      <c r="C225" t="s">
        <v>1345</v>
      </c>
      <c r="D225" t="s">
        <v>1450</v>
      </c>
      <c r="E225" t="s">
        <v>49</v>
      </c>
      <c r="F225" t="s">
        <v>1475</v>
      </c>
      <c r="G225" s="381">
        <v>0</v>
      </c>
      <c r="H225" s="381"/>
      <c r="I225" s="381"/>
      <c r="J225" s="381">
        <v>70950</v>
      </c>
      <c r="K225" s="381">
        <v>0</v>
      </c>
      <c r="L225" s="381"/>
      <c r="M225" s="381"/>
      <c r="N225" s="381">
        <v>70950</v>
      </c>
      <c r="O225" s="381">
        <v>0</v>
      </c>
      <c r="P225" s="381">
        <v>0</v>
      </c>
    </row>
    <row r="226" spans="1:16">
      <c r="A226" t="s">
        <v>1476</v>
      </c>
      <c r="B226" t="s">
        <v>226</v>
      </c>
      <c r="C226" t="s">
        <v>1345</v>
      </c>
      <c r="D226" t="s">
        <v>1450</v>
      </c>
      <c r="E226" t="s">
        <v>49</v>
      </c>
      <c r="F226" t="s">
        <v>1327</v>
      </c>
      <c r="G226" s="381">
        <v>0.8</v>
      </c>
      <c r="H226" s="381">
        <v>-0.15</v>
      </c>
      <c r="I226" s="381">
        <v>0.23</v>
      </c>
      <c r="J226" s="381">
        <v>-0.41</v>
      </c>
      <c r="K226" s="381">
        <v>-0.17</v>
      </c>
      <c r="L226" s="381">
        <v>-0.15</v>
      </c>
      <c r="M226" s="381">
        <v>0.23</v>
      </c>
      <c r="N226" s="381">
        <v>-0.41</v>
      </c>
      <c r="O226" s="381">
        <v>0</v>
      </c>
      <c r="P226" s="381">
        <v>0</v>
      </c>
    </row>
    <row r="227" spans="1:16">
      <c r="A227" t="s">
        <v>1477</v>
      </c>
      <c r="B227" t="s">
        <v>227</v>
      </c>
      <c r="C227" t="s">
        <v>1345</v>
      </c>
      <c r="D227" t="s">
        <v>1450</v>
      </c>
      <c r="E227" t="s">
        <v>49</v>
      </c>
      <c r="F227" t="s">
        <v>1340</v>
      </c>
      <c r="G227" s="381">
        <v>0</v>
      </c>
      <c r="H227" s="381">
        <v>-487.65</v>
      </c>
      <c r="I227" s="381">
        <v>-3796</v>
      </c>
      <c r="J227" s="381">
        <v>0</v>
      </c>
      <c r="K227" s="381">
        <v>0</v>
      </c>
      <c r="L227" s="381">
        <v>-487.65</v>
      </c>
      <c r="M227" s="381">
        <v>-3796</v>
      </c>
      <c r="N227" s="381">
        <v>0</v>
      </c>
      <c r="O227" s="381">
        <v>0</v>
      </c>
      <c r="P227" s="381">
        <v>0</v>
      </c>
    </row>
    <row r="228" spans="1:16">
      <c r="A228" t="s">
        <v>2041</v>
      </c>
      <c r="B228" t="s">
        <v>544</v>
      </c>
      <c r="C228" t="s">
        <v>1345</v>
      </c>
      <c r="D228" t="s">
        <v>1450</v>
      </c>
      <c r="E228" t="s">
        <v>389</v>
      </c>
      <c r="F228" t="s">
        <v>1327</v>
      </c>
      <c r="G228" s="381">
        <v>0.06</v>
      </c>
      <c r="H228" s="381">
        <v>0.32</v>
      </c>
      <c r="I228" s="381">
        <v>0.11</v>
      </c>
      <c r="J228" s="381">
        <v>0</v>
      </c>
      <c r="K228" s="381">
        <v>-0.33</v>
      </c>
      <c r="L228" s="381">
        <v>0.32</v>
      </c>
      <c r="M228" s="381">
        <v>0.11</v>
      </c>
      <c r="N228" s="381">
        <v>0</v>
      </c>
      <c r="O228" s="381">
        <v>0</v>
      </c>
      <c r="P228" s="381">
        <v>0</v>
      </c>
    </row>
    <row r="229" spans="1:16">
      <c r="A229" t="s">
        <v>2702</v>
      </c>
      <c r="B229" t="s">
        <v>956</v>
      </c>
      <c r="C229" t="s">
        <v>1345</v>
      </c>
      <c r="D229" t="s">
        <v>1450</v>
      </c>
      <c r="E229" t="s">
        <v>639</v>
      </c>
      <c r="F229" t="s">
        <v>1138</v>
      </c>
      <c r="G229" s="381">
        <v>0</v>
      </c>
      <c r="H229" s="381"/>
      <c r="I229" s="381">
        <v>431.03</v>
      </c>
      <c r="J229" s="381">
        <v>0</v>
      </c>
      <c r="K229" s="381">
        <v>0</v>
      </c>
      <c r="L229" s="381"/>
      <c r="M229" s="381">
        <v>431.03</v>
      </c>
      <c r="N229" s="381">
        <v>0</v>
      </c>
      <c r="O229" s="381">
        <v>0</v>
      </c>
      <c r="P229" s="381">
        <v>0</v>
      </c>
    </row>
    <row r="230" spans="1:16">
      <c r="A230" t="s">
        <v>2704</v>
      </c>
      <c r="B230" t="s">
        <v>958</v>
      </c>
      <c r="C230" t="s">
        <v>1345</v>
      </c>
      <c r="D230" t="s">
        <v>1450</v>
      </c>
      <c r="E230" t="s">
        <v>639</v>
      </c>
      <c r="F230" t="s">
        <v>1327</v>
      </c>
      <c r="G230" s="381">
        <v>0</v>
      </c>
      <c r="H230" s="381"/>
      <c r="I230" s="381">
        <v>-0.03</v>
      </c>
      <c r="J230" s="381">
        <v>-0.1</v>
      </c>
      <c r="K230" s="381">
        <v>0</v>
      </c>
      <c r="L230" s="381"/>
      <c r="M230" s="381">
        <v>-0.03</v>
      </c>
      <c r="N230" s="381">
        <v>-0.1</v>
      </c>
      <c r="O230" s="381">
        <v>0</v>
      </c>
      <c r="P230" s="381">
        <v>0</v>
      </c>
    </row>
    <row r="231" spans="1:16">
      <c r="A231" t="s">
        <v>1468</v>
      </c>
      <c r="B231" t="s">
        <v>218</v>
      </c>
      <c r="C231" t="s">
        <v>1345</v>
      </c>
      <c r="D231" t="s">
        <v>1450</v>
      </c>
      <c r="E231" t="s">
        <v>49</v>
      </c>
      <c r="F231" t="s">
        <v>1469</v>
      </c>
      <c r="G231" s="381">
        <v>0</v>
      </c>
      <c r="H231" s="381"/>
      <c r="I231" s="381"/>
      <c r="J231" s="381"/>
      <c r="K231" s="381">
        <v>49060</v>
      </c>
      <c r="L231" s="381"/>
      <c r="M231" s="381"/>
      <c r="N231" s="381"/>
      <c r="O231" s="381">
        <v>0</v>
      </c>
      <c r="P231" s="381">
        <v>50000</v>
      </c>
    </row>
    <row r="232" spans="1:16">
      <c r="A232" t="s">
        <v>2709</v>
      </c>
      <c r="B232" t="s">
        <v>962</v>
      </c>
      <c r="C232" t="s">
        <v>1345</v>
      </c>
      <c r="D232" t="s">
        <v>1480</v>
      </c>
      <c r="E232" t="s">
        <v>639</v>
      </c>
      <c r="F232" t="s">
        <v>2710</v>
      </c>
      <c r="G232" s="381">
        <v>5.0699999999999363</v>
      </c>
      <c r="H232" s="381">
        <v>24000</v>
      </c>
      <c r="I232" s="381">
        <v>0</v>
      </c>
      <c r="J232" s="381">
        <v>0</v>
      </c>
      <c r="K232" s="381">
        <v>-7.8299999999999272</v>
      </c>
      <c r="L232" s="381">
        <v>24000</v>
      </c>
      <c r="M232" s="381">
        <v>0</v>
      </c>
      <c r="N232" s="381">
        <v>0</v>
      </c>
      <c r="O232" s="381">
        <v>0</v>
      </c>
      <c r="P232" s="381">
        <v>0</v>
      </c>
    </row>
    <row r="233" spans="1:16">
      <c r="A233" t="s">
        <v>1491</v>
      </c>
      <c r="B233" t="s">
        <v>231</v>
      </c>
      <c r="C233" t="s">
        <v>1345</v>
      </c>
      <c r="D233" t="s">
        <v>1480</v>
      </c>
      <c r="E233" t="s">
        <v>49</v>
      </c>
      <c r="F233" t="s">
        <v>1492</v>
      </c>
      <c r="G233" s="381">
        <v>50000</v>
      </c>
      <c r="H233" s="381">
        <v>50000</v>
      </c>
      <c r="I233" s="381">
        <v>0</v>
      </c>
      <c r="J233" s="381">
        <v>-50000</v>
      </c>
      <c r="K233" s="381">
        <v>-50000</v>
      </c>
      <c r="L233" s="381">
        <v>50000</v>
      </c>
      <c r="M233" s="381">
        <v>0</v>
      </c>
      <c r="N233" s="381">
        <v>-50000</v>
      </c>
      <c r="O233" s="381">
        <v>50000</v>
      </c>
      <c r="P233" s="381">
        <v>-50000</v>
      </c>
    </row>
    <row r="234" spans="1:16">
      <c r="A234" t="s">
        <v>2056</v>
      </c>
      <c r="B234" t="s">
        <v>551</v>
      </c>
      <c r="C234" t="s">
        <v>1345</v>
      </c>
      <c r="D234" t="s">
        <v>1480</v>
      </c>
      <c r="E234" t="s">
        <v>389</v>
      </c>
      <c r="F234" t="s">
        <v>1492</v>
      </c>
      <c r="G234" s="381">
        <v>0</v>
      </c>
      <c r="H234" s="381"/>
      <c r="I234" s="381"/>
      <c r="J234" s="381"/>
      <c r="K234" s="381">
        <v>0</v>
      </c>
      <c r="L234" s="381"/>
      <c r="M234" s="381"/>
      <c r="N234" s="381"/>
      <c r="O234" s="381"/>
      <c r="P234" s="381">
        <v>0</v>
      </c>
    </row>
    <row r="235" spans="1:16">
      <c r="A235" t="s">
        <v>2717</v>
      </c>
      <c r="B235" t="s">
        <v>967</v>
      </c>
      <c r="C235" t="s">
        <v>1345</v>
      </c>
      <c r="D235" t="s">
        <v>1480</v>
      </c>
      <c r="E235" t="s">
        <v>639</v>
      </c>
      <c r="F235" t="s">
        <v>2285</v>
      </c>
      <c r="G235" s="381">
        <v>0</v>
      </c>
      <c r="H235" s="381"/>
      <c r="I235" s="381"/>
      <c r="J235" s="381"/>
      <c r="K235" s="381">
        <v>0</v>
      </c>
      <c r="L235" s="381"/>
      <c r="M235" s="381"/>
      <c r="N235" s="381"/>
      <c r="O235" s="381"/>
      <c r="P235" s="381"/>
    </row>
    <row r="236" spans="1:16">
      <c r="A236" t="s">
        <v>2725</v>
      </c>
      <c r="B236" t="s">
        <v>973</v>
      </c>
      <c r="C236" t="s">
        <v>1345</v>
      </c>
      <c r="D236" t="s">
        <v>1480</v>
      </c>
      <c r="E236" t="s">
        <v>639</v>
      </c>
      <c r="F236" t="s">
        <v>818</v>
      </c>
      <c r="G236" s="381">
        <v>0</v>
      </c>
      <c r="H236" s="381"/>
      <c r="I236" s="381"/>
      <c r="J236" s="381">
        <v>11218.54</v>
      </c>
      <c r="K236" s="381">
        <v>0</v>
      </c>
      <c r="L236" s="381"/>
      <c r="M236" s="381"/>
      <c r="N236" s="381">
        <v>11218.54</v>
      </c>
      <c r="O236" s="381">
        <v>0</v>
      </c>
      <c r="P236" s="381">
        <v>0</v>
      </c>
    </row>
    <row r="237" spans="1:16">
      <c r="A237" t="s">
        <v>2051</v>
      </c>
      <c r="B237" t="s">
        <v>550</v>
      </c>
      <c r="C237" t="s">
        <v>1345</v>
      </c>
      <c r="D237" t="s">
        <v>1480</v>
      </c>
      <c r="E237" t="s">
        <v>389</v>
      </c>
      <c r="F237" t="s">
        <v>1863</v>
      </c>
      <c r="G237" s="381">
        <v>7060.4400000000005</v>
      </c>
      <c r="H237" s="381">
        <v>6710.29</v>
      </c>
      <c r="I237" s="381">
        <v>-18265.05</v>
      </c>
      <c r="J237" s="381">
        <v>-3131.55</v>
      </c>
      <c r="K237" s="381">
        <v>6784.5</v>
      </c>
      <c r="L237" s="381">
        <v>6710.29</v>
      </c>
      <c r="M237" s="381">
        <v>-18265.05</v>
      </c>
      <c r="N237" s="381">
        <v>-3131.55</v>
      </c>
      <c r="O237" s="381">
        <v>0</v>
      </c>
      <c r="P237" s="381">
        <v>0</v>
      </c>
    </row>
    <row r="238" spans="1:16">
      <c r="A238" t="s">
        <v>2059</v>
      </c>
      <c r="B238" t="s">
        <v>553</v>
      </c>
      <c r="C238" t="s">
        <v>1345</v>
      </c>
      <c r="D238" t="s">
        <v>1480</v>
      </c>
      <c r="E238" t="s">
        <v>389</v>
      </c>
      <c r="F238" t="s">
        <v>1855</v>
      </c>
      <c r="G238" s="381">
        <v>1442</v>
      </c>
      <c r="H238" s="381">
        <v>1883</v>
      </c>
      <c r="I238" s="381">
        <v>1481</v>
      </c>
      <c r="J238" s="381">
        <v>2867</v>
      </c>
      <c r="K238" s="381">
        <v>1442</v>
      </c>
      <c r="L238" s="381">
        <v>1883</v>
      </c>
      <c r="M238" s="381">
        <v>1481</v>
      </c>
      <c r="N238" s="381">
        <v>2867</v>
      </c>
      <c r="O238" s="381">
        <v>2250</v>
      </c>
      <c r="P238" s="381">
        <v>2250</v>
      </c>
    </row>
    <row r="239" spans="1:16">
      <c r="A239" t="s">
        <v>2049</v>
      </c>
      <c r="B239" t="s">
        <v>549</v>
      </c>
      <c r="C239" t="s">
        <v>1345</v>
      </c>
      <c r="D239" t="s">
        <v>1480</v>
      </c>
      <c r="E239" t="s">
        <v>389</v>
      </c>
      <c r="F239" t="s">
        <v>1174</v>
      </c>
      <c r="G239" s="381">
        <v>3606.4999999999995</v>
      </c>
      <c r="H239" s="381">
        <v>4414.1899999999996</v>
      </c>
      <c r="I239" s="381">
        <v>3932.76</v>
      </c>
      <c r="J239" s="381">
        <v>3608.56</v>
      </c>
      <c r="K239" s="381">
        <v>3644.34</v>
      </c>
      <c r="L239" s="381">
        <v>4414.1899999999996</v>
      </c>
      <c r="M239" s="381">
        <v>3932.76</v>
      </c>
      <c r="N239" s="381">
        <v>3608.56</v>
      </c>
      <c r="O239" s="381">
        <v>3000</v>
      </c>
      <c r="P239" s="381">
        <v>3000</v>
      </c>
    </row>
    <row r="240" spans="1:16">
      <c r="A240" t="s">
        <v>2718</v>
      </c>
      <c r="B240" t="s">
        <v>968</v>
      </c>
      <c r="C240" t="s">
        <v>1345</v>
      </c>
      <c r="D240" t="s">
        <v>1480</v>
      </c>
      <c r="E240" t="s">
        <v>639</v>
      </c>
      <c r="F240" t="s">
        <v>2291</v>
      </c>
      <c r="G240" s="381">
        <v>0</v>
      </c>
      <c r="H240" s="381"/>
      <c r="I240" s="381"/>
      <c r="J240" s="381"/>
      <c r="K240" s="381">
        <v>0</v>
      </c>
      <c r="L240" s="381"/>
      <c r="M240" s="381"/>
      <c r="N240" s="381"/>
      <c r="O240" s="381">
        <v>370</v>
      </c>
      <c r="P240" s="381">
        <v>0</v>
      </c>
    </row>
    <row r="241" spans="1:16">
      <c r="A241" t="s">
        <v>2063</v>
      </c>
      <c r="B241" t="s">
        <v>554</v>
      </c>
      <c r="C241" t="s">
        <v>1345</v>
      </c>
      <c r="D241" t="s">
        <v>1480</v>
      </c>
      <c r="E241" t="s">
        <v>389</v>
      </c>
      <c r="F241" t="s">
        <v>1327</v>
      </c>
      <c r="G241" s="381">
        <v>0.06</v>
      </c>
      <c r="H241" s="381">
        <v>-0.48</v>
      </c>
      <c r="I241" s="381">
        <v>0.28999999999999998</v>
      </c>
      <c r="J241" s="381">
        <v>-0.01</v>
      </c>
      <c r="K241" s="381">
        <v>0.16</v>
      </c>
      <c r="L241" s="381">
        <v>-0.48</v>
      </c>
      <c r="M241" s="381">
        <v>0.28999999999999998</v>
      </c>
      <c r="N241" s="381">
        <v>-0.01</v>
      </c>
      <c r="O241" s="381">
        <v>0</v>
      </c>
      <c r="P241" s="381">
        <v>0</v>
      </c>
    </row>
    <row r="242" spans="1:16">
      <c r="A242" t="s">
        <v>2740</v>
      </c>
      <c r="B242" t="s">
        <v>980</v>
      </c>
      <c r="C242" t="s">
        <v>1345</v>
      </c>
      <c r="D242" t="s">
        <v>1480</v>
      </c>
      <c r="E242" t="s">
        <v>639</v>
      </c>
      <c r="F242" t="s">
        <v>1327</v>
      </c>
      <c r="G242" s="381">
        <v>-7.0000000000000007E-2</v>
      </c>
      <c r="H242" s="381"/>
      <c r="I242" s="381">
        <v>18</v>
      </c>
      <c r="J242" s="381">
        <v>-1.54</v>
      </c>
      <c r="K242" s="381">
        <v>0.83</v>
      </c>
      <c r="L242" s="381"/>
      <c r="M242" s="381">
        <v>18</v>
      </c>
      <c r="N242" s="381">
        <v>-1.54</v>
      </c>
      <c r="O242" s="381">
        <v>0</v>
      </c>
      <c r="P242" s="381">
        <v>0</v>
      </c>
    </row>
    <row r="243" spans="1:16">
      <c r="A243" t="s">
        <v>2058</v>
      </c>
      <c r="B243" t="s">
        <v>552</v>
      </c>
      <c r="C243" t="s">
        <v>1345</v>
      </c>
      <c r="D243" t="s">
        <v>1480</v>
      </c>
      <c r="E243" t="s">
        <v>389</v>
      </c>
      <c r="F243" t="s">
        <v>2020</v>
      </c>
      <c r="G243" s="381">
        <v>0</v>
      </c>
      <c r="H243" s="381"/>
      <c r="I243" s="381"/>
      <c r="J243" s="381"/>
      <c r="K243" s="381">
        <v>0</v>
      </c>
      <c r="L243" s="381"/>
      <c r="M243" s="381"/>
      <c r="N243" s="381"/>
      <c r="O243" s="381"/>
      <c r="P243" s="381">
        <v>0</v>
      </c>
    </row>
    <row r="244" spans="1:16">
      <c r="A244" t="s">
        <v>1519</v>
      </c>
      <c r="B244" t="s">
        <v>240</v>
      </c>
      <c r="C244" t="s">
        <v>1345</v>
      </c>
      <c r="D244" t="s">
        <v>1515</v>
      </c>
      <c r="E244" t="s">
        <v>49</v>
      </c>
      <c r="F244" t="s">
        <v>1520</v>
      </c>
      <c r="G244" s="381">
        <v>0</v>
      </c>
      <c r="H244" s="381"/>
      <c r="I244" s="381"/>
      <c r="J244" s="381"/>
      <c r="K244" s="381">
        <v>0</v>
      </c>
      <c r="L244" s="381"/>
      <c r="M244" s="381"/>
      <c r="N244" s="381"/>
      <c r="O244" s="381">
        <v>0</v>
      </c>
      <c r="P244" s="381">
        <v>0</v>
      </c>
    </row>
    <row r="245" spans="1:16">
      <c r="A245" t="s">
        <v>2743</v>
      </c>
      <c r="B245" t="s">
        <v>981</v>
      </c>
      <c r="C245" t="s">
        <v>1345</v>
      </c>
      <c r="D245" t="s">
        <v>1515</v>
      </c>
      <c r="E245" t="s">
        <v>639</v>
      </c>
      <c r="F245" t="s">
        <v>2744</v>
      </c>
      <c r="G245" s="381">
        <v>0</v>
      </c>
      <c r="H245" s="381"/>
      <c r="I245" s="381"/>
      <c r="J245" s="381"/>
      <c r="K245" s="381">
        <v>0</v>
      </c>
      <c r="L245" s="381"/>
      <c r="M245" s="381"/>
      <c r="N245" s="381"/>
      <c r="O245" s="381">
        <v>1500</v>
      </c>
      <c r="P245" s="381">
        <v>1500</v>
      </c>
    </row>
    <row r="246" spans="1:16">
      <c r="A246" t="s">
        <v>2747</v>
      </c>
      <c r="B246" t="s">
        <v>984</v>
      </c>
      <c r="C246" t="s">
        <v>1345</v>
      </c>
      <c r="D246" t="s">
        <v>1515</v>
      </c>
      <c r="E246" t="s">
        <v>639</v>
      </c>
      <c r="F246" t="s">
        <v>2285</v>
      </c>
      <c r="G246" s="381">
        <v>0</v>
      </c>
      <c r="H246" s="381"/>
      <c r="I246" s="381"/>
      <c r="J246" s="381">
        <v>218.38</v>
      </c>
      <c r="K246" s="381">
        <v>0</v>
      </c>
      <c r="L246" s="381"/>
      <c r="M246" s="381"/>
      <c r="N246" s="381">
        <v>218.38</v>
      </c>
      <c r="O246" s="381">
        <v>0</v>
      </c>
      <c r="P246" s="381">
        <v>0</v>
      </c>
    </row>
    <row r="247" spans="1:16">
      <c r="A247" t="s">
        <v>2751</v>
      </c>
      <c r="B247" t="s">
        <v>986</v>
      </c>
      <c r="C247" t="s">
        <v>1345</v>
      </c>
      <c r="D247" t="s">
        <v>1515</v>
      </c>
      <c r="E247" t="s">
        <v>639</v>
      </c>
      <c r="F247" t="s">
        <v>818</v>
      </c>
      <c r="G247" s="381">
        <v>0</v>
      </c>
      <c r="H247" s="381"/>
      <c r="I247" s="381"/>
      <c r="J247" s="381">
        <v>11389.7</v>
      </c>
      <c r="K247" s="381">
        <v>0</v>
      </c>
      <c r="L247" s="381"/>
      <c r="M247" s="381"/>
      <c r="N247" s="381">
        <v>11389.7</v>
      </c>
      <c r="O247" s="381">
        <v>0</v>
      </c>
      <c r="P247" s="381">
        <v>0</v>
      </c>
    </row>
    <row r="248" spans="1:16">
      <c r="A248" t="s">
        <v>2069</v>
      </c>
      <c r="B248" t="s">
        <v>557</v>
      </c>
      <c r="C248" t="s">
        <v>1345</v>
      </c>
      <c r="D248" t="s">
        <v>1515</v>
      </c>
      <c r="E248" t="s">
        <v>389</v>
      </c>
      <c r="F248" t="s">
        <v>1971</v>
      </c>
      <c r="G248" s="381">
        <v>0</v>
      </c>
      <c r="H248" s="381"/>
      <c r="I248" s="381"/>
      <c r="J248" s="381"/>
      <c r="K248" s="381">
        <v>0</v>
      </c>
      <c r="L248" s="381"/>
      <c r="M248" s="381"/>
      <c r="N248" s="381"/>
      <c r="O248" s="381">
        <v>160</v>
      </c>
      <c r="P248" s="381">
        <v>160</v>
      </c>
    </row>
    <row r="249" spans="1:16">
      <c r="A249" t="s">
        <v>2070</v>
      </c>
      <c r="B249" t="s">
        <v>558</v>
      </c>
      <c r="C249" t="s">
        <v>1345</v>
      </c>
      <c r="D249" t="s">
        <v>1515</v>
      </c>
      <c r="E249" t="s">
        <v>389</v>
      </c>
      <c r="F249" t="s">
        <v>2071</v>
      </c>
      <c r="G249" s="381">
        <v>0</v>
      </c>
      <c r="H249" s="381"/>
      <c r="I249" s="381"/>
      <c r="J249" s="381"/>
      <c r="K249" s="381">
        <v>0</v>
      </c>
      <c r="L249" s="381"/>
      <c r="M249" s="381"/>
      <c r="N249" s="381"/>
      <c r="O249" s="381">
        <v>1100</v>
      </c>
      <c r="P249" s="381">
        <v>1100</v>
      </c>
    </row>
    <row r="250" spans="1:16">
      <c r="A250" t="s">
        <v>2072</v>
      </c>
      <c r="B250" t="s">
        <v>560</v>
      </c>
      <c r="C250" t="s">
        <v>1345</v>
      </c>
      <c r="D250" t="s">
        <v>1515</v>
      </c>
      <c r="E250" t="s">
        <v>389</v>
      </c>
      <c r="F250" t="s">
        <v>1855</v>
      </c>
      <c r="G250" s="381">
        <v>0</v>
      </c>
      <c r="H250" s="381">
        <v>60</v>
      </c>
      <c r="I250" s="381">
        <v>0</v>
      </c>
      <c r="J250" s="381">
        <v>3502</v>
      </c>
      <c r="K250" s="381">
        <v>0</v>
      </c>
      <c r="L250" s="381">
        <v>60</v>
      </c>
      <c r="M250" s="381">
        <v>0</v>
      </c>
      <c r="N250" s="381">
        <v>3502</v>
      </c>
      <c r="O250" s="381">
        <v>0</v>
      </c>
      <c r="P250" s="381">
        <v>0</v>
      </c>
    </row>
    <row r="251" spans="1:16">
      <c r="A251" t="s">
        <v>1557</v>
      </c>
      <c r="B251" t="s">
        <v>264</v>
      </c>
      <c r="C251" t="s">
        <v>1345</v>
      </c>
      <c r="D251" t="s">
        <v>1515</v>
      </c>
      <c r="E251" t="s">
        <v>49</v>
      </c>
      <c r="F251" t="s">
        <v>1558</v>
      </c>
      <c r="G251" s="381">
        <v>0</v>
      </c>
      <c r="H251" s="381"/>
      <c r="I251" s="381"/>
      <c r="J251" s="381"/>
      <c r="K251" s="381">
        <v>0</v>
      </c>
      <c r="L251" s="381"/>
      <c r="M251" s="381"/>
      <c r="N251" s="381"/>
      <c r="O251" s="381"/>
      <c r="P251" s="381"/>
    </row>
    <row r="252" spans="1:16">
      <c r="A252" t="s">
        <v>1529</v>
      </c>
      <c r="B252" t="s">
        <v>247</v>
      </c>
      <c r="C252" t="s">
        <v>1345</v>
      </c>
      <c r="D252" t="s">
        <v>1515</v>
      </c>
      <c r="E252" t="s">
        <v>49</v>
      </c>
      <c r="F252" t="s">
        <v>1530</v>
      </c>
      <c r="G252" s="381">
        <v>-5357.64</v>
      </c>
      <c r="H252" s="381">
        <v>0.36</v>
      </c>
      <c r="I252" s="381">
        <v>-0.36</v>
      </c>
      <c r="J252" s="381"/>
      <c r="K252" s="381">
        <v>0</v>
      </c>
      <c r="L252" s="381">
        <v>0.36</v>
      </c>
      <c r="M252" s="381">
        <v>-0.36</v>
      </c>
      <c r="N252" s="381"/>
      <c r="O252" s="381"/>
      <c r="P252" s="381"/>
    </row>
    <row r="253" spans="1:16">
      <c r="A253" t="s">
        <v>1532</v>
      </c>
      <c r="B253" t="s">
        <v>249</v>
      </c>
      <c r="C253" t="s">
        <v>1345</v>
      </c>
      <c r="D253" t="s">
        <v>1515</v>
      </c>
      <c r="E253" t="s">
        <v>49</v>
      </c>
      <c r="F253" t="s">
        <v>1533</v>
      </c>
      <c r="G253" s="381">
        <v>27396.55</v>
      </c>
      <c r="H253" s="381">
        <v>-0.24</v>
      </c>
      <c r="I253" s="381">
        <v>98366.34</v>
      </c>
      <c r="J253" s="381">
        <v>-98366.1</v>
      </c>
      <c r="K253" s="381">
        <v>29503.98</v>
      </c>
      <c r="L253" s="381">
        <v>-0.24</v>
      </c>
      <c r="M253" s="381">
        <v>98366.34</v>
      </c>
      <c r="N253" s="381">
        <v>-98366.1</v>
      </c>
      <c r="O253" s="381">
        <v>31546.666666666668</v>
      </c>
      <c r="P253" s="381">
        <v>31546.666666666668</v>
      </c>
    </row>
    <row r="254" spans="1:16">
      <c r="A254" t="s">
        <v>1535</v>
      </c>
      <c r="B254" t="s">
        <v>251</v>
      </c>
      <c r="C254" t="s">
        <v>1345</v>
      </c>
      <c r="D254" t="s">
        <v>1515</v>
      </c>
      <c r="E254" t="s">
        <v>49</v>
      </c>
      <c r="F254" t="s">
        <v>1536</v>
      </c>
      <c r="G254" s="381">
        <v>20603.73</v>
      </c>
      <c r="H254" s="381">
        <v>19158.79</v>
      </c>
      <c r="I254" s="381">
        <v>20603.919999999998</v>
      </c>
      <c r="J254" s="381">
        <v>25754.67</v>
      </c>
      <c r="K254" s="381">
        <v>33243.729999999996</v>
      </c>
      <c r="L254" s="381">
        <v>19158.79</v>
      </c>
      <c r="M254" s="381">
        <v>20603.919999999998</v>
      </c>
      <c r="N254" s="381">
        <v>25754.67</v>
      </c>
      <c r="O254" s="381">
        <v>22500</v>
      </c>
      <c r="P254" s="381">
        <v>22500</v>
      </c>
    </row>
    <row r="255" spans="1:16">
      <c r="A255" t="s">
        <v>1546</v>
      </c>
      <c r="B255" t="s">
        <v>255</v>
      </c>
      <c r="C255" t="s">
        <v>1345</v>
      </c>
      <c r="D255" t="s">
        <v>1515</v>
      </c>
      <c r="E255" t="s">
        <v>49</v>
      </c>
      <c r="F255" t="s">
        <v>1547</v>
      </c>
      <c r="G255" s="381">
        <v>376.37999999999738</v>
      </c>
      <c r="H255" s="381">
        <v>31387.97</v>
      </c>
      <c r="I255" s="381">
        <v>29660.06</v>
      </c>
      <c r="J255" s="381">
        <v>28355.06</v>
      </c>
      <c r="K255" s="381">
        <v>30599.67</v>
      </c>
      <c r="L255" s="381">
        <v>31387.97</v>
      </c>
      <c r="M255" s="381">
        <v>29660.06</v>
      </c>
      <c r="N255" s="381">
        <v>28355.06</v>
      </c>
      <c r="O255" s="381">
        <v>8474.82</v>
      </c>
      <c r="P255" s="381">
        <v>36080.219999999994</v>
      </c>
    </row>
    <row r="256" spans="1:16">
      <c r="A256" t="s">
        <v>1549</v>
      </c>
      <c r="B256" t="s">
        <v>257</v>
      </c>
      <c r="C256" t="s">
        <v>1345</v>
      </c>
      <c r="D256" t="s">
        <v>1515</v>
      </c>
      <c r="E256" t="s">
        <v>49</v>
      </c>
      <c r="F256" t="s">
        <v>1550</v>
      </c>
      <c r="G256" s="381">
        <v>-58284.780000000013</v>
      </c>
      <c r="H256" s="381">
        <v>67126.64</v>
      </c>
      <c r="I256" s="381">
        <v>74377.41</v>
      </c>
      <c r="J256" s="381">
        <v>83640.33</v>
      </c>
      <c r="K256" s="381">
        <v>17767.169999999998</v>
      </c>
      <c r="L256" s="381">
        <v>67126.64</v>
      </c>
      <c r="M256" s="381">
        <v>74377.41</v>
      </c>
      <c r="N256" s="381">
        <v>83640.33</v>
      </c>
      <c r="O256" s="381">
        <v>17645.5</v>
      </c>
      <c r="P256" s="381">
        <v>37705.5</v>
      </c>
    </row>
    <row r="257" spans="1:16">
      <c r="A257" t="s">
        <v>1551</v>
      </c>
      <c r="B257" t="s">
        <v>259</v>
      </c>
      <c r="C257" t="s">
        <v>1345</v>
      </c>
      <c r="D257" t="s">
        <v>1515</v>
      </c>
      <c r="E257" t="s">
        <v>49</v>
      </c>
      <c r="F257" t="s">
        <v>1367</v>
      </c>
      <c r="G257" s="381">
        <v>0</v>
      </c>
      <c r="H257" s="381"/>
      <c r="I257" s="381"/>
      <c r="J257" s="381"/>
      <c r="K257" s="381">
        <v>0</v>
      </c>
      <c r="L257" s="381"/>
      <c r="M257" s="381"/>
      <c r="N257" s="381"/>
      <c r="O257" s="381">
        <v>0</v>
      </c>
      <c r="P257" s="381">
        <v>111787.5</v>
      </c>
    </row>
    <row r="258" spans="1:16">
      <c r="A258" t="s">
        <v>1552</v>
      </c>
      <c r="B258" t="s">
        <v>260</v>
      </c>
      <c r="C258" t="s">
        <v>1345</v>
      </c>
      <c r="D258" t="s">
        <v>1515</v>
      </c>
      <c r="E258" t="s">
        <v>49</v>
      </c>
      <c r="F258" t="s">
        <v>1553</v>
      </c>
      <c r="G258" s="381">
        <v>0</v>
      </c>
      <c r="H258" s="381"/>
      <c r="I258" s="381"/>
      <c r="J258" s="381"/>
      <c r="K258" s="381">
        <v>0</v>
      </c>
      <c r="L258" s="381"/>
      <c r="M258" s="381"/>
      <c r="N258" s="381"/>
      <c r="O258" s="381"/>
      <c r="P258" s="381">
        <v>4554</v>
      </c>
    </row>
    <row r="259" spans="1:16">
      <c r="A259" t="s">
        <v>1554</v>
      </c>
      <c r="B259" t="s">
        <v>262</v>
      </c>
      <c r="C259" t="s">
        <v>1345</v>
      </c>
      <c r="D259" t="s">
        <v>1515</v>
      </c>
      <c r="E259" t="s">
        <v>49</v>
      </c>
      <c r="F259" t="s">
        <v>1555</v>
      </c>
      <c r="G259" s="381">
        <v>54312.340000000011</v>
      </c>
      <c r="H259" s="381"/>
      <c r="I259" s="381"/>
      <c r="J259" s="381">
        <v>168756.2</v>
      </c>
      <c r="K259" s="381">
        <v>54312.34</v>
      </c>
      <c r="L259" s="381"/>
      <c r="M259" s="381"/>
      <c r="N259" s="381">
        <v>168756.2</v>
      </c>
      <c r="O259" s="381">
        <v>0</v>
      </c>
      <c r="P259" s="381">
        <v>11809.75</v>
      </c>
    </row>
    <row r="260" spans="1:16">
      <c r="A260" t="s">
        <v>1559</v>
      </c>
      <c r="B260" t="s">
        <v>266</v>
      </c>
      <c r="C260" t="s">
        <v>1345</v>
      </c>
      <c r="D260" t="s">
        <v>1515</v>
      </c>
      <c r="E260" t="s">
        <v>49</v>
      </c>
      <c r="F260" t="s">
        <v>1560</v>
      </c>
      <c r="G260" s="381">
        <v>-38405.19000000001</v>
      </c>
      <c r="H260" s="381">
        <v>43362</v>
      </c>
      <c r="I260" s="381">
        <v>48564.89</v>
      </c>
      <c r="J260" s="381">
        <v>60706.43</v>
      </c>
      <c r="K260" s="381">
        <v>41122.75</v>
      </c>
      <c r="L260" s="381">
        <v>43362</v>
      </c>
      <c r="M260" s="381">
        <v>48564.89</v>
      </c>
      <c r="N260" s="381">
        <v>60706.43</v>
      </c>
      <c r="O260" s="381">
        <v>31668</v>
      </c>
      <c r="P260" s="381">
        <v>11500</v>
      </c>
    </row>
    <row r="261" spans="1:16">
      <c r="A261" t="s">
        <v>1527</v>
      </c>
      <c r="B261" t="s">
        <v>246</v>
      </c>
      <c r="C261" t="s">
        <v>1345</v>
      </c>
      <c r="D261" t="s">
        <v>1515</v>
      </c>
      <c r="E261" t="s">
        <v>49</v>
      </c>
      <c r="F261" t="s">
        <v>1147</v>
      </c>
      <c r="G261" s="381">
        <v>105632.00000000001</v>
      </c>
      <c r="H261" s="381">
        <v>101571</v>
      </c>
      <c r="I261" s="381">
        <v>-210932</v>
      </c>
      <c r="J261" s="381">
        <v>80217</v>
      </c>
      <c r="K261" s="381">
        <v>-36244</v>
      </c>
      <c r="L261" s="381">
        <v>101571</v>
      </c>
      <c r="M261" s="381">
        <v>-210932</v>
      </c>
      <c r="N261" s="381">
        <v>80217</v>
      </c>
      <c r="O261" s="381">
        <v>0</v>
      </c>
      <c r="P261" s="381">
        <v>0</v>
      </c>
    </row>
    <row r="262" spans="1:16">
      <c r="A262" t="s">
        <v>1562</v>
      </c>
      <c r="B262" t="s">
        <v>268</v>
      </c>
      <c r="C262" t="s">
        <v>1345</v>
      </c>
      <c r="D262" t="s">
        <v>1515</v>
      </c>
      <c r="E262" t="s">
        <v>49</v>
      </c>
      <c r="F262" t="s">
        <v>1327</v>
      </c>
      <c r="G262" s="381">
        <v>0.61</v>
      </c>
      <c r="H262" s="381">
        <v>-0.23</v>
      </c>
      <c r="I262" s="381">
        <v>-0.24</v>
      </c>
      <c r="J262" s="381">
        <v>19640.39</v>
      </c>
      <c r="K262" s="381">
        <v>-19640.97</v>
      </c>
      <c r="L262" s="381">
        <v>-0.23</v>
      </c>
      <c r="M262" s="381">
        <v>-0.24</v>
      </c>
      <c r="N262" s="381">
        <v>19640.39</v>
      </c>
      <c r="O262" s="381">
        <v>0</v>
      </c>
      <c r="P262" s="381">
        <v>0</v>
      </c>
    </row>
    <row r="263" spans="1:16">
      <c r="A263" t="s">
        <v>1563</v>
      </c>
      <c r="B263" t="s">
        <v>269</v>
      </c>
      <c r="C263" t="s">
        <v>1345</v>
      </c>
      <c r="D263" t="s">
        <v>1515</v>
      </c>
      <c r="E263" t="s">
        <v>49</v>
      </c>
      <c r="F263" t="s">
        <v>1340</v>
      </c>
      <c r="G263" s="381">
        <v>0</v>
      </c>
      <c r="H263" s="381">
        <v>-4506.29</v>
      </c>
      <c r="I263" s="381">
        <v>-29540.02</v>
      </c>
      <c r="J263" s="381">
        <v>-20248.98</v>
      </c>
      <c r="K263" s="381">
        <v>0</v>
      </c>
      <c r="L263" s="381">
        <v>-4506.29</v>
      </c>
      <c r="M263" s="381">
        <v>-29540.02</v>
      </c>
      <c r="N263" s="381">
        <v>-20248.98</v>
      </c>
      <c r="O263" s="381">
        <v>0</v>
      </c>
      <c r="P263" s="381">
        <v>0</v>
      </c>
    </row>
    <row r="264" spans="1:16">
      <c r="A264" t="s">
        <v>2068</v>
      </c>
      <c r="B264" t="s">
        <v>556</v>
      </c>
      <c r="C264" t="s">
        <v>1345</v>
      </c>
      <c r="D264" t="s">
        <v>1515</v>
      </c>
      <c r="E264" t="s">
        <v>389</v>
      </c>
      <c r="F264" t="s">
        <v>1969</v>
      </c>
      <c r="G264" s="381">
        <v>0</v>
      </c>
      <c r="H264" s="381"/>
      <c r="I264" s="381"/>
      <c r="J264" s="381"/>
      <c r="K264" s="381">
        <v>0</v>
      </c>
      <c r="L264" s="381"/>
      <c r="M264" s="381"/>
      <c r="N264" s="381"/>
      <c r="O264" s="381">
        <v>267</v>
      </c>
      <c r="P264" s="381">
        <v>267</v>
      </c>
    </row>
    <row r="265" spans="1:16">
      <c r="A265" t="s">
        <v>2066</v>
      </c>
      <c r="B265" t="s">
        <v>555</v>
      </c>
      <c r="C265" t="s">
        <v>1345</v>
      </c>
      <c r="D265" t="s">
        <v>1515</v>
      </c>
      <c r="E265" t="s">
        <v>389</v>
      </c>
      <c r="F265" t="s">
        <v>1147</v>
      </c>
      <c r="G265" s="381">
        <v>60</v>
      </c>
      <c r="H265" s="381">
        <v>-14023</v>
      </c>
      <c r="I265" s="381">
        <v>60</v>
      </c>
      <c r="J265" s="381">
        <v>15140</v>
      </c>
      <c r="K265" s="381">
        <v>60</v>
      </c>
      <c r="L265" s="381">
        <v>-14023</v>
      </c>
      <c r="M265" s="381">
        <v>60</v>
      </c>
      <c r="N265" s="381">
        <v>15140</v>
      </c>
      <c r="O265" s="381">
        <v>0</v>
      </c>
      <c r="P265" s="381">
        <v>0</v>
      </c>
    </row>
    <row r="266" spans="1:16">
      <c r="A266" t="s">
        <v>2194</v>
      </c>
      <c r="B266" t="s">
        <v>633</v>
      </c>
      <c r="C266" t="s">
        <v>1345</v>
      </c>
      <c r="D266" t="s">
        <v>1515</v>
      </c>
      <c r="E266" t="s">
        <v>629</v>
      </c>
      <c r="F266" t="s">
        <v>1327</v>
      </c>
      <c r="G266" s="381">
        <v>0</v>
      </c>
      <c r="H266" s="381"/>
      <c r="I266" s="381">
        <v>0.21</v>
      </c>
      <c r="J266" s="381">
        <v>-0.19</v>
      </c>
      <c r="K266" s="381">
        <v>2430.29</v>
      </c>
      <c r="L266" s="381"/>
      <c r="M266" s="381">
        <v>0.21</v>
      </c>
      <c r="N266" s="381">
        <v>-0.19</v>
      </c>
      <c r="O266" s="381">
        <v>0</v>
      </c>
      <c r="P266" s="381">
        <v>0</v>
      </c>
    </row>
    <row r="267" spans="1:16">
      <c r="A267" t="s">
        <v>2752</v>
      </c>
      <c r="B267" t="s">
        <v>987</v>
      </c>
      <c r="C267" t="s">
        <v>1345</v>
      </c>
      <c r="D267" t="s">
        <v>1515</v>
      </c>
      <c r="E267" t="s">
        <v>639</v>
      </c>
      <c r="F267" t="s">
        <v>1327</v>
      </c>
      <c r="G267" s="381">
        <v>0</v>
      </c>
      <c r="H267" s="381"/>
      <c r="I267" s="381"/>
      <c r="J267" s="381">
        <v>0.63</v>
      </c>
      <c r="K267" s="381">
        <v>-0.28000000000000003</v>
      </c>
      <c r="L267" s="381"/>
      <c r="M267" s="381"/>
      <c r="N267" s="381">
        <v>0.63</v>
      </c>
      <c r="O267" s="381">
        <v>0</v>
      </c>
      <c r="P267" s="381">
        <v>0</v>
      </c>
    </row>
    <row r="268" spans="1:16">
      <c r="A268" t="s">
        <v>2834</v>
      </c>
      <c r="B268" t="s">
        <v>1031</v>
      </c>
      <c r="C268" t="s">
        <v>1345</v>
      </c>
      <c r="D268" t="s">
        <v>1515</v>
      </c>
      <c r="E268" t="s">
        <v>1027</v>
      </c>
      <c r="F268" t="s">
        <v>2830</v>
      </c>
      <c r="G268" s="381">
        <v>0</v>
      </c>
      <c r="H268" s="381">
        <v>-76.86</v>
      </c>
      <c r="I268" s="381">
        <v>111.1</v>
      </c>
      <c r="J268" s="381">
        <v>174.69</v>
      </c>
      <c r="K268" s="381">
        <v>108.31</v>
      </c>
      <c r="L268" s="381">
        <v>-76.86</v>
      </c>
      <c r="M268" s="381">
        <v>111.1</v>
      </c>
      <c r="N268" s="381">
        <v>174.69</v>
      </c>
      <c r="O268" s="381">
        <v>0</v>
      </c>
      <c r="P268" s="381">
        <v>0</v>
      </c>
    </row>
    <row r="269" spans="1:16">
      <c r="A269" t="s">
        <v>2875</v>
      </c>
      <c r="B269" t="s">
        <v>34</v>
      </c>
      <c r="C269" t="s">
        <v>1345</v>
      </c>
      <c r="D269" t="s">
        <v>1515</v>
      </c>
      <c r="E269" t="s">
        <v>22</v>
      </c>
      <c r="F269" t="s">
        <v>2868</v>
      </c>
      <c r="G269" s="381">
        <v>0</v>
      </c>
      <c r="H269" s="381"/>
      <c r="I269" s="381"/>
      <c r="J269" s="381"/>
      <c r="K269" s="381">
        <v>0</v>
      </c>
      <c r="L269" s="381"/>
      <c r="M269" s="381"/>
      <c r="N269" s="381"/>
      <c r="O269" s="381">
        <v>0</v>
      </c>
      <c r="P269" s="381">
        <v>0</v>
      </c>
    </row>
    <row r="270" spans="1:16">
      <c r="A270" t="s">
        <v>2876</v>
      </c>
      <c r="B270" t="s">
        <v>35</v>
      </c>
      <c r="C270" t="s">
        <v>1345</v>
      </c>
      <c r="D270" t="s">
        <v>1515</v>
      </c>
      <c r="E270" t="s">
        <v>22</v>
      </c>
      <c r="F270" t="s">
        <v>2870</v>
      </c>
      <c r="G270" s="381">
        <v>0</v>
      </c>
      <c r="H270" s="381"/>
      <c r="I270" s="381"/>
      <c r="J270" s="381"/>
      <c r="K270" s="381">
        <v>0</v>
      </c>
      <c r="L270" s="381"/>
      <c r="M270" s="381"/>
      <c r="N270" s="381"/>
      <c r="O270" s="381">
        <v>0</v>
      </c>
      <c r="P270" s="381">
        <v>0</v>
      </c>
    </row>
    <row r="271" spans="1:16">
      <c r="A271" t="s">
        <v>2877</v>
      </c>
      <c r="B271" t="s">
        <v>36</v>
      </c>
      <c r="C271" t="s">
        <v>1345</v>
      </c>
      <c r="D271" t="s">
        <v>1515</v>
      </c>
      <c r="E271" t="s">
        <v>22</v>
      </c>
      <c r="F271" t="s">
        <v>2872</v>
      </c>
      <c r="G271" s="381"/>
      <c r="H271" s="381"/>
      <c r="I271" s="381"/>
      <c r="J271" s="381"/>
      <c r="K271" s="381"/>
      <c r="L271" s="381"/>
      <c r="M271" s="381"/>
      <c r="N271" s="381"/>
      <c r="O271" s="381">
        <v>0</v>
      </c>
      <c r="P271" s="381">
        <v>0</v>
      </c>
    </row>
    <row r="272" spans="1:16">
      <c r="A272" t="s">
        <v>2169</v>
      </c>
      <c r="B272" t="s">
        <v>617</v>
      </c>
      <c r="C272" t="s">
        <v>1345</v>
      </c>
      <c r="D272" t="s">
        <v>1515</v>
      </c>
      <c r="E272" t="s">
        <v>602</v>
      </c>
      <c r="F272" t="s">
        <v>611</v>
      </c>
      <c r="G272" s="381">
        <v>0</v>
      </c>
      <c r="H272" s="381"/>
      <c r="I272" s="381"/>
      <c r="J272" s="381">
        <v>414.36</v>
      </c>
      <c r="K272" s="381">
        <v>0</v>
      </c>
      <c r="L272" s="381"/>
      <c r="M272" s="381"/>
      <c r="N272" s="381">
        <v>414.36</v>
      </c>
      <c r="O272" s="381">
        <v>0</v>
      </c>
      <c r="P272" s="381">
        <v>0</v>
      </c>
    </row>
    <row r="273" spans="1:16">
      <c r="A273" t="s">
        <v>2192</v>
      </c>
      <c r="B273" t="s">
        <v>630</v>
      </c>
      <c r="C273" t="s">
        <v>1345</v>
      </c>
      <c r="D273" t="s">
        <v>1515</v>
      </c>
      <c r="E273" t="s">
        <v>629</v>
      </c>
      <c r="F273" t="s">
        <v>2193</v>
      </c>
      <c r="G273" s="381">
        <v>0</v>
      </c>
      <c r="H273" s="381"/>
      <c r="I273" s="381">
        <v>1512.59</v>
      </c>
      <c r="J273" s="381">
        <v>814.25</v>
      </c>
      <c r="K273" s="381">
        <v>0</v>
      </c>
      <c r="L273" s="381"/>
      <c r="M273" s="381">
        <v>1512.59</v>
      </c>
      <c r="N273" s="381">
        <v>814.25</v>
      </c>
      <c r="O273" s="381">
        <v>1250</v>
      </c>
      <c r="P273" s="381">
        <v>1500</v>
      </c>
    </row>
    <row r="274" spans="1:16">
      <c r="A274" t="s">
        <v>2850</v>
      </c>
      <c r="B274" t="s">
        <v>1042</v>
      </c>
      <c r="C274" t="s">
        <v>1345</v>
      </c>
      <c r="D274" t="s">
        <v>1515</v>
      </c>
      <c r="E274" t="s">
        <v>1037</v>
      </c>
      <c r="F274" t="s">
        <v>2846</v>
      </c>
      <c r="G274" s="381">
        <v>0</v>
      </c>
      <c r="H274" s="381">
        <v>1400.32</v>
      </c>
      <c r="I274" s="381">
        <v>547.13</v>
      </c>
      <c r="J274" s="381">
        <v>0</v>
      </c>
      <c r="K274" s="381">
        <v>0</v>
      </c>
      <c r="L274" s="381">
        <v>1400.32</v>
      </c>
      <c r="M274" s="381">
        <v>547.13</v>
      </c>
      <c r="N274" s="381">
        <v>0</v>
      </c>
      <c r="O274" s="381">
        <v>0</v>
      </c>
      <c r="P274" s="381">
        <v>0</v>
      </c>
    </row>
    <row r="275" spans="1:16">
      <c r="A275" t="s">
        <v>2002</v>
      </c>
      <c r="B275" t="s">
        <v>2003</v>
      </c>
      <c r="C275" t="s">
        <v>1345</v>
      </c>
      <c r="D275" t="s">
        <v>2004</v>
      </c>
      <c r="E275" t="s">
        <v>389</v>
      </c>
      <c r="F275" t="s">
        <v>2005</v>
      </c>
      <c r="G275" s="381">
        <v>0</v>
      </c>
      <c r="H275" s="381"/>
      <c r="I275" s="381"/>
      <c r="J275" s="381"/>
      <c r="K275" s="381">
        <v>0</v>
      </c>
      <c r="L275" s="381"/>
      <c r="M275" s="381"/>
      <c r="N275" s="381"/>
      <c r="O275" s="381">
        <v>2630</v>
      </c>
      <c r="P275" s="381">
        <v>2630</v>
      </c>
    </row>
    <row r="276" spans="1:16">
      <c r="A276" t="s">
        <v>1773</v>
      </c>
      <c r="B276" t="s">
        <v>1774</v>
      </c>
      <c r="C276" t="s">
        <v>1135</v>
      </c>
      <c r="D276" t="s">
        <v>1137</v>
      </c>
      <c r="E276" t="s">
        <v>389</v>
      </c>
      <c r="F276" t="s">
        <v>1775</v>
      </c>
      <c r="G276" s="381">
        <v>-1732.97</v>
      </c>
      <c r="H276" s="381"/>
      <c r="I276" s="381">
        <v>0</v>
      </c>
      <c r="J276" s="381">
        <v>0</v>
      </c>
      <c r="K276" s="381">
        <v>0</v>
      </c>
      <c r="L276" s="381"/>
      <c r="M276" s="381">
        <v>0</v>
      </c>
      <c r="N276" s="381">
        <v>0</v>
      </c>
      <c r="O276" s="381">
        <v>0</v>
      </c>
      <c r="P276" s="381">
        <v>0</v>
      </c>
    </row>
    <row r="277" spans="1:16">
      <c r="A277" t="s">
        <v>1826</v>
      </c>
      <c r="B277" t="s">
        <v>1827</v>
      </c>
      <c r="C277" t="s">
        <v>1135</v>
      </c>
      <c r="D277" t="s">
        <v>1137</v>
      </c>
      <c r="E277" t="s">
        <v>389</v>
      </c>
      <c r="F277" t="s">
        <v>1828</v>
      </c>
      <c r="G277" s="381">
        <v>988.66</v>
      </c>
      <c r="H277" s="381">
        <v>531.82000000000005</v>
      </c>
      <c r="I277" s="381">
        <v>3988.46</v>
      </c>
      <c r="J277" s="381">
        <v>1804.46</v>
      </c>
      <c r="K277" s="381">
        <v>162.79999999999998</v>
      </c>
      <c r="L277" s="381">
        <v>531.82000000000005</v>
      </c>
      <c r="M277" s="381">
        <v>3988.46</v>
      </c>
      <c r="N277" s="381">
        <v>1804.46</v>
      </c>
      <c r="O277" s="381">
        <v>1500</v>
      </c>
      <c r="P277" s="381">
        <v>1500</v>
      </c>
    </row>
    <row r="278" spans="1:16">
      <c r="A278" t="s">
        <v>2286</v>
      </c>
      <c r="B278" t="s">
        <v>2287</v>
      </c>
      <c r="C278" t="s">
        <v>1135</v>
      </c>
      <c r="D278" t="s">
        <v>1137</v>
      </c>
      <c r="E278" t="s">
        <v>639</v>
      </c>
      <c r="F278" t="s">
        <v>2285</v>
      </c>
      <c r="G278" s="381">
        <v>227</v>
      </c>
      <c r="H278" s="381">
        <v>553.5</v>
      </c>
      <c r="I278" s="381">
        <v>681</v>
      </c>
      <c r="J278" s="381">
        <v>1576.93</v>
      </c>
      <c r="K278" s="381">
        <v>496.48</v>
      </c>
      <c r="L278" s="381">
        <v>553.5</v>
      </c>
      <c r="M278" s="381">
        <v>681</v>
      </c>
      <c r="N278" s="381">
        <v>1576.93</v>
      </c>
      <c r="O278" s="381">
        <v>0</v>
      </c>
      <c r="P278" s="381">
        <v>0</v>
      </c>
    </row>
    <row r="279" spans="1:16">
      <c r="A279" t="s">
        <v>2471</v>
      </c>
      <c r="B279" t="s">
        <v>2472</v>
      </c>
      <c r="C279" t="s">
        <v>1135</v>
      </c>
      <c r="D279" t="s">
        <v>1137</v>
      </c>
      <c r="E279" t="s">
        <v>639</v>
      </c>
      <c r="F279" t="s">
        <v>818</v>
      </c>
      <c r="G279" s="381">
        <v>0</v>
      </c>
      <c r="H279" s="381"/>
      <c r="I279" s="381"/>
      <c r="J279" s="381">
        <v>1165</v>
      </c>
      <c r="K279" s="381">
        <v>0</v>
      </c>
      <c r="L279" s="381"/>
      <c r="M279" s="381"/>
      <c r="N279" s="381">
        <v>1165</v>
      </c>
      <c r="O279" s="381">
        <v>0</v>
      </c>
      <c r="P279" s="381">
        <v>0</v>
      </c>
    </row>
    <row r="280" spans="1:16">
      <c r="A280" t="s">
        <v>1279</v>
      </c>
      <c r="B280" t="s">
        <v>1280</v>
      </c>
      <c r="C280" t="s">
        <v>1135</v>
      </c>
      <c r="D280" t="s">
        <v>1137</v>
      </c>
      <c r="E280" t="s">
        <v>49</v>
      </c>
      <c r="F280" t="s">
        <v>1281</v>
      </c>
      <c r="G280" s="381">
        <v>0</v>
      </c>
      <c r="H280" s="381">
        <v>10113</v>
      </c>
      <c r="I280" s="381">
        <v>11863.11</v>
      </c>
      <c r="J280" s="381">
        <v>-21976.11</v>
      </c>
      <c r="K280" s="381">
        <v>0</v>
      </c>
      <c r="L280" s="381">
        <v>10113</v>
      </c>
      <c r="M280" s="381">
        <v>11863.11</v>
      </c>
      <c r="N280" s="381">
        <v>-21976.11</v>
      </c>
      <c r="O280" s="381"/>
      <c r="P280" s="381"/>
    </row>
    <row r="281" spans="1:16">
      <c r="A281" t="s">
        <v>1704</v>
      </c>
      <c r="B281" t="s">
        <v>1705</v>
      </c>
      <c r="C281" t="s">
        <v>1135</v>
      </c>
      <c r="D281" t="s">
        <v>1137</v>
      </c>
      <c r="E281" t="s">
        <v>342</v>
      </c>
      <c r="F281" t="s">
        <v>1703</v>
      </c>
      <c r="G281" s="381">
        <v>5504.11</v>
      </c>
      <c r="H281" s="381">
        <v>1146.01</v>
      </c>
      <c r="I281" s="381">
        <v>0</v>
      </c>
      <c r="J281" s="381">
        <v>1809.29</v>
      </c>
      <c r="K281" s="381">
        <v>299.02999999999997</v>
      </c>
      <c r="L281" s="381">
        <v>1146.01</v>
      </c>
      <c r="M281" s="381">
        <v>0</v>
      </c>
      <c r="N281" s="381">
        <v>1809.29</v>
      </c>
      <c r="O281" s="381">
        <v>0</v>
      </c>
      <c r="P281" s="381">
        <v>0</v>
      </c>
    </row>
    <row r="282" spans="1:16">
      <c r="A282" t="s">
        <v>1895</v>
      </c>
      <c r="B282" t="s">
        <v>1896</v>
      </c>
      <c r="C282" t="s">
        <v>1135</v>
      </c>
      <c r="D282" t="s">
        <v>1137</v>
      </c>
      <c r="E282" t="s">
        <v>389</v>
      </c>
      <c r="F282" t="s">
        <v>1703</v>
      </c>
      <c r="G282" s="381">
        <v>0</v>
      </c>
      <c r="H282" s="381"/>
      <c r="I282" s="381"/>
      <c r="J282" s="381"/>
      <c r="K282" s="381">
        <v>0</v>
      </c>
      <c r="L282" s="381"/>
      <c r="M282" s="381"/>
      <c r="N282" s="381"/>
      <c r="O282" s="381">
        <v>300</v>
      </c>
      <c r="P282" s="381">
        <v>300</v>
      </c>
    </row>
    <row r="283" spans="1:16">
      <c r="A283" t="s">
        <v>1903</v>
      </c>
      <c r="B283" t="s">
        <v>1904</v>
      </c>
      <c r="C283" t="s">
        <v>1135</v>
      </c>
      <c r="D283" t="s">
        <v>1137</v>
      </c>
      <c r="E283" t="s">
        <v>389</v>
      </c>
      <c r="F283" t="s">
        <v>1855</v>
      </c>
      <c r="G283" s="381">
        <v>1410.86</v>
      </c>
      <c r="H283" s="381">
        <v>3067.29</v>
      </c>
      <c r="I283" s="381">
        <v>2981.39</v>
      </c>
      <c r="J283" s="381">
        <v>1910.66</v>
      </c>
      <c r="K283" s="381">
        <v>2830.8900000000003</v>
      </c>
      <c r="L283" s="381">
        <v>3067.29</v>
      </c>
      <c r="M283" s="381">
        <v>2981.39</v>
      </c>
      <c r="N283" s="381">
        <v>1910.66</v>
      </c>
      <c r="O283" s="381">
        <v>500</v>
      </c>
      <c r="P283" s="381">
        <v>500</v>
      </c>
    </row>
    <row r="284" spans="1:16">
      <c r="A284" t="s">
        <v>1791</v>
      </c>
      <c r="B284" t="s">
        <v>1792</v>
      </c>
      <c r="C284" t="s">
        <v>1135</v>
      </c>
      <c r="D284" t="s">
        <v>1137</v>
      </c>
      <c r="E284" t="s">
        <v>389</v>
      </c>
      <c r="F284" t="s">
        <v>1174</v>
      </c>
      <c r="G284" s="381">
        <v>1.31</v>
      </c>
      <c r="H284" s="381">
        <v>0.42</v>
      </c>
      <c r="I284" s="381">
        <v>0.36</v>
      </c>
      <c r="J284" s="381">
        <v>0.48</v>
      </c>
      <c r="K284" s="381">
        <v>209.68999999999997</v>
      </c>
      <c r="L284" s="381">
        <v>0.42</v>
      </c>
      <c r="M284" s="381">
        <v>0.36</v>
      </c>
      <c r="N284" s="381">
        <v>0.48</v>
      </c>
      <c r="O284" s="381">
        <v>0</v>
      </c>
      <c r="P284" s="381">
        <v>0</v>
      </c>
    </row>
    <row r="285" spans="1:16">
      <c r="A285" t="s">
        <v>2292</v>
      </c>
      <c r="B285" t="s">
        <v>2293</v>
      </c>
      <c r="C285" t="s">
        <v>1135</v>
      </c>
      <c r="D285" t="s">
        <v>1137</v>
      </c>
      <c r="E285" t="s">
        <v>639</v>
      </c>
      <c r="F285" t="s">
        <v>2291</v>
      </c>
      <c r="G285" s="381">
        <v>917.6</v>
      </c>
      <c r="H285" s="381">
        <v>3614.02</v>
      </c>
      <c r="I285" s="381">
        <v>0</v>
      </c>
      <c r="J285" s="381">
        <v>889.72</v>
      </c>
      <c r="K285" s="381">
        <v>3154.91</v>
      </c>
      <c r="L285" s="381">
        <v>3614.02</v>
      </c>
      <c r="M285" s="381">
        <v>0</v>
      </c>
      <c r="N285" s="381">
        <v>889.72</v>
      </c>
      <c r="O285" s="381">
        <v>1000</v>
      </c>
      <c r="P285" s="381">
        <v>1000</v>
      </c>
    </row>
    <row r="286" spans="1:16">
      <c r="A286" t="s">
        <v>2439</v>
      </c>
      <c r="B286" t="s">
        <v>2440</v>
      </c>
      <c r="C286" t="s">
        <v>1135</v>
      </c>
      <c r="D286" t="s">
        <v>1137</v>
      </c>
      <c r="E286" t="s">
        <v>639</v>
      </c>
      <c r="F286" t="s">
        <v>2441</v>
      </c>
      <c r="G286" s="381">
        <v>0</v>
      </c>
      <c r="H286" s="381"/>
      <c r="I286" s="381"/>
      <c r="J286" s="381"/>
      <c r="K286" s="381">
        <v>0</v>
      </c>
      <c r="L286" s="381"/>
      <c r="M286" s="381"/>
      <c r="N286" s="381"/>
      <c r="O286" s="381"/>
      <c r="P286" s="381"/>
    </row>
    <row r="287" spans="1:16">
      <c r="A287" t="s">
        <v>2442</v>
      </c>
      <c r="B287" t="s">
        <v>2443</v>
      </c>
      <c r="C287" t="s">
        <v>1135</v>
      </c>
      <c r="D287" t="s">
        <v>1137</v>
      </c>
      <c r="E287" t="s">
        <v>639</v>
      </c>
      <c r="F287" t="s">
        <v>2444</v>
      </c>
      <c r="G287" s="381">
        <v>0</v>
      </c>
      <c r="H287" s="381"/>
      <c r="I287" s="381"/>
      <c r="J287" s="381"/>
      <c r="K287" s="381">
        <v>0</v>
      </c>
      <c r="L287" s="381"/>
      <c r="M287" s="381"/>
      <c r="N287" s="381"/>
      <c r="O287" s="381"/>
      <c r="P287" s="381"/>
    </row>
    <row r="288" spans="1:16">
      <c r="A288" t="s">
        <v>1180</v>
      </c>
      <c r="B288" t="s">
        <v>1181</v>
      </c>
      <c r="C288" t="s">
        <v>1135</v>
      </c>
      <c r="D288" t="s">
        <v>1137</v>
      </c>
      <c r="E288" t="s">
        <v>49</v>
      </c>
      <c r="F288" t="s">
        <v>1182</v>
      </c>
      <c r="G288" s="381">
        <v>0</v>
      </c>
      <c r="H288" s="381">
        <v>215.71</v>
      </c>
      <c r="I288" s="381">
        <v>-1.22</v>
      </c>
      <c r="J288" s="381">
        <v>0</v>
      </c>
      <c r="K288" s="381">
        <v>0</v>
      </c>
      <c r="L288" s="381">
        <v>215.71</v>
      </c>
      <c r="M288" s="381">
        <v>-1.22</v>
      </c>
      <c r="N288" s="381">
        <v>0</v>
      </c>
      <c r="O288" s="381">
        <v>0</v>
      </c>
      <c r="P288" s="381">
        <v>0</v>
      </c>
    </row>
    <row r="289" spans="1:16">
      <c r="A289" t="s">
        <v>1133</v>
      </c>
      <c r="B289" t="s">
        <v>1134</v>
      </c>
      <c r="C289" t="s">
        <v>1135</v>
      </c>
      <c r="D289" t="s">
        <v>1137</v>
      </c>
      <c r="E289" t="s">
        <v>49</v>
      </c>
      <c r="F289" t="s">
        <v>1138</v>
      </c>
      <c r="G289" s="381">
        <v>0</v>
      </c>
      <c r="H289" s="381"/>
      <c r="I289" s="381"/>
      <c r="J289" s="381"/>
      <c r="K289" s="381">
        <v>0</v>
      </c>
      <c r="L289" s="381"/>
      <c r="M289" s="381"/>
      <c r="N289" s="381"/>
      <c r="O289" s="381">
        <v>101.2</v>
      </c>
      <c r="P289" s="381">
        <v>101.2</v>
      </c>
    </row>
    <row r="290" spans="1:16">
      <c r="A290" t="s">
        <v>1328</v>
      </c>
      <c r="B290" t="s">
        <v>1329</v>
      </c>
      <c r="C290" t="s">
        <v>1135</v>
      </c>
      <c r="D290" t="s">
        <v>1137</v>
      </c>
      <c r="E290" t="s">
        <v>49</v>
      </c>
      <c r="F290" t="s">
        <v>1327</v>
      </c>
      <c r="G290" s="381">
        <v>129.34999999999997</v>
      </c>
      <c r="H290" s="381">
        <v>669.53</v>
      </c>
      <c r="I290" s="381">
        <v>7.26</v>
      </c>
      <c r="J290" s="381">
        <v>543.96</v>
      </c>
      <c r="K290" s="381">
        <v>286.95999999999998</v>
      </c>
      <c r="L290" s="381">
        <v>669.53</v>
      </c>
      <c r="M290" s="381">
        <v>7.26</v>
      </c>
      <c r="N290" s="381">
        <v>543.96</v>
      </c>
      <c r="O290" s="381">
        <v>0</v>
      </c>
      <c r="P290" s="381">
        <v>0</v>
      </c>
    </row>
    <row r="291" spans="1:16">
      <c r="A291" t="s">
        <v>1683</v>
      </c>
      <c r="B291" t="s">
        <v>1684</v>
      </c>
      <c r="C291" t="s">
        <v>1135</v>
      </c>
      <c r="D291" t="s">
        <v>1137</v>
      </c>
      <c r="E291" t="s">
        <v>342</v>
      </c>
      <c r="F291" t="s">
        <v>1685</v>
      </c>
      <c r="G291" s="381">
        <v>0</v>
      </c>
      <c r="H291" s="381"/>
      <c r="I291" s="381">
        <v>-904.37</v>
      </c>
      <c r="J291" s="381">
        <v>0</v>
      </c>
      <c r="K291" s="381">
        <v>0</v>
      </c>
      <c r="L291" s="381"/>
      <c r="M291" s="381">
        <v>-904.37</v>
      </c>
      <c r="N291" s="381">
        <v>0</v>
      </c>
      <c r="O291" s="381">
        <v>0</v>
      </c>
      <c r="P291" s="381">
        <v>0</v>
      </c>
    </row>
    <row r="292" spans="1:16">
      <c r="A292" t="s">
        <v>1686</v>
      </c>
      <c r="B292" t="s">
        <v>1687</v>
      </c>
      <c r="C292" t="s">
        <v>1135</v>
      </c>
      <c r="D292" t="s">
        <v>1137</v>
      </c>
      <c r="E292" t="s">
        <v>342</v>
      </c>
      <c r="F292" t="s">
        <v>352</v>
      </c>
      <c r="G292" s="381">
        <v>-12412.23</v>
      </c>
      <c r="H292" s="381"/>
      <c r="I292" s="381"/>
      <c r="J292" s="381">
        <v>0</v>
      </c>
      <c r="K292" s="381">
        <v>0</v>
      </c>
      <c r="L292" s="381"/>
      <c r="M292" s="381"/>
      <c r="N292" s="381">
        <v>0</v>
      </c>
      <c r="O292" s="381">
        <v>0</v>
      </c>
      <c r="P292" s="381">
        <v>0</v>
      </c>
    </row>
    <row r="293" spans="1:16">
      <c r="A293" t="s">
        <v>1688</v>
      </c>
      <c r="B293" t="s">
        <v>1689</v>
      </c>
      <c r="C293" t="s">
        <v>1135</v>
      </c>
      <c r="D293" t="s">
        <v>1137</v>
      </c>
      <c r="E293" t="s">
        <v>342</v>
      </c>
      <c r="F293" t="s">
        <v>354</v>
      </c>
      <c r="G293" s="381">
        <v>0</v>
      </c>
      <c r="H293" s="381"/>
      <c r="I293" s="381">
        <v>0</v>
      </c>
      <c r="J293" s="381">
        <v>0</v>
      </c>
      <c r="K293" s="381">
        <v>0</v>
      </c>
      <c r="L293" s="381"/>
      <c r="M293" s="381">
        <v>0</v>
      </c>
      <c r="N293" s="381">
        <v>0</v>
      </c>
      <c r="O293" s="381">
        <v>0</v>
      </c>
      <c r="P293" s="381">
        <v>0</v>
      </c>
    </row>
    <row r="294" spans="1:16">
      <c r="A294" t="s">
        <v>1690</v>
      </c>
      <c r="B294" t="s">
        <v>1691</v>
      </c>
      <c r="C294" t="s">
        <v>1135</v>
      </c>
      <c r="D294" t="s">
        <v>1137</v>
      </c>
      <c r="E294" t="s">
        <v>342</v>
      </c>
      <c r="F294" t="s">
        <v>356</v>
      </c>
      <c r="G294" s="381">
        <v>-3033.45</v>
      </c>
      <c r="H294" s="381"/>
      <c r="I294" s="381">
        <v>0</v>
      </c>
      <c r="J294" s="381">
        <v>0</v>
      </c>
      <c r="K294" s="381">
        <v>0</v>
      </c>
      <c r="L294" s="381"/>
      <c r="M294" s="381">
        <v>0</v>
      </c>
      <c r="N294" s="381">
        <v>0</v>
      </c>
      <c r="O294" s="381">
        <v>0</v>
      </c>
      <c r="P294" s="381">
        <v>0</v>
      </c>
    </row>
    <row r="295" spans="1:16">
      <c r="A295" t="s">
        <v>1696</v>
      </c>
      <c r="B295" t="s">
        <v>1697</v>
      </c>
      <c r="C295" t="s">
        <v>1135</v>
      </c>
      <c r="D295" t="s">
        <v>1137</v>
      </c>
      <c r="E295" t="s">
        <v>342</v>
      </c>
      <c r="F295" t="s">
        <v>360</v>
      </c>
      <c r="G295" s="381">
        <v>0</v>
      </c>
      <c r="H295" s="381"/>
      <c r="I295" s="381"/>
      <c r="J295" s="381">
        <v>0</v>
      </c>
      <c r="K295" s="381">
        <v>0</v>
      </c>
      <c r="L295" s="381"/>
      <c r="M295" s="381"/>
      <c r="N295" s="381">
        <v>0</v>
      </c>
      <c r="O295" s="381">
        <v>0</v>
      </c>
      <c r="P295" s="381">
        <v>0</v>
      </c>
    </row>
    <row r="296" spans="1:16">
      <c r="A296" t="s">
        <v>1722</v>
      </c>
      <c r="B296" t="s">
        <v>1723</v>
      </c>
      <c r="C296" t="s">
        <v>1135</v>
      </c>
      <c r="D296" t="s">
        <v>1137</v>
      </c>
      <c r="E296" t="s">
        <v>342</v>
      </c>
      <c r="F296" t="s">
        <v>1327</v>
      </c>
      <c r="G296" s="381">
        <v>-0.53</v>
      </c>
      <c r="H296" s="381">
        <v>-0.1</v>
      </c>
      <c r="I296" s="381">
        <v>-0.09</v>
      </c>
      <c r="J296" s="381">
        <v>0.81</v>
      </c>
      <c r="K296" s="381">
        <v>0.61</v>
      </c>
      <c r="L296" s="381">
        <v>-0.1</v>
      </c>
      <c r="M296" s="381">
        <v>-0.09</v>
      </c>
      <c r="N296" s="381">
        <v>0.81</v>
      </c>
      <c r="O296" s="381">
        <v>0</v>
      </c>
      <c r="P296" s="381">
        <v>0</v>
      </c>
    </row>
    <row r="297" spans="1:16">
      <c r="A297" t="s">
        <v>1780</v>
      </c>
      <c r="B297" t="s">
        <v>1781</v>
      </c>
      <c r="C297" t="s">
        <v>1135</v>
      </c>
      <c r="D297" t="s">
        <v>1137</v>
      </c>
      <c r="E297" t="s">
        <v>389</v>
      </c>
      <c r="F297" t="s">
        <v>1685</v>
      </c>
      <c r="G297" s="381">
        <v>0</v>
      </c>
      <c r="H297" s="381"/>
      <c r="I297" s="381">
        <v>-108.52</v>
      </c>
      <c r="J297" s="381">
        <v>0</v>
      </c>
      <c r="K297" s="381">
        <v>0</v>
      </c>
      <c r="L297" s="381"/>
      <c r="M297" s="381">
        <v>-108.52</v>
      </c>
      <c r="N297" s="381">
        <v>0</v>
      </c>
      <c r="O297" s="381">
        <v>0</v>
      </c>
      <c r="P297" s="381">
        <v>0</v>
      </c>
    </row>
    <row r="298" spans="1:16">
      <c r="A298" t="s">
        <v>1784</v>
      </c>
      <c r="B298" t="s">
        <v>1785</v>
      </c>
      <c r="C298" t="s">
        <v>1135</v>
      </c>
      <c r="D298" t="s">
        <v>1137</v>
      </c>
      <c r="E298" t="s">
        <v>389</v>
      </c>
      <c r="F298" t="s">
        <v>352</v>
      </c>
      <c r="G298" s="381">
        <v>0</v>
      </c>
      <c r="H298" s="381"/>
      <c r="I298" s="381"/>
      <c r="J298" s="381">
        <v>0</v>
      </c>
      <c r="K298" s="381">
        <v>0</v>
      </c>
      <c r="L298" s="381"/>
      <c r="M298" s="381"/>
      <c r="N298" s="381">
        <v>0</v>
      </c>
      <c r="O298" s="381">
        <v>0</v>
      </c>
      <c r="P298" s="381">
        <v>0</v>
      </c>
    </row>
    <row r="299" spans="1:16">
      <c r="A299" t="s">
        <v>1786</v>
      </c>
      <c r="B299" t="s">
        <v>1787</v>
      </c>
      <c r="C299" t="s">
        <v>1135</v>
      </c>
      <c r="D299" t="s">
        <v>1137</v>
      </c>
      <c r="E299" t="s">
        <v>389</v>
      </c>
      <c r="F299" t="s">
        <v>414</v>
      </c>
      <c r="G299" s="381">
        <v>-10742.01</v>
      </c>
      <c r="H299" s="381"/>
      <c r="I299" s="381">
        <v>0</v>
      </c>
      <c r="J299" s="381">
        <v>0</v>
      </c>
      <c r="K299" s="381">
        <v>0</v>
      </c>
      <c r="L299" s="381"/>
      <c r="M299" s="381">
        <v>0</v>
      </c>
      <c r="N299" s="381">
        <v>0</v>
      </c>
      <c r="O299" s="381">
        <v>0</v>
      </c>
      <c r="P299" s="381">
        <v>0</v>
      </c>
    </row>
    <row r="300" spans="1:16">
      <c r="A300" t="s">
        <v>1954</v>
      </c>
      <c r="B300" t="s">
        <v>1955</v>
      </c>
      <c r="C300" t="s">
        <v>1135</v>
      </c>
      <c r="D300" t="s">
        <v>1137</v>
      </c>
      <c r="E300" t="s">
        <v>389</v>
      </c>
      <c r="F300" t="s">
        <v>1327</v>
      </c>
      <c r="G300" s="381">
        <v>1159.5900000000001</v>
      </c>
      <c r="H300" s="381">
        <v>843.63</v>
      </c>
      <c r="I300" s="381">
        <v>-313.26</v>
      </c>
      <c r="J300" s="381">
        <v>1246.81</v>
      </c>
      <c r="K300" s="381">
        <v>1531.64</v>
      </c>
      <c r="L300" s="381">
        <v>843.63</v>
      </c>
      <c r="M300" s="381">
        <v>-313.26</v>
      </c>
      <c r="N300" s="381">
        <v>1246.81</v>
      </c>
      <c r="O300" s="381">
        <v>0</v>
      </c>
      <c r="P300" s="381">
        <v>0</v>
      </c>
    </row>
    <row r="301" spans="1:16">
      <c r="A301" t="s">
        <v>2236</v>
      </c>
      <c r="B301" t="s">
        <v>2237</v>
      </c>
      <c r="C301" t="s">
        <v>1135</v>
      </c>
      <c r="D301" t="s">
        <v>1137</v>
      </c>
      <c r="E301" t="s">
        <v>639</v>
      </c>
      <c r="F301" t="s">
        <v>1685</v>
      </c>
      <c r="G301" s="381">
        <v>0</v>
      </c>
      <c r="H301" s="381">
        <v>-18074.080000000002</v>
      </c>
      <c r="I301" s="381">
        <v>18074.080000000002</v>
      </c>
      <c r="J301" s="381">
        <v>0</v>
      </c>
      <c r="K301" s="381">
        <v>0</v>
      </c>
      <c r="L301" s="381">
        <v>-18074.080000000002</v>
      </c>
      <c r="M301" s="381">
        <v>18074.080000000002</v>
      </c>
      <c r="N301" s="381">
        <v>0</v>
      </c>
      <c r="O301" s="381">
        <v>0</v>
      </c>
      <c r="P301" s="381">
        <v>0</v>
      </c>
    </row>
    <row r="302" spans="1:16">
      <c r="A302" t="s">
        <v>2238</v>
      </c>
      <c r="B302" t="s">
        <v>2239</v>
      </c>
      <c r="C302" t="s">
        <v>1135</v>
      </c>
      <c r="D302" t="s">
        <v>1137</v>
      </c>
      <c r="E302" t="s">
        <v>639</v>
      </c>
      <c r="F302" t="s">
        <v>1685</v>
      </c>
      <c r="G302" s="381">
        <v>0</v>
      </c>
      <c r="H302" s="381">
        <v>-1922.23</v>
      </c>
      <c r="I302" s="381">
        <v>1922.23</v>
      </c>
      <c r="J302" s="381">
        <v>0</v>
      </c>
      <c r="K302" s="381">
        <v>0</v>
      </c>
      <c r="L302" s="381">
        <v>-1922.23</v>
      </c>
      <c r="M302" s="381">
        <v>1922.23</v>
      </c>
      <c r="N302" s="381">
        <v>0</v>
      </c>
      <c r="O302" s="381">
        <v>0</v>
      </c>
      <c r="P302" s="381">
        <v>0</v>
      </c>
    </row>
    <row r="303" spans="1:16">
      <c r="A303" t="s">
        <v>2240</v>
      </c>
      <c r="B303" t="s">
        <v>2241</v>
      </c>
      <c r="C303" t="s">
        <v>1135</v>
      </c>
      <c r="D303" t="s">
        <v>1137</v>
      </c>
      <c r="E303" t="s">
        <v>639</v>
      </c>
      <c r="F303" t="s">
        <v>1685</v>
      </c>
      <c r="G303" s="381">
        <v>0</v>
      </c>
      <c r="H303" s="381">
        <v>-11.41</v>
      </c>
      <c r="I303" s="381">
        <v>11.41</v>
      </c>
      <c r="J303" s="381">
        <v>0</v>
      </c>
      <c r="K303" s="381">
        <v>0</v>
      </c>
      <c r="L303" s="381">
        <v>-11.41</v>
      </c>
      <c r="M303" s="381">
        <v>11.41</v>
      </c>
      <c r="N303" s="381">
        <v>0</v>
      </c>
      <c r="O303" s="381">
        <v>0</v>
      </c>
      <c r="P303" s="381">
        <v>0</v>
      </c>
    </row>
    <row r="304" spans="1:16">
      <c r="A304" t="s">
        <v>2249</v>
      </c>
      <c r="B304" t="s">
        <v>2250</v>
      </c>
      <c r="C304" t="s">
        <v>1135</v>
      </c>
      <c r="D304" t="s">
        <v>1137</v>
      </c>
      <c r="E304" t="s">
        <v>639</v>
      </c>
      <c r="F304" t="s">
        <v>1138</v>
      </c>
      <c r="G304" s="381">
        <v>0</v>
      </c>
      <c r="H304" s="381"/>
      <c r="I304" s="381">
        <v>984.48</v>
      </c>
      <c r="J304" s="381">
        <v>757.86</v>
      </c>
      <c r="K304" s="381">
        <v>0</v>
      </c>
      <c r="L304" s="381"/>
      <c r="M304" s="381">
        <v>984.48</v>
      </c>
      <c r="N304" s="381">
        <v>757.86</v>
      </c>
      <c r="O304" s="381">
        <v>0</v>
      </c>
      <c r="P304" s="381">
        <v>0</v>
      </c>
    </row>
    <row r="305" spans="1:16">
      <c r="A305" t="s">
        <v>2595</v>
      </c>
      <c r="B305" t="s">
        <v>2596</v>
      </c>
      <c r="C305" t="s">
        <v>1135</v>
      </c>
      <c r="D305" t="s">
        <v>1137</v>
      </c>
      <c r="E305" t="s">
        <v>639</v>
      </c>
      <c r="F305" t="s">
        <v>1327</v>
      </c>
      <c r="G305" s="381">
        <v>0</v>
      </c>
      <c r="H305" s="381">
        <v>0.19</v>
      </c>
      <c r="I305" s="381">
        <v>-0.3</v>
      </c>
      <c r="J305" s="381">
        <v>-1868.81</v>
      </c>
      <c r="K305" s="381">
        <v>0</v>
      </c>
      <c r="L305" s="381">
        <v>0.19</v>
      </c>
      <c r="M305" s="381">
        <v>-0.3</v>
      </c>
      <c r="N305" s="381">
        <v>-1868.81</v>
      </c>
      <c r="O305" s="381">
        <v>0</v>
      </c>
      <c r="P305" s="381">
        <v>0</v>
      </c>
    </row>
    <row r="306" spans="1:16">
      <c r="A306" t="s">
        <v>2831</v>
      </c>
      <c r="B306" t="s">
        <v>2832</v>
      </c>
      <c r="C306" t="s">
        <v>1135</v>
      </c>
      <c r="D306" t="s">
        <v>1137</v>
      </c>
      <c r="E306" t="s">
        <v>1027</v>
      </c>
      <c r="F306" t="s">
        <v>2830</v>
      </c>
      <c r="G306" s="381">
        <v>404.51000000000005</v>
      </c>
      <c r="H306" s="381">
        <v>350.82</v>
      </c>
      <c r="I306" s="381">
        <v>683.3</v>
      </c>
      <c r="J306" s="381">
        <v>1259.0899999999999</v>
      </c>
      <c r="K306" s="381">
        <v>2183.5099999999993</v>
      </c>
      <c r="L306" s="381">
        <v>350.82</v>
      </c>
      <c r="M306" s="381">
        <v>683.3</v>
      </c>
      <c r="N306" s="381">
        <v>1259.0899999999999</v>
      </c>
      <c r="O306" s="381">
        <v>6400</v>
      </c>
      <c r="P306" s="381">
        <v>6400</v>
      </c>
    </row>
    <row r="307" spans="1:16">
      <c r="A307" t="s">
        <v>2900</v>
      </c>
      <c r="B307" t="s">
        <v>2901</v>
      </c>
      <c r="C307" t="s">
        <v>1135</v>
      </c>
      <c r="D307" t="s">
        <v>1137</v>
      </c>
      <c r="E307" t="s">
        <v>22</v>
      </c>
      <c r="F307" t="s">
        <v>2868</v>
      </c>
      <c r="G307" s="381">
        <v>0</v>
      </c>
      <c r="H307" s="381"/>
      <c r="I307" s="381"/>
      <c r="J307" s="381"/>
      <c r="K307" s="381">
        <v>0</v>
      </c>
      <c r="L307" s="381"/>
      <c r="M307" s="381"/>
      <c r="N307" s="381"/>
      <c r="O307" s="381"/>
      <c r="P307" s="381"/>
    </row>
    <row r="308" spans="1:16">
      <c r="A308" t="s">
        <v>2903</v>
      </c>
      <c r="B308" t="s">
        <v>2904</v>
      </c>
      <c r="C308" t="s">
        <v>1135</v>
      </c>
      <c r="D308" t="s">
        <v>1137</v>
      </c>
      <c r="E308" t="s">
        <v>22</v>
      </c>
      <c r="F308" t="s">
        <v>2870</v>
      </c>
      <c r="G308" s="381">
        <v>0</v>
      </c>
      <c r="H308" s="381"/>
      <c r="I308" s="381"/>
      <c r="J308" s="381"/>
      <c r="K308" s="381">
        <v>0</v>
      </c>
      <c r="L308" s="381"/>
      <c r="M308" s="381"/>
      <c r="N308" s="381"/>
      <c r="O308" s="381"/>
      <c r="P308" s="381"/>
    </row>
    <row r="309" spans="1:16">
      <c r="A309" t="s">
        <v>2906</v>
      </c>
      <c r="B309" t="s">
        <v>2907</v>
      </c>
      <c r="C309" t="s">
        <v>1135</v>
      </c>
      <c r="D309" t="s">
        <v>1137</v>
      </c>
      <c r="E309" t="s">
        <v>22</v>
      </c>
      <c r="F309" t="s">
        <v>2872</v>
      </c>
      <c r="G309" s="381">
        <v>1433399.4699999997</v>
      </c>
      <c r="H309" s="381">
        <v>1402914.3999999987</v>
      </c>
      <c r="I309" s="381">
        <v>1397677.6399999992</v>
      </c>
      <c r="J309" s="381">
        <v>1375284.8299999998</v>
      </c>
      <c r="K309" s="381">
        <v>1510809.23</v>
      </c>
      <c r="L309" s="381">
        <v>1402914.3999999987</v>
      </c>
      <c r="M309" s="381">
        <v>1397677.6399999992</v>
      </c>
      <c r="N309" s="381">
        <v>1375284.8299999998</v>
      </c>
      <c r="O309" s="381">
        <v>1386261.7499999984</v>
      </c>
      <c r="P309" s="381">
        <v>1250571.8632276698</v>
      </c>
    </row>
    <row r="310" spans="1:16">
      <c r="A310" t="s">
        <v>1661</v>
      </c>
      <c r="B310" t="s">
        <v>1662</v>
      </c>
      <c r="C310" t="s">
        <v>1135</v>
      </c>
      <c r="D310" t="s">
        <v>1137</v>
      </c>
      <c r="E310" t="s">
        <v>333</v>
      </c>
      <c r="F310" t="s">
        <v>1663</v>
      </c>
      <c r="G310" s="381">
        <v>1762</v>
      </c>
      <c r="H310" s="381">
        <v>656</v>
      </c>
      <c r="I310" s="381">
        <v>1537.91</v>
      </c>
      <c r="J310" s="381">
        <v>2038</v>
      </c>
      <c r="K310" s="381">
        <v>2888.0000000000005</v>
      </c>
      <c r="L310" s="381">
        <v>656</v>
      </c>
      <c r="M310" s="381">
        <v>1537.91</v>
      </c>
      <c r="N310" s="381">
        <v>2038</v>
      </c>
      <c r="O310" s="381">
        <v>2038</v>
      </c>
      <c r="P310" s="381">
        <v>2038</v>
      </c>
    </row>
    <row r="311" spans="1:16">
      <c r="A311" t="s">
        <v>2156</v>
      </c>
      <c r="B311" t="s">
        <v>2157</v>
      </c>
      <c r="C311" t="s">
        <v>1135</v>
      </c>
      <c r="D311" t="s">
        <v>1137</v>
      </c>
      <c r="E311" t="s">
        <v>602</v>
      </c>
      <c r="F311" t="s">
        <v>611</v>
      </c>
      <c r="G311" s="381">
        <v>216.08999999999983</v>
      </c>
      <c r="H311" s="381">
        <v>497.32</v>
      </c>
      <c r="I311" s="381">
        <v>7672.35</v>
      </c>
      <c r="J311" s="381">
        <v>1101.55</v>
      </c>
      <c r="K311" s="381">
        <v>402.42000000000007</v>
      </c>
      <c r="L311" s="381">
        <v>497.32</v>
      </c>
      <c r="M311" s="381">
        <v>7672.35</v>
      </c>
      <c r="N311" s="381">
        <v>1101.55</v>
      </c>
      <c r="O311" s="381">
        <v>0</v>
      </c>
      <c r="P311" s="381">
        <v>0</v>
      </c>
    </row>
    <row r="312" spans="1:16">
      <c r="A312" t="s">
        <v>2847</v>
      </c>
      <c r="B312" t="s">
        <v>2848</v>
      </c>
      <c r="C312" t="s">
        <v>1135</v>
      </c>
      <c r="D312" t="s">
        <v>1137</v>
      </c>
      <c r="E312" t="s">
        <v>1037</v>
      </c>
      <c r="F312" t="s">
        <v>2846</v>
      </c>
      <c r="G312" s="381">
        <v>10390.350000000002</v>
      </c>
      <c r="H312" s="381">
        <v>302.32</v>
      </c>
      <c r="I312" s="381">
        <v>-468.02</v>
      </c>
      <c r="J312" s="381">
        <v>7390.82</v>
      </c>
      <c r="K312" s="381">
        <v>-6560.7800000000007</v>
      </c>
      <c r="L312" s="381">
        <v>302.32</v>
      </c>
      <c r="M312" s="381">
        <v>-468.02</v>
      </c>
      <c r="N312" s="381">
        <v>7390.82</v>
      </c>
      <c r="O312" s="381">
        <v>0</v>
      </c>
      <c r="P312" s="381">
        <v>0</v>
      </c>
    </row>
    <row r="313" spans="1:16">
      <c r="A313" t="s">
        <v>1183</v>
      </c>
      <c r="B313" t="s">
        <v>1184</v>
      </c>
      <c r="C313" t="s">
        <v>1135</v>
      </c>
      <c r="D313" t="s">
        <v>1145</v>
      </c>
      <c r="E313" t="s">
        <v>49</v>
      </c>
      <c r="F313" t="s">
        <v>1185</v>
      </c>
      <c r="G313" s="381">
        <v>40109.449999999997</v>
      </c>
      <c r="H313" s="381">
        <v>35812</v>
      </c>
      <c r="I313" s="381">
        <v>40109.440000000002</v>
      </c>
      <c r="J313" s="381">
        <v>50136.800000000003</v>
      </c>
      <c r="K313" s="381">
        <v>40109.449999999997</v>
      </c>
      <c r="L313" s="381">
        <v>35812</v>
      </c>
      <c r="M313" s="381">
        <v>40109.440000000002</v>
      </c>
      <c r="N313" s="381">
        <v>50136.800000000003</v>
      </c>
      <c r="O313" s="381">
        <v>40000</v>
      </c>
      <c r="P313" s="381">
        <v>28897</v>
      </c>
    </row>
    <row r="314" spans="1:16">
      <c r="A314" t="s">
        <v>2524</v>
      </c>
      <c r="B314" t="s">
        <v>2525</v>
      </c>
      <c r="C314" t="s">
        <v>1135</v>
      </c>
      <c r="D314" t="s">
        <v>1145</v>
      </c>
      <c r="E314" t="s">
        <v>639</v>
      </c>
      <c r="F314" t="s">
        <v>2523</v>
      </c>
      <c r="G314" s="381">
        <v>0</v>
      </c>
      <c r="H314" s="381">
        <v>127295.39</v>
      </c>
      <c r="I314" s="381">
        <v>113379.22</v>
      </c>
      <c r="J314" s="381">
        <v>-240674.61</v>
      </c>
      <c r="K314" s="381">
        <v>0</v>
      </c>
      <c r="L314" s="381">
        <v>127295.39</v>
      </c>
      <c r="M314" s="381">
        <v>113379.22</v>
      </c>
      <c r="N314" s="381">
        <v>-240674.61</v>
      </c>
      <c r="O314" s="381"/>
      <c r="P314" s="381"/>
    </row>
    <row r="315" spans="1:16">
      <c r="A315" t="s">
        <v>1674</v>
      </c>
      <c r="B315" t="s">
        <v>1675</v>
      </c>
      <c r="C315" t="s">
        <v>1135</v>
      </c>
      <c r="D315" t="s">
        <v>1145</v>
      </c>
      <c r="E315" t="s">
        <v>342</v>
      </c>
      <c r="F315" t="s">
        <v>1676</v>
      </c>
      <c r="G315" s="381">
        <v>0</v>
      </c>
      <c r="H315" s="381"/>
      <c r="I315" s="381"/>
      <c r="J315" s="381"/>
      <c r="K315" s="381">
        <v>0</v>
      </c>
      <c r="L315" s="381"/>
      <c r="M315" s="381"/>
      <c r="N315" s="381"/>
      <c r="O315" s="381">
        <v>4301.25</v>
      </c>
      <c r="P315" s="381">
        <v>4301.25</v>
      </c>
    </row>
    <row r="316" spans="1:16">
      <c r="A316" t="s">
        <v>1677</v>
      </c>
      <c r="B316" t="s">
        <v>1678</v>
      </c>
      <c r="C316" t="s">
        <v>1135</v>
      </c>
      <c r="D316" t="s">
        <v>1145</v>
      </c>
      <c r="E316" t="s">
        <v>342</v>
      </c>
      <c r="F316" t="s">
        <v>1679</v>
      </c>
      <c r="G316" s="381">
        <v>0</v>
      </c>
      <c r="H316" s="381"/>
      <c r="I316" s="381"/>
      <c r="J316" s="381"/>
      <c r="K316" s="381">
        <v>0</v>
      </c>
      <c r="L316" s="381"/>
      <c r="M316" s="381"/>
      <c r="N316" s="381"/>
      <c r="O316" s="381">
        <v>-1016.25</v>
      </c>
      <c r="P316" s="381">
        <v>-1016.25</v>
      </c>
    </row>
    <row r="317" spans="1:16">
      <c r="A317" t="s">
        <v>1680</v>
      </c>
      <c r="B317" t="s">
        <v>1681</v>
      </c>
      <c r="C317" t="s">
        <v>1135</v>
      </c>
      <c r="D317" t="s">
        <v>1145</v>
      </c>
      <c r="E317" t="s">
        <v>342</v>
      </c>
      <c r="F317" t="s">
        <v>1682</v>
      </c>
      <c r="G317" s="381">
        <v>0</v>
      </c>
      <c r="H317" s="381"/>
      <c r="I317" s="381"/>
      <c r="J317" s="381"/>
      <c r="K317" s="381">
        <v>0</v>
      </c>
      <c r="L317" s="381"/>
      <c r="M317" s="381"/>
      <c r="N317" s="381"/>
      <c r="O317" s="381">
        <v>-1016.25</v>
      </c>
      <c r="P317" s="381">
        <v>-1016.25</v>
      </c>
    </row>
    <row r="318" spans="1:16">
      <c r="A318" t="s">
        <v>1948</v>
      </c>
      <c r="B318" t="s">
        <v>1949</v>
      </c>
      <c r="C318" t="s">
        <v>1135</v>
      </c>
      <c r="D318" t="s">
        <v>1145</v>
      </c>
      <c r="E318" t="s">
        <v>389</v>
      </c>
      <c r="F318" t="s">
        <v>1947</v>
      </c>
      <c r="G318" s="381">
        <v>0</v>
      </c>
      <c r="H318" s="381"/>
      <c r="I318" s="381">
        <v>-68030</v>
      </c>
      <c r="J318" s="381">
        <v>68030</v>
      </c>
      <c r="K318" s="381">
        <v>0</v>
      </c>
      <c r="L318" s="381"/>
      <c r="M318" s="381">
        <v>-68030</v>
      </c>
      <c r="N318" s="381">
        <v>68030</v>
      </c>
      <c r="O318" s="381"/>
      <c r="P318" s="381"/>
    </row>
    <row r="319" spans="1:16">
      <c r="A319" t="s">
        <v>2527</v>
      </c>
      <c r="B319" t="s">
        <v>2528</v>
      </c>
      <c r="C319" t="s">
        <v>1135</v>
      </c>
      <c r="D319" t="s">
        <v>1145</v>
      </c>
      <c r="E319" t="s">
        <v>639</v>
      </c>
      <c r="F319" t="s">
        <v>1947</v>
      </c>
      <c r="G319" s="381">
        <v>0</v>
      </c>
      <c r="H319" s="381"/>
      <c r="I319" s="381">
        <v>-158800</v>
      </c>
      <c r="J319" s="381">
        <v>158800</v>
      </c>
      <c r="K319" s="381">
        <v>0</v>
      </c>
      <c r="L319" s="381"/>
      <c r="M319" s="381">
        <v>-158800</v>
      </c>
      <c r="N319" s="381">
        <v>158800</v>
      </c>
      <c r="O319" s="381"/>
      <c r="P319" s="381"/>
    </row>
    <row r="320" spans="1:16">
      <c r="A320" t="s">
        <v>1285</v>
      </c>
      <c r="B320" t="s">
        <v>1286</v>
      </c>
      <c r="C320" t="s">
        <v>1135</v>
      </c>
      <c r="D320" t="s">
        <v>1145</v>
      </c>
      <c r="E320" t="s">
        <v>49</v>
      </c>
      <c r="F320" t="s">
        <v>1287</v>
      </c>
      <c r="G320" s="381">
        <v>0</v>
      </c>
      <c r="H320" s="381"/>
      <c r="I320" s="381"/>
      <c r="J320" s="381"/>
      <c r="K320" s="381">
        <v>0</v>
      </c>
      <c r="L320" s="381"/>
      <c r="M320" s="381"/>
      <c r="N320" s="381"/>
      <c r="O320" s="381">
        <v>0</v>
      </c>
      <c r="P320" s="381">
        <v>0</v>
      </c>
    </row>
    <row r="321" spans="1:16">
      <c r="A321" t="s">
        <v>2288</v>
      </c>
      <c r="B321" t="s">
        <v>2289</v>
      </c>
      <c r="C321" t="s">
        <v>1135</v>
      </c>
      <c r="D321" t="s">
        <v>1145</v>
      </c>
      <c r="E321" t="s">
        <v>639</v>
      </c>
      <c r="F321" t="s">
        <v>2285</v>
      </c>
      <c r="G321" s="381">
        <v>0</v>
      </c>
      <c r="H321" s="381"/>
      <c r="I321" s="381">
        <v>227</v>
      </c>
      <c r="J321" s="381">
        <v>0</v>
      </c>
      <c r="K321" s="381">
        <v>454</v>
      </c>
      <c r="L321" s="381"/>
      <c r="M321" s="381">
        <v>227</v>
      </c>
      <c r="N321" s="381">
        <v>0</v>
      </c>
      <c r="O321" s="381">
        <v>550</v>
      </c>
      <c r="P321" s="381">
        <v>0</v>
      </c>
    </row>
    <row r="322" spans="1:16">
      <c r="A322" t="s">
        <v>2473</v>
      </c>
      <c r="B322" t="s">
        <v>2474</v>
      </c>
      <c r="C322" t="s">
        <v>1135</v>
      </c>
      <c r="D322" t="s">
        <v>1145</v>
      </c>
      <c r="E322" t="s">
        <v>639</v>
      </c>
      <c r="F322" t="s">
        <v>818</v>
      </c>
      <c r="G322" s="381">
        <v>0</v>
      </c>
      <c r="H322" s="381"/>
      <c r="I322" s="381"/>
      <c r="J322" s="381">
        <v>410.21</v>
      </c>
      <c r="K322" s="381">
        <v>0</v>
      </c>
      <c r="L322" s="381"/>
      <c r="M322" s="381"/>
      <c r="N322" s="381">
        <v>410.21</v>
      </c>
      <c r="O322" s="381">
        <v>2600</v>
      </c>
      <c r="P322" s="381">
        <v>0</v>
      </c>
    </row>
    <row r="323" spans="1:16">
      <c r="A323" t="s">
        <v>1865</v>
      </c>
      <c r="B323" t="s">
        <v>1866</v>
      </c>
      <c r="C323" t="s">
        <v>1135</v>
      </c>
      <c r="D323" t="s">
        <v>1145</v>
      </c>
      <c r="E323" t="s">
        <v>389</v>
      </c>
      <c r="F323" t="s">
        <v>1863</v>
      </c>
      <c r="G323" s="381">
        <v>1008.71</v>
      </c>
      <c r="H323" s="381">
        <v>1.65</v>
      </c>
      <c r="I323" s="381">
        <v>76.819999999999993</v>
      </c>
      <c r="J323" s="381">
        <v>2.5299999999999998</v>
      </c>
      <c r="K323" s="381">
        <v>1060.44</v>
      </c>
      <c r="L323" s="381">
        <v>1.65</v>
      </c>
      <c r="M323" s="381">
        <v>76.819999999999993</v>
      </c>
      <c r="N323" s="381">
        <v>2.5299999999999998</v>
      </c>
      <c r="O323" s="381">
        <v>0</v>
      </c>
      <c r="P323" s="381">
        <v>0</v>
      </c>
    </row>
    <row r="324" spans="1:16">
      <c r="A324" t="s">
        <v>1897</v>
      </c>
      <c r="B324" t="s">
        <v>1898</v>
      </c>
      <c r="C324" t="s">
        <v>1135</v>
      </c>
      <c r="D324" t="s">
        <v>1145</v>
      </c>
      <c r="E324" t="s">
        <v>389</v>
      </c>
      <c r="F324" t="s">
        <v>1703</v>
      </c>
      <c r="G324" s="381">
        <v>21280.7</v>
      </c>
      <c r="H324" s="381">
        <v>18590.2</v>
      </c>
      <c r="I324" s="381">
        <v>19113.38</v>
      </c>
      <c r="J324" s="381">
        <v>12642.34</v>
      </c>
      <c r="K324" s="381">
        <v>14563.560000000001</v>
      </c>
      <c r="L324" s="381">
        <v>18590.2</v>
      </c>
      <c r="M324" s="381">
        <v>19113.38</v>
      </c>
      <c r="N324" s="381">
        <v>12642.34</v>
      </c>
      <c r="O324" s="381">
        <v>20000</v>
      </c>
      <c r="P324" s="381">
        <v>20000</v>
      </c>
    </row>
    <row r="325" spans="1:16">
      <c r="A325" t="s">
        <v>1906</v>
      </c>
      <c r="B325" t="s">
        <v>1907</v>
      </c>
      <c r="C325" t="s">
        <v>1135</v>
      </c>
      <c r="D325" t="s">
        <v>1145</v>
      </c>
      <c r="E325" t="s">
        <v>389</v>
      </c>
      <c r="F325" t="s">
        <v>1855</v>
      </c>
      <c r="G325" s="381">
        <v>2458</v>
      </c>
      <c r="H325" s="381">
        <v>3202</v>
      </c>
      <c r="I325" s="381">
        <v>2807</v>
      </c>
      <c r="J325" s="381">
        <v>240</v>
      </c>
      <c r="K325" s="381">
        <v>2458</v>
      </c>
      <c r="L325" s="381">
        <v>3202</v>
      </c>
      <c r="M325" s="381">
        <v>2807</v>
      </c>
      <c r="N325" s="381">
        <v>240</v>
      </c>
      <c r="O325" s="381">
        <v>2807</v>
      </c>
      <c r="P325" s="381">
        <v>2807</v>
      </c>
    </row>
    <row r="326" spans="1:16">
      <c r="A326" t="s">
        <v>1794</v>
      </c>
      <c r="B326" t="s">
        <v>1795</v>
      </c>
      <c r="C326" t="s">
        <v>1135</v>
      </c>
      <c r="D326" t="s">
        <v>1145</v>
      </c>
      <c r="E326" t="s">
        <v>389</v>
      </c>
      <c r="F326" t="s">
        <v>1174</v>
      </c>
      <c r="G326" s="381">
        <v>40357.590000000004</v>
      </c>
      <c r="H326" s="381">
        <v>45611.11</v>
      </c>
      <c r="I326" s="381">
        <v>43675.76</v>
      </c>
      <c r="J326" s="381">
        <v>39816.31</v>
      </c>
      <c r="K326" s="381">
        <v>42129.81</v>
      </c>
      <c r="L326" s="381">
        <v>45611.11</v>
      </c>
      <c r="M326" s="381">
        <v>43675.76</v>
      </c>
      <c r="N326" s="381">
        <v>39816.31</v>
      </c>
      <c r="O326" s="381">
        <v>56000</v>
      </c>
      <c r="P326" s="381">
        <v>56000</v>
      </c>
    </row>
    <row r="327" spans="1:16">
      <c r="A327" t="s">
        <v>2272</v>
      </c>
      <c r="B327" t="s">
        <v>2273</v>
      </c>
      <c r="C327" t="s">
        <v>1135</v>
      </c>
      <c r="D327" t="s">
        <v>1145</v>
      </c>
      <c r="E327" t="s">
        <v>639</v>
      </c>
      <c r="F327" t="s">
        <v>2274</v>
      </c>
      <c r="G327" s="381">
        <v>308.33</v>
      </c>
      <c r="H327" s="381">
        <v>308.33</v>
      </c>
      <c r="I327" s="381">
        <v>0</v>
      </c>
      <c r="J327" s="381">
        <v>308.33</v>
      </c>
      <c r="K327" s="381">
        <v>308.33</v>
      </c>
      <c r="L327" s="381">
        <v>308.33</v>
      </c>
      <c r="M327" s="381">
        <v>0</v>
      </c>
      <c r="N327" s="381">
        <v>308.33</v>
      </c>
      <c r="O327" s="381">
        <v>0</v>
      </c>
      <c r="P327" s="381">
        <v>0</v>
      </c>
    </row>
    <row r="328" spans="1:16">
      <c r="A328" t="s">
        <v>2261</v>
      </c>
      <c r="B328" t="s">
        <v>2262</v>
      </c>
      <c r="C328" t="s">
        <v>1135</v>
      </c>
      <c r="D328" t="s">
        <v>1145</v>
      </c>
      <c r="E328" t="s">
        <v>639</v>
      </c>
      <c r="F328" t="s">
        <v>1174</v>
      </c>
      <c r="G328" s="381">
        <v>3493.25</v>
      </c>
      <c r="H328" s="381">
        <v>4052.17</v>
      </c>
      <c r="I328" s="381">
        <v>3772.71</v>
      </c>
      <c r="J328" s="381">
        <v>4113.25</v>
      </c>
      <c r="K328" s="381">
        <v>3493.25</v>
      </c>
      <c r="L328" s="381">
        <v>4052.17</v>
      </c>
      <c r="M328" s="381">
        <v>3772.71</v>
      </c>
      <c r="N328" s="381">
        <v>4113.25</v>
      </c>
      <c r="O328" s="381">
        <v>4000</v>
      </c>
      <c r="P328" s="381">
        <v>4000</v>
      </c>
    </row>
    <row r="329" spans="1:16">
      <c r="A329" t="s">
        <v>2294</v>
      </c>
      <c r="B329" t="s">
        <v>2295</v>
      </c>
      <c r="C329" t="s">
        <v>1135</v>
      </c>
      <c r="D329" t="s">
        <v>1145</v>
      </c>
      <c r="E329" t="s">
        <v>639</v>
      </c>
      <c r="F329" t="s">
        <v>2291</v>
      </c>
      <c r="G329" s="381">
        <v>0</v>
      </c>
      <c r="H329" s="381"/>
      <c r="I329" s="381"/>
      <c r="J329" s="381"/>
      <c r="K329" s="381">
        <v>0</v>
      </c>
      <c r="L329" s="381"/>
      <c r="M329" s="381"/>
      <c r="N329" s="381"/>
      <c r="O329" s="381">
        <v>370</v>
      </c>
      <c r="P329" s="381">
        <v>0</v>
      </c>
    </row>
    <row r="330" spans="1:16">
      <c r="A330" t="s">
        <v>2557</v>
      </c>
      <c r="B330" t="s">
        <v>2558</v>
      </c>
      <c r="C330" t="s">
        <v>1135</v>
      </c>
      <c r="D330" t="s">
        <v>1145</v>
      </c>
      <c r="E330" t="s">
        <v>639</v>
      </c>
      <c r="F330" t="s">
        <v>2559</v>
      </c>
      <c r="G330" s="381">
        <v>-11391.72</v>
      </c>
      <c r="H330" s="381">
        <v>0.28000000000000003</v>
      </c>
      <c r="I330" s="381">
        <v>-0.28000000000000003</v>
      </c>
      <c r="J330" s="381"/>
      <c r="K330" s="381">
        <v>0</v>
      </c>
      <c r="L330" s="381">
        <v>0.28000000000000003</v>
      </c>
      <c r="M330" s="381">
        <v>-0.28000000000000003</v>
      </c>
      <c r="N330" s="381"/>
      <c r="O330" s="381"/>
      <c r="P330" s="381"/>
    </row>
    <row r="331" spans="1:16">
      <c r="A331" t="s">
        <v>1224</v>
      </c>
      <c r="B331" t="s">
        <v>1225</v>
      </c>
      <c r="C331" t="s">
        <v>1135</v>
      </c>
      <c r="D331" t="s">
        <v>1145</v>
      </c>
      <c r="E331" t="s">
        <v>49</v>
      </c>
      <c r="F331" t="s">
        <v>1226</v>
      </c>
      <c r="G331" s="381">
        <v>27517.89</v>
      </c>
      <c r="H331" s="381">
        <v>24570</v>
      </c>
      <c r="I331" s="381">
        <v>27517.439999999999</v>
      </c>
      <c r="J331" s="381">
        <v>34397.360000000001</v>
      </c>
      <c r="K331" s="381">
        <v>27517.89</v>
      </c>
      <c r="L331" s="381">
        <v>24570</v>
      </c>
      <c r="M331" s="381">
        <v>27517.439999999999</v>
      </c>
      <c r="N331" s="381">
        <v>34397.360000000001</v>
      </c>
      <c r="O331" s="381">
        <v>32515</v>
      </c>
      <c r="P331" s="381">
        <v>29750</v>
      </c>
    </row>
    <row r="332" spans="1:16">
      <c r="A332" t="s">
        <v>1310</v>
      </c>
      <c r="B332" t="s">
        <v>1311</v>
      </c>
      <c r="C332" t="s">
        <v>1135</v>
      </c>
      <c r="D332" t="s">
        <v>1145</v>
      </c>
      <c r="E332" t="s">
        <v>49</v>
      </c>
      <c r="F332" t="s">
        <v>1312</v>
      </c>
      <c r="G332" s="381">
        <v>3758.8999999999978</v>
      </c>
      <c r="H332" s="381">
        <v>3356.36</v>
      </c>
      <c r="I332" s="381">
        <v>3758.72</v>
      </c>
      <c r="J332" s="381">
        <v>4698.63</v>
      </c>
      <c r="K332" s="381">
        <v>659.46</v>
      </c>
      <c r="L332" s="381">
        <v>3356.36</v>
      </c>
      <c r="M332" s="381">
        <v>3758.72</v>
      </c>
      <c r="N332" s="381">
        <v>4698.63</v>
      </c>
      <c r="O332" s="381">
        <v>0</v>
      </c>
      <c r="P332" s="381">
        <v>0</v>
      </c>
    </row>
    <row r="333" spans="1:16">
      <c r="A333" t="s">
        <v>1314</v>
      </c>
      <c r="B333" t="s">
        <v>1315</v>
      </c>
      <c r="C333" t="s">
        <v>1135</v>
      </c>
      <c r="D333" t="s">
        <v>1145</v>
      </c>
      <c r="E333" t="s">
        <v>49</v>
      </c>
      <c r="F333" t="s">
        <v>1316</v>
      </c>
      <c r="G333" s="381">
        <v>4517.2999999999993</v>
      </c>
      <c r="H333" s="381">
        <v>1355</v>
      </c>
      <c r="I333" s="381">
        <v>1517.05</v>
      </c>
      <c r="J333" s="381">
        <v>1896.64</v>
      </c>
      <c r="K333" s="381">
        <v>-462.13999999999965</v>
      </c>
      <c r="L333" s="381">
        <v>1355</v>
      </c>
      <c r="M333" s="381">
        <v>1517.05</v>
      </c>
      <c r="N333" s="381">
        <v>1896.64</v>
      </c>
      <c r="O333" s="381">
        <v>0</v>
      </c>
      <c r="P333" s="381">
        <v>0</v>
      </c>
    </row>
    <row r="334" spans="1:16">
      <c r="A334" t="s">
        <v>1143</v>
      </c>
      <c r="B334" t="s">
        <v>1144</v>
      </c>
      <c r="C334" t="s">
        <v>1135</v>
      </c>
      <c r="D334" t="s">
        <v>1145</v>
      </c>
      <c r="E334" t="s">
        <v>49</v>
      </c>
      <c r="F334" t="s">
        <v>1138</v>
      </c>
      <c r="G334" s="381">
        <v>0</v>
      </c>
      <c r="H334" s="381"/>
      <c r="I334" s="381"/>
      <c r="J334" s="381"/>
      <c r="K334" s="381">
        <v>0</v>
      </c>
      <c r="L334" s="381"/>
      <c r="M334" s="381"/>
      <c r="N334" s="381"/>
      <c r="O334" s="381">
        <v>1800</v>
      </c>
      <c r="P334" s="381">
        <v>0</v>
      </c>
    </row>
    <row r="335" spans="1:16">
      <c r="A335" t="s">
        <v>1150</v>
      </c>
      <c r="B335" t="s">
        <v>1151</v>
      </c>
      <c r="C335" t="s">
        <v>1135</v>
      </c>
      <c r="D335" t="s">
        <v>1145</v>
      </c>
      <c r="E335" t="s">
        <v>49</v>
      </c>
      <c r="F335" t="s">
        <v>1147</v>
      </c>
      <c r="G335" s="381">
        <v>148175</v>
      </c>
      <c r="H335" s="381"/>
      <c r="I335" s="381">
        <v>-20640.86</v>
      </c>
      <c r="J335" s="381">
        <v>-10639.87</v>
      </c>
      <c r="K335" s="381">
        <v>-155623.00000000006</v>
      </c>
      <c r="L335" s="381"/>
      <c r="M335" s="381">
        <v>-20640.86</v>
      </c>
      <c r="N335" s="381">
        <v>-10639.87</v>
      </c>
      <c r="O335" s="381">
        <v>-55600</v>
      </c>
      <c r="P335" s="381">
        <v>-6440</v>
      </c>
    </row>
    <row r="336" spans="1:16">
      <c r="A336" t="s">
        <v>1330</v>
      </c>
      <c r="B336" t="s">
        <v>1331</v>
      </c>
      <c r="C336" t="s">
        <v>1135</v>
      </c>
      <c r="D336" t="s">
        <v>1145</v>
      </c>
      <c r="E336" t="s">
        <v>49</v>
      </c>
      <c r="F336" t="s">
        <v>1327</v>
      </c>
      <c r="G336" s="381">
        <v>0.46</v>
      </c>
      <c r="H336" s="381">
        <v>-0.36</v>
      </c>
      <c r="I336" s="381">
        <v>0.35</v>
      </c>
      <c r="J336" s="381">
        <v>5030.57</v>
      </c>
      <c r="K336" s="381">
        <v>0.34</v>
      </c>
      <c r="L336" s="381">
        <v>-0.36</v>
      </c>
      <c r="M336" s="381">
        <v>0.35</v>
      </c>
      <c r="N336" s="381">
        <v>5030.57</v>
      </c>
      <c r="O336" s="381">
        <v>0</v>
      </c>
      <c r="P336" s="381">
        <v>0</v>
      </c>
    </row>
    <row r="337" spans="1:16">
      <c r="A337" t="s">
        <v>1914</v>
      </c>
      <c r="B337" t="s">
        <v>1915</v>
      </c>
      <c r="C337" t="s">
        <v>1135</v>
      </c>
      <c r="D337" t="s">
        <v>1145</v>
      </c>
      <c r="E337" t="s">
        <v>389</v>
      </c>
      <c r="F337" t="s">
        <v>1916</v>
      </c>
      <c r="G337" s="381">
        <v>80223.58</v>
      </c>
      <c r="H337" s="381">
        <v>80223.58</v>
      </c>
      <c r="I337" s="381">
        <v>0</v>
      </c>
      <c r="J337" s="381">
        <v>0</v>
      </c>
      <c r="K337" s="381">
        <v>0</v>
      </c>
      <c r="L337" s="381">
        <v>80223.58</v>
      </c>
      <c r="M337" s="381">
        <v>0</v>
      </c>
      <c r="N337" s="381">
        <v>0</v>
      </c>
      <c r="O337" s="381">
        <v>75250</v>
      </c>
      <c r="P337" s="381">
        <v>0</v>
      </c>
    </row>
    <row r="338" spans="1:16">
      <c r="A338" t="s">
        <v>1919</v>
      </c>
      <c r="B338" t="s">
        <v>1920</v>
      </c>
      <c r="C338" t="s">
        <v>1135</v>
      </c>
      <c r="D338" t="s">
        <v>1145</v>
      </c>
      <c r="E338" t="s">
        <v>389</v>
      </c>
      <c r="F338" t="s">
        <v>1921</v>
      </c>
      <c r="G338" s="381">
        <v>9484.4399999999951</v>
      </c>
      <c r="H338" s="381">
        <v>70697.440000000002</v>
      </c>
      <c r="I338" s="381">
        <v>0.49</v>
      </c>
      <c r="J338" s="381">
        <v>0</v>
      </c>
      <c r="K338" s="381">
        <v>0</v>
      </c>
      <c r="L338" s="381">
        <v>70697.440000000002</v>
      </c>
      <c r="M338" s="381">
        <v>0.49</v>
      </c>
      <c r="N338" s="381">
        <v>0</v>
      </c>
      <c r="O338" s="381">
        <v>70698</v>
      </c>
      <c r="P338" s="381">
        <v>0</v>
      </c>
    </row>
    <row r="339" spans="1:16">
      <c r="A339" t="s">
        <v>1957</v>
      </c>
      <c r="B339" t="s">
        <v>1958</v>
      </c>
      <c r="C339" t="s">
        <v>1135</v>
      </c>
      <c r="D339" t="s">
        <v>1145</v>
      </c>
      <c r="E339" t="s">
        <v>389</v>
      </c>
      <c r="F339" t="s">
        <v>1327</v>
      </c>
      <c r="G339" s="381">
        <v>-0.02</v>
      </c>
      <c r="H339" s="381">
        <v>0.02</v>
      </c>
      <c r="I339" s="381">
        <v>0.04</v>
      </c>
      <c r="J339" s="381">
        <v>-0.18</v>
      </c>
      <c r="K339" s="381">
        <v>0.19</v>
      </c>
      <c r="L339" s="381">
        <v>0.02</v>
      </c>
      <c r="M339" s="381">
        <v>0.04</v>
      </c>
      <c r="N339" s="381">
        <v>-0.18</v>
      </c>
      <c r="O339" s="381">
        <v>0</v>
      </c>
      <c r="P339" s="381">
        <v>0</v>
      </c>
    </row>
    <row r="340" spans="1:16">
      <c r="A340" t="s">
        <v>2579</v>
      </c>
      <c r="B340" t="s">
        <v>2580</v>
      </c>
      <c r="C340" t="s">
        <v>1135</v>
      </c>
      <c r="D340" t="s">
        <v>1145</v>
      </c>
      <c r="E340" t="s">
        <v>639</v>
      </c>
      <c r="F340" t="s">
        <v>2581</v>
      </c>
      <c r="G340" s="381">
        <v>0</v>
      </c>
      <c r="H340" s="381"/>
      <c r="I340" s="381"/>
      <c r="J340" s="381"/>
      <c r="K340" s="381">
        <v>0</v>
      </c>
      <c r="L340" s="381"/>
      <c r="M340" s="381"/>
      <c r="N340" s="381"/>
      <c r="O340" s="381"/>
      <c r="P340" s="381"/>
    </row>
    <row r="341" spans="1:16">
      <c r="A341" t="s">
        <v>2251</v>
      </c>
      <c r="B341" t="s">
        <v>2252</v>
      </c>
      <c r="C341" t="s">
        <v>1135</v>
      </c>
      <c r="D341" t="s">
        <v>1145</v>
      </c>
      <c r="E341" t="s">
        <v>639</v>
      </c>
      <c r="F341" t="s">
        <v>1138</v>
      </c>
      <c r="G341" s="381">
        <v>0</v>
      </c>
      <c r="H341" s="381"/>
      <c r="I341" s="381">
        <v>1312.56</v>
      </c>
      <c r="J341" s="381">
        <v>0</v>
      </c>
      <c r="K341" s="381">
        <v>0</v>
      </c>
      <c r="L341" s="381"/>
      <c r="M341" s="381">
        <v>1312.56</v>
      </c>
      <c r="N341" s="381">
        <v>0</v>
      </c>
      <c r="O341" s="381">
        <v>0</v>
      </c>
      <c r="P341" s="381">
        <v>0</v>
      </c>
    </row>
    <row r="342" spans="1:16">
      <c r="A342" t="s">
        <v>2597</v>
      </c>
      <c r="B342" t="s">
        <v>2598</v>
      </c>
      <c r="C342" t="s">
        <v>1135</v>
      </c>
      <c r="D342" t="s">
        <v>1145</v>
      </c>
      <c r="E342" t="s">
        <v>639</v>
      </c>
      <c r="F342" t="s">
        <v>1327</v>
      </c>
      <c r="G342" s="381">
        <v>-8.9999999999918145E-2</v>
      </c>
      <c r="H342" s="381">
        <v>-0.15</v>
      </c>
      <c r="I342" s="381">
        <v>0.31</v>
      </c>
      <c r="J342" s="381">
        <v>-0.42</v>
      </c>
      <c r="K342" s="381">
        <v>0.44</v>
      </c>
      <c r="L342" s="381">
        <v>-0.15</v>
      </c>
      <c r="M342" s="381">
        <v>0.31</v>
      </c>
      <c r="N342" s="381">
        <v>-0.42</v>
      </c>
      <c r="O342" s="381">
        <v>0</v>
      </c>
      <c r="P342" s="381">
        <v>0</v>
      </c>
    </row>
    <row r="343" spans="1:16">
      <c r="A343" t="s">
        <v>2333</v>
      </c>
      <c r="B343" t="s">
        <v>2334</v>
      </c>
      <c r="C343" t="s">
        <v>1135</v>
      </c>
      <c r="D343" t="s">
        <v>1145</v>
      </c>
      <c r="E343" t="s">
        <v>639</v>
      </c>
      <c r="F343" t="s">
        <v>2335</v>
      </c>
      <c r="G343" s="381">
        <v>0</v>
      </c>
      <c r="H343" s="381"/>
      <c r="I343" s="381">
        <v>55716.44</v>
      </c>
      <c r="J343" s="381">
        <v>0</v>
      </c>
      <c r="K343" s="381">
        <v>0</v>
      </c>
      <c r="L343" s="381"/>
      <c r="M343" s="381">
        <v>55716.44</v>
      </c>
      <c r="N343" s="381">
        <v>0</v>
      </c>
      <c r="O343" s="381">
        <v>0</v>
      </c>
      <c r="P343" s="381">
        <v>0</v>
      </c>
    </row>
    <row r="344" spans="1:16">
      <c r="A344" t="s">
        <v>2518</v>
      </c>
      <c r="B344" t="s">
        <v>2519</v>
      </c>
      <c r="C344" t="s">
        <v>1135</v>
      </c>
      <c r="D344" t="s">
        <v>1145</v>
      </c>
      <c r="E344" t="s">
        <v>639</v>
      </c>
      <c r="F344" t="s">
        <v>2520</v>
      </c>
      <c r="G344" s="381">
        <v>36231.229999999996</v>
      </c>
      <c r="H344" s="381">
        <v>67277.88</v>
      </c>
      <c r="I344" s="381">
        <v>13527.14</v>
      </c>
      <c r="J344" s="381">
        <v>16908.240000000002</v>
      </c>
      <c r="K344" s="381">
        <v>37708.980000000003</v>
      </c>
      <c r="L344" s="381">
        <v>67277.88</v>
      </c>
      <c r="M344" s="381">
        <v>13527.14</v>
      </c>
      <c r="N344" s="381">
        <v>16908.240000000002</v>
      </c>
      <c r="O344" s="381">
        <v>0</v>
      </c>
      <c r="P344" s="381">
        <v>0</v>
      </c>
    </row>
    <row r="345" spans="1:16">
      <c r="A345" t="s">
        <v>2564</v>
      </c>
      <c r="B345" t="s">
        <v>2565</v>
      </c>
      <c r="C345" t="s">
        <v>1135</v>
      </c>
      <c r="D345" t="s">
        <v>1145</v>
      </c>
      <c r="E345" t="s">
        <v>639</v>
      </c>
      <c r="F345" t="s">
        <v>2566</v>
      </c>
      <c r="G345" s="381">
        <v>0</v>
      </c>
      <c r="H345" s="381">
        <v>0.1</v>
      </c>
      <c r="I345" s="381">
        <v>-0.1</v>
      </c>
      <c r="J345" s="381"/>
      <c r="K345" s="381">
        <v>0</v>
      </c>
      <c r="L345" s="381">
        <v>0.1</v>
      </c>
      <c r="M345" s="381">
        <v>-0.1</v>
      </c>
      <c r="N345" s="381"/>
      <c r="O345" s="381"/>
      <c r="P345" s="381"/>
    </row>
    <row r="346" spans="1:16">
      <c r="A346" t="s">
        <v>1273</v>
      </c>
      <c r="B346" t="s">
        <v>1274</v>
      </c>
      <c r="C346" t="s">
        <v>1135</v>
      </c>
      <c r="D346" t="s">
        <v>1145</v>
      </c>
      <c r="E346" t="s">
        <v>49</v>
      </c>
      <c r="F346" t="s">
        <v>1275</v>
      </c>
      <c r="G346" s="381">
        <v>0</v>
      </c>
      <c r="H346" s="381">
        <v>59013</v>
      </c>
      <c r="I346" s="381">
        <v>227334.86</v>
      </c>
      <c r="J346" s="381">
        <v>185217.87</v>
      </c>
      <c r="K346" s="381">
        <v>0</v>
      </c>
      <c r="L346" s="381">
        <v>59013</v>
      </c>
      <c r="M346" s="381">
        <v>227334.86</v>
      </c>
      <c r="N346" s="381">
        <v>185217.87</v>
      </c>
      <c r="O346" s="381">
        <v>79000</v>
      </c>
      <c r="P346" s="381">
        <v>29653</v>
      </c>
    </row>
    <row r="347" spans="1:16">
      <c r="A347" t="s">
        <v>2151</v>
      </c>
      <c r="B347" t="s">
        <v>2152</v>
      </c>
      <c r="C347" t="s">
        <v>1135</v>
      </c>
      <c r="D347" t="s">
        <v>1145</v>
      </c>
      <c r="E347" t="s">
        <v>602</v>
      </c>
      <c r="F347" t="s">
        <v>2153</v>
      </c>
      <c r="G347" s="381">
        <v>0</v>
      </c>
      <c r="H347" s="381">
        <v>-11125</v>
      </c>
      <c r="I347" s="381">
        <v>11125</v>
      </c>
      <c r="J347" s="381"/>
      <c r="K347" s="381">
        <v>0</v>
      </c>
      <c r="L347" s="381">
        <v>-11125</v>
      </c>
      <c r="M347" s="381">
        <v>11125</v>
      </c>
      <c r="N347" s="381"/>
      <c r="O347" s="381"/>
      <c r="P347" s="381"/>
    </row>
    <row r="348" spans="1:16">
      <c r="A348" t="s">
        <v>1614</v>
      </c>
      <c r="B348" t="s">
        <v>1615</v>
      </c>
      <c r="C348" t="s">
        <v>1567</v>
      </c>
      <c r="D348" t="s">
        <v>1567</v>
      </c>
      <c r="E348" t="s">
        <v>49</v>
      </c>
      <c r="F348" t="s">
        <v>1616</v>
      </c>
      <c r="G348" s="381">
        <v>0</v>
      </c>
      <c r="H348" s="381"/>
      <c r="I348" s="381"/>
      <c r="J348" s="381">
        <v>-180144.16</v>
      </c>
      <c r="K348" s="381">
        <v>-270216.24</v>
      </c>
      <c r="L348" s="381"/>
      <c r="M348" s="381"/>
      <c r="N348" s="381">
        <v>-180144.16</v>
      </c>
      <c r="O348" s="381">
        <v>0</v>
      </c>
      <c r="P348" s="381">
        <v>-270216</v>
      </c>
    </row>
    <row r="349" spans="1:16">
      <c r="A349" t="s">
        <v>2862</v>
      </c>
      <c r="B349" t="s">
        <v>2863</v>
      </c>
      <c r="C349" t="s">
        <v>1567</v>
      </c>
      <c r="D349" t="s">
        <v>1567</v>
      </c>
      <c r="E349" t="s">
        <v>1037</v>
      </c>
      <c r="F349" t="s">
        <v>2846</v>
      </c>
      <c r="G349" s="381">
        <v>5133</v>
      </c>
      <c r="H349" s="381">
        <v>-478537.04</v>
      </c>
      <c r="I349" s="381">
        <v>11513.92</v>
      </c>
      <c r="J349" s="381">
        <v>-1000.11</v>
      </c>
      <c r="K349" s="381">
        <v>288</v>
      </c>
      <c r="L349" s="381">
        <v>-478537.04</v>
      </c>
      <c r="M349" s="381">
        <v>11513.92</v>
      </c>
      <c r="N349" s="381">
        <v>-1000.11</v>
      </c>
      <c r="O349" s="381">
        <v>0</v>
      </c>
      <c r="P349" s="381">
        <v>0</v>
      </c>
    </row>
    <row r="350" spans="1:16">
      <c r="A350" t="s">
        <v>2134</v>
      </c>
      <c r="B350" t="s">
        <v>2135</v>
      </c>
      <c r="C350" t="s">
        <v>1567</v>
      </c>
      <c r="D350" t="s">
        <v>1567</v>
      </c>
      <c r="E350" t="s">
        <v>389</v>
      </c>
      <c r="F350" t="s">
        <v>2136</v>
      </c>
      <c r="G350" s="381">
        <v>0</v>
      </c>
      <c r="H350" s="381"/>
      <c r="I350" s="381"/>
      <c r="J350" s="381"/>
      <c r="K350" s="381">
        <v>0</v>
      </c>
      <c r="L350" s="381"/>
      <c r="M350" s="381"/>
      <c r="N350" s="381"/>
      <c r="O350" s="381"/>
      <c r="P350" s="381"/>
    </row>
    <row r="351" spans="1:16">
      <c r="A351" t="s">
        <v>2893</v>
      </c>
      <c r="B351" t="s">
        <v>2894</v>
      </c>
      <c r="C351" t="s">
        <v>1567</v>
      </c>
      <c r="D351" t="s">
        <v>1567</v>
      </c>
      <c r="E351" t="s">
        <v>22</v>
      </c>
      <c r="F351" t="s">
        <v>2895</v>
      </c>
      <c r="G351" s="381">
        <v>0</v>
      </c>
      <c r="H351" s="381"/>
      <c r="I351" s="381"/>
      <c r="J351" s="381"/>
      <c r="K351" s="381">
        <v>0</v>
      </c>
      <c r="L351" s="381"/>
      <c r="M351" s="381"/>
      <c r="N351" s="381"/>
      <c r="O351" s="381"/>
      <c r="P351" s="381">
        <v>-20000</v>
      </c>
    </row>
    <row r="352" spans="1:16">
      <c r="A352" t="s">
        <v>1602</v>
      </c>
      <c r="B352" t="s">
        <v>1603</v>
      </c>
      <c r="C352" t="s">
        <v>1567</v>
      </c>
      <c r="D352" t="s">
        <v>1567</v>
      </c>
      <c r="E352" t="s">
        <v>49</v>
      </c>
      <c r="F352" t="s">
        <v>1604</v>
      </c>
      <c r="G352" s="381">
        <v>0</v>
      </c>
      <c r="H352" s="381"/>
      <c r="I352" s="381"/>
      <c r="J352" s="381"/>
      <c r="K352" s="381">
        <v>0</v>
      </c>
      <c r="L352" s="381"/>
      <c r="M352" s="381"/>
      <c r="N352" s="381"/>
      <c r="O352" s="381"/>
      <c r="P352" s="381"/>
    </row>
    <row r="353" spans="1:16">
      <c r="A353" t="s">
        <v>2105</v>
      </c>
      <c r="B353" t="s">
        <v>2106</v>
      </c>
      <c r="C353" t="s">
        <v>1567</v>
      </c>
      <c r="D353" t="s">
        <v>1567</v>
      </c>
      <c r="E353" t="s">
        <v>389</v>
      </c>
      <c r="F353" t="s">
        <v>2107</v>
      </c>
      <c r="G353" s="381">
        <v>0</v>
      </c>
      <c r="H353" s="381"/>
      <c r="I353" s="381"/>
      <c r="J353" s="381">
        <v>-30</v>
      </c>
      <c r="K353" s="381">
        <v>0</v>
      </c>
      <c r="L353" s="381"/>
      <c r="M353" s="381"/>
      <c r="N353" s="381">
        <v>-30</v>
      </c>
      <c r="O353" s="381">
        <v>0</v>
      </c>
      <c r="P353" s="381">
        <v>0</v>
      </c>
    </row>
    <row r="354" spans="1:16">
      <c r="A354" t="s">
        <v>1617</v>
      </c>
      <c r="B354" t="s">
        <v>1618</v>
      </c>
      <c r="C354" t="s">
        <v>1567</v>
      </c>
      <c r="D354" t="s">
        <v>1567</v>
      </c>
      <c r="E354" t="s">
        <v>49</v>
      </c>
      <c r="F354" t="s">
        <v>1619</v>
      </c>
      <c r="G354" s="381">
        <v>0</v>
      </c>
      <c r="H354" s="381"/>
      <c r="I354" s="381"/>
      <c r="J354" s="381">
        <v>-2578.37</v>
      </c>
      <c r="K354" s="381">
        <v>0</v>
      </c>
      <c r="L354" s="381"/>
      <c r="M354" s="381"/>
      <c r="N354" s="381">
        <v>-2578.37</v>
      </c>
      <c r="O354" s="381">
        <v>0</v>
      </c>
      <c r="P354" s="381">
        <v>-48807</v>
      </c>
    </row>
    <row r="355" spans="1:16">
      <c r="A355" t="s">
        <v>1641</v>
      </c>
      <c r="B355" t="s">
        <v>1642</v>
      </c>
      <c r="C355" t="s">
        <v>1567</v>
      </c>
      <c r="D355" t="s">
        <v>1567</v>
      </c>
      <c r="E355" t="s">
        <v>49</v>
      </c>
      <c r="F355" t="s">
        <v>1327</v>
      </c>
      <c r="G355" s="381">
        <v>5124.1100000000006</v>
      </c>
      <c r="H355" s="381">
        <v>0.08</v>
      </c>
      <c r="I355" s="381">
        <v>-0.17</v>
      </c>
      <c r="J355" s="381">
        <v>-2283.9499999999998</v>
      </c>
      <c r="K355" s="381">
        <v>-6526.2599999999993</v>
      </c>
      <c r="L355" s="381">
        <v>0.08</v>
      </c>
      <c r="M355" s="381">
        <v>-0.17</v>
      </c>
      <c r="N355" s="381">
        <v>-2283.9499999999998</v>
      </c>
      <c r="O355" s="381">
        <v>0</v>
      </c>
      <c r="P355" s="381">
        <v>0</v>
      </c>
    </row>
    <row r="356" spans="1:16">
      <c r="A356" t="s">
        <v>2807</v>
      </c>
      <c r="B356" t="s">
        <v>2808</v>
      </c>
      <c r="C356" t="s">
        <v>1567</v>
      </c>
      <c r="D356" t="s">
        <v>1567</v>
      </c>
      <c r="E356" t="s">
        <v>639</v>
      </c>
      <c r="F356" t="s">
        <v>1327</v>
      </c>
      <c r="G356" s="381">
        <v>0</v>
      </c>
      <c r="H356" s="381">
        <v>-0.39</v>
      </c>
      <c r="I356" s="381">
        <v>0.11</v>
      </c>
      <c r="J356" s="381">
        <v>-711.33</v>
      </c>
      <c r="K356" s="381">
        <v>0</v>
      </c>
      <c r="L356" s="381">
        <v>-0.39</v>
      </c>
      <c r="M356" s="381">
        <v>0.11</v>
      </c>
      <c r="N356" s="381">
        <v>-711.33</v>
      </c>
      <c r="O356" s="381">
        <v>0</v>
      </c>
      <c r="P356" s="381">
        <v>0</v>
      </c>
    </row>
    <row r="357" spans="1:16">
      <c r="A357" t="s">
        <v>1746</v>
      </c>
      <c r="B357" t="s">
        <v>1747</v>
      </c>
      <c r="C357" t="s">
        <v>1567</v>
      </c>
      <c r="D357" t="s">
        <v>1567</v>
      </c>
      <c r="E357" t="s">
        <v>342</v>
      </c>
      <c r="F357" t="s">
        <v>1327</v>
      </c>
      <c r="G357" s="381">
        <v>-0.01</v>
      </c>
      <c r="H357" s="381"/>
      <c r="I357" s="381"/>
      <c r="J357" s="381">
        <v>-0.23</v>
      </c>
      <c r="K357" s="381">
        <v>0</v>
      </c>
      <c r="L357" s="381"/>
      <c r="M357" s="381"/>
      <c r="N357" s="381">
        <v>-0.23</v>
      </c>
      <c r="O357" s="381">
        <v>0</v>
      </c>
      <c r="P357" s="381">
        <v>0</v>
      </c>
    </row>
    <row r="358" spans="1:16">
      <c r="A358" t="s">
        <v>2074</v>
      </c>
      <c r="B358" t="s">
        <v>2075</v>
      </c>
      <c r="C358" t="s">
        <v>1567</v>
      </c>
      <c r="D358" t="s">
        <v>1567</v>
      </c>
      <c r="E358" t="s">
        <v>389</v>
      </c>
      <c r="F358" t="s">
        <v>1775</v>
      </c>
      <c r="G358" s="381">
        <v>-5.07</v>
      </c>
      <c r="H358" s="381"/>
      <c r="I358" s="381">
        <v>0</v>
      </c>
      <c r="J358" s="381">
        <v>0</v>
      </c>
      <c r="K358" s="381">
        <v>0</v>
      </c>
      <c r="L358" s="381"/>
      <c r="M358" s="381">
        <v>0</v>
      </c>
      <c r="N358" s="381">
        <v>0</v>
      </c>
      <c r="O358" s="381">
        <v>0</v>
      </c>
      <c r="P358" s="381">
        <v>0</v>
      </c>
    </row>
    <row r="359" spans="1:16">
      <c r="A359" t="s">
        <v>1608</v>
      </c>
      <c r="B359" t="s">
        <v>1609</v>
      </c>
      <c r="C359" t="s">
        <v>1567</v>
      </c>
      <c r="D359" t="s">
        <v>1567</v>
      </c>
      <c r="E359" t="s">
        <v>49</v>
      </c>
      <c r="F359" t="s">
        <v>1610</v>
      </c>
      <c r="G359" s="381">
        <v>0</v>
      </c>
      <c r="H359" s="381">
        <v>-1104045.58</v>
      </c>
      <c r="I359" s="381">
        <v>1104045.58</v>
      </c>
      <c r="J359" s="381"/>
      <c r="K359" s="381">
        <v>0</v>
      </c>
      <c r="L359" s="381">
        <v>-1104045.58</v>
      </c>
      <c r="M359" s="381">
        <v>1104045.58</v>
      </c>
      <c r="N359" s="381"/>
      <c r="O359" s="381"/>
      <c r="P359" s="381"/>
    </row>
    <row r="360" spans="1:16">
      <c r="A360" t="s">
        <v>2778</v>
      </c>
      <c r="B360" t="s">
        <v>2779</v>
      </c>
      <c r="C360" t="s">
        <v>1567</v>
      </c>
      <c r="D360" t="s">
        <v>1567</v>
      </c>
      <c r="E360" t="s">
        <v>639</v>
      </c>
      <c r="F360" t="s">
        <v>2780</v>
      </c>
      <c r="G360" s="381">
        <v>0</v>
      </c>
      <c r="H360" s="381">
        <v>16675.14</v>
      </c>
      <c r="I360" s="381">
        <v>0</v>
      </c>
      <c r="J360" s="381">
        <v>-16675.14</v>
      </c>
      <c r="K360" s="381">
        <v>0</v>
      </c>
      <c r="L360" s="381">
        <v>16675.14</v>
      </c>
      <c r="M360" s="381">
        <v>0</v>
      </c>
      <c r="N360" s="381">
        <v>-16675.14</v>
      </c>
      <c r="O360" s="381"/>
      <c r="P360" s="381"/>
    </row>
    <row r="361" spans="1:16">
      <c r="A361" t="s">
        <v>1726</v>
      </c>
      <c r="B361" t="s">
        <v>1727</v>
      </c>
      <c r="C361" t="s">
        <v>1567</v>
      </c>
      <c r="D361" t="s">
        <v>1567</v>
      </c>
      <c r="E361" t="s">
        <v>342</v>
      </c>
      <c r="F361" t="s">
        <v>352</v>
      </c>
      <c r="G361" s="381">
        <v>-11818.05</v>
      </c>
      <c r="H361" s="381"/>
      <c r="I361" s="381"/>
      <c r="J361" s="381">
        <v>0</v>
      </c>
      <c r="K361" s="381">
        <v>0</v>
      </c>
      <c r="L361" s="381"/>
      <c r="M361" s="381"/>
      <c r="N361" s="381">
        <v>0</v>
      </c>
      <c r="O361" s="381">
        <v>0</v>
      </c>
      <c r="P361" s="381">
        <v>0</v>
      </c>
    </row>
    <row r="362" spans="1:16">
      <c r="A362" t="s">
        <v>1728</v>
      </c>
      <c r="B362" t="s">
        <v>1729</v>
      </c>
      <c r="C362" t="s">
        <v>1567</v>
      </c>
      <c r="D362" t="s">
        <v>1567</v>
      </c>
      <c r="E362" t="s">
        <v>342</v>
      </c>
      <c r="F362" t="s">
        <v>356</v>
      </c>
      <c r="G362" s="381">
        <v>0</v>
      </c>
      <c r="H362" s="381"/>
      <c r="I362" s="381"/>
      <c r="J362" s="381">
        <v>0</v>
      </c>
      <c r="K362" s="381">
        <v>0</v>
      </c>
      <c r="L362" s="381"/>
      <c r="M362" s="381"/>
      <c r="N362" s="381">
        <v>0</v>
      </c>
      <c r="O362" s="381">
        <v>0</v>
      </c>
      <c r="P362" s="381">
        <v>0</v>
      </c>
    </row>
    <row r="363" spans="1:16">
      <c r="A363" t="s">
        <v>1730</v>
      </c>
      <c r="B363" t="s">
        <v>1731</v>
      </c>
      <c r="C363" t="s">
        <v>1567</v>
      </c>
      <c r="D363" t="s">
        <v>1567</v>
      </c>
      <c r="E363" t="s">
        <v>342</v>
      </c>
      <c r="F363" t="s">
        <v>1732</v>
      </c>
      <c r="G363" s="381">
        <v>-1485.86</v>
      </c>
      <c r="H363" s="381"/>
      <c r="I363" s="381"/>
      <c r="J363" s="381">
        <v>0</v>
      </c>
      <c r="K363" s="381">
        <v>0</v>
      </c>
      <c r="L363" s="381"/>
      <c r="M363" s="381"/>
      <c r="N363" s="381">
        <v>0</v>
      </c>
      <c r="O363" s="381">
        <v>0</v>
      </c>
      <c r="P363" s="381">
        <v>0</v>
      </c>
    </row>
    <row r="364" spans="1:16">
      <c r="A364" t="s">
        <v>2079</v>
      </c>
      <c r="B364" t="s">
        <v>2080</v>
      </c>
      <c r="C364" t="s">
        <v>1567</v>
      </c>
      <c r="D364" t="s">
        <v>1567</v>
      </c>
      <c r="E364" t="s">
        <v>389</v>
      </c>
      <c r="F364" t="s">
        <v>352</v>
      </c>
      <c r="G364" s="381">
        <v>0</v>
      </c>
      <c r="H364" s="381"/>
      <c r="I364" s="381"/>
      <c r="J364" s="381">
        <v>0</v>
      </c>
      <c r="K364" s="381">
        <v>0</v>
      </c>
      <c r="L364" s="381"/>
      <c r="M364" s="381"/>
      <c r="N364" s="381">
        <v>0</v>
      </c>
      <c r="O364" s="381">
        <v>0</v>
      </c>
      <c r="P364" s="381">
        <v>0</v>
      </c>
    </row>
    <row r="365" spans="1:16">
      <c r="A365" t="s">
        <v>2081</v>
      </c>
      <c r="B365" t="s">
        <v>2082</v>
      </c>
      <c r="C365" t="s">
        <v>1567</v>
      </c>
      <c r="D365" t="s">
        <v>1567</v>
      </c>
      <c r="E365" t="s">
        <v>389</v>
      </c>
      <c r="F365" t="s">
        <v>414</v>
      </c>
      <c r="G365" s="381">
        <v>-5040.41</v>
      </c>
      <c r="H365" s="381"/>
      <c r="I365" s="381">
        <v>0</v>
      </c>
      <c r="J365" s="381">
        <v>0</v>
      </c>
      <c r="K365" s="381">
        <v>0</v>
      </c>
      <c r="L365" s="381"/>
      <c r="M365" s="381">
        <v>0</v>
      </c>
      <c r="N365" s="381">
        <v>0</v>
      </c>
      <c r="O365" s="381">
        <v>0</v>
      </c>
      <c r="P365" s="381">
        <v>0</v>
      </c>
    </row>
    <row r="366" spans="1:16">
      <c r="A366" t="s">
        <v>2759</v>
      </c>
      <c r="B366" t="s">
        <v>2760</v>
      </c>
      <c r="C366" t="s">
        <v>1567</v>
      </c>
      <c r="D366" t="s">
        <v>1567</v>
      </c>
      <c r="E366" t="s">
        <v>639</v>
      </c>
      <c r="F366" t="s">
        <v>1685</v>
      </c>
      <c r="G366" s="381">
        <v>0</v>
      </c>
      <c r="H366" s="381">
        <v>-6074.45</v>
      </c>
      <c r="I366" s="381">
        <v>6074.45</v>
      </c>
      <c r="J366" s="381">
        <v>0</v>
      </c>
      <c r="K366" s="381">
        <v>0</v>
      </c>
      <c r="L366" s="381">
        <v>-6074.45</v>
      </c>
      <c r="M366" s="381">
        <v>6074.45</v>
      </c>
      <c r="N366" s="381">
        <v>0</v>
      </c>
      <c r="O366" s="381">
        <v>0</v>
      </c>
      <c r="P366" s="381">
        <v>0</v>
      </c>
    </row>
    <row r="367" spans="1:16">
      <c r="A367" t="s">
        <v>2761</v>
      </c>
      <c r="B367" t="s">
        <v>2762</v>
      </c>
      <c r="C367" t="s">
        <v>1567</v>
      </c>
      <c r="D367" t="s">
        <v>1567</v>
      </c>
      <c r="E367" t="s">
        <v>639</v>
      </c>
      <c r="F367" t="s">
        <v>1685</v>
      </c>
      <c r="G367" s="381">
        <v>0</v>
      </c>
      <c r="H367" s="381">
        <v>-1978.48</v>
      </c>
      <c r="I367" s="381">
        <v>1978.48</v>
      </c>
      <c r="J367" s="381">
        <v>0</v>
      </c>
      <c r="K367" s="381">
        <v>0</v>
      </c>
      <c r="L367" s="381">
        <v>-1978.48</v>
      </c>
      <c r="M367" s="381">
        <v>1978.48</v>
      </c>
      <c r="N367" s="381">
        <v>0</v>
      </c>
      <c r="O367" s="381">
        <v>0</v>
      </c>
      <c r="P367" s="381">
        <v>0</v>
      </c>
    </row>
    <row r="368" spans="1:16">
      <c r="A368" t="s">
        <v>2765</v>
      </c>
      <c r="B368" t="s">
        <v>2766</v>
      </c>
      <c r="C368" t="s">
        <v>1567</v>
      </c>
      <c r="D368" t="s">
        <v>1567</v>
      </c>
      <c r="E368" t="s">
        <v>639</v>
      </c>
      <c r="F368" t="s">
        <v>1685</v>
      </c>
      <c r="G368" s="381">
        <v>-184.67</v>
      </c>
      <c r="H368" s="381"/>
      <c r="I368" s="381"/>
      <c r="J368" s="381">
        <v>0</v>
      </c>
      <c r="K368" s="381">
        <v>0</v>
      </c>
      <c r="L368" s="381"/>
      <c r="M368" s="381"/>
      <c r="N368" s="381">
        <v>0</v>
      </c>
      <c r="O368" s="381">
        <v>0</v>
      </c>
      <c r="P368" s="381">
        <v>0</v>
      </c>
    </row>
    <row r="369" spans="1:16">
      <c r="A369" t="s">
        <v>2835</v>
      </c>
      <c r="B369" t="s">
        <v>2836</v>
      </c>
      <c r="C369" t="s">
        <v>1567</v>
      </c>
      <c r="D369" t="s">
        <v>1567</v>
      </c>
      <c r="E369" t="s">
        <v>1027</v>
      </c>
      <c r="F369" t="s">
        <v>1645</v>
      </c>
      <c r="G369" s="381">
        <v>0</v>
      </c>
      <c r="H369" s="381"/>
      <c r="I369" s="381">
        <v>8.51</v>
      </c>
      <c r="J369" s="381">
        <v>0</v>
      </c>
      <c r="K369" s="381">
        <v>0</v>
      </c>
      <c r="L369" s="381"/>
      <c r="M369" s="381">
        <v>8.51</v>
      </c>
      <c r="N369" s="381">
        <v>0</v>
      </c>
      <c r="O369" s="381">
        <v>0</v>
      </c>
      <c r="P369" s="381">
        <v>0</v>
      </c>
    </row>
    <row r="370" spans="1:16">
      <c r="A370" t="s">
        <v>2182</v>
      </c>
      <c r="B370" t="s">
        <v>2183</v>
      </c>
      <c r="C370" t="s">
        <v>1567</v>
      </c>
      <c r="D370" t="s">
        <v>1567</v>
      </c>
      <c r="E370" t="s">
        <v>602</v>
      </c>
      <c r="F370" t="s">
        <v>611</v>
      </c>
      <c r="G370" s="381">
        <v>4245.9400000000005</v>
      </c>
      <c r="H370" s="381">
        <v>19</v>
      </c>
      <c r="I370" s="381">
        <v>-0.17</v>
      </c>
      <c r="J370" s="381">
        <v>0</v>
      </c>
      <c r="K370" s="381">
        <v>16</v>
      </c>
      <c r="L370" s="381">
        <v>19</v>
      </c>
      <c r="M370" s="381">
        <v>-0.17</v>
      </c>
      <c r="N370" s="381">
        <v>0</v>
      </c>
      <c r="O370" s="381">
        <v>0</v>
      </c>
      <c r="P370" s="381">
        <v>0</v>
      </c>
    </row>
    <row r="371" spans="1:16">
      <c r="A371" t="s">
        <v>2125</v>
      </c>
      <c r="B371" t="s">
        <v>2126</v>
      </c>
      <c r="C371" t="s">
        <v>1567</v>
      </c>
      <c r="D371" t="s">
        <v>1567</v>
      </c>
      <c r="E371" t="s">
        <v>389</v>
      </c>
      <c r="F371" t="s">
        <v>2127</v>
      </c>
      <c r="G371" s="381">
        <v>5.5299999999999994</v>
      </c>
      <c r="H371" s="381">
        <v>11.06</v>
      </c>
      <c r="I371" s="381">
        <v>5.54</v>
      </c>
      <c r="J371" s="381">
        <v>5.29</v>
      </c>
      <c r="K371" s="381">
        <v>5.33</v>
      </c>
      <c r="L371" s="381">
        <v>11.06</v>
      </c>
      <c r="M371" s="381">
        <v>5.54</v>
      </c>
      <c r="N371" s="381">
        <v>5.29</v>
      </c>
      <c r="O371" s="381">
        <v>0</v>
      </c>
      <c r="P371" s="381">
        <v>0</v>
      </c>
    </row>
    <row r="372" spans="1:16">
      <c r="A372" t="s">
        <v>2794</v>
      </c>
      <c r="B372" t="s">
        <v>2795</v>
      </c>
      <c r="C372" t="s">
        <v>1567</v>
      </c>
      <c r="D372" t="s">
        <v>1567</v>
      </c>
      <c r="E372" t="s">
        <v>639</v>
      </c>
      <c r="F372" t="s">
        <v>818</v>
      </c>
      <c r="G372" s="381">
        <v>0</v>
      </c>
      <c r="H372" s="381"/>
      <c r="I372" s="381"/>
      <c r="J372" s="381">
        <v>95.05</v>
      </c>
      <c r="K372" s="381">
        <v>0</v>
      </c>
      <c r="L372" s="381"/>
      <c r="M372" s="381"/>
      <c r="N372" s="381">
        <v>95.05</v>
      </c>
      <c r="O372" s="381">
        <v>0</v>
      </c>
      <c r="P372" s="381">
        <v>0</v>
      </c>
    </row>
    <row r="373" spans="1:16">
      <c r="A373" t="s">
        <v>2776</v>
      </c>
      <c r="B373" t="s">
        <v>2777</v>
      </c>
      <c r="C373" t="s">
        <v>1567</v>
      </c>
      <c r="D373" t="s">
        <v>1567</v>
      </c>
      <c r="E373" t="s">
        <v>639</v>
      </c>
      <c r="F373" t="s">
        <v>1138</v>
      </c>
      <c r="G373" s="381">
        <v>0</v>
      </c>
      <c r="H373" s="381"/>
      <c r="I373" s="381">
        <v>257.52</v>
      </c>
      <c r="J373" s="381">
        <v>0</v>
      </c>
      <c r="K373" s="381">
        <v>0</v>
      </c>
      <c r="L373" s="381"/>
      <c r="M373" s="381">
        <v>257.52</v>
      </c>
      <c r="N373" s="381">
        <v>0</v>
      </c>
      <c r="O373" s="381">
        <v>0</v>
      </c>
      <c r="P373" s="381">
        <v>0</v>
      </c>
    </row>
    <row r="374" spans="1:16">
      <c r="A374" t="s">
        <v>2120</v>
      </c>
      <c r="B374" t="s">
        <v>2121</v>
      </c>
      <c r="C374" t="s">
        <v>1567</v>
      </c>
      <c r="D374" t="s">
        <v>1567</v>
      </c>
      <c r="E374" t="s">
        <v>389</v>
      </c>
      <c r="F374" t="s">
        <v>1855</v>
      </c>
      <c r="G374" s="381">
        <v>688</v>
      </c>
      <c r="H374" s="381">
        <v>194</v>
      </c>
      <c r="I374" s="381">
        <v>194</v>
      </c>
      <c r="J374" s="381">
        <v>494</v>
      </c>
      <c r="K374" s="381">
        <v>501</v>
      </c>
      <c r="L374" s="381">
        <v>194</v>
      </c>
      <c r="M374" s="381">
        <v>194</v>
      </c>
      <c r="N374" s="381">
        <v>494</v>
      </c>
      <c r="O374" s="381">
        <v>0</v>
      </c>
      <c r="P374" s="381">
        <v>0</v>
      </c>
    </row>
    <row r="375" spans="1:16">
      <c r="A375" t="s">
        <v>2786</v>
      </c>
      <c r="B375" t="s">
        <v>2787</v>
      </c>
      <c r="C375" t="s">
        <v>1567</v>
      </c>
      <c r="D375" t="s">
        <v>1567</v>
      </c>
      <c r="E375" t="s">
        <v>639</v>
      </c>
      <c r="F375" t="s">
        <v>2285</v>
      </c>
      <c r="G375" s="381">
        <v>0</v>
      </c>
      <c r="H375" s="381">
        <v>253.17</v>
      </c>
      <c r="I375" s="381">
        <v>681</v>
      </c>
      <c r="J375" s="381">
        <v>0</v>
      </c>
      <c r="K375" s="381">
        <v>681</v>
      </c>
      <c r="L375" s="381">
        <v>253.17</v>
      </c>
      <c r="M375" s="381">
        <v>681</v>
      </c>
      <c r="N375" s="381">
        <v>0</v>
      </c>
      <c r="O375" s="381">
        <v>0</v>
      </c>
      <c r="P375" s="381">
        <v>0</v>
      </c>
    </row>
    <row r="376" spans="1:16">
      <c r="A376" t="s">
        <v>2131</v>
      </c>
      <c r="B376" t="s">
        <v>2132</v>
      </c>
      <c r="C376" t="s">
        <v>1567</v>
      </c>
      <c r="D376" t="s">
        <v>1567</v>
      </c>
      <c r="E376" t="s">
        <v>389</v>
      </c>
      <c r="F376" t="s">
        <v>1327</v>
      </c>
      <c r="G376" s="381">
        <v>0.24</v>
      </c>
      <c r="H376" s="381">
        <v>-0.46</v>
      </c>
      <c r="I376" s="381">
        <v>0.71</v>
      </c>
      <c r="J376" s="381">
        <v>1501.34</v>
      </c>
      <c r="K376" s="381">
        <v>0.2</v>
      </c>
      <c r="L376" s="381">
        <v>-0.46</v>
      </c>
      <c r="M376" s="381">
        <v>0.71</v>
      </c>
      <c r="N376" s="381">
        <v>1501.34</v>
      </c>
      <c r="O376" s="381">
        <v>0</v>
      </c>
      <c r="P376" s="381">
        <v>0</v>
      </c>
    </row>
    <row r="377" spans="1:16">
      <c r="A377" t="s">
        <v>2109</v>
      </c>
      <c r="B377" t="s">
        <v>2110</v>
      </c>
      <c r="C377" t="s">
        <v>1567</v>
      </c>
      <c r="D377" t="s">
        <v>1567</v>
      </c>
      <c r="E377" t="s">
        <v>389</v>
      </c>
      <c r="F377" t="s">
        <v>1626</v>
      </c>
      <c r="G377" s="381">
        <v>0</v>
      </c>
      <c r="H377" s="381"/>
      <c r="I377" s="381"/>
      <c r="J377" s="381">
        <v>2089.6999999999998</v>
      </c>
      <c r="K377" s="381">
        <v>2520.12</v>
      </c>
      <c r="L377" s="381"/>
      <c r="M377" s="381"/>
      <c r="N377" s="381">
        <v>2089.6999999999998</v>
      </c>
      <c r="O377" s="381">
        <v>0</v>
      </c>
      <c r="P377" s="381">
        <v>0</v>
      </c>
    </row>
    <row r="378" spans="1:16">
      <c r="A378" t="s">
        <v>2790</v>
      </c>
      <c r="B378" t="s">
        <v>2791</v>
      </c>
      <c r="C378" t="s">
        <v>1567</v>
      </c>
      <c r="D378" t="s">
        <v>1567</v>
      </c>
      <c r="E378" t="s">
        <v>639</v>
      </c>
      <c r="F378" t="s">
        <v>2291</v>
      </c>
      <c r="G378" s="381">
        <v>0</v>
      </c>
      <c r="H378" s="381"/>
      <c r="I378" s="381"/>
      <c r="J378" s="381">
        <v>2155</v>
      </c>
      <c r="K378" s="381">
        <v>0</v>
      </c>
      <c r="L378" s="381"/>
      <c r="M378" s="381"/>
      <c r="N378" s="381">
        <v>2155</v>
      </c>
      <c r="O378" s="381">
        <v>0</v>
      </c>
      <c r="P378" s="381">
        <v>0</v>
      </c>
    </row>
    <row r="379" spans="1:16">
      <c r="A379" t="s">
        <v>2088</v>
      </c>
      <c r="B379" t="s">
        <v>2089</v>
      </c>
      <c r="C379" t="s">
        <v>1567</v>
      </c>
      <c r="D379" t="s">
        <v>1567</v>
      </c>
      <c r="E379" t="s">
        <v>389</v>
      </c>
      <c r="F379" t="s">
        <v>1574</v>
      </c>
      <c r="G379" s="381">
        <v>0</v>
      </c>
      <c r="H379" s="381"/>
      <c r="I379" s="381"/>
      <c r="J379" s="381">
        <v>3561.44</v>
      </c>
      <c r="K379" s="381">
        <v>6253.55</v>
      </c>
      <c r="L379" s="381"/>
      <c r="M379" s="381"/>
      <c r="N379" s="381">
        <v>3561.44</v>
      </c>
      <c r="O379" s="381">
        <v>0</v>
      </c>
      <c r="P379" s="381">
        <v>6244</v>
      </c>
    </row>
    <row r="380" spans="1:16">
      <c r="A380" t="s">
        <v>2842</v>
      </c>
      <c r="B380" t="s">
        <v>2843</v>
      </c>
      <c r="C380" t="s">
        <v>1567</v>
      </c>
      <c r="D380" t="s">
        <v>1567</v>
      </c>
      <c r="E380" t="s">
        <v>1027</v>
      </c>
      <c r="F380" t="s">
        <v>2830</v>
      </c>
      <c r="G380" s="381">
        <v>309.95</v>
      </c>
      <c r="H380" s="381">
        <v>470.66</v>
      </c>
      <c r="I380" s="381">
        <v>1081.01</v>
      </c>
      <c r="J380" s="381">
        <v>665.61</v>
      </c>
      <c r="K380" s="381">
        <v>41.64</v>
      </c>
      <c r="L380" s="381">
        <v>470.66</v>
      </c>
      <c r="M380" s="381">
        <v>1081.01</v>
      </c>
      <c r="N380" s="381">
        <v>665.61</v>
      </c>
      <c r="O380" s="381">
        <v>200</v>
      </c>
      <c r="P380" s="381">
        <v>300</v>
      </c>
    </row>
    <row r="381" spans="1:16">
      <c r="A381" t="s">
        <v>1643</v>
      </c>
      <c r="B381" t="s">
        <v>1644</v>
      </c>
      <c r="C381" t="s">
        <v>1567</v>
      </c>
      <c r="D381" t="s">
        <v>1567</v>
      </c>
      <c r="E381" t="s">
        <v>49</v>
      </c>
      <c r="F381" t="s">
        <v>1645</v>
      </c>
      <c r="G381" s="381">
        <v>0</v>
      </c>
      <c r="H381" s="381"/>
      <c r="I381" s="381">
        <v>7271.4</v>
      </c>
      <c r="J381" s="381">
        <v>0</v>
      </c>
      <c r="K381" s="381">
        <v>0</v>
      </c>
      <c r="L381" s="381"/>
      <c r="M381" s="381">
        <v>7271.4</v>
      </c>
      <c r="N381" s="381">
        <v>0</v>
      </c>
      <c r="O381" s="381">
        <v>0</v>
      </c>
      <c r="P381" s="381">
        <v>0</v>
      </c>
    </row>
    <row r="382" spans="1:16">
      <c r="A382" t="s">
        <v>2177</v>
      </c>
      <c r="B382" t="s">
        <v>2178</v>
      </c>
      <c r="C382" t="s">
        <v>1567</v>
      </c>
      <c r="D382" t="s">
        <v>1567</v>
      </c>
      <c r="E382" t="s">
        <v>602</v>
      </c>
      <c r="F382" t="s">
        <v>2176</v>
      </c>
      <c r="G382" s="381">
        <v>0</v>
      </c>
      <c r="H382" s="381"/>
      <c r="I382" s="381">
        <v>11815.17</v>
      </c>
      <c r="J382" s="381">
        <v>0</v>
      </c>
      <c r="K382" s="381">
        <v>0</v>
      </c>
      <c r="L382" s="381"/>
      <c r="M382" s="381">
        <v>11815.17</v>
      </c>
      <c r="N382" s="381">
        <v>0</v>
      </c>
      <c r="O382" s="381">
        <v>0</v>
      </c>
      <c r="P382" s="381">
        <v>0</v>
      </c>
    </row>
    <row r="383" spans="1:16">
      <c r="A383" t="s">
        <v>1591</v>
      </c>
      <c r="B383" t="s">
        <v>1592</v>
      </c>
      <c r="C383" t="s">
        <v>1567</v>
      </c>
      <c r="D383" t="s">
        <v>1567</v>
      </c>
      <c r="E383" t="s">
        <v>49</v>
      </c>
      <c r="F383" t="s">
        <v>1174</v>
      </c>
      <c r="G383" s="381">
        <v>5810.54</v>
      </c>
      <c r="H383" s="381">
        <v>5323.5</v>
      </c>
      <c r="I383" s="381">
        <v>2811.9</v>
      </c>
      <c r="J383" s="381">
        <v>4935.74</v>
      </c>
      <c r="K383" s="381">
        <v>6233.85</v>
      </c>
      <c r="L383" s="381">
        <v>5323.5</v>
      </c>
      <c r="M383" s="381">
        <v>2811.9</v>
      </c>
      <c r="N383" s="381">
        <v>4935.74</v>
      </c>
      <c r="O383" s="381">
        <v>0</v>
      </c>
      <c r="P383" s="381">
        <v>0</v>
      </c>
    </row>
    <row r="384" spans="1:16">
      <c r="A384" t="s">
        <v>2115</v>
      </c>
      <c r="B384" t="s">
        <v>2116</v>
      </c>
      <c r="C384" t="s">
        <v>1567</v>
      </c>
      <c r="D384" t="s">
        <v>1567</v>
      </c>
      <c r="E384" t="s">
        <v>389</v>
      </c>
      <c r="F384" t="s">
        <v>1703</v>
      </c>
      <c r="G384" s="381">
        <v>0</v>
      </c>
      <c r="H384" s="381">
        <v>2227.5</v>
      </c>
      <c r="I384" s="381">
        <v>0</v>
      </c>
      <c r="J384" s="381">
        <v>0</v>
      </c>
      <c r="K384" s="381">
        <v>1.86</v>
      </c>
      <c r="L384" s="381">
        <v>2227.5</v>
      </c>
      <c r="M384" s="381">
        <v>0</v>
      </c>
      <c r="N384" s="381">
        <v>0</v>
      </c>
      <c r="O384" s="381">
        <v>1500</v>
      </c>
      <c r="P384" s="381">
        <v>1500</v>
      </c>
    </row>
    <row r="385" spans="1:16">
      <c r="A385" t="s">
        <v>1587</v>
      </c>
      <c r="B385" t="s">
        <v>1588</v>
      </c>
      <c r="C385" t="s">
        <v>1567</v>
      </c>
      <c r="D385" t="s">
        <v>1567</v>
      </c>
      <c r="E385" t="s">
        <v>49</v>
      </c>
      <c r="F385" t="s">
        <v>1589</v>
      </c>
      <c r="G385" s="381">
        <v>0</v>
      </c>
      <c r="H385" s="381"/>
      <c r="I385" s="381"/>
      <c r="J385" s="381"/>
      <c r="K385" s="381">
        <v>0</v>
      </c>
      <c r="L385" s="381"/>
      <c r="M385" s="381"/>
      <c r="N385" s="381"/>
      <c r="O385" s="381">
        <v>0</v>
      </c>
      <c r="P385" s="381">
        <v>0</v>
      </c>
    </row>
    <row r="386" spans="1:16">
      <c r="A386" t="s">
        <v>1598</v>
      </c>
      <c r="B386" t="s">
        <v>1599</v>
      </c>
      <c r="C386" t="s">
        <v>1567</v>
      </c>
      <c r="D386" t="s">
        <v>1567</v>
      </c>
      <c r="E386" t="s">
        <v>49</v>
      </c>
      <c r="F386" t="s">
        <v>1600</v>
      </c>
      <c r="G386" s="381">
        <v>0</v>
      </c>
      <c r="H386" s="381"/>
      <c r="I386" s="381"/>
      <c r="J386" s="381"/>
      <c r="K386" s="381">
        <v>0</v>
      </c>
      <c r="L386" s="381"/>
      <c r="M386" s="381"/>
      <c r="N386" s="381"/>
      <c r="O386" s="381">
        <v>15000</v>
      </c>
      <c r="P386" s="381">
        <v>15000</v>
      </c>
    </row>
    <row r="387" spans="1:16">
      <c r="A387" t="s">
        <v>2096</v>
      </c>
      <c r="B387" t="s">
        <v>2097</v>
      </c>
      <c r="C387" t="s">
        <v>1567</v>
      </c>
      <c r="D387" t="s">
        <v>1567</v>
      </c>
      <c r="E387" t="s">
        <v>389</v>
      </c>
      <c r="F387" t="s">
        <v>1174</v>
      </c>
      <c r="G387" s="381">
        <v>3229.0899999999997</v>
      </c>
      <c r="H387" s="381">
        <v>1654.46</v>
      </c>
      <c r="I387" s="381">
        <v>2175.66</v>
      </c>
      <c r="J387" s="381">
        <v>1639.8</v>
      </c>
      <c r="K387" s="381">
        <v>4136.0599999999995</v>
      </c>
      <c r="L387" s="381">
        <v>1654.46</v>
      </c>
      <c r="M387" s="381">
        <v>2175.66</v>
      </c>
      <c r="N387" s="381">
        <v>1639.8</v>
      </c>
      <c r="O387" s="381">
        <v>3500</v>
      </c>
      <c r="P387" s="381">
        <v>3500</v>
      </c>
    </row>
    <row r="388" spans="1:16">
      <c r="A388" t="s">
        <v>1611</v>
      </c>
      <c r="B388" t="s">
        <v>1612</v>
      </c>
      <c r="C388" t="s">
        <v>1567</v>
      </c>
      <c r="D388" t="s">
        <v>1567</v>
      </c>
      <c r="E388" t="s">
        <v>49</v>
      </c>
      <c r="F388" t="s">
        <v>1613</v>
      </c>
      <c r="G388" s="381">
        <v>17061.96</v>
      </c>
      <c r="H388" s="381"/>
      <c r="I388" s="381">
        <v>38877.699999999997</v>
      </c>
      <c r="J388" s="381">
        <v>11612.03</v>
      </c>
      <c r="K388" s="381">
        <v>5873.3499999999995</v>
      </c>
      <c r="L388" s="381"/>
      <c r="M388" s="381">
        <v>38877.699999999997</v>
      </c>
      <c r="N388" s="381">
        <v>11612.03</v>
      </c>
      <c r="O388" s="381">
        <v>0</v>
      </c>
      <c r="P388" s="381">
        <v>0</v>
      </c>
    </row>
    <row r="389" spans="1:16">
      <c r="A389" t="s">
        <v>1583</v>
      </c>
      <c r="B389" t="s">
        <v>1584</v>
      </c>
      <c r="C389" t="s">
        <v>1567</v>
      </c>
      <c r="D389" t="s">
        <v>1567</v>
      </c>
      <c r="E389" t="s">
        <v>49</v>
      </c>
      <c r="F389" t="s">
        <v>1585</v>
      </c>
      <c r="G389" s="381">
        <v>0</v>
      </c>
      <c r="H389" s="381"/>
      <c r="I389" s="381"/>
      <c r="J389" s="381">
        <v>-1032</v>
      </c>
      <c r="K389" s="381">
        <v>0</v>
      </c>
      <c r="L389" s="381"/>
      <c r="M389" s="381"/>
      <c r="N389" s="381">
        <v>-1032</v>
      </c>
      <c r="O389" s="381">
        <v>0</v>
      </c>
      <c r="P389" s="381">
        <v>0</v>
      </c>
    </row>
    <row r="390" spans="1:16">
      <c r="A390" t="s">
        <v>1594</v>
      </c>
      <c r="B390" t="s">
        <v>1595</v>
      </c>
      <c r="C390" t="s">
        <v>1567</v>
      </c>
      <c r="D390" t="s">
        <v>1567</v>
      </c>
      <c r="E390" t="s">
        <v>49</v>
      </c>
      <c r="F390" t="s">
        <v>1596</v>
      </c>
      <c r="G390" s="381">
        <v>0</v>
      </c>
      <c r="H390" s="381"/>
      <c r="I390" s="381"/>
      <c r="J390" s="381"/>
      <c r="K390" s="381">
        <v>0</v>
      </c>
      <c r="L390" s="381"/>
      <c r="M390" s="381"/>
      <c r="N390" s="381"/>
      <c r="O390" s="381">
        <v>25000</v>
      </c>
      <c r="P390" s="381">
        <v>25000</v>
      </c>
    </row>
    <row r="391" spans="1:16">
      <c r="A391" t="s">
        <v>2882</v>
      </c>
      <c r="B391" t="s">
        <v>2883</v>
      </c>
      <c r="C391" t="s">
        <v>1567</v>
      </c>
      <c r="D391" t="s">
        <v>1567</v>
      </c>
      <c r="E391" t="s">
        <v>22</v>
      </c>
      <c r="F391" t="s">
        <v>2884</v>
      </c>
      <c r="G391" s="381">
        <v>0</v>
      </c>
      <c r="H391" s="381"/>
      <c r="I391" s="381"/>
      <c r="J391" s="381"/>
      <c r="K391" s="381">
        <v>0</v>
      </c>
      <c r="L391" s="381"/>
      <c r="M391" s="381"/>
      <c r="N391" s="381"/>
      <c r="O391" s="381">
        <v>12000</v>
      </c>
      <c r="P391" s="381">
        <v>12000</v>
      </c>
    </row>
    <row r="392" spans="1:16">
      <c r="A392" t="s">
        <v>2864</v>
      </c>
      <c r="B392" t="s">
        <v>2865</v>
      </c>
      <c r="C392" t="s">
        <v>1567</v>
      </c>
      <c r="D392" t="s">
        <v>1567</v>
      </c>
      <c r="E392" t="s">
        <v>1037</v>
      </c>
      <c r="F392" t="s">
        <v>1049</v>
      </c>
      <c r="G392" s="381">
        <v>0</v>
      </c>
      <c r="H392" s="381"/>
      <c r="I392" s="381"/>
      <c r="J392" s="381"/>
      <c r="K392" s="381">
        <v>0</v>
      </c>
      <c r="L392" s="381"/>
      <c r="M392" s="381"/>
      <c r="N392" s="381"/>
      <c r="O392" s="381">
        <v>23809.524167</v>
      </c>
      <c r="P392" s="381">
        <v>23809.524167</v>
      </c>
    </row>
    <row r="393" spans="1:16">
      <c r="A393" t="s">
        <v>2887</v>
      </c>
      <c r="B393" t="s">
        <v>2888</v>
      </c>
      <c r="C393" t="s">
        <v>1567</v>
      </c>
      <c r="D393" t="s">
        <v>1567</v>
      </c>
      <c r="E393" t="s">
        <v>22</v>
      </c>
      <c r="F393" t="s">
        <v>2870</v>
      </c>
      <c r="G393" s="381">
        <v>0</v>
      </c>
      <c r="H393" s="381"/>
      <c r="I393" s="381"/>
      <c r="J393" s="381"/>
      <c r="K393" s="381">
        <v>0</v>
      </c>
      <c r="L393" s="381"/>
      <c r="M393" s="381"/>
      <c r="N393" s="381"/>
      <c r="O393" s="381"/>
      <c r="P393" s="381"/>
    </row>
    <row r="394" spans="1:16">
      <c r="A394" t="s">
        <v>1576</v>
      </c>
      <c r="B394" t="s">
        <v>1577</v>
      </c>
      <c r="C394" t="s">
        <v>1567</v>
      </c>
      <c r="D394" t="s">
        <v>1567</v>
      </c>
      <c r="E394" t="s">
        <v>49</v>
      </c>
      <c r="F394" t="s">
        <v>1578</v>
      </c>
      <c r="G394" s="381">
        <v>0</v>
      </c>
      <c r="H394" s="381"/>
      <c r="I394" s="381"/>
      <c r="J394" s="381"/>
      <c r="K394" s="381">
        <v>0</v>
      </c>
      <c r="L394" s="381"/>
      <c r="M394" s="381"/>
      <c r="N394" s="381"/>
      <c r="O394" s="381">
        <v>0</v>
      </c>
      <c r="P394" s="381">
        <v>0</v>
      </c>
    </row>
    <row r="395" spans="1:16">
      <c r="A395" t="s">
        <v>1671</v>
      </c>
      <c r="B395" t="s">
        <v>1672</v>
      </c>
      <c r="C395" t="s">
        <v>1567</v>
      </c>
      <c r="D395" t="s">
        <v>1567</v>
      </c>
      <c r="E395" t="s">
        <v>333</v>
      </c>
      <c r="F395" t="s">
        <v>1673</v>
      </c>
      <c r="G395" s="381">
        <v>0</v>
      </c>
      <c r="H395" s="381"/>
      <c r="I395" s="381"/>
      <c r="J395" s="381"/>
      <c r="K395" s="381">
        <v>0</v>
      </c>
      <c r="L395" s="381"/>
      <c r="M395" s="381"/>
      <c r="N395" s="381"/>
      <c r="O395" s="381">
        <v>0</v>
      </c>
      <c r="P395" s="381">
        <v>12850.03788888889</v>
      </c>
    </row>
    <row r="396" spans="1:16">
      <c r="A396" t="s">
        <v>2880</v>
      </c>
      <c r="B396" t="s">
        <v>2881</v>
      </c>
      <c r="C396" t="s">
        <v>1567</v>
      </c>
      <c r="D396" t="s">
        <v>1567</v>
      </c>
      <c r="E396" t="s">
        <v>22</v>
      </c>
      <c r="F396" t="s">
        <v>2868</v>
      </c>
      <c r="G396" s="381">
        <v>0</v>
      </c>
      <c r="H396" s="381"/>
      <c r="I396" s="381"/>
      <c r="J396" s="381"/>
      <c r="K396" s="381">
        <v>0</v>
      </c>
      <c r="L396" s="381"/>
      <c r="M396" s="381"/>
      <c r="N396" s="381"/>
      <c r="O396" s="381"/>
      <c r="P396" s="381"/>
    </row>
    <row r="397" spans="1:16">
      <c r="A397" t="s">
        <v>2890</v>
      </c>
      <c r="B397" t="s">
        <v>2891</v>
      </c>
      <c r="C397" t="s">
        <v>1567</v>
      </c>
      <c r="D397" t="s">
        <v>1567</v>
      </c>
      <c r="E397" t="s">
        <v>22</v>
      </c>
      <c r="F397" t="s">
        <v>2872</v>
      </c>
      <c r="G397" s="381">
        <v>85849.400000000009</v>
      </c>
      <c r="H397" s="381">
        <v>358290.86</v>
      </c>
      <c r="I397" s="381">
        <v>-25689.760000000002</v>
      </c>
      <c r="J397" s="381">
        <v>41090.669999999984</v>
      </c>
      <c r="K397" s="381">
        <v>-59378.359999999986</v>
      </c>
      <c r="L397" s="381">
        <v>358290.86</v>
      </c>
      <c r="M397" s="381">
        <v>-25689.760000000002</v>
      </c>
      <c r="N397" s="381">
        <v>41090.669999999984</v>
      </c>
      <c r="O397" s="381">
        <v>85849.400000000009</v>
      </c>
      <c r="P397" s="381">
        <v>-40000</v>
      </c>
    </row>
    <row r="398" spans="1:16">
      <c r="A398" t="s">
        <v>1564</v>
      </c>
      <c r="B398" t="s">
        <v>1565</v>
      </c>
      <c r="C398" t="s">
        <v>1567</v>
      </c>
      <c r="D398" t="s">
        <v>1567</v>
      </c>
      <c r="E398" t="s">
        <v>49</v>
      </c>
      <c r="F398" t="s">
        <v>1569</v>
      </c>
      <c r="G398" s="381">
        <v>184516.84999999998</v>
      </c>
      <c r="H398" s="381"/>
      <c r="I398" s="381"/>
      <c r="J398" s="381">
        <v>110350.46</v>
      </c>
      <c r="K398" s="381">
        <v>-60761.06</v>
      </c>
      <c r="L398" s="381"/>
      <c r="M398" s="381"/>
      <c r="N398" s="381">
        <v>110350.46</v>
      </c>
      <c r="O398" s="381">
        <v>183665</v>
      </c>
      <c r="P398" s="381">
        <v>-28062.46</v>
      </c>
    </row>
    <row r="399" spans="1:16">
      <c r="A399" t="s">
        <v>1572</v>
      </c>
      <c r="B399" t="s">
        <v>1573</v>
      </c>
      <c r="C399" t="s">
        <v>1567</v>
      </c>
      <c r="D399" t="s">
        <v>1567</v>
      </c>
      <c r="E399" t="s">
        <v>49</v>
      </c>
      <c r="F399" t="s">
        <v>1574</v>
      </c>
      <c r="G399" s="381">
        <v>54863.060000000005</v>
      </c>
      <c r="H399" s="381"/>
      <c r="I399" s="381"/>
      <c r="J399" s="381">
        <v>250144.68</v>
      </c>
      <c r="K399" s="381">
        <v>179345.82</v>
      </c>
      <c r="L399" s="381"/>
      <c r="M399" s="381"/>
      <c r="N399" s="381">
        <v>250144.68</v>
      </c>
      <c r="O399" s="381">
        <v>54863.060000000005</v>
      </c>
      <c r="P399" s="381">
        <v>103425.82</v>
      </c>
    </row>
    <row r="400" spans="1:16">
      <c r="A400" t="s">
        <v>1669</v>
      </c>
      <c r="B400" t="s">
        <v>1670</v>
      </c>
      <c r="C400" t="s">
        <v>1567</v>
      </c>
      <c r="D400" t="s">
        <v>1567</v>
      </c>
      <c r="E400" t="s">
        <v>333</v>
      </c>
      <c r="F400" t="s">
        <v>1663</v>
      </c>
      <c r="G400" s="381">
        <v>2973057.3200000008</v>
      </c>
      <c r="H400" s="381">
        <v>2815065.65</v>
      </c>
      <c r="I400" s="381">
        <v>3048410.85</v>
      </c>
      <c r="J400" s="381">
        <v>3021391.85</v>
      </c>
      <c r="K400" s="381">
        <v>3070156.0000000009</v>
      </c>
      <c r="L400" s="381">
        <v>2815065.65</v>
      </c>
      <c r="M400" s="381">
        <v>3048410.85</v>
      </c>
      <c r="N400" s="381">
        <v>3021391.85</v>
      </c>
      <c r="O400" s="381">
        <v>3021020.11</v>
      </c>
      <c r="P400" s="381">
        <v>3021022.03</v>
      </c>
    </row>
    <row r="401" spans="1:16">
      <c r="A401" t="s">
        <v>2475</v>
      </c>
      <c r="B401" t="s">
        <v>2476</v>
      </c>
      <c r="C401" t="s">
        <v>1135</v>
      </c>
      <c r="D401" t="s">
        <v>1156</v>
      </c>
      <c r="E401" t="s">
        <v>639</v>
      </c>
      <c r="F401" t="s">
        <v>818</v>
      </c>
      <c r="G401" s="381">
        <v>0</v>
      </c>
      <c r="H401" s="381"/>
      <c r="I401" s="381"/>
      <c r="J401" s="381">
        <v>3116.74</v>
      </c>
      <c r="K401" s="381">
        <v>0</v>
      </c>
      <c r="L401" s="381"/>
      <c r="M401" s="381"/>
      <c r="N401" s="381">
        <v>3116.74</v>
      </c>
      <c r="O401" s="381">
        <v>0</v>
      </c>
      <c r="P401" s="381">
        <v>0</v>
      </c>
    </row>
    <row r="402" spans="1:16">
      <c r="A402" t="s">
        <v>1833</v>
      </c>
      <c r="B402" t="s">
        <v>1834</v>
      </c>
      <c r="C402" t="s">
        <v>1135</v>
      </c>
      <c r="D402" t="s">
        <v>1156</v>
      </c>
      <c r="E402" t="s">
        <v>389</v>
      </c>
      <c r="F402" t="s">
        <v>1835</v>
      </c>
      <c r="G402" s="381">
        <v>0</v>
      </c>
      <c r="H402" s="381"/>
      <c r="I402" s="381"/>
      <c r="J402" s="381"/>
      <c r="K402" s="381">
        <v>0</v>
      </c>
      <c r="L402" s="381"/>
      <c r="M402" s="381"/>
      <c r="N402" s="381"/>
      <c r="O402" s="381">
        <v>379.83</v>
      </c>
      <c r="P402" s="381">
        <v>379.83</v>
      </c>
    </row>
    <row r="403" spans="1:16">
      <c r="A403" t="s">
        <v>1908</v>
      </c>
      <c r="B403" t="s">
        <v>1909</v>
      </c>
      <c r="C403" t="s">
        <v>1135</v>
      </c>
      <c r="D403" t="s">
        <v>1156</v>
      </c>
      <c r="E403" t="s">
        <v>389</v>
      </c>
      <c r="F403" t="s">
        <v>1855</v>
      </c>
      <c r="G403" s="381">
        <v>0</v>
      </c>
      <c r="H403" s="381">
        <v>60</v>
      </c>
      <c r="I403" s="381">
        <v>0</v>
      </c>
      <c r="J403" s="381">
        <v>3475</v>
      </c>
      <c r="K403" s="381">
        <v>0</v>
      </c>
      <c r="L403" s="381">
        <v>60</v>
      </c>
      <c r="M403" s="381">
        <v>0</v>
      </c>
      <c r="N403" s="381">
        <v>3475</v>
      </c>
      <c r="O403" s="381">
        <v>0</v>
      </c>
      <c r="P403" s="381">
        <v>0</v>
      </c>
    </row>
    <row r="404" spans="1:16">
      <c r="A404" t="s">
        <v>1176</v>
      </c>
      <c r="B404" t="s">
        <v>1177</v>
      </c>
      <c r="C404" t="s">
        <v>1135</v>
      </c>
      <c r="D404" t="s">
        <v>1156</v>
      </c>
      <c r="E404" t="s">
        <v>49</v>
      </c>
      <c r="F404" t="s">
        <v>1178</v>
      </c>
      <c r="G404" s="381">
        <v>0</v>
      </c>
      <c r="H404" s="381"/>
      <c r="I404" s="381"/>
      <c r="J404" s="381"/>
      <c r="K404" s="381">
        <v>29102.65</v>
      </c>
      <c r="L404" s="381"/>
      <c r="M404" s="381"/>
      <c r="N404" s="381"/>
      <c r="O404" s="381">
        <v>36666</v>
      </c>
      <c r="P404" s="381">
        <v>141912</v>
      </c>
    </row>
    <row r="405" spans="1:16">
      <c r="A405" t="s">
        <v>1218</v>
      </c>
      <c r="B405" t="s">
        <v>1219</v>
      </c>
      <c r="C405" t="s">
        <v>1135</v>
      </c>
      <c r="D405" t="s">
        <v>1156</v>
      </c>
      <c r="E405" t="s">
        <v>49</v>
      </c>
      <c r="F405" t="s">
        <v>1220</v>
      </c>
      <c r="G405" s="381">
        <v>0</v>
      </c>
      <c r="H405" s="381"/>
      <c r="I405" s="381"/>
      <c r="J405" s="381"/>
      <c r="K405" s="381">
        <v>0</v>
      </c>
      <c r="L405" s="381"/>
      <c r="M405" s="381"/>
      <c r="N405" s="381"/>
      <c r="O405" s="381"/>
      <c r="P405" s="381"/>
    </row>
    <row r="406" spans="1:16">
      <c r="A406" t="s">
        <v>1297</v>
      </c>
      <c r="B406" t="s">
        <v>1298</v>
      </c>
      <c r="C406" t="s">
        <v>1135</v>
      </c>
      <c r="D406" t="s">
        <v>1156</v>
      </c>
      <c r="E406" t="s">
        <v>49</v>
      </c>
      <c r="F406" t="s">
        <v>1299</v>
      </c>
      <c r="G406" s="381">
        <v>28059.239999999998</v>
      </c>
      <c r="H406" s="381">
        <v>30113.96</v>
      </c>
      <c r="I406" s="381">
        <v>19240.66</v>
      </c>
      <c r="J406" s="381">
        <v>44681.55</v>
      </c>
      <c r="K406" s="381">
        <v>37177.21</v>
      </c>
      <c r="L406" s="381">
        <v>30113.96</v>
      </c>
      <c r="M406" s="381">
        <v>19240.66</v>
      </c>
      <c r="N406" s="381">
        <v>44681.55</v>
      </c>
      <c r="O406" s="381">
        <v>40000</v>
      </c>
      <c r="P406" s="381">
        <v>90000</v>
      </c>
    </row>
    <row r="407" spans="1:16">
      <c r="A407" t="s">
        <v>1302</v>
      </c>
      <c r="B407" t="s">
        <v>1303</v>
      </c>
      <c r="C407" t="s">
        <v>1135</v>
      </c>
      <c r="D407" t="s">
        <v>1156</v>
      </c>
      <c r="E407" t="s">
        <v>49</v>
      </c>
      <c r="F407" t="s">
        <v>1304</v>
      </c>
      <c r="G407" s="381">
        <v>42271.619999999995</v>
      </c>
      <c r="H407" s="381">
        <v>13712.98</v>
      </c>
      <c r="I407" s="381">
        <v>15359.13</v>
      </c>
      <c r="J407" s="381">
        <v>67493.539999999994</v>
      </c>
      <c r="K407" s="381">
        <v>42271.62000000001</v>
      </c>
      <c r="L407" s="381">
        <v>13712.98</v>
      </c>
      <c r="M407" s="381">
        <v>15359.13</v>
      </c>
      <c r="N407" s="381">
        <v>67493.539999999994</v>
      </c>
      <c r="O407" s="381">
        <v>4300</v>
      </c>
      <c r="P407" s="381">
        <v>35803.370000000003</v>
      </c>
    </row>
    <row r="408" spans="1:16">
      <c r="A408" t="s">
        <v>1306</v>
      </c>
      <c r="B408" t="s">
        <v>1307</v>
      </c>
      <c r="C408" t="s">
        <v>1135</v>
      </c>
      <c r="D408" t="s">
        <v>1156</v>
      </c>
      <c r="E408" t="s">
        <v>49</v>
      </c>
      <c r="F408" t="s">
        <v>1308</v>
      </c>
      <c r="G408" s="381">
        <v>6762</v>
      </c>
      <c r="H408" s="381">
        <v>6643.44</v>
      </c>
      <c r="I408" s="381">
        <v>5644</v>
      </c>
      <c r="J408" s="381">
        <v>8304</v>
      </c>
      <c r="K408" s="381">
        <v>9499</v>
      </c>
      <c r="L408" s="381">
        <v>6643.44</v>
      </c>
      <c r="M408" s="381">
        <v>5644</v>
      </c>
      <c r="N408" s="381">
        <v>8304</v>
      </c>
      <c r="O408" s="381">
        <v>11029</v>
      </c>
      <c r="P408" s="381">
        <v>7812</v>
      </c>
    </row>
    <row r="409" spans="1:16">
      <c r="A409" t="s">
        <v>1154</v>
      </c>
      <c r="B409" t="s">
        <v>1155</v>
      </c>
      <c r="C409" t="s">
        <v>1135</v>
      </c>
      <c r="D409" t="s">
        <v>1156</v>
      </c>
      <c r="E409" t="s">
        <v>49</v>
      </c>
      <c r="F409" t="s">
        <v>1147</v>
      </c>
      <c r="G409" s="381">
        <v>0</v>
      </c>
      <c r="H409" s="381"/>
      <c r="I409" s="381">
        <v>-1440</v>
      </c>
      <c r="J409" s="381">
        <v>0</v>
      </c>
      <c r="K409" s="381">
        <v>0</v>
      </c>
      <c r="L409" s="381"/>
      <c r="M409" s="381">
        <v>-1440</v>
      </c>
      <c r="N409" s="381">
        <v>0</v>
      </c>
      <c r="O409" s="381">
        <v>0</v>
      </c>
      <c r="P409" s="381">
        <v>0</v>
      </c>
    </row>
    <row r="410" spans="1:16">
      <c r="A410" t="s">
        <v>1332</v>
      </c>
      <c r="B410" t="s">
        <v>1333</v>
      </c>
      <c r="C410" t="s">
        <v>1135</v>
      </c>
      <c r="D410" t="s">
        <v>1156</v>
      </c>
      <c r="E410" t="s">
        <v>49</v>
      </c>
      <c r="F410" t="s">
        <v>1327</v>
      </c>
      <c r="G410" s="381">
        <v>0.14000000000000001</v>
      </c>
      <c r="H410" s="381">
        <v>-0.38</v>
      </c>
      <c r="I410" s="381">
        <v>0.21</v>
      </c>
      <c r="J410" s="381">
        <v>-0.09</v>
      </c>
      <c r="K410" s="381">
        <v>0.52</v>
      </c>
      <c r="L410" s="381">
        <v>-0.38</v>
      </c>
      <c r="M410" s="381">
        <v>0.21</v>
      </c>
      <c r="N410" s="381">
        <v>-0.09</v>
      </c>
      <c r="O410" s="381">
        <v>0</v>
      </c>
      <c r="P410" s="381">
        <v>0</v>
      </c>
    </row>
    <row r="411" spans="1:16">
      <c r="A411" t="s">
        <v>1341</v>
      </c>
      <c r="B411" t="s">
        <v>1342</v>
      </c>
      <c r="C411" t="s">
        <v>1135</v>
      </c>
      <c r="D411" t="s">
        <v>1156</v>
      </c>
      <c r="E411" t="s">
        <v>49</v>
      </c>
      <c r="F411" t="s">
        <v>1340</v>
      </c>
      <c r="G411" s="381">
        <v>0</v>
      </c>
      <c r="H411" s="381"/>
      <c r="I411" s="381"/>
      <c r="J411" s="381">
        <v>-14694</v>
      </c>
      <c r="K411" s="381">
        <v>0</v>
      </c>
      <c r="L411" s="381"/>
      <c r="M411" s="381"/>
      <c r="N411" s="381">
        <v>-14694</v>
      </c>
      <c r="O411" s="381">
        <v>0</v>
      </c>
      <c r="P411" s="381">
        <v>0</v>
      </c>
    </row>
    <row r="412" spans="1:16">
      <c r="A412" t="s">
        <v>1959</v>
      </c>
      <c r="B412" t="s">
        <v>1960</v>
      </c>
      <c r="C412" t="s">
        <v>1135</v>
      </c>
      <c r="D412" t="s">
        <v>1156</v>
      </c>
      <c r="E412" t="s">
        <v>389</v>
      </c>
      <c r="F412" t="s">
        <v>1327</v>
      </c>
      <c r="G412" s="381">
        <v>0.34</v>
      </c>
      <c r="H412" s="381"/>
      <c r="I412" s="381">
        <v>0.42</v>
      </c>
      <c r="J412" s="381">
        <v>-0.59</v>
      </c>
      <c r="K412" s="381">
        <v>0.33</v>
      </c>
      <c r="L412" s="381"/>
      <c r="M412" s="381">
        <v>0.42</v>
      </c>
      <c r="N412" s="381">
        <v>-0.59</v>
      </c>
      <c r="O412" s="381">
        <v>0</v>
      </c>
      <c r="P412" s="381">
        <v>0</v>
      </c>
    </row>
    <row r="413" spans="1:16">
      <c r="A413" t="s">
        <v>2599</v>
      </c>
      <c r="B413" t="s">
        <v>2600</v>
      </c>
      <c r="C413" t="s">
        <v>1135</v>
      </c>
      <c r="D413" t="s">
        <v>1156</v>
      </c>
      <c r="E413" t="s">
        <v>639</v>
      </c>
      <c r="F413" t="s">
        <v>1327</v>
      </c>
      <c r="G413" s="381">
        <v>0</v>
      </c>
      <c r="H413" s="381"/>
      <c r="I413" s="381"/>
      <c r="J413" s="381">
        <v>0.26</v>
      </c>
      <c r="K413" s="381">
        <v>0</v>
      </c>
      <c r="L413" s="381"/>
      <c r="M413" s="381"/>
      <c r="N413" s="381">
        <v>0.26</v>
      </c>
      <c r="O413" s="381">
        <v>0</v>
      </c>
      <c r="P413" s="381">
        <v>0</v>
      </c>
    </row>
    <row r="414" spans="1:16">
      <c r="A414" t="s">
        <v>1815</v>
      </c>
      <c r="B414" t="s">
        <v>1816</v>
      </c>
      <c r="C414" t="s">
        <v>1135</v>
      </c>
      <c r="D414" t="s">
        <v>1156</v>
      </c>
      <c r="E414" t="s">
        <v>389</v>
      </c>
      <c r="F414" t="s">
        <v>1817</v>
      </c>
      <c r="G414" s="381">
        <v>42517.659999999996</v>
      </c>
      <c r="H414" s="381">
        <v>40389</v>
      </c>
      <c r="I414" s="381">
        <v>55285.58</v>
      </c>
      <c r="J414" s="381">
        <v>47994.59</v>
      </c>
      <c r="K414" s="381">
        <v>63850.67</v>
      </c>
      <c r="L414" s="381">
        <v>40389</v>
      </c>
      <c r="M414" s="381">
        <v>55285.58</v>
      </c>
      <c r="N414" s="381">
        <v>47994.59</v>
      </c>
      <c r="O414" s="381">
        <v>51000</v>
      </c>
      <c r="P414" s="381">
        <v>49500</v>
      </c>
    </row>
    <row r="415" spans="1:16">
      <c r="A415" t="s">
        <v>2478</v>
      </c>
      <c r="B415" t="s">
        <v>2479</v>
      </c>
      <c r="C415" t="s">
        <v>1135</v>
      </c>
      <c r="D415" t="s">
        <v>1161</v>
      </c>
      <c r="E415" t="s">
        <v>639</v>
      </c>
      <c r="F415" t="s">
        <v>818</v>
      </c>
      <c r="G415" s="381">
        <v>0</v>
      </c>
      <c r="H415" s="381"/>
      <c r="I415" s="381"/>
      <c r="J415" s="381">
        <v>3547.87</v>
      </c>
      <c r="K415" s="381">
        <v>0</v>
      </c>
      <c r="L415" s="381"/>
      <c r="M415" s="381"/>
      <c r="N415" s="381">
        <v>3547.87</v>
      </c>
      <c r="O415" s="381">
        <v>0</v>
      </c>
      <c r="P415" s="381">
        <v>0</v>
      </c>
    </row>
    <row r="416" spans="1:16">
      <c r="A416" t="s">
        <v>1910</v>
      </c>
      <c r="B416" t="s">
        <v>1911</v>
      </c>
      <c r="C416" t="s">
        <v>1135</v>
      </c>
      <c r="D416" t="s">
        <v>1161</v>
      </c>
      <c r="E416" t="s">
        <v>389</v>
      </c>
      <c r="F416" t="s">
        <v>1855</v>
      </c>
      <c r="G416" s="381">
        <v>0</v>
      </c>
      <c r="H416" s="381"/>
      <c r="I416" s="381"/>
      <c r="J416" s="381">
        <v>1245</v>
      </c>
      <c r="K416" s="381">
        <v>0</v>
      </c>
      <c r="L416" s="381"/>
      <c r="M416" s="381"/>
      <c r="N416" s="381">
        <v>1245</v>
      </c>
      <c r="O416" s="381">
        <v>0</v>
      </c>
      <c r="P416" s="381">
        <v>0</v>
      </c>
    </row>
    <row r="417" spans="1:16">
      <c r="A417" t="s">
        <v>1159</v>
      </c>
      <c r="B417" t="s">
        <v>1160</v>
      </c>
      <c r="C417" t="s">
        <v>1135</v>
      </c>
      <c r="D417" t="s">
        <v>1161</v>
      </c>
      <c r="E417" t="s">
        <v>49</v>
      </c>
      <c r="F417" t="s">
        <v>1147</v>
      </c>
      <c r="G417" s="381">
        <v>0</v>
      </c>
      <c r="H417" s="381"/>
      <c r="I417" s="381">
        <v>-57216</v>
      </c>
      <c r="J417" s="381">
        <v>-11550</v>
      </c>
      <c r="K417" s="381">
        <v>0</v>
      </c>
      <c r="L417" s="381"/>
      <c r="M417" s="381">
        <v>-57216</v>
      </c>
      <c r="N417" s="381">
        <v>-11550</v>
      </c>
      <c r="O417" s="381">
        <v>0</v>
      </c>
      <c r="P417" s="381">
        <v>0</v>
      </c>
    </row>
    <row r="418" spans="1:16">
      <c r="A418" t="s">
        <v>2319</v>
      </c>
      <c r="B418" t="s">
        <v>2320</v>
      </c>
      <c r="C418" t="s">
        <v>1135</v>
      </c>
      <c r="D418" t="s">
        <v>1161</v>
      </c>
      <c r="E418" t="s">
        <v>639</v>
      </c>
      <c r="F418" t="s">
        <v>2321</v>
      </c>
      <c r="G418" s="381">
        <v>0</v>
      </c>
      <c r="H418" s="381"/>
      <c r="I418" s="381"/>
      <c r="J418" s="381"/>
      <c r="K418" s="381">
        <v>0</v>
      </c>
      <c r="L418" s="381"/>
      <c r="M418" s="381"/>
      <c r="N418" s="381"/>
      <c r="O418" s="381"/>
      <c r="P418" s="381"/>
    </row>
    <row r="419" spans="1:16">
      <c r="A419" t="s">
        <v>2257</v>
      </c>
      <c r="B419" t="s">
        <v>2258</v>
      </c>
      <c r="C419" t="s">
        <v>1135</v>
      </c>
      <c r="D419" t="s">
        <v>1161</v>
      </c>
      <c r="E419" t="s">
        <v>639</v>
      </c>
      <c r="F419" t="s">
        <v>1147</v>
      </c>
      <c r="G419" s="381">
        <v>0</v>
      </c>
      <c r="H419" s="381"/>
      <c r="I419" s="381">
        <v>227</v>
      </c>
      <c r="J419" s="381">
        <v>0</v>
      </c>
      <c r="K419" s="381">
        <v>0</v>
      </c>
      <c r="L419" s="381"/>
      <c r="M419" s="381">
        <v>227</v>
      </c>
      <c r="N419" s="381">
        <v>0</v>
      </c>
      <c r="O419" s="381">
        <v>0</v>
      </c>
      <c r="P419" s="381">
        <v>0</v>
      </c>
    </row>
    <row r="420" spans="1:16">
      <c r="A420" t="s">
        <v>2601</v>
      </c>
      <c r="B420" t="s">
        <v>2602</v>
      </c>
      <c r="C420" t="s">
        <v>1135</v>
      </c>
      <c r="D420" t="s">
        <v>1161</v>
      </c>
      <c r="E420" t="s">
        <v>639</v>
      </c>
      <c r="F420" t="s">
        <v>1327</v>
      </c>
      <c r="G420" s="381">
        <v>0</v>
      </c>
      <c r="H420" s="381"/>
      <c r="I420" s="381"/>
      <c r="J420" s="381">
        <v>0.13</v>
      </c>
      <c r="K420" s="381">
        <v>0</v>
      </c>
      <c r="L420" s="381"/>
      <c r="M420" s="381"/>
      <c r="N420" s="381">
        <v>0.13</v>
      </c>
      <c r="O420" s="381">
        <v>0</v>
      </c>
      <c r="P420" s="381">
        <v>0</v>
      </c>
    </row>
    <row r="421" spans="1:16">
      <c r="A421" t="s">
        <v>2810</v>
      </c>
      <c r="B421" t="s">
        <v>1017</v>
      </c>
      <c r="C421" t="s">
        <v>1650</v>
      </c>
      <c r="D421" t="s">
        <v>1650</v>
      </c>
      <c r="E421" t="s">
        <v>639</v>
      </c>
      <c r="F421" t="s">
        <v>2285</v>
      </c>
      <c r="G421" s="381">
        <v>717.38</v>
      </c>
      <c r="H421" s="381"/>
      <c r="I421" s="381">
        <v>921.51</v>
      </c>
      <c r="J421" s="381">
        <v>0</v>
      </c>
      <c r="K421" s="381">
        <v>227</v>
      </c>
      <c r="L421" s="381"/>
      <c r="M421" s="381">
        <v>921.51</v>
      </c>
      <c r="N421" s="381">
        <v>0</v>
      </c>
      <c r="O421" s="381">
        <v>0</v>
      </c>
      <c r="P421" s="381">
        <v>0</v>
      </c>
    </row>
    <row r="422" spans="1:16">
      <c r="A422" t="s">
        <v>1654</v>
      </c>
      <c r="B422" t="s">
        <v>326</v>
      </c>
      <c r="C422" t="s">
        <v>1650</v>
      </c>
      <c r="D422" t="s">
        <v>1650</v>
      </c>
      <c r="E422" t="s">
        <v>49</v>
      </c>
      <c r="F422" t="s">
        <v>1655</v>
      </c>
      <c r="G422" s="381">
        <v>16899.62</v>
      </c>
      <c r="H422" s="381">
        <v>15089.11</v>
      </c>
      <c r="I422" s="381">
        <v>16899.45</v>
      </c>
      <c r="J422" s="381">
        <v>21308.880000000001</v>
      </c>
      <c r="K422" s="381">
        <v>-34566.71</v>
      </c>
      <c r="L422" s="381">
        <v>15089.11</v>
      </c>
      <c r="M422" s="381">
        <v>16899.45</v>
      </c>
      <c r="N422" s="381">
        <v>21308.880000000001</v>
      </c>
      <c r="O422" s="381">
        <v>0</v>
      </c>
      <c r="P422" s="381">
        <v>0</v>
      </c>
    </row>
    <row r="423" spans="1:16">
      <c r="A423" t="s">
        <v>2815</v>
      </c>
      <c r="B423" t="s">
        <v>1022</v>
      </c>
      <c r="C423" t="s">
        <v>1650</v>
      </c>
      <c r="D423" t="s">
        <v>1650</v>
      </c>
      <c r="E423" t="s">
        <v>639</v>
      </c>
      <c r="F423" t="s">
        <v>818</v>
      </c>
      <c r="G423" s="381">
        <v>0</v>
      </c>
      <c r="H423" s="381"/>
      <c r="I423" s="381"/>
      <c r="J423" s="381">
        <v>8224.32</v>
      </c>
      <c r="K423" s="381">
        <v>0</v>
      </c>
      <c r="L423" s="381"/>
      <c r="M423" s="381"/>
      <c r="N423" s="381">
        <v>8224.32</v>
      </c>
      <c r="O423" s="381">
        <v>0</v>
      </c>
      <c r="P423" s="381">
        <v>0</v>
      </c>
    </row>
    <row r="424" spans="1:16">
      <c r="A424" t="s">
        <v>1653</v>
      </c>
      <c r="B424" t="s">
        <v>325</v>
      </c>
      <c r="C424" t="s">
        <v>1650</v>
      </c>
      <c r="D424" t="s">
        <v>1650</v>
      </c>
      <c r="E424" t="s">
        <v>49</v>
      </c>
      <c r="F424" t="s">
        <v>1174</v>
      </c>
      <c r="G424" s="381">
        <v>0</v>
      </c>
      <c r="H424" s="381"/>
      <c r="I424" s="381">
        <v>400</v>
      </c>
      <c r="J424" s="381">
        <v>0</v>
      </c>
      <c r="K424" s="381">
        <v>0</v>
      </c>
      <c r="L424" s="381"/>
      <c r="M424" s="381">
        <v>400</v>
      </c>
      <c r="N424" s="381">
        <v>0</v>
      </c>
      <c r="O424" s="381">
        <v>0</v>
      </c>
      <c r="P424" s="381">
        <v>0</v>
      </c>
    </row>
    <row r="425" spans="1:16">
      <c r="A425" t="s">
        <v>1749</v>
      </c>
      <c r="B425" t="s">
        <v>386</v>
      </c>
      <c r="C425" t="s">
        <v>1650</v>
      </c>
      <c r="D425" t="s">
        <v>1650</v>
      </c>
      <c r="E425" t="s">
        <v>342</v>
      </c>
      <c r="F425" t="s">
        <v>1703</v>
      </c>
      <c r="G425" s="381">
        <v>229.1</v>
      </c>
      <c r="H425" s="381"/>
      <c r="I425" s="381"/>
      <c r="J425" s="381">
        <v>2902.66</v>
      </c>
      <c r="K425" s="381">
        <v>87.28</v>
      </c>
      <c r="L425" s="381"/>
      <c r="M425" s="381"/>
      <c r="N425" s="381">
        <v>2902.66</v>
      </c>
      <c r="O425" s="381">
        <v>0</v>
      </c>
      <c r="P425" s="381">
        <v>0</v>
      </c>
    </row>
    <row r="426" spans="1:16">
      <c r="A426" t="s">
        <v>1748</v>
      </c>
      <c r="B426" t="s">
        <v>385</v>
      </c>
      <c r="C426" t="s">
        <v>1650</v>
      </c>
      <c r="D426" t="s">
        <v>1650</v>
      </c>
      <c r="E426" t="s">
        <v>342</v>
      </c>
      <c r="F426" t="s">
        <v>1174</v>
      </c>
      <c r="G426" s="381">
        <v>0</v>
      </c>
      <c r="H426" s="381"/>
      <c r="I426" s="381">
        <v>1060</v>
      </c>
      <c r="J426" s="381">
        <v>0</v>
      </c>
      <c r="K426" s="381">
        <v>0</v>
      </c>
      <c r="L426" s="381"/>
      <c r="M426" s="381">
        <v>1060</v>
      </c>
      <c r="N426" s="381">
        <v>0</v>
      </c>
      <c r="O426" s="381">
        <v>0</v>
      </c>
      <c r="P426" s="381">
        <v>0</v>
      </c>
    </row>
    <row r="427" spans="1:16">
      <c r="A427" t="s">
        <v>2141</v>
      </c>
      <c r="B427" t="s">
        <v>597</v>
      </c>
      <c r="C427" t="s">
        <v>1650</v>
      </c>
      <c r="D427" t="s">
        <v>1650</v>
      </c>
      <c r="E427" t="s">
        <v>389</v>
      </c>
      <c r="F427" t="s">
        <v>1855</v>
      </c>
      <c r="G427" s="381">
        <v>2441</v>
      </c>
      <c r="H427" s="381">
        <v>681</v>
      </c>
      <c r="I427" s="381">
        <v>981</v>
      </c>
      <c r="J427" s="381">
        <v>2709</v>
      </c>
      <c r="K427" s="381">
        <v>2448</v>
      </c>
      <c r="L427" s="381">
        <v>681</v>
      </c>
      <c r="M427" s="381">
        <v>981</v>
      </c>
      <c r="N427" s="381">
        <v>2709</v>
      </c>
      <c r="O427" s="381">
        <v>800</v>
      </c>
      <c r="P427" s="381">
        <v>800</v>
      </c>
    </row>
    <row r="428" spans="1:16">
      <c r="A428" t="s">
        <v>2811</v>
      </c>
      <c r="B428" t="s">
        <v>1018</v>
      </c>
      <c r="C428" t="s">
        <v>1650</v>
      </c>
      <c r="D428" t="s">
        <v>1650</v>
      </c>
      <c r="E428" t="s">
        <v>639</v>
      </c>
      <c r="F428" t="s">
        <v>2291</v>
      </c>
      <c r="G428" s="381">
        <v>431</v>
      </c>
      <c r="H428" s="381">
        <v>431</v>
      </c>
      <c r="I428" s="381">
        <v>2586</v>
      </c>
      <c r="J428" s="381">
        <v>2182.7199999999998</v>
      </c>
      <c r="K428" s="381">
        <v>0</v>
      </c>
      <c r="L428" s="381">
        <v>431</v>
      </c>
      <c r="M428" s="381">
        <v>2586</v>
      </c>
      <c r="N428" s="381">
        <v>2182.7199999999998</v>
      </c>
      <c r="O428" s="381">
        <v>375</v>
      </c>
      <c r="P428" s="381">
        <v>375</v>
      </c>
    </row>
    <row r="429" spans="1:16">
      <c r="A429" t="s">
        <v>1649</v>
      </c>
      <c r="B429" t="s">
        <v>324</v>
      </c>
      <c r="C429" t="s">
        <v>1650</v>
      </c>
      <c r="D429" t="s">
        <v>1650</v>
      </c>
      <c r="E429" t="s">
        <v>49</v>
      </c>
      <c r="F429" t="s">
        <v>1147</v>
      </c>
      <c r="G429" s="381">
        <v>28331</v>
      </c>
      <c r="H429" s="381"/>
      <c r="I429" s="381">
        <v>-54900</v>
      </c>
      <c r="J429" s="381">
        <v>-27820</v>
      </c>
      <c r="K429" s="381">
        <v>34717</v>
      </c>
      <c r="L429" s="381"/>
      <c r="M429" s="381">
        <v>-54900</v>
      </c>
      <c r="N429" s="381">
        <v>-27820</v>
      </c>
      <c r="O429" s="381">
        <v>0</v>
      </c>
      <c r="P429" s="381">
        <v>0</v>
      </c>
    </row>
    <row r="430" spans="1:16">
      <c r="A430" t="s">
        <v>1659</v>
      </c>
      <c r="B430" t="s">
        <v>331</v>
      </c>
      <c r="C430" t="s">
        <v>1650</v>
      </c>
      <c r="D430" t="s">
        <v>1650</v>
      </c>
      <c r="E430" t="s">
        <v>49</v>
      </c>
      <c r="F430" t="s">
        <v>1327</v>
      </c>
      <c r="G430" s="381">
        <v>-0.62</v>
      </c>
      <c r="H430" s="381">
        <v>0.01</v>
      </c>
      <c r="I430" s="381">
        <v>0.42</v>
      </c>
      <c r="J430" s="381">
        <v>78.680000000000291</v>
      </c>
      <c r="K430" s="381">
        <v>-20720.55</v>
      </c>
      <c r="L430" s="381">
        <v>0.01</v>
      </c>
      <c r="M430" s="381">
        <v>0.42</v>
      </c>
      <c r="N430" s="381">
        <v>78.680000000000291</v>
      </c>
      <c r="O430" s="381">
        <v>0</v>
      </c>
      <c r="P430" s="381">
        <v>0</v>
      </c>
    </row>
    <row r="431" spans="1:16">
      <c r="A431" t="s">
        <v>1750</v>
      </c>
      <c r="B431" t="s">
        <v>387</v>
      </c>
      <c r="C431" t="s">
        <v>1650</v>
      </c>
      <c r="D431" t="s">
        <v>1650</v>
      </c>
      <c r="E431" t="s">
        <v>342</v>
      </c>
      <c r="F431" t="s">
        <v>1327</v>
      </c>
      <c r="G431" s="381">
        <v>-0.11</v>
      </c>
      <c r="H431" s="381"/>
      <c r="I431" s="381"/>
      <c r="J431" s="381">
        <v>420.97</v>
      </c>
      <c r="K431" s="381">
        <v>0.21</v>
      </c>
      <c r="L431" s="381"/>
      <c r="M431" s="381"/>
      <c r="N431" s="381">
        <v>420.97</v>
      </c>
      <c r="O431" s="381">
        <v>0</v>
      </c>
      <c r="P431" s="381">
        <v>0</v>
      </c>
    </row>
    <row r="432" spans="1:16">
      <c r="A432" t="s">
        <v>2143</v>
      </c>
      <c r="B432" t="s">
        <v>598</v>
      </c>
      <c r="C432" t="s">
        <v>1650</v>
      </c>
      <c r="D432" t="s">
        <v>1650</v>
      </c>
      <c r="E432" t="s">
        <v>389</v>
      </c>
      <c r="F432" t="s">
        <v>2144</v>
      </c>
      <c r="G432" s="381">
        <v>0</v>
      </c>
      <c r="H432" s="381"/>
      <c r="I432" s="381"/>
      <c r="J432" s="381"/>
      <c r="K432" s="381">
        <v>0</v>
      </c>
      <c r="L432" s="381"/>
      <c r="M432" s="381"/>
      <c r="N432" s="381"/>
      <c r="O432" s="381"/>
      <c r="P432" s="381"/>
    </row>
    <row r="433" spans="1:16">
      <c r="A433" t="s">
        <v>2145</v>
      </c>
      <c r="B433" t="s">
        <v>600</v>
      </c>
      <c r="C433" t="s">
        <v>1650</v>
      </c>
      <c r="D433" t="s">
        <v>1650</v>
      </c>
      <c r="E433" t="s">
        <v>389</v>
      </c>
      <c r="F433" t="s">
        <v>1327</v>
      </c>
      <c r="G433" s="381">
        <v>-0.38</v>
      </c>
      <c r="H433" s="381"/>
      <c r="I433" s="381"/>
      <c r="J433" s="381">
        <v>-0.03</v>
      </c>
      <c r="K433" s="381">
        <v>0.61</v>
      </c>
      <c r="L433" s="381"/>
      <c r="M433" s="381"/>
      <c r="N433" s="381">
        <v>-0.03</v>
      </c>
      <c r="O433" s="381">
        <v>0</v>
      </c>
      <c r="P433" s="381">
        <v>0</v>
      </c>
    </row>
    <row r="434" spans="1:16">
      <c r="A434" t="s">
        <v>2817</v>
      </c>
      <c r="B434" t="s">
        <v>1023</v>
      </c>
      <c r="C434" t="s">
        <v>1650</v>
      </c>
      <c r="D434" t="s">
        <v>1650</v>
      </c>
      <c r="E434" t="s">
        <v>639</v>
      </c>
      <c r="F434" t="s">
        <v>2818</v>
      </c>
      <c r="G434" s="381">
        <v>0</v>
      </c>
      <c r="H434" s="381">
        <v>10768</v>
      </c>
      <c r="I434" s="381">
        <v>146010.01999999999</v>
      </c>
      <c r="J434" s="381">
        <v>0</v>
      </c>
      <c r="K434" s="381">
        <v>0</v>
      </c>
      <c r="L434" s="381">
        <v>10768</v>
      </c>
      <c r="M434" s="381">
        <v>146010.01999999999</v>
      </c>
      <c r="N434" s="381">
        <v>0</v>
      </c>
      <c r="O434" s="381">
        <v>0</v>
      </c>
      <c r="P434" s="381">
        <v>0</v>
      </c>
    </row>
    <row r="435" spans="1:16">
      <c r="A435" t="s">
        <v>2809</v>
      </c>
      <c r="B435" t="s">
        <v>1016</v>
      </c>
      <c r="C435" t="s">
        <v>1650</v>
      </c>
      <c r="D435" t="s">
        <v>1650</v>
      </c>
      <c r="E435" t="s">
        <v>639</v>
      </c>
      <c r="F435" t="s">
        <v>1138</v>
      </c>
      <c r="G435" s="381">
        <v>0</v>
      </c>
      <c r="H435" s="381"/>
      <c r="I435" s="381"/>
      <c r="J435" s="381">
        <v>200.42</v>
      </c>
      <c r="K435" s="381">
        <v>0</v>
      </c>
      <c r="L435" s="381"/>
      <c r="M435" s="381"/>
      <c r="N435" s="381">
        <v>200.42</v>
      </c>
      <c r="O435" s="381">
        <v>0</v>
      </c>
      <c r="P435" s="381">
        <v>0</v>
      </c>
    </row>
    <row r="436" spans="1:16">
      <c r="A436" t="s">
        <v>2819</v>
      </c>
      <c r="B436" t="s">
        <v>1025</v>
      </c>
      <c r="C436" t="s">
        <v>1650</v>
      </c>
      <c r="D436" t="s">
        <v>1650</v>
      </c>
      <c r="E436" t="s">
        <v>639</v>
      </c>
      <c r="F436" t="s">
        <v>1327</v>
      </c>
      <c r="G436" s="381">
        <v>0</v>
      </c>
      <c r="H436" s="381"/>
      <c r="I436" s="381">
        <v>-0.02</v>
      </c>
      <c r="J436" s="381">
        <v>227.26</v>
      </c>
      <c r="K436" s="381">
        <v>0</v>
      </c>
      <c r="L436" s="381"/>
      <c r="M436" s="381">
        <v>-0.02</v>
      </c>
      <c r="N436" s="381">
        <v>227.26</v>
      </c>
      <c r="O436" s="381">
        <v>0</v>
      </c>
      <c r="P436" s="381">
        <v>0</v>
      </c>
    </row>
    <row r="437" spans="1:16">
      <c r="A437" t="s">
        <v>2844</v>
      </c>
      <c r="B437" t="s">
        <v>1035</v>
      </c>
      <c r="C437" t="s">
        <v>1650</v>
      </c>
      <c r="D437" t="s">
        <v>1650</v>
      </c>
      <c r="E437" t="s">
        <v>1027</v>
      </c>
      <c r="F437" t="s">
        <v>2830</v>
      </c>
      <c r="G437" s="381">
        <v>1883.5499999999997</v>
      </c>
      <c r="H437" s="381">
        <v>102</v>
      </c>
      <c r="I437" s="381">
        <v>121</v>
      </c>
      <c r="J437" s="381">
        <v>675</v>
      </c>
      <c r="K437" s="381">
        <v>861.93999999999994</v>
      </c>
      <c r="L437" s="381">
        <v>102</v>
      </c>
      <c r="M437" s="381">
        <v>121</v>
      </c>
      <c r="N437" s="381">
        <v>675</v>
      </c>
      <c r="O437" s="381">
        <v>1600</v>
      </c>
      <c r="P437" s="381">
        <v>1500</v>
      </c>
    </row>
    <row r="438" spans="1:16">
      <c r="A438" t="s">
        <v>2896</v>
      </c>
      <c r="B438" t="s">
        <v>45</v>
      </c>
      <c r="C438" t="s">
        <v>1650</v>
      </c>
      <c r="D438" t="s">
        <v>1650</v>
      </c>
      <c r="E438" t="s">
        <v>22</v>
      </c>
      <c r="F438" t="s">
        <v>2868</v>
      </c>
      <c r="G438" s="381">
        <v>0</v>
      </c>
      <c r="H438" s="381"/>
      <c r="I438" s="381"/>
      <c r="J438" s="381"/>
      <c r="K438" s="381">
        <v>0</v>
      </c>
      <c r="L438" s="381"/>
      <c r="M438" s="381"/>
      <c r="N438" s="381"/>
      <c r="O438" s="381"/>
      <c r="P438" s="381"/>
    </row>
    <row r="439" spans="1:16">
      <c r="A439" t="s">
        <v>2897</v>
      </c>
      <c r="B439" t="s">
        <v>46</v>
      </c>
      <c r="C439" t="s">
        <v>1650</v>
      </c>
      <c r="D439" t="s">
        <v>1650</v>
      </c>
      <c r="E439" t="s">
        <v>22</v>
      </c>
      <c r="F439" t="s">
        <v>2870</v>
      </c>
      <c r="G439" s="381">
        <v>0</v>
      </c>
      <c r="H439" s="381"/>
      <c r="I439" s="381"/>
      <c r="J439" s="381"/>
      <c r="K439" s="381">
        <v>0</v>
      </c>
      <c r="L439" s="381"/>
      <c r="M439" s="381"/>
      <c r="N439" s="381"/>
      <c r="O439" s="381"/>
      <c r="P439" s="381"/>
    </row>
    <row r="440" spans="1:16">
      <c r="A440" t="s">
        <v>2898</v>
      </c>
      <c r="B440" t="s">
        <v>47</v>
      </c>
      <c r="C440" t="s">
        <v>1650</v>
      </c>
      <c r="D440" t="s">
        <v>1650</v>
      </c>
      <c r="E440" t="s">
        <v>22</v>
      </c>
      <c r="F440" t="s">
        <v>2872</v>
      </c>
      <c r="G440" s="381">
        <v>293204.89</v>
      </c>
      <c r="H440" s="381">
        <v>238474.06999999998</v>
      </c>
      <c r="I440" s="381">
        <v>255306.30000000005</v>
      </c>
      <c r="J440" s="381">
        <v>190399.43</v>
      </c>
      <c r="K440" s="381">
        <v>312206.57999999996</v>
      </c>
      <c r="L440" s="381">
        <v>238474.06999999998</v>
      </c>
      <c r="M440" s="381">
        <v>255306.30000000005</v>
      </c>
      <c r="N440" s="381">
        <v>190399.43</v>
      </c>
      <c r="O440" s="381">
        <v>293204.89</v>
      </c>
      <c r="P440" s="381">
        <v>239240.83906981352</v>
      </c>
    </row>
    <row r="441" spans="1:16">
      <c r="A441" t="s">
        <v>2186</v>
      </c>
      <c r="B441" t="s">
        <v>623</v>
      </c>
      <c r="C441" t="s">
        <v>1650</v>
      </c>
      <c r="D441" t="s">
        <v>1650</v>
      </c>
      <c r="E441" t="s">
        <v>602</v>
      </c>
      <c r="F441" t="s">
        <v>611</v>
      </c>
      <c r="G441" s="381">
        <v>2.16</v>
      </c>
      <c r="H441" s="381"/>
      <c r="I441" s="381">
        <v>27.55</v>
      </c>
      <c r="J441" s="381">
        <v>0.55000000000000004</v>
      </c>
      <c r="K441" s="381">
        <v>4.129999999999999</v>
      </c>
      <c r="L441" s="381"/>
      <c r="M441" s="381">
        <v>27.55</v>
      </c>
      <c r="N441" s="381">
        <v>0.55000000000000004</v>
      </c>
      <c r="O441" s="381">
        <v>0</v>
      </c>
      <c r="P441" s="381">
        <v>0</v>
      </c>
    </row>
    <row r="442" spans="1:16">
      <c r="A442" t="s">
        <v>1657</v>
      </c>
      <c r="B442" t="s">
        <v>329</v>
      </c>
      <c r="C442" t="s">
        <v>1650</v>
      </c>
      <c r="D442" t="s">
        <v>1650</v>
      </c>
      <c r="E442" t="s">
        <v>49</v>
      </c>
      <c r="F442" t="s">
        <v>1658</v>
      </c>
      <c r="G442" s="381">
        <v>0</v>
      </c>
      <c r="H442" s="381">
        <v>94047.88</v>
      </c>
      <c r="I442" s="381">
        <v>124852.13</v>
      </c>
      <c r="J442" s="381">
        <v>-106182.8</v>
      </c>
      <c r="K442" s="381">
        <v>0</v>
      </c>
      <c r="L442" s="381">
        <v>94047.88</v>
      </c>
      <c r="M442" s="381">
        <v>124852.13</v>
      </c>
      <c r="N442" s="381">
        <v>-106182.8</v>
      </c>
      <c r="O442" s="381">
        <v>0</v>
      </c>
      <c r="P442" s="381">
        <v>0</v>
      </c>
    </row>
    <row r="443" spans="1:16">
      <c r="A443" t="s">
        <v>2139</v>
      </c>
      <c r="B443" t="s">
        <v>594</v>
      </c>
      <c r="C443" t="s">
        <v>1650</v>
      </c>
      <c r="D443" t="s">
        <v>1650</v>
      </c>
      <c r="E443" t="s">
        <v>389</v>
      </c>
      <c r="F443" t="s">
        <v>1658</v>
      </c>
      <c r="G443" s="381">
        <v>98015.38</v>
      </c>
      <c r="H443" s="381"/>
      <c r="I443" s="381"/>
      <c r="J443" s="381">
        <v>201865.03</v>
      </c>
      <c r="K443" s="381">
        <v>98015.39</v>
      </c>
      <c r="L443" s="381"/>
      <c r="M443" s="381"/>
      <c r="N443" s="381">
        <v>201865.03</v>
      </c>
      <c r="O443" s="381">
        <v>106183</v>
      </c>
      <c r="P443" s="381">
        <v>106183</v>
      </c>
    </row>
    <row r="444" spans="1:16">
      <c r="A444" t="s">
        <v>2140</v>
      </c>
      <c r="B444" t="s">
        <v>595</v>
      </c>
      <c r="C444" t="s">
        <v>1650</v>
      </c>
      <c r="D444" t="s">
        <v>1650</v>
      </c>
      <c r="E444" t="s">
        <v>389</v>
      </c>
      <c r="F444" t="s">
        <v>1658</v>
      </c>
      <c r="G444" s="381">
        <v>0</v>
      </c>
      <c r="H444" s="381"/>
      <c r="I444" s="381"/>
      <c r="J444" s="381"/>
      <c r="K444" s="381">
        <v>0</v>
      </c>
      <c r="L444" s="381"/>
      <c r="M444" s="381"/>
      <c r="N444" s="381"/>
      <c r="O444" s="381"/>
      <c r="P444" s="381"/>
    </row>
    <row r="445" spans="1:16">
      <c r="A445" t="s">
        <v>2866</v>
      </c>
      <c r="B445" t="s">
        <v>1050</v>
      </c>
      <c r="C445" t="s">
        <v>1650</v>
      </c>
      <c r="D445" t="s">
        <v>1650</v>
      </c>
      <c r="E445" t="s">
        <v>1037</v>
      </c>
      <c r="F445" t="s">
        <v>2846</v>
      </c>
      <c r="G445" s="381">
        <v>1364.6499999999996</v>
      </c>
      <c r="H445" s="381">
        <v>401</v>
      </c>
      <c r="I445" s="381">
        <v>11440.6</v>
      </c>
      <c r="J445" s="381">
        <v>6155.71</v>
      </c>
      <c r="K445" s="381">
        <v>535.48</v>
      </c>
      <c r="L445" s="381">
        <v>401</v>
      </c>
      <c r="M445" s="381">
        <v>11440.6</v>
      </c>
      <c r="N445" s="381">
        <v>6155.71</v>
      </c>
      <c r="O445" s="381">
        <v>0</v>
      </c>
      <c r="P445" s="381">
        <v>0</v>
      </c>
    </row>
    <row r="446" spans="1:16">
      <c r="A446" t="s">
        <v>1756</v>
      </c>
      <c r="B446" t="s">
        <v>1757</v>
      </c>
      <c r="C446" t="s">
        <v>1135</v>
      </c>
      <c r="D446" t="s">
        <v>1165</v>
      </c>
      <c r="E446" t="s">
        <v>389</v>
      </c>
      <c r="F446" t="s">
        <v>1758</v>
      </c>
      <c r="G446" s="381">
        <v>0</v>
      </c>
      <c r="H446" s="381"/>
      <c r="I446" s="381"/>
      <c r="J446" s="381"/>
      <c r="K446" s="381">
        <v>0</v>
      </c>
      <c r="L446" s="381"/>
      <c r="M446" s="381"/>
      <c r="N446" s="381"/>
      <c r="O446" s="381">
        <v>12500</v>
      </c>
      <c r="P446" s="381">
        <v>12500</v>
      </c>
    </row>
    <row r="447" spans="1:16">
      <c r="A447" t="s">
        <v>1759</v>
      </c>
      <c r="B447" t="s">
        <v>1760</v>
      </c>
      <c r="C447" t="s">
        <v>1135</v>
      </c>
      <c r="D447" t="s">
        <v>1165</v>
      </c>
      <c r="E447" t="s">
        <v>389</v>
      </c>
      <c r="F447" t="s">
        <v>1761</v>
      </c>
      <c r="G447" s="381">
        <v>0</v>
      </c>
      <c r="H447" s="381"/>
      <c r="I447" s="381"/>
      <c r="J447" s="381"/>
      <c r="K447" s="381">
        <v>0</v>
      </c>
      <c r="L447" s="381"/>
      <c r="M447" s="381"/>
      <c r="N447" s="381"/>
      <c r="O447" s="381">
        <v>10000</v>
      </c>
      <c r="P447" s="381">
        <v>10000</v>
      </c>
    </row>
    <row r="448" spans="1:16">
      <c r="A448" t="s">
        <v>2222</v>
      </c>
      <c r="B448" t="s">
        <v>2223</v>
      </c>
      <c r="C448" t="s">
        <v>1135</v>
      </c>
      <c r="D448" t="s">
        <v>1165</v>
      </c>
      <c r="E448" t="s">
        <v>639</v>
      </c>
      <c r="F448" t="s">
        <v>2224</v>
      </c>
      <c r="G448" s="381">
        <v>0</v>
      </c>
      <c r="H448" s="381"/>
      <c r="I448" s="381">
        <v>-118715.37</v>
      </c>
      <c r="J448" s="381">
        <v>0</v>
      </c>
      <c r="K448" s="381">
        <v>0</v>
      </c>
      <c r="L448" s="381"/>
      <c r="M448" s="381">
        <v>-118715.37</v>
      </c>
      <c r="N448" s="381">
        <v>0</v>
      </c>
      <c r="O448" s="381">
        <v>0</v>
      </c>
      <c r="P448" s="381">
        <v>0</v>
      </c>
    </row>
    <row r="449" spans="1:16">
      <c r="A449" t="s">
        <v>1763</v>
      </c>
      <c r="B449" t="s">
        <v>1764</v>
      </c>
      <c r="C449" t="s">
        <v>1135</v>
      </c>
      <c r="D449" t="s">
        <v>1165</v>
      </c>
      <c r="E449" t="s">
        <v>389</v>
      </c>
      <c r="F449" t="s">
        <v>1765</v>
      </c>
      <c r="G449" s="381">
        <v>0</v>
      </c>
      <c r="H449" s="381"/>
      <c r="I449" s="381"/>
      <c r="J449" s="381"/>
      <c r="K449" s="381">
        <v>0</v>
      </c>
      <c r="L449" s="381"/>
      <c r="M449" s="381"/>
      <c r="N449" s="381"/>
      <c r="O449" s="381">
        <v>6250</v>
      </c>
      <c r="P449" s="381">
        <v>6250</v>
      </c>
    </row>
    <row r="450" spans="1:16">
      <c r="A450" t="s">
        <v>1950</v>
      </c>
      <c r="B450" t="s">
        <v>1951</v>
      </c>
      <c r="C450" t="s">
        <v>1135</v>
      </c>
      <c r="D450" t="s">
        <v>1165</v>
      </c>
      <c r="E450" t="s">
        <v>389</v>
      </c>
      <c r="F450" t="s">
        <v>1952</v>
      </c>
      <c r="G450" s="381">
        <v>590.85</v>
      </c>
      <c r="H450" s="381">
        <v>571.28</v>
      </c>
      <c r="I450" s="381">
        <v>587.64</v>
      </c>
      <c r="J450" s="381">
        <v>473.79</v>
      </c>
      <c r="K450" s="381">
        <v>588.03</v>
      </c>
      <c r="L450" s="381">
        <v>571.28</v>
      </c>
      <c r="M450" s="381">
        <v>587.64</v>
      </c>
      <c r="N450" s="381">
        <v>473.79</v>
      </c>
      <c r="O450" s="381">
        <v>333.33</v>
      </c>
      <c r="P450" s="381">
        <v>333.33</v>
      </c>
    </row>
    <row r="451" spans="1:16">
      <c r="A451" t="s">
        <v>2582</v>
      </c>
      <c r="B451" t="s">
        <v>2583</v>
      </c>
      <c r="C451" t="s">
        <v>1135</v>
      </c>
      <c r="D451" t="s">
        <v>1165</v>
      </c>
      <c r="E451" t="s">
        <v>639</v>
      </c>
      <c r="F451" t="s">
        <v>1952</v>
      </c>
      <c r="G451" s="381">
        <v>0</v>
      </c>
      <c r="H451" s="381"/>
      <c r="I451" s="381"/>
      <c r="J451" s="381">
        <v>21098.22</v>
      </c>
      <c r="K451" s="381">
        <v>0</v>
      </c>
      <c r="L451" s="381"/>
      <c r="M451" s="381"/>
      <c r="N451" s="381">
        <v>21098.22</v>
      </c>
      <c r="O451" s="381">
        <v>0</v>
      </c>
      <c r="P451" s="381">
        <v>0</v>
      </c>
    </row>
    <row r="452" spans="1:16">
      <c r="A452" t="s">
        <v>2584</v>
      </c>
      <c r="B452" t="s">
        <v>2585</v>
      </c>
      <c r="C452" t="s">
        <v>1135</v>
      </c>
      <c r="D452" t="s">
        <v>1165</v>
      </c>
      <c r="E452" t="s">
        <v>639</v>
      </c>
      <c r="F452" t="s">
        <v>2586</v>
      </c>
      <c r="G452" s="381">
        <v>0</v>
      </c>
      <c r="H452" s="381"/>
      <c r="I452" s="381"/>
      <c r="J452" s="381"/>
      <c r="K452" s="381">
        <v>0</v>
      </c>
      <c r="L452" s="381"/>
      <c r="M452" s="381"/>
      <c r="N452" s="381"/>
      <c r="O452" s="381"/>
      <c r="P452" s="381"/>
    </row>
    <row r="453" spans="1:16">
      <c r="A453" t="s">
        <v>1933</v>
      </c>
      <c r="B453" t="s">
        <v>1934</v>
      </c>
      <c r="C453" t="s">
        <v>1135</v>
      </c>
      <c r="D453" t="s">
        <v>1165</v>
      </c>
      <c r="E453" t="s">
        <v>389</v>
      </c>
      <c r="F453" t="s">
        <v>1935</v>
      </c>
      <c r="G453" s="381">
        <v>2769.23</v>
      </c>
      <c r="H453" s="381"/>
      <c r="I453" s="381">
        <v>5999.76</v>
      </c>
      <c r="J453" s="381">
        <v>2703.54</v>
      </c>
      <c r="K453" s="381">
        <v>3527.23</v>
      </c>
      <c r="L453" s="381"/>
      <c r="M453" s="381">
        <v>5999.76</v>
      </c>
      <c r="N453" s="381">
        <v>2703.54</v>
      </c>
      <c r="O453" s="381">
        <v>3297</v>
      </c>
      <c r="P453" s="381">
        <v>3000</v>
      </c>
    </row>
    <row r="454" spans="1:16">
      <c r="A454" t="s">
        <v>1936</v>
      </c>
      <c r="B454" t="s">
        <v>1937</v>
      </c>
      <c r="C454" t="s">
        <v>1135</v>
      </c>
      <c r="D454" t="s">
        <v>1165</v>
      </c>
      <c r="E454" t="s">
        <v>389</v>
      </c>
      <c r="F454" t="s">
        <v>1938</v>
      </c>
      <c r="G454" s="381">
        <v>25748.649999999994</v>
      </c>
      <c r="H454" s="381"/>
      <c r="I454" s="381"/>
      <c r="J454" s="381">
        <v>80924.350000000006</v>
      </c>
      <c r="K454" s="381">
        <v>35684.65</v>
      </c>
      <c r="L454" s="381"/>
      <c r="M454" s="381"/>
      <c r="N454" s="381">
        <v>80924.350000000006</v>
      </c>
      <c r="O454" s="381">
        <v>28215</v>
      </c>
      <c r="P454" s="381">
        <v>26933</v>
      </c>
    </row>
    <row r="455" spans="1:16">
      <c r="A455" t="s">
        <v>1840</v>
      </c>
      <c r="B455" t="s">
        <v>1841</v>
      </c>
      <c r="C455" t="s">
        <v>1135</v>
      </c>
      <c r="D455" t="s">
        <v>1165</v>
      </c>
      <c r="E455" t="s">
        <v>389</v>
      </c>
      <c r="F455" t="s">
        <v>1842</v>
      </c>
      <c r="G455" s="381">
        <v>4772.18</v>
      </c>
      <c r="H455" s="381"/>
      <c r="I455" s="381"/>
      <c r="J455" s="381">
        <v>7840</v>
      </c>
      <c r="K455" s="381">
        <v>4772.17</v>
      </c>
      <c r="L455" s="381"/>
      <c r="M455" s="381"/>
      <c r="N455" s="381">
        <v>7840</v>
      </c>
      <c r="O455" s="381">
        <v>11747</v>
      </c>
      <c r="P455" s="381">
        <v>5000</v>
      </c>
    </row>
    <row r="456" spans="1:16">
      <c r="A456" t="s">
        <v>1818</v>
      </c>
      <c r="B456" t="s">
        <v>1819</v>
      </c>
      <c r="C456" t="s">
        <v>1135</v>
      </c>
      <c r="D456" t="s">
        <v>1165</v>
      </c>
      <c r="E456" t="s">
        <v>389</v>
      </c>
      <c r="F456" t="s">
        <v>1820</v>
      </c>
      <c r="G456" s="381">
        <v>363571.96</v>
      </c>
      <c r="H456" s="381">
        <v>387633.4</v>
      </c>
      <c r="I456" s="381">
        <v>404902.73</v>
      </c>
      <c r="J456" s="381">
        <v>356492.04</v>
      </c>
      <c r="K456" s="381">
        <v>461544.87000000005</v>
      </c>
      <c r="L456" s="381">
        <v>387633.4</v>
      </c>
      <c r="M456" s="381">
        <v>404902.73</v>
      </c>
      <c r="N456" s="381">
        <v>356492.04</v>
      </c>
      <c r="O456" s="381">
        <v>422337</v>
      </c>
      <c r="P456" s="381">
        <v>391800</v>
      </c>
    </row>
    <row r="457" spans="1:16">
      <c r="A457" t="s">
        <v>1822</v>
      </c>
      <c r="B457" t="s">
        <v>1823</v>
      </c>
      <c r="C457" t="s">
        <v>1135</v>
      </c>
      <c r="D457" t="s">
        <v>1165</v>
      </c>
      <c r="E457" t="s">
        <v>389</v>
      </c>
      <c r="F457" t="s">
        <v>1824</v>
      </c>
      <c r="G457" s="381">
        <v>142089.47</v>
      </c>
      <c r="H457" s="381"/>
      <c r="I457" s="381">
        <v>293304.34999999998</v>
      </c>
      <c r="J457" s="381">
        <v>164894.1</v>
      </c>
      <c r="K457" s="381">
        <v>163378.12</v>
      </c>
      <c r="L457" s="381"/>
      <c r="M457" s="381">
        <v>293304.34999999998</v>
      </c>
      <c r="N457" s="381">
        <v>164894.1</v>
      </c>
      <c r="O457" s="381">
        <v>152733.32999999999</v>
      </c>
      <c r="P457" s="381">
        <v>152733.32999999999</v>
      </c>
    </row>
    <row r="458" spans="1:16">
      <c r="A458" t="s">
        <v>1869</v>
      </c>
      <c r="B458" t="s">
        <v>1870</v>
      </c>
      <c r="C458" t="s">
        <v>1135</v>
      </c>
      <c r="D458" t="s">
        <v>1165</v>
      </c>
      <c r="E458" t="s">
        <v>389</v>
      </c>
      <c r="F458" t="s">
        <v>1871</v>
      </c>
      <c r="G458" s="381">
        <v>25837.46</v>
      </c>
      <c r="H458" s="381">
        <v>25838</v>
      </c>
      <c r="I458" s="381">
        <v>36872.379999999997</v>
      </c>
      <c r="J458" s="381">
        <v>31340.080000000002</v>
      </c>
      <c r="K458" s="381">
        <v>36862.460000000006</v>
      </c>
      <c r="L458" s="381">
        <v>25838</v>
      </c>
      <c r="M458" s="381">
        <v>36872.379999999997</v>
      </c>
      <c r="N458" s="381">
        <v>31340.080000000002</v>
      </c>
      <c r="O458" s="381">
        <v>31350</v>
      </c>
      <c r="P458" s="381">
        <v>31350</v>
      </c>
    </row>
    <row r="459" spans="1:16">
      <c r="A459" t="s">
        <v>2480</v>
      </c>
      <c r="B459" t="s">
        <v>2481</v>
      </c>
      <c r="C459" t="s">
        <v>1135</v>
      </c>
      <c r="D459" t="s">
        <v>1165</v>
      </c>
      <c r="E459" t="s">
        <v>639</v>
      </c>
      <c r="F459" t="s">
        <v>818</v>
      </c>
      <c r="G459" s="381">
        <v>0</v>
      </c>
      <c r="H459" s="381"/>
      <c r="I459" s="381"/>
      <c r="J459" s="381">
        <v>12141.44</v>
      </c>
      <c r="K459" s="381">
        <v>0</v>
      </c>
      <c r="L459" s="381"/>
      <c r="M459" s="381"/>
      <c r="N459" s="381">
        <v>12141.44</v>
      </c>
      <c r="O459" s="381">
        <v>0</v>
      </c>
      <c r="P459" s="381">
        <v>0</v>
      </c>
    </row>
    <row r="460" spans="1:16">
      <c r="A460" t="s">
        <v>2302</v>
      </c>
      <c r="B460" t="s">
        <v>2303</v>
      </c>
      <c r="C460" t="s">
        <v>1135</v>
      </c>
      <c r="D460" t="s">
        <v>1165</v>
      </c>
      <c r="E460" t="s">
        <v>639</v>
      </c>
      <c r="F460" t="s">
        <v>2304</v>
      </c>
      <c r="G460" s="381">
        <v>0</v>
      </c>
      <c r="H460" s="381">
        <v>-115764.16</v>
      </c>
      <c r="I460" s="381">
        <v>0</v>
      </c>
      <c r="J460" s="381"/>
      <c r="K460" s="381">
        <v>0</v>
      </c>
      <c r="L460" s="381">
        <v>-115764.16</v>
      </c>
      <c r="M460" s="381">
        <v>0</v>
      </c>
      <c r="N460" s="381"/>
      <c r="O460" s="381"/>
      <c r="P460" s="381"/>
    </row>
    <row r="461" spans="1:16">
      <c r="A461" t="s">
        <v>1282</v>
      </c>
      <c r="B461" t="s">
        <v>1283</v>
      </c>
      <c r="C461" t="s">
        <v>1135</v>
      </c>
      <c r="D461" t="s">
        <v>1165</v>
      </c>
      <c r="E461" t="s">
        <v>49</v>
      </c>
      <c r="F461" t="s">
        <v>1281</v>
      </c>
      <c r="G461" s="381">
        <v>17284.68</v>
      </c>
      <c r="H461" s="381"/>
      <c r="I461" s="381"/>
      <c r="J461" s="381">
        <v>36597.65</v>
      </c>
      <c r="K461" s="381">
        <v>12179.44</v>
      </c>
      <c r="L461" s="381"/>
      <c r="M461" s="381"/>
      <c r="N461" s="381">
        <v>36597.65</v>
      </c>
      <c r="O461" s="381">
        <v>12900</v>
      </c>
      <c r="P461" s="381">
        <v>12900</v>
      </c>
    </row>
    <row r="462" spans="1:16">
      <c r="A462" t="s">
        <v>1172</v>
      </c>
      <c r="B462" t="s">
        <v>1173</v>
      </c>
      <c r="C462" t="s">
        <v>1135</v>
      </c>
      <c r="D462" t="s">
        <v>1165</v>
      </c>
      <c r="E462" t="s">
        <v>49</v>
      </c>
      <c r="F462" t="s">
        <v>1174</v>
      </c>
      <c r="G462" s="381">
        <v>0</v>
      </c>
      <c r="H462" s="381">
        <v>360</v>
      </c>
      <c r="I462" s="381">
        <v>360</v>
      </c>
      <c r="J462" s="381">
        <v>360</v>
      </c>
      <c r="K462" s="381">
        <v>0</v>
      </c>
      <c r="L462" s="381">
        <v>360</v>
      </c>
      <c r="M462" s="381">
        <v>360</v>
      </c>
      <c r="N462" s="381">
        <v>360</v>
      </c>
      <c r="O462" s="381">
        <v>0</v>
      </c>
      <c r="P462" s="381">
        <v>0</v>
      </c>
    </row>
    <row r="463" spans="1:16">
      <c r="A463" t="s">
        <v>1837</v>
      </c>
      <c r="B463" t="s">
        <v>1838</v>
      </c>
      <c r="C463" t="s">
        <v>1135</v>
      </c>
      <c r="D463" t="s">
        <v>1165</v>
      </c>
      <c r="E463" t="s">
        <v>389</v>
      </c>
      <c r="F463" t="s">
        <v>1835</v>
      </c>
      <c r="G463" s="381">
        <v>27.89</v>
      </c>
      <c r="H463" s="381">
        <v>696.35</v>
      </c>
      <c r="I463" s="381">
        <v>599.02</v>
      </c>
      <c r="J463" s="381">
        <v>55.78</v>
      </c>
      <c r="K463" s="381">
        <v>596.58999999999992</v>
      </c>
      <c r="L463" s="381">
        <v>696.35</v>
      </c>
      <c r="M463" s="381">
        <v>599.02</v>
      </c>
      <c r="N463" s="381">
        <v>55.78</v>
      </c>
      <c r="O463" s="381">
        <v>0</v>
      </c>
      <c r="P463" s="381">
        <v>0</v>
      </c>
    </row>
    <row r="464" spans="1:16">
      <c r="A464" t="s">
        <v>1845</v>
      </c>
      <c r="B464" t="s">
        <v>1846</v>
      </c>
      <c r="C464" t="s">
        <v>1135</v>
      </c>
      <c r="D464" t="s">
        <v>1165</v>
      </c>
      <c r="E464" t="s">
        <v>389</v>
      </c>
      <c r="F464" t="s">
        <v>1844</v>
      </c>
      <c r="G464" s="381">
        <v>0</v>
      </c>
      <c r="H464" s="381"/>
      <c r="I464" s="381"/>
      <c r="J464" s="381"/>
      <c r="K464" s="381">
        <v>0</v>
      </c>
      <c r="L464" s="381"/>
      <c r="M464" s="381"/>
      <c r="N464" s="381"/>
      <c r="O464" s="381">
        <v>0</v>
      </c>
      <c r="P464" s="381">
        <v>0</v>
      </c>
    </row>
    <row r="465" spans="1:16">
      <c r="A465" t="s">
        <v>1847</v>
      </c>
      <c r="B465" t="s">
        <v>1848</v>
      </c>
      <c r="C465" t="s">
        <v>1135</v>
      </c>
      <c r="D465" t="s">
        <v>1165</v>
      </c>
      <c r="E465" t="s">
        <v>389</v>
      </c>
      <c r="F465" t="s">
        <v>1849</v>
      </c>
      <c r="G465" s="381">
        <v>881.88</v>
      </c>
      <c r="H465" s="381">
        <v>881.88</v>
      </c>
      <c r="I465" s="381">
        <v>881.88</v>
      </c>
      <c r="J465" s="381">
        <v>881.88</v>
      </c>
      <c r="K465" s="381">
        <v>881.88</v>
      </c>
      <c r="L465" s="381">
        <v>881.88</v>
      </c>
      <c r="M465" s="381">
        <v>881.88</v>
      </c>
      <c r="N465" s="381">
        <v>881.88</v>
      </c>
      <c r="O465" s="381">
        <v>883.33333300000004</v>
      </c>
      <c r="P465" s="381">
        <v>883.33333300000004</v>
      </c>
    </row>
    <row r="466" spans="1:16">
      <c r="A466" t="s">
        <v>1859</v>
      </c>
      <c r="B466" t="s">
        <v>1860</v>
      </c>
      <c r="C466" t="s">
        <v>1135</v>
      </c>
      <c r="D466" t="s">
        <v>1165</v>
      </c>
      <c r="E466" t="s">
        <v>389</v>
      </c>
      <c r="F466" t="s">
        <v>1858</v>
      </c>
      <c r="G466" s="381">
        <v>527.16999999999996</v>
      </c>
      <c r="H466" s="381">
        <v>243.06</v>
      </c>
      <c r="I466" s="381">
        <v>235.06</v>
      </c>
      <c r="J466" s="381">
        <v>0</v>
      </c>
      <c r="K466" s="381">
        <v>288.64999999999998</v>
      </c>
      <c r="L466" s="381">
        <v>243.06</v>
      </c>
      <c r="M466" s="381">
        <v>235.06</v>
      </c>
      <c r="N466" s="381">
        <v>0</v>
      </c>
      <c r="O466" s="381">
        <v>1014</v>
      </c>
      <c r="P466" s="381">
        <v>1014</v>
      </c>
    </row>
    <row r="467" spans="1:16">
      <c r="A467" t="s">
        <v>1861</v>
      </c>
      <c r="B467" t="s">
        <v>1862</v>
      </c>
      <c r="C467" t="s">
        <v>1135</v>
      </c>
      <c r="D467" t="s">
        <v>1165</v>
      </c>
      <c r="E467" t="s">
        <v>389</v>
      </c>
      <c r="F467" t="s">
        <v>1863</v>
      </c>
      <c r="G467" s="381">
        <v>1713.8500000000004</v>
      </c>
      <c r="H467" s="381">
        <v>1680.68</v>
      </c>
      <c r="I467" s="381">
        <v>1679.61</v>
      </c>
      <c r="J467" s="381">
        <v>1594.94</v>
      </c>
      <c r="K467" s="381">
        <v>1788.77</v>
      </c>
      <c r="L467" s="381">
        <v>1680.68</v>
      </c>
      <c r="M467" s="381">
        <v>1679.61</v>
      </c>
      <c r="N467" s="381">
        <v>1594.94</v>
      </c>
      <c r="O467" s="381">
        <v>2213.166667</v>
      </c>
      <c r="P467" s="381">
        <v>2213.166667</v>
      </c>
    </row>
    <row r="468" spans="1:16">
      <c r="A468" t="s">
        <v>1867</v>
      </c>
      <c r="B468" t="s">
        <v>1868</v>
      </c>
      <c r="C468" t="s">
        <v>1135</v>
      </c>
      <c r="D468" t="s">
        <v>1165</v>
      </c>
      <c r="E468" t="s">
        <v>389</v>
      </c>
      <c r="F468" t="s">
        <v>1863</v>
      </c>
      <c r="G468" s="381">
        <v>14.350000000000001</v>
      </c>
      <c r="H468" s="381">
        <v>200.57</v>
      </c>
      <c r="I468" s="381">
        <v>191.76</v>
      </c>
      <c r="J468" s="381">
        <v>0</v>
      </c>
      <c r="K468" s="381">
        <v>11.24</v>
      </c>
      <c r="L468" s="381">
        <v>200.57</v>
      </c>
      <c r="M468" s="381">
        <v>191.76</v>
      </c>
      <c r="N468" s="381">
        <v>0</v>
      </c>
      <c r="O468" s="381">
        <v>1200</v>
      </c>
      <c r="P468" s="381">
        <v>1200</v>
      </c>
    </row>
    <row r="469" spans="1:16">
      <c r="A469" t="s">
        <v>1876</v>
      </c>
      <c r="B469" t="s">
        <v>1877</v>
      </c>
      <c r="C469" t="s">
        <v>1135</v>
      </c>
      <c r="D469" t="s">
        <v>1165</v>
      </c>
      <c r="E469" t="s">
        <v>389</v>
      </c>
      <c r="F469" t="s">
        <v>1878</v>
      </c>
      <c r="G469" s="381">
        <v>421.78999999999996</v>
      </c>
      <c r="H469" s="381">
        <v>212.71</v>
      </c>
      <c r="I469" s="381">
        <v>212.88</v>
      </c>
      <c r="J469" s="381">
        <v>-425.59</v>
      </c>
      <c r="K469" s="381">
        <v>11.3</v>
      </c>
      <c r="L469" s="381">
        <v>212.71</v>
      </c>
      <c r="M469" s="381">
        <v>212.88</v>
      </c>
      <c r="N469" s="381">
        <v>-425.59</v>
      </c>
      <c r="O469" s="381"/>
      <c r="P469" s="381"/>
    </row>
    <row r="470" spans="1:16">
      <c r="A470" t="s">
        <v>1899</v>
      </c>
      <c r="B470" t="s">
        <v>1900</v>
      </c>
      <c r="C470" t="s">
        <v>1135</v>
      </c>
      <c r="D470" t="s">
        <v>1165</v>
      </c>
      <c r="E470" t="s">
        <v>389</v>
      </c>
      <c r="F470" t="s">
        <v>1703</v>
      </c>
      <c r="G470" s="381">
        <v>1703.44</v>
      </c>
      <c r="H470" s="381">
        <v>3485.94</v>
      </c>
      <c r="I470" s="381">
        <v>4743.4799999999996</v>
      </c>
      <c r="J470" s="381">
        <v>3143.47</v>
      </c>
      <c r="K470" s="381">
        <v>1676.8800000000003</v>
      </c>
      <c r="L470" s="381">
        <v>3485.94</v>
      </c>
      <c r="M470" s="381">
        <v>4743.4799999999996</v>
      </c>
      <c r="N470" s="381">
        <v>3143.47</v>
      </c>
      <c r="O470" s="381">
        <v>1000</v>
      </c>
      <c r="P470" s="381">
        <v>1000</v>
      </c>
    </row>
    <row r="471" spans="1:16">
      <c r="A471" t="s">
        <v>1912</v>
      </c>
      <c r="B471" t="s">
        <v>1913</v>
      </c>
      <c r="C471" t="s">
        <v>1135</v>
      </c>
      <c r="D471" t="s">
        <v>1165</v>
      </c>
      <c r="E471" t="s">
        <v>389</v>
      </c>
      <c r="F471" t="s">
        <v>1855</v>
      </c>
      <c r="G471" s="381">
        <v>5219</v>
      </c>
      <c r="H471" s="381">
        <v>8661</v>
      </c>
      <c r="I471" s="381">
        <v>6471</v>
      </c>
      <c r="J471" s="381">
        <v>9264</v>
      </c>
      <c r="K471" s="381">
        <v>5092</v>
      </c>
      <c r="L471" s="381">
        <v>8661</v>
      </c>
      <c r="M471" s="381">
        <v>6471</v>
      </c>
      <c r="N471" s="381">
        <v>9264</v>
      </c>
      <c r="O471" s="381">
        <v>10000</v>
      </c>
      <c r="P471" s="381">
        <v>10000</v>
      </c>
    </row>
    <row r="472" spans="1:16">
      <c r="A472" t="s">
        <v>1943</v>
      </c>
      <c r="B472" t="s">
        <v>1944</v>
      </c>
      <c r="C472" t="s">
        <v>1135</v>
      </c>
      <c r="D472" t="s">
        <v>1165</v>
      </c>
      <c r="E472" t="s">
        <v>389</v>
      </c>
      <c r="F472" t="s">
        <v>1945</v>
      </c>
      <c r="G472" s="381">
        <v>0</v>
      </c>
      <c r="H472" s="381"/>
      <c r="I472" s="381"/>
      <c r="J472" s="381">
        <v>552.49</v>
      </c>
      <c r="K472" s="381">
        <v>0</v>
      </c>
      <c r="L472" s="381"/>
      <c r="M472" s="381"/>
      <c r="N472" s="381">
        <v>552.49</v>
      </c>
      <c r="O472" s="381">
        <v>351</v>
      </c>
      <c r="P472" s="381">
        <v>351</v>
      </c>
    </row>
    <row r="473" spans="1:16">
      <c r="A473" t="s">
        <v>1796</v>
      </c>
      <c r="B473" t="s">
        <v>1797</v>
      </c>
      <c r="C473" t="s">
        <v>1135</v>
      </c>
      <c r="D473" t="s">
        <v>1165</v>
      </c>
      <c r="E473" t="s">
        <v>389</v>
      </c>
      <c r="F473" t="s">
        <v>1174</v>
      </c>
      <c r="G473" s="381">
        <v>54081.419999999991</v>
      </c>
      <c r="H473" s="381">
        <v>61804.2</v>
      </c>
      <c r="I473" s="381">
        <v>58988.63</v>
      </c>
      <c r="J473" s="381">
        <v>56632.78</v>
      </c>
      <c r="K473" s="381">
        <v>51184.079999999994</v>
      </c>
      <c r="L473" s="381">
        <v>61804.2</v>
      </c>
      <c r="M473" s="381">
        <v>58988.63</v>
      </c>
      <c r="N473" s="381">
        <v>56632.78</v>
      </c>
      <c r="O473" s="381">
        <v>60000</v>
      </c>
      <c r="P473" s="381">
        <v>60000</v>
      </c>
    </row>
    <row r="474" spans="1:16">
      <c r="A474" t="s">
        <v>2265</v>
      </c>
      <c r="B474" t="s">
        <v>2266</v>
      </c>
      <c r="C474" t="s">
        <v>1135</v>
      </c>
      <c r="D474" t="s">
        <v>1165</v>
      </c>
      <c r="E474" t="s">
        <v>639</v>
      </c>
      <c r="F474" t="s">
        <v>1858</v>
      </c>
      <c r="G474" s="381">
        <v>279.45999999999998</v>
      </c>
      <c r="H474" s="381">
        <v>279.45999999999998</v>
      </c>
      <c r="I474" s="381">
        <v>279.45999999999998</v>
      </c>
      <c r="J474" s="381">
        <v>279.45999999999998</v>
      </c>
      <c r="K474" s="381">
        <v>139.72999999999999</v>
      </c>
      <c r="L474" s="381">
        <v>279.45999999999998</v>
      </c>
      <c r="M474" s="381">
        <v>279.45999999999998</v>
      </c>
      <c r="N474" s="381">
        <v>279.45999999999998</v>
      </c>
      <c r="O474" s="381">
        <v>0</v>
      </c>
      <c r="P474" s="381">
        <v>0</v>
      </c>
    </row>
    <row r="475" spans="1:16">
      <c r="A475" t="s">
        <v>2267</v>
      </c>
      <c r="B475" t="s">
        <v>2268</v>
      </c>
      <c r="C475" t="s">
        <v>1135</v>
      </c>
      <c r="D475" t="s">
        <v>1165</v>
      </c>
      <c r="E475" t="s">
        <v>639</v>
      </c>
      <c r="F475" t="s">
        <v>1863</v>
      </c>
      <c r="G475" s="381">
        <v>139.72999999999999</v>
      </c>
      <c r="H475" s="381">
        <v>139.72999999999999</v>
      </c>
      <c r="I475" s="381">
        <v>139.72999999999999</v>
      </c>
      <c r="J475" s="381">
        <v>449.73</v>
      </c>
      <c r="K475" s="381">
        <v>139.72999999999999</v>
      </c>
      <c r="L475" s="381">
        <v>139.72999999999999</v>
      </c>
      <c r="M475" s="381">
        <v>139.72999999999999</v>
      </c>
      <c r="N475" s="381">
        <v>449.73</v>
      </c>
      <c r="O475" s="381">
        <v>154.58333300000001</v>
      </c>
      <c r="P475" s="381">
        <v>154.58333300000001</v>
      </c>
    </row>
    <row r="476" spans="1:16">
      <c r="A476" t="s">
        <v>2275</v>
      </c>
      <c r="B476" t="s">
        <v>2276</v>
      </c>
      <c r="C476" t="s">
        <v>1135</v>
      </c>
      <c r="D476" t="s">
        <v>1165</v>
      </c>
      <c r="E476" t="s">
        <v>639</v>
      </c>
      <c r="F476" t="s">
        <v>2274</v>
      </c>
      <c r="G476" s="381">
        <v>308.33</v>
      </c>
      <c r="H476" s="381">
        <v>616.66</v>
      </c>
      <c r="I476" s="381">
        <v>0</v>
      </c>
      <c r="J476" s="381">
        <v>308.33</v>
      </c>
      <c r="K476" s="381">
        <v>308.33</v>
      </c>
      <c r="L476" s="381">
        <v>616.66</v>
      </c>
      <c r="M476" s="381">
        <v>0</v>
      </c>
      <c r="N476" s="381">
        <v>308.33</v>
      </c>
      <c r="O476" s="381">
        <v>924.99</v>
      </c>
      <c r="P476" s="381">
        <v>924.99</v>
      </c>
    </row>
    <row r="477" spans="1:16">
      <c r="A477" t="s">
        <v>2280</v>
      </c>
      <c r="B477" t="s">
        <v>2281</v>
      </c>
      <c r="C477" t="s">
        <v>1135</v>
      </c>
      <c r="D477" t="s">
        <v>1165</v>
      </c>
      <c r="E477" t="s">
        <v>639</v>
      </c>
      <c r="F477" t="s">
        <v>1703</v>
      </c>
      <c r="G477" s="381">
        <v>0</v>
      </c>
      <c r="H477" s="381"/>
      <c r="I477" s="381">
        <v>18.920000000000002</v>
      </c>
      <c r="J477" s="381">
        <v>0</v>
      </c>
      <c r="K477" s="381">
        <v>0</v>
      </c>
      <c r="L477" s="381"/>
      <c r="M477" s="381">
        <v>18.920000000000002</v>
      </c>
      <c r="N477" s="381">
        <v>0</v>
      </c>
      <c r="O477" s="381">
        <v>0</v>
      </c>
      <c r="P477" s="381">
        <v>0</v>
      </c>
    </row>
    <row r="478" spans="1:16">
      <c r="A478" t="s">
        <v>2263</v>
      </c>
      <c r="B478" t="s">
        <v>2264</v>
      </c>
      <c r="C478" t="s">
        <v>1135</v>
      </c>
      <c r="D478" t="s">
        <v>1165</v>
      </c>
      <c r="E478" t="s">
        <v>639</v>
      </c>
      <c r="F478" t="s">
        <v>1174</v>
      </c>
      <c r="G478" s="381">
        <v>279.45999999999998</v>
      </c>
      <c r="H478" s="381">
        <v>698.65</v>
      </c>
      <c r="I478" s="381">
        <v>558.91999999999996</v>
      </c>
      <c r="J478" s="381">
        <v>419.19</v>
      </c>
      <c r="K478" s="381">
        <v>279.45999999999998</v>
      </c>
      <c r="L478" s="381">
        <v>698.65</v>
      </c>
      <c r="M478" s="381">
        <v>558.91999999999996</v>
      </c>
      <c r="N478" s="381">
        <v>419.19</v>
      </c>
      <c r="O478" s="381">
        <v>690</v>
      </c>
      <c r="P478" s="381">
        <v>767</v>
      </c>
    </row>
    <row r="479" spans="1:16">
      <c r="A479" t="s">
        <v>1266</v>
      </c>
      <c r="B479" t="s">
        <v>1267</v>
      </c>
      <c r="C479" t="s">
        <v>1135</v>
      </c>
      <c r="D479" t="s">
        <v>1165</v>
      </c>
      <c r="E479" t="s">
        <v>49</v>
      </c>
      <c r="F479" t="s">
        <v>1268</v>
      </c>
      <c r="G479" s="381">
        <v>3540.9</v>
      </c>
      <c r="H479" s="381">
        <v>3217.02</v>
      </c>
      <c r="I479" s="381">
        <v>2578.4899999999998</v>
      </c>
      <c r="J479" s="381">
        <v>2874.84</v>
      </c>
      <c r="K479" s="381">
        <v>2797.94</v>
      </c>
      <c r="L479" s="381">
        <v>3217.02</v>
      </c>
      <c r="M479" s="381">
        <v>2578.4899999999998</v>
      </c>
      <c r="N479" s="381">
        <v>2874.84</v>
      </c>
      <c r="O479" s="381">
        <v>3315.08</v>
      </c>
      <c r="P479" s="381">
        <v>3190</v>
      </c>
    </row>
    <row r="480" spans="1:16">
      <c r="A480" t="s">
        <v>1288</v>
      </c>
      <c r="B480" t="s">
        <v>1289</v>
      </c>
      <c r="C480" t="s">
        <v>1135</v>
      </c>
      <c r="D480" t="s">
        <v>1165</v>
      </c>
      <c r="E480" t="s">
        <v>49</v>
      </c>
      <c r="F480" t="s">
        <v>1290</v>
      </c>
      <c r="G480" s="381">
        <v>6561.0900000000011</v>
      </c>
      <c r="H480" s="381">
        <v>5439.05</v>
      </c>
      <c r="I480" s="381">
        <v>4406.87</v>
      </c>
      <c r="J480" s="381">
        <v>5062.8</v>
      </c>
      <c r="K480" s="381">
        <v>5184.41</v>
      </c>
      <c r="L480" s="381">
        <v>5439.05</v>
      </c>
      <c r="M480" s="381">
        <v>4406.87</v>
      </c>
      <c r="N480" s="381">
        <v>5062.8</v>
      </c>
      <c r="O480" s="381">
        <v>6142.58</v>
      </c>
      <c r="P480" s="381">
        <v>6142.58</v>
      </c>
    </row>
    <row r="481" spans="1:16">
      <c r="A481" t="s">
        <v>1291</v>
      </c>
      <c r="B481" t="s">
        <v>1292</v>
      </c>
      <c r="C481" t="s">
        <v>1135</v>
      </c>
      <c r="D481" t="s">
        <v>1165</v>
      </c>
      <c r="E481" t="s">
        <v>49</v>
      </c>
      <c r="F481" t="s">
        <v>1293</v>
      </c>
      <c r="G481" s="381">
        <v>991.85</v>
      </c>
      <c r="H481" s="381">
        <v>844.81</v>
      </c>
      <c r="I481" s="381">
        <v>677.12</v>
      </c>
      <c r="J481" s="381">
        <v>754.94</v>
      </c>
      <c r="K481" s="381">
        <v>673.53</v>
      </c>
      <c r="L481" s="381">
        <v>844.81</v>
      </c>
      <c r="M481" s="381">
        <v>677.12</v>
      </c>
      <c r="N481" s="381">
        <v>754.94</v>
      </c>
      <c r="O481" s="381">
        <v>799.33</v>
      </c>
      <c r="P481" s="381">
        <v>799.33</v>
      </c>
    </row>
    <row r="482" spans="1:16">
      <c r="A482" t="s">
        <v>1829</v>
      </c>
      <c r="B482" t="s">
        <v>1830</v>
      </c>
      <c r="C482" t="s">
        <v>1135</v>
      </c>
      <c r="D482" t="s">
        <v>1165</v>
      </c>
      <c r="E482" t="s">
        <v>389</v>
      </c>
      <c r="F482" t="s">
        <v>1831</v>
      </c>
      <c r="G482" s="381">
        <v>13238.160000000002</v>
      </c>
      <c r="H482" s="381">
        <v>11347.01</v>
      </c>
      <c r="I482" s="381">
        <v>7087.77</v>
      </c>
      <c r="J482" s="381">
        <v>10590.53</v>
      </c>
      <c r="K482" s="381">
        <v>10590.539999999999</v>
      </c>
      <c r="L482" s="381">
        <v>11347.01</v>
      </c>
      <c r="M482" s="381">
        <v>7087.77</v>
      </c>
      <c r="N482" s="381">
        <v>10590.53</v>
      </c>
      <c r="O482" s="381">
        <v>10590</v>
      </c>
      <c r="P482" s="381">
        <v>12130</v>
      </c>
    </row>
    <row r="483" spans="1:16">
      <c r="A483" t="s">
        <v>1850</v>
      </c>
      <c r="B483" t="s">
        <v>1851</v>
      </c>
      <c r="C483" t="s">
        <v>1135</v>
      </c>
      <c r="D483" t="s">
        <v>1165</v>
      </c>
      <c r="E483" t="s">
        <v>389</v>
      </c>
      <c r="F483" t="s">
        <v>1852</v>
      </c>
      <c r="G483" s="381">
        <v>12307.019999999999</v>
      </c>
      <c r="H483" s="381">
        <v>10548.89</v>
      </c>
      <c r="I483" s="381">
        <v>8790.74</v>
      </c>
      <c r="J483" s="381">
        <v>9845.6299999999992</v>
      </c>
      <c r="K483" s="381">
        <v>9845.619999999999</v>
      </c>
      <c r="L483" s="381">
        <v>10548.89</v>
      </c>
      <c r="M483" s="381">
        <v>8790.74</v>
      </c>
      <c r="N483" s="381">
        <v>9845.6299999999992</v>
      </c>
      <c r="O483" s="381">
        <v>12296</v>
      </c>
      <c r="P483" s="381">
        <v>10296</v>
      </c>
    </row>
    <row r="484" spans="1:16">
      <c r="A484" t="s">
        <v>2296</v>
      </c>
      <c r="B484" t="s">
        <v>2297</v>
      </c>
      <c r="C484" t="s">
        <v>1135</v>
      </c>
      <c r="D484" t="s">
        <v>1165</v>
      </c>
      <c r="E484" t="s">
        <v>639</v>
      </c>
      <c r="F484" t="s">
        <v>2291</v>
      </c>
      <c r="G484" s="381">
        <v>0</v>
      </c>
      <c r="H484" s="381"/>
      <c r="I484" s="381">
        <v>1293</v>
      </c>
      <c r="J484" s="381">
        <v>0</v>
      </c>
      <c r="K484" s="381">
        <v>0</v>
      </c>
      <c r="L484" s="381"/>
      <c r="M484" s="381">
        <v>1293</v>
      </c>
      <c r="N484" s="381">
        <v>0</v>
      </c>
      <c r="O484" s="381">
        <v>0</v>
      </c>
      <c r="P484" s="381">
        <v>0</v>
      </c>
    </row>
    <row r="485" spans="1:16">
      <c r="A485" t="s">
        <v>1335</v>
      </c>
      <c r="B485" t="s">
        <v>1336</v>
      </c>
      <c r="C485" t="s">
        <v>1135</v>
      </c>
      <c r="D485" t="s">
        <v>1165</v>
      </c>
      <c r="E485" t="s">
        <v>49</v>
      </c>
      <c r="F485" t="s">
        <v>1327</v>
      </c>
      <c r="G485" s="381">
        <v>-0.67</v>
      </c>
      <c r="H485" s="381"/>
      <c r="I485" s="381">
        <v>0.01</v>
      </c>
      <c r="J485" s="381">
        <v>0.34</v>
      </c>
      <c r="K485" s="381">
        <v>0.2</v>
      </c>
      <c r="L485" s="381"/>
      <c r="M485" s="381">
        <v>0.01</v>
      </c>
      <c r="N485" s="381">
        <v>0.34</v>
      </c>
      <c r="O485" s="381">
        <v>0</v>
      </c>
      <c r="P485" s="381">
        <v>0</v>
      </c>
    </row>
    <row r="486" spans="1:16">
      <c r="A486" t="s">
        <v>1798</v>
      </c>
      <c r="B486" t="s">
        <v>1799</v>
      </c>
      <c r="C486" t="s">
        <v>1135</v>
      </c>
      <c r="D486" t="s">
        <v>1165</v>
      </c>
      <c r="E486" t="s">
        <v>389</v>
      </c>
      <c r="F486" t="s">
        <v>2962</v>
      </c>
      <c r="G486" s="381">
        <v>3132.21</v>
      </c>
      <c r="H486" s="381">
        <v>0.45</v>
      </c>
      <c r="I486" s="381">
        <v>1838.45</v>
      </c>
      <c r="J486" s="381">
        <v>167.54</v>
      </c>
      <c r="K486" s="381">
        <v>3012.3</v>
      </c>
      <c r="L486" s="381">
        <v>0.45</v>
      </c>
      <c r="M486" s="381">
        <v>1838.45</v>
      </c>
      <c r="N486" s="381">
        <v>167.54</v>
      </c>
      <c r="O486" s="381">
        <v>0</v>
      </c>
      <c r="P486" s="381">
        <v>0</v>
      </c>
    </row>
    <row r="487" spans="1:16">
      <c r="A487" t="s">
        <v>1811</v>
      </c>
      <c r="B487" t="s">
        <v>1812</v>
      </c>
      <c r="C487" t="s">
        <v>1135</v>
      </c>
      <c r="D487" t="s">
        <v>1165</v>
      </c>
      <c r="E487" t="s">
        <v>389</v>
      </c>
      <c r="F487" t="s">
        <v>1813</v>
      </c>
      <c r="G487" s="381">
        <v>0</v>
      </c>
      <c r="H487" s="381"/>
      <c r="I487" s="381"/>
      <c r="J487" s="381"/>
      <c r="K487" s="381">
        <v>0</v>
      </c>
      <c r="L487" s="381"/>
      <c r="M487" s="381"/>
      <c r="N487" s="381"/>
      <c r="O487" s="381"/>
      <c r="P487" s="381"/>
    </row>
    <row r="488" spans="1:16">
      <c r="A488" t="s">
        <v>1872</v>
      </c>
      <c r="B488" t="s">
        <v>1873</v>
      </c>
      <c r="C488" t="s">
        <v>1135</v>
      </c>
      <c r="D488" t="s">
        <v>1165</v>
      </c>
      <c r="E488" t="s">
        <v>389</v>
      </c>
      <c r="F488" t="s">
        <v>1874</v>
      </c>
      <c r="G488" s="381">
        <v>23070.760000000002</v>
      </c>
      <c r="H488" s="381">
        <v>0.04</v>
      </c>
      <c r="I488" s="381">
        <v>55984.1</v>
      </c>
      <c r="J488" s="381">
        <v>27991.47</v>
      </c>
      <c r="K488" s="381">
        <v>32913.769999999997</v>
      </c>
      <c r="L488" s="381">
        <v>0.04</v>
      </c>
      <c r="M488" s="381">
        <v>55984.1</v>
      </c>
      <c r="N488" s="381">
        <v>27991.47</v>
      </c>
      <c r="O488" s="381">
        <v>27992</v>
      </c>
      <c r="P488" s="381">
        <v>27992</v>
      </c>
    </row>
    <row r="489" spans="1:16">
      <c r="A489" t="s">
        <v>1879</v>
      </c>
      <c r="B489" t="s">
        <v>1880</v>
      </c>
      <c r="C489" t="s">
        <v>1135</v>
      </c>
      <c r="D489" t="s">
        <v>1165</v>
      </c>
      <c r="E489" t="s">
        <v>389</v>
      </c>
      <c r="F489" t="s">
        <v>1881</v>
      </c>
      <c r="G489" s="381">
        <v>66.959999999999994</v>
      </c>
      <c r="H489" s="381">
        <v>95.28</v>
      </c>
      <c r="I489" s="381">
        <v>31.62</v>
      </c>
      <c r="J489" s="381">
        <v>-126.9</v>
      </c>
      <c r="K489" s="381">
        <v>61.6</v>
      </c>
      <c r="L489" s="381">
        <v>95.28</v>
      </c>
      <c r="M489" s="381">
        <v>31.62</v>
      </c>
      <c r="N489" s="381">
        <v>-126.9</v>
      </c>
      <c r="O489" s="381"/>
      <c r="P489" s="381"/>
    </row>
    <row r="490" spans="1:16">
      <c r="A490" t="s">
        <v>1925</v>
      </c>
      <c r="B490" t="s">
        <v>1926</v>
      </c>
      <c r="C490" t="s">
        <v>1135</v>
      </c>
      <c r="D490" t="s">
        <v>1165</v>
      </c>
      <c r="E490" t="s">
        <v>389</v>
      </c>
      <c r="F490" t="s">
        <v>1927</v>
      </c>
      <c r="G490" s="381">
        <v>0</v>
      </c>
      <c r="H490" s="381"/>
      <c r="I490" s="381"/>
      <c r="J490" s="381"/>
      <c r="K490" s="381">
        <v>0</v>
      </c>
      <c r="L490" s="381"/>
      <c r="M490" s="381"/>
      <c r="N490" s="381"/>
      <c r="O490" s="381">
        <v>0</v>
      </c>
      <c r="P490" s="381">
        <v>0</v>
      </c>
    </row>
    <row r="491" spans="1:16">
      <c r="A491" t="s">
        <v>1930</v>
      </c>
      <c r="B491" t="s">
        <v>1931</v>
      </c>
      <c r="C491" t="s">
        <v>1135</v>
      </c>
      <c r="D491" t="s">
        <v>1165</v>
      </c>
      <c r="E491" t="s">
        <v>389</v>
      </c>
      <c r="F491" t="s">
        <v>1932</v>
      </c>
      <c r="G491" s="381">
        <v>0</v>
      </c>
      <c r="H491" s="381"/>
      <c r="I491" s="381"/>
      <c r="J491" s="381"/>
      <c r="K491" s="381">
        <v>0</v>
      </c>
      <c r="L491" s="381"/>
      <c r="M491" s="381"/>
      <c r="N491" s="381"/>
      <c r="O491" s="381">
        <v>0</v>
      </c>
      <c r="P491" s="381">
        <v>0</v>
      </c>
    </row>
    <row r="492" spans="1:16">
      <c r="A492" t="s">
        <v>1961</v>
      </c>
      <c r="B492" t="s">
        <v>1962</v>
      </c>
      <c r="C492" t="s">
        <v>1135</v>
      </c>
      <c r="D492" t="s">
        <v>1165</v>
      </c>
      <c r="E492" t="s">
        <v>389</v>
      </c>
      <c r="F492" t="s">
        <v>1327</v>
      </c>
      <c r="G492" s="381">
        <v>-0.6</v>
      </c>
      <c r="H492" s="381">
        <v>0.22</v>
      </c>
      <c r="I492" s="381">
        <v>45000.28</v>
      </c>
      <c r="J492" s="381">
        <v>-5004.5</v>
      </c>
      <c r="K492" s="381">
        <v>-84995.74</v>
      </c>
      <c r="L492" s="381">
        <v>0.22</v>
      </c>
      <c r="M492" s="381">
        <v>45000.28</v>
      </c>
      <c r="N492" s="381">
        <v>-5004.5</v>
      </c>
      <c r="O492" s="381">
        <v>0</v>
      </c>
      <c r="P492" s="381">
        <v>0</v>
      </c>
    </row>
    <row r="493" spans="1:16">
      <c r="A493" t="s">
        <v>2253</v>
      </c>
      <c r="B493" t="s">
        <v>2254</v>
      </c>
      <c r="C493" t="s">
        <v>1135</v>
      </c>
      <c r="D493" t="s">
        <v>1165</v>
      </c>
      <c r="E493" t="s">
        <v>639</v>
      </c>
      <c r="F493" t="s">
        <v>1138</v>
      </c>
      <c r="G493" s="381">
        <v>0</v>
      </c>
      <c r="H493" s="381"/>
      <c r="I493" s="381">
        <v>3879.27</v>
      </c>
      <c r="J493" s="381">
        <v>0</v>
      </c>
      <c r="K493" s="381">
        <v>0</v>
      </c>
      <c r="L493" s="381"/>
      <c r="M493" s="381">
        <v>3879.27</v>
      </c>
      <c r="N493" s="381">
        <v>0</v>
      </c>
      <c r="O493" s="381">
        <v>0</v>
      </c>
      <c r="P493" s="381">
        <v>0</v>
      </c>
    </row>
    <row r="494" spans="1:16">
      <c r="A494" t="s">
        <v>2603</v>
      </c>
      <c r="B494" t="s">
        <v>2604</v>
      </c>
      <c r="C494" t="s">
        <v>1135</v>
      </c>
      <c r="D494" t="s">
        <v>1165</v>
      </c>
      <c r="E494" t="s">
        <v>639</v>
      </c>
      <c r="F494" t="s">
        <v>1327</v>
      </c>
      <c r="G494" s="381">
        <v>-0.98</v>
      </c>
      <c r="H494" s="381">
        <v>-0.34</v>
      </c>
      <c r="I494" s="381">
        <v>-0.09</v>
      </c>
      <c r="J494" s="381">
        <v>0.63</v>
      </c>
      <c r="K494" s="381">
        <v>0.75</v>
      </c>
      <c r="L494" s="381">
        <v>-0.34</v>
      </c>
      <c r="M494" s="381">
        <v>-0.09</v>
      </c>
      <c r="N494" s="381">
        <v>0.63</v>
      </c>
      <c r="O494" s="381">
        <v>0</v>
      </c>
      <c r="P494" s="381">
        <v>0</v>
      </c>
    </row>
    <row r="495" spans="1:16">
      <c r="A495" t="s">
        <v>2726</v>
      </c>
      <c r="B495" t="s">
        <v>2727</v>
      </c>
      <c r="C495" t="s">
        <v>1345</v>
      </c>
      <c r="D495" t="s">
        <v>1481</v>
      </c>
      <c r="E495" t="s">
        <v>639</v>
      </c>
      <c r="F495" t="s">
        <v>818</v>
      </c>
      <c r="G495" s="381">
        <v>0</v>
      </c>
      <c r="H495" s="381"/>
      <c r="I495" s="381"/>
      <c r="J495" s="381">
        <v>6320.54</v>
      </c>
      <c r="K495" s="381">
        <v>0</v>
      </c>
      <c r="L495" s="381"/>
      <c r="M495" s="381"/>
      <c r="N495" s="381">
        <v>6320.54</v>
      </c>
      <c r="O495" s="381">
        <v>0</v>
      </c>
      <c r="P495" s="381">
        <v>0</v>
      </c>
    </row>
    <row r="496" spans="1:16">
      <c r="A496" t="s">
        <v>2061</v>
      </c>
      <c r="B496" t="s">
        <v>2062</v>
      </c>
      <c r="C496" t="s">
        <v>1345</v>
      </c>
      <c r="D496" t="s">
        <v>1481</v>
      </c>
      <c r="E496" t="s">
        <v>389</v>
      </c>
      <c r="F496" t="s">
        <v>1855</v>
      </c>
      <c r="G496" s="381">
        <v>1206</v>
      </c>
      <c r="H496" s="381">
        <v>1206</v>
      </c>
      <c r="I496" s="381">
        <v>1139</v>
      </c>
      <c r="J496" s="381">
        <v>1608</v>
      </c>
      <c r="K496" s="381">
        <v>1206</v>
      </c>
      <c r="L496" s="381">
        <v>1206</v>
      </c>
      <c r="M496" s="381">
        <v>1139</v>
      </c>
      <c r="N496" s="381">
        <v>1608</v>
      </c>
      <c r="O496" s="381">
        <v>1571</v>
      </c>
      <c r="P496" s="381">
        <v>1571</v>
      </c>
    </row>
    <row r="497" spans="1:16">
      <c r="A497" t="s">
        <v>1484</v>
      </c>
      <c r="B497" t="s">
        <v>1485</v>
      </c>
      <c r="C497" t="s">
        <v>1345</v>
      </c>
      <c r="D497" t="s">
        <v>1481</v>
      </c>
      <c r="E497" t="s">
        <v>49</v>
      </c>
      <c r="F497" t="s">
        <v>1486</v>
      </c>
      <c r="G497" s="381">
        <v>39011.32</v>
      </c>
      <c r="H497" s="381">
        <v>0</v>
      </c>
      <c r="I497" s="381">
        <v>0</v>
      </c>
      <c r="J497" s="381">
        <v>0</v>
      </c>
      <c r="K497" s="381">
        <v>42012.189999999995</v>
      </c>
      <c r="L497" s="381">
        <v>0</v>
      </c>
      <c r="M497" s="381">
        <v>0</v>
      </c>
      <c r="N497" s="381">
        <v>0</v>
      </c>
      <c r="O497" s="381">
        <v>35640</v>
      </c>
      <c r="P497" s="381">
        <v>35640</v>
      </c>
    </row>
    <row r="498" spans="1:16">
      <c r="A498" t="s">
        <v>1502</v>
      </c>
      <c r="B498" t="s">
        <v>1503</v>
      </c>
      <c r="C498" t="s">
        <v>1345</v>
      </c>
      <c r="D498" t="s">
        <v>1481</v>
      </c>
      <c r="E498" t="s">
        <v>49</v>
      </c>
      <c r="F498" t="s">
        <v>1504</v>
      </c>
      <c r="G498" s="381">
        <v>0</v>
      </c>
      <c r="H498" s="381"/>
      <c r="I498" s="381">
        <v>304987.09999999998</v>
      </c>
      <c r="J498" s="381">
        <v>-304987.09999999998</v>
      </c>
      <c r="K498" s="381">
        <v>0</v>
      </c>
      <c r="L498" s="381"/>
      <c r="M498" s="381">
        <v>304987.09999999998</v>
      </c>
      <c r="N498" s="381">
        <v>-304987.09999999998</v>
      </c>
      <c r="O498" s="381"/>
      <c r="P498" s="381"/>
    </row>
    <row r="499" spans="1:16">
      <c r="A499" t="s">
        <v>1506</v>
      </c>
      <c r="B499" t="s">
        <v>1507</v>
      </c>
      <c r="C499" t="s">
        <v>1345</v>
      </c>
      <c r="D499" t="s">
        <v>1481</v>
      </c>
      <c r="E499" t="s">
        <v>49</v>
      </c>
      <c r="F499" t="s">
        <v>1508</v>
      </c>
      <c r="G499" s="381">
        <v>0</v>
      </c>
      <c r="H499" s="381"/>
      <c r="I499" s="381">
        <v>331000</v>
      </c>
      <c r="J499" s="381">
        <v>-331000</v>
      </c>
      <c r="K499" s="381">
        <v>0</v>
      </c>
      <c r="L499" s="381"/>
      <c r="M499" s="381">
        <v>331000</v>
      </c>
      <c r="N499" s="381">
        <v>-331000</v>
      </c>
      <c r="O499" s="381"/>
      <c r="P499" s="381"/>
    </row>
    <row r="500" spans="1:16">
      <c r="A500" t="s">
        <v>1478</v>
      </c>
      <c r="B500" t="s">
        <v>1479</v>
      </c>
      <c r="C500" t="s">
        <v>1345</v>
      </c>
      <c r="D500" t="s">
        <v>1481</v>
      </c>
      <c r="E500" t="s">
        <v>49</v>
      </c>
      <c r="F500" t="s">
        <v>1147</v>
      </c>
      <c r="G500" s="381">
        <v>771452.00000000012</v>
      </c>
      <c r="H500" s="381">
        <v>279973</v>
      </c>
      <c r="I500" s="381">
        <v>-451174</v>
      </c>
      <c r="J500" s="381">
        <v>173459</v>
      </c>
      <c r="K500" s="381">
        <v>-143797.00000000006</v>
      </c>
      <c r="L500" s="381">
        <v>279973</v>
      </c>
      <c r="M500" s="381">
        <v>-451174</v>
      </c>
      <c r="N500" s="381">
        <v>173459</v>
      </c>
      <c r="O500" s="381">
        <v>771452</v>
      </c>
      <c r="P500" s="381">
        <v>-773710</v>
      </c>
    </row>
    <row r="501" spans="1:16">
      <c r="A501" t="s">
        <v>1511</v>
      </c>
      <c r="B501" t="s">
        <v>1512</v>
      </c>
      <c r="C501" t="s">
        <v>1345</v>
      </c>
      <c r="D501" t="s">
        <v>1481</v>
      </c>
      <c r="E501" t="s">
        <v>49</v>
      </c>
      <c r="F501" t="s">
        <v>1327</v>
      </c>
      <c r="G501" s="381">
        <v>-0.32</v>
      </c>
      <c r="H501" s="381"/>
      <c r="I501" s="381">
        <v>-0.1</v>
      </c>
      <c r="J501" s="381">
        <v>0.1</v>
      </c>
      <c r="K501" s="381">
        <v>0.81</v>
      </c>
      <c r="L501" s="381"/>
      <c r="M501" s="381">
        <v>-0.1</v>
      </c>
      <c r="N501" s="381">
        <v>0.1</v>
      </c>
      <c r="O501" s="381"/>
      <c r="P501" s="381"/>
    </row>
    <row r="502" spans="1:16">
      <c r="A502" t="s">
        <v>2047</v>
      </c>
      <c r="B502" t="s">
        <v>2048</v>
      </c>
      <c r="C502" t="s">
        <v>1345</v>
      </c>
      <c r="D502" t="s">
        <v>1481</v>
      </c>
      <c r="E502" t="s">
        <v>389</v>
      </c>
      <c r="F502" t="s">
        <v>1147</v>
      </c>
      <c r="G502" s="381">
        <v>180</v>
      </c>
      <c r="H502" s="381"/>
      <c r="I502" s="381">
        <v>2180</v>
      </c>
      <c r="J502" s="381">
        <v>180</v>
      </c>
      <c r="K502" s="381">
        <v>180</v>
      </c>
      <c r="L502" s="381"/>
      <c r="M502" s="381">
        <v>2180</v>
      </c>
      <c r="N502" s="381">
        <v>180</v>
      </c>
      <c r="O502" s="381">
        <v>0</v>
      </c>
      <c r="P502" s="381">
        <v>0</v>
      </c>
    </row>
    <row r="503" spans="1:16">
      <c r="A503" t="s">
        <v>2163</v>
      </c>
      <c r="B503" t="s">
        <v>2164</v>
      </c>
      <c r="C503" t="s">
        <v>1345</v>
      </c>
      <c r="D503" t="s">
        <v>1481</v>
      </c>
      <c r="E503" t="s">
        <v>602</v>
      </c>
      <c r="F503" t="s">
        <v>2165</v>
      </c>
      <c r="G503" s="381">
        <v>0</v>
      </c>
      <c r="H503" s="381"/>
      <c r="I503" s="381"/>
      <c r="J503" s="381"/>
      <c r="K503" s="381">
        <v>0</v>
      </c>
      <c r="L503" s="381"/>
      <c r="M503" s="381"/>
      <c r="N503" s="381"/>
      <c r="O503" s="381">
        <v>0</v>
      </c>
      <c r="P503" s="381">
        <v>0</v>
      </c>
    </row>
    <row r="504" spans="1:16">
      <c r="A504" t="s">
        <v>2728</v>
      </c>
      <c r="B504" t="s">
        <v>2729</v>
      </c>
      <c r="C504" t="s">
        <v>1345</v>
      </c>
      <c r="D504" t="s">
        <v>1481</v>
      </c>
      <c r="E504" t="s">
        <v>639</v>
      </c>
      <c r="F504" t="s">
        <v>1504</v>
      </c>
      <c r="G504" s="381">
        <v>0</v>
      </c>
      <c r="H504" s="381"/>
      <c r="I504" s="381"/>
      <c r="J504" s="381">
        <v>304987.09999999998</v>
      </c>
      <c r="K504" s="381">
        <v>0</v>
      </c>
      <c r="L504" s="381"/>
      <c r="M504" s="381"/>
      <c r="N504" s="381">
        <v>304987.09999999998</v>
      </c>
      <c r="O504" s="381">
        <v>0</v>
      </c>
      <c r="P504" s="381">
        <v>0</v>
      </c>
    </row>
    <row r="505" spans="1:16">
      <c r="A505" t="s">
        <v>2730</v>
      </c>
      <c r="B505" t="s">
        <v>2731</v>
      </c>
      <c r="C505" t="s">
        <v>1345</v>
      </c>
      <c r="D505" t="s">
        <v>1481</v>
      </c>
      <c r="E505" t="s">
        <v>639</v>
      </c>
      <c r="F505" t="s">
        <v>1508</v>
      </c>
      <c r="G505" s="381">
        <v>0</v>
      </c>
      <c r="H505" s="381"/>
      <c r="I505" s="381"/>
      <c r="J505" s="381">
        <v>331000</v>
      </c>
      <c r="K505" s="381">
        <v>0</v>
      </c>
      <c r="L505" s="381"/>
      <c r="M505" s="381"/>
      <c r="N505" s="381">
        <v>331000</v>
      </c>
      <c r="O505" s="381">
        <v>0</v>
      </c>
      <c r="P505" s="381">
        <v>0</v>
      </c>
    </row>
    <row r="506" spans="1:16">
      <c r="A506" t="s">
        <v>2732</v>
      </c>
      <c r="B506" t="s">
        <v>2733</v>
      </c>
      <c r="C506" t="s">
        <v>1345</v>
      </c>
      <c r="D506" t="s">
        <v>1481</v>
      </c>
      <c r="E506" t="s">
        <v>639</v>
      </c>
      <c r="F506" t="s">
        <v>2734</v>
      </c>
      <c r="G506" s="381">
        <v>0</v>
      </c>
      <c r="H506" s="381"/>
      <c r="I506" s="381"/>
      <c r="J506" s="381"/>
      <c r="K506" s="381">
        <v>0</v>
      </c>
      <c r="L506" s="381"/>
      <c r="M506" s="381"/>
      <c r="N506" s="381"/>
      <c r="O506" s="381">
        <v>0</v>
      </c>
      <c r="P506" s="381">
        <v>0</v>
      </c>
    </row>
    <row r="507" spans="1:16">
      <c r="A507" t="s">
        <v>2715</v>
      </c>
      <c r="B507" t="s">
        <v>2716</v>
      </c>
      <c r="C507" t="s">
        <v>1345</v>
      </c>
      <c r="D507" t="s">
        <v>1481</v>
      </c>
      <c r="E507" t="s">
        <v>639</v>
      </c>
      <c r="F507" t="s">
        <v>1147</v>
      </c>
      <c r="G507" s="381">
        <v>0</v>
      </c>
      <c r="H507" s="381"/>
      <c r="I507" s="381">
        <v>1520</v>
      </c>
      <c r="J507" s="381">
        <v>0</v>
      </c>
      <c r="K507" s="381">
        <v>0</v>
      </c>
      <c r="L507" s="381"/>
      <c r="M507" s="381">
        <v>1520</v>
      </c>
      <c r="N507" s="381">
        <v>0</v>
      </c>
      <c r="O507" s="381">
        <v>0</v>
      </c>
      <c r="P507" s="381">
        <v>0</v>
      </c>
    </row>
    <row r="508" spans="1:16">
      <c r="A508" t="s">
        <v>2741</v>
      </c>
      <c r="B508" t="s">
        <v>2742</v>
      </c>
      <c r="C508" t="s">
        <v>1345</v>
      </c>
      <c r="D508" t="s">
        <v>1481</v>
      </c>
      <c r="E508" t="s">
        <v>639</v>
      </c>
      <c r="F508" t="s">
        <v>1327</v>
      </c>
      <c r="G508" s="381">
        <v>0</v>
      </c>
      <c r="H508" s="381"/>
      <c r="I508" s="381"/>
      <c r="J508" s="381">
        <v>0.36</v>
      </c>
      <c r="K508" s="381">
        <v>0</v>
      </c>
      <c r="L508" s="381"/>
      <c r="M508" s="381"/>
      <c r="N508" s="381">
        <v>0.36</v>
      </c>
      <c r="O508" s="381">
        <v>0</v>
      </c>
      <c r="P508" s="381">
        <v>0</v>
      </c>
    </row>
    <row r="509" spans="1:16">
      <c r="A509" t="s">
        <v>1989</v>
      </c>
      <c r="B509" t="s">
        <v>1990</v>
      </c>
      <c r="C509" t="s">
        <v>1345</v>
      </c>
      <c r="D509" t="s">
        <v>1437</v>
      </c>
      <c r="E509" t="s">
        <v>389</v>
      </c>
      <c r="F509" t="s">
        <v>1991</v>
      </c>
      <c r="G509" s="381">
        <v>0</v>
      </c>
      <c r="H509" s="381"/>
      <c r="I509" s="381"/>
      <c r="J509" s="381"/>
      <c r="K509" s="381">
        <v>0</v>
      </c>
      <c r="L509" s="381"/>
      <c r="M509" s="381"/>
      <c r="N509" s="381"/>
      <c r="O509" s="381"/>
      <c r="P509" s="381"/>
    </row>
    <row r="510" spans="1:16">
      <c r="A510" t="s">
        <v>1994</v>
      </c>
      <c r="B510" t="s">
        <v>1995</v>
      </c>
      <c r="C510" t="s">
        <v>1345</v>
      </c>
      <c r="D510" t="s">
        <v>1437</v>
      </c>
      <c r="E510" t="s">
        <v>389</v>
      </c>
      <c r="F510" t="s">
        <v>1996</v>
      </c>
      <c r="G510" s="381">
        <v>0</v>
      </c>
      <c r="H510" s="381"/>
      <c r="I510" s="381"/>
      <c r="J510" s="381"/>
      <c r="K510" s="381">
        <v>0</v>
      </c>
      <c r="L510" s="381"/>
      <c r="M510" s="381"/>
      <c r="N510" s="381"/>
      <c r="O510" s="381"/>
      <c r="P510" s="381"/>
    </row>
    <row r="511" spans="1:16">
      <c r="A511" t="s">
        <v>1999</v>
      </c>
      <c r="B511" t="s">
        <v>2000</v>
      </c>
      <c r="C511" t="s">
        <v>1345</v>
      </c>
      <c r="D511" t="s">
        <v>1437</v>
      </c>
      <c r="E511" t="s">
        <v>389</v>
      </c>
      <c r="F511" t="s">
        <v>2001</v>
      </c>
      <c r="G511" s="381">
        <v>0</v>
      </c>
      <c r="H511" s="381"/>
      <c r="I511" s="381"/>
      <c r="J511" s="381"/>
      <c r="K511" s="381">
        <v>0</v>
      </c>
      <c r="L511" s="381"/>
      <c r="M511" s="381"/>
      <c r="N511" s="381"/>
      <c r="O511" s="381"/>
      <c r="P511" s="381"/>
    </row>
    <row r="512" spans="1:16">
      <c r="A512" t="s">
        <v>2652</v>
      </c>
      <c r="B512" t="s">
        <v>2653</v>
      </c>
      <c r="C512" t="s">
        <v>1345</v>
      </c>
      <c r="D512" t="s">
        <v>1437</v>
      </c>
      <c r="E512" t="s">
        <v>639</v>
      </c>
      <c r="F512" t="s">
        <v>2654</v>
      </c>
      <c r="G512" s="381">
        <v>0</v>
      </c>
      <c r="H512" s="381"/>
      <c r="I512" s="381"/>
      <c r="J512" s="381"/>
      <c r="K512" s="381">
        <v>0</v>
      </c>
      <c r="L512" s="381"/>
      <c r="M512" s="381"/>
      <c r="N512" s="381"/>
      <c r="O512" s="381"/>
      <c r="P512" s="381"/>
    </row>
    <row r="513" spans="1:16">
      <c r="A513" t="s">
        <v>2680</v>
      </c>
      <c r="B513" t="s">
        <v>2681</v>
      </c>
      <c r="C513" t="s">
        <v>1345</v>
      </c>
      <c r="D513" t="s">
        <v>1437</v>
      </c>
      <c r="E513" t="s">
        <v>639</v>
      </c>
      <c r="F513" t="s">
        <v>2682</v>
      </c>
      <c r="G513" s="381">
        <v>0</v>
      </c>
      <c r="H513" s="381"/>
      <c r="I513" s="381">
        <v>1216666.6599999999</v>
      </c>
      <c r="J513" s="381">
        <v>608333.32999999996</v>
      </c>
      <c r="K513" s="381">
        <v>1216666.6599999999</v>
      </c>
      <c r="L513" s="381"/>
      <c r="M513" s="381">
        <v>1216666.6599999999</v>
      </c>
      <c r="N513" s="381">
        <v>608333.32999999996</v>
      </c>
      <c r="O513" s="381">
        <v>0</v>
      </c>
      <c r="P513" s="381">
        <v>1216666.6599999999</v>
      </c>
    </row>
    <row r="514" spans="1:16">
      <c r="A514" t="s">
        <v>1435</v>
      </c>
      <c r="B514" t="s">
        <v>1436</v>
      </c>
      <c r="C514" t="s">
        <v>1345</v>
      </c>
      <c r="D514" t="s">
        <v>1437</v>
      </c>
      <c r="E514" t="s">
        <v>49</v>
      </c>
      <c r="F514" t="s">
        <v>1174</v>
      </c>
      <c r="G514" s="381">
        <v>0</v>
      </c>
      <c r="H514" s="381">
        <v>366.24</v>
      </c>
      <c r="I514" s="381">
        <v>0</v>
      </c>
      <c r="J514" s="381">
        <v>91.56</v>
      </c>
      <c r="K514" s="381">
        <v>0</v>
      </c>
      <c r="L514" s="381">
        <v>366.24</v>
      </c>
      <c r="M514" s="381">
        <v>0</v>
      </c>
      <c r="N514" s="381">
        <v>91.56</v>
      </c>
      <c r="O514" s="381">
        <v>2000</v>
      </c>
      <c r="P514" s="381">
        <v>2000</v>
      </c>
    </row>
    <row r="515" spans="1:16">
      <c r="A515" t="s">
        <v>2017</v>
      </c>
      <c r="B515" t="s">
        <v>2018</v>
      </c>
      <c r="C515" t="s">
        <v>1345</v>
      </c>
      <c r="D515" t="s">
        <v>1437</v>
      </c>
      <c r="E515" t="s">
        <v>389</v>
      </c>
      <c r="F515" t="s">
        <v>1878</v>
      </c>
      <c r="G515" s="381">
        <v>523.94000000000005</v>
      </c>
      <c r="H515" s="381">
        <v>521.38</v>
      </c>
      <c r="I515" s="381">
        <v>527.30999999999995</v>
      </c>
      <c r="J515" s="381">
        <v>-551.63</v>
      </c>
      <c r="K515" s="381">
        <v>21.2</v>
      </c>
      <c r="L515" s="381">
        <v>521.38</v>
      </c>
      <c r="M515" s="381">
        <v>527.30999999999995</v>
      </c>
      <c r="N515" s="381">
        <v>-551.63</v>
      </c>
      <c r="O515" s="381">
        <v>0</v>
      </c>
      <c r="P515" s="381">
        <v>0</v>
      </c>
    </row>
    <row r="516" spans="1:16">
      <c r="A516" t="s">
        <v>2022</v>
      </c>
      <c r="B516" t="s">
        <v>2023</v>
      </c>
      <c r="C516" t="s">
        <v>1345</v>
      </c>
      <c r="D516" t="s">
        <v>1437</v>
      </c>
      <c r="E516" t="s">
        <v>389</v>
      </c>
      <c r="F516" t="s">
        <v>1703</v>
      </c>
      <c r="G516" s="381">
        <v>6776.0599999999995</v>
      </c>
      <c r="H516" s="381">
        <v>2204.83</v>
      </c>
      <c r="I516" s="381">
        <v>2275.48</v>
      </c>
      <c r="J516" s="381">
        <v>2078.09</v>
      </c>
      <c r="K516" s="381">
        <v>5361.06</v>
      </c>
      <c r="L516" s="381">
        <v>2204.83</v>
      </c>
      <c r="M516" s="381">
        <v>2275.48</v>
      </c>
      <c r="N516" s="381">
        <v>2078.09</v>
      </c>
      <c r="O516" s="381">
        <v>2421.31</v>
      </c>
      <c r="P516" s="381">
        <v>2421.31</v>
      </c>
    </row>
    <row r="517" spans="1:16">
      <c r="A517" t="s">
        <v>2025</v>
      </c>
      <c r="B517" t="s">
        <v>2026</v>
      </c>
      <c r="C517" t="s">
        <v>1345</v>
      </c>
      <c r="D517" t="s">
        <v>1437</v>
      </c>
      <c r="E517" t="s">
        <v>389</v>
      </c>
      <c r="F517" t="s">
        <v>1855</v>
      </c>
      <c r="G517" s="381">
        <v>1287</v>
      </c>
      <c r="H517" s="381">
        <v>1636</v>
      </c>
      <c r="I517" s="381">
        <v>1153</v>
      </c>
      <c r="J517" s="381">
        <v>790</v>
      </c>
      <c r="K517" s="381">
        <v>1227</v>
      </c>
      <c r="L517" s="381">
        <v>1636</v>
      </c>
      <c r="M517" s="381">
        <v>1153</v>
      </c>
      <c r="N517" s="381">
        <v>790</v>
      </c>
      <c r="O517" s="381">
        <v>1900</v>
      </c>
      <c r="P517" s="381">
        <v>1900</v>
      </c>
    </row>
    <row r="518" spans="1:16">
      <c r="A518" t="s">
        <v>2027</v>
      </c>
      <c r="B518" t="s">
        <v>2028</v>
      </c>
      <c r="C518" t="s">
        <v>1345</v>
      </c>
      <c r="D518" t="s">
        <v>1437</v>
      </c>
      <c r="E518" t="s">
        <v>389</v>
      </c>
      <c r="F518" t="s">
        <v>2029</v>
      </c>
      <c r="G518" s="381">
        <v>0</v>
      </c>
      <c r="H518" s="381"/>
      <c r="I518" s="381"/>
      <c r="J518" s="381">
        <v>1048.69</v>
      </c>
      <c r="K518" s="381">
        <v>0</v>
      </c>
      <c r="L518" s="381"/>
      <c r="M518" s="381"/>
      <c r="N518" s="381">
        <v>1048.69</v>
      </c>
      <c r="O518" s="381">
        <v>550</v>
      </c>
      <c r="P518" s="381">
        <v>550</v>
      </c>
    </row>
    <row r="519" spans="1:16">
      <c r="A519" t="s">
        <v>2012</v>
      </c>
      <c r="B519" t="s">
        <v>2013</v>
      </c>
      <c r="C519" t="s">
        <v>1345</v>
      </c>
      <c r="D519" t="s">
        <v>1437</v>
      </c>
      <c r="E519" t="s">
        <v>389</v>
      </c>
      <c r="F519" t="s">
        <v>1174</v>
      </c>
      <c r="G519" s="381">
        <v>3971.33</v>
      </c>
      <c r="H519" s="381">
        <v>3349.03</v>
      </c>
      <c r="I519" s="381">
        <v>3352.38</v>
      </c>
      <c r="J519" s="381">
        <v>4061.62</v>
      </c>
      <c r="K519" s="381">
        <v>5537.35</v>
      </c>
      <c r="L519" s="381">
        <v>3349.03</v>
      </c>
      <c r="M519" s="381">
        <v>3352.38</v>
      </c>
      <c r="N519" s="381">
        <v>4061.62</v>
      </c>
      <c r="O519" s="381">
        <v>5691</v>
      </c>
      <c r="P519" s="381">
        <v>5691</v>
      </c>
    </row>
    <row r="520" spans="1:16">
      <c r="A520" t="s">
        <v>2677</v>
      </c>
      <c r="B520" t="s">
        <v>2678</v>
      </c>
      <c r="C520" t="s">
        <v>1345</v>
      </c>
      <c r="D520" t="s">
        <v>1437</v>
      </c>
      <c r="E520" t="s">
        <v>639</v>
      </c>
      <c r="F520" t="s">
        <v>2274</v>
      </c>
      <c r="G520" s="381">
        <v>1541.65</v>
      </c>
      <c r="H520" s="381">
        <v>1541.65</v>
      </c>
      <c r="I520" s="381">
        <v>0</v>
      </c>
      <c r="J520" s="381">
        <v>1541.65</v>
      </c>
      <c r="K520" s="381">
        <v>1541.65</v>
      </c>
      <c r="L520" s="381">
        <v>1541.65</v>
      </c>
      <c r="M520" s="381">
        <v>0</v>
      </c>
      <c r="N520" s="381">
        <v>1541.65</v>
      </c>
      <c r="O520" s="381">
        <v>1541.65</v>
      </c>
      <c r="P520" s="381">
        <v>1541.65</v>
      </c>
    </row>
    <row r="521" spans="1:16">
      <c r="A521" t="s">
        <v>2669</v>
      </c>
      <c r="B521" t="s">
        <v>2670</v>
      </c>
      <c r="C521" t="s">
        <v>1345</v>
      </c>
      <c r="D521" t="s">
        <v>1437</v>
      </c>
      <c r="E521" t="s">
        <v>639</v>
      </c>
      <c r="F521" t="s">
        <v>1174</v>
      </c>
      <c r="G521" s="381">
        <v>1816.49</v>
      </c>
      <c r="H521" s="381">
        <v>1816.49</v>
      </c>
      <c r="I521" s="381">
        <v>1816.49</v>
      </c>
      <c r="J521" s="381">
        <v>5846.49</v>
      </c>
      <c r="K521" s="381">
        <v>1816.49</v>
      </c>
      <c r="L521" s="381">
        <v>1816.49</v>
      </c>
      <c r="M521" s="381">
        <v>1816.49</v>
      </c>
      <c r="N521" s="381">
        <v>5846.49</v>
      </c>
      <c r="O521" s="381">
        <v>1956.22</v>
      </c>
      <c r="P521" s="381">
        <v>1956.22</v>
      </c>
    </row>
    <row r="522" spans="1:16">
      <c r="A522" t="s">
        <v>1445</v>
      </c>
      <c r="B522" t="s">
        <v>1446</v>
      </c>
      <c r="C522" t="s">
        <v>1345</v>
      </c>
      <c r="D522" t="s">
        <v>1437</v>
      </c>
      <c r="E522" t="s">
        <v>49</v>
      </c>
      <c r="F522" t="s">
        <v>1327</v>
      </c>
      <c r="G522" s="381">
        <v>0</v>
      </c>
      <c r="H522" s="381">
        <v>-0.1</v>
      </c>
      <c r="I522" s="381">
        <v>0</v>
      </c>
      <c r="J522" s="381">
        <v>0.44</v>
      </c>
      <c r="K522" s="381">
        <v>0</v>
      </c>
      <c r="L522" s="381">
        <v>-0.1</v>
      </c>
      <c r="M522" s="381">
        <v>0</v>
      </c>
      <c r="N522" s="381">
        <v>0.44</v>
      </c>
      <c r="O522" s="381">
        <v>0</v>
      </c>
      <c r="P522" s="381">
        <v>0</v>
      </c>
    </row>
    <row r="523" spans="1:16">
      <c r="A523" t="s">
        <v>1447</v>
      </c>
      <c r="B523" t="s">
        <v>1448</v>
      </c>
      <c r="C523" t="s">
        <v>1345</v>
      </c>
      <c r="D523" t="s">
        <v>1437</v>
      </c>
      <c r="E523" t="s">
        <v>49</v>
      </c>
      <c r="F523" t="s">
        <v>1340</v>
      </c>
      <c r="G523" s="381">
        <v>0</v>
      </c>
      <c r="H523" s="381">
        <v>-4133.1400000000003</v>
      </c>
      <c r="I523" s="381">
        <v>0</v>
      </c>
      <c r="J523" s="381">
        <v>0</v>
      </c>
      <c r="K523" s="381">
        <v>0</v>
      </c>
      <c r="L523" s="381">
        <v>-4133.1400000000003</v>
      </c>
      <c r="M523" s="381">
        <v>0</v>
      </c>
      <c r="N523" s="381">
        <v>0</v>
      </c>
      <c r="O523" s="381">
        <v>0</v>
      </c>
      <c r="P523" s="381">
        <v>0</v>
      </c>
    </row>
    <row r="524" spans="1:16">
      <c r="A524" t="s">
        <v>2033</v>
      </c>
      <c r="B524" t="s">
        <v>2034</v>
      </c>
      <c r="C524" t="s">
        <v>1345</v>
      </c>
      <c r="D524" t="s">
        <v>1437</v>
      </c>
      <c r="E524" t="s">
        <v>389</v>
      </c>
      <c r="F524" t="s">
        <v>1327</v>
      </c>
      <c r="G524" s="381">
        <v>0.67</v>
      </c>
      <c r="H524" s="381">
        <v>-0.24</v>
      </c>
      <c r="I524" s="381">
        <v>-0.17</v>
      </c>
      <c r="J524" s="381">
        <v>0.23</v>
      </c>
      <c r="K524" s="381">
        <v>-0.61</v>
      </c>
      <c r="L524" s="381">
        <v>-0.24</v>
      </c>
      <c r="M524" s="381">
        <v>-0.17</v>
      </c>
      <c r="N524" s="381">
        <v>0.23</v>
      </c>
      <c r="O524" s="381">
        <v>0</v>
      </c>
      <c r="P524" s="381">
        <v>0</v>
      </c>
    </row>
    <row r="525" spans="1:16">
      <c r="A525" t="s">
        <v>2671</v>
      </c>
      <c r="B525" t="s">
        <v>2672</v>
      </c>
      <c r="C525" t="s">
        <v>1345</v>
      </c>
      <c r="D525" t="s">
        <v>1437</v>
      </c>
      <c r="E525" t="s">
        <v>639</v>
      </c>
      <c r="F525" t="s">
        <v>2673</v>
      </c>
      <c r="G525" s="381">
        <v>139.72999999999999</v>
      </c>
      <c r="H525" s="381">
        <v>139.72999999999999</v>
      </c>
      <c r="I525" s="381">
        <v>139.72999999999999</v>
      </c>
      <c r="J525" s="381">
        <v>449.73</v>
      </c>
      <c r="K525" s="381">
        <v>139.72999999999999</v>
      </c>
      <c r="L525" s="381">
        <v>139.72999999999999</v>
      </c>
      <c r="M525" s="381">
        <v>139.72999999999999</v>
      </c>
      <c r="N525" s="381">
        <v>449.73</v>
      </c>
      <c r="O525" s="381">
        <v>0</v>
      </c>
      <c r="P525" s="381">
        <v>0</v>
      </c>
    </row>
    <row r="526" spans="1:16">
      <c r="A526" t="s">
        <v>2665</v>
      </c>
      <c r="B526" t="s">
        <v>2666</v>
      </c>
      <c r="C526" t="s">
        <v>1345</v>
      </c>
      <c r="D526" t="s">
        <v>1437</v>
      </c>
      <c r="E526" t="s">
        <v>639</v>
      </c>
      <c r="F526" t="s">
        <v>1138</v>
      </c>
      <c r="G526" s="381">
        <v>0</v>
      </c>
      <c r="H526" s="381"/>
      <c r="I526" s="381">
        <v>431.03</v>
      </c>
      <c r="J526" s="381">
        <v>0</v>
      </c>
      <c r="K526" s="381">
        <v>0</v>
      </c>
      <c r="L526" s="381"/>
      <c r="M526" s="381">
        <v>431.03</v>
      </c>
      <c r="N526" s="381">
        <v>0</v>
      </c>
      <c r="O526" s="381">
        <v>0</v>
      </c>
      <c r="P526" s="381">
        <v>0</v>
      </c>
    </row>
    <row r="527" spans="1:16">
      <c r="A527" t="s">
        <v>2700</v>
      </c>
      <c r="B527" t="s">
        <v>2701</v>
      </c>
      <c r="C527" t="s">
        <v>1345</v>
      </c>
      <c r="D527" t="s">
        <v>1437</v>
      </c>
      <c r="E527" t="s">
        <v>639</v>
      </c>
      <c r="F527" t="s">
        <v>1327</v>
      </c>
      <c r="G527" s="381">
        <v>0.13</v>
      </c>
      <c r="H527" s="381">
        <v>0.13</v>
      </c>
      <c r="I527" s="381">
        <v>0.09</v>
      </c>
      <c r="J527" s="381">
        <v>-0.2</v>
      </c>
      <c r="K527" s="381">
        <v>-0.53</v>
      </c>
      <c r="L527" s="381">
        <v>0.13</v>
      </c>
      <c r="M527" s="381">
        <v>0.09</v>
      </c>
      <c r="N527" s="381">
        <v>-0.2</v>
      </c>
      <c r="O527" s="381">
        <v>0</v>
      </c>
      <c r="P527" s="381">
        <v>0</v>
      </c>
    </row>
    <row r="528" spans="1:16">
      <c r="A528" t="s">
        <v>2019</v>
      </c>
      <c r="B528" t="s">
        <v>529</v>
      </c>
      <c r="C528" t="s">
        <v>1345</v>
      </c>
      <c r="D528" t="s">
        <v>1345</v>
      </c>
      <c r="E528" t="s">
        <v>389</v>
      </c>
      <c r="F528" t="s">
        <v>2020</v>
      </c>
      <c r="G528" s="381">
        <v>0</v>
      </c>
      <c r="H528" s="381"/>
      <c r="I528" s="381"/>
      <c r="J528" s="381"/>
      <c r="K528" s="381">
        <v>0</v>
      </c>
      <c r="L528" s="381"/>
      <c r="M528" s="381"/>
      <c r="N528" s="381"/>
      <c r="O528" s="381"/>
      <c r="P528" s="381">
        <v>13000</v>
      </c>
    </row>
    <row r="529" spans="1:16">
      <c r="A529" t="s">
        <v>2099</v>
      </c>
      <c r="B529" t="s">
        <v>2100</v>
      </c>
      <c r="C529" t="s">
        <v>1345</v>
      </c>
      <c r="D529" t="s">
        <v>1346</v>
      </c>
      <c r="E529" t="s">
        <v>389</v>
      </c>
      <c r="F529" t="s">
        <v>2101</v>
      </c>
      <c r="G529" s="381">
        <v>0</v>
      </c>
      <c r="H529" s="381"/>
      <c r="I529" s="381"/>
      <c r="J529" s="381"/>
      <c r="K529" s="381">
        <v>0</v>
      </c>
      <c r="L529" s="381"/>
      <c r="M529" s="381"/>
      <c r="N529" s="381"/>
      <c r="O529" s="381">
        <v>0</v>
      </c>
      <c r="P529" s="381">
        <v>0</v>
      </c>
    </row>
    <row r="530" spans="1:16">
      <c r="A530" t="s">
        <v>1235</v>
      </c>
      <c r="B530" t="s">
        <v>88</v>
      </c>
      <c r="C530" t="s">
        <v>1135</v>
      </c>
      <c r="D530" t="s">
        <v>1135</v>
      </c>
      <c r="E530" t="s">
        <v>49</v>
      </c>
      <c r="F530" t="s">
        <v>1236</v>
      </c>
      <c r="G530" s="381">
        <v>0</v>
      </c>
      <c r="H530" s="381"/>
      <c r="I530" s="381"/>
      <c r="J530" s="381"/>
      <c r="K530" s="381">
        <v>0</v>
      </c>
      <c r="L530" s="381"/>
      <c r="M530" s="381"/>
      <c r="N530" s="381"/>
      <c r="O530" s="381">
        <v>0</v>
      </c>
      <c r="P530" s="381">
        <v>0</v>
      </c>
    </row>
    <row r="531" spans="1:16">
      <c r="A531" t="s">
        <v>1237</v>
      </c>
      <c r="B531" t="s">
        <v>90</v>
      </c>
      <c r="C531" t="s">
        <v>1135</v>
      </c>
      <c r="D531" t="s">
        <v>1135</v>
      </c>
      <c r="E531" t="s">
        <v>49</v>
      </c>
      <c r="F531" t="s">
        <v>1238</v>
      </c>
      <c r="G531" s="381">
        <v>0</v>
      </c>
      <c r="H531" s="381"/>
      <c r="I531" s="381"/>
      <c r="J531" s="381"/>
      <c r="K531" s="381">
        <v>0</v>
      </c>
      <c r="L531" s="381"/>
      <c r="M531" s="381"/>
      <c r="N531" s="381"/>
      <c r="O531" s="381">
        <v>0</v>
      </c>
      <c r="P531" s="381">
        <v>0</v>
      </c>
    </row>
    <row r="532" spans="1:16">
      <c r="A532" t="s">
        <v>1239</v>
      </c>
      <c r="B532" t="s">
        <v>92</v>
      </c>
      <c r="C532" t="s">
        <v>1135</v>
      </c>
      <c r="D532" t="s">
        <v>1135</v>
      </c>
      <c r="E532" t="s">
        <v>49</v>
      </c>
      <c r="F532" t="s">
        <v>1240</v>
      </c>
      <c r="G532" s="381">
        <v>0</v>
      </c>
      <c r="H532" s="381"/>
      <c r="I532" s="381"/>
      <c r="J532" s="381"/>
      <c r="K532" s="381">
        <v>0</v>
      </c>
      <c r="L532" s="381"/>
      <c r="M532" s="381"/>
      <c r="N532" s="381"/>
      <c r="O532" s="381">
        <v>0</v>
      </c>
      <c r="P532" s="381">
        <v>0</v>
      </c>
    </row>
    <row r="533" spans="1:16">
      <c r="A533" t="s">
        <v>1241</v>
      </c>
      <c r="B533" t="s">
        <v>94</v>
      </c>
      <c r="C533" t="s">
        <v>1135</v>
      </c>
      <c r="D533" t="s">
        <v>1135</v>
      </c>
      <c r="E533" t="s">
        <v>49</v>
      </c>
      <c r="F533" t="s">
        <v>1242</v>
      </c>
      <c r="G533" s="381">
        <v>0</v>
      </c>
      <c r="H533" s="381"/>
      <c r="I533" s="381"/>
      <c r="J533" s="381"/>
      <c r="K533" s="381">
        <v>0</v>
      </c>
      <c r="L533" s="381"/>
      <c r="M533" s="381"/>
      <c r="N533" s="381"/>
      <c r="O533" s="381">
        <v>0</v>
      </c>
      <c r="P533" s="381">
        <v>0</v>
      </c>
    </row>
    <row r="534" spans="1:16">
      <c r="A534" t="s">
        <v>1318</v>
      </c>
      <c r="B534" t="s">
        <v>144</v>
      </c>
      <c r="C534" t="s">
        <v>1135</v>
      </c>
      <c r="D534" t="s">
        <v>1135</v>
      </c>
      <c r="E534" t="s">
        <v>49</v>
      </c>
      <c r="F534" t="s">
        <v>1319</v>
      </c>
      <c r="G534" s="381">
        <v>0</v>
      </c>
      <c r="H534" s="381"/>
      <c r="I534" s="381"/>
      <c r="J534" s="381"/>
      <c r="K534" s="381">
        <v>0</v>
      </c>
      <c r="L534" s="381"/>
      <c r="M534" s="381"/>
      <c r="N534" s="381"/>
      <c r="O534" s="381">
        <v>0</v>
      </c>
      <c r="P534" s="381">
        <v>0</v>
      </c>
    </row>
    <row r="535" spans="1:16">
      <c r="A535" t="s">
        <v>1777</v>
      </c>
      <c r="B535" t="s">
        <v>406</v>
      </c>
      <c r="C535" t="s">
        <v>1135</v>
      </c>
      <c r="D535" t="s">
        <v>1135</v>
      </c>
      <c r="E535" t="s">
        <v>389</v>
      </c>
      <c r="F535" t="s">
        <v>1778</v>
      </c>
      <c r="G535" s="381">
        <v>0</v>
      </c>
      <c r="H535" s="381"/>
      <c r="I535" s="381"/>
      <c r="J535" s="381"/>
      <c r="K535" s="381">
        <v>0</v>
      </c>
      <c r="L535" s="381"/>
      <c r="M535" s="381"/>
      <c r="N535" s="381"/>
      <c r="O535" s="381">
        <v>-3333.33</v>
      </c>
      <c r="P535" s="381">
        <v>-3333.33</v>
      </c>
    </row>
    <row r="536" spans="1:16">
      <c r="A536" t="s">
        <v>2341</v>
      </c>
      <c r="B536" t="s">
        <v>705</v>
      </c>
      <c r="C536" t="s">
        <v>1135</v>
      </c>
      <c r="D536" t="s">
        <v>1135</v>
      </c>
      <c r="E536" t="s">
        <v>639</v>
      </c>
      <c r="F536" t="s">
        <v>2342</v>
      </c>
      <c r="G536" s="381">
        <v>0</v>
      </c>
      <c r="H536" s="381"/>
      <c r="I536" s="381"/>
      <c r="J536" s="381"/>
      <c r="K536" s="381">
        <v>0</v>
      </c>
      <c r="L536" s="381"/>
      <c r="M536" s="381"/>
      <c r="N536" s="381"/>
      <c r="O536" s="381">
        <v>0</v>
      </c>
      <c r="P536" s="381">
        <v>0</v>
      </c>
    </row>
    <row r="537" spans="1:16">
      <c r="A537" t="s">
        <v>2345</v>
      </c>
      <c r="B537" t="s">
        <v>708</v>
      </c>
      <c r="C537" t="s">
        <v>1135</v>
      </c>
      <c r="D537" t="s">
        <v>1135</v>
      </c>
      <c r="E537" t="s">
        <v>639</v>
      </c>
      <c r="F537" t="s">
        <v>2346</v>
      </c>
      <c r="G537" s="381">
        <v>0</v>
      </c>
      <c r="H537" s="381"/>
      <c r="I537" s="381"/>
      <c r="J537" s="381"/>
      <c r="K537" s="381">
        <v>0</v>
      </c>
      <c r="L537" s="381"/>
      <c r="M537" s="381"/>
      <c r="N537" s="381"/>
      <c r="O537" s="381">
        <v>0</v>
      </c>
      <c r="P537" s="381">
        <v>0</v>
      </c>
    </row>
    <row r="538" spans="1:16">
      <c r="A538" t="s">
        <v>2347</v>
      </c>
      <c r="B538" t="s">
        <v>710</v>
      </c>
      <c r="C538" t="s">
        <v>1135</v>
      </c>
      <c r="D538" t="s">
        <v>1135</v>
      </c>
      <c r="E538" t="s">
        <v>639</v>
      </c>
      <c r="F538" t="s">
        <v>2348</v>
      </c>
      <c r="G538" s="381">
        <v>0</v>
      </c>
      <c r="H538" s="381"/>
      <c r="I538" s="381"/>
      <c r="J538" s="381"/>
      <c r="K538" s="381">
        <v>0</v>
      </c>
      <c r="L538" s="381"/>
      <c r="M538" s="381"/>
      <c r="N538" s="381"/>
      <c r="O538" s="381">
        <v>0</v>
      </c>
      <c r="P538" s="381">
        <v>0</v>
      </c>
    </row>
    <row r="539" spans="1:16">
      <c r="A539" t="s">
        <v>2349</v>
      </c>
      <c r="B539" t="s">
        <v>712</v>
      </c>
      <c r="C539" t="s">
        <v>1135</v>
      </c>
      <c r="D539" t="s">
        <v>1135</v>
      </c>
      <c r="E539" t="s">
        <v>639</v>
      </c>
      <c r="F539" t="s">
        <v>2350</v>
      </c>
      <c r="G539" s="381">
        <v>0</v>
      </c>
      <c r="H539" s="381"/>
      <c r="I539" s="381"/>
      <c r="J539" s="381"/>
      <c r="K539" s="381">
        <v>0</v>
      </c>
      <c r="L539" s="381"/>
      <c r="M539" s="381"/>
      <c r="N539" s="381"/>
      <c r="O539" s="381">
        <v>0</v>
      </c>
      <c r="P539" s="381">
        <v>0</v>
      </c>
    </row>
    <row r="540" spans="1:16">
      <c r="A540" t="s">
        <v>2351</v>
      </c>
      <c r="B540" t="s">
        <v>714</v>
      </c>
      <c r="C540" t="s">
        <v>1135</v>
      </c>
      <c r="D540" t="s">
        <v>1135</v>
      </c>
      <c r="E540" t="s">
        <v>639</v>
      </c>
      <c r="F540" t="s">
        <v>2352</v>
      </c>
      <c r="G540" s="381">
        <v>0</v>
      </c>
      <c r="H540" s="381"/>
      <c r="I540" s="381"/>
      <c r="J540" s="381"/>
      <c r="K540" s="381">
        <v>0</v>
      </c>
      <c r="L540" s="381"/>
      <c r="M540" s="381"/>
      <c r="N540" s="381"/>
      <c r="O540" s="381">
        <v>0</v>
      </c>
      <c r="P540" s="381">
        <v>0</v>
      </c>
    </row>
    <row r="541" spans="1:16">
      <c r="A541" t="s">
        <v>2353</v>
      </c>
      <c r="B541" t="s">
        <v>716</v>
      </c>
      <c r="C541" t="s">
        <v>1135</v>
      </c>
      <c r="D541" t="s">
        <v>1135</v>
      </c>
      <c r="E541" t="s">
        <v>639</v>
      </c>
      <c r="F541" t="s">
        <v>2354</v>
      </c>
      <c r="G541" s="381">
        <v>0</v>
      </c>
      <c r="H541" s="381"/>
      <c r="I541" s="381"/>
      <c r="J541" s="381"/>
      <c r="K541" s="381">
        <v>0</v>
      </c>
      <c r="L541" s="381"/>
      <c r="M541" s="381"/>
      <c r="N541" s="381"/>
      <c r="O541" s="381">
        <v>0</v>
      </c>
      <c r="P541" s="381">
        <v>0</v>
      </c>
    </row>
    <row r="542" spans="1:16">
      <c r="A542" t="s">
        <v>2355</v>
      </c>
      <c r="B542" t="s">
        <v>718</v>
      </c>
      <c r="C542" t="s">
        <v>1135</v>
      </c>
      <c r="D542" t="s">
        <v>1135</v>
      </c>
      <c r="E542" t="s">
        <v>639</v>
      </c>
      <c r="F542" t="s">
        <v>2356</v>
      </c>
      <c r="G542" s="381">
        <v>0</v>
      </c>
      <c r="H542" s="381"/>
      <c r="I542" s="381"/>
      <c r="J542" s="381"/>
      <c r="K542" s="381">
        <v>0</v>
      </c>
      <c r="L542" s="381"/>
      <c r="M542" s="381"/>
      <c r="N542" s="381"/>
      <c r="O542" s="381">
        <v>0</v>
      </c>
      <c r="P542" s="381">
        <v>0</v>
      </c>
    </row>
    <row r="543" spans="1:16">
      <c r="A543" t="s">
        <v>2357</v>
      </c>
      <c r="B543" t="s">
        <v>720</v>
      </c>
      <c r="C543" t="s">
        <v>1135</v>
      </c>
      <c r="D543" t="s">
        <v>1135</v>
      </c>
      <c r="E543" t="s">
        <v>639</v>
      </c>
      <c r="F543" t="s">
        <v>2358</v>
      </c>
      <c r="G543" s="381">
        <v>0</v>
      </c>
      <c r="H543" s="381"/>
      <c r="I543" s="381"/>
      <c r="J543" s="381"/>
      <c r="K543" s="381">
        <v>0</v>
      </c>
      <c r="L543" s="381"/>
      <c r="M543" s="381"/>
      <c r="N543" s="381"/>
      <c r="O543" s="381">
        <v>0</v>
      </c>
      <c r="P543" s="381">
        <v>0</v>
      </c>
    </row>
    <row r="544" spans="1:16">
      <c r="A544" t="s">
        <v>2359</v>
      </c>
      <c r="B544" t="s">
        <v>722</v>
      </c>
      <c r="C544" t="s">
        <v>1135</v>
      </c>
      <c r="D544" t="s">
        <v>1135</v>
      </c>
      <c r="E544" t="s">
        <v>639</v>
      </c>
      <c r="F544" t="s">
        <v>2360</v>
      </c>
      <c r="G544" s="381">
        <v>0</v>
      </c>
      <c r="H544" s="381"/>
      <c r="I544" s="381"/>
      <c r="J544" s="381"/>
      <c r="K544" s="381">
        <v>0</v>
      </c>
      <c r="L544" s="381"/>
      <c r="M544" s="381"/>
      <c r="N544" s="381"/>
      <c r="O544" s="381">
        <v>0</v>
      </c>
      <c r="P544" s="381">
        <v>0</v>
      </c>
    </row>
    <row r="545" spans="1:16">
      <c r="A545" t="s">
        <v>2361</v>
      </c>
      <c r="B545" t="s">
        <v>724</v>
      </c>
      <c r="C545" t="s">
        <v>1135</v>
      </c>
      <c r="D545" t="s">
        <v>1135</v>
      </c>
      <c r="E545" t="s">
        <v>639</v>
      </c>
      <c r="F545" t="s">
        <v>2362</v>
      </c>
      <c r="G545" s="381">
        <v>0</v>
      </c>
      <c r="H545" s="381"/>
      <c r="I545" s="381"/>
      <c r="J545" s="381"/>
      <c r="K545" s="381">
        <v>0</v>
      </c>
      <c r="L545" s="381"/>
      <c r="M545" s="381"/>
      <c r="N545" s="381"/>
      <c r="O545" s="381">
        <v>0</v>
      </c>
      <c r="P545" s="381">
        <v>0</v>
      </c>
    </row>
    <row r="546" spans="1:16">
      <c r="A546" t="s">
        <v>2363</v>
      </c>
      <c r="B546" t="s">
        <v>726</v>
      </c>
      <c r="C546" t="s">
        <v>1135</v>
      </c>
      <c r="D546" t="s">
        <v>1135</v>
      </c>
      <c r="E546" t="s">
        <v>639</v>
      </c>
      <c r="F546" t="s">
        <v>2364</v>
      </c>
      <c r="G546" s="381">
        <v>0</v>
      </c>
      <c r="H546" s="381"/>
      <c r="I546" s="381"/>
      <c r="J546" s="381"/>
      <c r="K546" s="381">
        <v>0</v>
      </c>
      <c r="L546" s="381"/>
      <c r="M546" s="381"/>
      <c r="N546" s="381"/>
      <c r="O546" s="381">
        <v>0</v>
      </c>
      <c r="P546" s="381">
        <v>0</v>
      </c>
    </row>
    <row r="547" spans="1:16">
      <c r="A547" t="s">
        <v>2365</v>
      </c>
      <c r="B547" t="s">
        <v>728</v>
      </c>
      <c r="C547" t="s">
        <v>1135</v>
      </c>
      <c r="D547" t="s">
        <v>1135</v>
      </c>
      <c r="E547" t="s">
        <v>639</v>
      </c>
      <c r="F547" t="s">
        <v>2366</v>
      </c>
      <c r="G547" s="381">
        <v>0</v>
      </c>
      <c r="H547" s="381"/>
      <c r="I547" s="381"/>
      <c r="J547" s="381"/>
      <c r="K547" s="381">
        <v>0</v>
      </c>
      <c r="L547" s="381"/>
      <c r="M547" s="381"/>
      <c r="N547" s="381"/>
      <c r="O547" s="381">
        <v>0</v>
      </c>
      <c r="P547" s="381">
        <v>0</v>
      </c>
    </row>
    <row r="548" spans="1:16">
      <c r="A548" t="s">
        <v>2367</v>
      </c>
      <c r="B548" t="s">
        <v>730</v>
      </c>
      <c r="C548" t="s">
        <v>1135</v>
      </c>
      <c r="D548" t="s">
        <v>1135</v>
      </c>
      <c r="E548" t="s">
        <v>639</v>
      </c>
      <c r="F548" t="s">
        <v>2368</v>
      </c>
      <c r="G548" s="381">
        <v>0</v>
      </c>
      <c r="H548" s="381"/>
      <c r="I548" s="381"/>
      <c r="J548" s="381"/>
      <c r="K548" s="381">
        <v>0</v>
      </c>
      <c r="L548" s="381"/>
      <c r="M548" s="381"/>
      <c r="N548" s="381"/>
      <c r="O548" s="381">
        <v>0</v>
      </c>
      <c r="P548" s="381">
        <v>0</v>
      </c>
    </row>
    <row r="549" spans="1:16">
      <c r="A549" t="s">
        <v>2369</v>
      </c>
      <c r="B549" t="s">
        <v>732</v>
      </c>
      <c r="C549" t="s">
        <v>1135</v>
      </c>
      <c r="D549" t="s">
        <v>1135</v>
      </c>
      <c r="E549" t="s">
        <v>639</v>
      </c>
      <c r="F549" t="s">
        <v>2370</v>
      </c>
      <c r="G549" s="381">
        <v>0</v>
      </c>
      <c r="H549" s="381"/>
      <c r="I549" s="381"/>
      <c r="J549" s="381"/>
      <c r="K549" s="381">
        <v>0</v>
      </c>
      <c r="L549" s="381"/>
      <c r="M549" s="381"/>
      <c r="N549" s="381"/>
      <c r="O549" s="381">
        <v>0</v>
      </c>
      <c r="P549" s="381">
        <v>0</v>
      </c>
    </row>
    <row r="550" spans="1:16">
      <c r="A550" t="s">
        <v>2371</v>
      </c>
      <c r="B550" t="s">
        <v>734</v>
      </c>
      <c r="C550" t="s">
        <v>1135</v>
      </c>
      <c r="D550" t="s">
        <v>1135</v>
      </c>
      <c r="E550" t="s">
        <v>639</v>
      </c>
      <c r="F550" t="s">
        <v>2372</v>
      </c>
      <c r="G550" s="381">
        <v>0</v>
      </c>
      <c r="H550" s="381"/>
      <c r="I550" s="381"/>
      <c r="J550" s="381"/>
      <c r="K550" s="381">
        <v>0</v>
      </c>
      <c r="L550" s="381"/>
      <c r="M550" s="381"/>
      <c r="N550" s="381"/>
      <c r="O550" s="381">
        <v>0</v>
      </c>
      <c r="P550" s="381">
        <v>0</v>
      </c>
    </row>
    <row r="551" spans="1:16">
      <c r="A551" t="s">
        <v>2373</v>
      </c>
      <c r="B551" t="s">
        <v>736</v>
      </c>
      <c r="C551" t="s">
        <v>1135</v>
      </c>
      <c r="D551" t="s">
        <v>1135</v>
      </c>
      <c r="E551" t="s">
        <v>639</v>
      </c>
      <c r="F551" t="s">
        <v>2374</v>
      </c>
      <c r="G551" s="381">
        <v>0</v>
      </c>
      <c r="H551" s="381"/>
      <c r="I551" s="381"/>
      <c r="J551" s="381"/>
      <c r="K551" s="381">
        <v>0</v>
      </c>
      <c r="L551" s="381"/>
      <c r="M551" s="381"/>
      <c r="N551" s="381"/>
      <c r="O551" s="381">
        <v>0</v>
      </c>
      <c r="P551" s="381">
        <v>0</v>
      </c>
    </row>
    <row r="552" spans="1:16">
      <c r="A552" t="s">
        <v>2375</v>
      </c>
      <c r="B552" t="s">
        <v>738</v>
      </c>
      <c r="C552" t="s">
        <v>1135</v>
      </c>
      <c r="D552" t="s">
        <v>1135</v>
      </c>
      <c r="E552" t="s">
        <v>639</v>
      </c>
      <c r="F552" t="s">
        <v>2376</v>
      </c>
      <c r="G552" s="381">
        <v>0</v>
      </c>
      <c r="H552" s="381"/>
      <c r="I552" s="381"/>
      <c r="J552" s="381"/>
      <c r="K552" s="381">
        <v>0</v>
      </c>
      <c r="L552" s="381"/>
      <c r="M552" s="381"/>
      <c r="N552" s="381"/>
      <c r="O552" s="381">
        <v>0</v>
      </c>
      <c r="P552" s="381">
        <v>0</v>
      </c>
    </row>
    <row r="553" spans="1:16">
      <c r="A553" t="s">
        <v>2377</v>
      </c>
      <c r="B553" t="s">
        <v>740</v>
      </c>
      <c r="C553" t="s">
        <v>1135</v>
      </c>
      <c r="D553" t="s">
        <v>1135</v>
      </c>
      <c r="E553" t="s">
        <v>639</v>
      </c>
      <c r="F553" t="s">
        <v>2378</v>
      </c>
      <c r="G553" s="381">
        <v>0</v>
      </c>
      <c r="H553" s="381"/>
      <c r="I553" s="381"/>
      <c r="J553" s="381"/>
      <c r="K553" s="381">
        <v>0</v>
      </c>
      <c r="L553" s="381"/>
      <c r="M553" s="381"/>
      <c r="N553" s="381"/>
      <c r="O553" s="381">
        <v>0</v>
      </c>
      <c r="P553" s="381">
        <v>0</v>
      </c>
    </row>
    <row r="554" spans="1:16">
      <c r="A554" t="s">
        <v>2379</v>
      </c>
      <c r="B554" t="s">
        <v>742</v>
      </c>
      <c r="C554" t="s">
        <v>1135</v>
      </c>
      <c r="D554" t="s">
        <v>1135</v>
      </c>
      <c r="E554" t="s">
        <v>639</v>
      </c>
      <c r="F554" t="s">
        <v>2380</v>
      </c>
      <c r="G554" s="381">
        <v>0</v>
      </c>
      <c r="H554" s="381"/>
      <c r="I554" s="381"/>
      <c r="J554" s="381"/>
      <c r="K554" s="381">
        <v>0</v>
      </c>
      <c r="L554" s="381"/>
      <c r="M554" s="381"/>
      <c r="N554" s="381"/>
      <c r="O554" s="381">
        <v>0</v>
      </c>
      <c r="P554" s="381">
        <v>0</v>
      </c>
    </row>
    <row r="555" spans="1:16">
      <c r="A555" t="s">
        <v>2381</v>
      </c>
      <c r="B555" t="s">
        <v>744</v>
      </c>
      <c r="C555" t="s">
        <v>1135</v>
      </c>
      <c r="D555" t="s">
        <v>1135</v>
      </c>
      <c r="E555" t="s">
        <v>639</v>
      </c>
      <c r="F555" t="s">
        <v>2382</v>
      </c>
      <c r="G555" s="381">
        <v>0</v>
      </c>
      <c r="H555" s="381"/>
      <c r="I555" s="381"/>
      <c r="J555" s="381"/>
      <c r="K555" s="381">
        <v>0</v>
      </c>
      <c r="L555" s="381"/>
      <c r="M555" s="381"/>
      <c r="N555" s="381"/>
      <c r="O555" s="381">
        <v>0</v>
      </c>
      <c r="P555" s="381">
        <v>0</v>
      </c>
    </row>
    <row r="556" spans="1:16">
      <c r="A556" t="s">
        <v>2383</v>
      </c>
      <c r="B556" t="s">
        <v>746</v>
      </c>
      <c r="C556" t="s">
        <v>1135</v>
      </c>
      <c r="D556" t="s">
        <v>1135</v>
      </c>
      <c r="E556" t="s">
        <v>639</v>
      </c>
      <c r="F556" t="s">
        <v>2384</v>
      </c>
      <c r="G556" s="381">
        <v>0</v>
      </c>
      <c r="H556" s="381"/>
      <c r="I556" s="381"/>
      <c r="J556" s="381"/>
      <c r="K556" s="381">
        <v>0</v>
      </c>
      <c r="L556" s="381"/>
      <c r="M556" s="381"/>
      <c r="N556" s="381"/>
      <c r="O556" s="381">
        <v>0</v>
      </c>
      <c r="P556" s="381">
        <v>0</v>
      </c>
    </row>
    <row r="557" spans="1:16">
      <c r="A557" t="s">
        <v>2385</v>
      </c>
      <c r="B557" t="s">
        <v>748</v>
      </c>
      <c r="C557" t="s">
        <v>1135</v>
      </c>
      <c r="D557" t="s">
        <v>1135</v>
      </c>
      <c r="E557" t="s">
        <v>639</v>
      </c>
      <c r="F557" t="s">
        <v>2386</v>
      </c>
      <c r="G557" s="381">
        <v>0</v>
      </c>
      <c r="H557" s="381"/>
      <c r="I557" s="381"/>
      <c r="J557" s="381"/>
      <c r="K557" s="381">
        <v>0</v>
      </c>
      <c r="L557" s="381"/>
      <c r="M557" s="381"/>
      <c r="N557" s="381"/>
      <c r="O557" s="381">
        <v>0</v>
      </c>
      <c r="P557" s="381">
        <v>0</v>
      </c>
    </row>
    <row r="558" spans="1:16">
      <c r="A558" t="s">
        <v>2387</v>
      </c>
      <c r="B558" t="s">
        <v>750</v>
      </c>
      <c r="C558" t="s">
        <v>1135</v>
      </c>
      <c r="D558" t="s">
        <v>1135</v>
      </c>
      <c r="E558" t="s">
        <v>639</v>
      </c>
      <c r="F558" t="s">
        <v>2388</v>
      </c>
      <c r="G558" s="381">
        <v>0</v>
      </c>
      <c r="H558" s="381"/>
      <c r="I558" s="381"/>
      <c r="J558" s="381"/>
      <c r="K558" s="381">
        <v>0</v>
      </c>
      <c r="L558" s="381"/>
      <c r="M558" s="381"/>
      <c r="N558" s="381"/>
      <c r="O558" s="381">
        <v>0</v>
      </c>
      <c r="P558" s="381">
        <v>0</v>
      </c>
    </row>
    <row r="559" spans="1:16">
      <c r="A559" t="s">
        <v>2389</v>
      </c>
      <c r="B559" t="s">
        <v>752</v>
      </c>
      <c r="C559" t="s">
        <v>1135</v>
      </c>
      <c r="D559" t="s">
        <v>1135</v>
      </c>
      <c r="E559" t="s">
        <v>639</v>
      </c>
      <c r="F559" t="s">
        <v>2390</v>
      </c>
      <c r="G559" s="381">
        <v>0</v>
      </c>
      <c r="H559" s="381"/>
      <c r="I559" s="381"/>
      <c r="J559" s="381"/>
      <c r="K559" s="381">
        <v>0</v>
      </c>
      <c r="L559" s="381"/>
      <c r="M559" s="381"/>
      <c r="N559" s="381"/>
      <c r="O559" s="381">
        <v>0</v>
      </c>
      <c r="P559" s="381">
        <v>0</v>
      </c>
    </row>
    <row r="560" spans="1:16">
      <c r="A560" t="s">
        <v>2391</v>
      </c>
      <c r="B560" t="s">
        <v>754</v>
      </c>
      <c r="C560" t="s">
        <v>1135</v>
      </c>
      <c r="D560" t="s">
        <v>1135</v>
      </c>
      <c r="E560" t="s">
        <v>639</v>
      </c>
      <c r="F560" t="s">
        <v>2392</v>
      </c>
      <c r="G560" s="381">
        <v>0</v>
      </c>
      <c r="H560" s="381"/>
      <c r="I560" s="381"/>
      <c r="J560" s="381"/>
      <c r="K560" s="381">
        <v>0</v>
      </c>
      <c r="L560" s="381"/>
      <c r="M560" s="381"/>
      <c r="N560" s="381"/>
      <c r="O560" s="381">
        <v>0</v>
      </c>
      <c r="P560" s="381">
        <v>0</v>
      </c>
    </row>
    <row r="561" spans="1:16">
      <c r="A561" t="s">
        <v>2393</v>
      </c>
      <c r="B561" t="s">
        <v>756</v>
      </c>
      <c r="C561" t="s">
        <v>1135</v>
      </c>
      <c r="D561" t="s">
        <v>1135</v>
      </c>
      <c r="E561" t="s">
        <v>639</v>
      </c>
      <c r="F561" t="s">
        <v>2394</v>
      </c>
      <c r="G561" s="381">
        <v>0</v>
      </c>
      <c r="H561" s="381"/>
      <c r="I561" s="381"/>
      <c r="J561" s="381"/>
      <c r="K561" s="381">
        <v>0</v>
      </c>
      <c r="L561" s="381"/>
      <c r="M561" s="381"/>
      <c r="N561" s="381"/>
      <c r="O561" s="381">
        <v>0</v>
      </c>
      <c r="P561" s="381">
        <v>0</v>
      </c>
    </row>
    <row r="562" spans="1:16">
      <c r="A562" t="s">
        <v>2397</v>
      </c>
      <c r="B562" t="s">
        <v>760</v>
      </c>
      <c r="C562" t="s">
        <v>1135</v>
      </c>
      <c r="D562" t="s">
        <v>1135</v>
      </c>
      <c r="E562" t="s">
        <v>639</v>
      </c>
      <c r="F562" t="s">
        <v>2398</v>
      </c>
      <c r="G562" s="381">
        <v>0</v>
      </c>
      <c r="H562" s="381"/>
      <c r="I562" s="381"/>
      <c r="J562" s="381"/>
      <c r="K562" s="381">
        <v>0</v>
      </c>
      <c r="L562" s="381"/>
      <c r="M562" s="381"/>
      <c r="N562" s="381"/>
      <c r="O562" s="381">
        <v>0</v>
      </c>
      <c r="P562" s="381">
        <v>0</v>
      </c>
    </row>
    <row r="563" spans="1:16">
      <c r="A563" t="s">
        <v>2399</v>
      </c>
      <c r="B563" t="s">
        <v>762</v>
      </c>
      <c r="C563" t="s">
        <v>1135</v>
      </c>
      <c r="D563" t="s">
        <v>1135</v>
      </c>
      <c r="E563" t="s">
        <v>639</v>
      </c>
      <c r="F563" t="s">
        <v>2400</v>
      </c>
      <c r="G563" s="381">
        <v>0</v>
      </c>
      <c r="H563" s="381"/>
      <c r="I563" s="381"/>
      <c r="J563" s="381"/>
      <c r="K563" s="381">
        <v>0</v>
      </c>
      <c r="L563" s="381"/>
      <c r="M563" s="381"/>
      <c r="N563" s="381"/>
      <c r="O563" s="381">
        <v>0</v>
      </c>
      <c r="P563" s="381">
        <v>0</v>
      </c>
    </row>
    <row r="564" spans="1:16">
      <c r="A564" t="s">
        <v>2401</v>
      </c>
      <c r="B564" t="s">
        <v>764</v>
      </c>
      <c r="C564" t="s">
        <v>1135</v>
      </c>
      <c r="D564" t="s">
        <v>1135</v>
      </c>
      <c r="E564" t="s">
        <v>639</v>
      </c>
      <c r="F564" t="s">
        <v>2402</v>
      </c>
      <c r="G564" s="381">
        <v>0</v>
      </c>
      <c r="H564" s="381"/>
      <c r="I564" s="381"/>
      <c r="J564" s="381"/>
      <c r="K564" s="381">
        <v>0</v>
      </c>
      <c r="L564" s="381"/>
      <c r="M564" s="381"/>
      <c r="N564" s="381"/>
      <c r="O564" s="381">
        <v>0</v>
      </c>
      <c r="P564" s="381">
        <v>0</v>
      </c>
    </row>
    <row r="565" spans="1:16">
      <c r="A565" t="s">
        <v>2403</v>
      </c>
      <c r="B565" t="s">
        <v>766</v>
      </c>
      <c r="C565" t="s">
        <v>1135</v>
      </c>
      <c r="D565" t="s">
        <v>1135</v>
      </c>
      <c r="E565" t="s">
        <v>639</v>
      </c>
      <c r="F565" t="s">
        <v>2404</v>
      </c>
      <c r="G565" s="381">
        <v>0</v>
      </c>
      <c r="H565" s="381"/>
      <c r="I565" s="381"/>
      <c r="J565" s="381"/>
      <c r="K565" s="381">
        <v>0</v>
      </c>
      <c r="L565" s="381"/>
      <c r="M565" s="381"/>
      <c r="N565" s="381"/>
      <c r="O565" s="381">
        <v>0</v>
      </c>
      <c r="P565" s="381">
        <v>0</v>
      </c>
    </row>
    <row r="566" spans="1:16">
      <c r="A566" t="s">
        <v>2405</v>
      </c>
      <c r="B566" t="s">
        <v>768</v>
      </c>
      <c r="C566" t="s">
        <v>1135</v>
      </c>
      <c r="D566" t="s">
        <v>1135</v>
      </c>
      <c r="E566" t="s">
        <v>639</v>
      </c>
      <c r="F566" t="s">
        <v>2406</v>
      </c>
      <c r="G566" s="381">
        <v>0</v>
      </c>
      <c r="H566" s="381"/>
      <c r="I566" s="381"/>
      <c r="J566" s="381"/>
      <c r="K566" s="381">
        <v>0</v>
      </c>
      <c r="L566" s="381"/>
      <c r="M566" s="381"/>
      <c r="N566" s="381"/>
      <c r="O566" s="381">
        <v>0</v>
      </c>
      <c r="P566" s="381">
        <v>0</v>
      </c>
    </row>
    <row r="567" spans="1:16">
      <c r="A567" t="s">
        <v>2407</v>
      </c>
      <c r="B567" t="s">
        <v>770</v>
      </c>
      <c r="C567" t="s">
        <v>1135</v>
      </c>
      <c r="D567" t="s">
        <v>1135</v>
      </c>
      <c r="E567" t="s">
        <v>639</v>
      </c>
      <c r="F567" t="s">
        <v>2408</v>
      </c>
      <c r="G567" s="381">
        <v>0</v>
      </c>
      <c r="H567" s="381"/>
      <c r="I567" s="381"/>
      <c r="J567" s="381"/>
      <c r="K567" s="381">
        <v>0</v>
      </c>
      <c r="L567" s="381"/>
      <c r="M567" s="381"/>
      <c r="N567" s="381"/>
      <c r="O567" s="381">
        <v>0</v>
      </c>
      <c r="P567" s="381">
        <v>0</v>
      </c>
    </row>
    <row r="568" spans="1:16">
      <c r="A568" t="s">
        <v>2409</v>
      </c>
      <c r="B568" t="s">
        <v>772</v>
      </c>
      <c r="C568" t="s">
        <v>1135</v>
      </c>
      <c r="D568" t="s">
        <v>1135</v>
      </c>
      <c r="E568" t="s">
        <v>639</v>
      </c>
      <c r="F568" t="s">
        <v>2410</v>
      </c>
      <c r="G568" s="381">
        <v>0</v>
      </c>
      <c r="H568" s="381"/>
      <c r="I568" s="381"/>
      <c r="J568" s="381"/>
      <c r="K568" s="381">
        <v>0</v>
      </c>
      <c r="L568" s="381"/>
      <c r="M568" s="381"/>
      <c r="N568" s="381"/>
      <c r="O568" s="381">
        <v>0</v>
      </c>
      <c r="P568" s="381">
        <v>0</v>
      </c>
    </row>
    <row r="569" spans="1:16">
      <c r="A569" t="s">
        <v>2411</v>
      </c>
      <c r="B569" t="s">
        <v>774</v>
      </c>
      <c r="C569" t="s">
        <v>1135</v>
      </c>
      <c r="D569" t="s">
        <v>1135</v>
      </c>
      <c r="E569" t="s">
        <v>639</v>
      </c>
      <c r="F569" t="s">
        <v>2412</v>
      </c>
      <c r="G569" s="381">
        <v>0</v>
      </c>
      <c r="H569" s="381"/>
      <c r="I569" s="381"/>
      <c r="J569" s="381"/>
      <c r="K569" s="381">
        <v>0</v>
      </c>
      <c r="L569" s="381"/>
      <c r="M569" s="381"/>
      <c r="N569" s="381"/>
      <c r="O569" s="381">
        <v>0</v>
      </c>
      <c r="P569" s="381">
        <v>0</v>
      </c>
    </row>
    <row r="570" spans="1:16">
      <c r="A570" t="s">
        <v>2413</v>
      </c>
      <c r="B570" t="s">
        <v>776</v>
      </c>
      <c r="C570" t="s">
        <v>1135</v>
      </c>
      <c r="D570" t="s">
        <v>1135</v>
      </c>
      <c r="E570" t="s">
        <v>639</v>
      </c>
      <c r="F570" t="s">
        <v>2414</v>
      </c>
      <c r="G570" s="381">
        <v>0</v>
      </c>
      <c r="H570" s="381"/>
      <c r="I570" s="381"/>
      <c r="J570" s="381"/>
      <c r="K570" s="381">
        <v>0</v>
      </c>
      <c r="L570" s="381"/>
      <c r="M570" s="381"/>
      <c r="N570" s="381"/>
      <c r="O570" s="381">
        <v>0</v>
      </c>
      <c r="P570" s="381">
        <v>0</v>
      </c>
    </row>
    <row r="571" spans="1:16">
      <c r="A571" t="s">
        <v>2415</v>
      </c>
      <c r="B571" t="s">
        <v>778</v>
      </c>
      <c r="C571" t="s">
        <v>1135</v>
      </c>
      <c r="D571" t="s">
        <v>1135</v>
      </c>
      <c r="E571" t="s">
        <v>639</v>
      </c>
      <c r="F571" t="s">
        <v>2416</v>
      </c>
      <c r="G571" s="381">
        <v>0</v>
      </c>
      <c r="H571" s="381"/>
      <c r="I571" s="381"/>
      <c r="J571" s="381"/>
      <c r="K571" s="381">
        <v>0</v>
      </c>
      <c r="L571" s="381"/>
      <c r="M571" s="381"/>
      <c r="N571" s="381"/>
      <c r="O571" s="381">
        <v>0</v>
      </c>
      <c r="P571" s="381">
        <v>0</v>
      </c>
    </row>
    <row r="572" spans="1:16">
      <c r="A572" t="s">
        <v>2417</v>
      </c>
      <c r="B572" t="s">
        <v>780</v>
      </c>
      <c r="C572" t="s">
        <v>1135</v>
      </c>
      <c r="D572" t="s">
        <v>1135</v>
      </c>
      <c r="E572" t="s">
        <v>639</v>
      </c>
      <c r="F572" t="s">
        <v>2418</v>
      </c>
      <c r="G572" s="381">
        <v>0</v>
      </c>
      <c r="H572" s="381"/>
      <c r="I572" s="381"/>
      <c r="J572" s="381"/>
      <c r="K572" s="381">
        <v>0</v>
      </c>
      <c r="L572" s="381"/>
      <c r="M572" s="381"/>
      <c r="N572" s="381"/>
      <c r="O572" s="381">
        <v>0</v>
      </c>
      <c r="P572" s="381">
        <v>0</v>
      </c>
    </row>
    <row r="573" spans="1:16">
      <c r="A573" t="s">
        <v>2419</v>
      </c>
      <c r="B573" t="s">
        <v>782</v>
      </c>
      <c r="C573" t="s">
        <v>1135</v>
      </c>
      <c r="D573" t="s">
        <v>1135</v>
      </c>
      <c r="E573" t="s">
        <v>639</v>
      </c>
      <c r="F573" t="s">
        <v>2420</v>
      </c>
      <c r="G573" s="381">
        <v>0</v>
      </c>
      <c r="H573" s="381"/>
      <c r="I573" s="381"/>
      <c r="J573" s="381"/>
      <c r="K573" s="381">
        <v>0</v>
      </c>
      <c r="L573" s="381"/>
      <c r="M573" s="381"/>
      <c r="N573" s="381"/>
      <c r="O573" s="381">
        <v>0</v>
      </c>
      <c r="P573" s="381">
        <v>0</v>
      </c>
    </row>
    <row r="574" spans="1:16">
      <c r="A574" t="s">
        <v>2488</v>
      </c>
      <c r="B574" t="s">
        <v>824</v>
      </c>
      <c r="C574" t="s">
        <v>1135</v>
      </c>
      <c r="D574" t="s">
        <v>1135</v>
      </c>
      <c r="E574" t="s">
        <v>639</v>
      </c>
      <c r="F574" t="s">
        <v>2489</v>
      </c>
      <c r="G574" s="381">
        <v>0</v>
      </c>
      <c r="H574" s="381"/>
      <c r="I574" s="381"/>
      <c r="J574" s="381"/>
      <c r="K574" s="381">
        <v>0</v>
      </c>
      <c r="L574" s="381"/>
      <c r="M574" s="381"/>
      <c r="N574" s="381"/>
      <c r="O574" s="381">
        <v>0</v>
      </c>
      <c r="P574" s="381">
        <v>0</v>
      </c>
    </row>
    <row r="575" spans="1:16">
      <c r="A575" t="s">
        <v>2491</v>
      </c>
      <c r="B575" t="s">
        <v>827</v>
      </c>
      <c r="C575" t="s">
        <v>1135</v>
      </c>
      <c r="D575" t="s">
        <v>1135</v>
      </c>
      <c r="E575" t="s">
        <v>639</v>
      </c>
      <c r="F575" t="s">
        <v>2492</v>
      </c>
      <c r="G575" s="381">
        <v>0</v>
      </c>
      <c r="H575" s="381"/>
      <c r="I575" s="381"/>
      <c r="J575" s="381"/>
      <c r="K575" s="381">
        <v>0</v>
      </c>
      <c r="L575" s="381"/>
      <c r="M575" s="381"/>
      <c r="N575" s="381"/>
      <c r="O575" s="381">
        <v>0</v>
      </c>
      <c r="P575" s="381">
        <v>0</v>
      </c>
    </row>
    <row r="576" spans="1:16">
      <c r="A576" t="s">
        <v>2493</v>
      </c>
      <c r="B576" t="s">
        <v>829</v>
      </c>
      <c r="C576" t="s">
        <v>1135</v>
      </c>
      <c r="D576" t="s">
        <v>1135</v>
      </c>
      <c r="E576" t="s">
        <v>639</v>
      </c>
      <c r="F576" t="s">
        <v>2494</v>
      </c>
      <c r="G576" s="381">
        <v>0</v>
      </c>
      <c r="H576" s="381"/>
      <c r="I576" s="381"/>
      <c r="J576" s="381"/>
      <c r="K576" s="381">
        <v>0</v>
      </c>
      <c r="L576" s="381"/>
      <c r="M576" s="381"/>
      <c r="N576" s="381"/>
      <c r="O576" s="381">
        <v>0</v>
      </c>
      <c r="P576" s="381">
        <v>0</v>
      </c>
    </row>
    <row r="577" spans="1:16">
      <c r="A577" t="s">
        <v>2497</v>
      </c>
      <c r="B577" t="s">
        <v>831</v>
      </c>
      <c r="C577" t="s">
        <v>1135</v>
      </c>
      <c r="D577" t="s">
        <v>1135</v>
      </c>
      <c r="E577" t="s">
        <v>639</v>
      </c>
      <c r="F577" t="s">
        <v>2498</v>
      </c>
      <c r="G577" s="381">
        <v>0</v>
      </c>
      <c r="H577" s="381"/>
      <c r="I577" s="381"/>
      <c r="J577" s="381"/>
      <c r="K577" s="381">
        <v>0</v>
      </c>
      <c r="L577" s="381"/>
      <c r="M577" s="381"/>
      <c r="N577" s="381"/>
      <c r="O577" s="381">
        <v>0</v>
      </c>
      <c r="P577" s="381">
        <v>0</v>
      </c>
    </row>
    <row r="578" spans="1:16">
      <c r="A578" t="s">
        <v>2500</v>
      </c>
      <c r="B578" t="s">
        <v>833</v>
      </c>
      <c r="C578" t="s">
        <v>1135</v>
      </c>
      <c r="D578" t="s">
        <v>1135</v>
      </c>
      <c r="E578" t="s">
        <v>639</v>
      </c>
      <c r="F578" t="s">
        <v>2501</v>
      </c>
      <c r="G578" s="381">
        <v>0</v>
      </c>
      <c r="H578" s="381"/>
      <c r="I578" s="381"/>
      <c r="J578" s="381"/>
      <c r="K578" s="381">
        <v>0</v>
      </c>
      <c r="L578" s="381"/>
      <c r="M578" s="381"/>
      <c r="N578" s="381"/>
      <c r="O578" s="381">
        <v>0</v>
      </c>
      <c r="P578" s="381">
        <v>0</v>
      </c>
    </row>
    <row r="579" spans="1:16">
      <c r="A579" t="s">
        <v>2503</v>
      </c>
      <c r="B579" t="s">
        <v>835</v>
      </c>
      <c r="C579" t="s">
        <v>1135</v>
      </c>
      <c r="D579" t="s">
        <v>1135</v>
      </c>
      <c r="E579" t="s">
        <v>639</v>
      </c>
      <c r="F579" t="s">
        <v>2504</v>
      </c>
      <c r="G579" s="381">
        <v>0</v>
      </c>
      <c r="H579" s="381"/>
      <c r="I579" s="381"/>
      <c r="J579" s="381"/>
      <c r="K579" s="381">
        <v>0</v>
      </c>
      <c r="L579" s="381"/>
      <c r="M579" s="381"/>
      <c r="N579" s="381"/>
      <c r="O579" s="381">
        <v>0</v>
      </c>
      <c r="P579" s="381">
        <v>0</v>
      </c>
    </row>
    <row r="580" spans="1:16">
      <c r="A580" t="s">
        <v>2570</v>
      </c>
      <c r="B580" t="s">
        <v>881</v>
      </c>
      <c r="C580" t="s">
        <v>1135</v>
      </c>
      <c r="D580" t="s">
        <v>1135</v>
      </c>
      <c r="E580" t="s">
        <v>639</v>
      </c>
      <c r="F580" t="s">
        <v>2571</v>
      </c>
      <c r="G580" s="381">
        <v>0</v>
      </c>
      <c r="H580" s="381"/>
      <c r="I580" s="381"/>
      <c r="J580" s="381"/>
      <c r="K580" s="381">
        <v>0</v>
      </c>
      <c r="L580" s="381"/>
      <c r="M580" s="381"/>
      <c r="N580" s="381"/>
      <c r="O580" s="381">
        <v>0</v>
      </c>
      <c r="P580" s="381">
        <v>0</v>
      </c>
    </row>
    <row r="581" spans="1:16">
      <c r="A581" t="s">
        <v>2573</v>
      </c>
      <c r="B581" t="s">
        <v>884</v>
      </c>
      <c r="C581" t="s">
        <v>1135</v>
      </c>
      <c r="D581" t="s">
        <v>1135</v>
      </c>
      <c r="E581" t="s">
        <v>639</v>
      </c>
      <c r="F581" t="s">
        <v>2574</v>
      </c>
      <c r="G581" s="381">
        <v>0</v>
      </c>
      <c r="H581" s="381"/>
      <c r="I581" s="381"/>
      <c r="J581" s="381"/>
      <c r="K581" s="381">
        <v>0</v>
      </c>
      <c r="L581" s="381"/>
      <c r="M581" s="381"/>
      <c r="N581" s="381"/>
      <c r="O581" s="381">
        <v>0</v>
      </c>
      <c r="P581" s="381">
        <v>0</v>
      </c>
    </row>
    <row r="582" spans="1:16">
      <c r="A582" t="s">
        <v>2589</v>
      </c>
      <c r="B582" t="s">
        <v>895</v>
      </c>
      <c r="C582" t="s">
        <v>1135</v>
      </c>
      <c r="D582" t="s">
        <v>1135</v>
      </c>
      <c r="E582" t="s">
        <v>639</v>
      </c>
      <c r="F582" t="s">
        <v>2590</v>
      </c>
      <c r="G582" s="381">
        <v>0</v>
      </c>
      <c r="H582" s="381"/>
      <c r="I582" s="381"/>
      <c r="J582" s="381"/>
      <c r="K582" s="381">
        <v>0</v>
      </c>
      <c r="L582" s="381"/>
      <c r="M582" s="381"/>
      <c r="N582" s="381"/>
      <c r="O582" s="381">
        <v>0</v>
      </c>
      <c r="P582" s="381">
        <v>0</v>
      </c>
    </row>
    <row r="583" spans="1:16">
      <c r="A583" t="s">
        <v>2592</v>
      </c>
      <c r="B583" t="s">
        <v>897</v>
      </c>
      <c r="C583" t="s">
        <v>1135</v>
      </c>
      <c r="D583" t="s">
        <v>1135</v>
      </c>
      <c r="E583" t="s">
        <v>639</v>
      </c>
      <c r="F583" t="s">
        <v>2593</v>
      </c>
      <c r="G583" s="381">
        <v>0</v>
      </c>
      <c r="H583" s="381"/>
      <c r="I583" s="381"/>
      <c r="J583" s="381"/>
      <c r="K583" s="381">
        <v>0</v>
      </c>
      <c r="L583" s="381"/>
      <c r="M583" s="381"/>
      <c r="N583" s="381"/>
      <c r="O583" s="381">
        <v>0</v>
      </c>
      <c r="P583" s="381">
        <v>0</v>
      </c>
    </row>
    <row r="584" spans="1:16">
      <c r="A584" t="s">
        <v>1343</v>
      </c>
      <c r="B584" t="s">
        <v>150</v>
      </c>
      <c r="C584" t="s">
        <v>1345</v>
      </c>
      <c r="D584" t="s">
        <v>1344</v>
      </c>
      <c r="E584" t="s">
        <v>49</v>
      </c>
      <c r="F584" t="s">
        <v>1347</v>
      </c>
      <c r="G584" s="381">
        <v>0</v>
      </c>
      <c r="H584" s="381"/>
      <c r="I584" s="381"/>
      <c r="J584" s="381"/>
      <c r="K584" s="381">
        <v>0</v>
      </c>
      <c r="L584" s="381"/>
      <c r="M584" s="381"/>
      <c r="N584" s="381"/>
      <c r="O584" s="381">
        <v>0</v>
      </c>
      <c r="P584" s="381">
        <v>0</v>
      </c>
    </row>
    <row r="585" spans="1:16">
      <c r="A585" t="s">
        <v>1350</v>
      </c>
      <c r="B585" t="s">
        <v>153</v>
      </c>
      <c r="C585" t="s">
        <v>1345</v>
      </c>
      <c r="D585" t="s">
        <v>1344</v>
      </c>
      <c r="E585" t="s">
        <v>49</v>
      </c>
      <c r="F585" t="s">
        <v>1351</v>
      </c>
      <c r="G585" s="381">
        <v>0</v>
      </c>
      <c r="H585" s="381"/>
      <c r="I585" s="381"/>
      <c r="J585" s="381"/>
      <c r="K585" s="381">
        <v>0</v>
      </c>
      <c r="L585" s="381"/>
      <c r="M585" s="381"/>
      <c r="N585" s="381"/>
      <c r="O585" s="381">
        <v>0</v>
      </c>
      <c r="P585" s="381">
        <v>0</v>
      </c>
    </row>
    <row r="586" spans="1:16">
      <c r="A586" t="s">
        <v>1353</v>
      </c>
      <c r="B586" t="s">
        <v>155</v>
      </c>
      <c r="C586" t="s">
        <v>1345</v>
      </c>
      <c r="D586" t="s">
        <v>1344</v>
      </c>
      <c r="E586" t="s">
        <v>49</v>
      </c>
      <c r="F586" t="s">
        <v>1354</v>
      </c>
      <c r="G586" s="381">
        <v>0</v>
      </c>
      <c r="H586" s="381"/>
      <c r="I586" s="381"/>
      <c r="J586" s="381"/>
      <c r="K586" s="381">
        <v>0</v>
      </c>
      <c r="L586" s="381"/>
      <c r="M586" s="381"/>
      <c r="N586" s="381"/>
      <c r="O586" s="381">
        <v>0</v>
      </c>
      <c r="P586" s="381">
        <v>0</v>
      </c>
    </row>
    <row r="587" spans="1:16">
      <c r="A587" t="s">
        <v>1355</v>
      </c>
      <c r="B587" t="s">
        <v>157</v>
      </c>
      <c r="C587" t="s">
        <v>1345</v>
      </c>
      <c r="D587" t="s">
        <v>1344</v>
      </c>
      <c r="E587" t="s">
        <v>49</v>
      </c>
      <c r="F587" t="s">
        <v>1356</v>
      </c>
      <c r="G587" s="381">
        <v>0</v>
      </c>
      <c r="H587" s="381"/>
      <c r="I587" s="381"/>
      <c r="J587" s="381"/>
      <c r="K587" s="381">
        <v>0</v>
      </c>
      <c r="L587" s="381"/>
      <c r="M587" s="381"/>
      <c r="N587" s="381"/>
      <c r="O587" s="381">
        <v>0</v>
      </c>
      <c r="P587" s="381">
        <v>0</v>
      </c>
    </row>
    <row r="588" spans="1:16">
      <c r="A588" t="s">
        <v>1975</v>
      </c>
      <c r="B588" t="s">
        <v>503</v>
      </c>
      <c r="C588" t="s">
        <v>1345</v>
      </c>
      <c r="D588" t="s">
        <v>1344</v>
      </c>
      <c r="E588" t="s">
        <v>389</v>
      </c>
      <c r="F588" t="s">
        <v>1976</v>
      </c>
      <c r="G588" s="381">
        <v>0</v>
      </c>
      <c r="H588" s="381"/>
      <c r="I588" s="381"/>
      <c r="J588" s="381"/>
      <c r="K588" s="381">
        <v>0</v>
      </c>
      <c r="L588" s="381"/>
      <c r="M588" s="381"/>
      <c r="N588" s="381"/>
      <c r="O588" s="381">
        <v>0</v>
      </c>
      <c r="P588" s="381">
        <v>0</v>
      </c>
    </row>
    <row r="589" spans="1:16">
      <c r="A589" t="s">
        <v>1977</v>
      </c>
      <c r="B589" t="s">
        <v>505</v>
      </c>
      <c r="C589" t="s">
        <v>1345</v>
      </c>
      <c r="D589" t="s">
        <v>1344</v>
      </c>
      <c r="E589" t="s">
        <v>389</v>
      </c>
      <c r="F589" t="s">
        <v>1976</v>
      </c>
      <c r="G589" s="381">
        <v>0</v>
      </c>
      <c r="H589" s="381"/>
      <c r="I589" s="381"/>
      <c r="J589" s="381"/>
      <c r="K589" s="381">
        <v>0</v>
      </c>
      <c r="L589" s="381"/>
      <c r="M589" s="381"/>
      <c r="N589" s="381"/>
      <c r="O589" s="381">
        <v>0</v>
      </c>
      <c r="P589" s="381">
        <v>0</v>
      </c>
    </row>
    <row r="590" spans="1:16">
      <c r="A590" t="s">
        <v>2625</v>
      </c>
      <c r="B590" t="s">
        <v>917</v>
      </c>
      <c r="C590" t="s">
        <v>1345</v>
      </c>
      <c r="D590" t="s">
        <v>1344</v>
      </c>
      <c r="E590" t="s">
        <v>639</v>
      </c>
      <c r="F590" t="s">
        <v>2626</v>
      </c>
      <c r="G590" s="381">
        <v>0</v>
      </c>
      <c r="H590" s="381"/>
      <c r="I590" s="381"/>
      <c r="J590" s="381"/>
      <c r="K590" s="381">
        <v>0</v>
      </c>
      <c r="L590" s="381"/>
      <c r="M590" s="381"/>
      <c r="N590" s="381"/>
      <c r="O590" s="381">
        <v>0</v>
      </c>
      <c r="P590" s="381">
        <v>0</v>
      </c>
    </row>
    <row r="591" spans="1:16">
      <c r="A591" t="s">
        <v>2627</v>
      </c>
      <c r="B591" t="s">
        <v>919</v>
      </c>
      <c r="C591" t="s">
        <v>1345</v>
      </c>
      <c r="D591" t="s">
        <v>1344</v>
      </c>
      <c r="E591" t="s">
        <v>639</v>
      </c>
      <c r="F591" t="s">
        <v>2628</v>
      </c>
      <c r="G591" s="381">
        <v>0</v>
      </c>
      <c r="H591" s="381"/>
      <c r="I591" s="381"/>
      <c r="J591" s="381"/>
      <c r="K591" s="381">
        <v>0</v>
      </c>
      <c r="L591" s="381"/>
      <c r="M591" s="381"/>
      <c r="N591" s="381"/>
      <c r="O591" s="381">
        <v>0</v>
      </c>
      <c r="P591" s="381">
        <v>0</v>
      </c>
    </row>
    <row r="592" spans="1:16">
      <c r="A592" t="s">
        <v>2635</v>
      </c>
      <c r="B592" t="s">
        <v>925</v>
      </c>
      <c r="C592" t="s">
        <v>1345</v>
      </c>
      <c r="D592" t="s">
        <v>1344</v>
      </c>
      <c r="E592" t="s">
        <v>639</v>
      </c>
      <c r="F592" t="s">
        <v>2636</v>
      </c>
      <c r="G592" s="381">
        <v>0</v>
      </c>
      <c r="H592" s="381"/>
      <c r="I592" s="381"/>
      <c r="J592" s="381"/>
      <c r="K592" s="381">
        <v>0</v>
      </c>
      <c r="L592" s="381"/>
      <c r="M592" s="381"/>
      <c r="N592" s="381"/>
      <c r="O592" s="381">
        <v>0</v>
      </c>
      <c r="P592" s="381">
        <v>0</v>
      </c>
    </row>
    <row r="593" spans="1:16">
      <c r="A593" t="s">
        <v>2641</v>
      </c>
      <c r="B593" t="s">
        <v>927</v>
      </c>
      <c r="C593" t="s">
        <v>1345</v>
      </c>
      <c r="D593" t="s">
        <v>1344</v>
      </c>
      <c r="E593" t="s">
        <v>639</v>
      </c>
      <c r="F593" t="s">
        <v>2642</v>
      </c>
      <c r="G593" s="381">
        <v>0</v>
      </c>
      <c r="H593" s="381"/>
      <c r="I593" s="381"/>
      <c r="J593" s="381"/>
      <c r="K593" s="381">
        <v>0</v>
      </c>
      <c r="L593" s="381"/>
      <c r="M593" s="381"/>
      <c r="N593" s="381"/>
      <c r="O593" s="381">
        <v>0</v>
      </c>
      <c r="P593" s="381">
        <v>0</v>
      </c>
    </row>
    <row r="594" spans="1:16">
      <c r="A594" t="s">
        <v>1431</v>
      </c>
      <c r="B594" t="s">
        <v>197</v>
      </c>
      <c r="C594" t="s">
        <v>1345</v>
      </c>
      <c r="D594" t="s">
        <v>1345</v>
      </c>
      <c r="E594" t="s">
        <v>49</v>
      </c>
      <c r="F594" t="s">
        <v>1138</v>
      </c>
      <c r="G594" s="381">
        <v>0</v>
      </c>
      <c r="H594" s="381"/>
      <c r="I594" s="381"/>
      <c r="J594" s="381"/>
      <c r="K594" s="381">
        <v>0</v>
      </c>
      <c r="L594" s="381"/>
      <c r="M594" s="381"/>
      <c r="N594" s="381"/>
      <c r="O594" s="381">
        <v>0</v>
      </c>
      <c r="P594" s="381">
        <v>0</v>
      </c>
    </row>
    <row r="595" spans="1:16">
      <c r="A595" t="s">
        <v>2042</v>
      </c>
      <c r="B595" t="s">
        <v>545</v>
      </c>
      <c r="C595" t="s">
        <v>1345</v>
      </c>
      <c r="D595" t="s">
        <v>1480</v>
      </c>
      <c r="E595" t="s">
        <v>389</v>
      </c>
      <c r="F595" t="s">
        <v>1758</v>
      </c>
      <c r="G595" s="381">
        <v>0</v>
      </c>
      <c r="H595" s="381"/>
      <c r="I595" s="381"/>
      <c r="J595" s="381"/>
      <c r="K595" s="381">
        <v>0</v>
      </c>
      <c r="L595" s="381"/>
      <c r="M595" s="381"/>
      <c r="N595" s="381"/>
      <c r="O595" s="381">
        <v>0</v>
      </c>
      <c r="P595" s="381">
        <v>0</v>
      </c>
    </row>
    <row r="596" spans="1:16">
      <c r="A596" t="s">
        <v>2044</v>
      </c>
      <c r="B596" t="s">
        <v>546</v>
      </c>
      <c r="C596" t="s">
        <v>1345</v>
      </c>
      <c r="D596" t="s">
        <v>1480</v>
      </c>
      <c r="E596" t="s">
        <v>389</v>
      </c>
      <c r="F596" t="s">
        <v>1761</v>
      </c>
      <c r="G596" s="381">
        <v>0</v>
      </c>
      <c r="H596" s="381"/>
      <c r="I596" s="381"/>
      <c r="J596" s="381"/>
      <c r="K596" s="381">
        <v>0</v>
      </c>
      <c r="L596" s="381"/>
      <c r="M596" s="381"/>
      <c r="N596" s="381"/>
      <c r="O596" s="381">
        <v>0</v>
      </c>
      <c r="P596" s="381">
        <v>0</v>
      </c>
    </row>
    <row r="597" spans="1:16">
      <c r="A597" t="s">
        <v>2045</v>
      </c>
      <c r="B597" t="s">
        <v>547</v>
      </c>
      <c r="C597" t="s">
        <v>1345</v>
      </c>
      <c r="D597" t="s">
        <v>1480</v>
      </c>
      <c r="E597" t="s">
        <v>389</v>
      </c>
      <c r="F597" t="s">
        <v>2046</v>
      </c>
      <c r="G597" s="381">
        <v>0</v>
      </c>
      <c r="H597" s="381"/>
      <c r="I597" s="381"/>
      <c r="J597" s="381"/>
      <c r="K597" s="381">
        <v>0</v>
      </c>
      <c r="L597" s="381"/>
      <c r="M597" s="381"/>
      <c r="N597" s="381"/>
      <c r="O597" s="381">
        <v>0</v>
      </c>
      <c r="P597" s="381">
        <v>0</v>
      </c>
    </row>
    <row r="598" spans="1:16">
      <c r="A598" t="s">
        <v>2705</v>
      </c>
      <c r="B598" t="s">
        <v>959</v>
      </c>
      <c r="C598" t="s">
        <v>1345</v>
      </c>
      <c r="D598" t="s">
        <v>1480</v>
      </c>
      <c r="E598" t="s">
        <v>639</v>
      </c>
      <c r="F598" t="s">
        <v>2214</v>
      </c>
      <c r="G598" s="381">
        <v>0</v>
      </c>
      <c r="H598" s="381"/>
      <c r="I598" s="381"/>
      <c r="J598" s="381"/>
      <c r="K598" s="381">
        <v>0</v>
      </c>
      <c r="L598" s="381"/>
      <c r="M598" s="381"/>
      <c r="N598" s="381"/>
      <c r="O598" s="381">
        <v>0</v>
      </c>
      <c r="P598" s="381">
        <v>0</v>
      </c>
    </row>
    <row r="599" spans="1:16">
      <c r="A599" t="s">
        <v>2707</v>
      </c>
      <c r="B599" t="s">
        <v>960</v>
      </c>
      <c r="C599" t="s">
        <v>1345</v>
      </c>
      <c r="D599" t="s">
        <v>1480</v>
      </c>
      <c r="E599" t="s">
        <v>639</v>
      </c>
      <c r="F599" t="s">
        <v>2218</v>
      </c>
      <c r="G599" s="381">
        <v>0</v>
      </c>
      <c r="H599" s="381"/>
      <c r="I599" s="381"/>
      <c r="J599" s="381"/>
      <c r="K599" s="381">
        <v>0</v>
      </c>
      <c r="L599" s="381"/>
      <c r="M599" s="381"/>
      <c r="N599" s="381"/>
      <c r="O599" s="381">
        <v>0</v>
      </c>
      <c r="P599" s="381">
        <v>0</v>
      </c>
    </row>
    <row r="600" spans="1:16">
      <c r="A600" t="s">
        <v>2708</v>
      </c>
      <c r="B600" t="s">
        <v>961</v>
      </c>
      <c r="C600" t="s">
        <v>1345</v>
      </c>
      <c r="D600" t="s">
        <v>1480</v>
      </c>
      <c r="E600" t="s">
        <v>639</v>
      </c>
      <c r="F600" t="s">
        <v>2221</v>
      </c>
      <c r="G600" s="381">
        <v>0</v>
      </c>
      <c r="H600" s="381"/>
      <c r="I600" s="381"/>
      <c r="J600" s="381"/>
      <c r="K600" s="381">
        <v>0</v>
      </c>
      <c r="L600" s="381"/>
      <c r="M600" s="381"/>
      <c r="N600" s="381"/>
      <c r="O600" s="381">
        <v>0</v>
      </c>
      <c r="P600" s="381">
        <v>0</v>
      </c>
    </row>
    <row r="601" spans="1:16">
      <c r="A601" t="s">
        <v>2719</v>
      </c>
      <c r="B601" t="s">
        <v>969</v>
      </c>
      <c r="C601" t="s">
        <v>1345</v>
      </c>
      <c r="D601" t="s">
        <v>1480</v>
      </c>
      <c r="E601" t="s">
        <v>639</v>
      </c>
      <c r="F601" t="s">
        <v>2720</v>
      </c>
      <c r="G601" s="381">
        <v>0</v>
      </c>
      <c r="H601" s="381"/>
      <c r="I601" s="381"/>
      <c r="J601" s="381"/>
      <c r="K601" s="381">
        <v>0</v>
      </c>
      <c r="L601" s="381"/>
      <c r="M601" s="381"/>
      <c r="N601" s="381"/>
      <c r="O601" s="381">
        <v>0</v>
      </c>
      <c r="P601" s="381">
        <v>0</v>
      </c>
    </row>
    <row r="602" spans="1:16">
      <c r="A602" t="s">
        <v>2723</v>
      </c>
      <c r="B602" t="s">
        <v>971</v>
      </c>
      <c r="C602" t="s">
        <v>1345</v>
      </c>
      <c r="D602" t="s">
        <v>1480</v>
      </c>
      <c r="E602" t="s">
        <v>639</v>
      </c>
      <c r="F602" t="s">
        <v>2724</v>
      </c>
      <c r="G602" s="381">
        <v>0</v>
      </c>
      <c r="H602" s="381"/>
      <c r="I602" s="381"/>
      <c r="J602" s="381"/>
      <c r="K602" s="381">
        <v>0</v>
      </c>
      <c r="L602" s="381"/>
      <c r="M602" s="381"/>
      <c r="N602" s="381"/>
      <c r="O602" s="381">
        <v>0</v>
      </c>
      <c r="P602" s="381">
        <v>0</v>
      </c>
    </row>
    <row r="603" spans="1:16">
      <c r="A603" t="s">
        <v>1514</v>
      </c>
      <c r="B603" t="s">
        <v>238</v>
      </c>
      <c r="C603" t="s">
        <v>1345</v>
      </c>
      <c r="D603" t="s">
        <v>1515</v>
      </c>
      <c r="E603" t="s">
        <v>49</v>
      </c>
      <c r="F603" t="s">
        <v>1516</v>
      </c>
      <c r="G603" s="381">
        <v>0</v>
      </c>
      <c r="H603" s="381"/>
      <c r="I603" s="381"/>
      <c r="J603" s="381"/>
      <c r="K603" s="381">
        <v>0</v>
      </c>
      <c r="L603" s="381"/>
      <c r="M603" s="381"/>
      <c r="N603" s="381"/>
      <c r="O603" s="381">
        <v>0</v>
      </c>
      <c r="P603" s="381">
        <v>0</v>
      </c>
    </row>
    <row r="604" spans="1:16">
      <c r="A604" t="s">
        <v>1522</v>
      </c>
      <c r="B604" t="s">
        <v>242</v>
      </c>
      <c r="C604" t="s">
        <v>1345</v>
      </c>
      <c r="D604" t="s">
        <v>1515</v>
      </c>
      <c r="E604" t="s">
        <v>49</v>
      </c>
      <c r="F604" t="s">
        <v>1523</v>
      </c>
      <c r="G604" s="381">
        <v>0</v>
      </c>
      <c r="H604" s="381"/>
      <c r="I604" s="381"/>
      <c r="J604" s="381"/>
      <c r="K604" s="381">
        <v>0</v>
      </c>
      <c r="L604" s="381"/>
      <c r="M604" s="381"/>
      <c r="N604" s="381"/>
      <c r="O604" s="381">
        <v>-16643</v>
      </c>
      <c r="P604" s="381">
        <v>-16643</v>
      </c>
    </row>
    <row r="605" spans="1:16">
      <c r="A605" t="s">
        <v>1525</v>
      </c>
      <c r="B605" t="s">
        <v>244</v>
      </c>
      <c r="C605" t="s">
        <v>1345</v>
      </c>
      <c r="D605" t="s">
        <v>1515</v>
      </c>
      <c r="E605" t="s">
        <v>49</v>
      </c>
      <c r="F605" t="s">
        <v>1526</v>
      </c>
      <c r="G605" s="381">
        <v>0</v>
      </c>
      <c r="H605" s="381"/>
      <c r="I605" s="381"/>
      <c r="J605" s="381"/>
      <c r="K605" s="381">
        <v>0</v>
      </c>
      <c r="L605" s="381"/>
      <c r="M605" s="381"/>
      <c r="N605" s="381"/>
      <c r="O605" s="381">
        <v>-24166.67</v>
      </c>
      <c r="P605" s="381">
        <v>-24166.67</v>
      </c>
    </row>
    <row r="606" spans="1:16">
      <c r="A606" t="s">
        <v>1538</v>
      </c>
      <c r="B606" t="s">
        <v>253</v>
      </c>
      <c r="C606" t="s">
        <v>1345</v>
      </c>
      <c r="D606" t="s">
        <v>1515</v>
      </c>
      <c r="E606" t="s">
        <v>49</v>
      </c>
      <c r="F606" t="s">
        <v>1539</v>
      </c>
      <c r="G606" s="381">
        <v>0</v>
      </c>
      <c r="H606" s="381"/>
      <c r="I606" s="381"/>
      <c r="J606" s="381"/>
      <c r="K606" s="381">
        <v>0</v>
      </c>
      <c r="L606" s="381"/>
      <c r="M606" s="381"/>
      <c r="N606" s="381"/>
      <c r="O606" s="381">
        <v>40810</v>
      </c>
      <c r="P606" s="381">
        <v>40810</v>
      </c>
    </row>
    <row r="607" spans="1:16">
      <c r="A607" t="s">
        <v>1853</v>
      </c>
      <c r="B607" t="s">
        <v>1854</v>
      </c>
      <c r="C607" t="s">
        <v>1135</v>
      </c>
      <c r="D607" t="s">
        <v>1137</v>
      </c>
      <c r="E607" t="s">
        <v>389</v>
      </c>
      <c r="F607" t="s">
        <v>1855</v>
      </c>
      <c r="G607" s="381">
        <v>0</v>
      </c>
      <c r="H607" s="381"/>
      <c r="I607" s="381"/>
      <c r="J607" s="381"/>
      <c r="K607" s="381">
        <v>0</v>
      </c>
      <c r="L607" s="381"/>
      <c r="M607" s="381"/>
      <c r="N607" s="381"/>
      <c r="O607" s="381">
        <v>500</v>
      </c>
      <c r="P607" s="381">
        <v>500</v>
      </c>
    </row>
    <row r="608" spans="1:16">
      <c r="A608" t="s">
        <v>1706</v>
      </c>
      <c r="B608" t="s">
        <v>1707</v>
      </c>
      <c r="C608" t="s">
        <v>1135</v>
      </c>
      <c r="D608" t="s">
        <v>1145</v>
      </c>
      <c r="E608" t="s">
        <v>342</v>
      </c>
      <c r="F608" t="s">
        <v>1708</v>
      </c>
      <c r="G608" s="381">
        <v>0</v>
      </c>
      <c r="H608" s="381"/>
      <c r="I608" s="381"/>
      <c r="J608" s="381"/>
      <c r="K608" s="381">
        <v>0</v>
      </c>
      <c r="L608" s="381"/>
      <c r="M608" s="381"/>
      <c r="N608" s="381"/>
      <c r="O608" s="381">
        <v>0</v>
      </c>
      <c r="P608" s="381">
        <v>0</v>
      </c>
    </row>
    <row r="609" spans="1:16">
      <c r="A609" t="s">
        <v>1711</v>
      </c>
      <c r="B609" t="s">
        <v>1712</v>
      </c>
      <c r="C609" t="s">
        <v>1135</v>
      </c>
      <c r="D609" t="s">
        <v>1145</v>
      </c>
      <c r="E609" t="s">
        <v>342</v>
      </c>
      <c r="F609" t="s">
        <v>1713</v>
      </c>
      <c r="G609" s="381">
        <v>0</v>
      </c>
      <c r="H609" s="381"/>
      <c r="I609" s="381"/>
      <c r="J609" s="381"/>
      <c r="K609" s="381">
        <v>0</v>
      </c>
      <c r="L609" s="381"/>
      <c r="M609" s="381"/>
      <c r="N609" s="381"/>
      <c r="O609" s="381">
        <v>0</v>
      </c>
      <c r="P609" s="381">
        <v>0</v>
      </c>
    </row>
    <row r="610" spans="1:16">
      <c r="A610" t="s">
        <v>1714</v>
      </c>
      <c r="B610" t="s">
        <v>1715</v>
      </c>
      <c r="C610" t="s">
        <v>1135</v>
      </c>
      <c r="D610" t="s">
        <v>1145</v>
      </c>
      <c r="E610" t="s">
        <v>342</v>
      </c>
      <c r="F610" t="s">
        <v>1716</v>
      </c>
      <c r="G610" s="381">
        <v>0</v>
      </c>
      <c r="H610" s="381"/>
      <c r="I610" s="381"/>
      <c r="J610" s="381"/>
      <c r="K610" s="381">
        <v>0</v>
      </c>
      <c r="L610" s="381"/>
      <c r="M610" s="381"/>
      <c r="N610" s="381"/>
      <c r="O610" s="381">
        <v>0</v>
      </c>
      <c r="P610" s="381">
        <v>0</v>
      </c>
    </row>
    <row r="611" spans="1:16">
      <c r="A611" t="s">
        <v>1718</v>
      </c>
      <c r="B611" t="s">
        <v>1719</v>
      </c>
      <c r="C611" t="s">
        <v>1135</v>
      </c>
      <c r="D611" t="s">
        <v>1145</v>
      </c>
      <c r="E611" t="s">
        <v>342</v>
      </c>
      <c r="F611" t="s">
        <v>1720</v>
      </c>
      <c r="G611" s="381">
        <v>0</v>
      </c>
      <c r="H611" s="381"/>
      <c r="I611" s="381"/>
      <c r="J611" s="381"/>
      <c r="K611" s="381">
        <v>0</v>
      </c>
      <c r="L611" s="381"/>
      <c r="M611" s="381"/>
      <c r="N611" s="381"/>
      <c r="O611" s="381">
        <v>0</v>
      </c>
      <c r="P611" s="381">
        <v>0</v>
      </c>
    </row>
    <row r="612" spans="1:16">
      <c r="A612" t="s">
        <v>2325</v>
      </c>
      <c r="B612" t="s">
        <v>2326</v>
      </c>
      <c r="C612" t="s">
        <v>1135</v>
      </c>
      <c r="D612" t="s">
        <v>1145</v>
      </c>
      <c r="E612" t="s">
        <v>639</v>
      </c>
      <c r="F612" t="s">
        <v>2327</v>
      </c>
      <c r="G612" s="381">
        <v>0</v>
      </c>
      <c r="H612" s="381"/>
      <c r="I612" s="381"/>
      <c r="J612" s="381"/>
      <c r="K612" s="381">
        <v>0</v>
      </c>
      <c r="L612" s="381"/>
      <c r="M612" s="381"/>
      <c r="N612" s="381"/>
      <c r="O612" s="381">
        <v>0</v>
      </c>
      <c r="P612" s="381">
        <v>0</v>
      </c>
    </row>
    <row r="613" spans="1:16">
      <c r="A613" t="s">
        <v>2330</v>
      </c>
      <c r="B613" t="s">
        <v>2331</v>
      </c>
      <c r="C613" t="s">
        <v>1135</v>
      </c>
      <c r="D613" t="s">
        <v>1145</v>
      </c>
      <c r="E613" t="s">
        <v>639</v>
      </c>
      <c r="F613" t="s">
        <v>2332</v>
      </c>
      <c r="G613" s="381">
        <v>0</v>
      </c>
      <c r="H613" s="381"/>
      <c r="I613" s="381"/>
      <c r="J613" s="381"/>
      <c r="K613" s="381">
        <v>0</v>
      </c>
      <c r="L613" s="381"/>
      <c r="M613" s="381"/>
      <c r="N613" s="381"/>
      <c r="O613" s="381">
        <v>0</v>
      </c>
      <c r="P613" s="381">
        <v>0</v>
      </c>
    </row>
    <row r="614" spans="1:16">
      <c r="A614" t="s">
        <v>2454</v>
      </c>
      <c r="B614" t="s">
        <v>2455</v>
      </c>
      <c r="C614" t="s">
        <v>1135</v>
      </c>
      <c r="D614" t="s">
        <v>1145</v>
      </c>
      <c r="E614" t="s">
        <v>639</v>
      </c>
      <c r="F614" t="s">
        <v>2456</v>
      </c>
      <c r="G614" s="381">
        <v>0</v>
      </c>
      <c r="H614" s="381"/>
      <c r="I614" s="381"/>
      <c r="J614" s="381"/>
      <c r="K614" s="381">
        <v>0</v>
      </c>
      <c r="L614" s="381"/>
      <c r="M614" s="381"/>
      <c r="N614" s="381"/>
      <c r="O614" s="381">
        <v>0</v>
      </c>
      <c r="P614" s="381">
        <v>0</v>
      </c>
    </row>
    <row r="615" spans="1:16">
      <c r="A615" t="s">
        <v>2459</v>
      </c>
      <c r="B615" t="s">
        <v>2460</v>
      </c>
      <c r="C615" t="s">
        <v>1135</v>
      </c>
      <c r="D615" t="s">
        <v>1145</v>
      </c>
      <c r="E615" t="s">
        <v>639</v>
      </c>
      <c r="F615" t="s">
        <v>2461</v>
      </c>
      <c r="G615" s="381">
        <v>0</v>
      </c>
      <c r="H615" s="381"/>
      <c r="I615" s="381"/>
      <c r="J615" s="381"/>
      <c r="K615" s="381">
        <v>0</v>
      </c>
      <c r="L615" s="381"/>
      <c r="M615" s="381"/>
      <c r="N615" s="381"/>
      <c r="O615" s="381">
        <v>0</v>
      </c>
      <c r="P615" s="381">
        <v>0</v>
      </c>
    </row>
    <row r="616" spans="1:16">
      <c r="A616" t="s">
        <v>2512</v>
      </c>
      <c r="B616" t="s">
        <v>2513</v>
      </c>
      <c r="C616" t="s">
        <v>1135</v>
      </c>
      <c r="D616" t="s">
        <v>1145</v>
      </c>
      <c r="E616" t="s">
        <v>639</v>
      </c>
      <c r="F616" t="s">
        <v>2514</v>
      </c>
      <c r="G616" s="381">
        <v>0</v>
      </c>
      <c r="H616" s="381"/>
      <c r="I616" s="381"/>
      <c r="J616" s="381"/>
      <c r="K616" s="381">
        <v>0</v>
      </c>
      <c r="L616" s="381"/>
      <c r="M616" s="381"/>
      <c r="N616" s="381"/>
      <c r="O616" s="381">
        <v>0</v>
      </c>
      <c r="P616" s="381">
        <v>0</v>
      </c>
    </row>
    <row r="617" spans="1:16">
      <c r="A617" t="s">
        <v>2515</v>
      </c>
      <c r="B617" t="s">
        <v>2516</v>
      </c>
      <c r="C617" t="s">
        <v>1135</v>
      </c>
      <c r="D617" t="s">
        <v>1145</v>
      </c>
      <c r="E617" t="s">
        <v>639</v>
      </c>
      <c r="F617" t="s">
        <v>2517</v>
      </c>
      <c r="G617" s="381">
        <v>0</v>
      </c>
      <c r="H617" s="381"/>
      <c r="I617" s="381"/>
      <c r="J617" s="381"/>
      <c r="K617" s="381">
        <v>0</v>
      </c>
      <c r="L617" s="381"/>
      <c r="M617" s="381"/>
      <c r="N617" s="381"/>
      <c r="O617" s="381">
        <v>0</v>
      </c>
      <c r="P617" s="381">
        <v>0</v>
      </c>
    </row>
    <row r="618" spans="1:16">
      <c r="A618" t="s">
        <v>2529</v>
      </c>
      <c r="B618" t="s">
        <v>2530</v>
      </c>
      <c r="C618" t="s">
        <v>1135</v>
      </c>
      <c r="D618" t="s">
        <v>1145</v>
      </c>
      <c r="E618" t="s">
        <v>639</v>
      </c>
      <c r="F618" t="s">
        <v>2531</v>
      </c>
      <c r="G618" s="381">
        <v>0</v>
      </c>
      <c r="H618" s="381"/>
      <c r="I618" s="381"/>
      <c r="J618" s="381"/>
      <c r="K618" s="381">
        <v>0</v>
      </c>
      <c r="L618" s="381"/>
      <c r="M618" s="381"/>
      <c r="N618" s="381"/>
      <c r="O618" s="381">
        <v>0</v>
      </c>
      <c r="P618" s="381">
        <v>0</v>
      </c>
    </row>
    <row r="619" spans="1:16">
      <c r="A619" t="s">
        <v>2533</v>
      </c>
      <c r="B619" t="s">
        <v>2534</v>
      </c>
      <c r="C619" t="s">
        <v>1135</v>
      </c>
      <c r="D619" t="s">
        <v>1145</v>
      </c>
      <c r="E619" t="s">
        <v>639</v>
      </c>
      <c r="F619" t="s">
        <v>2535</v>
      </c>
      <c r="G619" s="381">
        <v>0</v>
      </c>
      <c r="H619" s="381"/>
      <c r="I619" s="381"/>
      <c r="J619" s="381"/>
      <c r="K619" s="381">
        <v>0</v>
      </c>
      <c r="L619" s="381"/>
      <c r="M619" s="381"/>
      <c r="N619" s="381"/>
      <c r="O619" s="381">
        <v>0</v>
      </c>
      <c r="P619" s="381">
        <v>0</v>
      </c>
    </row>
    <row r="620" spans="1:16">
      <c r="A620" t="s">
        <v>2536</v>
      </c>
      <c r="B620" t="s">
        <v>2537</v>
      </c>
      <c r="C620" t="s">
        <v>1135</v>
      </c>
      <c r="D620" t="s">
        <v>1145</v>
      </c>
      <c r="E620" t="s">
        <v>639</v>
      </c>
      <c r="F620" t="s">
        <v>2538</v>
      </c>
      <c r="G620" s="381">
        <v>0</v>
      </c>
      <c r="H620" s="381"/>
      <c r="I620" s="381"/>
      <c r="J620" s="381"/>
      <c r="K620" s="381">
        <v>0</v>
      </c>
      <c r="L620" s="381"/>
      <c r="M620" s="381"/>
      <c r="N620" s="381"/>
      <c r="O620" s="381">
        <v>0</v>
      </c>
      <c r="P620" s="381">
        <v>0</v>
      </c>
    </row>
    <row r="621" spans="1:16">
      <c r="A621" t="s">
        <v>2539</v>
      </c>
      <c r="B621" t="s">
        <v>2540</v>
      </c>
      <c r="C621" t="s">
        <v>1135</v>
      </c>
      <c r="D621" t="s">
        <v>1145</v>
      </c>
      <c r="E621" t="s">
        <v>639</v>
      </c>
      <c r="F621" t="s">
        <v>2541</v>
      </c>
      <c r="G621" s="381">
        <v>0</v>
      </c>
      <c r="H621" s="381"/>
      <c r="I621" s="381"/>
      <c r="J621" s="381"/>
      <c r="K621" s="381">
        <v>0</v>
      </c>
      <c r="L621" s="381"/>
      <c r="M621" s="381"/>
      <c r="N621" s="381"/>
      <c r="O621" s="381">
        <v>0</v>
      </c>
      <c r="P621" s="381">
        <v>0</v>
      </c>
    </row>
    <row r="622" spans="1:16">
      <c r="A622" t="s">
        <v>2542</v>
      </c>
      <c r="B622" t="s">
        <v>2543</v>
      </c>
      <c r="C622" t="s">
        <v>1135</v>
      </c>
      <c r="D622" t="s">
        <v>1145</v>
      </c>
      <c r="E622" t="s">
        <v>639</v>
      </c>
      <c r="F622" t="s">
        <v>2544</v>
      </c>
      <c r="G622" s="381">
        <v>0</v>
      </c>
      <c r="H622" s="381"/>
      <c r="I622" s="381"/>
      <c r="J622" s="381"/>
      <c r="K622" s="381">
        <v>0</v>
      </c>
      <c r="L622" s="381"/>
      <c r="M622" s="381"/>
      <c r="N622" s="381"/>
      <c r="O622" s="381">
        <v>0</v>
      </c>
      <c r="P622" s="381">
        <v>0</v>
      </c>
    </row>
    <row r="623" spans="1:16">
      <c r="A623" t="s">
        <v>2547</v>
      </c>
      <c r="B623" t="s">
        <v>2548</v>
      </c>
      <c r="C623" t="s">
        <v>1135</v>
      </c>
      <c r="D623" t="s">
        <v>1145</v>
      </c>
      <c r="E623" t="s">
        <v>639</v>
      </c>
      <c r="F623" t="s">
        <v>2549</v>
      </c>
      <c r="G623" s="381">
        <v>0</v>
      </c>
      <c r="H623" s="381"/>
      <c r="I623" s="381"/>
      <c r="J623" s="381"/>
      <c r="K623" s="381">
        <v>0</v>
      </c>
      <c r="L623" s="381"/>
      <c r="M623" s="381"/>
      <c r="N623" s="381"/>
      <c r="O623" s="381">
        <v>0</v>
      </c>
      <c r="P623" s="381">
        <v>0</v>
      </c>
    </row>
    <row r="624" spans="1:16">
      <c r="A624" t="s">
        <v>2561</v>
      </c>
      <c r="B624" t="s">
        <v>2562</v>
      </c>
      <c r="C624" t="s">
        <v>1135</v>
      </c>
      <c r="D624" t="s">
        <v>1145</v>
      </c>
      <c r="E624" t="s">
        <v>639</v>
      </c>
      <c r="F624" t="s">
        <v>2563</v>
      </c>
      <c r="G624" s="381">
        <v>0</v>
      </c>
      <c r="H624" s="381"/>
      <c r="I624" s="381"/>
      <c r="J624" s="381"/>
      <c r="K624" s="381">
        <v>0</v>
      </c>
      <c r="L624" s="381"/>
      <c r="M624" s="381"/>
      <c r="N624" s="381"/>
      <c r="O624" s="381">
        <v>0</v>
      </c>
      <c r="P624" s="381">
        <v>0</v>
      </c>
    </row>
    <row r="625" spans="1:16">
      <c r="A625" t="s">
        <v>1580</v>
      </c>
      <c r="B625" t="s">
        <v>1581</v>
      </c>
      <c r="C625" t="s">
        <v>1567</v>
      </c>
      <c r="D625" t="s">
        <v>1567</v>
      </c>
      <c r="E625" t="s">
        <v>49</v>
      </c>
      <c r="F625" t="s">
        <v>1582</v>
      </c>
      <c r="G625" s="381">
        <v>0</v>
      </c>
      <c r="H625" s="381"/>
      <c r="I625" s="381"/>
      <c r="J625" s="381"/>
      <c r="K625" s="381">
        <v>0</v>
      </c>
      <c r="L625" s="381"/>
      <c r="M625" s="381"/>
      <c r="N625" s="381"/>
      <c r="O625" s="381">
        <v>0</v>
      </c>
      <c r="P625" s="381">
        <v>0</v>
      </c>
    </row>
    <row r="626" spans="1:16">
      <c r="A626" t="s">
        <v>1621</v>
      </c>
      <c r="B626" t="s">
        <v>1622</v>
      </c>
      <c r="C626" t="s">
        <v>1567</v>
      </c>
      <c r="D626" t="s">
        <v>1567</v>
      </c>
      <c r="E626" t="s">
        <v>49</v>
      </c>
      <c r="F626" t="s">
        <v>1623</v>
      </c>
      <c r="G626" s="381">
        <v>0</v>
      </c>
      <c r="H626" s="381"/>
      <c r="I626" s="381"/>
      <c r="J626" s="381"/>
      <c r="K626" s="381">
        <v>0</v>
      </c>
      <c r="L626" s="381"/>
      <c r="M626" s="381"/>
      <c r="N626" s="381"/>
      <c r="O626" s="381"/>
      <c r="P626" s="381"/>
    </row>
    <row r="627" spans="1:16">
      <c r="A627" t="s">
        <v>1624</v>
      </c>
      <c r="B627" t="s">
        <v>1625</v>
      </c>
      <c r="C627" t="s">
        <v>1567</v>
      </c>
      <c r="D627" t="s">
        <v>1567</v>
      </c>
      <c r="E627" t="s">
        <v>49</v>
      </c>
      <c r="F627" t="s">
        <v>1626</v>
      </c>
      <c r="G627" s="381">
        <v>0</v>
      </c>
      <c r="H627" s="381"/>
      <c r="I627" s="381"/>
      <c r="J627" s="381"/>
      <c r="K627" s="381">
        <v>0</v>
      </c>
      <c r="L627" s="381"/>
      <c r="M627" s="381"/>
      <c r="N627" s="381"/>
      <c r="O627" s="381">
        <v>0</v>
      </c>
      <c r="P627" s="381">
        <v>0</v>
      </c>
    </row>
    <row r="628" spans="1:16">
      <c r="A628" t="s">
        <v>1248</v>
      </c>
      <c r="B628" t="s">
        <v>1249</v>
      </c>
      <c r="C628" t="s">
        <v>1135</v>
      </c>
      <c r="D628" t="s">
        <v>1156</v>
      </c>
      <c r="E628" t="s">
        <v>49</v>
      </c>
      <c r="F628" t="s">
        <v>1250</v>
      </c>
      <c r="G628" s="381">
        <v>0</v>
      </c>
      <c r="H628" s="381"/>
      <c r="I628" s="381"/>
      <c r="J628" s="381"/>
      <c r="K628" s="381">
        <v>0</v>
      </c>
      <c r="L628" s="381"/>
      <c r="M628" s="381"/>
      <c r="N628" s="381"/>
      <c r="O628" s="381">
        <v>0</v>
      </c>
      <c r="P628" s="381">
        <v>0</v>
      </c>
    </row>
    <row r="629" spans="1:16">
      <c r="A629" t="s">
        <v>2225</v>
      </c>
      <c r="B629" t="s">
        <v>2226</v>
      </c>
      <c r="C629" t="s">
        <v>1135</v>
      </c>
      <c r="D629" t="s">
        <v>1156</v>
      </c>
      <c r="E629" t="s">
        <v>639</v>
      </c>
      <c r="F629" t="s">
        <v>2227</v>
      </c>
      <c r="G629" s="381">
        <v>0</v>
      </c>
      <c r="H629" s="381"/>
      <c r="I629" s="381"/>
      <c r="J629" s="381"/>
      <c r="K629" s="381">
        <v>0</v>
      </c>
      <c r="L629" s="381"/>
      <c r="M629" s="381"/>
      <c r="N629" s="381"/>
      <c r="O629" s="381">
        <v>0</v>
      </c>
      <c r="P629" s="381">
        <v>0</v>
      </c>
    </row>
    <row r="630" spans="1:16">
      <c r="A630" t="s">
        <v>2445</v>
      </c>
      <c r="B630" t="s">
        <v>2446</v>
      </c>
      <c r="C630" t="s">
        <v>1135</v>
      </c>
      <c r="D630" t="s">
        <v>1156</v>
      </c>
      <c r="E630" t="s">
        <v>639</v>
      </c>
      <c r="F630" t="s">
        <v>2447</v>
      </c>
      <c r="G630" s="381">
        <v>0</v>
      </c>
      <c r="H630" s="381"/>
      <c r="I630" s="381"/>
      <c r="J630" s="381"/>
      <c r="K630" s="381">
        <v>0</v>
      </c>
      <c r="L630" s="381"/>
      <c r="M630" s="381"/>
      <c r="N630" s="381"/>
      <c r="O630" s="381">
        <v>0</v>
      </c>
      <c r="P630" s="381">
        <v>0</v>
      </c>
    </row>
    <row r="631" spans="1:16">
      <c r="A631" t="s">
        <v>2450</v>
      </c>
      <c r="B631" t="s">
        <v>2451</v>
      </c>
      <c r="C631" t="s">
        <v>1135</v>
      </c>
      <c r="D631" t="s">
        <v>1156</v>
      </c>
      <c r="E631" t="s">
        <v>639</v>
      </c>
      <c r="F631" t="s">
        <v>2452</v>
      </c>
      <c r="G631" s="381">
        <v>0</v>
      </c>
      <c r="H631" s="381"/>
      <c r="I631" s="381"/>
      <c r="J631" s="381"/>
      <c r="K631" s="381">
        <v>0</v>
      </c>
      <c r="L631" s="381"/>
      <c r="M631" s="381"/>
      <c r="N631" s="381"/>
      <c r="O631" s="381">
        <v>0</v>
      </c>
      <c r="P631" s="381">
        <v>0</v>
      </c>
    </row>
    <row r="632" spans="1:16">
      <c r="A632" t="s">
        <v>2429</v>
      </c>
      <c r="B632" t="s">
        <v>2430</v>
      </c>
      <c r="C632" t="s">
        <v>1135</v>
      </c>
      <c r="D632" t="s">
        <v>1161</v>
      </c>
      <c r="E632" t="s">
        <v>639</v>
      </c>
      <c r="F632" t="s">
        <v>2431</v>
      </c>
      <c r="G632" s="381">
        <v>0</v>
      </c>
      <c r="H632" s="381"/>
      <c r="I632" s="381"/>
      <c r="J632" s="381"/>
      <c r="K632" s="381">
        <v>0</v>
      </c>
      <c r="L632" s="381"/>
      <c r="M632" s="381"/>
      <c r="N632" s="381"/>
      <c r="O632" s="381">
        <v>0</v>
      </c>
      <c r="P632" s="381">
        <v>0</v>
      </c>
    </row>
    <row r="633" spans="1:16">
      <c r="A633" t="s">
        <v>2435</v>
      </c>
      <c r="B633" t="s">
        <v>2436</v>
      </c>
      <c r="C633" t="s">
        <v>1135</v>
      </c>
      <c r="D633" t="s">
        <v>1161</v>
      </c>
      <c r="E633" t="s">
        <v>639</v>
      </c>
      <c r="F633" t="s">
        <v>2437</v>
      </c>
      <c r="G633" s="381">
        <v>0</v>
      </c>
      <c r="H633" s="381"/>
      <c r="I633" s="381"/>
      <c r="J633" s="381"/>
      <c r="K633" s="381">
        <v>0</v>
      </c>
      <c r="L633" s="381"/>
      <c r="M633" s="381"/>
      <c r="N633" s="381"/>
      <c r="O633" s="381">
        <v>0</v>
      </c>
      <c r="P633" s="381">
        <v>0</v>
      </c>
    </row>
    <row r="634" spans="1:16">
      <c r="A634" t="s">
        <v>2812</v>
      </c>
      <c r="B634" t="s">
        <v>1019</v>
      </c>
      <c r="C634" t="s">
        <v>1650</v>
      </c>
      <c r="D634" t="s">
        <v>1650</v>
      </c>
      <c r="E634" t="s">
        <v>639</v>
      </c>
      <c r="F634" t="s">
        <v>2813</v>
      </c>
      <c r="G634" s="381">
        <v>0</v>
      </c>
      <c r="H634" s="381"/>
      <c r="I634" s="381"/>
      <c r="J634" s="381"/>
      <c r="K634" s="381">
        <v>0</v>
      </c>
      <c r="L634" s="381"/>
      <c r="M634" s="381"/>
      <c r="N634" s="381"/>
      <c r="O634" s="381">
        <v>0</v>
      </c>
      <c r="P634" s="381">
        <v>0</v>
      </c>
    </row>
    <row r="635" spans="1:16">
      <c r="A635" t="s">
        <v>1751</v>
      </c>
      <c r="B635" t="s">
        <v>1752</v>
      </c>
      <c r="C635" t="s">
        <v>1135</v>
      </c>
      <c r="D635" t="s">
        <v>1165</v>
      </c>
      <c r="E635" t="s">
        <v>389</v>
      </c>
      <c r="F635" t="s">
        <v>1753</v>
      </c>
      <c r="G635" s="381">
        <v>0</v>
      </c>
      <c r="H635" s="381"/>
      <c r="I635" s="381"/>
      <c r="J635" s="381"/>
      <c r="K635" s="381">
        <v>0</v>
      </c>
      <c r="L635" s="381"/>
      <c r="M635" s="381"/>
      <c r="N635" s="381"/>
      <c r="O635" s="381"/>
      <c r="P635" s="381"/>
    </row>
    <row r="636" spans="1:16">
      <c r="A636" t="s">
        <v>2307</v>
      </c>
      <c r="B636" t="s">
        <v>2308</v>
      </c>
      <c r="C636" t="s">
        <v>1135</v>
      </c>
      <c r="D636" t="s">
        <v>1165</v>
      </c>
      <c r="E636" t="s">
        <v>639</v>
      </c>
      <c r="F636" t="s">
        <v>2309</v>
      </c>
      <c r="G636" s="381">
        <v>0</v>
      </c>
      <c r="H636" s="381"/>
      <c r="I636" s="381">
        <v>115764.16</v>
      </c>
      <c r="J636" s="381"/>
      <c r="K636" s="381">
        <v>0</v>
      </c>
      <c r="L636" s="381"/>
      <c r="M636" s="381">
        <v>115764.16</v>
      </c>
      <c r="N636" s="381"/>
      <c r="O636" s="381">
        <v>0</v>
      </c>
      <c r="P636" s="381">
        <v>0</v>
      </c>
    </row>
    <row r="637" spans="1:16">
      <c r="A637" t="s">
        <v>2311</v>
      </c>
      <c r="B637" t="s">
        <v>2312</v>
      </c>
      <c r="C637" t="s">
        <v>1135</v>
      </c>
      <c r="D637" t="s">
        <v>1165</v>
      </c>
      <c r="E637" t="s">
        <v>639</v>
      </c>
      <c r="F637" t="s">
        <v>2313</v>
      </c>
      <c r="G637" s="381">
        <v>0</v>
      </c>
      <c r="H637" s="381"/>
      <c r="I637" s="381"/>
      <c r="J637" s="381"/>
      <c r="K637" s="381">
        <v>0</v>
      </c>
      <c r="L637" s="381"/>
      <c r="M637" s="381"/>
      <c r="N637" s="381"/>
      <c r="O637" s="381">
        <v>0</v>
      </c>
      <c r="P637" s="381">
        <v>0</v>
      </c>
    </row>
    <row r="638" spans="1:16">
      <c r="A638" t="s">
        <v>2316</v>
      </c>
      <c r="B638" t="s">
        <v>2317</v>
      </c>
      <c r="C638" t="s">
        <v>1135</v>
      </c>
      <c r="D638" t="s">
        <v>1165</v>
      </c>
      <c r="E638" t="s">
        <v>639</v>
      </c>
      <c r="F638" t="s">
        <v>2318</v>
      </c>
      <c r="G638" s="381">
        <v>0</v>
      </c>
      <c r="H638" s="381"/>
      <c r="I638" s="381"/>
      <c r="J638" s="381"/>
      <c r="K638" s="381">
        <v>0</v>
      </c>
      <c r="L638" s="381"/>
      <c r="M638" s="381"/>
      <c r="N638" s="381"/>
      <c r="O638" s="381">
        <v>0</v>
      </c>
      <c r="P638" s="381">
        <v>0</v>
      </c>
    </row>
    <row r="639" spans="1:16">
      <c r="A639" t="s">
        <v>2736</v>
      </c>
      <c r="B639" t="s">
        <v>2737</v>
      </c>
      <c r="C639" t="s">
        <v>1345</v>
      </c>
      <c r="D639" t="s">
        <v>1481</v>
      </c>
      <c r="E639" t="s">
        <v>639</v>
      </c>
      <c r="F639" t="s">
        <v>1486</v>
      </c>
      <c r="G639" s="381">
        <v>0</v>
      </c>
      <c r="H639" s="381">
        <v>0</v>
      </c>
      <c r="I639" s="381">
        <v>0</v>
      </c>
      <c r="J639" s="381">
        <v>0</v>
      </c>
      <c r="K639" s="381">
        <v>0</v>
      </c>
      <c r="L639" s="381">
        <v>0</v>
      </c>
      <c r="M639" s="381">
        <v>0</v>
      </c>
      <c r="N639" s="381">
        <v>0</v>
      </c>
      <c r="O639" s="381">
        <v>0</v>
      </c>
      <c r="P639" s="381">
        <v>0</v>
      </c>
    </row>
    <row r="640" spans="1:16">
      <c r="A640" t="s">
        <v>2692</v>
      </c>
      <c r="B640" t="s">
        <v>2693</v>
      </c>
      <c r="C640" t="s">
        <v>1345</v>
      </c>
      <c r="D640" t="s">
        <v>1437</v>
      </c>
      <c r="E640" t="s">
        <v>639</v>
      </c>
      <c r="F640" t="s">
        <v>2694</v>
      </c>
      <c r="G640" s="381">
        <v>0</v>
      </c>
      <c r="H640" s="381"/>
      <c r="I640" s="381"/>
      <c r="J640" s="381"/>
      <c r="K640" s="381">
        <v>0</v>
      </c>
      <c r="L640" s="381"/>
      <c r="M640" s="381"/>
      <c r="N640" s="381"/>
      <c r="O640" s="381">
        <v>0</v>
      </c>
      <c r="P640" s="381">
        <v>0</v>
      </c>
    </row>
    <row r="641" spans="1:16">
      <c r="A641" t="s">
        <v>2696</v>
      </c>
      <c r="B641" t="s">
        <v>2697</v>
      </c>
      <c r="C641" t="s">
        <v>1345</v>
      </c>
      <c r="D641" t="s">
        <v>1437</v>
      </c>
      <c r="E641" t="s">
        <v>639</v>
      </c>
      <c r="F641" t="s">
        <v>2698</v>
      </c>
      <c r="G641" s="381">
        <v>0</v>
      </c>
      <c r="H641" s="381"/>
      <c r="I641" s="381"/>
      <c r="J641" s="381"/>
      <c r="K641" s="381">
        <v>0</v>
      </c>
      <c r="L641" s="381"/>
      <c r="M641" s="381"/>
      <c r="N641" s="381"/>
      <c r="O641" s="381">
        <v>0</v>
      </c>
      <c r="P641" s="381">
        <v>0</v>
      </c>
    </row>
    <row r="642" spans="1:16">
      <c r="A642" t="s">
        <v>1767</v>
      </c>
      <c r="B642" t="s">
        <v>1768</v>
      </c>
      <c r="C642" t="s">
        <v>1135</v>
      </c>
      <c r="D642" t="s">
        <v>1145</v>
      </c>
      <c r="E642" t="s">
        <v>389</v>
      </c>
      <c r="F642" t="s">
        <v>1769</v>
      </c>
      <c r="G642" s="381">
        <v>19</v>
      </c>
      <c r="H642" s="381"/>
      <c r="I642" s="381"/>
      <c r="J642" s="381"/>
      <c r="K642" s="381">
        <v>0</v>
      </c>
      <c r="L642" s="381"/>
      <c r="M642" s="381"/>
      <c r="N642" s="381"/>
      <c r="O642" s="381"/>
      <c r="P642" s="381"/>
    </row>
    <row r="643" spans="1:16">
      <c r="A643" t="s">
        <v>1770</v>
      </c>
      <c r="B643" t="s">
        <v>1771</v>
      </c>
      <c r="C643" t="s">
        <v>1135</v>
      </c>
      <c r="D643" t="s">
        <v>1145</v>
      </c>
      <c r="E643" t="s">
        <v>389</v>
      </c>
      <c r="F643" t="s">
        <v>1772</v>
      </c>
      <c r="G643" s="381">
        <v>190</v>
      </c>
      <c r="H643" s="381"/>
      <c r="I643" s="381"/>
      <c r="J643" s="381"/>
      <c r="K643" s="381">
        <v>0</v>
      </c>
      <c r="L643" s="381"/>
      <c r="M643" s="381"/>
      <c r="N643" s="381"/>
      <c r="O643" s="381"/>
      <c r="P643" s="381"/>
    </row>
    <row r="644" spans="1:16">
      <c r="A644" t="s">
        <v>2753</v>
      </c>
      <c r="B644" t="s">
        <v>2754</v>
      </c>
      <c r="C644" t="s">
        <v>1567</v>
      </c>
      <c r="D644" t="s">
        <v>1567</v>
      </c>
      <c r="E644" t="s">
        <v>639</v>
      </c>
      <c r="F644" t="s">
        <v>2232</v>
      </c>
      <c r="G644" s="381">
        <v>-920.3</v>
      </c>
      <c r="H644" s="381"/>
      <c r="I644" s="381"/>
      <c r="J644" s="381"/>
      <c r="K644" s="381">
        <v>0</v>
      </c>
      <c r="L644" s="381"/>
      <c r="M644" s="381"/>
      <c r="N644" s="381"/>
      <c r="O644" s="381"/>
      <c r="P644" s="381"/>
    </row>
    <row r="645" spans="1:16">
      <c r="A645" t="s">
        <v>2230</v>
      </c>
      <c r="B645" t="s">
        <v>2231</v>
      </c>
      <c r="C645" t="s">
        <v>1135</v>
      </c>
      <c r="D645" t="s">
        <v>1137</v>
      </c>
      <c r="E645" t="s">
        <v>639</v>
      </c>
      <c r="F645" t="s">
        <v>2232</v>
      </c>
      <c r="G645" s="381">
        <v>-4832.8900000000003</v>
      </c>
      <c r="H645" s="381"/>
      <c r="I645" s="381"/>
      <c r="J645" s="381"/>
      <c r="K645" s="381">
        <v>0</v>
      </c>
      <c r="L645" s="381"/>
      <c r="M645" s="381"/>
      <c r="N645" s="381"/>
      <c r="O645" s="381"/>
      <c r="P645" s="381"/>
    </row>
    <row r="646" spans="1:16">
      <c r="A646" t="s">
        <v>2756</v>
      </c>
      <c r="B646" t="s">
        <v>2757</v>
      </c>
      <c r="C646" t="s">
        <v>1567</v>
      </c>
      <c r="D646" t="s">
        <v>1567</v>
      </c>
      <c r="E646" t="s">
        <v>639</v>
      </c>
      <c r="F646" t="s">
        <v>2758</v>
      </c>
      <c r="G646" s="381">
        <v>-6115.8</v>
      </c>
      <c r="H646" s="381"/>
      <c r="I646" s="381"/>
      <c r="J646" s="381"/>
      <c r="K646" s="381">
        <v>0</v>
      </c>
      <c r="L646" s="381"/>
      <c r="M646" s="381"/>
      <c r="N646" s="381"/>
      <c r="O646" s="381"/>
      <c r="P646" s="381"/>
    </row>
    <row r="647" spans="1:16">
      <c r="A647" t="s">
        <v>2233</v>
      </c>
      <c r="B647" t="s">
        <v>2234</v>
      </c>
      <c r="C647" t="s">
        <v>1135</v>
      </c>
      <c r="D647" t="s">
        <v>1137</v>
      </c>
      <c r="E647" t="s">
        <v>639</v>
      </c>
      <c r="F647" t="s">
        <v>2235</v>
      </c>
      <c r="G647" s="381">
        <v>-38080.83</v>
      </c>
      <c r="H647" s="381"/>
      <c r="I647" s="381"/>
      <c r="J647" s="381"/>
      <c r="K647" s="381">
        <v>0</v>
      </c>
      <c r="L647" s="381"/>
      <c r="M647" s="381"/>
      <c r="N647" s="381"/>
      <c r="O647" s="381"/>
      <c r="P647" s="381"/>
    </row>
    <row r="648" spans="1:16">
      <c r="A648" t="s">
        <v>1692</v>
      </c>
      <c r="B648" t="s">
        <v>1693</v>
      </c>
      <c r="C648" t="s">
        <v>1135</v>
      </c>
      <c r="D648" t="s">
        <v>1137</v>
      </c>
      <c r="E648" t="s">
        <v>342</v>
      </c>
      <c r="F648" t="s">
        <v>1694</v>
      </c>
      <c r="G648" s="381">
        <v>-638.70000000000005</v>
      </c>
      <c r="H648" s="381"/>
      <c r="I648" s="381"/>
      <c r="J648" s="381"/>
      <c r="K648" s="381">
        <v>0</v>
      </c>
      <c r="L648" s="381"/>
      <c r="M648" s="381"/>
      <c r="N648" s="381"/>
      <c r="O648" s="381"/>
      <c r="P648" s="381"/>
    </row>
    <row r="649" spans="1:16">
      <c r="A649" t="s">
        <v>2767</v>
      </c>
      <c r="B649" t="s">
        <v>2768</v>
      </c>
      <c r="C649" t="s">
        <v>1567</v>
      </c>
      <c r="D649" t="s">
        <v>1567</v>
      </c>
      <c r="E649" t="s">
        <v>639</v>
      </c>
      <c r="F649" t="s">
        <v>2245</v>
      </c>
      <c r="G649" s="381">
        <v>-451.1</v>
      </c>
      <c r="H649" s="381"/>
      <c r="I649" s="381"/>
      <c r="J649" s="381"/>
      <c r="K649" s="381">
        <v>0</v>
      </c>
      <c r="L649" s="381"/>
      <c r="M649" s="381"/>
      <c r="N649" s="381"/>
      <c r="O649" s="381"/>
      <c r="P649" s="381"/>
    </row>
    <row r="650" spans="1:16">
      <c r="A650" t="s">
        <v>2243</v>
      </c>
      <c r="B650" t="s">
        <v>2244</v>
      </c>
      <c r="C650" t="s">
        <v>1135</v>
      </c>
      <c r="D650" t="s">
        <v>1137</v>
      </c>
      <c r="E650" t="s">
        <v>639</v>
      </c>
      <c r="F650" t="s">
        <v>2245</v>
      </c>
      <c r="G650" s="381">
        <v>-41167.729999999996</v>
      </c>
      <c r="H650" s="381"/>
      <c r="I650" s="381"/>
      <c r="J650" s="381"/>
      <c r="K650" s="381">
        <v>0</v>
      </c>
      <c r="L650" s="381"/>
      <c r="M650" s="381"/>
      <c r="N650" s="381"/>
      <c r="O650" s="381"/>
      <c r="P650" s="381"/>
    </row>
    <row r="651" spans="1:16">
      <c r="A651" t="s">
        <v>2085</v>
      </c>
      <c r="B651" t="s">
        <v>2086</v>
      </c>
      <c r="C651" t="s">
        <v>1567</v>
      </c>
      <c r="D651" t="s">
        <v>1567</v>
      </c>
      <c r="E651" t="s">
        <v>389</v>
      </c>
      <c r="F651" t="s">
        <v>2087</v>
      </c>
      <c r="G651" s="381">
        <v>142.1</v>
      </c>
      <c r="H651" s="381"/>
      <c r="I651" s="381"/>
      <c r="J651" s="381"/>
      <c r="K651" s="381">
        <v>309.31</v>
      </c>
      <c r="L651" s="381"/>
      <c r="M651" s="381"/>
      <c r="N651" s="381"/>
      <c r="O651" s="381"/>
      <c r="P651" s="381"/>
    </row>
    <row r="652" spans="1:16">
      <c r="A652" t="s">
        <v>2771</v>
      </c>
      <c r="B652" t="s">
        <v>2772</v>
      </c>
      <c r="C652" t="s">
        <v>1567</v>
      </c>
      <c r="D652" t="s">
        <v>1567</v>
      </c>
      <c r="E652" t="s">
        <v>639</v>
      </c>
      <c r="F652" t="s">
        <v>2773</v>
      </c>
      <c r="G652" s="381"/>
      <c r="H652" s="381"/>
      <c r="I652" s="381"/>
      <c r="J652" s="381"/>
      <c r="K652" s="381">
        <v>227</v>
      </c>
      <c r="L652" s="381"/>
      <c r="M652" s="381"/>
      <c r="N652" s="381"/>
      <c r="O652" s="381"/>
      <c r="P652" s="381"/>
    </row>
    <row r="653" spans="1:16">
      <c r="A653" t="s">
        <v>2090</v>
      </c>
      <c r="B653" t="s">
        <v>2091</v>
      </c>
      <c r="C653" t="s">
        <v>1567</v>
      </c>
      <c r="D653" t="s">
        <v>1567</v>
      </c>
      <c r="E653" t="s">
        <v>389</v>
      </c>
      <c r="F653" t="s">
        <v>2092</v>
      </c>
      <c r="G653" s="381"/>
      <c r="H653" s="381"/>
      <c r="I653" s="381"/>
      <c r="J653" s="381"/>
      <c r="K653" s="381">
        <v>-10419.43</v>
      </c>
      <c r="L653" s="381"/>
      <c r="M653" s="381"/>
      <c r="N653" s="381"/>
      <c r="O653" s="381"/>
      <c r="P653" s="381"/>
    </row>
    <row r="654" spans="1:16">
      <c r="A654" t="s">
        <v>1163</v>
      </c>
      <c r="B654" t="s">
        <v>1164</v>
      </c>
      <c r="C654" t="s">
        <v>1135</v>
      </c>
      <c r="D654" t="s">
        <v>1165</v>
      </c>
      <c r="E654" t="s">
        <v>49</v>
      </c>
      <c r="F654" t="s">
        <v>1166</v>
      </c>
      <c r="G654" s="381">
        <v>24147</v>
      </c>
      <c r="H654" s="381"/>
      <c r="I654" s="381"/>
      <c r="J654" s="381"/>
      <c r="K654" s="381">
        <v>-46130</v>
      </c>
      <c r="L654" s="381"/>
      <c r="M654" s="381"/>
      <c r="N654" s="381"/>
      <c r="O654" s="381"/>
      <c r="P654" s="381"/>
    </row>
    <row r="655" spans="1:16">
      <c r="A655" t="s">
        <v>2606</v>
      </c>
      <c r="B655" t="s">
        <v>902</v>
      </c>
      <c r="C655" t="s">
        <v>1345</v>
      </c>
      <c r="D655" t="s">
        <v>1344</v>
      </c>
      <c r="E655" t="s">
        <v>639</v>
      </c>
      <c r="F655" t="s">
        <v>2607</v>
      </c>
      <c r="G655" s="381">
        <v>90</v>
      </c>
      <c r="H655" s="381"/>
      <c r="I655" s="381"/>
      <c r="J655" s="381"/>
      <c r="K655" s="381">
        <v>0</v>
      </c>
      <c r="L655" s="381"/>
      <c r="M655" s="381"/>
      <c r="N655" s="381"/>
      <c r="O655" s="381"/>
      <c r="P655" s="381"/>
    </row>
    <row r="656" spans="1:16">
      <c r="A656" t="s">
        <v>2745</v>
      </c>
      <c r="B656" t="s">
        <v>983</v>
      </c>
      <c r="C656" t="s">
        <v>1345</v>
      </c>
      <c r="D656" t="s">
        <v>1515</v>
      </c>
      <c r="E656" t="s">
        <v>639</v>
      </c>
      <c r="F656" t="s">
        <v>2614</v>
      </c>
      <c r="G656" s="381"/>
      <c r="H656" s="381"/>
      <c r="I656" s="381"/>
      <c r="J656" s="381"/>
      <c r="K656" s="381">
        <v>227</v>
      </c>
      <c r="L656" s="381"/>
      <c r="M656" s="381"/>
      <c r="N656" s="381"/>
      <c r="O656" s="381"/>
      <c r="P656" s="381"/>
    </row>
    <row r="657" spans="1:16">
      <c r="A657" t="s">
        <v>1169</v>
      </c>
      <c r="B657" t="s">
        <v>55</v>
      </c>
      <c r="C657" t="s">
        <v>1135</v>
      </c>
      <c r="D657" t="s">
        <v>1135</v>
      </c>
      <c r="E657" t="s">
        <v>49</v>
      </c>
      <c r="F657" t="s">
        <v>1170</v>
      </c>
      <c r="G657" s="381"/>
      <c r="H657" s="381"/>
      <c r="I657" s="381"/>
      <c r="J657" s="381"/>
      <c r="K657" s="381">
        <v>550</v>
      </c>
      <c r="L657" s="381"/>
      <c r="M657" s="381"/>
      <c r="N657" s="381"/>
      <c r="O657" s="381"/>
      <c r="P657" s="381"/>
    </row>
    <row r="658" spans="1:16">
      <c r="A658" t="s">
        <v>1541</v>
      </c>
      <c r="B658" t="s">
        <v>1542</v>
      </c>
      <c r="C658" t="s">
        <v>1345</v>
      </c>
      <c r="D658" t="s">
        <v>1346</v>
      </c>
      <c r="E658" t="s">
        <v>49</v>
      </c>
      <c r="F658" t="s">
        <v>1543</v>
      </c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</row>
    <row r="659" spans="1:16">
      <c r="A659" t="s">
        <v>1807</v>
      </c>
      <c r="B659" t="s">
        <v>1808</v>
      </c>
      <c r="C659" t="s">
        <v>1135</v>
      </c>
      <c r="D659" t="s">
        <v>1165</v>
      </c>
      <c r="E659" t="s">
        <v>389</v>
      </c>
      <c r="F659" t="s">
        <v>1809</v>
      </c>
      <c r="G659" s="381">
        <v>35539.5</v>
      </c>
      <c r="H659" s="381"/>
      <c r="I659" s="381"/>
      <c r="J659" s="381"/>
      <c r="K659" s="381">
        <v>-35539.5</v>
      </c>
      <c r="L659" s="381"/>
      <c r="M659" s="381"/>
      <c r="N659" s="381"/>
      <c r="O659" s="381"/>
      <c r="P659" s="381"/>
    </row>
    <row r="660" spans="1:16">
      <c r="A660" t="s">
        <v>1801</v>
      </c>
      <c r="B660" t="s">
        <v>1802</v>
      </c>
      <c r="C660" t="s">
        <v>1135</v>
      </c>
      <c r="D660" t="s">
        <v>1156</v>
      </c>
      <c r="E660" t="s">
        <v>389</v>
      </c>
      <c r="F660" t="s">
        <v>1803</v>
      </c>
      <c r="G660" s="381"/>
      <c r="H660" s="381"/>
      <c r="I660" s="381"/>
      <c r="J660" s="381"/>
      <c r="K660" s="381">
        <v>45743</v>
      </c>
      <c r="L660" s="381"/>
      <c r="M660" s="381"/>
      <c r="N660" s="381"/>
      <c r="O660" s="381"/>
      <c r="P660" s="381"/>
    </row>
    <row r="661" spans="1:16">
      <c r="A661" t="s">
        <v>1439</v>
      </c>
      <c r="B661" t="s">
        <v>200</v>
      </c>
      <c r="C661" t="s">
        <v>1345</v>
      </c>
      <c r="D661" t="s">
        <v>1345</v>
      </c>
      <c r="E661" t="s">
        <v>49</v>
      </c>
      <c r="F661" t="s">
        <v>1440</v>
      </c>
      <c r="G661" s="381"/>
      <c r="H661" s="381"/>
      <c r="I661" s="381"/>
      <c r="J661" s="381"/>
      <c r="K661" s="381">
        <v>50000</v>
      </c>
      <c r="L661" s="381"/>
      <c r="M661" s="381"/>
      <c r="N661" s="381"/>
      <c r="O661" s="381"/>
      <c r="P661" s="381"/>
    </row>
    <row r="662" spans="1:16">
      <c r="A662" t="s">
        <v>1294</v>
      </c>
      <c r="B662" t="s">
        <v>1295</v>
      </c>
      <c r="C662" t="s">
        <v>1135</v>
      </c>
      <c r="D662" t="s">
        <v>1165</v>
      </c>
      <c r="E662" t="s">
        <v>49</v>
      </c>
      <c r="F662" t="s">
        <v>1296</v>
      </c>
      <c r="G662" s="381"/>
      <c r="H662" s="381"/>
      <c r="I662" s="381"/>
      <c r="J662" s="381"/>
      <c r="K662" s="381">
        <v>28.36</v>
      </c>
      <c r="L662" s="381"/>
      <c r="M662" s="381"/>
      <c r="N662" s="381"/>
      <c r="O662" s="381"/>
      <c r="P662" s="381"/>
    </row>
    <row r="663" spans="1:16">
      <c r="A663" t="s">
        <v>1882</v>
      </c>
      <c r="B663" t="s">
        <v>1883</v>
      </c>
      <c r="C663" t="s">
        <v>1135</v>
      </c>
      <c r="D663" t="s">
        <v>1156</v>
      </c>
      <c r="E663" t="s">
        <v>389</v>
      </c>
      <c r="F663" t="s">
        <v>1884</v>
      </c>
      <c r="G663" s="381"/>
      <c r="H663" s="381"/>
      <c r="I663" s="381"/>
      <c r="J663" s="381"/>
      <c r="K663" s="381">
        <v>76500</v>
      </c>
      <c r="L663" s="381"/>
      <c r="M663" s="381"/>
      <c r="N663" s="381"/>
      <c r="O663" s="381"/>
      <c r="P663" s="381"/>
    </row>
    <row r="664" spans="1:16">
      <c r="A664" t="s">
        <v>1631</v>
      </c>
      <c r="B664" t="s">
        <v>1632</v>
      </c>
      <c r="C664" t="s">
        <v>1567</v>
      </c>
      <c r="D664" t="s">
        <v>1567</v>
      </c>
      <c r="E664" t="s">
        <v>49</v>
      </c>
      <c r="F664" t="s">
        <v>1633</v>
      </c>
      <c r="G664" s="381"/>
      <c r="H664" s="381"/>
      <c r="I664" s="381"/>
      <c r="J664" s="381"/>
      <c r="K664" s="381">
        <v>-48806.7</v>
      </c>
      <c r="L664" s="381"/>
      <c r="M664" s="381"/>
      <c r="N664" s="381"/>
      <c r="O664" s="381"/>
      <c r="P664" s="381"/>
    </row>
    <row r="665" spans="1:16">
      <c r="A665" t="s">
        <v>1495</v>
      </c>
      <c r="B665" t="s">
        <v>1496</v>
      </c>
      <c r="C665" t="s">
        <v>1345</v>
      </c>
      <c r="D665" t="s">
        <v>1346</v>
      </c>
      <c r="E665" t="s">
        <v>49</v>
      </c>
      <c r="F665" t="s">
        <v>1497</v>
      </c>
      <c r="G665" s="381">
        <v>12507.9</v>
      </c>
      <c r="H665" s="381"/>
      <c r="I665" s="381"/>
      <c r="J665" s="381"/>
      <c r="K665" s="381">
        <v>13470.05</v>
      </c>
      <c r="L665" s="381"/>
      <c r="M665" s="381"/>
      <c r="N665" s="381"/>
      <c r="O665" s="381"/>
      <c r="P665" s="381"/>
    </row>
    <row r="666" spans="1:16">
      <c r="A666" t="s">
        <v>1891</v>
      </c>
      <c r="B666" t="s">
        <v>1892</v>
      </c>
      <c r="C666" t="s">
        <v>1135</v>
      </c>
      <c r="D666" t="s">
        <v>1165</v>
      </c>
      <c r="E666" t="s">
        <v>389</v>
      </c>
      <c r="F666" t="s">
        <v>1893</v>
      </c>
      <c r="G666" s="381">
        <v>18.2</v>
      </c>
      <c r="H666" s="381"/>
      <c r="I666" s="381"/>
      <c r="J666" s="381"/>
      <c r="K666" s="381">
        <v>0</v>
      </c>
      <c r="L666" s="381"/>
      <c r="M666" s="381"/>
      <c r="N666" s="381"/>
      <c r="O666" s="381"/>
      <c r="P666" s="381"/>
    </row>
    <row r="667" spans="1:16">
      <c r="A667" t="s">
        <v>2781</v>
      </c>
      <c r="B667" t="s">
        <v>2782</v>
      </c>
      <c r="C667" t="s">
        <v>1345</v>
      </c>
      <c r="D667" t="s">
        <v>1346</v>
      </c>
      <c r="E667" t="s">
        <v>639</v>
      </c>
      <c r="F667" t="s">
        <v>2783</v>
      </c>
      <c r="G667" s="381"/>
      <c r="H667" s="381"/>
      <c r="I667" s="381"/>
      <c r="J667" s="381"/>
      <c r="K667" s="381">
        <v>200</v>
      </c>
      <c r="L667" s="381"/>
      <c r="M667" s="381"/>
      <c r="N667" s="381"/>
      <c r="O667" s="381"/>
      <c r="P667" s="381"/>
    </row>
    <row r="668" spans="1:16">
      <c r="A668" t="s">
        <v>2613</v>
      </c>
      <c r="B668" t="s">
        <v>906</v>
      </c>
      <c r="C668" t="s">
        <v>1345</v>
      </c>
      <c r="D668" t="s">
        <v>1344</v>
      </c>
      <c r="E668" t="s">
        <v>639</v>
      </c>
      <c r="F668" t="s">
        <v>2614</v>
      </c>
      <c r="G668" s="381">
        <v>454</v>
      </c>
      <c r="H668" s="381"/>
      <c r="I668" s="381"/>
      <c r="J668" s="381"/>
      <c r="K668" s="381">
        <v>227</v>
      </c>
      <c r="L668" s="381"/>
      <c r="M668" s="381"/>
      <c r="N668" s="381"/>
      <c r="O668" s="381"/>
      <c r="P668" s="381"/>
    </row>
    <row r="669" spans="1:16">
      <c r="A669" t="s">
        <v>2748</v>
      </c>
      <c r="B669" t="s">
        <v>985</v>
      </c>
      <c r="C669" t="s">
        <v>1345</v>
      </c>
      <c r="D669" t="s">
        <v>1515</v>
      </c>
      <c r="E669" t="s">
        <v>639</v>
      </c>
      <c r="F669" t="s">
        <v>2749</v>
      </c>
      <c r="G669" s="381"/>
      <c r="H669" s="381"/>
      <c r="I669" s="381"/>
      <c r="J669" s="381"/>
      <c r="K669" s="381">
        <v>417.44</v>
      </c>
      <c r="L669" s="381"/>
      <c r="M669" s="381"/>
      <c r="N669" s="381"/>
      <c r="O669" s="381"/>
      <c r="P669" s="381"/>
    </row>
    <row r="670" spans="1:16">
      <c r="A670" t="s">
        <v>1444</v>
      </c>
      <c r="B670" t="s">
        <v>202</v>
      </c>
      <c r="C670" t="s">
        <v>1345</v>
      </c>
      <c r="D670" t="s">
        <v>1345</v>
      </c>
      <c r="E670" t="s">
        <v>49</v>
      </c>
      <c r="F670" t="s">
        <v>1327</v>
      </c>
      <c r="G670" s="381"/>
      <c r="H670" s="381"/>
      <c r="I670" s="381"/>
      <c r="J670" s="381"/>
      <c r="K670" s="381">
        <v>0</v>
      </c>
      <c r="L670" s="381"/>
      <c r="M670" s="381"/>
      <c r="N670" s="381"/>
      <c r="O670" s="381"/>
      <c r="P670" s="381"/>
    </row>
    <row r="671" spans="1:16">
      <c r="A671" t="s">
        <v>1510</v>
      </c>
      <c r="B671" t="s">
        <v>237</v>
      </c>
      <c r="C671" t="s">
        <v>1345</v>
      </c>
      <c r="D671" t="s">
        <v>1480</v>
      </c>
      <c r="E671" t="s">
        <v>49</v>
      </c>
      <c r="F671" t="s">
        <v>1327</v>
      </c>
      <c r="G671" s="381"/>
      <c r="H671" s="381"/>
      <c r="I671" s="381"/>
      <c r="J671" s="381"/>
      <c r="K671" s="381">
        <v>0</v>
      </c>
      <c r="L671" s="381"/>
      <c r="M671" s="381"/>
      <c r="N671" s="381"/>
      <c r="O671" s="381"/>
      <c r="P671" s="381"/>
    </row>
    <row r="672" spans="1:16">
      <c r="A672" t="s">
        <v>2197</v>
      </c>
      <c r="B672" t="s">
        <v>2198</v>
      </c>
      <c r="C672" t="s">
        <v>1567</v>
      </c>
      <c r="D672" t="s">
        <v>1567</v>
      </c>
      <c r="E672" t="s">
        <v>629</v>
      </c>
      <c r="F672" t="s">
        <v>1327</v>
      </c>
      <c r="G672" s="381"/>
      <c r="H672" s="381"/>
      <c r="I672" s="381"/>
      <c r="J672" s="381"/>
      <c r="K672" s="381">
        <v>0</v>
      </c>
      <c r="L672" s="381"/>
      <c r="M672" s="381"/>
      <c r="N672" s="381"/>
      <c r="O672" s="381"/>
      <c r="P672" s="381"/>
    </row>
    <row r="673" spans="1:16">
      <c r="A673" t="s">
        <v>2064</v>
      </c>
      <c r="B673" t="s">
        <v>2065</v>
      </c>
      <c r="C673" t="s">
        <v>1345</v>
      </c>
      <c r="D673" t="s">
        <v>1481</v>
      </c>
      <c r="E673" t="s">
        <v>389</v>
      </c>
      <c r="F673" t="s">
        <v>1327</v>
      </c>
      <c r="G673" s="381"/>
      <c r="H673" s="381"/>
      <c r="I673" s="381"/>
      <c r="J673" s="381"/>
      <c r="K673" s="381">
        <v>0</v>
      </c>
      <c r="L673" s="381"/>
      <c r="M673" s="381"/>
      <c r="N673" s="381"/>
      <c r="O673" s="381"/>
      <c r="P673" s="381"/>
    </row>
    <row r="674" spans="1:16">
      <c r="A674" t="s">
        <v>1721</v>
      </c>
      <c r="B674" t="s">
        <v>375</v>
      </c>
      <c r="C674" t="s">
        <v>1135</v>
      </c>
      <c r="D674" t="s">
        <v>1135</v>
      </c>
      <c r="E674" t="s">
        <v>342</v>
      </c>
      <c r="F674" t="s">
        <v>1327</v>
      </c>
      <c r="G674" s="381"/>
      <c r="H674" s="381"/>
      <c r="I674" s="381"/>
      <c r="J674" s="381"/>
      <c r="K674" s="381">
        <v>0</v>
      </c>
      <c r="L674" s="381"/>
      <c r="M674" s="381"/>
      <c r="N674" s="381"/>
      <c r="O674" s="381"/>
      <c r="P674" s="381"/>
    </row>
    <row r="675" spans="1:16">
      <c r="A675" t="s">
        <v>2167</v>
      </c>
      <c r="B675" t="s">
        <v>616</v>
      </c>
      <c r="C675" t="s">
        <v>1345</v>
      </c>
      <c r="D675" t="s">
        <v>1480</v>
      </c>
      <c r="E675" t="s">
        <v>602</v>
      </c>
      <c r="F675" t="s">
        <v>2168</v>
      </c>
      <c r="G675" s="381"/>
      <c r="H675" s="381"/>
      <c r="I675" s="381"/>
      <c r="J675" s="381"/>
      <c r="K675" s="381">
        <v>693</v>
      </c>
      <c r="L675" s="381"/>
      <c r="M675" s="381"/>
      <c r="N675" s="381"/>
      <c r="O675" s="381"/>
      <c r="P675" s="381"/>
    </row>
    <row r="676" spans="1:16">
      <c r="A676" t="s">
        <v>2158</v>
      </c>
      <c r="B676" t="s">
        <v>2159</v>
      </c>
      <c r="C676" t="s">
        <v>1135</v>
      </c>
      <c r="D676" t="s">
        <v>1145</v>
      </c>
      <c r="E676" t="s">
        <v>602</v>
      </c>
      <c r="F676" t="s">
        <v>2160</v>
      </c>
      <c r="G676" s="381"/>
      <c r="H676" s="381"/>
      <c r="I676" s="381"/>
      <c r="J676" s="381"/>
      <c r="K676" s="381">
        <v>16</v>
      </c>
      <c r="L676" s="381"/>
      <c r="M676" s="381"/>
      <c r="N676" s="381"/>
      <c r="O676" s="381"/>
      <c r="P676" s="381"/>
    </row>
    <row r="677" spans="1:16">
      <c r="A677" t="s">
        <v>1052</v>
      </c>
      <c r="C677"/>
      <c r="D677"/>
      <c r="E677"/>
      <c r="G677" s="381">
        <v>11304785.12000001</v>
      </c>
      <c r="H677" s="381">
        <v>23394262.160000004</v>
      </c>
      <c r="I677" s="381">
        <v>-766426.91999999783</v>
      </c>
      <c r="J677" s="381">
        <v>10624250.359999996</v>
      </c>
      <c r="K677" s="381">
        <v>10087343.960000006</v>
      </c>
      <c r="L677" s="381">
        <v>23394262.160000004</v>
      </c>
      <c r="M677" s="381">
        <v>-766426.91999999783</v>
      </c>
      <c r="N677" s="381">
        <v>10624250.359999996</v>
      </c>
      <c r="O677" s="381">
        <v>10731145.104166668</v>
      </c>
      <c r="P677" s="381">
        <v>11493575.496581752</v>
      </c>
    </row>
    <row r="678" spans="1:16">
      <c r="C678"/>
      <c r="D678"/>
      <c r="E678"/>
    </row>
    <row r="679" spans="1:16">
      <c r="C679"/>
      <c r="D679"/>
      <c r="E679"/>
    </row>
    <row r="680" spans="1:16">
      <c r="C680"/>
      <c r="D680"/>
      <c r="E680"/>
    </row>
    <row r="681" spans="1:16">
      <c r="C681"/>
      <c r="D681"/>
      <c r="E681"/>
    </row>
    <row r="682" spans="1:16">
      <c r="C682"/>
      <c r="D682"/>
      <c r="E682"/>
    </row>
    <row r="683" spans="1:16">
      <c r="C683"/>
      <c r="D683"/>
      <c r="E683"/>
    </row>
    <row r="684" spans="1:16">
      <c r="C684"/>
      <c r="D684"/>
      <c r="E684"/>
    </row>
    <row r="685" spans="1:16">
      <c r="C685"/>
      <c r="D685"/>
      <c r="E685"/>
    </row>
    <row r="686" spans="1:16">
      <c r="C686"/>
      <c r="D686"/>
      <c r="E686"/>
    </row>
    <row r="687" spans="1:16">
      <c r="C687"/>
      <c r="D687"/>
      <c r="E687"/>
    </row>
    <row r="688" spans="1:16">
      <c r="C688"/>
      <c r="D688"/>
      <c r="E688"/>
    </row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spans="3:5">
      <c r="C1345"/>
      <c r="D1345"/>
      <c r="E1345"/>
    </row>
    <row r="1346" spans="3:5">
      <c r="C1346"/>
      <c r="D1346"/>
      <c r="E1346"/>
    </row>
    <row r="1347" spans="3:5">
      <c r="C1347"/>
      <c r="D1347"/>
      <c r="E1347"/>
    </row>
    <row r="1348" spans="3:5">
      <c r="C1348"/>
      <c r="D1348"/>
      <c r="E1348"/>
    </row>
    <row r="1349" spans="3:5">
      <c r="C1349"/>
      <c r="D1349"/>
      <c r="E1349"/>
    </row>
    <row r="1350" spans="3:5">
      <c r="C1350"/>
      <c r="D1350"/>
      <c r="E1350"/>
    </row>
    <row r="1351" spans="3:5">
      <c r="C1351"/>
      <c r="D1351"/>
    </row>
    <row r="1352" spans="3:5">
      <c r="C1352"/>
      <c r="D1352"/>
    </row>
    <row r="1353" spans="3:5">
      <c r="C1353"/>
      <c r="D1353"/>
    </row>
    <row r="1354" spans="3:5">
      <c r="C1354"/>
      <c r="D1354"/>
    </row>
    <row r="1355" spans="3:5">
      <c r="C1355"/>
      <c r="D1355"/>
    </row>
    <row r="1356" spans="3:5">
      <c r="C1356"/>
      <c r="D1356"/>
    </row>
    <row r="1357" spans="3:5">
      <c r="C1357"/>
      <c r="D1357"/>
    </row>
    <row r="1358" spans="3:5">
      <c r="C1358"/>
      <c r="D1358"/>
    </row>
    <row r="1359" spans="3:5">
      <c r="C1359"/>
      <c r="D1359"/>
    </row>
    <row r="1360" spans="3:5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/>
      <c r="D137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/>
      <c r="D1381"/>
    </row>
    <row r="1382" spans="3:4">
      <c r="C1382"/>
      <c r="D1382"/>
    </row>
    <row r="1383" spans="3:4">
      <c r="C1383"/>
      <c r="D1383"/>
    </row>
    <row r="1384" spans="3:4">
      <c r="C1384"/>
      <c r="D1384"/>
    </row>
    <row r="1385" spans="3:4">
      <c r="C1385"/>
      <c r="D1385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/>
      <c r="D1389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/>
      <c r="D1420"/>
    </row>
    <row r="1421" spans="3:4">
      <c r="C1421"/>
      <c r="D1421"/>
    </row>
    <row r="1422" spans="3:4">
      <c r="C1422"/>
      <c r="D1422"/>
    </row>
    <row r="1423" spans="3:4">
      <c r="C1423"/>
      <c r="D1423"/>
    </row>
    <row r="1424" spans="3:4">
      <c r="C1424"/>
      <c r="D1424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/>
      <c r="D1439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/>
      <c r="D1444"/>
    </row>
    <row r="1445" spans="3:4">
      <c r="C1445"/>
      <c r="D1445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/>
      <c r="D1451"/>
    </row>
    <row r="1452" spans="3:4">
      <c r="C1452"/>
      <c r="D1452"/>
    </row>
    <row r="1453" spans="3:4">
      <c r="C1453"/>
      <c r="D1453"/>
    </row>
    <row r="1454" spans="3:4">
      <c r="C1454"/>
      <c r="D1454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/>
      <c r="D1458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/>
      <c r="D1465"/>
    </row>
    <row r="1466" spans="3:4">
      <c r="C1466"/>
      <c r="D1466"/>
    </row>
    <row r="1467" spans="3:4">
      <c r="C1467"/>
      <c r="D1467"/>
    </row>
    <row r="1468" spans="3:4">
      <c r="C1468"/>
      <c r="D1468"/>
    </row>
    <row r="1469" spans="3:4">
      <c r="C1469"/>
      <c r="D1469"/>
    </row>
    <row r="1470" spans="3:4">
      <c r="C1470"/>
      <c r="D1470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/>
      <c r="D1474"/>
    </row>
    <row r="1475" spans="3:4">
      <c r="C1475"/>
      <c r="D1475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/>
      <c r="D1483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4">
      <c r="C1489"/>
      <c r="D1489"/>
    </row>
    <row r="1490" spans="3:4">
      <c r="C1490"/>
      <c r="D1490"/>
    </row>
    <row r="1491" spans="3:4">
      <c r="C1491"/>
      <c r="D1491"/>
    </row>
    <row r="1492" spans="3:4">
      <c r="C1492"/>
      <c r="D1492"/>
    </row>
    <row r="1493" spans="3:4">
      <c r="C1493"/>
      <c r="D1493"/>
    </row>
    <row r="1494" spans="3:4">
      <c r="C1494"/>
      <c r="D1494"/>
    </row>
    <row r="1495" spans="3:4">
      <c r="C1495"/>
      <c r="D1495"/>
    </row>
    <row r="1496" spans="3:4">
      <c r="C1496"/>
      <c r="D1496"/>
    </row>
    <row r="1497" spans="3:4">
      <c r="C1497"/>
      <c r="D1497"/>
    </row>
    <row r="1498" spans="3:4">
      <c r="C1498"/>
      <c r="D1498"/>
    </row>
    <row r="1499" spans="3:4">
      <c r="C1499"/>
      <c r="D1499"/>
    </row>
    <row r="1500" spans="3:4">
      <c r="C1500"/>
      <c r="D1500"/>
    </row>
    <row r="1501" spans="3:4">
      <c r="C1501"/>
      <c r="D1501"/>
    </row>
    <row r="1502" spans="3:4">
      <c r="C1502"/>
      <c r="D1502"/>
    </row>
    <row r="1503" spans="3:4">
      <c r="C1503"/>
      <c r="D1503"/>
    </row>
    <row r="1504" spans="3:4">
      <c r="C1504"/>
      <c r="D1504"/>
    </row>
    <row r="1505" spans="3:4">
      <c r="C1505"/>
      <c r="D1505"/>
    </row>
    <row r="1506" spans="3:4">
      <c r="C1506"/>
      <c r="D1506"/>
    </row>
    <row r="1507" spans="3:4">
      <c r="C1507"/>
      <c r="D1507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/>
      <c r="D1511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/>
      <c r="D1517"/>
    </row>
    <row r="1518" spans="3:4">
      <c r="C1518"/>
      <c r="D1518"/>
    </row>
    <row r="1519" spans="3:4">
      <c r="C1519"/>
      <c r="D1519"/>
    </row>
    <row r="1520" spans="3:4">
      <c r="C1520"/>
      <c r="D1520"/>
    </row>
    <row r="1521" spans="3:4">
      <c r="C1521"/>
      <c r="D1521"/>
    </row>
    <row r="1522" spans="3:4">
      <c r="C1522"/>
      <c r="D1522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/>
      <c r="D1526"/>
    </row>
    <row r="1527" spans="3:4">
      <c r="C1527"/>
      <c r="D1527"/>
    </row>
    <row r="1528" spans="3:4">
      <c r="C1528"/>
      <c r="D1528"/>
    </row>
    <row r="1529" spans="3:4">
      <c r="C1529"/>
      <c r="D1529"/>
    </row>
    <row r="1530" spans="3:4">
      <c r="C1530"/>
      <c r="D1530"/>
    </row>
    <row r="1531" spans="3:4">
      <c r="C1531"/>
      <c r="D1531"/>
    </row>
    <row r="1532" spans="3:4">
      <c r="C1532"/>
      <c r="D1532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/>
      <c r="D1539"/>
    </row>
    <row r="1540" spans="3:4">
      <c r="C1540"/>
      <c r="D1540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/>
      <c r="D1563"/>
    </row>
    <row r="1564" spans="3:4">
      <c r="C1564"/>
      <c r="D1564"/>
    </row>
    <row r="1565" spans="3:4">
      <c r="C1565"/>
      <c r="D1565"/>
    </row>
    <row r="1566" spans="3:4">
      <c r="C1566"/>
      <c r="D1566"/>
    </row>
    <row r="1567" spans="3:4">
      <c r="C1567"/>
      <c r="D1567"/>
    </row>
    <row r="1568" spans="3:4">
      <c r="C1568"/>
      <c r="D1568"/>
    </row>
    <row r="1569" spans="3:4">
      <c r="C1569"/>
      <c r="D1569"/>
    </row>
    <row r="1570" spans="3:4">
      <c r="C1570"/>
      <c r="D1570"/>
    </row>
    <row r="1571" spans="3:4">
      <c r="C1571"/>
      <c r="D1571"/>
    </row>
    <row r="1572" spans="3:4">
      <c r="C1572"/>
      <c r="D1572"/>
    </row>
    <row r="1573" spans="3:4">
      <c r="C1573"/>
      <c r="D1573"/>
    </row>
    <row r="1574" spans="3:4">
      <c r="C1574"/>
      <c r="D1574"/>
    </row>
    <row r="1575" spans="3:4">
      <c r="C1575"/>
      <c r="D1575"/>
    </row>
    <row r="1576" spans="3:4">
      <c r="C1576"/>
      <c r="D1576"/>
    </row>
    <row r="1577" spans="3:4">
      <c r="C1577"/>
      <c r="D1577"/>
    </row>
    <row r="1578" spans="3:4">
      <c r="C1578"/>
      <c r="D1578"/>
    </row>
    <row r="1579" spans="3:4">
      <c r="C1579"/>
      <c r="D1579"/>
    </row>
    <row r="1580" spans="3:4">
      <c r="C1580"/>
      <c r="D1580"/>
    </row>
    <row r="1581" spans="3:4">
      <c r="C1581"/>
      <c r="D1581"/>
    </row>
    <row r="1582" spans="3:4">
      <c r="C1582"/>
      <c r="D1582"/>
    </row>
    <row r="1583" spans="3:4">
      <c r="C1583"/>
      <c r="D1583"/>
    </row>
    <row r="1584" spans="3:4">
      <c r="C1584"/>
      <c r="D1584"/>
    </row>
    <row r="1585" spans="3:4">
      <c r="C1585"/>
      <c r="D1585"/>
    </row>
    <row r="1586" spans="3:4">
      <c r="C1586"/>
      <c r="D1586"/>
    </row>
    <row r="1587" spans="3:4">
      <c r="C1587"/>
      <c r="D1587"/>
    </row>
    <row r="1588" spans="3:4">
      <c r="C1588"/>
      <c r="D1588"/>
    </row>
    <row r="1589" spans="3:4">
      <c r="C1589"/>
      <c r="D1589"/>
    </row>
    <row r="1590" spans="3:4">
      <c r="C1590"/>
      <c r="D1590"/>
    </row>
    <row r="1591" spans="3:4">
      <c r="C1591"/>
      <c r="D1591"/>
    </row>
    <row r="1592" spans="3:4">
      <c r="C1592"/>
      <c r="D1592"/>
    </row>
    <row r="1593" spans="3:4">
      <c r="C1593"/>
      <c r="D1593"/>
    </row>
    <row r="1594" spans="3:4">
      <c r="C1594"/>
      <c r="D1594"/>
    </row>
    <row r="1595" spans="3:4">
      <c r="C1595"/>
      <c r="D1595"/>
    </row>
    <row r="1596" spans="3:4">
      <c r="C1596"/>
      <c r="D1596"/>
    </row>
    <row r="1597" spans="3:4">
      <c r="C1597"/>
      <c r="D1597"/>
    </row>
    <row r="1598" spans="3:4">
      <c r="C1598"/>
      <c r="D1598"/>
    </row>
    <row r="1599" spans="3:4">
      <c r="C1599"/>
      <c r="D1599"/>
    </row>
    <row r="1600" spans="3:4">
      <c r="C1600"/>
      <c r="D1600"/>
    </row>
    <row r="1601" spans="3:4">
      <c r="C1601"/>
      <c r="D1601"/>
    </row>
    <row r="1602" spans="3:4">
      <c r="C1602"/>
      <c r="D1602"/>
    </row>
    <row r="1603" spans="3:4">
      <c r="C1603"/>
      <c r="D1603"/>
    </row>
    <row r="1604" spans="3:4">
      <c r="C1604"/>
      <c r="D1604"/>
    </row>
    <row r="1605" spans="3:4">
      <c r="C1605"/>
      <c r="D1605"/>
    </row>
    <row r="1606" spans="3:4">
      <c r="C1606"/>
      <c r="D1606"/>
    </row>
    <row r="1607" spans="3:4">
      <c r="C1607"/>
      <c r="D1607"/>
    </row>
    <row r="1608" spans="3:4">
      <c r="C1608"/>
      <c r="D1608"/>
    </row>
    <row r="1609" spans="3:4">
      <c r="C1609"/>
      <c r="D1609"/>
    </row>
    <row r="1610" spans="3:4">
      <c r="C1610"/>
      <c r="D1610"/>
    </row>
    <row r="1611" spans="3:4">
      <c r="C1611"/>
      <c r="D1611"/>
    </row>
    <row r="1612" spans="3:4">
      <c r="C1612"/>
      <c r="D1612"/>
    </row>
    <row r="1613" spans="3:4">
      <c r="C1613"/>
      <c r="D1613"/>
    </row>
    <row r="1614" spans="3:4">
      <c r="C1614"/>
      <c r="D1614"/>
    </row>
    <row r="1615" spans="3:4">
      <c r="C1615"/>
      <c r="D1615"/>
    </row>
    <row r="1616" spans="3:4">
      <c r="C1616"/>
      <c r="D1616"/>
    </row>
    <row r="1617" spans="3:4">
      <c r="C1617"/>
      <c r="D1617"/>
    </row>
    <row r="1618" spans="3:4">
      <c r="C1618"/>
      <c r="D1618"/>
    </row>
    <row r="1619" spans="3:4">
      <c r="C1619"/>
      <c r="D1619"/>
    </row>
    <row r="1620" spans="3:4">
      <c r="C1620"/>
      <c r="D1620"/>
    </row>
    <row r="1621" spans="3:4">
      <c r="C1621"/>
      <c r="D1621"/>
    </row>
    <row r="1622" spans="3:4">
      <c r="C1622"/>
      <c r="D1622"/>
    </row>
    <row r="1623" spans="3:4">
      <c r="C1623"/>
      <c r="D1623"/>
    </row>
    <row r="1624" spans="3:4">
      <c r="C1624"/>
      <c r="D1624"/>
    </row>
    <row r="1625" spans="3:4">
      <c r="C1625"/>
      <c r="D1625"/>
    </row>
    <row r="1626" spans="3:4">
      <c r="C1626"/>
      <c r="D1626"/>
    </row>
    <row r="1627" spans="3:4">
      <c r="C1627"/>
      <c r="D1627"/>
    </row>
    <row r="1628" spans="3:4">
      <c r="C1628"/>
      <c r="D1628"/>
    </row>
    <row r="1629" spans="3:4">
      <c r="C1629"/>
      <c r="D1629"/>
    </row>
    <row r="1630" spans="3:4">
      <c r="C1630"/>
      <c r="D1630"/>
    </row>
    <row r="1631" spans="3:4">
      <c r="C1631"/>
      <c r="D1631"/>
    </row>
    <row r="1632" spans="3:4">
      <c r="C1632"/>
      <c r="D1632"/>
    </row>
    <row r="1633" spans="3:4">
      <c r="C1633"/>
      <c r="D1633"/>
    </row>
    <row r="1634" spans="3:4">
      <c r="C1634"/>
      <c r="D1634"/>
    </row>
    <row r="1635" spans="3:4">
      <c r="C1635"/>
      <c r="D1635"/>
    </row>
    <row r="1636" spans="3:4">
      <c r="C1636"/>
      <c r="D1636"/>
    </row>
    <row r="1637" spans="3:4">
      <c r="C1637"/>
      <c r="D1637"/>
    </row>
    <row r="1638" spans="3:4">
      <c r="C1638"/>
      <c r="D1638"/>
    </row>
    <row r="1639" spans="3:4">
      <c r="C1639"/>
      <c r="D1639"/>
    </row>
    <row r="1640" spans="3:4">
      <c r="C1640"/>
      <c r="D1640"/>
    </row>
    <row r="1641" spans="3:4">
      <c r="C1641"/>
      <c r="D1641"/>
    </row>
    <row r="1642" spans="3:4">
      <c r="C1642"/>
      <c r="D1642"/>
    </row>
    <row r="1643" spans="3:4">
      <c r="C1643"/>
      <c r="D1643"/>
    </row>
    <row r="1644" spans="3:4">
      <c r="C1644"/>
      <c r="D1644"/>
    </row>
    <row r="1645" spans="3:4">
      <c r="C1645"/>
      <c r="D1645"/>
    </row>
    <row r="1646" spans="3:4">
      <c r="C1646"/>
      <c r="D1646"/>
    </row>
    <row r="1647" spans="3:4">
      <c r="C1647"/>
      <c r="D1647"/>
    </row>
    <row r="1648" spans="3:4">
      <c r="C1648"/>
      <c r="D1648"/>
    </row>
    <row r="1649" spans="3:4">
      <c r="C1649"/>
      <c r="D1649"/>
    </row>
    <row r="1650" spans="3:4">
      <c r="C1650"/>
      <c r="D1650"/>
    </row>
    <row r="1651" spans="3:4">
      <c r="C1651"/>
      <c r="D1651"/>
    </row>
    <row r="1652" spans="3:4">
      <c r="C1652"/>
      <c r="D1652"/>
    </row>
    <row r="1653" spans="3:4">
      <c r="C1653"/>
      <c r="D1653"/>
    </row>
    <row r="1654" spans="3:4">
      <c r="C1654"/>
      <c r="D1654"/>
    </row>
    <row r="1655" spans="3:4">
      <c r="C1655"/>
      <c r="D1655"/>
    </row>
    <row r="1656" spans="3:4">
      <c r="C1656"/>
      <c r="D1656"/>
    </row>
    <row r="1657" spans="3:4">
      <c r="C1657"/>
      <c r="D1657"/>
    </row>
    <row r="1658" spans="3:4">
      <c r="C1658"/>
      <c r="D1658"/>
    </row>
    <row r="1659" spans="3:4">
      <c r="C1659"/>
      <c r="D1659"/>
    </row>
    <row r="1660" spans="3:4">
      <c r="C1660"/>
      <c r="D1660"/>
    </row>
    <row r="1661" spans="3:4">
      <c r="C1661"/>
      <c r="D1661"/>
    </row>
    <row r="1662" spans="3:4">
      <c r="C1662"/>
      <c r="D1662"/>
    </row>
    <row r="1663" spans="3:4">
      <c r="C1663"/>
      <c r="D1663"/>
    </row>
    <row r="1664" spans="3:4">
      <c r="C1664"/>
      <c r="D1664"/>
    </row>
    <row r="1665" spans="3:4">
      <c r="C1665"/>
      <c r="D1665"/>
    </row>
    <row r="1666" spans="3:4">
      <c r="C1666"/>
      <c r="D1666"/>
    </row>
    <row r="1667" spans="3:4">
      <c r="C1667"/>
      <c r="D1667"/>
    </row>
    <row r="1668" spans="3:4">
      <c r="C1668"/>
      <c r="D1668"/>
    </row>
    <row r="1669" spans="3:4">
      <c r="C1669"/>
      <c r="D1669"/>
    </row>
    <row r="1670" spans="3:4">
      <c r="C1670"/>
      <c r="D1670"/>
    </row>
    <row r="1671" spans="3:4">
      <c r="C1671"/>
      <c r="D1671"/>
    </row>
    <row r="1672" spans="3:4">
      <c r="C1672"/>
      <c r="D1672"/>
    </row>
    <row r="1673" spans="3:4">
      <c r="C1673"/>
      <c r="D1673"/>
    </row>
    <row r="1674" spans="3:4">
      <c r="C1674"/>
      <c r="D1674"/>
    </row>
    <row r="1675" spans="3:4">
      <c r="C1675"/>
      <c r="D1675"/>
    </row>
    <row r="1676" spans="3:4">
      <c r="C1676"/>
      <c r="D1676"/>
    </row>
    <row r="1677" spans="3:4">
      <c r="C1677"/>
      <c r="D1677"/>
    </row>
    <row r="1678" spans="3:4">
      <c r="C1678"/>
      <c r="D1678"/>
    </row>
    <row r="1679" spans="3:4">
      <c r="C1679"/>
      <c r="D1679"/>
    </row>
    <row r="1680" spans="3:4">
      <c r="C1680"/>
      <c r="D1680"/>
    </row>
    <row r="1681" spans="3:4">
      <c r="C1681"/>
      <c r="D1681"/>
    </row>
    <row r="1682" spans="3:4">
      <c r="C1682"/>
      <c r="D1682"/>
    </row>
    <row r="1683" spans="3:4">
      <c r="C1683"/>
      <c r="D1683"/>
    </row>
    <row r="1684" spans="3:4">
      <c r="C1684"/>
      <c r="D1684"/>
    </row>
    <row r="1685" spans="3:4">
      <c r="C1685"/>
      <c r="D1685"/>
    </row>
    <row r="1686" spans="3:4">
      <c r="C1686"/>
      <c r="D1686"/>
    </row>
    <row r="1687" spans="3:4">
      <c r="C1687"/>
      <c r="D1687"/>
    </row>
    <row r="1688" spans="3:4">
      <c r="C1688"/>
      <c r="D1688"/>
    </row>
    <row r="1689" spans="3:4">
      <c r="C1689"/>
      <c r="D1689"/>
    </row>
    <row r="1690" spans="3:4">
      <c r="C1690"/>
      <c r="D1690"/>
    </row>
    <row r="1691" spans="3:4">
      <c r="C1691"/>
      <c r="D1691"/>
    </row>
    <row r="1692" spans="3:4">
      <c r="C1692"/>
      <c r="D1692"/>
    </row>
    <row r="1693" spans="3:4">
      <c r="C1693"/>
      <c r="D1693"/>
    </row>
    <row r="1694" spans="3:4">
      <c r="C1694"/>
      <c r="D1694"/>
    </row>
    <row r="1695" spans="3:4">
      <c r="C1695"/>
      <c r="D1695"/>
    </row>
    <row r="1696" spans="3:4">
      <c r="C1696"/>
      <c r="D1696"/>
    </row>
    <row r="1697" spans="3:4">
      <c r="C1697"/>
      <c r="D1697"/>
    </row>
    <row r="1698" spans="3:4">
      <c r="C1698"/>
      <c r="D1698"/>
    </row>
    <row r="1699" spans="3:4">
      <c r="C1699"/>
      <c r="D1699"/>
    </row>
    <row r="1700" spans="3:4">
      <c r="C1700"/>
      <c r="D1700"/>
    </row>
    <row r="1701" spans="3:4">
      <c r="C1701"/>
      <c r="D1701"/>
    </row>
    <row r="1702" spans="3:4">
      <c r="C1702"/>
      <c r="D1702"/>
    </row>
    <row r="1703" spans="3:4">
      <c r="C1703"/>
      <c r="D1703"/>
    </row>
    <row r="1704" spans="3:4">
      <c r="C1704"/>
      <c r="D1704"/>
    </row>
    <row r="1705" spans="3:4">
      <c r="C1705"/>
      <c r="D1705"/>
    </row>
    <row r="1706" spans="3:4">
      <c r="C1706"/>
      <c r="D1706"/>
    </row>
    <row r="1707" spans="3:4">
      <c r="C1707"/>
      <c r="D1707"/>
    </row>
    <row r="1708" spans="3:4">
      <c r="C1708"/>
      <c r="D1708"/>
    </row>
    <row r="1709" spans="3:4">
      <c r="C1709"/>
      <c r="D1709"/>
    </row>
    <row r="1710" spans="3:4">
      <c r="C1710"/>
      <c r="D1710"/>
    </row>
    <row r="1711" spans="3:4">
      <c r="C1711"/>
      <c r="D1711"/>
    </row>
    <row r="1712" spans="3:4">
      <c r="C1712"/>
      <c r="D1712"/>
    </row>
    <row r="1713" spans="3:4">
      <c r="C1713"/>
      <c r="D1713"/>
    </row>
    <row r="1714" spans="3:4">
      <c r="C1714"/>
      <c r="D1714"/>
    </row>
    <row r="1715" spans="3:4">
      <c r="C1715"/>
      <c r="D1715"/>
    </row>
    <row r="1716" spans="3:4">
      <c r="C1716"/>
      <c r="D1716"/>
    </row>
    <row r="1717" spans="3:4">
      <c r="C1717"/>
      <c r="D1717"/>
    </row>
    <row r="1718" spans="3:4">
      <c r="C1718"/>
      <c r="D1718"/>
    </row>
    <row r="1719" spans="3:4">
      <c r="C1719"/>
      <c r="D1719"/>
    </row>
    <row r="1720" spans="3:4">
      <c r="C1720"/>
      <c r="D1720"/>
    </row>
    <row r="1721" spans="3:4">
      <c r="C1721"/>
      <c r="D1721"/>
    </row>
    <row r="1722" spans="3:4">
      <c r="C1722"/>
      <c r="D1722"/>
    </row>
    <row r="1723" spans="3:4">
      <c r="C1723"/>
      <c r="D1723"/>
    </row>
    <row r="1724" spans="3:4">
      <c r="C1724"/>
      <c r="D1724"/>
    </row>
    <row r="1725" spans="3:4">
      <c r="C1725"/>
      <c r="D1725"/>
    </row>
    <row r="1726" spans="3:4">
      <c r="C1726"/>
      <c r="D1726"/>
    </row>
    <row r="1727" spans="3:4">
      <c r="C1727"/>
      <c r="D1727"/>
    </row>
    <row r="1728" spans="3:4">
      <c r="C1728"/>
      <c r="D1728"/>
    </row>
    <row r="1729" spans="3:4">
      <c r="C1729"/>
      <c r="D1729"/>
    </row>
    <row r="1730" spans="3:4">
      <c r="C1730"/>
      <c r="D1730"/>
    </row>
    <row r="1731" spans="3:4">
      <c r="C1731"/>
      <c r="D1731"/>
    </row>
    <row r="1732" spans="3:4">
      <c r="C1732"/>
      <c r="D1732"/>
    </row>
    <row r="1733" spans="3:4">
      <c r="C1733"/>
      <c r="D1733"/>
    </row>
    <row r="1734" spans="3:4">
      <c r="C1734"/>
      <c r="D1734"/>
    </row>
    <row r="1735" spans="3:4">
      <c r="C1735"/>
      <c r="D1735"/>
    </row>
    <row r="1736" spans="3:4">
      <c r="C1736"/>
      <c r="D1736"/>
    </row>
    <row r="1737" spans="3:4">
      <c r="C1737"/>
      <c r="D1737"/>
    </row>
    <row r="1738" spans="3:4">
      <c r="C1738"/>
      <c r="D1738"/>
    </row>
    <row r="1739" spans="3:4">
      <c r="C1739"/>
      <c r="D1739"/>
    </row>
    <row r="1740" spans="3:4">
      <c r="C1740"/>
      <c r="D1740"/>
    </row>
    <row r="1741" spans="3:4">
      <c r="C1741"/>
      <c r="D1741"/>
    </row>
    <row r="1742" spans="3:4">
      <c r="C1742"/>
      <c r="D1742"/>
    </row>
    <row r="1743" spans="3:4">
      <c r="C1743"/>
      <c r="D1743"/>
    </row>
    <row r="1744" spans="3:4">
      <c r="C1744"/>
      <c r="D1744"/>
    </row>
    <row r="1745" spans="3:4">
      <c r="C1745"/>
      <c r="D1745"/>
    </row>
    <row r="1746" spans="3:4">
      <c r="C1746"/>
      <c r="D1746"/>
    </row>
    <row r="1747" spans="3:4">
      <c r="C1747"/>
      <c r="D1747"/>
    </row>
    <row r="1748" spans="3:4">
      <c r="C1748"/>
      <c r="D1748"/>
    </row>
    <row r="1749" spans="3:4">
      <c r="C1749"/>
      <c r="D1749"/>
    </row>
    <row r="1750" spans="3:4">
      <c r="C1750"/>
      <c r="D1750"/>
    </row>
    <row r="1751" spans="3:4">
      <c r="C1751"/>
      <c r="D1751"/>
    </row>
    <row r="1752" spans="3:4">
      <c r="C1752"/>
      <c r="D1752"/>
    </row>
    <row r="1753" spans="3:4">
      <c r="C1753"/>
      <c r="D1753"/>
    </row>
    <row r="1754" spans="3:4">
      <c r="C1754"/>
      <c r="D1754"/>
    </row>
    <row r="1755" spans="3:4">
      <c r="C1755"/>
      <c r="D1755"/>
    </row>
    <row r="1756" spans="3:4">
      <c r="C1756"/>
      <c r="D1756"/>
    </row>
    <row r="1757" spans="3:4">
      <c r="C1757"/>
      <c r="D1757"/>
    </row>
    <row r="1758" spans="3:4">
      <c r="C1758"/>
      <c r="D1758"/>
    </row>
    <row r="1759" spans="3:4">
      <c r="C1759"/>
      <c r="D1759"/>
    </row>
    <row r="1760" spans="3:4">
      <c r="C1760"/>
      <c r="D1760"/>
    </row>
    <row r="1761" spans="3:4">
      <c r="C1761"/>
      <c r="D1761"/>
    </row>
    <row r="1762" spans="3:4">
      <c r="C1762"/>
      <c r="D1762"/>
    </row>
    <row r="1763" spans="3:4">
      <c r="C1763"/>
      <c r="D1763"/>
    </row>
    <row r="1764" spans="3:4">
      <c r="C1764"/>
      <c r="D1764"/>
    </row>
    <row r="1765" spans="3:4">
      <c r="C1765"/>
      <c r="D1765"/>
    </row>
    <row r="1766" spans="3:4">
      <c r="C1766"/>
      <c r="D1766"/>
    </row>
    <row r="1767" spans="3:4">
      <c r="C1767"/>
      <c r="D1767"/>
    </row>
    <row r="1768" spans="3:4">
      <c r="C1768"/>
      <c r="D1768"/>
    </row>
    <row r="1769" spans="3:4">
      <c r="C1769"/>
      <c r="D1769"/>
    </row>
    <row r="1770" spans="3:4">
      <c r="C1770"/>
      <c r="D1770"/>
    </row>
    <row r="1771" spans="3:4">
      <c r="C1771"/>
      <c r="D1771"/>
    </row>
    <row r="1772" spans="3:4">
      <c r="C1772"/>
      <c r="D1772"/>
    </row>
    <row r="1773" spans="3:4">
      <c r="C1773"/>
      <c r="D1773"/>
    </row>
    <row r="1774" spans="3:4">
      <c r="C1774"/>
      <c r="D1774"/>
    </row>
    <row r="1775" spans="3:4">
      <c r="C1775"/>
      <c r="D1775"/>
    </row>
    <row r="1776" spans="3:4">
      <c r="C1776"/>
      <c r="D1776"/>
    </row>
    <row r="1777" spans="3:4">
      <c r="C1777"/>
      <c r="D1777"/>
    </row>
    <row r="1778" spans="3:4">
      <c r="C1778"/>
      <c r="D1778"/>
    </row>
    <row r="1779" spans="3:4">
      <c r="C1779"/>
      <c r="D1779"/>
    </row>
    <row r="1780" spans="3:4">
      <c r="C1780"/>
      <c r="D1780"/>
    </row>
    <row r="1781" spans="3:4">
      <c r="C1781"/>
      <c r="D1781"/>
    </row>
    <row r="1782" spans="3:4">
      <c r="C1782"/>
      <c r="D1782"/>
    </row>
    <row r="1783" spans="3:4">
      <c r="C1783"/>
      <c r="D1783"/>
    </row>
    <row r="1784" spans="3:4">
      <c r="C1784"/>
      <c r="D1784"/>
    </row>
    <row r="1785" spans="3:4">
      <c r="C1785"/>
      <c r="D1785"/>
    </row>
    <row r="1786" spans="3:4">
      <c r="C1786"/>
      <c r="D1786"/>
    </row>
    <row r="1787" spans="3:4">
      <c r="C1787"/>
      <c r="D1787"/>
    </row>
    <row r="1788" spans="3:4">
      <c r="C1788"/>
      <c r="D1788"/>
    </row>
    <row r="1789" spans="3:4">
      <c r="C1789"/>
      <c r="D1789"/>
    </row>
    <row r="1790" spans="3:4">
      <c r="C1790"/>
      <c r="D1790"/>
    </row>
    <row r="1791" spans="3:4">
      <c r="C1791"/>
      <c r="D1791"/>
    </row>
    <row r="1792" spans="3:4">
      <c r="C1792"/>
      <c r="D1792"/>
    </row>
    <row r="1793" spans="3:4">
      <c r="C1793"/>
      <c r="D1793"/>
    </row>
    <row r="1794" spans="3:4">
      <c r="C1794"/>
      <c r="D1794"/>
    </row>
    <row r="1795" spans="3:4">
      <c r="C1795"/>
      <c r="D1795"/>
    </row>
    <row r="1796" spans="3:4">
      <c r="C1796"/>
      <c r="D1796"/>
    </row>
    <row r="1797" spans="3:4">
      <c r="C1797"/>
      <c r="D1797"/>
    </row>
    <row r="1798" spans="3:4">
      <c r="C1798"/>
      <c r="D1798"/>
    </row>
    <row r="1799" spans="3:4">
      <c r="C1799"/>
      <c r="D1799"/>
    </row>
    <row r="1800" spans="3:4">
      <c r="C1800"/>
      <c r="D1800"/>
    </row>
    <row r="1801" spans="3:4">
      <c r="C1801"/>
      <c r="D1801"/>
    </row>
    <row r="1802" spans="3:4">
      <c r="C1802"/>
      <c r="D1802"/>
    </row>
    <row r="1803" spans="3:4">
      <c r="C1803"/>
      <c r="D1803"/>
    </row>
    <row r="1804" spans="3:4">
      <c r="C1804"/>
      <c r="D1804"/>
    </row>
    <row r="1805" spans="3:4">
      <c r="C1805"/>
      <c r="D1805"/>
    </row>
    <row r="1806" spans="3:4">
      <c r="C1806"/>
      <c r="D1806"/>
    </row>
    <row r="1807" spans="3:4">
      <c r="C1807"/>
      <c r="D1807"/>
    </row>
    <row r="1808" spans="3:4">
      <c r="C1808"/>
      <c r="D1808"/>
    </row>
    <row r="1809" spans="3:4">
      <c r="C1809"/>
      <c r="D1809"/>
    </row>
    <row r="1810" spans="3:4">
      <c r="C1810"/>
      <c r="D1810"/>
    </row>
    <row r="1811" spans="3:4">
      <c r="C1811"/>
      <c r="D1811"/>
    </row>
    <row r="1812" spans="3:4">
      <c r="C1812"/>
      <c r="D1812"/>
    </row>
    <row r="1813" spans="3:4">
      <c r="C1813"/>
      <c r="D1813"/>
    </row>
    <row r="1814" spans="3:4">
      <c r="C1814"/>
      <c r="D1814"/>
    </row>
    <row r="1815" spans="3:4">
      <c r="C1815"/>
      <c r="D1815"/>
    </row>
    <row r="1816" spans="3:4">
      <c r="C1816"/>
      <c r="D1816"/>
    </row>
    <row r="1817" spans="3:4">
      <c r="C1817"/>
      <c r="D1817"/>
    </row>
    <row r="1818" spans="3:4">
      <c r="C1818"/>
      <c r="D1818"/>
    </row>
    <row r="1819" spans="3:4">
      <c r="C1819"/>
      <c r="D1819"/>
    </row>
    <row r="1820" spans="3:4">
      <c r="C1820"/>
      <c r="D1820"/>
    </row>
    <row r="1821" spans="3:4">
      <c r="C1821"/>
      <c r="D1821"/>
    </row>
    <row r="1822" spans="3:4">
      <c r="C1822"/>
      <c r="D1822"/>
    </row>
    <row r="1823" spans="3:4">
      <c r="C1823"/>
      <c r="D1823"/>
    </row>
    <row r="1824" spans="3:4">
      <c r="C1824"/>
      <c r="D1824"/>
    </row>
    <row r="1825" spans="3:4">
      <c r="C1825"/>
      <c r="D1825"/>
    </row>
    <row r="1826" spans="3:4">
      <c r="C1826"/>
      <c r="D1826"/>
    </row>
    <row r="1827" spans="3:4">
      <c r="C1827"/>
      <c r="D1827"/>
    </row>
    <row r="1828" spans="3:4">
      <c r="C1828"/>
      <c r="D1828"/>
    </row>
    <row r="1829" spans="3:4">
      <c r="C1829"/>
      <c r="D1829"/>
    </row>
    <row r="1830" spans="3:4">
      <c r="C1830"/>
      <c r="D1830"/>
    </row>
    <row r="1831" spans="3:4">
      <c r="C1831"/>
      <c r="D1831"/>
    </row>
    <row r="1832" spans="3:4">
      <c r="C1832"/>
      <c r="D1832"/>
    </row>
    <row r="1833" spans="3:4">
      <c r="C1833"/>
      <c r="D1833"/>
    </row>
    <row r="1834" spans="3:4">
      <c r="C1834"/>
      <c r="D1834"/>
    </row>
    <row r="1835" spans="3:4">
      <c r="C1835"/>
      <c r="D1835"/>
    </row>
    <row r="1836" spans="3:4">
      <c r="C1836"/>
      <c r="D1836"/>
    </row>
    <row r="1837" spans="3:4">
      <c r="C1837"/>
      <c r="D1837"/>
    </row>
    <row r="1838" spans="3:4">
      <c r="C1838"/>
      <c r="D1838"/>
    </row>
    <row r="1839" spans="3:4">
      <c r="C1839"/>
      <c r="D1839"/>
    </row>
    <row r="1840" spans="3:4">
      <c r="C1840"/>
      <c r="D1840"/>
    </row>
    <row r="1841" spans="3:4">
      <c r="C1841"/>
      <c r="D1841"/>
    </row>
    <row r="1842" spans="3:4">
      <c r="C1842"/>
      <c r="D1842"/>
    </row>
    <row r="1843" spans="3:4">
      <c r="C1843"/>
      <c r="D1843"/>
    </row>
    <row r="1844" spans="3:4">
      <c r="C1844"/>
      <c r="D1844"/>
    </row>
    <row r="1845" spans="3:4">
      <c r="C1845"/>
      <c r="D1845"/>
    </row>
    <row r="1846" spans="3:4">
      <c r="C1846"/>
      <c r="D1846"/>
    </row>
    <row r="1847" spans="3:4">
      <c r="C1847"/>
      <c r="D1847"/>
    </row>
    <row r="1848" spans="3:4">
      <c r="C1848"/>
      <c r="D1848"/>
    </row>
    <row r="1849" spans="3:4">
      <c r="C1849"/>
      <c r="D1849"/>
    </row>
    <row r="1850" spans="3:4">
      <c r="C1850"/>
      <c r="D1850"/>
    </row>
    <row r="1851" spans="3:4">
      <c r="C1851"/>
      <c r="D1851"/>
    </row>
    <row r="1852" spans="3:4">
      <c r="C1852"/>
      <c r="D1852"/>
    </row>
    <row r="1853" spans="3:4">
      <c r="C1853"/>
      <c r="D1853"/>
    </row>
    <row r="1854" spans="3:4">
      <c r="C1854"/>
      <c r="D1854"/>
    </row>
    <row r="1855" spans="3:4">
      <c r="C1855"/>
      <c r="D1855"/>
    </row>
    <row r="1856" spans="3:4">
      <c r="C1856"/>
      <c r="D1856"/>
    </row>
    <row r="1857" spans="3:4">
      <c r="C1857"/>
      <c r="D1857"/>
    </row>
    <row r="1858" spans="3:4">
      <c r="C1858"/>
      <c r="D1858"/>
    </row>
    <row r="1859" spans="3:4">
      <c r="C1859"/>
      <c r="D1859"/>
    </row>
    <row r="1860" spans="3:4">
      <c r="C1860"/>
      <c r="D1860"/>
    </row>
    <row r="1861" spans="3:4">
      <c r="C1861"/>
      <c r="D1861"/>
    </row>
    <row r="1862" spans="3:4">
      <c r="C1862"/>
      <c r="D1862"/>
    </row>
    <row r="1863" spans="3:4">
      <c r="C1863"/>
      <c r="D1863"/>
    </row>
    <row r="1864" spans="3:4">
      <c r="C1864"/>
      <c r="D1864"/>
    </row>
    <row r="1865" spans="3:4">
      <c r="C1865"/>
      <c r="D1865"/>
    </row>
    <row r="1866" spans="3:4">
      <c r="C1866"/>
      <c r="D1866"/>
    </row>
    <row r="1867" spans="3:4">
      <c r="C1867"/>
      <c r="D1867"/>
    </row>
    <row r="1868" spans="3:4">
      <c r="C1868"/>
      <c r="D1868"/>
    </row>
    <row r="1869" spans="3:4">
      <c r="C1869"/>
      <c r="D1869"/>
    </row>
    <row r="1870" spans="3:4">
      <c r="C1870"/>
      <c r="D1870"/>
    </row>
    <row r="1871" spans="3:4">
      <c r="C1871"/>
      <c r="D1871"/>
    </row>
    <row r="1872" spans="3:4">
      <c r="C1872"/>
      <c r="D1872"/>
    </row>
    <row r="1873" spans="3:4">
      <c r="C1873"/>
      <c r="D1873"/>
    </row>
    <row r="1874" spans="3:4">
      <c r="C1874"/>
      <c r="D1874"/>
    </row>
    <row r="1875" spans="3:4">
      <c r="C1875"/>
      <c r="D1875"/>
    </row>
    <row r="1876" spans="3:4">
      <c r="C1876"/>
      <c r="D1876"/>
    </row>
    <row r="1877" spans="3:4">
      <c r="C1877"/>
      <c r="D1877"/>
    </row>
    <row r="1878" spans="3:4">
      <c r="C1878"/>
      <c r="D1878"/>
    </row>
    <row r="1879" spans="3:4">
      <c r="C1879"/>
      <c r="D1879"/>
    </row>
    <row r="1880" spans="3:4">
      <c r="C1880"/>
      <c r="D1880"/>
    </row>
    <row r="1881" spans="3:4">
      <c r="C1881"/>
      <c r="D1881"/>
    </row>
    <row r="1882" spans="3:4">
      <c r="C1882"/>
      <c r="D1882"/>
    </row>
    <row r="1883" spans="3:4">
      <c r="C1883"/>
      <c r="D1883"/>
    </row>
    <row r="1884" spans="3:4">
      <c r="C1884"/>
      <c r="D1884"/>
    </row>
    <row r="1885" spans="3:4">
      <c r="C1885"/>
      <c r="D1885"/>
    </row>
    <row r="1886" spans="3:4">
      <c r="C1886"/>
      <c r="D1886"/>
    </row>
    <row r="1887" spans="3:4">
      <c r="C1887"/>
      <c r="D1887"/>
    </row>
    <row r="1888" spans="3:4">
      <c r="C1888"/>
      <c r="D1888"/>
    </row>
    <row r="1889" spans="3:4">
      <c r="C1889"/>
      <c r="D1889"/>
    </row>
    <row r="1890" spans="3:4">
      <c r="C1890"/>
      <c r="D1890"/>
    </row>
    <row r="1891" spans="3:4">
      <c r="C1891"/>
      <c r="D1891"/>
    </row>
    <row r="1892" spans="3:4">
      <c r="C1892"/>
      <c r="D1892"/>
    </row>
    <row r="1893" spans="3:4">
      <c r="C1893"/>
      <c r="D1893"/>
    </row>
    <row r="1894" spans="3:4">
      <c r="C1894"/>
      <c r="D1894"/>
    </row>
    <row r="1895" spans="3:4">
      <c r="C1895"/>
      <c r="D1895"/>
    </row>
    <row r="1896" spans="3:4">
      <c r="C1896"/>
      <c r="D1896"/>
    </row>
    <row r="1897" spans="3:4">
      <c r="C1897"/>
      <c r="D1897"/>
    </row>
    <row r="1898" spans="3:4">
      <c r="C1898"/>
      <c r="D1898"/>
    </row>
    <row r="1899" spans="3:4">
      <c r="C1899"/>
      <c r="D1899"/>
    </row>
    <row r="1900" spans="3:4">
      <c r="C1900"/>
      <c r="D1900"/>
    </row>
    <row r="1901" spans="3:4">
      <c r="C1901"/>
      <c r="D1901"/>
    </row>
    <row r="1902" spans="3:4">
      <c r="C1902"/>
      <c r="D1902"/>
    </row>
    <row r="1903" spans="3:4">
      <c r="C1903"/>
      <c r="D1903"/>
    </row>
    <row r="1904" spans="3:4">
      <c r="C1904"/>
      <c r="D1904"/>
    </row>
    <row r="1905" spans="3:4">
      <c r="C1905"/>
      <c r="D1905"/>
    </row>
    <row r="1906" spans="3:4">
      <c r="C1906"/>
      <c r="D1906"/>
    </row>
    <row r="1907" spans="3:4">
      <c r="C1907"/>
      <c r="D1907"/>
    </row>
    <row r="1908" spans="3:4">
      <c r="C1908"/>
      <c r="D1908"/>
    </row>
    <row r="1909" spans="3:4">
      <c r="C1909"/>
      <c r="D1909"/>
    </row>
    <row r="1910" spans="3:4">
      <c r="C1910"/>
      <c r="D1910"/>
    </row>
    <row r="1911" spans="3:4">
      <c r="C1911"/>
      <c r="D1911"/>
    </row>
    <row r="1912" spans="3:4">
      <c r="C1912"/>
      <c r="D1912"/>
    </row>
    <row r="1913" spans="3:4">
      <c r="C1913"/>
      <c r="D1913"/>
    </row>
    <row r="1914" spans="3:4">
      <c r="C1914"/>
      <c r="D1914"/>
    </row>
    <row r="1915" spans="3:4">
      <c r="C1915"/>
      <c r="D1915"/>
    </row>
    <row r="1916" spans="3:4">
      <c r="C1916"/>
      <c r="D1916"/>
    </row>
    <row r="1917" spans="3:4">
      <c r="C1917"/>
      <c r="D1917"/>
    </row>
    <row r="1918" spans="3:4">
      <c r="C1918"/>
      <c r="D1918"/>
    </row>
    <row r="1919" spans="3:4">
      <c r="C1919"/>
      <c r="D1919"/>
    </row>
    <row r="1920" spans="3:4">
      <c r="C1920"/>
      <c r="D1920"/>
    </row>
    <row r="1921" spans="3:4">
      <c r="C1921"/>
      <c r="D1921"/>
    </row>
    <row r="1922" spans="3:4">
      <c r="C1922"/>
      <c r="D1922"/>
    </row>
    <row r="1923" spans="3:4">
      <c r="C1923"/>
      <c r="D1923"/>
    </row>
    <row r="1924" spans="3:4">
      <c r="C1924"/>
      <c r="D1924"/>
    </row>
    <row r="1925" spans="3:4">
      <c r="C1925"/>
      <c r="D1925"/>
    </row>
    <row r="1926" spans="3:4">
      <c r="C1926"/>
      <c r="D1926"/>
    </row>
    <row r="1927" spans="3:4">
      <c r="C1927"/>
      <c r="D1927"/>
    </row>
    <row r="1928" spans="3:4">
      <c r="C1928"/>
      <c r="D1928"/>
    </row>
    <row r="1929" spans="3:4">
      <c r="C1929"/>
      <c r="D1929"/>
    </row>
    <row r="1930" spans="3:4">
      <c r="C1930"/>
      <c r="D1930"/>
    </row>
    <row r="1931" spans="3:4">
      <c r="C1931"/>
      <c r="D1931"/>
    </row>
    <row r="1932" spans="3:4">
      <c r="C1932"/>
      <c r="D1932"/>
    </row>
    <row r="1933" spans="3:4">
      <c r="C1933"/>
      <c r="D1933"/>
    </row>
    <row r="1934" spans="3:4">
      <c r="C1934"/>
      <c r="D1934"/>
    </row>
    <row r="1935" spans="3:4">
      <c r="C1935"/>
      <c r="D1935"/>
    </row>
    <row r="1936" spans="3:4">
      <c r="C1936"/>
      <c r="D1936"/>
    </row>
    <row r="1937" spans="3:4">
      <c r="C1937"/>
      <c r="D1937"/>
    </row>
    <row r="1938" spans="3:4">
      <c r="C1938"/>
      <c r="D1938"/>
    </row>
    <row r="1939" spans="3:4">
      <c r="C1939"/>
      <c r="D1939"/>
    </row>
    <row r="1940" spans="3:4">
      <c r="C1940"/>
      <c r="D1940"/>
    </row>
    <row r="1941" spans="3:4">
      <c r="C1941"/>
      <c r="D1941"/>
    </row>
    <row r="1942" spans="3:4">
      <c r="C1942"/>
      <c r="D1942"/>
    </row>
    <row r="1943" spans="3:4">
      <c r="C1943"/>
      <c r="D1943"/>
    </row>
    <row r="1944" spans="3:4">
      <c r="C1944"/>
      <c r="D1944"/>
    </row>
    <row r="1945" spans="3:4">
      <c r="C1945"/>
      <c r="D1945"/>
    </row>
    <row r="1946" spans="3:4">
      <c r="C1946"/>
      <c r="D1946"/>
    </row>
    <row r="1947" spans="3:4">
      <c r="C1947"/>
      <c r="D1947"/>
    </row>
    <row r="1948" spans="3:4">
      <c r="C1948"/>
      <c r="D1948"/>
    </row>
    <row r="1949" spans="3:4">
      <c r="C1949"/>
      <c r="D1949"/>
    </row>
    <row r="1950" spans="3:4">
      <c r="C1950"/>
      <c r="D1950"/>
    </row>
    <row r="1951" spans="3:4">
      <c r="C1951"/>
      <c r="D1951"/>
    </row>
    <row r="1952" spans="3:4">
      <c r="C1952"/>
      <c r="D1952"/>
    </row>
    <row r="1953" spans="3:4">
      <c r="C1953"/>
      <c r="D1953"/>
    </row>
    <row r="1954" spans="3:4">
      <c r="C1954"/>
      <c r="D1954"/>
    </row>
    <row r="1955" spans="3:4">
      <c r="C1955"/>
      <c r="D1955"/>
    </row>
    <row r="1956" spans="3:4">
      <c r="C1956"/>
      <c r="D1956"/>
    </row>
    <row r="1957" spans="3:4">
      <c r="C1957"/>
      <c r="D1957"/>
    </row>
    <row r="1958" spans="3:4">
      <c r="C1958"/>
      <c r="D1958"/>
    </row>
    <row r="1959" spans="3:4">
      <c r="C1959"/>
      <c r="D1959"/>
    </row>
    <row r="1960" spans="3:4">
      <c r="C1960"/>
      <c r="D1960"/>
    </row>
    <row r="1961" spans="3:4">
      <c r="C1961"/>
      <c r="D1961"/>
    </row>
    <row r="1962" spans="3:4">
      <c r="C1962"/>
      <c r="D1962"/>
    </row>
    <row r="1963" spans="3:4">
      <c r="C1963"/>
      <c r="D1963"/>
    </row>
    <row r="1964" spans="3:4">
      <c r="C1964"/>
      <c r="D1964"/>
    </row>
    <row r="1965" spans="3:4">
      <c r="C1965"/>
      <c r="D1965"/>
    </row>
    <row r="1966" spans="3:4">
      <c r="C1966"/>
      <c r="D1966"/>
    </row>
    <row r="1967" spans="3:4">
      <c r="C1967"/>
      <c r="D1967"/>
    </row>
    <row r="1968" spans="3:4">
      <c r="C1968"/>
      <c r="D1968"/>
    </row>
    <row r="1969" spans="3:4">
      <c r="C1969"/>
      <c r="D1969"/>
    </row>
    <row r="1970" spans="3:4">
      <c r="C1970"/>
      <c r="D1970"/>
    </row>
    <row r="1971" spans="3:4">
      <c r="C1971"/>
      <c r="D1971"/>
    </row>
    <row r="1972" spans="3:4">
      <c r="C1972"/>
      <c r="D1972"/>
    </row>
    <row r="1973" spans="3:4">
      <c r="C1973"/>
      <c r="D1973"/>
    </row>
    <row r="1974" spans="3:4">
      <c r="C1974"/>
      <c r="D1974"/>
    </row>
    <row r="1975" spans="3:4">
      <c r="C1975"/>
      <c r="D1975"/>
    </row>
    <row r="1976" spans="3:4">
      <c r="C1976"/>
      <c r="D1976"/>
    </row>
    <row r="1977" spans="3:4">
      <c r="C1977"/>
      <c r="D1977"/>
    </row>
    <row r="1978" spans="3:4">
      <c r="C1978"/>
      <c r="D1978"/>
    </row>
    <row r="1979" spans="3:4">
      <c r="C1979"/>
      <c r="D1979"/>
    </row>
    <row r="1980" spans="3:4">
      <c r="C1980"/>
      <c r="D1980"/>
    </row>
    <row r="1981" spans="3:4">
      <c r="C1981"/>
      <c r="D1981"/>
    </row>
    <row r="1982" spans="3:4">
      <c r="C1982"/>
      <c r="D1982"/>
    </row>
    <row r="1983" spans="3:4">
      <c r="C1983"/>
      <c r="D1983"/>
    </row>
    <row r="1984" spans="3:4">
      <c r="C1984"/>
      <c r="D1984"/>
    </row>
    <row r="1985" spans="3:4">
      <c r="C1985"/>
      <c r="D1985"/>
    </row>
    <row r="1986" spans="3:4">
      <c r="C1986"/>
      <c r="D1986"/>
    </row>
    <row r="1987" spans="3:4">
      <c r="C1987"/>
      <c r="D1987"/>
    </row>
    <row r="1988" spans="3:4">
      <c r="C1988"/>
      <c r="D1988"/>
    </row>
    <row r="1989" spans="3:4">
      <c r="C1989"/>
      <c r="D1989"/>
    </row>
    <row r="1990" spans="3:4">
      <c r="C1990"/>
      <c r="D1990"/>
    </row>
    <row r="1991" spans="3:4">
      <c r="C1991"/>
      <c r="D1991"/>
    </row>
    <row r="1992" spans="3:4">
      <c r="C1992"/>
      <c r="D1992"/>
    </row>
    <row r="1993" spans="3:4">
      <c r="C1993"/>
      <c r="D1993"/>
    </row>
    <row r="1994" spans="3:4">
      <c r="C1994"/>
      <c r="D1994"/>
    </row>
    <row r="1995" spans="3:4">
      <c r="C1995"/>
      <c r="D1995"/>
    </row>
    <row r="1996" spans="3:4">
      <c r="C1996"/>
      <c r="D1996"/>
    </row>
    <row r="1997" spans="3:4">
      <c r="C1997"/>
      <c r="D1997"/>
    </row>
    <row r="1998" spans="3:4">
      <c r="C1998"/>
      <c r="D1998"/>
    </row>
    <row r="1999" spans="3:4">
      <c r="C1999"/>
      <c r="D1999"/>
    </row>
    <row r="2000" spans="3:4">
      <c r="C2000"/>
      <c r="D2000"/>
    </row>
    <row r="2001" spans="3:4">
      <c r="C2001"/>
      <c r="D2001"/>
    </row>
    <row r="2002" spans="3:4">
      <c r="C2002"/>
      <c r="D2002"/>
    </row>
    <row r="2003" spans="3:4">
      <c r="C2003"/>
      <c r="D2003"/>
    </row>
    <row r="2004" spans="3:4">
      <c r="C2004"/>
      <c r="D2004"/>
    </row>
    <row r="2005" spans="3:4">
      <c r="C2005"/>
      <c r="D2005"/>
    </row>
    <row r="2006" spans="3:4">
      <c r="C2006"/>
      <c r="D2006"/>
    </row>
    <row r="2007" spans="3:4">
      <c r="C2007"/>
      <c r="D2007"/>
    </row>
    <row r="2008" spans="3:4">
      <c r="C2008"/>
      <c r="D2008"/>
    </row>
    <row r="2009" spans="3:4">
      <c r="C2009"/>
      <c r="D2009"/>
    </row>
    <row r="2010" spans="3:4">
      <c r="C2010"/>
      <c r="D2010"/>
    </row>
    <row r="2011" spans="3:4">
      <c r="C2011"/>
      <c r="D2011"/>
    </row>
    <row r="2012" spans="3:4">
      <c r="C2012"/>
      <c r="D2012"/>
    </row>
    <row r="2013" spans="3:4">
      <c r="C2013"/>
      <c r="D2013"/>
    </row>
    <row r="2014" spans="3:4">
      <c r="C2014"/>
      <c r="D2014"/>
    </row>
    <row r="2015" spans="3:4">
      <c r="C2015"/>
      <c r="D2015"/>
    </row>
    <row r="2016" spans="3:4">
      <c r="C2016"/>
      <c r="D2016"/>
    </row>
    <row r="2017" spans="3:4">
      <c r="C2017"/>
      <c r="D2017"/>
    </row>
    <row r="2018" spans="3:4">
      <c r="C2018"/>
      <c r="D2018"/>
    </row>
    <row r="2019" spans="3:4">
      <c r="C2019"/>
      <c r="D2019"/>
    </row>
    <row r="2020" spans="3:4">
      <c r="C2020"/>
      <c r="D2020"/>
    </row>
    <row r="2021" spans="3:4">
      <c r="C2021"/>
      <c r="D2021"/>
    </row>
    <row r="2022" spans="3:4">
      <c r="C2022"/>
      <c r="D2022"/>
    </row>
    <row r="2023" spans="3:4">
      <c r="C2023"/>
      <c r="D2023"/>
    </row>
    <row r="2024" spans="3:4">
      <c r="C2024"/>
      <c r="D2024"/>
    </row>
    <row r="2025" spans="3:4">
      <c r="C2025"/>
      <c r="D2025"/>
    </row>
    <row r="2026" spans="3:4">
      <c r="C2026"/>
      <c r="D2026"/>
    </row>
    <row r="2027" spans="3:4">
      <c r="C2027"/>
      <c r="D202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658A-1A38-4668-9133-BADD0CF0C6FE}">
  <sheetPr>
    <pageSetUpPr fitToPage="1"/>
  </sheetPr>
  <dimension ref="A1:BZ688"/>
  <sheetViews>
    <sheetView topLeftCell="U1" zoomScale="80" zoomScaleNormal="80" workbookViewId="0">
      <selection activeCell="C524" sqref="C524"/>
    </sheetView>
  </sheetViews>
  <sheetFormatPr defaultColWidth="9.140625" defaultRowHeight="15" customHeight="1" outlineLevelCol="2"/>
  <cols>
    <col min="1" max="1" width="12.140625" bestFit="1" customWidth="1"/>
    <col min="2" max="2" width="12.140625" customWidth="1"/>
    <col min="3" max="3" width="51" customWidth="1"/>
    <col min="4" max="4" width="19.42578125" customWidth="1" outlineLevel="1"/>
    <col min="5" max="5" width="4.85546875" customWidth="1" outlineLevel="1"/>
    <col min="6" max="8" width="19" customWidth="1" outlineLevel="1"/>
    <col min="9" max="9" width="18.85546875" customWidth="1"/>
    <col min="10" max="10" width="19.140625" customWidth="1" collapsed="1"/>
    <col min="11" max="11" width="20.5703125" customWidth="1"/>
    <col min="12" max="12" width="21.5703125" style="1" customWidth="1"/>
    <col min="13" max="13" width="18.5703125" style="318" customWidth="1"/>
    <col min="14" max="14" width="16.140625" style="10" customWidth="1"/>
    <col min="15" max="15" width="18.85546875" customWidth="1"/>
    <col min="16" max="16" width="21.42578125" customWidth="1"/>
    <col min="17" max="17" width="25.85546875" customWidth="1"/>
    <col min="18" max="18" width="21.85546875" customWidth="1"/>
    <col min="19" max="19" width="5.42578125" customWidth="1"/>
    <col min="20" max="20" width="19.5703125" customWidth="1"/>
    <col min="21" max="21" width="65.140625" customWidth="1"/>
    <col min="22" max="26" width="16.85546875" customWidth="1"/>
    <col min="27" max="27" width="18.140625" customWidth="1" outlineLevel="2"/>
    <col min="28" max="28" width="15.140625" customWidth="1" outlineLevel="2"/>
    <col min="29" max="29" width="16.42578125" customWidth="1" outlineLevel="2"/>
    <col min="30" max="30" width="12.140625" style="419" customWidth="1" outlineLevel="2"/>
    <col min="31" max="38" width="12.140625" customWidth="1" outlineLevel="2"/>
    <col min="39" max="39" width="14.42578125" customWidth="1"/>
    <col min="40" max="40" width="18.140625" customWidth="1"/>
    <col min="41" max="41" width="18.140625" customWidth="1" outlineLevel="1"/>
    <col min="42" max="42" width="21.5703125" customWidth="1" outlineLevel="1"/>
    <col min="43" max="43" width="26.140625" style="321" customWidth="1"/>
    <col min="44" max="44" width="18.140625" style="1" customWidth="1"/>
    <col min="45" max="45" width="18.140625" customWidth="1"/>
    <col min="46" max="46" width="18.140625" style="4" customWidth="1"/>
    <col min="47" max="58" width="18.140625" style="15" customWidth="1" outlineLevel="2"/>
    <col min="59" max="59" width="18.140625" style="15" customWidth="1"/>
    <col min="60" max="71" width="18.140625" customWidth="1" outlineLevel="1"/>
    <col min="72" max="72" width="18.140625" customWidth="1"/>
  </cols>
  <sheetData>
    <row r="1" spans="1:78" ht="15" customHeight="1">
      <c r="D1" s="1"/>
      <c r="E1" s="1"/>
      <c r="F1" s="1"/>
      <c r="G1" s="1"/>
      <c r="H1" s="1"/>
      <c r="I1" s="1"/>
      <c r="J1" s="1"/>
      <c r="K1" s="1"/>
      <c r="M1" s="2"/>
      <c r="N1" s="1"/>
      <c r="O1" s="1"/>
      <c r="P1" s="1"/>
      <c r="Q1" s="1"/>
      <c r="R1" s="1"/>
      <c r="S1" s="3"/>
      <c r="T1" s="3"/>
      <c r="U1" s="4"/>
      <c r="AF1" s="1"/>
      <c r="AG1" s="1"/>
      <c r="AH1" s="1"/>
      <c r="AI1" s="1"/>
      <c r="AJ1" s="1"/>
      <c r="AK1" s="1"/>
      <c r="AL1" s="1"/>
    </row>
    <row r="2" spans="1:78" s="5" customFormat="1" ht="15" customHeight="1">
      <c r="D2" s="6"/>
      <c r="E2" s="6"/>
      <c r="F2" s="6"/>
      <c r="G2" s="6"/>
      <c r="H2" s="6"/>
      <c r="I2" s="6"/>
      <c r="J2" s="6"/>
      <c r="K2" s="1"/>
      <c r="L2" s="510"/>
      <c r="M2" s="7"/>
      <c r="N2" s="322"/>
      <c r="O2" s="322"/>
      <c r="P2" s="6"/>
      <c r="Q2" s="6"/>
      <c r="R2" s="322"/>
      <c r="S2" s="8"/>
      <c r="T2" s="8"/>
      <c r="U2" s="6"/>
      <c r="W2" s="5">
        <f>W3-AM3</f>
        <v>7293568.1571651548</v>
      </c>
      <c r="AF2" s="6"/>
      <c r="AG2" s="6"/>
      <c r="AH2" s="6"/>
      <c r="AI2" s="6"/>
      <c r="AJ2" s="6"/>
      <c r="AK2" s="6"/>
      <c r="AL2" s="6"/>
      <c r="AR2" s="6"/>
      <c r="AT2" s="9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</row>
    <row r="3" spans="1:78" ht="15" customHeight="1">
      <c r="A3" s="10"/>
      <c r="B3" s="10"/>
      <c r="C3" s="10"/>
      <c r="D3" s="1"/>
      <c r="E3" s="1"/>
      <c r="F3" s="1"/>
      <c r="G3" s="1"/>
      <c r="H3" s="1"/>
      <c r="I3" s="1"/>
      <c r="J3" s="1"/>
      <c r="K3" s="1"/>
      <c r="M3" s="2"/>
      <c r="N3" s="1"/>
      <c r="O3" s="1"/>
      <c r="P3" s="1"/>
      <c r="Q3" s="1"/>
      <c r="R3" s="1"/>
      <c r="S3" s="3"/>
      <c r="T3" s="3"/>
      <c r="U3" s="4"/>
      <c r="V3" s="11">
        <f>W3-554586-35645</f>
        <v>59741024.089996003</v>
      </c>
      <c r="W3" s="11">
        <f>SUBTOTAL(9,ERP_2[2026 LE0])</f>
        <v>60331255.089996003</v>
      </c>
      <c r="X3" s="12">
        <f>SUBTOTAL(9,ERP_2[LE2 Final Submission])</f>
        <v>52485305.584272154</v>
      </c>
      <c r="Y3" s="12">
        <f>SUBTOTAL(9,ERP_2[LE3 Final Submission])</f>
        <v>0</v>
      </c>
      <c r="Z3" s="12">
        <f>SUBTOTAL(9,ERP_2[LE4 Final Submission])</f>
        <v>0</v>
      </c>
      <c r="AA3" s="12">
        <f>SUBTOTAL(9,ERP_2[AP01])</f>
        <v>4204887.0399999982</v>
      </c>
      <c r="AB3" s="12">
        <f>SUBTOTAL(9,ERP_2[AP02])</f>
        <v>4618367.0399999972</v>
      </c>
      <c r="AC3" s="12">
        <f>SUBTOTAL(9,ERP_2[AP03])</f>
        <v>4608010.8499999996</v>
      </c>
      <c r="AD3" s="12">
        <f>SUBTOTAL(9,ERP_2[AP04])</f>
        <v>4926560.6400000015</v>
      </c>
      <c r="AE3" s="12">
        <f>SUBTOTAL(9,ERP_2[AP05])</f>
        <v>4668272.5</v>
      </c>
      <c r="AF3" s="12">
        <f>SUBTOTAL(9,ERP_2[AP06])</f>
        <v>4637169.0000000009</v>
      </c>
      <c r="AG3" s="12">
        <f>SUBTOTAL(9,ERP_2[AP07])</f>
        <v>4418218.5477970038</v>
      </c>
      <c r="AH3" s="12">
        <f>SUBTOTAL(9,ERP_2[AP08])</f>
        <v>4312205.4455470033</v>
      </c>
      <c r="AI3" s="12">
        <f>SUBTOTAL(9,ERP_2[AP09])</f>
        <v>4272177.6317703361</v>
      </c>
      <c r="AJ3" s="12">
        <f>SUBTOTAL(9,ERP_2[AP10])</f>
        <v>4105375.9142341455</v>
      </c>
      <c r="AK3" s="12">
        <f>SUBTOTAL(9,ERP_2[AP11])</f>
        <v>4137245.6142341462</v>
      </c>
      <c r="AL3" s="12">
        <f>SUBTOTAL(9,ERP_2[AP12])</f>
        <v>4129196.709248146</v>
      </c>
      <c r="AM3" s="12">
        <f>SUBTOTAL(9,ERP_2[2026 Working Total])</f>
        <v>53037686.932830848</v>
      </c>
      <c r="AN3" s="13">
        <f>SUBTOTAL(9,ERP_2[2026 Working Total to Budget/LE])</f>
        <v>552381.348558667</v>
      </c>
      <c r="AO3" s="12">
        <f>SUBTOTAL(9,ERP_2[Latest AP Snapshot])</f>
        <v>4520661.9232276697</v>
      </c>
      <c r="AP3" s="12">
        <f>SUBTOTAL(9,ERP_2[Latest AP Variance to Snapshot])</f>
        <v>116507.07677233135</v>
      </c>
      <c r="AQ3" s="13">
        <f>SUBTOTAL(9,ERP_2[YTD Act to Bud/LE])</f>
        <v>552418.34855866677</v>
      </c>
      <c r="AR3" s="14">
        <f>SUBTOTAL(9,ERP_2[Giveback])</f>
        <v>-10600</v>
      </c>
      <c r="AS3" s="12">
        <f>SUBTOTAL(9,ERP_2[Other Allocation])</f>
        <v>562981.348558667</v>
      </c>
      <c r="AT3" s="14"/>
      <c r="AU3" s="12">
        <f>SUBTOTAL(9,ERP_2[AP01 LE2])</f>
        <v>4204887.0399999982</v>
      </c>
      <c r="AV3" s="12">
        <f>SUBTOTAL(9,ERP_2[AP02 LE2])</f>
        <v>4618367.0399999972</v>
      </c>
      <c r="AW3" s="12">
        <f>SUBTOTAL(9,ERP_2[AP03 LE2])</f>
        <v>4608010.8499999996</v>
      </c>
      <c r="AX3" s="12">
        <f>SUBTOTAL(9,ERP_2[AP04 LE2])</f>
        <v>4612332.8899999987</v>
      </c>
      <c r="AY3" s="12">
        <f>SUBTOTAL(9,ERP_2[AP05 LE2])</f>
        <v>4520661.9232276697</v>
      </c>
      <c r="AZ3" s="12">
        <f>SUBTOTAL(9,ERP_2[AP06 LE2])</f>
        <v>4546588.9782136688</v>
      </c>
      <c r="BA3" s="12">
        <f>SUBTOTAL(9,ERP_2[AP07 LE2])</f>
        <v>4367603.5477970038</v>
      </c>
      <c r="BB3" s="12">
        <f>SUBTOTAL(9,ERP_2[AP08 LE2])</f>
        <v>4366350.4455470033</v>
      </c>
      <c r="BC3" s="12">
        <f>SUBTOTAL(9,ERP_2[AP09 LE2])</f>
        <v>4271240.6317703361</v>
      </c>
      <c r="BD3" s="12">
        <f>SUBTOTAL(9,ERP_2[AP10 LE2])</f>
        <v>4104453.9142341455</v>
      </c>
      <c r="BE3" s="12">
        <f>SUBTOTAL(9,ERP_2[AP11 LE2])</f>
        <v>4136808.6142341462</v>
      </c>
      <c r="BF3" s="12">
        <f>SUBTOTAL(9,ERP_2[AP12 LE2])</f>
        <v>4127999.709248146</v>
      </c>
      <c r="BG3" s="12">
        <f>SUBTOTAL(9,ERP_2[2026 LE2 Working Total])</f>
        <v>52485305.584272154</v>
      </c>
      <c r="BH3" s="12">
        <f>SUBTOTAL(9,ERP_2[2026 AP01])</f>
        <v>5011821.0800000019</v>
      </c>
      <c r="BI3" s="12">
        <f>SUBTOTAL(9,ERP_2[2026 AP02])</f>
        <v>5836239.1199999992</v>
      </c>
      <c r="BJ3" s="12">
        <f>SUBTOTAL(9,ERP_2[2026 AP03])</f>
        <v>5471842.2100000009</v>
      </c>
      <c r="BK3" s="12">
        <f>SUBTOTAL(9,ERP_2[2026 AP04])</f>
        <v>5307693.1033330001</v>
      </c>
      <c r="BL3" s="12">
        <f>SUBTOTAL(9,ERP_2[2026 AP05])</f>
        <v>5328456.1933330009</v>
      </c>
      <c r="BM3" s="12">
        <f>SUBTOTAL(9,ERP_2[2026 AP06])</f>
        <v>5441054.6433330001</v>
      </c>
      <c r="BN3" s="12">
        <f>SUBTOTAL(9,ERP_2[2026 AP07])</f>
        <v>5306561.9633329995</v>
      </c>
      <c r="BO3" s="12">
        <f>SUBTOTAL(9,ERP_2[2026 AP08])</f>
        <v>5299265.9933329998</v>
      </c>
      <c r="BP3" s="12">
        <f>SUBTOTAL(9,ERP_2[2026 AP09])</f>
        <v>5264766.0233329982</v>
      </c>
      <c r="BQ3" s="12">
        <f>SUBTOTAL(9,ERP_2[2026 AP10])</f>
        <v>5054935.3133329991</v>
      </c>
      <c r="BR3" s="12">
        <f>SUBTOTAL(9,ERP_2[2026 AP11])</f>
        <v>5088094.4533329988</v>
      </c>
      <c r="BS3" s="12">
        <f>SUBTOTAL(9,ERP_2[2026 AP12])</f>
        <v>5066165.7533329986</v>
      </c>
      <c r="BT3" s="12">
        <f>SUBTOTAL(9,ERP_2[2026 LE0 Submission])</f>
        <v>63476895.849997029</v>
      </c>
      <c r="BZ3" s="15"/>
    </row>
    <row r="4" spans="1:78" ht="15" customHeight="1">
      <c r="D4" s="1"/>
      <c r="E4" s="1"/>
      <c r="F4" s="1"/>
      <c r="G4" s="1"/>
      <c r="H4" s="1"/>
      <c r="I4" s="1"/>
      <c r="J4" s="1"/>
      <c r="K4" s="1"/>
      <c r="M4" s="16"/>
      <c r="N4" s="4"/>
      <c r="O4" s="1"/>
      <c r="P4" s="1"/>
      <c r="Q4" s="1"/>
      <c r="R4" s="1"/>
      <c r="S4" s="3"/>
      <c r="T4" s="3"/>
      <c r="U4" s="4"/>
      <c r="AF4" s="1"/>
      <c r="AG4" s="1"/>
      <c r="AH4" s="1"/>
      <c r="AI4" s="1"/>
      <c r="AJ4" s="1"/>
      <c r="AK4" s="1"/>
      <c r="AL4" s="1"/>
      <c r="BZ4" s="15"/>
    </row>
    <row r="5" spans="1:78" s="10" customFormat="1" ht="15" customHeight="1">
      <c r="D5" s="21"/>
      <c r="E5" s="18"/>
      <c r="F5" s="18"/>
      <c r="G5" s="18"/>
      <c r="H5" s="18"/>
      <c r="I5" s="18"/>
      <c r="J5" s="18"/>
      <c r="K5" s="18"/>
      <c r="L5" s="18"/>
      <c r="M5" s="19"/>
      <c r="N5" s="18"/>
      <c r="O5" s="18"/>
      <c r="P5" s="20" t="s">
        <v>310</v>
      </c>
      <c r="Q5" s="18"/>
      <c r="R5" s="18"/>
      <c r="S5" s="21"/>
      <c r="T5" s="18"/>
      <c r="U5" s="22"/>
      <c r="V5" s="23" t="s">
        <v>1053</v>
      </c>
      <c r="W5" s="24" t="s">
        <v>1054</v>
      </c>
      <c r="X5" s="24"/>
      <c r="Y5" s="24"/>
      <c r="Z5" s="24"/>
      <c r="AA5" s="25" t="s">
        <v>1055</v>
      </c>
      <c r="AB5" s="26"/>
      <c r="AC5" s="26"/>
      <c r="AD5" s="420"/>
      <c r="AE5" s="26"/>
      <c r="AF5" s="27"/>
      <c r="AG5" s="27"/>
      <c r="AH5" s="27"/>
      <c r="AI5" s="27"/>
      <c r="AJ5" s="27"/>
      <c r="AK5" s="27"/>
      <c r="AL5" s="27"/>
      <c r="AM5" s="26"/>
      <c r="AN5" s="28"/>
      <c r="AO5" s="29"/>
      <c r="AP5" s="29"/>
      <c r="AQ5" s="327" t="s">
        <v>1056</v>
      </c>
      <c r="AR5" s="31"/>
      <c r="AS5" s="29"/>
      <c r="AT5" s="32"/>
      <c r="AU5" s="326" t="s">
        <v>1057</v>
      </c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3" t="s">
        <v>1054</v>
      </c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443"/>
      <c r="BZ5" s="35"/>
    </row>
    <row r="6" spans="1:78" s="47" customFormat="1" ht="15" customHeight="1">
      <c r="A6" s="36"/>
      <c r="B6" s="36"/>
      <c r="C6" s="36"/>
      <c r="D6" s="37"/>
      <c r="E6" s="37"/>
      <c r="F6" s="37"/>
      <c r="G6" s="37"/>
      <c r="H6" s="37"/>
      <c r="I6" s="37"/>
      <c r="J6" s="37"/>
      <c r="K6" s="1"/>
      <c r="L6" s="37"/>
      <c r="M6" s="38"/>
      <c r="N6" s="37"/>
      <c r="O6" s="37"/>
      <c r="P6" s="37"/>
      <c r="Q6" s="37"/>
      <c r="R6" s="37"/>
      <c r="S6" s="37"/>
      <c r="T6" s="37"/>
      <c r="U6" s="39"/>
      <c r="V6" s="40"/>
      <c r="W6" s="456" t="s">
        <v>1058</v>
      </c>
      <c r="X6" s="457">
        <v>518</v>
      </c>
      <c r="Y6" s="41">
        <v>821</v>
      </c>
      <c r="Z6" s="41">
        <v>1023</v>
      </c>
      <c r="AA6" s="42" t="s">
        <v>1059</v>
      </c>
      <c r="AB6" s="42" t="s">
        <v>1059</v>
      </c>
      <c r="AC6" s="42" t="s">
        <v>1059</v>
      </c>
      <c r="AD6" s="421" t="s">
        <v>1059</v>
      </c>
      <c r="AE6" s="42" t="s">
        <v>1059</v>
      </c>
      <c r="AF6" s="43" t="s">
        <v>1059</v>
      </c>
      <c r="AG6" s="43" t="s">
        <v>1060</v>
      </c>
      <c r="AH6" s="43" t="s">
        <v>1060</v>
      </c>
      <c r="AI6" s="43" t="s">
        <v>1060</v>
      </c>
      <c r="AJ6" s="43" t="s">
        <v>1060</v>
      </c>
      <c r="AK6" s="43" t="s">
        <v>1060</v>
      </c>
      <c r="AL6" s="43" t="s">
        <v>1060</v>
      </c>
      <c r="AM6" s="40"/>
      <c r="AN6" s="40"/>
      <c r="AO6" s="458" t="s">
        <v>1093</v>
      </c>
      <c r="AP6" s="458"/>
      <c r="AQ6" s="328" t="s">
        <v>1062</v>
      </c>
      <c r="AR6" s="44" t="s">
        <v>1063</v>
      </c>
      <c r="AS6" s="45" t="s">
        <v>1064</v>
      </c>
      <c r="AT6" s="46"/>
      <c r="AU6" s="42" t="s">
        <v>1065</v>
      </c>
      <c r="AV6" s="42" t="s">
        <v>1065</v>
      </c>
      <c r="AW6" s="42" t="s">
        <v>1065</v>
      </c>
      <c r="AX6" s="42" t="s">
        <v>1065</v>
      </c>
      <c r="AY6" s="42" t="s">
        <v>1065</v>
      </c>
      <c r="AZ6" s="42" t="s">
        <v>1065</v>
      </c>
      <c r="BA6" s="42" t="s">
        <v>1065</v>
      </c>
      <c r="BB6" s="42" t="s">
        <v>1065</v>
      </c>
      <c r="BC6" s="42" t="s">
        <v>1065</v>
      </c>
      <c r="BD6" s="42" t="s">
        <v>1065</v>
      </c>
      <c r="BE6" s="42" t="s">
        <v>1065</v>
      </c>
      <c r="BF6" s="42" t="s">
        <v>1065</v>
      </c>
      <c r="BG6" s="42" t="s">
        <v>1065</v>
      </c>
      <c r="BH6" s="42" t="s">
        <v>1066</v>
      </c>
      <c r="BI6" s="42" t="s">
        <v>1066</v>
      </c>
      <c r="BJ6" s="42" t="s">
        <v>1066</v>
      </c>
      <c r="BK6" s="42" t="s">
        <v>1066</v>
      </c>
      <c r="BL6" s="42" t="s">
        <v>1066</v>
      </c>
      <c r="BM6" s="42" t="s">
        <v>1066</v>
      </c>
      <c r="BN6" s="42" t="s">
        <v>1066</v>
      </c>
      <c r="BO6" s="42" t="s">
        <v>1066</v>
      </c>
      <c r="BP6" s="42" t="s">
        <v>1066</v>
      </c>
      <c r="BQ6" s="42" t="s">
        <v>1066</v>
      </c>
      <c r="BR6" s="42" t="s">
        <v>1066</v>
      </c>
      <c r="BS6" s="42" t="s">
        <v>1066</v>
      </c>
      <c r="BT6" s="42" t="s">
        <v>1066</v>
      </c>
      <c r="BZ6" s="48"/>
    </row>
    <row r="7" spans="1:78" ht="30.95" customHeight="1" thickBot="1">
      <c r="A7" s="49" t="s">
        <v>1067</v>
      </c>
      <c r="B7" s="49" t="s">
        <v>2917</v>
      </c>
      <c r="C7" s="49" t="s">
        <v>1</v>
      </c>
      <c r="D7" s="49" t="s">
        <v>2918</v>
      </c>
      <c r="E7" s="50" t="s">
        <v>1072</v>
      </c>
      <c r="F7" s="539" t="s">
        <v>2919</v>
      </c>
      <c r="G7" s="539" t="s">
        <v>2920</v>
      </c>
      <c r="H7" s="539" t="s">
        <v>2921</v>
      </c>
      <c r="I7" s="49" t="s">
        <v>1073</v>
      </c>
      <c r="J7" s="51" t="s">
        <v>1074</v>
      </c>
      <c r="K7" s="49" t="s">
        <v>1075</v>
      </c>
      <c r="L7" s="52" t="s">
        <v>0</v>
      </c>
      <c r="M7" s="53" t="s">
        <v>1076</v>
      </c>
      <c r="N7" s="324" t="s">
        <v>1077</v>
      </c>
      <c r="O7" s="444" t="s">
        <v>1078</v>
      </c>
      <c r="P7" s="49" t="s">
        <v>2</v>
      </c>
      <c r="Q7" s="49" t="s">
        <v>1079</v>
      </c>
      <c r="R7" s="323" t="s">
        <v>1080</v>
      </c>
      <c r="S7" s="54" t="s">
        <v>1081</v>
      </c>
      <c r="T7" s="54" t="s">
        <v>3</v>
      </c>
      <c r="U7" s="54" t="s">
        <v>1082</v>
      </c>
      <c r="V7" s="422" t="s">
        <v>1083</v>
      </c>
      <c r="W7" s="423" t="s">
        <v>1084</v>
      </c>
      <c r="X7" s="423" t="s">
        <v>1085</v>
      </c>
      <c r="Y7" s="55" t="s">
        <v>1086</v>
      </c>
      <c r="Z7" s="55" t="s">
        <v>1087</v>
      </c>
      <c r="AA7" s="57" t="s">
        <v>1088</v>
      </c>
      <c r="AB7" s="49" t="s">
        <v>1089</v>
      </c>
      <c r="AC7" s="49" t="s">
        <v>1090</v>
      </c>
      <c r="AD7" s="424" t="s">
        <v>1091</v>
      </c>
      <c r="AE7" s="59" t="s">
        <v>1092</v>
      </c>
      <c r="AF7" s="59" t="s">
        <v>1093</v>
      </c>
      <c r="AG7" s="58" t="s">
        <v>1061</v>
      </c>
      <c r="AH7" s="59" t="s">
        <v>1094</v>
      </c>
      <c r="AI7" s="59" t="s">
        <v>1095</v>
      </c>
      <c r="AJ7" s="58" t="s">
        <v>1096</v>
      </c>
      <c r="AK7" s="59" t="s">
        <v>1097</v>
      </c>
      <c r="AL7" s="60" t="s">
        <v>1098</v>
      </c>
      <c r="AM7" s="61" t="s">
        <v>1099</v>
      </c>
      <c r="AN7" s="62" t="s">
        <v>1100</v>
      </c>
      <c r="AO7" s="63" t="s">
        <v>1101</v>
      </c>
      <c r="AP7" s="63" t="s">
        <v>1102</v>
      </c>
      <c r="AQ7" s="329" t="s">
        <v>1103</v>
      </c>
      <c r="AR7" s="64" t="s">
        <v>1104</v>
      </c>
      <c r="AS7" s="63" t="s">
        <v>1105</v>
      </c>
      <c r="AT7" s="64" t="s">
        <v>1106</v>
      </c>
      <c r="AU7" s="441" t="s">
        <v>1107</v>
      </c>
      <c r="AV7" s="441" t="s">
        <v>1108</v>
      </c>
      <c r="AW7" s="441" t="s">
        <v>1109</v>
      </c>
      <c r="AX7" s="441" t="s">
        <v>1110</v>
      </c>
      <c r="AY7" s="441" t="s">
        <v>1111</v>
      </c>
      <c r="AZ7" s="441" t="s">
        <v>1112</v>
      </c>
      <c r="BA7" s="441" t="s">
        <v>1113</v>
      </c>
      <c r="BB7" s="441" t="s">
        <v>1114</v>
      </c>
      <c r="BC7" s="441" t="s">
        <v>1115</v>
      </c>
      <c r="BD7" s="441" t="s">
        <v>1116</v>
      </c>
      <c r="BE7" s="441" t="s">
        <v>1117</v>
      </c>
      <c r="BF7" s="441" t="s">
        <v>1118</v>
      </c>
      <c r="BG7" s="441" t="s">
        <v>1119</v>
      </c>
      <c r="BH7" s="442" t="s">
        <v>1120</v>
      </c>
      <c r="BI7" s="442" t="s">
        <v>1121</v>
      </c>
      <c r="BJ7" s="442" t="s">
        <v>1122</v>
      </c>
      <c r="BK7" s="442" t="s">
        <v>1123</v>
      </c>
      <c r="BL7" s="442" t="s">
        <v>1124</v>
      </c>
      <c r="BM7" s="442" t="s">
        <v>1125</v>
      </c>
      <c r="BN7" s="442" t="s">
        <v>1126</v>
      </c>
      <c r="BO7" s="442" t="s">
        <v>1127</v>
      </c>
      <c r="BP7" s="442" t="s">
        <v>1128</v>
      </c>
      <c r="BQ7" s="442" t="s">
        <v>1129</v>
      </c>
      <c r="BR7" s="442" t="s">
        <v>1130</v>
      </c>
      <c r="BS7" s="442" t="s">
        <v>1131</v>
      </c>
      <c r="BT7" s="442" t="s">
        <v>1132</v>
      </c>
    </row>
    <row r="8" spans="1:78" ht="15" hidden="1" customHeight="1">
      <c r="A8" s="66" t="s">
        <v>2851</v>
      </c>
      <c r="B8" s="66"/>
      <c r="C8" s="66" t="s">
        <v>1043</v>
      </c>
      <c r="D8" s="66" t="s">
        <v>2852</v>
      </c>
      <c r="E8" s="150" t="s">
        <v>1136</v>
      </c>
      <c r="F8" s="482" t="s">
        <v>1566</v>
      </c>
      <c r="G8" s="482" t="s">
        <v>1566</v>
      </c>
      <c r="H8" s="482" t="s">
        <v>1566</v>
      </c>
      <c r="I8" s="150" t="s">
        <v>1345</v>
      </c>
      <c r="J8" s="150" t="s">
        <v>1346</v>
      </c>
      <c r="K8" s="150" t="s">
        <v>1346</v>
      </c>
      <c r="L8" s="511" t="s">
        <v>1037</v>
      </c>
      <c r="M8" s="392" t="s">
        <v>2853</v>
      </c>
      <c r="N8" s="343"/>
      <c r="O8" s="343"/>
      <c r="P8" s="70" t="s">
        <v>1044</v>
      </c>
      <c r="Q8" s="346"/>
      <c r="R8" s="343"/>
      <c r="S8" s="346"/>
      <c r="T8" s="150" t="s">
        <v>272</v>
      </c>
      <c r="U8" s="150"/>
      <c r="V8" s="403"/>
      <c r="W8" s="406">
        <v>0</v>
      </c>
      <c r="X8" s="406">
        <v>485.43</v>
      </c>
      <c r="Y8" s="425"/>
      <c r="Z8" s="71"/>
      <c r="AA8" s="426"/>
      <c r="AB8" s="427"/>
      <c r="AC8" s="427">
        <v>485.43</v>
      </c>
      <c r="AD8" s="428" t="s">
        <v>1142</v>
      </c>
      <c r="AE8" s="429">
        <v>0</v>
      </c>
      <c r="AF8" s="429">
        <v>0</v>
      </c>
      <c r="AG8" s="360">
        <v>0</v>
      </c>
      <c r="AH8" s="360">
        <v>0</v>
      </c>
      <c r="AI8" s="360">
        <v>0</v>
      </c>
      <c r="AJ8" s="360">
        <v>0</v>
      </c>
      <c r="AK8" s="360">
        <v>0</v>
      </c>
      <c r="AL8" s="360">
        <v>0</v>
      </c>
      <c r="AM8" s="360">
        <f t="shared" ref="AM8:AM71" si="0">SUM(AA8:AL8)</f>
        <v>485.43</v>
      </c>
      <c r="AN8" s="361">
        <f>ERP_2[[#This Row],[2026 Working Total]]-ERP_2[[#This Row],[LE2 Final Submission]]</f>
        <v>0</v>
      </c>
      <c r="AO8" s="79">
        <v>0</v>
      </c>
      <c r="AP8" s="79">
        <f t="shared" ref="AP8:AP71" si="1">$AF8 - $AO8</f>
        <v>0</v>
      </c>
      <c r="AQ8" s="374">
        <f>SUM(ERP_2[[#This Row],[AP01]:[AP06]])-SUM(ERP_2[[#This Row],[AP01 LE2]:[AP06 LE2]])</f>
        <v>0</v>
      </c>
      <c r="AR8" s="80"/>
      <c r="AS8" s="79">
        <f>ERP_2[[#This Row],[2026 Working Total to Budget/LE]]-ERP_2[[#This Row],[Giveback]]</f>
        <v>0</v>
      </c>
      <c r="AT8" s="81"/>
      <c r="AU8" s="375"/>
      <c r="AV8" s="375"/>
      <c r="AW8" s="375">
        <v>485.43</v>
      </c>
      <c r="AX8" s="375">
        <v>0</v>
      </c>
      <c r="AY8" s="375">
        <v>0</v>
      </c>
      <c r="AZ8" s="375">
        <v>0</v>
      </c>
      <c r="BA8" s="375">
        <v>0</v>
      </c>
      <c r="BB8" s="375">
        <v>0</v>
      </c>
      <c r="BC8" s="375">
        <v>0</v>
      </c>
      <c r="BD8" s="375">
        <v>0</v>
      </c>
      <c r="BE8" s="375">
        <v>0</v>
      </c>
      <c r="BF8" s="375">
        <v>0</v>
      </c>
      <c r="BG8" s="375">
        <v>485.43</v>
      </c>
      <c r="BH8" s="79"/>
      <c r="BI8" s="79"/>
      <c r="BJ8" s="79">
        <v>485.43</v>
      </c>
      <c r="BK8" s="79">
        <v>0</v>
      </c>
      <c r="BL8" s="79">
        <v>0</v>
      </c>
      <c r="BM8" s="79">
        <v>0</v>
      </c>
      <c r="BN8" s="79">
        <v>0</v>
      </c>
      <c r="BO8" s="79">
        <v>0</v>
      </c>
      <c r="BP8" s="79">
        <v>0</v>
      </c>
      <c r="BQ8" s="79">
        <v>0</v>
      </c>
      <c r="BR8" s="79">
        <v>0</v>
      </c>
      <c r="BS8" s="79">
        <v>0</v>
      </c>
      <c r="BT8" s="79">
        <v>485.43</v>
      </c>
    </row>
    <row r="9" spans="1:78" ht="15" hidden="1" customHeight="1">
      <c r="A9" s="66" t="s">
        <v>1176</v>
      </c>
      <c r="B9" s="66"/>
      <c r="C9" s="66" t="s">
        <v>58</v>
      </c>
      <c r="D9" s="66" t="s">
        <v>1177</v>
      </c>
      <c r="E9" s="150" t="s">
        <v>1136</v>
      </c>
      <c r="F9" s="482" t="s">
        <v>1566</v>
      </c>
      <c r="G9" s="150" t="s">
        <v>1135</v>
      </c>
      <c r="H9" s="150" t="s">
        <v>1156</v>
      </c>
      <c r="I9" s="150" t="s">
        <v>1135</v>
      </c>
      <c r="J9" s="150" t="s">
        <v>1156</v>
      </c>
      <c r="K9" s="150" t="s">
        <v>1137</v>
      </c>
      <c r="L9" s="511" t="s">
        <v>49</v>
      </c>
      <c r="M9" s="392" t="s">
        <v>1178</v>
      </c>
      <c r="N9" s="343"/>
      <c r="O9" s="343"/>
      <c r="P9" s="70" t="s">
        <v>59</v>
      </c>
      <c r="Q9" s="346"/>
      <c r="R9" s="343"/>
      <c r="S9" s="346"/>
      <c r="T9" s="150" t="s">
        <v>25</v>
      </c>
      <c r="U9" s="150"/>
      <c r="V9" s="403"/>
      <c r="W9" s="406">
        <v>551723.03999999992</v>
      </c>
      <c r="X9" s="406">
        <v>460642</v>
      </c>
      <c r="Y9" s="425"/>
      <c r="Z9" s="71"/>
      <c r="AA9" s="426"/>
      <c r="AB9" s="427"/>
      <c r="AC9" s="427"/>
      <c r="AD9" s="428">
        <v>0</v>
      </c>
      <c r="AE9" s="429">
        <v>29102.65</v>
      </c>
      <c r="AF9" s="429">
        <v>67355.899999999994</v>
      </c>
      <c r="AG9" s="363">
        <v>58020</v>
      </c>
      <c r="AH9" s="363">
        <v>58020</v>
      </c>
      <c r="AI9" s="363">
        <f>42525+20000</f>
        <v>62525</v>
      </c>
      <c r="AJ9" s="363">
        <v>48020</v>
      </c>
      <c r="AK9" s="363">
        <v>42525</v>
      </c>
      <c r="AL9" s="363">
        <v>34020</v>
      </c>
      <c r="AM9" s="360">
        <f t="shared" si="0"/>
        <v>399588.55</v>
      </c>
      <c r="AN9" s="362">
        <f>ERP_2[[#This Row],[2026 Working Total]]-ERP_2[[#This Row],[LE2 Final Submission]]</f>
        <v>-61053.450000000012</v>
      </c>
      <c r="AO9" s="79">
        <v>141912</v>
      </c>
      <c r="AP9" s="79">
        <f t="shared" si="1"/>
        <v>-74556.100000000006</v>
      </c>
      <c r="AQ9" s="374">
        <f>SUM(ERP_2[[#This Row],[AP01]:[AP06]])-SUM(ERP_2[[#This Row],[AP01 LE2]:[AP06 LE2]])</f>
        <v>-131967.45000000001</v>
      </c>
      <c r="AR9" s="80">
        <v>-91081</v>
      </c>
      <c r="AS9" s="79">
        <f>ERP_2[[#This Row],[2026 Working Total to Budget/LE]]-ERP_2[[#This Row],[Giveback]]</f>
        <v>30027.549999999988</v>
      </c>
      <c r="AT9" s="81" t="s">
        <v>1179</v>
      </c>
      <c r="AU9" s="375"/>
      <c r="AV9" s="375"/>
      <c r="AW9" s="375"/>
      <c r="AX9" s="375">
        <v>36666</v>
      </c>
      <c r="AY9" s="375">
        <v>141912</v>
      </c>
      <c r="AZ9" s="375">
        <v>49848</v>
      </c>
      <c r="BA9" s="375">
        <v>40857</v>
      </c>
      <c r="BB9" s="375">
        <v>40681</v>
      </c>
      <c r="BC9" s="375">
        <v>37645</v>
      </c>
      <c r="BD9" s="375">
        <v>37694</v>
      </c>
      <c r="BE9" s="375">
        <v>37645</v>
      </c>
      <c r="BF9" s="375">
        <v>37694</v>
      </c>
      <c r="BG9" s="375">
        <v>460642</v>
      </c>
      <c r="BH9" s="79"/>
      <c r="BI9" s="79"/>
      <c r="BJ9" s="79"/>
      <c r="BK9" s="79">
        <v>61303</v>
      </c>
      <c r="BL9" s="79">
        <v>61303</v>
      </c>
      <c r="BM9" s="79">
        <v>61303</v>
      </c>
      <c r="BN9" s="79">
        <v>61303</v>
      </c>
      <c r="BO9" s="79">
        <v>61303</v>
      </c>
      <c r="BP9" s="79">
        <v>61303</v>
      </c>
      <c r="BQ9" s="79">
        <v>61303</v>
      </c>
      <c r="BR9" s="79">
        <v>61303</v>
      </c>
      <c r="BS9" s="79">
        <v>61303</v>
      </c>
      <c r="BT9" s="79">
        <v>551727</v>
      </c>
    </row>
    <row r="10" spans="1:78" ht="15" hidden="1" customHeight="1">
      <c r="A10" s="66" t="s">
        <v>1180</v>
      </c>
      <c r="B10" s="66"/>
      <c r="C10" s="66" t="s">
        <v>60</v>
      </c>
      <c r="D10" s="66" t="s">
        <v>1181</v>
      </c>
      <c r="E10" s="150" t="s">
        <v>1136</v>
      </c>
      <c r="F10" s="482" t="s">
        <v>1566</v>
      </c>
      <c r="G10" s="150" t="s">
        <v>1135</v>
      </c>
      <c r="H10" s="150" t="s">
        <v>1135</v>
      </c>
      <c r="I10" s="150" t="s">
        <v>1135</v>
      </c>
      <c r="J10" s="150" t="s">
        <v>1137</v>
      </c>
      <c r="K10" s="150" t="s">
        <v>1137</v>
      </c>
      <c r="L10" s="511" t="s">
        <v>49</v>
      </c>
      <c r="M10" s="392" t="s">
        <v>1182</v>
      </c>
      <c r="N10" s="343"/>
      <c r="O10" s="343"/>
      <c r="P10" s="70" t="s">
        <v>61</v>
      </c>
      <c r="Q10" s="346"/>
      <c r="R10" s="343"/>
      <c r="S10" s="346"/>
      <c r="T10" s="150" t="s">
        <v>25</v>
      </c>
      <c r="U10" s="150"/>
      <c r="V10" s="403"/>
      <c r="W10" s="406">
        <v>0</v>
      </c>
      <c r="X10" s="406">
        <v>214.49</v>
      </c>
      <c r="Y10" s="425"/>
      <c r="Z10" s="71"/>
      <c r="AA10" s="426">
        <v>215.71</v>
      </c>
      <c r="AB10" s="427">
        <v>-1.22</v>
      </c>
      <c r="AC10" s="431">
        <v>0</v>
      </c>
      <c r="AD10" s="428" t="s">
        <v>1142</v>
      </c>
      <c r="AE10" s="429">
        <v>0</v>
      </c>
      <c r="AF10" s="429">
        <v>0</v>
      </c>
      <c r="AG10" s="360">
        <v>0</v>
      </c>
      <c r="AH10" s="360">
        <v>0</v>
      </c>
      <c r="AI10" s="360">
        <v>0</v>
      </c>
      <c r="AJ10" s="360">
        <v>0</v>
      </c>
      <c r="AK10" s="360">
        <v>0</v>
      </c>
      <c r="AL10" s="360">
        <v>0</v>
      </c>
      <c r="AM10" s="360">
        <f t="shared" si="0"/>
        <v>214.49</v>
      </c>
      <c r="AN10" s="362">
        <f>ERP_2[[#This Row],[2026 Working Total]]-ERP_2[[#This Row],[LE2 Final Submission]]</f>
        <v>0</v>
      </c>
      <c r="AO10" s="79">
        <v>0</v>
      </c>
      <c r="AP10" s="79">
        <f t="shared" si="1"/>
        <v>0</v>
      </c>
      <c r="AQ10" s="374">
        <f>SUM(ERP_2[[#This Row],[AP01]:[AP06]])-SUM(ERP_2[[#This Row],[AP01 LE2]:[AP06 LE2]])</f>
        <v>0</v>
      </c>
      <c r="AR10" s="80"/>
      <c r="AS10" s="79">
        <f>ERP_2[[#This Row],[2026 Working Total to Budget/LE]]-ERP_2[[#This Row],[Giveback]]</f>
        <v>0</v>
      </c>
      <c r="AT10" s="81"/>
      <c r="AU10" s="375">
        <v>215.71</v>
      </c>
      <c r="AV10" s="375">
        <v>-1.22</v>
      </c>
      <c r="AW10" s="375">
        <v>0</v>
      </c>
      <c r="AX10" s="375">
        <v>0</v>
      </c>
      <c r="AY10" s="375">
        <v>0</v>
      </c>
      <c r="AZ10" s="375">
        <v>0</v>
      </c>
      <c r="BA10" s="375">
        <v>0</v>
      </c>
      <c r="BB10" s="375">
        <v>0</v>
      </c>
      <c r="BC10" s="375">
        <v>0</v>
      </c>
      <c r="BD10" s="375">
        <v>0</v>
      </c>
      <c r="BE10" s="375">
        <v>0</v>
      </c>
      <c r="BF10" s="375">
        <v>0</v>
      </c>
      <c r="BG10" s="375">
        <v>214.49</v>
      </c>
      <c r="BH10" s="79">
        <v>215.71</v>
      </c>
      <c r="BI10" s="79">
        <v>-1.22</v>
      </c>
      <c r="BJ10" s="79">
        <v>0</v>
      </c>
      <c r="BK10" s="79">
        <v>0</v>
      </c>
      <c r="BL10" s="79">
        <v>0</v>
      </c>
      <c r="BM10" s="79">
        <v>0</v>
      </c>
      <c r="BN10" s="79">
        <v>0</v>
      </c>
      <c r="BO10" s="79">
        <v>0</v>
      </c>
      <c r="BP10" s="79">
        <v>0</v>
      </c>
      <c r="BQ10" s="79">
        <v>0</v>
      </c>
      <c r="BR10" s="79">
        <v>0</v>
      </c>
      <c r="BS10" s="79">
        <v>0</v>
      </c>
      <c r="BT10" s="79">
        <v>214.49</v>
      </c>
    </row>
    <row r="11" spans="1:78" ht="15" hidden="1" customHeight="1">
      <c r="A11" s="66" t="s">
        <v>1183</v>
      </c>
      <c r="B11" s="66"/>
      <c r="C11" s="66" t="s">
        <v>62</v>
      </c>
      <c r="D11" s="66" t="s">
        <v>1184</v>
      </c>
      <c r="E11" s="150" t="s">
        <v>1136</v>
      </c>
      <c r="F11" s="482" t="s">
        <v>1566</v>
      </c>
      <c r="G11" s="150" t="s">
        <v>1135</v>
      </c>
      <c r="H11" s="150" t="s">
        <v>1145</v>
      </c>
      <c r="I11" s="150" t="s">
        <v>1135</v>
      </c>
      <c r="J11" s="150" t="s">
        <v>1145</v>
      </c>
      <c r="K11" s="150" t="s">
        <v>1137</v>
      </c>
      <c r="L11" s="511" t="s">
        <v>49</v>
      </c>
      <c r="M11" s="392" t="s">
        <v>1185</v>
      </c>
      <c r="N11" s="343"/>
      <c r="O11" s="346" t="s">
        <v>1186</v>
      </c>
      <c r="P11" s="70" t="s">
        <v>63</v>
      </c>
      <c r="Q11" s="346"/>
      <c r="R11" s="346" t="s">
        <v>1187</v>
      </c>
      <c r="S11" s="346"/>
      <c r="T11" s="150" t="s">
        <v>64</v>
      </c>
      <c r="U11" s="150"/>
      <c r="V11" s="403"/>
      <c r="W11" s="406">
        <v>345518.86</v>
      </c>
      <c r="X11" s="406">
        <v>345670.24</v>
      </c>
      <c r="Y11" s="425"/>
      <c r="Z11" s="71"/>
      <c r="AA11" s="426">
        <v>35812</v>
      </c>
      <c r="AB11" s="427">
        <v>40109.440000000002</v>
      </c>
      <c r="AC11" s="427">
        <v>50136.800000000003</v>
      </c>
      <c r="AD11" s="428">
        <v>40109.449999999997</v>
      </c>
      <c r="AE11" s="429">
        <v>40109.449999999997</v>
      </c>
      <c r="AF11" s="429">
        <v>29136.779999999995</v>
      </c>
      <c r="AG11" s="363">
        <v>22297</v>
      </c>
      <c r="AH11" s="363">
        <v>19127</v>
      </c>
      <c r="AI11" s="363">
        <v>19127</v>
      </c>
      <c r="AJ11" s="363">
        <v>19127</v>
      </c>
      <c r="AK11" s="363">
        <v>19127</v>
      </c>
      <c r="AL11" s="363">
        <v>19127</v>
      </c>
      <c r="AM11" s="360">
        <f t="shared" si="0"/>
        <v>353345.92000000004</v>
      </c>
      <c r="AN11" s="362">
        <f>ERP_2[[#This Row],[2026 Working Total]]-ERP_2[[#This Row],[LE2 Final Submission]]</f>
        <v>7675.6800000000512</v>
      </c>
      <c r="AO11" s="79">
        <v>28897</v>
      </c>
      <c r="AP11" s="79">
        <f t="shared" si="1"/>
        <v>239.7799999999952</v>
      </c>
      <c r="AQ11" s="374">
        <f>SUM(ERP_2[[#This Row],[AP01]:[AP06]])-SUM(ERP_2[[#This Row],[AP01 LE2]:[AP06 LE2]])</f>
        <v>11561.680000000022</v>
      </c>
      <c r="AR11" s="80"/>
      <c r="AS11" s="79">
        <f>ERP_2[[#This Row],[2026 Working Total to Budget/LE]]-ERP_2[[#This Row],[Giveback]]</f>
        <v>7675.6800000000512</v>
      </c>
      <c r="AT11" s="81"/>
      <c r="AU11" s="375">
        <v>35812</v>
      </c>
      <c r="AV11" s="375">
        <v>40109.440000000002</v>
      </c>
      <c r="AW11" s="375">
        <v>50136.800000000003</v>
      </c>
      <c r="AX11" s="375">
        <v>40000</v>
      </c>
      <c r="AY11" s="375">
        <v>28897</v>
      </c>
      <c r="AZ11" s="375">
        <v>28897</v>
      </c>
      <c r="BA11" s="375">
        <v>23013</v>
      </c>
      <c r="BB11" s="375">
        <v>22297</v>
      </c>
      <c r="BC11" s="375">
        <v>19127</v>
      </c>
      <c r="BD11" s="375">
        <v>19127</v>
      </c>
      <c r="BE11" s="375">
        <v>19127</v>
      </c>
      <c r="BF11" s="375">
        <v>19127</v>
      </c>
      <c r="BG11" s="375">
        <v>345670.24</v>
      </c>
      <c r="BH11" s="79">
        <v>35812</v>
      </c>
      <c r="BI11" s="79">
        <v>40109.440000000002</v>
      </c>
      <c r="BJ11" s="79">
        <v>50136.800000000003</v>
      </c>
      <c r="BK11" s="79">
        <v>40000</v>
      </c>
      <c r="BL11" s="79">
        <v>28897</v>
      </c>
      <c r="BM11" s="79">
        <v>28897</v>
      </c>
      <c r="BN11" s="79">
        <v>23013</v>
      </c>
      <c r="BO11" s="79">
        <v>22297</v>
      </c>
      <c r="BP11" s="79">
        <v>22297</v>
      </c>
      <c r="BQ11" s="79">
        <v>22297</v>
      </c>
      <c r="BR11" s="79">
        <v>22297</v>
      </c>
      <c r="BS11" s="79">
        <v>22297</v>
      </c>
      <c r="BT11" s="79">
        <v>358350.24</v>
      </c>
    </row>
    <row r="12" spans="1:78" ht="15" hidden="1" customHeight="1">
      <c r="A12" s="66" t="s">
        <v>1188</v>
      </c>
      <c r="B12" s="66"/>
      <c r="C12" s="66" t="s">
        <v>65</v>
      </c>
      <c r="D12" s="66" t="s">
        <v>65</v>
      </c>
      <c r="E12" s="150" t="s">
        <v>1136</v>
      </c>
      <c r="F12" s="482" t="s">
        <v>1566</v>
      </c>
      <c r="G12" s="150" t="s">
        <v>1135</v>
      </c>
      <c r="H12" s="150" t="s">
        <v>1135</v>
      </c>
      <c r="I12" s="150" t="s">
        <v>1135</v>
      </c>
      <c r="J12" s="150" t="s">
        <v>1135</v>
      </c>
      <c r="K12" s="150" t="s">
        <v>1137</v>
      </c>
      <c r="L12" s="511" t="s">
        <v>49</v>
      </c>
      <c r="M12" s="392" t="s">
        <v>1189</v>
      </c>
      <c r="N12" s="343" t="s">
        <v>2910</v>
      </c>
      <c r="O12" s="346" t="s">
        <v>1191</v>
      </c>
      <c r="P12" s="70" t="s">
        <v>66</v>
      </c>
      <c r="Q12" s="346"/>
      <c r="R12" s="346" t="s">
        <v>1192</v>
      </c>
      <c r="S12" s="346"/>
      <c r="T12" s="150" t="s">
        <v>67</v>
      </c>
      <c r="U12" s="150"/>
      <c r="V12" s="403"/>
      <c r="W12" s="406">
        <v>216000</v>
      </c>
      <c r="X12" s="406">
        <v>197423.06</v>
      </c>
      <c r="Y12" s="430"/>
      <c r="Z12" s="137"/>
      <c r="AA12" s="426">
        <v>14166</v>
      </c>
      <c r="AB12" s="427">
        <v>18835.37</v>
      </c>
      <c r="AC12" s="427">
        <v>16863.689999999999</v>
      </c>
      <c r="AD12" s="428">
        <v>15866.15</v>
      </c>
      <c r="AE12" s="429">
        <v>15866.160000000003</v>
      </c>
      <c r="AF12" s="429">
        <v>19832.689999999999</v>
      </c>
      <c r="AG12" s="363">
        <v>17000</v>
      </c>
      <c r="AH12" s="363">
        <v>17000</v>
      </c>
      <c r="AI12" s="363">
        <v>17000</v>
      </c>
      <c r="AJ12" s="363">
        <v>17000</v>
      </c>
      <c r="AK12" s="363">
        <v>17000</v>
      </c>
      <c r="AL12" s="363">
        <v>17000</v>
      </c>
      <c r="AM12" s="360">
        <f t="shared" si="0"/>
        <v>203430.06</v>
      </c>
      <c r="AN12" s="362">
        <f>ERP_2[[#This Row],[2026 Working Total]]-ERP_2[[#This Row],[LE2 Final Submission]]</f>
        <v>6007</v>
      </c>
      <c r="AO12" s="79">
        <v>17000</v>
      </c>
      <c r="AP12" s="79">
        <f t="shared" si="1"/>
        <v>2832.6899999999987</v>
      </c>
      <c r="AQ12" s="374">
        <f>SUM(ERP_2[[#This Row],[AP01]:[AP06]])-SUM(ERP_2[[#This Row],[AP01 LE2]:[AP06 LE2]])</f>
        <v>6007</v>
      </c>
      <c r="AR12" s="80"/>
      <c r="AS12" s="79">
        <f>ERP_2[[#This Row],[2026 Working Total to Budget/LE]]-ERP_2[[#This Row],[Giveback]]</f>
        <v>6007</v>
      </c>
      <c r="AT12" s="81"/>
      <c r="AU12" s="375">
        <v>14166</v>
      </c>
      <c r="AV12" s="375">
        <v>18835.37</v>
      </c>
      <c r="AW12" s="375">
        <v>16863.689999999999</v>
      </c>
      <c r="AX12" s="375">
        <v>11558</v>
      </c>
      <c r="AY12" s="375">
        <v>17000</v>
      </c>
      <c r="AZ12" s="375">
        <v>17000</v>
      </c>
      <c r="BA12" s="375">
        <v>17000</v>
      </c>
      <c r="BB12" s="375">
        <v>17000</v>
      </c>
      <c r="BC12" s="375">
        <v>17000</v>
      </c>
      <c r="BD12" s="375">
        <v>17000</v>
      </c>
      <c r="BE12" s="375">
        <v>17000</v>
      </c>
      <c r="BF12" s="375">
        <v>17000</v>
      </c>
      <c r="BG12" s="375">
        <v>197423.06</v>
      </c>
      <c r="BH12" s="79">
        <v>14166</v>
      </c>
      <c r="BI12" s="79">
        <v>18835.37</v>
      </c>
      <c r="BJ12" s="79">
        <v>16863.689999999999</v>
      </c>
      <c r="BK12" s="79">
        <v>18000</v>
      </c>
      <c r="BL12" s="79">
        <v>18000</v>
      </c>
      <c r="BM12" s="79">
        <v>18000</v>
      </c>
      <c r="BN12" s="79">
        <v>18000</v>
      </c>
      <c r="BO12" s="79">
        <v>18000</v>
      </c>
      <c r="BP12" s="79">
        <v>18000</v>
      </c>
      <c r="BQ12" s="79">
        <v>18000</v>
      </c>
      <c r="BR12" s="79">
        <v>18000</v>
      </c>
      <c r="BS12" s="79">
        <v>18000</v>
      </c>
      <c r="BT12" s="79">
        <v>211865.06</v>
      </c>
    </row>
    <row r="13" spans="1:78" ht="15" hidden="1" customHeight="1">
      <c r="A13" s="66" t="s">
        <v>1193</v>
      </c>
      <c r="B13" s="66"/>
      <c r="C13" s="66" t="s">
        <v>68</v>
      </c>
      <c r="D13" s="66" t="s">
        <v>68</v>
      </c>
      <c r="E13" s="150" t="s">
        <v>1136</v>
      </c>
      <c r="F13" s="482" t="s">
        <v>1566</v>
      </c>
      <c r="G13" s="150" t="s">
        <v>1135</v>
      </c>
      <c r="H13" s="150" t="s">
        <v>1135</v>
      </c>
      <c r="I13" s="150" t="s">
        <v>1135</v>
      </c>
      <c r="J13" s="150" t="s">
        <v>1135</v>
      </c>
      <c r="K13" s="150" t="s">
        <v>1137</v>
      </c>
      <c r="L13" s="511" t="s">
        <v>49</v>
      </c>
      <c r="M13" s="392" t="s">
        <v>1194</v>
      </c>
      <c r="N13" s="343" t="s">
        <v>1195</v>
      </c>
      <c r="O13" s="346" t="s">
        <v>1171</v>
      </c>
      <c r="P13" s="70" t="s">
        <v>69</v>
      </c>
      <c r="Q13" s="346"/>
      <c r="R13" s="346" t="s">
        <v>1196</v>
      </c>
      <c r="S13" s="346"/>
      <c r="T13" s="150" t="s">
        <v>67</v>
      </c>
      <c r="U13" s="150"/>
      <c r="V13" s="403"/>
      <c r="W13" s="406">
        <v>237888</v>
      </c>
      <c r="X13" s="406">
        <v>236045.4</v>
      </c>
      <c r="Y13" s="425"/>
      <c r="Z13" s="71"/>
      <c r="AA13" s="426">
        <v>16372</v>
      </c>
      <c r="AB13" s="427">
        <v>18336.62</v>
      </c>
      <c r="AC13" s="427">
        <v>22920.78</v>
      </c>
      <c r="AD13" s="428">
        <v>18336.629999999997</v>
      </c>
      <c r="AE13" s="429">
        <v>18336.63</v>
      </c>
      <c r="AF13" s="429">
        <v>22920.78</v>
      </c>
      <c r="AG13" s="363">
        <v>19824</v>
      </c>
      <c r="AH13" s="363">
        <v>19824</v>
      </c>
      <c r="AI13" s="363">
        <v>19824</v>
      </c>
      <c r="AJ13" s="363">
        <v>19824</v>
      </c>
      <c r="AK13" s="363">
        <v>19824</v>
      </c>
      <c r="AL13" s="363">
        <v>19824</v>
      </c>
      <c r="AM13" s="360">
        <f t="shared" si="0"/>
        <v>236167.44</v>
      </c>
      <c r="AN13" s="362">
        <f>ERP_2[[#This Row],[2026 Working Total]]-ERP_2[[#This Row],[LE2 Final Submission]]</f>
        <v>122.04000000000815</v>
      </c>
      <c r="AO13" s="79">
        <v>19824</v>
      </c>
      <c r="AP13" s="79">
        <f t="shared" si="1"/>
        <v>3096.7799999999988</v>
      </c>
      <c r="AQ13" s="374">
        <f>SUM(ERP_2[[#This Row],[AP01]:[AP06]])-SUM(ERP_2[[#This Row],[AP01 LE2]:[AP06 LE2]])</f>
        <v>122.04000000000815</v>
      </c>
      <c r="AR13" s="80"/>
      <c r="AS13" s="79">
        <f>ERP_2[[#This Row],[2026 Working Total to Budget/LE]]-ERP_2[[#This Row],[Giveback]]</f>
        <v>122.04000000000815</v>
      </c>
      <c r="AT13" s="81"/>
      <c r="AU13" s="375">
        <v>16372</v>
      </c>
      <c r="AV13" s="375">
        <v>18336.62</v>
      </c>
      <c r="AW13" s="375">
        <v>22920.78</v>
      </c>
      <c r="AX13" s="375">
        <v>19824</v>
      </c>
      <c r="AY13" s="375">
        <v>19824</v>
      </c>
      <c r="AZ13" s="375">
        <v>19824</v>
      </c>
      <c r="BA13" s="375">
        <v>19824</v>
      </c>
      <c r="BB13" s="375">
        <v>19824</v>
      </c>
      <c r="BC13" s="375">
        <v>19824</v>
      </c>
      <c r="BD13" s="375">
        <v>19824</v>
      </c>
      <c r="BE13" s="375">
        <v>19824</v>
      </c>
      <c r="BF13" s="375">
        <v>19824</v>
      </c>
      <c r="BG13" s="375">
        <v>236045.4</v>
      </c>
      <c r="BH13" s="79">
        <v>16372</v>
      </c>
      <c r="BI13" s="79">
        <v>18336.62</v>
      </c>
      <c r="BJ13" s="79">
        <v>22920.78</v>
      </c>
      <c r="BK13" s="79">
        <v>19824</v>
      </c>
      <c r="BL13" s="79">
        <v>19824</v>
      </c>
      <c r="BM13" s="79">
        <v>19824</v>
      </c>
      <c r="BN13" s="79">
        <v>19824</v>
      </c>
      <c r="BO13" s="79">
        <v>19824</v>
      </c>
      <c r="BP13" s="79">
        <v>19824</v>
      </c>
      <c r="BQ13" s="79">
        <v>19824</v>
      </c>
      <c r="BR13" s="79">
        <v>19824</v>
      </c>
      <c r="BS13" s="79">
        <v>19824</v>
      </c>
      <c r="BT13" s="79">
        <v>236045.4</v>
      </c>
    </row>
    <row r="14" spans="1:78" ht="15" hidden="1" customHeight="1">
      <c r="A14" s="66" t="s">
        <v>1197</v>
      </c>
      <c r="B14" s="66"/>
      <c r="C14" s="66" t="s">
        <v>70</v>
      </c>
      <c r="D14" s="66" t="s">
        <v>70</v>
      </c>
      <c r="E14" s="150" t="s">
        <v>1136</v>
      </c>
      <c r="F14" s="482" t="s">
        <v>1566</v>
      </c>
      <c r="G14" s="150" t="s">
        <v>1135</v>
      </c>
      <c r="H14" s="150" t="s">
        <v>1135</v>
      </c>
      <c r="I14" s="150" t="s">
        <v>1135</v>
      </c>
      <c r="J14" s="150" t="s">
        <v>1135</v>
      </c>
      <c r="K14" s="150" t="s">
        <v>1137</v>
      </c>
      <c r="L14" s="511" t="s">
        <v>49</v>
      </c>
      <c r="M14" s="392" t="s">
        <v>1198</v>
      </c>
      <c r="N14" s="343" t="s">
        <v>1190</v>
      </c>
      <c r="O14" s="346" t="s">
        <v>1171</v>
      </c>
      <c r="P14" s="70" t="s">
        <v>71</v>
      </c>
      <c r="Q14" s="346"/>
      <c r="R14" s="346" t="s">
        <v>1199</v>
      </c>
      <c r="S14" s="346"/>
      <c r="T14" s="150" t="s">
        <v>64</v>
      </c>
      <c r="U14" s="150"/>
      <c r="V14" s="403"/>
      <c r="W14" s="406">
        <v>230004</v>
      </c>
      <c r="X14" s="406">
        <v>211390.3</v>
      </c>
      <c r="Y14" s="425"/>
      <c r="Z14" s="71"/>
      <c r="AA14" s="426">
        <v>14973</v>
      </c>
      <c r="AB14" s="427">
        <v>18162.759999999998</v>
      </c>
      <c r="AC14" s="427">
        <v>19567.54</v>
      </c>
      <c r="AD14" s="428">
        <v>16769.23</v>
      </c>
      <c r="AE14" s="429">
        <v>16769.23</v>
      </c>
      <c r="AF14" s="429">
        <v>-21713.759999999998</v>
      </c>
      <c r="AG14" s="363">
        <v>17440</v>
      </c>
      <c r="AH14" s="363">
        <v>17440</v>
      </c>
      <c r="AI14" s="363">
        <v>17440</v>
      </c>
      <c r="AJ14" s="363">
        <v>17440</v>
      </c>
      <c r="AK14" s="363">
        <v>17440</v>
      </c>
      <c r="AL14" s="363">
        <v>17440</v>
      </c>
      <c r="AM14" s="360">
        <f t="shared" si="0"/>
        <v>169168</v>
      </c>
      <c r="AN14" s="362">
        <f>ERP_2[[#This Row],[2026 Working Total]]-ERP_2[[#This Row],[LE2 Final Submission]]</f>
        <v>-42222.299999999988</v>
      </c>
      <c r="AO14" s="79">
        <v>17440</v>
      </c>
      <c r="AP14" s="79">
        <f t="shared" si="1"/>
        <v>-39153.759999999995</v>
      </c>
      <c r="AQ14" s="374">
        <f>SUM(ERP_2[[#This Row],[AP01]:[AP06]])-SUM(ERP_2[[#This Row],[AP01 LE2]:[AP06 LE2]])</f>
        <v>-42222.299999999988</v>
      </c>
      <c r="AR14" s="80"/>
      <c r="AS14" s="79">
        <f>ERP_2[[#This Row],[2026 Working Total to Budget/LE]]-ERP_2[[#This Row],[Giveback]]</f>
        <v>-42222.299999999988</v>
      </c>
      <c r="AT14" s="81"/>
      <c r="AU14" s="375">
        <v>14973</v>
      </c>
      <c r="AV14" s="375">
        <v>18162.759999999998</v>
      </c>
      <c r="AW14" s="375">
        <v>19567.54</v>
      </c>
      <c r="AX14" s="375">
        <v>19167</v>
      </c>
      <c r="AY14" s="375">
        <v>17440</v>
      </c>
      <c r="AZ14" s="375">
        <v>17440</v>
      </c>
      <c r="BA14" s="375">
        <v>17440</v>
      </c>
      <c r="BB14" s="375">
        <v>17440</v>
      </c>
      <c r="BC14" s="375">
        <v>17440</v>
      </c>
      <c r="BD14" s="375">
        <v>17440</v>
      </c>
      <c r="BE14" s="375">
        <v>17440</v>
      </c>
      <c r="BF14" s="375">
        <v>17440</v>
      </c>
      <c r="BG14" s="375">
        <v>211390.3</v>
      </c>
      <c r="BH14" s="79">
        <v>14973</v>
      </c>
      <c r="BI14" s="79">
        <v>18162.759999999998</v>
      </c>
      <c r="BJ14" s="79">
        <v>19567.54</v>
      </c>
      <c r="BK14" s="79">
        <v>19167</v>
      </c>
      <c r="BL14" s="79">
        <v>19167</v>
      </c>
      <c r="BM14" s="79">
        <v>19167</v>
      </c>
      <c r="BN14" s="79">
        <v>19167</v>
      </c>
      <c r="BO14" s="79">
        <v>19167</v>
      </c>
      <c r="BP14" s="79">
        <v>19167</v>
      </c>
      <c r="BQ14" s="79">
        <v>19167</v>
      </c>
      <c r="BR14" s="79">
        <v>19167</v>
      </c>
      <c r="BS14" s="79">
        <v>19167</v>
      </c>
      <c r="BT14" s="79">
        <v>225206.3</v>
      </c>
    </row>
    <row r="15" spans="1:78" ht="15" hidden="1" customHeight="1">
      <c r="A15" s="66" t="s">
        <v>1200</v>
      </c>
      <c r="B15" s="66"/>
      <c r="C15" s="66" t="s">
        <v>72</v>
      </c>
      <c r="D15" s="66" t="s">
        <v>72</v>
      </c>
      <c r="E15" s="150" t="s">
        <v>1136</v>
      </c>
      <c r="F15" s="482" t="s">
        <v>1566</v>
      </c>
      <c r="G15" s="150" t="s">
        <v>1135</v>
      </c>
      <c r="H15" s="150" t="s">
        <v>1135</v>
      </c>
      <c r="I15" s="150" t="s">
        <v>1135</v>
      </c>
      <c r="J15" s="150" t="s">
        <v>1135</v>
      </c>
      <c r="K15" s="150" t="s">
        <v>1137</v>
      </c>
      <c r="L15" s="511" t="s">
        <v>49</v>
      </c>
      <c r="M15" s="392" t="s">
        <v>1201</v>
      </c>
      <c r="N15" s="343" t="s">
        <v>1202</v>
      </c>
      <c r="O15" s="346" t="s">
        <v>1171</v>
      </c>
      <c r="P15" s="70" t="s">
        <v>73</v>
      </c>
      <c r="Q15" s="346"/>
      <c r="R15" s="346" t="s">
        <v>1203</v>
      </c>
      <c r="S15" s="346"/>
      <c r="T15" s="150" t="s">
        <v>64</v>
      </c>
      <c r="U15" s="150"/>
      <c r="V15" s="403"/>
      <c r="W15" s="406">
        <v>187200</v>
      </c>
      <c r="X15" s="406">
        <v>185657.15</v>
      </c>
      <c r="Y15" s="430"/>
      <c r="Z15" s="137"/>
      <c r="AA15" s="426">
        <v>12857</v>
      </c>
      <c r="AB15" s="427">
        <v>18823.150000000001</v>
      </c>
      <c r="AC15" s="427">
        <v>13577</v>
      </c>
      <c r="AD15" s="428">
        <v>14400</v>
      </c>
      <c r="AE15" s="429">
        <v>17263</v>
      </c>
      <c r="AF15" s="429">
        <v>36956.74</v>
      </c>
      <c r="AG15" s="363">
        <v>15600</v>
      </c>
      <c r="AH15" s="363">
        <v>15600</v>
      </c>
      <c r="AI15" s="363">
        <v>15600</v>
      </c>
      <c r="AJ15" s="363">
        <v>15600</v>
      </c>
      <c r="AK15" s="363">
        <v>15600</v>
      </c>
      <c r="AL15" s="363">
        <v>15600</v>
      </c>
      <c r="AM15" s="360">
        <f t="shared" si="0"/>
        <v>207476.88999999998</v>
      </c>
      <c r="AN15" s="362">
        <f>ERP_2[[#This Row],[2026 Working Total]]-ERP_2[[#This Row],[LE2 Final Submission]]</f>
        <v>21819.739999999991</v>
      </c>
      <c r="AO15" s="79">
        <v>15600</v>
      </c>
      <c r="AP15" s="79">
        <f t="shared" si="1"/>
        <v>21356.739999999998</v>
      </c>
      <c r="AQ15" s="374">
        <f>SUM(ERP_2[[#This Row],[AP01]:[AP06]])-SUM(ERP_2[[#This Row],[AP01 LE2]:[AP06 LE2]])</f>
        <v>21819.739999999991</v>
      </c>
      <c r="AR15" s="80"/>
      <c r="AS15" s="79">
        <f>ERP_2[[#This Row],[2026 Working Total to Budget/LE]]-ERP_2[[#This Row],[Giveback]]</f>
        <v>21819.739999999991</v>
      </c>
      <c r="AT15" s="81"/>
      <c r="AU15" s="375">
        <v>12857</v>
      </c>
      <c r="AV15" s="375">
        <v>18823.150000000001</v>
      </c>
      <c r="AW15" s="375">
        <v>13577</v>
      </c>
      <c r="AX15" s="375">
        <v>15600</v>
      </c>
      <c r="AY15" s="375">
        <v>15600</v>
      </c>
      <c r="AZ15" s="375">
        <v>15600</v>
      </c>
      <c r="BA15" s="375">
        <v>15600</v>
      </c>
      <c r="BB15" s="375">
        <v>15600</v>
      </c>
      <c r="BC15" s="375">
        <v>15600</v>
      </c>
      <c r="BD15" s="375">
        <v>15600</v>
      </c>
      <c r="BE15" s="375">
        <v>15600</v>
      </c>
      <c r="BF15" s="375">
        <v>15600</v>
      </c>
      <c r="BG15" s="375">
        <v>185657.15</v>
      </c>
      <c r="BH15" s="79">
        <v>12857</v>
      </c>
      <c r="BI15" s="79">
        <v>18823.150000000001</v>
      </c>
      <c r="BJ15" s="79">
        <v>13577</v>
      </c>
      <c r="BK15" s="79">
        <v>15600</v>
      </c>
      <c r="BL15" s="79">
        <v>15600</v>
      </c>
      <c r="BM15" s="79">
        <v>15600</v>
      </c>
      <c r="BN15" s="79">
        <v>15600</v>
      </c>
      <c r="BO15" s="79">
        <v>15600</v>
      </c>
      <c r="BP15" s="79">
        <v>15600</v>
      </c>
      <c r="BQ15" s="79">
        <v>15600</v>
      </c>
      <c r="BR15" s="79">
        <v>15600</v>
      </c>
      <c r="BS15" s="79">
        <v>15600</v>
      </c>
      <c r="BT15" s="79">
        <v>185657.15</v>
      </c>
    </row>
    <row r="16" spans="1:78" ht="15" hidden="1" customHeight="1">
      <c r="A16" s="66" t="s">
        <v>1204</v>
      </c>
      <c r="B16" s="66"/>
      <c r="C16" s="66" t="s">
        <v>74</v>
      </c>
      <c r="D16" s="66" t="s">
        <v>74</v>
      </c>
      <c r="E16" s="150" t="s">
        <v>1136</v>
      </c>
      <c r="F16" s="482" t="s">
        <v>1566</v>
      </c>
      <c r="G16" s="150" t="s">
        <v>1135</v>
      </c>
      <c r="H16" s="150" t="s">
        <v>1135</v>
      </c>
      <c r="I16" s="150" t="s">
        <v>1135</v>
      </c>
      <c r="J16" s="150" t="s">
        <v>1135</v>
      </c>
      <c r="K16" s="150" t="s">
        <v>1137</v>
      </c>
      <c r="L16" s="511" t="s">
        <v>49</v>
      </c>
      <c r="M16" s="392" t="s">
        <v>1205</v>
      </c>
      <c r="N16" s="343" t="s">
        <v>1206</v>
      </c>
      <c r="O16" s="346" t="s">
        <v>1171</v>
      </c>
      <c r="P16" s="70" t="s">
        <v>75</v>
      </c>
      <c r="Q16" s="346"/>
      <c r="R16" s="346" t="s">
        <v>1207</v>
      </c>
      <c r="S16" s="346"/>
      <c r="T16" s="150" t="s">
        <v>64</v>
      </c>
      <c r="U16" s="150"/>
      <c r="V16" s="403"/>
      <c r="W16" s="406">
        <v>141310.95000000001</v>
      </c>
      <c r="X16" s="406">
        <v>132735.51</v>
      </c>
      <c r="Y16" s="425"/>
      <c r="Z16" s="71"/>
      <c r="AA16" s="426">
        <v>9654</v>
      </c>
      <c r="AB16" s="427">
        <v>14825.74</v>
      </c>
      <c r="AC16" s="427">
        <v>12851.77</v>
      </c>
      <c r="AD16" s="428">
        <v>7463.62</v>
      </c>
      <c r="AE16" s="429">
        <v>16343.609999999997</v>
      </c>
      <c r="AF16" s="429">
        <v>13997.279999999999</v>
      </c>
      <c r="AG16" s="363">
        <v>6534</v>
      </c>
      <c r="AH16" s="363">
        <v>6534</v>
      </c>
      <c r="AI16" s="363">
        <v>6534</v>
      </c>
      <c r="AJ16" s="363">
        <v>6534</v>
      </c>
      <c r="AK16" s="363">
        <v>6534</v>
      </c>
      <c r="AL16" s="363">
        <v>6534</v>
      </c>
      <c r="AM16" s="360">
        <f t="shared" si="0"/>
        <v>114340.01999999999</v>
      </c>
      <c r="AN16" s="362">
        <f>ERP_2[[#This Row],[2026 Working Total]]-ERP_2[[#This Row],[LE2 Final Submission]]</f>
        <v>-18395.49000000002</v>
      </c>
      <c r="AO16" s="79">
        <v>10718</v>
      </c>
      <c r="AP16" s="79">
        <f t="shared" si="1"/>
        <v>3279.2799999999988</v>
      </c>
      <c r="AQ16" s="374">
        <f>SUM(ERP_2[[#This Row],[AP01]:[AP06]])-SUM(ERP_2[[#This Row],[AP01 LE2]:[AP06 LE2]])</f>
        <v>5554.5099999999948</v>
      </c>
      <c r="AR16" s="80"/>
      <c r="AS16" s="79">
        <f>ERP_2[[#This Row],[2026 Working Total to Budget/LE]]-ERP_2[[#This Row],[Giveback]]</f>
        <v>-18395.49000000002</v>
      </c>
      <c r="AT16" s="81"/>
      <c r="AU16" s="375">
        <v>9654</v>
      </c>
      <c r="AV16" s="375">
        <v>14825.74</v>
      </c>
      <c r="AW16" s="375">
        <v>12851.77</v>
      </c>
      <c r="AX16" s="375">
        <v>11942</v>
      </c>
      <c r="AY16" s="375">
        <v>10718</v>
      </c>
      <c r="AZ16" s="375">
        <v>9590</v>
      </c>
      <c r="BA16" s="375">
        <v>9590</v>
      </c>
      <c r="BB16" s="375">
        <v>10718</v>
      </c>
      <c r="BC16" s="375">
        <v>11090</v>
      </c>
      <c r="BD16" s="375">
        <v>11090</v>
      </c>
      <c r="BE16" s="375">
        <v>9590</v>
      </c>
      <c r="BF16" s="375">
        <v>11076</v>
      </c>
      <c r="BG16" s="375">
        <v>132735.51</v>
      </c>
      <c r="BH16" s="79">
        <v>9654</v>
      </c>
      <c r="BI16" s="79">
        <v>14825.74</v>
      </c>
      <c r="BJ16" s="79">
        <v>12851.77</v>
      </c>
      <c r="BK16" s="79">
        <v>10870.45</v>
      </c>
      <c r="BL16" s="79">
        <v>11986</v>
      </c>
      <c r="BM16" s="79">
        <v>11986</v>
      </c>
      <c r="BN16" s="79">
        <v>11986</v>
      </c>
      <c r="BO16" s="79">
        <v>11986</v>
      </c>
      <c r="BP16" s="79">
        <v>11986</v>
      </c>
      <c r="BQ16" s="79">
        <v>11986</v>
      </c>
      <c r="BR16" s="79">
        <v>11986</v>
      </c>
      <c r="BS16" s="79">
        <v>11986</v>
      </c>
      <c r="BT16" s="79">
        <v>144089.96</v>
      </c>
    </row>
    <row r="17" spans="1:72" ht="15" hidden="1" customHeight="1">
      <c r="A17" s="66" t="s">
        <v>1208</v>
      </c>
      <c r="B17" s="66"/>
      <c r="C17" s="66" t="s">
        <v>76</v>
      </c>
      <c r="D17" s="66" t="s">
        <v>76</v>
      </c>
      <c r="E17" s="150" t="s">
        <v>1136</v>
      </c>
      <c r="F17" s="482" t="s">
        <v>1566</v>
      </c>
      <c r="G17" s="150" t="s">
        <v>1135</v>
      </c>
      <c r="H17" s="150" t="s">
        <v>1135</v>
      </c>
      <c r="I17" s="150" t="s">
        <v>1135</v>
      </c>
      <c r="J17" s="150" t="s">
        <v>1135</v>
      </c>
      <c r="K17" s="150" t="s">
        <v>1137</v>
      </c>
      <c r="L17" s="511" t="s">
        <v>49</v>
      </c>
      <c r="M17" s="392" t="s">
        <v>1209</v>
      </c>
      <c r="N17" s="343" t="s">
        <v>1210</v>
      </c>
      <c r="O17" s="346" t="s">
        <v>1171</v>
      </c>
      <c r="P17" s="70" t="s">
        <v>77</v>
      </c>
      <c r="Q17" s="346"/>
      <c r="R17" s="346" t="s">
        <v>1211</v>
      </c>
      <c r="S17" s="346"/>
      <c r="T17" s="150" t="s">
        <v>25</v>
      </c>
      <c r="U17" s="150"/>
      <c r="V17" s="403"/>
      <c r="W17" s="406">
        <v>97500</v>
      </c>
      <c r="X17" s="406">
        <v>90751.67</v>
      </c>
      <c r="Y17" s="425"/>
      <c r="Z17" s="71"/>
      <c r="AA17" s="426">
        <v>10704.42</v>
      </c>
      <c r="AB17" s="427">
        <v>11988.8</v>
      </c>
      <c r="AC17" s="427">
        <v>9558.4500000000007</v>
      </c>
      <c r="AD17" s="428">
        <v>6923.07</v>
      </c>
      <c r="AE17" s="429">
        <v>8819.08</v>
      </c>
      <c r="AF17" s="429">
        <v>6012.1100000000006</v>
      </c>
      <c r="AG17" s="363">
        <v>6000</v>
      </c>
      <c r="AH17" s="363">
        <v>6000</v>
      </c>
      <c r="AI17" s="363">
        <v>6000</v>
      </c>
      <c r="AJ17" s="363">
        <v>7500</v>
      </c>
      <c r="AK17" s="363">
        <v>7500</v>
      </c>
      <c r="AL17" s="363">
        <v>7500</v>
      </c>
      <c r="AM17" s="360">
        <f t="shared" si="0"/>
        <v>94505.930000000008</v>
      </c>
      <c r="AN17" s="362">
        <f>ERP_2[[#This Row],[2026 Working Total]]-ERP_2[[#This Row],[LE2 Final Submission]]</f>
        <v>3754.2600000000093</v>
      </c>
      <c r="AO17" s="79">
        <v>6000</v>
      </c>
      <c r="AP17" s="79">
        <f t="shared" si="1"/>
        <v>12.110000000000582</v>
      </c>
      <c r="AQ17" s="374">
        <f>SUM(ERP_2[[#This Row],[AP01]:[AP06]])-SUM(ERP_2[[#This Row],[AP01 LE2]:[AP06 LE2]])</f>
        <v>3754.2600000000093</v>
      </c>
      <c r="AR17" s="80"/>
      <c r="AS17" s="79">
        <f>ERP_2[[#This Row],[2026 Working Total to Budget/LE]]-ERP_2[[#This Row],[Giveback]]</f>
        <v>3754.2600000000093</v>
      </c>
      <c r="AT17" s="81"/>
      <c r="AU17" s="375">
        <v>10704.42</v>
      </c>
      <c r="AV17" s="375">
        <v>11988.8</v>
      </c>
      <c r="AW17" s="375">
        <v>9558.4500000000007</v>
      </c>
      <c r="AX17" s="375">
        <v>6000</v>
      </c>
      <c r="AY17" s="375">
        <v>6000</v>
      </c>
      <c r="AZ17" s="375">
        <v>6000</v>
      </c>
      <c r="BA17" s="375">
        <v>6000</v>
      </c>
      <c r="BB17" s="375">
        <v>6000</v>
      </c>
      <c r="BC17" s="375">
        <v>6000</v>
      </c>
      <c r="BD17" s="375">
        <v>7500</v>
      </c>
      <c r="BE17" s="375">
        <v>7500</v>
      </c>
      <c r="BF17" s="375">
        <v>7500</v>
      </c>
      <c r="BG17" s="375">
        <v>90751.67</v>
      </c>
      <c r="BH17" s="79">
        <v>10704.42</v>
      </c>
      <c r="BI17" s="79">
        <v>11988.8</v>
      </c>
      <c r="BJ17" s="79">
        <v>9558.4500000000007</v>
      </c>
      <c r="BK17" s="79">
        <v>8125</v>
      </c>
      <c r="BL17" s="79">
        <v>8125</v>
      </c>
      <c r="BM17" s="79">
        <v>8125</v>
      </c>
      <c r="BN17" s="79">
        <v>8125</v>
      </c>
      <c r="BO17" s="79">
        <v>8125</v>
      </c>
      <c r="BP17" s="79">
        <v>8125</v>
      </c>
      <c r="BQ17" s="79">
        <v>8125</v>
      </c>
      <c r="BR17" s="79">
        <v>8125</v>
      </c>
      <c r="BS17" s="79">
        <v>8125</v>
      </c>
      <c r="BT17" s="79">
        <v>105376.67</v>
      </c>
    </row>
    <row r="18" spans="1:72" ht="15" hidden="1" customHeight="1">
      <c r="A18" s="66" t="s">
        <v>1212</v>
      </c>
      <c r="B18" s="66"/>
      <c r="C18" s="66" t="s">
        <v>78</v>
      </c>
      <c r="D18" s="66" t="s">
        <v>78</v>
      </c>
      <c r="E18" s="150" t="s">
        <v>1136</v>
      </c>
      <c r="F18" s="482" t="s">
        <v>1566</v>
      </c>
      <c r="G18" s="150" t="s">
        <v>1135</v>
      </c>
      <c r="H18" s="150" t="s">
        <v>1135</v>
      </c>
      <c r="I18" s="150" t="s">
        <v>1135</v>
      </c>
      <c r="J18" s="150" t="s">
        <v>1135</v>
      </c>
      <c r="K18" s="150" t="s">
        <v>1137</v>
      </c>
      <c r="L18" s="511" t="s">
        <v>49</v>
      </c>
      <c r="M18" s="392" t="s">
        <v>1213</v>
      </c>
      <c r="N18" s="343" t="s">
        <v>1210</v>
      </c>
      <c r="O18" s="346" t="s">
        <v>1171</v>
      </c>
      <c r="P18" s="70" t="s">
        <v>79</v>
      </c>
      <c r="Q18" s="346"/>
      <c r="R18" s="346" t="s">
        <v>1214</v>
      </c>
      <c r="S18" s="346"/>
      <c r="T18" s="150" t="s">
        <v>25</v>
      </c>
      <c r="U18" s="150"/>
      <c r="V18" s="403"/>
      <c r="W18" s="406">
        <v>107910</v>
      </c>
      <c r="X18" s="406">
        <v>99679.13</v>
      </c>
      <c r="Y18" s="430"/>
      <c r="Z18" s="137"/>
      <c r="AA18" s="426">
        <v>6841</v>
      </c>
      <c r="AB18" s="427">
        <v>9759.2000000000007</v>
      </c>
      <c r="AC18" s="427">
        <v>7478.93</v>
      </c>
      <c r="AD18" s="428">
        <v>7661.53</v>
      </c>
      <c r="AE18" s="429">
        <v>9759.5400000000009</v>
      </c>
      <c r="AF18" s="429">
        <v>8299.7900000000009</v>
      </c>
      <c r="AG18" s="363">
        <v>8300</v>
      </c>
      <c r="AH18" s="363">
        <v>8300</v>
      </c>
      <c r="AI18" s="363">
        <v>8300</v>
      </c>
      <c r="AJ18" s="363">
        <v>8300</v>
      </c>
      <c r="AK18" s="363">
        <v>8300</v>
      </c>
      <c r="AL18" s="363">
        <v>8300</v>
      </c>
      <c r="AM18" s="360">
        <f t="shared" si="0"/>
        <v>99599.989999999991</v>
      </c>
      <c r="AN18" s="362">
        <f>ERP_2[[#This Row],[2026 Working Total]]-ERP_2[[#This Row],[LE2 Final Submission]]</f>
        <v>-79.14000000001397</v>
      </c>
      <c r="AO18" s="79">
        <v>8400</v>
      </c>
      <c r="AP18" s="79">
        <f t="shared" si="1"/>
        <v>-100.20999999999913</v>
      </c>
      <c r="AQ18" s="374">
        <f>SUM(ERP_2[[#This Row],[AP01]:[AP06]])-SUM(ERP_2[[#This Row],[AP01 LE2]:[AP06 LE2]])</f>
        <v>520.85999999999331</v>
      </c>
      <c r="AR18" s="80"/>
      <c r="AS18" s="79">
        <f>ERP_2[[#This Row],[2026 Working Total to Budget/LE]]-ERP_2[[#This Row],[Giveback]]</f>
        <v>-79.14000000001397</v>
      </c>
      <c r="AT18" s="81"/>
      <c r="AU18" s="375">
        <v>6841</v>
      </c>
      <c r="AV18" s="375">
        <v>9759.2000000000007</v>
      </c>
      <c r="AW18" s="375">
        <v>7478.93</v>
      </c>
      <c r="AX18" s="375">
        <v>8400</v>
      </c>
      <c r="AY18" s="375">
        <v>8400</v>
      </c>
      <c r="AZ18" s="375">
        <v>8400</v>
      </c>
      <c r="BA18" s="375">
        <v>8400</v>
      </c>
      <c r="BB18" s="375">
        <v>8400</v>
      </c>
      <c r="BC18" s="375">
        <v>8400</v>
      </c>
      <c r="BD18" s="375">
        <v>8400</v>
      </c>
      <c r="BE18" s="375">
        <v>8400</v>
      </c>
      <c r="BF18" s="375">
        <v>8400</v>
      </c>
      <c r="BG18" s="375">
        <v>99679.13</v>
      </c>
      <c r="BH18" s="79">
        <v>6841</v>
      </c>
      <c r="BI18" s="79">
        <v>9759.2000000000007</v>
      </c>
      <c r="BJ18" s="79">
        <v>7478.93</v>
      </c>
      <c r="BK18" s="79">
        <v>8992.5</v>
      </c>
      <c r="BL18" s="79">
        <v>8992.5</v>
      </c>
      <c r="BM18" s="79">
        <v>8992.5</v>
      </c>
      <c r="BN18" s="79">
        <v>8992.5</v>
      </c>
      <c r="BO18" s="79">
        <v>8992.5</v>
      </c>
      <c r="BP18" s="79">
        <v>8992.5</v>
      </c>
      <c r="BQ18" s="79">
        <v>8992.5</v>
      </c>
      <c r="BR18" s="79">
        <v>8992.5</v>
      </c>
      <c r="BS18" s="79">
        <v>8992.5</v>
      </c>
      <c r="BT18" s="79">
        <v>105011.63</v>
      </c>
    </row>
    <row r="19" spans="1:72" ht="15" hidden="1" customHeight="1">
      <c r="A19" s="66" t="s">
        <v>1215</v>
      </c>
      <c r="B19" s="66"/>
      <c r="C19" s="66" t="s">
        <v>80</v>
      </c>
      <c r="D19" s="66" t="s">
        <v>80</v>
      </c>
      <c r="E19" s="150" t="s">
        <v>1136</v>
      </c>
      <c r="F19" s="482" t="s">
        <v>1566</v>
      </c>
      <c r="G19" s="150" t="s">
        <v>1135</v>
      </c>
      <c r="H19" s="150" t="s">
        <v>1135</v>
      </c>
      <c r="I19" s="150" t="s">
        <v>1135</v>
      </c>
      <c r="J19" s="150" t="s">
        <v>1135</v>
      </c>
      <c r="K19" s="150" t="s">
        <v>1137</v>
      </c>
      <c r="L19" s="511" t="s">
        <v>49</v>
      </c>
      <c r="M19" s="392" t="s">
        <v>1216</v>
      </c>
      <c r="N19" s="343" t="s">
        <v>1190</v>
      </c>
      <c r="O19" s="346" t="s">
        <v>1171</v>
      </c>
      <c r="P19" s="70" t="s">
        <v>81</v>
      </c>
      <c r="Q19" s="346"/>
      <c r="R19" s="346" t="s">
        <v>1217</v>
      </c>
      <c r="S19" s="346"/>
      <c r="T19" s="150" t="s">
        <v>25</v>
      </c>
      <c r="U19" s="150"/>
      <c r="V19" s="403"/>
      <c r="W19" s="406">
        <v>87360</v>
      </c>
      <c r="X19" s="406">
        <v>83873.7</v>
      </c>
      <c r="Y19" s="425"/>
      <c r="Z19" s="71"/>
      <c r="AA19" s="426">
        <v>11538</v>
      </c>
      <c r="AB19" s="427">
        <v>8258.77</v>
      </c>
      <c r="AC19" s="427">
        <v>1796.93</v>
      </c>
      <c r="AD19" s="428">
        <v>5175.54</v>
      </c>
      <c r="AE19" s="429">
        <v>10565.529999999999</v>
      </c>
      <c r="AF19" s="429">
        <v>3972.9300000000003</v>
      </c>
      <c r="AG19" s="363">
        <v>7000</v>
      </c>
      <c r="AH19" s="363">
        <v>7000</v>
      </c>
      <c r="AI19" s="363">
        <v>7000</v>
      </c>
      <c r="AJ19" s="363">
        <v>7000</v>
      </c>
      <c r="AK19" s="363">
        <v>7000</v>
      </c>
      <c r="AL19" s="363">
        <v>7000</v>
      </c>
      <c r="AM19" s="360">
        <f t="shared" si="0"/>
        <v>83307.700000000012</v>
      </c>
      <c r="AN19" s="362">
        <f>ERP_2[[#This Row],[2026 Working Total]]-ERP_2[[#This Row],[LE2 Final Submission]]</f>
        <v>-565.99999999998545</v>
      </c>
      <c r="AO19" s="79">
        <v>7000</v>
      </c>
      <c r="AP19" s="79">
        <f t="shared" si="1"/>
        <v>-3027.0699999999997</v>
      </c>
      <c r="AQ19" s="374">
        <f>SUM(ERP_2[[#This Row],[AP01]:[AP06]])-SUM(ERP_2[[#This Row],[AP01 LE2]:[AP06 LE2]])</f>
        <v>-285.99999999999272</v>
      </c>
      <c r="AR19" s="80"/>
      <c r="AS19" s="79">
        <f>ERP_2[[#This Row],[2026 Working Total to Budget/LE]]-ERP_2[[#This Row],[Giveback]]</f>
        <v>-565.99999999998545</v>
      </c>
      <c r="AT19" s="81"/>
      <c r="AU19" s="375">
        <v>11538</v>
      </c>
      <c r="AV19" s="375">
        <v>8258.77</v>
      </c>
      <c r="AW19" s="375">
        <v>1796.93</v>
      </c>
      <c r="AX19" s="375">
        <v>6000</v>
      </c>
      <c r="AY19" s="375">
        <v>7000</v>
      </c>
      <c r="AZ19" s="375">
        <v>7000</v>
      </c>
      <c r="BA19" s="375">
        <v>7000</v>
      </c>
      <c r="BB19" s="375">
        <v>7000</v>
      </c>
      <c r="BC19" s="375">
        <v>7000</v>
      </c>
      <c r="BD19" s="375">
        <v>7000</v>
      </c>
      <c r="BE19" s="375">
        <v>7000</v>
      </c>
      <c r="BF19" s="375">
        <v>7280</v>
      </c>
      <c r="BG19" s="375">
        <v>83873.7</v>
      </c>
      <c r="BH19" s="79">
        <v>11538</v>
      </c>
      <c r="BI19" s="79">
        <v>8258.77</v>
      </c>
      <c r="BJ19" s="79">
        <v>1796.93</v>
      </c>
      <c r="BK19" s="79">
        <v>7280</v>
      </c>
      <c r="BL19" s="79">
        <v>7280</v>
      </c>
      <c r="BM19" s="79">
        <v>7280</v>
      </c>
      <c r="BN19" s="79">
        <v>7280</v>
      </c>
      <c r="BO19" s="79">
        <v>7280</v>
      </c>
      <c r="BP19" s="79">
        <v>7280</v>
      </c>
      <c r="BQ19" s="79">
        <v>7280</v>
      </c>
      <c r="BR19" s="79">
        <v>7280</v>
      </c>
      <c r="BS19" s="79">
        <v>7280</v>
      </c>
      <c r="BT19" s="79">
        <v>87113.7</v>
      </c>
    </row>
    <row r="20" spans="1:72" ht="15" hidden="1" customHeight="1">
      <c r="A20" s="66" t="s">
        <v>1218</v>
      </c>
      <c r="B20" s="66"/>
      <c r="C20" s="66" t="s">
        <v>82</v>
      </c>
      <c r="D20" s="66" t="s">
        <v>1219</v>
      </c>
      <c r="E20" s="150" t="s">
        <v>1136</v>
      </c>
      <c r="F20" s="482" t="s">
        <v>1566</v>
      </c>
      <c r="G20" s="150" t="s">
        <v>1135</v>
      </c>
      <c r="H20" s="150" t="s">
        <v>1156</v>
      </c>
      <c r="I20" s="150" t="s">
        <v>1135</v>
      </c>
      <c r="J20" s="150" t="s">
        <v>1156</v>
      </c>
      <c r="K20" s="150" t="s">
        <v>1137</v>
      </c>
      <c r="L20" s="511" t="s">
        <v>49</v>
      </c>
      <c r="M20" s="392" t="s">
        <v>1220</v>
      </c>
      <c r="N20" s="343"/>
      <c r="O20" s="343"/>
      <c r="P20" s="70" t="s">
        <v>83</v>
      </c>
      <c r="Q20" s="346"/>
      <c r="R20" s="346" t="s">
        <v>1221</v>
      </c>
      <c r="S20" s="346"/>
      <c r="T20" s="150" t="s">
        <v>25</v>
      </c>
      <c r="U20" s="150" t="s">
        <v>1222</v>
      </c>
      <c r="V20" s="403"/>
      <c r="W20" s="406">
        <v>750</v>
      </c>
      <c r="X20" s="406">
        <v>0</v>
      </c>
      <c r="Y20" s="425"/>
      <c r="Z20" s="71"/>
      <c r="AA20" s="426"/>
      <c r="AB20" s="427"/>
      <c r="AC20" s="427"/>
      <c r="AD20" s="428" t="s">
        <v>1142</v>
      </c>
      <c r="AE20" s="429">
        <v>0</v>
      </c>
      <c r="AF20" s="429">
        <v>0</v>
      </c>
      <c r="AG20" s="363"/>
      <c r="AH20" s="363"/>
      <c r="AI20" s="363"/>
      <c r="AJ20" s="363"/>
      <c r="AK20" s="363"/>
      <c r="AL20" s="363"/>
      <c r="AM20" s="360">
        <f t="shared" si="0"/>
        <v>0</v>
      </c>
      <c r="AN20" s="362">
        <f>ERP_2[[#This Row],[2026 Working Total]]-ERP_2[[#This Row],[LE2 Final Submission]]</f>
        <v>0</v>
      </c>
      <c r="AO20" s="79"/>
      <c r="AP20" s="79">
        <f t="shared" si="1"/>
        <v>0</v>
      </c>
      <c r="AQ20" s="374">
        <f>SUM(ERP_2[[#This Row],[AP01]:[AP06]])-SUM(ERP_2[[#This Row],[AP01 LE2]:[AP06 LE2]])</f>
        <v>0</v>
      </c>
      <c r="AR20" s="80">
        <v>-750</v>
      </c>
      <c r="AS20" s="79">
        <f>ERP_2[[#This Row],[2026 Working Total to Budget/LE]]-ERP_2[[#This Row],[Giveback]]</f>
        <v>750</v>
      </c>
      <c r="AT20" s="81" t="s">
        <v>1223</v>
      </c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375"/>
      <c r="BG20" s="375">
        <v>0</v>
      </c>
      <c r="BH20" s="79"/>
      <c r="BI20" s="79"/>
      <c r="BJ20" s="79"/>
      <c r="BK20" s="79">
        <v>62.5</v>
      </c>
      <c r="BL20" s="79">
        <v>62.5</v>
      </c>
      <c r="BM20" s="79">
        <v>62.5</v>
      </c>
      <c r="BN20" s="79">
        <v>62.5</v>
      </c>
      <c r="BO20" s="79">
        <v>62.5</v>
      </c>
      <c r="BP20" s="79">
        <v>62.5</v>
      </c>
      <c r="BQ20" s="79">
        <v>62.5</v>
      </c>
      <c r="BR20" s="79">
        <v>62.5</v>
      </c>
      <c r="BS20" s="79">
        <v>62.5</v>
      </c>
      <c r="BT20" s="79">
        <v>562.5</v>
      </c>
    </row>
    <row r="21" spans="1:72" ht="15" hidden="1" customHeight="1">
      <c r="A21" s="66" t="s">
        <v>1224</v>
      </c>
      <c r="B21" s="66"/>
      <c r="C21" s="66" t="s">
        <v>84</v>
      </c>
      <c r="D21" s="66" t="s">
        <v>1225</v>
      </c>
      <c r="E21" s="150" t="s">
        <v>1136</v>
      </c>
      <c r="F21" s="482" t="s">
        <v>1566</v>
      </c>
      <c r="G21" s="150" t="s">
        <v>1135</v>
      </c>
      <c r="H21" s="150" t="s">
        <v>1145</v>
      </c>
      <c r="I21" s="150" t="s">
        <v>1135</v>
      </c>
      <c r="J21" s="150" t="s">
        <v>1145</v>
      </c>
      <c r="K21" s="150" t="s">
        <v>1137</v>
      </c>
      <c r="L21" s="511" t="s">
        <v>49</v>
      </c>
      <c r="M21" s="392" t="s">
        <v>1226</v>
      </c>
      <c r="N21" s="343"/>
      <c r="O21" s="346" t="s">
        <v>1186</v>
      </c>
      <c r="P21" s="70" t="s">
        <v>85</v>
      </c>
      <c r="Q21" s="346"/>
      <c r="R21" s="346" t="s">
        <v>1227</v>
      </c>
      <c r="S21" s="346"/>
      <c r="T21" s="150" t="s">
        <v>25</v>
      </c>
      <c r="U21" s="150" t="s">
        <v>1228</v>
      </c>
      <c r="V21" s="403"/>
      <c r="W21" s="406">
        <v>357000</v>
      </c>
      <c r="X21" s="406">
        <v>356999.8</v>
      </c>
      <c r="Y21" s="425"/>
      <c r="Z21" s="71"/>
      <c r="AA21" s="426">
        <v>24570</v>
      </c>
      <c r="AB21" s="427">
        <v>27517.439999999999</v>
      </c>
      <c r="AC21" s="427">
        <v>34397.360000000001</v>
      </c>
      <c r="AD21" s="428">
        <v>27517.89</v>
      </c>
      <c r="AE21" s="429">
        <v>27517.89</v>
      </c>
      <c r="AF21" s="429">
        <v>34397.360000000001</v>
      </c>
      <c r="AG21" s="363">
        <v>29750</v>
      </c>
      <c r="AH21" s="363">
        <v>29750</v>
      </c>
      <c r="AI21" s="363">
        <f>29750+7300</f>
        <v>37050</v>
      </c>
      <c r="AJ21" s="363">
        <v>29750</v>
      </c>
      <c r="AK21" s="363">
        <v>29750</v>
      </c>
      <c r="AL21" s="363">
        <v>29750</v>
      </c>
      <c r="AM21" s="360">
        <f t="shared" si="0"/>
        <v>361717.94</v>
      </c>
      <c r="AN21" s="362">
        <f>ERP_2[[#This Row],[2026 Working Total]]-ERP_2[[#This Row],[LE2 Final Submission]]</f>
        <v>4718.140000000014</v>
      </c>
      <c r="AO21" s="79">
        <v>29750</v>
      </c>
      <c r="AP21" s="79">
        <f t="shared" si="1"/>
        <v>4647.3600000000006</v>
      </c>
      <c r="AQ21" s="374">
        <f>SUM(ERP_2[[#This Row],[AP01]:[AP06]])-SUM(ERP_2[[#This Row],[AP01 LE2]:[AP06 LE2]])</f>
        <v>-2581.859999999986</v>
      </c>
      <c r="AR21" s="80"/>
      <c r="AS21" s="79">
        <f>ERP_2[[#This Row],[2026 Working Total to Budget/LE]]-ERP_2[[#This Row],[Giveback]]</f>
        <v>4718.140000000014</v>
      </c>
      <c r="AT21" s="81"/>
      <c r="AU21" s="375">
        <v>24570</v>
      </c>
      <c r="AV21" s="375">
        <v>27517.439999999999</v>
      </c>
      <c r="AW21" s="375">
        <v>34397.360000000001</v>
      </c>
      <c r="AX21" s="375">
        <v>32515</v>
      </c>
      <c r="AY21" s="375">
        <v>29750</v>
      </c>
      <c r="AZ21" s="375">
        <v>29750</v>
      </c>
      <c r="BA21" s="375">
        <v>29750</v>
      </c>
      <c r="BB21" s="375">
        <v>29750</v>
      </c>
      <c r="BC21" s="375">
        <v>29750</v>
      </c>
      <c r="BD21" s="375">
        <v>29750</v>
      </c>
      <c r="BE21" s="375">
        <v>29750</v>
      </c>
      <c r="BF21" s="375">
        <v>29750</v>
      </c>
      <c r="BG21" s="375">
        <v>356999.8</v>
      </c>
      <c r="BH21" s="79">
        <v>24570</v>
      </c>
      <c r="BI21" s="79">
        <v>27517.439999999999</v>
      </c>
      <c r="BJ21" s="79">
        <v>34397.360000000001</v>
      </c>
      <c r="BK21" s="79">
        <v>37163</v>
      </c>
      <c r="BL21" s="79">
        <v>29750</v>
      </c>
      <c r="BM21" s="79">
        <v>29750</v>
      </c>
      <c r="BN21" s="79">
        <v>29750</v>
      </c>
      <c r="BO21" s="79">
        <v>29750</v>
      </c>
      <c r="BP21" s="79">
        <v>29750</v>
      </c>
      <c r="BQ21" s="79">
        <v>29750</v>
      </c>
      <c r="BR21" s="79">
        <v>29750</v>
      </c>
      <c r="BS21" s="79">
        <v>29750</v>
      </c>
      <c r="BT21" s="79">
        <v>361647.8</v>
      </c>
    </row>
    <row r="22" spans="1:72" ht="15" hidden="1" customHeight="1">
      <c r="A22" s="66" t="s">
        <v>1229</v>
      </c>
      <c r="B22" s="66"/>
      <c r="C22" s="66" t="s">
        <v>86</v>
      </c>
      <c r="D22" s="66" t="s">
        <v>86</v>
      </c>
      <c r="E22" s="150" t="s">
        <v>1136</v>
      </c>
      <c r="F22" s="482" t="s">
        <v>1566</v>
      </c>
      <c r="G22" s="150" t="s">
        <v>1135</v>
      </c>
      <c r="H22" s="150" t="s">
        <v>1135</v>
      </c>
      <c r="I22" s="150" t="s">
        <v>1135</v>
      </c>
      <c r="J22" s="150" t="s">
        <v>1135</v>
      </c>
      <c r="K22" s="150" t="s">
        <v>1137</v>
      </c>
      <c r="L22" s="511" t="s">
        <v>49</v>
      </c>
      <c r="M22" s="392" t="s">
        <v>1230</v>
      </c>
      <c r="N22" s="343" t="s">
        <v>1231</v>
      </c>
      <c r="O22" s="346" t="s">
        <v>1171</v>
      </c>
      <c r="P22" s="70" t="s">
        <v>87</v>
      </c>
      <c r="Q22" s="346"/>
      <c r="R22" s="346" t="s">
        <v>1232</v>
      </c>
      <c r="S22" s="346"/>
      <c r="T22" s="150" t="s">
        <v>25</v>
      </c>
      <c r="U22" s="150" t="s">
        <v>1233</v>
      </c>
      <c r="V22" s="403"/>
      <c r="W22" s="406">
        <v>1678341.6000000003</v>
      </c>
      <c r="X22" s="406">
        <v>1647348.3599999999</v>
      </c>
      <c r="Y22" s="425"/>
      <c r="Z22" s="71"/>
      <c r="AA22" s="426">
        <v>113142.14</v>
      </c>
      <c r="AB22" s="427">
        <v>160853.85999999999</v>
      </c>
      <c r="AC22" s="427">
        <v>137841.35999999999</v>
      </c>
      <c r="AD22" s="428">
        <v>0</v>
      </c>
      <c r="AE22" s="429">
        <v>274558.24</v>
      </c>
      <c r="AF22" s="429">
        <v>137279.12</v>
      </c>
      <c r="AG22" s="363">
        <f>136998-136998</f>
        <v>0</v>
      </c>
      <c r="AH22" s="363">
        <f>136998-136998+137279+137279</f>
        <v>274558</v>
      </c>
      <c r="AI22" s="363">
        <f>136998-136998+137279</f>
        <v>137279</v>
      </c>
      <c r="AJ22" s="363">
        <f>136998-136998</f>
        <v>0</v>
      </c>
      <c r="AK22" s="363">
        <f>136998-136998+137279+137279</f>
        <v>274558</v>
      </c>
      <c r="AL22" s="363">
        <f>136998-136998+137279</f>
        <v>137279</v>
      </c>
      <c r="AM22" s="360">
        <f t="shared" si="0"/>
        <v>1647348.72</v>
      </c>
      <c r="AN22" s="362">
        <f>ERP_2[[#This Row],[2026 Working Total]]-ERP_2[[#This Row],[LE2 Final Submission]]</f>
        <v>0.36000000010244548</v>
      </c>
      <c r="AO22" s="79">
        <v>274558</v>
      </c>
      <c r="AP22" s="79">
        <f t="shared" si="1"/>
        <v>-137278.88</v>
      </c>
      <c r="AQ22" s="374">
        <f>SUM(ERP_2[[#This Row],[AP01]:[AP06]])-SUM(ERP_2[[#This Row],[AP01 LE2]:[AP06 LE2]])</f>
        <v>0.35999999998603016</v>
      </c>
      <c r="AR22" s="80"/>
      <c r="AS22" s="79">
        <f>ERP_2[[#This Row],[2026 Working Total to Budget/LE]]-ERP_2[[#This Row],[Giveback]]</f>
        <v>0.36000000010244548</v>
      </c>
      <c r="AT22" s="81" t="s">
        <v>1234</v>
      </c>
      <c r="AU22" s="375">
        <v>113142.14</v>
      </c>
      <c r="AV22" s="375">
        <v>160853.85999999999</v>
      </c>
      <c r="AW22" s="375">
        <v>137841.35999999999</v>
      </c>
      <c r="AX22" s="375">
        <v>0</v>
      </c>
      <c r="AY22" s="375">
        <v>274558</v>
      </c>
      <c r="AZ22" s="375">
        <v>137279</v>
      </c>
      <c r="BA22" s="375">
        <v>0</v>
      </c>
      <c r="BB22" s="375">
        <v>274558</v>
      </c>
      <c r="BC22" s="375">
        <v>137279</v>
      </c>
      <c r="BD22" s="375">
        <v>0</v>
      </c>
      <c r="BE22" s="375">
        <v>274558</v>
      </c>
      <c r="BF22" s="375">
        <v>137279</v>
      </c>
      <c r="BG22" s="375">
        <v>1647348.3599999999</v>
      </c>
      <c r="BH22" s="79">
        <v>113142.14</v>
      </c>
      <c r="BI22" s="79">
        <v>160853.85999999999</v>
      </c>
      <c r="BJ22" s="79">
        <v>137841.35999999999</v>
      </c>
      <c r="BK22" s="79">
        <v>136998</v>
      </c>
      <c r="BL22" s="79">
        <v>136998</v>
      </c>
      <c r="BM22" s="79">
        <v>136998</v>
      </c>
      <c r="BN22" s="79">
        <v>136998</v>
      </c>
      <c r="BO22" s="79">
        <v>136998</v>
      </c>
      <c r="BP22" s="79">
        <v>136998</v>
      </c>
      <c r="BQ22" s="79">
        <v>136998</v>
      </c>
      <c r="BR22" s="79">
        <v>136998</v>
      </c>
      <c r="BS22" s="79">
        <v>136998</v>
      </c>
      <c r="BT22" s="79">
        <v>1644819.3599999999</v>
      </c>
    </row>
    <row r="23" spans="1:72" ht="15" hidden="1" customHeight="1">
      <c r="A23" s="79" t="s">
        <v>1235</v>
      </c>
      <c r="B23" s="79"/>
      <c r="C23" s="79" t="s">
        <v>88</v>
      </c>
      <c r="D23" s="296" t="s">
        <v>88</v>
      </c>
      <c r="E23" s="150" t="s">
        <v>1136</v>
      </c>
      <c r="F23" s="482" t="s">
        <v>1566</v>
      </c>
      <c r="G23" s="150" t="s">
        <v>1135</v>
      </c>
      <c r="H23" s="150" t="s">
        <v>1135</v>
      </c>
      <c r="I23" s="332" t="s">
        <v>1135</v>
      </c>
      <c r="J23" s="382" t="s">
        <v>1135</v>
      </c>
      <c r="K23" s="331" t="s">
        <v>1137</v>
      </c>
      <c r="L23" s="512" t="s">
        <v>49</v>
      </c>
      <c r="M23" s="394" t="s">
        <v>1236</v>
      </c>
      <c r="N23" s="343"/>
      <c r="O23" s="331"/>
      <c r="P23" s="122" t="s">
        <v>89</v>
      </c>
      <c r="Q23" s="343"/>
      <c r="R23" s="346" t="s">
        <v>1232</v>
      </c>
      <c r="S23" s="471"/>
      <c r="T23" s="384" t="s">
        <v>25</v>
      </c>
      <c r="U23" s="150"/>
      <c r="V23" s="432"/>
      <c r="W23" s="358">
        <f>-213108+213108</f>
        <v>0</v>
      </c>
      <c r="X23" s="378">
        <v>0</v>
      </c>
      <c r="Y23" s="430"/>
      <c r="Z23" s="137"/>
      <c r="AA23" s="433"/>
      <c r="AB23" s="434"/>
      <c r="AC23" s="434"/>
      <c r="AD23" s="428" t="s">
        <v>1142</v>
      </c>
      <c r="AE23" s="429">
        <v>0</v>
      </c>
      <c r="AF23" s="429">
        <v>0</v>
      </c>
      <c r="AG23" s="388">
        <v>0</v>
      </c>
      <c r="AH23" s="388">
        <v>0</v>
      </c>
      <c r="AI23" s="388">
        <v>0</v>
      </c>
      <c r="AJ23" s="388">
        <v>0</v>
      </c>
      <c r="AK23" s="388">
        <v>0</v>
      </c>
      <c r="AL23" s="388"/>
      <c r="AM23" s="360">
        <f t="shared" si="0"/>
        <v>0</v>
      </c>
      <c r="AN23" s="362">
        <f>ERP_2[[#This Row],[2026 Working Total]]-ERP_2[[#This Row],[LE2 Final Submission]]</f>
        <v>0</v>
      </c>
      <c r="AO23" s="79">
        <v>0</v>
      </c>
      <c r="AP23" s="79">
        <f t="shared" si="1"/>
        <v>0</v>
      </c>
      <c r="AQ23" s="374">
        <f>SUM(ERP_2[[#This Row],[AP01]:[AP06]])-SUM(ERP_2[[#This Row],[AP01 LE2]:[AP06 LE2]])</f>
        <v>0</v>
      </c>
      <c r="AR23" s="80"/>
      <c r="AS23" s="79">
        <f>ERP_2[[#This Row],[2026 Working Total to Budget/LE]]-ERP_2[[#This Row],[Giveback]]</f>
        <v>0</v>
      </c>
      <c r="AT23" s="81"/>
      <c r="AU23" s="375"/>
      <c r="AV23" s="375"/>
      <c r="AW23" s="375"/>
      <c r="AX23" s="375">
        <v>0</v>
      </c>
      <c r="AY23" s="375">
        <v>0</v>
      </c>
      <c r="AZ23" s="375">
        <v>0</v>
      </c>
      <c r="BA23" s="375">
        <v>0</v>
      </c>
      <c r="BB23" s="375">
        <v>0</v>
      </c>
      <c r="BC23" s="375">
        <v>0</v>
      </c>
      <c r="BD23" s="375">
        <v>0</v>
      </c>
      <c r="BE23" s="375">
        <v>0</v>
      </c>
      <c r="BF23" s="375"/>
      <c r="BG23" s="375">
        <v>0</v>
      </c>
      <c r="BH23" s="103">
        <v>0</v>
      </c>
      <c r="BI23" s="103">
        <v>0</v>
      </c>
      <c r="BJ23" s="103">
        <v>0</v>
      </c>
      <c r="BK23" s="103">
        <v>0</v>
      </c>
      <c r="BL23" s="103">
        <v>0</v>
      </c>
      <c r="BM23" s="103">
        <v>-213108</v>
      </c>
      <c r="BN23" s="103">
        <v>0</v>
      </c>
      <c r="BO23" s="103">
        <v>0</v>
      </c>
      <c r="BP23" s="103">
        <v>0</v>
      </c>
      <c r="BQ23" s="103">
        <v>0</v>
      </c>
      <c r="BR23" s="103">
        <v>0</v>
      </c>
      <c r="BS23" s="103">
        <v>0</v>
      </c>
      <c r="BT23" s="79">
        <f>SUM(ERP_2[[#This Row],[2026 AP01]:[2026 AP12]])</f>
        <v>-213108</v>
      </c>
    </row>
    <row r="24" spans="1:72" ht="15" hidden="1" customHeight="1">
      <c r="A24" s="66" t="s">
        <v>2854</v>
      </c>
      <c r="B24" s="66"/>
      <c r="C24" s="66" t="s">
        <v>1045</v>
      </c>
      <c r="D24" s="66" t="s">
        <v>2855</v>
      </c>
      <c r="E24" s="150" t="s">
        <v>1136</v>
      </c>
      <c r="F24" s="482" t="s">
        <v>1566</v>
      </c>
      <c r="G24" s="482" t="s">
        <v>1566</v>
      </c>
      <c r="H24" s="482" t="s">
        <v>1566</v>
      </c>
      <c r="I24" s="150" t="s">
        <v>1345</v>
      </c>
      <c r="J24" s="150" t="s">
        <v>1346</v>
      </c>
      <c r="K24" s="150" t="s">
        <v>1346</v>
      </c>
      <c r="L24" s="511" t="s">
        <v>1037</v>
      </c>
      <c r="M24" s="392" t="s">
        <v>2856</v>
      </c>
      <c r="N24" s="343"/>
      <c r="O24" s="343"/>
      <c r="P24" s="70" t="s">
        <v>318</v>
      </c>
      <c r="Q24" s="346"/>
      <c r="R24" s="343"/>
      <c r="S24" s="346"/>
      <c r="T24" s="150" t="s">
        <v>25</v>
      </c>
      <c r="U24" s="150"/>
      <c r="V24" s="403"/>
      <c r="W24" s="406">
        <v>0</v>
      </c>
      <c r="X24" s="406">
        <v>1583.99</v>
      </c>
      <c r="Y24" s="425"/>
      <c r="Z24" s="71"/>
      <c r="AA24" s="426"/>
      <c r="AB24" s="427"/>
      <c r="AC24" s="427">
        <v>1583.99</v>
      </c>
      <c r="AD24" s="428" t="s">
        <v>1142</v>
      </c>
      <c r="AE24" s="429">
        <v>0</v>
      </c>
      <c r="AF24" s="429">
        <v>0</v>
      </c>
      <c r="AG24" s="360">
        <v>0</v>
      </c>
      <c r="AH24" s="360">
        <v>0</v>
      </c>
      <c r="AI24" s="360">
        <v>0</v>
      </c>
      <c r="AJ24" s="360">
        <v>0</v>
      </c>
      <c r="AK24" s="360">
        <v>0</v>
      </c>
      <c r="AL24" s="360">
        <v>0</v>
      </c>
      <c r="AM24" s="360">
        <f t="shared" si="0"/>
        <v>1583.99</v>
      </c>
      <c r="AN24" s="362">
        <f>ERP_2[[#This Row],[2026 Working Total]]-ERP_2[[#This Row],[LE2 Final Submission]]</f>
        <v>0</v>
      </c>
      <c r="AO24" s="79">
        <v>0</v>
      </c>
      <c r="AP24" s="79">
        <f t="shared" si="1"/>
        <v>0</v>
      </c>
      <c r="AQ24" s="374">
        <f>SUM(ERP_2[[#This Row],[AP01]:[AP06]])-SUM(ERP_2[[#This Row],[AP01 LE2]:[AP06 LE2]])</f>
        <v>0</v>
      </c>
      <c r="AR24" s="80"/>
      <c r="AS24" s="79">
        <f>ERP_2[[#This Row],[2026 Working Total to Budget/LE]]-ERP_2[[#This Row],[Giveback]]</f>
        <v>0</v>
      </c>
      <c r="AT24" s="81"/>
      <c r="AU24" s="375"/>
      <c r="AV24" s="375"/>
      <c r="AW24" s="375">
        <v>1583.99</v>
      </c>
      <c r="AX24" s="375">
        <v>0</v>
      </c>
      <c r="AY24" s="375">
        <v>0</v>
      </c>
      <c r="AZ24" s="375">
        <v>0</v>
      </c>
      <c r="BA24" s="375">
        <v>0</v>
      </c>
      <c r="BB24" s="375">
        <v>0</v>
      </c>
      <c r="BC24" s="375">
        <v>0</v>
      </c>
      <c r="BD24" s="375">
        <v>0</v>
      </c>
      <c r="BE24" s="375">
        <v>0</v>
      </c>
      <c r="BF24" s="375">
        <v>0</v>
      </c>
      <c r="BG24" s="375">
        <v>1583.99</v>
      </c>
      <c r="BH24" s="79"/>
      <c r="BI24" s="79"/>
      <c r="BJ24" s="79">
        <v>1583.99</v>
      </c>
      <c r="BK24" s="79">
        <v>0</v>
      </c>
      <c r="BL24" s="79">
        <v>0</v>
      </c>
      <c r="BM24" s="79">
        <v>0</v>
      </c>
      <c r="BN24" s="79">
        <v>0</v>
      </c>
      <c r="BO24" s="79">
        <v>0</v>
      </c>
      <c r="BP24" s="79">
        <v>0</v>
      </c>
      <c r="BQ24" s="79">
        <v>0</v>
      </c>
      <c r="BR24" s="79">
        <v>0</v>
      </c>
      <c r="BS24" s="79">
        <v>0</v>
      </c>
      <c r="BT24" s="79">
        <v>1583.99</v>
      </c>
    </row>
    <row r="25" spans="1:72" ht="15" hidden="1" customHeight="1">
      <c r="A25" s="79" t="s">
        <v>1237</v>
      </c>
      <c r="B25" s="79"/>
      <c r="C25" s="79" t="s">
        <v>90</v>
      </c>
      <c r="D25" s="296" t="s">
        <v>90</v>
      </c>
      <c r="E25" s="150" t="s">
        <v>1136</v>
      </c>
      <c r="F25" s="482" t="s">
        <v>1566</v>
      </c>
      <c r="G25" s="150" t="s">
        <v>1135</v>
      </c>
      <c r="H25" s="150" t="s">
        <v>1135</v>
      </c>
      <c r="I25" s="332" t="s">
        <v>1135</v>
      </c>
      <c r="J25" s="382" t="s">
        <v>1135</v>
      </c>
      <c r="K25" s="331" t="s">
        <v>1137</v>
      </c>
      <c r="L25" s="512" t="s">
        <v>49</v>
      </c>
      <c r="M25" s="394" t="s">
        <v>1238</v>
      </c>
      <c r="N25" s="343"/>
      <c r="O25" s="331"/>
      <c r="P25" s="122" t="s">
        <v>91</v>
      </c>
      <c r="Q25" s="343"/>
      <c r="R25" s="346" t="s">
        <v>1232</v>
      </c>
      <c r="S25" s="471"/>
      <c r="T25" s="384" t="s">
        <v>25</v>
      </c>
      <c r="U25" s="150"/>
      <c r="V25" s="432"/>
      <c r="W25" s="358">
        <f>76110+-76110</f>
        <v>0</v>
      </c>
      <c r="X25" s="378">
        <v>0</v>
      </c>
      <c r="Y25" s="425"/>
      <c r="Z25" s="71"/>
      <c r="AA25" s="433"/>
      <c r="AB25" s="434"/>
      <c r="AC25" s="434"/>
      <c r="AD25" s="428" t="s">
        <v>1142</v>
      </c>
      <c r="AE25" s="429">
        <v>0</v>
      </c>
      <c r="AF25" s="429">
        <v>0</v>
      </c>
      <c r="AG25" s="388">
        <v>0</v>
      </c>
      <c r="AH25" s="388">
        <v>0</v>
      </c>
      <c r="AI25" s="388">
        <v>0</v>
      </c>
      <c r="AJ25" s="388">
        <v>0</v>
      </c>
      <c r="AK25" s="388">
        <v>0</v>
      </c>
      <c r="AL25" s="388"/>
      <c r="AM25" s="360">
        <f t="shared" si="0"/>
        <v>0</v>
      </c>
      <c r="AN25" s="362">
        <f>ERP_2[[#This Row],[2026 Working Total]]-ERP_2[[#This Row],[LE2 Final Submission]]</f>
        <v>0</v>
      </c>
      <c r="AO25" s="79">
        <v>0</v>
      </c>
      <c r="AP25" s="79">
        <f t="shared" si="1"/>
        <v>0</v>
      </c>
      <c r="AQ25" s="374">
        <f>SUM(ERP_2[[#This Row],[AP01]:[AP06]])-SUM(ERP_2[[#This Row],[AP01 LE2]:[AP06 LE2]])</f>
        <v>0</v>
      </c>
      <c r="AR25" s="80"/>
      <c r="AS25" s="79">
        <f>ERP_2[[#This Row],[2026 Working Total to Budget/LE]]-ERP_2[[#This Row],[Giveback]]</f>
        <v>0</v>
      </c>
      <c r="AT25" s="81"/>
      <c r="AU25" s="375"/>
      <c r="AV25" s="375"/>
      <c r="AW25" s="375"/>
      <c r="AX25" s="375">
        <v>0</v>
      </c>
      <c r="AY25" s="375">
        <v>0</v>
      </c>
      <c r="AZ25" s="375">
        <v>0</v>
      </c>
      <c r="BA25" s="375">
        <v>0</v>
      </c>
      <c r="BB25" s="375">
        <v>0</v>
      </c>
      <c r="BC25" s="375">
        <v>0</v>
      </c>
      <c r="BD25" s="375">
        <v>0</v>
      </c>
      <c r="BE25" s="375">
        <v>0</v>
      </c>
      <c r="BF25" s="375"/>
      <c r="BG25" s="375">
        <v>0</v>
      </c>
      <c r="BH25" s="103">
        <v>0</v>
      </c>
      <c r="BI25" s="103">
        <v>0</v>
      </c>
      <c r="BJ25" s="103">
        <v>0</v>
      </c>
      <c r="BK25" s="103">
        <v>0</v>
      </c>
      <c r="BL25" s="103">
        <v>0</v>
      </c>
      <c r="BM25" s="103">
        <v>-76110</v>
      </c>
      <c r="BN25" s="103">
        <v>0</v>
      </c>
      <c r="BO25" s="103">
        <v>0</v>
      </c>
      <c r="BP25" s="103">
        <v>0</v>
      </c>
      <c r="BQ25" s="103">
        <v>0</v>
      </c>
      <c r="BR25" s="103">
        <v>0</v>
      </c>
      <c r="BS25" s="103">
        <v>0</v>
      </c>
      <c r="BT25" s="79">
        <f>SUM(ERP_2[[#This Row],[2026 AP01]:[2026 AP12]])</f>
        <v>-76110</v>
      </c>
    </row>
    <row r="26" spans="1:72" ht="15" hidden="1" customHeight="1">
      <c r="A26" s="79" t="s">
        <v>1239</v>
      </c>
      <c r="B26" s="79"/>
      <c r="C26" s="79" t="s">
        <v>92</v>
      </c>
      <c r="D26" s="296" t="s">
        <v>92</v>
      </c>
      <c r="E26" s="150" t="s">
        <v>1136</v>
      </c>
      <c r="F26" s="482" t="s">
        <v>1566</v>
      </c>
      <c r="G26" s="150" t="s">
        <v>1135</v>
      </c>
      <c r="H26" s="150" t="s">
        <v>1135</v>
      </c>
      <c r="I26" s="332" t="s">
        <v>1135</v>
      </c>
      <c r="J26" s="382" t="s">
        <v>1135</v>
      </c>
      <c r="K26" s="331" t="s">
        <v>1137</v>
      </c>
      <c r="L26" s="512" t="s">
        <v>49</v>
      </c>
      <c r="M26" s="394" t="s">
        <v>1240</v>
      </c>
      <c r="N26" s="343"/>
      <c r="O26" s="331"/>
      <c r="P26" s="122" t="s">
        <v>93</v>
      </c>
      <c r="Q26" s="343"/>
      <c r="R26" s="346" t="s">
        <v>1232</v>
      </c>
      <c r="S26" s="471"/>
      <c r="T26" s="384" t="s">
        <v>25</v>
      </c>
      <c r="U26" s="150"/>
      <c r="V26" s="432"/>
      <c r="W26" s="358">
        <f>-91332+91332</f>
        <v>0</v>
      </c>
      <c r="X26" s="378">
        <v>0</v>
      </c>
      <c r="Y26" s="425"/>
      <c r="Z26" s="71"/>
      <c r="AA26" s="433"/>
      <c r="AB26" s="434"/>
      <c r="AC26" s="434"/>
      <c r="AD26" s="428" t="s">
        <v>1142</v>
      </c>
      <c r="AE26" s="429">
        <v>0</v>
      </c>
      <c r="AF26" s="429">
        <v>0</v>
      </c>
      <c r="AG26" s="388">
        <v>0</v>
      </c>
      <c r="AH26" s="388">
        <v>0</v>
      </c>
      <c r="AI26" s="388">
        <v>0</v>
      </c>
      <c r="AJ26" s="388">
        <v>0</v>
      </c>
      <c r="AK26" s="388">
        <v>0</v>
      </c>
      <c r="AL26" s="388"/>
      <c r="AM26" s="360">
        <f t="shared" si="0"/>
        <v>0</v>
      </c>
      <c r="AN26" s="362">
        <f>ERP_2[[#This Row],[2026 Working Total]]-ERP_2[[#This Row],[LE2 Final Submission]]</f>
        <v>0</v>
      </c>
      <c r="AO26" s="79">
        <v>0</v>
      </c>
      <c r="AP26" s="79">
        <f t="shared" si="1"/>
        <v>0</v>
      </c>
      <c r="AQ26" s="374">
        <f>SUM(ERP_2[[#This Row],[AP01]:[AP06]])-SUM(ERP_2[[#This Row],[AP01 LE2]:[AP06 LE2]])</f>
        <v>0</v>
      </c>
      <c r="AR26" s="80"/>
      <c r="AS26" s="79">
        <f>ERP_2[[#This Row],[2026 Working Total to Budget/LE]]-ERP_2[[#This Row],[Giveback]]</f>
        <v>0</v>
      </c>
      <c r="AT26" s="81"/>
      <c r="AU26" s="375"/>
      <c r="AV26" s="375"/>
      <c r="AW26" s="375"/>
      <c r="AX26" s="375">
        <v>0</v>
      </c>
      <c r="AY26" s="375">
        <v>0</v>
      </c>
      <c r="AZ26" s="375">
        <v>0</v>
      </c>
      <c r="BA26" s="375">
        <v>0</v>
      </c>
      <c r="BB26" s="375">
        <v>0</v>
      </c>
      <c r="BC26" s="375">
        <v>0</v>
      </c>
      <c r="BD26" s="375">
        <v>0</v>
      </c>
      <c r="BE26" s="375">
        <v>0</v>
      </c>
      <c r="BF26" s="375"/>
      <c r="BG26" s="375">
        <v>0</v>
      </c>
      <c r="BH26" s="103">
        <v>0</v>
      </c>
      <c r="BI26" s="103">
        <v>0</v>
      </c>
      <c r="BJ26" s="103">
        <v>0</v>
      </c>
      <c r="BK26" s="103">
        <v>0</v>
      </c>
      <c r="BL26" s="103">
        <v>0</v>
      </c>
      <c r="BM26" s="103">
        <v>-91332</v>
      </c>
      <c r="BN26" s="103">
        <v>0</v>
      </c>
      <c r="BO26" s="103">
        <v>0</v>
      </c>
      <c r="BP26" s="103">
        <v>0</v>
      </c>
      <c r="BQ26" s="103">
        <v>0</v>
      </c>
      <c r="BR26" s="103">
        <v>0</v>
      </c>
      <c r="BS26" s="103">
        <v>0</v>
      </c>
      <c r="BT26" s="79">
        <f>SUM(ERP_2[[#This Row],[2026 AP01]:[2026 AP12]])</f>
        <v>-91332</v>
      </c>
    </row>
    <row r="27" spans="1:72" ht="15" hidden="1" customHeight="1">
      <c r="A27" s="79" t="s">
        <v>1241</v>
      </c>
      <c r="B27" s="79"/>
      <c r="C27" s="79" t="s">
        <v>94</v>
      </c>
      <c r="D27" s="296" t="s">
        <v>94</v>
      </c>
      <c r="E27" s="150" t="s">
        <v>1136</v>
      </c>
      <c r="F27" s="482" t="s">
        <v>1566</v>
      </c>
      <c r="G27" s="150" t="s">
        <v>1135</v>
      </c>
      <c r="H27" s="150" t="s">
        <v>1135</v>
      </c>
      <c r="I27" s="332" t="s">
        <v>1135</v>
      </c>
      <c r="J27" s="382" t="s">
        <v>1135</v>
      </c>
      <c r="K27" s="331" t="s">
        <v>1137</v>
      </c>
      <c r="L27" s="512" t="s">
        <v>49</v>
      </c>
      <c r="M27" s="394" t="s">
        <v>1242</v>
      </c>
      <c r="N27" s="343"/>
      <c r="O27" s="331"/>
      <c r="P27" s="122" t="s">
        <v>95</v>
      </c>
      <c r="Q27" s="343"/>
      <c r="R27" s="346" t="s">
        <v>1232</v>
      </c>
      <c r="S27" s="471"/>
      <c r="T27" s="384" t="s">
        <v>25</v>
      </c>
      <c r="U27" s="150"/>
      <c r="V27" s="432"/>
      <c r="W27" s="358">
        <f>-76110+76110</f>
        <v>0</v>
      </c>
      <c r="X27" s="378">
        <v>0</v>
      </c>
      <c r="Y27" s="430"/>
      <c r="Z27" s="137"/>
      <c r="AA27" s="433"/>
      <c r="AB27" s="434"/>
      <c r="AC27" s="434"/>
      <c r="AD27" s="428" t="s">
        <v>1142</v>
      </c>
      <c r="AE27" s="429">
        <v>0</v>
      </c>
      <c r="AF27" s="429">
        <v>0</v>
      </c>
      <c r="AG27" s="388">
        <v>0</v>
      </c>
      <c r="AH27" s="388">
        <v>0</v>
      </c>
      <c r="AI27" s="388">
        <v>0</v>
      </c>
      <c r="AJ27" s="388">
        <v>0</v>
      </c>
      <c r="AK27" s="388">
        <v>0</v>
      </c>
      <c r="AL27" s="388"/>
      <c r="AM27" s="360">
        <f t="shared" si="0"/>
        <v>0</v>
      </c>
      <c r="AN27" s="362">
        <f>ERP_2[[#This Row],[2026 Working Total]]-ERP_2[[#This Row],[LE2 Final Submission]]</f>
        <v>0</v>
      </c>
      <c r="AO27" s="79">
        <v>0</v>
      </c>
      <c r="AP27" s="79">
        <f t="shared" si="1"/>
        <v>0</v>
      </c>
      <c r="AQ27" s="374">
        <f>SUM(ERP_2[[#This Row],[AP01]:[AP06]])-SUM(ERP_2[[#This Row],[AP01 LE2]:[AP06 LE2]])</f>
        <v>0</v>
      </c>
      <c r="AR27" s="80"/>
      <c r="AS27" s="79">
        <f>ERP_2[[#This Row],[2026 Working Total to Budget/LE]]-ERP_2[[#This Row],[Giveback]]</f>
        <v>0</v>
      </c>
      <c r="AT27" s="81"/>
      <c r="AU27" s="375"/>
      <c r="AV27" s="375"/>
      <c r="AW27" s="375"/>
      <c r="AX27" s="375">
        <v>0</v>
      </c>
      <c r="AY27" s="375">
        <v>0</v>
      </c>
      <c r="AZ27" s="375">
        <v>0</v>
      </c>
      <c r="BA27" s="375">
        <v>0</v>
      </c>
      <c r="BB27" s="375">
        <v>0</v>
      </c>
      <c r="BC27" s="375">
        <v>0</v>
      </c>
      <c r="BD27" s="375">
        <v>0</v>
      </c>
      <c r="BE27" s="375">
        <v>0</v>
      </c>
      <c r="BF27" s="375"/>
      <c r="BG27" s="375">
        <v>0</v>
      </c>
      <c r="BH27" s="103">
        <v>0</v>
      </c>
      <c r="BI27" s="103">
        <v>0</v>
      </c>
      <c r="BJ27" s="103">
        <v>0</v>
      </c>
      <c r="BK27" s="103">
        <v>0</v>
      </c>
      <c r="BL27" s="103">
        <v>0</v>
      </c>
      <c r="BM27" s="103">
        <v>-76110</v>
      </c>
      <c r="BN27" s="103">
        <v>0</v>
      </c>
      <c r="BO27" s="103">
        <v>0</v>
      </c>
      <c r="BP27" s="103">
        <v>0</v>
      </c>
      <c r="BQ27" s="103">
        <v>0</v>
      </c>
      <c r="BR27" s="103">
        <v>0</v>
      </c>
      <c r="BS27" s="103">
        <v>0</v>
      </c>
      <c r="BT27" s="79">
        <f>SUM(ERP_2[[#This Row],[2026 AP01]:[2026 AP12]])</f>
        <v>-76110</v>
      </c>
    </row>
    <row r="28" spans="1:72" ht="15" hidden="1" customHeight="1">
      <c r="A28" s="66" t="s">
        <v>1243</v>
      </c>
      <c r="B28" s="66"/>
      <c r="C28" s="66" t="s">
        <v>96</v>
      </c>
      <c r="D28" s="66" t="s">
        <v>96</v>
      </c>
      <c r="E28" s="150" t="s">
        <v>1136</v>
      </c>
      <c r="F28" s="482" t="s">
        <v>1566</v>
      </c>
      <c r="G28" s="150" t="s">
        <v>1135</v>
      </c>
      <c r="H28" s="150" t="s">
        <v>1135</v>
      </c>
      <c r="I28" s="150" t="s">
        <v>1135</v>
      </c>
      <c r="J28" s="150" t="s">
        <v>1135</v>
      </c>
      <c r="K28" s="150" t="s">
        <v>1137</v>
      </c>
      <c r="L28" s="511" t="s">
        <v>49</v>
      </c>
      <c r="M28" s="392" t="s">
        <v>1238</v>
      </c>
      <c r="N28" s="343"/>
      <c r="O28" s="343"/>
      <c r="P28" s="70" t="s">
        <v>97</v>
      </c>
      <c r="Q28" s="346"/>
      <c r="R28" s="346" t="s">
        <v>1232</v>
      </c>
      <c r="S28" s="346"/>
      <c r="T28" s="150" t="s">
        <v>25</v>
      </c>
      <c r="U28" s="150" t="s">
        <v>1244</v>
      </c>
      <c r="V28" s="403"/>
      <c r="W28" s="406">
        <v>0</v>
      </c>
      <c r="X28" s="406">
        <v>-76110</v>
      </c>
      <c r="Y28" s="425"/>
      <c r="Z28" s="71"/>
      <c r="AA28" s="426"/>
      <c r="AB28" s="427"/>
      <c r="AC28" s="427"/>
      <c r="AD28" s="428" t="s">
        <v>1142</v>
      </c>
      <c r="AE28" s="429">
        <v>-76110</v>
      </c>
      <c r="AF28" s="429">
        <v>0</v>
      </c>
      <c r="AG28" s="360">
        <v>0</v>
      </c>
      <c r="AH28" s="360">
        <v>0</v>
      </c>
      <c r="AI28" s="360">
        <v>0</v>
      </c>
      <c r="AJ28" s="360">
        <v>0</v>
      </c>
      <c r="AK28" s="360">
        <v>0</v>
      </c>
      <c r="AL28" s="360">
        <v>0</v>
      </c>
      <c r="AM28" s="360">
        <f t="shared" si="0"/>
        <v>-76110</v>
      </c>
      <c r="AN28" s="362">
        <f>ERP_2[[#This Row],[2026 Working Total]]-ERP_2[[#This Row],[LE2 Final Submission]]</f>
        <v>0</v>
      </c>
      <c r="AO28" s="79"/>
      <c r="AP28" s="79">
        <f t="shared" si="1"/>
        <v>0</v>
      </c>
      <c r="AQ28" s="374">
        <f>SUM(ERP_2[[#This Row],[AP01]:[AP06]])-SUM(ERP_2[[#This Row],[AP01 LE2]:[AP06 LE2]])</f>
        <v>0</v>
      </c>
      <c r="AR28" s="80"/>
      <c r="AS28" s="79">
        <f>ERP_2[[#This Row],[2026 Working Total to Budget/LE]]-ERP_2[[#This Row],[Giveback]]</f>
        <v>0</v>
      </c>
      <c r="AT28" s="81"/>
      <c r="AU28" s="375"/>
      <c r="AV28" s="375"/>
      <c r="AW28" s="375"/>
      <c r="AX28" s="375"/>
      <c r="AY28" s="375"/>
      <c r="AZ28" s="375">
        <v>-76110</v>
      </c>
      <c r="BA28" s="375">
        <v>0</v>
      </c>
      <c r="BB28" s="375">
        <v>0</v>
      </c>
      <c r="BC28" s="375">
        <v>0</v>
      </c>
      <c r="BD28" s="375">
        <v>0</v>
      </c>
      <c r="BE28" s="375">
        <v>0</v>
      </c>
      <c r="BF28" s="375">
        <v>0</v>
      </c>
      <c r="BG28" s="375">
        <v>-76110</v>
      </c>
      <c r="BH28" s="79"/>
      <c r="BI28" s="79"/>
      <c r="BJ28" s="79"/>
      <c r="BK28" s="79"/>
      <c r="BL28" s="79"/>
      <c r="BM28" s="79">
        <v>-76110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0</v>
      </c>
      <c r="BT28" s="79">
        <v>-76110</v>
      </c>
    </row>
    <row r="29" spans="1:72" ht="15" hidden="1" customHeight="1">
      <c r="A29" s="66" t="s">
        <v>1245</v>
      </c>
      <c r="B29" s="66"/>
      <c r="C29" s="66" t="s">
        <v>98</v>
      </c>
      <c r="D29" s="66" t="s">
        <v>98</v>
      </c>
      <c r="E29" s="150" t="s">
        <v>1136</v>
      </c>
      <c r="F29" s="482" t="s">
        <v>1566</v>
      </c>
      <c r="G29" s="150" t="s">
        <v>1135</v>
      </c>
      <c r="H29" s="150" t="s">
        <v>1135</v>
      </c>
      <c r="I29" s="150" t="s">
        <v>1135</v>
      </c>
      <c r="J29" s="150" t="s">
        <v>1135</v>
      </c>
      <c r="K29" s="150" t="s">
        <v>1137</v>
      </c>
      <c r="L29" s="511" t="s">
        <v>49</v>
      </c>
      <c r="M29" s="392" t="s">
        <v>1242</v>
      </c>
      <c r="N29" s="343"/>
      <c r="O29" s="343"/>
      <c r="P29" s="70" t="s">
        <v>99</v>
      </c>
      <c r="Q29" s="346"/>
      <c r="R29" s="346" t="s">
        <v>1232</v>
      </c>
      <c r="S29" s="346"/>
      <c r="T29" s="150" t="s">
        <v>25</v>
      </c>
      <c r="U29" s="150" t="s">
        <v>1244</v>
      </c>
      <c r="V29" s="403"/>
      <c r="W29" s="406">
        <v>0</v>
      </c>
      <c r="X29" s="406">
        <v>-136110</v>
      </c>
      <c r="Y29" s="425"/>
      <c r="Z29" s="71"/>
      <c r="AA29" s="426"/>
      <c r="AB29" s="427"/>
      <c r="AC29" s="427">
        <v>-60000</v>
      </c>
      <c r="AD29" s="428">
        <v>0</v>
      </c>
      <c r="AE29" s="429">
        <v>-76110</v>
      </c>
      <c r="AF29" s="429">
        <v>0</v>
      </c>
      <c r="AG29" s="360">
        <v>0</v>
      </c>
      <c r="AH29" s="360">
        <v>0</v>
      </c>
      <c r="AI29" s="360">
        <v>0</v>
      </c>
      <c r="AJ29" s="360">
        <v>0</v>
      </c>
      <c r="AK29" s="360">
        <v>0</v>
      </c>
      <c r="AL29" s="360">
        <v>0</v>
      </c>
      <c r="AM29" s="360">
        <f t="shared" si="0"/>
        <v>-136110</v>
      </c>
      <c r="AN29" s="362">
        <f>ERP_2[[#This Row],[2026 Working Total]]-ERP_2[[#This Row],[LE2 Final Submission]]</f>
        <v>0</v>
      </c>
      <c r="AO29" s="79">
        <v>0</v>
      </c>
      <c r="AP29" s="79">
        <f t="shared" si="1"/>
        <v>0</v>
      </c>
      <c r="AQ29" s="374">
        <f>SUM(ERP_2[[#This Row],[AP01]:[AP06]])-SUM(ERP_2[[#This Row],[AP01 LE2]:[AP06 LE2]])</f>
        <v>0</v>
      </c>
      <c r="AR29" s="80"/>
      <c r="AS29" s="79">
        <f>ERP_2[[#This Row],[2026 Working Total to Budget/LE]]-ERP_2[[#This Row],[Giveback]]</f>
        <v>0</v>
      </c>
      <c r="AT29" s="81"/>
      <c r="AU29" s="375"/>
      <c r="AV29" s="375"/>
      <c r="AW29" s="375">
        <v>-60000</v>
      </c>
      <c r="AX29" s="375">
        <v>0</v>
      </c>
      <c r="AY29" s="375">
        <v>0</v>
      </c>
      <c r="AZ29" s="375">
        <v>-76110</v>
      </c>
      <c r="BA29" s="375">
        <v>0</v>
      </c>
      <c r="BB29" s="375">
        <v>0</v>
      </c>
      <c r="BC29" s="375">
        <v>0</v>
      </c>
      <c r="BD29" s="375">
        <v>0</v>
      </c>
      <c r="BE29" s="375">
        <v>0</v>
      </c>
      <c r="BF29" s="375">
        <v>0</v>
      </c>
      <c r="BG29" s="375">
        <v>-136110</v>
      </c>
      <c r="BH29" s="79"/>
      <c r="BI29" s="79"/>
      <c r="BJ29" s="79">
        <v>-60000</v>
      </c>
      <c r="BK29" s="79">
        <v>0</v>
      </c>
      <c r="BL29" s="79">
        <v>0</v>
      </c>
      <c r="BM29" s="79">
        <v>-76110</v>
      </c>
      <c r="BN29" s="79">
        <v>0</v>
      </c>
      <c r="BO29" s="79">
        <v>0</v>
      </c>
      <c r="BP29" s="79">
        <v>0</v>
      </c>
      <c r="BQ29" s="79">
        <v>0</v>
      </c>
      <c r="BR29" s="79">
        <v>0</v>
      </c>
      <c r="BS29" s="79">
        <v>0</v>
      </c>
      <c r="BT29" s="79">
        <v>-136110</v>
      </c>
    </row>
    <row r="30" spans="1:72" ht="15" hidden="1" customHeight="1">
      <c r="A30" s="66" t="s">
        <v>1246</v>
      </c>
      <c r="B30" s="66"/>
      <c r="C30" s="66" t="s">
        <v>100</v>
      </c>
      <c r="D30" s="66" t="s">
        <v>100</v>
      </c>
      <c r="E30" s="150" t="s">
        <v>1136</v>
      </c>
      <c r="F30" s="482" t="s">
        <v>1566</v>
      </c>
      <c r="G30" s="150" t="s">
        <v>1135</v>
      </c>
      <c r="H30" s="150" t="s">
        <v>1135</v>
      </c>
      <c r="I30" s="150" t="s">
        <v>1135</v>
      </c>
      <c r="J30" s="150" t="s">
        <v>1135</v>
      </c>
      <c r="K30" s="150" t="s">
        <v>1137</v>
      </c>
      <c r="L30" s="511" t="s">
        <v>49</v>
      </c>
      <c r="M30" s="392" t="s">
        <v>1240</v>
      </c>
      <c r="N30" s="343"/>
      <c r="O30" s="343"/>
      <c r="P30" s="70" t="s">
        <v>101</v>
      </c>
      <c r="Q30" s="346"/>
      <c r="R30" s="346" t="s">
        <v>1232</v>
      </c>
      <c r="S30" s="346"/>
      <c r="T30" s="150" t="s">
        <v>25</v>
      </c>
      <c r="U30" s="150" t="s">
        <v>1244</v>
      </c>
      <c r="V30" s="403"/>
      <c r="W30" s="406">
        <v>0</v>
      </c>
      <c r="X30" s="406">
        <v>-91332</v>
      </c>
      <c r="Y30" s="430"/>
      <c r="Z30" s="137"/>
      <c r="AA30" s="426"/>
      <c r="AB30" s="427"/>
      <c r="AC30" s="427"/>
      <c r="AD30" s="428" t="s">
        <v>1142</v>
      </c>
      <c r="AE30" s="429">
        <v>-91332</v>
      </c>
      <c r="AF30" s="429">
        <v>0</v>
      </c>
      <c r="AG30" s="360">
        <v>0</v>
      </c>
      <c r="AH30" s="360">
        <v>0</v>
      </c>
      <c r="AI30" s="360">
        <v>0</v>
      </c>
      <c r="AJ30" s="360">
        <v>0</v>
      </c>
      <c r="AK30" s="360">
        <v>0</v>
      </c>
      <c r="AL30" s="360">
        <v>0</v>
      </c>
      <c r="AM30" s="360">
        <f t="shared" si="0"/>
        <v>-91332</v>
      </c>
      <c r="AN30" s="362">
        <f>ERP_2[[#This Row],[2026 Working Total]]-ERP_2[[#This Row],[LE2 Final Submission]]</f>
        <v>0</v>
      </c>
      <c r="AO30" s="79"/>
      <c r="AP30" s="79">
        <f t="shared" si="1"/>
        <v>0</v>
      </c>
      <c r="AQ30" s="374">
        <f>SUM(ERP_2[[#This Row],[AP01]:[AP06]])-SUM(ERP_2[[#This Row],[AP01 LE2]:[AP06 LE2]])</f>
        <v>0</v>
      </c>
      <c r="AR30" s="80"/>
      <c r="AS30" s="79">
        <f>ERP_2[[#This Row],[2026 Working Total to Budget/LE]]-ERP_2[[#This Row],[Giveback]]</f>
        <v>0</v>
      </c>
      <c r="AT30" s="81"/>
      <c r="AU30" s="375"/>
      <c r="AV30" s="375"/>
      <c r="AW30" s="375"/>
      <c r="AX30" s="375"/>
      <c r="AY30" s="375"/>
      <c r="AZ30" s="375">
        <v>-91332</v>
      </c>
      <c r="BA30" s="375">
        <v>0</v>
      </c>
      <c r="BB30" s="375">
        <v>0</v>
      </c>
      <c r="BC30" s="375">
        <v>0</v>
      </c>
      <c r="BD30" s="375">
        <v>0</v>
      </c>
      <c r="BE30" s="375">
        <v>0</v>
      </c>
      <c r="BF30" s="375">
        <v>0</v>
      </c>
      <c r="BG30" s="375">
        <v>-91332</v>
      </c>
      <c r="BH30" s="79"/>
      <c r="BI30" s="79"/>
      <c r="BJ30" s="79"/>
      <c r="BK30" s="79"/>
      <c r="BL30" s="79"/>
      <c r="BM30" s="79">
        <v>-91332</v>
      </c>
      <c r="BN30" s="79">
        <v>0</v>
      </c>
      <c r="BO30" s="79">
        <v>0</v>
      </c>
      <c r="BP30" s="79">
        <v>0</v>
      </c>
      <c r="BQ30" s="79">
        <v>0</v>
      </c>
      <c r="BR30" s="79">
        <v>0</v>
      </c>
      <c r="BS30" s="79">
        <v>0</v>
      </c>
      <c r="BT30" s="79">
        <v>-91332</v>
      </c>
    </row>
    <row r="31" spans="1:72" ht="15" hidden="1" customHeight="1">
      <c r="A31" s="66" t="s">
        <v>1247</v>
      </c>
      <c r="B31" s="66"/>
      <c r="C31" s="66" t="s">
        <v>102</v>
      </c>
      <c r="D31" s="66" t="s">
        <v>102</v>
      </c>
      <c r="E31" s="150" t="s">
        <v>1136</v>
      </c>
      <c r="F31" s="482" t="s">
        <v>1566</v>
      </c>
      <c r="G31" s="150" t="s">
        <v>1135</v>
      </c>
      <c r="H31" s="150" t="s">
        <v>1135</v>
      </c>
      <c r="I31" s="150" t="s">
        <v>1135</v>
      </c>
      <c r="J31" s="150" t="s">
        <v>1135</v>
      </c>
      <c r="K31" s="150" t="s">
        <v>1137</v>
      </c>
      <c r="L31" s="511" t="s">
        <v>49</v>
      </c>
      <c r="M31" s="392" t="s">
        <v>1236</v>
      </c>
      <c r="N31" s="343"/>
      <c r="O31" s="343"/>
      <c r="P31" s="70" t="s">
        <v>103</v>
      </c>
      <c r="Q31" s="346"/>
      <c r="R31" s="346" t="s">
        <v>1232</v>
      </c>
      <c r="S31" s="346"/>
      <c r="T31" s="150" t="s">
        <v>25</v>
      </c>
      <c r="U31" s="150" t="s">
        <v>1244</v>
      </c>
      <c r="V31" s="403"/>
      <c r="W31" s="406">
        <v>0</v>
      </c>
      <c r="X31" s="406">
        <v>-213108</v>
      </c>
      <c r="Y31" s="425"/>
      <c r="Z31" s="71"/>
      <c r="AA31" s="426"/>
      <c r="AB31" s="427"/>
      <c r="AC31" s="427"/>
      <c r="AD31" s="428" t="s">
        <v>1142</v>
      </c>
      <c r="AE31" s="429">
        <v>-213108</v>
      </c>
      <c r="AF31" s="429">
        <v>0</v>
      </c>
      <c r="AG31" s="360">
        <v>0</v>
      </c>
      <c r="AH31" s="360">
        <v>0</v>
      </c>
      <c r="AI31" s="360">
        <v>0</v>
      </c>
      <c r="AJ31" s="360">
        <v>0</v>
      </c>
      <c r="AK31" s="360">
        <v>0</v>
      </c>
      <c r="AL31" s="360">
        <v>0</v>
      </c>
      <c r="AM31" s="360">
        <f t="shared" si="0"/>
        <v>-213108</v>
      </c>
      <c r="AN31" s="362">
        <f>ERP_2[[#This Row],[2026 Working Total]]-ERP_2[[#This Row],[LE2 Final Submission]]</f>
        <v>0</v>
      </c>
      <c r="AO31" s="79"/>
      <c r="AP31" s="79">
        <f t="shared" si="1"/>
        <v>0</v>
      </c>
      <c r="AQ31" s="374">
        <f>SUM(ERP_2[[#This Row],[AP01]:[AP06]])-SUM(ERP_2[[#This Row],[AP01 LE2]:[AP06 LE2]])</f>
        <v>0</v>
      </c>
      <c r="AR31" s="80"/>
      <c r="AS31" s="79">
        <f>ERP_2[[#This Row],[2026 Working Total to Budget/LE]]-ERP_2[[#This Row],[Giveback]]</f>
        <v>0</v>
      </c>
      <c r="AT31" s="81"/>
      <c r="AU31" s="375"/>
      <c r="AV31" s="375"/>
      <c r="AW31" s="375"/>
      <c r="AX31" s="375"/>
      <c r="AY31" s="375"/>
      <c r="AZ31" s="375">
        <v>-213108</v>
      </c>
      <c r="BA31" s="375">
        <v>0</v>
      </c>
      <c r="BB31" s="375">
        <v>0</v>
      </c>
      <c r="BC31" s="375">
        <v>0</v>
      </c>
      <c r="BD31" s="375">
        <v>0</v>
      </c>
      <c r="BE31" s="375">
        <v>0</v>
      </c>
      <c r="BF31" s="375">
        <v>0</v>
      </c>
      <c r="BG31" s="375">
        <v>-213108</v>
      </c>
      <c r="BH31" s="79"/>
      <c r="BI31" s="79"/>
      <c r="BJ31" s="79"/>
      <c r="BK31" s="79"/>
      <c r="BL31" s="79"/>
      <c r="BM31" s="79">
        <v>-213108</v>
      </c>
      <c r="BN31" s="79">
        <v>0</v>
      </c>
      <c r="BO31" s="79">
        <v>0</v>
      </c>
      <c r="BP31" s="79">
        <v>0</v>
      </c>
      <c r="BQ31" s="79">
        <v>0</v>
      </c>
      <c r="BR31" s="79">
        <v>0</v>
      </c>
      <c r="BS31" s="79">
        <v>0</v>
      </c>
      <c r="BT31" s="79">
        <v>-213108</v>
      </c>
    </row>
    <row r="32" spans="1:72" ht="15" hidden="1" customHeight="1">
      <c r="A32" s="79" t="s">
        <v>1248</v>
      </c>
      <c r="B32" s="79"/>
      <c r="C32" s="79" t="s">
        <v>104</v>
      </c>
      <c r="D32" s="296" t="s">
        <v>1249</v>
      </c>
      <c r="E32" s="150" t="s">
        <v>1136</v>
      </c>
      <c r="F32" s="482" t="s">
        <v>1566</v>
      </c>
      <c r="G32" s="150" t="s">
        <v>1135</v>
      </c>
      <c r="H32" s="383" t="s">
        <v>1156</v>
      </c>
      <c r="I32" s="332" t="s">
        <v>1135</v>
      </c>
      <c r="J32" s="383" t="s">
        <v>1156</v>
      </c>
      <c r="K32" s="333" t="s">
        <v>1137</v>
      </c>
      <c r="L32" s="512" t="s">
        <v>49</v>
      </c>
      <c r="M32" s="393" t="s">
        <v>1250</v>
      </c>
      <c r="N32" s="343" t="s">
        <v>1251</v>
      </c>
      <c r="O32" s="332" t="s">
        <v>1252</v>
      </c>
      <c r="P32" s="91" t="s">
        <v>105</v>
      </c>
      <c r="Q32" s="347"/>
      <c r="R32" s="346" t="s">
        <v>1253</v>
      </c>
      <c r="S32" s="348"/>
      <c r="T32" s="386" t="s">
        <v>25</v>
      </c>
      <c r="U32" s="387" t="s">
        <v>1254</v>
      </c>
      <c r="V32" s="432"/>
      <c r="W32" s="358">
        <v>1</v>
      </c>
      <c r="X32" s="378">
        <v>0</v>
      </c>
      <c r="Y32" s="425"/>
      <c r="Z32" s="71"/>
      <c r="AA32" s="433"/>
      <c r="AB32" s="434"/>
      <c r="AC32" s="434"/>
      <c r="AD32" s="428" t="s">
        <v>1142</v>
      </c>
      <c r="AE32" s="429">
        <v>0</v>
      </c>
      <c r="AF32" s="429">
        <v>0</v>
      </c>
      <c r="AG32" s="388">
        <v>0</v>
      </c>
      <c r="AH32" s="388">
        <v>0</v>
      </c>
      <c r="AI32" s="388">
        <v>0</v>
      </c>
      <c r="AJ32" s="388">
        <v>0</v>
      </c>
      <c r="AK32" s="388">
        <v>0</v>
      </c>
      <c r="AL32" s="388">
        <v>0</v>
      </c>
      <c r="AM32" s="360">
        <f t="shared" si="0"/>
        <v>0</v>
      </c>
      <c r="AN32" s="362">
        <f>ERP_2[[#This Row],[2026 Working Total]]-ERP_2[[#This Row],[LE2 Final Submission]]</f>
        <v>0</v>
      </c>
      <c r="AO32" s="79">
        <v>0</v>
      </c>
      <c r="AP32" s="79">
        <f t="shared" si="1"/>
        <v>0</v>
      </c>
      <c r="AQ32" s="374">
        <f>SUM(ERP_2[[#This Row],[AP01]:[AP06]])-SUM(ERP_2[[#This Row],[AP01 LE2]:[AP06 LE2]])</f>
        <v>0</v>
      </c>
      <c r="AR32" s="80"/>
      <c r="AS32" s="79">
        <f>ERP_2[[#This Row],[2026 Working Total to Budget/LE]]-ERP_2[[#This Row],[Giveback]]</f>
        <v>0</v>
      </c>
      <c r="AT32" s="81"/>
      <c r="AU32" s="375"/>
      <c r="AV32" s="375"/>
      <c r="AW32" s="375"/>
      <c r="AX32" s="375">
        <v>0</v>
      </c>
      <c r="AY32" s="375">
        <v>0</v>
      </c>
      <c r="AZ32" s="375">
        <v>0</v>
      </c>
      <c r="BA32" s="375">
        <v>0</v>
      </c>
      <c r="BB32" s="375">
        <v>0</v>
      </c>
      <c r="BC32" s="375">
        <v>0</v>
      </c>
      <c r="BD32" s="375">
        <v>0</v>
      </c>
      <c r="BE32" s="375">
        <v>0</v>
      </c>
      <c r="BF32" s="375">
        <v>0</v>
      </c>
      <c r="BG32" s="375">
        <v>0</v>
      </c>
      <c r="BH32" s="103">
        <v>0</v>
      </c>
      <c r="BI32" s="103">
        <v>0</v>
      </c>
      <c r="BJ32" s="103">
        <v>0</v>
      </c>
      <c r="BK32" s="103">
        <v>0</v>
      </c>
      <c r="BL32" s="103">
        <v>0</v>
      </c>
      <c r="BM32" s="103">
        <v>0</v>
      </c>
      <c r="BN32" s="103">
        <v>0</v>
      </c>
      <c r="BO32" s="103">
        <v>0</v>
      </c>
      <c r="BP32" s="103">
        <v>0</v>
      </c>
      <c r="BQ32" s="103">
        <v>0</v>
      </c>
      <c r="BR32" s="103">
        <v>0</v>
      </c>
      <c r="BS32" s="103">
        <v>1</v>
      </c>
      <c r="BT32" s="79">
        <f>SUM(ERP_2[[#This Row],[2026 AP01]:[2026 AP12]])</f>
        <v>1</v>
      </c>
    </row>
    <row r="33" spans="1:72" ht="15" hidden="1" customHeight="1">
      <c r="A33" s="66" t="s">
        <v>1255</v>
      </c>
      <c r="B33" s="66"/>
      <c r="C33" s="66" t="s">
        <v>106</v>
      </c>
      <c r="D33" s="66" t="s">
        <v>106</v>
      </c>
      <c r="E33" s="150" t="s">
        <v>1136</v>
      </c>
      <c r="F33" s="482" t="s">
        <v>1566</v>
      </c>
      <c r="G33" s="150" t="s">
        <v>1135</v>
      </c>
      <c r="H33" s="150" t="s">
        <v>1135</v>
      </c>
      <c r="I33" s="150" t="s">
        <v>1135</v>
      </c>
      <c r="J33" s="150" t="s">
        <v>1135</v>
      </c>
      <c r="K33" s="150" t="s">
        <v>1137</v>
      </c>
      <c r="L33" s="511" t="s">
        <v>49</v>
      </c>
      <c r="M33" s="392" t="s">
        <v>1256</v>
      </c>
      <c r="N33" s="343" t="s">
        <v>1206</v>
      </c>
      <c r="O33" s="346" t="s">
        <v>1171</v>
      </c>
      <c r="P33" s="70" t="s">
        <v>107</v>
      </c>
      <c r="Q33" s="346"/>
      <c r="R33" s="346" t="s">
        <v>1257</v>
      </c>
      <c r="S33" s="346"/>
      <c r="T33" s="150" t="s">
        <v>25</v>
      </c>
      <c r="U33" s="150"/>
      <c r="V33" s="403"/>
      <c r="W33" s="406">
        <v>178000</v>
      </c>
      <c r="X33" s="406">
        <v>136206.91999999998</v>
      </c>
      <c r="Y33" s="425"/>
      <c r="Z33" s="71"/>
      <c r="AA33" s="426"/>
      <c r="AB33" s="427">
        <v>53852.77</v>
      </c>
      <c r="AC33" s="427">
        <v>35563.15</v>
      </c>
      <c r="AD33" s="428">
        <v>1016.0800000000017</v>
      </c>
      <c r="AE33" s="429">
        <v>-9701</v>
      </c>
      <c r="AF33" s="429">
        <v>0</v>
      </c>
      <c r="AG33" s="360">
        <v>0</v>
      </c>
      <c r="AH33" s="360">
        <v>0</v>
      </c>
      <c r="AI33" s="360">
        <v>0</v>
      </c>
      <c r="AJ33" s="360">
        <v>0</v>
      </c>
      <c r="AK33" s="360">
        <v>0</v>
      </c>
      <c r="AL33" s="360">
        <v>0</v>
      </c>
      <c r="AM33" s="360">
        <f t="shared" si="0"/>
        <v>80731</v>
      </c>
      <c r="AN33" s="362">
        <f>ERP_2[[#This Row],[2026 Working Total]]-ERP_2[[#This Row],[LE2 Final Submission]]</f>
        <v>-55475.919999999984</v>
      </c>
      <c r="AO33" s="79">
        <v>27738</v>
      </c>
      <c r="AP33" s="79">
        <f t="shared" si="1"/>
        <v>-27738</v>
      </c>
      <c r="AQ33" s="374">
        <f>SUM(ERP_2[[#This Row],[AP01]:[AP06]])-SUM(ERP_2[[#This Row],[AP01 LE2]:[AP06 LE2]])</f>
        <v>-55475.919999999984</v>
      </c>
      <c r="AR33" s="80"/>
      <c r="AS33" s="79">
        <f>ERP_2[[#This Row],[2026 Working Total to Budget/LE]]-ERP_2[[#This Row],[Giveback]]</f>
        <v>-55475.919999999984</v>
      </c>
      <c r="AT33" s="81"/>
      <c r="AU33" s="375"/>
      <c r="AV33" s="375">
        <v>53852.77</v>
      </c>
      <c r="AW33" s="375">
        <v>35563.15</v>
      </c>
      <c r="AX33" s="375">
        <v>19053</v>
      </c>
      <c r="AY33" s="375">
        <v>27738</v>
      </c>
      <c r="AZ33" s="375"/>
      <c r="BA33" s="375">
        <v>0</v>
      </c>
      <c r="BB33" s="375">
        <v>0</v>
      </c>
      <c r="BC33" s="375">
        <v>0</v>
      </c>
      <c r="BD33" s="375">
        <v>0</v>
      </c>
      <c r="BE33" s="375">
        <v>0</v>
      </c>
      <c r="BF33" s="375">
        <v>0</v>
      </c>
      <c r="BG33" s="375">
        <v>136206.91999999998</v>
      </c>
      <c r="BH33" s="79"/>
      <c r="BI33" s="79">
        <v>53852.77</v>
      </c>
      <c r="BJ33" s="79">
        <v>35563.15</v>
      </c>
      <c r="BK33" s="79">
        <v>29666.67</v>
      </c>
      <c r="BL33" s="79">
        <v>29666.67</v>
      </c>
      <c r="BM33" s="79">
        <v>29666.67</v>
      </c>
      <c r="BN33" s="79">
        <v>0</v>
      </c>
      <c r="BO33" s="79">
        <v>0</v>
      </c>
      <c r="BP33" s="79">
        <v>0</v>
      </c>
      <c r="BQ33" s="79">
        <v>0</v>
      </c>
      <c r="BR33" s="79">
        <v>0</v>
      </c>
      <c r="BS33" s="79">
        <v>0</v>
      </c>
      <c r="BT33" s="79">
        <v>178415.93</v>
      </c>
    </row>
    <row r="34" spans="1:72" ht="15" hidden="1" customHeight="1">
      <c r="A34" s="66" t="s">
        <v>1258</v>
      </c>
      <c r="B34" s="66"/>
      <c r="C34" s="66" t="s">
        <v>108</v>
      </c>
      <c r="D34" s="66" t="s">
        <v>108</v>
      </c>
      <c r="E34" s="150" t="s">
        <v>1136</v>
      </c>
      <c r="F34" s="482" t="s">
        <v>1566</v>
      </c>
      <c r="G34" s="150" t="s">
        <v>1135</v>
      </c>
      <c r="H34" s="150" t="s">
        <v>1135</v>
      </c>
      <c r="I34" s="150" t="s">
        <v>1135</v>
      </c>
      <c r="J34" s="150" t="s">
        <v>1135</v>
      </c>
      <c r="K34" s="150" t="s">
        <v>1137</v>
      </c>
      <c r="L34" s="511" t="s">
        <v>49</v>
      </c>
      <c r="M34" s="392" t="s">
        <v>1259</v>
      </c>
      <c r="N34" s="343" t="s">
        <v>1206</v>
      </c>
      <c r="O34" s="346" t="s">
        <v>1171</v>
      </c>
      <c r="P34" s="70" t="s">
        <v>109</v>
      </c>
      <c r="Q34" s="346"/>
      <c r="R34" s="346" t="s">
        <v>1260</v>
      </c>
      <c r="S34" s="346"/>
      <c r="T34" s="150" t="s">
        <v>25</v>
      </c>
      <c r="U34" s="150"/>
      <c r="V34" s="403"/>
      <c r="W34" s="406">
        <v>222000</v>
      </c>
      <c r="X34" s="406">
        <v>134302.39999999999</v>
      </c>
      <c r="Y34" s="430"/>
      <c r="Z34" s="137"/>
      <c r="AA34" s="426"/>
      <c r="AB34" s="427">
        <v>72114.23</v>
      </c>
      <c r="AC34" s="427">
        <v>40652.339999999997</v>
      </c>
      <c r="AD34" s="428">
        <v>64472.479999999989</v>
      </c>
      <c r="AE34" s="429">
        <v>-4813.7299999999959</v>
      </c>
      <c r="AF34" s="429">
        <v>-14788.650000000001</v>
      </c>
      <c r="AG34" s="360">
        <v>0</v>
      </c>
      <c r="AH34" s="360">
        <v>0</v>
      </c>
      <c r="AI34" s="360">
        <v>0</v>
      </c>
      <c r="AJ34" s="360">
        <v>0</v>
      </c>
      <c r="AK34" s="360">
        <v>0</v>
      </c>
      <c r="AL34" s="360">
        <v>0</v>
      </c>
      <c r="AM34" s="360">
        <f t="shared" si="0"/>
        <v>157636.67000000001</v>
      </c>
      <c r="AN34" s="362">
        <f>ERP_2[[#This Row],[2026 Working Total]]-ERP_2[[#This Row],[LE2 Final Submission]]</f>
        <v>23334.270000000019</v>
      </c>
      <c r="AO34" s="79">
        <v>33359.4</v>
      </c>
      <c r="AP34" s="79">
        <f t="shared" si="1"/>
        <v>-48148.05</v>
      </c>
      <c r="AQ34" s="374">
        <f>SUM(ERP_2[[#This Row],[AP01]:[AP06]])-SUM(ERP_2[[#This Row],[AP01 LE2]:[AP06 LE2]])</f>
        <v>23334.270000000019</v>
      </c>
      <c r="AR34" s="80"/>
      <c r="AS34" s="79">
        <f>ERP_2[[#This Row],[2026 Working Total to Budget/LE]]-ERP_2[[#This Row],[Giveback]]</f>
        <v>23334.270000000019</v>
      </c>
      <c r="AT34" s="81"/>
      <c r="AU34" s="375"/>
      <c r="AV34" s="375">
        <v>72114.23</v>
      </c>
      <c r="AW34" s="375">
        <v>40652.339999999997</v>
      </c>
      <c r="AX34" s="375">
        <v>-11823.57</v>
      </c>
      <c r="AY34" s="375">
        <v>33359.4</v>
      </c>
      <c r="AZ34" s="375"/>
      <c r="BA34" s="375">
        <v>0</v>
      </c>
      <c r="BB34" s="375">
        <v>0</v>
      </c>
      <c r="BC34" s="375">
        <v>0</v>
      </c>
      <c r="BD34" s="375">
        <v>0</v>
      </c>
      <c r="BE34" s="375">
        <v>0</v>
      </c>
      <c r="BF34" s="375">
        <v>0</v>
      </c>
      <c r="BG34" s="375">
        <v>134302.39999999999</v>
      </c>
      <c r="BH34" s="79"/>
      <c r="BI34" s="79">
        <v>72114.23</v>
      </c>
      <c r="BJ34" s="79">
        <v>40652.339999999997</v>
      </c>
      <c r="BK34" s="79">
        <v>37000</v>
      </c>
      <c r="BL34" s="79">
        <v>37000</v>
      </c>
      <c r="BM34" s="79">
        <v>37000</v>
      </c>
      <c r="BN34" s="79">
        <v>0</v>
      </c>
      <c r="BO34" s="79">
        <v>0</v>
      </c>
      <c r="BP34" s="79">
        <v>0</v>
      </c>
      <c r="BQ34" s="79">
        <v>0</v>
      </c>
      <c r="BR34" s="79">
        <v>0</v>
      </c>
      <c r="BS34" s="79">
        <v>0</v>
      </c>
      <c r="BT34" s="79">
        <v>223766.57</v>
      </c>
    </row>
    <row r="35" spans="1:72" ht="15" hidden="1" customHeight="1">
      <c r="A35" s="66" t="s">
        <v>1261</v>
      </c>
      <c r="B35" s="66"/>
      <c r="C35" s="66" t="s">
        <v>110</v>
      </c>
      <c r="D35" s="66" t="s">
        <v>110</v>
      </c>
      <c r="E35" s="150" t="s">
        <v>1136</v>
      </c>
      <c r="F35" s="482" t="s">
        <v>1566</v>
      </c>
      <c r="G35" s="150" t="s">
        <v>1135</v>
      </c>
      <c r="H35" s="150" t="s">
        <v>1135</v>
      </c>
      <c r="I35" s="150" t="s">
        <v>1135</v>
      </c>
      <c r="J35" s="150" t="s">
        <v>1135</v>
      </c>
      <c r="K35" s="150" t="s">
        <v>1137</v>
      </c>
      <c r="L35" s="511" t="s">
        <v>49</v>
      </c>
      <c r="M35" s="392" t="s">
        <v>1262</v>
      </c>
      <c r="N35" s="343" t="s">
        <v>1263</v>
      </c>
      <c r="O35" s="346" t="s">
        <v>1264</v>
      </c>
      <c r="P35" s="70" t="s">
        <v>111</v>
      </c>
      <c r="Q35" s="346"/>
      <c r="R35" s="346" t="s">
        <v>1265</v>
      </c>
      <c r="S35" s="346"/>
      <c r="T35" s="150" t="s">
        <v>25</v>
      </c>
      <c r="U35" s="150"/>
      <c r="V35" s="403"/>
      <c r="W35" s="406">
        <v>100000</v>
      </c>
      <c r="X35" s="406">
        <v>100000</v>
      </c>
      <c r="Y35" s="425"/>
      <c r="Z35" s="71"/>
      <c r="AA35" s="426"/>
      <c r="AB35" s="427"/>
      <c r="AC35" s="427"/>
      <c r="AD35" s="428" t="s">
        <v>1142</v>
      </c>
      <c r="AE35" s="429">
        <v>0</v>
      </c>
      <c r="AF35" s="429">
        <v>0</v>
      </c>
      <c r="AG35" s="532">
        <v>14286</v>
      </c>
      <c r="AH35" s="532">
        <v>14286</v>
      </c>
      <c r="AI35" s="532">
        <v>14286</v>
      </c>
      <c r="AJ35" s="532">
        <v>14286</v>
      </c>
      <c r="AK35" s="532">
        <v>14286</v>
      </c>
      <c r="AL35" s="532">
        <v>14286</v>
      </c>
      <c r="AM35" s="360">
        <f t="shared" si="0"/>
        <v>85716</v>
      </c>
      <c r="AN35" s="362">
        <f>ERP_2[[#This Row],[2026 Working Total]]-ERP_2[[#This Row],[LE2 Final Submission]]</f>
        <v>-14284</v>
      </c>
      <c r="AO35" s="79">
        <v>11111</v>
      </c>
      <c r="AP35" s="79">
        <f t="shared" si="1"/>
        <v>-11111</v>
      </c>
      <c r="AQ35" s="374">
        <f>SUM(ERP_2[[#This Row],[AP01]:[AP06]])-SUM(ERP_2[[#This Row],[AP01 LE2]:[AP06 LE2]])</f>
        <v>-33333</v>
      </c>
      <c r="AR35" s="80"/>
      <c r="AS35" s="79">
        <f>ERP_2[[#This Row],[2026 Working Total to Budget/LE]]-ERP_2[[#This Row],[Giveback]]</f>
        <v>-14284</v>
      </c>
      <c r="AT35" s="81"/>
      <c r="AU35" s="375"/>
      <c r="AV35" s="375"/>
      <c r="AW35" s="375"/>
      <c r="AX35" s="375">
        <v>11111</v>
      </c>
      <c r="AY35" s="375">
        <v>11111</v>
      </c>
      <c r="AZ35" s="375">
        <v>11111</v>
      </c>
      <c r="BA35" s="375">
        <v>11111</v>
      </c>
      <c r="BB35" s="375">
        <v>11111</v>
      </c>
      <c r="BC35" s="375">
        <v>11111</v>
      </c>
      <c r="BD35" s="375">
        <v>11111</v>
      </c>
      <c r="BE35" s="375">
        <v>11111</v>
      </c>
      <c r="BF35" s="375">
        <v>11112</v>
      </c>
      <c r="BG35" s="375">
        <v>100000</v>
      </c>
      <c r="BH35" s="79"/>
      <c r="BI35" s="79"/>
      <c r="BJ35" s="79"/>
      <c r="BK35" s="79">
        <v>11111</v>
      </c>
      <c r="BL35" s="79">
        <v>11111</v>
      </c>
      <c r="BM35" s="79">
        <v>11111</v>
      </c>
      <c r="BN35" s="79">
        <v>11111</v>
      </c>
      <c r="BO35" s="79">
        <v>11111</v>
      </c>
      <c r="BP35" s="79">
        <v>11111</v>
      </c>
      <c r="BQ35" s="79">
        <v>11111</v>
      </c>
      <c r="BR35" s="79">
        <v>11111</v>
      </c>
      <c r="BS35" s="79">
        <v>11112</v>
      </c>
      <c r="BT35" s="79">
        <v>100000</v>
      </c>
    </row>
    <row r="36" spans="1:72" ht="15" hidden="1" customHeight="1">
      <c r="A36" s="66" t="s">
        <v>1266</v>
      </c>
      <c r="B36" s="66"/>
      <c r="C36" s="66" t="s">
        <v>112</v>
      </c>
      <c r="D36" s="66" t="s">
        <v>1267</v>
      </c>
      <c r="E36" s="150" t="s">
        <v>1136</v>
      </c>
      <c r="F36" s="482" t="s">
        <v>1566</v>
      </c>
      <c r="G36" s="150" t="s">
        <v>1135</v>
      </c>
      <c r="H36" s="150" t="s">
        <v>1165</v>
      </c>
      <c r="I36" s="150" t="s">
        <v>1135</v>
      </c>
      <c r="J36" s="150" t="s">
        <v>1165</v>
      </c>
      <c r="K36" s="150" t="s">
        <v>1137</v>
      </c>
      <c r="L36" s="511" t="s">
        <v>49</v>
      </c>
      <c r="M36" s="392" t="s">
        <v>1268</v>
      </c>
      <c r="N36" s="343"/>
      <c r="O36" s="343"/>
      <c r="P36" s="70" t="s">
        <v>113</v>
      </c>
      <c r="Q36" s="346"/>
      <c r="R36" s="343"/>
      <c r="S36" s="346"/>
      <c r="T36" s="150" t="s">
        <v>114</v>
      </c>
      <c r="U36" s="150"/>
      <c r="V36" s="403"/>
      <c r="W36" s="406">
        <v>39781.000000000015</v>
      </c>
      <c r="X36" s="406">
        <v>37314.43</v>
      </c>
      <c r="Y36" s="425"/>
      <c r="Z36" s="71"/>
      <c r="AA36" s="426">
        <v>3217.02</v>
      </c>
      <c r="AB36" s="427">
        <v>2578.4899999999998</v>
      </c>
      <c r="AC36" s="427">
        <v>2874.84</v>
      </c>
      <c r="AD36" s="428">
        <v>3540.9</v>
      </c>
      <c r="AE36" s="429">
        <v>2797.94</v>
      </c>
      <c r="AF36" s="429">
        <v>2743.02</v>
      </c>
      <c r="AG36" s="363">
        <v>3159</v>
      </c>
      <c r="AH36" s="363">
        <v>3190</v>
      </c>
      <c r="AI36" s="363">
        <v>3150</v>
      </c>
      <c r="AJ36" s="363">
        <v>3150</v>
      </c>
      <c r="AK36" s="363">
        <v>3150</v>
      </c>
      <c r="AL36" s="363">
        <v>3150</v>
      </c>
      <c r="AM36" s="360">
        <f t="shared" si="0"/>
        <v>36701.21</v>
      </c>
      <c r="AN36" s="362">
        <f>ERP_2[[#This Row],[2026 Working Total]]-ERP_2[[#This Row],[LE2 Final Submission]]</f>
        <v>-613.22000000000116</v>
      </c>
      <c r="AO36" s="79">
        <v>3190</v>
      </c>
      <c r="AP36" s="79">
        <f t="shared" si="1"/>
        <v>-446.98</v>
      </c>
      <c r="AQ36" s="374">
        <f>SUM(ERP_2[[#This Row],[AP01]:[AP06]])-SUM(ERP_2[[#This Row],[AP01 LE2]:[AP06 LE2]])</f>
        <v>-613.22000000000116</v>
      </c>
      <c r="AR36" s="80"/>
      <c r="AS36" s="79">
        <f>ERP_2[[#This Row],[2026 Working Total to Budget/LE]]-ERP_2[[#This Row],[Giveback]]</f>
        <v>-613.22000000000116</v>
      </c>
      <c r="AT36" s="81"/>
      <c r="AU36" s="375">
        <v>3217.02</v>
      </c>
      <c r="AV36" s="375">
        <v>2578.4899999999998</v>
      </c>
      <c r="AW36" s="375">
        <v>2874.84</v>
      </c>
      <c r="AX36" s="375">
        <v>3315.08</v>
      </c>
      <c r="AY36" s="375">
        <v>3190</v>
      </c>
      <c r="AZ36" s="375">
        <v>3190</v>
      </c>
      <c r="BA36" s="375">
        <v>3159</v>
      </c>
      <c r="BB36" s="375">
        <v>3190</v>
      </c>
      <c r="BC36" s="375">
        <v>3150</v>
      </c>
      <c r="BD36" s="375">
        <v>3150</v>
      </c>
      <c r="BE36" s="375">
        <v>3150</v>
      </c>
      <c r="BF36" s="375">
        <v>3150</v>
      </c>
      <c r="BG36" s="375">
        <v>37314.43</v>
      </c>
      <c r="BH36" s="79">
        <v>3217.02</v>
      </c>
      <c r="BI36" s="79">
        <v>2578.4899999999998</v>
      </c>
      <c r="BJ36" s="79">
        <v>2874.84</v>
      </c>
      <c r="BK36" s="79">
        <v>3315.08</v>
      </c>
      <c r="BL36" s="79">
        <v>3315.08</v>
      </c>
      <c r="BM36" s="79">
        <v>3315.08</v>
      </c>
      <c r="BN36" s="79">
        <v>3315.08</v>
      </c>
      <c r="BO36" s="79">
        <v>3315.08</v>
      </c>
      <c r="BP36" s="79">
        <v>3315.08</v>
      </c>
      <c r="BQ36" s="79">
        <v>3315.08</v>
      </c>
      <c r="BR36" s="79">
        <v>3315.08</v>
      </c>
      <c r="BS36" s="79">
        <v>3315.12</v>
      </c>
      <c r="BT36" s="79">
        <v>38506.110000000008</v>
      </c>
    </row>
    <row r="37" spans="1:72" ht="15" hidden="1" customHeight="1">
      <c r="A37" s="66" t="s">
        <v>2188</v>
      </c>
      <c r="B37" s="66"/>
      <c r="C37" s="66" t="s">
        <v>626</v>
      </c>
      <c r="D37" s="66" t="s">
        <v>2189</v>
      </c>
      <c r="E37" s="150" t="s">
        <v>1136</v>
      </c>
      <c r="F37" s="482" t="s">
        <v>1566</v>
      </c>
      <c r="G37" s="482" t="s">
        <v>1566</v>
      </c>
      <c r="H37" s="482" t="s">
        <v>1566</v>
      </c>
      <c r="I37" s="150" t="s">
        <v>1345</v>
      </c>
      <c r="J37" s="150" t="s">
        <v>1346</v>
      </c>
      <c r="K37" s="150" t="s">
        <v>1346</v>
      </c>
      <c r="L37" s="511" t="s">
        <v>625</v>
      </c>
      <c r="M37" s="392" t="s">
        <v>611</v>
      </c>
      <c r="N37" s="343"/>
      <c r="O37" s="343"/>
      <c r="P37" s="70" t="s">
        <v>610</v>
      </c>
      <c r="Q37" s="346"/>
      <c r="R37" s="343"/>
      <c r="S37" s="346"/>
      <c r="T37" s="150" t="s">
        <v>611</v>
      </c>
      <c r="U37" s="150"/>
      <c r="V37" s="403"/>
      <c r="W37" s="406">
        <v>0</v>
      </c>
      <c r="X37" s="406">
        <v>20.21</v>
      </c>
      <c r="Y37" s="430"/>
      <c r="Z37" s="137"/>
      <c r="AA37" s="426">
        <v>16.29</v>
      </c>
      <c r="AB37" s="431">
        <v>0</v>
      </c>
      <c r="AC37" s="427">
        <v>3.92</v>
      </c>
      <c r="AD37" s="428" t="s">
        <v>1142</v>
      </c>
      <c r="AE37" s="429">
        <v>0</v>
      </c>
      <c r="AF37" s="429">
        <v>0</v>
      </c>
      <c r="AG37" s="360">
        <v>0</v>
      </c>
      <c r="AH37" s="360">
        <v>0</v>
      </c>
      <c r="AI37" s="360">
        <v>0</v>
      </c>
      <c r="AJ37" s="360">
        <v>0</v>
      </c>
      <c r="AK37" s="360">
        <v>0</v>
      </c>
      <c r="AL37" s="360">
        <v>0</v>
      </c>
      <c r="AM37" s="360">
        <f t="shared" si="0"/>
        <v>20.21</v>
      </c>
      <c r="AN37" s="362">
        <f>ERP_2[[#This Row],[2026 Working Total]]-ERP_2[[#This Row],[LE2 Final Submission]]</f>
        <v>0</v>
      </c>
      <c r="AO37" s="79">
        <v>0</v>
      </c>
      <c r="AP37" s="79">
        <f t="shared" si="1"/>
        <v>0</v>
      </c>
      <c r="AQ37" s="374">
        <f>SUM(ERP_2[[#This Row],[AP01]:[AP06]])-SUM(ERP_2[[#This Row],[AP01 LE2]:[AP06 LE2]])</f>
        <v>0</v>
      </c>
      <c r="AR37" s="80"/>
      <c r="AS37" s="79">
        <f>ERP_2[[#This Row],[2026 Working Total to Budget/LE]]-ERP_2[[#This Row],[Giveback]]</f>
        <v>0</v>
      </c>
      <c r="AT37" s="81"/>
      <c r="AU37" s="375">
        <v>16.29</v>
      </c>
      <c r="AV37" s="375">
        <v>0</v>
      </c>
      <c r="AW37" s="375">
        <v>3.92</v>
      </c>
      <c r="AX37" s="375">
        <v>0</v>
      </c>
      <c r="AY37" s="375">
        <v>0</v>
      </c>
      <c r="AZ37" s="375">
        <v>0</v>
      </c>
      <c r="BA37" s="375">
        <v>0</v>
      </c>
      <c r="BB37" s="375">
        <v>0</v>
      </c>
      <c r="BC37" s="375">
        <v>0</v>
      </c>
      <c r="BD37" s="375">
        <v>0</v>
      </c>
      <c r="BE37" s="375">
        <v>0</v>
      </c>
      <c r="BF37" s="375">
        <v>0</v>
      </c>
      <c r="BG37" s="375">
        <v>20.21</v>
      </c>
      <c r="BH37" s="79">
        <v>16.29</v>
      </c>
      <c r="BI37" s="79">
        <v>0</v>
      </c>
      <c r="BJ37" s="79">
        <v>3.92</v>
      </c>
      <c r="BK37" s="79">
        <v>0</v>
      </c>
      <c r="BL37" s="79">
        <v>0</v>
      </c>
      <c r="BM37" s="79">
        <v>0</v>
      </c>
      <c r="BN37" s="79">
        <v>0</v>
      </c>
      <c r="BO37" s="79">
        <v>0</v>
      </c>
      <c r="BP37" s="79">
        <v>0</v>
      </c>
      <c r="BQ37" s="79">
        <v>0</v>
      </c>
      <c r="BR37" s="79">
        <v>0</v>
      </c>
      <c r="BS37" s="79">
        <v>0</v>
      </c>
      <c r="BT37" s="79">
        <v>20.21</v>
      </c>
    </row>
    <row r="38" spans="1:72" ht="15" hidden="1" customHeight="1">
      <c r="A38" s="66" t="s">
        <v>1273</v>
      </c>
      <c r="B38" s="66"/>
      <c r="C38" s="66" t="s">
        <v>115</v>
      </c>
      <c r="D38" s="66" t="s">
        <v>1274</v>
      </c>
      <c r="E38" s="150" t="s">
        <v>1136</v>
      </c>
      <c r="F38" s="482" t="s">
        <v>1566</v>
      </c>
      <c r="G38" s="150" t="s">
        <v>1135</v>
      </c>
      <c r="H38" s="150" t="s">
        <v>1145</v>
      </c>
      <c r="I38" s="150" t="s">
        <v>1135</v>
      </c>
      <c r="J38" s="150" t="s">
        <v>1145</v>
      </c>
      <c r="K38" s="150" t="s">
        <v>1137</v>
      </c>
      <c r="L38" s="511" t="s">
        <v>49</v>
      </c>
      <c r="M38" s="392" t="s">
        <v>1275</v>
      </c>
      <c r="N38" s="343"/>
      <c r="O38" s="346" t="s">
        <v>1152</v>
      </c>
      <c r="P38" s="70" t="s">
        <v>116</v>
      </c>
      <c r="Q38" s="346"/>
      <c r="R38" s="346" t="s">
        <v>1187</v>
      </c>
      <c r="S38" s="346"/>
      <c r="T38" s="150" t="s">
        <v>67</v>
      </c>
      <c r="U38" s="150" t="s">
        <v>1276</v>
      </c>
      <c r="V38" s="403"/>
      <c r="W38" s="406">
        <v>948000</v>
      </c>
      <c r="X38" s="406">
        <v>948000.73</v>
      </c>
      <c r="Y38" s="425"/>
      <c r="Z38" s="71"/>
      <c r="AA38" s="426">
        <v>59013</v>
      </c>
      <c r="AB38" s="427">
        <v>227334.86</v>
      </c>
      <c r="AC38" s="427">
        <v>185217.87</v>
      </c>
      <c r="AD38" s="428" t="s">
        <v>1142</v>
      </c>
      <c r="AE38" s="429">
        <v>0</v>
      </c>
      <c r="AF38" s="429">
        <v>0</v>
      </c>
      <c r="AG38" s="363">
        <v>79161</v>
      </c>
      <c r="AH38" s="363">
        <v>79161</v>
      </c>
      <c r="AI38" s="363">
        <v>79161</v>
      </c>
      <c r="AJ38" s="363">
        <v>79161</v>
      </c>
      <c r="AK38" s="363">
        <v>79161</v>
      </c>
      <c r="AL38" s="363">
        <f>79161+1469</f>
        <v>80630</v>
      </c>
      <c r="AM38" s="360">
        <f t="shared" si="0"/>
        <v>948000.73</v>
      </c>
      <c r="AN38" s="362">
        <f>ERP_2[[#This Row],[2026 Working Total]]-ERP_2[[#This Row],[LE2 Final Submission]]</f>
        <v>0</v>
      </c>
      <c r="AO38" s="79">
        <v>29653</v>
      </c>
      <c r="AP38" s="79">
        <f t="shared" si="1"/>
        <v>-29653</v>
      </c>
      <c r="AQ38" s="374">
        <f>SUM(ERP_2[[#This Row],[AP01]:[AP06]])-SUM(ERP_2[[#This Row],[AP01 LE2]:[AP06 LE2]])</f>
        <v>-108653</v>
      </c>
      <c r="AR38" s="80"/>
      <c r="AS38" s="79">
        <f>ERP_2[[#This Row],[2026 Working Total to Budget/LE]]-ERP_2[[#This Row],[Giveback]]</f>
        <v>0</v>
      </c>
      <c r="AT38" s="81"/>
      <c r="AU38" s="375">
        <v>59013</v>
      </c>
      <c r="AV38" s="375">
        <v>227334.86</v>
      </c>
      <c r="AW38" s="375">
        <v>185217.87</v>
      </c>
      <c r="AX38" s="375">
        <v>79000</v>
      </c>
      <c r="AY38" s="375">
        <v>29653</v>
      </c>
      <c r="AZ38" s="375">
        <v>0</v>
      </c>
      <c r="BA38" s="375">
        <v>61297</v>
      </c>
      <c r="BB38" s="375">
        <v>61297</v>
      </c>
      <c r="BC38" s="375">
        <v>61297</v>
      </c>
      <c r="BD38" s="375">
        <v>61297</v>
      </c>
      <c r="BE38" s="375">
        <v>61297</v>
      </c>
      <c r="BF38" s="375">
        <v>61297</v>
      </c>
      <c r="BG38" s="375">
        <v>948000.73</v>
      </c>
      <c r="BH38" s="79">
        <v>59013</v>
      </c>
      <c r="BI38" s="79">
        <v>227334.86</v>
      </c>
      <c r="BJ38" s="79">
        <v>185217.87</v>
      </c>
      <c r="BK38" s="79">
        <v>79000</v>
      </c>
      <c r="BL38" s="79">
        <v>29653</v>
      </c>
      <c r="BM38" s="79">
        <v>0</v>
      </c>
      <c r="BN38" s="79">
        <v>79000</v>
      </c>
      <c r="BO38" s="79">
        <v>79000</v>
      </c>
      <c r="BP38" s="79">
        <v>79000</v>
      </c>
      <c r="BQ38" s="79">
        <v>79000</v>
      </c>
      <c r="BR38" s="79">
        <v>79000</v>
      </c>
      <c r="BS38" s="79">
        <v>79000</v>
      </c>
      <c r="BT38" s="79">
        <v>1054218.73</v>
      </c>
    </row>
    <row r="39" spans="1:72" ht="15" hidden="1" customHeight="1">
      <c r="A39" s="66" t="s">
        <v>2837</v>
      </c>
      <c r="B39" s="66"/>
      <c r="C39" s="66" t="s">
        <v>1033</v>
      </c>
      <c r="D39" s="66" t="s">
        <v>2838</v>
      </c>
      <c r="E39" s="150" t="s">
        <v>1136</v>
      </c>
      <c r="F39" s="482" t="s">
        <v>1566</v>
      </c>
      <c r="G39" s="482" t="s">
        <v>1566</v>
      </c>
      <c r="H39" s="482" t="s">
        <v>1566</v>
      </c>
      <c r="I39" s="150" t="s">
        <v>1345</v>
      </c>
      <c r="J39" s="150" t="s">
        <v>1346</v>
      </c>
      <c r="K39" s="150" t="s">
        <v>1346</v>
      </c>
      <c r="L39" s="511" t="s">
        <v>1027</v>
      </c>
      <c r="M39" s="392" t="s">
        <v>1648</v>
      </c>
      <c r="N39" s="343"/>
      <c r="O39" s="343"/>
      <c r="P39" s="70" t="s">
        <v>636</v>
      </c>
      <c r="Q39" s="346"/>
      <c r="R39" s="343"/>
      <c r="S39" s="346"/>
      <c r="T39" s="150" t="s">
        <v>25</v>
      </c>
      <c r="U39" s="150"/>
      <c r="V39" s="403"/>
      <c r="W39" s="406">
        <v>0</v>
      </c>
      <c r="X39" s="406">
        <v>11.32</v>
      </c>
      <c r="Y39" s="425"/>
      <c r="Z39" s="71"/>
      <c r="AA39" s="426"/>
      <c r="AB39" s="427">
        <v>11.32</v>
      </c>
      <c r="AC39" s="431">
        <v>0</v>
      </c>
      <c r="AD39" s="428" t="s">
        <v>1142</v>
      </c>
      <c r="AE39" s="429">
        <v>0</v>
      </c>
      <c r="AF39" s="429">
        <v>0</v>
      </c>
      <c r="AG39" s="360">
        <v>0</v>
      </c>
      <c r="AH39" s="360">
        <v>0</v>
      </c>
      <c r="AI39" s="360">
        <v>0</v>
      </c>
      <c r="AJ39" s="360">
        <v>0</v>
      </c>
      <c r="AK39" s="360">
        <v>0</v>
      </c>
      <c r="AL39" s="360">
        <v>0</v>
      </c>
      <c r="AM39" s="360">
        <f t="shared" si="0"/>
        <v>11.32</v>
      </c>
      <c r="AN39" s="362">
        <f>ERP_2[[#This Row],[2026 Working Total]]-ERP_2[[#This Row],[LE2 Final Submission]]</f>
        <v>0</v>
      </c>
      <c r="AO39" s="79">
        <v>0</v>
      </c>
      <c r="AP39" s="79">
        <f t="shared" si="1"/>
        <v>0</v>
      </c>
      <c r="AQ39" s="374">
        <f>SUM(ERP_2[[#This Row],[AP01]:[AP06]])-SUM(ERP_2[[#This Row],[AP01 LE2]:[AP06 LE2]])</f>
        <v>0</v>
      </c>
      <c r="AR39" s="80"/>
      <c r="AS39" s="79">
        <f>ERP_2[[#This Row],[2026 Working Total to Budget/LE]]-ERP_2[[#This Row],[Giveback]]</f>
        <v>0</v>
      </c>
      <c r="AT39" s="81"/>
      <c r="AU39" s="375"/>
      <c r="AV39" s="375">
        <v>11.32</v>
      </c>
      <c r="AW39" s="375">
        <v>0</v>
      </c>
      <c r="AX39" s="375">
        <v>0</v>
      </c>
      <c r="AY39" s="375">
        <v>0</v>
      </c>
      <c r="AZ39" s="375">
        <v>0</v>
      </c>
      <c r="BA39" s="375">
        <v>0</v>
      </c>
      <c r="BB39" s="375">
        <v>0</v>
      </c>
      <c r="BC39" s="375">
        <v>0</v>
      </c>
      <c r="BD39" s="375">
        <v>0</v>
      </c>
      <c r="BE39" s="375">
        <v>0</v>
      </c>
      <c r="BF39" s="375">
        <v>0</v>
      </c>
      <c r="BG39" s="375">
        <v>11.32</v>
      </c>
      <c r="BH39" s="79"/>
      <c r="BI39" s="79">
        <v>11.32</v>
      </c>
      <c r="BJ39" s="79">
        <v>0</v>
      </c>
      <c r="BK39" s="79">
        <v>0</v>
      </c>
      <c r="BL39" s="79">
        <v>0</v>
      </c>
      <c r="BM39" s="79">
        <v>0</v>
      </c>
      <c r="BN39" s="79">
        <v>0</v>
      </c>
      <c r="BO39" s="79">
        <v>0</v>
      </c>
      <c r="BP39" s="79">
        <v>0</v>
      </c>
      <c r="BQ39" s="79">
        <v>0</v>
      </c>
      <c r="BR39" s="79">
        <v>0</v>
      </c>
      <c r="BS39" s="79">
        <v>0</v>
      </c>
      <c r="BT39" s="79">
        <v>11.32</v>
      </c>
    </row>
    <row r="40" spans="1:72" ht="15" hidden="1" customHeight="1">
      <c r="A40" s="66" t="s">
        <v>1277</v>
      </c>
      <c r="B40" s="66"/>
      <c r="C40" s="66" t="s">
        <v>117</v>
      </c>
      <c r="D40" s="66" t="s">
        <v>117</v>
      </c>
      <c r="E40" s="150" t="s">
        <v>1136</v>
      </c>
      <c r="F40" s="482" t="s">
        <v>1566</v>
      </c>
      <c r="G40" s="150" t="s">
        <v>1135</v>
      </c>
      <c r="H40" s="150" t="s">
        <v>1135</v>
      </c>
      <c r="I40" s="150" t="s">
        <v>1135</v>
      </c>
      <c r="J40" s="150" t="s">
        <v>1135</v>
      </c>
      <c r="K40" s="150" t="s">
        <v>1137</v>
      </c>
      <c r="L40" s="511" t="s">
        <v>49</v>
      </c>
      <c r="M40" s="392" t="s">
        <v>1278</v>
      </c>
      <c r="N40" s="343"/>
      <c r="O40" s="343"/>
      <c r="P40" s="70" t="s">
        <v>118</v>
      </c>
      <c r="Q40" s="346"/>
      <c r="R40" s="346" t="s">
        <v>1221</v>
      </c>
      <c r="S40" s="346"/>
      <c r="T40" s="150" t="s">
        <v>119</v>
      </c>
      <c r="U40" s="150"/>
      <c r="V40" s="403"/>
      <c r="W40" s="406">
        <v>71440</v>
      </c>
      <c r="X40" s="406">
        <v>71440</v>
      </c>
      <c r="Y40" s="425"/>
      <c r="Z40" s="71"/>
      <c r="AA40" s="426"/>
      <c r="AB40" s="427"/>
      <c r="AC40" s="427"/>
      <c r="AD40" s="428" t="s">
        <v>1142</v>
      </c>
      <c r="AE40" s="429">
        <v>0</v>
      </c>
      <c r="AF40" s="429">
        <v>0</v>
      </c>
      <c r="AG40" s="363"/>
      <c r="AH40" s="363">
        <v>71440</v>
      </c>
      <c r="AI40" s="360">
        <v>0</v>
      </c>
      <c r="AJ40" s="360">
        <v>0</v>
      </c>
      <c r="AK40" s="360">
        <v>0</v>
      </c>
      <c r="AL40" s="360">
        <v>0</v>
      </c>
      <c r="AM40" s="360">
        <f t="shared" si="0"/>
        <v>71440</v>
      </c>
      <c r="AN40" s="362">
        <f>ERP_2[[#This Row],[2026 Working Total]]-ERP_2[[#This Row],[LE2 Final Submission]]</f>
        <v>0</v>
      </c>
      <c r="AO40" s="79"/>
      <c r="AP40" s="79">
        <f t="shared" si="1"/>
        <v>0</v>
      </c>
      <c r="AQ40" s="374">
        <f>SUM(ERP_2[[#This Row],[AP01]:[AP06]])-SUM(ERP_2[[#This Row],[AP01 LE2]:[AP06 LE2]])</f>
        <v>0</v>
      </c>
      <c r="AR40" s="80"/>
      <c r="AS40" s="79">
        <f>ERP_2[[#This Row],[2026 Working Total to Budget/LE]]-ERP_2[[#This Row],[Giveback]]</f>
        <v>0</v>
      </c>
      <c r="AT40" s="81"/>
      <c r="AU40" s="375"/>
      <c r="AV40" s="375"/>
      <c r="AW40" s="375"/>
      <c r="AX40" s="375"/>
      <c r="AY40" s="375"/>
      <c r="AZ40" s="375"/>
      <c r="BA40" s="375"/>
      <c r="BB40" s="375">
        <v>71440</v>
      </c>
      <c r="BC40" s="375">
        <v>0</v>
      </c>
      <c r="BD40" s="375">
        <v>0</v>
      </c>
      <c r="BE40" s="375">
        <v>0</v>
      </c>
      <c r="BF40" s="375">
        <v>0</v>
      </c>
      <c r="BG40" s="375">
        <v>71440</v>
      </c>
      <c r="BH40" s="79"/>
      <c r="BI40" s="79"/>
      <c r="BJ40" s="79"/>
      <c r="BK40" s="79"/>
      <c r="BL40" s="79"/>
      <c r="BM40" s="79"/>
      <c r="BN40" s="79"/>
      <c r="BO40" s="79">
        <v>71440</v>
      </c>
      <c r="BP40" s="79">
        <v>0</v>
      </c>
      <c r="BQ40" s="79">
        <v>0</v>
      </c>
      <c r="BR40" s="79">
        <v>0</v>
      </c>
      <c r="BS40" s="79">
        <v>0</v>
      </c>
      <c r="BT40" s="79">
        <v>71440</v>
      </c>
    </row>
    <row r="41" spans="1:72" ht="15" hidden="1" customHeight="1">
      <c r="A41" s="66" t="s">
        <v>2190</v>
      </c>
      <c r="B41" s="66"/>
      <c r="C41" s="66" t="s">
        <v>627</v>
      </c>
      <c r="D41" s="66" t="s">
        <v>2191</v>
      </c>
      <c r="E41" s="150" t="s">
        <v>1136</v>
      </c>
      <c r="F41" s="482" t="s">
        <v>1566</v>
      </c>
      <c r="G41" s="482" t="s">
        <v>1566</v>
      </c>
      <c r="H41" s="482" t="s">
        <v>1566</v>
      </c>
      <c r="I41" s="150" t="s">
        <v>1345</v>
      </c>
      <c r="J41" s="150" t="s">
        <v>1346</v>
      </c>
      <c r="K41" s="150" t="s">
        <v>1346</v>
      </c>
      <c r="L41" s="511" t="s">
        <v>625</v>
      </c>
      <c r="M41" s="392" t="s">
        <v>1648</v>
      </c>
      <c r="N41" s="343"/>
      <c r="O41" s="343"/>
      <c r="P41" s="70" t="s">
        <v>323</v>
      </c>
      <c r="Q41" s="346"/>
      <c r="R41" s="343"/>
      <c r="S41" s="346"/>
      <c r="T41" s="150" t="s">
        <v>25</v>
      </c>
      <c r="U41" s="150"/>
      <c r="V41" s="403"/>
      <c r="W41" s="406">
        <v>0</v>
      </c>
      <c r="X41" s="406">
        <v>3.5</v>
      </c>
      <c r="Y41" s="425"/>
      <c r="Z41" s="71"/>
      <c r="AA41" s="426"/>
      <c r="AB41" s="427">
        <v>3.5</v>
      </c>
      <c r="AC41" s="431">
        <v>0</v>
      </c>
      <c r="AD41" s="428" t="s">
        <v>1142</v>
      </c>
      <c r="AE41" s="429">
        <v>0</v>
      </c>
      <c r="AF41" s="429">
        <v>0</v>
      </c>
      <c r="AG41" s="360">
        <v>0</v>
      </c>
      <c r="AH41" s="360">
        <v>0</v>
      </c>
      <c r="AI41" s="360">
        <v>0</v>
      </c>
      <c r="AJ41" s="360">
        <v>0</v>
      </c>
      <c r="AK41" s="360">
        <v>0</v>
      </c>
      <c r="AL41" s="360">
        <v>0</v>
      </c>
      <c r="AM41" s="360">
        <f t="shared" si="0"/>
        <v>3.5</v>
      </c>
      <c r="AN41" s="362">
        <f>ERP_2[[#This Row],[2026 Working Total]]-ERP_2[[#This Row],[LE2 Final Submission]]</f>
        <v>0</v>
      </c>
      <c r="AO41" s="79">
        <v>0</v>
      </c>
      <c r="AP41" s="79">
        <f t="shared" si="1"/>
        <v>0</v>
      </c>
      <c r="AQ41" s="374">
        <f>SUM(ERP_2[[#This Row],[AP01]:[AP06]])-SUM(ERP_2[[#This Row],[AP01 LE2]:[AP06 LE2]])</f>
        <v>0</v>
      </c>
      <c r="AR41" s="80"/>
      <c r="AS41" s="79">
        <f>ERP_2[[#This Row],[2026 Working Total to Budget/LE]]-ERP_2[[#This Row],[Giveback]]</f>
        <v>0</v>
      </c>
      <c r="AT41" s="81"/>
      <c r="AU41" s="375"/>
      <c r="AV41" s="375">
        <v>3.5</v>
      </c>
      <c r="AW41" s="375">
        <v>0</v>
      </c>
      <c r="AX41" s="375">
        <v>0</v>
      </c>
      <c r="AY41" s="375">
        <v>0</v>
      </c>
      <c r="AZ41" s="375">
        <v>0</v>
      </c>
      <c r="BA41" s="375">
        <v>0</v>
      </c>
      <c r="BB41" s="375">
        <v>0</v>
      </c>
      <c r="BC41" s="375">
        <v>0</v>
      </c>
      <c r="BD41" s="375">
        <v>0</v>
      </c>
      <c r="BE41" s="375">
        <v>0</v>
      </c>
      <c r="BF41" s="375">
        <v>0</v>
      </c>
      <c r="BG41" s="375">
        <v>3.5</v>
      </c>
      <c r="BH41" s="79"/>
      <c r="BI41" s="79">
        <v>3.5</v>
      </c>
      <c r="BJ41" s="79">
        <v>0</v>
      </c>
      <c r="BK41" s="79">
        <v>0</v>
      </c>
      <c r="BL41" s="79">
        <v>0</v>
      </c>
      <c r="BM41" s="79">
        <v>0</v>
      </c>
      <c r="BN41" s="79">
        <v>0</v>
      </c>
      <c r="BO41" s="79">
        <v>0</v>
      </c>
      <c r="BP41" s="79">
        <v>0</v>
      </c>
      <c r="BQ41" s="79">
        <v>0</v>
      </c>
      <c r="BR41" s="79">
        <v>0</v>
      </c>
      <c r="BS41" s="79">
        <v>0</v>
      </c>
      <c r="BT41" s="79">
        <v>3.5</v>
      </c>
    </row>
    <row r="42" spans="1:72" ht="15" hidden="1" customHeight="1">
      <c r="A42" s="79" t="s">
        <v>1321</v>
      </c>
      <c r="B42" s="79"/>
      <c r="C42" s="79" t="s">
        <v>123</v>
      </c>
      <c r="D42" s="296" t="s">
        <v>1322</v>
      </c>
      <c r="E42" s="332" t="s">
        <v>1136</v>
      </c>
      <c r="F42" s="482" t="s">
        <v>1566</v>
      </c>
      <c r="G42" s="150" t="s">
        <v>1135</v>
      </c>
      <c r="H42" s="332" t="s">
        <v>1165</v>
      </c>
      <c r="I42" s="332" t="s">
        <v>1135</v>
      </c>
      <c r="J42" s="332" t="s">
        <v>1165</v>
      </c>
      <c r="K42" s="333" t="s">
        <v>1165</v>
      </c>
      <c r="L42" s="514" t="s">
        <v>49</v>
      </c>
      <c r="M42" s="394" t="s">
        <v>1323</v>
      </c>
      <c r="N42" s="333" t="s">
        <v>1324</v>
      </c>
      <c r="O42" s="333">
        <v>2321403</v>
      </c>
      <c r="P42" s="90" t="s">
        <v>124</v>
      </c>
      <c r="Q42" s="347"/>
      <c r="R42">
        <v>9501275938</v>
      </c>
      <c r="S42" s="348"/>
      <c r="T42" s="348"/>
      <c r="U42" s="348"/>
      <c r="V42" s="402"/>
      <c r="W42" s="358"/>
      <c r="X42" s="379"/>
      <c r="Y42" s="425"/>
      <c r="Z42" s="71"/>
      <c r="AA42" s="435"/>
      <c r="AB42" s="436"/>
      <c r="AC42" s="436"/>
      <c r="AD42" s="429"/>
      <c r="AE42" s="429"/>
      <c r="AF42" s="429"/>
      <c r="AG42" s="363">
        <v>9500</v>
      </c>
      <c r="AH42" s="363">
        <v>10125</v>
      </c>
      <c r="AI42" s="363">
        <v>9500</v>
      </c>
      <c r="AJ42" s="363">
        <v>9500</v>
      </c>
      <c r="AK42" s="363">
        <v>10125</v>
      </c>
      <c r="AL42" s="363">
        <v>10125</v>
      </c>
      <c r="AM42" s="360">
        <f t="shared" si="0"/>
        <v>58875</v>
      </c>
      <c r="AN42" s="362">
        <f>ERP_2[[#This Row],[2026 Working Total]]-ERP_2[[#This Row],[LE2 Final Submission]]</f>
        <v>58875</v>
      </c>
      <c r="AO42" s="79"/>
      <c r="AP42" s="79">
        <f t="shared" si="1"/>
        <v>0</v>
      </c>
      <c r="AQ42" s="391">
        <f>SUM(ERP_2[[#This Row],[AP01]:[AP06]])-SUM(ERP_2[[#This Row],[AP01 LE2]:[AP06 LE2]])</f>
        <v>0</v>
      </c>
      <c r="AR42" s="80"/>
      <c r="AS42" s="79">
        <f>ERP_2[[#This Row],[2026 Working Total to Budget/LE]]-ERP_2[[#This Row],[Giveback]]</f>
        <v>58875</v>
      </c>
      <c r="AT42" s="81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</row>
    <row r="43" spans="1:72" ht="15" hidden="1" customHeight="1">
      <c r="A43" s="66" t="s">
        <v>2857</v>
      </c>
      <c r="B43" s="66"/>
      <c r="C43" s="66" t="s">
        <v>1046</v>
      </c>
      <c r="D43" s="66" t="s">
        <v>2858</v>
      </c>
      <c r="E43" s="150" t="s">
        <v>1136</v>
      </c>
      <c r="F43" s="482" t="s">
        <v>1566</v>
      </c>
      <c r="G43" s="482" t="s">
        <v>1566</v>
      </c>
      <c r="H43" s="482" t="s">
        <v>1566</v>
      </c>
      <c r="I43" s="150" t="s">
        <v>1345</v>
      </c>
      <c r="J43" s="150" t="s">
        <v>1346</v>
      </c>
      <c r="K43" s="150" t="s">
        <v>1346</v>
      </c>
      <c r="L43" s="511" t="s">
        <v>1037</v>
      </c>
      <c r="M43" s="392" t="s">
        <v>1648</v>
      </c>
      <c r="N43" s="343"/>
      <c r="O43" s="343"/>
      <c r="P43" s="70" t="s">
        <v>323</v>
      </c>
      <c r="Q43" s="346"/>
      <c r="R43" s="343"/>
      <c r="S43" s="346"/>
      <c r="T43" s="150" t="s">
        <v>25</v>
      </c>
      <c r="U43" s="150"/>
      <c r="V43" s="403"/>
      <c r="W43" s="406">
        <v>0</v>
      </c>
      <c r="X43" s="406">
        <v>64.67</v>
      </c>
      <c r="Y43" s="430"/>
      <c r="Z43" s="137"/>
      <c r="AA43" s="426"/>
      <c r="AB43" s="427">
        <v>64.67</v>
      </c>
      <c r="AC43" s="431">
        <v>0</v>
      </c>
      <c r="AD43" s="428" t="s">
        <v>1142</v>
      </c>
      <c r="AE43" s="429">
        <v>0</v>
      </c>
      <c r="AF43" s="429">
        <v>0</v>
      </c>
      <c r="AG43" s="360">
        <v>0</v>
      </c>
      <c r="AH43" s="360">
        <v>0</v>
      </c>
      <c r="AI43" s="360">
        <v>0</v>
      </c>
      <c r="AJ43" s="360">
        <v>0</v>
      </c>
      <c r="AK43" s="360">
        <v>0</v>
      </c>
      <c r="AL43" s="360">
        <v>0</v>
      </c>
      <c r="AM43" s="360">
        <f t="shared" si="0"/>
        <v>64.67</v>
      </c>
      <c r="AN43" s="362">
        <f>ERP_2[[#This Row],[2026 Working Total]]-ERP_2[[#This Row],[LE2 Final Submission]]</f>
        <v>0</v>
      </c>
      <c r="AO43" s="79">
        <v>0</v>
      </c>
      <c r="AP43" s="79">
        <f t="shared" si="1"/>
        <v>0</v>
      </c>
      <c r="AQ43" s="374">
        <f>SUM(ERP_2[[#This Row],[AP01]:[AP06]])-SUM(ERP_2[[#This Row],[AP01 LE2]:[AP06 LE2]])</f>
        <v>0</v>
      </c>
      <c r="AR43" s="80"/>
      <c r="AS43" s="79">
        <f>ERP_2[[#This Row],[2026 Working Total to Budget/LE]]-ERP_2[[#This Row],[Giveback]]</f>
        <v>0</v>
      </c>
      <c r="AT43" s="81"/>
      <c r="AU43" s="375"/>
      <c r="AV43" s="375">
        <v>64.67</v>
      </c>
      <c r="AW43" s="375">
        <v>0</v>
      </c>
      <c r="AX43" s="375">
        <v>0</v>
      </c>
      <c r="AY43" s="375">
        <v>0</v>
      </c>
      <c r="AZ43" s="375">
        <v>0</v>
      </c>
      <c r="BA43" s="375">
        <v>0</v>
      </c>
      <c r="BB43" s="375">
        <v>0</v>
      </c>
      <c r="BC43" s="375">
        <v>0</v>
      </c>
      <c r="BD43" s="375">
        <v>0</v>
      </c>
      <c r="BE43" s="375">
        <v>0</v>
      </c>
      <c r="BF43" s="375">
        <v>0</v>
      </c>
      <c r="BG43" s="375">
        <v>64.67</v>
      </c>
      <c r="BH43" s="79"/>
      <c r="BI43" s="79">
        <v>64.67</v>
      </c>
      <c r="BJ43" s="79">
        <v>0</v>
      </c>
      <c r="BK43" s="79">
        <v>0</v>
      </c>
      <c r="BL43" s="79">
        <v>0</v>
      </c>
      <c r="BM43" s="79">
        <v>0</v>
      </c>
      <c r="BN43" s="79">
        <v>0</v>
      </c>
      <c r="BO43" s="79">
        <v>0</v>
      </c>
      <c r="BP43" s="79">
        <v>0</v>
      </c>
      <c r="BQ43" s="79">
        <v>0</v>
      </c>
      <c r="BR43" s="79">
        <v>0</v>
      </c>
      <c r="BS43" s="79">
        <v>0</v>
      </c>
      <c r="BT43" s="79">
        <v>64.67</v>
      </c>
    </row>
    <row r="44" spans="1:72" ht="15" hidden="1" customHeight="1">
      <c r="A44" s="66" t="s">
        <v>1285</v>
      </c>
      <c r="B44" s="66"/>
      <c r="C44" s="66" t="s">
        <v>125</v>
      </c>
      <c r="D44" s="66" t="s">
        <v>1286</v>
      </c>
      <c r="E44" s="150" t="s">
        <v>1136</v>
      </c>
      <c r="F44" s="482" t="s">
        <v>1566</v>
      </c>
      <c r="G44" s="150" t="s">
        <v>1135</v>
      </c>
      <c r="H44" s="150" t="s">
        <v>1145</v>
      </c>
      <c r="I44" s="150" t="s">
        <v>1135</v>
      </c>
      <c r="J44" s="150" t="s">
        <v>1145</v>
      </c>
      <c r="K44" s="150" t="s">
        <v>1137</v>
      </c>
      <c r="L44" s="511" t="s">
        <v>49</v>
      </c>
      <c r="M44" s="392" t="s">
        <v>1287</v>
      </c>
      <c r="N44" s="343"/>
      <c r="O44" s="343"/>
      <c r="P44" s="157" t="s">
        <v>126</v>
      </c>
      <c r="Q44" s="346"/>
      <c r="R44" s="343"/>
      <c r="S44" s="346"/>
      <c r="T44" s="150" t="s">
        <v>127</v>
      </c>
      <c r="U44" s="150"/>
      <c r="V44" s="403"/>
      <c r="W44" s="406">
        <v>115200</v>
      </c>
      <c r="X44" s="406">
        <v>89600</v>
      </c>
      <c r="Y44" s="425"/>
      <c r="Z44" s="71"/>
      <c r="AA44" s="426"/>
      <c r="AB44" s="427"/>
      <c r="AC44" s="427"/>
      <c r="AD44" s="428">
        <v>0</v>
      </c>
      <c r="AE44" s="429">
        <v>0</v>
      </c>
      <c r="AF44" s="429">
        <v>0</v>
      </c>
      <c r="AG44" s="363">
        <f>12800+3600</f>
        <v>16400</v>
      </c>
      <c r="AH44" s="363">
        <f>12800+3600</f>
        <v>16400</v>
      </c>
      <c r="AI44" s="363">
        <v>12800</v>
      </c>
      <c r="AJ44" s="363">
        <v>12800</v>
      </c>
      <c r="AK44" s="363">
        <v>12800</v>
      </c>
      <c r="AL44" s="363">
        <v>12800</v>
      </c>
      <c r="AM44" s="360">
        <f t="shared" si="0"/>
        <v>84000</v>
      </c>
      <c r="AN44" s="362">
        <f>ERP_2[[#This Row],[2026 Working Total]]-ERP_2[[#This Row],[LE2 Final Submission]]</f>
        <v>-5600</v>
      </c>
      <c r="AO44" s="79">
        <v>0</v>
      </c>
      <c r="AP44" s="79">
        <f t="shared" si="1"/>
        <v>0</v>
      </c>
      <c r="AQ44" s="374">
        <f>SUM(ERP_2[[#This Row],[AP01]:[AP06]])-SUM(ERP_2[[#This Row],[AP01 LE2]:[AP06 LE2]])</f>
        <v>-12800</v>
      </c>
      <c r="AR44" s="80"/>
      <c r="AS44" s="79">
        <f>ERP_2[[#This Row],[2026 Working Total to Budget/LE]]-ERP_2[[#This Row],[Giveback]]</f>
        <v>-5600</v>
      </c>
      <c r="AT44" s="81"/>
      <c r="AU44" s="375"/>
      <c r="AV44" s="375"/>
      <c r="AW44" s="375"/>
      <c r="AX44" s="375">
        <v>0</v>
      </c>
      <c r="AY44" s="375">
        <v>0</v>
      </c>
      <c r="AZ44" s="375">
        <v>12800</v>
      </c>
      <c r="BA44" s="375">
        <v>12800</v>
      </c>
      <c r="BB44" s="375">
        <v>12800</v>
      </c>
      <c r="BC44" s="375">
        <v>12800</v>
      </c>
      <c r="BD44" s="375">
        <v>12800</v>
      </c>
      <c r="BE44" s="375">
        <v>12800</v>
      </c>
      <c r="BF44" s="375">
        <v>12800</v>
      </c>
      <c r="BG44" s="375">
        <v>89600</v>
      </c>
      <c r="BH44" s="79"/>
      <c r="BI44" s="79"/>
      <c r="BJ44" s="79"/>
      <c r="BK44" s="79">
        <v>12800</v>
      </c>
      <c r="BL44" s="79">
        <v>12800</v>
      </c>
      <c r="BM44" s="79">
        <v>12800</v>
      </c>
      <c r="BN44" s="79">
        <v>12800</v>
      </c>
      <c r="BO44" s="79">
        <v>12800</v>
      </c>
      <c r="BP44" s="79">
        <v>12800</v>
      </c>
      <c r="BQ44" s="79">
        <v>12800</v>
      </c>
      <c r="BR44" s="79">
        <v>12800</v>
      </c>
      <c r="BS44" s="79">
        <v>12800</v>
      </c>
      <c r="BT44" s="79">
        <v>115200</v>
      </c>
    </row>
    <row r="45" spans="1:72" ht="15" hidden="1" customHeight="1">
      <c r="A45" s="66" t="s">
        <v>1288</v>
      </c>
      <c r="B45" s="66"/>
      <c r="C45" s="66" t="s">
        <v>128</v>
      </c>
      <c r="D45" s="66" t="s">
        <v>1289</v>
      </c>
      <c r="E45" s="150" t="s">
        <v>1136</v>
      </c>
      <c r="F45" s="482" t="s">
        <v>1566</v>
      </c>
      <c r="G45" s="150" t="s">
        <v>1135</v>
      </c>
      <c r="H45" s="150" t="s">
        <v>1165</v>
      </c>
      <c r="I45" s="150" t="s">
        <v>1135</v>
      </c>
      <c r="J45" s="150" t="s">
        <v>1165</v>
      </c>
      <c r="K45" s="150" t="s">
        <v>1137</v>
      </c>
      <c r="L45" s="511" t="s">
        <v>49</v>
      </c>
      <c r="M45" s="392" t="s">
        <v>1290</v>
      </c>
      <c r="N45" s="343"/>
      <c r="O45" s="343"/>
      <c r="P45" s="70" t="s">
        <v>129</v>
      </c>
      <c r="Q45" s="346"/>
      <c r="R45" s="343"/>
      <c r="S45" s="346"/>
      <c r="T45" s="150" t="s">
        <v>114</v>
      </c>
      <c r="U45" s="150"/>
      <c r="V45" s="403"/>
      <c r="W45" s="406">
        <v>73711</v>
      </c>
      <c r="X45" s="406">
        <v>70191.98000000001</v>
      </c>
      <c r="Y45" s="425"/>
      <c r="Z45" s="71"/>
      <c r="AA45" s="426">
        <v>5439.05</v>
      </c>
      <c r="AB45" s="427">
        <v>4406.87</v>
      </c>
      <c r="AC45" s="427">
        <v>5062.8</v>
      </c>
      <c r="AD45" s="428">
        <v>6561.0900000000011</v>
      </c>
      <c r="AE45" s="429">
        <v>5184.41</v>
      </c>
      <c r="AF45" s="429">
        <v>5082.6499999999987</v>
      </c>
      <c r="AG45" s="363">
        <v>6142.58</v>
      </c>
      <c r="AH45" s="363">
        <v>6200</v>
      </c>
      <c r="AI45" s="363">
        <v>6200</v>
      </c>
      <c r="AJ45" s="363">
        <v>6200</v>
      </c>
      <c r="AK45" s="363">
        <v>6200</v>
      </c>
      <c r="AL45" s="363">
        <v>6200</v>
      </c>
      <c r="AM45" s="360">
        <f t="shared" si="0"/>
        <v>68879.45</v>
      </c>
      <c r="AN45" s="362">
        <f>ERP_2[[#This Row],[2026 Working Total]]-ERP_2[[#This Row],[LE2 Final Submission]]</f>
        <v>-1312.5300000000134</v>
      </c>
      <c r="AO45" s="79">
        <v>6142.58</v>
      </c>
      <c r="AP45" s="79">
        <f t="shared" si="1"/>
        <v>-1059.9300000000012</v>
      </c>
      <c r="AQ45" s="374">
        <f>SUM(ERP_2[[#This Row],[AP01]:[AP06]])-SUM(ERP_2[[#This Row],[AP01 LE2]:[AP06 LE2]])</f>
        <v>-1599.5900000000074</v>
      </c>
      <c r="AR45" s="80"/>
      <c r="AS45" s="79">
        <f>ERP_2[[#This Row],[2026 Working Total to Budget/LE]]-ERP_2[[#This Row],[Giveback]]</f>
        <v>-1312.5300000000134</v>
      </c>
      <c r="AT45" s="81"/>
      <c r="AU45" s="375">
        <v>5439.05</v>
      </c>
      <c r="AV45" s="375">
        <v>4406.87</v>
      </c>
      <c r="AW45" s="375">
        <v>5062.8</v>
      </c>
      <c r="AX45" s="375">
        <v>6142.58</v>
      </c>
      <c r="AY45" s="375">
        <v>6142.58</v>
      </c>
      <c r="AZ45" s="375">
        <v>6142.58</v>
      </c>
      <c r="BA45" s="375">
        <v>6142.58</v>
      </c>
      <c r="BB45" s="375">
        <v>6142.58</v>
      </c>
      <c r="BC45" s="375">
        <v>6142.58</v>
      </c>
      <c r="BD45" s="375">
        <v>6142.58</v>
      </c>
      <c r="BE45" s="375">
        <v>6142.58</v>
      </c>
      <c r="BF45" s="375">
        <v>6142.62</v>
      </c>
      <c r="BG45" s="375">
        <v>70191.98000000001</v>
      </c>
      <c r="BH45" s="79">
        <v>5439.05</v>
      </c>
      <c r="BI45" s="79">
        <v>4406.87</v>
      </c>
      <c r="BJ45" s="79">
        <v>5062.8</v>
      </c>
      <c r="BK45" s="79">
        <v>6142.58</v>
      </c>
      <c r="BL45" s="79">
        <v>6142.58</v>
      </c>
      <c r="BM45" s="79">
        <v>6142.58</v>
      </c>
      <c r="BN45" s="79">
        <v>6142.58</v>
      </c>
      <c r="BO45" s="79">
        <v>6142.58</v>
      </c>
      <c r="BP45" s="79">
        <v>6142.58</v>
      </c>
      <c r="BQ45" s="79">
        <v>6142.58</v>
      </c>
      <c r="BR45" s="79">
        <v>6142.58</v>
      </c>
      <c r="BS45" s="79">
        <v>6142.62</v>
      </c>
      <c r="BT45" s="79">
        <v>70191.98000000001</v>
      </c>
    </row>
    <row r="46" spans="1:72" ht="15" hidden="1" customHeight="1">
      <c r="A46" s="66" t="s">
        <v>1291</v>
      </c>
      <c r="B46" s="66"/>
      <c r="C46" s="66" t="s">
        <v>130</v>
      </c>
      <c r="D46" s="66" t="s">
        <v>1292</v>
      </c>
      <c r="E46" s="150" t="s">
        <v>1136</v>
      </c>
      <c r="F46" s="482" t="s">
        <v>1566</v>
      </c>
      <c r="G46" s="150" t="s">
        <v>1135</v>
      </c>
      <c r="H46" s="150" t="s">
        <v>1165</v>
      </c>
      <c r="I46" s="150" t="s">
        <v>1135</v>
      </c>
      <c r="J46" s="150" t="s">
        <v>1165</v>
      </c>
      <c r="K46" s="150" t="s">
        <v>1137</v>
      </c>
      <c r="L46" s="511" t="s">
        <v>49</v>
      </c>
      <c r="M46" s="392" t="s">
        <v>1293</v>
      </c>
      <c r="N46" s="343"/>
      <c r="O46" s="343"/>
      <c r="P46" s="70" t="s">
        <v>131</v>
      </c>
      <c r="Q46" s="346"/>
      <c r="R46" s="343"/>
      <c r="S46" s="346"/>
      <c r="T46" s="150" t="s">
        <v>114</v>
      </c>
      <c r="U46" s="150"/>
      <c r="V46" s="403"/>
      <c r="W46" s="406">
        <v>9592.0000000000018</v>
      </c>
      <c r="X46" s="406">
        <v>9470.880000000001</v>
      </c>
      <c r="Y46" s="425"/>
      <c r="Z46" s="71"/>
      <c r="AA46" s="426">
        <v>844.81</v>
      </c>
      <c r="AB46" s="427">
        <v>677.12</v>
      </c>
      <c r="AC46" s="427">
        <v>754.94</v>
      </c>
      <c r="AD46" s="428">
        <v>991.85</v>
      </c>
      <c r="AE46" s="429">
        <v>673.53</v>
      </c>
      <c r="AF46" s="429">
        <v>720.34</v>
      </c>
      <c r="AG46" s="363">
        <v>799.33</v>
      </c>
      <c r="AH46" s="363">
        <v>799.33</v>
      </c>
      <c r="AI46" s="363">
        <v>799.33</v>
      </c>
      <c r="AJ46" s="363">
        <v>799.33</v>
      </c>
      <c r="AK46" s="363">
        <v>799.33</v>
      </c>
      <c r="AL46" s="363">
        <v>799.37</v>
      </c>
      <c r="AM46" s="360">
        <f t="shared" si="0"/>
        <v>9458.61</v>
      </c>
      <c r="AN46" s="362">
        <f>ERP_2[[#This Row],[2026 Working Total]]-ERP_2[[#This Row],[LE2 Final Submission]]</f>
        <v>-12.270000000000437</v>
      </c>
      <c r="AO46" s="79">
        <v>799.33</v>
      </c>
      <c r="AP46" s="79">
        <f t="shared" si="1"/>
        <v>-78.990000000000009</v>
      </c>
      <c r="AQ46" s="374">
        <f>SUM(ERP_2[[#This Row],[AP01]:[AP06]])-SUM(ERP_2[[#This Row],[AP01 LE2]:[AP06 LE2]])</f>
        <v>-12.269999999999527</v>
      </c>
      <c r="AR46" s="80"/>
      <c r="AS46" s="79">
        <f>ERP_2[[#This Row],[2026 Working Total to Budget/LE]]-ERP_2[[#This Row],[Giveback]]</f>
        <v>-12.270000000000437</v>
      </c>
      <c r="AT46" s="81"/>
      <c r="AU46" s="375">
        <v>844.81</v>
      </c>
      <c r="AV46" s="375">
        <v>677.12</v>
      </c>
      <c r="AW46" s="375">
        <v>754.94</v>
      </c>
      <c r="AX46" s="375">
        <v>799.33</v>
      </c>
      <c r="AY46" s="375">
        <v>799.33</v>
      </c>
      <c r="AZ46" s="375">
        <v>799.33</v>
      </c>
      <c r="BA46" s="375">
        <v>799.33</v>
      </c>
      <c r="BB46" s="375">
        <v>799.33</v>
      </c>
      <c r="BC46" s="375">
        <v>799.33</v>
      </c>
      <c r="BD46" s="375">
        <v>799.33</v>
      </c>
      <c r="BE46" s="375">
        <v>799.33</v>
      </c>
      <c r="BF46" s="375">
        <v>799.37</v>
      </c>
      <c r="BG46" s="375">
        <v>9470.880000000001</v>
      </c>
      <c r="BH46" s="79">
        <v>844.81</v>
      </c>
      <c r="BI46" s="79">
        <v>677.12</v>
      </c>
      <c r="BJ46" s="79">
        <v>754.94</v>
      </c>
      <c r="BK46" s="79">
        <v>799.33</v>
      </c>
      <c r="BL46" s="79">
        <v>799.33</v>
      </c>
      <c r="BM46" s="79">
        <v>799.33</v>
      </c>
      <c r="BN46" s="79">
        <v>799.33</v>
      </c>
      <c r="BO46" s="79">
        <v>799.33</v>
      </c>
      <c r="BP46" s="79">
        <v>799.33</v>
      </c>
      <c r="BQ46" s="79">
        <v>799.33</v>
      </c>
      <c r="BR46" s="79">
        <v>799.33</v>
      </c>
      <c r="BS46" s="79">
        <v>799.37</v>
      </c>
      <c r="BT46" s="79">
        <v>9470.880000000001</v>
      </c>
    </row>
    <row r="47" spans="1:72" ht="15" hidden="1" customHeight="1">
      <c r="A47" s="150" t="s">
        <v>1294</v>
      </c>
      <c r="B47" s="150"/>
      <c r="C47" s="536" t="s">
        <v>132</v>
      </c>
      <c r="D47" s="296" t="s">
        <v>1295</v>
      </c>
      <c r="E47" s="150" t="s">
        <v>1136</v>
      </c>
      <c r="F47" s="482" t="s">
        <v>1566</v>
      </c>
      <c r="G47" s="150" t="s">
        <v>1135</v>
      </c>
      <c r="H47" s="332" t="s">
        <v>1165</v>
      </c>
      <c r="I47" s="150" t="s">
        <v>1135</v>
      </c>
      <c r="J47" s="332" t="s">
        <v>1165</v>
      </c>
      <c r="K47" s="333" t="s">
        <v>1165</v>
      </c>
      <c r="L47" s="514" t="s">
        <v>49</v>
      </c>
      <c r="M47" s="394" t="s">
        <v>1296</v>
      </c>
      <c r="N47" s="333"/>
      <c r="O47" s="332" t="s">
        <v>1284</v>
      </c>
      <c r="P47" s="90" t="s">
        <v>133</v>
      </c>
      <c r="Q47" s="347"/>
      <c r="R47" s="347"/>
      <c r="S47" s="348"/>
      <c r="T47" s="348"/>
      <c r="U47" s="348"/>
      <c r="V47" s="402"/>
      <c r="W47" s="406"/>
      <c r="X47" s="406"/>
      <c r="Y47" s="425"/>
      <c r="Z47" s="71"/>
      <c r="AA47" s="435"/>
      <c r="AB47" s="436"/>
      <c r="AC47" s="436"/>
      <c r="AD47" s="436"/>
      <c r="AE47" s="429">
        <v>28.36</v>
      </c>
      <c r="AF47" s="429">
        <v>0</v>
      </c>
      <c r="AG47" s="364"/>
      <c r="AH47" s="364"/>
      <c r="AI47" s="364"/>
      <c r="AJ47" s="364"/>
      <c r="AK47" s="364"/>
      <c r="AL47" s="364"/>
      <c r="AM47" s="360">
        <f t="shared" si="0"/>
        <v>28.36</v>
      </c>
      <c r="AN47" s="362">
        <f>ERP_2[[#This Row],[2026 Working Total]]-ERP_2[[#This Row],[LE2 Final Submission]]</f>
        <v>28.36</v>
      </c>
      <c r="AO47" s="79"/>
      <c r="AP47" s="79">
        <f t="shared" si="1"/>
        <v>0</v>
      </c>
      <c r="AQ47" s="374">
        <f>SUM(ERP_2[[#This Row],[AP01]:[AP06]])-SUM(ERP_2[[#This Row],[AP01 LE2]:[AP06 LE2]])</f>
        <v>28.36</v>
      </c>
      <c r="AR47" s="80"/>
      <c r="AS47" s="79">
        <f>ERP_2[[#This Row],[2026 Working Total to Budget/LE]]-ERP_2[[#This Row],[Giveback]]</f>
        <v>28.36</v>
      </c>
      <c r="AT47" s="81"/>
      <c r="AU47" s="375"/>
      <c r="AV47" s="375"/>
      <c r="AW47" s="375"/>
      <c r="AX47" s="375"/>
      <c r="AY47" s="375"/>
      <c r="AZ47" s="375"/>
      <c r="BA47" s="375"/>
      <c r="BB47" s="375"/>
      <c r="BC47" s="375"/>
      <c r="BD47" s="375"/>
      <c r="BE47" s="375"/>
      <c r="BF47" s="375"/>
      <c r="BG47" s="375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</row>
    <row r="48" spans="1:72" ht="15" hidden="1" customHeight="1">
      <c r="A48" s="66" t="s">
        <v>1297</v>
      </c>
      <c r="B48" s="66"/>
      <c r="C48" s="66" t="s">
        <v>134</v>
      </c>
      <c r="D48" s="66" t="s">
        <v>1298</v>
      </c>
      <c r="E48" s="150" t="s">
        <v>1136</v>
      </c>
      <c r="F48" s="482" t="s">
        <v>1566</v>
      </c>
      <c r="G48" s="150" t="s">
        <v>1135</v>
      </c>
      <c r="H48" s="150" t="s">
        <v>1156</v>
      </c>
      <c r="I48" s="150" t="s">
        <v>1135</v>
      </c>
      <c r="J48" s="150" t="s">
        <v>1156</v>
      </c>
      <c r="K48" s="150" t="s">
        <v>1137</v>
      </c>
      <c r="L48" s="511" t="s">
        <v>49</v>
      </c>
      <c r="M48" s="392" t="s">
        <v>1299</v>
      </c>
      <c r="N48" s="343"/>
      <c r="O48" s="343">
        <v>2321511</v>
      </c>
      <c r="P48" s="70" t="s">
        <v>135</v>
      </c>
      <c r="Q48" s="346"/>
      <c r="R48" s="522" t="s">
        <v>1300</v>
      </c>
      <c r="S48" s="346"/>
      <c r="T48" s="150" t="s">
        <v>25</v>
      </c>
      <c r="U48" s="184" t="s">
        <v>1301</v>
      </c>
      <c r="V48" s="403"/>
      <c r="W48" s="406">
        <v>499304.03999999986</v>
      </c>
      <c r="X48" s="406">
        <v>502636.17</v>
      </c>
      <c r="Y48" s="425"/>
      <c r="Z48" s="71"/>
      <c r="AA48" s="426">
        <v>30113.96</v>
      </c>
      <c r="AB48" s="427">
        <v>19240.66</v>
      </c>
      <c r="AC48" s="427">
        <v>44681.55</v>
      </c>
      <c r="AD48" s="428">
        <v>28059.239999999998</v>
      </c>
      <c r="AE48" s="429">
        <v>37177.21</v>
      </c>
      <c r="AF48" s="429">
        <v>-26229.880000000005</v>
      </c>
      <c r="AG48" s="363">
        <v>11200</v>
      </c>
      <c r="AH48" s="363">
        <v>14000</v>
      </c>
      <c r="AI48" s="363">
        <v>11200</v>
      </c>
      <c r="AJ48" s="363">
        <v>14000</v>
      </c>
      <c r="AK48" s="363">
        <v>11200</v>
      </c>
      <c r="AL48" s="363">
        <v>12000</v>
      </c>
      <c r="AM48" s="360">
        <f t="shared" si="0"/>
        <v>206642.74</v>
      </c>
      <c r="AN48" s="362">
        <f>ERP_2[[#This Row],[2026 Working Total]]-ERP_2[[#This Row],[LE2 Final Submission]]</f>
        <v>-295993.43</v>
      </c>
      <c r="AO48" s="79">
        <v>90000</v>
      </c>
      <c r="AP48" s="79">
        <f t="shared" si="1"/>
        <v>-116229.88</v>
      </c>
      <c r="AQ48" s="374">
        <f>SUM(ERP_2[[#This Row],[AP01]:[AP06]])-SUM(ERP_2[[#This Row],[AP01 LE2]:[AP06 LE2]])</f>
        <v>-134993.43</v>
      </c>
      <c r="AR48" s="80"/>
      <c r="AS48" s="79">
        <f>ERP_2[[#This Row],[2026 Working Total to Budget/LE]]-ERP_2[[#This Row],[Giveback]]</f>
        <v>-295993.43</v>
      </c>
      <c r="AT48" s="81"/>
      <c r="AU48" s="375">
        <v>30113.96</v>
      </c>
      <c r="AV48" s="375">
        <v>19240.66</v>
      </c>
      <c r="AW48" s="375">
        <v>44681.55</v>
      </c>
      <c r="AX48" s="375">
        <v>40000</v>
      </c>
      <c r="AY48" s="375">
        <v>90000</v>
      </c>
      <c r="AZ48" s="375">
        <v>44000</v>
      </c>
      <c r="BA48" s="375">
        <v>35600</v>
      </c>
      <c r="BB48" s="375">
        <v>44000</v>
      </c>
      <c r="BC48" s="375">
        <v>36000</v>
      </c>
      <c r="BD48" s="375">
        <v>40000</v>
      </c>
      <c r="BE48" s="375">
        <v>36000</v>
      </c>
      <c r="BF48" s="375">
        <v>43000</v>
      </c>
      <c r="BG48" s="375">
        <v>502636.17</v>
      </c>
      <c r="BH48" s="79">
        <v>30113.96</v>
      </c>
      <c r="BI48" s="79">
        <v>19240.66</v>
      </c>
      <c r="BJ48" s="79">
        <v>44681.55</v>
      </c>
      <c r="BK48" s="79">
        <v>44995</v>
      </c>
      <c r="BL48" s="79">
        <v>44995</v>
      </c>
      <c r="BM48" s="79">
        <v>44995</v>
      </c>
      <c r="BN48" s="79">
        <v>44995</v>
      </c>
      <c r="BO48" s="79">
        <v>44995</v>
      </c>
      <c r="BP48" s="79">
        <v>44995</v>
      </c>
      <c r="BQ48" s="79">
        <v>44995</v>
      </c>
      <c r="BR48" s="79">
        <v>44995</v>
      </c>
      <c r="BS48" s="79">
        <v>44995</v>
      </c>
      <c r="BT48" s="79">
        <v>498991.17</v>
      </c>
    </row>
    <row r="49" spans="1:72" ht="15" hidden="1" customHeight="1">
      <c r="A49" s="66" t="s">
        <v>1302</v>
      </c>
      <c r="B49" s="66"/>
      <c r="C49" s="66" t="s">
        <v>136</v>
      </c>
      <c r="D49" s="66" t="s">
        <v>1303</v>
      </c>
      <c r="E49" s="150" t="s">
        <v>1136</v>
      </c>
      <c r="F49" s="482" t="s">
        <v>1566</v>
      </c>
      <c r="G49" s="150" t="s">
        <v>1135</v>
      </c>
      <c r="H49" s="150" t="s">
        <v>1156</v>
      </c>
      <c r="I49" s="150" t="s">
        <v>1135</v>
      </c>
      <c r="J49" s="150" t="s">
        <v>1156</v>
      </c>
      <c r="K49" s="150" t="s">
        <v>1137</v>
      </c>
      <c r="L49" s="511" t="s">
        <v>49</v>
      </c>
      <c r="M49" s="392" t="s">
        <v>1304</v>
      </c>
      <c r="N49" s="343"/>
      <c r="O49" s="343">
        <v>2321511</v>
      </c>
      <c r="P49" s="70" t="s">
        <v>137</v>
      </c>
      <c r="Q49" s="346"/>
      <c r="R49" s="343"/>
      <c r="S49" s="346"/>
      <c r="T49" s="150" t="s">
        <v>25</v>
      </c>
      <c r="U49" s="150"/>
      <c r="V49" s="403"/>
      <c r="W49" s="406">
        <v>216000</v>
      </c>
      <c r="X49" s="406">
        <v>178669.02</v>
      </c>
      <c r="Y49" s="425"/>
      <c r="Z49" s="71"/>
      <c r="AA49" s="426">
        <v>13712.98</v>
      </c>
      <c r="AB49" s="427">
        <v>15359.13</v>
      </c>
      <c r="AC49" s="427">
        <v>67493.539999999994</v>
      </c>
      <c r="AD49" s="428">
        <v>42271.619999999995</v>
      </c>
      <c r="AE49" s="429">
        <v>42271.62000000001</v>
      </c>
      <c r="AF49" s="429">
        <v>-40929.350000000006</v>
      </c>
      <c r="AG49" s="363"/>
      <c r="AH49" s="363"/>
      <c r="AI49" s="363"/>
      <c r="AJ49" s="363"/>
      <c r="AK49" s="363"/>
      <c r="AL49" s="363"/>
      <c r="AM49" s="360">
        <f t="shared" si="0"/>
        <v>140179.54</v>
      </c>
      <c r="AN49" s="362">
        <f>ERP_2[[#This Row],[2026 Working Total]]-ERP_2[[#This Row],[LE2 Final Submission]]</f>
        <v>-38489.479999999981</v>
      </c>
      <c r="AO49" s="79">
        <v>35803.370000000003</v>
      </c>
      <c r="AP49" s="79">
        <f t="shared" si="1"/>
        <v>-76732.72</v>
      </c>
      <c r="AQ49" s="374">
        <f>SUM(ERP_2[[#This Row],[AP01]:[AP06]])-SUM(ERP_2[[#This Row],[AP01 LE2]:[AP06 LE2]])</f>
        <v>-2489.4799999999814</v>
      </c>
      <c r="AR49" s="80">
        <v>-32339</v>
      </c>
      <c r="AS49" s="79">
        <f>ERP_2[[#This Row],[2026 Working Total to Budget/LE]]-ERP_2[[#This Row],[Giveback]]</f>
        <v>-6150.4799999999814</v>
      </c>
      <c r="AT49" s="81" t="s">
        <v>1179</v>
      </c>
      <c r="AU49" s="375">
        <v>13712.98</v>
      </c>
      <c r="AV49" s="375">
        <v>15359.13</v>
      </c>
      <c r="AW49" s="375">
        <v>67493.539999999994</v>
      </c>
      <c r="AX49" s="375">
        <v>4300</v>
      </c>
      <c r="AY49" s="375">
        <v>35803.370000000003</v>
      </c>
      <c r="AZ49" s="375">
        <v>6000</v>
      </c>
      <c r="BA49" s="375">
        <v>6000</v>
      </c>
      <c r="BB49" s="375">
        <v>6000</v>
      </c>
      <c r="BC49" s="375">
        <v>6000</v>
      </c>
      <c r="BD49" s="375">
        <v>6000</v>
      </c>
      <c r="BE49" s="375">
        <v>6000</v>
      </c>
      <c r="BF49" s="375">
        <v>6000</v>
      </c>
      <c r="BG49" s="375">
        <v>178669.02</v>
      </c>
      <c r="BH49" s="79">
        <v>13712.98</v>
      </c>
      <c r="BI49" s="79">
        <v>15359.13</v>
      </c>
      <c r="BJ49" s="79">
        <v>67493.539999999994</v>
      </c>
      <c r="BK49" s="79">
        <v>18693</v>
      </c>
      <c r="BL49" s="79">
        <v>18693</v>
      </c>
      <c r="BM49" s="79">
        <v>18693</v>
      </c>
      <c r="BN49" s="79">
        <v>18693</v>
      </c>
      <c r="BO49" s="79">
        <v>18693</v>
      </c>
      <c r="BP49" s="79">
        <v>18693</v>
      </c>
      <c r="BQ49" s="79">
        <v>18693</v>
      </c>
      <c r="BR49" s="79">
        <v>18693</v>
      </c>
      <c r="BS49" s="79">
        <v>18693</v>
      </c>
      <c r="BT49" s="79">
        <v>264802.65000000002</v>
      </c>
    </row>
    <row r="50" spans="1:72" ht="15" hidden="1" customHeight="1">
      <c r="A50" s="66" t="s">
        <v>1306</v>
      </c>
      <c r="B50" s="66"/>
      <c r="C50" s="66" t="s">
        <v>138</v>
      </c>
      <c r="D50" s="66" t="s">
        <v>1307</v>
      </c>
      <c r="E50" s="150" t="s">
        <v>1136</v>
      </c>
      <c r="F50" s="482" t="s">
        <v>1566</v>
      </c>
      <c r="G50" s="150" t="s">
        <v>1135</v>
      </c>
      <c r="H50" s="150" t="s">
        <v>1156</v>
      </c>
      <c r="I50" s="150" t="s">
        <v>1135</v>
      </c>
      <c r="J50" s="150" t="s">
        <v>1156</v>
      </c>
      <c r="K50" s="150" t="s">
        <v>1137</v>
      </c>
      <c r="L50" s="511" t="s">
        <v>49</v>
      </c>
      <c r="M50" s="392" t="s">
        <v>1308</v>
      </c>
      <c r="N50" s="343"/>
      <c r="O50" s="343"/>
      <c r="P50" s="70" t="s">
        <v>139</v>
      </c>
      <c r="Q50" s="346"/>
      <c r="R50" s="343" t="s">
        <v>1309</v>
      </c>
      <c r="S50" s="346"/>
      <c r="T50" s="150" t="s">
        <v>25</v>
      </c>
      <c r="U50" s="150"/>
      <c r="V50" s="403"/>
      <c r="W50" s="406">
        <v>96720</v>
      </c>
      <c r="X50" s="406">
        <v>96720.44</v>
      </c>
      <c r="Y50" s="425"/>
      <c r="Z50" s="71"/>
      <c r="AA50" s="426">
        <v>6643.44</v>
      </c>
      <c r="AB50" s="427">
        <v>5644</v>
      </c>
      <c r="AC50" s="427">
        <v>8304</v>
      </c>
      <c r="AD50" s="428">
        <v>6762</v>
      </c>
      <c r="AE50" s="429">
        <v>9499</v>
      </c>
      <c r="AF50" s="429">
        <v>8310.9599999999991</v>
      </c>
      <c r="AG50" s="363">
        <v>8600</v>
      </c>
      <c r="AH50" s="363">
        <v>7900</v>
      </c>
      <c r="AI50" s="363">
        <v>8600</v>
      </c>
      <c r="AJ50" s="363">
        <v>8600</v>
      </c>
      <c r="AK50" s="363">
        <v>8600</v>
      </c>
      <c r="AL50" s="363">
        <v>8968</v>
      </c>
      <c r="AM50" s="360">
        <f t="shared" si="0"/>
        <v>96431.4</v>
      </c>
      <c r="AN50" s="362">
        <f>ERP_2[[#This Row],[2026 Working Total]]-ERP_2[[#This Row],[LE2 Final Submission]]</f>
        <v>-289.04000000000815</v>
      </c>
      <c r="AO50" s="79">
        <v>7812</v>
      </c>
      <c r="AP50" s="79">
        <f t="shared" si="1"/>
        <v>498.95999999999913</v>
      </c>
      <c r="AQ50" s="374">
        <f>SUM(ERP_2[[#This Row],[AP01]:[AP06]])-SUM(ERP_2[[#This Row],[AP01 LE2]:[AP06 LE2]])</f>
        <v>-2453.0400000000009</v>
      </c>
      <c r="AR50" s="80"/>
      <c r="AS50" s="79">
        <f>ERP_2[[#This Row],[2026 Working Total to Budget/LE]]-ERP_2[[#This Row],[Giveback]]</f>
        <v>-289.04000000000815</v>
      </c>
      <c r="AT50" s="81"/>
      <c r="AU50" s="375">
        <v>6643.44</v>
      </c>
      <c r="AV50" s="375">
        <v>5644</v>
      </c>
      <c r="AW50" s="375">
        <v>8304</v>
      </c>
      <c r="AX50" s="375">
        <v>11029</v>
      </c>
      <c r="AY50" s="375">
        <v>7812</v>
      </c>
      <c r="AZ50" s="375">
        <v>8184</v>
      </c>
      <c r="BA50" s="375">
        <v>8556</v>
      </c>
      <c r="BB50" s="375">
        <v>7812</v>
      </c>
      <c r="BC50" s="375">
        <v>8184</v>
      </c>
      <c r="BD50" s="375">
        <v>8184</v>
      </c>
      <c r="BE50" s="375">
        <v>7812</v>
      </c>
      <c r="BF50" s="375">
        <v>8556</v>
      </c>
      <c r="BG50" s="375">
        <v>96720.44</v>
      </c>
      <c r="BH50" s="79">
        <v>6643.44</v>
      </c>
      <c r="BI50" s="79">
        <v>5644</v>
      </c>
      <c r="BJ50" s="79">
        <v>8304</v>
      </c>
      <c r="BK50" s="79">
        <v>8184</v>
      </c>
      <c r="BL50" s="79">
        <v>7812</v>
      </c>
      <c r="BM50" s="79">
        <v>8184</v>
      </c>
      <c r="BN50" s="79">
        <v>8556</v>
      </c>
      <c r="BO50" s="79">
        <v>7812</v>
      </c>
      <c r="BP50" s="79">
        <v>8184</v>
      </c>
      <c r="BQ50" s="79">
        <v>8184</v>
      </c>
      <c r="BR50" s="79">
        <v>7812</v>
      </c>
      <c r="BS50" s="79">
        <v>8556</v>
      </c>
      <c r="BT50" s="79">
        <v>93875.44</v>
      </c>
    </row>
    <row r="51" spans="1:72" ht="15" hidden="1" customHeight="1">
      <c r="A51" s="66" t="s">
        <v>1310</v>
      </c>
      <c r="B51" s="66"/>
      <c r="C51" s="66" t="s">
        <v>140</v>
      </c>
      <c r="D51" s="66" t="s">
        <v>1311</v>
      </c>
      <c r="E51" s="150" t="s">
        <v>1136</v>
      </c>
      <c r="F51" s="482" t="s">
        <v>1566</v>
      </c>
      <c r="G51" s="150" t="s">
        <v>1135</v>
      </c>
      <c r="H51" s="150" t="s">
        <v>1145</v>
      </c>
      <c r="I51" s="150" t="s">
        <v>1135</v>
      </c>
      <c r="J51" s="150" t="s">
        <v>1145</v>
      </c>
      <c r="K51" s="150" t="s">
        <v>1137</v>
      </c>
      <c r="L51" s="511" t="s">
        <v>49</v>
      </c>
      <c r="M51" s="392" t="s">
        <v>1312</v>
      </c>
      <c r="N51" s="343"/>
      <c r="O51" s="346" t="s">
        <v>1186</v>
      </c>
      <c r="P51" s="70" t="s">
        <v>141</v>
      </c>
      <c r="Q51" s="346"/>
      <c r="R51" s="346" t="s">
        <v>1313</v>
      </c>
      <c r="S51" s="346"/>
      <c r="T51" s="150" t="s">
        <v>25</v>
      </c>
      <c r="U51" s="150"/>
      <c r="V51" s="403"/>
      <c r="W51" s="406">
        <v>49000</v>
      </c>
      <c r="X51" s="406">
        <v>48800.63</v>
      </c>
      <c r="Y51" s="425"/>
      <c r="Z51" s="71"/>
      <c r="AA51" s="426">
        <v>3356.36</v>
      </c>
      <c r="AB51" s="427">
        <v>3758.72</v>
      </c>
      <c r="AC51" s="427">
        <v>4698.63</v>
      </c>
      <c r="AD51" s="428">
        <v>3758.8999999999978</v>
      </c>
      <c r="AE51" s="429">
        <v>659.46</v>
      </c>
      <c r="AF51" s="429">
        <v>4698.630000000001</v>
      </c>
      <c r="AG51" s="360">
        <v>0</v>
      </c>
      <c r="AH51" s="360">
        <v>0</v>
      </c>
      <c r="AI51" s="364"/>
      <c r="AJ51" s="363">
        <v>12250</v>
      </c>
      <c r="AK51" s="363">
        <v>12250</v>
      </c>
      <c r="AL51" s="363">
        <v>8000</v>
      </c>
      <c r="AM51" s="360">
        <f t="shared" si="0"/>
        <v>53430.7</v>
      </c>
      <c r="AN51" s="362">
        <f>ERP_2[[#This Row],[2026 Working Total]]-ERP_2[[#This Row],[LE2 Final Submission]]</f>
        <v>4630.07</v>
      </c>
      <c r="AO51" s="79">
        <v>0</v>
      </c>
      <c r="AP51" s="79">
        <f t="shared" si="1"/>
        <v>4698.630000000001</v>
      </c>
      <c r="AQ51" s="374">
        <f>SUM(ERP_2[[#This Row],[AP01]:[AP06]])-SUM(ERP_2[[#This Row],[AP01 LE2]:[AP06 LE2]])</f>
        <v>-8267.93</v>
      </c>
      <c r="AR51" s="80"/>
      <c r="AS51" s="79">
        <f>ERP_2[[#This Row],[2026 Working Total to Budget/LE]]-ERP_2[[#This Row],[Giveback]]</f>
        <v>4630.07</v>
      </c>
      <c r="AT51" s="81"/>
      <c r="AU51" s="375">
        <v>3356.36</v>
      </c>
      <c r="AV51" s="375">
        <v>3758.72</v>
      </c>
      <c r="AW51" s="375">
        <v>4698.63</v>
      </c>
      <c r="AX51" s="375">
        <v>0</v>
      </c>
      <c r="AY51" s="375">
        <v>0</v>
      </c>
      <c r="AZ51" s="375">
        <v>17384.919999999998</v>
      </c>
      <c r="BA51" s="375">
        <v>0</v>
      </c>
      <c r="BB51" s="375">
        <v>0</v>
      </c>
      <c r="BC51" s="375">
        <v>12250</v>
      </c>
      <c r="BD51" s="375">
        <v>0</v>
      </c>
      <c r="BE51" s="375">
        <v>0</v>
      </c>
      <c r="BF51" s="375">
        <v>7352</v>
      </c>
      <c r="BG51" s="375">
        <v>48800.63</v>
      </c>
      <c r="BH51" s="79">
        <v>3356.36</v>
      </c>
      <c r="BI51" s="79">
        <v>3758.72</v>
      </c>
      <c r="BJ51" s="79">
        <v>4698.63</v>
      </c>
      <c r="BK51" s="79">
        <v>0</v>
      </c>
      <c r="BL51" s="79">
        <v>0</v>
      </c>
      <c r="BM51" s="79">
        <v>17384.919999999998</v>
      </c>
      <c r="BN51" s="79">
        <v>0</v>
      </c>
      <c r="BO51" s="79">
        <v>0</v>
      </c>
      <c r="BP51" s="79">
        <v>12250</v>
      </c>
      <c r="BQ51" s="79">
        <v>0</v>
      </c>
      <c r="BR51" s="79">
        <v>0</v>
      </c>
      <c r="BS51" s="79">
        <v>12250</v>
      </c>
      <c r="BT51" s="79">
        <v>53698.63</v>
      </c>
    </row>
    <row r="52" spans="1:72" ht="15" hidden="1" customHeight="1">
      <c r="A52" s="66" t="s">
        <v>1314</v>
      </c>
      <c r="B52" s="66"/>
      <c r="C52" s="66" t="s">
        <v>142</v>
      </c>
      <c r="D52" s="66" t="s">
        <v>1315</v>
      </c>
      <c r="E52" s="150" t="s">
        <v>1136</v>
      </c>
      <c r="F52" s="482" t="s">
        <v>1566</v>
      </c>
      <c r="G52" s="150" t="s">
        <v>1135</v>
      </c>
      <c r="H52" s="150" t="s">
        <v>1145</v>
      </c>
      <c r="I52" s="150" t="s">
        <v>1135</v>
      </c>
      <c r="J52" s="150" t="s">
        <v>1145</v>
      </c>
      <c r="K52" s="150" t="s">
        <v>1137</v>
      </c>
      <c r="L52" s="511" t="s">
        <v>49</v>
      </c>
      <c r="M52" s="392" t="s">
        <v>1316</v>
      </c>
      <c r="N52" s="343"/>
      <c r="O52" s="346" t="s">
        <v>1186</v>
      </c>
      <c r="P52" s="70" t="s">
        <v>143</v>
      </c>
      <c r="Q52" s="346"/>
      <c r="R52" s="346" t="s">
        <v>1317</v>
      </c>
      <c r="S52" s="346"/>
      <c r="T52" s="150" t="s">
        <v>25</v>
      </c>
      <c r="U52" s="150"/>
      <c r="V52" s="403"/>
      <c r="W52" s="406">
        <v>23000</v>
      </c>
      <c r="X52" s="406">
        <v>21621.640000000003</v>
      </c>
      <c r="Y52" s="425"/>
      <c r="Z52" s="71"/>
      <c r="AA52" s="426">
        <v>1355</v>
      </c>
      <c r="AB52" s="427">
        <v>1517.05</v>
      </c>
      <c r="AC52" s="427">
        <v>1896.64</v>
      </c>
      <c r="AD52" s="428">
        <v>4517.2999999999993</v>
      </c>
      <c r="AE52" s="429">
        <v>-462.13999999999965</v>
      </c>
      <c r="AF52" s="429">
        <v>1896.6400000000003</v>
      </c>
      <c r="AG52" s="360">
        <v>0</v>
      </c>
      <c r="AH52" s="360">
        <v>0</v>
      </c>
      <c r="AI52" s="364"/>
      <c r="AJ52" s="363">
        <v>9000</v>
      </c>
      <c r="AK52" s="363">
        <v>3852.95</v>
      </c>
      <c r="AL52" s="360">
        <v>0</v>
      </c>
      <c r="AM52" s="360">
        <f t="shared" si="0"/>
        <v>23573.440000000002</v>
      </c>
      <c r="AN52" s="362">
        <f>ERP_2[[#This Row],[2026 Working Total]]-ERP_2[[#This Row],[LE2 Final Submission]]</f>
        <v>1951.7999999999993</v>
      </c>
      <c r="AO52" s="79">
        <v>0</v>
      </c>
      <c r="AP52" s="79">
        <f t="shared" si="1"/>
        <v>1896.6400000000003</v>
      </c>
      <c r="AQ52" s="374">
        <f>SUM(ERP_2[[#This Row],[AP01]:[AP06]])-SUM(ERP_2[[#This Row],[AP01 LE2]:[AP06 LE2]])</f>
        <v>-7048.2000000000007</v>
      </c>
      <c r="AR52" s="80"/>
      <c r="AS52" s="79">
        <f>ERP_2[[#This Row],[2026 Working Total to Budget/LE]]-ERP_2[[#This Row],[Giveback]]</f>
        <v>1951.7999999999993</v>
      </c>
      <c r="AT52" s="81"/>
      <c r="AU52" s="375">
        <v>1355</v>
      </c>
      <c r="AV52" s="375">
        <v>1517.05</v>
      </c>
      <c r="AW52" s="375">
        <v>1896.64</v>
      </c>
      <c r="AX52" s="375">
        <v>0</v>
      </c>
      <c r="AY52" s="375">
        <v>0</v>
      </c>
      <c r="AZ52" s="375">
        <v>13000</v>
      </c>
      <c r="BA52" s="375">
        <v>0</v>
      </c>
      <c r="BB52" s="375">
        <v>0</v>
      </c>
      <c r="BC52" s="375">
        <v>3852.95</v>
      </c>
      <c r="BD52" s="375">
        <v>0</v>
      </c>
      <c r="BE52" s="375">
        <v>0</v>
      </c>
      <c r="BF52" s="375">
        <v>0</v>
      </c>
      <c r="BG52" s="375">
        <v>21621.640000000003</v>
      </c>
      <c r="BH52" s="79">
        <v>1355</v>
      </c>
      <c r="BI52" s="79">
        <v>1517.05</v>
      </c>
      <c r="BJ52" s="79">
        <v>1896.64</v>
      </c>
      <c r="BK52" s="79">
        <v>0</v>
      </c>
      <c r="BL52" s="79">
        <v>0</v>
      </c>
      <c r="BM52" s="79">
        <v>13000</v>
      </c>
      <c r="BN52" s="79">
        <v>0</v>
      </c>
      <c r="BO52" s="79">
        <v>0</v>
      </c>
      <c r="BP52" s="79">
        <v>3852.95</v>
      </c>
      <c r="BQ52" s="79">
        <v>0</v>
      </c>
      <c r="BR52" s="79">
        <v>0</v>
      </c>
      <c r="BS52" s="79">
        <v>0</v>
      </c>
      <c r="BT52" s="79">
        <v>21621.640000000003</v>
      </c>
    </row>
    <row r="53" spans="1:72" ht="15" hidden="1" customHeight="1">
      <c r="A53" s="79" t="s">
        <v>1318</v>
      </c>
      <c r="B53" s="79"/>
      <c r="C53" s="79" t="s">
        <v>144</v>
      </c>
      <c r="D53" s="296" t="s">
        <v>144</v>
      </c>
      <c r="E53" s="150" t="s">
        <v>1136</v>
      </c>
      <c r="F53" s="482" t="s">
        <v>1566</v>
      </c>
      <c r="G53" s="150" t="s">
        <v>1135</v>
      </c>
      <c r="H53" s="150" t="s">
        <v>1135</v>
      </c>
      <c r="I53" s="332" t="s">
        <v>1135</v>
      </c>
      <c r="J53" s="383" t="s">
        <v>1135</v>
      </c>
      <c r="K53" s="331" t="s">
        <v>1137</v>
      </c>
      <c r="L53" s="512" t="s">
        <v>49</v>
      </c>
      <c r="M53" s="393" t="s">
        <v>1319</v>
      </c>
      <c r="N53" s="343"/>
      <c r="O53" s="331"/>
      <c r="P53" s="91" t="s">
        <v>145</v>
      </c>
      <c r="Q53" s="346" t="s">
        <v>1139</v>
      </c>
      <c r="R53" s="343"/>
      <c r="S53" s="348"/>
      <c r="T53" s="386" t="s">
        <v>25</v>
      </c>
      <c r="U53" s="387" t="s">
        <v>1320</v>
      </c>
      <c r="V53" s="432"/>
      <c r="W53" s="358">
        <v>1472196</v>
      </c>
      <c r="X53" s="378">
        <v>0</v>
      </c>
      <c r="Y53" s="430"/>
      <c r="Z53" s="137"/>
      <c r="AA53" s="433"/>
      <c r="AB53" s="434"/>
      <c r="AC53" s="434"/>
      <c r="AD53" s="428" t="s">
        <v>1142</v>
      </c>
      <c r="AE53" s="429">
        <v>0</v>
      </c>
      <c r="AF53" s="429">
        <v>0</v>
      </c>
      <c r="AG53" s="388">
        <f t="shared" ref="AG53:AL53" si="2">122683-122683</f>
        <v>0</v>
      </c>
      <c r="AH53" s="388">
        <f t="shared" si="2"/>
        <v>0</v>
      </c>
      <c r="AI53" s="388">
        <f t="shared" si="2"/>
        <v>0</v>
      </c>
      <c r="AJ53" s="388">
        <f t="shared" si="2"/>
        <v>0</v>
      </c>
      <c r="AK53" s="388">
        <f t="shared" si="2"/>
        <v>0</v>
      </c>
      <c r="AL53" s="388">
        <f t="shared" si="2"/>
        <v>0</v>
      </c>
      <c r="AM53" s="360">
        <f t="shared" si="0"/>
        <v>0</v>
      </c>
      <c r="AN53" s="362">
        <f>ERP_2[[#This Row],[2026 Working Total]]-ERP_2[[#This Row],[LE2 Final Submission]]</f>
        <v>0</v>
      </c>
      <c r="AO53" s="79">
        <v>0</v>
      </c>
      <c r="AP53" s="79">
        <f t="shared" si="1"/>
        <v>0</v>
      </c>
      <c r="AQ53" s="374">
        <f>SUM(ERP_2[[#This Row],[AP01]:[AP06]])-SUM(ERP_2[[#This Row],[AP01 LE2]:[AP06 LE2]])</f>
        <v>0</v>
      </c>
      <c r="AR53" s="80"/>
      <c r="AS53" s="79">
        <f>ERP_2[[#This Row],[2026 Working Total to Budget/LE]]-ERP_2[[#This Row],[Giveback]]</f>
        <v>0</v>
      </c>
      <c r="AT53" s="81"/>
      <c r="AU53" s="375"/>
      <c r="AV53" s="375"/>
      <c r="AW53" s="375"/>
      <c r="AX53" s="375">
        <v>0</v>
      </c>
      <c r="AY53" s="375">
        <v>0</v>
      </c>
      <c r="AZ53" s="375">
        <v>0</v>
      </c>
      <c r="BA53" s="375">
        <v>0</v>
      </c>
      <c r="BB53" s="375">
        <v>0</v>
      </c>
      <c r="BC53" s="375">
        <v>0</v>
      </c>
      <c r="BD53" s="375">
        <v>0</v>
      </c>
      <c r="BE53" s="375">
        <v>0</v>
      </c>
      <c r="BF53" s="375">
        <v>0</v>
      </c>
      <c r="BG53" s="375">
        <v>0</v>
      </c>
      <c r="BH53" s="103">
        <v>122683</v>
      </c>
      <c r="BI53" s="103">
        <v>122683</v>
      </c>
      <c r="BJ53" s="103">
        <v>122683</v>
      </c>
      <c r="BK53" s="103">
        <v>122683</v>
      </c>
      <c r="BL53" s="103">
        <v>122683</v>
      </c>
      <c r="BM53" s="103">
        <v>122683</v>
      </c>
      <c r="BN53" s="103">
        <v>122683</v>
      </c>
      <c r="BO53" s="103">
        <v>122683</v>
      </c>
      <c r="BP53" s="103">
        <v>122683</v>
      </c>
      <c r="BQ53" s="103">
        <v>122683</v>
      </c>
      <c r="BR53" s="103">
        <v>122683</v>
      </c>
      <c r="BS53" s="103">
        <v>122683</v>
      </c>
      <c r="BT53" s="79">
        <f>SUM(ERP_2[[#This Row],[2026 AP01]:[2026 AP12]])</f>
        <v>1472196</v>
      </c>
    </row>
    <row r="54" spans="1:72" ht="15" hidden="1" customHeight="1">
      <c r="A54" s="66" t="s">
        <v>1674</v>
      </c>
      <c r="B54" s="66"/>
      <c r="C54" s="66" t="s">
        <v>343</v>
      </c>
      <c r="D54" s="66" t="s">
        <v>1675</v>
      </c>
      <c r="E54" s="150" t="s">
        <v>1136</v>
      </c>
      <c r="F54" s="482" t="s">
        <v>1566</v>
      </c>
      <c r="G54" s="150" t="s">
        <v>1135</v>
      </c>
      <c r="H54" s="150" t="s">
        <v>1145</v>
      </c>
      <c r="I54" s="150" t="s">
        <v>1135</v>
      </c>
      <c r="J54" s="150" t="s">
        <v>1145</v>
      </c>
      <c r="K54" s="150" t="s">
        <v>1137</v>
      </c>
      <c r="L54" s="511" t="s">
        <v>342</v>
      </c>
      <c r="M54" s="392" t="s">
        <v>1676</v>
      </c>
      <c r="N54" s="343"/>
      <c r="O54" s="343"/>
      <c r="P54" s="70" t="s">
        <v>344</v>
      </c>
      <c r="Q54" s="346"/>
      <c r="R54" s="343"/>
      <c r="S54" s="346"/>
      <c r="T54" s="150" t="s">
        <v>152</v>
      </c>
      <c r="U54" s="150"/>
      <c r="V54" s="403"/>
      <c r="W54" s="406">
        <v>51615</v>
      </c>
      <c r="X54" s="406">
        <v>38711.25</v>
      </c>
      <c r="Y54" s="425"/>
      <c r="Z54" s="71"/>
      <c r="AA54" s="426"/>
      <c r="AB54" s="427"/>
      <c r="AC54" s="427"/>
      <c r="AD54" s="428" t="s">
        <v>1142</v>
      </c>
      <c r="AE54" s="429">
        <v>0</v>
      </c>
      <c r="AF54" s="429">
        <v>0</v>
      </c>
      <c r="AG54" s="363">
        <v>4301.25</v>
      </c>
      <c r="AH54" s="363">
        <v>4301.25</v>
      </c>
      <c r="AI54" s="363">
        <v>4301.25</v>
      </c>
      <c r="AJ54" s="363">
        <v>4301.25</v>
      </c>
      <c r="AK54" s="363">
        <v>4301.25</v>
      </c>
      <c r="AL54" s="363">
        <v>4301.25</v>
      </c>
      <c r="AM54" s="360">
        <f t="shared" si="0"/>
        <v>25807.5</v>
      </c>
      <c r="AN54" s="362">
        <f>ERP_2[[#This Row],[2026 Working Total]]-ERP_2[[#This Row],[LE2 Final Submission]]</f>
        <v>-12903.75</v>
      </c>
      <c r="AO54" s="79">
        <v>1000</v>
      </c>
      <c r="AP54" s="79">
        <f t="shared" si="1"/>
        <v>-1000</v>
      </c>
      <c r="AQ54" s="374">
        <f>SUM(ERP_2[[#This Row],[AP01]:[AP06]])-SUM(ERP_2[[#This Row],[AP01 LE2]:[AP06 LE2]])</f>
        <v>-12903.75</v>
      </c>
      <c r="AR54" s="80"/>
      <c r="AS54" s="79">
        <f>ERP_2[[#This Row],[2026 Working Total to Budget/LE]]-ERP_2[[#This Row],[Giveback]]</f>
        <v>-12903.75</v>
      </c>
      <c r="AT54" s="81"/>
      <c r="AU54" s="375"/>
      <c r="AV54" s="375"/>
      <c r="AW54" s="375"/>
      <c r="AX54" s="375">
        <v>4301.25</v>
      </c>
      <c r="AY54" s="375">
        <v>4301.25</v>
      </c>
      <c r="AZ54" s="375">
        <v>4301.25</v>
      </c>
      <c r="BA54" s="375">
        <v>4301.25</v>
      </c>
      <c r="BB54" s="375">
        <v>4301.25</v>
      </c>
      <c r="BC54" s="375">
        <v>4301.25</v>
      </c>
      <c r="BD54" s="375">
        <v>4301.25</v>
      </c>
      <c r="BE54" s="375">
        <v>4301.25</v>
      </c>
      <c r="BF54" s="375">
        <v>4301.25</v>
      </c>
      <c r="BG54" s="375">
        <v>38711.25</v>
      </c>
      <c r="BH54" s="79"/>
      <c r="BI54" s="79"/>
      <c r="BJ54" s="79"/>
      <c r="BK54" s="79">
        <v>4301.25</v>
      </c>
      <c r="BL54" s="79">
        <v>4301.25</v>
      </c>
      <c r="BM54" s="79">
        <v>4301.25</v>
      </c>
      <c r="BN54" s="79">
        <v>4301.25</v>
      </c>
      <c r="BO54" s="79">
        <v>4301.25</v>
      </c>
      <c r="BP54" s="79">
        <v>4301.25</v>
      </c>
      <c r="BQ54" s="79">
        <v>4301.25</v>
      </c>
      <c r="BR54" s="79">
        <v>4301.25</v>
      </c>
      <c r="BS54" s="79">
        <v>4301.25</v>
      </c>
      <c r="BT54" s="79">
        <v>38711.25</v>
      </c>
    </row>
    <row r="55" spans="1:72" ht="15" hidden="1" customHeight="1">
      <c r="A55" s="66" t="s">
        <v>1677</v>
      </c>
      <c r="B55" s="66"/>
      <c r="C55" s="66" t="s">
        <v>345</v>
      </c>
      <c r="D55" s="66" t="s">
        <v>1678</v>
      </c>
      <c r="E55" s="150" t="s">
        <v>1136</v>
      </c>
      <c r="F55" s="482" t="s">
        <v>1566</v>
      </c>
      <c r="G55" s="150" t="s">
        <v>1135</v>
      </c>
      <c r="H55" s="150" t="s">
        <v>1145</v>
      </c>
      <c r="I55" s="150" t="s">
        <v>1135</v>
      </c>
      <c r="J55" s="150" t="s">
        <v>1145</v>
      </c>
      <c r="K55" s="150" t="s">
        <v>1137</v>
      </c>
      <c r="L55" s="511" t="s">
        <v>342</v>
      </c>
      <c r="M55" s="392" t="s">
        <v>1679</v>
      </c>
      <c r="N55" s="343"/>
      <c r="O55" s="343"/>
      <c r="P55" s="70" t="s">
        <v>346</v>
      </c>
      <c r="Q55" s="346"/>
      <c r="R55" s="343"/>
      <c r="S55" s="346"/>
      <c r="T55" s="150" t="s">
        <v>152</v>
      </c>
      <c r="U55" s="150"/>
      <c r="V55" s="403"/>
      <c r="W55" s="406">
        <v>-12195</v>
      </c>
      <c r="X55" s="406">
        <v>-9146.25</v>
      </c>
      <c r="Y55" s="425"/>
      <c r="Z55" s="71"/>
      <c r="AA55" s="426"/>
      <c r="AB55" s="427"/>
      <c r="AC55" s="427"/>
      <c r="AD55" s="428" t="s">
        <v>1142</v>
      </c>
      <c r="AE55" s="429">
        <v>0</v>
      </c>
      <c r="AF55" s="429">
        <v>0</v>
      </c>
      <c r="AG55" s="363">
        <v>-1016.25</v>
      </c>
      <c r="AH55" s="363">
        <v>-1016.25</v>
      </c>
      <c r="AI55" s="363">
        <v>-1016.25</v>
      </c>
      <c r="AJ55" s="363">
        <v>-1016.25</v>
      </c>
      <c r="AK55" s="363">
        <v>-1016.25</v>
      </c>
      <c r="AL55" s="363">
        <v>-1016.25</v>
      </c>
      <c r="AM55" s="360">
        <f t="shared" si="0"/>
        <v>-6097.5</v>
      </c>
      <c r="AN55" s="362">
        <f>ERP_2[[#This Row],[2026 Working Total]]-ERP_2[[#This Row],[LE2 Final Submission]]</f>
        <v>3048.75</v>
      </c>
      <c r="AO55" s="79">
        <v>0</v>
      </c>
      <c r="AP55" s="79">
        <f t="shared" si="1"/>
        <v>0</v>
      </c>
      <c r="AQ55" s="374">
        <f>SUM(ERP_2[[#This Row],[AP01]:[AP06]])-SUM(ERP_2[[#This Row],[AP01 LE2]:[AP06 LE2]])</f>
        <v>3048.75</v>
      </c>
      <c r="AR55" s="80"/>
      <c r="AS55" s="79">
        <f>ERP_2[[#This Row],[2026 Working Total to Budget/LE]]-ERP_2[[#This Row],[Giveback]]</f>
        <v>3048.75</v>
      </c>
      <c r="AT55" s="81"/>
      <c r="AU55" s="375"/>
      <c r="AV55" s="375"/>
      <c r="AW55" s="375"/>
      <c r="AX55" s="375">
        <v>-1016.25</v>
      </c>
      <c r="AY55" s="375">
        <v>-1016.25</v>
      </c>
      <c r="AZ55" s="375">
        <v>-1016.25</v>
      </c>
      <c r="BA55" s="375">
        <v>-1016.25</v>
      </c>
      <c r="BB55" s="375">
        <v>-1016.25</v>
      </c>
      <c r="BC55" s="375">
        <v>-1016.25</v>
      </c>
      <c r="BD55" s="375">
        <v>-1016.25</v>
      </c>
      <c r="BE55" s="375">
        <v>-1016.25</v>
      </c>
      <c r="BF55" s="375">
        <v>-1016.25</v>
      </c>
      <c r="BG55" s="375">
        <v>-9146.25</v>
      </c>
      <c r="BH55" s="79"/>
      <c r="BI55" s="79"/>
      <c r="BJ55" s="79"/>
      <c r="BK55" s="79">
        <v>-1016.25</v>
      </c>
      <c r="BL55" s="79">
        <v>-1016.25</v>
      </c>
      <c r="BM55" s="79">
        <v>-1016.25</v>
      </c>
      <c r="BN55" s="79">
        <v>-1016.25</v>
      </c>
      <c r="BO55" s="79">
        <v>-1016.25</v>
      </c>
      <c r="BP55" s="79">
        <v>-1016.25</v>
      </c>
      <c r="BQ55" s="79">
        <v>-1016.25</v>
      </c>
      <c r="BR55" s="79">
        <v>-1016.25</v>
      </c>
      <c r="BS55" s="79">
        <v>-1016.25</v>
      </c>
      <c r="BT55" s="79">
        <v>-9146.25</v>
      </c>
    </row>
    <row r="56" spans="1:72" ht="15" hidden="1" customHeight="1">
      <c r="A56" s="66" t="s">
        <v>1680</v>
      </c>
      <c r="B56" s="66"/>
      <c r="C56" s="66" t="s">
        <v>347</v>
      </c>
      <c r="D56" s="66" t="s">
        <v>1681</v>
      </c>
      <c r="E56" s="150" t="s">
        <v>1136</v>
      </c>
      <c r="F56" s="482" t="s">
        <v>1566</v>
      </c>
      <c r="G56" s="150" t="s">
        <v>1135</v>
      </c>
      <c r="H56" s="150" t="s">
        <v>1145</v>
      </c>
      <c r="I56" s="150" t="s">
        <v>1135</v>
      </c>
      <c r="J56" s="150" t="s">
        <v>1145</v>
      </c>
      <c r="K56" s="150" t="s">
        <v>1137</v>
      </c>
      <c r="L56" s="511" t="s">
        <v>342</v>
      </c>
      <c r="M56" s="392" t="s">
        <v>1682</v>
      </c>
      <c r="N56" s="343"/>
      <c r="O56" s="343"/>
      <c r="P56" s="70" t="s">
        <v>348</v>
      </c>
      <c r="Q56" s="346"/>
      <c r="R56" s="343"/>
      <c r="S56" s="346"/>
      <c r="T56" s="150" t="s">
        <v>152</v>
      </c>
      <c r="U56" s="150"/>
      <c r="V56" s="403"/>
      <c r="W56" s="406">
        <v>-12195</v>
      </c>
      <c r="X56" s="406">
        <v>-9146.25</v>
      </c>
      <c r="Y56" s="425"/>
      <c r="Z56" s="71"/>
      <c r="AA56" s="426"/>
      <c r="AB56" s="427"/>
      <c r="AC56" s="427"/>
      <c r="AD56" s="428" t="s">
        <v>1142</v>
      </c>
      <c r="AE56" s="429">
        <v>0</v>
      </c>
      <c r="AF56" s="429">
        <v>0</v>
      </c>
      <c r="AG56" s="363">
        <v>-1016.25</v>
      </c>
      <c r="AH56" s="363">
        <v>-1016.25</v>
      </c>
      <c r="AI56" s="363">
        <v>-1016.25</v>
      </c>
      <c r="AJ56" s="363">
        <v>-1016.25</v>
      </c>
      <c r="AK56" s="363">
        <v>-1016.25</v>
      </c>
      <c r="AL56" s="363">
        <v>-1016.25</v>
      </c>
      <c r="AM56" s="360">
        <f t="shared" si="0"/>
        <v>-6097.5</v>
      </c>
      <c r="AN56" s="362">
        <f>ERP_2[[#This Row],[2026 Working Total]]-ERP_2[[#This Row],[LE2 Final Submission]]</f>
        <v>3048.75</v>
      </c>
      <c r="AO56" s="79">
        <v>10000</v>
      </c>
      <c r="AP56" s="79">
        <f t="shared" si="1"/>
        <v>-10000</v>
      </c>
      <c r="AQ56" s="374">
        <f>SUM(ERP_2[[#This Row],[AP01]:[AP06]])-SUM(ERP_2[[#This Row],[AP01 LE2]:[AP06 LE2]])</f>
        <v>3048.75</v>
      </c>
      <c r="AR56" s="80"/>
      <c r="AS56" s="79">
        <f>ERP_2[[#This Row],[2026 Working Total to Budget/LE]]-ERP_2[[#This Row],[Giveback]]</f>
        <v>3048.75</v>
      </c>
      <c r="AT56" s="81"/>
      <c r="AU56" s="375"/>
      <c r="AV56" s="375"/>
      <c r="AW56" s="375"/>
      <c r="AX56" s="375">
        <v>-1016.25</v>
      </c>
      <c r="AY56" s="375">
        <v>-1016.25</v>
      </c>
      <c r="AZ56" s="375">
        <v>-1016.25</v>
      </c>
      <c r="BA56" s="375">
        <v>-1016.25</v>
      </c>
      <c r="BB56" s="375">
        <v>-1016.25</v>
      </c>
      <c r="BC56" s="375">
        <v>-1016.25</v>
      </c>
      <c r="BD56" s="375">
        <v>-1016.25</v>
      </c>
      <c r="BE56" s="375">
        <v>-1016.25</v>
      </c>
      <c r="BF56" s="375">
        <v>-1016.25</v>
      </c>
      <c r="BG56" s="375">
        <v>-9146.25</v>
      </c>
      <c r="BH56" s="79"/>
      <c r="BI56" s="79"/>
      <c r="BJ56" s="79"/>
      <c r="BK56" s="79">
        <v>-1016.25</v>
      </c>
      <c r="BL56" s="79">
        <v>-1016.25</v>
      </c>
      <c r="BM56" s="79">
        <v>-1016.25</v>
      </c>
      <c r="BN56" s="79">
        <v>-1016.25</v>
      </c>
      <c r="BO56" s="79">
        <v>-1016.25</v>
      </c>
      <c r="BP56" s="79">
        <v>-1016.25</v>
      </c>
      <c r="BQ56" s="79">
        <v>-1016.25</v>
      </c>
      <c r="BR56" s="79">
        <v>-1016.25</v>
      </c>
      <c r="BS56" s="79">
        <v>-1016.25</v>
      </c>
      <c r="BT56" s="79">
        <v>-9146.25</v>
      </c>
    </row>
    <row r="57" spans="1:72" ht="15" hidden="1" customHeight="1">
      <c r="A57" s="66" t="s">
        <v>1683</v>
      </c>
      <c r="B57" s="66"/>
      <c r="C57" s="66" t="s">
        <v>2936</v>
      </c>
      <c r="D57" s="66" t="s">
        <v>1684</v>
      </c>
      <c r="E57" s="150" t="s">
        <v>1136</v>
      </c>
      <c r="F57" s="482" t="s">
        <v>1566</v>
      </c>
      <c r="G57" s="150" t="s">
        <v>1135</v>
      </c>
      <c r="H57" s="150" t="s">
        <v>1135</v>
      </c>
      <c r="I57" s="150" t="s">
        <v>1135</v>
      </c>
      <c r="J57" s="150" t="s">
        <v>1137</v>
      </c>
      <c r="K57" s="150" t="s">
        <v>1137</v>
      </c>
      <c r="L57" s="511" t="s">
        <v>342</v>
      </c>
      <c r="M57" s="392" t="s">
        <v>1685</v>
      </c>
      <c r="N57" s="343"/>
      <c r="O57" s="343"/>
      <c r="P57" s="70" t="s">
        <v>350</v>
      </c>
      <c r="Q57" s="346" t="s">
        <v>1139</v>
      </c>
      <c r="R57" s="346" t="s">
        <v>1140</v>
      </c>
      <c r="S57" s="346"/>
      <c r="T57" s="150" t="s">
        <v>25</v>
      </c>
      <c r="U57" s="1" t="s">
        <v>1141</v>
      </c>
      <c r="V57" s="403"/>
      <c r="W57" s="406">
        <v>0</v>
      </c>
      <c r="X57" s="406">
        <v>-904.37</v>
      </c>
      <c r="Y57" s="425"/>
      <c r="Z57" s="71"/>
      <c r="AA57" s="426"/>
      <c r="AB57" s="427">
        <v>-904.37</v>
      </c>
      <c r="AC57" s="431">
        <v>0</v>
      </c>
      <c r="AD57" s="428">
        <v>0</v>
      </c>
      <c r="AE57" s="429">
        <v>0</v>
      </c>
      <c r="AF57" s="429">
        <v>0</v>
      </c>
      <c r="AG57" s="360">
        <v>0</v>
      </c>
      <c r="AH57" s="360">
        <v>0</v>
      </c>
      <c r="AI57" s="360">
        <v>0</v>
      </c>
      <c r="AJ57" s="360">
        <v>0</v>
      </c>
      <c r="AK57" s="360">
        <v>0</v>
      </c>
      <c r="AL57" s="360">
        <v>0</v>
      </c>
      <c r="AM57" s="360">
        <f t="shared" si="0"/>
        <v>-904.37</v>
      </c>
      <c r="AN57" s="362">
        <f>ERP_2[[#This Row],[2026 Working Total]]-ERP_2[[#This Row],[LE2 Final Submission]]</f>
        <v>0</v>
      </c>
      <c r="AO57" s="79">
        <v>0</v>
      </c>
      <c r="AP57" s="79">
        <f t="shared" si="1"/>
        <v>0</v>
      </c>
      <c r="AQ57" s="374">
        <f>SUM(ERP_2[[#This Row],[AP01]:[AP06]])-SUM(ERP_2[[#This Row],[AP01 LE2]:[AP06 LE2]])</f>
        <v>0</v>
      </c>
      <c r="AR57" s="80"/>
      <c r="AS57" s="79">
        <f>ERP_2[[#This Row],[2026 Working Total to Budget/LE]]-ERP_2[[#This Row],[Giveback]]</f>
        <v>0</v>
      </c>
      <c r="AT57" s="81"/>
      <c r="AU57" s="375"/>
      <c r="AV57" s="375">
        <v>-904.37</v>
      </c>
      <c r="AW57" s="375">
        <v>0</v>
      </c>
      <c r="AX57" s="375">
        <v>0</v>
      </c>
      <c r="AY57" s="375">
        <v>0</v>
      </c>
      <c r="AZ57" s="375">
        <v>0</v>
      </c>
      <c r="BA57" s="375">
        <v>0</v>
      </c>
      <c r="BB57" s="375">
        <v>0</v>
      </c>
      <c r="BC57" s="375">
        <v>0</v>
      </c>
      <c r="BD57" s="375">
        <v>0</v>
      </c>
      <c r="BE57" s="375">
        <v>0</v>
      </c>
      <c r="BF57" s="375">
        <v>0</v>
      </c>
      <c r="BG57" s="375">
        <v>-904.37</v>
      </c>
      <c r="BH57" s="79"/>
      <c r="BI57" s="79">
        <v>-904.37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0</v>
      </c>
      <c r="BP57" s="79">
        <v>0</v>
      </c>
      <c r="BQ57" s="79">
        <v>0</v>
      </c>
      <c r="BR57" s="79">
        <v>0</v>
      </c>
      <c r="BS57" s="79">
        <v>0</v>
      </c>
      <c r="BT57" s="79">
        <v>-904.37</v>
      </c>
    </row>
    <row r="58" spans="1:72" ht="15" hidden="1" customHeight="1">
      <c r="A58" s="66" t="s">
        <v>1686</v>
      </c>
      <c r="B58" s="66"/>
      <c r="C58" s="66" t="s">
        <v>2929</v>
      </c>
      <c r="D58" s="66" t="s">
        <v>1687</v>
      </c>
      <c r="E58" s="150" t="s">
        <v>1136</v>
      </c>
      <c r="F58" s="482" t="s">
        <v>1566</v>
      </c>
      <c r="G58" s="150" t="s">
        <v>1135</v>
      </c>
      <c r="H58" s="150" t="s">
        <v>1135</v>
      </c>
      <c r="I58" s="150" t="s">
        <v>1135</v>
      </c>
      <c r="J58" s="150" t="s">
        <v>1137</v>
      </c>
      <c r="K58" s="150" t="s">
        <v>1137</v>
      </c>
      <c r="L58" s="511" t="s">
        <v>342</v>
      </c>
      <c r="M58" s="392" t="s">
        <v>352</v>
      </c>
      <c r="N58" s="343"/>
      <c r="O58" s="343"/>
      <c r="P58" s="70" t="s">
        <v>352</v>
      </c>
      <c r="Q58" s="346" t="s">
        <v>1139</v>
      </c>
      <c r="R58" s="346" t="s">
        <v>1140</v>
      </c>
      <c r="S58" s="346"/>
      <c r="T58" s="150" t="s">
        <v>25</v>
      </c>
      <c r="U58" s="1" t="s">
        <v>1141</v>
      </c>
      <c r="V58" s="404"/>
      <c r="W58" s="407">
        <v>0</v>
      </c>
      <c r="X58" s="407">
        <v>0</v>
      </c>
      <c r="Y58" s="430"/>
      <c r="Z58" s="137"/>
      <c r="AA58" s="426"/>
      <c r="AB58" s="427"/>
      <c r="AC58" s="431">
        <v>0</v>
      </c>
      <c r="AD58" s="428">
        <v>-12412.23</v>
      </c>
      <c r="AE58" s="429">
        <v>0</v>
      </c>
      <c r="AF58" s="429">
        <v>0</v>
      </c>
      <c r="AG58" s="360">
        <v>0</v>
      </c>
      <c r="AH58" s="360">
        <v>0</v>
      </c>
      <c r="AI58" s="360">
        <v>0</v>
      </c>
      <c r="AJ58" s="360">
        <v>0</v>
      </c>
      <c r="AK58" s="360">
        <v>0</v>
      </c>
      <c r="AL58" s="360">
        <v>0</v>
      </c>
      <c r="AM58" s="360">
        <f t="shared" si="0"/>
        <v>-12412.23</v>
      </c>
      <c r="AN58" s="362">
        <f>ERP_2[[#This Row],[2026 Working Total]]-ERP_2[[#This Row],[LE2 Final Submission]]</f>
        <v>-12412.23</v>
      </c>
      <c r="AO58" s="79">
        <v>0</v>
      </c>
      <c r="AP58" s="79">
        <f t="shared" si="1"/>
        <v>0</v>
      </c>
      <c r="AQ58" s="374">
        <f>SUM(ERP_2[[#This Row],[AP01]:[AP06]])-SUM(ERP_2[[#This Row],[AP01 LE2]:[AP06 LE2]])</f>
        <v>-12412.23</v>
      </c>
      <c r="AR58" s="80"/>
      <c r="AS58" s="79">
        <f>ERP_2[[#This Row],[2026 Working Total to Budget/LE]]-ERP_2[[#This Row],[Giveback]]</f>
        <v>-12412.23</v>
      </c>
      <c r="AT58" s="81"/>
      <c r="AU58" s="375"/>
      <c r="AV58" s="375"/>
      <c r="AW58" s="375">
        <v>0</v>
      </c>
      <c r="AX58" s="375">
        <v>0</v>
      </c>
      <c r="AY58" s="375">
        <v>0</v>
      </c>
      <c r="AZ58" s="375">
        <v>0</v>
      </c>
      <c r="BA58" s="375">
        <v>0</v>
      </c>
      <c r="BB58" s="375">
        <v>0</v>
      </c>
      <c r="BC58" s="375">
        <v>0</v>
      </c>
      <c r="BD58" s="375">
        <v>0</v>
      </c>
      <c r="BE58" s="375">
        <v>0</v>
      </c>
      <c r="BF58" s="375">
        <v>0</v>
      </c>
      <c r="BG58" s="375">
        <v>0</v>
      </c>
      <c r="BH58" s="79"/>
      <c r="BI58" s="79"/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0</v>
      </c>
      <c r="BP58" s="79">
        <v>0</v>
      </c>
      <c r="BQ58" s="79">
        <v>0</v>
      </c>
      <c r="BR58" s="79">
        <v>0</v>
      </c>
      <c r="BS58" s="79">
        <v>0</v>
      </c>
      <c r="BT58" s="79">
        <v>0</v>
      </c>
    </row>
    <row r="59" spans="1:72" ht="15" hidden="1" customHeight="1">
      <c r="A59" s="66" t="s">
        <v>1688</v>
      </c>
      <c r="B59" s="66"/>
      <c r="C59" s="66" t="s">
        <v>2923</v>
      </c>
      <c r="D59" s="66" t="s">
        <v>1689</v>
      </c>
      <c r="E59" s="150" t="s">
        <v>1136</v>
      </c>
      <c r="F59" s="482" t="s">
        <v>1566</v>
      </c>
      <c r="G59" s="150" t="s">
        <v>1135</v>
      </c>
      <c r="H59" s="150" t="s">
        <v>1135</v>
      </c>
      <c r="I59" s="150" t="s">
        <v>1135</v>
      </c>
      <c r="J59" s="150" t="s">
        <v>1137</v>
      </c>
      <c r="K59" s="150" t="s">
        <v>1137</v>
      </c>
      <c r="L59" s="511" t="s">
        <v>342</v>
      </c>
      <c r="M59" s="392" t="s">
        <v>354</v>
      </c>
      <c r="N59" s="343"/>
      <c r="O59" s="343"/>
      <c r="P59" s="70" t="s">
        <v>354</v>
      </c>
      <c r="Q59" s="346"/>
      <c r="R59" s="346" t="s">
        <v>1140</v>
      </c>
      <c r="S59" s="346"/>
      <c r="T59" s="150" t="s">
        <v>25</v>
      </c>
      <c r="U59" s="150"/>
      <c r="V59" s="404"/>
      <c r="W59" s="407">
        <v>0</v>
      </c>
      <c r="X59" s="407">
        <v>0</v>
      </c>
      <c r="Y59" s="430"/>
      <c r="Z59" s="137"/>
      <c r="AA59" s="426"/>
      <c r="AB59" s="431">
        <v>0</v>
      </c>
      <c r="AC59" s="431">
        <v>0</v>
      </c>
      <c r="AD59" s="428">
        <v>0</v>
      </c>
      <c r="AE59" s="429">
        <v>0</v>
      </c>
      <c r="AF59" s="429">
        <v>0</v>
      </c>
      <c r="AG59" s="360">
        <v>0</v>
      </c>
      <c r="AH59" s="360">
        <v>0</v>
      </c>
      <c r="AI59" s="360">
        <v>0</v>
      </c>
      <c r="AJ59" s="360">
        <v>0</v>
      </c>
      <c r="AK59" s="360">
        <v>0</v>
      </c>
      <c r="AL59" s="360">
        <v>0</v>
      </c>
      <c r="AM59" s="360">
        <f t="shared" si="0"/>
        <v>0</v>
      </c>
      <c r="AN59" s="362">
        <f>ERP_2[[#This Row],[2026 Working Total]]-ERP_2[[#This Row],[LE2 Final Submission]]</f>
        <v>0</v>
      </c>
      <c r="AO59" s="79">
        <v>0</v>
      </c>
      <c r="AP59" s="79">
        <f t="shared" si="1"/>
        <v>0</v>
      </c>
      <c r="AQ59" s="374">
        <f>SUM(ERP_2[[#This Row],[AP01]:[AP06]])-SUM(ERP_2[[#This Row],[AP01 LE2]:[AP06 LE2]])</f>
        <v>0</v>
      </c>
      <c r="AR59" s="80"/>
      <c r="AS59" s="79">
        <f>ERP_2[[#This Row],[2026 Working Total to Budget/LE]]-ERP_2[[#This Row],[Giveback]]</f>
        <v>0</v>
      </c>
      <c r="AT59" s="81"/>
      <c r="AU59" s="375"/>
      <c r="AV59" s="375">
        <v>0</v>
      </c>
      <c r="AW59" s="375">
        <v>0</v>
      </c>
      <c r="AX59" s="375">
        <v>0</v>
      </c>
      <c r="AY59" s="375">
        <v>0</v>
      </c>
      <c r="AZ59" s="375">
        <v>0</v>
      </c>
      <c r="BA59" s="375">
        <v>0</v>
      </c>
      <c r="BB59" s="375">
        <v>0</v>
      </c>
      <c r="BC59" s="375">
        <v>0</v>
      </c>
      <c r="BD59" s="375">
        <v>0</v>
      </c>
      <c r="BE59" s="375">
        <v>0</v>
      </c>
      <c r="BF59" s="375">
        <v>0</v>
      </c>
      <c r="BG59" s="375">
        <v>0</v>
      </c>
      <c r="BH59" s="79"/>
      <c r="BI59" s="79">
        <v>0</v>
      </c>
      <c r="BJ59" s="79">
        <v>0</v>
      </c>
      <c r="BK59" s="79">
        <v>0</v>
      </c>
      <c r="BL59" s="79">
        <v>0</v>
      </c>
      <c r="BM59" s="79">
        <v>0</v>
      </c>
      <c r="BN59" s="79">
        <v>0</v>
      </c>
      <c r="BO59" s="79">
        <v>0</v>
      </c>
      <c r="BP59" s="79">
        <v>0</v>
      </c>
      <c r="BQ59" s="79">
        <v>0</v>
      </c>
      <c r="BR59" s="79">
        <v>0</v>
      </c>
      <c r="BS59" s="79">
        <v>0</v>
      </c>
      <c r="BT59" s="79">
        <v>0</v>
      </c>
    </row>
    <row r="60" spans="1:72" ht="15" hidden="1" customHeight="1">
      <c r="A60" s="66" t="s">
        <v>1690</v>
      </c>
      <c r="B60" s="66"/>
      <c r="C60" s="66" t="s">
        <v>2933</v>
      </c>
      <c r="D60" s="66" t="s">
        <v>1691</v>
      </c>
      <c r="E60" s="150" t="s">
        <v>1136</v>
      </c>
      <c r="F60" s="482" t="s">
        <v>1566</v>
      </c>
      <c r="G60" s="150" t="s">
        <v>1135</v>
      </c>
      <c r="H60" s="150" t="s">
        <v>1135</v>
      </c>
      <c r="I60" s="150" t="s">
        <v>1135</v>
      </c>
      <c r="J60" s="150" t="s">
        <v>1137</v>
      </c>
      <c r="K60" s="150" t="s">
        <v>1137</v>
      </c>
      <c r="L60" s="511" t="s">
        <v>342</v>
      </c>
      <c r="M60" s="392" t="s">
        <v>356</v>
      </c>
      <c r="N60" s="343"/>
      <c r="O60" s="343"/>
      <c r="P60" s="70" t="s">
        <v>356</v>
      </c>
      <c r="Q60" s="346" t="s">
        <v>1139</v>
      </c>
      <c r="R60" s="346" t="s">
        <v>1140</v>
      </c>
      <c r="S60" s="346"/>
      <c r="T60" s="150" t="s">
        <v>25</v>
      </c>
      <c r="U60" s="1" t="s">
        <v>1141</v>
      </c>
      <c r="V60" s="404"/>
      <c r="W60" s="407">
        <v>0</v>
      </c>
      <c r="X60" s="407">
        <v>0</v>
      </c>
      <c r="Y60" s="430"/>
      <c r="Z60" s="137"/>
      <c r="AA60" s="426"/>
      <c r="AB60" s="431">
        <v>0</v>
      </c>
      <c r="AC60" s="431">
        <v>0</v>
      </c>
      <c r="AD60" s="428">
        <v>-3033.45</v>
      </c>
      <c r="AE60" s="429">
        <v>0</v>
      </c>
      <c r="AF60" s="429">
        <v>0</v>
      </c>
      <c r="AG60" s="360">
        <v>0</v>
      </c>
      <c r="AH60" s="360">
        <v>0</v>
      </c>
      <c r="AI60" s="360">
        <v>0</v>
      </c>
      <c r="AJ60" s="360">
        <v>0</v>
      </c>
      <c r="AK60" s="360">
        <v>0</v>
      </c>
      <c r="AL60" s="360">
        <v>0</v>
      </c>
      <c r="AM60" s="360">
        <f t="shared" si="0"/>
        <v>-3033.45</v>
      </c>
      <c r="AN60" s="362">
        <f>ERP_2[[#This Row],[2026 Working Total]]-ERP_2[[#This Row],[LE2 Final Submission]]</f>
        <v>-3033.45</v>
      </c>
      <c r="AO60" s="79">
        <v>0</v>
      </c>
      <c r="AP60" s="79">
        <f t="shared" si="1"/>
        <v>0</v>
      </c>
      <c r="AQ60" s="374">
        <f>SUM(ERP_2[[#This Row],[AP01]:[AP06]])-SUM(ERP_2[[#This Row],[AP01 LE2]:[AP06 LE2]])</f>
        <v>-3033.45</v>
      </c>
      <c r="AR60" s="80"/>
      <c r="AS60" s="79">
        <f>ERP_2[[#This Row],[2026 Working Total to Budget/LE]]-ERP_2[[#This Row],[Giveback]]</f>
        <v>-3033.45</v>
      </c>
      <c r="AT60" s="81"/>
      <c r="AU60" s="375"/>
      <c r="AV60" s="375">
        <v>0</v>
      </c>
      <c r="AW60" s="375">
        <v>0</v>
      </c>
      <c r="AX60" s="375">
        <v>0</v>
      </c>
      <c r="AY60" s="375">
        <v>0</v>
      </c>
      <c r="AZ60" s="375">
        <v>0</v>
      </c>
      <c r="BA60" s="375">
        <v>0</v>
      </c>
      <c r="BB60" s="375">
        <v>0</v>
      </c>
      <c r="BC60" s="375">
        <v>0</v>
      </c>
      <c r="BD60" s="375">
        <v>0</v>
      </c>
      <c r="BE60" s="375">
        <v>0</v>
      </c>
      <c r="BF60" s="375">
        <v>0</v>
      </c>
      <c r="BG60" s="375">
        <v>0</v>
      </c>
      <c r="BH60" s="79"/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</row>
    <row r="61" spans="1:72" ht="15" hidden="1" customHeight="1">
      <c r="A61" s="150" t="s">
        <v>1692</v>
      </c>
      <c r="B61" s="150"/>
      <c r="C61" s="536" t="s">
        <v>357</v>
      </c>
      <c r="D61" s="296" t="s">
        <v>1693</v>
      </c>
      <c r="E61" s="150" t="s">
        <v>1136</v>
      </c>
      <c r="F61" s="482" t="s">
        <v>1566</v>
      </c>
      <c r="G61" s="150" t="s">
        <v>1135</v>
      </c>
      <c r="H61" s="150" t="s">
        <v>1135</v>
      </c>
      <c r="I61" s="150" t="s">
        <v>1135</v>
      </c>
      <c r="J61" s="150" t="s">
        <v>1137</v>
      </c>
      <c r="K61" s="150" t="s">
        <v>1137</v>
      </c>
      <c r="L61" s="514" t="s">
        <v>342</v>
      </c>
      <c r="M61" s="394" t="s">
        <v>1694</v>
      </c>
      <c r="N61" s="333"/>
      <c r="O61" s="332" t="s">
        <v>1695</v>
      </c>
      <c r="P61" s="90" t="s">
        <v>358</v>
      </c>
      <c r="Q61" s="347"/>
      <c r="R61" s="347"/>
      <c r="S61" s="348"/>
      <c r="T61" s="348"/>
      <c r="U61" s="1" t="s">
        <v>1141</v>
      </c>
      <c r="V61" s="402"/>
      <c r="W61" s="406"/>
      <c r="X61" s="406"/>
      <c r="Y61" s="425"/>
      <c r="Z61" s="71"/>
      <c r="AA61" s="435"/>
      <c r="AB61" s="436"/>
      <c r="AC61" s="436"/>
      <c r="AD61" s="429">
        <v>-638.70000000000005</v>
      </c>
      <c r="AE61" s="429">
        <v>0</v>
      </c>
      <c r="AF61" s="429">
        <v>0</v>
      </c>
      <c r="AG61" s="364"/>
      <c r="AH61" s="364"/>
      <c r="AI61" s="364"/>
      <c r="AJ61" s="364"/>
      <c r="AK61" s="364"/>
      <c r="AL61" s="364"/>
      <c r="AM61" s="360">
        <f t="shared" si="0"/>
        <v>-638.70000000000005</v>
      </c>
      <c r="AN61" s="362">
        <f>ERP_2[[#This Row],[2026 Working Total]]-ERP_2[[#This Row],[LE2 Final Submission]]</f>
        <v>-638.70000000000005</v>
      </c>
      <c r="AO61" s="79"/>
      <c r="AP61" s="79">
        <f t="shared" si="1"/>
        <v>0</v>
      </c>
      <c r="AQ61" s="374">
        <f>SUM(ERP_2[[#This Row],[AP01]:[AP06]])-SUM(ERP_2[[#This Row],[AP01 LE2]:[AP06 LE2]])</f>
        <v>-638.70000000000005</v>
      </c>
      <c r="AR61" s="80"/>
      <c r="AS61" s="79">
        <f>ERP_2[[#This Row],[2026 Working Total to Budget/LE]]-ERP_2[[#This Row],[Giveback]]</f>
        <v>-638.70000000000005</v>
      </c>
      <c r="AT61" s="81"/>
      <c r="AU61" s="375"/>
      <c r="AV61" s="375"/>
      <c r="AW61" s="375"/>
      <c r="AX61" s="375"/>
      <c r="AY61" s="375"/>
      <c r="AZ61" s="375"/>
      <c r="BA61" s="375"/>
      <c r="BB61" s="375"/>
      <c r="BC61" s="375"/>
      <c r="BD61" s="375"/>
      <c r="BE61" s="375"/>
      <c r="BF61" s="375"/>
      <c r="BG61" s="375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</row>
    <row r="62" spans="1:72" ht="15" hidden="1" customHeight="1">
      <c r="A62" s="66" t="s">
        <v>1696</v>
      </c>
      <c r="B62" s="66"/>
      <c r="C62" s="66" t="s">
        <v>2924</v>
      </c>
      <c r="D62" s="66" t="s">
        <v>1697</v>
      </c>
      <c r="E62" s="150" t="s">
        <v>1136</v>
      </c>
      <c r="F62" s="482" t="s">
        <v>1566</v>
      </c>
      <c r="G62" s="150" t="s">
        <v>1135</v>
      </c>
      <c r="H62" s="150" t="s">
        <v>1135</v>
      </c>
      <c r="I62" s="150" t="s">
        <v>1135</v>
      </c>
      <c r="J62" s="150" t="s">
        <v>1137</v>
      </c>
      <c r="K62" s="150" t="s">
        <v>1137</v>
      </c>
      <c r="L62" s="511" t="s">
        <v>342</v>
      </c>
      <c r="M62" s="392" t="s">
        <v>360</v>
      </c>
      <c r="N62" s="343"/>
      <c r="O62" s="343"/>
      <c r="P62" s="70" t="s">
        <v>360</v>
      </c>
      <c r="Q62" s="346"/>
      <c r="R62" s="346" t="s">
        <v>1140</v>
      </c>
      <c r="S62" s="346"/>
      <c r="T62" s="150" t="s">
        <v>25</v>
      </c>
      <c r="U62" s="150"/>
      <c r="V62" s="404"/>
      <c r="W62" s="407">
        <v>0</v>
      </c>
      <c r="X62" s="407">
        <v>0</v>
      </c>
      <c r="Y62" s="430"/>
      <c r="Z62" s="137"/>
      <c r="AA62" s="426"/>
      <c r="AB62" s="427"/>
      <c r="AC62" s="431">
        <v>0</v>
      </c>
      <c r="AD62" s="428">
        <v>0</v>
      </c>
      <c r="AE62" s="429">
        <v>0</v>
      </c>
      <c r="AF62" s="429">
        <v>0</v>
      </c>
      <c r="AG62" s="360">
        <v>0</v>
      </c>
      <c r="AH62" s="360">
        <v>0</v>
      </c>
      <c r="AI62" s="360">
        <v>0</v>
      </c>
      <c r="AJ62" s="360">
        <v>0</v>
      </c>
      <c r="AK62" s="360">
        <v>0</v>
      </c>
      <c r="AL62" s="360">
        <v>0</v>
      </c>
      <c r="AM62" s="360">
        <f t="shared" si="0"/>
        <v>0</v>
      </c>
      <c r="AN62" s="362">
        <f>ERP_2[[#This Row],[2026 Working Total]]-ERP_2[[#This Row],[LE2 Final Submission]]</f>
        <v>0</v>
      </c>
      <c r="AO62" s="79">
        <v>0</v>
      </c>
      <c r="AP62" s="79">
        <f t="shared" si="1"/>
        <v>0</v>
      </c>
      <c r="AQ62" s="374">
        <f>SUM(ERP_2[[#This Row],[AP01]:[AP06]])-SUM(ERP_2[[#This Row],[AP01 LE2]:[AP06 LE2]])</f>
        <v>0</v>
      </c>
      <c r="AR62" s="80"/>
      <c r="AS62" s="79">
        <f>ERP_2[[#This Row],[2026 Working Total to Budget/LE]]-ERP_2[[#This Row],[Giveback]]</f>
        <v>0</v>
      </c>
      <c r="AT62" s="81"/>
      <c r="AU62" s="375"/>
      <c r="AV62" s="375"/>
      <c r="AW62" s="375">
        <v>0</v>
      </c>
      <c r="AX62" s="375">
        <v>0</v>
      </c>
      <c r="AY62" s="375">
        <v>0</v>
      </c>
      <c r="AZ62" s="375">
        <v>0</v>
      </c>
      <c r="BA62" s="375">
        <v>0</v>
      </c>
      <c r="BB62" s="375">
        <v>0</v>
      </c>
      <c r="BC62" s="375">
        <v>0</v>
      </c>
      <c r="BD62" s="375">
        <v>0</v>
      </c>
      <c r="BE62" s="375">
        <v>0</v>
      </c>
      <c r="BF62" s="375">
        <v>0</v>
      </c>
      <c r="BG62" s="375">
        <v>0</v>
      </c>
      <c r="BH62" s="79"/>
      <c r="BI62" s="79"/>
      <c r="BJ62" s="79">
        <v>0</v>
      </c>
      <c r="BK62" s="79">
        <v>0</v>
      </c>
      <c r="BL62" s="79">
        <v>0</v>
      </c>
      <c r="BM62" s="79">
        <v>0</v>
      </c>
      <c r="BN62" s="79">
        <v>0</v>
      </c>
      <c r="BO62" s="79">
        <v>0</v>
      </c>
      <c r="BP62" s="79">
        <v>0</v>
      </c>
      <c r="BQ62" s="79">
        <v>0</v>
      </c>
      <c r="BR62" s="79">
        <v>0</v>
      </c>
      <c r="BS62" s="79">
        <v>0</v>
      </c>
      <c r="BT62" s="79">
        <v>0</v>
      </c>
    </row>
    <row r="63" spans="1:72" ht="15" hidden="1" customHeight="1">
      <c r="A63" s="79" t="s">
        <v>1698</v>
      </c>
      <c r="B63" s="79"/>
      <c r="C63" s="79" t="s">
        <v>361</v>
      </c>
      <c r="D63" s="66" t="s">
        <v>361</v>
      </c>
      <c r="E63" s="150" t="s">
        <v>1136</v>
      </c>
      <c r="F63" s="482" t="s">
        <v>1566</v>
      </c>
      <c r="G63" s="150" t="s">
        <v>1135</v>
      </c>
      <c r="H63" s="150" t="s">
        <v>1135</v>
      </c>
      <c r="I63" t="s">
        <v>1135</v>
      </c>
      <c r="J63" t="s">
        <v>1135</v>
      </c>
      <c r="K63" t="s">
        <v>1135</v>
      </c>
      <c r="L63" s="514" t="s">
        <v>342</v>
      </c>
      <c r="M63" s="395" t="s">
        <v>1699</v>
      </c>
      <c r="N63" s="343"/>
      <c r="O63" s="333"/>
      <c r="P63" s="70" t="s">
        <v>362</v>
      </c>
      <c r="Q63" s="347"/>
      <c r="R63" s="343"/>
      <c r="S63" s="348"/>
      <c r="T63" s="348"/>
      <c r="U63" s="348" t="s">
        <v>1700</v>
      </c>
      <c r="V63" s="402"/>
      <c r="W63" s="358"/>
      <c r="X63" s="379">
        <v>0</v>
      </c>
      <c r="Y63" s="430"/>
      <c r="Z63" s="137"/>
      <c r="AA63" s="435"/>
      <c r="AB63" s="436"/>
      <c r="AC63" s="436"/>
      <c r="AD63" s="428" t="s">
        <v>1142</v>
      </c>
      <c r="AE63" s="429">
        <v>0</v>
      </c>
      <c r="AF63" s="429">
        <v>0</v>
      </c>
      <c r="AG63" s="364"/>
      <c r="AH63" s="364"/>
      <c r="AI63" s="364"/>
      <c r="AJ63" s="364"/>
      <c r="AK63" s="364"/>
      <c r="AL63" s="364"/>
      <c r="AM63" s="360">
        <f t="shared" si="0"/>
        <v>0</v>
      </c>
      <c r="AN63" s="362">
        <f>ERP_2[[#This Row],[2026 Working Total]]-ERP_2[[#This Row],[LE2 Final Submission]]</f>
        <v>0</v>
      </c>
      <c r="AO63" s="79">
        <v>16084.39</v>
      </c>
      <c r="AP63" s="79">
        <f t="shared" si="1"/>
        <v>-16084.39</v>
      </c>
      <c r="AQ63" s="374">
        <f>SUM(ERP_2[[#This Row],[AP01]:[AP06]])-SUM(ERP_2[[#This Row],[AP01 LE2]:[AP06 LE2]])</f>
        <v>0</v>
      </c>
      <c r="AR63" s="80"/>
      <c r="AS63" s="79">
        <f>ERP_2[[#This Row],[2026 Working Total to Budget/LE]]-ERP_2[[#This Row],[Giveback]]</f>
        <v>0</v>
      </c>
      <c r="AT63" s="81"/>
      <c r="AU63" s="375"/>
      <c r="AV63" s="375"/>
      <c r="AW63" s="375"/>
      <c r="AX63" s="375">
        <v>-16084.39</v>
      </c>
      <c r="AY63" s="375">
        <v>16084.39</v>
      </c>
      <c r="AZ63" s="375"/>
      <c r="BA63" s="375"/>
      <c r="BB63" s="375"/>
      <c r="BC63" s="375"/>
      <c r="BD63" s="375"/>
      <c r="BE63" s="375"/>
      <c r="BF63" s="375"/>
      <c r="BG63" s="375">
        <v>0</v>
      </c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</row>
    <row r="64" spans="1:72" ht="15" hidden="1" customHeight="1">
      <c r="A64" s="66" t="s">
        <v>1701</v>
      </c>
      <c r="B64" s="66"/>
      <c r="C64" s="66" t="s">
        <v>363</v>
      </c>
      <c r="D64" s="66" t="s">
        <v>363</v>
      </c>
      <c r="E64" s="150" t="s">
        <v>1136</v>
      </c>
      <c r="F64" s="482" t="s">
        <v>1566</v>
      </c>
      <c r="G64" s="150" t="s">
        <v>1135</v>
      </c>
      <c r="H64" s="150" t="s">
        <v>1135</v>
      </c>
      <c r="I64" s="150" t="s">
        <v>1135</v>
      </c>
      <c r="J64" s="150" t="s">
        <v>1135</v>
      </c>
      <c r="K64" s="150" t="s">
        <v>1137</v>
      </c>
      <c r="L64" s="511" t="s">
        <v>342</v>
      </c>
      <c r="M64" s="392" t="s">
        <v>1174</v>
      </c>
      <c r="N64" s="343"/>
      <c r="O64" s="343"/>
      <c r="P64" s="70" t="s">
        <v>56</v>
      </c>
      <c r="Q64" s="346" t="s">
        <v>1139</v>
      </c>
      <c r="R64" s="346" t="s">
        <v>1140</v>
      </c>
      <c r="S64" s="346"/>
      <c r="T64" s="150" t="s">
        <v>57</v>
      </c>
      <c r="U64" s="150"/>
      <c r="V64" s="403"/>
      <c r="W64" s="406">
        <v>0</v>
      </c>
      <c r="X64" s="406">
        <v>2120</v>
      </c>
      <c r="Y64" s="425"/>
      <c r="Z64" s="71"/>
      <c r="AA64" s="426">
        <v>2120</v>
      </c>
      <c r="AB64" s="431">
        <v>0</v>
      </c>
      <c r="AC64" s="431">
        <v>0</v>
      </c>
      <c r="AD64" s="428" t="s">
        <v>1142</v>
      </c>
      <c r="AE64" s="429">
        <v>0</v>
      </c>
      <c r="AF64" s="429">
        <v>0</v>
      </c>
      <c r="AG64" s="360">
        <v>0</v>
      </c>
      <c r="AH64" s="360">
        <v>0</v>
      </c>
      <c r="AI64" s="360">
        <v>0</v>
      </c>
      <c r="AJ64" s="360">
        <v>0</v>
      </c>
      <c r="AK64" s="360">
        <v>0</v>
      </c>
      <c r="AL64" s="360">
        <v>0</v>
      </c>
      <c r="AM64" s="360">
        <f t="shared" si="0"/>
        <v>2120</v>
      </c>
      <c r="AN64" s="362">
        <f>ERP_2[[#This Row],[2026 Working Total]]-ERP_2[[#This Row],[LE2 Final Submission]]</f>
        <v>0</v>
      </c>
      <c r="AO64" s="79">
        <v>0</v>
      </c>
      <c r="AP64" s="79">
        <f t="shared" si="1"/>
        <v>0</v>
      </c>
      <c r="AQ64" s="374">
        <f>SUM(ERP_2[[#This Row],[AP01]:[AP06]])-SUM(ERP_2[[#This Row],[AP01 LE2]:[AP06 LE2]])</f>
        <v>0</v>
      </c>
      <c r="AR64" s="80"/>
      <c r="AS64" s="79">
        <f>ERP_2[[#This Row],[2026 Working Total to Budget/LE]]-ERP_2[[#This Row],[Giveback]]</f>
        <v>0</v>
      </c>
      <c r="AT64" s="81"/>
      <c r="AU64" s="375">
        <v>2120</v>
      </c>
      <c r="AV64" s="375">
        <v>0</v>
      </c>
      <c r="AW64" s="375">
        <v>0</v>
      </c>
      <c r="AX64" s="375">
        <v>0</v>
      </c>
      <c r="AY64" s="375">
        <v>0</v>
      </c>
      <c r="AZ64" s="375">
        <v>0</v>
      </c>
      <c r="BA64" s="375">
        <v>0</v>
      </c>
      <c r="BB64" s="375">
        <v>0</v>
      </c>
      <c r="BC64" s="375">
        <v>0</v>
      </c>
      <c r="BD64" s="375">
        <v>0</v>
      </c>
      <c r="BE64" s="375">
        <v>0</v>
      </c>
      <c r="BF64" s="375">
        <v>0</v>
      </c>
      <c r="BG64" s="375">
        <v>2120</v>
      </c>
      <c r="BH64" s="79">
        <v>2120</v>
      </c>
      <c r="BI64" s="79">
        <v>0</v>
      </c>
      <c r="BJ64" s="79">
        <v>0</v>
      </c>
      <c r="BK64" s="79">
        <v>0</v>
      </c>
      <c r="BL64" s="79">
        <v>0</v>
      </c>
      <c r="BM64" s="79">
        <v>0</v>
      </c>
      <c r="BN64" s="79">
        <v>0</v>
      </c>
      <c r="BO64" s="79">
        <v>0</v>
      </c>
      <c r="BP64" s="79">
        <v>0</v>
      </c>
      <c r="BQ64" s="79">
        <v>0</v>
      </c>
      <c r="BR64" s="79">
        <v>0</v>
      </c>
      <c r="BS64" s="79">
        <v>0</v>
      </c>
      <c r="BT64" s="79">
        <v>2120</v>
      </c>
    </row>
    <row r="65" spans="1:72" ht="15" hidden="1" customHeight="1">
      <c r="A65" s="79" t="s">
        <v>1706</v>
      </c>
      <c r="B65" s="79"/>
      <c r="C65" s="79" t="s">
        <v>366</v>
      </c>
      <c r="D65" s="296" t="s">
        <v>1707</v>
      </c>
      <c r="E65" s="150" t="s">
        <v>1136</v>
      </c>
      <c r="F65" s="482" t="s">
        <v>1566</v>
      </c>
      <c r="G65" s="150" t="s">
        <v>1135</v>
      </c>
      <c r="H65" s="383" t="s">
        <v>1145</v>
      </c>
      <c r="I65" s="332" t="s">
        <v>1135</v>
      </c>
      <c r="J65" s="383" t="s">
        <v>1145</v>
      </c>
      <c r="K65" s="331" t="s">
        <v>1137</v>
      </c>
      <c r="L65" s="512" t="s">
        <v>342</v>
      </c>
      <c r="M65" s="393" t="s">
        <v>1708</v>
      </c>
      <c r="N65" s="343"/>
      <c r="O65" s="331"/>
      <c r="P65" s="91" t="s">
        <v>367</v>
      </c>
      <c r="Q65" s="343"/>
      <c r="R65" s="346" t="s">
        <v>1709</v>
      </c>
      <c r="S65" s="346" t="s">
        <v>1710</v>
      </c>
      <c r="T65" s="386" t="s">
        <v>368</v>
      </c>
      <c r="U65" s="346" t="s">
        <v>1348</v>
      </c>
      <c r="V65" s="437"/>
      <c r="W65" s="358">
        <v>749252.78</v>
      </c>
      <c r="X65" s="378">
        <v>0</v>
      </c>
      <c r="Y65" s="425"/>
      <c r="Z65" s="71"/>
      <c r="AA65" s="433"/>
      <c r="AB65" s="434"/>
      <c r="AC65" s="434"/>
      <c r="AD65" s="428" t="s">
        <v>1142</v>
      </c>
      <c r="AE65" s="429">
        <v>0</v>
      </c>
      <c r="AF65" s="429">
        <v>0</v>
      </c>
      <c r="AG65" s="388">
        <v>0</v>
      </c>
      <c r="AH65" s="388">
        <v>0</v>
      </c>
      <c r="AI65" s="388">
        <v>0</v>
      </c>
      <c r="AJ65" s="388">
        <v>0</v>
      </c>
      <c r="AK65" s="388">
        <v>0</v>
      </c>
      <c r="AL65" s="388">
        <v>0</v>
      </c>
      <c r="AM65" s="360">
        <f t="shared" si="0"/>
        <v>0</v>
      </c>
      <c r="AN65" s="362">
        <f>ERP_2[[#This Row],[2026 Working Total]]-ERP_2[[#This Row],[LE2 Final Submission]]</f>
        <v>0</v>
      </c>
      <c r="AO65" s="79">
        <v>0</v>
      </c>
      <c r="AP65" s="79">
        <f t="shared" si="1"/>
        <v>0</v>
      </c>
      <c r="AQ65" s="374">
        <f>SUM(ERP_2[[#This Row],[AP01]:[AP06]])-SUM(ERP_2[[#This Row],[AP01 LE2]:[AP06 LE2]])</f>
        <v>0</v>
      </c>
      <c r="AR65" s="80"/>
      <c r="AS65" s="79">
        <f>ERP_2[[#This Row],[2026 Working Total to Budget/LE]]-ERP_2[[#This Row],[Giveback]]</f>
        <v>0</v>
      </c>
      <c r="AT65" s="81"/>
      <c r="AU65" s="375"/>
      <c r="AV65" s="375"/>
      <c r="AW65" s="375"/>
      <c r="AX65" s="375">
        <v>0</v>
      </c>
      <c r="AY65" s="375">
        <v>0</v>
      </c>
      <c r="AZ65" s="375">
        <v>0</v>
      </c>
      <c r="BA65" s="375">
        <v>0</v>
      </c>
      <c r="BB65" s="375">
        <v>0</v>
      </c>
      <c r="BC65" s="375">
        <v>0</v>
      </c>
      <c r="BD65" s="375">
        <v>0</v>
      </c>
      <c r="BE65" s="375">
        <v>0</v>
      </c>
      <c r="BF65" s="375">
        <v>0</v>
      </c>
      <c r="BG65" s="375">
        <v>0</v>
      </c>
      <c r="BH65" s="103">
        <v>749252.78</v>
      </c>
      <c r="BI65" s="103">
        <v>0</v>
      </c>
      <c r="BJ65" s="103">
        <v>0</v>
      </c>
      <c r="BK65" s="103">
        <v>0</v>
      </c>
      <c r="BL65" s="103">
        <v>0</v>
      </c>
      <c r="BM65" s="103">
        <v>0</v>
      </c>
      <c r="BN65" s="103">
        <v>0</v>
      </c>
      <c r="BO65" s="103">
        <v>0</v>
      </c>
      <c r="BP65" s="103">
        <v>0</v>
      </c>
      <c r="BQ65" s="103">
        <v>0</v>
      </c>
      <c r="BR65" s="103">
        <v>0</v>
      </c>
      <c r="BS65" s="103">
        <v>0</v>
      </c>
      <c r="BT65" s="79">
        <f>SUM(ERP_2[[#This Row],[2026 AP01]:[2026 AP12]])</f>
        <v>749252.78</v>
      </c>
    </row>
    <row r="66" spans="1:72" ht="15" hidden="1" customHeight="1">
      <c r="A66" s="79" t="s">
        <v>1711</v>
      </c>
      <c r="B66" s="79"/>
      <c r="C66" s="79" t="s">
        <v>369</v>
      </c>
      <c r="D66" s="296" t="s">
        <v>1712</v>
      </c>
      <c r="E66" s="150" t="s">
        <v>1136</v>
      </c>
      <c r="F66" s="482" t="s">
        <v>1566</v>
      </c>
      <c r="G66" s="150" t="s">
        <v>1135</v>
      </c>
      <c r="H66" s="383" t="s">
        <v>1145</v>
      </c>
      <c r="I66" s="332" t="s">
        <v>1135</v>
      </c>
      <c r="J66" s="383" t="s">
        <v>1145</v>
      </c>
      <c r="K66" s="331" t="s">
        <v>1137</v>
      </c>
      <c r="L66" s="512" t="s">
        <v>342</v>
      </c>
      <c r="M66" s="393" t="s">
        <v>1713</v>
      </c>
      <c r="N66" s="343"/>
      <c r="O66" s="331"/>
      <c r="P66" s="91" t="s">
        <v>370</v>
      </c>
      <c r="Q66" s="343"/>
      <c r="R66" s="346" t="s">
        <v>1709</v>
      </c>
      <c r="S66" s="346" t="s">
        <v>1710</v>
      </c>
      <c r="T66" s="386" t="s">
        <v>368</v>
      </c>
      <c r="U66" s="346" t="s">
        <v>1348</v>
      </c>
      <c r="V66" s="437"/>
      <c r="W66" s="358">
        <v>-749252.78</v>
      </c>
      <c r="X66" s="378">
        <v>0</v>
      </c>
      <c r="Y66" s="425"/>
      <c r="Z66" s="71"/>
      <c r="AA66" s="433"/>
      <c r="AB66" s="434"/>
      <c r="AC66" s="434"/>
      <c r="AD66" s="428" t="s">
        <v>1142</v>
      </c>
      <c r="AE66" s="429">
        <v>0</v>
      </c>
      <c r="AF66" s="429">
        <v>0</v>
      </c>
      <c r="AG66" s="388">
        <v>0</v>
      </c>
      <c r="AH66" s="388">
        <v>0</v>
      </c>
      <c r="AI66" s="388">
        <v>0</v>
      </c>
      <c r="AJ66" s="388">
        <v>0</v>
      </c>
      <c r="AK66" s="388">
        <v>0</v>
      </c>
      <c r="AL66" s="388">
        <v>0</v>
      </c>
      <c r="AM66" s="360">
        <f t="shared" si="0"/>
        <v>0</v>
      </c>
      <c r="AN66" s="362">
        <f>ERP_2[[#This Row],[2026 Working Total]]-ERP_2[[#This Row],[LE2 Final Submission]]</f>
        <v>0</v>
      </c>
      <c r="AO66" s="79">
        <v>0</v>
      </c>
      <c r="AP66" s="79">
        <f t="shared" si="1"/>
        <v>0</v>
      </c>
      <c r="AQ66" s="374">
        <f>SUM(ERP_2[[#This Row],[AP01]:[AP06]])-SUM(ERP_2[[#This Row],[AP01 LE2]:[AP06 LE2]])</f>
        <v>0</v>
      </c>
      <c r="AR66" s="80"/>
      <c r="AS66" s="79">
        <f>ERP_2[[#This Row],[2026 Working Total to Budget/LE]]-ERP_2[[#This Row],[Giveback]]</f>
        <v>0</v>
      </c>
      <c r="AT66" s="81"/>
      <c r="AU66" s="375"/>
      <c r="AV66" s="375"/>
      <c r="AW66" s="375"/>
      <c r="AX66" s="375">
        <v>0</v>
      </c>
      <c r="AY66" s="375">
        <v>0</v>
      </c>
      <c r="AZ66" s="375">
        <v>0</v>
      </c>
      <c r="BA66" s="375">
        <v>0</v>
      </c>
      <c r="BB66" s="375">
        <v>0</v>
      </c>
      <c r="BC66" s="375">
        <v>0</v>
      </c>
      <c r="BD66" s="375">
        <v>0</v>
      </c>
      <c r="BE66" s="375">
        <v>0</v>
      </c>
      <c r="BF66" s="375">
        <v>0</v>
      </c>
      <c r="BG66" s="375">
        <v>0</v>
      </c>
      <c r="BH66" s="103">
        <v>-749252.78</v>
      </c>
      <c r="BI66" s="103">
        <v>0</v>
      </c>
      <c r="BJ66" s="103">
        <v>0</v>
      </c>
      <c r="BK66" s="103">
        <v>0</v>
      </c>
      <c r="BL66" s="103">
        <v>0</v>
      </c>
      <c r="BM66" s="103">
        <v>0</v>
      </c>
      <c r="BN66" s="103">
        <v>0</v>
      </c>
      <c r="BO66" s="103">
        <v>0</v>
      </c>
      <c r="BP66" s="103">
        <v>0</v>
      </c>
      <c r="BQ66" s="103">
        <v>0</v>
      </c>
      <c r="BR66" s="103">
        <v>0</v>
      </c>
      <c r="BS66" s="103">
        <v>0</v>
      </c>
      <c r="BT66" s="79">
        <f>SUM(ERP_2[[#This Row],[2026 AP01]:[2026 AP12]])</f>
        <v>-749252.78</v>
      </c>
    </row>
    <row r="67" spans="1:72" ht="15" hidden="1" customHeight="1">
      <c r="A67" s="79" t="s">
        <v>1714</v>
      </c>
      <c r="B67" s="79"/>
      <c r="C67" s="79" t="s">
        <v>371</v>
      </c>
      <c r="D67" s="296" t="s">
        <v>1715</v>
      </c>
      <c r="E67" s="150" t="s">
        <v>1136</v>
      </c>
      <c r="F67" s="482" t="s">
        <v>1566</v>
      </c>
      <c r="G67" s="150" t="s">
        <v>1135</v>
      </c>
      <c r="H67" s="383" t="s">
        <v>1145</v>
      </c>
      <c r="I67" s="332" t="s">
        <v>1135</v>
      </c>
      <c r="J67" s="383" t="s">
        <v>1145</v>
      </c>
      <c r="K67" s="331" t="s">
        <v>1137</v>
      </c>
      <c r="L67" s="512" t="s">
        <v>342</v>
      </c>
      <c r="M67" s="393" t="s">
        <v>1716</v>
      </c>
      <c r="N67" s="343"/>
      <c r="O67" s="331"/>
      <c r="P67" s="91" t="s">
        <v>372</v>
      </c>
      <c r="Q67" s="343"/>
      <c r="R67" s="346" t="s">
        <v>1717</v>
      </c>
      <c r="S67" s="346" t="s">
        <v>1710</v>
      </c>
      <c r="T67" s="386" t="s">
        <v>368</v>
      </c>
      <c r="U67" s="346" t="s">
        <v>1348</v>
      </c>
      <c r="V67" s="437"/>
      <c r="W67" s="358">
        <v>783580.73</v>
      </c>
      <c r="X67" s="378">
        <v>0</v>
      </c>
      <c r="Y67" s="425"/>
      <c r="Z67" s="71"/>
      <c r="AA67" s="433"/>
      <c r="AB67" s="434"/>
      <c r="AC67" s="434"/>
      <c r="AD67" s="428" t="s">
        <v>1142</v>
      </c>
      <c r="AE67" s="429">
        <v>0</v>
      </c>
      <c r="AF67" s="429">
        <v>0</v>
      </c>
      <c r="AG67" s="388">
        <v>0</v>
      </c>
      <c r="AH67" s="388">
        <v>0</v>
      </c>
      <c r="AI67" s="388">
        <v>0</v>
      </c>
      <c r="AJ67" s="388">
        <v>0</v>
      </c>
      <c r="AK67" s="388">
        <v>0</v>
      </c>
      <c r="AL67" s="388">
        <v>0</v>
      </c>
      <c r="AM67" s="360">
        <f t="shared" si="0"/>
        <v>0</v>
      </c>
      <c r="AN67" s="362">
        <f>ERP_2[[#This Row],[2026 Working Total]]-ERP_2[[#This Row],[LE2 Final Submission]]</f>
        <v>0</v>
      </c>
      <c r="AO67" s="79">
        <v>0</v>
      </c>
      <c r="AP67" s="79">
        <f t="shared" si="1"/>
        <v>0</v>
      </c>
      <c r="AQ67" s="374">
        <f>SUM(ERP_2[[#This Row],[AP01]:[AP06]])-SUM(ERP_2[[#This Row],[AP01 LE2]:[AP06 LE2]])</f>
        <v>0</v>
      </c>
      <c r="AR67" s="80"/>
      <c r="AS67" s="79">
        <f>ERP_2[[#This Row],[2026 Working Total to Budget/LE]]-ERP_2[[#This Row],[Giveback]]</f>
        <v>0</v>
      </c>
      <c r="AT67" s="81"/>
      <c r="AU67" s="375"/>
      <c r="AV67" s="375"/>
      <c r="AW67" s="375"/>
      <c r="AX67" s="375">
        <v>0</v>
      </c>
      <c r="AY67" s="375">
        <v>0</v>
      </c>
      <c r="AZ67" s="375">
        <v>0</v>
      </c>
      <c r="BA67" s="375">
        <v>0</v>
      </c>
      <c r="BB67" s="375">
        <v>0</v>
      </c>
      <c r="BC67" s="375">
        <v>0</v>
      </c>
      <c r="BD67" s="375">
        <v>0</v>
      </c>
      <c r="BE67" s="375">
        <v>0</v>
      </c>
      <c r="BF67" s="375">
        <v>0</v>
      </c>
      <c r="BG67" s="375">
        <v>0</v>
      </c>
      <c r="BH67" s="103">
        <v>783580.73</v>
      </c>
      <c r="BI67" s="103">
        <v>0</v>
      </c>
      <c r="BJ67" s="103">
        <v>0</v>
      </c>
      <c r="BK67" s="103">
        <v>0</v>
      </c>
      <c r="BL67" s="103">
        <v>0</v>
      </c>
      <c r="BM67" s="103">
        <v>0</v>
      </c>
      <c r="BN67" s="103">
        <v>0</v>
      </c>
      <c r="BO67" s="103">
        <v>0</v>
      </c>
      <c r="BP67" s="103">
        <v>0</v>
      </c>
      <c r="BQ67" s="103">
        <v>0</v>
      </c>
      <c r="BR67" s="103">
        <v>0</v>
      </c>
      <c r="BS67" s="103">
        <v>0</v>
      </c>
      <c r="BT67" s="79">
        <f>SUM(ERP_2[[#This Row],[2026 AP01]:[2026 AP12]])</f>
        <v>783580.73</v>
      </c>
    </row>
    <row r="68" spans="1:72" ht="15" hidden="1" customHeight="1">
      <c r="A68" s="79" t="s">
        <v>1718</v>
      </c>
      <c r="B68" s="79"/>
      <c r="C68" s="79" t="s">
        <v>373</v>
      </c>
      <c r="D68" s="296" t="s">
        <v>1719</v>
      </c>
      <c r="E68" s="150" t="s">
        <v>1136</v>
      </c>
      <c r="F68" s="482" t="s">
        <v>1566</v>
      </c>
      <c r="G68" s="150" t="s">
        <v>1135</v>
      </c>
      <c r="H68" s="383" t="s">
        <v>1145</v>
      </c>
      <c r="I68" s="332" t="s">
        <v>1135</v>
      </c>
      <c r="J68" s="383" t="s">
        <v>1145</v>
      </c>
      <c r="K68" s="331" t="s">
        <v>1137</v>
      </c>
      <c r="L68" s="512" t="s">
        <v>342</v>
      </c>
      <c r="M68" s="393" t="s">
        <v>1720</v>
      </c>
      <c r="N68" s="343"/>
      <c r="O68" s="331"/>
      <c r="P68" s="91" t="s">
        <v>374</v>
      </c>
      <c r="Q68" s="343"/>
      <c r="R68" s="346" t="s">
        <v>1717</v>
      </c>
      <c r="S68" s="346" t="s">
        <v>1710</v>
      </c>
      <c r="T68" s="386" t="s">
        <v>368</v>
      </c>
      <c r="U68" s="346" t="s">
        <v>1348</v>
      </c>
      <c r="V68" s="437"/>
      <c r="W68" s="358">
        <v>-783580.73</v>
      </c>
      <c r="X68" s="378">
        <v>0</v>
      </c>
      <c r="Y68" s="425"/>
      <c r="Z68" s="71"/>
      <c r="AA68" s="433"/>
      <c r="AB68" s="434"/>
      <c r="AC68" s="434"/>
      <c r="AD68" s="428" t="s">
        <v>1142</v>
      </c>
      <c r="AE68" s="429">
        <v>0</v>
      </c>
      <c r="AF68" s="429">
        <v>0</v>
      </c>
      <c r="AG68" s="388">
        <v>0</v>
      </c>
      <c r="AH68" s="388">
        <v>0</v>
      </c>
      <c r="AI68" s="388">
        <v>0</v>
      </c>
      <c r="AJ68" s="388">
        <v>0</v>
      </c>
      <c r="AK68" s="388">
        <v>0</v>
      </c>
      <c r="AL68" s="388">
        <v>0</v>
      </c>
      <c r="AM68" s="360">
        <f t="shared" si="0"/>
        <v>0</v>
      </c>
      <c r="AN68" s="362">
        <f>ERP_2[[#This Row],[2026 Working Total]]-ERP_2[[#This Row],[LE2 Final Submission]]</f>
        <v>0</v>
      </c>
      <c r="AO68" s="79">
        <v>0</v>
      </c>
      <c r="AP68" s="79">
        <f t="shared" si="1"/>
        <v>0</v>
      </c>
      <c r="AQ68" s="374">
        <f>SUM(ERP_2[[#This Row],[AP01]:[AP06]])-SUM(ERP_2[[#This Row],[AP01 LE2]:[AP06 LE2]])</f>
        <v>0</v>
      </c>
      <c r="AR68" s="80"/>
      <c r="AS68" s="79">
        <f>ERP_2[[#This Row],[2026 Working Total to Budget/LE]]-ERP_2[[#This Row],[Giveback]]</f>
        <v>0</v>
      </c>
      <c r="AT68" s="81"/>
      <c r="AU68" s="375"/>
      <c r="AV68" s="375"/>
      <c r="AW68" s="375"/>
      <c r="AX68" s="375">
        <v>0</v>
      </c>
      <c r="AY68" s="375">
        <v>0</v>
      </c>
      <c r="AZ68" s="375">
        <v>0</v>
      </c>
      <c r="BA68" s="375">
        <v>0</v>
      </c>
      <c r="BB68" s="375">
        <v>0</v>
      </c>
      <c r="BC68" s="375">
        <v>0</v>
      </c>
      <c r="BD68" s="375">
        <v>0</v>
      </c>
      <c r="BE68" s="375">
        <v>0</v>
      </c>
      <c r="BF68" s="375">
        <v>0</v>
      </c>
      <c r="BG68" s="375">
        <v>0</v>
      </c>
      <c r="BH68" s="103">
        <v>-783580.73</v>
      </c>
      <c r="BI68" s="103">
        <v>0</v>
      </c>
      <c r="BJ68" s="103">
        <v>0</v>
      </c>
      <c r="BK68" s="103">
        <v>0</v>
      </c>
      <c r="BL68" s="103">
        <v>0</v>
      </c>
      <c r="BM68" s="103">
        <v>0</v>
      </c>
      <c r="BN68" s="103">
        <v>0</v>
      </c>
      <c r="BO68" s="103">
        <v>0</v>
      </c>
      <c r="BP68" s="103">
        <v>0</v>
      </c>
      <c r="BQ68" s="103">
        <v>0</v>
      </c>
      <c r="BR68" s="103">
        <v>0</v>
      </c>
      <c r="BS68" s="103">
        <v>0</v>
      </c>
      <c r="BT68" s="79">
        <f>SUM(ERP_2[[#This Row],[2026 AP01]:[2026 AP12]])</f>
        <v>-783580.73</v>
      </c>
    </row>
    <row r="69" spans="1:72" ht="15" hidden="1" customHeight="1">
      <c r="A69" s="79" t="s">
        <v>1751</v>
      </c>
      <c r="B69" s="79"/>
      <c r="C69" s="79" t="s">
        <v>390</v>
      </c>
      <c r="D69" s="296" t="s">
        <v>1752</v>
      </c>
      <c r="E69" s="150" t="s">
        <v>1136</v>
      </c>
      <c r="F69" s="482" t="s">
        <v>1566</v>
      </c>
      <c r="G69" s="150" t="s">
        <v>1135</v>
      </c>
      <c r="H69" s="383" t="s">
        <v>1165</v>
      </c>
      <c r="I69" s="332" t="s">
        <v>1135</v>
      </c>
      <c r="J69" s="383" t="s">
        <v>1165</v>
      </c>
      <c r="K69" s="150" t="s">
        <v>1137</v>
      </c>
      <c r="L69" s="512" t="s">
        <v>389</v>
      </c>
      <c r="M69" s="393" t="s">
        <v>1753</v>
      </c>
      <c r="N69" s="343"/>
      <c r="O69" s="333"/>
      <c r="P69" s="91" t="s">
        <v>391</v>
      </c>
      <c r="Q69" s="347"/>
      <c r="R69" s="343"/>
      <c r="S69" s="348"/>
      <c r="T69" s="386" t="s">
        <v>152</v>
      </c>
      <c r="U69" s="387" t="s">
        <v>1754</v>
      </c>
      <c r="V69" s="432"/>
      <c r="W69" s="358">
        <v>183105</v>
      </c>
      <c r="X69" s="378">
        <v>0</v>
      </c>
      <c r="Y69" s="425"/>
      <c r="Z69" s="71"/>
      <c r="AA69" s="433"/>
      <c r="AB69" s="434"/>
      <c r="AC69" s="434"/>
      <c r="AD69" s="428" t="s">
        <v>1142</v>
      </c>
      <c r="AE69" s="429">
        <v>0</v>
      </c>
      <c r="AF69" s="429">
        <v>0</v>
      </c>
      <c r="AG69" s="388"/>
      <c r="AH69" s="388"/>
      <c r="AI69" s="388"/>
      <c r="AJ69" s="388"/>
      <c r="AK69" s="388"/>
      <c r="AL69" s="388"/>
      <c r="AM69" s="360">
        <f t="shared" si="0"/>
        <v>0</v>
      </c>
      <c r="AN69" s="362">
        <f>ERP_2[[#This Row],[2026 Working Total]]-ERP_2[[#This Row],[LE2 Final Submission]]</f>
        <v>0</v>
      </c>
      <c r="AO69" s="79">
        <v>16071</v>
      </c>
      <c r="AP69" s="79">
        <f t="shared" si="1"/>
        <v>-16071</v>
      </c>
      <c r="AQ69" s="374">
        <f>SUM(ERP_2[[#This Row],[AP01]:[AP06]])-SUM(ERP_2[[#This Row],[AP01 LE2]:[AP06 LE2]])</f>
        <v>0</v>
      </c>
      <c r="AR69" s="80">
        <v>-183105</v>
      </c>
      <c r="AS69" s="79">
        <f>ERP_2[[#This Row],[2026 Working Total to Budget/LE]]-ERP_2[[#This Row],[Giveback]]</f>
        <v>183105</v>
      </c>
      <c r="AT69" s="81" t="s">
        <v>1755</v>
      </c>
      <c r="AU69" s="375"/>
      <c r="AV69" s="375"/>
      <c r="AW69" s="375"/>
      <c r="AX69" s="375"/>
      <c r="AY69" s="375"/>
      <c r="AZ69" s="375"/>
      <c r="BA69" s="375"/>
      <c r="BB69" s="375"/>
      <c r="BC69" s="375"/>
      <c r="BD69" s="375"/>
      <c r="BE69" s="375"/>
      <c r="BF69" s="375"/>
      <c r="BG69" s="375">
        <v>0</v>
      </c>
      <c r="BH69" s="103">
        <v>15258.75</v>
      </c>
      <c r="BI69" s="103">
        <v>15258.75</v>
      </c>
      <c r="BJ69" s="103">
        <v>15258.75</v>
      </c>
      <c r="BK69" s="103">
        <v>15258.75</v>
      </c>
      <c r="BL69" s="103">
        <v>15258.75</v>
      </c>
      <c r="BM69" s="103">
        <v>15258.75</v>
      </c>
      <c r="BN69" s="103">
        <v>15258.75</v>
      </c>
      <c r="BO69" s="103">
        <v>15258.75</v>
      </c>
      <c r="BP69" s="103">
        <v>15258.75</v>
      </c>
      <c r="BQ69" s="103">
        <v>15258.75</v>
      </c>
      <c r="BR69" s="103">
        <v>15258.75</v>
      </c>
      <c r="BS69" s="103">
        <v>15258.75</v>
      </c>
      <c r="BT69" s="79">
        <f>SUM(ERP_2[[#This Row],[2026 AP01]:[2026 AP12]])</f>
        <v>183105</v>
      </c>
    </row>
    <row r="70" spans="1:72" ht="15" hidden="1" customHeight="1">
      <c r="A70" s="66" t="s">
        <v>1756</v>
      </c>
      <c r="B70" s="66"/>
      <c r="C70" s="66" t="s">
        <v>392</v>
      </c>
      <c r="D70" s="66" t="s">
        <v>1757</v>
      </c>
      <c r="E70" s="150" t="s">
        <v>1136</v>
      </c>
      <c r="F70" s="482" t="s">
        <v>1566</v>
      </c>
      <c r="G70" s="150" t="s">
        <v>1135</v>
      </c>
      <c r="H70" s="150" t="s">
        <v>1165</v>
      </c>
      <c r="I70" s="150" t="s">
        <v>1135</v>
      </c>
      <c r="J70" s="150" t="s">
        <v>1165</v>
      </c>
      <c r="K70" s="150" t="s">
        <v>1137</v>
      </c>
      <c r="L70" s="511" t="s">
        <v>389</v>
      </c>
      <c r="M70" s="392" t="s">
        <v>1758</v>
      </c>
      <c r="N70" s="343"/>
      <c r="O70" s="343"/>
      <c r="P70" s="70" t="s">
        <v>393</v>
      </c>
      <c r="Q70" s="346"/>
      <c r="R70" s="343"/>
      <c r="S70" s="346"/>
      <c r="T70" s="150" t="s">
        <v>152</v>
      </c>
      <c r="U70" s="150"/>
      <c r="V70" s="403"/>
      <c r="W70" s="406">
        <v>0</v>
      </c>
      <c r="X70" s="406">
        <v>112500</v>
      </c>
      <c r="Y70" s="425"/>
      <c r="Z70" s="71"/>
      <c r="AA70" s="426"/>
      <c r="AB70" s="427"/>
      <c r="AC70" s="427"/>
      <c r="AD70" s="428" t="s">
        <v>1142</v>
      </c>
      <c r="AE70" s="429">
        <v>0</v>
      </c>
      <c r="AF70" s="429">
        <v>0</v>
      </c>
      <c r="AG70" s="363">
        <v>19000</v>
      </c>
      <c r="AH70" s="363">
        <v>19000</v>
      </c>
      <c r="AI70" s="363">
        <v>19000</v>
      </c>
      <c r="AJ70" s="363">
        <v>18500</v>
      </c>
      <c r="AK70" s="363">
        <v>18500</v>
      </c>
      <c r="AL70" s="363">
        <v>18500</v>
      </c>
      <c r="AM70" s="360">
        <f t="shared" si="0"/>
        <v>112500</v>
      </c>
      <c r="AN70" s="362">
        <f>ERP_2[[#This Row],[2026 Working Total]]-ERP_2[[#This Row],[LE2 Final Submission]]</f>
        <v>0</v>
      </c>
      <c r="AO70" s="79">
        <v>0</v>
      </c>
      <c r="AP70" s="79">
        <f t="shared" si="1"/>
        <v>0</v>
      </c>
      <c r="AQ70" s="374">
        <f>SUM(ERP_2[[#This Row],[AP01]:[AP06]])-SUM(ERP_2[[#This Row],[AP01 LE2]:[AP06 LE2]])</f>
        <v>-37500</v>
      </c>
      <c r="AR70" s="80"/>
      <c r="AS70" s="79">
        <f>ERP_2[[#This Row],[2026 Working Total to Budget/LE]]-ERP_2[[#This Row],[Giveback]]</f>
        <v>0</v>
      </c>
      <c r="AT70" s="81"/>
      <c r="AU70" s="375"/>
      <c r="AV70" s="375"/>
      <c r="AW70" s="375"/>
      <c r="AX70" s="375">
        <v>12500</v>
      </c>
      <c r="AY70" s="375">
        <v>12500</v>
      </c>
      <c r="AZ70" s="375">
        <v>12500</v>
      </c>
      <c r="BA70" s="375">
        <v>12500</v>
      </c>
      <c r="BB70" s="375">
        <v>12500</v>
      </c>
      <c r="BC70" s="375">
        <v>12500</v>
      </c>
      <c r="BD70" s="375">
        <v>12500</v>
      </c>
      <c r="BE70" s="375">
        <v>12500</v>
      </c>
      <c r="BF70" s="375">
        <v>12500</v>
      </c>
      <c r="BG70" s="375">
        <v>112500</v>
      </c>
      <c r="BH70" s="79"/>
      <c r="BI70" s="79"/>
      <c r="BJ70" s="79"/>
      <c r="BK70" s="79">
        <v>12500</v>
      </c>
      <c r="BL70" s="79">
        <v>12500</v>
      </c>
      <c r="BM70" s="79">
        <v>12500</v>
      </c>
      <c r="BN70" s="79">
        <v>12500</v>
      </c>
      <c r="BO70" s="79">
        <v>12500</v>
      </c>
      <c r="BP70" s="79">
        <v>12500</v>
      </c>
      <c r="BQ70" s="79">
        <v>12500</v>
      </c>
      <c r="BR70" s="79">
        <v>12500</v>
      </c>
      <c r="BS70" s="79">
        <v>12500</v>
      </c>
      <c r="BT70" s="79">
        <v>112500</v>
      </c>
    </row>
    <row r="71" spans="1:72" ht="15" hidden="1" customHeight="1">
      <c r="A71" s="66" t="s">
        <v>1759</v>
      </c>
      <c r="B71" s="66"/>
      <c r="C71" s="66" t="s">
        <v>394</v>
      </c>
      <c r="D71" s="66" t="s">
        <v>1760</v>
      </c>
      <c r="E71" s="150" t="s">
        <v>1136</v>
      </c>
      <c r="F71" s="482" t="s">
        <v>1566</v>
      </c>
      <c r="G71" s="150" t="s">
        <v>1135</v>
      </c>
      <c r="H71" s="150" t="s">
        <v>1165</v>
      </c>
      <c r="I71" s="150" t="s">
        <v>1135</v>
      </c>
      <c r="J71" s="150" t="s">
        <v>1165</v>
      </c>
      <c r="K71" s="150" t="s">
        <v>1137</v>
      </c>
      <c r="L71" s="511" t="s">
        <v>389</v>
      </c>
      <c r="M71" s="392" t="s">
        <v>1761</v>
      </c>
      <c r="N71" s="343"/>
      <c r="O71" s="343"/>
      <c r="P71" s="70" t="s">
        <v>395</v>
      </c>
      <c r="Q71" s="346"/>
      <c r="R71" s="343"/>
      <c r="S71" s="346"/>
      <c r="T71" s="150" t="s">
        <v>152</v>
      </c>
      <c r="U71" s="150"/>
      <c r="V71" s="403"/>
      <c r="W71" s="406">
        <v>0</v>
      </c>
      <c r="X71" s="406">
        <v>90000</v>
      </c>
      <c r="Y71" s="425"/>
      <c r="Z71" s="71"/>
      <c r="AA71" s="426"/>
      <c r="AB71" s="427"/>
      <c r="AC71" s="427"/>
      <c r="AD71" s="428" t="s">
        <v>1142</v>
      </c>
      <c r="AE71" s="429">
        <v>0</v>
      </c>
      <c r="AF71" s="429">
        <v>0</v>
      </c>
      <c r="AG71" s="363">
        <v>15000</v>
      </c>
      <c r="AH71" s="363">
        <v>15000</v>
      </c>
      <c r="AI71" s="363">
        <v>15000</v>
      </c>
      <c r="AJ71" s="363">
        <v>15000</v>
      </c>
      <c r="AK71" s="363">
        <v>15000</v>
      </c>
      <c r="AL71" s="363">
        <v>15000</v>
      </c>
      <c r="AM71" s="360">
        <f t="shared" si="0"/>
        <v>90000</v>
      </c>
      <c r="AN71" s="362">
        <f>ERP_2[[#This Row],[2026 Working Total]]-ERP_2[[#This Row],[LE2 Final Submission]]</f>
        <v>0</v>
      </c>
      <c r="AO71" s="79">
        <v>3190</v>
      </c>
      <c r="AP71" s="79">
        <f t="shared" si="1"/>
        <v>-3190</v>
      </c>
      <c r="AQ71" s="374">
        <f>SUM(ERP_2[[#This Row],[AP01]:[AP06]])-SUM(ERP_2[[#This Row],[AP01 LE2]:[AP06 LE2]])</f>
        <v>-30000</v>
      </c>
      <c r="AR71" s="80"/>
      <c r="AS71" s="79">
        <f>ERP_2[[#This Row],[2026 Working Total to Budget/LE]]-ERP_2[[#This Row],[Giveback]]</f>
        <v>0</v>
      </c>
      <c r="AT71" s="81"/>
      <c r="AU71" s="375"/>
      <c r="AV71" s="375"/>
      <c r="AW71" s="375"/>
      <c r="AX71" s="375">
        <v>10000</v>
      </c>
      <c r="AY71" s="375">
        <v>10000</v>
      </c>
      <c r="AZ71" s="375">
        <v>10000</v>
      </c>
      <c r="BA71" s="375">
        <v>10000</v>
      </c>
      <c r="BB71" s="375">
        <v>10000</v>
      </c>
      <c r="BC71" s="375">
        <v>10000</v>
      </c>
      <c r="BD71" s="375">
        <v>10000</v>
      </c>
      <c r="BE71" s="375">
        <v>10000</v>
      </c>
      <c r="BF71" s="375">
        <v>10000</v>
      </c>
      <c r="BG71" s="375">
        <v>90000</v>
      </c>
      <c r="BH71" s="79"/>
      <c r="BI71" s="79"/>
      <c r="BJ71" s="79"/>
      <c r="BK71" s="79">
        <v>10000</v>
      </c>
      <c r="BL71" s="79">
        <v>10000</v>
      </c>
      <c r="BM71" s="79">
        <v>10000</v>
      </c>
      <c r="BN71" s="79">
        <v>10000</v>
      </c>
      <c r="BO71" s="79">
        <v>10000</v>
      </c>
      <c r="BP71" s="79">
        <v>10000</v>
      </c>
      <c r="BQ71" s="79">
        <v>10000</v>
      </c>
      <c r="BR71" s="79">
        <v>10000</v>
      </c>
      <c r="BS71" s="79">
        <v>10000</v>
      </c>
      <c r="BT71" s="79">
        <v>90000</v>
      </c>
    </row>
    <row r="72" spans="1:72" ht="15" hidden="1" customHeight="1">
      <c r="A72" s="66" t="s">
        <v>1763</v>
      </c>
      <c r="B72" s="66"/>
      <c r="C72" s="66" t="s">
        <v>396</v>
      </c>
      <c r="D72" s="66" t="s">
        <v>1764</v>
      </c>
      <c r="E72" s="150" t="s">
        <v>1136</v>
      </c>
      <c r="F72" s="482" t="s">
        <v>1566</v>
      </c>
      <c r="G72" s="150" t="s">
        <v>1135</v>
      </c>
      <c r="H72" s="150" t="s">
        <v>1165</v>
      </c>
      <c r="I72" s="150" t="s">
        <v>1135</v>
      </c>
      <c r="J72" s="150" t="s">
        <v>1165</v>
      </c>
      <c r="K72" s="150" t="s">
        <v>1137</v>
      </c>
      <c r="L72" s="511" t="s">
        <v>389</v>
      </c>
      <c r="M72" s="392" t="s">
        <v>1765</v>
      </c>
      <c r="N72" s="343"/>
      <c r="O72" s="343"/>
      <c r="P72" s="70" t="s">
        <v>397</v>
      </c>
      <c r="Q72" s="346"/>
      <c r="R72" s="343"/>
      <c r="S72" s="346"/>
      <c r="T72" s="150" t="s">
        <v>398</v>
      </c>
      <c r="U72" s="150"/>
      <c r="V72" s="403"/>
      <c r="W72" s="406">
        <v>0</v>
      </c>
      <c r="X72" s="406">
        <v>56250</v>
      </c>
      <c r="Y72" s="425"/>
      <c r="Z72" s="71"/>
      <c r="AA72" s="426"/>
      <c r="AB72" s="427"/>
      <c r="AC72" s="427"/>
      <c r="AD72" s="428" t="s">
        <v>1142</v>
      </c>
      <c r="AE72" s="429">
        <v>0</v>
      </c>
      <c r="AF72" s="429">
        <v>0</v>
      </c>
      <c r="AG72" s="363">
        <v>9500</v>
      </c>
      <c r="AH72" s="363">
        <v>9250</v>
      </c>
      <c r="AI72" s="363">
        <v>9500</v>
      </c>
      <c r="AJ72" s="363">
        <v>9250</v>
      </c>
      <c r="AK72" s="363">
        <v>9500</v>
      </c>
      <c r="AL72" s="363">
        <v>9250</v>
      </c>
      <c r="AM72" s="360">
        <f t="shared" ref="AM72:AM135" si="3">SUM(AA72:AL72)</f>
        <v>56250</v>
      </c>
      <c r="AN72" s="362">
        <f>ERP_2[[#This Row],[2026 Working Total]]-ERP_2[[#This Row],[LE2 Final Submission]]</f>
        <v>0</v>
      </c>
      <c r="AO72" s="79">
        <v>12602</v>
      </c>
      <c r="AP72" s="79">
        <f t="shared" ref="AP72:AP135" si="4">$AF72 - $AO72</f>
        <v>-12602</v>
      </c>
      <c r="AQ72" s="374">
        <f>SUM(ERP_2[[#This Row],[AP01]:[AP06]])-SUM(ERP_2[[#This Row],[AP01 LE2]:[AP06 LE2]])</f>
        <v>-18750</v>
      </c>
      <c r="AR72" s="80"/>
      <c r="AS72" s="79">
        <f>ERP_2[[#This Row],[2026 Working Total to Budget/LE]]-ERP_2[[#This Row],[Giveback]]</f>
        <v>0</v>
      </c>
      <c r="AT72" s="81"/>
      <c r="AU72" s="375"/>
      <c r="AV72" s="375"/>
      <c r="AW72" s="375"/>
      <c r="AX72" s="375">
        <v>6250</v>
      </c>
      <c r="AY72" s="375">
        <v>6250</v>
      </c>
      <c r="AZ72" s="375">
        <v>6250</v>
      </c>
      <c r="BA72" s="375">
        <v>6250</v>
      </c>
      <c r="BB72" s="375">
        <v>6250</v>
      </c>
      <c r="BC72" s="375">
        <v>6250</v>
      </c>
      <c r="BD72" s="375">
        <v>6250</v>
      </c>
      <c r="BE72" s="375">
        <v>6250</v>
      </c>
      <c r="BF72" s="375">
        <v>6250</v>
      </c>
      <c r="BG72" s="375">
        <v>56250</v>
      </c>
      <c r="BH72" s="79"/>
      <c r="BI72" s="79"/>
      <c r="BJ72" s="79"/>
      <c r="BK72" s="79">
        <v>6250</v>
      </c>
      <c r="BL72" s="79">
        <v>6250</v>
      </c>
      <c r="BM72" s="79">
        <v>6250</v>
      </c>
      <c r="BN72" s="79">
        <v>6250</v>
      </c>
      <c r="BO72" s="79">
        <v>6250</v>
      </c>
      <c r="BP72" s="79">
        <v>6250</v>
      </c>
      <c r="BQ72" s="79">
        <v>6250</v>
      </c>
      <c r="BR72" s="79">
        <v>6250</v>
      </c>
      <c r="BS72" s="79">
        <v>6250</v>
      </c>
      <c r="BT72" s="79">
        <v>56250</v>
      </c>
    </row>
    <row r="73" spans="1:72" ht="15" hidden="1" customHeight="1">
      <c r="A73" s="150" t="s">
        <v>1767</v>
      </c>
      <c r="B73" s="150"/>
      <c r="C73" s="536" t="s">
        <v>399</v>
      </c>
      <c r="D73" s="296" t="s">
        <v>1768</v>
      </c>
      <c r="E73" s="150" t="s">
        <v>1136</v>
      </c>
      <c r="F73" s="482" t="s">
        <v>1566</v>
      </c>
      <c r="G73" s="150" t="s">
        <v>1135</v>
      </c>
      <c r="H73" s="383" t="s">
        <v>1145</v>
      </c>
      <c r="I73" s="332" t="s">
        <v>1135</v>
      </c>
      <c r="J73" s="383" t="s">
        <v>1145</v>
      </c>
      <c r="K73" s="383" t="s">
        <v>1145</v>
      </c>
      <c r="L73" s="514" t="s">
        <v>389</v>
      </c>
      <c r="M73" s="394" t="s">
        <v>1769</v>
      </c>
      <c r="N73" s="333"/>
      <c r="O73" s="332" t="s">
        <v>1186</v>
      </c>
      <c r="P73" s="90" t="s">
        <v>400</v>
      </c>
      <c r="Q73" s="347"/>
      <c r="R73" s="347"/>
      <c r="S73" s="348"/>
      <c r="T73" s="348"/>
      <c r="U73" s="348"/>
      <c r="V73" s="402"/>
      <c r="W73" s="406"/>
      <c r="X73" s="406"/>
      <c r="Y73" s="425"/>
      <c r="Z73" s="71"/>
      <c r="AA73" s="435"/>
      <c r="AB73" s="436"/>
      <c r="AC73" s="436"/>
      <c r="AD73" s="429">
        <v>19</v>
      </c>
      <c r="AE73" s="429">
        <v>0</v>
      </c>
      <c r="AF73" s="429">
        <v>0</v>
      </c>
      <c r="AG73" s="364"/>
      <c r="AH73" s="364"/>
      <c r="AI73" s="364"/>
      <c r="AJ73" s="364"/>
      <c r="AK73" s="364"/>
      <c r="AL73" s="364"/>
      <c r="AM73" s="360">
        <f t="shared" si="3"/>
        <v>19</v>
      </c>
      <c r="AN73" s="362">
        <f>ERP_2[[#This Row],[2026 Working Total]]-ERP_2[[#This Row],[LE2 Final Submission]]</f>
        <v>19</v>
      </c>
      <c r="AO73" s="79">
        <v>0</v>
      </c>
      <c r="AP73" s="79">
        <f t="shared" si="4"/>
        <v>0</v>
      </c>
      <c r="AQ73" s="374">
        <f>SUM(ERP_2[[#This Row],[AP01]:[AP06]])-SUM(ERP_2[[#This Row],[AP01 LE2]:[AP06 LE2]])</f>
        <v>19</v>
      </c>
      <c r="AR73" s="80"/>
      <c r="AS73" s="79">
        <f>ERP_2[[#This Row],[2026 Working Total to Budget/LE]]-ERP_2[[#This Row],[Giveback]]</f>
        <v>19</v>
      </c>
      <c r="AT73" s="81"/>
      <c r="AU73" s="375"/>
      <c r="AV73" s="375"/>
      <c r="AW73" s="375"/>
      <c r="AX73" s="375"/>
      <c r="AY73" s="375"/>
      <c r="AZ73" s="375"/>
      <c r="BA73" s="375"/>
      <c r="BB73" s="375"/>
      <c r="BC73" s="375"/>
      <c r="BD73" s="375"/>
      <c r="BE73" s="375"/>
      <c r="BF73" s="375"/>
      <c r="BG73" s="375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</row>
    <row r="74" spans="1:72" ht="15" hidden="1" customHeight="1">
      <c r="A74" s="150" t="s">
        <v>1770</v>
      </c>
      <c r="B74" s="150"/>
      <c r="C74" s="536" t="s">
        <v>401</v>
      </c>
      <c r="D74" s="296" t="s">
        <v>1771</v>
      </c>
      <c r="E74" s="150" t="s">
        <v>1136</v>
      </c>
      <c r="F74" s="482" t="s">
        <v>1566</v>
      </c>
      <c r="G74" s="150" t="s">
        <v>1135</v>
      </c>
      <c r="H74" s="383" t="s">
        <v>1145</v>
      </c>
      <c r="I74" s="332" t="s">
        <v>1135</v>
      </c>
      <c r="J74" s="383" t="s">
        <v>1145</v>
      </c>
      <c r="K74" s="383" t="s">
        <v>1145</v>
      </c>
      <c r="L74" s="514" t="s">
        <v>389</v>
      </c>
      <c r="M74" s="394" t="s">
        <v>1772</v>
      </c>
      <c r="N74" s="333"/>
      <c r="O74" s="332" t="s">
        <v>1186</v>
      </c>
      <c r="P74" s="90" t="s">
        <v>402</v>
      </c>
      <c r="Q74" s="347"/>
      <c r="R74" s="347"/>
      <c r="S74" s="348"/>
      <c r="T74" s="348"/>
      <c r="U74" s="348"/>
      <c r="V74" s="402"/>
      <c r="W74" s="406"/>
      <c r="X74" s="406"/>
      <c r="Y74" s="425"/>
      <c r="Z74" s="71"/>
      <c r="AA74" s="435"/>
      <c r="AB74" s="436"/>
      <c r="AC74" s="436"/>
      <c r="AD74" s="429">
        <v>190</v>
      </c>
      <c r="AE74" s="429">
        <v>0</v>
      </c>
      <c r="AF74" s="429">
        <v>0</v>
      </c>
      <c r="AG74" s="364"/>
      <c r="AH74" s="364"/>
      <c r="AI74" s="364"/>
      <c r="AJ74" s="364"/>
      <c r="AK74" s="364"/>
      <c r="AL74" s="364"/>
      <c r="AM74" s="360">
        <f t="shared" si="3"/>
        <v>190</v>
      </c>
      <c r="AN74" s="362">
        <f>ERP_2[[#This Row],[2026 Working Total]]-ERP_2[[#This Row],[LE2 Final Submission]]</f>
        <v>190</v>
      </c>
      <c r="AO74" s="79"/>
      <c r="AP74" s="79">
        <f t="shared" si="4"/>
        <v>0</v>
      </c>
      <c r="AQ74" s="374">
        <f>SUM(ERP_2[[#This Row],[AP01]:[AP06]])-SUM(ERP_2[[#This Row],[AP01 LE2]:[AP06 LE2]])</f>
        <v>190</v>
      </c>
      <c r="AR74" s="80"/>
      <c r="AS74" s="79">
        <f>ERP_2[[#This Row],[2026 Working Total to Budget/LE]]-ERP_2[[#This Row],[Giveback]]</f>
        <v>190</v>
      </c>
      <c r="AT74" s="81"/>
      <c r="AU74" s="375"/>
      <c r="AV74" s="375"/>
      <c r="AW74" s="375"/>
      <c r="AX74" s="375"/>
      <c r="AY74" s="375"/>
      <c r="AZ74" s="375"/>
      <c r="BA74" s="375"/>
      <c r="BB74" s="375"/>
      <c r="BC74" s="375"/>
      <c r="BD74" s="375"/>
      <c r="BE74" s="375"/>
      <c r="BF74" s="375"/>
      <c r="BG74" s="375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</row>
    <row r="75" spans="1:72" ht="15" hidden="1" customHeight="1">
      <c r="A75" s="66" t="s">
        <v>1773</v>
      </c>
      <c r="B75" s="66"/>
      <c r="C75" s="66" t="s">
        <v>2934</v>
      </c>
      <c r="D75" s="66" t="s">
        <v>1774</v>
      </c>
      <c r="E75" s="150" t="s">
        <v>1136</v>
      </c>
      <c r="F75" s="482" t="s">
        <v>1566</v>
      </c>
      <c r="G75" s="150" t="s">
        <v>1135</v>
      </c>
      <c r="H75" s="150" t="s">
        <v>1135</v>
      </c>
      <c r="I75" s="150" t="s">
        <v>1135</v>
      </c>
      <c r="J75" s="150" t="s">
        <v>1137</v>
      </c>
      <c r="K75" s="150" t="s">
        <v>1137</v>
      </c>
      <c r="L75" s="511" t="s">
        <v>389</v>
      </c>
      <c r="M75" s="392" t="s">
        <v>1775</v>
      </c>
      <c r="N75" s="343"/>
      <c r="O75" s="343"/>
      <c r="P75" s="70" t="s">
        <v>404</v>
      </c>
      <c r="Q75" s="346"/>
      <c r="R75" s="346" t="s">
        <v>1140</v>
      </c>
      <c r="S75" s="346"/>
      <c r="T75" s="150" t="s">
        <v>405</v>
      </c>
      <c r="U75" s="1" t="s">
        <v>1141</v>
      </c>
      <c r="V75" s="404"/>
      <c r="W75" s="407">
        <v>0</v>
      </c>
      <c r="X75" s="407">
        <v>0</v>
      </c>
      <c r="Y75" s="430"/>
      <c r="Z75" s="137"/>
      <c r="AA75" s="426"/>
      <c r="AB75" s="431">
        <v>0</v>
      </c>
      <c r="AC75" s="431">
        <v>0</v>
      </c>
      <c r="AD75" s="428">
        <v>-1732.97</v>
      </c>
      <c r="AE75" s="429">
        <v>0</v>
      </c>
      <c r="AF75" s="429">
        <v>0</v>
      </c>
      <c r="AG75" s="360">
        <v>0</v>
      </c>
      <c r="AH75" s="360">
        <v>0</v>
      </c>
      <c r="AI75" s="360">
        <v>0</v>
      </c>
      <c r="AJ75" s="360">
        <v>0</v>
      </c>
      <c r="AK75" s="360">
        <v>0</v>
      </c>
      <c r="AL75" s="360">
        <v>0</v>
      </c>
      <c r="AM75" s="360">
        <f t="shared" si="3"/>
        <v>-1732.97</v>
      </c>
      <c r="AN75" s="362">
        <f>ERP_2[[#This Row],[2026 Working Total]]-ERP_2[[#This Row],[LE2 Final Submission]]</f>
        <v>-1732.97</v>
      </c>
      <c r="AO75" s="79">
        <v>0</v>
      </c>
      <c r="AP75" s="79">
        <f t="shared" si="4"/>
        <v>0</v>
      </c>
      <c r="AQ75" s="374">
        <f>SUM(ERP_2[[#This Row],[AP01]:[AP06]])-SUM(ERP_2[[#This Row],[AP01 LE2]:[AP06 LE2]])</f>
        <v>-1732.97</v>
      </c>
      <c r="AR75" s="80"/>
      <c r="AS75" s="79">
        <f>ERP_2[[#This Row],[2026 Working Total to Budget/LE]]-ERP_2[[#This Row],[Giveback]]</f>
        <v>-1732.97</v>
      </c>
      <c r="AT75" s="81"/>
      <c r="AU75" s="375"/>
      <c r="AV75" s="375">
        <v>0</v>
      </c>
      <c r="AW75" s="375">
        <v>0</v>
      </c>
      <c r="AX75" s="375">
        <v>0</v>
      </c>
      <c r="AY75" s="375">
        <v>0</v>
      </c>
      <c r="AZ75" s="375">
        <v>0</v>
      </c>
      <c r="BA75" s="375">
        <v>0</v>
      </c>
      <c r="BB75" s="375">
        <v>0</v>
      </c>
      <c r="BC75" s="375">
        <v>0</v>
      </c>
      <c r="BD75" s="375">
        <v>0</v>
      </c>
      <c r="BE75" s="375">
        <v>0</v>
      </c>
      <c r="BF75" s="375">
        <v>0</v>
      </c>
      <c r="BG75" s="375">
        <v>0</v>
      </c>
      <c r="BH75" s="79"/>
      <c r="BI75" s="79">
        <v>0</v>
      </c>
      <c r="BJ75" s="79">
        <v>0</v>
      </c>
      <c r="BK75" s="79">
        <v>0</v>
      </c>
      <c r="BL75" s="79">
        <v>0</v>
      </c>
      <c r="BM75" s="79">
        <v>0</v>
      </c>
      <c r="BN75" s="79">
        <v>0</v>
      </c>
      <c r="BO75" s="79">
        <v>0</v>
      </c>
      <c r="BP75" s="79">
        <v>0</v>
      </c>
      <c r="BQ75" s="79">
        <v>0</v>
      </c>
      <c r="BR75" s="79">
        <v>0</v>
      </c>
      <c r="BS75" s="79">
        <v>0</v>
      </c>
      <c r="BT75" s="79">
        <v>0</v>
      </c>
    </row>
    <row r="76" spans="1:72" ht="15" hidden="1" customHeight="1">
      <c r="A76" s="79" t="s">
        <v>1777</v>
      </c>
      <c r="B76" s="79"/>
      <c r="C76" s="79" t="s">
        <v>406</v>
      </c>
      <c r="D76" s="296" t="s">
        <v>406</v>
      </c>
      <c r="E76" s="150" t="s">
        <v>1136</v>
      </c>
      <c r="F76" s="482" t="s">
        <v>1566</v>
      </c>
      <c r="G76" s="150" t="s">
        <v>1135</v>
      </c>
      <c r="H76" s="150" t="s">
        <v>1135</v>
      </c>
      <c r="I76" s="332" t="s">
        <v>1135</v>
      </c>
      <c r="J76" s="382" t="s">
        <v>1135</v>
      </c>
      <c r="K76" s="331" t="s">
        <v>1137</v>
      </c>
      <c r="L76" s="512" t="s">
        <v>389</v>
      </c>
      <c r="M76" s="394" t="s">
        <v>1778</v>
      </c>
      <c r="N76" s="343"/>
      <c r="O76" s="331"/>
      <c r="P76" s="122" t="s">
        <v>407</v>
      </c>
      <c r="Q76" s="343"/>
      <c r="R76" s="346" t="s">
        <v>1140</v>
      </c>
      <c r="S76" s="348"/>
      <c r="T76" s="384" t="s">
        <v>408</v>
      </c>
      <c r="U76" s="387" t="s">
        <v>1779</v>
      </c>
      <c r="V76" s="432"/>
      <c r="W76" s="358">
        <v>-21666.659999999996</v>
      </c>
      <c r="X76" s="378">
        <v>-15000</v>
      </c>
      <c r="Y76" s="430"/>
      <c r="Z76" s="137"/>
      <c r="AA76" s="433"/>
      <c r="AB76" s="434"/>
      <c r="AC76" s="434"/>
      <c r="AD76" s="428" t="s">
        <v>1142</v>
      </c>
      <c r="AE76" s="429">
        <v>0</v>
      </c>
      <c r="AF76" s="429">
        <v>0</v>
      </c>
      <c r="AG76" s="388">
        <v>-1666.67</v>
      </c>
      <c r="AH76" s="388">
        <v>-1666.67</v>
      </c>
      <c r="AI76" s="388">
        <v>-1666.67</v>
      </c>
      <c r="AJ76" s="388">
        <v>0</v>
      </c>
      <c r="AK76" s="388">
        <v>0</v>
      </c>
      <c r="AL76" s="388">
        <v>0</v>
      </c>
      <c r="AM76" s="360">
        <f t="shared" si="3"/>
        <v>-5000.01</v>
      </c>
      <c r="AN76" s="362">
        <f>ERP_2[[#This Row],[2026 Working Total]]-ERP_2[[#This Row],[LE2 Final Submission]]</f>
        <v>9999.99</v>
      </c>
      <c r="AO76" s="79">
        <v>0</v>
      </c>
      <c r="AP76" s="79">
        <f t="shared" si="4"/>
        <v>0</v>
      </c>
      <c r="AQ76" s="374">
        <f>SUM(ERP_2[[#This Row],[AP01]:[AP06]])-SUM(ERP_2[[#This Row],[AP01 LE2]:[AP06 LE2]])</f>
        <v>9999.99</v>
      </c>
      <c r="AR76" s="80"/>
      <c r="AS76" s="79">
        <f>ERP_2[[#This Row],[2026 Working Total to Budget/LE]]-ERP_2[[#This Row],[Giveback]]</f>
        <v>9999.99</v>
      </c>
      <c r="AT76" s="81"/>
      <c r="AU76" s="375"/>
      <c r="AV76" s="375"/>
      <c r="AW76" s="375"/>
      <c r="AX76" s="375">
        <v>-3333.33</v>
      </c>
      <c r="AY76" s="375">
        <v>-3333.33</v>
      </c>
      <c r="AZ76" s="375">
        <v>-3333.33</v>
      </c>
      <c r="BA76" s="375">
        <v>-1666.67</v>
      </c>
      <c r="BB76" s="375">
        <v>-1666.67</v>
      </c>
      <c r="BC76" s="375">
        <v>-1666.67</v>
      </c>
      <c r="BD76" s="375">
        <v>0</v>
      </c>
      <c r="BE76" s="375">
        <v>0</v>
      </c>
      <c r="BF76" s="375">
        <v>0</v>
      </c>
      <c r="BG76" s="375">
        <v>-15000</v>
      </c>
      <c r="BH76" s="103">
        <v>0</v>
      </c>
      <c r="BI76" s="103">
        <v>-3333.33</v>
      </c>
      <c r="BJ76" s="103">
        <v>-3333.33</v>
      </c>
      <c r="BK76" s="103">
        <v>-3333.33</v>
      </c>
      <c r="BL76" s="103">
        <v>-3333.33</v>
      </c>
      <c r="BM76" s="103">
        <v>-3333.33</v>
      </c>
      <c r="BN76" s="103">
        <v>-1666.67</v>
      </c>
      <c r="BO76" s="103">
        <v>-1666.67</v>
      </c>
      <c r="BP76" s="103">
        <v>-1666.67</v>
      </c>
      <c r="BQ76" s="103">
        <v>0</v>
      </c>
      <c r="BR76" s="103">
        <v>0</v>
      </c>
      <c r="BS76" s="103">
        <v>0</v>
      </c>
      <c r="BT76" s="79">
        <f>SUM(ERP_2[[#This Row],[2026 AP01]:[2026 AP12]])</f>
        <v>-21666.659999999996</v>
      </c>
    </row>
    <row r="77" spans="1:72" ht="15" hidden="1" customHeight="1">
      <c r="A77" s="66" t="s">
        <v>1780</v>
      </c>
      <c r="B77" s="66"/>
      <c r="C77" s="66" t="s">
        <v>2938</v>
      </c>
      <c r="D77" s="66" t="s">
        <v>1781</v>
      </c>
      <c r="E77" s="150" t="s">
        <v>1136</v>
      </c>
      <c r="F77" s="482" t="s">
        <v>1566</v>
      </c>
      <c r="G77" s="150" t="s">
        <v>1135</v>
      </c>
      <c r="H77" s="150" t="s">
        <v>1135</v>
      </c>
      <c r="I77" s="150" t="s">
        <v>1135</v>
      </c>
      <c r="J77" s="150" t="s">
        <v>1137</v>
      </c>
      <c r="K77" s="150" t="s">
        <v>1137</v>
      </c>
      <c r="L77" s="511" t="s">
        <v>389</v>
      </c>
      <c r="M77" s="392" t="s">
        <v>1685</v>
      </c>
      <c r="N77" s="343"/>
      <c r="O77" s="343"/>
      <c r="P77" s="70" t="s">
        <v>350</v>
      </c>
      <c r="Q77" s="346" t="s">
        <v>1139</v>
      </c>
      <c r="R77" s="346" t="s">
        <v>1140</v>
      </c>
      <c r="S77" s="346"/>
      <c r="T77" s="150" t="s">
        <v>25</v>
      </c>
      <c r="U77" s="1" t="s">
        <v>1141</v>
      </c>
      <c r="V77" s="403"/>
      <c r="W77" s="406">
        <v>0</v>
      </c>
      <c r="X77" s="406">
        <v>-108.52</v>
      </c>
      <c r="Y77" s="425"/>
      <c r="Z77" s="71"/>
      <c r="AA77" s="426"/>
      <c r="AB77" s="427">
        <v>-108.52</v>
      </c>
      <c r="AC77" s="431">
        <v>0</v>
      </c>
      <c r="AD77" s="428">
        <v>0</v>
      </c>
      <c r="AE77" s="429">
        <v>0</v>
      </c>
      <c r="AF77" s="429">
        <v>0</v>
      </c>
      <c r="AG77" s="360">
        <v>0</v>
      </c>
      <c r="AH77" s="360">
        <v>0</v>
      </c>
      <c r="AI77" s="360">
        <v>0</v>
      </c>
      <c r="AJ77" s="360">
        <v>0</v>
      </c>
      <c r="AK77" s="360">
        <v>0</v>
      </c>
      <c r="AL77" s="360">
        <v>0</v>
      </c>
      <c r="AM77" s="360">
        <f t="shared" si="3"/>
        <v>-108.52</v>
      </c>
      <c r="AN77" s="362">
        <f>ERP_2[[#This Row],[2026 Working Total]]-ERP_2[[#This Row],[LE2 Final Submission]]</f>
        <v>0</v>
      </c>
      <c r="AO77" s="79">
        <v>0</v>
      </c>
      <c r="AP77" s="79">
        <f t="shared" si="4"/>
        <v>0</v>
      </c>
      <c r="AQ77" s="374">
        <f>SUM(ERP_2[[#This Row],[AP01]:[AP06]])-SUM(ERP_2[[#This Row],[AP01 LE2]:[AP06 LE2]])</f>
        <v>0</v>
      </c>
      <c r="AR77" s="80"/>
      <c r="AS77" s="79">
        <f>ERP_2[[#This Row],[2026 Working Total to Budget/LE]]-ERP_2[[#This Row],[Giveback]]</f>
        <v>0</v>
      </c>
      <c r="AT77" s="81"/>
      <c r="AU77" s="375"/>
      <c r="AV77" s="375">
        <v>-108.52</v>
      </c>
      <c r="AW77" s="375">
        <v>0</v>
      </c>
      <c r="AX77" s="375">
        <v>0</v>
      </c>
      <c r="AY77" s="375">
        <v>0</v>
      </c>
      <c r="AZ77" s="375">
        <v>0</v>
      </c>
      <c r="BA77" s="375">
        <v>0</v>
      </c>
      <c r="BB77" s="375">
        <v>0</v>
      </c>
      <c r="BC77" s="375">
        <v>0</v>
      </c>
      <c r="BD77" s="375">
        <v>0</v>
      </c>
      <c r="BE77" s="375">
        <v>0</v>
      </c>
      <c r="BF77" s="375">
        <v>0</v>
      </c>
      <c r="BG77" s="375">
        <v>-108.52</v>
      </c>
      <c r="BH77" s="79"/>
      <c r="BI77" s="79">
        <v>-108.52</v>
      </c>
      <c r="BJ77" s="79">
        <v>0</v>
      </c>
      <c r="BK77" s="79">
        <v>0</v>
      </c>
      <c r="BL77" s="79">
        <v>0</v>
      </c>
      <c r="BM77" s="79">
        <v>0</v>
      </c>
      <c r="BN77" s="79">
        <v>0</v>
      </c>
      <c r="BO77" s="79">
        <v>0</v>
      </c>
      <c r="BP77" s="79">
        <v>0</v>
      </c>
      <c r="BQ77" s="79">
        <v>0</v>
      </c>
      <c r="BR77" s="79">
        <v>0</v>
      </c>
      <c r="BS77" s="79">
        <v>0</v>
      </c>
      <c r="BT77" s="79">
        <v>-108.52</v>
      </c>
    </row>
    <row r="78" spans="1:72" ht="15" hidden="1" customHeight="1">
      <c r="A78" s="79" t="s">
        <v>1782</v>
      </c>
      <c r="B78" s="79"/>
      <c r="C78" s="79" t="s">
        <v>410</v>
      </c>
      <c r="D78" s="296" t="s">
        <v>1783</v>
      </c>
      <c r="E78" s="150" t="s">
        <v>1136</v>
      </c>
      <c r="F78" s="482" t="s">
        <v>1566</v>
      </c>
      <c r="G78" s="150" t="s">
        <v>1135</v>
      </c>
      <c r="H78" s="332" t="s">
        <v>1165</v>
      </c>
      <c r="I78" s="332" t="s">
        <v>1135</v>
      </c>
      <c r="J78" s="332" t="s">
        <v>1165</v>
      </c>
      <c r="K78" s="333" t="s">
        <v>1165</v>
      </c>
      <c r="L78" s="514" t="s">
        <v>389</v>
      </c>
      <c r="M78" s="394"/>
      <c r="N78" s="333"/>
      <c r="O78" s="333"/>
      <c r="P78" s="90" t="s">
        <v>411</v>
      </c>
      <c r="Q78" s="347"/>
      <c r="R78" s="347"/>
      <c r="S78" s="348"/>
      <c r="T78" s="348"/>
      <c r="U78" s="348"/>
      <c r="V78" s="402"/>
      <c r="W78" s="358"/>
      <c r="X78" s="379"/>
      <c r="Y78" s="425"/>
      <c r="Z78" s="71"/>
      <c r="AA78" s="435"/>
      <c r="AB78" s="436"/>
      <c r="AC78" s="436"/>
      <c r="AD78" s="429"/>
      <c r="AE78" s="429"/>
      <c r="AF78" s="429">
        <v>-269.45</v>
      </c>
      <c r="AG78" s="364"/>
      <c r="AH78" s="364"/>
      <c r="AI78" s="364"/>
      <c r="AJ78" s="364"/>
      <c r="AK78" s="364"/>
      <c r="AL78" s="364"/>
      <c r="AM78" s="360">
        <f t="shared" si="3"/>
        <v>-269.45</v>
      </c>
      <c r="AN78" s="362">
        <f>ERP_2[[#This Row],[2026 Working Total]]-ERP_2[[#This Row],[LE2 Final Submission]]</f>
        <v>-269.45</v>
      </c>
      <c r="AO78" s="79"/>
      <c r="AP78" s="79">
        <f t="shared" si="4"/>
        <v>-269.45</v>
      </c>
      <c r="AQ78" s="391">
        <f>SUM(ERP_2[[#This Row],[AP01]:[AP06]])-SUM(ERP_2[[#This Row],[AP01 LE2]:[AP06 LE2]])</f>
        <v>-269.45</v>
      </c>
      <c r="AR78" s="80"/>
      <c r="AS78" s="79">
        <f>ERP_2[[#This Row],[2026 Working Total to Budget/LE]]-ERP_2[[#This Row],[Giveback]]</f>
        <v>-269.45</v>
      </c>
      <c r="AT78" s="81"/>
      <c r="AU78" s="375"/>
      <c r="AV78" s="375"/>
      <c r="AW78" s="375"/>
      <c r="AX78" s="375"/>
      <c r="AY78" s="375"/>
      <c r="AZ78" s="375"/>
      <c r="BA78" s="375"/>
      <c r="BB78" s="375"/>
      <c r="BC78" s="375"/>
      <c r="BD78" s="375"/>
      <c r="BE78" s="375"/>
      <c r="BF78" s="375"/>
      <c r="BG78" s="375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</row>
    <row r="79" spans="1:72" ht="15" hidden="1" customHeight="1">
      <c r="A79" s="66" t="s">
        <v>1784</v>
      </c>
      <c r="B79" s="66"/>
      <c r="C79" s="66" t="s">
        <v>2925</v>
      </c>
      <c r="D79" s="66" t="s">
        <v>1785</v>
      </c>
      <c r="E79" s="150" t="s">
        <v>1136</v>
      </c>
      <c r="F79" s="482" t="s">
        <v>1566</v>
      </c>
      <c r="G79" s="150" t="s">
        <v>1135</v>
      </c>
      <c r="H79" s="150" t="s">
        <v>1135</v>
      </c>
      <c r="I79" s="150" t="s">
        <v>1135</v>
      </c>
      <c r="J79" s="150" t="s">
        <v>1137</v>
      </c>
      <c r="K79" s="150" t="s">
        <v>1137</v>
      </c>
      <c r="L79" s="511" t="s">
        <v>389</v>
      </c>
      <c r="M79" s="392" t="s">
        <v>352</v>
      </c>
      <c r="N79" s="343"/>
      <c r="O79" s="343"/>
      <c r="P79" s="70" t="s">
        <v>352</v>
      </c>
      <c r="Q79" s="346" t="s">
        <v>1139</v>
      </c>
      <c r="R79" s="346" t="s">
        <v>1140</v>
      </c>
      <c r="S79" s="346"/>
      <c r="T79" s="150" t="s">
        <v>25</v>
      </c>
      <c r="U79" s="150"/>
      <c r="V79" s="404"/>
      <c r="W79" s="407">
        <v>0</v>
      </c>
      <c r="X79" s="407">
        <v>0</v>
      </c>
      <c r="Y79" s="430"/>
      <c r="Z79" s="137"/>
      <c r="AA79" s="426"/>
      <c r="AB79" s="427"/>
      <c r="AC79" s="431">
        <v>0</v>
      </c>
      <c r="AD79" s="428">
        <v>0</v>
      </c>
      <c r="AE79" s="429">
        <v>0</v>
      </c>
      <c r="AF79" s="429">
        <v>0</v>
      </c>
      <c r="AG79" s="360">
        <v>0</v>
      </c>
      <c r="AH79" s="360">
        <v>0</v>
      </c>
      <c r="AI79" s="360">
        <v>0</v>
      </c>
      <c r="AJ79" s="360">
        <v>0</v>
      </c>
      <c r="AK79" s="360">
        <v>0</v>
      </c>
      <c r="AL79" s="360">
        <v>0</v>
      </c>
      <c r="AM79" s="360">
        <f t="shared" si="3"/>
        <v>0</v>
      </c>
      <c r="AN79" s="362">
        <f>ERP_2[[#This Row],[2026 Working Total]]-ERP_2[[#This Row],[LE2 Final Submission]]</f>
        <v>0</v>
      </c>
      <c r="AO79" s="79">
        <v>0</v>
      </c>
      <c r="AP79" s="79">
        <f t="shared" si="4"/>
        <v>0</v>
      </c>
      <c r="AQ79" s="374">
        <f>SUM(ERP_2[[#This Row],[AP01]:[AP06]])-SUM(ERP_2[[#This Row],[AP01 LE2]:[AP06 LE2]])</f>
        <v>0</v>
      </c>
      <c r="AR79" s="80"/>
      <c r="AS79" s="79">
        <f>ERP_2[[#This Row],[2026 Working Total to Budget/LE]]-ERP_2[[#This Row],[Giveback]]</f>
        <v>0</v>
      </c>
      <c r="AT79" s="81"/>
      <c r="AU79" s="375"/>
      <c r="AV79" s="375"/>
      <c r="AW79" s="375">
        <v>0</v>
      </c>
      <c r="AX79" s="375">
        <v>0</v>
      </c>
      <c r="AY79" s="375">
        <v>0</v>
      </c>
      <c r="AZ79" s="375">
        <v>0</v>
      </c>
      <c r="BA79" s="375">
        <v>0</v>
      </c>
      <c r="BB79" s="375">
        <v>0</v>
      </c>
      <c r="BC79" s="375">
        <v>0</v>
      </c>
      <c r="BD79" s="375">
        <v>0</v>
      </c>
      <c r="BE79" s="375">
        <v>0</v>
      </c>
      <c r="BF79" s="375">
        <v>0</v>
      </c>
      <c r="BG79" s="375">
        <v>0</v>
      </c>
      <c r="BH79" s="79"/>
      <c r="BI79" s="79"/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  <c r="BP79" s="79">
        <v>0</v>
      </c>
      <c r="BQ79" s="79">
        <v>0</v>
      </c>
      <c r="BR79" s="79">
        <v>0</v>
      </c>
      <c r="BS79" s="79">
        <v>0</v>
      </c>
      <c r="BT79" s="79">
        <v>0</v>
      </c>
    </row>
    <row r="80" spans="1:72" ht="15" hidden="1" customHeight="1">
      <c r="A80" s="66" t="s">
        <v>1786</v>
      </c>
      <c r="B80" s="66"/>
      <c r="C80" s="66" t="s">
        <v>2931</v>
      </c>
      <c r="D80" s="66" t="s">
        <v>1787</v>
      </c>
      <c r="E80" s="150" t="s">
        <v>1136</v>
      </c>
      <c r="F80" s="482" t="s">
        <v>1566</v>
      </c>
      <c r="G80" s="150" t="s">
        <v>1135</v>
      </c>
      <c r="H80" s="150" t="s">
        <v>1135</v>
      </c>
      <c r="I80" s="150" t="s">
        <v>1135</v>
      </c>
      <c r="J80" s="150" t="s">
        <v>1137</v>
      </c>
      <c r="K80" s="150" t="s">
        <v>1137</v>
      </c>
      <c r="L80" s="511" t="s">
        <v>389</v>
      </c>
      <c r="M80" s="392" t="s">
        <v>414</v>
      </c>
      <c r="N80" s="343"/>
      <c r="O80" s="343"/>
      <c r="P80" s="70" t="s">
        <v>414</v>
      </c>
      <c r="Q80" s="346" t="s">
        <v>1139</v>
      </c>
      <c r="R80" s="346" t="s">
        <v>1140</v>
      </c>
      <c r="S80" s="346"/>
      <c r="T80" s="150" t="s">
        <v>25</v>
      </c>
      <c r="U80" s="1" t="s">
        <v>1141</v>
      </c>
      <c r="V80" s="404"/>
      <c r="W80" s="407">
        <v>0</v>
      </c>
      <c r="X80" s="407">
        <v>0</v>
      </c>
      <c r="Y80" s="430"/>
      <c r="Z80" s="137"/>
      <c r="AA80" s="426"/>
      <c r="AB80" s="431">
        <v>0</v>
      </c>
      <c r="AC80" s="431">
        <v>0</v>
      </c>
      <c r="AD80" s="428">
        <v>-10742.01</v>
      </c>
      <c r="AE80" s="429">
        <v>0</v>
      </c>
      <c r="AF80" s="429">
        <v>0</v>
      </c>
      <c r="AG80" s="360">
        <v>0</v>
      </c>
      <c r="AH80" s="360">
        <v>0</v>
      </c>
      <c r="AI80" s="360">
        <v>0</v>
      </c>
      <c r="AJ80" s="360">
        <v>0</v>
      </c>
      <c r="AK80" s="360">
        <v>0</v>
      </c>
      <c r="AL80" s="360">
        <v>0</v>
      </c>
      <c r="AM80" s="360">
        <f t="shared" si="3"/>
        <v>-10742.01</v>
      </c>
      <c r="AN80" s="362">
        <f>ERP_2[[#This Row],[2026 Working Total]]-ERP_2[[#This Row],[LE2 Final Submission]]</f>
        <v>-10742.01</v>
      </c>
      <c r="AO80" s="79">
        <v>0</v>
      </c>
      <c r="AP80" s="79">
        <f t="shared" si="4"/>
        <v>0</v>
      </c>
      <c r="AQ80" s="374">
        <f>SUM(ERP_2[[#This Row],[AP01]:[AP06]])-SUM(ERP_2[[#This Row],[AP01 LE2]:[AP06 LE2]])</f>
        <v>-10742.01</v>
      </c>
      <c r="AR80" s="80"/>
      <c r="AS80" s="79">
        <f>ERP_2[[#This Row],[2026 Working Total to Budget/LE]]-ERP_2[[#This Row],[Giveback]]</f>
        <v>-10742.01</v>
      </c>
      <c r="AT80" s="81"/>
      <c r="AU80" s="375"/>
      <c r="AV80" s="375">
        <v>0</v>
      </c>
      <c r="AW80" s="375">
        <v>0</v>
      </c>
      <c r="AX80" s="375">
        <v>0</v>
      </c>
      <c r="AY80" s="375">
        <v>0</v>
      </c>
      <c r="AZ80" s="375">
        <v>0</v>
      </c>
      <c r="BA80" s="375">
        <v>0</v>
      </c>
      <c r="BB80" s="375">
        <v>0</v>
      </c>
      <c r="BC80" s="375">
        <v>0</v>
      </c>
      <c r="BD80" s="375">
        <v>0</v>
      </c>
      <c r="BE80" s="375">
        <v>0</v>
      </c>
      <c r="BF80" s="375">
        <v>0</v>
      </c>
      <c r="BG80" s="375">
        <v>0</v>
      </c>
      <c r="BH80" s="79"/>
      <c r="BI80" s="79">
        <v>0</v>
      </c>
      <c r="BJ80" s="79">
        <v>0</v>
      </c>
      <c r="BK80" s="79">
        <v>0</v>
      </c>
      <c r="BL80" s="79">
        <v>0</v>
      </c>
      <c r="BM80" s="79">
        <v>0</v>
      </c>
      <c r="BN80" s="79">
        <v>0</v>
      </c>
      <c r="BO80" s="79">
        <v>0</v>
      </c>
      <c r="BP80" s="79">
        <v>0</v>
      </c>
      <c r="BQ80" s="79">
        <v>0</v>
      </c>
      <c r="BR80" s="79">
        <v>0</v>
      </c>
      <c r="BS80" s="79">
        <v>0</v>
      </c>
      <c r="BT80" s="79">
        <v>0</v>
      </c>
    </row>
    <row r="81" spans="1:72" ht="15" hidden="1" customHeight="1">
      <c r="A81" s="79" t="s">
        <v>1788</v>
      </c>
      <c r="B81" s="79"/>
      <c r="C81" s="79" t="s">
        <v>415</v>
      </c>
      <c r="D81" s="296" t="s">
        <v>415</v>
      </c>
      <c r="E81" s="150" t="s">
        <v>1136</v>
      </c>
      <c r="F81" s="482" t="s">
        <v>1566</v>
      </c>
      <c r="G81" s="150" t="s">
        <v>1135</v>
      </c>
      <c r="H81" s="150" t="s">
        <v>1135</v>
      </c>
      <c r="I81" t="s">
        <v>1135</v>
      </c>
      <c r="J81" t="s">
        <v>1135</v>
      </c>
      <c r="K81" t="s">
        <v>1135</v>
      </c>
      <c r="L81" s="514" t="s">
        <v>389</v>
      </c>
      <c r="M81" s="394" t="s">
        <v>1699</v>
      </c>
      <c r="N81" s="343"/>
      <c r="O81" s="333"/>
      <c r="P81" s="70" t="s">
        <v>362</v>
      </c>
      <c r="Q81" s="347"/>
      <c r="R81" s="343"/>
      <c r="S81" s="348"/>
      <c r="T81" s="348"/>
      <c r="U81" s="348" t="s">
        <v>1700</v>
      </c>
      <c r="V81" s="402"/>
      <c r="W81" s="358"/>
      <c r="X81" s="379">
        <v>0</v>
      </c>
      <c r="Y81" s="425"/>
      <c r="Z81" s="71"/>
      <c r="AA81" s="435"/>
      <c r="AB81" s="436"/>
      <c r="AC81" s="436"/>
      <c r="AD81" s="428" t="s">
        <v>1142</v>
      </c>
      <c r="AE81" s="429">
        <v>0</v>
      </c>
      <c r="AF81" s="429">
        <v>0</v>
      </c>
      <c r="AG81" s="364"/>
      <c r="AH81" s="364"/>
      <c r="AI81" s="364"/>
      <c r="AJ81" s="364"/>
      <c r="AK81" s="364"/>
      <c r="AL81" s="364"/>
      <c r="AM81" s="360">
        <f t="shared" si="3"/>
        <v>0</v>
      </c>
      <c r="AN81" s="362">
        <f>ERP_2[[#This Row],[2026 Working Total]]-ERP_2[[#This Row],[LE2 Final Submission]]</f>
        <v>0</v>
      </c>
      <c r="AO81" s="79">
        <v>9141.65</v>
      </c>
      <c r="AP81" s="79">
        <f t="shared" si="4"/>
        <v>-9141.65</v>
      </c>
      <c r="AQ81" s="374">
        <f>SUM(ERP_2[[#This Row],[AP01]:[AP06]])-SUM(ERP_2[[#This Row],[AP01 LE2]:[AP06 LE2]])</f>
        <v>0</v>
      </c>
      <c r="AR81" s="80"/>
      <c r="AS81" s="79">
        <f>ERP_2[[#This Row],[2026 Working Total to Budget/LE]]-ERP_2[[#This Row],[Giveback]]</f>
        <v>0</v>
      </c>
      <c r="AT81" s="81"/>
      <c r="AU81" s="375"/>
      <c r="AV81" s="375"/>
      <c r="AW81" s="375"/>
      <c r="AX81" s="375">
        <v>-9141.65</v>
      </c>
      <c r="AY81" s="375">
        <v>9141.65</v>
      </c>
      <c r="AZ81" s="375"/>
      <c r="BA81" s="375"/>
      <c r="BB81" s="375"/>
      <c r="BC81" s="375"/>
      <c r="BD81" s="375"/>
      <c r="BE81" s="375"/>
      <c r="BF81" s="375"/>
      <c r="BG81" s="375">
        <v>0</v>
      </c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</row>
    <row r="82" spans="1:72" ht="15" hidden="1" customHeight="1">
      <c r="A82" s="66" t="s">
        <v>1789</v>
      </c>
      <c r="B82" s="66"/>
      <c r="C82" s="66" t="s">
        <v>416</v>
      </c>
      <c r="D82" s="66" t="s">
        <v>416</v>
      </c>
      <c r="E82" s="150" t="s">
        <v>1136</v>
      </c>
      <c r="F82" s="482" t="s">
        <v>1566</v>
      </c>
      <c r="G82" s="150" t="s">
        <v>1135</v>
      </c>
      <c r="H82" s="150" t="s">
        <v>1135</v>
      </c>
      <c r="I82" s="150" t="s">
        <v>1135</v>
      </c>
      <c r="J82" s="150" t="s">
        <v>1135</v>
      </c>
      <c r="K82" s="150" t="s">
        <v>1137</v>
      </c>
      <c r="L82" s="511" t="s">
        <v>389</v>
      </c>
      <c r="M82" s="392" t="s">
        <v>1147</v>
      </c>
      <c r="N82" s="343"/>
      <c r="O82" s="343"/>
      <c r="P82" s="70" t="s">
        <v>53</v>
      </c>
      <c r="Q82" s="346" t="s">
        <v>1153</v>
      </c>
      <c r="R82" s="343"/>
      <c r="S82" s="346"/>
      <c r="T82" s="150" t="s">
        <v>25</v>
      </c>
      <c r="U82" s="150"/>
      <c r="V82" s="403"/>
      <c r="W82" s="406">
        <v>0</v>
      </c>
      <c r="X82" s="406">
        <v>2101</v>
      </c>
      <c r="Y82" s="425"/>
      <c r="Z82" s="71"/>
      <c r="AA82" s="426">
        <v>1821</v>
      </c>
      <c r="AB82" s="427">
        <v>140</v>
      </c>
      <c r="AC82" s="427">
        <v>140</v>
      </c>
      <c r="AD82" s="428">
        <v>139</v>
      </c>
      <c r="AE82" s="429">
        <v>2028.9999999999998</v>
      </c>
      <c r="AF82" s="429">
        <v>0</v>
      </c>
      <c r="AG82" s="360">
        <v>0</v>
      </c>
      <c r="AH82" s="360">
        <v>0</v>
      </c>
      <c r="AI82" s="360">
        <v>0</v>
      </c>
      <c r="AJ82" s="360">
        <v>0</v>
      </c>
      <c r="AK82" s="360">
        <v>0</v>
      </c>
      <c r="AL82" s="360">
        <v>0</v>
      </c>
      <c r="AM82" s="360">
        <f t="shared" si="3"/>
        <v>4269</v>
      </c>
      <c r="AN82" s="362">
        <f>ERP_2[[#This Row],[2026 Working Total]]-ERP_2[[#This Row],[LE2 Final Submission]]</f>
        <v>2168</v>
      </c>
      <c r="AO82" s="79">
        <v>0</v>
      </c>
      <c r="AP82" s="79">
        <f t="shared" si="4"/>
        <v>0</v>
      </c>
      <c r="AQ82" s="374">
        <f>SUM(ERP_2[[#This Row],[AP01]:[AP06]])-SUM(ERP_2[[#This Row],[AP01 LE2]:[AP06 LE2]])</f>
        <v>2168</v>
      </c>
      <c r="AR82" s="80"/>
      <c r="AS82" s="79">
        <f>ERP_2[[#This Row],[2026 Working Total to Budget/LE]]-ERP_2[[#This Row],[Giveback]]</f>
        <v>2168</v>
      </c>
      <c r="AT82" s="81"/>
      <c r="AU82" s="375">
        <v>1821</v>
      </c>
      <c r="AV82" s="375">
        <v>140</v>
      </c>
      <c r="AW82" s="375">
        <v>140</v>
      </c>
      <c r="AX82" s="375">
        <v>0</v>
      </c>
      <c r="AY82" s="375">
        <v>0</v>
      </c>
      <c r="AZ82" s="375">
        <v>0</v>
      </c>
      <c r="BA82" s="375">
        <v>0</v>
      </c>
      <c r="BB82" s="375">
        <v>0</v>
      </c>
      <c r="BC82" s="375">
        <v>0</v>
      </c>
      <c r="BD82" s="375">
        <v>0</v>
      </c>
      <c r="BE82" s="375">
        <v>0</v>
      </c>
      <c r="BF82" s="375">
        <v>0</v>
      </c>
      <c r="BG82" s="375">
        <v>2101</v>
      </c>
      <c r="BH82" s="79">
        <v>1821</v>
      </c>
      <c r="BI82" s="79">
        <v>140</v>
      </c>
      <c r="BJ82" s="79">
        <v>140</v>
      </c>
      <c r="BK82" s="79">
        <v>0</v>
      </c>
      <c r="BL82" s="79">
        <v>0</v>
      </c>
      <c r="BM82" s="79">
        <v>0</v>
      </c>
      <c r="BN82" s="79">
        <v>0</v>
      </c>
      <c r="BO82" s="79">
        <v>0</v>
      </c>
      <c r="BP82" s="79">
        <v>0</v>
      </c>
      <c r="BQ82" s="79">
        <v>0</v>
      </c>
      <c r="BR82" s="79">
        <v>0</v>
      </c>
      <c r="BS82" s="79">
        <v>0</v>
      </c>
      <c r="BT82" s="79">
        <v>2101</v>
      </c>
    </row>
    <row r="83" spans="1:72" ht="15" hidden="1" customHeight="1">
      <c r="A83" s="66" t="s">
        <v>1798</v>
      </c>
      <c r="B83" s="66"/>
      <c r="C83" s="66" t="s">
        <v>418</v>
      </c>
      <c r="D83" s="66" t="s">
        <v>1799</v>
      </c>
      <c r="E83" s="150" t="s">
        <v>1136</v>
      </c>
      <c r="F83" s="482" t="s">
        <v>1566</v>
      </c>
      <c r="G83" s="150" t="s">
        <v>1135</v>
      </c>
      <c r="H83" s="150" t="s">
        <v>1165</v>
      </c>
      <c r="I83" s="150" t="s">
        <v>1135</v>
      </c>
      <c r="J83" s="150" t="s">
        <v>1165</v>
      </c>
      <c r="K83" s="150" t="s">
        <v>1137</v>
      </c>
      <c r="L83" s="511" t="s">
        <v>389</v>
      </c>
      <c r="M83" s="544" t="s">
        <v>1800</v>
      </c>
      <c r="N83" s="343"/>
      <c r="O83" s="343"/>
      <c r="P83" s="70" t="s">
        <v>419</v>
      </c>
      <c r="Q83" s="346"/>
      <c r="R83" s="343"/>
      <c r="S83" s="346"/>
      <c r="T83" s="150" t="s">
        <v>25</v>
      </c>
      <c r="U83" s="150"/>
      <c r="V83" s="403"/>
      <c r="W83" s="406">
        <v>0</v>
      </c>
      <c r="X83" s="406">
        <v>2006.44</v>
      </c>
      <c r="Y83" s="425"/>
      <c r="Z83" s="71"/>
      <c r="AA83" s="426">
        <v>0.45</v>
      </c>
      <c r="AB83" s="427">
        <v>1838.45</v>
      </c>
      <c r="AC83" s="427">
        <v>167.54</v>
      </c>
      <c r="AD83" s="428">
        <v>3132.21</v>
      </c>
      <c r="AE83" s="429">
        <v>3012.3</v>
      </c>
      <c r="AF83" s="429">
        <v>0.82999999999992724</v>
      </c>
      <c r="AG83" s="360">
        <v>0</v>
      </c>
      <c r="AH83" s="360">
        <v>0</v>
      </c>
      <c r="AI83" s="360">
        <v>0</v>
      </c>
      <c r="AJ83" s="360">
        <v>0</v>
      </c>
      <c r="AK83" s="360">
        <v>0</v>
      </c>
      <c r="AL83" s="360">
        <v>0</v>
      </c>
      <c r="AM83" s="360">
        <f t="shared" si="3"/>
        <v>8151.78</v>
      </c>
      <c r="AN83" s="362">
        <f>ERP_2[[#This Row],[2026 Working Total]]-ERP_2[[#This Row],[LE2 Final Submission]]</f>
        <v>6145.34</v>
      </c>
      <c r="AO83" s="79">
        <v>0</v>
      </c>
      <c r="AP83" s="79">
        <f t="shared" si="4"/>
        <v>0.82999999999992724</v>
      </c>
      <c r="AQ83" s="374">
        <f>SUM(ERP_2[[#This Row],[AP01]:[AP06]])-SUM(ERP_2[[#This Row],[AP01 LE2]:[AP06 LE2]])</f>
        <v>6145.34</v>
      </c>
      <c r="AR83" s="80"/>
      <c r="AS83" s="79">
        <f>ERP_2[[#This Row],[2026 Working Total to Budget/LE]]-ERP_2[[#This Row],[Giveback]]</f>
        <v>6145.34</v>
      </c>
      <c r="AT83" s="81"/>
      <c r="AU83" s="375">
        <v>0.45</v>
      </c>
      <c r="AV83" s="375">
        <v>1838.45</v>
      </c>
      <c r="AW83" s="375">
        <v>167.54</v>
      </c>
      <c r="AX83" s="375">
        <v>0</v>
      </c>
      <c r="AY83" s="375">
        <v>0</v>
      </c>
      <c r="AZ83" s="375">
        <v>0</v>
      </c>
      <c r="BA83" s="375">
        <v>0</v>
      </c>
      <c r="BB83" s="375">
        <v>0</v>
      </c>
      <c r="BC83" s="375">
        <v>0</v>
      </c>
      <c r="BD83" s="375">
        <v>0</v>
      </c>
      <c r="BE83" s="375">
        <v>0</v>
      </c>
      <c r="BF83" s="375">
        <v>0</v>
      </c>
      <c r="BG83" s="375">
        <v>2006.44</v>
      </c>
      <c r="BH83" s="79">
        <v>0.45</v>
      </c>
      <c r="BI83" s="79">
        <v>1838.45</v>
      </c>
      <c r="BJ83" s="79">
        <v>167.54</v>
      </c>
      <c r="BK83" s="79">
        <v>0</v>
      </c>
      <c r="BL83" s="79">
        <v>0</v>
      </c>
      <c r="BM83" s="79">
        <v>0</v>
      </c>
      <c r="BN83" s="79">
        <v>0</v>
      </c>
      <c r="BO83" s="79">
        <v>0</v>
      </c>
      <c r="BP83" s="79">
        <v>0</v>
      </c>
      <c r="BQ83" s="79">
        <v>0</v>
      </c>
      <c r="BR83" s="79">
        <v>0</v>
      </c>
      <c r="BS83" s="79">
        <v>0</v>
      </c>
      <c r="BT83" s="79">
        <v>2006.44</v>
      </c>
    </row>
    <row r="84" spans="1:72" ht="15" hidden="1" customHeight="1">
      <c r="A84" s="66" t="s">
        <v>1811</v>
      </c>
      <c r="B84" s="66"/>
      <c r="C84" s="66" t="s">
        <v>421</v>
      </c>
      <c r="D84" s="66" t="s">
        <v>1812</v>
      </c>
      <c r="E84" s="150" t="s">
        <v>1136</v>
      </c>
      <c r="F84" s="482" t="s">
        <v>1566</v>
      </c>
      <c r="G84" s="150" t="s">
        <v>1135</v>
      </c>
      <c r="H84" s="150" t="s">
        <v>1165</v>
      </c>
      <c r="I84" s="150" t="s">
        <v>1135</v>
      </c>
      <c r="J84" s="150" t="s">
        <v>1165</v>
      </c>
      <c r="K84" s="150" t="s">
        <v>1137</v>
      </c>
      <c r="L84" s="511" t="s">
        <v>389</v>
      </c>
      <c r="M84" s="392" t="s">
        <v>1813</v>
      </c>
      <c r="N84" s="343"/>
      <c r="O84" s="343"/>
      <c r="P84" s="70" t="s">
        <v>422</v>
      </c>
      <c r="Q84" s="346"/>
      <c r="R84" s="343"/>
      <c r="S84" s="346"/>
      <c r="T84" s="150" t="s">
        <v>25</v>
      </c>
      <c r="U84" s="150"/>
      <c r="V84" s="403"/>
      <c r="W84" s="406">
        <v>116304</v>
      </c>
      <c r="X84" s="406">
        <v>67844</v>
      </c>
      <c r="Y84" s="425"/>
      <c r="Z84" s="71"/>
      <c r="AA84" s="426"/>
      <c r="AB84" s="427"/>
      <c r="AC84" s="427"/>
      <c r="AD84" s="428" t="s">
        <v>1142</v>
      </c>
      <c r="AE84" s="429">
        <v>0</v>
      </c>
      <c r="AF84" s="429">
        <v>0</v>
      </c>
      <c r="AG84" s="363">
        <v>9692</v>
      </c>
      <c r="AH84" s="363">
        <v>9692</v>
      </c>
      <c r="AI84" s="363">
        <v>9692</v>
      </c>
      <c r="AJ84" s="363">
        <v>9692</v>
      </c>
      <c r="AK84" s="363">
        <v>9692</v>
      </c>
      <c r="AL84" s="363">
        <v>9692</v>
      </c>
      <c r="AM84" s="360">
        <f t="shared" si="3"/>
        <v>58152</v>
      </c>
      <c r="AN84" s="362">
        <f>ERP_2[[#This Row],[2026 Working Total]]-ERP_2[[#This Row],[LE2 Final Submission]]</f>
        <v>-9692</v>
      </c>
      <c r="AO84" s="79"/>
      <c r="AP84" s="79">
        <f t="shared" si="4"/>
        <v>0</v>
      </c>
      <c r="AQ84" s="374">
        <f>SUM(ERP_2[[#This Row],[AP01]:[AP06]])-SUM(ERP_2[[#This Row],[AP01 LE2]:[AP06 LE2]])</f>
        <v>-9692</v>
      </c>
      <c r="AR84" s="80">
        <v>-48460</v>
      </c>
      <c r="AS84" s="79">
        <f>ERP_2[[#This Row],[2026 Working Total to Budget/LE]]-ERP_2[[#This Row],[Giveback]]</f>
        <v>38768</v>
      </c>
      <c r="AT84" s="183" t="s">
        <v>1814</v>
      </c>
      <c r="AU84" s="183"/>
      <c r="AV84" s="183"/>
      <c r="AW84" s="183"/>
      <c r="AX84" s="183"/>
      <c r="AY84" s="183"/>
      <c r="AZ84" s="183">
        <v>9692</v>
      </c>
      <c r="BA84" s="183">
        <v>9692</v>
      </c>
      <c r="BB84" s="183">
        <v>9692</v>
      </c>
      <c r="BC84" s="183">
        <v>9692</v>
      </c>
      <c r="BD84" s="183">
        <v>9692</v>
      </c>
      <c r="BE84" s="183">
        <v>9692</v>
      </c>
      <c r="BF84" s="183">
        <v>9692</v>
      </c>
      <c r="BG84" s="183">
        <v>67844</v>
      </c>
      <c r="BH84" s="79"/>
      <c r="BI84" s="79"/>
      <c r="BJ84" s="79"/>
      <c r="BK84" s="79">
        <v>9692</v>
      </c>
      <c r="BL84" s="79">
        <v>9692</v>
      </c>
      <c r="BM84" s="79">
        <v>9692</v>
      </c>
      <c r="BN84" s="79">
        <v>9692</v>
      </c>
      <c r="BO84" s="79">
        <v>9692</v>
      </c>
      <c r="BP84" s="79">
        <v>9692</v>
      </c>
      <c r="BQ84" s="79">
        <v>9692</v>
      </c>
      <c r="BR84" s="79">
        <v>9692</v>
      </c>
      <c r="BS84" s="79">
        <v>9692</v>
      </c>
      <c r="BT84" s="79">
        <v>87228</v>
      </c>
    </row>
    <row r="85" spans="1:72" ht="15" hidden="1" customHeight="1">
      <c r="A85" s="66" t="s">
        <v>1815</v>
      </c>
      <c r="B85" s="66"/>
      <c r="C85" s="66" t="s">
        <v>423</v>
      </c>
      <c r="D85" s="66" t="s">
        <v>1816</v>
      </c>
      <c r="E85" s="150" t="s">
        <v>1136</v>
      </c>
      <c r="F85" s="482" t="s">
        <v>1566</v>
      </c>
      <c r="G85" s="150" t="s">
        <v>1135</v>
      </c>
      <c r="H85" s="150" t="s">
        <v>1156</v>
      </c>
      <c r="I85" s="150" t="s">
        <v>1135</v>
      </c>
      <c r="J85" s="150" t="s">
        <v>1156</v>
      </c>
      <c r="K85" s="150" t="s">
        <v>1137</v>
      </c>
      <c r="L85" s="511" t="s">
        <v>389</v>
      </c>
      <c r="M85" s="392" t="s">
        <v>1817</v>
      </c>
      <c r="N85" s="343"/>
      <c r="O85" s="343"/>
      <c r="P85" s="70" t="s">
        <v>424</v>
      </c>
      <c r="Q85" s="346"/>
      <c r="R85" s="343"/>
      <c r="S85" s="346"/>
      <c r="T85" s="150" t="s">
        <v>67</v>
      </c>
      <c r="U85" s="150"/>
      <c r="V85" s="403"/>
      <c r="W85" s="406">
        <v>588064.00000000012</v>
      </c>
      <c r="X85" s="406">
        <v>588064.16999999993</v>
      </c>
      <c r="Y85" s="425"/>
      <c r="Z85" s="71"/>
      <c r="AA85" s="426">
        <v>40389</v>
      </c>
      <c r="AB85" s="427">
        <v>55285.58</v>
      </c>
      <c r="AC85" s="427">
        <v>47994.59</v>
      </c>
      <c r="AD85" s="428">
        <v>42517.659999999996</v>
      </c>
      <c r="AE85" s="429">
        <v>63850.67</v>
      </c>
      <c r="AF85" s="429">
        <v>47308.070000000007</v>
      </c>
      <c r="AG85" s="363">
        <v>49400</v>
      </c>
      <c r="AH85" s="363">
        <v>48000</v>
      </c>
      <c r="AI85" s="363">
        <v>48000</v>
      </c>
      <c r="AJ85" s="363">
        <v>48000</v>
      </c>
      <c r="AK85" s="363">
        <v>48000</v>
      </c>
      <c r="AL85" s="363">
        <v>48000</v>
      </c>
      <c r="AM85" s="360">
        <f t="shared" si="3"/>
        <v>586745.57000000007</v>
      </c>
      <c r="AN85" s="362">
        <f>ERP_2[[#This Row],[2026 Working Total]]-ERP_2[[#This Row],[LE2 Final Submission]]</f>
        <v>-1318.5999999998603</v>
      </c>
      <c r="AO85" s="79">
        <v>49500</v>
      </c>
      <c r="AP85" s="79">
        <f t="shared" si="4"/>
        <v>-2191.929999999993</v>
      </c>
      <c r="AQ85" s="374">
        <f>SUM(ERP_2[[#This Row],[AP01]:[AP06]])-SUM(ERP_2[[#This Row],[AP01 LE2]:[AP06 LE2]])</f>
        <v>3681.4000000000233</v>
      </c>
      <c r="AR85" s="80"/>
      <c r="AS85" s="79">
        <f>ERP_2[[#This Row],[2026 Working Total to Budget/LE]]-ERP_2[[#This Row],[Giveback]]</f>
        <v>-1318.5999999998603</v>
      </c>
      <c r="AT85" s="81"/>
      <c r="AU85" s="375">
        <v>40389</v>
      </c>
      <c r="AV85" s="375">
        <v>55285.58</v>
      </c>
      <c r="AW85" s="375">
        <v>47994.59</v>
      </c>
      <c r="AX85" s="375">
        <v>51000</v>
      </c>
      <c r="AY85" s="375">
        <v>49500</v>
      </c>
      <c r="AZ85" s="375">
        <v>49495</v>
      </c>
      <c r="BA85" s="375">
        <v>49400</v>
      </c>
      <c r="BB85" s="375">
        <v>49000</v>
      </c>
      <c r="BC85" s="375">
        <v>49000</v>
      </c>
      <c r="BD85" s="375">
        <v>49000</v>
      </c>
      <c r="BE85" s="375">
        <v>49000</v>
      </c>
      <c r="BF85" s="375">
        <v>49000</v>
      </c>
      <c r="BG85" s="375">
        <v>588064.16999999993</v>
      </c>
      <c r="BH85" s="79">
        <v>40389</v>
      </c>
      <c r="BI85" s="79">
        <v>55285.58</v>
      </c>
      <c r="BJ85" s="79">
        <v>47994.59</v>
      </c>
      <c r="BK85" s="79">
        <v>49068</v>
      </c>
      <c r="BL85" s="79">
        <v>51240</v>
      </c>
      <c r="BM85" s="79">
        <v>37911</v>
      </c>
      <c r="BN85" s="79">
        <v>48731</v>
      </c>
      <c r="BO85" s="79">
        <v>52076</v>
      </c>
      <c r="BP85" s="79">
        <v>52390</v>
      </c>
      <c r="BQ85" s="79">
        <v>54876</v>
      </c>
      <c r="BR85" s="79">
        <v>42961</v>
      </c>
      <c r="BS85" s="79">
        <v>40649</v>
      </c>
      <c r="BT85" s="79">
        <v>573571.16999999993</v>
      </c>
    </row>
    <row r="86" spans="1:72" ht="15" hidden="1" customHeight="1">
      <c r="A86" s="66" t="s">
        <v>1818</v>
      </c>
      <c r="B86" s="66"/>
      <c r="C86" s="66" t="s">
        <v>425</v>
      </c>
      <c r="D86" s="66" t="s">
        <v>1819</v>
      </c>
      <c r="E86" s="150" t="s">
        <v>1136</v>
      </c>
      <c r="F86" s="482" t="s">
        <v>1566</v>
      </c>
      <c r="G86" s="150" t="s">
        <v>1135</v>
      </c>
      <c r="H86" s="150" t="s">
        <v>1165</v>
      </c>
      <c r="I86" s="150" t="s">
        <v>1135</v>
      </c>
      <c r="J86" s="150" t="s">
        <v>1165</v>
      </c>
      <c r="K86" s="150" t="s">
        <v>1137</v>
      </c>
      <c r="L86" s="511" t="s">
        <v>389</v>
      </c>
      <c r="M86" s="392" t="s">
        <v>1820</v>
      </c>
      <c r="N86" s="343"/>
      <c r="O86" s="343"/>
      <c r="P86" s="70" t="s">
        <v>426</v>
      </c>
      <c r="Q86" s="346"/>
      <c r="R86" s="343"/>
      <c r="S86" s="346"/>
      <c r="T86" s="150" t="s">
        <v>427</v>
      </c>
      <c r="U86" s="184" t="s">
        <v>1821</v>
      </c>
      <c r="V86" s="403"/>
      <c r="W86" s="406">
        <v>4651599.96</v>
      </c>
      <c r="X86" s="406">
        <v>4701598.17</v>
      </c>
      <c r="Y86" s="425"/>
      <c r="Z86" s="71"/>
      <c r="AA86" s="426">
        <v>387633.4</v>
      </c>
      <c r="AB86" s="427">
        <v>404902.73</v>
      </c>
      <c r="AC86" s="427">
        <v>356492.04</v>
      </c>
      <c r="AD86" s="428">
        <v>363571.96</v>
      </c>
      <c r="AE86" s="429">
        <v>461544.87000000005</v>
      </c>
      <c r="AF86" s="429">
        <v>394829.05999999994</v>
      </c>
      <c r="AG86" s="363">
        <v>391800</v>
      </c>
      <c r="AH86" s="363">
        <v>391800</v>
      </c>
      <c r="AI86" s="363">
        <v>391800</v>
      </c>
      <c r="AJ86" s="363">
        <v>391800</v>
      </c>
      <c r="AK86" s="363">
        <v>391800</v>
      </c>
      <c r="AL86" s="363">
        <v>387633</v>
      </c>
      <c r="AM86" s="360">
        <f t="shared" si="3"/>
        <v>4715607.0600000005</v>
      </c>
      <c r="AN86" s="504">
        <f>ERP_2[[#This Row],[2026 Working Total]]-ERP_2[[#This Row],[LE2 Final Submission]]</f>
        <v>14008.890000000596</v>
      </c>
      <c r="AO86" s="79">
        <v>391800</v>
      </c>
      <c r="AP86" s="79">
        <f t="shared" si="4"/>
        <v>3029.0599999999395</v>
      </c>
      <c r="AQ86" s="374">
        <f>SUM(ERP_2[[#This Row],[AP01]:[AP06]])-SUM(ERP_2[[#This Row],[AP01 LE2]:[AP06 LE2]])</f>
        <v>14008.89000000013</v>
      </c>
      <c r="AR86" s="80"/>
      <c r="AS86" s="79">
        <f>ERP_2[[#This Row],[2026 Working Total to Budget/LE]]-ERP_2[[#This Row],[Giveback]]</f>
        <v>14008.890000000596</v>
      </c>
      <c r="AT86" s="81"/>
      <c r="AU86" s="375">
        <v>387633.4</v>
      </c>
      <c r="AV86" s="375">
        <v>404902.73</v>
      </c>
      <c r="AW86" s="375">
        <v>356492.04</v>
      </c>
      <c r="AX86" s="375">
        <v>422337</v>
      </c>
      <c r="AY86" s="375">
        <v>391800</v>
      </c>
      <c r="AZ86" s="375">
        <v>391800</v>
      </c>
      <c r="BA86" s="375">
        <v>391800</v>
      </c>
      <c r="BB86" s="375">
        <v>391800</v>
      </c>
      <c r="BC86" s="375">
        <v>391800</v>
      </c>
      <c r="BD86" s="375">
        <v>391800</v>
      </c>
      <c r="BE86" s="375">
        <v>391800</v>
      </c>
      <c r="BF86" s="375">
        <v>387633</v>
      </c>
      <c r="BG86" s="375">
        <v>4701598.17</v>
      </c>
      <c r="BH86" s="79">
        <v>387633.4</v>
      </c>
      <c r="BI86" s="79">
        <v>404902.73</v>
      </c>
      <c r="BJ86" s="79">
        <v>356492.04</v>
      </c>
      <c r="BK86" s="79">
        <v>387633.33</v>
      </c>
      <c r="BL86" s="79">
        <v>387633.33</v>
      </c>
      <c r="BM86" s="79">
        <v>387633.33</v>
      </c>
      <c r="BN86" s="79">
        <v>387633.33</v>
      </c>
      <c r="BO86" s="79">
        <v>387633.33</v>
      </c>
      <c r="BP86" s="79">
        <v>387633.33</v>
      </c>
      <c r="BQ86" s="79">
        <v>387633.33</v>
      </c>
      <c r="BR86" s="79">
        <v>387633.33</v>
      </c>
      <c r="BS86" s="79">
        <v>387633.33</v>
      </c>
      <c r="BT86" s="79">
        <v>4637728.1400000006</v>
      </c>
    </row>
    <row r="87" spans="1:72" ht="15" hidden="1" customHeight="1">
      <c r="A87" s="66" t="s">
        <v>1822</v>
      </c>
      <c r="B87" s="66"/>
      <c r="C87" s="66" t="s">
        <v>428</v>
      </c>
      <c r="D87" s="66" t="s">
        <v>1823</v>
      </c>
      <c r="E87" s="150" t="s">
        <v>1136</v>
      </c>
      <c r="F87" s="482" t="s">
        <v>1566</v>
      </c>
      <c r="G87" s="150" t="s">
        <v>1135</v>
      </c>
      <c r="H87" s="150" t="s">
        <v>1165</v>
      </c>
      <c r="I87" s="150" t="s">
        <v>1135</v>
      </c>
      <c r="J87" s="150" t="s">
        <v>1165</v>
      </c>
      <c r="K87" s="150" t="s">
        <v>1137</v>
      </c>
      <c r="L87" s="511" t="s">
        <v>389</v>
      </c>
      <c r="M87" s="392" t="s">
        <v>1824</v>
      </c>
      <c r="N87" s="343"/>
      <c r="O87" s="343"/>
      <c r="P87" s="70" t="s">
        <v>429</v>
      </c>
      <c r="Q87" s="346"/>
      <c r="R87" s="343"/>
      <c r="S87" s="346"/>
      <c r="T87" s="150" t="s">
        <v>427</v>
      </c>
      <c r="U87" s="482" t="s">
        <v>1825</v>
      </c>
      <c r="V87" s="403"/>
      <c r="W87" s="406">
        <v>1832799.9600000002</v>
      </c>
      <c r="X87" s="406">
        <v>1832798.4200000002</v>
      </c>
      <c r="Y87" s="425"/>
      <c r="Z87" s="71"/>
      <c r="AA87" s="426"/>
      <c r="AB87" s="427">
        <v>293304.34999999998</v>
      </c>
      <c r="AC87" s="427">
        <v>164894.1</v>
      </c>
      <c r="AD87" s="428">
        <v>142089.47</v>
      </c>
      <c r="AE87" s="429">
        <v>163378.12</v>
      </c>
      <c r="AF87" s="429">
        <v>152732.93000000002</v>
      </c>
      <c r="AG87" s="363">
        <v>172399</v>
      </c>
      <c r="AH87" s="363">
        <v>172399</v>
      </c>
      <c r="AI87" s="363">
        <v>172399</v>
      </c>
      <c r="AJ87" s="363">
        <v>172399</v>
      </c>
      <c r="AK87" s="363">
        <v>172399</v>
      </c>
      <c r="AL87" s="363">
        <v>172399</v>
      </c>
      <c r="AM87" s="360">
        <f t="shared" si="3"/>
        <v>1950792.97</v>
      </c>
      <c r="AN87" s="504">
        <f>ERP_2[[#This Row],[2026 Working Total]]-ERP_2[[#This Row],[LE2 Final Submission]]</f>
        <v>117994.54999999981</v>
      </c>
      <c r="AO87" s="79">
        <v>152733.32999999999</v>
      </c>
      <c r="AP87" s="79">
        <f t="shared" si="4"/>
        <v>-0.3999999999650754</v>
      </c>
      <c r="AQ87" s="374">
        <f>SUM(ERP_2[[#This Row],[AP01]:[AP06]])-SUM(ERP_2[[#This Row],[AP01 LE2]:[AP06 LE2]])</f>
        <v>0.530000000144355</v>
      </c>
      <c r="AR87" s="80"/>
      <c r="AS87" s="79">
        <f>ERP_2[[#This Row],[2026 Working Total to Budget/LE]]-ERP_2[[#This Row],[Giveback]]</f>
        <v>117994.54999999981</v>
      </c>
      <c r="AT87" s="81"/>
      <c r="AU87" s="375"/>
      <c r="AV87" s="375">
        <v>293304.34999999998</v>
      </c>
      <c r="AW87" s="375">
        <v>164894.1</v>
      </c>
      <c r="AX87" s="375">
        <v>152733.32999999999</v>
      </c>
      <c r="AY87" s="375">
        <v>152733.32999999999</v>
      </c>
      <c r="AZ87" s="375">
        <v>152733.32999999999</v>
      </c>
      <c r="BA87" s="375">
        <v>152733.32999999999</v>
      </c>
      <c r="BB87" s="375">
        <v>152733.32999999999</v>
      </c>
      <c r="BC87" s="375">
        <v>152733.32999999999</v>
      </c>
      <c r="BD87" s="375">
        <v>152733.32999999999</v>
      </c>
      <c r="BE87" s="375">
        <v>152733.32999999999</v>
      </c>
      <c r="BF87" s="375">
        <v>152733.32999999999</v>
      </c>
      <c r="BG87" s="375">
        <v>1832798.4200000002</v>
      </c>
      <c r="BH87" s="79"/>
      <c r="BI87" s="79">
        <v>293304.34999999998</v>
      </c>
      <c r="BJ87" s="79">
        <v>164894.1</v>
      </c>
      <c r="BK87" s="79">
        <v>152733.32999999999</v>
      </c>
      <c r="BL87" s="79">
        <v>152733.32999999999</v>
      </c>
      <c r="BM87" s="79">
        <v>152733.32999999999</v>
      </c>
      <c r="BN87" s="79">
        <v>152733.32999999999</v>
      </c>
      <c r="BO87" s="79">
        <v>152733.32999999999</v>
      </c>
      <c r="BP87" s="79">
        <v>152733.32999999999</v>
      </c>
      <c r="BQ87" s="79">
        <v>152733.32999999999</v>
      </c>
      <c r="BR87" s="79">
        <v>152733.32999999999</v>
      </c>
      <c r="BS87" s="79">
        <v>152733.32999999999</v>
      </c>
      <c r="BT87" s="79">
        <v>1832798.4200000002</v>
      </c>
    </row>
    <row r="88" spans="1:72" ht="15" hidden="1" customHeight="1">
      <c r="A88" s="66" t="s">
        <v>1826</v>
      </c>
      <c r="B88" s="66"/>
      <c r="C88" s="66" t="s">
        <v>430</v>
      </c>
      <c r="D88" s="66" t="s">
        <v>1827</v>
      </c>
      <c r="E88" s="150" t="s">
        <v>1136</v>
      </c>
      <c r="F88" s="482" t="s">
        <v>1566</v>
      </c>
      <c r="G88" s="150" t="s">
        <v>1135</v>
      </c>
      <c r="H88" s="150" t="s">
        <v>1135</v>
      </c>
      <c r="I88" s="150" t="s">
        <v>1135</v>
      </c>
      <c r="J88" s="150" t="s">
        <v>1137</v>
      </c>
      <c r="K88" s="150" t="s">
        <v>1137</v>
      </c>
      <c r="L88" s="511" t="s">
        <v>389</v>
      </c>
      <c r="M88" s="392" t="s">
        <v>1828</v>
      </c>
      <c r="N88" s="343"/>
      <c r="O88" s="343"/>
      <c r="P88" s="70" t="s">
        <v>431</v>
      </c>
      <c r="Q88" s="346"/>
      <c r="R88" s="343"/>
      <c r="S88" s="346"/>
      <c r="T88" s="150" t="s">
        <v>432</v>
      </c>
      <c r="U88" s="1" t="s">
        <v>1141</v>
      </c>
      <c r="V88" s="403"/>
      <c r="W88" s="406">
        <v>18000</v>
      </c>
      <c r="X88" s="406">
        <v>19824.739999999998</v>
      </c>
      <c r="Y88" s="425"/>
      <c r="Z88" s="71"/>
      <c r="AA88" s="426">
        <v>531.82000000000005</v>
      </c>
      <c r="AB88" s="427">
        <v>3988.46</v>
      </c>
      <c r="AC88" s="427">
        <v>1804.46</v>
      </c>
      <c r="AD88" s="428">
        <v>988.66</v>
      </c>
      <c r="AE88" s="429">
        <v>162.79999999999998</v>
      </c>
      <c r="AF88" s="429">
        <v>0</v>
      </c>
      <c r="AG88" s="363">
        <v>1500</v>
      </c>
      <c r="AH88" s="363">
        <v>1500</v>
      </c>
      <c r="AI88" s="363">
        <v>1500</v>
      </c>
      <c r="AJ88" s="363">
        <v>1500</v>
      </c>
      <c r="AK88" s="363">
        <v>1500</v>
      </c>
      <c r="AL88" s="363">
        <v>1500</v>
      </c>
      <c r="AM88" s="360">
        <f t="shared" si="3"/>
        <v>16476.2</v>
      </c>
      <c r="AN88" s="362">
        <f>ERP_2[[#This Row],[2026 Working Total]]-ERP_2[[#This Row],[LE2 Final Submission]]</f>
        <v>-3348.5399999999972</v>
      </c>
      <c r="AO88" s="79">
        <v>1500</v>
      </c>
      <c r="AP88" s="79">
        <f t="shared" si="4"/>
        <v>-1500</v>
      </c>
      <c r="AQ88" s="374">
        <f>SUM(ERP_2[[#This Row],[AP01]:[AP06]])-SUM(ERP_2[[#This Row],[AP01 LE2]:[AP06 LE2]])</f>
        <v>-3348.54</v>
      </c>
      <c r="AR88" s="80"/>
      <c r="AS88" s="79">
        <f>ERP_2[[#This Row],[2026 Working Total to Budget/LE]]-ERP_2[[#This Row],[Giveback]]</f>
        <v>-3348.5399999999972</v>
      </c>
      <c r="AT88" s="81"/>
      <c r="AU88" s="375">
        <v>531.82000000000005</v>
      </c>
      <c r="AV88" s="375">
        <v>3988.46</v>
      </c>
      <c r="AW88" s="375">
        <v>1804.46</v>
      </c>
      <c r="AX88" s="375">
        <v>1500</v>
      </c>
      <c r="AY88" s="375">
        <v>1500</v>
      </c>
      <c r="AZ88" s="375">
        <v>1500</v>
      </c>
      <c r="BA88" s="375">
        <v>1500</v>
      </c>
      <c r="BB88" s="375">
        <v>1500</v>
      </c>
      <c r="BC88" s="375">
        <v>1500</v>
      </c>
      <c r="BD88" s="375">
        <v>1500</v>
      </c>
      <c r="BE88" s="375">
        <v>1500</v>
      </c>
      <c r="BF88" s="375">
        <v>1500</v>
      </c>
      <c r="BG88" s="375">
        <v>19824.739999999998</v>
      </c>
      <c r="BH88" s="79">
        <v>531.82000000000005</v>
      </c>
      <c r="BI88" s="79">
        <v>3988.46</v>
      </c>
      <c r="BJ88" s="79">
        <v>1804.46</v>
      </c>
      <c r="BK88" s="79">
        <v>1500</v>
      </c>
      <c r="BL88" s="79">
        <v>1500</v>
      </c>
      <c r="BM88" s="79">
        <v>1500</v>
      </c>
      <c r="BN88" s="79">
        <v>1500</v>
      </c>
      <c r="BO88" s="79">
        <v>1500</v>
      </c>
      <c r="BP88" s="79">
        <v>1500</v>
      </c>
      <c r="BQ88" s="79">
        <v>1500</v>
      </c>
      <c r="BR88" s="79">
        <v>1500</v>
      </c>
      <c r="BS88" s="79">
        <v>1500</v>
      </c>
      <c r="BT88" s="79">
        <v>19824.739999999998</v>
      </c>
    </row>
    <row r="89" spans="1:72" ht="15" hidden="1" customHeight="1">
      <c r="A89" s="66" t="s">
        <v>1829</v>
      </c>
      <c r="B89" s="66"/>
      <c r="C89" s="66" t="s">
        <v>433</v>
      </c>
      <c r="D89" s="66" t="s">
        <v>1830</v>
      </c>
      <c r="E89" s="150" t="s">
        <v>1136</v>
      </c>
      <c r="F89" s="482" t="s">
        <v>1566</v>
      </c>
      <c r="G89" s="150" t="s">
        <v>1135</v>
      </c>
      <c r="H89" s="150" t="s">
        <v>1165</v>
      </c>
      <c r="I89" s="150" t="s">
        <v>1135</v>
      </c>
      <c r="J89" s="150" t="s">
        <v>1165</v>
      </c>
      <c r="K89" s="150" t="s">
        <v>1137</v>
      </c>
      <c r="L89" s="511" t="s">
        <v>389</v>
      </c>
      <c r="M89" s="392" t="s">
        <v>1831</v>
      </c>
      <c r="N89" s="343" t="s">
        <v>1832</v>
      </c>
      <c r="O89" s="343">
        <v>2430238</v>
      </c>
      <c r="P89" s="70" t="s">
        <v>124</v>
      </c>
      <c r="Q89" s="346"/>
      <c r="R89" s="343">
        <v>9501133449</v>
      </c>
      <c r="S89" s="346"/>
      <c r="T89" s="150" t="s">
        <v>434</v>
      </c>
      <c r="U89" s="150"/>
      <c r="V89" s="403"/>
      <c r="W89" s="406">
        <v>141887.51999999996</v>
      </c>
      <c r="X89" s="406">
        <v>62335.31</v>
      </c>
      <c r="Y89" s="425"/>
      <c r="Z89" s="71"/>
      <c r="AA89" s="426">
        <v>11347.01</v>
      </c>
      <c r="AB89" s="427">
        <v>7087.77</v>
      </c>
      <c r="AC89" s="427">
        <v>10590.53</v>
      </c>
      <c r="AD89" s="428">
        <v>13238.160000000002</v>
      </c>
      <c r="AE89" s="429">
        <v>10590.539999999999</v>
      </c>
      <c r="AF89" s="429">
        <v>10590.54</v>
      </c>
      <c r="AG89" s="364"/>
      <c r="AH89" s="364"/>
      <c r="AI89" s="364"/>
      <c r="AJ89" s="364"/>
      <c r="AK89" s="364"/>
      <c r="AL89" s="364"/>
      <c r="AM89" s="360">
        <f t="shared" si="3"/>
        <v>63444.55</v>
      </c>
      <c r="AN89" s="362">
        <f>ERP_2[[#This Row],[2026 Working Total]]-ERP_2[[#This Row],[LE2 Final Submission]]</f>
        <v>1109.2400000000052</v>
      </c>
      <c r="AO89" s="79">
        <v>12130</v>
      </c>
      <c r="AP89" s="79">
        <f t="shared" si="4"/>
        <v>-1539.4599999999991</v>
      </c>
      <c r="AQ89" s="374">
        <f>SUM(ERP_2[[#This Row],[AP01]:[AP06]])-SUM(ERP_2[[#This Row],[AP01 LE2]:[AP06 LE2]])</f>
        <v>1109.2400000000052</v>
      </c>
      <c r="AR89" s="80"/>
      <c r="AS89" s="79">
        <f>ERP_2[[#This Row],[2026 Working Total to Budget/LE]]-ERP_2[[#This Row],[Giveback]]</f>
        <v>1109.2400000000052</v>
      </c>
      <c r="AT89" s="81"/>
      <c r="AU89" s="375">
        <v>11347.01</v>
      </c>
      <c r="AV89" s="375">
        <v>7087.77</v>
      </c>
      <c r="AW89" s="375">
        <v>10590.53</v>
      </c>
      <c r="AX89" s="375">
        <v>10590</v>
      </c>
      <c r="AY89" s="375">
        <v>12130</v>
      </c>
      <c r="AZ89" s="375">
        <v>10590</v>
      </c>
      <c r="BA89" s="375"/>
      <c r="BB89" s="375"/>
      <c r="BC89" s="375"/>
      <c r="BD89" s="375"/>
      <c r="BE89" s="375"/>
      <c r="BF89" s="375"/>
      <c r="BG89" s="375">
        <v>62335.31</v>
      </c>
      <c r="BH89" s="79">
        <v>11347.01</v>
      </c>
      <c r="BI89" s="79">
        <v>7087.77</v>
      </c>
      <c r="BJ89" s="79">
        <v>10590.53</v>
      </c>
      <c r="BK89" s="79">
        <v>11157</v>
      </c>
      <c r="BL89" s="79">
        <v>11157</v>
      </c>
      <c r="BM89" s="79">
        <v>11157</v>
      </c>
      <c r="BN89" s="79">
        <v>11157</v>
      </c>
      <c r="BO89" s="79">
        <v>11157</v>
      </c>
      <c r="BP89" s="79">
        <v>11157</v>
      </c>
      <c r="BQ89" s="79">
        <v>11157</v>
      </c>
      <c r="BR89" s="79">
        <v>11157</v>
      </c>
      <c r="BS89" s="79">
        <v>11157</v>
      </c>
      <c r="BT89" s="79">
        <v>129438.31</v>
      </c>
    </row>
    <row r="90" spans="1:72" ht="15" hidden="1" customHeight="1">
      <c r="A90" s="66" t="s">
        <v>1840</v>
      </c>
      <c r="B90" s="66"/>
      <c r="C90" s="66" t="s">
        <v>437</v>
      </c>
      <c r="D90" s="66" t="s">
        <v>1841</v>
      </c>
      <c r="E90" s="150" t="s">
        <v>1136</v>
      </c>
      <c r="F90" s="482" t="s">
        <v>1566</v>
      </c>
      <c r="G90" s="150" t="s">
        <v>1135</v>
      </c>
      <c r="H90" s="150" t="s">
        <v>1165</v>
      </c>
      <c r="I90" s="150" t="s">
        <v>1135</v>
      </c>
      <c r="J90" s="150" t="s">
        <v>1165</v>
      </c>
      <c r="K90" s="150" t="s">
        <v>1137</v>
      </c>
      <c r="L90" s="511" t="s">
        <v>389</v>
      </c>
      <c r="M90" s="392" t="s">
        <v>1842</v>
      </c>
      <c r="N90" s="343"/>
      <c r="O90" s="343"/>
      <c r="P90" s="70" t="s">
        <v>438</v>
      </c>
      <c r="Q90" s="346"/>
      <c r="R90" s="343"/>
      <c r="S90" s="346"/>
      <c r="T90" s="150" t="s">
        <v>439</v>
      </c>
      <c r="U90" s="150"/>
      <c r="V90" s="403"/>
      <c r="W90" s="406">
        <v>60000</v>
      </c>
      <c r="X90" s="406">
        <v>59587</v>
      </c>
      <c r="Y90" s="425"/>
      <c r="Z90" s="425"/>
      <c r="AA90" s="426"/>
      <c r="AB90" s="427"/>
      <c r="AC90" s="427">
        <v>7840</v>
      </c>
      <c r="AD90" s="428">
        <v>4772.18</v>
      </c>
      <c r="AE90" s="429">
        <v>4772.17</v>
      </c>
      <c r="AF90" s="429">
        <v>4075.2199999999993</v>
      </c>
      <c r="AG90" s="363">
        <v>5000</v>
      </c>
      <c r="AH90" s="363">
        <v>5000</v>
      </c>
      <c r="AI90" s="363">
        <v>5000</v>
      </c>
      <c r="AJ90" s="363">
        <v>5000</v>
      </c>
      <c r="AK90" s="363">
        <v>5000</v>
      </c>
      <c r="AL90" s="363">
        <v>5000</v>
      </c>
      <c r="AM90" s="360">
        <f t="shared" si="3"/>
        <v>51459.57</v>
      </c>
      <c r="AN90" s="362">
        <f>ERP_2[[#This Row],[2026 Working Total]]-ERP_2[[#This Row],[LE2 Final Submission]]</f>
        <v>-8127.43</v>
      </c>
      <c r="AO90" s="79">
        <v>5000</v>
      </c>
      <c r="AP90" s="79">
        <f t="shared" si="4"/>
        <v>-924.78000000000065</v>
      </c>
      <c r="AQ90" s="374">
        <f>SUM(ERP_2[[#This Row],[AP01]:[AP06]])-SUM(ERP_2[[#This Row],[AP01 LE2]:[AP06 LE2]])</f>
        <v>-8127.43</v>
      </c>
      <c r="AR90" s="80"/>
      <c r="AS90" s="79">
        <f>ERP_2[[#This Row],[2026 Working Total to Budget/LE]]-ERP_2[[#This Row],[Giveback]]</f>
        <v>-8127.43</v>
      </c>
      <c r="AT90" s="81"/>
      <c r="AU90" s="375"/>
      <c r="AV90" s="375"/>
      <c r="AW90" s="375">
        <v>7840</v>
      </c>
      <c r="AX90" s="375">
        <v>11747</v>
      </c>
      <c r="AY90" s="375">
        <v>5000</v>
      </c>
      <c r="AZ90" s="375">
        <v>5000</v>
      </c>
      <c r="BA90" s="375">
        <v>5000</v>
      </c>
      <c r="BB90" s="375">
        <v>5000</v>
      </c>
      <c r="BC90" s="375">
        <v>5000</v>
      </c>
      <c r="BD90" s="375">
        <v>5000</v>
      </c>
      <c r="BE90" s="375">
        <v>5000</v>
      </c>
      <c r="BF90" s="375">
        <v>5000</v>
      </c>
      <c r="BG90" s="375">
        <v>59587</v>
      </c>
      <c r="BH90" s="79"/>
      <c r="BI90" s="79"/>
      <c r="BJ90" s="79">
        <v>7840</v>
      </c>
      <c r="BK90" s="79">
        <v>5000</v>
      </c>
      <c r="BL90" s="79">
        <v>5000</v>
      </c>
      <c r="BM90" s="79">
        <v>5000</v>
      </c>
      <c r="BN90" s="79">
        <v>5000</v>
      </c>
      <c r="BO90" s="79">
        <v>5000</v>
      </c>
      <c r="BP90" s="79">
        <v>5000</v>
      </c>
      <c r="BQ90" s="79">
        <v>5000</v>
      </c>
      <c r="BR90" s="79">
        <v>5000</v>
      </c>
      <c r="BS90" s="79">
        <v>5000</v>
      </c>
      <c r="BT90" s="79">
        <v>52840</v>
      </c>
    </row>
    <row r="91" spans="1:72" ht="15" hidden="1" customHeight="1">
      <c r="A91" s="66" t="s">
        <v>1847</v>
      </c>
      <c r="B91" s="66"/>
      <c r="C91" s="66" t="s">
        <v>442</v>
      </c>
      <c r="D91" s="66" t="s">
        <v>1848</v>
      </c>
      <c r="E91" s="150" t="s">
        <v>1136</v>
      </c>
      <c r="F91" s="482" t="s">
        <v>1566</v>
      </c>
      <c r="G91" s="150" t="s">
        <v>1135</v>
      </c>
      <c r="H91" s="150" t="s">
        <v>1165</v>
      </c>
      <c r="I91" s="150" t="s">
        <v>1135</v>
      </c>
      <c r="J91" s="150" t="s">
        <v>1165</v>
      </c>
      <c r="K91" s="150" t="s">
        <v>1137</v>
      </c>
      <c r="L91" s="511" t="s">
        <v>389</v>
      </c>
      <c r="M91" s="392" t="s">
        <v>1849</v>
      </c>
      <c r="N91" s="343"/>
      <c r="O91" s="343"/>
      <c r="P91" s="70" t="s">
        <v>443</v>
      </c>
      <c r="Q91" s="346"/>
      <c r="R91" s="343"/>
      <c r="S91" s="346"/>
      <c r="T91" s="150" t="s">
        <v>57</v>
      </c>
      <c r="U91" s="150"/>
      <c r="V91" s="403"/>
      <c r="W91" s="406">
        <v>10599.999996000004</v>
      </c>
      <c r="X91" s="406">
        <v>10595.639997000004</v>
      </c>
      <c r="Y91" s="425"/>
      <c r="Z91" s="71"/>
      <c r="AA91" s="426">
        <v>881.88</v>
      </c>
      <c r="AB91" s="427">
        <v>881.88</v>
      </c>
      <c r="AC91" s="427">
        <v>881.88</v>
      </c>
      <c r="AD91" s="428">
        <v>881.88</v>
      </c>
      <c r="AE91" s="429">
        <v>881.88</v>
      </c>
      <c r="AF91" s="429">
        <v>881.88</v>
      </c>
      <c r="AG91" s="363">
        <v>883.33333300000004</v>
      </c>
      <c r="AH91" s="363">
        <v>883.33333300000004</v>
      </c>
      <c r="AI91" s="363">
        <v>883.33333300000004</v>
      </c>
      <c r="AJ91" s="363">
        <v>883.33333300000004</v>
      </c>
      <c r="AK91" s="363">
        <v>883.33333300000004</v>
      </c>
      <c r="AL91" s="363">
        <v>883.33333300000004</v>
      </c>
      <c r="AM91" s="360">
        <f t="shared" si="3"/>
        <v>10591.279998000002</v>
      </c>
      <c r="AN91" s="362">
        <f>ERP_2[[#This Row],[2026 Working Total]]-ERP_2[[#This Row],[LE2 Final Submission]]</f>
        <v>-4.3599990000020625</v>
      </c>
      <c r="AO91" s="79">
        <v>883.33333300000004</v>
      </c>
      <c r="AP91" s="79">
        <f t="shared" si="4"/>
        <v>-1.4533330000000433</v>
      </c>
      <c r="AQ91" s="374">
        <f>SUM(ERP_2[[#This Row],[AP01]:[AP06]])-SUM(ERP_2[[#This Row],[AP01 LE2]:[AP06 LE2]])</f>
        <v>-4.359999000001153</v>
      </c>
      <c r="AR91" s="80"/>
      <c r="AS91" s="79">
        <f>ERP_2[[#This Row],[2026 Working Total to Budget/LE]]-ERP_2[[#This Row],[Giveback]]</f>
        <v>-4.3599990000020625</v>
      </c>
      <c r="AT91" s="81"/>
      <c r="AU91" s="375">
        <v>881.88</v>
      </c>
      <c r="AV91" s="375">
        <v>881.88</v>
      </c>
      <c r="AW91" s="375">
        <v>881.88</v>
      </c>
      <c r="AX91" s="375">
        <v>883.33333300000004</v>
      </c>
      <c r="AY91" s="375">
        <v>883.33333300000004</v>
      </c>
      <c r="AZ91" s="375">
        <v>883.33333300000004</v>
      </c>
      <c r="BA91" s="375">
        <v>883.33333300000004</v>
      </c>
      <c r="BB91" s="375">
        <v>883.33333300000004</v>
      </c>
      <c r="BC91" s="375">
        <v>883.33333300000004</v>
      </c>
      <c r="BD91" s="375">
        <v>883.33333300000004</v>
      </c>
      <c r="BE91" s="375">
        <v>883.33333300000004</v>
      </c>
      <c r="BF91" s="375">
        <v>883.33333300000004</v>
      </c>
      <c r="BG91" s="375">
        <v>10595.639997000004</v>
      </c>
      <c r="BH91" s="79">
        <v>881.88</v>
      </c>
      <c r="BI91" s="79">
        <v>881.88</v>
      </c>
      <c r="BJ91" s="79">
        <v>881.88</v>
      </c>
      <c r="BK91" s="79">
        <v>883.33333300000004</v>
      </c>
      <c r="BL91" s="79">
        <v>883.33333300000004</v>
      </c>
      <c r="BM91" s="79">
        <v>883.33333300000004</v>
      </c>
      <c r="BN91" s="79">
        <v>883.33333300000004</v>
      </c>
      <c r="BO91" s="79">
        <v>883.33333300000004</v>
      </c>
      <c r="BP91" s="79">
        <v>883.33333300000004</v>
      </c>
      <c r="BQ91" s="79">
        <v>883.33333300000004</v>
      </c>
      <c r="BR91" s="79">
        <v>883.33333300000004</v>
      </c>
      <c r="BS91" s="79">
        <v>883.33333300000004</v>
      </c>
      <c r="BT91" s="79">
        <v>10595.639997000004</v>
      </c>
    </row>
    <row r="92" spans="1:72" ht="15" hidden="1" customHeight="1">
      <c r="A92" s="66" t="s">
        <v>1850</v>
      </c>
      <c r="B92" s="66"/>
      <c r="C92" s="66" t="s">
        <v>444</v>
      </c>
      <c r="D92" s="66" t="s">
        <v>1851</v>
      </c>
      <c r="E92" s="150" t="s">
        <v>1136</v>
      </c>
      <c r="F92" s="482" t="s">
        <v>1566</v>
      </c>
      <c r="G92" s="150" t="s">
        <v>1135</v>
      </c>
      <c r="H92" s="150" t="s">
        <v>1165</v>
      </c>
      <c r="I92" s="150" t="s">
        <v>1135</v>
      </c>
      <c r="J92" s="150" t="s">
        <v>1165</v>
      </c>
      <c r="K92" s="150" t="s">
        <v>1137</v>
      </c>
      <c r="L92" s="511" t="s">
        <v>389</v>
      </c>
      <c r="M92" s="392" t="s">
        <v>1852</v>
      </c>
      <c r="N92" s="343"/>
      <c r="O92" s="343"/>
      <c r="P92" s="70" t="s">
        <v>445</v>
      </c>
      <c r="Q92" s="346"/>
      <c r="R92" s="343"/>
      <c r="S92" s="346"/>
      <c r="T92" s="150" t="s">
        <v>434</v>
      </c>
      <c r="U92" s="150"/>
      <c r="V92" s="403"/>
      <c r="W92" s="406">
        <v>132431.04000000001</v>
      </c>
      <c r="X92" s="406">
        <v>123849.26</v>
      </c>
      <c r="Y92" s="425"/>
      <c r="Z92" s="71"/>
      <c r="AA92" s="426">
        <v>10548.89</v>
      </c>
      <c r="AB92" s="427">
        <v>8790.74</v>
      </c>
      <c r="AC92" s="427">
        <v>9845.6299999999992</v>
      </c>
      <c r="AD92" s="428">
        <v>12307.019999999999</v>
      </c>
      <c r="AE92" s="429">
        <v>9845.619999999999</v>
      </c>
      <c r="AF92" s="429">
        <v>9845.64</v>
      </c>
      <c r="AG92" s="363">
        <v>10296</v>
      </c>
      <c r="AH92" s="363">
        <v>10296</v>
      </c>
      <c r="AI92" s="363">
        <v>10296</v>
      </c>
      <c r="AJ92" s="363">
        <v>10296</v>
      </c>
      <c r="AK92" s="363">
        <v>10296</v>
      </c>
      <c r="AL92" s="363">
        <v>10296</v>
      </c>
      <c r="AM92" s="360">
        <f t="shared" si="3"/>
        <v>122959.54</v>
      </c>
      <c r="AN92" s="362">
        <f>ERP_2[[#This Row],[2026 Working Total]]-ERP_2[[#This Row],[LE2 Final Submission]]</f>
        <v>-889.72000000000116</v>
      </c>
      <c r="AO92" s="79">
        <v>10296</v>
      </c>
      <c r="AP92" s="79">
        <f t="shared" si="4"/>
        <v>-450.36000000000058</v>
      </c>
      <c r="AQ92" s="374">
        <f>SUM(ERP_2[[#This Row],[AP01]:[AP06]])-SUM(ERP_2[[#This Row],[AP01 LE2]:[AP06 LE2]])</f>
        <v>-889.72000000000116</v>
      </c>
      <c r="AR92" s="80"/>
      <c r="AS92" s="79">
        <f>ERP_2[[#This Row],[2026 Working Total to Budget/LE]]-ERP_2[[#This Row],[Giveback]]</f>
        <v>-889.72000000000116</v>
      </c>
      <c r="AT92" s="81"/>
      <c r="AU92" s="375">
        <v>10548.89</v>
      </c>
      <c r="AV92" s="375">
        <v>8790.74</v>
      </c>
      <c r="AW92" s="375">
        <v>9845.6299999999992</v>
      </c>
      <c r="AX92" s="375">
        <v>12296</v>
      </c>
      <c r="AY92" s="375">
        <v>10296</v>
      </c>
      <c r="AZ92" s="375">
        <v>10296</v>
      </c>
      <c r="BA92" s="375">
        <v>10296</v>
      </c>
      <c r="BB92" s="375">
        <v>10296</v>
      </c>
      <c r="BC92" s="375">
        <v>10296</v>
      </c>
      <c r="BD92" s="375">
        <v>10296</v>
      </c>
      <c r="BE92" s="375">
        <v>10296</v>
      </c>
      <c r="BF92" s="375">
        <v>10296</v>
      </c>
      <c r="BG92" s="375">
        <v>123849.26</v>
      </c>
      <c r="BH92" s="79">
        <v>10548.89</v>
      </c>
      <c r="BI92" s="79">
        <v>8790.74</v>
      </c>
      <c r="BJ92" s="79">
        <v>9845.6299999999992</v>
      </c>
      <c r="BK92" s="79">
        <v>11035.92</v>
      </c>
      <c r="BL92" s="79">
        <v>11035.92</v>
      </c>
      <c r="BM92" s="79">
        <v>11035.92</v>
      </c>
      <c r="BN92" s="79">
        <v>11035.92</v>
      </c>
      <c r="BO92" s="79">
        <v>11035.92</v>
      </c>
      <c r="BP92" s="79">
        <v>11035.92</v>
      </c>
      <c r="BQ92" s="79">
        <v>11035.92</v>
      </c>
      <c r="BR92" s="79">
        <v>11035.92</v>
      </c>
      <c r="BS92" s="79">
        <v>11035.92</v>
      </c>
      <c r="BT92" s="79">
        <v>128508.53999999998</v>
      </c>
    </row>
    <row r="93" spans="1:72" ht="15" hidden="1" customHeight="1">
      <c r="A93" s="79" t="s">
        <v>1853</v>
      </c>
      <c r="B93" s="79"/>
      <c r="C93" s="79" t="s">
        <v>446</v>
      </c>
      <c r="D93" s="296" t="s">
        <v>1854</v>
      </c>
      <c r="E93" s="150" t="s">
        <v>1136</v>
      </c>
      <c r="F93" s="482" t="s">
        <v>1566</v>
      </c>
      <c r="G93" s="150" t="s">
        <v>1135</v>
      </c>
      <c r="H93" s="150" t="s">
        <v>1135</v>
      </c>
      <c r="I93" s="332" t="s">
        <v>1135</v>
      </c>
      <c r="J93" s="383" t="s">
        <v>1137</v>
      </c>
      <c r="K93" s="331" t="s">
        <v>1137</v>
      </c>
      <c r="L93" s="512" t="s">
        <v>389</v>
      </c>
      <c r="M93" s="393" t="s">
        <v>1855</v>
      </c>
      <c r="N93" s="343"/>
      <c r="O93" s="331"/>
      <c r="P93" s="91" t="s">
        <v>447</v>
      </c>
      <c r="Q93" s="343"/>
      <c r="R93" s="346" t="s">
        <v>1221</v>
      </c>
      <c r="S93" s="348"/>
      <c r="T93" s="386" t="s">
        <v>57</v>
      </c>
      <c r="U93" s="387" t="s">
        <v>1856</v>
      </c>
      <c r="V93" s="432"/>
      <c r="W93" s="358">
        <v>6000</v>
      </c>
      <c r="X93" s="378">
        <v>4500</v>
      </c>
      <c r="Y93" s="425"/>
      <c r="Z93" s="71"/>
      <c r="AA93" s="433"/>
      <c r="AB93" s="434"/>
      <c r="AC93" s="434"/>
      <c r="AD93" s="428" t="s">
        <v>1142</v>
      </c>
      <c r="AE93" s="429">
        <v>0</v>
      </c>
      <c r="AF93" s="429">
        <v>0</v>
      </c>
      <c r="AG93" s="388">
        <v>500</v>
      </c>
      <c r="AH93" s="388">
        <v>500</v>
      </c>
      <c r="AI93" s="388">
        <v>500</v>
      </c>
      <c r="AJ93" s="388">
        <v>500</v>
      </c>
      <c r="AK93" s="388">
        <v>500</v>
      </c>
      <c r="AL93" s="388">
        <v>500</v>
      </c>
      <c r="AM93" s="360">
        <f t="shared" si="3"/>
        <v>3000</v>
      </c>
      <c r="AN93" s="362">
        <f>ERP_2[[#This Row],[2026 Working Total]]-ERP_2[[#This Row],[LE2 Final Submission]]</f>
        <v>-1500</v>
      </c>
      <c r="AO93" s="79">
        <v>500</v>
      </c>
      <c r="AP93" s="79">
        <f t="shared" si="4"/>
        <v>-500</v>
      </c>
      <c r="AQ93" s="374">
        <f>SUM(ERP_2[[#This Row],[AP01]:[AP06]])-SUM(ERP_2[[#This Row],[AP01 LE2]:[AP06 LE2]])</f>
        <v>-1500</v>
      </c>
      <c r="AR93" s="80"/>
      <c r="AS93" s="79">
        <f>ERP_2[[#This Row],[2026 Working Total to Budget/LE]]-ERP_2[[#This Row],[Giveback]]</f>
        <v>-1500</v>
      </c>
      <c r="AT93" s="81"/>
      <c r="AU93" s="375"/>
      <c r="AV93" s="375"/>
      <c r="AW93" s="375"/>
      <c r="AX93" s="375">
        <v>500</v>
      </c>
      <c r="AY93" s="375">
        <v>500</v>
      </c>
      <c r="AZ93" s="375">
        <v>500</v>
      </c>
      <c r="BA93" s="375">
        <v>500</v>
      </c>
      <c r="BB93" s="375">
        <v>500</v>
      </c>
      <c r="BC93" s="375">
        <v>500</v>
      </c>
      <c r="BD93" s="375">
        <v>500</v>
      </c>
      <c r="BE93" s="375">
        <v>500</v>
      </c>
      <c r="BF93" s="375">
        <v>500</v>
      </c>
      <c r="BG93" s="375">
        <v>4500</v>
      </c>
      <c r="BH93" s="103">
        <v>500</v>
      </c>
      <c r="BI93" s="103">
        <v>500</v>
      </c>
      <c r="BJ93" s="103">
        <v>500</v>
      </c>
      <c r="BK93" s="103">
        <v>500</v>
      </c>
      <c r="BL93" s="103">
        <v>500</v>
      </c>
      <c r="BM93" s="103">
        <v>500</v>
      </c>
      <c r="BN93" s="103">
        <v>500</v>
      </c>
      <c r="BO93" s="103">
        <v>500</v>
      </c>
      <c r="BP93" s="103">
        <v>500</v>
      </c>
      <c r="BQ93" s="103">
        <v>500</v>
      </c>
      <c r="BR93" s="103">
        <v>500</v>
      </c>
      <c r="BS93" s="103">
        <v>500</v>
      </c>
      <c r="BT93" s="79">
        <f>SUM(ERP_2[[#This Row],[2026 AP01]:[2026 AP12]])</f>
        <v>6000</v>
      </c>
    </row>
    <row r="94" spans="1:72" ht="15" hidden="1" customHeight="1">
      <c r="A94" s="66" t="s">
        <v>1861</v>
      </c>
      <c r="B94" s="66"/>
      <c r="C94" s="66" t="s">
        <v>450</v>
      </c>
      <c r="D94" s="66" t="s">
        <v>1862</v>
      </c>
      <c r="E94" s="150" t="s">
        <v>1136</v>
      </c>
      <c r="F94" s="482" t="s">
        <v>1566</v>
      </c>
      <c r="G94" s="150" t="s">
        <v>1135</v>
      </c>
      <c r="H94" s="150" t="s">
        <v>1165</v>
      </c>
      <c r="I94" s="150" t="s">
        <v>1135</v>
      </c>
      <c r="J94" s="150" t="s">
        <v>1165</v>
      </c>
      <c r="K94" s="150" t="s">
        <v>1137</v>
      </c>
      <c r="L94" s="511" t="s">
        <v>389</v>
      </c>
      <c r="M94" s="392" t="s">
        <v>1863</v>
      </c>
      <c r="N94" s="343"/>
      <c r="O94" s="343"/>
      <c r="P94" s="70" t="s">
        <v>451</v>
      </c>
      <c r="Q94" s="346"/>
      <c r="R94" s="346" t="s">
        <v>1140</v>
      </c>
      <c r="S94" s="346"/>
      <c r="T94" s="150" t="s">
        <v>57</v>
      </c>
      <c r="U94" s="150"/>
      <c r="V94" s="403"/>
      <c r="W94" s="406">
        <v>26558.000004000005</v>
      </c>
      <c r="X94" s="406">
        <v>24873.730003000001</v>
      </c>
      <c r="Y94" s="425"/>
      <c r="Z94" s="71"/>
      <c r="AA94" s="426">
        <v>1680.68</v>
      </c>
      <c r="AB94" s="427">
        <v>1679.61</v>
      </c>
      <c r="AC94" s="427">
        <v>1594.94</v>
      </c>
      <c r="AD94" s="428">
        <v>1713.8500000000004</v>
      </c>
      <c r="AE94" s="429">
        <v>1788.77</v>
      </c>
      <c r="AF94" s="429">
        <v>1781.77</v>
      </c>
      <c r="AG94" s="363">
        <v>2213.166667</v>
      </c>
      <c r="AH94" s="363">
        <v>2213.166667</v>
      </c>
      <c r="AI94" s="363">
        <v>2213.166667</v>
      </c>
      <c r="AJ94" s="363">
        <v>2213.166667</v>
      </c>
      <c r="AK94" s="363">
        <v>2213.166667</v>
      </c>
      <c r="AL94" s="363">
        <v>2213.166667</v>
      </c>
      <c r="AM94" s="360">
        <f t="shared" si="3"/>
        <v>23518.620002000003</v>
      </c>
      <c r="AN94" s="362">
        <f>ERP_2[[#This Row],[2026 Working Total]]-ERP_2[[#This Row],[LE2 Final Submission]]</f>
        <v>-1355.1100009999973</v>
      </c>
      <c r="AO94" s="79">
        <v>2213.166667</v>
      </c>
      <c r="AP94" s="79">
        <f t="shared" si="4"/>
        <v>-431.39666699999998</v>
      </c>
      <c r="AQ94" s="374">
        <f>SUM(ERP_2[[#This Row],[AP01]:[AP06]])-SUM(ERP_2[[#This Row],[AP01 LE2]:[AP06 LE2]])</f>
        <v>-1355.1100009999973</v>
      </c>
      <c r="AR94" s="80"/>
      <c r="AS94" s="79">
        <f>ERP_2[[#This Row],[2026 Working Total to Budget/LE]]-ERP_2[[#This Row],[Giveback]]</f>
        <v>-1355.1100009999973</v>
      </c>
      <c r="AT94" s="81"/>
      <c r="AU94" s="375">
        <v>1680.68</v>
      </c>
      <c r="AV94" s="375">
        <v>1679.61</v>
      </c>
      <c r="AW94" s="375">
        <v>1594.94</v>
      </c>
      <c r="AX94" s="375">
        <v>2213.166667</v>
      </c>
      <c r="AY94" s="375">
        <v>2213.166667</v>
      </c>
      <c r="AZ94" s="375">
        <v>2213.166667</v>
      </c>
      <c r="BA94" s="375">
        <v>2213.166667</v>
      </c>
      <c r="BB94" s="375">
        <v>2213.166667</v>
      </c>
      <c r="BC94" s="375">
        <v>2213.166667</v>
      </c>
      <c r="BD94" s="375">
        <v>2213.166667</v>
      </c>
      <c r="BE94" s="375">
        <v>2213.166667</v>
      </c>
      <c r="BF94" s="375">
        <v>2213.166667</v>
      </c>
      <c r="BG94" s="375">
        <v>24873.730003000001</v>
      </c>
      <c r="BH94" s="79">
        <v>1680.68</v>
      </c>
      <c r="BI94" s="79">
        <v>1679.61</v>
      </c>
      <c r="BJ94" s="79">
        <v>1594.94</v>
      </c>
      <c r="BK94" s="79">
        <v>2213.166667</v>
      </c>
      <c r="BL94" s="79">
        <v>2213.166667</v>
      </c>
      <c r="BM94" s="79">
        <v>2213.166667</v>
      </c>
      <c r="BN94" s="79">
        <v>2213.166667</v>
      </c>
      <c r="BO94" s="79">
        <v>2213.166667</v>
      </c>
      <c r="BP94" s="79">
        <v>2213.166667</v>
      </c>
      <c r="BQ94" s="79">
        <v>2213.166667</v>
      </c>
      <c r="BR94" s="79">
        <v>2213.166667</v>
      </c>
      <c r="BS94" s="79">
        <v>2213.166667</v>
      </c>
      <c r="BT94" s="79">
        <v>24873.730003000001</v>
      </c>
    </row>
    <row r="95" spans="1:72" ht="15" hidden="1" customHeight="1">
      <c r="A95" s="66" t="s">
        <v>1869</v>
      </c>
      <c r="B95" s="66"/>
      <c r="C95" s="66" t="s">
        <v>454</v>
      </c>
      <c r="D95" s="66" t="s">
        <v>1870</v>
      </c>
      <c r="E95" s="150" t="s">
        <v>1136</v>
      </c>
      <c r="F95" s="482" t="s">
        <v>1566</v>
      </c>
      <c r="G95" s="150" t="s">
        <v>1135</v>
      </c>
      <c r="H95" s="150" t="s">
        <v>1165</v>
      </c>
      <c r="I95" s="150" t="s">
        <v>1135</v>
      </c>
      <c r="J95" s="150" t="s">
        <v>1165</v>
      </c>
      <c r="K95" s="150" t="s">
        <v>1137</v>
      </c>
      <c r="L95" s="511" t="s">
        <v>389</v>
      </c>
      <c r="M95" s="392" t="s">
        <v>1871</v>
      </c>
      <c r="N95" s="343"/>
      <c r="O95" s="343"/>
      <c r="P95" s="70" t="s">
        <v>455</v>
      </c>
      <c r="Q95" s="346"/>
      <c r="R95" s="343"/>
      <c r="S95" s="346"/>
      <c r="T95" s="150" t="s">
        <v>427</v>
      </c>
      <c r="U95" s="150"/>
      <c r="V95" s="403"/>
      <c r="W95" s="406">
        <v>376200</v>
      </c>
      <c r="X95" s="406">
        <v>376200.45999999996</v>
      </c>
      <c r="Y95" s="425"/>
      <c r="Z95" s="71"/>
      <c r="AA95" s="426">
        <v>25838</v>
      </c>
      <c r="AB95" s="427">
        <v>36872.379999999997</v>
      </c>
      <c r="AC95" s="427">
        <v>31340.080000000002</v>
      </c>
      <c r="AD95" s="428">
        <v>25837.46</v>
      </c>
      <c r="AE95" s="429">
        <v>36862.460000000006</v>
      </c>
      <c r="AF95" s="429">
        <v>31349.62</v>
      </c>
      <c r="AG95" s="363">
        <v>31350</v>
      </c>
      <c r="AH95" s="363">
        <v>31350</v>
      </c>
      <c r="AI95" s="363">
        <v>31350</v>
      </c>
      <c r="AJ95" s="363">
        <v>31350</v>
      </c>
      <c r="AK95" s="363">
        <v>31350</v>
      </c>
      <c r="AL95" s="363">
        <v>31350</v>
      </c>
      <c r="AM95" s="360">
        <f t="shared" si="3"/>
        <v>376200</v>
      </c>
      <c r="AN95" s="362">
        <f>ERP_2[[#This Row],[2026 Working Total]]-ERP_2[[#This Row],[LE2 Final Submission]]</f>
        <v>-0.4599999999627471</v>
      </c>
      <c r="AO95" s="79">
        <v>31350</v>
      </c>
      <c r="AP95" s="79">
        <f t="shared" si="4"/>
        <v>-0.38000000000101863</v>
      </c>
      <c r="AQ95" s="374">
        <f>SUM(ERP_2[[#This Row],[AP01]:[AP06]])-SUM(ERP_2[[#This Row],[AP01 LE2]:[AP06 LE2]])</f>
        <v>-0.45999999999185093</v>
      </c>
      <c r="AR95" s="80"/>
      <c r="AS95" s="79">
        <f>ERP_2[[#This Row],[2026 Working Total to Budget/LE]]-ERP_2[[#This Row],[Giveback]]</f>
        <v>-0.4599999999627471</v>
      </c>
      <c r="AT95" s="81"/>
      <c r="AU95" s="375">
        <v>25838</v>
      </c>
      <c r="AV95" s="375">
        <v>36872.379999999997</v>
      </c>
      <c r="AW95" s="375">
        <v>31340.080000000002</v>
      </c>
      <c r="AX95" s="375">
        <v>31350</v>
      </c>
      <c r="AY95" s="375">
        <v>31350</v>
      </c>
      <c r="AZ95" s="375">
        <v>31350</v>
      </c>
      <c r="BA95" s="375">
        <v>31350</v>
      </c>
      <c r="BB95" s="375">
        <v>31350</v>
      </c>
      <c r="BC95" s="375">
        <v>31350</v>
      </c>
      <c r="BD95" s="375">
        <v>31350</v>
      </c>
      <c r="BE95" s="375">
        <v>31350</v>
      </c>
      <c r="BF95" s="375">
        <v>31350</v>
      </c>
      <c r="BG95" s="375">
        <v>376200.45999999996</v>
      </c>
      <c r="BH95" s="79">
        <v>25838</v>
      </c>
      <c r="BI95" s="79">
        <v>36872.379999999997</v>
      </c>
      <c r="BJ95" s="79">
        <v>31340.080000000002</v>
      </c>
      <c r="BK95" s="79">
        <v>31350</v>
      </c>
      <c r="BL95" s="79">
        <v>31350</v>
      </c>
      <c r="BM95" s="79">
        <v>31350</v>
      </c>
      <c r="BN95" s="79">
        <v>31350</v>
      </c>
      <c r="BO95" s="79">
        <v>31350</v>
      </c>
      <c r="BP95" s="79">
        <v>31350</v>
      </c>
      <c r="BQ95" s="79">
        <v>31350</v>
      </c>
      <c r="BR95" s="79">
        <v>31350</v>
      </c>
      <c r="BS95" s="79">
        <v>31350</v>
      </c>
      <c r="BT95" s="79">
        <v>376200.45999999996</v>
      </c>
    </row>
    <row r="96" spans="1:72" ht="15" hidden="1" customHeight="1">
      <c r="A96" s="66" t="s">
        <v>1872</v>
      </c>
      <c r="B96" s="66"/>
      <c r="C96" s="66" t="s">
        <v>456</v>
      </c>
      <c r="D96" s="66" t="s">
        <v>1873</v>
      </c>
      <c r="E96" s="150" t="s">
        <v>1136</v>
      </c>
      <c r="F96" s="482" t="s">
        <v>1566</v>
      </c>
      <c r="G96" s="150" t="s">
        <v>1135</v>
      </c>
      <c r="H96" s="150" t="s">
        <v>1165</v>
      </c>
      <c r="I96" s="150" t="s">
        <v>1135</v>
      </c>
      <c r="J96" s="150" t="s">
        <v>1165</v>
      </c>
      <c r="K96" s="150" t="s">
        <v>1137</v>
      </c>
      <c r="L96" s="511" t="s">
        <v>389</v>
      </c>
      <c r="M96" s="392" t="s">
        <v>1874</v>
      </c>
      <c r="N96" s="343"/>
      <c r="O96" s="343"/>
      <c r="P96" s="70" t="s">
        <v>457</v>
      </c>
      <c r="Q96" s="346"/>
      <c r="R96" s="343"/>
      <c r="S96" s="346"/>
      <c r="T96" s="150" t="s">
        <v>25</v>
      </c>
      <c r="U96" s="150"/>
      <c r="V96" s="403"/>
      <c r="W96" s="406">
        <v>335904</v>
      </c>
      <c r="X96" s="406">
        <v>335903.61</v>
      </c>
      <c r="Y96" s="425"/>
      <c r="Z96" s="71"/>
      <c r="AA96" s="426">
        <v>0.04</v>
      </c>
      <c r="AB96" s="427">
        <v>55984.1</v>
      </c>
      <c r="AC96" s="427">
        <v>27991.47</v>
      </c>
      <c r="AD96" s="428">
        <v>23070.760000000002</v>
      </c>
      <c r="AE96" s="429">
        <v>32913.769999999997</v>
      </c>
      <c r="AF96" s="429">
        <v>27991.9</v>
      </c>
      <c r="AG96" s="363">
        <v>27992</v>
      </c>
      <c r="AH96" s="363">
        <v>27992</v>
      </c>
      <c r="AI96" s="363">
        <v>27992</v>
      </c>
      <c r="AJ96" s="363">
        <v>27992</v>
      </c>
      <c r="AK96" s="363">
        <v>27992</v>
      </c>
      <c r="AL96" s="363">
        <v>27992</v>
      </c>
      <c r="AM96" s="360">
        <f t="shared" si="3"/>
        <v>335904.04</v>
      </c>
      <c r="AN96" s="362">
        <f>ERP_2[[#This Row],[2026 Working Total]]-ERP_2[[#This Row],[LE2 Final Submission]]</f>
        <v>0.42999999999301508</v>
      </c>
      <c r="AO96" s="79">
        <v>27992</v>
      </c>
      <c r="AP96" s="79">
        <f t="shared" si="4"/>
        <v>-9.9999999998544808E-2</v>
      </c>
      <c r="AQ96" s="374">
        <f>SUM(ERP_2[[#This Row],[AP01]:[AP06]])-SUM(ERP_2[[#This Row],[AP01 LE2]:[AP06 LE2]])</f>
        <v>0.42999999999301508</v>
      </c>
      <c r="AR96" s="80"/>
      <c r="AS96" s="79">
        <f>ERP_2[[#This Row],[2026 Working Total to Budget/LE]]-ERP_2[[#This Row],[Giveback]]</f>
        <v>0.42999999999301508</v>
      </c>
      <c r="AT96" s="81"/>
      <c r="AU96" s="375">
        <v>0.04</v>
      </c>
      <c r="AV96" s="375">
        <v>55984.1</v>
      </c>
      <c r="AW96" s="375">
        <v>27991.47</v>
      </c>
      <c r="AX96" s="375">
        <v>27992</v>
      </c>
      <c r="AY96" s="375">
        <v>27992</v>
      </c>
      <c r="AZ96" s="375">
        <v>27992</v>
      </c>
      <c r="BA96" s="375">
        <v>27992</v>
      </c>
      <c r="BB96" s="375">
        <v>27992</v>
      </c>
      <c r="BC96" s="375">
        <v>27992</v>
      </c>
      <c r="BD96" s="375">
        <v>27992</v>
      </c>
      <c r="BE96" s="375">
        <v>27992</v>
      </c>
      <c r="BF96" s="375">
        <v>27992</v>
      </c>
      <c r="BG96" s="375">
        <v>335903.61</v>
      </c>
      <c r="BH96" s="79">
        <v>0.04</v>
      </c>
      <c r="BI96" s="79">
        <v>55984.1</v>
      </c>
      <c r="BJ96" s="79">
        <v>27991.47</v>
      </c>
      <c r="BK96" s="79">
        <v>27992</v>
      </c>
      <c r="BL96" s="79">
        <v>27992</v>
      </c>
      <c r="BM96" s="79">
        <v>27992</v>
      </c>
      <c r="BN96" s="79">
        <v>27992</v>
      </c>
      <c r="BO96" s="79">
        <v>27992</v>
      </c>
      <c r="BP96" s="79">
        <v>27992</v>
      </c>
      <c r="BQ96" s="79">
        <v>27992</v>
      </c>
      <c r="BR96" s="79">
        <v>27992</v>
      </c>
      <c r="BS96" s="79">
        <v>27992</v>
      </c>
      <c r="BT96" s="79">
        <v>335903.61</v>
      </c>
    </row>
    <row r="97" spans="1:72" ht="15" hidden="1" customHeight="1">
      <c r="A97" s="66" t="s">
        <v>1876</v>
      </c>
      <c r="B97" s="66"/>
      <c r="C97" s="66" t="s">
        <v>458</v>
      </c>
      <c r="D97" s="66" t="s">
        <v>1877</v>
      </c>
      <c r="E97" s="150" t="s">
        <v>1136</v>
      </c>
      <c r="F97" s="482" t="s">
        <v>1566</v>
      </c>
      <c r="G97" s="150" t="s">
        <v>1135</v>
      </c>
      <c r="H97" s="150" t="s">
        <v>1165</v>
      </c>
      <c r="I97" s="150" t="s">
        <v>1135</v>
      </c>
      <c r="J97" s="150" t="s">
        <v>1165</v>
      </c>
      <c r="K97" s="150" t="s">
        <v>1137</v>
      </c>
      <c r="L97" s="511" t="s">
        <v>389</v>
      </c>
      <c r="M97" s="392" t="s">
        <v>1878</v>
      </c>
      <c r="N97" s="343"/>
      <c r="O97" s="343"/>
      <c r="P97" s="70" t="s">
        <v>459</v>
      </c>
      <c r="Q97" s="346"/>
      <c r="R97" s="343"/>
      <c r="S97" s="346"/>
      <c r="T97" s="150" t="s">
        <v>57</v>
      </c>
      <c r="U97" s="150"/>
      <c r="V97" s="404"/>
      <c r="W97" s="407">
        <v>4212</v>
      </c>
      <c r="X97" s="407">
        <v>0</v>
      </c>
      <c r="Y97" s="425"/>
      <c r="Z97" s="71"/>
      <c r="AA97" s="426">
        <v>212.71</v>
      </c>
      <c r="AB97" s="427">
        <v>212.88</v>
      </c>
      <c r="AC97" s="427">
        <v>-425.59</v>
      </c>
      <c r="AD97" s="428">
        <v>421.78999999999996</v>
      </c>
      <c r="AE97" s="429">
        <v>11.3</v>
      </c>
      <c r="AF97" s="429">
        <v>0</v>
      </c>
      <c r="AG97" s="363"/>
      <c r="AH97" s="363"/>
      <c r="AI97" s="363"/>
      <c r="AJ97" s="363"/>
      <c r="AK97" s="363"/>
      <c r="AL97" s="363"/>
      <c r="AM97" s="360">
        <f t="shared" si="3"/>
        <v>433.09000000000003</v>
      </c>
      <c r="AN97" s="362">
        <f>ERP_2[[#This Row],[2026 Working Total]]-ERP_2[[#This Row],[LE2 Final Submission]]</f>
        <v>433.09000000000003</v>
      </c>
      <c r="AO97" s="79"/>
      <c r="AP97" s="79">
        <f t="shared" si="4"/>
        <v>0</v>
      </c>
      <c r="AQ97" s="374">
        <f>SUM(ERP_2[[#This Row],[AP01]:[AP06]])-SUM(ERP_2[[#This Row],[AP01 LE2]:[AP06 LE2]])</f>
        <v>433.09000000000003</v>
      </c>
      <c r="AR97" s="80"/>
      <c r="AS97" s="79">
        <f>ERP_2[[#This Row],[2026 Working Total to Budget/LE]]-ERP_2[[#This Row],[Giveback]]</f>
        <v>433.09000000000003</v>
      </c>
      <c r="AT97" s="81"/>
      <c r="AU97" s="375">
        <v>212.71</v>
      </c>
      <c r="AV97" s="375">
        <v>212.88</v>
      </c>
      <c r="AW97" s="375">
        <v>-425.59</v>
      </c>
      <c r="AX97" s="375"/>
      <c r="AY97" s="375"/>
      <c r="AZ97" s="375"/>
      <c r="BA97" s="375"/>
      <c r="BB97" s="375"/>
      <c r="BC97" s="375"/>
      <c r="BD97" s="375"/>
      <c r="BE97" s="375"/>
      <c r="BF97" s="375"/>
      <c r="BG97" s="375">
        <v>0</v>
      </c>
      <c r="BH97" s="79">
        <v>212.71</v>
      </c>
      <c r="BI97" s="79">
        <v>212.88</v>
      </c>
      <c r="BJ97" s="79">
        <v>-425.59</v>
      </c>
      <c r="BK97" s="79"/>
      <c r="BL97" s="79"/>
      <c r="BM97" s="79"/>
      <c r="BN97" s="79"/>
      <c r="BO97" s="79"/>
      <c r="BP97" s="79"/>
      <c r="BQ97" s="79"/>
      <c r="BR97" s="79"/>
      <c r="BS97" s="79"/>
      <c r="BT97" s="79">
        <v>0</v>
      </c>
    </row>
    <row r="98" spans="1:72" ht="15" hidden="1" customHeight="1">
      <c r="A98" s="66" t="s">
        <v>1879</v>
      </c>
      <c r="B98" s="66"/>
      <c r="C98" s="66" t="s">
        <v>460</v>
      </c>
      <c r="D98" s="66" t="s">
        <v>1880</v>
      </c>
      <c r="E98" s="150" t="s">
        <v>1136</v>
      </c>
      <c r="F98" s="482" t="s">
        <v>1566</v>
      </c>
      <c r="G98" s="150" t="s">
        <v>1135</v>
      </c>
      <c r="H98" s="150" t="s">
        <v>1165</v>
      </c>
      <c r="I98" s="150" t="s">
        <v>1135</v>
      </c>
      <c r="J98" s="150" t="s">
        <v>1165</v>
      </c>
      <c r="K98" s="150" t="s">
        <v>1137</v>
      </c>
      <c r="L98" s="511" t="s">
        <v>389</v>
      </c>
      <c r="M98" s="392" t="s">
        <v>1881</v>
      </c>
      <c r="N98" s="343"/>
      <c r="O98" s="343"/>
      <c r="P98" s="70" t="s">
        <v>133</v>
      </c>
      <c r="Q98" s="346"/>
      <c r="R98" s="343"/>
      <c r="S98" s="346"/>
      <c r="T98" s="150" t="s">
        <v>25</v>
      </c>
      <c r="U98" s="150"/>
      <c r="V98" s="404"/>
      <c r="W98" s="407">
        <v>0</v>
      </c>
      <c r="X98" s="407">
        <v>0</v>
      </c>
      <c r="Y98" s="425"/>
      <c r="Z98" s="71"/>
      <c r="AA98" s="426">
        <v>95.28</v>
      </c>
      <c r="AB98" s="427">
        <v>31.62</v>
      </c>
      <c r="AC98" s="427">
        <v>-126.9</v>
      </c>
      <c r="AD98" s="428">
        <v>66.959999999999994</v>
      </c>
      <c r="AE98" s="429">
        <v>61.6</v>
      </c>
      <c r="AF98" s="429">
        <v>63.66</v>
      </c>
      <c r="AG98" s="363"/>
      <c r="AH98" s="363"/>
      <c r="AI98" s="363"/>
      <c r="AJ98" s="363"/>
      <c r="AK98" s="363"/>
      <c r="AL98" s="363"/>
      <c r="AM98" s="360">
        <f t="shared" si="3"/>
        <v>192.22</v>
      </c>
      <c r="AN98" s="362">
        <f>ERP_2[[#This Row],[2026 Working Total]]-ERP_2[[#This Row],[LE2 Final Submission]]</f>
        <v>192.22</v>
      </c>
      <c r="AO98" s="79"/>
      <c r="AP98" s="79">
        <f t="shared" si="4"/>
        <v>63.66</v>
      </c>
      <c r="AQ98" s="374">
        <f>SUM(ERP_2[[#This Row],[AP01]:[AP06]])-SUM(ERP_2[[#This Row],[AP01 LE2]:[AP06 LE2]])</f>
        <v>192.22</v>
      </c>
      <c r="AR98" s="80"/>
      <c r="AS98" s="79">
        <f>ERP_2[[#This Row],[2026 Working Total to Budget/LE]]-ERP_2[[#This Row],[Giveback]]</f>
        <v>192.22</v>
      </c>
      <c r="AT98" s="81"/>
      <c r="AU98" s="375">
        <v>95.28</v>
      </c>
      <c r="AV98" s="375">
        <v>31.62</v>
      </c>
      <c r="AW98" s="375">
        <v>-126.9</v>
      </c>
      <c r="AX98" s="375"/>
      <c r="AY98" s="375"/>
      <c r="AZ98" s="375"/>
      <c r="BA98" s="375"/>
      <c r="BB98" s="375"/>
      <c r="BC98" s="375"/>
      <c r="BD98" s="375"/>
      <c r="BE98" s="375"/>
      <c r="BF98" s="375"/>
      <c r="BG98" s="375">
        <v>0</v>
      </c>
      <c r="BH98" s="79">
        <v>95.28</v>
      </c>
      <c r="BI98" s="79">
        <v>31.62</v>
      </c>
      <c r="BJ98" s="79">
        <v>-126.9</v>
      </c>
      <c r="BK98" s="79"/>
      <c r="BL98" s="79"/>
      <c r="BM98" s="79"/>
      <c r="BN98" s="79"/>
      <c r="BO98" s="79"/>
      <c r="BP98" s="79"/>
      <c r="BQ98" s="79"/>
      <c r="BR98" s="79"/>
      <c r="BS98" s="79"/>
      <c r="BT98" s="79">
        <v>0</v>
      </c>
    </row>
    <row r="99" spans="1:72" ht="15" hidden="1" customHeight="1">
      <c r="A99" s="150" t="s">
        <v>1882</v>
      </c>
      <c r="B99" s="150"/>
      <c r="C99" s="536" t="s">
        <v>461</v>
      </c>
      <c r="D99" s="296" t="s">
        <v>1883</v>
      </c>
      <c r="E99" s="150" t="s">
        <v>1136</v>
      </c>
      <c r="F99" s="482" t="s">
        <v>1566</v>
      </c>
      <c r="G99" s="150" t="s">
        <v>1135</v>
      </c>
      <c r="H99" s="332" t="s">
        <v>1156</v>
      </c>
      <c r="I99" s="150" t="s">
        <v>1135</v>
      </c>
      <c r="J99" s="332" t="s">
        <v>1156</v>
      </c>
      <c r="K99" s="333" t="s">
        <v>1156</v>
      </c>
      <c r="L99" s="514" t="s">
        <v>389</v>
      </c>
      <c r="M99" s="394" t="s">
        <v>1884</v>
      </c>
      <c r="N99" s="401" t="s">
        <v>1885</v>
      </c>
      <c r="O99" s="332" t="s">
        <v>1804</v>
      </c>
      <c r="P99" s="90" t="s">
        <v>135</v>
      </c>
      <c r="Q99" s="347"/>
      <c r="R99" s="348" t="s">
        <v>1886</v>
      </c>
      <c r="S99" s="348"/>
      <c r="T99" s="348"/>
      <c r="U99" s="348"/>
      <c r="V99" s="402"/>
      <c r="W99" s="406"/>
      <c r="X99" s="406"/>
      <c r="Y99" s="425"/>
      <c r="Z99" s="71"/>
      <c r="AA99" s="435"/>
      <c r="AB99" s="436"/>
      <c r="AC99" s="436"/>
      <c r="AD99" s="436"/>
      <c r="AE99" s="429">
        <v>76500</v>
      </c>
      <c r="AF99" s="429">
        <v>12000</v>
      </c>
      <c r="AG99" s="364">
        <v>12000</v>
      </c>
      <c r="AH99" s="364">
        <v>12000</v>
      </c>
      <c r="AI99" s="364">
        <v>12000</v>
      </c>
      <c r="AJ99" s="364">
        <v>12000</v>
      </c>
      <c r="AK99" s="364">
        <v>12000</v>
      </c>
      <c r="AL99" s="364">
        <v>12000</v>
      </c>
      <c r="AM99" s="360">
        <f t="shared" si="3"/>
        <v>160500</v>
      </c>
      <c r="AN99" s="362">
        <f>ERP_2[[#This Row],[2026 Working Total]]-ERP_2[[#This Row],[LE2 Final Submission]]</f>
        <v>160500</v>
      </c>
      <c r="AO99" s="79"/>
      <c r="AP99" s="79">
        <f t="shared" si="4"/>
        <v>12000</v>
      </c>
      <c r="AQ99" s="374">
        <f>SUM(ERP_2[[#This Row],[AP01]:[AP06]])-SUM(ERP_2[[#This Row],[AP01 LE2]:[AP06 LE2]])</f>
        <v>88500</v>
      </c>
      <c r="AR99" s="80"/>
      <c r="AS99" s="79">
        <f>ERP_2[[#This Row],[2026 Working Total to Budget/LE]]-ERP_2[[#This Row],[Giveback]]</f>
        <v>160500</v>
      </c>
      <c r="AT99" s="81"/>
      <c r="AU99" s="375"/>
      <c r="AV99" s="375"/>
      <c r="AW99" s="375"/>
      <c r="AX99" s="375"/>
      <c r="AY99" s="375"/>
      <c r="AZ99" s="375"/>
      <c r="BA99" s="375"/>
      <c r="BB99" s="375"/>
      <c r="BC99" s="375"/>
      <c r="BD99" s="375"/>
      <c r="BE99" s="375"/>
      <c r="BF99" s="375"/>
      <c r="BG99" s="375"/>
      <c r="BH99" s="79"/>
      <c r="BI99" s="79"/>
      <c r="BJ99" s="79"/>
      <c r="BK99" s="79"/>
      <c r="BL99" s="79"/>
      <c r="BM99" s="79"/>
      <c r="BN99" s="79"/>
      <c r="BO99" s="79"/>
      <c r="BP99" s="79"/>
      <c r="BQ99" s="79"/>
      <c r="BR99" s="79"/>
      <c r="BS99" s="79"/>
      <c r="BT99" s="79"/>
    </row>
    <row r="100" spans="1:72" ht="15" hidden="1" customHeight="1">
      <c r="A100" s="150" t="s">
        <v>1891</v>
      </c>
      <c r="B100" s="150"/>
      <c r="C100" s="536" t="s">
        <v>462</v>
      </c>
      <c r="D100" s="296" t="s">
        <v>1892</v>
      </c>
      <c r="E100" s="150" t="s">
        <v>1136</v>
      </c>
      <c r="F100" s="482" t="s">
        <v>1566</v>
      </c>
      <c r="G100" s="150" t="s">
        <v>1135</v>
      </c>
      <c r="H100" s="150" t="s">
        <v>1165</v>
      </c>
      <c r="I100" s="150" t="s">
        <v>1135</v>
      </c>
      <c r="J100" s="150" t="s">
        <v>1165</v>
      </c>
      <c r="K100" s="150" t="s">
        <v>1165</v>
      </c>
      <c r="L100" s="514" t="s">
        <v>389</v>
      </c>
      <c r="M100" s="394" t="s">
        <v>1893</v>
      </c>
      <c r="N100" s="333"/>
      <c r="O100" s="332" t="s">
        <v>1284</v>
      </c>
      <c r="P100" s="90" t="s">
        <v>463</v>
      </c>
      <c r="Q100" s="347"/>
      <c r="R100" s="347"/>
      <c r="S100" s="348"/>
      <c r="T100" s="348"/>
      <c r="U100" s="348"/>
      <c r="V100" s="402"/>
      <c r="W100" s="406"/>
      <c r="X100" s="406"/>
      <c r="Y100" s="425"/>
      <c r="Z100" s="71"/>
      <c r="AA100" s="435"/>
      <c r="AB100" s="436"/>
      <c r="AC100" s="436"/>
      <c r="AD100" s="429">
        <v>18.2</v>
      </c>
      <c r="AE100" s="429">
        <v>0</v>
      </c>
      <c r="AF100" s="429">
        <v>0</v>
      </c>
      <c r="AG100" s="364"/>
      <c r="AH100" s="364"/>
      <c r="AI100" s="364"/>
      <c r="AJ100" s="364"/>
      <c r="AK100" s="364"/>
      <c r="AL100" s="364"/>
      <c r="AM100" s="360">
        <f t="shared" si="3"/>
        <v>18.2</v>
      </c>
      <c r="AN100" s="362">
        <f>ERP_2[[#This Row],[2026 Working Total]]-ERP_2[[#This Row],[LE2 Final Submission]]</f>
        <v>18.2</v>
      </c>
      <c r="AO100" s="79"/>
      <c r="AP100" s="79">
        <f t="shared" si="4"/>
        <v>0</v>
      </c>
      <c r="AQ100" s="374">
        <f>SUM(ERP_2[[#This Row],[AP01]:[AP06]])-SUM(ERP_2[[#This Row],[AP01 LE2]:[AP06 LE2]])</f>
        <v>18.2</v>
      </c>
      <c r="AR100" s="80"/>
      <c r="AS100" s="79">
        <f>ERP_2[[#This Row],[2026 Working Total to Budget/LE]]-ERP_2[[#This Row],[Giveback]]</f>
        <v>18.2</v>
      </c>
      <c r="AT100" s="81"/>
      <c r="AU100" s="375"/>
      <c r="AV100" s="375"/>
      <c r="AW100" s="375"/>
      <c r="AX100" s="375"/>
      <c r="AY100" s="375"/>
      <c r="AZ100" s="375"/>
      <c r="BA100" s="375"/>
      <c r="BB100" s="375"/>
      <c r="BC100" s="375"/>
      <c r="BD100" s="375"/>
      <c r="BE100" s="375"/>
      <c r="BF100" s="375"/>
      <c r="BG100" s="375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79"/>
      <c r="BS100" s="79"/>
      <c r="BT100" s="79"/>
    </row>
    <row r="101" spans="1:72" ht="15" hidden="1" customHeight="1">
      <c r="A101" s="66" t="s">
        <v>1914</v>
      </c>
      <c r="B101" s="66"/>
      <c r="C101" s="66" t="s">
        <v>467</v>
      </c>
      <c r="D101" s="66" t="s">
        <v>1915</v>
      </c>
      <c r="E101" s="150" t="s">
        <v>1136</v>
      </c>
      <c r="F101" s="482" t="s">
        <v>1566</v>
      </c>
      <c r="G101" s="150" t="s">
        <v>1135</v>
      </c>
      <c r="H101" s="150" t="s">
        <v>1145</v>
      </c>
      <c r="I101" s="150" t="s">
        <v>1135</v>
      </c>
      <c r="J101" s="150" t="s">
        <v>1145</v>
      </c>
      <c r="K101" s="150" t="s">
        <v>1137</v>
      </c>
      <c r="L101" s="511" t="s">
        <v>389</v>
      </c>
      <c r="M101" s="392" t="s">
        <v>1916</v>
      </c>
      <c r="N101" s="343"/>
      <c r="O101" s="346" t="s">
        <v>1186</v>
      </c>
      <c r="P101" s="70" t="s">
        <v>468</v>
      </c>
      <c r="Q101" s="346"/>
      <c r="R101" s="346" t="s">
        <v>1917</v>
      </c>
      <c r="S101" s="346"/>
      <c r="T101" s="150" t="s">
        <v>25</v>
      </c>
      <c r="U101" s="150" t="s">
        <v>1918</v>
      </c>
      <c r="V101" s="403"/>
      <c r="W101" s="406">
        <v>301000</v>
      </c>
      <c r="X101" s="406">
        <v>305973.58</v>
      </c>
      <c r="Y101" s="425"/>
      <c r="Z101" s="71"/>
      <c r="AA101" s="426">
        <v>80223.58</v>
      </c>
      <c r="AB101" s="431">
        <v>0</v>
      </c>
      <c r="AC101" s="431">
        <v>0</v>
      </c>
      <c r="AD101" s="428">
        <v>80223.58</v>
      </c>
      <c r="AE101" s="429">
        <v>0</v>
      </c>
      <c r="AF101" s="429">
        <v>0</v>
      </c>
      <c r="AG101" s="363">
        <v>0</v>
      </c>
      <c r="AH101" s="360">
        <v>70500</v>
      </c>
      <c r="AI101" s="360">
        <v>0</v>
      </c>
      <c r="AJ101" s="360">
        <v>70500</v>
      </c>
      <c r="AK101" s="360">
        <v>0</v>
      </c>
      <c r="AL101" s="360">
        <v>0</v>
      </c>
      <c r="AM101" s="360">
        <f t="shared" si="3"/>
        <v>301447.16000000003</v>
      </c>
      <c r="AN101" s="362">
        <f>ERP_2[[#This Row],[2026 Working Total]]-ERP_2[[#This Row],[LE2 Final Submission]]</f>
        <v>-4526.4199999999837</v>
      </c>
      <c r="AO101" s="79">
        <v>0</v>
      </c>
      <c r="AP101" s="79">
        <f t="shared" si="4"/>
        <v>0</v>
      </c>
      <c r="AQ101" s="374">
        <f>SUM(ERP_2[[#This Row],[AP01]:[AP06]])-SUM(ERP_2[[#This Row],[AP01 LE2]:[AP06 LE2]])</f>
        <v>4973.5799999999872</v>
      </c>
      <c r="AR101" s="80"/>
      <c r="AS101" s="79">
        <f>ERP_2[[#This Row],[2026 Working Total to Budget/LE]]-ERP_2[[#This Row],[Giveback]]</f>
        <v>-4526.4199999999837</v>
      </c>
      <c r="AT101" s="81"/>
      <c r="AU101" s="375">
        <v>80223.58</v>
      </c>
      <c r="AV101" s="375">
        <v>0</v>
      </c>
      <c r="AW101" s="375">
        <v>0</v>
      </c>
      <c r="AX101" s="375">
        <v>75250</v>
      </c>
      <c r="AY101" s="375">
        <v>0</v>
      </c>
      <c r="AZ101" s="375">
        <v>0</v>
      </c>
      <c r="BA101" s="375">
        <v>75250</v>
      </c>
      <c r="BB101" s="375">
        <v>0</v>
      </c>
      <c r="BC101" s="375">
        <v>0</v>
      </c>
      <c r="BD101" s="375">
        <v>75250</v>
      </c>
      <c r="BE101" s="375">
        <v>0</v>
      </c>
      <c r="BF101" s="375">
        <v>0</v>
      </c>
      <c r="BG101" s="375">
        <v>305973.58</v>
      </c>
      <c r="BH101" s="79">
        <v>80223.58</v>
      </c>
      <c r="BI101" s="79">
        <v>0</v>
      </c>
      <c r="BJ101" s="79">
        <v>0</v>
      </c>
      <c r="BK101" s="79">
        <v>75250</v>
      </c>
      <c r="BL101" s="79">
        <v>0</v>
      </c>
      <c r="BM101" s="79">
        <v>0</v>
      </c>
      <c r="BN101" s="79">
        <v>75250</v>
      </c>
      <c r="BO101" s="79">
        <v>0</v>
      </c>
      <c r="BP101" s="79">
        <v>0</v>
      </c>
      <c r="BQ101" s="79">
        <v>75250</v>
      </c>
      <c r="BR101" s="79">
        <v>0</v>
      </c>
      <c r="BS101" s="79">
        <v>0</v>
      </c>
      <c r="BT101" s="79">
        <v>305973.58</v>
      </c>
    </row>
    <row r="102" spans="1:72" ht="15" hidden="1" customHeight="1">
      <c r="A102" s="66" t="s">
        <v>1919</v>
      </c>
      <c r="B102" s="66"/>
      <c r="C102" s="66" t="s">
        <v>469</v>
      </c>
      <c r="D102" s="66" t="s">
        <v>1920</v>
      </c>
      <c r="E102" s="150" t="s">
        <v>1136</v>
      </c>
      <c r="F102" s="482" t="s">
        <v>1566</v>
      </c>
      <c r="G102" s="150" t="s">
        <v>1135</v>
      </c>
      <c r="H102" s="150" t="s">
        <v>1145</v>
      </c>
      <c r="I102" s="150" t="s">
        <v>1135</v>
      </c>
      <c r="J102" s="150" t="s">
        <v>1145</v>
      </c>
      <c r="K102" s="150" t="s">
        <v>1137</v>
      </c>
      <c r="L102" s="511" t="s">
        <v>389</v>
      </c>
      <c r="M102" s="392" t="s">
        <v>1921</v>
      </c>
      <c r="N102" s="343"/>
      <c r="O102" s="346" t="s">
        <v>1186</v>
      </c>
      <c r="P102" s="70" t="s">
        <v>470</v>
      </c>
      <c r="Q102" s="346"/>
      <c r="R102" s="346" t="s">
        <v>1922</v>
      </c>
      <c r="S102" s="346"/>
      <c r="T102" s="150" t="s">
        <v>25</v>
      </c>
      <c r="U102" s="150" t="s">
        <v>1923</v>
      </c>
      <c r="V102" s="403"/>
      <c r="W102" s="406">
        <v>282792</v>
      </c>
      <c r="X102" s="406">
        <v>282791.93</v>
      </c>
      <c r="Y102" s="425"/>
      <c r="Z102" s="71"/>
      <c r="AA102" s="426">
        <v>70697.440000000002</v>
      </c>
      <c r="AB102" s="427">
        <v>0.49</v>
      </c>
      <c r="AC102" s="431">
        <v>0</v>
      </c>
      <c r="AD102" s="428">
        <v>9484.4399999999951</v>
      </c>
      <c r="AE102" s="429">
        <v>0</v>
      </c>
      <c r="AF102" s="429">
        <v>0</v>
      </c>
      <c r="AG102" s="364"/>
      <c r="AH102" s="364">
        <v>60500</v>
      </c>
      <c r="AI102" s="360">
        <v>0</v>
      </c>
      <c r="AJ102" s="363">
        <v>70698</v>
      </c>
      <c r="AK102" s="363">
        <v>70698</v>
      </c>
      <c r="AL102" s="360">
        <v>0</v>
      </c>
      <c r="AM102" s="360">
        <f t="shared" si="3"/>
        <v>282078.37</v>
      </c>
      <c r="AN102" s="362">
        <f>ERP_2[[#This Row],[2026 Working Total]]-ERP_2[[#This Row],[LE2 Final Submission]]</f>
        <v>-713.55999999999767</v>
      </c>
      <c r="AO102" s="79">
        <v>0</v>
      </c>
      <c r="AP102" s="79">
        <f t="shared" si="4"/>
        <v>0</v>
      </c>
      <c r="AQ102" s="374">
        <f>SUM(ERP_2[[#This Row],[AP01]:[AP06]])-SUM(ERP_2[[#This Row],[AP01 LE2]:[AP06 LE2]])</f>
        <v>-61213.56</v>
      </c>
      <c r="AR102" s="80"/>
      <c r="AS102" s="79">
        <f>ERP_2[[#This Row],[2026 Working Total to Budget/LE]]-ERP_2[[#This Row],[Giveback]]</f>
        <v>-713.55999999999767</v>
      </c>
      <c r="AT102" s="81"/>
      <c r="AU102" s="375">
        <v>70697.440000000002</v>
      </c>
      <c r="AV102" s="375">
        <v>0.49</v>
      </c>
      <c r="AW102" s="375">
        <v>0</v>
      </c>
      <c r="AX102" s="375">
        <v>70698</v>
      </c>
      <c r="AY102" s="375">
        <v>0</v>
      </c>
      <c r="AZ102" s="375">
        <v>0</v>
      </c>
      <c r="BA102" s="375">
        <v>70698</v>
      </c>
      <c r="BB102" s="375">
        <v>0</v>
      </c>
      <c r="BC102" s="375">
        <v>0</v>
      </c>
      <c r="BD102" s="375">
        <v>70698</v>
      </c>
      <c r="BE102" s="375">
        <v>0</v>
      </c>
      <c r="BF102" s="375">
        <v>0</v>
      </c>
      <c r="BG102" s="375">
        <v>282791.93</v>
      </c>
      <c r="BH102" s="79">
        <v>70697.440000000002</v>
      </c>
      <c r="BI102" s="79">
        <v>0.49</v>
      </c>
      <c r="BJ102" s="79">
        <v>0</v>
      </c>
      <c r="BK102" s="79">
        <v>70698</v>
      </c>
      <c r="BL102" s="79">
        <v>0</v>
      </c>
      <c r="BM102" s="79">
        <v>0</v>
      </c>
      <c r="BN102" s="79">
        <v>70698</v>
      </c>
      <c r="BO102" s="79">
        <v>0</v>
      </c>
      <c r="BP102" s="79">
        <v>0</v>
      </c>
      <c r="BQ102" s="79">
        <v>70698</v>
      </c>
      <c r="BR102" s="79">
        <v>0</v>
      </c>
      <c r="BS102" s="79">
        <v>0</v>
      </c>
      <c r="BT102" s="79">
        <v>282791.93</v>
      </c>
    </row>
    <row r="103" spans="1:72" ht="15" hidden="1" customHeight="1">
      <c r="A103" s="66" t="s">
        <v>1924</v>
      </c>
      <c r="B103" s="66"/>
      <c r="C103" s="66" t="s">
        <v>471</v>
      </c>
      <c r="D103" s="66" t="s">
        <v>471</v>
      </c>
      <c r="E103" s="150" t="s">
        <v>1136</v>
      </c>
      <c r="F103" s="482" t="s">
        <v>1566</v>
      </c>
      <c r="G103" s="150" t="s">
        <v>1135</v>
      </c>
      <c r="H103" s="150" t="s">
        <v>1135</v>
      </c>
      <c r="I103" s="150" t="s">
        <v>1135</v>
      </c>
      <c r="J103" s="150" t="s">
        <v>1135</v>
      </c>
      <c r="K103" s="150" t="s">
        <v>1137</v>
      </c>
      <c r="L103" s="511" t="s">
        <v>389</v>
      </c>
      <c r="M103" s="393" t="s">
        <v>1319</v>
      </c>
      <c r="N103" s="343"/>
      <c r="O103" s="343"/>
      <c r="P103" s="70" t="s">
        <v>145</v>
      </c>
      <c r="Q103" s="346" t="s">
        <v>1139</v>
      </c>
      <c r="R103" s="343"/>
      <c r="S103" s="346"/>
      <c r="T103" s="150" t="s">
        <v>25</v>
      </c>
      <c r="U103" s="150"/>
      <c r="V103" s="403"/>
      <c r="W103" s="406">
        <v>0</v>
      </c>
      <c r="X103" s="406">
        <v>1472196.6600000001</v>
      </c>
      <c r="Y103" s="430"/>
      <c r="Z103" s="137"/>
      <c r="AA103" s="426"/>
      <c r="AB103" s="427">
        <v>245366</v>
      </c>
      <c r="AC103" s="427">
        <v>122683.66</v>
      </c>
      <c r="AD103" s="428">
        <v>101112.98</v>
      </c>
      <c r="AE103" s="429">
        <v>144254.16</v>
      </c>
      <c r="AF103" s="429">
        <v>122682.85</v>
      </c>
      <c r="AG103" s="363">
        <v>122683</v>
      </c>
      <c r="AH103" s="363">
        <v>122683</v>
      </c>
      <c r="AI103" s="363">
        <v>122683</v>
      </c>
      <c r="AJ103" s="363">
        <v>122683</v>
      </c>
      <c r="AK103" s="363">
        <v>122683</v>
      </c>
      <c r="AL103" s="363">
        <v>122683</v>
      </c>
      <c r="AM103" s="360">
        <f t="shared" si="3"/>
        <v>1472197.65</v>
      </c>
      <c r="AN103" s="362">
        <f>ERP_2[[#This Row],[2026 Working Total]]-ERP_2[[#This Row],[LE2 Final Submission]]</f>
        <v>0.98999999975785613</v>
      </c>
      <c r="AO103" s="79">
        <v>122683</v>
      </c>
      <c r="AP103" s="79">
        <f t="shared" si="4"/>
        <v>-0.14999999999417923</v>
      </c>
      <c r="AQ103" s="374">
        <f>SUM(ERP_2[[#This Row],[AP01]:[AP06]])-SUM(ERP_2[[#This Row],[AP01 LE2]:[AP06 LE2]])</f>
        <v>0.98999999999068677</v>
      </c>
      <c r="AR103" s="80"/>
      <c r="AS103" s="79">
        <f>ERP_2[[#This Row],[2026 Working Total to Budget/LE]]-ERP_2[[#This Row],[Giveback]]</f>
        <v>0.98999999975785613</v>
      </c>
      <c r="AT103" s="81"/>
      <c r="AU103" s="375"/>
      <c r="AV103" s="375">
        <v>245366</v>
      </c>
      <c r="AW103" s="375">
        <v>122683.66</v>
      </c>
      <c r="AX103" s="375">
        <v>122683</v>
      </c>
      <c r="AY103" s="375">
        <v>122683</v>
      </c>
      <c r="AZ103" s="375">
        <v>122683</v>
      </c>
      <c r="BA103" s="375">
        <v>122683</v>
      </c>
      <c r="BB103" s="375">
        <v>122683</v>
      </c>
      <c r="BC103" s="375">
        <v>122683</v>
      </c>
      <c r="BD103" s="375">
        <v>122683</v>
      </c>
      <c r="BE103" s="375">
        <v>122683</v>
      </c>
      <c r="BF103" s="375">
        <v>122683</v>
      </c>
      <c r="BG103" s="375">
        <v>1472196.6600000001</v>
      </c>
      <c r="BH103" s="79"/>
      <c r="BI103" s="79">
        <v>245366</v>
      </c>
      <c r="BJ103" s="79">
        <v>122683.66</v>
      </c>
      <c r="BK103" s="79">
        <v>122683</v>
      </c>
      <c r="BL103" s="79">
        <v>122683</v>
      </c>
      <c r="BM103" s="79">
        <v>122683</v>
      </c>
      <c r="BN103" s="79">
        <v>122683</v>
      </c>
      <c r="BO103" s="79">
        <v>122683</v>
      </c>
      <c r="BP103" s="79">
        <v>122683</v>
      </c>
      <c r="BQ103" s="79">
        <v>122683</v>
      </c>
      <c r="BR103" s="79">
        <v>122683</v>
      </c>
      <c r="BS103" s="79">
        <v>122683</v>
      </c>
      <c r="BT103" s="79">
        <v>1472196.6600000001</v>
      </c>
    </row>
    <row r="104" spans="1:72" ht="15" hidden="1" customHeight="1">
      <c r="A104" s="66" t="s">
        <v>1925</v>
      </c>
      <c r="B104" s="66"/>
      <c r="C104" s="66" t="s">
        <v>472</v>
      </c>
      <c r="D104" s="66" t="s">
        <v>1926</v>
      </c>
      <c r="E104" s="150" t="s">
        <v>1136</v>
      </c>
      <c r="F104" s="482" t="s">
        <v>1566</v>
      </c>
      <c r="G104" s="150" t="s">
        <v>1135</v>
      </c>
      <c r="H104" s="150" t="s">
        <v>1165</v>
      </c>
      <c r="I104" s="150" t="s">
        <v>1135</v>
      </c>
      <c r="J104" s="150" t="s">
        <v>1165</v>
      </c>
      <c r="K104" s="150" t="s">
        <v>1137</v>
      </c>
      <c r="L104" s="511" t="s">
        <v>389</v>
      </c>
      <c r="M104" s="392" t="s">
        <v>1927</v>
      </c>
      <c r="N104" s="343"/>
      <c r="O104" s="343"/>
      <c r="P104" s="70" t="s">
        <v>473</v>
      </c>
      <c r="Q104" s="346"/>
      <c r="R104" s="343"/>
      <c r="S104" s="346"/>
      <c r="T104" s="150" t="s">
        <v>25</v>
      </c>
      <c r="U104" s="150" t="s">
        <v>1928</v>
      </c>
      <c r="V104" s="403"/>
      <c r="W104" s="406">
        <v>123538.99999999999</v>
      </c>
      <c r="X104" s="406">
        <v>0</v>
      </c>
      <c r="Y104" s="425"/>
      <c r="Z104" s="71"/>
      <c r="AA104" s="426"/>
      <c r="AB104" s="427"/>
      <c r="AC104" s="427"/>
      <c r="AD104" s="428" t="s">
        <v>1142</v>
      </c>
      <c r="AE104" s="429">
        <v>0</v>
      </c>
      <c r="AF104" s="429">
        <v>0</v>
      </c>
      <c r="AG104" s="363">
        <v>0</v>
      </c>
      <c r="AH104" s="363">
        <f>88117-88117</f>
        <v>0</v>
      </c>
      <c r="AI104" s="363">
        <v>0</v>
      </c>
      <c r="AJ104" s="363">
        <v>0</v>
      </c>
      <c r="AK104" s="363">
        <v>0</v>
      </c>
      <c r="AL104" s="363">
        <v>0</v>
      </c>
      <c r="AM104" s="360">
        <f t="shared" si="3"/>
        <v>0</v>
      </c>
      <c r="AN104" s="362">
        <f>ERP_2[[#This Row],[2026 Working Total]]-ERP_2[[#This Row],[LE2 Final Submission]]</f>
        <v>0</v>
      </c>
      <c r="AO104" s="79">
        <v>0</v>
      </c>
      <c r="AP104" s="79">
        <f t="shared" si="4"/>
        <v>0</v>
      </c>
      <c r="AQ104" s="374">
        <f>SUM(ERP_2[[#This Row],[AP01]:[AP06]])-SUM(ERP_2[[#This Row],[AP01 LE2]:[AP06 LE2]])</f>
        <v>0</v>
      </c>
      <c r="AR104" s="80"/>
      <c r="AS104" s="79">
        <f>ERP_2[[#This Row],[2026 Working Total to Budget/LE]]-ERP_2[[#This Row],[Giveback]]</f>
        <v>0</v>
      </c>
      <c r="AT104" s="81" t="s">
        <v>1929</v>
      </c>
      <c r="AU104" s="375"/>
      <c r="AV104" s="375"/>
      <c r="AW104" s="375"/>
      <c r="AX104" s="375">
        <v>0</v>
      </c>
      <c r="AY104" s="375">
        <v>0</v>
      </c>
      <c r="AZ104" s="375">
        <v>0</v>
      </c>
      <c r="BA104" s="375">
        <v>0</v>
      </c>
      <c r="BB104" s="375">
        <v>0</v>
      </c>
      <c r="BC104" s="375">
        <v>0</v>
      </c>
      <c r="BD104" s="375">
        <v>0</v>
      </c>
      <c r="BE104" s="375">
        <v>0</v>
      </c>
      <c r="BF104" s="375">
        <v>0</v>
      </c>
      <c r="BG104" s="375">
        <v>0</v>
      </c>
      <c r="BH104" s="79"/>
      <c r="BI104" s="79"/>
      <c r="BJ104" s="79"/>
      <c r="BK104" s="79">
        <v>10294.92</v>
      </c>
      <c r="BL104" s="79">
        <v>10294.92</v>
      </c>
      <c r="BM104" s="79">
        <v>10294.92</v>
      </c>
      <c r="BN104" s="79">
        <v>10294.92</v>
      </c>
      <c r="BO104" s="79">
        <v>10294.92</v>
      </c>
      <c r="BP104" s="79">
        <v>10294.92</v>
      </c>
      <c r="BQ104" s="79">
        <v>10294.92</v>
      </c>
      <c r="BR104" s="79">
        <v>10294.92</v>
      </c>
      <c r="BS104" s="79">
        <v>10294.92</v>
      </c>
      <c r="BT104" s="79">
        <v>92654.28</v>
      </c>
    </row>
    <row r="105" spans="1:72" ht="15" hidden="1" customHeight="1">
      <c r="A105" s="66" t="s">
        <v>1930</v>
      </c>
      <c r="B105" s="66"/>
      <c r="C105" s="66" t="s">
        <v>474</v>
      </c>
      <c r="D105" s="66" t="s">
        <v>1931</v>
      </c>
      <c r="E105" s="150" t="s">
        <v>1136</v>
      </c>
      <c r="F105" s="482" t="s">
        <v>1566</v>
      </c>
      <c r="G105" s="150" t="s">
        <v>1135</v>
      </c>
      <c r="H105" s="150" t="s">
        <v>1165</v>
      </c>
      <c r="I105" s="150" t="s">
        <v>1135</v>
      </c>
      <c r="J105" s="150" t="s">
        <v>1165</v>
      </c>
      <c r="K105" s="150" t="s">
        <v>1137</v>
      </c>
      <c r="L105" s="511" t="s">
        <v>389</v>
      </c>
      <c r="M105" s="392" t="s">
        <v>1932</v>
      </c>
      <c r="N105" s="343"/>
      <c r="O105" s="343"/>
      <c r="P105" s="70" t="s">
        <v>475</v>
      </c>
      <c r="Q105" s="346"/>
      <c r="R105" s="343"/>
      <c r="S105" s="346"/>
      <c r="T105" s="150" t="s">
        <v>25</v>
      </c>
      <c r="U105" s="150"/>
      <c r="V105" s="403"/>
      <c r="W105" s="406">
        <v>26400</v>
      </c>
      <c r="X105" s="406">
        <v>0</v>
      </c>
      <c r="Y105" s="425"/>
      <c r="Z105" s="71"/>
      <c r="AA105" s="426"/>
      <c r="AB105" s="427"/>
      <c r="AC105" s="427"/>
      <c r="AD105" s="428" t="s">
        <v>1142</v>
      </c>
      <c r="AE105" s="429">
        <v>0</v>
      </c>
      <c r="AF105" s="429">
        <v>0</v>
      </c>
      <c r="AG105" s="363">
        <v>0</v>
      </c>
      <c r="AH105" s="363">
        <v>0</v>
      </c>
      <c r="AI105" s="363">
        <v>0</v>
      </c>
      <c r="AJ105" s="363">
        <v>0</v>
      </c>
      <c r="AK105" s="363">
        <v>0</v>
      </c>
      <c r="AL105" s="363">
        <v>0</v>
      </c>
      <c r="AM105" s="360">
        <f t="shared" si="3"/>
        <v>0</v>
      </c>
      <c r="AN105" s="362">
        <f>ERP_2[[#This Row],[2026 Working Total]]-ERP_2[[#This Row],[LE2 Final Submission]]</f>
        <v>0</v>
      </c>
      <c r="AO105" s="79">
        <v>0</v>
      </c>
      <c r="AP105" s="79">
        <f t="shared" si="4"/>
        <v>0</v>
      </c>
      <c r="AQ105" s="374">
        <f>SUM(ERP_2[[#This Row],[AP01]:[AP06]])-SUM(ERP_2[[#This Row],[AP01 LE2]:[AP06 LE2]])</f>
        <v>0</v>
      </c>
      <c r="AR105" s="80">
        <v>-26400</v>
      </c>
      <c r="AS105" s="79">
        <f>ERP_2[[#This Row],[2026 Working Total to Budget/LE]]-ERP_2[[#This Row],[Giveback]]</f>
        <v>26400</v>
      </c>
      <c r="AT105" s="81"/>
      <c r="AU105" s="375"/>
      <c r="AV105" s="375"/>
      <c r="AW105" s="375"/>
      <c r="AX105" s="375">
        <v>0</v>
      </c>
      <c r="AY105" s="375">
        <v>0</v>
      </c>
      <c r="AZ105" s="375">
        <v>0</v>
      </c>
      <c r="BA105" s="375">
        <v>0</v>
      </c>
      <c r="BB105" s="375">
        <v>0</v>
      </c>
      <c r="BC105" s="375">
        <v>0</v>
      </c>
      <c r="BD105" s="375">
        <v>0</v>
      </c>
      <c r="BE105" s="375">
        <v>0</v>
      </c>
      <c r="BF105" s="375">
        <v>0</v>
      </c>
      <c r="BG105" s="375">
        <v>0</v>
      </c>
      <c r="BH105" s="79"/>
      <c r="BI105" s="79"/>
      <c r="BJ105" s="79"/>
      <c r="BK105" s="79">
        <v>2200</v>
      </c>
      <c r="BL105" s="79">
        <v>2200</v>
      </c>
      <c r="BM105" s="79">
        <v>2200</v>
      </c>
      <c r="BN105" s="79">
        <v>2200</v>
      </c>
      <c r="BO105" s="79">
        <v>2200</v>
      </c>
      <c r="BP105" s="79">
        <v>2200</v>
      </c>
      <c r="BQ105" s="79">
        <v>2200</v>
      </c>
      <c r="BR105" s="79">
        <v>2200</v>
      </c>
      <c r="BS105" s="79">
        <v>2200</v>
      </c>
      <c r="BT105" s="79">
        <v>19800</v>
      </c>
    </row>
    <row r="106" spans="1:72" ht="15" hidden="1" customHeight="1">
      <c r="A106" s="66" t="s">
        <v>1933</v>
      </c>
      <c r="B106" s="66"/>
      <c r="C106" s="66" t="s">
        <v>476</v>
      </c>
      <c r="D106" s="66" t="s">
        <v>1934</v>
      </c>
      <c r="E106" s="150" t="s">
        <v>1136</v>
      </c>
      <c r="F106" s="482" t="s">
        <v>1566</v>
      </c>
      <c r="G106" s="150" t="s">
        <v>1135</v>
      </c>
      <c r="H106" s="150" t="s">
        <v>1165</v>
      </c>
      <c r="I106" s="150" t="s">
        <v>1135</v>
      </c>
      <c r="J106" s="150" t="s">
        <v>1165</v>
      </c>
      <c r="K106" s="150" t="s">
        <v>1137</v>
      </c>
      <c r="L106" s="511" t="s">
        <v>389</v>
      </c>
      <c r="M106" s="392" t="s">
        <v>1935</v>
      </c>
      <c r="N106" s="343"/>
      <c r="O106" s="343"/>
      <c r="P106" s="70" t="s">
        <v>477</v>
      </c>
      <c r="Q106" s="346"/>
      <c r="R106" s="343"/>
      <c r="S106" s="346"/>
      <c r="T106" s="150" t="s">
        <v>478</v>
      </c>
      <c r="U106" s="150"/>
      <c r="V106" s="403"/>
      <c r="W106" s="406">
        <v>36000</v>
      </c>
      <c r="X106" s="406">
        <v>36000.300000000003</v>
      </c>
      <c r="Y106" s="425"/>
      <c r="Z106" s="71"/>
      <c r="AA106" s="426"/>
      <c r="AB106" s="427">
        <v>5999.76</v>
      </c>
      <c r="AC106" s="427">
        <v>2703.54</v>
      </c>
      <c r="AD106" s="429">
        <v>2769.23</v>
      </c>
      <c r="AE106" s="429">
        <v>3527.23</v>
      </c>
      <c r="AF106" s="429">
        <v>2703.54</v>
      </c>
      <c r="AG106" s="363">
        <v>3000</v>
      </c>
      <c r="AH106" s="363">
        <v>3000</v>
      </c>
      <c r="AI106" s="363">
        <v>3000</v>
      </c>
      <c r="AJ106" s="363">
        <v>3000</v>
      </c>
      <c r="AK106" s="363">
        <v>3000</v>
      </c>
      <c r="AL106" s="363">
        <v>3000</v>
      </c>
      <c r="AM106" s="360">
        <f t="shared" si="3"/>
        <v>35703.300000000003</v>
      </c>
      <c r="AN106" s="362">
        <f>ERP_2[[#This Row],[2026 Working Total]]-ERP_2[[#This Row],[LE2 Final Submission]]</f>
        <v>-297</v>
      </c>
      <c r="AO106" s="79">
        <v>3000</v>
      </c>
      <c r="AP106" s="79">
        <f t="shared" si="4"/>
        <v>-296.46000000000004</v>
      </c>
      <c r="AQ106" s="374">
        <f>SUM(ERP_2[[#This Row],[AP01]:[AP06]])-SUM(ERP_2[[#This Row],[AP01 LE2]:[AP06 LE2]])</f>
        <v>-297</v>
      </c>
      <c r="AR106" s="80"/>
      <c r="AS106" s="79">
        <f>ERP_2[[#This Row],[2026 Working Total to Budget/LE]]-ERP_2[[#This Row],[Giveback]]</f>
        <v>-297</v>
      </c>
      <c r="AT106" s="81"/>
      <c r="AU106" s="375"/>
      <c r="AV106" s="375">
        <v>5999.76</v>
      </c>
      <c r="AW106" s="375">
        <v>2703.54</v>
      </c>
      <c r="AX106" s="375">
        <v>3297</v>
      </c>
      <c r="AY106" s="375">
        <v>3000</v>
      </c>
      <c r="AZ106" s="375">
        <v>3000</v>
      </c>
      <c r="BA106" s="375">
        <v>3000</v>
      </c>
      <c r="BB106" s="375">
        <v>3000</v>
      </c>
      <c r="BC106" s="375">
        <v>3000</v>
      </c>
      <c r="BD106" s="375">
        <v>3000</v>
      </c>
      <c r="BE106" s="375">
        <v>3000</v>
      </c>
      <c r="BF106" s="375">
        <v>3000</v>
      </c>
      <c r="BG106" s="375">
        <v>36000.300000000003</v>
      </c>
      <c r="BH106" s="79"/>
      <c r="BI106" s="79">
        <v>5999.76</v>
      </c>
      <c r="BJ106" s="79">
        <v>2703.54</v>
      </c>
      <c r="BK106" s="79">
        <v>3000</v>
      </c>
      <c r="BL106" s="79">
        <v>3000</v>
      </c>
      <c r="BM106" s="79">
        <v>3000</v>
      </c>
      <c r="BN106" s="79">
        <v>3000</v>
      </c>
      <c r="BO106" s="79">
        <v>3000</v>
      </c>
      <c r="BP106" s="79">
        <v>3000</v>
      </c>
      <c r="BQ106" s="79">
        <v>3000</v>
      </c>
      <c r="BR106" s="79">
        <v>3000</v>
      </c>
      <c r="BS106" s="79">
        <v>3000</v>
      </c>
      <c r="BT106" s="79">
        <v>35703.300000000003</v>
      </c>
    </row>
    <row r="107" spans="1:72" ht="15" hidden="1" customHeight="1">
      <c r="A107" s="66" t="s">
        <v>1936</v>
      </c>
      <c r="B107" s="66"/>
      <c r="C107" s="66" t="s">
        <v>479</v>
      </c>
      <c r="D107" s="66" t="s">
        <v>1937</v>
      </c>
      <c r="E107" s="150" t="s">
        <v>1136</v>
      </c>
      <c r="F107" s="482" t="s">
        <v>1566</v>
      </c>
      <c r="G107" s="150" t="s">
        <v>1135</v>
      </c>
      <c r="H107" s="150" t="s">
        <v>1165</v>
      </c>
      <c r="I107" s="150" t="s">
        <v>1135</v>
      </c>
      <c r="J107" s="150" t="s">
        <v>1165</v>
      </c>
      <c r="K107" s="150" t="s">
        <v>1137</v>
      </c>
      <c r="L107" s="511" t="s">
        <v>389</v>
      </c>
      <c r="M107" s="392" t="s">
        <v>1938</v>
      </c>
      <c r="N107" s="343"/>
      <c r="O107" s="343"/>
      <c r="P107" s="70" t="s">
        <v>480</v>
      </c>
      <c r="Q107" s="346"/>
      <c r="R107" s="343"/>
      <c r="S107" s="346"/>
      <c r="T107" s="150" t="s">
        <v>478</v>
      </c>
      <c r="U107" s="150"/>
      <c r="V107" s="403"/>
      <c r="W107" s="406">
        <v>345000</v>
      </c>
      <c r="X107" s="406">
        <v>333579.34999999998</v>
      </c>
      <c r="Y107" s="425"/>
      <c r="Z107" s="71"/>
      <c r="AA107" s="426"/>
      <c r="AB107" s="427"/>
      <c r="AC107" s="427">
        <v>80924.350000000006</v>
      </c>
      <c r="AD107" s="428">
        <v>25748.649999999994</v>
      </c>
      <c r="AE107" s="429">
        <v>35684.65</v>
      </c>
      <c r="AF107" s="429">
        <v>28214.84</v>
      </c>
      <c r="AG107" s="363">
        <v>29498</v>
      </c>
      <c r="AH107" s="363">
        <v>26933</v>
      </c>
      <c r="AI107" s="363">
        <v>28215</v>
      </c>
      <c r="AJ107" s="363">
        <v>28215</v>
      </c>
      <c r="AK107" s="363">
        <v>26933</v>
      </c>
      <c r="AL107" s="363">
        <v>29498</v>
      </c>
      <c r="AM107" s="360">
        <f t="shared" si="3"/>
        <v>339864.49</v>
      </c>
      <c r="AN107" s="362">
        <f>ERP_2[[#This Row],[2026 Working Total]]-ERP_2[[#This Row],[LE2 Final Submission]]</f>
        <v>6285.140000000014</v>
      </c>
      <c r="AO107" s="79">
        <v>26933</v>
      </c>
      <c r="AP107" s="79">
        <f t="shared" si="4"/>
        <v>1281.8400000000001</v>
      </c>
      <c r="AQ107" s="374">
        <f>SUM(ERP_2[[#This Row],[AP01]:[AP06]])-SUM(ERP_2[[#This Row],[AP01 LE2]:[AP06 LE2]])</f>
        <v>6285.1399999999849</v>
      </c>
      <c r="AR107" s="80"/>
      <c r="AS107" s="79">
        <f>ERP_2[[#This Row],[2026 Working Total to Budget/LE]]-ERP_2[[#This Row],[Giveback]]</f>
        <v>6285.140000000014</v>
      </c>
      <c r="AT107" s="81"/>
      <c r="AU107" s="375"/>
      <c r="AV107" s="375"/>
      <c r="AW107" s="375">
        <v>80924.350000000006</v>
      </c>
      <c r="AX107" s="375">
        <v>28215</v>
      </c>
      <c r="AY107" s="375">
        <v>26933</v>
      </c>
      <c r="AZ107" s="375">
        <v>28215</v>
      </c>
      <c r="BA107" s="375">
        <v>29498</v>
      </c>
      <c r="BB107" s="375">
        <v>26933</v>
      </c>
      <c r="BC107" s="375">
        <v>28215</v>
      </c>
      <c r="BD107" s="375">
        <v>28215</v>
      </c>
      <c r="BE107" s="375">
        <v>26933</v>
      </c>
      <c r="BF107" s="375">
        <v>29498</v>
      </c>
      <c r="BG107" s="375">
        <v>333579.34999999998</v>
      </c>
      <c r="BH107" s="79"/>
      <c r="BI107" s="79"/>
      <c r="BJ107" s="79">
        <v>80924.350000000006</v>
      </c>
      <c r="BK107" s="79">
        <v>27894</v>
      </c>
      <c r="BL107" s="79">
        <v>27894</v>
      </c>
      <c r="BM107" s="79">
        <v>27894</v>
      </c>
      <c r="BN107" s="79">
        <v>27894</v>
      </c>
      <c r="BO107" s="79">
        <v>27894</v>
      </c>
      <c r="BP107" s="79">
        <v>27894</v>
      </c>
      <c r="BQ107" s="79">
        <v>27894</v>
      </c>
      <c r="BR107" s="79">
        <v>27894</v>
      </c>
      <c r="BS107" s="79">
        <v>27894</v>
      </c>
      <c r="BT107" s="79">
        <v>331970.34999999998</v>
      </c>
    </row>
    <row r="108" spans="1:72" ht="15" hidden="1" customHeight="1">
      <c r="A108" s="66" t="s">
        <v>1939</v>
      </c>
      <c r="B108" s="66"/>
      <c r="C108" s="66" t="s">
        <v>481</v>
      </c>
      <c r="D108" s="66" t="s">
        <v>481</v>
      </c>
      <c r="E108" s="150" t="s">
        <v>1136</v>
      </c>
      <c r="F108" s="482" t="s">
        <v>1566</v>
      </c>
      <c r="G108" s="150" t="s">
        <v>1135</v>
      </c>
      <c r="H108" s="150" t="s">
        <v>1135</v>
      </c>
      <c r="I108" s="150" t="s">
        <v>1135</v>
      </c>
      <c r="J108" s="150" t="s">
        <v>1135</v>
      </c>
      <c r="K108" s="150" t="s">
        <v>1137</v>
      </c>
      <c r="L108" s="511" t="s">
        <v>389</v>
      </c>
      <c r="M108" s="392" t="s">
        <v>1778</v>
      </c>
      <c r="N108" s="343"/>
      <c r="O108" s="343"/>
      <c r="P108" s="70" t="s">
        <v>482</v>
      </c>
      <c r="Q108" s="346"/>
      <c r="R108" s="343"/>
      <c r="S108" s="346"/>
      <c r="T108" s="150" t="s">
        <v>408</v>
      </c>
      <c r="U108" s="150"/>
      <c r="V108" s="403"/>
      <c r="W108" s="406">
        <v>0</v>
      </c>
      <c r="X108" s="406">
        <v>-18450</v>
      </c>
      <c r="Y108" s="425"/>
      <c r="Z108" s="71"/>
      <c r="AA108" s="426"/>
      <c r="AB108" s="427"/>
      <c r="AC108" s="427">
        <v>-3450</v>
      </c>
      <c r="AD108" s="428">
        <v>0</v>
      </c>
      <c r="AE108" s="429">
        <v>-7116.77</v>
      </c>
      <c r="AF108" s="429">
        <v>-3658.57</v>
      </c>
      <c r="AG108" s="363">
        <v>-1666.67</v>
      </c>
      <c r="AH108" s="363">
        <v>-1666.67</v>
      </c>
      <c r="AI108" s="363">
        <v>-1666.67</v>
      </c>
      <c r="AJ108" s="360">
        <v>0</v>
      </c>
      <c r="AK108" s="360">
        <v>0</v>
      </c>
      <c r="AL108" s="360">
        <v>0</v>
      </c>
      <c r="AM108" s="360">
        <f t="shared" si="3"/>
        <v>-19225.349999999999</v>
      </c>
      <c r="AN108" s="362">
        <f>ERP_2[[#This Row],[2026 Working Total]]-ERP_2[[#This Row],[LE2 Final Submission]]</f>
        <v>-775.34999999999854</v>
      </c>
      <c r="AO108" s="79">
        <v>-3333.33</v>
      </c>
      <c r="AP108" s="79">
        <f t="shared" si="4"/>
        <v>-325.24000000000024</v>
      </c>
      <c r="AQ108" s="374">
        <f>SUM(ERP_2[[#This Row],[AP01]:[AP06]])-SUM(ERP_2[[#This Row],[AP01 LE2]:[AP06 LE2]])</f>
        <v>-775.35000000000036</v>
      </c>
      <c r="AR108" s="80"/>
      <c r="AS108" s="79">
        <f>ERP_2[[#This Row],[2026 Working Total to Budget/LE]]-ERP_2[[#This Row],[Giveback]]</f>
        <v>-775.34999999999854</v>
      </c>
      <c r="AT108" s="81"/>
      <c r="AU108" s="375"/>
      <c r="AV108" s="375"/>
      <c r="AW108" s="375">
        <v>-3450</v>
      </c>
      <c r="AX108" s="375">
        <v>-3333.33</v>
      </c>
      <c r="AY108" s="375">
        <v>-3333.33</v>
      </c>
      <c r="AZ108" s="375">
        <v>-3333.33</v>
      </c>
      <c r="BA108" s="375">
        <v>-1666.67</v>
      </c>
      <c r="BB108" s="375">
        <v>-1666.67</v>
      </c>
      <c r="BC108" s="375">
        <v>-1666.67</v>
      </c>
      <c r="BD108" s="375">
        <v>0</v>
      </c>
      <c r="BE108" s="375">
        <v>0</v>
      </c>
      <c r="BF108" s="375">
        <v>0</v>
      </c>
      <c r="BG108" s="375">
        <v>-18450</v>
      </c>
      <c r="BH108" s="79"/>
      <c r="BI108" s="79"/>
      <c r="BJ108" s="79">
        <v>-3450</v>
      </c>
      <c r="BK108" s="79">
        <v>-3333.33</v>
      </c>
      <c r="BL108" s="79">
        <v>-3333.33</v>
      </c>
      <c r="BM108" s="79">
        <v>-3333.33</v>
      </c>
      <c r="BN108" s="79">
        <v>-1666.67</v>
      </c>
      <c r="BO108" s="79">
        <v>-1666.67</v>
      </c>
      <c r="BP108" s="79">
        <v>-1666.67</v>
      </c>
      <c r="BQ108" s="79">
        <v>0</v>
      </c>
      <c r="BR108" s="79">
        <v>0</v>
      </c>
      <c r="BS108" s="79">
        <v>0</v>
      </c>
      <c r="BT108" s="79">
        <v>-18450</v>
      </c>
    </row>
    <row r="109" spans="1:72" ht="15" hidden="1" customHeight="1">
      <c r="A109" s="66" t="s">
        <v>1943</v>
      </c>
      <c r="B109" s="66"/>
      <c r="C109" s="66" t="s">
        <v>483</v>
      </c>
      <c r="D109" s="66" t="s">
        <v>1944</v>
      </c>
      <c r="E109" s="150" t="s">
        <v>1136</v>
      </c>
      <c r="F109" s="482" t="s">
        <v>1566</v>
      </c>
      <c r="G109" s="150" t="s">
        <v>1135</v>
      </c>
      <c r="H109" s="150" t="s">
        <v>1165</v>
      </c>
      <c r="I109" s="150" t="s">
        <v>1135</v>
      </c>
      <c r="J109" s="150" t="s">
        <v>1165</v>
      </c>
      <c r="K109" s="150" t="s">
        <v>1137</v>
      </c>
      <c r="L109" s="511" t="s">
        <v>389</v>
      </c>
      <c r="M109" s="392" t="s">
        <v>1945</v>
      </c>
      <c r="N109" s="343"/>
      <c r="O109" s="343"/>
      <c r="P109" s="70" t="s">
        <v>484</v>
      </c>
      <c r="Q109" s="346"/>
      <c r="R109" s="343"/>
      <c r="S109" s="346"/>
      <c r="T109" s="150" t="s">
        <v>57</v>
      </c>
      <c r="U109" s="150"/>
      <c r="V109" s="403"/>
      <c r="W109" s="406">
        <v>0</v>
      </c>
      <c r="X109" s="406">
        <v>3711.49</v>
      </c>
      <c r="Y109" s="425"/>
      <c r="Z109" s="71"/>
      <c r="AA109" s="426"/>
      <c r="AB109" s="427"/>
      <c r="AC109" s="427">
        <v>552.49</v>
      </c>
      <c r="AD109" s="428">
        <v>0</v>
      </c>
      <c r="AE109" s="429">
        <v>0</v>
      </c>
      <c r="AF109" s="429">
        <v>0</v>
      </c>
      <c r="AG109" s="363">
        <v>351</v>
      </c>
      <c r="AH109" s="363">
        <v>351</v>
      </c>
      <c r="AI109" s="363">
        <v>351</v>
      </c>
      <c r="AJ109" s="363">
        <v>351</v>
      </c>
      <c r="AK109" s="363">
        <v>351</v>
      </c>
      <c r="AL109" s="363">
        <v>351</v>
      </c>
      <c r="AM109" s="360">
        <f t="shared" si="3"/>
        <v>2658.49</v>
      </c>
      <c r="AN109" s="362">
        <f>ERP_2[[#This Row],[2026 Working Total]]-ERP_2[[#This Row],[LE2 Final Submission]]</f>
        <v>-1053</v>
      </c>
      <c r="AO109" s="79">
        <v>351</v>
      </c>
      <c r="AP109" s="79">
        <f t="shared" si="4"/>
        <v>-351</v>
      </c>
      <c r="AQ109" s="374">
        <f>SUM(ERP_2[[#This Row],[AP01]:[AP06]])-SUM(ERP_2[[#This Row],[AP01 LE2]:[AP06 LE2]])</f>
        <v>-1053</v>
      </c>
      <c r="AR109" s="80"/>
      <c r="AS109" s="79">
        <f>ERP_2[[#This Row],[2026 Working Total to Budget/LE]]-ERP_2[[#This Row],[Giveback]]</f>
        <v>-1053</v>
      </c>
      <c r="AT109" s="81"/>
      <c r="AU109" s="375"/>
      <c r="AV109" s="375"/>
      <c r="AW109" s="375">
        <v>552.49</v>
      </c>
      <c r="AX109" s="375">
        <v>351</v>
      </c>
      <c r="AY109" s="375">
        <v>351</v>
      </c>
      <c r="AZ109" s="375">
        <v>351</v>
      </c>
      <c r="BA109" s="375">
        <v>351</v>
      </c>
      <c r="BB109" s="375">
        <v>351</v>
      </c>
      <c r="BC109" s="375">
        <v>351</v>
      </c>
      <c r="BD109" s="375">
        <v>351</v>
      </c>
      <c r="BE109" s="375">
        <v>351</v>
      </c>
      <c r="BF109" s="375">
        <v>351</v>
      </c>
      <c r="BG109" s="375">
        <v>3711.49</v>
      </c>
      <c r="BH109" s="79"/>
      <c r="BI109" s="79"/>
      <c r="BJ109" s="79">
        <v>552.49</v>
      </c>
      <c r="BK109" s="79">
        <v>351</v>
      </c>
      <c r="BL109" s="79">
        <v>351</v>
      </c>
      <c r="BM109" s="79">
        <v>351</v>
      </c>
      <c r="BN109" s="79">
        <v>351</v>
      </c>
      <c r="BO109" s="79">
        <v>351</v>
      </c>
      <c r="BP109" s="79">
        <v>351</v>
      </c>
      <c r="BQ109" s="79">
        <v>351</v>
      </c>
      <c r="BR109" s="79">
        <v>351</v>
      </c>
      <c r="BS109" s="79">
        <v>351</v>
      </c>
      <c r="BT109" s="79">
        <v>3711.49</v>
      </c>
    </row>
    <row r="110" spans="1:72" ht="15" hidden="1" customHeight="1">
      <c r="A110" s="66" t="s">
        <v>1950</v>
      </c>
      <c r="B110" s="66"/>
      <c r="C110" s="66" t="s">
        <v>488</v>
      </c>
      <c r="D110" s="66" t="s">
        <v>1951</v>
      </c>
      <c r="E110" s="150" t="s">
        <v>1136</v>
      </c>
      <c r="F110" s="482" t="s">
        <v>1566</v>
      </c>
      <c r="G110" s="150" t="s">
        <v>1135</v>
      </c>
      <c r="H110" s="150" t="s">
        <v>1165</v>
      </c>
      <c r="I110" s="150" t="s">
        <v>1135</v>
      </c>
      <c r="J110" s="150" t="s">
        <v>1165</v>
      </c>
      <c r="K110" s="150" t="s">
        <v>1137</v>
      </c>
      <c r="L110" s="511" t="s">
        <v>389</v>
      </c>
      <c r="M110" s="392" t="s">
        <v>1952</v>
      </c>
      <c r="N110" s="343"/>
      <c r="O110" s="343"/>
      <c r="P110" s="70" t="s">
        <v>489</v>
      </c>
      <c r="Q110" s="346" t="s">
        <v>1153</v>
      </c>
      <c r="R110" s="343"/>
      <c r="S110" s="346"/>
      <c r="T110" s="150" t="s">
        <v>490</v>
      </c>
      <c r="U110" s="150"/>
      <c r="V110" s="403"/>
      <c r="W110" s="406">
        <v>3999.9999999999995</v>
      </c>
      <c r="X110" s="406">
        <v>4632.7199999999993</v>
      </c>
      <c r="Y110" s="425"/>
      <c r="Z110" s="71"/>
      <c r="AA110" s="426">
        <v>571.28</v>
      </c>
      <c r="AB110" s="427">
        <v>587.64</v>
      </c>
      <c r="AC110" s="427">
        <v>473.79</v>
      </c>
      <c r="AD110" s="428">
        <v>590.85</v>
      </c>
      <c r="AE110" s="429">
        <v>588.03</v>
      </c>
      <c r="AF110" s="429">
        <v>718.07</v>
      </c>
      <c r="AG110" s="363">
        <v>333.33</v>
      </c>
      <c r="AH110" s="363">
        <v>333.33</v>
      </c>
      <c r="AI110" s="363">
        <v>333.33</v>
      </c>
      <c r="AJ110" s="363">
        <v>333.33</v>
      </c>
      <c r="AK110" s="363">
        <v>333.33</v>
      </c>
      <c r="AL110" s="363">
        <v>333.37</v>
      </c>
      <c r="AM110" s="360">
        <f t="shared" si="3"/>
        <v>5529.68</v>
      </c>
      <c r="AN110" s="362">
        <f>ERP_2[[#This Row],[2026 Working Total]]-ERP_2[[#This Row],[LE2 Final Submission]]</f>
        <v>896.96000000000095</v>
      </c>
      <c r="AO110" s="79">
        <v>333.33</v>
      </c>
      <c r="AP110" s="79">
        <f t="shared" si="4"/>
        <v>384.74000000000007</v>
      </c>
      <c r="AQ110" s="374">
        <f>SUM(ERP_2[[#This Row],[AP01]:[AP06]])-SUM(ERP_2[[#This Row],[AP01 LE2]:[AP06 LE2]])</f>
        <v>896.96000000000049</v>
      </c>
      <c r="AR110" s="80"/>
      <c r="AS110" s="79">
        <f>ERP_2[[#This Row],[2026 Working Total to Budget/LE]]-ERP_2[[#This Row],[Giveback]]</f>
        <v>896.96000000000095</v>
      </c>
      <c r="AT110" s="81"/>
      <c r="AU110" s="375">
        <v>571.28</v>
      </c>
      <c r="AV110" s="375">
        <v>587.64</v>
      </c>
      <c r="AW110" s="375">
        <v>473.79</v>
      </c>
      <c r="AX110" s="375">
        <v>333.33</v>
      </c>
      <c r="AY110" s="375">
        <v>333.33</v>
      </c>
      <c r="AZ110" s="375">
        <v>333.33</v>
      </c>
      <c r="BA110" s="375">
        <v>333.33</v>
      </c>
      <c r="BB110" s="375">
        <v>333.33</v>
      </c>
      <c r="BC110" s="375">
        <v>333.33</v>
      </c>
      <c r="BD110" s="375">
        <v>333.33</v>
      </c>
      <c r="BE110" s="375">
        <v>333.33</v>
      </c>
      <c r="BF110" s="375">
        <v>333.37</v>
      </c>
      <c r="BG110" s="375">
        <v>4632.7199999999993</v>
      </c>
      <c r="BH110" s="79">
        <v>571.28</v>
      </c>
      <c r="BI110" s="79">
        <v>587.64</v>
      </c>
      <c r="BJ110" s="79">
        <v>473.79</v>
      </c>
      <c r="BK110" s="79">
        <v>333.33</v>
      </c>
      <c r="BL110" s="79">
        <v>333.33</v>
      </c>
      <c r="BM110" s="79">
        <v>333.33</v>
      </c>
      <c r="BN110" s="79">
        <v>333.33</v>
      </c>
      <c r="BO110" s="79">
        <v>333.33</v>
      </c>
      <c r="BP110" s="79">
        <v>333.33</v>
      </c>
      <c r="BQ110" s="79">
        <v>333.33</v>
      </c>
      <c r="BR110" s="79">
        <v>333.33</v>
      </c>
      <c r="BS110" s="79">
        <v>333.37</v>
      </c>
      <c r="BT110" s="79">
        <v>4632.7199999999993</v>
      </c>
    </row>
    <row r="111" spans="1:72" ht="15" hidden="1" customHeight="1">
      <c r="A111" s="66" t="s">
        <v>2148</v>
      </c>
      <c r="B111" s="66"/>
      <c r="C111" s="66" t="s">
        <v>603</v>
      </c>
      <c r="D111" s="66" t="s">
        <v>603</v>
      </c>
      <c r="E111" s="150" t="s">
        <v>1136</v>
      </c>
      <c r="F111" s="482" t="s">
        <v>1566</v>
      </c>
      <c r="G111" s="150" t="s">
        <v>1135</v>
      </c>
      <c r="H111" s="150" t="s">
        <v>1135</v>
      </c>
      <c r="I111" s="150" t="s">
        <v>1135</v>
      </c>
      <c r="J111" s="150" t="s">
        <v>1135</v>
      </c>
      <c r="K111" s="150" t="s">
        <v>1137</v>
      </c>
      <c r="L111" s="511" t="s">
        <v>602</v>
      </c>
      <c r="M111" s="392" t="s">
        <v>2149</v>
      </c>
      <c r="N111" s="343"/>
      <c r="O111" s="343"/>
      <c r="P111" s="70" t="s">
        <v>604</v>
      </c>
      <c r="Q111" s="346"/>
      <c r="R111" s="343"/>
      <c r="S111" s="346"/>
      <c r="T111" s="150" t="s">
        <v>605</v>
      </c>
      <c r="U111" s="150"/>
      <c r="V111" s="404"/>
      <c r="W111" s="407">
        <v>0</v>
      </c>
      <c r="X111" s="407">
        <v>0</v>
      </c>
      <c r="Y111" s="425"/>
      <c r="Z111" s="71"/>
      <c r="AA111" s="426">
        <v>4356992.08</v>
      </c>
      <c r="AB111" s="427">
        <v>-4356992.08</v>
      </c>
      <c r="AC111" s="427"/>
      <c r="AD111" s="428" t="s">
        <v>1142</v>
      </c>
      <c r="AE111" s="429">
        <v>0</v>
      </c>
      <c r="AF111" s="429">
        <v>0</v>
      </c>
      <c r="AG111" s="363"/>
      <c r="AH111" s="363"/>
      <c r="AI111" s="363"/>
      <c r="AJ111" s="363"/>
      <c r="AK111" s="363"/>
      <c r="AL111" s="363"/>
      <c r="AM111" s="360">
        <f t="shared" si="3"/>
        <v>0</v>
      </c>
      <c r="AN111" s="362">
        <f>ERP_2[[#This Row],[2026 Working Total]]-ERP_2[[#This Row],[LE2 Final Submission]]</f>
        <v>0</v>
      </c>
      <c r="AO111" s="79"/>
      <c r="AP111" s="79">
        <f t="shared" si="4"/>
        <v>0</v>
      </c>
      <c r="AQ111" s="374">
        <f>SUM(ERP_2[[#This Row],[AP01]:[AP06]])-SUM(ERP_2[[#This Row],[AP01 LE2]:[AP06 LE2]])</f>
        <v>0</v>
      </c>
      <c r="AR111" s="80"/>
      <c r="AS111" s="79">
        <f>ERP_2[[#This Row],[2026 Working Total to Budget/LE]]-ERP_2[[#This Row],[Giveback]]</f>
        <v>0</v>
      </c>
      <c r="AT111" s="81"/>
      <c r="AU111" s="375">
        <v>4356992.08</v>
      </c>
      <c r="AV111" s="375">
        <v>-4356992.08</v>
      </c>
      <c r="AW111" s="375"/>
      <c r="AX111" s="375"/>
      <c r="AY111" s="375"/>
      <c r="AZ111" s="375"/>
      <c r="BA111" s="375"/>
      <c r="BB111" s="375"/>
      <c r="BC111" s="375"/>
      <c r="BD111" s="375"/>
      <c r="BE111" s="375"/>
      <c r="BF111" s="375"/>
      <c r="BG111" s="375">
        <v>0</v>
      </c>
      <c r="BH111" s="79">
        <v>4356992.08</v>
      </c>
      <c r="BI111" s="79">
        <v>-4356992.08</v>
      </c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>
        <v>0</v>
      </c>
    </row>
    <row r="112" spans="1:72" ht="15" hidden="1" customHeight="1">
      <c r="A112" s="66" t="s">
        <v>2151</v>
      </c>
      <c r="B112" s="66"/>
      <c r="C112" s="66" t="s">
        <v>606</v>
      </c>
      <c r="D112" s="66" t="s">
        <v>2152</v>
      </c>
      <c r="E112" s="150" t="s">
        <v>1136</v>
      </c>
      <c r="F112" s="482" t="s">
        <v>1566</v>
      </c>
      <c r="G112" s="150" t="s">
        <v>1135</v>
      </c>
      <c r="H112" s="150" t="s">
        <v>1145</v>
      </c>
      <c r="I112" s="150" t="s">
        <v>1135</v>
      </c>
      <c r="J112" s="150" t="s">
        <v>1145</v>
      </c>
      <c r="K112" s="150" t="s">
        <v>1137</v>
      </c>
      <c r="L112" s="511" t="s">
        <v>602</v>
      </c>
      <c r="M112" s="392" t="s">
        <v>2153</v>
      </c>
      <c r="N112" s="343"/>
      <c r="O112" s="150" t="s">
        <v>1186</v>
      </c>
      <c r="P112" s="70" t="s">
        <v>607</v>
      </c>
      <c r="Q112" s="346" t="s">
        <v>1153</v>
      </c>
      <c r="R112" s="346" t="s">
        <v>2154</v>
      </c>
      <c r="S112" s="346" t="s">
        <v>1710</v>
      </c>
      <c r="T112" s="150" t="s">
        <v>608</v>
      </c>
      <c r="U112" s="150"/>
      <c r="V112" s="404"/>
      <c r="W112" s="407">
        <v>0</v>
      </c>
      <c r="X112" s="407">
        <v>0</v>
      </c>
      <c r="Y112" s="425"/>
      <c r="Z112" s="71"/>
      <c r="AA112" s="426">
        <v>-11125</v>
      </c>
      <c r="AB112" s="427">
        <v>11125</v>
      </c>
      <c r="AC112" s="427"/>
      <c r="AD112" s="428" t="s">
        <v>1142</v>
      </c>
      <c r="AE112" s="429">
        <v>0</v>
      </c>
      <c r="AF112" s="429">
        <v>0</v>
      </c>
      <c r="AG112" s="363"/>
      <c r="AH112" s="363"/>
      <c r="AI112" s="363"/>
      <c r="AJ112" s="363"/>
      <c r="AK112" s="363"/>
      <c r="AL112" s="363"/>
      <c r="AM112" s="360">
        <f t="shared" si="3"/>
        <v>0</v>
      </c>
      <c r="AN112" s="362">
        <f>ERP_2[[#This Row],[2026 Working Total]]-ERP_2[[#This Row],[LE2 Final Submission]]</f>
        <v>0</v>
      </c>
      <c r="AO112" s="79"/>
      <c r="AP112" s="79">
        <f t="shared" si="4"/>
        <v>0</v>
      </c>
      <c r="AQ112" s="374">
        <f>SUM(ERP_2[[#This Row],[AP01]:[AP06]])-SUM(ERP_2[[#This Row],[AP01 LE2]:[AP06 LE2]])</f>
        <v>0</v>
      </c>
      <c r="AR112" s="80"/>
      <c r="AS112" s="79">
        <f>ERP_2[[#This Row],[2026 Working Total to Budget/LE]]-ERP_2[[#This Row],[Giveback]]</f>
        <v>0</v>
      </c>
      <c r="AT112" s="81"/>
      <c r="AU112" s="375">
        <v>-11125</v>
      </c>
      <c r="AV112" s="375">
        <v>11125</v>
      </c>
      <c r="AW112" s="375"/>
      <c r="AX112" s="375"/>
      <c r="AY112" s="375"/>
      <c r="AZ112" s="375"/>
      <c r="BA112" s="375"/>
      <c r="BB112" s="375"/>
      <c r="BC112" s="375"/>
      <c r="BD112" s="375"/>
      <c r="BE112" s="375"/>
      <c r="BF112" s="375"/>
      <c r="BG112" s="375">
        <v>0</v>
      </c>
      <c r="BH112" s="79">
        <v>-11125</v>
      </c>
      <c r="BI112" s="79">
        <v>11125</v>
      </c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>
        <v>0</v>
      </c>
    </row>
    <row r="113" spans="1:72" ht="15" hidden="1" customHeight="1">
      <c r="A113" s="79" t="s">
        <v>2203</v>
      </c>
      <c r="B113" s="79"/>
      <c r="C113" s="79" t="s">
        <v>640</v>
      </c>
      <c r="D113" s="296" t="s">
        <v>2204</v>
      </c>
      <c r="E113" s="150" t="s">
        <v>1136</v>
      </c>
      <c r="F113" s="482" t="s">
        <v>1566</v>
      </c>
      <c r="G113" s="150" t="s">
        <v>1135</v>
      </c>
      <c r="H113" s="150" t="s">
        <v>1135</v>
      </c>
      <c r="I113" s="150" t="s">
        <v>1135</v>
      </c>
      <c r="J113" s="332" t="s">
        <v>1135</v>
      </c>
      <c r="K113" s="331" t="s">
        <v>1346</v>
      </c>
      <c r="L113" s="514" t="s">
        <v>639</v>
      </c>
      <c r="M113" s="394" t="s">
        <v>2205</v>
      </c>
      <c r="N113" s="343" t="s">
        <v>2206</v>
      </c>
      <c r="O113" s="333"/>
      <c r="P113" s="90"/>
      <c r="Q113" s="347"/>
      <c r="R113" s="343"/>
      <c r="S113" s="348"/>
      <c r="T113" s="348"/>
      <c r="U113" s="348" t="s">
        <v>2207</v>
      </c>
      <c r="V113" s="402"/>
      <c r="W113" s="358"/>
      <c r="X113" s="379">
        <v>624226</v>
      </c>
      <c r="Y113" s="430"/>
      <c r="Z113" s="137"/>
      <c r="AA113" s="435"/>
      <c r="AB113" s="436"/>
      <c r="AC113" s="436"/>
      <c r="AD113" s="428" t="s">
        <v>1142</v>
      </c>
      <c r="AE113" s="429">
        <v>0</v>
      </c>
      <c r="AF113" s="429">
        <v>0</v>
      </c>
      <c r="AG113" s="364"/>
      <c r="AH113" s="364"/>
      <c r="AI113" s="364"/>
      <c r="AJ113" s="364"/>
      <c r="AK113" s="364"/>
      <c r="AL113" s="364">
        <v>624226</v>
      </c>
      <c r="AM113" s="360">
        <f t="shared" si="3"/>
        <v>624226</v>
      </c>
      <c r="AN113" s="362">
        <f>ERP_2[[#This Row],[2026 Working Total]]-ERP_2[[#This Row],[LE2 Final Submission]]</f>
        <v>0</v>
      </c>
      <c r="AO113" s="79"/>
      <c r="AP113" s="79">
        <f t="shared" si="4"/>
        <v>0</v>
      </c>
      <c r="AQ113" s="374">
        <f>SUM(ERP_2[[#This Row],[AP01]:[AP06]])-SUM(ERP_2[[#This Row],[AP01 LE2]:[AP06 LE2]])</f>
        <v>0</v>
      </c>
      <c r="AR113" s="80"/>
      <c r="AS113" s="79">
        <f>ERP_2[[#This Row],[2026 Working Total to Budget/LE]]-ERP_2[[#This Row],[Giveback]]</f>
        <v>0</v>
      </c>
      <c r="AT113" s="81"/>
      <c r="AU113" s="375"/>
      <c r="AV113" s="375"/>
      <c r="AW113" s="375"/>
      <c r="AX113" s="375"/>
      <c r="AY113" s="375"/>
      <c r="AZ113" s="375"/>
      <c r="BA113" s="375"/>
      <c r="BB113" s="375"/>
      <c r="BC113" s="375"/>
      <c r="BD113" s="375"/>
      <c r="BE113" s="375"/>
      <c r="BF113" s="375">
        <v>624226</v>
      </c>
      <c r="BG113" s="375">
        <v>624226</v>
      </c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</row>
    <row r="114" spans="1:72" ht="15" hidden="1" customHeight="1">
      <c r="A114" s="66" t="s">
        <v>2208</v>
      </c>
      <c r="B114" s="66"/>
      <c r="C114" s="66" t="s">
        <v>641</v>
      </c>
      <c r="D114" s="66" t="s">
        <v>641</v>
      </c>
      <c r="E114" s="150" t="s">
        <v>1136</v>
      </c>
      <c r="F114" s="482" t="s">
        <v>1566</v>
      </c>
      <c r="G114" s="150" t="s">
        <v>1135</v>
      </c>
      <c r="H114" s="150" t="s">
        <v>1135</v>
      </c>
      <c r="I114" s="150" t="s">
        <v>1135</v>
      </c>
      <c r="J114" s="150" t="s">
        <v>1135</v>
      </c>
      <c r="K114" s="150" t="s">
        <v>1137</v>
      </c>
      <c r="L114" s="511" t="s">
        <v>639</v>
      </c>
      <c r="M114" s="392" t="s">
        <v>2209</v>
      </c>
      <c r="N114" s="343"/>
      <c r="O114" s="343"/>
      <c r="P114" s="157" t="s">
        <v>642</v>
      </c>
      <c r="Q114" s="346"/>
      <c r="R114" s="343"/>
      <c r="S114" s="346"/>
      <c r="T114" s="150" t="s">
        <v>152</v>
      </c>
      <c r="U114" s="150"/>
      <c r="V114" s="403"/>
      <c r="W114" s="406">
        <v>103465.00000000001</v>
      </c>
      <c r="X114" s="406">
        <v>77598.720000000001</v>
      </c>
      <c r="Y114" s="425"/>
      <c r="Z114" s="71"/>
      <c r="AA114" s="426"/>
      <c r="AB114" s="427"/>
      <c r="AC114" s="427"/>
      <c r="AD114" s="428" t="s">
        <v>1142</v>
      </c>
      <c r="AE114" s="429">
        <v>0</v>
      </c>
      <c r="AF114" s="429">
        <v>0</v>
      </c>
      <c r="AG114" s="363">
        <v>17244</v>
      </c>
      <c r="AH114" s="363">
        <v>17244</v>
      </c>
      <c r="AI114" s="363">
        <v>17244</v>
      </c>
      <c r="AJ114" s="363">
        <v>17244</v>
      </c>
      <c r="AK114" s="363">
        <v>17244</v>
      </c>
      <c r="AL114" s="363">
        <v>17244</v>
      </c>
      <c r="AM114" s="360">
        <f t="shared" si="3"/>
        <v>103464</v>
      </c>
      <c r="AN114" s="362">
        <f>ERP_2[[#This Row],[2026 Working Total]]-ERP_2[[#This Row],[LE2 Final Submission]]</f>
        <v>25865.279999999999</v>
      </c>
      <c r="AO114" s="79"/>
      <c r="AP114" s="79">
        <f t="shared" si="4"/>
        <v>0</v>
      </c>
      <c r="AQ114" s="374">
        <f>SUM(ERP_2[[#This Row],[AP01]:[AP06]])-SUM(ERP_2[[#This Row],[AP01 LE2]:[AP06 LE2]])</f>
        <v>-25866.239999999998</v>
      </c>
      <c r="AR114" s="80"/>
      <c r="AS114" s="79">
        <f>ERP_2[[#This Row],[2026 Working Total to Budget/LE]]-ERP_2[[#This Row],[Giveback]]</f>
        <v>25865.279999999999</v>
      </c>
      <c r="AT114" s="81"/>
      <c r="AU114" s="375"/>
      <c r="AV114" s="375"/>
      <c r="AW114" s="375"/>
      <c r="AX114" s="375">
        <v>8622.08</v>
      </c>
      <c r="AY114" s="375">
        <v>8622.08</v>
      </c>
      <c r="AZ114" s="375">
        <v>8622.08</v>
      </c>
      <c r="BA114" s="375">
        <v>8622.08</v>
      </c>
      <c r="BB114" s="375">
        <v>8622.08</v>
      </c>
      <c r="BC114" s="375">
        <v>8622.08</v>
      </c>
      <c r="BD114" s="375">
        <v>8622.08</v>
      </c>
      <c r="BE114" s="375">
        <v>8622.08</v>
      </c>
      <c r="BF114" s="375">
        <v>8622.08</v>
      </c>
      <c r="BG114" s="375">
        <v>77598.720000000001</v>
      </c>
      <c r="BH114" s="79"/>
      <c r="BI114" s="79"/>
      <c r="BJ114" s="79"/>
      <c r="BK114" s="79">
        <v>8622.08</v>
      </c>
      <c r="BL114" s="79">
        <v>8622.08</v>
      </c>
      <c r="BM114" s="79">
        <v>8622.08</v>
      </c>
      <c r="BN114" s="79">
        <v>8622.08</v>
      </c>
      <c r="BO114" s="79">
        <v>8622.08</v>
      </c>
      <c r="BP114" s="79">
        <v>8622.08</v>
      </c>
      <c r="BQ114" s="79">
        <v>8622.08</v>
      </c>
      <c r="BR114" s="79">
        <v>8622.08</v>
      </c>
      <c r="BS114" s="79">
        <v>8622.08</v>
      </c>
      <c r="BT114" s="79">
        <v>77598.720000000001</v>
      </c>
    </row>
    <row r="115" spans="1:72" ht="15" hidden="1" customHeight="1">
      <c r="A115" s="66" t="s">
        <v>2210</v>
      </c>
      <c r="B115" s="66"/>
      <c r="C115" s="66" t="s">
        <v>643</v>
      </c>
      <c r="D115" s="66" t="s">
        <v>643</v>
      </c>
      <c r="E115" s="150" t="s">
        <v>1136</v>
      </c>
      <c r="F115" s="482" t="s">
        <v>1566</v>
      </c>
      <c r="G115" s="150" t="s">
        <v>1135</v>
      </c>
      <c r="H115" s="150" t="s">
        <v>1135</v>
      </c>
      <c r="I115" s="150" t="s">
        <v>1135</v>
      </c>
      <c r="J115" s="150" t="s">
        <v>1135</v>
      </c>
      <c r="K115" s="150" t="s">
        <v>1137</v>
      </c>
      <c r="L115" s="511" t="s">
        <v>639</v>
      </c>
      <c r="M115" s="392" t="s">
        <v>2211</v>
      </c>
      <c r="N115" s="343"/>
      <c r="O115" s="343"/>
      <c r="P115" s="157" t="s">
        <v>644</v>
      </c>
      <c r="Q115" s="346"/>
      <c r="R115" s="343"/>
      <c r="S115" s="346"/>
      <c r="T115" s="150" t="s">
        <v>152</v>
      </c>
      <c r="U115" s="150" t="s">
        <v>2212</v>
      </c>
      <c r="V115" s="403"/>
      <c r="W115" s="406">
        <v>204127.99999999994</v>
      </c>
      <c r="X115" s="406">
        <v>204128</v>
      </c>
      <c r="Y115" s="425"/>
      <c r="Z115" s="71"/>
      <c r="AA115" s="426"/>
      <c r="AB115" s="427"/>
      <c r="AC115" s="427"/>
      <c r="AD115" s="428" t="s">
        <v>1142</v>
      </c>
      <c r="AE115" s="429">
        <v>0</v>
      </c>
      <c r="AF115" s="429">
        <v>0</v>
      </c>
      <c r="AG115" s="363">
        <f>17010.67-17010.67</f>
        <v>0</v>
      </c>
      <c r="AH115" s="363">
        <f>17010.67-17010.67</f>
        <v>0</v>
      </c>
      <c r="AI115" s="363">
        <f>17010.67-17010.67</f>
        <v>0</v>
      </c>
      <c r="AJ115" s="363">
        <f>17010.67-17010.67+204128</f>
        <v>204128</v>
      </c>
      <c r="AK115" s="363">
        <f>17010.67-17010.67</f>
        <v>0</v>
      </c>
      <c r="AL115" s="363">
        <f>17010.67-17010.67</f>
        <v>0</v>
      </c>
      <c r="AM115" s="360">
        <f t="shared" si="3"/>
        <v>204128</v>
      </c>
      <c r="AN115" s="362">
        <f>ERP_2[[#This Row],[2026 Working Total]]-ERP_2[[#This Row],[LE2 Final Submission]]</f>
        <v>0</v>
      </c>
      <c r="AO115" s="79">
        <v>14200</v>
      </c>
      <c r="AP115" s="79">
        <f t="shared" si="4"/>
        <v>-14200</v>
      </c>
      <c r="AQ115" s="374">
        <f>SUM(ERP_2[[#This Row],[AP01]:[AP06]])-SUM(ERP_2[[#This Row],[AP01 LE2]:[AP06 LE2]])</f>
        <v>0</v>
      </c>
      <c r="AR115" s="80"/>
      <c r="AS115" s="79">
        <f>ERP_2[[#This Row],[2026 Working Total to Budget/LE]]-ERP_2[[#This Row],[Giveback]]</f>
        <v>0</v>
      </c>
      <c r="AT115" s="81"/>
      <c r="AU115" s="375"/>
      <c r="AV115" s="375"/>
      <c r="AW115" s="375"/>
      <c r="AX115" s="375">
        <v>0</v>
      </c>
      <c r="AY115" s="375">
        <v>0</v>
      </c>
      <c r="AZ115" s="375">
        <v>0</v>
      </c>
      <c r="BA115" s="375">
        <v>0</v>
      </c>
      <c r="BB115" s="375">
        <v>0</v>
      </c>
      <c r="BC115" s="375">
        <v>0</v>
      </c>
      <c r="BD115" s="375">
        <v>204128</v>
      </c>
      <c r="BE115" s="375">
        <v>0</v>
      </c>
      <c r="BF115" s="375">
        <v>0</v>
      </c>
      <c r="BG115" s="375">
        <v>204128</v>
      </c>
      <c r="BH115" s="79"/>
      <c r="BI115" s="79"/>
      <c r="BJ115" s="79"/>
      <c r="BK115" s="79">
        <v>17010.669999999998</v>
      </c>
      <c r="BL115" s="79">
        <v>17010.669999999998</v>
      </c>
      <c r="BM115" s="79">
        <v>17010.669999999998</v>
      </c>
      <c r="BN115" s="79">
        <v>17010.669999999998</v>
      </c>
      <c r="BO115" s="79">
        <v>17010.669999999998</v>
      </c>
      <c r="BP115" s="79">
        <v>17010.669999999998</v>
      </c>
      <c r="BQ115" s="79">
        <v>17010.669999999998</v>
      </c>
      <c r="BR115" s="79">
        <v>17010.669999999998</v>
      </c>
      <c r="BS115" s="79">
        <v>17010.669999999998</v>
      </c>
      <c r="BT115" s="79">
        <v>153096.02999999997</v>
      </c>
    </row>
    <row r="116" spans="1:72" ht="15" hidden="1" customHeight="1">
      <c r="A116" s="66" t="s">
        <v>2213</v>
      </c>
      <c r="B116" s="66"/>
      <c r="C116" s="66" t="s">
        <v>645</v>
      </c>
      <c r="D116" s="66" t="s">
        <v>645</v>
      </c>
      <c r="E116" s="150" t="s">
        <v>1136</v>
      </c>
      <c r="F116" s="482" t="s">
        <v>1566</v>
      </c>
      <c r="G116" s="150" t="s">
        <v>1135</v>
      </c>
      <c r="H116" s="150" t="s">
        <v>1135</v>
      </c>
      <c r="I116" s="150" t="s">
        <v>1135</v>
      </c>
      <c r="J116" s="150" t="s">
        <v>1135</v>
      </c>
      <c r="K116" s="150" t="s">
        <v>1137</v>
      </c>
      <c r="L116" s="511" t="s">
        <v>639</v>
      </c>
      <c r="M116" s="392" t="s">
        <v>2214</v>
      </c>
      <c r="N116" s="343"/>
      <c r="O116" s="343"/>
      <c r="P116" s="70" t="s">
        <v>646</v>
      </c>
      <c r="Q116" s="346"/>
      <c r="R116" s="343"/>
      <c r="S116" s="346"/>
      <c r="T116" s="150" t="s">
        <v>152</v>
      </c>
      <c r="U116" s="150"/>
      <c r="V116" s="403"/>
      <c r="W116" s="406">
        <v>0</v>
      </c>
      <c r="X116" s="406">
        <v>650000</v>
      </c>
      <c r="Y116" s="430"/>
      <c r="Z116" s="137"/>
      <c r="AA116" s="426"/>
      <c r="AB116" s="427"/>
      <c r="AC116" s="427"/>
      <c r="AD116" s="428" t="s">
        <v>1142</v>
      </c>
      <c r="AE116" s="429">
        <v>0</v>
      </c>
      <c r="AF116" s="429">
        <v>0</v>
      </c>
      <c r="AG116" s="360">
        <v>0</v>
      </c>
      <c r="AH116" s="360">
        <v>0</v>
      </c>
      <c r="AI116" s="360">
        <v>0</v>
      </c>
      <c r="AJ116" s="360">
        <v>650000</v>
      </c>
      <c r="AK116" s="360">
        <v>0</v>
      </c>
      <c r="AL116" s="360">
        <v>0</v>
      </c>
      <c r="AM116" s="360">
        <f t="shared" si="3"/>
        <v>650000</v>
      </c>
      <c r="AN116" s="362">
        <f>ERP_2[[#This Row],[2026 Working Total]]-ERP_2[[#This Row],[LE2 Final Submission]]</f>
        <v>0</v>
      </c>
      <c r="AO116" s="79"/>
      <c r="AP116" s="79">
        <f t="shared" si="4"/>
        <v>0</v>
      </c>
      <c r="AQ116" s="374">
        <f>SUM(ERP_2[[#This Row],[AP01]:[AP06]])-SUM(ERP_2[[#This Row],[AP01 LE2]:[AP06 LE2]])</f>
        <v>-650000</v>
      </c>
      <c r="AR116" s="80"/>
      <c r="AS116" s="79">
        <f>ERP_2[[#This Row],[2026 Working Total to Budget/LE]]-ERP_2[[#This Row],[Giveback]]</f>
        <v>0</v>
      </c>
      <c r="AT116" s="81" t="s">
        <v>2216</v>
      </c>
      <c r="AU116" s="375"/>
      <c r="AV116" s="375"/>
      <c r="AW116" s="375"/>
      <c r="AX116" s="375"/>
      <c r="AY116" s="375"/>
      <c r="AZ116" s="375">
        <v>650000</v>
      </c>
      <c r="BA116" s="375">
        <v>0</v>
      </c>
      <c r="BB116" s="375">
        <v>0</v>
      </c>
      <c r="BC116" s="375">
        <v>0</v>
      </c>
      <c r="BD116" s="375">
        <v>0</v>
      </c>
      <c r="BE116" s="375">
        <v>0</v>
      </c>
      <c r="BF116" s="375">
        <v>0</v>
      </c>
      <c r="BG116" s="375">
        <v>650000</v>
      </c>
      <c r="BH116" s="79"/>
      <c r="BI116" s="79"/>
      <c r="BJ116" s="79"/>
      <c r="BK116" s="79"/>
      <c r="BL116" s="79"/>
      <c r="BM116" s="79">
        <v>650000</v>
      </c>
      <c r="BN116" s="79">
        <v>0</v>
      </c>
      <c r="BO116" s="79">
        <v>0</v>
      </c>
      <c r="BP116" s="79">
        <v>0</v>
      </c>
      <c r="BQ116" s="79">
        <v>0</v>
      </c>
      <c r="BR116" s="79">
        <v>0</v>
      </c>
      <c r="BS116" s="79">
        <v>0</v>
      </c>
      <c r="BT116" s="79">
        <v>650000</v>
      </c>
    </row>
    <row r="117" spans="1:72" ht="15" hidden="1" customHeight="1">
      <c r="A117" s="66" t="s">
        <v>2217</v>
      </c>
      <c r="B117" s="66"/>
      <c r="C117" s="66" t="s">
        <v>647</v>
      </c>
      <c r="D117" s="66" t="s">
        <v>647</v>
      </c>
      <c r="E117" s="150" t="s">
        <v>1136</v>
      </c>
      <c r="F117" s="482" t="s">
        <v>1566</v>
      </c>
      <c r="G117" s="150" t="s">
        <v>1135</v>
      </c>
      <c r="H117" s="150" t="s">
        <v>1135</v>
      </c>
      <c r="I117" s="150" t="s">
        <v>1135</v>
      </c>
      <c r="J117" s="150" t="s">
        <v>1135</v>
      </c>
      <c r="K117" s="150" t="s">
        <v>1137</v>
      </c>
      <c r="L117" s="511" t="s">
        <v>639</v>
      </c>
      <c r="M117" s="392" t="s">
        <v>2218</v>
      </c>
      <c r="N117" s="343"/>
      <c r="O117" s="343"/>
      <c r="P117" s="70" t="s">
        <v>648</v>
      </c>
      <c r="Q117" s="346"/>
      <c r="R117" s="343"/>
      <c r="S117" s="346"/>
      <c r="T117" s="150" t="s">
        <v>152</v>
      </c>
      <c r="U117" s="150"/>
      <c r="V117" s="403"/>
      <c r="W117" s="406">
        <v>0</v>
      </c>
      <c r="X117" s="406">
        <v>300000</v>
      </c>
      <c r="Y117" s="425"/>
      <c r="Z117" s="71"/>
      <c r="AA117" s="426"/>
      <c r="AB117" s="427"/>
      <c r="AC117" s="427"/>
      <c r="AD117" s="428" t="s">
        <v>1142</v>
      </c>
      <c r="AE117" s="429">
        <v>0</v>
      </c>
      <c r="AF117" s="429">
        <v>0</v>
      </c>
      <c r="AG117" s="360">
        <v>0</v>
      </c>
      <c r="AH117" s="360">
        <v>0</v>
      </c>
      <c r="AI117" s="360">
        <v>0</v>
      </c>
      <c r="AJ117" s="360">
        <v>300000</v>
      </c>
      <c r="AK117" s="360">
        <v>0</v>
      </c>
      <c r="AL117" s="360">
        <v>0</v>
      </c>
      <c r="AM117" s="360">
        <f t="shared" si="3"/>
        <v>300000</v>
      </c>
      <c r="AN117" s="362">
        <f>ERP_2[[#This Row],[2026 Working Total]]-ERP_2[[#This Row],[LE2 Final Submission]]</f>
        <v>0</v>
      </c>
      <c r="AO117" s="79">
        <v>62000</v>
      </c>
      <c r="AP117" s="79">
        <f t="shared" si="4"/>
        <v>-62000</v>
      </c>
      <c r="AQ117" s="374">
        <f>SUM(ERP_2[[#This Row],[AP01]:[AP06]])-SUM(ERP_2[[#This Row],[AP01 LE2]:[AP06 LE2]])</f>
        <v>-300000</v>
      </c>
      <c r="AR117" s="80"/>
      <c r="AS117" s="79">
        <f>ERP_2[[#This Row],[2026 Working Total to Budget/LE]]-ERP_2[[#This Row],[Giveback]]</f>
        <v>0</v>
      </c>
      <c r="AT117" s="81" t="s">
        <v>2216</v>
      </c>
      <c r="AU117" s="375"/>
      <c r="AV117" s="375"/>
      <c r="AW117" s="375"/>
      <c r="AX117" s="375"/>
      <c r="AY117" s="375"/>
      <c r="AZ117" s="375">
        <v>300000</v>
      </c>
      <c r="BA117" s="375">
        <v>0</v>
      </c>
      <c r="BB117" s="375">
        <v>0</v>
      </c>
      <c r="BC117" s="375">
        <v>0</v>
      </c>
      <c r="BD117" s="375">
        <v>0</v>
      </c>
      <c r="BE117" s="375">
        <v>0</v>
      </c>
      <c r="BF117" s="375">
        <v>0</v>
      </c>
      <c r="BG117" s="375">
        <v>300000</v>
      </c>
      <c r="BH117" s="79"/>
      <c r="BI117" s="79"/>
      <c r="BJ117" s="79"/>
      <c r="BK117" s="79"/>
      <c r="BL117" s="79"/>
      <c r="BM117" s="79">
        <v>300000</v>
      </c>
      <c r="BN117" s="79">
        <v>0</v>
      </c>
      <c r="BO117" s="79">
        <v>0</v>
      </c>
      <c r="BP117" s="79">
        <v>0</v>
      </c>
      <c r="BQ117" s="79">
        <v>0</v>
      </c>
      <c r="BR117" s="79">
        <v>0</v>
      </c>
      <c r="BS117" s="79">
        <v>0</v>
      </c>
      <c r="BT117" s="79">
        <v>300000</v>
      </c>
    </row>
    <row r="118" spans="1:72" ht="15" hidden="1" customHeight="1">
      <c r="A118" s="66" t="s">
        <v>2220</v>
      </c>
      <c r="B118" s="66"/>
      <c r="C118" s="66" t="s">
        <v>649</v>
      </c>
      <c r="D118" s="66" t="s">
        <v>649</v>
      </c>
      <c r="E118" s="150" t="s">
        <v>1136</v>
      </c>
      <c r="F118" s="482" t="s">
        <v>1566</v>
      </c>
      <c r="G118" s="150" t="s">
        <v>1135</v>
      </c>
      <c r="H118" s="150" t="s">
        <v>1135</v>
      </c>
      <c r="I118" s="150" t="s">
        <v>1135</v>
      </c>
      <c r="J118" s="150" t="s">
        <v>1135</v>
      </c>
      <c r="K118" s="150" t="s">
        <v>1137</v>
      </c>
      <c r="L118" s="511" t="s">
        <v>639</v>
      </c>
      <c r="M118" s="392" t="s">
        <v>2221</v>
      </c>
      <c r="N118" s="343"/>
      <c r="O118" s="343"/>
      <c r="P118" s="70" t="s">
        <v>650</v>
      </c>
      <c r="Q118" s="346"/>
      <c r="R118" s="343"/>
      <c r="S118" s="346"/>
      <c r="T118" s="150" t="s">
        <v>152</v>
      </c>
      <c r="U118" s="150"/>
      <c r="V118" s="403"/>
      <c r="W118" s="406">
        <v>0</v>
      </c>
      <c r="X118" s="406">
        <v>2475</v>
      </c>
      <c r="Y118" s="425"/>
      <c r="Z118" s="71"/>
      <c r="AA118" s="426"/>
      <c r="AB118" s="427"/>
      <c r="AC118" s="427"/>
      <c r="AD118" s="428" t="s">
        <v>1142</v>
      </c>
      <c r="AE118" s="429">
        <v>0</v>
      </c>
      <c r="AF118" s="429">
        <v>0</v>
      </c>
      <c r="AG118" s="363">
        <v>413</v>
      </c>
      <c r="AH118" s="363">
        <v>413</v>
      </c>
      <c r="AI118" s="363">
        <v>413</v>
      </c>
      <c r="AJ118" s="363">
        <v>412</v>
      </c>
      <c r="AK118" s="363">
        <v>412</v>
      </c>
      <c r="AL118" s="363">
        <v>412</v>
      </c>
      <c r="AM118" s="360">
        <f t="shared" si="3"/>
        <v>2475</v>
      </c>
      <c r="AN118" s="362">
        <f>ERP_2[[#This Row],[2026 Working Total]]-ERP_2[[#This Row],[LE2 Final Submission]]</f>
        <v>0</v>
      </c>
      <c r="AO118" s="79">
        <v>883.33333300000004</v>
      </c>
      <c r="AP118" s="79">
        <f t="shared" si="4"/>
        <v>-883.33333300000004</v>
      </c>
      <c r="AQ118" s="374">
        <f>SUM(ERP_2[[#This Row],[AP01]:[AP06]])-SUM(ERP_2[[#This Row],[AP01 LE2]:[AP06 LE2]])</f>
        <v>-825</v>
      </c>
      <c r="AR118" s="80"/>
      <c r="AS118" s="79">
        <f>ERP_2[[#This Row],[2026 Working Total to Budget/LE]]-ERP_2[[#This Row],[Giveback]]</f>
        <v>0</v>
      </c>
      <c r="AT118" s="81"/>
      <c r="AU118" s="375"/>
      <c r="AV118" s="375"/>
      <c r="AW118" s="375"/>
      <c r="AX118" s="375">
        <v>275</v>
      </c>
      <c r="AY118" s="375">
        <v>275</v>
      </c>
      <c r="AZ118" s="375">
        <v>275</v>
      </c>
      <c r="BA118" s="375">
        <v>275</v>
      </c>
      <c r="BB118" s="375">
        <v>275</v>
      </c>
      <c r="BC118" s="375">
        <v>275</v>
      </c>
      <c r="BD118" s="375">
        <v>275</v>
      </c>
      <c r="BE118" s="375">
        <v>275</v>
      </c>
      <c r="BF118" s="375">
        <v>275</v>
      </c>
      <c r="BG118" s="375">
        <v>2475</v>
      </c>
      <c r="BH118" s="79"/>
      <c r="BI118" s="79"/>
      <c r="BJ118" s="79"/>
      <c r="BK118" s="79">
        <v>275</v>
      </c>
      <c r="BL118" s="79">
        <v>275</v>
      </c>
      <c r="BM118" s="79">
        <v>275</v>
      </c>
      <c r="BN118" s="79">
        <v>275</v>
      </c>
      <c r="BO118" s="79">
        <v>275</v>
      </c>
      <c r="BP118" s="79">
        <v>275</v>
      </c>
      <c r="BQ118" s="79">
        <v>275</v>
      </c>
      <c r="BR118" s="79">
        <v>275</v>
      </c>
      <c r="BS118" s="79">
        <v>275</v>
      </c>
      <c r="BT118" s="79">
        <v>2475</v>
      </c>
    </row>
    <row r="119" spans="1:72" ht="15" hidden="1" customHeight="1">
      <c r="A119" s="66" t="s">
        <v>2222</v>
      </c>
      <c r="B119" s="66"/>
      <c r="C119" s="66" t="s">
        <v>651</v>
      </c>
      <c r="D119" s="66" t="s">
        <v>2223</v>
      </c>
      <c r="E119" s="150" t="s">
        <v>1136</v>
      </c>
      <c r="F119" s="482" t="s">
        <v>1566</v>
      </c>
      <c r="G119" s="150" t="s">
        <v>1135</v>
      </c>
      <c r="H119" s="150" t="s">
        <v>1165</v>
      </c>
      <c r="I119" s="150" t="s">
        <v>1135</v>
      </c>
      <c r="J119" s="150" t="s">
        <v>1165</v>
      </c>
      <c r="K119" s="150" t="s">
        <v>1137</v>
      </c>
      <c r="L119" s="511" t="s">
        <v>639</v>
      </c>
      <c r="M119" s="392" t="s">
        <v>2224</v>
      </c>
      <c r="N119" s="343"/>
      <c r="O119" s="343"/>
      <c r="P119" s="70" t="s">
        <v>652</v>
      </c>
      <c r="Q119" s="346"/>
      <c r="R119" s="343"/>
      <c r="S119" s="346"/>
      <c r="T119" s="150" t="s">
        <v>152</v>
      </c>
      <c r="U119" s="150"/>
      <c r="V119" s="403"/>
      <c r="W119" s="406">
        <v>0</v>
      </c>
      <c r="X119" s="406">
        <v>-118715.37</v>
      </c>
      <c r="Y119" s="425"/>
      <c r="Z119" s="71"/>
      <c r="AA119" s="426"/>
      <c r="AB119" s="427">
        <v>-118715.37</v>
      </c>
      <c r="AC119" s="431">
        <v>0</v>
      </c>
      <c r="AD119" s="428">
        <v>0</v>
      </c>
      <c r="AE119" s="429">
        <v>0</v>
      </c>
      <c r="AF119" s="429">
        <v>0</v>
      </c>
      <c r="AG119" s="360">
        <v>0</v>
      </c>
      <c r="AH119" s="360"/>
      <c r="AI119" s="360">
        <v>0</v>
      </c>
      <c r="AJ119" s="360">
        <v>0</v>
      </c>
      <c r="AK119" s="360">
        <v>0</v>
      </c>
      <c r="AL119" s="360">
        <v>0</v>
      </c>
      <c r="AM119" s="360">
        <f t="shared" si="3"/>
        <v>-118715.37</v>
      </c>
      <c r="AN119" s="362">
        <f>ERP_2[[#This Row],[2026 Working Total]]-ERP_2[[#This Row],[LE2 Final Submission]]</f>
        <v>0</v>
      </c>
      <c r="AO119" s="79">
        <v>10296</v>
      </c>
      <c r="AP119" s="79">
        <f t="shared" si="4"/>
        <v>-10296</v>
      </c>
      <c r="AQ119" s="374">
        <f>SUM(ERP_2[[#This Row],[AP01]:[AP06]])-SUM(ERP_2[[#This Row],[AP01 LE2]:[AP06 LE2]])</f>
        <v>0</v>
      </c>
      <c r="AR119" s="80"/>
      <c r="AS119" s="79">
        <f>ERP_2[[#This Row],[2026 Working Total to Budget/LE]]-ERP_2[[#This Row],[Giveback]]</f>
        <v>0</v>
      </c>
      <c r="AT119" s="81"/>
      <c r="AU119" s="375"/>
      <c r="AV119" s="375">
        <v>-118715.37</v>
      </c>
      <c r="AW119" s="375">
        <v>0</v>
      </c>
      <c r="AX119" s="375">
        <v>0</v>
      </c>
      <c r="AY119" s="375">
        <v>0</v>
      </c>
      <c r="AZ119" s="375">
        <v>0</v>
      </c>
      <c r="BA119" s="375">
        <v>0</v>
      </c>
      <c r="BB119" s="375"/>
      <c r="BC119" s="375">
        <v>0</v>
      </c>
      <c r="BD119" s="375">
        <v>0</v>
      </c>
      <c r="BE119" s="375">
        <v>0</v>
      </c>
      <c r="BF119" s="375">
        <v>0</v>
      </c>
      <c r="BG119" s="375">
        <v>-118715.37</v>
      </c>
      <c r="BH119" s="79"/>
      <c r="BI119" s="79">
        <v>-118715.37</v>
      </c>
      <c r="BJ119" s="79">
        <v>0</v>
      </c>
      <c r="BK119" s="79">
        <v>0</v>
      </c>
      <c r="BL119" s="79">
        <v>0</v>
      </c>
      <c r="BM119" s="79">
        <v>0</v>
      </c>
      <c r="BN119" s="79">
        <v>0</v>
      </c>
      <c r="BO119" s="79">
        <v>0</v>
      </c>
      <c r="BP119" s="79">
        <v>0</v>
      </c>
      <c r="BQ119" s="79">
        <v>0</v>
      </c>
      <c r="BR119" s="79">
        <v>0</v>
      </c>
      <c r="BS119" s="79">
        <v>0</v>
      </c>
      <c r="BT119" s="79">
        <v>-118715.37</v>
      </c>
    </row>
    <row r="120" spans="1:72" ht="15" hidden="1" customHeight="1">
      <c r="A120" s="79" t="s">
        <v>2225</v>
      </c>
      <c r="B120" s="79"/>
      <c r="C120" s="79" t="s">
        <v>653</v>
      </c>
      <c r="D120" s="296" t="s">
        <v>2226</v>
      </c>
      <c r="E120" s="150" t="s">
        <v>1136</v>
      </c>
      <c r="F120" s="482" t="s">
        <v>1566</v>
      </c>
      <c r="G120" s="150" t="s">
        <v>1135</v>
      </c>
      <c r="H120" s="383" t="s">
        <v>1156</v>
      </c>
      <c r="I120" s="332" t="s">
        <v>1135</v>
      </c>
      <c r="J120" s="383" t="s">
        <v>1156</v>
      </c>
      <c r="K120" s="333" t="s">
        <v>1137</v>
      </c>
      <c r="L120" s="512" t="s">
        <v>639</v>
      </c>
      <c r="M120" s="393" t="s">
        <v>2227</v>
      </c>
      <c r="N120" s="343"/>
      <c r="O120" s="333"/>
      <c r="P120" s="91" t="s">
        <v>654</v>
      </c>
      <c r="Q120" s="347"/>
      <c r="R120" s="343"/>
      <c r="S120" s="348"/>
      <c r="T120" s="386" t="s">
        <v>655</v>
      </c>
      <c r="U120" s="387" t="s">
        <v>2228</v>
      </c>
      <c r="V120" s="432"/>
      <c r="W120" s="358">
        <v>282999.99999599991</v>
      </c>
      <c r="X120" s="378">
        <v>0</v>
      </c>
      <c r="Y120" s="425"/>
      <c r="Z120" s="71"/>
      <c r="AA120" s="433"/>
      <c r="AB120" s="434"/>
      <c r="AC120" s="434"/>
      <c r="AD120" s="428" t="s">
        <v>1142</v>
      </c>
      <c r="AE120" s="429">
        <v>0</v>
      </c>
      <c r="AF120" s="429">
        <v>0</v>
      </c>
      <c r="AG120" s="388">
        <v>0</v>
      </c>
      <c r="AH120" s="388">
        <v>0</v>
      </c>
      <c r="AI120" s="388">
        <v>0</v>
      </c>
      <c r="AJ120" s="388">
        <v>0</v>
      </c>
      <c r="AK120" s="388">
        <v>0</v>
      </c>
      <c r="AL120" s="388">
        <v>0</v>
      </c>
      <c r="AM120" s="360">
        <f t="shared" si="3"/>
        <v>0</v>
      </c>
      <c r="AN120" s="362">
        <f>ERP_2[[#This Row],[2026 Working Total]]-ERP_2[[#This Row],[LE2 Final Submission]]</f>
        <v>0</v>
      </c>
      <c r="AO120" s="79"/>
      <c r="AP120" s="79">
        <f t="shared" si="4"/>
        <v>0</v>
      </c>
      <c r="AQ120" s="374">
        <f>SUM(ERP_2[[#This Row],[AP01]:[AP06]])-SUM(ERP_2[[#This Row],[AP01 LE2]:[AP06 LE2]])</f>
        <v>0</v>
      </c>
      <c r="AR120" s="80">
        <v>-283000</v>
      </c>
      <c r="AS120" s="79">
        <f>ERP_2[[#This Row],[2026 Working Total to Budget/LE]]-ERP_2[[#This Row],[Giveback]]</f>
        <v>283000</v>
      </c>
      <c r="AT120" s="128" t="s">
        <v>2229</v>
      </c>
      <c r="AU120" s="376"/>
      <c r="AV120" s="376"/>
      <c r="AW120" s="376"/>
      <c r="AX120" s="376">
        <v>0</v>
      </c>
      <c r="AY120" s="376">
        <v>0</v>
      </c>
      <c r="AZ120" s="376">
        <v>0</v>
      </c>
      <c r="BA120" s="376">
        <v>0</v>
      </c>
      <c r="BB120" s="376">
        <v>0</v>
      </c>
      <c r="BC120" s="376">
        <v>0</v>
      </c>
      <c r="BD120" s="376">
        <v>0</v>
      </c>
      <c r="BE120" s="376">
        <v>0</v>
      </c>
      <c r="BF120" s="376">
        <v>0</v>
      </c>
      <c r="BG120" s="376">
        <v>0</v>
      </c>
      <c r="BH120" s="103">
        <v>23583.333332999999</v>
      </c>
      <c r="BI120" s="103">
        <v>23583.333332999999</v>
      </c>
      <c r="BJ120" s="103">
        <v>23583.333332999999</v>
      </c>
      <c r="BK120" s="103">
        <v>23583.333332999999</v>
      </c>
      <c r="BL120" s="103">
        <v>23583.333332999999</v>
      </c>
      <c r="BM120" s="103">
        <v>23583.333332999999</v>
      </c>
      <c r="BN120" s="103">
        <v>23583.333332999999</v>
      </c>
      <c r="BO120" s="103">
        <v>23583.333332999999</v>
      </c>
      <c r="BP120" s="103">
        <v>23583.333332999999</v>
      </c>
      <c r="BQ120" s="103">
        <v>23583.333332999999</v>
      </c>
      <c r="BR120" s="103">
        <v>23583.333332999999</v>
      </c>
      <c r="BS120" s="103">
        <v>23583.333332999999</v>
      </c>
      <c r="BT120" s="79">
        <f>SUM(ERP_2[[#This Row],[2026 AP01]:[2026 AP12]])</f>
        <v>282999.99999599991</v>
      </c>
    </row>
    <row r="121" spans="1:72" ht="15" hidden="1" customHeight="1">
      <c r="A121" s="150" t="s">
        <v>2230</v>
      </c>
      <c r="B121" s="150"/>
      <c r="C121" s="536" t="s">
        <v>656</v>
      </c>
      <c r="D121" s="296" t="s">
        <v>2231</v>
      </c>
      <c r="E121" s="150" t="s">
        <v>1136</v>
      </c>
      <c r="F121" s="482" t="s">
        <v>1566</v>
      </c>
      <c r="G121" s="150" t="s">
        <v>1135</v>
      </c>
      <c r="H121" s="150" t="s">
        <v>1135</v>
      </c>
      <c r="I121" s="150" t="s">
        <v>1135</v>
      </c>
      <c r="J121" s="150" t="s">
        <v>1137</v>
      </c>
      <c r="K121" s="150" t="s">
        <v>1137</v>
      </c>
      <c r="L121" s="514" t="s">
        <v>639</v>
      </c>
      <c r="M121" s="394" t="s">
        <v>2232</v>
      </c>
      <c r="N121" s="333"/>
      <c r="O121" s="332" t="s">
        <v>1695</v>
      </c>
      <c r="P121" s="90" t="s">
        <v>657</v>
      </c>
      <c r="Q121" s="347"/>
      <c r="R121" s="347"/>
      <c r="S121" s="348"/>
      <c r="T121" s="348"/>
      <c r="U121" s="1" t="s">
        <v>1141</v>
      </c>
      <c r="V121" s="402"/>
      <c r="W121" s="406"/>
      <c r="X121" s="406"/>
      <c r="Y121" s="425"/>
      <c r="Z121" s="71"/>
      <c r="AA121" s="435"/>
      <c r="AB121" s="436"/>
      <c r="AC121" s="436"/>
      <c r="AD121" s="429">
        <v>-4832.8900000000003</v>
      </c>
      <c r="AE121" s="429">
        <v>0</v>
      </c>
      <c r="AF121" s="429">
        <v>0</v>
      </c>
      <c r="AG121" s="364"/>
      <c r="AH121" s="364"/>
      <c r="AI121" s="364"/>
      <c r="AJ121" s="364"/>
      <c r="AK121" s="364"/>
      <c r="AL121" s="364"/>
      <c r="AM121" s="360">
        <f t="shared" si="3"/>
        <v>-4832.8900000000003</v>
      </c>
      <c r="AN121" s="362">
        <f>ERP_2[[#This Row],[2026 Working Total]]-ERP_2[[#This Row],[LE2 Final Submission]]</f>
        <v>-4832.8900000000003</v>
      </c>
      <c r="AO121" s="79">
        <v>28215</v>
      </c>
      <c r="AP121" s="79">
        <f t="shared" si="4"/>
        <v>-28215</v>
      </c>
      <c r="AQ121" s="374">
        <f>SUM(ERP_2[[#This Row],[AP01]:[AP06]])-SUM(ERP_2[[#This Row],[AP01 LE2]:[AP06 LE2]])</f>
        <v>-4832.8900000000003</v>
      </c>
      <c r="AR121" s="80"/>
      <c r="AS121" s="79">
        <f>ERP_2[[#This Row],[2026 Working Total to Budget/LE]]-ERP_2[[#This Row],[Giveback]]</f>
        <v>-4832.8900000000003</v>
      </c>
      <c r="AT121" s="81"/>
      <c r="AU121" s="375"/>
      <c r="AV121" s="375"/>
      <c r="AW121" s="375"/>
      <c r="AX121" s="375"/>
      <c r="AY121" s="375"/>
      <c r="AZ121" s="375"/>
      <c r="BA121" s="375"/>
      <c r="BB121" s="375"/>
      <c r="BC121" s="375"/>
      <c r="BD121" s="375"/>
      <c r="BE121" s="375"/>
      <c r="BF121" s="375"/>
      <c r="BG121" s="375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</row>
    <row r="122" spans="1:72" ht="15" hidden="1" customHeight="1">
      <c r="A122" s="150" t="s">
        <v>2233</v>
      </c>
      <c r="B122" s="150"/>
      <c r="C122" s="536" t="s">
        <v>658</v>
      </c>
      <c r="D122" s="296" t="s">
        <v>2234</v>
      </c>
      <c r="E122" s="150" t="s">
        <v>1136</v>
      </c>
      <c r="F122" s="482" t="s">
        <v>1566</v>
      </c>
      <c r="G122" s="150" t="s">
        <v>1135</v>
      </c>
      <c r="H122" s="150" t="s">
        <v>1135</v>
      </c>
      <c r="I122" s="150" t="s">
        <v>1135</v>
      </c>
      <c r="J122" s="150" t="s">
        <v>1137</v>
      </c>
      <c r="K122" s="150" t="s">
        <v>1137</v>
      </c>
      <c r="L122" s="514" t="s">
        <v>639</v>
      </c>
      <c r="M122" s="394" t="s">
        <v>2235</v>
      </c>
      <c r="N122" s="333"/>
      <c r="O122" s="332" t="s">
        <v>1695</v>
      </c>
      <c r="P122" s="90" t="s">
        <v>659</v>
      </c>
      <c r="Q122" s="347"/>
      <c r="R122" s="347"/>
      <c r="S122" s="348"/>
      <c r="T122" s="348"/>
      <c r="U122" s="1" t="s">
        <v>1141</v>
      </c>
      <c r="V122" s="402"/>
      <c r="W122" s="406"/>
      <c r="X122" s="406"/>
      <c r="Y122" s="425"/>
      <c r="Z122" s="71"/>
      <c r="AA122" s="435"/>
      <c r="AB122" s="436"/>
      <c r="AC122" s="436"/>
      <c r="AD122" s="429">
        <v>-38080.83</v>
      </c>
      <c r="AE122" s="429">
        <v>0</v>
      </c>
      <c r="AF122" s="429">
        <v>0</v>
      </c>
      <c r="AG122" s="364"/>
      <c r="AH122" s="364"/>
      <c r="AI122" s="364"/>
      <c r="AJ122" s="364"/>
      <c r="AK122" s="364"/>
      <c r="AL122" s="364"/>
      <c r="AM122" s="360">
        <f t="shared" si="3"/>
        <v>-38080.83</v>
      </c>
      <c r="AN122" s="362">
        <f>ERP_2[[#This Row],[2026 Working Total]]-ERP_2[[#This Row],[LE2 Final Submission]]</f>
        <v>-38080.83</v>
      </c>
      <c r="AO122" s="79"/>
      <c r="AP122" s="79">
        <f t="shared" si="4"/>
        <v>0</v>
      </c>
      <c r="AQ122" s="374">
        <f>SUM(ERP_2[[#This Row],[AP01]:[AP06]])-SUM(ERP_2[[#This Row],[AP01 LE2]:[AP06 LE2]])</f>
        <v>-38080.83</v>
      </c>
      <c r="AR122" s="80"/>
      <c r="AS122" s="79">
        <f>ERP_2[[#This Row],[2026 Working Total to Budget/LE]]-ERP_2[[#This Row],[Giveback]]</f>
        <v>-38080.83</v>
      </c>
      <c r="AT122" s="81"/>
      <c r="AU122" s="375"/>
      <c r="AV122" s="375"/>
      <c r="AW122" s="375"/>
      <c r="AX122" s="375"/>
      <c r="AY122" s="375"/>
      <c r="AZ122" s="375"/>
      <c r="BA122" s="375"/>
      <c r="BB122" s="375"/>
      <c r="BC122" s="375"/>
      <c r="BD122" s="375"/>
      <c r="BE122" s="375"/>
      <c r="BF122" s="375"/>
      <c r="BG122" s="375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</row>
    <row r="123" spans="1:72" ht="15" hidden="1" customHeight="1">
      <c r="A123" s="66" t="s">
        <v>2236</v>
      </c>
      <c r="B123" s="66"/>
      <c r="C123" s="66" t="s">
        <v>660</v>
      </c>
      <c r="D123" s="66" t="s">
        <v>2237</v>
      </c>
      <c r="E123" s="150" t="s">
        <v>1136</v>
      </c>
      <c r="F123" s="482" t="s">
        <v>1566</v>
      </c>
      <c r="G123" s="150" t="s">
        <v>1135</v>
      </c>
      <c r="H123" s="150" t="s">
        <v>1135</v>
      </c>
      <c r="I123" s="150" t="s">
        <v>1135</v>
      </c>
      <c r="J123" s="150" t="s">
        <v>1137</v>
      </c>
      <c r="K123" s="150" t="s">
        <v>1137</v>
      </c>
      <c r="L123" s="511" t="s">
        <v>639</v>
      </c>
      <c r="M123" s="392" t="s">
        <v>1685</v>
      </c>
      <c r="N123" s="343"/>
      <c r="O123" s="343"/>
      <c r="P123" s="70" t="s">
        <v>661</v>
      </c>
      <c r="Q123" s="346" t="s">
        <v>1139</v>
      </c>
      <c r="R123" s="346" t="s">
        <v>1140</v>
      </c>
      <c r="S123" s="346"/>
      <c r="T123" s="150" t="s">
        <v>25</v>
      </c>
      <c r="U123" s="150"/>
      <c r="V123" s="404"/>
      <c r="W123" s="407">
        <v>0</v>
      </c>
      <c r="X123" s="407">
        <v>0</v>
      </c>
      <c r="Y123" s="425"/>
      <c r="Z123" s="71"/>
      <c r="AA123" s="426">
        <v>-18074.080000000002</v>
      </c>
      <c r="AB123" s="427">
        <v>18074.080000000002</v>
      </c>
      <c r="AC123" s="431">
        <v>0</v>
      </c>
      <c r="AD123" s="428" t="s">
        <v>1142</v>
      </c>
      <c r="AE123" s="429">
        <v>0</v>
      </c>
      <c r="AF123" s="429">
        <v>0</v>
      </c>
      <c r="AG123" s="360">
        <v>0</v>
      </c>
      <c r="AH123" s="360">
        <v>0</v>
      </c>
      <c r="AI123" s="360">
        <v>0</v>
      </c>
      <c r="AJ123" s="360">
        <v>0</v>
      </c>
      <c r="AK123" s="360">
        <v>0</v>
      </c>
      <c r="AL123" s="360">
        <v>0</v>
      </c>
      <c r="AM123" s="360">
        <f t="shared" si="3"/>
        <v>0</v>
      </c>
      <c r="AN123" s="362">
        <f>ERP_2[[#This Row],[2026 Working Total]]-ERP_2[[#This Row],[LE2 Final Submission]]</f>
        <v>0</v>
      </c>
      <c r="AO123" s="79">
        <v>0</v>
      </c>
      <c r="AP123" s="79">
        <f t="shared" si="4"/>
        <v>0</v>
      </c>
      <c r="AQ123" s="374">
        <f>SUM(ERP_2[[#This Row],[AP01]:[AP06]])-SUM(ERP_2[[#This Row],[AP01 LE2]:[AP06 LE2]])</f>
        <v>0</v>
      </c>
      <c r="AR123" s="80"/>
      <c r="AS123" s="79">
        <f>ERP_2[[#This Row],[2026 Working Total to Budget/LE]]-ERP_2[[#This Row],[Giveback]]</f>
        <v>0</v>
      </c>
      <c r="AT123" s="81"/>
      <c r="AU123" s="375">
        <v>-18074.080000000002</v>
      </c>
      <c r="AV123" s="375">
        <v>18074.080000000002</v>
      </c>
      <c r="AW123" s="375">
        <v>0</v>
      </c>
      <c r="AX123" s="375">
        <v>0</v>
      </c>
      <c r="AY123" s="375">
        <v>0</v>
      </c>
      <c r="AZ123" s="375">
        <v>0</v>
      </c>
      <c r="BA123" s="375">
        <v>0</v>
      </c>
      <c r="BB123" s="375">
        <v>0</v>
      </c>
      <c r="BC123" s="375">
        <v>0</v>
      </c>
      <c r="BD123" s="375">
        <v>0</v>
      </c>
      <c r="BE123" s="375">
        <v>0</v>
      </c>
      <c r="BF123" s="375">
        <v>0</v>
      </c>
      <c r="BG123" s="375">
        <v>0</v>
      </c>
      <c r="BH123" s="79">
        <v>-18074.080000000002</v>
      </c>
      <c r="BI123" s="79">
        <v>18074.080000000002</v>
      </c>
      <c r="BJ123" s="79">
        <v>0</v>
      </c>
      <c r="BK123" s="79">
        <v>0</v>
      </c>
      <c r="BL123" s="79">
        <v>0</v>
      </c>
      <c r="BM123" s="79">
        <v>0</v>
      </c>
      <c r="BN123" s="79">
        <v>0</v>
      </c>
      <c r="BO123" s="79">
        <v>0</v>
      </c>
      <c r="BP123" s="79">
        <v>0</v>
      </c>
      <c r="BQ123" s="79">
        <v>0</v>
      </c>
      <c r="BR123" s="79">
        <v>0</v>
      </c>
      <c r="BS123" s="79">
        <v>0</v>
      </c>
      <c r="BT123" s="79">
        <v>0</v>
      </c>
    </row>
    <row r="124" spans="1:72" ht="15" hidden="1" customHeight="1">
      <c r="A124" s="66" t="s">
        <v>2238</v>
      </c>
      <c r="B124" s="66"/>
      <c r="C124" s="66" t="s">
        <v>662</v>
      </c>
      <c r="D124" s="66" t="s">
        <v>2239</v>
      </c>
      <c r="E124" s="150" t="s">
        <v>1136</v>
      </c>
      <c r="F124" s="482" t="s">
        <v>1566</v>
      </c>
      <c r="G124" s="150" t="s">
        <v>1135</v>
      </c>
      <c r="H124" s="150" t="s">
        <v>1135</v>
      </c>
      <c r="I124" s="150" t="s">
        <v>1135</v>
      </c>
      <c r="J124" s="150" t="s">
        <v>1137</v>
      </c>
      <c r="K124" s="150" t="s">
        <v>1137</v>
      </c>
      <c r="L124" s="511" t="s">
        <v>639</v>
      </c>
      <c r="M124" s="392" t="s">
        <v>1685</v>
      </c>
      <c r="N124" s="343"/>
      <c r="O124" s="343"/>
      <c r="P124" s="70" t="s">
        <v>663</v>
      </c>
      <c r="Q124" s="346" t="s">
        <v>1139</v>
      </c>
      <c r="R124" s="346" t="s">
        <v>1140</v>
      </c>
      <c r="S124" s="346"/>
      <c r="T124" s="150" t="s">
        <v>25</v>
      </c>
      <c r="U124" s="150"/>
      <c r="V124" s="404"/>
      <c r="W124" s="407">
        <v>0</v>
      </c>
      <c r="X124" s="407">
        <v>0</v>
      </c>
      <c r="Y124" s="425"/>
      <c r="Z124" s="71"/>
      <c r="AA124" s="426">
        <v>-1922.23</v>
      </c>
      <c r="AB124" s="427">
        <v>1922.23</v>
      </c>
      <c r="AC124" s="431">
        <v>0</v>
      </c>
      <c r="AD124" s="428" t="s">
        <v>1142</v>
      </c>
      <c r="AE124" s="429">
        <v>0</v>
      </c>
      <c r="AF124" s="429">
        <v>0</v>
      </c>
      <c r="AG124" s="360">
        <v>0</v>
      </c>
      <c r="AH124" s="360">
        <v>0</v>
      </c>
      <c r="AI124" s="360">
        <v>0</v>
      </c>
      <c r="AJ124" s="360">
        <v>0</v>
      </c>
      <c r="AK124" s="360">
        <v>0</v>
      </c>
      <c r="AL124" s="360">
        <v>0</v>
      </c>
      <c r="AM124" s="360">
        <f t="shared" si="3"/>
        <v>0</v>
      </c>
      <c r="AN124" s="362">
        <f>ERP_2[[#This Row],[2026 Working Total]]-ERP_2[[#This Row],[LE2 Final Submission]]</f>
        <v>0</v>
      </c>
      <c r="AO124" s="79">
        <v>3029.81</v>
      </c>
      <c r="AP124" s="79">
        <f t="shared" si="4"/>
        <v>-3029.81</v>
      </c>
      <c r="AQ124" s="374">
        <f>SUM(ERP_2[[#This Row],[AP01]:[AP06]])-SUM(ERP_2[[#This Row],[AP01 LE2]:[AP06 LE2]])</f>
        <v>0</v>
      </c>
      <c r="AR124" s="80"/>
      <c r="AS124" s="79">
        <f>ERP_2[[#This Row],[2026 Working Total to Budget/LE]]-ERP_2[[#This Row],[Giveback]]</f>
        <v>0</v>
      </c>
      <c r="AT124" s="81"/>
      <c r="AU124" s="375">
        <v>-1922.23</v>
      </c>
      <c r="AV124" s="375">
        <v>1922.23</v>
      </c>
      <c r="AW124" s="375">
        <v>0</v>
      </c>
      <c r="AX124" s="375">
        <v>0</v>
      </c>
      <c r="AY124" s="375">
        <v>0</v>
      </c>
      <c r="AZ124" s="375">
        <v>0</v>
      </c>
      <c r="BA124" s="375">
        <v>0</v>
      </c>
      <c r="BB124" s="375">
        <v>0</v>
      </c>
      <c r="BC124" s="375">
        <v>0</v>
      </c>
      <c r="BD124" s="375">
        <v>0</v>
      </c>
      <c r="BE124" s="375">
        <v>0</v>
      </c>
      <c r="BF124" s="375">
        <v>0</v>
      </c>
      <c r="BG124" s="375">
        <v>0</v>
      </c>
      <c r="BH124" s="79">
        <v>-1922.23</v>
      </c>
      <c r="BI124" s="79">
        <v>1922.23</v>
      </c>
      <c r="BJ124" s="79">
        <v>0</v>
      </c>
      <c r="BK124" s="79">
        <v>0</v>
      </c>
      <c r="BL124" s="79">
        <v>0</v>
      </c>
      <c r="BM124" s="79">
        <v>0</v>
      </c>
      <c r="BN124" s="79">
        <v>0</v>
      </c>
      <c r="BO124" s="79">
        <v>0</v>
      </c>
      <c r="BP124" s="79">
        <v>0</v>
      </c>
      <c r="BQ124" s="79">
        <v>0</v>
      </c>
      <c r="BR124" s="79">
        <v>0</v>
      </c>
      <c r="BS124" s="79">
        <v>0</v>
      </c>
      <c r="BT124" s="79">
        <v>0</v>
      </c>
    </row>
    <row r="125" spans="1:72" ht="15" hidden="1" customHeight="1">
      <c r="A125" s="66" t="s">
        <v>2240</v>
      </c>
      <c r="B125" s="66"/>
      <c r="C125" s="66" t="s">
        <v>2940</v>
      </c>
      <c r="D125" s="66" t="s">
        <v>2241</v>
      </c>
      <c r="E125" s="150" t="s">
        <v>1136</v>
      </c>
      <c r="F125" s="482" t="s">
        <v>1566</v>
      </c>
      <c r="G125" s="150" t="s">
        <v>1135</v>
      </c>
      <c r="H125" s="150" t="s">
        <v>1135</v>
      </c>
      <c r="I125" s="150" t="s">
        <v>1135</v>
      </c>
      <c r="J125" s="150" t="s">
        <v>1137</v>
      </c>
      <c r="K125" s="150" t="s">
        <v>1137</v>
      </c>
      <c r="L125" s="511" t="s">
        <v>639</v>
      </c>
      <c r="M125" s="392" t="s">
        <v>1685</v>
      </c>
      <c r="N125" s="343"/>
      <c r="O125" s="343"/>
      <c r="P125" s="70" t="s">
        <v>2242</v>
      </c>
      <c r="Q125" s="346" t="s">
        <v>1139</v>
      </c>
      <c r="R125" s="346" t="s">
        <v>1140</v>
      </c>
      <c r="S125" s="346"/>
      <c r="T125" s="150" t="s">
        <v>25</v>
      </c>
      <c r="U125" s="150"/>
      <c r="V125" s="404"/>
      <c r="W125" s="407">
        <v>0</v>
      </c>
      <c r="X125" s="407">
        <v>0</v>
      </c>
      <c r="Y125" s="425"/>
      <c r="Z125" s="71"/>
      <c r="AA125" s="426">
        <v>-11.41</v>
      </c>
      <c r="AB125" s="427">
        <v>11.41</v>
      </c>
      <c r="AC125" s="431">
        <v>0</v>
      </c>
      <c r="AD125" s="428">
        <v>0</v>
      </c>
      <c r="AE125" s="429">
        <v>0</v>
      </c>
      <c r="AF125" s="429">
        <v>0</v>
      </c>
      <c r="AG125" s="360">
        <v>0</v>
      </c>
      <c r="AH125" s="360">
        <v>0</v>
      </c>
      <c r="AI125" s="360">
        <v>0</v>
      </c>
      <c r="AJ125" s="360">
        <v>0</v>
      </c>
      <c r="AK125" s="360">
        <v>0</v>
      </c>
      <c r="AL125" s="360">
        <v>0</v>
      </c>
      <c r="AM125" s="360">
        <f t="shared" si="3"/>
        <v>0</v>
      </c>
      <c r="AN125" s="362">
        <f>ERP_2[[#This Row],[2026 Working Total]]-ERP_2[[#This Row],[LE2 Final Submission]]</f>
        <v>0</v>
      </c>
      <c r="AO125" s="79">
        <v>0</v>
      </c>
      <c r="AP125" s="79">
        <f t="shared" si="4"/>
        <v>0</v>
      </c>
      <c r="AQ125" s="374">
        <f>SUM(ERP_2[[#This Row],[AP01]:[AP06]])-SUM(ERP_2[[#This Row],[AP01 LE2]:[AP06 LE2]])</f>
        <v>0</v>
      </c>
      <c r="AR125" s="80"/>
      <c r="AS125" s="79">
        <f>ERP_2[[#This Row],[2026 Working Total to Budget/LE]]-ERP_2[[#This Row],[Giveback]]</f>
        <v>0</v>
      </c>
      <c r="AT125" s="81"/>
      <c r="AU125" s="375">
        <v>-11.41</v>
      </c>
      <c r="AV125" s="375">
        <v>11.41</v>
      </c>
      <c r="AW125" s="375">
        <v>0</v>
      </c>
      <c r="AX125" s="375">
        <v>0</v>
      </c>
      <c r="AY125" s="375">
        <v>0</v>
      </c>
      <c r="AZ125" s="375">
        <v>0</v>
      </c>
      <c r="BA125" s="375">
        <v>0</v>
      </c>
      <c r="BB125" s="375">
        <v>0</v>
      </c>
      <c r="BC125" s="375">
        <v>0</v>
      </c>
      <c r="BD125" s="375">
        <v>0</v>
      </c>
      <c r="BE125" s="375">
        <v>0</v>
      </c>
      <c r="BF125" s="375">
        <v>0</v>
      </c>
      <c r="BG125" s="375">
        <v>0</v>
      </c>
      <c r="BH125" s="79">
        <v>-11.41</v>
      </c>
      <c r="BI125" s="79">
        <v>11.41</v>
      </c>
      <c r="BJ125" s="79">
        <v>0</v>
      </c>
      <c r="BK125" s="79">
        <v>0</v>
      </c>
      <c r="BL125" s="79">
        <v>0</v>
      </c>
      <c r="BM125" s="79">
        <v>0</v>
      </c>
      <c r="BN125" s="79">
        <v>0</v>
      </c>
      <c r="BO125" s="79">
        <v>0</v>
      </c>
      <c r="BP125" s="79">
        <v>0</v>
      </c>
      <c r="BQ125" s="79">
        <v>0</v>
      </c>
      <c r="BR125" s="79">
        <v>0</v>
      </c>
      <c r="BS125" s="79">
        <v>0</v>
      </c>
      <c r="BT125" s="79">
        <v>0</v>
      </c>
    </row>
    <row r="126" spans="1:72" ht="15" hidden="1" customHeight="1">
      <c r="A126" s="150" t="s">
        <v>2243</v>
      </c>
      <c r="B126" s="150"/>
      <c r="C126" s="536" t="s">
        <v>665</v>
      </c>
      <c r="D126" s="296" t="s">
        <v>2244</v>
      </c>
      <c r="E126" s="150" t="s">
        <v>1136</v>
      </c>
      <c r="F126" s="482" t="s">
        <v>1566</v>
      </c>
      <c r="G126" s="150" t="s">
        <v>1135</v>
      </c>
      <c r="H126" s="150" t="s">
        <v>1135</v>
      </c>
      <c r="I126" s="150" t="s">
        <v>1135</v>
      </c>
      <c r="J126" s="150" t="s">
        <v>1137</v>
      </c>
      <c r="K126" s="150" t="s">
        <v>1137</v>
      </c>
      <c r="L126" s="514" t="s">
        <v>639</v>
      </c>
      <c r="M126" s="394" t="s">
        <v>2245</v>
      </c>
      <c r="N126" s="333"/>
      <c r="O126" s="332" t="s">
        <v>1695</v>
      </c>
      <c r="P126" s="90" t="s">
        <v>2246</v>
      </c>
      <c r="Q126" s="347"/>
      <c r="R126" s="347"/>
      <c r="S126" s="348"/>
      <c r="T126" s="348"/>
      <c r="U126" s="1" t="s">
        <v>1141</v>
      </c>
      <c r="V126" s="402"/>
      <c r="W126" s="406"/>
      <c r="X126" s="406"/>
      <c r="Y126" s="425"/>
      <c r="Z126" s="71"/>
      <c r="AA126" s="435"/>
      <c r="AB126" s="436"/>
      <c r="AC126" s="436"/>
      <c r="AD126" s="429">
        <v>-41167.729999999996</v>
      </c>
      <c r="AE126" s="429">
        <v>0</v>
      </c>
      <c r="AF126" s="429">
        <v>0</v>
      </c>
      <c r="AG126" s="364"/>
      <c r="AH126" s="364"/>
      <c r="AI126" s="364"/>
      <c r="AJ126" s="364"/>
      <c r="AK126" s="364"/>
      <c r="AL126" s="364"/>
      <c r="AM126" s="360">
        <f t="shared" si="3"/>
        <v>-41167.729999999996</v>
      </c>
      <c r="AN126" s="362">
        <f>ERP_2[[#This Row],[2026 Working Total]]-ERP_2[[#This Row],[LE2 Final Submission]]</f>
        <v>-41167.729999999996</v>
      </c>
      <c r="AO126" s="79"/>
      <c r="AP126" s="79">
        <f t="shared" si="4"/>
        <v>0</v>
      </c>
      <c r="AQ126" s="374">
        <f>SUM(ERP_2[[#This Row],[AP01]:[AP06]])-SUM(ERP_2[[#This Row],[AP01 LE2]:[AP06 LE2]])</f>
        <v>-41167.729999999996</v>
      </c>
      <c r="AR126" s="80"/>
      <c r="AS126" s="79">
        <f>ERP_2[[#This Row],[2026 Working Total to Budget/LE]]-ERP_2[[#This Row],[Giveback]]</f>
        <v>-41167.729999999996</v>
      </c>
      <c r="AT126" s="81"/>
      <c r="AU126" s="375"/>
      <c r="AV126" s="375"/>
      <c r="AW126" s="375"/>
      <c r="AX126" s="375"/>
      <c r="AY126" s="375"/>
      <c r="AZ126" s="375"/>
      <c r="BA126" s="375"/>
      <c r="BB126" s="375"/>
      <c r="BC126" s="375"/>
      <c r="BD126" s="375"/>
      <c r="BE126" s="375"/>
      <c r="BF126" s="375"/>
      <c r="BG126" s="375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</row>
    <row r="127" spans="1:72" ht="15" hidden="1" customHeight="1">
      <c r="A127" s="79" t="s">
        <v>2247</v>
      </c>
      <c r="B127" s="79"/>
      <c r="C127" s="79" t="s">
        <v>666</v>
      </c>
      <c r="D127" s="296" t="s">
        <v>666</v>
      </c>
      <c r="E127" s="150" t="s">
        <v>1136</v>
      </c>
      <c r="F127" s="482" t="s">
        <v>1566</v>
      </c>
      <c r="G127" s="150" t="s">
        <v>1135</v>
      </c>
      <c r="H127" s="150" t="s">
        <v>1135</v>
      </c>
      <c r="I127" t="s">
        <v>1135</v>
      </c>
      <c r="J127" t="s">
        <v>1135</v>
      </c>
      <c r="K127" t="s">
        <v>1135</v>
      </c>
      <c r="L127" s="514" t="s">
        <v>639</v>
      </c>
      <c r="M127" s="394" t="s">
        <v>1699</v>
      </c>
      <c r="N127" s="343"/>
      <c r="O127" s="333"/>
      <c r="P127" s="70" t="s">
        <v>362</v>
      </c>
      <c r="Q127" s="347"/>
      <c r="R127" s="343"/>
      <c r="S127" s="348"/>
      <c r="T127" s="348"/>
      <c r="U127" s="348" t="s">
        <v>1700</v>
      </c>
      <c r="V127" s="402"/>
      <c r="W127" s="358"/>
      <c r="X127" s="379">
        <v>0</v>
      </c>
      <c r="Y127" s="430"/>
      <c r="Z127" s="137"/>
      <c r="AA127" s="435"/>
      <c r="AB127" s="436"/>
      <c r="AC127" s="436"/>
      <c r="AD127" s="428" t="s">
        <v>1142</v>
      </c>
      <c r="AE127" s="429">
        <v>0</v>
      </c>
      <c r="AF127" s="429">
        <v>0</v>
      </c>
      <c r="AG127" s="364"/>
      <c r="AH127" s="364"/>
      <c r="AI127" s="364"/>
      <c r="AJ127" s="364"/>
      <c r="AK127" s="364"/>
      <c r="AL127" s="364"/>
      <c r="AM127" s="360">
        <f t="shared" si="3"/>
        <v>0</v>
      </c>
      <c r="AN127" s="362">
        <f>ERP_2[[#This Row],[2026 Working Total]]-ERP_2[[#This Row],[LE2 Final Submission]]</f>
        <v>0</v>
      </c>
      <c r="AO127" s="79">
        <v>84081.45</v>
      </c>
      <c r="AP127" s="79">
        <f t="shared" si="4"/>
        <v>-84081.45</v>
      </c>
      <c r="AQ127" s="374">
        <f>SUM(ERP_2[[#This Row],[AP01]:[AP06]])-SUM(ERP_2[[#This Row],[AP01 LE2]:[AP06 LE2]])</f>
        <v>0</v>
      </c>
      <c r="AR127" s="80"/>
      <c r="AS127" s="79">
        <f>ERP_2[[#This Row],[2026 Working Total to Budget/LE]]-ERP_2[[#This Row],[Giveback]]</f>
        <v>0</v>
      </c>
      <c r="AT127" s="81"/>
      <c r="AU127" s="375"/>
      <c r="AV127" s="375"/>
      <c r="AW127" s="375"/>
      <c r="AX127" s="375">
        <v>-84081.45</v>
      </c>
      <c r="AY127" s="375">
        <v>84081.45</v>
      </c>
      <c r="AZ127" s="375"/>
      <c r="BA127" s="375"/>
      <c r="BB127" s="375"/>
      <c r="BC127" s="375"/>
      <c r="BD127" s="375"/>
      <c r="BE127" s="375"/>
      <c r="BF127" s="375"/>
      <c r="BG127" s="375">
        <v>0</v>
      </c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</row>
    <row r="128" spans="1:72" ht="15" hidden="1" customHeight="1">
      <c r="A128" s="66" t="s">
        <v>2257</v>
      </c>
      <c r="B128" s="66"/>
      <c r="C128" s="66" t="s">
        <v>668</v>
      </c>
      <c r="D128" s="66" t="s">
        <v>2258</v>
      </c>
      <c r="E128" s="150" t="s">
        <v>1136</v>
      </c>
      <c r="F128" s="482" t="s">
        <v>1566</v>
      </c>
      <c r="G128" s="150" t="s">
        <v>1135</v>
      </c>
      <c r="H128" s="150" t="s">
        <v>1161</v>
      </c>
      <c r="I128" s="150" t="s">
        <v>1135</v>
      </c>
      <c r="J128" s="150" t="s">
        <v>1161</v>
      </c>
      <c r="K128" s="150" t="s">
        <v>1137</v>
      </c>
      <c r="L128" s="511" t="s">
        <v>639</v>
      </c>
      <c r="M128" s="392" t="s">
        <v>1147</v>
      </c>
      <c r="N128" s="343"/>
      <c r="O128" s="343"/>
      <c r="P128" s="70" t="s">
        <v>53</v>
      </c>
      <c r="Q128" s="346" t="s">
        <v>1153</v>
      </c>
      <c r="R128" s="346" t="s">
        <v>1140</v>
      </c>
      <c r="S128" s="346"/>
      <c r="T128" s="150" t="s">
        <v>25</v>
      </c>
      <c r="U128" s="150" t="s">
        <v>2259</v>
      </c>
      <c r="V128" s="403"/>
      <c r="W128" s="406">
        <v>0</v>
      </c>
      <c r="X128" s="406">
        <v>227</v>
      </c>
      <c r="Y128" s="425"/>
      <c r="Z128" s="71"/>
      <c r="AA128" s="426"/>
      <c r="AB128" s="427">
        <v>227</v>
      </c>
      <c r="AC128" s="431">
        <v>0</v>
      </c>
      <c r="AD128" s="428" t="s">
        <v>1142</v>
      </c>
      <c r="AE128" s="429">
        <v>0</v>
      </c>
      <c r="AF128" s="429">
        <v>0</v>
      </c>
      <c r="AG128" s="360">
        <v>0</v>
      </c>
      <c r="AH128" s="360">
        <v>0</v>
      </c>
      <c r="AI128" s="360">
        <v>0</v>
      </c>
      <c r="AJ128" s="360">
        <v>0</v>
      </c>
      <c r="AK128" s="360">
        <v>0</v>
      </c>
      <c r="AL128" s="360">
        <v>0</v>
      </c>
      <c r="AM128" s="360">
        <f t="shared" si="3"/>
        <v>227</v>
      </c>
      <c r="AN128" s="362">
        <f>ERP_2[[#This Row],[2026 Working Total]]-ERP_2[[#This Row],[LE2 Final Submission]]</f>
        <v>0</v>
      </c>
      <c r="AO128" s="79">
        <v>0</v>
      </c>
      <c r="AP128" s="79">
        <f t="shared" si="4"/>
        <v>0</v>
      </c>
      <c r="AQ128" s="374">
        <f>SUM(ERP_2[[#This Row],[AP01]:[AP06]])-SUM(ERP_2[[#This Row],[AP01 LE2]:[AP06 LE2]])</f>
        <v>0</v>
      </c>
      <c r="AR128" s="80"/>
      <c r="AS128" s="79">
        <f>ERP_2[[#This Row],[2026 Working Total to Budget/LE]]-ERP_2[[#This Row],[Giveback]]</f>
        <v>0</v>
      </c>
      <c r="AT128" s="81"/>
      <c r="AU128" s="375"/>
      <c r="AV128" s="375">
        <v>227</v>
      </c>
      <c r="AW128" s="375">
        <v>0</v>
      </c>
      <c r="AX128" s="375">
        <v>0</v>
      </c>
      <c r="AY128" s="375">
        <v>0</v>
      </c>
      <c r="AZ128" s="375">
        <v>0</v>
      </c>
      <c r="BA128" s="375">
        <v>0</v>
      </c>
      <c r="BB128" s="375">
        <v>0</v>
      </c>
      <c r="BC128" s="375">
        <v>0</v>
      </c>
      <c r="BD128" s="375">
        <v>0</v>
      </c>
      <c r="BE128" s="375">
        <v>0</v>
      </c>
      <c r="BF128" s="375">
        <v>0</v>
      </c>
      <c r="BG128" s="375">
        <v>227</v>
      </c>
      <c r="BH128" s="79"/>
      <c r="BI128" s="79">
        <v>227</v>
      </c>
      <c r="BJ128" s="79">
        <v>0</v>
      </c>
      <c r="BK128" s="79">
        <v>0</v>
      </c>
      <c r="BL128" s="79">
        <v>0</v>
      </c>
      <c r="BM128" s="79">
        <v>0</v>
      </c>
      <c r="BN128" s="79">
        <v>0</v>
      </c>
      <c r="BO128" s="79">
        <v>0</v>
      </c>
      <c r="BP128" s="79">
        <v>0</v>
      </c>
      <c r="BQ128" s="79">
        <v>0</v>
      </c>
      <c r="BR128" s="79">
        <v>0</v>
      </c>
      <c r="BS128" s="79">
        <v>0</v>
      </c>
      <c r="BT128" s="79">
        <v>227</v>
      </c>
    </row>
    <row r="129" spans="1:72" ht="15" hidden="1" customHeight="1">
      <c r="A129" s="66" t="s">
        <v>2867</v>
      </c>
      <c r="B129" s="66"/>
      <c r="C129" s="66" t="s">
        <v>30</v>
      </c>
      <c r="D129" s="66" t="s">
        <v>30</v>
      </c>
      <c r="E129" s="150" t="s">
        <v>1136</v>
      </c>
      <c r="F129" s="482" t="s">
        <v>1566</v>
      </c>
      <c r="G129" s="383" t="s">
        <v>1344</v>
      </c>
      <c r="H129" s="383" t="s">
        <v>1344</v>
      </c>
      <c r="I129" s="150" t="s">
        <v>1345</v>
      </c>
      <c r="J129" s="150" t="s">
        <v>1344</v>
      </c>
      <c r="K129" s="150" t="s">
        <v>1346</v>
      </c>
      <c r="L129" s="511" t="s">
        <v>22</v>
      </c>
      <c r="M129" s="392" t="s">
        <v>2868</v>
      </c>
      <c r="N129" s="343"/>
      <c r="O129" s="343"/>
      <c r="P129" s="70" t="s">
        <v>24</v>
      </c>
      <c r="Q129" s="346" t="s">
        <v>1139</v>
      </c>
      <c r="R129" s="346" t="s">
        <v>1140</v>
      </c>
      <c r="S129" s="346"/>
      <c r="T129" s="150" t="s">
        <v>25</v>
      </c>
      <c r="U129" s="150"/>
      <c r="V129" s="403"/>
      <c r="W129" s="406">
        <v>0</v>
      </c>
      <c r="X129" s="406">
        <v>0</v>
      </c>
      <c r="Y129" s="425"/>
      <c r="Z129" s="71"/>
      <c r="AA129" s="426"/>
      <c r="AB129" s="427"/>
      <c r="AC129" s="427"/>
      <c r="AD129" s="428" t="s">
        <v>1142</v>
      </c>
      <c r="AE129" s="429">
        <v>0</v>
      </c>
      <c r="AF129" s="429">
        <v>0</v>
      </c>
      <c r="AG129" s="360">
        <v>0</v>
      </c>
      <c r="AH129" s="360">
        <v>0</v>
      </c>
      <c r="AI129" s="360">
        <v>0</v>
      </c>
      <c r="AJ129" s="360">
        <v>0</v>
      </c>
      <c r="AK129" s="360">
        <v>0</v>
      </c>
      <c r="AL129" s="360">
        <v>0</v>
      </c>
      <c r="AM129" s="360">
        <f t="shared" si="3"/>
        <v>0</v>
      </c>
      <c r="AN129" s="362">
        <f>ERP_2[[#This Row],[2026 Working Total]]-ERP_2[[#This Row],[LE2 Final Submission]]</f>
        <v>0</v>
      </c>
      <c r="AO129" s="79">
        <v>0</v>
      </c>
      <c r="AP129" s="79">
        <f t="shared" si="4"/>
        <v>0</v>
      </c>
      <c r="AQ129" s="374">
        <f>SUM(ERP_2[[#This Row],[AP01]:[AP06]])-SUM(ERP_2[[#This Row],[AP01 LE2]:[AP06 LE2]])</f>
        <v>0</v>
      </c>
      <c r="AR129" s="80"/>
      <c r="AS129" s="79">
        <f>ERP_2[[#This Row],[2026 Working Total to Budget/LE]]-ERP_2[[#This Row],[Giveback]]</f>
        <v>0</v>
      </c>
      <c r="AT129" s="81"/>
      <c r="AU129" s="375"/>
      <c r="AV129" s="375"/>
      <c r="AW129" s="375"/>
      <c r="AX129" s="375">
        <v>0</v>
      </c>
      <c r="AY129" s="375">
        <v>0</v>
      </c>
      <c r="AZ129" s="375">
        <v>0</v>
      </c>
      <c r="BA129" s="375">
        <v>0</v>
      </c>
      <c r="BB129" s="375">
        <v>0</v>
      </c>
      <c r="BC129" s="375">
        <v>0</v>
      </c>
      <c r="BD129" s="375">
        <v>0</v>
      </c>
      <c r="BE129" s="375">
        <v>0</v>
      </c>
      <c r="BF129" s="375">
        <v>0</v>
      </c>
      <c r="BG129" s="375">
        <v>0</v>
      </c>
      <c r="BH129" s="79">
        <v>3835.35</v>
      </c>
      <c r="BI129" s="79">
        <v>2416.25</v>
      </c>
      <c r="BJ129" s="79">
        <v>3735.66</v>
      </c>
      <c r="BK129" s="79">
        <v>0</v>
      </c>
      <c r="BL129" s="79">
        <v>0</v>
      </c>
      <c r="BM129" s="79">
        <v>0</v>
      </c>
      <c r="BN129" s="79">
        <v>0</v>
      </c>
      <c r="BO129" s="79">
        <v>0</v>
      </c>
      <c r="BP129" s="79">
        <v>0</v>
      </c>
      <c r="BQ129" s="79">
        <v>0</v>
      </c>
      <c r="BR129" s="79">
        <v>0</v>
      </c>
      <c r="BS129" s="79">
        <v>0</v>
      </c>
      <c r="BT129" s="79">
        <v>9987.26</v>
      </c>
    </row>
    <row r="130" spans="1:72" ht="15" hidden="1" customHeight="1">
      <c r="A130" s="66" t="s">
        <v>2869</v>
      </c>
      <c r="B130" s="66"/>
      <c r="C130" s="66" t="s">
        <v>31</v>
      </c>
      <c r="D130" s="66" t="s">
        <v>31</v>
      </c>
      <c r="E130" s="150" t="s">
        <v>1136</v>
      </c>
      <c r="F130" s="482" t="s">
        <v>1566</v>
      </c>
      <c r="G130" s="383" t="s">
        <v>1344</v>
      </c>
      <c r="H130" s="383" t="s">
        <v>1344</v>
      </c>
      <c r="I130" s="150" t="s">
        <v>1345</v>
      </c>
      <c r="J130" s="150" t="s">
        <v>1344</v>
      </c>
      <c r="K130" s="150" t="s">
        <v>1346</v>
      </c>
      <c r="L130" s="511" t="s">
        <v>22</v>
      </c>
      <c r="M130" s="392" t="s">
        <v>2870</v>
      </c>
      <c r="N130" s="343"/>
      <c r="O130" s="343"/>
      <c r="P130" s="70" t="s">
        <v>27</v>
      </c>
      <c r="Q130" s="346" t="s">
        <v>1139</v>
      </c>
      <c r="R130" s="346" t="s">
        <v>1140</v>
      </c>
      <c r="S130" s="346"/>
      <c r="T130" s="150" t="s">
        <v>25</v>
      </c>
      <c r="U130" s="150"/>
      <c r="V130" s="403"/>
      <c r="W130" s="406">
        <v>0</v>
      </c>
      <c r="X130" s="406">
        <v>0</v>
      </c>
      <c r="Y130" s="425"/>
      <c r="Z130" s="71"/>
      <c r="AA130" s="426"/>
      <c r="AB130" s="427"/>
      <c r="AC130" s="427"/>
      <c r="AD130" s="428" t="s">
        <v>1142</v>
      </c>
      <c r="AE130" s="429">
        <v>0</v>
      </c>
      <c r="AF130" s="429">
        <v>0</v>
      </c>
      <c r="AG130" s="360">
        <v>0</v>
      </c>
      <c r="AH130" s="360">
        <v>0</v>
      </c>
      <c r="AI130" s="360">
        <v>0</v>
      </c>
      <c r="AJ130" s="360">
        <v>0</v>
      </c>
      <c r="AK130" s="360">
        <v>0</v>
      </c>
      <c r="AL130" s="360">
        <v>0</v>
      </c>
      <c r="AM130" s="360">
        <f t="shared" si="3"/>
        <v>0</v>
      </c>
      <c r="AN130" s="362">
        <f>ERP_2[[#This Row],[2026 Working Total]]-ERP_2[[#This Row],[LE2 Final Submission]]</f>
        <v>0</v>
      </c>
      <c r="AO130" s="79">
        <v>0</v>
      </c>
      <c r="AP130" s="79">
        <f t="shared" si="4"/>
        <v>0</v>
      </c>
      <c r="AQ130" s="374">
        <f>SUM(ERP_2[[#This Row],[AP01]:[AP06]])-SUM(ERP_2[[#This Row],[AP01 LE2]:[AP06 LE2]])</f>
        <v>0</v>
      </c>
      <c r="AR130" s="80"/>
      <c r="AS130" s="79">
        <f>ERP_2[[#This Row],[2026 Working Total to Budget/LE]]-ERP_2[[#This Row],[Giveback]]</f>
        <v>0</v>
      </c>
      <c r="AT130" s="81"/>
      <c r="AU130" s="375"/>
      <c r="AV130" s="375"/>
      <c r="AW130" s="375"/>
      <c r="AX130" s="375">
        <v>0</v>
      </c>
      <c r="AY130" s="375">
        <v>0</v>
      </c>
      <c r="AZ130" s="375">
        <v>0</v>
      </c>
      <c r="BA130" s="375">
        <v>0</v>
      </c>
      <c r="BB130" s="375">
        <v>0</v>
      </c>
      <c r="BC130" s="375">
        <v>0</v>
      </c>
      <c r="BD130" s="375">
        <v>0</v>
      </c>
      <c r="BE130" s="375">
        <v>0</v>
      </c>
      <c r="BF130" s="375">
        <v>0</v>
      </c>
      <c r="BG130" s="375">
        <v>0</v>
      </c>
      <c r="BH130" s="79">
        <v>3779.53</v>
      </c>
      <c r="BI130" s="79">
        <v>7255.22</v>
      </c>
      <c r="BJ130" s="79">
        <v>5363.84</v>
      </c>
      <c r="BK130" s="79">
        <v>0</v>
      </c>
      <c r="BL130" s="79">
        <v>0</v>
      </c>
      <c r="BM130" s="79">
        <v>0</v>
      </c>
      <c r="BN130" s="79">
        <v>0</v>
      </c>
      <c r="BO130" s="79">
        <v>0</v>
      </c>
      <c r="BP130" s="79">
        <v>0</v>
      </c>
      <c r="BQ130" s="79">
        <v>0</v>
      </c>
      <c r="BR130" s="79">
        <v>0</v>
      </c>
      <c r="BS130" s="79">
        <v>0</v>
      </c>
      <c r="BT130" s="79">
        <v>16398.59</v>
      </c>
    </row>
    <row r="131" spans="1:72" ht="15" hidden="1" customHeight="1">
      <c r="A131" s="66" t="s">
        <v>2871</v>
      </c>
      <c r="B131" s="66"/>
      <c r="C131" s="66" t="s">
        <v>32</v>
      </c>
      <c r="D131" s="66" t="s">
        <v>32</v>
      </c>
      <c r="E131" s="150" t="s">
        <v>1136</v>
      </c>
      <c r="F131" s="482" t="s">
        <v>1566</v>
      </c>
      <c r="G131" s="383" t="s">
        <v>1344</v>
      </c>
      <c r="H131" s="383" t="s">
        <v>1344</v>
      </c>
      <c r="I131" s="150" t="s">
        <v>1345</v>
      </c>
      <c r="J131" s="150" t="s">
        <v>1344</v>
      </c>
      <c r="K131" s="150" t="s">
        <v>1346</v>
      </c>
      <c r="L131" s="511" t="s">
        <v>22</v>
      </c>
      <c r="M131" s="392" t="s">
        <v>2872</v>
      </c>
      <c r="N131" s="343"/>
      <c r="O131" s="343"/>
      <c r="P131" s="70" t="s">
        <v>29</v>
      </c>
      <c r="Q131" s="346" t="s">
        <v>1139</v>
      </c>
      <c r="R131" s="346" t="s">
        <v>1140</v>
      </c>
      <c r="S131" s="346"/>
      <c r="T131" s="150" t="s">
        <v>25</v>
      </c>
      <c r="U131" s="150"/>
      <c r="V131" s="403"/>
      <c r="W131" s="406">
        <v>0</v>
      </c>
      <c r="X131" s="406">
        <v>0</v>
      </c>
      <c r="Y131" s="430"/>
      <c r="Z131" s="137"/>
      <c r="AA131" s="426"/>
      <c r="AB131" s="427"/>
      <c r="AC131" s="427"/>
      <c r="AD131" s="480"/>
      <c r="AE131" s="481"/>
      <c r="AF131" s="429">
        <v>11264.339999999998</v>
      </c>
      <c r="AG131" s="360">
        <v>0</v>
      </c>
      <c r="AH131" s="360">
        <v>0</v>
      </c>
      <c r="AI131" s="360">
        <v>0</v>
      </c>
      <c r="AJ131" s="360">
        <v>0</v>
      </c>
      <c r="AK131" s="360">
        <v>0</v>
      </c>
      <c r="AL131" s="360">
        <v>0</v>
      </c>
      <c r="AM131" s="360">
        <f t="shared" si="3"/>
        <v>11264.339999999998</v>
      </c>
      <c r="AN131" s="362">
        <f>ERP_2[[#This Row],[2026 Working Total]]-ERP_2[[#This Row],[LE2 Final Submission]]</f>
        <v>11264.339999999998</v>
      </c>
      <c r="AO131" s="79">
        <v>0</v>
      </c>
      <c r="AP131" s="79">
        <f t="shared" si="4"/>
        <v>11264.339999999998</v>
      </c>
      <c r="AQ131" s="374">
        <f>SUM(ERP_2[[#This Row],[AP01]:[AP06]])-SUM(ERP_2[[#This Row],[AP01 LE2]:[AP06 LE2]])</f>
        <v>11264.339999999998</v>
      </c>
      <c r="AR131" s="80"/>
      <c r="AS131" s="79">
        <f>ERP_2[[#This Row],[2026 Working Total to Budget/LE]]-ERP_2[[#This Row],[Giveback]]</f>
        <v>11264.339999999998</v>
      </c>
      <c r="AT131" s="81"/>
      <c r="AU131" s="375"/>
      <c r="AV131" s="375"/>
      <c r="AW131" s="375"/>
      <c r="AX131" s="375">
        <v>0</v>
      </c>
      <c r="AY131" s="375">
        <v>0</v>
      </c>
      <c r="AZ131" s="375">
        <v>0</v>
      </c>
      <c r="BA131" s="375">
        <v>0</v>
      </c>
      <c r="BB131" s="375">
        <v>0</v>
      </c>
      <c r="BC131" s="375">
        <v>0</v>
      </c>
      <c r="BD131" s="375">
        <v>0</v>
      </c>
      <c r="BE131" s="375">
        <v>0</v>
      </c>
      <c r="BF131" s="375">
        <v>0</v>
      </c>
      <c r="BG131" s="375">
        <v>0</v>
      </c>
      <c r="BH131" s="79">
        <v>6685.48</v>
      </c>
      <c r="BI131" s="79">
        <v>-19872.71</v>
      </c>
      <c r="BJ131" s="79">
        <v>7440.92</v>
      </c>
      <c r="BK131" s="79">
        <v>0</v>
      </c>
      <c r="BL131" s="79">
        <v>0</v>
      </c>
      <c r="BM131" s="79">
        <v>0</v>
      </c>
      <c r="BN131" s="79">
        <v>0</v>
      </c>
      <c r="BO131" s="79">
        <v>0</v>
      </c>
      <c r="BP131" s="79">
        <v>0</v>
      </c>
      <c r="BQ131" s="79">
        <v>0</v>
      </c>
      <c r="BR131" s="79">
        <v>0</v>
      </c>
      <c r="BS131" s="79">
        <v>0</v>
      </c>
      <c r="BT131" s="79">
        <v>-5746.3099999999995</v>
      </c>
    </row>
    <row r="132" spans="1:72" ht="15" hidden="1" customHeight="1">
      <c r="A132" s="66" t="s">
        <v>2265</v>
      </c>
      <c r="B132" s="66"/>
      <c r="C132" s="66" t="s">
        <v>670</v>
      </c>
      <c r="D132" s="66" t="s">
        <v>2266</v>
      </c>
      <c r="E132" s="150" t="s">
        <v>1136</v>
      </c>
      <c r="F132" s="482" t="s">
        <v>1566</v>
      </c>
      <c r="G132" s="150" t="s">
        <v>1135</v>
      </c>
      <c r="H132" s="150" t="s">
        <v>1165</v>
      </c>
      <c r="I132" s="150" t="s">
        <v>1135</v>
      </c>
      <c r="J132" s="150" t="s">
        <v>1165</v>
      </c>
      <c r="K132" s="150" t="s">
        <v>1137</v>
      </c>
      <c r="L132" s="511" t="s">
        <v>639</v>
      </c>
      <c r="M132" s="392" t="s">
        <v>1858</v>
      </c>
      <c r="N132" s="343"/>
      <c r="O132" s="343"/>
      <c r="P132" s="70" t="s">
        <v>449</v>
      </c>
      <c r="Q132" s="346"/>
      <c r="R132" s="346" t="s">
        <v>1140</v>
      </c>
      <c r="S132" s="346"/>
      <c r="T132" s="150" t="s">
        <v>57</v>
      </c>
      <c r="U132" s="150"/>
      <c r="V132" s="403"/>
      <c r="W132" s="406">
        <v>0</v>
      </c>
      <c r="X132" s="406">
        <v>838.37999999999988</v>
      </c>
      <c r="Y132" s="425"/>
      <c r="Z132" s="71"/>
      <c r="AA132" s="426">
        <v>279.45999999999998</v>
      </c>
      <c r="AB132" s="427">
        <v>279.45999999999998</v>
      </c>
      <c r="AC132" s="427">
        <v>279.45999999999998</v>
      </c>
      <c r="AD132" s="428">
        <v>279.45999999999998</v>
      </c>
      <c r="AE132" s="429">
        <v>139.72999999999999</v>
      </c>
      <c r="AF132" s="429">
        <v>139.72999999999999</v>
      </c>
      <c r="AG132" s="360">
        <v>0</v>
      </c>
      <c r="AH132" s="360">
        <v>0</v>
      </c>
      <c r="AI132" s="360">
        <v>0</v>
      </c>
      <c r="AJ132" s="360">
        <v>0</v>
      </c>
      <c r="AK132" s="360">
        <v>0</v>
      </c>
      <c r="AL132" s="360">
        <v>0</v>
      </c>
      <c r="AM132" s="360">
        <f t="shared" si="3"/>
        <v>1397.3</v>
      </c>
      <c r="AN132" s="362">
        <f>ERP_2[[#This Row],[2026 Working Total]]-ERP_2[[#This Row],[LE2 Final Submission]]</f>
        <v>558.92000000000007</v>
      </c>
      <c r="AO132" s="79">
        <v>0</v>
      </c>
      <c r="AP132" s="79">
        <f t="shared" si="4"/>
        <v>139.72999999999999</v>
      </c>
      <c r="AQ132" s="374">
        <f>SUM(ERP_2[[#This Row],[AP01]:[AP06]])-SUM(ERP_2[[#This Row],[AP01 LE2]:[AP06 LE2]])</f>
        <v>558.92000000000007</v>
      </c>
      <c r="AR132" s="80"/>
      <c r="AS132" s="79">
        <f>ERP_2[[#This Row],[2026 Working Total to Budget/LE]]-ERP_2[[#This Row],[Giveback]]</f>
        <v>558.92000000000007</v>
      </c>
      <c r="AT132" s="81"/>
      <c r="AU132" s="375">
        <v>279.45999999999998</v>
      </c>
      <c r="AV132" s="375">
        <v>279.45999999999998</v>
      </c>
      <c r="AW132" s="375">
        <v>279.45999999999998</v>
      </c>
      <c r="AX132" s="375">
        <v>0</v>
      </c>
      <c r="AY132" s="375">
        <v>0</v>
      </c>
      <c r="AZ132" s="375">
        <v>0</v>
      </c>
      <c r="BA132" s="375">
        <v>0</v>
      </c>
      <c r="BB132" s="375">
        <v>0</v>
      </c>
      <c r="BC132" s="375">
        <v>0</v>
      </c>
      <c r="BD132" s="375">
        <v>0</v>
      </c>
      <c r="BE132" s="375">
        <v>0</v>
      </c>
      <c r="BF132" s="375">
        <v>0</v>
      </c>
      <c r="BG132" s="375">
        <v>838.37999999999988</v>
      </c>
      <c r="BH132" s="79">
        <v>279.45999999999998</v>
      </c>
      <c r="BI132" s="79">
        <v>279.45999999999998</v>
      </c>
      <c r="BJ132" s="79">
        <v>279.45999999999998</v>
      </c>
      <c r="BK132" s="79">
        <v>0</v>
      </c>
      <c r="BL132" s="79">
        <v>0</v>
      </c>
      <c r="BM132" s="79">
        <v>0</v>
      </c>
      <c r="BN132" s="79">
        <v>0</v>
      </c>
      <c r="BO132" s="79">
        <v>0</v>
      </c>
      <c r="BP132" s="79">
        <v>0</v>
      </c>
      <c r="BQ132" s="79">
        <v>0</v>
      </c>
      <c r="BR132" s="79">
        <v>0</v>
      </c>
      <c r="BS132" s="79">
        <v>0</v>
      </c>
      <c r="BT132" s="79">
        <v>838.37999999999988</v>
      </c>
    </row>
    <row r="133" spans="1:72" ht="15" hidden="1" customHeight="1">
      <c r="A133" s="66" t="s">
        <v>2267</v>
      </c>
      <c r="B133" s="66"/>
      <c r="C133" s="66" t="s">
        <v>671</v>
      </c>
      <c r="D133" s="66" t="s">
        <v>2268</v>
      </c>
      <c r="E133" s="150" t="s">
        <v>1136</v>
      </c>
      <c r="F133" s="482" t="s">
        <v>1566</v>
      </c>
      <c r="G133" s="150" t="s">
        <v>1135</v>
      </c>
      <c r="H133" s="150" t="s">
        <v>1165</v>
      </c>
      <c r="I133" s="150" t="s">
        <v>1135</v>
      </c>
      <c r="J133" s="150" t="s">
        <v>1165</v>
      </c>
      <c r="K133" s="150" t="s">
        <v>1137</v>
      </c>
      <c r="L133" s="511" t="s">
        <v>639</v>
      </c>
      <c r="M133" s="392" t="s">
        <v>1863</v>
      </c>
      <c r="N133" s="343"/>
      <c r="O133" s="343"/>
      <c r="P133" s="70" t="s">
        <v>451</v>
      </c>
      <c r="Q133" s="346"/>
      <c r="R133" s="346" t="s">
        <v>1140</v>
      </c>
      <c r="S133" s="346"/>
      <c r="T133" s="150" t="s">
        <v>57</v>
      </c>
      <c r="U133" s="150"/>
      <c r="V133" s="403"/>
      <c r="W133" s="406">
        <v>1854.9999960000002</v>
      </c>
      <c r="X133" s="406">
        <v>2120.4399970000004</v>
      </c>
      <c r="Y133" s="425"/>
      <c r="Z133" s="71"/>
      <c r="AA133" s="426">
        <v>139.72999999999999</v>
      </c>
      <c r="AB133" s="427">
        <v>139.72999999999999</v>
      </c>
      <c r="AC133" s="427">
        <v>449.73</v>
      </c>
      <c r="AD133" s="428">
        <v>139.72999999999999</v>
      </c>
      <c r="AE133" s="429">
        <v>139.72999999999999</v>
      </c>
      <c r="AF133" s="429">
        <v>139.72999999999999</v>
      </c>
      <c r="AG133" s="363">
        <v>154.58333300000001</v>
      </c>
      <c r="AH133" s="363">
        <v>154.58333300000001</v>
      </c>
      <c r="AI133" s="363">
        <v>154.58333300000001</v>
      </c>
      <c r="AJ133" s="363">
        <v>154.58333300000001</v>
      </c>
      <c r="AK133" s="363">
        <v>154.58333300000001</v>
      </c>
      <c r="AL133" s="363">
        <v>154.58333300000001</v>
      </c>
      <c r="AM133" s="360">
        <f t="shared" si="3"/>
        <v>2075.8799980000003</v>
      </c>
      <c r="AN133" s="362">
        <f>ERP_2[[#This Row],[2026 Working Total]]-ERP_2[[#This Row],[LE2 Final Submission]]</f>
        <v>-44.559999000000062</v>
      </c>
      <c r="AO133" s="79">
        <v>154.58333300000001</v>
      </c>
      <c r="AP133" s="79">
        <f t="shared" si="4"/>
        <v>-14.853333000000021</v>
      </c>
      <c r="AQ133" s="374">
        <f>SUM(ERP_2[[#This Row],[AP01]:[AP06]])-SUM(ERP_2[[#This Row],[AP01 LE2]:[AP06 LE2]])</f>
        <v>-44.559999000000062</v>
      </c>
      <c r="AR133" s="80"/>
      <c r="AS133" s="79">
        <f>ERP_2[[#This Row],[2026 Working Total to Budget/LE]]-ERP_2[[#This Row],[Giveback]]</f>
        <v>-44.559999000000062</v>
      </c>
      <c r="AT133" s="81"/>
      <c r="AU133" s="375">
        <v>139.72999999999999</v>
      </c>
      <c r="AV133" s="375">
        <v>139.72999999999999</v>
      </c>
      <c r="AW133" s="375">
        <v>449.73</v>
      </c>
      <c r="AX133" s="375">
        <v>154.58333300000001</v>
      </c>
      <c r="AY133" s="375">
        <v>154.58333300000001</v>
      </c>
      <c r="AZ133" s="375">
        <v>154.58333300000001</v>
      </c>
      <c r="BA133" s="375">
        <v>154.58333300000001</v>
      </c>
      <c r="BB133" s="375">
        <v>154.58333300000001</v>
      </c>
      <c r="BC133" s="375">
        <v>154.58333300000001</v>
      </c>
      <c r="BD133" s="375">
        <v>154.58333300000001</v>
      </c>
      <c r="BE133" s="375">
        <v>154.58333300000001</v>
      </c>
      <c r="BF133" s="375">
        <v>154.58333300000001</v>
      </c>
      <c r="BG133" s="375">
        <v>2120.4399970000004</v>
      </c>
      <c r="BH133" s="79">
        <v>139.72999999999999</v>
      </c>
      <c r="BI133" s="79">
        <v>139.72999999999999</v>
      </c>
      <c r="BJ133" s="79">
        <v>449.73</v>
      </c>
      <c r="BK133" s="79">
        <v>154.58333300000001</v>
      </c>
      <c r="BL133" s="79">
        <v>154.58333300000001</v>
      </c>
      <c r="BM133" s="79">
        <v>154.58333300000001</v>
      </c>
      <c r="BN133" s="79">
        <v>154.58333300000001</v>
      </c>
      <c r="BO133" s="79">
        <v>154.58333300000001</v>
      </c>
      <c r="BP133" s="79">
        <v>154.58333300000001</v>
      </c>
      <c r="BQ133" s="79">
        <v>154.58333300000001</v>
      </c>
      <c r="BR133" s="79">
        <v>154.58333300000001</v>
      </c>
      <c r="BS133" s="79">
        <v>154.58333300000001</v>
      </c>
      <c r="BT133" s="79">
        <v>2120.4399970000004</v>
      </c>
    </row>
    <row r="134" spans="1:72" ht="15" hidden="1" customHeight="1">
      <c r="A134" s="66" t="s">
        <v>1665</v>
      </c>
      <c r="B134" s="66"/>
      <c r="C134" s="66" t="s">
        <v>335</v>
      </c>
      <c r="D134" s="66" t="s">
        <v>335</v>
      </c>
      <c r="E134" s="150" t="s">
        <v>1136</v>
      </c>
      <c r="F134" s="482" t="s">
        <v>1566</v>
      </c>
      <c r="G134" s="383" t="s">
        <v>1344</v>
      </c>
      <c r="H134" s="383" t="s">
        <v>1344</v>
      </c>
      <c r="I134" s="150" t="s">
        <v>1345</v>
      </c>
      <c r="J134" s="150" t="s">
        <v>1344</v>
      </c>
      <c r="K134" s="150" t="s">
        <v>1346</v>
      </c>
      <c r="L134" s="511" t="s">
        <v>333</v>
      </c>
      <c r="M134" s="392" t="s">
        <v>1663</v>
      </c>
      <c r="N134" s="343"/>
      <c r="O134" s="343"/>
      <c r="P134" s="70" t="s">
        <v>336</v>
      </c>
      <c r="Q134" s="346"/>
      <c r="R134" s="346" t="s">
        <v>1140</v>
      </c>
      <c r="S134" s="346"/>
      <c r="T134" s="150" t="s">
        <v>25</v>
      </c>
      <c r="U134" s="150" t="s">
        <v>1666</v>
      </c>
      <c r="V134" s="403"/>
      <c r="W134" s="406">
        <v>0</v>
      </c>
      <c r="X134" s="406">
        <v>6232.2000000000016</v>
      </c>
      <c r="Y134" s="425"/>
      <c r="Z134" s="71"/>
      <c r="AA134" s="426">
        <v>519.35</v>
      </c>
      <c r="AB134" s="427">
        <v>519.35</v>
      </c>
      <c r="AC134" s="427">
        <v>519.35</v>
      </c>
      <c r="AD134" s="428">
        <v>519.35</v>
      </c>
      <c r="AE134" s="429">
        <v>519.35</v>
      </c>
      <c r="AF134" s="429">
        <v>519.35</v>
      </c>
      <c r="AG134" s="363">
        <v>519.35</v>
      </c>
      <c r="AH134" s="363">
        <v>519.35</v>
      </c>
      <c r="AI134" s="363">
        <v>519.35</v>
      </c>
      <c r="AJ134" s="363">
        <v>519.35</v>
      </c>
      <c r="AK134" s="363">
        <v>519.35</v>
      </c>
      <c r="AL134" s="363">
        <v>519.35</v>
      </c>
      <c r="AM134" s="360">
        <f t="shared" si="3"/>
        <v>6232.2000000000016</v>
      </c>
      <c r="AN134" s="362">
        <f>ERP_2[[#This Row],[2026 Working Total]]-ERP_2[[#This Row],[LE2 Final Submission]]</f>
        <v>0</v>
      </c>
      <c r="AO134" s="79">
        <v>519.35</v>
      </c>
      <c r="AP134" s="79">
        <f t="shared" si="4"/>
        <v>0</v>
      </c>
      <c r="AQ134" s="374">
        <f>SUM(ERP_2[[#This Row],[AP01]:[AP06]])-SUM(ERP_2[[#This Row],[AP01 LE2]:[AP06 LE2]])</f>
        <v>0</v>
      </c>
      <c r="AR134" s="80"/>
      <c r="AS134" s="79">
        <f>ERP_2[[#This Row],[2026 Working Total to Budget/LE]]-ERP_2[[#This Row],[Giveback]]</f>
        <v>0</v>
      </c>
      <c r="AT134" s="81"/>
      <c r="AU134" s="375">
        <v>519.35</v>
      </c>
      <c r="AV134" s="375">
        <v>519.35</v>
      </c>
      <c r="AW134" s="375">
        <v>519.35</v>
      </c>
      <c r="AX134" s="375">
        <v>519.35</v>
      </c>
      <c r="AY134" s="375">
        <v>519.35</v>
      </c>
      <c r="AZ134" s="375">
        <v>519.35</v>
      </c>
      <c r="BA134" s="375">
        <v>519.35</v>
      </c>
      <c r="BB134" s="375">
        <v>519.35</v>
      </c>
      <c r="BC134" s="375">
        <v>519.35</v>
      </c>
      <c r="BD134" s="375">
        <v>519.35</v>
      </c>
      <c r="BE134" s="375">
        <v>519.35</v>
      </c>
      <c r="BF134" s="375">
        <v>519.35</v>
      </c>
      <c r="BG134" s="375">
        <v>6232.2000000000016</v>
      </c>
      <c r="BH134" s="79">
        <v>519.35</v>
      </c>
      <c r="BI134" s="79">
        <v>519.35</v>
      </c>
      <c r="BJ134" s="79">
        <v>519.35</v>
      </c>
      <c r="BK134" s="79">
        <v>0</v>
      </c>
      <c r="BL134" s="79">
        <v>0</v>
      </c>
      <c r="BM134" s="79">
        <v>0</v>
      </c>
      <c r="BN134" s="79">
        <v>0</v>
      </c>
      <c r="BO134" s="79">
        <v>0</v>
      </c>
      <c r="BP134" s="79">
        <v>0</v>
      </c>
      <c r="BQ134" s="79">
        <v>0</v>
      </c>
      <c r="BR134" s="79">
        <v>0</v>
      </c>
      <c r="BS134" s="79">
        <v>0</v>
      </c>
      <c r="BT134" s="79">
        <v>1558.0500000000002</v>
      </c>
    </row>
    <row r="135" spans="1:72" ht="15" hidden="1" customHeight="1">
      <c r="A135" s="79" t="s">
        <v>2298</v>
      </c>
      <c r="B135" s="79"/>
      <c r="C135" s="79" t="s">
        <v>681</v>
      </c>
      <c r="D135" s="296" t="s">
        <v>2299</v>
      </c>
      <c r="E135" s="150" t="s">
        <v>1136</v>
      </c>
      <c r="F135" s="482" t="s">
        <v>1566</v>
      </c>
      <c r="G135" s="150" t="s">
        <v>1135</v>
      </c>
      <c r="H135" s="150" t="s">
        <v>1165</v>
      </c>
      <c r="I135" s="150" t="s">
        <v>1135</v>
      </c>
      <c r="J135" s="150" t="s">
        <v>1165</v>
      </c>
      <c r="K135" s="150" t="s">
        <v>1165</v>
      </c>
      <c r="L135" s="514" t="s">
        <v>639</v>
      </c>
      <c r="M135" s="392" t="s">
        <v>1927</v>
      </c>
      <c r="N135" s="343"/>
      <c r="O135" s="333"/>
      <c r="P135" s="70" t="s">
        <v>473</v>
      </c>
      <c r="Q135" s="347"/>
      <c r="R135" s="343"/>
      <c r="S135" s="348"/>
      <c r="T135" s="348"/>
      <c r="U135" s="150" t="s">
        <v>1928</v>
      </c>
      <c r="V135" s="402"/>
      <c r="W135" s="358"/>
      <c r="X135" s="379">
        <v>123539</v>
      </c>
      <c r="Y135" s="425"/>
      <c r="Z135" s="71"/>
      <c r="AA135" s="435"/>
      <c r="AB135" s="436"/>
      <c r="AC135" s="436"/>
      <c r="AD135" s="428" t="s">
        <v>1142</v>
      </c>
      <c r="AE135" s="429">
        <v>0</v>
      </c>
      <c r="AF135" s="429">
        <v>0</v>
      </c>
      <c r="AG135" s="364"/>
      <c r="AH135" s="364">
        <v>123539</v>
      </c>
      <c r="AI135" s="364"/>
      <c r="AJ135" s="364"/>
      <c r="AK135" s="364"/>
      <c r="AL135" s="364"/>
      <c r="AM135" s="360">
        <f t="shared" si="3"/>
        <v>123539</v>
      </c>
      <c r="AN135" s="362">
        <f>ERP_2[[#This Row],[2026 Working Total]]-ERP_2[[#This Row],[LE2 Final Submission]]</f>
        <v>0</v>
      </c>
      <c r="AO135" s="79"/>
      <c r="AP135" s="79">
        <f t="shared" si="4"/>
        <v>0</v>
      </c>
      <c r="AQ135" s="374">
        <f>SUM(ERP_2[[#This Row],[AP01]:[AP06]])-SUM(ERP_2[[#This Row],[AP01 LE2]:[AP06 LE2]])</f>
        <v>0</v>
      </c>
      <c r="AR135" s="80"/>
      <c r="AS135" s="79">
        <f>ERP_2[[#This Row],[2026 Working Total to Budget/LE]]-ERP_2[[#This Row],[Giveback]]</f>
        <v>0</v>
      </c>
      <c r="AT135" s="81" t="s">
        <v>1929</v>
      </c>
      <c r="AU135" s="375"/>
      <c r="AV135" s="375"/>
      <c r="AW135" s="375"/>
      <c r="AX135" s="375"/>
      <c r="AY135" s="375"/>
      <c r="AZ135" s="375"/>
      <c r="BA135" s="375"/>
      <c r="BB135" s="375">
        <v>123539</v>
      </c>
      <c r="BC135" s="375"/>
      <c r="BD135" s="375"/>
      <c r="BE135" s="375"/>
      <c r="BF135" s="375"/>
      <c r="BG135" s="375">
        <v>123539</v>
      </c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</row>
    <row r="136" spans="1:72" ht="15" hidden="1" customHeight="1">
      <c r="A136" s="66" t="s">
        <v>2302</v>
      </c>
      <c r="B136" s="66"/>
      <c r="C136" s="66" t="s">
        <v>682</v>
      </c>
      <c r="D136" s="66" t="s">
        <v>2303</v>
      </c>
      <c r="E136" s="150" t="s">
        <v>1136</v>
      </c>
      <c r="F136" s="482" t="s">
        <v>1566</v>
      </c>
      <c r="G136" s="150" t="s">
        <v>1135</v>
      </c>
      <c r="H136" s="150" t="s">
        <v>1165</v>
      </c>
      <c r="I136" s="150" t="s">
        <v>1135</v>
      </c>
      <c r="J136" s="150" t="s">
        <v>1165</v>
      </c>
      <c r="K136" s="150" t="s">
        <v>1137</v>
      </c>
      <c r="L136" s="511" t="s">
        <v>639</v>
      </c>
      <c r="M136" s="392" t="s">
        <v>2304</v>
      </c>
      <c r="N136" s="343" t="s">
        <v>2305</v>
      </c>
      <c r="O136" s="346" t="s">
        <v>1252</v>
      </c>
      <c r="P136" s="70" t="s">
        <v>683</v>
      </c>
      <c r="Q136" s="346"/>
      <c r="R136" s="346" t="s">
        <v>2306</v>
      </c>
      <c r="S136" s="346" t="s">
        <v>1710</v>
      </c>
      <c r="T136" s="150" t="s">
        <v>684</v>
      </c>
      <c r="U136" s="150"/>
      <c r="V136" s="404"/>
      <c r="W136" s="407">
        <v>146492.82999999999</v>
      </c>
      <c r="X136" s="407">
        <v>-115764.16</v>
      </c>
      <c r="Y136" s="425"/>
      <c r="Z136" s="71"/>
      <c r="AA136" s="426">
        <v>-115764.16</v>
      </c>
      <c r="AB136" s="427">
        <f>115764.16-115764.16</f>
        <v>0</v>
      </c>
      <c r="AC136" s="427"/>
      <c r="AD136" s="428">
        <v>0</v>
      </c>
      <c r="AE136" s="429">
        <v>0</v>
      </c>
      <c r="AF136" s="429">
        <v>0</v>
      </c>
      <c r="AG136" s="363"/>
      <c r="AH136" s="363"/>
      <c r="AI136" s="363"/>
      <c r="AJ136" s="363"/>
      <c r="AK136" s="363"/>
      <c r="AL136" s="363"/>
      <c r="AM136" s="360">
        <f t="shared" ref="AM136:AM199" si="5">SUM(AA136:AL136)</f>
        <v>-115764.16</v>
      </c>
      <c r="AN136" s="362">
        <f>ERP_2[[#This Row],[2026 Working Total]]-ERP_2[[#This Row],[LE2 Final Submission]]</f>
        <v>0</v>
      </c>
      <c r="AO136" s="79"/>
      <c r="AP136" s="79">
        <f t="shared" ref="AP136:AP199" si="6">$AF136 - $AO136</f>
        <v>0</v>
      </c>
      <c r="AQ136" s="374">
        <f>SUM(ERP_2[[#This Row],[AP01]:[AP06]])-SUM(ERP_2[[#This Row],[AP01 LE2]:[AP06 LE2]])</f>
        <v>0</v>
      </c>
      <c r="AR136" s="80"/>
      <c r="AS136" s="79">
        <f>ERP_2[[#This Row],[2026 Working Total to Budget/LE]]-ERP_2[[#This Row],[Giveback]]</f>
        <v>0</v>
      </c>
      <c r="AT136" s="81"/>
      <c r="AU136" s="375">
        <v>-115764.16</v>
      </c>
      <c r="AV136" s="375">
        <v>0</v>
      </c>
      <c r="AW136" s="375"/>
      <c r="AX136" s="375"/>
      <c r="AY136" s="375"/>
      <c r="AZ136" s="375"/>
      <c r="BA136" s="375"/>
      <c r="BB136" s="375"/>
      <c r="BC136" s="375"/>
      <c r="BD136" s="375"/>
      <c r="BE136" s="375"/>
      <c r="BF136" s="375"/>
      <c r="BG136" s="375">
        <v>-115764.16</v>
      </c>
      <c r="BH136" s="79">
        <v>-115764.16</v>
      </c>
      <c r="BI136" s="79">
        <v>115764.16</v>
      </c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>
        <v>0</v>
      </c>
    </row>
    <row r="137" spans="1:72" ht="15" hidden="1" customHeight="1">
      <c r="A137" s="79" t="s">
        <v>2307</v>
      </c>
      <c r="B137" s="79"/>
      <c r="C137" s="79" t="s">
        <v>685</v>
      </c>
      <c r="D137" s="296" t="s">
        <v>2308</v>
      </c>
      <c r="E137" s="150" t="s">
        <v>1136</v>
      </c>
      <c r="F137" s="482" t="s">
        <v>1566</v>
      </c>
      <c r="G137" s="150" t="s">
        <v>1135</v>
      </c>
      <c r="H137" s="383" t="s">
        <v>1165</v>
      </c>
      <c r="I137" s="332" t="s">
        <v>1135</v>
      </c>
      <c r="J137" s="383" t="s">
        <v>1165</v>
      </c>
      <c r="K137" s="333" t="s">
        <v>1137</v>
      </c>
      <c r="L137" s="512" t="s">
        <v>639</v>
      </c>
      <c r="M137" s="393" t="s">
        <v>2309</v>
      </c>
      <c r="N137" s="343"/>
      <c r="O137" s="333"/>
      <c r="P137" s="91" t="s">
        <v>686</v>
      </c>
      <c r="Q137" s="347"/>
      <c r="R137" s="346" t="s">
        <v>2306</v>
      </c>
      <c r="S137" s="346" t="s">
        <v>2310</v>
      </c>
      <c r="T137" s="386" t="s">
        <v>684</v>
      </c>
      <c r="U137" s="346" t="s">
        <v>1779</v>
      </c>
      <c r="V137" s="437"/>
      <c r="W137" s="358">
        <v>-146492.82999999999</v>
      </c>
      <c r="X137" s="378">
        <v>115764.16</v>
      </c>
      <c r="Y137" s="425"/>
      <c r="Z137" s="71"/>
      <c r="AA137" s="433"/>
      <c r="AB137" s="434">
        <v>115764.16</v>
      </c>
      <c r="AC137" s="434"/>
      <c r="AD137" s="428" t="s">
        <v>1142</v>
      </c>
      <c r="AE137" s="429">
        <v>0</v>
      </c>
      <c r="AF137" s="429">
        <v>0</v>
      </c>
      <c r="AG137" s="388">
        <v>0</v>
      </c>
      <c r="AH137" s="388">
        <v>0</v>
      </c>
      <c r="AI137" s="388">
        <v>0</v>
      </c>
      <c r="AJ137" s="388">
        <v>0</v>
      </c>
      <c r="AK137" s="388">
        <v>0</v>
      </c>
      <c r="AL137" s="388">
        <v>0</v>
      </c>
      <c r="AM137" s="360">
        <f t="shared" si="5"/>
        <v>115764.16</v>
      </c>
      <c r="AN137" s="362">
        <f>ERP_2[[#This Row],[2026 Working Total]]-ERP_2[[#This Row],[LE2 Final Submission]]</f>
        <v>0</v>
      </c>
      <c r="AO137" s="79">
        <v>0</v>
      </c>
      <c r="AP137" s="79">
        <f t="shared" si="6"/>
        <v>0</v>
      </c>
      <c r="AQ137" s="374">
        <f>SUM(ERP_2[[#This Row],[AP01]:[AP06]])-SUM(ERP_2[[#This Row],[AP01 LE2]:[AP06 LE2]])</f>
        <v>0</v>
      </c>
      <c r="AR137" s="80"/>
      <c r="AS137" s="79">
        <f>ERP_2[[#This Row],[2026 Working Total to Budget/LE]]-ERP_2[[#This Row],[Giveback]]</f>
        <v>0</v>
      </c>
      <c r="AT137" s="81"/>
      <c r="AU137" s="375"/>
      <c r="AV137" s="375">
        <v>115764.16</v>
      </c>
      <c r="AW137" s="375"/>
      <c r="AX137" s="375">
        <v>0</v>
      </c>
      <c r="AY137" s="375">
        <v>0</v>
      </c>
      <c r="AZ137" s="375">
        <v>0</v>
      </c>
      <c r="BA137" s="375">
        <v>0</v>
      </c>
      <c r="BB137" s="375">
        <v>0</v>
      </c>
      <c r="BC137" s="375">
        <v>0</v>
      </c>
      <c r="BD137" s="375">
        <v>0</v>
      </c>
      <c r="BE137" s="375">
        <v>0</v>
      </c>
      <c r="BF137" s="375">
        <v>0</v>
      </c>
      <c r="BG137" s="375">
        <v>115764.16</v>
      </c>
      <c r="BH137" s="103">
        <v>-146492.82999999999</v>
      </c>
      <c r="BI137" s="103">
        <v>0</v>
      </c>
      <c r="BJ137" s="103">
        <v>0</v>
      </c>
      <c r="BK137" s="103">
        <v>0</v>
      </c>
      <c r="BL137" s="103">
        <v>0</v>
      </c>
      <c r="BM137" s="103">
        <v>0</v>
      </c>
      <c r="BN137" s="103">
        <v>0</v>
      </c>
      <c r="BO137" s="103">
        <v>0</v>
      </c>
      <c r="BP137" s="103">
        <v>0</v>
      </c>
      <c r="BQ137" s="103">
        <v>0</v>
      </c>
      <c r="BR137" s="103">
        <v>0</v>
      </c>
      <c r="BS137" s="103">
        <v>0</v>
      </c>
      <c r="BT137" s="79">
        <f>SUM(ERP_2[[#This Row],[2026 AP01]:[2026 AP12]])</f>
        <v>-146492.82999999999</v>
      </c>
    </row>
    <row r="138" spans="1:72" ht="15" hidden="1" customHeight="1">
      <c r="A138" s="79" t="s">
        <v>2311</v>
      </c>
      <c r="B138" s="79"/>
      <c r="C138" s="79" t="s">
        <v>687</v>
      </c>
      <c r="D138" s="296" t="s">
        <v>2312</v>
      </c>
      <c r="E138" s="150" t="s">
        <v>1136</v>
      </c>
      <c r="F138" s="482" t="s">
        <v>1566</v>
      </c>
      <c r="G138" s="150" t="s">
        <v>1135</v>
      </c>
      <c r="H138" s="383" t="s">
        <v>1165</v>
      </c>
      <c r="I138" s="332" t="s">
        <v>1135</v>
      </c>
      <c r="J138" s="383" t="s">
        <v>1165</v>
      </c>
      <c r="K138" s="333" t="s">
        <v>1137</v>
      </c>
      <c r="L138" s="512" t="s">
        <v>639</v>
      </c>
      <c r="M138" s="393" t="s">
        <v>2313</v>
      </c>
      <c r="N138" s="343" t="s">
        <v>2314</v>
      </c>
      <c r="O138" s="332" t="s">
        <v>1186</v>
      </c>
      <c r="P138" s="91" t="s">
        <v>688</v>
      </c>
      <c r="Q138" s="347"/>
      <c r="R138" s="346" t="s">
        <v>2315</v>
      </c>
      <c r="S138" s="346" t="s">
        <v>1710</v>
      </c>
      <c r="T138" s="386" t="s">
        <v>689</v>
      </c>
      <c r="U138" s="346" t="s">
        <v>1348</v>
      </c>
      <c r="V138" s="437"/>
      <c r="W138" s="358">
        <v>169727.17</v>
      </c>
      <c r="X138" s="378">
        <v>0</v>
      </c>
      <c r="Y138" s="425"/>
      <c r="Z138" s="71"/>
      <c r="AA138" s="433"/>
      <c r="AB138" s="434"/>
      <c r="AC138" s="434"/>
      <c r="AD138" s="428" t="s">
        <v>1142</v>
      </c>
      <c r="AE138" s="429">
        <v>0</v>
      </c>
      <c r="AF138" s="429">
        <v>0</v>
      </c>
      <c r="AG138" s="388">
        <v>0</v>
      </c>
      <c r="AH138" s="388">
        <v>0</v>
      </c>
      <c r="AI138" s="388">
        <v>0</v>
      </c>
      <c r="AJ138" s="388">
        <v>0</v>
      </c>
      <c r="AK138" s="388">
        <v>0</v>
      </c>
      <c r="AL138" s="388">
        <v>0</v>
      </c>
      <c r="AM138" s="360">
        <f t="shared" si="5"/>
        <v>0</v>
      </c>
      <c r="AN138" s="362">
        <f>ERP_2[[#This Row],[2026 Working Total]]-ERP_2[[#This Row],[LE2 Final Submission]]</f>
        <v>0</v>
      </c>
      <c r="AO138" s="79">
        <v>0</v>
      </c>
      <c r="AP138" s="79">
        <f t="shared" si="6"/>
        <v>0</v>
      </c>
      <c r="AQ138" s="374">
        <f>SUM(ERP_2[[#This Row],[AP01]:[AP06]])-SUM(ERP_2[[#This Row],[AP01 LE2]:[AP06 LE2]])</f>
        <v>0</v>
      </c>
      <c r="AR138" s="80"/>
      <c r="AS138" s="79">
        <f>ERP_2[[#This Row],[2026 Working Total to Budget/LE]]-ERP_2[[#This Row],[Giveback]]</f>
        <v>0</v>
      </c>
      <c r="AT138" s="81"/>
      <c r="AU138" s="375"/>
      <c r="AV138" s="375"/>
      <c r="AW138" s="375"/>
      <c r="AX138" s="375">
        <v>0</v>
      </c>
      <c r="AY138" s="375">
        <v>0</v>
      </c>
      <c r="AZ138" s="375">
        <v>0</v>
      </c>
      <c r="BA138" s="375">
        <v>0</v>
      </c>
      <c r="BB138" s="375">
        <v>0</v>
      </c>
      <c r="BC138" s="375">
        <v>0</v>
      </c>
      <c r="BD138" s="375">
        <v>0</v>
      </c>
      <c r="BE138" s="375">
        <v>0</v>
      </c>
      <c r="BF138" s="375">
        <v>0</v>
      </c>
      <c r="BG138" s="375">
        <v>0</v>
      </c>
      <c r="BH138" s="103">
        <v>169727.17</v>
      </c>
      <c r="BI138" s="103">
        <v>0</v>
      </c>
      <c r="BJ138" s="103">
        <v>0</v>
      </c>
      <c r="BK138" s="103">
        <v>0</v>
      </c>
      <c r="BL138" s="103">
        <v>0</v>
      </c>
      <c r="BM138" s="103">
        <v>0</v>
      </c>
      <c r="BN138" s="103">
        <v>0</v>
      </c>
      <c r="BO138" s="103">
        <v>0</v>
      </c>
      <c r="BP138" s="103">
        <v>0</v>
      </c>
      <c r="BQ138" s="103">
        <v>0</v>
      </c>
      <c r="BR138" s="103">
        <v>0</v>
      </c>
      <c r="BS138" s="103">
        <v>0</v>
      </c>
      <c r="BT138" s="79">
        <f>SUM(ERP_2[[#This Row],[2026 AP01]:[2026 AP12]])</f>
        <v>169727.17</v>
      </c>
    </row>
    <row r="139" spans="1:72" ht="15" hidden="1" customHeight="1">
      <c r="A139" s="79" t="s">
        <v>2316</v>
      </c>
      <c r="B139" s="79"/>
      <c r="C139" s="79" t="s">
        <v>690</v>
      </c>
      <c r="D139" s="296" t="s">
        <v>2317</v>
      </c>
      <c r="E139" s="150" t="s">
        <v>1136</v>
      </c>
      <c r="F139" s="482" t="s">
        <v>1566</v>
      </c>
      <c r="G139" s="150" t="s">
        <v>1135</v>
      </c>
      <c r="H139" s="383" t="s">
        <v>1165</v>
      </c>
      <c r="I139" s="332" t="s">
        <v>1135</v>
      </c>
      <c r="J139" s="383" t="s">
        <v>1165</v>
      </c>
      <c r="K139" s="333" t="s">
        <v>1137</v>
      </c>
      <c r="L139" s="512" t="s">
        <v>639</v>
      </c>
      <c r="M139" s="393" t="s">
        <v>2318</v>
      </c>
      <c r="N139" s="343"/>
      <c r="O139" s="333"/>
      <c r="P139" s="91" t="s">
        <v>691</v>
      </c>
      <c r="Q139" s="347"/>
      <c r="R139" s="346" t="s">
        <v>2315</v>
      </c>
      <c r="S139" s="346" t="s">
        <v>1710</v>
      </c>
      <c r="T139" s="386" t="s">
        <v>689</v>
      </c>
      <c r="U139" s="346" t="s">
        <v>1348</v>
      </c>
      <c r="V139" s="437"/>
      <c r="W139" s="358">
        <v>-169727.17</v>
      </c>
      <c r="X139" s="378">
        <v>0</v>
      </c>
      <c r="Y139" s="425"/>
      <c r="Z139" s="71"/>
      <c r="AA139" s="433"/>
      <c r="AB139" s="434"/>
      <c r="AC139" s="434"/>
      <c r="AD139" s="428" t="s">
        <v>1142</v>
      </c>
      <c r="AE139" s="429">
        <v>0</v>
      </c>
      <c r="AF139" s="429">
        <v>0</v>
      </c>
      <c r="AG139" s="388">
        <v>0</v>
      </c>
      <c r="AH139" s="388">
        <v>0</v>
      </c>
      <c r="AI139" s="388">
        <v>0</v>
      </c>
      <c r="AJ139" s="388">
        <v>0</v>
      </c>
      <c r="AK139" s="388">
        <v>0</v>
      </c>
      <c r="AL139" s="388">
        <v>0</v>
      </c>
      <c r="AM139" s="360">
        <f t="shared" si="5"/>
        <v>0</v>
      </c>
      <c r="AN139" s="362">
        <f>ERP_2[[#This Row],[2026 Working Total]]-ERP_2[[#This Row],[LE2 Final Submission]]</f>
        <v>0</v>
      </c>
      <c r="AO139" s="79">
        <v>0</v>
      </c>
      <c r="AP139" s="79">
        <f t="shared" si="6"/>
        <v>0</v>
      </c>
      <c r="AQ139" s="374">
        <f>SUM(ERP_2[[#This Row],[AP01]:[AP06]])-SUM(ERP_2[[#This Row],[AP01 LE2]:[AP06 LE2]])</f>
        <v>0</v>
      </c>
      <c r="AR139" s="80"/>
      <c r="AS139" s="79">
        <f>ERP_2[[#This Row],[2026 Working Total to Budget/LE]]-ERP_2[[#This Row],[Giveback]]</f>
        <v>0</v>
      </c>
      <c r="AT139" s="81"/>
      <c r="AU139" s="375"/>
      <c r="AV139" s="375"/>
      <c r="AW139" s="375"/>
      <c r="AX139" s="375">
        <v>0</v>
      </c>
      <c r="AY139" s="375">
        <v>0</v>
      </c>
      <c r="AZ139" s="375">
        <v>0</v>
      </c>
      <c r="BA139" s="375">
        <v>0</v>
      </c>
      <c r="BB139" s="375">
        <v>0</v>
      </c>
      <c r="BC139" s="375">
        <v>0</v>
      </c>
      <c r="BD139" s="375">
        <v>0</v>
      </c>
      <c r="BE139" s="375">
        <v>0</v>
      </c>
      <c r="BF139" s="375">
        <v>0</v>
      </c>
      <c r="BG139" s="375">
        <v>0</v>
      </c>
      <c r="BH139" s="103">
        <v>-169727.17</v>
      </c>
      <c r="BI139" s="103">
        <v>0</v>
      </c>
      <c r="BJ139" s="103">
        <v>0</v>
      </c>
      <c r="BK139" s="103">
        <v>0</v>
      </c>
      <c r="BL139" s="103">
        <v>0</v>
      </c>
      <c r="BM139" s="103">
        <v>0</v>
      </c>
      <c r="BN139" s="103">
        <v>0</v>
      </c>
      <c r="BO139" s="103">
        <v>0</v>
      </c>
      <c r="BP139" s="103">
        <v>0</v>
      </c>
      <c r="BQ139" s="103">
        <v>0</v>
      </c>
      <c r="BR139" s="103">
        <v>0</v>
      </c>
      <c r="BS139" s="103">
        <v>0</v>
      </c>
      <c r="BT139" s="79">
        <f>SUM(ERP_2[[#This Row],[2026 AP01]:[2026 AP12]])</f>
        <v>-169727.17</v>
      </c>
    </row>
    <row r="140" spans="1:72" ht="15" hidden="1" customHeight="1">
      <c r="A140" s="66" t="s">
        <v>2319</v>
      </c>
      <c r="B140" s="66"/>
      <c r="C140" s="66" t="s">
        <v>692</v>
      </c>
      <c r="D140" s="66" t="s">
        <v>2320</v>
      </c>
      <c r="E140" s="150" t="s">
        <v>1136</v>
      </c>
      <c r="F140" s="482" t="s">
        <v>1566</v>
      </c>
      <c r="G140" s="150" t="s">
        <v>1135</v>
      </c>
      <c r="H140" s="150" t="s">
        <v>1161</v>
      </c>
      <c r="I140" s="150" t="s">
        <v>1135</v>
      </c>
      <c r="J140" s="150" t="s">
        <v>1161</v>
      </c>
      <c r="K140" s="150" t="s">
        <v>1137</v>
      </c>
      <c r="L140" s="511" t="s">
        <v>639</v>
      </c>
      <c r="M140" s="392" t="s">
        <v>2321</v>
      </c>
      <c r="N140" s="343" t="s">
        <v>2322</v>
      </c>
      <c r="O140" s="346" t="s">
        <v>1252</v>
      </c>
      <c r="P140" s="70" t="s">
        <v>693</v>
      </c>
      <c r="Q140" s="346"/>
      <c r="R140" s="346" t="s">
        <v>2323</v>
      </c>
      <c r="S140" s="346"/>
      <c r="T140" s="150" t="s">
        <v>25</v>
      </c>
      <c r="U140" s="150" t="s">
        <v>2324</v>
      </c>
      <c r="V140" s="403"/>
      <c r="W140" s="406">
        <v>11026</v>
      </c>
      <c r="X140" s="406">
        <v>11026</v>
      </c>
      <c r="Y140" s="425"/>
      <c r="Z140" s="71"/>
      <c r="AA140" s="426"/>
      <c r="AB140" s="427"/>
      <c r="AC140" s="427"/>
      <c r="AD140" s="428" t="s">
        <v>1142</v>
      </c>
      <c r="AE140" s="429">
        <v>0</v>
      </c>
      <c r="AF140" s="429">
        <v>0</v>
      </c>
      <c r="AG140" s="363"/>
      <c r="AH140" s="363"/>
      <c r="AI140" s="363"/>
      <c r="AJ140" s="363"/>
      <c r="AK140" s="363">
        <v>11026</v>
      </c>
      <c r="AL140" s="360">
        <v>0</v>
      </c>
      <c r="AM140" s="360">
        <f t="shared" si="5"/>
        <v>11026</v>
      </c>
      <c r="AN140" s="362">
        <f>ERP_2[[#This Row],[2026 Working Total]]-ERP_2[[#This Row],[LE2 Final Submission]]</f>
        <v>0</v>
      </c>
      <c r="AO140" s="79"/>
      <c r="AP140" s="79">
        <f t="shared" si="6"/>
        <v>0</v>
      </c>
      <c r="AQ140" s="374">
        <f>SUM(ERP_2[[#This Row],[AP01]:[AP06]])-SUM(ERP_2[[#This Row],[AP01 LE2]:[AP06 LE2]])</f>
        <v>0</v>
      </c>
      <c r="AR140" s="80"/>
      <c r="AS140" s="79">
        <f>ERP_2[[#This Row],[2026 Working Total to Budget/LE]]-ERP_2[[#This Row],[Giveback]]</f>
        <v>0</v>
      </c>
      <c r="AT140" s="81"/>
      <c r="AU140" s="375"/>
      <c r="AV140" s="375"/>
      <c r="AW140" s="375"/>
      <c r="AX140" s="375"/>
      <c r="AY140" s="375"/>
      <c r="AZ140" s="375"/>
      <c r="BA140" s="375"/>
      <c r="BB140" s="375"/>
      <c r="BC140" s="375"/>
      <c r="BD140" s="375"/>
      <c r="BE140" s="375">
        <v>11026</v>
      </c>
      <c r="BF140" s="375">
        <v>0</v>
      </c>
      <c r="BG140" s="375">
        <v>11026</v>
      </c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>
        <v>11026</v>
      </c>
      <c r="BS140" s="79">
        <v>0</v>
      </c>
      <c r="BT140" s="79">
        <v>11026</v>
      </c>
    </row>
    <row r="141" spans="1:72" ht="15" hidden="1" customHeight="1">
      <c r="A141" s="79" t="s">
        <v>2325</v>
      </c>
      <c r="B141" s="79"/>
      <c r="C141" s="79" t="s">
        <v>694</v>
      </c>
      <c r="D141" s="296" t="s">
        <v>2326</v>
      </c>
      <c r="E141" s="150" t="s">
        <v>1136</v>
      </c>
      <c r="F141" s="482" t="s">
        <v>1566</v>
      </c>
      <c r="G141" s="150" t="s">
        <v>1135</v>
      </c>
      <c r="H141" s="383" t="s">
        <v>1145</v>
      </c>
      <c r="I141" s="332" t="s">
        <v>1135</v>
      </c>
      <c r="J141" s="383" t="s">
        <v>1145</v>
      </c>
      <c r="K141" s="331" t="s">
        <v>1137</v>
      </c>
      <c r="L141" s="512" t="s">
        <v>639</v>
      </c>
      <c r="M141" s="393" t="s">
        <v>2327</v>
      </c>
      <c r="N141" s="343" t="s">
        <v>2328</v>
      </c>
      <c r="O141" s="150" t="s">
        <v>1171</v>
      </c>
      <c r="P141" s="91" t="s">
        <v>695</v>
      </c>
      <c r="Q141" s="343"/>
      <c r="R141" s="346" t="s">
        <v>2329</v>
      </c>
      <c r="S141" s="346" t="s">
        <v>1710</v>
      </c>
      <c r="T141" s="386" t="s">
        <v>696</v>
      </c>
      <c r="U141" s="346" t="s">
        <v>1348</v>
      </c>
      <c r="V141" s="437"/>
      <c r="W141" s="358">
        <v>325620</v>
      </c>
      <c r="X141" s="378">
        <v>0</v>
      </c>
      <c r="Y141" s="425"/>
      <c r="Z141" s="71"/>
      <c r="AA141" s="433"/>
      <c r="AB141" s="434"/>
      <c r="AC141" s="434"/>
      <c r="AD141" s="428" t="s">
        <v>1142</v>
      </c>
      <c r="AE141" s="429">
        <v>0</v>
      </c>
      <c r="AF141" s="429">
        <v>0</v>
      </c>
      <c r="AG141" s="388">
        <v>0</v>
      </c>
      <c r="AH141" s="388">
        <v>0</v>
      </c>
      <c r="AI141" s="388">
        <v>0</v>
      </c>
      <c r="AJ141" s="388">
        <v>0</v>
      </c>
      <c r="AK141" s="388">
        <v>0</v>
      </c>
      <c r="AL141" s="388">
        <v>0</v>
      </c>
      <c r="AM141" s="360">
        <f t="shared" si="5"/>
        <v>0</v>
      </c>
      <c r="AN141" s="362">
        <f>ERP_2[[#This Row],[2026 Working Total]]-ERP_2[[#This Row],[LE2 Final Submission]]</f>
        <v>0</v>
      </c>
      <c r="AO141" s="79">
        <v>0</v>
      </c>
      <c r="AP141" s="79">
        <f t="shared" si="6"/>
        <v>0</v>
      </c>
      <c r="AQ141" s="374">
        <f>SUM(ERP_2[[#This Row],[AP01]:[AP06]])-SUM(ERP_2[[#This Row],[AP01 LE2]:[AP06 LE2]])</f>
        <v>0</v>
      </c>
      <c r="AR141" s="80"/>
      <c r="AS141" s="79">
        <f>ERP_2[[#This Row],[2026 Working Total to Budget/LE]]-ERP_2[[#This Row],[Giveback]]</f>
        <v>0</v>
      </c>
      <c r="AT141" s="81"/>
      <c r="AU141" s="375"/>
      <c r="AV141" s="375"/>
      <c r="AW141" s="375"/>
      <c r="AX141" s="375">
        <v>0</v>
      </c>
      <c r="AY141" s="375">
        <v>0</v>
      </c>
      <c r="AZ141" s="375">
        <v>0</v>
      </c>
      <c r="BA141" s="375">
        <v>0</v>
      </c>
      <c r="BB141" s="375">
        <v>0</v>
      </c>
      <c r="BC141" s="375">
        <v>0</v>
      </c>
      <c r="BD141" s="375">
        <v>0</v>
      </c>
      <c r="BE141" s="375">
        <v>0</v>
      </c>
      <c r="BF141" s="375">
        <v>0</v>
      </c>
      <c r="BG141" s="375">
        <v>0</v>
      </c>
      <c r="BH141" s="103">
        <v>325620</v>
      </c>
      <c r="BI141" s="103">
        <v>0</v>
      </c>
      <c r="BJ141" s="103">
        <v>0</v>
      </c>
      <c r="BK141" s="103">
        <v>0</v>
      </c>
      <c r="BL141" s="103">
        <v>0</v>
      </c>
      <c r="BM141" s="103">
        <v>0</v>
      </c>
      <c r="BN141" s="103">
        <v>0</v>
      </c>
      <c r="BO141" s="103">
        <v>0</v>
      </c>
      <c r="BP141" s="103">
        <v>0</v>
      </c>
      <c r="BQ141" s="103">
        <v>0</v>
      </c>
      <c r="BR141" s="103">
        <v>0</v>
      </c>
      <c r="BS141" s="103">
        <v>0</v>
      </c>
      <c r="BT141" s="79">
        <f>SUM(ERP_2[[#This Row],[2026 AP01]:[2026 AP12]])</f>
        <v>325620</v>
      </c>
    </row>
    <row r="142" spans="1:72" ht="15" hidden="1" customHeight="1">
      <c r="A142" s="79" t="s">
        <v>2330</v>
      </c>
      <c r="B142" s="79"/>
      <c r="C142" s="79" t="s">
        <v>697</v>
      </c>
      <c r="D142" s="296" t="s">
        <v>2331</v>
      </c>
      <c r="E142" s="150" t="s">
        <v>1136</v>
      </c>
      <c r="F142" s="482" t="s">
        <v>1566</v>
      </c>
      <c r="G142" s="150" t="s">
        <v>1135</v>
      </c>
      <c r="H142" s="383" t="s">
        <v>1145</v>
      </c>
      <c r="I142" s="332" t="s">
        <v>1135</v>
      </c>
      <c r="J142" s="383" t="s">
        <v>1145</v>
      </c>
      <c r="K142" s="331" t="s">
        <v>1137</v>
      </c>
      <c r="L142" s="512" t="s">
        <v>639</v>
      </c>
      <c r="M142" s="393" t="s">
        <v>2332</v>
      </c>
      <c r="N142" s="343"/>
      <c r="O142" s="331"/>
      <c r="P142" s="91" t="s">
        <v>698</v>
      </c>
      <c r="Q142" s="343"/>
      <c r="R142" s="346" t="s">
        <v>2329</v>
      </c>
      <c r="S142" s="346" t="s">
        <v>1710</v>
      </c>
      <c r="T142" s="386" t="s">
        <v>696</v>
      </c>
      <c r="U142" s="346" t="s">
        <v>1348</v>
      </c>
      <c r="V142" s="437"/>
      <c r="W142" s="358">
        <v>-325620</v>
      </c>
      <c r="X142" s="378">
        <v>0</v>
      </c>
      <c r="Y142" s="425"/>
      <c r="Z142" s="71"/>
      <c r="AA142" s="433"/>
      <c r="AB142" s="434"/>
      <c r="AC142" s="434"/>
      <c r="AD142" s="428" t="s">
        <v>1142</v>
      </c>
      <c r="AE142" s="429">
        <v>0</v>
      </c>
      <c r="AF142" s="429">
        <v>0</v>
      </c>
      <c r="AG142" s="388">
        <v>0</v>
      </c>
      <c r="AH142" s="388">
        <v>0</v>
      </c>
      <c r="AI142" s="388">
        <v>0</v>
      </c>
      <c r="AJ142" s="388">
        <v>0</v>
      </c>
      <c r="AK142" s="388">
        <v>0</v>
      </c>
      <c r="AL142" s="388">
        <v>0</v>
      </c>
      <c r="AM142" s="360">
        <f t="shared" si="5"/>
        <v>0</v>
      </c>
      <c r="AN142" s="362">
        <f>ERP_2[[#This Row],[2026 Working Total]]-ERP_2[[#This Row],[LE2 Final Submission]]</f>
        <v>0</v>
      </c>
      <c r="AO142" s="79">
        <v>0</v>
      </c>
      <c r="AP142" s="79">
        <f t="shared" si="6"/>
        <v>0</v>
      </c>
      <c r="AQ142" s="374">
        <f>SUM(ERP_2[[#This Row],[AP01]:[AP06]])-SUM(ERP_2[[#This Row],[AP01 LE2]:[AP06 LE2]])</f>
        <v>0</v>
      </c>
      <c r="AR142" s="80"/>
      <c r="AS142" s="79">
        <f>ERP_2[[#This Row],[2026 Working Total to Budget/LE]]-ERP_2[[#This Row],[Giveback]]</f>
        <v>0</v>
      </c>
      <c r="AT142" s="81"/>
      <c r="AU142" s="375"/>
      <c r="AV142" s="375"/>
      <c r="AW142" s="375"/>
      <c r="AX142" s="375">
        <v>0</v>
      </c>
      <c r="AY142" s="375">
        <v>0</v>
      </c>
      <c r="AZ142" s="375">
        <v>0</v>
      </c>
      <c r="BA142" s="375">
        <v>0</v>
      </c>
      <c r="BB142" s="375">
        <v>0</v>
      </c>
      <c r="BC142" s="375">
        <v>0</v>
      </c>
      <c r="BD142" s="375">
        <v>0</v>
      </c>
      <c r="BE142" s="375">
        <v>0</v>
      </c>
      <c r="BF142" s="375">
        <v>0</v>
      </c>
      <c r="BG142" s="375">
        <v>0</v>
      </c>
      <c r="BH142" s="103">
        <v>-325620</v>
      </c>
      <c r="BI142" s="103">
        <v>0</v>
      </c>
      <c r="BJ142" s="103">
        <v>0</v>
      </c>
      <c r="BK142" s="103">
        <v>0</v>
      </c>
      <c r="BL142" s="103">
        <v>0</v>
      </c>
      <c r="BM142" s="103">
        <v>0</v>
      </c>
      <c r="BN142" s="103">
        <v>0</v>
      </c>
      <c r="BO142" s="103">
        <v>0</v>
      </c>
      <c r="BP142" s="103">
        <v>0</v>
      </c>
      <c r="BQ142" s="103">
        <v>0</v>
      </c>
      <c r="BR142" s="103">
        <v>0</v>
      </c>
      <c r="BS142" s="103">
        <v>0</v>
      </c>
      <c r="BT142" s="79">
        <f>SUM(ERP_2[[#This Row],[2026 AP01]:[2026 AP12]])</f>
        <v>-325620</v>
      </c>
    </row>
    <row r="143" spans="1:72" ht="15" hidden="1" customHeight="1">
      <c r="A143" s="66" t="s">
        <v>2333</v>
      </c>
      <c r="B143" s="66"/>
      <c r="C143" s="66" t="s">
        <v>699</v>
      </c>
      <c r="D143" s="66" t="s">
        <v>2334</v>
      </c>
      <c r="E143" s="150" t="s">
        <v>1136</v>
      </c>
      <c r="F143" s="482" t="s">
        <v>1566</v>
      </c>
      <c r="G143" s="150" t="s">
        <v>1135</v>
      </c>
      <c r="H143" s="150" t="s">
        <v>1145</v>
      </c>
      <c r="I143" s="150" t="s">
        <v>1135</v>
      </c>
      <c r="J143" s="150" t="s">
        <v>1145</v>
      </c>
      <c r="K143" s="150" t="s">
        <v>1137</v>
      </c>
      <c r="L143" s="511" t="s">
        <v>639</v>
      </c>
      <c r="M143" s="392" t="s">
        <v>2335</v>
      </c>
      <c r="N143" s="343" t="s">
        <v>2305</v>
      </c>
      <c r="O143" s="346" t="s">
        <v>1186</v>
      </c>
      <c r="P143" s="70" t="s">
        <v>700</v>
      </c>
      <c r="Q143" s="346"/>
      <c r="R143" s="346" t="s">
        <v>2336</v>
      </c>
      <c r="S143" s="346"/>
      <c r="T143" s="150" t="s">
        <v>701</v>
      </c>
      <c r="U143" s="150"/>
      <c r="V143" s="403"/>
      <c r="W143" s="406">
        <v>54093.63</v>
      </c>
      <c r="X143" s="406">
        <v>55716.44</v>
      </c>
      <c r="Y143" s="425"/>
      <c r="Z143" s="71"/>
      <c r="AA143" s="426"/>
      <c r="AB143" s="427">
        <v>55716.44</v>
      </c>
      <c r="AC143" s="431">
        <v>0</v>
      </c>
      <c r="AD143" s="428">
        <v>0</v>
      </c>
      <c r="AE143" s="429">
        <v>0</v>
      </c>
      <c r="AF143" s="429">
        <v>0</v>
      </c>
      <c r="AG143" s="360">
        <v>0</v>
      </c>
      <c r="AH143" s="360">
        <v>0</v>
      </c>
      <c r="AI143" s="360">
        <v>0</v>
      </c>
      <c r="AJ143" s="360">
        <v>0</v>
      </c>
      <c r="AK143" s="360">
        <v>0</v>
      </c>
      <c r="AL143" s="360">
        <v>0</v>
      </c>
      <c r="AM143" s="360">
        <f t="shared" si="5"/>
        <v>55716.44</v>
      </c>
      <c r="AN143" s="362">
        <f>ERP_2[[#This Row],[2026 Working Total]]-ERP_2[[#This Row],[LE2 Final Submission]]</f>
        <v>0</v>
      </c>
      <c r="AO143" s="79">
        <v>0</v>
      </c>
      <c r="AP143" s="79">
        <f t="shared" si="6"/>
        <v>0</v>
      </c>
      <c r="AQ143" s="374">
        <f>SUM(ERP_2[[#This Row],[AP01]:[AP06]])-SUM(ERP_2[[#This Row],[AP01 LE2]:[AP06 LE2]])</f>
        <v>0</v>
      </c>
      <c r="AR143" s="80"/>
      <c r="AS143" s="79">
        <f>ERP_2[[#This Row],[2026 Working Total to Budget/LE]]-ERP_2[[#This Row],[Giveback]]</f>
        <v>0</v>
      </c>
      <c r="AT143" s="81"/>
      <c r="AU143" s="375"/>
      <c r="AV143" s="375">
        <v>55716.44</v>
      </c>
      <c r="AW143" s="375">
        <v>0</v>
      </c>
      <c r="AX143" s="375">
        <v>0</v>
      </c>
      <c r="AY143" s="375">
        <v>0</v>
      </c>
      <c r="AZ143" s="375">
        <v>0</v>
      </c>
      <c r="BA143" s="375">
        <v>0</v>
      </c>
      <c r="BB143" s="375">
        <v>0</v>
      </c>
      <c r="BC143" s="375">
        <v>0</v>
      </c>
      <c r="BD143" s="375">
        <v>0</v>
      </c>
      <c r="BE143" s="375">
        <v>0</v>
      </c>
      <c r="BF143" s="375">
        <v>0</v>
      </c>
      <c r="BG143" s="375">
        <v>55716.44</v>
      </c>
      <c r="BH143" s="79"/>
      <c r="BI143" s="79">
        <v>55716.44</v>
      </c>
      <c r="BJ143" s="79">
        <v>0</v>
      </c>
      <c r="BK143" s="79">
        <v>0</v>
      </c>
      <c r="BL143" s="79">
        <v>0</v>
      </c>
      <c r="BM143" s="79">
        <v>0</v>
      </c>
      <c r="BN143" s="79">
        <v>0</v>
      </c>
      <c r="BO143" s="79">
        <v>0</v>
      </c>
      <c r="BP143" s="79">
        <v>0</v>
      </c>
      <c r="BQ143" s="79">
        <v>0</v>
      </c>
      <c r="BR143" s="79">
        <v>0</v>
      </c>
      <c r="BS143" s="79">
        <v>0</v>
      </c>
      <c r="BT143" s="79">
        <v>55716.44</v>
      </c>
    </row>
    <row r="144" spans="1:72" ht="15" hidden="1" customHeight="1">
      <c r="A144" s="66" t="s">
        <v>2337</v>
      </c>
      <c r="B144" s="66"/>
      <c r="C144" s="66" t="s">
        <v>702</v>
      </c>
      <c r="D144" s="66" t="s">
        <v>702</v>
      </c>
      <c r="E144" s="150" t="s">
        <v>1136</v>
      </c>
      <c r="F144" s="482" t="s">
        <v>1566</v>
      </c>
      <c r="G144" s="150" t="s">
        <v>1135</v>
      </c>
      <c r="H144" s="150" t="s">
        <v>1135</v>
      </c>
      <c r="I144" s="150" t="s">
        <v>1135</v>
      </c>
      <c r="J144" s="150" t="s">
        <v>1135</v>
      </c>
      <c r="K144" s="150" t="s">
        <v>1137</v>
      </c>
      <c r="L144" s="511" t="s">
        <v>639</v>
      </c>
      <c r="M144" s="392" t="s">
        <v>2338</v>
      </c>
      <c r="N144" s="343" t="s">
        <v>1231</v>
      </c>
      <c r="O144" s="346" t="s">
        <v>1171</v>
      </c>
      <c r="P144" s="70" t="s">
        <v>703</v>
      </c>
      <c r="Q144" s="346"/>
      <c r="R144" s="346" t="s">
        <v>2339</v>
      </c>
      <c r="S144" s="346"/>
      <c r="T144" s="150" t="s">
        <v>704</v>
      </c>
      <c r="U144" s="150" t="s">
        <v>2340</v>
      </c>
      <c r="V144" s="403"/>
      <c r="W144" s="406">
        <v>3581394.5999999992</v>
      </c>
      <c r="X144" s="406">
        <v>3026808.87</v>
      </c>
      <c r="Y144" s="430"/>
      <c r="Z144" s="137"/>
      <c r="AA144" s="426">
        <v>3026811.49</v>
      </c>
      <c r="AB144" s="427">
        <v>-3073725.16</v>
      </c>
      <c r="AC144" s="427">
        <v>803616.54</v>
      </c>
      <c r="AD144" s="428">
        <v>0</v>
      </c>
      <c r="AE144" s="429">
        <v>1470681.36</v>
      </c>
      <c r="AF144" s="429">
        <v>735340.67999999993</v>
      </c>
      <c r="AG144" s="363">
        <f>252234-252234</f>
        <v>0</v>
      </c>
      <c r="AH144" s="363">
        <f>252234+252234</f>
        <v>504468</v>
      </c>
      <c r="AI144" s="363">
        <v>252234</v>
      </c>
      <c r="AJ144" s="363">
        <f>252234-252234</f>
        <v>0</v>
      </c>
      <c r="AK144" s="363">
        <f>252234+252234</f>
        <v>504468</v>
      </c>
      <c r="AL144" s="363">
        <v>252234</v>
      </c>
      <c r="AM144" s="360">
        <f t="shared" si="5"/>
        <v>4476128.91</v>
      </c>
      <c r="AN144" s="362">
        <f>ERP_2[[#This Row],[2026 Working Total]]-ERP_2[[#This Row],[LE2 Final Submission]]</f>
        <v>1449320.04</v>
      </c>
      <c r="AO144" s="79">
        <v>504468</v>
      </c>
      <c r="AP144" s="79">
        <f t="shared" si="6"/>
        <v>230872.67999999993</v>
      </c>
      <c r="AQ144" s="374">
        <f>SUM(ERP_2[[#This Row],[AP01]:[AP06]])-SUM(ERP_2[[#This Row],[AP01 LE2]:[AP06 LE2]])</f>
        <v>1449320.04</v>
      </c>
      <c r="AR144" s="80"/>
      <c r="AS144" s="79">
        <f>ERP_2[[#This Row],[2026 Working Total to Budget/LE]]-ERP_2[[#This Row],[Giveback]]</f>
        <v>1449320.04</v>
      </c>
      <c r="AT144" s="81"/>
      <c r="AU144" s="375">
        <v>3026811.49</v>
      </c>
      <c r="AV144" s="375">
        <v>-3073725.16</v>
      </c>
      <c r="AW144" s="375">
        <v>803616.54</v>
      </c>
      <c r="AX144" s="375">
        <v>0</v>
      </c>
      <c r="AY144" s="375">
        <v>504468</v>
      </c>
      <c r="AZ144" s="375">
        <v>252234</v>
      </c>
      <c r="BA144" s="375">
        <v>0</v>
      </c>
      <c r="BB144" s="375">
        <v>504468</v>
      </c>
      <c r="BC144" s="375">
        <v>252234</v>
      </c>
      <c r="BD144" s="375">
        <v>0</v>
      </c>
      <c r="BE144" s="375">
        <v>504468</v>
      </c>
      <c r="BF144" s="375">
        <v>252234</v>
      </c>
      <c r="BG144" s="375">
        <v>3026808.87</v>
      </c>
      <c r="BH144" s="79">
        <v>3026811.49</v>
      </c>
      <c r="BI144" s="79">
        <v>-3073725.16</v>
      </c>
      <c r="BJ144" s="79">
        <v>803616.54</v>
      </c>
      <c r="BK144" s="79">
        <v>252234</v>
      </c>
      <c r="BL144" s="79">
        <v>252234</v>
      </c>
      <c r="BM144" s="79">
        <v>252234</v>
      </c>
      <c r="BN144" s="79">
        <v>252234</v>
      </c>
      <c r="BO144" s="79">
        <v>252234</v>
      </c>
      <c r="BP144" s="79">
        <v>252234</v>
      </c>
      <c r="BQ144" s="79">
        <v>252234</v>
      </c>
      <c r="BR144" s="79">
        <v>252234</v>
      </c>
      <c r="BS144" s="79">
        <v>252234</v>
      </c>
      <c r="BT144" s="79">
        <v>3026808.87</v>
      </c>
    </row>
    <row r="145" spans="1:72" ht="15" hidden="1" customHeight="1">
      <c r="A145" s="79" t="s">
        <v>2341</v>
      </c>
      <c r="B145" s="79"/>
      <c r="C145" s="79" t="s">
        <v>705</v>
      </c>
      <c r="D145" s="296" t="s">
        <v>705</v>
      </c>
      <c r="E145" s="150" t="s">
        <v>1136</v>
      </c>
      <c r="F145" s="482" t="s">
        <v>1566</v>
      </c>
      <c r="G145" s="150" t="s">
        <v>1135</v>
      </c>
      <c r="H145" s="150" t="s">
        <v>1135</v>
      </c>
      <c r="I145" s="332" t="s">
        <v>1135</v>
      </c>
      <c r="J145" s="383" t="s">
        <v>1135</v>
      </c>
      <c r="K145" s="331" t="s">
        <v>1137</v>
      </c>
      <c r="L145" s="512" t="s">
        <v>639</v>
      </c>
      <c r="M145" s="393" t="s">
        <v>2342</v>
      </c>
      <c r="N145" s="343" t="s">
        <v>2343</v>
      </c>
      <c r="O145" s="150" t="s">
        <v>1171</v>
      </c>
      <c r="P145" s="91" t="s">
        <v>706</v>
      </c>
      <c r="Q145" s="343"/>
      <c r="R145" s="346" t="s">
        <v>2339</v>
      </c>
      <c r="S145" s="346" t="s">
        <v>1710</v>
      </c>
      <c r="T145" s="386" t="s">
        <v>707</v>
      </c>
      <c r="U145" s="387" t="s">
        <v>2344</v>
      </c>
      <c r="V145" s="437"/>
      <c r="W145" s="358">
        <v>678893.73</v>
      </c>
      <c r="X145" s="378">
        <v>0</v>
      </c>
      <c r="Y145" s="425"/>
      <c r="Z145" s="71"/>
      <c r="AA145" s="433"/>
      <c r="AB145" s="434"/>
      <c r="AC145" s="434"/>
      <c r="AD145" s="428" t="s">
        <v>1142</v>
      </c>
      <c r="AE145" s="429">
        <v>0</v>
      </c>
      <c r="AF145" s="429">
        <v>0</v>
      </c>
      <c r="AG145" s="388">
        <v>0</v>
      </c>
      <c r="AH145" s="388">
        <v>0</v>
      </c>
      <c r="AI145" s="388">
        <v>0</v>
      </c>
      <c r="AJ145" s="388">
        <v>0</v>
      </c>
      <c r="AK145" s="388">
        <v>0</v>
      </c>
      <c r="AL145" s="388">
        <v>0</v>
      </c>
      <c r="AM145" s="360">
        <f t="shared" si="5"/>
        <v>0</v>
      </c>
      <c r="AN145" s="362">
        <f>ERP_2[[#This Row],[2026 Working Total]]-ERP_2[[#This Row],[LE2 Final Submission]]</f>
        <v>0</v>
      </c>
      <c r="AO145" s="79">
        <v>0</v>
      </c>
      <c r="AP145" s="79">
        <f t="shared" si="6"/>
        <v>0</v>
      </c>
      <c r="AQ145" s="374">
        <f>SUM(ERP_2[[#This Row],[AP01]:[AP06]])-SUM(ERP_2[[#This Row],[AP01 LE2]:[AP06 LE2]])</f>
        <v>0</v>
      </c>
      <c r="AR145" s="80"/>
      <c r="AS145" s="79">
        <f>ERP_2[[#This Row],[2026 Working Total to Budget/LE]]-ERP_2[[#This Row],[Giveback]]</f>
        <v>0</v>
      </c>
      <c r="AT145" s="81"/>
      <c r="AU145" s="375"/>
      <c r="AV145" s="375"/>
      <c r="AW145" s="375"/>
      <c r="AX145" s="375">
        <v>0</v>
      </c>
      <c r="AY145" s="375">
        <v>0</v>
      </c>
      <c r="AZ145" s="375">
        <v>0</v>
      </c>
      <c r="BA145" s="375">
        <v>0</v>
      </c>
      <c r="BB145" s="375">
        <v>0</v>
      </c>
      <c r="BC145" s="375">
        <v>0</v>
      </c>
      <c r="BD145" s="375">
        <v>0</v>
      </c>
      <c r="BE145" s="375">
        <v>0</v>
      </c>
      <c r="BF145" s="375">
        <v>0</v>
      </c>
      <c r="BG145" s="375">
        <v>0</v>
      </c>
      <c r="BH145" s="103">
        <v>678893.73</v>
      </c>
      <c r="BI145" s="103">
        <v>0</v>
      </c>
      <c r="BJ145" s="103">
        <v>0</v>
      </c>
      <c r="BK145" s="103">
        <v>0</v>
      </c>
      <c r="BL145" s="103">
        <v>0</v>
      </c>
      <c r="BM145" s="103">
        <v>0</v>
      </c>
      <c r="BN145" s="103">
        <v>0</v>
      </c>
      <c r="BO145" s="103">
        <v>0</v>
      </c>
      <c r="BP145" s="103">
        <v>0</v>
      </c>
      <c r="BQ145" s="103">
        <v>0</v>
      </c>
      <c r="BR145" s="103">
        <v>0</v>
      </c>
      <c r="BS145" s="103">
        <v>0</v>
      </c>
      <c r="BT145" s="79">
        <f>SUM(ERP_2[[#This Row],[2026 AP01]:[2026 AP12]])</f>
        <v>678893.73</v>
      </c>
    </row>
    <row r="146" spans="1:72" ht="15" hidden="1" customHeight="1">
      <c r="A146" s="79" t="s">
        <v>2345</v>
      </c>
      <c r="B146" s="79"/>
      <c r="C146" s="79" t="s">
        <v>708</v>
      </c>
      <c r="D146" s="296" t="s">
        <v>708</v>
      </c>
      <c r="E146" s="150" t="s">
        <v>1136</v>
      </c>
      <c r="F146" s="482" t="s">
        <v>1566</v>
      </c>
      <c r="G146" s="150" t="s">
        <v>1135</v>
      </c>
      <c r="H146" s="150" t="s">
        <v>1135</v>
      </c>
      <c r="I146" s="332" t="s">
        <v>1135</v>
      </c>
      <c r="J146" s="383" t="s">
        <v>1135</v>
      </c>
      <c r="K146" s="331" t="s">
        <v>1137</v>
      </c>
      <c r="L146" s="512" t="s">
        <v>639</v>
      </c>
      <c r="M146" s="393" t="s">
        <v>2346</v>
      </c>
      <c r="N146" s="343" t="s">
        <v>2343</v>
      </c>
      <c r="O146" s="150" t="s">
        <v>1171</v>
      </c>
      <c r="P146" s="91" t="s">
        <v>709</v>
      </c>
      <c r="Q146" s="343"/>
      <c r="R146" s="346" t="s">
        <v>2339</v>
      </c>
      <c r="S146" s="346" t="s">
        <v>1710</v>
      </c>
      <c r="T146" s="386" t="s">
        <v>707</v>
      </c>
      <c r="U146" s="346" t="s">
        <v>1348</v>
      </c>
      <c r="V146" s="437"/>
      <c r="W146" s="358">
        <v>-678893.73</v>
      </c>
      <c r="X146" s="378">
        <v>0</v>
      </c>
      <c r="Y146" s="425"/>
      <c r="Z146" s="71"/>
      <c r="AA146" s="433"/>
      <c r="AB146" s="434"/>
      <c r="AC146" s="434"/>
      <c r="AD146" s="428" t="s">
        <v>1142</v>
      </c>
      <c r="AE146" s="429">
        <v>0</v>
      </c>
      <c r="AF146" s="429">
        <v>0</v>
      </c>
      <c r="AG146" s="388">
        <v>0</v>
      </c>
      <c r="AH146" s="388">
        <v>0</v>
      </c>
      <c r="AI146" s="388">
        <v>0</v>
      </c>
      <c r="AJ146" s="388">
        <v>0</v>
      </c>
      <c r="AK146" s="388">
        <v>0</v>
      </c>
      <c r="AL146" s="388">
        <v>0</v>
      </c>
      <c r="AM146" s="360">
        <f t="shared" si="5"/>
        <v>0</v>
      </c>
      <c r="AN146" s="362">
        <f>ERP_2[[#This Row],[2026 Working Total]]-ERP_2[[#This Row],[LE2 Final Submission]]</f>
        <v>0</v>
      </c>
      <c r="AO146" s="79">
        <v>0</v>
      </c>
      <c r="AP146" s="79">
        <f t="shared" si="6"/>
        <v>0</v>
      </c>
      <c r="AQ146" s="374">
        <f>SUM(ERP_2[[#This Row],[AP01]:[AP06]])-SUM(ERP_2[[#This Row],[AP01 LE2]:[AP06 LE2]])</f>
        <v>0</v>
      </c>
      <c r="AR146" s="80"/>
      <c r="AS146" s="79">
        <f>ERP_2[[#This Row],[2026 Working Total to Budget/LE]]-ERP_2[[#This Row],[Giveback]]</f>
        <v>0</v>
      </c>
      <c r="AT146" s="81"/>
      <c r="AU146" s="375"/>
      <c r="AV146" s="375"/>
      <c r="AW146" s="375"/>
      <c r="AX146" s="375">
        <v>0</v>
      </c>
      <c r="AY146" s="375">
        <v>0</v>
      </c>
      <c r="AZ146" s="375">
        <v>0</v>
      </c>
      <c r="BA146" s="375">
        <v>0</v>
      </c>
      <c r="BB146" s="375">
        <v>0</v>
      </c>
      <c r="BC146" s="375">
        <v>0</v>
      </c>
      <c r="BD146" s="375">
        <v>0</v>
      </c>
      <c r="BE146" s="375">
        <v>0</v>
      </c>
      <c r="BF146" s="375">
        <v>0</v>
      </c>
      <c r="BG146" s="375">
        <v>0</v>
      </c>
      <c r="BH146" s="103">
        <v>-678893.73</v>
      </c>
      <c r="BI146" s="103">
        <v>0</v>
      </c>
      <c r="BJ146" s="103">
        <v>0</v>
      </c>
      <c r="BK146" s="103">
        <v>0</v>
      </c>
      <c r="BL146" s="103">
        <v>0</v>
      </c>
      <c r="BM146" s="103">
        <v>0</v>
      </c>
      <c r="BN146" s="103">
        <v>0</v>
      </c>
      <c r="BO146" s="103">
        <v>0</v>
      </c>
      <c r="BP146" s="103">
        <v>0</v>
      </c>
      <c r="BQ146" s="103">
        <v>0</v>
      </c>
      <c r="BR146" s="103">
        <v>0</v>
      </c>
      <c r="BS146" s="103">
        <v>0</v>
      </c>
      <c r="BT146" s="79">
        <f>SUM(ERP_2[[#This Row],[2026 AP01]:[2026 AP12]])</f>
        <v>-678893.73</v>
      </c>
    </row>
    <row r="147" spans="1:72" ht="15" hidden="1" customHeight="1">
      <c r="A147" s="79" t="s">
        <v>2347</v>
      </c>
      <c r="B147" s="79"/>
      <c r="C147" s="79" t="s">
        <v>710</v>
      </c>
      <c r="D147" s="296" t="s">
        <v>710</v>
      </c>
      <c r="E147" s="150" t="s">
        <v>1136</v>
      </c>
      <c r="F147" s="482" t="s">
        <v>1566</v>
      </c>
      <c r="G147" s="150" t="s">
        <v>1135</v>
      </c>
      <c r="H147" s="150" t="s">
        <v>1135</v>
      </c>
      <c r="I147" s="332" t="s">
        <v>1135</v>
      </c>
      <c r="J147" s="383" t="s">
        <v>1135</v>
      </c>
      <c r="K147" s="331" t="s">
        <v>1137</v>
      </c>
      <c r="L147" s="512" t="s">
        <v>639</v>
      </c>
      <c r="M147" s="393" t="s">
        <v>2348</v>
      </c>
      <c r="N147" s="343" t="s">
        <v>2343</v>
      </c>
      <c r="O147" s="150" t="s">
        <v>1171</v>
      </c>
      <c r="P147" s="91" t="s">
        <v>711</v>
      </c>
      <c r="Q147" s="343"/>
      <c r="R147" s="346" t="s">
        <v>2339</v>
      </c>
      <c r="S147" s="346" t="s">
        <v>1710</v>
      </c>
      <c r="T147" s="386" t="s">
        <v>707</v>
      </c>
      <c r="U147" s="346" t="s">
        <v>1348</v>
      </c>
      <c r="V147" s="437"/>
      <c r="W147" s="358">
        <v>4128.4799999999996</v>
      </c>
      <c r="X147" s="378">
        <v>0</v>
      </c>
      <c r="Y147" s="430"/>
      <c r="Z147" s="137"/>
      <c r="AA147" s="433"/>
      <c r="AB147" s="434"/>
      <c r="AC147" s="434"/>
      <c r="AD147" s="428" t="s">
        <v>1142</v>
      </c>
      <c r="AE147" s="429">
        <v>0</v>
      </c>
      <c r="AF147" s="429">
        <v>0</v>
      </c>
      <c r="AG147" s="388">
        <v>0</v>
      </c>
      <c r="AH147" s="388">
        <v>0</v>
      </c>
      <c r="AI147" s="388">
        <v>0</v>
      </c>
      <c r="AJ147" s="388">
        <v>0</v>
      </c>
      <c r="AK147" s="388">
        <v>0</v>
      </c>
      <c r="AL147" s="388">
        <v>0</v>
      </c>
      <c r="AM147" s="360">
        <f t="shared" si="5"/>
        <v>0</v>
      </c>
      <c r="AN147" s="362">
        <f>ERP_2[[#This Row],[2026 Working Total]]-ERP_2[[#This Row],[LE2 Final Submission]]</f>
        <v>0</v>
      </c>
      <c r="AO147" s="79">
        <v>0</v>
      </c>
      <c r="AP147" s="79">
        <f t="shared" si="6"/>
        <v>0</v>
      </c>
      <c r="AQ147" s="374">
        <f>SUM(ERP_2[[#This Row],[AP01]:[AP06]])-SUM(ERP_2[[#This Row],[AP01 LE2]:[AP06 LE2]])</f>
        <v>0</v>
      </c>
      <c r="AR147" s="80"/>
      <c r="AS147" s="79">
        <f>ERP_2[[#This Row],[2026 Working Total to Budget/LE]]-ERP_2[[#This Row],[Giveback]]</f>
        <v>0</v>
      </c>
      <c r="AT147" s="81"/>
      <c r="AU147" s="375"/>
      <c r="AV147" s="375"/>
      <c r="AW147" s="375"/>
      <c r="AX147" s="375">
        <v>0</v>
      </c>
      <c r="AY147" s="375">
        <v>0</v>
      </c>
      <c r="AZ147" s="375">
        <v>0</v>
      </c>
      <c r="BA147" s="375">
        <v>0</v>
      </c>
      <c r="BB147" s="375">
        <v>0</v>
      </c>
      <c r="BC147" s="375">
        <v>0</v>
      </c>
      <c r="BD147" s="375">
        <v>0</v>
      </c>
      <c r="BE147" s="375">
        <v>0</v>
      </c>
      <c r="BF147" s="375">
        <v>0</v>
      </c>
      <c r="BG147" s="375">
        <v>0</v>
      </c>
      <c r="BH147" s="103">
        <v>4128.4799999999996</v>
      </c>
      <c r="BI147" s="103">
        <v>0</v>
      </c>
      <c r="BJ147" s="103">
        <v>0</v>
      </c>
      <c r="BK147" s="103">
        <v>0</v>
      </c>
      <c r="BL147" s="103">
        <v>0</v>
      </c>
      <c r="BM147" s="103">
        <v>0</v>
      </c>
      <c r="BN147" s="103">
        <v>0</v>
      </c>
      <c r="BO147" s="103">
        <v>0</v>
      </c>
      <c r="BP147" s="103">
        <v>0</v>
      </c>
      <c r="BQ147" s="103">
        <v>0</v>
      </c>
      <c r="BR147" s="103">
        <v>0</v>
      </c>
      <c r="BS147" s="103">
        <v>0</v>
      </c>
      <c r="BT147" s="79">
        <f>SUM(ERP_2[[#This Row],[2026 AP01]:[2026 AP12]])</f>
        <v>4128.4799999999996</v>
      </c>
    </row>
    <row r="148" spans="1:72" ht="15" hidden="1" customHeight="1">
      <c r="A148" s="79" t="s">
        <v>2349</v>
      </c>
      <c r="B148" s="79"/>
      <c r="C148" s="79" t="s">
        <v>712</v>
      </c>
      <c r="D148" s="296" t="s">
        <v>712</v>
      </c>
      <c r="E148" s="150" t="s">
        <v>1136</v>
      </c>
      <c r="F148" s="482" t="s">
        <v>1566</v>
      </c>
      <c r="G148" s="150" t="s">
        <v>1135</v>
      </c>
      <c r="H148" s="150" t="s">
        <v>1135</v>
      </c>
      <c r="I148" s="332" t="s">
        <v>1135</v>
      </c>
      <c r="J148" s="383" t="s">
        <v>1135</v>
      </c>
      <c r="K148" s="331" t="s">
        <v>1137</v>
      </c>
      <c r="L148" s="512" t="s">
        <v>639</v>
      </c>
      <c r="M148" s="393" t="s">
        <v>2350</v>
      </c>
      <c r="N148" s="343" t="s">
        <v>2343</v>
      </c>
      <c r="O148" s="150" t="s">
        <v>1171</v>
      </c>
      <c r="P148" s="91" t="s">
        <v>713</v>
      </c>
      <c r="Q148" s="343"/>
      <c r="R148" s="346" t="s">
        <v>2339</v>
      </c>
      <c r="S148" s="346" t="s">
        <v>1710</v>
      </c>
      <c r="T148" s="386" t="s">
        <v>707</v>
      </c>
      <c r="U148" s="346" t="s">
        <v>1348</v>
      </c>
      <c r="V148" s="437"/>
      <c r="W148" s="358">
        <v>-4128.4799999999996</v>
      </c>
      <c r="X148" s="378">
        <v>0</v>
      </c>
      <c r="Y148" s="425"/>
      <c r="Z148" s="71"/>
      <c r="AA148" s="433"/>
      <c r="AB148" s="434"/>
      <c r="AC148" s="434"/>
      <c r="AD148" s="428" t="s">
        <v>1142</v>
      </c>
      <c r="AE148" s="429">
        <v>0</v>
      </c>
      <c r="AF148" s="429">
        <v>0</v>
      </c>
      <c r="AG148" s="388">
        <v>0</v>
      </c>
      <c r="AH148" s="388">
        <v>0</v>
      </c>
      <c r="AI148" s="388">
        <v>0</v>
      </c>
      <c r="AJ148" s="388">
        <v>0</v>
      </c>
      <c r="AK148" s="388">
        <v>0</v>
      </c>
      <c r="AL148" s="388">
        <v>0</v>
      </c>
      <c r="AM148" s="360">
        <f t="shared" si="5"/>
        <v>0</v>
      </c>
      <c r="AN148" s="362">
        <f>ERP_2[[#This Row],[2026 Working Total]]-ERP_2[[#This Row],[LE2 Final Submission]]</f>
        <v>0</v>
      </c>
      <c r="AO148" s="79">
        <v>0</v>
      </c>
      <c r="AP148" s="79">
        <f t="shared" si="6"/>
        <v>0</v>
      </c>
      <c r="AQ148" s="374">
        <f>SUM(ERP_2[[#This Row],[AP01]:[AP06]])-SUM(ERP_2[[#This Row],[AP01 LE2]:[AP06 LE2]])</f>
        <v>0</v>
      </c>
      <c r="AR148" s="80"/>
      <c r="AS148" s="79">
        <f>ERP_2[[#This Row],[2026 Working Total to Budget/LE]]-ERP_2[[#This Row],[Giveback]]</f>
        <v>0</v>
      </c>
      <c r="AT148" s="81"/>
      <c r="AU148" s="375"/>
      <c r="AV148" s="375"/>
      <c r="AW148" s="375"/>
      <c r="AX148" s="375">
        <v>0</v>
      </c>
      <c r="AY148" s="375">
        <v>0</v>
      </c>
      <c r="AZ148" s="375">
        <v>0</v>
      </c>
      <c r="BA148" s="375">
        <v>0</v>
      </c>
      <c r="BB148" s="375">
        <v>0</v>
      </c>
      <c r="BC148" s="375">
        <v>0</v>
      </c>
      <c r="BD148" s="375">
        <v>0</v>
      </c>
      <c r="BE148" s="375">
        <v>0</v>
      </c>
      <c r="BF148" s="375">
        <v>0</v>
      </c>
      <c r="BG148" s="375">
        <v>0</v>
      </c>
      <c r="BH148" s="103">
        <v>-4128.4799999999996</v>
      </c>
      <c r="BI148" s="103">
        <v>0</v>
      </c>
      <c r="BJ148" s="103">
        <v>0</v>
      </c>
      <c r="BK148" s="103">
        <v>0</v>
      </c>
      <c r="BL148" s="103">
        <v>0</v>
      </c>
      <c r="BM148" s="103">
        <v>0</v>
      </c>
      <c r="BN148" s="103">
        <v>0</v>
      </c>
      <c r="BO148" s="103">
        <v>0</v>
      </c>
      <c r="BP148" s="103">
        <v>0</v>
      </c>
      <c r="BQ148" s="103">
        <v>0</v>
      </c>
      <c r="BR148" s="103">
        <v>0</v>
      </c>
      <c r="BS148" s="103">
        <v>0</v>
      </c>
      <c r="BT148" s="79">
        <f>SUM(ERP_2[[#This Row],[2026 AP01]:[2026 AP12]])</f>
        <v>-4128.4799999999996</v>
      </c>
    </row>
    <row r="149" spans="1:72" ht="15" hidden="1" customHeight="1">
      <c r="A149" s="79" t="s">
        <v>2351</v>
      </c>
      <c r="B149" s="79"/>
      <c r="C149" s="79" t="s">
        <v>714</v>
      </c>
      <c r="D149" s="296" t="s">
        <v>714</v>
      </c>
      <c r="E149" s="150" t="s">
        <v>1136</v>
      </c>
      <c r="F149" s="482" t="s">
        <v>1566</v>
      </c>
      <c r="G149" s="150" t="s">
        <v>1135</v>
      </c>
      <c r="H149" s="150" t="s">
        <v>1135</v>
      </c>
      <c r="I149" s="332" t="s">
        <v>1135</v>
      </c>
      <c r="J149" s="383" t="s">
        <v>1135</v>
      </c>
      <c r="K149" s="331" t="s">
        <v>1137</v>
      </c>
      <c r="L149" s="512" t="s">
        <v>639</v>
      </c>
      <c r="M149" s="393" t="s">
        <v>2352</v>
      </c>
      <c r="N149" s="343" t="s">
        <v>2343</v>
      </c>
      <c r="O149" s="150" t="s">
        <v>1171</v>
      </c>
      <c r="P149" s="91" t="s">
        <v>715</v>
      </c>
      <c r="Q149" s="343"/>
      <c r="R149" s="346" t="s">
        <v>2339</v>
      </c>
      <c r="S149" s="346" t="s">
        <v>1710</v>
      </c>
      <c r="T149" s="386" t="s">
        <v>707</v>
      </c>
      <c r="U149" s="569" t="s">
        <v>1348</v>
      </c>
      <c r="V149" s="437"/>
      <c r="W149" s="358">
        <v>37248.410000000003</v>
      </c>
      <c r="X149" s="378">
        <v>0</v>
      </c>
      <c r="Y149" s="425"/>
      <c r="Z149" s="71"/>
      <c r="AA149" s="433"/>
      <c r="AB149" s="434"/>
      <c r="AC149" s="434"/>
      <c r="AD149" s="428" t="s">
        <v>1142</v>
      </c>
      <c r="AE149" s="429">
        <v>0</v>
      </c>
      <c r="AF149" s="429">
        <v>0</v>
      </c>
      <c r="AG149" s="388">
        <v>0</v>
      </c>
      <c r="AH149" s="388">
        <v>0</v>
      </c>
      <c r="AI149" s="388">
        <v>0</v>
      </c>
      <c r="AJ149" s="388">
        <v>0</v>
      </c>
      <c r="AK149" s="388">
        <v>0</v>
      </c>
      <c r="AL149" s="388">
        <v>0</v>
      </c>
      <c r="AM149" s="360">
        <f t="shared" si="5"/>
        <v>0</v>
      </c>
      <c r="AN149" s="362">
        <f>ERP_2[[#This Row],[2026 Working Total]]-ERP_2[[#This Row],[LE2 Final Submission]]</f>
        <v>0</v>
      </c>
      <c r="AO149" s="79">
        <v>0</v>
      </c>
      <c r="AP149" s="79">
        <f t="shared" si="6"/>
        <v>0</v>
      </c>
      <c r="AQ149" s="374">
        <f>SUM(ERP_2[[#This Row],[AP01]:[AP06]])-SUM(ERP_2[[#This Row],[AP01 LE2]:[AP06 LE2]])</f>
        <v>0</v>
      </c>
      <c r="AR149" s="80"/>
      <c r="AS149" s="79">
        <f>ERP_2[[#This Row],[2026 Working Total to Budget/LE]]-ERP_2[[#This Row],[Giveback]]</f>
        <v>0</v>
      </c>
      <c r="AT149" s="81"/>
      <c r="AU149" s="375"/>
      <c r="AV149" s="375"/>
      <c r="AW149" s="375"/>
      <c r="AX149" s="375">
        <v>0</v>
      </c>
      <c r="AY149" s="375">
        <v>0</v>
      </c>
      <c r="AZ149" s="375">
        <v>0</v>
      </c>
      <c r="BA149" s="375">
        <v>0</v>
      </c>
      <c r="BB149" s="375">
        <v>0</v>
      </c>
      <c r="BC149" s="375">
        <v>0</v>
      </c>
      <c r="BD149" s="375">
        <v>0</v>
      </c>
      <c r="BE149" s="375">
        <v>0</v>
      </c>
      <c r="BF149" s="375">
        <v>0</v>
      </c>
      <c r="BG149" s="375">
        <v>0</v>
      </c>
      <c r="BH149" s="103">
        <v>37248.410000000003</v>
      </c>
      <c r="BI149" s="103">
        <v>0</v>
      </c>
      <c r="BJ149" s="103">
        <v>0</v>
      </c>
      <c r="BK149" s="103">
        <v>0</v>
      </c>
      <c r="BL149" s="103">
        <v>0</v>
      </c>
      <c r="BM149" s="103">
        <v>0</v>
      </c>
      <c r="BN149" s="103">
        <v>0</v>
      </c>
      <c r="BO149" s="103">
        <v>0</v>
      </c>
      <c r="BP149" s="103">
        <v>0</v>
      </c>
      <c r="BQ149" s="103">
        <v>0</v>
      </c>
      <c r="BR149" s="103">
        <v>0</v>
      </c>
      <c r="BS149" s="103">
        <v>0</v>
      </c>
      <c r="BT149" s="79">
        <f>SUM(ERP_2[[#This Row],[2026 AP01]:[2026 AP12]])</f>
        <v>37248.410000000003</v>
      </c>
    </row>
    <row r="150" spans="1:72" ht="15" hidden="1" customHeight="1">
      <c r="A150" s="79" t="s">
        <v>2353</v>
      </c>
      <c r="B150" s="79"/>
      <c r="C150" s="79" t="s">
        <v>716</v>
      </c>
      <c r="D150" s="296" t="s">
        <v>716</v>
      </c>
      <c r="E150" s="150" t="s">
        <v>1136</v>
      </c>
      <c r="F150" s="482" t="s">
        <v>1566</v>
      </c>
      <c r="G150" s="150" t="s">
        <v>1135</v>
      </c>
      <c r="H150" s="150" t="s">
        <v>1135</v>
      </c>
      <c r="I150" s="332" t="s">
        <v>1135</v>
      </c>
      <c r="J150" s="383" t="s">
        <v>1135</v>
      </c>
      <c r="K150" s="331" t="s">
        <v>1137</v>
      </c>
      <c r="L150" s="512" t="s">
        <v>639</v>
      </c>
      <c r="M150" s="393" t="s">
        <v>2354</v>
      </c>
      <c r="N150" s="343" t="s">
        <v>2343</v>
      </c>
      <c r="O150" s="150" t="s">
        <v>1171</v>
      </c>
      <c r="P150" s="91" t="s">
        <v>717</v>
      </c>
      <c r="Q150" s="343"/>
      <c r="R150" s="346" t="s">
        <v>2339</v>
      </c>
      <c r="S150" s="346" t="s">
        <v>1710</v>
      </c>
      <c r="T150" s="386" t="s">
        <v>707</v>
      </c>
      <c r="U150" s="346" t="s">
        <v>1348</v>
      </c>
      <c r="V150" s="437"/>
      <c r="W150" s="358">
        <v>-37248.410000000003</v>
      </c>
      <c r="X150" s="378">
        <v>0</v>
      </c>
      <c r="Y150" s="430"/>
      <c r="Z150" s="137"/>
      <c r="AA150" s="433"/>
      <c r="AB150" s="434"/>
      <c r="AC150" s="434"/>
      <c r="AD150" s="428" t="s">
        <v>1142</v>
      </c>
      <c r="AE150" s="429">
        <v>0</v>
      </c>
      <c r="AF150" s="429">
        <v>0</v>
      </c>
      <c r="AG150" s="388">
        <v>0</v>
      </c>
      <c r="AH150" s="388">
        <v>0</v>
      </c>
      <c r="AI150" s="388">
        <v>0</v>
      </c>
      <c r="AJ150" s="388">
        <v>0</v>
      </c>
      <c r="AK150" s="388">
        <v>0</v>
      </c>
      <c r="AL150" s="388">
        <v>0</v>
      </c>
      <c r="AM150" s="360">
        <f t="shared" si="5"/>
        <v>0</v>
      </c>
      <c r="AN150" s="362">
        <f>ERP_2[[#This Row],[2026 Working Total]]-ERP_2[[#This Row],[LE2 Final Submission]]</f>
        <v>0</v>
      </c>
      <c r="AO150" s="79">
        <v>0</v>
      </c>
      <c r="AP150" s="79">
        <f t="shared" si="6"/>
        <v>0</v>
      </c>
      <c r="AQ150" s="374">
        <f>SUM(ERP_2[[#This Row],[AP01]:[AP06]])-SUM(ERP_2[[#This Row],[AP01 LE2]:[AP06 LE2]])</f>
        <v>0</v>
      </c>
      <c r="AR150" s="80"/>
      <c r="AS150" s="79">
        <f>ERP_2[[#This Row],[2026 Working Total to Budget/LE]]-ERP_2[[#This Row],[Giveback]]</f>
        <v>0</v>
      </c>
      <c r="AT150" s="81"/>
      <c r="AU150" s="375"/>
      <c r="AV150" s="375"/>
      <c r="AW150" s="375"/>
      <c r="AX150" s="375">
        <v>0</v>
      </c>
      <c r="AY150" s="375">
        <v>0</v>
      </c>
      <c r="AZ150" s="375">
        <v>0</v>
      </c>
      <c r="BA150" s="375">
        <v>0</v>
      </c>
      <c r="BB150" s="375">
        <v>0</v>
      </c>
      <c r="BC150" s="375">
        <v>0</v>
      </c>
      <c r="BD150" s="375">
        <v>0</v>
      </c>
      <c r="BE150" s="375">
        <v>0</v>
      </c>
      <c r="BF150" s="375">
        <v>0</v>
      </c>
      <c r="BG150" s="375">
        <v>0</v>
      </c>
      <c r="BH150" s="103">
        <v>-37248.410000000003</v>
      </c>
      <c r="BI150" s="103">
        <v>0</v>
      </c>
      <c r="BJ150" s="103">
        <v>0</v>
      </c>
      <c r="BK150" s="103">
        <v>0</v>
      </c>
      <c r="BL150" s="103">
        <v>0</v>
      </c>
      <c r="BM150" s="103">
        <v>0</v>
      </c>
      <c r="BN150" s="103">
        <v>0</v>
      </c>
      <c r="BO150" s="103">
        <v>0</v>
      </c>
      <c r="BP150" s="103">
        <v>0</v>
      </c>
      <c r="BQ150" s="103">
        <v>0</v>
      </c>
      <c r="BR150" s="103">
        <v>0</v>
      </c>
      <c r="BS150" s="103">
        <v>0</v>
      </c>
      <c r="BT150" s="79">
        <f>SUM(ERP_2[[#This Row],[2026 AP01]:[2026 AP12]])</f>
        <v>-37248.410000000003</v>
      </c>
    </row>
    <row r="151" spans="1:72" ht="15" hidden="1" customHeight="1">
      <c r="A151" s="79" t="s">
        <v>2355</v>
      </c>
      <c r="B151" s="79"/>
      <c r="C151" s="79" t="s">
        <v>718</v>
      </c>
      <c r="D151" s="296" t="s">
        <v>718</v>
      </c>
      <c r="E151" s="150" t="s">
        <v>1136</v>
      </c>
      <c r="F151" s="482" t="s">
        <v>1566</v>
      </c>
      <c r="G151" s="150" t="s">
        <v>1135</v>
      </c>
      <c r="H151" s="150" t="s">
        <v>1135</v>
      </c>
      <c r="I151" s="332" t="s">
        <v>1135</v>
      </c>
      <c r="J151" s="383" t="s">
        <v>1135</v>
      </c>
      <c r="K151" s="331" t="s">
        <v>1137</v>
      </c>
      <c r="L151" s="512" t="s">
        <v>639</v>
      </c>
      <c r="M151" s="393" t="s">
        <v>2356</v>
      </c>
      <c r="N151" s="343" t="s">
        <v>2343</v>
      </c>
      <c r="O151" s="150" t="s">
        <v>1171</v>
      </c>
      <c r="P151" s="91" t="s">
        <v>719</v>
      </c>
      <c r="Q151" s="343"/>
      <c r="R151" s="346" t="s">
        <v>2339</v>
      </c>
      <c r="S151" s="346" t="s">
        <v>1710</v>
      </c>
      <c r="T151" s="386" t="s">
        <v>707</v>
      </c>
      <c r="U151" s="346" t="s">
        <v>1348</v>
      </c>
      <c r="V151" s="437"/>
      <c r="W151" s="358">
        <v>40181.519999999997</v>
      </c>
      <c r="X151" s="378">
        <v>0</v>
      </c>
      <c r="Y151" s="425"/>
      <c r="Z151" s="71"/>
      <c r="AA151" s="433"/>
      <c r="AB151" s="434"/>
      <c r="AC151" s="434"/>
      <c r="AD151" s="428" t="s">
        <v>1142</v>
      </c>
      <c r="AE151" s="429">
        <v>0</v>
      </c>
      <c r="AF151" s="429">
        <v>0</v>
      </c>
      <c r="AG151" s="388">
        <v>0</v>
      </c>
      <c r="AH151" s="388">
        <v>0</v>
      </c>
      <c r="AI151" s="388">
        <v>0</v>
      </c>
      <c r="AJ151" s="388">
        <v>0</v>
      </c>
      <c r="AK151" s="388">
        <v>0</v>
      </c>
      <c r="AL151" s="388">
        <v>0</v>
      </c>
      <c r="AM151" s="360">
        <f t="shared" si="5"/>
        <v>0</v>
      </c>
      <c r="AN151" s="362">
        <f>ERP_2[[#This Row],[2026 Working Total]]-ERP_2[[#This Row],[LE2 Final Submission]]</f>
        <v>0</v>
      </c>
      <c r="AO151" s="79">
        <v>0</v>
      </c>
      <c r="AP151" s="79">
        <f t="shared" si="6"/>
        <v>0</v>
      </c>
      <c r="AQ151" s="374">
        <f>SUM(ERP_2[[#This Row],[AP01]:[AP06]])-SUM(ERP_2[[#This Row],[AP01 LE2]:[AP06 LE2]])</f>
        <v>0</v>
      </c>
      <c r="AR151" s="80"/>
      <c r="AS151" s="79">
        <f>ERP_2[[#This Row],[2026 Working Total to Budget/LE]]-ERP_2[[#This Row],[Giveback]]</f>
        <v>0</v>
      </c>
      <c r="AT151" s="81"/>
      <c r="AU151" s="375"/>
      <c r="AV151" s="375"/>
      <c r="AW151" s="375"/>
      <c r="AX151" s="375">
        <v>0</v>
      </c>
      <c r="AY151" s="375">
        <v>0</v>
      </c>
      <c r="AZ151" s="375">
        <v>0</v>
      </c>
      <c r="BA151" s="375">
        <v>0</v>
      </c>
      <c r="BB151" s="375">
        <v>0</v>
      </c>
      <c r="BC151" s="375">
        <v>0</v>
      </c>
      <c r="BD151" s="375">
        <v>0</v>
      </c>
      <c r="BE151" s="375">
        <v>0</v>
      </c>
      <c r="BF151" s="375">
        <v>0</v>
      </c>
      <c r="BG151" s="375">
        <v>0</v>
      </c>
      <c r="BH151" s="103">
        <v>40181.519999999997</v>
      </c>
      <c r="BI151" s="103">
        <v>0</v>
      </c>
      <c r="BJ151" s="103">
        <v>0</v>
      </c>
      <c r="BK151" s="103">
        <v>0</v>
      </c>
      <c r="BL151" s="103">
        <v>0</v>
      </c>
      <c r="BM151" s="103">
        <v>0</v>
      </c>
      <c r="BN151" s="103">
        <v>0</v>
      </c>
      <c r="BO151" s="103">
        <v>0</v>
      </c>
      <c r="BP151" s="103">
        <v>0</v>
      </c>
      <c r="BQ151" s="103">
        <v>0</v>
      </c>
      <c r="BR151" s="103">
        <v>0</v>
      </c>
      <c r="BS151" s="103">
        <v>0</v>
      </c>
      <c r="BT151" s="79">
        <f>SUM(ERP_2[[#This Row],[2026 AP01]:[2026 AP12]])</f>
        <v>40181.519999999997</v>
      </c>
    </row>
    <row r="152" spans="1:72" ht="15" hidden="1" customHeight="1">
      <c r="A152" s="79" t="s">
        <v>2357</v>
      </c>
      <c r="B152" s="79"/>
      <c r="C152" s="79" t="s">
        <v>720</v>
      </c>
      <c r="D152" s="296" t="s">
        <v>720</v>
      </c>
      <c r="E152" s="150" t="s">
        <v>1136</v>
      </c>
      <c r="F152" s="482" t="s">
        <v>1566</v>
      </c>
      <c r="G152" s="150" t="s">
        <v>1135</v>
      </c>
      <c r="H152" s="150" t="s">
        <v>1135</v>
      </c>
      <c r="I152" s="332" t="s">
        <v>1135</v>
      </c>
      <c r="J152" s="383" t="s">
        <v>1135</v>
      </c>
      <c r="K152" s="331" t="s">
        <v>1137</v>
      </c>
      <c r="L152" s="512" t="s">
        <v>639</v>
      </c>
      <c r="M152" s="393" t="s">
        <v>2358</v>
      </c>
      <c r="N152" s="343" t="s">
        <v>2343</v>
      </c>
      <c r="O152" s="150" t="s">
        <v>1171</v>
      </c>
      <c r="P152" s="91" t="s">
        <v>721</v>
      </c>
      <c r="Q152" s="343"/>
      <c r="R152" s="346" t="s">
        <v>2339</v>
      </c>
      <c r="S152" s="346" t="s">
        <v>1710</v>
      </c>
      <c r="T152" s="386" t="s">
        <v>707</v>
      </c>
      <c r="U152" s="346" t="s">
        <v>1348</v>
      </c>
      <c r="V152" s="437"/>
      <c r="W152" s="358">
        <v>-40181</v>
      </c>
      <c r="X152" s="378">
        <v>0</v>
      </c>
      <c r="Y152" s="425"/>
      <c r="Z152" s="71"/>
      <c r="AA152" s="433"/>
      <c r="AB152" s="434"/>
      <c r="AC152" s="434"/>
      <c r="AD152" s="428" t="s">
        <v>1142</v>
      </c>
      <c r="AE152" s="429">
        <v>0</v>
      </c>
      <c r="AF152" s="429">
        <v>0</v>
      </c>
      <c r="AG152" s="388">
        <v>0</v>
      </c>
      <c r="AH152" s="388">
        <v>0</v>
      </c>
      <c r="AI152" s="388">
        <v>0</v>
      </c>
      <c r="AJ152" s="388">
        <v>0</v>
      </c>
      <c r="AK152" s="388">
        <v>0</v>
      </c>
      <c r="AL152" s="388">
        <v>0</v>
      </c>
      <c r="AM152" s="360">
        <f t="shared" si="5"/>
        <v>0</v>
      </c>
      <c r="AN152" s="362">
        <f>ERP_2[[#This Row],[2026 Working Total]]-ERP_2[[#This Row],[LE2 Final Submission]]</f>
        <v>0</v>
      </c>
      <c r="AO152" s="79">
        <v>0</v>
      </c>
      <c r="AP152" s="79">
        <f t="shared" si="6"/>
        <v>0</v>
      </c>
      <c r="AQ152" s="374">
        <f>SUM(ERP_2[[#This Row],[AP01]:[AP06]])-SUM(ERP_2[[#This Row],[AP01 LE2]:[AP06 LE2]])</f>
        <v>0</v>
      </c>
      <c r="AR152" s="80"/>
      <c r="AS152" s="79">
        <f>ERP_2[[#This Row],[2026 Working Total to Budget/LE]]-ERP_2[[#This Row],[Giveback]]</f>
        <v>0</v>
      </c>
      <c r="AT152" s="81"/>
      <c r="AU152" s="375"/>
      <c r="AV152" s="375"/>
      <c r="AW152" s="375"/>
      <c r="AX152" s="375">
        <v>0</v>
      </c>
      <c r="AY152" s="375">
        <v>0</v>
      </c>
      <c r="AZ152" s="375">
        <v>0</v>
      </c>
      <c r="BA152" s="375">
        <v>0</v>
      </c>
      <c r="BB152" s="375">
        <v>0</v>
      </c>
      <c r="BC152" s="375">
        <v>0</v>
      </c>
      <c r="BD152" s="375">
        <v>0</v>
      </c>
      <c r="BE152" s="375">
        <v>0</v>
      </c>
      <c r="BF152" s="375">
        <v>0</v>
      </c>
      <c r="BG152" s="375">
        <v>0</v>
      </c>
      <c r="BH152" s="103">
        <v>-40181</v>
      </c>
      <c r="BI152" s="103">
        <v>0</v>
      </c>
      <c r="BJ152" s="103">
        <v>0</v>
      </c>
      <c r="BK152" s="103">
        <v>0</v>
      </c>
      <c r="BL152" s="103">
        <v>0</v>
      </c>
      <c r="BM152" s="103">
        <v>0</v>
      </c>
      <c r="BN152" s="103">
        <v>0</v>
      </c>
      <c r="BO152" s="103">
        <v>0</v>
      </c>
      <c r="BP152" s="103">
        <v>0</v>
      </c>
      <c r="BQ152" s="103">
        <v>0</v>
      </c>
      <c r="BR152" s="103">
        <v>0</v>
      </c>
      <c r="BS152" s="103">
        <v>0</v>
      </c>
      <c r="BT152" s="79">
        <f>SUM(ERP_2[[#This Row],[2026 AP01]:[2026 AP12]])</f>
        <v>-40181</v>
      </c>
    </row>
    <row r="153" spans="1:72" ht="15" hidden="1" customHeight="1">
      <c r="A153" s="79" t="s">
        <v>2359</v>
      </c>
      <c r="B153" s="79"/>
      <c r="C153" s="79" t="s">
        <v>722</v>
      </c>
      <c r="D153" s="296" t="s">
        <v>722</v>
      </c>
      <c r="E153" s="150" t="s">
        <v>1136</v>
      </c>
      <c r="F153" s="482" t="s">
        <v>1566</v>
      </c>
      <c r="G153" s="150" t="s">
        <v>1135</v>
      </c>
      <c r="H153" s="150" t="s">
        <v>1135</v>
      </c>
      <c r="I153" s="332" t="s">
        <v>1135</v>
      </c>
      <c r="J153" s="383" t="s">
        <v>1135</v>
      </c>
      <c r="K153" s="331" t="s">
        <v>1137</v>
      </c>
      <c r="L153" s="512" t="s">
        <v>639</v>
      </c>
      <c r="M153" s="393" t="s">
        <v>2360</v>
      </c>
      <c r="N153" s="343" t="s">
        <v>2343</v>
      </c>
      <c r="O153" s="150" t="s">
        <v>1171</v>
      </c>
      <c r="P153" s="91" t="s">
        <v>723</v>
      </c>
      <c r="Q153" s="343"/>
      <c r="R153" s="346" t="s">
        <v>2339</v>
      </c>
      <c r="S153" s="346" t="s">
        <v>1710</v>
      </c>
      <c r="T153" s="386" t="s">
        <v>707</v>
      </c>
      <c r="U153" s="346" t="s">
        <v>1348</v>
      </c>
      <c r="V153" s="437"/>
      <c r="W153" s="358">
        <v>253752.12</v>
      </c>
      <c r="X153" s="378">
        <v>0</v>
      </c>
      <c r="Y153" s="430"/>
      <c r="Z153" s="137"/>
      <c r="AA153" s="433"/>
      <c r="AB153" s="434"/>
      <c r="AC153" s="434"/>
      <c r="AD153" s="428" t="s">
        <v>1142</v>
      </c>
      <c r="AE153" s="429">
        <v>0</v>
      </c>
      <c r="AF153" s="429">
        <v>0</v>
      </c>
      <c r="AG153" s="388">
        <v>0</v>
      </c>
      <c r="AH153" s="388">
        <v>0</v>
      </c>
      <c r="AI153" s="388">
        <v>0</v>
      </c>
      <c r="AJ153" s="388">
        <v>0</v>
      </c>
      <c r="AK153" s="388">
        <v>0</v>
      </c>
      <c r="AL153" s="388">
        <v>0</v>
      </c>
      <c r="AM153" s="360">
        <f t="shared" si="5"/>
        <v>0</v>
      </c>
      <c r="AN153" s="362">
        <f>ERP_2[[#This Row],[2026 Working Total]]-ERP_2[[#This Row],[LE2 Final Submission]]</f>
        <v>0</v>
      </c>
      <c r="AO153" s="79">
        <v>0</v>
      </c>
      <c r="AP153" s="79">
        <f t="shared" si="6"/>
        <v>0</v>
      </c>
      <c r="AQ153" s="374">
        <f>SUM(ERP_2[[#This Row],[AP01]:[AP06]])-SUM(ERP_2[[#This Row],[AP01 LE2]:[AP06 LE2]])</f>
        <v>0</v>
      </c>
      <c r="AR153" s="80"/>
      <c r="AS153" s="79">
        <f>ERP_2[[#This Row],[2026 Working Total to Budget/LE]]-ERP_2[[#This Row],[Giveback]]</f>
        <v>0</v>
      </c>
      <c r="AT153" s="81"/>
      <c r="AU153" s="375"/>
      <c r="AV153" s="375"/>
      <c r="AW153" s="375"/>
      <c r="AX153" s="375">
        <v>0</v>
      </c>
      <c r="AY153" s="375">
        <v>0</v>
      </c>
      <c r="AZ153" s="375">
        <v>0</v>
      </c>
      <c r="BA153" s="375">
        <v>0</v>
      </c>
      <c r="BB153" s="375">
        <v>0</v>
      </c>
      <c r="BC153" s="375">
        <v>0</v>
      </c>
      <c r="BD153" s="375">
        <v>0</v>
      </c>
      <c r="BE153" s="375">
        <v>0</v>
      </c>
      <c r="BF153" s="375">
        <v>0</v>
      </c>
      <c r="BG153" s="375">
        <v>0</v>
      </c>
      <c r="BH153" s="103">
        <v>253752.12</v>
      </c>
      <c r="BI153" s="103">
        <v>0</v>
      </c>
      <c r="BJ153" s="103">
        <v>0</v>
      </c>
      <c r="BK153" s="103">
        <v>0</v>
      </c>
      <c r="BL153" s="103">
        <v>0</v>
      </c>
      <c r="BM153" s="103">
        <v>0</v>
      </c>
      <c r="BN153" s="103">
        <v>0</v>
      </c>
      <c r="BO153" s="103">
        <v>0</v>
      </c>
      <c r="BP153" s="103">
        <v>0</v>
      </c>
      <c r="BQ153" s="103">
        <v>0</v>
      </c>
      <c r="BR153" s="103">
        <v>0</v>
      </c>
      <c r="BS153" s="103">
        <v>0</v>
      </c>
      <c r="BT153" s="79">
        <f>SUM(ERP_2[[#This Row],[2026 AP01]:[2026 AP12]])</f>
        <v>253752.12</v>
      </c>
    </row>
    <row r="154" spans="1:72" ht="15" hidden="1" customHeight="1">
      <c r="A154" s="79" t="s">
        <v>2361</v>
      </c>
      <c r="B154" s="79"/>
      <c r="C154" s="79" t="s">
        <v>724</v>
      </c>
      <c r="D154" s="296" t="s">
        <v>724</v>
      </c>
      <c r="E154" s="150" t="s">
        <v>1136</v>
      </c>
      <c r="F154" s="482" t="s">
        <v>1566</v>
      </c>
      <c r="G154" s="150" t="s">
        <v>1135</v>
      </c>
      <c r="H154" s="150" t="s">
        <v>1135</v>
      </c>
      <c r="I154" s="332" t="s">
        <v>1135</v>
      </c>
      <c r="J154" s="383" t="s">
        <v>1135</v>
      </c>
      <c r="K154" s="331" t="s">
        <v>1137</v>
      </c>
      <c r="L154" s="512" t="s">
        <v>639</v>
      </c>
      <c r="M154" s="393" t="s">
        <v>2362</v>
      </c>
      <c r="N154" s="343" t="s">
        <v>2343</v>
      </c>
      <c r="O154" s="150" t="s">
        <v>1171</v>
      </c>
      <c r="P154" s="91" t="s">
        <v>725</v>
      </c>
      <c r="Q154" s="343"/>
      <c r="R154" s="346" t="s">
        <v>2339</v>
      </c>
      <c r="S154" s="346" t="s">
        <v>1710</v>
      </c>
      <c r="T154" s="386" t="s">
        <v>707</v>
      </c>
      <c r="U154" s="346" t="s">
        <v>1348</v>
      </c>
      <c r="V154" s="437"/>
      <c r="W154" s="358">
        <v>-253752.12</v>
      </c>
      <c r="X154" s="378">
        <v>0</v>
      </c>
      <c r="Y154" s="425"/>
      <c r="Z154" s="71"/>
      <c r="AA154" s="433"/>
      <c r="AB154" s="434"/>
      <c r="AC154" s="434"/>
      <c r="AD154" s="428" t="s">
        <v>1142</v>
      </c>
      <c r="AE154" s="429">
        <v>0</v>
      </c>
      <c r="AF154" s="429">
        <v>0</v>
      </c>
      <c r="AG154" s="388">
        <v>0</v>
      </c>
      <c r="AH154" s="388">
        <v>0</v>
      </c>
      <c r="AI154" s="388">
        <v>0</v>
      </c>
      <c r="AJ154" s="388">
        <v>0</v>
      </c>
      <c r="AK154" s="388">
        <v>0</v>
      </c>
      <c r="AL154" s="388">
        <v>0</v>
      </c>
      <c r="AM154" s="360">
        <f t="shared" si="5"/>
        <v>0</v>
      </c>
      <c r="AN154" s="362">
        <f>ERP_2[[#This Row],[2026 Working Total]]-ERP_2[[#This Row],[LE2 Final Submission]]</f>
        <v>0</v>
      </c>
      <c r="AO154" s="79">
        <v>0</v>
      </c>
      <c r="AP154" s="79">
        <f t="shared" si="6"/>
        <v>0</v>
      </c>
      <c r="AQ154" s="374">
        <f>SUM(ERP_2[[#This Row],[AP01]:[AP06]])-SUM(ERP_2[[#This Row],[AP01 LE2]:[AP06 LE2]])</f>
        <v>0</v>
      </c>
      <c r="AR154" s="80"/>
      <c r="AS154" s="79">
        <f>ERP_2[[#This Row],[2026 Working Total to Budget/LE]]-ERP_2[[#This Row],[Giveback]]</f>
        <v>0</v>
      </c>
      <c r="AT154" s="81"/>
      <c r="AU154" s="375"/>
      <c r="AV154" s="375"/>
      <c r="AW154" s="375"/>
      <c r="AX154" s="375">
        <v>0</v>
      </c>
      <c r="AY154" s="375">
        <v>0</v>
      </c>
      <c r="AZ154" s="375">
        <v>0</v>
      </c>
      <c r="BA154" s="375">
        <v>0</v>
      </c>
      <c r="BB154" s="375">
        <v>0</v>
      </c>
      <c r="BC154" s="375">
        <v>0</v>
      </c>
      <c r="BD154" s="375">
        <v>0</v>
      </c>
      <c r="BE154" s="375">
        <v>0</v>
      </c>
      <c r="BF154" s="375">
        <v>0</v>
      </c>
      <c r="BG154" s="375">
        <v>0</v>
      </c>
      <c r="BH154" s="103">
        <v>-253752.12</v>
      </c>
      <c r="BI154" s="103">
        <v>0</v>
      </c>
      <c r="BJ154" s="103">
        <v>0</v>
      </c>
      <c r="BK154" s="103">
        <v>0</v>
      </c>
      <c r="BL154" s="103">
        <v>0</v>
      </c>
      <c r="BM154" s="103">
        <v>0</v>
      </c>
      <c r="BN154" s="103">
        <v>0</v>
      </c>
      <c r="BO154" s="103">
        <v>0</v>
      </c>
      <c r="BP154" s="103">
        <v>0</v>
      </c>
      <c r="BQ154" s="103">
        <v>0</v>
      </c>
      <c r="BR154" s="103">
        <v>0</v>
      </c>
      <c r="BS154" s="103">
        <v>0</v>
      </c>
      <c r="BT154" s="79">
        <f>SUM(ERP_2[[#This Row],[2026 AP01]:[2026 AP12]])</f>
        <v>-253752.12</v>
      </c>
    </row>
    <row r="155" spans="1:72" ht="15" hidden="1" customHeight="1">
      <c r="A155" s="79" t="s">
        <v>2363</v>
      </c>
      <c r="B155" s="79"/>
      <c r="C155" s="79" t="s">
        <v>726</v>
      </c>
      <c r="D155" s="296" t="s">
        <v>726</v>
      </c>
      <c r="E155" s="150" t="s">
        <v>1136</v>
      </c>
      <c r="F155" s="482" t="s">
        <v>1566</v>
      </c>
      <c r="G155" s="150" t="s">
        <v>1135</v>
      </c>
      <c r="H155" s="150" t="s">
        <v>1135</v>
      </c>
      <c r="I155" s="332" t="s">
        <v>1135</v>
      </c>
      <c r="J155" s="383" t="s">
        <v>1135</v>
      </c>
      <c r="K155" s="331" t="s">
        <v>1137</v>
      </c>
      <c r="L155" s="512" t="s">
        <v>639</v>
      </c>
      <c r="M155" s="393" t="s">
        <v>2364</v>
      </c>
      <c r="N155" s="343" t="s">
        <v>2343</v>
      </c>
      <c r="O155" s="150" t="s">
        <v>1171</v>
      </c>
      <c r="P155" s="91" t="s">
        <v>727</v>
      </c>
      <c r="Q155" s="343"/>
      <c r="R155" s="346" t="s">
        <v>2339</v>
      </c>
      <c r="S155" s="346" t="s">
        <v>1710</v>
      </c>
      <c r="T155" s="386" t="s">
        <v>707</v>
      </c>
      <c r="U155" s="346" t="s">
        <v>1348</v>
      </c>
      <c r="V155" s="437"/>
      <c r="W155" s="358">
        <v>6285.51</v>
      </c>
      <c r="X155" s="378">
        <v>0</v>
      </c>
      <c r="Y155" s="425"/>
      <c r="Z155" s="71"/>
      <c r="AA155" s="433"/>
      <c r="AB155" s="434"/>
      <c r="AC155" s="434"/>
      <c r="AD155" s="428" t="s">
        <v>1142</v>
      </c>
      <c r="AE155" s="429">
        <v>0</v>
      </c>
      <c r="AF155" s="429">
        <v>0</v>
      </c>
      <c r="AG155" s="388">
        <v>0</v>
      </c>
      <c r="AH155" s="388">
        <v>0</v>
      </c>
      <c r="AI155" s="388">
        <v>0</v>
      </c>
      <c r="AJ155" s="388">
        <v>0</v>
      </c>
      <c r="AK155" s="388">
        <v>0</v>
      </c>
      <c r="AL155" s="388">
        <v>0</v>
      </c>
      <c r="AM155" s="360">
        <f t="shared" si="5"/>
        <v>0</v>
      </c>
      <c r="AN155" s="362">
        <f>ERP_2[[#This Row],[2026 Working Total]]-ERP_2[[#This Row],[LE2 Final Submission]]</f>
        <v>0</v>
      </c>
      <c r="AO155" s="79">
        <v>0</v>
      </c>
      <c r="AP155" s="79">
        <f t="shared" si="6"/>
        <v>0</v>
      </c>
      <c r="AQ155" s="374">
        <f>SUM(ERP_2[[#This Row],[AP01]:[AP06]])-SUM(ERP_2[[#This Row],[AP01 LE2]:[AP06 LE2]])</f>
        <v>0</v>
      </c>
      <c r="AR155" s="80"/>
      <c r="AS155" s="79">
        <f>ERP_2[[#This Row],[2026 Working Total to Budget/LE]]-ERP_2[[#This Row],[Giveback]]</f>
        <v>0</v>
      </c>
      <c r="AT155" s="81"/>
      <c r="AU155" s="375"/>
      <c r="AV155" s="375"/>
      <c r="AW155" s="375"/>
      <c r="AX155" s="375">
        <v>0</v>
      </c>
      <c r="AY155" s="375">
        <v>0</v>
      </c>
      <c r="AZ155" s="375">
        <v>0</v>
      </c>
      <c r="BA155" s="375">
        <v>0</v>
      </c>
      <c r="BB155" s="375">
        <v>0</v>
      </c>
      <c r="BC155" s="375">
        <v>0</v>
      </c>
      <c r="BD155" s="375">
        <v>0</v>
      </c>
      <c r="BE155" s="375">
        <v>0</v>
      </c>
      <c r="BF155" s="375">
        <v>0</v>
      </c>
      <c r="BG155" s="375">
        <v>0</v>
      </c>
      <c r="BH155" s="103">
        <v>6285.51</v>
      </c>
      <c r="BI155" s="103">
        <v>0</v>
      </c>
      <c r="BJ155" s="103">
        <v>0</v>
      </c>
      <c r="BK155" s="103">
        <v>0</v>
      </c>
      <c r="BL155" s="103">
        <v>0</v>
      </c>
      <c r="BM155" s="103">
        <v>0</v>
      </c>
      <c r="BN155" s="103">
        <v>0</v>
      </c>
      <c r="BO155" s="103">
        <v>0</v>
      </c>
      <c r="BP155" s="103">
        <v>0</v>
      </c>
      <c r="BQ155" s="103">
        <v>0</v>
      </c>
      <c r="BR155" s="103">
        <v>0</v>
      </c>
      <c r="BS155" s="103">
        <v>0</v>
      </c>
      <c r="BT155" s="79">
        <f>SUM(ERP_2[[#This Row],[2026 AP01]:[2026 AP12]])</f>
        <v>6285.51</v>
      </c>
    </row>
    <row r="156" spans="1:72" ht="15" hidden="1" customHeight="1">
      <c r="A156" s="79" t="s">
        <v>2365</v>
      </c>
      <c r="B156" s="79"/>
      <c r="C156" s="79" t="s">
        <v>728</v>
      </c>
      <c r="D156" s="296" t="s">
        <v>728</v>
      </c>
      <c r="E156" s="150" t="s">
        <v>1136</v>
      </c>
      <c r="F156" s="482" t="s">
        <v>1566</v>
      </c>
      <c r="G156" s="150" t="s">
        <v>1135</v>
      </c>
      <c r="H156" s="150" t="s">
        <v>1135</v>
      </c>
      <c r="I156" s="332" t="s">
        <v>1135</v>
      </c>
      <c r="J156" s="383" t="s">
        <v>1135</v>
      </c>
      <c r="K156" s="331" t="s">
        <v>1137</v>
      </c>
      <c r="L156" s="512" t="s">
        <v>639</v>
      </c>
      <c r="M156" s="393" t="s">
        <v>2366</v>
      </c>
      <c r="N156" s="343" t="s">
        <v>2343</v>
      </c>
      <c r="O156" s="150" t="s">
        <v>1171</v>
      </c>
      <c r="P156" s="91" t="s">
        <v>729</v>
      </c>
      <c r="Q156" s="343"/>
      <c r="R156" s="346" t="s">
        <v>2339</v>
      </c>
      <c r="S156" s="346" t="s">
        <v>1710</v>
      </c>
      <c r="T156" s="386" t="s">
        <v>707</v>
      </c>
      <c r="U156" s="346" t="s">
        <v>1348</v>
      </c>
      <c r="V156" s="437"/>
      <c r="W156" s="358">
        <v>-6285.51</v>
      </c>
      <c r="X156" s="378">
        <v>0</v>
      </c>
      <c r="Y156" s="430"/>
      <c r="Z156" s="137"/>
      <c r="AA156" s="433"/>
      <c r="AB156" s="434"/>
      <c r="AC156" s="434"/>
      <c r="AD156" s="428" t="s">
        <v>1142</v>
      </c>
      <c r="AE156" s="429">
        <v>0</v>
      </c>
      <c r="AF156" s="429">
        <v>0</v>
      </c>
      <c r="AG156" s="388">
        <v>0</v>
      </c>
      <c r="AH156" s="388">
        <v>0</v>
      </c>
      <c r="AI156" s="388">
        <v>0</v>
      </c>
      <c r="AJ156" s="388">
        <v>0</v>
      </c>
      <c r="AK156" s="388">
        <v>0</v>
      </c>
      <c r="AL156" s="388">
        <v>0</v>
      </c>
      <c r="AM156" s="360">
        <f t="shared" si="5"/>
        <v>0</v>
      </c>
      <c r="AN156" s="362">
        <f>ERP_2[[#This Row],[2026 Working Total]]-ERP_2[[#This Row],[LE2 Final Submission]]</f>
        <v>0</v>
      </c>
      <c r="AO156" s="79">
        <v>0</v>
      </c>
      <c r="AP156" s="79">
        <f t="shared" si="6"/>
        <v>0</v>
      </c>
      <c r="AQ156" s="374">
        <f>SUM(ERP_2[[#This Row],[AP01]:[AP06]])-SUM(ERP_2[[#This Row],[AP01 LE2]:[AP06 LE2]])</f>
        <v>0</v>
      </c>
      <c r="AR156" s="80"/>
      <c r="AS156" s="79">
        <f>ERP_2[[#This Row],[2026 Working Total to Budget/LE]]-ERP_2[[#This Row],[Giveback]]</f>
        <v>0</v>
      </c>
      <c r="AT156" s="81"/>
      <c r="AU156" s="375"/>
      <c r="AV156" s="375"/>
      <c r="AW156" s="375"/>
      <c r="AX156" s="375">
        <v>0</v>
      </c>
      <c r="AY156" s="375">
        <v>0</v>
      </c>
      <c r="AZ156" s="375">
        <v>0</v>
      </c>
      <c r="BA156" s="375">
        <v>0</v>
      </c>
      <c r="BB156" s="375">
        <v>0</v>
      </c>
      <c r="BC156" s="375">
        <v>0</v>
      </c>
      <c r="BD156" s="375">
        <v>0</v>
      </c>
      <c r="BE156" s="375">
        <v>0</v>
      </c>
      <c r="BF156" s="375">
        <v>0</v>
      </c>
      <c r="BG156" s="375">
        <v>0</v>
      </c>
      <c r="BH156" s="103">
        <v>-6285.51</v>
      </c>
      <c r="BI156" s="103">
        <v>0</v>
      </c>
      <c r="BJ156" s="103">
        <v>0</v>
      </c>
      <c r="BK156" s="103">
        <v>0</v>
      </c>
      <c r="BL156" s="103">
        <v>0</v>
      </c>
      <c r="BM156" s="103">
        <v>0</v>
      </c>
      <c r="BN156" s="103">
        <v>0</v>
      </c>
      <c r="BO156" s="103">
        <v>0</v>
      </c>
      <c r="BP156" s="103">
        <v>0</v>
      </c>
      <c r="BQ156" s="103">
        <v>0</v>
      </c>
      <c r="BR156" s="103">
        <v>0</v>
      </c>
      <c r="BS156" s="103">
        <v>0</v>
      </c>
      <c r="BT156" s="79">
        <f>SUM(ERP_2[[#This Row],[2026 AP01]:[2026 AP12]])</f>
        <v>-6285.51</v>
      </c>
    </row>
    <row r="157" spans="1:72" ht="15" hidden="1" customHeight="1">
      <c r="A157" s="79" t="s">
        <v>2367</v>
      </c>
      <c r="B157" s="79"/>
      <c r="C157" s="79" t="s">
        <v>730</v>
      </c>
      <c r="D157" s="296" t="s">
        <v>730</v>
      </c>
      <c r="E157" s="150" t="s">
        <v>1136</v>
      </c>
      <c r="F157" s="482" t="s">
        <v>1566</v>
      </c>
      <c r="G157" s="150" t="s">
        <v>1135</v>
      </c>
      <c r="H157" s="150" t="s">
        <v>1135</v>
      </c>
      <c r="I157" s="332" t="s">
        <v>1135</v>
      </c>
      <c r="J157" s="383" t="s">
        <v>1135</v>
      </c>
      <c r="K157" s="331" t="s">
        <v>1137</v>
      </c>
      <c r="L157" s="512" t="s">
        <v>639</v>
      </c>
      <c r="M157" s="393" t="s">
        <v>2368</v>
      </c>
      <c r="N157" s="343" t="s">
        <v>2343</v>
      </c>
      <c r="O157" s="150" t="s">
        <v>1171</v>
      </c>
      <c r="P157" s="91" t="s">
        <v>731</v>
      </c>
      <c r="Q157" s="343"/>
      <c r="R157" s="346" t="s">
        <v>2339</v>
      </c>
      <c r="S157" s="346" t="s">
        <v>1710</v>
      </c>
      <c r="T157" s="386" t="s">
        <v>707</v>
      </c>
      <c r="U157" s="346" t="s">
        <v>1348</v>
      </c>
      <c r="V157" s="437"/>
      <c r="W157" s="358">
        <v>30136.080000000002</v>
      </c>
      <c r="X157" s="378">
        <v>0</v>
      </c>
      <c r="Y157" s="425"/>
      <c r="Z157" s="71"/>
      <c r="AA157" s="433"/>
      <c r="AB157" s="434"/>
      <c r="AC157" s="434"/>
      <c r="AD157" s="428" t="s">
        <v>1142</v>
      </c>
      <c r="AE157" s="429">
        <v>0</v>
      </c>
      <c r="AF157" s="429">
        <v>0</v>
      </c>
      <c r="AG157" s="388">
        <v>0</v>
      </c>
      <c r="AH157" s="388">
        <v>0</v>
      </c>
      <c r="AI157" s="388">
        <v>0</v>
      </c>
      <c r="AJ157" s="388">
        <v>0</v>
      </c>
      <c r="AK157" s="388">
        <v>0</v>
      </c>
      <c r="AL157" s="388">
        <v>0</v>
      </c>
      <c r="AM157" s="360">
        <f t="shared" si="5"/>
        <v>0</v>
      </c>
      <c r="AN157" s="362">
        <f>ERP_2[[#This Row],[2026 Working Total]]-ERP_2[[#This Row],[LE2 Final Submission]]</f>
        <v>0</v>
      </c>
      <c r="AO157" s="79">
        <v>0</v>
      </c>
      <c r="AP157" s="79">
        <f t="shared" si="6"/>
        <v>0</v>
      </c>
      <c r="AQ157" s="374">
        <f>SUM(ERP_2[[#This Row],[AP01]:[AP06]])-SUM(ERP_2[[#This Row],[AP01 LE2]:[AP06 LE2]])</f>
        <v>0</v>
      </c>
      <c r="AR157" s="80"/>
      <c r="AS157" s="79">
        <f>ERP_2[[#This Row],[2026 Working Total to Budget/LE]]-ERP_2[[#This Row],[Giveback]]</f>
        <v>0</v>
      </c>
      <c r="AT157" s="81"/>
      <c r="AU157" s="375"/>
      <c r="AV157" s="375"/>
      <c r="AW157" s="375"/>
      <c r="AX157" s="375">
        <v>0</v>
      </c>
      <c r="AY157" s="375">
        <v>0</v>
      </c>
      <c r="AZ157" s="375">
        <v>0</v>
      </c>
      <c r="BA157" s="375">
        <v>0</v>
      </c>
      <c r="BB157" s="375">
        <v>0</v>
      </c>
      <c r="BC157" s="375">
        <v>0</v>
      </c>
      <c r="BD157" s="375">
        <v>0</v>
      </c>
      <c r="BE157" s="375">
        <v>0</v>
      </c>
      <c r="BF157" s="375">
        <v>0</v>
      </c>
      <c r="BG157" s="375">
        <v>0</v>
      </c>
      <c r="BH157" s="103">
        <v>30136.080000000002</v>
      </c>
      <c r="BI157" s="103">
        <v>0</v>
      </c>
      <c r="BJ157" s="103">
        <v>0</v>
      </c>
      <c r="BK157" s="103">
        <v>0</v>
      </c>
      <c r="BL157" s="103">
        <v>0</v>
      </c>
      <c r="BM157" s="103">
        <v>0</v>
      </c>
      <c r="BN157" s="103">
        <v>0</v>
      </c>
      <c r="BO157" s="103">
        <v>0</v>
      </c>
      <c r="BP157" s="103">
        <v>0</v>
      </c>
      <c r="BQ157" s="103">
        <v>0</v>
      </c>
      <c r="BR157" s="103">
        <v>0</v>
      </c>
      <c r="BS157" s="103">
        <v>0</v>
      </c>
      <c r="BT157" s="79">
        <f>SUM(ERP_2[[#This Row],[2026 AP01]:[2026 AP12]])</f>
        <v>30136.080000000002</v>
      </c>
    </row>
    <row r="158" spans="1:72" ht="15" hidden="1" customHeight="1">
      <c r="A158" s="79" t="s">
        <v>2369</v>
      </c>
      <c r="B158" s="79"/>
      <c r="C158" s="79" t="s">
        <v>732</v>
      </c>
      <c r="D158" s="296" t="s">
        <v>732</v>
      </c>
      <c r="E158" s="150" t="s">
        <v>1136</v>
      </c>
      <c r="F158" s="482" t="s">
        <v>1566</v>
      </c>
      <c r="G158" s="150" t="s">
        <v>1135</v>
      </c>
      <c r="H158" s="150" t="s">
        <v>1135</v>
      </c>
      <c r="I158" s="332" t="s">
        <v>1135</v>
      </c>
      <c r="J158" s="383" t="s">
        <v>1135</v>
      </c>
      <c r="K158" s="331" t="s">
        <v>1137</v>
      </c>
      <c r="L158" s="512" t="s">
        <v>639</v>
      </c>
      <c r="M158" s="393" t="s">
        <v>2370</v>
      </c>
      <c r="N158" s="343" t="s">
        <v>2343</v>
      </c>
      <c r="O158" s="150" t="s">
        <v>1171</v>
      </c>
      <c r="P158" s="91" t="s">
        <v>733</v>
      </c>
      <c r="Q158" s="343"/>
      <c r="R158" s="346" t="s">
        <v>2339</v>
      </c>
      <c r="S158" s="346" t="s">
        <v>1710</v>
      </c>
      <c r="T158" s="386" t="s">
        <v>707</v>
      </c>
      <c r="U158" s="346" t="s">
        <v>1348</v>
      </c>
      <c r="V158" s="437"/>
      <c r="W158" s="358">
        <v>-30136.080000000002</v>
      </c>
      <c r="X158" s="378">
        <v>0</v>
      </c>
      <c r="Y158" s="425"/>
      <c r="Z158" s="71"/>
      <c r="AA158" s="433"/>
      <c r="AB158" s="434"/>
      <c r="AC158" s="434"/>
      <c r="AD158" s="428" t="s">
        <v>1142</v>
      </c>
      <c r="AE158" s="429">
        <v>0</v>
      </c>
      <c r="AF158" s="429">
        <v>0</v>
      </c>
      <c r="AG158" s="388">
        <v>0</v>
      </c>
      <c r="AH158" s="388">
        <v>0</v>
      </c>
      <c r="AI158" s="388">
        <v>0</v>
      </c>
      <c r="AJ158" s="388">
        <v>0</v>
      </c>
      <c r="AK158" s="388">
        <v>0</v>
      </c>
      <c r="AL158" s="388">
        <v>0</v>
      </c>
      <c r="AM158" s="360">
        <f t="shared" si="5"/>
        <v>0</v>
      </c>
      <c r="AN158" s="362">
        <f>ERP_2[[#This Row],[2026 Working Total]]-ERP_2[[#This Row],[LE2 Final Submission]]</f>
        <v>0</v>
      </c>
      <c r="AO158" s="79">
        <v>0</v>
      </c>
      <c r="AP158" s="79">
        <f t="shared" si="6"/>
        <v>0</v>
      </c>
      <c r="AQ158" s="374">
        <f>SUM(ERP_2[[#This Row],[AP01]:[AP06]])-SUM(ERP_2[[#This Row],[AP01 LE2]:[AP06 LE2]])</f>
        <v>0</v>
      </c>
      <c r="AR158" s="80"/>
      <c r="AS158" s="79">
        <f>ERP_2[[#This Row],[2026 Working Total to Budget/LE]]-ERP_2[[#This Row],[Giveback]]</f>
        <v>0</v>
      </c>
      <c r="AT158" s="81"/>
      <c r="AU158" s="375"/>
      <c r="AV158" s="375"/>
      <c r="AW158" s="375"/>
      <c r="AX158" s="375">
        <v>0</v>
      </c>
      <c r="AY158" s="375">
        <v>0</v>
      </c>
      <c r="AZ158" s="375">
        <v>0</v>
      </c>
      <c r="BA158" s="375">
        <v>0</v>
      </c>
      <c r="BB158" s="375">
        <v>0</v>
      </c>
      <c r="BC158" s="375">
        <v>0</v>
      </c>
      <c r="BD158" s="375">
        <v>0</v>
      </c>
      <c r="BE158" s="375">
        <v>0</v>
      </c>
      <c r="BF158" s="375">
        <v>0</v>
      </c>
      <c r="BG158" s="375">
        <v>0</v>
      </c>
      <c r="BH158" s="103">
        <v>-30136.080000000002</v>
      </c>
      <c r="BI158" s="103">
        <v>0</v>
      </c>
      <c r="BJ158" s="103">
        <v>0</v>
      </c>
      <c r="BK158" s="103">
        <v>0</v>
      </c>
      <c r="BL158" s="103">
        <v>0</v>
      </c>
      <c r="BM158" s="103">
        <v>0</v>
      </c>
      <c r="BN158" s="103">
        <v>0</v>
      </c>
      <c r="BO158" s="103">
        <v>0</v>
      </c>
      <c r="BP158" s="103">
        <v>0</v>
      </c>
      <c r="BQ158" s="103">
        <v>0</v>
      </c>
      <c r="BR158" s="103">
        <v>0</v>
      </c>
      <c r="BS158" s="103">
        <v>0</v>
      </c>
      <c r="BT158" s="79">
        <f>SUM(ERP_2[[#This Row],[2026 AP01]:[2026 AP12]])</f>
        <v>-30136.080000000002</v>
      </c>
    </row>
    <row r="159" spans="1:72" ht="15" hidden="1" customHeight="1">
      <c r="A159" s="79" t="s">
        <v>2371</v>
      </c>
      <c r="B159" s="79"/>
      <c r="C159" s="79" t="s">
        <v>734</v>
      </c>
      <c r="D159" s="296" t="s">
        <v>734</v>
      </c>
      <c r="E159" s="150" t="s">
        <v>1136</v>
      </c>
      <c r="F159" s="482" t="s">
        <v>1566</v>
      </c>
      <c r="G159" s="150" t="s">
        <v>1135</v>
      </c>
      <c r="H159" s="150" t="s">
        <v>1135</v>
      </c>
      <c r="I159" s="332" t="s">
        <v>1135</v>
      </c>
      <c r="J159" s="383" t="s">
        <v>1135</v>
      </c>
      <c r="K159" s="331" t="s">
        <v>1137</v>
      </c>
      <c r="L159" s="512" t="s">
        <v>639</v>
      </c>
      <c r="M159" s="393" t="s">
        <v>2372</v>
      </c>
      <c r="N159" s="343" t="s">
        <v>2343</v>
      </c>
      <c r="O159" s="150" t="s">
        <v>1171</v>
      </c>
      <c r="P159" s="91" t="s">
        <v>735</v>
      </c>
      <c r="Q159" s="343"/>
      <c r="R159" s="346" t="s">
        <v>2339</v>
      </c>
      <c r="S159" s="346" t="s">
        <v>1710</v>
      </c>
      <c r="T159" s="386" t="s">
        <v>707</v>
      </c>
      <c r="U159" s="346" t="s">
        <v>1348</v>
      </c>
      <c r="V159" s="437"/>
      <c r="W159" s="358">
        <v>17349.84</v>
      </c>
      <c r="X159" s="378">
        <v>0</v>
      </c>
      <c r="Y159" s="430"/>
      <c r="Z159" s="137"/>
      <c r="AA159" s="433"/>
      <c r="AB159" s="434"/>
      <c r="AC159" s="434"/>
      <c r="AD159" s="428" t="s">
        <v>1142</v>
      </c>
      <c r="AE159" s="429">
        <v>0</v>
      </c>
      <c r="AF159" s="429">
        <v>0</v>
      </c>
      <c r="AG159" s="388">
        <v>0</v>
      </c>
      <c r="AH159" s="388">
        <v>0</v>
      </c>
      <c r="AI159" s="388">
        <v>0</v>
      </c>
      <c r="AJ159" s="388">
        <v>0</v>
      </c>
      <c r="AK159" s="388">
        <v>0</v>
      </c>
      <c r="AL159" s="388">
        <v>0</v>
      </c>
      <c r="AM159" s="360">
        <f t="shared" si="5"/>
        <v>0</v>
      </c>
      <c r="AN159" s="362">
        <f>ERP_2[[#This Row],[2026 Working Total]]-ERP_2[[#This Row],[LE2 Final Submission]]</f>
        <v>0</v>
      </c>
      <c r="AO159" s="79">
        <v>0</v>
      </c>
      <c r="AP159" s="79">
        <f t="shared" si="6"/>
        <v>0</v>
      </c>
      <c r="AQ159" s="374">
        <f>SUM(ERP_2[[#This Row],[AP01]:[AP06]])-SUM(ERP_2[[#This Row],[AP01 LE2]:[AP06 LE2]])</f>
        <v>0</v>
      </c>
      <c r="AR159" s="80"/>
      <c r="AS159" s="79">
        <f>ERP_2[[#This Row],[2026 Working Total to Budget/LE]]-ERP_2[[#This Row],[Giveback]]</f>
        <v>0</v>
      </c>
      <c r="AT159" s="81"/>
      <c r="AU159" s="375"/>
      <c r="AV159" s="375"/>
      <c r="AW159" s="375"/>
      <c r="AX159" s="375">
        <v>0</v>
      </c>
      <c r="AY159" s="375">
        <v>0</v>
      </c>
      <c r="AZ159" s="375">
        <v>0</v>
      </c>
      <c r="BA159" s="375">
        <v>0</v>
      </c>
      <c r="BB159" s="375">
        <v>0</v>
      </c>
      <c r="BC159" s="375">
        <v>0</v>
      </c>
      <c r="BD159" s="375">
        <v>0</v>
      </c>
      <c r="BE159" s="375">
        <v>0</v>
      </c>
      <c r="BF159" s="375">
        <v>0</v>
      </c>
      <c r="BG159" s="375">
        <v>0</v>
      </c>
      <c r="BH159" s="103">
        <v>17349.84</v>
      </c>
      <c r="BI159" s="103">
        <v>0</v>
      </c>
      <c r="BJ159" s="103">
        <v>0</v>
      </c>
      <c r="BK159" s="103">
        <v>0</v>
      </c>
      <c r="BL159" s="103">
        <v>0</v>
      </c>
      <c r="BM159" s="103">
        <v>0</v>
      </c>
      <c r="BN159" s="103">
        <v>0</v>
      </c>
      <c r="BO159" s="103">
        <v>0</v>
      </c>
      <c r="BP159" s="103">
        <v>0</v>
      </c>
      <c r="BQ159" s="103">
        <v>0</v>
      </c>
      <c r="BR159" s="103">
        <v>0</v>
      </c>
      <c r="BS159" s="103">
        <v>0</v>
      </c>
      <c r="BT159" s="79">
        <f>SUM(ERP_2[[#This Row],[2026 AP01]:[2026 AP12]])</f>
        <v>17349.84</v>
      </c>
    </row>
    <row r="160" spans="1:72" ht="15" hidden="1" customHeight="1">
      <c r="A160" s="79" t="s">
        <v>2373</v>
      </c>
      <c r="B160" s="79"/>
      <c r="C160" s="79" t="s">
        <v>736</v>
      </c>
      <c r="D160" s="296" t="s">
        <v>736</v>
      </c>
      <c r="E160" s="150" t="s">
        <v>1136</v>
      </c>
      <c r="F160" s="482" t="s">
        <v>1566</v>
      </c>
      <c r="G160" s="150" t="s">
        <v>1135</v>
      </c>
      <c r="H160" s="150" t="s">
        <v>1135</v>
      </c>
      <c r="I160" s="332" t="s">
        <v>1135</v>
      </c>
      <c r="J160" s="383" t="s">
        <v>1135</v>
      </c>
      <c r="K160" s="331" t="s">
        <v>1137</v>
      </c>
      <c r="L160" s="512" t="s">
        <v>639</v>
      </c>
      <c r="M160" s="393" t="s">
        <v>2374</v>
      </c>
      <c r="N160" s="343" t="s">
        <v>2343</v>
      </c>
      <c r="O160" s="150" t="s">
        <v>1171</v>
      </c>
      <c r="P160" s="91" t="s">
        <v>737</v>
      </c>
      <c r="Q160" s="343"/>
      <c r="R160" s="346" t="s">
        <v>2339</v>
      </c>
      <c r="S160" s="346" t="s">
        <v>1710</v>
      </c>
      <c r="T160" s="386" t="s">
        <v>707</v>
      </c>
      <c r="U160" s="346" t="s">
        <v>1348</v>
      </c>
      <c r="V160" s="437"/>
      <c r="W160" s="358">
        <v>-17349.84</v>
      </c>
      <c r="X160" s="378">
        <v>0</v>
      </c>
      <c r="Y160" s="425"/>
      <c r="Z160" s="71"/>
      <c r="AA160" s="433"/>
      <c r="AB160" s="434"/>
      <c r="AC160" s="434"/>
      <c r="AD160" s="428" t="s">
        <v>1142</v>
      </c>
      <c r="AE160" s="429">
        <v>0</v>
      </c>
      <c r="AF160" s="429">
        <v>0</v>
      </c>
      <c r="AG160" s="388">
        <v>0</v>
      </c>
      <c r="AH160" s="388">
        <v>0</v>
      </c>
      <c r="AI160" s="388">
        <v>0</v>
      </c>
      <c r="AJ160" s="388">
        <v>0</v>
      </c>
      <c r="AK160" s="388">
        <v>0</v>
      </c>
      <c r="AL160" s="388">
        <v>0</v>
      </c>
      <c r="AM160" s="360">
        <f t="shared" si="5"/>
        <v>0</v>
      </c>
      <c r="AN160" s="362">
        <f>ERP_2[[#This Row],[2026 Working Total]]-ERP_2[[#This Row],[LE2 Final Submission]]</f>
        <v>0</v>
      </c>
      <c r="AO160" s="79">
        <v>0</v>
      </c>
      <c r="AP160" s="79">
        <f t="shared" si="6"/>
        <v>0</v>
      </c>
      <c r="AQ160" s="374">
        <f>SUM(ERP_2[[#This Row],[AP01]:[AP06]])-SUM(ERP_2[[#This Row],[AP01 LE2]:[AP06 LE2]])</f>
        <v>0</v>
      </c>
      <c r="AR160" s="80"/>
      <c r="AS160" s="79">
        <f>ERP_2[[#This Row],[2026 Working Total to Budget/LE]]-ERP_2[[#This Row],[Giveback]]</f>
        <v>0</v>
      </c>
      <c r="AT160" s="81"/>
      <c r="AU160" s="375"/>
      <c r="AV160" s="375"/>
      <c r="AW160" s="375"/>
      <c r="AX160" s="375">
        <v>0</v>
      </c>
      <c r="AY160" s="375">
        <v>0</v>
      </c>
      <c r="AZ160" s="375">
        <v>0</v>
      </c>
      <c r="BA160" s="375">
        <v>0</v>
      </c>
      <c r="BB160" s="375">
        <v>0</v>
      </c>
      <c r="BC160" s="375">
        <v>0</v>
      </c>
      <c r="BD160" s="375">
        <v>0</v>
      </c>
      <c r="BE160" s="375">
        <v>0</v>
      </c>
      <c r="BF160" s="375">
        <v>0</v>
      </c>
      <c r="BG160" s="375">
        <v>0</v>
      </c>
      <c r="BH160" s="103">
        <v>-17349.84</v>
      </c>
      <c r="BI160" s="103">
        <v>0</v>
      </c>
      <c r="BJ160" s="103">
        <v>0</v>
      </c>
      <c r="BK160" s="103">
        <v>0</v>
      </c>
      <c r="BL160" s="103">
        <v>0</v>
      </c>
      <c r="BM160" s="103">
        <v>0</v>
      </c>
      <c r="BN160" s="103">
        <v>0</v>
      </c>
      <c r="BO160" s="103">
        <v>0</v>
      </c>
      <c r="BP160" s="103">
        <v>0</v>
      </c>
      <c r="BQ160" s="103">
        <v>0</v>
      </c>
      <c r="BR160" s="103">
        <v>0</v>
      </c>
      <c r="BS160" s="103">
        <v>0</v>
      </c>
      <c r="BT160" s="79">
        <f>SUM(ERP_2[[#This Row],[2026 AP01]:[2026 AP12]])</f>
        <v>-17349.84</v>
      </c>
    </row>
    <row r="161" spans="1:72" ht="15" hidden="1" customHeight="1">
      <c r="A161" s="79" t="s">
        <v>2375</v>
      </c>
      <c r="B161" s="79"/>
      <c r="C161" s="79" t="s">
        <v>738</v>
      </c>
      <c r="D161" s="296" t="s">
        <v>738</v>
      </c>
      <c r="E161" s="150" t="s">
        <v>1136</v>
      </c>
      <c r="F161" s="482" t="s">
        <v>1566</v>
      </c>
      <c r="G161" s="150" t="s">
        <v>1135</v>
      </c>
      <c r="H161" s="150" t="s">
        <v>1135</v>
      </c>
      <c r="I161" s="332" t="s">
        <v>1135</v>
      </c>
      <c r="J161" s="383" t="s">
        <v>1135</v>
      </c>
      <c r="K161" s="331" t="s">
        <v>1137</v>
      </c>
      <c r="L161" s="512" t="s">
        <v>639</v>
      </c>
      <c r="M161" s="393" t="s">
        <v>2376</v>
      </c>
      <c r="N161" s="343" t="s">
        <v>2343</v>
      </c>
      <c r="O161" s="150" t="s">
        <v>1171</v>
      </c>
      <c r="P161" s="91" t="s">
        <v>739</v>
      </c>
      <c r="Q161" s="343"/>
      <c r="R161" s="346" t="s">
        <v>2339</v>
      </c>
      <c r="S161" s="346" t="s">
        <v>1710</v>
      </c>
      <c r="T161" s="386" t="s">
        <v>707</v>
      </c>
      <c r="U161" s="346" t="s">
        <v>1348</v>
      </c>
      <c r="V161" s="437"/>
      <c r="W161" s="358">
        <v>5357.52</v>
      </c>
      <c r="X161" s="378">
        <v>0</v>
      </c>
      <c r="Y161" s="425"/>
      <c r="Z161" s="71"/>
      <c r="AA161" s="433"/>
      <c r="AB161" s="434"/>
      <c r="AC161" s="434"/>
      <c r="AD161" s="428" t="s">
        <v>1142</v>
      </c>
      <c r="AE161" s="429">
        <v>0</v>
      </c>
      <c r="AF161" s="429">
        <v>0</v>
      </c>
      <c r="AG161" s="388">
        <v>0</v>
      </c>
      <c r="AH161" s="388">
        <v>0</v>
      </c>
      <c r="AI161" s="388">
        <v>0</v>
      </c>
      <c r="AJ161" s="388">
        <v>0</v>
      </c>
      <c r="AK161" s="388">
        <v>0</v>
      </c>
      <c r="AL161" s="388">
        <v>0</v>
      </c>
      <c r="AM161" s="360">
        <f t="shared" si="5"/>
        <v>0</v>
      </c>
      <c r="AN161" s="362">
        <f>ERP_2[[#This Row],[2026 Working Total]]-ERP_2[[#This Row],[LE2 Final Submission]]</f>
        <v>0</v>
      </c>
      <c r="AO161" s="79">
        <v>0</v>
      </c>
      <c r="AP161" s="79">
        <f t="shared" si="6"/>
        <v>0</v>
      </c>
      <c r="AQ161" s="374">
        <f>SUM(ERP_2[[#This Row],[AP01]:[AP06]])-SUM(ERP_2[[#This Row],[AP01 LE2]:[AP06 LE2]])</f>
        <v>0</v>
      </c>
      <c r="AR161" s="80"/>
      <c r="AS161" s="79">
        <f>ERP_2[[#This Row],[2026 Working Total to Budget/LE]]-ERP_2[[#This Row],[Giveback]]</f>
        <v>0</v>
      </c>
      <c r="AT161" s="81"/>
      <c r="AU161" s="375"/>
      <c r="AV161" s="375"/>
      <c r="AW161" s="375"/>
      <c r="AX161" s="375">
        <v>0</v>
      </c>
      <c r="AY161" s="375">
        <v>0</v>
      </c>
      <c r="AZ161" s="375">
        <v>0</v>
      </c>
      <c r="BA161" s="375">
        <v>0</v>
      </c>
      <c r="BB161" s="375">
        <v>0</v>
      </c>
      <c r="BC161" s="375">
        <v>0</v>
      </c>
      <c r="BD161" s="375">
        <v>0</v>
      </c>
      <c r="BE161" s="375">
        <v>0</v>
      </c>
      <c r="BF161" s="375">
        <v>0</v>
      </c>
      <c r="BG161" s="375">
        <v>0</v>
      </c>
      <c r="BH161" s="103">
        <v>5357.52</v>
      </c>
      <c r="BI161" s="103">
        <v>0</v>
      </c>
      <c r="BJ161" s="103">
        <v>0</v>
      </c>
      <c r="BK161" s="103">
        <v>0</v>
      </c>
      <c r="BL161" s="103">
        <v>0</v>
      </c>
      <c r="BM161" s="103">
        <v>0</v>
      </c>
      <c r="BN161" s="103">
        <v>0</v>
      </c>
      <c r="BO161" s="103">
        <v>0</v>
      </c>
      <c r="BP161" s="103">
        <v>0</v>
      </c>
      <c r="BQ161" s="103">
        <v>0</v>
      </c>
      <c r="BR161" s="103">
        <v>0</v>
      </c>
      <c r="BS161" s="103">
        <v>0</v>
      </c>
      <c r="BT161" s="79">
        <f>SUM(ERP_2[[#This Row],[2026 AP01]:[2026 AP12]])</f>
        <v>5357.52</v>
      </c>
    </row>
    <row r="162" spans="1:72" ht="15" hidden="1" customHeight="1">
      <c r="A162" s="79" t="s">
        <v>2377</v>
      </c>
      <c r="B162" s="79"/>
      <c r="C162" s="79" t="s">
        <v>740</v>
      </c>
      <c r="D162" s="296" t="s">
        <v>740</v>
      </c>
      <c r="E162" s="150" t="s">
        <v>1136</v>
      </c>
      <c r="F162" s="482" t="s">
        <v>1566</v>
      </c>
      <c r="G162" s="150" t="s">
        <v>1135</v>
      </c>
      <c r="H162" s="150" t="s">
        <v>1135</v>
      </c>
      <c r="I162" s="332" t="s">
        <v>1135</v>
      </c>
      <c r="J162" s="383" t="s">
        <v>1135</v>
      </c>
      <c r="K162" s="331" t="s">
        <v>1137</v>
      </c>
      <c r="L162" s="512" t="s">
        <v>639</v>
      </c>
      <c r="M162" s="393" t="s">
        <v>2378</v>
      </c>
      <c r="N162" s="343" t="s">
        <v>2343</v>
      </c>
      <c r="O162" s="150" t="s">
        <v>1171</v>
      </c>
      <c r="P162" s="91" t="s">
        <v>741</v>
      </c>
      <c r="Q162" s="343"/>
      <c r="R162" s="346" t="s">
        <v>2339</v>
      </c>
      <c r="S162" s="346" t="s">
        <v>1710</v>
      </c>
      <c r="T162" s="386" t="s">
        <v>707</v>
      </c>
      <c r="U162" s="346" t="s">
        <v>1348</v>
      </c>
      <c r="V162" s="437"/>
      <c r="W162" s="358">
        <v>-5357.52</v>
      </c>
      <c r="X162" s="378">
        <v>0</v>
      </c>
      <c r="Y162" s="430"/>
      <c r="Z162" s="137"/>
      <c r="AA162" s="433"/>
      <c r="AB162" s="434"/>
      <c r="AC162" s="434"/>
      <c r="AD162" s="428" t="s">
        <v>1142</v>
      </c>
      <c r="AE162" s="429">
        <v>0</v>
      </c>
      <c r="AF162" s="429">
        <v>0</v>
      </c>
      <c r="AG162" s="388">
        <v>0</v>
      </c>
      <c r="AH162" s="388">
        <v>0</v>
      </c>
      <c r="AI162" s="388">
        <v>0</v>
      </c>
      <c r="AJ162" s="388">
        <v>0</v>
      </c>
      <c r="AK162" s="388">
        <v>0</v>
      </c>
      <c r="AL162" s="388">
        <v>0</v>
      </c>
      <c r="AM162" s="360">
        <f t="shared" si="5"/>
        <v>0</v>
      </c>
      <c r="AN162" s="362">
        <f>ERP_2[[#This Row],[2026 Working Total]]-ERP_2[[#This Row],[LE2 Final Submission]]</f>
        <v>0</v>
      </c>
      <c r="AO162" s="79">
        <v>0</v>
      </c>
      <c r="AP162" s="79">
        <f t="shared" si="6"/>
        <v>0</v>
      </c>
      <c r="AQ162" s="374">
        <f>SUM(ERP_2[[#This Row],[AP01]:[AP06]])-SUM(ERP_2[[#This Row],[AP01 LE2]:[AP06 LE2]])</f>
        <v>0</v>
      </c>
      <c r="AR162" s="80"/>
      <c r="AS162" s="79">
        <f>ERP_2[[#This Row],[2026 Working Total to Budget/LE]]-ERP_2[[#This Row],[Giveback]]</f>
        <v>0</v>
      </c>
      <c r="AT162" s="81"/>
      <c r="AU162" s="375"/>
      <c r="AV162" s="375"/>
      <c r="AW162" s="375"/>
      <c r="AX162" s="375">
        <v>0</v>
      </c>
      <c r="AY162" s="375">
        <v>0</v>
      </c>
      <c r="AZ162" s="375">
        <v>0</v>
      </c>
      <c r="BA162" s="375">
        <v>0</v>
      </c>
      <c r="BB162" s="375">
        <v>0</v>
      </c>
      <c r="BC162" s="375">
        <v>0</v>
      </c>
      <c r="BD162" s="375">
        <v>0</v>
      </c>
      <c r="BE162" s="375">
        <v>0</v>
      </c>
      <c r="BF162" s="375">
        <v>0</v>
      </c>
      <c r="BG162" s="375">
        <v>0</v>
      </c>
      <c r="BH162" s="103">
        <v>-5357.52</v>
      </c>
      <c r="BI162" s="103">
        <v>0</v>
      </c>
      <c r="BJ162" s="103">
        <v>0</v>
      </c>
      <c r="BK162" s="103">
        <v>0</v>
      </c>
      <c r="BL162" s="103">
        <v>0</v>
      </c>
      <c r="BM162" s="103">
        <v>0</v>
      </c>
      <c r="BN162" s="103">
        <v>0</v>
      </c>
      <c r="BO162" s="103">
        <v>0</v>
      </c>
      <c r="BP162" s="103">
        <v>0</v>
      </c>
      <c r="BQ162" s="103">
        <v>0</v>
      </c>
      <c r="BR162" s="103">
        <v>0</v>
      </c>
      <c r="BS162" s="103">
        <v>0</v>
      </c>
      <c r="BT162" s="79">
        <f>SUM(ERP_2[[#This Row],[2026 AP01]:[2026 AP12]])</f>
        <v>-5357.52</v>
      </c>
    </row>
    <row r="163" spans="1:72" ht="15" hidden="1" customHeight="1">
      <c r="A163" s="79" t="s">
        <v>2379</v>
      </c>
      <c r="B163" s="79"/>
      <c r="C163" s="79" t="s">
        <v>742</v>
      </c>
      <c r="D163" s="296" t="s">
        <v>742</v>
      </c>
      <c r="E163" s="150" t="s">
        <v>1136</v>
      </c>
      <c r="F163" s="482" t="s">
        <v>1566</v>
      </c>
      <c r="G163" s="150" t="s">
        <v>1135</v>
      </c>
      <c r="H163" s="150" t="s">
        <v>1135</v>
      </c>
      <c r="I163" s="332" t="s">
        <v>1135</v>
      </c>
      <c r="J163" s="383" t="s">
        <v>1135</v>
      </c>
      <c r="K163" s="331" t="s">
        <v>1137</v>
      </c>
      <c r="L163" s="512" t="s">
        <v>639</v>
      </c>
      <c r="M163" s="393" t="s">
        <v>2380</v>
      </c>
      <c r="N163" s="343" t="s">
        <v>2343</v>
      </c>
      <c r="O163" s="150" t="s">
        <v>1171</v>
      </c>
      <c r="P163" s="91" t="s">
        <v>743</v>
      </c>
      <c r="Q163" s="343"/>
      <c r="R163" s="346" t="s">
        <v>2339</v>
      </c>
      <c r="S163" s="346" t="s">
        <v>1710</v>
      </c>
      <c r="T163" s="386" t="s">
        <v>707</v>
      </c>
      <c r="U163" s="346" t="s">
        <v>1348</v>
      </c>
      <c r="V163" s="437"/>
      <c r="W163" s="358">
        <v>101279.37</v>
      </c>
      <c r="X163" s="378">
        <v>0</v>
      </c>
      <c r="Y163" s="425"/>
      <c r="Z163" s="71"/>
      <c r="AA163" s="433"/>
      <c r="AB163" s="434"/>
      <c r="AC163" s="434"/>
      <c r="AD163" s="428" t="s">
        <v>1142</v>
      </c>
      <c r="AE163" s="429">
        <v>0</v>
      </c>
      <c r="AF163" s="429">
        <v>0</v>
      </c>
      <c r="AG163" s="388">
        <v>0</v>
      </c>
      <c r="AH163" s="388">
        <v>0</v>
      </c>
      <c r="AI163" s="388">
        <v>0</v>
      </c>
      <c r="AJ163" s="388">
        <v>0</v>
      </c>
      <c r="AK163" s="388">
        <v>0</v>
      </c>
      <c r="AL163" s="388">
        <v>0</v>
      </c>
      <c r="AM163" s="360">
        <f t="shared" si="5"/>
        <v>0</v>
      </c>
      <c r="AN163" s="362">
        <f>ERP_2[[#This Row],[2026 Working Total]]-ERP_2[[#This Row],[LE2 Final Submission]]</f>
        <v>0</v>
      </c>
      <c r="AO163" s="79">
        <v>0</v>
      </c>
      <c r="AP163" s="79">
        <f t="shared" si="6"/>
        <v>0</v>
      </c>
      <c r="AQ163" s="374">
        <f>SUM(ERP_2[[#This Row],[AP01]:[AP06]])-SUM(ERP_2[[#This Row],[AP01 LE2]:[AP06 LE2]])</f>
        <v>0</v>
      </c>
      <c r="AR163" s="80"/>
      <c r="AS163" s="79">
        <f>ERP_2[[#This Row],[2026 Working Total to Budget/LE]]-ERP_2[[#This Row],[Giveback]]</f>
        <v>0</v>
      </c>
      <c r="AT163" s="81"/>
      <c r="AU163" s="375"/>
      <c r="AV163" s="375"/>
      <c r="AW163" s="375"/>
      <c r="AX163" s="375">
        <v>0</v>
      </c>
      <c r="AY163" s="375">
        <v>0</v>
      </c>
      <c r="AZ163" s="375">
        <v>0</v>
      </c>
      <c r="BA163" s="375">
        <v>0</v>
      </c>
      <c r="BB163" s="375">
        <v>0</v>
      </c>
      <c r="BC163" s="375">
        <v>0</v>
      </c>
      <c r="BD163" s="375">
        <v>0</v>
      </c>
      <c r="BE163" s="375">
        <v>0</v>
      </c>
      <c r="BF163" s="375">
        <v>0</v>
      </c>
      <c r="BG163" s="375">
        <v>0</v>
      </c>
      <c r="BH163" s="103">
        <v>101279.37</v>
      </c>
      <c r="BI163" s="103">
        <v>0</v>
      </c>
      <c r="BJ163" s="103">
        <v>0</v>
      </c>
      <c r="BK163" s="103">
        <v>0</v>
      </c>
      <c r="BL163" s="103">
        <v>0</v>
      </c>
      <c r="BM163" s="103">
        <v>0</v>
      </c>
      <c r="BN163" s="103">
        <v>0</v>
      </c>
      <c r="BO163" s="103">
        <v>0</v>
      </c>
      <c r="BP163" s="103">
        <v>0</v>
      </c>
      <c r="BQ163" s="103">
        <v>0</v>
      </c>
      <c r="BR163" s="103">
        <v>0</v>
      </c>
      <c r="BS163" s="103">
        <v>0</v>
      </c>
      <c r="BT163" s="79">
        <f>SUM(ERP_2[[#This Row],[2026 AP01]:[2026 AP12]])</f>
        <v>101279.37</v>
      </c>
    </row>
    <row r="164" spans="1:72" ht="15" hidden="1" customHeight="1">
      <c r="A164" s="79" t="s">
        <v>2381</v>
      </c>
      <c r="B164" s="79"/>
      <c r="C164" s="79" t="s">
        <v>744</v>
      </c>
      <c r="D164" s="296" t="s">
        <v>744</v>
      </c>
      <c r="E164" s="150" t="s">
        <v>1136</v>
      </c>
      <c r="F164" s="482" t="s">
        <v>1566</v>
      </c>
      <c r="G164" s="150" t="s">
        <v>1135</v>
      </c>
      <c r="H164" s="150" t="s">
        <v>1135</v>
      </c>
      <c r="I164" s="332" t="s">
        <v>1135</v>
      </c>
      <c r="J164" s="383" t="s">
        <v>1135</v>
      </c>
      <c r="K164" s="331" t="s">
        <v>1137</v>
      </c>
      <c r="L164" s="512" t="s">
        <v>639</v>
      </c>
      <c r="M164" s="393" t="s">
        <v>2382</v>
      </c>
      <c r="N164" s="343" t="s">
        <v>2343</v>
      </c>
      <c r="O164" s="150" t="s">
        <v>1171</v>
      </c>
      <c r="P164" s="91" t="s">
        <v>745</v>
      </c>
      <c r="Q164" s="343"/>
      <c r="R164" s="346" t="s">
        <v>2339</v>
      </c>
      <c r="S164" s="346" t="s">
        <v>1710</v>
      </c>
      <c r="T164" s="386" t="s">
        <v>707</v>
      </c>
      <c r="U164" s="346" t="s">
        <v>1348</v>
      </c>
      <c r="V164" s="437"/>
      <c r="W164" s="358">
        <v>-101279.37</v>
      </c>
      <c r="X164" s="378">
        <v>0</v>
      </c>
      <c r="Y164" s="425"/>
      <c r="Z164" s="71"/>
      <c r="AA164" s="433"/>
      <c r="AB164" s="434"/>
      <c r="AC164" s="434"/>
      <c r="AD164" s="428" t="s">
        <v>1142</v>
      </c>
      <c r="AE164" s="429">
        <v>0</v>
      </c>
      <c r="AF164" s="429">
        <v>0</v>
      </c>
      <c r="AG164" s="388">
        <v>0</v>
      </c>
      <c r="AH164" s="388">
        <v>0</v>
      </c>
      <c r="AI164" s="388">
        <v>0</v>
      </c>
      <c r="AJ164" s="388">
        <v>0</v>
      </c>
      <c r="AK164" s="388">
        <v>0</v>
      </c>
      <c r="AL164" s="388">
        <v>0</v>
      </c>
      <c r="AM164" s="360">
        <f t="shared" si="5"/>
        <v>0</v>
      </c>
      <c r="AN164" s="362">
        <f>ERP_2[[#This Row],[2026 Working Total]]-ERP_2[[#This Row],[LE2 Final Submission]]</f>
        <v>0</v>
      </c>
      <c r="AO164" s="79">
        <v>0</v>
      </c>
      <c r="AP164" s="79">
        <f t="shared" si="6"/>
        <v>0</v>
      </c>
      <c r="AQ164" s="374">
        <f>SUM(ERP_2[[#This Row],[AP01]:[AP06]])-SUM(ERP_2[[#This Row],[AP01 LE2]:[AP06 LE2]])</f>
        <v>0</v>
      </c>
      <c r="AR164" s="80"/>
      <c r="AS164" s="79">
        <f>ERP_2[[#This Row],[2026 Working Total to Budget/LE]]-ERP_2[[#This Row],[Giveback]]</f>
        <v>0</v>
      </c>
      <c r="AT164" s="81"/>
      <c r="AU164" s="375"/>
      <c r="AV164" s="375"/>
      <c r="AW164" s="375"/>
      <c r="AX164" s="375">
        <v>0</v>
      </c>
      <c r="AY164" s="375">
        <v>0</v>
      </c>
      <c r="AZ164" s="375">
        <v>0</v>
      </c>
      <c r="BA164" s="375">
        <v>0</v>
      </c>
      <c r="BB164" s="375">
        <v>0</v>
      </c>
      <c r="BC164" s="375">
        <v>0</v>
      </c>
      <c r="BD164" s="375">
        <v>0</v>
      </c>
      <c r="BE164" s="375">
        <v>0</v>
      </c>
      <c r="BF164" s="375">
        <v>0</v>
      </c>
      <c r="BG164" s="375">
        <v>0</v>
      </c>
      <c r="BH164" s="103">
        <v>-101279.37</v>
      </c>
      <c r="BI164" s="103">
        <v>0</v>
      </c>
      <c r="BJ164" s="103">
        <v>0</v>
      </c>
      <c r="BK164" s="103">
        <v>0</v>
      </c>
      <c r="BL164" s="103">
        <v>0</v>
      </c>
      <c r="BM164" s="103">
        <v>0</v>
      </c>
      <c r="BN164" s="103">
        <v>0</v>
      </c>
      <c r="BO164" s="103">
        <v>0</v>
      </c>
      <c r="BP164" s="103">
        <v>0</v>
      </c>
      <c r="BQ164" s="103">
        <v>0</v>
      </c>
      <c r="BR164" s="103">
        <v>0</v>
      </c>
      <c r="BS164" s="103">
        <v>0</v>
      </c>
      <c r="BT164" s="79">
        <f>SUM(ERP_2[[#This Row],[2026 AP01]:[2026 AP12]])</f>
        <v>-101279.37</v>
      </c>
    </row>
    <row r="165" spans="1:72" ht="15" hidden="1" customHeight="1">
      <c r="A165" s="79" t="s">
        <v>2383</v>
      </c>
      <c r="B165" s="79"/>
      <c r="C165" s="79" t="s">
        <v>746</v>
      </c>
      <c r="D165" s="296" t="s">
        <v>746</v>
      </c>
      <c r="E165" s="150" t="s">
        <v>1136</v>
      </c>
      <c r="F165" s="482" t="s">
        <v>1566</v>
      </c>
      <c r="G165" s="150" t="s">
        <v>1135</v>
      </c>
      <c r="H165" s="150" t="s">
        <v>1135</v>
      </c>
      <c r="I165" s="332" t="s">
        <v>1135</v>
      </c>
      <c r="J165" s="383" t="s">
        <v>1135</v>
      </c>
      <c r="K165" s="331" t="s">
        <v>1137</v>
      </c>
      <c r="L165" s="512" t="s">
        <v>639</v>
      </c>
      <c r="M165" s="393" t="s">
        <v>2384</v>
      </c>
      <c r="N165" s="343" t="s">
        <v>2343</v>
      </c>
      <c r="O165" s="150" t="s">
        <v>1171</v>
      </c>
      <c r="P165" s="91" t="s">
        <v>747</v>
      </c>
      <c r="Q165" s="343"/>
      <c r="R165" s="346" t="s">
        <v>2339</v>
      </c>
      <c r="S165" s="346" t="s">
        <v>1710</v>
      </c>
      <c r="T165" s="386" t="s">
        <v>707</v>
      </c>
      <c r="U165" s="346" t="s">
        <v>1348</v>
      </c>
      <c r="V165" s="437"/>
      <c r="W165" s="358">
        <v>169017.36</v>
      </c>
      <c r="X165" s="378">
        <v>0</v>
      </c>
      <c r="Y165" s="430"/>
      <c r="Z165" s="137"/>
      <c r="AA165" s="433"/>
      <c r="AB165" s="434"/>
      <c r="AC165" s="434"/>
      <c r="AD165" s="428" t="s">
        <v>1142</v>
      </c>
      <c r="AE165" s="429">
        <v>0</v>
      </c>
      <c r="AF165" s="429">
        <v>0</v>
      </c>
      <c r="AG165" s="388">
        <v>0</v>
      </c>
      <c r="AH165" s="388">
        <v>0</v>
      </c>
      <c r="AI165" s="388">
        <v>0</v>
      </c>
      <c r="AJ165" s="388">
        <v>0</v>
      </c>
      <c r="AK165" s="388">
        <v>0</v>
      </c>
      <c r="AL165" s="388">
        <v>0</v>
      </c>
      <c r="AM165" s="360">
        <f t="shared" si="5"/>
        <v>0</v>
      </c>
      <c r="AN165" s="362">
        <f>ERP_2[[#This Row],[2026 Working Total]]-ERP_2[[#This Row],[LE2 Final Submission]]</f>
        <v>0</v>
      </c>
      <c r="AO165" s="79">
        <v>0</v>
      </c>
      <c r="AP165" s="79">
        <f t="shared" si="6"/>
        <v>0</v>
      </c>
      <c r="AQ165" s="374">
        <f>SUM(ERP_2[[#This Row],[AP01]:[AP06]])-SUM(ERP_2[[#This Row],[AP01 LE2]:[AP06 LE2]])</f>
        <v>0</v>
      </c>
      <c r="AR165" s="80"/>
      <c r="AS165" s="79">
        <f>ERP_2[[#This Row],[2026 Working Total to Budget/LE]]-ERP_2[[#This Row],[Giveback]]</f>
        <v>0</v>
      </c>
      <c r="AT165" s="81"/>
      <c r="AU165" s="375"/>
      <c r="AV165" s="375"/>
      <c r="AW165" s="375"/>
      <c r="AX165" s="375">
        <v>0</v>
      </c>
      <c r="AY165" s="375">
        <v>0</v>
      </c>
      <c r="AZ165" s="375">
        <v>0</v>
      </c>
      <c r="BA165" s="375">
        <v>0</v>
      </c>
      <c r="BB165" s="375">
        <v>0</v>
      </c>
      <c r="BC165" s="375">
        <v>0</v>
      </c>
      <c r="BD165" s="375">
        <v>0</v>
      </c>
      <c r="BE165" s="375">
        <v>0</v>
      </c>
      <c r="BF165" s="375">
        <v>0</v>
      </c>
      <c r="BG165" s="375">
        <v>0</v>
      </c>
      <c r="BH165" s="103">
        <v>169017.36</v>
      </c>
      <c r="BI165" s="103">
        <v>0</v>
      </c>
      <c r="BJ165" s="103">
        <v>0</v>
      </c>
      <c r="BK165" s="103">
        <v>0</v>
      </c>
      <c r="BL165" s="103">
        <v>0</v>
      </c>
      <c r="BM165" s="103">
        <v>0</v>
      </c>
      <c r="BN165" s="103">
        <v>0</v>
      </c>
      <c r="BO165" s="103">
        <v>0</v>
      </c>
      <c r="BP165" s="103">
        <v>0</v>
      </c>
      <c r="BQ165" s="103">
        <v>0</v>
      </c>
      <c r="BR165" s="103">
        <v>0</v>
      </c>
      <c r="BS165" s="103">
        <v>0</v>
      </c>
      <c r="BT165" s="79">
        <f>SUM(ERP_2[[#This Row],[2026 AP01]:[2026 AP12]])</f>
        <v>169017.36</v>
      </c>
    </row>
    <row r="166" spans="1:72" ht="15" hidden="1" customHeight="1">
      <c r="A166" s="79" t="s">
        <v>2385</v>
      </c>
      <c r="B166" s="79"/>
      <c r="C166" s="79" t="s">
        <v>748</v>
      </c>
      <c r="D166" s="296" t="s">
        <v>748</v>
      </c>
      <c r="E166" s="150" t="s">
        <v>1136</v>
      </c>
      <c r="F166" s="482" t="s">
        <v>1566</v>
      </c>
      <c r="G166" s="150" t="s">
        <v>1135</v>
      </c>
      <c r="H166" s="150" t="s">
        <v>1135</v>
      </c>
      <c r="I166" s="332" t="s">
        <v>1135</v>
      </c>
      <c r="J166" s="383" t="s">
        <v>1135</v>
      </c>
      <c r="K166" s="331" t="s">
        <v>1137</v>
      </c>
      <c r="L166" s="512" t="s">
        <v>639</v>
      </c>
      <c r="M166" s="393" t="s">
        <v>2386</v>
      </c>
      <c r="N166" s="343" t="s">
        <v>2343</v>
      </c>
      <c r="O166" s="150" t="s">
        <v>1171</v>
      </c>
      <c r="P166" s="91" t="s">
        <v>749</v>
      </c>
      <c r="Q166" s="343"/>
      <c r="R166" s="346" t="s">
        <v>2339</v>
      </c>
      <c r="S166" s="346" t="s">
        <v>1710</v>
      </c>
      <c r="T166" s="386" t="s">
        <v>707</v>
      </c>
      <c r="U166" s="346" t="s">
        <v>1348</v>
      </c>
      <c r="V166" s="437"/>
      <c r="W166" s="358">
        <v>-169017.36</v>
      </c>
      <c r="X166" s="378">
        <v>0</v>
      </c>
      <c r="Y166" s="425"/>
      <c r="Z166" s="71"/>
      <c r="AA166" s="433"/>
      <c r="AB166" s="434"/>
      <c r="AC166" s="434"/>
      <c r="AD166" s="428" t="s">
        <v>1142</v>
      </c>
      <c r="AE166" s="429">
        <v>0</v>
      </c>
      <c r="AF166" s="429">
        <v>0</v>
      </c>
      <c r="AG166" s="388">
        <v>0</v>
      </c>
      <c r="AH166" s="388">
        <v>0</v>
      </c>
      <c r="AI166" s="388">
        <v>0</v>
      </c>
      <c r="AJ166" s="388">
        <v>0</v>
      </c>
      <c r="AK166" s="388">
        <v>0</v>
      </c>
      <c r="AL166" s="388">
        <v>0</v>
      </c>
      <c r="AM166" s="360">
        <f t="shared" si="5"/>
        <v>0</v>
      </c>
      <c r="AN166" s="362">
        <f>ERP_2[[#This Row],[2026 Working Total]]-ERP_2[[#This Row],[LE2 Final Submission]]</f>
        <v>0</v>
      </c>
      <c r="AO166" s="79">
        <v>0</v>
      </c>
      <c r="AP166" s="79">
        <f t="shared" si="6"/>
        <v>0</v>
      </c>
      <c r="AQ166" s="374">
        <f>SUM(ERP_2[[#This Row],[AP01]:[AP06]])-SUM(ERP_2[[#This Row],[AP01 LE2]:[AP06 LE2]])</f>
        <v>0</v>
      </c>
      <c r="AR166" s="80"/>
      <c r="AS166" s="79">
        <f>ERP_2[[#This Row],[2026 Working Total to Budget/LE]]-ERP_2[[#This Row],[Giveback]]</f>
        <v>0</v>
      </c>
      <c r="AT166" s="81"/>
      <c r="AU166" s="375"/>
      <c r="AV166" s="375"/>
      <c r="AW166" s="375"/>
      <c r="AX166" s="375">
        <v>0</v>
      </c>
      <c r="AY166" s="375">
        <v>0</v>
      </c>
      <c r="AZ166" s="375">
        <v>0</v>
      </c>
      <c r="BA166" s="375">
        <v>0</v>
      </c>
      <c r="BB166" s="375">
        <v>0</v>
      </c>
      <c r="BC166" s="375">
        <v>0</v>
      </c>
      <c r="BD166" s="375">
        <v>0</v>
      </c>
      <c r="BE166" s="375">
        <v>0</v>
      </c>
      <c r="BF166" s="375">
        <v>0</v>
      </c>
      <c r="BG166" s="375">
        <v>0</v>
      </c>
      <c r="BH166" s="103">
        <v>-169017.36</v>
      </c>
      <c r="BI166" s="103">
        <v>0</v>
      </c>
      <c r="BJ166" s="103">
        <v>0</v>
      </c>
      <c r="BK166" s="103">
        <v>0</v>
      </c>
      <c r="BL166" s="103">
        <v>0</v>
      </c>
      <c r="BM166" s="103">
        <v>0</v>
      </c>
      <c r="BN166" s="103">
        <v>0</v>
      </c>
      <c r="BO166" s="103">
        <v>0</v>
      </c>
      <c r="BP166" s="103">
        <v>0</v>
      </c>
      <c r="BQ166" s="103">
        <v>0</v>
      </c>
      <c r="BR166" s="103">
        <v>0</v>
      </c>
      <c r="BS166" s="103">
        <v>0</v>
      </c>
      <c r="BT166" s="79">
        <f>SUM(ERP_2[[#This Row],[2026 AP01]:[2026 AP12]])</f>
        <v>-169017.36</v>
      </c>
    </row>
    <row r="167" spans="1:72" ht="15" hidden="1" customHeight="1">
      <c r="A167" s="79" t="s">
        <v>2387</v>
      </c>
      <c r="B167" s="79"/>
      <c r="C167" s="79" t="s">
        <v>750</v>
      </c>
      <c r="D167" s="296" t="s">
        <v>750</v>
      </c>
      <c r="E167" s="150" t="s">
        <v>1136</v>
      </c>
      <c r="F167" s="482" t="s">
        <v>1566</v>
      </c>
      <c r="G167" s="150" t="s">
        <v>1135</v>
      </c>
      <c r="H167" s="150" t="s">
        <v>1135</v>
      </c>
      <c r="I167" s="332" t="s">
        <v>1135</v>
      </c>
      <c r="J167" s="383" t="s">
        <v>1135</v>
      </c>
      <c r="K167" s="331" t="s">
        <v>1137</v>
      </c>
      <c r="L167" s="512" t="s">
        <v>639</v>
      </c>
      <c r="M167" s="393" t="s">
        <v>2388</v>
      </c>
      <c r="N167" s="343" t="s">
        <v>2343</v>
      </c>
      <c r="O167" s="150" t="s">
        <v>1171</v>
      </c>
      <c r="P167" s="91" t="s">
        <v>751</v>
      </c>
      <c r="Q167" s="343"/>
      <c r="R167" s="346" t="s">
        <v>2339</v>
      </c>
      <c r="S167" s="346" t="s">
        <v>1710</v>
      </c>
      <c r="T167" s="386" t="s">
        <v>707</v>
      </c>
      <c r="U167" s="346" t="s">
        <v>1348</v>
      </c>
      <c r="V167" s="437"/>
      <c r="W167" s="358">
        <v>872512.08</v>
      </c>
      <c r="X167" s="378">
        <v>0</v>
      </c>
      <c r="Y167" s="425"/>
      <c r="Z167" s="71"/>
      <c r="AA167" s="433"/>
      <c r="AB167" s="434"/>
      <c r="AC167" s="434"/>
      <c r="AD167" s="428" t="s">
        <v>1142</v>
      </c>
      <c r="AE167" s="429">
        <v>0</v>
      </c>
      <c r="AF167" s="429">
        <v>0</v>
      </c>
      <c r="AG167" s="388">
        <v>0</v>
      </c>
      <c r="AH167" s="388">
        <v>0</v>
      </c>
      <c r="AI167" s="388">
        <v>0</v>
      </c>
      <c r="AJ167" s="388">
        <v>0</v>
      </c>
      <c r="AK167" s="388">
        <v>0</v>
      </c>
      <c r="AL167" s="388">
        <v>0</v>
      </c>
      <c r="AM167" s="360">
        <f t="shared" si="5"/>
        <v>0</v>
      </c>
      <c r="AN167" s="362">
        <f>ERP_2[[#This Row],[2026 Working Total]]-ERP_2[[#This Row],[LE2 Final Submission]]</f>
        <v>0</v>
      </c>
      <c r="AO167" s="79">
        <v>0</v>
      </c>
      <c r="AP167" s="79">
        <f t="shared" si="6"/>
        <v>0</v>
      </c>
      <c r="AQ167" s="374">
        <f>SUM(ERP_2[[#This Row],[AP01]:[AP06]])-SUM(ERP_2[[#This Row],[AP01 LE2]:[AP06 LE2]])</f>
        <v>0</v>
      </c>
      <c r="AR167" s="80"/>
      <c r="AS167" s="79">
        <f>ERP_2[[#This Row],[2026 Working Total to Budget/LE]]-ERP_2[[#This Row],[Giveback]]</f>
        <v>0</v>
      </c>
      <c r="AT167" s="81"/>
      <c r="AU167" s="375"/>
      <c r="AV167" s="375"/>
      <c r="AW167" s="375"/>
      <c r="AX167" s="375">
        <v>0</v>
      </c>
      <c r="AY167" s="375">
        <v>0</v>
      </c>
      <c r="AZ167" s="375">
        <v>0</v>
      </c>
      <c r="BA167" s="375">
        <v>0</v>
      </c>
      <c r="BB167" s="375">
        <v>0</v>
      </c>
      <c r="BC167" s="375">
        <v>0</v>
      </c>
      <c r="BD167" s="375">
        <v>0</v>
      </c>
      <c r="BE167" s="375">
        <v>0</v>
      </c>
      <c r="BF167" s="375">
        <v>0</v>
      </c>
      <c r="BG167" s="375">
        <v>0</v>
      </c>
      <c r="BH167" s="103">
        <v>872512.08</v>
      </c>
      <c r="BI167" s="103">
        <v>0</v>
      </c>
      <c r="BJ167" s="103">
        <v>0</v>
      </c>
      <c r="BK167" s="103">
        <v>0</v>
      </c>
      <c r="BL167" s="103">
        <v>0</v>
      </c>
      <c r="BM167" s="103">
        <v>0</v>
      </c>
      <c r="BN167" s="103">
        <v>0</v>
      </c>
      <c r="BO167" s="103">
        <v>0</v>
      </c>
      <c r="BP167" s="103">
        <v>0</v>
      </c>
      <c r="BQ167" s="103">
        <v>0</v>
      </c>
      <c r="BR167" s="103">
        <v>0</v>
      </c>
      <c r="BS167" s="103">
        <v>0</v>
      </c>
      <c r="BT167" s="79">
        <f>SUM(ERP_2[[#This Row],[2026 AP01]:[2026 AP12]])</f>
        <v>872512.08</v>
      </c>
    </row>
    <row r="168" spans="1:72" ht="15" hidden="1" customHeight="1">
      <c r="A168" s="79" t="s">
        <v>2389</v>
      </c>
      <c r="B168" s="79"/>
      <c r="C168" s="79" t="s">
        <v>752</v>
      </c>
      <c r="D168" s="296" t="s">
        <v>752</v>
      </c>
      <c r="E168" s="150" t="s">
        <v>1136</v>
      </c>
      <c r="F168" s="482" t="s">
        <v>1566</v>
      </c>
      <c r="G168" s="150" t="s">
        <v>1135</v>
      </c>
      <c r="H168" s="150" t="s">
        <v>1135</v>
      </c>
      <c r="I168" s="332" t="s">
        <v>1135</v>
      </c>
      <c r="J168" s="383" t="s">
        <v>1135</v>
      </c>
      <c r="K168" s="331" t="s">
        <v>1137</v>
      </c>
      <c r="L168" s="512" t="s">
        <v>639</v>
      </c>
      <c r="M168" s="393" t="s">
        <v>2390</v>
      </c>
      <c r="N168" s="343" t="s">
        <v>2343</v>
      </c>
      <c r="O168" s="150" t="s">
        <v>1171</v>
      </c>
      <c r="P168" s="91" t="s">
        <v>753</v>
      </c>
      <c r="Q168" s="343"/>
      <c r="R168" s="346" t="s">
        <v>2339</v>
      </c>
      <c r="S168" s="346" t="s">
        <v>1710</v>
      </c>
      <c r="T168" s="386" t="s">
        <v>707</v>
      </c>
      <c r="U168" s="346" t="s">
        <v>1348</v>
      </c>
      <c r="V168" s="437"/>
      <c r="W168" s="358">
        <v>-872512.08</v>
      </c>
      <c r="X168" s="378">
        <v>0</v>
      </c>
      <c r="Y168" s="430"/>
      <c r="Z168" s="137"/>
      <c r="AA168" s="433"/>
      <c r="AB168" s="434"/>
      <c r="AC168" s="434"/>
      <c r="AD168" s="428" t="s">
        <v>1142</v>
      </c>
      <c r="AE168" s="429">
        <v>0</v>
      </c>
      <c r="AF168" s="429">
        <v>0</v>
      </c>
      <c r="AG168" s="388">
        <v>0</v>
      </c>
      <c r="AH168" s="388">
        <v>0</v>
      </c>
      <c r="AI168" s="388">
        <v>0</v>
      </c>
      <c r="AJ168" s="388">
        <v>0</v>
      </c>
      <c r="AK168" s="388">
        <v>0</v>
      </c>
      <c r="AL168" s="388">
        <v>0</v>
      </c>
      <c r="AM168" s="360">
        <f t="shared" si="5"/>
        <v>0</v>
      </c>
      <c r="AN168" s="362">
        <f>ERP_2[[#This Row],[2026 Working Total]]-ERP_2[[#This Row],[LE2 Final Submission]]</f>
        <v>0</v>
      </c>
      <c r="AO168" s="79">
        <v>0</v>
      </c>
      <c r="AP168" s="79">
        <f t="shared" si="6"/>
        <v>0</v>
      </c>
      <c r="AQ168" s="374">
        <f>SUM(ERP_2[[#This Row],[AP01]:[AP06]])-SUM(ERP_2[[#This Row],[AP01 LE2]:[AP06 LE2]])</f>
        <v>0</v>
      </c>
      <c r="AR168" s="80"/>
      <c r="AS168" s="79">
        <f>ERP_2[[#This Row],[2026 Working Total to Budget/LE]]-ERP_2[[#This Row],[Giveback]]</f>
        <v>0</v>
      </c>
      <c r="AT168" s="81"/>
      <c r="AU168" s="375"/>
      <c r="AV168" s="375"/>
      <c r="AW168" s="375"/>
      <c r="AX168" s="375">
        <v>0</v>
      </c>
      <c r="AY168" s="375">
        <v>0</v>
      </c>
      <c r="AZ168" s="375">
        <v>0</v>
      </c>
      <c r="BA168" s="375">
        <v>0</v>
      </c>
      <c r="BB168" s="375">
        <v>0</v>
      </c>
      <c r="BC168" s="375">
        <v>0</v>
      </c>
      <c r="BD168" s="375">
        <v>0</v>
      </c>
      <c r="BE168" s="375">
        <v>0</v>
      </c>
      <c r="BF168" s="375">
        <v>0</v>
      </c>
      <c r="BG168" s="375">
        <v>0</v>
      </c>
      <c r="BH168" s="103">
        <v>-872512.08</v>
      </c>
      <c r="BI168" s="103">
        <v>0</v>
      </c>
      <c r="BJ168" s="103">
        <v>0</v>
      </c>
      <c r="BK168" s="103">
        <v>0</v>
      </c>
      <c r="BL168" s="103">
        <v>0</v>
      </c>
      <c r="BM168" s="103">
        <v>0</v>
      </c>
      <c r="BN168" s="103">
        <v>0</v>
      </c>
      <c r="BO168" s="103">
        <v>0</v>
      </c>
      <c r="BP168" s="103">
        <v>0</v>
      </c>
      <c r="BQ168" s="103">
        <v>0</v>
      </c>
      <c r="BR168" s="103">
        <v>0</v>
      </c>
      <c r="BS168" s="103">
        <v>0</v>
      </c>
      <c r="BT168" s="79">
        <f>SUM(ERP_2[[#This Row],[2026 AP01]:[2026 AP12]])</f>
        <v>-872512.08</v>
      </c>
    </row>
    <row r="169" spans="1:72" ht="15" hidden="1" customHeight="1">
      <c r="A169" s="79" t="s">
        <v>2391</v>
      </c>
      <c r="B169" s="79"/>
      <c r="C169" s="79" t="s">
        <v>754</v>
      </c>
      <c r="D169" s="296" t="s">
        <v>754</v>
      </c>
      <c r="E169" s="150" t="s">
        <v>1136</v>
      </c>
      <c r="F169" s="482" t="s">
        <v>1566</v>
      </c>
      <c r="G169" s="150" t="s">
        <v>1135</v>
      </c>
      <c r="H169" s="150" t="s">
        <v>1135</v>
      </c>
      <c r="I169" s="332" t="s">
        <v>1135</v>
      </c>
      <c r="J169" s="383" t="s">
        <v>1135</v>
      </c>
      <c r="K169" s="331" t="s">
        <v>1137</v>
      </c>
      <c r="L169" s="512" t="s">
        <v>639</v>
      </c>
      <c r="M169" s="393" t="s">
        <v>2392</v>
      </c>
      <c r="N169" s="343" t="s">
        <v>2343</v>
      </c>
      <c r="O169" s="150" t="s">
        <v>1171</v>
      </c>
      <c r="P169" s="91" t="s">
        <v>755</v>
      </c>
      <c r="Q169" s="343"/>
      <c r="R169" s="346" t="s">
        <v>2339</v>
      </c>
      <c r="S169" s="346" t="s">
        <v>1710</v>
      </c>
      <c r="T169" s="386" t="s">
        <v>707</v>
      </c>
      <c r="U169" s="346" t="s">
        <v>1348</v>
      </c>
      <c r="V169" s="437"/>
      <c r="W169" s="358">
        <v>267876.47999999998</v>
      </c>
      <c r="X169" s="378">
        <v>0</v>
      </c>
      <c r="Y169" s="425"/>
      <c r="Z169" s="71"/>
      <c r="AA169" s="433"/>
      <c r="AB169" s="434"/>
      <c r="AC169" s="434"/>
      <c r="AD169" s="428" t="s">
        <v>1142</v>
      </c>
      <c r="AE169" s="429">
        <v>0</v>
      </c>
      <c r="AF169" s="429">
        <v>0</v>
      </c>
      <c r="AG169" s="388">
        <v>0</v>
      </c>
      <c r="AH169" s="388">
        <v>0</v>
      </c>
      <c r="AI169" s="388">
        <v>0</v>
      </c>
      <c r="AJ169" s="388">
        <v>0</v>
      </c>
      <c r="AK169" s="388">
        <v>0</v>
      </c>
      <c r="AL169" s="388">
        <v>0</v>
      </c>
      <c r="AM169" s="360">
        <f t="shared" si="5"/>
        <v>0</v>
      </c>
      <c r="AN169" s="362">
        <f>ERP_2[[#This Row],[2026 Working Total]]-ERP_2[[#This Row],[LE2 Final Submission]]</f>
        <v>0</v>
      </c>
      <c r="AO169" s="79">
        <v>0</v>
      </c>
      <c r="AP169" s="79">
        <f t="shared" si="6"/>
        <v>0</v>
      </c>
      <c r="AQ169" s="374">
        <f>SUM(ERP_2[[#This Row],[AP01]:[AP06]])-SUM(ERP_2[[#This Row],[AP01 LE2]:[AP06 LE2]])</f>
        <v>0</v>
      </c>
      <c r="AR169" s="80"/>
      <c r="AS169" s="79">
        <f>ERP_2[[#This Row],[2026 Working Total to Budget/LE]]-ERP_2[[#This Row],[Giveback]]</f>
        <v>0</v>
      </c>
      <c r="AT169" s="81"/>
      <c r="AU169" s="375"/>
      <c r="AV169" s="375"/>
      <c r="AW169" s="375"/>
      <c r="AX169" s="375">
        <v>0</v>
      </c>
      <c r="AY169" s="375">
        <v>0</v>
      </c>
      <c r="AZ169" s="375">
        <v>0</v>
      </c>
      <c r="BA169" s="375">
        <v>0</v>
      </c>
      <c r="BB169" s="375">
        <v>0</v>
      </c>
      <c r="BC169" s="375">
        <v>0</v>
      </c>
      <c r="BD169" s="375">
        <v>0</v>
      </c>
      <c r="BE169" s="375">
        <v>0</v>
      </c>
      <c r="BF169" s="375">
        <v>0</v>
      </c>
      <c r="BG169" s="375">
        <v>0</v>
      </c>
      <c r="BH169" s="103">
        <v>267876.47999999998</v>
      </c>
      <c r="BI169" s="103">
        <v>0</v>
      </c>
      <c r="BJ169" s="103">
        <v>0</v>
      </c>
      <c r="BK169" s="103">
        <v>0</v>
      </c>
      <c r="BL169" s="103">
        <v>0</v>
      </c>
      <c r="BM169" s="103">
        <v>0</v>
      </c>
      <c r="BN169" s="103">
        <v>0</v>
      </c>
      <c r="BO169" s="103">
        <v>0</v>
      </c>
      <c r="BP169" s="103">
        <v>0</v>
      </c>
      <c r="BQ169" s="103">
        <v>0</v>
      </c>
      <c r="BR169" s="103">
        <v>0</v>
      </c>
      <c r="BS169" s="103">
        <v>0</v>
      </c>
      <c r="BT169" s="79">
        <f>SUM(ERP_2[[#This Row],[2026 AP01]:[2026 AP12]])</f>
        <v>267876.47999999998</v>
      </c>
    </row>
    <row r="170" spans="1:72" ht="15" hidden="1" customHeight="1">
      <c r="A170" s="79" t="s">
        <v>2393</v>
      </c>
      <c r="B170" s="79"/>
      <c r="C170" s="79" t="s">
        <v>756</v>
      </c>
      <c r="D170" s="296" t="s">
        <v>756</v>
      </c>
      <c r="E170" s="150" t="s">
        <v>1136</v>
      </c>
      <c r="F170" s="482" t="s">
        <v>1566</v>
      </c>
      <c r="G170" s="150" t="s">
        <v>1135</v>
      </c>
      <c r="H170" s="150" t="s">
        <v>1135</v>
      </c>
      <c r="I170" s="332" t="s">
        <v>1135</v>
      </c>
      <c r="J170" s="383" t="s">
        <v>1135</v>
      </c>
      <c r="K170" s="331" t="s">
        <v>1137</v>
      </c>
      <c r="L170" s="512" t="s">
        <v>639</v>
      </c>
      <c r="M170" s="393" t="s">
        <v>2394</v>
      </c>
      <c r="N170" s="343" t="s">
        <v>2343</v>
      </c>
      <c r="O170" s="150" t="s">
        <v>1171</v>
      </c>
      <c r="P170" s="91" t="s">
        <v>757</v>
      </c>
      <c r="Q170" s="343"/>
      <c r="R170" s="346" t="s">
        <v>2339</v>
      </c>
      <c r="S170" s="346" t="s">
        <v>1710</v>
      </c>
      <c r="T170" s="386" t="s">
        <v>707</v>
      </c>
      <c r="U170" s="346" t="s">
        <v>1348</v>
      </c>
      <c r="V170" s="437"/>
      <c r="W170" s="358">
        <v>-267876.47999999998</v>
      </c>
      <c r="X170" s="378">
        <v>0</v>
      </c>
      <c r="Y170" s="425"/>
      <c r="Z170" s="71"/>
      <c r="AA170" s="433"/>
      <c r="AB170" s="434"/>
      <c r="AC170" s="434"/>
      <c r="AD170" s="428" t="s">
        <v>1142</v>
      </c>
      <c r="AE170" s="429">
        <v>0</v>
      </c>
      <c r="AF170" s="429">
        <v>0</v>
      </c>
      <c r="AG170" s="388">
        <v>0</v>
      </c>
      <c r="AH170" s="388">
        <v>0</v>
      </c>
      <c r="AI170" s="388">
        <v>0</v>
      </c>
      <c r="AJ170" s="388">
        <v>0</v>
      </c>
      <c r="AK170" s="388">
        <v>0</v>
      </c>
      <c r="AL170" s="388">
        <v>0</v>
      </c>
      <c r="AM170" s="360">
        <f t="shared" si="5"/>
        <v>0</v>
      </c>
      <c r="AN170" s="362">
        <f>ERP_2[[#This Row],[2026 Working Total]]-ERP_2[[#This Row],[LE2 Final Submission]]</f>
        <v>0</v>
      </c>
      <c r="AO170" s="79">
        <v>0</v>
      </c>
      <c r="AP170" s="79">
        <f t="shared" si="6"/>
        <v>0</v>
      </c>
      <c r="AQ170" s="374">
        <f>SUM(ERP_2[[#This Row],[AP01]:[AP06]])-SUM(ERP_2[[#This Row],[AP01 LE2]:[AP06 LE2]])</f>
        <v>0</v>
      </c>
      <c r="AR170" s="80"/>
      <c r="AS170" s="79">
        <f>ERP_2[[#This Row],[2026 Working Total to Budget/LE]]-ERP_2[[#This Row],[Giveback]]</f>
        <v>0</v>
      </c>
      <c r="AT170" s="81"/>
      <c r="AU170" s="375"/>
      <c r="AV170" s="375"/>
      <c r="AW170" s="375"/>
      <c r="AX170" s="375">
        <v>0</v>
      </c>
      <c r="AY170" s="375">
        <v>0</v>
      </c>
      <c r="AZ170" s="375">
        <v>0</v>
      </c>
      <c r="BA170" s="375">
        <v>0</v>
      </c>
      <c r="BB170" s="375">
        <v>0</v>
      </c>
      <c r="BC170" s="375">
        <v>0</v>
      </c>
      <c r="BD170" s="375">
        <v>0</v>
      </c>
      <c r="BE170" s="375">
        <v>0</v>
      </c>
      <c r="BF170" s="375">
        <v>0</v>
      </c>
      <c r="BG170" s="375">
        <v>0</v>
      </c>
      <c r="BH170" s="103">
        <v>-267876.47999999998</v>
      </c>
      <c r="BI170" s="103">
        <v>0</v>
      </c>
      <c r="BJ170" s="103">
        <v>0</v>
      </c>
      <c r="BK170" s="103">
        <v>0</v>
      </c>
      <c r="BL170" s="103">
        <v>0</v>
      </c>
      <c r="BM170" s="103">
        <v>0</v>
      </c>
      <c r="BN170" s="103">
        <v>0</v>
      </c>
      <c r="BO170" s="103">
        <v>0</v>
      </c>
      <c r="BP170" s="103">
        <v>0</v>
      </c>
      <c r="BQ170" s="103">
        <v>0</v>
      </c>
      <c r="BR170" s="103">
        <v>0</v>
      </c>
      <c r="BS170" s="103">
        <v>0</v>
      </c>
      <c r="BT170" s="79">
        <f>SUM(ERP_2[[#This Row],[2026 AP01]:[2026 AP12]])</f>
        <v>-267876.47999999998</v>
      </c>
    </row>
    <row r="171" spans="1:72" ht="15" hidden="1" customHeight="1">
      <c r="A171" s="66" t="s">
        <v>2395</v>
      </c>
      <c r="B171" s="66"/>
      <c r="C171" s="66" t="s">
        <v>758</v>
      </c>
      <c r="D171" s="66" t="s">
        <v>758</v>
      </c>
      <c r="E171" s="150" t="s">
        <v>1136</v>
      </c>
      <c r="F171" s="482" t="s">
        <v>1566</v>
      </c>
      <c r="G171" s="150" t="s">
        <v>1135</v>
      </c>
      <c r="H171" s="150" t="s">
        <v>1135</v>
      </c>
      <c r="I171" s="150" t="s">
        <v>1135</v>
      </c>
      <c r="J171" s="150" t="s">
        <v>1135</v>
      </c>
      <c r="K171" s="150" t="s">
        <v>1137</v>
      </c>
      <c r="L171" s="511" t="s">
        <v>639</v>
      </c>
      <c r="M171" s="392" t="s">
        <v>2396</v>
      </c>
      <c r="N171" s="343" t="s">
        <v>1231</v>
      </c>
      <c r="O171" s="346" t="s">
        <v>1171</v>
      </c>
      <c r="P171" s="70" t="s">
        <v>759</v>
      </c>
      <c r="Q171" s="346"/>
      <c r="R171" s="346" t="s">
        <v>2339</v>
      </c>
      <c r="S171" s="346"/>
      <c r="T171" s="150" t="s">
        <v>704</v>
      </c>
      <c r="U171" s="150" t="s">
        <v>2340</v>
      </c>
      <c r="V171" s="403"/>
      <c r="W171" s="406">
        <v>2542329.3599999994</v>
      </c>
      <c r="X171" s="406">
        <v>2542329.36</v>
      </c>
      <c r="Y171" s="430"/>
      <c r="Z171" s="137"/>
      <c r="AA171" s="426">
        <v>2542329.37</v>
      </c>
      <c r="AB171" s="427">
        <v>-2118607.81</v>
      </c>
      <c r="AC171" s="427">
        <v>211860.78</v>
      </c>
      <c r="AD171" s="428" t="s">
        <v>1142</v>
      </c>
      <c r="AE171" s="429">
        <v>0</v>
      </c>
      <c r="AF171" s="429">
        <v>0</v>
      </c>
      <c r="AG171" s="363">
        <f>211860.78-211860.78</f>
        <v>0</v>
      </c>
      <c r="AH171" s="363">
        <f>211860.78+211860.78</f>
        <v>423721.56</v>
      </c>
      <c r="AI171" s="363">
        <v>211860.78</v>
      </c>
      <c r="AJ171" s="363">
        <f>211860.78-211860.78</f>
        <v>0</v>
      </c>
      <c r="AK171" s="363">
        <f>211860.78+211860.78</f>
        <v>423721.56</v>
      </c>
      <c r="AL171" s="363">
        <v>211860.78</v>
      </c>
      <c r="AM171" s="360">
        <f t="shared" si="5"/>
        <v>1906747.0200000003</v>
      </c>
      <c r="AN171" s="362">
        <f>ERP_2[[#This Row],[2026 Working Total]]-ERP_2[[#This Row],[LE2 Final Submission]]</f>
        <v>-635582.33999999962</v>
      </c>
      <c r="AO171" s="79">
        <v>423721.56</v>
      </c>
      <c r="AP171" s="79">
        <f t="shared" si="6"/>
        <v>-423721.56</v>
      </c>
      <c r="AQ171" s="374">
        <f>SUM(ERP_2[[#This Row],[AP01]:[AP06]])-SUM(ERP_2[[#This Row],[AP01 LE2]:[AP06 LE2]])</f>
        <v>-635582.34000000008</v>
      </c>
      <c r="AR171" s="80"/>
      <c r="AS171" s="79">
        <f>ERP_2[[#This Row],[2026 Working Total to Budget/LE]]-ERP_2[[#This Row],[Giveback]]</f>
        <v>-635582.33999999962</v>
      </c>
      <c r="AT171" s="81"/>
      <c r="AU171" s="375">
        <v>2542329.37</v>
      </c>
      <c r="AV171" s="375">
        <v>-2118607.81</v>
      </c>
      <c r="AW171" s="375">
        <v>211860.78</v>
      </c>
      <c r="AX171" s="375">
        <v>0</v>
      </c>
      <c r="AY171" s="375">
        <v>423721.56</v>
      </c>
      <c r="AZ171" s="375">
        <v>211860.78</v>
      </c>
      <c r="BA171" s="375">
        <v>0</v>
      </c>
      <c r="BB171" s="375">
        <v>423721.56</v>
      </c>
      <c r="BC171" s="375">
        <v>211860.78</v>
      </c>
      <c r="BD171" s="375">
        <v>0</v>
      </c>
      <c r="BE171" s="375">
        <v>423721.56</v>
      </c>
      <c r="BF171" s="375">
        <v>211860.78</v>
      </c>
      <c r="BG171" s="375">
        <v>2542329.36</v>
      </c>
      <c r="BH171" s="79">
        <v>2542329.37</v>
      </c>
      <c r="BI171" s="79">
        <v>-2118607.81</v>
      </c>
      <c r="BJ171" s="79">
        <v>211860.78</v>
      </c>
      <c r="BK171" s="79">
        <v>211860.78</v>
      </c>
      <c r="BL171" s="79">
        <v>211860.78</v>
      </c>
      <c r="BM171" s="79">
        <v>211860.78</v>
      </c>
      <c r="BN171" s="79">
        <v>211860.78</v>
      </c>
      <c r="BO171" s="79">
        <v>211860.78</v>
      </c>
      <c r="BP171" s="79">
        <v>211860.78</v>
      </c>
      <c r="BQ171" s="79">
        <v>211860.78</v>
      </c>
      <c r="BR171" s="79">
        <v>211860.78</v>
      </c>
      <c r="BS171" s="79">
        <v>211860.78</v>
      </c>
      <c r="BT171" s="79">
        <v>2542329.36</v>
      </c>
    </row>
    <row r="172" spans="1:72" ht="15" hidden="1" customHeight="1">
      <c r="A172" s="79" t="s">
        <v>2397</v>
      </c>
      <c r="B172" s="79"/>
      <c r="C172" s="79" t="s">
        <v>760</v>
      </c>
      <c r="D172" s="296" t="s">
        <v>760</v>
      </c>
      <c r="E172" s="150" t="s">
        <v>1136</v>
      </c>
      <c r="F172" s="482" t="s">
        <v>1566</v>
      </c>
      <c r="G172" s="150" t="s">
        <v>1135</v>
      </c>
      <c r="H172" s="150" t="s">
        <v>1135</v>
      </c>
      <c r="I172" s="332" t="s">
        <v>1135</v>
      </c>
      <c r="J172" s="383" t="s">
        <v>1135</v>
      </c>
      <c r="K172" s="331" t="s">
        <v>1137</v>
      </c>
      <c r="L172" s="512" t="s">
        <v>639</v>
      </c>
      <c r="M172" s="393" t="s">
        <v>2398</v>
      </c>
      <c r="N172" s="343" t="s">
        <v>2343</v>
      </c>
      <c r="O172" s="150" t="s">
        <v>1171</v>
      </c>
      <c r="P172" s="91" t="s">
        <v>761</v>
      </c>
      <c r="Q172" s="343"/>
      <c r="R172" s="346" t="s">
        <v>2339</v>
      </c>
      <c r="S172" s="346" t="s">
        <v>1710</v>
      </c>
      <c r="T172" s="386" t="s">
        <v>707</v>
      </c>
      <c r="U172" s="346" t="s">
        <v>1348</v>
      </c>
      <c r="V172" s="437"/>
      <c r="W172" s="358">
        <v>539731.92000000004</v>
      </c>
      <c r="X172" s="378">
        <v>0</v>
      </c>
      <c r="Y172" s="425"/>
      <c r="Z172" s="71"/>
      <c r="AA172" s="433"/>
      <c r="AB172" s="434"/>
      <c r="AC172" s="434"/>
      <c r="AD172" s="428" t="s">
        <v>1142</v>
      </c>
      <c r="AE172" s="429">
        <v>0</v>
      </c>
      <c r="AF172" s="429">
        <v>0</v>
      </c>
      <c r="AG172" s="388">
        <v>0</v>
      </c>
      <c r="AH172" s="388">
        <v>0</v>
      </c>
      <c r="AI172" s="388">
        <v>0</v>
      </c>
      <c r="AJ172" s="388">
        <v>0</v>
      </c>
      <c r="AK172" s="388">
        <v>0</v>
      </c>
      <c r="AL172" s="388">
        <v>0</v>
      </c>
      <c r="AM172" s="360">
        <f t="shared" si="5"/>
        <v>0</v>
      </c>
      <c r="AN172" s="362">
        <f>ERP_2[[#This Row],[2026 Working Total]]-ERP_2[[#This Row],[LE2 Final Submission]]</f>
        <v>0</v>
      </c>
      <c r="AO172" s="79">
        <v>0</v>
      </c>
      <c r="AP172" s="79">
        <f t="shared" si="6"/>
        <v>0</v>
      </c>
      <c r="AQ172" s="374">
        <f>SUM(ERP_2[[#This Row],[AP01]:[AP06]])-SUM(ERP_2[[#This Row],[AP01 LE2]:[AP06 LE2]])</f>
        <v>0</v>
      </c>
      <c r="AR172" s="80"/>
      <c r="AS172" s="79">
        <f>ERP_2[[#This Row],[2026 Working Total to Budget/LE]]-ERP_2[[#This Row],[Giveback]]</f>
        <v>0</v>
      </c>
      <c r="AT172" s="81"/>
      <c r="AU172" s="375"/>
      <c r="AV172" s="375"/>
      <c r="AW172" s="375"/>
      <c r="AX172" s="375">
        <v>0</v>
      </c>
      <c r="AY172" s="375">
        <v>0</v>
      </c>
      <c r="AZ172" s="375">
        <v>0</v>
      </c>
      <c r="BA172" s="375">
        <v>0</v>
      </c>
      <c r="BB172" s="375">
        <v>0</v>
      </c>
      <c r="BC172" s="375">
        <v>0</v>
      </c>
      <c r="BD172" s="375">
        <v>0</v>
      </c>
      <c r="BE172" s="375">
        <v>0</v>
      </c>
      <c r="BF172" s="375">
        <v>0</v>
      </c>
      <c r="BG172" s="375">
        <v>0</v>
      </c>
      <c r="BH172" s="103">
        <v>539731.92000000004</v>
      </c>
      <c r="BI172" s="103">
        <v>0</v>
      </c>
      <c r="BJ172" s="103">
        <v>0</v>
      </c>
      <c r="BK172" s="103">
        <v>0</v>
      </c>
      <c r="BL172" s="103">
        <v>0</v>
      </c>
      <c r="BM172" s="103">
        <v>0</v>
      </c>
      <c r="BN172" s="103">
        <v>0</v>
      </c>
      <c r="BO172" s="103">
        <v>0</v>
      </c>
      <c r="BP172" s="103">
        <v>0</v>
      </c>
      <c r="BQ172" s="103">
        <v>0</v>
      </c>
      <c r="BR172" s="103">
        <v>0</v>
      </c>
      <c r="BS172" s="103">
        <v>0</v>
      </c>
      <c r="BT172" s="79">
        <f>SUM(ERP_2[[#This Row],[2026 AP01]:[2026 AP12]])</f>
        <v>539731.92000000004</v>
      </c>
    </row>
    <row r="173" spans="1:72" ht="15" hidden="1" customHeight="1">
      <c r="A173" s="66" t="s">
        <v>2833</v>
      </c>
      <c r="B173" s="66"/>
      <c r="C173" s="66" t="s">
        <v>1030</v>
      </c>
      <c r="D173" s="66" t="s">
        <v>1030</v>
      </c>
      <c r="E173" s="150" t="s">
        <v>1136</v>
      </c>
      <c r="F173" s="482" t="s">
        <v>1566</v>
      </c>
      <c r="G173" s="383" t="s">
        <v>1344</v>
      </c>
      <c r="H173" s="383" t="s">
        <v>1344</v>
      </c>
      <c r="I173" s="150" t="s">
        <v>1345</v>
      </c>
      <c r="J173" s="150" t="s">
        <v>1344</v>
      </c>
      <c r="K173" s="150" t="s">
        <v>1346</v>
      </c>
      <c r="L173" s="511" t="s">
        <v>1027</v>
      </c>
      <c r="M173" s="392" t="s">
        <v>2830</v>
      </c>
      <c r="N173" s="343"/>
      <c r="O173" s="343"/>
      <c r="P173" s="70" t="s">
        <v>1029</v>
      </c>
      <c r="Q173" s="346"/>
      <c r="R173" s="343"/>
      <c r="S173" s="346"/>
      <c r="T173" s="150" t="s">
        <v>25</v>
      </c>
      <c r="U173" s="150"/>
      <c r="V173" s="403"/>
      <c r="W173" s="406">
        <v>0</v>
      </c>
      <c r="X173" s="406">
        <v>39.089999999999996</v>
      </c>
      <c r="Y173" s="425"/>
      <c r="Z173" s="71"/>
      <c r="AA173" s="426">
        <v>-39.24</v>
      </c>
      <c r="AB173" s="427">
        <v>78.33</v>
      </c>
      <c r="AC173" s="431">
        <v>0</v>
      </c>
      <c r="AD173" s="428">
        <v>101.53</v>
      </c>
      <c r="AE173" s="429">
        <v>0</v>
      </c>
      <c r="AF173" s="429">
        <v>0</v>
      </c>
      <c r="AG173" s="360">
        <v>0</v>
      </c>
      <c r="AH173" s="360">
        <v>0</v>
      </c>
      <c r="AI173" s="360">
        <v>0</v>
      </c>
      <c r="AJ173" s="360">
        <v>0</v>
      </c>
      <c r="AK173" s="360">
        <v>0</v>
      </c>
      <c r="AL173" s="360">
        <v>0</v>
      </c>
      <c r="AM173" s="360">
        <f t="shared" si="5"/>
        <v>140.62</v>
      </c>
      <c r="AN173" s="362">
        <f>ERP_2[[#This Row],[2026 Working Total]]-ERP_2[[#This Row],[LE2 Final Submission]]</f>
        <v>101.53</v>
      </c>
      <c r="AO173" s="79">
        <v>0</v>
      </c>
      <c r="AP173" s="79">
        <f t="shared" si="6"/>
        <v>0</v>
      </c>
      <c r="AQ173" s="374">
        <f>SUM(ERP_2[[#This Row],[AP01]:[AP06]])-SUM(ERP_2[[#This Row],[AP01 LE2]:[AP06 LE2]])</f>
        <v>101.53</v>
      </c>
      <c r="AR173" s="80"/>
      <c r="AS173" s="79">
        <f>ERP_2[[#This Row],[2026 Working Total to Budget/LE]]-ERP_2[[#This Row],[Giveback]]</f>
        <v>101.53</v>
      </c>
      <c r="AT173" s="81"/>
      <c r="AU173" s="375">
        <v>-39.24</v>
      </c>
      <c r="AV173" s="375">
        <v>78.33</v>
      </c>
      <c r="AW173" s="375">
        <v>0</v>
      </c>
      <c r="AX173" s="375">
        <v>0</v>
      </c>
      <c r="AY173" s="375">
        <v>0</v>
      </c>
      <c r="AZ173" s="375">
        <v>0</v>
      </c>
      <c r="BA173" s="375">
        <v>0</v>
      </c>
      <c r="BB173" s="375">
        <v>0</v>
      </c>
      <c r="BC173" s="375">
        <v>0</v>
      </c>
      <c r="BD173" s="375">
        <v>0</v>
      </c>
      <c r="BE173" s="375">
        <v>0</v>
      </c>
      <c r="BF173" s="375">
        <v>0</v>
      </c>
      <c r="BG173" s="375">
        <v>39.089999999999996</v>
      </c>
      <c r="BH173" s="79">
        <v>-39.24</v>
      </c>
      <c r="BI173" s="79">
        <v>78.33</v>
      </c>
      <c r="BJ173" s="79">
        <v>0</v>
      </c>
      <c r="BK173" s="79">
        <v>0</v>
      </c>
      <c r="BL173" s="79">
        <v>0</v>
      </c>
      <c r="BM173" s="79">
        <v>0</v>
      </c>
      <c r="BN173" s="79">
        <v>0</v>
      </c>
      <c r="BO173" s="79">
        <v>0</v>
      </c>
      <c r="BP173" s="79">
        <v>0</v>
      </c>
      <c r="BQ173" s="79">
        <v>0</v>
      </c>
      <c r="BR173" s="79">
        <v>0</v>
      </c>
      <c r="BS173" s="79">
        <v>0</v>
      </c>
      <c r="BT173" s="79">
        <v>39.089999999999996</v>
      </c>
    </row>
    <row r="174" spans="1:72" ht="15" hidden="1" customHeight="1">
      <c r="A174" s="66" t="s">
        <v>2849</v>
      </c>
      <c r="B174" s="66"/>
      <c r="C174" s="66" t="s">
        <v>1041</v>
      </c>
      <c r="D174" s="66" t="s">
        <v>1041</v>
      </c>
      <c r="E174" s="150" t="s">
        <v>1136</v>
      </c>
      <c r="F174" s="482" t="s">
        <v>1566</v>
      </c>
      <c r="G174" s="383" t="s">
        <v>1344</v>
      </c>
      <c r="H174" s="383" t="s">
        <v>1344</v>
      </c>
      <c r="I174" s="150" t="s">
        <v>1345</v>
      </c>
      <c r="J174" s="150" t="s">
        <v>1344</v>
      </c>
      <c r="K174" s="150" t="s">
        <v>1346</v>
      </c>
      <c r="L174" s="511" t="s">
        <v>1037</v>
      </c>
      <c r="M174" s="392" t="s">
        <v>2846</v>
      </c>
      <c r="N174" s="343"/>
      <c r="O174" s="343"/>
      <c r="P174" s="70" t="s">
        <v>1039</v>
      </c>
      <c r="Q174" s="346"/>
      <c r="R174" s="346" t="s">
        <v>1140</v>
      </c>
      <c r="S174" s="346"/>
      <c r="T174" s="150" t="s">
        <v>1040</v>
      </c>
      <c r="U174" s="150"/>
      <c r="V174" s="403"/>
      <c r="W174" s="406">
        <v>0</v>
      </c>
      <c r="X174" s="406">
        <v>995.34</v>
      </c>
      <c r="Y174" s="425"/>
      <c r="Z174" s="71"/>
      <c r="AA174" s="426">
        <v>948.99</v>
      </c>
      <c r="AB174" s="431">
        <v>0</v>
      </c>
      <c r="AC174" s="427">
        <v>46.35</v>
      </c>
      <c r="AD174" s="428">
        <v>0</v>
      </c>
      <c r="AE174" s="429">
        <v>0</v>
      </c>
      <c r="AF174" s="429">
        <v>0</v>
      </c>
      <c r="AG174" s="360">
        <v>0</v>
      </c>
      <c r="AH174" s="360">
        <v>0</v>
      </c>
      <c r="AI174" s="360">
        <v>0</v>
      </c>
      <c r="AJ174" s="360">
        <v>0</v>
      </c>
      <c r="AK174" s="360">
        <v>0</v>
      </c>
      <c r="AL174" s="360">
        <v>0</v>
      </c>
      <c r="AM174" s="360">
        <f t="shared" si="5"/>
        <v>995.34</v>
      </c>
      <c r="AN174" s="362">
        <f>ERP_2[[#This Row],[2026 Working Total]]-ERP_2[[#This Row],[LE2 Final Submission]]</f>
        <v>0</v>
      </c>
      <c r="AO174" s="79">
        <v>0</v>
      </c>
      <c r="AP174" s="79">
        <f t="shared" si="6"/>
        <v>0</v>
      </c>
      <c r="AQ174" s="374">
        <f>SUM(ERP_2[[#This Row],[AP01]:[AP06]])-SUM(ERP_2[[#This Row],[AP01 LE2]:[AP06 LE2]])</f>
        <v>0</v>
      </c>
      <c r="AR174" s="80"/>
      <c r="AS174" s="79">
        <f>ERP_2[[#This Row],[2026 Working Total to Budget/LE]]-ERP_2[[#This Row],[Giveback]]</f>
        <v>0</v>
      </c>
      <c r="AT174" s="81"/>
      <c r="AU174" s="375">
        <v>948.99</v>
      </c>
      <c r="AV174" s="375">
        <v>0</v>
      </c>
      <c r="AW174" s="375">
        <v>46.35</v>
      </c>
      <c r="AX174" s="375">
        <v>0</v>
      </c>
      <c r="AY174" s="375">
        <v>0</v>
      </c>
      <c r="AZ174" s="375">
        <v>0</v>
      </c>
      <c r="BA174" s="375">
        <v>0</v>
      </c>
      <c r="BB174" s="375">
        <v>0</v>
      </c>
      <c r="BC174" s="375">
        <v>0</v>
      </c>
      <c r="BD174" s="375">
        <v>0</v>
      </c>
      <c r="BE174" s="375">
        <v>0</v>
      </c>
      <c r="BF174" s="375">
        <v>0</v>
      </c>
      <c r="BG174" s="375">
        <v>995.34</v>
      </c>
      <c r="BH174" s="79">
        <v>948.99</v>
      </c>
      <c r="BI174" s="79">
        <v>0</v>
      </c>
      <c r="BJ174" s="79">
        <v>46.35</v>
      </c>
      <c r="BK174" s="79">
        <v>0</v>
      </c>
      <c r="BL174" s="79">
        <v>0</v>
      </c>
      <c r="BM174" s="79">
        <v>0</v>
      </c>
      <c r="BN174" s="79">
        <v>0</v>
      </c>
      <c r="BO174" s="79">
        <v>0</v>
      </c>
      <c r="BP174" s="79">
        <v>0</v>
      </c>
      <c r="BQ174" s="79">
        <v>0</v>
      </c>
      <c r="BR174" s="79">
        <v>0</v>
      </c>
      <c r="BS174" s="79">
        <v>0</v>
      </c>
      <c r="BT174" s="79">
        <v>995.34</v>
      </c>
    </row>
    <row r="175" spans="1:72" ht="15" hidden="1" customHeight="1">
      <c r="A175" s="79" t="s">
        <v>2399</v>
      </c>
      <c r="B175" s="79"/>
      <c r="C175" s="79" t="s">
        <v>762</v>
      </c>
      <c r="D175" s="296" t="s">
        <v>762</v>
      </c>
      <c r="E175" s="150" t="s">
        <v>1136</v>
      </c>
      <c r="F175" s="482" t="s">
        <v>1566</v>
      </c>
      <c r="G175" s="150" t="s">
        <v>1135</v>
      </c>
      <c r="H175" s="150" t="s">
        <v>1135</v>
      </c>
      <c r="I175" s="332" t="s">
        <v>1135</v>
      </c>
      <c r="J175" s="383" t="s">
        <v>1135</v>
      </c>
      <c r="K175" s="331" t="s">
        <v>1137</v>
      </c>
      <c r="L175" s="512" t="s">
        <v>639</v>
      </c>
      <c r="M175" s="393" t="s">
        <v>2400</v>
      </c>
      <c r="N175" s="343" t="s">
        <v>2343</v>
      </c>
      <c r="O175" s="150" t="s">
        <v>1171</v>
      </c>
      <c r="P175" s="91" t="s">
        <v>763</v>
      </c>
      <c r="Q175" s="343"/>
      <c r="R175" s="346" t="s">
        <v>2339</v>
      </c>
      <c r="S175" s="346" t="s">
        <v>1710</v>
      </c>
      <c r="T175" s="386" t="s">
        <v>707</v>
      </c>
      <c r="U175" s="346" t="s">
        <v>1348</v>
      </c>
      <c r="V175" s="437"/>
      <c r="W175" s="358">
        <v>-539731.92000000004</v>
      </c>
      <c r="X175" s="378">
        <v>0</v>
      </c>
      <c r="Y175" s="425"/>
      <c r="Z175" s="71"/>
      <c r="AA175" s="433"/>
      <c r="AB175" s="434"/>
      <c r="AC175" s="434"/>
      <c r="AD175" s="428" t="s">
        <v>1142</v>
      </c>
      <c r="AE175" s="429">
        <v>0</v>
      </c>
      <c r="AF175" s="429">
        <v>0</v>
      </c>
      <c r="AG175" s="388">
        <v>0</v>
      </c>
      <c r="AH175" s="388">
        <v>0</v>
      </c>
      <c r="AI175" s="388">
        <v>0</v>
      </c>
      <c r="AJ175" s="388">
        <v>0</v>
      </c>
      <c r="AK175" s="388">
        <v>0</v>
      </c>
      <c r="AL175" s="388">
        <v>0</v>
      </c>
      <c r="AM175" s="360">
        <f t="shared" si="5"/>
        <v>0</v>
      </c>
      <c r="AN175" s="362">
        <f>ERP_2[[#This Row],[2026 Working Total]]-ERP_2[[#This Row],[LE2 Final Submission]]</f>
        <v>0</v>
      </c>
      <c r="AO175" s="79">
        <v>0</v>
      </c>
      <c r="AP175" s="79">
        <f t="shared" si="6"/>
        <v>0</v>
      </c>
      <c r="AQ175" s="374">
        <f>SUM(ERP_2[[#This Row],[AP01]:[AP06]])-SUM(ERP_2[[#This Row],[AP01 LE2]:[AP06 LE2]])</f>
        <v>0</v>
      </c>
      <c r="AR175" s="80"/>
      <c r="AS175" s="79">
        <f>ERP_2[[#This Row],[2026 Working Total to Budget/LE]]-ERP_2[[#This Row],[Giveback]]</f>
        <v>0</v>
      </c>
      <c r="AT175" s="81"/>
      <c r="AU175" s="375"/>
      <c r="AV175" s="375"/>
      <c r="AW175" s="375"/>
      <c r="AX175" s="375">
        <v>0</v>
      </c>
      <c r="AY175" s="375">
        <v>0</v>
      </c>
      <c r="AZ175" s="375">
        <v>0</v>
      </c>
      <c r="BA175" s="375">
        <v>0</v>
      </c>
      <c r="BB175" s="375">
        <v>0</v>
      </c>
      <c r="BC175" s="375">
        <v>0</v>
      </c>
      <c r="BD175" s="375">
        <v>0</v>
      </c>
      <c r="BE175" s="375">
        <v>0</v>
      </c>
      <c r="BF175" s="375">
        <v>0</v>
      </c>
      <c r="BG175" s="375">
        <v>0</v>
      </c>
      <c r="BH175" s="103">
        <v>-539731.92000000004</v>
      </c>
      <c r="BI175" s="103">
        <v>0</v>
      </c>
      <c r="BJ175" s="103">
        <v>0</v>
      </c>
      <c r="BK175" s="103">
        <v>0</v>
      </c>
      <c r="BL175" s="103">
        <v>0</v>
      </c>
      <c r="BM175" s="103">
        <v>0</v>
      </c>
      <c r="BN175" s="103">
        <v>0</v>
      </c>
      <c r="BO175" s="103">
        <v>0</v>
      </c>
      <c r="BP175" s="103">
        <v>0</v>
      </c>
      <c r="BQ175" s="103">
        <v>0</v>
      </c>
      <c r="BR175" s="103">
        <v>0</v>
      </c>
      <c r="BS175" s="103">
        <v>0</v>
      </c>
      <c r="BT175" s="79">
        <f>SUM(ERP_2[[#This Row],[2026 AP01]:[2026 AP12]])</f>
        <v>-539731.92000000004</v>
      </c>
    </row>
    <row r="176" spans="1:72" ht="15" hidden="1" customHeight="1">
      <c r="A176" s="79" t="s">
        <v>2401</v>
      </c>
      <c r="B176" s="79"/>
      <c r="C176" s="79" t="s">
        <v>764</v>
      </c>
      <c r="D176" s="296" t="s">
        <v>764</v>
      </c>
      <c r="E176" s="150" t="s">
        <v>1136</v>
      </c>
      <c r="F176" s="482" t="s">
        <v>1566</v>
      </c>
      <c r="G176" s="150" t="s">
        <v>1135</v>
      </c>
      <c r="H176" s="150" t="s">
        <v>1135</v>
      </c>
      <c r="I176" s="332" t="s">
        <v>1135</v>
      </c>
      <c r="J176" s="383" t="s">
        <v>1135</v>
      </c>
      <c r="K176" s="331" t="s">
        <v>1137</v>
      </c>
      <c r="L176" s="512" t="s">
        <v>639</v>
      </c>
      <c r="M176" s="393" t="s">
        <v>2402</v>
      </c>
      <c r="N176" s="343" t="s">
        <v>2343</v>
      </c>
      <c r="O176" s="150" t="s">
        <v>1171</v>
      </c>
      <c r="P176" s="91" t="s">
        <v>765</v>
      </c>
      <c r="Q176" s="343"/>
      <c r="R176" s="346" t="s">
        <v>2339</v>
      </c>
      <c r="S176" s="346" t="s">
        <v>1710</v>
      </c>
      <c r="T176" s="386" t="s">
        <v>707</v>
      </c>
      <c r="U176" s="346" t="s">
        <v>1348</v>
      </c>
      <c r="V176" s="437"/>
      <c r="W176" s="358">
        <v>60272.160000000003</v>
      </c>
      <c r="X176" s="378">
        <v>0</v>
      </c>
      <c r="Y176" s="430"/>
      <c r="Z176" s="137"/>
      <c r="AA176" s="433"/>
      <c r="AB176" s="434"/>
      <c r="AC176" s="434"/>
      <c r="AD176" s="428" t="s">
        <v>1142</v>
      </c>
      <c r="AE176" s="429">
        <v>0</v>
      </c>
      <c r="AF176" s="429">
        <v>0</v>
      </c>
      <c r="AG176" s="388">
        <v>0</v>
      </c>
      <c r="AH176" s="388">
        <v>0</v>
      </c>
      <c r="AI176" s="388">
        <v>0</v>
      </c>
      <c r="AJ176" s="388">
        <v>0</v>
      </c>
      <c r="AK176" s="388">
        <v>0</v>
      </c>
      <c r="AL176" s="388">
        <v>0</v>
      </c>
      <c r="AM176" s="360">
        <f t="shared" si="5"/>
        <v>0</v>
      </c>
      <c r="AN176" s="362">
        <f>ERP_2[[#This Row],[2026 Working Total]]-ERP_2[[#This Row],[LE2 Final Submission]]</f>
        <v>0</v>
      </c>
      <c r="AO176" s="79">
        <v>0</v>
      </c>
      <c r="AP176" s="79">
        <f t="shared" si="6"/>
        <v>0</v>
      </c>
      <c r="AQ176" s="374">
        <f>SUM(ERP_2[[#This Row],[AP01]:[AP06]])-SUM(ERP_2[[#This Row],[AP01 LE2]:[AP06 LE2]])</f>
        <v>0</v>
      </c>
      <c r="AR176" s="80"/>
      <c r="AS176" s="79">
        <f>ERP_2[[#This Row],[2026 Working Total to Budget/LE]]-ERP_2[[#This Row],[Giveback]]</f>
        <v>0</v>
      </c>
      <c r="AT176" s="81"/>
      <c r="AU176" s="375"/>
      <c r="AV176" s="375"/>
      <c r="AW176" s="375"/>
      <c r="AX176" s="375">
        <v>0</v>
      </c>
      <c r="AY176" s="375">
        <v>0</v>
      </c>
      <c r="AZ176" s="375">
        <v>0</v>
      </c>
      <c r="BA176" s="375">
        <v>0</v>
      </c>
      <c r="BB176" s="375">
        <v>0</v>
      </c>
      <c r="BC176" s="375">
        <v>0</v>
      </c>
      <c r="BD176" s="375">
        <v>0</v>
      </c>
      <c r="BE176" s="375">
        <v>0</v>
      </c>
      <c r="BF176" s="375">
        <v>0</v>
      </c>
      <c r="BG176" s="375">
        <v>0</v>
      </c>
      <c r="BH176" s="103">
        <v>60272.160000000003</v>
      </c>
      <c r="BI176" s="103">
        <v>0</v>
      </c>
      <c r="BJ176" s="103">
        <v>0</v>
      </c>
      <c r="BK176" s="103">
        <v>0</v>
      </c>
      <c r="BL176" s="103">
        <v>0</v>
      </c>
      <c r="BM176" s="103">
        <v>0</v>
      </c>
      <c r="BN176" s="103">
        <v>0</v>
      </c>
      <c r="BO176" s="103">
        <v>0</v>
      </c>
      <c r="BP176" s="103">
        <v>0</v>
      </c>
      <c r="BQ176" s="103">
        <v>0</v>
      </c>
      <c r="BR176" s="103">
        <v>0</v>
      </c>
      <c r="BS176" s="103">
        <v>0</v>
      </c>
      <c r="BT176" s="79">
        <f>SUM(ERP_2[[#This Row],[2026 AP01]:[2026 AP12]])</f>
        <v>60272.160000000003</v>
      </c>
    </row>
    <row r="177" spans="1:72" ht="15" hidden="1" customHeight="1">
      <c r="A177" s="79" t="s">
        <v>2403</v>
      </c>
      <c r="B177" s="79"/>
      <c r="C177" s="79" t="s">
        <v>766</v>
      </c>
      <c r="D177" s="296" t="s">
        <v>766</v>
      </c>
      <c r="E177" s="150" t="s">
        <v>1136</v>
      </c>
      <c r="F177" s="482" t="s">
        <v>1566</v>
      </c>
      <c r="G177" s="150" t="s">
        <v>1135</v>
      </c>
      <c r="H177" s="150" t="s">
        <v>1135</v>
      </c>
      <c r="I177" s="332" t="s">
        <v>1135</v>
      </c>
      <c r="J177" s="383" t="s">
        <v>1135</v>
      </c>
      <c r="K177" s="331" t="s">
        <v>1137</v>
      </c>
      <c r="L177" s="512" t="s">
        <v>639</v>
      </c>
      <c r="M177" s="393" t="s">
        <v>2404</v>
      </c>
      <c r="N177" s="343" t="s">
        <v>2343</v>
      </c>
      <c r="O177" s="150" t="s">
        <v>1171</v>
      </c>
      <c r="P177" s="91" t="s">
        <v>767</v>
      </c>
      <c r="Q177" s="343"/>
      <c r="R177" s="346" t="s">
        <v>2339</v>
      </c>
      <c r="S177" s="346" t="s">
        <v>1710</v>
      </c>
      <c r="T177" s="386" t="s">
        <v>707</v>
      </c>
      <c r="U177" s="346" t="s">
        <v>1348</v>
      </c>
      <c r="V177" s="437"/>
      <c r="W177" s="358">
        <v>-60272.160000000003</v>
      </c>
      <c r="X177" s="378">
        <v>0</v>
      </c>
      <c r="Y177" s="425"/>
      <c r="Z177" s="71"/>
      <c r="AA177" s="433"/>
      <c r="AB177" s="434"/>
      <c r="AC177" s="434"/>
      <c r="AD177" s="428" t="s">
        <v>1142</v>
      </c>
      <c r="AE177" s="429">
        <v>0</v>
      </c>
      <c r="AF177" s="429">
        <v>0</v>
      </c>
      <c r="AG177" s="388">
        <v>0</v>
      </c>
      <c r="AH177" s="388">
        <v>0</v>
      </c>
      <c r="AI177" s="388">
        <v>0</v>
      </c>
      <c r="AJ177" s="388">
        <v>0</v>
      </c>
      <c r="AK177" s="388">
        <v>0</v>
      </c>
      <c r="AL177" s="388">
        <v>0</v>
      </c>
      <c r="AM177" s="360">
        <f t="shared" si="5"/>
        <v>0</v>
      </c>
      <c r="AN177" s="362">
        <f>ERP_2[[#This Row],[2026 Working Total]]-ERP_2[[#This Row],[LE2 Final Submission]]</f>
        <v>0</v>
      </c>
      <c r="AO177" s="79">
        <v>0</v>
      </c>
      <c r="AP177" s="79">
        <f t="shared" si="6"/>
        <v>0</v>
      </c>
      <c r="AQ177" s="374">
        <f>SUM(ERP_2[[#This Row],[AP01]:[AP06]])-SUM(ERP_2[[#This Row],[AP01 LE2]:[AP06 LE2]])</f>
        <v>0</v>
      </c>
      <c r="AR177" s="80"/>
      <c r="AS177" s="79">
        <f>ERP_2[[#This Row],[2026 Working Total to Budget/LE]]-ERP_2[[#This Row],[Giveback]]</f>
        <v>0</v>
      </c>
      <c r="AT177" s="81"/>
      <c r="AU177" s="375"/>
      <c r="AV177" s="375"/>
      <c r="AW177" s="375"/>
      <c r="AX177" s="375">
        <v>0</v>
      </c>
      <c r="AY177" s="375">
        <v>0</v>
      </c>
      <c r="AZ177" s="375">
        <v>0</v>
      </c>
      <c r="BA177" s="375">
        <v>0</v>
      </c>
      <c r="BB177" s="375">
        <v>0</v>
      </c>
      <c r="BC177" s="375">
        <v>0</v>
      </c>
      <c r="BD177" s="375">
        <v>0</v>
      </c>
      <c r="BE177" s="375">
        <v>0</v>
      </c>
      <c r="BF177" s="375">
        <v>0</v>
      </c>
      <c r="BG177" s="375">
        <v>0</v>
      </c>
      <c r="BH177" s="103">
        <v>-60272.160000000003</v>
      </c>
      <c r="BI177" s="103">
        <v>0</v>
      </c>
      <c r="BJ177" s="103">
        <v>0</v>
      </c>
      <c r="BK177" s="103">
        <v>0</v>
      </c>
      <c r="BL177" s="103">
        <v>0</v>
      </c>
      <c r="BM177" s="103">
        <v>0</v>
      </c>
      <c r="BN177" s="103">
        <v>0</v>
      </c>
      <c r="BO177" s="103">
        <v>0</v>
      </c>
      <c r="BP177" s="103">
        <v>0</v>
      </c>
      <c r="BQ177" s="103">
        <v>0</v>
      </c>
      <c r="BR177" s="103">
        <v>0</v>
      </c>
      <c r="BS177" s="103">
        <v>0</v>
      </c>
      <c r="BT177" s="79">
        <f>SUM(ERP_2[[#This Row],[2026 AP01]:[2026 AP12]])</f>
        <v>-60272.160000000003</v>
      </c>
    </row>
    <row r="178" spans="1:72" ht="15" hidden="1" customHeight="1">
      <c r="A178" s="79" t="s">
        <v>2405</v>
      </c>
      <c r="B178" s="79"/>
      <c r="C178" s="79" t="s">
        <v>768</v>
      </c>
      <c r="D178" s="296" t="s">
        <v>768</v>
      </c>
      <c r="E178" s="150" t="s">
        <v>1136</v>
      </c>
      <c r="F178" s="482" t="s">
        <v>1566</v>
      </c>
      <c r="G178" s="150" t="s">
        <v>1135</v>
      </c>
      <c r="H178" s="150" t="s">
        <v>1135</v>
      </c>
      <c r="I178" s="332" t="s">
        <v>1135</v>
      </c>
      <c r="J178" s="383" t="s">
        <v>1135</v>
      </c>
      <c r="K178" s="331" t="s">
        <v>1137</v>
      </c>
      <c r="L178" s="512" t="s">
        <v>639</v>
      </c>
      <c r="M178" s="393" t="s">
        <v>2406</v>
      </c>
      <c r="N178" s="343" t="s">
        <v>2343</v>
      </c>
      <c r="O178" s="150" t="s">
        <v>1171</v>
      </c>
      <c r="P178" s="91" t="s">
        <v>769</v>
      </c>
      <c r="Q178" s="343"/>
      <c r="R178" s="346" t="s">
        <v>2339</v>
      </c>
      <c r="S178" s="346" t="s">
        <v>1710</v>
      </c>
      <c r="T178" s="386" t="s">
        <v>707</v>
      </c>
      <c r="U178" s="346" t="s">
        <v>1348</v>
      </c>
      <c r="V178" s="437"/>
      <c r="W178" s="358">
        <v>626867.82999999996</v>
      </c>
      <c r="X178" s="378">
        <v>0</v>
      </c>
      <c r="Y178" s="425"/>
      <c r="Z178" s="71"/>
      <c r="AA178" s="433"/>
      <c r="AB178" s="434"/>
      <c r="AC178" s="434"/>
      <c r="AD178" s="428" t="s">
        <v>1142</v>
      </c>
      <c r="AE178" s="429">
        <v>0</v>
      </c>
      <c r="AF178" s="429">
        <v>0</v>
      </c>
      <c r="AG178" s="388">
        <v>0</v>
      </c>
      <c r="AH178" s="388">
        <v>0</v>
      </c>
      <c r="AI178" s="388">
        <v>0</v>
      </c>
      <c r="AJ178" s="388">
        <v>0</v>
      </c>
      <c r="AK178" s="388">
        <v>0</v>
      </c>
      <c r="AL178" s="388">
        <v>0</v>
      </c>
      <c r="AM178" s="360">
        <f t="shared" si="5"/>
        <v>0</v>
      </c>
      <c r="AN178" s="362">
        <f>ERP_2[[#This Row],[2026 Working Total]]-ERP_2[[#This Row],[LE2 Final Submission]]</f>
        <v>0</v>
      </c>
      <c r="AO178" s="79">
        <v>0</v>
      </c>
      <c r="AP178" s="79">
        <f t="shared" si="6"/>
        <v>0</v>
      </c>
      <c r="AQ178" s="374">
        <f>SUM(ERP_2[[#This Row],[AP01]:[AP06]])-SUM(ERP_2[[#This Row],[AP01 LE2]:[AP06 LE2]])</f>
        <v>0</v>
      </c>
      <c r="AR178" s="80"/>
      <c r="AS178" s="79">
        <f>ERP_2[[#This Row],[2026 Working Total to Budget/LE]]-ERP_2[[#This Row],[Giveback]]</f>
        <v>0</v>
      </c>
      <c r="AT178" s="81"/>
      <c r="AU178" s="375"/>
      <c r="AV178" s="375"/>
      <c r="AW178" s="375"/>
      <c r="AX178" s="375">
        <v>0</v>
      </c>
      <c r="AY178" s="375">
        <v>0</v>
      </c>
      <c r="AZ178" s="375">
        <v>0</v>
      </c>
      <c r="BA178" s="375">
        <v>0</v>
      </c>
      <c r="BB178" s="375">
        <v>0</v>
      </c>
      <c r="BC178" s="375">
        <v>0</v>
      </c>
      <c r="BD178" s="375">
        <v>0</v>
      </c>
      <c r="BE178" s="375">
        <v>0</v>
      </c>
      <c r="BF178" s="375">
        <v>0</v>
      </c>
      <c r="BG178" s="375">
        <v>0</v>
      </c>
      <c r="BH178" s="103">
        <v>626867.82999999996</v>
      </c>
      <c r="BI178" s="103">
        <v>0</v>
      </c>
      <c r="BJ178" s="103">
        <v>0</v>
      </c>
      <c r="BK178" s="103">
        <v>0</v>
      </c>
      <c r="BL178" s="103">
        <v>0</v>
      </c>
      <c r="BM178" s="103">
        <v>0</v>
      </c>
      <c r="BN178" s="103">
        <v>0</v>
      </c>
      <c r="BO178" s="103">
        <v>0</v>
      </c>
      <c r="BP178" s="103">
        <v>0</v>
      </c>
      <c r="BQ178" s="103">
        <v>0</v>
      </c>
      <c r="BR178" s="103">
        <v>0</v>
      </c>
      <c r="BS178" s="103">
        <v>0</v>
      </c>
      <c r="BT178" s="79">
        <f>SUM(ERP_2[[#This Row],[2026 AP01]:[2026 AP12]])</f>
        <v>626867.82999999996</v>
      </c>
    </row>
    <row r="179" spans="1:72" ht="15" hidden="1" customHeight="1">
      <c r="A179" s="79" t="s">
        <v>2407</v>
      </c>
      <c r="B179" s="79"/>
      <c r="C179" s="79" t="s">
        <v>770</v>
      </c>
      <c r="D179" s="296" t="s">
        <v>770</v>
      </c>
      <c r="E179" s="150" t="s">
        <v>1136</v>
      </c>
      <c r="F179" s="482" t="s">
        <v>1566</v>
      </c>
      <c r="G179" s="150" t="s">
        <v>1135</v>
      </c>
      <c r="H179" s="150" t="s">
        <v>1135</v>
      </c>
      <c r="I179" s="332" t="s">
        <v>1135</v>
      </c>
      <c r="J179" s="383" t="s">
        <v>1135</v>
      </c>
      <c r="K179" s="331" t="s">
        <v>1137</v>
      </c>
      <c r="L179" s="512" t="s">
        <v>639</v>
      </c>
      <c r="M179" s="393" t="s">
        <v>2408</v>
      </c>
      <c r="N179" s="343" t="s">
        <v>2343</v>
      </c>
      <c r="O179" s="150" t="s">
        <v>1171</v>
      </c>
      <c r="P179" s="91" t="s">
        <v>771</v>
      </c>
      <c r="Q179" s="343"/>
      <c r="R179" s="346" t="s">
        <v>2339</v>
      </c>
      <c r="S179" s="346" t="s">
        <v>1710</v>
      </c>
      <c r="T179" s="386" t="s">
        <v>707</v>
      </c>
      <c r="U179" s="346" t="s">
        <v>1348</v>
      </c>
      <c r="V179" s="437"/>
      <c r="W179" s="358">
        <v>-626867.82999999996</v>
      </c>
      <c r="X179" s="378">
        <v>0</v>
      </c>
      <c r="Y179" s="430"/>
      <c r="Z179" s="137"/>
      <c r="AA179" s="433"/>
      <c r="AB179" s="434"/>
      <c r="AC179" s="434"/>
      <c r="AD179" s="428" t="s">
        <v>1142</v>
      </c>
      <c r="AE179" s="429">
        <v>0</v>
      </c>
      <c r="AF179" s="429">
        <v>0</v>
      </c>
      <c r="AG179" s="388">
        <v>0</v>
      </c>
      <c r="AH179" s="388">
        <v>0</v>
      </c>
      <c r="AI179" s="388">
        <v>0</v>
      </c>
      <c r="AJ179" s="388">
        <v>0</v>
      </c>
      <c r="AK179" s="388">
        <v>0</v>
      </c>
      <c r="AL179" s="388">
        <v>0</v>
      </c>
      <c r="AM179" s="360">
        <f t="shared" si="5"/>
        <v>0</v>
      </c>
      <c r="AN179" s="362">
        <f>ERP_2[[#This Row],[2026 Working Total]]-ERP_2[[#This Row],[LE2 Final Submission]]</f>
        <v>0</v>
      </c>
      <c r="AO179" s="79">
        <v>0</v>
      </c>
      <c r="AP179" s="79">
        <f t="shared" si="6"/>
        <v>0</v>
      </c>
      <c r="AQ179" s="374">
        <f>SUM(ERP_2[[#This Row],[AP01]:[AP06]])-SUM(ERP_2[[#This Row],[AP01 LE2]:[AP06 LE2]])</f>
        <v>0</v>
      </c>
      <c r="AR179" s="80"/>
      <c r="AS179" s="79">
        <f>ERP_2[[#This Row],[2026 Working Total to Budget/LE]]-ERP_2[[#This Row],[Giveback]]</f>
        <v>0</v>
      </c>
      <c r="AT179" s="81"/>
      <c r="AU179" s="375"/>
      <c r="AV179" s="375"/>
      <c r="AW179" s="375"/>
      <c r="AX179" s="375">
        <v>0</v>
      </c>
      <c r="AY179" s="375">
        <v>0</v>
      </c>
      <c r="AZ179" s="375">
        <v>0</v>
      </c>
      <c r="BA179" s="375">
        <v>0</v>
      </c>
      <c r="BB179" s="375">
        <v>0</v>
      </c>
      <c r="BC179" s="375">
        <v>0</v>
      </c>
      <c r="BD179" s="375">
        <v>0</v>
      </c>
      <c r="BE179" s="375">
        <v>0</v>
      </c>
      <c r="BF179" s="375">
        <v>0</v>
      </c>
      <c r="BG179" s="375">
        <v>0</v>
      </c>
      <c r="BH179" s="103">
        <v>-626867.82999999996</v>
      </c>
      <c r="BI179" s="103">
        <v>0</v>
      </c>
      <c r="BJ179" s="103">
        <v>0</v>
      </c>
      <c r="BK179" s="103">
        <v>0</v>
      </c>
      <c r="BL179" s="103">
        <v>0</v>
      </c>
      <c r="BM179" s="103">
        <v>0</v>
      </c>
      <c r="BN179" s="103">
        <v>0</v>
      </c>
      <c r="BO179" s="103">
        <v>0</v>
      </c>
      <c r="BP179" s="103">
        <v>0</v>
      </c>
      <c r="BQ179" s="103">
        <v>0</v>
      </c>
      <c r="BR179" s="103">
        <v>0</v>
      </c>
      <c r="BS179" s="103">
        <v>0</v>
      </c>
      <c r="BT179" s="79">
        <f>SUM(ERP_2[[#This Row],[2026 AP01]:[2026 AP12]])</f>
        <v>-626867.82999999996</v>
      </c>
    </row>
    <row r="180" spans="1:72" ht="15" hidden="1" customHeight="1">
      <c r="A180" s="79" t="s">
        <v>2409</v>
      </c>
      <c r="B180" s="79"/>
      <c r="C180" s="79" t="s">
        <v>772</v>
      </c>
      <c r="D180" s="296" t="s">
        <v>772</v>
      </c>
      <c r="E180" s="150" t="s">
        <v>1136</v>
      </c>
      <c r="F180" s="482" t="s">
        <v>1566</v>
      </c>
      <c r="G180" s="150" t="s">
        <v>1135</v>
      </c>
      <c r="H180" s="150" t="s">
        <v>1135</v>
      </c>
      <c r="I180" s="332" t="s">
        <v>1135</v>
      </c>
      <c r="J180" s="383" t="s">
        <v>1135</v>
      </c>
      <c r="K180" s="331" t="s">
        <v>1137</v>
      </c>
      <c r="L180" s="512" t="s">
        <v>639</v>
      </c>
      <c r="M180" s="393" t="s">
        <v>2410</v>
      </c>
      <c r="N180" s="343" t="s">
        <v>2343</v>
      </c>
      <c r="O180" s="150" t="s">
        <v>1171</v>
      </c>
      <c r="P180" s="91" t="s">
        <v>773</v>
      </c>
      <c r="Q180" s="343"/>
      <c r="R180" s="346" t="s">
        <v>2339</v>
      </c>
      <c r="S180" s="346" t="s">
        <v>1710</v>
      </c>
      <c r="T180" s="386" t="s">
        <v>707</v>
      </c>
      <c r="U180" s="346" t="s">
        <v>1348</v>
      </c>
      <c r="V180" s="437"/>
      <c r="W180" s="358">
        <v>15713.16</v>
      </c>
      <c r="X180" s="378">
        <v>0</v>
      </c>
      <c r="Y180" s="425"/>
      <c r="Z180" s="71"/>
      <c r="AA180" s="433"/>
      <c r="AB180" s="434"/>
      <c r="AC180" s="434"/>
      <c r="AD180" s="428" t="s">
        <v>1142</v>
      </c>
      <c r="AE180" s="429">
        <v>0</v>
      </c>
      <c r="AF180" s="429">
        <v>0</v>
      </c>
      <c r="AG180" s="388">
        <v>0</v>
      </c>
      <c r="AH180" s="388">
        <v>0</v>
      </c>
      <c r="AI180" s="388">
        <v>0</v>
      </c>
      <c r="AJ180" s="388">
        <v>0</v>
      </c>
      <c r="AK180" s="388">
        <v>0</v>
      </c>
      <c r="AL180" s="388">
        <v>0</v>
      </c>
      <c r="AM180" s="360">
        <f t="shared" si="5"/>
        <v>0</v>
      </c>
      <c r="AN180" s="362">
        <f>ERP_2[[#This Row],[2026 Working Total]]-ERP_2[[#This Row],[LE2 Final Submission]]</f>
        <v>0</v>
      </c>
      <c r="AO180" s="79">
        <v>0</v>
      </c>
      <c r="AP180" s="79">
        <f t="shared" si="6"/>
        <v>0</v>
      </c>
      <c r="AQ180" s="374">
        <f>SUM(ERP_2[[#This Row],[AP01]:[AP06]])-SUM(ERP_2[[#This Row],[AP01 LE2]:[AP06 LE2]])</f>
        <v>0</v>
      </c>
      <c r="AR180" s="80"/>
      <c r="AS180" s="79">
        <f>ERP_2[[#This Row],[2026 Working Total to Budget/LE]]-ERP_2[[#This Row],[Giveback]]</f>
        <v>0</v>
      </c>
      <c r="AT180" s="81"/>
      <c r="AU180" s="375"/>
      <c r="AV180" s="375"/>
      <c r="AW180" s="375"/>
      <c r="AX180" s="375">
        <v>0</v>
      </c>
      <c r="AY180" s="375">
        <v>0</v>
      </c>
      <c r="AZ180" s="375">
        <v>0</v>
      </c>
      <c r="BA180" s="375">
        <v>0</v>
      </c>
      <c r="BB180" s="375">
        <v>0</v>
      </c>
      <c r="BC180" s="375">
        <v>0</v>
      </c>
      <c r="BD180" s="375">
        <v>0</v>
      </c>
      <c r="BE180" s="375">
        <v>0</v>
      </c>
      <c r="BF180" s="375">
        <v>0</v>
      </c>
      <c r="BG180" s="375">
        <v>0</v>
      </c>
      <c r="BH180" s="103">
        <v>15713.16</v>
      </c>
      <c r="BI180" s="103">
        <v>0</v>
      </c>
      <c r="BJ180" s="103">
        <v>0</v>
      </c>
      <c r="BK180" s="103">
        <v>0</v>
      </c>
      <c r="BL180" s="103">
        <v>0</v>
      </c>
      <c r="BM180" s="103">
        <v>0</v>
      </c>
      <c r="BN180" s="103">
        <v>0</v>
      </c>
      <c r="BO180" s="103">
        <v>0</v>
      </c>
      <c r="BP180" s="103">
        <v>0</v>
      </c>
      <c r="BQ180" s="103">
        <v>0</v>
      </c>
      <c r="BR180" s="103">
        <v>0</v>
      </c>
      <c r="BS180" s="103">
        <v>0</v>
      </c>
      <c r="BT180" s="79">
        <f>SUM(ERP_2[[#This Row],[2026 AP01]:[2026 AP12]])</f>
        <v>15713.16</v>
      </c>
    </row>
    <row r="181" spans="1:72" ht="15" hidden="1" customHeight="1">
      <c r="A181" s="79" t="s">
        <v>2411</v>
      </c>
      <c r="B181" s="79"/>
      <c r="C181" s="79" t="s">
        <v>774</v>
      </c>
      <c r="D181" s="296" t="s">
        <v>774</v>
      </c>
      <c r="E181" s="150" t="s">
        <v>1136</v>
      </c>
      <c r="F181" s="482" t="s">
        <v>1566</v>
      </c>
      <c r="G181" s="150" t="s">
        <v>1135</v>
      </c>
      <c r="H181" s="150" t="s">
        <v>1135</v>
      </c>
      <c r="I181" s="332" t="s">
        <v>1135</v>
      </c>
      <c r="J181" s="383" t="s">
        <v>1135</v>
      </c>
      <c r="K181" s="331" t="s">
        <v>1137</v>
      </c>
      <c r="L181" s="512" t="s">
        <v>639</v>
      </c>
      <c r="M181" s="393" t="s">
        <v>2412</v>
      </c>
      <c r="N181" s="343" t="s">
        <v>2343</v>
      </c>
      <c r="O181" s="150" t="s">
        <v>1171</v>
      </c>
      <c r="P181" s="91" t="s">
        <v>775</v>
      </c>
      <c r="Q181" s="343"/>
      <c r="R181" s="346" t="s">
        <v>2339</v>
      </c>
      <c r="S181" s="346" t="s">
        <v>1710</v>
      </c>
      <c r="T181" s="386" t="s">
        <v>707</v>
      </c>
      <c r="U181" s="346" t="s">
        <v>1348</v>
      </c>
      <c r="V181" s="437"/>
      <c r="W181" s="358">
        <v>-15713.16</v>
      </c>
      <c r="X181" s="378">
        <v>0</v>
      </c>
      <c r="Y181" s="425"/>
      <c r="Z181" s="71"/>
      <c r="AA181" s="433"/>
      <c r="AB181" s="434"/>
      <c r="AC181" s="434"/>
      <c r="AD181" s="428" t="s">
        <v>1142</v>
      </c>
      <c r="AE181" s="429">
        <v>0</v>
      </c>
      <c r="AF181" s="429">
        <v>0</v>
      </c>
      <c r="AG181" s="388">
        <v>0</v>
      </c>
      <c r="AH181" s="388">
        <v>0</v>
      </c>
      <c r="AI181" s="388">
        <v>0</v>
      </c>
      <c r="AJ181" s="388">
        <v>0</v>
      </c>
      <c r="AK181" s="388">
        <v>0</v>
      </c>
      <c r="AL181" s="388">
        <v>0</v>
      </c>
      <c r="AM181" s="360">
        <f t="shared" si="5"/>
        <v>0</v>
      </c>
      <c r="AN181" s="362">
        <f>ERP_2[[#This Row],[2026 Working Total]]-ERP_2[[#This Row],[LE2 Final Submission]]</f>
        <v>0</v>
      </c>
      <c r="AO181" s="79">
        <v>0</v>
      </c>
      <c r="AP181" s="79">
        <f t="shared" si="6"/>
        <v>0</v>
      </c>
      <c r="AQ181" s="374">
        <f>SUM(ERP_2[[#This Row],[AP01]:[AP06]])-SUM(ERP_2[[#This Row],[AP01 LE2]:[AP06 LE2]])</f>
        <v>0</v>
      </c>
      <c r="AR181" s="80"/>
      <c r="AS181" s="79">
        <f>ERP_2[[#This Row],[2026 Working Total to Budget/LE]]-ERP_2[[#This Row],[Giveback]]</f>
        <v>0</v>
      </c>
      <c r="AT181" s="81"/>
      <c r="AU181" s="375"/>
      <c r="AV181" s="375"/>
      <c r="AW181" s="375"/>
      <c r="AX181" s="375">
        <v>0</v>
      </c>
      <c r="AY181" s="375">
        <v>0</v>
      </c>
      <c r="AZ181" s="375">
        <v>0</v>
      </c>
      <c r="BA181" s="375">
        <v>0</v>
      </c>
      <c r="BB181" s="375">
        <v>0</v>
      </c>
      <c r="BC181" s="375">
        <v>0</v>
      </c>
      <c r="BD181" s="375">
        <v>0</v>
      </c>
      <c r="BE181" s="375">
        <v>0</v>
      </c>
      <c r="BF181" s="375">
        <v>0</v>
      </c>
      <c r="BG181" s="375">
        <v>0</v>
      </c>
      <c r="BH181" s="103">
        <v>-15713.16</v>
      </c>
      <c r="BI181" s="103">
        <v>0</v>
      </c>
      <c r="BJ181" s="103">
        <v>0</v>
      </c>
      <c r="BK181" s="103">
        <v>0</v>
      </c>
      <c r="BL181" s="103">
        <v>0</v>
      </c>
      <c r="BM181" s="103">
        <v>0</v>
      </c>
      <c r="BN181" s="103">
        <v>0</v>
      </c>
      <c r="BO181" s="103">
        <v>0</v>
      </c>
      <c r="BP181" s="103">
        <v>0</v>
      </c>
      <c r="BQ181" s="103">
        <v>0</v>
      </c>
      <c r="BR181" s="103">
        <v>0</v>
      </c>
      <c r="BS181" s="103">
        <v>0</v>
      </c>
      <c r="BT181" s="79">
        <f>SUM(ERP_2[[#This Row],[2026 AP01]:[2026 AP12]])</f>
        <v>-15713.16</v>
      </c>
    </row>
    <row r="182" spans="1:72" ht="15" hidden="1" customHeight="1">
      <c r="A182" s="66" t="s">
        <v>2873</v>
      </c>
      <c r="B182" s="66"/>
      <c r="C182" s="66" t="s">
        <v>33</v>
      </c>
      <c r="D182" s="66" t="s">
        <v>33</v>
      </c>
      <c r="E182" s="150" t="s">
        <v>1136</v>
      </c>
      <c r="F182" s="482" t="s">
        <v>1566</v>
      </c>
      <c r="G182" s="150" t="s">
        <v>1345</v>
      </c>
      <c r="H182" s="150" t="s">
        <v>1345</v>
      </c>
      <c r="I182" s="150" t="s">
        <v>1345</v>
      </c>
      <c r="J182" s="150" t="s">
        <v>1345</v>
      </c>
      <c r="K182" s="150" t="s">
        <v>1346</v>
      </c>
      <c r="L182" s="511" t="s">
        <v>22</v>
      </c>
      <c r="M182" s="392" t="s">
        <v>2872</v>
      </c>
      <c r="N182" s="343"/>
      <c r="O182" s="343"/>
      <c r="P182" s="70" t="s">
        <v>29</v>
      </c>
      <c r="Q182" s="346" t="s">
        <v>1139</v>
      </c>
      <c r="R182" s="346" t="s">
        <v>1140</v>
      </c>
      <c r="S182" s="346"/>
      <c r="T182" s="150" t="s">
        <v>25</v>
      </c>
      <c r="U182" s="150" t="s">
        <v>2874</v>
      </c>
      <c r="V182" s="403"/>
      <c r="W182" s="406">
        <v>16484280.790000003</v>
      </c>
      <c r="X182" s="406">
        <v>21816549.886619337</v>
      </c>
      <c r="Y182" s="425"/>
      <c r="Z182" s="71"/>
      <c r="AA182" s="426">
        <v>1733430.9899999991</v>
      </c>
      <c r="AB182" s="427">
        <v>2659121.5100000012</v>
      </c>
      <c r="AC182" s="427">
        <v>1591278.1799999983</v>
      </c>
      <c r="AD182" s="428">
        <v>2358182.7000000007</v>
      </c>
      <c r="AE182" s="429">
        <v>54442.760000000351</v>
      </c>
      <c r="AF182" s="429">
        <v>1905380.4099999985</v>
      </c>
      <c r="AG182" s="363">
        <v>1785306.7237904386</v>
      </c>
      <c r="AH182" s="363">
        <v>1781851.6968221199</v>
      </c>
      <c r="AI182" s="363">
        <v>1807055.77390462</v>
      </c>
      <c r="AJ182" s="363">
        <v>1862531.492714915</v>
      </c>
      <c r="AK182" s="363">
        <v>1871209.9824649149</v>
      </c>
      <c r="AL182" s="363">
        <v>1871209.9824649149</v>
      </c>
      <c r="AM182" s="360">
        <f t="shared" si="5"/>
        <v>21281002.202161916</v>
      </c>
      <c r="AN182" s="362">
        <f>ERP_2[[#This Row],[2026 Working Total]]-ERP_2[[#This Row],[LE2 Final Submission]]</f>
        <v>-535547.6844574213</v>
      </c>
      <c r="AO182" s="79">
        <v>657407.65222870966</v>
      </c>
      <c r="AP182" s="79">
        <f t="shared" si="6"/>
        <v>1247972.757771289</v>
      </c>
      <c r="AQ182" s="374">
        <f>SUM(ERP_2[[#This Row],[AP01]:[AP06]])-SUM(ERP_2[[#This Row],[AP01 LE2]:[AP06 LE2]])</f>
        <v>-535547.68445741944</v>
      </c>
      <c r="AR182" s="80"/>
      <c r="AS182" s="79">
        <f>ERP_2[[#This Row],[2026 Working Total to Budget/LE]]-ERP_2[[#This Row],[Giveback]]</f>
        <v>-535547.6844574213</v>
      </c>
      <c r="AT182" s="81"/>
      <c r="AU182" s="375">
        <v>1733430.9899999991</v>
      </c>
      <c r="AV182" s="375">
        <v>2659121.5100000012</v>
      </c>
      <c r="AW182" s="375">
        <v>1591278.1799999983</v>
      </c>
      <c r="AX182" s="375">
        <v>2405320.04</v>
      </c>
      <c r="AY182" s="375">
        <v>657407.65222870966</v>
      </c>
      <c r="AZ182" s="375">
        <v>1790825.862228709</v>
      </c>
      <c r="BA182" s="375">
        <v>1785306.7237904386</v>
      </c>
      <c r="BB182" s="375">
        <v>1781851.6968221199</v>
      </c>
      <c r="BC182" s="375">
        <v>1807055.77390462</v>
      </c>
      <c r="BD182" s="375">
        <v>1862531.492714915</v>
      </c>
      <c r="BE182" s="375">
        <v>1871209.9824649149</v>
      </c>
      <c r="BF182" s="375">
        <v>1871209.9824649149</v>
      </c>
      <c r="BG182" s="375">
        <v>21816549.886619337</v>
      </c>
      <c r="BH182" s="79">
        <v>1086387.3400000001</v>
      </c>
      <c r="BI182" s="79">
        <v>1551142.73</v>
      </c>
      <c r="BJ182" s="79">
        <v>857806.14</v>
      </c>
      <c r="BK182" s="79">
        <v>1328752.27</v>
      </c>
      <c r="BL182" s="79">
        <v>1328097.83</v>
      </c>
      <c r="BM182" s="79">
        <v>1371182.86</v>
      </c>
      <c r="BN182" s="79">
        <v>1392643.5</v>
      </c>
      <c r="BO182" s="79">
        <v>1403661.35</v>
      </c>
      <c r="BP182" s="79">
        <v>1403661.35</v>
      </c>
      <c r="BQ182" s="79">
        <v>1403661.35</v>
      </c>
      <c r="BR182" s="79">
        <v>1409426</v>
      </c>
      <c r="BS182" s="79">
        <v>1409426</v>
      </c>
      <c r="BT182" s="79">
        <v>15945848.720000001</v>
      </c>
    </row>
    <row r="183" spans="1:72" ht="15" hidden="1" customHeight="1">
      <c r="A183" s="79" t="s">
        <v>2413</v>
      </c>
      <c r="B183" s="79"/>
      <c r="C183" s="79" t="s">
        <v>776</v>
      </c>
      <c r="D183" s="296" t="s">
        <v>776</v>
      </c>
      <c r="E183" s="150" t="s">
        <v>1136</v>
      </c>
      <c r="F183" s="482" t="s">
        <v>1566</v>
      </c>
      <c r="G183" s="150" t="s">
        <v>1135</v>
      </c>
      <c r="H183" s="150" t="s">
        <v>1135</v>
      </c>
      <c r="I183" s="332" t="s">
        <v>1135</v>
      </c>
      <c r="J183" s="383" t="s">
        <v>1135</v>
      </c>
      <c r="K183" s="331" t="s">
        <v>1137</v>
      </c>
      <c r="L183" s="512" t="s">
        <v>639</v>
      </c>
      <c r="M183" s="393" t="s">
        <v>2414</v>
      </c>
      <c r="N183" s="343" t="s">
        <v>2343</v>
      </c>
      <c r="O183" s="150" t="s">
        <v>1171</v>
      </c>
      <c r="P183" s="91" t="s">
        <v>777</v>
      </c>
      <c r="Q183" s="343"/>
      <c r="R183" s="346" t="s">
        <v>2339</v>
      </c>
      <c r="S183" s="346" t="s">
        <v>1710</v>
      </c>
      <c r="T183" s="386" t="s">
        <v>707</v>
      </c>
      <c r="U183" s="346" t="s">
        <v>1348</v>
      </c>
      <c r="V183" s="437"/>
      <c r="W183" s="358">
        <v>930750</v>
      </c>
      <c r="X183" s="378">
        <v>0</v>
      </c>
      <c r="Y183" s="430"/>
      <c r="Z183" s="137"/>
      <c r="AA183" s="433"/>
      <c r="AB183" s="434"/>
      <c r="AC183" s="434"/>
      <c r="AD183" s="428" t="s">
        <v>1142</v>
      </c>
      <c r="AE183" s="429">
        <v>0</v>
      </c>
      <c r="AF183" s="429">
        <v>0</v>
      </c>
      <c r="AG183" s="388">
        <v>0</v>
      </c>
      <c r="AH183" s="388">
        <v>0</v>
      </c>
      <c r="AI183" s="388">
        <v>0</v>
      </c>
      <c r="AJ183" s="388">
        <v>0</v>
      </c>
      <c r="AK183" s="388">
        <v>0</v>
      </c>
      <c r="AL183" s="388">
        <v>0</v>
      </c>
      <c r="AM183" s="360">
        <f t="shared" si="5"/>
        <v>0</v>
      </c>
      <c r="AN183" s="362">
        <f>ERP_2[[#This Row],[2026 Working Total]]-ERP_2[[#This Row],[LE2 Final Submission]]</f>
        <v>0</v>
      </c>
      <c r="AO183" s="79">
        <v>0</v>
      </c>
      <c r="AP183" s="79">
        <f t="shared" si="6"/>
        <v>0</v>
      </c>
      <c r="AQ183" s="374">
        <f>SUM(ERP_2[[#This Row],[AP01]:[AP06]])-SUM(ERP_2[[#This Row],[AP01 LE2]:[AP06 LE2]])</f>
        <v>0</v>
      </c>
      <c r="AR183" s="80"/>
      <c r="AS183" s="79">
        <f>ERP_2[[#This Row],[2026 Working Total to Budget/LE]]-ERP_2[[#This Row],[Giveback]]</f>
        <v>0</v>
      </c>
      <c r="AT183" s="81"/>
      <c r="AU183" s="375"/>
      <c r="AV183" s="375"/>
      <c r="AW183" s="375"/>
      <c r="AX183" s="375">
        <v>0</v>
      </c>
      <c r="AY183" s="375">
        <v>0</v>
      </c>
      <c r="AZ183" s="375">
        <v>0</v>
      </c>
      <c r="BA183" s="375">
        <v>0</v>
      </c>
      <c r="BB183" s="375">
        <v>0</v>
      </c>
      <c r="BC183" s="375">
        <v>0</v>
      </c>
      <c r="BD183" s="375">
        <v>0</v>
      </c>
      <c r="BE183" s="375">
        <v>0</v>
      </c>
      <c r="BF183" s="375">
        <v>0</v>
      </c>
      <c r="BG183" s="375">
        <v>0</v>
      </c>
      <c r="BH183" s="103">
        <v>930750</v>
      </c>
      <c r="BI183" s="103">
        <v>0</v>
      </c>
      <c r="BJ183" s="103">
        <v>0</v>
      </c>
      <c r="BK183" s="103">
        <v>0</v>
      </c>
      <c r="BL183" s="103">
        <v>0</v>
      </c>
      <c r="BM183" s="103">
        <v>0</v>
      </c>
      <c r="BN183" s="103">
        <v>0</v>
      </c>
      <c r="BO183" s="103">
        <v>0</v>
      </c>
      <c r="BP183" s="103">
        <v>0</v>
      </c>
      <c r="BQ183" s="103">
        <v>0</v>
      </c>
      <c r="BR183" s="103">
        <v>0</v>
      </c>
      <c r="BS183" s="103">
        <v>0</v>
      </c>
      <c r="BT183" s="79">
        <f>SUM(ERP_2[[#This Row],[2026 AP01]:[2026 AP12]])</f>
        <v>930750</v>
      </c>
    </row>
    <row r="184" spans="1:72" ht="15" hidden="1" customHeight="1">
      <c r="A184" s="79" t="s">
        <v>2415</v>
      </c>
      <c r="B184" s="79"/>
      <c r="C184" s="79" t="s">
        <v>778</v>
      </c>
      <c r="D184" s="296" t="s">
        <v>778</v>
      </c>
      <c r="E184" s="150" t="s">
        <v>1136</v>
      </c>
      <c r="F184" s="482" t="s">
        <v>1566</v>
      </c>
      <c r="G184" s="150" t="s">
        <v>1135</v>
      </c>
      <c r="H184" s="150" t="s">
        <v>1135</v>
      </c>
      <c r="I184" s="332" t="s">
        <v>1135</v>
      </c>
      <c r="J184" s="383" t="s">
        <v>1135</v>
      </c>
      <c r="K184" s="331" t="s">
        <v>1137</v>
      </c>
      <c r="L184" s="512" t="s">
        <v>639</v>
      </c>
      <c r="M184" s="393" t="s">
        <v>2416</v>
      </c>
      <c r="N184" s="343" t="s">
        <v>2343</v>
      </c>
      <c r="O184" s="150" t="s">
        <v>1171</v>
      </c>
      <c r="P184" s="91" t="s">
        <v>779</v>
      </c>
      <c r="Q184" s="343"/>
      <c r="R184" s="346" t="s">
        <v>2339</v>
      </c>
      <c r="S184" s="346" t="s">
        <v>1710</v>
      </c>
      <c r="T184" s="386" t="s">
        <v>707</v>
      </c>
      <c r="U184" s="346" t="s">
        <v>1348</v>
      </c>
      <c r="V184" s="437"/>
      <c r="W184" s="358">
        <v>-930750</v>
      </c>
      <c r="X184" s="378">
        <v>0</v>
      </c>
      <c r="Y184" s="425"/>
      <c r="Z184" s="71"/>
      <c r="AA184" s="433"/>
      <c r="AB184" s="434"/>
      <c r="AC184" s="434"/>
      <c r="AD184" s="428" t="s">
        <v>1142</v>
      </c>
      <c r="AE184" s="429">
        <v>0</v>
      </c>
      <c r="AF184" s="429">
        <v>0</v>
      </c>
      <c r="AG184" s="388">
        <v>0</v>
      </c>
      <c r="AH184" s="388">
        <v>0</v>
      </c>
      <c r="AI184" s="388">
        <v>0</v>
      </c>
      <c r="AJ184" s="388">
        <v>0</v>
      </c>
      <c r="AK184" s="388">
        <v>0</v>
      </c>
      <c r="AL184" s="388">
        <v>0</v>
      </c>
      <c r="AM184" s="360">
        <f t="shared" si="5"/>
        <v>0</v>
      </c>
      <c r="AN184" s="362">
        <f>ERP_2[[#This Row],[2026 Working Total]]-ERP_2[[#This Row],[LE2 Final Submission]]</f>
        <v>0</v>
      </c>
      <c r="AO184" s="79">
        <v>0</v>
      </c>
      <c r="AP184" s="79">
        <f t="shared" si="6"/>
        <v>0</v>
      </c>
      <c r="AQ184" s="374">
        <f>SUM(ERP_2[[#This Row],[AP01]:[AP06]])-SUM(ERP_2[[#This Row],[AP01 LE2]:[AP06 LE2]])</f>
        <v>0</v>
      </c>
      <c r="AR184" s="80"/>
      <c r="AS184" s="79">
        <f>ERP_2[[#This Row],[2026 Working Total to Budget/LE]]-ERP_2[[#This Row],[Giveback]]</f>
        <v>0</v>
      </c>
      <c r="AT184" s="81"/>
      <c r="AU184" s="375"/>
      <c r="AV184" s="375"/>
      <c r="AW184" s="375"/>
      <c r="AX184" s="375">
        <v>0</v>
      </c>
      <c r="AY184" s="375">
        <v>0</v>
      </c>
      <c r="AZ184" s="375">
        <v>0</v>
      </c>
      <c r="BA184" s="375">
        <v>0</v>
      </c>
      <c r="BB184" s="375">
        <v>0</v>
      </c>
      <c r="BC184" s="375">
        <v>0</v>
      </c>
      <c r="BD184" s="375">
        <v>0</v>
      </c>
      <c r="BE184" s="375">
        <v>0</v>
      </c>
      <c r="BF184" s="375">
        <v>0</v>
      </c>
      <c r="BG184" s="375">
        <v>0</v>
      </c>
      <c r="BH184" s="103">
        <v>-930750</v>
      </c>
      <c r="BI184" s="103">
        <v>0</v>
      </c>
      <c r="BJ184" s="103">
        <v>0</v>
      </c>
      <c r="BK184" s="103">
        <v>0</v>
      </c>
      <c r="BL184" s="103">
        <v>0</v>
      </c>
      <c r="BM184" s="103">
        <v>0</v>
      </c>
      <c r="BN184" s="103">
        <v>0</v>
      </c>
      <c r="BO184" s="103">
        <v>0</v>
      </c>
      <c r="BP184" s="103">
        <v>0</v>
      </c>
      <c r="BQ184" s="103">
        <v>0</v>
      </c>
      <c r="BR184" s="103">
        <v>0</v>
      </c>
      <c r="BS184" s="103">
        <v>0</v>
      </c>
      <c r="BT184" s="79">
        <f>SUM(ERP_2[[#This Row],[2026 AP01]:[2026 AP12]])</f>
        <v>-930750</v>
      </c>
    </row>
    <row r="185" spans="1:72" ht="15" hidden="1" customHeight="1">
      <c r="A185" s="79" t="s">
        <v>2417</v>
      </c>
      <c r="B185" s="79"/>
      <c r="C185" s="79" t="s">
        <v>780</v>
      </c>
      <c r="D185" s="296" t="s">
        <v>780</v>
      </c>
      <c r="E185" s="150" t="s">
        <v>1136</v>
      </c>
      <c r="F185" s="482" t="s">
        <v>1566</v>
      </c>
      <c r="G185" s="150" t="s">
        <v>1135</v>
      </c>
      <c r="H185" s="150" t="s">
        <v>1135</v>
      </c>
      <c r="I185" s="332" t="s">
        <v>1135</v>
      </c>
      <c r="J185" s="383" t="s">
        <v>1135</v>
      </c>
      <c r="K185" s="331" t="s">
        <v>1137</v>
      </c>
      <c r="L185" s="512" t="s">
        <v>639</v>
      </c>
      <c r="M185" s="393" t="s">
        <v>2418</v>
      </c>
      <c r="N185" s="343" t="s">
        <v>2343</v>
      </c>
      <c r="O185" s="150" t="s">
        <v>1171</v>
      </c>
      <c r="P185" s="91" t="s">
        <v>781</v>
      </c>
      <c r="Q185" s="343"/>
      <c r="R185" s="346" t="s">
        <v>2339</v>
      </c>
      <c r="S185" s="346" t="s">
        <v>1710</v>
      </c>
      <c r="T185" s="386" t="s">
        <v>707</v>
      </c>
      <c r="U185" s="346" t="s">
        <v>1348</v>
      </c>
      <c r="V185" s="437"/>
      <c r="W185" s="358">
        <v>9567</v>
      </c>
      <c r="X185" s="378">
        <v>0</v>
      </c>
      <c r="Y185" s="425"/>
      <c r="Z185" s="71"/>
      <c r="AA185" s="433"/>
      <c r="AB185" s="434"/>
      <c r="AC185" s="434"/>
      <c r="AD185" s="428" t="s">
        <v>1142</v>
      </c>
      <c r="AE185" s="429">
        <v>0</v>
      </c>
      <c r="AF185" s="429">
        <v>0</v>
      </c>
      <c r="AG185" s="388">
        <v>0</v>
      </c>
      <c r="AH185" s="388">
        <v>0</v>
      </c>
      <c r="AI185" s="388">
        <v>0</v>
      </c>
      <c r="AJ185" s="388">
        <v>0</v>
      </c>
      <c r="AK185" s="388">
        <v>0</v>
      </c>
      <c r="AL185" s="388">
        <v>0</v>
      </c>
      <c r="AM185" s="360">
        <f t="shared" si="5"/>
        <v>0</v>
      </c>
      <c r="AN185" s="362">
        <f>ERP_2[[#This Row],[2026 Working Total]]-ERP_2[[#This Row],[LE2 Final Submission]]</f>
        <v>0</v>
      </c>
      <c r="AO185" s="79">
        <v>0</v>
      </c>
      <c r="AP185" s="79">
        <f t="shared" si="6"/>
        <v>0</v>
      </c>
      <c r="AQ185" s="374">
        <f>SUM(ERP_2[[#This Row],[AP01]:[AP06]])-SUM(ERP_2[[#This Row],[AP01 LE2]:[AP06 LE2]])</f>
        <v>0</v>
      </c>
      <c r="AR185" s="80"/>
      <c r="AS185" s="79">
        <f>ERP_2[[#This Row],[2026 Working Total to Budget/LE]]-ERP_2[[#This Row],[Giveback]]</f>
        <v>0</v>
      </c>
      <c r="AT185" s="81"/>
      <c r="AU185" s="375"/>
      <c r="AV185" s="375"/>
      <c r="AW185" s="375"/>
      <c r="AX185" s="375">
        <v>0</v>
      </c>
      <c r="AY185" s="375">
        <v>0</v>
      </c>
      <c r="AZ185" s="375">
        <v>0</v>
      </c>
      <c r="BA185" s="375">
        <v>0</v>
      </c>
      <c r="BB185" s="375">
        <v>0</v>
      </c>
      <c r="BC185" s="375">
        <v>0</v>
      </c>
      <c r="BD185" s="375">
        <v>0</v>
      </c>
      <c r="BE185" s="375">
        <v>0</v>
      </c>
      <c r="BF185" s="375">
        <v>0</v>
      </c>
      <c r="BG185" s="375">
        <v>0</v>
      </c>
      <c r="BH185" s="103">
        <v>9567</v>
      </c>
      <c r="BI185" s="103">
        <v>0</v>
      </c>
      <c r="BJ185" s="103">
        <v>0</v>
      </c>
      <c r="BK185" s="103">
        <v>0</v>
      </c>
      <c r="BL185" s="103">
        <v>0</v>
      </c>
      <c r="BM185" s="103">
        <v>0</v>
      </c>
      <c r="BN185" s="103">
        <v>0</v>
      </c>
      <c r="BO185" s="103">
        <v>0</v>
      </c>
      <c r="BP185" s="103">
        <v>0</v>
      </c>
      <c r="BQ185" s="103">
        <v>0</v>
      </c>
      <c r="BR185" s="103">
        <v>0</v>
      </c>
      <c r="BS185" s="103">
        <v>0</v>
      </c>
      <c r="BT185" s="79">
        <f>SUM(ERP_2[[#This Row],[2026 AP01]:[2026 AP12]])</f>
        <v>9567</v>
      </c>
    </row>
    <row r="186" spans="1:72" ht="15" hidden="1" customHeight="1">
      <c r="A186" s="79" t="s">
        <v>2419</v>
      </c>
      <c r="B186" s="79"/>
      <c r="C186" s="79" t="s">
        <v>782</v>
      </c>
      <c r="D186" s="296" t="s">
        <v>782</v>
      </c>
      <c r="E186" s="150" t="s">
        <v>1136</v>
      </c>
      <c r="F186" s="482" t="s">
        <v>1566</v>
      </c>
      <c r="G186" s="150" t="s">
        <v>1135</v>
      </c>
      <c r="H186" s="150" t="s">
        <v>1135</v>
      </c>
      <c r="I186" s="332" t="s">
        <v>1135</v>
      </c>
      <c r="J186" s="383" t="s">
        <v>1135</v>
      </c>
      <c r="K186" s="331" t="s">
        <v>1137</v>
      </c>
      <c r="L186" s="512" t="s">
        <v>639</v>
      </c>
      <c r="M186" s="393" t="s">
        <v>2420</v>
      </c>
      <c r="N186" s="343" t="s">
        <v>2343</v>
      </c>
      <c r="O186" s="150" t="s">
        <v>1171</v>
      </c>
      <c r="P186" s="91" t="s">
        <v>783</v>
      </c>
      <c r="Q186" s="343"/>
      <c r="R186" s="346" t="s">
        <v>2339</v>
      </c>
      <c r="S186" s="346" t="s">
        <v>1710</v>
      </c>
      <c r="T186" s="386" t="s">
        <v>707</v>
      </c>
      <c r="U186" s="346" t="s">
        <v>1348</v>
      </c>
      <c r="V186" s="437"/>
      <c r="W186" s="358">
        <v>-9567</v>
      </c>
      <c r="X186" s="378">
        <v>0</v>
      </c>
      <c r="Y186" s="430"/>
      <c r="Z186" s="137"/>
      <c r="AA186" s="433"/>
      <c r="AB186" s="434"/>
      <c r="AC186" s="434"/>
      <c r="AD186" s="428" t="s">
        <v>1142</v>
      </c>
      <c r="AE186" s="429">
        <v>0</v>
      </c>
      <c r="AF186" s="429">
        <v>0</v>
      </c>
      <c r="AG186" s="388">
        <v>0</v>
      </c>
      <c r="AH186" s="388">
        <v>0</v>
      </c>
      <c r="AI186" s="388">
        <v>0</v>
      </c>
      <c r="AJ186" s="388">
        <v>0</v>
      </c>
      <c r="AK186" s="388">
        <v>0</v>
      </c>
      <c r="AL186" s="388">
        <v>0</v>
      </c>
      <c r="AM186" s="360">
        <f t="shared" si="5"/>
        <v>0</v>
      </c>
      <c r="AN186" s="362">
        <f>ERP_2[[#This Row],[2026 Working Total]]-ERP_2[[#This Row],[LE2 Final Submission]]</f>
        <v>0</v>
      </c>
      <c r="AO186" s="79">
        <v>0</v>
      </c>
      <c r="AP186" s="79">
        <f t="shared" si="6"/>
        <v>0</v>
      </c>
      <c r="AQ186" s="374">
        <f>SUM(ERP_2[[#This Row],[AP01]:[AP06]])-SUM(ERP_2[[#This Row],[AP01 LE2]:[AP06 LE2]])</f>
        <v>0</v>
      </c>
      <c r="AR186" s="80"/>
      <c r="AS186" s="79">
        <f>ERP_2[[#This Row],[2026 Working Total to Budget/LE]]-ERP_2[[#This Row],[Giveback]]</f>
        <v>0</v>
      </c>
      <c r="AT186" s="81"/>
      <c r="AU186" s="375"/>
      <c r="AV186" s="375"/>
      <c r="AW186" s="375"/>
      <c r="AX186" s="375">
        <v>0</v>
      </c>
      <c r="AY186" s="375">
        <v>0</v>
      </c>
      <c r="AZ186" s="375">
        <v>0</v>
      </c>
      <c r="BA186" s="375">
        <v>0</v>
      </c>
      <c r="BB186" s="375">
        <v>0</v>
      </c>
      <c r="BC186" s="375">
        <v>0</v>
      </c>
      <c r="BD186" s="375">
        <v>0</v>
      </c>
      <c r="BE186" s="375">
        <v>0</v>
      </c>
      <c r="BF186" s="375">
        <v>0</v>
      </c>
      <c r="BG186" s="375">
        <v>0</v>
      </c>
      <c r="BH186" s="103">
        <v>-9567</v>
      </c>
      <c r="BI186" s="103">
        <v>0</v>
      </c>
      <c r="BJ186" s="103">
        <v>0</v>
      </c>
      <c r="BK186" s="103">
        <v>0</v>
      </c>
      <c r="BL186" s="103">
        <v>0</v>
      </c>
      <c r="BM186" s="103">
        <v>0</v>
      </c>
      <c r="BN186" s="103">
        <v>0</v>
      </c>
      <c r="BO186" s="103">
        <v>0</v>
      </c>
      <c r="BP186" s="103">
        <v>0</v>
      </c>
      <c r="BQ186" s="103">
        <v>0</v>
      </c>
      <c r="BR186" s="103">
        <v>0</v>
      </c>
      <c r="BS186" s="103">
        <v>0</v>
      </c>
      <c r="BT186" s="79">
        <f>SUM(ERP_2[[#This Row],[2026 AP01]:[2026 AP12]])</f>
        <v>-9567</v>
      </c>
    </row>
    <row r="187" spans="1:72" ht="15" hidden="1" customHeight="1">
      <c r="A187" s="66" t="s">
        <v>2421</v>
      </c>
      <c r="B187" s="66"/>
      <c r="C187" s="66" t="s">
        <v>784</v>
      </c>
      <c r="D187" s="66" t="s">
        <v>784</v>
      </c>
      <c r="E187" s="150" t="s">
        <v>1136</v>
      </c>
      <c r="F187" s="482" t="s">
        <v>1566</v>
      </c>
      <c r="G187" s="150" t="s">
        <v>1135</v>
      </c>
      <c r="H187" s="150" t="s">
        <v>1135</v>
      </c>
      <c r="I187" s="150" t="s">
        <v>1135</v>
      </c>
      <c r="J187" s="150" t="s">
        <v>1135</v>
      </c>
      <c r="K187" s="150" t="s">
        <v>1137</v>
      </c>
      <c r="L187" s="511" t="s">
        <v>639</v>
      </c>
      <c r="M187" s="392" t="s">
        <v>2422</v>
      </c>
      <c r="N187" s="343"/>
      <c r="O187" s="343"/>
      <c r="P187" s="70" t="s">
        <v>785</v>
      </c>
      <c r="Q187" s="346"/>
      <c r="R187" s="343"/>
      <c r="S187" s="346"/>
      <c r="T187" s="150" t="s">
        <v>67</v>
      </c>
      <c r="U187" s="150"/>
      <c r="V187" s="403"/>
      <c r="W187" s="406">
        <v>-551382.25</v>
      </c>
      <c r="X187" s="406">
        <v>-551382.25</v>
      </c>
      <c r="Y187" s="425"/>
      <c r="Z187" s="71"/>
      <c r="AA187" s="426"/>
      <c r="AB187" s="427"/>
      <c r="AC187" s="427">
        <v>-551382.25</v>
      </c>
      <c r="AD187" s="428" t="s">
        <v>1142</v>
      </c>
      <c r="AE187" s="429">
        <v>0</v>
      </c>
      <c r="AF187" s="429">
        <v>0</v>
      </c>
      <c r="AG187" s="360">
        <v>0</v>
      </c>
      <c r="AH187" s="360">
        <v>0</v>
      </c>
      <c r="AI187" s="360">
        <v>0</v>
      </c>
      <c r="AJ187" s="360">
        <v>0</v>
      </c>
      <c r="AK187" s="360">
        <v>0</v>
      </c>
      <c r="AL187" s="360">
        <v>0</v>
      </c>
      <c r="AM187" s="360">
        <f t="shared" si="5"/>
        <v>-551382.25</v>
      </c>
      <c r="AN187" s="362">
        <f>ERP_2[[#This Row],[2026 Working Total]]-ERP_2[[#This Row],[LE2 Final Submission]]</f>
        <v>0</v>
      </c>
      <c r="AO187" s="79">
        <v>0</v>
      </c>
      <c r="AP187" s="79">
        <f t="shared" si="6"/>
        <v>0</v>
      </c>
      <c r="AQ187" s="374">
        <f>SUM(ERP_2[[#This Row],[AP01]:[AP06]])-SUM(ERP_2[[#This Row],[AP01 LE2]:[AP06 LE2]])</f>
        <v>0</v>
      </c>
      <c r="AR187" s="80"/>
      <c r="AS187" s="79">
        <f>ERP_2[[#This Row],[2026 Working Total to Budget/LE]]-ERP_2[[#This Row],[Giveback]]</f>
        <v>0</v>
      </c>
      <c r="AT187" s="81"/>
      <c r="AU187" s="375"/>
      <c r="AV187" s="375"/>
      <c r="AW187" s="375">
        <v>-551382.25</v>
      </c>
      <c r="AX187" s="375">
        <v>0</v>
      </c>
      <c r="AY187" s="375">
        <v>0</v>
      </c>
      <c r="AZ187" s="375">
        <v>0</v>
      </c>
      <c r="BA187" s="375">
        <v>0</v>
      </c>
      <c r="BB187" s="375">
        <v>0</v>
      </c>
      <c r="BC187" s="375">
        <v>0</v>
      </c>
      <c r="BD187" s="375">
        <v>0</v>
      </c>
      <c r="BE187" s="375">
        <v>0</v>
      </c>
      <c r="BF187" s="375">
        <v>0</v>
      </c>
      <c r="BG187" s="375">
        <v>-551382.25</v>
      </c>
      <c r="BH187" s="79"/>
      <c r="BI187" s="79"/>
      <c r="BJ187" s="79">
        <v>-551382.25</v>
      </c>
      <c r="BK187" s="79">
        <v>0</v>
      </c>
      <c r="BL187" s="79">
        <v>0</v>
      </c>
      <c r="BM187" s="79">
        <v>0</v>
      </c>
      <c r="BN187" s="79">
        <v>0</v>
      </c>
      <c r="BO187" s="79">
        <v>0</v>
      </c>
      <c r="BP187" s="79">
        <v>0</v>
      </c>
      <c r="BQ187" s="79">
        <v>0</v>
      </c>
      <c r="BR187" s="79">
        <v>0</v>
      </c>
      <c r="BS187" s="79">
        <v>0</v>
      </c>
      <c r="BT187" s="79">
        <v>-551382.25</v>
      </c>
    </row>
    <row r="188" spans="1:72" ht="15" hidden="1" customHeight="1">
      <c r="A188" s="66" t="s">
        <v>2423</v>
      </c>
      <c r="B188" s="66"/>
      <c r="C188" s="66" t="s">
        <v>786</v>
      </c>
      <c r="D188" s="66" t="s">
        <v>786</v>
      </c>
      <c r="E188" s="150" t="s">
        <v>1136</v>
      </c>
      <c r="F188" s="482" t="s">
        <v>1566</v>
      </c>
      <c r="G188" s="150" t="s">
        <v>1135</v>
      </c>
      <c r="H188" s="150" t="s">
        <v>1135</v>
      </c>
      <c r="I188" s="150" t="s">
        <v>1135</v>
      </c>
      <c r="J188" s="150" t="s">
        <v>1135</v>
      </c>
      <c r="K188" s="150" t="s">
        <v>1137</v>
      </c>
      <c r="L188" s="511" t="s">
        <v>639</v>
      </c>
      <c r="M188" s="392" t="s">
        <v>2149</v>
      </c>
      <c r="N188" s="343" t="s">
        <v>1231</v>
      </c>
      <c r="O188" s="346" t="s">
        <v>1171</v>
      </c>
      <c r="P188" s="70" t="s">
        <v>604</v>
      </c>
      <c r="Q188" s="346"/>
      <c r="R188" s="346" t="s">
        <v>2424</v>
      </c>
      <c r="S188" s="346"/>
      <c r="T188" s="150" t="s">
        <v>605</v>
      </c>
      <c r="U188" s="150" t="s">
        <v>2425</v>
      </c>
      <c r="V188" s="403"/>
      <c r="W188" s="406">
        <v>4356984</v>
      </c>
      <c r="X188" s="406">
        <v>4356986.0199999996</v>
      </c>
      <c r="Y188" s="425"/>
      <c r="Z188" s="71"/>
      <c r="AA188" s="426"/>
      <c r="AB188" s="427">
        <v>726165.35</v>
      </c>
      <c r="AC188" s="427">
        <v>363082.67</v>
      </c>
      <c r="AD188" s="428">
        <v>0</v>
      </c>
      <c r="AE188" s="429">
        <v>726165.34</v>
      </c>
      <c r="AF188" s="429">
        <v>363082.67</v>
      </c>
      <c r="AG188" s="363">
        <f>363082-363082</f>
        <v>0</v>
      </c>
      <c r="AH188" s="363">
        <f>363082+363082</f>
        <v>726164</v>
      </c>
      <c r="AI188" s="363">
        <v>363082</v>
      </c>
      <c r="AJ188" s="363">
        <f>363082-363082</f>
        <v>0</v>
      </c>
      <c r="AK188" s="363">
        <f>363082+363082</f>
        <v>726164</v>
      </c>
      <c r="AL188" s="363">
        <v>363082</v>
      </c>
      <c r="AM188" s="360">
        <f t="shared" si="5"/>
        <v>4356988.0299999993</v>
      </c>
      <c r="AN188" s="362">
        <f>ERP_2[[#This Row],[2026 Working Total]]-ERP_2[[#This Row],[LE2 Final Submission]]</f>
        <v>2.0099999997764826</v>
      </c>
      <c r="AO188" s="79">
        <v>726164</v>
      </c>
      <c r="AP188" s="79">
        <f t="shared" si="6"/>
        <v>-363081.33</v>
      </c>
      <c r="AQ188" s="374">
        <f>SUM(ERP_2[[#This Row],[AP01]:[AP06]])-SUM(ERP_2[[#This Row],[AP01 LE2]:[AP06 LE2]])</f>
        <v>2.0099999997764826</v>
      </c>
      <c r="AR188" s="80"/>
      <c r="AS188" s="79">
        <f>ERP_2[[#This Row],[2026 Working Total to Budget/LE]]-ERP_2[[#This Row],[Giveback]]</f>
        <v>2.0099999997764826</v>
      </c>
      <c r="AT188" s="81"/>
      <c r="AU188" s="375"/>
      <c r="AV188" s="375">
        <v>726165.35</v>
      </c>
      <c r="AW188" s="375">
        <v>363082.67</v>
      </c>
      <c r="AX188" s="375">
        <v>0</v>
      </c>
      <c r="AY188" s="375">
        <v>726164</v>
      </c>
      <c r="AZ188" s="375">
        <v>363082</v>
      </c>
      <c r="BA188" s="375">
        <v>0</v>
      </c>
      <c r="BB188" s="375">
        <v>726164</v>
      </c>
      <c r="BC188" s="375">
        <v>363082</v>
      </c>
      <c r="BD188" s="375">
        <v>0</v>
      </c>
      <c r="BE188" s="375">
        <v>726164</v>
      </c>
      <c r="BF188" s="375">
        <v>363082</v>
      </c>
      <c r="BG188" s="375">
        <v>4356986.0199999996</v>
      </c>
      <c r="BH188" s="79"/>
      <c r="BI188" s="79">
        <v>726165.35</v>
      </c>
      <c r="BJ188" s="79">
        <v>363082.67</v>
      </c>
      <c r="BK188" s="79">
        <v>363082</v>
      </c>
      <c r="BL188" s="79">
        <v>363082</v>
      </c>
      <c r="BM188" s="79">
        <v>363082</v>
      </c>
      <c r="BN188" s="79">
        <v>363082</v>
      </c>
      <c r="BO188" s="79">
        <v>363082</v>
      </c>
      <c r="BP188" s="79">
        <v>363082</v>
      </c>
      <c r="BQ188" s="79">
        <v>363082</v>
      </c>
      <c r="BR188" s="79">
        <v>363082</v>
      </c>
      <c r="BS188" s="79">
        <v>363082</v>
      </c>
      <c r="BT188" s="79">
        <v>4356986.0199999996</v>
      </c>
    </row>
    <row r="189" spans="1:72" ht="15" hidden="1" customHeight="1">
      <c r="A189" s="66" t="s">
        <v>2426</v>
      </c>
      <c r="B189" s="66"/>
      <c r="C189" s="66" t="s">
        <v>787</v>
      </c>
      <c r="D189" s="66" t="s">
        <v>787</v>
      </c>
      <c r="E189" s="150" t="s">
        <v>1136</v>
      </c>
      <c r="F189" s="482" t="s">
        <v>1566</v>
      </c>
      <c r="G189" s="150" t="s">
        <v>1135</v>
      </c>
      <c r="H189" s="150" t="s">
        <v>1135</v>
      </c>
      <c r="I189" s="150" t="s">
        <v>1135</v>
      </c>
      <c r="J189" s="150" t="s">
        <v>1135</v>
      </c>
      <c r="K189" s="150" t="s">
        <v>1137</v>
      </c>
      <c r="L189" s="511" t="s">
        <v>639</v>
      </c>
      <c r="M189" s="392" t="s">
        <v>2427</v>
      </c>
      <c r="N189" s="343" t="s">
        <v>2428</v>
      </c>
      <c r="O189" s="346" t="s">
        <v>1171</v>
      </c>
      <c r="P189" s="70" t="s">
        <v>788</v>
      </c>
      <c r="Q189" s="346"/>
      <c r="R189" s="343"/>
      <c r="S189" s="346"/>
      <c r="T189" s="150" t="s">
        <v>789</v>
      </c>
      <c r="U189" s="150"/>
      <c r="V189" s="403"/>
      <c r="W189" s="406">
        <v>5012</v>
      </c>
      <c r="X189" s="406">
        <v>2512</v>
      </c>
      <c r="Y189" s="430"/>
      <c r="Z189" s="137"/>
      <c r="AA189" s="426"/>
      <c r="AB189" s="427"/>
      <c r="AC189" s="427"/>
      <c r="AD189" s="428" t="s">
        <v>1142</v>
      </c>
      <c r="AE189" s="429">
        <v>0</v>
      </c>
      <c r="AF189" s="429">
        <v>0</v>
      </c>
      <c r="AG189" s="360">
        <v>0</v>
      </c>
      <c r="AH189" s="360">
        <v>0</v>
      </c>
      <c r="AI189" s="360">
        <v>0</v>
      </c>
      <c r="AJ189" s="360">
        <v>0</v>
      </c>
      <c r="AK189" s="363">
        <v>2512</v>
      </c>
      <c r="AL189" s="360">
        <v>0</v>
      </c>
      <c r="AM189" s="360">
        <f t="shared" si="5"/>
        <v>2512</v>
      </c>
      <c r="AN189" s="362">
        <f>ERP_2[[#This Row],[2026 Working Total]]-ERP_2[[#This Row],[LE2 Final Submission]]</f>
        <v>0</v>
      </c>
      <c r="AO189" s="79"/>
      <c r="AP189" s="79">
        <f t="shared" si="6"/>
        <v>0</v>
      </c>
      <c r="AQ189" s="374">
        <f>SUM(ERP_2[[#This Row],[AP01]:[AP06]])-SUM(ERP_2[[#This Row],[AP01 LE2]:[AP06 LE2]])</f>
        <v>0</v>
      </c>
      <c r="AR189" s="80"/>
      <c r="AS189" s="79">
        <f>ERP_2[[#This Row],[2026 Working Total to Budget/LE]]-ERP_2[[#This Row],[Giveback]]</f>
        <v>0</v>
      </c>
      <c r="AT189" s="81"/>
      <c r="AU189" s="375"/>
      <c r="AV189" s="375"/>
      <c r="AW189" s="375"/>
      <c r="AX189" s="375"/>
      <c r="AY189" s="375"/>
      <c r="AZ189" s="375"/>
      <c r="BA189" s="375">
        <v>0</v>
      </c>
      <c r="BB189" s="375">
        <v>0</v>
      </c>
      <c r="BC189" s="375">
        <v>0</v>
      </c>
      <c r="BD189" s="375">
        <v>0</v>
      </c>
      <c r="BE189" s="375">
        <v>2512</v>
      </c>
      <c r="BF189" s="375">
        <v>0</v>
      </c>
      <c r="BG189" s="375">
        <v>2512</v>
      </c>
      <c r="BH189" s="79"/>
      <c r="BI189" s="79"/>
      <c r="BJ189" s="79"/>
      <c r="BK189" s="79"/>
      <c r="BL189" s="79"/>
      <c r="BM189" s="79">
        <v>2500</v>
      </c>
      <c r="BN189" s="79">
        <v>0</v>
      </c>
      <c r="BO189" s="79">
        <v>0</v>
      </c>
      <c r="BP189" s="79">
        <v>0</v>
      </c>
      <c r="BQ189" s="79">
        <v>0</v>
      </c>
      <c r="BR189" s="79">
        <v>2512</v>
      </c>
      <c r="BS189" s="79">
        <v>0</v>
      </c>
      <c r="BT189" s="79">
        <v>5012</v>
      </c>
    </row>
    <row r="190" spans="1:72" ht="15" hidden="1" customHeight="1">
      <c r="A190" s="79" t="s">
        <v>2429</v>
      </c>
      <c r="B190" s="79"/>
      <c r="C190" s="79" t="s">
        <v>790</v>
      </c>
      <c r="D190" s="296" t="s">
        <v>2430</v>
      </c>
      <c r="E190" s="150" t="s">
        <v>1136</v>
      </c>
      <c r="F190" s="482" t="s">
        <v>1566</v>
      </c>
      <c r="G190" s="150" t="s">
        <v>1135</v>
      </c>
      <c r="H190" s="382" t="s">
        <v>1161</v>
      </c>
      <c r="I190" s="332" t="s">
        <v>1135</v>
      </c>
      <c r="J190" s="382" t="s">
        <v>1161</v>
      </c>
      <c r="K190" s="333" t="s">
        <v>1137</v>
      </c>
      <c r="L190" s="512" t="s">
        <v>639</v>
      </c>
      <c r="M190" s="394" t="s">
        <v>2431</v>
      </c>
      <c r="N190" s="343" t="s">
        <v>2432</v>
      </c>
      <c r="O190" s="332" t="s">
        <v>1252</v>
      </c>
      <c r="P190" s="122" t="s">
        <v>791</v>
      </c>
      <c r="Q190" s="347"/>
      <c r="R190" s="346" t="s">
        <v>2433</v>
      </c>
      <c r="S190" s="346" t="s">
        <v>1710</v>
      </c>
      <c r="T190" s="384" t="s">
        <v>792</v>
      </c>
      <c r="U190" s="387" t="s">
        <v>2434</v>
      </c>
      <c r="V190" s="437"/>
      <c r="W190" s="358">
        <v>56404</v>
      </c>
      <c r="X190" s="378">
        <v>0</v>
      </c>
      <c r="Y190" s="425"/>
      <c r="Z190" s="71"/>
      <c r="AA190" s="433"/>
      <c r="AB190" s="434"/>
      <c r="AC190" s="434"/>
      <c r="AD190" s="428" t="s">
        <v>1142</v>
      </c>
      <c r="AE190" s="429">
        <v>0</v>
      </c>
      <c r="AF190" s="429">
        <v>0</v>
      </c>
      <c r="AG190" s="388">
        <v>0</v>
      </c>
      <c r="AH190" s="388">
        <v>0</v>
      </c>
      <c r="AI190" s="388">
        <v>0</v>
      </c>
      <c r="AJ190" s="388">
        <v>0</v>
      </c>
      <c r="AK190" s="388">
        <v>0</v>
      </c>
      <c r="AL190" s="388">
        <v>0</v>
      </c>
      <c r="AM190" s="360">
        <f t="shared" si="5"/>
        <v>0</v>
      </c>
      <c r="AN190" s="362">
        <f>ERP_2[[#This Row],[2026 Working Total]]-ERP_2[[#This Row],[LE2 Final Submission]]</f>
        <v>0</v>
      </c>
      <c r="AO190" s="79">
        <v>0</v>
      </c>
      <c r="AP190" s="79">
        <f t="shared" si="6"/>
        <v>0</v>
      </c>
      <c r="AQ190" s="374">
        <f>SUM(ERP_2[[#This Row],[AP01]:[AP06]])-SUM(ERP_2[[#This Row],[AP01 LE2]:[AP06 LE2]])</f>
        <v>0</v>
      </c>
      <c r="AR190" s="80"/>
      <c r="AS190" s="79">
        <f>ERP_2[[#This Row],[2026 Working Total to Budget/LE]]-ERP_2[[#This Row],[Giveback]]</f>
        <v>0</v>
      </c>
      <c r="AT190" s="81"/>
      <c r="AU190" s="375"/>
      <c r="AV190" s="375"/>
      <c r="AW190" s="375"/>
      <c r="AX190" s="375">
        <v>0</v>
      </c>
      <c r="AY190" s="375">
        <v>0</v>
      </c>
      <c r="AZ190" s="375">
        <v>0</v>
      </c>
      <c r="BA190" s="375">
        <v>0</v>
      </c>
      <c r="BB190" s="375">
        <v>0</v>
      </c>
      <c r="BC190" s="375">
        <v>0</v>
      </c>
      <c r="BD190" s="375">
        <v>0</v>
      </c>
      <c r="BE190" s="375">
        <v>0</v>
      </c>
      <c r="BF190" s="375">
        <v>0</v>
      </c>
      <c r="BG190" s="375">
        <v>0</v>
      </c>
      <c r="BH190" s="103">
        <v>56404</v>
      </c>
      <c r="BI190" s="103">
        <v>0</v>
      </c>
      <c r="BJ190" s="103">
        <v>0</v>
      </c>
      <c r="BK190" s="103">
        <v>0</v>
      </c>
      <c r="BL190" s="103">
        <v>0</v>
      </c>
      <c r="BM190" s="103">
        <v>0</v>
      </c>
      <c r="BN190" s="103">
        <v>0</v>
      </c>
      <c r="BO190" s="103">
        <v>0</v>
      </c>
      <c r="BP190" s="103">
        <v>0</v>
      </c>
      <c r="BQ190" s="103">
        <v>0</v>
      </c>
      <c r="BR190" s="103">
        <v>0</v>
      </c>
      <c r="BS190" s="103">
        <v>0</v>
      </c>
      <c r="BT190" s="79">
        <f>SUM(ERP_2[[#This Row],[2026 AP01]:[2026 AP12]])</f>
        <v>56404</v>
      </c>
    </row>
    <row r="191" spans="1:72" ht="15" hidden="1" customHeight="1">
      <c r="A191" s="79" t="s">
        <v>2435</v>
      </c>
      <c r="B191" s="79"/>
      <c r="C191" s="79" t="s">
        <v>793</v>
      </c>
      <c r="D191" s="296" t="s">
        <v>2436</v>
      </c>
      <c r="E191" s="150" t="s">
        <v>1136</v>
      </c>
      <c r="F191" s="482" t="s">
        <v>1566</v>
      </c>
      <c r="G191" s="150" t="s">
        <v>1135</v>
      </c>
      <c r="H191" s="382" t="s">
        <v>1161</v>
      </c>
      <c r="I191" s="332" t="s">
        <v>1135</v>
      </c>
      <c r="J191" s="382" t="s">
        <v>1161</v>
      </c>
      <c r="K191" s="333" t="s">
        <v>1137</v>
      </c>
      <c r="L191" s="512" t="s">
        <v>639</v>
      </c>
      <c r="M191" s="394" t="s">
        <v>2437</v>
      </c>
      <c r="N191" s="343" t="s">
        <v>2432</v>
      </c>
      <c r="O191" s="332" t="s">
        <v>1252</v>
      </c>
      <c r="P191" s="122" t="s">
        <v>794</v>
      </c>
      <c r="Q191" s="347"/>
      <c r="R191" s="346" t="s">
        <v>2433</v>
      </c>
      <c r="S191" s="346" t="s">
        <v>1710</v>
      </c>
      <c r="T191" s="384" t="s">
        <v>792</v>
      </c>
      <c r="U191" s="387" t="s">
        <v>2438</v>
      </c>
      <c r="V191" s="437"/>
      <c r="W191" s="358">
        <v>-56404</v>
      </c>
      <c r="X191" s="378">
        <v>0</v>
      </c>
      <c r="Y191" s="425"/>
      <c r="Z191" s="71"/>
      <c r="AA191" s="433"/>
      <c r="AB191" s="434"/>
      <c r="AC191" s="434"/>
      <c r="AD191" s="428" t="s">
        <v>1142</v>
      </c>
      <c r="AE191" s="429">
        <v>0</v>
      </c>
      <c r="AF191" s="429">
        <v>0</v>
      </c>
      <c r="AG191" s="388">
        <v>0</v>
      </c>
      <c r="AH191" s="388">
        <v>0</v>
      </c>
      <c r="AI191" s="388">
        <v>0</v>
      </c>
      <c r="AJ191" s="388">
        <v>0</v>
      </c>
      <c r="AK191" s="388">
        <v>0</v>
      </c>
      <c r="AL191" s="388">
        <v>0</v>
      </c>
      <c r="AM191" s="360">
        <f t="shared" si="5"/>
        <v>0</v>
      </c>
      <c r="AN191" s="362">
        <f>ERP_2[[#This Row],[2026 Working Total]]-ERP_2[[#This Row],[LE2 Final Submission]]</f>
        <v>0</v>
      </c>
      <c r="AO191" s="79">
        <v>0</v>
      </c>
      <c r="AP191" s="79">
        <f t="shared" si="6"/>
        <v>0</v>
      </c>
      <c r="AQ191" s="374">
        <f>SUM(ERP_2[[#This Row],[AP01]:[AP06]])-SUM(ERP_2[[#This Row],[AP01 LE2]:[AP06 LE2]])</f>
        <v>0</v>
      </c>
      <c r="AR191" s="80"/>
      <c r="AS191" s="79">
        <f>ERP_2[[#This Row],[2026 Working Total to Budget/LE]]-ERP_2[[#This Row],[Giveback]]</f>
        <v>0</v>
      </c>
      <c r="AT191" s="81"/>
      <c r="AU191" s="375"/>
      <c r="AV191" s="375"/>
      <c r="AW191" s="375"/>
      <c r="AX191" s="375">
        <v>0</v>
      </c>
      <c r="AY191" s="375">
        <v>0</v>
      </c>
      <c r="AZ191" s="375">
        <v>0</v>
      </c>
      <c r="BA191" s="375">
        <v>0</v>
      </c>
      <c r="BB191" s="375">
        <v>0</v>
      </c>
      <c r="BC191" s="375">
        <v>0</v>
      </c>
      <c r="BD191" s="375">
        <v>0</v>
      </c>
      <c r="BE191" s="375">
        <v>0</v>
      </c>
      <c r="BF191" s="375">
        <v>0</v>
      </c>
      <c r="BG191" s="375">
        <v>0</v>
      </c>
      <c r="BH191" s="103">
        <v>-56404</v>
      </c>
      <c r="BI191" s="103">
        <v>0</v>
      </c>
      <c r="BJ191" s="103">
        <v>0</v>
      </c>
      <c r="BK191" s="103">
        <v>0</v>
      </c>
      <c r="BL191" s="103">
        <v>0</v>
      </c>
      <c r="BM191" s="103">
        <v>0</v>
      </c>
      <c r="BN191" s="103">
        <v>0</v>
      </c>
      <c r="BO191" s="103">
        <v>0</v>
      </c>
      <c r="BP191" s="103">
        <v>0</v>
      </c>
      <c r="BQ191" s="103">
        <v>0</v>
      </c>
      <c r="BR191" s="103">
        <v>0</v>
      </c>
      <c r="BS191" s="103">
        <v>0</v>
      </c>
      <c r="BT191" s="79">
        <f>SUM(ERP_2[[#This Row],[2026 AP01]:[2026 AP12]])</f>
        <v>-56404</v>
      </c>
    </row>
    <row r="192" spans="1:72" ht="15" hidden="1" customHeight="1">
      <c r="A192" s="66" t="s">
        <v>2439</v>
      </c>
      <c r="B192" s="66"/>
      <c r="C192" s="66" t="s">
        <v>795</v>
      </c>
      <c r="D192" s="66" t="s">
        <v>2440</v>
      </c>
      <c r="E192" s="150" t="s">
        <v>1136</v>
      </c>
      <c r="F192" s="482" t="s">
        <v>1566</v>
      </c>
      <c r="G192" s="150" t="s">
        <v>1135</v>
      </c>
      <c r="H192" s="150" t="s">
        <v>1135</v>
      </c>
      <c r="I192" s="150" t="s">
        <v>1135</v>
      </c>
      <c r="J192" s="150" t="s">
        <v>1137</v>
      </c>
      <c r="K192" s="150" t="s">
        <v>1137</v>
      </c>
      <c r="L192" s="511" t="s">
        <v>639</v>
      </c>
      <c r="M192" s="392" t="s">
        <v>2441</v>
      </c>
      <c r="N192" s="343"/>
      <c r="O192" s="343"/>
      <c r="P192" s="70" t="s">
        <v>796</v>
      </c>
      <c r="Q192" s="346"/>
      <c r="R192" s="343"/>
      <c r="S192" s="346"/>
      <c r="T192" s="150" t="s">
        <v>680</v>
      </c>
      <c r="U192" s="150"/>
      <c r="V192" s="403"/>
      <c r="W192" s="406">
        <v>1200</v>
      </c>
      <c r="X192" s="406">
        <v>600</v>
      </c>
      <c r="Y192" s="425"/>
      <c r="Z192" s="71"/>
      <c r="AA192" s="426"/>
      <c r="AB192" s="427"/>
      <c r="AC192" s="427"/>
      <c r="AD192" s="428" t="s">
        <v>1142</v>
      </c>
      <c r="AE192" s="429">
        <v>0</v>
      </c>
      <c r="AF192" s="429">
        <v>0</v>
      </c>
      <c r="AG192" s="363">
        <v>600</v>
      </c>
      <c r="AH192" s="360">
        <v>0</v>
      </c>
      <c r="AI192" s="360">
        <v>0</v>
      </c>
      <c r="AJ192" s="360">
        <v>0</v>
      </c>
      <c r="AK192" s="360">
        <v>0</v>
      </c>
      <c r="AL192" s="360">
        <v>0</v>
      </c>
      <c r="AM192" s="360">
        <f t="shared" si="5"/>
        <v>600</v>
      </c>
      <c r="AN192" s="362">
        <f>ERP_2[[#This Row],[2026 Working Total]]-ERP_2[[#This Row],[LE2 Final Submission]]</f>
        <v>0</v>
      </c>
      <c r="AO192" s="79"/>
      <c r="AP192" s="79">
        <f t="shared" si="6"/>
        <v>0</v>
      </c>
      <c r="AQ192" s="374">
        <f>SUM(ERP_2[[#This Row],[AP01]:[AP06]])-SUM(ERP_2[[#This Row],[AP01 LE2]:[AP06 LE2]])</f>
        <v>0</v>
      </c>
      <c r="AR192" s="80"/>
      <c r="AS192" s="79">
        <f>ERP_2[[#This Row],[2026 Working Total to Budget/LE]]-ERP_2[[#This Row],[Giveback]]</f>
        <v>0</v>
      </c>
      <c r="AT192" s="81"/>
      <c r="AU192" s="375"/>
      <c r="AV192" s="375"/>
      <c r="AW192" s="375"/>
      <c r="AX192" s="375"/>
      <c r="AY192" s="375"/>
      <c r="AZ192" s="375"/>
      <c r="BA192" s="375">
        <v>600</v>
      </c>
      <c r="BB192" s="375">
        <v>0</v>
      </c>
      <c r="BC192" s="375">
        <v>0</v>
      </c>
      <c r="BD192" s="375">
        <v>0</v>
      </c>
      <c r="BE192" s="375">
        <v>0</v>
      </c>
      <c r="BF192" s="375">
        <v>0</v>
      </c>
      <c r="BG192" s="375">
        <v>600</v>
      </c>
      <c r="BH192" s="79"/>
      <c r="BI192" s="79"/>
      <c r="BJ192" s="79"/>
      <c r="BK192" s="79"/>
      <c r="BL192" s="79"/>
      <c r="BM192" s="79"/>
      <c r="BN192" s="79">
        <v>600</v>
      </c>
      <c r="BO192" s="79">
        <v>0</v>
      </c>
      <c r="BP192" s="79">
        <v>0</v>
      </c>
      <c r="BQ192" s="79">
        <v>0</v>
      </c>
      <c r="BR192" s="79">
        <v>0</v>
      </c>
      <c r="BS192" s="79">
        <v>0</v>
      </c>
      <c r="BT192" s="79">
        <v>600</v>
      </c>
    </row>
    <row r="193" spans="1:72" ht="15" hidden="1" customHeight="1">
      <c r="A193" s="66" t="s">
        <v>2442</v>
      </c>
      <c r="B193" s="66"/>
      <c r="C193" s="66" t="s">
        <v>797</v>
      </c>
      <c r="D193" s="66" t="s">
        <v>2443</v>
      </c>
      <c r="E193" s="150" t="s">
        <v>1136</v>
      </c>
      <c r="F193" s="482" t="s">
        <v>1566</v>
      </c>
      <c r="G193" s="150" t="s">
        <v>1135</v>
      </c>
      <c r="H193" s="150" t="s">
        <v>1135</v>
      </c>
      <c r="I193" s="150" t="s">
        <v>1135</v>
      </c>
      <c r="J193" s="150" t="s">
        <v>1137</v>
      </c>
      <c r="K193" s="150" t="s">
        <v>1137</v>
      </c>
      <c r="L193" s="511" t="s">
        <v>639</v>
      </c>
      <c r="M193" s="392" t="s">
        <v>2444</v>
      </c>
      <c r="N193" s="343"/>
      <c r="O193" s="343"/>
      <c r="P193" s="70" t="s">
        <v>798</v>
      </c>
      <c r="Q193" s="346"/>
      <c r="R193" s="343"/>
      <c r="S193" s="346"/>
      <c r="T193" s="150" t="s">
        <v>680</v>
      </c>
      <c r="U193" s="1" t="s">
        <v>1141</v>
      </c>
      <c r="V193" s="403"/>
      <c r="W193" s="406">
        <v>600</v>
      </c>
      <c r="X193" s="406">
        <v>600</v>
      </c>
      <c r="Y193" s="425"/>
      <c r="Z193" s="71"/>
      <c r="AA193" s="426"/>
      <c r="AB193" s="427"/>
      <c r="AC193" s="427"/>
      <c r="AD193" s="428" t="s">
        <v>1142</v>
      </c>
      <c r="AE193" s="429">
        <v>0</v>
      </c>
      <c r="AF193" s="429">
        <v>0</v>
      </c>
      <c r="AG193" s="363"/>
      <c r="AH193" s="363"/>
      <c r="AI193" s="363"/>
      <c r="AJ193" s="363"/>
      <c r="AK193" s="363"/>
      <c r="AL193" s="363">
        <v>600</v>
      </c>
      <c r="AM193" s="360">
        <f t="shared" si="5"/>
        <v>600</v>
      </c>
      <c r="AN193" s="362">
        <f>ERP_2[[#This Row],[2026 Working Total]]-ERP_2[[#This Row],[LE2 Final Submission]]</f>
        <v>0</v>
      </c>
      <c r="AO193" s="79"/>
      <c r="AP193" s="79">
        <f t="shared" si="6"/>
        <v>0</v>
      </c>
      <c r="AQ193" s="374">
        <f>SUM(ERP_2[[#This Row],[AP01]:[AP06]])-SUM(ERP_2[[#This Row],[AP01 LE2]:[AP06 LE2]])</f>
        <v>0</v>
      </c>
      <c r="AR193" s="80"/>
      <c r="AS193" s="79">
        <f>ERP_2[[#This Row],[2026 Working Total to Budget/LE]]-ERP_2[[#This Row],[Giveback]]</f>
        <v>0</v>
      </c>
      <c r="AT193" s="81"/>
      <c r="AU193" s="375"/>
      <c r="AV193" s="375"/>
      <c r="AW193" s="375"/>
      <c r="AX193" s="375"/>
      <c r="AY193" s="375"/>
      <c r="AZ193" s="375"/>
      <c r="BA193" s="375"/>
      <c r="BB193" s="375"/>
      <c r="BC193" s="375"/>
      <c r="BD193" s="375"/>
      <c r="BE193" s="375"/>
      <c r="BF193" s="375">
        <v>600</v>
      </c>
      <c r="BG193" s="375">
        <v>600</v>
      </c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>
        <v>600</v>
      </c>
      <c r="BT193" s="79">
        <v>600</v>
      </c>
    </row>
    <row r="194" spans="1:72" ht="15" hidden="1" customHeight="1">
      <c r="A194" s="79" t="s">
        <v>2445</v>
      </c>
      <c r="B194" s="79"/>
      <c r="C194" s="79" t="s">
        <v>799</v>
      </c>
      <c r="D194" s="296" t="s">
        <v>2446</v>
      </c>
      <c r="E194" s="150" t="s">
        <v>1136</v>
      </c>
      <c r="F194" s="482" t="s">
        <v>1566</v>
      </c>
      <c r="G194" s="150" t="s">
        <v>1135</v>
      </c>
      <c r="H194" s="383" t="s">
        <v>1156</v>
      </c>
      <c r="I194" s="332" t="s">
        <v>1135</v>
      </c>
      <c r="J194" s="383" t="s">
        <v>1156</v>
      </c>
      <c r="K194" s="333" t="s">
        <v>1137</v>
      </c>
      <c r="L194" s="512" t="s">
        <v>639</v>
      </c>
      <c r="M194" s="393" t="s">
        <v>2447</v>
      </c>
      <c r="N194" s="343" t="s">
        <v>1251</v>
      </c>
      <c r="O194" s="332" t="s">
        <v>1252</v>
      </c>
      <c r="P194" s="91" t="s">
        <v>800</v>
      </c>
      <c r="Q194" s="347"/>
      <c r="R194" s="346" t="s">
        <v>2448</v>
      </c>
      <c r="S194" s="348" t="s">
        <v>1710</v>
      </c>
      <c r="T194" s="386" t="s">
        <v>801</v>
      </c>
      <c r="U194" s="346" t="s">
        <v>2453</v>
      </c>
      <c r="V194" s="432"/>
      <c r="W194" s="358">
        <v>120000</v>
      </c>
      <c r="X194" s="378">
        <v>0</v>
      </c>
      <c r="Y194" s="425"/>
      <c r="Z194" s="71"/>
      <c r="AA194" s="433"/>
      <c r="AB194" s="434"/>
      <c r="AC194" s="434"/>
      <c r="AD194" s="428" t="s">
        <v>1142</v>
      </c>
      <c r="AE194" s="429">
        <v>0</v>
      </c>
      <c r="AF194" s="429">
        <v>0</v>
      </c>
      <c r="AG194" s="388">
        <v>0</v>
      </c>
      <c r="AH194" s="388">
        <v>0</v>
      </c>
      <c r="AI194" s="388">
        <v>0</v>
      </c>
      <c r="AJ194" s="388">
        <v>0</v>
      </c>
      <c r="AK194" s="388">
        <v>0</v>
      </c>
      <c r="AL194" s="388">
        <v>0</v>
      </c>
      <c r="AM194" s="360">
        <f t="shared" si="5"/>
        <v>0</v>
      </c>
      <c r="AN194" s="362">
        <f>ERP_2[[#This Row],[2026 Working Total]]-ERP_2[[#This Row],[LE2 Final Submission]]</f>
        <v>0</v>
      </c>
      <c r="AO194" s="79">
        <v>0</v>
      </c>
      <c r="AP194" s="79">
        <f t="shared" si="6"/>
        <v>0</v>
      </c>
      <c r="AQ194" s="374">
        <f>SUM(ERP_2[[#This Row],[AP01]:[AP06]])-SUM(ERP_2[[#This Row],[AP01 LE2]:[AP06 LE2]])</f>
        <v>0</v>
      </c>
      <c r="AR194" s="80"/>
      <c r="AS194" s="79">
        <f>ERP_2[[#This Row],[2026 Working Total to Budget/LE]]-ERP_2[[#This Row],[Giveback]]</f>
        <v>0</v>
      </c>
      <c r="AT194" s="81"/>
      <c r="AU194" s="375"/>
      <c r="AV194" s="375"/>
      <c r="AW194" s="375"/>
      <c r="AX194" s="375">
        <v>0</v>
      </c>
      <c r="AY194" s="375">
        <v>0</v>
      </c>
      <c r="AZ194" s="375">
        <v>0</v>
      </c>
      <c r="BA194" s="375">
        <v>0</v>
      </c>
      <c r="BB194" s="375">
        <v>0</v>
      </c>
      <c r="BC194" s="375">
        <v>0</v>
      </c>
      <c r="BD194" s="375">
        <v>0</v>
      </c>
      <c r="BE194" s="375">
        <v>0</v>
      </c>
      <c r="BF194" s="375">
        <v>0</v>
      </c>
      <c r="BG194" s="375">
        <v>0</v>
      </c>
      <c r="BH194" s="103">
        <v>120000</v>
      </c>
      <c r="BI194" s="103">
        <v>0</v>
      </c>
      <c r="BJ194" s="103">
        <v>0</v>
      </c>
      <c r="BK194" s="103">
        <v>0</v>
      </c>
      <c r="BL194" s="103">
        <v>0</v>
      </c>
      <c r="BM194" s="103">
        <v>0</v>
      </c>
      <c r="BN194" s="103">
        <v>0</v>
      </c>
      <c r="BO194" s="103">
        <v>0</v>
      </c>
      <c r="BP194" s="103">
        <v>0</v>
      </c>
      <c r="BQ194" s="103">
        <v>0</v>
      </c>
      <c r="BR194" s="103">
        <v>0</v>
      </c>
      <c r="BS194" s="103">
        <v>0</v>
      </c>
      <c r="BT194" s="79">
        <f>SUM(ERP_2[[#This Row],[2026 AP01]:[2026 AP12]])</f>
        <v>120000</v>
      </c>
    </row>
    <row r="195" spans="1:72" s="501" customFormat="1" ht="15" hidden="1" customHeight="1">
      <c r="A195" s="79" t="s">
        <v>2450</v>
      </c>
      <c r="B195" s="79"/>
      <c r="C195" s="79" t="s">
        <v>802</v>
      </c>
      <c r="D195" s="296" t="s">
        <v>2451</v>
      </c>
      <c r="E195" s="150" t="s">
        <v>1136</v>
      </c>
      <c r="F195" s="482" t="s">
        <v>1566</v>
      </c>
      <c r="G195" s="150" t="s">
        <v>1135</v>
      </c>
      <c r="H195" s="383" t="s">
        <v>1156</v>
      </c>
      <c r="I195" s="332" t="s">
        <v>1135</v>
      </c>
      <c r="J195" s="383" t="s">
        <v>1156</v>
      </c>
      <c r="K195" s="333" t="s">
        <v>1137</v>
      </c>
      <c r="L195" s="512" t="s">
        <v>639</v>
      </c>
      <c r="M195" s="393" t="s">
        <v>2452</v>
      </c>
      <c r="N195" s="343" t="s">
        <v>1251</v>
      </c>
      <c r="O195" s="332" t="s">
        <v>1252</v>
      </c>
      <c r="P195" s="91" t="s">
        <v>803</v>
      </c>
      <c r="Q195" s="347"/>
      <c r="R195" s="346" t="s">
        <v>2448</v>
      </c>
      <c r="S195" s="348" t="s">
        <v>1710</v>
      </c>
      <c r="T195" s="386" t="s">
        <v>801</v>
      </c>
      <c r="U195" s="346" t="s">
        <v>2453</v>
      </c>
      <c r="V195" s="432"/>
      <c r="W195" s="358">
        <v>-120000</v>
      </c>
      <c r="X195" s="378">
        <v>0</v>
      </c>
      <c r="Y195" s="425"/>
      <c r="Z195" s="71"/>
      <c r="AA195" s="433"/>
      <c r="AB195" s="434"/>
      <c r="AC195" s="434"/>
      <c r="AD195" s="428" t="s">
        <v>1142</v>
      </c>
      <c r="AE195" s="429">
        <v>0</v>
      </c>
      <c r="AF195" s="429">
        <v>0</v>
      </c>
      <c r="AG195" s="388">
        <v>0</v>
      </c>
      <c r="AH195" s="388">
        <v>0</v>
      </c>
      <c r="AI195" s="388">
        <v>0</v>
      </c>
      <c r="AJ195" s="388">
        <v>0</v>
      </c>
      <c r="AK195" s="388">
        <v>0</v>
      </c>
      <c r="AL195" s="388">
        <v>0</v>
      </c>
      <c r="AM195" s="360">
        <f t="shared" si="5"/>
        <v>0</v>
      </c>
      <c r="AN195" s="362">
        <f>ERP_2[[#This Row],[2026 Working Total]]-ERP_2[[#This Row],[LE2 Final Submission]]</f>
        <v>0</v>
      </c>
      <c r="AO195" s="79">
        <v>0</v>
      </c>
      <c r="AP195" s="79">
        <f t="shared" si="6"/>
        <v>0</v>
      </c>
      <c r="AQ195" s="374">
        <f>SUM(ERP_2[[#This Row],[AP01]:[AP06]])-SUM(ERP_2[[#This Row],[AP01 LE2]:[AP06 LE2]])</f>
        <v>0</v>
      </c>
      <c r="AR195" s="80"/>
      <c r="AS195" s="79">
        <f>ERP_2[[#This Row],[2026 Working Total to Budget/LE]]-ERP_2[[#This Row],[Giveback]]</f>
        <v>0</v>
      </c>
      <c r="AT195" s="81"/>
      <c r="AU195" s="375"/>
      <c r="AV195" s="375"/>
      <c r="AW195" s="375"/>
      <c r="AX195" s="375">
        <v>0</v>
      </c>
      <c r="AY195" s="375">
        <v>0</v>
      </c>
      <c r="AZ195" s="375">
        <v>0</v>
      </c>
      <c r="BA195" s="375">
        <v>0</v>
      </c>
      <c r="BB195" s="375">
        <v>0</v>
      </c>
      <c r="BC195" s="375">
        <v>0</v>
      </c>
      <c r="BD195" s="375">
        <v>0</v>
      </c>
      <c r="BE195" s="375">
        <v>0</v>
      </c>
      <c r="BF195" s="375">
        <v>0</v>
      </c>
      <c r="BG195" s="375">
        <v>0</v>
      </c>
      <c r="BH195" s="103">
        <v>-120000</v>
      </c>
      <c r="BI195" s="103">
        <v>0</v>
      </c>
      <c r="BJ195" s="103">
        <v>0</v>
      </c>
      <c r="BK195" s="103">
        <v>0</v>
      </c>
      <c r="BL195" s="103">
        <v>0</v>
      </c>
      <c r="BM195" s="103">
        <v>0</v>
      </c>
      <c r="BN195" s="103">
        <v>0</v>
      </c>
      <c r="BO195" s="103">
        <v>0</v>
      </c>
      <c r="BP195" s="103">
        <v>0</v>
      </c>
      <c r="BQ195" s="103">
        <v>0</v>
      </c>
      <c r="BR195" s="103">
        <v>0</v>
      </c>
      <c r="BS195" s="103">
        <v>0</v>
      </c>
      <c r="BT195" s="79">
        <f>SUM(ERP_2[[#This Row],[2026 AP01]:[2026 AP12]])</f>
        <v>-120000</v>
      </c>
    </row>
    <row r="196" spans="1:72" ht="15" hidden="1" customHeight="1">
      <c r="A196" s="79" t="s">
        <v>2454</v>
      </c>
      <c r="B196" s="79"/>
      <c r="C196" s="79" t="s">
        <v>804</v>
      </c>
      <c r="D196" s="296" t="s">
        <v>2455</v>
      </c>
      <c r="E196" s="150" t="s">
        <v>1136</v>
      </c>
      <c r="F196" s="482" t="s">
        <v>1566</v>
      </c>
      <c r="G196" s="150" t="s">
        <v>1135</v>
      </c>
      <c r="H196" s="383" t="s">
        <v>1145</v>
      </c>
      <c r="I196" s="332" t="s">
        <v>1135</v>
      </c>
      <c r="J196" s="383" t="s">
        <v>1145</v>
      </c>
      <c r="K196" s="331" t="s">
        <v>1137</v>
      </c>
      <c r="L196" s="512" t="s">
        <v>639</v>
      </c>
      <c r="M196" s="393" t="s">
        <v>2456</v>
      </c>
      <c r="N196" s="343" t="s">
        <v>2457</v>
      </c>
      <c r="O196" s="150" t="s">
        <v>1186</v>
      </c>
      <c r="P196" s="91" t="s">
        <v>805</v>
      </c>
      <c r="Q196" s="343"/>
      <c r="R196" s="346" t="s">
        <v>2458</v>
      </c>
      <c r="S196" s="346" t="s">
        <v>1710</v>
      </c>
      <c r="T196" s="386" t="s">
        <v>806</v>
      </c>
      <c r="U196" s="346" t="s">
        <v>1348</v>
      </c>
      <c r="V196" s="437"/>
      <c r="W196" s="358">
        <v>99064.42</v>
      </c>
      <c r="X196" s="378">
        <v>0</v>
      </c>
      <c r="Y196" s="425"/>
      <c r="Z196" s="71"/>
      <c r="AA196" s="433"/>
      <c r="AB196" s="434"/>
      <c r="AC196" s="434"/>
      <c r="AD196" s="428" t="s">
        <v>1142</v>
      </c>
      <c r="AE196" s="429">
        <v>0</v>
      </c>
      <c r="AF196" s="429">
        <v>0</v>
      </c>
      <c r="AG196" s="388">
        <v>0</v>
      </c>
      <c r="AH196" s="388">
        <v>0</v>
      </c>
      <c r="AI196" s="388">
        <v>0</v>
      </c>
      <c r="AJ196" s="388">
        <v>0</v>
      </c>
      <c r="AK196" s="388">
        <v>0</v>
      </c>
      <c r="AL196" s="388">
        <v>0</v>
      </c>
      <c r="AM196" s="360">
        <f t="shared" si="5"/>
        <v>0</v>
      </c>
      <c r="AN196" s="362">
        <f>ERP_2[[#This Row],[2026 Working Total]]-ERP_2[[#This Row],[LE2 Final Submission]]</f>
        <v>0</v>
      </c>
      <c r="AO196" s="79">
        <v>0</v>
      </c>
      <c r="AP196" s="79">
        <f t="shared" si="6"/>
        <v>0</v>
      </c>
      <c r="AQ196" s="374">
        <f>SUM(ERP_2[[#This Row],[AP01]:[AP06]])-SUM(ERP_2[[#This Row],[AP01 LE2]:[AP06 LE2]])</f>
        <v>0</v>
      </c>
      <c r="AR196" s="80"/>
      <c r="AS196" s="79">
        <f>ERP_2[[#This Row],[2026 Working Total to Budget/LE]]-ERP_2[[#This Row],[Giveback]]</f>
        <v>0</v>
      </c>
      <c r="AT196" s="81"/>
      <c r="AU196" s="375"/>
      <c r="AV196" s="375"/>
      <c r="AW196" s="375"/>
      <c r="AX196" s="375">
        <v>0</v>
      </c>
      <c r="AY196" s="375">
        <v>0</v>
      </c>
      <c r="AZ196" s="375">
        <v>0</v>
      </c>
      <c r="BA196" s="375">
        <v>0</v>
      </c>
      <c r="BB196" s="375">
        <v>0</v>
      </c>
      <c r="BC196" s="375">
        <v>0</v>
      </c>
      <c r="BD196" s="375">
        <v>0</v>
      </c>
      <c r="BE196" s="375">
        <v>0</v>
      </c>
      <c r="BF196" s="375">
        <v>0</v>
      </c>
      <c r="BG196" s="375">
        <v>0</v>
      </c>
      <c r="BH196" s="103">
        <v>99064.42</v>
      </c>
      <c r="BI196" s="103">
        <v>0</v>
      </c>
      <c r="BJ196" s="103">
        <v>0</v>
      </c>
      <c r="BK196" s="103">
        <v>0</v>
      </c>
      <c r="BL196" s="103">
        <v>0</v>
      </c>
      <c r="BM196" s="103">
        <v>0</v>
      </c>
      <c r="BN196" s="103">
        <v>0</v>
      </c>
      <c r="BO196" s="103">
        <v>0</v>
      </c>
      <c r="BP196" s="103">
        <v>0</v>
      </c>
      <c r="BQ196" s="103">
        <v>0</v>
      </c>
      <c r="BR196" s="103">
        <v>0</v>
      </c>
      <c r="BS196" s="103">
        <v>0</v>
      </c>
      <c r="BT196" s="79">
        <f>SUM(ERP_2[[#This Row],[2026 AP01]:[2026 AP12]])</f>
        <v>99064.42</v>
      </c>
    </row>
    <row r="197" spans="1:72" ht="15" hidden="1" customHeight="1">
      <c r="A197" s="79" t="s">
        <v>2459</v>
      </c>
      <c r="B197" s="79"/>
      <c r="C197" s="79" t="s">
        <v>807</v>
      </c>
      <c r="D197" s="296" t="s">
        <v>2460</v>
      </c>
      <c r="E197" s="150" t="s">
        <v>1136</v>
      </c>
      <c r="F197" s="482" t="s">
        <v>1566</v>
      </c>
      <c r="G197" s="150" t="s">
        <v>1135</v>
      </c>
      <c r="H197" s="383" t="s">
        <v>1145</v>
      </c>
      <c r="I197" s="332" t="s">
        <v>1135</v>
      </c>
      <c r="J197" s="383" t="s">
        <v>1145</v>
      </c>
      <c r="K197" s="331" t="s">
        <v>1137</v>
      </c>
      <c r="L197" s="512" t="s">
        <v>639</v>
      </c>
      <c r="M197" s="393" t="s">
        <v>2461</v>
      </c>
      <c r="N197" s="343" t="s">
        <v>2457</v>
      </c>
      <c r="O197" s="150" t="s">
        <v>1186</v>
      </c>
      <c r="P197" s="91" t="s">
        <v>808</v>
      </c>
      <c r="Q197" s="343"/>
      <c r="R197" s="346" t="s">
        <v>2458</v>
      </c>
      <c r="S197" s="346" t="s">
        <v>1710</v>
      </c>
      <c r="T197" s="386" t="s">
        <v>806</v>
      </c>
      <c r="U197" s="346" t="s">
        <v>1348</v>
      </c>
      <c r="V197" s="437"/>
      <c r="W197" s="358">
        <v>-99064.42</v>
      </c>
      <c r="X197" s="378">
        <v>0</v>
      </c>
      <c r="Y197" s="425"/>
      <c r="Z197" s="71"/>
      <c r="AA197" s="433"/>
      <c r="AB197" s="434"/>
      <c r="AC197" s="434"/>
      <c r="AD197" s="428" t="s">
        <v>1142</v>
      </c>
      <c r="AE197" s="429">
        <v>0</v>
      </c>
      <c r="AF197" s="429">
        <v>0</v>
      </c>
      <c r="AG197" s="388">
        <v>0</v>
      </c>
      <c r="AH197" s="388">
        <v>0</v>
      </c>
      <c r="AI197" s="388">
        <v>0</v>
      </c>
      <c r="AJ197" s="388">
        <v>0</v>
      </c>
      <c r="AK197" s="388">
        <v>0</v>
      </c>
      <c r="AL197" s="388">
        <v>0</v>
      </c>
      <c r="AM197" s="360">
        <f t="shared" si="5"/>
        <v>0</v>
      </c>
      <c r="AN197" s="362">
        <f>ERP_2[[#This Row],[2026 Working Total]]-ERP_2[[#This Row],[LE2 Final Submission]]</f>
        <v>0</v>
      </c>
      <c r="AO197" s="79">
        <v>0</v>
      </c>
      <c r="AP197" s="79">
        <f t="shared" si="6"/>
        <v>0</v>
      </c>
      <c r="AQ197" s="374">
        <f>SUM(ERP_2[[#This Row],[AP01]:[AP06]])-SUM(ERP_2[[#This Row],[AP01 LE2]:[AP06 LE2]])</f>
        <v>0</v>
      </c>
      <c r="AR197" s="80"/>
      <c r="AS197" s="79">
        <f>ERP_2[[#This Row],[2026 Working Total to Budget/LE]]-ERP_2[[#This Row],[Giveback]]</f>
        <v>0</v>
      </c>
      <c r="AT197" s="81"/>
      <c r="AU197" s="375"/>
      <c r="AV197" s="375"/>
      <c r="AW197" s="375"/>
      <c r="AX197" s="375">
        <v>0</v>
      </c>
      <c r="AY197" s="375">
        <v>0</v>
      </c>
      <c r="AZ197" s="375">
        <v>0</v>
      </c>
      <c r="BA197" s="375">
        <v>0</v>
      </c>
      <c r="BB197" s="375">
        <v>0</v>
      </c>
      <c r="BC197" s="375">
        <v>0</v>
      </c>
      <c r="BD197" s="375">
        <v>0</v>
      </c>
      <c r="BE197" s="375">
        <v>0</v>
      </c>
      <c r="BF197" s="375">
        <v>0</v>
      </c>
      <c r="BG197" s="375">
        <v>0</v>
      </c>
      <c r="BH197" s="103">
        <v>-99064.42</v>
      </c>
      <c r="BI197" s="103">
        <v>0</v>
      </c>
      <c r="BJ197" s="103">
        <v>0</v>
      </c>
      <c r="BK197" s="103">
        <v>0</v>
      </c>
      <c r="BL197" s="103">
        <v>0</v>
      </c>
      <c r="BM197" s="103">
        <v>0</v>
      </c>
      <c r="BN197" s="103">
        <v>0</v>
      </c>
      <c r="BO197" s="103">
        <v>0</v>
      </c>
      <c r="BP197" s="103">
        <v>0</v>
      </c>
      <c r="BQ197" s="103">
        <v>0</v>
      </c>
      <c r="BR197" s="103">
        <v>0</v>
      </c>
      <c r="BS197" s="103">
        <v>0</v>
      </c>
      <c r="BT197" s="79">
        <f>SUM(ERP_2[[#This Row],[2026 AP01]:[2026 AP12]])</f>
        <v>-99064.42</v>
      </c>
    </row>
    <row r="198" spans="1:72" ht="15" hidden="1" customHeight="1">
      <c r="A198" s="66" t="s">
        <v>2462</v>
      </c>
      <c r="B198" s="66"/>
      <c r="C198" s="66" t="s">
        <v>809</v>
      </c>
      <c r="D198" s="66" t="s">
        <v>809</v>
      </c>
      <c r="E198" s="150" t="s">
        <v>1136</v>
      </c>
      <c r="F198" s="482" t="s">
        <v>1566</v>
      </c>
      <c r="G198" s="150" t="s">
        <v>1135</v>
      </c>
      <c r="H198" s="150" t="s">
        <v>1135</v>
      </c>
      <c r="I198" s="150" t="s">
        <v>1135</v>
      </c>
      <c r="J198" s="150" t="s">
        <v>1135</v>
      </c>
      <c r="K198" s="150" t="s">
        <v>1137</v>
      </c>
      <c r="L198" s="511" t="s">
        <v>639</v>
      </c>
      <c r="M198" s="392" t="s">
        <v>2463</v>
      </c>
      <c r="N198" s="343" t="s">
        <v>1231</v>
      </c>
      <c r="O198" s="346" t="s">
        <v>1171</v>
      </c>
      <c r="P198" s="70" t="s">
        <v>810</v>
      </c>
      <c r="Q198" s="346"/>
      <c r="R198" s="343"/>
      <c r="S198" s="346"/>
      <c r="T198" s="150" t="s">
        <v>811</v>
      </c>
      <c r="U198" s="150" t="s">
        <v>2464</v>
      </c>
      <c r="V198" s="403"/>
      <c r="W198" s="406">
        <v>1136537.76</v>
      </c>
      <c r="X198" s="406">
        <v>1100039.77</v>
      </c>
      <c r="Y198" s="425"/>
      <c r="Z198" s="71"/>
      <c r="AA198" s="426">
        <v>818279</v>
      </c>
      <c r="AB198" s="427">
        <v>-636439.42000000004</v>
      </c>
      <c r="AC198" s="427">
        <v>90919.92</v>
      </c>
      <c r="AD198" s="428">
        <v>0</v>
      </c>
      <c r="AE198" s="429">
        <v>181839.84</v>
      </c>
      <c r="AF198" s="429">
        <v>90919.92</v>
      </c>
      <c r="AG198" s="363">
        <f>90919.92-90919.92</f>
        <v>0</v>
      </c>
      <c r="AH198" s="363">
        <f>90919.92+90919.92</f>
        <v>181839.84</v>
      </c>
      <c r="AI198" s="363">
        <v>90919.92</v>
      </c>
      <c r="AJ198" s="363">
        <f>90919.92-90919.92</f>
        <v>0</v>
      </c>
      <c r="AK198" s="363">
        <f>(1127043/12)*2</f>
        <v>187840.5</v>
      </c>
      <c r="AL198" s="363">
        <v>93920.25</v>
      </c>
      <c r="AM198" s="360">
        <f t="shared" si="5"/>
        <v>1100039.77</v>
      </c>
      <c r="AN198" s="362">
        <f>ERP_2[[#This Row],[2026 Working Total]]-ERP_2[[#This Row],[LE2 Final Submission]]</f>
        <v>0</v>
      </c>
      <c r="AO198" s="79">
        <v>181839.84</v>
      </c>
      <c r="AP198" s="79">
        <f t="shared" si="6"/>
        <v>-90919.92</v>
      </c>
      <c r="AQ198" s="374">
        <f>SUM(ERP_2[[#This Row],[AP01]:[AP06]])-SUM(ERP_2[[#This Row],[AP01 LE2]:[AP06 LE2]])</f>
        <v>0</v>
      </c>
      <c r="AR198" s="80"/>
      <c r="AS198" s="79">
        <f>ERP_2[[#This Row],[2026 Working Total to Budget/LE]]-ERP_2[[#This Row],[Giveback]]</f>
        <v>0</v>
      </c>
      <c r="AT198" s="81"/>
      <c r="AU198" s="375">
        <v>818279</v>
      </c>
      <c r="AV198" s="375">
        <v>-636439.42000000004</v>
      </c>
      <c r="AW198" s="375">
        <v>90919.92</v>
      </c>
      <c r="AX198" s="375">
        <v>0</v>
      </c>
      <c r="AY198" s="375">
        <v>181839.84</v>
      </c>
      <c r="AZ198" s="375">
        <v>90919.92</v>
      </c>
      <c r="BA198" s="375">
        <v>0</v>
      </c>
      <c r="BB198" s="375">
        <v>181839.84</v>
      </c>
      <c r="BC198" s="375">
        <v>90919.92</v>
      </c>
      <c r="BD198" s="375">
        <v>0</v>
      </c>
      <c r="BE198" s="375">
        <v>187840.5</v>
      </c>
      <c r="BF198" s="375">
        <v>93920.25</v>
      </c>
      <c r="BG198" s="375">
        <v>1100039.77</v>
      </c>
      <c r="BH198" s="79">
        <v>818279</v>
      </c>
      <c r="BI198" s="79">
        <v>-636439.42000000004</v>
      </c>
      <c r="BJ198" s="79">
        <v>90919.92</v>
      </c>
      <c r="BK198" s="79">
        <v>90919.92</v>
      </c>
      <c r="BL198" s="79">
        <v>90919.92</v>
      </c>
      <c r="BM198" s="79">
        <v>90919.92</v>
      </c>
      <c r="BN198" s="79">
        <v>90919.92</v>
      </c>
      <c r="BO198" s="79">
        <v>90919.92</v>
      </c>
      <c r="BP198" s="79">
        <v>90919.92</v>
      </c>
      <c r="BQ198" s="79">
        <v>106085.92</v>
      </c>
      <c r="BR198" s="79">
        <v>106085.92</v>
      </c>
      <c r="BS198" s="79">
        <v>106085.92</v>
      </c>
      <c r="BT198" s="79">
        <v>1136536.78</v>
      </c>
    </row>
    <row r="199" spans="1:72" ht="15" hidden="1" customHeight="1">
      <c r="A199" s="66" t="s">
        <v>2465</v>
      </c>
      <c r="B199" s="66"/>
      <c r="C199" s="66" t="s">
        <v>812</v>
      </c>
      <c r="D199" s="66" t="s">
        <v>812</v>
      </c>
      <c r="E199" s="150" t="s">
        <v>1136</v>
      </c>
      <c r="F199" s="482" t="s">
        <v>1566</v>
      </c>
      <c r="G199" s="150" t="s">
        <v>1135</v>
      </c>
      <c r="H199" s="150" t="s">
        <v>1135</v>
      </c>
      <c r="I199" s="150" t="s">
        <v>1135</v>
      </c>
      <c r="J199" s="150" t="s">
        <v>1135</v>
      </c>
      <c r="K199" s="150" t="s">
        <v>1137</v>
      </c>
      <c r="L199" s="511" t="s">
        <v>639</v>
      </c>
      <c r="M199" s="392" t="s">
        <v>2466</v>
      </c>
      <c r="N199" s="343"/>
      <c r="O199" s="343"/>
      <c r="P199" s="70" t="s">
        <v>813</v>
      </c>
      <c r="Q199" s="346"/>
      <c r="R199" s="343"/>
      <c r="S199" s="346"/>
      <c r="T199" s="150" t="s">
        <v>64</v>
      </c>
      <c r="U199" s="150" t="s">
        <v>2467</v>
      </c>
      <c r="V199" s="403"/>
      <c r="W199" s="406">
        <v>287700</v>
      </c>
      <c r="X199" s="406">
        <v>297194</v>
      </c>
      <c r="Y199" s="425"/>
      <c r="Z199" s="71"/>
      <c r="AA199" s="426"/>
      <c r="AB199" s="427"/>
      <c r="AC199" s="427"/>
      <c r="AD199" s="428" t="s">
        <v>1142</v>
      </c>
      <c r="AE199" s="429">
        <v>0</v>
      </c>
      <c r="AF199" s="429">
        <v>0</v>
      </c>
      <c r="AG199" s="363"/>
      <c r="AH199" s="363"/>
      <c r="AI199" s="363"/>
      <c r="AJ199" s="363">
        <f>287700-287700+297194</f>
        <v>297194</v>
      </c>
      <c r="AK199" s="360">
        <v>0</v>
      </c>
      <c r="AL199" s="360">
        <v>0</v>
      </c>
      <c r="AM199" s="360">
        <f t="shared" si="5"/>
        <v>297194</v>
      </c>
      <c r="AN199" s="362">
        <f>ERP_2[[#This Row],[2026 Working Total]]-ERP_2[[#This Row],[LE2 Final Submission]]</f>
        <v>0</v>
      </c>
      <c r="AO199" s="79"/>
      <c r="AP199" s="79">
        <f t="shared" si="6"/>
        <v>0</v>
      </c>
      <c r="AQ199" s="374">
        <f>SUM(ERP_2[[#This Row],[AP01]:[AP06]])-SUM(ERP_2[[#This Row],[AP01 LE2]:[AP06 LE2]])</f>
        <v>0</v>
      </c>
      <c r="AR199" s="80"/>
      <c r="AS199" s="79">
        <f>ERP_2[[#This Row],[2026 Working Total to Budget/LE]]-ERP_2[[#This Row],[Giveback]]</f>
        <v>0</v>
      </c>
      <c r="AT199" s="81"/>
      <c r="AU199" s="375"/>
      <c r="AV199" s="375"/>
      <c r="AW199" s="375"/>
      <c r="AX199" s="375"/>
      <c r="AY199" s="375"/>
      <c r="AZ199" s="375"/>
      <c r="BA199" s="375"/>
      <c r="BB199" s="375"/>
      <c r="BC199" s="375"/>
      <c r="BD199" s="375">
        <v>297194</v>
      </c>
      <c r="BE199" s="375">
        <v>0</v>
      </c>
      <c r="BF199" s="375">
        <v>0</v>
      </c>
      <c r="BG199" s="375">
        <v>297194</v>
      </c>
      <c r="BH199" s="79"/>
      <c r="BI199" s="79"/>
      <c r="BJ199" s="79"/>
      <c r="BK199" s="79"/>
      <c r="BL199" s="79"/>
      <c r="BM199" s="79"/>
      <c r="BN199" s="79"/>
      <c r="BO199" s="79"/>
      <c r="BP199" s="79"/>
      <c r="BQ199" s="79">
        <v>287700</v>
      </c>
      <c r="BR199" s="79">
        <v>0</v>
      </c>
      <c r="BS199" s="79">
        <v>0</v>
      </c>
      <c r="BT199" s="79">
        <v>287700</v>
      </c>
    </row>
    <row r="200" spans="1:72" ht="15" hidden="1" customHeight="1">
      <c r="A200" s="66" t="s">
        <v>2468</v>
      </c>
      <c r="B200" s="66"/>
      <c r="C200" s="66" t="s">
        <v>814</v>
      </c>
      <c r="D200" s="66" t="s">
        <v>814</v>
      </c>
      <c r="E200" s="150" t="s">
        <v>1136</v>
      </c>
      <c r="F200" s="482" t="s">
        <v>1566</v>
      </c>
      <c r="G200" s="150" t="s">
        <v>1135</v>
      </c>
      <c r="H200" s="150" t="s">
        <v>1135</v>
      </c>
      <c r="I200" s="150" t="s">
        <v>1135</v>
      </c>
      <c r="J200" s="150" t="s">
        <v>1135</v>
      </c>
      <c r="K200" s="150" t="s">
        <v>1137</v>
      </c>
      <c r="L200" s="511" t="s">
        <v>639</v>
      </c>
      <c r="M200" s="392" t="s">
        <v>2469</v>
      </c>
      <c r="N200" s="343"/>
      <c r="O200" s="343"/>
      <c r="P200" s="70" t="s">
        <v>815</v>
      </c>
      <c r="Q200" s="346"/>
      <c r="R200" s="343"/>
      <c r="S200" s="346"/>
      <c r="T200" s="150" t="s">
        <v>67</v>
      </c>
      <c r="U200" s="150"/>
      <c r="V200" s="403"/>
      <c r="W200" s="406">
        <v>58000</v>
      </c>
      <c r="X200" s="406">
        <v>58000</v>
      </c>
      <c r="Y200" s="430"/>
      <c r="Z200" s="137"/>
      <c r="AA200" s="426"/>
      <c r="AB200" s="427"/>
      <c r="AC200" s="427"/>
      <c r="AD200" s="428" t="s">
        <v>1142</v>
      </c>
      <c r="AE200" s="429">
        <v>0</v>
      </c>
      <c r="AF200" s="429">
        <v>0</v>
      </c>
      <c r="AG200" s="363"/>
      <c r="AH200" s="363"/>
      <c r="AI200" s="363">
        <v>22000</v>
      </c>
      <c r="AJ200" s="360">
        <v>0</v>
      </c>
      <c r="AK200" s="363">
        <v>36000</v>
      </c>
      <c r="AL200" s="360">
        <v>0</v>
      </c>
      <c r="AM200" s="360">
        <f t="shared" ref="AM200:AM263" si="7">SUM(AA200:AL200)</f>
        <v>58000</v>
      </c>
      <c r="AN200" s="362">
        <f>ERP_2[[#This Row],[2026 Working Total]]-ERP_2[[#This Row],[LE2 Final Submission]]</f>
        <v>0</v>
      </c>
      <c r="AO200" s="79"/>
      <c r="AP200" s="79">
        <f t="shared" ref="AP200:AP263" si="8">$AF200 - $AO200</f>
        <v>0</v>
      </c>
      <c r="AQ200" s="374">
        <f>SUM(ERP_2[[#This Row],[AP01]:[AP06]])-SUM(ERP_2[[#This Row],[AP01 LE2]:[AP06 LE2]])</f>
        <v>0</v>
      </c>
      <c r="AR200" s="80"/>
      <c r="AS200" s="79">
        <f>ERP_2[[#This Row],[2026 Working Total to Budget/LE]]-ERP_2[[#This Row],[Giveback]]</f>
        <v>0</v>
      </c>
      <c r="AT200" s="81"/>
      <c r="AU200" s="375"/>
      <c r="AV200" s="375"/>
      <c r="AW200" s="375"/>
      <c r="AX200" s="375"/>
      <c r="AY200" s="375"/>
      <c r="AZ200" s="375"/>
      <c r="BA200" s="375"/>
      <c r="BB200" s="375"/>
      <c r="BC200" s="375">
        <v>22000</v>
      </c>
      <c r="BD200" s="375">
        <v>0</v>
      </c>
      <c r="BE200" s="375">
        <v>36000</v>
      </c>
      <c r="BF200" s="375">
        <v>0</v>
      </c>
      <c r="BG200" s="375">
        <v>58000</v>
      </c>
      <c r="BH200" s="79"/>
      <c r="BI200" s="79"/>
      <c r="BJ200" s="79"/>
      <c r="BK200" s="79"/>
      <c r="BL200" s="79"/>
      <c r="BM200" s="79"/>
      <c r="BN200" s="79"/>
      <c r="BO200" s="79"/>
      <c r="BP200" s="79">
        <v>22000</v>
      </c>
      <c r="BQ200" s="79">
        <v>0</v>
      </c>
      <c r="BR200" s="79">
        <v>36000</v>
      </c>
      <c r="BS200" s="79">
        <v>0</v>
      </c>
      <c r="BT200" s="79">
        <v>58000</v>
      </c>
    </row>
    <row r="201" spans="1:72" ht="15" hidden="1" customHeight="1">
      <c r="A201" s="66" t="s">
        <v>2482</v>
      </c>
      <c r="B201" s="66"/>
      <c r="C201" s="66" t="s">
        <v>819</v>
      </c>
      <c r="D201" s="66" t="s">
        <v>819</v>
      </c>
      <c r="E201" s="150" t="s">
        <v>1136</v>
      </c>
      <c r="F201" s="482" t="s">
        <v>1566</v>
      </c>
      <c r="G201" s="150" t="s">
        <v>1135</v>
      </c>
      <c r="H201" s="150" t="s">
        <v>1135</v>
      </c>
      <c r="I201" s="150" t="s">
        <v>1135</v>
      </c>
      <c r="J201" s="150" t="s">
        <v>1135</v>
      </c>
      <c r="K201" s="150" t="s">
        <v>1137</v>
      </c>
      <c r="L201" s="511" t="s">
        <v>639</v>
      </c>
      <c r="M201" s="396" t="s">
        <v>2483</v>
      </c>
      <c r="N201" s="343" t="s">
        <v>2484</v>
      </c>
      <c r="O201" s="346" t="s">
        <v>1171</v>
      </c>
      <c r="P201" s="70" t="s">
        <v>820</v>
      </c>
      <c r="Q201" s="346"/>
      <c r="R201" s="346" t="s">
        <v>1187</v>
      </c>
      <c r="S201" s="346"/>
      <c r="T201" s="385" t="s">
        <v>821</v>
      </c>
      <c r="U201" s="184" t="s">
        <v>2485</v>
      </c>
      <c r="V201" s="403"/>
      <c r="W201" s="406">
        <v>280976</v>
      </c>
      <c r="X201" s="406">
        <v>290275.11</v>
      </c>
      <c r="Y201" s="425"/>
      <c r="Z201" s="71"/>
      <c r="AA201" s="426"/>
      <c r="AB201" s="427"/>
      <c r="AC201" s="427"/>
      <c r="AD201" s="428" t="s">
        <v>1142</v>
      </c>
      <c r="AE201" s="429">
        <v>390539.25000000006</v>
      </c>
      <c r="AF201" s="429">
        <v>-88688.920000000013</v>
      </c>
      <c r="AG201" s="360"/>
      <c r="AH201" s="360">
        <v>0</v>
      </c>
      <c r="AI201" s="360">
        <v>0</v>
      </c>
      <c r="AJ201" s="360">
        <v>0</v>
      </c>
      <c r="AK201" s="360">
        <v>0</v>
      </c>
      <c r="AL201" s="360">
        <v>0</v>
      </c>
      <c r="AM201" s="360">
        <f t="shared" si="7"/>
        <v>301850.33000000007</v>
      </c>
      <c r="AN201" s="362">
        <f>ERP_2[[#This Row],[2026 Working Total]]-ERP_2[[#This Row],[LE2 Final Submission]]</f>
        <v>11575.220000000088</v>
      </c>
      <c r="AO201" s="79">
        <v>290275.11</v>
      </c>
      <c r="AP201" s="79">
        <f t="shared" si="8"/>
        <v>-378964.03</v>
      </c>
      <c r="AQ201" s="374">
        <f>SUM(ERP_2[[#This Row],[AP01]:[AP06]])-SUM(ERP_2[[#This Row],[AP01 LE2]:[AP06 LE2]])</f>
        <v>11575.220000000088</v>
      </c>
      <c r="AR201" s="80"/>
      <c r="AS201" s="79">
        <f>ERP_2[[#This Row],[2026 Working Total to Budget/LE]]-ERP_2[[#This Row],[Giveback]]</f>
        <v>11575.220000000088</v>
      </c>
      <c r="AT201" s="81"/>
      <c r="AU201" s="375"/>
      <c r="AV201" s="375"/>
      <c r="AW201" s="375"/>
      <c r="AX201" s="375"/>
      <c r="AY201" s="375">
        <v>290275.11</v>
      </c>
      <c r="AZ201" s="375">
        <v>0</v>
      </c>
      <c r="BA201" s="375">
        <v>0</v>
      </c>
      <c r="BB201" s="375">
        <v>0</v>
      </c>
      <c r="BC201" s="375">
        <v>0</v>
      </c>
      <c r="BD201" s="375">
        <v>0</v>
      </c>
      <c r="BE201" s="375">
        <v>0</v>
      </c>
      <c r="BF201" s="375">
        <v>0</v>
      </c>
      <c r="BG201" s="375">
        <v>290275.11</v>
      </c>
      <c r="BH201" s="79"/>
      <c r="BI201" s="79"/>
      <c r="BJ201" s="79"/>
      <c r="BK201" s="79"/>
      <c r="BL201" s="79">
        <v>280976</v>
      </c>
      <c r="BM201" s="79">
        <v>0</v>
      </c>
      <c r="BN201" s="79">
        <v>0</v>
      </c>
      <c r="BO201" s="79">
        <v>0</v>
      </c>
      <c r="BP201" s="79">
        <v>0</v>
      </c>
      <c r="BQ201" s="79">
        <v>0</v>
      </c>
      <c r="BR201" s="79">
        <v>0</v>
      </c>
      <c r="BS201" s="79">
        <v>0</v>
      </c>
      <c r="BT201" s="79">
        <v>280976</v>
      </c>
    </row>
    <row r="202" spans="1:72" ht="15" hidden="1" customHeight="1">
      <c r="A202" s="66" t="s">
        <v>2486</v>
      </c>
      <c r="B202" s="66"/>
      <c r="C202" s="66" t="s">
        <v>822</v>
      </c>
      <c r="D202" s="66" t="s">
        <v>822</v>
      </c>
      <c r="E202" s="150" t="s">
        <v>1136</v>
      </c>
      <c r="F202" s="482" t="s">
        <v>1566</v>
      </c>
      <c r="G202" s="150" t="s">
        <v>1135</v>
      </c>
      <c r="H202" s="150" t="s">
        <v>1135</v>
      </c>
      <c r="I202" s="150" t="s">
        <v>1135</v>
      </c>
      <c r="J202" s="150" t="s">
        <v>1135</v>
      </c>
      <c r="K202" s="150" t="s">
        <v>1137</v>
      </c>
      <c r="L202" s="511" t="s">
        <v>639</v>
      </c>
      <c r="M202" s="392" t="s">
        <v>2487</v>
      </c>
      <c r="N202" s="343"/>
      <c r="O202" s="343"/>
      <c r="P202" s="70" t="s">
        <v>823</v>
      </c>
      <c r="Q202" s="346"/>
      <c r="R202" s="343"/>
      <c r="S202" s="346"/>
      <c r="T202" s="150" t="s">
        <v>605</v>
      </c>
      <c r="U202" s="150"/>
      <c r="V202" s="403"/>
      <c r="W202" s="406">
        <v>849804</v>
      </c>
      <c r="X202" s="406">
        <v>637353</v>
      </c>
      <c r="Y202" s="430"/>
      <c r="Z202" s="430"/>
      <c r="AA202" s="426"/>
      <c r="AB202" s="427"/>
      <c r="AC202" s="427">
        <v>-212451</v>
      </c>
      <c r="AD202" s="428">
        <v>0</v>
      </c>
      <c r="AE202" s="429">
        <v>0</v>
      </c>
      <c r="AF202" s="429">
        <v>0</v>
      </c>
      <c r="AG202" s="360">
        <v>0</v>
      </c>
      <c r="AH202" s="360">
        <v>0</v>
      </c>
      <c r="AI202" s="363">
        <v>849804</v>
      </c>
      <c r="AJ202" s="360">
        <v>0</v>
      </c>
      <c r="AK202" s="360">
        <v>0</v>
      </c>
      <c r="AL202" s="360">
        <v>0</v>
      </c>
      <c r="AM202" s="360">
        <f t="shared" si="7"/>
        <v>637353</v>
      </c>
      <c r="AN202" s="362">
        <f>ERP_2[[#This Row],[2026 Working Total]]-ERP_2[[#This Row],[LE2 Final Submission]]</f>
        <v>0</v>
      </c>
      <c r="AO202" s="79">
        <v>0</v>
      </c>
      <c r="AP202" s="79">
        <f t="shared" si="8"/>
        <v>0</v>
      </c>
      <c r="AQ202" s="374">
        <f>SUM(ERP_2[[#This Row],[AP01]:[AP06]])-SUM(ERP_2[[#This Row],[AP01 LE2]:[AP06 LE2]])</f>
        <v>0</v>
      </c>
      <c r="AR202" s="80"/>
      <c r="AS202" s="79">
        <f>ERP_2[[#This Row],[2026 Working Total to Budget/LE]]-ERP_2[[#This Row],[Giveback]]</f>
        <v>0</v>
      </c>
      <c r="AT202" s="81"/>
      <c r="AU202" s="375"/>
      <c r="AV202" s="375"/>
      <c r="AW202" s="375">
        <v>-212451</v>
      </c>
      <c r="AX202" s="375">
        <v>0</v>
      </c>
      <c r="AY202" s="375">
        <v>0</v>
      </c>
      <c r="AZ202" s="375">
        <v>0</v>
      </c>
      <c r="BA202" s="375">
        <v>0</v>
      </c>
      <c r="BB202" s="375">
        <v>0</v>
      </c>
      <c r="BC202" s="375">
        <v>849804</v>
      </c>
      <c r="BD202" s="375">
        <v>0</v>
      </c>
      <c r="BE202" s="375">
        <v>0</v>
      </c>
      <c r="BF202" s="375">
        <v>0</v>
      </c>
      <c r="BG202" s="375">
        <v>637353</v>
      </c>
      <c r="BH202" s="79"/>
      <c r="BI202" s="79"/>
      <c r="BJ202" s="79">
        <v>-212451</v>
      </c>
      <c r="BK202" s="79">
        <v>0</v>
      </c>
      <c r="BL202" s="79">
        <v>0</v>
      </c>
      <c r="BM202" s="79">
        <v>0</v>
      </c>
      <c r="BN202" s="79">
        <v>0</v>
      </c>
      <c r="BO202" s="79">
        <v>0</v>
      </c>
      <c r="BP202" s="79">
        <v>849804</v>
      </c>
      <c r="BQ202" s="79">
        <v>0</v>
      </c>
      <c r="BR202" s="79">
        <v>0</v>
      </c>
      <c r="BS202" s="79">
        <v>0</v>
      </c>
      <c r="BT202" s="79">
        <v>637353</v>
      </c>
    </row>
    <row r="203" spans="1:72" ht="15" hidden="1" customHeight="1">
      <c r="A203" s="79" t="s">
        <v>2488</v>
      </c>
      <c r="B203" s="79"/>
      <c r="C203" s="79" t="s">
        <v>824</v>
      </c>
      <c r="D203" s="296" t="s">
        <v>824</v>
      </c>
      <c r="E203" s="150" t="s">
        <v>1136</v>
      </c>
      <c r="F203" s="482" t="s">
        <v>1566</v>
      </c>
      <c r="G203" s="150" t="s">
        <v>1135</v>
      </c>
      <c r="H203" s="150" t="s">
        <v>1135</v>
      </c>
      <c r="I203" s="332" t="s">
        <v>1135</v>
      </c>
      <c r="J203" s="383" t="s">
        <v>1135</v>
      </c>
      <c r="K203" s="331" t="s">
        <v>1137</v>
      </c>
      <c r="L203" s="512" t="s">
        <v>639</v>
      </c>
      <c r="M203" s="393" t="s">
        <v>2489</v>
      </c>
      <c r="N203" s="343" t="s">
        <v>2484</v>
      </c>
      <c r="O203" s="150" t="s">
        <v>1171</v>
      </c>
      <c r="P203" s="91" t="s">
        <v>825</v>
      </c>
      <c r="Q203" s="343"/>
      <c r="R203" s="346" t="s">
        <v>2490</v>
      </c>
      <c r="S203" s="346" t="s">
        <v>1710</v>
      </c>
      <c r="T203" s="386" t="s">
        <v>826</v>
      </c>
      <c r="U203" s="346" t="s">
        <v>1348</v>
      </c>
      <c r="V203" s="437"/>
      <c r="W203" s="358">
        <v>44842</v>
      </c>
      <c r="X203" s="378">
        <v>0</v>
      </c>
      <c r="Y203" s="425"/>
      <c r="Z203" s="71"/>
      <c r="AA203" s="433"/>
      <c r="AB203" s="434"/>
      <c r="AC203" s="434"/>
      <c r="AD203" s="428">
        <v>0</v>
      </c>
      <c r="AE203" s="429">
        <v>0</v>
      </c>
      <c r="AF203" s="429">
        <v>0</v>
      </c>
      <c r="AG203" s="388">
        <v>0</v>
      </c>
      <c r="AH203" s="388">
        <v>0</v>
      </c>
      <c r="AI203" s="388">
        <v>0</v>
      </c>
      <c r="AJ203" s="388">
        <v>0</v>
      </c>
      <c r="AK203" s="388">
        <v>0</v>
      </c>
      <c r="AL203" s="388">
        <v>0</v>
      </c>
      <c r="AM203" s="360">
        <f t="shared" si="7"/>
        <v>0</v>
      </c>
      <c r="AN203" s="362">
        <f>ERP_2[[#This Row],[2026 Working Total]]-ERP_2[[#This Row],[LE2 Final Submission]]</f>
        <v>0</v>
      </c>
      <c r="AO203" s="79">
        <v>0</v>
      </c>
      <c r="AP203" s="79">
        <f t="shared" si="8"/>
        <v>0</v>
      </c>
      <c r="AQ203" s="374">
        <f>SUM(ERP_2[[#This Row],[AP01]:[AP06]])-SUM(ERP_2[[#This Row],[AP01 LE2]:[AP06 LE2]])</f>
        <v>0</v>
      </c>
      <c r="AR203" s="80"/>
      <c r="AS203" s="79">
        <f>ERP_2[[#This Row],[2026 Working Total to Budget/LE]]-ERP_2[[#This Row],[Giveback]]</f>
        <v>0</v>
      </c>
      <c r="AT203" s="81"/>
      <c r="AU203" s="375"/>
      <c r="AV203" s="375"/>
      <c r="AW203" s="375"/>
      <c r="AX203" s="375">
        <v>0</v>
      </c>
      <c r="AY203" s="375">
        <v>0</v>
      </c>
      <c r="AZ203" s="375">
        <v>0</v>
      </c>
      <c r="BA203" s="375">
        <v>0</v>
      </c>
      <c r="BB203" s="375">
        <v>0</v>
      </c>
      <c r="BC203" s="375">
        <v>0</v>
      </c>
      <c r="BD203" s="375">
        <v>0</v>
      </c>
      <c r="BE203" s="375">
        <v>0</v>
      </c>
      <c r="BF203" s="375">
        <v>0</v>
      </c>
      <c r="BG203" s="375">
        <v>0</v>
      </c>
      <c r="BH203" s="103">
        <v>44842</v>
      </c>
      <c r="BI203" s="103">
        <v>0</v>
      </c>
      <c r="BJ203" s="103">
        <v>0</v>
      </c>
      <c r="BK203" s="103">
        <v>0</v>
      </c>
      <c r="BL203" s="103">
        <v>0</v>
      </c>
      <c r="BM203" s="103">
        <v>0</v>
      </c>
      <c r="BN203" s="103">
        <v>0</v>
      </c>
      <c r="BO203" s="103">
        <v>0</v>
      </c>
      <c r="BP203" s="103">
        <v>0</v>
      </c>
      <c r="BQ203" s="103">
        <v>0</v>
      </c>
      <c r="BR203" s="103">
        <v>0</v>
      </c>
      <c r="BS203" s="103">
        <v>0</v>
      </c>
      <c r="BT203" s="79">
        <f>SUM(ERP_2[[#This Row],[2026 AP01]:[2026 AP12]])</f>
        <v>44842</v>
      </c>
    </row>
    <row r="204" spans="1:72" ht="15" hidden="1" customHeight="1">
      <c r="A204" s="79" t="s">
        <v>2491</v>
      </c>
      <c r="B204" s="79"/>
      <c r="C204" s="79" t="s">
        <v>827</v>
      </c>
      <c r="D204" s="296" t="s">
        <v>827</v>
      </c>
      <c r="E204" s="150" t="s">
        <v>1136</v>
      </c>
      <c r="F204" s="482" t="s">
        <v>1566</v>
      </c>
      <c r="G204" s="150" t="s">
        <v>1135</v>
      </c>
      <c r="H204" s="150" t="s">
        <v>1135</v>
      </c>
      <c r="I204" s="332" t="s">
        <v>1135</v>
      </c>
      <c r="J204" s="383" t="s">
        <v>1135</v>
      </c>
      <c r="K204" s="331" t="s">
        <v>1137</v>
      </c>
      <c r="L204" s="512" t="s">
        <v>639</v>
      </c>
      <c r="M204" s="393" t="s">
        <v>2492</v>
      </c>
      <c r="N204" s="343" t="s">
        <v>2484</v>
      </c>
      <c r="O204" s="150" t="s">
        <v>1171</v>
      </c>
      <c r="P204" s="91" t="s">
        <v>828</v>
      </c>
      <c r="Q204" s="343"/>
      <c r="R204" s="346" t="s">
        <v>2490</v>
      </c>
      <c r="S204" s="346" t="s">
        <v>1710</v>
      </c>
      <c r="T204" s="386" t="s">
        <v>826</v>
      </c>
      <c r="U204" s="346" t="s">
        <v>1348</v>
      </c>
      <c r="V204" s="437"/>
      <c r="W204" s="358">
        <v>-44842</v>
      </c>
      <c r="X204" s="378">
        <v>0</v>
      </c>
      <c r="Y204" s="425"/>
      <c r="Z204" s="71"/>
      <c r="AA204" s="433"/>
      <c r="AB204" s="434"/>
      <c r="AC204" s="434"/>
      <c r="AD204" s="428" t="s">
        <v>1142</v>
      </c>
      <c r="AE204" s="429">
        <v>0</v>
      </c>
      <c r="AF204" s="429">
        <v>0</v>
      </c>
      <c r="AG204" s="388">
        <v>0</v>
      </c>
      <c r="AH204" s="388">
        <v>0</v>
      </c>
      <c r="AI204" s="388">
        <v>0</v>
      </c>
      <c r="AJ204" s="388">
        <v>0</v>
      </c>
      <c r="AK204" s="388">
        <v>0</v>
      </c>
      <c r="AL204" s="388">
        <v>0</v>
      </c>
      <c r="AM204" s="360">
        <f t="shared" si="7"/>
        <v>0</v>
      </c>
      <c r="AN204" s="362">
        <f>ERP_2[[#This Row],[2026 Working Total]]-ERP_2[[#This Row],[LE2 Final Submission]]</f>
        <v>0</v>
      </c>
      <c r="AO204" s="79">
        <v>0</v>
      </c>
      <c r="AP204" s="79">
        <f t="shared" si="8"/>
        <v>0</v>
      </c>
      <c r="AQ204" s="374">
        <f>SUM(ERP_2[[#This Row],[AP01]:[AP06]])-SUM(ERP_2[[#This Row],[AP01 LE2]:[AP06 LE2]])</f>
        <v>0</v>
      </c>
      <c r="AR204" s="80"/>
      <c r="AS204" s="79">
        <f>ERP_2[[#This Row],[2026 Working Total to Budget/LE]]-ERP_2[[#This Row],[Giveback]]</f>
        <v>0</v>
      </c>
      <c r="AT204" s="81"/>
      <c r="AU204" s="375"/>
      <c r="AV204" s="375"/>
      <c r="AW204" s="375"/>
      <c r="AX204" s="375">
        <v>0</v>
      </c>
      <c r="AY204" s="375">
        <v>0</v>
      </c>
      <c r="AZ204" s="375">
        <v>0</v>
      </c>
      <c r="BA204" s="375">
        <v>0</v>
      </c>
      <c r="BB204" s="375">
        <v>0</v>
      </c>
      <c r="BC204" s="375">
        <v>0</v>
      </c>
      <c r="BD204" s="375">
        <v>0</v>
      </c>
      <c r="BE204" s="375">
        <v>0</v>
      </c>
      <c r="BF204" s="375">
        <v>0</v>
      </c>
      <c r="BG204" s="375">
        <v>0</v>
      </c>
      <c r="BH204" s="103">
        <v>-44842</v>
      </c>
      <c r="BI204" s="103">
        <v>0</v>
      </c>
      <c r="BJ204" s="103">
        <v>0</v>
      </c>
      <c r="BK204" s="103">
        <v>0</v>
      </c>
      <c r="BL204" s="103">
        <v>0</v>
      </c>
      <c r="BM204" s="103">
        <v>0</v>
      </c>
      <c r="BN204" s="103">
        <v>0</v>
      </c>
      <c r="BO204" s="103">
        <v>0</v>
      </c>
      <c r="BP204" s="103">
        <v>0</v>
      </c>
      <c r="BQ204" s="103">
        <v>0</v>
      </c>
      <c r="BR204" s="103">
        <v>0</v>
      </c>
      <c r="BS204" s="103">
        <v>0</v>
      </c>
      <c r="BT204" s="79">
        <f>SUM(ERP_2[[#This Row],[2026 AP01]:[2026 AP12]])</f>
        <v>-44842</v>
      </c>
    </row>
    <row r="205" spans="1:72" ht="15" hidden="1" customHeight="1">
      <c r="A205" s="79" t="s">
        <v>2493</v>
      </c>
      <c r="B205" s="79"/>
      <c r="C205" s="79" t="s">
        <v>829</v>
      </c>
      <c r="D205" s="296" t="s">
        <v>829</v>
      </c>
      <c r="E205" s="150" t="s">
        <v>1136</v>
      </c>
      <c r="F205" s="482" t="s">
        <v>1566</v>
      </c>
      <c r="G205" s="150" t="s">
        <v>1135</v>
      </c>
      <c r="H205" s="150" t="s">
        <v>1135</v>
      </c>
      <c r="I205" s="332" t="s">
        <v>1135</v>
      </c>
      <c r="J205" s="383" t="s">
        <v>1135</v>
      </c>
      <c r="K205" s="331" t="s">
        <v>1137</v>
      </c>
      <c r="L205" s="512" t="s">
        <v>639</v>
      </c>
      <c r="M205" s="393" t="s">
        <v>2494</v>
      </c>
      <c r="N205" s="343" t="s">
        <v>2484</v>
      </c>
      <c r="O205" s="150" t="s">
        <v>1171</v>
      </c>
      <c r="P205" s="91" t="s">
        <v>830</v>
      </c>
      <c r="Q205" s="343"/>
      <c r="R205" s="346" t="s">
        <v>2495</v>
      </c>
      <c r="S205" s="346" t="s">
        <v>1710</v>
      </c>
      <c r="T205" s="386" t="s">
        <v>826</v>
      </c>
      <c r="U205" s="346" t="s">
        <v>2496</v>
      </c>
      <c r="V205" s="437"/>
      <c r="W205" s="358">
        <v>664963</v>
      </c>
      <c r="X205" s="378">
        <v>0</v>
      </c>
      <c r="Y205" s="430"/>
      <c r="Z205" s="137"/>
      <c r="AA205" s="433"/>
      <c r="AB205" s="434"/>
      <c r="AC205" s="434"/>
      <c r="AD205" s="428" t="s">
        <v>1142</v>
      </c>
      <c r="AE205" s="429">
        <v>0</v>
      </c>
      <c r="AF205" s="429">
        <v>0</v>
      </c>
      <c r="AG205" s="388">
        <v>0</v>
      </c>
      <c r="AH205" s="388">
        <v>0</v>
      </c>
      <c r="AI205" s="388">
        <v>0</v>
      </c>
      <c r="AJ205" s="388">
        <v>0</v>
      </c>
      <c r="AK205" s="388">
        <v>0</v>
      </c>
      <c r="AL205" s="388">
        <v>0</v>
      </c>
      <c r="AM205" s="360">
        <f t="shared" si="7"/>
        <v>0</v>
      </c>
      <c r="AN205" s="362">
        <f>ERP_2[[#This Row],[2026 Working Total]]-ERP_2[[#This Row],[LE2 Final Submission]]</f>
        <v>0</v>
      </c>
      <c r="AO205" s="79">
        <v>0</v>
      </c>
      <c r="AP205" s="79">
        <f t="shared" si="8"/>
        <v>0</v>
      </c>
      <c r="AQ205" s="374">
        <f>SUM(ERP_2[[#This Row],[AP01]:[AP06]])-SUM(ERP_2[[#This Row],[AP01 LE2]:[AP06 LE2]])</f>
        <v>0</v>
      </c>
      <c r="AR205" s="80"/>
      <c r="AS205" s="79">
        <f>ERP_2[[#This Row],[2026 Working Total to Budget/LE]]-ERP_2[[#This Row],[Giveback]]</f>
        <v>0</v>
      </c>
      <c r="AT205" s="81"/>
      <c r="AU205" s="375"/>
      <c r="AV205" s="375"/>
      <c r="AW205" s="375"/>
      <c r="AX205" s="375">
        <v>0</v>
      </c>
      <c r="AY205" s="375">
        <v>0</v>
      </c>
      <c r="AZ205" s="375">
        <v>0</v>
      </c>
      <c r="BA205" s="375">
        <v>0</v>
      </c>
      <c r="BB205" s="375">
        <v>0</v>
      </c>
      <c r="BC205" s="375">
        <v>0</v>
      </c>
      <c r="BD205" s="375">
        <v>0</v>
      </c>
      <c r="BE205" s="375">
        <v>0</v>
      </c>
      <c r="BF205" s="375">
        <v>0</v>
      </c>
      <c r="BG205" s="375">
        <v>0</v>
      </c>
      <c r="BH205" s="103">
        <v>664963</v>
      </c>
      <c r="BI205" s="103">
        <v>0</v>
      </c>
      <c r="BJ205" s="103">
        <v>0</v>
      </c>
      <c r="BK205" s="103">
        <v>0</v>
      </c>
      <c r="BL205" s="103">
        <v>0</v>
      </c>
      <c r="BM205" s="103">
        <v>0</v>
      </c>
      <c r="BN205" s="103">
        <v>0</v>
      </c>
      <c r="BO205" s="103">
        <v>0</v>
      </c>
      <c r="BP205" s="103">
        <v>0</v>
      </c>
      <c r="BQ205" s="103">
        <v>0</v>
      </c>
      <c r="BR205" s="103">
        <v>0</v>
      </c>
      <c r="BS205" s="103">
        <v>0</v>
      </c>
      <c r="BT205" s="79">
        <f>SUM(ERP_2[[#This Row],[2026 AP01]:[2026 AP12]])</f>
        <v>664963</v>
      </c>
    </row>
    <row r="206" spans="1:72" ht="15" hidden="1" customHeight="1">
      <c r="A206" s="79" t="s">
        <v>2497</v>
      </c>
      <c r="B206" s="79"/>
      <c r="C206" s="79" t="s">
        <v>831</v>
      </c>
      <c r="D206" s="296" t="s">
        <v>831</v>
      </c>
      <c r="E206" s="150" t="s">
        <v>1136</v>
      </c>
      <c r="F206" s="482" t="s">
        <v>1566</v>
      </c>
      <c r="G206" s="150" t="s">
        <v>1135</v>
      </c>
      <c r="H206" s="150" t="s">
        <v>1135</v>
      </c>
      <c r="I206" s="332" t="s">
        <v>1135</v>
      </c>
      <c r="J206" s="382" t="s">
        <v>1135</v>
      </c>
      <c r="K206" s="331" t="s">
        <v>1137</v>
      </c>
      <c r="L206" s="512" t="s">
        <v>639</v>
      </c>
      <c r="M206" s="394" t="s">
        <v>2498</v>
      </c>
      <c r="N206" s="343" t="s">
        <v>2484</v>
      </c>
      <c r="O206" s="150" t="s">
        <v>1171</v>
      </c>
      <c r="P206" s="122" t="s">
        <v>832</v>
      </c>
      <c r="Q206" s="343"/>
      <c r="R206" s="346" t="s">
        <v>2495</v>
      </c>
      <c r="S206" s="346" t="s">
        <v>1710</v>
      </c>
      <c r="T206" s="384" t="s">
        <v>826</v>
      </c>
      <c r="U206" s="346" t="s">
        <v>2499</v>
      </c>
      <c r="V206" s="437"/>
      <c r="W206" s="358">
        <v>-664963</v>
      </c>
      <c r="X206" s="378">
        <v>0</v>
      </c>
      <c r="Y206" s="425"/>
      <c r="Z206" s="71"/>
      <c r="AA206" s="433"/>
      <c r="AB206" s="434"/>
      <c r="AC206" s="434"/>
      <c r="AD206" s="428" t="s">
        <v>1142</v>
      </c>
      <c r="AE206" s="429">
        <v>0</v>
      </c>
      <c r="AF206" s="429">
        <v>0</v>
      </c>
      <c r="AG206" s="388">
        <v>0</v>
      </c>
      <c r="AH206" s="388">
        <v>0</v>
      </c>
      <c r="AI206" s="388">
        <v>0</v>
      </c>
      <c r="AJ206" s="388">
        <v>0</v>
      </c>
      <c r="AK206" s="388">
        <v>0</v>
      </c>
      <c r="AL206" s="388">
        <v>0</v>
      </c>
      <c r="AM206" s="360">
        <f t="shared" si="7"/>
        <v>0</v>
      </c>
      <c r="AN206" s="362">
        <f>ERP_2[[#This Row],[2026 Working Total]]-ERP_2[[#This Row],[LE2 Final Submission]]</f>
        <v>0</v>
      </c>
      <c r="AO206" s="79">
        <v>0</v>
      </c>
      <c r="AP206" s="79">
        <f t="shared" si="8"/>
        <v>0</v>
      </c>
      <c r="AQ206" s="374">
        <f>SUM(ERP_2[[#This Row],[AP01]:[AP06]])-SUM(ERP_2[[#This Row],[AP01 LE2]:[AP06 LE2]])</f>
        <v>0</v>
      </c>
      <c r="AR206" s="80"/>
      <c r="AS206" s="79">
        <f>ERP_2[[#This Row],[2026 Working Total to Budget/LE]]-ERP_2[[#This Row],[Giveback]]</f>
        <v>0</v>
      </c>
      <c r="AT206" s="81"/>
      <c r="AU206" s="375"/>
      <c r="AV206" s="375"/>
      <c r="AW206" s="375"/>
      <c r="AX206" s="375">
        <v>0</v>
      </c>
      <c r="AY206" s="375">
        <v>0</v>
      </c>
      <c r="AZ206" s="375">
        <v>0</v>
      </c>
      <c r="BA206" s="375">
        <v>0</v>
      </c>
      <c r="BB206" s="375">
        <v>0</v>
      </c>
      <c r="BC206" s="375">
        <v>0</v>
      </c>
      <c r="BD206" s="375">
        <v>0</v>
      </c>
      <c r="BE206" s="375">
        <v>0</v>
      </c>
      <c r="BF206" s="375">
        <v>0</v>
      </c>
      <c r="BG206" s="375">
        <v>0</v>
      </c>
      <c r="BH206" s="103">
        <v>-664963</v>
      </c>
      <c r="BI206" s="103">
        <v>0</v>
      </c>
      <c r="BJ206" s="103">
        <v>0</v>
      </c>
      <c r="BK206" s="103">
        <v>0</v>
      </c>
      <c r="BL206" s="103">
        <v>0</v>
      </c>
      <c r="BM206" s="103">
        <v>0</v>
      </c>
      <c r="BN206" s="103">
        <v>0</v>
      </c>
      <c r="BO206" s="103">
        <v>0</v>
      </c>
      <c r="BP206" s="103">
        <v>0</v>
      </c>
      <c r="BQ206" s="103">
        <v>0</v>
      </c>
      <c r="BR206" s="103">
        <v>0</v>
      </c>
      <c r="BS206" s="103">
        <v>0</v>
      </c>
      <c r="BT206" s="79">
        <f>SUM(ERP_2[[#This Row],[2026 AP01]:[2026 AP12]])</f>
        <v>-664963</v>
      </c>
    </row>
    <row r="207" spans="1:72" ht="15" hidden="1" customHeight="1">
      <c r="A207" s="79" t="s">
        <v>2500</v>
      </c>
      <c r="B207" s="79"/>
      <c r="C207" s="79" t="s">
        <v>833</v>
      </c>
      <c r="D207" s="296" t="s">
        <v>833</v>
      </c>
      <c r="E207" s="150" t="s">
        <v>1136</v>
      </c>
      <c r="F207" s="482" t="s">
        <v>1566</v>
      </c>
      <c r="G207" s="150" t="s">
        <v>1135</v>
      </c>
      <c r="H207" s="150" t="s">
        <v>1135</v>
      </c>
      <c r="I207" s="332" t="s">
        <v>1135</v>
      </c>
      <c r="J207" s="383" t="s">
        <v>1135</v>
      </c>
      <c r="K207" s="331" t="s">
        <v>1137</v>
      </c>
      <c r="L207" s="512" t="s">
        <v>639</v>
      </c>
      <c r="M207" s="393" t="s">
        <v>2501</v>
      </c>
      <c r="N207" s="343" t="s">
        <v>2484</v>
      </c>
      <c r="O207" s="150" t="s">
        <v>1171</v>
      </c>
      <c r="P207" s="91" t="s">
        <v>834</v>
      </c>
      <c r="Q207" s="343"/>
      <c r="R207" s="346" t="s">
        <v>2502</v>
      </c>
      <c r="S207" s="346" t="s">
        <v>1710</v>
      </c>
      <c r="T207" s="386" t="s">
        <v>826</v>
      </c>
      <c r="U207" s="346" t="s">
        <v>2496</v>
      </c>
      <c r="V207" s="437"/>
      <c r="W207" s="358">
        <v>663273</v>
      </c>
      <c r="X207" s="378">
        <v>0</v>
      </c>
      <c r="Y207" s="425"/>
      <c r="Z207" s="71"/>
      <c r="AA207" s="433"/>
      <c r="AB207" s="434"/>
      <c r="AC207" s="434"/>
      <c r="AD207" s="428">
        <v>0</v>
      </c>
      <c r="AE207" s="429">
        <v>0</v>
      </c>
      <c r="AF207" s="429">
        <v>0</v>
      </c>
      <c r="AG207" s="388">
        <v>0</v>
      </c>
      <c r="AH207" s="388">
        <v>0</v>
      </c>
      <c r="AI207" s="388">
        <v>0</v>
      </c>
      <c r="AJ207" s="388">
        <v>0</v>
      </c>
      <c r="AK207" s="388">
        <v>0</v>
      </c>
      <c r="AL207" s="388">
        <v>0</v>
      </c>
      <c r="AM207" s="360">
        <f t="shared" si="7"/>
        <v>0</v>
      </c>
      <c r="AN207" s="362">
        <f>ERP_2[[#This Row],[2026 Working Total]]-ERP_2[[#This Row],[LE2 Final Submission]]</f>
        <v>0</v>
      </c>
      <c r="AO207" s="79">
        <v>0</v>
      </c>
      <c r="AP207" s="79">
        <f t="shared" si="8"/>
        <v>0</v>
      </c>
      <c r="AQ207" s="374">
        <f>SUM(ERP_2[[#This Row],[AP01]:[AP06]])-SUM(ERP_2[[#This Row],[AP01 LE2]:[AP06 LE2]])</f>
        <v>0</v>
      </c>
      <c r="AR207" s="80"/>
      <c r="AS207" s="79">
        <f>ERP_2[[#This Row],[2026 Working Total to Budget/LE]]-ERP_2[[#This Row],[Giveback]]</f>
        <v>0</v>
      </c>
      <c r="AT207" s="81"/>
      <c r="AU207" s="375"/>
      <c r="AV207" s="375"/>
      <c r="AW207" s="375"/>
      <c r="AX207" s="375">
        <v>0</v>
      </c>
      <c r="AY207" s="375">
        <v>0</v>
      </c>
      <c r="AZ207" s="375">
        <v>0</v>
      </c>
      <c r="BA207" s="375">
        <v>0</v>
      </c>
      <c r="BB207" s="375">
        <v>0</v>
      </c>
      <c r="BC207" s="375">
        <v>0</v>
      </c>
      <c r="BD207" s="375">
        <v>0</v>
      </c>
      <c r="BE207" s="375">
        <v>0</v>
      </c>
      <c r="BF207" s="375">
        <v>0</v>
      </c>
      <c r="BG207" s="375">
        <v>0</v>
      </c>
      <c r="BH207" s="103">
        <v>663273</v>
      </c>
      <c r="BI207" s="103">
        <v>0</v>
      </c>
      <c r="BJ207" s="103">
        <v>0</v>
      </c>
      <c r="BK207" s="103">
        <v>0</v>
      </c>
      <c r="BL207" s="103">
        <v>0</v>
      </c>
      <c r="BM207" s="103">
        <v>0</v>
      </c>
      <c r="BN207" s="103">
        <v>0</v>
      </c>
      <c r="BO207" s="103">
        <v>0</v>
      </c>
      <c r="BP207" s="103">
        <v>0</v>
      </c>
      <c r="BQ207" s="103">
        <v>0</v>
      </c>
      <c r="BR207" s="103">
        <v>0</v>
      </c>
      <c r="BS207" s="103">
        <v>0</v>
      </c>
      <c r="BT207" s="79">
        <f>SUM(ERP_2[[#This Row],[2026 AP01]:[2026 AP12]])</f>
        <v>663273</v>
      </c>
    </row>
    <row r="208" spans="1:72" ht="15" hidden="1" customHeight="1">
      <c r="A208" s="79" t="s">
        <v>2503</v>
      </c>
      <c r="B208" s="79"/>
      <c r="C208" s="79" t="s">
        <v>835</v>
      </c>
      <c r="D208" s="296" t="s">
        <v>835</v>
      </c>
      <c r="E208" s="150" t="s">
        <v>1136</v>
      </c>
      <c r="F208" s="482" t="s">
        <v>1566</v>
      </c>
      <c r="G208" s="150" t="s">
        <v>1135</v>
      </c>
      <c r="H208" s="150" t="s">
        <v>1135</v>
      </c>
      <c r="I208" s="332" t="s">
        <v>1135</v>
      </c>
      <c r="J208" s="382" t="s">
        <v>1135</v>
      </c>
      <c r="K208" s="331" t="s">
        <v>1137</v>
      </c>
      <c r="L208" s="512" t="s">
        <v>639</v>
      </c>
      <c r="M208" s="394" t="s">
        <v>2504</v>
      </c>
      <c r="N208" s="343" t="s">
        <v>2484</v>
      </c>
      <c r="O208" s="150" t="s">
        <v>1171</v>
      </c>
      <c r="P208" s="122" t="s">
        <v>836</v>
      </c>
      <c r="Q208" s="343"/>
      <c r="R208" s="346" t="s">
        <v>2502</v>
      </c>
      <c r="S208" s="346" t="s">
        <v>1710</v>
      </c>
      <c r="T208" s="384" t="s">
        <v>826</v>
      </c>
      <c r="U208" s="346" t="s">
        <v>2499</v>
      </c>
      <c r="V208" s="437"/>
      <c r="W208" s="358">
        <v>-663273</v>
      </c>
      <c r="X208" s="378">
        <v>0</v>
      </c>
      <c r="Y208" s="430"/>
      <c r="Z208" s="137"/>
      <c r="AA208" s="433"/>
      <c r="AB208" s="434"/>
      <c r="AC208" s="434"/>
      <c r="AD208" s="428" t="s">
        <v>1142</v>
      </c>
      <c r="AE208" s="429">
        <v>0</v>
      </c>
      <c r="AF208" s="429">
        <v>0</v>
      </c>
      <c r="AG208" s="388">
        <v>0</v>
      </c>
      <c r="AH208" s="388">
        <v>0</v>
      </c>
      <c r="AI208" s="388">
        <v>0</v>
      </c>
      <c r="AJ208" s="388">
        <v>0</v>
      </c>
      <c r="AK208" s="388">
        <v>0</v>
      </c>
      <c r="AL208" s="388">
        <v>0</v>
      </c>
      <c r="AM208" s="360">
        <f t="shared" si="7"/>
        <v>0</v>
      </c>
      <c r="AN208" s="362">
        <f>ERP_2[[#This Row],[2026 Working Total]]-ERP_2[[#This Row],[LE2 Final Submission]]</f>
        <v>0</v>
      </c>
      <c r="AO208" s="79">
        <v>0</v>
      </c>
      <c r="AP208" s="79">
        <f t="shared" si="8"/>
        <v>0</v>
      </c>
      <c r="AQ208" s="374">
        <f>SUM(ERP_2[[#This Row],[AP01]:[AP06]])-SUM(ERP_2[[#This Row],[AP01 LE2]:[AP06 LE2]])</f>
        <v>0</v>
      </c>
      <c r="AR208" s="80"/>
      <c r="AS208" s="79">
        <f>ERP_2[[#This Row],[2026 Working Total to Budget/LE]]-ERP_2[[#This Row],[Giveback]]</f>
        <v>0</v>
      </c>
      <c r="AT208" s="81"/>
      <c r="AU208" s="375"/>
      <c r="AV208" s="375"/>
      <c r="AW208" s="375"/>
      <c r="AX208" s="375">
        <v>0</v>
      </c>
      <c r="AY208" s="375">
        <v>0</v>
      </c>
      <c r="AZ208" s="375">
        <v>0</v>
      </c>
      <c r="BA208" s="375">
        <v>0</v>
      </c>
      <c r="BB208" s="375">
        <v>0</v>
      </c>
      <c r="BC208" s="375">
        <v>0</v>
      </c>
      <c r="BD208" s="375">
        <v>0</v>
      </c>
      <c r="BE208" s="375">
        <v>0</v>
      </c>
      <c r="BF208" s="375">
        <v>0</v>
      </c>
      <c r="BG208" s="375">
        <v>0</v>
      </c>
      <c r="BH208" s="103">
        <v>-663273</v>
      </c>
      <c r="BI208" s="103">
        <v>0</v>
      </c>
      <c r="BJ208" s="103">
        <v>0</v>
      </c>
      <c r="BK208" s="103">
        <v>0</v>
      </c>
      <c r="BL208" s="103">
        <v>0</v>
      </c>
      <c r="BM208" s="103">
        <v>0</v>
      </c>
      <c r="BN208" s="103">
        <v>0</v>
      </c>
      <c r="BO208" s="103">
        <v>0</v>
      </c>
      <c r="BP208" s="103">
        <v>0</v>
      </c>
      <c r="BQ208" s="103">
        <v>0</v>
      </c>
      <c r="BR208" s="103">
        <v>0</v>
      </c>
      <c r="BS208" s="103">
        <v>0</v>
      </c>
      <c r="BT208" s="79">
        <f>SUM(ERP_2[[#This Row],[2026 AP01]:[2026 AP12]])</f>
        <v>-663273</v>
      </c>
    </row>
    <row r="209" spans="1:72" ht="15" hidden="1" customHeight="1">
      <c r="A209" s="66" t="s">
        <v>2505</v>
      </c>
      <c r="B209" s="66"/>
      <c r="C209" s="66" t="s">
        <v>837</v>
      </c>
      <c r="D209" s="66" t="s">
        <v>837</v>
      </c>
      <c r="E209" s="150" t="s">
        <v>1136</v>
      </c>
      <c r="F209" s="482" t="s">
        <v>1566</v>
      </c>
      <c r="G209" s="150" t="s">
        <v>1135</v>
      </c>
      <c r="H209" s="150" t="s">
        <v>1135</v>
      </c>
      <c r="I209" s="150" t="s">
        <v>1135</v>
      </c>
      <c r="J209" s="150" t="s">
        <v>1135</v>
      </c>
      <c r="K209" s="150" t="s">
        <v>1137</v>
      </c>
      <c r="L209" s="511" t="s">
        <v>639</v>
      </c>
      <c r="M209" s="392" t="s">
        <v>2506</v>
      </c>
      <c r="N209" s="343"/>
      <c r="O209" s="343"/>
      <c r="P209" s="70" t="s">
        <v>838</v>
      </c>
      <c r="Q209" s="346"/>
      <c r="R209" s="343"/>
      <c r="S209" s="346"/>
      <c r="T209" s="150" t="s">
        <v>605</v>
      </c>
      <c r="U209" s="150"/>
      <c r="V209" s="403"/>
      <c r="W209" s="406">
        <v>107212</v>
      </c>
      <c r="X209" s="406">
        <v>107212</v>
      </c>
      <c r="Y209" s="425"/>
      <c r="Z209" s="71"/>
      <c r="AA209" s="426"/>
      <c r="AB209" s="427"/>
      <c r="AC209" s="427"/>
      <c r="AD209" s="428" t="s">
        <v>1142</v>
      </c>
      <c r="AE209" s="429">
        <v>0</v>
      </c>
      <c r="AF209" s="429">
        <v>0</v>
      </c>
      <c r="AG209" s="360">
        <v>0</v>
      </c>
      <c r="AH209" s="360">
        <v>0</v>
      </c>
      <c r="AI209" s="360">
        <v>0</v>
      </c>
      <c r="AJ209" s="360">
        <v>0</v>
      </c>
      <c r="AK209" s="360">
        <v>0</v>
      </c>
      <c r="AL209" s="360">
        <v>0</v>
      </c>
      <c r="AM209" s="360">
        <f t="shared" si="7"/>
        <v>0</v>
      </c>
      <c r="AN209" s="362">
        <f>ERP_2[[#This Row],[2026 Working Total]]-ERP_2[[#This Row],[LE2 Final Submission]]</f>
        <v>-107212</v>
      </c>
      <c r="AO209" s="79">
        <v>107212</v>
      </c>
      <c r="AP209" s="79">
        <f t="shared" si="8"/>
        <v>-107212</v>
      </c>
      <c r="AQ209" s="374">
        <f>SUM(ERP_2[[#This Row],[AP01]:[AP06]])-SUM(ERP_2[[#This Row],[AP01 LE2]:[AP06 LE2]])</f>
        <v>-107212</v>
      </c>
      <c r="AR209" s="80"/>
      <c r="AS209" s="79">
        <f>ERP_2[[#This Row],[2026 Working Total to Budget/LE]]-ERP_2[[#This Row],[Giveback]]</f>
        <v>-107212</v>
      </c>
      <c r="AT209" s="81"/>
      <c r="AU209" s="375"/>
      <c r="AV209" s="375"/>
      <c r="AW209" s="375"/>
      <c r="AX209" s="375"/>
      <c r="AY209" s="375">
        <v>107212</v>
      </c>
      <c r="AZ209" s="375">
        <v>0</v>
      </c>
      <c r="BA209" s="375">
        <v>0</v>
      </c>
      <c r="BB209" s="375">
        <v>0</v>
      </c>
      <c r="BC209" s="375">
        <v>0</v>
      </c>
      <c r="BD209" s="375">
        <v>0</v>
      </c>
      <c r="BE209" s="375">
        <v>0</v>
      </c>
      <c r="BF209" s="375">
        <v>0</v>
      </c>
      <c r="BG209" s="375">
        <v>107212</v>
      </c>
      <c r="BH209" s="79"/>
      <c r="BI209" s="79"/>
      <c r="BJ209" s="79"/>
      <c r="BK209" s="79"/>
      <c r="BL209" s="79">
        <v>107212</v>
      </c>
      <c r="BM209" s="79">
        <v>0</v>
      </c>
      <c r="BN209" s="79">
        <v>0</v>
      </c>
      <c r="BO209" s="79">
        <v>0</v>
      </c>
      <c r="BP209" s="79">
        <v>0</v>
      </c>
      <c r="BQ209" s="79">
        <v>0</v>
      </c>
      <c r="BR209" s="79">
        <v>0</v>
      </c>
      <c r="BS209" s="79">
        <v>0</v>
      </c>
      <c r="BT209" s="79">
        <v>107212</v>
      </c>
    </row>
    <row r="210" spans="1:72" ht="15" hidden="1" customHeight="1">
      <c r="A210" s="66" t="s">
        <v>2507</v>
      </c>
      <c r="B210" s="66"/>
      <c r="C210" s="66" t="s">
        <v>839</v>
      </c>
      <c r="D210" s="66" t="s">
        <v>839</v>
      </c>
      <c r="E210" s="150" t="s">
        <v>1136</v>
      </c>
      <c r="F210" s="482" t="s">
        <v>1566</v>
      </c>
      <c r="G210" s="150" t="s">
        <v>1135</v>
      </c>
      <c r="H210" s="150" t="s">
        <v>1135</v>
      </c>
      <c r="I210" s="150" t="s">
        <v>1135</v>
      </c>
      <c r="J210" s="150" t="s">
        <v>1135</v>
      </c>
      <c r="K210" s="150" t="s">
        <v>1137</v>
      </c>
      <c r="L210" s="511" t="s">
        <v>639</v>
      </c>
      <c r="M210" s="392" t="s">
        <v>2508</v>
      </c>
      <c r="N210" s="343" t="s">
        <v>1231</v>
      </c>
      <c r="O210" s="346" t="s">
        <v>1171</v>
      </c>
      <c r="P210" s="70" t="s">
        <v>840</v>
      </c>
      <c r="Q210" s="346"/>
      <c r="R210" s="346" t="s">
        <v>2509</v>
      </c>
      <c r="S210" s="346"/>
      <c r="T210" s="150" t="s">
        <v>605</v>
      </c>
      <c r="U210" s="150" t="s">
        <v>2340</v>
      </c>
      <c r="V210" s="403"/>
      <c r="W210" s="406">
        <v>1155056.04</v>
      </c>
      <c r="X210" s="406">
        <v>1155043.3</v>
      </c>
      <c r="Y210" s="425"/>
      <c r="Z210" s="71"/>
      <c r="AA210" s="426">
        <v>1155005.0900000001</v>
      </c>
      <c r="AB210" s="427">
        <v>-962504.24</v>
      </c>
      <c r="AC210" s="427">
        <v>96250.42</v>
      </c>
      <c r="AD210" s="428">
        <v>0</v>
      </c>
      <c r="AE210" s="429">
        <v>192500.84</v>
      </c>
      <c r="AF210" s="429">
        <v>96250.42</v>
      </c>
      <c r="AG210" s="363">
        <f>96254.67-96254.67</f>
        <v>0</v>
      </c>
      <c r="AH210" s="363">
        <f>96254.67+96254.67</f>
        <v>192509.34</v>
      </c>
      <c r="AI210" s="363">
        <v>96254.67</v>
      </c>
      <c r="AJ210" s="363">
        <f>96254.67-96254.67</f>
        <v>0</v>
      </c>
      <c r="AK210" s="363">
        <f>96254.67+96254.67</f>
        <v>192509.34</v>
      </c>
      <c r="AL210" s="363">
        <v>96254.67</v>
      </c>
      <c r="AM210" s="360">
        <f t="shared" si="7"/>
        <v>1155030.55</v>
      </c>
      <c r="AN210" s="362">
        <f>ERP_2[[#This Row],[2026 Working Total]]-ERP_2[[#This Row],[LE2 Final Submission]]</f>
        <v>-12.75</v>
      </c>
      <c r="AO210" s="79">
        <v>192509.34</v>
      </c>
      <c r="AP210" s="79">
        <f t="shared" si="8"/>
        <v>-96258.92</v>
      </c>
      <c r="AQ210" s="374">
        <f>SUM(ERP_2[[#This Row],[AP01]:[AP06]])-SUM(ERP_2[[#This Row],[AP01 LE2]:[AP06 LE2]])</f>
        <v>-12.75</v>
      </c>
      <c r="AR210" s="80"/>
      <c r="AS210" s="79">
        <f>ERP_2[[#This Row],[2026 Working Total to Budget/LE]]-ERP_2[[#This Row],[Giveback]]</f>
        <v>-12.75</v>
      </c>
      <c r="AT210" s="81"/>
      <c r="AU210" s="375">
        <v>1155005.0900000001</v>
      </c>
      <c r="AV210" s="375">
        <v>-962504.24</v>
      </c>
      <c r="AW210" s="375">
        <v>96250.42</v>
      </c>
      <c r="AX210" s="375">
        <v>0</v>
      </c>
      <c r="AY210" s="375">
        <v>192509.34</v>
      </c>
      <c r="AZ210" s="375">
        <v>96254.67</v>
      </c>
      <c r="BA210" s="375">
        <v>0</v>
      </c>
      <c r="BB210" s="375">
        <v>192509.34</v>
      </c>
      <c r="BC210" s="375">
        <v>96254.67</v>
      </c>
      <c r="BD210" s="375">
        <v>0</v>
      </c>
      <c r="BE210" s="375">
        <v>192509.34</v>
      </c>
      <c r="BF210" s="375">
        <v>96254.67</v>
      </c>
      <c r="BG210" s="375">
        <v>1155043.3</v>
      </c>
      <c r="BH210" s="79">
        <v>1155005.0900000001</v>
      </c>
      <c r="BI210" s="79">
        <v>-962504.24</v>
      </c>
      <c r="BJ210" s="79">
        <v>96250.42</v>
      </c>
      <c r="BK210" s="79">
        <v>96254.67</v>
      </c>
      <c r="BL210" s="79">
        <v>96254.67</v>
      </c>
      <c r="BM210" s="79">
        <v>96254.67</v>
      </c>
      <c r="BN210" s="79">
        <v>96254.67</v>
      </c>
      <c r="BO210" s="79">
        <v>96254.67</v>
      </c>
      <c r="BP210" s="79">
        <v>96254.67</v>
      </c>
      <c r="BQ210" s="79">
        <v>96254.67</v>
      </c>
      <c r="BR210" s="79">
        <v>96254.67</v>
      </c>
      <c r="BS210" s="79">
        <v>96254.67</v>
      </c>
      <c r="BT210" s="79">
        <v>1155043.3</v>
      </c>
    </row>
    <row r="211" spans="1:72" ht="15" hidden="1" customHeight="1">
      <c r="A211" s="66" t="s">
        <v>2510</v>
      </c>
      <c r="B211" s="66"/>
      <c r="C211" s="66" t="s">
        <v>841</v>
      </c>
      <c r="D211" s="66" t="s">
        <v>841</v>
      </c>
      <c r="E211" s="150" t="s">
        <v>1136</v>
      </c>
      <c r="F211" s="482" t="s">
        <v>1566</v>
      </c>
      <c r="G211" s="150" t="s">
        <v>1135</v>
      </c>
      <c r="H211" s="150" t="s">
        <v>1135</v>
      </c>
      <c r="I211" s="150" t="s">
        <v>1135</v>
      </c>
      <c r="J211" s="150" t="s">
        <v>1135</v>
      </c>
      <c r="K211" s="150" t="s">
        <v>1137</v>
      </c>
      <c r="L211" s="511" t="s">
        <v>639</v>
      </c>
      <c r="M211" s="392" t="s">
        <v>2511</v>
      </c>
      <c r="N211" s="343" t="s">
        <v>1231</v>
      </c>
      <c r="O211" s="346" t="s">
        <v>1171</v>
      </c>
      <c r="P211" s="70" t="s">
        <v>842</v>
      </c>
      <c r="Q211" s="346"/>
      <c r="R211" s="346" t="s">
        <v>2339</v>
      </c>
      <c r="S211" s="346"/>
      <c r="T211" s="150" t="s">
        <v>843</v>
      </c>
      <c r="U211" s="150" t="s">
        <v>2340</v>
      </c>
      <c r="V211" s="403"/>
      <c r="W211" s="406">
        <v>3290595.8399999994</v>
      </c>
      <c r="X211" s="406">
        <v>3254950.82</v>
      </c>
      <c r="Y211" s="430"/>
      <c r="Z211" s="137"/>
      <c r="AA211" s="426">
        <v>3254947.27</v>
      </c>
      <c r="AB211" s="427">
        <v>-2712456.06</v>
      </c>
      <c r="AC211" s="427">
        <v>271245.61</v>
      </c>
      <c r="AD211" s="428" t="s">
        <v>1142</v>
      </c>
      <c r="AE211" s="429">
        <v>0</v>
      </c>
      <c r="AF211" s="429">
        <v>0</v>
      </c>
      <c r="AG211" s="363">
        <f>271246-271246</f>
        <v>0</v>
      </c>
      <c r="AH211" s="363">
        <f>271246+271246</f>
        <v>542492</v>
      </c>
      <c r="AI211" s="363">
        <v>271246</v>
      </c>
      <c r="AJ211" s="363">
        <f>271246-271246</f>
        <v>0</v>
      </c>
      <c r="AK211" s="363">
        <f>271246+271246</f>
        <v>542492</v>
      </c>
      <c r="AL211" s="363">
        <v>271246</v>
      </c>
      <c r="AM211" s="360">
        <f t="shared" si="7"/>
        <v>2441212.8199999998</v>
      </c>
      <c r="AN211" s="362">
        <f>ERP_2[[#This Row],[2026 Working Total]]-ERP_2[[#This Row],[LE2 Final Submission]]</f>
        <v>-813738</v>
      </c>
      <c r="AO211" s="79">
        <v>542492</v>
      </c>
      <c r="AP211" s="79">
        <f t="shared" si="8"/>
        <v>-542492</v>
      </c>
      <c r="AQ211" s="374">
        <f>SUM(ERP_2[[#This Row],[AP01]:[AP06]])-SUM(ERP_2[[#This Row],[AP01 LE2]:[AP06 LE2]])</f>
        <v>-813737.99999999988</v>
      </c>
      <c r="AR211" s="80"/>
      <c r="AS211" s="79">
        <f>ERP_2[[#This Row],[2026 Working Total to Budget/LE]]-ERP_2[[#This Row],[Giveback]]</f>
        <v>-813738</v>
      </c>
      <c r="AT211" s="81"/>
      <c r="AU211" s="375">
        <v>3254947.27</v>
      </c>
      <c r="AV211" s="375">
        <v>-2712456.06</v>
      </c>
      <c r="AW211" s="375">
        <v>271245.61</v>
      </c>
      <c r="AX211" s="375">
        <v>0</v>
      </c>
      <c r="AY211" s="375">
        <v>542492</v>
      </c>
      <c r="AZ211" s="375">
        <v>271246</v>
      </c>
      <c r="BA211" s="375">
        <v>0</v>
      </c>
      <c r="BB211" s="375">
        <v>542492</v>
      </c>
      <c r="BC211" s="375">
        <v>271246</v>
      </c>
      <c r="BD211" s="375">
        <v>0</v>
      </c>
      <c r="BE211" s="375">
        <v>542492</v>
      </c>
      <c r="BF211" s="375">
        <v>271246</v>
      </c>
      <c r="BG211" s="375">
        <v>3254950.82</v>
      </c>
      <c r="BH211" s="79">
        <v>3254947.27</v>
      </c>
      <c r="BI211" s="79">
        <v>-2712456.06</v>
      </c>
      <c r="BJ211" s="79">
        <v>271245.61</v>
      </c>
      <c r="BK211" s="79">
        <v>271246</v>
      </c>
      <c r="BL211" s="79">
        <v>271246</v>
      </c>
      <c r="BM211" s="79">
        <v>271246</v>
      </c>
      <c r="BN211" s="79">
        <v>271246</v>
      </c>
      <c r="BO211" s="79">
        <v>271246</v>
      </c>
      <c r="BP211" s="79">
        <v>271246</v>
      </c>
      <c r="BQ211" s="79">
        <v>271246</v>
      </c>
      <c r="BR211" s="79">
        <v>271246</v>
      </c>
      <c r="BS211" s="79">
        <v>271246</v>
      </c>
      <c r="BT211" s="79">
        <v>3254950.82</v>
      </c>
    </row>
    <row r="212" spans="1:72" ht="15" hidden="1" customHeight="1">
      <c r="A212" s="79" t="s">
        <v>2512</v>
      </c>
      <c r="B212" s="79"/>
      <c r="C212" s="79" t="s">
        <v>844</v>
      </c>
      <c r="D212" s="296" t="s">
        <v>2513</v>
      </c>
      <c r="E212" s="150" t="s">
        <v>1136</v>
      </c>
      <c r="F212" s="482" t="s">
        <v>1566</v>
      </c>
      <c r="G212" s="150" t="s">
        <v>1135</v>
      </c>
      <c r="H212" s="383" t="s">
        <v>1145</v>
      </c>
      <c r="I212" s="332" t="s">
        <v>1135</v>
      </c>
      <c r="J212" s="383" t="s">
        <v>1145</v>
      </c>
      <c r="K212" s="331" t="s">
        <v>1137</v>
      </c>
      <c r="L212" s="512" t="s">
        <v>639</v>
      </c>
      <c r="M212" s="393" t="s">
        <v>2514</v>
      </c>
      <c r="N212" s="343"/>
      <c r="O212" s="150" t="s">
        <v>1186</v>
      </c>
      <c r="P212" s="91" t="s">
        <v>607</v>
      </c>
      <c r="Q212" s="346" t="s">
        <v>1153</v>
      </c>
      <c r="R212" s="346" t="s">
        <v>2154</v>
      </c>
      <c r="S212" s="346" t="s">
        <v>1710</v>
      </c>
      <c r="T212" s="386" t="s">
        <v>608</v>
      </c>
      <c r="U212" s="346" t="s">
        <v>1779</v>
      </c>
      <c r="V212" s="437"/>
      <c r="W212" s="358">
        <v>11125</v>
      </c>
      <c r="X212" s="378">
        <v>0</v>
      </c>
      <c r="Y212" s="425"/>
      <c r="Z212" s="71"/>
      <c r="AA212" s="433"/>
      <c r="AB212" s="434"/>
      <c r="AC212" s="434"/>
      <c r="AD212" s="428" t="s">
        <v>1142</v>
      </c>
      <c r="AE212" s="429">
        <v>0</v>
      </c>
      <c r="AF212" s="429">
        <v>0</v>
      </c>
      <c r="AG212" s="388">
        <v>0</v>
      </c>
      <c r="AH212" s="388">
        <v>0</v>
      </c>
      <c r="AI212" s="388">
        <v>0</v>
      </c>
      <c r="AJ212" s="388">
        <v>0</v>
      </c>
      <c r="AK212" s="388">
        <v>0</v>
      </c>
      <c r="AL212" s="388">
        <v>0</v>
      </c>
      <c r="AM212" s="360">
        <f t="shared" si="7"/>
        <v>0</v>
      </c>
      <c r="AN212" s="362">
        <f>ERP_2[[#This Row],[2026 Working Total]]-ERP_2[[#This Row],[LE2 Final Submission]]</f>
        <v>0</v>
      </c>
      <c r="AO212" s="79">
        <v>0</v>
      </c>
      <c r="AP212" s="79">
        <f t="shared" si="8"/>
        <v>0</v>
      </c>
      <c r="AQ212" s="374">
        <f>SUM(ERP_2[[#This Row],[AP01]:[AP06]])-SUM(ERP_2[[#This Row],[AP01 LE2]:[AP06 LE2]])</f>
        <v>0</v>
      </c>
      <c r="AR212" s="80"/>
      <c r="AS212" s="79">
        <f>ERP_2[[#This Row],[2026 Working Total to Budget/LE]]-ERP_2[[#This Row],[Giveback]]</f>
        <v>0</v>
      </c>
      <c r="AT212" s="81"/>
      <c r="AU212" s="375"/>
      <c r="AV212" s="375"/>
      <c r="AW212" s="375"/>
      <c r="AX212" s="375">
        <v>0</v>
      </c>
      <c r="AY212" s="375">
        <v>0</v>
      </c>
      <c r="AZ212" s="375">
        <v>0</v>
      </c>
      <c r="BA212" s="375">
        <v>0</v>
      </c>
      <c r="BB212" s="375">
        <v>0</v>
      </c>
      <c r="BC212" s="375">
        <v>0</v>
      </c>
      <c r="BD212" s="375">
        <v>0</v>
      </c>
      <c r="BE212" s="375">
        <v>0</v>
      </c>
      <c r="BF212" s="375">
        <v>0</v>
      </c>
      <c r="BG212" s="375">
        <v>0</v>
      </c>
      <c r="BH212" s="103">
        <v>11125</v>
      </c>
      <c r="BI212" s="103">
        <v>0</v>
      </c>
      <c r="BJ212" s="103">
        <v>0</v>
      </c>
      <c r="BK212" s="103">
        <v>0</v>
      </c>
      <c r="BL212" s="103">
        <v>0</v>
      </c>
      <c r="BM212" s="103">
        <v>0</v>
      </c>
      <c r="BN212" s="103">
        <v>0</v>
      </c>
      <c r="BO212" s="103">
        <v>0</v>
      </c>
      <c r="BP212" s="103">
        <v>0</v>
      </c>
      <c r="BQ212" s="103">
        <v>0</v>
      </c>
      <c r="BR212" s="103">
        <v>0</v>
      </c>
      <c r="BS212" s="103">
        <v>0</v>
      </c>
      <c r="BT212" s="79">
        <f>SUM(ERP_2[[#This Row],[2026 AP01]:[2026 AP12]])</f>
        <v>11125</v>
      </c>
    </row>
    <row r="213" spans="1:72" ht="15" hidden="1" customHeight="1">
      <c r="A213" s="79" t="s">
        <v>2515</v>
      </c>
      <c r="B213" s="79"/>
      <c r="C213" s="79" t="s">
        <v>845</v>
      </c>
      <c r="D213" s="296" t="s">
        <v>2516</v>
      </c>
      <c r="E213" s="150" t="s">
        <v>1136</v>
      </c>
      <c r="F213" s="482" t="s">
        <v>1566</v>
      </c>
      <c r="G213" s="150" t="s">
        <v>1135</v>
      </c>
      <c r="H213" s="383" t="s">
        <v>1145</v>
      </c>
      <c r="I213" s="332" t="s">
        <v>1135</v>
      </c>
      <c r="J213" s="383" t="s">
        <v>1145</v>
      </c>
      <c r="K213" s="331" t="s">
        <v>1137</v>
      </c>
      <c r="L213" s="512" t="s">
        <v>639</v>
      </c>
      <c r="M213" s="393" t="s">
        <v>2517</v>
      </c>
      <c r="N213" s="343" t="s">
        <v>2484</v>
      </c>
      <c r="O213" s="150" t="s">
        <v>1186</v>
      </c>
      <c r="P213" s="91" t="s">
        <v>846</v>
      </c>
      <c r="Q213" s="343"/>
      <c r="R213" s="346" t="s">
        <v>2154</v>
      </c>
      <c r="S213" s="346" t="s">
        <v>1710</v>
      </c>
      <c r="T213" s="386" t="s">
        <v>608</v>
      </c>
      <c r="U213" s="346" t="s">
        <v>1348</v>
      </c>
      <c r="V213" s="437"/>
      <c r="W213" s="358">
        <v>-11125</v>
      </c>
      <c r="X213" s="378">
        <v>0</v>
      </c>
      <c r="Y213" s="425"/>
      <c r="Z213" s="71"/>
      <c r="AA213" s="433"/>
      <c r="AB213" s="434"/>
      <c r="AC213" s="434"/>
      <c r="AD213" s="428" t="s">
        <v>1142</v>
      </c>
      <c r="AE213" s="429">
        <v>0</v>
      </c>
      <c r="AF213" s="429">
        <v>0</v>
      </c>
      <c r="AG213" s="388">
        <v>0</v>
      </c>
      <c r="AH213" s="388">
        <v>0</v>
      </c>
      <c r="AI213" s="388">
        <v>0</v>
      </c>
      <c r="AJ213" s="388">
        <v>0</v>
      </c>
      <c r="AK213" s="388">
        <v>0</v>
      </c>
      <c r="AL213" s="388">
        <v>0</v>
      </c>
      <c r="AM213" s="360">
        <f t="shared" si="7"/>
        <v>0</v>
      </c>
      <c r="AN213" s="362">
        <f>ERP_2[[#This Row],[2026 Working Total]]-ERP_2[[#This Row],[LE2 Final Submission]]</f>
        <v>0</v>
      </c>
      <c r="AO213" s="79">
        <v>0</v>
      </c>
      <c r="AP213" s="79">
        <f t="shared" si="8"/>
        <v>0</v>
      </c>
      <c r="AQ213" s="374">
        <f>SUM(ERP_2[[#This Row],[AP01]:[AP06]])-SUM(ERP_2[[#This Row],[AP01 LE2]:[AP06 LE2]])</f>
        <v>0</v>
      </c>
      <c r="AR213" s="80"/>
      <c r="AS213" s="79">
        <f>ERP_2[[#This Row],[2026 Working Total to Budget/LE]]-ERP_2[[#This Row],[Giveback]]</f>
        <v>0</v>
      </c>
      <c r="AT213" s="81"/>
      <c r="AU213" s="375"/>
      <c r="AV213" s="375"/>
      <c r="AW213" s="375"/>
      <c r="AX213" s="375">
        <v>0</v>
      </c>
      <c r="AY213" s="375">
        <v>0</v>
      </c>
      <c r="AZ213" s="375">
        <v>0</v>
      </c>
      <c r="BA213" s="375">
        <v>0</v>
      </c>
      <c r="BB213" s="375">
        <v>0</v>
      </c>
      <c r="BC213" s="375">
        <v>0</v>
      </c>
      <c r="BD213" s="375">
        <v>0</v>
      </c>
      <c r="BE213" s="375">
        <v>0</v>
      </c>
      <c r="BF213" s="375">
        <v>0</v>
      </c>
      <c r="BG213" s="375">
        <v>0</v>
      </c>
      <c r="BH213" s="103">
        <v>-11125</v>
      </c>
      <c r="BI213" s="103">
        <v>0</v>
      </c>
      <c r="BJ213" s="103">
        <v>0</v>
      </c>
      <c r="BK213" s="103">
        <v>0</v>
      </c>
      <c r="BL213" s="103">
        <v>0</v>
      </c>
      <c r="BM213" s="103">
        <v>0</v>
      </c>
      <c r="BN213" s="103">
        <v>0</v>
      </c>
      <c r="BO213" s="103">
        <v>0</v>
      </c>
      <c r="BP213" s="103">
        <v>0</v>
      </c>
      <c r="BQ213" s="103">
        <v>0</v>
      </c>
      <c r="BR213" s="103">
        <v>0</v>
      </c>
      <c r="BS213" s="103">
        <v>0</v>
      </c>
      <c r="BT213" s="79">
        <f>SUM(ERP_2[[#This Row],[2026 AP01]:[2026 AP12]])</f>
        <v>-11125</v>
      </c>
    </row>
    <row r="214" spans="1:72" ht="15" hidden="1" customHeight="1">
      <c r="A214" s="66" t="s">
        <v>2518</v>
      </c>
      <c r="B214" s="66"/>
      <c r="C214" s="66" t="s">
        <v>847</v>
      </c>
      <c r="D214" s="66" t="s">
        <v>2519</v>
      </c>
      <c r="E214" s="150" t="s">
        <v>1136</v>
      </c>
      <c r="F214" s="482" t="s">
        <v>1566</v>
      </c>
      <c r="G214" s="150" t="s">
        <v>1135</v>
      </c>
      <c r="H214" s="150" t="s">
        <v>1145</v>
      </c>
      <c r="I214" s="150" t="s">
        <v>1135</v>
      </c>
      <c r="J214" s="150" t="s">
        <v>1145</v>
      </c>
      <c r="K214" s="150" t="s">
        <v>1137</v>
      </c>
      <c r="L214" s="511" t="s">
        <v>639</v>
      </c>
      <c r="M214" s="392" t="s">
        <v>2520</v>
      </c>
      <c r="N214" s="343"/>
      <c r="O214" s="346" t="s">
        <v>1186</v>
      </c>
      <c r="P214" s="70" t="s">
        <v>848</v>
      </c>
      <c r="Q214" s="346"/>
      <c r="R214" s="346" t="s">
        <v>1187</v>
      </c>
      <c r="S214" s="346"/>
      <c r="T214" s="150" t="s">
        <v>849</v>
      </c>
      <c r="U214" s="150" t="s">
        <v>2521</v>
      </c>
      <c r="V214" s="403"/>
      <c r="W214" s="406">
        <v>307237.74</v>
      </c>
      <c r="X214" s="406">
        <v>331713.26</v>
      </c>
      <c r="Y214" s="425"/>
      <c r="Z214" s="71"/>
      <c r="AA214" s="426">
        <v>67277.88</v>
      </c>
      <c r="AB214" s="427">
        <v>13527.14</v>
      </c>
      <c r="AC214" s="427">
        <v>16908.240000000002</v>
      </c>
      <c r="AD214" s="428">
        <v>36231.229999999996</v>
      </c>
      <c r="AE214" s="429">
        <v>37708.980000000003</v>
      </c>
      <c r="AF214" s="429">
        <v>0</v>
      </c>
      <c r="AG214" s="364">
        <v>47249</v>
      </c>
      <c r="AH214" s="363"/>
      <c r="AI214" s="364"/>
      <c r="AJ214" s="364">
        <v>47249</v>
      </c>
      <c r="AK214" s="360">
        <v>0</v>
      </c>
      <c r="AL214" s="364">
        <v>47249</v>
      </c>
      <c r="AM214" s="360">
        <f t="shared" si="7"/>
        <v>313400.46999999997</v>
      </c>
      <c r="AN214" s="362">
        <f>ERP_2[[#This Row],[2026 Working Total]]-ERP_2[[#This Row],[LE2 Final Submission]]</f>
        <v>-18312.790000000037</v>
      </c>
      <c r="AO214" s="79">
        <v>0</v>
      </c>
      <c r="AP214" s="79">
        <f t="shared" si="8"/>
        <v>0</v>
      </c>
      <c r="AQ214" s="374">
        <f>SUM(ERP_2[[#This Row],[AP01]:[AP06]])-SUM(ERP_2[[#This Row],[AP01 LE2]:[AP06 LE2]])</f>
        <v>-4059.7900000000081</v>
      </c>
      <c r="AR214" s="80"/>
      <c r="AS214" s="79">
        <f>ERP_2[[#This Row],[2026 Working Total to Budget/LE]]-ERP_2[[#This Row],[Giveback]]</f>
        <v>-18312.790000000037</v>
      </c>
      <c r="AT214" s="81"/>
      <c r="AU214" s="375">
        <v>67277.88</v>
      </c>
      <c r="AV214" s="375">
        <v>13527.14</v>
      </c>
      <c r="AW214" s="375">
        <v>16908.240000000002</v>
      </c>
      <c r="AX214" s="375">
        <v>0</v>
      </c>
      <c r="AY214" s="375">
        <v>0</v>
      </c>
      <c r="AZ214" s="375">
        <v>78000</v>
      </c>
      <c r="BA214" s="375">
        <v>0</v>
      </c>
      <c r="BB214" s="375">
        <v>0</v>
      </c>
      <c r="BC214" s="375">
        <v>78000</v>
      </c>
      <c r="BD214" s="375">
        <v>0</v>
      </c>
      <c r="BE214" s="375">
        <v>0</v>
      </c>
      <c r="BF214" s="375">
        <v>78000</v>
      </c>
      <c r="BG214" s="375">
        <v>331713.26</v>
      </c>
      <c r="BH214" s="79">
        <v>67277.88</v>
      </c>
      <c r="BI214" s="79">
        <v>13527.14</v>
      </c>
      <c r="BJ214" s="79">
        <v>16908.240000000002</v>
      </c>
      <c r="BK214" s="79">
        <v>0</v>
      </c>
      <c r="BL214" s="79">
        <v>0</v>
      </c>
      <c r="BM214" s="79">
        <v>78000</v>
      </c>
      <c r="BN214" s="79">
        <v>0</v>
      </c>
      <c r="BO214" s="79">
        <v>0</v>
      </c>
      <c r="BP214" s="79">
        <v>78000</v>
      </c>
      <c r="BQ214" s="79">
        <v>0</v>
      </c>
      <c r="BR214" s="79">
        <v>0</v>
      </c>
      <c r="BS214" s="79">
        <v>78000</v>
      </c>
      <c r="BT214" s="79">
        <v>331713.26</v>
      </c>
    </row>
    <row r="215" spans="1:72" ht="15" hidden="1" customHeight="1">
      <c r="A215" s="79" t="s">
        <v>2529</v>
      </c>
      <c r="B215" s="79"/>
      <c r="C215" s="79" t="s">
        <v>853</v>
      </c>
      <c r="D215" s="296" t="s">
        <v>2530</v>
      </c>
      <c r="E215" s="150" t="s">
        <v>1136</v>
      </c>
      <c r="F215" s="482" t="s">
        <v>1566</v>
      </c>
      <c r="G215" s="150" t="s">
        <v>1135</v>
      </c>
      <c r="H215" s="383" t="s">
        <v>1145</v>
      </c>
      <c r="I215" s="332" t="s">
        <v>1135</v>
      </c>
      <c r="J215" s="383" t="s">
        <v>1145</v>
      </c>
      <c r="K215" s="331" t="s">
        <v>1137</v>
      </c>
      <c r="L215" s="512" t="s">
        <v>639</v>
      </c>
      <c r="M215" s="393" t="s">
        <v>2531</v>
      </c>
      <c r="N215" s="343" t="s">
        <v>2532</v>
      </c>
      <c r="O215" s="150" t="s">
        <v>1186</v>
      </c>
      <c r="P215" s="91" t="s">
        <v>854</v>
      </c>
      <c r="Q215" s="343"/>
      <c r="R215" s="346" t="s">
        <v>1717</v>
      </c>
      <c r="S215" s="346" t="s">
        <v>1710</v>
      </c>
      <c r="T215" s="386" t="s">
        <v>368</v>
      </c>
      <c r="U215" s="346" t="s">
        <v>1348</v>
      </c>
      <c r="V215" s="437"/>
      <c r="W215" s="358">
        <v>40902.519999999997</v>
      </c>
      <c r="X215" s="378">
        <v>0</v>
      </c>
      <c r="Y215" s="425"/>
      <c r="Z215" s="71"/>
      <c r="AA215" s="433"/>
      <c r="AB215" s="434"/>
      <c r="AC215" s="434"/>
      <c r="AD215" s="428" t="s">
        <v>1142</v>
      </c>
      <c r="AE215" s="429">
        <v>0</v>
      </c>
      <c r="AF215" s="429">
        <v>0</v>
      </c>
      <c r="AG215" s="388">
        <v>0</v>
      </c>
      <c r="AH215" s="388">
        <v>0</v>
      </c>
      <c r="AI215" s="388">
        <v>0</v>
      </c>
      <c r="AJ215" s="388">
        <v>0</v>
      </c>
      <c r="AK215" s="388">
        <v>0</v>
      </c>
      <c r="AL215" s="388">
        <v>0</v>
      </c>
      <c r="AM215" s="360">
        <f t="shared" si="7"/>
        <v>0</v>
      </c>
      <c r="AN215" s="362">
        <f>ERP_2[[#This Row],[2026 Working Total]]-ERP_2[[#This Row],[LE2 Final Submission]]</f>
        <v>0</v>
      </c>
      <c r="AO215" s="79">
        <v>0</v>
      </c>
      <c r="AP215" s="79">
        <f t="shared" si="8"/>
        <v>0</v>
      </c>
      <c r="AQ215" s="374">
        <f>SUM(ERP_2[[#This Row],[AP01]:[AP06]])-SUM(ERP_2[[#This Row],[AP01 LE2]:[AP06 LE2]])</f>
        <v>0</v>
      </c>
      <c r="AR215" s="80"/>
      <c r="AS215" s="79">
        <f>ERP_2[[#This Row],[2026 Working Total to Budget/LE]]-ERP_2[[#This Row],[Giveback]]</f>
        <v>0</v>
      </c>
      <c r="AT215" s="81"/>
      <c r="AU215" s="375"/>
      <c r="AV215" s="375"/>
      <c r="AW215" s="375"/>
      <c r="AX215" s="375">
        <v>0</v>
      </c>
      <c r="AY215" s="375">
        <v>0</v>
      </c>
      <c r="AZ215" s="375">
        <v>0</v>
      </c>
      <c r="BA215" s="375">
        <v>0</v>
      </c>
      <c r="BB215" s="375">
        <v>0</v>
      </c>
      <c r="BC215" s="375">
        <v>0</v>
      </c>
      <c r="BD215" s="375">
        <v>0</v>
      </c>
      <c r="BE215" s="375">
        <v>0</v>
      </c>
      <c r="BF215" s="375">
        <v>0</v>
      </c>
      <c r="BG215" s="375">
        <v>0</v>
      </c>
      <c r="BH215" s="103">
        <v>40902.519999999997</v>
      </c>
      <c r="BI215" s="103">
        <v>0</v>
      </c>
      <c r="BJ215" s="103">
        <v>0</v>
      </c>
      <c r="BK215" s="103">
        <v>0</v>
      </c>
      <c r="BL215" s="103">
        <v>0</v>
      </c>
      <c r="BM215" s="103">
        <v>0</v>
      </c>
      <c r="BN215" s="103">
        <v>0</v>
      </c>
      <c r="BO215" s="103">
        <v>0</v>
      </c>
      <c r="BP215" s="103">
        <v>0</v>
      </c>
      <c r="BQ215" s="103">
        <v>0</v>
      </c>
      <c r="BR215" s="103">
        <v>0</v>
      </c>
      <c r="BS215" s="103">
        <v>0</v>
      </c>
      <c r="BT215" s="79">
        <f>SUM(ERP_2[[#This Row],[2026 AP01]:[2026 AP12]])</f>
        <v>40902.519999999997</v>
      </c>
    </row>
    <row r="216" spans="1:72" ht="15" hidden="1" customHeight="1">
      <c r="A216" s="79" t="s">
        <v>2533</v>
      </c>
      <c r="B216" s="79"/>
      <c r="C216" s="79" t="s">
        <v>855</v>
      </c>
      <c r="D216" s="296" t="s">
        <v>2534</v>
      </c>
      <c r="E216" s="150" t="s">
        <v>1136</v>
      </c>
      <c r="F216" s="482" t="s">
        <v>1566</v>
      </c>
      <c r="G216" s="150" t="s">
        <v>1135</v>
      </c>
      <c r="H216" s="383" t="s">
        <v>1145</v>
      </c>
      <c r="I216" s="332" t="s">
        <v>1135</v>
      </c>
      <c r="J216" s="383" t="s">
        <v>1145</v>
      </c>
      <c r="K216" s="331" t="s">
        <v>1137</v>
      </c>
      <c r="L216" s="512" t="s">
        <v>639</v>
      </c>
      <c r="M216" s="393" t="s">
        <v>2535</v>
      </c>
      <c r="N216" s="343" t="s">
        <v>2532</v>
      </c>
      <c r="O216" s="150" t="s">
        <v>1186</v>
      </c>
      <c r="P216" s="91" t="s">
        <v>856</v>
      </c>
      <c r="Q216" s="343"/>
      <c r="R216" s="346" t="s">
        <v>1717</v>
      </c>
      <c r="S216" s="346" t="s">
        <v>1710</v>
      </c>
      <c r="T216" s="386" t="s">
        <v>368</v>
      </c>
      <c r="U216" s="346" t="s">
        <v>1348</v>
      </c>
      <c r="V216" s="437"/>
      <c r="W216" s="358">
        <v>-40902.519999999997</v>
      </c>
      <c r="X216" s="378">
        <v>0</v>
      </c>
      <c r="Y216" s="425"/>
      <c r="Z216" s="71"/>
      <c r="AA216" s="433"/>
      <c r="AB216" s="434"/>
      <c r="AC216" s="434"/>
      <c r="AD216" s="428" t="s">
        <v>1142</v>
      </c>
      <c r="AE216" s="429">
        <v>0</v>
      </c>
      <c r="AF216" s="429">
        <v>0</v>
      </c>
      <c r="AG216" s="388">
        <v>0</v>
      </c>
      <c r="AH216" s="388">
        <v>0</v>
      </c>
      <c r="AI216" s="388">
        <v>0</v>
      </c>
      <c r="AJ216" s="388">
        <v>0</v>
      </c>
      <c r="AK216" s="388">
        <v>0</v>
      </c>
      <c r="AL216" s="388">
        <v>0</v>
      </c>
      <c r="AM216" s="360">
        <f t="shared" si="7"/>
        <v>0</v>
      </c>
      <c r="AN216" s="362">
        <f>ERP_2[[#This Row],[2026 Working Total]]-ERP_2[[#This Row],[LE2 Final Submission]]</f>
        <v>0</v>
      </c>
      <c r="AO216" s="79">
        <v>0</v>
      </c>
      <c r="AP216" s="79">
        <f t="shared" si="8"/>
        <v>0</v>
      </c>
      <c r="AQ216" s="374">
        <f>SUM(ERP_2[[#This Row],[AP01]:[AP06]])-SUM(ERP_2[[#This Row],[AP01 LE2]:[AP06 LE2]])</f>
        <v>0</v>
      </c>
      <c r="AR216" s="80"/>
      <c r="AS216" s="79">
        <f>ERP_2[[#This Row],[2026 Working Total to Budget/LE]]-ERP_2[[#This Row],[Giveback]]</f>
        <v>0</v>
      </c>
      <c r="AT216" s="81"/>
      <c r="AU216" s="375"/>
      <c r="AV216" s="375"/>
      <c r="AW216" s="375"/>
      <c r="AX216" s="375">
        <v>0</v>
      </c>
      <c r="AY216" s="375">
        <v>0</v>
      </c>
      <c r="AZ216" s="375">
        <v>0</v>
      </c>
      <c r="BA216" s="375">
        <v>0</v>
      </c>
      <c r="BB216" s="375">
        <v>0</v>
      </c>
      <c r="BC216" s="375">
        <v>0</v>
      </c>
      <c r="BD216" s="375">
        <v>0</v>
      </c>
      <c r="BE216" s="375">
        <v>0</v>
      </c>
      <c r="BF216" s="375">
        <v>0</v>
      </c>
      <c r="BG216" s="375">
        <v>0</v>
      </c>
      <c r="BH216" s="103">
        <v>-40902.519999999997</v>
      </c>
      <c r="BI216" s="103">
        <v>0</v>
      </c>
      <c r="BJ216" s="103">
        <v>0</v>
      </c>
      <c r="BK216" s="103">
        <v>0</v>
      </c>
      <c r="BL216" s="103">
        <v>0</v>
      </c>
      <c r="BM216" s="103">
        <v>0</v>
      </c>
      <c r="BN216" s="103">
        <v>0</v>
      </c>
      <c r="BO216" s="103">
        <v>0</v>
      </c>
      <c r="BP216" s="103">
        <v>0</v>
      </c>
      <c r="BQ216" s="103">
        <v>0</v>
      </c>
      <c r="BR216" s="103">
        <v>0</v>
      </c>
      <c r="BS216" s="103">
        <v>0</v>
      </c>
      <c r="BT216" s="79">
        <f>SUM(ERP_2[[#This Row],[2026 AP01]:[2026 AP12]])</f>
        <v>-40902.519999999997</v>
      </c>
    </row>
    <row r="217" spans="1:72" ht="15" hidden="1" customHeight="1">
      <c r="A217" s="79" t="s">
        <v>2536</v>
      </c>
      <c r="B217" s="79"/>
      <c r="C217" s="79" t="s">
        <v>857</v>
      </c>
      <c r="D217" s="296" t="s">
        <v>2537</v>
      </c>
      <c r="E217" s="150" t="s">
        <v>1136</v>
      </c>
      <c r="F217" s="482" t="s">
        <v>1566</v>
      </c>
      <c r="G217" s="150" t="s">
        <v>1135</v>
      </c>
      <c r="H217" s="383" t="s">
        <v>1145</v>
      </c>
      <c r="I217" s="332" t="s">
        <v>1135</v>
      </c>
      <c r="J217" s="383" t="s">
        <v>1145</v>
      </c>
      <c r="K217" s="331" t="s">
        <v>1137</v>
      </c>
      <c r="L217" s="512" t="s">
        <v>639</v>
      </c>
      <c r="M217" s="393" t="s">
        <v>2538</v>
      </c>
      <c r="N217" s="343" t="s">
        <v>2532</v>
      </c>
      <c r="O217" s="150" t="s">
        <v>1186</v>
      </c>
      <c r="P217" s="91" t="s">
        <v>858</v>
      </c>
      <c r="Q217" s="343"/>
      <c r="R217" s="346" t="s">
        <v>1709</v>
      </c>
      <c r="S217" s="346" t="s">
        <v>1710</v>
      </c>
      <c r="T217" s="386" t="s">
        <v>368</v>
      </c>
      <c r="U217" s="346" t="s">
        <v>1348</v>
      </c>
      <c r="V217" s="437"/>
      <c r="W217" s="358">
        <v>26386.85</v>
      </c>
      <c r="X217" s="378">
        <v>0</v>
      </c>
      <c r="Y217" s="425"/>
      <c r="Z217" s="71"/>
      <c r="AA217" s="433"/>
      <c r="AB217" s="434"/>
      <c r="AC217" s="434"/>
      <c r="AD217" s="428" t="s">
        <v>1142</v>
      </c>
      <c r="AE217" s="429">
        <v>0</v>
      </c>
      <c r="AF217" s="429">
        <v>0</v>
      </c>
      <c r="AG217" s="388">
        <v>0</v>
      </c>
      <c r="AH217" s="388">
        <v>0</v>
      </c>
      <c r="AI217" s="388">
        <v>0</v>
      </c>
      <c r="AJ217" s="388">
        <v>0</v>
      </c>
      <c r="AK217" s="388">
        <v>0</v>
      </c>
      <c r="AL217" s="388">
        <v>0</v>
      </c>
      <c r="AM217" s="360">
        <f t="shared" si="7"/>
        <v>0</v>
      </c>
      <c r="AN217" s="362">
        <f>ERP_2[[#This Row],[2026 Working Total]]-ERP_2[[#This Row],[LE2 Final Submission]]</f>
        <v>0</v>
      </c>
      <c r="AO217" s="79">
        <v>0</v>
      </c>
      <c r="AP217" s="79">
        <f t="shared" si="8"/>
        <v>0</v>
      </c>
      <c r="AQ217" s="374">
        <f>SUM(ERP_2[[#This Row],[AP01]:[AP06]])-SUM(ERP_2[[#This Row],[AP01 LE2]:[AP06 LE2]])</f>
        <v>0</v>
      </c>
      <c r="AR217" s="80"/>
      <c r="AS217" s="79">
        <f>ERP_2[[#This Row],[2026 Working Total to Budget/LE]]-ERP_2[[#This Row],[Giveback]]</f>
        <v>0</v>
      </c>
      <c r="AT217" s="81"/>
      <c r="AU217" s="375"/>
      <c r="AV217" s="375"/>
      <c r="AW217" s="375"/>
      <c r="AX217" s="375">
        <v>0</v>
      </c>
      <c r="AY217" s="375">
        <v>0</v>
      </c>
      <c r="AZ217" s="375">
        <v>0</v>
      </c>
      <c r="BA217" s="375">
        <v>0</v>
      </c>
      <c r="BB217" s="375">
        <v>0</v>
      </c>
      <c r="BC217" s="375">
        <v>0</v>
      </c>
      <c r="BD217" s="375">
        <v>0</v>
      </c>
      <c r="BE217" s="375">
        <v>0</v>
      </c>
      <c r="BF217" s="375">
        <v>0</v>
      </c>
      <c r="BG217" s="375">
        <v>0</v>
      </c>
      <c r="BH217" s="103">
        <v>26386.85</v>
      </c>
      <c r="BI217" s="103">
        <v>0</v>
      </c>
      <c r="BJ217" s="103">
        <v>0</v>
      </c>
      <c r="BK217" s="103">
        <v>0</v>
      </c>
      <c r="BL217" s="103">
        <v>0</v>
      </c>
      <c r="BM217" s="103">
        <v>0</v>
      </c>
      <c r="BN217" s="103">
        <v>0</v>
      </c>
      <c r="BO217" s="103">
        <v>0</v>
      </c>
      <c r="BP217" s="103">
        <v>0</v>
      </c>
      <c r="BQ217" s="103">
        <v>0</v>
      </c>
      <c r="BR217" s="103">
        <v>0</v>
      </c>
      <c r="BS217" s="103">
        <v>0</v>
      </c>
      <c r="BT217" s="79">
        <f>SUM(ERP_2[[#This Row],[2026 AP01]:[2026 AP12]])</f>
        <v>26386.85</v>
      </c>
    </row>
    <row r="218" spans="1:72" ht="15" hidden="1" customHeight="1">
      <c r="A218" s="79" t="s">
        <v>2539</v>
      </c>
      <c r="B218" s="79"/>
      <c r="C218" s="79" t="s">
        <v>859</v>
      </c>
      <c r="D218" s="296" t="s">
        <v>2540</v>
      </c>
      <c r="E218" s="150" t="s">
        <v>1136</v>
      </c>
      <c r="F218" s="482" t="s">
        <v>1566</v>
      </c>
      <c r="G218" s="150" t="s">
        <v>1135</v>
      </c>
      <c r="H218" s="383" t="s">
        <v>1145</v>
      </c>
      <c r="I218" s="332" t="s">
        <v>1135</v>
      </c>
      <c r="J218" s="383" t="s">
        <v>1145</v>
      </c>
      <c r="K218" s="331" t="s">
        <v>1137</v>
      </c>
      <c r="L218" s="512" t="s">
        <v>639</v>
      </c>
      <c r="M218" s="393" t="s">
        <v>2541</v>
      </c>
      <c r="N218" s="343" t="s">
        <v>2532</v>
      </c>
      <c r="O218" s="150" t="s">
        <v>1186</v>
      </c>
      <c r="P218" s="91" t="s">
        <v>860</v>
      </c>
      <c r="Q218" s="343"/>
      <c r="R218" s="346" t="s">
        <v>1709</v>
      </c>
      <c r="S218" s="346" t="s">
        <v>1710</v>
      </c>
      <c r="T218" s="386" t="s">
        <v>368</v>
      </c>
      <c r="U218" s="346" t="s">
        <v>1348</v>
      </c>
      <c r="V218" s="437"/>
      <c r="W218" s="358">
        <v>-26386.85</v>
      </c>
      <c r="X218" s="378">
        <v>0</v>
      </c>
      <c r="Y218" s="425"/>
      <c r="Z218" s="71"/>
      <c r="AA218" s="433"/>
      <c r="AB218" s="434"/>
      <c r="AC218" s="434"/>
      <c r="AD218" s="428" t="s">
        <v>1142</v>
      </c>
      <c r="AE218" s="429">
        <v>0</v>
      </c>
      <c r="AF218" s="429">
        <v>0</v>
      </c>
      <c r="AG218" s="388">
        <v>0</v>
      </c>
      <c r="AH218" s="388">
        <v>0</v>
      </c>
      <c r="AI218" s="388">
        <v>0</v>
      </c>
      <c r="AJ218" s="388">
        <v>0</v>
      </c>
      <c r="AK218" s="388">
        <v>0</v>
      </c>
      <c r="AL218" s="388">
        <v>0</v>
      </c>
      <c r="AM218" s="360">
        <f t="shared" si="7"/>
        <v>0</v>
      </c>
      <c r="AN218" s="362">
        <f>ERP_2[[#This Row],[2026 Working Total]]-ERP_2[[#This Row],[LE2 Final Submission]]</f>
        <v>0</v>
      </c>
      <c r="AO218" s="79">
        <v>0</v>
      </c>
      <c r="AP218" s="79">
        <f t="shared" si="8"/>
        <v>0</v>
      </c>
      <c r="AQ218" s="374">
        <f>SUM(ERP_2[[#This Row],[AP01]:[AP06]])-SUM(ERP_2[[#This Row],[AP01 LE2]:[AP06 LE2]])</f>
        <v>0</v>
      </c>
      <c r="AR218" s="80"/>
      <c r="AS218" s="79">
        <f>ERP_2[[#This Row],[2026 Working Total to Budget/LE]]-ERP_2[[#This Row],[Giveback]]</f>
        <v>0</v>
      </c>
      <c r="AT218" s="81"/>
      <c r="AU218" s="375"/>
      <c r="AV218" s="375"/>
      <c r="AW218" s="375"/>
      <c r="AX218" s="375">
        <v>0</v>
      </c>
      <c r="AY218" s="375">
        <v>0</v>
      </c>
      <c r="AZ218" s="375">
        <v>0</v>
      </c>
      <c r="BA218" s="375">
        <v>0</v>
      </c>
      <c r="BB218" s="375">
        <v>0</v>
      </c>
      <c r="BC218" s="375">
        <v>0</v>
      </c>
      <c r="BD218" s="375">
        <v>0</v>
      </c>
      <c r="BE218" s="375">
        <v>0</v>
      </c>
      <c r="BF218" s="375">
        <v>0</v>
      </c>
      <c r="BG218" s="375">
        <v>0</v>
      </c>
      <c r="BH218" s="103">
        <v>-26386.85</v>
      </c>
      <c r="BI218" s="103">
        <v>0</v>
      </c>
      <c r="BJ218" s="103">
        <v>0</v>
      </c>
      <c r="BK218" s="103">
        <v>0</v>
      </c>
      <c r="BL218" s="103">
        <v>0</v>
      </c>
      <c r="BM218" s="103">
        <v>0</v>
      </c>
      <c r="BN218" s="103">
        <v>0</v>
      </c>
      <c r="BO218" s="103">
        <v>0</v>
      </c>
      <c r="BP218" s="103">
        <v>0</v>
      </c>
      <c r="BQ218" s="103">
        <v>0</v>
      </c>
      <c r="BR218" s="103">
        <v>0</v>
      </c>
      <c r="BS218" s="103">
        <v>0</v>
      </c>
      <c r="BT218" s="79">
        <f>SUM(ERP_2[[#This Row],[2026 AP01]:[2026 AP12]])</f>
        <v>-26386.85</v>
      </c>
    </row>
    <row r="219" spans="1:72" ht="15" hidden="1" customHeight="1">
      <c r="A219" s="79" t="s">
        <v>2542</v>
      </c>
      <c r="B219" s="79"/>
      <c r="C219" s="79" t="s">
        <v>861</v>
      </c>
      <c r="D219" s="296" t="s">
        <v>2543</v>
      </c>
      <c r="E219" s="150" t="s">
        <v>1136</v>
      </c>
      <c r="F219" s="482" t="s">
        <v>1566</v>
      </c>
      <c r="G219" s="150" t="s">
        <v>1135</v>
      </c>
      <c r="H219" s="383" t="s">
        <v>1145</v>
      </c>
      <c r="I219" s="332" t="s">
        <v>1135</v>
      </c>
      <c r="J219" s="383" t="s">
        <v>1145</v>
      </c>
      <c r="K219" s="331" t="s">
        <v>1137</v>
      </c>
      <c r="L219" s="512" t="s">
        <v>639</v>
      </c>
      <c r="M219" s="393" t="s">
        <v>2544</v>
      </c>
      <c r="N219" s="343" t="s">
        <v>2545</v>
      </c>
      <c r="O219" s="150" t="s">
        <v>1186</v>
      </c>
      <c r="P219" s="91" t="s">
        <v>862</v>
      </c>
      <c r="Q219" s="343"/>
      <c r="R219" s="346" t="s">
        <v>2546</v>
      </c>
      <c r="S219" s="346" t="s">
        <v>1710</v>
      </c>
      <c r="T219" s="386" t="s">
        <v>863</v>
      </c>
      <c r="U219" s="346" t="s">
        <v>1348</v>
      </c>
      <c r="V219" s="437"/>
      <c r="W219" s="358">
        <v>21386.720000000001</v>
      </c>
      <c r="X219" s="378">
        <v>0</v>
      </c>
      <c r="Y219" s="425"/>
      <c r="Z219" s="71"/>
      <c r="AA219" s="433"/>
      <c r="AB219" s="434"/>
      <c r="AC219" s="434"/>
      <c r="AD219" s="428" t="s">
        <v>1142</v>
      </c>
      <c r="AE219" s="429">
        <v>0</v>
      </c>
      <c r="AF219" s="429">
        <v>0</v>
      </c>
      <c r="AG219" s="388">
        <v>0</v>
      </c>
      <c r="AH219" s="388">
        <v>0</v>
      </c>
      <c r="AI219" s="388">
        <v>0</v>
      </c>
      <c r="AJ219" s="388">
        <v>0</v>
      </c>
      <c r="AK219" s="388">
        <v>0</v>
      </c>
      <c r="AL219" s="388">
        <v>0</v>
      </c>
      <c r="AM219" s="360">
        <f t="shared" si="7"/>
        <v>0</v>
      </c>
      <c r="AN219" s="362">
        <f>ERP_2[[#This Row],[2026 Working Total]]-ERP_2[[#This Row],[LE2 Final Submission]]</f>
        <v>0</v>
      </c>
      <c r="AO219" s="79">
        <v>0</v>
      </c>
      <c r="AP219" s="79">
        <f t="shared" si="8"/>
        <v>0</v>
      </c>
      <c r="AQ219" s="374">
        <f>SUM(ERP_2[[#This Row],[AP01]:[AP06]])-SUM(ERP_2[[#This Row],[AP01 LE2]:[AP06 LE2]])</f>
        <v>0</v>
      </c>
      <c r="AR219" s="80"/>
      <c r="AS219" s="79">
        <f>ERP_2[[#This Row],[2026 Working Total to Budget/LE]]-ERP_2[[#This Row],[Giveback]]</f>
        <v>0</v>
      </c>
      <c r="AT219" s="81"/>
      <c r="AU219" s="375"/>
      <c r="AV219" s="375"/>
      <c r="AW219" s="375"/>
      <c r="AX219" s="375">
        <v>0</v>
      </c>
      <c r="AY219" s="375">
        <v>0</v>
      </c>
      <c r="AZ219" s="375">
        <v>0</v>
      </c>
      <c r="BA219" s="375">
        <v>0</v>
      </c>
      <c r="BB219" s="375">
        <v>0</v>
      </c>
      <c r="BC219" s="375">
        <v>0</v>
      </c>
      <c r="BD219" s="375">
        <v>0</v>
      </c>
      <c r="BE219" s="375">
        <v>0</v>
      </c>
      <c r="BF219" s="375">
        <v>0</v>
      </c>
      <c r="BG219" s="375">
        <v>0</v>
      </c>
      <c r="BH219" s="103">
        <v>21386.720000000001</v>
      </c>
      <c r="BI219" s="103">
        <v>0</v>
      </c>
      <c r="BJ219" s="103">
        <v>0</v>
      </c>
      <c r="BK219" s="103">
        <v>0</v>
      </c>
      <c r="BL219" s="103">
        <v>0</v>
      </c>
      <c r="BM219" s="103">
        <v>0</v>
      </c>
      <c r="BN219" s="103">
        <v>0</v>
      </c>
      <c r="BO219" s="103">
        <v>0</v>
      </c>
      <c r="BP219" s="103">
        <v>0</v>
      </c>
      <c r="BQ219" s="103">
        <v>0</v>
      </c>
      <c r="BR219" s="103">
        <v>0</v>
      </c>
      <c r="BS219" s="103">
        <v>0</v>
      </c>
      <c r="BT219" s="79">
        <f>SUM(ERP_2[[#This Row],[2026 AP01]:[2026 AP12]])</f>
        <v>21386.720000000001</v>
      </c>
    </row>
    <row r="220" spans="1:72" ht="15" hidden="1" customHeight="1">
      <c r="A220" s="79" t="s">
        <v>2547</v>
      </c>
      <c r="B220" s="79"/>
      <c r="C220" s="79" t="s">
        <v>864</v>
      </c>
      <c r="D220" s="296" t="s">
        <v>2548</v>
      </c>
      <c r="E220" s="150" t="s">
        <v>1136</v>
      </c>
      <c r="F220" s="482" t="s">
        <v>1566</v>
      </c>
      <c r="G220" s="150" t="s">
        <v>1135</v>
      </c>
      <c r="H220" s="383" t="s">
        <v>1145</v>
      </c>
      <c r="I220" s="332" t="s">
        <v>1135</v>
      </c>
      <c r="J220" s="383" t="s">
        <v>1145</v>
      </c>
      <c r="K220" s="331" t="s">
        <v>1137</v>
      </c>
      <c r="L220" s="512" t="s">
        <v>639</v>
      </c>
      <c r="M220" s="393" t="s">
        <v>2549</v>
      </c>
      <c r="N220" s="343" t="s">
        <v>2545</v>
      </c>
      <c r="O220" s="150" t="s">
        <v>1186</v>
      </c>
      <c r="P220" s="91" t="s">
        <v>865</v>
      </c>
      <c r="Q220" s="343"/>
      <c r="R220" s="346" t="s">
        <v>2546</v>
      </c>
      <c r="S220" s="346" t="s">
        <v>1710</v>
      </c>
      <c r="T220" s="386" t="s">
        <v>863</v>
      </c>
      <c r="U220" s="346" t="s">
        <v>1348</v>
      </c>
      <c r="V220" s="437"/>
      <c r="W220" s="358">
        <v>-21386.720000000001</v>
      </c>
      <c r="X220" s="378">
        <v>0</v>
      </c>
      <c r="Y220" s="425"/>
      <c r="Z220" s="71"/>
      <c r="AA220" s="433"/>
      <c r="AB220" s="434"/>
      <c r="AC220" s="434"/>
      <c r="AD220" s="428" t="s">
        <v>1142</v>
      </c>
      <c r="AE220" s="429">
        <v>0</v>
      </c>
      <c r="AF220" s="429">
        <v>0</v>
      </c>
      <c r="AG220" s="388">
        <v>0</v>
      </c>
      <c r="AH220" s="388">
        <v>0</v>
      </c>
      <c r="AI220" s="388">
        <v>0</v>
      </c>
      <c r="AJ220" s="388">
        <v>0</v>
      </c>
      <c r="AK220" s="388">
        <v>0</v>
      </c>
      <c r="AL220" s="388">
        <v>0</v>
      </c>
      <c r="AM220" s="360">
        <f t="shared" si="7"/>
        <v>0</v>
      </c>
      <c r="AN220" s="362">
        <f>ERP_2[[#This Row],[2026 Working Total]]-ERP_2[[#This Row],[LE2 Final Submission]]</f>
        <v>0</v>
      </c>
      <c r="AO220" s="79">
        <v>0</v>
      </c>
      <c r="AP220" s="79">
        <f t="shared" si="8"/>
        <v>0</v>
      </c>
      <c r="AQ220" s="374">
        <f>SUM(ERP_2[[#This Row],[AP01]:[AP06]])-SUM(ERP_2[[#This Row],[AP01 LE2]:[AP06 LE2]])</f>
        <v>0</v>
      </c>
      <c r="AR220" s="80"/>
      <c r="AS220" s="79">
        <f>ERP_2[[#This Row],[2026 Working Total to Budget/LE]]-ERP_2[[#This Row],[Giveback]]</f>
        <v>0</v>
      </c>
      <c r="AT220" s="81"/>
      <c r="AU220" s="375"/>
      <c r="AV220" s="375"/>
      <c r="AW220" s="375"/>
      <c r="AX220" s="375">
        <v>0</v>
      </c>
      <c r="AY220" s="375">
        <v>0</v>
      </c>
      <c r="AZ220" s="375">
        <v>0</v>
      </c>
      <c r="BA220" s="375">
        <v>0</v>
      </c>
      <c r="BB220" s="375">
        <v>0</v>
      </c>
      <c r="BC220" s="375">
        <v>0</v>
      </c>
      <c r="BD220" s="375">
        <v>0</v>
      </c>
      <c r="BE220" s="375">
        <v>0</v>
      </c>
      <c r="BF220" s="375">
        <v>0</v>
      </c>
      <c r="BG220" s="375">
        <v>0</v>
      </c>
      <c r="BH220" s="103">
        <v>-21386.720000000001</v>
      </c>
      <c r="BI220" s="103">
        <v>0</v>
      </c>
      <c r="BJ220" s="103">
        <v>0</v>
      </c>
      <c r="BK220" s="103">
        <v>0</v>
      </c>
      <c r="BL220" s="103">
        <v>0</v>
      </c>
      <c r="BM220" s="103">
        <v>0</v>
      </c>
      <c r="BN220" s="103">
        <v>0</v>
      </c>
      <c r="BO220" s="103">
        <v>0</v>
      </c>
      <c r="BP220" s="103">
        <v>0</v>
      </c>
      <c r="BQ220" s="103">
        <v>0</v>
      </c>
      <c r="BR220" s="103">
        <v>0</v>
      </c>
      <c r="BS220" s="103">
        <v>0</v>
      </c>
      <c r="BT220" s="79">
        <f>SUM(ERP_2[[#This Row],[2026 AP01]:[2026 AP12]])</f>
        <v>-21386.720000000001</v>
      </c>
    </row>
    <row r="221" spans="1:72" ht="15" hidden="1" customHeight="1">
      <c r="A221" s="66" t="s">
        <v>2550</v>
      </c>
      <c r="B221" s="66"/>
      <c r="C221" s="66" t="s">
        <v>866</v>
      </c>
      <c r="D221" s="66" t="s">
        <v>866</v>
      </c>
      <c r="E221" s="150" t="s">
        <v>1136</v>
      </c>
      <c r="F221" s="482" t="s">
        <v>1566</v>
      </c>
      <c r="G221" s="150" t="s">
        <v>1135</v>
      </c>
      <c r="H221" s="150" t="s">
        <v>1135</v>
      </c>
      <c r="I221" s="150" t="s">
        <v>1135</v>
      </c>
      <c r="J221" s="150" t="s">
        <v>1135</v>
      </c>
      <c r="K221" s="150" t="s">
        <v>1137</v>
      </c>
      <c r="L221" s="511" t="s">
        <v>639</v>
      </c>
      <c r="M221" s="392" t="s">
        <v>2551</v>
      </c>
      <c r="N221" s="343" t="s">
        <v>1167</v>
      </c>
      <c r="O221" s="346" t="s">
        <v>1171</v>
      </c>
      <c r="P221" s="70" t="s">
        <v>867</v>
      </c>
      <c r="Q221" s="346"/>
      <c r="R221" s="346" t="s">
        <v>2552</v>
      </c>
      <c r="S221" s="346"/>
      <c r="T221" s="150" t="s">
        <v>64</v>
      </c>
      <c r="U221" s="150"/>
      <c r="V221" s="403"/>
      <c r="W221" s="406">
        <v>207900</v>
      </c>
      <c r="X221" s="406">
        <v>196875</v>
      </c>
      <c r="Y221" s="430"/>
      <c r="Z221" s="137"/>
      <c r="AA221" s="426">
        <v>15750</v>
      </c>
      <c r="AB221" s="427">
        <v>15750</v>
      </c>
      <c r="AC221" s="427">
        <v>15750</v>
      </c>
      <c r="AD221" s="428">
        <v>15750</v>
      </c>
      <c r="AE221" s="429">
        <v>15750</v>
      </c>
      <c r="AF221" s="429">
        <v>15750</v>
      </c>
      <c r="AG221" s="363">
        <v>15750</v>
      </c>
      <c r="AH221" s="363">
        <v>17325</v>
      </c>
      <c r="AI221" s="363">
        <v>17325</v>
      </c>
      <c r="AJ221" s="363">
        <v>17325</v>
      </c>
      <c r="AK221" s="363">
        <v>17325</v>
      </c>
      <c r="AL221" s="363">
        <v>17325</v>
      </c>
      <c r="AM221" s="360">
        <f t="shared" si="7"/>
        <v>196875</v>
      </c>
      <c r="AN221" s="362">
        <f>ERP_2[[#This Row],[2026 Working Total]]-ERP_2[[#This Row],[LE2 Final Submission]]</f>
        <v>0</v>
      </c>
      <c r="AO221" s="79">
        <v>15750</v>
      </c>
      <c r="AP221" s="79">
        <f t="shared" si="8"/>
        <v>0</v>
      </c>
      <c r="AQ221" s="374">
        <f>SUM(ERP_2[[#This Row],[AP01]:[AP06]])-SUM(ERP_2[[#This Row],[AP01 LE2]:[AP06 LE2]])</f>
        <v>0</v>
      </c>
      <c r="AR221" s="80"/>
      <c r="AS221" s="79">
        <f>ERP_2[[#This Row],[2026 Working Total to Budget/LE]]-ERP_2[[#This Row],[Giveback]]</f>
        <v>0</v>
      </c>
      <c r="AT221" s="81"/>
      <c r="AU221" s="375">
        <v>15750</v>
      </c>
      <c r="AV221" s="375">
        <v>15750</v>
      </c>
      <c r="AW221" s="375">
        <v>15750</v>
      </c>
      <c r="AX221" s="375">
        <v>15750</v>
      </c>
      <c r="AY221" s="375">
        <v>15750</v>
      </c>
      <c r="AZ221" s="375">
        <v>15750</v>
      </c>
      <c r="BA221" s="375">
        <v>15750</v>
      </c>
      <c r="BB221" s="375">
        <v>17325</v>
      </c>
      <c r="BC221" s="375">
        <v>17325</v>
      </c>
      <c r="BD221" s="375">
        <v>17325</v>
      </c>
      <c r="BE221" s="375">
        <v>17325</v>
      </c>
      <c r="BF221" s="375">
        <v>17325</v>
      </c>
      <c r="BG221" s="375">
        <v>196875</v>
      </c>
      <c r="BH221" s="79">
        <v>15750</v>
      </c>
      <c r="BI221" s="79">
        <v>15750</v>
      </c>
      <c r="BJ221" s="79">
        <v>15750</v>
      </c>
      <c r="BK221" s="79">
        <v>17325</v>
      </c>
      <c r="BL221" s="79">
        <v>17325</v>
      </c>
      <c r="BM221" s="79">
        <v>17325</v>
      </c>
      <c r="BN221" s="79">
        <v>17325</v>
      </c>
      <c r="BO221" s="79">
        <v>17325</v>
      </c>
      <c r="BP221" s="79">
        <v>17325</v>
      </c>
      <c r="BQ221" s="79">
        <v>17325</v>
      </c>
      <c r="BR221" s="79">
        <v>17325</v>
      </c>
      <c r="BS221" s="79">
        <v>17325</v>
      </c>
      <c r="BT221" s="79">
        <v>203175</v>
      </c>
    </row>
    <row r="222" spans="1:72" ht="15" hidden="1" customHeight="1">
      <c r="A222" s="66" t="s">
        <v>2553</v>
      </c>
      <c r="B222" s="66"/>
      <c r="C222" s="66" t="s">
        <v>868</v>
      </c>
      <c r="D222" s="66" t="s">
        <v>868</v>
      </c>
      <c r="E222" s="150" t="s">
        <v>1136</v>
      </c>
      <c r="F222" s="482" t="s">
        <v>1566</v>
      </c>
      <c r="G222" s="150" t="s">
        <v>1135</v>
      </c>
      <c r="H222" s="150" t="s">
        <v>1135</v>
      </c>
      <c r="I222" s="150" t="s">
        <v>1135</v>
      </c>
      <c r="J222" s="150" t="s">
        <v>1135</v>
      </c>
      <c r="K222" s="150" t="s">
        <v>1137</v>
      </c>
      <c r="L222" s="511" t="s">
        <v>639</v>
      </c>
      <c r="M222" s="392" t="s">
        <v>2554</v>
      </c>
      <c r="N222" s="343"/>
      <c r="O222" s="343"/>
      <c r="P222" s="70" t="s">
        <v>869</v>
      </c>
      <c r="Q222" s="346"/>
      <c r="R222" s="343"/>
      <c r="S222" s="346"/>
      <c r="T222" s="150" t="s">
        <v>152</v>
      </c>
      <c r="U222" s="150"/>
      <c r="V222" s="403"/>
      <c r="W222" s="406">
        <v>37661</v>
      </c>
      <c r="X222" s="406">
        <v>37661</v>
      </c>
      <c r="Y222" s="425"/>
      <c r="Z222" s="71"/>
      <c r="AA222" s="426"/>
      <c r="AB222" s="427"/>
      <c r="AC222" s="427"/>
      <c r="AD222" s="428" t="s">
        <v>1142</v>
      </c>
      <c r="AE222" s="429">
        <v>0</v>
      </c>
      <c r="AF222" s="429">
        <v>0</v>
      </c>
      <c r="AG222" s="363"/>
      <c r="AH222" s="363"/>
      <c r="AI222" s="363"/>
      <c r="AJ222" s="363">
        <v>37661</v>
      </c>
      <c r="AK222" s="360">
        <v>0</v>
      </c>
      <c r="AL222" s="360">
        <v>0</v>
      </c>
      <c r="AM222" s="360">
        <f t="shared" si="7"/>
        <v>37661</v>
      </c>
      <c r="AN222" s="362">
        <f>ERP_2[[#This Row],[2026 Working Total]]-ERP_2[[#This Row],[LE2 Final Submission]]</f>
        <v>0</v>
      </c>
      <c r="AO222" s="79"/>
      <c r="AP222" s="79">
        <f t="shared" si="8"/>
        <v>0</v>
      </c>
      <c r="AQ222" s="374">
        <f>SUM(ERP_2[[#This Row],[AP01]:[AP06]])-SUM(ERP_2[[#This Row],[AP01 LE2]:[AP06 LE2]])</f>
        <v>0</v>
      </c>
      <c r="AR222" s="80"/>
      <c r="AS222" s="79">
        <f>ERP_2[[#This Row],[2026 Working Total to Budget/LE]]-ERP_2[[#This Row],[Giveback]]</f>
        <v>0</v>
      </c>
      <c r="AT222" s="81"/>
      <c r="AU222" s="375"/>
      <c r="AV222" s="375"/>
      <c r="AW222" s="375"/>
      <c r="AX222" s="375"/>
      <c r="AY222" s="375"/>
      <c r="AZ222" s="375"/>
      <c r="BA222" s="375"/>
      <c r="BB222" s="375"/>
      <c r="BC222" s="375"/>
      <c r="BD222" s="375">
        <v>37661</v>
      </c>
      <c r="BE222" s="375">
        <v>0</v>
      </c>
      <c r="BF222" s="375">
        <v>0</v>
      </c>
      <c r="BG222" s="375">
        <v>37661</v>
      </c>
      <c r="BH222" s="79"/>
      <c r="BI222" s="79"/>
      <c r="BJ222" s="79"/>
      <c r="BK222" s="79"/>
      <c r="BL222" s="79"/>
      <c r="BM222" s="79"/>
      <c r="BN222" s="79"/>
      <c r="BO222" s="79"/>
      <c r="BP222" s="79"/>
      <c r="BQ222" s="79">
        <v>37661</v>
      </c>
      <c r="BR222" s="79">
        <v>0</v>
      </c>
      <c r="BS222" s="79">
        <v>0</v>
      </c>
      <c r="BT222" s="79">
        <v>37661</v>
      </c>
    </row>
    <row r="223" spans="1:72" ht="15" hidden="1" customHeight="1">
      <c r="A223" s="66" t="s">
        <v>2555</v>
      </c>
      <c r="B223" s="66"/>
      <c r="C223" s="66" t="s">
        <v>870</v>
      </c>
      <c r="D223" s="66" t="s">
        <v>870</v>
      </c>
      <c r="E223" s="150" t="s">
        <v>1136</v>
      </c>
      <c r="F223" s="482" t="s">
        <v>1566</v>
      </c>
      <c r="G223" s="150" t="s">
        <v>1135</v>
      </c>
      <c r="H223" s="150" t="s">
        <v>1135</v>
      </c>
      <c r="I223" s="150" t="s">
        <v>1135</v>
      </c>
      <c r="J223" s="150" t="s">
        <v>1135</v>
      </c>
      <c r="K223" s="150" t="s">
        <v>1137</v>
      </c>
      <c r="L223" s="511" t="s">
        <v>639</v>
      </c>
      <c r="M223" s="392" t="s">
        <v>2556</v>
      </c>
      <c r="N223" s="343"/>
      <c r="O223" s="343"/>
      <c r="P223" s="70" t="s">
        <v>871</v>
      </c>
      <c r="Q223" s="346"/>
      <c r="R223" s="343"/>
      <c r="S223" s="346"/>
      <c r="T223" s="150" t="s">
        <v>25</v>
      </c>
      <c r="U223" s="150"/>
      <c r="V223" s="403"/>
      <c r="W223" s="406">
        <v>24500</v>
      </c>
      <c r="X223" s="406">
        <v>24500</v>
      </c>
      <c r="Y223" s="425"/>
      <c r="Z223" s="71"/>
      <c r="AA223" s="426"/>
      <c r="AB223" s="427"/>
      <c r="AC223" s="427"/>
      <c r="AD223" s="428" t="s">
        <v>1142</v>
      </c>
      <c r="AE223" s="429">
        <v>0</v>
      </c>
      <c r="AF223" s="429">
        <v>0</v>
      </c>
      <c r="AG223" s="363"/>
      <c r="AH223" s="363"/>
      <c r="AI223" s="363">
        <v>24500</v>
      </c>
      <c r="AJ223" s="360">
        <v>0</v>
      </c>
      <c r="AK223" s="360">
        <v>0</v>
      </c>
      <c r="AL223" s="360">
        <v>0</v>
      </c>
      <c r="AM223" s="360">
        <f t="shared" si="7"/>
        <v>24500</v>
      </c>
      <c r="AN223" s="362">
        <f>ERP_2[[#This Row],[2026 Working Total]]-ERP_2[[#This Row],[LE2 Final Submission]]</f>
        <v>0</v>
      </c>
      <c r="AO223" s="79"/>
      <c r="AP223" s="79">
        <f t="shared" si="8"/>
        <v>0</v>
      </c>
      <c r="AQ223" s="374">
        <f>SUM(ERP_2[[#This Row],[AP01]:[AP06]])-SUM(ERP_2[[#This Row],[AP01 LE2]:[AP06 LE2]])</f>
        <v>0</v>
      </c>
      <c r="AR223" s="80"/>
      <c r="AS223" s="79">
        <f>ERP_2[[#This Row],[2026 Working Total to Budget/LE]]-ERP_2[[#This Row],[Giveback]]</f>
        <v>0</v>
      </c>
      <c r="AT223" s="81"/>
      <c r="AU223" s="375"/>
      <c r="AV223" s="375"/>
      <c r="AW223" s="375"/>
      <c r="AX223" s="375"/>
      <c r="AY223" s="375"/>
      <c r="AZ223" s="375"/>
      <c r="BA223" s="375"/>
      <c r="BB223" s="375"/>
      <c r="BC223" s="375">
        <v>24500</v>
      </c>
      <c r="BD223" s="375">
        <v>0</v>
      </c>
      <c r="BE223" s="375">
        <v>0</v>
      </c>
      <c r="BF223" s="375">
        <v>0</v>
      </c>
      <c r="BG223" s="375">
        <v>24500</v>
      </c>
      <c r="BH223" s="79"/>
      <c r="BI223" s="79"/>
      <c r="BJ223" s="79"/>
      <c r="BK223" s="79"/>
      <c r="BL223" s="79"/>
      <c r="BM223" s="79"/>
      <c r="BN223" s="79"/>
      <c r="BO223" s="79"/>
      <c r="BP223" s="79">
        <v>24500</v>
      </c>
      <c r="BQ223" s="79">
        <v>0</v>
      </c>
      <c r="BR223" s="79">
        <v>0</v>
      </c>
      <c r="BS223" s="79">
        <v>0</v>
      </c>
      <c r="BT223" s="79">
        <v>24500</v>
      </c>
    </row>
    <row r="224" spans="1:72" ht="15" hidden="1" customHeight="1">
      <c r="A224" s="66" t="s">
        <v>2557</v>
      </c>
      <c r="B224" s="66"/>
      <c r="C224" s="66" t="s">
        <v>872</v>
      </c>
      <c r="D224" s="66" t="s">
        <v>2558</v>
      </c>
      <c r="E224" s="150" t="s">
        <v>1136</v>
      </c>
      <c r="F224" s="482" t="s">
        <v>1566</v>
      </c>
      <c r="G224" s="150" t="s">
        <v>1135</v>
      </c>
      <c r="H224" s="150" t="s">
        <v>1145</v>
      </c>
      <c r="I224" s="150" t="s">
        <v>1135</v>
      </c>
      <c r="J224" s="150" t="s">
        <v>1145</v>
      </c>
      <c r="K224" s="150" t="s">
        <v>1137</v>
      </c>
      <c r="L224" s="511" t="s">
        <v>639</v>
      </c>
      <c r="M224" s="392" t="s">
        <v>2559</v>
      </c>
      <c r="N224" s="343" t="s">
        <v>1167</v>
      </c>
      <c r="O224" s="346" t="s">
        <v>1186</v>
      </c>
      <c r="P224" s="70" t="s">
        <v>873</v>
      </c>
      <c r="Q224" s="346"/>
      <c r="R224" s="346" t="s">
        <v>2560</v>
      </c>
      <c r="S224" s="346" t="s">
        <v>1710</v>
      </c>
      <c r="T224" s="150" t="s">
        <v>874</v>
      </c>
      <c r="U224" s="150"/>
      <c r="V224" s="404"/>
      <c r="W224" s="407">
        <v>14353.4</v>
      </c>
      <c r="X224" s="407">
        <v>0</v>
      </c>
      <c r="Y224" s="425"/>
      <c r="Z224" s="71"/>
      <c r="AA224" s="426">
        <v>0.28000000000000003</v>
      </c>
      <c r="AB224" s="427">
        <v>-0.28000000000000003</v>
      </c>
      <c r="AC224" s="427"/>
      <c r="AD224" s="428">
        <v>-11391.72</v>
      </c>
      <c r="AE224" s="429">
        <v>0</v>
      </c>
      <c r="AF224" s="429">
        <v>0</v>
      </c>
      <c r="AG224" s="363"/>
      <c r="AH224" s="363"/>
      <c r="AI224" s="363"/>
      <c r="AJ224" s="363"/>
      <c r="AK224" s="363"/>
      <c r="AL224" s="363"/>
      <c r="AM224" s="360">
        <f t="shared" si="7"/>
        <v>-11391.72</v>
      </c>
      <c r="AN224" s="362">
        <f>ERP_2[[#This Row],[2026 Working Total]]-ERP_2[[#This Row],[LE2 Final Submission]]</f>
        <v>-11391.72</v>
      </c>
      <c r="AO224" s="79"/>
      <c r="AP224" s="79">
        <f t="shared" si="8"/>
        <v>0</v>
      </c>
      <c r="AQ224" s="374">
        <f>SUM(ERP_2[[#This Row],[AP01]:[AP06]])-SUM(ERP_2[[#This Row],[AP01 LE2]:[AP06 LE2]])</f>
        <v>-11391.72</v>
      </c>
      <c r="AR224" s="80"/>
      <c r="AS224" s="79">
        <f>ERP_2[[#This Row],[2026 Working Total to Budget/LE]]-ERP_2[[#This Row],[Giveback]]</f>
        <v>-11391.72</v>
      </c>
      <c r="AT224" s="81"/>
      <c r="AU224" s="375">
        <v>0.28000000000000003</v>
      </c>
      <c r="AV224" s="375">
        <v>-0.28000000000000003</v>
      </c>
      <c r="AW224" s="375"/>
      <c r="AX224" s="375"/>
      <c r="AY224" s="375"/>
      <c r="AZ224" s="375"/>
      <c r="BA224" s="375"/>
      <c r="BB224" s="375"/>
      <c r="BC224" s="375"/>
      <c r="BD224" s="375"/>
      <c r="BE224" s="375"/>
      <c r="BF224" s="375"/>
      <c r="BG224" s="375">
        <v>0</v>
      </c>
      <c r="BH224" s="79">
        <v>0.28000000000000003</v>
      </c>
      <c r="BI224" s="79">
        <v>-0.28000000000000003</v>
      </c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>
        <v>0</v>
      </c>
    </row>
    <row r="225" spans="1:72" ht="15" hidden="1" customHeight="1">
      <c r="A225" s="79" t="s">
        <v>2561</v>
      </c>
      <c r="B225" s="79"/>
      <c r="C225" s="79" t="s">
        <v>875</v>
      </c>
      <c r="D225" s="296" t="s">
        <v>2562</v>
      </c>
      <c r="E225" s="150" t="s">
        <v>1136</v>
      </c>
      <c r="F225" s="482" t="s">
        <v>1566</v>
      </c>
      <c r="G225" s="150" t="s">
        <v>1135</v>
      </c>
      <c r="H225" s="383" t="s">
        <v>1145</v>
      </c>
      <c r="I225" s="332" t="s">
        <v>1135</v>
      </c>
      <c r="J225" s="383" t="s">
        <v>1145</v>
      </c>
      <c r="K225" s="331" t="s">
        <v>1137</v>
      </c>
      <c r="L225" s="512" t="s">
        <v>639</v>
      </c>
      <c r="M225" s="393" t="s">
        <v>2563</v>
      </c>
      <c r="N225" s="343" t="s">
        <v>1167</v>
      </c>
      <c r="O225" s="150" t="s">
        <v>1186</v>
      </c>
      <c r="P225" s="91" t="s">
        <v>876</v>
      </c>
      <c r="Q225" s="343"/>
      <c r="R225" s="346" t="s">
        <v>2560</v>
      </c>
      <c r="S225" s="346" t="s">
        <v>2310</v>
      </c>
      <c r="T225" s="386" t="s">
        <v>874</v>
      </c>
      <c r="U225" s="346" t="s">
        <v>1779</v>
      </c>
      <c r="V225" s="437"/>
      <c r="W225" s="358">
        <v>-14353.4</v>
      </c>
      <c r="X225" s="378">
        <v>0</v>
      </c>
      <c r="Y225" s="425"/>
      <c r="Z225" s="71"/>
      <c r="AA225" s="433"/>
      <c r="AB225" s="434"/>
      <c r="AC225" s="434"/>
      <c r="AD225" s="428" t="s">
        <v>1142</v>
      </c>
      <c r="AE225" s="429">
        <v>0</v>
      </c>
      <c r="AF225" s="429">
        <v>0</v>
      </c>
      <c r="AG225" s="388">
        <v>0</v>
      </c>
      <c r="AH225" s="388">
        <v>0</v>
      </c>
      <c r="AI225" s="388">
        <v>0</v>
      </c>
      <c r="AJ225" s="388">
        <v>0</v>
      </c>
      <c r="AK225" s="388">
        <v>0</v>
      </c>
      <c r="AL225" s="388">
        <v>0</v>
      </c>
      <c r="AM225" s="360">
        <f t="shared" si="7"/>
        <v>0</v>
      </c>
      <c r="AN225" s="362">
        <f>ERP_2[[#This Row],[2026 Working Total]]-ERP_2[[#This Row],[LE2 Final Submission]]</f>
        <v>0</v>
      </c>
      <c r="AO225" s="79">
        <v>0</v>
      </c>
      <c r="AP225" s="79">
        <f t="shared" si="8"/>
        <v>0</v>
      </c>
      <c r="AQ225" s="374">
        <f>SUM(ERP_2[[#This Row],[AP01]:[AP06]])-SUM(ERP_2[[#This Row],[AP01 LE2]:[AP06 LE2]])</f>
        <v>0</v>
      </c>
      <c r="AR225" s="80"/>
      <c r="AS225" s="79">
        <f>ERP_2[[#This Row],[2026 Working Total to Budget/LE]]-ERP_2[[#This Row],[Giveback]]</f>
        <v>0</v>
      </c>
      <c r="AT225" s="81"/>
      <c r="AU225" s="375"/>
      <c r="AV225" s="375"/>
      <c r="AW225" s="375"/>
      <c r="AX225" s="375">
        <v>0</v>
      </c>
      <c r="AY225" s="375">
        <v>0</v>
      </c>
      <c r="AZ225" s="375">
        <v>0</v>
      </c>
      <c r="BA225" s="375">
        <v>0</v>
      </c>
      <c r="BB225" s="375">
        <v>0</v>
      </c>
      <c r="BC225" s="375">
        <v>0</v>
      </c>
      <c r="BD225" s="375">
        <v>0</v>
      </c>
      <c r="BE225" s="375">
        <v>0</v>
      </c>
      <c r="BF225" s="375">
        <v>0</v>
      </c>
      <c r="BG225" s="375">
        <v>0</v>
      </c>
      <c r="BH225" s="103">
        <v>-14353.4</v>
      </c>
      <c r="BI225" s="103">
        <v>0</v>
      </c>
      <c r="BJ225" s="103">
        <v>0</v>
      </c>
      <c r="BK225" s="103">
        <v>0</v>
      </c>
      <c r="BL225" s="103">
        <v>0</v>
      </c>
      <c r="BM225" s="103">
        <v>0</v>
      </c>
      <c r="BN225" s="103">
        <v>0</v>
      </c>
      <c r="BO225" s="103">
        <v>0</v>
      </c>
      <c r="BP225" s="103">
        <v>0</v>
      </c>
      <c r="BQ225" s="103">
        <v>0</v>
      </c>
      <c r="BR225" s="103">
        <v>0</v>
      </c>
      <c r="BS225" s="103">
        <v>0</v>
      </c>
      <c r="BT225" s="79">
        <f>SUM(ERP_2[[#This Row],[2026 AP01]:[2026 AP12]])</f>
        <v>-14353.4</v>
      </c>
    </row>
    <row r="226" spans="1:72" ht="15" hidden="1" customHeight="1">
      <c r="A226" s="66" t="s">
        <v>2564</v>
      </c>
      <c r="B226" s="66"/>
      <c r="C226" s="66" t="s">
        <v>877</v>
      </c>
      <c r="D226" s="66" t="s">
        <v>2565</v>
      </c>
      <c r="E226" s="150" t="s">
        <v>1136</v>
      </c>
      <c r="F226" s="482" t="s">
        <v>1566</v>
      </c>
      <c r="G226" s="150" t="s">
        <v>1135</v>
      </c>
      <c r="H226" s="150" t="s">
        <v>1145</v>
      </c>
      <c r="I226" s="150" t="s">
        <v>1135</v>
      </c>
      <c r="J226" s="150" t="s">
        <v>1145</v>
      </c>
      <c r="K226" s="150" t="s">
        <v>1137</v>
      </c>
      <c r="L226" s="511" t="s">
        <v>639</v>
      </c>
      <c r="M226" s="392" t="s">
        <v>2566</v>
      </c>
      <c r="N226" s="343"/>
      <c r="O226" s="343"/>
      <c r="P226" s="70" t="s">
        <v>878</v>
      </c>
      <c r="Q226" s="346"/>
      <c r="R226" s="343"/>
      <c r="S226" s="346"/>
      <c r="T226" s="150" t="s">
        <v>849</v>
      </c>
      <c r="U226" s="150"/>
      <c r="V226" s="403"/>
      <c r="W226" s="406">
        <v>4000</v>
      </c>
      <c r="X226" s="406">
        <v>4000</v>
      </c>
      <c r="Y226" s="425"/>
      <c r="Z226" s="71"/>
      <c r="AA226" s="426">
        <v>0.1</v>
      </c>
      <c r="AB226" s="427">
        <v>-0.1</v>
      </c>
      <c r="AC226" s="427"/>
      <c r="AD226" s="428">
        <v>0</v>
      </c>
      <c r="AE226" s="429">
        <v>0</v>
      </c>
      <c r="AF226" s="429">
        <v>0</v>
      </c>
      <c r="AG226" s="363">
        <v>4000</v>
      </c>
      <c r="AH226" s="360">
        <v>0</v>
      </c>
      <c r="AI226" s="360">
        <v>0</v>
      </c>
      <c r="AJ226" s="360">
        <v>0</v>
      </c>
      <c r="AK226" s="360">
        <v>0</v>
      </c>
      <c r="AL226" s="360">
        <v>0</v>
      </c>
      <c r="AM226" s="360">
        <f t="shared" si="7"/>
        <v>4000</v>
      </c>
      <c r="AN226" s="362">
        <f>ERP_2[[#This Row],[2026 Working Total]]-ERP_2[[#This Row],[LE2 Final Submission]]</f>
        <v>0</v>
      </c>
      <c r="AO226" s="79"/>
      <c r="AP226" s="79">
        <f t="shared" si="8"/>
        <v>0</v>
      </c>
      <c r="AQ226" s="374">
        <f>SUM(ERP_2[[#This Row],[AP01]:[AP06]])-SUM(ERP_2[[#This Row],[AP01 LE2]:[AP06 LE2]])</f>
        <v>-2000</v>
      </c>
      <c r="AR226" s="80"/>
      <c r="AS226" s="79">
        <f>ERP_2[[#This Row],[2026 Working Total to Budget/LE]]-ERP_2[[#This Row],[Giveback]]</f>
        <v>0</v>
      </c>
      <c r="AT226" s="81"/>
      <c r="AU226" s="375">
        <v>0.1</v>
      </c>
      <c r="AV226" s="375">
        <v>-0.1</v>
      </c>
      <c r="AW226" s="375"/>
      <c r="AX226" s="375"/>
      <c r="AY226" s="375"/>
      <c r="AZ226" s="375">
        <v>2000</v>
      </c>
      <c r="BA226" s="375">
        <v>2000</v>
      </c>
      <c r="BB226" s="375">
        <v>0</v>
      </c>
      <c r="BC226" s="375">
        <v>0</v>
      </c>
      <c r="BD226" s="375">
        <v>0</v>
      </c>
      <c r="BE226" s="375">
        <v>0</v>
      </c>
      <c r="BF226" s="375">
        <v>0</v>
      </c>
      <c r="BG226" s="375">
        <v>4000</v>
      </c>
      <c r="BH226" s="79">
        <v>0.1</v>
      </c>
      <c r="BI226" s="79">
        <v>-0.1</v>
      </c>
      <c r="BJ226" s="79"/>
      <c r="BK226" s="79"/>
      <c r="BL226" s="79"/>
      <c r="BM226" s="79">
        <v>2000</v>
      </c>
      <c r="BN226" s="79">
        <v>2000</v>
      </c>
      <c r="BO226" s="79">
        <v>0</v>
      </c>
      <c r="BP226" s="79">
        <v>0</v>
      </c>
      <c r="BQ226" s="79">
        <v>0</v>
      </c>
      <c r="BR226" s="79">
        <v>0</v>
      </c>
      <c r="BS226" s="79">
        <v>0</v>
      </c>
      <c r="BT226" s="79">
        <v>4000</v>
      </c>
    </row>
    <row r="227" spans="1:72" ht="15" hidden="1" customHeight="1">
      <c r="A227" s="66" t="s">
        <v>2567</v>
      </c>
      <c r="B227" s="66"/>
      <c r="C227" s="66" t="s">
        <v>879</v>
      </c>
      <c r="D227" s="66" t="s">
        <v>879</v>
      </c>
      <c r="E227" s="150" t="s">
        <v>1136</v>
      </c>
      <c r="F227" s="482" t="s">
        <v>1566</v>
      </c>
      <c r="G227" s="150" t="s">
        <v>1135</v>
      </c>
      <c r="H227" s="150" t="s">
        <v>1135</v>
      </c>
      <c r="I227" s="150" t="s">
        <v>1135</v>
      </c>
      <c r="J227" s="150" t="s">
        <v>1135</v>
      </c>
      <c r="K227" s="150" t="s">
        <v>1137</v>
      </c>
      <c r="L227" s="511" t="s">
        <v>639</v>
      </c>
      <c r="M227" s="392" t="s">
        <v>2568</v>
      </c>
      <c r="N227" s="343"/>
      <c r="O227" s="343"/>
      <c r="P227" s="70" t="s">
        <v>880</v>
      </c>
      <c r="Q227" s="346"/>
      <c r="R227" s="346" t="s">
        <v>2569</v>
      </c>
      <c r="S227" s="346"/>
      <c r="T227" s="150" t="s">
        <v>64</v>
      </c>
      <c r="U227" s="150"/>
      <c r="V227" s="403"/>
      <c r="W227" s="406">
        <v>144819</v>
      </c>
      <c r="X227" s="406">
        <v>144819</v>
      </c>
      <c r="Y227" s="430"/>
      <c r="Z227" s="137"/>
      <c r="AA227" s="426"/>
      <c r="AB227" s="427"/>
      <c r="AC227" s="427"/>
      <c r="AD227" s="428" t="s">
        <v>1142</v>
      </c>
      <c r="AE227" s="429">
        <v>0</v>
      </c>
      <c r="AF227" s="429">
        <v>159302.39999999999</v>
      </c>
      <c r="AG227" s="360">
        <v>0</v>
      </c>
      <c r="AH227" s="360">
        <v>0</v>
      </c>
      <c r="AI227" s="360">
        <v>0</v>
      </c>
      <c r="AJ227" s="360">
        <v>0</v>
      </c>
      <c r="AK227" s="360">
        <v>0</v>
      </c>
      <c r="AL227" s="360">
        <v>0</v>
      </c>
      <c r="AM227" s="360">
        <f t="shared" si="7"/>
        <v>159302.39999999999</v>
      </c>
      <c r="AN227" s="362">
        <f>ERP_2[[#This Row],[2026 Working Total]]-ERP_2[[#This Row],[LE2 Final Submission]]</f>
        <v>14483.399999999994</v>
      </c>
      <c r="AO227" s="79">
        <v>144819</v>
      </c>
      <c r="AP227" s="79">
        <f t="shared" si="8"/>
        <v>14483.399999999994</v>
      </c>
      <c r="AQ227" s="374">
        <f>SUM(ERP_2[[#This Row],[AP01]:[AP06]])-SUM(ERP_2[[#This Row],[AP01 LE2]:[AP06 LE2]])</f>
        <v>14483.399999999994</v>
      </c>
      <c r="AR227" s="80"/>
      <c r="AS227" s="79">
        <f>ERP_2[[#This Row],[2026 Working Total to Budget/LE]]-ERP_2[[#This Row],[Giveback]]</f>
        <v>14483.399999999994</v>
      </c>
      <c r="AT227" s="81"/>
      <c r="AU227" s="375"/>
      <c r="AV227" s="375"/>
      <c r="AW227" s="375"/>
      <c r="AX227" s="375"/>
      <c r="AY227" s="375">
        <v>144819</v>
      </c>
      <c r="AZ227" s="375">
        <v>0</v>
      </c>
      <c r="BA227" s="375">
        <v>0</v>
      </c>
      <c r="BB227" s="375">
        <v>0</v>
      </c>
      <c r="BC227" s="375">
        <v>0</v>
      </c>
      <c r="BD227" s="375">
        <v>0</v>
      </c>
      <c r="BE227" s="375">
        <v>0</v>
      </c>
      <c r="BF227" s="375">
        <v>0</v>
      </c>
      <c r="BG227" s="375">
        <v>144819</v>
      </c>
      <c r="BH227" s="79"/>
      <c r="BI227" s="79"/>
      <c r="BJ227" s="79"/>
      <c r="BK227" s="79">
        <v>144819</v>
      </c>
      <c r="BL227" s="79">
        <v>0</v>
      </c>
      <c r="BM227" s="79">
        <v>0</v>
      </c>
      <c r="BN227" s="79">
        <v>0</v>
      </c>
      <c r="BO227" s="79">
        <v>0</v>
      </c>
      <c r="BP227" s="79">
        <v>0</v>
      </c>
      <c r="BQ227" s="79">
        <v>0</v>
      </c>
      <c r="BR227" s="79">
        <v>0</v>
      </c>
      <c r="BS227" s="79">
        <v>0</v>
      </c>
      <c r="BT227" s="79">
        <v>144819</v>
      </c>
    </row>
    <row r="228" spans="1:72" ht="15" hidden="1" customHeight="1">
      <c r="A228" s="79" t="s">
        <v>2570</v>
      </c>
      <c r="B228" s="79"/>
      <c r="C228" s="79" t="s">
        <v>881</v>
      </c>
      <c r="D228" s="296" t="s">
        <v>881</v>
      </c>
      <c r="E228" s="150" t="s">
        <v>1136</v>
      </c>
      <c r="F228" s="482" t="s">
        <v>1566</v>
      </c>
      <c r="G228" s="150" t="s">
        <v>1135</v>
      </c>
      <c r="H228" s="150" t="s">
        <v>1135</v>
      </c>
      <c r="I228" s="332" t="s">
        <v>1135</v>
      </c>
      <c r="J228" s="383" t="s">
        <v>1135</v>
      </c>
      <c r="K228" s="331" t="s">
        <v>1137</v>
      </c>
      <c r="L228" s="512" t="s">
        <v>639</v>
      </c>
      <c r="M228" s="393" t="s">
        <v>2571</v>
      </c>
      <c r="N228" s="343" t="s">
        <v>2572</v>
      </c>
      <c r="O228" s="150" t="s">
        <v>1171</v>
      </c>
      <c r="P228" s="91" t="s">
        <v>882</v>
      </c>
      <c r="Q228" s="343"/>
      <c r="R228" s="346" t="s">
        <v>2329</v>
      </c>
      <c r="S228" s="346" t="s">
        <v>1710</v>
      </c>
      <c r="T228" s="386" t="s">
        <v>883</v>
      </c>
      <c r="U228" s="346" t="s">
        <v>1779</v>
      </c>
      <c r="V228" s="437"/>
      <c r="W228" s="358">
        <v>64566</v>
      </c>
      <c r="X228" s="378">
        <v>0</v>
      </c>
      <c r="Y228" s="425"/>
      <c r="Z228" s="71"/>
      <c r="AA228" s="433"/>
      <c r="AB228" s="434"/>
      <c r="AC228" s="434"/>
      <c r="AD228" s="428">
        <v>0</v>
      </c>
      <c r="AE228" s="429">
        <v>0</v>
      </c>
      <c r="AF228" s="429">
        <v>0</v>
      </c>
      <c r="AG228" s="388">
        <v>0</v>
      </c>
      <c r="AH228" s="388">
        <v>0</v>
      </c>
      <c r="AI228" s="388">
        <v>0</v>
      </c>
      <c r="AJ228" s="388">
        <v>0</v>
      </c>
      <c r="AK228" s="388">
        <v>0</v>
      </c>
      <c r="AL228" s="388">
        <v>0</v>
      </c>
      <c r="AM228" s="360">
        <f t="shared" si="7"/>
        <v>0</v>
      </c>
      <c r="AN228" s="362">
        <f>ERP_2[[#This Row],[2026 Working Total]]-ERP_2[[#This Row],[LE2 Final Submission]]</f>
        <v>0</v>
      </c>
      <c r="AO228" s="79">
        <v>0</v>
      </c>
      <c r="AP228" s="79">
        <f t="shared" si="8"/>
        <v>0</v>
      </c>
      <c r="AQ228" s="374">
        <f>SUM(ERP_2[[#This Row],[AP01]:[AP06]])-SUM(ERP_2[[#This Row],[AP01 LE2]:[AP06 LE2]])</f>
        <v>0</v>
      </c>
      <c r="AR228" s="80"/>
      <c r="AS228" s="79">
        <f>ERP_2[[#This Row],[2026 Working Total to Budget/LE]]-ERP_2[[#This Row],[Giveback]]</f>
        <v>0</v>
      </c>
      <c r="AT228" s="81"/>
      <c r="AU228" s="375"/>
      <c r="AV228" s="375"/>
      <c r="AW228" s="375"/>
      <c r="AX228" s="375">
        <v>0</v>
      </c>
      <c r="AY228" s="375">
        <v>0</v>
      </c>
      <c r="AZ228" s="375">
        <v>0</v>
      </c>
      <c r="BA228" s="375">
        <v>0</v>
      </c>
      <c r="BB228" s="375">
        <v>0</v>
      </c>
      <c r="BC228" s="375">
        <v>0</v>
      </c>
      <c r="BD228" s="375">
        <v>0</v>
      </c>
      <c r="BE228" s="375">
        <v>0</v>
      </c>
      <c r="BF228" s="375">
        <v>0</v>
      </c>
      <c r="BG228" s="375">
        <v>0</v>
      </c>
      <c r="BH228" s="103">
        <v>64566</v>
      </c>
      <c r="BI228" s="103">
        <v>0</v>
      </c>
      <c r="BJ228" s="103">
        <v>0</v>
      </c>
      <c r="BK228" s="103">
        <v>0</v>
      </c>
      <c r="BL228" s="103">
        <v>0</v>
      </c>
      <c r="BM228" s="103">
        <v>0</v>
      </c>
      <c r="BN228" s="103">
        <v>0</v>
      </c>
      <c r="BO228" s="103">
        <v>0</v>
      </c>
      <c r="BP228" s="103">
        <v>0</v>
      </c>
      <c r="BQ228" s="103">
        <v>0</v>
      </c>
      <c r="BR228" s="103">
        <v>0</v>
      </c>
      <c r="BS228" s="103">
        <v>0</v>
      </c>
      <c r="BT228" s="79">
        <f>SUM(ERP_2[[#This Row],[2026 AP01]:[2026 AP12]])</f>
        <v>64566</v>
      </c>
    </row>
    <row r="229" spans="1:72" ht="15" hidden="1" customHeight="1">
      <c r="A229" s="79" t="s">
        <v>2573</v>
      </c>
      <c r="B229" s="79"/>
      <c r="C229" s="79" t="s">
        <v>884</v>
      </c>
      <c r="D229" s="296" t="s">
        <v>884</v>
      </c>
      <c r="E229" s="150" t="s">
        <v>1136</v>
      </c>
      <c r="F229" s="482" t="s">
        <v>1566</v>
      </c>
      <c r="G229" s="150" t="s">
        <v>1135</v>
      </c>
      <c r="H229" s="150" t="s">
        <v>1135</v>
      </c>
      <c r="I229" s="332" t="s">
        <v>1135</v>
      </c>
      <c r="J229" s="382" t="s">
        <v>1135</v>
      </c>
      <c r="K229" s="331" t="s">
        <v>1137</v>
      </c>
      <c r="L229" s="512" t="s">
        <v>639</v>
      </c>
      <c r="M229" s="394" t="s">
        <v>2574</v>
      </c>
      <c r="N229" s="343" t="s">
        <v>2572</v>
      </c>
      <c r="O229" s="150" t="s">
        <v>1171</v>
      </c>
      <c r="P229" s="122" t="s">
        <v>885</v>
      </c>
      <c r="Q229" s="343"/>
      <c r="R229" s="346" t="s">
        <v>2329</v>
      </c>
      <c r="S229" s="346" t="s">
        <v>1710</v>
      </c>
      <c r="T229" s="384" t="s">
        <v>883</v>
      </c>
      <c r="U229" s="346" t="s">
        <v>2499</v>
      </c>
      <c r="V229" s="437"/>
      <c r="W229" s="358">
        <v>-64566</v>
      </c>
      <c r="X229" s="378">
        <v>0</v>
      </c>
      <c r="Y229" s="425"/>
      <c r="Z229" s="71"/>
      <c r="AA229" s="433"/>
      <c r="AB229" s="434"/>
      <c r="AC229" s="434"/>
      <c r="AD229" s="428" t="s">
        <v>1142</v>
      </c>
      <c r="AE229" s="429">
        <v>0</v>
      </c>
      <c r="AF229" s="429">
        <v>0</v>
      </c>
      <c r="AG229" s="388">
        <v>0</v>
      </c>
      <c r="AH229" s="388">
        <v>0</v>
      </c>
      <c r="AI229" s="388">
        <v>0</v>
      </c>
      <c r="AJ229" s="388">
        <v>0</v>
      </c>
      <c r="AK229" s="388">
        <v>0</v>
      </c>
      <c r="AL229" s="388">
        <v>0</v>
      </c>
      <c r="AM229" s="360">
        <f t="shared" si="7"/>
        <v>0</v>
      </c>
      <c r="AN229" s="362">
        <f>ERP_2[[#This Row],[2026 Working Total]]-ERP_2[[#This Row],[LE2 Final Submission]]</f>
        <v>0</v>
      </c>
      <c r="AO229" s="79">
        <v>0</v>
      </c>
      <c r="AP229" s="79">
        <f t="shared" si="8"/>
        <v>0</v>
      </c>
      <c r="AQ229" s="374">
        <f>SUM(ERP_2[[#This Row],[AP01]:[AP06]])-SUM(ERP_2[[#This Row],[AP01 LE2]:[AP06 LE2]])</f>
        <v>0</v>
      </c>
      <c r="AR229" s="80"/>
      <c r="AS229" s="79">
        <f>ERP_2[[#This Row],[2026 Working Total to Budget/LE]]-ERP_2[[#This Row],[Giveback]]</f>
        <v>0</v>
      </c>
      <c r="AT229" s="81"/>
      <c r="AU229" s="375"/>
      <c r="AV229" s="375"/>
      <c r="AW229" s="375"/>
      <c r="AX229" s="375">
        <v>0</v>
      </c>
      <c r="AY229" s="375">
        <v>0</v>
      </c>
      <c r="AZ229" s="375">
        <v>0</v>
      </c>
      <c r="BA229" s="375">
        <v>0</v>
      </c>
      <c r="BB229" s="375">
        <v>0</v>
      </c>
      <c r="BC229" s="375">
        <v>0</v>
      </c>
      <c r="BD229" s="375">
        <v>0</v>
      </c>
      <c r="BE229" s="375">
        <v>0</v>
      </c>
      <c r="BF229" s="375">
        <v>0</v>
      </c>
      <c r="BG229" s="375">
        <v>0</v>
      </c>
      <c r="BH229" s="103">
        <v>-64566</v>
      </c>
      <c r="BI229" s="103">
        <v>0</v>
      </c>
      <c r="BJ229" s="103">
        <v>0</v>
      </c>
      <c r="BK229" s="103">
        <v>0</v>
      </c>
      <c r="BL229" s="103">
        <v>0</v>
      </c>
      <c r="BM229" s="103">
        <v>0</v>
      </c>
      <c r="BN229" s="103">
        <v>0</v>
      </c>
      <c r="BO229" s="103">
        <v>0</v>
      </c>
      <c r="BP229" s="103">
        <v>0</v>
      </c>
      <c r="BQ229" s="103">
        <v>0</v>
      </c>
      <c r="BR229" s="103">
        <v>0</v>
      </c>
      <c r="BS229" s="103">
        <v>0</v>
      </c>
      <c r="BT229" s="79">
        <f>SUM(ERP_2[[#This Row],[2026 AP01]:[2026 AP12]])</f>
        <v>-64566</v>
      </c>
    </row>
    <row r="230" spans="1:72" ht="15" hidden="1" customHeight="1">
      <c r="A230" s="66" t="s">
        <v>2575</v>
      </c>
      <c r="B230" s="66"/>
      <c r="C230" s="66" t="s">
        <v>886</v>
      </c>
      <c r="D230" s="66" t="s">
        <v>886</v>
      </c>
      <c r="E230" s="150" t="s">
        <v>1136</v>
      </c>
      <c r="F230" s="482" t="s">
        <v>1566</v>
      </c>
      <c r="G230" s="150" t="s">
        <v>1135</v>
      </c>
      <c r="H230" s="150" t="s">
        <v>1135</v>
      </c>
      <c r="I230" s="150" t="s">
        <v>1135</v>
      </c>
      <c r="J230" s="150" t="s">
        <v>1135</v>
      </c>
      <c r="K230" s="150" t="s">
        <v>1137</v>
      </c>
      <c r="L230" s="511" t="s">
        <v>639</v>
      </c>
      <c r="M230" s="392" t="s">
        <v>2576</v>
      </c>
      <c r="N230" s="343" t="s">
        <v>2577</v>
      </c>
      <c r="O230" s="346" t="s">
        <v>1171</v>
      </c>
      <c r="P230" s="70" t="s">
        <v>887</v>
      </c>
      <c r="Q230" s="346"/>
      <c r="R230" s="346" t="s">
        <v>2578</v>
      </c>
      <c r="S230" s="346"/>
      <c r="T230" s="150" t="s">
        <v>64</v>
      </c>
      <c r="U230" s="150"/>
      <c r="V230" s="403"/>
      <c r="W230" s="406">
        <v>0</v>
      </c>
      <c r="X230" s="406">
        <v>5298.95</v>
      </c>
      <c r="Y230" s="430"/>
      <c r="Z230" s="137"/>
      <c r="AA230" s="426"/>
      <c r="AB230" s="427"/>
      <c r="AC230" s="427">
        <v>5298.95</v>
      </c>
      <c r="AD230" s="428">
        <v>0</v>
      </c>
      <c r="AE230" s="429">
        <v>0</v>
      </c>
      <c r="AF230" s="429">
        <v>0</v>
      </c>
      <c r="AG230" s="360">
        <v>0</v>
      </c>
      <c r="AH230" s="360">
        <v>0</v>
      </c>
      <c r="AI230" s="360">
        <v>0</v>
      </c>
      <c r="AJ230" s="360">
        <v>0</v>
      </c>
      <c r="AK230" s="360">
        <v>0</v>
      </c>
      <c r="AL230" s="360">
        <v>0</v>
      </c>
      <c r="AM230" s="360">
        <f t="shared" si="7"/>
        <v>5298.95</v>
      </c>
      <c r="AN230" s="362">
        <f>ERP_2[[#This Row],[2026 Working Total]]-ERP_2[[#This Row],[LE2 Final Submission]]</f>
        <v>0</v>
      </c>
      <c r="AO230" s="79">
        <v>0</v>
      </c>
      <c r="AP230" s="79">
        <f t="shared" si="8"/>
        <v>0</v>
      </c>
      <c r="AQ230" s="374">
        <f>SUM(ERP_2[[#This Row],[AP01]:[AP06]])-SUM(ERP_2[[#This Row],[AP01 LE2]:[AP06 LE2]])</f>
        <v>0</v>
      </c>
      <c r="AR230" s="80"/>
      <c r="AS230" s="79">
        <f>ERP_2[[#This Row],[2026 Working Total to Budget/LE]]-ERP_2[[#This Row],[Giveback]]</f>
        <v>0</v>
      </c>
      <c r="AT230" s="81"/>
      <c r="AU230" s="375"/>
      <c r="AV230" s="375"/>
      <c r="AW230" s="375">
        <v>5298.95</v>
      </c>
      <c r="AX230" s="375">
        <v>0</v>
      </c>
      <c r="AY230" s="375">
        <v>0</v>
      </c>
      <c r="AZ230" s="375">
        <v>0</v>
      </c>
      <c r="BA230" s="375">
        <v>0</v>
      </c>
      <c r="BB230" s="375">
        <v>0</v>
      </c>
      <c r="BC230" s="375">
        <v>0</v>
      </c>
      <c r="BD230" s="375">
        <v>0</v>
      </c>
      <c r="BE230" s="375">
        <v>0</v>
      </c>
      <c r="BF230" s="375">
        <v>0</v>
      </c>
      <c r="BG230" s="375">
        <v>5298.95</v>
      </c>
      <c r="BH230" s="79"/>
      <c r="BI230" s="79"/>
      <c r="BJ230" s="79">
        <v>5298.95</v>
      </c>
      <c r="BK230" s="79">
        <v>0</v>
      </c>
      <c r="BL230" s="79">
        <v>0</v>
      </c>
      <c r="BM230" s="79">
        <v>0</v>
      </c>
      <c r="BN230" s="79">
        <v>0</v>
      </c>
      <c r="BO230" s="79">
        <v>0</v>
      </c>
      <c r="BP230" s="79">
        <v>0</v>
      </c>
      <c r="BQ230" s="79">
        <v>0</v>
      </c>
      <c r="BR230" s="79">
        <v>0</v>
      </c>
      <c r="BS230" s="79">
        <v>0</v>
      </c>
      <c r="BT230" s="79">
        <v>5298.95</v>
      </c>
    </row>
    <row r="231" spans="1:72" ht="15" hidden="1" customHeight="1">
      <c r="A231" s="66" t="s">
        <v>2579</v>
      </c>
      <c r="B231" s="66"/>
      <c r="C231" s="66" t="s">
        <v>888</v>
      </c>
      <c r="D231" s="66" t="s">
        <v>2580</v>
      </c>
      <c r="E231" s="150" t="s">
        <v>1136</v>
      </c>
      <c r="F231" s="482" t="s">
        <v>1566</v>
      </c>
      <c r="G231" s="150" t="s">
        <v>1135</v>
      </c>
      <c r="H231" s="150" t="s">
        <v>1145</v>
      </c>
      <c r="I231" s="150" t="s">
        <v>1135</v>
      </c>
      <c r="J231" s="150" t="s">
        <v>1145</v>
      </c>
      <c r="K231" s="150" t="s">
        <v>1137</v>
      </c>
      <c r="L231" s="511" t="s">
        <v>639</v>
      </c>
      <c r="M231" s="392" t="s">
        <v>2581</v>
      </c>
      <c r="N231" s="343"/>
      <c r="O231" s="343"/>
      <c r="P231" s="70" t="s">
        <v>889</v>
      </c>
      <c r="Q231" s="346"/>
      <c r="R231" s="343"/>
      <c r="S231" s="346"/>
      <c r="T231" s="150" t="s">
        <v>25</v>
      </c>
      <c r="U231" s="150"/>
      <c r="V231" s="403"/>
      <c r="W231" s="406">
        <v>1190.6600000000001</v>
      </c>
      <c r="X231" s="406">
        <v>1190.6600000000001</v>
      </c>
      <c r="Y231" s="425"/>
      <c r="Z231" s="71"/>
      <c r="AA231" s="426"/>
      <c r="AB231" s="427"/>
      <c r="AC231" s="427"/>
      <c r="AD231" s="428" t="s">
        <v>1142</v>
      </c>
      <c r="AE231" s="429">
        <v>0</v>
      </c>
      <c r="AF231" s="429">
        <v>0</v>
      </c>
      <c r="AG231" s="360">
        <v>0</v>
      </c>
      <c r="AH231" s="360">
        <v>0</v>
      </c>
      <c r="AI231" s="360">
        <v>0</v>
      </c>
      <c r="AJ231" s="360">
        <v>0</v>
      </c>
      <c r="AK231" s="360">
        <v>0</v>
      </c>
      <c r="AL231" s="360">
        <v>0</v>
      </c>
      <c r="AM231" s="360">
        <f t="shared" si="7"/>
        <v>0</v>
      </c>
      <c r="AN231" s="362">
        <f>ERP_2[[#This Row],[2026 Working Total]]-ERP_2[[#This Row],[LE2 Final Submission]]</f>
        <v>-1190.6600000000001</v>
      </c>
      <c r="AO231" s="79"/>
      <c r="AP231" s="79">
        <f t="shared" si="8"/>
        <v>0</v>
      </c>
      <c r="AQ231" s="374">
        <f>SUM(ERP_2[[#This Row],[AP01]:[AP06]])-SUM(ERP_2[[#This Row],[AP01 LE2]:[AP06 LE2]])</f>
        <v>-1190.6600000000001</v>
      </c>
      <c r="AR231" s="80"/>
      <c r="AS231" s="79">
        <f>ERP_2[[#This Row],[2026 Working Total to Budget/LE]]-ERP_2[[#This Row],[Giveback]]</f>
        <v>-1190.6600000000001</v>
      </c>
      <c r="AT231" s="81"/>
      <c r="AU231" s="375"/>
      <c r="AV231" s="375"/>
      <c r="AW231" s="375"/>
      <c r="AX231" s="375"/>
      <c r="AY231" s="375"/>
      <c r="AZ231" s="375">
        <v>1190.6600000000001</v>
      </c>
      <c r="BA231" s="375">
        <v>0</v>
      </c>
      <c r="BB231" s="375">
        <v>0</v>
      </c>
      <c r="BC231" s="375">
        <v>0</v>
      </c>
      <c r="BD231" s="375">
        <v>0</v>
      </c>
      <c r="BE231" s="375">
        <v>0</v>
      </c>
      <c r="BF231" s="375">
        <v>0</v>
      </c>
      <c r="BG231" s="375">
        <v>1190.6600000000001</v>
      </c>
      <c r="BH231" s="79"/>
      <c r="BI231" s="79"/>
      <c r="BJ231" s="79"/>
      <c r="BK231" s="79"/>
      <c r="BL231" s="79"/>
      <c r="BM231" s="79">
        <v>1190.6600000000001</v>
      </c>
      <c r="BN231" s="79">
        <v>0</v>
      </c>
      <c r="BO231" s="79">
        <v>0</v>
      </c>
      <c r="BP231" s="79">
        <v>0</v>
      </c>
      <c r="BQ231" s="79">
        <v>0</v>
      </c>
      <c r="BR231" s="79">
        <v>0</v>
      </c>
      <c r="BS231" s="79">
        <v>0</v>
      </c>
      <c r="BT231" s="79">
        <v>1190.6600000000001</v>
      </c>
    </row>
    <row r="232" spans="1:72" ht="15" hidden="1" customHeight="1">
      <c r="A232" s="66" t="s">
        <v>2582</v>
      </c>
      <c r="B232" s="66"/>
      <c r="C232" s="66" t="s">
        <v>890</v>
      </c>
      <c r="D232" s="66" t="s">
        <v>2583</v>
      </c>
      <c r="E232" s="150" t="s">
        <v>1136</v>
      </c>
      <c r="F232" s="482" t="s">
        <v>1566</v>
      </c>
      <c r="G232" s="150" t="s">
        <v>1135</v>
      </c>
      <c r="H232" s="150" t="s">
        <v>1165</v>
      </c>
      <c r="I232" s="150" t="s">
        <v>1135</v>
      </c>
      <c r="J232" s="150" t="s">
        <v>1165</v>
      </c>
      <c r="K232" s="150" t="s">
        <v>1137</v>
      </c>
      <c r="L232" s="511" t="s">
        <v>639</v>
      </c>
      <c r="M232" s="392" t="s">
        <v>1952</v>
      </c>
      <c r="N232" s="343"/>
      <c r="O232" s="343"/>
      <c r="P232" s="70" t="s">
        <v>489</v>
      </c>
      <c r="Q232" s="346" t="s">
        <v>1153</v>
      </c>
      <c r="R232" s="343"/>
      <c r="S232" s="346"/>
      <c r="T232" s="150" t="s">
        <v>490</v>
      </c>
      <c r="U232" s="150"/>
      <c r="V232" s="403"/>
      <c r="W232" s="406">
        <v>23000</v>
      </c>
      <c r="X232" s="406">
        <v>21098.22</v>
      </c>
      <c r="Y232" s="425"/>
      <c r="Z232" s="71"/>
      <c r="AA232" s="426"/>
      <c r="AB232" s="427"/>
      <c r="AC232" s="427">
        <v>21098.22</v>
      </c>
      <c r="AD232" s="428">
        <v>0</v>
      </c>
      <c r="AE232" s="429">
        <v>0</v>
      </c>
      <c r="AF232" s="429">
        <v>0</v>
      </c>
      <c r="AG232" s="360">
        <v>0</v>
      </c>
      <c r="AH232" s="360">
        <v>0</v>
      </c>
      <c r="AI232" s="360">
        <v>0</v>
      </c>
      <c r="AJ232" s="360">
        <v>0</v>
      </c>
      <c r="AK232" s="360">
        <v>0</v>
      </c>
      <c r="AL232" s="360">
        <v>0</v>
      </c>
      <c r="AM232" s="360">
        <f t="shared" si="7"/>
        <v>21098.22</v>
      </c>
      <c r="AN232" s="362">
        <f>ERP_2[[#This Row],[2026 Working Total]]-ERP_2[[#This Row],[LE2 Final Submission]]</f>
        <v>0</v>
      </c>
      <c r="AO232" s="79">
        <v>0</v>
      </c>
      <c r="AP232" s="79">
        <f t="shared" si="8"/>
        <v>0</v>
      </c>
      <c r="AQ232" s="374">
        <f>SUM(ERP_2[[#This Row],[AP01]:[AP06]])-SUM(ERP_2[[#This Row],[AP01 LE2]:[AP06 LE2]])</f>
        <v>0</v>
      </c>
      <c r="AR232" s="80"/>
      <c r="AS232" s="79">
        <f>ERP_2[[#This Row],[2026 Working Total to Budget/LE]]-ERP_2[[#This Row],[Giveback]]</f>
        <v>0</v>
      </c>
      <c r="AT232" s="81"/>
      <c r="AU232" s="375"/>
      <c r="AV232" s="375"/>
      <c r="AW232" s="375">
        <v>21098.22</v>
      </c>
      <c r="AX232" s="375">
        <v>0</v>
      </c>
      <c r="AY232" s="375">
        <v>0</v>
      </c>
      <c r="AZ232" s="375">
        <v>0</v>
      </c>
      <c r="BA232" s="375">
        <v>0</v>
      </c>
      <c r="BB232" s="375">
        <v>0</v>
      </c>
      <c r="BC232" s="375">
        <v>0</v>
      </c>
      <c r="BD232" s="375">
        <v>0</v>
      </c>
      <c r="BE232" s="375">
        <v>0</v>
      </c>
      <c r="BF232" s="375">
        <v>0</v>
      </c>
      <c r="BG232" s="375">
        <v>21098.22</v>
      </c>
      <c r="BH232" s="79"/>
      <c r="BI232" s="79"/>
      <c r="BJ232" s="79">
        <v>21098.22</v>
      </c>
      <c r="BK232" s="79">
        <v>21098.22</v>
      </c>
      <c r="BL232" s="79">
        <v>0</v>
      </c>
      <c r="BM232" s="79">
        <v>0</v>
      </c>
      <c r="BN232" s="79">
        <v>0</v>
      </c>
      <c r="BO232" s="79">
        <v>0</v>
      </c>
      <c r="BP232" s="79">
        <v>0</v>
      </c>
      <c r="BQ232" s="79">
        <v>0</v>
      </c>
      <c r="BR232" s="79">
        <v>0</v>
      </c>
      <c r="BS232" s="79">
        <v>0</v>
      </c>
      <c r="BT232" s="79">
        <v>42196.44</v>
      </c>
    </row>
    <row r="233" spans="1:72" ht="15" hidden="1" customHeight="1">
      <c r="A233" s="66" t="s">
        <v>2584</v>
      </c>
      <c r="B233" s="66"/>
      <c r="C233" s="66" t="s">
        <v>891</v>
      </c>
      <c r="D233" s="66" t="s">
        <v>2585</v>
      </c>
      <c r="E233" s="150" t="s">
        <v>1136</v>
      </c>
      <c r="F233" s="482" t="s">
        <v>1566</v>
      </c>
      <c r="G233" s="150" t="s">
        <v>1135</v>
      </c>
      <c r="H233" s="150" t="s">
        <v>1165</v>
      </c>
      <c r="I233" s="150" t="s">
        <v>1135</v>
      </c>
      <c r="J233" s="150" t="s">
        <v>1165</v>
      </c>
      <c r="K233" s="150" t="s">
        <v>1137</v>
      </c>
      <c r="L233" s="511" t="s">
        <v>639</v>
      </c>
      <c r="M233" s="392" t="s">
        <v>2586</v>
      </c>
      <c r="N233" s="343"/>
      <c r="O233" s="343"/>
      <c r="P233" s="70" t="s">
        <v>892</v>
      </c>
      <c r="Q233" s="346"/>
      <c r="R233" s="343"/>
      <c r="S233" s="346"/>
      <c r="T233" s="150" t="s">
        <v>490</v>
      </c>
      <c r="U233" s="150"/>
      <c r="V233" s="403"/>
      <c r="W233" s="406">
        <v>35569</v>
      </c>
      <c r="X233" s="406">
        <v>35569</v>
      </c>
      <c r="Y233" s="425"/>
      <c r="Z233" s="71"/>
      <c r="AA233" s="426"/>
      <c r="AB233" s="427"/>
      <c r="AC233" s="427"/>
      <c r="AD233" s="428" t="s">
        <v>1142</v>
      </c>
      <c r="AE233" s="429">
        <v>0</v>
      </c>
      <c r="AF233" s="429">
        <v>0</v>
      </c>
      <c r="AG233" s="360"/>
      <c r="AH233" s="360">
        <v>35569</v>
      </c>
      <c r="AI233" s="360">
        <v>0</v>
      </c>
      <c r="AJ233" s="360">
        <v>0</v>
      </c>
      <c r="AK233" s="360">
        <v>0</v>
      </c>
      <c r="AL233" s="360">
        <v>0</v>
      </c>
      <c r="AM233" s="360">
        <f t="shared" si="7"/>
        <v>35569</v>
      </c>
      <c r="AN233" s="362">
        <f>ERP_2[[#This Row],[2026 Working Total]]-ERP_2[[#This Row],[LE2 Final Submission]]</f>
        <v>0</v>
      </c>
      <c r="AO233" s="79"/>
      <c r="AP233" s="79">
        <f t="shared" si="8"/>
        <v>0</v>
      </c>
      <c r="AQ233" s="374">
        <f>SUM(ERP_2[[#This Row],[AP01]:[AP06]])-SUM(ERP_2[[#This Row],[AP01 LE2]:[AP06 LE2]])</f>
        <v>-35569</v>
      </c>
      <c r="AR233" s="80"/>
      <c r="AS233" s="79">
        <f>ERP_2[[#This Row],[2026 Working Total to Budget/LE]]-ERP_2[[#This Row],[Giveback]]</f>
        <v>0</v>
      </c>
      <c r="AT233" s="81"/>
      <c r="AU233" s="375"/>
      <c r="AV233" s="375"/>
      <c r="AW233" s="375"/>
      <c r="AX233" s="375"/>
      <c r="AY233" s="375"/>
      <c r="AZ233" s="375">
        <v>35569</v>
      </c>
      <c r="BA233" s="375">
        <v>0</v>
      </c>
      <c r="BB233" s="375">
        <v>0</v>
      </c>
      <c r="BC233" s="375">
        <v>0</v>
      </c>
      <c r="BD233" s="375">
        <v>0</v>
      </c>
      <c r="BE233" s="375">
        <v>0</v>
      </c>
      <c r="BF233" s="375">
        <v>0</v>
      </c>
      <c r="BG233" s="375">
        <v>35569</v>
      </c>
      <c r="BH233" s="79"/>
      <c r="BI233" s="79"/>
      <c r="BJ233" s="79"/>
      <c r="BK233" s="79"/>
      <c r="BL233" s="79"/>
      <c r="BM233" s="79">
        <v>35569</v>
      </c>
      <c r="BN233" s="79">
        <v>0</v>
      </c>
      <c r="BO233" s="79">
        <v>0</v>
      </c>
      <c r="BP233" s="79">
        <v>0</v>
      </c>
      <c r="BQ233" s="79">
        <v>0</v>
      </c>
      <c r="BR233" s="79">
        <v>0</v>
      </c>
      <c r="BS233" s="79">
        <v>0</v>
      </c>
      <c r="BT233" s="79">
        <v>35569</v>
      </c>
    </row>
    <row r="234" spans="1:72" ht="15" hidden="1" customHeight="1">
      <c r="A234" s="66" t="s">
        <v>2587</v>
      </c>
      <c r="B234" s="66"/>
      <c r="C234" s="66" t="s">
        <v>893</v>
      </c>
      <c r="D234" s="66" t="s">
        <v>893</v>
      </c>
      <c r="E234" s="150" t="s">
        <v>1136</v>
      </c>
      <c r="F234" s="482" t="s">
        <v>1566</v>
      </c>
      <c r="G234" s="150" t="s">
        <v>1135</v>
      </c>
      <c r="H234" s="150" t="s">
        <v>1135</v>
      </c>
      <c r="I234" s="150" t="s">
        <v>1135</v>
      </c>
      <c r="J234" s="150" t="s">
        <v>1135</v>
      </c>
      <c r="K234" s="150" t="s">
        <v>1137</v>
      </c>
      <c r="L234" s="511" t="s">
        <v>639</v>
      </c>
      <c r="M234" s="392" t="s">
        <v>2588</v>
      </c>
      <c r="N234" s="343"/>
      <c r="O234" s="343"/>
      <c r="P234" s="70" t="s">
        <v>894</v>
      </c>
      <c r="Q234" s="346"/>
      <c r="R234" s="343"/>
      <c r="S234" s="346"/>
      <c r="T234" s="150" t="s">
        <v>25</v>
      </c>
      <c r="U234" s="150"/>
      <c r="V234" s="403"/>
      <c r="W234" s="406">
        <v>30000</v>
      </c>
      <c r="X234" s="406">
        <v>30000</v>
      </c>
      <c r="Y234" s="425"/>
      <c r="Z234" s="71"/>
      <c r="AA234" s="426"/>
      <c r="AB234" s="427"/>
      <c r="AC234" s="427"/>
      <c r="AD234" s="428" t="s">
        <v>1142</v>
      </c>
      <c r="AE234" s="429">
        <v>0</v>
      </c>
      <c r="AF234" s="429">
        <v>0</v>
      </c>
      <c r="AG234" s="363"/>
      <c r="AH234" s="363">
        <v>30000</v>
      </c>
      <c r="AI234" s="360">
        <v>0</v>
      </c>
      <c r="AJ234" s="360">
        <v>0</v>
      </c>
      <c r="AK234" s="360">
        <v>0</v>
      </c>
      <c r="AL234" s="360">
        <v>0</v>
      </c>
      <c r="AM234" s="360">
        <f t="shared" si="7"/>
        <v>30000</v>
      </c>
      <c r="AN234" s="362">
        <f>ERP_2[[#This Row],[2026 Working Total]]-ERP_2[[#This Row],[LE2 Final Submission]]</f>
        <v>0</v>
      </c>
      <c r="AO234" s="79"/>
      <c r="AP234" s="79">
        <f t="shared" si="8"/>
        <v>0</v>
      </c>
      <c r="AQ234" s="374">
        <f>SUM(ERP_2[[#This Row],[AP01]:[AP06]])-SUM(ERP_2[[#This Row],[AP01 LE2]:[AP06 LE2]])</f>
        <v>0</v>
      </c>
      <c r="AR234" s="80"/>
      <c r="AS234" s="79">
        <f>ERP_2[[#This Row],[2026 Working Total to Budget/LE]]-ERP_2[[#This Row],[Giveback]]</f>
        <v>0</v>
      </c>
      <c r="AT234" s="81"/>
      <c r="AU234" s="375"/>
      <c r="AV234" s="375"/>
      <c r="AW234" s="375"/>
      <c r="AX234" s="375"/>
      <c r="AY234" s="375"/>
      <c r="AZ234" s="375"/>
      <c r="BA234" s="375"/>
      <c r="BB234" s="375">
        <v>30000</v>
      </c>
      <c r="BC234" s="375">
        <v>0</v>
      </c>
      <c r="BD234" s="375">
        <v>0</v>
      </c>
      <c r="BE234" s="375">
        <v>0</v>
      </c>
      <c r="BF234" s="375">
        <v>0</v>
      </c>
      <c r="BG234" s="375">
        <v>30000</v>
      </c>
      <c r="BH234" s="79"/>
      <c r="BI234" s="79"/>
      <c r="BJ234" s="79"/>
      <c r="BK234" s="79"/>
      <c r="BL234" s="79"/>
      <c r="BM234" s="79"/>
      <c r="BN234" s="79"/>
      <c r="BO234" s="79">
        <v>30000</v>
      </c>
      <c r="BP234" s="79">
        <v>0</v>
      </c>
      <c r="BQ234" s="79">
        <v>0</v>
      </c>
      <c r="BR234" s="79">
        <v>0</v>
      </c>
      <c r="BS234" s="79">
        <v>0</v>
      </c>
      <c r="BT234" s="79">
        <v>30000</v>
      </c>
    </row>
    <row r="235" spans="1:72" ht="15" hidden="1" customHeight="1">
      <c r="A235" s="79" t="s">
        <v>2589</v>
      </c>
      <c r="B235" s="79"/>
      <c r="C235" s="79" t="s">
        <v>895</v>
      </c>
      <c r="D235" s="296" t="s">
        <v>895</v>
      </c>
      <c r="E235" s="150" t="s">
        <v>1136</v>
      </c>
      <c r="F235" s="482" t="s">
        <v>1566</v>
      </c>
      <c r="G235" s="150" t="s">
        <v>1135</v>
      </c>
      <c r="H235" s="150" t="s">
        <v>1135</v>
      </c>
      <c r="I235" s="332" t="s">
        <v>1135</v>
      </c>
      <c r="J235" s="383" t="s">
        <v>1135</v>
      </c>
      <c r="K235" s="331" t="s">
        <v>1137</v>
      </c>
      <c r="L235" s="512" t="s">
        <v>639</v>
      </c>
      <c r="M235" s="393" t="s">
        <v>2590</v>
      </c>
      <c r="N235" s="343" t="s">
        <v>2484</v>
      </c>
      <c r="O235" s="150" t="s">
        <v>1171</v>
      </c>
      <c r="P235" s="91" t="s">
        <v>896</v>
      </c>
      <c r="Q235" s="343"/>
      <c r="R235" s="346" t="s">
        <v>2591</v>
      </c>
      <c r="S235" s="346" t="s">
        <v>1710</v>
      </c>
      <c r="T235" s="386" t="s">
        <v>863</v>
      </c>
      <c r="U235" s="346" t="s">
        <v>1779</v>
      </c>
      <c r="V235" s="437"/>
      <c r="W235" s="358">
        <v>169614.9</v>
      </c>
      <c r="X235" s="378">
        <v>0</v>
      </c>
      <c r="Y235" s="425"/>
      <c r="Z235" s="71"/>
      <c r="AA235" s="433"/>
      <c r="AB235" s="434"/>
      <c r="AC235" s="434"/>
      <c r="AD235" s="428" t="s">
        <v>1142</v>
      </c>
      <c r="AE235" s="429">
        <v>0</v>
      </c>
      <c r="AF235" s="429">
        <v>0</v>
      </c>
      <c r="AG235" s="388">
        <v>0</v>
      </c>
      <c r="AH235" s="388">
        <v>0</v>
      </c>
      <c r="AI235" s="388">
        <v>0</v>
      </c>
      <c r="AJ235" s="388">
        <v>0</v>
      </c>
      <c r="AK235" s="388">
        <v>0</v>
      </c>
      <c r="AL235" s="388">
        <v>0</v>
      </c>
      <c r="AM235" s="360">
        <f t="shared" si="7"/>
        <v>0</v>
      </c>
      <c r="AN235" s="362">
        <f>ERP_2[[#This Row],[2026 Working Total]]-ERP_2[[#This Row],[LE2 Final Submission]]</f>
        <v>0</v>
      </c>
      <c r="AO235" s="79">
        <v>0</v>
      </c>
      <c r="AP235" s="79">
        <f t="shared" si="8"/>
        <v>0</v>
      </c>
      <c r="AQ235" s="374">
        <f>SUM(ERP_2[[#This Row],[AP01]:[AP06]])-SUM(ERP_2[[#This Row],[AP01 LE2]:[AP06 LE2]])</f>
        <v>0</v>
      </c>
      <c r="AR235" s="80"/>
      <c r="AS235" s="79">
        <f>ERP_2[[#This Row],[2026 Working Total to Budget/LE]]-ERP_2[[#This Row],[Giveback]]</f>
        <v>0</v>
      </c>
      <c r="AT235" s="81"/>
      <c r="AU235" s="375"/>
      <c r="AV235" s="375"/>
      <c r="AW235" s="375"/>
      <c r="AX235" s="375">
        <v>0</v>
      </c>
      <c r="AY235" s="375">
        <v>0</v>
      </c>
      <c r="AZ235" s="375">
        <v>0</v>
      </c>
      <c r="BA235" s="375">
        <v>0</v>
      </c>
      <c r="BB235" s="375">
        <v>0</v>
      </c>
      <c r="BC235" s="375">
        <v>0</v>
      </c>
      <c r="BD235" s="375">
        <v>0</v>
      </c>
      <c r="BE235" s="375">
        <v>0</v>
      </c>
      <c r="BF235" s="375">
        <v>0</v>
      </c>
      <c r="BG235" s="375">
        <v>0</v>
      </c>
      <c r="BH235" s="103">
        <v>169614.9</v>
      </c>
      <c r="BI235" s="103">
        <v>0</v>
      </c>
      <c r="BJ235" s="103">
        <v>0</v>
      </c>
      <c r="BK235" s="103">
        <v>0</v>
      </c>
      <c r="BL235" s="103">
        <v>0</v>
      </c>
      <c r="BM235" s="103">
        <v>0</v>
      </c>
      <c r="BN235" s="103">
        <v>0</v>
      </c>
      <c r="BO235" s="103">
        <v>0</v>
      </c>
      <c r="BP235" s="103">
        <v>0</v>
      </c>
      <c r="BQ235" s="103">
        <v>0</v>
      </c>
      <c r="BR235" s="103">
        <v>0</v>
      </c>
      <c r="BS235" s="103">
        <v>0</v>
      </c>
      <c r="BT235" s="79">
        <f>SUM(ERP_2[[#This Row],[2026 AP01]:[2026 AP12]])</f>
        <v>169614.9</v>
      </c>
    </row>
    <row r="236" spans="1:72" ht="15" hidden="1" customHeight="1">
      <c r="A236" s="79" t="s">
        <v>2592</v>
      </c>
      <c r="B236" s="79"/>
      <c r="C236" s="79" t="s">
        <v>897</v>
      </c>
      <c r="D236" s="296" t="s">
        <v>897</v>
      </c>
      <c r="E236" s="150" t="s">
        <v>1136</v>
      </c>
      <c r="F236" s="482" t="s">
        <v>1566</v>
      </c>
      <c r="G236" s="150" t="s">
        <v>1135</v>
      </c>
      <c r="H236" s="150" t="s">
        <v>1135</v>
      </c>
      <c r="I236" s="332" t="s">
        <v>1135</v>
      </c>
      <c r="J236" s="382" t="s">
        <v>1135</v>
      </c>
      <c r="K236" s="331" t="s">
        <v>1137</v>
      </c>
      <c r="L236" s="512" t="s">
        <v>639</v>
      </c>
      <c r="M236" s="394" t="s">
        <v>2593</v>
      </c>
      <c r="N236" s="343" t="s">
        <v>2484</v>
      </c>
      <c r="O236" s="150" t="s">
        <v>1171</v>
      </c>
      <c r="P236" s="122" t="s">
        <v>898</v>
      </c>
      <c r="Q236" s="343"/>
      <c r="R236" s="346" t="s">
        <v>2591</v>
      </c>
      <c r="S236" s="346" t="s">
        <v>1710</v>
      </c>
      <c r="T236" s="384" t="s">
        <v>863</v>
      </c>
      <c r="U236" s="346" t="s">
        <v>2499</v>
      </c>
      <c r="V236" s="437"/>
      <c r="W236" s="358">
        <v>-169614.9</v>
      </c>
      <c r="X236" s="378">
        <v>0</v>
      </c>
      <c r="Y236" s="430"/>
      <c r="Z236" s="137"/>
      <c r="AA236" s="433"/>
      <c r="AB236" s="434"/>
      <c r="AC236" s="434"/>
      <c r="AD236" s="428" t="s">
        <v>1142</v>
      </c>
      <c r="AE236" s="429">
        <v>0</v>
      </c>
      <c r="AF236" s="429">
        <v>0</v>
      </c>
      <c r="AG236" s="388">
        <v>0</v>
      </c>
      <c r="AH236" s="388">
        <v>0</v>
      </c>
      <c r="AI236" s="388">
        <v>0</v>
      </c>
      <c r="AJ236" s="388">
        <v>0</v>
      </c>
      <c r="AK236" s="388">
        <v>0</v>
      </c>
      <c r="AL236" s="388">
        <v>0</v>
      </c>
      <c r="AM236" s="360">
        <f t="shared" si="7"/>
        <v>0</v>
      </c>
      <c r="AN236" s="362">
        <f>ERP_2[[#This Row],[2026 Working Total]]-ERP_2[[#This Row],[LE2 Final Submission]]</f>
        <v>0</v>
      </c>
      <c r="AO236" s="79">
        <v>0</v>
      </c>
      <c r="AP236" s="79">
        <f t="shared" si="8"/>
        <v>0</v>
      </c>
      <c r="AQ236" s="374">
        <f>SUM(ERP_2[[#This Row],[AP01]:[AP06]])-SUM(ERP_2[[#This Row],[AP01 LE2]:[AP06 LE2]])</f>
        <v>0</v>
      </c>
      <c r="AR236" s="80"/>
      <c r="AS236" s="79">
        <f>ERP_2[[#This Row],[2026 Working Total to Budget/LE]]-ERP_2[[#This Row],[Giveback]]</f>
        <v>0</v>
      </c>
      <c r="AT236" s="81"/>
      <c r="AU236" s="375"/>
      <c r="AV236" s="375"/>
      <c r="AW236" s="375"/>
      <c r="AX236" s="375">
        <v>0</v>
      </c>
      <c r="AY236" s="375">
        <v>0</v>
      </c>
      <c r="AZ236" s="375">
        <v>0</v>
      </c>
      <c r="BA236" s="375">
        <v>0</v>
      </c>
      <c r="BB236" s="375">
        <v>0</v>
      </c>
      <c r="BC236" s="375">
        <v>0</v>
      </c>
      <c r="BD236" s="375">
        <v>0</v>
      </c>
      <c r="BE236" s="375">
        <v>0</v>
      </c>
      <c r="BF236" s="375">
        <v>0</v>
      </c>
      <c r="BG236" s="375">
        <v>0</v>
      </c>
      <c r="BH236" s="103">
        <v>-169614.9</v>
      </c>
      <c r="BI236" s="103">
        <v>0</v>
      </c>
      <c r="BJ236" s="103">
        <v>0</v>
      </c>
      <c r="BK236" s="103">
        <v>0</v>
      </c>
      <c r="BL236" s="103">
        <v>0</v>
      </c>
      <c r="BM236" s="103">
        <v>0</v>
      </c>
      <c r="BN236" s="103">
        <v>0</v>
      </c>
      <c r="BO236" s="103">
        <v>0</v>
      </c>
      <c r="BP236" s="103">
        <v>0</v>
      </c>
      <c r="BQ236" s="103">
        <v>0</v>
      </c>
      <c r="BR236" s="103">
        <v>0</v>
      </c>
      <c r="BS236" s="103">
        <v>0</v>
      </c>
      <c r="BT236" s="79">
        <f>SUM(ERP_2[[#This Row],[2026 AP01]:[2026 AP12]])</f>
        <v>-169614.9</v>
      </c>
    </row>
    <row r="237" spans="1:72" ht="15" hidden="1" customHeight="1">
      <c r="A237" s="66" t="s">
        <v>2875</v>
      </c>
      <c r="B237" s="66"/>
      <c r="C237" s="66" t="s">
        <v>34</v>
      </c>
      <c r="D237" s="66" t="s">
        <v>34</v>
      </c>
      <c r="E237" s="150" t="s">
        <v>1136</v>
      </c>
      <c r="F237" s="482" t="s">
        <v>1566</v>
      </c>
      <c r="G237" s="150" t="s">
        <v>1515</v>
      </c>
      <c r="H237" s="383" t="s">
        <v>1515</v>
      </c>
      <c r="I237" s="150" t="s">
        <v>1345</v>
      </c>
      <c r="J237" s="150" t="s">
        <v>1515</v>
      </c>
      <c r="K237" s="150" t="s">
        <v>1346</v>
      </c>
      <c r="L237" s="511" t="s">
        <v>22</v>
      </c>
      <c r="M237" s="392" t="s">
        <v>2868</v>
      </c>
      <c r="N237" s="343"/>
      <c r="O237" s="343"/>
      <c r="P237" s="70" t="s">
        <v>24</v>
      </c>
      <c r="Q237" s="346" t="s">
        <v>1139</v>
      </c>
      <c r="R237" s="346" t="s">
        <v>1140</v>
      </c>
      <c r="S237" s="346"/>
      <c r="T237" s="150" t="s">
        <v>25</v>
      </c>
      <c r="U237" s="150"/>
      <c r="V237" s="403"/>
      <c r="W237" s="406">
        <v>0</v>
      </c>
      <c r="X237" s="406">
        <v>0</v>
      </c>
      <c r="Y237" s="425"/>
      <c r="Z237" s="71"/>
      <c r="AA237" s="426"/>
      <c r="AB237" s="427"/>
      <c r="AC237" s="427"/>
      <c r="AD237" s="428" t="s">
        <v>1142</v>
      </c>
      <c r="AE237" s="429">
        <v>0</v>
      </c>
      <c r="AF237" s="429">
        <v>0</v>
      </c>
      <c r="AG237" s="360">
        <v>0</v>
      </c>
      <c r="AH237" s="360">
        <v>0</v>
      </c>
      <c r="AI237" s="360">
        <v>0</v>
      </c>
      <c r="AJ237" s="360">
        <v>0</v>
      </c>
      <c r="AK237" s="360">
        <v>0</v>
      </c>
      <c r="AL237" s="360">
        <v>0</v>
      </c>
      <c r="AM237" s="360">
        <f t="shared" si="7"/>
        <v>0</v>
      </c>
      <c r="AN237" s="362">
        <f>ERP_2[[#This Row],[2026 Working Total]]-ERP_2[[#This Row],[LE2 Final Submission]]</f>
        <v>0</v>
      </c>
      <c r="AO237" s="79">
        <v>0</v>
      </c>
      <c r="AP237" s="79">
        <f t="shared" si="8"/>
        <v>0</v>
      </c>
      <c r="AQ237" s="374">
        <f>SUM(ERP_2[[#This Row],[AP01]:[AP06]])-SUM(ERP_2[[#This Row],[AP01 LE2]:[AP06 LE2]])</f>
        <v>0</v>
      </c>
      <c r="AR237" s="80"/>
      <c r="AS237" s="79">
        <f>ERP_2[[#This Row],[2026 Working Total to Budget/LE]]-ERP_2[[#This Row],[Giveback]]</f>
        <v>0</v>
      </c>
      <c r="AT237" s="81"/>
      <c r="AU237" s="375"/>
      <c r="AV237" s="375"/>
      <c r="AW237" s="375"/>
      <c r="AX237" s="375">
        <v>0</v>
      </c>
      <c r="AY237" s="375">
        <v>0</v>
      </c>
      <c r="AZ237" s="375">
        <v>0</v>
      </c>
      <c r="BA237" s="375">
        <v>0</v>
      </c>
      <c r="BB237" s="375">
        <v>0</v>
      </c>
      <c r="BC237" s="375">
        <v>0</v>
      </c>
      <c r="BD237" s="375">
        <v>0</v>
      </c>
      <c r="BE237" s="375">
        <v>0</v>
      </c>
      <c r="BF237" s="375">
        <v>0</v>
      </c>
      <c r="BG237" s="375">
        <v>0</v>
      </c>
      <c r="BH237" s="79">
        <v>1989.38</v>
      </c>
      <c r="BI237" s="79">
        <v>2792.24</v>
      </c>
      <c r="BJ237" s="79">
        <v>4195.3599999999997</v>
      </c>
      <c r="BK237" s="79">
        <v>0</v>
      </c>
      <c r="BL237" s="79">
        <v>0</v>
      </c>
      <c r="BM237" s="79">
        <v>0</v>
      </c>
      <c r="BN237" s="79">
        <v>0</v>
      </c>
      <c r="BO237" s="79">
        <v>0</v>
      </c>
      <c r="BP237" s="79">
        <v>0</v>
      </c>
      <c r="BQ237" s="79">
        <v>0</v>
      </c>
      <c r="BR237" s="79">
        <v>0</v>
      </c>
      <c r="BS237" s="79">
        <v>0</v>
      </c>
      <c r="BT237" s="79">
        <v>8976.98</v>
      </c>
    </row>
    <row r="238" spans="1:72" ht="15" hidden="1" customHeight="1">
      <c r="A238" s="66" t="s">
        <v>2876</v>
      </c>
      <c r="B238" s="66"/>
      <c r="C238" s="66" t="s">
        <v>35</v>
      </c>
      <c r="D238" s="66" t="s">
        <v>35</v>
      </c>
      <c r="E238" s="150" t="s">
        <v>1136</v>
      </c>
      <c r="F238" s="482" t="s">
        <v>1566</v>
      </c>
      <c r="G238" s="150" t="s">
        <v>1515</v>
      </c>
      <c r="H238" s="383" t="s">
        <v>1515</v>
      </c>
      <c r="I238" s="150" t="s">
        <v>1345</v>
      </c>
      <c r="J238" s="150" t="s">
        <v>1515</v>
      </c>
      <c r="K238" s="150" t="s">
        <v>1346</v>
      </c>
      <c r="L238" s="511" t="s">
        <v>22</v>
      </c>
      <c r="M238" s="392" t="s">
        <v>2870</v>
      </c>
      <c r="N238" s="343"/>
      <c r="O238" s="343"/>
      <c r="P238" s="70" t="s">
        <v>27</v>
      </c>
      <c r="Q238" s="346" t="s">
        <v>1139</v>
      </c>
      <c r="R238" s="346" t="s">
        <v>1140</v>
      </c>
      <c r="S238" s="346"/>
      <c r="T238" s="150" t="s">
        <v>25</v>
      </c>
      <c r="U238" s="150"/>
      <c r="V238" s="403"/>
      <c r="W238" s="406">
        <v>0</v>
      </c>
      <c r="X238" s="406">
        <v>0</v>
      </c>
      <c r="Y238" s="425"/>
      <c r="Z238" s="71"/>
      <c r="AA238" s="426"/>
      <c r="AB238" s="427"/>
      <c r="AC238" s="427"/>
      <c r="AD238" s="428" t="s">
        <v>1142</v>
      </c>
      <c r="AE238" s="429">
        <v>0</v>
      </c>
      <c r="AF238" s="429">
        <v>0</v>
      </c>
      <c r="AG238" s="360">
        <v>0</v>
      </c>
      <c r="AH238" s="360">
        <v>0</v>
      </c>
      <c r="AI238" s="360">
        <v>0</v>
      </c>
      <c r="AJ238" s="360">
        <v>0</v>
      </c>
      <c r="AK238" s="360">
        <v>0</v>
      </c>
      <c r="AL238" s="360">
        <v>0</v>
      </c>
      <c r="AM238" s="360">
        <f t="shared" si="7"/>
        <v>0</v>
      </c>
      <c r="AN238" s="362">
        <f>ERP_2[[#This Row],[2026 Working Total]]-ERP_2[[#This Row],[LE2 Final Submission]]</f>
        <v>0</v>
      </c>
      <c r="AO238" s="79">
        <v>0</v>
      </c>
      <c r="AP238" s="79">
        <f t="shared" si="8"/>
        <v>0</v>
      </c>
      <c r="AQ238" s="374">
        <f>SUM(ERP_2[[#This Row],[AP01]:[AP06]])-SUM(ERP_2[[#This Row],[AP01 LE2]:[AP06 LE2]])</f>
        <v>0</v>
      </c>
      <c r="AR238" s="80"/>
      <c r="AS238" s="79">
        <f>ERP_2[[#This Row],[2026 Working Total to Budget/LE]]-ERP_2[[#This Row],[Giveback]]</f>
        <v>0</v>
      </c>
      <c r="AT238" s="81"/>
      <c r="AU238" s="375"/>
      <c r="AV238" s="375"/>
      <c r="AW238" s="375"/>
      <c r="AX238" s="375">
        <v>0</v>
      </c>
      <c r="AY238" s="375">
        <v>0</v>
      </c>
      <c r="AZ238" s="375">
        <v>0</v>
      </c>
      <c r="BA238" s="375">
        <v>0</v>
      </c>
      <c r="BB238" s="375">
        <v>0</v>
      </c>
      <c r="BC238" s="375">
        <v>0</v>
      </c>
      <c r="BD238" s="375">
        <v>0</v>
      </c>
      <c r="BE238" s="375">
        <v>0</v>
      </c>
      <c r="BF238" s="375">
        <v>0</v>
      </c>
      <c r="BG238" s="375">
        <v>0</v>
      </c>
      <c r="BH238" s="79">
        <v>2651.11</v>
      </c>
      <c r="BI238" s="79">
        <v>1336.03</v>
      </c>
      <c r="BJ238" s="79">
        <v>1800.7</v>
      </c>
      <c r="BK238" s="79">
        <v>0</v>
      </c>
      <c r="BL238" s="79">
        <v>0</v>
      </c>
      <c r="BM238" s="79">
        <v>0</v>
      </c>
      <c r="BN238" s="79">
        <v>0</v>
      </c>
      <c r="BO238" s="79">
        <v>0</v>
      </c>
      <c r="BP238" s="79">
        <v>0</v>
      </c>
      <c r="BQ238" s="79">
        <v>0</v>
      </c>
      <c r="BR238" s="79">
        <v>0</v>
      </c>
      <c r="BS238" s="79">
        <v>0</v>
      </c>
      <c r="BT238" s="79">
        <v>5787.84</v>
      </c>
    </row>
    <row r="239" spans="1:72" ht="15" hidden="1" customHeight="1">
      <c r="A239" s="66" t="s">
        <v>2877</v>
      </c>
      <c r="B239" s="66"/>
      <c r="C239" s="66" t="s">
        <v>36</v>
      </c>
      <c r="D239" s="66" t="s">
        <v>36</v>
      </c>
      <c r="E239" s="150" t="s">
        <v>1136</v>
      </c>
      <c r="F239" s="482" t="s">
        <v>1566</v>
      </c>
      <c r="G239" s="150" t="s">
        <v>1515</v>
      </c>
      <c r="H239" s="383" t="s">
        <v>1515</v>
      </c>
      <c r="I239" s="150" t="s">
        <v>1345</v>
      </c>
      <c r="J239" s="150" t="s">
        <v>1515</v>
      </c>
      <c r="K239" s="150" t="s">
        <v>1346</v>
      </c>
      <c r="L239" s="511" t="s">
        <v>22</v>
      </c>
      <c r="M239" s="392" t="s">
        <v>2872</v>
      </c>
      <c r="N239" s="343"/>
      <c r="O239" s="343"/>
      <c r="P239" s="70" t="s">
        <v>29</v>
      </c>
      <c r="Q239" s="346" t="s">
        <v>1139</v>
      </c>
      <c r="R239" s="346" t="s">
        <v>1140</v>
      </c>
      <c r="S239" s="346"/>
      <c r="T239" s="150" t="s">
        <v>25</v>
      </c>
      <c r="U239" s="150"/>
      <c r="V239" s="403"/>
      <c r="W239" s="406">
        <v>0</v>
      </c>
      <c r="X239" s="406">
        <v>0</v>
      </c>
      <c r="Y239" s="430"/>
      <c r="Z239" s="137"/>
      <c r="AA239" s="426"/>
      <c r="AB239" s="427"/>
      <c r="AC239" s="427"/>
      <c r="AD239" s="480"/>
      <c r="AE239" s="481"/>
      <c r="AF239" s="429">
        <v>14481.86</v>
      </c>
      <c r="AG239" s="533">
        <v>0</v>
      </c>
      <c r="AH239" s="533">
        <v>0</v>
      </c>
      <c r="AI239" s="533">
        <v>0</v>
      </c>
      <c r="AJ239" s="533">
        <v>0</v>
      </c>
      <c r="AK239" s="533">
        <v>0</v>
      </c>
      <c r="AL239" s="533">
        <v>0</v>
      </c>
      <c r="AM239" s="360">
        <f t="shared" si="7"/>
        <v>14481.86</v>
      </c>
      <c r="AN239" s="362">
        <f>ERP_2[[#This Row],[2026 Working Total]]-ERP_2[[#This Row],[LE2 Final Submission]]</f>
        <v>14481.86</v>
      </c>
      <c r="AO239" s="79">
        <v>0</v>
      </c>
      <c r="AP239" s="79">
        <f t="shared" si="8"/>
        <v>14481.86</v>
      </c>
      <c r="AQ239" s="374">
        <f>SUM(ERP_2[[#This Row],[AP01]:[AP06]])-SUM(ERP_2[[#This Row],[AP01 LE2]:[AP06 LE2]])</f>
        <v>14481.86</v>
      </c>
      <c r="AR239" s="80"/>
      <c r="AS239" s="79">
        <f>ERP_2[[#This Row],[2026 Working Total to Budget/LE]]-ERP_2[[#This Row],[Giveback]]</f>
        <v>14481.86</v>
      </c>
      <c r="AT239" s="81"/>
      <c r="AU239" s="375"/>
      <c r="AV239" s="375"/>
      <c r="AW239" s="375"/>
      <c r="AX239" s="375">
        <v>0</v>
      </c>
      <c r="AY239" s="375">
        <v>0</v>
      </c>
      <c r="AZ239" s="375">
        <v>0</v>
      </c>
      <c r="BA239" s="375">
        <v>0</v>
      </c>
      <c r="BB239" s="375">
        <v>0</v>
      </c>
      <c r="BC239" s="375">
        <v>0</v>
      </c>
      <c r="BD239" s="375">
        <v>0</v>
      </c>
      <c r="BE239" s="375">
        <v>0</v>
      </c>
      <c r="BF239" s="375">
        <v>0</v>
      </c>
      <c r="BG239" s="375">
        <v>0</v>
      </c>
      <c r="BH239" s="79">
        <v>9779.9</v>
      </c>
      <c r="BI239" s="79">
        <v>9779.8799999999992</v>
      </c>
      <c r="BJ239" s="79">
        <v>9779.8799999999992</v>
      </c>
      <c r="BK239" s="79">
        <v>0</v>
      </c>
      <c r="BL239" s="79">
        <v>0</v>
      </c>
      <c r="BM239" s="79">
        <v>0</v>
      </c>
      <c r="BN239" s="79">
        <v>0</v>
      </c>
      <c r="BO239" s="79">
        <v>0</v>
      </c>
      <c r="BP239" s="79">
        <v>0</v>
      </c>
      <c r="BQ239" s="79">
        <v>0</v>
      </c>
      <c r="BR239" s="79">
        <v>0</v>
      </c>
      <c r="BS239" s="79">
        <v>0</v>
      </c>
      <c r="BT239" s="79">
        <v>29339.659999999996</v>
      </c>
    </row>
    <row r="240" spans="1:72" s="15" customFormat="1" ht="15" hidden="1" customHeight="1">
      <c r="A240" s="79" t="s">
        <v>1343</v>
      </c>
      <c r="B240" s="79"/>
      <c r="C240" s="79" t="s">
        <v>150</v>
      </c>
      <c r="D240" s="296" t="s">
        <v>150</v>
      </c>
      <c r="E240" s="150" t="s">
        <v>1136</v>
      </c>
      <c r="F240" s="482" t="s">
        <v>1566</v>
      </c>
      <c r="G240" s="383" t="s">
        <v>1344</v>
      </c>
      <c r="H240" s="383" t="s">
        <v>1344</v>
      </c>
      <c r="I240" s="332" t="s">
        <v>1345</v>
      </c>
      <c r="J240" s="383" t="s">
        <v>1344</v>
      </c>
      <c r="K240" s="331" t="s">
        <v>1346</v>
      </c>
      <c r="L240" s="512" t="s">
        <v>49</v>
      </c>
      <c r="M240" s="393" t="s">
        <v>1347</v>
      </c>
      <c r="N240" s="343"/>
      <c r="O240" s="331"/>
      <c r="P240" s="91" t="s">
        <v>151</v>
      </c>
      <c r="Q240" s="343"/>
      <c r="R240" s="343"/>
      <c r="S240" s="348"/>
      <c r="T240" s="386" t="s">
        <v>152</v>
      </c>
      <c r="U240" s="387" t="s">
        <v>1348</v>
      </c>
      <c r="V240" s="432"/>
      <c r="W240" s="358">
        <v>70000.000000000015</v>
      </c>
      <c r="X240" s="378">
        <v>0</v>
      </c>
      <c r="Y240" s="425"/>
      <c r="Z240" s="71"/>
      <c r="AA240" s="433"/>
      <c r="AB240" s="434"/>
      <c r="AC240" s="434"/>
      <c r="AD240" s="428" t="s">
        <v>1142</v>
      </c>
      <c r="AE240" s="429">
        <v>0</v>
      </c>
      <c r="AF240" s="429">
        <v>0</v>
      </c>
      <c r="AG240" s="388">
        <v>0</v>
      </c>
      <c r="AH240" s="388">
        <v>0</v>
      </c>
      <c r="AI240" s="388">
        <v>0</v>
      </c>
      <c r="AJ240" s="388">
        <v>0</v>
      </c>
      <c r="AK240" s="388">
        <v>0</v>
      </c>
      <c r="AL240" s="388">
        <v>0</v>
      </c>
      <c r="AM240" s="360">
        <f t="shared" si="7"/>
        <v>0</v>
      </c>
      <c r="AN240" s="362">
        <f>ERP_2[[#This Row],[2026 Working Total]]-ERP_2[[#This Row],[LE2 Final Submission]]</f>
        <v>0</v>
      </c>
      <c r="AO240" s="79">
        <v>270798</v>
      </c>
      <c r="AP240" s="79">
        <f t="shared" si="8"/>
        <v>-270798</v>
      </c>
      <c r="AQ240" s="374">
        <f>SUM(ERP_2[[#This Row],[AP01]:[AP06]])-SUM(ERP_2[[#This Row],[AP01 LE2]:[AP06 LE2]])</f>
        <v>0</v>
      </c>
      <c r="AR240" s="80">
        <v>70000</v>
      </c>
      <c r="AS240" s="79">
        <f>ERP_2[[#This Row],[2026 Working Total to Budget/LE]]-ERP_2[[#This Row],[Giveback]]</f>
        <v>-70000</v>
      </c>
      <c r="AT240" s="81" t="s">
        <v>1349</v>
      </c>
      <c r="AU240" s="375"/>
      <c r="AV240" s="375"/>
      <c r="AW240" s="375"/>
      <c r="AX240" s="375">
        <v>0</v>
      </c>
      <c r="AY240" s="375">
        <v>0</v>
      </c>
      <c r="AZ240" s="375">
        <v>0</v>
      </c>
      <c r="BA240" s="375">
        <v>0</v>
      </c>
      <c r="BB240" s="375">
        <v>0</v>
      </c>
      <c r="BC240" s="375">
        <v>0</v>
      </c>
      <c r="BD240" s="375">
        <v>0</v>
      </c>
      <c r="BE240" s="375">
        <v>0</v>
      </c>
      <c r="BF240" s="375">
        <v>0</v>
      </c>
      <c r="BG240" s="375">
        <v>0</v>
      </c>
      <c r="BH240" s="103">
        <v>5833.37</v>
      </c>
      <c r="BI240" s="103">
        <v>5833.33</v>
      </c>
      <c r="BJ240" s="103">
        <v>5833.33</v>
      </c>
      <c r="BK240" s="103">
        <v>5833.33</v>
      </c>
      <c r="BL240" s="103">
        <v>5833.33</v>
      </c>
      <c r="BM240" s="103">
        <v>5833.33</v>
      </c>
      <c r="BN240" s="103">
        <v>5833.33</v>
      </c>
      <c r="BO240" s="103">
        <v>5833.33</v>
      </c>
      <c r="BP240" s="103">
        <v>5833.33</v>
      </c>
      <c r="BQ240" s="103">
        <v>5833.33</v>
      </c>
      <c r="BR240" s="103">
        <v>5833.33</v>
      </c>
      <c r="BS240" s="103">
        <v>5833.33</v>
      </c>
      <c r="BT240" s="79">
        <f>SUM(ERP_2[[#This Row],[2026 AP01]:[2026 AP12]])</f>
        <v>70000.000000000015</v>
      </c>
    </row>
    <row r="241" spans="1:72" ht="15" hidden="1" customHeight="1">
      <c r="A241" s="79" t="s">
        <v>1350</v>
      </c>
      <c r="B241" s="79"/>
      <c r="C241" s="79" t="s">
        <v>153</v>
      </c>
      <c r="D241" s="296" t="s">
        <v>153</v>
      </c>
      <c r="E241" s="150" t="s">
        <v>1136</v>
      </c>
      <c r="F241" s="482" t="s">
        <v>1566</v>
      </c>
      <c r="G241" s="383" t="s">
        <v>1344</v>
      </c>
      <c r="H241" s="383" t="s">
        <v>1344</v>
      </c>
      <c r="I241" s="332" t="s">
        <v>1345</v>
      </c>
      <c r="J241" s="383" t="s">
        <v>1344</v>
      </c>
      <c r="K241" s="331" t="s">
        <v>1346</v>
      </c>
      <c r="L241" s="512" t="s">
        <v>49</v>
      </c>
      <c r="M241" s="393" t="s">
        <v>1351</v>
      </c>
      <c r="N241" s="343"/>
      <c r="O241" s="331"/>
      <c r="P241" s="91" t="s">
        <v>154</v>
      </c>
      <c r="Q241" s="343"/>
      <c r="R241" s="343"/>
      <c r="S241" s="348"/>
      <c r="T241" s="386" t="s">
        <v>152</v>
      </c>
      <c r="U241" s="387" t="s">
        <v>1352</v>
      </c>
      <c r="V241" s="432"/>
      <c r="W241" s="358">
        <v>120000</v>
      </c>
      <c r="X241" s="378">
        <v>0</v>
      </c>
      <c r="Y241" s="425"/>
      <c r="Z241" s="71"/>
      <c r="AA241" s="433"/>
      <c r="AB241" s="434"/>
      <c r="AC241" s="434"/>
      <c r="AD241" s="428" t="s">
        <v>1142</v>
      </c>
      <c r="AE241" s="429">
        <v>0</v>
      </c>
      <c r="AF241" s="429">
        <v>0</v>
      </c>
      <c r="AG241" s="388">
        <v>0</v>
      </c>
      <c r="AH241" s="388">
        <v>0</v>
      </c>
      <c r="AI241" s="388">
        <v>0</v>
      </c>
      <c r="AJ241" s="388">
        <v>0</v>
      </c>
      <c r="AK241" s="388">
        <v>0</v>
      </c>
      <c r="AL241" s="388">
        <v>0</v>
      </c>
      <c r="AM241" s="360">
        <f t="shared" si="7"/>
        <v>0</v>
      </c>
      <c r="AN241" s="362">
        <f>ERP_2[[#This Row],[2026 Working Total]]-ERP_2[[#This Row],[LE2 Final Submission]]</f>
        <v>0</v>
      </c>
      <c r="AO241" s="79">
        <v>8695</v>
      </c>
      <c r="AP241" s="79">
        <f t="shared" si="8"/>
        <v>-8695</v>
      </c>
      <c r="AQ241" s="374">
        <f>SUM(ERP_2[[#This Row],[AP01]:[AP06]])-SUM(ERP_2[[#This Row],[AP01 LE2]:[AP06 LE2]])</f>
        <v>0</v>
      </c>
      <c r="AR241" s="80">
        <v>120000</v>
      </c>
      <c r="AS241" s="79">
        <f>ERP_2[[#This Row],[2026 Working Total to Budget/LE]]-ERP_2[[#This Row],[Giveback]]</f>
        <v>-120000</v>
      </c>
      <c r="AT241" s="81" t="s">
        <v>1349</v>
      </c>
      <c r="AU241" s="375"/>
      <c r="AV241" s="375"/>
      <c r="AW241" s="375"/>
      <c r="AX241" s="375">
        <v>0</v>
      </c>
      <c r="AY241" s="375">
        <v>0</v>
      </c>
      <c r="AZ241" s="375">
        <v>0</v>
      </c>
      <c r="BA241" s="375">
        <v>0</v>
      </c>
      <c r="BB241" s="375">
        <v>0</v>
      </c>
      <c r="BC241" s="375">
        <v>0</v>
      </c>
      <c r="BD241" s="375">
        <v>0</v>
      </c>
      <c r="BE241" s="375">
        <v>0</v>
      </c>
      <c r="BF241" s="375">
        <v>0</v>
      </c>
      <c r="BG241" s="375">
        <v>0</v>
      </c>
      <c r="BH241" s="103">
        <v>10000</v>
      </c>
      <c r="BI241" s="103">
        <v>10000</v>
      </c>
      <c r="BJ241" s="103">
        <v>10000</v>
      </c>
      <c r="BK241" s="103">
        <v>10000</v>
      </c>
      <c r="BL241" s="103">
        <v>10000</v>
      </c>
      <c r="BM241" s="103">
        <v>10000</v>
      </c>
      <c r="BN241" s="103">
        <v>10000</v>
      </c>
      <c r="BO241" s="103">
        <v>10000</v>
      </c>
      <c r="BP241" s="103">
        <v>10000</v>
      </c>
      <c r="BQ241" s="103">
        <v>10000</v>
      </c>
      <c r="BR241" s="103">
        <v>10000</v>
      </c>
      <c r="BS241" s="103">
        <v>10000</v>
      </c>
      <c r="BT241" s="79">
        <f>SUM(ERP_2[[#This Row],[2026 AP01]:[2026 AP12]])</f>
        <v>120000</v>
      </c>
    </row>
    <row r="242" spans="1:72" ht="15" hidden="1" customHeight="1">
      <c r="A242" s="79" t="s">
        <v>1353</v>
      </c>
      <c r="B242" s="79"/>
      <c r="C242" s="79" t="s">
        <v>155</v>
      </c>
      <c r="D242" s="296" t="s">
        <v>155</v>
      </c>
      <c r="E242" s="150" t="s">
        <v>1136</v>
      </c>
      <c r="F242" s="482" t="s">
        <v>1566</v>
      </c>
      <c r="G242" s="383" t="s">
        <v>1344</v>
      </c>
      <c r="H242" s="383" t="s">
        <v>1344</v>
      </c>
      <c r="I242" s="332" t="s">
        <v>1345</v>
      </c>
      <c r="J242" s="383" t="s">
        <v>1344</v>
      </c>
      <c r="K242" s="331" t="s">
        <v>1346</v>
      </c>
      <c r="L242" s="512" t="s">
        <v>49</v>
      </c>
      <c r="M242" s="393" t="s">
        <v>1354</v>
      </c>
      <c r="N242" s="343"/>
      <c r="O242" s="331"/>
      <c r="P242" s="91" t="s">
        <v>156</v>
      </c>
      <c r="Q242" s="343"/>
      <c r="R242" s="343"/>
      <c r="S242" s="348"/>
      <c r="T242" s="386" t="s">
        <v>152</v>
      </c>
      <c r="U242" s="387" t="s">
        <v>1348</v>
      </c>
      <c r="V242" s="432"/>
      <c r="W242" s="358">
        <v>70000.000000000015</v>
      </c>
      <c r="X242" s="378">
        <v>0</v>
      </c>
      <c r="Y242" s="430"/>
      <c r="Z242" s="137"/>
      <c r="AA242" s="433"/>
      <c r="AB242" s="434"/>
      <c r="AC242" s="434"/>
      <c r="AD242" s="428" t="s">
        <v>1142</v>
      </c>
      <c r="AE242" s="429">
        <v>0</v>
      </c>
      <c r="AF242" s="429">
        <v>0</v>
      </c>
      <c r="AG242" s="388">
        <v>0</v>
      </c>
      <c r="AH242" s="388">
        <v>0</v>
      </c>
      <c r="AI242" s="388">
        <v>0</v>
      </c>
      <c r="AJ242" s="388">
        <v>0</v>
      </c>
      <c r="AK242" s="388">
        <v>0</v>
      </c>
      <c r="AL242" s="388">
        <v>0</v>
      </c>
      <c r="AM242" s="360">
        <f t="shared" si="7"/>
        <v>0</v>
      </c>
      <c r="AN242" s="362">
        <f>ERP_2[[#This Row],[2026 Working Total]]-ERP_2[[#This Row],[LE2 Final Submission]]</f>
        <v>0</v>
      </c>
      <c r="AO242" s="79">
        <v>1014</v>
      </c>
      <c r="AP242" s="79">
        <f t="shared" si="8"/>
        <v>-1014</v>
      </c>
      <c r="AQ242" s="374">
        <f>SUM(ERP_2[[#This Row],[AP01]:[AP06]])-SUM(ERP_2[[#This Row],[AP01 LE2]:[AP06 LE2]])</f>
        <v>0</v>
      </c>
      <c r="AR242" s="80">
        <v>70000</v>
      </c>
      <c r="AS242" s="79">
        <f>ERP_2[[#This Row],[2026 Working Total to Budget/LE]]-ERP_2[[#This Row],[Giveback]]</f>
        <v>-70000</v>
      </c>
      <c r="AT242" s="81" t="s">
        <v>1349</v>
      </c>
      <c r="AU242" s="375"/>
      <c r="AV242" s="375"/>
      <c r="AW242" s="375"/>
      <c r="AX242" s="375">
        <v>0</v>
      </c>
      <c r="AY242" s="375">
        <v>0</v>
      </c>
      <c r="AZ242" s="375">
        <v>0</v>
      </c>
      <c r="BA242" s="375">
        <v>0</v>
      </c>
      <c r="BB242" s="375">
        <v>0</v>
      </c>
      <c r="BC242" s="375">
        <v>0</v>
      </c>
      <c r="BD242" s="375">
        <v>0</v>
      </c>
      <c r="BE242" s="375">
        <v>0</v>
      </c>
      <c r="BF242" s="375">
        <v>0</v>
      </c>
      <c r="BG242" s="375">
        <v>0</v>
      </c>
      <c r="BH242" s="103">
        <v>5833.37</v>
      </c>
      <c r="BI242" s="103">
        <v>5833.33</v>
      </c>
      <c r="BJ242" s="103">
        <v>5833.33</v>
      </c>
      <c r="BK242" s="103">
        <v>5833.33</v>
      </c>
      <c r="BL242" s="103">
        <v>5833.33</v>
      </c>
      <c r="BM242" s="103">
        <v>5833.33</v>
      </c>
      <c r="BN242" s="103">
        <v>5833.33</v>
      </c>
      <c r="BO242" s="103">
        <v>5833.33</v>
      </c>
      <c r="BP242" s="103">
        <v>5833.33</v>
      </c>
      <c r="BQ242" s="103">
        <v>5833.33</v>
      </c>
      <c r="BR242" s="103">
        <v>5833.33</v>
      </c>
      <c r="BS242" s="103">
        <v>5833.33</v>
      </c>
      <c r="BT242" s="79">
        <f>SUM(ERP_2[[#This Row],[2026 AP01]:[2026 AP12]])</f>
        <v>70000.000000000015</v>
      </c>
    </row>
    <row r="243" spans="1:72" ht="15" hidden="1" customHeight="1">
      <c r="A243" s="79" t="s">
        <v>1355</v>
      </c>
      <c r="B243" s="79"/>
      <c r="C243" s="79" t="s">
        <v>157</v>
      </c>
      <c r="D243" s="296" t="s">
        <v>157</v>
      </c>
      <c r="E243" s="150" t="s">
        <v>1136</v>
      </c>
      <c r="F243" s="482" t="s">
        <v>1566</v>
      </c>
      <c r="G243" s="383" t="s">
        <v>1344</v>
      </c>
      <c r="H243" s="383" t="s">
        <v>1344</v>
      </c>
      <c r="I243" s="332" t="s">
        <v>1345</v>
      </c>
      <c r="J243" s="383" t="s">
        <v>1344</v>
      </c>
      <c r="K243" s="331" t="s">
        <v>1346</v>
      </c>
      <c r="L243" s="512" t="s">
        <v>49</v>
      </c>
      <c r="M243" s="393" t="s">
        <v>1356</v>
      </c>
      <c r="N243" s="343"/>
      <c r="O243" s="331"/>
      <c r="P243" s="91" t="s">
        <v>158</v>
      </c>
      <c r="Q243" s="343"/>
      <c r="R243" s="343"/>
      <c r="S243" s="348"/>
      <c r="T243" s="386" t="s">
        <v>152</v>
      </c>
      <c r="U243" s="387" t="s">
        <v>1348</v>
      </c>
      <c r="V243" s="432"/>
      <c r="W243" s="358">
        <v>140000</v>
      </c>
      <c r="X243" s="378">
        <v>0</v>
      </c>
      <c r="Y243" s="425"/>
      <c r="Z243" s="71"/>
      <c r="AA243" s="433"/>
      <c r="AB243" s="434"/>
      <c r="AC243" s="434"/>
      <c r="AD243" s="428" t="s">
        <v>1142</v>
      </c>
      <c r="AE243" s="429">
        <v>0</v>
      </c>
      <c r="AF243" s="429">
        <v>0</v>
      </c>
      <c r="AG243" s="388">
        <v>0</v>
      </c>
      <c r="AH243" s="388">
        <v>0</v>
      </c>
      <c r="AI243" s="388">
        <v>0</v>
      </c>
      <c r="AJ243" s="388">
        <v>0</v>
      </c>
      <c r="AK243" s="388">
        <v>0</v>
      </c>
      <c r="AL243" s="388">
        <v>0</v>
      </c>
      <c r="AM243" s="360">
        <f t="shared" si="7"/>
        <v>0</v>
      </c>
      <c r="AN243" s="362">
        <f>ERP_2[[#This Row],[2026 Working Total]]-ERP_2[[#This Row],[LE2 Final Submission]]</f>
        <v>0</v>
      </c>
      <c r="AO243" s="79">
        <v>2213.166667</v>
      </c>
      <c r="AP243" s="79">
        <f t="shared" si="8"/>
        <v>-2213.166667</v>
      </c>
      <c r="AQ243" s="374">
        <f>SUM(ERP_2[[#This Row],[AP01]:[AP06]])-SUM(ERP_2[[#This Row],[AP01 LE2]:[AP06 LE2]])</f>
        <v>0</v>
      </c>
      <c r="AR243" s="80">
        <v>140000</v>
      </c>
      <c r="AS243" s="79">
        <f>ERP_2[[#This Row],[2026 Working Total to Budget/LE]]-ERP_2[[#This Row],[Giveback]]</f>
        <v>-140000</v>
      </c>
      <c r="AT243" s="81" t="s">
        <v>1349</v>
      </c>
      <c r="AU243" s="375"/>
      <c r="AV243" s="375"/>
      <c r="AW243" s="375"/>
      <c r="AX243" s="375">
        <v>0</v>
      </c>
      <c r="AY243" s="375">
        <v>0</v>
      </c>
      <c r="AZ243" s="375">
        <v>0</v>
      </c>
      <c r="BA243" s="375">
        <v>0</v>
      </c>
      <c r="BB243" s="375">
        <v>0</v>
      </c>
      <c r="BC243" s="375">
        <v>0</v>
      </c>
      <c r="BD243" s="375">
        <v>0</v>
      </c>
      <c r="BE243" s="375">
        <v>0</v>
      </c>
      <c r="BF243" s="375">
        <v>0</v>
      </c>
      <c r="BG243" s="375">
        <v>0</v>
      </c>
      <c r="BH243" s="103">
        <v>11666.63</v>
      </c>
      <c r="BI243" s="103">
        <v>11666.67</v>
      </c>
      <c r="BJ243" s="103">
        <v>11666.67</v>
      </c>
      <c r="BK243" s="103">
        <v>11666.67</v>
      </c>
      <c r="BL243" s="103">
        <v>11666.67</v>
      </c>
      <c r="BM243" s="103">
        <v>11666.67</v>
      </c>
      <c r="BN243" s="103">
        <v>11666.67</v>
      </c>
      <c r="BO243" s="103">
        <v>11666.67</v>
      </c>
      <c r="BP243" s="103">
        <v>11666.67</v>
      </c>
      <c r="BQ243" s="103">
        <v>11666.67</v>
      </c>
      <c r="BR243" s="103">
        <v>11666.67</v>
      </c>
      <c r="BS243" s="103">
        <v>11666.67</v>
      </c>
      <c r="BT243" s="79">
        <f>SUM(ERP_2[[#This Row],[2026 AP01]:[2026 AP12]])</f>
        <v>140000</v>
      </c>
    </row>
    <row r="244" spans="1:72" ht="15" hidden="1" customHeight="1">
      <c r="A244" s="66" t="s">
        <v>1357</v>
      </c>
      <c r="B244" s="66"/>
      <c r="C244" s="66" t="s">
        <v>159</v>
      </c>
      <c r="D244" s="66" t="s">
        <v>159</v>
      </c>
      <c r="E244" s="150" t="s">
        <v>1136</v>
      </c>
      <c r="F244" s="482" t="s">
        <v>1566</v>
      </c>
      <c r="G244" s="383" t="s">
        <v>1344</v>
      </c>
      <c r="H244" s="383" t="s">
        <v>1344</v>
      </c>
      <c r="I244" s="150" t="s">
        <v>1345</v>
      </c>
      <c r="J244" s="150" t="s">
        <v>1344</v>
      </c>
      <c r="K244" s="150" t="s">
        <v>1346</v>
      </c>
      <c r="L244" s="511" t="s">
        <v>49</v>
      </c>
      <c r="M244" s="392" t="s">
        <v>1147</v>
      </c>
      <c r="N244" s="343"/>
      <c r="O244" s="343"/>
      <c r="P244" s="70" t="s">
        <v>53</v>
      </c>
      <c r="Q244" s="346" t="s">
        <v>1153</v>
      </c>
      <c r="R244" s="343"/>
      <c r="S244" s="346"/>
      <c r="T244" s="150" t="s">
        <v>25</v>
      </c>
      <c r="U244" s="150" t="s">
        <v>1359</v>
      </c>
      <c r="V244" s="403"/>
      <c r="W244" s="406">
        <v>0</v>
      </c>
      <c r="X244" s="406">
        <v>130143</v>
      </c>
      <c r="Y244" s="425"/>
      <c r="Z244" s="71"/>
      <c r="AA244" s="426">
        <v>91657</v>
      </c>
      <c r="AB244" s="427">
        <v>-50311</v>
      </c>
      <c r="AC244" s="427">
        <v>88797</v>
      </c>
      <c r="AD244" s="428">
        <v>142812</v>
      </c>
      <c r="AE244" s="429">
        <v>-181452</v>
      </c>
      <c r="AF244" s="429">
        <v>124380</v>
      </c>
      <c r="AG244" s="360">
        <v>0</v>
      </c>
      <c r="AH244" s="360">
        <v>0</v>
      </c>
      <c r="AI244" s="360">
        <v>0</v>
      </c>
      <c r="AJ244" s="360">
        <v>0</v>
      </c>
      <c r="AK244" s="360">
        <v>0</v>
      </c>
      <c r="AL244" s="360">
        <v>38640</v>
      </c>
      <c r="AM244" s="360">
        <f t="shared" si="7"/>
        <v>254523</v>
      </c>
      <c r="AN244" s="362">
        <f>ERP_2[[#This Row],[2026 Working Total]]-ERP_2[[#This Row],[LE2 Final Submission]]</f>
        <v>124380</v>
      </c>
      <c r="AO244" s="79">
        <v>0</v>
      </c>
      <c r="AP244" s="79">
        <f t="shared" si="8"/>
        <v>124380</v>
      </c>
      <c r="AQ244" s="374">
        <f>SUM(ERP_2[[#This Row],[AP01]:[AP06]])-SUM(ERP_2[[#This Row],[AP01 LE2]:[AP06 LE2]])</f>
        <v>85740</v>
      </c>
      <c r="AR244" s="80"/>
      <c r="AS244" s="79">
        <f>ERP_2[[#This Row],[2026 Working Total to Budget/LE]]-ERP_2[[#This Row],[Giveback]]</f>
        <v>124380</v>
      </c>
      <c r="AT244" s="155" t="s">
        <v>1360</v>
      </c>
      <c r="AU244" s="375">
        <v>91657</v>
      </c>
      <c r="AV244" s="375">
        <v>-50311</v>
      </c>
      <c r="AW244" s="375">
        <v>88797</v>
      </c>
      <c r="AX244" s="375">
        <v>0</v>
      </c>
      <c r="AY244" s="375">
        <v>0</v>
      </c>
      <c r="AZ244" s="375">
        <v>0</v>
      </c>
      <c r="BA244" s="375">
        <v>0</v>
      </c>
      <c r="BB244" s="375">
        <v>0</v>
      </c>
      <c r="BC244" s="375">
        <v>0</v>
      </c>
      <c r="BD244" s="375">
        <v>0</v>
      </c>
      <c r="BE244" s="375">
        <v>0</v>
      </c>
      <c r="BF244" s="375">
        <v>0</v>
      </c>
      <c r="BG244" s="375">
        <v>130143</v>
      </c>
      <c r="BH244" s="79">
        <v>91657</v>
      </c>
      <c r="BI244" s="79">
        <v>-50311</v>
      </c>
      <c r="BJ244" s="79">
        <v>88797</v>
      </c>
      <c r="BK244" s="79">
        <v>0</v>
      </c>
      <c r="BL244" s="79">
        <v>0</v>
      </c>
      <c r="BM244" s="79">
        <v>0</v>
      </c>
      <c r="BN244" s="79">
        <v>0</v>
      </c>
      <c r="BO244" s="79">
        <v>0</v>
      </c>
      <c r="BP244" s="79">
        <v>0</v>
      </c>
      <c r="BQ244" s="79">
        <v>0</v>
      </c>
      <c r="BR244" s="79">
        <v>0</v>
      </c>
      <c r="BS244" s="79">
        <v>0</v>
      </c>
      <c r="BT244" s="79">
        <v>130143</v>
      </c>
    </row>
    <row r="245" spans="1:72" ht="15" hidden="1" customHeight="1">
      <c r="A245" s="66" t="s">
        <v>1361</v>
      </c>
      <c r="B245" s="66"/>
      <c r="C245" s="66" t="s">
        <v>160</v>
      </c>
      <c r="D245" s="66" t="s">
        <v>160</v>
      </c>
      <c r="E245" s="150" t="s">
        <v>1136</v>
      </c>
      <c r="F245" s="482" t="s">
        <v>1566</v>
      </c>
      <c r="G245" s="383" t="s">
        <v>1344</v>
      </c>
      <c r="H245" s="383" t="s">
        <v>1344</v>
      </c>
      <c r="I245" s="150" t="s">
        <v>1345</v>
      </c>
      <c r="J245" s="150" t="s">
        <v>1344</v>
      </c>
      <c r="K245" s="150" t="s">
        <v>1346</v>
      </c>
      <c r="L245" s="511" t="s">
        <v>49</v>
      </c>
      <c r="M245" s="392" t="s">
        <v>1362</v>
      </c>
      <c r="N245" s="343"/>
      <c r="O245" s="346" t="s">
        <v>1363</v>
      </c>
      <c r="P245" s="70" t="s">
        <v>161</v>
      </c>
      <c r="Q245" s="346"/>
      <c r="R245" s="346" t="s">
        <v>1364</v>
      </c>
      <c r="S245" s="346"/>
      <c r="T245" s="150" t="s">
        <v>25</v>
      </c>
      <c r="U245" s="150"/>
      <c r="V245" s="403"/>
      <c r="W245" s="406">
        <v>0</v>
      </c>
      <c r="X245" s="406">
        <v>0.1499999999996362</v>
      </c>
      <c r="Y245" s="430"/>
      <c r="Z245" s="137"/>
      <c r="AA245" s="426"/>
      <c r="AB245" s="427">
        <v>-16768</v>
      </c>
      <c r="AC245" s="427">
        <v>12756.15</v>
      </c>
      <c r="AD245" s="428">
        <v>6266.17</v>
      </c>
      <c r="AE245" s="429">
        <v>6266.17</v>
      </c>
      <c r="AF245" s="429">
        <v>7832.72</v>
      </c>
      <c r="AG245" s="360">
        <v>-8520</v>
      </c>
      <c r="AH245" s="360">
        <v>0</v>
      </c>
      <c r="AI245" s="360">
        <v>0</v>
      </c>
      <c r="AJ245" s="360">
        <v>0</v>
      </c>
      <c r="AK245" s="360">
        <v>0</v>
      </c>
      <c r="AL245" s="360">
        <v>0</v>
      </c>
      <c r="AM245" s="360">
        <f t="shared" si="7"/>
        <v>7833.2099999999991</v>
      </c>
      <c r="AN245" s="362">
        <f>ERP_2[[#This Row],[2026 Working Total]]-ERP_2[[#This Row],[LE2 Final Submission]]</f>
        <v>7833.0599999999995</v>
      </c>
      <c r="AO245" s="79">
        <v>4012</v>
      </c>
      <c r="AP245" s="79">
        <f t="shared" si="8"/>
        <v>3820.7200000000003</v>
      </c>
      <c r="AQ245" s="374">
        <f>SUM(ERP_2[[#This Row],[AP01]:[AP06]])-SUM(ERP_2[[#This Row],[AP01 LE2]:[AP06 LE2]])</f>
        <v>16353.06</v>
      </c>
      <c r="AR245" s="80"/>
      <c r="AS245" s="79">
        <f>ERP_2[[#This Row],[2026 Working Total to Budget/LE]]-ERP_2[[#This Row],[Giveback]]</f>
        <v>7833.0599999999995</v>
      </c>
      <c r="AT245" s="81" t="s">
        <v>1365</v>
      </c>
      <c r="AU245" s="375"/>
      <c r="AV245" s="375">
        <v>-16768</v>
      </c>
      <c r="AW245" s="375">
        <v>12756.15</v>
      </c>
      <c r="AX245" s="375">
        <v>0</v>
      </c>
      <c r="AY245" s="375">
        <v>4012</v>
      </c>
      <c r="AZ245" s="375">
        <v>0</v>
      </c>
      <c r="BA245" s="375">
        <v>0</v>
      </c>
      <c r="BB245" s="375">
        <v>0</v>
      </c>
      <c r="BC245" s="375">
        <v>0</v>
      </c>
      <c r="BD245" s="375">
        <v>0</v>
      </c>
      <c r="BE245" s="375">
        <v>0</v>
      </c>
      <c r="BF245" s="375">
        <v>0</v>
      </c>
      <c r="BG245" s="375">
        <v>0.1499999999996362</v>
      </c>
      <c r="BH245" s="79"/>
      <c r="BI245" s="79">
        <v>-16768</v>
      </c>
      <c r="BJ245" s="79">
        <v>12756.15</v>
      </c>
      <c r="BK245" s="79">
        <v>0</v>
      </c>
      <c r="BL245" s="79">
        <v>0</v>
      </c>
      <c r="BM245" s="79">
        <v>0</v>
      </c>
      <c r="BN245" s="79">
        <v>0</v>
      </c>
      <c r="BO245" s="79">
        <v>0</v>
      </c>
      <c r="BP245" s="79">
        <v>0</v>
      </c>
      <c r="BQ245" s="79">
        <v>0</v>
      </c>
      <c r="BR245" s="79">
        <v>0</v>
      </c>
      <c r="BS245" s="79">
        <v>0</v>
      </c>
      <c r="BT245" s="79">
        <v>-4011.8500000000004</v>
      </c>
    </row>
    <row r="246" spans="1:72" ht="15" hidden="1" customHeight="1">
      <c r="A246" s="162" t="s">
        <v>1366</v>
      </c>
      <c r="B246" s="162"/>
      <c r="C246" s="162" t="s">
        <v>162</v>
      </c>
      <c r="D246" s="66" t="s">
        <v>162</v>
      </c>
      <c r="E246" s="150" t="s">
        <v>1136</v>
      </c>
      <c r="F246" s="482" t="s">
        <v>1566</v>
      </c>
      <c r="G246" s="383" t="s">
        <v>1344</v>
      </c>
      <c r="H246" s="383" t="s">
        <v>1344</v>
      </c>
      <c r="I246" s="150" t="s">
        <v>1345</v>
      </c>
      <c r="J246" s="150" t="s">
        <v>1344</v>
      </c>
      <c r="K246" s="184" t="s">
        <v>1346</v>
      </c>
      <c r="L246" s="515" t="s">
        <v>49</v>
      </c>
      <c r="M246" s="392" t="s">
        <v>1367</v>
      </c>
      <c r="N246" s="343"/>
      <c r="O246" s="343"/>
      <c r="P246" s="92" t="s">
        <v>163</v>
      </c>
      <c r="Q246" s="346" t="s">
        <v>1139</v>
      </c>
      <c r="R246" s="343"/>
      <c r="S246" s="346"/>
      <c r="T246" s="150" t="s">
        <v>25</v>
      </c>
      <c r="U246" s="184"/>
      <c r="V246" s="415"/>
      <c r="W246" s="416">
        <v>0</v>
      </c>
      <c r="X246" s="416">
        <v>3558.41</v>
      </c>
      <c r="Y246" s="425"/>
      <c r="Z246" s="71"/>
      <c r="AA246" s="438">
        <v>3558.41</v>
      </c>
      <c r="AB246" s="439">
        <v>0</v>
      </c>
      <c r="AC246" s="439">
        <v>0</v>
      </c>
      <c r="AD246" s="428">
        <v>0</v>
      </c>
      <c r="AE246" s="429">
        <v>0</v>
      </c>
      <c r="AF246" s="429">
        <v>0</v>
      </c>
      <c r="AG246" s="366">
        <v>0</v>
      </c>
      <c r="AH246" s="366">
        <v>0</v>
      </c>
      <c r="AI246" s="366">
        <v>0</v>
      </c>
      <c r="AJ246" s="366">
        <v>0</v>
      </c>
      <c r="AK246" s="366">
        <v>0</v>
      </c>
      <c r="AL246" s="366">
        <v>0</v>
      </c>
      <c r="AM246" s="366">
        <f t="shared" si="7"/>
        <v>3558.41</v>
      </c>
      <c r="AN246" s="362">
        <f>ERP_2[[#This Row],[2026 Working Total]]-ERP_2[[#This Row],[LE2 Final Submission]]</f>
        <v>0</v>
      </c>
      <c r="AO246" s="172">
        <v>0</v>
      </c>
      <c r="AP246" s="172">
        <f t="shared" si="8"/>
        <v>0</v>
      </c>
      <c r="AQ246" s="374">
        <f>SUM(ERP_2[[#This Row],[AP01]:[AP06]])-SUM(ERP_2[[#This Row],[AP01 LE2]:[AP06 LE2]])</f>
        <v>0</v>
      </c>
      <c r="AR246" s="173"/>
      <c r="AS246" s="172">
        <f>ERP_2[[#This Row],[2026 Working Total to Budget/LE]]-ERP_2[[#This Row],[Giveback]]</f>
        <v>0</v>
      </c>
      <c r="AT246" s="155" t="s">
        <v>1368</v>
      </c>
      <c r="AU246" s="375">
        <v>3558.41</v>
      </c>
      <c r="AV246" s="375">
        <v>0</v>
      </c>
      <c r="AW246" s="375">
        <v>0</v>
      </c>
      <c r="AX246" s="375">
        <v>0</v>
      </c>
      <c r="AY246" s="375">
        <v>0</v>
      </c>
      <c r="AZ246" s="375">
        <v>0</v>
      </c>
      <c r="BA246" s="375">
        <v>0</v>
      </c>
      <c r="BB246" s="375">
        <v>0</v>
      </c>
      <c r="BC246" s="375">
        <v>0</v>
      </c>
      <c r="BD246" s="375">
        <v>0</v>
      </c>
      <c r="BE246" s="375">
        <v>0</v>
      </c>
      <c r="BF246" s="375">
        <v>0</v>
      </c>
      <c r="BG246" s="375">
        <v>3558.41</v>
      </c>
      <c r="BH246" s="172">
        <v>3558.41</v>
      </c>
      <c r="BI246" s="172">
        <v>0</v>
      </c>
      <c r="BJ246" s="172">
        <v>0</v>
      </c>
      <c r="BK246" s="172">
        <v>0</v>
      </c>
      <c r="BL246" s="172">
        <v>0</v>
      </c>
      <c r="BM246" s="172">
        <v>0</v>
      </c>
      <c r="BN246" s="172">
        <v>0</v>
      </c>
      <c r="BO246" s="172">
        <v>0</v>
      </c>
      <c r="BP246" s="172">
        <v>0</v>
      </c>
      <c r="BQ246" s="172">
        <v>0</v>
      </c>
      <c r="BR246" s="172">
        <v>0</v>
      </c>
      <c r="BS246" s="172">
        <v>0</v>
      </c>
      <c r="BT246" s="172">
        <v>3558.41</v>
      </c>
    </row>
    <row r="247" spans="1:72" ht="15" hidden="1" customHeight="1">
      <c r="A247" s="66" t="s">
        <v>1369</v>
      </c>
      <c r="B247" s="66"/>
      <c r="C247" s="66" t="s">
        <v>164</v>
      </c>
      <c r="D247" s="66" t="s">
        <v>164</v>
      </c>
      <c r="E247" s="150" t="s">
        <v>1136</v>
      </c>
      <c r="F247" s="482" t="s">
        <v>1566</v>
      </c>
      <c r="G247" s="383" t="s">
        <v>1344</v>
      </c>
      <c r="H247" s="383" t="s">
        <v>1344</v>
      </c>
      <c r="I247" s="150" t="s">
        <v>1345</v>
      </c>
      <c r="J247" s="150" t="s">
        <v>1344</v>
      </c>
      <c r="K247" s="150" t="s">
        <v>1346</v>
      </c>
      <c r="L247" s="511" t="s">
        <v>49</v>
      </c>
      <c r="M247" s="392" t="s">
        <v>1370</v>
      </c>
      <c r="N247" s="343"/>
      <c r="O247" s="343"/>
      <c r="P247" s="70" t="s">
        <v>165</v>
      </c>
      <c r="Q247" s="346" t="s">
        <v>1371</v>
      </c>
      <c r="R247" s="343"/>
      <c r="S247" s="346"/>
      <c r="T247" s="150" t="s">
        <v>152</v>
      </c>
      <c r="U247" s="150"/>
      <c r="V247" s="403"/>
      <c r="W247" s="406">
        <v>50000</v>
      </c>
      <c r="X247" s="406">
        <v>50000</v>
      </c>
      <c r="Y247" s="425"/>
      <c r="Z247" s="71"/>
      <c r="AA247" s="426"/>
      <c r="AB247" s="427"/>
      <c r="AC247" s="427"/>
      <c r="AD247" s="428" t="s">
        <v>1142</v>
      </c>
      <c r="AE247" s="429">
        <v>0</v>
      </c>
      <c r="AF247" s="429">
        <v>0</v>
      </c>
      <c r="AG247" s="363">
        <v>8520</v>
      </c>
      <c r="AH247" s="363">
        <v>10000</v>
      </c>
      <c r="AI247" s="363">
        <v>10000</v>
      </c>
      <c r="AJ247" s="363">
        <v>10000</v>
      </c>
      <c r="AK247" s="363">
        <v>11480</v>
      </c>
      <c r="AL247" s="360">
        <v>0</v>
      </c>
      <c r="AM247" s="360">
        <f t="shared" si="7"/>
        <v>50000</v>
      </c>
      <c r="AN247" s="362">
        <f>ERP_2[[#This Row],[2026 Working Total]]-ERP_2[[#This Row],[LE2 Final Submission]]</f>
        <v>0</v>
      </c>
      <c r="AO247" s="79">
        <v>11100</v>
      </c>
      <c r="AP247" s="79">
        <f t="shared" si="8"/>
        <v>-11100</v>
      </c>
      <c r="AQ247" s="374">
        <f>SUM(ERP_2[[#This Row],[AP01]:[AP06]])-SUM(ERP_2[[#This Row],[AP01 LE2]:[AP06 LE2]])</f>
        <v>-22500</v>
      </c>
      <c r="AR247" s="80"/>
      <c r="AS247" s="79">
        <f>ERP_2[[#This Row],[2026 Working Total to Budget/LE]]-ERP_2[[#This Row],[Giveback]]</f>
        <v>0</v>
      </c>
      <c r="AT247" s="81"/>
      <c r="AU247" s="375"/>
      <c r="AV247" s="375"/>
      <c r="AW247" s="375"/>
      <c r="AX247" s="375">
        <v>0</v>
      </c>
      <c r="AY247" s="375">
        <v>11100</v>
      </c>
      <c r="AZ247" s="375">
        <v>11400</v>
      </c>
      <c r="BA247" s="375">
        <v>0</v>
      </c>
      <c r="BB247" s="375">
        <v>0</v>
      </c>
      <c r="BC247" s="375">
        <v>9000</v>
      </c>
      <c r="BD247" s="375">
        <v>9000</v>
      </c>
      <c r="BE247" s="375">
        <v>9500</v>
      </c>
      <c r="BF247" s="375">
        <v>0</v>
      </c>
      <c r="BG247" s="375">
        <v>50000</v>
      </c>
      <c r="BH247" s="79"/>
      <c r="BI247" s="79"/>
      <c r="BJ247" s="79"/>
      <c r="BK247" s="79"/>
      <c r="BL247" s="79"/>
      <c r="BM247" s="79"/>
      <c r="BN247" s="79">
        <v>10000</v>
      </c>
      <c r="BO247" s="79">
        <v>10000</v>
      </c>
      <c r="BP247" s="79">
        <v>10000</v>
      </c>
      <c r="BQ247" s="79">
        <v>10000</v>
      </c>
      <c r="BR247" s="79">
        <v>10000</v>
      </c>
      <c r="BS247" s="79">
        <v>0</v>
      </c>
      <c r="BT247" s="79">
        <v>50000</v>
      </c>
    </row>
    <row r="248" spans="1:72" ht="15" hidden="1" customHeight="1">
      <c r="A248" s="66" t="s">
        <v>1372</v>
      </c>
      <c r="B248" s="66"/>
      <c r="C248" s="66" t="s">
        <v>166</v>
      </c>
      <c r="D248" s="66" t="s">
        <v>166</v>
      </c>
      <c r="E248" s="150" t="s">
        <v>1136</v>
      </c>
      <c r="F248" s="482" t="s">
        <v>1566</v>
      </c>
      <c r="G248" s="383" t="s">
        <v>1344</v>
      </c>
      <c r="H248" s="383" t="s">
        <v>1344</v>
      </c>
      <c r="I248" s="150" t="s">
        <v>1345</v>
      </c>
      <c r="J248" s="150" t="s">
        <v>1344</v>
      </c>
      <c r="K248" s="150" t="s">
        <v>1346</v>
      </c>
      <c r="L248" s="511" t="s">
        <v>49</v>
      </c>
      <c r="M248" s="392" t="s">
        <v>1373</v>
      </c>
      <c r="N248" s="343"/>
      <c r="O248" s="343"/>
      <c r="P248" s="70" t="s">
        <v>167</v>
      </c>
      <c r="Q248" s="346"/>
      <c r="R248" s="343"/>
      <c r="S248" s="346"/>
      <c r="T248" s="150" t="s">
        <v>25</v>
      </c>
      <c r="U248" s="150"/>
      <c r="V248" s="403"/>
      <c r="W248" s="406">
        <v>6000</v>
      </c>
      <c r="X248" s="406">
        <v>6000</v>
      </c>
      <c r="Y248" s="430"/>
      <c r="Z248" s="137"/>
      <c r="AA248" s="426"/>
      <c r="AB248" s="427"/>
      <c r="AC248" s="427"/>
      <c r="AD248" s="428" t="s">
        <v>1142</v>
      </c>
      <c r="AE248" s="429">
        <v>0</v>
      </c>
      <c r="AF248" s="429">
        <v>0</v>
      </c>
      <c r="AG248" s="363"/>
      <c r="AH248" s="363"/>
      <c r="AI248" s="363">
        <v>6000</v>
      </c>
      <c r="AJ248" s="360">
        <v>0</v>
      </c>
      <c r="AK248" s="360">
        <v>0</v>
      </c>
      <c r="AL248" s="360">
        <v>0</v>
      </c>
      <c r="AM248" s="360">
        <f t="shared" si="7"/>
        <v>6000</v>
      </c>
      <c r="AN248" s="362">
        <f>ERP_2[[#This Row],[2026 Working Total]]-ERP_2[[#This Row],[LE2 Final Submission]]</f>
        <v>0</v>
      </c>
      <c r="AO248" s="79"/>
      <c r="AP248" s="79">
        <f t="shared" si="8"/>
        <v>0</v>
      </c>
      <c r="AQ248" s="374">
        <f>SUM(ERP_2[[#This Row],[AP01]:[AP06]])-SUM(ERP_2[[#This Row],[AP01 LE2]:[AP06 LE2]])</f>
        <v>0</v>
      </c>
      <c r="AR248" s="80"/>
      <c r="AS248" s="79">
        <f>ERP_2[[#This Row],[2026 Working Total to Budget/LE]]-ERP_2[[#This Row],[Giveback]]</f>
        <v>0</v>
      </c>
      <c r="AT248" s="81"/>
      <c r="AU248" s="375"/>
      <c r="AV248" s="375"/>
      <c r="AW248" s="375"/>
      <c r="AX248" s="375"/>
      <c r="AY248" s="375"/>
      <c r="AZ248" s="375"/>
      <c r="BA248" s="375"/>
      <c r="BB248" s="375"/>
      <c r="BC248" s="375">
        <v>6000</v>
      </c>
      <c r="BD248" s="375">
        <v>0</v>
      </c>
      <c r="BE248" s="375">
        <v>0</v>
      </c>
      <c r="BF248" s="375">
        <v>0</v>
      </c>
      <c r="BG248" s="375">
        <v>6000</v>
      </c>
      <c r="BH248" s="79"/>
      <c r="BI248" s="79"/>
      <c r="BJ248" s="79"/>
      <c r="BK248" s="79"/>
      <c r="BL248" s="79"/>
      <c r="BM248" s="79"/>
      <c r="BN248" s="79"/>
      <c r="BO248" s="79"/>
      <c r="BP248" s="79">
        <v>6000</v>
      </c>
      <c r="BQ248" s="79">
        <v>0</v>
      </c>
      <c r="BR248" s="79">
        <v>0</v>
      </c>
      <c r="BS248" s="79">
        <v>0</v>
      </c>
      <c r="BT248" s="79">
        <v>6000</v>
      </c>
    </row>
    <row r="249" spans="1:72" ht="15" hidden="1" customHeight="1">
      <c r="A249" s="66" t="s">
        <v>1374</v>
      </c>
      <c r="B249" s="66"/>
      <c r="C249" s="66" t="s">
        <v>168</v>
      </c>
      <c r="D249" s="66" t="s">
        <v>168</v>
      </c>
      <c r="E249" s="150" t="s">
        <v>1136</v>
      </c>
      <c r="F249" s="482" t="s">
        <v>1566</v>
      </c>
      <c r="G249" s="383" t="s">
        <v>1344</v>
      </c>
      <c r="H249" s="383" t="s">
        <v>1344</v>
      </c>
      <c r="I249" s="150" t="s">
        <v>1345</v>
      </c>
      <c r="J249" s="150" t="s">
        <v>1344</v>
      </c>
      <c r="K249" s="150" t="s">
        <v>1346</v>
      </c>
      <c r="L249" s="511" t="s">
        <v>49</v>
      </c>
      <c r="M249" s="392" t="s">
        <v>1375</v>
      </c>
      <c r="N249" s="343"/>
      <c r="O249" s="343"/>
      <c r="P249" s="70" t="s">
        <v>169</v>
      </c>
      <c r="Q249" s="346"/>
      <c r="R249" s="343"/>
      <c r="S249" s="346"/>
      <c r="T249" s="150" t="s">
        <v>25</v>
      </c>
      <c r="U249" s="150"/>
      <c r="V249" s="403"/>
      <c r="W249" s="406">
        <v>6000</v>
      </c>
      <c r="X249" s="406">
        <v>6000</v>
      </c>
      <c r="Y249" s="425"/>
      <c r="Z249" s="71"/>
      <c r="AA249" s="426"/>
      <c r="AB249" s="427"/>
      <c r="AC249" s="427"/>
      <c r="AD249" s="428" t="s">
        <v>1142</v>
      </c>
      <c r="AE249" s="429">
        <v>0</v>
      </c>
      <c r="AF249" s="429">
        <v>0</v>
      </c>
      <c r="AG249" s="363"/>
      <c r="AH249" s="363"/>
      <c r="AI249" s="363">
        <v>6000</v>
      </c>
      <c r="AJ249" s="360">
        <v>0</v>
      </c>
      <c r="AK249" s="360">
        <v>0</v>
      </c>
      <c r="AL249" s="360">
        <v>0</v>
      </c>
      <c r="AM249" s="360">
        <f t="shared" si="7"/>
        <v>6000</v>
      </c>
      <c r="AN249" s="362">
        <f>ERP_2[[#This Row],[2026 Working Total]]-ERP_2[[#This Row],[LE2 Final Submission]]</f>
        <v>0</v>
      </c>
      <c r="AO249" s="79"/>
      <c r="AP249" s="79">
        <f t="shared" si="8"/>
        <v>0</v>
      </c>
      <c r="AQ249" s="374">
        <f>SUM(ERP_2[[#This Row],[AP01]:[AP06]])-SUM(ERP_2[[#This Row],[AP01 LE2]:[AP06 LE2]])</f>
        <v>0</v>
      </c>
      <c r="AR249" s="80"/>
      <c r="AS249" s="79">
        <f>ERP_2[[#This Row],[2026 Working Total to Budget/LE]]-ERP_2[[#This Row],[Giveback]]</f>
        <v>0</v>
      </c>
      <c r="AT249" s="81"/>
      <c r="AU249" s="375"/>
      <c r="AV249" s="375"/>
      <c r="AW249" s="375"/>
      <c r="AX249" s="375"/>
      <c r="AY249" s="375"/>
      <c r="AZ249" s="375"/>
      <c r="BA249" s="375"/>
      <c r="BB249" s="375"/>
      <c r="BC249" s="375">
        <v>6000</v>
      </c>
      <c r="BD249" s="375">
        <v>0</v>
      </c>
      <c r="BE249" s="375">
        <v>0</v>
      </c>
      <c r="BF249" s="375">
        <v>0</v>
      </c>
      <c r="BG249" s="375">
        <v>6000</v>
      </c>
      <c r="BH249" s="79"/>
      <c r="BI249" s="79"/>
      <c r="BJ249" s="79"/>
      <c r="BK249" s="79"/>
      <c r="BL249" s="79"/>
      <c r="BM249" s="79"/>
      <c r="BN249" s="79"/>
      <c r="BO249" s="79"/>
      <c r="BP249" s="79">
        <v>6000</v>
      </c>
      <c r="BQ249" s="79">
        <v>0</v>
      </c>
      <c r="BR249" s="79">
        <v>0</v>
      </c>
      <c r="BS249" s="79">
        <v>0</v>
      </c>
      <c r="BT249" s="79">
        <v>6000</v>
      </c>
    </row>
    <row r="250" spans="1:72" ht="15" hidden="1" customHeight="1">
      <c r="A250" s="66" t="s">
        <v>1376</v>
      </c>
      <c r="B250" s="66"/>
      <c r="C250" s="66" t="s">
        <v>170</v>
      </c>
      <c r="D250" s="66" t="s">
        <v>170</v>
      </c>
      <c r="E250" s="150" t="s">
        <v>1136</v>
      </c>
      <c r="F250" s="482" t="s">
        <v>1566</v>
      </c>
      <c r="G250" s="383" t="s">
        <v>1344</v>
      </c>
      <c r="H250" s="383" t="s">
        <v>1344</v>
      </c>
      <c r="I250" s="150" t="s">
        <v>1345</v>
      </c>
      <c r="J250" s="150" t="s">
        <v>1344</v>
      </c>
      <c r="K250" s="150" t="s">
        <v>1346</v>
      </c>
      <c r="L250" s="511" t="s">
        <v>49</v>
      </c>
      <c r="M250" s="392" t="s">
        <v>1377</v>
      </c>
      <c r="N250" s="343"/>
      <c r="O250" s="343"/>
      <c r="P250" s="70" t="s">
        <v>171</v>
      </c>
      <c r="Q250" s="346"/>
      <c r="R250" s="343"/>
      <c r="S250" s="346"/>
      <c r="T250" s="150" t="s">
        <v>25</v>
      </c>
      <c r="U250" s="150"/>
      <c r="V250" s="403"/>
      <c r="W250" s="406">
        <v>45000</v>
      </c>
      <c r="X250" s="406">
        <v>45000</v>
      </c>
      <c r="Y250" s="425"/>
      <c r="Z250" s="71"/>
      <c r="AA250" s="426"/>
      <c r="AB250" s="427"/>
      <c r="AC250" s="427"/>
      <c r="AD250" s="428" t="s">
        <v>1142</v>
      </c>
      <c r="AE250" s="429">
        <v>0</v>
      </c>
      <c r="AF250" s="429">
        <v>0</v>
      </c>
      <c r="AG250" s="363"/>
      <c r="AH250" s="363"/>
      <c r="AI250" s="363">
        <v>45000</v>
      </c>
      <c r="AJ250" s="360">
        <v>0</v>
      </c>
      <c r="AK250" s="360">
        <v>0</v>
      </c>
      <c r="AL250" s="360">
        <v>0</v>
      </c>
      <c r="AM250" s="360">
        <f t="shared" si="7"/>
        <v>45000</v>
      </c>
      <c r="AN250" s="362">
        <f>ERP_2[[#This Row],[2026 Working Total]]-ERP_2[[#This Row],[LE2 Final Submission]]</f>
        <v>0</v>
      </c>
      <c r="AO250" s="79"/>
      <c r="AP250" s="79">
        <f t="shared" si="8"/>
        <v>0</v>
      </c>
      <c r="AQ250" s="374">
        <f>SUM(ERP_2[[#This Row],[AP01]:[AP06]])-SUM(ERP_2[[#This Row],[AP01 LE2]:[AP06 LE2]])</f>
        <v>0</v>
      </c>
      <c r="AR250" s="80"/>
      <c r="AS250" s="79">
        <f>ERP_2[[#This Row],[2026 Working Total to Budget/LE]]-ERP_2[[#This Row],[Giveback]]</f>
        <v>0</v>
      </c>
      <c r="AT250" s="81"/>
      <c r="AU250" s="375"/>
      <c r="AV250" s="375"/>
      <c r="AW250" s="375"/>
      <c r="AX250" s="375"/>
      <c r="AY250" s="375"/>
      <c r="AZ250" s="375"/>
      <c r="BA250" s="375"/>
      <c r="BB250" s="375"/>
      <c r="BC250" s="375">
        <v>45000</v>
      </c>
      <c r="BD250" s="375">
        <v>0</v>
      </c>
      <c r="BE250" s="375">
        <v>0</v>
      </c>
      <c r="BF250" s="375">
        <v>0</v>
      </c>
      <c r="BG250" s="375">
        <v>45000</v>
      </c>
      <c r="BH250" s="79"/>
      <c r="BI250" s="79"/>
      <c r="BJ250" s="79"/>
      <c r="BK250" s="79"/>
      <c r="BL250" s="79"/>
      <c r="BM250" s="79"/>
      <c r="BN250" s="79"/>
      <c r="BO250" s="79"/>
      <c r="BP250" s="79">
        <v>45000</v>
      </c>
      <c r="BQ250" s="79">
        <v>0</v>
      </c>
      <c r="BR250" s="79">
        <v>0</v>
      </c>
      <c r="BS250" s="79">
        <v>0</v>
      </c>
      <c r="BT250" s="79">
        <v>45000</v>
      </c>
    </row>
    <row r="251" spans="1:72" ht="15" hidden="1" customHeight="1">
      <c r="A251" s="66" t="s">
        <v>1378</v>
      </c>
      <c r="B251" s="66"/>
      <c r="C251" s="66" t="s">
        <v>172</v>
      </c>
      <c r="D251" s="66" t="s">
        <v>172</v>
      </c>
      <c r="E251" s="150" t="s">
        <v>1136</v>
      </c>
      <c r="F251" s="482" t="s">
        <v>1566</v>
      </c>
      <c r="G251" s="383" t="s">
        <v>1344</v>
      </c>
      <c r="H251" s="383" t="s">
        <v>1344</v>
      </c>
      <c r="I251" s="150" t="s">
        <v>1345</v>
      </c>
      <c r="J251" s="150" t="s">
        <v>1344</v>
      </c>
      <c r="K251" s="150" t="s">
        <v>1346</v>
      </c>
      <c r="L251" s="511" t="s">
        <v>49</v>
      </c>
      <c r="M251" s="392" t="s">
        <v>1379</v>
      </c>
      <c r="N251" s="343"/>
      <c r="O251" s="346" t="s">
        <v>1363</v>
      </c>
      <c r="P251" s="70" t="s">
        <v>173</v>
      </c>
      <c r="Q251" s="346"/>
      <c r="R251" s="346" t="s">
        <v>1380</v>
      </c>
      <c r="S251" s="346"/>
      <c r="T251" s="150" t="s">
        <v>25</v>
      </c>
      <c r="U251" s="150"/>
      <c r="V251" s="403"/>
      <c r="W251" s="406">
        <v>515000</v>
      </c>
      <c r="X251" s="406">
        <v>335362.38</v>
      </c>
      <c r="Y251" s="430"/>
      <c r="Z251" s="137"/>
      <c r="AA251" s="426"/>
      <c r="AB251" s="427">
        <v>66916.990000000005</v>
      </c>
      <c r="AC251" s="427">
        <v>75010.39</v>
      </c>
      <c r="AD251" s="428">
        <v>45158.709999999992</v>
      </c>
      <c r="AE251" s="429">
        <v>45158.710000000006</v>
      </c>
      <c r="AF251" s="429">
        <v>56448.39</v>
      </c>
      <c r="AG251" s="363">
        <v>25000</v>
      </c>
      <c r="AH251" s="363">
        <v>22236</v>
      </c>
      <c r="AI251" s="363">
        <v>0</v>
      </c>
      <c r="AJ251" s="363">
        <v>0</v>
      </c>
      <c r="AK251" s="363">
        <v>0</v>
      </c>
      <c r="AL251" s="363">
        <v>0</v>
      </c>
      <c r="AM251" s="360">
        <f t="shared" si="7"/>
        <v>335929.19</v>
      </c>
      <c r="AN251" s="362">
        <f>ERP_2[[#This Row],[2026 Working Total]]-ERP_2[[#This Row],[LE2 Final Submission]]</f>
        <v>566.80999999999767</v>
      </c>
      <c r="AO251" s="79">
        <v>40792</v>
      </c>
      <c r="AP251" s="79">
        <f t="shared" si="8"/>
        <v>15656.39</v>
      </c>
      <c r="AQ251" s="374">
        <f>SUM(ERP_2[[#This Row],[AP01]:[AP06]])-SUM(ERP_2[[#This Row],[AP01 LE2]:[AP06 LE2]])</f>
        <v>22330.809999999998</v>
      </c>
      <c r="AR251" s="80">
        <v>180000</v>
      </c>
      <c r="AS251" s="79">
        <f>ERP_2[[#This Row],[2026 Working Total to Budget/LE]]-ERP_2[[#This Row],[Giveback]]</f>
        <v>-179433.19</v>
      </c>
      <c r="AT251" s="81" t="s">
        <v>1381</v>
      </c>
      <c r="AU251" s="375"/>
      <c r="AV251" s="375">
        <v>66916.990000000005</v>
      </c>
      <c r="AW251" s="375">
        <v>75010.39</v>
      </c>
      <c r="AX251" s="375">
        <v>40062</v>
      </c>
      <c r="AY251" s="375">
        <v>40792</v>
      </c>
      <c r="AZ251" s="375">
        <v>43581</v>
      </c>
      <c r="BA251" s="375">
        <v>35000</v>
      </c>
      <c r="BB251" s="375">
        <v>34000</v>
      </c>
      <c r="BC251" s="375">
        <v>0</v>
      </c>
      <c r="BD251" s="375">
        <v>0</v>
      </c>
      <c r="BE251" s="375">
        <v>0</v>
      </c>
      <c r="BF251" s="375">
        <v>0</v>
      </c>
      <c r="BG251" s="375">
        <v>335362.38</v>
      </c>
      <c r="BH251" s="79"/>
      <c r="BI251" s="79">
        <v>66916.990000000005</v>
      </c>
      <c r="BJ251" s="79">
        <v>75010.39</v>
      </c>
      <c r="BK251" s="79">
        <v>48286</v>
      </c>
      <c r="BL251" s="79">
        <v>48386</v>
      </c>
      <c r="BM251" s="79">
        <v>48286</v>
      </c>
      <c r="BN251" s="79">
        <v>38449</v>
      </c>
      <c r="BO251" s="79">
        <v>38449</v>
      </c>
      <c r="BP251" s="79">
        <v>44462</v>
      </c>
      <c r="BQ251" s="79">
        <v>44462</v>
      </c>
      <c r="BR251" s="79">
        <v>44462</v>
      </c>
      <c r="BS251" s="79">
        <v>44462</v>
      </c>
      <c r="BT251" s="79">
        <v>541631.38</v>
      </c>
    </row>
    <row r="252" spans="1:72" ht="15" hidden="1" customHeight="1">
      <c r="A252" s="66" t="s">
        <v>1382</v>
      </c>
      <c r="B252" s="66"/>
      <c r="C252" s="66" t="s">
        <v>174</v>
      </c>
      <c r="D252" s="66" t="s">
        <v>174</v>
      </c>
      <c r="E252" s="150" t="s">
        <v>1136</v>
      </c>
      <c r="F252" s="482" t="s">
        <v>1566</v>
      </c>
      <c r="G252" s="383" t="s">
        <v>1344</v>
      </c>
      <c r="H252" s="383" t="s">
        <v>1344</v>
      </c>
      <c r="I252" s="150" t="s">
        <v>1345</v>
      </c>
      <c r="J252" s="150" t="s">
        <v>1344</v>
      </c>
      <c r="K252" s="150" t="s">
        <v>1346</v>
      </c>
      <c r="L252" s="511" t="s">
        <v>49</v>
      </c>
      <c r="M252" s="392" t="s">
        <v>1383</v>
      </c>
      <c r="N252" s="343"/>
      <c r="O252" s="343"/>
      <c r="P252" s="70" t="s">
        <v>175</v>
      </c>
      <c r="Q252" s="346"/>
      <c r="R252" s="343"/>
      <c r="S252" s="346"/>
      <c r="T252" s="150" t="s">
        <v>25</v>
      </c>
      <c r="U252" s="150"/>
      <c r="V252" s="403"/>
      <c r="W252" s="406">
        <v>0</v>
      </c>
      <c r="X252" s="406">
        <v>0</v>
      </c>
      <c r="Y252" s="425"/>
      <c r="Z252" s="71"/>
      <c r="AA252" s="426"/>
      <c r="AB252" s="427"/>
      <c r="AC252" s="427"/>
      <c r="AD252" s="428" t="s">
        <v>1142</v>
      </c>
      <c r="AE252" s="429">
        <v>0</v>
      </c>
      <c r="AF252" s="429">
        <v>0</v>
      </c>
      <c r="AG252" s="363">
        <v>0</v>
      </c>
      <c r="AH252" s="363">
        <v>0</v>
      </c>
      <c r="AI252" s="363">
        <v>0</v>
      </c>
      <c r="AJ252" s="363">
        <v>0</v>
      </c>
      <c r="AK252" s="363">
        <v>0</v>
      </c>
      <c r="AL252" s="363">
        <v>0</v>
      </c>
      <c r="AM252" s="360">
        <f t="shared" si="7"/>
        <v>0</v>
      </c>
      <c r="AN252" s="362">
        <f>ERP_2[[#This Row],[2026 Working Total]]-ERP_2[[#This Row],[LE2 Final Submission]]</f>
        <v>0</v>
      </c>
      <c r="AO252" s="79"/>
      <c r="AP252" s="79">
        <f t="shared" si="8"/>
        <v>0</v>
      </c>
      <c r="AQ252" s="374">
        <f>SUM(ERP_2[[#This Row],[AP01]:[AP06]])-SUM(ERP_2[[#This Row],[AP01 LE2]:[AP06 LE2]])</f>
        <v>0</v>
      </c>
      <c r="AR252" s="80">
        <v>280000</v>
      </c>
      <c r="AS252" s="79">
        <f>ERP_2[[#This Row],[2026 Working Total to Budget/LE]]-ERP_2[[#This Row],[Giveback]]</f>
        <v>-280000</v>
      </c>
      <c r="AT252" s="81" t="s">
        <v>1384</v>
      </c>
      <c r="AU252" s="375"/>
      <c r="AV252" s="375"/>
      <c r="AW252" s="375"/>
      <c r="AX252" s="375"/>
      <c r="AY252" s="375"/>
      <c r="AZ252" s="375"/>
      <c r="BA252" s="375">
        <v>0</v>
      </c>
      <c r="BB252" s="375">
        <v>0</v>
      </c>
      <c r="BC252" s="375">
        <v>0</v>
      </c>
      <c r="BD252" s="375">
        <v>0</v>
      </c>
      <c r="BE252" s="375">
        <v>0</v>
      </c>
      <c r="BF252" s="375">
        <v>0</v>
      </c>
      <c r="BG252" s="375">
        <v>0</v>
      </c>
      <c r="BH252" s="79"/>
      <c r="BI252" s="79"/>
      <c r="BJ252" s="79"/>
      <c r="BK252" s="79"/>
      <c r="BL252" s="79"/>
      <c r="BM252" s="79"/>
      <c r="BN252" s="79">
        <v>46666.666666999998</v>
      </c>
      <c r="BO252" s="79">
        <v>46666.666666999998</v>
      </c>
      <c r="BP252" s="79">
        <v>46666.666666999998</v>
      </c>
      <c r="BQ252" s="79">
        <v>46666.666666999998</v>
      </c>
      <c r="BR252" s="79">
        <v>46666.666666999998</v>
      </c>
      <c r="BS252" s="79">
        <v>46666.666666999998</v>
      </c>
      <c r="BT252" s="79">
        <v>280000.00000199996</v>
      </c>
    </row>
    <row r="253" spans="1:72" ht="15" hidden="1" customHeight="1">
      <c r="A253" s="66" t="s">
        <v>1385</v>
      </c>
      <c r="B253" s="66"/>
      <c r="C253" s="66" t="s">
        <v>176</v>
      </c>
      <c r="D253" s="66" t="s">
        <v>176</v>
      </c>
      <c r="E253" s="150" t="s">
        <v>1136</v>
      </c>
      <c r="F253" s="482" t="s">
        <v>1566</v>
      </c>
      <c r="G253" s="383" t="s">
        <v>1344</v>
      </c>
      <c r="H253" s="383" t="s">
        <v>1344</v>
      </c>
      <c r="I253" s="150" t="s">
        <v>1345</v>
      </c>
      <c r="J253" s="150" t="s">
        <v>1344</v>
      </c>
      <c r="K253" s="150" t="s">
        <v>1346</v>
      </c>
      <c r="L253" s="511" t="s">
        <v>49</v>
      </c>
      <c r="M253" s="392" t="s">
        <v>1386</v>
      </c>
      <c r="N253" s="343" t="s">
        <v>1387</v>
      </c>
      <c r="O253" s="346" t="s">
        <v>1363</v>
      </c>
      <c r="P253" s="70" t="s">
        <v>177</v>
      </c>
      <c r="Q253" s="346"/>
      <c r="R253" s="346" t="s">
        <v>1388</v>
      </c>
      <c r="S253" s="346"/>
      <c r="T253" s="150" t="s">
        <v>25</v>
      </c>
      <c r="U253" s="150"/>
      <c r="V253" s="403"/>
      <c r="W253" s="406">
        <v>1452300</v>
      </c>
      <c r="X253" s="406">
        <v>963567.79</v>
      </c>
      <c r="Y253" s="425"/>
      <c r="Z253" s="71"/>
      <c r="AA253" s="426">
        <v>48462.57</v>
      </c>
      <c r="AB253" s="427">
        <v>207334.66</v>
      </c>
      <c r="AC253" s="427">
        <v>98620.56</v>
      </c>
      <c r="AD253" s="428">
        <v>116861</v>
      </c>
      <c r="AE253" s="429">
        <v>28181.629999999976</v>
      </c>
      <c r="AF253" s="429">
        <v>293546.2</v>
      </c>
      <c r="AG253" s="363">
        <v>70000</v>
      </c>
      <c r="AH253" s="363">
        <v>70000</v>
      </c>
      <c r="AI253" s="363">
        <v>70000</v>
      </c>
      <c r="AJ253" s="363">
        <v>70000</v>
      </c>
      <c r="AK253" s="363">
        <v>70000</v>
      </c>
      <c r="AL253" s="363">
        <v>54107</v>
      </c>
      <c r="AM253" s="360">
        <f t="shared" si="7"/>
        <v>1197113.6200000001</v>
      </c>
      <c r="AN253" s="362">
        <f>ERP_2[[#This Row],[2026 Working Total]]-ERP_2[[#This Row],[LE2 Final Submission]]</f>
        <v>233545.83000000007</v>
      </c>
      <c r="AO253" s="79">
        <v>132050</v>
      </c>
      <c r="AP253" s="79">
        <f t="shared" si="8"/>
        <v>161496.20000000001</v>
      </c>
      <c r="AQ253" s="374">
        <f>SUM(ERP_2[[#This Row],[AP01]:[AP06]])-SUM(ERP_2[[#This Row],[AP01 LE2]:[AP06 LE2]])</f>
        <v>42438.830000000075</v>
      </c>
      <c r="AR253" s="80">
        <v>488000</v>
      </c>
      <c r="AS253" s="79">
        <f>ERP_2[[#This Row],[2026 Working Total to Budget/LE]]-ERP_2[[#This Row],[Giveback]]</f>
        <v>-254454.16999999993</v>
      </c>
      <c r="AT253" s="81" t="s">
        <v>1389</v>
      </c>
      <c r="AU253" s="375">
        <v>48462.57</v>
      </c>
      <c r="AV253" s="375">
        <v>207334.66</v>
      </c>
      <c r="AW253" s="375">
        <v>98620.56</v>
      </c>
      <c r="AX253" s="375">
        <v>132050</v>
      </c>
      <c r="AY253" s="375">
        <v>132050</v>
      </c>
      <c r="AZ253" s="375">
        <v>132050</v>
      </c>
      <c r="BA253" s="375">
        <v>68000</v>
      </c>
      <c r="BB253" s="375">
        <v>29000</v>
      </c>
      <c r="BC253" s="375">
        <v>29000</v>
      </c>
      <c r="BD253" s="375">
        <v>29000</v>
      </c>
      <c r="BE253" s="375">
        <v>29000</v>
      </c>
      <c r="BF253" s="375">
        <v>29000</v>
      </c>
      <c r="BG253" s="375">
        <v>963567.79</v>
      </c>
      <c r="BH253" s="79">
        <v>48462.57</v>
      </c>
      <c r="BI253" s="79">
        <v>207334.66</v>
      </c>
      <c r="BJ253" s="79">
        <v>98620.56</v>
      </c>
      <c r="BK253" s="79">
        <v>132050</v>
      </c>
      <c r="BL253" s="79">
        <v>132050</v>
      </c>
      <c r="BM253" s="79">
        <v>132050</v>
      </c>
      <c r="BN253" s="79">
        <v>108302.77</v>
      </c>
      <c r="BO253" s="79">
        <v>100000</v>
      </c>
      <c r="BP253" s="79">
        <v>100000</v>
      </c>
      <c r="BQ253" s="79">
        <v>100000</v>
      </c>
      <c r="BR253" s="79">
        <v>100000</v>
      </c>
      <c r="BS253" s="79">
        <v>100000</v>
      </c>
      <c r="BT253" s="79">
        <v>1358870.56</v>
      </c>
    </row>
    <row r="254" spans="1:72" ht="15" hidden="1" customHeight="1">
      <c r="A254" s="66" t="s">
        <v>1390</v>
      </c>
      <c r="B254" s="66"/>
      <c r="C254" s="66" t="s">
        <v>178</v>
      </c>
      <c r="D254" s="66" t="s">
        <v>178</v>
      </c>
      <c r="E254" s="150" t="s">
        <v>1136</v>
      </c>
      <c r="F254" s="482" t="s">
        <v>1566</v>
      </c>
      <c r="G254" s="383" t="s">
        <v>1344</v>
      </c>
      <c r="H254" s="383" t="s">
        <v>1344</v>
      </c>
      <c r="I254" s="150" t="s">
        <v>1345</v>
      </c>
      <c r="J254" s="150" t="s">
        <v>1344</v>
      </c>
      <c r="K254" s="150" t="s">
        <v>1346</v>
      </c>
      <c r="L254" s="511" t="s">
        <v>49</v>
      </c>
      <c r="M254" s="392" t="s">
        <v>1391</v>
      </c>
      <c r="N254" s="343" t="s">
        <v>1387</v>
      </c>
      <c r="O254" s="346" t="s">
        <v>1363</v>
      </c>
      <c r="P254" s="70" t="s">
        <v>179</v>
      </c>
      <c r="Q254" s="346"/>
      <c r="R254" s="346" t="s">
        <v>1392</v>
      </c>
      <c r="S254" s="346"/>
      <c r="T254" s="150" t="s">
        <v>25</v>
      </c>
      <c r="U254" s="150"/>
      <c r="V254" s="403"/>
      <c r="W254" s="406">
        <v>486372.24000000005</v>
      </c>
      <c r="X254" s="406">
        <v>426376.62</v>
      </c>
      <c r="Y254" s="430"/>
      <c r="Z254" s="137"/>
      <c r="AA254" s="426">
        <v>58570.53</v>
      </c>
      <c r="AB254" s="427">
        <v>65599.81</v>
      </c>
      <c r="AC254" s="427">
        <v>81999.28</v>
      </c>
      <c r="AD254" s="428">
        <v>65599.430000000008</v>
      </c>
      <c r="AE254" s="429">
        <v>65599.420000000013</v>
      </c>
      <c r="AF254" s="429">
        <v>66848.250000000015</v>
      </c>
      <c r="AG254" s="363">
        <v>11682</v>
      </c>
      <c r="AH254" s="363">
        <v>0</v>
      </c>
      <c r="AI254" s="360">
        <v>0</v>
      </c>
      <c r="AJ254" s="360">
        <v>0</v>
      </c>
      <c r="AK254" s="360">
        <v>0</v>
      </c>
      <c r="AL254" s="360">
        <v>0</v>
      </c>
      <c r="AM254" s="360">
        <f t="shared" si="7"/>
        <v>415898.72</v>
      </c>
      <c r="AN254" s="362">
        <f>ERP_2[[#This Row],[2026 Working Total]]-ERP_2[[#This Row],[LE2 Final Submission]]</f>
        <v>-10477.900000000023</v>
      </c>
      <c r="AO254" s="79">
        <v>70019</v>
      </c>
      <c r="AP254" s="79">
        <f t="shared" si="8"/>
        <v>-3170.7499999999854</v>
      </c>
      <c r="AQ254" s="374">
        <f>SUM(ERP_2[[#This Row],[AP01]:[AP06]])-SUM(ERP_2[[#This Row],[AP01 LE2]:[AP06 LE2]])</f>
        <v>-12009.900000000023</v>
      </c>
      <c r="AR254" s="80">
        <v>60000</v>
      </c>
      <c r="AS254" s="79">
        <f>ERP_2[[#This Row],[2026 Working Total to Budget/LE]]-ERP_2[[#This Row],[Giveback]]</f>
        <v>-70477.900000000023</v>
      </c>
      <c r="AT254" s="81" t="s">
        <v>1393</v>
      </c>
      <c r="AU254" s="375">
        <v>58570.53</v>
      </c>
      <c r="AV254" s="375">
        <v>65599.81</v>
      </c>
      <c r="AW254" s="375">
        <v>81999.28</v>
      </c>
      <c r="AX254" s="375">
        <v>70019</v>
      </c>
      <c r="AY254" s="375">
        <v>70019</v>
      </c>
      <c r="AZ254" s="375">
        <v>70019</v>
      </c>
      <c r="BA254" s="375">
        <v>10150</v>
      </c>
      <c r="BB254" s="375">
        <v>0</v>
      </c>
      <c r="BC254" s="375">
        <v>0</v>
      </c>
      <c r="BD254" s="375">
        <v>0</v>
      </c>
      <c r="BE254" s="375">
        <v>0</v>
      </c>
      <c r="BF254" s="375">
        <v>0</v>
      </c>
      <c r="BG254" s="375">
        <v>426376.62</v>
      </c>
      <c r="BH254" s="79">
        <v>58570.53</v>
      </c>
      <c r="BI254" s="79">
        <v>65599.81</v>
      </c>
      <c r="BJ254" s="79">
        <v>81999.28</v>
      </c>
      <c r="BK254" s="79">
        <v>69224</v>
      </c>
      <c r="BL254" s="79">
        <v>69224</v>
      </c>
      <c r="BM254" s="79">
        <v>69224</v>
      </c>
      <c r="BN254" s="79">
        <v>71025</v>
      </c>
      <c r="BO254" s="79">
        <v>15160</v>
      </c>
      <c r="BP254" s="79">
        <v>0</v>
      </c>
      <c r="BQ254" s="79">
        <v>0</v>
      </c>
      <c r="BR254" s="79">
        <v>0</v>
      </c>
      <c r="BS254" s="79">
        <v>0</v>
      </c>
      <c r="BT254" s="79">
        <v>500026.62</v>
      </c>
    </row>
    <row r="255" spans="1:72" ht="15" hidden="1" customHeight="1">
      <c r="A255" s="66" t="s">
        <v>1394</v>
      </c>
      <c r="B255" s="66"/>
      <c r="C255" s="66" t="s">
        <v>180</v>
      </c>
      <c r="D255" s="66" t="s">
        <v>180</v>
      </c>
      <c r="E255" s="150" t="s">
        <v>1136</v>
      </c>
      <c r="F255" s="482" t="s">
        <v>1566</v>
      </c>
      <c r="G255" s="383" t="s">
        <v>1344</v>
      </c>
      <c r="H255" s="383" t="s">
        <v>1344</v>
      </c>
      <c r="I255" s="150" t="s">
        <v>1345</v>
      </c>
      <c r="J255" s="150" t="s">
        <v>1344</v>
      </c>
      <c r="K255" s="150" t="s">
        <v>1346</v>
      </c>
      <c r="L255" s="511" t="s">
        <v>49</v>
      </c>
      <c r="M255" s="392" t="s">
        <v>1395</v>
      </c>
      <c r="N255" s="343"/>
      <c r="O255" s="343"/>
      <c r="P255" s="70" t="s">
        <v>181</v>
      </c>
      <c r="Q255" s="346"/>
      <c r="R255" s="343"/>
      <c r="S255" s="346"/>
      <c r="T255" s="150" t="s">
        <v>119</v>
      </c>
      <c r="U255" s="150"/>
      <c r="V255" s="403"/>
      <c r="W255" s="406">
        <v>50000</v>
      </c>
      <c r="X255" s="406">
        <v>50000</v>
      </c>
      <c r="Y255" s="425"/>
      <c r="Z255" s="71"/>
      <c r="AA255" s="426"/>
      <c r="AB255" s="427"/>
      <c r="AC255" s="427"/>
      <c r="AD255" s="428" t="s">
        <v>1142</v>
      </c>
      <c r="AE255" s="429">
        <v>0</v>
      </c>
      <c r="AF255" s="429">
        <v>0</v>
      </c>
      <c r="AG255" s="363"/>
      <c r="AH255" s="363">
        <v>50000</v>
      </c>
      <c r="AI255" s="360">
        <v>0</v>
      </c>
      <c r="AJ255" s="360">
        <v>0</v>
      </c>
      <c r="AK255" s="360">
        <v>0</v>
      </c>
      <c r="AL255" s="360">
        <v>0</v>
      </c>
      <c r="AM255" s="360">
        <f t="shared" si="7"/>
        <v>50000</v>
      </c>
      <c r="AN255" s="362">
        <f>ERP_2[[#This Row],[2026 Working Total]]-ERP_2[[#This Row],[LE2 Final Submission]]</f>
        <v>0</v>
      </c>
      <c r="AO255" s="79"/>
      <c r="AP255" s="79">
        <f t="shared" si="8"/>
        <v>0</v>
      </c>
      <c r="AQ255" s="374">
        <f>SUM(ERP_2[[#This Row],[AP01]:[AP06]])-SUM(ERP_2[[#This Row],[AP01 LE2]:[AP06 LE2]])</f>
        <v>0</v>
      </c>
      <c r="AR255" s="80"/>
      <c r="AS255" s="79">
        <f>ERP_2[[#This Row],[2026 Working Total to Budget/LE]]-ERP_2[[#This Row],[Giveback]]</f>
        <v>0</v>
      </c>
      <c r="AT255" s="81"/>
      <c r="AU255" s="375"/>
      <c r="AV255" s="375"/>
      <c r="AW255" s="375"/>
      <c r="AX255" s="375"/>
      <c r="AY255" s="375"/>
      <c r="AZ255" s="375"/>
      <c r="BA255" s="375"/>
      <c r="BB255" s="375">
        <v>50000</v>
      </c>
      <c r="BC255" s="375">
        <v>0</v>
      </c>
      <c r="BD255" s="375">
        <v>0</v>
      </c>
      <c r="BE255" s="375">
        <v>0</v>
      </c>
      <c r="BF255" s="375">
        <v>0</v>
      </c>
      <c r="BG255" s="375">
        <v>50000</v>
      </c>
      <c r="BH255" s="79"/>
      <c r="BI255" s="79"/>
      <c r="BJ255" s="79"/>
      <c r="BK255" s="79"/>
      <c r="BL255" s="79"/>
      <c r="BM255" s="79"/>
      <c r="BN255" s="79"/>
      <c r="BO255" s="79">
        <v>50000</v>
      </c>
      <c r="BP255" s="79">
        <v>0</v>
      </c>
      <c r="BQ255" s="79">
        <v>0</v>
      </c>
      <c r="BR255" s="79">
        <v>0</v>
      </c>
      <c r="BS255" s="79">
        <v>0</v>
      </c>
      <c r="BT255" s="79">
        <v>50000</v>
      </c>
    </row>
    <row r="256" spans="1:72" ht="15" hidden="1" customHeight="1">
      <c r="A256" s="66" t="s">
        <v>1396</v>
      </c>
      <c r="B256" s="66"/>
      <c r="C256" s="66" t="s">
        <v>182</v>
      </c>
      <c r="D256" s="66" t="s">
        <v>182</v>
      </c>
      <c r="E256" s="150" t="s">
        <v>1136</v>
      </c>
      <c r="F256" s="482" t="s">
        <v>1566</v>
      </c>
      <c r="G256" s="383" t="s">
        <v>1344</v>
      </c>
      <c r="H256" s="383" t="s">
        <v>1344</v>
      </c>
      <c r="I256" s="150" t="s">
        <v>1345</v>
      </c>
      <c r="J256" s="150" t="s">
        <v>1344</v>
      </c>
      <c r="K256" s="150" t="s">
        <v>1346</v>
      </c>
      <c r="L256" s="511" t="s">
        <v>49</v>
      </c>
      <c r="M256" s="392" t="s">
        <v>1397</v>
      </c>
      <c r="N256" s="343"/>
      <c r="O256" s="343"/>
      <c r="P256" s="70" t="s">
        <v>183</v>
      </c>
      <c r="Q256" s="346"/>
      <c r="R256" s="343"/>
      <c r="S256" s="346"/>
      <c r="T256" s="150" t="s">
        <v>119</v>
      </c>
      <c r="U256" s="150"/>
      <c r="V256" s="403"/>
      <c r="W256" s="406">
        <v>25000</v>
      </c>
      <c r="X256" s="406">
        <v>25000</v>
      </c>
      <c r="Y256" s="425"/>
      <c r="Z256" s="71"/>
      <c r="AA256" s="426"/>
      <c r="AB256" s="427"/>
      <c r="AC256" s="427"/>
      <c r="AD256" s="428" t="s">
        <v>1142</v>
      </c>
      <c r="AE256" s="429">
        <v>0</v>
      </c>
      <c r="AF256" s="429">
        <v>0</v>
      </c>
      <c r="AG256" s="363"/>
      <c r="AH256" s="363">
        <v>25000</v>
      </c>
      <c r="AI256" s="360">
        <v>0</v>
      </c>
      <c r="AJ256" s="360">
        <v>0</v>
      </c>
      <c r="AK256" s="360">
        <v>0</v>
      </c>
      <c r="AL256" s="360">
        <v>0</v>
      </c>
      <c r="AM256" s="360">
        <f t="shared" si="7"/>
        <v>25000</v>
      </c>
      <c r="AN256" s="362">
        <f>ERP_2[[#This Row],[2026 Working Total]]-ERP_2[[#This Row],[LE2 Final Submission]]</f>
        <v>0</v>
      </c>
      <c r="AO256" s="79"/>
      <c r="AP256" s="79">
        <f t="shared" si="8"/>
        <v>0</v>
      </c>
      <c r="AQ256" s="374">
        <f>SUM(ERP_2[[#This Row],[AP01]:[AP06]])-SUM(ERP_2[[#This Row],[AP01 LE2]:[AP06 LE2]])</f>
        <v>0</v>
      </c>
      <c r="AR256" s="80"/>
      <c r="AS256" s="79">
        <f>ERP_2[[#This Row],[2026 Working Total to Budget/LE]]-ERP_2[[#This Row],[Giveback]]</f>
        <v>0</v>
      </c>
      <c r="AT256" s="81"/>
      <c r="AU256" s="375"/>
      <c r="AV256" s="375"/>
      <c r="AW256" s="375"/>
      <c r="AX256" s="375"/>
      <c r="AY256" s="375"/>
      <c r="AZ256" s="375"/>
      <c r="BA256" s="375"/>
      <c r="BB256" s="375">
        <v>25000</v>
      </c>
      <c r="BC256" s="375">
        <v>0</v>
      </c>
      <c r="BD256" s="375">
        <v>0</v>
      </c>
      <c r="BE256" s="375">
        <v>0</v>
      </c>
      <c r="BF256" s="375">
        <v>0</v>
      </c>
      <c r="BG256" s="375">
        <v>25000</v>
      </c>
      <c r="BH256" s="79"/>
      <c r="BI256" s="79"/>
      <c r="BJ256" s="79"/>
      <c r="BK256" s="79"/>
      <c r="BL256" s="79"/>
      <c r="BM256" s="79"/>
      <c r="BN256" s="79"/>
      <c r="BO256" s="79">
        <v>25000</v>
      </c>
      <c r="BP256" s="79">
        <v>0</v>
      </c>
      <c r="BQ256" s="79">
        <v>0</v>
      </c>
      <c r="BR256" s="79">
        <v>0</v>
      </c>
      <c r="BS256" s="79">
        <v>0</v>
      </c>
      <c r="BT256" s="79">
        <v>25000</v>
      </c>
    </row>
    <row r="257" spans="1:72" ht="15" hidden="1" customHeight="1">
      <c r="A257" s="66" t="s">
        <v>1398</v>
      </c>
      <c r="B257" s="66"/>
      <c r="C257" s="66" t="s">
        <v>184</v>
      </c>
      <c r="D257" s="66" t="s">
        <v>184</v>
      </c>
      <c r="E257" s="150" t="s">
        <v>1136</v>
      </c>
      <c r="F257" s="482" t="s">
        <v>1566</v>
      </c>
      <c r="G257" s="383" t="s">
        <v>1344</v>
      </c>
      <c r="H257" s="383" t="s">
        <v>1344</v>
      </c>
      <c r="I257" s="150" t="s">
        <v>1345</v>
      </c>
      <c r="J257" s="150" t="s">
        <v>1344</v>
      </c>
      <c r="K257" s="150" t="s">
        <v>1346</v>
      </c>
      <c r="L257" s="511" t="s">
        <v>49</v>
      </c>
      <c r="M257" s="392" t="s">
        <v>1399</v>
      </c>
      <c r="N257" s="343"/>
      <c r="O257" s="343"/>
      <c r="P257" s="70" t="s">
        <v>185</v>
      </c>
      <c r="Q257" s="346"/>
      <c r="R257" s="343"/>
      <c r="S257" s="346"/>
      <c r="T257" s="150" t="s">
        <v>25</v>
      </c>
      <c r="U257" s="150" t="s">
        <v>1400</v>
      </c>
      <c r="V257" s="403"/>
      <c r="W257" s="406">
        <v>47697</v>
      </c>
      <c r="X257" s="406">
        <v>53620</v>
      </c>
      <c r="Y257" s="430"/>
      <c r="Z257" s="137"/>
      <c r="AA257" s="426"/>
      <c r="AB257" s="427"/>
      <c r="AC257" s="427"/>
      <c r="AD257" s="428">
        <v>0</v>
      </c>
      <c r="AE257" s="429">
        <v>5850</v>
      </c>
      <c r="AF257" s="429">
        <v>0</v>
      </c>
      <c r="AG257" s="363">
        <v>20000</v>
      </c>
      <c r="AH257" s="360">
        <v>11847</v>
      </c>
      <c r="AI257" s="363"/>
      <c r="AJ257" s="360">
        <v>0</v>
      </c>
      <c r="AK257" s="360">
        <v>0</v>
      </c>
      <c r="AL257" s="360">
        <v>0</v>
      </c>
      <c r="AM257" s="360">
        <f t="shared" si="7"/>
        <v>37697</v>
      </c>
      <c r="AN257" s="362">
        <f>ERP_2[[#This Row],[2026 Working Total]]-ERP_2[[#This Row],[LE2 Final Submission]]</f>
        <v>-15923</v>
      </c>
      <c r="AO257" s="79">
        <v>5850</v>
      </c>
      <c r="AP257" s="79">
        <f t="shared" si="8"/>
        <v>-5850</v>
      </c>
      <c r="AQ257" s="374">
        <f>SUM(ERP_2[[#This Row],[AP01]:[AP06]])-SUM(ERP_2[[#This Row],[AP01 LE2]:[AP06 LE2]])</f>
        <v>-15000</v>
      </c>
      <c r="AR257" s="80"/>
      <c r="AS257" s="79">
        <f>ERP_2[[#This Row],[2026 Working Total to Budget/LE]]-ERP_2[[#This Row],[Giveback]]</f>
        <v>-15923</v>
      </c>
      <c r="AT257" s="81"/>
      <c r="AU257" s="375"/>
      <c r="AV257" s="375"/>
      <c r="AW257" s="375"/>
      <c r="AX257" s="375">
        <v>15000</v>
      </c>
      <c r="AY257" s="375">
        <v>5850</v>
      </c>
      <c r="AZ257" s="375">
        <v>0</v>
      </c>
      <c r="BA257" s="375">
        <v>23247</v>
      </c>
      <c r="BB257" s="375">
        <v>0</v>
      </c>
      <c r="BC257" s="375">
        <v>9523</v>
      </c>
      <c r="BD257" s="375">
        <v>0</v>
      </c>
      <c r="BE257" s="375">
        <v>0</v>
      </c>
      <c r="BF257" s="375">
        <v>0</v>
      </c>
      <c r="BG257" s="375">
        <v>53620</v>
      </c>
      <c r="BH257" s="79"/>
      <c r="BI257" s="79"/>
      <c r="BJ257" s="79"/>
      <c r="BK257" s="79">
        <v>15000</v>
      </c>
      <c r="BL257" s="79">
        <v>0</v>
      </c>
      <c r="BM257" s="79">
        <v>0</v>
      </c>
      <c r="BN257" s="79">
        <v>23247</v>
      </c>
      <c r="BO257" s="79">
        <v>0</v>
      </c>
      <c r="BP257" s="79">
        <v>9523</v>
      </c>
      <c r="BQ257" s="79">
        <v>0</v>
      </c>
      <c r="BR257" s="79">
        <v>0</v>
      </c>
      <c r="BS257" s="79">
        <v>0</v>
      </c>
      <c r="BT257" s="79">
        <v>47770</v>
      </c>
    </row>
    <row r="258" spans="1:72" ht="15" hidden="1" customHeight="1">
      <c r="A258" s="66" t="s">
        <v>1401</v>
      </c>
      <c r="B258" s="66"/>
      <c r="C258" s="66" t="s">
        <v>186</v>
      </c>
      <c r="D258" s="66" t="s">
        <v>186</v>
      </c>
      <c r="E258" s="150" t="s">
        <v>1136</v>
      </c>
      <c r="F258" s="482" t="s">
        <v>1566</v>
      </c>
      <c r="G258" s="383" t="s">
        <v>1344</v>
      </c>
      <c r="H258" s="383" t="s">
        <v>1344</v>
      </c>
      <c r="I258" s="150" t="s">
        <v>1345</v>
      </c>
      <c r="J258" s="150" t="s">
        <v>1344</v>
      </c>
      <c r="K258" s="150" t="s">
        <v>1346</v>
      </c>
      <c r="L258" s="511" t="s">
        <v>49</v>
      </c>
      <c r="M258" s="392" t="s">
        <v>1402</v>
      </c>
      <c r="N258" s="343"/>
      <c r="O258" s="343"/>
      <c r="P258" s="70" t="s">
        <v>187</v>
      </c>
      <c r="Q258" s="346"/>
      <c r="R258" s="343"/>
      <c r="S258" s="346"/>
      <c r="T258" s="150" t="s">
        <v>188</v>
      </c>
      <c r="U258" s="150" t="s">
        <v>1403</v>
      </c>
      <c r="V258" s="403"/>
      <c r="W258" s="406">
        <v>25200</v>
      </c>
      <c r="X258" s="406">
        <v>0</v>
      </c>
      <c r="Y258" s="425"/>
      <c r="Z258" s="71"/>
      <c r="AA258" s="426"/>
      <c r="AB258" s="427"/>
      <c r="AC258" s="427"/>
      <c r="AD258" s="428" t="s">
        <v>1142</v>
      </c>
      <c r="AE258" s="429">
        <v>0</v>
      </c>
      <c r="AF258" s="429">
        <v>0</v>
      </c>
      <c r="AG258" s="363">
        <f t="shared" ref="AG258:AL258" si="9">2100-2100</f>
        <v>0</v>
      </c>
      <c r="AH258" s="363">
        <f t="shared" si="9"/>
        <v>0</v>
      </c>
      <c r="AI258" s="363">
        <f t="shared" si="9"/>
        <v>0</v>
      </c>
      <c r="AJ258" s="363">
        <f t="shared" si="9"/>
        <v>0</v>
      </c>
      <c r="AK258" s="363">
        <f t="shared" si="9"/>
        <v>0</v>
      </c>
      <c r="AL258" s="363">
        <f t="shared" si="9"/>
        <v>0</v>
      </c>
      <c r="AM258" s="360">
        <f t="shared" si="7"/>
        <v>0</v>
      </c>
      <c r="AN258" s="362">
        <f>ERP_2[[#This Row],[2026 Working Total]]-ERP_2[[#This Row],[LE2 Final Submission]]</f>
        <v>0</v>
      </c>
      <c r="AO258" s="79">
        <v>0</v>
      </c>
      <c r="AP258" s="79">
        <f t="shared" si="8"/>
        <v>0</v>
      </c>
      <c r="AQ258" s="374">
        <f>SUM(ERP_2[[#This Row],[AP01]:[AP06]])-SUM(ERP_2[[#This Row],[AP01 LE2]:[AP06 LE2]])</f>
        <v>0</v>
      </c>
      <c r="AR258" s="80"/>
      <c r="AS258" s="79">
        <f>ERP_2[[#This Row],[2026 Working Total to Budget/LE]]-ERP_2[[#This Row],[Giveback]]</f>
        <v>0</v>
      </c>
      <c r="AT258" s="81"/>
      <c r="AU258" s="375"/>
      <c r="AV258" s="375"/>
      <c r="AW258" s="375"/>
      <c r="AX258" s="375">
        <v>0</v>
      </c>
      <c r="AY258" s="375">
        <v>0</v>
      </c>
      <c r="AZ258" s="375">
        <v>0</v>
      </c>
      <c r="BA258" s="375">
        <v>0</v>
      </c>
      <c r="BB258" s="375">
        <v>0</v>
      </c>
      <c r="BC258" s="375">
        <v>0</v>
      </c>
      <c r="BD258" s="375">
        <v>0</v>
      </c>
      <c r="BE258" s="375">
        <v>0</v>
      </c>
      <c r="BF258" s="375">
        <v>0</v>
      </c>
      <c r="BG258" s="375">
        <v>0</v>
      </c>
      <c r="BH258" s="79"/>
      <c r="BI258" s="79"/>
      <c r="BJ258" s="79"/>
      <c r="BK258" s="79">
        <v>2100</v>
      </c>
      <c r="BL258" s="79">
        <v>2100</v>
      </c>
      <c r="BM258" s="79">
        <v>2100</v>
      </c>
      <c r="BN258" s="79">
        <v>2100</v>
      </c>
      <c r="BO258" s="79">
        <v>2100</v>
      </c>
      <c r="BP258" s="79">
        <v>2100</v>
      </c>
      <c r="BQ258" s="79">
        <v>2100</v>
      </c>
      <c r="BR258" s="79">
        <v>2100</v>
      </c>
      <c r="BS258" s="79">
        <v>2100</v>
      </c>
      <c r="BT258" s="79">
        <v>18900</v>
      </c>
    </row>
    <row r="259" spans="1:72" ht="15" hidden="1" customHeight="1">
      <c r="A259" s="66" t="s">
        <v>1404</v>
      </c>
      <c r="B259" s="66"/>
      <c r="C259" s="66" t="s">
        <v>189</v>
      </c>
      <c r="D259" s="66" t="s">
        <v>189</v>
      </c>
      <c r="E259" s="150" t="s">
        <v>1136</v>
      </c>
      <c r="F259" s="482" t="s">
        <v>1566</v>
      </c>
      <c r="G259" s="383" t="s">
        <v>1344</v>
      </c>
      <c r="H259" s="383" t="s">
        <v>1344</v>
      </c>
      <c r="I259" s="150" t="s">
        <v>1345</v>
      </c>
      <c r="J259" s="150" t="s">
        <v>1344</v>
      </c>
      <c r="K259" s="150" t="s">
        <v>1346</v>
      </c>
      <c r="L259" s="511" t="s">
        <v>49</v>
      </c>
      <c r="M259" s="392" t="s">
        <v>1405</v>
      </c>
      <c r="N259" s="343" t="s">
        <v>1387</v>
      </c>
      <c r="O259" s="346" t="s">
        <v>1363</v>
      </c>
      <c r="P259" s="70" t="s">
        <v>190</v>
      </c>
      <c r="Q259" s="346" t="s">
        <v>1153</v>
      </c>
      <c r="R259" s="346" t="s">
        <v>1406</v>
      </c>
      <c r="S259" s="346"/>
      <c r="T259" s="150" t="s">
        <v>25</v>
      </c>
      <c r="U259" s="150" t="s">
        <v>1407</v>
      </c>
      <c r="V259" s="403"/>
      <c r="W259" s="406">
        <v>1129982.58</v>
      </c>
      <c r="X259" s="406">
        <v>874707.09</v>
      </c>
      <c r="Y259" s="425"/>
      <c r="Z259" s="71"/>
      <c r="AA259" s="426">
        <v>77285</v>
      </c>
      <c r="AB259" s="427">
        <v>177053.54</v>
      </c>
      <c r="AC259" s="427">
        <v>-2920.45</v>
      </c>
      <c r="AD259" s="428">
        <v>86558.849999999991</v>
      </c>
      <c r="AE259" s="429">
        <v>86558.85</v>
      </c>
      <c r="AF259" s="429">
        <v>98924.389999999985</v>
      </c>
      <c r="AG259" s="363">
        <v>62406</v>
      </c>
      <c r="AH259" s="363">
        <v>62406</v>
      </c>
      <c r="AI259" s="363">
        <v>62406</v>
      </c>
      <c r="AJ259" s="363">
        <v>55438</v>
      </c>
      <c r="AK259" s="363">
        <v>55438</v>
      </c>
      <c r="AL259" s="363">
        <v>55438</v>
      </c>
      <c r="AM259" s="360">
        <f t="shared" si="7"/>
        <v>876992.18</v>
      </c>
      <c r="AN259" s="362">
        <f>ERP_2[[#This Row],[2026 Working Total]]-ERP_2[[#This Row],[LE2 Final Submission]]</f>
        <v>2285.0900000000838</v>
      </c>
      <c r="AO259" s="79">
        <v>97087</v>
      </c>
      <c r="AP259" s="79">
        <f t="shared" si="8"/>
        <v>1837.3899999999849</v>
      </c>
      <c r="AQ259" s="374">
        <f>SUM(ERP_2[[#This Row],[AP01]:[AP06]])-SUM(ERP_2[[#This Row],[AP01 LE2]:[AP06 LE2]])</f>
        <v>-19218.909999999916</v>
      </c>
      <c r="AR259" s="80">
        <v>255000</v>
      </c>
      <c r="AS259" s="79">
        <f>ERP_2[[#This Row],[2026 Working Total to Budget/LE]]-ERP_2[[#This Row],[Giveback]]</f>
        <v>-252714.90999999992</v>
      </c>
      <c r="AT259" s="81" t="s">
        <v>1408</v>
      </c>
      <c r="AU259" s="375">
        <v>77285</v>
      </c>
      <c r="AV259" s="375">
        <v>177053.54</v>
      </c>
      <c r="AW259" s="375">
        <v>-2920.45</v>
      </c>
      <c r="AX259" s="375">
        <v>97087</v>
      </c>
      <c r="AY259" s="375">
        <v>97087</v>
      </c>
      <c r="AZ259" s="375">
        <v>97087</v>
      </c>
      <c r="BA259" s="375">
        <v>55338</v>
      </c>
      <c r="BB259" s="375">
        <v>55338</v>
      </c>
      <c r="BC259" s="375">
        <v>55338</v>
      </c>
      <c r="BD259" s="375">
        <v>55338</v>
      </c>
      <c r="BE259" s="375">
        <v>55338</v>
      </c>
      <c r="BF259" s="375">
        <v>55338</v>
      </c>
      <c r="BG259" s="375">
        <v>874707.09</v>
      </c>
      <c r="BH259" s="79">
        <v>77285</v>
      </c>
      <c r="BI259" s="79">
        <v>177053.54</v>
      </c>
      <c r="BJ259" s="79">
        <v>-2920.45</v>
      </c>
      <c r="BK259" s="79">
        <v>90495</v>
      </c>
      <c r="BL259" s="79">
        <v>90495</v>
      </c>
      <c r="BM259" s="79">
        <v>99200</v>
      </c>
      <c r="BN259" s="79">
        <v>54165</v>
      </c>
      <c r="BO259" s="79">
        <v>54165</v>
      </c>
      <c r="BP259" s="79">
        <v>54165</v>
      </c>
      <c r="BQ259" s="79">
        <v>54165</v>
      </c>
      <c r="BR259" s="79">
        <v>54165</v>
      </c>
      <c r="BS259" s="79">
        <v>54165</v>
      </c>
      <c r="BT259" s="79">
        <v>856598.09</v>
      </c>
    </row>
    <row r="260" spans="1:72" ht="15" hidden="1" customHeight="1">
      <c r="A260" s="66" t="s">
        <v>1409</v>
      </c>
      <c r="B260" s="66"/>
      <c r="C260" s="66" t="s">
        <v>191</v>
      </c>
      <c r="D260" s="66" t="s">
        <v>191</v>
      </c>
      <c r="E260" s="150" t="s">
        <v>1136</v>
      </c>
      <c r="F260" s="482" t="s">
        <v>1566</v>
      </c>
      <c r="G260" s="383" t="s">
        <v>1344</v>
      </c>
      <c r="H260" s="383" t="s">
        <v>1344</v>
      </c>
      <c r="I260" s="150" t="s">
        <v>1345</v>
      </c>
      <c r="J260" s="150" t="s">
        <v>1344</v>
      </c>
      <c r="K260" s="150" t="s">
        <v>1346</v>
      </c>
      <c r="L260" s="511" t="s">
        <v>49</v>
      </c>
      <c r="M260" s="392" t="s">
        <v>1410</v>
      </c>
      <c r="N260" s="343"/>
      <c r="O260" s="343"/>
      <c r="P260" s="70" t="s">
        <v>192</v>
      </c>
      <c r="Q260" s="346"/>
      <c r="R260" s="343"/>
      <c r="S260" s="346"/>
      <c r="T260" s="150" t="s">
        <v>25</v>
      </c>
      <c r="U260" s="150"/>
      <c r="V260" s="403"/>
      <c r="W260" s="406">
        <v>513000</v>
      </c>
      <c r="X260" s="406">
        <v>384928.75</v>
      </c>
      <c r="Y260" s="430"/>
      <c r="Z260" s="137"/>
      <c r="AA260" s="426">
        <v>98474.5</v>
      </c>
      <c r="AB260" s="427">
        <v>-21757.25</v>
      </c>
      <c r="AC260" s="427">
        <v>-81628.5</v>
      </c>
      <c r="AD260" s="428">
        <v>-18382.5</v>
      </c>
      <c r="AE260" s="429">
        <v>0</v>
      </c>
      <c r="AF260" s="429">
        <v>0</v>
      </c>
      <c r="AG260" s="363">
        <v>69140</v>
      </c>
      <c r="AH260" s="363">
        <v>69140</v>
      </c>
      <c r="AI260" s="363">
        <v>69140</v>
      </c>
      <c r="AJ260" s="363">
        <v>69140</v>
      </c>
      <c r="AK260" s="363">
        <v>69140</v>
      </c>
      <c r="AL260" s="363">
        <v>62523</v>
      </c>
      <c r="AM260" s="360">
        <f t="shared" si="7"/>
        <v>384929.25</v>
      </c>
      <c r="AN260" s="362">
        <f>ERP_2[[#This Row],[2026 Working Total]]-ERP_2[[#This Row],[LE2 Final Submission]]</f>
        <v>0.5</v>
      </c>
      <c r="AO260" s="79">
        <v>0</v>
      </c>
      <c r="AP260" s="79">
        <f t="shared" si="8"/>
        <v>0</v>
      </c>
      <c r="AQ260" s="374">
        <f>SUM(ERP_2[[#This Row],[AP01]:[AP06]])-SUM(ERP_2[[#This Row],[AP01 LE2]:[AP06 LE2]])</f>
        <v>-18382.5</v>
      </c>
      <c r="AR260" s="80">
        <v>128000</v>
      </c>
      <c r="AS260" s="79">
        <f>ERP_2[[#This Row],[2026 Working Total to Budget/LE]]-ERP_2[[#This Row],[Giveback]]</f>
        <v>-127999.5</v>
      </c>
      <c r="AT260" s="81" t="s">
        <v>1411</v>
      </c>
      <c r="AU260" s="375">
        <v>98474.5</v>
      </c>
      <c r="AV260" s="375">
        <v>-21757.25</v>
      </c>
      <c r="AW260" s="375">
        <v>-81628.5</v>
      </c>
      <c r="AX260" s="375">
        <v>0</v>
      </c>
      <c r="AY260" s="375">
        <v>0</v>
      </c>
      <c r="AZ260" s="375">
        <v>0</v>
      </c>
      <c r="BA260" s="375">
        <v>64140</v>
      </c>
      <c r="BB260" s="375">
        <v>64140</v>
      </c>
      <c r="BC260" s="375">
        <v>64140</v>
      </c>
      <c r="BD260" s="375">
        <v>64140</v>
      </c>
      <c r="BE260" s="375">
        <v>64140</v>
      </c>
      <c r="BF260" s="375">
        <v>69140</v>
      </c>
      <c r="BG260" s="375">
        <v>384928.75</v>
      </c>
      <c r="BH260" s="79">
        <v>98474.5</v>
      </c>
      <c r="BI260" s="79">
        <v>-21757.25</v>
      </c>
      <c r="BJ260" s="79">
        <v>-81628.5</v>
      </c>
      <c r="BK260" s="79">
        <v>7667</v>
      </c>
      <c r="BL260" s="79">
        <v>9667</v>
      </c>
      <c r="BM260" s="79">
        <v>15667</v>
      </c>
      <c r="BN260" s="79">
        <v>70892</v>
      </c>
      <c r="BO260" s="79">
        <v>65000</v>
      </c>
      <c r="BP260" s="79">
        <v>65000</v>
      </c>
      <c r="BQ260" s="79">
        <v>65000</v>
      </c>
      <c r="BR260" s="79">
        <v>65000</v>
      </c>
      <c r="BS260" s="79">
        <v>65000</v>
      </c>
      <c r="BT260" s="79">
        <v>423981.75</v>
      </c>
    </row>
    <row r="261" spans="1:72" ht="15" hidden="1" customHeight="1">
      <c r="A261" s="66" t="s">
        <v>1422</v>
      </c>
      <c r="B261" s="66"/>
      <c r="C261" s="66" t="s">
        <v>193</v>
      </c>
      <c r="D261" s="66" t="s">
        <v>193</v>
      </c>
      <c r="E261" s="150" t="s">
        <v>1136</v>
      </c>
      <c r="F261" s="482" t="s">
        <v>1566</v>
      </c>
      <c r="G261" s="383" t="s">
        <v>1344</v>
      </c>
      <c r="H261" s="383" t="s">
        <v>1344</v>
      </c>
      <c r="I261" s="150" t="s">
        <v>1345</v>
      </c>
      <c r="J261" s="150" t="s">
        <v>1344</v>
      </c>
      <c r="K261" s="150" t="s">
        <v>1346</v>
      </c>
      <c r="L261" s="511" t="s">
        <v>49</v>
      </c>
      <c r="M261" s="392" t="s">
        <v>1423</v>
      </c>
      <c r="N261" s="343"/>
      <c r="O261" s="343"/>
      <c r="P261" s="70" t="s">
        <v>194</v>
      </c>
      <c r="Q261" s="346"/>
      <c r="R261" s="343"/>
      <c r="S261" s="346"/>
      <c r="T261" s="150" t="s">
        <v>25</v>
      </c>
      <c r="U261" s="150"/>
      <c r="V261" s="403"/>
      <c r="W261" s="406">
        <v>0</v>
      </c>
      <c r="X261" s="406">
        <v>3710</v>
      </c>
      <c r="Y261" s="425"/>
      <c r="Z261" s="71"/>
      <c r="AA261" s="426"/>
      <c r="AB261" s="427">
        <v>3710</v>
      </c>
      <c r="AC261" s="431">
        <v>0</v>
      </c>
      <c r="AD261" s="428">
        <v>0</v>
      </c>
      <c r="AE261" s="429">
        <v>0</v>
      </c>
      <c r="AF261" s="429">
        <v>0</v>
      </c>
      <c r="AG261" s="360">
        <v>0</v>
      </c>
      <c r="AH261" s="360">
        <v>0</v>
      </c>
      <c r="AI261" s="360">
        <v>0</v>
      </c>
      <c r="AJ261" s="360">
        <v>0</v>
      </c>
      <c r="AK261" s="360">
        <v>0</v>
      </c>
      <c r="AL261" s="360">
        <v>0</v>
      </c>
      <c r="AM261" s="360">
        <f t="shared" si="7"/>
        <v>3710</v>
      </c>
      <c r="AN261" s="362">
        <f>ERP_2[[#This Row],[2026 Working Total]]-ERP_2[[#This Row],[LE2 Final Submission]]</f>
        <v>0</v>
      </c>
      <c r="AO261" s="79">
        <v>0</v>
      </c>
      <c r="AP261" s="79">
        <f t="shared" si="8"/>
        <v>0</v>
      </c>
      <c r="AQ261" s="374">
        <f>SUM(ERP_2[[#This Row],[AP01]:[AP06]])-SUM(ERP_2[[#This Row],[AP01 LE2]:[AP06 LE2]])</f>
        <v>0</v>
      </c>
      <c r="AR261" s="80"/>
      <c r="AS261" s="79">
        <f>ERP_2[[#This Row],[2026 Working Total to Budget/LE]]-ERP_2[[#This Row],[Giveback]]</f>
        <v>0</v>
      </c>
      <c r="AT261" s="155" t="s">
        <v>1424</v>
      </c>
      <c r="AU261" s="375"/>
      <c r="AV261" s="375">
        <v>3710</v>
      </c>
      <c r="AW261" s="375">
        <v>0</v>
      </c>
      <c r="AX261" s="375">
        <v>0</v>
      </c>
      <c r="AY261" s="375">
        <v>0</v>
      </c>
      <c r="AZ261" s="375">
        <v>0</v>
      </c>
      <c r="BA261" s="375">
        <v>0</v>
      </c>
      <c r="BB261" s="375">
        <v>0</v>
      </c>
      <c r="BC261" s="375">
        <v>0</v>
      </c>
      <c r="BD261" s="375">
        <v>0</v>
      </c>
      <c r="BE261" s="375">
        <v>0</v>
      </c>
      <c r="BF261" s="375">
        <v>0</v>
      </c>
      <c r="BG261" s="375">
        <v>3710</v>
      </c>
      <c r="BH261" s="79"/>
      <c r="BI261" s="79">
        <v>3710</v>
      </c>
      <c r="BJ261" s="79">
        <v>0</v>
      </c>
      <c r="BK261" s="79">
        <v>0</v>
      </c>
      <c r="BL261" s="79">
        <v>0</v>
      </c>
      <c r="BM261" s="79">
        <v>0</v>
      </c>
      <c r="BN261" s="79">
        <v>0</v>
      </c>
      <c r="BO261" s="79">
        <v>0</v>
      </c>
      <c r="BP261" s="79">
        <v>0</v>
      </c>
      <c r="BQ261" s="79">
        <v>0</v>
      </c>
      <c r="BR261" s="79">
        <v>0</v>
      </c>
      <c r="BS261" s="79">
        <v>0</v>
      </c>
      <c r="BT261" s="79">
        <v>3710</v>
      </c>
    </row>
    <row r="262" spans="1:72" ht="15" hidden="1" customHeight="1">
      <c r="A262" s="66" t="s">
        <v>1425</v>
      </c>
      <c r="B262" s="66"/>
      <c r="C262" s="66" t="s">
        <v>195</v>
      </c>
      <c r="D262" s="66" t="s">
        <v>195</v>
      </c>
      <c r="E262" s="150" t="s">
        <v>1136</v>
      </c>
      <c r="F262" s="482" t="s">
        <v>1566</v>
      </c>
      <c r="G262" s="383" t="s">
        <v>1344</v>
      </c>
      <c r="H262" s="383" t="s">
        <v>1344</v>
      </c>
      <c r="I262" s="150" t="s">
        <v>1345</v>
      </c>
      <c r="J262" s="150" t="s">
        <v>1344</v>
      </c>
      <c r="K262" s="150" t="s">
        <v>1346</v>
      </c>
      <c r="L262" s="511" t="s">
        <v>49</v>
      </c>
      <c r="M262" s="392" t="s">
        <v>1327</v>
      </c>
      <c r="N262" s="343"/>
      <c r="O262" s="343"/>
      <c r="P262" s="70" t="s">
        <v>147</v>
      </c>
      <c r="Q262" s="346"/>
      <c r="R262" s="343"/>
      <c r="S262" s="346"/>
      <c r="T262" s="150" t="s">
        <v>25</v>
      </c>
      <c r="U262" s="150"/>
      <c r="V262" s="403"/>
      <c r="W262" s="406">
        <v>0</v>
      </c>
      <c r="X262" s="406">
        <v>-0.47</v>
      </c>
      <c r="Y262" s="425"/>
      <c r="Z262" s="71"/>
      <c r="AA262" s="426">
        <v>-0.28999999999999998</v>
      </c>
      <c r="AB262" s="427">
        <v>0.43</v>
      </c>
      <c r="AC262" s="427">
        <v>-0.61</v>
      </c>
      <c r="AD262" s="428">
        <v>0.34</v>
      </c>
      <c r="AE262" s="429">
        <v>0.22</v>
      </c>
      <c r="AF262" s="429">
        <v>0.05</v>
      </c>
      <c r="AG262" s="360">
        <v>0</v>
      </c>
      <c r="AH262" s="360">
        <v>0</v>
      </c>
      <c r="AI262" s="360">
        <v>0</v>
      </c>
      <c r="AJ262" s="360">
        <v>0</v>
      </c>
      <c r="AK262" s="360">
        <v>0</v>
      </c>
      <c r="AL262" s="360">
        <v>0</v>
      </c>
      <c r="AM262" s="360">
        <f t="shared" si="7"/>
        <v>0.14000000000000007</v>
      </c>
      <c r="AN262" s="362">
        <f>ERP_2[[#This Row],[2026 Working Total]]-ERP_2[[#This Row],[LE2 Final Submission]]</f>
        <v>0.6100000000000001</v>
      </c>
      <c r="AO262" s="79">
        <v>0</v>
      </c>
      <c r="AP262" s="79">
        <f t="shared" si="8"/>
        <v>0.05</v>
      </c>
      <c r="AQ262" s="374">
        <f>SUM(ERP_2[[#This Row],[AP01]:[AP06]])-SUM(ERP_2[[#This Row],[AP01 LE2]:[AP06 LE2]])</f>
        <v>0.6100000000000001</v>
      </c>
      <c r="AR262" s="80"/>
      <c r="AS262" s="79">
        <f>ERP_2[[#This Row],[2026 Working Total to Budget/LE]]-ERP_2[[#This Row],[Giveback]]</f>
        <v>0.6100000000000001</v>
      </c>
      <c r="AT262" s="81"/>
      <c r="AU262" s="375">
        <v>-0.28999999999999998</v>
      </c>
      <c r="AV262" s="375">
        <v>0.43</v>
      </c>
      <c r="AW262" s="375">
        <v>-0.61</v>
      </c>
      <c r="AX262" s="375">
        <v>0</v>
      </c>
      <c r="AY262" s="375">
        <v>0</v>
      </c>
      <c r="AZ262" s="375">
        <v>0</v>
      </c>
      <c r="BA262" s="375">
        <v>0</v>
      </c>
      <c r="BB262" s="375">
        <v>0</v>
      </c>
      <c r="BC262" s="375">
        <v>0</v>
      </c>
      <c r="BD262" s="375">
        <v>0</v>
      </c>
      <c r="BE262" s="375">
        <v>0</v>
      </c>
      <c r="BF262" s="375">
        <v>0</v>
      </c>
      <c r="BG262" s="375">
        <v>-0.47</v>
      </c>
      <c r="BH262" s="79">
        <v>-0.28999999999999998</v>
      </c>
      <c r="BI262" s="79">
        <v>0.43</v>
      </c>
      <c r="BJ262" s="79">
        <v>-0.61</v>
      </c>
      <c r="BK262" s="79">
        <v>0</v>
      </c>
      <c r="BL262" s="79">
        <v>0</v>
      </c>
      <c r="BM262" s="79">
        <v>0</v>
      </c>
      <c r="BN262" s="79">
        <v>0</v>
      </c>
      <c r="BO262" s="79">
        <v>0</v>
      </c>
      <c r="BP262" s="79">
        <v>0</v>
      </c>
      <c r="BQ262" s="79">
        <v>0</v>
      </c>
      <c r="BR262" s="79">
        <v>0</v>
      </c>
      <c r="BS262" s="79">
        <v>0</v>
      </c>
      <c r="BT262" s="79">
        <v>-0.47</v>
      </c>
    </row>
    <row r="263" spans="1:72" ht="15" hidden="1" customHeight="1">
      <c r="A263" s="66" t="s">
        <v>1426</v>
      </c>
      <c r="B263" s="66"/>
      <c r="C263" s="66" t="s">
        <v>196</v>
      </c>
      <c r="D263" s="66" t="s">
        <v>196</v>
      </c>
      <c r="E263" s="150" t="s">
        <v>1136</v>
      </c>
      <c r="F263" s="482" t="s">
        <v>1566</v>
      </c>
      <c r="G263" s="383" t="s">
        <v>1344</v>
      </c>
      <c r="H263" s="383" t="s">
        <v>1344</v>
      </c>
      <c r="I263" s="150" t="s">
        <v>1345</v>
      </c>
      <c r="J263" s="150" t="s">
        <v>1344</v>
      </c>
      <c r="K263" s="150" t="s">
        <v>1346</v>
      </c>
      <c r="L263" s="511" t="s">
        <v>49</v>
      </c>
      <c r="M263" s="392" t="s">
        <v>1340</v>
      </c>
      <c r="N263" s="343"/>
      <c r="O263" s="343"/>
      <c r="P263" s="70" t="s">
        <v>149</v>
      </c>
      <c r="Q263" s="346" t="s">
        <v>1139</v>
      </c>
      <c r="R263" s="343"/>
      <c r="S263" s="346"/>
      <c r="T263" s="150" t="s">
        <v>25</v>
      </c>
      <c r="U263" s="150"/>
      <c r="V263" s="403"/>
      <c r="W263" s="406">
        <v>0</v>
      </c>
      <c r="X263" s="406">
        <v>-8178.7199999999993</v>
      </c>
      <c r="Y263" s="430"/>
      <c r="Z263" s="137"/>
      <c r="AA263" s="426">
        <v>-879.72</v>
      </c>
      <c r="AB263" s="427">
        <v>-0.18</v>
      </c>
      <c r="AC263" s="427">
        <v>-7298.82</v>
      </c>
      <c r="AD263" s="428">
        <v>0</v>
      </c>
      <c r="AE263" s="429">
        <v>0</v>
      </c>
      <c r="AF263" s="429">
        <v>0</v>
      </c>
      <c r="AG263" s="360">
        <v>0</v>
      </c>
      <c r="AH263" s="360">
        <v>0</v>
      </c>
      <c r="AI263" s="360">
        <v>0</v>
      </c>
      <c r="AJ263" s="360">
        <v>0</v>
      </c>
      <c r="AK263" s="360">
        <v>0</v>
      </c>
      <c r="AL263" s="360">
        <v>0</v>
      </c>
      <c r="AM263" s="360">
        <f t="shared" si="7"/>
        <v>-8178.7199999999993</v>
      </c>
      <c r="AN263" s="362">
        <f>ERP_2[[#This Row],[2026 Working Total]]-ERP_2[[#This Row],[LE2 Final Submission]]</f>
        <v>0</v>
      </c>
      <c r="AO263" s="79">
        <v>0</v>
      </c>
      <c r="AP263" s="79">
        <f t="shared" si="8"/>
        <v>0</v>
      </c>
      <c r="AQ263" s="374">
        <f>SUM(ERP_2[[#This Row],[AP01]:[AP06]])-SUM(ERP_2[[#This Row],[AP01 LE2]:[AP06 LE2]])</f>
        <v>0</v>
      </c>
      <c r="AR263" s="80"/>
      <c r="AS263" s="79">
        <f>ERP_2[[#This Row],[2026 Working Total to Budget/LE]]-ERP_2[[#This Row],[Giveback]]</f>
        <v>0</v>
      </c>
      <c r="AT263" s="81"/>
      <c r="AU263" s="375">
        <v>-879.72</v>
      </c>
      <c r="AV263" s="375">
        <v>-0.18</v>
      </c>
      <c r="AW263" s="375">
        <v>-7298.82</v>
      </c>
      <c r="AX263" s="375">
        <v>0</v>
      </c>
      <c r="AY263" s="375">
        <v>0</v>
      </c>
      <c r="AZ263" s="375">
        <v>0</v>
      </c>
      <c r="BA263" s="375">
        <v>0</v>
      </c>
      <c r="BB263" s="375">
        <v>0</v>
      </c>
      <c r="BC263" s="375">
        <v>0</v>
      </c>
      <c r="BD263" s="375">
        <v>0</v>
      </c>
      <c r="BE263" s="375">
        <v>0</v>
      </c>
      <c r="BF263" s="375">
        <v>0</v>
      </c>
      <c r="BG263" s="375">
        <v>-8178.7199999999993</v>
      </c>
      <c r="BH263" s="79">
        <v>-879.72</v>
      </c>
      <c r="BI263" s="79">
        <v>-0.18</v>
      </c>
      <c r="BJ263" s="79">
        <v>-7298.82</v>
      </c>
      <c r="BK263" s="79">
        <v>0</v>
      </c>
      <c r="BL263" s="79">
        <v>0</v>
      </c>
      <c r="BM263" s="79">
        <v>0</v>
      </c>
      <c r="BN263" s="79">
        <v>0</v>
      </c>
      <c r="BO263" s="79">
        <v>0</v>
      </c>
      <c r="BP263" s="79">
        <v>0</v>
      </c>
      <c r="BQ263" s="79">
        <v>0</v>
      </c>
      <c r="BR263" s="79">
        <v>0</v>
      </c>
      <c r="BS263" s="79">
        <v>0</v>
      </c>
      <c r="BT263" s="79">
        <v>-8178.7199999999993</v>
      </c>
    </row>
    <row r="264" spans="1:72" ht="15" hidden="1" customHeight="1">
      <c r="A264" s="66" t="s">
        <v>2834</v>
      </c>
      <c r="B264" s="66"/>
      <c r="C264" s="66" t="s">
        <v>1031</v>
      </c>
      <c r="D264" s="66" t="s">
        <v>1031</v>
      </c>
      <c r="E264" s="150" t="s">
        <v>1136</v>
      </c>
      <c r="F264" s="482" t="s">
        <v>1566</v>
      </c>
      <c r="G264" s="150" t="s">
        <v>1515</v>
      </c>
      <c r="H264" s="383" t="s">
        <v>1515</v>
      </c>
      <c r="I264" s="150" t="s">
        <v>1345</v>
      </c>
      <c r="J264" s="150" t="s">
        <v>1515</v>
      </c>
      <c r="K264" s="150" t="s">
        <v>1346</v>
      </c>
      <c r="L264" s="511" t="s">
        <v>1027</v>
      </c>
      <c r="M264" s="392" t="s">
        <v>2830</v>
      </c>
      <c r="N264" s="343"/>
      <c r="O264" s="343"/>
      <c r="P264" s="70" t="s">
        <v>1029</v>
      </c>
      <c r="Q264" s="346"/>
      <c r="R264" s="343"/>
      <c r="S264" s="346"/>
      <c r="T264" s="150" t="s">
        <v>25</v>
      </c>
      <c r="U264" s="150"/>
      <c r="V264" s="403"/>
      <c r="W264" s="406">
        <v>0</v>
      </c>
      <c r="X264" s="406">
        <v>208.93</v>
      </c>
      <c r="Y264" s="425"/>
      <c r="Z264" s="71"/>
      <c r="AA264" s="426">
        <v>-76.86</v>
      </c>
      <c r="AB264" s="427">
        <v>111.1</v>
      </c>
      <c r="AC264" s="427">
        <v>174.69</v>
      </c>
      <c r="AD264" s="428">
        <v>0</v>
      </c>
      <c r="AE264" s="429">
        <v>108.31</v>
      </c>
      <c r="AF264" s="429">
        <v>60.089999999999996</v>
      </c>
      <c r="AG264" s="360">
        <v>0</v>
      </c>
      <c r="AH264" s="360">
        <v>0</v>
      </c>
      <c r="AI264" s="360">
        <v>0</v>
      </c>
      <c r="AJ264" s="360">
        <v>0</v>
      </c>
      <c r="AK264" s="360">
        <v>0</v>
      </c>
      <c r="AL264" s="360">
        <v>0</v>
      </c>
      <c r="AM264" s="360">
        <f t="shared" ref="AM264:AM308" si="10">SUM(AA264:AL264)</f>
        <v>377.33</v>
      </c>
      <c r="AN264" s="362">
        <f>ERP_2[[#This Row],[2026 Working Total]]-ERP_2[[#This Row],[LE2 Final Submission]]</f>
        <v>168.39999999999998</v>
      </c>
      <c r="AO264" s="79">
        <v>0</v>
      </c>
      <c r="AP264" s="79">
        <f t="shared" ref="AP264:AP327" si="11">$AF264 - $AO264</f>
        <v>60.089999999999996</v>
      </c>
      <c r="AQ264" s="374">
        <f>SUM(ERP_2[[#This Row],[AP01]:[AP06]])-SUM(ERP_2[[#This Row],[AP01 LE2]:[AP06 LE2]])</f>
        <v>168.39999999999998</v>
      </c>
      <c r="AR264" s="80"/>
      <c r="AS264" s="79">
        <f>ERP_2[[#This Row],[2026 Working Total to Budget/LE]]-ERP_2[[#This Row],[Giveback]]</f>
        <v>168.39999999999998</v>
      </c>
      <c r="AT264" s="81"/>
      <c r="AU264" s="375">
        <v>-76.86</v>
      </c>
      <c r="AV264" s="375">
        <v>111.1</v>
      </c>
      <c r="AW264" s="375">
        <v>174.69</v>
      </c>
      <c r="AX264" s="375">
        <v>0</v>
      </c>
      <c r="AY264" s="375">
        <v>0</v>
      </c>
      <c r="AZ264" s="375">
        <v>0</v>
      </c>
      <c r="BA264" s="375">
        <v>0</v>
      </c>
      <c r="BB264" s="375">
        <v>0</v>
      </c>
      <c r="BC264" s="375">
        <v>0</v>
      </c>
      <c r="BD264" s="375">
        <v>0</v>
      </c>
      <c r="BE264" s="375">
        <v>0</v>
      </c>
      <c r="BF264" s="375">
        <v>0</v>
      </c>
      <c r="BG264" s="375">
        <v>208.93</v>
      </c>
      <c r="BH264" s="79">
        <v>-76.86</v>
      </c>
      <c r="BI264" s="79">
        <v>111.1</v>
      </c>
      <c r="BJ264" s="79">
        <v>174.69</v>
      </c>
      <c r="BK264" s="79">
        <v>0</v>
      </c>
      <c r="BL264" s="79">
        <v>0</v>
      </c>
      <c r="BM264" s="79">
        <v>0</v>
      </c>
      <c r="BN264" s="79">
        <v>0</v>
      </c>
      <c r="BO264" s="79">
        <v>0</v>
      </c>
      <c r="BP264" s="79">
        <v>0</v>
      </c>
      <c r="BQ264" s="79">
        <v>0</v>
      </c>
      <c r="BR264" s="79">
        <v>0</v>
      </c>
      <c r="BS264" s="79">
        <v>0</v>
      </c>
      <c r="BT264" s="79">
        <v>208.93</v>
      </c>
    </row>
    <row r="265" spans="1:72" ht="15" hidden="1" customHeight="1">
      <c r="A265" s="66" t="s">
        <v>2850</v>
      </c>
      <c r="B265" s="66"/>
      <c r="C265" s="66" t="s">
        <v>1042</v>
      </c>
      <c r="D265" s="66" t="s">
        <v>1042</v>
      </c>
      <c r="E265" s="150" t="s">
        <v>1136</v>
      </c>
      <c r="F265" s="482" t="s">
        <v>1566</v>
      </c>
      <c r="G265" s="150" t="s">
        <v>1515</v>
      </c>
      <c r="H265" s="383" t="s">
        <v>1515</v>
      </c>
      <c r="I265" s="150" t="s">
        <v>1345</v>
      </c>
      <c r="J265" s="150" t="s">
        <v>1515</v>
      </c>
      <c r="K265" s="150" t="s">
        <v>1346</v>
      </c>
      <c r="L265" s="511" t="s">
        <v>1037</v>
      </c>
      <c r="M265" s="392" t="s">
        <v>2846</v>
      </c>
      <c r="N265" s="343"/>
      <c r="O265" s="343"/>
      <c r="P265" s="70" t="s">
        <v>1039</v>
      </c>
      <c r="Q265" s="346"/>
      <c r="R265" s="346" t="s">
        <v>1140</v>
      </c>
      <c r="S265" s="346"/>
      <c r="T265" s="150" t="s">
        <v>1040</v>
      </c>
      <c r="U265" s="150"/>
      <c r="V265" s="403"/>
      <c r="W265" s="406">
        <v>0</v>
      </c>
      <c r="X265" s="406">
        <v>1947.4499999999998</v>
      </c>
      <c r="Y265" s="425"/>
      <c r="Z265" s="71"/>
      <c r="AA265" s="426">
        <v>1400.32</v>
      </c>
      <c r="AB265" s="427">
        <v>547.13</v>
      </c>
      <c r="AC265" s="431">
        <v>0</v>
      </c>
      <c r="AD265" s="428">
        <v>0</v>
      </c>
      <c r="AE265" s="429">
        <v>0</v>
      </c>
      <c r="AF265" s="429">
        <v>0</v>
      </c>
      <c r="AG265" s="360">
        <v>0</v>
      </c>
      <c r="AH265" s="360">
        <v>0</v>
      </c>
      <c r="AI265" s="360">
        <v>0</v>
      </c>
      <c r="AJ265" s="360">
        <v>0</v>
      </c>
      <c r="AK265" s="360">
        <v>0</v>
      </c>
      <c r="AL265" s="360">
        <v>0</v>
      </c>
      <c r="AM265" s="360">
        <f t="shared" si="10"/>
        <v>1947.4499999999998</v>
      </c>
      <c r="AN265" s="362">
        <f>ERP_2[[#This Row],[2026 Working Total]]-ERP_2[[#This Row],[LE2 Final Submission]]</f>
        <v>0</v>
      </c>
      <c r="AO265" s="79">
        <v>0</v>
      </c>
      <c r="AP265" s="79">
        <f t="shared" si="11"/>
        <v>0</v>
      </c>
      <c r="AQ265" s="374">
        <f>SUM(ERP_2[[#This Row],[AP01]:[AP06]])-SUM(ERP_2[[#This Row],[AP01 LE2]:[AP06 LE2]])</f>
        <v>0</v>
      </c>
      <c r="AR265" s="80"/>
      <c r="AS265" s="79">
        <f>ERP_2[[#This Row],[2026 Working Total to Budget/LE]]-ERP_2[[#This Row],[Giveback]]</f>
        <v>0</v>
      </c>
      <c r="AT265" s="81"/>
      <c r="AU265" s="375">
        <v>1400.32</v>
      </c>
      <c r="AV265" s="375">
        <v>547.13</v>
      </c>
      <c r="AW265" s="375">
        <v>0</v>
      </c>
      <c r="AX265" s="375">
        <v>0</v>
      </c>
      <c r="AY265" s="375">
        <v>0</v>
      </c>
      <c r="AZ265" s="375">
        <v>0</v>
      </c>
      <c r="BA265" s="375">
        <v>0</v>
      </c>
      <c r="BB265" s="375">
        <v>0</v>
      </c>
      <c r="BC265" s="375">
        <v>0</v>
      </c>
      <c r="BD265" s="375">
        <v>0</v>
      </c>
      <c r="BE265" s="375">
        <v>0</v>
      </c>
      <c r="BF265" s="375">
        <v>0</v>
      </c>
      <c r="BG265" s="375">
        <v>1947.4499999999998</v>
      </c>
      <c r="BH265" s="79">
        <v>1400.32</v>
      </c>
      <c r="BI265" s="79">
        <v>547.13</v>
      </c>
      <c r="BJ265" s="79">
        <v>0</v>
      </c>
      <c r="BK265" s="79">
        <v>0</v>
      </c>
      <c r="BL265" s="79">
        <v>0</v>
      </c>
      <c r="BM265" s="79">
        <v>0</v>
      </c>
      <c r="BN265" s="79">
        <v>0</v>
      </c>
      <c r="BO265" s="79">
        <v>0</v>
      </c>
      <c r="BP265" s="79">
        <v>0</v>
      </c>
      <c r="BQ265" s="79">
        <v>0</v>
      </c>
      <c r="BR265" s="79">
        <v>0</v>
      </c>
      <c r="BS265" s="79">
        <v>0</v>
      </c>
      <c r="BT265" s="79">
        <v>1947.4499999999998</v>
      </c>
    </row>
    <row r="266" spans="1:72" ht="15" hidden="1" customHeight="1">
      <c r="A266" s="66" t="s">
        <v>1963</v>
      </c>
      <c r="B266" s="66"/>
      <c r="C266" s="66" t="s">
        <v>492</v>
      </c>
      <c r="D266" s="66" t="s">
        <v>492</v>
      </c>
      <c r="E266" s="150" t="s">
        <v>1136</v>
      </c>
      <c r="F266" s="482" t="s">
        <v>1566</v>
      </c>
      <c r="G266" s="383" t="s">
        <v>1344</v>
      </c>
      <c r="H266" s="383" t="s">
        <v>1344</v>
      </c>
      <c r="I266" s="150" t="s">
        <v>1345</v>
      </c>
      <c r="J266" s="150" t="s">
        <v>1344</v>
      </c>
      <c r="K266" s="150" t="s">
        <v>1346</v>
      </c>
      <c r="L266" s="511" t="s">
        <v>389</v>
      </c>
      <c r="M266" s="392" t="s">
        <v>1147</v>
      </c>
      <c r="N266" s="343"/>
      <c r="O266" s="343"/>
      <c r="P266" s="70" t="s">
        <v>53</v>
      </c>
      <c r="Q266" s="346" t="s">
        <v>1153</v>
      </c>
      <c r="R266" s="343"/>
      <c r="S266" s="346"/>
      <c r="T266" s="150" t="s">
        <v>25</v>
      </c>
      <c r="U266" s="150"/>
      <c r="V266" s="403"/>
      <c r="W266" s="406">
        <v>0</v>
      </c>
      <c r="X266" s="406">
        <v>387</v>
      </c>
      <c r="Y266" s="425"/>
      <c r="Z266" s="71"/>
      <c r="AA266" s="426">
        <v>129</v>
      </c>
      <c r="AB266" s="427">
        <v>129</v>
      </c>
      <c r="AC266" s="427">
        <v>129</v>
      </c>
      <c r="AD266" s="428">
        <v>129</v>
      </c>
      <c r="AE266" s="429">
        <v>129</v>
      </c>
      <c r="AF266" s="429">
        <v>129</v>
      </c>
      <c r="AG266" s="360">
        <v>0</v>
      </c>
      <c r="AH266" s="360">
        <v>0</v>
      </c>
      <c r="AI266" s="360">
        <v>0</v>
      </c>
      <c r="AJ266" s="360">
        <v>0</v>
      </c>
      <c r="AK266" s="360">
        <v>0</v>
      </c>
      <c r="AL266" s="360">
        <v>0</v>
      </c>
      <c r="AM266" s="360">
        <f t="shared" si="10"/>
        <v>774</v>
      </c>
      <c r="AN266" s="362">
        <f>ERP_2[[#This Row],[2026 Working Total]]-ERP_2[[#This Row],[LE2 Final Submission]]</f>
        <v>387</v>
      </c>
      <c r="AO266" s="79">
        <v>0</v>
      </c>
      <c r="AP266" s="79">
        <f t="shared" si="11"/>
        <v>129</v>
      </c>
      <c r="AQ266" s="374">
        <f>SUM(ERP_2[[#This Row],[AP01]:[AP06]])-SUM(ERP_2[[#This Row],[AP01 LE2]:[AP06 LE2]])</f>
        <v>387</v>
      </c>
      <c r="AR266" s="80"/>
      <c r="AS266" s="79">
        <f>ERP_2[[#This Row],[2026 Working Total to Budget/LE]]-ERP_2[[#This Row],[Giveback]]</f>
        <v>387</v>
      </c>
      <c r="AT266" s="81"/>
      <c r="AU266" s="375">
        <v>129</v>
      </c>
      <c r="AV266" s="375">
        <v>129</v>
      </c>
      <c r="AW266" s="375">
        <v>129</v>
      </c>
      <c r="AX266" s="375">
        <v>0</v>
      </c>
      <c r="AY266" s="375">
        <v>0</v>
      </c>
      <c r="AZ266" s="375">
        <v>0</v>
      </c>
      <c r="BA266" s="375">
        <v>0</v>
      </c>
      <c r="BB266" s="375">
        <v>0</v>
      </c>
      <c r="BC266" s="375">
        <v>0</v>
      </c>
      <c r="BD266" s="375">
        <v>0</v>
      </c>
      <c r="BE266" s="375">
        <v>0</v>
      </c>
      <c r="BF266" s="375">
        <v>0</v>
      </c>
      <c r="BG266" s="375">
        <v>387</v>
      </c>
      <c r="BH266" s="79">
        <v>129</v>
      </c>
      <c r="BI266" s="79">
        <v>129</v>
      </c>
      <c r="BJ266" s="79">
        <v>129</v>
      </c>
      <c r="BK266" s="79">
        <v>0</v>
      </c>
      <c r="BL266" s="79">
        <v>0</v>
      </c>
      <c r="BM266" s="79">
        <v>0</v>
      </c>
      <c r="BN266" s="79">
        <v>0</v>
      </c>
      <c r="BO266" s="79">
        <v>0</v>
      </c>
      <c r="BP266" s="79">
        <v>0</v>
      </c>
      <c r="BQ266" s="79">
        <v>0</v>
      </c>
      <c r="BR266" s="79">
        <v>0</v>
      </c>
      <c r="BS266" s="79">
        <v>0</v>
      </c>
      <c r="BT266" s="79">
        <v>387</v>
      </c>
    </row>
    <row r="267" spans="1:72" ht="15" hidden="1" customHeight="1">
      <c r="A267" s="66" t="s">
        <v>1964</v>
      </c>
      <c r="B267" s="66"/>
      <c r="C267" s="66" t="s">
        <v>493</v>
      </c>
      <c r="D267" s="66" t="s">
        <v>493</v>
      </c>
      <c r="E267" s="150" t="s">
        <v>1136</v>
      </c>
      <c r="F267" s="482" t="s">
        <v>1566</v>
      </c>
      <c r="G267" s="383" t="s">
        <v>1344</v>
      </c>
      <c r="H267" s="383" t="s">
        <v>1344</v>
      </c>
      <c r="I267" s="150" t="s">
        <v>1345</v>
      </c>
      <c r="J267" s="150" t="s">
        <v>1344</v>
      </c>
      <c r="K267" s="150" t="s">
        <v>1346</v>
      </c>
      <c r="L267" s="511" t="s">
        <v>389</v>
      </c>
      <c r="M267" s="392" t="s">
        <v>1174</v>
      </c>
      <c r="N267" s="343"/>
      <c r="O267" s="343"/>
      <c r="P267" s="70" t="s">
        <v>56</v>
      </c>
      <c r="Q267" s="346"/>
      <c r="R267" s="346" t="s">
        <v>1140</v>
      </c>
      <c r="S267" s="346"/>
      <c r="T267" s="150" t="s">
        <v>57</v>
      </c>
      <c r="U267" s="150"/>
      <c r="V267" s="403"/>
      <c r="W267" s="406">
        <v>18000</v>
      </c>
      <c r="X267" s="406">
        <v>16521.98</v>
      </c>
      <c r="Y267" s="430"/>
      <c r="Z267" s="137"/>
      <c r="AA267" s="426">
        <v>920.95</v>
      </c>
      <c r="AB267" s="427">
        <v>1065.45</v>
      </c>
      <c r="AC267" s="427">
        <v>1035.58</v>
      </c>
      <c r="AD267" s="428">
        <v>1019.5500000000001</v>
      </c>
      <c r="AE267" s="429">
        <v>110.62</v>
      </c>
      <c r="AF267" s="429">
        <v>219.57999999999998</v>
      </c>
      <c r="AG267" s="363">
        <v>1500</v>
      </c>
      <c r="AH267" s="363">
        <v>1500</v>
      </c>
      <c r="AI267" s="363">
        <v>1500</v>
      </c>
      <c r="AJ267" s="363">
        <v>1500</v>
      </c>
      <c r="AK267" s="363">
        <v>1500</v>
      </c>
      <c r="AL267" s="363">
        <v>1500</v>
      </c>
      <c r="AM267" s="360">
        <f t="shared" si="10"/>
        <v>13371.73</v>
      </c>
      <c r="AN267" s="362">
        <f>ERP_2[[#This Row],[2026 Working Total]]-ERP_2[[#This Row],[LE2 Final Submission]]</f>
        <v>-3150.25</v>
      </c>
      <c r="AO267" s="79">
        <v>1500</v>
      </c>
      <c r="AP267" s="79">
        <f t="shared" si="11"/>
        <v>-1280.42</v>
      </c>
      <c r="AQ267" s="374">
        <f>SUM(ERP_2[[#This Row],[AP01]:[AP06]])-SUM(ERP_2[[#This Row],[AP01 LE2]:[AP06 LE2]])</f>
        <v>-3150.2499999999991</v>
      </c>
      <c r="AR267" s="80"/>
      <c r="AS267" s="79">
        <f>ERP_2[[#This Row],[2026 Working Total to Budget/LE]]-ERP_2[[#This Row],[Giveback]]</f>
        <v>-3150.25</v>
      </c>
      <c r="AT267" s="81"/>
      <c r="AU267" s="375">
        <v>920.95</v>
      </c>
      <c r="AV267" s="375">
        <v>1065.45</v>
      </c>
      <c r="AW267" s="375">
        <v>1035.58</v>
      </c>
      <c r="AX267" s="375">
        <v>1500</v>
      </c>
      <c r="AY267" s="375">
        <v>1500</v>
      </c>
      <c r="AZ267" s="375">
        <v>1500</v>
      </c>
      <c r="BA267" s="375">
        <v>1500</v>
      </c>
      <c r="BB267" s="375">
        <v>1500</v>
      </c>
      <c r="BC267" s="375">
        <v>1500</v>
      </c>
      <c r="BD267" s="375">
        <v>1500</v>
      </c>
      <c r="BE267" s="375">
        <v>1500</v>
      </c>
      <c r="BF267" s="375">
        <v>1500</v>
      </c>
      <c r="BG267" s="375">
        <v>16521.98</v>
      </c>
      <c r="BH267" s="79">
        <v>920.95</v>
      </c>
      <c r="BI267" s="79">
        <v>1065.45</v>
      </c>
      <c r="BJ267" s="79">
        <v>1035.58</v>
      </c>
      <c r="BK267" s="79">
        <v>1500</v>
      </c>
      <c r="BL267" s="79">
        <v>1500</v>
      </c>
      <c r="BM267" s="79">
        <v>1500</v>
      </c>
      <c r="BN267" s="79">
        <v>1500</v>
      </c>
      <c r="BO267" s="79">
        <v>1500</v>
      </c>
      <c r="BP267" s="79">
        <v>1500</v>
      </c>
      <c r="BQ267" s="79">
        <v>1500</v>
      </c>
      <c r="BR267" s="79">
        <v>1500</v>
      </c>
      <c r="BS267" s="79">
        <v>1500</v>
      </c>
      <c r="BT267" s="79">
        <v>16521.98</v>
      </c>
    </row>
    <row r="268" spans="1:72" ht="15" hidden="1" customHeight="1">
      <c r="A268" s="66" t="s">
        <v>1966</v>
      </c>
      <c r="B268" s="66"/>
      <c r="C268" s="66" t="s">
        <v>494</v>
      </c>
      <c r="D268" s="66" t="s">
        <v>494</v>
      </c>
      <c r="E268" s="150" t="s">
        <v>1136</v>
      </c>
      <c r="F268" s="482" t="s">
        <v>1566</v>
      </c>
      <c r="G268" s="383" t="s">
        <v>1344</v>
      </c>
      <c r="H268" s="383" t="s">
        <v>1344</v>
      </c>
      <c r="I268" s="150" t="s">
        <v>1345</v>
      </c>
      <c r="J268" s="150" t="s">
        <v>1344</v>
      </c>
      <c r="K268" s="150" t="s">
        <v>1346</v>
      </c>
      <c r="L268" s="511" t="s">
        <v>389</v>
      </c>
      <c r="M268" s="392" t="s">
        <v>1967</v>
      </c>
      <c r="N268" s="343"/>
      <c r="O268" s="343"/>
      <c r="P268" s="70" t="s">
        <v>495</v>
      </c>
      <c r="Q268" s="346"/>
      <c r="R268" s="346" t="s">
        <v>1140</v>
      </c>
      <c r="S268" s="346"/>
      <c r="T268" s="150" t="s">
        <v>57</v>
      </c>
      <c r="U268" s="150"/>
      <c r="V268" s="403"/>
      <c r="W268" s="406">
        <v>8600</v>
      </c>
      <c r="X268" s="406">
        <v>8392.24</v>
      </c>
      <c r="Y268" s="425"/>
      <c r="Z268" s="71"/>
      <c r="AA268" s="426">
        <v>540.58000000000004</v>
      </c>
      <c r="AB268" s="427">
        <v>540.04999999999995</v>
      </c>
      <c r="AC268" s="427">
        <v>511.61</v>
      </c>
      <c r="AD268" s="428">
        <v>547.18999999999994</v>
      </c>
      <c r="AE268" s="429">
        <v>534.1099999999999</v>
      </c>
      <c r="AF268" s="429">
        <v>539.85</v>
      </c>
      <c r="AG268" s="363">
        <v>600</v>
      </c>
      <c r="AH268" s="363">
        <v>600</v>
      </c>
      <c r="AI268" s="363">
        <v>600</v>
      </c>
      <c r="AJ268" s="363">
        <v>600</v>
      </c>
      <c r="AK268" s="363">
        <v>600</v>
      </c>
      <c r="AL268" s="363">
        <v>2000</v>
      </c>
      <c r="AM268" s="360">
        <f t="shared" si="10"/>
        <v>8213.39</v>
      </c>
      <c r="AN268" s="362">
        <f>ERP_2[[#This Row],[2026 Working Total]]-ERP_2[[#This Row],[LE2 Final Submission]]</f>
        <v>-178.85000000000036</v>
      </c>
      <c r="AO268" s="79">
        <v>600</v>
      </c>
      <c r="AP268" s="79">
        <f t="shared" si="11"/>
        <v>-60.149999999999977</v>
      </c>
      <c r="AQ268" s="374">
        <f>SUM(ERP_2[[#This Row],[AP01]:[AP06]])-SUM(ERP_2[[#This Row],[AP01 LE2]:[AP06 LE2]])</f>
        <v>-178.85000000000036</v>
      </c>
      <c r="AR268" s="80"/>
      <c r="AS268" s="79">
        <f>ERP_2[[#This Row],[2026 Working Total to Budget/LE]]-ERP_2[[#This Row],[Giveback]]</f>
        <v>-178.85000000000036</v>
      </c>
      <c r="AT268" s="81"/>
      <c r="AU268" s="375">
        <v>540.58000000000004</v>
      </c>
      <c r="AV268" s="375">
        <v>540.04999999999995</v>
      </c>
      <c r="AW268" s="375">
        <v>511.61</v>
      </c>
      <c r="AX268" s="375">
        <v>600</v>
      </c>
      <c r="AY268" s="375">
        <v>600</v>
      </c>
      <c r="AZ268" s="375">
        <v>600</v>
      </c>
      <c r="BA268" s="375">
        <v>600</v>
      </c>
      <c r="BB268" s="375">
        <v>600</v>
      </c>
      <c r="BC268" s="375">
        <v>600</v>
      </c>
      <c r="BD268" s="375">
        <v>600</v>
      </c>
      <c r="BE268" s="375">
        <v>600</v>
      </c>
      <c r="BF268" s="375">
        <v>2000</v>
      </c>
      <c r="BG268" s="375">
        <v>8392.24</v>
      </c>
      <c r="BH268" s="79">
        <v>540.58000000000004</v>
      </c>
      <c r="BI268" s="79">
        <v>540.04999999999995</v>
      </c>
      <c r="BJ268" s="79">
        <v>511.61</v>
      </c>
      <c r="BK268" s="79">
        <v>600</v>
      </c>
      <c r="BL268" s="79">
        <v>600</v>
      </c>
      <c r="BM268" s="79">
        <v>600</v>
      </c>
      <c r="BN268" s="79">
        <v>600</v>
      </c>
      <c r="BO268" s="79">
        <v>600</v>
      </c>
      <c r="BP268" s="79">
        <v>600</v>
      </c>
      <c r="BQ268" s="79">
        <v>600</v>
      </c>
      <c r="BR268" s="79">
        <v>600</v>
      </c>
      <c r="BS268" s="79">
        <v>2000</v>
      </c>
      <c r="BT268" s="79">
        <v>8392.24</v>
      </c>
    </row>
    <row r="269" spans="1:72" ht="15" hidden="1" customHeight="1">
      <c r="A269" s="66" t="s">
        <v>1968</v>
      </c>
      <c r="B269" s="66"/>
      <c r="C269" s="66" t="s">
        <v>496</v>
      </c>
      <c r="D269" s="66" t="s">
        <v>496</v>
      </c>
      <c r="E269" s="150" t="s">
        <v>1136</v>
      </c>
      <c r="F269" s="482" t="s">
        <v>1566</v>
      </c>
      <c r="G269" s="383" t="s">
        <v>1344</v>
      </c>
      <c r="H269" s="383" t="s">
        <v>1344</v>
      </c>
      <c r="I269" s="150" t="s">
        <v>1345</v>
      </c>
      <c r="J269" s="150" t="s">
        <v>1344</v>
      </c>
      <c r="K269" s="150" t="s">
        <v>1346</v>
      </c>
      <c r="L269" s="511" t="s">
        <v>389</v>
      </c>
      <c r="M269" s="392" t="s">
        <v>1969</v>
      </c>
      <c r="N269" s="343"/>
      <c r="O269" s="343"/>
      <c r="P269" s="70" t="s">
        <v>497</v>
      </c>
      <c r="Q269" s="346"/>
      <c r="R269" s="343"/>
      <c r="S269" s="346"/>
      <c r="T269" s="150" t="s">
        <v>25</v>
      </c>
      <c r="U269" s="150"/>
      <c r="V269" s="403"/>
      <c r="W269" s="406">
        <v>1560</v>
      </c>
      <c r="X269" s="406">
        <v>1536.8899999999999</v>
      </c>
      <c r="Y269" s="425"/>
      <c r="Z269" s="71"/>
      <c r="AA269" s="426">
        <v>124.95</v>
      </c>
      <c r="AB269" s="427">
        <v>125.88</v>
      </c>
      <c r="AC269" s="427">
        <v>116.06</v>
      </c>
      <c r="AD269" s="428">
        <v>129.38999999999999</v>
      </c>
      <c r="AE269" s="429">
        <v>122.35</v>
      </c>
      <c r="AF269" s="429">
        <v>125.51999999999998</v>
      </c>
      <c r="AG269" s="363">
        <v>130</v>
      </c>
      <c r="AH269" s="363">
        <v>130</v>
      </c>
      <c r="AI269" s="363">
        <v>130</v>
      </c>
      <c r="AJ269" s="363">
        <v>130</v>
      </c>
      <c r="AK269" s="363">
        <v>130</v>
      </c>
      <c r="AL269" s="363">
        <v>130</v>
      </c>
      <c r="AM269" s="360">
        <f t="shared" si="10"/>
        <v>1524.15</v>
      </c>
      <c r="AN269" s="362">
        <f>ERP_2[[#This Row],[2026 Working Total]]-ERP_2[[#This Row],[LE2 Final Submission]]</f>
        <v>-12.739999999999782</v>
      </c>
      <c r="AO269" s="79">
        <v>130</v>
      </c>
      <c r="AP269" s="79">
        <f t="shared" si="11"/>
        <v>-4.4800000000000182</v>
      </c>
      <c r="AQ269" s="374">
        <f>SUM(ERP_2[[#This Row],[AP01]:[AP06]])-SUM(ERP_2[[#This Row],[AP01 LE2]:[AP06 LE2]])</f>
        <v>-12.740000000000009</v>
      </c>
      <c r="AR269" s="80"/>
      <c r="AS269" s="79">
        <f>ERP_2[[#This Row],[2026 Working Total to Budget/LE]]-ERP_2[[#This Row],[Giveback]]</f>
        <v>-12.739999999999782</v>
      </c>
      <c r="AT269" s="81"/>
      <c r="AU269" s="375">
        <v>124.95</v>
      </c>
      <c r="AV269" s="375">
        <v>125.88</v>
      </c>
      <c r="AW269" s="375">
        <v>116.06</v>
      </c>
      <c r="AX269" s="375">
        <v>130</v>
      </c>
      <c r="AY269" s="375">
        <v>130</v>
      </c>
      <c r="AZ269" s="375">
        <v>130</v>
      </c>
      <c r="BA269" s="375">
        <v>130</v>
      </c>
      <c r="BB269" s="375">
        <v>130</v>
      </c>
      <c r="BC269" s="375">
        <v>130</v>
      </c>
      <c r="BD269" s="375">
        <v>130</v>
      </c>
      <c r="BE269" s="375">
        <v>130</v>
      </c>
      <c r="BF269" s="375">
        <v>130</v>
      </c>
      <c r="BG269" s="375">
        <v>1536.8899999999999</v>
      </c>
      <c r="BH269" s="79">
        <v>124.95</v>
      </c>
      <c r="BI269" s="79">
        <v>125.88</v>
      </c>
      <c r="BJ269" s="79">
        <v>116.06</v>
      </c>
      <c r="BK269" s="79">
        <v>130</v>
      </c>
      <c r="BL269" s="79">
        <v>130</v>
      </c>
      <c r="BM269" s="79">
        <v>130</v>
      </c>
      <c r="BN269" s="79">
        <v>130</v>
      </c>
      <c r="BO269" s="79">
        <v>130</v>
      </c>
      <c r="BP269" s="79">
        <v>130</v>
      </c>
      <c r="BQ269" s="79">
        <v>130</v>
      </c>
      <c r="BR269" s="79">
        <v>130</v>
      </c>
      <c r="BS269" s="79">
        <v>130</v>
      </c>
      <c r="BT269" s="79">
        <v>1536.8899999999999</v>
      </c>
    </row>
    <row r="270" spans="1:72" ht="15" hidden="1" customHeight="1">
      <c r="A270" s="66" t="s">
        <v>1970</v>
      </c>
      <c r="B270" s="66"/>
      <c r="C270" s="66" t="s">
        <v>498</v>
      </c>
      <c r="D270" s="66" t="s">
        <v>498</v>
      </c>
      <c r="E270" s="150" t="s">
        <v>1136</v>
      </c>
      <c r="F270" s="482" t="s">
        <v>1566</v>
      </c>
      <c r="G270" s="383" t="s">
        <v>1344</v>
      </c>
      <c r="H270" s="383" t="s">
        <v>1344</v>
      </c>
      <c r="I270" s="150" t="s">
        <v>1345</v>
      </c>
      <c r="J270" s="150" t="s">
        <v>1344</v>
      </c>
      <c r="K270" s="150" t="s">
        <v>1346</v>
      </c>
      <c r="L270" s="511" t="s">
        <v>389</v>
      </c>
      <c r="M270" s="392" t="s">
        <v>1971</v>
      </c>
      <c r="N270" s="343"/>
      <c r="O270" s="343"/>
      <c r="P270" s="70" t="s">
        <v>499</v>
      </c>
      <c r="Q270" s="346"/>
      <c r="R270" s="343"/>
      <c r="S270" s="346"/>
      <c r="T270" s="150" t="s">
        <v>57</v>
      </c>
      <c r="U270" s="150"/>
      <c r="V270" s="403"/>
      <c r="W270" s="406">
        <v>0</v>
      </c>
      <c r="X270" s="406">
        <v>354.76</v>
      </c>
      <c r="Y270" s="430"/>
      <c r="Z270" s="137"/>
      <c r="AA270" s="426">
        <v>129.77000000000001</v>
      </c>
      <c r="AB270" s="427">
        <v>129.72</v>
      </c>
      <c r="AC270" s="427">
        <v>95.27</v>
      </c>
      <c r="AD270" s="428">
        <v>108.61</v>
      </c>
      <c r="AE270" s="429">
        <v>126.27000000000001</v>
      </c>
      <c r="AF270" s="429">
        <v>130.19999999999999</v>
      </c>
      <c r="AG270" s="360">
        <v>0</v>
      </c>
      <c r="AH270" s="360">
        <v>0</v>
      </c>
      <c r="AI270" s="360">
        <v>0</v>
      </c>
      <c r="AJ270" s="360">
        <v>0</v>
      </c>
      <c r="AK270" s="360">
        <v>0</v>
      </c>
      <c r="AL270" s="360">
        <v>0</v>
      </c>
      <c r="AM270" s="360">
        <f t="shared" si="10"/>
        <v>719.83999999999992</v>
      </c>
      <c r="AN270" s="362">
        <f>ERP_2[[#This Row],[2026 Working Total]]-ERP_2[[#This Row],[LE2 Final Submission]]</f>
        <v>365.07999999999993</v>
      </c>
      <c r="AO270" s="79">
        <v>0</v>
      </c>
      <c r="AP270" s="79">
        <f t="shared" si="11"/>
        <v>130.19999999999999</v>
      </c>
      <c r="AQ270" s="374">
        <f>SUM(ERP_2[[#This Row],[AP01]:[AP06]])-SUM(ERP_2[[#This Row],[AP01 LE2]:[AP06 LE2]])</f>
        <v>365.07999999999993</v>
      </c>
      <c r="AR270" s="80"/>
      <c r="AS270" s="79">
        <f>ERP_2[[#This Row],[2026 Working Total to Budget/LE]]-ERP_2[[#This Row],[Giveback]]</f>
        <v>365.07999999999993</v>
      </c>
      <c r="AT270" s="81"/>
      <c r="AU270" s="375">
        <v>129.77000000000001</v>
      </c>
      <c r="AV270" s="375">
        <v>129.72</v>
      </c>
      <c r="AW270" s="375">
        <v>95.27</v>
      </c>
      <c r="AX270" s="375">
        <v>0</v>
      </c>
      <c r="AY270" s="375">
        <v>0</v>
      </c>
      <c r="AZ270" s="375">
        <v>0</v>
      </c>
      <c r="BA270" s="375">
        <v>0</v>
      </c>
      <c r="BB270" s="375">
        <v>0</v>
      </c>
      <c r="BC270" s="375">
        <v>0</v>
      </c>
      <c r="BD270" s="375">
        <v>0</v>
      </c>
      <c r="BE270" s="375">
        <v>0</v>
      </c>
      <c r="BF270" s="375">
        <v>0</v>
      </c>
      <c r="BG270" s="375">
        <v>354.76</v>
      </c>
      <c r="BH270" s="79">
        <v>129.77000000000001</v>
      </c>
      <c r="BI270" s="79">
        <v>129.72</v>
      </c>
      <c r="BJ270" s="79">
        <v>95.27</v>
      </c>
      <c r="BK270" s="79">
        <v>0</v>
      </c>
      <c r="BL270" s="79">
        <v>0</v>
      </c>
      <c r="BM270" s="79">
        <v>0</v>
      </c>
      <c r="BN270" s="79">
        <v>0</v>
      </c>
      <c r="BO270" s="79">
        <v>0</v>
      </c>
      <c r="BP270" s="79">
        <v>0</v>
      </c>
      <c r="BQ270" s="79">
        <v>0</v>
      </c>
      <c r="BR270" s="79">
        <v>0</v>
      </c>
      <c r="BS270" s="79">
        <v>0</v>
      </c>
      <c r="BT270" s="79">
        <v>354.76</v>
      </c>
    </row>
    <row r="271" spans="1:72" ht="15" hidden="1" customHeight="1">
      <c r="A271" s="66" t="s">
        <v>1972</v>
      </c>
      <c r="B271" s="66"/>
      <c r="C271" s="66" t="s">
        <v>500</v>
      </c>
      <c r="D271" s="66" t="s">
        <v>500</v>
      </c>
      <c r="E271" s="150" t="s">
        <v>1136</v>
      </c>
      <c r="F271" s="482" t="s">
        <v>1566</v>
      </c>
      <c r="G271" s="383" t="s">
        <v>1344</v>
      </c>
      <c r="H271" s="383" t="s">
        <v>1344</v>
      </c>
      <c r="I271" s="150" t="s">
        <v>1345</v>
      </c>
      <c r="J271" s="150" t="s">
        <v>1344</v>
      </c>
      <c r="K271" s="150" t="s">
        <v>1346</v>
      </c>
      <c r="L271" s="511" t="s">
        <v>389</v>
      </c>
      <c r="M271" s="392" t="s">
        <v>1399</v>
      </c>
      <c r="N271" s="343"/>
      <c r="O271" s="343"/>
      <c r="P271" s="70" t="s">
        <v>185</v>
      </c>
      <c r="Q271" s="346"/>
      <c r="R271" s="343"/>
      <c r="S271" s="346"/>
      <c r="T271" s="150" t="s">
        <v>25</v>
      </c>
      <c r="U271" s="150" t="s">
        <v>1400</v>
      </c>
      <c r="V271" s="403"/>
      <c r="W271" s="406">
        <v>0</v>
      </c>
      <c r="X271" s="406">
        <v>0</v>
      </c>
      <c r="Y271" s="425"/>
      <c r="Z271" s="71"/>
      <c r="AA271" s="426"/>
      <c r="AB271" s="427"/>
      <c r="AC271" s="427">
        <v>5850</v>
      </c>
      <c r="AD271" s="428">
        <v>0</v>
      </c>
      <c r="AE271" s="429">
        <v>-5800.26</v>
      </c>
      <c r="AF271" s="429">
        <v>63.66</v>
      </c>
      <c r="AG271" s="360">
        <v>0</v>
      </c>
      <c r="AH271" s="360">
        <v>0</v>
      </c>
      <c r="AI271" s="360">
        <v>0</v>
      </c>
      <c r="AJ271" s="360">
        <v>0</v>
      </c>
      <c r="AK271" s="360">
        <v>0</v>
      </c>
      <c r="AL271" s="360">
        <v>0</v>
      </c>
      <c r="AM271" s="360">
        <f t="shared" si="10"/>
        <v>113.39999999999978</v>
      </c>
      <c r="AN271" s="362">
        <f>ERP_2[[#This Row],[2026 Working Total]]-ERP_2[[#This Row],[LE2 Final Submission]]</f>
        <v>113.39999999999978</v>
      </c>
      <c r="AO271" s="79">
        <v>-5850</v>
      </c>
      <c r="AP271" s="79">
        <f t="shared" si="11"/>
        <v>5913.66</v>
      </c>
      <c r="AQ271" s="374">
        <f>SUM(ERP_2[[#This Row],[AP01]:[AP06]])-SUM(ERP_2[[#This Row],[AP01 LE2]:[AP06 LE2]])</f>
        <v>113.39999999999978</v>
      </c>
      <c r="AR271" s="80"/>
      <c r="AS271" s="79">
        <f>ERP_2[[#This Row],[2026 Working Total to Budget/LE]]-ERP_2[[#This Row],[Giveback]]</f>
        <v>113.39999999999978</v>
      </c>
      <c r="AT271" s="81"/>
      <c r="AU271" s="375"/>
      <c r="AV271" s="375"/>
      <c r="AW271" s="375">
        <v>5850</v>
      </c>
      <c r="AX271" s="375"/>
      <c r="AY271" s="375">
        <v>-5850</v>
      </c>
      <c r="AZ271" s="375">
        <v>0</v>
      </c>
      <c r="BA271" s="375">
        <v>0</v>
      </c>
      <c r="BB271" s="375">
        <v>0</v>
      </c>
      <c r="BC271" s="375">
        <v>0</v>
      </c>
      <c r="BD271" s="375">
        <v>0</v>
      </c>
      <c r="BE271" s="375">
        <v>0</v>
      </c>
      <c r="BF271" s="375">
        <v>0</v>
      </c>
      <c r="BG271" s="375">
        <v>0</v>
      </c>
      <c r="BH271" s="79"/>
      <c r="BI271" s="79"/>
      <c r="BJ271" s="79">
        <v>5850</v>
      </c>
      <c r="BK271" s="79">
        <v>0</v>
      </c>
      <c r="BL271" s="79">
        <v>0</v>
      </c>
      <c r="BM271" s="79">
        <v>0</v>
      </c>
      <c r="BN271" s="79">
        <v>0</v>
      </c>
      <c r="BO271" s="79">
        <v>0</v>
      </c>
      <c r="BP271" s="79">
        <v>0</v>
      </c>
      <c r="BQ271" s="79">
        <v>0</v>
      </c>
      <c r="BR271" s="79">
        <v>0</v>
      </c>
      <c r="BS271" s="79">
        <v>0</v>
      </c>
      <c r="BT271" s="79">
        <v>5850</v>
      </c>
    </row>
    <row r="272" spans="1:72" ht="15" hidden="1" customHeight="1">
      <c r="A272" s="66" t="s">
        <v>1973</v>
      </c>
      <c r="B272" s="66"/>
      <c r="C272" s="66" t="s">
        <v>501</v>
      </c>
      <c r="D272" s="66" t="s">
        <v>501</v>
      </c>
      <c r="E272" s="150" t="s">
        <v>1136</v>
      </c>
      <c r="F272" s="482" t="s">
        <v>1566</v>
      </c>
      <c r="G272" s="383" t="s">
        <v>1344</v>
      </c>
      <c r="H272" s="383" t="s">
        <v>1344</v>
      </c>
      <c r="I272" s="150" t="s">
        <v>1345</v>
      </c>
      <c r="J272" s="150" t="s">
        <v>1344</v>
      </c>
      <c r="K272" s="150" t="s">
        <v>1346</v>
      </c>
      <c r="L272" s="511" t="s">
        <v>389</v>
      </c>
      <c r="M272" s="392" t="s">
        <v>1402</v>
      </c>
      <c r="N272" s="343"/>
      <c r="O272" s="343"/>
      <c r="P272" s="70" t="s">
        <v>187</v>
      </c>
      <c r="Q272" s="346"/>
      <c r="R272" s="343"/>
      <c r="S272" s="346"/>
      <c r="T272" s="150" t="s">
        <v>188</v>
      </c>
      <c r="U272" s="150" t="s">
        <v>1403</v>
      </c>
      <c r="V272" s="403"/>
      <c r="W272" s="406">
        <v>0</v>
      </c>
      <c r="X272" s="406">
        <v>25200</v>
      </c>
      <c r="Y272" s="425"/>
      <c r="Z272" s="71"/>
      <c r="AA272" s="426"/>
      <c r="AB272" s="427"/>
      <c r="AC272" s="427">
        <v>6300</v>
      </c>
      <c r="AD272" s="428">
        <v>0</v>
      </c>
      <c r="AE272" s="429">
        <v>4200</v>
      </c>
      <c r="AF272" s="429">
        <v>0</v>
      </c>
      <c r="AG272" s="360">
        <v>2100</v>
      </c>
      <c r="AH272" s="360">
        <v>2100</v>
      </c>
      <c r="AI272" s="360">
        <v>2100</v>
      </c>
      <c r="AJ272" s="360">
        <v>2100</v>
      </c>
      <c r="AK272" s="360">
        <v>2100</v>
      </c>
      <c r="AL272" s="360">
        <v>2100</v>
      </c>
      <c r="AM272" s="360">
        <f t="shared" si="10"/>
        <v>23100</v>
      </c>
      <c r="AN272" s="362">
        <f>ERP_2[[#This Row],[2026 Working Total]]-ERP_2[[#This Row],[LE2 Final Submission]]</f>
        <v>-2100</v>
      </c>
      <c r="AO272" s="79">
        <v>2100</v>
      </c>
      <c r="AP272" s="79">
        <f t="shared" si="11"/>
        <v>-2100</v>
      </c>
      <c r="AQ272" s="374">
        <f>SUM(ERP_2[[#This Row],[AP01]:[AP06]])-SUM(ERP_2[[#This Row],[AP01 LE2]:[AP06 LE2]])</f>
        <v>-2100</v>
      </c>
      <c r="AR272" s="80"/>
      <c r="AS272" s="79">
        <f>ERP_2[[#This Row],[2026 Working Total to Budget/LE]]-ERP_2[[#This Row],[Giveback]]</f>
        <v>-2100</v>
      </c>
      <c r="AT272" s="81"/>
      <c r="AU272" s="375"/>
      <c r="AV272" s="375"/>
      <c r="AW272" s="375">
        <v>6300</v>
      </c>
      <c r="AX272" s="375">
        <v>2100</v>
      </c>
      <c r="AY272" s="375">
        <v>2100</v>
      </c>
      <c r="AZ272" s="375">
        <v>2100</v>
      </c>
      <c r="BA272" s="375">
        <v>2100</v>
      </c>
      <c r="BB272" s="375">
        <v>2100</v>
      </c>
      <c r="BC272" s="375">
        <v>2100</v>
      </c>
      <c r="BD272" s="375">
        <v>2100</v>
      </c>
      <c r="BE272" s="375">
        <v>2100</v>
      </c>
      <c r="BF272" s="375">
        <v>2100</v>
      </c>
      <c r="BG272" s="375">
        <v>25200</v>
      </c>
      <c r="BH272" s="79"/>
      <c r="BI272" s="79"/>
      <c r="BJ272" s="79">
        <v>6300</v>
      </c>
      <c r="BK272" s="79">
        <v>0</v>
      </c>
      <c r="BL272" s="79">
        <v>0</v>
      </c>
      <c r="BM272" s="79">
        <v>0</v>
      </c>
      <c r="BN272" s="79">
        <v>0</v>
      </c>
      <c r="BO272" s="79">
        <v>0</v>
      </c>
      <c r="BP272" s="79">
        <v>0</v>
      </c>
      <c r="BQ272" s="79">
        <v>0</v>
      </c>
      <c r="BR272" s="79">
        <v>0</v>
      </c>
      <c r="BS272" s="79">
        <v>0</v>
      </c>
      <c r="BT272" s="79">
        <v>6300</v>
      </c>
    </row>
    <row r="273" spans="1:72" ht="15" hidden="1" customHeight="1">
      <c r="A273" s="66" t="s">
        <v>1974</v>
      </c>
      <c r="B273" s="66"/>
      <c r="C273" s="66" t="s">
        <v>502</v>
      </c>
      <c r="D273" s="66" t="s">
        <v>502</v>
      </c>
      <c r="E273" s="150" t="s">
        <v>1136</v>
      </c>
      <c r="F273" s="482" t="s">
        <v>1566</v>
      </c>
      <c r="G273" s="383" t="s">
        <v>1344</v>
      </c>
      <c r="H273" s="383" t="s">
        <v>1344</v>
      </c>
      <c r="I273" s="150" t="s">
        <v>1345</v>
      </c>
      <c r="J273" s="150" t="s">
        <v>1344</v>
      </c>
      <c r="K273" s="150" t="s">
        <v>1346</v>
      </c>
      <c r="L273" s="511" t="s">
        <v>389</v>
      </c>
      <c r="M273" s="392" t="s">
        <v>1471</v>
      </c>
      <c r="N273" s="343"/>
      <c r="O273" s="343"/>
      <c r="P273" s="70" t="s">
        <v>221</v>
      </c>
      <c r="Q273" s="346"/>
      <c r="R273" s="343"/>
      <c r="S273" s="346"/>
      <c r="T273" s="150" t="s">
        <v>188</v>
      </c>
      <c r="U273" s="150"/>
      <c r="V273" s="403"/>
      <c r="W273" s="406">
        <v>0</v>
      </c>
      <c r="X273" s="406">
        <v>8751</v>
      </c>
      <c r="Y273" s="425"/>
      <c r="Z273" s="71"/>
      <c r="AA273" s="426"/>
      <c r="AB273" s="427"/>
      <c r="AC273" s="427">
        <v>8751</v>
      </c>
      <c r="AD273" s="428">
        <v>0</v>
      </c>
      <c r="AE273" s="429">
        <v>5834</v>
      </c>
      <c r="AF273" s="429">
        <v>0</v>
      </c>
      <c r="AG273" s="360">
        <v>0</v>
      </c>
      <c r="AH273" s="360">
        <v>0</v>
      </c>
      <c r="AI273" s="360">
        <v>0</v>
      </c>
      <c r="AJ273" s="360">
        <v>0</v>
      </c>
      <c r="AK273" s="360">
        <v>0</v>
      </c>
      <c r="AL273" s="360">
        <v>0</v>
      </c>
      <c r="AM273" s="360">
        <f t="shared" si="10"/>
        <v>14585</v>
      </c>
      <c r="AN273" s="362">
        <f>ERP_2[[#This Row],[2026 Working Total]]-ERP_2[[#This Row],[LE2 Final Submission]]</f>
        <v>5834</v>
      </c>
      <c r="AO273" s="79">
        <v>0</v>
      </c>
      <c r="AP273" s="79">
        <f t="shared" si="11"/>
        <v>0</v>
      </c>
      <c r="AQ273" s="374">
        <f>SUM(ERP_2[[#This Row],[AP01]:[AP06]])-SUM(ERP_2[[#This Row],[AP01 LE2]:[AP06 LE2]])</f>
        <v>5834</v>
      </c>
      <c r="AR273" s="80"/>
      <c r="AS273" s="79">
        <f>ERP_2[[#This Row],[2026 Working Total to Budget/LE]]-ERP_2[[#This Row],[Giveback]]</f>
        <v>5834</v>
      </c>
      <c r="AT273" s="81"/>
      <c r="AU273" s="375"/>
      <c r="AV273" s="375"/>
      <c r="AW273" s="375">
        <v>8751</v>
      </c>
      <c r="AX273" s="375">
        <v>0</v>
      </c>
      <c r="AY273" s="375">
        <v>0</v>
      </c>
      <c r="AZ273" s="375">
        <v>0</v>
      </c>
      <c r="BA273" s="375">
        <v>0</v>
      </c>
      <c r="BB273" s="375">
        <v>0</v>
      </c>
      <c r="BC273" s="375">
        <v>0</v>
      </c>
      <c r="BD273" s="375">
        <v>0</v>
      </c>
      <c r="BE273" s="375">
        <v>0</v>
      </c>
      <c r="BF273" s="375">
        <v>0</v>
      </c>
      <c r="BG273" s="375">
        <v>8751</v>
      </c>
      <c r="BH273" s="79"/>
      <c r="BI273" s="79"/>
      <c r="BJ273" s="79">
        <v>8751</v>
      </c>
      <c r="BK273" s="79">
        <v>0</v>
      </c>
      <c r="BL273" s="79">
        <v>0</v>
      </c>
      <c r="BM273" s="79">
        <v>0</v>
      </c>
      <c r="BN273" s="79">
        <v>0</v>
      </c>
      <c r="BO273" s="79">
        <v>0</v>
      </c>
      <c r="BP273" s="79">
        <v>0</v>
      </c>
      <c r="BQ273" s="79">
        <v>0</v>
      </c>
      <c r="BR273" s="79">
        <v>0</v>
      </c>
      <c r="BS273" s="79">
        <v>0</v>
      </c>
      <c r="BT273" s="79">
        <v>8751</v>
      </c>
    </row>
    <row r="274" spans="1:72" ht="15" hidden="1" customHeight="1">
      <c r="A274" s="79" t="s">
        <v>1975</v>
      </c>
      <c r="B274" s="79"/>
      <c r="C274" s="79" t="s">
        <v>503</v>
      </c>
      <c r="D274" s="296" t="s">
        <v>503</v>
      </c>
      <c r="E274" s="150" t="s">
        <v>1136</v>
      </c>
      <c r="F274" s="482" t="s">
        <v>1566</v>
      </c>
      <c r="G274" s="383" t="s">
        <v>1344</v>
      </c>
      <c r="H274" s="383" t="s">
        <v>1344</v>
      </c>
      <c r="I274" s="332" t="s">
        <v>1345</v>
      </c>
      <c r="J274" s="383" t="s">
        <v>1344</v>
      </c>
      <c r="K274" s="331" t="s">
        <v>1346</v>
      </c>
      <c r="L274" s="512" t="s">
        <v>389</v>
      </c>
      <c r="M274" s="393" t="s">
        <v>1976</v>
      </c>
      <c r="N274" s="343"/>
      <c r="O274" s="331"/>
      <c r="P274" s="91" t="s">
        <v>504</v>
      </c>
      <c r="Q274" s="343"/>
      <c r="R274" s="346" t="s">
        <v>1221</v>
      </c>
      <c r="S274" s="348"/>
      <c r="T274" s="386" t="s">
        <v>25</v>
      </c>
      <c r="U274" s="387" t="s">
        <v>1348</v>
      </c>
      <c r="V274" s="432"/>
      <c r="W274" s="358">
        <v>12500</v>
      </c>
      <c r="X274" s="378">
        <v>0</v>
      </c>
      <c r="Y274" s="425"/>
      <c r="Z274" s="71"/>
      <c r="AA274" s="433"/>
      <c r="AB274" s="434"/>
      <c r="AC274" s="434"/>
      <c r="AD274" s="428" t="s">
        <v>1142</v>
      </c>
      <c r="AE274" s="429">
        <v>0</v>
      </c>
      <c r="AF274" s="429">
        <v>0</v>
      </c>
      <c r="AG274" s="388">
        <v>0</v>
      </c>
      <c r="AH274" s="388">
        <v>0</v>
      </c>
      <c r="AI274" s="388">
        <v>0</v>
      </c>
      <c r="AJ274" s="388">
        <v>0</v>
      </c>
      <c r="AK274" s="388">
        <v>0</v>
      </c>
      <c r="AL274" s="388">
        <v>0</v>
      </c>
      <c r="AM274" s="360">
        <f t="shared" si="10"/>
        <v>0</v>
      </c>
      <c r="AN274" s="362">
        <f>ERP_2[[#This Row],[2026 Working Total]]-ERP_2[[#This Row],[LE2 Final Submission]]</f>
        <v>0</v>
      </c>
      <c r="AO274" s="79">
        <v>0</v>
      </c>
      <c r="AP274" s="79">
        <f t="shared" si="11"/>
        <v>0</v>
      </c>
      <c r="AQ274" s="374">
        <f>SUM(ERP_2[[#This Row],[AP01]:[AP06]])-SUM(ERP_2[[#This Row],[AP01 LE2]:[AP06 LE2]])</f>
        <v>0</v>
      </c>
      <c r="AR274" s="80"/>
      <c r="AS274" s="79">
        <f>ERP_2[[#This Row],[2026 Working Total to Budget/LE]]-ERP_2[[#This Row],[Giveback]]</f>
        <v>0</v>
      </c>
      <c r="AT274" s="81"/>
      <c r="AU274" s="375"/>
      <c r="AV274" s="375"/>
      <c r="AW274" s="375"/>
      <c r="AX274" s="375">
        <v>0</v>
      </c>
      <c r="AY274" s="375">
        <v>0</v>
      </c>
      <c r="AZ274" s="375">
        <v>0</v>
      </c>
      <c r="BA274" s="375">
        <v>0</v>
      </c>
      <c r="BB274" s="375">
        <v>0</v>
      </c>
      <c r="BC274" s="375">
        <v>0</v>
      </c>
      <c r="BD274" s="375">
        <v>0</v>
      </c>
      <c r="BE274" s="375">
        <v>0</v>
      </c>
      <c r="BF274" s="375">
        <v>0</v>
      </c>
      <c r="BG274" s="375">
        <v>0</v>
      </c>
      <c r="BH274" s="103">
        <v>0</v>
      </c>
      <c r="BI274" s="103">
        <v>0</v>
      </c>
      <c r="BJ274" s="103">
        <v>12500</v>
      </c>
      <c r="BK274" s="103">
        <v>0</v>
      </c>
      <c r="BL274" s="103">
        <v>0</v>
      </c>
      <c r="BM274" s="103">
        <v>0</v>
      </c>
      <c r="BN274" s="103">
        <v>0</v>
      </c>
      <c r="BO274" s="103">
        <v>0</v>
      </c>
      <c r="BP274" s="103">
        <v>0</v>
      </c>
      <c r="BQ274" s="103">
        <v>0</v>
      </c>
      <c r="BR274" s="103">
        <v>0</v>
      </c>
      <c r="BS274" s="103">
        <v>0</v>
      </c>
      <c r="BT274" s="79">
        <f>SUM(ERP_2[[#This Row],[2026 AP01]:[2026 AP12]])</f>
        <v>12500</v>
      </c>
    </row>
    <row r="275" spans="1:72" ht="15" hidden="1" customHeight="1">
      <c r="A275" s="79" t="s">
        <v>1977</v>
      </c>
      <c r="B275" s="79"/>
      <c r="C275" s="79" t="s">
        <v>505</v>
      </c>
      <c r="D275" s="296" t="s">
        <v>505</v>
      </c>
      <c r="E275" s="150" t="s">
        <v>1136</v>
      </c>
      <c r="F275" s="482" t="s">
        <v>1566</v>
      </c>
      <c r="G275" s="383" t="s">
        <v>1344</v>
      </c>
      <c r="H275" s="383" t="s">
        <v>1344</v>
      </c>
      <c r="I275" s="332" t="s">
        <v>1345</v>
      </c>
      <c r="J275" s="383" t="s">
        <v>1344</v>
      </c>
      <c r="K275" s="331" t="s">
        <v>1346</v>
      </c>
      <c r="L275" s="512" t="s">
        <v>389</v>
      </c>
      <c r="M275" s="393" t="s">
        <v>1976</v>
      </c>
      <c r="N275" s="343"/>
      <c r="O275" s="331"/>
      <c r="P275" s="91" t="s">
        <v>506</v>
      </c>
      <c r="Q275" s="343"/>
      <c r="R275" s="343"/>
      <c r="S275" s="348"/>
      <c r="T275" s="386" t="s">
        <v>25</v>
      </c>
      <c r="U275" s="387" t="s">
        <v>1348</v>
      </c>
      <c r="V275" s="432"/>
      <c r="W275" s="358">
        <v>-12500</v>
      </c>
      <c r="X275" s="378">
        <v>0</v>
      </c>
      <c r="Y275" s="425"/>
      <c r="Z275" s="71"/>
      <c r="AA275" s="433"/>
      <c r="AB275" s="434"/>
      <c r="AC275" s="434"/>
      <c r="AD275" s="428" t="s">
        <v>1142</v>
      </c>
      <c r="AE275" s="429">
        <v>0</v>
      </c>
      <c r="AF275" s="429">
        <v>0</v>
      </c>
      <c r="AG275" s="388">
        <v>0</v>
      </c>
      <c r="AH275" s="388">
        <v>0</v>
      </c>
      <c r="AI275" s="388">
        <v>0</v>
      </c>
      <c r="AJ275" s="388">
        <v>0</v>
      </c>
      <c r="AK275" s="388">
        <v>0</v>
      </c>
      <c r="AL275" s="388">
        <v>0</v>
      </c>
      <c r="AM275" s="360">
        <f t="shared" si="10"/>
        <v>0</v>
      </c>
      <c r="AN275" s="362">
        <f>ERP_2[[#This Row],[2026 Working Total]]-ERP_2[[#This Row],[LE2 Final Submission]]</f>
        <v>0</v>
      </c>
      <c r="AO275" s="79">
        <v>0</v>
      </c>
      <c r="AP275" s="79">
        <f t="shared" si="11"/>
        <v>0</v>
      </c>
      <c r="AQ275" s="374">
        <f>SUM(ERP_2[[#This Row],[AP01]:[AP06]])-SUM(ERP_2[[#This Row],[AP01 LE2]:[AP06 LE2]])</f>
        <v>0</v>
      </c>
      <c r="AR275" s="80"/>
      <c r="AS275" s="79">
        <f>ERP_2[[#This Row],[2026 Working Total to Budget/LE]]-ERP_2[[#This Row],[Giveback]]</f>
        <v>0</v>
      </c>
      <c r="AT275" s="81"/>
      <c r="AU275" s="375"/>
      <c r="AV275" s="375"/>
      <c r="AW275" s="375"/>
      <c r="AX275" s="375">
        <v>0</v>
      </c>
      <c r="AY275" s="375">
        <v>0</v>
      </c>
      <c r="AZ275" s="375">
        <v>0</v>
      </c>
      <c r="BA275" s="375">
        <v>0</v>
      </c>
      <c r="BB275" s="375">
        <v>0</v>
      </c>
      <c r="BC275" s="375">
        <v>0</v>
      </c>
      <c r="BD275" s="375">
        <v>0</v>
      </c>
      <c r="BE275" s="375">
        <v>0</v>
      </c>
      <c r="BF275" s="375">
        <v>0</v>
      </c>
      <c r="BG275" s="375">
        <v>0</v>
      </c>
      <c r="BH275" s="103">
        <v>0</v>
      </c>
      <c r="BI275" s="103">
        <v>0</v>
      </c>
      <c r="BJ275" s="103">
        <v>-12500</v>
      </c>
      <c r="BK275" s="103">
        <v>0</v>
      </c>
      <c r="BL275" s="103">
        <v>0</v>
      </c>
      <c r="BM275" s="103">
        <v>0</v>
      </c>
      <c r="BN275" s="103">
        <v>0</v>
      </c>
      <c r="BO275" s="103">
        <v>0</v>
      </c>
      <c r="BP275" s="103">
        <v>0</v>
      </c>
      <c r="BQ275" s="103">
        <v>0</v>
      </c>
      <c r="BR275" s="103">
        <v>0</v>
      </c>
      <c r="BS275" s="103">
        <v>0</v>
      </c>
      <c r="BT275" s="79">
        <f>SUM(ERP_2[[#This Row],[2026 AP01]:[2026 AP12]])</f>
        <v>-12500</v>
      </c>
    </row>
    <row r="276" spans="1:72" ht="15" hidden="1" customHeight="1">
      <c r="A276" s="66" t="s">
        <v>1978</v>
      </c>
      <c r="B276" s="66"/>
      <c r="C276" s="66" t="s">
        <v>507</v>
      </c>
      <c r="D276" s="66" t="s">
        <v>507</v>
      </c>
      <c r="E276" s="150" t="s">
        <v>1136</v>
      </c>
      <c r="F276" s="482" t="s">
        <v>1566</v>
      </c>
      <c r="G276" s="383" t="s">
        <v>1344</v>
      </c>
      <c r="H276" s="383" t="s">
        <v>1344</v>
      </c>
      <c r="I276" s="150" t="s">
        <v>1345</v>
      </c>
      <c r="J276" s="150" t="s">
        <v>1344</v>
      </c>
      <c r="K276" s="150" t="s">
        <v>1346</v>
      </c>
      <c r="L276" s="511" t="s">
        <v>389</v>
      </c>
      <c r="M276" s="392" t="s">
        <v>1979</v>
      </c>
      <c r="N276" s="343"/>
      <c r="O276" s="343"/>
      <c r="P276" s="70" t="s">
        <v>508</v>
      </c>
      <c r="Q276" s="346"/>
      <c r="R276" s="343"/>
      <c r="S276" s="346"/>
      <c r="T276" s="150" t="s">
        <v>432</v>
      </c>
      <c r="U276" s="150"/>
      <c r="V276" s="403"/>
      <c r="W276" s="406">
        <v>14400</v>
      </c>
      <c r="X276" s="406">
        <v>10800</v>
      </c>
      <c r="Y276" s="430"/>
      <c r="Z276" s="137"/>
      <c r="AA276" s="426"/>
      <c r="AB276" s="427"/>
      <c r="AC276" s="427"/>
      <c r="AD276" s="428" t="s">
        <v>1142</v>
      </c>
      <c r="AE276" s="429">
        <v>0</v>
      </c>
      <c r="AF276" s="429">
        <v>0</v>
      </c>
      <c r="AG276" s="363">
        <v>1200</v>
      </c>
      <c r="AH276" s="363">
        <v>1200</v>
      </c>
      <c r="AI276" s="363">
        <v>1200</v>
      </c>
      <c r="AJ276" s="363">
        <v>1200</v>
      </c>
      <c r="AK276" s="363">
        <v>1200</v>
      </c>
      <c r="AL276" s="363">
        <v>1200</v>
      </c>
      <c r="AM276" s="360">
        <f t="shared" si="10"/>
        <v>7200</v>
      </c>
      <c r="AN276" s="362">
        <f>ERP_2[[#This Row],[2026 Working Total]]-ERP_2[[#This Row],[LE2 Final Submission]]</f>
        <v>-3600</v>
      </c>
      <c r="AO276" s="79">
        <v>1200</v>
      </c>
      <c r="AP276" s="79">
        <f t="shared" si="11"/>
        <v>-1200</v>
      </c>
      <c r="AQ276" s="374">
        <f>SUM(ERP_2[[#This Row],[AP01]:[AP06]])-SUM(ERP_2[[#This Row],[AP01 LE2]:[AP06 LE2]])</f>
        <v>-3600</v>
      </c>
      <c r="AR276" s="80"/>
      <c r="AS276" s="79">
        <f>ERP_2[[#This Row],[2026 Working Total to Budget/LE]]-ERP_2[[#This Row],[Giveback]]</f>
        <v>-3600</v>
      </c>
      <c r="AT276" s="81"/>
      <c r="AU276" s="375"/>
      <c r="AV276" s="375"/>
      <c r="AW276" s="375"/>
      <c r="AX276" s="375">
        <v>1200</v>
      </c>
      <c r="AY276" s="375">
        <v>1200</v>
      </c>
      <c r="AZ276" s="375">
        <v>1200</v>
      </c>
      <c r="BA276" s="375">
        <v>1200</v>
      </c>
      <c r="BB276" s="375">
        <v>1200</v>
      </c>
      <c r="BC276" s="375">
        <v>1200</v>
      </c>
      <c r="BD276" s="375">
        <v>1200</v>
      </c>
      <c r="BE276" s="375">
        <v>1200</v>
      </c>
      <c r="BF276" s="375">
        <v>1200</v>
      </c>
      <c r="BG276" s="375">
        <v>10800</v>
      </c>
      <c r="BH276" s="79"/>
      <c r="BI276" s="79"/>
      <c r="BJ276" s="79"/>
      <c r="BK276" s="79">
        <v>1200</v>
      </c>
      <c r="BL276" s="79">
        <v>1200</v>
      </c>
      <c r="BM276" s="79">
        <v>1200</v>
      </c>
      <c r="BN276" s="79">
        <v>1200</v>
      </c>
      <c r="BO276" s="79">
        <v>1200</v>
      </c>
      <c r="BP276" s="79">
        <v>1200</v>
      </c>
      <c r="BQ276" s="79">
        <v>1200</v>
      </c>
      <c r="BR276" s="79">
        <v>1200</v>
      </c>
      <c r="BS276" s="79">
        <v>1200</v>
      </c>
      <c r="BT276" s="79">
        <v>10800</v>
      </c>
    </row>
    <row r="277" spans="1:72" ht="15" hidden="1" customHeight="1">
      <c r="A277" s="66" t="s">
        <v>1984</v>
      </c>
      <c r="B277" s="66"/>
      <c r="C277" s="66" t="s">
        <v>509</v>
      </c>
      <c r="D277" s="66" t="s">
        <v>509</v>
      </c>
      <c r="E277" s="150" t="s">
        <v>1136</v>
      </c>
      <c r="F277" s="482" t="s">
        <v>1566</v>
      </c>
      <c r="G277" s="383" t="s">
        <v>1344</v>
      </c>
      <c r="H277" s="383" t="s">
        <v>1344</v>
      </c>
      <c r="I277" s="150" t="s">
        <v>1345</v>
      </c>
      <c r="J277" s="150" t="s">
        <v>1344</v>
      </c>
      <c r="K277" s="150" t="s">
        <v>1346</v>
      </c>
      <c r="L277" s="511" t="s">
        <v>389</v>
      </c>
      <c r="M277" s="392" t="s">
        <v>1985</v>
      </c>
      <c r="N277" s="343"/>
      <c r="O277" s="343"/>
      <c r="P277" s="70" t="s">
        <v>510</v>
      </c>
      <c r="Q277" s="346"/>
      <c r="R277" s="343"/>
      <c r="S277" s="346"/>
      <c r="T277" s="150" t="s">
        <v>432</v>
      </c>
      <c r="U277" s="150"/>
      <c r="V277" s="403"/>
      <c r="W277" s="406">
        <v>3000</v>
      </c>
      <c r="X277" s="406">
        <v>2250</v>
      </c>
      <c r="Y277" s="425"/>
      <c r="Z277" s="71"/>
      <c r="AA277" s="426"/>
      <c r="AB277" s="427"/>
      <c r="AC277" s="427"/>
      <c r="AD277" s="428" t="s">
        <v>1142</v>
      </c>
      <c r="AE277" s="429">
        <v>0</v>
      </c>
      <c r="AF277" s="429">
        <v>0</v>
      </c>
      <c r="AG277" s="363">
        <v>250</v>
      </c>
      <c r="AH277" s="363">
        <v>250</v>
      </c>
      <c r="AI277" s="363">
        <v>250</v>
      </c>
      <c r="AJ277" s="363">
        <v>250</v>
      </c>
      <c r="AK277" s="363">
        <v>250</v>
      </c>
      <c r="AL277" s="363">
        <v>250</v>
      </c>
      <c r="AM277" s="360">
        <f t="shared" si="10"/>
        <v>1500</v>
      </c>
      <c r="AN277" s="362">
        <f>ERP_2[[#This Row],[2026 Working Total]]-ERP_2[[#This Row],[LE2 Final Submission]]</f>
        <v>-750</v>
      </c>
      <c r="AO277" s="79">
        <v>250</v>
      </c>
      <c r="AP277" s="79">
        <f t="shared" si="11"/>
        <v>-250</v>
      </c>
      <c r="AQ277" s="374">
        <f>SUM(ERP_2[[#This Row],[AP01]:[AP06]])-SUM(ERP_2[[#This Row],[AP01 LE2]:[AP06 LE2]])</f>
        <v>-750</v>
      </c>
      <c r="AR277" s="80"/>
      <c r="AS277" s="79">
        <f>ERP_2[[#This Row],[2026 Working Total to Budget/LE]]-ERP_2[[#This Row],[Giveback]]</f>
        <v>-750</v>
      </c>
      <c r="AT277" s="81"/>
      <c r="AU277" s="375"/>
      <c r="AV277" s="375"/>
      <c r="AW277" s="375"/>
      <c r="AX277" s="375">
        <v>250</v>
      </c>
      <c r="AY277" s="375">
        <v>250</v>
      </c>
      <c r="AZ277" s="375">
        <v>250</v>
      </c>
      <c r="BA277" s="375">
        <v>250</v>
      </c>
      <c r="BB277" s="375">
        <v>250</v>
      </c>
      <c r="BC277" s="375">
        <v>250</v>
      </c>
      <c r="BD277" s="375">
        <v>250</v>
      </c>
      <c r="BE277" s="375">
        <v>250</v>
      </c>
      <c r="BF277" s="375">
        <v>250</v>
      </c>
      <c r="BG277" s="375">
        <v>2250</v>
      </c>
      <c r="BH277" s="79"/>
      <c r="BI277" s="79"/>
      <c r="BJ277" s="79"/>
      <c r="BK277" s="79">
        <v>250</v>
      </c>
      <c r="BL277" s="79">
        <v>250</v>
      </c>
      <c r="BM277" s="79">
        <v>250</v>
      </c>
      <c r="BN277" s="79">
        <v>250</v>
      </c>
      <c r="BO277" s="79">
        <v>250</v>
      </c>
      <c r="BP277" s="79">
        <v>250</v>
      </c>
      <c r="BQ277" s="79">
        <v>250</v>
      </c>
      <c r="BR277" s="79">
        <v>250</v>
      </c>
      <c r="BS277" s="79">
        <v>250</v>
      </c>
      <c r="BT277" s="79">
        <v>2250</v>
      </c>
    </row>
    <row r="278" spans="1:72" ht="15" hidden="1" customHeight="1">
      <c r="A278" s="66" t="s">
        <v>1986</v>
      </c>
      <c r="B278" s="66"/>
      <c r="C278" s="66" t="s">
        <v>511</v>
      </c>
      <c r="D278" s="66" t="s">
        <v>511</v>
      </c>
      <c r="E278" s="150" t="s">
        <v>1136</v>
      </c>
      <c r="F278" s="482" t="s">
        <v>1566</v>
      </c>
      <c r="G278" s="383" t="s">
        <v>1344</v>
      </c>
      <c r="H278" s="383" t="s">
        <v>1344</v>
      </c>
      <c r="I278" s="150" t="s">
        <v>1345</v>
      </c>
      <c r="J278" s="150" t="s">
        <v>1344</v>
      </c>
      <c r="K278" s="150" t="s">
        <v>1346</v>
      </c>
      <c r="L278" s="511" t="s">
        <v>389</v>
      </c>
      <c r="M278" s="392" t="s">
        <v>1855</v>
      </c>
      <c r="N278" s="343"/>
      <c r="O278" s="343"/>
      <c r="P278" s="70" t="s">
        <v>466</v>
      </c>
      <c r="Q278" s="346"/>
      <c r="R278" s="346" t="s">
        <v>1140</v>
      </c>
      <c r="S278" s="346"/>
      <c r="T278" s="150" t="s">
        <v>57</v>
      </c>
      <c r="U278" s="150"/>
      <c r="V278" s="403"/>
      <c r="W278" s="406">
        <v>26400</v>
      </c>
      <c r="X278" s="406">
        <v>26962</v>
      </c>
      <c r="Y278" s="425"/>
      <c r="Z278" s="71"/>
      <c r="AA278" s="426">
        <v>2359</v>
      </c>
      <c r="AB278" s="427">
        <v>1615</v>
      </c>
      <c r="AC278" s="427">
        <v>3188</v>
      </c>
      <c r="AD278" s="428">
        <v>2158</v>
      </c>
      <c r="AE278" s="429">
        <v>2091</v>
      </c>
      <c r="AF278" s="429">
        <v>1890</v>
      </c>
      <c r="AG278" s="363">
        <v>2200</v>
      </c>
      <c r="AH278" s="363">
        <v>2200</v>
      </c>
      <c r="AI278" s="363">
        <v>2200</v>
      </c>
      <c r="AJ278" s="363">
        <v>2200</v>
      </c>
      <c r="AK278" s="363">
        <v>2200</v>
      </c>
      <c r="AL278" s="363">
        <v>2200</v>
      </c>
      <c r="AM278" s="360">
        <f t="shared" si="10"/>
        <v>26501</v>
      </c>
      <c r="AN278" s="362">
        <f>ERP_2[[#This Row],[2026 Working Total]]-ERP_2[[#This Row],[LE2 Final Submission]]</f>
        <v>-461</v>
      </c>
      <c r="AO278" s="79">
        <v>2200</v>
      </c>
      <c r="AP278" s="79">
        <f t="shared" si="11"/>
        <v>-310</v>
      </c>
      <c r="AQ278" s="374">
        <f>SUM(ERP_2[[#This Row],[AP01]:[AP06]])-SUM(ERP_2[[#This Row],[AP01 LE2]:[AP06 LE2]])</f>
        <v>-461</v>
      </c>
      <c r="AR278" s="80"/>
      <c r="AS278" s="79">
        <f>ERP_2[[#This Row],[2026 Working Total to Budget/LE]]-ERP_2[[#This Row],[Giveback]]</f>
        <v>-461</v>
      </c>
      <c r="AT278" s="81"/>
      <c r="AU278" s="375">
        <v>2359</v>
      </c>
      <c r="AV278" s="375">
        <v>1615</v>
      </c>
      <c r="AW278" s="375">
        <v>3188</v>
      </c>
      <c r="AX278" s="375">
        <v>2200</v>
      </c>
      <c r="AY278" s="375">
        <v>2200</v>
      </c>
      <c r="AZ278" s="375">
        <v>2200</v>
      </c>
      <c r="BA278" s="375">
        <v>2200</v>
      </c>
      <c r="BB278" s="375">
        <v>2200</v>
      </c>
      <c r="BC278" s="375">
        <v>2200</v>
      </c>
      <c r="BD278" s="375">
        <v>2200</v>
      </c>
      <c r="BE278" s="375">
        <v>2200</v>
      </c>
      <c r="BF278" s="375">
        <v>2200</v>
      </c>
      <c r="BG278" s="375">
        <v>26962</v>
      </c>
      <c r="BH278" s="79">
        <v>2359</v>
      </c>
      <c r="BI278" s="79">
        <v>1615</v>
      </c>
      <c r="BJ278" s="79">
        <v>3188</v>
      </c>
      <c r="BK278" s="79">
        <v>2200</v>
      </c>
      <c r="BL278" s="79">
        <v>2200</v>
      </c>
      <c r="BM278" s="79">
        <v>2200</v>
      </c>
      <c r="BN278" s="79">
        <v>2200</v>
      </c>
      <c r="BO278" s="79">
        <v>2200</v>
      </c>
      <c r="BP278" s="79">
        <v>2200</v>
      </c>
      <c r="BQ278" s="79">
        <v>2200</v>
      </c>
      <c r="BR278" s="79">
        <v>2200</v>
      </c>
      <c r="BS278" s="79">
        <v>2200</v>
      </c>
      <c r="BT278" s="79">
        <v>26962</v>
      </c>
    </row>
    <row r="279" spans="1:72" ht="15" hidden="1" customHeight="1">
      <c r="A279" s="66" t="s">
        <v>1987</v>
      </c>
      <c r="B279" s="66"/>
      <c r="C279" s="66" t="s">
        <v>512</v>
      </c>
      <c r="D279" s="66" t="s">
        <v>512</v>
      </c>
      <c r="E279" s="150" t="s">
        <v>1136</v>
      </c>
      <c r="F279" s="482" t="s">
        <v>1566</v>
      </c>
      <c r="G279" s="383" t="s">
        <v>1344</v>
      </c>
      <c r="H279" s="383" t="s">
        <v>1344</v>
      </c>
      <c r="I279" s="150" t="s">
        <v>1345</v>
      </c>
      <c r="J279" s="150" t="s">
        <v>1344</v>
      </c>
      <c r="K279" s="150" t="s">
        <v>1346</v>
      </c>
      <c r="L279" s="511" t="s">
        <v>389</v>
      </c>
      <c r="M279" s="392" t="s">
        <v>1327</v>
      </c>
      <c r="N279" s="343"/>
      <c r="O279" s="343"/>
      <c r="P279" s="70" t="s">
        <v>147</v>
      </c>
      <c r="Q279" s="346"/>
      <c r="R279" s="343"/>
      <c r="S279" s="346"/>
      <c r="T279" s="150" t="s">
        <v>25</v>
      </c>
      <c r="U279" s="150"/>
      <c r="V279" s="403"/>
      <c r="W279" s="406">
        <v>0</v>
      </c>
      <c r="X279" s="406">
        <v>799.29000000000008</v>
      </c>
      <c r="Y279" s="430"/>
      <c r="Z279" s="137"/>
      <c r="AA279" s="426">
        <v>-79.28</v>
      </c>
      <c r="AB279" s="427">
        <v>124.37</v>
      </c>
      <c r="AC279" s="427">
        <v>754.2</v>
      </c>
      <c r="AD279" s="428">
        <v>171.12</v>
      </c>
      <c r="AE279" s="429">
        <v>538.97</v>
      </c>
      <c r="AF279" s="429">
        <v>255.20999999999992</v>
      </c>
      <c r="AG279" s="360">
        <v>0</v>
      </c>
      <c r="AH279" s="360">
        <v>0</v>
      </c>
      <c r="AI279" s="360">
        <v>0</v>
      </c>
      <c r="AJ279" s="360">
        <v>0</v>
      </c>
      <c r="AK279" s="360">
        <v>0</v>
      </c>
      <c r="AL279" s="360">
        <v>0</v>
      </c>
      <c r="AM279" s="360">
        <f t="shared" si="10"/>
        <v>1764.5900000000001</v>
      </c>
      <c r="AN279" s="362">
        <f>ERP_2[[#This Row],[2026 Working Total]]-ERP_2[[#This Row],[LE2 Final Submission]]</f>
        <v>965.30000000000007</v>
      </c>
      <c r="AO279" s="79">
        <v>0</v>
      </c>
      <c r="AP279" s="79">
        <f t="shared" si="11"/>
        <v>255.20999999999992</v>
      </c>
      <c r="AQ279" s="374">
        <f>SUM(ERP_2[[#This Row],[AP01]:[AP06]])-SUM(ERP_2[[#This Row],[AP01 LE2]:[AP06 LE2]])</f>
        <v>965.30000000000007</v>
      </c>
      <c r="AR279" s="80"/>
      <c r="AS279" s="79">
        <f>ERP_2[[#This Row],[2026 Working Total to Budget/LE]]-ERP_2[[#This Row],[Giveback]]</f>
        <v>965.30000000000007</v>
      </c>
      <c r="AT279" s="81"/>
      <c r="AU279" s="375">
        <v>-79.28</v>
      </c>
      <c r="AV279" s="375">
        <v>124.37</v>
      </c>
      <c r="AW279" s="375">
        <v>754.2</v>
      </c>
      <c r="AX279" s="375">
        <v>0</v>
      </c>
      <c r="AY279" s="375">
        <v>0</v>
      </c>
      <c r="AZ279" s="375">
        <v>0</v>
      </c>
      <c r="BA279" s="375">
        <v>0</v>
      </c>
      <c r="BB279" s="375">
        <v>0</v>
      </c>
      <c r="BC279" s="375">
        <v>0</v>
      </c>
      <c r="BD279" s="375">
        <v>0</v>
      </c>
      <c r="BE279" s="375">
        <v>0</v>
      </c>
      <c r="BF279" s="375">
        <v>0</v>
      </c>
      <c r="BG279" s="375">
        <v>799.29000000000008</v>
      </c>
      <c r="BH279" s="79">
        <v>-79.28</v>
      </c>
      <c r="BI279" s="79">
        <v>124.37</v>
      </c>
      <c r="BJ279" s="79">
        <v>754.2</v>
      </c>
      <c r="BK279" s="79">
        <v>0</v>
      </c>
      <c r="BL279" s="79">
        <v>0</v>
      </c>
      <c r="BM279" s="79">
        <v>0</v>
      </c>
      <c r="BN279" s="79">
        <v>0</v>
      </c>
      <c r="BO279" s="79">
        <v>0</v>
      </c>
      <c r="BP279" s="79">
        <v>0</v>
      </c>
      <c r="BQ279" s="79">
        <v>0</v>
      </c>
      <c r="BR279" s="79">
        <v>0</v>
      </c>
      <c r="BS279" s="79">
        <v>0</v>
      </c>
      <c r="BT279" s="79">
        <v>799.29000000000008</v>
      </c>
    </row>
    <row r="280" spans="1:72" ht="15" hidden="1" customHeight="1">
      <c r="A280" s="66" t="s">
        <v>1988</v>
      </c>
      <c r="B280" s="66"/>
      <c r="C280" s="66" t="s">
        <v>513</v>
      </c>
      <c r="D280" s="66" t="s">
        <v>513</v>
      </c>
      <c r="E280" s="150" t="s">
        <v>1136</v>
      </c>
      <c r="F280" s="482" t="s">
        <v>1566</v>
      </c>
      <c r="G280" s="383" t="s">
        <v>1344</v>
      </c>
      <c r="H280" s="383" t="s">
        <v>1344</v>
      </c>
      <c r="I280" s="150" t="s">
        <v>1345</v>
      </c>
      <c r="J280" s="150" t="s">
        <v>1344</v>
      </c>
      <c r="K280" s="150" t="s">
        <v>1346</v>
      </c>
      <c r="L280" s="511" t="s">
        <v>389</v>
      </c>
      <c r="M280" s="392" t="s">
        <v>1645</v>
      </c>
      <c r="N280" s="343"/>
      <c r="O280" s="343"/>
      <c r="P280" s="70" t="s">
        <v>514</v>
      </c>
      <c r="Q280" s="346"/>
      <c r="R280" s="343"/>
      <c r="S280" s="346"/>
      <c r="T280" s="150" t="s">
        <v>25</v>
      </c>
      <c r="U280" s="150"/>
      <c r="V280" s="403"/>
      <c r="W280" s="406">
        <v>0</v>
      </c>
      <c r="X280" s="406">
        <v>298.89999999999998</v>
      </c>
      <c r="Y280" s="425"/>
      <c r="Z280" s="71"/>
      <c r="AA280" s="426"/>
      <c r="AB280" s="427">
        <v>256.18</v>
      </c>
      <c r="AC280" s="427">
        <v>42.72</v>
      </c>
      <c r="AD280" s="428">
        <v>0</v>
      </c>
      <c r="AE280" s="429">
        <v>0</v>
      </c>
      <c r="AF280" s="429">
        <v>0</v>
      </c>
      <c r="AG280" s="360">
        <v>0</v>
      </c>
      <c r="AH280" s="360">
        <v>0</v>
      </c>
      <c r="AI280" s="360">
        <v>0</v>
      </c>
      <c r="AJ280" s="360">
        <v>0</v>
      </c>
      <c r="AK280" s="360">
        <v>0</v>
      </c>
      <c r="AL280" s="360">
        <v>0</v>
      </c>
      <c r="AM280" s="360">
        <f t="shared" si="10"/>
        <v>298.89999999999998</v>
      </c>
      <c r="AN280" s="362">
        <f>ERP_2[[#This Row],[2026 Working Total]]-ERP_2[[#This Row],[LE2 Final Submission]]</f>
        <v>0</v>
      </c>
      <c r="AO280" s="79">
        <v>0</v>
      </c>
      <c r="AP280" s="79">
        <f t="shared" si="11"/>
        <v>0</v>
      </c>
      <c r="AQ280" s="374">
        <f>SUM(ERP_2[[#This Row],[AP01]:[AP06]])-SUM(ERP_2[[#This Row],[AP01 LE2]:[AP06 LE2]])</f>
        <v>0</v>
      </c>
      <c r="AR280" s="80"/>
      <c r="AS280" s="79">
        <f>ERP_2[[#This Row],[2026 Working Total to Budget/LE]]-ERP_2[[#This Row],[Giveback]]</f>
        <v>0</v>
      </c>
      <c r="AT280" s="81"/>
      <c r="AU280" s="375"/>
      <c r="AV280" s="375">
        <v>256.18</v>
      </c>
      <c r="AW280" s="375">
        <v>42.72</v>
      </c>
      <c r="AX280" s="375">
        <v>0</v>
      </c>
      <c r="AY280" s="375">
        <v>0</v>
      </c>
      <c r="AZ280" s="375">
        <v>0</v>
      </c>
      <c r="BA280" s="375">
        <v>0</v>
      </c>
      <c r="BB280" s="375">
        <v>0</v>
      </c>
      <c r="BC280" s="375">
        <v>0</v>
      </c>
      <c r="BD280" s="375">
        <v>0</v>
      </c>
      <c r="BE280" s="375">
        <v>0</v>
      </c>
      <c r="BF280" s="375">
        <v>0</v>
      </c>
      <c r="BG280" s="375">
        <v>298.89999999999998</v>
      </c>
      <c r="BH280" s="79"/>
      <c r="BI280" s="79">
        <v>256.18</v>
      </c>
      <c r="BJ280" s="79">
        <v>42.72</v>
      </c>
      <c r="BK280" s="79">
        <v>0</v>
      </c>
      <c r="BL280" s="79">
        <v>0</v>
      </c>
      <c r="BM280" s="79">
        <v>0</v>
      </c>
      <c r="BN280" s="79">
        <v>0</v>
      </c>
      <c r="BO280" s="79">
        <v>0</v>
      </c>
      <c r="BP280" s="79">
        <v>0</v>
      </c>
      <c r="BQ280" s="79">
        <v>0</v>
      </c>
      <c r="BR280" s="79">
        <v>0</v>
      </c>
      <c r="BS280" s="79">
        <v>0</v>
      </c>
      <c r="BT280" s="79">
        <v>298.89999999999998</v>
      </c>
    </row>
    <row r="281" spans="1:72" ht="15" hidden="1" customHeight="1">
      <c r="A281" s="66" t="s">
        <v>2161</v>
      </c>
      <c r="B281" s="66"/>
      <c r="C281" s="66" t="s">
        <v>612</v>
      </c>
      <c r="D281" s="66" t="s">
        <v>612</v>
      </c>
      <c r="E281" s="150" t="s">
        <v>1136</v>
      </c>
      <c r="F281" s="482" t="s">
        <v>1566</v>
      </c>
      <c r="G281" s="383" t="s">
        <v>1344</v>
      </c>
      <c r="H281" s="383" t="s">
        <v>1344</v>
      </c>
      <c r="I281" s="150" t="s">
        <v>1345</v>
      </c>
      <c r="J281" s="150" t="s">
        <v>1344</v>
      </c>
      <c r="K281" s="150" t="s">
        <v>1346</v>
      </c>
      <c r="L281" s="511" t="s">
        <v>602</v>
      </c>
      <c r="M281" s="392" t="s">
        <v>611</v>
      </c>
      <c r="N281" s="343"/>
      <c r="O281" s="343"/>
      <c r="P281" s="70" t="s">
        <v>610</v>
      </c>
      <c r="Q281" s="346"/>
      <c r="R281" s="343"/>
      <c r="S281" s="346"/>
      <c r="T281" s="150" t="s">
        <v>611</v>
      </c>
      <c r="U281" s="150"/>
      <c r="V281" s="403"/>
      <c r="W281" s="406">
        <v>0</v>
      </c>
      <c r="X281" s="406">
        <v>85.04</v>
      </c>
      <c r="Y281" s="425"/>
      <c r="Z281" s="71"/>
      <c r="AA281" s="426">
        <v>38.450000000000003</v>
      </c>
      <c r="AB281" s="431">
        <v>0</v>
      </c>
      <c r="AC281" s="427">
        <v>46.59</v>
      </c>
      <c r="AD281" s="428">
        <v>0</v>
      </c>
      <c r="AE281" s="429">
        <v>91.13</v>
      </c>
      <c r="AF281" s="429">
        <v>37.570000000000007</v>
      </c>
      <c r="AG281" s="360">
        <v>0</v>
      </c>
      <c r="AH281" s="360">
        <v>0</v>
      </c>
      <c r="AI281" s="360">
        <v>0</v>
      </c>
      <c r="AJ281" s="360">
        <v>0</v>
      </c>
      <c r="AK281" s="360">
        <v>0</v>
      </c>
      <c r="AL281" s="360">
        <v>0</v>
      </c>
      <c r="AM281" s="360">
        <f t="shared" si="10"/>
        <v>213.74</v>
      </c>
      <c r="AN281" s="362">
        <f>ERP_2[[#This Row],[2026 Working Total]]-ERP_2[[#This Row],[LE2 Final Submission]]</f>
        <v>128.69999999999999</v>
      </c>
      <c r="AO281" s="79">
        <v>0</v>
      </c>
      <c r="AP281" s="79">
        <f t="shared" si="11"/>
        <v>37.570000000000007</v>
      </c>
      <c r="AQ281" s="374">
        <f>SUM(ERP_2[[#This Row],[AP01]:[AP06]])-SUM(ERP_2[[#This Row],[AP01 LE2]:[AP06 LE2]])</f>
        <v>128.69999999999999</v>
      </c>
      <c r="AR281" s="80"/>
      <c r="AS281" s="79">
        <f>ERP_2[[#This Row],[2026 Working Total to Budget/LE]]-ERP_2[[#This Row],[Giveback]]</f>
        <v>128.69999999999999</v>
      </c>
      <c r="AT281" s="81"/>
      <c r="AU281" s="375">
        <v>38.450000000000003</v>
      </c>
      <c r="AV281" s="375">
        <v>0</v>
      </c>
      <c r="AW281" s="375">
        <v>46.59</v>
      </c>
      <c r="AX281" s="375">
        <v>0</v>
      </c>
      <c r="AY281" s="375">
        <v>0</v>
      </c>
      <c r="AZ281" s="375">
        <v>0</v>
      </c>
      <c r="BA281" s="375">
        <v>0</v>
      </c>
      <c r="BB281" s="375">
        <v>0</v>
      </c>
      <c r="BC281" s="375">
        <v>0</v>
      </c>
      <c r="BD281" s="375">
        <v>0</v>
      </c>
      <c r="BE281" s="375">
        <v>0</v>
      </c>
      <c r="BF281" s="375">
        <v>0</v>
      </c>
      <c r="BG281" s="375">
        <v>85.04</v>
      </c>
      <c r="BH281" s="79">
        <v>38.450000000000003</v>
      </c>
      <c r="BI281" s="79">
        <v>0</v>
      </c>
      <c r="BJ281" s="79">
        <v>46.59</v>
      </c>
      <c r="BK281" s="79">
        <v>0</v>
      </c>
      <c r="BL281" s="79">
        <v>0</v>
      </c>
      <c r="BM281" s="79">
        <v>0</v>
      </c>
      <c r="BN281" s="79">
        <v>0</v>
      </c>
      <c r="BO281" s="79">
        <v>0</v>
      </c>
      <c r="BP281" s="79">
        <v>0</v>
      </c>
      <c r="BQ281" s="79">
        <v>0</v>
      </c>
      <c r="BR281" s="79">
        <v>0</v>
      </c>
      <c r="BS281" s="79">
        <v>0</v>
      </c>
      <c r="BT281" s="79">
        <v>85.04</v>
      </c>
    </row>
    <row r="282" spans="1:72" ht="15" hidden="1" customHeight="1">
      <c r="A282" s="79" t="s">
        <v>2647</v>
      </c>
      <c r="B282" s="79"/>
      <c r="C282" s="79" t="s">
        <v>900</v>
      </c>
      <c r="D282" s="296" t="s">
        <v>2648</v>
      </c>
      <c r="E282" s="150" t="s">
        <v>1136</v>
      </c>
      <c r="F282" s="482" t="s">
        <v>1566</v>
      </c>
      <c r="G282" s="383" t="s">
        <v>1344</v>
      </c>
      <c r="H282" s="383" t="s">
        <v>1344</v>
      </c>
      <c r="I282" s="150" t="s">
        <v>1345</v>
      </c>
      <c r="J282" s="332" t="s">
        <v>1344</v>
      </c>
      <c r="K282" s="331" t="s">
        <v>1346</v>
      </c>
      <c r="L282" s="514" t="s">
        <v>639</v>
      </c>
      <c r="M282" s="394" t="s">
        <v>2649</v>
      </c>
      <c r="N282" s="343" t="s">
        <v>2206</v>
      </c>
      <c r="O282" s="333"/>
      <c r="P282" s="90"/>
      <c r="Q282" s="347"/>
      <c r="R282" s="343"/>
      <c r="S282" s="348"/>
      <c r="T282" s="348"/>
      <c r="U282" s="348" t="s">
        <v>2915</v>
      </c>
      <c r="V282" s="402"/>
      <c r="W282" s="358"/>
      <c r="X282" s="379">
        <v>143000</v>
      </c>
      <c r="Y282" s="430"/>
      <c r="Z282" s="137"/>
      <c r="AA282" s="435"/>
      <c r="AB282" s="436"/>
      <c r="AC282" s="436"/>
      <c r="AD282" s="428" t="s">
        <v>1142</v>
      </c>
      <c r="AE282" s="429">
        <v>0</v>
      </c>
      <c r="AF282" s="429">
        <v>0</v>
      </c>
      <c r="AG282" s="364"/>
      <c r="AH282" s="364"/>
      <c r="AI282" s="364"/>
      <c r="AJ282" s="364">
        <v>143000</v>
      </c>
      <c r="AK282" s="364"/>
      <c r="AL282" s="364"/>
      <c r="AM282" s="360">
        <f t="shared" si="10"/>
        <v>143000</v>
      </c>
      <c r="AN282" s="362">
        <f>ERP_2[[#This Row],[2026 Working Total]]-ERP_2[[#This Row],[LE2 Final Submission]]</f>
        <v>0</v>
      </c>
      <c r="AO282" s="79"/>
      <c r="AP282" s="79">
        <f t="shared" si="11"/>
        <v>0</v>
      </c>
      <c r="AQ282" s="374">
        <f>SUM(ERP_2[[#This Row],[AP01]:[AP06]])-SUM(ERP_2[[#This Row],[AP01 LE2]:[AP06 LE2]])</f>
        <v>0</v>
      </c>
      <c r="AR282" s="80"/>
      <c r="AS282" s="79">
        <f>ERP_2[[#This Row],[2026 Working Total to Budget/LE]]-ERP_2[[#This Row],[Giveback]]</f>
        <v>0</v>
      </c>
      <c r="AT282" s="81"/>
      <c r="AU282" s="375"/>
      <c r="AV282" s="375"/>
      <c r="AW282" s="375"/>
      <c r="AX282" s="375"/>
      <c r="AY282" s="375"/>
      <c r="AZ282" s="375"/>
      <c r="BA282" s="375"/>
      <c r="BB282" s="375"/>
      <c r="BC282" s="375"/>
      <c r="BD282" s="375">
        <v>143000</v>
      </c>
      <c r="BE282" s="375"/>
      <c r="BF282" s="375"/>
      <c r="BG282" s="375">
        <v>143000</v>
      </c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</row>
    <row r="283" spans="1:72" ht="15" hidden="1" customHeight="1">
      <c r="A283" s="66" t="s">
        <v>2605</v>
      </c>
      <c r="B283" s="66"/>
      <c r="C283" s="66" t="s">
        <v>901</v>
      </c>
      <c r="D283" s="66" t="s">
        <v>901</v>
      </c>
      <c r="E283" s="150" t="s">
        <v>1136</v>
      </c>
      <c r="F283" s="482" t="s">
        <v>1566</v>
      </c>
      <c r="G283" s="383" t="s">
        <v>1344</v>
      </c>
      <c r="H283" s="383" t="s">
        <v>1344</v>
      </c>
      <c r="I283" s="150" t="s">
        <v>1345</v>
      </c>
      <c r="J283" s="150" t="s">
        <v>1344</v>
      </c>
      <c r="K283" s="150" t="s">
        <v>1346</v>
      </c>
      <c r="L283" s="511" t="s">
        <v>639</v>
      </c>
      <c r="M283" s="392" t="s">
        <v>1138</v>
      </c>
      <c r="N283" s="343"/>
      <c r="O283" s="343"/>
      <c r="P283" s="70" t="s">
        <v>51</v>
      </c>
      <c r="Q283" s="346" t="s">
        <v>1139</v>
      </c>
      <c r="R283" s="346" t="s">
        <v>1140</v>
      </c>
      <c r="S283" s="346"/>
      <c r="T283" s="150" t="s">
        <v>25</v>
      </c>
      <c r="U283" s="150"/>
      <c r="V283" s="403"/>
      <c r="W283" s="406">
        <v>0</v>
      </c>
      <c r="X283" s="406">
        <v>2288.52</v>
      </c>
      <c r="Y283" s="425"/>
      <c r="Z283" s="71"/>
      <c r="AA283" s="426"/>
      <c r="AB283" s="427">
        <v>2188.1999999999998</v>
      </c>
      <c r="AC283" s="427">
        <v>100.32</v>
      </c>
      <c r="AD283" s="428">
        <v>0</v>
      </c>
      <c r="AE283" s="429">
        <v>0</v>
      </c>
      <c r="AF283" s="429">
        <v>0</v>
      </c>
      <c r="AG283" s="360">
        <v>0</v>
      </c>
      <c r="AH283" s="360">
        <v>0</v>
      </c>
      <c r="AI283" s="360">
        <v>0</v>
      </c>
      <c r="AJ283" s="360">
        <v>0</v>
      </c>
      <c r="AK283" s="360">
        <v>0</v>
      </c>
      <c r="AL283" s="360">
        <v>0</v>
      </c>
      <c r="AM283" s="360">
        <f t="shared" si="10"/>
        <v>2288.52</v>
      </c>
      <c r="AN283" s="362">
        <f>ERP_2[[#This Row],[2026 Working Total]]-ERP_2[[#This Row],[LE2 Final Submission]]</f>
        <v>0</v>
      </c>
      <c r="AO283" s="79">
        <v>0</v>
      </c>
      <c r="AP283" s="79">
        <f t="shared" si="11"/>
        <v>0</v>
      </c>
      <c r="AQ283" s="374">
        <f>SUM(ERP_2[[#This Row],[AP01]:[AP06]])-SUM(ERP_2[[#This Row],[AP01 LE2]:[AP06 LE2]])</f>
        <v>0</v>
      </c>
      <c r="AR283" s="80"/>
      <c r="AS283" s="79">
        <f>ERP_2[[#This Row],[2026 Working Total to Budget/LE]]-ERP_2[[#This Row],[Giveback]]</f>
        <v>0</v>
      </c>
      <c r="AT283" s="81"/>
      <c r="AU283" s="375"/>
      <c r="AV283" s="375">
        <v>2188.1999999999998</v>
      </c>
      <c r="AW283" s="375">
        <v>100.32</v>
      </c>
      <c r="AX283" s="375">
        <v>0</v>
      </c>
      <c r="AY283" s="375">
        <v>0</v>
      </c>
      <c r="AZ283" s="375">
        <v>0</v>
      </c>
      <c r="BA283" s="375">
        <v>0</v>
      </c>
      <c r="BB283" s="375">
        <v>0</v>
      </c>
      <c r="BC283" s="375">
        <v>0</v>
      </c>
      <c r="BD283" s="375">
        <v>0</v>
      </c>
      <c r="BE283" s="375">
        <v>0</v>
      </c>
      <c r="BF283" s="375">
        <v>0</v>
      </c>
      <c r="BG283" s="375">
        <v>2288.52</v>
      </c>
      <c r="BH283" s="79"/>
      <c r="BI283" s="79">
        <v>2188.1999999999998</v>
      </c>
      <c r="BJ283" s="79">
        <v>100.32</v>
      </c>
      <c r="BK283" s="79">
        <v>0</v>
      </c>
      <c r="BL283" s="79">
        <v>0</v>
      </c>
      <c r="BM283" s="79">
        <v>0</v>
      </c>
      <c r="BN283" s="79">
        <v>0</v>
      </c>
      <c r="BO283" s="79">
        <v>0</v>
      </c>
      <c r="BP283" s="79">
        <v>0</v>
      </c>
      <c r="BQ283" s="79">
        <v>0</v>
      </c>
      <c r="BR283" s="79">
        <v>0</v>
      </c>
      <c r="BS283" s="79">
        <v>0</v>
      </c>
      <c r="BT283" s="79">
        <v>2288.52</v>
      </c>
    </row>
    <row r="284" spans="1:72" ht="15" hidden="1" customHeight="1">
      <c r="A284" s="150" t="s">
        <v>2606</v>
      </c>
      <c r="B284" s="150"/>
      <c r="C284" s="536" t="s">
        <v>902</v>
      </c>
      <c r="D284" s="296" t="s">
        <v>902</v>
      </c>
      <c r="E284" s="150" t="s">
        <v>1136</v>
      </c>
      <c r="F284" s="482" t="s">
        <v>1566</v>
      </c>
      <c r="G284" s="383" t="s">
        <v>1344</v>
      </c>
      <c r="H284" s="383" t="s">
        <v>1344</v>
      </c>
      <c r="I284" s="150" t="s">
        <v>1345</v>
      </c>
      <c r="J284" s="332" t="s">
        <v>1344</v>
      </c>
      <c r="K284" s="331" t="s">
        <v>1346</v>
      </c>
      <c r="L284" s="514" t="s">
        <v>639</v>
      </c>
      <c r="M284" s="394" t="s">
        <v>2607</v>
      </c>
      <c r="N284" s="333"/>
      <c r="O284" s="332" t="s">
        <v>1358</v>
      </c>
      <c r="P284" s="90" t="s">
        <v>53</v>
      </c>
      <c r="Q284" s="347"/>
      <c r="R284" s="347"/>
      <c r="S284" s="348"/>
      <c r="T284" s="348"/>
      <c r="U284" s="348"/>
      <c r="V284" s="402"/>
      <c r="W284" s="406"/>
      <c r="X284" s="406"/>
      <c r="Y284" s="425"/>
      <c r="Z284" s="71"/>
      <c r="AA284" s="435"/>
      <c r="AB284" s="436"/>
      <c r="AC284" s="436"/>
      <c r="AD284" s="429">
        <v>90</v>
      </c>
      <c r="AE284" s="429">
        <v>0</v>
      </c>
      <c r="AF284" s="429">
        <v>0</v>
      </c>
      <c r="AG284" s="364"/>
      <c r="AH284" s="364"/>
      <c r="AI284" s="364"/>
      <c r="AJ284" s="364"/>
      <c r="AK284" s="364"/>
      <c r="AL284" s="364"/>
      <c r="AM284" s="360">
        <f t="shared" si="10"/>
        <v>90</v>
      </c>
      <c r="AN284" s="362">
        <f>ERP_2[[#This Row],[2026 Working Total]]-ERP_2[[#This Row],[LE2 Final Submission]]</f>
        <v>90</v>
      </c>
      <c r="AO284" s="79"/>
      <c r="AP284" s="79">
        <f t="shared" si="11"/>
        <v>0</v>
      </c>
      <c r="AQ284" s="374">
        <f>SUM(ERP_2[[#This Row],[AP01]:[AP06]])-SUM(ERP_2[[#This Row],[AP01 LE2]:[AP06 LE2]])</f>
        <v>90</v>
      </c>
      <c r="AR284" s="80"/>
      <c r="AS284" s="79">
        <f>ERP_2[[#This Row],[2026 Working Total to Budget/LE]]-ERP_2[[#This Row],[Giveback]]</f>
        <v>90</v>
      </c>
      <c r="AT284" s="81"/>
      <c r="AU284" s="375"/>
      <c r="AV284" s="375"/>
      <c r="AW284" s="375"/>
      <c r="AX284" s="375"/>
      <c r="AY284" s="375"/>
      <c r="AZ284" s="375"/>
      <c r="BA284" s="375"/>
      <c r="BB284" s="375"/>
      <c r="BC284" s="375"/>
      <c r="BD284" s="375"/>
      <c r="BE284" s="375"/>
      <c r="BF284" s="375"/>
      <c r="BG284" s="375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</row>
    <row r="285" spans="1:72" ht="15" hidden="1" customHeight="1">
      <c r="A285" s="66" t="s">
        <v>2608</v>
      </c>
      <c r="B285" s="66"/>
      <c r="C285" s="66" t="s">
        <v>903</v>
      </c>
      <c r="D285" s="66" t="s">
        <v>903</v>
      </c>
      <c r="E285" s="150" t="s">
        <v>1136</v>
      </c>
      <c r="F285" s="482" t="s">
        <v>1566</v>
      </c>
      <c r="G285" s="383" t="s">
        <v>1344</v>
      </c>
      <c r="H285" s="383" t="s">
        <v>1344</v>
      </c>
      <c r="I285" s="150" t="s">
        <v>1345</v>
      </c>
      <c r="J285" s="150" t="s">
        <v>1344</v>
      </c>
      <c r="K285" s="150" t="s">
        <v>1346</v>
      </c>
      <c r="L285" s="511" t="s">
        <v>639</v>
      </c>
      <c r="M285" s="392" t="s">
        <v>1174</v>
      </c>
      <c r="N285" s="343"/>
      <c r="O285" s="343"/>
      <c r="P285" s="70" t="s">
        <v>56</v>
      </c>
      <c r="Q285" s="346"/>
      <c r="R285" s="346" t="s">
        <v>1140</v>
      </c>
      <c r="S285" s="346"/>
      <c r="T285" s="150" t="s">
        <v>57</v>
      </c>
      <c r="U285" s="150"/>
      <c r="V285" s="403"/>
      <c r="W285" s="406">
        <v>4200</v>
      </c>
      <c r="X285" s="406">
        <v>3888.09</v>
      </c>
      <c r="Y285" s="425"/>
      <c r="Z285" s="71"/>
      <c r="AA285" s="426">
        <v>251.53</v>
      </c>
      <c r="AB285" s="427">
        <v>246.74</v>
      </c>
      <c r="AC285" s="427">
        <v>239.82</v>
      </c>
      <c r="AD285" s="428">
        <v>236.11</v>
      </c>
      <c r="AE285" s="429">
        <v>0</v>
      </c>
      <c r="AF285" s="429">
        <v>0</v>
      </c>
      <c r="AG285" s="363">
        <v>350</v>
      </c>
      <c r="AH285" s="363">
        <v>350</v>
      </c>
      <c r="AI285" s="363">
        <v>350</v>
      </c>
      <c r="AJ285" s="363">
        <v>350</v>
      </c>
      <c r="AK285" s="363">
        <v>350</v>
      </c>
      <c r="AL285" s="363">
        <v>350</v>
      </c>
      <c r="AM285" s="360">
        <f t="shared" si="10"/>
        <v>3074.2</v>
      </c>
      <c r="AN285" s="362">
        <f>ERP_2[[#This Row],[2026 Working Total]]-ERP_2[[#This Row],[LE2 Final Submission]]</f>
        <v>-813.89000000000033</v>
      </c>
      <c r="AO285" s="79">
        <v>350</v>
      </c>
      <c r="AP285" s="79">
        <f t="shared" si="11"/>
        <v>-350</v>
      </c>
      <c r="AQ285" s="374">
        <f>SUM(ERP_2[[#This Row],[AP01]:[AP06]])-SUM(ERP_2[[#This Row],[AP01 LE2]:[AP06 LE2]])</f>
        <v>-813.89</v>
      </c>
      <c r="AR285" s="80"/>
      <c r="AS285" s="79">
        <f>ERP_2[[#This Row],[2026 Working Total to Budget/LE]]-ERP_2[[#This Row],[Giveback]]</f>
        <v>-813.89000000000033</v>
      </c>
      <c r="AT285" s="81"/>
      <c r="AU285" s="375">
        <v>251.53</v>
      </c>
      <c r="AV285" s="375">
        <v>246.74</v>
      </c>
      <c r="AW285" s="375">
        <v>239.82</v>
      </c>
      <c r="AX285" s="375">
        <v>350</v>
      </c>
      <c r="AY285" s="375">
        <v>350</v>
      </c>
      <c r="AZ285" s="375">
        <v>350</v>
      </c>
      <c r="BA285" s="375">
        <v>350</v>
      </c>
      <c r="BB285" s="375">
        <v>350</v>
      </c>
      <c r="BC285" s="375">
        <v>350</v>
      </c>
      <c r="BD285" s="375">
        <v>350</v>
      </c>
      <c r="BE285" s="375">
        <v>350</v>
      </c>
      <c r="BF285" s="375">
        <v>350</v>
      </c>
      <c r="BG285" s="375">
        <v>3888.09</v>
      </c>
      <c r="BH285" s="79">
        <v>251.53</v>
      </c>
      <c r="BI285" s="79">
        <v>246.74</v>
      </c>
      <c r="BJ285" s="79">
        <v>239.82</v>
      </c>
      <c r="BK285" s="79">
        <v>350</v>
      </c>
      <c r="BL285" s="79">
        <v>350</v>
      </c>
      <c r="BM285" s="79">
        <v>350</v>
      </c>
      <c r="BN285" s="79">
        <v>350</v>
      </c>
      <c r="BO285" s="79">
        <v>350</v>
      </c>
      <c r="BP285" s="79">
        <v>350</v>
      </c>
      <c r="BQ285" s="79">
        <v>350</v>
      </c>
      <c r="BR285" s="79">
        <v>350</v>
      </c>
      <c r="BS285" s="79">
        <v>350</v>
      </c>
      <c r="BT285" s="79">
        <v>3888.09</v>
      </c>
    </row>
    <row r="286" spans="1:72" ht="15" hidden="1" customHeight="1">
      <c r="A286" s="66" t="s">
        <v>1661</v>
      </c>
      <c r="B286" s="66"/>
      <c r="C286" s="66" t="s">
        <v>334</v>
      </c>
      <c r="D286" s="66" t="s">
        <v>1662</v>
      </c>
      <c r="E286" s="150" t="s">
        <v>1136</v>
      </c>
      <c r="F286" s="482" t="s">
        <v>1566</v>
      </c>
      <c r="G286" s="150" t="s">
        <v>1135</v>
      </c>
      <c r="H286" s="150" t="s">
        <v>1135</v>
      </c>
      <c r="I286" s="150" t="s">
        <v>1135</v>
      </c>
      <c r="J286" s="150" t="s">
        <v>1137</v>
      </c>
      <c r="K286" s="150" t="s">
        <v>1137</v>
      </c>
      <c r="L286" s="511" t="s">
        <v>333</v>
      </c>
      <c r="M286" s="392" t="s">
        <v>1663</v>
      </c>
      <c r="N286" s="343"/>
      <c r="O286" s="343"/>
      <c r="P286" s="70" t="s">
        <v>336</v>
      </c>
      <c r="Q286" s="346"/>
      <c r="R286" s="346" t="s">
        <v>1140</v>
      </c>
      <c r="S286" s="346"/>
      <c r="T286" s="150" t="s">
        <v>25</v>
      </c>
      <c r="U286" s="150" t="s">
        <v>1664</v>
      </c>
      <c r="V286" s="403"/>
      <c r="W286" s="406">
        <v>0</v>
      </c>
      <c r="X286" s="406">
        <v>22573.91</v>
      </c>
      <c r="Y286" s="425"/>
      <c r="Z286" s="71"/>
      <c r="AA286" s="426">
        <v>656</v>
      </c>
      <c r="AB286" s="427">
        <v>1537.91</v>
      </c>
      <c r="AC286" s="427">
        <v>2038</v>
      </c>
      <c r="AD286" s="428">
        <v>1762</v>
      </c>
      <c r="AE286" s="429">
        <v>2888.0000000000005</v>
      </c>
      <c r="AF286" s="429">
        <v>1761.9999999999998</v>
      </c>
      <c r="AG286" s="363">
        <v>2038</v>
      </c>
      <c r="AH286" s="363">
        <v>2038</v>
      </c>
      <c r="AI286" s="363">
        <v>2038</v>
      </c>
      <c r="AJ286" s="363">
        <v>2038</v>
      </c>
      <c r="AK286" s="363">
        <v>2038</v>
      </c>
      <c r="AL286" s="363">
        <v>2038</v>
      </c>
      <c r="AM286" s="360">
        <f t="shared" si="10"/>
        <v>22871.91</v>
      </c>
      <c r="AN286" s="362">
        <f>ERP_2[[#This Row],[2026 Working Total]]-ERP_2[[#This Row],[LE2 Final Submission]]</f>
        <v>298</v>
      </c>
      <c r="AO286" s="79">
        <v>2038</v>
      </c>
      <c r="AP286" s="79">
        <f t="shared" si="11"/>
        <v>-276.00000000000023</v>
      </c>
      <c r="AQ286" s="374">
        <f>SUM(ERP_2[[#This Row],[AP01]:[AP06]])-SUM(ERP_2[[#This Row],[AP01 LE2]:[AP06 LE2]])</f>
        <v>298</v>
      </c>
      <c r="AR286" s="80"/>
      <c r="AS286" s="79">
        <f>ERP_2[[#This Row],[2026 Working Total to Budget/LE]]-ERP_2[[#This Row],[Giveback]]</f>
        <v>298</v>
      </c>
      <c r="AT286" s="81"/>
      <c r="AU286" s="375">
        <v>656</v>
      </c>
      <c r="AV286" s="375">
        <v>1537.91</v>
      </c>
      <c r="AW286" s="375">
        <v>2038</v>
      </c>
      <c r="AX286" s="375">
        <v>2038</v>
      </c>
      <c r="AY286" s="375">
        <v>2038</v>
      </c>
      <c r="AZ286" s="375">
        <v>2038</v>
      </c>
      <c r="BA286" s="375">
        <v>2038</v>
      </c>
      <c r="BB286" s="375">
        <v>2038</v>
      </c>
      <c r="BC286" s="375">
        <v>2038</v>
      </c>
      <c r="BD286" s="375">
        <v>2038</v>
      </c>
      <c r="BE286" s="375">
        <v>2038</v>
      </c>
      <c r="BF286" s="375">
        <v>2038</v>
      </c>
      <c r="BG286" s="375">
        <v>22573.91</v>
      </c>
      <c r="BH286" s="79">
        <v>656</v>
      </c>
      <c r="BI286" s="79">
        <v>1537.91</v>
      </c>
      <c r="BJ286" s="79">
        <v>2038</v>
      </c>
      <c r="BK286" s="79">
        <v>0</v>
      </c>
      <c r="BL286" s="79">
        <v>0</v>
      </c>
      <c r="BM286" s="79">
        <v>0</v>
      </c>
      <c r="BN286" s="79">
        <v>0</v>
      </c>
      <c r="BO286" s="79">
        <v>0</v>
      </c>
      <c r="BP286" s="79">
        <v>0</v>
      </c>
      <c r="BQ286" s="79">
        <v>0</v>
      </c>
      <c r="BR286" s="79">
        <v>0</v>
      </c>
      <c r="BS286" s="79">
        <v>0</v>
      </c>
      <c r="BT286" s="79">
        <v>4231.91</v>
      </c>
    </row>
    <row r="287" spans="1:72" ht="15" hidden="1" customHeight="1">
      <c r="A287" s="66" t="s">
        <v>2609</v>
      </c>
      <c r="B287" s="66"/>
      <c r="C287" s="66" t="s">
        <v>904</v>
      </c>
      <c r="D287" s="66" t="s">
        <v>904</v>
      </c>
      <c r="E287" s="150" t="s">
        <v>1136</v>
      </c>
      <c r="F287" s="482" t="s">
        <v>1566</v>
      </c>
      <c r="G287" s="383" t="s">
        <v>1344</v>
      </c>
      <c r="H287" s="383" t="s">
        <v>1344</v>
      </c>
      <c r="I287" s="150" t="s">
        <v>1345</v>
      </c>
      <c r="J287" s="150" t="s">
        <v>1344</v>
      </c>
      <c r="K287" s="150" t="s">
        <v>1346</v>
      </c>
      <c r="L287" s="511" t="s">
        <v>639</v>
      </c>
      <c r="M287" s="392" t="s">
        <v>1967</v>
      </c>
      <c r="N287" s="343"/>
      <c r="O287" s="343"/>
      <c r="P287" s="70" t="s">
        <v>495</v>
      </c>
      <c r="Q287" s="346"/>
      <c r="R287" s="346" t="s">
        <v>1140</v>
      </c>
      <c r="S287" s="346"/>
      <c r="T287" s="150" t="s">
        <v>57</v>
      </c>
      <c r="U287" s="150"/>
      <c r="V287" s="403"/>
      <c r="W287" s="406">
        <v>3348</v>
      </c>
      <c r="X287" s="406">
        <v>3659.38</v>
      </c>
      <c r="Y287" s="430"/>
      <c r="Z287" s="137"/>
      <c r="AA287" s="426">
        <v>279.45999999999998</v>
      </c>
      <c r="AB287" s="427">
        <v>279.45999999999998</v>
      </c>
      <c r="AC287" s="427">
        <v>589.46</v>
      </c>
      <c r="AD287" s="428">
        <v>279.45999999999998</v>
      </c>
      <c r="AE287" s="429">
        <v>279.45999999999998</v>
      </c>
      <c r="AF287" s="429">
        <v>279.45999999999998</v>
      </c>
      <c r="AG287" s="363">
        <v>279</v>
      </c>
      <c r="AH287" s="363">
        <v>279</v>
      </c>
      <c r="AI287" s="363">
        <v>279</v>
      </c>
      <c r="AJ287" s="363">
        <v>279</v>
      </c>
      <c r="AK287" s="363">
        <v>279</v>
      </c>
      <c r="AL287" s="363">
        <v>279</v>
      </c>
      <c r="AM287" s="360">
        <f t="shared" si="10"/>
        <v>3660.76</v>
      </c>
      <c r="AN287" s="362">
        <f>ERP_2[[#This Row],[2026 Working Total]]-ERP_2[[#This Row],[LE2 Final Submission]]</f>
        <v>1.3800000000001091</v>
      </c>
      <c r="AO287" s="79">
        <v>279</v>
      </c>
      <c r="AP287" s="79">
        <f t="shared" si="11"/>
        <v>0.45999999999997954</v>
      </c>
      <c r="AQ287" s="374">
        <f>SUM(ERP_2[[#This Row],[AP01]:[AP06]])-SUM(ERP_2[[#This Row],[AP01 LE2]:[AP06 LE2]])</f>
        <v>1.3800000000001091</v>
      </c>
      <c r="AR287" s="80"/>
      <c r="AS287" s="79">
        <f>ERP_2[[#This Row],[2026 Working Total to Budget/LE]]-ERP_2[[#This Row],[Giveback]]</f>
        <v>1.3800000000001091</v>
      </c>
      <c r="AT287" s="81" t="s">
        <v>2610</v>
      </c>
      <c r="AU287" s="375">
        <v>279.45999999999998</v>
      </c>
      <c r="AV287" s="375">
        <v>279.45999999999998</v>
      </c>
      <c r="AW287" s="375">
        <v>589.46</v>
      </c>
      <c r="AX287" s="375">
        <v>279</v>
      </c>
      <c r="AY287" s="375">
        <v>279</v>
      </c>
      <c r="AZ287" s="375">
        <v>279</v>
      </c>
      <c r="BA287" s="375">
        <v>279</v>
      </c>
      <c r="BB287" s="375">
        <v>279</v>
      </c>
      <c r="BC287" s="375">
        <v>279</v>
      </c>
      <c r="BD287" s="375">
        <v>279</v>
      </c>
      <c r="BE287" s="375">
        <v>279</v>
      </c>
      <c r="BF287" s="375">
        <v>279</v>
      </c>
      <c r="BG287" s="375">
        <v>3659.38</v>
      </c>
      <c r="BH287" s="79">
        <v>279.45999999999998</v>
      </c>
      <c r="BI287" s="79">
        <v>279.45999999999998</v>
      </c>
      <c r="BJ287" s="79">
        <v>589.46</v>
      </c>
      <c r="BK287" s="79">
        <v>279</v>
      </c>
      <c r="BL287" s="79">
        <v>279</v>
      </c>
      <c r="BM287" s="79">
        <v>279</v>
      </c>
      <c r="BN287" s="79">
        <v>279</v>
      </c>
      <c r="BO287" s="79">
        <v>279</v>
      </c>
      <c r="BP287" s="79">
        <v>279</v>
      </c>
      <c r="BQ287" s="79">
        <v>279</v>
      </c>
      <c r="BR287" s="79">
        <v>279</v>
      </c>
      <c r="BS287" s="79">
        <v>279</v>
      </c>
      <c r="BT287" s="79">
        <v>3659.38</v>
      </c>
    </row>
    <row r="288" spans="1:72" ht="15" hidden="1" customHeight="1">
      <c r="A288" s="66" t="s">
        <v>2611</v>
      </c>
      <c r="B288" s="66"/>
      <c r="C288" s="66" t="s">
        <v>905</v>
      </c>
      <c r="D288" s="66" t="s">
        <v>905</v>
      </c>
      <c r="E288" s="150" t="s">
        <v>1136</v>
      </c>
      <c r="F288" s="482" t="s">
        <v>1566</v>
      </c>
      <c r="G288" s="383" t="s">
        <v>1344</v>
      </c>
      <c r="H288" s="383" t="s">
        <v>1344</v>
      </c>
      <c r="I288" s="150" t="s">
        <v>1345</v>
      </c>
      <c r="J288" s="150" t="s">
        <v>1344</v>
      </c>
      <c r="K288" s="150" t="s">
        <v>1346</v>
      </c>
      <c r="L288" s="511" t="s">
        <v>639</v>
      </c>
      <c r="M288" s="392" t="s">
        <v>1405</v>
      </c>
      <c r="N288" s="343"/>
      <c r="O288" s="343"/>
      <c r="P288" s="70" t="s">
        <v>190</v>
      </c>
      <c r="Q288" s="346" t="s">
        <v>1153</v>
      </c>
      <c r="R288" s="346" t="s">
        <v>1406</v>
      </c>
      <c r="S288" s="346"/>
      <c r="T288" s="150" t="s">
        <v>25</v>
      </c>
      <c r="U288" s="150"/>
      <c r="V288" s="403"/>
      <c r="W288" s="406">
        <v>0</v>
      </c>
      <c r="X288" s="406">
        <v>292.39999999999998</v>
      </c>
      <c r="Y288" s="425"/>
      <c r="Z288" s="71"/>
      <c r="AA288" s="426"/>
      <c r="AB288" s="427"/>
      <c r="AC288" s="427">
        <v>292.39999999999998</v>
      </c>
      <c r="AD288" s="428">
        <v>0</v>
      </c>
      <c r="AE288" s="429">
        <v>0</v>
      </c>
      <c r="AF288" s="429">
        <v>0</v>
      </c>
      <c r="AG288" s="360">
        <v>0</v>
      </c>
      <c r="AH288" s="360">
        <v>0</v>
      </c>
      <c r="AI288" s="360">
        <v>0</v>
      </c>
      <c r="AJ288" s="360">
        <v>0</v>
      </c>
      <c r="AK288" s="360">
        <v>0</v>
      </c>
      <c r="AL288" s="360">
        <v>0</v>
      </c>
      <c r="AM288" s="360">
        <f t="shared" si="10"/>
        <v>292.39999999999998</v>
      </c>
      <c r="AN288" s="362">
        <f>ERP_2[[#This Row],[2026 Working Total]]-ERP_2[[#This Row],[LE2 Final Submission]]</f>
        <v>0</v>
      </c>
      <c r="AO288" s="79">
        <v>0</v>
      </c>
      <c r="AP288" s="79">
        <f t="shared" si="11"/>
        <v>0</v>
      </c>
      <c r="AQ288" s="374">
        <f>SUM(ERP_2[[#This Row],[AP01]:[AP06]])-SUM(ERP_2[[#This Row],[AP01 LE2]:[AP06 LE2]])</f>
        <v>0</v>
      </c>
      <c r="AR288" s="80"/>
      <c r="AS288" s="79">
        <f>ERP_2[[#This Row],[2026 Working Total to Budget/LE]]-ERP_2[[#This Row],[Giveback]]</f>
        <v>0</v>
      </c>
      <c r="AT288" s="81" t="s">
        <v>2612</v>
      </c>
      <c r="AU288" s="375"/>
      <c r="AV288" s="375"/>
      <c r="AW288" s="375">
        <v>292.39999999999998</v>
      </c>
      <c r="AX288" s="375">
        <v>0</v>
      </c>
      <c r="AY288" s="375">
        <v>0</v>
      </c>
      <c r="AZ288" s="375">
        <v>0</v>
      </c>
      <c r="BA288" s="375">
        <v>0</v>
      </c>
      <c r="BB288" s="375">
        <v>0</v>
      </c>
      <c r="BC288" s="375">
        <v>0</v>
      </c>
      <c r="BD288" s="375">
        <v>0</v>
      </c>
      <c r="BE288" s="375">
        <v>0</v>
      </c>
      <c r="BF288" s="375">
        <v>0</v>
      </c>
      <c r="BG288" s="375">
        <v>292.39999999999998</v>
      </c>
      <c r="BH288" s="79"/>
      <c r="BI288" s="79"/>
      <c r="BJ288" s="79">
        <v>292.39999999999998</v>
      </c>
      <c r="BK288" s="79">
        <v>0</v>
      </c>
      <c r="BL288" s="79">
        <v>0</v>
      </c>
      <c r="BM288" s="79">
        <v>0</v>
      </c>
      <c r="BN288" s="79">
        <v>0</v>
      </c>
      <c r="BO288" s="79">
        <v>0</v>
      </c>
      <c r="BP288" s="79">
        <v>0</v>
      </c>
      <c r="BQ288" s="79">
        <v>0</v>
      </c>
      <c r="BR288" s="79">
        <v>0</v>
      </c>
      <c r="BS288" s="79">
        <v>0</v>
      </c>
      <c r="BT288" s="79">
        <v>292.39999999999998</v>
      </c>
    </row>
    <row r="289" spans="1:72" ht="15" hidden="1" customHeight="1">
      <c r="A289" s="150" t="s">
        <v>2613</v>
      </c>
      <c r="B289" s="150"/>
      <c r="C289" s="536" t="s">
        <v>906</v>
      </c>
      <c r="D289" s="296" t="s">
        <v>906</v>
      </c>
      <c r="E289" s="150" t="s">
        <v>1136</v>
      </c>
      <c r="F289" s="482" t="s">
        <v>1566</v>
      </c>
      <c r="G289" s="383" t="s">
        <v>1344</v>
      </c>
      <c r="H289" s="383" t="s">
        <v>1344</v>
      </c>
      <c r="I289" s="150" t="s">
        <v>1345</v>
      </c>
      <c r="J289" s="332" t="s">
        <v>1344</v>
      </c>
      <c r="K289" s="331" t="s">
        <v>1346</v>
      </c>
      <c r="L289" s="514" t="s">
        <v>639</v>
      </c>
      <c r="M289" s="394" t="s">
        <v>2614</v>
      </c>
      <c r="N289" s="333"/>
      <c r="O289" s="332" t="s">
        <v>1363</v>
      </c>
      <c r="P289" s="90" t="s">
        <v>676</v>
      </c>
      <c r="Q289" s="347"/>
      <c r="R289" s="347"/>
      <c r="S289" s="348"/>
      <c r="T289" s="348"/>
      <c r="U289" s="348"/>
      <c r="V289" s="402"/>
      <c r="W289" s="406"/>
      <c r="X289" s="406"/>
      <c r="Y289" s="425"/>
      <c r="Z289" s="71"/>
      <c r="AA289" s="435"/>
      <c r="AB289" s="436"/>
      <c r="AC289" s="436"/>
      <c r="AD289" s="429">
        <v>454</v>
      </c>
      <c r="AE289" s="429">
        <v>227</v>
      </c>
      <c r="AF289" s="429">
        <v>227</v>
      </c>
      <c r="AG289" s="364"/>
      <c r="AH289" s="364"/>
      <c r="AI289" s="364"/>
      <c r="AJ289" s="364"/>
      <c r="AK289" s="364"/>
      <c r="AL289" s="364"/>
      <c r="AM289" s="360">
        <f t="shared" si="10"/>
        <v>908</v>
      </c>
      <c r="AN289" s="362">
        <f>ERP_2[[#This Row],[2026 Working Total]]-ERP_2[[#This Row],[LE2 Final Submission]]</f>
        <v>908</v>
      </c>
      <c r="AO289" s="79"/>
      <c r="AP289" s="79">
        <f t="shared" si="11"/>
        <v>227</v>
      </c>
      <c r="AQ289" s="374">
        <f>SUM(ERP_2[[#This Row],[AP01]:[AP06]])-SUM(ERP_2[[#This Row],[AP01 LE2]:[AP06 LE2]])</f>
        <v>908</v>
      </c>
      <c r="AR289" s="80"/>
      <c r="AS289" s="79">
        <f>ERP_2[[#This Row],[2026 Working Total to Budget/LE]]-ERP_2[[#This Row],[Giveback]]</f>
        <v>908</v>
      </c>
      <c r="AT289" s="81"/>
      <c r="AU289" s="375"/>
      <c r="AV289" s="375"/>
      <c r="AW289" s="375"/>
      <c r="AX289" s="375"/>
      <c r="AY289" s="375"/>
      <c r="AZ289" s="375"/>
      <c r="BA289" s="375"/>
      <c r="BB289" s="375"/>
      <c r="BC289" s="375"/>
      <c r="BD289" s="375"/>
      <c r="BE289" s="375"/>
      <c r="BF289" s="375"/>
      <c r="BG289" s="375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</row>
    <row r="290" spans="1:72" ht="15" hidden="1" customHeight="1">
      <c r="A290" s="66" t="s">
        <v>2615</v>
      </c>
      <c r="B290" s="66"/>
      <c r="C290" s="66" t="s">
        <v>907</v>
      </c>
      <c r="D290" s="66" t="s">
        <v>907</v>
      </c>
      <c r="E290" s="150" t="s">
        <v>1136</v>
      </c>
      <c r="F290" s="482" t="s">
        <v>1566</v>
      </c>
      <c r="G290" s="383" t="s">
        <v>1344</v>
      </c>
      <c r="H290" s="383" t="s">
        <v>1344</v>
      </c>
      <c r="I290" s="150" t="s">
        <v>1345</v>
      </c>
      <c r="J290" s="150" t="s">
        <v>1344</v>
      </c>
      <c r="K290" s="150" t="s">
        <v>1346</v>
      </c>
      <c r="L290" s="511" t="s">
        <v>639</v>
      </c>
      <c r="M290" s="392" t="s">
        <v>2291</v>
      </c>
      <c r="N290" s="343"/>
      <c r="O290" s="343"/>
      <c r="P290" s="70" t="s">
        <v>679</v>
      </c>
      <c r="Q290" s="346"/>
      <c r="R290" s="346" t="s">
        <v>1140</v>
      </c>
      <c r="S290" s="346"/>
      <c r="T290" s="150" t="s">
        <v>680</v>
      </c>
      <c r="U290" s="150"/>
      <c r="V290" s="403"/>
      <c r="W290" s="406">
        <v>6000</v>
      </c>
      <c r="X290" s="406">
        <v>4931</v>
      </c>
      <c r="Y290" s="425"/>
      <c r="Z290" s="71"/>
      <c r="AA290" s="426">
        <v>431</v>
      </c>
      <c r="AB290" s="431">
        <v>0</v>
      </c>
      <c r="AC290" s="431">
        <v>0</v>
      </c>
      <c r="AD290" s="428">
        <v>0</v>
      </c>
      <c r="AE290" s="429">
        <v>0</v>
      </c>
      <c r="AF290" s="429">
        <v>431</v>
      </c>
      <c r="AG290" s="363">
        <v>500</v>
      </c>
      <c r="AH290" s="363">
        <v>500</v>
      </c>
      <c r="AI290" s="363">
        <v>500</v>
      </c>
      <c r="AJ290" s="363">
        <v>500</v>
      </c>
      <c r="AK290" s="363">
        <v>500</v>
      </c>
      <c r="AL290" s="363">
        <v>500</v>
      </c>
      <c r="AM290" s="360">
        <f t="shared" si="10"/>
        <v>3862</v>
      </c>
      <c r="AN290" s="362">
        <f>ERP_2[[#This Row],[2026 Working Total]]-ERP_2[[#This Row],[LE2 Final Submission]]</f>
        <v>-1069</v>
      </c>
      <c r="AO290" s="79">
        <v>500</v>
      </c>
      <c r="AP290" s="79">
        <f t="shared" si="11"/>
        <v>-69</v>
      </c>
      <c r="AQ290" s="374">
        <f>SUM(ERP_2[[#This Row],[AP01]:[AP06]])-SUM(ERP_2[[#This Row],[AP01 LE2]:[AP06 LE2]])</f>
        <v>-1069</v>
      </c>
      <c r="AR290" s="80"/>
      <c r="AS290" s="79">
        <f>ERP_2[[#This Row],[2026 Working Total to Budget/LE]]-ERP_2[[#This Row],[Giveback]]</f>
        <v>-1069</v>
      </c>
      <c r="AT290" s="81"/>
      <c r="AU290" s="375">
        <v>431</v>
      </c>
      <c r="AV290" s="375">
        <v>0</v>
      </c>
      <c r="AW290" s="375">
        <v>0</v>
      </c>
      <c r="AX290" s="375">
        <v>500</v>
      </c>
      <c r="AY290" s="375">
        <v>500</v>
      </c>
      <c r="AZ290" s="375">
        <v>500</v>
      </c>
      <c r="BA290" s="375">
        <v>500</v>
      </c>
      <c r="BB290" s="375">
        <v>500</v>
      </c>
      <c r="BC290" s="375">
        <v>500</v>
      </c>
      <c r="BD290" s="375">
        <v>500</v>
      </c>
      <c r="BE290" s="375">
        <v>500</v>
      </c>
      <c r="BF290" s="375">
        <v>500</v>
      </c>
      <c r="BG290" s="375">
        <v>4931</v>
      </c>
      <c r="BH290" s="79">
        <v>431</v>
      </c>
      <c r="BI290" s="79">
        <v>0</v>
      </c>
      <c r="BJ290" s="79">
        <v>0</v>
      </c>
      <c r="BK290" s="79">
        <v>500</v>
      </c>
      <c r="BL290" s="79">
        <v>500</v>
      </c>
      <c r="BM290" s="79">
        <v>500</v>
      </c>
      <c r="BN290" s="79">
        <v>500</v>
      </c>
      <c r="BO290" s="79">
        <v>500</v>
      </c>
      <c r="BP290" s="79">
        <v>500</v>
      </c>
      <c r="BQ290" s="79">
        <v>500</v>
      </c>
      <c r="BR290" s="79">
        <v>500</v>
      </c>
      <c r="BS290" s="79">
        <v>500</v>
      </c>
      <c r="BT290" s="79">
        <v>4931</v>
      </c>
    </row>
    <row r="291" spans="1:72" ht="15" hidden="1" customHeight="1">
      <c r="A291" s="66" t="s">
        <v>2616</v>
      </c>
      <c r="B291" s="66"/>
      <c r="C291" s="66" t="s">
        <v>908</v>
      </c>
      <c r="D291" s="66" t="s">
        <v>908</v>
      </c>
      <c r="E291" s="150" t="s">
        <v>1136</v>
      </c>
      <c r="F291" s="482" t="s">
        <v>1566</v>
      </c>
      <c r="G291" s="383" t="s">
        <v>1344</v>
      </c>
      <c r="H291" s="383" t="s">
        <v>1344</v>
      </c>
      <c r="I291" s="150" t="s">
        <v>1345</v>
      </c>
      <c r="J291" s="150" t="s">
        <v>1344</v>
      </c>
      <c r="K291" s="150" t="s">
        <v>1346</v>
      </c>
      <c r="L291" s="511" t="s">
        <v>639</v>
      </c>
      <c r="M291" s="392" t="s">
        <v>2617</v>
      </c>
      <c r="N291" s="343"/>
      <c r="O291" s="343"/>
      <c r="P291" s="70" t="s">
        <v>909</v>
      </c>
      <c r="Q291" s="346"/>
      <c r="R291" s="343"/>
      <c r="S291" s="346"/>
      <c r="T291" s="150" t="s">
        <v>910</v>
      </c>
      <c r="U291" s="150"/>
      <c r="V291" s="403"/>
      <c r="W291" s="406">
        <v>50000</v>
      </c>
      <c r="X291" s="406">
        <v>50000</v>
      </c>
      <c r="Y291" s="430"/>
      <c r="Z291" s="137"/>
      <c r="AA291" s="426"/>
      <c r="AB291" s="427"/>
      <c r="AC291" s="427"/>
      <c r="AD291" s="428" t="s">
        <v>1142</v>
      </c>
      <c r="AE291" s="429">
        <v>0</v>
      </c>
      <c r="AF291" s="429">
        <v>0</v>
      </c>
      <c r="AG291" s="363"/>
      <c r="AH291" s="363"/>
      <c r="AI291" s="363"/>
      <c r="AJ291" s="363">
        <v>50000</v>
      </c>
      <c r="AK291" s="360">
        <v>0</v>
      </c>
      <c r="AL291" s="360">
        <v>0</v>
      </c>
      <c r="AM291" s="360">
        <f t="shared" si="10"/>
        <v>50000</v>
      </c>
      <c r="AN291" s="362">
        <f>ERP_2[[#This Row],[2026 Working Total]]-ERP_2[[#This Row],[LE2 Final Submission]]</f>
        <v>0</v>
      </c>
      <c r="AO291" s="79"/>
      <c r="AP291" s="79">
        <f t="shared" si="11"/>
        <v>0</v>
      </c>
      <c r="AQ291" s="374">
        <f>SUM(ERP_2[[#This Row],[AP01]:[AP06]])-SUM(ERP_2[[#This Row],[AP01 LE2]:[AP06 LE2]])</f>
        <v>0</v>
      </c>
      <c r="AR291" s="80"/>
      <c r="AS291" s="79">
        <f>ERP_2[[#This Row],[2026 Working Total to Budget/LE]]-ERP_2[[#This Row],[Giveback]]</f>
        <v>0</v>
      </c>
      <c r="AT291" s="81"/>
      <c r="AU291" s="375"/>
      <c r="AV291" s="375"/>
      <c r="AW291" s="375"/>
      <c r="AX291" s="375"/>
      <c r="AY291" s="375"/>
      <c r="AZ291" s="375"/>
      <c r="BA291" s="375"/>
      <c r="BB291" s="375"/>
      <c r="BC291" s="375"/>
      <c r="BD291" s="375">
        <v>50000</v>
      </c>
      <c r="BE291" s="375">
        <v>0</v>
      </c>
      <c r="BF291" s="375">
        <v>0</v>
      </c>
      <c r="BG291" s="375">
        <v>50000</v>
      </c>
      <c r="BH291" s="79"/>
      <c r="BI291" s="79"/>
      <c r="BJ291" s="79"/>
      <c r="BK291" s="79"/>
      <c r="BL291" s="79"/>
      <c r="BM291" s="79"/>
      <c r="BN291" s="79"/>
      <c r="BO291" s="79"/>
      <c r="BP291" s="79"/>
      <c r="BQ291" s="79">
        <v>50000</v>
      </c>
      <c r="BR291" s="79">
        <v>0</v>
      </c>
      <c r="BS291" s="79">
        <v>0</v>
      </c>
      <c r="BT291" s="79">
        <v>50000</v>
      </c>
    </row>
    <row r="292" spans="1:72" ht="15" hidden="1" customHeight="1">
      <c r="A292" s="66" t="s">
        <v>2618</v>
      </c>
      <c r="B292" s="66"/>
      <c r="C292" s="66" t="s">
        <v>911</v>
      </c>
      <c r="D292" s="66" t="s">
        <v>911</v>
      </c>
      <c r="E292" s="150" t="s">
        <v>1136</v>
      </c>
      <c r="F292" s="482" t="s">
        <v>1566</v>
      </c>
      <c r="G292" s="383" t="s">
        <v>1344</v>
      </c>
      <c r="H292" s="383" t="s">
        <v>1344</v>
      </c>
      <c r="I292" s="150" t="s">
        <v>1345</v>
      </c>
      <c r="J292" s="150" t="s">
        <v>1344</v>
      </c>
      <c r="K292" s="150" t="s">
        <v>1346</v>
      </c>
      <c r="L292" s="511" t="s">
        <v>639</v>
      </c>
      <c r="M292" s="392" t="s">
        <v>2619</v>
      </c>
      <c r="N292" s="343"/>
      <c r="O292" s="343"/>
      <c r="P292" s="70" t="s">
        <v>912</v>
      </c>
      <c r="Q292" s="346"/>
      <c r="R292" s="343"/>
      <c r="S292" s="346"/>
      <c r="T292" s="150" t="s">
        <v>25</v>
      </c>
      <c r="U292" s="150"/>
      <c r="V292" s="403"/>
      <c r="W292" s="406">
        <v>5000</v>
      </c>
      <c r="X292" s="406">
        <v>5000</v>
      </c>
      <c r="Y292" s="425"/>
      <c r="Z292" s="71"/>
      <c r="AA292" s="426"/>
      <c r="AB292" s="427"/>
      <c r="AC292" s="427"/>
      <c r="AD292" s="428" t="s">
        <v>1142</v>
      </c>
      <c r="AE292" s="429">
        <v>0</v>
      </c>
      <c r="AF292" s="429">
        <v>0</v>
      </c>
      <c r="AG292" s="363"/>
      <c r="AH292" s="363"/>
      <c r="AI292" s="363"/>
      <c r="AJ292" s="363"/>
      <c r="AK292" s="363"/>
      <c r="AL292" s="363">
        <v>5000</v>
      </c>
      <c r="AM292" s="360">
        <f t="shared" si="10"/>
        <v>5000</v>
      </c>
      <c r="AN292" s="362">
        <f>ERP_2[[#This Row],[2026 Working Total]]-ERP_2[[#This Row],[LE2 Final Submission]]</f>
        <v>0</v>
      </c>
      <c r="AO292" s="79"/>
      <c r="AP292" s="79">
        <f t="shared" si="11"/>
        <v>0</v>
      </c>
      <c r="AQ292" s="374">
        <f>SUM(ERP_2[[#This Row],[AP01]:[AP06]])-SUM(ERP_2[[#This Row],[AP01 LE2]:[AP06 LE2]])</f>
        <v>0</v>
      </c>
      <c r="AR292" s="80"/>
      <c r="AS292" s="79">
        <f>ERP_2[[#This Row],[2026 Working Total to Budget/LE]]-ERP_2[[#This Row],[Giveback]]</f>
        <v>0</v>
      </c>
      <c r="AT292" s="81" t="s">
        <v>2620</v>
      </c>
      <c r="AU292" s="375"/>
      <c r="AV292" s="375"/>
      <c r="AW292" s="375"/>
      <c r="AX292" s="375"/>
      <c r="AY292" s="375"/>
      <c r="AZ292" s="375"/>
      <c r="BA292" s="375"/>
      <c r="BB292" s="375"/>
      <c r="BC292" s="375"/>
      <c r="BD292" s="375"/>
      <c r="BE292" s="375"/>
      <c r="BF292" s="375">
        <v>5000</v>
      </c>
      <c r="BG292" s="375">
        <v>5000</v>
      </c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>
        <v>5000</v>
      </c>
      <c r="BT292" s="79">
        <v>5000</v>
      </c>
    </row>
    <row r="293" spans="1:72" ht="15" hidden="1" customHeight="1">
      <c r="A293" s="66" t="s">
        <v>2621</v>
      </c>
      <c r="B293" s="66"/>
      <c r="C293" s="66" t="s">
        <v>913</v>
      </c>
      <c r="D293" s="66" t="s">
        <v>913</v>
      </c>
      <c r="E293" s="150" t="s">
        <v>1136</v>
      </c>
      <c r="F293" s="482" t="s">
        <v>1566</v>
      </c>
      <c r="G293" s="383" t="s">
        <v>1344</v>
      </c>
      <c r="H293" s="383" t="s">
        <v>1344</v>
      </c>
      <c r="I293" s="150" t="s">
        <v>1345</v>
      </c>
      <c r="J293" s="150" t="s">
        <v>1344</v>
      </c>
      <c r="K293" s="150" t="s">
        <v>1346</v>
      </c>
      <c r="L293" s="511" t="s">
        <v>639</v>
      </c>
      <c r="M293" s="392" t="s">
        <v>2622</v>
      </c>
      <c r="N293" s="343"/>
      <c r="O293" s="343"/>
      <c r="P293" s="70" t="s">
        <v>914</v>
      </c>
      <c r="Q293" s="346"/>
      <c r="R293" s="343"/>
      <c r="S293" s="346"/>
      <c r="T293" s="150" t="s">
        <v>119</v>
      </c>
      <c r="U293" s="150"/>
      <c r="V293" s="403"/>
      <c r="W293" s="406">
        <v>25000</v>
      </c>
      <c r="X293" s="406">
        <v>25000</v>
      </c>
      <c r="Y293" s="425"/>
      <c r="Z293" s="71"/>
      <c r="AA293" s="426"/>
      <c r="AB293" s="427"/>
      <c r="AC293" s="427"/>
      <c r="AD293" s="428" t="s">
        <v>1142</v>
      </c>
      <c r="AE293" s="429">
        <v>0</v>
      </c>
      <c r="AF293" s="429">
        <v>0</v>
      </c>
      <c r="AG293" s="363"/>
      <c r="AH293" s="363">
        <v>25000</v>
      </c>
      <c r="AI293" s="360">
        <v>0</v>
      </c>
      <c r="AJ293" s="360">
        <v>0</v>
      </c>
      <c r="AK293" s="360">
        <v>0</v>
      </c>
      <c r="AL293" s="360">
        <v>0</v>
      </c>
      <c r="AM293" s="360">
        <f t="shared" si="10"/>
        <v>25000</v>
      </c>
      <c r="AN293" s="362">
        <f>ERP_2[[#This Row],[2026 Working Total]]-ERP_2[[#This Row],[LE2 Final Submission]]</f>
        <v>0</v>
      </c>
      <c r="AO293" s="79"/>
      <c r="AP293" s="79">
        <f t="shared" si="11"/>
        <v>0</v>
      </c>
      <c r="AQ293" s="374">
        <f>SUM(ERP_2[[#This Row],[AP01]:[AP06]])-SUM(ERP_2[[#This Row],[AP01 LE2]:[AP06 LE2]])</f>
        <v>0</v>
      </c>
      <c r="AR293" s="80"/>
      <c r="AS293" s="79">
        <f>ERP_2[[#This Row],[2026 Working Total to Budget/LE]]-ERP_2[[#This Row],[Giveback]]</f>
        <v>0</v>
      </c>
      <c r="AT293" s="81"/>
      <c r="AU293" s="375"/>
      <c r="AV293" s="375"/>
      <c r="AW293" s="375"/>
      <c r="AX293" s="375"/>
      <c r="AY293" s="375"/>
      <c r="AZ293" s="375"/>
      <c r="BA293" s="375"/>
      <c r="BB293" s="375">
        <v>25000</v>
      </c>
      <c r="BC293" s="375">
        <v>0</v>
      </c>
      <c r="BD293" s="375">
        <v>0</v>
      </c>
      <c r="BE293" s="375">
        <v>0</v>
      </c>
      <c r="BF293" s="375">
        <v>0</v>
      </c>
      <c r="BG293" s="375">
        <v>25000</v>
      </c>
      <c r="BH293" s="79"/>
      <c r="BI293" s="79"/>
      <c r="BJ293" s="79"/>
      <c r="BK293" s="79"/>
      <c r="BL293" s="79"/>
      <c r="BM293" s="79"/>
      <c r="BN293" s="79"/>
      <c r="BO293" s="79">
        <v>25000</v>
      </c>
      <c r="BP293" s="79">
        <v>0</v>
      </c>
      <c r="BQ293" s="79">
        <v>0</v>
      </c>
      <c r="BR293" s="79">
        <v>0</v>
      </c>
      <c r="BS293" s="79">
        <v>0</v>
      </c>
      <c r="BT293" s="79">
        <v>25000</v>
      </c>
    </row>
    <row r="294" spans="1:72" ht="15" hidden="1" customHeight="1">
      <c r="A294" s="66" t="s">
        <v>2623</v>
      </c>
      <c r="B294" s="66"/>
      <c r="C294" s="66" t="s">
        <v>915</v>
      </c>
      <c r="D294" s="66" t="s">
        <v>915</v>
      </c>
      <c r="E294" s="150" t="s">
        <v>1136</v>
      </c>
      <c r="F294" s="482" t="s">
        <v>1566</v>
      </c>
      <c r="G294" s="383" t="s">
        <v>1344</v>
      </c>
      <c r="H294" s="383" t="s">
        <v>1344</v>
      </c>
      <c r="I294" s="150" t="s">
        <v>1345</v>
      </c>
      <c r="J294" s="150" t="s">
        <v>1344</v>
      </c>
      <c r="K294" s="150" t="s">
        <v>1346</v>
      </c>
      <c r="L294" s="511" t="s">
        <v>639</v>
      </c>
      <c r="M294" s="392" t="s">
        <v>818</v>
      </c>
      <c r="N294" s="343"/>
      <c r="O294" s="343"/>
      <c r="P294" s="70" t="s">
        <v>817</v>
      </c>
      <c r="Q294" s="346"/>
      <c r="R294" s="346" t="s">
        <v>1140</v>
      </c>
      <c r="S294" s="346"/>
      <c r="T294" s="150" t="s">
        <v>818</v>
      </c>
      <c r="U294" s="150"/>
      <c r="V294" s="403"/>
      <c r="W294" s="406">
        <v>8000</v>
      </c>
      <c r="X294" s="406">
        <v>16362.7</v>
      </c>
      <c r="Y294" s="430"/>
      <c r="Z294" s="137"/>
      <c r="AA294" s="426"/>
      <c r="AB294" s="427"/>
      <c r="AC294" s="427">
        <v>10362.700000000001</v>
      </c>
      <c r="AD294" s="428">
        <v>0</v>
      </c>
      <c r="AE294" s="429">
        <v>0</v>
      </c>
      <c r="AF294" s="429">
        <v>8211.1</v>
      </c>
      <c r="AG294" s="360">
        <v>0</v>
      </c>
      <c r="AH294" s="360">
        <v>0</v>
      </c>
      <c r="AI294" s="363">
        <v>2000</v>
      </c>
      <c r="AJ294" s="360">
        <v>0</v>
      </c>
      <c r="AK294" s="363">
        <v>2000</v>
      </c>
      <c r="AL294" s="360">
        <v>0</v>
      </c>
      <c r="AM294" s="360">
        <f t="shared" si="10"/>
        <v>22573.800000000003</v>
      </c>
      <c r="AN294" s="362">
        <f>ERP_2[[#This Row],[2026 Working Total]]-ERP_2[[#This Row],[LE2 Final Submission]]</f>
        <v>6211.1000000000022</v>
      </c>
      <c r="AO294" s="79">
        <v>0</v>
      </c>
      <c r="AP294" s="79">
        <f t="shared" si="11"/>
        <v>8211.1</v>
      </c>
      <c r="AQ294" s="374">
        <f>SUM(ERP_2[[#This Row],[AP01]:[AP06]])-SUM(ERP_2[[#This Row],[AP01 LE2]:[AP06 LE2]])</f>
        <v>6211.1000000000022</v>
      </c>
      <c r="AR294" s="80"/>
      <c r="AS294" s="79">
        <f>ERP_2[[#This Row],[2026 Working Total to Budget/LE]]-ERP_2[[#This Row],[Giveback]]</f>
        <v>6211.1000000000022</v>
      </c>
      <c r="AT294" s="81"/>
      <c r="AU294" s="375"/>
      <c r="AV294" s="375"/>
      <c r="AW294" s="375">
        <v>10362.700000000001</v>
      </c>
      <c r="AX294" s="375">
        <v>0</v>
      </c>
      <c r="AY294" s="375">
        <v>0</v>
      </c>
      <c r="AZ294" s="375">
        <v>2000</v>
      </c>
      <c r="BA294" s="375">
        <v>0</v>
      </c>
      <c r="BB294" s="375">
        <v>0</v>
      </c>
      <c r="BC294" s="375">
        <v>2000</v>
      </c>
      <c r="BD294" s="375">
        <v>0</v>
      </c>
      <c r="BE294" s="375">
        <v>2000</v>
      </c>
      <c r="BF294" s="375">
        <v>0</v>
      </c>
      <c r="BG294" s="375">
        <v>16362.7</v>
      </c>
      <c r="BH294" s="79"/>
      <c r="BI294" s="79"/>
      <c r="BJ294" s="79">
        <v>10362.700000000001</v>
      </c>
      <c r="BK294" s="79">
        <v>0</v>
      </c>
      <c r="BL294" s="79">
        <v>0</v>
      </c>
      <c r="BM294" s="79">
        <v>2000</v>
      </c>
      <c r="BN294" s="79">
        <v>0</v>
      </c>
      <c r="BO294" s="79">
        <v>0</v>
      </c>
      <c r="BP294" s="79">
        <v>2000</v>
      </c>
      <c r="BQ294" s="79">
        <v>0</v>
      </c>
      <c r="BR294" s="79">
        <v>2000</v>
      </c>
      <c r="BS294" s="79">
        <v>0</v>
      </c>
      <c r="BT294" s="79">
        <v>16362.7</v>
      </c>
    </row>
    <row r="295" spans="1:72" ht="15" hidden="1" customHeight="1">
      <c r="A295" s="66" t="s">
        <v>2624</v>
      </c>
      <c r="B295" s="66"/>
      <c r="C295" s="66" t="s">
        <v>916</v>
      </c>
      <c r="D295" s="66" t="s">
        <v>916</v>
      </c>
      <c r="E295" s="150" t="s">
        <v>1136</v>
      </c>
      <c r="F295" s="482" t="s">
        <v>1566</v>
      </c>
      <c r="G295" s="383" t="s">
        <v>1344</v>
      </c>
      <c r="H295" s="383" t="s">
        <v>1344</v>
      </c>
      <c r="I295" s="150" t="s">
        <v>1345</v>
      </c>
      <c r="J295" s="150" t="s">
        <v>1344</v>
      </c>
      <c r="K295" s="150" t="s">
        <v>1346</v>
      </c>
      <c r="L295" s="511" t="s">
        <v>639</v>
      </c>
      <c r="M295" s="392" t="s">
        <v>1423</v>
      </c>
      <c r="N295" s="343"/>
      <c r="O295" s="343"/>
      <c r="P295" s="70" t="s">
        <v>194</v>
      </c>
      <c r="Q295" s="346"/>
      <c r="R295" s="343"/>
      <c r="S295" s="346"/>
      <c r="T295" s="150" t="s">
        <v>25</v>
      </c>
      <c r="U295" s="150"/>
      <c r="V295" s="403"/>
      <c r="W295" s="406">
        <v>21665.519999999993</v>
      </c>
      <c r="X295" s="406">
        <v>21665.52</v>
      </c>
      <c r="Y295" s="425"/>
      <c r="Z295" s="71"/>
      <c r="AA295" s="426"/>
      <c r="AB295" s="427"/>
      <c r="AC295" s="427"/>
      <c r="AD295" s="428" t="s">
        <v>1142</v>
      </c>
      <c r="AE295" s="429">
        <v>0</v>
      </c>
      <c r="AF295" s="429">
        <v>0</v>
      </c>
      <c r="AG295" s="363"/>
      <c r="AH295" s="363"/>
      <c r="AI295" s="363"/>
      <c r="AJ295" s="363">
        <v>21665.52</v>
      </c>
      <c r="AK295" s="363"/>
      <c r="AL295" s="363"/>
      <c r="AM295" s="360">
        <f t="shared" si="10"/>
        <v>21665.52</v>
      </c>
      <c r="AN295" s="362">
        <f>ERP_2[[#This Row],[2026 Working Total]]-ERP_2[[#This Row],[LE2 Final Submission]]</f>
        <v>0</v>
      </c>
      <c r="AO295" s="79"/>
      <c r="AP295" s="79">
        <f t="shared" si="11"/>
        <v>0</v>
      </c>
      <c r="AQ295" s="374">
        <f>SUM(ERP_2[[#This Row],[AP01]:[AP06]])-SUM(ERP_2[[#This Row],[AP01 LE2]:[AP06 LE2]])</f>
        <v>0</v>
      </c>
      <c r="AR295" s="80"/>
      <c r="AS295" s="79">
        <f>ERP_2[[#This Row],[2026 Working Total to Budget/LE]]-ERP_2[[#This Row],[Giveback]]</f>
        <v>0</v>
      </c>
      <c r="AT295" s="81" t="s">
        <v>1423</v>
      </c>
      <c r="AU295" s="375"/>
      <c r="AV295" s="375"/>
      <c r="AW295" s="375"/>
      <c r="AX295" s="375"/>
      <c r="AY295" s="375"/>
      <c r="AZ295" s="375"/>
      <c r="BA295" s="375"/>
      <c r="BB295" s="375"/>
      <c r="BC295" s="375"/>
      <c r="BD295" s="375">
        <v>21665.52</v>
      </c>
      <c r="BE295" s="375"/>
      <c r="BF295" s="375"/>
      <c r="BG295" s="375">
        <v>21665.52</v>
      </c>
      <c r="BH295" s="79"/>
      <c r="BI295" s="79"/>
      <c r="BJ295" s="79"/>
      <c r="BK295" s="79">
        <v>1805.46</v>
      </c>
      <c r="BL295" s="79">
        <v>1805.46</v>
      </c>
      <c r="BM295" s="79">
        <v>1805.46</v>
      </c>
      <c r="BN295" s="79">
        <v>1805.46</v>
      </c>
      <c r="BO295" s="79">
        <v>1805.46</v>
      </c>
      <c r="BP295" s="79">
        <v>1805.46</v>
      </c>
      <c r="BQ295" s="79">
        <v>1805.46</v>
      </c>
      <c r="BR295" s="79">
        <v>1805.46</v>
      </c>
      <c r="BS295" s="79">
        <v>1805.46</v>
      </c>
      <c r="BT295" s="79">
        <v>16249.139999999996</v>
      </c>
    </row>
    <row r="296" spans="1:72" ht="15" hidden="1" customHeight="1">
      <c r="A296" s="79" t="s">
        <v>2625</v>
      </c>
      <c r="B296" s="79"/>
      <c r="C296" s="79" t="s">
        <v>917</v>
      </c>
      <c r="D296" s="296" t="s">
        <v>917</v>
      </c>
      <c r="E296" s="150" t="s">
        <v>1136</v>
      </c>
      <c r="F296" s="482" t="s">
        <v>1566</v>
      </c>
      <c r="G296" s="383" t="s">
        <v>1344</v>
      </c>
      <c r="H296" s="383" t="s">
        <v>1344</v>
      </c>
      <c r="I296" s="332" t="s">
        <v>1345</v>
      </c>
      <c r="J296" s="383" t="s">
        <v>1344</v>
      </c>
      <c r="K296" s="331" t="s">
        <v>1346</v>
      </c>
      <c r="L296" s="512" t="s">
        <v>639</v>
      </c>
      <c r="M296" s="393" t="s">
        <v>2626</v>
      </c>
      <c r="N296" s="343"/>
      <c r="O296" s="331"/>
      <c r="P296" s="91" t="s">
        <v>918</v>
      </c>
      <c r="Q296" s="343"/>
      <c r="R296" s="343"/>
      <c r="S296" s="348"/>
      <c r="T296" s="386" t="s">
        <v>25</v>
      </c>
      <c r="U296" s="387" t="s">
        <v>1348</v>
      </c>
      <c r="V296" s="432"/>
      <c r="W296" s="358">
        <v>65000</v>
      </c>
      <c r="X296" s="378">
        <v>0</v>
      </c>
      <c r="Y296" s="425"/>
      <c r="Z296" s="71"/>
      <c r="AA296" s="433"/>
      <c r="AB296" s="434"/>
      <c r="AC296" s="434"/>
      <c r="AD296" s="428" t="s">
        <v>1142</v>
      </c>
      <c r="AE296" s="429">
        <v>0</v>
      </c>
      <c r="AF296" s="429">
        <v>0</v>
      </c>
      <c r="AG296" s="388">
        <v>0</v>
      </c>
      <c r="AH296" s="388">
        <v>0</v>
      </c>
      <c r="AI296" s="388">
        <v>0</v>
      </c>
      <c r="AJ296" s="388">
        <v>65000</v>
      </c>
      <c r="AK296" s="388">
        <v>0</v>
      </c>
      <c r="AL296" s="388">
        <v>0</v>
      </c>
      <c r="AM296" s="360">
        <f t="shared" si="10"/>
        <v>65000</v>
      </c>
      <c r="AN296" s="362">
        <f>ERP_2[[#This Row],[2026 Working Total]]-ERP_2[[#This Row],[LE2 Final Submission]]</f>
        <v>65000</v>
      </c>
      <c r="AO296" s="79">
        <v>0</v>
      </c>
      <c r="AP296" s="79">
        <f t="shared" si="11"/>
        <v>0</v>
      </c>
      <c r="AQ296" s="374">
        <f>SUM(ERP_2[[#This Row],[AP01]:[AP06]])-SUM(ERP_2[[#This Row],[AP01 LE2]:[AP06 LE2]])</f>
        <v>0</v>
      </c>
      <c r="AR296" s="80"/>
      <c r="AS296" s="79">
        <f>ERP_2[[#This Row],[2026 Working Total to Budget/LE]]-ERP_2[[#This Row],[Giveback]]</f>
        <v>65000</v>
      </c>
      <c r="AT296" s="81"/>
      <c r="AU296" s="375"/>
      <c r="AV296" s="375"/>
      <c r="AW296" s="375"/>
      <c r="AX296" s="375">
        <v>0</v>
      </c>
      <c r="AY296" s="375">
        <v>0</v>
      </c>
      <c r="AZ296" s="375">
        <v>0</v>
      </c>
      <c r="BA296" s="375">
        <v>0</v>
      </c>
      <c r="BB296" s="375">
        <v>0</v>
      </c>
      <c r="BC296" s="375">
        <v>0</v>
      </c>
      <c r="BD296" s="375">
        <v>0</v>
      </c>
      <c r="BE296" s="375">
        <v>0</v>
      </c>
      <c r="BF296" s="375">
        <v>0</v>
      </c>
      <c r="BG296" s="375">
        <v>0</v>
      </c>
      <c r="BH296" s="103">
        <v>0</v>
      </c>
      <c r="BI296" s="103">
        <v>0</v>
      </c>
      <c r="BJ296" s="103">
        <v>65000</v>
      </c>
      <c r="BK296" s="103">
        <v>0</v>
      </c>
      <c r="BL296" s="103">
        <v>0</v>
      </c>
      <c r="BM296" s="103">
        <v>0</v>
      </c>
      <c r="BN296" s="103">
        <v>0</v>
      </c>
      <c r="BO296" s="103">
        <v>0</v>
      </c>
      <c r="BP296" s="103">
        <v>0</v>
      </c>
      <c r="BQ296" s="103">
        <v>0</v>
      </c>
      <c r="BR296" s="103">
        <v>0</v>
      </c>
      <c r="BS296" s="103">
        <v>0</v>
      </c>
      <c r="BT296" s="79">
        <f>SUM(ERP_2[[#This Row],[2026 AP01]:[2026 AP12]])</f>
        <v>65000</v>
      </c>
    </row>
    <row r="297" spans="1:72" ht="15" hidden="1" customHeight="1">
      <c r="A297" s="79" t="s">
        <v>2627</v>
      </c>
      <c r="B297" s="79"/>
      <c r="C297" s="79" t="s">
        <v>919</v>
      </c>
      <c r="D297" s="296" t="s">
        <v>919</v>
      </c>
      <c r="E297" s="150" t="s">
        <v>1136</v>
      </c>
      <c r="F297" s="482" t="s">
        <v>1566</v>
      </c>
      <c r="G297" s="383" t="s">
        <v>1344</v>
      </c>
      <c r="H297" s="383" t="s">
        <v>1344</v>
      </c>
      <c r="I297" s="332" t="s">
        <v>1345</v>
      </c>
      <c r="J297" s="383" t="s">
        <v>1344</v>
      </c>
      <c r="K297" s="331" t="s">
        <v>1346</v>
      </c>
      <c r="L297" s="512" t="s">
        <v>639</v>
      </c>
      <c r="M297" s="393" t="s">
        <v>2628</v>
      </c>
      <c r="N297" s="343"/>
      <c r="O297" s="331"/>
      <c r="P297" s="91" t="s">
        <v>920</v>
      </c>
      <c r="Q297" s="343"/>
      <c r="R297" s="343"/>
      <c r="S297" s="348"/>
      <c r="T297" s="386" t="s">
        <v>25</v>
      </c>
      <c r="U297" s="387" t="s">
        <v>2629</v>
      </c>
      <c r="V297" s="432"/>
      <c r="W297" s="358">
        <v>32000</v>
      </c>
      <c r="X297" s="378">
        <v>32000</v>
      </c>
      <c r="Y297" s="430"/>
      <c r="Z297" s="137"/>
      <c r="AA297" s="433"/>
      <c r="AB297" s="434"/>
      <c r="AC297" s="434"/>
      <c r="AD297" s="428" t="s">
        <v>1142</v>
      </c>
      <c r="AE297" s="429">
        <v>0</v>
      </c>
      <c r="AF297" s="429">
        <v>0</v>
      </c>
      <c r="AG297" s="388">
        <v>0</v>
      </c>
      <c r="AH297" s="388">
        <v>0</v>
      </c>
      <c r="AI297" s="388">
        <v>0</v>
      </c>
      <c r="AJ297" s="388">
        <v>32000</v>
      </c>
      <c r="AK297" s="388">
        <v>0</v>
      </c>
      <c r="AL297" s="388">
        <v>0</v>
      </c>
      <c r="AM297" s="360">
        <f t="shared" si="10"/>
        <v>32000</v>
      </c>
      <c r="AN297" s="362">
        <f>ERP_2[[#This Row],[2026 Working Total]]-ERP_2[[#This Row],[LE2 Final Submission]]</f>
        <v>0</v>
      </c>
      <c r="AO297" s="79">
        <v>0</v>
      </c>
      <c r="AP297" s="79">
        <f t="shared" si="11"/>
        <v>0</v>
      </c>
      <c r="AQ297" s="374">
        <f>SUM(ERP_2[[#This Row],[AP01]:[AP06]])-SUM(ERP_2[[#This Row],[AP01 LE2]:[AP06 LE2]])</f>
        <v>0</v>
      </c>
      <c r="AR297" s="80"/>
      <c r="AS297" s="79">
        <f>ERP_2[[#This Row],[2026 Working Total to Budget/LE]]-ERP_2[[#This Row],[Giveback]]</f>
        <v>0</v>
      </c>
      <c r="AT297" s="155" t="s">
        <v>2630</v>
      </c>
      <c r="AU297" s="375"/>
      <c r="AV297" s="375"/>
      <c r="AW297" s="375"/>
      <c r="AX297" s="375">
        <v>0</v>
      </c>
      <c r="AY297" s="375">
        <v>0</v>
      </c>
      <c r="AZ297" s="375">
        <v>0</v>
      </c>
      <c r="BA297" s="375">
        <v>0</v>
      </c>
      <c r="BB297" s="375">
        <v>0</v>
      </c>
      <c r="BC297" s="375">
        <v>0</v>
      </c>
      <c r="BD297" s="375">
        <v>32000</v>
      </c>
      <c r="BE297" s="375">
        <v>0</v>
      </c>
      <c r="BF297" s="375">
        <v>0</v>
      </c>
      <c r="BG297" s="375">
        <v>32000</v>
      </c>
      <c r="BH297" s="103">
        <v>0</v>
      </c>
      <c r="BI297" s="103">
        <v>32000</v>
      </c>
      <c r="BJ297" s="103">
        <v>0</v>
      </c>
      <c r="BK297" s="103">
        <v>0</v>
      </c>
      <c r="BL297" s="103">
        <v>0</v>
      </c>
      <c r="BM297" s="103">
        <v>0</v>
      </c>
      <c r="BN297" s="103">
        <v>0</v>
      </c>
      <c r="BO297" s="103">
        <v>0</v>
      </c>
      <c r="BP297" s="103">
        <v>0</v>
      </c>
      <c r="BQ297" s="103">
        <v>0</v>
      </c>
      <c r="BR297" s="103">
        <v>0</v>
      </c>
      <c r="BS297" s="103">
        <v>0</v>
      </c>
      <c r="BT297" s="79">
        <f>SUM(ERP_2[[#This Row],[2026 AP01]:[2026 AP12]])</f>
        <v>32000</v>
      </c>
    </row>
    <row r="298" spans="1:72" ht="15" hidden="1" customHeight="1">
      <c r="A298" s="66" t="s">
        <v>2631</v>
      </c>
      <c r="B298" s="66"/>
      <c r="C298" s="66" t="s">
        <v>921</v>
      </c>
      <c r="D298" s="66" t="s">
        <v>921</v>
      </c>
      <c r="E298" s="150" t="s">
        <v>1136</v>
      </c>
      <c r="F298" s="482" t="s">
        <v>1566</v>
      </c>
      <c r="G298" s="383" t="s">
        <v>1344</v>
      </c>
      <c r="H298" s="383" t="s">
        <v>1344</v>
      </c>
      <c r="I298" s="150" t="s">
        <v>1345</v>
      </c>
      <c r="J298" s="150" t="s">
        <v>1344</v>
      </c>
      <c r="K298" s="150" t="s">
        <v>1346</v>
      </c>
      <c r="L298" s="511" t="s">
        <v>639</v>
      </c>
      <c r="M298" s="392" t="s">
        <v>2632</v>
      </c>
      <c r="N298" s="343"/>
      <c r="O298" s="343"/>
      <c r="P298" s="70" t="s">
        <v>922</v>
      </c>
      <c r="Q298" s="346"/>
      <c r="R298" s="343"/>
      <c r="S298" s="346"/>
      <c r="T298" s="150" t="s">
        <v>25</v>
      </c>
      <c r="U298" s="150"/>
      <c r="V298" s="403"/>
      <c r="W298" s="406">
        <v>5000</v>
      </c>
      <c r="X298" s="406">
        <v>5000</v>
      </c>
      <c r="Y298" s="425"/>
      <c r="Z298" s="71"/>
      <c r="AA298" s="426"/>
      <c r="AB298" s="427"/>
      <c r="AC298" s="427"/>
      <c r="AD298" s="428" t="s">
        <v>1142</v>
      </c>
      <c r="AE298" s="429">
        <v>0</v>
      </c>
      <c r="AF298" s="429">
        <v>0</v>
      </c>
      <c r="AG298" s="363"/>
      <c r="AH298" s="363"/>
      <c r="AI298" s="363">
        <v>5000</v>
      </c>
      <c r="AJ298" s="360">
        <v>0</v>
      </c>
      <c r="AK298" s="360">
        <v>0</v>
      </c>
      <c r="AL298" s="360">
        <v>0</v>
      </c>
      <c r="AM298" s="360">
        <f t="shared" si="10"/>
        <v>5000</v>
      </c>
      <c r="AN298" s="362">
        <f>ERP_2[[#This Row],[2026 Working Total]]-ERP_2[[#This Row],[LE2 Final Submission]]</f>
        <v>0</v>
      </c>
      <c r="AO298" s="79"/>
      <c r="AP298" s="79">
        <f t="shared" si="11"/>
        <v>0</v>
      </c>
      <c r="AQ298" s="374">
        <f>SUM(ERP_2[[#This Row],[AP01]:[AP06]])-SUM(ERP_2[[#This Row],[AP01 LE2]:[AP06 LE2]])</f>
        <v>0</v>
      </c>
      <c r="AR298" s="80"/>
      <c r="AS298" s="79">
        <f>ERP_2[[#This Row],[2026 Working Total to Budget/LE]]-ERP_2[[#This Row],[Giveback]]</f>
        <v>0</v>
      </c>
      <c r="AT298" s="81"/>
      <c r="AU298" s="375"/>
      <c r="AV298" s="375"/>
      <c r="AW298" s="375"/>
      <c r="AX298" s="375"/>
      <c r="AY298" s="375"/>
      <c r="AZ298" s="375"/>
      <c r="BA298" s="375"/>
      <c r="BB298" s="375"/>
      <c r="BC298" s="375">
        <v>5000</v>
      </c>
      <c r="BD298" s="375">
        <v>0</v>
      </c>
      <c r="BE298" s="375">
        <v>0</v>
      </c>
      <c r="BF298" s="375">
        <v>0</v>
      </c>
      <c r="BG298" s="375">
        <v>5000</v>
      </c>
      <c r="BH298" s="79"/>
      <c r="BI298" s="79"/>
      <c r="BJ298" s="79"/>
      <c r="BK298" s="79"/>
      <c r="BL298" s="79"/>
      <c r="BM298" s="79"/>
      <c r="BN298" s="79"/>
      <c r="BO298" s="79"/>
      <c r="BP298" s="79">
        <v>5000</v>
      </c>
      <c r="BQ298" s="79">
        <v>0</v>
      </c>
      <c r="BR298" s="79">
        <v>0</v>
      </c>
      <c r="BS298" s="79">
        <v>0</v>
      </c>
      <c r="BT298" s="79">
        <v>5000</v>
      </c>
    </row>
    <row r="299" spans="1:72" ht="15" hidden="1" customHeight="1">
      <c r="A299" s="66" t="s">
        <v>2633</v>
      </c>
      <c r="B299" s="66"/>
      <c r="C299" s="66" t="s">
        <v>923</v>
      </c>
      <c r="D299" s="66" t="s">
        <v>923</v>
      </c>
      <c r="E299" s="150" t="s">
        <v>1136</v>
      </c>
      <c r="F299" s="482" t="s">
        <v>1566</v>
      </c>
      <c r="G299" s="383" t="s">
        <v>1344</v>
      </c>
      <c r="H299" s="383" t="s">
        <v>1344</v>
      </c>
      <c r="I299" s="150" t="s">
        <v>1345</v>
      </c>
      <c r="J299" s="150" t="s">
        <v>1344</v>
      </c>
      <c r="K299" s="150" t="s">
        <v>1346</v>
      </c>
      <c r="L299" s="511" t="s">
        <v>639</v>
      </c>
      <c r="M299" s="392" t="s">
        <v>2634</v>
      </c>
      <c r="N299" s="343"/>
      <c r="O299" s="343"/>
      <c r="P299" s="70" t="s">
        <v>924</v>
      </c>
      <c r="Q299" s="346"/>
      <c r="R299" s="343"/>
      <c r="S299" s="346"/>
      <c r="T299" s="150" t="s">
        <v>25</v>
      </c>
      <c r="U299" s="150"/>
      <c r="V299" s="403"/>
      <c r="W299" s="406">
        <v>6000</v>
      </c>
      <c r="X299" s="406">
        <v>4500</v>
      </c>
      <c r="Y299" s="425"/>
      <c r="Z299" s="71"/>
      <c r="AA299" s="426"/>
      <c r="AB299" s="427"/>
      <c r="AC299" s="427"/>
      <c r="AD299" s="428" t="s">
        <v>1142</v>
      </c>
      <c r="AE299" s="429">
        <v>0</v>
      </c>
      <c r="AF299" s="429">
        <v>2323.36</v>
      </c>
      <c r="AG299" s="360">
        <v>0</v>
      </c>
      <c r="AH299" s="360">
        <v>0</v>
      </c>
      <c r="AI299" s="363">
        <v>1500</v>
      </c>
      <c r="AJ299" s="360">
        <v>0</v>
      </c>
      <c r="AK299" s="360">
        <v>0</v>
      </c>
      <c r="AL299" s="363">
        <v>1500</v>
      </c>
      <c r="AM299" s="360">
        <f t="shared" si="10"/>
        <v>5323.3600000000006</v>
      </c>
      <c r="AN299" s="362">
        <f>ERP_2[[#This Row],[2026 Working Total]]-ERP_2[[#This Row],[LE2 Final Submission]]</f>
        <v>823.36000000000058</v>
      </c>
      <c r="AO299" s="79"/>
      <c r="AP299" s="79">
        <f t="shared" si="11"/>
        <v>2323.36</v>
      </c>
      <c r="AQ299" s="374">
        <f>SUM(ERP_2[[#This Row],[AP01]:[AP06]])-SUM(ERP_2[[#This Row],[AP01 LE2]:[AP06 LE2]])</f>
        <v>823.36000000000013</v>
      </c>
      <c r="AR299" s="80"/>
      <c r="AS299" s="79">
        <f>ERP_2[[#This Row],[2026 Working Total to Budget/LE]]-ERP_2[[#This Row],[Giveback]]</f>
        <v>823.36000000000058</v>
      </c>
      <c r="AT299" s="81"/>
      <c r="AU299" s="375"/>
      <c r="AV299" s="375"/>
      <c r="AW299" s="375"/>
      <c r="AX299" s="375"/>
      <c r="AY299" s="375"/>
      <c r="AZ299" s="375">
        <v>1500</v>
      </c>
      <c r="BA299" s="375">
        <v>0</v>
      </c>
      <c r="BB299" s="375">
        <v>0</v>
      </c>
      <c r="BC299" s="375">
        <v>1500</v>
      </c>
      <c r="BD299" s="375">
        <v>0</v>
      </c>
      <c r="BE299" s="375">
        <v>0</v>
      </c>
      <c r="BF299" s="375">
        <v>1500</v>
      </c>
      <c r="BG299" s="375">
        <v>4500</v>
      </c>
      <c r="BH299" s="79"/>
      <c r="BI299" s="79"/>
      <c r="BJ299" s="79"/>
      <c r="BK299" s="79"/>
      <c r="BL299" s="79"/>
      <c r="BM299" s="79">
        <v>1500</v>
      </c>
      <c r="BN299" s="79">
        <v>0</v>
      </c>
      <c r="BO299" s="79">
        <v>0</v>
      </c>
      <c r="BP299" s="79">
        <v>1500</v>
      </c>
      <c r="BQ299" s="79">
        <v>0</v>
      </c>
      <c r="BR299" s="79">
        <v>0</v>
      </c>
      <c r="BS299" s="79">
        <v>1500</v>
      </c>
      <c r="BT299" s="79">
        <v>4500</v>
      </c>
    </row>
    <row r="300" spans="1:72" ht="15" hidden="1" customHeight="1">
      <c r="A300" s="79" t="s">
        <v>2635</v>
      </c>
      <c r="B300" s="79"/>
      <c r="C300" s="79" t="s">
        <v>925</v>
      </c>
      <c r="D300" s="296" t="s">
        <v>925</v>
      </c>
      <c r="E300" s="150" t="s">
        <v>1136</v>
      </c>
      <c r="F300" s="482" t="s">
        <v>1566</v>
      </c>
      <c r="G300" s="383" t="s">
        <v>1344</v>
      </c>
      <c r="H300" s="383" t="s">
        <v>1344</v>
      </c>
      <c r="I300" s="332" t="s">
        <v>1345</v>
      </c>
      <c r="J300" s="383" t="s">
        <v>1344</v>
      </c>
      <c r="K300" s="331" t="s">
        <v>1346</v>
      </c>
      <c r="L300" s="512" t="s">
        <v>639</v>
      </c>
      <c r="M300" s="393" t="s">
        <v>2636</v>
      </c>
      <c r="N300" s="343" t="s">
        <v>2637</v>
      </c>
      <c r="O300" s="150" t="s">
        <v>1363</v>
      </c>
      <c r="P300" s="91" t="s">
        <v>926</v>
      </c>
      <c r="Q300" s="343"/>
      <c r="R300" s="346" t="s">
        <v>2638</v>
      </c>
      <c r="S300" s="346" t="s">
        <v>1710</v>
      </c>
      <c r="T300" s="386" t="s">
        <v>863</v>
      </c>
      <c r="U300" s="346" t="s">
        <v>2639</v>
      </c>
      <c r="V300" s="437"/>
      <c r="W300" s="358">
        <v>111372.91</v>
      </c>
      <c r="X300" s="378">
        <v>0</v>
      </c>
      <c r="Y300" s="430"/>
      <c r="Z300" s="137"/>
      <c r="AA300" s="433"/>
      <c r="AB300" s="434"/>
      <c r="AC300" s="434"/>
      <c r="AD300" s="428" t="s">
        <v>1142</v>
      </c>
      <c r="AE300" s="429">
        <v>0</v>
      </c>
      <c r="AF300" s="429">
        <v>0</v>
      </c>
      <c r="AG300" s="388">
        <v>0</v>
      </c>
      <c r="AH300" s="388">
        <v>0</v>
      </c>
      <c r="AI300" s="388">
        <v>0</v>
      </c>
      <c r="AJ300" s="388">
        <f>115000-115000</f>
        <v>0</v>
      </c>
      <c r="AK300" s="388">
        <v>0</v>
      </c>
      <c r="AL300" s="364"/>
      <c r="AM300" s="360">
        <f t="shared" si="10"/>
        <v>0</v>
      </c>
      <c r="AN300" s="362">
        <f>ERP_2[[#This Row],[2026 Working Total]]-ERP_2[[#This Row],[LE2 Final Submission]]</f>
        <v>0</v>
      </c>
      <c r="AO300" s="79">
        <v>0</v>
      </c>
      <c r="AP300" s="79">
        <f t="shared" si="11"/>
        <v>0</v>
      </c>
      <c r="AQ300" s="374">
        <f>SUM(ERP_2[[#This Row],[AP01]:[AP06]])-SUM(ERP_2[[#This Row],[AP01 LE2]:[AP06 LE2]])</f>
        <v>0</v>
      </c>
      <c r="AR300" s="80"/>
      <c r="AS300" s="79">
        <f>ERP_2[[#This Row],[2026 Working Total to Budget/LE]]-ERP_2[[#This Row],[Giveback]]</f>
        <v>0</v>
      </c>
      <c r="AT300" s="81" t="s">
        <v>2640</v>
      </c>
      <c r="AU300" s="375"/>
      <c r="AV300" s="375"/>
      <c r="AW300" s="375"/>
      <c r="AX300" s="375">
        <v>0</v>
      </c>
      <c r="AY300" s="375">
        <v>0</v>
      </c>
      <c r="AZ300" s="375">
        <v>0</v>
      </c>
      <c r="BA300" s="375">
        <v>0</v>
      </c>
      <c r="BB300" s="375">
        <v>0</v>
      </c>
      <c r="BC300" s="375">
        <v>0</v>
      </c>
      <c r="BD300" s="375">
        <v>0</v>
      </c>
      <c r="BE300" s="375">
        <v>0</v>
      </c>
      <c r="BF300" s="375"/>
      <c r="BG300" s="375">
        <v>0</v>
      </c>
      <c r="BH300" s="103">
        <v>111372.91</v>
      </c>
      <c r="BI300" s="103">
        <v>0</v>
      </c>
      <c r="BJ300" s="103">
        <v>0</v>
      </c>
      <c r="BK300" s="103">
        <v>0</v>
      </c>
      <c r="BL300" s="103">
        <v>0</v>
      </c>
      <c r="BM300" s="103">
        <v>0</v>
      </c>
      <c r="BN300" s="103">
        <v>0</v>
      </c>
      <c r="BO300" s="103">
        <v>0</v>
      </c>
      <c r="BP300" s="103">
        <v>0</v>
      </c>
      <c r="BQ300" s="103">
        <v>0</v>
      </c>
      <c r="BR300" s="103">
        <v>0</v>
      </c>
      <c r="BS300" s="103">
        <v>0</v>
      </c>
      <c r="BT300" s="79">
        <f>SUM(ERP_2[[#This Row],[2026 AP01]:[2026 AP12]])</f>
        <v>111372.91</v>
      </c>
    </row>
    <row r="301" spans="1:72" ht="15" hidden="1" customHeight="1">
      <c r="A301" s="79" t="s">
        <v>2641</v>
      </c>
      <c r="B301" s="79"/>
      <c r="C301" s="79" t="s">
        <v>927</v>
      </c>
      <c r="D301" s="296" t="s">
        <v>927</v>
      </c>
      <c r="E301" s="150" t="s">
        <v>1136</v>
      </c>
      <c r="F301" s="482" t="s">
        <v>1566</v>
      </c>
      <c r="G301" s="383" t="s">
        <v>1344</v>
      </c>
      <c r="H301" s="383" t="s">
        <v>1344</v>
      </c>
      <c r="I301" s="332" t="s">
        <v>1345</v>
      </c>
      <c r="J301" s="383" t="s">
        <v>1344</v>
      </c>
      <c r="K301" s="331" t="s">
        <v>1346</v>
      </c>
      <c r="L301" s="512" t="s">
        <v>639</v>
      </c>
      <c r="M301" s="393" t="s">
        <v>2642</v>
      </c>
      <c r="N301" s="343" t="s">
        <v>2637</v>
      </c>
      <c r="O301" s="150" t="s">
        <v>1363</v>
      </c>
      <c r="P301" s="91" t="s">
        <v>928</v>
      </c>
      <c r="Q301" s="343"/>
      <c r="R301" s="346" t="s">
        <v>2638</v>
      </c>
      <c r="S301" s="346" t="s">
        <v>1710</v>
      </c>
      <c r="T301" s="386" t="s">
        <v>863</v>
      </c>
      <c r="U301" s="346" t="s">
        <v>2643</v>
      </c>
      <c r="V301" s="437"/>
      <c r="W301" s="358">
        <v>-111372.91</v>
      </c>
      <c r="X301" s="378">
        <v>0</v>
      </c>
      <c r="Y301" s="425"/>
      <c r="Z301" s="71"/>
      <c r="AA301" s="433"/>
      <c r="AB301" s="434"/>
      <c r="AC301" s="434"/>
      <c r="AD301" s="428" t="s">
        <v>1142</v>
      </c>
      <c r="AE301" s="429">
        <v>0</v>
      </c>
      <c r="AF301" s="429">
        <v>0</v>
      </c>
      <c r="AG301" s="388">
        <v>0</v>
      </c>
      <c r="AH301" s="388">
        <v>0</v>
      </c>
      <c r="AI301" s="388">
        <v>0</v>
      </c>
      <c r="AJ301" s="388">
        <f>-115000+115000</f>
        <v>0</v>
      </c>
      <c r="AK301" s="388">
        <v>0</v>
      </c>
      <c r="AL301" s="388">
        <v>0</v>
      </c>
      <c r="AM301" s="360">
        <f t="shared" si="10"/>
        <v>0</v>
      </c>
      <c r="AN301" s="362">
        <f>ERP_2[[#This Row],[2026 Working Total]]-ERP_2[[#This Row],[LE2 Final Submission]]</f>
        <v>0</v>
      </c>
      <c r="AO301" s="79">
        <v>0</v>
      </c>
      <c r="AP301" s="79">
        <f t="shared" si="11"/>
        <v>0</v>
      </c>
      <c r="AQ301" s="374">
        <f>SUM(ERP_2[[#This Row],[AP01]:[AP06]])-SUM(ERP_2[[#This Row],[AP01 LE2]:[AP06 LE2]])</f>
        <v>0</v>
      </c>
      <c r="AR301" s="80"/>
      <c r="AS301" s="79">
        <f>ERP_2[[#This Row],[2026 Working Total to Budget/LE]]-ERP_2[[#This Row],[Giveback]]</f>
        <v>0</v>
      </c>
      <c r="AT301" s="81" t="s">
        <v>2640</v>
      </c>
      <c r="AU301" s="375"/>
      <c r="AV301" s="375"/>
      <c r="AW301" s="375"/>
      <c r="AX301" s="375">
        <v>0</v>
      </c>
      <c r="AY301" s="375">
        <v>0</v>
      </c>
      <c r="AZ301" s="375">
        <v>0</v>
      </c>
      <c r="BA301" s="375">
        <v>0</v>
      </c>
      <c r="BB301" s="375">
        <v>0</v>
      </c>
      <c r="BC301" s="375">
        <v>0</v>
      </c>
      <c r="BD301" s="375">
        <v>0</v>
      </c>
      <c r="BE301" s="375">
        <v>0</v>
      </c>
      <c r="BF301" s="375">
        <v>0</v>
      </c>
      <c r="BG301" s="375">
        <v>0</v>
      </c>
      <c r="BH301" s="103">
        <v>-111372.91</v>
      </c>
      <c r="BI301" s="103">
        <v>0</v>
      </c>
      <c r="BJ301" s="103">
        <v>0</v>
      </c>
      <c r="BK301" s="103">
        <v>0</v>
      </c>
      <c r="BL301" s="103">
        <v>0</v>
      </c>
      <c r="BM301" s="103">
        <v>0</v>
      </c>
      <c r="BN301" s="103">
        <v>0</v>
      </c>
      <c r="BO301" s="103">
        <v>0</v>
      </c>
      <c r="BP301" s="103">
        <v>0</v>
      </c>
      <c r="BQ301" s="103">
        <v>0</v>
      </c>
      <c r="BR301" s="103">
        <v>0</v>
      </c>
      <c r="BS301" s="103">
        <v>0</v>
      </c>
      <c r="BT301" s="79">
        <f>SUM(ERP_2[[#This Row],[2026 AP01]:[2026 AP12]])</f>
        <v>-111372.91</v>
      </c>
    </row>
    <row r="302" spans="1:72" ht="15" hidden="1" customHeight="1">
      <c r="A302" s="66" t="s">
        <v>2644</v>
      </c>
      <c r="B302" s="66"/>
      <c r="C302" s="66" t="s">
        <v>929</v>
      </c>
      <c r="D302" s="66" t="s">
        <v>929</v>
      </c>
      <c r="E302" s="150" t="s">
        <v>1136</v>
      </c>
      <c r="F302" s="482" t="s">
        <v>1566</v>
      </c>
      <c r="G302" s="383" t="s">
        <v>1344</v>
      </c>
      <c r="H302" s="383" t="s">
        <v>1344</v>
      </c>
      <c r="I302" s="150" t="s">
        <v>1345</v>
      </c>
      <c r="J302" s="150" t="s">
        <v>1344</v>
      </c>
      <c r="K302" s="150" t="s">
        <v>1346</v>
      </c>
      <c r="L302" s="511" t="s">
        <v>639</v>
      </c>
      <c r="M302" s="392" t="s">
        <v>2645</v>
      </c>
      <c r="N302" s="343"/>
      <c r="O302" s="343"/>
      <c r="P302" s="70" t="s">
        <v>930</v>
      </c>
      <c r="Q302" s="346"/>
      <c r="R302" s="343"/>
      <c r="S302" s="346"/>
      <c r="T302" s="150" t="s">
        <v>677</v>
      </c>
      <c r="U302" s="150"/>
      <c r="V302" s="403"/>
      <c r="W302" s="406">
        <v>0</v>
      </c>
      <c r="X302" s="406">
        <v>227</v>
      </c>
      <c r="Y302" s="425"/>
      <c r="Z302" s="71"/>
      <c r="AA302" s="426"/>
      <c r="AB302" s="427">
        <v>227</v>
      </c>
      <c r="AC302" s="431">
        <v>0</v>
      </c>
      <c r="AD302" s="428">
        <v>0</v>
      </c>
      <c r="AE302" s="429">
        <v>0</v>
      </c>
      <c r="AF302" s="429">
        <v>0</v>
      </c>
      <c r="AG302" s="360">
        <v>0</v>
      </c>
      <c r="AH302" s="360">
        <v>0</v>
      </c>
      <c r="AI302" s="360">
        <v>0</v>
      </c>
      <c r="AJ302" s="360">
        <v>0</v>
      </c>
      <c r="AK302" s="360">
        <v>0</v>
      </c>
      <c r="AL302" s="360">
        <v>0</v>
      </c>
      <c r="AM302" s="360">
        <f t="shared" si="10"/>
        <v>227</v>
      </c>
      <c r="AN302" s="362">
        <f>ERP_2[[#This Row],[2026 Working Total]]-ERP_2[[#This Row],[LE2 Final Submission]]</f>
        <v>0</v>
      </c>
      <c r="AO302" s="79">
        <v>0</v>
      </c>
      <c r="AP302" s="79">
        <f t="shared" si="11"/>
        <v>0</v>
      </c>
      <c r="AQ302" s="374">
        <f>SUM(ERP_2[[#This Row],[AP01]:[AP06]])-SUM(ERP_2[[#This Row],[AP01 LE2]:[AP06 LE2]])</f>
        <v>0</v>
      </c>
      <c r="AR302" s="80"/>
      <c r="AS302" s="79">
        <f>ERP_2[[#This Row],[2026 Working Total to Budget/LE]]-ERP_2[[#This Row],[Giveback]]</f>
        <v>0</v>
      </c>
      <c r="AT302" s="81"/>
      <c r="AU302" s="375"/>
      <c r="AV302" s="375">
        <v>227</v>
      </c>
      <c r="AW302" s="375">
        <v>0</v>
      </c>
      <c r="AX302" s="375">
        <v>0</v>
      </c>
      <c r="AY302" s="375">
        <v>0</v>
      </c>
      <c r="AZ302" s="375">
        <v>0</v>
      </c>
      <c r="BA302" s="375">
        <v>0</v>
      </c>
      <c r="BB302" s="375">
        <v>0</v>
      </c>
      <c r="BC302" s="375">
        <v>0</v>
      </c>
      <c r="BD302" s="375">
        <v>0</v>
      </c>
      <c r="BE302" s="375">
        <v>0</v>
      </c>
      <c r="BF302" s="375">
        <v>0</v>
      </c>
      <c r="BG302" s="375">
        <v>227</v>
      </c>
      <c r="BH302" s="79"/>
      <c r="BI302" s="79">
        <v>227</v>
      </c>
      <c r="BJ302" s="79">
        <v>0</v>
      </c>
      <c r="BK302" s="79">
        <v>0</v>
      </c>
      <c r="BL302" s="79">
        <v>0</v>
      </c>
      <c r="BM302" s="79">
        <v>0</v>
      </c>
      <c r="BN302" s="79">
        <v>0</v>
      </c>
      <c r="BO302" s="79">
        <v>0</v>
      </c>
      <c r="BP302" s="79">
        <v>0</v>
      </c>
      <c r="BQ302" s="79">
        <v>0</v>
      </c>
      <c r="BR302" s="79">
        <v>0</v>
      </c>
      <c r="BS302" s="79">
        <v>0</v>
      </c>
      <c r="BT302" s="79">
        <v>227</v>
      </c>
    </row>
    <row r="303" spans="1:72" ht="15" hidden="1" customHeight="1">
      <c r="A303" s="66" t="s">
        <v>2646</v>
      </c>
      <c r="B303" s="66"/>
      <c r="C303" s="66" t="s">
        <v>931</v>
      </c>
      <c r="D303" s="66" t="s">
        <v>931</v>
      </c>
      <c r="E303" s="150" t="s">
        <v>1136</v>
      </c>
      <c r="F303" s="482" t="s">
        <v>1566</v>
      </c>
      <c r="G303" s="383" t="s">
        <v>1344</v>
      </c>
      <c r="H303" s="383" t="s">
        <v>1344</v>
      </c>
      <c r="I303" s="150" t="s">
        <v>1345</v>
      </c>
      <c r="J303" s="150" t="s">
        <v>1344</v>
      </c>
      <c r="K303" s="150" t="s">
        <v>1346</v>
      </c>
      <c r="L303" s="511" t="s">
        <v>639</v>
      </c>
      <c r="M303" s="392" t="s">
        <v>1327</v>
      </c>
      <c r="N303" s="343"/>
      <c r="O303" s="343"/>
      <c r="P303" s="70" t="s">
        <v>147</v>
      </c>
      <c r="Q303" s="346"/>
      <c r="R303" s="343"/>
      <c r="S303" s="346"/>
      <c r="T303" s="150" t="s">
        <v>25</v>
      </c>
      <c r="U303" s="150"/>
      <c r="V303" s="403"/>
      <c r="W303" s="406">
        <v>0</v>
      </c>
      <c r="X303" s="406">
        <v>44.39</v>
      </c>
      <c r="Y303" s="430"/>
      <c r="Z303" s="137"/>
      <c r="AA303" s="426">
        <v>44.95</v>
      </c>
      <c r="AB303" s="427">
        <v>-0.67</v>
      </c>
      <c r="AC303" s="427">
        <v>0.11</v>
      </c>
      <c r="AD303" s="428">
        <v>0.56000000000000005</v>
      </c>
      <c r="AE303" s="429">
        <v>-0.46</v>
      </c>
      <c r="AF303" s="429">
        <v>0.08</v>
      </c>
      <c r="AG303" s="360">
        <v>0</v>
      </c>
      <c r="AH303" s="360">
        <v>0</v>
      </c>
      <c r="AI303" s="360">
        <v>0</v>
      </c>
      <c r="AJ303" s="360">
        <v>0</v>
      </c>
      <c r="AK303" s="360">
        <v>0</v>
      </c>
      <c r="AL303" s="360">
        <v>0</v>
      </c>
      <c r="AM303" s="360">
        <f t="shared" si="10"/>
        <v>44.57</v>
      </c>
      <c r="AN303" s="362">
        <f>ERP_2[[#This Row],[2026 Working Total]]-ERP_2[[#This Row],[LE2 Final Submission]]</f>
        <v>0.17999999999999972</v>
      </c>
      <c r="AO303" s="79">
        <v>0</v>
      </c>
      <c r="AP303" s="79">
        <f t="shared" si="11"/>
        <v>0.08</v>
      </c>
      <c r="AQ303" s="374">
        <f>SUM(ERP_2[[#This Row],[AP01]:[AP06]])-SUM(ERP_2[[#This Row],[AP01 LE2]:[AP06 LE2]])</f>
        <v>0.17999999999999972</v>
      </c>
      <c r="AR303" s="80"/>
      <c r="AS303" s="79">
        <f>ERP_2[[#This Row],[2026 Working Total to Budget/LE]]-ERP_2[[#This Row],[Giveback]]</f>
        <v>0.17999999999999972</v>
      </c>
      <c r="AT303" s="81"/>
      <c r="AU303" s="375">
        <v>44.95</v>
      </c>
      <c r="AV303" s="375">
        <v>-0.67</v>
      </c>
      <c r="AW303" s="375">
        <v>0.11</v>
      </c>
      <c r="AX303" s="375">
        <v>0</v>
      </c>
      <c r="AY303" s="375">
        <v>0</v>
      </c>
      <c r="AZ303" s="375">
        <v>0</v>
      </c>
      <c r="BA303" s="375">
        <v>0</v>
      </c>
      <c r="BB303" s="375">
        <v>0</v>
      </c>
      <c r="BC303" s="375">
        <v>0</v>
      </c>
      <c r="BD303" s="375">
        <v>0</v>
      </c>
      <c r="BE303" s="375">
        <v>0</v>
      </c>
      <c r="BF303" s="375">
        <v>0</v>
      </c>
      <c r="BG303" s="375">
        <v>44.39</v>
      </c>
      <c r="BH303" s="79">
        <v>44.95</v>
      </c>
      <c r="BI303" s="79">
        <v>-0.67</v>
      </c>
      <c r="BJ303" s="79">
        <v>0.11</v>
      </c>
      <c r="BK303" s="79">
        <v>0</v>
      </c>
      <c r="BL303" s="79">
        <v>0</v>
      </c>
      <c r="BM303" s="79">
        <v>0</v>
      </c>
      <c r="BN303" s="79">
        <v>0</v>
      </c>
      <c r="BO303" s="79">
        <v>0</v>
      </c>
      <c r="BP303" s="79">
        <v>0</v>
      </c>
      <c r="BQ303" s="79">
        <v>0</v>
      </c>
      <c r="BR303" s="79">
        <v>0</v>
      </c>
      <c r="BS303" s="79">
        <v>0</v>
      </c>
      <c r="BT303" s="79">
        <v>44.39</v>
      </c>
    </row>
    <row r="304" spans="1:72" ht="15" hidden="1" customHeight="1">
      <c r="A304" s="79" t="s">
        <v>1431</v>
      </c>
      <c r="B304" s="79"/>
      <c r="C304" s="79" t="s">
        <v>197</v>
      </c>
      <c r="D304" s="296" t="s">
        <v>197</v>
      </c>
      <c r="E304" s="150" t="s">
        <v>1136</v>
      </c>
      <c r="F304" s="482" t="s">
        <v>1566</v>
      </c>
      <c r="G304" s="150" t="s">
        <v>1345</v>
      </c>
      <c r="H304" s="150" t="s">
        <v>1345</v>
      </c>
      <c r="I304" s="332" t="s">
        <v>1345</v>
      </c>
      <c r="J304" s="383" t="s">
        <v>1345</v>
      </c>
      <c r="K304" s="331" t="s">
        <v>1346</v>
      </c>
      <c r="L304" s="512" t="s">
        <v>49</v>
      </c>
      <c r="M304" s="393" t="s">
        <v>1138</v>
      </c>
      <c r="N304" s="343"/>
      <c r="O304" s="331"/>
      <c r="P304" s="91" t="s">
        <v>51</v>
      </c>
      <c r="Q304" s="346" t="s">
        <v>1139</v>
      </c>
      <c r="R304" s="346" t="s">
        <v>1140</v>
      </c>
      <c r="S304" s="348"/>
      <c r="T304" s="386" t="s">
        <v>25</v>
      </c>
      <c r="U304" s="387" t="s">
        <v>1348</v>
      </c>
      <c r="V304" s="432"/>
      <c r="W304" s="358">
        <v>437.38</v>
      </c>
      <c r="X304" s="378">
        <v>0</v>
      </c>
      <c r="Y304" s="430"/>
      <c r="Z304" s="137"/>
      <c r="AA304" s="433"/>
      <c r="AB304" s="434"/>
      <c r="AC304" s="434"/>
      <c r="AD304" s="428" t="s">
        <v>1142</v>
      </c>
      <c r="AE304" s="429">
        <v>0</v>
      </c>
      <c r="AF304" s="429">
        <v>0</v>
      </c>
      <c r="AG304" s="388">
        <v>0</v>
      </c>
      <c r="AH304" s="388">
        <v>0</v>
      </c>
      <c r="AI304" s="388">
        <v>0</v>
      </c>
      <c r="AJ304" s="388">
        <v>0</v>
      </c>
      <c r="AK304" s="388">
        <v>0</v>
      </c>
      <c r="AL304" s="388">
        <v>0</v>
      </c>
      <c r="AM304" s="360">
        <f t="shared" si="10"/>
        <v>0</v>
      </c>
      <c r="AN304" s="362">
        <f>ERP_2[[#This Row],[2026 Working Total]]-ERP_2[[#This Row],[LE2 Final Submission]]</f>
        <v>0</v>
      </c>
      <c r="AO304" s="79">
        <v>0</v>
      </c>
      <c r="AP304" s="79">
        <f t="shared" si="11"/>
        <v>0</v>
      </c>
      <c r="AQ304" s="374">
        <f>SUM(ERP_2[[#This Row],[AP01]:[AP06]])-SUM(ERP_2[[#This Row],[AP01 LE2]:[AP06 LE2]])</f>
        <v>0</v>
      </c>
      <c r="AR304" s="80"/>
      <c r="AS304" s="79">
        <f>ERP_2[[#This Row],[2026 Working Total to Budget/LE]]-ERP_2[[#This Row],[Giveback]]</f>
        <v>0</v>
      </c>
      <c r="AT304" s="81"/>
      <c r="AU304" s="375"/>
      <c r="AV304" s="375"/>
      <c r="AW304" s="375"/>
      <c r="AX304" s="375">
        <v>0</v>
      </c>
      <c r="AY304" s="375">
        <v>0</v>
      </c>
      <c r="AZ304" s="375">
        <v>0</v>
      </c>
      <c r="BA304" s="375">
        <v>0</v>
      </c>
      <c r="BB304" s="375">
        <v>0</v>
      </c>
      <c r="BC304" s="375">
        <v>0</v>
      </c>
      <c r="BD304" s="375">
        <v>0</v>
      </c>
      <c r="BE304" s="375">
        <v>0</v>
      </c>
      <c r="BF304" s="375">
        <v>0</v>
      </c>
      <c r="BG304" s="375">
        <v>0</v>
      </c>
      <c r="BH304" s="103">
        <v>0</v>
      </c>
      <c r="BI304" s="103">
        <v>437.38</v>
      </c>
      <c r="BJ304" s="103">
        <v>0</v>
      </c>
      <c r="BK304" s="103">
        <v>0</v>
      </c>
      <c r="BL304" s="103">
        <v>0</v>
      </c>
      <c r="BM304" s="103">
        <v>0</v>
      </c>
      <c r="BN304" s="103">
        <v>0</v>
      </c>
      <c r="BO304" s="103">
        <v>0</v>
      </c>
      <c r="BP304" s="103">
        <v>0</v>
      </c>
      <c r="BQ304" s="103">
        <v>0</v>
      </c>
      <c r="BR304" s="103">
        <v>0</v>
      </c>
      <c r="BS304" s="103">
        <v>0</v>
      </c>
      <c r="BT304" s="79">
        <f>SUM(ERP_2[[#This Row],[2026 AP01]:[2026 AP12]])</f>
        <v>437.38</v>
      </c>
    </row>
    <row r="305" spans="1:72" ht="15" hidden="1" customHeight="1">
      <c r="A305" s="66" t="s">
        <v>1432</v>
      </c>
      <c r="B305" s="66"/>
      <c r="C305" s="66" t="s">
        <v>198</v>
      </c>
      <c r="D305" s="66" t="s">
        <v>198</v>
      </c>
      <c r="E305" s="150" t="s">
        <v>1136</v>
      </c>
      <c r="F305" s="482" t="s">
        <v>1566</v>
      </c>
      <c r="G305" s="150" t="s">
        <v>1345</v>
      </c>
      <c r="H305" s="150" t="s">
        <v>1345</v>
      </c>
      <c r="I305" s="150" t="s">
        <v>1345</v>
      </c>
      <c r="J305" s="150" t="s">
        <v>1345</v>
      </c>
      <c r="K305" s="150" t="s">
        <v>1346</v>
      </c>
      <c r="L305" s="511" t="s">
        <v>49</v>
      </c>
      <c r="M305" s="392" t="s">
        <v>1147</v>
      </c>
      <c r="N305" s="343"/>
      <c r="O305" s="343"/>
      <c r="P305" s="70" t="s">
        <v>53</v>
      </c>
      <c r="Q305" s="346" t="s">
        <v>1153</v>
      </c>
      <c r="R305" s="343"/>
      <c r="S305" s="346"/>
      <c r="T305" s="150" t="s">
        <v>25</v>
      </c>
      <c r="U305" s="150" t="s">
        <v>1434</v>
      </c>
      <c r="V305" s="403"/>
      <c r="W305" s="406">
        <v>0</v>
      </c>
      <c r="X305" s="406">
        <v>0</v>
      </c>
      <c r="Y305" s="425"/>
      <c r="Z305" s="71"/>
      <c r="AA305" s="426">
        <v>579568</v>
      </c>
      <c r="AB305" s="427">
        <v>-598991</v>
      </c>
      <c r="AC305" s="427">
        <v>-317436</v>
      </c>
      <c r="AD305" s="428">
        <v>577046</v>
      </c>
      <c r="AE305" s="429">
        <v>-397395</v>
      </c>
      <c r="AF305" s="429">
        <v>179883.00000000012</v>
      </c>
      <c r="AG305" s="360"/>
      <c r="AH305" s="360"/>
      <c r="AI305" s="360"/>
      <c r="AJ305" s="360"/>
      <c r="AK305" s="360"/>
      <c r="AL305" s="360"/>
      <c r="AM305" s="360">
        <f t="shared" si="10"/>
        <v>22675.000000000116</v>
      </c>
      <c r="AN305" s="362">
        <f>ERP_2[[#This Row],[2026 Working Total]]-ERP_2[[#This Row],[LE2 Final Submission]]</f>
        <v>22675.000000000116</v>
      </c>
      <c r="AO305" s="79">
        <v>110000</v>
      </c>
      <c r="AP305" s="79">
        <f t="shared" si="11"/>
        <v>69883.000000000116</v>
      </c>
      <c r="AQ305" s="374">
        <f>SUM(ERP_2[[#This Row],[AP01]:[AP06]])-SUM(ERP_2[[#This Row],[AP01 LE2]:[AP06 LE2]])</f>
        <v>22675.000000000116</v>
      </c>
      <c r="AR305" s="80"/>
      <c r="AS305" s="79">
        <f>ERP_2[[#This Row],[2026 Working Total to Budget/LE]]-ERP_2[[#This Row],[Giveback]]</f>
        <v>22675.000000000116</v>
      </c>
      <c r="AT305" s="81"/>
      <c r="AU305" s="375">
        <v>579568</v>
      </c>
      <c r="AV305" s="375">
        <v>-598991</v>
      </c>
      <c r="AW305" s="375">
        <v>-317436</v>
      </c>
      <c r="AX305" s="375">
        <v>110000</v>
      </c>
      <c r="AY305" s="375">
        <v>110000</v>
      </c>
      <c r="AZ305" s="375">
        <v>116859</v>
      </c>
      <c r="BA305" s="375"/>
      <c r="BB305" s="375"/>
      <c r="BC305" s="375"/>
      <c r="BD305" s="375"/>
      <c r="BE305" s="375"/>
      <c r="BF305" s="375"/>
      <c r="BG305" s="375">
        <v>0</v>
      </c>
      <c r="BH305" s="79">
        <v>579568</v>
      </c>
      <c r="BI305" s="79">
        <v>-598991</v>
      </c>
      <c r="BJ305" s="79">
        <v>-317436</v>
      </c>
      <c r="BK305" s="79">
        <v>0</v>
      </c>
      <c r="BL305" s="79">
        <v>0</v>
      </c>
      <c r="BM305" s="79">
        <v>0</v>
      </c>
      <c r="BN305" s="79">
        <v>0</v>
      </c>
      <c r="BO305" s="79">
        <v>0</v>
      </c>
      <c r="BP305" s="79">
        <v>0</v>
      </c>
      <c r="BQ305" s="79">
        <v>0</v>
      </c>
      <c r="BR305" s="79">
        <v>0</v>
      </c>
      <c r="BS305" s="79">
        <v>0</v>
      </c>
      <c r="BT305" s="79">
        <v>-336859</v>
      </c>
    </row>
    <row r="306" spans="1:72" ht="15" hidden="1" customHeight="1">
      <c r="A306" s="66" t="s">
        <v>1435</v>
      </c>
      <c r="B306" s="66"/>
      <c r="C306" s="66" t="s">
        <v>199</v>
      </c>
      <c r="D306" s="66" t="s">
        <v>1436</v>
      </c>
      <c r="E306" s="150" t="s">
        <v>1136</v>
      </c>
      <c r="F306" s="482" t="s">
        <v>1566</v>
      </c>
      <c r="G306" s="150" t="s">
        <v>1345</v>
      </c>
      <c r="H306" s="150" t="s">
        <v>1437</v>
      </c>
      <c r="I306" s="150" t="s">
        <v>1345</v>
      </c>
      <c r="J306" s="150" t="s">
        <v>1437</v>
      </c>
      <c r="K306" s="150" t="s">
        <v>1346</v>
      </c>
      <c r="L306" s="511" t="s">
        <v>49</v>
      </c>
      <c r="M306" s="392" t="s">
        <v>1174</v>
      </c>
      <c r="N306" s="343"/>
      <c r="O306" s="343"/>
      <c r="P306" s="70" t="s">
        <v>56</v>
      </c>
      <c r="Q306" s="346"/>
      <c r="R306" s="346" t="s">
        <v>1140</v>
      </c>
      <c r="S306" s="346"/>
      <c r="T306" s="150" t="s">
        <v>57</v>
      </c>
      <c r="U306" s="150"/>
      <c r="V306" s="403"/>
      <c r="W306" s="406">
        <v>24000</v>
      </c>
      <c r="X306" s="406">
        <v>18457.8</v>
      </c>
      <c r="Y306" s="425"/>
      <c r="Z306" s="71"/>
      <c r="AA306" s="426">
        <v>366.24</v>
      </c>
      <c r="AB306" s="431">
        <v>0</v>
      </c>
      <c r="AC306" s="427">
        <v>91.56</v>
      </c>
      <c r="AD306" s="428">
        <v>0</v>
      </c>
      <c r="AE306" s="429">
        <v>0</v>
      </c>
      <c r="AF306" s="429">
        <v>0</v>
      </c>
      <c r="AG306" s="363">
        <v>2000</v>
      </c>
      <c r="AH306" s="363">
        <v>2000</v>
      </c>
      <c r="AI306" s="363">
        <v>2000</v>
      </c>
      <c r="AJ306" s="363">
        <v>2000</v>
      </c>
      <c r="AK306" s="363">
        <v>2000</v>
      </c>
      <c r="AL306" s="363">
        <v>2000</v>
      </c>
      <c r="AM306" s="360">
        <f t="shared" si="10"/>
        <v>12457.8</v>
      </c>
      <c r="AN306" s="362">
        <f>ERP_2[[#This Row],[2026 Working Total]]-ERP_2[[#This Row],[LE2 Final Submission]]</f>
        <v>-6000</v>
      </c>
      <c r="AO306" s="79">
        <v>2000</v>
      </c>
      <c r="AP306" s="79">
        <f t="shared" si="11"/>
        <v>-2000</v>
      </c>
      <c r="AQ306" s="374">
        <f>SUM(ERP_2[[#This Row],[AP01]:[AP06]])-SUM(ERP_2[[#This Row],[AP01 LE2]:[AP06 LE2]])</f>
        <v>-6000</v>
      </c>
      <c r="AR306" s="80"/>
      <c r="AS306" s="79">
        <f>ERP_2[[#This Row],[2026 Working Total to Budget/LE]]-ERP_2[[#This Row],[Giveback]]</f>
        <v>-6000</v>
      </c>
      <c r="AT306" s="81"/>
      <c r="AU306" s="375">
        <v>366.24</v>
      </c>
      <c r="AV306" s="375">
        <v>0</v>
      </c>
      <c r="AW306" s="375">
        <v>91.56</v>
      </c>
      <c r="AX306" s="375">
        <v>2000</v>
      </c>
      <c r="AY306" s="375">
        <v>2000</v>
      </c>
      <c r="AZ306" s="375">
        <v>2000</v>
      </c>
      <c r="BA306" s="375">
        <v>2000</v>
      </c>
      <c r="BB306" s="375">
        <v>2000</v>
      </c>
      <c r="BC306" s="375">
        <v>2000</v>
      </c>
      <c r="BD306" s="375">
        <v>2000</v>
      </c>
      <c r="BE306" s="375">
        <v>2000</v>
      </c>
      <c r="BF306" s="375">
        <v>2000</v>
      </c>
      <c r="BG306" s="375">
        <v>18457.8</v>
      </c>
      <c r="BH306" s="79">
        <v>366.24</v>
      </c>
      <c r="BI306" s="79">
        <v>0</v>
      </c>
      <c r="BJ306" s="79">
        <v>91.56</v>
      </c>
      <c r="BK306" s="79">
        <v>2000</v>
      </c>
      <c r="BL306" s="79">
        <v>2000</v>
      </c>
      <c r="BM306" s="79">
        <v>2000</v>
      </c>
      <c r="BN306" s="79">
        <v>2000</v>
      </c>
      <c r="BO306" s="79">
        <v>2000</v>
      </c>
      <c r="BP306" s="79">
        <v>2000</v>
      </c>
      <c r="BQ306" s="79">
        <v>2000</v>
      </c>
      <c r="BR306" s="79">
        <v>2000</v>
      </c>
      <c r="BS306" s="79">
        <v>2000</v>
      </c>
      <c r="BT306" s="79">
        <v>18457.8</v>
      </c>
    </row>
    <row r="307" spans="1:72" ht="15" hidden="1" customHeight="1">
      <c r="A307" s="150" t="s">
        <v>1439</v>
      </c>
      <c r="B307" s="150"/>
      <c r="C307" s="536" t="s">
        <v>200</v>
      </c>
      <c r="D307" s="296" t="s">
        <v>200</v>
      </c>
      <c r="E307" s="150" t="s">
        <v>1136</v>
      </c>
      <c r="F307" s="482" t="s">
        <v>1566</v>
      </c>
      <c r="G307" s="150" t="s">
        <v>1345</v>
      </c>
      <c r="H307" s="150" t="s">
        <v>1345</v>
      </c>
      <c r="I307" s="150" t="s">
        <v>1345</v>
      </c>
      <c r="J307" s="150" t="s">
        <v>1345</v>
      </c>
      <c r="K307" s="150" t="s">
        <v>1345</v>
      </c>
      <c r="L307" s="514" t="s">
        <v>49</v>
      </c>
      <c r="M307" s="394" t="s">
        <v>1440</v>
      </c>
      <c r="N307" s="333"/>
      <c r="O307" s="332" t="s">
        <v>1441</v>
      </c>
      <c r="P307" s="90" t="s">
        <v>201</v>
      </c>
      <c r="Q307" s="347"/>
      <c r="R307" s="348" t="s">
        <v>1442</v>
      </c>
      <c r="S307" s="348"/>
      <c r="T307" s="348"/>
      <c r="U307" s="503" t="s">
        <v>2911</v>
      </c>
      <c r="V307" s="402"/>
      <c r="W307" s="406"/>
      <c r="X307" s="406"/>
      <c r="Y307" s="425"/>
      <c r="Z307" s="71"/>
      <c r="AA307" s="435"/>
      <c r="AB307" s="436"/>
      <c r="AC307" s="436"/>
      <c r="AD307" s="429"/>
      <c r="AE307" s="429">
        <v>50000</v>
      </c>
      <c r="AF307" s="429">
        <v>0</v>
      </c>
      <c r="AG307" s="364"/>
      <c r="AH307" s="364">
        <v>50000</v>
      </c>
      <c r="AI307" s="364"/>
      <c r="AJ307" s="364">
        <v>50000</v>
      </c>
      <c r="AK307" s="364"/>
      <c r="AL307" s="364"/>
      <c r="AM307" s="360">
        <f t="shared" si="10"/>
        <v>150000</v>
      </c>
      <c r="AN307" s="362">
        <f>ERP_2[[#This Row],[2026 Working Total]]-ERP_2[[#This Row],[LE2 Final Submission]]</f>
        <v>150000</v>
      </c>
      <c r="AO307" s="79"/>
      <c r="AP307" s="79">
        <f t="shared" si="11"/>
        <v>0</v>
      </c>
      <c r="AQ307" s="374">
        <f>SUM(ERP_2[[#This Row],[AP01]:[AP06]])-SUM(ERP_2[[#This Row],[AP01 LE2]:[AP06 LE2]])</f>
        <v>50000</v>
      </c>
      <c r="AR307" s="80"/>
      <c r="AS307" s="79">
        <f>ERP_2[[#This Row],[2026 Working Total to Budget/LE]]-ERP_2[[#This Row],[Giveback]]</f>
        <v>150000</v>
      </c>
      <c r="AT307" s="81"/>
      <c r="AU307" s="375"/>
      <c r="AV307" s="375"/>
      <c r="AW307" s="375"/>
      <c r="AX307" s="375"/>
      <c r="AY307" s="375"/>
      <c r="AZ307" s="375"/>
      <c r="BA307" s="375"/>
      <c r="BB307" s="375"/>
      <c r="BC307" s="375"/>
      <c r="BD307" s="375"/>
      <c r="BE307" s="375"/>
      <c r="BF307" s="375"/>
      <c r="BG307" s="375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</row>
    <row r="308" spans="1:72" ht="15" hidden="1" customHeight="1">
      <c r="A308" s="66" t="s">
        <v>1447</v>
      </c>
      <c r="B308" s="66"/>
      <c r="C308" s="66" t="s">
        <v>203</v>
      </c>
      <c r="D308" s="66" t="s">
        <v>1448</v>
      </c>
      <c r="E308" s="150" t="s">
        <v>1136</v>
      </c>
      <c r="F308" s="482" t="s">
        <v>1566</v>
      </c>
      <c r="G308" s="150" t="s">
        <v>1345</v>
      </c>
      <c r="H308" s="150" t="s">
        <v>1437</v>
      </c>
      <c r="I308" s="150" t="s">
        <v>1345</v>
      </c>
      <c r="J308" s="150" t="s">
        <v>1437</v>
      </c>
      <c r="K308" s="150" t="s">
        <v>1346</v>
      </c>
      <c r="L308" s="511" t="s">
        <v>49</v>
      </c>
      <c r="M308" s="392" t="s">
        <v>1340</v>
      </c>
      <c r="N308" s="343"/>
      <c r="O308" s="343"/>
      <c r="P308" s="70" t="s">
        <v>149</v>
      </c>
      <c r="Q308" s="346" t="s">
        <v>1139</v>
      </c>
      <c r="R308" s="343"/>
      <c r="S308" s="346"/>
      <c r="T308" s="150" t="s">
        <v>25</v>
      </c>
      <c r="U308" s="150"/>
      <c r="V308" s="403"/>
      <c r="W308" s="406">
        <v>0</v>
      </c>
      <c r="X308" s="406">
        <v>-4133.1400000000003</v>
      </c>
      <c r="Y308" s="425"/>
      <c r="Z308" s="425"/>
      <c r="AA308" s="426">
        <v>-4133.1400000000003</v>
      </c>
      <c r="AB308" s="431">
        <v>0</v>
      </c>
      <c r="AC308" s="431">
        <v>0</v>
      </c>
      <c r="AD308" s="428">
        <v>0</v>
      </c>
      <c r="AE308" s="429">
        <v>0</v>
      </c>
      <c r="AF308" s="429">
        <v>0</v>
      </c>
      <c r="AG308" s="360">
        <v>0</v>
      </c>
      <c r="AH308" s="360">
        <v>0</v>
      </c>
      <c r="AI308" s="360">
        <v>0</v>
      </c>
      <c r="AJ308" s="360">
        <v>0</v>
      </c>
      <c r="AK308" s="360">
        <v>0</v>
      </c>
      <c r="AL308" s="360">
        <v>0</v>
      </c>
      <c r="AM308" s="360">
        <f t="shared" si="10"/>
        <v>-4133.1400000000003</v>
      </c>
      <c r="AN308" s="362">
        <f>ERP_2[[#This Row],[2026 Working Total]]-ERP_2[[#This Row],[LE2 Final Submission]]</f>
        <v>0</v>
      </c>
      <c r="AO308" s="79">
        <v>0</v>
      </c>
      <c r="AP308" s="79">
        <f t="shared" si="11"/>
        <v>0</v>
      </c>
      <c r="AQ308" s="374">
        <f>SUM(ERP_2[[#This Row],[AP01]:[AP06]])-SUM(ERP_2[[#This Row],[AP01 LE2]:[AP06 LE2]])</f>
        <v>0</v>
      </c>
      <c r="AR308" s="80"/>
      <c r="AS308" s="79">
        <f>ERP_2[[#This Row],[2026 Working Total to Budget/LE]]-ERP_2[[#This Row],[Giveback]]</f>
        <v>0</v>
      </c>
      <c r="AT308" s="81"/>
      <c r="AU308" s="375">
        <v>-4133.1400000000003</v>
      </c>
      <c r="AV308" s="375">
        <v>0</v>
      </c>
      <c r="AW308" s="375">
        <v>0</v>
      </c>
      <c r="AX308" s="375">
        <v>0</v>
      </c>
      <c r="AY308" s="375">
        <v>0</v>
      </c>
      <c r="AZ308" s="375">
        <v>0</v>
      </c>
      <c r="BA308" s="375">
        <v>0</v>
      </c>
      <c r="BB308" s="375">
        <v>0</v>
      </c>
      <c r="BC308" s="375">
        <v>0</v>
      </c>
      <c r="BD308" s="375">
        <v>0</v>
      </c>
      <c r="BE308" s="375">
        <v>0</v>
      </c>
      <c r="BF308" s="375">
        <v>0</v>
      </c>
      <c r="BG308" s="375">
        <v>-4133.1400000000003</v>
      </c>
      <c r="BH308" s="79">
        <v>-4133.1400000000003</v>
      </c>
      <c r="BI308" s="79">
        <v>0</v>
      </c>
      <c r="BJ308" s="79">
        <v>0</v>
      </c>
      <c r="BK308" s="79">
        <v>0</v>
      </c>
      <c r="BL308" s="79">
        <v>0</v>
      </c>
      <c r="BM308" s="79">
        <v>0</v>
      </c>
      <c r="BN308" s="79">
        <v>0</v>
      </c>
      <c r="BO308" s="79">
        <v>0</v>
      </c>
      <c r="BP308" s="79">
        <v>0</v>
      </c>
      <c r="BQ308" s="79">
        <v>0</v>
      </c>
      <c r="BR308" s="79">
        <v>0</v>
      </c>
      <c r="BS308" s="79">
        <v>0</v>
      </c>
      <c r="BT308" s="79">
        <v>-4133.1400000000003</v>
      </c>
    </row>
    <row r="309" spans="1:72" ht="15" hidden="1" customHeight="1">
      <c r="A309" s="66" t="s">
        <v>1989</v>
      </c>
      <c r="B309" s="66"/>
      <c r="C309" s="66" t="s">
        <v>515</v>
      </c>
      <c r="D309" s="66" t="s">
        <v>1990</v>
      </c>
      <c r="E309" s="150" t="s">
        <v>1136</v>
      </c>
      <c r="F309" s="482" t="s">
        <v>1566</v>
      </c>
      <c r="G309" s="150" t="s">
        <v>1345</v>
      </c>
      <c r="H309" s="150" t="s">
        <v>1437</v>
      </c>
      <c r="I309" s="150" t="s">
        <v>1345</v>
      </c>
      <c r="J309" s="150" t="s">
        <v>1437</v>
      </c>
      <c r="K309" s="150" t="s">
        <v>1346</v>
      </c>
      <c r="L309" s="511" t="s">
        <v>389</v>
      </c>
      <c r="M309" s="392" t="s">
        <v>1991</v>
      </c>
      <c r="N309" s="343"/>
      <c r="O309" s="343"/>
      <c r="P309" s="70" t="s">
        <v>516</v>
      </c>
      <c r="Q309" s="346"/>
      <c r="R309" s="343"/>
      <c r="S309" s="346"/>
      <c r="T309" s="150" t="s">
        <v>152</v>
      </c>
      <c r="U309" s="150" t="s">
        <v>1992</v>
      </c>
      <c r="V309" s="403"/>
      <c r="W309" s="406">
        <v>86119.999999999985</v>
      </c>
      <c r="X309" s="406"/>
      <c r="Y309" s="425"/>
      <c r="Z309" s="425"/>
      <c r="AA309" s="426"/>
      <c r="AB309" s="427"/>
      <c r="AC309" s="427"/>
      <c r="AD309" s="428" t="s">
        <v>1142</v>
      </c>
      <c r="AE309" s="429">
        <v>0</v>
      </c>
      <c r="AF309" s="429">
        <v>0</v>
      </c>
      <c r="AG309" s="363"/>
      <c r="AH309" s="363"/>
      <c r="AI309" s="363"/>
      <c r="AJ309" s="363"/>
      <c r="AK309" s="363"/>
      <c r="AL309" s="363"/>
      <c r="AM309" s="360"/>
      <c r="AN309" s="362">
        <f>ERP_2[[#This Row],[2026 Working Total]]-ERP_2[[#This Row],[LE2 Final Submission]]</f>
        <v>0</v>
      </c>
      <c r="AO309" s="79">
        <v>6250</v>
      </c>
      <c r="AP309" s="79">
        <f t="shared" si="11"/>
        <v>-6250</v>
      </c>
      <c r="AQ309" s="374">
        <f>SUM(ERP_2[[#This Row],[AP01]:[AP06]])-SUM(ERP_2[[#This Row],[AP01 LE2]:[AP06 LE2]])</f>
        <v>0</v>
      </c>
      <c r="AR309" s="80"/>
      <c r="AS309" s="79">
        <f>ERP_2[[#This Row],[2026 Working Total to Budget/LE]]-ERP_2[[#This Row],[Giveback]]</f>
        <v>0</v>
      </c>
      <c r="AT309" s="81" t="s">
        <v>1993</v>
      </c>
      <c r="AU309" s="375"/>
      <c r="AV309" s="375"/>
      <c r="AW309" s="375"/>
      <c r="AX309" s="375"/>
      <c r="AY309" s="375"/>
      <c r="AZ309" s="375"/>
      <c r="BA309" s="375"/>
      <c r="BB309" s="375"/>
      <c r="BC309" s="375"/>
      <c r="BD309" s="375"/>
      <c r="BE309" s="375"/>
      <c r="BF309" s="375"/>
      <c r="BG309" s="375"/>
      <c r="BH309" s="79"/>
      <c r="BI309" s="79"/>
      <c r="BJ309" s="79"/>
      <c r="BK309" s="79">
        <v>8612</v>
      </c>
      <c r="BL309" s="79">
        <v>8612</v>
      </c>
      <c r="BM309" s="79">
        <v>8612</v>
      </c>
      <c r="BN309" s="79">
        <v>8612</v>
      </c>
      <c r="BO309" s="79">
        <v>8612</v>
      </c>
      <c r="BP309" s="79">
        <v>8612</v>
      </c>
      <c r="BQ309" s="79">
        <v>8612</v>
      </c>
      <c r="BR309" s="79">
        <v>8612</v>
      </c>
      <c r="BS309" s="79">
        <v>8612</v>
      </c>
      <c r="BT309" s="79">
        <v>77508</v>
      </c>
    </row>
    <row r="310" spans="1:72" ht="15" hidden="1" customHeight="1">
      <c r="A310" s="66" t="s">
        <v>1994</v>
      </c>
      <c r="B310" s="66"/>
      <c r="C310" s="66" t="s">
        <v>517</v>
      </c>
      <c r="D310" s="66" t="s">
        <v>1995</v>
      </c>
      <c r="E310" s="150" t="s">
        <v>1136</v>
      </c>
      <c r="F310" s="482" t="s">
        <v>1566</v>
      </c>
      <c r="G310" s="150" t="s">
        <v>1345</v>
      </c>
      <c r="H310" s="150" t="s">
        <v>1437</v>
      </c>
      <c r="I310" s="150" t="s">
        <v>1345</v>
      </c>
      <c r="J310" s="150" t="s">
        <v>1437</v>
      </c>
      <c r="K310" s="150" t="s">
        <v>1346</v>
      </c>
      <c r="L310" s="511" t="s">
        <v>389</v>
      </c>
      <c r="M310" s="392" t="s">
        <v>1996</v>
      </c>
      <c r="N310" s="343"/>
      <c r="O310" s="343"/>
      <c r="P310" s="70" t="s">
        <v>518</v>
      </c>
      <c r="Q310" s="346"/>
      <c r="R310" s="343"/>
      <c r="S310" s="346"/>
      <c r="T310" s="150" t="s">
        <v>152</v>
      </c>
      <c r="U310" s="150" t="s">
        <v>1997</v>
      </c>
      <c r="V310" s="403"/>
      <c r="W310" s="406">
        <v>100000.00000000001</v>
      </c>
      <c r="X310" s="406">
        <v>60000</v>
      </c>
      <c r="Y310" s="425"/>
      <c r="Z310" s="425"/>
      <c r="AA310" s="426"/>
      <c r="AB310" s="427"/>
      <c r="AC310" s="427"/>
      <c r="AD310" s="428" t="s">
        <v>1142</v>
      </c>
      <c r="AE310" s="429">
        <v>0</v>
      </c>
      <c r="AF310" s="429">
        <v>0</v>
      </c>
      <c r="AG310" s="363">
        <v>10000</v>
      </c>
      <c r="AH310" s="363">
        <v>10000</v>
      </c>
      <c r="AI310" s="363">
        <v>10000</v>
      </c>
      <c r="AJ310" s="363">
        <v>10000</v>
      </c>
      <c r="AK310" s="363">
        <v>10000</v>
      </c>
      <c r="AL310" s="363">
        <v>10000</v>
      </c>
      <c r="AM310" s="360">
        <f t="shared" ref="AM310:AM373" si="12">SUM(AA310:AL310)</f>
        <v>60000</v>
      </c>
      <c r="AN310" s="362">
        <f>ERP_2[[#This Row],[2026 Working Total]]-ERP_2[[#This Row],[LE2 Final Submission]]</f>
        <v>0</v>
      </c>
      <c r="AO310" s="79">
        <v>0</v>
      </c>
      <c r="AP310" s="79">
        <f t="shared" si="11"/>
        <v>0</v>
      </c>
      <c r="AQ310" s="374">
        <f>SUM(ERP_2[[#This Row],[AP01]:[AP06]])-SUM(ERP_2[[#This Row],[AP01 LE2]:[AP06 LE2]])</f>
        <v>0</v>
      </c>
      <c r="AR310" s="80"/>
      <c r="AS310" s="79">
        <f>ERP_2[[#This Row],[2026 Working Total to Budget/LE]]-ERP_2[[#This Row],[Giveback]]</f>
        <v>0</v>
      </c>
      <c r="AT310" s="81" t="s">
        <v>1998</v>
      </c>
      <c r="AU310" s="375"/>
      <c r="AV310" s="375"/>
      <c r="AW310" s="375"/>
      <c r="AX310" s="375"/>
      <c r="AY310" s="375"/>
      <c r="AZ310" s="375"/>
      <c r="BA310" s="375">
        <v>10000</v>
      </c>
      <c r="BB310" s="375">
        <v>10000</v>
      </c>
      <c r="BC310" s="375">
        <v>10000</v>
      </c>
      <c r="BD310" s="375">
        <v>10000</v>
      </c>
      <c r="BE310" s="375">
        <v>10000</v>
      </c>
      <c r="BF310" s="375">
        <v>10000</v>
      </c>
      <c r="BG310" s="375">
        <v>60000</v>
      </c>
      <c r="BH310" s="79"/>
      <c r="BI310" s="79"/>
      <c r="BJ310" s="79"/>
      <c r="BK310" s="79">
        <v>10000</v>
      </c>
      <c r="BL310" s="79">
        <v>10000</v>
      </c>
      <c r="BM310" s="79">
        <v>10000</v>
      </c>
      <c r="BN310" s="79">
        <v>10000</v>
      </c>
      <c r="BO310" s="79">
        <v>10000</v>
      </c>
      <c r="BP310" s="79">
        <v>10000</v>
      </c>
      <c r="BQ310" s="79">
        <v>10000</v>
      </c>
      <c r="BR310" s="79">
        <v>10000</v>
      </c>
      <c r="BS310" s="79">
        <v>10000</v>
      </c>
      <c r="BT310" s="79">
        <v>90000</v>
      </c>
    </row>
    <row r="311" spans="1:72" ht="15" hidden="1" customHeight="1">
      <c r="A311" s="66" t="s">
        <v>1999</v>
      </c>
      <c r="B311" s="66"/>
      <c r="C311" s="66" t="s">
        <v>519</v>
      </c>
      <c r="D311" s="66" t="s">
        <v>2000</v>
      </c>
      <c r="E311" s="150" t="s">
        <v>1136</v>
      </c>
      <c r="F311" s="482" t="s">
        <v>1566</v>
      </c>
      <c r="G311" s="150" t="s">
        <v>1345</v>
      </c>
      <c r="H311" s="150" t="s">
        <v>1437</v>
      </c>
      <c r="I311" s="150" t="s">
        <v>1345</v>
      </c>
      <c r="J311" s="150" t="s">
        <v>1437</v>
      </c>
      <c r="K311" s="150" t="s">
        <v>1346</v>
      </c>
      <c r="L311" s="511" t="s">
        <v>389</v>
      </c>
      <c r="M311" s="392" t="s">
        <v>2001</v>
      </c>
      <c r="N311" s="343"/>
      <c r="O311" s="343"/>
      <c r="P311" s="70" t="s">
        <v>520</v>
      </c>
      <c r="Q311" s="346"/>
      <c r="R311" s="343"/>
      <c r="S311" s="346"/>
      <c r="T311" s="150" t="s">
        <v>152</v>
      </c>
      <c r="U311" s="150" t="s">
        <v>1997</v>
      </c>
      <c r="V311" s="403"/>
      <c r="W311" s="406">
        <v>64999.999999999985</v>
      </c>
      <c r="X311" s="406">
        <v>39000</v>
      </c>
      <c r="Y311" s="425"/>
      <c r="Z311" s="425"/>
      <c r="AA311" s="426"/>
      <c r="AB311" s="427"/>
      <c r="AC311" s="427"/>
      <c r="AD311" s="428" t="s">
        <v>1142</v>
      </c>
      <c r="AE311" s="429">
        <v>0</v>
      </c>
      <c r="AF311" s="429">
        <v>0</v>
      </c>
      <c r="AG311" s="363">
        <v>6500</v>
      </c>
      <c r="AH311" s="363">
        <v>6500</v>
      </c>
      <c r="AI311" s="363">
        <v>6500</v>
      </c>
      <c r="AJ311" s="363">
        <v>6500</v>
      </c>
      <c r="AK311" s="363">
        <v>6500</v>
      </c>
      <c r="AL311" s="363">
        <v>6500</v>
      </c>
      <c r="AM311" s="360">
        <f t="shared" si="12"/>
        <v>39000</v>
      </c>
      <c r="AN311" s="362">
        <f>ERP_2[[#This Row],[2026 Working Total]]-ERP_2[[#This Row],[LE2 Final Submission]]</f>
        <v>0</v>
      </c>
      <c r="AO311" s="79">
        <v>799.33</v>
      </c>
      <c r="AP311" s="79">
        <f t="shared" si="11"/>
        <v>-799.33</v>
      </c>
      <c r="AQ311" s="374">
        <f>SUM(ERP_2[[#This Row],[AP01]:[AP06]])-SUM(ERP_2[[#This Row],[AP01 LE2]:[AP06 LE2]])</f>
        <v>0</v>
      </c>
      <c r="AR311" s="80"/>
      <c r="AS311" s="79">
        <f>ERP_2[[#This Row],[2026 Working Total to Budget/LE]]-ERP_2[[#This Row],[Giveback]]</f>
        <v>0</v>
      </c>
      <c r="AT311" s="81" t="s">
        <v>1998</v>
      </c>
      <c r="AU311" s="375"/>
      <c r="AV311" s="375"/>
      <c r="AW311" s="375"/>
      <c r="AX311" s="375"/>
      <c r="AY311" s="375"/>
      <c r="AZ311" s="375"/>
      <c r="BA311" s="375">
        <v>6500</v>
      </c>
      <c r="BB311" s="375">
        <v>6500</v>
      </c>
      <c r="BC311" s="375">
        <v>6500</v>
      </c>
      <c r="BD311" s="375">
        <v>6500</v>
      </c>
      <c r="BE311" s="375">
        <v>6500</v>
      </c>
      <c r="BF311" s="375">
        <v>6500</v>
      </c>
      <c r="BG311" s="375">
        <v>39000</v>
      </c>
      <c r="BH311" s="79"/>
      <c r="BI311" s="79"/>
      <c r="BJ311" s="79"/>
      <c r="BK311" s="79">
        <v>6500</v>
      </c>
      <c r="BL311" s="79">
        <v>6500</v>
      </c>
      <c r="BM311" s="79">
        <v>6500</v>
      </c>
      <c r="BN311" s="79">
        <v>6500</v>
      </c>
      <c r="BO311" s="79">
        <v>6500</v>
      </c>
      <c r="BP311" s="79">
        <v>6500</v>
      </c>
      <c r="BQ311" s="79">
        <v>6500</v>
      </c>
      <c r="BR311" s="79">
        <v>6500</v>
      </c>
      <c r="BS311" s="79">
        <v>6500</v>
      </c>
      <c r="BT311" s="79">
        <v>58500</v>
      </c>
    </row>
    <row r="312" spans="1:72" ht="15" hidden="1" customHeight="1">
      <c r="A312" s="79" t="s">
        <v>2007</v>
      </c>
      <c r="B312" s="79"/>
      <c r="C312" s="79" t="s">
        <v>521</v>
      </c>
      <c r="D312" s="296" t="s">
        <v>2008</v>
      </c>
      <c r="E312" s="150" t="s">
        <v>1136</v>
      </c>
      <c r="F312" s="482" t="s">
        <v>1566</v>
      </c>
      <c r="G312" s="150" t="s">
        <v>1345</v>
      </c>
      <c r="H312" s="332" t="s">
        <v>1437</v>
      </c>
      <c r="I312" s="150" t="s">
        <v>1345</v>
      </c>
      <c r="J312" s="332" t="s">
        <v>1437</v>
      </c>
      <c r="K312" s="333" t="s">
        <v>1437</v>
      </c>
      <c r="L312" s="514" t="s">
        <v>389</v>
      </c>
      <c r="M312" s="394"/>
      <c r="N312" s="333"/>
      <c r="O312" s="333"/>
      <c r="P312" s="90" t="s">
        <v>411</v>
      </c>
      <c r="Q312" s="347"/>
      <c r="R312" s="347"/>
      <c r="S312" s="348"/>
      <c r="T312" s="348"/>
      <c r="U312" s="348"/>
      <c r="V312" s="402"/>
      <c r="W312" s="358"/>
      <c r="X312" s="379"/>
      <c r="Y312" s="425"/>
      <c r="Z312" s="425"/>
      <c r="AA312" s="435"/>
      <c r="AB312" s="436"/>
      <c r="AC312" s="436"/>
      <c r="AD312" s="429"/>
      <c r="AE312" s="429"/>
      <c r="AF312" s="429">
        <v>-2915.6</v>
      </c>
      <c r="AG312" s="364"/>
      <c r="AH312" s="364"/>
      <c r="AI312" s="364"/>
      <c r="AJ312" s="364"/>
      <c r="AK312" s="364"/>
      <c r="AL312" s="364"/>
      <c r="AM312" s="360">
        <f t="shared" si="12"/>
        <v>-2915.6</v>
      </c>
      <c r="AN312" s="362">
        <f>ERP_2[[#This Row],[2026 Working Total]]-ERP_2[[#This Row],[LE2 Final Submission]]</f>
        <v>-2915.6</v>
      </c>
      <c r="AO312" s="79"/>
      <c r="AP312" s="79">
        <f t="shared" si="11"/>
        <v>-2915.6</v>
      </c>
      <c r="AQ312" s="391">
        <f>SUM(ERP_2[[#This Row],[AP01]:[AP06]])-SUM(ERP_2[[#This Row],[AP01 LE2]:[AP06 LE2]])</f>
        <v>-2915.6</v>
      </c>
      <c r="AR312" s="80"/>
      <c r="AS312" s="79">
        <f>ERP_2[[#This Row],[2026 Working Total to Budget/LE]]-ERP_2[[#This Row],[Giveback]]</f>
        <v>-2915.6</v>
      </c>
      <c r="AT312" s="81"/>
      <c r="AU312" s="375"/>
      <c r="AV312" s="375"/>
      <c r="AW312" s="375"/>
      <c r="AX312" s="375"/>
      <c r="AY312" s="375"/>
      <c r="AZ312" s="375"/>
      <c r="BA312" s="375"/>
      <c r="BB312" s="375"/>
      <c r="BC312" s="375"/>
      <c r="BD312" s="375"/>
      <c r="BE312" s="375"/>
      <c r="BF312" s="375"/>
      <c r="BG312" s="375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</row>
    <row r="313" spans="1:72" ht="15" hidden="1" customHeight="1">
      <c r="A313" s="66" t="s">
        <v>2009</v>
      </c>
      <c r="B313" s="66"/>
      <c r="C313" s="66" t="s">
        <v>522</v>
      </c>
      <c r="D313" s="66" t="s">
        <v>522</v>
      </c>
      <c r="E313" s="150" t="s">
        <v>1136</v>
      </c>
      <c r="F313" s="482" t="s">
        <v>1566</v>
      </c>
      <c r="G313" s="150" t="s">
        <v>1345</v>
      </c>
      <c r="H313" s="150" t="s">
        <v>1345</v>
      </c>
      <c r="I313" s="150" t="s">
        <v>1345</v>
      </c>
      <c r="J313" s="150" t="s">
        <v>1345</v>
      </c>
      <c r="K313" s="150" t="s">
        <v>1346</v>
      </c>
      <c r="L313" s="511" t="s">
        <v>389</v>
      </c>
      <c r="M313" s="392" t="s">
        <v>1574</v>
      </c>
      <c r="N313" s="343"/>
      <c r="O313" s="343"/>
      <c r="P313" s="70" t="s">
        <v>274</v>
      </c>
      <c r="Q313" s="346" t="s">
        <v>1139</v>
      </c>
      <c r="R313" s="343"/>
      <c r="S313" s="346"/>
      <c r="T313" s="505" t="s">
        <v>275</v>
      </c>
      <c r="U313" s="150"/>
      <c r="V313" s="403"/>
      <c r="W313" s="406">
        <v>0</v>
      </c>
      <c r="X313" s="406">
        <v>2263.3900000000003</v>
      </c>
      <c r="Y313" s="425"/>
      <c r="Z313" s="425"/>
      <c r="AA313" s="426">
        <v>1841.45</v>
      </c>
      <c r="AB313" s="427">
        <v>1719.99</v>
      </c>
      <c r="AC313" s="427">
        <v>-1298.05</v>
      </c>
      <c r="AD313" s="428">
        <v>1990.16</v>
      </c>
      <c r="AE313" s="429">
        <v>-2552.9100000000003</v>
      </c>
      <c r="AF313" s="429">
        <v>903.75000000000023</v>
      </c>
      <c r="AG313" s="360">
        <v>0</v>
      </c>
      <c r="AH313" s="360">
        <v>0</v>
      </c>
      <c r="AI313" s="360">
        <v>0</v>
      </c>
      <c r="AJ313" s="360">
        <v>0</v>
      </c>
      <c r="AK313" s="360">
        <v>0</v>
      </c>
      <c r="AL313" s="360">
        <v>0</v>
      </c>
      <c r="AM313" s="360">
        <f t="shared" si="12"/>
        <v>2604.3900000000003</v>
      </c>
      <c r="AN313" s="362">
        <f>ERP_2[[#This Row],[2026 Working Total]]-ERP_2[[#This Row],[LE2 Final Submission]]</f>
        <v>341</v>
      </c>
      <c r="AO313" s="79">
        <v>0</v>
      </c>
      <c r="AP313" s="79">
        <f t="shared" si="11"/>
        <v>903.75000000000023</v>
      </c>
      <c r="AQ313" s="374">
        <f>SUM(ERP_2[[#This Row],[AP01]:[AP06]])-SUM(ERP_2[[#This Row],[AP01 LE2]:[AP06 LE2]])</f>
        <v>341</v>
      </c>
      <c r="AR313" s="80"/>
      <c r="AS313" s="79">
        <f>ERP_2[[#This Row],[2026 Working Total to Budget/LE]]-ERP_2[[#This Row],[Giveback]]</f>
        <v>341</v>
      </c>
      <c r="AT313" s="81"/>
      <c r="AU313" s="375">
        <v>1841.45</v>
      </c>
      <c r="AV313" s="375">
        <v>1719.99</v>
      </c>
      <c r="AW313" s="375">
        <v>-1298.05</v>
      </c>
      <c r="AX313" s="375">
        <v>0</v>
      </c>
      <c r="AY313" s="375">
        <v>0</v>
      </c>
      <c r="AZ313" s="375">
        <v>0</v>
      </c>
      <c r="BA313" s="375">
        <v>0</v>
      </c>
      <c r="BB313" s="375">
        <v>0</v>
      </c>
      <c r="BC313" s="375">
        <v>0</v>
      </c>
      <c r="BD313" s="375">
        <v>0</v>
      </c>
      <c r="BE313" s="375">
        <v>0</v>
      </c>
      <c r="BF313" s="375">
        <v>0</v>
      </c>
      <c r="BG313" s="375">
        <v>2263.3900000000003</v>
      </c>
      <c r="BH313" s="79">
        <v>1841.45</v>
      </c>
      <c r="BI313" s="79">
        <v>1719.99</v>
      </c>
      <c r="BJ313" s="79">
        <v>-1298.05</v>
      </c>
      <c r="BK313" s="79">
        <v>0</v>
      </c>
      <c r="BL313" s="79">
        <v>0</v>
      </c>
      <c r="BM313" s="79">
        <v>0</v>
      </c>
      <c r="BN313" s="79">
        <v>0</v>
      </c>
      <c r="BO313" s="79">
        <v>0</v>
      </c>
      <c r="BP313" s="79">
        <v>0</v>
      </c>
      <c r="BQ313" s="79">
        <v>0</v>
      </c>
      <c r="BR313" s="79">
        <v>0</v>
      </c>
      <c r="BS313" s="79">
        <v>0</v>
      </c>
      <c r="BT313" s="79">
        <v>2263.3900000000003</v>
      </c>
    </row>
    <row r="314" spans="1:72" ht="15" hidden="1" customHeight="1">
      <c r="A314" s="66" t="s">
        <v>2010</v>
      </c>
      <c r="B314" s="66"/>
      <c r="C314" s="66" t="s">
        <v>523</v>
      </c>
      <c r="D314" s="66" t="s">
        <v>523</v>
      </c>
      <c r="E314" s="150" t="s">
        <v>1136</v>
      </c>
      <c r="F314" s="482" t="s">
        <v>1566</v>
      </c>
      <c r="G314" s="150" t="s">
        <v>1345</v>
      </c>
      <c r="H314" s="150" t="s">
        <v>1345</v>
      </c>
      <c r="I314" s="150" t="s">
        <v>1345</v>
      </c>
      <c r="J314" s="150" t="s">
        <v>1345</v>
      </c>
      <c r="K314" s="150" t="s">
        <v>1346</v>
      </c>
      <c r="L314" s="511" t="s">
        <v>389</v>
      </c>
      <c r="M314" s="392" t="s">
        <v>1147</v>
      </c>
      <c r="N314" s="343"/>
      <c r="O314" s="343"/>
      <c r="P314" s="70" t="s">
        <v>53</v>
      </c>
      <c r="Q314" s="346" t="s">
        <v>1153</v>
      </c>
      <c r="R314" s="343"/>
      <c r="S314" s="346"/>
      <c r="T314" s="150" t="s">
        <v>25</v>
      </c>
      <c r="U314" s="150" t="s">
        <v>1434</v>
      </c>
      <c r="V314" s="403"/>
      <c r="W314" s="406">
        <v>0</v>
      </c>
      <c r="X314" s="406">
        <v>0</v>
      </c>
      <c r="Y314" s="430"/>
      <c r="Z314" s="430"/>
      <c r="AA314" s="426"/>
      <c r="AB314" s="427"/>
      <c r="AC314" s="427">
        <v>7840</v>
      </c>
      <c r="AD314" s="428">
        <v>4772</v>
      </c>
      <c r="AE314" s="429">
        <v>4772</v>
      </c>
      <c r="AF314" s="429">
        <v>5965.9999999999991</v>
      </c>
      <c r="AG314" s="360">
        <v>0</v>
      </c>
      <c r="AH314" s="360">
        <v>0</v>
      </c>
      <c r="AI314" s="360">
        <v>0</v>
      </c>
      <c r="AJ314" s="360">
        <v>0</v>
      </c>
      <c r="AK314" s="360">
        <v>0</v>
      </c>
      <c r="AL314" s="360">
        <v>0</v>
      </c>
      <c r="AM314" s="360">
        <f t="shared" si="12"/>
        <v>23350</v>
      </c>
      <c r="AN314" s="362">
        <f>ERP_2[[#This Row],[2026 Working Total]]-ERP_2[[#This Row],[LE2 Final Submission]]</f>
        <v>23350</v>
      </c>
      <c r="AO314" s="79">
        <v>-2500</v>
      </c>
      <c r="AP314" s="79">
        <f t="shared" si="11"/>
        <v>8466</v>
      </c>
      <c r="AQ314" s="374">
        <f>SUM(ERP_2[[#This Row],[AP01]:[AP06]])-SUM(ERP_2[[#This Row],[AP01 LE2]:[AP06 LE2]])</f>
        <v>23350</v>
      </c>
      <c r="AR314" s="80"/>
      <c r="AS314" s="79">
        <f>ERP_2[[#This Row],[2026 Working Total to Budget/LE]]-ERP_2[[#This Row],[Giveback]]</f>
        <v>23350</v>
      </c>
      <c r="AT314" s="81"/>
      <c r="AU314" s="375"/>
      <c r="AV314" s="375"/>
      <c r="AW314" s="375">
        <v>7840</v>
      </c>
      <c r="AX314" s="375">
        <v>-2500</v>
      </c>
      <c r="AY314" s="375">
        <v>-2500</v>
      </c>
      <c r="AZ314" s="375">
        <v>-2840</v>
      </c>
      <c r="BA314" s="375">
        <v>0</v>
      </c>
      <c r="BB314" s="375">
        <v>0</v>
      </c>
      <c r="BC314" s="375">
        <v>0</v>
      </c>
      <c r="BD314" s="375">
        <v>0</v>
      </c>
      <c r="BE314" s="375">
        <v>0</v>
      </c>
      <c r="BF314" s="375">
        <v>0</v>
      </c>
      <c r="BG314" s="375">
        <v>0</v>
      </c>
      <c r="BH314" s="79"/>
      <c r="BI314" s="79"/>
      <c r="BJ314" s="79">
        <v>7840</v>
      </c>
      <c r="BK314" s="79">
        <v>0</v>
      </c>
      <c r="BL314" s="79">
        <v>0</v>
      </c>
      <c r="BM314" s="79">
        <v>0</v>
      </c>
      <c r="BN314" s="79">
        <v>0</v>
      </c>
      <c r="BO314" s="79">
        <v>0</v>
      </c>
      <c r="BP314" s="79">
        <v>0</v>
      </c>
      <c r="BQ314" s="79">
        <v>0</v>
      </c>
      <c r="BR314" s="79">
        <v>0</v>
      </c>
      <c r="BS314" s="79">
        <v>0</v>
      </c>
      <c r="BT314" s="79">
        <v>7840</v>
      </c>
    </row>
    <row r="315" spans="1:72" ht="15" hidden="1" customHeight="1">
      <c r="A315" s="129" t="s">
        <v>2014</v>
      </c>
      <c r="B315" s="129"/>
      <c r="C315" s="129" t="s">
        <v>525</v>
      </c>
      <c r="D315" s="66" t="s">
        <v>525</v>
      </c>
      <c r="E315" s="150" t="s">
        <v>1136</v>
      </c>
      <c r="F315" s="482" t="s">
        <v>1566</v>
      </c>
      <c r="G315" s="150" t="s">
        <v>1345</v>
      </c>
      <c r="H315" s="150" t="s">
        <v>1345</v>
      </c>
      <c r="I315" s="150" t="s">
        <v>1345</v>
      </c>
      <c r="J315" s="150" t="s">
        <v>1345</v>
      </c>
      <c r="K315" s="331" t="s">
        <v>1345</v>
      </c>
      <c r="L315" s="511" t="s">
        <v>389</v>
      </c>
      <c r="M315" s="392" t="s">
        <v>1863</v>
      </c>
      <c r="N315" s="343"/>
      <c r="O315" s="331"/>
      <c r="P315" s="70" t="s">
        <v>526</v>
      </c>
      <c r="Q315" s="343"/>
      <c r="R315" s="343"/>
      <c r="S315" s="346"/>
      <c r="T315" s="150" t="s">
        <v>57</v>
      </c>
      <c r="U315" s="346" t="s">
        <v>2021</v>
      </c>
      <c r="V315" s="405"/>
      <c r="W315" s="359"/>
      <c r="X315" s="380">
        <v>63000</v>
      </c>
      <c r="Y315" s="425"/>
      <c r="Z315" s="425"/>
      <c r="AA315" s="426"/>
      <c r="AB315" s="427"/>
      <c r="AC315" s="427"/>
      <c r="AD315" s="428" t="s">
        <v>1142</v>
      </c>
      <c r="AE315" s="429">
        <v>0</v>
      </c>
      <c r="AF315" s="429">
        <v>0</v>
      </c>
      <c r="AG315" s="364">
        <f t="shared" ref="AG315:AL315" si="13">(63000)/9</f>
        <v>7000</v>
      </c>
      <c r="AH315" s="364">
        <f t="shared" si="13"/>
        <v>7000</v>
      </c>
      <c r="AI315" s="364">
        <f t="shared" si="13"/>
        <v>7000</v>
      </c>
      <c r="AJ315" s="364">
        <f t="shared" si="13"/>
        <v>7000</v>
      </c>
      <c r="AK315" s="364">
        <f t="shared" si="13"/>
        <v>7000</v>
      </c>
      <c r="AL315" s="364">
        <f t="shared" si="13"/>
        <v>7000</v>
      </c>
      <c r="AM315" s="360">
        <f t="shared" si="12"/>
        <v>42000</v>
      </c>
      <c r="AN315" s="362">
        <f>ERP_2[[#This Row],[2026 Working Total]]-ERP_2[[#This Row],[LE2 Final Submission]]</f>
        <v>-21000</v>
      </c>
      <c r="AO315" s="79">
        <v>7000</v>
      </c>
      <c r="AP315" s="79">
        <f t="shared" si="11"/>
        <v>-7000</v>
      </c>
      <c r="AQ315" s="374">
        <f>SUM(ERP_2[[#This Row],[AP01]:[AP06]])-SUM(ERP_2[[#This Row],[AP01 LE2]:[AP06 LE2]])</f>
        <v>-21000</v>
      </c>
      <c r="AR315" s="80"/>
      <c r="AS315" s="79"/>
      <c r="AT315" s="81"/>
      <c r="AU315" s="375"/>
      <c r="AV315" s="375"/>
      <c r="AW315" s="375"/>
      <c r="AX315" s="375">
        <v>7000</v>
      </c>
      <c r="AY315" s="375">
        <v>7000</v>
      </c>
      <c r="AZ315" s="375">
        <v>7000</v>
      </c>
      <c r="BA315" s="375">
        <v>7000</v>
      </c>
      <c r="BB315" s="375">
        <v>7000</v>
      </c>
      <c r="BC315" s="375">
        <v>7000</v>
      </c>
      <c r="BD315" s="375">
        <v>7000</v>
      </c>
      <c r="BE315" s="375">
        <v>7000</v>
      </c>
      <c r="BF315" s="375">
        <v>7000</v>
      </c>
      <c r="BG315" s="375">
        <v>63000</v>
      </c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</row>
    <row r="316" spans="1:72" ht="15" hidden="1" customHeight="1">
      <c r="A316" s="66" t="s">
        <v>2016</v>
      </c>
      <c r="B316" s="66"/>
      <c r="C316" s="66" t="s">
        <v>527</v>
      </c>
      <c r="D316" s="66" t="s">
        <v>527</v>
      </c>
      <c r="E316" s="150" t="s">
        <v>1136</v>
      </c>
      <c r="F316" s="482" t="s">
        <v>1566</v>
      </c>
      <c r="G316" s="150" t="s">
        <v>1345</v>
      </c>
      <c r="H316" s="150" t="s">
        <v>1345</v>
      </c>
      <c r="I316" s="150" t="s">
        <v>1345</v>
      </c>
      <c r="J316" s="150" t="s">
        <v>1345</v>
      </c>
      <c r="K316" s="150" t="s">
        <v>1346</v>
      </c>
      <c r="L316" s="511" t="s">
        <v>389</v>
      </c>
      <c r="M316" s="392" t="s">
        <v>1492</v>
      </c>
      <c r="N316" s="343"/>
      <c r="O316" s="343"/>
      <c r="P316" s="70" t="s">
        <v>201</v>
      </c>
      <c r="Q316" s="346"/>
      <c r="R316" s="343"/>
      <c r="S316" s="346"/>
      <c r="T316" s="150" t="s">
        <v>232</v>
      </c>
      <c r="U316" s="503" t="s">
        <v>2911</v>
      </c>
      <c r="V316" s="403"/>
      <c r="W316" s="406">
        <v>0</v>
      </c>
      <c r="X316" s="406">
        <v>200000</v>
      </c>
      <c r="Y316" s="430"/>
      <c r="Z316" s="430"/>
      <c r="AA316" s="426"/>
      <c r="AB316" s="427"/>
      <c r="AC316" s="427">
        <v>50000</v>
      </c>
      <c r="AD316" s="428">
        <v>0</v>
      </c>
      <c r="AE316" s="429">
        <v>0</v>
      </c>
      <c r="AF316" s="429">
        <v>0</v>
      </c>
      <c r="AG316" s="360">
        <v>0</v>
      </c>
      <c r="AH316" s="363">
        <v>0</v>
      </c>
      <c r="AI316" s="360">
        <v>0</v>
      </c>
      <c r="AJ316" s="363">
        <v>0</v>
      </c>
      <c r="AK316" s="360">
        <v>0</v>
      </c>
      <c r="AL316" s="360">
        <v>0</v>
      </c>
      <c r="AM316" s="360">
        <f t="shared" si="12"/>
        <v>50000</v>
      </c>
      <c r="AN316" s="362">
        <f>ERP_2[[#This Row],[2026 Working Total]]-ERP_2[[#This Row],[LE2 Final Submission]]</f>
        <v>-150000</v>
      </c>
      <c r="AO316" s="79">
        <v>50000</v>
      </c>
      <c r="AP316" s="79">
        <f t="shared" si="11"/>
        <v>-50000</v>
      </c>
      <c r="AQ316" s="374">
        <f>SUM(ERP_2[[#This Row],[AP01]:[AP06]])-SUM(ERP_2[[#This Row],[AP01 LE2]:[AP06 LE2]])</f>
        <v>-50000</v>
      </c>
      <c r="AR316" s="80"/>
      <c r="AS316" s="79">
        <f>ERP_2[[#This Row],[2026 Working Total to Budget/LE]]-ERP_2[[#This Row],[Giveback]]</f>
        <v>-150000</v>
      </c>
      <c r="AT316" s="81"/>
      <c r="AU316" s="375"/>
      <c r="AV316" s="375"/>
      <c r="AW316" s="375">
        <v>50000</v>
      </c>
      <c r="AX316" s="375">
        <v>0</v>
      </c>
      <c r="AY316" s="375">
        <v>50000</v>
      </c>
      <c r="AZ316" s="375">
        <v>0</v>
      </c>
      <c r="BA316" s="375">
        <v>0</v>
      </c>
      <c r="BB316" s="375">
        <v>50000</v>
      </c>
      <c r="BC316" s="375">
        <v>0</v>
      </c>
      <c r="BD316" s="375">
        <v>50000</v>
      </c>
      <c r="BE316" s="375">
        <v>0</v>
      </c>
      <c r="BF316" s="375">
        <v>0</v>
      </c>
      <c r="BG316" s="375">
        <v>200000</v>
      </c>
      <c r="BH316" s="79"/>
      <c r="BI316" s="79"/>
      <c r="BJ316" s="79">
        <v>50000</v>
      </c>
      <c r="BK316" s="79">
        <v>0</v>
      </c>
      <c r="BL316" s="79">
        <v>0</v>
      </c>
      <c r="BM316" s="79">
        <v>0</v>
      </c>
      <c r="BN316" s="79">
        <v>0</v>
      </c>
      <c r="BO316" s="79">
        <v>0</v>
      </c>
      <c r="BP316" s="79">
        <v>0</v>
      </c>
      <c r="BQ316" s="79">
        <v>0</v>
      </c>
      <c r="BR316" s="79">
        <v>0</v>
      </c>
      <c r="BS316" s="79">
        <v>0</v>
      </c>
      <c r="BT316" s="79">
        <v>50000</v>
      </c>
    </row>
    <row r="317" spans="1:72" ht="15" hidden="1" customHeight="1">
      <c r="A317" s="66" t="s">
        <v>2017</v>
      </c>
      <c r="B317" s="66"/>
      <c r="C317" s="66" t="s">
        <v>528</v>
      </c>
      <c r="D317" s="66" t="s">
        <v>2018</v>
      </c>
      <c r="E317" s="150" t="s">
        <v>1136</v>
      </c>
      <c r="F317" s="482" t="s">
        <v>1566</v>
      </c>
      <c r="G317" s="150" t="s">
        <v>1345</v>
      </c>
      <c r="H317" s="150" t="s">
        <v>1437</v>
      </c>
      <c r="I317" s="150" t="s">
        <v>1345</v>
      </c>
      <c r="J317" s="150" t="s">
        <v>1437</v>
      </c>
      <c r="K317" s="150" t="s">
        <v>1346</v>
      </c>
      <c r="L317" s="511" t="s">
        <v>389</v>
      </c>
      <c r="M317" s="392" t="s">
        <v>1878</v>
      </c>
      <c r="N317" s="343"/>
      <c r="O317" s="343"/>
      <c r="P317" s="70" t="s">
        <v>459</v>
      </c>
      <c r="Q317" s="346"/>
      <c r="R317" s="343"/>
      <c r="S317" s="346"/>
      <c r="T317" s="150" t="s">
        <v>57</v>
      </c>
      <c r="U317" s="150"/>
      <c r="V317" s="403"/>
      <c r="W317" s="406">
        <v>6600</v>
      </c>
      <c r="X317" s="406">
        <v>497.06000000000006</v>
      </c>
      <c r="Y317" s="425"/>
      <c r="Z317" s="425"/>
      <c r="AA317" s="426">
        <v>521.38</v>
      </c>
      <c r="AB317" s="427">
        <v>527.30999999999995</v>
      </c>
      <c r="AC317" s="427">
        <v>-551.63</v>
      </c>
      <c r="AD317" s="428">
        <v>523.94000000000005</v>
      </c>
      <c r="AE317" s="429">
        <v>21.2</v>
      </c>
      <c r="AF317" s="429">
        <v>0</v>
      </c>
      <c r="AG317" s="360">
        <v>0</v>
      </c>
      <c r="AH317" s="360">
        <v>0</v>
      </c>
      <c r="AI317" s="360">
        <v>0</v>
      </c>
      <c r="AJ317" s="360">
        <v>0</v>
      </c>
      <c r="AK317" s="360">
        <v>0</v>
      </c>
      <c r="AL317" s="360">
        <v>0</v>
      </c>
      <c r="AM317" s="360">
        <f t="shared" si="12"/>
        <v>1042.2</v>
      </c>
      <c r="AN317" s="362">
        <f>ERP_2[[#This Row],[2026 Working Total]]-ERP_2[[#This Row],[LE2 Final Submission]]</f>
        <v>545.14</v>
      </c>
      <c r="AO317" s="79">
        <v>0</v>
      </c>
      <c r="AP317" s="79">
        <f t="shared" si="11"/>
        <v>0</v>
      </c>
      <c r="AQ317" s="374">
        <f>SUM(ERP_2[[#This Row],[AP01]:[AP06]])-SUM(ERP_2[[#This Row],[AP01 LE2]:[AP06 LE2]])</f>
        <v>545.14</v>
      </c>
      <c r="AR317" s="80"/>
      <c r="AS317" s="79">
        <f>ERP_2[[#This Row],[2026 Working Total to Budget/LE]]-ERP_2[[#This Row],[Giveback]]</f>
        <v>545.14</v>
      </c>
      <c r="AT317" s="81"/>
      <c r="AU317" s="375">
        <v>521.38</v>
      </c>
      <c r="AV317" s="375">
        <v>527.30999999999995</v>
      </c>
      <c r="AW317" s="375">
        <v>-551.63</v>
      </c>
      <c r="AX317" s="375">
        <v>0</v>
      </c>
      <c r="AY317" s="375">
        <v>0</v>
      </c>
      <c r="AZ317" s="375">
        <v>0</v>
      </c>
      <c r="BA317" s="375">
        <v>0</v>
      </c>
      <c r="BB317" s="375">
        <v>0</v>
      </c>
      <c r="BC317" s="375">
        <v>0</v>
      </c>
      <c r="BD317" s="375">
        <v>0</v>
      </c>
      <c r="BE317" s="375">
        <v>0</v>
      </c>
      <c r="BF317" s="375">
        <v>0</v>
      </c>
      <c r="BG317" s="375">
        <v>497.06000000000006</v>
      </c>
      <c r="BH317" s="79">
        <v>521.38</v>
      </c>
      <c r="BI317" s="79">
        <v>527.30999999999995</v>
      </c>
      <c r="BJ317" s="79">
        <v>-551.63</v>
      </c>
      <c r="BK317" s="79">
        <v>0</v>
      </c>
      <c r="BL317" s="79">
        <v>0</v>
      </c>
      <c r="BM317" s="79">
        <v>0</v>
      </c>
      <c r="BN317" s="79">
        <v>0</v>
      </c>
      <c r="BO317" s="79">
        <v>0</v>
      </c>
      <c r="BP317" s="79">
        <v>0</v>
      </c>
      <c r="BQ317" s="79">
        <v>0</v>
      </c>
      <c r="BR317" s="79">
        <v>0</v>
      </c>
      <c r="BS317" s="79">
        <v>0</v>
      </c>
      <c r="BT317" s="79">
        <v>497.06000000000006</v>
      </c>
    </row>
    <row r="318" spans="1:72" ht="15" hidden="1" customHeight="1">
      <c r="A318" s="79" t="s">
        <v>2019</v>
      </c>
      <c r="B318" s="79"/>
      <c r="C318" s="79" t="s">
        <v>529</v>
      </c>
      <c r="D318" s="66" t="s">
        <v>529</v>
      </c>
      <c r="E318" s="150" t="s">
        <v>1136</v>
      </c>
      <c r="F318" s="482" t="s">
        <v>1566</v>
      </c>
      <c r="G318" s="150" t="s">
        <v>1345</v>
      </c>
      <c r="H318" s="150" t="s">
        <v>1345</v>
      </c>
      <c r="I318" s="150" t="s">
        <v>1345</v>
      </c>
      <c r="J318" s="150" t="s">
        <v>1345</v>
      </c>
      <c r="K318" s="150" t="s">
        <v>1345</v>
      </c>
      <c r="L318" s="511" t="s">
        <v>389</v>
      </c>
      <c r="M318" s="392" t="s">
        <v>2020</v>
      </c>
      <c r="N318" s="343"/>
      <c r="O318" s="331"/>
      <c r="P318" s="70" t="s">
        <v>530</v>
      </c>
      <c r="Q318" s="343"/>
      <c r="R318" s="343"/>
      <c r="S318" s="346"/>
      <c r="T318" s="150" t="s">
        <v>531</v>
      </c>
      <c r="U318" s="346" t="s">
        <v>2021</v>
      </c>
      <c r="V318" s="405"/>
      <c r="W318" s="359"/>
      <c r="X318" s="380">
        <v>26000</v>
      </c>
      <c r="Y318" s="425"/>
      <c r="Z318" s="71"/>
      <c r="AA318" s="426"/>
      <c r="AB318" s="427"/>
      <c r="AC318" s="427"/>
      <c r="AD318" s="428" t="s">
        <v>1142</v>
      </c>
      <c r="AE318" s="429">
        <v>0</v>
      </c>
      <c r="AF318" s="429">
        <v>0</v>
      </c>
      <c r="AG318" s="364"/>
      <c r="AH318" s="364"/>
      <c r="AI318" s="364"/>
      <c r="AJ318" s="364">
        <v>13000</v>
      </c>
      <c r="AK318" s="364"/>
      <c r="AL318" s="364"/>
      <c r="AM318" s="360">
        <f t="shared" si="12"/>
        <v>13000</v>
      </c>
      <c r="AN318" s="362">
        <f>ERP_2[[#This Row],[2026 Working Total]]-ERP_2[[#This Row],[LE2 Final Submission]]</f>
        <v>-13000</v>
      </c>
      <c r="AO318" s="79">
        <v>13000</v>
      </c>
      <c r="AP318" s="79">
        <f t="shared" si="11"/>
        <v>-13000</v>
      </c>
      <c r="AQ318" s="374">
        <f>SUM(ERP_2[[#This Row],[AP01]:[AP06]])-SUM(ERP_2[[#This Row],[AP01 LE2]:[AP06 LE2]])</f>
        <v>-13000</v>
      </c>
      <c r="AR318" s="80"/>
      <c r="AS318" s="79"/>
      <c r="AT318" s="81"/>
      <c r="AU318" s="375"/>
      <c r="AV318" s="375"/>
      <c r="AW318" s="375"/>
      <c r="AX318" s="375"/>
      <c r="AY318" s="375">
        <v>13000</v>
      </c>
      <c r="AZ318" s="375"/>
      <c r="BA318" s="375"/>
      <c r="BB318" s="375"/>
      <c r="BC318" s="375"/>
      <c r="BD318" s="375">
        <v>13000</v>
      </c>
      <c r="BE318" s="375"/>
      <c r="BF318" s="375"/>
      <c r="BG318" s="375">
        <v>26000</v>
      </c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</row>
    <row r="319" spans="1:72" ht="15" hidden="1" customHeight="1">
      <c r="A319" s="66" t="s">
        <v>2022</v>
      </c>
      <c r="B319" s="66"/>
      <c r="C319" s="66" t="s">
        <v>532</v>
      </c>
      <c r="D319" s="66" t="s">
        <v>2023</v>
      </c>
      <c r="E319" s="150" t="s">
        <v>1136</v>
      </c>
      <c r="F319" s="482" t="s">
        <v>1566</v>
      </c>
      <c r="G319" s="150" t="s">
        <v>1345</v>
      </c>
      <c r="H319" s="150" t="s">
        <v>1437</v>
      </c>
      <c r="I319" s="150" t="s">
        <v>1345</v>
      </c>
      <c r="J319" s="150" t="s">
        <v>1437</v>
      </c>
      <c r="K319" s="150" t="s">
        <v>1346</v>
      </c>
      <c r="L319" s="511" t="s">
        <v>389</v>
      </c>
      <c r="M319" s="392" t="s">
        <v>1703</v>
      </c>
      <c r="N319" s="343"/>
      <c r="O319" s="343"/>
      <c r="P319" s="70" t="s">
        <v>365</v>
      </c>
      <c r="Q319" s="346"/>
      <c r="R319" s="346" t="s">
        <v>1140</v>
      </c>
      <c r="S319" s="346"/>
      <c r="T319" s="150" t="s">
        <v>57</v>
      </c>
      <c r="U319" s="150"/>
      <c r="V319" s="403"/>
      <c r="W319" s="406">
        <v>29055.720000000005</v>
      </c>
      <c r="X319" s="406">
        <v>28350.190000000002</v>
      </c>
      <c r="Y319" s="425"/>
      <c r="Z319" s="71"/>
      <c r="AA319" s="426">
        <v>2204.83</v>
      </c>
      <c r="AB319" s="427">
        <v>2275.48</v>
      </c>
      <c r="AC319" s="427">
        <v>2078.09</v>
      </c>
      <c r="AD319" s="428">
        <v>6776.0599999999995</v>
      </c>
      <c r="AE319" s="429">
        <v>5361.06</v>
      </c>
      <c r="AF319" s="429">
        <v>754.37999999999988</v>
      </c>
      <c r="AG319" s="363">
        <v>2421.31</v>
      </c>
      <c r="AH319" s="363">
        <v>2421.31</v>
      </c>
      <c r="AI319" s="363">
        <v>2421.31</v>
      </c>
      <c r="AJ319" s="363">
        <v>2421.31</v>
      </c>
      <c r="AK319" s="363">
        <v>2421.31</v>
      </c>
      <c r="AL319" s="363">
        <v>2421.31</v>
      </c>
      <c r="AM319" s="360">
        <f t="shared" si="12"/>
        <v>33977.760000000009</v>
      </c>
      <c r="AN319" s="362">
        <f>ERP_2[[#This Row],[2026 Working Total]]-ERP_2[[#This Row],[LE2 Final Submission]]</f>
        <v>5627.570000000007</v>
      </c>
      <c r="AO319" s="79">
        <v>2421.31</v>
      </c>
      <c r="AP319" s="79">
        <f t="shared" si="11"/>
        <v>-1666.93</v>
      </c>
      <c r="AQ319" s="374">
        <f>SUM(ERP_2[[#This Row],[AP01]:[AP06]])-SUM(ERP_2[[#This Row],[AP01 LE2]:[AP06 LE2]])</f>
        <v>5627.5700000000033</v>
      </c>
      <c r="AR319" s="80"/>
      <c r="AS319" s="79">
        <f>ERP_2[[#This Row],[2026 Working Total to Budget/LE]]-ERP_2[[#This Row],[Giveback]]</f>
        <v>5627.570000000007</v>
      </c>
      <c r="AT319" s="81"/>
      <c r="AU319" s="375">
        <v>2204.83</v>
      </c>
      <c r="AV319" s="375">
        <v>2275.48</v>
      </c>
      <c r="AW319" s="375">
        <v>2078.09</v>
      </c>
      <c r="AX319" s="375">
        <v>2421.31</v>
      </c>
      <c r="AY319" s="375">
        <v>2421.31</v>
      </c>
      <c r="AZ319" s="375">
        <v>2421.31</v>
      </c>
      <c r="BA319" s="375">
        <v>2421.31</v>
      </c>
      <c r="BB319" s="375">
        <v>2421.31</v>
      </c>
      <c r="BC319" s="375">
        <v>2421.31</v>
      </c>
      <c r="BD319" s="375">
        <v>2421.31</v>
      </c>
      <c r="BE319" s="375">
        <v>2421.31</v>
      </c>
      <c r="BF319" s="375">
        <v>2421.31</v>
      </c>
      <c r="BG319" s="375">
        <v>28350.190000000002</v>
      </c>
      <c r="BH319" s="79">
        <v>2204.83</v>
      </c>
      <c r="BI319" s="79">
        <v>2275.48</v>
      </c>
      <c r="BJ319" s="79">
        <v>2078.09</v>
      </c>
      <c r="BK319" s="79">
        <v>2421.31</v>
      </c>
      <c r="BL319" s="79">
        <v>2421.31</v>
      </c>
      <c r="BM319" s="79">
        <v>2421.31</v>
      </c>
      <c r="BN319" s="79">
        <v>2421.31</v>
      </c>
      <c r="BO319" s="79">
        <v>2421.31</v>
      </c>
      <c r="BP319" s="79">
        <v>2421.31</v>
      </c>
      <c r="BQ319" s="79">
        <v>2421.31</v>
      </c>
      <c r="BR319" s="79">
        <v>2421.31</v>
      </c>
      <c r="BS319" s="79">
        <v>2421.31</v>
      </c>
      <c r="BT319" s="79">
        <v>28350.190000000002</v>
      </c>
    </row>
    <row r="320" spans="1:72" ht="15" hidden="1" customHeight="1">
      <c r="A320" s="66" t="s">
        <v>2027</v>
      </c>
      <c r="B320" s="66"/>
      <c r="C320" s="66" t="s">
        <v>534</v>
      </c>
      <c r="D320" s="66" t="s">
        <v>2028</v>
      </c>
      <c r="E320" s="150" t="s">
        <v>1136</v>
      </c>
      <c r="F320" s="482" t="s">
        <v>1566</v>
      </c>
      <c r="G320" s="150" t="s">
        <v>1345</v>
      </c>
      <c r="H320" s="150" t="s">
        <v>1437</v>
      </c>
      <c r="I320" s="150" t="s">
        <v>1345</v>
      </c>
      <c r="J320" s="150" t="s">
        <v>1437</v>
      </c>
      <c r="K320" s="150" t="s">
        <v>1346</v>
      </c>
      <c r="L320" s="511" t="s">
        <v>389</v>
      </c>
      <c r="M320" s="392" t="s">
        <v>2029</v>
      </c>
      <c r="N320" s="343"/>
      <c r="O320" s="343"/>
      <c r="P320" s="70" t="s">
        <v>535</v>
      </c>
      <c r="Q320" s="346"/>
      <c r="R320" s="343"/>
      <c r="S320" s="346"/>
      <c r="T320" s="150" t="s">
        <v>57</v>
      </c>
      <c r="U320" s="150"/>
      <c r="V320" s="403"/>
      <c r="W320" s="406">
        <v>0</v>
      </c>
      <c r="X320" s="406">
        <v>5998.6900000000005</v>
      </c>
      <c r="Y320" s="425"/>
      <c r="Z320" s="71"/>
      <c r="AA320" s="426"/>
      <c r="AB320" s="427"/>
      <c r="AC320" s="427">
        <v>1048.69</v>
      </c>
      <c r="AD320" s="428">
        <v>0</v>
      </c>
      <c r="AE320" s="429">
        <v>0</v>
      </c>
      <c r="AF320" s="429">
        <v>0</v>
      </c>
      <c r="AG320" s="363">
        <v>550</v>
      </c>
      <c r="AH320" s="363">
        <v>550</v>
      </c>
      <c r="AI320" s="363">
        <v>550</v>
      </c>
      <c r="AJ320" s="363">
        <v>550</v>
      </c>
      <c r="AK320" s="363">
        <v>550</v>
      </c>
      <c r="AL320" s="363">
        <v>550</v>
      </c>
      <c r="AM320" s="360">
        <f t="shared" si="12"/>
        <v>4348.6900000000005</v>
      </c>
      <c r="AN320" s="362">
        <f>ERP_2[[#This Row],[2026 Working Total]]-ERP_2[[#This Row],[LE2 Final Submission]]</f>
        <v>-1650</v>
      </c>
      <c r="AO320" s="79">
        <v>550</v>
      </c>
      <c r="AP320" s="79">
        <f t="shared" si="11"/>
        <v>-550</v>
      </c>
      <c r="AQ320" s="374">
        <f>SUM(ERP_2[[#This Row],[AP01]:[AP06]])-SUM(ERP_2[[#This Row],[AP01 LE2]:[AP06 LE2]])</f>
        <v>-1650</v>
      </c>
      <c r="AR320" s="80"/>
      <c r="AS320" s="79">
        <f>ERP_2[[#This Row],[2026 Working Total to Budget/LE]]-ERP_2[[#This Row],[Giveback]]</f>
        <v>-1650</v>
      </c>
      <c r="AT320" s="81"/>
      <c r="AU320" s="375"/>
      <c r="AV320" s="375"/>
      <c r="AW320" s="375">
        <v>1048.69</v>
      </c>
      <c r="AX320" s="375">
        <v>550</v>
      </c>
      <c r="AY320" s="375">
        <v>550</v>
      </c>
      <c r="AZ320" s="375">
        <v>550</v>
      </c>
      <c r="BA320" s="375">
        <v>550</v>
      </c>
      <c r="BB320" s="375">
        <v>550</v>
      </c>
      <c r="BC320" s="375">
        <v>550</v>
      </c>
      <c r="BD320" s="375">
        <v>550</v>
      </c>
      <c r="BE320" s="375">
        <v>550</v>
      </c>
      <c r="BF320" s="375">
        <v>550</v>
      </c>
      <c r="BG320" s="375">
        <v>5998.6900000000005</v>
      </c>
      <c r="BH320" s="79"/>
      <c r="BI320" s="79"/>
      <c r="BJ320" s="79">
        <v>1048.69</v>
      </c>
      <c r="BK320" s="79">
        <v>550</v>
      </c>
      <c r="BL320" s="79">
        <v>550</v>
      </c>
      <c r="BM320" s="79">
        <v>550</v>
      </c>
      <c r="BN320" s="79">
        <v>550</v>
      </c>
      <c r="BO320" s="79">
        <v>550</v>
      </c>
      <c r="BP320" s="79">
        <v>550</v>
      </c>
      <c r="BQ320" s="79">
        <v>550</v>
      </c>
      <c r="BR320" s="79">
        <v>550</v>
      </c>
      <c r="BS320" s="79">
        <v>550</v>
      </c>
      <c r="BT320" s="79">
        <v>5998.6900000000005</v>
      </c>
    </row>
    <row r="321" spans="1:72" ht="15" hidden="1" customHeight="1">
      <c r="A321" s="66" t="s">
        <v>2030</v>
      </c>
      <c r="B321" s="66"/>
      <c r="C321" s="66" t="s">
        <v>536</v>
      </c>
      <c r="D321" s="66" t="s">
        <v>536</v>
      </c>
      <c r="E321" s="150" t="s">
        <v>1136</v>
      </c>
      <c r="F321" s="482" t="s">
        <v>1566</v>
      </c>
      <c r="G321" s="150" t="s">
        <v>1345</v>
      </c>
      <c r="H321" s="150" t="s">
        <v>1345</v>
      </c>
      <c r="I321" s="150" t="s">
        <v>1345</v>
      </c>
      <c r="J321" s="150" t="s">
        <v>1345</v>
      </c>
      <c r="K321" s="150" t="s">
        <v>1346</v>
      </c>
      <c r="L321" s="511" t="s">
        <v>389</v>
      </c>
      <c r="M321" s="392" t="s">
        <v>2031</v>
      </c>
      <c r="N321" s="343"/>
      <c r="O321" s="343"/>
      <c r="P321" s="70" t="s">
        <v>537</v>
      </c>
      <c r="Q321" s="346"/>
      <c r="R321" s="343"/>
      <c r="S321" s="346"/>
      <c r="T321" s="150" t="s">
        <v>25</v>
      </c>
      <c r="U321" s="150"/>
      <c r="V321" s="403"/>
      <c r="W321" s="406">
        <v>9476.7599999999984</v>
      </c>
      <c r="X321" s="406">
        <v>8989.8399999999983</v>
      </c>
      <c r="Y321" s="430"/>
      <c r="Z321" s="137"/>
      <c r="AA321" s="426">
        <v>730.3</v>
      </c>
      <c r="AB321" s="427">
        <v>738.84</v>
      </c>
      <c r="AC321" s="427">
        <v>752.07</v>
      </c>
      <c r="AD321" s="428">
        <v>738.27</v>
      </c>
      <c r="AE321" s="429">
        <v>704.13</v>
      </c>
      <c r="AF321" s="429">
        <v>719.83999999999992</v>
      </c>
      <c r="AG321" s="363">
        <v>752.07</v>
      </c>
      <c r="AH321" s="363">
        <v>752.07</v>
      </c>
      <c r="AI321" s="363">
        <v>752.07</v>
      </c>
      <c r="AJ321" s="363">
        <v>752.07</v>
      </c>
      <c r="AK321" s="363">
        <v>752.07</v>
      </c>
      <c r="AL321" s="363">
        <v>752.07</v>
      </c>
      <c r="AM321" s="360">
        <f t="shared" si="12"/>
        <v>8895.869999999999</v>
      </c>
      <c r="AN321" s="362">
        <f>ERP_2[[#This Row],[2026 Working Total]]-ERP_2[[#This Row],[LE2 Final Submission]]</f>
        <v>-93.969999999999345</v>
      </c>
      <c r="AO321" s="79">
        <v>752.07</v>
      </c>
      <c r="AP321" s="79">
        <f t="shared" si="11"/>
        <v>-32.230000000000132</v>
      </c>
      <c r="AQ321" s="374">
        <f>SUM(ERP_2[[#This Row],[AP01]:[AP06]])-SUM(ERP_2[[#This Row],[AP01 LE2]:[AP06 LE2]])</f>
        <v>-93.970000000000255</v>
      </c>
      <c r="AR321" s="80"/>
      <c r="AS321" s="79">
        <f>ERP_2[[#This Row],[2026 Working Total to Budget/LE]]-ERP_2[[#This Row],[Giveback]]</f>
        <v>-93.969999999999345</v>
      </c>
      <c r="AT321" s="81"/>
      <c r="AU321" s="375">
        <v>730.3</v>
      </c>
      <c r="AV321" s="375">
        <v>738.84</v>
      </c>
      <c r="AW321" s="375">
        <v>752.07</v>
      </c>
      <c r="AX321" s="375">
        <v>752.07</v>
      </c>
      <c r="AY321" s="375">
        <v>752.07</v>
      </c>
      <c r="AZ321" s="375">
        <v>752.07</v>
      </c>
      <c r="BA321" s="375">
        <v>752.07</v>
      </c>
      <c r="BB321" s="375">
        <v>752.07</v>
      </c>
      <c r="BC321" s="375">
        <v>752.07</v>
      </c>
      <c r="BD321" s="375">
        <v>752.07</v>
      </c>
      <c r="BE321" s="375">
        <v>752.07</v>
      </c>
      <c r="BF321" s="375">
        <v>752.07</v>
      </c>
      <c r="BG321" s="375">
        <v>8989.8399999999983</v>
      </c>
      <c r="BH321" s="79">
        <v>730.3</v>
      </c>
      <c r="BI321" s="79">
        <v>738.84</v>
      </c>
      <c r="BJ321" s="79">
        <v>752.07</v>
      </c>
      <c r="BK321" s="79">
        <v>789.73</v>
      </c>
      <c r="BL321" s="79">
        <v>789.73</v>
      </c>
      <c r="BM321" s="79">
        <v>789.73</v>
      </c>
      <c r="BN321" s="79">
        <v>789.73</v>
      </c>
      <c r="BO321" s="79">
        <v>789.73</v>
      </c>
      <c r="BP321" s="79">
        <v>789.73</v>
      </c>
      <c r="BQ321" s="79">
        <v>789.73</v>
      </c>
      <c r="BR321" s="79">
        <v>789.73</v>
      </c>
      <c r="BS321" s="79">
        <v>789.73</v>
      </c>
      <c r="BT321" s="79">
        <v>9328.779999999997</v>
      </c>
    </row>
    <row r="322" spans="1:72" ht="15" hidden="1" customHeight="1">
      <c r="A322" s="66" t="s">
        <v>2162</v>
      </c>
      <c r="B322" s="66"/>
      <c r="C322" s="66" t="s">
        <v>613</v>
      </c>
      <c r="D322" s="66" t="s">
        <v>613</v>
      </c>
      <c r="E322" s="150" t="s">
        <v>1136</v>
      </c>
      <c r="F322" s="482" t="s">
        <v>1566</v>
      </c>
      <c r="G322" s="150" t="s">
        <v>1345</v>
      </c>
      <c r="H322" s="150" t="s">
        <v>1345</v>
      </c>
      <c r="I322" s="150" t="s">
        <v>1345</v>
      </c>
      <c r="J322" s="150" t="s">
        <v>1345</v>
      </c>
      <c r="K322" s="150" t="s">
        <v>1346</v>
      </c>
      <c r="L322" s="511" t="s">
        <v>602</v>
      </c>
      <c r="M322" s="392" t="s">
        <v>611</v>
      </c>
      <c r="N322" s="343"/>
      <c r="O322" s="343"/>
      <c r="P322" s="70" t="s">
        <v>610</v>
      </c>
      <c r="Q322" s="346"/>
      <c r="R322" s="343"/>
      <c r="S322" s="346"/>
      <c r="T322" s="150" t="s">
        <v>611</v>
      </c>
      <c r="U322" s="150"/>
      <c r="V322" s="403"/>
      <c r="W322" s="406">
        <v>0</v>
      </c>
      <c r="X322" s="406">
        <v>57</v>
      </c>
      <c r="Y322" s="425"/>
      <c r="Z322" s="71"/>
      <c r="AA322" s="426">
        <v>57</v>
      </c>
      <c r="AB322" s="431">
        <v>0</v>
      </c>
      <c r="AC322" s="431">
        <v>0</v>
      </c>
      <c r="AD322" s="428">
        <v>0</v>
      </c>
      <c r="AE322" s="429">
        <v>16</v>
      </c>
      <c r="AF322" s="429">
        <v>0</v>
      </c>
      <c r="AG322" s="360">
        <v>0</v>
      </c>
      <c r="AH322" s="360">
        <v>0</v>
      </c>
      <c r="AI322" s="360">
        <v>0</v>
      </c>
      <c r="AJ322" s="360">
        <v>0</v>
      </c>
      <c r="AK322" s="360">
        <v>0</v>
      </c>
      <c r="AL322" s="360">
        <v>0</v>
      </c>
      <c r="AM322" s="360">
        <f t="shared" si="12"/>
        <v>73</v>
      </c>
      <c r="AN322" s="362">
        <f>ERP_2[[#This Row],[2026 Working Total]]-ERP_2[[#This Row],[LE2 Final Submission]]</f>
        <v>16</v>
      </c>
      <c r="AO322" s="79">
        <v>0</v>
      </c>
      <c r="AP322" s="79">
        <f t="shared" si="11"/>
        <v>0</v>
      </c>
      <c r="AQ322" s="374">
        <f>SUM(ERP_2[[#This Row],[AP01]:[AP06]])-SUM(ERP_2[[#This Row],[AP01 LE2]:[AP06 LE2]])</f>
        <v>16</v>
      </c>
      <c r="AR322" s="80"/>
      <c r="AS322" s="79">
        <f>ERP_2[[#This Row],[2026 Working Total to Budget/LE]]-ERP_2[[#This Row],[Giveback]]</f>
        <v>16</v>
      </c>
      <c r="AT322" s="81"/>
      <c r="AU322" s="375">
        <v>57</v>
      </c>
      <c r="AV322" s="375">
        <v>0</v>
      </c>
      <c r="AW322" s="375">
        <v>0</v>
      </c>
      <c r="AX322" s="375">
        <v>0</v>
      </c>
      <c r="AY322" s="375">
        <v>0</v>
      </c>
      <c r="AZ322" s="375">
        <v>0</v>
      </c>
      <c r="BA322" s="375">
        <v>0</v>
      </c>
      <c r="BB322" s="375">
        <v>0</v>
      </c>
      <c r="BC322" s="375">
        <v>0</v>
      </c>
      <c r="BD322" s="375">
        <v>0</v>
      </c>
      <c r="BE322" s="375">
        <v>0</v>
      </c>
      <c r="BF322" s="375">
        <v>0</v>
      </c>
      <c r="BG322" s="375">
        <v>57</v>
      </c>
      <c r="BH322" s="79">
        <v>57</v>
      </c>
      <c r="BI322" s="79">
        <v>0</v>
      </c>
      <c r="BJ322" s="79">
        <v>0</v>
      </c>
      <c r="BK322" s="79">
        <v>0</v>
      </c>
      <c r="BL322" s="79">
        <v>0</v>
      </c>
      <c r="BM322" s="79">
        <v>0</v>
      </c>
      <c r="BN322" s="79">
        <v>0</v>
      </c>
      <c r="BO322" s="79">
        <v>0</v>
      </c>
      <c r="BP322" s="79">
        <v>0</v>
      </c>
      <c r="BQ322" s="79">
        <v>0</v>
      </c>
      <c r="BR322" s="79">
        <v>0</v>
      </c>
      <c r="BS322" s="79">
        <v>0</v>
      </c>
      <c r="BT322" s="79">
        <v>57</v>
      </c>
    </row>
    <row r="323" spans="1:72" ht="15" hidden="1" customHeight="1">
      <c r="A323" s="66" t="s">
        <v>2652</v>
      </c>
      <c r="B323" s="66"/>
      <c r="C323" s="66" t="s">
        <v>932</v>
      </c>
      <c r="D323" s="66" t="s">
        <v>2653</v>
      </c>
      <c r="E323" s="150" t="s">
        <v>1136</v>
      </c>
      <c r="F323" s="482" t="s">
        <v>1566</v>
      </c>
      <c r="G323" s="150" t="s">
        <v>1345</v>
      </c>
      <c r="H323" s="150" t="s">
        <v>1437</v>
      </c>
      <c r="I323" s="150" t="s">
        <v>1345</v>
      </c>
      <c r="J323" s="150" t="s">
        <v>1437</v>
      </c>
      <c r="K323" s="150" t="s">
        <v>1346</v>
      </c>
      <c r="L323" s="511" t="s">
        <v>639</v>
      </c>
      <c r="M323" s="392" t="s">
        <v>2654</v>
      </c>
      <c r="N323" s="343"/>
      <c r="O323" s="343"/>
      <c r="P323" s="70" t="s">
        <v>933</v>
      </c>
      <c r="Q323" s="346"/>
      <c r="R323" s="343"/>
      <c r="S323" s="346"/>
      <c r="T323" s="150" t="s">
        <v>152</v>
      </c>
      <c r="U323" s="150" t="s">
        <v>1992</v>
      </c>
      <c r="V323" s="403"/>
      <c r="W323" s="406">
        <v>39999.960000000014</v>
      </c>
      <c r="X323" s="406">
        <v>0</v>
      </c>
      <c r="Y323" s="425"/>
      <c r="Z323" s="71"/>
      <c r="AA323" s="426"/>
      <c r="AB323" s="427"/>
      <c r="AC323" s="427"/>
      <c r="AD323" s="428" t="s">
        <v>1142</v>
      </c>
      <c r="AE323" s="429">
        <v>0</v>
      </c>
      <c r="AF323" s="429">
        <v>0</v>
      </c>
      <c r="AG323" s="363"/>
      <c r="AH323" s="363"/>
      <c r="AI323" s="363"/>
      <c r="AJ323" s="363"/>
      <c r="AK323" s="363"/>
      <c r="AL323" s="363"/>
      <c r="AM323" s="360">
        <f t="shared" si="12"/>
        <v>0</v>
      </c>
      <c r="AN323" s="362">
        <f>ERP_2[[#This Row],[2026 Working Total]]-ERP_2[[#This Row],[LE2 Final Submission]]</f>
        <v>0</v>
      </c>
      <c r="AO323" s="79">
        <v>0</v>
      </c>
      <c r="AP323" s="79">
        <f t="shared" si="11"/>
        <v>0</v>
      </c>
      <c r="AQ323" s="374">
        <f>SUM(ERP_2[[#This Row],[AP01]:[AP06]])-SUM(ERP_2[[#This Row],[AP01 LE2]:[AP06 LE2]])</f>
        <v>0</v>
      </c>
      <c r="AR323" s="80"/>
      <c r="AS323" s="79">
        <f>ERP_2[[#This Row],[2026 Working Total to Budget/LE]]-ERP_2[[#This Row],[Giveback]]</f>
        <v>0</v>
      </c>
      <c r="AT323" s="81" t="s">
        <v>2655</v>
      </c>
      <c r="AU323" s="375"/>
      <c r="AV323" s="375"/>
      <c r="AW323" s="375"/>
      <c r="AX323" s="375"/>
      <c r="AY323" s="375"/>
      <c r="AZ323" s="375"/>
      <c r="BA323" s="375"/>
      <c r="BB323" s="375"/>
      <c r="BC323" s="375"/>
      <c r="BD323" s="375"/>
      <c r="BE323" s="375"/>
      <c r="BF323" s="375"/>
      <c r="BG323" s="375">
        <v>0</v>
      </c>
      <c r="BH323" s="79"/>
      <c r="BI323" s="79"/>
      <c r="BJ323" s="79"/>
      <c r="BK323" s="79">
        <v>4000</v>
      </c>
      <c r="BL323" s="79">
        <v>4000</v>
      </c>
      <c r="BM323" s="79">
        <v>4000</v>
      </c>
      <c r="BN323" s="79">
        <v>4000</v>
      </c>
      <c r="BO323" s="79">
        <v>4000</v>
      </c>
      <c r="BP323" s="79">
        <v>4000</v>
      </c>
      <c r="BQ323" s="79">
        <v>4000</v>
      </c>
      <c r="BR323" s="79">
        <v>4000</v>
      </c>
      <c r="BS323" s="79">
        <v>4000</v>
      </c>
      <c r="BT323" s="79">
        <v>36000</v>
      </c>
    </row>
    <row r="324" spans="1:72" ht="15" hidden="1" customHeight="1">
      <c r="A324" s="66" t="s">
        <v>2656</v>
      </c>
      <c r="B324" s="66"/>
      <c r="C324" s="66" t="s">
        <v>934</v>
      </c>
      <c r="D324" s="66" t="s">
        <v>934</v>
      </c>
      <c r="E324" s="150" t="s">
        <v>1136</v>
      </c>
      <c r="F324" s="482" t="s">
        <v>1566</v>
      </c>
      <c r="G324" s="150" t="s">
        <v>1345</v>
      </c>
      <c r="H324" s="150" t="s">
        <v>1345</v>
      </c>
      <c r="I324" s="150" t="s">
        <v>1345</v>
      </c>
      <c r="J324" s="150" t="s">
        <v>1345</v>
      </c>
      <c r="K324" s="150" t="s">
        <v>1346</v>
      </c>
      <c r="L324" s="511" t="s">
        <v>639</v>
      </c>
      <c r="M324" s="392" t="s">
        <v>2657</v>
      </c>
      <c r="N324" s="343"/>
      <c r="O324" s="343"/>
      <c r="P324" s="70" t="s">
        <v>935</v>
      </c>
      <c r="Q324" s="346"/>
      <c r="R324" s="343"/>
      <c r="S324" s="346"/>
      <c r="T324" s="150" t="s">
        <v>152</v>
      </c>
      <c r="U324" s="150" t="s">
        <v>2658</v>
      </c>
      <c r="V324" s="403"/>
      <c r="W324" s="406">
        <v>0</v>
      </c>
      <c r="X324" s="406">
        <v>0</v>
      </c>
      <c r="Y324" s="430"/>
      <c r="Z324" s="137"/>
      <c r="AA324" s="426"/>
      <c r="AB324" s="427"/>
      <c r="AC324" s="427"/>
      <c r="AD324" s="428" t="s">
        <v>1142</v>
      </c>
      <c r="AE324" s="429">
        <v>0</v>
      </c>
      <c r="AF324" s="429">
        <v>0</v>
      </c>
      <c r="AG324" s="363">
        <v>0</v>
      </c>
      <c r="AH324" s="363">
        <v>81120</v>
      </c>
      <c r="AI324" s="363">
        <v>-81120</v>
      </c>
      <c r="AJ324" s="363">
        <v>0</v>
      </c>
      <c r="AK324" s="363">
        <v>0</v>
      </c>
      <c r="AL324" s="363">
        <v>0</v>
      </c>
      <c r="AM324" s="360">
        <f t="shared" si="12"/>
        <v>0</v>
      </c>
      <c r="AN324" s="362">
        <f>ERP_2[[#This Row],[2026 Working Total]]-ERP_2[[#This Row],[LE2 Final Submission]]</f>
        <v>0</v>
      </c>
      <c r="AO324" s="79">
        <v>0</v>
      </c>
      <c r="AP324" s="79">
        <f t="shared" si="11"/>
        <v>0</v>
      </c>
      <c r="AQ324" s="374">
        <f>SUM(ERP_2[[#This Row],[AP01]:[AP06]])-SUM(ERP_2[[#This Row],[AP01 LE2]:[AP06 LE2]])</f>
        <v>0</v>
      </c>
      <c r="AR324" s="80"/>
      <c r="AS324" s="79">
        <f>ERP_2[[#This Row],[2026 Working Total to Budget/LE]]-ERP_2[[#This Row],[Giveback]]</f>
        <v>0</v>
      </c>
      <c r="AT324" s="81"/>
      <c r="AU324" s="375"/>
      <c r="AV324" s="375"/>
      <c r="AW324" s="375"/>
      <c r="AX324" s="375">
        <v>0</v>
      </c>
      <c r="AY324" s="375">
        <v>0</v>
      </c>
      <c r="AZ324" s="375">
        <v>0</v>
      </c>
      <c r="BA324" s="375">
        <v>0</v>
      </c>
      <c r="BB324" s="375">
        <v>81120</v>
      </c>
      <c r="BC324" s="375">
        <v>-81120</v>
      </c>
      <c r="BD324" s="375">
        <v>0</v>
      </c>
      <c r="BE324" s="375">
        <v>0</v>
      </c>
      <c r="BF324" s="375">
        <v>0</v>
      </c>
      <c r="BG324" s="375">
        <v>0</v>
      </c>
      <c r="BH324" s="79"/>
      <c r="BI324" s="79"/>
      <c r="BJ324" s="79"/>
      <c r="BK324" s="79">
        <v>3235.5</v>
      </c>
      <c r="BL324" s="79">
        <v>3235.5</v>
      </c>
      <c r="BM324" s="79">
        <v>3235.5</v>
      </c>
      <c r="BN324" s="79">
        <v>3235.5</v>
      </c>
      <c r="BO324" s="79">
        <v>3235.5</v>
      </c>
      <c r="BP324" s="79">
        <v>3235.5</v>
      </c>
      <c r="BQ324" s="79">
        <v>3235.5</v>
      </c>
      <c r="BR324" s="79">
        <v>3235.5</v>
      </c>
      <c r="BS324" s="79">
        <v>-35590.5</v>
      </c>
      <c r="BT324" s="79">
        <v>-9706.5</v>
      </c>
    </row>
    <row r="325" spans="1:72" ht="15" hidden="1" customHeight="1">
      <c r="A325" s="66" t="s">
        <v>2659</v>
      </c>
      <c r="B325" s="66"/>
      <c r="C325" s="66" t="s">
        <v>936</v>
      </c>
      <c r="D325" s="66" t="s">
        <v>936</v>
      </c>
      <c r="E325" s="150" t="s">
        <v>1136</v>
      </c>
      <c r="F325" s="482" t="s">
        <v>1566</v>
      </c>
      <c r="G325" s="150" t="s">
        <v>1345</v>
      </c>
      <c r="H325" s="150" t="s">
        <v>1345</v>
      </c>
      <c r="I325" s="150" t="s">
        <v>1345</v>
      </c>
      <c r="J325" s="150" t="s">
        <v>1345</v>
      </c>
      <c r="K325" s="150" t="s">
        <v>1346</v>
      </c>
      <c r="L325" s="511" t="s">
        <v>639</v>
      </c>
      <c r="M325" s="392" t="s">
        <v>2660</v>
      </c>
      <c r="N325" s="343"/>
      <c r="O325" s="343"/>
      <c r="P325" s="70" t="s">
        <v>937</v>
      </c>
      <c r="Q325" s="343" t="s">
        <v>1139</v>
      </c>
      <c r="R325" s="343"/>
      <c r="S325" s="346"/>
      <c r="T325" s="150" t="s">
        <v>152</v>
      </c>
      <c r="U325" s="150" t="s">
        <v>2661</v>
      </c>
      <c r="V325" s="403"/>
      <c r="W325" s="406">
        <v>174240</v>
      </c>
      <c r="X325" s="406">
        <v>0</v>
      </c>
      <c r="Y325" s="425"/>
      <c r="Z325" s="71"/>
      <c r="AA325" s="426"/>
      <c r="AB325" s="427"/>
      <c r="AC325" s="427"/>
      <c r="AD325" s="428" t="s">
        <v>1142</v>
      </c>
      <c r="AE325" s="429">
        <v>0</v>
      </c>
      <c r="AF325" s="429">
        <v>0</v>
      </c>
      <c r="AG325" s="363">
        <f t="shared" ref="AG325:AL325" si="14">14520-14520</f>
        <v>0</v>
      </c>
      <c r="AH325" s="363">
        <f t="shared" si="14"/>
        <v>0</v>
      </c>
      <c r="AI325" s="363">
        <f t="shared" si="14"/>
        <v>0</v>
      </c>
      <c r="AJ325" s="363">
        <f t="shared" si="14"/>
        <v>0</v>
      </c>
      <c r="AK325" s="363">
        <f t="shared" si="14"/>
        <v>0</v>
      </c>
      <c r="AL325" s="363">
        <f t="shared" si="14"/>
        <v>0</v>
      </c>
      <c r="AM325" s="360">
        <f t="shared" si="12"/>
        <v>0</v>
      </c>
      <c r="AN325" s="362">
        <f>ERP_2[[#This Row],[2026 Working Total]]-ERP_2[[#This Row],[LE2 Final Submission]]</f>
        <v>0</v>
      </c>
      <c r="AO325" s="79"/>
      <c r="AP325" s="79">
        <f t="shared" si="11"/>
        <v>0</v>
      </c>
      <c r="AQ325" s="374">
        <f>SUM(ERP_2[[#This Row],[AP01]:[AP06]])-SUM(ERP_2[[#This Row],[AP01 LE2]:[AP06 LE2]])</f>
        <v>0</v>
      </c>
      <c r="AR325" s="80"/>
      <c r="AS325" s="79">
        <f>ERP_2[[#This Row],[2026 Working Total to Budget/LE]]-ERP_2[[#This Row],[Giveback]]</f>
        <v>0</v>
      </c>
      <c r="AT325" s="81"/>
      <c r="AU325" s="375"/>
      <c r="AV325" s="375"/>
      <c r="AW325" s="375"/>
      <c r="AX325" s="375">
        <v>0</v>
      </c>
      <c r="AY325" s="375">
        <v>0</v>
      </c>
      <c r="AZ325" s="375">
        <v>0</v>
      </c>
      <c r="BA325" s="375">
        <v>0</v>
      </c>
      <c r="BB325" s="375">
        <v>0</v>
      </c>
      <c r="BC325" s="375">
        <v>0</v>
      </c>
      <c r="BD325" s="375">
        <v>0</v>
      </c>
      <c r="BE325" s="375">
        <v>0</v>
      </c>
      <c r="BF325" s="375">
        <v>0</v>
      </c>
      <c r="BG325" s="375">
        <v>0</v>
      </c>
      <c r="BH325" s="79"/>
      <c r="BI325" s="79"/>
      <c r="BJ325" s="79"/>
      <c r="BK325" s="79">
        <v>14520</v>
      </c>
      <c r="BL325" s="79">
        <v>14520</v>
      </c>
      <c r="BM325" s="79">
        <v>14520</v>
      </c>
      <c r="BN325" s="79">
        <v>14520</v>
      </c>
      <c r="BO325" s="79">
        <v>14520</v>
      </c>
      <c r="BP325" s="79">
        <v>14520</v>
      </c>
      <c r="BQ325" s="79">
        <v>14520</v>
      </c>
      <c r="BR325" s="79">
        <v>14520</v>
      </c>
      <c r="BS325" s="79">
        <v>14520</v>
      </c>
      <c r="BT325" s="79">
        <v>130680</v>
      </c>
    </row>
    <row r="326" spans="1:72" ht="15" hidden="1" customHeight="1">
      <c r="A326" s="66" t="s">
        <v>2662</v>
      </c>
      <c r="B326" s="66"/>
      <c r="C326" s="66" t="s">
        <v>938</v>
      </c>
      <c r="D326" s="66" t="s">
        <v>938</v>
      </c>
      <c r="E326" s="150" t="s">
        <v>1136</v>
      </c>
      <c r="F326" s="482" t="s">
        <v>1566</v>
      </c>
      <c r="G326" s="150" t="s">
        <v>1345</v>
      </c>
      <c r="H326" s="150" t="s">
        <v>1345</v>
      </c>
      <c r="I326" s="150" t="s">
        <v>1345</v>
      </c>
      <c r="J326" s="150" t="s">
        <v>1345</v>
      </c>
      <c r="K326" s="150" t="s">
        <v>1346</v>
      </c>
      <c r="L326" s="511" t="s">
        <v>639</v>
      </c>
      <c r="M326" s="392" t="s">
        <v>2663</v>
      </c>
      <c r="N326" s="343"/>
      <c r="O326" s="343"/>
      <c r="P326" s="70" t="s">
        <v>939</v>
      </c>
      <c r="Q326" s="343" t="s">
        <v>1139</v>
      </c>
      <c r="R326" s="343"/>
      <c r="S326" s="346"/>
      <c r="T326" s="150" t="s">
        <v>152</v>
      </c>
      <c r="U326" s="150" t="s">
        <v>2661</v>
      </c>
      <c r="V326" s="403"/>
      <c r="W326" s="406">
        <v>266860.99999999988</v>
      </c>
      <c r="X326" s="406">
        <v>0</v>
      </c>
      <c r="Y326" s="425"/>
      <c r="Z326" s="71"/>
      <c r="AA326" s="426"/>
      <c r="AB326" s="427"/>
      <c r="AC326" s="427"/>
      <c r="AD326" s="428" t="s">
        <v>1142</v>
      </c>
      <c r="AE326" s="429">
        <v>0</v>
      </c>
      <c r="AF326" s="429">
        <v>0</v>
      </c>
      <c r="AG326" s="363">
        <f t="shared" ref="AG326:AL326" si="15">22238.42-22238.42</f>
        <v>0</v>
      </c>
      <c r="AH326" s="363">
        <f t="shared" si="15"/>
        <v>0</v>
      </c>
      <c r="AI326" s="363">
        <f t="shared" si="15"/>
        <v>0</v>
      </c>
      <c r="AJ326" s="363">
        <f t="shared" si="15"/>
        <v>0</v>
      </c>
      <c r="AK326" s="363">
        <f t="shared" si="15"/>
        <v>0</v>
      </c>
      <c r="AL326" s="363">
        <f t="shared" si="15"/>
        <v>0</v>
      </c>
      <c r="AM326" s="360">
        <f t="shared" si="12"/>
        <v>0</v>
      </c>
      <c r="AN326" s="362">
        <f>ERP_2[[#This Row],[2026 Working Total]]-ERP_2[[#This Row],[LE2 Final Submission]]</f>
        <v>0</v>
      </c>
      <c r="AO326" s="79">
        <v>924.99</v>
      </c>
      <c r="AP326" s="79">
        <f t="shared" si="11"/>
        <v>-924.99</v>
      </c>
      <c r="AQ326" s="374">
        <f>SUM(ERP_2[[#This Row],[AP01]:[AP06]])-SUM(ERP_2[[#This Row],[AP01 LE2]:[AP06 LE2]])</f>
        <v>0</v>
      </c>
      <c r="AR326" s="80"/>
      <c r="AS326" s="79">
        <f>ERP_2[[#This Row],[2026 Working Total to Budget/LE]]-ERP_2[[#This Row],[Giveback]]</f>
        <v>0</v>
      </c>
      <c r="AT326" s="81"/>
      <c r="AU326" s="375"/>
      <c r="AV326" s="375"/>
      <c r="AW326" s="375"/>
      <c r="AX326" s="375">
        <v>0</v>
      </c>
      <c r="AY326" s="375">
        <v>0</v>
      </c>
      <c r="AZ326" s="375">
        <v>0</v>
      </c>
      <c r="BA326" s="375">
        <v>0</v>
      </c>
      <c r="BB326" s="375">
        <v>0</v>
      </c>
      <c r="BC326" s="375">
        <v>0</v>
      </c>
      <c r="BD326" s="375">
        <v>0</v>
      </c>
      <c r="BE326" s="375">
        <v>0</v>
      </c>
      <c r="BF326" s="375">
        <v>0</v>
      </c>
      <c r="BG326" s="375">
        <v>0</v>
      </c>
      <c r="BH326" s="79"/>
      <c r="BI326" s="79"/>
      <c r="BJ326" s="79"/>
      <c r="BK326" s="79">
        <v>22238.42</v>
      </c>
      <c r="BL326" s="79">
        <v>22238.42</v>
      </c>
      <c r="BM326" s="79">
        <v>22238.42</v>
      </c>
      <c r="BN326" s="79">
        <v>22238.42</v>
      </c>
      <c r="BO326" s="79">
        <v>22238.42</v>
      </c>
      <c r="BP326" s="79">
        <v>22238.42</v>
      </c>
      <c r="BQ326" s="79">
        <v>22238.42</v>
      </c>
      <c r="BR326" s="79">
        <v>22238.42</v>
      </c>
      <c r="BS326" s="79">
        <v>22238.42</v>
      </c>
      <c r="BT326" s="79">
        <v>200145.77999999997</v>
      </c>
    </row>
    <row r="327" spans="1:72" ht="15" hidden="1" customHeight="1">
      <c r="A327" s="79" t="s">
        <v>2667</v>
      </c>
      <c r="B327" s="79"/>
      <c r="C327" s="79" t="s">
        <v>941</v>
      </c>
      <c r="D327" s="296" t="s">
        <v>941</v>
      </c>
      <c r="E327" s="150" t="s">
        <v>1136</v>
      </c>
      <c r="F327" s="482" t="s">
        <v>1566</v>
      </c>
      <c r="G327" s="150" t="s">
        <v>1345</v>
      </c>
      <c r="H327" s="150" t="s">
        <v>1345</v>
      </c>
      <c r="I327" s="332" t="s">
        <v>1345</v>
      </c>
      <c r="J327" s="332" t="s">
        <v>1345</v>
      </c>
      <c r="K327" s="332" t="s">
        <v>1345</v>
      </c>
      <c r="L327" s="514" t="s">
        <v>639</v>
      </c>
      <c r="M327" s="394" t="s">
        <v>2668</v>
      </c>
      <c r="N327" s="343"/>
      <c r="O327" s="333"/>
      <c r="P327" s="70" t="s">
        <v>53</v>
      </c>
      <c r="Q327" s="347"/>
      <c r="R327" s="343"/>
      <c r="S327" s="348"/>
      <c r="T327" s="348"/>
      <c r="U327" s="348" t="s">
        <v>1700</v>
      </c>
      <c r="V327" s="402"/>
      <c r="W327" s="358"/>
      <c r="X327" s="379">
        <v>0</v>
      </c>
      <c r="Y327" s="425"/>
      <c r="Z327" s="71"/>
      <c r="AA327" s="435"/>
      <c r="AB327" s="436"/>
      <c r="AC327" s="436"/>
      <c r="AD327" s="428" t="s">
        <v>1142</v>
      </c>
      <c r="AE327" s="429">
        <v>0</v>
      </c>
      <c r="AF327" s="429">
        <v>0</v>
      </c>
      <c r="AG327" s="364"/>
      <c r="AH327" s="364"/>
      <c r="AI327" s="364"/>
      <c r="AJ327" s="364"/>
      <c r="AK327" s="364"/>
      <c r="AL327" s="364"/>
      <c r="AM327" s="360">
        <f t="shared" si="12"/>
        <v>0</v>
      </c>
      <c r="AN327" s="362">
        <f>ERP_2[[#This Row],[2026 Working Total]]-ERP_2[[#This Row],[LE2 Final Submission]]</f>
        <v>0</v>
      </c>
      <c r="AO327" s="79">
        <v>-180</v>
      </c>
      <c r="AP327" s="79">
        <f t="shared" si="11"/>
        <v>180</v>
      </c>
      <c r="AQ327" s="374">
        <f>SUM(ERP_2[[#This Row],[AP01]:[AP06]])-SUM(ERP_2[[#This Row],[AP01 LE2]:[AP06 LE2]])</f>
        <v>0</v>
      </c>
      <c r="AR327" s="80"/>
      <c r="AS327" s="79">
        <f>ERP_2[[#This Row],[2026 Working Total to Budget/LE]]-ERP_2[[#This Row],[Giveback]]</f>
        <v>0</v>
      </c>
      <c r="AT327" s="81"/>
      <c r="AU327" s="375"/>
      <c r="AV327" s="375"/>
      <c r="AW327" s="375"/>
      <c r="AX327" s="375">
        <v>180</v>
      </c>
      <c r="AY327" s="375">
        <v>-180</v>
      </c>
      <c r="AZ327" s="375"/>
      <c r="BA327" s="375"/>
      <c r="BB327" s="375"/>
      <c r="BC327" s="375"/>
      <c r="BD327" s="375"/>
      <c r="BE327" s="375"/>
      <c r="BF327" s="375"/>
      <c r="BG327" s="375">
        <v>0</v>
      </c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</row>
    <row r="328" spans="1:72" ht="15" hidden="1" customHeight="1">
      <c r="A328" s="66" t="s">
        <v>2669</v>
      </c>
      <c r="B328" s="66"/>
      <c r="C328" s="66" t="s">
        <v>942</v>
      </c>
      <c r="D328" s="66" t="s">
        <v>2670</v>
      </c>
      <c r="E328" s="150" t="s">
        <v>1136</v>
      </c>
      <c r="F328" s="482" t="s">
        <v>1566</v>
      </c>
      <c r="G328" s="150" t="s">
        <v>1345</v>
      </c>
      <c r="H328" s="150" t="s">
        <v>1437</v>
      </c>
      <c r="I328" s="150" t="s">
        <v>1345</v>
      </c>
      <c r="J328" s="150" t="s">
        <v>1437</v>
      </c>
      <c r="K328" s="150" t="s">
        <v>1346</v>
      </c>
      <c r="L328" s="511" t="s">
        <v>639</v>
      </c>
      <c r="M328" s="392" t="s">
        <v>1174</v>
      </c>
      <c r="N328" s="343"/>
      <c r="O328" s="343"/>
      <c r="P328" s="70" t="s">
        <v>56</v>
      </c>
      <c r="Q328" s="346"/>
      <c r="R328" s="346" t="s">
        <v>1140</v>
      </c>
      <c r="S328" s="346"/>
      <c r="T328" s="150" t="s">
        <v>57</v>
      </c>
      <c r="U328" s="150"/>
      <c r="V328" s="403"/>
      <c r="W328" s="406">
        <v>23474.640000000003</v>
      </c>
      <c r="X328" s="406">
        <v>27085.450000000004</v>
      </c>
      <c r="Y328" s="425"/>
      <c r="Z328" s="71"/>
      <c r="AA328" s="426">
        <v>1816.49</v>
      </c>
      <c r="AB328" s="427">
        <v>1816.49</v>
      </c>
      <c r="AC328" s="427">
        <v>5846.49</v>
      </c>
      <c r="AD328" s="428">
        <v>1816.49</v>
      </c>
      <c r="AE328" s="429">
        <v>1816.49</v>
      </c>
      <c r="AF328" s="429">
        <v>1816.49</v>
      </c>
      <c r="AG328" s="363">
        <v>1956.22</v>
      </c>
      <c r="AH328" s="363">
        <v>1956.22</v>
      </c>
      <c r="AI328" s="363">
        <v>1956.22</v>
      </c>
      <c r="AJ328" s="363">
        <v>1956.22</v>
      </c>
      <c r="AK328" s="363">
        <v>1956.22</v>
      </c>
      <c r="AL328" s="363">
        <v>1956.22</v>
      </c>
      <c r="AM328" s="360">
        <f t="shared" si="12"/>
        <v>26666.260000000006</v>
      </c>
      <c r="AN328" s="362">
        <f>ERP_2[[#This Row],[2026 Working Total]]-ERP_2[[#This Row],[LE2 Final Submission]]</f>
        <v>-419.18999999999869</v>
      </c>
      <c r="AO328" s="79">
        <v>1956.22</v>
      </c>
      <c r="AP328" s="79">
        <f t="shared" ref="AP328:AP391" si="16">$AF328 - $AO328</f>
        <v>-139.73000000000002</v>
      </c>
      <c r="AQ328" s="374">
        <f>SUM(ERP_2[[#This Row],[AP01]:[AP06]])-SUM(ERP_2[[#This Row],[AP01 LE2]:[AP06 LE2]])</f>
        <v>-419.18999999999869</v>
      </c>
      <c r="AR328" s="80"/>
      <c r="AS328" s="79">
        <f>ERP_2[[#This Row],[2026 Working Total to Budget/LE]]-ERP_2[[#This Row],[Giveback]]</f>
        <v>-419.18999999999869</v>
      </c>
      <c r="AT328" s="81"/>
      <c r="AU328" s="375">
        <v>1816.49</v>
      </c>
      <c r="AV328" s="375">
        <v>1816.49</v>
      </c>
      <c r="AW328" s="375">
        <v>5846.49</v>
      </c>
      <c r="AX328" s="375">
        <v>1956.22</v>
      </c>
      <c r="AY328" s="375">
        <v>1956.22</v>
      </c>
      <c r="AZ328" s="375">
        <v>1956.22</v>
      </c>
      <c r="BA328" s="375">
        <v>1956.22</v>
      </c>
      <c r="BB328" s="375">
        <v>1956.22</v>
      </c>
      <c r="BC328" s="375">
        <v>1956.22</v>
      </c>
      <c r="BD328" s="375">
        <v>1956.22</v>
      </c>
      <c r="BE328" s="375">
        <v>1956.22</v>
      </c>
      <c r="BF328" s="375">
        <v>1956.22</v>
      </c>
      <c r="BG328" s="375">
        <v>27085.450000000004</v>
      </c>
      <c r="BH328" s="79">
        <v>1816.49</v>
      </c>
      <c r="BI328" s="79">
        <v>1816.49</v>
      </c>
      <c r="BJ328" s="79">
        <v>5846.49</v>
      </c>
      <c r="BK328" s="79">
        <v>1956.22</v>
      </c>
      <c r="BL328" s="79">
        <v>1956.22</v>
      </c>
      <c r="BM328" s="79">
        <v>1956.22</v>
      </c>
      <c r="BN328" s="79">
        <v>1956.22</v>
      </c>
      <c r="BO328" s="79">
        <v>1956.22</v>
      </c>
      <c r="BP328" s="79">
        <v>1956.22</v>
      </c>
      <c r="BQ328" s="79">
        <v>1956.22</v>
      </c>
      <c r="BR328" s="79">
        <v>1956.22</v>
      </c>
      <c r="BS328" s="79">
        <v>1956.22</v>
      </c>
      <c r="BT328" s="79">
        <v>27085.450000000004</v>
      </c>
    </row>
    <row r="329" spans="1:72" ht="15" hidden="1" customHeight="1">
      <c r="A329" s="66" t="s">
        <v>2671</v>
      </c>
      <c r="B329" s="66"/>
      <c r="C329" s="66" t="s">
        <v>943</v>
      </c>
      <c r="D329" s="66" t="s">
        <v>2672</v>
      </c>
      <c r="E329" s="150" t="s">
        <v>1136</v>
      </c>
      <c r="F329" s="482" t="s">
        <v>1566</v>
      </c>
      <c r="G329" s="150" t="s">
        <v>1345</v>
      </c>
      <c r="H329" s="150" t="s">
        <v>1437</v>
      </c>
      <c r="I329" s="150" t="s">
        <v>1345</v>
      </c>
      <c r="J329" s="150" t="s">
        <v>1437</v>
      </c>
      <c r="K329" s="150" t="s">
        <v>1346</v>
      </c>
      <c r="L329" s="511" t="s">
        <v>639</v>
      </c>
      <c r="M329" s="392" t="s">
        <v>2673</v>
      </c>
      <c r="N329" s="343" t="s">
        <v>2674</v>
      </c>
      <c r="O329" s="346" t="s">
        <v>2675</v>
      </c>
      <c r="P329" s="70" t="s">
        <v>944</v>
      </c>
      <c r="Q329" s="346"/>
      <c r="R329" s="346" t="s">
        <v>2676</v>
      </c>
      <c r="S329" s="346"/>
      <c r="T329" s="150" t="s">
        <v>25</v>
      </c>
      <c r="U329" s="150"/>
      <c r="V329" s="403"/>
      <c r="W329" s="406">
        <v>0</v>
      </c>
      <c r="X329" s="406">
        <v>729.19</v>
      </c>
      <c r="Y329" s="425"/>
      <c r="Z329" s="71"/>
      <c r="AA329" s="426">
        <v>139.72999999999999</v>
      </c>
      <c r="AB329" s="427">
        <v>139.72999999999999</v>
      </c>
      <c r="AC329" s="427">
        <v>449.73</v>
      </c>
      <c r="AD329" s="428">
        <v>139.72999999999999</v>
      </c>
      <c r="AE329" s="429">
        <v>139.72999999999999</v>
      </c>
      <c r="AF329" s="429">
        <v>139.72999999999999</v>
      </c>
      <c r="AG329" s="360">
        <v>0</v>
      </c>
      <c r="AH329" s="360">
        <v>0</v>
      </c>
      <c r="AI329" s="360">
        <v>0</v>
      </c>
      <c r="AJ329" s="360">
        <v>0</v>
      </c>
      <c r="AK329" s="360">
        <v>0</v>
      </c>
      <c r="AL329" s="360">
        <v>0</v>
      </c>
      <c r="AM329" s="360">
        <f t="shared" si="12"/>
        <v>1148.3800000000001</v>
      </c>
      <c r="AN329" s="362">
        <f>ERP_2[[#This Row],[2026 Working Total]]-ERP_2[[#This Row],[LE2 Final Submission]]</f>
        <v>419.19000000000005</v>
      </c>
      <c r="AO329" s="79">
        <v>0</v>
      </c>
      <c r="AP329" s="79">
        <f t="shared" si="16"/>
        <v>139.72999999999999</v>
      </c>
      <c r="AQ329" s="374">
        <f>SUM(ERP_2[[#This Row],[AP01]:[AP06]])-SUM(ERP_2[[#This Row],[AP01 LE2]:[AP06 LE2]])</f>
        <v>419.19000000000005</v>
      </c>
      <c r="AR329" s="80"/>
      <c r="AS329" s="79">
        <f>ERP_2[[#This Row],[2026 Working Total to Budget/LE]]-ERP_2[[#This Row],[Giveback]]</f>
        <v>419.19000000000005</v>
      </c>
      <c r="AT329" s="81"/>
      <c r="AU329" s="375">
        <v>139.72999999999999</v>
      </c>
      <c r="AV329" s="375">
        <v>139.72999999999999</v>
      </c>
      <c r="AW329" s="375">
        <v>449.73</v>
      </c>
      <c r="AX329" s="375">
        <v>0</v>
      </c>
      <c r="AY329" s="375">
        <v>0</v>
      </c>
      <c r="AZ329" s="375">
        <v>0</v>
      </c>
      <c r="BA329" s="375">
        <v>0</v>
      </c>
      <c r="BB329" s="375">
        <v>0</v>
      </c>
      <c r="BC329" s="375">
        <v>0</v>
      </c>
      <c r="BD329" s="375">
        <v>0</v>
      </c>
      <c r="BE329" s="375">
        <v>0</v>
      </c>
      <c r="BF329" s="375">
        <v>0</v>
      </c>
      <c r="BG329" s="375">
        <v>729.19</v>
      </c>
      <c r="BH329" s="79">
        <v>139.72999999999999</v>
      </c>
      <c r="BI329" s="79">
        <v>139.72999999999999</v>
      </c>
      <c r="BJ329" s="79">
        <v>449.73</v>
      </c>
      <c r="BK329" s="79">
        <v>0</v>
      </c>
      <c r="BL329" s="79">
        <v>0</v>
      </c>
      <c r="BM329" s="79">
        <v>0</v>
      </c>
      <c r="BN329" s="79">
        <v>0</v>
      </c>
      <c r="BO329" s="79">
        <v>0</v>
      </c>
      <c r="BP329" s="79">
        <v>0</v>
      </c>
      <c r="BQ329" s="79">
        <v>0</v>
      </c>
      <c r="BR329" s="79">
        <v>0</v>
      </c>
      <c r="BS329" s="79">
        <v>0</v>
      </c>
      <c r="BT329" s="79">
        <v>729.19</v>
      </c>
    </row>
    <row r="330" spans="1:72" ht="15" hidden="1" customHeight="1">
      <c r="A330" s="66" t="s">
        <v>2677</v>
      </c>
      <c r="B330" s="66"/>
      <c r="C330" s="66" t="s">
        <v>945</v>
      </c>
      <c r="D330" s="66" t="s">
        <v>2678</v>
      </c>
      <c r="E330" s="150" t="s">
        <v>1136</v>
      </c>
      <c r="F330" s="482" t="s">
        <v>1566</v>
      </c>
      <c r="G330" s="150" t="s">
        <v>1345</v>
      </c>
      <c r="H330" s="150" t="s">
        <v>1437</v>
      </c>
      <c r="I330" s="150" t="s">
        <v>1345</v>
      </c>
      <c r="J330" s="150" t="s">
        <v>1437</v>
      </c>
      <c r="K330" s="150" t="s">
        <v>1346</v>
      </c>
      <c r="L330" s="511" t="s">
        <v>639</v>
      </c>
      <c r="M330" s="392" t="s">
        <v>2274</v>
      </c>
      <c r="N330" s="343"/>
      <c r="O330" s="343"/>
      <c r="P330" s="70" t="s">
        <v>673</v>
      </c>
      <c r="Q330" s="346"/>
      <c r="R330" s="346" t="s">
        <v>1140</v>
      </c>
      <c r="S330" s="346"/>
      <c r="T330" s="150" t="s">
        <v>57</v>
      </c>
      <c r="U330" s="150"/>
      <c r="V330" s="403"/>
      <c r="W330" s="406">
        <v>18499.8</v>
      </c>
      <c r="X330" s="406">
        <v>16958.149999999998</v>
      </c>
      <c r="Y330" s="425"/>
      <c r="Z330" s="71"/>
      <c r="AA330" s="426">
        <v>1541.65</v>
      </c>
      <c r="AB330" s="431">
        <v>0</v>
      </c>
      <c r="AC330" s="427">
        <v>1541.65</v>
      </c>
      <c r="AD330" s="428">
        <v>1541.65</v>
      </c>
      <c r="AE330" s="429">
        <v>1541.65</v>
      </c>
      <c r="AF330" s="429">
        <v>1541.65</v>
      </c>
      <c r="AG330" s="363">
        <v>1541.65</v>
      </c>
      <c r="AH330" s="363">
        <v>1541.65</v>
      </c>
      <c r="AI330" s="363">
        <v>1541.65</v>
      </c>
      <c r="AJ330" s="363">
        <v>1541.65</v>
      </c>
      <c r="AK330" s="363">
        <v>1541.65</v>
      </c>
      <c r="AL330" s="363">
        <v>1541.65</v>
      </c>
      <c r="AM330" s="360">
        <f t="shared" si="12"/>
        <v>16958.149999999998</v>
      </c>
      <c r="AN330" s="362">
        <f>ERP_2[[#This Row],[2026 Working Total]]-ERP_2[[#This Row],[LE2 Final Submission]]</f>
        <v>0</v>
      </c>
      <c r="AO330" s="79">
        <v>1541.65</v>
      </c>
      <c r="AP330" s="79">
        <f t="shared" si="16"/>
        <v>0</v>
      </c>
      <c r="AQ330" s="374">
        <f>SUM(ERP_2[[#This Row],[AP01]:[AP06]])-SUM(ERP_2[[#This Row],[AP01 LE2]:[AP06 LE2]])</f>
        <v>0</v>
      </c>
      <c r="AR330" s="80"/>
      <c r="AS330" s="79">
        <f>ERP_2[[#This Row],[2026 Working Total to Budget/LE]]-ERP_2[[#This Row],[Giveback]]</f>
        <v>0</v>
      </c>
      <c r="AT330" s="81"/>
      <c r="AU330" s="375">
        <v>1541.65</v>
      </c>
      <c r="AV330" s="375">
        <v>0</v>
      </c>
      <c r="AW330" s="375">
        <v>1541.65</v>
      </c>
      <c r="AX330" s="375">
        <v>1541.65</v>
      </c>
      <c r="AY330" s="375">
        <v>1541.65</v>
      </c>
      <c r="AZ330" s="375">
        <v>1541.65</v>
      </c>
      <c r="BA330" s="375">
        <v>1541.65</v>
      </c>
      <c r="BB330" s="375">
        <v>1541.65</v>
      </c>
      <c r="BC330" s="375">
        <v>1541.65</v>
      </c>
      <c r="BD330" s="375">
        <v>1541.65</v>
      </c>
      <c r="BE330" s="375">
        <v>1541.65</v>
      </c>
      <c r="BF330" s="375">
        <v>1541.65</v>
      </c>
      <c r="BG330" s="375">
        <v>16958.149999999998</v>
      </c>
      <c r="BH330" s="79">
        <v>1541.65</v>
      </c>
      <c r="BI330" s="79">
        <v>0</v>
      </c>
      <c r="BJ330" s="79">
        <v>1541.65</v>
      </c>
      <c r="BK330" s="79">
        <v>1541.65</v>
      </c>
      <c r="BL330" s="79">
        <v>1541.65</v>
      </c>
      <c r="BM330" s="79">
        <v>1541.65</v>
      </c>
      <c r="BN330" s="79">
        <v>1541.65</v>
      </c>
      <c r="BO330" s="79">
        <v>1541.65</v>
      </c>
      <c r="BP330" s="79">
        <v>1541.65</v>
      </c>
      <c r="BQ330" s="79">
        <v>1541.65</v>
      </c>
      <c r="BR330" s="79">
        <v>1541.65</v>
      </c>
      <c r="BS330" s="79">
        <v>1541.65</v>
      </c>
      <c r="BT330" s="79">
        <v>16958.149999999998</v>
      </c>
    </row>
    <row r="331" spans="1:72" ht="15" hidden="1" customHeight="1">
      <c r="A331" s="66" t="s">
        <v>2679</v>
      </c>
      <c r="B331" s="66"/>
      <c r="C331" s="66" t="s">
        <v>946</v>
      </c>
      <c r="D331" s="66" t="s">
        <v>946</v>
      </c>
      <c r="E331" s="150" t="s">
        <v>1136</v>
      </c>
      <c r="F331" s="482" t="s">
        <v>1566</v>
      </c>
      <c r="G331" s="150" t="s">
        <v>1345</v>
      </c>
      <c r="H331" s="150" t="s">
        <v>1345</v>
      </c>
      <c r="I331" s="150" t="s">
        <v>1345</v>
      </c>
      <c r="J331" s="150" t="s">
        <v>1345</v>
      </c>
      <c r="K331" s="150" t="s">
        <v>1346</v>
      </c>
      <c r="L331" s="511" t="s">
        <v>639</v>
      </c>
      <c r="M331" s="392" t="s">
        <v>2285</v>
      </c>
      <c r="N331" s="343"/>
      <c r="O331" s="343"/>
      <c r="P331" s="70" t="s">
        <v>676</v>
      </c>
      <c r="Q331" s="346"/>
      <c r="R331" s="346" t="s">
        <v>1140</v>
      </c>
      <c r="S331" s="346"/>
      <c r="T331" s="150" t="s">
        <v>677</v>
      </c>
      <c r="U331" s="150"/>
      <c r="V331" s="403"/>
      <c r="W331" s="406">
        <v>275</v>
      </c>
      <c r="X331" s="406">
        <v>227</v>
      </c>
      <c r="Y331" s="425"/>
      <c r="Z331" s="71"/>
      <c r="AA331" s="426"/>
      <c r="AB331" s="427">
        <v>227</v>
      </c>
      <c r="AC331" s="431">
        <v>0</v>
      </c>
      <c r="AD331" s="428">
        <v>0</v>
      </c>
      <c r="AE331" s="429">
        <v>0</v>
      </c>
      <c r="AF331" s="429">
        <v>0</v>
      </c>
      <c r="AG331" s="360">
        <v>0</v>
      </c>
      <c r="AH331" s="360">
        <v>0</v>
      </c>
      <c r="AI331" s="360">
        <v>0</v>
      </c>
      <c r="AJ331" s="360">
        <v>0</v>
      </c>
      <c r="AK331" s="360">
        <v>0</v>
      </c>
      <c r="AL331" s="360">
        <v>0</v>
      </c>
      <c r="AM331" s="360">
        <f t="shared" si="12"/>
        <v>227</v>
      </c>
      <c r="AN331" s="362">
        <f>ERP_2[[#This Row],[2026 Working Total]]-ERP_2[[#This Row],[LE2 Final Submission]]</f>
        <v>0</v>
      </c>
      <c r="AO331" s="79">
        <v>0</v>
      </c>
      <c r="AP331" s="79">
        <f t="shared" si="16"/>
        <v>0</v>
      </c>
      <c r="AQ331" s="374">
        <f>SUM(ERP_2[[#This Row],[AP01]:[AP06]])-SUM(ERP_2[[#This Row],[AP01 LE2]:[AP06 LE2]])</f>
        <v>0</v>
      </c>
      <c r="AR331" s="80"/>
      <c r="AS331" s="79">
        <f>ERP_2[[#This Row],[2026 Working Total to Budget/LE]]-ERP_2[[#This Row],[Giveback]]</f>
        <v>0</v>
      </c>
      <c r="AT331" s="81"/>
      <c r="AU331" s="375"/>
      <c r="AV331" s="375">
        <v>227</v>
      </c>
      <c r="AW331" s="375">
        <v>0</v>
      </c>
      <c r="AX331" s="375">
        <v>0</v>
      </c>
      <c r="AY331" s="375">
        <v>0</v>
      </c>
      <c r="AZ331" s="375">
        <v>0</v>
      </c>
      <c r="BA331" s="375">
        <v>0</v>
      </c>
      <c r="BB331" s="375">
        <v>0</v>
      </c>
      <c r="BC331" s="375">
        <v>0</v>
      </c>
      <c r="BD331" s="375">
        <v>0</v>
      </c>
      <c r="BE331" s="375">
        <v>0</v>
      </c>
      <c r="BF331" s="375">
        <v>0</v>
      </c>
      <c r="BG331" s="375">
        <v>227</v>
      </c>
      <c r="BH331" s="79"/>
      <c r="BI331" s="79">
        <v>227</v>
      </c>
      <c r="BJ331" s="79">
        <v>0</v>
      </c>
      <c r="BK331" s="79">
        <v>0</v>
      </c>
      <c r="BL331" s="79">
        <v>0</v>
      </c>
      <c r="BM331" s="79">
        <v>0</v>
      </c>
      <c r="BN331" s="79">
        <v>0</v>
      </c>
      <c r="BO331" s="79">
        <v>0</v>
      </c>
      <c r="BP331" s="79">
        <v>0</v>
      </c>
      <c r="BQ331" s="79">
        <v>0</v>
      </c>
      <c r="BR331" s="79">
        <v>0</v>
      </c>
      <c r="BS331" s="79">
        <v>0</v>
      </c>
      <c r="BT331" s="79">
        <v>227</v>
      </c>
    </row>
    <row r="332" spans="1:72" ht="15" hidden="1" customHeight="1">
      <c r="A332" s="66" t="s">
        <v>2680</v>
      </c>
      <c r="B332" s="66"/>
      <c r="C332" s="66" t="s">
        <v>947</v>
      </c>
      <c r="D332" s="66" t="s">
        <v>2681</v>
      </c>
      <c r="E332" s="150" t="s">
        <v>1136</v>
      </c>
      <c r="F332" s="482" t="s">
        <v>1566</v>
      </c>
      <c r="G332" s="150" t="s">
        <v>1345</v>
      </c>
      <c r="H332" s="150" t="s">
        <v>1437</v>
      </c>
      <c r="I332" s="150" t="s">
        <v>1345</v>
      </c>
      <c r="J332" s="150" t="s">
        <v>1437</v>
      </c>
      <c r="K332" s="150" t="s">
        <v>1346</v>
      </c>
      <c r="L332" s="511" t="s">
        <v>639</v>
      </c>
      <c r="M332" s="392" t="s">
        <v>2682</v>
      </c>
      <c r="N332" s="343"/>
      <c r="O332" s="343"/>
      <c r="P332" s="70" t="s">
        <v>948</v>
      </c>
      <c r="Q332" s="346"/>
      <c r="R332" s="346" t="s">
        <v>2683</v>
      </c>
      <c r="S332" s="346"/>
      <c r="T332" s="150" t="s">
        <v>949</v>
      </c>
      <c r="U332" s="150" t="s">
        <v>2684</v>
      </c>
      <c r="V332" s="403"/>
      <c r="W332" s="406">
        <v>7299999.96</v>
      </c>
      <c r="X332" s="406">
        <v>7299999.96</v>
      </c>
      <c r="Y332" s="425"/>
      <c r="Z332" s="71"/>
      <c r="AA332" s="426"/>
      <c r="AB332" s="427">
        <v>1216666.6599999999</v>
      </c>
      <c r="AC332" s="427">
        <v>608333.32999999996</v>
      </c>
      <c r="AD332" s="428">
        <v>0</v>
      </c>
      <c r="AE332" s="429">
        <v>1216666.6599999999</v>
      </c>
      <c r="AF332" s="429">
        <v>608333.32999999996</v>
      </c>
      <c r="AG332" s="363">
        <f>608333.33-608333.33</f>
        <v>0</v>
      </c>
      <c r="AH332" s="363">
        <f>608333.33*2</f>
        <v>1216666.6599999999</v>
      </c>
      <c r="AI332" s="363">
        <v>608333.32999999996</v>
      </c>
      <c r="AJ332" s="363">
        <f>608333.33-608333.33</f>
        <v>0</v>
      </c>
      <c r="AK332" s="363">
        <f>608333.33*2</f>
        <v>1216666.6599999999</v>
      </c>
      <c r="AL332" s="363">
        <v>608333.32999999996</v>
      </c>
      <c r="AM332" s="360">
        <f t="shared" si="12"/>
        <v>7299999.96</v>
      </c>
      <c r="AN332" s="362">
        <f>ERP_2[[#This Row],[2026 Working Total]]-ERP_2[[#This Row],[LE2 Final Submission]]</f>
        <v>0</v>
      </c>
      <c r="AO332" s="79">
        <v>1216666.6599999999</v>
      </c>
      <c r="AP332" s="79">
        <f t="shared" si="16"/>
        <v>-608333.32999999996</v>
      </c>
      <c r="AQ332" s="374">
        <f>SUM(ERP_2[[#This Row],[AP01]:[AP06]])-SUM(ERP_2[[#This Row],[AP01 LE2]:[AP06 LE2]])</f>
        <v>0</v>
      </c>
      <c r="AR332" s="80"/>
      <c r="AS332" s="79">
        <f>ERP_2[[#This Row],[2026 Working Total to Budget/LE]]-ERP_2[[#This Row],[Giveback]]</f>
        <v>0</v>
      </c>
      <c r="AT332" s="81"/>
      <c r="AU332" s="375"/>
      <c r="AV332" s="375">
        <v>1216666.6599999999</v>
      </c>
      <c r="AW332" s="375">
        <v>608333.32999999996</v>
      </c>
      <c r="AX332" s="375">
        <v>0</v>
      </c>
      <c r="AY332" s="375">
        <v>1216666.6599999999</v>
      </c>
      <c r="AZ332" s="375">
        <v>608333.32999999996</v>
      </c>
      <c r="BA332" s="375">
        <v>0</v>
      </c>
      <c r="BB332" s="375">
        <v>1216666.6599999999</v>
      </c>
      <c r="BC332" s="375">
        <v>608333.32999999996</v>
      </c>
      <c r="BD332" s="375">
        <v>0</v>
      </c>
      <c r="BE332" s="375">
        <v>1216666.6599999999</v>
      </c>
      <c r="BF332" s="375">
        <v>608333.32999999996</v>
      </c>
      <c r="BG332" s="375">
        <v>7299999.96</v>
      </c>
      <c r="BH332" s="79"/>
      <c r="BI332" s="79">
        <v>1216666.6599999999</v>
      </c>
      <c r="BJ332" s="79">
        <v>608333.32999999996</v>
      </c>
      <c r="BK332" s="79">
        <v>608333.32999999996</v>
      </c>
      <c r="BL332" s="79">
        <v>608333.32999999996</v>
      </c>
      <c r="BM332" s="79">
        <v>608333.32999999996</v>
      </c>
      <c r="BN332" s="79">
        <v>608333.32999999996</v>
      </c>
      <c r="BO332" s="79">
        <v>608333.32999999996</v>
      </c>
      <c r="BP332" s="79">
        <v>608333.32999999996</v>
      </c>
      <c r="BQ332" s="79">
        <v>608333.32999999996</v>
      </c>
      <c r="BR332" s="79">
        <v>608333.32999999996</v>
      </c>
      <c r="BS332" s="79">
        <v>608333.32999999996</v>
      </c>
      <c r="BT332" s="79">
        <v>7299999.96</v>
      </c>
    </row>
    <row r="333" spans="1:72" ht="15" hidden="1" customHeight="1">
      <c r="A333" s="79" t="s">
        <v>2692</v>
      </c>
      <c r="B333" s="79"/>
      <c r="C333" s="79" t="s">
        <v>951</v>
      </c>
      <c r="D333" s="296" t="s">
        <v>2693</v>
      </c>
      <c r="E333" s="150" t="s">
        <v>1136</v>
      </c>
      <c r="F333" s="482" t="s">
        <v>1566</v>
      </c>
      <c r="G333" s="332" t="s">
        <v>1345</v>
      </c>
      <c r="H333" s="383" t="s">
        <v>1437</v>
      </c>
      <c r="I333" s="332" t="s">
        <v>1345</v>
      </c>
      <c r="J333" s="383" t="s">
        <v>1437</v>
      </c>
      <c r="K333" s="333" t="s">
        <v>1346</v>
      </c>
      <c r="L333" s="512" t="s">
        <v>639</v>
      </c>
      <c r="M333" s="393" t="s">
        <v>2694</v>
      </c>
      <c r="N333" s="343" t="s">
        <v>949</v>
      </c>
      <c r="O333" s="332" t="s">
        <v>1438</v>
      </c>
      <c r="P333" s="91" t="s">
        <v>952</v>
      </c>
      <c r="Q333" s="347"/>
      <c r="R333" s="346" t="s">
        <v>2695</v>
      </c>
      <c r="S333" s="346" t="s">
        <v>1710</v>
      </c>
      <c r="T333" s="386" t="s">
        <v>863</v>
      </c>
      <c r="U333" s="346" t="s">
        <v>1348</v>
      </c>
      <c r="V333" s="437"/>
      <c r="W333" s="358">
        <v>231903.75</v>
      </c>
      <c r="X333" s="378">
        <v>0</v>
      </c>
      <c r="Y333" s="425"/>
      <c r="Z333" s="71"/>
      <c r="AA333" s="433"/>
      <c r="AB333" s="434"/>
      <c r="AC333" s="434"/>
      <c r="AD333" s="428" t="s">
        <v>1142</v>
      </c>
      <c r="AE333" s="429">
        <v>0</v>
      </c>
      <c r="AF333" s="429">
        <v>0</v>
      </c>
      <c r="AG333" s="388">
        <v>0</v>
      </c>
      <c r="AH333" s="388">
        <v>0</v>
      </c>
      <c r="AI333" s="388">
        <v>0</v>
      </c>
      <c r="AJ333" s="388">
        <v>0</v>
      </c>
      <c r="AK333" s="388">
        <v>0</v>
      </c>
      <c r="AL333" s="388">
        <v>0</v>
      </c>
      <c r="AM333" s="360">
        <f t="shared" si="12"/>
        <v>0</v>
      </c>
      <c r="AN333" s="362">
        <f>ERP_2[[#This Row],[2026 Working Total]]-ERP_2[[#This Row],[LE2 Final Submission]]</f>
        <v>0</v>
      </c>
      <c r="AO333" s="79">
        <v>0</v>
      </c>
      <c r="AP333" s="79">
        <f t="shared" si="16"/>
        <v>0</v>
      </c>
      <c r="AQ333" s="374">
        <f>SUM(ERP_2[[#This Row],[AP01]:[AP06]])-SUM(ERP_2[[#This Row],[AP01 LE2]:[AP06 LE2]])</f>
        <v>0</v>
      </c>
      <c r="AR333" s="80"/>
      <c r="AS333" s="79">
        <f>ERP_2[[#This Row],[2026 Working Total to Budget/LE]]-ERP_2[[#This Row],[Giveback]]</f>
        <v>0</v>
      </c>
      <c r="AT333" s="81"/>
      <c r="AU333" s="375"/>
      <c r="AV333" s="375"/>
      <c r="AW333" s="375"/>
      <c r="AX333" s="375">
        <v>0</v>
      </c>
      <c r="AY333" s="375">
        <v>0</v>
      </c>
      <c r="AZ333" s="375">
        <v>0</v>
      </c>
      <c r="BA333" s="375">
        <v>0</v>
      </c>
      <c r="BB333" s="375">
        <v>0</v>
      </c>
      <c r="BC333" s="375">
        <v>0</v>
      </c>
      <c r="BD333" s="375">
        <v>0</v>
      </c>
      <c r="BE333" s="375">
        <v>0</v>
      </c>
      <c r="BF333" s="375">
        <v>0</v>
      </c>
      <c r="BG333" s="375">
        <v>0</v>
      </c>
      <c r="BH333" s="103">
        <v>231903.75</v>
      </c>
      <c r="BI333" s="103">
        <v>0</v>
      </c>
      <c r="BJ333" s="103">
        <v>0</v>
      </c>
      <c r="BK333" s="103">
        <v>0</v>
      </c>
      <c r="BL333" s="103">
        <v>0</v>
      </c>
      <c r="BM333" s="103">
        <v>0</v>
      </c>
      <c r="BN333" s="103">
        <v>0</v>
      </c>
      <c r="BO333" s="103">
        <v>0</v>
      </c>
      <c r="BP333" s="103">
        <v>0</v>
      </c>
      <c r="BQ333" s="103">
        <v>0</v>
      </c>
      <c r="BR333" s="103">
        <v>0</v>
      </c>
      <c r="BS333" s="103">
        <v>0</v>
      </c>
      <c r="BT333" s="79">
        <f>SUM(ERP_2[[#This Row],[2026 AP01]:[2026 AP12]])</f>
        <v>231903.75</v>
      </c>
    </row>
    <row r="334" spans="1:72" ht="15" hidden="1" customHeight="1">
      <c r="A334" s="79" t="s">
        <v>2696</v>
      </c>
      <c r="B334" s="79"/>
      <c r="C334" s="79" t="s">
        <v>953</v>
      </c>
      <c r="D334" s="296" t="s">
        <v>2697</v>
      </c>
      <c r="E334" s="150" t="s">
        <v>1136</v>
      </c>
      <c r="F334" s="482" t="s">
        <v>1566</v>
      </c>
      <c r="G334" s="332" t="s">
        <v>1345</v>
      </c>
      <c r="H334" s="383" t="s">
        <v>1437</v>
      </c>
      <c r="I334" s="332" t="s">
        <v>1345</v>
      </c>
      <c r="J334" s="383" t="s">
        <v>1437</v>
      </c>
      <c r="K334" s="333" t="s">
        <v>1346</v>
      </c>
      <c r="L334" s="512" t="s">
        <v>639</v>
      </c>
      <c r="M334" s="393" t="s">
        <v>2698</v>
      </c>
      <c r="N334" s="343" t="s">
        <v>949</v>
      </c>
      <c r="O334" s="332" t="s">
        <v>1438</v>
      </c>
      <c r="P334" s="91" t="s">
        <v>954</v>
      </c>
      <c r="Q334" s="347"/>
      <c r="R334" s="346" t="s">
        <v>2695</v>
      </c>
      <c r="S334" s="346" t="s">
        <v>1710</v>
      </c>
      <c r="T334" s="386" t="s">
        <v>863</v>
      </c>
      <c r="U334" s="346" t="s">
        <v>1348</v>
      </c>
      <c r="V334" s="437"/>
      <c r="W334" s="358">
        <v>-231903.75</v>
      </c>
      <c r="X334" s="378">
        <v>0</v>
      </c>
      <c r="Y334" s="425"/>
      <c r="Z334" s="71"/>
      <c r="AA334" s="433"/>
      <c r="AB334" s="434"/>
      <c r="AC334" s="434"/>
      <c r="AD334" s="428" t="s">
        <v>1142</v>
      </c>
      <c r="AE334" s="429">
        <v>0</v>
      </c>
      <c r="AF334" s="429">
        <v>0</v>
      </c>
      <c r="AG334" s="388">
        <v>0</v>
      </c>
      <c r="AH334" s="388">
        <v>0</v>
      </c>
      <c r="AI334" s="388">
        <v>0</v>
      </c>
      <c r="AJ334" s="388">
        <v>0</v>
      </c>
      <c r="AK334" s="388">
        <v>0</v>
      </c>
      <c r="AL334" s="388">
        <v>0</v>
      </c>
      <c r="AM334" s="360">
        <f t="shared" si="12"/>
        <v>0</v>
      </c>
      <c r="AN334" s="362">
        <f>ERP_2[[#This Row],[2026 Working Total]]-ERP_2[[#This Row],[LE2 Final Submission]]</f>
        <v>0</v>
      </c>
      <c r="AO334" s="79">
        <v>0</v>
      </c>
      <c r="AP334" s="79">
        <f t="shared" si="16"/>
        <v>0</v>
      </c>
      <c r="AQ334" s="374">
        <f>SUM(ERP_2[[#This Row],[AP01]:[AP06]])-SUM(ERP_2[[#This Row],[AP01 LE2]:[AP06 LE2]])</f>
        <v>0</v>
      </c>
      <c r="AR334" s="80"/>
      <c r="AS334" s="79">
        <f>ERP_2[[#This Row],[2026 Working Total to Budget/LE]]-ERP_2[[#This Row],[Giveback]]</f>
        <v>0</v>
      </c>
      <c r="AT334" s="81"/>
      <c r="AU334" s="375"/>
      <c r="AV334" s="375"/>
      <c r="AW334" s="375"/>
      <c r="AX334" s="375">
        <v>0</v>
      </c>
      <c r="AY334" s="375">
        <v>0</v>
      </c>
      <c r="AZ334" s="375">
        <v>0</v>
      </c>
      <c r="BA334" s="375">
        <v>0</v>
      </c>
      <c r="BB334" s="375">
        <v>0</v>
      </c>
      <c r="BC334" s="375">
        <v>0</v>
      </c>
      <c r="BD334" s="375">
        <v>0</v>
      </c>
      <c r="BE334" s="375">
        <v>0</v>
      </c>
      <c r="BF334" s="375">
        <v>0</v>
      </c>
      <c r="BG334" s="375">
        <v>0</v>
      </c>
      <c r="BH334" s="103">
        <v>-231903.75</v>
      </c>
      <c r="BI334" s="103">
        <v>0</v>
      </c>
      <c r="BJ334" s="103">
        <v>0</v>
      </c>
      <c r="BK334" s="103">
        <v>0</v>
      </c>
      <c r="BL334" s="103">
        <v>0</v>
      </c>
      <c r="BM334" s="103">
        <v>0</v>
      </c>
      <c r="BN334" s="103">
        <v>0</v>
      </c>
      <c r="BO334" s="103">
        <v>0</v>
      </c>
      <c r="BP334" s="103">
        <v>0</v>
      </c>
      <c r="BQ334" s="103">
        <v>0</v>
      </c>
      <c r="BR334" s="103">
        <v>0</v>
      </c>
      <c r="BS334" s="103">
        <v>0</v>
      </c>
      <c r="BT334" s="79">
        <f>SUM(ERP_2[[#This Row],[2026 AP01]:[2026 AP12]])</f>
        <v>-231903.75</v>
      </c>
    </row>
    <row r="335" spans="1:72" ht="15" hidden="1" customHeight="1">
      <c r="A335" s="66" t="s">
        <v>1449</v>
      </c>
      <c r="B335" s="66"/>
      <c r="C335" s="66" t="s">
        <v>204</v>
      </c>
      <c r="D335" s="66" t="s">
        <v>204</v>
      </c>
      <c r="E335" s="150" t="s">
        <v>1136</v>
      </c>
      <c r="F335" s="482" t="s">
        <v>1566</v>
      </c>
      <c r="G335" s="150" t="s">
        <v>1450</v>
      </c>
      <c r="H335" s="150" t="s">
        <v>1450</v>
      </c>
      <c r="I335" s="150" t="s">
        <v>1345</v>
      </c>
      <c r="J335" s="150" t="s">
        <v>1450</v>
      </c>
      <c r="K335" s="150" t="s">
        <v>1346</v>
      </c>
      <c r="L335" s="511" t="s">
        <v>49</v>
      </c>
      <c r="M335" s="392" t="s">
        <v>1174</v>
      </c>
      <c r="N335" s="343"/>
      <c r="O335" s="343"/>
      <c r="P335" s="70" t="s">
        <v>56</v>
      </c>
      <c r="Q335" s="346"/>
      <c r="R335" s="346" t="s">
        <v>1140</v>
      </c>
      <c r="S335" s="346"/>
      <c r="T335" s="150" t="s">
        <v>57</v>
      </c>
      <c r="U335" s="150"/>
      <c r="V335" s="403"/>
      <c r="W335" s="406">
        <v>0</v>
      </c>
      <c r="X335" s="406">
        <v>2893.46</v>
      </c>
      <c r="Y335" s="425"/>
      <c r="Z335" s="71"/>
      <c r="AA335" s="426">
        <v>183.12</v>
      </c>
      <c r="AB335" s="427">
        <v>1029.04</v>
      </c>
      <c r="AC335" s="427">
        <v>1681.3</v>
      </c>
      <c r="AD335" s="428">
        <v>1593.8</v>
      </c>
      <c r="AE335" s="429">
        <v>85.08</v>
      </c>
      <c r="AF335" s="429">
        <v>0</v>
      </c>
      <c r="AG335" s="360">
        <v>0</v>
      </c>
      <c r="AH335" s="360">
        <v>0</v>
      </c>
      <c r="AI335" s="360">
        <v>0</v>
      </c>
      <c r="AJ335" s="360">
        <v>0</v>
      </c>
      <c r="AK335" s="360">
        <v>0</v>
      </c>
      <c r="AL335" s="360">
        <v>0</v>
      </c>
      <c r="AM335" s="360">
        <f t="shared" si="12"/>
        <v>4572.34</v>
      </c>
      <c r="AN335" s="362">
        <f>ERP_2[[#This Row],[2026 Working Total]]-ERP_2[[#This Row],[LE2 Final Submission]]</f>
        <v>1678.88</v>
      </c>
      <c r="AO335" s="79">
        <v>0</v>
      </c>
      <c r="AP335" s="79">
        <f t="shared" si="16"/>
        <v>0</v>
      </c>
      <c r="AQ335" s="374">
        <f>SUM(ERP_2[[#This Row],[AP01]:[AP06]])-SUM(ERP_2[[#This Row],[AP01 LE2]:[AP06 LE2]])</f>
        <v>1678.88</v>
      </c>
      <c r="AR335" s="80"/>
      <c r="AS335" s="79">
        <f>ERP_2[[#This Row],[2026 Working Total to Budget/LE]]-ERP_2[[#This Row],[Giveback]]</f>
        <v>1678.88</v>
      </c>
      <c r="AT335" s="81"/>
      <c r="AU335" s="375">
        <v>183.12</v>
      </c>
      <c r="AV335" s="375">
        <v>1029.04</v>
      </c>
      <c r="AW335" s="375">
        <v>1681.3</v>
      </c>
      <c r="AX335" s="375">
        <v>0</v>
      </c>
      <c r="AY335" s="375">
        <v>0</v>
      </c>
      <c r="AZ335" s="375">
        <v>0</v>
      </c>
      <c r="BA335" s="375">
        <v>0</v>
      </c>
      <c r="BB335" s="375">
        <v>0</v>
      </c>
      <c r="BC335" s="375">
        <v>0</v>
      </c>
      <c r="BD335" s="375">
        <v>0</v>
      </c>
      <c r="BE335" s="375">
        <v>0</v>
      </c>
      <c r="BF335" s="375">
        <v>0</v>
      </c>
      <c r="BG335" s="375">
        <v>2893.46</v>
      </c>
      <c r="BH335" s="79">
        <v>183.12</v>
      </c>
      <c r="BI335" s="79">
        <v>1029.04</v>
      </c>
      <c r="BJ335" s="79">
        <v>1681.3</v>
      </c>
      <c r="BK335" s="79">
        <v>0</v>
      </c>
      <c r="BL335" s="79">
        <v>0</v>
      </c>
      <c r="BM335" s="79">
        <v>0</v>
      </c>
      <c r="BN335" s="79">
        <v>0</v>
      </c>
      <c r="BO335" s="79">
        <v>0</v>
      </c>
      <c r="BP335" s="79">
        <v>0</v>
      </c>
      <c r="BQ335" s="79">
        <v>0</v>
      </c>
      <c r="BR335" s="79">
        <v>0</v>
      </c>
      <c r="BS335" s="79">
        <v>0</v>
      </c>
      <c r="BT335" s="79">
        <v>2893.46</v>
      </c>
    </row>
    <row r="336" spans="1:72" ht="15" hidden="1" customHeight="1">
      <c r="A336" s="66" t="s">
        <v>1452</v>
      </c>
      <c r="B336" s="66"/>
      <c r="C336" s="66" t="s">
        <v>205</v>
      </c>
      <c r="D336" s="66" t="s">
        <v>205</v>
      </c>
      <c r="E336" s="150" t="s">
        <v>1136</v>
      </c>
      <c r="F336" s="482" t="s">
        <v>1566</v>
      </c>
      <c r="G336" s="150" t="s">
        <v>1450</v>
      </c>
      <c r="H336" s="150" t="s">
        <v>1450</v>
      </c>
      <c r="I336" s="150" t="s">
        <v>1345</v>
      </c>
      <c r="J336" s="150" t="s">
        <v>1450</v>
      </c>
      <c r="K336" s="150" t="s">
        <v>1346</v>
      </c>
      <c r="L336" s="511" t="s">
        <v>49</v>
      </c>
      <c r="M336" s="392" t="s">
        <v>1453</v>
      </c>
      <c r="N336" s="343" t="s">
        <v>1206</v>
      </c>
      <c r="O336" s="346" t="s">
        <v>1451</v>
      </c>
      <c r="P336" s="70" t="s">
        <v>206</v>
      </c>
      <c r="Q336" s="346"/>
      <c r="R336" s="346" t="s">
        <v>1454</v>
      </c>
      <c r="S336" s="346"/>
      <c r="T336" s="150" t="s">
        <v>25</v>
      </c>
      <c r="U336" s="150"/>
      <c r="V336" s="403"/>
      <c r="W336" s="406">
        <v>400000</v>
      </c>
      <c r="X336" s="406">
        <v>300897.52</v>
      </c>
      <c r="Y336" s="430"/>
      <c r="Z336" s="137"/>
      <c r="AA336" s="426">
        <v>123337.5</v>
      </c>
      <c r="AB336" s="427">
        <v>19442.91</v>
      </c>
      <c r="AC336" s="427">
        <v>113117.11</v>
      </c>
      <c r="AD336" s="428">
        <v>5172.1500000000306</v>
      </c>
      <c r="AE336" s="429">
        <v>-24184.46000000001</v>
      </c>
      <c r="AF336" s="429">
        <v>-229891</v>
      </c>
      <c r="AG336" s="363">
        <v>-13416</v>
      </c>
      <c r="AH336" s="363">
        <v>61248</v>
      </c>
      <c r="AI336" s="363">
        <v>61248</v>
      </c>
      <c r="AJ336" s="363">
        <v>61248</v>
      </c>
      <c r="AK336" s="363">
        <v>61248</v>
      </c>
      <c r="AL336" s="363">
        <v>61248</v>
      </c>
      <c r="AM336" s="367">
        <f t="shared" si="12"/>
        <v>299818.21000000002</v>
      </c>
      <c r="AN336" s="362">
        <f>ERP_2[[#This Row],[2026 Working Total]]-ERP_2[[#This Row],[LE2 Final Submission]]</f>
        <v>-1079.3099999999977</v>
      </c>
      <c r="AO336" s="79">
        <v>-200000</v>
      </c>
      <c r="AP336" s="79">
        <f t="shared" si="16"/>
        <v>-29891</v>
      </c>
      <c r="AQ336" s="374">
        <f>SUM(ERP_2[[#This Row],[AP01]:[AP06]])-SUM(ERP_2[[#This Row],[AP01 LE2]:[AP06 LE2]])</f>
        <v>-83903.31</v>
      </c>
      <c r="AR336" s="80"/>
      <c r="AS336" s="79">
        <f>ERP_2[[#This Row],[2026 Working Total to Budget/LE]]-ERP_2[[#This Row],[Giveback]]</f>
        <v>-1079.3099999999977</v>
      </c>
      <c r="AT336" s="81" t="s">
        <v>1455</v>
      </c>
      <c r="AU336" s="375">
        <v>123337.5</v>
      </c>
      <c r="AV336" s="375">
        <v>19442.91</v>
      </c>
      <c r="AW336" s="375">
        <v>113117.11</v>
      </c>
      <c r="AX336" s="375">
        <v>5000</v>
      </c>
      <c r="AY336" s="375">
        <v>-200000</v>
      </c>
      <c r="AZ336" s="375">
        <v>30000</v>
      </c>
      <c r="BA336" s="375">
        <v>30000</v>
      </c>
      <c r="BB336" s="375">
        <v>30000</v>
      </c>
      <c r="BC336" s="375">
        <v>30000</v>
      </c>
      <c r="BD336" s="375">
        <v>40000</v>
      </c>
      <c r="BE336" s="375">
        <v>40000</v>
      </c>
      <c r="BF336" s="375">
        <v>40000</v>
      </c>
      <c r="BG336" s="375">
        <v>300897.52</v>
      </c>
      <c r="BH336" s="79">
        <v>123337.5</v>
      </c>
      <c r="BI336" s="79">
        <v>19442.91</v>
      </c>
      <c r="BJ336" s="79">
        <v>113117.11</v>
      </c>
      <c r="BK336" s="79">
        <v>30000</v>
      </c>
      <c r="BL336" s="79">
        <v>30000</v>
      </c>
      <c r="BM336" s="79">
        <v>30000</v>
      </c>
      <c r="BN336" s="79">
        <v>30000</v>
      </c>
      <c r="BO336" s="79">
        <v>30000</v>
      </c>
      <c r="BP336" s="79">
        <v>20000</v>
      </c>
      <c r="BQ336" s="79">
        <v>20000</v>
      </c>
      <c r="BR336" s="79">
        <v>20000</v>
      </c>
      <c r="BS336" s="79">
        <v>20000</v>
      </c>
      <c r="BT336" s="79">
        <v>485897.52</v>
      </c>
    </row>
    <row r="337" spans="1:72" ht="15" hidden="1" customHeight="1">
      <c r="A337" s="66" t="s">
        <v>1456</v>
      </c>
      <c r="B337" s="66"/>
      <c r="C337" s="66" t="s">
        <v>207</v>
      </c>
      <c r="D337" s="66" t="s">
        <v>207</v>
      </c>
      <c r="E337" s="150" t="s">
        <v>1136</v>
      </c>
      <c r="F337" s="482" t="s">
        <v>1566</v>
      </c>
      <c r="G337" s="150" t="s">
        <v>1450</v>
      </c>
      <c r="H337" s="150" t="s">
        <v>1450</v>
      </c>
      <c r="I337" s="150" t="s">
        <v>1345</v>
      </c>
      <c r="J337" s="150" t="s">
        <v>1450</v>
      </c>
      <c r="K337" s="150" t="s">
        <v>1346</v>
      </c>
      <c r="L337" s="511" t="s">
        <v>49</v>
      </c>
      <c r="M337" s="392" t="s">
        <v>1457</v>
      </c>
      <c r="N337" s="343" t="s">
        <v>1387</v>
      </c>
      <c r="O337" s="346" t="s">
        <v>1451</v>
      </c>
      <c r="P337" s="70" t="s">
        <v>208</v>
      </c>
      <c r="Q337" s="346"/>
      <c r="R337" s="346" t="s">
        <v>1458</v>
      </c>
      <c r="S337" s="346"/>
      <c r="T337" s="150" t="s">
        <v>25</v>
      </c>
      <c r="U337" s="150"/>
      <c r="V337" s="403"/>
      <c r="W337" s="406">
        <v>270000</v>
      </c>
      <c r="X337" s="406">
        <v>201492</v>
      </c>
      <c r="Y337" s="425"/>
      <c r="Z337" s="71"/>
      <c r="AA337" s="426">
        <v>-5507.82</v>
      </c>
      <c r="AB337" s="427">
        <v>-0.18</v>
      </c>
      <c r="AC337" s="431">
        <v>0</v>
      </c>
      <c r="AD337" s="428">
        <v>92692.25</v>
      </c>
      <c r="AE337" s="429">
        <v>25462.14</v>
      </c>
      <c r="AF337" s="429">
        <v>31827.680000000008</v>
      </c>
      <c r="AG337" s="363">
        <v>0</v>
      </c>
      <c r="AH337" s="363">
        <v>5434</v>
      </c>
      <c r="AI337" s="363">
        <v>12523</v>
      </c>
      <c r="AJ337" s="363">
        <v>12523</v>
      </c>
      <c r="AK337" s="363">
        <v>12523</v>
      </c>
      <c r="AL337" s="363">
        <v>12523</v>
      </c>
      <c r="AM337" s="360">
        <f t="shared" si="12"/>
        <v>200000.07</v>
      </c>
      <c r="AN337" s="362">
        <f>ERP_2[[#This Row],[2026 Working Total]]-ERP_2[[#This Row],[LE2 Final Submission]]</f>
        <v>-1491.929999999993</v>
      </c>
      <c r="AO337" s="79">
        <v>0</v>
      </c>
      <c r="AP337" s="79">
        <f t="shared" si="16"/>
        <v>31827.680000000008</v>
      </c>
      <c r="AQ337" s="374">
        <f>SUM(ERP_2[[#This Row],[AP01]:[AP06]])-SUM(ERP_2[[#This Row],[AP01 LE2]:[AP06 LE2]])</f>
        <v>27982.070000000007</v>
      </c>
      <c r="AR337" s="80"/>
      <c r="AS337" s="79">
        <f>ERP_2[[#This Row],[2026 Working Total to Budget/LE]]-ERP_2[[#This Row],[Giveback]]</f>
        <v>-1491.929999999993</v>
      </c>
      <c r="AT337" s="81" t="s">
        <v>1455</v>
      </c>
      <c r="AU337" s="375">
        <v>-5507.82</v>
      </c>
      <c r="AV337" s="375">
        <v>-0.18</v>
      </c>
      <c r="AW337" s="375">
        <v>0</v>
      </c>
      <c r="AX337" s="375">
        <v>102000</v>
      </c>
      <c r="AY337" s="375">
        <v>0</v>
      </c>
      <c r="AZ337" s="375">
        <v>20000</v>
      </c>
      <c r="BA337" s="375">
        <v>20000</v>
      </c>
      <c r="BB337" s="375">
        <v>20000</v>
      </c>
      <c r="BC337" s="375">
        <v>15000</v>
      </c>
      <c r="BD337" s="375">
        <v>10000</v>
      </c>
      <c r="BE337" s="375">
        <v>10000</v>
      </c>
      <c r="BF337" s="375">
        <v>10000</v>
      </c>
      <c r="BG337" s="375">
        <v>201492</v>
      </c>
      <c r="BH337" s="79">
        <v>-5507.82</v>
      </c>
      <c r="BI337" s="79">
        <v>-0.18</v>
      </c>
      <c r="BJ337" s="79">
        <v>0</v>
      </c>
      <c r="BK337" s="79">
        <v>20000</v>
      </c>
      <c r="BL337" s="79">
        <v>20000</v>
      </c>
      <c r="BM337" s="79">
        <v>25000</v>
      </c>
      <c r="BN337" s="79">
        <v>30000</v>
      </c>
      <c r="BO337" s="79">
        <v>30000</v>
      </c>
      <c r="BP337" s="79">
        <v>30000</v>
      </c>
      <c r="BQ337" s="79">
        <v>30000</v>
      </c>
      <c r="BR337" s="79">
        <v>30000</v>
      </c>
      <c r="BS337" s="79">
        <v>30000</v>
      </c>
      <c r="BT337" s="79">
        <v>239492</v>
      </c>
    </row>
    <row r="338" spans="1:72" ht="15" hidden="1" customHeight="1">
      <c r="A338" s="66" t="s">
        <v>1459</v>
      </c>
      <c r="B338" s="66"/>
      <c r="C338" s="66" t="s">
        <v>209</v>
      </c>
      <c r="D338" s="66" t="s">
        <v>209</v>
      </c>
      <c r="E338" s="150" t="s">
        <v>1136</v>
      </c>
      <c r="F338" s="482" t="s">
        <v>1566</v>
      </c>
      <c r="G338" s="150" t="s">
        <v>1450</v>
      </c>
      <c r="H338" s="150" t="s">
        <v>1450</v>
      </c>
      <c r="I338" s="150" t="s">
        <v>1345</v>
      </c>
      <c r="J338" s="150" t="s">
        <v>1450</v>
      </c>
      <c r="K338" s="150" t="s">
        <v>1346</v>
      </c>
      <c r="L338" s="511" t="s">
        <v>49</v>
      </c>
      <c r="M338" s="392" t="s">
        <v>1460</v>
      </c>
      <c r="N338" s="343"/>
      <c r="O338" s="343"/>
      <c r="P338" s="70" t="s">
        <v>210</v>
      </c>
      <c r="Q338" s="346"/>
      <c r="R338" s="346" t="s">
        <v>1221</v>
      </c>
      <c r="S338" s="346"/>
      <c r="T338" s="150" t="s">
        <v>25</v>
      </c>
      <c r="U338" s="150"/>
      <c r="V338" s="403"/>
      <c r="W338" s="406">
        <v>100000</v>
      </c>
      <c r="X338" s="406">
        <v>66000</v>
      </c>
      <c r="Y338" s="425"/>
      <c r="Z338" s="71"/>
      <c r="AA338" s="426"/>
      <c r="AB338" s="427"/>
      <c r="AC338" s="427"/>
      <c r="AD338" s="428" t="s">
        <v>1142</v>
      </c>
      <c r="AE338" s="429">
        <v>0</v>
      </c>
      <c r="AF338" s="429">
        <v>0</v>
      </c>
      <c r="AG338" s="363">
        <v>0</v>
      </c>
      <c r="AH338" s="363">
        <v>12000</v>
      </c>
      <c r="AI338" s="363">
        <v>13500</v>
      </c>
      <c r="AJ338" s="363">
        <v>13500</v>
      </c>
      <c r="AK338" s="363">
        <v>13500</v>
      </c>
      <c r="AL338" s="363">
        <v>13500</v>
      </c>
      <c r="AM338" s="360">
        <f t="shared" si="12"/>
        <v>66000</v>
      </c>
      <c r="AN338" s="362">
        <f>ERP_2[[#This Row],[2026 Working Total]]-ERP_2[[#This Row],[LE2 Final Submission]]</f>
        <v>0</v>
      </c>
      <c r="AO338" s="79">
        <v>5000</v>
      </c>
      <c r="AP338" s="79">
        <f t="shared" si="16"/>
        <v>-5000</v>
      </c>
      <c r="AQ338" s="374">
        <f>SUM(ERP_2[[#This Row],[AP01]:[AP06]])-SUM(ERP_2[[#This Row],[AP01 LE2]:[AP06 LE2]])</f>
        <v>-18000</v>
      </c>
      <c r="AR338" s="80"/>
      <c r="AS338" s="79">
        <f>ERP_2[[#This Row],[2026 Working Total to Budget/LE]]-ERP_2[[#This Row],[Giveback]]</f>
        <v>0</v>
      </c>
      <c r="AT338" s="81" t="s">
        <v>1455</v>
      </c>
      <c r="AU338" s="375"/>
      <c r="AV338" s="375"/>
      <c r="AW338" s="375"/>
      <c r="AX338" s="375">
        <v>5000</v>
      </c>
      <c r="AY338" s="375">
        <v>5000</v>
      </c>
      <c r="AZ338" s="375">
        <v>8000</v>
      </c>
      <c r="BA338" s="375">
        <v>8000</v>
      </c>
      <c r="BB338" s="375">
        <v>8000</v>
      </c>
      <c r="BC338" s="375">
        <v>8000</v>
      </c>
      <c r="BD338" s="375">
        <v>8000</v>
      </c>
      <c r="BE338" s="375">
        <v>8000</v>
      </c>
      <c r="BF338" s="375">
        <v>8000</v>
      </c>
      <c r="BG338" s="375">
        <v>66000</v>
      </c>
      <c r="BH338" s="79"/>
      <c r="BI338" s="79"/>
      <c r="BJ338" s="79"/>
      <c r="BK338" s="79">
        <v>10000</v>
      </c>
      <c r="BL338" s="79">
        <v>10000</v>
      </c>
      <c r="BM338" s="79">
        <v>10000</v>
      </c>
      <c r="BN338" s="79">
        <v>10000</v>
      </c>
      <c r="BO338" s="79">
        <v>10000</v>
      </c>
      <c r="BP338" s="79">
        <v>10000</v>
      </c>
      <c r="BQ338" s="79">
        <v>10000</v>
      </c>
      <c r="BR338" s="79">
        <v>10000</v>
      </c>
      <c r="BS338" s="79">
        <v>10000</v>
      </c>
      <c r="BT338" s="79">
        <v>90000</v>
      </c>
    </row>
    <row r="339" spans="1:72" ht="15" hidden="1" customHeight="1">
      <c r="A339" s="66" t="s">
        <v>1461</v>
      </c>
      <c r="B339" s="66"/>
      <c r="C339" s="66" t="s">
        <v>211</v>
      </c>
      <c r="D339" s="66" t="s">
        <v>211</v>
      </c>
      <c r="E339" s="150" t="s">
        <v>1136</v>
      </c>
      <c r="F339" s="482" t="s">
        <v>1566</v>
      </c>
      <c r="G339" s="150" t="s">
        <v>1450</v>
      </c>
      <c r="H339" s="150" t="s">
        <v>1450</v>
      </c>
      <c r="I339" s="150" t="s">
        <v>1345</v>
      </c>
      <c r="J339" s="150" t="s">
        <v>1450</v>
      </c>
      <c r="K339" s="150" t="s">
        <v>1346</v>
      </c>
      <c r="L339" s="511" t="s">
        <v>49</v>
      </c>
      <c r="M339" s="392" t="s">
        <v>1462</v>
      </c>
      <c r="N339" s="343"/>
      <c r="O339" s="343"/>
      <c r="P339" s="70" t="s">
        <v>212</v>
      </c>
      <c r="Q339" s="346"/>
      <c r="R339" s="346" t="s">
        <v>1221</v>
      </c>
      <c r="S339" s="346"/>
      <c r="T339" s="150" t="s">
        <v>25</v>
      </c>
      <c r="U339" s="150"/>
      <c r="V339" s="403"/>
      <c r="W339" s="406">
        <v>70000</v>
      </c>
      <c r="X339" s="406">
        <v>40000</v>
      </c>
      <c r="Y339" s="430"/>
      <c r="Z339" s="137"/>
      <c r="AA339" s="426"/>
      <c r="AB339" s="427"/>
      <c r="AC339" s="427"/>
      <c r="AD339" s="428" t="s">
        <v>1142</v>
      </c>
      <c r="AE339" s="429">
        <v>0</v>
      </c>
      <c r="AF339" s="429">
        <v>0</v>
      </c>
      <c r="AG339" s="363">
        <v>0</v>
      </c>
      <c r="AH339" s="363">
        <v>9500</v>
      </c>
      <c r="AI339" s="363">
        <v>0</v>
      </c>
      <c r="AJ339" s="363">
        <v>20000</v>
      </c>
      <c r="AK339" s="363">
        <v>0</v>
      </c>
      <c r="AL339" s="363">
        <v>20000</v>
      </c>
      <c r="AM339" s="360">
        <f t="shared" si="12"/>
        <v>49500</v>
      </c>
      <c r="AN339" s="362">
        <f>ERP_2[[#This Row],[2026 Working Total]]-ERP_2[[#This Row],[LE2 Final Submission]]</f>
        <v>9500</v>
      </c>
      <c r="AO339" s="79"/>
      <c r="AP339" s="79">
        <f t="shared" si="16"/>
        <v>0</v>
      </c>
      <c r="AQ339" s="374">
        <f>SUM(ERP_2[[#This Row],[AP01]:[AP06]])-SUM(ERP_2[[#This Row],[AP01 LE2]:[AP06 LE2]])</f>
        <v>-5000</v>
      </c>
      <c r="AR339" s="80"/>
      <c r="AS339" s="79">
        <f>ERP_2[[#This Row],[2026 Working Total to Budget/LE]]-ERP_2[[#This Row],[Giveback]]</f>
        <v>9500</v>
      </c>
      <c r="AT339" s="81" t="s">
        <v>1455</v>
      </c>
      <c r="AU339" s="375"/>
      <c r="AV339" s="375"/>
      <c r="AW339" s="375"/>
      <c r="AX339" s="375"/>
      <c r="AY339" s="375"/>
      <c r="AZ339" s="375">
        <v>5000</v>
      </c>
      <c r="BA339" s="375">
        <v>5000</v>
      </c>
      <c r="BB339" s="375">
        <v>5000</v>
      </c>
      <c r="BC339" s="375">
        <v>5000</v>
      </c>
      <c r="BD339" s="375">
        <v>5000</v>
      </c>
      <c r="BE339" s="375">
        <v>5000</v>
      </c>
      <c r="BF339" s="375">
        <v>10000</v>
      </c>
      <c r="BG339" s="375">
        <v>40000</v>
      </c>
      <c r="BH339" s="79"/>
      <c r="BI339" s="79"/>
      <c r="BJ339" s="79"/>
      <c r="BK339" s="79">
        <v>7000</v>
      </c>
      <c r="BL339" s="79">
        <v>7000</v>
      </c>
      <c r="BM339" s="79">
        <v>7000</v>
      </c>
      <c r="BN339" s="79">
        <v>7000</v>
      </c>
      <c r="BO339" s="79">
        <v>7000</v>
      </c>
      <c r="BP339" s="79">
        <v>7000</v>
      </c>
      <c r="BQ339" s="79">
        <v>7000</v>
      </c>
      <c r="BR339" s="79">
        <v>7000</v>
      </c>
      <c r="BS339" s="79">
        <v>7000</v>
      </c>
      <c r="BT339" s="79">
        <v>63000</v>
      </c>
    </row>
    <row r="340" spans="1:72" ht="15" hidden="1" customHeight="1">
      <c r="A340" s="66" t="s">
        <v>1463</v>
      </c>
      <c r="B340" s="66"/>
      <c r="C340" s="66" t="s">
        <v>213</v>
      </c>
      <c r="D340" s="66" t="s">
        <v>213</v>
      </c>
      <c r="E340" s="150" t="s">
        <v>1136</v>
      </c>
      <c r="F340" s="482" t="s">
        <v>1566</v>
      </c>
      <c r="G340" s="150" t="s">
        <v>1450</v>
      </c>
      <c r="H340" s="150" t="s">
        <v>1450</v>
      </c>
      <c r="I340" s="150" t="s">
        <v>1345</v>
      </c>
      <c r="J340" s="150" t="s">
        <v>1450</v>
      </c>
      <c r="K340" s="150" t="s">
        <v>1346</v>
      </c>
      <c r="L340" s="511" t="s">
        <v>49</v>
      </c>
      <c r="M340" s="392" t="s">
        <v>1464</v>
      </c>
      <c r="N340" s="343"/>
      <c r="O340" s="343"/>
      <c r="P340" s="70" t="s">
        <v>214</v>
      </c>
      <c r="Q340" s="346"/>
      <c r="R340" s="343"/>
      <c r="S340" s="346"/>
      <c r="T340" s="150" t="s">
        <v>188</v>
      </c>
      <c r="U340" s="150"/>
      <c r="V340" s="403"/>
      <c r="W340" s="406">
        <v>35000</v>
      </c>
      <c r="X340" s="406">
        <v>0</v>
      </c>
      <c r="Y340" s="425"/>
      <c r="Z340" s="71"/>
      <c r="AA340" s="426"/>
      <c r="AB340" s="427"/>
      <c r="AC340" s="427"/>
      <c r="AD340" s="428" t="s">
        <v>1142</v>
      </c>
      <c r="AE340" s="429">
        <v>0</v>
      </c>
      <c r="AF340" s="429">
        <v>0</v>
      </c>
      <c r="AG340" s="363"/>
      <c r="AH340" s="363"/>
      <c r="AI340" s="363"/>
      <c r="AJ340" s="363"/>
      <c r="AK340" s="363"/>
      <c r="AL340" s="363"/>
      <c r="AM340" s="360">
        <f t="shared" si="12"/>
        <v>0</v>
      </c>
      <c r="AN340" s="362">
        <f>ERP_2[[#This Row],[2026 Working Total]]-ERP_2[[#This Row],[LE2 Final Submission]]</f>
        <v>0</v>
      </c>
      <c r="AO340" s="79"/>
      <c r="AP340" s="79">
        <f t="shared" si="16"/>
        <v>0</v>
      </c>
      <c r="AQ340" s="374">
        <f>SUM(ERP_2[[#This Row],[AP01]:[AP06]])-SUM(ERP_2[[#This Row],[AP01 LE2]:[AP06 LE2]])</f>
        <v>0</v>
      </c>
      <c r="AR340" s="80"/>
      <c r="AS340" s="79">
        <f>ERP_2[[#This Row],[2026 Working Total to Budget/LE]]-ERP_2[[#This Row],[Giveback]]</f>
        <v>0</v>
      </c>
      <c r="AT340" s="81" t="s">
        <v>1465</v>
      </c>
      <c r="AU340" s="375"/>
      <c r="AV340" s="375"/>
      <c r="AW340" s="375"/>
      <c r="AX340" s="375"/>
      <c r="AY340" s="375"/>
      <c r="AZ340" s="375"/>
      <c r="BA340" s="375"/>
      <c r="BB340" s="375"/>
      <c r="BC340" s="375"/>
      <c r="BD340" s="375"/>
      <c r="BE340" s="375"/>
      <c r="BF340" s="375"/>
      <c r="BG340" s="375">
        <v>0</v>
      </c>
      <c r="BH340" s="79"/>
      <c r="BI340" s="79"/>
      <c r="BJ340" s="79"/>
      <c r="BK340" s="79">
        <v>2917</v>
      </c>
      <c r="BL340" s="79">
        <v>2917</v>
      </c>
      <c r="BM340" s="79">
        <v>2917</v>
      </c>
      <c r="BN340" s="79">
        <v>2917</v>
      </c>
      <c r="BO340" s="79">
        <v>2917</v>
      </c>
      <c r="BP340" s="79">
        <v>2916</v>
      </c>
      <c r="BQ340" s="79">
        <v>2916</v>
      </c>
      <c r="BR340" s="79">
        <v>2916</v>
      </c>
      <c r="BS340" s="79">
        <v>2916</v>
      </c>
      <c r="BT340" s="79">
        <v>26249</v>
      </c>
    </row>
    <row r="341" spans="1:72" ht="15" hidden="1" customHeight="1">
      <c r="A341" s="66" t="s">
        <v>1466</v>
      </c>
      <c r="B341" s="66"/>
      <c r="C341" s="66" t="s">
        <v>215</v>
      </c>
      <c r="D341" s="66" t="s">
        <v>215</v>
      </c>
      <c r="E341" s="150" t="s">
        <v>1136</v>
      </c>
      <c r="F341" s="482" t="s">
        <v>1566</v>
      </c>
      <c r="G341" s="150" t="s">
        <v>1450</v>
      </c>
      <c r="H341" s="150" t="s">
        <v>1450</v>
      </c>
      <c r="I341" s="150" t="s">
        <v>1345</v>
      </c>
      <c r="J341" s="150" t="s">
        <v>1450</v>
      </c>
      <c r="K341" s="150" t="s">
        <v>1346</v>
      </c>
      <c r="L341" s="511" t="s">
        <v>49</v>
      </c>
      <c r="M341" s="392" t="s">
        <v>1467</v>
      </c>
      <c r="N341" s="343"/>
      <c r="O341" s="343"/>
      <c r="P341" s="70" t="s">
        <v>216</v>
      </c>
      <c r="Q341" s="346"/>
      <c r="R341" s="343"/>
      <c r="S341" s="346"/>
      <c r="T341" s="150" t="s">
        <v>217</v>
      </c>
      <c r="U341" s="150"/>
      <c r="V341" s="403"/>
      <c r="W341" s="406">
        <v>6000</v>
      </c>
      <c r="X341" s="406">
        <v>0</v>
      </c>
      <c r="Y341" s="425"/>
      <c r="Z341" s="71"/>
      <c r="AA341" s="426"/>
      <c r="AB341" s="427"/>
      <c r="AC341" s="427"/>
      <c r="AD341" s="428">
        <v>0</v>
      </c>
      <c r="AE341" s="429">
        <v>79.41</v>
      </c>
      <c r="AF341" s="429">
        <v>0</v>
      </c>
      <c r="AG341" s="363"/>
      <c r="AH341" s="363"/>
      <c r="AI341" s="363"/>
      <c r="AJ341" s="363"/>
      <c r="AK341" s="363"/>
      <c r="AL341" s="363"/>
      <c r="AM341" s="367">
        <f t="shared" si="12"/>
        <v>79.41</v>
      </c>
      <c r="AN341" s="362">
        <f>ERP_2[[#This Row],[2026 Working Total]]-ERP_2[[#This Row],[LE2 Final Submission]]</f>
        <v>79.41</v>
      </c>
      <c r="AO341" s="79"/>
      <c r="AP341" s="79">
        <f t="shared" si="16"/>
        <v>0</v>
      </c>
      <c r="AQ341" s="374">
        <f>SUM(ERP_2[[#This Row],[AP01]:[AP06]])-SUM(ERP_2[[#This Row],[AP01 LE2]:[AP06 LE2]])</f>
        <v>79.41</v>
      </c>
      <c r="AR341" s="80"/>
      <c r="AS341" s="79">
        <f>ERP_2[[#This Row],[2026 Working Total to Budget/LE]]-ERP_2[[#This Row],[Giveback]]</f>
        <v>79.41</v>
      </c>
      <c r="AT341" s="81" t="s">
        <v>1465</v>
      </c>
      <c r="AU341" s="375"/>
      <c r="AV341" s="375"/>
      <c r="AW341" s="375"/>
      <c r="AX341" s="375"/>
      <c r="AY341" s="375"/>
      <c r="AZ341" s="375"/>
      <c r="BA341" s="375"/>
      <c r="BB341" s="375"/>
      <c r="BC341" s="375"/>
      <c r="BD341" s="375"/>
      <c r="BE341" s="375"/>
      <c r="BF341" s="375"/>
      <c r="BG341" s="375">
        <v>0</v>
      </c>
      <c r="BH341" s="79"/>
      <c r="BI341" s="79"/>
      <c r="BJ341" s="79"/>
      <c r="BK341" s="79">
        <v>500</v>
      </c>
      <c r="BL341" s="79">
        <v>500</v>
      </c>
      <c r="BM341" s="79">
        <v>500</v>
      </c>
      <c r="BN341" s="79">
        <v>500</v>
      </c>
      <c r="BO341" s="79">
        <v>500</v>
      </c>
      <c r="BP341" s="79">
        <v>500</v>
      </c>
      <c r="BQ341" s="79">
        <v>500</v>
      </c>
      <c r="BR341" s="79">
        <v>500</v>
      </c>
      <c r="BS341" s="79">
        <v>500</v>
      </c>
      <c r="BT341" s="79">
        <v>4500</v>
      </c>
    </row>
    <row r="342" spans="1:72" ht="15" hidden="1" customHeight="1">
      <c r="A342" s="66" t="s">
        <v>1468</v>
      </c>
      <c r="B342" s="66"/>
      <c r="C342" s="66" t="s">
        <v>218</v>
      </c>
      <c r="D342" s="66" t="s">
        <v>218</v>
      </c>
      <c r="E342" s="150" t="s">
        <v>1136</v>
      </c>
      <c r="F342" s="482" t="s">
        <v>1566</v>
      </c>
      <c r="G342" s="150" t="s">
        <v>1450</v>
      </c>
      <c r="H342" s="150" t="s">
        <v>1450</v>
      </c>
      <c r="I342" s="150" t="s">
        <v>1345</v>
      </c>
      <c r="J342" s="150" t="s">
        <v>1450</v>
      </c>
      <c r="K342" s="150" t="s">
        <v>1346</v>
      </c>
      <c r="L342" s="511" t="s">
        <v>49</v>
      </c>
      <c r="M342" s="392" t="s">
        <v>1469</v>
      </c>
      <c r="N342" s="343"/>
      <c r="O342" s="343"/>
      <c r="P342" s="70" t="s">
        <v>219</v>
      </c>
      <c r="Q342" s="346"/>
      <c r="R342" s="343"/>
      <c r="S342" s="346"/>
      <c r="T342" s="150" t="s">
        <v>67</v>
      </c>
      <c r="U342" s="150"/>
      <c r="V342" s="403"/>
      <c r="W342" s="406">
        <v>50000</v>
      </c>
      <c r="X342" s="406">
        <v>50000</v>
      </c>
      <c r="Y342" s="430"/>
      <c r="Z342" s="137"/>
      <c r="AA342" s="426"/>
      <c r="AB342" s="427"/>
      <c r="AC342" s="427"/>
      <c r="AD342" s="428">
        <v>0</v>
      </c>
      <c r="AE342" s="429">
        <v>49060</v>
      </c>
      <c r="AF342" s="429">
        <v>0</v>
      </c>
      <c r="AG342" s="360">
        <v>0</v>
      </c>
      <c r="AH342" s="360">
        <v>0</v>
      </c>
      <c r="AI342" s="360">
        <v>0</v>
      </c>
      <c r="AJ342" s="360">
        <v>0</v>
      </c>
      <c r="AK342" s="360">
        <v>0</v>
      </c>
      <c r="AL342" s="360">
        <v>0</v>
      </c>
      <c r="AM342" s="360">
        <f t="shared" si="12"/>
        <v>49060</v>
      </c>
      <c r="AN342" s="362">
        <f>ERP_2[[#This Row],[2026 Working Total]]-ERP_2[[#This Row],[LE2 Final Submission]]</f>
        <v>-940</v>
      </c>
      <c r="AO342" s="79">
        <v>50000</v>
      </c>
      <c r="AP342" s="79">
        <f t="shared" si="16"/>
        <v>-50000</v>
      </c>
      <c r="AQ342" s="374">
        <f>SUM(ERP_2[[#This Row],[AP01]:[AP06]])-SUM(ERP_2[[#This Row],[AP01 LE2]:[AP06 LE2]])</f>
        <v>-940</v>
      </c>
      <c r="AR342" s="80"/>
      <c r="AS342" s="79">
        <f>ERP_2[[#This Row],[2026 Working Total to Budget/LE]]-ERP_2[[#This Row],[Giveback]]</f>
        <v>-940</v>
      </c>
      <c r="AT342" s="81"/>
      <c r="AU342" s="375"/>
      <c r="AV342" s="375"/>
      <c r="AW342" s="375"/>
      <c r="AX342" s="375">
        <v>0</v>
      </c>
      <c r="AY342" s="375">
        <v>50000</v>
      </c>
      <c r="AZ342" s="375">
        <v>0</v>
      </c>
      <c r="BA342" s="375">
        <v>0</v>
      </c>
      <c r="BB342" s="375">
        <v>0</v>
      </c>
      <c r="BC342" s="375">
        <v>0</v>
      </c>
      <c r="BD342" s="375">
        <v>0</v>
      </c>
      <c r="BE342" s="375">
        <v>0</v>
      </c>
      <c r="BF342" s="375">
        <v>0</v>
      </c>
      <c r="BG342" s="375">
        <v>50000</v>
      </c>
      <c r="BH342" s="79"/>
      <c r="BI342" s="79"/>
      <c r="BJ342" s="79"/>
      <c r="BK342" s="79">
        <v>50000</v>
      </c>
      <c r="BL342" s="79">
        <v>0</v>
      </c>
      <c r="BM342" s="79">
        <v>0</v>
      </c>
      <c r="BN342" s="79">
        <v>0</v>
      </c>
      <c r="BO342" s="79">
        <v>0</v>
      </c>
      <c r="BP342" s="79">
        <v>0</v>
      </c>
      <c r="BQ342" s="79">
        <v>0</v>
      </c>
      <c r="BR342" s="79">
        <v>0</v>
      </c>
      <c r="BS342" s="79">
        <v>0</v>
      </c>
      <c r="BT342" s="79">
        <v>50000</v>
      </c>
    </row>
    <row r="343" spans="1:72" ht="15" hidden="1" customHeight="1">
      <c r="A343" s="66" t="s">
        <v>1470</v>
      </c>
      <c r="B343" s="66"/>
      <c r="C343" s="66" t="s">
        <v>220</v>
      </c>
      <c r="D343" s="66" t="s">
        <v>220</v>
      </c>
      <c r="E343" s="150" t="s">
        <v>1136</v>
      </c>
      <c r="F343" s="482" t="s">
        <v>1566</v>
      </c>
      <c r="G343" s="150" t="s">
        <v>1450</v>
      </c>
      <c r="H343" s="150" t="s">
        <v>1450</v>
      </c>
      <c r="I343" s="150" t="s">
        <v>1345</v>
      </c>
      <c r="J343" s="150" t="s">
        <v>1450</v>
      </c>
      <c r="K343" s="150" t="s">
        <v>1346</v>
      </c>
      <c r="L343" s="511" t="s">
        <v>49</v>
      </c>
      <c r="M343" s="392" t="s">
        <v>1471</v>
      </c>
      <c r="N343" s="343"/>
      <c r="O343" s="343"/>
      <c r="P343" s="70" t="s">
        <v>221</v>
      </c>
      <c r="Q343" s="346"/>
      <c r="R343" s="343"/>
      <c r="S343" s="346"/>
      <c r="T343" s="150" t="s">
        <v>188</v>
      </c>
      <c r="U343" s="150"/>
      <c r="V343" s="403"/>
      <c r="W343" s="406">
        <v>35000</v>
      </c>
      <c r="X343" s="406">
        <v>26249</v>
      </c>
      <c r="Y343" s="425"/>
      <c r="Z343" s="71"/>
      <c r="AA343" s="426"/>
      <c r="AB343" s="427"/>
      <c r="AC343" s="427"/>
      <c r="AD343" s="428" t="s">
        <v>1142</v>
      </c>
      <c r="AE343" s="429">
        <v>0</v>
      </c>
      <c r="AF343" s="429">
        <v>0</v>
      </c>
      <c r="AG343" s="363"/>
      <c r="AH343" s="363">
        <v>8751</v>
      </c>
      <c r="AI343" s="363">
        <v>2916</v>
      </c>
      <c r="AJ343" s="363">
        <v>2916</v>
      </c>
      <c r="AK343" s="363">
        <v>2916</v>
      </c>
      <c r="AL343" s="363">
        <v>2916</v>
      </c>
      <c r="AM343" s="360">
        <f t="shared" si="12"/>
        <v>20415</v>
      </c>
      <c r="AN343" s="362">
        <f>ERP_2[[#This Row],[2026 Working Total]]-ERP_2[[#This Row],[LE2 Final Submission]]</f>
        <v>-5834</v>
      </c>
      <c r="AO343" s="79">
        <v>2917</v>
      </c>
      <c r="AP343" s="79">
        <f t="shared" si="16"/>
        <v>-2917</v>
      </c>
      <c r="AQ343" s="374">
        <f>SUM(ERP_2[[#This Row],[AP01]:[AP06]])-SUM(ERP_2[[#This Row],[AP01 LE2]:[AP06 LE2]])</f>
        <v>-8751</v>
      </c>
      <c r="AR343" s="80"/>
      <c r="AS343" s="79">
        <f>ERP_2[[#This Row],[2026 Working Total to Budget/LE]]-ERP_2[[#This Row],[Giveback]]</f>
        <v>-5834</v>
      </c>
      <c r="AT343" s="81"/>
      <c r="AU343" s="375"/>
      <c r="AV343" s="375"/>
      <c r="AW343" s="375"/>
      <c r="AX343" s="375">
        <v>2917</v>
      </c>
      <c r="AY343" s="375">
        <v>2917</v>
      </c>
      <c r="AZ343" s="375">
        <v>2917</v>
      </c>
      <c r="BA343" s="375">
        <v>2917</v>
      </c>
      <c r="BB343" s="375">
        <v>2917</v>
      </c>
      <c r="BC343" s="375">
        <v>2916</v>
      </c>
      <c r="BD343" s="375">
        <v>2916</v>
      </c>
      <c r="BE343" s="375">
        <v>2916</v>
      </c>
      <c r="BF343" s="375">
        <v>2916</v>
      </c>
      <c r="BG343" s="375">
        <v>26249</v>
      </c>
      <c r="BH343" s="79"/>
      <c r="BI343" s="79"/>
      <c r="BJ343" s="79"/>
      <c r="BK343" s="79">
        <v>2917</v>
      </c>
      <c r="BL343" s="79">
        <v>2917</v>
      </c>
      <c r="BM343" s="79">
        <v>2917</v>
      </c>
      <c r="BN343" s="79">
        <v>2917</v>
      </c>
      <c r="BO343" s="79">
        <v>2917</v>
      </c>
      <c r="BP343" s="79">
        <v>2916</v>
      </c>
      <c r="BQ343" s="79">
        <v>2916</v>
      </c>
      <c r="BR343" s="79">
        <v>2916</v>
      </c>
      <c r="BS343" s="79">
        <v>2916</v>
      </c>
      <c r="BT343" s="79">
        <v>26249</v>
      </c>
    </row>
    <row r="344" spans="1:72" ht="15" hidden="1" customHeight="1">
      <c r="A344" s="66" t="s">
        <v>1472</v>
      </c>
      <c r="B344" s="66"/>
      <c r="C344" s="66" t="s">
        <v>222</v>
      </c>
      <c r="D344" s="66" t="s">
        <v>222</v>
      </c>
      <c r="E344" s="150" t="s">
        <v>1136</v>
      </c>
      <c r="F344" s="482" t="s">
        <v>1566</v>
      </c>
      <c r="G344" s="150" t="s">
        <v>1450</v>
      </c>
      <c r="H344" s="150" t="s">
        <v>1450</v>
      </c>
      <c r="I344" s="150" t="s">
        <v>1345</v>
      </c>
      <c r="J344" s="150" t="s">
        <v>1450</v>
      </c>
      <c r="K344" s="150" t="s">
        <v>1346</v>
      </c>
      <c r="L344" s="511" t="s">
        <v>49</v>
      </c>
      <c r="M344" s="392" t="s">
        <v>1473</v>
      </c>
      <c r="N344" s="343"/>
      <c r="O344" s="343"/>
      <c r="P344" s="345" t="s">
        <v>223</v>
      </c>
      <c r="Q344" s="346"/>
      <c r="R344" s="343"/>
      <c r="S344" s="346"/>
      <c r="T344" s="150" t="s">
        <v>152</v>
      </c>
      <c r="U344" s="150"/>
      <c r="V344" s="403"/>
      <c r="W344" s="406">
        <v>90000</v>
      </c>
      <c r="X344" s="406">
        <v>90000</v>
      </c>
      <c r="Y344" s="425"/>
      <c r="Z344" s="71"/>
      <c r="AA344" s="426"/>
      <c r="AB344" s="427"/>
      <c r="AC344" s="427"/>
      <c r="AD344" s="428" t="s">
        <v>1142</v>
      </c>
      <c r="AE344" s="429">
        <v>0</v>
      </c>
      <c r="AF344" s="429">
        <v>82121</v>
      </c>
      <c r="AG344" s="363"/>
      <c r="AH344" s="363">
        <v>0</v>
      </c>
      <c r="AI344" s="363">
        <v>0</v>
      </c>
      <c r="AJ344" s="363">
        <v>0</v>
      </c>
      <c r="AK344" s="363">
        <v>0</v>
      </c>
      <c r="AL344" s="363">
        <v>7879</v>
      </c>
      <c r="AM344" s="360">
        <f t="shared" si="12"/>
        <v>90000</v>
      </c>
      <c r="AN344" s="362">
        <f>ERP_2[[#This Row],[2026 Working Total]]-ERP_2[[#This Row],[LE2 Final Submission]]</f>
        <v>0</v>
      </c>
      <c r="AO344" s="79">
        <v>82000</v>
      </c>
      <c r="AP344" s="79">
        <f t="shared" si="16"/>
        <v>121</v>
      </c>
      <c r="AQ344" s="374">
        <f>SUM(ERP_2[[#This Row],[AP01]:[AP06]])-SUM(ERP_2[[#This Row],[AP01 LE2]:[AP06 LE2]])</f>
        <v>121</v>
      </c>
      <c r="AR344" s="80"/>
      <c r="AS344" s="79">
        <f>ERP_2[[#This Row],[2026 Working Total to Budget/LE]]-ERP_2[[#This Row],[Giveback]]</f>
        <v>0</v>
      </c>
      <c r="AT344" s="81"/>
      <c r="AU344" s="375"/>
      <c r="AV344" s="375"/>
      <c r="AW344" s="375"/>
      <c r="AX344" s="375">
        <v>0</v>
      </c>
      <c r="AY344" s="375">
        <v>82000</v>
      </c>
      <c r="AZ344" s="375">
        <v>0</v>
      </c>
      <c r="BA344" s="375">
        <v>0</v>
      </c>
      <c r="BB344" s="375">
        <v>4000</v>
      </c>
      <c r="BC344" s="375">
        <v>4000</v>
      </c>
      <c r="BD344" s="375">
        <v>0</v>
      </c>
      <c r="BE344" s="375">
        <v>0</v>
      </c>
      <c r="BF344" s="375">
        <v>0</v>
      </c>
      <c r="BG344" s="375">
        <v>90000</v>
      </c>
      <c r="BH344" s="79"/>
      <c r="BI344" s="79"/>
      <c r="BJ344" s="79"/>
      <c r="BK344" s="79">
        <v>8000</v>
      </c>
      <c r="BL344" s="79">
        <v>8000</v>
      </c>
      <c r="BM344" s="79">
        <v>8000</v>
      </c>
      <c r="BN344" s="79">
        <v>8000</v>
      </c>
      <c r="BO344" s="79">
        <v>10000</v>
      </c>
      <c r="BP344" s="79">
        <v>10000</v>
      </c>
      <c r="BQ344" s="79">
        <v>10000</v>
      </c>
      <c r="BR344" s="79">
        <v>10000</v>
      </c>
      <c r="BS344" s="79">
        <v>10000</v>
      </c>
      <c r="BT344" s="79">
        <v>82000</v>
      </c>
    </row>
    <row r="345" spans="1:72" ht="15" hidden="1" customHeight="1">
      <c r="A345" s="66" t="s">
        <v>1474</v>
      </c>
      <c r="B345" s="66"/>
      <c r="C345" s="66" t="s">
        <v>224</v>
      </c>
      <c r="D345" s="66" t="s">
        <v>224</v>
      </c>
      <c r="E345" s="150" t="s">
        <v>1136</v>
      </c>
      <c r="F345" s="482" t="s">
        <v>1566</v>
      </c>
      <c r="G345" s="150" t="s">
        <v>1450</v>
      </c>
      <c r="H345" s="150" t="s">
        <v>1450</v>
      </c>
      <c r="I345" s="150" t="s">
        <v>1345</v>
      </c>
      <c r="J345" s="150" t="s">
        <v>1450</v>
      </c>
      <c r="K345" s="150" t="s">
        <v>1346</v>
      </c>
      <c r="L345" s="511" t="s">
        <v>49</v>
      </c>
      <c r="M345" s="392" t="s">
        <v>1475</v>
      </c>
      <c r="N345" s="343"/>
      <c r="O345" s="343"/>
      <c r="P345" s="70" t="s">
        <v>225</v>
      </c>
      <c r="Q345" s="346"/>
      <c r="R345" s="343"/>
      <c r="S345" s="346"/>
      <c r="T345" s="150" t="s">
        <v>25</v>
      </c>
      <c r="U345" s="150"/>
      <c r="V345" s="403"/>
      <c r="W345" s="406">
        <v>0</v>
      </c>
      <c r="X345" s="406">
        <v>70950</v>
      </c>
      <c r="Y345" s="430"/>
      <c r="Z345" s="137"/>
      <c r="AA345" s="426"/>
      <c r="AB345" s="427"/>
      <c r="AC345" s="427">
        <v>70950</v>
      </c>
      <c r="AD345" s="428">
        <v>0</v>
      </c>
      <c r="AE345" s="429">
        <v>0</v>
      </c>
      <c r="AF345" s="429">
        <v>0</v>
      </c>
      <c r="AG345" s="360">
        <v>0</v>
      </c>
      <c r="AH345" s="360">
        <v>0</v>
      </c>
      <c r="AI345" s="360">
        <v>0</v>
      </c>
      <c r="AJ345" s="360">
        <v>0</v>
      </c>
      <c r="AK345" s="360">
        <v>0</v>
      </c>
      <c r="AL345" s="360">
        <v>0</v>
      </c>
      <c r="AM345" s="360">
        <f t="shared" si="12"/>
        <v>70950</v>
      </c>
      <c r="AN345" s="362">
        <f>ERP_2[[#This Row],[2026 Working Total]]-ERP_2[[#This Row],[LE2 Final Submission]]</f>
        <v>0</v>
      </c>
      <c r="AO345" s="79">
        <v>0</v>
      </c>
      <c r="AP345" s="79">
        <f t="shared" si="16"/>
        <v>0</v>
      </c>
      <c r="AQ345" s="374">
        <f>SUM(ERP_2[[#This Row],[AP01]:[AP06]])-SUM(ERP_2[[#This Row],[AP01 LE2]:[AP06 LE2]])</f>
        <v>0</v>
      </c>
      <c r="AR345" s="80"/>
      <c r="AS345" s="79">
        <f>ERP_2[[#This Row],[2026 Working Total to Budget/LE]]-ERP_2[[#This Row],[Giveback]]</f>
        <v>0</v>
      </c>
      <c r="AT345" s="81"/>
      <c r="AU345" s="375"/>
      <c r="AV345" s="375"/>
      <c r="AW345" s="375">
        <v>70950</v>
      </c>
      <c r="AX345" s="375">
        <v>0</v>
      </c>
      <c r="AY345" s="375">
        <v>0</v>
      </c>
      <c r="AZ345" s="375">
        <v>0</v>
      </c>
      <c r="BA345" s="375">
        <v>0</v>
      </c>
      <c r="BB345" s="375">
        <v>0</v>
      </c>
      <c r="BC345" s="375">
        <v>0</v>
      </c>
      <c r="BD345" s="375">
        <v>0</v>
      </c>
      <c r="BE345" s="375">
        <v>0</v>
      </c>
      <c r="BF345" s="375">
        <v>0</v>
      </c>
      <c r="BG345" s="375">
        <v>70950</v>
      </c>
      <c r="BH345" s="79"/>
      <c r="BI345" s="79"/>
      <c r="BJ345" s="79">
        <v>70950</v>
      </c>
      <c r="BK345" s="79">
        <v>0</v>
      </c>
      <c r="BL345" s="79">
        <v>0</v>
      </c>
      <c r="BM345" s="79">
        <v>0</v>
      </c>
      <c r="BN345" s="79">
        <v>0</v>
      </c>
      <c r="BO345" s="79">
        <v>0</v>
      </c>
      <c r="BP345" s="79">
        <v>0</v>
      </c>
      <c r="BQ345" s="79">
        <v>0</v>
      </c>
      <c r="BR345" s="79">
        <v>0</v>
      </c>
      <c r="BS345" s="79">
        <v>0</v>
      </c>
      <c r="BT345" s="79">
        <v>70950</v>
      </c>
    </row>
    <row r="346" spans="1:72" ht="15" hidden="1" customHeight="1">
      <c r="A346" s="66" t="s">
        <v>1476</v>
      </c>
      <c r="B346" s="66"/>
      <c r="C346" s="66" t="s">
        <v>226</v>
      </c>
      <c r="D346" s="66" t="s">
        <v>226</v>
      </c>
      <c r="E346" s="150" t="s">
        <v>1136</v>
      </c>
      <c r="F346" s="482" t="s">
        <v>1566</v>
      </c>
      <c r="G346" s="150" t="s">
        <v>1450</v>
      </c>
      <c r="H346" s="150" t="s">
        <v>1450</v>
      </c>
      <c r="I346" s="150" t="s">
        <v>1345</v>
      </c>
      <c r="J346" s="150" t="s">
        <v>1450</v>
      </c>
      <c r="K346" s="150" t="s">
        <v>1346</v>
      </c>
      <c r="L346" s="511" t="s">
        <v>49</v>
      </c>
      <c r="M346" s="392" t="s">
        <v>1327</v>
      </c>
      <c r="N346" s="343"/>
      <c r="O346" s="343"/>
      <c r="P346" s="70" t="s">
        <v>147</v>
      </c>
      <c r="Q346" s="346"/>
      <c r="R346" s="343"/>
      <c r="S346" s="346"/>
      <c r="T346" s="150" t="s">
        <v>25</v>
      </c>
      <c r="U346" s="150"/>
      <c r="V346" s="403"/>
      <c r="W346" s="406">
        <v>0</v>
      </c>
      <c r="X346" s="406">
        <v>-0.32999999999999996</v>
      </c>
      <c r="Y346" s="425"/>
      <c r="Z346" s="71"/>
      <c r="AA346" s="426">
        <v>-0.15</v>
      </c>
      <c r="AB346" s="427">
        <v>0.23</v>
      </c>
      <c r="AC346" s="427">
        <v>-0.41</v>
      </c>
      <c r="AD346" s="428">
        <v>0.8</v>
      </c>
      <c r="AE346" s="429">
        <v>-0.17</v>
      </c>
      <c r="AF346" s="429">
        <v>-0.68</v>
      </c>
      <c r="AG346" s="360">
        <v>0</v>
      </c>
      <c r="AH346" s="360">
        <v>0</v>
      </c>
      <c r="AI346" s="360">
        <v>0</v>
      </c>
      <c r="AJ346" s="360">
        <v>0</v>
      </c>
      <c r="AK346" s="360">
        <v>0</v>
      </c>
      <c r="AL346" s="360">
        <v>0</v>
      </c>
      <c r="AM346" s="360">
        <f t="shared" si="12"/>
        <v>-0.38</v>
      </c>
      <c r="AN346" s="362">
        <f>ERP_2[[#This Row],[2026 Working Total]]-ERP_2[[#This Row],[LE2 Final Submission]]</f>
        <v>-5.0000000000000044E-2</v>
      </c>
      <c r="AO346" s="79">
        <v>0</v>
      </c>
      <c r="AP346" s="79">
        <f t="shared" si="16"/>
        <v>-0.68</v>
      </c>
      <c r="AQ346" s="374">
        <f>SUM(ERP_2[[#This Row],[AP01]:[AP06]])-SUM(ERP_2[[#This Row],[AP01 LE2]:[AP06 LE2]])</f>
        <v>-5.0000000000000044E-2</v>
      </c>
      <c r="AR346" s="80"/>
      <c r="AS346" s="79">
        <f>ERP_2[[#This Row],[2026 Working Total to Budget/LE]]-ERP_2[[#This Row],[Giveback]]</f>
        <v>-5.0000000000000044E-2</v>
      </c>
      <c r="AT346" s="81"/>
      <c r="AU346" s="375">
        <v>-0.15</v>
      </c>
      <c r="AV346" s="375">
        <v>0.23</v>
      </c>
      <c r="AW346" s="375">
        <v>-0.41</v>
      </c>
      <c r="AX346" s="375">
        <v>0</v>
      </c>
      <c r="AY346" s="375">
        <v>0</v>
      </c>
      <c r="AZ346" s="375">
        <v>0</v>
      </c>
      <c r="BA346" s="375">
        <v>0</v>
      </c>
      <c r="BB346" s="375">
        <v>0</v>
      </c>
      <c r="BC346" s="375">
        <v>0</v>
      </c>
      <c r="BD346" s="375">
        <v>0</v>
      </c>
      <c r="BE346" s="375">
        <v>0</v>
      </c>
      <c r="BF346" s="375">
        <v>0</v>
      </c>
      <c r="BG346" s="375">
        <v>-0.32999999999999996</v>
      </c>
      <c r="BH346" s="79">
        <v>-0.15</v>
      </c>
      <c r="BI346" s="79">
        <v>0.23</v>
      </c>
      <c r="BJ346" s="79">
        <v>-0.41</v>
      </c>
      <c r="BK346" s="79">
        <v>0</v>
      </c>
      <c r="BL346" s="79">
        <v>0</v>
      </c>
      <c r="BM346" s="79">
        <v>0</v>
      </c>
      <c r="BN346" s="79">
        <v>0</v>
      </c>
      <c r="BO346" s="79">
        <v>0</v>
      </c>
      <c r="BP346" s="79">
        <v>0</v>
      </c>
      <c r="BQ346" s="79">
        <v>0</v>
      </c>
      <c r="BR346" s="79">
        <v>0</v>
      </c>
      <c r="BS346" s="79">
        <v>0</v>
      </c>
      <c r="BT346" s="79">
        <v>-0.32999999999999996</v>
      </c>
    </row>
    <row r="347" spans="1:72" ht="15" hidden="1" customHeight="1">
      <c r="A347" s="66" t="s">
        <v>1477</v>
      </c>
      <c r="B347" s="66"/>
      <c r="C347" s="66" t="s">
        <v>227</v>
      </c>
      <c r="D347" s="66" t="s">
        <v>227</v>
      </c>
      <c r="E347" s="150" t="s">
        <v>1136</v>
      </c>
      <c r="F347" s="482" t="s">
        <v>1566</v>
      </c>
      <c r="G347" s="150" t="s">
        <v>1450</v>
      </c>
      <c r="H347" s="150" t="s">
        <v>1450</v>
      </c>
      <c r="I347" s="150" t="s">
        <v>1345</v>
      </c>
      <c r="J347" s="150" t="s">
        <v>1450</v>
      </c>
      <c r="K347" s="150" t="s">
        <v>1346</v>
      </c>
      <c r="L347" s="511" t="s">
        <v>49</v>
      </c>
      <c r="M347" s="392" t="s">
        <v>1340</v>
      </c>
      <c r="N347" s="343"/>
      <c r="O347" s="343"/>
      <c r="P347" s="70" t="s">
        <v>149</v>
      </c>
      <c r="Q347" s="346" t="s">
        <v>1139</v>
      </c>
      <c r="R347" s="343"/>
      <c r="S347" s="346"/>
      <c r="T347" s="150" t="s">
        <v>25</v>
      </c>
      <c r="U347" s="150"/>
      <c r="V347" s="403"/>
      <c r="W347" s="406">
        <v>0</v>
      </c>
      <c r="X347" s="406">
        <v>-4283.6499999999996</v>
      </c>
      <c r="Y347" s="425"/>
      <c r="Z347" s="71"/>
      <c r="AA347" s="426">
        <v>-487.65</v>
      </c>
      <c r="AB347" s="427">
        <v>-3796</v>
      </c>
      <c r="AC347" s="431">
        <v>0</v>
      </c>
      <c r="AD347" s="428">
        <v>0</v>
      </c>
      <c r="AE347" s="429">
        <v>0</v>
      </c>
      <c r="AF347" s="429">
        <v>0</v>
      </c>
      <c r="AG347" s="360">
        <v>0</v>
      </c>
      <c r="AH347" s="360">
        <v>0</v>
      </c>
      <c r="AI347" s="360">
        <v>0</v>
      </c>
      <c r="AJ347" s="360">
        <v>0</v>
      </c>
      <c r="AK347" s="360">
        <v>0</v>
      </c>
      <c r="AL347" s="360">
        <v>0</v>
      </c>
      <c r="AM347" s="360">
        <f t="shared" si="12"/>
        <v>-4283.6499999999996</v>
      </c>
      <c r="AN347" s="362">
        <f>ERP_2[[#This Row],[2026 Working Total]]-ERP_2[[#This Row],[LE2 Final Submission]]</f>
        <v>0</v>
      </c>
      <c r="AO347" s="79">
        <v>0</v>
      </c>
      <c r="AP347" s="79">
        <f t="shared" si="16"/>
        <v>0</v>
      </c>
      <c r="AQ347" s="374">
        <f>SUM(ERP_2[[#This Row],[AP01]:[AP06]])-SUM(ERP_2[[#This Row],[AP01 LE2]:[AP06 LE2]])</f>
        <v>0</v>
      </c>
      <c r="AR347" s="80"/>
      <c r="AS347" s="79">
        <f>ERP_2[[#This Row],[2026 Working Total to Budget/LE]]-ERP_2[[#This Row],[Giveback]]</f>
        <v>0</v>
      </c>
      <c r="AT347" s="81"/>
      <c r="AU347" s="375">
        <v>-487.65</v>
      </c>
      <c r="AV347" s="375">
        <v>-3796</v>
      </c>
      <c r="AW347" s="375">
        <v>0</v>
      </c>
      <c r="AX347" s="375">
        <v>0</v>
      </c>
      <c r="AY347" s="375">
        <v>0</v>
      </c>
      <c r="AZ347" s="375">
        <v>0</v>
      </c>
      <c r="BA347" s="375">
        <v>0</v>
      </c>
      <c r="BB347" s="375">
        <v>0</v>
      </c>
      <c r="BC347" s="375">
        <v>0</v>
      </c>
      <c r="BD347" s="375">
        <v>0</v>
      </c>
      <c r="BE347" s="375">
        <v>0</v>
      </c>
      <c r="BF347" s="375">
        <v>0</v>
      </c>
      <c r="BG347" s="375">
        <v>-4283.6499999999996</v>
      </c>
      <c r="BH347" s="79">
        <v>-487.65</v>
      </c>
      <c r="BI347" s="79">
        <v>-3796</v>
      </c>
      <c r="BJ347" s="79">
        <v>0</v>
      </c>
      <c r="BK347" s="79">
        <v>0</v>
      </c>
      <c r="BL347" s="79">
        <v>0</v>
      </c>
      <c r="BM347" s="79">
        <v>0</v>
      </c>
      <c r="BN347" s="79">
        <v>0</v>
      </c>
      <c r="BO347" s="79">
        <v>0</v>
      </c>
      <c r="BP347" s="79">
        <v>0</v>
      </c>
      <c r="BQ347" s="79">
        <v>0</v>
      </c>
      <c r="BR347" s="79">
        <v>0</v>
      </c>
      <c r="BS347" s="79">
        <v>0</v>
      </c>
      <c r="BT347" s="79">
        <v>-4283.6499999999996</v>
      </c>
    </row>
    <row r="348" spans="1:72" ht="15" hidden="1" customHeight="1">
      <c r="A348" s="66" t="s">
        <v>2035</v>
      </c>
      <c r="B348" s="66"/>
      <c r="C348" s="66" t="s">
        <v>539</v>
      </c>
      <c r="D348" s="66" t="s">
        <v>539</v>
      </c>
      <c r="E348" s="150" t="s">
        <v>1136</v>
      </c>
      <c r="F348" s="482" t="s">
        <v>1566</v>
      </c>
      <c r="G348" s="150" t="s">
        <v>1450</v>
      </c>
      <c r="H348" s="150" t="s">
        <v>1450</v>
      </c>
      <c r="I348" s="150" t="s">
        <v>1345</v>
      </c>
      <c r="J348" s="150" t="s">
        <v>1450</v>
      </c>
      <c r="K348" s="150" t="s">
        <v>1346</v>
      </c>
      <c r="L348" s="511" t="s">
        <v>389</v>
      </c>
      <c r="M348" s="392" t="s">
        <v>1174</v>
      </c>
      <c r="N348" s="343"/>
      <c r="O348" s="343"/>
      <c r="P348" s="70" t="s">
        <v>56</v>
      </c>
      <c r="Q348" s="346"/>
      <c r="R348" s="346" t="s">
        <v>1140</v>
      </c>
      <c r="S348" s="346"/>
      <c r="T348" s="150" t="s">
        <v>57</v>
      </c>
      <c r="U348" s="150"/>
      <c r="V348" s="403"/>
      <c r="W348" s="406">
        <v>24000</v>
      </c>
      <c r="X348" s="406">
        <v>21077.66</v>
      </c>
      <c r="Y348" s="430"/>
      <c r="Z348" s="137"/>
      <c r="AA348" s="426">
        <v>1075.3900000000001</v>
      </c>
      <c r="AB348" s="427">
        <v>1075.5999999999999</v>
      </c>
      <c r="AC348" s="427">
        <v>926.67</v>
      </c>
      <c r="AD348" s="428">
        <v>1030.1999999999998</v>
      </c>
      <c r="AE348" s="429">
        <v>1176.04</v>
      </c>
      <c r="AF348" s="429">
        <v>1160.54</v>
      </c>
      <c r="AG348" s="363">
        <v>2000</v>
      </c>
      <c r="AH348" s="363">
        <v>2000</v>
      </c>
      <c r="AI348" s="363">
        <v>2000</v>
      </c>
      <c r="AJ348" s="363">
        <v>2000</v>
      </c>
      <c r="AK348" s="363">
        <v>2000</v>
      </c>
      <c r="AL348" s="363">
        <v>2000</v>
      </c>
      <c r="AM348" s="360">
        <f t="shared" si="12"/>
        <v>18444.439999999999</v>
      </c>
      <c r="AN348" s="362">
        <f>ERP_2[[#This Row],[2026 Working Total]]-ERP_2[[#This Row],[LE2 Final Submission]]</f>
        <v>-2633.2200000000012</v>
      </c>
      <c r="AO348" s="79">
        <v>2000</v>
      </c>
      <c r="AP348" s="79">
        <f t="shared" si="16"/>
        <v>-839.46</v>
      </c>
      <c r="AQ348" s="374">
        <f>SUM(ERP_2[[#This Row],[AP01]:[AP06]])-SUM(ERP_2[[#This Row],[AP01 LE2]:[AP06 LE2]])</f>
        <v>-2633.2200000000003</v>
      </c>
      <c r="AR348" s="80"/>
      <c r="AS348" s="79">
        <f>ERP_2[[#This Row],[2026 Working Total to Budget/LE]]-ERP_2[[#This Row],[Giveback]]</f>
        <v>-2633.2200000000012</v>
      </c>
      <c r="AT348" s="81"/>
      <c r="AU348" s="375">
        <v>1075.3900000000001</v>
      </c>
      <c r="AV348" s="375">
        <v>1075.5999999999999</v>
      </c>
      <c r="AW348" s="375">
        <v>926.67</v>
      </c>
      <c r="AX348" s="375">
        <v>2000</v>
      </c>
      <c r="AY348" s="375">
        <v>2000</v>
      </c>
      <c r="AZ348" s="375">
        <v>2000</v>
      </c>
      <c r="BA348" s="375">
        <v>2000</v>
      </c>
      <c r="BB348" s="375">
        <v>2000</v>
      </c>
      <c r="BC348" s="375">
        <v>2000</v>
      </c>
      <c r="BD348" s="375">
        <v>2000</v>
      </c>
      <c r="BE348" s="375">
        <v>2000</v>
      </c>
      <c r="BF348" s="375">
        <v>2000</v>
      </c>
      <c r="BG348" s="375">
        <v>21077.66</v>
      </c>
      <c r="BH348" s="79">
        <v>1075.3900000000001</v>
      </c>
      <c r="BI348" s="79">
        <v>1075.5999999999999</v>
      </c>
      <c r="BJ348" s="79">
        <v>926.67</v>
      </c>
      <c r="BK348" s="79">
        <v>2000</v>
      </c>
      <c r="BL348" s="79">
        <v>2000</v>
      </c>
      <c r="BM348" s="79">
        <v>2000</v>
      </c>
      <c r="BN348" s="79">
        <v>2000</v>
      </c>
      <c r="BO348" s="79">
        <v>2000</v>
      </c>
      <c r="BP348" s="79">
        <v>2000</v>
      </c>
      <c r="BQ348" s="79">
        <v>2000</v>
      </c>
      <c r="BR348" s="79">
        <v>2000</v>
      </c>
      <c r="BS348" s="79">
        <v>2000</v>
      </c>
      <c r="BT348" s="79">
        <v>21077.66</v>
      </c>
    </row>
    <row r="349" spans="1:72" ht="15" hidden="1" customHeight="1">
      <c r="A349" s="66" t="s">
        <v>2036</v>
      </c>
      <c r="B349" s="66"/>
      <c r="C349" s="66" t="s">
        <v>540</v>
      </c>
      <c r="D349" s="66" t="s">
        <v>540</v>
      </c>
      <c r="E349" s="150" t="s">
        <v>1136</v>
      </c>
      <c r="F349" s="482" t="s">
        <v>1566</v>
      </c>
      <c r="G349" s="150" t="s">
        <v>1450</v>
      </c>
      <c r="H349" s="150" t="s">
        <v>1450</v>
      </c>
      <c r="I349" s="150" t="s">
        <v>1345</v>
      </c>
      <c r="J349" s="150" t="s">
        <v>1450</v>
      </c>
      <c r="K349" s="150" t="s">
        <v>1346</v>
      </c>
      <c r="L349" s="511" t="s">
        <v>389</v>
      </c>
      <c r="M349" s="392" t="s">
        <v>1464</v>
      </c>
      <c r="N349" s="343"/>
      <c r="O349" s="343"/>
      <c r="P349" s="70" t="s">
        <v>214</v>
      </c>
      <c r="Q349" s="346"/>
      <c r="R349" s="343"/>
      <c r="S349" s="346"/>
      <c r="T349" s="150" t="s">
        <v>188</v>
      </c>
      <c r="U349" s="150"/>
      <c r="V349" s="403"/>
      <c r="W349" s="406">
        <v>0</v>
      </c>
      <c r="X349" s="406">
        <v>35000</v>
      </c>
      <c r="Y349" s="425"/>
      <c r="Z349" s="71"/>
      <c r="AA349" s="426"/>
      <c r="AB349" s="427"/>
      <c r="AC349" s="427">
        <v>8751</v>
      </c>
      <c r="AD349" s="428">
        <v>0</v>
      </c>
      <c r="AE349" s="429">
        <v>5834</v>
      </c>
      <c r="AF349" s="429">
        <v>0</v>
      </c>
      <c r="AG349" s="360">
        <v>2917</v>
      </c>
      <c r="AH349" s="360">
        <v>2917</v>
      </c>
      <c r="AI349" s="360">
        <v>2916</v>
      </c>
      <c r="AJ349" s="360">
        <v>2916</v>
      </c>
      <c r="AK349" s="360">
        <v>2916</v>
      </c>
      <c r="AL349" s="360">
        <v>2916</v>
      </c>
      <c r="AM349" s="360">
        <f t="shared" si="12"/>
        <v>32083</v>
      </c>
      <c r="AN349" s="362">
        <f>ERP_2[[#This Row],[2026 Working Total]]-ERP_2[[#This Row],[LE2 Final Submission]]</f>
        <v>-2917</v>
      </c>
      <c r="AO349" s="79">
        <v>2917</v>
      </c>
      <c r="AP349" s="79">
        <f t="shared" si="16"/>
        <v>-2917</v>
      </c>
      <c r="AQ349" s="374">
        <f>SUM(ERP_2[[#This Row],[AP01]:[AP06]])-SUM(ERP_2[[#This Row],[AP01 LE2]:[AP06 LE2]])</f>
        <v>-2917</v>
      </c>
      <c r="AR349" s="80"/>
      <c r="AS349" s="79">
        <f>ERP_2[[#This Row],[2026 Working Total to Budget/LE]]-ERP_2[[#This Row],[Giveback]]</f>
        <v>-2917</v>
      </c>
      <c r="AT349" s="81" t="s">
        <v>2037</v>
      </c>
      <c r="AU349" s="375"/>
      <c r="AV349" s="375"/>
      <c r="AW349" s="375">
        <v>8751</v>
      </c>
      <c r="AX349" s="375">
        <v>2917</v>
      </c>
      <c r="AY349" s="375">
        <v>2917</v>
      </c>
      <c r="AZ349" s="375">
        <v>2917</v>
      </c>
      <c r="BA349" s="375">
        <v>2917</v>
      </c>
      <c r="BB349" s="375">
        <v>2917</v>
      </c>
      <c r="BC349" s="375">
        <v>2916</v>
      </c>
      <c r="BD349" s="375">
        <v>2916</v>
      </c>
      <c r="BE349" s="375">
        <v>2916</v>
      </c>
      <c r="BF349" s="375">
        <v>2916</v>
      </c>
      <c r="BG349" s="375">
        <v>35000</v>
      </c>
      <c r="BH349" s="79"/>
      <c r="BI349" s="79"/>
      <c r="BJ349" s="79">
        <v>8751</v>
      </c>
      <c r="BK349" s="79">
        <v>0</v>
      </c>
      <c r="BL349" s="79">
        <v>0</v>
      </c>
      <c r="BM349" s="79">
        <v>0</v>
      </c>
      <c r="BN349" s="79">
        <v>0</v>
      </c>
      <c r="BO349" s="79">
        <v>0</v>
      </c>
      <c r="BP349" s="79">
        <v>0</v>
      </c>
      <c r="BQ349" s="79">
        <v>0</v>
      </c>
      <c r="BR349" s="79">
        <v>0</v>
      </c>
      <c r="BS349" s="79">
        <v>0</v>
      </c>
      <c r="BT349" s="79">
        <v>8751</v>
      </c>
    </row>
    <row r="350" spans="1:72" ht="15" hidden="1" customHeight="1">
      <c r="A350" s="66" t="s">
        <v>2038</v>
      </c>
      <c r="B350" s="66"/>
      <c r="C350" s="66" t="s">
        <v>541</v>
      </c>
      <c r="D350" s="66" t="s">
        <v>541</v>
      </c>
      <c r="E350" s="150" t="s">
        <v>1136</v>
      </c>
      <c r="F350" s="482" t="s">
        <v>1566</v>
      </c>
      <c r="G350" s="150" t="s">
        <v>1450</v>
      </c>
      <c r="H350" s="150" t="s">
        <v>1450</v>
      </c>
      <c r="I350" s="150" t="s">
        <v>1345</v>
      </c>
      <c r="J350" s="150" t="s">
        <v>1450</v>
      </c>
      <c r="K350" s="150" t="s">
        <v>1346</v>
      </c>
      <c r="L350" s="511" t="s">
        <v>389</v>
      </c>
      <c r="M350" s="392" t="s">
        <v>1467</v>
      </c>
      <c r="N350" s="343"/>
      <c r="O350" s="343"/>
      <c r="P350" s="70" t="s">
        <v>216</v>
      </c>
      <c r="Q350" s="346"/>
      <c r="R350" s="343"/>
      <c r="S350" s="346"/>
      <c r="T350" s="150" t="s">
        <v>217</v>
      </c>
      <c r="U350" s="150"/>
      <c r="V350" s="403"/>
      <c r="W350" s="406">
        <v>0</v>
      </c>
      <c r="X350" s="406">
        <v>7906.64</v>
      </c>
      <c r="Y350" s="425"/>
      <c r="Z350" s="71"/>
      <c r="AA350" s="426">
        <v>988.33</v>
      </c>
      <c r="AB350" s="427">
        <v>988.33</v>
      </c>
      <c r="AC350" s="427">
        <v>988.33</v>
      </c>
      <c r="AD350" s="428">
        <v>1792.83</v>
      </c>
      <c r="AE350" s="429">
        <v>988.32999999999993</v>
      </c>
      <c r="AF350" s="429">
        <v>10337.959999999999</v>
      </c>
      <c r="AG350" s="360">
        <v>988.33</v>
      </c>
      <c r="AH350" s="360">
        <v>988.33</v>
      </c>
      <c r="AI350" s="360">
        <v>0</v>
      </c>
      <c r="AJ350" s="360">
        <v>0</v>
      </c>
      <c r="AK350" s="360">
        <v>0</v>
      </c>
      <c r="AL350" s="360">
        <v>0</v>
      </c>
      <c r="AM350" s="360">
        <f t="shared" si="12"/>
        <v>18060.77</v>
      </c>
      <c r="AN350" s="362">
        <f>ERP_2[[#This Row],[2026 Working Total]]-ERP_2[[#This Row],[LE2 Final Submission]]</f>
        <v>10154.130000000001</v>
      </c>
      <c r="AO350" s="79">
        <v>988.33</v>
      </c>
      <c r="AP350" s="79">
        <f t="shared" si="16"/>
        <v>9349.6299999999992</v>
      </c>
      <c r="AQ350" s="374">
        <f>SUM(ERP_2[[#This Row],[AP01]:[AP06]])-SUM(ERP_2[[#This Row],[AP01 LE2]:[AP06 LE2]])</f>
        <v>10154.129999999997</v>
      </c>
      <c r="AR350" s="80"/>
      <c r="AS350" s="79">
        <f>ERP_2[[#This Row],[2026 Working Total to Budget/LE]]-ERP_2[[#This Row],[Giveback]]</f>
        <v>10154.130000000001</v>
      </c>
      <c r="AT350" s="81" t="s">
        <v>2037</v>
      </c>
      <c r="AU350" s="375">
        <v>988.33</v>
      </c>
      <c r="AV350" s="375">
        <v>988.33</v>
      </c>
      <c r="AW350" s="375">
        <v>988.33</v>
      </c>
      <c r="AX350" s="375">
        <v>988.33</v>
      </c>
      <c r="AY350" s="375">
        <v>988.33</v>
      </c>
      <c r="AZ350" s="375">
        <v>988.33</v>
      </c>
      <c r="BA350" s="375">
        <v>988.33</v>
      </c>
      <c r="BB350" s="375">
        <v>988.33</v>
      </c>
      <c r="BC350" s="375">
        <v>0</v>
      </c>
      <c r="BD350" s="375">
        <v>0</v>
      </c>
      <c r="BE350" s="375">
        <v>0</v>
      </c>
      <c r="BF350" s="375">
        <v>0</v>
      </c>
      <c r="BG350" s="375">
        <v>7906.64</v>
      </c>
      <c r="BH350" s="79">
        <v>988.33</v>
      </c>
      <c r="BI350" s="79">
        <v>988.33</v>
      </c>
      <c r="BJ350" s="79">
        <v>988.33</v>
      </c>
      <c r="BK350" s="79">
        <v>0</v>
      </c>
      <c r="BL350" s="79">
        <v>0</v>
      </c>
      <c r="BM350" s="79">
        <v>0</v>
      </c>
      <c r="BN350" s="79">
        <v>0</v>
      </c>
      <c r="BO350" s="79">
        <v>0</v>
      </c>
      <c r="BP350" s="79">
        <v>0</v>
      </c>
      <c r="BQ350" s="79">
        <v>0</v>
      </c>
      <c r="BR350" s="79">
        <v>0</v>
      </c>
      <c r="BS350" s="79">
        <v>0</v>
      </c>
      <c r="BT350" s="79">
        <v>2964.9900000000002</v>
      </c>
    </row>
    <row r="351" spans="1:72" ht="15" hidden="1" customHeight="1">
      <c r="A351" s="66" t="s">
        <v>2039</v>
      </c>
      <c r="B351" s="66"/>
      <c r="C351" s="66" t="s">
        <v>542</v>
      </c>
      <c r="D351" s="66" t="s">
        <v>542</v>
      </c>
      <c r="E351" s="150" t="s">
        <v>1136</v>
      </c>
      <c r="F351" s="482" t="s">
        <v>1566</v>
      </c>
      <c r="G351" s="150" t="s">
        <v>1450</v>
      </c>
      <c r="H351" s="150" t="s">
        <v>1450</v>
      </c>
      <c r="I351" s="150" t="s">
        <v>1345</v>
      </c>
      <c r="J351" s="150" t="s">
        <v>1450</v>
      </c>
      <c r="K351" s="150" t="s">
        <v>1346</v>
      </c>
      <c r="L351" s="511" t="s">
        <v>389</v>
      </c>
      <c r="M351" s="392" t="s">
        <v>1703</v>
      </c>
      <c r="N351" s="343"/>
      <c r="O351" s="343"/>
      <c r="P351" s="70" t="s">
        <v>365</v>
      </c>
      <c r="Q351" s="346"/>
      <c r="R351" s="346" t="s">
        <v>1140</v>
      </c>
      <c r="S351" s="346"/>
      <c r="T351" s="150" t="s">
        <v>57</v>
      </c>
      <c r="U351" s="150"/>
      <c r="V351" s="403"/>
      <c r="W351" s="406">
        <v>8220</v>
      </c>
      <c r="X351" s="406">
        <v>7536.92</v>
      </c>
      <c r="Y351" s="430"/>
      <c r="Z351" s="137"/>
      <c r="AA351" s="426">
        <v>685.96</v>
      </c>
      <c r="AB351" s="427">
        <v>685.96</v>
      </c>
      <c r="AC351" s="431">
        <v>0</v>
      </c>
      <c r="AD351" s="428">
        <v>510.91</v>
      </c>
      <c r="AE351" s="429">
        <v>685.96</v>
      </c>
      <c r="AF351" s="429">
        <v>685.96</v>
      </c>
      <c r="AG351" s="363">
        <v>685</v>
      </c>
      <c r="AH351" s="363">
        <v>685</v>
      </c>
      <c r="AI351" s="363">
        <v>685</v>
      </c>
      <c r="AJ351" s="363">
        <v>685</v>
      </c>
      <c r="AK351" s="363">
        <v>685</v>
      </c>
      <c r="AL351" s="363">
        <v>685</v>
      </c>
      <c r="AM351" s="360">
        <f t="shared" si="12"/>
        <v>7364.75</v>
      </c>
      <c r="AN351" s="362">
        <f>ERP_2[[#This Row],[2026 Working Total]]-ERP_2[[#This Row],[LE2 Final Submission]]</f>
        <v>-172.17000000000007</v>
      </c>
      <c r="AO351" s="79">
        <v>685</v>
      </c>
      <c r="AP351" s="79">
        <f t="shared" si="16"/>
        <v>0.96000000000003638</v>
      </c>
      <c r="AQ351" s="374">
        <f>SUM(ERP_2[[#This Row],[AP01]:[AP06]])-SUM(ERP_2[[#This Row],[AP01 LE2]:[AP06 LE2]])</f>
        <v>-172.17000000000007</v>
      </c>
      <c r="AR351" s="80"/>
      <c r="AS351" s="79">
        <f>ERP_2[[#This Row],[2026 Working Total to Budget/LE]]-ERP_2[[#This Row],[Giveback]]</f>
        <v>-172.17000000000007</v>
      </c>
      <c r="AT351" s="81"/>
      <c r="AU351" s="375">
        <v>685.96</v>
      </c>
      <c r="AV351" s="375">
        <v>685.96</v>
      </c>
      <c r="AW351" s="375">
        <v>0</v>
      </c>
      <c r="AX351" s="375">
        <v>685</v>
      </c>
      <c r="AY351" s="375">
        <v>685</v>
      </c>
      <c r="AZ351" s="375">
        <v>685</v>
      </c>
      <c r="BA351" s="375">
        <v>685</v>
      </c>
      <c r="BB351" s="375">
        <v>685</v>
      </c>
      <c r="BC351" s="375">
        <v>685</v>
      </c>
      <c r="BD351" s="375">
        <v>685</v>
      </c>
      <c r="BE351" s="375">
        <v>685</v>
      </c>
      <c r="BF351" s="375">
        <v>685</v>
      </c>
      <c r="BG351" s="375">
        <v>7536.92</v>
      </c>
      <c r="BH351" s="79">
        <v>685.96</v>
      </c>
      <c r="BI351" s="79">
        <v>685.96</v>
      </c>
      <c r="BJ351" s="79">
        <v>0</v>
      </c>
      <c r="BK351" s="79">
        <v>685</v>
      </c>
      <c r="BL351" s="79">
        <v>685</v>
      </c>
      <c r="BM351" s="79">
        <v>685</v>
      </c>
      <c r="BN351" s="79">
        <v>685</v>
      </c>
      <c r="BO351" s="79">
        <v>685</v>
      </c>
      <c r="BP351" s="79">
        <v>685</v>
      </c>
      <c r="BQ351" s="79">
        <v>685</v>
      </c>
      <c r="BR351" s="79">
        <v>685</v>
      </c>
      <c r="BS351" s="79">
        <v>685</v>
      </c>
      <c r="BT351" s="79">
        <v>7536.92</v>
      </c>
    </row>
    <row r="352" spans="1:72" ht="15" hidden="1" customHeight="1">
      <c r="A352" s="66" t="s">
        <v>2040</v>
      </c>
      <c r="B352" s="66"/>
      <c r="C352" s="66" t="s">
        <v>543</v>
      </c>
      <c r="D352" s="66" t="s">
        <v>543</v>
      </c>
      <c r="E352" s="150" t="s">
        <v>1136</v>
      </c>
      <c r="F352" s="482" t="s">
        <v>1566</v>
      </c>
      <c r="G352" s="150" t="s">
        <v>1450</v>
      </c>
      <c r="H352" s="150" t="s">
        <v>1450</v>
      </c>
      <c r="I352" s="150" t="s">
        <v>1345</v>
      </c>
      <c r="J352" s="150" t="s">
        <v>1450</v>
      </c>
      <c r="K352" s="150" t="s">
        <v>1346</v>
      </c>
      <c r="L352" s="511" t="s">
        <v>389</v>
      </c>
      <c r="M352" s="392" t="s">
        <v>1855</v>
      </c>
      <c r="N352" s="343"/>
      <c r="O352" s="343"/>
      <c r="P352" s="70" t="s">
        <v>466</v>
      </c>
      <c r="Q352" s="346"/>
      <c r="R352" s="346" t="s">
        <v>1140</v>
      </c>
      <c r="S352" s="346"/>
      <c r="T352" s="150" t="s">
        <v>57</v>
      </c>
      <c r="U352" s="150"/>
      <c r="V352" s="403"/>
      <c r="W352" s="406">
        <v>36000</v>
      </c>
      <c r="X352" s="406">
        <v>34822</v>
      </c>
      <c r="Y352" s="425"/>
      <c r="Z352" s="71"/>
      <c r="AA352" s="426">
        <v>2137</v>
      </c>
      <c r="AB352" s="427">
        <v>1809</v>
      </c>
      <c r="AC352" s="427">
        <v>3876</v>
      </c>
      <c r="AD352" s="428">
        <v>1749</v>
      </c>
      <c r="AE352" s="429">
        <v>1548</v>
      </c>
      <c r="AF352" s="429">
        <v>1273</v>
      </c>
      <c r="AG352" s="363">
        <v>3000</v>
      </c>
      <c r="AH352" s="363">
        <v>3000</v>
      </c>
      <c r="AI352" s="363">
        <v>3000</v>
      </c>
      <c r="AJ352" s="363">
        <v>3000</v>
      </c>
      <c r="AK352" s="363">
        <v>3000</v>
      </c>
      <c r="AL352" s="363">
        <v>3000</v>
      </c>
      <c r="AM352" s="360">
        <f t="shared" si="12"/>
        <v>30392</v>
      </c>
      <c r="AN352" s="362">
        <f>ERP_2[[#This Row],[2026 Working Total]]-ERP_2[[#This Row],[LE2 Final Submission]]</f>
        <v>-4430</v>
      </c>
      <c r="AO352" s="79">
        <v>3000</v>
      </c>
      <c r="AP352" s="79">
        <f t="shared" si="16"/>
        <v>-1727</v>
      </c>
      <c r="AQ352" s="374">
        <f>SUM(ERP_2[[#This Row],[AP01]:[AP06]])-SUM(ERP_2[[#This Row],[AP01 LE2]:[AP06 LE2]])</f>
        <v>-4430</v>
      </c>
      <c r="AR352" s="80"/>
      <c r="AS352" s="79">
        <f>ERP_2[[#This Row],[2026 Working Total to Budget/LE]]-ERP_2[[#This Row],[Giveback]]</f>
        <v>-4430</v>
      </c>
      <c r="AT352" s="81"/>
      <c r="AU352" s="375">
        <v>2137</v>
      </c>
      <c r="AV352" s="375">
        <v>1809</v>
      </c>
      <c r="AW352" s="375">
        <v>3876</v>
      </c>
      <c r="AX352" s="375">
        <v>3000</v>
      </c>
      <c r="AY352" s="375">
        <v>3000</v>
      </c>
      <c r="AZ352" s="375">
        <v>3000</v>
      </c>
      <c r="BA352" s="375">
        <v>3000</v>
      </c>
      <c r="BB352" s="375">
        <v>3000</v>
      </c>
      <c r="BC352" s="375">
        <v>3000</v>
      </c>
      <c r="BD352" s="375">
        <v>3000</v>
      </c>
      <c r="BE352" s="375">
        <v>3000</v>
      </c>
      <c r="BF352" s="375">
        <v>3000</v>
      </c>
      <c r="BG352" s="375">
        <v>34822</v>
      </c>
      <c r="BH352" s="79">
        <v>2137</v>
      </c>
      <c r="BI352" s="79">
        <v>1809</v>
      </c>
      <c r="BJ352" s="79">
        <v>3876</v>
      </c>
      <c r="BK352" s="79">
        <v>3000</v>
      </c>
      <c r="BL352" s="79">
        <v>3000</v>
      </c>
      <c r="BM352" s="79">
        <v>3000</v>
      </c>
      <c r="BN352" s="79">
        <v>3000</v>
      </c>
      <c r="BO352" s="79">
        <v>3000</v>
      </c>
      <c r="BP352" s="79">
        <v>3000</v>
      </c>
      <c r="BQ352" s="79">
        <v>3000</v>
      </c>
      <c r="BR352" s="79">
        <v>3000</v>
      </c>
      <c r="BS352" s="79">
        <v>3000</v>
      </c>
      <c r="BT352" s="79">
        <v>34822</v>
      </c>
    </row>
    <row r="353" spans="1:72" ht="15" hidden="1" customHeight="1">
      <c r="A353" s="66" t="s">
        <v>2041</v>
      </c>
      <c r="B353" s="66"/>
      <c r="C353" s="66" t="s">
        <v>544</v>
      </c>
      <c r="D353" s="66" t="s">
        <v>544</v>
      </c>
      <c r="E353" s="150" t="s">
        <v>1136</v>
      </c>
      <c r="F353" s="482" t="s">
        <v>1566</v>
      </c>
      <c r="G353" s="150" t="s">
        <v>1450</v>
      </c>
      <c r="H353" s="150" t="s">
        <v>1450</v>
      </c>
      <c r="I353" s="150" t="s">
        <v>1345</v>
      </c>
      <c r="J353" s="150" t="s">
        <v>1450</v>
      </c>
      <c r="K353" s="150" t="s">
        <v>1346</v>
      </c>
      <c r="L353" s="511" t="s">
        <v>389</v>
      </c>
      <c r="M353" s="392" t="s">
        <v>1327</v>
      </c>
      <c r="N353" s="343"/>
      <c r="O353" s="343"/>
      <c r="P353" s="70" t="s">
        <v>147</v>
      </c>
      <c r="Q353" s="346"/>
      <c r="R353" s="343"/>
      <c r="S353" s="346"/>
      <c r="T353" s="150" t="s">
        <v>25</v>
      </c>
      <c r="U353" s="150"/>
      <c r="V353" s="403"/>
      <c r="W353" s="406">
        <v>0</v>
      </c>
      <c r="X353" s="406">
        <v>0.43</v>
      </c>
      <c r="Y353" s="425"/>
      <c r="Z353" s="71"/>
      <c r="AA353" s="426">
        <v>0.32</v>
      </c>
      <c r="AB353" s="427">
        <v>0.11</v>
      </c>
      <c r="AC353" s="431">
        <v>0</v>
      </c>
      <c r="AD353" s="428">
        <v>0.06</v>
      </c>
      <c r="AE353" s="429">
        <v>-0.33</v>
      </c>
      <c r="AF353" s="429">
        <v>-0.46</v>
      </c>
      <c r="AG353" s="360">
        <v>0</v>
      </c>
      <c r="AH353" s="360">
        <v>0</v>
      </c>
      <c r="AI353" s="360">
        <v>0</v>
      </c>
      <c r="AJ353" s="360">
        <v>0</v>
      </c>
      <c r="AK353" s="360">
        <v>0</v>
      </c>
      <c r="AL353" s="360">
        <v>0</v>
      </c>
      <c r="AM353" s="360">
        <f t="shared" si="12"/>
        <v>-0.30000000000000004</v>
      </c>
      <c r="AN353" s="362">
        <f>ERP_2[[#This Row],[2026 Working Total]]-ERP_2[[#This Row],[LE2 Final Submission]]</f>
        <v>-0.73</v>
      </c>
      <c r="AO353" s="79">
        <v>0</v>
      </c>
      <c r="AP353" s="79">
        <f t="shared" si="16"/>
        <v>-0.46</v>
      </c>
      <c r="AQ353" s="374">
        <f>SUM(ERP_2[[#This Row],[AP01]:[AP06]])-SUM(ERP_2[[#This Row],[AP01 LE2]:[AP06 LE2]])</f>
        <v>-0.73</v>
      </c>
      <c r="AR353" s="80"/>
      <c r="AS353" s="79">
        <f>ERP_2[[#This Row],[2026 Working Total to Budget/LE]]-ERP_2[[#This Row],[Giveback]]</f>
        <v>-0.73</v>
      </c>
      <c r="AT353" s="81"/>
      <c r="AU353" s="375">
        <v>0.32</v>
      </c>
      <c r="AV353" s="375">
        <v>0.11</v>
      </c>
      <c r="AW353" s="375">
        <v>0</v>
      </c>
      <c r="AX353" s="375">
        <v>0</v>
      </c>
      <c r="AY353" s="375">
        <v>0</v>
      </c>
      <c r="AZ353" s="375">
        <v>0</v>
      </c>
      <c r="BA353" s="375">
        <v>0</v>
      </c>
      <c r="BB353" s="375">
        <v>0</v>
      </c>
      <c r="BC353" s="375">
        <v>0</v>
      </c>
      <c r="BD353" s="375">
        <v>0</v>
      </c>
      <c r="BE353" s="375">
        <v>0</v>
      </c>
      <c r="BF353" s="375">
        <v>0</v>
      </c>
      <c r="BG353" s="375">
        <v>0.43</v>
      </c>
      <c r="BH353" s="79">
        <v>0.32</v>
      </c>
      <c r="BI353" s="79">
        <v>0.11</v>
      </c>
      <c r="BJ353" s="79">
        <v>0</v>
      </c>
      <c r="BK353" s="79">
        <v>0</v>
      </c>
      <c r="BL353" s="79">
        <v>0</v>
      </c>
      <c r="BM353" s="79">
        <v>0</v>
      </c>
      <c r="BN353" s="79">
        <v>0</v>
      </c>
      <c r="BO353" s="79">
        <v>0</v>
      </c>
      <c r="BP353" s="79">
        <v>0</v>
      </c>
      <c r="BQ353" s="79">
        <v>0</v>
      </c>
      <c r="BR353" s="79">
        <v>0</v>
      </c>
      <c r="BS353" s="79">
        <v>0</v>
      </c>
      <c r="BT353" s="79">
        <v>0.43</v>
      </c>
    </row>
    <row r="354" spans="1:72" ht="15" hidden="1" customHeight="1">
      <c r="A354" s="66" t="s">
        <v>2702</v>
      </c>
      <c r="B354" s="66"/>
      <c r="C354" s="66" t="s">
        <v>956</v>
      </c>
      <c r="D354" s="66" t="s">
        <v>956</v>
      </c>
      <c r="E354" s="150" t="s">
        <v>1136</v>
      </c>
      <c r="F354" s="482" t="s">
        <v>1566</v>
      </c>
      <c r="G354" s="150" t="s">
        <v>1450</v>
      </c>
      <c r="H354" s="150" t="s">
        <v>1450</v>
      </c>
      <c r="I354" s="150" t="s">
        <v>1345</v>
      </c>
      <c r="J354" s="150" t="s">
        <v>1450</v>
      </c>
      <c r="K354" s="150" t="s">
        <v>1346</v>
      </c>
      <c r="L354" s="511" t="s">
        <v>639</v>
      </c>
      <c r="M354" s="392" t="s">
        <v>1138</v>
      </c>
      <c r="N354" s="343"/>
      <c r="O354" s="343"/>
      <c r="P354" s="70" t="s">
        <v>51</v>
      </c>
      <c r="Q354" s="346" t="s">
        <v>1139</v>
      </c>
      <c r="R354" s="346" t="s">
        <v>1140</v>
      </c>
      <c r="S354" s="346"/>
      <c r="T354" s="150" t="s">
        <v>25</v>
      </c>
      <c r="U354" s="150"/>
      <c r="V354" s="403"/>
      <c r="W354" s="406">
        <v>0</v>
      </c>
      <c r="X354" s="406">
        <v>431.03</v>
      </c>
      <c r="Y354" s="430"/>
      <c r="Z354" s="137"/>
      <c r="AA354" s="426"/>
      <c r="AB354" s="427">
        <v>431.03</v>
      </c>
      <c r="AC354" s="431">
        <v>0</v>
      </c>
      <c r="AD354" s="428">
        <v>0</v>
      </c>
      <c r="AE354" s="429">
        <v>0</v>
      </c>
      <c r="AF354" s="429">
        <v>0</v>
      </c>
      <c r="AG354" s="360">
        <v>0</v>
      </c>
      <c r="AH354" s="360">
        <v>0</v>
      </c>
      <c r="AI354" s="360">
        <v>0</v>
      </c>
      <c r="AJ354" s="360">
        <v>0</v>
      </c>
      <c r="AK354" s="360">
        <v>0</v>
      </c>
      <c r="AL354" s="360">
        <v>0</v>
      </c>
      <c r="AM354" s="360">
        <f t="shared" si="12"/>
        <v>431.03</v>
      </c>
      <c r="AN354" s="362">
        <f>ERP_2[[#This Row],[2026 Working Total]]-ERP_2[[#This Row],[LE2 Final Submission]]</f>
        <v>0</v>
      </c>
      <c r="AO354" s="79">
        <v>0</v>
      </c>
      <c r="AP354" s="79">
        <f t="shared" si="16"/>
        <v>0</v>
      </c>
      <c r="AQ354" s="374">
        <f>SUM(ERP_2[[#This Row],[AP01]:[AP06]])-SUM(ERP_2[[#This Row],[AP01 LE2]:[AP06 LE2]])</f>
        <v>0</v>
      </c>
      <c r="AR354" s="80"/>
      <c r="AS354" s="79">
        <f>ERP_2[[#This Row],[2026 Working Total to Budget/LE]]-ERP_2[[#This Row],[Giveback]]</f>
        <v>0</v>
      </c>
      <c r="AT354" s="81"/>
      <c r="AU354" s="375"/>
      <c r="AV354" s="375">
        <v>431.03</v>
      </c>
      <c r="AW354" s="375">
        <v>0</v>
      </c>
      <c r="AX354" s="375">
        <v>0</v>
      </c>
      <c r="AY354" s="375">
        <v>0</v>
      </c>
      <c r="AZ354" s="375">
        <v>0</v>
      </c>
      <c r="BA354" s="375">
        <v>0</v>
      </c>
      <c r="BB354" s="375">
        <v>0</v>
      </c>
      <c r="BC354" s="375">
        <v>0</v>
      </c>
      <c r="BD354" s="375">
        <v>0</v>
      </c>
      <c r="BE354" s="375">
        <v>0</v>
      </c>
      <c r="BF354" s="375">
        <v>0</v>
      </c>
      <c r="BG354" s="375">
        <v>431.03</v>
      </c>
      <c r="BH354" s="79"/>
      <c r="BI354" s="79">
        <v>431.03</v>
      </c>
      <c r="BJ354" s="79">
        <v>0</v>
      </c>
      <c r="BK354" s="79">
        <v>0</v>
      </c>
      <c r="BL354" s="79">
        <v>0</v>
      </c>
      <c r="BM354" s="79">
        <v>0</v>
      </c>
      <c r="BN354" s="79">
        <v>0</v>
      </c>
      <c r="BO354" s="79">
        <v>0</v>
      </c>
      <c r="BP354" s="79">
        <v>0</v>
      </c>
      <c r="BQ354" s="79">
        <v>0</v>
      </c>
      <c r="BR354" s="79">
        <v>0</v>
      </c>
      <c r="BS354" s="79">
        <v>0</v>
      </c>
      <c r="BT354" s="79">
        <v>431.03</v>
      </c>
    </row>
    <row r="355" spans="1:72" ht="15" hidden="1" customHeight="1">
      <c r="A355" s="66" t="s">
        <v>2703</v>
      </c>
      <c r="B355" s="66"/>
      <c r="C355" s="66" t="s">
        <v>957</v>
      </c>
      <c r="D355" s="66" t="s">
        <v>957</v>
      </c>
      <c r="E355" s="150" t="s">
        <v>1136</v>
      </c>
      <c r="F355" s="482" t="s">
        <v>1566</v>
      </c>
      <c r="G355" s="150" t="s">
        <v>1450</v>
      </c>
      <c r="H355" s="150" t="s">
        <v>1450</v>
      </c>
      <c r="I355" s="150" t="s">
        <v>1345</v>
      </c>
      <c r="J355" s="150" t="s">
        <v>1450</v>
      </c>
      <c r="K355" s="150" t="s">
        <v>1346</v>
      </c>
      <c r="L355" s="511" t="s">
        <v>639</v>
      </c>
      <c r="M355" s="392" t="s">
        <v>818</v>
      </c>
      <c r="N355" s="343"/>
      <c r="O355" s="343"/>
      <c r="P355" s="70" t="s">
        <v>817</v>
      </c>
      <c r="Q355" s="346"/>
      <c r="R355" s="346" t="s">
        <v>1140</v>
      </c>
      <c r="S355" s="346"/>
      <c r="T355" s="150" t="s">
        <v>818</v>
      </c>
      <c r="U355" s="150"/>
      <c r="V355" s="403"/>
      <c r="W355" s="406">
        <v>12000</v>
      </c>
      <c r="X355" s="406">
        <v>19022.099999999999</v>
      </c>
      <c r="Y355" s="425"/>
      <c r="Z355" s="71"/>
      <c r="AA355" s="426"/>
      <c r="AB355" s="427"/>
      <c r="AC355" s="427">
        <v>10022.1</v>
      </c>
      <c r="AD355" s="428">
        <v>0</v>
      </c>
      <c r="AE355" s="429">
        <v>0</v>
      </c>
      <c r="AF355" s="429">
        <v>7983.4299999999994</v>
      </c>
      <c r="AG355" s="360">
        <v>0</v>
      </c>
      <c r="AH355" s="360">
        <v>0</v>
      </c>
      <c r="AI355" s="363">
        <v>10000</v>
      </c>
      <c r="AJ355" s="360">
        <v>0</v>
      </c>
      <c r="AK355" s="360">
        <v>0</v>
      </c>
      <c r="AL355" s="363">
        <v>10000</v>
      </c>
      <c r="AM355" s="360">
        <f t="shared" si="12"/>
        <v>38005.53</v>
      </c>
      <c r="AN355" s="362">
        <f>ERP_2[[#This Row],[2026 Working Total]]-ERP_2[[#This Row],[LE2 Final Submission]]</f>
        <v>18983.43</v>
      </c>
      <c r="AO355" s="79">
        <v>0</v>
      </c>
      <c r="AP355" s="79">
        <f t="shared" si="16"/>
        <v>7983.4299999999994</v>
      </c>
      <c r="AQ355" s="374">
        <f>SUM(ERP_2[[#This Row],[AP01]:[AP06]])-SUM(ERP_2[[#This Row],[AP01 LE2]:[AP06 LE2]])</f>
        <v>4983.4299999999985</v>
      </c>
      <c r="AR355" s="80"/>
      <c r="AS355" s="79">
        <f>ERP_2[[#This Row],[2026 Working Total to Budget/LE]]-ERP_2[[#This Row],[Giveback]]</f>
        <v>18983.43</v>
      </c>
      <c r="AT355" s="81"/>
      <c r="AU355" s="375"/>
      <c r="AV355" s="375"/>
      <c r="AW355" s="375">
        <v>10022.1</v>
      </c>
      <c r="AX355" s="375">
        <v>0</v>
      </c>
      <c r="AY355" s="375">
        <v>0</v>
      </c>
      <c r="AZ355" s="375">
        <v>3000</v>
      </c>
      <c r="BA355" s="375">
        <v>0</v>
      </c>
      <c r="BB355" s="375">
        <v>0</v>
      </c>
      <c r="BC355" s="375">
        <v>3000</v>
      </c>
      <c r="BD355" s="375">
        <v>0</v>
      </c>
      <c r="BE355" s="375">
        <v>0</v>
      </c>
      <c r="BF355" s="375">
        <v>3000</v>
      </c>
      <c r="BG355" s="375">
        <v>19022.099999999999</v>
      </c>
      <c r="BH355" s="79"/>
      <c r="BI355" s="79"/>
      <c r="BJ355" s="79">
        <v>10022.1</v>
      </c>
      <c r="BK355" s="79">
        <v>0</v>
      </c>
      <c r="BL355" s="79">
        <v>0</v>
      </c>
      <c r="BM355" s="79">
        <v>3000</v>
      </c>
      <c r="BN355" s="79">
        <v>0</v>
      </c>
      <c r="BO355" s="79">
        <v>0</v>
      </c>
      <c r="BP355" s="79">
        <v>3000</v>
      </c>
      <c r="BQ355" s="79">
        <v>0</v>
      </c>
      <c r="BR355" s="79">
        <v>0</v>
      </c>
      <c r="BS355" s="79">
        <v>3000</v>
      </c>
      <c r="BT355" s="79">
        <v>19022.099999999999</v>
      </c>
    </row>
    <row r="356" spans="1:72" ht="15" hidden="1" customHeight="1">
      <c r="A356" s="66" t="s">
        <v>2704</v>
      </c>
      <c r="B356" s="66"/>
      <c r="C356" s="66" t="s">
        <v>958</v>
      </c>
      <c r="D356" s="66" t="s">
        <v>958</v>
      </c>
      <c r="E356" s="150" t="s">
        <v>1136</v>
      </c>
      <c r="F356" s="482" t="s">
        <v>1566</v>
      </c>
      <c r="G356" s="150" t="s">
        <v>1450</v>
      </c>
      <c r="H356" s="150" t="s">
        <v>1450</v>
      </c>
      <c r="I356" s="150" t="s">
        <v>1345</v>
      </c>
      <c r="J356" s="150" t="s">
        <v>1450</v>
      </c>
      <c r="K356" s="150" t="s">
        <v>1346</v>
      </c>
      <c r="L356" s="511" t="s">
        <v>639</v>
      </c>
      <c r="M356" s="392" t="s">
        <v>1327</v>
      </c>
      <c r="N356" s="343"/>
      <c r="O356" s="343"/>
      <c r="P356" s="70" t="s">
        <v>147</v>
      </c>
      <c r="Q356" s="346"/>
      <c r="R356" s="343"/>
      <c r="S356" s="346"/>
      <c r="T356" s="150" t="s">
        <v>25</v>
      </c>
      <c r="U356" s="150"/>
      <c r="V356" s="403"/>
      <c r="W356" s="406">
        <v>0</v>
      </c>
      <c r="X356" s="406">
        <v>-0.13</v>
      </c>
      <c r="Y356" s="425"/>
      <c r="Z356" s="71"/>
      <c r="AA356" s="426"/>
      <c r="AB356" s="427">
        <v>-0.03</v>
      </c>
      <c r="AC356" s="427">
        <v>-0.1</v>
      </c>
      <c r="AD356" s="428">
        <v>0</v>
      </c>
      <c r="AE356" s="429">
        <v>0</v>
      </c>
      <c r="AF356" s="429">
        <v>0.56999999999999995</v>
      </c>
      <c r="AG356" s="360">
        <v>0</v>
      </c>
      <c r="AH356" s="360">
        <v>0</v>
      </c>
      <c r="AI356" s="360">
        <v>0</v>
      </c>
      <c r="AJ356" s="360">
        <v>0</v>
      </c>
      <c r="AK356" s="360">
        <v>0</v>
      </c>
      <c r="AL356" s="360">
        <v>0</v>
      </c>
      <c r="AM356" s="360">
        <f t="shared" si="12"/>
        <v>0.43999999999999995</v>
      </c>
      <c r="AN356" s="362">
        <f>ERP_2[[#This Row],[2026 Working Total]]-ERP_2[[#This Row],[LE2 Final Submission]]</f>
        <v>0.56999999999999995</v>
      </c>
      <c r="AO356" s="79">
        <v>0</v>
      </c>
      <c r="AP356" s="79">
        <f t="shared" si="16"/>
        <v>0.56999999999999995</v>
      </c>
      <c r="AQ356" s="374">
        <f>SUM(ERP_2[[#This Row],[AP01]:[AP06]])-SUM(ERP_2[[#This Row],[AP01 LE2]:[AP06 LE2]])</f>
        <v>0.56999999999999995</v>
      </c>
      <c r="AR356" s="80"/>
      <c r="AS356" s="79">
        <f>ERP_2[[#This Row],[2026 Working Total to Budget/LE]]-ERP_2[[#This Row],[Giveback]]</f>
        <v>0.56999999999999995</v>
      </c>
      <c r="AT356" s="81"/>
      <c r="AU356" s="375"/>
      <c r="AV356" s="375">
        <v>-0.03</v>
      </c>
      <c r="AW356" s="375">
        <v>-0.1</v>
      </c>
      <c r="AX356" s="375">
        <v>0</v>
      </c>
      <c r="AY356" s="375">
        <v>0</v>
      </c>
      <c r="AZ356" s="375">
        <v>0</v>
      </c>
      <c r="BA356" s="375">
        <v>0</v>
      </c>
      <c r="BB356" s="375">
        <v>0</v>
      </c>
      <c r="BC356" s="375">
        <v>0</v>
      </c>
      <c r="BD356" s="375">
        <v>0</v>
      </c>
      <c r="BE356" s="375">
        <v>0</v>
      </c>
      <c r="BF356" s="375">
        <v>0</v>
      </c>
      <c r="BG356" s="375">
        <v>-0.13</v>
      </c>
      <c r="BH356" s="79"/>
      <c r="BI356" s="79">
        <v>-0.03</v>
      </c>
      <c r="BJ356" s="79">
        <v>-0.1</v>
      </c>
      <c r="BK356" s="79">
        <v>0</v>
      </c>
      <c r="BL356" s="79">
        <v>0</v>
      </c>
      <c r="BM356" s="79">
        <v>0</v>
      </c>
      <c r="BN356" s="79">
        <v>0</v>
      </c>
      <c r="BO356" s="79">
        <v>0</v>
      </c>
      <c r="BP356" s="79">
        <v>0</v>
      </c>
      <c r="BQ356" s="79">
        <v>0</v>
      </c>
      <c r="BR356" s="79">
        <v>0</v>
      </c>
      <c r="BS356" s="79">
        <v>0</v>
      </c>
      <c r="BT356" s="79">
        <v>-0.13</v>
      </c>
    </row>
    <row r="357" spans="1:72" ht="15" hidden="1" customHeight="1">
      <c r="A357" s="66" t="s">
        <v>1478</v>
      </c>
      <c r="B357" s="66"/>
      <c r="C357" s="66" t="s">
        <v>228</v>
      </c>
      <c r="D357" s="66" t="s">
        <v>1479</v>
      </c>
      <c r="E357" s="150" t="s">
        <v>1136</v>
      </c>
      <c r="F357" s="482" t="s">
        <v>1566</v>
      </c>
      <c r="G357" s="383" t="s">
        <v>1480</v>
      </c>
      <c r="H357" s="150" t="s">
        <v>1481</v>
      </c>
      <c r="I357" s="150" t="s">
        <v>1345</v>
      </c>
      <c r="J357" s="150" t="s">
        <v>1481</v>
      </c>
      <c r="K357" s="150" t="s">
        <v>1346</v>
      </c>
      <c r="L357" s="511" t="s">
        <v>49</v>
      </c>
      <c r="M357" s="392" t="s">
        <v>1147</v>
      </c>
      <c r="N357" s="343"/>
      <c r="O357" s="343"/>
      <c r="P357" s="70" t="s">
        <v>53</v>
      </c>
      <c r="Q357" s="346" t="s">
        <v>1153</v>
      </c>
      <c r="R357" s="343"/>
      <c r="S357" s="346"/>
      <c r="T357" s="150" t="s">
        <v>25</v>
      </c>
      <c r="U357" s="150" t="s">
        <v>1483</v>
      </c>
      <c r="V357" s="403"/>
      <c r="W357" s="406">
        <v>0</v>
      </c>
      <c r="X357" s="406">
        <v>0</v>
      </c>
      <c r="Y357" s="425"/>
      <c r="Z357" s="71"/>
      <c r="AA357" s="426">
        <v>279973</v>
      </c>
      <c r="AB357" s="427">
        <v>-451174</v>
      </c>
      <c r="AC357" s="427">
        <v>173459</v>
      </c>
      <c r="AD357" s="428">
        <v>771452.00000000012</v>
      </c>
      <c r="AE357" s="429">
        <v>-143797.00000000006</v>
      </c>
      <c r="AF357" s="429">
        <v>-449247</v>
      </c>
      <c r="AG357" s="360">
        <v>0</v>
      </c>
      <c r="AH357" s="360">
        <v>0</v>
      </c>
      <c r="AI357" s="360">
        <v>0</v>
      </c>
      <c r="AJ357" s="360">
        <v>0</v>
      </c>
      <c r="AK357" s="360">
        <v>0</v>
      </c>
      <c r="AL357" s="360">
        <v>0</v>
      </c>
      <c r="AM357" s="360">
        <f t="shared" si="12"/>
        <v>180666</v>
      </c>
      <c r="AN357" s="362">
        <f>ERP_2[[#This Row],[2026 Working Total]]-ERP_2[[#This Row],[LE2 Final Submission]]</f>
        <v>180666</v>
      </c>
      <c r="AO357" s="79">
        <v>-773710</v>
      </c>
      <c r="AP357" s="79">
        <f t="shared" si="16"/>
        <v>324463</v>
      </c>
      <c r="AQ357" s="374">
        <f>SUM(ERP_2[[#This Row],[AP01]:[AP06]])-SUM(ERP_2[[#This Row],[AP01 LE2]:[AP06 LE2]])</f>
        <v>180666</v>
      </c>
      <c r="AR357" s="80"/>
      <c r="AS357" s="79">
        <f>ERP_2[[#This Row],[2026 Working Total to Budget/LE]]-ERP_2[[#This Row],[Giveback]]</f>
        <v>180666</v>
      </c>
      <c r="AT357" s="81"/>
      <c r="AU357" s="375">
        <v>279973</v>
      </c>
      <c r="AV357" s="375">
        <v>-451174</v>
      </c>
      <c r="AW357" s="375">
        <v>173459</v>
      </c>
      <c r="AX357" s="375">
        <v>771452</v>
      </c>
      <c r="AY357" s="375">
        <v>-773710</v>
      </c>
      <c r="AZ357" s="375">
        <v>0</v>
      </c>
      <c r="BA357" s="375">
        <v>0</v>
      </c>
      <c r="BB357" s="375">
        <v>0</v>
      </c>
      <c r="BC357" s="375">
        <v>0</v>
      </c>
      <c r="BD357" s="375">
        <v>0</v>
      </c>
      <c r="BE357" s="375">
        <v>0</v>
      </c>
      <c r="BF357" s="375">
        <v>0</v>
      </c>
      <c r="BG357" s="375">
        <v>0</v>
      </c>
      <c r="BH357" s="79">
        <v>279973</v>
      </c>
      <c r="BI357" s="79">
        <v>-451174</v>
      </c>
      <c r="BJ357" s="79">
        <v>173459</v>
      </c>
      <c r="BK357" s="79">
        <v>0</v>
      </c>
      <c r="BL357" s="79">
        <v>51201</v>
      </c>
      <c r="BM357" s="79">
        <v>0</v>
      </c>
      <c r="BN357" s="79">
        <v>0</v>
      </c>
      <c r="BO357" s="79">
        <v>0</v>
      </c>
      <c r="BP357" s="79">
        <v>0</v>
      </c>
      <c r="BQ357" s="79">
        <v>0</v>
      </c>
      <c r="BR357" s="79">
        <v>0</v>
      </c>
      <c r="BS357" s="79">
        <v>0</v>
      </c>
      <c r="BT357" s="79">
        <v>53459</v>
      </c>
    </row>
    <row r="358" spans="1:72" ht="15" hidden="1" customHeight="1">
      <c r="A358" s="66" t="s">
        <v>1484</v>
      </c>
      <c r="B358" s="66"/>
      <c r="C358" s="66" t="s">
        <v>229</v>
      </c>
      <c r="D358" s="66" t="s">
        <v>1485</v>
      </c>
      <c r="E358" s="150" t="s">
        <v>1136</v>
      </c>
      <c r="F358" s="482" t="s">
        <v>1566</v>
      </c>
      <c r="G358" s="383" t="s">
        <v>1480</v>
      </c>
      <c r="H358" s="150" t="s">
        <v>1481</v>
      </c>
      <c r="I358" s="150" t="s">
        <v>1345</v>
      </c>
      <c r="J358" s="150" t="s">
        <v>1481</v>
      </c>
      <c r="K358" s="150" t="s">
        <v>1346</v>
      </c>
      <c r="L358" s="511" t="s">
        <v>49</v>
      </c>
      <c r="M358" s="392" t="s">
        <v>1486</v>
      </c>
      <c r="N358" s="343"/>
      <c r="O358" s="346" t="s">
        <v>1487</v>
      </c>
      <c r="P358" s="70" t="s">
        <v>230</v>
      </c>
      <c r="Q358" s="346"/>
      <c r="R358" s="346" t="s">
        <v>1488</v>
      </c>
      <c r="S358" s="346"/>
      <c r="T358" s="150" t="s">
        <v>25</v>
      </c>
      <c r="U358" s="184" t="s">
        <v>1489</v>
      </c>
      <c r="V358" s="403"/>
      <c r="W358" s="406">
        <v>0</v>
      </c>
      <c r="X358" s="406">
        <v>120000</v>
      </c>
      <c r="Y358" s="425"/>
      <c r="Z358" s="71"/>
      <c r="AA358" s="426">
        <v>0</v>
      </c>
      <c r="AB358" s="427">
        <v>0</v>
      </c>
      <c r="AC358" s="427">
        <v>0</v>
      </c>
      <c r="AD358" s="428">
        <v>39011.32</v>
      </c>
      <c r="AE358" s="429">
        <v>42012.189999999995</v>
      </c>
      <c r="AF358" s="429">
        <v>52515.23</v>
      </c>
      <c r="AG358" s="363">
        <v>13080</v>
      </c>
      <c r="AH358" s="363"/>
      <c r="AI358" s="363"/>
      <c r="AJ358" s="363"/>
      <c r="AK358" s="363"/>
      <c r="AL358" s="363"/>
      <c r="AM358" s="360">
        <f t="shared" si="12"/>
        <v>146618.74</v>
      </c>
      <c r="AN358" s="362">
        <f>ERP_2[[#This Row],[2026 Working Total]]-ERP_2[[#This Row],[LE2 Final Submission]]</f>
        <v>26618.739999999991</v>
      </c>
      <c r="AO358" s="79">
        <v>35640</v>
      </c>
      <c r="AP358" s="79">
        <f t="shared" si="16"/>
        <v>16875.230000000003</v>
      </c>
      <c r="AQ358" s="374">
        <f>SUM(ERP_2[[#This Row],[AP01]:[AP06]])-SUM(ERP_2[[#This Row],[AP01 LE2]:[AP06 LE2]])</f>
        <v>26618.739999999991</v>
      </c>
      <c r="AR358" s="80"/>
      <c r="AS358" s="79">
        <f>ERP_2[[#This Row],[2026 Working Total to Budget/LE]]-ERP_2[[#This Row],[Giveback]]</f>
        <v>26618.739999999991</v>
      </c>
      <c r="AT358" s="81" t="s">
        <v>1490</v>
      </c>
      <c r="AU358" s="375">
        <v>0</v>
      </c>
      <c r="AV358" s="375">
        <v>0</v>
      </c>
      <c r="AW358" s="375">
        <v>0</v>
      </c>
      <c r="AX358" s="375">
        <v>35640</v>
      </c>
      <c r="AY358" s="375">
        <v>35640</v>
      </c>
      <c r="AZ358" s="375">
        <v>35640</v>
      </c>
      <c r="BA358" s="375">
        <v>13080</v>
      </c>
      <c r="BB358" s="375"/>
      <c r="BC358" s="375"/>
      <c r="BD358" s="375"/>
      <c r="BE358" s="375"/>
      <c r="BF358" s="375"/>
      <c r="BG358" s="375">
        <v>120000</v>
      </c>
      <c r="BH358" s="79"/>
      <c r="BI358" s="79"/>
      <c r="BJ358" s="79"/>
      <c r="BK358" s="79"/>
      <c r="BL358" s="79"/>
      <c r="BM358" s="79"/>
      <c r="BN358" s="79">
        <v>20000</v>
      </c>
      <c r="BO358" s="79">
        <v>20000</v>
      </c>
      <c r="BP358" s="79">
        <v>20000</v>
      </c>
      <c r="BQ358" s="79">
        <v>20000</v>
      </c>
      <c r="BR358" s="79">
        <v>20000</v>
      </c>
      <c r="BS358" s="79">
        <v>20000</v>
      </c>
      <c r="BT358" s="79">
        <v>120000</v>
      </c>
    </row>
    <row r="359" spans="1:72" ht="15" hidden="1" customHeight="1">
      <c r="A359" s="66" t="s">
        <v>1491</v>
      </c>
      <c r="B359" s="66"/>
      <c r="C359" s="66" t="s">
        <v>231</v>
      </c>
      <c r="D359" s="66" t="s">
        <v>231</v>
      </c>
      <c r="E359" s="150" t="s">
        <v>1136</v>
      </c>
      <c r="F359" s="482" t="s">
        <v>1566</v>
      </c>
      <c r="G359" s="383" t="s">
        <v>1480</v>
      </c>
      <c r="H359" s="383" t="s">
        <v>1480</v>
      </c>
      <c r="I359" s="150" t="s">
        <v>1345</v>
      </c>
      <c r="J359" s="150" t="s">
        <v>1480</v>
      </c>
      <c r="K359" s="150" t="s">
        <v>1346</v>
      </c>
      <c r="L359" s="511" t="s">
        <v>49</v>
      </c>
      <c r="M359" s="392" t="s">
        <v>1492</v>
      </c>
      <c r="N359" s="343"/>
      <c r="O359" s="343"/>
      <c r="P359" s="70" t="s">
        <v>201</v>
      </c>
      <c r="Q359" s="346"/>
      <c r="R359" s="343"/>
      <c r="S359" s="346"/>
      <c r="T359" s="150" t="s">
        <v>232</v>
      </c>
      <c r="U359" s="150" t="s">
        <v>1494</v>
      </c>
      <c r="V359" s="404"/>
      <c r="W359" s="407">
        <v>0</v>
      </c>
      <c r="X359" s="407">
        <v>0</v>
      </c>
      <c r="Y359" s="430"/>
      <c r="Z359" s="137"/>
      <c r="AA359" s="426">
        <v>50000</v>
      </c>
      <c r="AB359" s="431">
        <v>0</v>
      </c>
      <c r="AC359" s="427">
        <v>-50000</v>
      </c>
      <c r="AD359" s="428">
        <v>50000</v>
      </c>
      <c r="AE359" s="429">
        <v>-50000</v>
      </c>
      <c r="AF359" s="429">
        <v>0</v>
      </c>
      <c r="AG359" s="363"/>
      <c r="AH359" s="363"/>
      <c r="AI359" s="363"/>
      <c r="AJ359" s="363"/>
      <c r="AK359" s="363"/>
      <c r="AL359" s="363"/>
      <c r="AM359" s="360">
        <f t="shared" si="12"/>
        <v>0</v>
      </c>
      <c r="AN359" s="362">
        <f>ERP_2[[#This Row],[2026 Working Total]]-ERP_2[[#This Row],[LE2 Final Submission]]</f>
        <v>0</v>
      </c>
      <c r="AO359" s="79">
        <v>-50000</v>
      </c>
      <c r="AP359" s="79">
        <f t="shared" si="16"/>
        <v>50000</v>
      </c>
      <c r="AQ359" s="374">
        <f>SUM(ERP_2[[#This Row],[AP01]:[AP06]])-SUM(ERP_2[[#This Row],[AP01 LE2]:[AP06 LE2]])</f>
        <v>0</v>
      </c>
      <c r="AR359" s="80"/>
      <c r="AS359" s="79">
        <f>ERP_2[[#This Row],[2026 Working Total to Budget/LE]]-ERP_2[[#This Row],[Giveback]]</f>
        <v>0</v>
      </c>
      <c r="AT359" s="81"/>
      <c r="AU359" s="375">
        <v>50000</v>
      </c>
      <c r="AV359" s="375">
        <v>0</v>
      </c>
      <c r="AW359" s="375">
        <v>-50000</v>
      </c>
      <c r="AX359" s="375">
        <v>50000</v>
      </c>
      <c r="AY359" s="375">
        <v>-50000</v>
      </c>
      <c r="AZ359" s="375"/>
      <c r="BA359" s="375"/>
      <c r="BB359" s="375"/>
      <c r="BC359" s="375"/>
      <c r="BD359" s="375"/>
      <c r="BE359" s="375"/>
      <c r="BF359" s="375"/>
      <c r="BG359" s="375">
        <v>0</v>
      </c>
      <c r="BH359" s="79">
        <v>50000</v>
      </c>
      <c r="BI359" s="79">
        <v>0</v>
      </c>
      <c r="BJ359" s="79">
        <v>-50000</v>
      </c>
      <c r="BK359" s="79"/>
      <c r="BL359" s="79"/>
      <c r="BM359" s="79"/>
      <c r="BN359" s="79"/>
      <c r="BO359" s="79"/>
      <c r="BP359" s="79"/>
      <c r="BQ359" s="79"/>
      <c r="BR359" s="79"/>
      <c r="BS359" s="79"/>
      <c r="BT359" s="79">
        <v>0</v>
      </c>
    </row>
    <row r="360" spans="1:72" ht="15" hidden="1" customHeight="1">
      <c r="A360" s="66" t="s">
        <v>1502</v>
      </c>
      <c r="B360" s="66"/>
      <c r="C360" s="66" t="s">
        <v>233</v>
      </c>
      <c r="D360" s="66" t="s">
        <v>1503</v>
      </c>
      <c r="E360" s="150" t="s">
        <v>1136</v>
      </c>
      <c r="F360" s="482" t="s">
        <v>1566</v>
      </c>
      <c r="G360" s="383" t="s">
        <v>1480</v>
      </c>
      <c r="H360" s="150" t="s">
        <v>1481</v>
      </c>
      <c r="I360" s="150" t="s">
        <v>1345</v>
      </c>
      <c r="J360" s="150" t="s">
        <v>1481</v>
      </c>
      <c r="K360" s="150" t="s">
        <v>1346</v>
      </c>
      <c r="L360" s="511" t="s">
        <v>49</v>
      </c>
      <c r="M360" s="392" t="s">
        <v>1504</v>
      </c>
      <c r="N360" s="343"/>
      <c r="O360" s="343"/>
      <c r="P360" s="70" t="s">
        <v>234</v>
      </c>
      <c r="Q360" s="346"/>
      <c r="R360" s="343"/>
      <c r="S360" s="346"/>
      <c r="T360" s="150" t="s">
        <v>25</v>
      </c>
      <c r="U360" s="184" t="s">
        <v>1505</v>
      </c>
      <c r="V360" s="404"/>
      <c r="W360" s="407">
        <v>0</v>
      </c>
      <c r="X360" s="407">
        <v>0</v>
      </c>
      <c r="Y360" s="425"/>
      <c r="Z360" s="71"/>
      <c r="AA360" s="426"/>
      <c r="AB360" s="427">
        <v>304987.09999999998</v>
      </c>
      <c r="AC360" s="427">
        <v>-304987.09999999998</v>
      </c>
      <c r="AD360" s="428">
        <v>0</v>
      </c>
      <c r="AE360" s="429">
        <v>0</v>
      </c>
      <c r="AF360" s="429">
        <v>0</v>
      </c>
      <c r="AG360" s="363"/>
      <c r="AH360" s="363"/>
      <c r="AI360" s="363"/>
      <c r="AJ360" s="363"/>
      <c r="AK360" s="363"/>
      <c r="AL360" s="363"/>
      <c r="AM360" s="360">
        <f t="shared" si="12"/>
        <v>0</v>
      </c>
      <c r="AN360" s="362">
        <f>ERP_2[[#This Row],[2026 Working Total]]-ERP_2[[#This Row],[LE2 Final Submission]]</f>
        <v>0</v>
      </c>
      <c r="AO360" s="79"/>
      <c r="AP360" s="79">
        <f t="shared" si="16"/>
        <v>0</v>
      </c>
      <c r="AQ360" s="374">
        <f>SUM(ERP_2[[#This Row],[AP01]:[AP06]])-SUM(ERP_2[[#This Row],[AP01 LE2]:[AP06 LE2]])</f>
        <v>0</v>
      </c>
      <c r="AR360" s="80"/>
      <c r="AS360" s="79">
        <f>ERP_2[[#This Row],[2026 Working Total to Budget/LE]]-ERP_2[[#This Row],[Giveback]]</f>
        <v>0</v>
      </c>
      <c r="AT360" s="81"/>
      <c r="AU360" s="375"/>
      <c r="AV360" s="375">
        <v>304987.09999999998</v>
      </c>
      <c r="AW360" s="375">
        <v>-304987.09999999998</v>
      </c>
      <c r="AX360" s="375"/>
      <c r="AY360" s="375"/>
      <c r="AZ360" s="375"/>
      <c r="BA360" s="375"/>
      <c r="BB360" s="375"/>
      <c r="BC360" s="375"/>
      <c r="BD360" s="375"/>
      <c r="BE360" s="375"/>
      <c r="BF360" s="375"/>
      <c r="BG360" s="375">
        <v>0</v>
      </c>
      <c r="BH360" s="79"/>
      <c r="BI360" s="79">
        <v>304987.09999999998</v>
      </c>
      <c r="BJ360" s="79">
        <v>-304987.09999999998</v>
      </c>
      <c r="BK360" s="79"/>
      <c r="BL360" s="79"/>
      <c r="BM360" s="79"/>
      <c r="BN360" s="79"/>
      <c r="BO360" s="79"/>
      <c r="BP360" s="79"/>
      <c r="BQ360" s="79"/>
      <c r="BR360" s="79"/>
      <c r="BS360" s="79"/>
      <c r="BT360" s="79">
        <v>0</v>
      </c>
    </row>
    <row r="361" spans="1:72" ht="15" hidden="1" customHeight="1">
      <c r="A361" s="66" t="s">
        <v>1506</v>
      </c>
      <c r="B361" s="66"/>
      <c r="C361" s="66" t="s">
        <v>235</v>
      </c>
      <c r="D361" s="66" t="s">
        <v>1507</v>
      </c>
      <c r="E361" s="150" t="s">
        <v>1136</v>
      </c>
      <c r="F361" s="482" t="s">
        <v>1566</v>
      </c>
      <c r="G361" s="383" t="s">
        <v>1480</v>
      </c>
      <c r="H361" s="150" t="s">
        <v>1481</v>
      </c>
      <c r="I361" s="150" t="s">
        <v>1345</v>
      </c>
      <c r="J361" s="150" t="s">
        <v>1481</v>
      </c>
      <c r="K361" s="150" t="s">
        <v>1346</v>
      </c>
      <c r="L361" s="511" t="s">
        <v>49</v>
      </c>
      <c r="M361" s="392" t="s">
        <v>1508</v>
      </c>
      <c r="N361" s="343"/>
      <c r="O361" s="343"/>
      <c r="P361" s="70" t="s">
        <v>236</v>
      </c>
      <c r="Q361" s="346"/>
      <c r="R361" s="343"/>
      <c r="S361" s="346"/>
      <c r="T361" s="150" t="s">
        <v>25</v>
      </c>
      <c r="U361" s="184" t="s">
        <v>1509</v>
      </c>
      <c r="V361" s="404"/>
      <c r="W361" s="407">
        <v>0</v>
      </c>
      <c r="X361" s="407">
        <v>0</v>
      </c>
      <c r="Y361" s="425"/>
      <c r="Z361" s="71"/>
      <c r="AA361" s="426"/>
      <c r="AB361" s="427">
        <v>331000</v>
      </c>
      <c r="AC361" s="427">
        <v>-331000</v>
      </c>
      <c r="AD361" s="428">
        <v>0</v>
      </c>
      <c r="AE361" s="429">
        <v>0</v>
      </c>
      <c r="AF361" s="429">
        <v>9981.0499999999993</v>
      </c>
      <c r="AG361" s="363"/>
      <c r="AH361" s="363"/>
      <c r="AI361" s="363"/>
      <c r="AJ361" s="363"/>
      <c r="AK361" s="363"/>
      <c r="AL361" s="363"/>
      <c r="AM361" s="360">
        <f t="shared" si="12"/>
        <v>9981.0499999999993</v>
      </c>
      <c r="AN361" s="362">
        <f>ERP_2[[#This Row],[2026 Working Total]]-ERP_2[[#This Row],[LE2 Final Submission]]</f>
        <v>9981.0499999999993</v>
      </c>
      <c r="AO361" s="79"/>
      <c r="AP361" s="79">
        <f t="shared" si="16"/>
        <v>9981.0499999999993</v>
      </c>
      <c r="AQ361" s="374">
        <f>SUM(ERP_2[[#This Row],[AP01]:[AP06]])-SUM(ERP_2[[#This Row],[AP01 LE2]:[AP06 LE2]])</f>
        <v>9981.0499999999993</v>
      </c>
      <c r="AR361" s="80"/>
      <c r="AS361" s="79">
        <f>ERP_2[[#This Row],[2026 Working Total to Budget/LE]]-ERP_2[[#This Row],[Giveback]]</f>
        <v>9981.0499999999993</v>
      </c>
      <c r="AT361" s="81"/>
      <c r="AU361" s="375"/>
      <c r="AV361" s="375">
        <v>331000</v>
      </c>
      <c r="AW361" s="375">
        <v>-331000</v>
      </c>
      <c r="AX361" s="375"/>
      <c r="AY361" s="375"/>
      <c r="AZ361" s="375"/>
      <c r="BA361" s="375"/>
      <c r="BB361" s="375"/>
      <c r="BC361" s="375"/>
      <c r="BD361" s="375"/>
      <c r="BE361" s="375"/>
      <c r="BF361" s="375"/>
      <c r="BG361" s="375">
        <v>0</v>
      </c>
      <c r="BH361" s="79"/>
      <c r="BI361" s="79">
        <v>331000</v>
      </c>
      <c r="BJ361" s="79">
        <v>-331000</v>
      </c>
      <c r="BK361" s="79"/>
      <c r="BL361" s="79"/>
      <c r="BM361" s="79"/>
      <c r="BN361" s="79"/>
      <c r="BO361" s="79"/>
      <c r="BP361" s="79"/>
      <c r="BQ361" s="79"/>
      <c r="BR361" s="79"/>
      <c r="BS361" s="79"/>
      <c r="BT361" s="79">
        <v>0</v>
      </c>
    </row>
    <row r="362" spans="1:72" ht="15" hidden="1" customHeight="1">
      <c r="A362" s="79" t="s">
        <v>2042</v>
      </c>
      <c r="B362" s="79"/>
      <c r="C362" s="79" t="s">
        <v>545</v>
      </c>
      <c r="D362" s="296" t="s">
        <v>545</v>
      </c>
      <c r="E362" s="150" t="s">
        <v>1136</v>
      </c>
      <c r="F362" s="482" t="s">
        <v>1566</v>
      </c>
      <c r="G362" s="383" t="s">
        <v>1480</v>
      </c>
      <c r="H362" s="383" t="s">
        <v>1480</v>
      </c>
      <c r="I362" s="332" t="s">
        <v>1345</v>
      </c>
      <c r="J362" s="383" t="s">
        <v>1480</v>
      </c>
      <c r="K362" s="331" t="s">
        <v>1346</v>
      </c>
      <c r="L362" s="512" t="s">
        <v>389</v>
      </c>
      <c r="M362" s="393" t="s">
        <v>1758</v>
      </c>
      <c r="N362" s="343"/>
      <c r="O362" s="331"/>
      <c r="P362" s="91" t="s">
        <v>393</v>
      </c>
      <c r="Q362" s="343"/>
      <c r="R362" s="343"/>
      <c r="S362" s="348"/>
      <c r="T362" s="386" t="s">
        <v>152</v>
      </c>
      <c r="U362" s="387" t="s">
        <v>2043</v>
      </c>
      <c r="V362" s="432"/>
      <c r="W362" s="358">
        <v>125000</v>
      </c>
      <c r="X362" s="378">
        <v>0</v>
      </c>
      <c r="Y362" s="425"/>
      <c r="Z362" s="71"/>
      <c r="AA362" s="433"/>
      <c r="AB362" s="434"/>
      <c r="AC362" s="434"/>
      <c r="AD362" s="428" t="s">
        <v>1142</v>
      </c>
      <c r="AE362" s="429">
        <v>0</v>
      </c>
      <c r="AF362" s="429">
        <v>0</v>
      </c>
      <c r="AG362" s="388">
        <f t="shared" ref="AG362:AL362" si="17">12500-12500</f>
        <v>0</v>
      </c>
      <c r="AH362" s="388">
        <f t="shared" si="17"/>
        <v>0</v>
      </c>
      <c r="AI362" s="388">
        <f t="shared" si="17"/>
        <v>0</v>
      </c>
      <c r="AJ362" s="388">
        <f t="shared" si="17"/>
        <v>0</v>
      </c>
      <c r="AK362" s="388">
        <f t="shared" si="17"/>
        <v>0</v>
      </c>
      <c r="AL362" s="388">
        <f t="shared" si="17"/>
        <v>0</v>
      </c>
      <c r="AM362" s="360">
        <f t="shared" si="12"/>
        <v>0</v>
      </c>
      <c r="AN362" s="362">
        <f>ERP_2[[#This Row],[2026 Working Total]]-ERP_2[[#This Row],[LE2 Final Submission]]</f>
        <v>0</v>
      </c>
      <c r="AO362" s="79"/>
      <c r="AP362" s="79">
        <f t="shared" si="16"/>
        <v>0</v>
      </c>
      <c r="AQ362" s="374">
        <f>SUM(ERP_2[[#This Row],[AP01]:[AP06]])-SUM(ERP_2[[#This Row],[AP01 LE2]:[AP06 LE2]])</f>
        <v>0</v>
      </c>
      <c r="AR362" s="80"/>
      <c r="AS362" s="79">
        <f>ERP_2[[#This Row],[2026 Working Total to Budget/LE]]-ERP_2[[#This Row],[Giveback]]</f>
        <v>0</v>
      </c>
      <c r="AT362" s="81"/>
      <c r="AU362" s="375"/>
      <c r="AV362" s="375"/>
      <c r="AW362" s="375"/>
      <c r="AX362" s="375">
        <v>0</v>
      </c>
      <c r="AY362" s="375">
        <v>0</v>
      </c>
      <c r="AZ362" s="375">
        <v>0</v>
      </c>
      <c r="BA362" s="375">
        <v>0</v>
      </c>
      <c r="BB362" s="375">
        <v>0</v>
      </c>
      <c r="BC362" s="375">
        <v>0</v>
      </c>
      <c r="BD362" s="375">
        <v>0</v>
      </c>
      <c r="BE362" s="375">
        <v>0</v>
      </c>
      <c r="BF362" s="375">
        <v>0</v>
      </c>
      <c r="BG362" s="375">
        <v>0</v>
      </c>
      <c r="BH362" s="103">
        <v>0</v>
      </c>
      <c r="BI362" s="103">
        <v>0</v>
      </c>
      <c r="BJ362" s="103">
        <v>12500</v>
      </c>
      <c r="BK362" s="103">
        <v>12500</v>
      </c>
      <c r="BL362" s="103">
        <v>12500</v>
      </c>
      <c r="BM362" s="103">
        <v>12500</v>
      </c>
      <c r="BN362" s="103">
        <v>12500</v>
      </c>
      <c r="BO362" s="103">
        <v>12500</v>
      </c>
      <c r="BP362" s="103">
        <v>12500</v>
      </c>
      <c r="BQ362" s="103">
        <v>12500</v>
      </c>
      <c r="BR362" s="103">
        <v>12500</v>
      </c>
      <c r="BS362" s="103">
        <v>12500</v>
      </c>
      <c r="BT362" s="79">
        <f>SUM(ERP_2[[#This Row],[2026 AP01]:[2026 AP12]])</f>
        <v>125000</v>
      </c>
    </row>
    <row r="363" spans="1:72" ht="15" hidden="1" customHeight="1">
      <c r="A363" s="79" t="s">
        <v>2044</v>
      </c>
      <c r="B363" s="79"/>
      <c r="C363" s="79" t="s">
        <v>546</v>
      </c>
      <c r="D363" s="296" t="s">
        <v>546</v>
      </c>
      <c r="E363" s="150" t="s">
        <v>1136</v>
      </c>
      <c r="F363" s="482" t="s">
        <v>1566</v>
      </c>
      <c r="G363" s="383" t="s">
        <v>1480</v>
      </c>
      <c r="H363" s="383" t="s">
        <v>1480</v>
      </c>
      <c r="I363" s="332" t="s">
        <v>1345</v>
      </c>
      <c r="J363" s="383" t="s">
        <v>1480</v>
      </c>
      <c r="K363" s="331" t="s">
        <v>1346</v>
      </c>
      <c r="L363" s="512" t="s">
        <v>389</v>
      </c>
      <c r="M363" s="393" t="s">
        <v>1761</v>
      </c>
      <c r="N363" s="343"/>
      <c r="O363" s="331"/>
      <c r="P363" s="91" t="s">
        <v>395</v>
      </c>
      <c r="Q363" s="343"/>
      <c r="R363" s="343"/>
      <c r="S363" s="348"/>
      <c r="T363" s="386" t="s">
        <v>152</v>
      </c>
      <c r="U363" s="387" t="s">
        <v>2043</v>
      </c>
      <c r="V363" s="432"/>
      <c r="W363" s="358">
        <v>100000</v>
      </c>
      <c r="X363" s="378">
        <v>0</v>
      </c>
      <c r="Y363" s="425"/>
      <c r="Z363" s="71"/>
      <c r="AA363" s="433"/>
      <c r="AB363" s="434"/>
      <c r="AC363" s="434"/>
      <c r="AD363" s="428" t="s">
        <v>1142</v>
      </c>
      <c r="AE363" s="429">
        <v>0</v>
      </c>
      <c r="AF363" s="429">
        <v>0</v>
      </c>
      <c r="AG363" s="388">
        <f t="shared" ref="AG363:AL363" si="18">10000-10000</f>
        <v>0</v>
      </c>
      <c r="AH363" s="388">
        <f t="shared" si="18"/>
        <v>0</v>
      </c>
      <c r="AI363" s="388">
        <f t="shared" si="18"/>
        <v>0</v>
      </c>
      <c r="AJ363" s="388">
        <f t="shared" si="18"/>
        <v>0</v>
      </c>
      <c r="AK363" s="388">
        <f t="shared" si="18"/>
        <v>0</v>
      </c>
      <c r="AL363" s="388">
        <f t="shared" si="18"/>
        <v>0</v>
      </c>
      <c r="AM363" s="360">
        <f t="shared" si="12"/>
        <v>0</v>
      </c>
      <c r="AN363" s="362">
        <f>ERP_2[[#This Row],[2026 Working Total]]-ERP_2[[#This Row],[LE2 Final Submission]]</f>
        <v>0</v>
      </c>
      <c r="AO363" s="79">
        <v>9692</v>
      </c>
      <c r="AP363" s="79">
        <f t="shared" si="16"/>
        <v>-9692</v>
      </c>
      <c r="AQ363" s="374">
        <f>SUM(ERP_2[[#This Row],[AP01]:[AP06]])-SUM(ERP_2[[#This Row],[AP01 LE2]:[AP06 LE2]])</f>
        <v>0</v>
      </c>
      <c r="AR363" s="80"/>
      <c r="AS363" s="79">
        <f>ERP_2[[#This Row],[2026 Working Total to Budget/LE]]-ERP_2[[#This Row],[Giveback]]</f>
        <v>0</v>
      </c>
      <c r="AT363" s="81"/>
      <c r="AU363" s="375"/>
      <c r="AV363" s="375"/>
      <c r="AW363" s="375"/>
      <c r="AX363" s="375">
        <v>0</v>
      </c>
      <c r="AY363" s="375">
        <v>0</v>
      </c>
      <c r="AZ363" s="375">
        <v>0</v>
      </c>
      <c r="BA363" s="375">
        <v>0</v>
      </c>
      <c r="BB363" s="375">
        <v>0</v>
      </c>
      <c r="BC363" s="375">
        <v>0</v>
      </c>
      <c r="BD363" s="375">
        <v>0</v>
      </c>
      <c r="BE363" s="375">
        <v>0</v>
      </c>
      <c r="BF363" s="375">
        <v>0</v>
      </c>
      <c r="BG363" s="375">
        <v>0</v>
      </c>
      <c r="BH363" s="103">
        <v>0</v>
      </c>
      <c r="BI363" s="103">
        <v>0</v>
      </c>
      <c r="BJ363" s="103">
        <v>10000</v>
      </c>
      <c r="BK363" s="103">
        <v>10000</v>
      </c>
      <c r="BL363" s="103">
        <v>10000</v>
      </c>
      <c r="BM363" s="103">
        <v>10000</v>
      </c>
      <c r="BN363" s="103">
        <v>10000</v>
      </c>
      <c r="BO363" s="103">
        <v>10000</v>
      </c>
      <c r="BP363" s="103">
        <v>10000</v>
      </c>
      <c r="BQ363" s="103">
        <v>10000</v>
      </c>
      <c r="BR363" s="103">
        <v>10000</v>
      </c>
      <c r="BS363" s="103">
        <v>10000</v>
      </c>
      <c r="BT363" s="79">
        <f>SUM(ERP_2[[#This Row],[2026 AP01]:[2026 AP12]])</f>
        <v>100000</v>
      </c>
    </row>
    <row r="364" spans="1:72" ht="15" hidden="1" customHeight="1">
      <c r="A364" s="79" t="s">
        <v>2045</v>
      </c>
      <c r="B364" s="79"/>
      <c r="C364" s="79" t="s">
        <v>547</v>
      </c>
      <c r="D364" s="296" t="s">
        <v>547</v>
      </c>
      <c r="E364" s="150" t="s">
        <v>1136</v>
      </c>
      <c r="F364" s="482" t="s">
        <v>1566</v>
      </c>
      <c r="G364" s="383" t="s">
        <v>1480</v>
      </c>
      <c r="H364" s="383" t="s">
        <v>1480</v>
      </c>
      <c r="I364" s="332" t="s">
        <v>1345</v>
      </c>
      <c r="J364" s="383" t="s">
        <v>1480</v>
      </c>
      <c r="K364" s="331" t="s">
        <v>1346</v>
      </c>
      <c r="L364" s="512" t="s">
        <v>389</v>
      </c>
      <c r="M364" s="393" t="s">
        <v>2046</v>
      </c>
      <c r="N364" s="343"/>
      <c r="O364" s="331"/>
      <c r="P364" s="91" t="s">
        <v>397</v>
      </c>
      <c r="Q364" s="343"/>
      <c r="R364" s="343"/>
      <c r="S364" s="348"/>
      <c r="T364" s="386" t="s">
        <v>152</v>
      </c>
      <c r="U364" s="387" t="s">
        <v>2043</v>
      </c>
      <c r="V364" s="432"/>
      <c r="W364" s="358">
        <v>75000</v>
      </c>
      <c r="X364" s="378">
        <v>0</v>
      </c>
      <c r="Y364" s="430"/>
      <c r="Z364" s="137"/>
      <c r="AA364" s="433"/>
      <c r="AB364" s="434"/>
      <c r="AC364" s="434"/>
      <c r="AD364" s="428" t="s">
        <v>1142</v>
      </c>
      <c r="AE364" s="429">
        <v>0</v>
      </c>
      <c r="AF364" s="429">
        <v>0</v>
      </c>
      <c r="AG364" s="388">
        <f t="shared" ref="AG364:AL364" si="19">6250-6250</f>
        <v>0</v>
      </c>
      <c r="AH364" s="388">
        <f t="shared" si="19"/>
        <v>0</v>
      </c>
      <c r="AI364" s="388">
        <f t="shared" si="19"/>
        <v>0</v>
      </c>
      <c r="AJ364" s="388">
        <f t="shared" si="19"/>
        <v>0</v>
      </c>
      <c r="AK364" s="388">
        <f t="shared" si="19"/>
        <v>0</v>
      </c>
      <c r="AL364" s="388">
        <f t="shared" si="19"/>
        <v>0</v>
      </c>
      <c r="AM364" s="360">
        <f t="shared" si="12"/>
        <v>0</v>
      </c>
      <c r="AN364" s="362">
        <f>ERP_2[[#This Row],[2026 Working Total]]-ERP_2[[#This Row],[LE2 Final Submission]]</f>
        <v>0</v>
      </c>
      <c r="AO364" s="79">
        <v>391800</v>
      </c>
      <c r="AP364" s="79">
        <f t="shared" si="16"/>
        <v>-391800</v>
      </c>
      <c r="AQ364" s="374">
        <f>SUM(ERP_2[[#This Row],[AP01]:[AP06]])-SUM(ERP_2[[#This Row],[AP01 LE2]:[AP06 LE2]])</f>
        <v>0</v>
      </c>
      <c r="AR364" s="80"/>
      <c r="AS364" s="79">
        <f>ERP_2[[#This Row],[2026 Working Total to Budget/LE]]-ERP_2[[#This Row],[Giveback]]</f>
        <v>0</v>
      </c>
      <c r="AT364" s="81"/>
      <c r="AU364" s="375"/>
      <c r="AV364" s="375"/>
      <c r="AW364" s="375"/>
      <c r="AX364" s="375">
        <v>0</v>
      </c>
      <c r="AY364" s="375">
        <v>0</v>
      </c>
      <c r="AZ364" s="375">
        <v>0</v>
      </c>
      <c r="BA364" s="375">
        <v>0</v>
      </c>
      <c r="BB364" s="375">
        <v>0</v>
      </c>
      <c r="BC364" s="375">
        <v>0</v>
      </c>
      <c r="BD364" s="375">
        <v>0</v>
      </c>
      <c r="BE364" s="375">
        <v>0</v>
      </c>
      <c r="BF364" s="375">
        <v>0</v>
      </c>
      <c r="BG364" s="375">
        <v>0</v>
      </c>
      <c r="BH364" s="103">
        <v>6250</v>
      </c>
      <c r="BI364" s="103">
        <v>6250</v>
      </c>
      <c r="BJ364" s="103">
        <v>6250</v>
      </c>
      <c r="BK364" s="103">
        <v>6250</v>
      </c>
      <c r="BL364" s="103">
        <v>6250</v>
      </c>
      <c r="BM364" s="103">
        <v>6250</v>
      </c>
      <c r="BN364" s="103">
        <v>6250</v>
      </c>
      <c r="BO364" s="103">
        <v>6250</v>
      </c>
      <c r="BP364" s="103">
        <v>6250</v>
      </c>
      <c r="BQ364" s="103">
        <v>6250</v>
      </c>
      <c r="BR364" s="103">
        <v>6250</v>
      </c>
      <c r="BS364" s="103">
        <v>6250</v>
      </c>
      <c r="BT364" s="79">
        <f>SUM(ERP_2[[#This Row],[2026 AP01]:[2026 AP12]])</f>
        <v>75000</v>
      </c>
    </row>
    <row r="365" spans="1:72" ht="15" hidden="1" customHeight="1">
      <c r="A365" s="66" t="s">
        <v>2047</v>
      </c>
      <c r="B365" s="66"/>
      <c r="C365" s="66" t="s">
        <v>548</v>
      </c>
      <c r="D365" s="66" t="s">
        <v>2048</v>
      </c>
      <c r="E365" s="150" t="s">
        <v>1136</v>
      </c>
      <c r="F365" s="482" t="s">
        <v>1566</v>
      </c>
      <c r="G365" s="383" t="s">
        <v>1480</v>
      </c>
      <c r="H365" s="150" t="s">
        <v>1481</v>
      </c>
      <c r="I365" s="150" t="s">
        <v>1345</v>
      </c>
      <c r="J365" s="150" t="s">
        <v>1481</v>
      </c>
      <c r="K365" s="150" t="s">
        <v>1346</v>
      </c>
      <c r="L365" s="511" t="s">
        <v>389</v>
      </c>
      <c r="M365" s="392" t="s">
        <v>1147</v>
      </c>
      <c r="N365" s="343"/>
      <c r="O365" s="343"/>
      <c r="P365" s="70" t="s">
        <v>53</v>
      </c>
      <c r="Q365" s="346" t="s">
        <v>1153</v>
      </c>
      <c r="R365" s="343"/>
      <c r="S365" s="346"/>
      <c r="T365" s="150" t="s">
        <v>25</v>
      </c>
      <c r="U365" s="473" t="s">
        <v>1513</v>
      </c>
      <c r="V365" s="403"/>
      <c r="W365" s="406">
        <v>0</v>
      </c>
      <c r="X365" s="406">
        <v>2360</v>
      </c>
      <c r="Y365" s="425"/>
      <c r="Z365" s="71"/>
      <c r="AA365" s="426"/>
      <c r="AB365" s="427">
        <v>2180</v>
      </c>
      <c r="AC365" s="427">
        <v>180</v>
      </c>
      <c r="AD365" s="428">
        <v>180</v>
      </c>
      <c r="AE365" s="429">
        <v>180</v>
      </c>
      <c r="AF365" s="429">
        <v>60</v>
      </c>
      <c r="AG365" s="360">
        <v>0</v>
      </c>
      <c r="AH365" s="360">
        <v>0</v>
      </c>
      <c r="AI365" s="360">
        <v>0</v>
      </c>
      <c r="AJ365" s="360">
        <v>0</v>
      </c>
      <c r="AK365" s="360">
        <v>0</v>
      </c>
      <c r="AL365" s="360">
        <v>0</v>
      </c>
      <c r="AM365" s="360">
        <f t="shared" si="12"/>
        <v>2780</v>
      </c>
      <c r="AN365" s="362">
        <f>ERP_2[[#This Row],[2026 Working Total]]-ERP_2[[#This Row],[LE2 Final Submission]]</f>
        <v>420</v>
      </c>
      <c r="AO365" s="79">
        <v>0</v>
      </c>
      <c r="AP365" s="79">
        <f t="shared" si="16"/>
        <v>60</v>
      </c>
      <c r="AQ365" s="374">
        <f>SUM(ERP_2[[#This Row],[AP01]:[AP06]])-SUM(ERP_2[[#This Row],[AP01 LE2]:[AP06 LE2]])</f>
        <v>420</v>
      </c>
      <c r="AR365" s="80"/>
      <c r="AS365" s="79">
        <f>ERP_2[[#This Row],[2026 Working Total to Budget/LE]]-ERP_2[[#This Row],[Giveback]]</f>
        <v>420</v>
      </c>
      <c r="AT365" s="81"/>
      <c r="AU365" s="375"/>
      <c r="AV365" s="375">
        <v>2180</v>
      </c>
      <c r="AW365" s="375">
        <v>180</v>
      </c>
      <c r="AX365" s="375">
        <v>0</v>
      </c>
      <c r="AY365" s="375">
        <v>0</v>
      </c>
      <c r="AZ365" s="375">
        <v>0</v>
      </c>
      <c r="BA365" s="375">
        <v>0</v>
      </c>
      <c r="BB365" s="375">
        <v>0</v>
      </c>
      <c r="BC365" s="375">
        <v>0</v>
      </c>
      <c r="BD365" s="375">
        <v>0</v>
      </c>
      <c r="BE365" s="375">
        <v>0</v>
      </c>
      <c r="BF365" s="375">
        <v>0</v>
      </c>
      <c r="BG365" s="375">
        <v>2360</v>
      </c>
      <c r="BH365" s="79"/>
      <c r="BI365" s="79">
        <v>2180</v>
      </c>
      <c r="BJ365" s="79">
        <v>180</v>
      </c>
      <c r="BK365" s="79">
        <v>0</v>
      </c>
      <c r="BL365" s="79">
        <v>0</v>
      </c>
      <c r="BM365" s="79">
        <v>0</v>
      </c>
      <c r="BN365" s="79">
        <v>0</v>
      </c>
      <c r="BO365" s="79">
        <v>0</v>
      </c>
      <c r="BP365" s="79">
        <v>0</v>
      </c>
      <c r="BQ365" s="79">
        <v>0</v>
      </c>
      <c r="BR365" s="79">
        <v>0</v>
      </c>
      <c r="BS365" s="79">
        <v>0</v>
      </c>
      <c r="BT365" s="79">
        <v>2360</v>
      </c>
    </row>
    <row r="366" spans="1:72" ht="15" hidden="1" customHeight="1">
      <c r="A366" s="66" t="s">
        <v>2049</v>
      </c>
      <c r="B366" s="66"/>
      <c r="C366" s="66" t="s">
        <v>549</v>
      </c>
      <c r="D366" s="66" t="s">
        <v>549</v>
      </c>
      <c r="E366" s="150" t="s">
        <v>1136</v>
      </c>
      <c r="F366" s="482" t="s">
        <v>1566</v>
      </c>
      <c r="G366" s="383" t="s">
        <v>1480</v>
      </c>
      <c r="H366" s="383" t="s">
        <v>1480</v>
      </c>
      <c r="I366" s="150" t="s">
        <v>1345</v>
      </c>
      <c r="J366" s="150" t="s">
        <v>1480</v>
      </c>
      <c r="K366" s="150" t="s">
        <v>1346</v>
      </c>
      <c r="L366" s="511" t="s">
        <v>389</v>
      </c>
      <c r="M366" s="392" t="s">
        <v>1174</v>
      </c>
      <c r="N366" s="343"/>
      <c r="O366" s="343"/>
      <c r="P366" s="70" t="s">
        <v>56</v>
      </c>
      <c r="Q366" s="346"/>
      <c r="R366" s="346" t="s">
        <v>1140</v>
      </c>
      <c r="S366" s="346"/>
      <c r="T366" s="150" t="s">
        <v>57</v>
      </c>
      <c r="U366" s="150" t="s">
        <v>2050</v>
      </c>
      <c r="V366" s="403"/>
      <c r="W366" s="406">
        <v>36000</v>
      </c>
      <c r="X366" s="406">
        <v>38955.51</v>
      </c>
      <c r="Y366" s="425"/>
      <c r="Z366" s="71"/>
      <c r="AA366" s="426">
        <v>4414.1899999999996</v>
      </c>
      <c r="AB366" s="427">
        <v>3932.76</v>
      </c>
      <c r="AC366" s="427">
        <v>3608.56</v>
      </c>
      <c r="AD366" s="428">
        <v>3606.4999999999995</v>
      </c>
      <c r="AE366" s="429">
        <v>3644.34</v>
      </c>
      <c r="AF366" s="429">
        <v>3811.5099999999998</v>
      </c>
      <c r="AG366" s="363">
        <v>3700</v>
      </c>
      <c r="AH366" s="363">
        <v>3700</v>
      </c>
      <c r="AI366" s="363">
        <v>3700</v>
      </c>
      <c r="AJ366" s="363">
        <v>3700</v>
      </c>
      <c r="AK366" s="363">
        <v>3700</v>
      </c>
      <c r="AL366" s="363">
        <v>3700</v>
      </c>
      <c r="AM366" s="360">
        <f t="shared" si="12"/>
        <v>45217.86</v>
      </c>
      <c r="AN366" s="362">
        <f>ERP_2[[#This Row],[2026 Working Total]]-ERP_2[[#This Row],[LE2 Final Submission]]</f>
        <v>6262.3499999999985</v>
      </c>
      <c r="AO366" s="79">
        <v>3000</v>
      </c>
      <c r="AP366" s="79">
        <f t="shared" si="16"/>
        <v>811.50999999999976</v>
      </c>
      <c r="AQ366" s="374">
        <f>SUM(ERP_2[[#This Row],[AP01]:[AP06]])-SUM(ERP_2[[#This Row],[AP01 LE2]:[AP06 LE2]])</f>
        <v>2062.3499999999949</v>
      </c>
      <c r="AR366" s="80"/>
      <c r="AS366" s="79">
        <f>ERP_2[[#This Row],[2026 Working Total to Budget/LE]]-ERP_2[[#This Row],[Giveback]]</f>
        <v>6262.3499999999985</v>
      </c>
      <c r="AT366" s="81"/>
      <c r="AU366" s="375">
        <v>4414.1899999999996</v>
      </c>
      <c r="AV366" s="375">
        <v>3932.76</v>
      </c>
      <c r="AW366" s="375">
        <v>3608.56</v>
      </c>
      <c r="AX366" s="375">
        <v>3000</v>
      </c>
      <c r="AY366" s="375">
        <v>3000</v>
      </c>
      <c r="AZ366" s="375">
        <v>3000</v>
      </c>
      <c r="BA366" s="375">
        <v>3000</v>
      </c>
      <c r="BB366" s="375">
        <v>3000</v>
      </c>
      <c r="BC366" s="375">
        <v>3000</v>
      </c>
      <c r="BD366" s="375">
        <v>3000</v>
      </c>
      <c r="BE366" s="375">
        <v>3000</v>
      </c>
      <c r="BF366" s="375">
        <v>3000</v>
      </c>
      <c r="BG366" s="375">
        <v>38955.51</v>
      </c>
      <c r="BH366" s="79">
        <v>4414.1899999999996</v>
      </c>
      <c r="BI366" s="79">
        <v>3932.76</v>
      </c>
      <c r="BJ366" s="79">
        <v>3608.56</v>
      </c>
      <c r="BK366" s="79">
        <v>3000</v>
      </c>
      <c r="BL366" s="79">
        <v>3000</v>
      </c>
      <c r="BM366" s="79">
        <v>3000</v>
      </c>
      <c r="BN366" s="79">
        <v>3000</v>
      </c>
      <c r="BO366" s="79">
        <v>3000</v>
      </c>
      <c r="BP366" s="79">
        <v>3000</v>
      </c>
      <c r="BQ366" s="79">
        <v>3000</v>
      </c>
      <c r="BR366" s="79">
        <v>3000</v>
      </c>
      <c r="BS366" s="79">
        <v>3000</v>
      </c>
      <c r="BT366" s="79">
        <v>38955.51</v>
      </c>
    </row>
    <row r="367" spans="1:72" ht="15" hidden="1" customHeight="1">
      <c r="A367" s="66" t="s">
        <v>2051</v>
      </c>
      <c r="B367" s="66"/>
      <c r="C367" s="66" t="s">
        <v>550</v>
      </c>
      <c r="D367" s="66" t="s">
        <v>550</v>
      </c>
      <c r="E367" s="150" t="s">
        <v>1136</v>
      </c>
      <c r="F367" s="482" t="s">
        <v>1566</v>
      </c>
      <c r="G367" s="383" t="s">
        <v>1480</v>
      </c>
      <c r="H367" s="383" t="s">
        <v>1480</v>
      </c>
      <c r="I367" s="150" t="s">
        <v>1345</v>
      </c>
      <c r="J367" s="150" t="s">
        <v>1480</v>
      </c>
      <c r="K367" s="150" t="s">
        <v>1346</v>
      </c>
      <c r="L367" s="511" t="s">
        <v>389</v>
      </c>
      <c r="M367" s="392" t="s">
        <v>1863</v>
      </c>
      <c r="N367" s="343"/>
      <c r="O367" s="343"/>
      <c r="P367" s="70" t="s">
        <v>526</v>
      </c>
      <c r="Q367" s="346"/>
      <c r="R367" s="343"/>
      <c r="S367" s="346"/>
      <c r="T367" s="150" t="s">
        <v>57</v>
      </c>
      <c r="U367" s="346" t="s">
        <v>2021</v>
      </c>
      <c r="V367" s="403"/>
      <c r="W367" s="406">
        <v>84000</v>
      </c>
      <c r="X367" s="406">
        <v>-14686.309999999998</v>
      </c>
      <c r="Y367" s="425"/>
      <c r="Z367" s="71"/>
      <c r="AA367" s="426">
        <v>6710.29</v>
      </c>
      <c r="AB367" s="427">
        <v>-18265.05</v>
      </c>
      <c r="AC367" s="427">
        <v>-3131.55</v>
      </c>
      <c r="AD367" s="428">
        <v>7060.4400000000005</v>
      </c>
      <c r="AE367" s="429">
        <v>6784.5</v>
      </c>
      <c r="AF367" s="429">
        <v>-12968.59</v>
      </c>
      <c r="AG367" s="363">
        <f t="shared" ref="AG367:AL367" si="20">7000-7000</f>
        <v>0</v>
      </c>
      <c r="AH367" s="363">
        <f t="shared" si="20"/>
        <v>0</v>
      </c>
      <c r="AI367" s="363">
        <f t="shared" si="20"/>
        <v>0</v>
      </c>
      <c r="AJ367" s="363">
        <f t="shared" si="20"/>
        <v>0</v>
      </c>
      <c r="AK367" s="363">
        <f t="shared" si="20"/>
        <v>0</v>
      </c>
      <c r="AL367" s="363">
        <f t="shared" si="20"/>
        <v>0</v>
      </c>
      <c r="AM367" s="360">
        <f t="shared" si="12"/>
        <v>-13809.959999999997</v>
      </c>
      <c r="AN367" s="362">
        <f>ERP_2[[#This Row],[2026 Working Total]]-ERP_2[[#This Row],[LE2 Final Submission]]</f>
        <v>876.35000000000036</v>
      </c>
      <c r="AO367" s="79">
        <v>0</v>
      </c>
      <c r="AP367" s="79">
        <f t="shared" si="16"/>
        <v>-12968.59</v>
      </c>
      <c r="AQ367" s="374">
        <f>SUM(ERP_2[[#This Row],[AP01]:[AP06]])-SUM(ERP_2[[#This Row],[AP01 LE2]:[AP06 LE2]])</f>
        <v>876.35000000000036</v>
      </c>
      <c r="AR367" s="80"/>
      <c r="AS367" s="79">
        <f>ERP_2[[#This Row],[2026 Working Total to Budget/LE]]-ERP_2[[#This Row],[Giveback]]</f>
        <v>876.35000000000036</v>
      </c>
      <c r="AT367" s="81"/>
      <c r="AU367" s="375">
        <v>6710.29</v>
      </c>
      <c r="AV367" s="375">
        <v>-18265.05</v>
      </c>
      <c r="AW367" s="375">
        <v>-3131.55</v>
      </c>
      <c r="AX367" s="375">
        <v>0</v>
      </c>
      <c r="AY367" s="375">
        <v>0</v>
      </c>
      <c r="AZ367" s="375">
        <v>0</v>
      </c>
      <c r="BA367" s="375">
        <v>0</v>
      </c>
      <c r="BB367" s="375">
        <v>0</v>
      </c>
      <c r="BC367" s="375">
        <v>0</v>
      </c>
      <c r="BD367" s="375">
        <v>0</v>
      </c>
      <c r="BE367" s="375">
        <v>0</v>
      </c>
      <c r="BF367" s="375">
        <v>0</v>
      </c>
      <c r="BG367" s="375">
        <v>-14686.309999999998</v>
      </c>
      <c r="BH367" s="79">
        <v>6710.29</v>
      </c>
      <c r="BI367" s="79">
        <v>-18265.05</v>
      </c>
      <c r="BJ367" s="79">
        <v>-3131.55</v>
      </c>
      <c r="BK367" s="79">
        <v>7000</v>
      </c>
      <c r="BL367" s="79">
        <v>7000</v>
      </c>
      <c r="BM367" s="79">
        <v>7000</v>
      </c>
      <c r="BN367" s="79">
        <v>7000</v>
      </c>
      <c r="BO367" s="79">
        <v>7000</v>
      </c>
      <c r="BP367" s="79">
        <v>7000</v>
      </c>
      <c r="BQ367" s="79">
        <v>7000</v>
      </c>
      <c r="BR367" s="79">
        <v>7000</v>
      </c>
      <c r="BS367" s="79">
        <v>7000</v>
      </c>
      <c r="BT367" s="79">
        <v>48313.69</v>
      </c>
    </row>
    <row r="368" spans="1:72" ht="15" hidden="1" customHeight="1">
      <c r="A368" s="66" t="s">
        <v>2056</v>
      </c>
      <c r="B368" s="66"/>
      <c r="C368" s="66" t="s">
        <v>551</v>
      </c>
      <c r="D368" s="66" t="s">
        <v>551</v>
      </c>
      <c r="E368" s="150" t="s">
        <v>1136</v>
      </c>
      <c r="F368" s="482" t="s">
        <v>1566</v>
      </c>
      <c r="G368" s="383" t="s">
        <v>1480</v>
      </c>
      <c r="H368" s="383" t="s">
        <v>1480</v>
      </c>
      <c r="I368" s="150" t="s">
        <v>1345</v>
      </c>
      <c r="J368" s="150" t="s">
        <v>1480</v>
      </c>
      <c r="K368" s="150" t="s">
        <v>1346</v>
      </c>
      <c r="L368" s="511" t="s">
        <v>389</v>
      </c>
      <c r="M368" s="392" t="s">
        <v>1492</v>
      </c>
      <c r="N368" s="343"/>
      <c r="O368" s="343"/>
      <c r="P368" s="70" t="s">
        <v>201</v>
      </c>
      <c r="Q368" s="346"/>
      <c r="R368" s="343"/>
      <c r="S368" s="346"/>
      <c r="T368" s="150" t="s">
        <v>232</v>
      </c>
      <c r="U368" s="150" t="s">
        <v>2057</v>
      </c>
      <c r="V368" s="403"/>
      <c r="W368" s="406">
        <v>200000</v>
      </c>
      <c r="X368" s="406">
        <v>0</v>
      </c>
      <c r="Y368" s="430"/>
      <c r="Z368" s="137"/>
      <c r="AA368" s="426"/>
      <c r="AB368" s="427"/>
      <c r="AC368" s="427"/>
      <c r="AD368" s="428" t="s">
        <v>1142</v>
      </c>
      <c r="AE368" s="429">
        <v>0</v>
      </c>
      <c r="AF368" s="429">
        <v>0</v>
      </c>
      <c r="AG368" s="360">
        <v>0</v>
      </c>
      <c r="AH368" s="363">
        <v>0</v>
      </c>
      <c r="AI368" s="360">
        <v>0</v>
      </c>
      <c r="AJ368" s="363">
        <v>0</v>
      </c>
      <c r="AK368" s="360">
        <v>0</v>
      </c>
      <c r="AL368" s="360">
        <v>0</v>
      </c>
      <c r="AM368" s="360">
        <f t="shared" si="12"/>
        <v>0</v>
      </c>
      <c r="AN368" s="362">
        <f>ERP_2[[#This Row],[2026 Working Total]]-ERP_2[[#This Row],[LE2 Final Submission]]</f>
        <v>0</v>
      </c>
      <c r="AO368" s="79">
        <v>0</v>
      </c>
      <c r="AP368" s="79">
        <f t="shared" si="16"/>
        <v>0</v>
      </c>
      <c r="AQ368" s="374">
        <f>SUM(ERP_2[[#This Row],[AP01]:[AP06]])-SUM(ERP_2[[#This Row],[AP01 LE2]:[AP06 LE2]])</f>
        <v>0</v>
      </c>
      <c r="AR368" s="80"/>
      <c r="AS368" s="79">
        <f>ERP_2[[#This Row],[2026 Working Total to Budget/LE]]-ERP_2[[#This Row],[Giveback]]</f>
        <v>0</v>
      </c>
      <c r="AT368" s="81"/>
      <c r="AU368" s="375"/>
      <c r="AV368" s="375"/>
      <c r="AW368" s="375"/>
      <c r="AX368" s="375"/>
      <c r="AY368" s="375">
        <v>0</v>
      </c>
      <c r="AZ368" s="375">
        <v>0</v>
      </c>
      <c r="BA368" s="375">
        <v>0</v>
      </c>
      <c r="BB368" s="375">
        <v>0</v>
      </c>
      <c r="BC368" s="375">
        <v>0</v>
      </c>
      <c r="BD368" s="375">
        <v>0</v>
      </c>
      <c r="BE368" s="375">
        <v>0</v>
      </c>
      <c r="BF368" s="375">
        <v>0</v>
      </c>
      <c r="BG368" s="375">
        <v>0</v>
      </c>
      <c r="BH368" s="79"/>
      <c r="BI368" s="79"/>
      <c r="BJ368" s="79"/>
      <c r="BK368" s="79"/>
      <c r="BL368" s="79">
        <v>50000</v>
      </c>
      <c r="BM368" s="79">
        <v>0</v>
      </c>
      <c r="BN368" s="79">
        <v>0</v>
      </c>
      <c r="BO368" s="79">
        <v>50000</v>
      </c>
      <c r="BP368" s="79">
        <v>0</v>
      </c>
      <c r="BQ368" s="79">
        <v>50000</v>
      </c>
      <c r="BR368" s="79">
        <v>0</v>
      </c>
      <c r="BS368" s="79">
        <v>0</v>
      </c>
      <c r="BT368" s="79">
        <v>150000</v>
      </c>
    </row>
    <row r="369" spans="1:72" ht="15" hidden="1" customHeight="1">
      <c r="A369" s="66" t="s">
        <v>2058</v>
      </c>
      <c r="B369" s="66"/>
      <c r="C369" s="66" t="s">
        <v>552</v>
      </c>
      <c r="D369" s="66" t="s">
        <v>552</v>
      </c>
      <c r="E369" s="150" t="s">
        <v>1136</v>
      </c>
      <c r="F369" s="482" t="s">
        <v>1566</v>
      </c>
      <c r="G369" s="383" t="s">
        <v>1480</v>
      </c>
      <c r="H369" s="383" t="s">
        <v>1480</v>
      </c>
      <c r="I369" s="150" t="s">
        <v>1345</v>
      </c>
      <c r="J369" s="150" t="s">
        <v>1480</v>
      </c>
      <c r="K369" s="150" t="s">
        <v>1346</v>
      </c>
      <c r="L369" s="511" t="s">
        <v>389</v>
      </c>
      <c r="M369" s="392" t="s">
        <v>2020</v>
      </c>
      <c r="N369" s="343"/>
      <c r="O369" s="343"/>
      <c r="P369" s="70" t="s">
        <v>530</v>
      </c>
      <c r="Q369" s="346"/>
      <c r="R369" s="343"/>
      <c r="S369" s="346"/>
      <c r="T369" s="150" t="s">
        <v>531</v>
      </c>
      <c r="U369" s="346" t="s">
        <v>2021</v>
      </c>
      <c r="V369" s="403"/>
      <c r="W369" s="406">
        <v>26000</v>
      </c>
      <c r="X369" s="406">
        <v>0</v>
      </c>
      <c r="Y369" s="425"/>
      <c r="Z369" s="71"/>
      <c r="AA369" s="426"/>
      <c r="AB369" s="427"/>
      <c r="AC369" s="427"/>
      <c r="AD369" s="428" t="s">
        <v>1142</v>
      </c>
      <c r="AE369" s="429">
        <v>0</v>
      </c>
      <c r="AF369" s="429">
        <v>0</v>
      </c>
      <c r="AG369" s="360">
        <v>0</v>
      </c>
      <c r="AH369" s="360">
        <v>0</v>
      </c>
      <c r="AI369" s="360">
        <v>0</v>
      </c>
      <c r="AJ369" s="363">
        <f>13000-13000</f>
        <v>0</v>
      </c>
      <c r="AK369" s="360">
        <v>0</v>
      </c>
      <c r="AL369" s="360">
        <v>0</v>
      </c>
      <c r="AM369" s="360">
        <f t="shared" si="12"/>
        <v>0</v>
      </c>
      <c r="AN369" s="362">
        <f>ERP_2[[#This Row],[2026 Working Total]]-ERP_2[[#This Row],[LE2 Final Submission]]</f>
        <v>0</v>
      </c>
      <c r="AO369" s="79">
        <v>0</v>
      </c>
      <c r="AP369" s="79">
        <f t="shared" si="16"/>
        <v>0</v>
      </c>
      <c r="AQ369" s="374">
        <f>SUM(ERP_2[[#This Row],[AP01]:[AP06]])-SUM(ERP_2[[#This Row],[AP01 LE2]:[AP06 LE2]])</f>
        <v>0</v>
      </c>
      <c r="AR369" s="80"/>
      <c r="AS369" s="79">
        <f>ERP_2[[#This Row],[2026 Working Total to Budget/LE]]-ERP_2[[#This Row],[Giveback]]</f>
        <v>0</v>
      </c>
      <c r="AT369" s="81"/>
      <c r="AU369" s="375"/>
      <c r="AV369" s="375"/>
      <c r="AW369" s="375"/>
      <c r="AX369" s="375"/>
      <c r="AY369" s="375">
        <v>0</v>
      </c>
      <c r="AZ369" s="375">
        <v>0</v>
      </c>
      <c r="BA369" s="375">
        <v>0</v>
      </c>
      <c r="BB369" s="375">
        <v>0</v>
      </c>
      <c r="BC369" s="375">
        <v>0</v>
      </c>
      <c r="BD369" s="375">
        <v>0</v>
      </c>
      <c r="BE369" s="375">
        <v>0</v>
      </c>
      <c r="BF369" s="375">
        <v>0</v>
      </c>
      <c r="BG369" s="375">
        <v>0</v>
      </c>
      <c r="BH369" s="79"/>
      <c r="BI369" s="79"/>
      <c r="BJ369" s="79"/>
      <c r="BK369" s="79"/>
      <c r="BL369" s="79">
        <v>13000</v>
      </c>
      <c r="BM369" s="79">
        <v>0</v>
      </c>
      <c r="BN369" s="79">
        <v>0</v>
      </c>
      <c r="BO369" s="79">
        <v>0</v>
      </c>
      <c r="BP369" s="79">
        <v>0</v>
      </c>
      <c r="BQ369" s="79">
        <v>13000</v>
      </c>
      <c r="BR369" s="79">
        <v>0</v>
      </c>
      <c r="BS369" s="79">
        <v>0</v>
      </c>
      <c r="BT369" s="79">
        <v>26000</v>
      </c>
    </row>
    <row r="370" spans="1:72" ht="15" hidden="1" customHeight="1">
      <c r="A370" s="66" t="s">
        <v>2882</v>
      </c>
      <c r="B370" s="66"/>
      <c r="C370" s="66" t="s">
        <v>38</v>
      </c>
      <c r="D370" s="66" t="s">
        <v>2883</v>
      </c>
      <c r="E370" s="150" t="s">
        <v>1136</v>
      </c>
      <c r="F370" s="482" t="s">
        <v>1566</v>
      </c>
      <c r="G370" s="150" t="s">
        <v>1566</v>
      </c>
      <c r="H370" s="150" t="s">
        <v>1566</v>
      </c>
      <c r="I370" s="150" t="s">
        <v>1567</v>
      </c>
      <c r="J370" s="150" t="s">
        <v>1567</v>
      </c>
      <c r="K370" s="150" t="s">
        <v>1567</v>
      </c>
      <c r="L370" s="511" t="s">
        <v>22</v>
      </c>
      <c r="M370" s="392" t="s">
        <v>2884</v>
      </c>
      <c r="N370" s="343"/>
      <c r="O370" s="343"/>
      <c r="P370" s="70" t="s">
        <v>39</v>
      </c>
      <c r="Q370" s="346"/>
      <c r="R370" s="346" t="s">
        <v>1140</v>
      </c>
      <c r="S370" s="346"/>
      <c r="T370" s="150" t="s">
        <v>25</v>
      </c>
      <c r="U370" s="150"/>
      <c r="V370" s="403"/>
      <c r="W370" s="406">
        <v>144000</v>
      </c>
      <c r="X370" s="406">
        <v>108000</v>
      </c>
      <c r="Y370" s="425"/>
      <c r="Z370" s="71"/>
      <c r="AA370" s="426"/>
      <c r="AB370" s="427"/>
      <c r="AC370" s="427"/>
      <c r="AD370" s="428" t="s">
        <v>1142</v>
      </c>
      <c r="AE370" s="429">
        <v>0</v>
      </c>
      <c r="AF370" s="429">
        <v>0</v>
      </c>
      <c r="AG370" s="363">
        <v>12000</v>
      </c>
      <c r="AH370" s="363">
        <v>12000</v>
      </c>
      <c r="AI370" s="363">
        <v>12000</v>
      </c>
      <c r="AJ370" s="363">
        <v>12000</v>
      </c>
      <c r="AK370" s="363">
        <v>12000</v>
      </c>
      <c r="AL370" s="363">
        <v>12000</v>
      </c>
      <c r="AM370" s="360">
        <f t="shared" si="12"/>
        <v>72000</v>
      </c>
      <c r="AN370" s="362">
        <f>ERP_2[[#This Row],[2026 Working Total]]-ERP_2[[#This Row],[LE2 Final Submission]]</f>
        <v>-36000</v>
      </c>
      <c r="AO370" s="79">
        <v>12000</v>
      </c>
      <c r="AP370" s="79">
        <f t="shared" si="16"/>
        <v>-12000</v>
      </c>
      <c r="AQ370" s="374">
        <f>SUM(ERP_2[[#This Row],[AP01]:[AP06]])-SUM(ERP_2[[#This Row],[AP01 LE2]:[AP06 LE2]])</f>
        <v>-36000</v>
      </c>
      <c r="AR370" s="80"/>
      <c r="AS370" s="79">
        <f>ERP_2[[#This Row],[2026 Working Total to Budget/LE]]-ERP_2[[#This Row],[Giveback]]</f>
        <v>-36000</v>
      </c>
      <c r="AT370" s="81"/>
      <c r="AU370" s="375"/>
      <c r="AV370" s="375"/>
      <c r="AW370" s="375"/>
      <c r="AX370" s="375">
        <v>12000</v>
      </c>
      <c r="AY370" s="375">
        <v>12000</v>
      </c>
      <c r="AZ370" s="375">
        <v>12000</v>
      </c>
      <c r="BA370" s="375">
        <v>12000</v>
      </c>
      <c r="BB370" s="375">
        <v>12000</v>
      </c>
      <c r="BC370" s="375">
        <v>12000</v>
      </c>
      <c r="BD370" s="375">
        <v>12000</v>
      </c>
      <c r="BE370" s="375">
        <v>12000</v>
      </c>
      <c r="BF370" s="375">
        <v>12000</v>
      </c>
      <c r="BG370" s="375">
        <v>108000</v>
      </c>
      <c r="BH370" s="79"/>
      <c r="BI370" s="79"/>
      <c r="BJ370" s="79"/>
      <c r="BK370" s="79">
        <v>12000</v>
      </c>
      <c r="BL370" s="79">
        <v>12000</v>
      </c>
      <c r="BM370" s="79">
        <v>12000</v>
      </c>
      <c r="BN370" s="79">
        <v>12000</v>
      </c>
      <c r="BO370" s="79">
        <v>12000</v>
      </c>
      <c r="BP370" s="79">
        <v>12000</v>
      </c>
      <c r="BQ370" s="79">
        <v>12000</v>
      </c>
      <c r="BR370" s="79">
        <v>12000</v>
      </c>
      <c r="BS370" s="79">
        <v>12000</v>
      </c>
      <c r="BT370" s="79">
        <v>108000</v>
      </c>
    </row>
    <row r="371" spans="1:72" ht="15" hidden="1" customHeight="1">
      <c r="A371" s="66" t="s">
        <v>2890</v>
      </c>
      <c r="B371" s="66"/>
      <c r="C371" s="66" t="s">
        <v>41</v>
      </c>
      <c r="D371" s="66" t="s">
        <v>2891</v>
      </c>
      <c r="E371" s="150" t="s">
        <v>1136</v>
      </c>
      <c r="F371" s="482" t="s">
        <v>1566</v>
      </c>
      <c r="G371" s="150" t="s">
        <v>1566</v>
      </c>
      <c r="H371" s="150" t="s">
        <v>1566</v>
      </c>
      <c r="I371" s="150" t="s">
        <v>1567</v>
      </c>
      <c r="J371" s="150" t="s">
        <v>1567</v>
      </c>
      <c r="K371" s="150" t="s">
        <v>1567</v>
      </c>
      <c r="L371" s="511" t="s">
        <v>22</v>
      </c>
      <c r="M371" s="392" t="s">
        <v>2872</v>
      </c>
      <c r="N371" s="343"/>
      <c r="O371" s="343"/>
      <c r="P371" s="70" t="s">
        <v>29</v>
      </c>
      <c r="Q371" s="346" t="s">
        <v>1139</v>
      </c>
      <c r="R371" s="346" t="s">
        <v>1140</v>
      </c>
      <c r="S371" s="346"/>
      <c r="T371" s="150" t="s">
        <v>25</v>
      </c>
      <c r="U371" s="150" t="s">
        <v>2892</v>
      </c>
      <c r="V371" s="403"/>
      <c r="W371" s="406">
        <v>794938.1799999997</v>
      </c>
      <c r="X371" s="406">
        <v>806177.41999999993</v>
      </c>
      <c r="Y371" s="425"/>
      <c r="Z371" s="71"/>
      <c r="AA371" s="426">
        <v>358290.86</v>
      </c>
      <c r="AB371" s="427">
        <v>-25689.760000000002</v>
      </c>
      <c r="AC371" s="427">
        <v>41090.669999999984</v>
      </c>
      <c r="AD371" s="428">
        <v>85849.400000000009</v>
      </c>
      <c r="AE371" s="429">
        <v>-59378.359999999986</v>
      </c>
      <c r="AF371" s="429">
        <v>-23605.23000000001</v>
      </c>
      <c r="AG371" s="363">
        <v>55233.75</v>
      </c>
      <c r="AH371" s="363">
        <v>55233.75</v>
      </c>
      <c r="AI371" s="363">
        <v>55233.75</v>
      </c>
      <c r="AJ371" s="363">
        <v>55233.75</v>
      </c>
      <c r="AK371" s="363">
        <v>55233.75</v>
      </c>
      <c r="AL371" s="363">
        <v>55233.75</v>
      </c>
      <c r="AM371" s="360">
        <f t="shared" si="12"/>
        <v>707960.08</v>
      </c>
      <c r="AN371" s="362">
        <f>ERP_2[[#This Row],[2026 Working Total]]-ERP_2[[#This Row],[LE2 Final Submission]]</f>
        <v>-98217.339999999967</v>
      </c>
      <c r="AO371" s="79">
        <v>-40000</v>
      </c>
      <c r="AP371" s="79">
        <f t="shared" si="16"/>
        <v>16394.76999999999</v>
      </c>
      <c r="AQ371" s="374">
        <f>SUM(ERP_2[[#This Row],[AP01]:[AP06]])-SUM(ERP_2[[#This Row],[AP01 LE2]:[AP06 LE2]])</f>
        <v>-98217.340000000026</v>
      </c>
      <c r="AR371" s="80"/>
      <c r="AS371" s="79">
        <f>ERP_2[[#This Row],[2026 Working Total to Budget/LE]]-ERP_2[[#This Row],[Giveback]]</f>
        <v>-98217.339999999967</v>
      </c>
      <c r="AT371" s="81"/>
      <c r="AU371" s="375">
        <v>358290.86</v>
      </c>
      <c r="AV371" s="375">
        <v>-25689.760000000002</v>
      </c>
      <c r="AW371" s="375">
        <v>41090.669999999984</v>
      </c>
      <c r="AX371" s="375">
        <v>85849.400000000009</v>
      </c>
      <c r="AY371" s="375">
        <v>-40000</v>
      </c>
      <c r="AZ371" s="375">
        <v>55233.75</v>
      </c>
      <c r="BA371" s="375">
        <v>55233.75</v>
      </c>
      <c r="BB371" s="375">
        <v>55233.75</v>
      </c>
      <c r="BC371" s="375">
        <v>55233.75</v>
      </c>
      <c r="BD371" s="375">
        <v>55233.75</v>
      </c>
      <c r="BE371" s="375">
        <v>55233.75</v>
      </c>
      <c r="BF371" s="375">
        <v>55233.75</v>
      </c>
      <c r="BG371" s="375">
        <v>806177.41999999993</v>
      </c>
      <c r="BH371" s="79">
        <v>214497.38</v>
      </c>
      <c r="BI371" s="79">
        <v>-47930</v>
      </c>
      <c r="BJ371" s="79">
        <v>-59863</v>
      </c>
      <c r="BK371" s="79">
        <v>49611.67</v>
      </c>
      <c r="BL371" s="79">
        <v>81799.17</v>
      </c>
      <c r="BM371" s="79">
        <v>79239.77</v>
      </c>
      <c r="BN371" s="79">
        <v>53645.83</v>
      </c>
      <c r="BO371" s="79">
        <v>53645.83</v>
      </c>
      <c r="BP371" s="79">
        <v>53645.83</v>
      </c>
      <c r="BQ371" s="79">
        <v>53645.83</v>
      </c>
      <c r="BR371" s="79">
        <v>53645.83</v>
      </c>
      <c r="BS371" s="79">
        <v>53645.83</v>
      </c>
      <c r="BT371" s="79">
        <v>639229.97</v>
      </c>
    </row>
    <row r="372" spans="1:72" ht="15" hidden="1" customHeight="1">
      <c r="A372" s="66" t="s">
        <v>1671</v>
      </c>
      <c r="B372" s="66"/>
      <c r="C372" s="66" t="s">
        <v>338</v>
      </c>
      <c r="D372" s="66" t="s">
        <v>1672</v>
      </c>
      <c r="E372" s="150" t="s">
        <v>1136</v>
      </c>
      <c r="F372" s="482" t="s">
        <v>1566</v>
      </c>
      <c r="G372" s="150" t="s">
        <v>1566</v>
      </c>
      <c r="H372" s="150" t="s">
        <v>1566</v>
      </c>
      <c r="I372" s="150" t="s">
        <v>1567</v>
      </c>
      <c r="J372" s="150" t="s">
        <v>1567</v>
      </c>
      <c r="K372" s="150" t="s">
        <v>1567</v>
      </c>
      <c r="L372" s="511" t="s">
        <v>333</v>
      </c>
      <c r="M372" s="392" t="s">
        <v>1673</v>
      </c>
      <c r="N372" s="343"/>
      <c r="O372" s="343"/>
      <c r="P372" s="70" t="s">
        <v>339</v>
      </c>
      <c r="Q372" s="346"/>
      <c r="R372" s="346" t="s">
        <v>1140</v>
      </c>
      <c r="S372" s="346"/>
      <c r="T372" s="505" t="s">
        <v>340</v>
      </c>
      <c r="U372" s="150"/>
      <c r="V372" s="403"/>
      <c r="W372" s="406">
        <v>3047384</v>
      </c>
      <c r="X372" s="406">
        <v>147762.3031111111</v>
      </c>
      <c r="Y372" s="425"/>
      <c r="Z372" s="71"/>
      <c r="AA372" s="426"/>
      <c r="AB372" s="427"/>
      <c r="AC372" s="427"/>
      <c r="AD372" s="428" t="s">
        <v>1142</v>
      </c>
      <c r="AE372" s="429">
        <v>0</v>
      </c>
      <c r="AF372" s="429">
        <v>0</v>
      </c>
      <c r="AG372" s="363">
        <v>14573.083333333334</v>
      </c>
      <c r="AH372" s="363">
        <v>14573.083333333334</v>
      </c>
      <c r="AI372" s="363">
        <v>14573.083333333334</v>
      </c>
      <c r="AJ372" s="363">
        <v>23051.972222222223</v>
      </c>
      <c r="AK372" s="363">
        <v>23190.861111111109</v>
      </c>
      <c r="AL372" s="363">
        <v>28256.527777777777</v>
      </c>
      <c r="AM372" s="360">
        <f t="shared" si="12"/>
        <v>118218.61111111111</v>
      </c>
      <c r="AN372" s="362">
        <f>ERP_2[[#This Row],[2026 Working Total]]-ERP_2[[#This Row],[LE2 Final Submission]]</f>
        <v>-29543.691999999995</v>
      </c>
      <c r="AO372" s="79">
        <v>12850.03788888889</v>
      </c>
      <c r="AP372" s="79">
        <f t="shared" si="16"/>
        <v>-12850.03788888889</v>
      </c>
      <c r="AQ372" s="374">
        <f>SUM(ERP_2[[#This Row],[AP01]:[AP06]])-SUM(ERP_2[[#This Row],[AP01 LE2]:[AP06 LE2]])</f>
        <v>-27765.742444444448</v>
      </c>
      <c r="AR372" s="80"/>
      <c r="AS372" s="79">
        <f>ERP_2[[#This Row],[2026 Working Total to Budget/LE]]-ERP_2[[#This Row],[Giveback]]</f>
        <v>-29543.691999999995</v>
      </c>
      <c r="AT372" s="81"/>
      <c r="AU372" s="375"/>
      <c r="AV372" s="375"/>
      <c r="AW372" s="375"/>
      <c r="AX372" s="375">
        <v>0</v>
      </c>
      <c r="AY372" s="375">
        <v>12850.03788888889</v>
      </c>
      <c r="AZ372" s="375">
        <v>14915.704555555556</v>
      </c>
      <c r="BA372" s="375">
        <v>14915.704555555556</v>
      </c>
      <c r="BB372" s="375">
        <v>14915.704555555556</v>
      </c>
      <c r="BC372" s="375">
        <v>14915.704555555556</v>
      </c>
      <c r="BD372" s="375">
        <v>23394.593444444443</v>
      </c>
      <c r="BE372" s="375">
        <v>23394.593444444443</v>
      </c>
      <c r="BF372" s="375">
        <v>28460.260111111111</v>
      </c>
      <c r="BG372" s="375">
        <v>147762.3031111111</v>
      </c>
      <c r="BH372" s="79"/>
      <c r="BI372" s="79"/>
      <c r="BJ372" s="79"/>
      <c r="BK372" s="79">
        <v>12436.91</v>
      </c>
      <c r="BL372" s="79">
        <v>17183.39</v>
      </c>
      <c r="BM372" s="79">
        <v>19249.060000000001</v>
      </c>
      <c r="BN372" s="79">
        <v>19249.060000000001</v>
      </c>
      <c r="BO372" s="79">
        <v>20917.810000000001</v>
      </c>
      <c r="BP372" s="79">
        <v>38739.129999999997</v>
      </c>
      <c r="BQ372" s="79">
        <v>52766.07</v>
      </c>
      <c r="BR372" s="79">
        <v>52766.07</v>
      </c>
      <c r="BS372" s="79">
        <v>65150.49</v>
      </c>
      <c r="BT372" s="79">
        <v>298457.99</v>
      </c>
    </row>
    <row r="373" spans="1:72" ht="15" hidden="1" customHeight="1">
      <c r="A373" s="66" t="s">
        <v>2163</v>
      </c>
      <c r="B373" s="66"/>
      <c r="C373" s="66" t="s">
        <v>614</v>
      </c>
      <c r="D373" s="66" t="s">
        <v>2164</v>
      </c>
      <c r="E373" s="150" t="s">
        <v>1136</v>
      </c>
      <c r="F373" s="482" t="s">
        <v>1566</v>
      </c>
      <c r="G373" s="383" t="s">
        <v>1480</v>
      </c>
      <c r="H373" s="150" t="s">
        <v>1481</v>
      </c>
      <c r="I373" s="150" t="s">
        <v>1345</v>
      </c>
      <c r="J373" s="150" t="s">
        <v>1481</v>
      </c>
      <c r="K373" s="150" t="s">
        <v>1346</v>
      </c>
      <c r="L373" s="511" t="s">
        <v>602</v>
      </c>
      <c r="M373" s="392" t="s">
        <v>2165</v>
      </c>
      <c r="N373" s="343"/>
      <c r="O373" s="343"/>
      <c r="P373" s="70" t="s">
        <v>615</v>
      </c>
      <c r="Q373" s="346"/>
      <c r="R373" s="343"/>
      <c r="S373" s="346"/>
      <c r="T373" s="150" t="s">
        <v>25</v>
      </c>
      <c r="U373" s="184" t="s">
        <v>2166</v>
      </c>
      <c r="V373" s="403"/>
      <c r="W373" s="406">
        <v>80000</v>
      </c>
      <c r="X373" s="406">
        <v>40000</v>
      </c>
      <c r="Y373" s="425"/>
      <c r="Z373" s="71"/>
      <c r="AA373" s="426"/>
      <c r="AB373" s="427"/>
      <c r="AC373" s="427"/>
      <c r="AD373" s="428" t="s">
        <v>1142</v>
      </c>
      <c r="AE373" s="429">
        <v>0</v>
      </c>
      <c r="AF373" s="429">
        <v>0</v>
      </c>
      <c r="AG373" s="360">
        <v>0</v>
      </c>
      <c r="AH373" s="363">
        <v>10000</v>
      </c>
      <c r="AI373" s="360">
        <v>10000</v>
      </c>
      <c r="AJ373" s="360">
        <v>10000</v>
      </c>
      <c r="AK373" s="360">
        <v>10000</v>
      </c>
      <c r="AL373" s="360">
        <v>0</v>
      </c>
      <c r="AM373" s="360">
        <f t="shared" si="12"/>
        <v>40000</v>
      </c>
      <c r="AN373" s="362">
        <f>ERP_2[[#This Row],[2026 Working Total]]-ERP_2[[#This Row],[LE2 Final Submission]]</f>
        <v>0</v>
      </c>
      <c r="AO373" s="79">
        <v>0</v>
      </c>
      <c r="AP373" s="79">
        <f t="shared" si="16"/>
        <v>0</v>
      </c>
      <c r="AQ373" s="374">
        <f>SUM(ERP_2[[#This Row],[AP01]:[AP06]])-SUM(ERP_2[[#This Row],[AP01 LE2]:[AP06 LE2]])</f>
        <v>0</v>
      </c>
      <c r="AR373" s="80"/>
      <c r="AS373" s="79">
        <f>ERP_2[[#This Row],[2026 Working Total to Budget/LE]]-ERP_2[[#This Row],[Giveback]]</f>
        <v>0</v>
      </c>
      <c r="AT373" s="81"/>
      <c r="AU373" s="375"/>
      <c r="AV373" s="375"/>
      <c r="AW373" s="375"/>
      <c r="AX373" s="375">
        <v>0</v>
      </c>
      <c r="AY373" s="375">
        <v>0</v>
      </c>
      <c r="AZ373" s="375">
        <v>0</v>
      </c>
      <c r="BA373" s="375">
        <v>0</v>
      </c>
      <c r="BB373" s="375">
        <v>10000</v>
      </c>
      <c r="BC373" s="375">
        <v>10000</v>
      </c>
      <c r="BD373" s="375">
        <v>10000</v>
      </c>
      <c r="BE373" s="375">
        <v>10000</v>
      </c>
      <c r="BF373" s="375">
        <v>0</v>
      </c>
      <c r="BG373" s="375">
        <v>40000</v>
      </c>
      <c r="BH373" s="79"/>
      <c r="BI373" s="79"/>
      <c r="BJ373" s="79"/>
      <c r="BK373" s="79">
        <v>20000</v>
      </c>
      <c r="BL373" s="79">
        <v>20000</v>
      </c>
      <c r="BM373" s="79">
        <v>20000</v>
      </c>
      <c r="BN373" s="79">
        <v>20000</v>
      </c>
      <c r="BO373" s="79">
        <v>0</v>
      </c>
      <c r="BP373" s="79">
        <v>0</v>
      </c>
      <c r="BQ373" s="79">
        <v>0</v>
      </c>
      <c r="BR373" s="79">
        <v>0</v>
      </c>
      <c r="BS373" s="79">
        <v>0</v>
      </c>
      <c r="BT373" s="79">
        <v>80000</v>
      </c>
    </row>
    <row r="374" spans="1:72" ht="15" hidden="1" customHeight="1">
      <c r="A374" s="150" t="s">
        <v>2167</v>
      </c>
      <c r="B374" s="150"/>
      <c r="C374" s="536" t="s">
        <v>616</v>
      </c>
      <c r="D374" s="296" t="s">
        <v>616</v>
      </c>
      <c r="E374" s="150" t="s">
        <v>1136</v>
      </c>
      <c r="F374" s="482" t="s">
        <v>1566</v>
      </c>
      <c r="G374" s="383" t="s">
        <v>1480</v>
      </c>
      <c r="H374" s="383" t="s">
        <v>1480</v>
      </c>
      <c r="I374" s="332" t="s">
        <v>1345</v>
      </c>
      <c r="J374" s="332" t="s">
        <v>1480</v>
      </c>
      <c r="K374" s="333" t="s">
        <v>1480</v>
      </c>
      <c r="L374" s="514" t="s">
        <v>602</v>
      </c>
      <c r="M374" s="394" t="s">
        <v>2168</v>
      </c>
      <c r="N374" s="333"/>
      <c r="O374" s="332" t="s">
        <v>1493</v>
      </c>
      <c r="P374" s="90" t="s">
        <v>610</v>
      </c>
      <c r="Q374" s="347"/>
      <c r="R374" s="347"/>
      <c r="S374" s="348"/>
      <c r="T374" s="348"/>
      <c r="U374" s="348"/>
      <c r="V374" s="402"/>
      <c r="W374" s="406"/>
      <c r="X374" s="406"/>
      <c r="Y374" s="425"/>
      <c r="Z374" s="71"/>
      <c r="AA374" s="435"/>
      <c r="AB374" s="436"/>
      <c r="AC374" s="436"/>
      <c r="AD374" s="429"/>
      <c r="AE374" s="429">
        <v>693</v>
      </c>
      <c r="AF374" s="429">
        <v>0</v>
      </c>
      <c r="AG374" s="364"/>
      <c r="AH374" s="364"/>
      <c r="AI374" s="364"/>
      <c r="AJ374" s="364"/>
      <c r="AK374" s="364"/>
      <c r="AL374" s="364"/>
      <c r="AM374" s="360">
        <f t="shared" ref="AM374:AM437" si="21">SUM(AA374:AL374)</f>
        <v>693</v>
      </c>
      <c r="AN374" s="362">
        <f>ERP_2[[#This Row],[2026 Working Total]]-ERP_2[[#This Row],[LE2 Final Submission]]</f>
        <v>693</v>
      </c>
      <c r="AO374" s="79"/>
      <c r="AP374" s="79">
        <f t="shared" si="16"/>
        <v>0</v>
      </c>
      <c r="AQ374" s="374">
        <f>SUM(ERP_2[[#This Row],[AP01]:[AP06]])-SUM(ERP_2[[#This Row],[AP01 LE2]:[AP06 LE2]])</f>
        <v>693</v>
      </c>
      <c r="AR374" s="80"/>
      <c r="AS374" s="79">
        <f>ERP_2[[#This Row],[2026 Working Total to Budget/LE]]-ERP_2[[#This Row],[Giveback]]</f>
        <v>693</v>
      </c>
      <c r="AT374" s="81"/>
      <c r="AU374" s="375"/>
      <c r="AV374" s="375"/>
      <c r="AW374" s="375"/>
      <c r="AX374" s="375"/>
      <c r="AY374" s="375"/>
      <c r="AZ374" s="375"/>
      <c r="BA374" s="375"/>
      <c r="BB374" s="375"/>
      <c r="BC374" s="375"/>
      <c r="BD374" s="375"/>
      <c r="BE374" s="375"/>
      <c r="BF374" s="375"/>
      <c r="BG374" s="375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</row>
    <row r="375" spans="1:72" ht="15" hidden="1" customHeight="1">
      <c r="A375" s="79" t="s">
        <v>2705</v>
      </c>
      <c r="B375" s="79"/>
      <c r="C375" s="79" t="s">
        <v>959</v>
      </c>
      <c r="D375" s="296" t="s">
        <v>959</v>
      </c>
      <c r="E375" s="150" t="s">
        <v>1136</v>
      </c>
      <c r="F375" s="482" t="s">
        <v>1566</v>
      </c>
      <c r="G375" s="383" t="s">
        <v>1480</v>
      </c>
      <c r="H375" s="383" t="s">
        <v>1480</v>
      </c>
      <c r="I375" s="332" t="s">
        <v>1345</v>
      </c>
      <c r="J375" s="383" t="s">
        <v>1480</v>
      </c>
      <c r="K375" s="331" t="s">
        <v>1346</v>
      </c>
      <c r="L375" s="512" t="s">
        <v>639</v>
      </c>
      <c r="M375" s="393" t="s">
        <v>2214</v>
      </c>
      <c r="N375" s="343"/>
      <c r="O375" s="331"/>
      <c r="P375" s="91" t="s">
        <v>646</v>
      </c>
      <c r="Q375" s="343"/>
      <c r="R375" s="343"/>
      <c r="S375" s="348"/>
      <c r="T375" s="386" t="s">
        <v>152</v>
      </c>
      <c r="U375" s="387" t="s">
        <v>2706</v>
      </c>
      <c r="V375" s="432"/>
      <c r="W375" s="358">
        <v>650000</v>
      </c>
      <c r="X375" s="378">
        <v>0</v>
      </c>
      <c r="Y375" s="425"/>
      <c r="Z375" s="71"/>
      <c r="AA375" s="433"/>
      <c r="AB375" s="434"/>
      <c r="AC375" s="434"/>
      <c r="AD375" s="428" t="s">
        <v>1142</v>
      </c>
      <c r="AE375" s="429">
        <v>0</v>
      </c>
      <c r="AF375" s="429">
        <v>0</v>
      </c>
      <c r="AG375" s="388">
        <v>0</v>
      </c>
      <c r="AH375" s="388">
        <v>0</v>
      </c>
      <c r="AI375" s="388">
        <v>0</v>
      </c>
      <c r="AJ375" s="388">
        <v>0</v>
      </c>
      <c r="AK375" s="388">
        <v>0</v>
      </c>
      <c r="AL375" s="388">
        <v>0</v>
      </c>
      <c r="AM375" s="360">
        <f t="shared" si="21"/>
        <v>0</v>
      </c>
      <c r="AN375" s="362">
        <f>ERP_2[[#This Row],[2026 Working Total]]-ERP_2[[#This Row],[LE2 Final Submission]]</f>
        <v>0</v>
      </c>
      <c r="AO375" s="79">
        <v>0</v>
      </c>
      <c r="AP375" s="79">
        <f t="shared" si="16"/>
        <v>0</v>
      </c>
      <c r="AQ375" s="374">
        <f>SUM(ERP_2[[#This Row],[AP01]:[AP06]])-SUM(ERP_2[[#This Row],[AP01 LE2]:[AP06 LE2]])</f>
        <v>0</v>
      </c>
      <c r="AR375" s="80"/>
      <c r="AS375" s="79">
        <f>ERP_2[[#This Row],[2026 Working Total to Budget/LE]]-ERP_2[[#This Row],[Giveback]]</f>
        <v>0</v>
      </c>
      <c r="AT375" s="81" t="s">
        <v>2216</v>
      </c>
      <c r="AU375" s="375"/>
      <c r="AV375" s="375"/>
      <c r="AW375" s="375"/>
      <c r="AX375" s="375">
        <v>0</v>
      </c>
      <c r="AY375" s="375">
        <v>0</v>
      </c>
      <c r="AZ375" s="375">
        <v>0</v>
      </c>
      <c r="BA375" s="375">
        <v>0</v>
      </c>
      <c r="BB375" s="375">
        <v>0</v>
      </c>
      <c r="BC375" s="375">
        <v>0</v>
      </c>
      <c r="BD375" s="375">
        <v>0</v>
      </c>
      <c r="BE375" s="375">
        <v>0</v>
      </c>
      <c r="BF375" s="375">
        <v>0</v>
      </c>
      <c r="BG375" s="375">
        <v>0</v>
      </c>
      <c r="BH375" s="103">
        <v>0</v>
      </c>
      <c r="BI375" s="103">
        <v>0</v>
      </c>
      <c r="BJ375" s="103">
        <v>0</v>
      </c>
      <c r="BK375" s="103">
        <v>0</v>
      </c>
      <c r="BL375" s="103">
        <v>0</v>
      </c>
      <c r="BM375" s="103">
        <v>650000</v>
      </c>
      <c r="BN375" s="103">
        <v>0</v>
      </c>
      <c r="BO375" s="103">
        <v>0</v>
      </c>
      <c r="BP375" s="103">
        <v>0</v>
      </c>
      <c r="BQ375" s="103">
        <v>0</v>
      </c>
      <c r="BR375" s="103">
        <v>0</v>
      </c>
      <c r="BS375" s="103">
        <v>0</v>
      </c>
      <c r="BT375" s="79">
        <f>SUM(ERP_2[[#This Row],[2026 AP01]:[2026 AP12]])</f>
        <v>650000</v>
      </c>
    </row>
    <row r="376" spans="1:72" ht="15" hidden="1" customHeight="1">
      <c r="A376" s="79" t="s">
        <v>2707</v>
      </c>
      <c r="B376" s="79"/>
      <c r="C376" s="79" t="s">
        <v>960</v>
      </c>
      <c r="D376" s="296" t="s">
        <v>960</v>
      </c>
      <c r="E376" s="150" t="s">
        <v>1136</v>
      </c>
      <c r="F376" s="482" t="s">
        <v>1566</v>
      </c>
      <c r="G376" s="383" t="s">
        <v>1480</v>
      </c>
      <c r="H376" s="383" t="s">
        <v>1480</v>
      </c>
      <c r="I376" s="332" t="s">
        <v>1345</v>
      </c>
      <c r="J376" s="383" t="s">
        <v>1480</v>
      </c>
      <c r="K376" s="331" t="s">
        <v>1346</v>
      </c>
      <c r="L376" s="512" t="s">
        <v>639</v>
      </c>
      <c r="M376" s="393" t="s">
        <v>2218</v>
      </c>
      <c r="N376" s="343"/>
      <c r="O376" s="331"/>
      <c r="P376" s="91" t="s">
        <v>648</v>
      </c>
      <c r="Q376" s="343"/>
      <c r="R376" s="343"/>
      <c r="S376" s="348"/>
      <c r="T376" s="386" t="s">
        <v>152</v>
      </c>
      <c r="U376" s="387" t="s">
        <v>2706</v>
      </c>
      <c r="V376" s="432"/>
      <c r="W376" s="358">
        <v>300000</v>
      </c>
      <c r="X376" s="378">
        <v>0</v>
      </c>
      <c r="Y376" s="425"/>
      <c r="Z376" s="71"/>
      <c r="AA376" s="433"/>
      <c r="AB376" s="434"/>
      <c r="AC376" s="434"/>
      <c r="AD376" s="428" t="s">
        <v>1142</v>
      </c>
      <c r="AE376" s="429">
        <v>0</v>
      </c>
      <c r="AF376" s="429">
        <v>0</v>
      </c>
      <c r="AG376" s="388">
        <v>0</v>
      </c>
      <c r="AH376" s="388">
        <v>0</v>
      </c>
      <c r="AI376" s="388">
        <v>0</v>
      </c>
      <c r="AJ376" s="388">
        <v>0</v>
      </c>
      <c r="AK376" s="388">
        <v>0</v>
      </c>
      <c r="AL376" s="388">
        <v>0</v>
      </c>
      <c r="AM376" s="360">
        <f t="shared" si="21"/>
        <v>0</v>
      </c>
      <c r="AN376" s="362">
        <f>ERP_2[[#This Row],[2026 Working Total]]-ERP_2[[#This Row],[LE2 Final Submission]]</f>
        <v>0</v>
      </c>
      <c r="AO376" s="79">
        <v>750</v>
      </c>
      <c r="AP376" s="79">
        <f t="shared" si="16"/>
        <v>-750</v>
      </c>
      <c r="AQ376" s="374">
        <f>SUM(ERP_2[[#This Row],[AP01]:[AP06]])-SUM(ERP_2[[#This Row],[AP01 LE2]:[AP06 LE2]])</f>
        <v>0</v>
      </c>
      <c r="AR376" s="80"/>
      <c r="AS376" s="79">
        <f>ERP_2[[#This Row],[2026 Working Total to Budget/LE]]-ERP_2[[#This Row],[Giveback]]</f>
        <v>0</v>
      </c>
      <c r="AT376" s="81" t="s">
        <v>2216</v>
      </c>
      <c r="AU376" s="375"/>
      <c r="AV376" s="375"/>
      <c r="AW376" s="375"/>
      <c r="AX376" s="375">
        <v>0</v>
      </c>
      <c r="AY376" s="375">
        <v>0</v>
      </c>
      <c r="AZ376" s="375">
        <v>0</v>
      </c>
      <c r="BA376" s="375">
        <v>0</v>
      </c>
      <c r="BB376" s="375">
        <v>0</v>
      </c>
      <c r="BC376" s="375">
        <v>0</v>
      </c>
      <c r="BD376" s="375">
        <v>0</v>
      </c>
      <c r="BE376" s="375">
        <v>0</v>
      </c>
      <c r="BF376" s="375">
        <v>0</v>
      </c>
      <c r="BG376" s="375">
        <v>0</v>
      </c>
      <c r="BH376" s="103">
        <v>0</v>
      </c>
      <c r="BI376" s="103">
        <v>0</v>
      </c>
      <c r="BJ376" s="103">
        <v>0</v>
      </c>
      <c r="BK376" s="103">
        <v>0</v>
      </c>
      <c r="BL376" s="103">
        <v>0</v>
      </c>
      <c r="BM376" s="103">
        <v>300000</v>
      </c>
      <c r="BN376" s="103">
        <v>0</v>
      </c>
      <c r="BO376" s="103">
        <v>0</v>
      </c>
      <c r="BP376" s="103">
        <v>0</v>
      </c>
      <c r="BQ376" s="103">
        <v>0</v>
      </c>
      <c r="BR376" s="103">
        <v>0</v>
      </c>
      <c r="BS376" s="103">
        <v>0</v>
      </c>
      <c r="BT376" s="79">
        <f>SUM(ERP_2[[#This Row],[2026 AP01]:[2026 AP12]])</f>
        <v>300000</v>
      </c>
    </row>
    <row r="377" spans="1:72" ht="15" hidden="1" customHeight="1">
      <c r="A377" s="79" t="s">
        <v>2708</v>
      </c>
      <c r="B377" s="79"/>
      <c r="C377" s="79" t="s">
        <v>961</v>
      </c>
      <c r="D377" s="296" t="s">
        <v>961</v>
      </c>
      <c r="E377" s="150" t="s">
        <v>1136</v>
      </c>
      <c r="F377" s="482" t="s">
        <v>1566</v>
      </c>
      <c r="G377" s="383" t="s">
        <v>1480</v>
      </c>
      <c r="H377" s="383" t="s">
        <v>1480</v>
      </c>
      <c r="I377" s="332" t="s">
        <v>1345</v>
      </c>
      <c r="J377" s="382" t="s">
        <v>1480</v>
      </c>
      <c r="K377" s="331" t="s">
        <v>1346</v>
      </c>
      <c r="L377" s="512" t="s">
        <v>639</v>
      </c>
      <c r="M377" s="394" t="s">
        <v>2221</v>
      </c>
      <c r="N377" s="343"/>
      <c r="O377" s="331"/>
      <c r="P377" s="122" t="s">
        <v>650</v>
      </c>
      <c r="Q377" s="343"/>
      <c r="R377" s="343"/>
      <c r="S377" s="348"/>
      <c r="T377" s="384" t="s">
        <v>152</v>
      </c>
      <c r="U377" s="387" t="s">
        <v>2706</v>
      </c>
      <c r="V377" s="432"/>
      <c r="W377" s="358">
        <v>3300</v>
      </c>
      <c r="X377" s="378">
        <v>0</v>
      </c>
      <c r="Y377" s="430"/>
      <c r="Z377" s="137"/>
      <c r="AA377" s="433"/>
      <c r="AB377" s="434"/>
      <c r="AC377" s="434"/>
      <c r="AD377" s="428" t="s">
        <v>1142</v>
      </c>
      <c r="AE377" s="429">
        <v>0</v>
      </c>
      <c r="AF377" s="429">
        <v>0</v>
      </c>
      <c r="AG377" s="388">
        <f t="shared" ref="AG377:AL377" si="22">275-275</f>
        <v>0</v>
      </c>
      <c r="AH377" s="388">
        <f t="shared" si="22"/>
        <v>0</v>
      </c>
      <c r="AI377" s="388">
        <f t="shared" si="22"/>
        <v>0</v>
      </c>
      <c r="AJ377" s="388">
        <f t="shared" si="22"/>
        <v>0</v>
      </c>
      <c r="AK377" s="388">
        <f t="shared" si="22"/>
        <v>0</v>
      </c>
      <c r="AL377" s="388">
        <f t="shared" si="22"/>
        <v>0</v>
      </c>
      <c r="AM377" s="360">
        <f t="shared" si="21"/>
        <v>0</v>
      </c>
      <c r="AN377" s="362">
        <f>ERP_2[[#This Row],[2026 Working Total]]-ERP_2[[#This Row],[LE2 Final Submission]]</f>
        <v>0</v>
      </c>
      <c r="AO377" s="79">
        <v>6142.58</v>
      </c>
      <c r="AP377" s="79">
        <f t="shared" si="16"/>
        <v>-6142.58</v>
      </c>
      <c r="AQ377" s="374">
        <f>SUM(ERP_2[[#This Row],[AP01]:[AP06]])-SUM(ERP_2[[#This Row],[AP01 LE2]:[AP06 LE2]])</f>
        <v>0</v>
      </c>
      <c r="AR377" s="80"/>
      <c r="AS377" s="79">
        <f>ERP_2[[#This Row],[2026 Working Total to Budget/LE]]-ERP_2[[#This Row],[Giveback]]</f>
        <v>0</v>
      </c>
      <c r="AT377" s="81"/>
      <c r="AU377" s="375"/>
      <c r="AV377" s="375"/>
      <c r="AW377" s="375"/>
      <c r="AX377" s="375">
        <v>0</v>
      </c>
      <c r="AY377" s="375">
        <v>0</v>
      </c>
      <c r="AZ377" s="375">
        <v>0</v>
      </c>
      <c r="BA377" s="375">
        <v>0</v>
      </c>
      <c r="BB377" s="375">
        <v>0</v>
      </c>
      <c r="BC377" s="375">
        <v>0</v>
      </c>
      <c r="BD377" s="375">
        <v>0</v>
      </c>
      <c r="BE377" s="375">
        <v>0</v>
      </c>
      <c r="BF377" s="375">
        <v>0</v>
      </c>
      <c r="BG377" s="375">
        <v>0</v>
      </c>
      <c r="BH377" s="103">
        <v>275</v>
      </c>
      <c r="BI377" s="103">
        <v>275</v>
      </c>
      <c r="BJ377" s="103">
        <v>275</v>
      </c>
      <c r="BK377" s="103">
        <v>275</v>
      </c>
      <c r="BL377" s="103">
        <v>275</v>
      </c>
      <c r="BM377" s="103">
        <v>275</v>
      </c>
      <c r="BN377" s="103">
        <v>275</v>
      </c>
      <c r="BO377" s="103">
        <v>275</v>
      </c>
      <c r="BP377" s="103">
        <v>275</v>
      </c>
      <c r="BQ377" s="103">
        <v>275</v>
      </c>
      <c r="BR377" s="103">
        <v>275</v>
      </c>
      <c r="BS377" s="103">
        <v>275</v>
      </c>
      <c r="BT377" s="79">
        <f>SUM(ERP_2[[#This Row],[2026 AP01]:[2026 AP12]])</f>
        <v>3300</v>
      </c>
    </row>
    <row r="378" spans="1:72" ht="15" hidden="1" customHeight="1">
      <c r="A378" s="66" t="s">
        <v>2709</v>
      </c>
      <c r="B378" s="66"/>
      <c r="C378" s="66" t="s">
        <v>962</v>
      </c>
      <c r="D378" s="66" t="s">
        <v>962</v>
      </c>
      <c r="E378" s="150" t="s">
        <v>1136</v>
      </c>
      <c r="F378" s="482" t="s">
        <v>1566</v>
      </c>
      <c r="G378" s="383" t="s">
        <v>1480</v>
      </c>
      <c r="H378" s="383" t="s">
        <v>1480</v>
      </c>
      <c r="I378" s="150" t="s">
        <v>1345</v>
      </c>
      <c r="J378" s="150" t="s">
        <v>1480</v>
      </c>
      <c r="K378" s="150" t="s">
        <v>1346</v>
      </c>
      <c r="L378" s="511" t="s">
        <v>639</v>
      </c>
      <c r="M378" s="392" t="s">
        <v>2710</v>
      </c>
      <c r="N378" s="343"/>
      <c r="O378" s="343"/>
      <c r="P378" s="70" t="s">
        <v>963</v>
      </c>
      <c r="Q378" s="346"/>
      <c r="R378" s="343"/>
      <c r="S378" s="346"/>
      <c r="T378" s="150" t="s">
        <v>152</v>
      </c>
      <c r="U378" s="150"/>
      <c r="V378" s="403"/>
      <c r="W378" s="406">
        <v>0</v>
      </c>
      <c r="X378" s="406">
        <v>24000</v>
      </c>
      <c r="Y378" s="425"/>
      <c r="Z378" s="71"/>
      <c r="AA378" s="426">
        <v>24000</v>
      </c>
      <c r="AB378" s="431">
        <v>0</v>
      </c>
      <c r="AC378" s="431">
        <v>0</v>
      </c>
      <c r="AD378" s="428">
        <v>5.0699999999999363</v>
      </c>
      <c r="AE378" s="429">
        <v>-7.8299999999999272</v>
      </c>
      <c r="AF378" s="429">
        <v>-15479.01</v>
      </c>
      <c r="AG378" s="360">
        <v>0</v>
      </c>
      <c r="AH378" s="360">
        <v>0</v>
      </c>
      <c r="AI378" s="360">
        <v>0</v>
      </c>
      <c r="AJ378" s="360">
        <v>0</v>
      </c>
      <c r="AK378" s="360">
        <v>0</v>
      </c>
      <c r="AL378" s="360">
        <v>0</v>
      </c>
      <c r="AM378" s="360">
        <f t="shared" si="21"/>
        <v>8518.2299999999977</v>
      </c>
      <c r="AN378" s="362">
        <f>ERP_2[[#This Row],[2026 Working Total]]-ERP_2[[#This Row],[LE2 Final Submission]]</f>
        <v>-15481.770000000002</v>
      </c>
      <c r="AO378" s="79">
        <v>31350</v>
      </c>
      <c r="AP378" s="79">
        <f t="shared" si="16"/>
        <v>-46829.01</v>
      </c>
      <c r="AQ378" s="374">
        <f>SUM(ERP_2[[#This Row],[AP01]:[AP06]])-SUM(ERP_2[[#This Row],[AP01 LE2]:[AP06 LE2]])</f>
        <v>-15481.770000000002</v>
      </c>
      <c r="AR378" s="80"/>
      <c r="AS378" s="79">
        <f>ERP_2[[#This Row],[2026 Working Total to Budget/LE]]-ERP_2[[#This Row],[Giveback]]</f>
        <v>-15481.770000000002</v>
      </c>
      <c r="AT378" s="81"/>
      <c r="AU378" s="375">
        <v>24000</v>
      </c>
      <c r="AV378" s="375">
        <v>0</v>
      </c>
      <c r="AW378" s="375">
        <v>0</v>
      </c>
      <c r="AX378" s="375">
        <v>0</v>
      </c>
      <c r="AY378" s="375">
        <v>0</v>
      </c>
      <c r="AZ378" s="375">
        <v>0</v>
      </c>
      <c r="BA378" s="375">
        <v>0</v>
      </c>
      <c r="BB378" s="375">
        <v>0</v>
      </c>
      <c r="BC378" s="375">
        <v>0</v>
      </c>
      <c r="BD378" s="375">
        <v>0</v>
      </c>
      <c r="BE378" s="375">
        <v>0</v>
      </c>
      <c r="BF378" s="375">
        <v>0</v>
      </c>
      <c r="BG378" s="375">
        <v>24000</v>
      </c>
      <c r="BH378" s="79">
        <v>24000</v>
      </c>
      <c r="BI378" s="79">
        <v>0</v>
      </c>
      <c r="BJ378" s="79">
        <v>0</v>
      </c>
      <c r="BK378" s="79">
        <v>0</v>
      </c>
      <c r="BL378" s="79">
        <v>0</v>
      </c>
      <c r="BM378" s="79">
        <v>0</v>
      </c>
      <c r="BN378" s="79">
        <v>0</v>
      </c>
      <c r="BO378" s="79">
        <v>0</v>
      </c>
      <c r="BP378" s="79">
        <v>0</v>
      </c>
      <c r="BQ378" s="79">
        <v>0</v>
      </c>
      <c r="BR378" s="79">
        <v>0</v>
      </c>
      <c r="BS378" s="79">
        <v>0</v>
      </c>
      <c r="BT378" s="79">
        <v>24000</v>
      </c>
    </row>
    <row r="379" spans="1:72" ht="15" hidden="1" customHeight="1">
      <c r="A379" s="129" t="s">
        <v>2711</v>
      </c>
      <c r="B379" s="129"/>
      <c r="C379" s="129" t="s">
        <v>964</v>
      </c>
      <c r="D379" s="66" t="s">
        <v>964</v>
      </c>
      <c r="E379" s="150" t="s">
        <v>1136</v>
      </c>
      <c r="F379" s="482" t="s">
        <v>1566</v>
      </c>
      <c r="G379" s="383" t="s">
        <v>1480</v>
      </c>
      <c r="H379" s="383" t="s">
        <v>1480</v>
      </c>
      <c r="I379" s="150" t="s">
        <v>1345</v>
      </c>
      <c r="J379" s="150" t="s">
        <v>1480</v>
      </c>
      <c r="K379" s="150" t="s">
        <v>1480</v>
      </c>
      <c r="L379" s="513" t="s">
        <v>639</v>
      </c>
      <c r="M379" s="392" t="s">
        <v>2660</v>
      </c>
      <c r="N379" s="343"/>
      <c r="O379" s="331"/>
      <c r="P379" s="70" t="s">
        <v>937</v>
      </c>
      <c r="Q379" s="343" t="s">
        <v>1139</v>
      </c>
      <c r="R379" s="343"/>
      <c r="S379" s="346"/>
      <c r="T379" s="150" t="s">
        <v>152</v>
      </c>
      <c r="U379" s="150" t="s">
        <v>2712</v>
      </c>
      <c r="V379" s="405"/>
      <c r="W379" s="359"/>
      <c r="X379" s="380">
        <v>0</v>
      </c>
      <c r="Y379" s="425"/>
      <c r="Z379" s="71"/>
      <c r="AA379" s="426"/>
      <c r="AB379" s="427"/>
      <c r="AC379" s="427"/>
      <c r="AD379" s="428" t="s">
        <v>1142</v>
      </c>
      <c r="AE379" s="429">
        <v>0</v>
      </c>
      <c r="AF379" s="429">
        <v>0</v>
      </c>
      <c r="AG379" s="363"/>
      <c r="AH379" s="363"/>
      <c r="AI379" s="363"/>
      <c r="AJ379" s="363">
        <f>15000-15000</f>
        <v>0</v>
      </c>
      <c r="AK379" s="363">
        <f>15000-15000</f>
        <v>0</v>
      </c>
      <c r="AL379" s="363">
        <f>15000-15000</f>
        <v>0</v>
      </c>
      <c r="AM379" s="360">
        <f t="shared" si="21"/>
        <v>0</v>
      </c>
      <c r="AN379" s="362">
        <f>ERP_2[[#This Row],[2026 Working Total]]-ERP_2[[#This Row],[LE2 Final Submission]]</f>
        <v>0</v>
      </c>
      <c r="AO379" s="79"/>
      <c r="AP379" s="79">
        <f t="shared" si="16"/>
        <v>0</v>
      </c>
      <c r="AQ379" s="374">
        <f>SUM(ERP_2[[#This Row],[AP01]:[AP06]])-SUM(ERP_2[[#This Row],[AP01 LE2]:[AP06 LE2]])</f>
        <v>0</v>
      </c>
      <c r="AR379" s="80"/>
      <c r="AS379" s="79">
        <f>ERP_2[[#This Row],[2026 Working Total to Budget/LE]]-ERP_2[[#This Row],[Giveback]]</f>
        <v>0</v>
      </c>
      <c r="AT379" s="81"/>
      <c r="AU379" s="375"/>
      <c r="AV379" s="375"/>
      <c r="AW379" s="375"/>
      <c r="AX379" s="375"/>
      <c r="AY379" s="375"/>
      <c r="AZ379" s="375"/>
      <c r="BA379" s="375"/>
      <c r="BB379" s="375"/>
      <c r="BC379" s="375"/>
      <c r="BD379" s="375">
        <v>0</v>
      </c>
      <c r="BE379" s="375">
        <v>0</v>
      </c>
      <c r="BF379" s="375">
        <v>0</v>
      </c>
      <c r="BG379" s="375">
        <v>0</v>
      </c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</row>
    <row r="380" spans="1:72" ht="15" hidden="1" customHeight="1">
      <c r="A380" s="129" t="s">
        <v>2713</v>
      </c>
      <c r="B380" s="129"/>
      <c r="C380" s="129" t="s">
        <v>965</v>
      </c>
      <c r="D380" s="66" t="s">
        <v>965</v>
      </c>
      <c r="E380" s="150" t="s">
        <v>1136</v>
      </c>
      <c r="F380" s="482" t="s">
        <v>1566</v>
      </c>
      <c r="G380" s="383" t="s">
        <v>1480</v>
      </c>
      <c r="H380" s="383" t="s">
        <v>1480</v>
      </c>
      <c r="I380" s="150" t="s">
        <v>1345</v>
      </c>
      <c r="J380" s="150" t="s">
        <v>1480</v>
      </c>
      <c r="K380" s="150" t="s">
        <v>1480</v>
      </c>
      <c r="L380" s="513" t="s">
        <v>639</v>
      </c>
      <c r="M380" s="392" t="s">
        <v>2663</v>
      </c>
      <c r="N380" s="343"/>
      <c r="O380" s="331"/>
      <c r="P380" s="70" t="s">
        <v>939</v>
      </c>
      <c r="Q380" s="343" t="s">
        <v>1139</v>
      </c>
      <c r="R380" s="343"/>
      <c r="S380" s="346"/>
      <c r="T380" s="150" t="s">
        <v>152</v>
      </c>
      <c r="U380" s="150" t="s">
        <v>2714</v>
      </c>
      <c r="V380" s="405"/>
      <c r="W380" s="359"/>
      <c r="X380" s="380">
        <v>0</v>
      </c>
      <c r="Y380" s="430"/>
      <c r="Z380" s="137"/>
      <c r="AA380" s="426"/>
      <c r="AB380" s="427"/>
      <c r="AC380" s="427"/>
      <c r="AD380" s="428" t="s">
        <v>1142</v>
      </c>
      <c r="AE380" s="429">
        <v>0</v>
      </c>
      <c r="AF380" s="429">
        <v>0</v>
      </c>
      <c r="AG380" s="363">
        <f t="shared" ref="AG380:AL380" si="23">22238.42-22238.42</f>
        <v>0</v>
      </c>
      <c r="AH380" s="363">
        <f t="shared" si="23"/>
        <v>0</v>
      </c>
      <c r="AI380" s="363">
        <f t="shared" si="23"/>
        <v>0</v>
      </c>
      <c r="AJ380" s="363">
        <f t="shared" si="23"/>
        <v>0</v>
      </c>
      <c r="AK380" s="363">
        <f t="shared" si="23"/>
        <v>0</v>
      </c>
      <c r="AL380" s="363">
        <f t="shared" si="23"/>
        <v>0</v>
      </c>
      <c r="AM380" s="360">
        <f t="shared" si="21"/>
        <v>0</v>
      </c>
      <c r="AN380" s="362">
        <f>ERP_2[[#This Row],[2026 Working Total]]-ERP_2[[#This Row],[LE2 Final Submission]]</f>
        <v>0</v>
      </c>
      <c r="AO380" s="79"/>
      <c r="AP380" s="79">
        <f t="shared" si="16"/>
        <v>0</v>
      </c>
      <c r="AQ380" s="374">
        <f>SUM(ERP_2[[#This Row],[AP01]:[AP06]])-SUM(ERP_2[[#This Row],[AP01 LE2]:[AP06 LE2]])</f>
        <v>0</v>
      </c>
      <c r="AR380" s="80"/>
      <c r="AS380" s="79">
        <f>ERP_2[[#This Row],[2026 Working Total to Budget/LE]]-ERP_2[[#This Row],[Giveback]]</f>
        <v>0</v>
      </c>
      <c r="AT380" s="81"/>
      <c r="AU380" s="375"/>
      <c r="AV380" s="375"/>
      <c r="AW380" s="375"/>
      <c r="AX380" s="375">
        <v>0</v>
      </c>
      <c r="AY380" s="375">
        <v>0</v>
      </c>
      <c r="AZ380" s="375">
        <v>0</v>
      </c>
      <c r="BA380" s="375">
        <v>0</v>
      </c>
      <c r="BB380" s="375">
        <v>0</v>
      </c>
      <c r="BC380" s="375">
        <v>0</v>
      </c>
      <c r="BD380" s="375">
        <v>0</v>
      </c>
      <c r="BE380" s="375">
        <v>0</v>
      </c>
      <c r="BF380" s="375">
        <v>0</v>
      </c>
      <c r="BG380" s="375">
        <v>0</v>
      </c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</row>
    <row r="381" spans="1:72" ht="15" hidden="1" customHeight="1">
      <c r="A381" s="66" t="s">
        <v>2715</v>
      </c>
      <c r="B381" s="66"/>
      <c r="C381" s="66" t="s">
        <v>966</v>
      </c>
      <c r="D381" s="66" t="s">
        <v>2716</v>
      </c>
      <c r="E381" s="150" t="s">
        <v>1136</v>
      </c>
      <c r="F381" s="482" t="s">
        <v>1566</v>
      </c>
      <c r="G381" s="383" t="s">
        <v>1480</v>
      </c>
      <c r="H381" s="150" t="s">
        <v>1481</v>
      </c>
      <c r="I381" s="150" t="s">
        <v>1345</v>
      </c>
      <c r="J381" s="150" t="s">
        <v>1481</v>
      </c>
      <c r="K381" s="150" t="s">
        <v>1346</v>
      </c>
      <c r="L381" s="511" t="s">
        <v>639</v>
      </c>
      <c r="M381" s="392" t="s">
        <v>1147</v>
      </c>
      <c r="N381" s="343"/>
      <c r="O381" s="343"/>
      <c r="P381" s="70" t="s">
        <v>53</v>
      </c>
      <c r="Q381" s="346" t="s">
        <v>1153</v>
      </c>
      <c r="R381" s="346" t="s">
        <v>1140</v>
      </c>
      <c r="S381" s="346"/>
      <c r="T381" s="150" t="s">
        <v>25</v>
      </c>
      <c r="U381" s="473" t="s">
        <v>1513</v>
      </c>
      <c r="V381" s="403"/>
      <c r="W381" s="406">
        <v>0</v>
      </c>
      <c r="X381" s="406">
        <v>1520</v>
      </c>
      <c r="Y381" s="425"/>
      <c r="Z381" s="71"/>
      <c r="AA381" s="426"/>
      <c r="AB381" s="427">
        <v>1520</v>
      </c>
      <c r="AC381" s="431">
        <v>0</v>
      </c>
      <c r="AD381" s="428">
        <v>0</v>
      </c>
      <c r="AE381" s="429">
        <v>0</v>
      </c>
      <c r="AF381" s="429">
        <v>0</v>
      </c>
      <c r="AG381" s="360">
        <v>0</v>
      </c>
      <c r="AH381" s="360">
        <v>0</v>
      </c>
      <c r="AI381" s="360">
        <v>0</v>
      </c>
      <c r="AJ381" s="360">
        <v>0</v>
      </c>
      <c r="AK381" s="360">
        <v>0</v>
      </c>
      <c r="AL381" s="360">
        <v>0</v>
      </c>
      <c r="AM381" s="360">
        <f t="shared" si="21"/>
        <v>1520</v>
      </c>
      <c r="AN381" s="362">
        <f>ERP_2[[#This Row],[2026 Working Total]]-ERP_2[[#This Row],[LE2 Final Submission]]</f>
        <v>0</v>
      </c>
      <c r="AO381" s="79">
        <v>0</v>
      </c>
      <c r="AP381" s="79">
        <f t="shared" si="16"/>
        <v>0</v>
      </c>
      <c r="AQ381" s="374">
        <f>SUM(ERP_2[[#This Row],[AP01]:[AP06]])-SUM(ERP_2[[#This Row],[AP01 LE2]:[AP06 LE2]])</f>
        <v>0</v>
      </c>
      <c r="AR381" s="80"/>
      <c r="AS381" s="79">
        <f>ERP_2[[#This Row],[2026 Working Total to Budget/LE]]-ERP_2[[#This Row],[Giveback]]</f>
        <v>0</v>
      </c>
      <c r="AT381" s="81"/>
      <c r="AU381" s="375"/>
      <c r="AV381" s="375">
        <v>1520</v>
      </c>
      <c r="AW381" s="375">
        <v>0</v>
      </c>
      <c r="AX381" s="375">
        <v>0</v>
      </c>
      <c r="AY381" s="375">
        <v>0</v>
      </c>
      <c r="AZ381" s="375">
        <v>0</v>
      </c>
      <c r="BA381" s="375">
        <v>0</v>
      </c>
      <c r="BB381" s="375">
        <v>0</v>
      </c>
      <c r="BC381" s="375">
        <v>0</v>
      </c>
      <c r="BD381" s="375">
        <v>0</v>
      </c>
      <c r="BE381" s="375">
        <v>0</v>
      </c>
      <c r="BF381" s="375">
        <v>0</v>
      </c>
      <c r="BG381" s="375">
        <v>1520</v>
      </c>
      <c r="BH381" s="79"/>
      <c r="BI381" s="79">
        <v>1520</v>
      </c>
      <c r="BJ381" s="79">
        <v>0</v>
      </c>
      <c r="BK381" s="79">
        <v>0</v>
      </c>
      <c r="BL381" s="79">
        <v>0</v>
      </c>
      <c r="BM381" s="79">
        <v>0</v>
      </c>
      <c r="BN381" s="79">
        <v>0</v>
      </c>
      <c r="BO381" s="79">
        <v>0</v>
      </c>
      <c r="BP381" s="79">
        <v>0</v>
      </c>
      <c r="BQ381" s="79">
        <v>0</v>
      </c>
      <c r="BR381" s="79">
        <v>0</v>
      </c>
      <c r="BS381" s="79">
        <v>0</v>
      </c>
      <c r="BT381" s="79">
        <v>1520</v>
      </c>
    </row>
    <row r="382" spans="1:72" ht="15" hidden="1" customHeight="1">
      <c r="A382" s="66" t="s">
        <v>2717</v>
      </c>
      <c r="B382" s="66"/>
      <c r="C382" s="66" t="s">
        <v>967</v>
      </c>
      <c r="D382" s="66" t="s">
        <v>967</v>
      </c>
      <c r="E382" s="150" t="s">
        <v>1136</v>
      </c>
      <c r="F382" s="482" t="s">
        <v>1566</v>
      </c>
      <c r="G382" s="383" t="s">
        <v>1480</v>
      </c>
      <c r="H382" s="383" t="s">
        <v>1480</v>
      </c>
      <c r="I382" s="150" t="s">
        <v>1345</v>
      </c>
      <c r="J382" s="150" t="s">
        <v>1480</v>
      </c>
      <c r="K382" s="150" t="s">
        <v>1346</v>
      </c>
      <c r="L382" s="511" t="s">
        <v>639</v>
      </c>
      <c r="M382" s="392" t="s">
        <v>2285</v>
      </c>
      <c r="N382" s="343"/>
      <c r="O382" s="343"/>
      <c r="P382" s="70" t="s">
        <v>676</v>
      </c>
      <c r="Q382" s="346"/>
      <c r="R382" s="346" t="s">
        <v>1140</v>
      </c>
      <c r="S382" s="346"/>
      <c r="T382" s="150" t="s">
        <v>677</v>
      </c>
      <c r="U382" s="150"/>
      <c r="V382" s="403"/>
      <c r="W382" s="406">
        <v>1100</v>
      </c>
      <c r="X382" s="406">
        <v>825</v>
      </c>
      <c r="Y382" s="425"/>
      <c r="Z382" s="71"/>
      <c r="AA382" s="426"/>
      <c r="AB382" s="427"/>
      <c r="AC382" s="427"/>
      <c r="AD382" s="428" t="s">
        <v>1142</v>
      </c>
      <c r="AE382" s="429">
        <v>0</v>
      </c>
      <c r="AF382" s="429">
        <v>0</v>
      </c>
      <c r="AG382" s="360">
        <v>0</v>
      </c>
      <c r="AH382" s="360">
        <v>0</v>
      </c>
      <c r="AI382" s="363">
        <v>275</v>
      </c>
      <c r="AJ382" s="360">
        <v>0</v>
      </c>
      <c r="AK382" s="360">
        <v>0</v>
      </c>
      <c r="AL382" s="363">
        <v>275</v>
      </c>
      <c r="AM382" s="360">
        <f t="shared" si="21"/>
        <v>550</v>
      </c>
      <c r="AN382" s="362">
        <f>ERP_2[[#This Row],[2026 Working Total]]-ERP_2[[#This Row],[LE2 Final Submission]]</f>
        <v>-275</v>
      </c>
      <c r="AO382" s="79"/>
      <c r="AP382" s="79">
        <f t="shared" si="16"/>
        <v>0</v>
      </c>
      <c r="AQ382" s="374">
        <f>SUM(ERP_2[[#This Row],[AP01]:[AP06]])-SUM(ERP_2[[#This Row],[AP01 LE2]:[AP06 LE2]])</f>
        <v>-275</v>
      </c>
      <c r="AR382" s="80"/>
      <c r="AS382" s="79">
        <f>ERP_2[[#This Row],[2026 Working Total to Budget/LE]]-ERP_2[[#This Row],[Giveback]]</f>
        <v>-275</v>
      </c>
      <c r="AT382" s="81"/>
      <c r="AU382" s="375"/>
      <c r="AV382" s="375"/>
      <c r="AW382" s="375"/>
      <c r="AX382" s="375"/>
      <c r="AY382" s="375"/>
      <c r="AZ382" s="375">
        <v>275</v>
      </c>
      <c r="BA382" s="375">
        <v>0</v>
      </c>
      <c r="BB382" s="375">
        <v>0</v>
      </c>
      <c r="BC382" s="375">
        <v>275</v>
      </c>
      <c r="BD382" s="375">
        <v>0</v>
      </c>
      <c r="BE382" s="375">
        <v>0</v>
      </c>
      <c r="BF382" s="375">
        <v>275</v>
      </c>
      <c r="BG382" s="375">
        <v>825</v>
      </c>
      <c r="BH382" s="79"/>
      <c r="BI382" s="79"/>
      <c r="BJ382" s="79"/>
      <c r="BK382" s="79"/>
      <c r="BL382" s="79"/>
      <c r="BM382" s="79">
        <v>275</v>
      </c>
      <c r="BN382" s="79">
        <v>0</v>
      </c>
      <c r="BO382" s="79">
        <v>0</v>
      </c>
      <c r="BP382" s="79">
        <v>275</v>
      </c>
      <c r="BQ382" s="79">
        <v>0</v>
      </c>
      <c r="BR382" s="79">
        <v>0</v>
      </c>
      <c r="BS382" s="79">
        <v>275</v>
      </c>
      <c r="BT382" s="79">
        <v>825</v>
      </c>
    </row>
    <row r="383" spans="1:72" ht="15" hidden="1" customHeight="1">
      <c r="A383" s="66" t="s">
        <v>2718</v>
      </c>
      <c r="B383" s="66"/>
      <c r="C383" s="66" t="s">
        <v>968</v>
      </c>
      <c r="D383" s="66" t="s">
        <v>968</v>
      </c>
      <c r="E383" s="150" t="s">
        <v>1136</v>
      </c>
      <c r="F383" s="482" t="s">
        <v>1566</v>
      </c>
      <c r="G383" s="383" t="s">
        <v>1480</v>
      </c>
      <c r="H383" s="383" t="s">
        <v>1480</v>
      </c>
      <c r="I383" s="150" t="s">
        <v>1345</v>
      </c>
      <c r="J383" s="150" t="s">
        <v>1480</v>
      </c>
      <c r="K383" s="150" t="s">
        <v>1346</v>
      </c>
      <c r="L383" s="511" t="s">
        <v>639</v>
      </c>
      <c r="M383" s="392" t="s">
        <v>2291</v>
      </c>
      <c r="N383" s="343"/>
      <c r="O383" s="343"/>
      <c r="P383" s="70" t="s">
        <v>679</v>
      </c>
      <c r="Q383" s="346"/>
      <c r="R383" s="346" t="s">
        <v>1140</v>
      </c>
      <c r="S383" s="346"/>
      <c r="T383" s="150" t="s">
        <v>680</v>
      </c>
      <c r="U383" s="150"/>
      <c r="V383" s="403"/>
      <c r="W383" s="406">
        <v>370</v>
      </c>
      <c r="X383" s="406">
        <v>370</v>
      </c>
      <c r="Y383" s="425"/>
      <c r="Z383" s="71"/>
      <c r="AA383" s="426"/>
      <c r="AB383" s="427"/>
      <c r="AC383" s="427"/>
      <c r="AD383" s="428" t="s">
        <v>1142</v>
      </c>
      <c r="AE383" s="429">
        <v>0</v>
      </c>
      <c r="AF383" s="429">
        <v>0</v>
      </c>
      <c r="AG383" s="360">
        <v>0</v>
      </c>
      <c r="AH383" s="360">
        <v>0</v>
      </c>
      <c r="AI383" s="360">
        <v>0</v>
      </c>
      <c r="AJ383" s="360">
        <v>0</v>
      </c>
      <c r="AK383" s="360">
        <v>0</v>
      </c>
      <c r="AL383" s="360">
        <v>0</v>
      </c>
      <c r="AM383" s="360">
        <f t="shared" si="21"/>
        <v>0</v>
      </c>
      <c r="AN383" s="362">
        <f>ERP_2[[#This Row],[2026 Working Total]]-ERP_2[[#This Row],[LE2 Final Submission]]</f>
        <v>-370</v>
      </c>
      <c r="AO383" s="79">
        <v>0</v>
      </c>
      <c r="AP383" s="79">
        <f t="shared" si="16"/>
        <v>0</v>
      </c>
      <c r="AQ383" s="374">
        <f>SUM(ERP_2[[#This Row],[AP01]:[AP06]])-SUM(ERP_2[[#This Row],[AP01 LE2]:[AP06 LE2]])</f>
        <v>-370</v>
      </c>
      <c r="AR383" s="80"/>
      <c r="AS383" s="79">
        <f>ERP_2[[#This Row],[2026 Working Total to Budget/LE]]-ERP_2[[#This Row],[Giveback]]</f>
        <v>-370</v>
      </c>
      <c r="AT383" s="81"/>
      <c r="AU383" s="375"/>
      <c r="AV383" s="375"/>
      <c r="AW383" s="375"/>
      <c r="AX383" s="375">
        <v>370</v>
      </c>
      <c r="AY383" s="375">
        <v>0</v>
      </c>
      <c r="AZ383" s="375">
        <v>0</v>
      </c>
      <c r="BA383" s="375">
        <v>0</v>
      </c>
      <c r="BB383" s="375">
        <v>0</v>
      </c>
      <c r="BC383" s="375">
        <v>0</v>
      </c>
      <c r="BD383" s="375">
        <v>0</v>
      </c>
      <c r="BE383" s="375">
        <v>0</v>
      </c>
      <c r="BF383" s="375">
        <v>0</v>
      </c>
      <c r="BG383" s="375">
        <v>370</v>
      </c>
      <c r="BH383" s="79"/>
      <c r="BI383" s="79"/>
      <c r="BJ383" s="79"/>
      <c r="BK383" s="79">
        <v>370</v>
      </c>
      <c r="BL383" s="79">
        <v>0</v>
      </c>
      <c r="BM383" s="79">
        <v>0</v>
      </c>
      <c r="BN383" s="79">
        <v>0</v>
      </c>
      <c r="BO383" s="79">
        <v>0</v>
      </c>
      <c r="BP383" s="79">
        <v>0</v>
      </c>
      <c r="BQ383" s="79">
        <v>0</v>
      </c>
      <c r="BR383" s="79">
        <v>0</v>
      </c>
      <c r="BS383" s="79">
        <v>0</v>
      </c>
      <c r="BT383" s="79">
        <v>370</v>
      </c>
    </row>
    <row r="384" spans="1:72" ht="15" hidden="1" customHeight="1">
      <c r="A384" s="79" t="s">
        <v>2719</v>
      </c>
      <c r="B384" s="79"/>
      <c r="C384" s="79" t="s">
        <v>969</v>
      </c>
      <c r="D384" s="296" t="s">
        <v>969</v>
      </c>
      <c r="E384" s="150" t="s">
        <v>1136</v>
      </c>
      <c r="F384" s="482" t="s">
        <v>1566</v>
      </c>
      <c r="G384" s="383" t="s">
        <v>1480</v>
      </c>
      <c r="H384" s="383" t="s">
        <v>1480</v>
      </c>
      <c r="I384" s="332" t="s">
        <v>1345</v>
      </c>
      <c r="J384" s="383" t="s">
        <v>1480</v>
      </c>
      <c r="K384" s="331" t="s">
        <v>1346</v>
      </c>
      <c r="L384" s="512" t="s">
        <v>639</v>
      </c>
      <c r="M384" s="393" t="s">
        <v>2720</v>
      </c>
      <c r="N384" s="343" t="s">
        <v>2721</v>
      </c>
      <c r="O384" s="150" t="s">
        <v>1493</v>
      </c>
      <c r="P384" s="91" t="s">
        <v>970</v>
      </c>
      <c r="Q384" s="343"/>
      <c r="R384" s="346" t="s">
        <v>2722</v>
      </c>
      <c r="S384" s="346" t="s">
        <v>1710</v>
      </c>
      <c r="T384" s="386" t="s">
        <v>863</v>
      </c>
      <c r="U384" s="346" t="s">
        <v>1348</v>
      </c>
      <c r="V384" s="437"/>
      <c r="W384" s="358">
        <v>26967.21</v>
      </c>
      <c r="X384" s="378">
        <v>0</v>
      </c>
      <c r="Y384" s="430"/>
      <c r="Z384" s="137"/>
      <c r="AA384" s="433"/>
      <c r="AB384" s="434"/>
      <c r="AC384" s="434"/>
      <c r="AD384" s="428">
        <v>0</v>
      </c>
      <c r="AE384" s="429">
        <v>0</v>
      </c>
      <c r="AF384" s="429">
        <v>0</v>
      </c>
      <c r="AG384" s="388">
        <v>0</v>
      </c>
      <c r="AH384" s="388">
        <v>0</v>
      </c>
      <c r="AI384" s="388">
        <v>0</v>
      </c>
      <c r="AJ384" s="388">
        <v>0</v>
      </c>
      <c r="AK384" s="388">
        <v>0</v>
      </c>
      <c r="AL384" s="388">
        <v>0</v>
      </c>
      <c r="AM384" s="360">
        <f t="shared" si="21"/>
        <v>0</v>
      </c>
      <c r="AN384" s="362">
        <f>ERP_2[[#This Row],[2026 Working Total]]-ERP_2[[#This Row],[LE2 Final Submission]]</f>
        <v>0</v>
      </c>
      <c r="AO384" s="79">
        <v>0</v>
      </c>
      <c r="AP384" s="79">
        <f t="shared" si="16"/>
        <v>0</v>
      </c>
      <c r="AQ384" s="374">
        <f>SUM(ERP_2[[#This Row],[AP01]:[AP06]])-SUM(ERP_2[[#This Row],[AP01 LE2]:[AP06 LE2]])</f>
        <v>0</v>
      </c>
      <c r="AR384" s="80"/>
      <c r="AS384" s="79">
        <f>ERP_2[[#This Row],[2026 Working Total to Budget/LE]]-ERP_2[[#This Row],[Giveback]]</f>
        <v>0</v>
      </c>
      <c r="AT384" s="81"/>
      <c r="AU384" s="375"/>
      <c r="AV384" s="375"/>
      <c r="AW384" s="375"/>
      <c r="AX384" s="375">
        <v>0</v>
      </c>
      <c r="AY384" s="375">
        <v>0</v>
      </c>
      <c r="AZ384" s="375">
        <v>0</v>
      </c>
      <c r="BA384" s="375">
        <v>0</v>
      </c>
      <c r="BB384" s="375">
        <v>0</v>
      </c>
      <c r="BC384" s="375">
        <v>0</v>
      </c>
      <c r="BD384" s="375">
        <v>0</v>
      </c>
      <c r="BE384" s="375">
        <v>0</v>
      </c>
      <c r="BF384" s="375">
        <v>0</v>
      </c>
      <c r="BG384" s="375">
        <v>0</v>
      </c>
      <c r="BH384" s="103">
        <v>26967.21</v>
      </c>
      <c r="BI384" s="103">
        <v>0</v>
      </c>
      <c r="BJ384" s="103">
        <v>0</v>
      </c>
      <c r="BK384" s="103">
        <v>0</v>
      </c>
      <c r="BL384" s="103">
        <v>0</v>
      </c>
      <c r="BM384" s="103">
        <v>0</v>
      </c>
      <c r="BN384" s="103">
        <v>0</v>
      </c>
      <c r="BO384" s="103">
        <v>0</v>
      </c>
      <c r="BP384" s="103">
        <v>0</v>
      </c>
      <c r="BQ384" s="103">
        <v>0</v>
      </c>
      <c r="BR384" s="103">
        <v>0</v>
      </c>
      <c r="BS384" s="103">
        <v>0</v>
      </c>
      <c r="BT384" s="79">
        <f>SUM(ERP_2[[#This Row],[2026 AP01]:[2026 AP12]])</f>
        <v>26967.21</v>
      </c>
    </row>
    <row r="385" spans="1:72" ht="15" hidden="1" customHeight="1">
      <c r="A385" s="79" t="s">
        <v>2723</v>
      </c>
      <c r="B385" s="79"/>
      <c r="C385" s="79" t="s">
        <v>971</v>
      </c>
      <c r="D385" s="296" t="s">
        <v>971</v>
      </c>
      <c r="E385" s="150" t="s">
        <v>1136</v>
      </c>
      <c r="F385" s="482" t="s">
        <v>1566</v>
      </c>
      <c r="G385" s="383" t="s">
        <v>1480</v>
      </c>
      <c r="H385" s="383" t="s">
        <v>1480</v>
      </c>
      <c r="I385" s="332" t="s">
        <v>1345</v>
      </c>
      <c r="J385" s="383" t="s">
        <v>1480</v>
      </c>
      <c r="K385" s="331" t="s">
        <v>1346</v>
      </c>
      <c r="L385" s="512" t="s">
        <v>639</v>
      </c>
      <c r="M385" s="393" t="s">
        <v>2724</v>
      </c>
      <c r="N385" s="343" t="s">
        <v>2721</v>
      </c>
      <c r="O385" s="150" t="s">
        <v>1493</v>
      </c>
      <c r="P385" s="91" t="s">
        <v>972</v>
      </c>
      <c r="Q385" s="343"/>
      <c r="R385" s="346" t="s">
        <v>2722</v>
      </c>
      <c r="S385" s="346" t="s">
        <v>1710</v>
      </c>
      <c r="T385" s="386" t="s">
        <v>863</v>
      </c>
      <c r="U385" s="346" t="s">
        <v>1348</v>
      </c>
      <c r="V385" s="437"/>
      <c r="W385" s="358">
        <v>-26967.21</v>
      </c>
      <c r="X385" s="378">
        <v>0</v>
      </c>
      <c r="Y385" s="425"/>
      <c r="Z385" s="71"/>
      <c r="AA385" s="433"/>
      <c r="AB385" s="434"/>
      <c r="AC385" s="434"/>
      <c r="AD385" s="428" t="s">
        <v>1142</v>
      </c>
      <c r="AE385" s="429">
        <v>0</v>
      </c>
      <c r="AF385" s="429">
        <v>0</v>
      </c>
      <c r="AG385" s="388">
        <v>0</v>
      </c>
      <c r="AH385" s="388">
        <v>0</v>
      </c>
      <c r="AI385" s="388">
        <v>0</v>
      </c>
      <c r="AJ385" s="388">
        <v>0</v>
      </c>
      <c r="AK385" s="388">
        <v>0</v>
      </c>
      <c r="AL385" s="388">
        <v>0</v>
      </c>
      <c r="AM385" s="360">
        <f t="shared" si="21"/>
        <v>0</v>
      </c>
      <c r="AN385" s="362">
        <f>ERP_2[[#This Row],[2026 Working Total]]-ERP_2[[#This Row],[LE2 Final Submission]]</f>
        <v>0</v>
      </c>
      <c r="AO385" s="79">
        <v>0</v>
      </c>
      <c r="AP385" s="79">
        <f t="shared" si="16"/>
        <v>0</v>
      </c>
      <c r="AQ385" s="374">
        <f>SUM(ERP_2[[#This Row],[AP01]:[AP06]])-SUM(ERP_2[[#This Row],[AP01 LE2]:[AP06 LE2]])</f>
        <v>0</v>
      </c>
      <c r="AR385" s="80"/>
      <c r="AS385" s="79">
        <f>ERP_2[[#This Row],[2026 Working Total to Budget/LE]]-ERP_2[[#This Row],[Giveback]]</f>
        <v>0</v>
      </c>
      <c r="AT385" s="81"/>
      <c r="AU385" s="375"/>
      <c r="AV385" s="375"/>
      <c r="AW385" s="375"/>
      <c r="AX385" s="375">
        <v>0</v>
      </c>
      <c r="AY385" s="375">
        <v>0</v>
      </c>
      <c r="AZ385" s="375">
        <v>0</v>
      </c>
      <c r="BA385" s="375">
        <v>0</v>
      </c>
      <c r="BB385" s="375">
        <v>0</v>
      </c>
      <c r="BC385" s="375">
        <v>0</v>
      </c>
      <c r="BD385" s="375">
        <v>0</v>
      </c>
      <c r="BE385" s="375">
        <v>0</v>
      </c>
      <c r="BF385" s="375">
        <v>0</v>
      </c>
      <c r="BG385" s="375">
        <v>0</v>
      </c>
      <c r="BH385" s="103">
        <v>-26967.21</v>
      </c>
      <c r="BI385" s="103">
        <v>0</v>
      </c>
      <c r="BJ385" s="103">
        <v>0</v>
      </c>
      <c r="BK385" s="103">
        <v>0</v>
      </c>
      <c r="BL385" s="103">
        <v>0</v>
      </c>
      <c r="BM385" s="103">
        <v>0</v>
      </c>
      <c r="BN385" s="103">
        <v>0</v>
      </c>
      <c r="BO385" s="103">
        <v>0</v>
      </c>
      <c r="BP385" s="103">
        <v>0</v>
      </c>
      <c r="BQ385" s="103">
        <v>0</v>
      </c>
      <c r="BR385" s="103">
        <v>0</v>
      </c>
      <c r="BS385" s="103">
        <v>0</v>
      </c>
      <c r="BT385" s="79">
        <f>SUM(ERP_2[[#This Row],[2026 AP01]:[2026 AP12]])</f>
        <v>-26967.21</v>
      </c>
    </row>
    <row r="386" spans="1:72" ht="15" hidden="1" customHeight="1">
      <c r="A386" s="66" t="s">
        <v>2728</v>
      </c>
      <c r="B386" s="66"/>
      <c r="C386" s="66" t="s">
        <v>974</v>
      </c>
      <c r="D386" s="66" t="s">
        <v>2729</v>
      </c>
      <c r="E386" s="150" t="s">
        <v>1136</v>
      </c>
      <c r="F386" s="482" t="s">
        <v>1566</v>
      </c>
      <c r="G386" s="383" t="s">
        <v>1480</v>
      </c>
      <c r="H386" s="150" t="s">
        <v>1481</v>
      </c>
      <c r="I386" s="150" t="s">
        <v>1345</v>
      </c>
      <c r="J386" s="150" t="s">
        <v>1481</v>
      </c>
      <c r="K386" s="150" t="s">
        <v>1346</v>
      </c>
      <c r="L386" s="511" t="s">
        <v>639</v>
      </c>
      <c r="M386" s="392" t="s">
        <v>1504</v>
      </c>
      <c r="N386" s="343"/>
      <c r="O386" s="343"/>
      <c r="P386" s="70" t="s">
        <v>234</v>
      </c>
      <c r="Q386" s="346"/>
      <c r="R386" s="343"/>
      <c r="S386" s="346"/>
      <c r="T386" s="150" t="s">
        <v>25</v>
      </c>
      <c r="U386" s="150" t="s">
        <v>1483</v>
      </c>
      <c r="V386" s="403"/>
      <c r="W386" s="406">
        <v>353631</v>
      </c>
      <c r="X386" s="406">
        <v>353631</v>
      </c>
      <c r="Y386" s="425"/>
      <c r="Z386" s="71"/>
      <c r="AA386" s="426"/>
      <c r="AB386" s="427"/>
      <c r="AC386" s="427">
        <v>304987.09999999998</v>
      </c>
      <c r="AD386" s="428">
        <v>0</v>
      </c>
      <c r="AE386" s="429">
        <v>0</v>
      </c>
      <c r="AF386" s="429">
        <v>0</v>
      </c>
      <c r="AG386" s="360">
        <v>0</v>
      </c>
      <c r="AH386" s="360">
        <v>0</v>
      </c>
      <c r="AI386" s="363">
        <v>48643.9</v>
      </c>
      <c r="AJ386" s="360">
        <v>0</v>
      </c>
      <c r="AK386" s="360">
        <v>0</v>
      </c>
      <c r="AL386" s="360">
        <v>0</v>
      </c>
      <c r="AM386" s="360">
        <f t="shared" si="21"/>
        <v>353631</v>
      </c>
      <c r="AN386" s="362">
        <f>ERP_2[[#This Row],[2026 Working Total]]-ERP_2[[#This Row],[LE2 Final Submission]]</f>
        <v>0</v>
      </c>
      <c r="AO386" s="79">
        <v>0</v>
      </c>
      <c r="AP386" s="79">
        <f t="shared" si="16"/>
        <v>0</v>
      </c>
      <c r="AQ386" s="374">
        <f>SUM(ERP_2[[#This Row],[AP01]:[AP06]])-SUM(ERP_2[[#This Row],[AP01 LE2]:[AP06 LE2]])</f>
        <v>0</v>
      </c>
      <c r="AR386" s="80"/>
      <c r="AS386" s="79">
        <f>ERP_2[[#This Row],[2026 Working Total to Budget/LE]]-ERP_2[[#This Row],[Giveback]]</f>
        <v>0</v>
      </c>
      <c r="AT386" s="81"/>
      <c r="AU386" s="375"/>
      <c r="AV386" s="375"/>
      <c r="AW386" s="375">
        <v>304987.09999999998</v>
      </c>
      <c r="AX386" s="375">
        <v>0</v>
      </c>
      <c r="AY386" s="375">
        <v>0</v>
      </c>
      <c r="AZ386" s="375">
        <v>0</v>
      </c>
      <c r="BA386" s="375">
        <v>0</v>
      </c>
      <c r="BB386" s="375">
        <v>0</v>
      </c>
      <c r="BC386" s="375">
        <v>48643.9</v>
      </c>
      <c r="BD386" s="375">
        <v>0</v>
      </c>
      <c r="BE386" s="375">
        <v>0</v>
      </c>
      <c r="BF386" s="375">
        <v>0</v>
      </c>
      <c r="BG386" s="375">
        <v>353631</v>
      </c>
      <c r="BH386" s="79"/>
      <c r="BI386" s="79"/>
      <c r="BJ386" s="79">
        <v>304987.09999999998</v>
      </c>
      <c r="BK386" s="79">
        <v>0</v>
      </c>
      <c r="BL386" s="79">
        <v>0</v>
      </c>
      <c r="BM386" s="79">
        <v>0</v>
      </c>
      <c r="BN386" s="79">
        <v>24321.95</v>
      </c>
      <c r="BO386" s="79">
        <v>24321.95</v>
      </c>
      <c r="BP386" s="79">
        <v>0</v>
      </c>
      <c r="BQ386" s="79">
        <v>0</v>
      </c>
      <c r="BR386" s="79">
        <v>0</v>
      </c>
      <c r="BS386" s="79">
        <v>0</v>
      </c>
      <c r="BT386" s="79">
        <v>353631</v>
      </c>
    </row>
    <row r="387" spans="1:72" ht="15" hidden="1" customHeight="1">
      <c r="A387" s="66" t="s">
        <v>2730</v>
      </c>
      <c r="B387" s="66"/>
      <c r="C387" s="66" t="s">
        <v>975</v>
      </c>
      <c r="D387" s="66" t="s">
        <v>2731</v>
      </c>
      <c r="E387" s="150" t="s">
        <v>1136</v>
      </c>
      <c r="F387" s="482" t="s">
        <v>1566</v>
      </c>
      <c r="G387" s="383" t="s">
        <v>1480</v>
      </c>
      <c r="H387" s="150" t="s">
        <v>1481</v>
      </c>
      <c r="I387" s="150" t="s">
        <v>1345</v>
      </c>
      <c r="J387" s="150" t="s">
        <v>1481</v>
      </c>
      <c r="K387" s="150" t="s">
        <v>1346</v>
      </c>
      <c r="L387" s="511" t="s">
        <v>639</v>
      </c>
      <c r="M387" s="392" t="s">
        <v>1508</v>
      </c>
      <c r="N387" s="343"/>
      <c r="O387" s="343"/>
      <c r="P387" s="70" t="s">
        <v>236</v>
      </c>
      <c r="Q387" s="346"/>
      <c r="R387" s="343"/>
      <c r="S387" s="346"/>
      <c r="T387" s="150" t="s">
        <v>25</v>
      </c>
      <c r="U387" s="150" t="s">
        <v>1483</v>
      </c>
      <c r="V387" s="403"/>
      <c r="W387" s="406">
        <v>434000</v>
      </c>
      <c r="X387" s="406">
        <v>434000</v>
      </c>
      <c r="Y387" s="425"/>
      <c r="Z387" s="71"/>
      <c r="AA387" s="426"/>
      <c r="AB387" s="427"/>
      <c r="AC387" s="427">
        <v>331000</v>
      </c>
      <c r="AD387" s="428">
        <v>0</v>
      </c>
      <c r="AE387" s="429">
        <v>0</v>
      </c>
      <c r="AF387" s="429">
        <v>0</v>
      </c>
      <c r="AG387" s="360">
        <v>0</v>
      </c>
      <c r="AH387" s="360">
        <v>0</v>
      </c>
      <c r="AI387" s="360">
        <v>0</v>
      </c>
      <c r="AJ387" s="360">
        <v>22000</v>
      </c>
      <c r="AK387" s="360">
        <v>0</v>
      </c>
      <c r="AL387" s="360">
        <v>0</v>
      </c>
      <c r="AM387" s="360">
        <f t="shared" si="21"/>
        <v>353000</v>
      </c>
      <c r="AN387" s="362">
        <f>ERP_2[[#This Row],[2026 Working Total]]-ERP_2[[#This Row],[LE2 Final Submission]]</f>
        <v>-81000</v>
      </c>
      <c r="AO387" s="79">
        <v>0</v>
      </c>
      <c r="AP387" s="79">
        <f t="shared" si="16"/>
        <v>0</v>
      </c>
      <c r="AQ387" s="374">
        <f>SUM(ERP_2[[#This Row],[AP01]:[AP06]])-SUM(ERP_2[[#This Row],[AP01 LE2]:[AP06 LE2]])</f>
        <v>-81000</v>
      </c>
      <c r="AR387" s="80"/>
      <c r="AS387" s="79">
        <f>ERP_2[[#This Row],[2026 Working Total to Budget/LE]]-ERP_2[[#This Row],[Giveback]]</f>
        <v>-81000</v>
      </c>
      <c r="AT387" s="81"/>
      <c r="AU387" s="375"/>
      <c r="AV387" s="375"/>
      <c r="AW387" s="375">
        <v>331000</v>
      </c>
      <c r="AX387" s="375">
        <v>0</v>
      </c>
      <c r="AY387" s="375">
        <v>0</v>
      </c>
      <c r="AZ387" s="375">
        <v>81000</v>
      </c>
      <c r="BA387" s="375">
        <v>0</v>
      </c>
      <c r="BB387" s="375">
        <v>0</v>
      </c>
      <c r="BC387" s="375">
        <v>0</v>
      </c>
      <c r="BD387" s="375">
        <v>22000</v>
      </c>
      <c r="BE387" s="375">
        <v>0</v>
      </c>
      <c r="BF387" s="375">
        <v>0</v>
      </c>
      <c r="BG387" s="375">
        <v>434000</v>
      </c>
      <c r="BH387" s="79"/>
      <c r="BI387" s="79"/>
      <c r="BJ387" s="79">
        <v>331000</v>
      </c>
      <c r="BK387" s="79">
        <v>0</v>
      </c>
      <c r="BL387" s="79">
        <v>0</v>
      </c>
      <c r="BM387" s="79">
        <v>0</v>
      </c>
      <c r="BN387" s="79">
        <v>0</v>
      </c>
      <c r="BO387" s="79">
        <v>103000</v>
      </c>
      <c r="BP387" s="79">
        <v>0</v>
      </c>
      <c r="BQ387" s="79">
        <v>0</v>
      </c>
      <c r="BR387" s="79">
        <v>0</v>
      </c>
      <c r="BS387" s="79">
        <v>0</v>
      </c>
      <c r="BT387" s="79">
        <v>434000</v>
      </c>
    </row>
    <row r="388" spans="1:72" ht="15" hidden="1" customHeight="1">
      <c r="A388" s="66" t="s">
        <v>2732</v>
      </c>
      <c r="B388" s="66"/>
      <c r="C388" s="66" t="s">
        <v>976</v>
      </c>
      <c r="D388" s="66" t="s">
        <v>2733</v>
      </c>
      <c r="E388" s="150" t="s">
        <v>1136</v>
      </c>
      <c r="F388" s="482" t="s">
        <v>1566</v>
      </c>
      <c r="G388" s="383" t="s">
        <v>1480</v>
      </c>
      <c r="H388" s="150" t="s">
        <v>1481</v>
      </c>
      <c r="I388" s="150" t="s">
        <v>1345</v>
      </c>
      <c r="J388" s="150" t="s">
        <v>1481</v>
      </c>
      <c r="K388" s="150" t="s">
        <v>1346</v>
      </c>
      <c r="L388" s="511" t="s">
        <v>639</v>
      </c>
      <c r="M388" s="392" t="s">
        <v>2734</v>
      </c>
      <c r="N388" s="343"/>
      <c r="O388" s="343"/>
      <c r="P388" s="70" t="s">
        <v>977</v>
      </c>
      <c r="Q388" s="346"/>
      <c r="R388" s="343"/>
      <c r="S388" s="346"/>
      <c r="T388" s="150" t="s">
        <v>25</v>
      </c>
      <c r="U388" s="150" t="s">
        <v>2914</v>
      </c>
      <c r="V388" s="403"/>
      <c r="W388" s="406">
        <v>15096</v>
      </c>
      <c r="X388" s="406">
        <v>0</v>
      </c>
      <c r="Y388" s="425"/>
      <c r="Z388" s="71"/>
      <c r="AA388" s="426"/>
      <c r="AB388" s="427"/>
      <c r="AC388" s="427"/>
      <c r="AD388" s="428" t="s">
        <v>1142</v>
      </c>
      <c r="AE388" s="429">
        <v>0</v>
      </c>
      <c r="AF388" s="429">
        <v>0</v>
      </c>
      <c r="AG388" s="360">
        <v>0</v>
      </c>
      <c r="AH388" s="360">
        <v>0</v>
      </c>
      <c r="AI388" s="360">
        <v>0</v>
      </c>
      <c r="AJ388" s="360">
        <v>0</v>
      </c>
      <c r="AK388" s="360">
        <v>0</v>
      </c>
      <c r="AL388" s="360">
        <v>0</v>
      </c>
      <c r="AM388" s="360">
        <f t="shared" si="21"/>
        <v>0</v>
      </c>
      <c r="AN388" s="362">
        <f>ERP_2[[#This Row],[2026 Working Total]]-ERP_2[[#This Row],[LE2 Final Submission]]</f>
        <v>0</v>
      </c>
      <c r="AO388" s="79">
        <v>0</v>
      </c>
      <c r="AP388" s="79">
        <f t="shared" si="16"/>
        <v>0</v>
      </c>
      <c r="AQ388" s="374">
        <f>SUM(ERP_2[[#This Row],[AP01]:[AP06]])-SUM(ERP_2[[#This Row],[AP01 LE2]:[AP06 LE2]])</f>
        <v>0</v>
      </c>
      <c r="AR388" s="80"/>
      <c r="AS388" s="79">
        <f>ERP_2[[#This Row],[2026 Working Total to Budget/LE]]-ERP_2[[#This Row],[Giveback]]</f>
        <v>0</v>
      </c>
      <c r="AT388" s="81"/>
      <c r="AU388" s="375"/>
      <c r="AV388" s="375"/>
      <c r="AW388" s="375"/>
      <c r="AX388" s="375">
        <v>0</v>
      </c>
      <c r="AY388" s="375">
        <v>0</v>
      </c>
      <c r="AZ388" s="375">
        <v>0</v>
      </c>
      <c r="BA388" s="375">
        <v>0</v>
      </c>
      <c r="BB388" s="375">
        <v>0</v>
      </c>
      <c r="BC388" s="375">
        <v>0</v>
      </c>
      <c r="BD388" s="375">
        <v>0</v>
      </c>
      <c r="BE388" s="375">
        <v>0</v>
      </c>
      <c r="BF388" s="375">
        <v>0</v>
      </c>
      <c r="BG388" s="375">
        <v>0</v>
      </c>
      <c r="BH388" s="79"/>
      <c r="BI388" s="79"/>
      <c r="BJ388" s="79"/>
      <c r="BK388" s="79"/>
      <c r="BL388" s="79"/>
      <c r="BM388" s="79">
        <v>15096</v>
      </c>
      <c r="BN388" s="79">
        <v>0</v>
      </c>
      <c r="BO388" s="79">
        <v>0</v>
      </c>
      <c r="BP388" s="79">
        <v>0</v>
      </c>
      <c r="BQ388" s="79">
        <v>0</v>
      </c>
      <c r="BR388" s="79">
        <v>0</v>
      </c>
      <c r="BS388" s="79">
        <v>0</v>
      </c>
      <c r="BT388" s="79">
        <v>15096</v>
      </c>
    </row>
    <row r="389" spans="1:72" ht="15" hidden="1" customHeight="1">
      <c r="A389" s="79" t="s">
        <v>2736</v>
      </c>
      <c r="B389" s="79"/>
      <c r="C389" s="79" t="s">
        <v>978</v>
      </c>
      <c r="D389" s="296" t="s">
        <v>2737</v>
      </c>
      <c r="E389" s="150" t="s">
        <v>1136</v>
      </c>
      <c r="F389" s="482" t="s">
        <v>1566</v>
      </c>
      <c r="G389" s="383" t="s">
        <v>1480</v>
      </c>
      <c r="H389" s="382" t="s">
        <v>1481</v>
      </c>
      <c r="I389" s="332" t="s">
        <v>1345</v>
      </c>
      <c r="J389" s="382" t="s">
        <v>1481</v>
      </c>
      <c r="K389" s="333" t="s">
        <v>1346</v>
      </c>
      <c r="L389" s="512" t="s">
        <v>639</v>
      </c>
      <c r="M389" s="394" t="s">
        <v>1486</v>
      </c>
      <c r="N389" s="343"/>
      <c r="O389" s="333"/>
      <c r="P389" s="122" t="s">
        <v>979</v>
      </c>
      <c r="Q389" s="347"/>
      <c r="R389" s="343"/>
      <c r="S389" s="348"/>
      <c r="T389" s="384" t="s">
        <v>25</v>
      </c>
      <c r="U389" s="387" t="s">
        <v>2738</v>
      </c>
      <c r="V389" s="432"/>
      <c r="W389" s="358">
        <v>120000</v>
      </c>
      <c r="X389" s="378">
        <v>0</v>
      </c>
      <c r="Y389" s="425"/>
      <c r="Z389" s="71"/>
      <c r="AA389" s="433">
        <v>0</v>
      </c>
      <c r="AB389" s="434">
        <v>0</v>
      </c>
      <c r="AC389" s="434">
        <v>0</v>
      </c>
      <c r="AD389" s="428" t="s">
        <v>1142</v>
      </c>
      <c r="AE389" s="429">
        <v>0</v>
      </c>
      <c r="AF389" s="429">
        <v>0</v>
      </c>
      <c r="AG389" s="388">
        <f t="shared" ref="AG389:AL389" si="24">20000-20000</f>
        <v>0</v>
      </c>
      <c r="AH389" s="388">
        <f t="shared" si="24"/>
        <v>0</v>
      </c>
      <c r="AI389" s="388">
        <f t="shared" si="24"/>
        <v>0</v>
      </c>
      <c r="AJ389" s="388">
        <f t="shared" si="24"/>
        <v>0</v>
      </c>
      <c r="AK389" s="388">
        <f t="shared" si="24"/>
        <v>0</v>
      </c>
      <c r="AL389" s="388">
        <f t="shared" si="24"/>
        <v>0</v>
      </c>
      <c r="AM389" s="360">
        <f t="shared" si="21"/>
        <v>0</v>
      </c>
      <c r="AN389" s="362">
        <f>ERP_2[[#This Row],[2026 Working Total]]-ERP_2[[#This Row],[LE2 Final Submission]]</f>
        <v>0</v>
      </c>
      <c r="AO389" s="79">
        <v>0</v>
      </c>
      <c r="AP389" s="79">
        <f t="shared" si="16"/>
        <v>0</v>
      </c>
      <c r="AQ389" s="374">
        <f>SUM(ERP_2[[#This Row],[AP01]:[AP06]])-SUM(ERP_2[[#This Row],[AP01 LE2]:[AP06 LE2]])</f>
        <v>0</v>
      </c>
      <c r="AR389" s="80"/>
      <c r="AS389" s="79">
        <f>ERP_2[[#This Row],[2026 Working Total to Budget/LE]]-ERP_2[[#This Row],[Giveback]]</f>
        <v>0</v>
      </c>
      <c r="AT389" s="81" t="s">
        <v>2739</v>
      </c>
      <c r="AU389" s="375">
        <v>0</v>
      </c>
      <c r="AV389" s="375">
        <v>0</v>
      </c>
      <c r="AW389" s="375">
        <v>0</v>
      </c>
      <c r="AX389" s="375">
        <v>0</v>
      </c>
      <c r="AY389" s="375">
        <v>0</v>
      </c>
      <c r="AZ389" s="375">
        <v>0</v>
      </c>
      <c r="BA389" s="375">
        <v>0</v>
      </c>
      <c r="BB389" s="375">
        <v>0</v>
      </c>
      <c r="BC389" s="375">
        <v>0</v>
      </c>
      <c r="BD389" s="375">
        <v>0</v>
      </c>
      <c r="BE389" s="375">
        <v>0</v>
      </c>
      <c r="BF389" s="375">
        <v>0</v>
      </c>
      <c r="BG389" s="375">
        <v>0</v>
      </c>
      <c r="BH389" s="103">
        <v>0</v>
      </c>
      <c r="BI389" s="103">
        <v>0</v>
      </c>
      <c r="BJ389" s="103">
        <v>0</v>
      </c>
      <c r="BK389" s="103">
        <v>0</v>
      </c>
      <c r="BL389" s="103">
        <v>0</v>
      </c>
      <c r="BM389" s="103">
        <v>0</v>
      </c>
      <c r="BN389" s="103">
        <v>20000</v>
      </c>
      <c r="BO389" s="103">
        <v>20000</v>
      </c>
      <c r="BP389" s="103">
        <v>20000</v>
      </c>
      <c r="BQ389" s="103">
        <v>20000</v>
      </c>
      <c r="BR389" s="103">
        <v>20000</v>
      </c>
      <c r="BS389" s="103">
        <v>20000</v>
      </c>
      <c r="BT389" s="79">
        <f>SUM(ERP_2[[#This Row],[2026 AP01]:[2026 AP12]])</f>
        <v>120000</v>
      </c>
    </row>
    <row r="390" spans="1:72" ht="15" hidden="1" customHeight="1">
      <c r="A390" s="79" t="s">
        <v>1514</v>
      </c>
      <c r="B390" s="79"/>
      <c r="C390" s="79" t="s">
        <v>238</v>
      </c>
      <c r="D390" s="296" t="s">
        <v>238</v>
      </c>
      <c r="E390" s="150" t="s">
        <v>1136</v>
      </c>
      <c r="F390" s="482" t="s">
        <v>1566</v>
      </c>
      <c r="G390" s="383" t="s">
        <v>1515</v>
      </c>
      <c r="H390" s="383" t="s">
        <v>1515</v>
      </c>
      <c r="I390" s="332" t="s">
        <v>1345</v>
      </c>
      <c r="J390" s="383" t="s">
        <v>1515</v>
      </c>
      <c r="K390" s="331" t="s">
        <v>1346</v>
      </c>
      <c r="L390" s="512" t="s">
        <v>49</v>
      </c>
      <c r="M390" s="393" t="s">
        <v>1516</v>
      </c>
      <c r="N390" s="343"/>
      <c r="O390" s="331"/>
      <c r="P390" s="91" t="s">
        <v>239</v>
      </c>
      <c r="Q390" s="343"/>
      <c r="R390" s="343"/>
      <c r="S390" s="348"/>
      <c r="T390" s="386" t="s">
        <v>152</v>
      </c>
      <c r="U390" s="389" t="s">
        <v>1517</v>
      </c>
      <c r="V390" s="432"/>
      <c r="W390" s="358">
        <v>200000</v>
      </c>
      <c r="X390" s="378">
        <v>0</v>
      </c>
      <c r="Y390" s="425"/>
      <c r="Z390" s="71"/>
      <c r="AA390" s="433"/>
      <c r="AB390" s="434"/>
      <c r="AC390" s="434"/>
      <c r="AD390" s="428" t="s">
        <v>1142</v>
      </c>
      <c r="AE390" s="429">
        <v>0</v>
      </c>
      <c r="AF390" s="429">
        <v>0</v>
      </c>
      <c r="AG390" s="388">
        <v>0</v>
      </c>
      <c r="AH390" s="388">
        <v>0</v>
      </c>
      <c r="AI390" s="388">
        <v>0</v>
      </c>
      <c r="AJ390" s="388">
        <v>0</v>
      </c>
      <c r="AK390" s="388">
        <v>0</v>
      </c>
      <c r="AL390" s="388">
        <v>0</v>
      </c>
      <c r="AM390" s="360">
        <f t="shared" si="21"/>
        <v>0</v>
      </c>
      <c r="AN390" s="362">
        <f>ERP_2[[#This Row],[2026 Working Total]]-ERP_2[[#This Row],[LE2 Final Submission]]</f>
        <v>0</v>
      </c>
      <c r="AO390" s="79">
        <v>0</v>
      </c>
      <c r="AP390" s="79">
        <f t="shared" si="16"/>
        <v>0</v>
      </c>
      <c r="AQ390" s="374">
        <f>SUM(ERP_2[[#This Row],[AP01]:[AP06]])-SUM(ERP_2[[#This Row],[AP01 LE2]:[AP06 LE2]])</f>
        <v>0</v>
      </c>
      <c r="AR390" s="80"/>
      <c r="AS390" s="79">
        <f>ERP_2[[#This Row],[2026 Working Total to Budget/LE]]-ERP_2[[#This Row],[Giveback]]</f>
        <v>0</v>
      </c>
      <c r="AT390" s="119" t="s">
        <v>1518</v>
      </c>
      <c r="AU390" s="377"/>
      <c r="AV390" s="377"/>
      <c r="AW390" s="377"/>
      <c r="AX390" s="377">
        <v>0</v>
      </c>
      <c r="AY390" s="377">
        <v>0</v>
      </c>
      <c r="AZ390" s="377">
        <v>0</v>
      </c>
      <c r="BA390" s="377">
        <v>0</v>
      </c>
      <c r="BB390" s="377">
        <v>0</v>
      </c>
      <c r="BC390" s="377">
        <v>0</v>
      </c>
      <c r="BD390" s="377">
        <v>0</v>
      </c>
      <c r="BE390" s="377">
        <v>0</v>
      </c>
      <c r="BF390" s="377">
        <v>0</v>
      </c>
      <c r="BG390" s="377">
        <v>0</v>
      </c>
      <c r="BH390" s="103">
        <v>16667</v>
      </c>
      <c r="BI390" s="103">
        <v>16667</v>
      </c>
      <c r="BJ390" s="103">
        <v>16667</v>
      </c>
      <c r="BK390" s="103">
        <v>16667</v>
      </c>
      <c r="BL390" s="103">
        <v>16667</v>
      </c>
      <c r="BM390" s="103">
        <v>16667</v>
      </c>
      <c r="BN390" s="103">
        <v>16667</v>
      </c>
      <c r="BO390" s="103">
        <v>16667</v>
      </c>
      <c r="BP390" s="103">
        <v>16666</v>
      </c>
      <c r="BQ390" s="103">
        <v>16666</v>
      </c>
      <c r="BR390" s="103">
        <v>16666</v>
      </c>
      <c r="BS390" s="103">
        <v>16666</v>
      </c>
      <c r="BT390" s="79">
        <f>SUM(ERP_2[[#This Row],[2026 AP01]:[2026 AP12]])</f>
        <v>200000</v>
      </c>
    </row>
    <row r="391" spans="1:72" ht="15" hidden="1" customHeight="1">
      <c r="A391" s="66" t="s">
        <v>1519</v>
      </c>
      <c r="B391" s="66"/>
      <c r="C391" s="66" t="s">
        <v>240</v>
      </c>
      <c r="D391" s="66" t="s">
        <v>240</v>
      </c>
      <c r="E391" s="150" t="s">
        <v>1136</v>
      </c>
      <c r="F391" s="482" t="s">
        <v>1566</v>
      </c>
      <c r="G391" s="150" t="s">
        <v>1515</v>
      </c>
      <c r="H391" s="383" t="s">
        <v>1515</v>
      </c>
      <c r="I391" s="150" t="s">
        <v>1345</v>
      </c>
      <c r="J391" s="150" t="s">
        <v>1515</v>
      </c>
      <c r="K391" s="150" t="s">
        <v>1346</v>
      </c>
      <c r="L391" s="511" t="s">
        <v>49</v>
      </c>
      <c r="M391" s="392" t="s">
        <v>1520</v>
      </c>
      <c r="N391" s="343"/>
      <c r="O391" s="343"/>
      <c r="P391" s="70" t="s">
        <v>241</v>
      </c>
      <c r="Q391" s="346"/>
      <c r="R391" s="343"/>
      <c r="S391" s="346"/>
      <c r="T391" s="150" t="s">
        <v>152</v>
      </c>
      <c r="U391" s="150" t="s">
        <v>1521</v>
      </c>
      <c r="V391" s="403"/>
      <c r="W391" s="406">
        <v>150000</v>
      </c>
      <c r="X391" s="406">
        <v>0</v>
      </c>
      <c r="Y391" s="425"/>
      <c r="Z391" s="71"/>
      <c r="AA391" s="426"/>
      <c r="AB391" s="427"/>
      <c r="AC391" s="427"/>
      <c r="AD391" s="428" t="s">
        <v>1142</v>
      </c>
      <c r="AE391" s="429">
        <v>0</v>
      </c>
      <c r="AF391" s="429">
        <v>0</v>
      </c>
      <c r="AG391" s="363">
        <v>0</v>
      </c>
      <c r="AH391" s="363">
        <v>0</v>
      </c>
      <c r="AI391" s="363">
        <v>0</v>
      </c>
      <c r="AJ391" s="363">
        <v>0</v>
      </c>
      <c r="AK391" s="363">
        <v>0</v>
      </c>
      <c r="AL391" s="363">
        <v>0</v>
      </c>
      <c r="AM391" s="360">
        <f t="shared" si="21"/>
        <v>0</v>
      </c>
      <c r="AN391" s="362">
        <f>ERP_2[[#This Row],[2026 Working Total]]-ERP_2[[#This Row],[LE2 Final Submission]]</f>
        <v>0</v>
      </c>
      <c r="AO391" s="79">
        <v>0</v>
      </c>
      <c r="AP391" s="79">
        <f t="shared" si="16"/>
        <v>0</v>
      </c>
      <c r="AQ391" s="374">
        <f>SUM(ERP_2[[#This Row],[AP01]:[AP06]])-SUM(ERP_2[[#This Row],[AP01 LE2]:[AP06 LE2]])</f>
        <v>0</v>
      </c>
      <c r="AR391" s="80"/>
      <c r="AS391" s="79">
        <f>ERP_2[[#This Row],[2026 Working Total to Budget/LE]]-ERP_2[[#This Row],[Giveback]]</f>
        <v>0</v>
      </c>
      <c r="AT391" s="81"/>
      <c r="AU391" s="375"/>
      <c r="AV391" s="375"/>
      <c r="AW391" s="375"/>
      <c r="AX391" s="375">
        <v>0</v>
      </c>
      <c r="AY391" s="375">
        <v>0</v>
      </c>
      <c r="AZ391" s="375">
        <v>0</v>
      </c>
      <c r="BA391" s="375">
        <v>0</v>
      </c>
      <c r="BB391" s="375">
        <v>0</v>
      </c>
      <c r="BC391" s="375">
        <v>0</v>
      </c>
      <c r="BD391" s="375">
        <v>0</v>
      </c>
      <c r="BE391" s="375">
        <v>0</v>
      </c>
      <c r="BF391" s="375">
        <v>0</v>
      </c>
      <c r="BG391" s="375">
        <v>0</v>
      </c>
      <c r="BH391" s="79"/>
      <c r="BI391" s="79"/>
      <c r="BJ391" s="79"/>
      <c r="BK391" s="79">
        <v>12500</v>
      </c>
      <c r="BL391" s="79">
        <v>12500</v>
      </c>
      <c r="BM391" s="79">
        <v>12500</v>
      </c>
      <c r="BN391" s="79">
        <v>12500</v>
      </c>
      <c r="BO391" s="79">
        <v>12500</v>
      </c>
      <c r="BP391" s="79">
        <v>12500</v>
      </c>
      <c r="BQ391" s="79">
        <v>12500</v>
      </c>
      <c r="BR391" s="79">
        <v>12500</v>
      </c>
      <c r="BS391" s="79">
        <v>12500</v>
      </c>
      <c r="BT391" s="79">
        <v>112500</v>
      </c>
    </row>
    <row r="392" spans="1:72" ht="15" hidden="1" customHeight="1">
      <c r="A392" s="79" t="s">
        <v>1522</v>
      </c>
      <c r="B392" s="79"/>
      <c r="C392" s="79" t="s">
        <v>242</v>
      </c>
      <c r="D392" s="296" t="s">
        <v>242</v>
      </c>
      <c r="E392" s="150" t="s">
        <v>1136</v>
      </c>
      <c r="F392" s="482" t="s">
        <v>1566</v>
      </c>
      <c r="G392" s="383" t="s">
        <v>1515</v>
      </c>
      <c r="H392" s="383" t="s">
        <v>1515</v>
      </c>
      <c r="I392" s="332" t="s">
        <v>1345</v>
      </c>
      <c r="J392" s="383" t="s">
        <v>1515</v>
      </c>
      <c r="K392" s="331" t="s">
        <v>1346</v>
      </c>
      <c r="L392" s="512" t="s">
        <v>49</v>
      </c>
      <c r="M392" s="393" t="s">
        <v>1523</v>
      </c>
      <c r="N392" s="343"/>
      <c r="O392" s="331"/>
      <c r="P392" s="91" t="s">
        <v>243</v>
      </c>
      <c r="Q392" s="343"/>
      <c r="R392" s="343"/>
      <c r="S392" s="348"/>
      <c r="T392" s="386" t="s">
        <v>152</v>
      </c>
      <c r="U392" s="389" t="s">
        <v>1348</v>
      </c>
      <c r="V392" s="432"/>
      <c r="W392" s="358">
        <v>-199716</v>
      </c>
      <c r="X392" s="378">
        <v>-149787</v>
      </c>
      <c r="Y392" s="430"/>
      <c r="Z392" s="137"/>
      <c r="AA392" s="433"/>
      <c r="AB392" s="434"/>
      <c r="AC392" s="434"/>
      <c r="AD392" s="428" t="s">
        <v>1142</v>
      </c>
      <c r="AE392" s="429">
        <v>0</v>
      </c>
      <c r="AF392" s="429">
        <v>0</v>
      </c>
      <c r="AG392" s="388">
        <v>-16643</v>
      </c>
      <c r="AH392" s="388">
        <v>-16643</v>
      </c>
      <c r="AI392" s="388">
        <v>-16643</v>
      </c>
      <c r="AJ392" s="388">
        <v>-16643</v>
      </c>
      <c r="AK392" s="388">
        <v>-16643</v>
      </c>
      <c r="AL392" s="388">
        <v>-16643</v>
      </c>
      <c r="AM392" s="360">
        <f t="shared" si="21"/>
        <v>-99858</v>
      </c>
      <c r="AN392" s="362">
        <f>ERP_2[[#This Row],[2026 Working Total]]-ERP_2[[#This Row],[LE2 Final Submission]]</f>
        <v>49929</v>
      </c>
      <c r="AO392" s="79">
        <v>154.58333300000001</v>
      </c>
      <c r="AP392" s="79">
        <f t="shared" ref="AP392:AP455" si="25">$AF392 - $AO392</f>
        <v>-154.58333300000001</v>
      </c>
      <c r="AQ392" s="374">
        <f>SUM(ERP_2[[#This Row],[AP01]:[AP06]])-SUM(ERP_2[[#This Row],[AP01 LE2]:[AP06 LE2]])</f>
        <v>49929</v>
      </c>
      <c r="AR392" s="80"/>
      <c r="AS392" s="79">
        <f>ERP_2[[#This Row],[2026 Working Total to Budget/LE]]-ERP_2[[#This Row],[Giveback]]</f>
        <v>49929</v>
      </c>
      <c r="AT392" s="81"/>
      <c r="AU392" s="375"/>
      <c r="AV392" s="375"/>
      <c r="AW392" s="375"/>
      <c r="AX392" s="375">
        <v>-16643</v>
      </c>
      <c r="AY392" s="375">
        <v>-16643</v>
      </c>
      <c r="AZ392" s="375">
        <v>-16643</v>
      </c>
      <c r="BA392" s="375">
        <v>-16643</v>
      </c>
      <c r="BB392" s="375">
        <v>-16643</v>
      </c>
      <c r="BC392" s="375">
        <v>-16643</v>
      </c>
      <c r="BD392" s="375">
        <v>-16643</v>
      </c>
      <c r="BE392" s="375">
        <v>-16643</v>
      </c>
      <c r="BF392" s="375">
        <v>-16643</v>
      </c>
      <c r="BG392" s="375">
        <v>-149787</v>
      </c>
      <c r="BH392" s="103">
        <v>-16643</v>
      </c>
      <c r="BI392" s="103">
        <v>-16643</v>
      </c>
      <c r="BJ392" s="103">
        <v>-16643</v>
      </c>
      <c r="BK392" s="103">
        <v>-16643</v>
      </c>
      <c r="BL392" s="103">
        <v>-16643</v>
      </c>
      <c r="BM392" s="103">
        <v>-16643</v>
      </c>
      <c r="BN392" s="103">
        <v>-16643</v>
      </c>
      <c r="BO392" s="103">
        <v>-16643</v>
      </c>
      <c r="BP392" s="103">
        <v>-16643</v>
      </c>
      <c r="BQ392" s="103">
        <v>-16643</v>
      </c>
      <c r="BR392" s="103">
        <v>-16643</v>
      </c>
      <c r="BS392" s="103">
        <v>-16643</v>
      </c>
      <c r="BT392" s="79">
        <f>SUM(ERP_2[[#This Row],[2026 AP01]:[2026 AP12]])</f>
        <v>-199716</v>
      </c>
    </row>
    <row r="393" spans="1:72" ht="15" hidden="1" customHeight="1">
      <c r="A393" s="79" t="s">
        <v>1525</v>
      </c>
      <c r="B393" s="79"/>
      <c r="C393" s="79" t="s">
        <v>244</v>
      </c>
      <c r="D393" s="296" t="s">
        <v>244</v>
      </c>
      <c r="E393" s="150" t="s">
        <v>1136</v>
      </c>
      <c r="F393" s="482" t="s">
        <v>1566</v>
      </c>
      <c r="G393" s="383" t="s">
        <v>1515</v>
      </c>
      <c r="H393" s="383" t="s">
        <v>1515</v>
      </c>
      <c r="I393" s="332" t="s">
        <v>1345</v>
      </c>
      <c r="J393" s="383" t="s">
        <v>1515</v>
      </c>
      <c r="K393" s="331" t="s">
        <v>1346</v>
      </c>
      <c r="L393" s="512" t="s">
        <v>49</v>
      </c>
      <c r="M393" s="393" t="s">
        <v>1526</v>
      </c>
      <c r="N393" s="343"/>
      <c r="O393" s="331"/>
      <c r="P393" s="91" t="s">
        <v>245</v>
      </c>
      <c r="Q393" s="343"/>
      <c r="R393" s="343"/>
      <c r="S393" s="348"/>
      <c r="T393" s="386" t="s">
        <v>152</v>
      </c>
      <c r="U393" s="389" t="s">
        <v>1348</v>
      </c>
      <c r="V393" s="432"/>
      <c r="W393" s="358">
        <v>-289999.99999999988</v>
      </c>
      <c r="X393" s="378">
        <v>-217500.02999999997</v>
      </c>
      <c r="Y393" s="425"/>
      <c r="Z393" s="71"/>
      <c r="AA393" s="433"/>
      <c r="AB393" s="434"/>
      <c r="AC393" s="434"/>
      <c r="AD393" s="428" t="s">
        <v>1142</v>
      </c>
      <c r="AE393" s="429">
        <v>0</v>
      </c>
      <c r="AF393" s="429">
        <v>0</v>
      </c>
      <c r="AG393" s="388">
        <v>-24166.67</v>
      </c>
      <c r="AH393" s="388">
        <v>-24166.67</v>
      </c>
      <c r="AI393" s="388">
        <v>-24166.67</v>
      </c>
      <c r="AJ393" s="388">
        <v>-24166.67</v>
      </c>
      <c r="AK393" s="388">
        <v>-24166.67</v>
      </c>
      <c r="AL393" s="388">
        <v>-24166.67</v>
      </c>
      <c r="AM393" s="360">
        <f t="shared" si="21"/>
        <v>-145000.01999999999</v>
      </c>
      <c r="AN393" s="362">
        <f>ERP_2[[#This Row],[2026 Working Total]]-ERP_2[[#This Row],[LE2 Final Submission]]</f>
        <v>72500.00999999998</v>
      </c>
      <c r="AO393" s="79">
        <v>1200</v>
      </c>
      <c r="AP393" s="79">
        <f t="shared" si="25"/>
        <v>-1200</v>
      </c>
      <c r="AQ393" s="374">
        <f>SUM(ERP_2[[#This Row],[AP01]:[AP06]])-SUM(ERP_2[[#This Row],[AP01 LE2]:[AP06 LE2]])</f>
        <v>72500.009999999995</v>
      </c>
      <c r="AR393" s="80"/>
      <c r="AS393" s="79">
        <f>ERP_2[[#This Row],[2026 Working Total to Budget/LE]]-ERP_2[[#This Row],[Giveback]]</f>
        <v>72500.00999999998</v>
      </c>
      <c r="AT393" s="81"/>
      <c r="AU393" s="375"/>
      <c r="AV393" s="375"/>
      <c r="AW393" s="375"/>
      <c r="AX393" s="375">
        <v>-24166.67</v>
      </c>
      <c r="AY393" s="375">
        <v>-24166.67</v>
      </c>
      <c r="AZ393" s="375">
        <v>-24166.67</v>
      </c>
      <c r="BA393" s="375">
        <v>-24166.67</v>
      </c>
      <c r="BB393" s="375">
        <v>-24166.67</v>
      </c>
      <c r="BC393" s="375">
        <v>-24166.67</v>
      </c>
      <c r="BD393" s="375">
        <v>-24166.67</v>
      </c>
      <c r="BE393" s="375">
        <v>-24166.67</v>
      </c>
      <c r="BF393" s="375">
        <v>-24166.67</v>
      </c>
      <c r="BG393" s="375">
        <v>-217500.02999999997</v>
      </c>
      <c r="BH393" s="103">
        <v>-24166.63</v>
      </c>
      <c r="BI393" s="103">
        <v>-24166.67</v>
      </c>
      <c r="BJ393" s="103">
        <v>-24166.67</v>
      </c>
      <c r="BK393" s="103">
        <v>-24166.67</v>
      </c>
      <c r="BL393" s="103">
        <v>-24166.67</v>
      </c>
      <c r="BM393" s="103">
        <v>-24166.67</v>
      </c>
      <c r="BN393" s="103">
        <v>-24166.67</v>
      </c>
      <c r="BO393" s="103">
        <v>-24166.67</v>
      </c>
      <c r="BP393" s="103">
        <v>-24166.67</v>
      </c>
      <c r="BQ393" s="103">
        <v>-24166.67</v>
      </c>
      <c r="BR393" s="103">
        <v>-24166.67</v>
      </c>
      <c r="BS393" s="103">
        <v>-24166.67</v>
      </c>
      <c r="BT393" s="79">
        <f>SUM(ERP_2[[#This Row],[2026 AP01]:[2026 AP12]])</f>
        <v>-289999.99999999988</v>
      </c>
    </row>
    <row r="394" spans="1:72" ht="15" hidden="1" customHeight="1">
      <c r="A394" s="66" t="s">
        <v>2835</v>
      </c>
      <c r="B394" s="66"/>
      <c r="C394" s="66" t="s">
        <v>1032</v>
      </c>
      <c r="D394" s="66" t="s">
        <v>2836</v>
      </c>
      <c r="E394" s="150" t="s">
        <v>1136</v>
      </c>
      <c r="F394" s="482" t="s">
        <v>1566</v>
      </c>
      <c r="G394" s="150" t="s">
        <v>1566</v>
      </c>
      <c r="H394" s="150" t="s">
        <v>1566</v>
      </c>
      <c r="I394" s="150" t="s">
        <v>1567</v>
      </c>
      <c r="J394" s="150" t="s">
        <v>1567</v>
      </c>
      <c r="K394" s="150" t="s">
        <v>1567</v>
      </c>
      <c r="L394" s="511" t="s">
        <v>1027</v>
      </c>
      <c r="M394" s="392" t="s">
        <v>1645</v>
      </c>
      <c r="N394" s="343"/>
      <c r="O394" s="343"/>
      <c r="P394" s="70" t="s">
        <v>321</v>
      </c>
      <c r="Q394" s="346"/>
      <c r="R394" s="343"/>
      <c r="S394" s="346"/>
      <c r="T394" s="150" t="s">
        <v>25</v>
      </c>
      <c r="U394" s="150"/>
      <c r="V394" s="403"/>
      <c r="W394" s="406">
        <v>0</v>
      </c>
      <c r="X394" s="406">
        <v>8.51</v>
      </c>
      <c r="Y394" s="425"/>
      <c r="Z394" s="71"/>
      <c r="AA394" s="426"/>
      <c r="AB394" s="427">
        <v>8.51</v>
      </c>
      <c r="AC394" s="431">
        <v>0</v>
      </c>
      <c r="AD394" s="428" t="s">
        <v>1142</v>
      </c>
      <c r="AE394" s="429">
        <v>0</v>
      </c>
      <c r="AF394" s="429">
        <v>0</v>
      </c>
      <c r="AG394" s="360">
        <v>0</v>
      </c>
      <c r="AH394" s="360">
        <v>0</v>
      </c>
      <c r="AI394" s="360">
        <v>0</v>
      </c>
      <c r="AJ394" s="360">
        <v>0</v>
      </c>
      <c r="AK394" s="360">
        <v>0</v>
      </c>
      <c r="AL394" s="360">
        <v>0</v>
      </c>
      <c r="AM394" s="360">
        <f t="shared" si="21"/>
        <v>8.51</v>
      </c>
      <c r="AN394" s="362">
        <f>ERP_2[[#This Row],[2026 Working Total]]-ERP_2[[#This Row],[LE2 Final Submission]]</f>
        <v>0</v>
      </c>
      <c r="AO394" s="79">
        <v>0</v>
      </c>
      <c r="AP394" s="79">
        <f t="shared" si="25"/>
        <v>0</v>
      </c>
      <c r="AQ394" s="374">
        <f>SUM(ERP_2[[#This Row],[AP01]:[AP06]])-SUM(ERP_2[[#This Row],[AP01 LE2]:[AP06 LE2]])</f>
        <v>0</v>
      </c>
      <c r="AR394" s="80"/>
      <c r="AS394" s="79">
        <f>ERP_2[[#This Row],[2026 Working Total to Budget/LE]]-ERP_2[[#This Row],[Giveback]]</f>
        <v>0</v>
      </c>
      <c r="AT394" s="81"/>
      <c r="AU394" s="375"/>
      <c r="AV394" s="375">
        <v>8.51</v>
      </c>
      <c r="AW394" s="375">
        <v>0</v>
      </c>
      <c r="AX394" s="375">
        <v>0</v>
      </c>
      <c r="AY394" s="375">
        <v>0</v>
      </c>
      <c r="AZ394" s="375">
        <v>0</v>
      </c>
      <c r="BA394" s="375">
        <v>0</v>
      </c>
      <c r="BB394" s="375">
        <v>0</v>
      </c>
      <c r="BC394" s="375">
        <v>0</v>
      </c>
      <c r="BD394" s="375">
        <v>0</v>
      </c>
      <c r="BE394" s="375">
        <v>0</v>
      </c>
      <c r="BF394" s="375">
        <v>0</v>
      </c>
      <c r="BG394" s="375">
        <v>8.51</v>
      </c>
      <c r="BH394" s="79"/>
      <c r="BI394" s="79">
        <v>8.51</v>
      </c>
      <c r="BJ394" s="79">
        <v>0</v>
      </c>
      <c r="BK394" s="79">
        <v>0</v>
      </c>
      <c r="BL394" s="79">
        <v>0</v>
      </c>
      <c r="BM394" s="79">
        <v>0</v>
      </c>
      <c r="BN394" s="79">
        <v>0</v>
      </c>
      <c r="BO394" s="79">
        <v>0</v>
      </c>
      <c r="BP394" s="79">
        <v>0</v>
      </c>
      <c r="BQ394" s="79">
        <v>0</v>
      </c>
      <c r="BR394" s="79">
        <v>0</v>
      </c>
      <c r="BS394" s="79">
        <v>0</v>
      </c>
      <c r="BT394" s="79">
        <v>8.51</v>
      </c>
    </row>
    <row r="395" spans="1:72" ht="15" hidden="1" customHeight="1">
      <c r="A395" s="66" t="s">
        <v>1527</v>
      </c>
      <c r="B395" s="66"/>
      <c r="C395" s="66" t="s">
        <v>246</v>
      </c>
      <c r="D395" s="66" t="s">
        <v>246</v>
      </c>
      <c r="E395" s="150" t="s">
        <v>1136</v>
      </c>
      <c r="F395" s="482" t="s">
        <v>1566</v>
      </c>
      <c r="G395" s="150" t="s">
        <v>1515</v>
      </c>
      <c r="H395" s="383" t="s">
        <v>1515</v>
      </c>
      <c r="I395" s="150" t="s">
        <v>1345</v>
      </c>
      <c r="J395" s="150" t="s">
        <v>1515</v>
      </c>
      <c r="K395" s="150" t="s">
        <v>1346</v>
      </c>
      <c r="L395" s="511" t="s">
        <v>49</v>
      </c>
      <c r="M395" s="392" t="s">
        <v>1147</v>
      </c>
      <c r="N395" s="343"/>
      <c r="O395" s="343"/>
      <c r="P395" s="70" t="s">
        <v>53</v>
      </c>
      <c r="Q395" s="346" t="s">
        <v>1153</v>
      </c>
      <c r="R395" s="343"/>
      <c r="S395" s="346"/>
      <c r="T395" s="150" t="s">
        <v>25</v>
      </c>
      <c r="U395" s="150"/>
      <c r="V395" s="403"/>
      <c r="W395" s="406">
        <v>0</v>
      </c>
      <c r="X395" s="406">
        <v>-29144</v>
      </c>
      <c r="Y395" s="425"/>
      <c r="Z395" s="71"/>
      <c r="AA395" s="426">
        <v>101571</v>
      </c>
      <c r="AB395" s="427">
        <v>-210932</v>
      </c>
      <c r="AC395" s="427">
        <v>80217</v>
      </c>
      <c r="AD395" s="428">
        <v>105632.00000000001</v>
      </c>
      <c r="AE395" s="429">
        <v>-36244</v>
      </c>
      <c r="AF395" s="429">
        <v>24284.000000000029</v>
      </c>
      <c r="AG395" s="360">
        <v>0</v>
      </c>
      <c r="AH395" s="360">
        <v>0</v>
      </c>
      <c r="AI395" s="360">
        <v>0</v>
      </c>
      <c r="AJ395" s="360">
        <v>0</v>
      </c>
      <c r="AK395" s="360">
        <v>0</v>
      </c>
      <c r="AL395" s="360">
        <v>0</v>
      </c>
      <c r="AM395" s="360">
        <f t="shared" si="21"/>
        <v>64528.000000000044</v>
      </c>
      <c r="AN395" s="362">
        <f>ERP_2[[#This Row],[2026 Working Total]]-ERP_2[[#This Row],[LE2 Final Submission]]</f>
        <v>93672.000000000044</v>
      </c>
      <c r="AO395" s="79">
        <v>0</v>
      </c>
      <c r="AP395" s="79">
        <f t="shared" si="25"/>
        <v>24284.000000000029</v>
      </c>
      <c r="AQ395" s="374">
        <f>SUM(ERP_2[[#This Row],[AP01]:[AP06]])-SUM(ERP_2[[#This Row],[AP01 LE2]:[AP06 LE2]])</f>
        <v>93672.000000000044</v>
      </c>
      <c r="AR395" s="80"/>
      <c r="AS395" s="79">
        <f>ERP_2[[#This Row],[2026 Working Total to Budget/LE]]-ERP_2[[#This Row],[Giveback]]</f>
        <v>93672.000000000044</v>
      </c>
      <c r="AT395" s="81"/>
      <c r="AU395" s="375">
        <v>101571</v>
      </c>
      <c r="AV395" s="375">
        <v>-210932</v>
      </c>
      <c r="AW395" s="375">
        <v>80217</v>
      </c>
      <c r="AX395" s="375">
        <v>0</v>
      </c>
      <c r="AY395" s="375">
        <v>0</v>
      </c>
      <c r="AZ395" s="375">
        <v>0</v>
      </c>
      <c r="BA395" s="375">
        <v>0</v>
      </c>
      <c r="BB395" s="375">
        <v>0</v>
      </c>
      <c r="BC395" s="375">
        <v>0</v>
      </c>
      <c r="BD395" s="375">
        <v>0</v>
      </c>
      <c r="BE395" s="375">
        <v>0</v>
      </c>
      <c r="BF395" s="375">
        <v>0</v>
      </c>
      <c r="BG395" s="375">
        <v>-29144</v>
      </c>
      <c r="BH395" s="79">
        <v>101571</v>
      </c>
      <c r="BI395" s="79">
        <v>-210932</v>
      </c>
      <c r="BJ395" s="79">
        <v>80217</v>
      </c>
      <c r="BK395" s="79">
        <v>0</v>
      </c>
      <c r="BL395" s="79">
        <v>0</v>
      </c>
      <c r="BM395" s="79">
        <v>0</v>
      </c>
      <c r="BN395" s="79">
        <v>0</v>
      </c>
      <c r="BO395" s="79">
        <v>0</v>
      </c>
      <c r="BP395" s="79">
        <v>0</v>
      </c>
      <c r="BQ395" s="79">
        <v>0</v>
      </c>
      <c r="BR395" s="79">
        <v>0</v>
      </c>
      <c r="BS395" s="79">
        <v>0</v>
      </c>
      <c r="BT395" s="79">
        <v>-29144</v>
      </c>
    </row>
    <row r="396" spans="1:72" ht="15" hidden="1" customHeight="1">
      <c r="A396" s="66" t="s">
        <v>2864</v>
      </c>
      <c r="B396" s="66"/>
      <c r="C396" s="66" t="s">
        <v>1048</v>
      </c>
      <c r="D396" s="66" t="s">
        <v>2865</v>
      </c>
      <c r="E396" s="150" t="s">
        <v>1136</v>
      </c>
      <c r="F396" s="482" t="s">
        <v>1566</v>
      </c>
      <c r="G396" s="150" t="s">
        <v>1566</v>
      </c>
      <c r="H396" s="150" t="s">
        <v>1566</v>
      </c>
      <c r="I396" s="150" t="s">
        <v>1567</v>
      </c>
      <c r="J396" s="150" t="s">
        <v>1567</v>
      </c>
      <c r="K396" s="150" t="s">
        <v>1567</v>
      </c>
      <c r="L396" s="511" t="s">
        <v>1037</v>
      </c>
      <c r="M396" s="392" t="s">
        <v>1049</v>
      </c>
      <c r="N396" s="343"/>
      <c r="O396" s="343"/>
      <c r="P396" s="70" t="s">
        <v>1049</v>
      </c>
      <c r="Q396" s="346"/>
      <c r="R396" s="346" t="s">
        <v>1140</v>
      </c>
      <c r="S396" s="346"/>
      <c r="T396" s="150" t="s">
        <v>44</v>
      </c>
      <c r="U396" s="150"/>
      <c r="V396" s="403"/>
      <c r="W396" s="406">
        <v>285714.29000400001</v>
      </c>
      <c r="X396" s="406">
        <v>214285.71750299999</v>
      </c>
      <c r="Y396" s="425"/>
      <c r="Z396" s="71"/>
      <c r="AA396" s="426"/>
      <c r="AB396" s="427"/>
      <c r="AC396" s="427"/>
      <c r="AD396" s="428" t="s">
        <v>1142</v>
      </c>
      <c r="AE396" s="429">
        <v>0</v>
      </c>
      <c r="AF396" s="429">
        <v>0</v>
      </c>
      <c r="AG396" s="363">
        <v>23809.524167</v>
      </c>
      <c r="AH396" s="363">
        <v>23809.524167</v>
      </c>
      <c r="AI396" s="363">
        <v>23809.524167</v>
      </c>
      <c r="AJ396" s="363">
        <v>23809.524167</v>
      </c>
      <c r="AK396" s="363">
        <v>23809.524167</v>
      </c>
      <c r="AL396" s="363">
        <v>23809.524167</v>
      </c>
      <c r="AM396" s="360">
        <f t="shared" si="21"/>
        <v>142857.145002</v>
      </c>
      <c r="AN396" s="362">
        <f>ERP_2[[#This Row],[2026 Working Total]]-ERP_2[[#This Row],[LE2 Final Submission]]</f>
        <v>-71428.572500999988</v>
      </c>
      <c r="AO396" s="79">
        <v>23809.524167</v>
      </c>
      <c r="AP396" s="79">
        <f t="shared" si="25"/>
        <v>-23809.524167</v>
      </c>
      <c r="AQ396" s="374">
        <f>SUM(ERP_2[[#This Row],[AP01]:[AP06]])-SUM(ERP_2[[#This Row],[AP01 LE2]:[AP06 LE2]])</f>
        <v>-71428.572501000002</v>
      </c>
      <c r="AR396" s="80"/>
      <c r="AS396" s="79">
        <f>ERP_2[[#This Row],[2026 Working Total to Budget/LE]]-ERP_2[[#This Row],[Giveback]]</f>
        <v>-71428.572500999988</v>
      </c>
      <c r="AT396" s="81"/>
      <c r="AU396" s="375"/>
      <c r="AV396" s="375"/>
      <c r="AW396" s="375"/>
      <c r="AX396" s="375">
        <v>23809.524167</v>
      </c>
      <c r="AY396" s="375">
        <v>23809.524167</v>
      </c>
      <c r="AZ396" s="375">
        <v>23809.524167</v>
      </c>
      <c r="BA396" s="375">
        <v>23809.524167</v>
      </c>
      <c r="BB396" s="375">
        <v>23809.524167</v>
      </c>
      <c r="BC396" s="375">
        <v>23809.524167</v>
      </c>
      <c r="BD396" s="375">
        <v>23809.524167</v>
      </c>
      <c r="BE396" s="375">
        <v>23809.524167</v>
      </c>
      <c r="BF396" s="375">
        <v>23809.524167</v>
      </c>
      <c r="BG396" s="375">
        <v>214285.71750299999</v>
      </c>
      <c r="BH396" s="79"/>
      <c r="BI396" s="79"/>
      <c r="BJ396" s="79"/>
      <c r="BK396" s="79">
        <v>23809.524167</v>
      </c>
      <c r="BL396" s="79">
        <v>23809.524167</v>
      </c>
      <c r="BM396" s="79">
        <v>23809.524167</v>
      </c>
      <c r="BN396" s="79">
        <v>23809.524167</v>
      </c>
      <c r="BO396" s="79">
        <v>23809.524167</v>
      </c>
      <c r="BP396" s="79">
        <v>23809.524167</v>
      </c>
      <c r="BQ396" s="79">
        <v>23809.524167</v>
      </c>
      <c r="BR396" s="79">
        <v>23809.524167</v>
      </c>
      <c r="BS396" s="79">
        <v>23809.524167</v>
      </c>
      <c r="BT396" s="79">
        <v>214285.71750299999</v>
      </c>
    </row>
    <row r="397" spans="1:72" ht="15" hidden="1" customHeight="1">
      <c r="A397" s="66" t="s">
        <v>2893</v>
      </c>
      <c r="B397" s="66"/>
      <c r="C397" s="66" t="s">
        <v>42</v>
      </c>
      <c r="D397" s="66" t="s">
        <v>2894</v>
      </c>
      <c r="E397" s="150" t="s">
        <v>1136</v>
      </c>
      <c r="F397" s="482" t="s">
        <v>1566</v>
      </c>
      <c r="G397" s="150" t="s">
        <v>1566</v>
      </c>
      <c r="H397" s="150" t="s">
        <v>1566</v>
      </c>
      <c r="I397" s="150" t="s">
        <v>1567</v>
      </c>
      <c r="J397" s="150" t="s">
        <v>1567</v>
      </c>
      <c r="K397" s="150" t="s">
        <v>1567</v>
      </c>
      <c r="L397" s="511" t="s">
        <v>22</v>
      </c>
      <c r="M397" s="392" t="s">
        <v>2895</v>
      </c>
      <c r="N397" s="343"/>
      <c r="O397" s="343"/>
      <c r="P397" s="70" t="s">
        <v>43</v>
      </c>
      <c r="Q397" s="346"/>
      <c r="R397" s="346" t="s">
        <v>1140</v>
      </c>
      <c r="S397" s="346"/>
      <c r="T397" s="150" t="s">
        <v>44</v>
      </c>
      <c r="U397" s="150"/>
      <c r="V397" s="403"/>
      <c r="W397" s="406">
        <v>-472222.21000000008</v>
      </c>
      <c r="X397" s="406">
        <v>-160000</v>
      </c>
      <c r="Y397" s="425"/>
      <c r="Z397" s="71"/>
      <c r="AA397" s="426"/>
      <c r="AB397" s="427"/>
      <c r="AC397" s="427"/>
      <c r="AD397" s="428" t="s">
        <v>1142</v>
      </c>
      <c r="AE397" s="429">
        <v>0</v>
      </c>
      <c r="AF397" s="429">
        <v>0</v>
      </c>
      <c r="AG397" s="363">
        <v>-20000</v>
      </c>
      <c r="AH397" s="363">
        <v>-20000</v>
      </c>
      <c r="AI397" s="363">
        <v>-20000</v>
      </c>
      <c r="AJ397" s="363">
        <v>-20000</v>
      </c>
      <c r="AK397" s="363">
        <v>-20000</v>
      </c>
      <c r="AL397" s="363">
        <v>-20000</v>
      </c>
      <c r="AM397" s="360">
        <f t="shared" si="21"/>
        <v>-120000</v>
      </c>
      <c r="AN397" s="362">
        <f>ERP_2[[#This Row],[2026 Working Total]]-ERP_2[[#This Row],[LE2 Final Submission]]</f>
        <v>40000</v>
      </c>
      <c r="AO397" s="79">
        <v>-20000</v>
      </c>
      <c r="AP397" s="79">
        <f t="shared" si="25"/>
        <v>20000</v>
      </c>
      <c r="AQ397" s="374">
        <f>SUM(ERP_2[[#This Row],[AP01]:[AP06]])-SUM(ERP_2[[#This Row],[AP01 LE2]:[AP06 LE2]])</f>
        <v>40000</v>
      </c>
      <c r="AR397" s="80"/>
      <c r="AS397" s="79">
        <f>ERP_2[[#This Row],[2026 Working Total to Budget/LE]]-ERP_2[[#This Row],[Giveback]]</f>
        <v>40000</v>
      </c>
      <c r="AT397" s="81"/>
      <c r="AU397" s="375"/>
      <c r="AV397" s="375"/>
      <c r="AW397" s="375"/>
      <c r="AX397" s="375"/>
      <c r="AY397" s="375">
        <v>-20000</v>
      </c>
      <c r="AZ397" s="375">
        <v>-20000</v>
      </c>
      <c r="BA397" s="375">
        <v>-20000</v>
      </c>
      <c r="BB397" s="375">
        <v>-20000</v>
      </c>
      <c r="BC397" s="375">
        <v>-20000</v>
      </c>
      <c r="BD397" s="375">
        <v>-20000</v>
      </c>
      <c r="BE397" s="375">
        <v>-20000</v>
      </c>
      <c r="BF397" s="375">
        <v>-20000</v>
      </c>
      <c r="BG397" s="375">
        <v>-160000</v>
      </c>
      <c r="BH397" s="79"/>
      <c r="BI397" s="79"/>
      <c r="BJ397" s="79"/>
      <c r="BK397" s="79">
        <v>-47222.220999999998</v>
      </c>
      <c r="BL397" s="79">
        <v>-47222.220999999998</v>
      </c>
      <c r="BM397" s="79">
        <v>-47222.220999999998</v>
      </c>
      <c r="BN397" s="79">
        <v>-47222.220999999998</v>
      </c>
      <c r="BO397" s="79">
        <v>-47222.220999999998</v>
      </c>
      <c r="BP397" s="79">
        <v>-47222.220999999998</v>
      </c>
      <c r="BQ397" s="79">
        <v>-47222.220999999998</v>
      </c>
      <c r="BR397" s="79">
        <v>-47222.220999999998</v>
      </c>
      <c r="BS397" s="79">
        <v>-47222.220999999998</v>
      </c>
      <c r="BT397" s="79">
        <v>-424999.98900000006</v>
      </c>
    </row>
    <row r="398" spans="1:72" ht="15" hidden="1" customHeight="1">
      <c r="A398" s="66" t="s">
        <v>1529</v>
      </c>
      <c r="B398" s="66"/>
      <c r="C398" s="66" t="s">
        <v>247</v>
      </c>
      <c r="D398" s="66" t="s">
        <v>247</v>
      </c>
      <c r="E398" s="150" t="s">
        <v>1136</v>
      </c>
      <c r="F398" s="482" t="s">
        <v>1566</v>
      </c>
      <c r="G398" s="150" t="s">
        <v>1515</v>
      </c>
      <c r="H398" s="383" t="s">
        <v>1515</v>
      </c>
      <c r="I398" s="150" t="s">
        <v>1345</v>
      </c>
      <c r="J398" s="150" t="s">
        <v>1515</v>
      </c>
      <c r="K398" s="150" t="s">
        <v>1346</v>
      </c>
      <c r="L398" s="511" t="s">
        <v>49</v>
      </c>
      <c r="M398" s="392" t="s">
        <v>1530</v>
      </c>
      <c r="N398" s="343"/>
      <c r="O398" s="343"/>
      <c r="P398" s="70" t="s">
        <v>248</v>
      </c>
      <c r="Q398" s="346"/>
      <c r="R398" s="346" t="s">
        <v>1221</v>
      </c>
      <c r="S398" s="346"/>
      <c r="T398" s="150" t="s">
        <v>25</v>
      </c>
      <c r="U398" s="150"/>
      <c r="V398" s="404"/>
      <c r="W398" s="407">
        <v>0</v>
      </c>
      <c r="X398" s="407">
        <v>0</v>
      </c>
      <c r="Y398" s="430"/>
      <c r="Z398" s="137"/>
      <c r="AA398" s="426">
        <v>0.36</v>
      </c>
      <c r="AB398" s="427">
        <v>-0.36</v>
      </c>
      <c r="AC398" s="427"/>
      <c r="AD398" s="428">
        <v>-5357.64</v>
      </c>
      <c r="AE398" s="429">
        <v>0</v>
      </c>
      <c r="AF398" s="429">
        <v>0</v>
      </c>
      <c r="AG398" s="363"/>
      <c r="AH398" s="363"/>
      <c r="AI398" s="363"/>
      <c r="AJ398" s="363"/>
      <c r="AK398" s="363"/>
      <c r="AL398" s="363"/>
      <c r="AM398" s="360">
        <f t="shared" si="21"/>
        <v>-5357.64</v>
      </c>
      <c r="AN398" s="362">
        <f>ERP_2[[#This Row],[2026 Working Total]]-ERP_2[[#This Row],[LE2 Final Submission]]</f>
        <v>-5357.64</v>
      </c>
      <c r="AO398" s="79"/>
      <c r="AP398" s="79">
        <f t="shared" si="25"/>
        <v>0</v>
      </c>
      <c r="AQ398" s="374">
        <f>SUM(ERP_2[[#This Row],[AP01]:[AP06]])-SUM(ERP_2[[#This Row],[AP01 LE2]:[AP06 LE2]])</f>
        <v>-5357.64</v>
      </c>
      <c r="AR398" s="80"/>
      <c r="AS398" s="79">
        <f>ERP_2[[#This Row],[2026 Working Total to Budget/LE]]-ERP_2[[#This Row],[Giveback]]</f>
        <v>-5357.64</v>
      </c>
      <c r="AT398" s="81"/>
      <c r="AU398" s="375">
        <v>0.36</v>
      </c>
      <c r="AV398" s="375">
        <v>-0.36</v>
      </c>
      <c r="AW398" s="375"/>
      <c r="AX398" s="375"/>
      <c r="AY398" s="375"/>
      <c r="AZ398" s="375"/>
      <c r="BA398" s="375"/>
      <c r="BB398" s="375"/>
      <c r="BC398" s="375"/>
      <c r="BD398" s="375"/>
      <c r="BE398" s="375"/>
      <c r="BF398" s="375"/>
      <c r="BG398" s="375">
        <v>0</v>
      </c>
      <c r="BH398" s="79">
        <v>0.36</v>
      </c>
      <c r="BI398" s="79">
        <v>-0.36</v>
      </c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>
        <v>0</v>
      </c>
    </row>
    <row r="399" spans="1:72" ht="15" hidden="1" customHeight="1">
      <c r="A399" s="66" t="s">
        <v>1532</v>
      </c>
      <c r="B399" s="66"/>
      <c r="C399" s="66" t="s">
        <v>249</v>
      </c>
      <c r="D399" s="66" t="s">
        <v>249</v>
      </c>
      <c r="E399" s="150" t="s">
        <v>1136</v>
      </c>
      <c r="F399" s="482" t="s">
        <v>1566</v>
      </c>
      <c r="G399" s="150" t="s">
        <v>1515</v>
      </c>
      <c r="H399" s="383" t="s">
        <v>1515</v>
      </c>
      <c r="I399" s="150" t="s">
        <v>1345</v>
      </c>
      <c r="J399" s="150" t="s">
        <v>1515</v>
      </c>
      <c r="K399" s="150" t="s">
        <v>1346</v>
      </c>
      <c r="L399" s="511" t="s">
        <v>49</v>
      </c>
      <c r="M399" s="392" t="s">
        <v>1533</v>
      </c>
      <c r="N399" s="343" t="s">
        <v>1387</v>
      </c>
      <c r="O399" s="346" t="s">
        <v>1531</v>
      </c>
      <c r="P399" s="70" t="s">
        <v>250</v>
      </c>
      <c r="Q399" s="346"/>
      <c r="R399" s="346" t="s">
        <v>1534</v>
      </c>
      <c r="S399" s="346"/>
      <c r="T399" s="150" t="s">
        <v>25</v>
      </c>
      <c r="U399" s="150"/>
      <c r="V399" s="403"/>
      <c r="W399" s="406">
        <v>553800</v>
      </c>
      <c r="X399" s="406">
        <v>496255</v>
      </c>
      <c r="Y399" s="425"/>
      <c r="Z399" s="71"/>
      <c r="AA399" s="426">
        <v>-0.24</v>
      </c>
      <c r="AB399" s="427">
        <v>98366.34</v>
      </c>
      <c r="AC399" s="427">
        <v>-98366.1</v>
      </c>
      <c r="AD399" s="428">
        <v>27396.55</v>
      </c>
      <c r="AE399" s="429">
        <v>29503.98</v>
      </c>
      <c r="AF399" s="429">
        <v>36879.97</v>
      </c>
      <c r="AG399" s="363">
        <v>48381.166666666672</v>
      </c>
      <c r="AH399" s="363">
        <v>48381.166666666672</v>
      </c>
      <c r="AI399" s="363">
        <v>48381.166666666672</v>
      </c>
      <c r="AJ399" s="363">
        <v>85490.5</v>
      </c>
      <c r="AK399" s="363">
        <v>85490.5</v>
      </c>
      <c r="AL399" s="363">
        <v>85490.5</v>
      </c>
      <c r="AM399" s="360">
        <f t="shared" si="21"/>
        <v>495395.5</v>
      </c>
      <c r="AN399" s="362">
        <f>ERP_2[[#This Row],[2026 Working Total]]-ERP_2[[#This Row],[LE2 Final Submission]]</f>
        <v>-859.5</v>
      </c>
      <c r="AO399" s="79">
        <v>31546.666666666668</v>
      </c>
      <c r="AP399" s="79">
        <f t="shared" si="25"/>
        <v>5333.3033333333333</v>
      </c>
      <c r="AQ399" s="374">
        <f>SUM(ERP_2[[#This Row],[AP01]:[AP06]])-SUM(ERP_2[[#This Row],[AP01 LE2]:[AP06 LE2]])</f>
        <v>-859.5</v>
      </c>
      <c r="AR399" s="80"/>
      <c r="AS399" s="79">
        <f>ERP_2[[#This Row],[2026 Working Total to Budget/LE]]-ERP_2[[#This Row],[Giveback]]</f>
        <v>-859.5</v>
      </c>
      <c r="AT399" s="81"/>
      <c r="AU399" s="375">
        <v>-0.24</v>
      </c>
      <c r="AV399" s="375">
        <v>98366.34</v>
      </c>
      <c r="AW399" s="375">
        <v>-98366.1</v>
      </c>
      <c r="AX399" s="375">
        <v>31546.666666666668</v>
      </c>
      <c r="AY399" s="375">
        <v>31546.666666666668</v>
      </c>
      <c r="AZ399" s="375">
        <v>31546.666666666668</v>
      </c>
      <c r="BA399" s="375">
        <v>48381.166666666672</v>
      </c>
      <c r="BB399" s="375">
        <v>48381.166666666672</v>
      </c>
      <c r="BC399" s="375">
        <v>48381.166666666672</v>
      </c>
      <c r="BD399" s="375">
        <v>85490.5</v>
      </c>
      <c r="BE399" s="375">
        <v>85490.5</v>
      </c>
      <c r="BF399" s="375">
        <v>85490.5</v>
      </c>
      <c r="BG399" s="375">
        <v>496255</v>
      </c>
      <c r="BH399" s="79">
        <v>-0.24</v>
      </c>
      <c r="BI399" s="79">
        <v>98366.34</v>
      </c>
      <c r="BJ399" s="79">
        <v>-98366.1</v>
      </c>
      <c r="BK399" s="79">
        <v>57403.99</v>
      </c>
      <c r="BL399" s="79">
        <v>57403.99</v>
      </c>
      <c r="BM399" s="79">
        <v>57403.99</v>
      </c>
      <c r="BN399" s="79">
        <v>57403.99</v>
      </c>
      <c r="BO399" s="79">
        <v>57403.99</v>
      </c>
      <c r="BP399" s="79">
        <v>57403.99</v>
      </c>
      <c r="BQ399" s="79">
        <v>57403.99</v>
      </c>
      <c r="BR399" s="79">
        <v>57403.99</v>
      </c>
      <c r="BS399" s="79">
        <v>57403.99</v>
      </c>
      <c r="BT399" s="79">
        <v>516635.90999999992</v>
      </c>
    </row>
    <row r="400" spans="1:72" ht="15" hidden="1" customHeight="1">
      <c r="A400" s="66" t="s">
        <v>1535</v>
      </c>
      <c r="B400" s="66"/>
      <c r="C400" s="66" t="s">
        <v>251</v>
      </c>
      <c r="D400" s="66" t="s">
        <v>251</v>
      </c>
      <c r="E400" s="150" t="s">
        <v>1136</v>
      </c>
      <c r="F400" s="482" t="s">
        <v>1566</v>
      </c>
      <c r="G400" s="150" t="s">
        <v>1515</v>
      </c>
      <c r="H400" s="383" t="s">
        <v>1515</v>
      </c>
      <c r="I400" s="150" t="s">
        <v>1345</v>
      </c>
      <c r="J400" s="150" t="s">
        <v>1515</v>
      </c>
      <c r="K400" s="150" t="s">
        <v>1346</v>
      </c>
      <c r="L400" s="511" t="s">
        <v>49</v>
      </c>
      <c r="M400" s="392" t="s">
        <v>1536</v>
      </c>
      <c r="N400" s="343" t="s">
        <v>1387</v>
      </c>
      <c r="O400" s="346" t="s">
        <v>1531</v>
      </c>
      <c r="P400" s="70" t="s">
        <v>252</v>
      </c>
      <c r="Q400" s="346"/>
      <c r="R400" s="346" t="s">
        <v>1537</v>
      </c>
      <c r="S400" s="346"/>
      <c r="T400" s="150" t="s">
        <v>25</v>
      </c>
      <c r="U400" s="150"/>
      <c r="V400" s="403"/>
      <c r="W400" s="406">
        <v>269997.96000000008</v>
      </c>
      <c r="X400" s="406">
        <v>268017.38</v>
      </c>
      <c r="Y400" s="425"/>
      <c r="Z400" s="71"/>
      <c r="AA400" s="426">
        <v>19158.79</v>
      </c>
      <c r="AB400" s="427">
        <v>20603.919999999998</v>
      </c>
      <c r="AC400" s="427">
        <v>25754.67</v>
      </c>
      <c r="AD400" s="428">
        <v>20603.73</v>
      </c>
      <c r="AE400" s="429">
        <v>33243.729999999996</v>
      </c>
      <c r="AF400" s="429">
        <v>25754.660000000003</v>
      </c>
      <c r="AG400" s="363">
        <v>22500</v>
      </c>
      <c r="AH400" s="363">
        <v>22500</v>
      </c>
      <c r="AI400" s="363">
        <v>22500</v>
      </c>
      <c r="AJ400" s="363">
        <v>22500</v>
      </c>
      <c r="AK400" s="363">
        <v>22500</v>
      </c>
      <c r="AL400" s="363">
        <v>22500</v>
      </c>
      <c r="AM400" s="360">
        <f t="shared" si="21"/>
        <v>280119.5</v>
      </c>
      <c r="AN400" s="362">
        <f>ERP_2[[#This Row],[2026 Working Total]]-ERP_2[[#This Row],[LE2 Final Submission]]</f>
        <v>12102.119999999995</v>
      </c>
      <c r="AO400" s="79">
        <v>22500</v>
      </c>
      <c r="AP400" s="79">
        <f t="shared" si="25"/>
        <v>3254.6600000000035</v>
      </c>
      <c r="AQ400" s="374">
        <f>SUM(ERP_2[[#This Row],[AP01]:[AP06]])-SUM(ERP_2[[#This Row],[AP01 LE2]:[AP06 LE2]])</f>
        <v>12102.119999999995</v>
      </c>
      <c r="AR400" s="80"/>
      <c r="AS400" s="79">
        <f>ERP_2[[#This Row],[2026 Working Total to Budget/LE]]-ERP_2[[#This Row],[Giveback]]</f>
        <v>12102.119999999995</v>
      </c>
      <c r="AT400" s="81"/>
      <c r="AU400" s="375">
        <v>19158.79</v>
      </c>
      <c r="AV400" s="375">
        <v>20603.919999999998</v>
      </c>
      <c r="AW400" s="375">
        <v>25754.67</v>
      </c>
      <c r="AX400" s="375">
        <v>22500</v>
      </c>
      <c r="AY400" s="375">
        <v>22500</v>
      </c>
      <c r="AZ400" s="375">
        <v>22500</v>
      </c>
      <c r="BA400" s="375">
        <v>22500</v>
      </c>
      <c r="BB400" s="375">
        <v>22500</v>
      </c>
      <c r="BC400" s="375">
        <v>22500</v>
      </c>
      <c r="BD400" s="375">
        <v>22500</v>
      </c>
      <c r="BE400" s="375">
        <v>22500</v>
      </c>
      <c r="BF400" s="375">
        <v>22500</v>
      </c>
      <c r="BG400" s="375">
        <v>268017.38</v>
      </c>
      <c r="BH400" s="79">
        <v>19158.79</v>
      </c>
      <c r="BI400" s="79">
        <v>20603.919999999998</v>
      </c>
      <c r="BJ400" s="79">
        <v>25754.67</v>
      </c>
      <c r="BK400" s="79">
        <v>23474.3</v>
      </c>
      <c r="BL400" s="79">
        <v>23474.3</v>
      </c>
      <c r="BM400" s="79">
        <v>23474.3</v>
      </c>
      <c r="BN400" s="79">
        <v>23474.3</v>
      </c>
      <c r="BO400" s="79">
        <v>23474.3</v>
      </c>
      <c r="BP400" s="79">
        <v>23474.3</v>
      </c>
      <c r="BQ400" s="79">
        <v>23474.3</v>
      </c>
      <c r="BR400" s="79">
        <v>23474.3</v>
      </c>
      <c r="BS400" s="79">
        <v>23474.3</v>
      </c>
      <c r="BT400" s="79">
        <v>276786.07999999996</v>
      </c>
    </row>
    <row r="401" spans="1:72" ht="15" hidden="1" customHeight="1">
      <c r="A401" s="79" t="s">
        <v>1538</v>
      </c>
      <c r="B401" s="79"/>
      <c r="C401" s="79" t="s">
        <v>253</v>
      </c>
      <c r="D401" s="296" t="s">
        <v>253</v>
      </c>
      <c r="E401" s="150" t="s">
        <v>1136</v>
      </c>
      <c r="F401" s="482" t="s">
        <v>1566</v>
      </c>
      <c r="G401" s="383" t="s">
        <v>1515</v>
      </c>
      <c r="H401" s="383" t="s">
        <v>1515</v>
      </c>
      <c r="I401" s="332" t="s">
        <v>1345</v>
      </c>
      <c r="J401" s="383" t="s">
        <v>1515</v>
      </c>
      <c r="K401" s="331" t="s">
        <v>1346</v>
      </c>
      <c r="L401" s="512" t="s">
        <v>49</v>
      </c>
      <c r="M401" s="393" t="s">
        <v>1539</v>
      </c>
      <c r="N401" s="343"/>
      <c r="O401" s="331"/>
      <c r="P401" s="91" t="s">
        <v>254</v>
      </c>
      <c r="Q401" s="343"/>
      <c r="R401" s="346" t="s">
        <v>1221</v>
      </c>
      <c r="S401" s="348"/>
      <c r="T401" s="386" t="s">
        <v>25</v>
      </c>
      <c r="U401" s="389" t="s">
        <v>1540</v>
      </c>
      <c r="V401" s="432"/>
      <c r="W401" s="358">
        <v>489720</v>
      </c>
      <c r="X401" s="378">
        <v>367290</v>
      </c>
      <c r="Y401" s="430"/>
      <c r="Z401" s="137"/>
      <c r="AA401" s="433"/>
      <c r="AB401" s="434"/>
      <c r="AC401" s="434"/>
      <c r="AD401" s="428" t="s">
        <v>1142</v>
      </c>
      <c r="AE401" s="429">
        <v>0</v>
      </c>
      <c r="AF401" s="429">
        <v>0</v>
      </c>
      <c r="AG401" s="388">
        <v>40810</v>
      </c>
      <c r="AH401" s="388">
        <v>40810</v>
      </c>
      <c r="AI401" s="388">
        <v>40810</v>
      </c>
      <c r="AJ401" s="388">
        <v>40810</v>
      </c>
      <c r="AK401" s="388">
        <v>40810</v>
      </c>
      <c r="AL401" s="388">
        <v>40810</v>
      </c>
      <c r="AM401" s="360">
        <f t="shared" si="21"/>
        <v>244860</v>
      </c>
      <c r="AN401" s="362">
        <f>ERP_2[[#This Row],[2026 Working Total]]-ERP_2[[#This Row],[LE2 Final Submission]]</f>
        <v>-122430</v>
      </c>
      <c r="AO401" s="79">
        <v>40810</v>
      </c>
      <c r="AP401" s="79">
        <f t="shared" si="25"/>
        <v>-40810</v>
      </c>
      <c r="AQ401" s="374">
        <f>SUM(ERP_2[[#This Row],[AP01]:[AP06]])-SUM(ERP_2[[#This Row],[AP01 LE2]:[AP06 LE2]])</f>
        <v>-122430</v>
      </c>
      <c r="AR401" s="80"/>
      <c r="AS401" s="79">
        <f>ERP_2[[#This Row],[2026 Working Total to Budget/LE]]-ERP_2[[#This Row],[Giveback]]</f>
        <v>-122430</v>
      </c>
      <c r="AT401" s="81"/>
      <c r="AU401" s="375"/>
      <c r="AV401" s="375"/>
      <c r="AW401" s="375"/>
      <c r="AX401" s="375">
        <v>40810</v>
      </c>
      <c r="AY401" s="375">
        <v>40810</v>
      </c>
      <c r="AZ401" s="375">
        <v>40810</v>
      </c>
      <c r="BA401" s="375">
        <v>40810</v>
      </c>
      <c r="BB401" s="375">
        <v>40810</v>
      </c>
      <c r="BC401" s="375">
        <v>40810</v>
      </c>
      <c r="BD401" s="375">
        <v>40810</v>
      </c>
      <c r="BE401" s="375">
        <v>40810</v>
      </c>
      <c r="BF401" s="375">
        <v>40810</v>
      </c>
      <c r="BG401" s="375">
        <v>367290</v>
      </c>
      <c r="BH401" s="103">
        <v>40810</v>
      </c>
      <c r="BI401" s="103">
        <v>40810</v>
      </c>
      <c r="BJ401" s="103">
        <v>40810</v>
      </c>
      <c r="BK401" s="103">
        <v>40810</v>
      </c>
      <c r="BL401" s="103">
        <v>40810</v>
      </c>
      <c r="BM401" s="103">
        <v>40810</v>
      </c>
      <c r="BN401" s="103">
        <v>40810</v>
      </c>
      <c r="BO401" s="103">
        <v>40810</v>
      </c>
      <c r="BP401" s="103">
        <v>40810</v>
      </c>
      <c r="BQ401" s="103">
        <v>40810</v>
      </c>
      <c r="BR401" s="103">
        <v>40810</v>
      </c>
      <c r="BS401" s="103">
        <v>40810</v>
      </c>
      <c r="BT401" s="79">
        <f>SUM(ERP_2[[#This Row],[2026 AP01]:[2026 AP12]])</f>
        <v>489720</v>
      </c>
    </row>
    <row r="402" spans="1:72" ht="15" hidden="1" customHeight="1">
      <c r="A402" s="66" t="s">
        <v>1546</v>
      </c>
      <c r="B402" s="66"/>
      <c r="C402" s="66" t="s">
        <v>255</v>
      </c>
      <c r="D402" s="66" t="s">
        <v>255</v>
      </c>
      <c r="E402" s="150" t="s">
        <v>1136</v>
      </c>
      <c r="F402" s="482" t="s">
        <v>1566</v>
      </c>
      <c r="G402" s="150" t="s">
        <v>1515</v>
      </c>
      <c r="H402" s="383" t="s">
        <v>1515</v>
      </c>
      <c r="I402" s="150" t="s">
        <v>1345</v>
      </c>
      <c r="J402" s="150" t="s">
        <v>1515</v>
      </c>
      <c r="K402" s="150" t="s">
        <v>1346</v>
      </c>
      <c r="L402" s="511" t="s">
        <v>49</v>
      </c>
      <c r="M402" s="392" t="s">
        <v>1547</v>
      </c>
      <c r="N402" s="343" t="s">
        <v>1206</v>
      </c>
      <c r="O402" s="346" t="s">
        <v>1531</v>
      </c>
      <c r="P402" s="70" t="s">
        <v>256</v>
      </c>
      <c r="Q402" s="346"/>
      <c r="R402" s="346" t="s">
        <v>2909</v>
      </c>
      <c r="S402" s="346"/>
      <c r="T402" s="150" t="s">
        <v>25</v>
      </c>
      <c r="U402" s="150"/>
      <c r="V402" s="403"/>
      <c r="W402" s="406">
        <v>529998.96000000008</v>
      </c>
      <c r="X402" s="406">
        <v>367389.04999999993</v>
      </c>
      <c r="Y402" s="425"/>
      <c r="Z402" s="71"/>
      <c r="AA402" s="426">
        <v>31387.97</v>
      </c>
      <c r="AB402" s="427">
        <v>29660.06</v>
      </c>
      <c r="AC402" s="427">
        <v>28355.06</v>
      </c>
      <c r="AD402" s="428">
        <v>376.37999999999738</v>
      </c>
      <c r="AE402" s="481">
        <v>30599.67</v>
      </c>
      <c r="AF402" s="429">
        <v>50661.62</v>
      </c>
      <c r="AG402" s="363">
        <v>36080.219999999994</v>
      </c>
      <c r="AH402" s="363">
        <v>26514.909999999996</v>
      </c>
      <c r="AI402" s="363">
        <v>26514.909999999996</v>
      </c>
      <c r="AJ402" s="363">
        <v>36080.219999999994</v>
      </c>
      <c r="AK402" s="363">
        <v>36080.219999999994</v>
      </c>
      <c r="AL402" s="363">
        <v>36080.219999999994</v>
      </c>
      <c r="AM402" s="360">
        <f t="shared" si="21"/>
        <v>368391.45999999996</v>
      </c>
      <c r="AN402" s="362">
        <f>ERP_2[[#This Row],[2026 Working Total]]-ERP_2[[#This Row],[LE2 Final Submission]]</f>
        <v>1002.4100000000326</v>
      </c>
      <c r="AO402" s="79">
        <v>36080.219999999994</v>
      </c>
      <c r="AP402" s="79">
        <f t="shared" si="25"/>
        <v>14581.400000000009</v>
      </c>
      <c r="AQ402" s="374">
        <f>SUM(ERP_2[[#This Row],[AP01]:[AP06]])-SUM(ERP_2[[#This Row],[AP01 LE2]:[AP06 LE2]])</f>
        <v>1002.4100000000035</v>
      </c>
      <c r="AR402" s="80"/>
      <c r="AS402" s="79">
        <f>ERP_2[[#This Row],[2026 Working Total to Budget/LE]]-ERP_2[[#This Row],[Giveback]]</f>
        <v>1002.4100000000326</v>
      </c>
      <c r="AT402" s="81"/>
      <c r="AU402" s="375">
        <v>31387.97</v>
      </c>
      <c r="AV402" s="375">
        <v>29660.06</v>
      </c>
      <c r="AW402" s="375">
        <v>28355.06</v>
      </c>
      <c r="AX402" s="375">
        <v>8474.82</v>
      </c>
      <c r="AY402" s="375">
        <v>36080.219999999994</v>
      </c>
      <c r="AZ402" s="375">
        <v>36080.219999999994</v>
      </c>
      <c r="BA402" s="375">
        <v>36080.219999999994</v>
      </c>
      <c r="BB402" s="375">
        <v>26514.909999999996</v>
      </c>
      <c r="BC402" s="375">
        <v>26514.909999999996</v>
      </c>
      <c r="BD402" s="375">
        <v>36080.219999999994</v>
      </c>
      <c r="BE402" s="375">
        <v>36080.219999999994</v>
      </c>
      <c r="BF402" s="375">
        <v>36080.219999999994</v>
      </c>
      <c r="BG402" s="375">
        <v>367389.04999999993</v>
      </c>
      <c r="BH402" s="79">
        <v>31387.97</v>
      </c>
      <c r="BI402" s="79">
        <v>29660.06</v>
      </c>
      <c r="BJ402" s="79">
        <v>28355.06</v>
      </c>
      <c r="BK402" s="79">
        <v>44166.58</v>
      </c>
      <c r="BL402" s="79">
        <v>44166.58</v>
      </c>
      <c r="BM402" s="79">
        <v>44166.58</v>
      </c>
      <c r="BN402" s="79">
        <v>44166.58</v>
      </c>
      <c r="BO402" s="79">
        <v>44166.58</v>
      </c>
      <c r="BP402" s="79">
        <v>44166.58</v>
      </c>
      <c r="BQ402" s="79">
        <v>44166.58</v>
      </c>
      <c r="BR402" s="79">
        <v>44166.58</v>
      </c>
      <c r="BS402" s="79">
        <v>44166.58</v>
      </c>
      <c r="BT402" s="79">
        <v>486902.31000000011</v>
      </c>
    </row>
    <row r="403" spans="1:72" ht="15" hidden="1" customHeight="1">
      <c r="A403" s="66" t="s">
        <v>1549</v>
      </c>
      <c r="B403" s="66"/>
      <c r="C403" s="66" t="s">
        <v>257</v>
      </c>
      <c r="D403" s="66" t="s">
        <v>257</v>
      </c>
      <c r="E403" s="150" t="s">
        <v>1136</v>
      </c>
      <c r="F403" s="482" t="s">
        <v>1566</v>
      </c>
      <c r="G403" s="150" t="s">
        <v>1515</v>
      </c>
      <c r="H403" s="383" t="s">
        <v>1515</v>
      </c>
      <c r="I403" s="150" t="s">
        <v>1345</v>
      </c>
      <c r="J403" s="150" t="s">
        <v>1515</v>
      </c>
      <c r="K403" s="150" t="s">
        <v>1346</v>
      </c>
      <c r="L403" s="511" t="s">
        <v>49</v>
      </c>
      <c r="M403" s="392" t="s">
        <v>1550</v>
      </c>
      <c r="N403" s="343"/>
      <c r="O403" s="346" t="s">
        <v>1531</v>
      </c>
      <c r="P403" s="70" t="s">
        <v>258</v>
      </c>
      <c r="Q403" s="346"/>
      <c r="R403" s="346" t="s">
        <v>1187</v>
      </c>
      <c r="S403" s="346"/>
      <c r="T403" s="150" t="s">
        <v>25</v>
      </c>
      <c r="U403" s="150" t="s">
        <v>1521</v>
      </c>
      <c r="V403" s="403"/>
      <c r="W403" s="406">
        <v>624000</v>
      </c>
      <c r="X403" s="406">
        <v>592260.42999999993</v>
      </c>
      <c r="Y403" s="425"/>
      <c r="Z403" s="71"/>
      <c r="AA403" s="426">
        <v>67126.64</v>
      </c>
      <c r="AB403" s="427">
        <v>74377.41</v>
      </c>
      <c r="AC403" s="427">
        <v>83640.33</v>
      </c>
      <c r="AD403" s="428">
        <v>-58284.780000000013</v>
      </c>
      <c r="AE403" s="429">
        <v>17767.169999999998</v>
      </c>
      <c r="AF403" s="429">
        <v>-37705.19</v>
      </c>
      <c r="AG403" s="363">
        <v>37705.5</v>
      </c>
      <c r="AH403" s="363">
        <v>47270.81</v>
      </c>
      <c r="AI403" s="363">
        <v>47270.81</v>
      </c>
      <c r="AJ403" s="363">
        <v>47270.81</v>
      </c>
      <c r="AK403" s="363">
        <v>47270.81</v>
      </c>
      <c r="AL403" s="363">
        <v>47270.81</v>
      </c>
      <c r="AM403" s="360">
        <f t="shared" si="21"/>
        <v>420981.12999999995</v>
      </c>
      <c r="AN403" s="362">
        <f>ERP_2[[#This Row],[2026 Working Total]]-ERP_2[[#This Row],[LE2 Final Submission]]</f>
        <v>-171279.3</v>
      </c>
      <c r="AO403" s="79">
        <v>37705.5</v>
      </c>
      <c r="AP403" s="79">
        <f t="shared" si="25"/>
        <v>-75410.69</v>
      </c>
      <c r="AQ403" s="374">
        <f>SUM(ERP_2[[#This Row],[AP01]:[AP06]])-SUM(ERP_2[[#This Row],[AP01 LE2]:[AP06 LE2]])</f>
        <v>-171279.30000000005</v>
      </c>
      <c r="AR403" s="80"/>
      <c r="AS403" s="79">
        <f>ERP_2[[#This Row],[2026 Working Total to Budget/LE]]-ERP_2[[#This Row],[Giveback]]</f>
        <v>-171279.3</v>
      </c>
      <c r="AT403" s="81"/>
      <c r="AU403" s="375">
        <v>67126.64</v>
      </c>
      <c r="AV403" s="375">
        <v>74377.41</v>
      </c>
      <c r="AW403" s="375">
        <v>83640.33</v>
      </c>
      <c r="AX403" s="375">
        <v>17645.5</v>
      </c>
      <c r="AY403" s="375">
        <v>37705.5</v>
      </c>
      <c r="AZ403" s="375">
        <v>37705.5</v>
      </c>
      <c r="BA403" s="375">
        <v>37705.5</v>
      </c>
      <c r="BB403" s="375">
        <v>47270.81</v>
      </c>
      <c r="BC403" s="375">
        <v>47270.81</v>
      </c>
      <c r="BD403" s="375">
        <v>47270.81</v>
      </c>
      <c r="BE403" s="375">
        <v>47270.81</v>
      </c>
      <c r="BF403" s="375">
        <v>47270.81</v>
      </c>
      <c r="BG403" s="375">
        <v>592260.42999999993</v>
      </c>
      <c r="BH403" s="79">
        <v>67126.64</v>
      </c>
      <c r="BI403" s="79">
        <v>74377.41</v>
      </c>
      <c r="BJ403" s="79">
        <v>83640.33</v>
      </c>
      <c r="BK403" s="79">
        <v>71858</v>
      </c>
      <c r="BL403" s="79">
        <v>71858</v>
      </c>
      <c r="BM403" s="79">
        <v>71858</v>
      </c>
      <c r="BN403" s="79">
        <v>71858</v>
      </c>
      <c r="BO403" s="79">
        <v>71858</v>
      </c>
      <c r="BP403" s="79">
        <v>71858</v>
      </c>
      <c r="BQ403" s="79">
        <v>71858</v>
      </c>
      <c r="BR403" s="79">
        <v>71858</v>
      </c>
      <c r="BS403" s="79">
        <v>71858</v>
      </c>
      <c r="BT403" s="79">
        <v>871866.38</v>
      </c>
    </row>
    <row r="404" spans="1:72" ht="15" hidden="1" customHeight="1">
      <c r="A404" s="66" t="s">
        <v>1551</v>
      </c>
      <c r="B404" s="66"/>
      <c r="C404" s="66" t="s">
        <v>259</v>
      </c>
      <c r="D404" s="66" t="s">
        <v>259</v>
      </c>
      <c r="E404" s="150" t="s">
        <v>1136</v>
      </c>
      <c r="F404" s="482" t="s">
        <v>1566</v>
      </c>
      <c r="G404" s="150" t="s">
        <v>1515</v>
      </c>
      <c r="H404" s="383" t="s">
        <v>1515</v>
      </c>
      <c r="I404" s="150" t="s">
        <v>1345</v>
      </c>
      <c r="J404" s="150" t="s">
        <v>1515</v>
      </c>
      <c r="K404" s="150" t="s">
        <v>1346</v>
      </c>
      <c r="L404" s="511" t="s">
        <v>49</v>
      </c>
      <c r="M404" s="392" t="s">
        <v>1367</v>
      </c>
      <c r="N404" s="343"/>
      <c r="O404" s="343"/>
      <c r="P404" s="70" t="s">
        <v>163</v>
      </c>
      <c r="Q404" s="346" t="s">
        <v>1139</v>
      </c>
      <c r="R404" s="343"/>
      <c r="S404" s="346"/>
      <c r="T404" s="150" t="s">
        <v>25</v>
      </c>
      <c r="U404" s="150"/>
      <c r="V404" s="403"/>
      <c r="W404" s="406">
        <v>270422.03999999992</v>
      </c>
      <c r="X404" s="406">
        <v>166650</v>
      </c>
      <c r="Y404" s="425"/>
      <c r="Z404" s="71"/>
      <c r="AA404" s="426"/>
      <c r="AB404" s="427"/>
      <c r="AC404" s="427"/>
      <c r="AD404" s="428" t="s">
        <v>1142</v>
      </c>
      <c r="AE404" s="429">
        <v>0</v>
      </c>
      <c r="AF404" s="429">
        <v>0</v>
      </c>
      <c r="AG404" s="363">
        <v>7837.5</v>
      </c>
      <c r="AH404" s="363">
        <v>7837.5</v>
      </c>
      <c r="AI404" s="363">
        <v>7837.5</v>
      </c>
      <c r="AJ404" s="363">
        <v>7837.5</v>
      </c>
      <c r="AK404" s="363">
        <v>7837.5</v>
      </c>
      <c r="AL404" s="363">
        <v>7837.5</v>
      </c>
      <c r="AM404" s="360">
        <f t="shared" si="21"/>
        <v>47025</v>
      </c>
      <c r="AN404" s="362">
        <f>ERP_2[[#This Row],[2026 Working Total]]-ERP_2[[#This Row],[LE2 Final Submission]]</f>
        <v>-119625</v>
      </c>
      <c r="AO404" s="79">
        <v>111787.5</v>
      </c>
      <c r="AP404" s="79">
        <f t="shared" si="25"/>
        <v>-111787.5</v>
      </c>
      <c r="AQ404" s="374">
        <f>SUM(ERP_2[[#This Row],[AP01]:[AP06]])-SUM(ERP_2[[#This Row],[AP01 LE2]:[AP06 LE2]])</f>
        <v>-119625</v>
      </c>
      <c r="AR404" s="80"/>
      <c r="AS404" s="79">
        <f>ERP_2[[#This Row],[2026 Working Total to Budget/LE]]-ERP_2[[#This Row],[Giveback]]</f>
        <v>-119625</v>
      </c>
      <c r="AT404" s="81"/>
      <c r="AU404" s="375"/>
      <c r="AV404" s="375"/>
      <c r="AW404" s="375"/>
      <c r="AX404" s="375">
        <v>0</v>
      </c>
      <c r="AY404" s="375">
        <v>111787.5</v>
      </c>
      <c r="AZ404" s="375">
        <v>7837.5</v>
      </c>
      <c r="BA404" s="375">
        <v>7837.5</v>
      </c>
      <c r="BB404" s="375">
        <v>7837.5</v>
      </c>
      <c r="BC404" s="375">
        <v>7837.5</v>
      </c>
      <c r="BD404" s="375">
        <v>7837.5</v>
      </c>
      <c r="BE404" s="375">
        <v>7837.5</v>
      </c>
      <c r="BF404" s="375">
        <v>7837.5</v>
      </c>
      <c r="BG404" s="375">
        <v>166650</v>
      </c>
      <c r="BH404" s="79"/>
      <c r="BI404" s="79"/>
      <c r="BJ404" s="79"/>
      <c r="BK404" s="79">
        <v>26158</v>
      </c>
      <c r="BL404" s="79">
        <v>26158</v>
      </c>
      <c r="BM404" s="79">
        <v>26158</v>
      </c>
      <c r="BN404" s="79">
        <v>26158</v>
      </c>
      <c r="BO404" s="79">
        <v>26158</v>
      </c>
      <c r="BP404" s="79">
        <v>26158</v>
      </c>
      <c r="BQ404" s="79">
        <v>26158</v>
      </c>
      <c r="BR404" s="79">
        <v>26158</v>
      </c>
      <c r="BS404" s="79">
        <v>26158</v>
      </c>
      <c r="BT404" s="79">
        <v>235422</v>
      </c>
    </row>
    <row r="405" spans="1:72" ht="15" hidden="1" customHeight="1">
      <c r="A405" s="66" t="s">
        <v>1552</v>
      </c>
      <c r="B405" s="66"/>
      <c r="C405" s="66" t="s">
        <v>260</v>
      </c>
      <c r="D405" s="66" t="s">
        <v>260</v>
      </c>
      <c r="E405" s="150" t="s">
        <v>1136</v>
      </c>
      <c r="F405" s="482" t="s">
        <v>1566</v>
      </c>
      <c r="G405" s="150" t="s">
        <v>1515</v>
      </c>
      <c r="H405" s="383" t="s">
        <v>1515</v>
      </c>
      <c r="I405" s="150" t="s">
        <v>1345</v>
      </c>
      <c r="J405" s="150" t="s">
        <v>1515</v>
      </c>
      <c r="K405" s="150" t="s">
        <v>1346</v>
      </c>
      <c r="L405" s="511" t="s">
        <v>49</v>
      </c>
      <c r="M405" s="392" t="s">
        <v>1553</v>
      </c>
      <c r="N405" s="343"/>
      <c r="O405" s="343"/>
      <c r="P405" s="70" t="s">
        <v>261</v>
      </c>
      <c r="Q405" s="346"/>
      <c r="R405" s="343"/>
      <c r="S405" s="346"/>
      <c r="T405" s="150" t="s">
        <v>25</v>
      </c>
      <c r="U405" s="150"/>
      <c r="V405" s="403"/>
      <c r="W405" s="406">
        <v>10277</v>
      </c>
      <c r="X405" s="406">
        <v>10277</v>
      </c>
      <c r="Y405" s="425"/>
      <c r="Z405" s="71"/>
      <c r="AA405" s="426"/>
      <c r="AB405" s="427"/>
      <c r="AC405" s="427"/>
      <c r="AD405" s="428" t="s">
        <v>1142</v>
      </c>
      <c r="AE405" s="429">
        <v>0</v>
      </c>
      <c r="AF405" s="429">
        <v>0</v>
      </c>
      <c r="AG405" s="360">
        <v>0</v>
      </c>
      <c r="AH405" s="363">
        <v>5723</v>
      </c>
      <c r="AI405" s="360">
        <v>0</v>
      </c>
      <c r="AJ405" s="360">
        <v>0</v>
      </c>
      <c r="AK405" s="360">
        <v>0</v>
      </c>
      <c r="AL405" s="360">
        <v>0</v>
      </c>
      <c r="AM405" s="360">
        <f t="shared" si="21"/>
        <v>5723</v>
      </c>
      <c r="AN405" s="362">
        <f>ERP_2[[#This Row],[2026 Working Total]]-ERP_2[[#This Row],[LE2 Final Submission]]</f>
        <v>-4554</v>
      </c>
      <c r="AO405" s="79">
        <v>4554</v>
      </c>
      <c r="AP405" s="79">
        <f t="shared" si="25"/>
        <v>-4554</v>
      </c>
      <c r="AQ405" s="374">
        <f>SUM(ERP_2[[#This Row],[AP01]:[AP06]])-SUM(ERP_2[[#This Row],[AP01 LE2]:[AP06 LE2]])</f>
        <v>-4554</v>
      </c>
      <c r="AR405" s="80"/>
      <c r="AS405" s="79">
        <f>ERP_2[[#This Row],[2026 Working Total to Budget/LE]]-ERP_2[[#This Row],[Giveback]]</f>
        <v>-4554</v>
      </c>
      <c r="AT405" s="81"/>
      <c r="AU405" s="375"/>
      <c r="AV405" s="375"/>
      <c r="AW405" s="375"/>
      <c r="AX405" s="375"/>
      <c r="AY405" s="375">
        <v>4554</v>
      </c>
      <c r="AZ405" s="375">
        <v>0</v>
      </c>
      <c r="BA405" s="375">
        <v>0</v>
      </c>
      <c r="BB405" s="375">
        <v>5723</v>
      </c>
      <c r="BC405" s="375">
        <v>0</v>
      </c>
      <c r="BD405" s="375">
        <v>0</v>
      </c>
      <c r="BE405" s="375">
        <v>0</v>
      </c>
      <c r="BF405" s="375">
        <v>0</v>
      </c>
      <c r="BG405" s="375">
        <v>10277</v>
      </c>
      <c r="BH405" s="79"/>
      <c r="BI405" s="79"/>
      <c r="BJ405" s="79"/>
      <c r="BK405" s="79"/>
      <c r="BL405" s="79">
        <v>4554</v>
      </c>
      <c r="BM405" s="79">
        <v>0</v>
      </c>
      <c r="BN405" s="79">
        <v>0</v>
      </c>
      <c r="BO405" s="79">
        <v>5723</v>
      </c>
      <c r="BP405" s="79">
        <v>0</v>
      </c>
      <c r="BQ405" s="79">
        <v>0</v>
      </c>
      <c r="BR405" s="79">
        <v>0</v>
      </c>
      <c r="BS405" s="79">
        <v>0</v>
      </c>
      <c r="BT405" s="79">
        <v>10277</v>
      </c>
    </row>
    <row r="406" spans="1:72" ht="15" hidden="1" customHeight="1">
      <c r="A406" s="66" t="s">
        <v>1554</v>
      </c>
      <c r="B406" s="66"/>
      <c r="C406" s="66" t="s">
        <v>262</v>
      </c>
      <c r="D406" s="66" t="s">
        <v>262</v>
      </c>
      <c r="E406" s="150" t="s">
        <v>1136</v>
      </c>
      <c r="F406" s="482" t="s">
        <v>1566</v>
      </c>
      <c r="G406" s="150" t="s">
        <v>1515</v>
      </c>
      <c r="H406" s="383" t="s">
        <v>1515</v>
      </c>
      <c r="I406" s="150" t="s">
        <v>1345</v>
      </c>
      <c r="J406" s="150" t="s">
        <v>1515</v>
      </c>
      <c r="K406" s="150" t="s">
        <v>1346</v>
      </c>
      <c r="L406" s="511" t="s">
        <v>49</v>
      </c>
      <c r="M406" s="392" t="s">
        <v>1555</v>
      </c>
      <c r="N406" s="343"/>
      <c r="O406" s="346" t="s">
        <v>1531</v>
      </c>
      <c r="P406" s="70" t="s">
        <v>263</v>
      </c>
      <c r="Q406" s="346"/>
      <c r="R406" s="346" t="s">
        <v>1556</v>
      </c>
      <c r="S406" s="346"/>
      <c r="T406" s="150" t="s">
        <v>25</v>
      </c>
      <c r="U406" s="150"/>
      <c r="V406" s="403"/>
      <c r="W406" s="406">
        <v>357309.48</v>
      </c>
      <c r="X406" s="406">
        <v>263234.2</v>
      </c>
      <c r="Y406" s="425"/>
      <c r="Z406" s="71"/>
      <c r="AA406" s="426"/>
      <c r="AB406" s="427"/>
      <c r="AC406" s="427">
        <v>168756.2</v>
      </c>
      <c r="AD406" s="428">
        <v>54312.340000000011</v>
      </c>
      <c r="AE406" s="429">
        <v>54312.34</v>
      </c>
      <c r="AF406" s="429">
        <v>67890.420000000013</v>
      </c>
      <c r="AG406" s="363">
        <v>11809.75</v>
      </c>
      <c r="AH406" s="363">
        <v>11809.75</v>
      </c>
      <c r="AI406" s="363">
        <v>11809.75</v>
      </c>
      <c r="AJ406" s="363">
        <v>11809.75</v>
      </c>
      <c r="AK406" s="363">
        <v>11809.75</v>
      </c>
      <c r="AL406" s="363">
        <v>11809.75</v>
      </c>
      <c r="AM406" s="360">
        <f t="shared" si="21"/>
        <v>416129.80000000005</v>
      </c>
      <c r="AN406" s="362">
        <f>ERP_2[[#This Row],[2026 Working Total]]-ERP_2[[#This Row],[LE2 Final Submission]]</f>
        <v>152895.60000000003</v>
      </c>
      <c r="AO406" s="79">
        <v>11809.75</v>
      </c>
      <c r="AP406" s="79">
        <f t="shared" si="25"/>
        <v>56080.670000000013</v>
      </c>
      <c r="AQ406" s="374">
        <f>SUM(ERP_2[[#This Row],[AP01]:[AP06]])-SUM(ERP_2[[#This Row],[AP01 LE2]:[AP06 LE2]])</f>
        <v>152895.60000000003</v>
      </c>
      <c r="AR406" s="80"/>
      <c r="AS406" s="79">
        <f>ERP_2[[#This Row],[2026 Working Total to Budget/LE]]-ERP_2[[#This Row],[Giveback]]</f>
        <v>152895.60000000003</v>
      </c>
      <c r="AT406" s="81"/>
      <c r="AU406" s="375"/>
      <c r="AV406" s="375"/>
      <c r="AW406" s="375">
        <v>168756.2</v>
      </c>
      <c r="AX406" s="375">
        <v>0</v>
      </c>
      <c r="AY406" s="375">
        <v>11809.75</v>
      </c>
      <c r="AZ406" s="375">
        <v>11809.75</v>
      </c>
      <c r="BA406" s="375">
        <v>11809.75</v>
      </c>
      <c r="BB406" s="375">
        <v>11809.75</v>
      </c>
      <c r="BC406" s="375">
        <v>11809.75</v>
      </c>
      <c r="BD406" s="375">
        <v>11809.75</v>
      </c>
      <c r="BE406" s="375">
        <v>11809.75</v>
      </c>
      <c r="BF406" s="375">
        <v>11809.75</v>
      </c>
      <c r="BG406" s="375">
        <v>263234.2</v>
      </c>
      <c r="BH406" s="79"/>
      <c r="BI406" s="79"/>
      <c r="BJ406" s="79">
        <v>168756.2</v>
      </c>
      <c r="BK406" s="79">
        <v>29775.79</v>
      </c>
      <c r="BL406" s="79">
        <v>29775.79</v>
      </c>
      <c r="BM406" s="79">
        <v>29775.79</v>
      </c>
      <c r="BN406" s="79">
        <v>29775.79</v>
      </c>
      <c r="BO406" s="79">
        <v>29775.79</v>
      </c>
      <c r="BP406" s="79">
        <v>29775.79</v>
      </c>
      <c r="BQ406" s="79">
        <v>29775.79</v>
      </c>
      <c r="BR406" s="79">
        <v>29775.79</v>
      </c>
      <c r="BS406" s="79">
        <v>29775.79</v>
      </c>
      <c r="BT406" s="79">
        <v>436738.30999999994</v>
      </c>
    </row>
    <row r="407" spans="1:72" ht="15" hidden="1" customHeight="1">
      <c r="A407" s="66" t="s">
        <v>1557</v>
      </c>
      <c r="B407" s="66"/>
      <c r="C407" s="66" t="s">
        <v>264</v>
      </c>
      <c r="D407" s="66" t="s">
        <v>264</v>
      </c>
      <c r="E407" s="150" t="s">
        <v>1136</v>
      </c>
      <c r="F407" s="482" t="s">
        <v>1566</v>
      </c>
      <c r="G407" s="150" t="s">
        <v>1515</v>
      </c>
      <c r="H407" s="383" t="s">
        <v>1515</v>
      </c>
      <c r="I407" s="150" t="s">
        <v>1345</v>
      </c>
      <c r="J407" s="150" t="s">
        <v>1515</v>
      </c>
      <c r="K407" s="150" t="s">
        <v>1346</v>
      </c>
      <c r="L407" s="511" t="s">
        <v>49</v>
      </c>
      <c r="M407" s="392" t="s">
        <v>1558</v>
      </c>
      <c r="N407" s="343"/>
      <c r="O407" s="343"/>
      <c r="P407" s="70" t="s">
        <v>265</v>
      </c>
      <c r="Q407" s="346"/>
      <c r="R407" s="343"/>
      <c r="S407" s="346"/>
      <c r="T407" s="150" t="s">
        <v>119</v>
      </c>
      <c r="U407" s="150"/>
      <c r="V407" s="403"/>
      <c r="W407" s="406">
        <v>25000</v>
      </c>
      <c r="X407" s="406">
        <v>25000</v>
      </c>
      <c r="Y407" s="425"/>
      <c r="Z407" s="71"/>
      <c r="AA407" s="426"/>
      <c r="AB407" s="427"/>
      <c r="AC407" s="427"/>
      <c r="AD407" s="428" t="s">
        <v>1142</v>
      </c>
      <c r="AE407" s="429">
        <v>0</v>
      </c>
      <c r="AF407" s="429">
        <v>0</v>
      </c>
      <c r="AG407" s="363"/>
      <c r="AH407" s="363">
        <v>25000</v>
      </c>
      <c r="AI407" s="360">
        <v>0</v>
      </c>
      <c r="AJ407" s="360">
        <v>0</v>
      </c>
      <c r="AK407" s="360">
        <v>0</v>
      </c>
      <c r="AL407" s="360">
        <v>0</v>
      </c>
      <c r="AM407" s="360">
        <f t="shared" si="21"/>
        <v>25000</v>
      </c>
      <c r="AN407" s="362">
        <f>ERP_2[[#This Row],[2026 Working Total]]-ERP_2[[#This Row],[LE2 Final Submission]]</f>
        <v>0</v>
      </c>
      <c r="AO407" s="79"/>
      <c r="AP407" s="79">
        <f t="shared" si="25"/>
        <v>0</v>
      </c>
      <c r="AQ407" s="374">
        <f>SUM(ERP_2[[#This Row],[AP01]:[AP06]])-SUM(ERP_2[[#This Row],[AP01 LE2]:[AP06 LE2]])</f>
        <v>0</v>
      </c>
      <c r="AR407" s="80"/>
      <c r="AS407" s="79">
        <f>ERP_2[[#This Row],[2026 Working Total to Budget/LE]]-ERP_2[[#This Row],[Giveback]]</f>
        <v>0</v>
      </c>
      <c r="AT407" s="81"/>
      <c r="AU407" s="375"/>
      <c r="AV407" s="375"/>
      <c r="AW407" s="375"/>
      <c r="AX407" s="375"/>
      <c r="AY407" s="375"/>
      <c r="AZ407" s="375"/>
      <c r="BA407" s="375"/>
      <c r="BB407" s="375">
        <v>25000</v>
      </c>
      <c r="BC407" s="375">
        <v>0</v>
      </c>
      <c r="BD407" s="375">
        <v>0</v>
      </c>
      <c r="BE407" s="375">
        <v>0</v>
      </c>
      <c r="BF407" s="375">
        <v>0</v>
      </c>
      <c r="BG407" s="375">
        <v>25000</v>
      </c>
      <c r="BH407" s="79"/>
      <c r="BI407" s="79"/>
      <c r="BJ407" s="79"/>
      <c r="BK407" s="79"/>
      <c r="BL407" s="79"/>
      <c r="BM407" s="79"/>
      <c r="BN407" s="79"/>
      <c r="BO407" s="79">
        <v>25000</v>
      </c>
      <c r="BP407" s="79">
        <v>0</v>
      </c>
      <c r="BQ407" s="79">
        <v>0</v>
      </c>
      <c r="BR407" s="79">
        <v>0</v>
      </c>
      <c r="BS407" s="79">
        <v>0</v>
      </c>
      <c r="BT407" s="79">
        <v>25000</v>
      </c>
    </row>
    <row r="408" spans="1:72" ht="15" hidden="1" customHeight="1">
      <c r="A408" s="66" t="s">
        <v>1559</v>
      </c>
      <c r="B408" s="66"/>
      <c r="C408" s="66" t="s">
        <v>266</v>
      </c>
      <c r="D408" s="66" t="s">
        <v>266</v>
      </c>
      <c r="E408" s="150" t="s">
        <v>1136</v>
      </c>
      <c r="F408" s="482" t="s">
        <v>1566</v>
      </c>
      <c r="G408" s="150" t="s">
        <v>1515</v>
      </c>
      <c r="H408" s="383" t="s">
        <v>1515</v>
      </c>
      <c r="I408" s="150" t="s">
        <v>1345</v>
      </c>
      <c r="J408" s="150" t="s">
        <v>1515</v>
      </c>
      <c r="K408" s="150" t="s">
        <v>1346</v>
      </c>
      <c r="L408" s="511" t="s">
        <v>49</v>
      </c>
      <c r="M408" s="392" t="s">
        <v>1560</v>
      </c>
      <c r="N408" s="343"/>
      <c r="O408" s="346" t="s">
        <v>1531</v>
      </c>
      <c r="P408" s="70" t="s">
        <v>267</v>
      </c>
      <c r="Q408" s="346"/>
      <c r="R408" s="346" t="s">
        <v>1187</v>
      </c>
      <c r="S408" s="346"/>
      <c r="T408" s="150" t="s">
        <v>25</v>
      </c>
      <c r="U408" s="150" t="s">
        <v>1561</v>
      </c>
      <c r="V408" s="403"/>
      <c r="W408" s="406">
        <v>325000.08000000007</v>
      </c>
      <c r="X408" s="406">
        <v>378801.32</v>
      </c>
      <c r="Y408" s="425"/>
      <c r="Z408" s="71"/>
      <c r="AA408" s="426">
        <v>43362</v>
      </c>
      <c r="AB408" s="427">
        <v>48564.89</v>
      </c>
      <c r="AC408" s="427">
        <v>60706.43</v>
      </c>
      <c r="AD408" s="428">
        <v>-38405.19000000001</v>
      </c>
      <c r="AE408" s="429">
        <v>41122.75</v>
      </c>
      <c r="AF408" s="429">
        <v>42728.490000000005</v>
      </c>
      <c r="AG408" s="363">
        <v>29000</v>
      </c>
      <c r="AH408" s="363">
        <v>29000</v>
      </c>
      <c r="AI408" s="363">
        <v>28000</v>
      </c>
      <c r="AJ408" s="363">
        <v>28500</v>
      </c>
      <c r="AK408" s="363">
        <v>28500</v>
      </c>
      <c r="AL408" s="363">
        <v>28500</v>
      </c>
      <c r="AM408" s="360">
        <f t="shared" si="21"/>
        <v>369579.37</v>
      </c>
      <c r="AN408" s="362">
        <f>ERP_2[[#This Row],[2026 Working Total]]-ERP_2[[#This Row],[LE2 Final Submission]]</f>
        <v>-9221.9500000000116</v>
      </c>
      <c r="AO408" s="79">
        <v>11500</v>
      </c>
      <c r="AP408" s="79">
        <f t="shared" si="25"/>
        <v>31228.490000000005</v>
      </c>
      <c r="AQ408" s="374">
        <f>SUM(ERP_2[[#This Row],[AP01]:[AP06]])-SUM(ERP_2[[#This Row],[AP01 LE2]:[AP06 LE2]])</f>
        <v>-9221.9500000000116</v>
      </c>
      <c r="AR408" s="80"/>
      <c r="AS408" s="79">
        <f>ERP_2[[#This Row],[2026 Working Total to Budget/LE]]-ERP_2[[#This Row],[Giveback]]</f>
        <v>-9221.9500000000116</v>
      </c>
      <c r="AT408" s="189" t="s">
        <v>1518</v>
      </c>
      <c r="AU408" s="377">
        <v>43362</v>
      </c>
      <c r="AV408" s="377">
        <v>48564.89</v>
      </c>
      <c r="AW408" s="377">
        <v>60706.43</v>
      </c>
      <c r="AX408" s="377">
        <v>31668</v>
      </c>
      <c r="AY408" s="377">
        <v>11500</v>
      </c>
      <c r="AZ408" s="377">
        <v>11500</v>
      </c>
      <c r="BA408" s="377">
        <v>29000</v>
      </c>
      <c r="BB408" s="377">
        <v>29000</v>
      </c>
      <c r="BC408" s="377">
        <v>28000</v>
      </c>
      <c r="BD408" s="377">
        <v>28500</v>
      </c>
      <c r="BE408" s="377">
        <v>28500</v>
      </c>
      <c r="BF408" s="377">
        <v>28500</v>
      </c>
      <c r="BG408" s="377">
        <v>378801.32</v>
      </c>
      <c r="BH408" s="79">
        <v>43362</v>
      </c>
      <c r="BI408" s="79">
        <v>48564.89</v>
      </c>
      <c r="BJ408" s="79">
        <v>60706.43</v>
      </c>
      <c r="BK408" s="79">
        <v>49897</v>
      </c>
      <c r="BL408" s="79">
        <v>49897</v>
      </c>
      <c r="BM408" s="79">
        <v>49897</v>
      </c>
      <c r="BN408" s="79">
        <v>49897</v>
      </c>
      <c r="BO408" s="79">
        <v>49897</v>
      </c>
      <c r="BP408" s="79">
        <v>49897</v>
      </c>
      <c r="BQ408" s="79">
        <v>49897</v>
      </c>
      <c r="BR408" s="79">
        <v>49897</v>
      </c>
      <c r="BS408" s="79">
        <v>49897</v>
      </c>
      <c r="BT408" s="79">
        <v>601706.32000000007</v>
      </c>
    </row>
    <row r="409" spans="1:72" ht="15" hidden="1" customHeight="1">
      <c r="A409" s="66" t="s">
        <v>1562</v>
      </c>
      <c r="B409" s="66"/>
      <c r="C409" s="66" t="s">
        <v>268</v>
      </c>
      <c r="D409" s="66" t="s">
        <v>268</v>
      </c>
      <c r="E409" s="150" t="s">
        <v>1136</v>
      </c>
      <c r="F409" s="482" t="s">
        <v>1566</v>
      </c>
      <c r="G409" s="150" t="s">
        <v>1515</v>
      </c>
      <c r="H409" s="383" t="s">
        <v>1515</v>
      </c>
      <c r="I409" s="150" t="s">
        <v>1345</v>
      </c>
      <c r="J409" s="150" t="s">
        <v>1515</v>
      </c>
      <c r="K409" s="150" t="s">
        <v>1346</v>
      </c>
      <c r="L409" s="511" t="s">
        <v>49</v>
      </c>
      <c r="M409" s="392" t="s">
        <v>1327</v>
      </c>
      <c r="N409" s="343"/>
      <c r="O409" s="343"/>
      <c r="P409" s="70" t="s">
        <v>147</v>
      </c>
      <c r="Q409" s="346"/>
      <c r="R409" s="343"/>
      <c r="S409" s="346"/>
      <c r="T409" s="150" t="s">
        <v>25</v>
      </c>
      <c r="U409" s="150"/>
      <c r="V409" s="403"/>
      <c r="W409" s="406">
        <v>0</v>
      </c>
      <c r="X409" s="406">
        <v>19639.919999999998</v>
      </c>
      <c r="Y409" s="425"/>
      <c r="Z409" s="71"/>
      <c r="AA409" s="426">
        <v>-0.23</v>
      </c>
      <c r="AB409" s="427">
        <v>-0.24</v>
      </c>
      <c r="AC409" s="427">
        <v>19640.39</v>
      </c>
      <c r="AD409" s="428">
        <v>0.61</v>
      </c>
      <c r="AE409" s="481">
        <v>-19640.97</v>
      </c>
      <c r="AF409" s="429">
        <v>0.03</v>
      </c>
      <c r="AG409" s="360">
        <v>0</v>
      </c>
      <c r="AH409" s="360">
        <v>0</v>
      </c>
      <c r="AI409" s="360">
        <v>0</v>
      </c>
      <c r="AJ409" s="360">
        <v>0</v>
      </c>
      <c r="AK409" s="360">
        <v>0</v>
      </c>
      <c r="AL409" s="360">
        <v>0</v>
      </c>
      <c r="AM409" s="360">
        <f t="shared" si="21"/>
        <v>-0.41000000000232828</v>
      </c>
      <c r="AN409" s="362">
        <f>ERP_2[[#This Row],[2026 Working Total]]-ERP_2[[#This Row],[LE2 Final Submission]]</f>
        <v>-19640.330000000002</v>
      </c>
      <c r="AO409" s="79">
        <v>0</v>
      </c>
      <c r="AP409" s="79">
        <f t="shared" si="25"/>
        <v>0.03</v>
      </c>
      <c r="AQ409" s="374">
        <f>SUM(ERP_2[[#This Row],[AP01]:[AP06]])-SUM(ERP_2[[#This Row],[AP01 LE2]:[AP06 LE2]])</f>
        <v>-19640.330000000002</v>
      </c>
      <c r="AR409" s="80"/>
      <c r="AS409" s="79">
        <f>ERP_2[[#This Row],[2026 Working Total to Budget/LE]]-ERP_2[[#This Row],[Giveback]]</f>
        <v>-19640.330000000002</v>
      </c>
      <c r="AT409" s="81"/>
      <c r="AU409" s="375">
        <v>-0.23</v>
      </c>
      <c r="AV409" s="375">
        <v>-0.24</v>
      </c>
      <c r="AW409" s="375">
        <v>19640.39</v>
      </c>
      <c r="AX409" s="375">
        <v>0</v>
      </c>
      <c r="AY409" s="375">
        <v>0</v>
      </c>
      <c r="AZ409" s="375">
        <v>0</v>
      </c>
      <c r="BA409" s="375">
        <v>0</v>
      </c>
      <c r="BB409" s="375">
        <v>0</v>
      </c>
      <c r="BC409" s="375">
        <v>0</v>
      </c>
      <c r="BD409" s="375">
        <v>0</v>
      </c>
      <c r="BE409" s="375">
        <v>0</v>
      </c>
      <c r="BF409" s="375">
        <v>0</v>
      </c>
      <c r="BG409" s="375">
        <v>19639.919999999998</v>
      </c>
      <c r="BH409" s="79">
        <v>-0.23</v>
      </c>
      <c r="BI409" s="79">
        <v>-0.24</v>
      </c>
      <c r="BJ409" s="79">
        <v>19640.39</v>
      </c>
      <c r="BK409" s="79">
        <v>0</v>
      </c>
      <c r="BL409" s="79">
        <v>0</v>
      </c>
      <c r="BM409" s="79">
        <v>0</v>
      </c>
      <c r="BN409" s="79">
        <v>0</v>
      </c>
      <c r="BO409" s="79">
        <v>0</v>
      </c>
      <c r="BP409" s="79">
        <v>0</v>
      </c>
      <c r="BQ409" s="79">
        <v>0</v>
      </c>
      <c r="BR409" s="79">
        <v>0</v>
      </c>
      <c r="BS409" s="79">
        <v>0</v>
      </c>
      <c r="BT409" s="79">
        <v>19639.919999999998</v>
      </c>
    </row>
    <row r="410" spans="1:72" ht="15" hidden="1" customHeight="1">
      <c r="A410" s="66" t="s">
        <v>1563</v>
      </c>
      <c r="B410" s="66"/>
      <c r="C410" s="66" t="s">
        <v>269</v>
      </c>
      <c r="D410" s="66" t="s">
        <v>269</v>
      </c>
      <c r="E410" s="150" t="s">
        <v>1136</v>
      </c>
      <c r="F410" s="482" t="s">
        <v>1566</v>
      </c>
      <c r="G410" s="150" t="s">
        <v>1515</v>
      </c>
      <c r="H410" s="383" t="s">
        <v>1515</v>
      </c>
      <c r="I410" s="150" t="s">
        <v>1345</v>
      </c>
      <c r="J410" s="150" t="s">
        <v>1515</v>
      </c>
      <c r="K410" s="150" t="s">
        <v>1346</v>
      </c>
      <c r="L410" s="511" t="s">
        <v>49</v>
      </c>
      <c r="M410" s="392" t="s">
        <v>1340</v>
      </c>
      <c r="N410" s="343"/>
      <c r="O410" s="343"/>
      <c r="P410" s="70" t="s">
        <v>149</v>
      </c>
      <c r="Q410" s="346" t="s">
        <v>1139</v>
      </c>
      <c r="R410" s="343"/>
      <c r="S410" s="346"/>
      <c r="T410" s="150" t="s">
        <v>25</v>
      </c>
      <c r="U410" s="150"/>
      <c r="V410" s="403"/>
      <c r="W410" s="406">
        <v>0</v>
      </c>
      <c r="X410" s="406">
        <v>-54295.289999999994</v>
      </c>
      <c r="Y410" s="425"/>
      <c r="Z410" s="71"/>
      <c r="AA410" s="426">
        <v>-4506.29</v>
      </c>
      <c r="AB410" s="427">
        <v>-29540.02</v>
      </c>
      <c r="AC410" s="427">
        <v>-20248.98</v>
      </c>
      <c r="AD410" s="428">
        <v>0</v>
      </c>
      <c r="AE410" s="429">
        <v>0</v>
      </c>
      <c r="AF410" s="429">
        <v>0</v>
      </c>
      <c r="AG410" s="360">
        <v>0</v>
      </c>
      <c r="AH410" s="360">
        <v>0</v>
      </c>
      <c r="AI410" s="360">
        <v>0</v>
      </c>
      <c r="AJ410" s="360">
        <v>0</v>
      </c>
      <c r="AK410" s="360">
        <v>0</v>
      </c>
      <c r="AL410" s="360">
        <v>0</v>
      </c>
      <c r="AM410" s="360">
        <f t="shared" si="21"/>
        <v>-54295.289999999994</v>
      </c>
      <c r="AN410" s="362">
        <f>ERP_2[[#This Row],[2026 Working Total]]-ERP_2[[#This Row],[LE2 Final Submission]]</f>
        <v>0</v>
      </c>
      <c r="AO410" s="79">
        <v>0</v>
      </c>
      <c r="AP410" s="79">
        <f t="shared" si="25"/>
        <v>0</v>
      </c>
      <c r="AQ410" s="374">
        <f>SUM(ERP_2[[#This Row],[AP01]:[AP06]])-SUM(ERP_2[[#This Row],[AP01 LE2]:[AP06 LE2]])</f>
        <v>0</v>
      </c>
      <c r="AR410" s="80"/>
      <c r="AS410" s="79">
        <f>ERP_2[[#This Row],[2026 Working Total to Budget/LE]]-ERP_2[[#This Row],[Giveback]]</f>
        <v>0</v>
      </c>
      <c r="AT410" s="81"/>
      <c r="AU410" s="375">
        <v>-4506.29</v>
      </c>
      <c r="AV410" s="375">
        <v>-29540.02</v>
      </c>
      <c r="AW410" s="375">
        <v>-20248.98</v>
      </c>
      <c r="AX410" s="375">
        <v>0</v>
      </c>
      <c r="AY410" s="375">
        <v>0</v>
      </c>
      <c r="AZ410" s="375">
        <v>0</v>
      </c>
      <c r="BA410" s="375">
        <v>0</v>
      </c>
      <c r="BB410" s="375">
        <v>0</v>
      </c>
      <c r="BC410" s="375">
        <v>0</v>
      </c>
      <c r="BD410" s="375">
        <v>0</v>
      </c>
      <c r="BE410" s="375">
        <v>0</v>
      </c>
      <c r="BF410" s="375">
        <v>0</v>
      </c>
      <c r="BG410" s="375">
        <v>-54295.289999999994</v>
      </c>
      <c r="BH410" s="79">
        <v>-4506.29</v>
      </c>
      <c r="BI410" s="79">
        <v>-29540.02</v>
      </c>
      <c r="BJ410" s="79">
        <v>-20248.98</v>
      </c>
      <c r="BK410" s="79">
        <v>0</v>
      </c>
      <c r="BL410" s="79">
        <v>0</v>
      </c>
      <c r="BM410" s="79">
        <v>0</v>
      </c>
      <c r="BN410" s="79">
        <v>0</v>
      </c>
      <c r="BO410" s="79">
        <v>0</v>
      </c>
      <c r="BP410" s="79">
        <v>0</v>
      </c>
      <c r="BQ410" s="79">
        <v>0</v>
      </c>
      <c r="BR410" s="79">
        <v>0</v>
      </c>
      <c r="BS410" s="79">
        <v>0</v>
      </c>
      <c r="BT410" s="79">
        <v>-54295.289999999994</v>
      </c>
    </row>
    <row r="411" spans="1:72" ht="15" hidden="1" customHeight="1">
      <c r="A411" s="66" t="s">
        <v>2066</v>
      </c>
      <c r="B411" s="66"/>
      <c r="C411" s="66" t="s">
        <v>555</v>
      </c>
      <c r="D411" s="66" t="s">
        <v>555</v>
      </c>
      <c r="E411" s="150" t="s">
        <v>1136</v>
      </c>
      <c r="F411" s="482" t="s">
        <v>1566</v>
      </c>
      <c r="G411" s="150" t="s">
        <v>1515</v>
      </c>
      <c r="H411" s="383" t="s">
        <v>1515</v>
      </c>
      <c r="I411" s="150" t="s">
        <v>1345</v>
      </c>
      <c r="J411" s="150" t="s">
        <v>1515</v>
      </c>
      <c r="K411" s="150" t="s">
        <v>1346</v>
      </c>
      <c r="L411" s="511" t="s">
        <v>389</v>
      </c>
      <c r="M411" s="392" t="s">
        <v>1147</v>
      </c>
      <c r="N411" s="343"/>
      <c r="O411" s="343"/>
      <c r="P411" s="70" t="s">
        <v>53</v>
      </c>
      <c r="Q411" s="346" t="s">
        <v>1153</v>
      </c>
      <c r="R411" s="343"/>
      <c r="S411" s="346"/>
      <c r="T411" s="150" t="s">
        <v>25</v>
      </c>
      <c r="U411" s="150"/>
      <c r="V411" s="403"/>
      <c r="W411" s="406">
        <v>0</v>
      </c>
      <c r="X411" s="406">
        <v>1177</v>
      </c>
      <c r="Y411" s="425"/>
      <c r="Z411" s="71"/>
      <c r="AA411" s="426">
        <v>-14023</v>
      </c>
      <c r="AB411" s="427">
        <v>60</v>
      </c>
      <c r="AC411" s="427">
        <v>15140</v>
      </c>
      <c r="AD411" s="428">
        <v>60</v>
      </c>
      <c r="AE411" s="429">
        <v>60</v>
      </c>
      <c r="AF411" s="429">
        <v>-1401</v>
      </c>
      <c r="AG411" s="360">
        <v>0</v>
      </c>
      <c r="AH411" s="360">
        <v>0</v>
      </c>
      <c r="AI411" s="360">
        <v>0</v>
      </c>
      <c r="AJ411" s="360">
        <v>0</v>
      </c>
      <c r="AK411" s="360">
        <v>0</v>
      </c>
      <c r="AL411" s="360">
        <v>0</v>
      </c>
      <c r="AM411" s="360">
        <f t="shared" si="21"/>
        <v>-104</v>
      </c>
      <c r="AN411" s="362">
        <f>ERP_2[[#This Row],[2026 Working Total]]-ERP_2[[#This Row],[LE2 Final Submission]]</f>
        <v>-1281</v>
      </c>
      <c r="AO411" s="79">
        <v>0</v>
      </c>
      <c r="AP411" s="79">
        <f t="shared" si="25"/>
        <v>-1401</v>
      </c>
      <c r="AQ411" s="374">
        <f>SUM(ERP_2[[#This Row],[AP01]:[AP06]])-SUM(ERP_2[[#This Row],[AP01 LE2]:[AP06 LE2]])</f>
        <v>-1281</v>
      </c>
      <c r="AR411" s="80"/>
      <c r="AS411" s="79">
        <f>ERP_2[[#This Row],[2026 Working Total to Budget/LE]]-ERP_2[[#This Row],[Giveback]]</f>
        <v>-1281</v>
      </c>
      <c r="AT411" s="81"/>
      <c r="AU411" s="375">
        <v>-14023</v>
      </c>
      <c r="AV411" s="375">
        <v>60</v>
      </c>
      <c r="AW411" s="375">
        <v>15140</v>
      </c>
      <c r="AX411" s="375">
        <v>0</v>
      </c>
      <c r="AY411" s="375">
        <v>0</v>
      </c>
      <c r="AZ411" s="375">
        <v>0</v>
      </c>
      <c r="BA411" s="375">
        <v>0</v>
      </c>
      <c r="BB411" s="375">
        <v>0</v>
      </c>
      <c r="BC411" s="375">
        <v>0</v>
      </c>
      <c r="BD411" s="375">
        <v>0</v>
      </c>
      <c r="BE411" s="375">
        <v>0</v>
      </c>
      <c r="BF411" s="375">
        <v>0</v>
      </c>
      <c r="BG411" s="375">
        <v>1177</v>
      </c>
      <c r="BH411" s="79">
        <v>-14023</v>
      </c>
      <c r="BI411" s="79">
        <v>60</v>
      </c>
      <c r="BJ411" s="79">
        <v>15140</v>
      </c>
      <c r="BK411" s="79">
        <v>0</v>
      </c>
      <c r="BL411" s="79">
        <v>0</v>
      </c>
      <c r="BM411" s="79">
        <v>0</v>
      </c>
      <c r="BN411" s="79">
        <v>0</v>
      </c>
      <c r="BO411" s="79">
        <v>0</v>
      </c>
      <c r="BP411" s="79">
        <v>0</v>
      </c>
      <c r="BQ411" s="79">
        <v>0</v>
      </c>
      <c r="BR411" s="79">
        <v>0</v>
      </c>
      <c r="BS411" s="79">
        <v>0</v>
      </c>
      <c r="BT411" s="79">
        <v>1177</v>
      </c>
    </row>
    <row r="412" spans="1:72" ht="15" hidden="1" customHeight="1">
      <c r="A412" s="66" t="s">
        <v>2068</v>
      </c>
      <c r="B412" s="66"/>
      <c r="C412" s="66" t="s">
        <v>556</v>
      </c>
      <c r="D412" s="66" t="s">
        <v>556</v>
      </c>
      <c r="E412" s="150" t="s">
        <v>1136</v>
      </c>
      <c r="F412" s="482" t="s">
        <v>1566</v>
      </c>
      <c r="G412" s="150" t="s">
        <v>1515</v>
      </c>
      <c r="H412" s="383" t="s">
        <v>1515</v>
      </c>
      <c r="I412" s="150" t="s">
        <v>1345</v>
      </c>
      <c r="J412" s="150" t="s">
        <v>1515</v>
      </c>
      <c r="K412" s="150" t="s">
        <v>1346</v>
      </c>
      <c r="L412" s="511" t="s">
        <v>389</v>
      </c>
      <c r="M412" s="392" t="s">
        <v>1969</v>
      </c>
      <c r="N412" s="343"/>
      <c r="O412" s="343"/>
      <c r="P412" s="70" t="s">
        <v>497</v>
      </c>
      <c r="Q412" s="346"/>
      <c r="R412" s="343"/>
      <c r="S412" s="346"/>
      <c r="T412" s="150" t="s">
        <v>25</v>
      </c>
      <c r="U412" s="150"/>
      <c r="V412" s="403"/>
      <c r="W412" s="406">
        <v>4213</v>
      </c>
      <c r="X412" s="406">
        <v>3403</v>
      </c>
      <c r="Y412" s="425"/>
      <c r="Z412" s="71"/>
      <c r="AA412" s="426"/>
      <c r="AB412" s="427"/>
      <c r="AC412" s="427"/>
      <c r="AD412" s="428" t="s">
        <v>1142</v>
      </c>
      <c r="AE412" s="429">
        <v>0</v>
      </c>
      <c r="AF412" s="429">
        <v>0</v>
      </c>
      <c r="AG412" s="363">
        <v>267</v>
      </c>
      <c r="AH412" s="363">
        <v>267</v>
      </c>
      <c r="AI412" s="363">
        <v>267</v>
      </c>
      <c r="AJ412" s="363">
        <v>267</v>
      </c>
      <c r="AK412" s="363">
        <v>267</v>
      </c>
      <c r="AL412" s="363">
        <v>1267</v>
      </c>
      <c r="AM412" s="360">
        <f t="shared" si="21"/>
        <v>2602</v>
      </c>
      <c r="AN412" s="362">
        <f>ERP_2[[#This Row],[2026 Working Total]]-ERP_2[[#This Row],[LE2 Final Submission]]</f>
        <v>-801</v>
      </c>
      <c r="AO412" s="79">
        <v>267</v>
      </c>
      <c r="AP412" s="79">
        <f t="shared" si="25"/>
        <v>-267</v>
      </c>
      <c r="AQ412" s="374">
        <f>SUM(ERP_2[[#This Row],[AP01]:[AP06]])-SUM(ERP_2[[#This Row],[AP01 LE2]:[AP06 LE2]])</f>
        <v>-801</v>
      </c>
      <c r="AR412" s="80"/>
      <c r="AS412" s="79">
        <f>ERP_2[[#This Row],[2026 Working Total to Budget/LE]]-ERP_2[[#This Row],[Giveback]]</f>
        <v>-801</v>
      </c>
      <c r="AT412" s="81"/>
      <c r="AU412" s="375"/>
      <c r="AV412" s="375"/>
      <c r="AW412" s="375"/>
      <c r="AX412" s="375">
        <v>267</v>
      </c>
      <c r="AY412" s="375">
        <v>267</v>
      </c>
      <c r="AZ412" s="375">
        <v>267</v>
      </c>
      <c r="BA412" s="375">
        <v>267</v>
      </c>
      <c r="BB412" s="375">
        <v>267</v>
      </c>
      <c r="BC412" s="375">
        <v>267</v>
      </c>
      <c r="BD412" s="375">
        <v>267</v>
      </c>
      <c r="BE412" s="375">
        <v>267</v>
      </c>
      <c r="BF412" s="375">
        <v>1267</v>
      </c>
      <c r="BG412" s="375">
        <v>3403</v>
      </c>
      <c r="BH412" s="79"/>
      <c r="BI412" s="79"/>
      <c r="BJ412" s="79"/>
      <c r="BK412" s="79">
        <v>267</v>
      </c>
      <c r="BL412" s="79">
        <v>267</v>
      </c>
      <c r="BM412" s="79">
        <v>267</v>
      </c>
      <c r="BN412" s="79">
        <v>267</v>
      </c>
      <c r="BO412" s="79">
        <v>267</v>
      </c>
      <c r="BP412" s="79">
        <v>267</v>
      </c>
      <c r="BQ412" s="79">
        <v>267</v>
      </c>
      <c r="BR412" s="79">
        <v>267</v>
      </c>
      <c r="BS412" s="79">
        <v>1267</v>
      </c>
      <c r="BT412" s="79">
        <v>3403</v>
      </c>
    </row>
    <row r="413" spans="1:72" ht="15" hidden="1" customHeight="1">
      <c r="A413" s="66" t="s">
        <v>2069</v>
      </c>
      <c r="B413" s="66"/>
      <c r="C413" s="66" t="s">
        <v>557</v>
      </c>
      <c r="D413" s="66" t="s">
        <v>557</v>
      </c>
      <c r="E413" s="150" t="s">
        <v>1136</v>
      </c>
      <c r="F413" s="482" t="s">
        <v>1566</v>
      </c>
      <c r="G413" s="150" t="s">
        <v>1515</v>
      </c>
      <c r="H413" s="383" t="s">
        <v>1515</v>
      </c>
      <c r="I413" s="150" t="s">
        <v>1345</v>
      </c>
      <c r="J413" s="150" t="s">
        <v>1515</v>
      </c>
      <c r="K413" s="150" t="s">
        <v>1346</v>
      </c>
      <c r="L413" s="511" t="s">
        <v>389</v>
      </c>
      <c r="M413" s="392" t="s">
        <v>1971</v>
      </c>
      <c r="N413" s="343"/>
      <c r="O413" s="343"/>
      <c r="P413" s="70" t="s">
        <v>499</v>
      </c>
      <c r="Q413" s="346"/>
      <c r="R413" s="343"/>
      <c r="S413" s="346"/>
      <c r="T413" s="150" t="s">
        <v>57</v>
      </c>
      <c r="U413" s="150"/>
      <c r="V413" s="403"/>
      <c r="W413" s="406">
        <v>3260</v>
      </c>
      <c r="X413" s="406">
        <v>2780</v>
      </c>
      <c r="Y413" s="425"/>
      <c r="Z413" s="71"/>
      <c r="AA413" s="426"/>
      <c r="AB413" s="427"/>
      <c r="AC413" s="427"/>
      <c r="AD413" s="428" t="s">
        <v>1142</v>
      </c>
      <c r="AE413" s="429">
        <v>0</v>
      </c>
      <c r="AF413" s="429">
        <v>0</v>
      </c>
      <c r="AG413" s="363">
        <v>160</v>
      </c>
      <c r="AH413" s="363">
        <v>160</v>
      </c>
      <c r="AI413" s="363">
        <v>160</v>
      </c>
      <c r="AJ413" s="363">
        <v>160</v>
      </c>
      <c r="AK413" s="363">
        <v>160</v>
      </c>
      <c r="AL413" s="363">
        <v>1500</v>
      </c>
      <c r="AM413" s="360">
        <f t="shared" si="21"/>
        <v>2300</v>
      </c>
      <c r="AN413" s="362">
        <f>ERP_2[[#This Row],[2026 Working Total]]-ERP_2[[#This Row],[LE2 Final Submission]]</f>
        <v>-480</v>
      </c>
      <c r="AO413" s="79">
        <v>160</v>
      </c>
      <c r="AP413" s="79">
        <f t="shared" si="25"/>
        <v>-160</v>
      </c>
      <c r="AQ413" s="374">
        <f>SUM(ERP_2[[#This Row],[AP01]:[AP06]])-SUM(ERP_2[[#This Row],[AP01 LE2]:[AP06 LE2]])</f>
        <v>-480</v>
      </c>
      <c r="AR413" s="80"/>
      <c r="AS413" s="79">
        <f>ERP_2[[#This Row],[2026 Working Total to Budget/LE]]-ERP_2[[#This Row],[Giveback]]</f>
        <v>-480</v>
      </c>
      <c r="AT413" s="81"/>
      <c r="AU413" s="375"/>
      <c r="AV413" s="375"/>
      <c r="AW413" s="375"/>
      <c r="AX413" s="375">
        <v>160</v>
      </c>
      <c r="AY413" s="375">
        <v>160</v>
      </c>
      <c r="AZ413" s="375">
        <v>160</v>
      </c>
      <c r="BA413" s="375">
        <v>160</v>
      </c>
      <c r="BB413" s="375">
        <v>160</v>
      </c>
      <c r="BC413" s="375">
        <v>160</v>
      </c>
      <c r="BD413" s="375">
        <v>160</v>
      </c>
      <c r="BE413" s="375">
        <v>160</v>
      </c>
      <c r="BF413" s="375">
        <v>1500</v>
      </c>
      <c r="BG413" s="375">
        <v>2780</v>
      </c>
      <c r="BH413" s="79"/>
      <c r="BI413" s="79"/>
      <c r="BJ413" s="79"/>
      <c r="BK413" s="79">
        <v>160</v>
      </c>
      <c r="BL413" s="79">
        <v>160</v>
      </c>
      <c r="BM413" s="79">
        <v>160</v>
      </c>
      <c r="BN413" s="79">
        <v>160</v>
      </c>
      <c r="BO413" s="79">
        <v>160</v>
      </c>
      <c r="BP413" s="79">
        <v>160</v>
      </c>
      <c r="BQ413" s="79">
        <v>160</v>
      </c>
      <c r="BR413" s="79">
        <v>160</v>
      </c>
      <c r="BS413" s="79">
        <v>1500</v>
      </c>
      <c r="BT413" s="79">
        <v>2780</v>
      </c>
    </row>
    <row r="414" spans="1:72" ht="15" hidden="1" customHeight="1">
      <c r="A414" s="66" t="s">
        <v>2070</v>
      </c>
      <c r="B414" s="66"/>
      <c r="C414" s="66" t="s">
        <v>558</v>
      </c>
      <c r="D414" s="66" t="s">
        <v>558</v>
      </c>
      <c r="E414" s="150" t="s">
        <v>1136</v>
      </c>
      <c r="F414" s="482" t="s">
        <v>1566</v>
      </c>
      <c r="G414" s="150" t="s">
        <v>1515</v>
      </c>
      <c r="H414" s="383" t="s">
        <v>1515</v>
      </c>
      <c r="I414" s="150" t="s">
        <v>1345</v>
      </c>
      <c r="J414" s="150" t="s">
        <v>1515</v>
      </c>
      <c r="K414" s="150" t="s">
        <v>1346</v>
      </c>
      <c r="L414" s="511" t="s">
        <v>389</v>
      </c>
      <c r="M414" s="392" t="s">
        <v>2071</v>
      </c>
      <c r="N414" s="343"/>
      <c r="O414" s="343"/>
      <c r="P414" s="70" t="s">
        <v>559</v>
      </c>
      <c r="Q414" s="346"/>
      <c r="R414" s="343"/>
      <c r="S414" s="346"/>
      <c r="T414" s="150" t="s">
        <v>57</v>
      </c>
      <c r="U414" s="150"/>
      <c r="V414" s="403"/>
      <c r="W414" s="406">
        <v>17000</v>
      </c>
      <c r="X414" s="406">
        <v>13700</v>
      </c>
      <c r="Y414" s="425"/>
      <c r="Z414" s="71"/>
      <c r="AA414" s="426"/>
      <c r="AB414" s="427"/>
      <c r="AC414" s="427"/>
      <c r="AD414" s="428" t="s">
        <v>1142</v>
      </c>
      <c r="AE414" s="429">
        <v>0</v>
      </c>
      <c r="AF414" s="429">
        <v>0</v>
      </c>
      <c r="AG414" s="363">
        <v>1100</v>
      </c>
      <c r="AH414" s="363">
        <v>1100</v>
      </c>
      <c r="AI414" s="363">
        <v>1100</v>
      </c>
      <c r="AJ414" s="363">
        <v>1100</v>
      </c>
      <c r="AK414" s="363">
        <v>3000</v>
      </c>
      <c r="AL414" s="363">
        <v>3000</v>
      </c>
      <c r="AM414" s="360">
        <f t="shared" si="21"/>
        <v>10400</v>
      </c>
      <c r="AN414" s="362">
        <f>ERP_2[[#This Row],[2026 Working Total]]-ERP_2[[#This Row],[LE2 Final Submission]]</f>
        <v>-3300</v>
      </c>
      <c r="AO414" s="79">
        <v>1100</v>
      </c>
      <c r="AP414" s="79">
        <f t="shared" si="25"/>
        <v>-1100</v>
      </c>
      <c r="AQ414" s="374">
        <f>SUM(ERP_2[[#This Row],[AP01]:[AP06]])-SUM(ERP_2[[#This Row],[AP01 LE2]:[AP06 LE2]])</f>
        <v>-3300</v>
      </c>
      <c r="AR414" s="80"/>
      <c r="AS414" s="79">
        <f>ERP_2[[#This Row],[2026 Working Total to Budget/LE]]-ERP_2[[#This Row],[Giveback]]</f>
        <v>-3300</v>
      </c>
      <c r="AT414" s="81"/>
      <c r="AU414" s="375"/>
      <c r="AV414" s="375"/>
      <c r="AW414" s="375"/>
      <c r="AX414" s="375">
        <v>1100</v>
      </c>
      <c r="AY414" s="375">
        <v>1100</v>
      </c>
      <c r="AZ414" s="375">
        <v>1100</v>
      </c>
      <c r="BA414" s="375">
        <v>1100</v>
      </c>
      <c r="BB414" s="375">
        <v>1100</v>
      </c>
      <c r="BC414" s="375">
        <v>1100</v>
      </c>
      <c r="BD414" s="375">
        <v>1100</v>
      </c>
      <c r="BE414" s="375">
        <v>3000</v>
      </c>
      <c r="BF414" s="375">
        <v>3000</v>
      </c>
      <c r="BG414" s="375">
        <v>13700</v>
      </c>
      <c r="BH414" s="79"/>
      <c r="BI414" s="79"/>
      <c r="BJ414" s="79"/>
      <c r="BK414" s="79">
        <v>1100</v>
      </c>
      <c r="BL414" s="79">
        <v>1100</v>
      </c>
      <c r="BM414" s="79">
        <v>1100</v>
      </c>
      <c r="BN414" s="79">
        <v>1100</v>
      </c>
      <c r="BO414" s="79">
        <v>1100</v>
      </c>
      <c r="BP414" s="79">
        <v>1100</v>
      </c>
      <c r="BQ414" s="79">
        <v>1100</v>
      </c>
      <c r="BR414" s="79">
        <v>3000</v>
      </c>
      <c r="BS414" s="79">
        <v>3000</v>
      </c>
      <c r="BT414" s="79">
        <v>13700</v>
      </c>
    </row>
    <row r="415" spans="1:72" ht="15" hidden="1" customHeight="1">
      <c r="A415" s="66" t="s">
        <v>2072</v>
      </c>
      <c r="B415" s="66"/>
      <c r="C415" s="66" t="s">
        <v>560</v>
      </c>
      <c r="D415" s="66" t="s">
        <v>560</v>
      </c>
      <c r="E415" s="150" t="s">
        <v>1136</v>
      </c>
      <c r="F415" s="482" t="s">
        <v>1566</v>
      </c>
      <c r="G415" s="150" t="s">
        <v>1515</v>
      </c>
      <c r="H415" s="383" t="s">
        <v>1515</v>
      </c>
      <c r="I415" s="150" t="s">
        <v>1345</v>
      </c>
      <c r="J415" s="150" t="s">
        <v>1515</v>
      </c>
      <c r="K415" s="150" t="s">
        <v>1346</v>
      </c>
      <c r="L415" s="511" t="s">
        <v>389</v>
      </c>
      <c r="M415" s="392" t="s">
        <v>1855</v>
      </c>
      <c r="N415" s="343"/>
      <c r="O415" s="343"/>
      <c r="P415" s="70" t="s">
        <v>466</v>
      </c>
      <c r="Q415" s="346"/>
      <c r="R415" s="346" t="s">
        <v>1140</v>
      </c>
      <c r="S415" s="346"/>
      <c r="T415" s="150" t="s">
        <v>57</v>
      </c>
      <c r="U415" s="150"/>
      <c r="V415" s="403"/>
      <c r="W415" s="406">
        <v>0</v>
      </c>
      <c r="X415" s="406">
        <v>3562</v>
      </c>
      <c r="Y415" s="425"/>
      <c r="Z415" s="71"/>
      <c r="AA415" s="426">
        <v>60</v>
      </c>
      <c r="AB415" s="431">
        <v>0</v>
      </c>
      <c r="AC415" s="427">
        <v>3502</v>
      </c>
      <c r="AD415" s="428">
        <v>0</v>
      </c>
      <c r="AE415" s="429">
        <v>0</v>
      </c>
      <c r="AF415" s="429">
        <v>60</v>
      </c>
      <c r="AG415" s="360">
        <v>0</v>
      </c>
      <c r="AH415" s="360">
        <v>0</v>
      </c>
      <c r="AI415" s="360">
        <v>0</v>
      </c>
      <c r="AJ415" s="360">
        <v>0</v>
      </c>
      <c r="AK415" s="360">
        <v>0</v>
      </c>
      <c r="AL415" s="360">
        <v>0</v>
      </c>
      <c r="AM415" s="360">
        <f t="shared" si="21"/>
        <v>3622</v>
      </c>
      <c r="AN415" s="362">
        <f>ERP_2[[#This Row],[2026 Working Total]]-ERP_2[[#This Row],[LE2 Final Submission]]</f>
        <v>60</v>
      </c>
      <c r="AO415" s="79">
        <v>0</v>
      </c>
      <c r="AP415" s="79">
        <f t="shared" si="25"/>
        <v>60</v>
      </c>
      <c r="AQ415" s="374">
        <f>SUM(ERP_2[[#This Row],[AP01]:[AP06]])-SUM(ERP_2[[#This Row],[AP01 LE2]:[AP06 LE2]])</f>
        <v>60</v>
      </c>
      <c r="AR415" s="80"/>
      <c r="AS415" s="79">
        <f>ERP_2[[#This Row],[2026 Working Total to Budget/LE]]-ERP_2[[#This Row],[Giveback]]</f>
        <v>60</v>
      </c>
      <c r="AT415" s="81"/>
      <c r="AU415" s="375">
        <v>60</v>
      </c>
      <c r="AV415" s="375">
        <v>0</v>
      </c>
      <c r="AW415" s="375">
        <v>3502</v>
      </c>
      <c r="AX415" s="375">
        <v>0</v>
      </c>
      <c r="AY415" s="375">
        <v>0</v>
      </c>
      <c r="AZ415" s="375">
        <v>0</v>
      </c>
      <c r="BA415" s="375">
        <v>0</v>
      </c>
      <c r="BB415" s="375">
        <v>0</v>
      </c>
      <c r="BC415" s="375">
        <v>0</v>
      </c>
      <c r="BD415" s="375">
        <v>0</v>
      </c>
      <c r="BE415" s="375">
        <v>0</v>
      </c>
      <c r="BF415" s="375">
        <v>0</v>
      </c>
      <c r="BG415" s="375">
        <v>3562</v>
      </c>
      <c r="BH415" s="79">
        <v>60</v>
      </c>
      <c r="BI415" s="79">
        <v>0</v>
      </c>
      <c r="BJ415" s="79">
        <v>3502</v>
      </c>
      <c r="BK415" s="79">
        <v>0</v>
      </c>
      <c r="BL415" s="79">
        <v>0</v>
      </c>
      <c r="BM415" s="79">
        <v>0</v>
      </c>
      <c r="BN415" s="79">
        <v>0</v>
      </c>
      <c r="BO415" s="79">
        <v>0</v>
      </c>
      <c r="BP415" s="79">
        <v>0</v>
      </c>
      <c r="BQ415" s="79">
        <v>0</v>
      </c>
      <c r="BR415" s="79">
        <v>0</v>
      </c>
      <c r="BS415" s="79">
        <v>0</v>
      </c>
      <c r="BT415" s="79">
        <v>3562</v>
      </c>
    </row>
    <row r="416" spans="1:72" ht="15" hidden="1" customHeight="1">
      <c r="A416" s="66" t="s">
        <v>2169</v>
      </c>
      <c r="B416" s="66"/>
      <c r="C416" s="66" t="s">
        <v>617</v>
      </c>
      <c r="D416" s="66" t="s">
        <v>617</v>
      </c>
      <c r="E416" s="150" t="s">
        <v>1136</v>
      </c>
      <c r="F416" s="482" t="s">
        <v>1566</v>
      </c>
      <c r="G416" s="150" t="s">
        <v>1515</v>
      </c>
      <c r="H416" s="383" t="s">
        <v>1515</v>
      </c>
      <c r="I416" s="150" t="s">
        <v>1345</v>
      </c>
      <c r="J416" s="150" t="s">
        <v>1515</v>
      </c>
      <c r="K416" s="150" t="s">
        <v>1346</v>
      </c>
      <c r="L416" s="511" t="s">
        <v>602</v>
      </c>
      <c r="M416" s="392" t="s">
        <v>611</v>
      </c>
      <c r="N416" s="343"/>
      <c r="O416" s="343"/>
      <c r="P416" s="70" t="s">
        <v>610</v>
      </c>
      <c r="Q416" s="346"/>
      <c r="R416" s="343"/>
      <c r="S416" s="346"/>
      <c r="T416" s="150" t="s">
        <v>611</v>
      </c>
      <c r="U416" s="150"/>
      <c r="V416" s="403"/>
      <c r="W416" s="406">
        <v>0</v>
      </c>
      <c r="X416" s="406">
        <v>414.36</v>
      </c>
      <c r="Y416" s="425"/>
      <c r="Z416" s="71"/>
      <c r="AA416" s="426"/>
      <c r="AB416" s="427"/>
      <c r="AC416" s="427">
        <v>414.36</v>
      </c>
      <c r="AD416" s="428">
        <v>0</v>
      </c>
      <c r="AE416" s="429">
        <v>0</v>
      </c>
      <c r="AF416" s="429">
        <v>0</v>
      </c>
      <c r="AG416" s="360">
        <v>0</v>
      </c>
      <c r="AH416" s="360">
        <v>0</v>
      </c>
      <c r="AI416" s="360">
        <v>0</v>
      </c>
      <c r="AJ416" s="360">
        <v>0</v>
      </c>
      <c r="AK416" s="360">
        <v>0</v>
      </c>
      <c r="AL416" s="360">
        <v>0</v>
      </c>
      <c r="AM416" s="360">
        <f t="shared" si="21"/>
        <v>414.36</v>
      </c>
      <c r="AN416" s="362">
        <f>ERP_2[[#This Row],[2026 Working Total]]-ERP_2[[#This Row],[LE2 Final Submission]]</f>
        <v>0</v>
      </c>
      <c r="AO416" s="79">
        <v>0</v>
      </c>
      <c r="AP416" s="79">
        <f t="shared" si="25"/>
        <v>0</v>
      </c>
      <c r="AQ416" s="374">
        <f>SUM(ERP_2[[#This Row],[AP01]:[AP06]])-SUM(ERP_2[[#This Row],[AP01 LE2]:[AP06 LE2]])</f>
        <v>0</v>
      </c>
      <c r="AR416" s="80"/>
      <c r="AS416" s="79">
        <f>ERP_2[[#This Row],[2026 Working Total to Budget/LE]]-ERP_2[[#This Row],[Giveback]]</f>
        <v>0</v>
      </c>
      <c r="AT416" s="81"/>
      <c r="AU416" s="375"/>
      <c r="AV416" s="375"/>
      <c r="AW416" s="375">
        <v>414.36</v>
      </c>
      <c r="AX416" s="375">
        <v>0</v>
      </c>
      <c r="AY416" s="375">
        <v>0</v>
      </c>
      <c r="AZ416" s="375">
        <v>0</v>
      </c>
      <c r="BA416" s="375">
        <v>0</v>
      </c>
      <c r="BB416" s="375">
        <v>0</v>
      </c>
      <c r="BC416" s="375">
        <v>0</v>
      </c>
      <c r="BD416" s="375">
        <v>0</v>
      </c>
      <c r="BE416" s="375">
        <v>0</v>
      </c>
      <c r="BF416" s="375">
        <v>0</v>
      </c>
      <c r="BG416" s="375">
        <v>414.36</v>
      </c>
      <c r="BH416" s="79"/>
      <c r="BI416" s="79"/>
      <c r="BJ416" s="79">
        <v>414.36</v>
      </c>
      <c r="BK416" s="79">
        <v>0</v>
      </c>
      <c r="BL416" s="79">
        <v>0</v>
      </c>
      <c r="BM416" s="79">
        <v>0</v>
      </c>
      <c r="BN416" s="79">
        <v>0</v>
      </c>
      <c r="BO416" s="79">
        <v>0</v>
      </c>
      <c r="BP416" s="79">
        <v>0</v>
      </c>
      <c r="BQ416" s="79">
        <v>0</v>
      </c>
      <c r="BR416" s="79">
        <v>0</v>
      </c>
      <c r="BS416" s="79">
        <v>0</v>
      </c>
      <c r="BT416" s="79">
        <v>414.36</v>
      </c>
    </row>
    <row r="417" spans="1:72" ht="15" hidden="1" customHeight="1">
      <c r="A417" s="66" t="s">
        <v>2192</v>
      </c>
      <c r="B417" s="66"/>
      <c r="C417" s="66" t="s">
        <v>630</v>
      </c>
      <c r="D417" s="66" t="s">
        <v>630</v>
      </c>
      <c r="E417" s="150" t="s">
        <v>1136</v>
      </c>
      <c r="F417" s="482" t="s">
        <v>1566</v>
      </c>
      <c r="G417" s="150" t="s">
        <v>1515</v>
      </c>
      <c r="H417" s="383" t="s">
        <v>1515</v>
      </c>
      <c r="I417" s="150" t="s">
        <v>1345</v>
      </c>
      <c r="J417" s="150" t="s">
        <v>1515</v>
      </c>
      <c r="K417" s="150" t="s">
        <v>1346</v>
      </c>
      <c r="L417" s="511" t="s">
        <v>629</v>
      </c>
      <c r="M417" s="392" t="s">
        <v>2193</v>
      </c>
      <c r="N417" s="343"/>
      <c r="O417" s="343"/>
      <c r="P417" s="70" t="s">
        <v>631</v>
      </c>
      <c r="Q417" s="346"/>
      <c r="R417" s="343"/>
      <c r="S417" s="346"/>
      <c r="T417" s="150" t="s">
        <v>632</v>
      </c>
      <c r="U417" s="150"/>
      <c r="V417" s="403"/>
      <c r="W417" s="406">
        <v>17000</v>
      </c>
      <c r="X417" s="406">
        <v>15576.84</v>
      </c>
      <c r="Y417" s="425"/>
      <c r="Z417" s="71"/>
      <c r="AA417" s="426"/>
      <c r="AB417" s="427">
        <v>1512.59</v>
      </c>
      <c r="AC417" s="427">
        <v>814.25</v>
      </c>
      <c r="AD417" s="428" t="s">
        <v>1142</v>
      </c>
      <c r="AE417" s="429">
        <v>0</v>
      </c>
      <c r="AF417" s="429">
        <v>0</v>
      </c>
      <c r="AG417" s="363">
        <v>1500</v>
      </c>
      <c r="AH417" s="363">
        <v>1500</v>
      </c>
      <c r="AI417" s="363">
        <v>1500</v>
      </c>
      <c r="AJ417" s="363">
        <v>1500</v>
      </c>
      <c r="AK417" s="363">
        <v>1500</v>
      </c>
      <c r="AL417" s="363">
        <v>1500</v>
      </c>
      <c r="AM417" s="360">
        <f t="shared" si="21"/>
        <v>11326.84</v>
      </c>
      <c r="AN417" s="362">
        <f>ERP_2[[#This Row],[2026 Working Total]]-ERP_2[[#This Row],[LE2 Final Submission]]</f>
        <v>-4250</v>
      </c>
      <c r="AO417" s="79">
        <v>1500</v>
      </c>
      <c r="AP417" s="79">
        <f t="shared" si="25"/>
        <v>-1500</v>
      </c>
      <c r="AQ417" s="374">
        <f>SUM(ERP_2[[#This Row],[AP01]:[AP06]])-SUM(ERP_2[[#This Row],[AP01 LE2]:[AP06 LE2]])</f>
        <v>-4250</v>
      </c>
      <c r="AR417" s="80"/>
      <c r="AS417" s="79">
        <f>ERP_2[[#This Row],[2026 Working Total to Budget/LE]]-ERP_2[[#This Row],[Giveback]]</f>
        <v>-4250</v>
      </c>
      <c r="AT417" s="81"/>
      <c r="AU417" s="375"/>
      <c r="AV417" s="375">
        <v>1512.59</v>
      </c>
      <c r="AW417" s="375">
        <v>814.25</v>
      </c>
      <c r="AX417" s="375">
        <v>1250</v>
      </c>
      <c r="AY417" s="375">
        <v>1500</v>
      </c>
      <c r="AZ417" s="375">
        <v>1500</v>
      </c>
      <c r="BA417" s="375">
        <v>1500</v>
      </c>
      <c r="BB417" s="375">
        <v>1500</v>
      </c>
      <c r="BC417" s="375">
        <v>1500</v>
      </c>
      <c r="BD417" s="375">
        <v>1500</v>
      </c>
      <c r="BE417" s="375">
        <v>1500</v>
      </c>
      <c r="BF417" s="375">
        <v>1500</v>
      </c>
      <c r="BG417" s="375">
        <v>15576.84</v>
      </c>
      <c r="BH417" s="79"/>
      <c r="BI417" s="79">
        <v>1512.59</v>
      </c>
      <c r="BJ417" s="79">
        <v>814.25</v>
      </c>
      <c r="BK417" s="79">
        <v>1250</v>
      </c>
      <c r="BL417" s="79">
        <v>1500</v>
      </c>
      <c r="BM417" s="79">
        <v>1500</v>
      </c>
      <c r="BN417" s="79">
        <v>1500</v>
      </c>
      <c r="BO417" s="79">
        <v>1500</v>
      </c>
      <c r="BP417" s="79">
        <v>1500</v>
      </c>
      <c r="BQ417" s="79">
        <v>1500</v>
      </c>
      <c r="BR417" s="79">
        <v>1500</v>
      </c>
      <c r="BS417" s="79">
        <v>1500</v>
      </c>
      <c r="BT417" s="79">
        <v>15576.84</v>
      </c>
    </row>
    <row r="418" spans="1:72" ht="15" hidden="1" customHeight="1">
      <c r="A418" s="66" t="s">
        <v>2194</v>
      </c>
      <c r="B418" s="66"/>
      <c r="C418" s="66" t="s">
        <v>633</v>
      </c>
      <c r="D418" s="66" t="s">
        <v>633</v>
      </c>
      <c r="E418" s="150" t="s">
        <v>1136</v>
      </c>
      <c r="F418" s="482" t="s">
        <v>1566</v>
      </c>
      <c r="G418" s="150" t="s">
        <v>1515</v>
      </c>
      <c r="H418" s="383" t="s">
        <v>1515</v>
      </c>
      <c r="I418" s="150" t="s">
        <v>1345</v>
      </c>
      <c r="J418" s="150" t="s">
        <v>1515</v>
      </c>
      <c r="K418" s="150" t="s">
        <v>1346</v>
      </c>
      <c r="L418" s="511" t="s">
        <v>629</v>
      </c>
      <c r="M418" s="392" t="s">
        <v>1327</v>
      </c>
      <c r="N418" s="343"/>
      <c r="O418" s="343"/>
      <c r="P418" s="70" t="s">
        <v>147</v>
      </c>
      <c r="Q418" s="346"/>
      <c r="R418" s="343"/>
      <c r="S418" s="346"/>
      <c r="T418" s="150" t="s">
        <v>25</v>
      </c>
      <c r="U418" s="150"/>
      <c r="V418" s="403"/>
      <c r="W418" s="406">
        <v>0</v>
      </c>
      <c r="X418" s="406">
        <v>1.999999999999999E-2</v>
      </c>
      <c r="Y418" s="425"/>
      <c r="Z418" s="71"/>
      <c r="AA418" s="426"/>
      <c r="AB418" s="427">
        <v>0.21</v>
      </c>
      <c r="AC418" s="427">
        <v>-0.19</v>
      </c>
      <c r="AD418" s="428">
        <v>0</v>
      </c>
      <c r="AE418" s="429">
        <v>2430.29</v>
      </c>
      <c r="AF418" s="429">
        <v>1250.79</v>
      </c>
      <c r="AG418" s="360">
        <v>0</v>
      </c>
      <c r="AH418" s="360">
        <v>0</v>
      </c>
      <c r="AI418" s="360">
        <v>0</v>
      </c>
      <c r="AJ418" s="360">
        <v>0</v>
      </c>
      <c r="AK418" s="360">
        <v>0</v>
      </c>
      <c r="AL418" s="360">
        <v>0</v>
      </c>
      <c r="AM418" s="360">
        <f t="shared" si="21"/>
        <v>3681.1</v>
      </c>
      <c r="AN418" s="362">
        <f>ERP_2[[#This Row],[2026 Working Total]]-ERP_2[[#This Row],[LE2 Final Submission]]</f>
        <v>3681.08</v>
      </c>
      <c r="AO418" s="79">
        <v>0</v>
      </c>
      <c r="AP418" s="79">
        <f t="shared" si="25"/>
        <v>1250.79</v>
      </c>
      <c r="AQ418" s="374">
        <f>SUM(ERP_2[[#This Row],[AP01]:[AP06]])-SUM(ERP_2[[#This Row],[AP01 LE2]:[AP06 LE2]])</f>
        <v>3681.08</v>
      </c>
      <c r="AR418" s="80"/>
      <c r="AS418" s="79">
        <f>ERP_2[[#This Row],[2026 Working Total to Budget/LE]]-ERP_2[[#This Row],[Giveback]]</f>
        <v>3681.08</v>
      </c>
      <c r="AT418" s="81"/>
      <c r="AU418" s="375"/>
      <c r="AV418" s="375">
        <v>0.21</v>
      </c>
      <c r="AW418" s="375">
        <v>-0.19</v>
      </c>
      <c r="AX418" s="375">
        <v>0</v>
      </c>
      <c r="AY418" s="375">
        <v>0</v>
      </c>
      <c r="AZ418" s="375">
        <v>0</v>
      </c>
      <c r="BA418" s="375">
        <v>0</v>
      </c>
      <c r="BB418" s="375">
        <v>0</v>
      </c>
      <c r="BC418" s="375">
        <v>0</v>
      </c>
      <c r="BD418" s="375">
        <v>0</v>
      </c>
      <c r="BE418" s="375">
        <v>0</v>
      </c>
      <c r="BF418" s="375">
        <v>0</v>
      </c>
      <c r="BG418" s="375">
        <v>1.999999999999999E-2</v>
      </c>
      <c r="BH418" s="79"/>
      <c r="BI418" s="79">
        <v>0.21</v>
      </c>
      <c r="BJ418" s="79">
        <v>-0.19</v>
      </c>
      <c r="BK418" s="79">
        <v>0</v>
      </c>
      <c r="BL418" s="79">
        <v>0</v>
      </c>
      <c r="BM418" s="79">
        <v>0</v>
      </c>
      <c r="BN418" s="79">
        <v>0</v>
      </c>
      <c r="BO418" s="79">
        <v>0</v>
      </c>
      <c r="BP418" s="79">
        <v>0</v>
      </c>
      <c r="BQ418" s="79">
        <v>0</v>
      </c>
      <c r="BR418" s="79">
        <v>0</v>
      </c>
      <c r="BS418" s="79">
        <v>0</v>
      </c>
      <c r="BT418" s="79">
        <v>1.999999999999999E-2</v>
      </c>
    </row>
    <row r="419" spans="1:72" ht="15" hidden="1" customHeight="1">
      <c r="A419" s="66" t="s">
        <v>2743</v>
      </c>
      <c r="B419" s="66"/>
      <c r="C419" s="66" t="s">
        <v>981</v>
      </c>
      <c r="D419" s="66" t="s">
        <v>981</v>
      </c>
      <c r="E419" s="150" t="s">
        <v>1136</v>
      </c>
      <c r="F419" s="482" t="s">
        <v>1566</v>
      </c>
      <c r="G419" s="150" t="s">
        <v>1515</v>
      </c>
      <c r="H419" s="383" t="s">
        <v>1515</v>
      </c>
      <c r="I419" s="150" t="s">
        <v>1345</v>
      </c>
      <c r="J419" s="150" t="s">
        <v>1515</v>
      </c>
      <c r="K419" s="150" t="s">
        <v>1346</v>
      </c>
      <c r="L419" s="511" t="s">
        <v>639</v>
      </c>
      <c r="M419" s="392" t="s">
        <v>2744</v>
      </c>
      <c r="N419" s="343"/>
      <c r="O419" s="343"/>
      <c r="P419" s="70" t="s">
        <v>982</v>
      </c>
      <c r="Q419" s="346"/>
      <c r="R419" s="343"/>
      <c r="S419" s="346"/>
      <c r="T419" s="150" t="s">
        <v>152</v>
      </c>
      <c r="U419" s="150"/>
      <c r="V419" s="403"/>
      <c r="W419" s="406">
        <v>18000</v>
      </c>
      <c r="X419" s="406">
        <v>13500</v>
      </c>
      <c r="Y419" s="425"/>
      <c r="Z419" s="71"/>
      <c r="AA419" s="426"/>
      <c r="AB419" s="427"/>
      <c r="AC419" s="427"/>
      <c r="AD419" s="428" t="s">
        <v>1142</v>
      </c>
      <c r="AE419" s="429">
        <v>0</v>
      </c>
      <c r="AF419" s="429">
        <v>0</v>
      </c>
      <c r="AG419" s="363">
        <v>1500</v>
      </c>
      <c r="AH419" s="363">
        <v>1500</v>
      </c>
      <c r="AI419" s="363">
        <v>1500</v>
      </c>
      <c r="AJ419" s="363">
        <v>1500</v>
      </c>
      <c r="AK419" s="363">
        <v>1500</v>
      </c>
      <c r="AL419" s="363">
        <v>1500</v>
      </c>
      <c r="AM419" s="360">
        <f t="shared" si="21"/>
        <v>9000</v>
      </c>
      <c r="AN419" s="362">
        <f>ERP_2[[#This Row],[2026 Working Total]]-ERP_2[[#This Row],[LE2 Final Submission]]</f>
        <v>-4500</v>
      </c>
      <c r="AO419" s="79">
        <v>5000</v>
      </c>
      <c r="AP419" s="79">
        <f t="shared" si="25"/>
        <v>-5000</v>
      </c>
      <c r="AQ419" s="374">
        <f>SUM(ERP_2[[#This Row],[AP01]:[AP06]])-SUM(ERP_2[[#This Row],[AP01 LE2]:[AP06 LE2]])</f>
        <v>-4500</v>
      </c>
      <c r="AR419" s="80"/>
      <c r="AS419" s="79">
        <f>ERP_2[[#This Row],[2026 Working Total to Budget/LE]]-ERP_2[[#This Row],[Giveback]]</f>
        <v>-4500</v>
      </c>
      <c r="AT419" s="81"/>
      <c r="AU419" s="375"/>
      <c r="AV419" s="375"/>
      <c r="AW419" s="375"/>
      <c r="AX419" s="375">
        <v>1500</v>
      </c>
      <c r="AY419" s="375">
        <v>1500</v>
      </c>
      <c r="AZ419" s="375">
        <v>1500</v>
      </c>
      <c r="BA419" s="375">
        <v>1500</v>
      </c>
      <c r="BB419" s="375">
        <v>1500</v>
      </c>
      <c r="BC419" s="375">
        <v>1500</v>
      </c>
      <c r="BD419" s="375">
        <v>1500</v>
      </c>
      <c r="BE419" s="375">
        <v>1500</v>
      </c>
      <c r="BF419" s="375">
        <v>1500</v>
      </c>
      <c r="BG419" s="375">
        <v>13500</v>
      </c>
      <c r="BH419" s="79"/>
      <c r="BI419" s="79"/>
      <c r="BJ419" s="79"/>
      <c r="BK419" s="79">
        <v>1500</v>
      </c>
      <c r="BL419" s="79">
        <v>1500</v>
      </c>
      <c r="BM419" s="79">
        <v>1500</v>
      </c>
      <c r="BN419" s="79">
        <v>1500</v>
      </c>
      <c r="BO419" s="79">
        <v>1500</v>
      </c>
      <c r="BP419" s="79">
        <v>1500</v>
      </c>
      <c r="BQ419" s="79">
        <v>1500</v>
      </c>
      <c r="BR419" s="79">
        <v>1500</v>
      </c>
      <c r="BS419" s="79">
        <v>1500</v>
      </c>
      <c r="BT419" s="79">
        <v>13500</v>
      </c>
    </row>
    <row r="420" spans="1:72" ht="15" hidden="1" customHeight="1">
      <c r="A420" s="150" t="s">
        <v>2745</v>
      </c>
      <c r="B420" s="150"/>
      <c r="C420" s="536" t="s">
        <v>983</v>
      </c>
      <c r="D420" s="296" t="s">
        <v>983</v>
      </c>
      <c r="E420" s="150" t="s">
        <v>1136</v>
      </c>
      <c r="F420" s="482" t="s">
        <v>1566</v>
      </c>
      <c r="G420" s="332" t="s">
        <v>1515</v>
      </c>
      <c r="H420" s="383" t="s">
        <v>1515</v>
      </c>
      <c r="I420" s="150" t="s">
        <v>1345</v>
      </c>
      <c r="J420" s="332" t="s">
        <v>1515</v>
      </c>
      <c r="K420" s="333" t="s">
        <v>1515</v>
      </c>
      <c r="L420" s="514" t="s">
        <v>639</v>
      </c>
      <c r="M420" s="394" t="s">
        <v>2614</v>
      </c>
      <c r="N420" s="333"/>
      <c r="O420" s="332" t="s">
        <v>2746</v>
      </c>
      <c r="P420" s="90" t="s">
        <v>53</v>
      </c>
      <c r="Q420" s="347"/>
      <c r="R420" s="347"/>
      <c r="S420" s="348"/>
      <c r="T420" s="348"/>
      <c r="U420" s="348"/>
      <c r="V420" s="402"/>
      <c r="W420" s="406"/>
      <c r="X420" s="406"/>
      <c r="Y420" s="425"/>
      <c r="Z420" s="71"/>
      <c r="AA420" s="435"/>
      <c r="AB420" s="436"/>
      <c r="AC420" s="436"/>
      <c r="AD420" s="429"/>
      <c r="AE420" s="429">
        <v>227</v>
      </c>
      <c r="AF420" s="429">
        <v>0</v>
      </c>
      <c r="AG420" s="364"/>
      <c r="AH420" s="364"/>
      <c r="AI420" s="364"/>
      <c r="AJ420" s="364"/>
      <c r="AK420" s="364"/>
      <c r="AL420" s="364"/>
      <c r="AM420" s="360">
        <f t="shared" si="21"/>
        <v>227</v>
      </c>
      <c r="AN420" s="362">
        <f>ERP_2[[#This Row],[2026 Working Total]]-ERP_2[[#This Row],[LE2 Final Submission]]</f>
        <v>227</v>
      </c>
      <c r="AO420" s="79"/>
      <c r="AP420" s="79">
        <f t="shared" si="25"/>
        <v>0</v>
      </c>
      <c r="AQ420" s="374">
        <f>SUM(ERP_2[[#This Row],[AP01]:[AP06]])-SUM(ERP_2[[#This Row],[AP01 LE2]:[AP06 LE2]])</f>
        <v>227</v>
      </c>
      <c r="AR420" s="80"/>
      <c r="AS420" s="79">
        <f>ERP_2[[#This Row],[2026 Working Total to Budget/LE]]-ERP_2[[#This Row],[Giveback]]</f>
        <v>227</v>
      </c>
      <c r="AT420" s="81"/>
      <c r="AU420" s="375"/>
      <c r="AV420" s="375"/>
      <c r="AW420" s="375"/>
      <c r="AX420" s="375"/>
      <c r="AY420" s="375"/>
      <c r="AZ420" s="375"/>
      <c r="BA420" s="375"/>
      <c r="BB420" s="375"/>
      <c r="BC420" s="375"/>
      <c r="BD420" s="375"/>
      <c r="BE420" s="375"/>
      <c r="BF420" s="375"/>
      <c r="BG420" s="375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</row>
    <row r="421" spans="1:72" ht="15" hidden="1" customHeight="1">
      <c r="A421" s="66" t="s">
        <v>2747</v>
      </c>
      <c r="B421" s="66"/>
      <c r="C421" s="66" t="s">
        <v>984</v>
      </c>
      <c r="D421" s="66" t="s">
        <v>984</v>
      </c>
      <c r="E421" s="150" t="s">
        <v>1136</v>
      </c>
      <c r="F421" s="482" t="s">
        <v>1566</v>
      </c>
      <c r="G421" s="150" t="s">
        <v>1515</v>
      </c>
      <c r="H421" s="383" t="s">
        <v>1515</v>
      </c>
      <c r="I421" s="150" t="s">
        <v>1345</v>
      </c>
      <c r="J421" s="150" t="s">
        <v>1515</v>
      </c>
      <c r="K421" s="150" t="s">
        <v>1346</v>
      </c>
      <c r="L421" s="511" t="s">
        <v>639</v>
      </c>
      <c r="M421" s="392" t="s">
        <v>2285</v>
      </c>
      <c r="N421" s="343"/>
      <c r="O421" s="343"/>
      <c r="P421" s="70" t="s">
        <v>676</v>
      </c>
      <c r="Q421" s="346"/>
      <c r="R421" s="346" t="s">
        <v>1140</v>
      </c>
      <c r="S421" s="346"/>
      <c r="T421" s="150" t="s">
        <v>677</v>
      </c>
      <c r="U421" s="150"/>
      <c r="V421" s="403"/>
      <c r="W421" s="406">
        <v>0</v>
      </c>
      <c r="X421" s="406">
        <v>218.38</v>
      </c>
      <c r="Y421" s="425"/>
      <c r="Z421" s="71"/>
      <c r="AA421" s="426"/>
      <c r="AB421" s="427"/>
      <c r="AC421" s="427">
        <v>218.38</v>
      </c>
      <c r="AD421" s="428">
        <v>0</v>
      </c>
      <c r="AE421" s="429">
        <v>0</v>
      </c>
      <c r="AF421" s="429">
        <v>0</v>
      </c>
      <c r="AG421" s="360">
        <v>0</v>
      </c>
      <c r="AH421" s="360">
        <v>0</v>
      </c>
      <c r="AI421" s="360">
        <v>0</v>
      </c>
      <c r="AJ421" s="360">
        <v>0</v>
      </c>
      <c r="AK421" s="360">
        <v>0</v>
      </c>
      <c r="AL421" s="360">
        <v>0</v>
      </c>
      <c r="AM421" s="360">
        <f t="shared" si="21"/>
        <v>218.38</v>
      </c>
      <c r="AN421" s="362">
        <f>ERP_2[[#This Row],[2026 Working Total]]-ERP_2[[#This Row],[LE2 Final Submission]]</f>
        <v>0</v>
      </c>
      <c r="AO421" s="79">
        <v>0</v>
      </c>
      <c r="AP421" s="79">
        <f t="shared" si="25"/>
        <v>0</v>
      </c>
      <c r="AQ421" s="374">
        <f>SUM(ERP_2[[#This Row],[AP01]:[AP06]])-SUM(ERP_2[[#This Row],[AP01 LE2]:[AP06 LE2]])</f>
        <v>0</v>
      </c>
      <c r="AR421" s="80"/>
      <c r="AS421" s="79">
        <f>ERP_2[[#This Row],[2026 Working Total to Budget/LE]]-ERP_2[[#This Row],[Giveback]]</f>
        <v>0</v>
      </c>
      <c r="AT421" s="81"/>
      <c r="AU421" s="375"/>
      <c r="AV421" s="375"/>
      <c r="AW421" s="375">
        <v>218.38</v>
      </c>
      <c r="AX421" s="375">
        <v>0</v>
      </c>
      <c r="AY421" s="375">
        <v>0</v>
      </c>
      <c r="AZ421" s="375">
        <v>0</v>
      </c>
      <c r="BA421" s="375">
        <v>0</v>
      </c>
      <c r="BB421" s="375">
        <v>0</v>
      </c>
      <c r="BC421" s="375">
        <v>0</v>
      </c>
      <c r="BD421" s="375">
        <v>0</v>
      </c>
      <c r="BE421" s="375">
        <v>0</v>
      </c>
      <c r="BF421" s="375">
        <v>0</v>
      </c>
      <c r="BG421" s="375">
        <v>218.38</v>
      </c>
      <c r="BH421" s="79"/>
      <c r="BI421" s="79"/>
      <c r="BJ421" s="79">
        <v>218.38</v>
      </c>
      <c r="BK421" s="79">
        <v>0</v>
      </c>
      <c r="BL421" s="79">
        <v>0</v>
      </c>
      <c r="BM421" s="79">
        <v>0</v>
      </c>
      <c r="BN421" s="79">
        <v>0</v>
      </c>
      <c r="BO421" s="79">
        <v>0</v>
      </c>
      <c r="BP421" s="79">
        <v>0</v>
      </c>
      <c r="BQ421" s="79">
        <v>0</v>
      </c>
      <c r="BR421" s="79">
        <v>0</v>
      </c>
      <c r="BS421" s="79">
        <v>0</v>
      </c>
      <c r="BT421" s="79">
        <v>218.38</v>
      </c>
    </row>
    <row r="422" spans="1:72" ht="15" hidden="1" customHeight="1">
      <c r="A422" s="150" t="s">
        <v>2748</v>
      </c>
      <c r="B422" s="150"/>
      <c r="C422" s="536" t="s">
        <v>985</v>
      </c>
      <c r="D422" s="296" t="s">
        <v>985</v>
      </c>
      <c r="E422" s="150" t="s">
        <v>1136</v>
      </c>
      <c r="F422" s="482" t="s">
        <v>1566</v>
      </c>
      <c r="G422" s="332" t="s">
        <v>1515</v>
      </c>
      <c r="H422" s="383" t="s">
        <v>1515</v>
      </c>
      <c r="I422" s="150" t="s">
        <v>1345</v>
      </c>
      <c r="J422" s="332" t="s">
        <v>1515</v>
      </c>
      <c r="K422" s="333" t="s">
        <v>1515</v>
      </c>
      <c r="L422" s="514" t="s">
        <v>639</v>
      </c>
      <c r="M422" s="394" t="s">
        <v>2749</v>
      </c>
      <c r="N422" s="333"/>
      <c r="O422" s="332" t="s">
        <v>2750</v>
      </c>
      <c r="P422" s="90" t="s">
        <v>679</v>
      </c>
      <c r="Q422" s="347"/>
      <c r="R422" s="347"/>
      <c r="S422" s="348"/>
      <c r="T422" s="348"/>
      <c r="U422" s="348"/>
      <c r="V422" s="402"/>
      <c r="W422" s="406"/>
      <c r="X422" s="406"/>
      <c r="Y422" s="425"/>
      <c r="Z422" s="71"/>
      <c r="AA422" s="435"/>
      <c r="AB422" s="436"/>
      <c r="AC422" s="436"/>
      <c r="AD422" s="429"/>
      <c r="AE422" s="429">
        <v>417.44</v>
      </c>
      <c r="AF422" s="429">
        <v>0</v>
      </c>
      <c r="AG422" s="364"/>
      <c r="AH422" s="364"/>
      <c r="AI422" s="364"/>
      <c r="AJ422" s="364"/>
      <c r="AK422" s="364"/>
      <c r="AL422" s="364"/>
      <c r="AM422" s="360">
        <f t="shared" si="21"/>
        <v>417.44</v>
      </c>
      <c r="AN422" s="362">
        <f>ERP_2[[#This Row],[2026 Working Total]]-ERP_2[[#This Row],[LE2 Final Submission]]</f>
        <v>417.44</v>
      </c>
      <c r="AO422" s="79"/>
      <c r="AP422" s="79">
        <f t="shared" si="25"/>
        <v>0</v>
      </c>
      <c r="AQ422" s="374">
        <f>SUM(ERP_2[[#This Row],[AP01]:[AP06]])-SUM(ERP_2[[#This Row],[AP01 LE2]:[AP06 LE2]])</f>
        <v>417.44</v>
      </c>
      <c r="AR422" s="80"/>
      <c r="AS422" s="79">
        <f>ERP_2[[#This Row],[2026 Working Total to Budget/LE]]-ERP_2[[#This Row],[Giveback]]</f>
        <v>417.44</v>
      </c>
      <c r="AT422" s="81"/>
      <c r="AU422" s="375"/>
      <c r="AV422" s="375"/>
      <c r="AW422" s="375"/>
      <c r="AX422" s="375"/>
      <c r="AY422" s="375"/>
      <c r="AZ422" s="375"/>
      <c r="BA422" s="375"/>
      <c r="BB422" s="375"/>
      <c r="BC422" s="375"/>
      <c r="BD422" s="375"/>
      <c r="BE422" s="375"/>
      <c r="BF422" s="375"/>
      <c r="BG422" s="375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</row>
    <row r="423" spans="1:72" ht="15" hidden="1" customHeight="1">
      <c r="A423" s="66" t="s">
        <v>2751</v>
      </c>
      <c r="B423" s="66"/>
      <c r="C423" s="66" t="s">
        <v>986</v>
      </c>
      <c r="D423" s="66" t="s">
        <v>986</v>
      </c>
      <c r="E423" s="150" t="s">
        <v>1136</v>
      </c>
      <c r="F423" s="482" t="s">
        <v>1566</v>
      </c>
      <c r="G423" s="150" t="s">
        <v>1515</v>
      </c>
      <c r="H423" s="383" t="s">
        <v>1515</v>
      </c>
      <c r="I423" s="150" t="s">
        <v>1345</v>
      </c>
      <c r="J423" s="150" t="s">
        <v>1515</v>
      </c>
      <c r="K423" s="150" t="s">
        <v>1346</v>
      </c>
      <c r="L423" s="511" t="s">
        <v>639</v>
      </c>
      <c r="M423" s="392" t="s">
        <v>818</v>
      </c>
      <c r="N423" s="343"/>
      <c r="O423" s="343"/>
      <c r="P423" s="70" t="s">
        <v>817</v>
      </c>
      <c r="Q423" s="346"/>
      <c r="R423" s="346" t="s">
        <v>1140</v>
      </c>
      <c r="S423" s="346"/>
      <c r="T423" s="150" t="s">
        <v>818</v>
      </c>
      <c r="U423" s="150"/>
      <c r="V423" s="403"/>
      <c r="W423" s="406">
        <v>8000</v>
      </c>
      <c r="X423" s="406">
        <v>17389.7</v>
      </c>
      <c r="Y423" s="425"/>
      <c r="Z423" s="71"/>
      <c r="AA423" s="426"/>
      <c r="AB423" s="427"/>
      <c r="AC423" s="427">
        <v>11389.7</v>
      </c>
      <c r="AD423" s="428">
        <v>0</v>
      </c>
      <c r="AE423" s="429">
        <v>0</v>
      </c>
      <c r="AF423" s="429">
        <v>8531.9</v>
      </c>
      <c r="AG423" s="360">
        <v>0</v>
      </c>
      <c r="AH423" s="360">
        <v>0</v>
      </c>
      <c r="AI423" s="363">
        <v>2000</v>
      </c>
      <c r="AJ423" s="360">
        <v>0</v>
      </c>
      <c r="AK423" s="363">
        <v>2000</v>
      </c>
      <c r="AL423" s="360">
        <v>0</v>
      </c>
      <c r="AM423" s="360">
        <f t="shared" si="21"/>
        <v>23921.599999999999</v>
      </c>
      <c r="AN423" s="362">
        <f>ERP_2[[#This Row],[2026 Working Total]]-ERP_2[[#This Row],[LE2 Final Submission]]</f>
        <v>6531.8999999999978</v>
      </c>
      <c r="AO423" s="79">
        <v>0</v>
      </c>
      <c r="AP423" s="79">
        <f t="shared" si="25"/>
        <v>8531.9</v>
      </c>
      <c r="AQ423" s="374">
        <f>SUM(ERP_2[[#This Row],[AP01]:[AP06]])-SUM(ERP_2[[#This Row],[AP01 LE2]:[AP06 LE2]])</f>
        <v>6531.8999999999978</v>
      </c>
      <c r="AR423" s="80"/>
      <c r="AS423" s="79">
        <f>ERP_2[[#This Row],[2026 Working Total to Budget/LE]]-ERP_2[[#This Row],[Giveback]]</f>
        <v>6531.8999999999978</v>
      </c>
      <c r="AT423" s="81"/>
      <c r="AU423" s="375"/>
      <c r="AV423" s="375"/>
      <c r="AW423" s="375">
        <v>11389.7</v>
      </c>
      <c r="AX423" s="375">
        <v>0</v>
      </c>
      <c r="AY423" s="375">
        <v>0</v>
      </c>
      <c r="AZ423" s="375">
        <v>2000</v>
      </c>
      <c r="BA423" s="375">
        <v>0</v>
      </c>
      <c r="BB423" s="375">
        <v>0</v>
      </c>
      <c r="BC423" s="375">
        <v>2000</v>
      </c>
      <c r="BD423" s="375">
        <v>0</v>
      </c>
      <c r="BE423" s="375">
        <v>2000</v>
      </c>
      <c r="BF423" s="375">
        <v>0</v>
      </c>
      <c r="BG423" s="375">
        <v>17389.7</v>
      </c>
      <c r="BH423" s="79"/>
      <c r="BI423" s="79"/>
      <c r="BJ423" s="79">
        <v>11389.7</v>
      </c>
      <c r="BK423" s="79">
        <v>0</v>
      </c>
      <c r="BL423" s="79">
        <v>0</v>
      </c>
      <c r="BM423" s="79">
        <v>2000</v>
      </c>
      <c r="BN423" s="79">
        <v>0</v>
      </c>
      <c r="BO423" s="79">
        <v>0</v>
      </c>
      <c r="BP423" s="79">
        <v>2000</v>
      </c>
      <c r="BQ423" s="79">
        <v>0</v>
      </c>
      <c r="BR423" s="79">
        <v>2000</v>
      </c>
      <c r="BS423" s="79">
        <v>0</v>
      </c>
      <c r="BT423" s="79">
        <v>17389.7</v>
      </c>
    </row>
    <row r="424" spans="1:72" ht="15" hidden="1" customHeight="1">
      <c r="A424" s="66" t="s">
        <v>2752</v>
      </c>
      <c r="B424" s="66"/>
      <c r="C424" s="66" t="s">
        <v>987</v>
      </c>
      <c r="D424" s="66" t="s">
        <v>987</v>
      </c>
      <c r="E424" s="150" t="s">
        <v>1136</v>
      </c>
      <c r="F424" s="482" t="s">
        <v>1566</v>
      </c>
      <c r="G424" s="150" t="s">
        <v>1515</v>
      </c>
      <c r="H424" s="383" t="s">
        <v>1515</v>
      </c>
      <c r="I424" s="150" t="s">
        <v>1345</v>
      </c>
      <c r="J424" s="150" t="s">
        <v>1515</v>
      </c>
      <c r="K424" s="150" t="s">
        <v>1346</v>
      </c>
      <c r="L424" s="511" t="s">
        <v>639</v>
      </c>
      <c r="M424" s="392" t="s">
        <v>1327</v>
      </c>
      <c r="N424" s="343"/>
      <c r="O424" s="343"/>
      <c r="P424" s="70" t="s">
        <v>147</v>
      </c>
      <c r="Q424" s="346"/>
      <c r="R424" s="343"/>
      <c r="S424" s="346"/>
      <c r="T424" s="150" t="s">
        <v>25</v>
      </c>
      <c r="U424" s="150"/>
      <c r="V424" s="403"/>
      <c r="W424" s="406">
        <v>0</v>
      </c>
      <c r="X424" s="406">
        <v>0.63</v>
      </c>
      <c r="Y424" s="425"/>
      <c r="Z424" s="71"/>
      <c r="AA424" s="426"/>
      <c r="AB424" s="427"/>
      <c r="AC424" s="427">
        <v>0.63</v>
      </c>
      <c r="AD424" s="428">
        <v>0</v>
      </c>
      <c r="AE424" s="429">
        <v>-0.28000000000000003</v>
      </c>
      <c r="AF424" s="429">
        <v>0.1</v>
      </c>
      <c r="AG424" s="360">
        <v>0</v>
      </c>
      <c r="AH424" s="360">
        <v>0</v>
      </c>
      <c r="AI424" s="360">
        <v>0</v>
      </c>
      <c r="AJ424" s="360">
        <v>0</v>
      </c>
      <c r="AK424" s="360">
        <v>0</v>
      </c>
      <c r="AL424" s="360">
        <v>0</v>
      </c>
      <c r="AM424" s="360">
        <f t="shared" si="21"/>
        <v>0.44999999999999996</v>
      </c>
      <c r="AN424" s="362">
        <f>ERP_2[[#This Row],[2026 Working Total]]-ERP_2[[#This Row],[LE2 Final Submission]]</f>
        <v>-0.18000000000000005</v>
      </c>
      <c r="AO424" s="79">
        <v>0</v>
      </c>
      <c r="AP424" s="79">
        <f t="shared" si="25"/>
        <v>0.1</v>
      </c>
      <c r="AQ424" s="374">
        <f>SUM(ERP_2[[#This Row],[AP01]:[AP06]])-SUM(ERP_2[[#This Row],[AP01 LE2]:[AP06 LE2]])</f>
        <v>-0.18000000000000005</v>
      </c>
      <c r="AR424" s="80"/>
      <c r="AS424" s="79">
        <f>ERP_2[[#This Row],[2026 Working Total to Budget/LE]]-ERP_2[[#This Row],[Giveback]]</f>
        <v>-0.18000000000000005</v>
      </c>
      <c r="AT424" s="81"/>
      <c r="AU424" s="375"/>
      <c r="AV424" s="375"/>
      <c r="AW424" s="375">
        <v>0.63</v>
      </c>
      <c r="AX424" s="375">
        <v>0</v>
      </c>
      <c r="AY424" s="375">
        <v>0</v>
      </c>
      <c r="AZ424" s="375">
        <v>0</v>
      </c>
      <c r="BA424" s="375">
        <v>0</v>
      </c>
      <c r="BB424" s="375">
        <v>0</v>
      </c>
      <c r="BC424" s="375">
        <v>0</v>
      </c>
      <c r="BD424" s="375">
        <v>0</v>
      </c>
      <c r="BE424" s="375">
        <v>0</v>
      </c>
      <c r="BF424" s="375">
        <v>0</v>
      </c>
      <c r="BG424" s="375">
        <v>0.63</v>
      </c>
      <c r="BH424" s="79"/>
      <c r="BI424" s="79"/>
      <c r="BJ424" s="79">
        <v>0.63</v>
      </c>
      <c r="BK424" s="79">
        <v>0</v>
      </c>
      <c r="BL424" s="79">
        <v>0</v>
      </c>
      <c r="BM424" s="79">
        <v>0</v>
      </c>
      <c r="BN424" s="79">
        <v>0</v>
      </c>
      <c r="BO424" s="79">
        <v>0</v>
      </c>
      <c r="BP424" s="79">
        <v>0</v>
      </c>
      <c r="BQ424" s="79">
        <v>0</v>
      </c>
      <c r="BR424" s="79">
        <v>0</v>
      </c>
      <c r="BS424" s="79">
        <v>0</v>
      </c>
      <c r="BT424" s="79">
        <v>0.63</v>
      </c>
    </row>
    <row r="425" spans="1:72" ht="15" hidden="1" customHeight="1">
      <c r="A425" s="66" t="s">
        <v>1564</v>
      </c>
      <c r="B425" s="66"/>
      <c r="C425" s="66" t="s">
        <v>270</v>
      </c>
      <c r="D425" s="66" t="s">
        <v>1565</v>
      </c>
      <c r="E425" s="150" t="s">
        <v>1136</v>
      </c>
      <c r="F425" s="482" t="s">
        <v>1566</v>
      </c>
      <c r="G425" s="150" t="s">
        <v>1566</v>
      </c>
      <c r="H425" s="150" t="s">
        <v>1566</v>
      </c>
      <c r="I425" s="150" t="s">
        <v>1567</v>
      </c>
      <c r="J425" s="150" t="s">
        <v>1567</v>
      </c>
      <c r="K425" s="150" t="s">
        <v>1568</v>
      </c>
      <c r="L425" s="511" t="s">
        <v>49</v>
      </c>
      <c r="M425" s="392" t="s">
        <v>1569</v>
      </c>
      <c r="N425" s="343"/>
      <c r="O425" s="346" t="s">
        <v>1570</v>
      </c>
      <c r="P425" s="70" t="s">
        <v>271</v>
      </c>
      <c r="Q425" s="346"/>
      <c r="R425" s="343"/>
      <c r="S425" s="346"/>
      <c r="T425" s="505" t="s">
        <v>272</v>
      </c>
      <c r="U425" s="150"/>
      <c r="V425" s="403"/>
      <c r="W425" s="406">
        <v>0</v>
      </c>
      <c r="X425" s="406">
        <v>823483</v>
      </c>
      <c r="Y425" s="425"/>
      <c r="Z425" s="71"/>
      <c r="AA425" s="426"/>
      <c r="AB425" s="427"/>
      <c r="AC425" s="427">
        <v>110350.46</v>
      </c>
      <c r="AD425" s="428">
        <v>184516.84999999998</v>
      </c>
      <c r="AE425" s="429">
        <v>-60761.06</v>
      </c>
      <c r="AF425" s="429">
        <v>93499.999999999985</v>
      </c>
      <c r="AG425" s="363">
        <v>71600</v>
      </c>
      <c r="AH425" s="363">
        <v>77000</v>
      </c>
      <c r="AI425" s="363">
        <v>111600</v>
      </c>
      <c r="AJ425" s="363">
        <v>61600</v>
      </c>
      <c r="AK425" s="363">
        <v>77000</v>
      </c>
      <c r="AL425" s="363">
        <v>71600</v>
      </c>
      <c r="AM425" s="360">
        <f t="shared" si="21"/>
        <v>798006.25</v>
      </c>
      <c r="AN425" s="362">
        <f>ERP_2[[#This Row],[2026 Working Total]]-ERP_2[[#This Row],[LE2 Final Submission]]</f>
        <v>-25476.75</v>
      </c>
      <c r="AO425" s="79">
        <v>-28062.46</v>
      </c>
      <c r="AP425" s="79">
        <f t="shared" si="25"/>
        <v>121562.45999999999</v>
      </c>
      <c r="AQ425" s="374">
        <f>SUM(ERP_2[[#This Row],[AP01]:[AP06]])-SUM(ERP_2[[#This Row],[AP01 LE2]:[AP06 LE2]])</f>
        <v>-30936.75</v>
      </c>
      <c r="AR425" s="80"/>
      <c r="AS425" s="79">
        <f>ERP_2[[#This Row],[2026 Working Total to Budget/LE]]-ERP_2[[#This Row],[Giveback]]</f>
        <v>-25476.75</v>
      </c>
      <c r="AT425" s="81"/>
      <c r="AU425" s="375"/>
      <c r="AV425" s="375"/>
      <c r="AW425" s="375">
        <v>110350.46</v>
      </c>
      <c r="AX425" s="375">
        <v>183665</v>
      </c>
      <c r="AY425" s="375">
        <v>-28062.46</v>
      </c>
      <c r="AZ425" s="375">
        <v>92590</v>
      </c>
      <c r="BA425" s="375">
        <v>70690</v>
      </c>
      <c r="BB425" s="375">
        <v>76090</v>
      </c>
      <c r="BC425" s="375">
        <v>110690</v>
      </c>
      <c r="BD425" s="375">
        <v>60690</v>
      </c>
      <c r="BE425" s="375">
        <v>76090</v>
      </c>
      <c r="BF425" s="375">
        <v>70690</v>
      </c>
      <c r="BG425" s="375">
        <v>823483</v>
      </c>
      <c r="BH425" s="79"/>
      <c r="BI425" s="79"/>
      <c r="BJ425" s="79">
        <v>110350.46</v>
      </c>
      <c r="BK425" s="79">
        <v>95789</v>
      </c>
      <c r="BL425" s="79">
        <v>102589</v>
      </c>
      <c r="BM425" s="79">
        <v>121289</v>
      </c>
      <c r="BN425" s="79">
        <v>121389</v>
      </c>
      <c r="BO425" s="79">
        <v>101000</v>
      </c>
      <c r="BP425" s="79">
        <v>98422</v>
      </c>
      <c r="BQ425" s="79">
        <v>129000</v>
      </c>
      <c r="BR425" s="79">
        <v>66600</v>
      </c>
      <c r="BS425" s="79">
        <v>63668</v>
      </c>
      <c r="BT425" s="79">
        <v>1010096.46</v>
      </c>
    </row>
    <row r="426" spans="1:72" ht="15" hidden="1" customHeight="1">
      <c r="A426" s="66" t="s">
        <v>1572</v>
      </c>
      <c r="B426" s="66"/>
      <c r="C426" s="66" t="s">
        <v>273</v>
      </c>
      <c r="D426" s="66" t="s">
        <v>1573</v>
      </c>
      <c r="E426" s="150" t="s">
        <v>1136</v>
      </c>
      <c r="F426" s="482" t="s">
        <v>1566</v>
      </c>
      <c r="G426" s="150" t="s">
        <v>1566</v>
      </c>
      <c r="H426" s="150" t="s">
        <v>1566</v>
      </c>
      <c r="I426" s="150" t="s">
        <v>1567</v>
      </c>
      <c r="J426" s="150" t="s">
        <v>1567</v>
      </c>
      <c r="K426" s="150" t="s">
        <v>1567</v>
      </c>
      <c r="L426" s="511" t="s">
        <v>49</v>
      </c>
      <c r="M426" s="392" t="s">
        <v>1574</v>
      </c>
      <c r="N426" s="343"/>
      <c r="O426" s="343"/>
      <c r="P426" s="70" t="s">
        <v>274</v>
      </c>
      <c r="Q426" s="346" t="s">
        <v>1139</v>
      </c>
      <c r="R426" s="343"/>
      <c r="S426" s="346"/>
      <c r="T426" s="505" t="s">
        <v>275</v>
      </c>
      <c r="U426" s="150"/>
      <c r="V426" s="403"/>
      <c r="W426" s="406">
        <v>1080865</v>
      </c>
      <c r="X426" s="406">
        <v>1057129.56</v>
      </c>
      <c r="Y426" s="425"/>
      <c r="Z426" s="71"/>
      <c r="AA426" s="426"/>
      <c r="AB426" s="427"/>
      <c r="AC426" s="427">
        <v>250144.68</v>
      </c>
      <c r="AD426" s="428">
        <v>54863.060000000005</v>
      </c>
      <c r="AE426" s="429">
        <v>179345.82</v>
      </c>
      <c r="AF426" s="429">
        <v>111181.9</v>
      </c>
      <c r="AG426" s="363">
        <v>64574</v>
      </c>
      <c r="AH426" s="363">
        <v>93010</v>
      </c>
      <c r="AI426" s="363">
        <v>93010</v>
      </c>
      <c r="AJ426" s="363">
        <v>93010</v>
      </c>
      <c r="AK426" s="363">
        <v>93010</v>
      </c>
      <c r="AL426" s="363">
        <v>85636</v>
      </c>
      <c r="AM426" s="360">
        <f t="shared" si="21"/>
        <v>1117785.46</v>
      </c>
      <c r="AN426" s="362">
        <f>ERP_2[[#This Row],[2026 Working Total]]-ERP_2[[#This Row],[LE2 Final Submission]]</f>
        <v>60655.899999999907</v>
      </c>
      <c r="AO426" s="79">
        <v>103425.82</v>
      </c>
      <c r="AP426" s="79">
        <f t="shared" si="25"/>
        <v>7756.0799999999872</v>
      </c>
      <c r="AQ426" s="374">
        <f>SUM(ERP_2[[#This Row],[AP01]:[AP06]])-SUM(ERP_2[[#This Row],[AP01 LE2]:[AP06 LE2]])</f>
        <v>89091.899999999965</v>
      </c>
      <c r="AR426" s="80"/>
      <c r="AS426" s="79">
        <f>ERP_2[[#This Row],[2026 Working Total to Budget/LE]]-ERP_2[[#This Row],[Giveback]]</f>
        <v>60655.899999999907</v>
      </c>
      <c r="AT426" s="81"/>
      <c r="AU426" s="375"/>
      <c r="AV426" s="375"/>
      <c r="AW426" s="375">
        <v>250144.68</v>
      </c>
      <c r="AX426" s="375">
        <v>54863.060000000005</v>
      </c>
      <c r="AY426" s="375">
        <v>103425.82</v>
      </c>
      <c r="AZ426" s="375">
        <v>98010</v>
      </c>
      <c r="BA426" s="375">
        <v>93010</v>
      </c>
      <c r="BB426" s="375">
        <v>93010</v>
      </c>
      <c r="BC426" s="375">
        <v>93010</v>
      </c>
      <c r="BD426" s="375">
        <v>93010</v>
      </c>
      <c r="BE426" s="375">
        <v>93010</v>
      </c>
      <c r="BF426" s="375">
        <v>85636</v>
      </c>
      <c r="BG426" s="375">
        <v>1057129.56</v>
      </c>
      <c r="BH426" s="79"/>
      <c r="BI426" s="79"/>
      <c r="BJ426" s="79">
        <v>250144.68</v>
      </c>
      <c r="BK426" s="79">
        <v>100000</v>
      </c>
      <c r="BL426" s="79">
        <v>100000</v>
      </c>
      <c r="BM426" s="79">
        <v>101635</v>
      </c>
      <c r="BN426" s="79">
        <v>100000</v>
      </c>
      <c r="BO426" s="79">
        <v>100000</v>
      </c>
      <c r="BP426" s="79">
        <v>100000</v>
      </c>
      <c r="BQ426" s="79">
        <v>100000</v>
      </c>
      <c r="BR426" s="79">
        <v>100000</v>
      </c>
      <c r="BS426" s="79">
        <v>80033</v>
      </c>
      <c r="BT426" s="79">
        <v>1131812.68</v>
      </c>
    </row>
    <row r="427" spans="1:72" ht="15" hidden="1" customHeight="1">
      <c r="A427" s="66" t="s">
        <v>1576</v>
      </c>
      <c r="B427" s="66"/>
      <c r="C427" s="66" t="s">
        <v>276</v>
      </c>
      <c r="D427" s="66" t="s">
        <v>1577</v>
      </c>
      <c r="E427" s="150" t="s">
        <v>1136</v>
      </c>
      <c r="F427" s="482" t="s">
        <v>1566</v>
      </c>
      <c r="G427" s="150" t="s">
        <v>1566</v>
      </c>
      <c r="H427" s="150" t="s">
        <v>1566</v>
      </c>
      <c r="I427" s="150" t="s">
        <v>1567</v>
      </c>
      <c r="J427" s="150" t="s">
        <v>1567</v>
      </c>
      <c r="K427" s="150" t="s">
        <v>1567</v>
      </c>
      <c r="L427" s="511" t="s">
        <v>49</v>
      </c>
      <c r="M427" s="392" t="s">
        <v>1578</v>
      </c>
      <c r="N427" s="343"/>
      <c r="O427" s="343"/>
      <c r="P427" s="70" t="s">
        <v>277</v>
      </c>
      <c r="Q427" s="346"/>
      <c r="R427" s="343"/>
      <c r="S427" s="346"/>
      <c r="T427" s="505" t="s">
        <v>272</v>
      </c>
      <c r="U427" s="150"/>
      <c r="V427" s="403"/>
      <c r="W427" s="406">
        <v>270062</v>
      </c>
      <c r="X427" s="406">
        <v>100070</v>
      </c>
      <c r="Y427" s="425"/>
      <c r="Z427" s="71"/>
      <c r="AA427" s="426"/>
      <c r="AB427" s="427"/>
      <c r="AC427" s="427"/>
      <c r="AD427" s="428" t="s">
        <v>1142</v>
      </c>
      <c r="AE427" s="429">
        <v>0</v>
      </c>
      <c r="AF427" s="429">
        <v>0</v>
      </c>
      <c r="AG427" s="360">
        <v>0</v>
      </c>
      <c r="AH427" s="363">
        <v>5000</v>
      </c>
      <c r="AI427" s="360">
        <v>24000</v>
      </c>
      <c r="AJ427" s="360">
        <v>71070</v>
      </c>
      <c r="AK427" s="360">
        <v>0</v>
      </c>
      <c r="AL427" s="360">
        <v>0</v>
      </c>
      <c r="AM427" s="360">
        <f t="shared" si="21"/>
        <v>100070</v>
      </c>
      <c r="AN427" s="362">
        <f>ERP_2[[#This Row],[2026 Working Total]]-ERP_2[[#This Row],[LE2 Final Submission]]</f>
        <v>0</v>
      </c>
      <c r="AO427" s="79">
        <v>0</v>
      </c>
      <c r="AP427" s="79">
        <f t="shared" si="25"/>
        <v>0</v>
      </c>
      <c r="AQ427" s="374">
        <f>SUM(ERP_2[[#This Row],[AP01]:[AP06]])-SUM(ERP_2[[#This Row],[AP01 LE2]:[AP06 LE2]])</f>
        <v>0</v>
      </c>
      <c r="AR427" s="80"/>
      <c r="AS427" s="79">
        <f>ERP_2[[#This Row],[2026 Working Total to Budget/LE]]-ERP_2[[#This Row],[Giveback]]</f>
        <v>0</v>
      </c>
      <c r="AT427" s="81"/>
      <c r="AU427" s="375"/>
      <c r="AV427" s="375"/>
      <c r="AW427" s="375"/>
      <c r="AX427" s="375">
        <v>0</v>
      </c>
      <c r="AY427" s="375">
        <v>0</v>
      </c>
      <c r="AZ427" s="375">
        <v>0</v>
      </c>
      <c r="BA427" s="375">
        <v>0</v>
      </c>
      <c r="BB427" s="375">
        <v>5000</v>
      </c>
      <c r="BC427" s="375">
        <v>24000</v>
      </c>
      <c r="BD427" s="375">
        <v>71070</v>
      </c>
      <c r="BE427" s="375">
        <v>0</v>
      </c>
      <c r="BF427" s="375">
        <v>0</v>
      </c>
      <c r="BG427" s="375">
        <v>100070</v>
      </c>
      <c r="BH427" s="79"/>
      <c r="BI427" s="79"/>
      <c r="BJ427" s="79"/>
      <c r="BK427" s="79"/>
      <c r="BL427" s="79">
        <v>67296</v>
      </c>
      <c r="BM427" s="79">
        <v>67296</v>
      </c>
      <c r="BN427" s="79">
        <v>0</v>
      </c>
      <c r="BO427" s="79">
        <v>135470</v>
      </c>
      <c r="BP427" s="79">
        <v>0</v>
      </c>
      <c r="BQ427" s="79">
        <v>0</v>
      </c>
      <c r="BR427" s="79">
        <v>0</v>
      </c>
      <c r="BS427" s="79">
        <v>0</v>
      </c>
      <c r="BT427" s="79">
        <v>270062</v>
      </c>
    </row>
    <row r="428" spans="1:72" ht="15" hidden="1" customHeight="1">
      <c r="A428" s="66" t="s">
        <v>2896</v>
      </c>
      <c r="B428" s="66"/>
      <c r="C428" s="66" t="s">
        <v>45</v>
      </c>
      <c r="D428" s="66" t="s">
        <v>45</v>
      </c>
      <c r="E428" s="150" t="s">
        <v>1136</v>
      </c>
      <c r="F428" s="482" t="s">
        <v>1566</v>
      </c>
      <c r="G428" s="150" t="s">
        <v>1650</v>
      </c>
      <c r="H428" s="150" t="s">
        <v>1650</v>
      </c>
      <c r="I428" s="150" t="s">
        <v>1650</v>
      </c>
      <c r="J428" s="150" t="s">
        <v>1650</v>
      </c>
      <c r="K428" s="150" t="s">
        <v>1650</v>
      </c>
      <c r="L428" s="511" t="s">
        <v>22</v>
      </c>
      <c r="M428" s="392" t="s">
        <v>2868</v>
      </c>
      <c r="N428" s="343"/>
      <c r="O428" s="343"/>
      <c r="P428" s="70" t="s">
        <v>24</v>
      </c>
      <c r="Q428" s="346" t="s">
        <v>1139</v>
      </c>
      <c r="R428" s="346" t="s">
        <v>1140</v>
      </c>
      <c r="S428" s="346"/>
      <c r="T428" s="150" t="s">
        <v>25</v>
      </c>
      <c r="U428" s="150"/>
      <c r="V428" s="403"/>
      <c r="W428" s="406">
        <v>763217.94999999984</v>
      </c>
      <c r="X428" s="406">
        <v>0</v>
      </c>
      <c r="Y428" s="425"/>
      <c r="Z428" s="71"/>
      <c r="AA428" s="426"/>
      <c r="AB428" s="427"/>
      <c r="AC428" s="427"/>
      <c r="AD428" s="428" t="s">
        <v>1142</v>
      </c>
      <c r="AE428" s="429">
        <v>0</v>
      </c>
      <c r="AF428" s="429">
        <v>0</v>
      </c>
      <c r="AG428" s="363"/>
      <c r="AH428" s="363"/>
      <c r="AI428" s="363"/>
      <c r="AJ428" s="363"/>
      <c r="AK428" s="363"/>
      <c r="AL428" s="363"/>
      <c r="AM428" s="360">
        <f t="shared" si="21"/>
        <v>0</v>
      </c>
      <c r="AN428" s="362">
        <f>ERP_2[[#This Row],[2026 Working Total]]-ERP_2[[#This Row],[LE2 Final Submission]]</f>
        <v>0</v>
      </c>
      <c r="AO428" s="79"/>
      <c r="AP428" s="79">
        <f t="shared" si="25"/>
        <v>0</v>
      </c>
      <c r="AQ428" s="374">
        <f>SUM(ERP_2[[#This Row],[AP01]:[AP06]])-SUM(ERP_2[[#This Row],[AP01 LE2]:[AP06 LE2]])</f>
        <v>0</v>
      </c>
      <c r="AR428" s="80"/>
      <c r="AS428" s="79">
        <f>ERP_2[[#This Row],[2026 Working Total to Budget/LE]]-ERP_2[[#This Row],[Giveback]]</f>
        <v>0</v>
      </c>
      <c r="AT428" s="81"/>
      <c r="AU428" s="375"/>
      <c r="AV428" s="375"/>
      <c r="AW428" s="375"/>
      <c r="AX428" s="375"/>
      <c r="AY428" s="375"/>
      <c r="AZ428" s="375"/>
      <c r="BA428" s="375"/>
      <c r="BB428" s="375"/>
      <c r="BC428" s="375"/>
      <c r="BD428" s="375"/>
      <c r="BE428" s="375"/>
      <c r="BF428" s="375"/>
      <c r="BG428" s="375">
        <v>0</v>
      </c>
      <c r="BH428" s="79">
        <v>60869.22</v>
      </c>
      <c r="BI428" s="79">
        <v>66348.7</v>
      </c>
      <c r="BJ428" s="79">
        <v>65556.320000000007</v>
      </c>
      <c r="BK428" s="79">
        <v>66648.33</v>
      </c>
      <c r="BL428" s="79">
        <v>58804.22</v>
      </c>
      <c r="BM428" s="79">
        <v>58804.22</v>
      </c>
      <c r="BN428" s="79">
        <v>58804.22</v>
      </c>
      <c r="BO428" s="79">
        <v>66557.960000000006</v>
      </c>
      <c r="BP428" s="79">
        <v>66703.34</v>
      </c>
      <c r="BQ428" s="79">
        <v>66703.34</v>
      </c>
      <c r="BR428" s="79">
        <v>66703.34</v>
      </c>
      <c r="BS428" s="79">
        <v>66703.34</v>
      </c>
      <c r="BT428" s="79">
        <v>769206.54999999993</v>
      </c>
    </row>
    <row r="429" spans="1:72" ht="15" hidden="1" customHeight="1">
      <c r="A429" s="66" t="s">
        <v>2897</v>
      </c>
      <c r="B429" s="66"/>
      <c r="C429" s="66" t="s">
        <v>46</v>
      </c>
      <c r="D429" s="66" t="s">
        <v>46</v>
      </c>
      <c r="E429" s="150" t="s">
        <v>1136</v>
      </c>
      <c r="F429" s="482" t="s">
        <v>1566</v>
      </c>
      <c r="G429" s="150" t="s">
        <v>1650</v>
      </c>
      <c r="H429" s="150" t="s">
        <v>1650</v>
      </c>
      <c r="I429" s="150" t="s">
        <v>1650</v>
      </c>
      <c r="J429" s="150" t="s">
        <v>1650</v>
      </c>
      <c r="K429" s="150" t="s">
        <v>1650</v>
      </c>
      <c r="L429" s="511" t="s">
        <v>22</v>
      </c>
      <c r="M429" s="392" t="s">
        <v>2870</v>
      </c>
      <c r="N429" s="343"/>
      <c r="O429" s="343"/>
      <c r="P429" s="70" t="s">
        <v>27</v>
      </c>
      <c r="Q429" s="346" t="s">
        <v>1139</v>
      </c>
      <c r="R429" s="346" t="s">
        <v>1140</v>
      </c>
      <c r="S429" s="346"/>
      <c r="T429" s="150" t="s">
        <v>25</v>
      </c>
      <c r="U429" s="150"/>
      <c r="V429" s="403"/>
      <c r="W429" s="406">
        <v>355072.04000000004</v>
      </c>
      <c r="X429" s="406">
        <v>0</v>
      </c>
      <c r="Y429" s="425"/>
      <c r="Z429" s="71"/>
      <c r="AA429" s="426"/>
      <c r="AB429" s="427"/>
      <c r="AC429" s="427"/>
      <c r="AD429" s="428" t="s">
        <v>1142</v>
      </c>
      <c r="AE429" s="429">
        <v>0</v>
      </c>
      <c r="AF429" s="429">
        <v>0</v>
      </c>
      <c r="AG429" s="363"/>
      <c r="AH429" s="363"/>
      <c r="AI429" s="363"/>
      <c r="AJ429" s="363"/>
      <c r="AK429" s="363"/>
      <c r="AL429" s="363"/>
      <c r="AM429" s="360">
        <f t="shared" si="21"/>
        <v>0</v>
      </c>
      <c r="AN429" s="362">
        <f>ERP_2[[#This Row],[2026 Working Total]]-ERP_2[[#This Row],[LE2 Final Submission]]</f>
        <v>0</v>
      </c>
      <c r="AO429" s="79"/>
      <c r="AP429" s="79">
        <f t="shared" si="25"/>
        <v>0</v>
      </c>
      <c r="AQ429" s="374">
        <f>SUM(ERP_2[[#This Row],[AP01]:[AP06]])-SUM(ERP_2[[#This Row],[AP01 LE2]:[AP06 LE2]])</f>
        <v>0</v>
      </c>
      <c r="AR429" s="80"/>
      <c r="AS429" s="79">
        <f>ERP_2[[#This Row],[2026 Working Total to Budget/LE]]-ERP_2[[#This Row],[Giveback]]</f>
        <v>0</v>
      </c>
      <c r="AT429" s="81"/>
      <c r="AU429" s="375"/>
      <c r="AV429" s="375"/>
      <c r="AW429" s="375"/>
      <c r="AX429" s="375"/>
      <c r="AY429" s="375"/>
      <c r="AZ429" s="375"/>
      <c r="BA429" s="375"/>
      <c r="BB429" s="375"/>
      <c r="BC429" s="375"/>
      <c r="BD429" s="375"/>
      <c r="BE429" s="375"/>
      <c r="BF429" s="375"/>
      <c r="BG429" s="375">
        <v>0</v>
      </c>
      <c r="BH429" s="79">
        <v>27497.84</v>
      </c>
      <c r="BI429" s="79">
        <v>27805.69</v>
      </c>
      <c r="BJ429" s="79">
        <v>37986.93</v>
      </c>
      <c r="BK429" s="79">
        <v>30575.919999999998</v>
      </c>
      <c r="BL429" s="79">
        <v>26871.200000000001</v>
      </c>
      <c r="BM429" s="79">
        <v>26871.200000000001</v>
      </c>
      <c r="BN429" s="79">
        <v>26871.200000000001</v>
      </c>
      <c r="BO429" s="79">
        <v>31487.49</v>
      </c>
      <c r="BP429" s="79">
        <v>31751.82</v>
      </c>
      <c r="BQ429" s="79">
        <v>31751.82</v>
      </c>
      <c r="BR429" s="79">
        <v>31751.82</v>
      </c>
      <c r="BS429" s="79">
        <v>31751.82</v>
      </c>
      <c r="BT429" s="79">
        <v>362974.75</v>
      </c>
    </row>
    <row r="430" spans="1:72" ht="15" hidden="1" customHeight="1">
      <c r="A430" s="66" t="s">
        <v>2898</v>
      </c>
      <c r="B430" s="66"/>
      <c r="C430" s="66" t="s">
        <v>47</v>
      </c>
      <c r="D430" s="66" t="s">
        <v>47</v>
      </c>
      <c r="E430" s="150" t="s">
        <v>1136</v>
      </c>
      <c r="F430" s="482" t="s">
        <v>1566</v>
      </c>
      <c r="G430" s="150" t="s">
        <v>1650</v>
      </c>
      <c r="H430" s="150" t="s">
        <v>1650</v>
      </c>
      <c r="I430" s="150" t="s">
        <v>1650</v>
      </c>
      <c r="J430" s="150" t="s">
        <v>1650</v>
      </c>
      <c r="K430" s="150" t="s">
        <v>1650</v>
      </c>
      <c r="L430" s="511" t="s">
        <v>22</v>
      </c>
      <c r="M430" s="392" t="s">
        <v>2872</v>
      </c>
      <c r="N430" s="343"/>
      <c r="O430" s="343"/>
      <c r="P430" s="70" t="s">
        <v>29</v>
      </c>
      <c r="Q430" s="346" t="s">
        <v>1139</v>
      </c>
      <c r="R430" s="346" t="s">
        <v>1140</v>
      </c>
      <c r="S430" s="346"/>
      <c r="T430" s="150" t="s">
        <v>25</v>
      </c>
      <c r="U430" s="150"/>
      <c r="V430" s="403"/>
      <c r="W430" s="406">
        <v>2029390.9400000004</v>
      </c>
      <c r="X430" s="406">
        <v>3060870.8486933634</v>
      </c>
      <c r="Y430" s="425"/>
      <c r="Z430" s="71"/>
      <c r="AA430" s="426">
        <v>238474.06999999998</v>
      </c>
      <c r="AB430" s="427">
        <v>255306.30000000005</v>
      </c>
      <c r="AC430" s="427">
        <v>190399.43</v>
      </c>
      <c r="AD430" s="428">
        <v>293204.89</v>
      </c>
      <c r="AE430" s="429">
        <v>312206.57999999996</v>
      </c>
      <c r="AF430" s="429">
        <v>165290.4</v>
      </c>
      <c r="AG430" s="363">
        <v>239240.83906981352</v>
      </c>
      <c r="AH430" s="363">
        <v>265188.32548648014</v>
      </c>
      <c r="AI430" s="363">
        <v>265188.32548648014</v>
      </c>
      <c r="AJ430" s="363">
        <v>278462.33017032093</v>
      </c>
      <c r="AK430" s="363">
        <v>278462.33017032093</v>
      </c>
      <c r="AL430" s="363">
        <v>278462.33017032093</v>
      </c>
      <c r="AM430" s="360">
        <f t="shared" si="21"/>
        <v>3059886.1505537364</v>
      </c>
      <c r="AN430" s="362">
        <f>ERP_2[[#This Row],[2026 Working Total]]-ERP_2[[#This Row],[LE2 Final Submission]]</f>
        <v>-984.69813962699845</v>
      </c>
      <c r="AO430" s="79">
        <v>239240.83906981352</v>
      </c>
      <c r="AP430" s="79">
        <f t="shared" si="25"/>
        <v>-73950.439069813525</v>
      </c>
      <c r="AQ430" s="374">
        <f>SUM(ERP_2[[#This Row],[AP01]:[AP06]])-SUM(ERP_2[[#This Row],[AP01 LE2]:[AP06 LE2]])</f>
        <v>-984.69813962723128</v>
      </c>
      <c r="AR430" s="80"/>
      <c r="AS430" s="79">
        <f>ERP_2[[#This Row],[2026 Working Total to Budget/LE]]-ERP_2[[#This Row],[Giveback]]</f>
        <v>-984.69813962699845</v>
      </c>
      <c r="AT430" s="81"/>
      <c r="AU430" s="375">
        <v>238474.06999999998</v>
      </c>
      <c r="AV430" s="375">
        <v>255306.30000000005</v>
      </c>
      <c r="AW430" s="375">
        <v>190399.43</v>
      </c>
      <c r="AX430" s="375">
        <v>293204.89</v>
      </c>
      <c r="AY430" s="375">
        <v>239240.83906981352</v>
      </c>
      <c r="AZ430" s="375">
        <v>239240.83906981352</v>
      </c>
      <c r="BA430" s="375">
        <v>239240.83906981352</v>
      </c>
      <c r="BB430" s="375">
        <v>265188.32548648014</v>
      </c>
      <c r="BC430" s="375">
        <v>265188.32548648014</v>
      </c>
      <c r="BD430" s="375">
        <v>278462.33017032093</v>
      </c>
      <c r="BE430" s="375">
        <v>278462.33017032093</v>
      </c>
      <c r="BF430" s="375">
        <v>278462.33017032093</v>
      </c>
      <c r="BG430" s="375">
        <v>3060870.8486933634</v>
      </c>
      <c r="BH430" s="79">
        <v>150107.01</v>
      </c>
      <c r="BI430" s="79">
        <v>161151.91</v>
      </c>
      <c r="BJ430" s="79">
        <v>86856.18</v>
      </c>
      <c r="BK430" s="79">
        <v>173603.4</v>
      </c>
      <c r="BL430" s="79">
        <v>155785.32</v>
      </c>
      <c r="BM430" s="79">
        <v>155785.32</v>
      </c>
      <c r="BN430" s="79">
        <v>155785.32</v>
      </c>
      <c r="BO430" s="79">
        <v>180905.4</v>
      </c>
      <c r="BP430" s="79">
        <v>182227.08</v>
      </c>
      <c r="BQ430" s="79">
        <v>182227.08</v>
      </c>
      <c r="BR430" s="79">
        <v>182227.08</v>
      </c>
      <c r="BS430" s="79">
        <v>182227.08</v>
      </c>
      <c r="BT430" s="79">
        <v>1948888.1800000004</v>
      </c>
    </row>
    <row r="431" spans="1:72" ht="15" hidden="1" customHeight="1">
      <c r="A431" s="79" t="s">
        <v>1580</v>
      </c>
      <c r="B431" s="79"/>
      <c r="C431" s="79" t="s">
        <v>278</v>
      </c>
      <c r="D431" s="296" t="s">
        <v>1581</v>
      </c>
      <c r="E431" s="150" t="s">
        <v>1136</v>
      </c>
      <c r="F431" s="482" t="s">
        <v>1566</v>
      </c>
      <c r="G431" s="150" t="s">
        <v>1566</v>
      </c>
      <c r="H431" s="150" t="s">
        <v>1566</v>
      </c>
      <c r="I431" s="383" t="s">
        <v>1567</v>
      </c>
      <c r="J431" s="382" t="s">
        <v>1567</v>
      </c>
      <c r="K431" s="331" t="s">
        <v>1567</v>
      </c>
      <c r="L431" s="512" t="s">
        <v>49</v>
      </c>
      <c r="M431" s="394" t="s">
        <v>1582</v>
      </c>
      <c r="N431" s="343"/>
      <c r="O431" s="331"/>
      <c r="P431" s="70" t="s">
        <v>279</v>
      </c>
      <c r="Q431" s="343"/>
      <c r="R431" s="343"/>
      <c r="S431" s="346"/>
      <c r="T431" s="507" t="s">
        <v>272</v>
      </c>
      <c r="U431" s="346" t="s">
        <v>1348</v>
      </c>
      <c r="V431" s="432"/>
      <c r="W431" s="358">
        <v>4900</v>
      </c>
      <c r="X431" s="378">
        <v>0</v>
      </c>
      <c r="Y431" s="425"/>
      <c r="Z431" s="71"/>
      <c r="AA431" s="433"/>
      <c r="AB431" s="434"/>
      <c r="AC431" s="434"/>
      <c r="AD431" s="428" t="s">
        <v>1142</v>
      </c>
      <c r="AE431" s="429">
        <v>0</v>
      </c>
      <c r="AF431" s="429">
        <v>0</v>
      </c>
      <c r="AG431" s="388">
        <v>0</v>
      </c>
      <c r="AH431" s="388">
        <v>0</v>
      </c>
      <c r="AI431" s="388">
        <v>0</v>
      </c>
      <c r="AJ431" s="388">
        <v>0</v>
      </c>
      <c r="AK431" s="388">
        <v>0</v>
      </c>
      <c r="AL431" s="388">
        <v>0</v>
      </c>
      <c r="AM431" s="360">
        <f t="shared" si="21"/>
        <v>0</v>
      </c>
      <c r="AN431" s="362">
        <f>ERP_2[[#This Row],[2026 Working Total]]-ERP_2[[#This Row],[LE2 Final Submission]]</f>
        <v>0</v>
      </c>
      <c r="AO431" s="79">
        <v>0</v>
      </c>
      <c r="AP431" s="79">
        <f t="shared" si="25"/>
        <v>0</v>
      </c>
      <c r="AQ431" s="374">
        <f>SUM(ERP_2[[#This Row],[AP01]:[AP06]])-SUM(ERP_2[[#This Row],[AP01 LE2]:[AP06 LE2]])</f>
        <v>0</v>
      </c>
      <c r="AR431" s="80"/>
      <c r="AS431" s="79">
        <f>ERP_2[[#This Row],[2026 Working Total to Budget/LE]]-ERP_2[[#This Row],[Giveback]]</f>
        <v>0</v>
      </c>
      <c r="AT431" s="81"/>
      <c r="AU431" s="375"/>
      <c r="AV431" s="375"/>
      <c r="AW431" s="375"/>
      <c r="AX431" s="375">
        <v>0</v>
      </c>
      <c r="AY431" s="375">
        <v>0</v>
      </c>
      <c r="AZ431" s="375">
        <v>0</v>
      </c>
      <c r="BA431" s="375">
        <v>0</v>
      </c>
      <c r="BB431" s="375">
        <v>0</v>
      </c>
      <c r="BC431" s="375">
        <v>0</v>
      </c>
      <c r="BD431" s="375">
        <v>0</v>
      </c>
      <c r="BE431" s="375">
        <v>0</v>
      </c>
      <c r="BF431" s="375">
        <v>0</v>
      </c>
      <c r="BG431" s="375">
        <v>0</v>
      </c>
      <c r="BH431" s="103">
        <v>4900</v>
      </c>
      <c r="BI431" s="103">
        <v>0</v>
      </c>
      <c r="BJ431" s="103">
        <v>0</v>
      </c>
      <c r="BK431" s="103">
        <v>0</v>
      </c>
      <c r="BL431" s="103">
        <v>0</v>
      </c>
      <c r="BM431" s="103">
        <v>0</v>
      </c>
      <c r="BN431" s="103">
        <v>0</v>
      </c>
      <c r="BO431" s="103">
        <v>0</v>
      </c>
      <c r="BP431" s="103">
        <v>0</v>
      </c>
      <c r="BQ431" s="103">
        <v>0</v>
      </c>
      <c r="BR431" s="103">
        <v>0</v>
      </c>
      <c r="BS431" s="103">
        <v>0</v>
      </c>
      <c r="BT431" s="79">
        <f>SUM(ERP_2[[#This Row],[2026 AP01]:[2026 AP12]])</f>
        <v>4900</v>
      </c>
    </row>
    <row r="432" spans="1:72" ht="15" hidden="1" customHeight="1">
      <c r="A432" s="66" t="s">
        <v>1583</v>
      </c>
      <c r="B432" s="66"/>
      <c r="C432" s="66" t="s">
        <v>280</v>
      </c>
      <c r="D432" s="66" t="s">
        <v>1584</v>
      </c>
      <c r="E432" s="150" t="s">
        <v>1136</v>
      </c>
      <c r="F432" s="482" t="s">
        <v>1566</v>
      </c>
      <c r="G432" s="150" t="s">
        <v>1566</v>
      </c>
      <c r="H432" s="150" t="s">
        <v>1566</v>
      </c>
      <c r="I432" s="150" t="s">
        <v>1567</v>
      </c>
      <c r="J432" s="150" t="s">
        <v>1567</v>
      </c>
      <c r="K432" s="150" t="s">
        <v>1567</v>
      </c>
      <c r="L432" s="511" t="s">
        <v>49</v>
      </c>
      <c r="M432" s="392" t="s">
        <v>1585</v>
      </c>
      <c r="N432" s="343"/>
      <c r="O432" s="343"/>
      <c r="P432" s="70" t="s">
        <v>281</v>
      </c>
      <c r="Q432" s="346"/>
      <c r="R432" s="343"/>
      <c r="S432" s="346"/>
      <c r="T432" s="505" t="s">
        <v>272</v>
      </c>
      <c r="U432" s="150"/>
      <c r="V432" s="403"/>
      <c r="W432" s="406">
        <v>96677</v>
      </c>
      <c r="X432" s="406">
        <v>96677</v>
      </c>
      <c r="Y432" s="425"/>
      <c r="Z432" s="71"/>
      <c r="AA432" s="426"/>
      <c r="AB432" s="427"/>
      <c r="AC432" s="427">
        <v>-1032</v>
      </c>
      <c r="AD432" s="428">
        <v>0</v>
      </c>
      <c r="AE432" s="429">
        <v>0</v>
      </c>
      <c r="AF432" s="429">
        <v>0</v>
      </c>
      <c r="AG432" s="360">
        <v>100</v>
      </c>
      <c r="AH432" s="363">
        <v>250</v>
      </c>
      <c r="AI432" s="363">
        <v>76422</v>
      </c>
      <c r="AJ432" s="360">
        <v>250</v>
      </c>
      <c r="AK432" s="360">
        <v>10290</v>
      </c>
      <c r="AL432" s="360">
        <v>10297</v>
      </c>
      <c r="AM432" s="360">
        <f t="shared" si="21"/>
        <v>96577</v>
      </c>
      <c r="AN432" s="362">
        <f>ERP_2[[#This Row],[2026 Working Total]]-ERP_2[[#This Row],[LE2 Final Submission]]</f>
        <v>-100</v>
      </c>
      <c r="AO432" s="79">
        <v>0</v>
      </c>
      <c r="AP432" s="79">
        <f t="shared" si="25"/>
        <v>0</v>
      </c>
      <c r="AQ432" s="374">
        <f>SUM(ERP_2[[#This Row],[AP01]:[AP06]])-SUM(ERP_2[[#This Row],[AP01 LE2]:[AP06 LE2]])</f>
        <v>-100</v>
      </c>
      <c r="AR432" s="80"/>
      <c r="AS432" s="79">
        <f>ERP_2[[#This Row],[2026 Working Total to Budget/LE]]-ERP_2[[#This Row],[Giveback]]</f>
        <v>-100</v>
      </c>
      <c r="AT432" s="81"/>
      <c r="AU432" s="375"/>
      <c r="AV432" s="375"/>
      <c r="AW432" s="375">
        <v>-1032</v>
      </c>
      <c r="AX432" s="375">
        <v>0</v>
      </c>
      <c r="AY432" s="375">
        <v>0</v>
      </c>
      <c r="AZ432" s="375">
        <v>100</v>
      </c>
      <c r="BA432" s="375">
        <v>100</v>
      </c>
      <c r="BB432" s="375">
        <v>250</v>
      </c>
      <c r="BC432" s="375">
        <v>76422</v>
      </c>
      <c r="BD432" s="375">
        <v>250</v>
      </c>
      <c r="BE432" s="375">
        <v>10290</v>
      </c>
      <c r="BF432" s="375">
        <v>10297</v>
      </c>
      <c r="BG432" s="375">
        <v>96677</v>
      </c>
      <c r="BH432" s="79"/>
      <c r="BI432" s="79"/>
      <c r="BJ432" s="79">
        <v>-1032</v>
      </c>
      <c r="BK432" s="79">
        <v>-19688</v>
      </c>
      <c r="BL432" s="79">
        <v>25767</v>
      </c>
      <c r="BM432" s="79">
        <v>31112</v>
      </c>
      <c r="BN432" s="79">
        <v>0</v>
      </c>
      <c r="BO432" s="79">
        <v>10040</v>
      </c>
      <c r="BP432" s="79">
        <v>5023</v>
      </c>
      <c r="BQ432" s="79">
        <v>0</v>
      </c>
      <c r="BR432" s="79">
        <v>0</v>
      </c>
      <c r="BS432" s="79">
        <v>0</v>
      </c>
      <c r="BT432" s="79">
        <v>51222</v>
      </c>
    </row>
    <row r="433" spans="1:72" ht="15" hidden="1" customHeight="1">
      <c r="A433" s="66" t="s">
        <v>1587</v>
      </c>
      <c r="B433" s="66"/>
      <c r="C433" s="66" t="s">
        <v>282</v>
      </c>
      <c r="D433" s="66" t="s">
        <v>1588</v>
      </c>
      <c r="E433" s="150" t="s">
        <v>1136</v>
      </c>
      <c r="F433" s="482" t="s">
        <v>1566</v>
      </c>
      <c r="G433" s="150" t="s">
        <v>1566</v>
      </c>
      <c r="H433" s="150" t="s">
        <v>1566</v>
      </c>
      <c r="I433" s="150" t="s">
        <v>1567</v>
      </c>
      <c r="J433" s="150" t="s">
        <v>1567</v>
      </c>
      <c r="K433" s="150" t="s">
        <v>1567</v>
      </c>
      <c r="L433" s="511" t="s">
        <v>49</v>
      </c>
      <c r="M433" s="392" t="s">
        <v>1589</v>
      </c>
      <c r="N433" s="343"/>
      <c r="O433" s="343"/>
      <c r="P433" s="70" t="s">
        <v>283</v>
      </c>
      <c r="Q433" s="346"/>
      <c r="R433" s="343"/>
      <c r="S433" s="346"/>
      <c r="T433" s="505" t="s">
        <v>272</v>
      </c>
      <c r="U433" s="150"/>
      <c r="V433" s="403"/>
      <c r="W433" s="406">
        <v>49920</v>
      </c>
      <c r="X433" s="406">
        <v>37752</v>
      </c>
      <c r="Y433" s="425"/>
      <c r="Z433" s="71"/>
      <c r="AA433" s="426"/>
      <c r="AB433" s="427"/>
      <c r="AC433" s="427"/>
      <c r="AD433" s="428" t="s">
        <v>1142</v>
      </c>
      <c r="AE433" s="429">
        <v>0</v>
      </c>
      <c r="AF433" s="429">
        <v>0</v>
      </c>
      <c r="AG433" s="363">
        <v>7550</v>
      </c>
      <c r="AH433" s="363">
        <v>9060</v>
      </c>
      <c r="AI433" s="363">
        <v>9060</v>
      </c>
      <c r="AJ433" s="363">
        <v>0</v>
      </c>
      <c r="AK433" s="360">
        <v>6040</v>
      </c>
      <c r="AL433" s="363">
        <v>6042</v>
      </c>
      <c r="AM433" s="360">
        <f t="shared" si="21"/>
        <v>37752</v>
      </c>
      <c r="AN433" s="362">
        <f>ERP_2[[#This Row],[2026 Working Total]]-ERP_2[[#This Row],[LE2 Final Submission]]</f>
        <v>0</v>
      </c>
      <c r="AO433" s="79">
        <v>0</v>
      </c>
      <c r="AP433" s="79">
        <f t="shared" si="25"/>
        <v>0</v>
      </c>
      <c r="AQ433" s="374">
        <f>SUM(ERP_2[[#This Row],[AP01]:[AP06]])-SUM(ERP_2[[#This Row],[AP01 LE2]:[AP06 LE2]])</f>
        <v>0</v>
      </c>
      <c r="AR433" s="80"/>
      <c r="AS433" s="79">
        <f>ERP_2[[#This Row],[2026 Working Total to Budget/LE]]-ERP_2[[#This Row],[Giveback]]</f>
        <v>0</v>
      </c>
      <c r="AT433" s="81"/>
      <c r="AU433" s="375"/>
      <c r="AV433" s="375"/>
      <c r="AW433" s="375"/>
      <c r="AX433" s="375">
        <v>0</v>
      </c>
      <c r="AY433" s="375">
        <v>0</v>
      </c>
      <c r="AZ433" s="375">
        <v>0</v>
      </c>
      <c r="BA433" s="375">
        <v>7550</v>
      </c>
      <c r="BB433" s="375">
        <v>9060</v>
      </c>
      <c r="BC433" s="375">
        <v>9060</v>
      </c>
      <c r="BD433" s="375">
        <v>0</v>
      </c>
      <c r="BE433" s="375">
        <v>6040</v>
      </c>
      <c r="BF433" s="375">
        <v>6042</v>
      </c>
      <c r="BG433" s="375">
        <v>37752</v>
      </c>
      <c r="BH433" s="79"/>
      <c r="BI433" s="79"/>
      <c r="BJ433" s="79"/>
      <c r="BK433" s="79">
        <v>2500</v>
      </c>
      <c r="BL433" s="79">
        <v>2500</v>
      </c>
      <c r="BM433" s="79">
        <v>10050</v>
      </c>
      <c r="BN433" s="79">
        <v>17644</v>
      </c>
      <c r="BO433" s="79">
        <v>17644</v>
      </c>
      <c r="BP433" s="79">
        <v>8540</v>
      </c>
      <c r="BQ433" s="79">
        <v>6042</v>
      </c>
      <c r="BR433" s="79">
        <v>0</v>
      </c>
      <c r="BS433" s="79">
        <v>-40000</v>
      </c>
      <c r="BT433" s="79">
        <v>24920</v>
      </c>
    </row>
    <row r="434" spans="1:72" ht="15" hidden="1" customHeight="1">
      <c r="A434" s="66" t="s">
        <v>1591</v>
      </c>
      <c r="B434" s="66"/>
      <c r="C434" s="66" t="s">
        <v>284</v>
      </c>
      <c r="D434" s="66" t="s">
        <v>1592</v>
      </c>
      <c r="E434" s="150" t="s">
        <v>1136</v>
      </c>
      <c r="F434" s="482" t="s">
        <v>1566</v>
      </c>
      <c r="G434" s="150" t="s">
        <v>1566</v>
      </c>
      <c r="H434" s="150" t="s">
        <v>1566</v>
      </c>
      <c r="I434" s="150" t="s">
        <v>1567</v>
      </c>
      <c r="J434" s="150" t="s">
        <v>1567</v>
      </c>
      <c r="K434" s="150" t="s">
        <v>1567</v>
      </c>
      <c r="L434" s="511" t="s">
        <v>49</v>
      </c>
      <c r="M434" s="392" t="s">
        <v>1174</v>
      </c>
      <c r="N434" s="343"/>
      <c r="O434" s="343"/>
      <c r="P434" s="70" t="s">
        <v>56</v>
      </c>
      <c r="Q434" s="346"/>
      <c r="R434" s="346" t="s">
        <v>1140</v>
      </c>
      <c r="S434" s="346"/>
      <c r="T434" s="150" t="s">
        <v>57</v>
      </c>
      <c r="U434" s="150"/>
      <c r="V434" s="403"/>
      <c r="W434" s="406">
        <v>0</v>
      </c>
      <c r="X434" s="406">
        <v>13071.14</v>
      </c>
      <c r="Y434" s="425"/>
      <c r="Z434" s="71"/>
      <c r="AA434" s="426">
        <v>5323.5</v>
      </c>
      <c r="AB434" s="427">
        <v>2811.9</v>
      </c>
      <c r="AC434" s="427">
        <v>4935.74</v>
      </c>
      <c r="AD434" s="428">
        <v>5810.54</v>
      </c>
      <c r="AE434" s="429">
        <v>6233.85</v>
      </c>
      <c r="AF434" s="429">
        <v>6212.75</v>
      </c>
      <c r="AG434" s="360">
        <v>0</v>
      </c>
      <c r="AH434" s="360">
        <v>0</v>
      </c>
      <c r="AI434" s="360">
        <v>0</v>
      </c>
      <c r="AJ434" s="360">
        <v>0</v>
      </c>
      <c r="AK434" s="360">
        <v>0</v>
      </c>
      <c r="AL434" s="360">
        <v>0</v>
      </c>
      <c r="AM434" s="360">
        <f t="shared" si="21"/>
        <v>31328.28</v>
      </c>
      <c r="AN434" s="362">
        <f>ERP_2[[#This Row],[2026 Working Total]]-ERP_2[[#This Row],[LE2 Final Submission]]</f>
        <v>18257.14</v>
      </c>
      <c r="AO434" s="79">
        <v>0</v>
      </c>
      <c r="AP434" s="79">
        <f t="shared" si="25"/>
        <v>6212.75</v>
      </c>
      <c r="AQ434" s="374">
        <f>SUM(ERP_2[[#This Row],[AP01]:[AP06]])-SUM(ERP_2[[#This Row],[AP01 LE2]:[AP06 LE2]])</f>
        <v>18257.14</v>
      </c>
      <c r="AR434" s="80"/>
      <c r="AS434" s="79">
        <f>ERP_2[[#This Row],[2026 Working Total to Budget/LE]]-ERP_2[[#This Row],[Giveback]]</f>
        <v>18257.14</v>
      </c>
      <c r="AT434" s="81"/>
      <c r="AU434" s="375">
        <v>5323.5</v>
      </c>
      <c r="AV434" s="375">
        <v>2811.9</v>
      </c>
      <c r="AW434" s="375">
        <v>4935.74</v>
      </c>
      <c r="AX434" s="375">
        <v>0</v>
      </c>
      <c r="AY434" s="375">
        <v>0</v>
      </c>
      <c r="AZ434" s="375">
        <v>0</v>
      </c>
      <c r="BA434" s="375">
        <v>0</v>
      </c>
      <c r="BB434" s="375">
        <v>0</v>
      </c>
      <c r="BC434" s="375">
        <v>0</v>
      </c>
      <c r="BD434" s="375">
        <v>0</v>
      </c>
      <c r="BE434" s="375">
        <v>0</v>
      </c>
      <c r="BF434" s="375">
        <v>0</v>
      </c>
      <c r="BG434" s="375">
        <v>13071.14</v>
      </c>
      <c r="BH434" s="79">
        <v>5323.5</v>
      </c>
      <c r="BI434" s="79">
        <v>2811.9</v>
      </c>
      <c r="BJ434" s="79">
        <v>4935.74</v>
      </c>
      <c r="BK434" s="79">
        <v>0</v>
      </c>
      <c r="BL434" s="79">
        <v>0</v>
      </c>
      <c r="BM434" s="79">
        <v>0</v>
      </c>
      <c r="BN434" s="79">
        <v>0</v>
      </c>
      <c r="BO434" s="79">
        <v>0</v>
      </c>
      <c r="BP434" s="79">
        <v>0</v>
      </c>
      <c r="BQ434" s="79">
        <v>0</v>
      </c>
      <c r="BR434" s="79">
        <v>0</v>
      </c>
      <c r="BS434" s="79">
        <v>0</v>
      </c>
      <c r="BT434" s="79">
        <v>13071.14</v>
      </c>
    </row>
    <row r="435" spans="1:72" ht="15" hidden="1" customHeight="1">
      <c r="A435" s="66" t="s">
        <v>1594</v>
      </c>
      <c r="B435" s="66"/>
      <c r="C435" s="66" t="s">
        <v>285</v>
      </c>
      <c r="D435" s="66" t="s">
        <v>1595</v>
      </c>
      <c r="E435" s="150" t="s">
        <v>1136</v>
      </c>
      <c r="F435" s="482" t="s">
        <v>1566</v>
      </c>
      <c r="G435" s="150" t="s">
        <v>1566</v>
      </c>
      <c r="H435" s="150" t="s">
        <v>1566</v>
      </c>
      <c r="I435" s="150" t="s">
        <v>1567</v>
      </c>
      <c r="J435" s="150" t="s">
        <v>1567</v>
      </c>
      <c r="K435" s="150" t="s">
        <v>1567</v>
      </c>
      <c r="L435" s="511" t="s">
        <v>49</v>
      </c>
      <c r="M435" s="392" t="s">
        <v>1596</v>
      </c>
      <c r="N435" s="343"/>
      <c r="O435" s="343"/>
      <c r="P435" s="70" t="s">
        <v>286</v>
      </c>
      <c r="Q435" s="346"/>
      <c r="R435" s="346" t="s">
        <v>1140</v>
      </c>
      <c r="S435" s="346"/>
      <c r="T435" s="505" t="s">
        <v>272</v>
      </c>
      <c r="U435" s="150"/>
      <c r="V435" s="403"/>
      <c r="W435" s="406">
        <v>100000</v>
      </c>
      <c r="X435" s="406">
        <v>100000</v>
      </c>
      <c r="Y435" s="425"/>
      <c r="Z435" s="71"/>
      <c r="AA435" s="426"/>
      <c r="AB435" s="427"/>
      <c r="AC435" s="427"/>
      <c r="AD435" s="428" t="s">
        <v>1142</v>
      </c>
      <c r="AE435" s="429">
        <v>0</v>
      </c>
      <c r="AF435" s="429">
        <v>0</v>
      </c>
      <c r="AG435" s="363">
        <v>25000</v>
      </c>
      <c r="AH435" s="360">
        <v>25000</v>
      </c>
      <c r="AI435" s="360">
        <v>25000</v>
      </c>
      <c r="AJ435" s="360">
        <v>0</v>
      </c>
      <c r="AK435" s="360">
        <v>0</v>
      </c>
      <c r="AL435" s="360">
        <v>0</v>
      </c>
      <c r="AM435" s="360">
        <f t="shared" si="21"/>
        <v>75000</v>
      </c>
      <c r="AN435" s="362">
        <f>ERP_2[[#This Row],[2026 Working Total]]-ERP_2[[#This Row],[LE2 Final Submission]]</f>
        <v>-25000</v>
      </c>
      <c r="AO435" s="79">
        <v>25000</v>
      </c>
      <c r="AP435" s="79">
        <f t="shared" si="25"/>
        <v>-25000</v>
      </c>
      <c r="AQ435" s="374">
        <f>SUM(ERP_2[[#This Row],[AP01]:[AP06]])-SUM(ERP_2[[#This Row],[AP01 LE2]:[AP06 LE2]])</f>
        <v>-75000</v>
      </c>
      <c r="AR435" s="80"/>
      <c r="AS435" s="79">
        <f>ERP_2[[#This Row],[2026 Working Total to Budget/LE]]-ERP_2[[#This Row],[Giveback]]</f>
        <v>-25000</v>
      </c>
      <c r="AT435" s="81"/>
      <c r="AU435" s="375"/>
      <c r="AV435" s="375"/>
      <c r="AW435" s="375"/>
      <c r="AX435" s="375">
        <v>25000</v>
      </c>
      <c r="AY435" s="375">
        <v>25000</v>
      </c>
      <c r="AZ435" s="375">
        <v>25000</v>
      </c>
      <c r="BA435" s="375">
        <v>25000</v>
      </c>
      <c r="BB435" s="375">
        <v>0</v>
      </c>
      <c r="BC435" s="375">
        <v>0</v>
      </c>
      <c r="BD435" s="375">
        <v>0</v>
      </c>
      <c r="BE435" s="375">
        <v>0</v>
      </c>
      <c r="BF435" s="375">
        <v>0</v>
      </c>
      <c r="BG435" s="375">
        <v>100000</v>
      </c>
      <c r="BH435" s="79"/>
      <c r="BI435" s="79"/>
      <c r="BJ435" s="79"/>
      <c r="BK435" s="79">
        <v>25000</v>
      </c>
      <c r="BL435" s="79">
        <v>25000</v>
      </c>
      <c r="BM435" s="79">
        <v>25000</v>
      </c>
      <c r="BN435" s="79">
        <v>25000</v>
      </c>
      <c r="BO435" s="79">
        <v>0</v>
      </c>
      <c r="BP435" s="79">
        <v>0</v>
      </c>
      <c r="BQ435" s="79">
        <v>0</v>
      </c>
      <c r="BR435" s="79">
        <v>0</v>
      </c>
      <c r="BS435" s="79">
        <v>0</v>
      </c>
      <c r="BT435" s="79">
        <v>100000</v>
      </c>
    </row>
    <row r="436" spans="1:72" ht="15" hidden="1" customHeight="1">
      <c r="A436" s="66" t="s">
        <v>1598</v>
      </c>
      <c r="B436" s="66"/>
      <c r="C436" s="66" t="s">
        <v>287</v>
      </c>
      <c r="D436" s="66" t="s">
        <v>1599</v>
      </c>
      <c r="E436" s="150" t="s">
        <v>1136</v>
      </c>
      <c r="F436" s="482" t="s">
        <v>1566</v>
      </c>
      <c r="G436" s="150" t="s">
        <v>1566</v>
      </c>
      <c r="H436" s="150" t="s">
        <v>1566</v>
      </c>
      <c r="I436" s="150" t="s">
        <v>1567</v>
      </c>
      <c r="J436" s="150" t="s">
        <v>1567</v>
      </c>
      <c r="K436" s="150" t="s">
        <v>1567</v>
      </c>
      <c r="L436" s="511" t="s">
        <v>49</v>
      </c>
      <c r="M436" s="392" t="s">
        <v>1600</v>
      </c>
      <c r="N436" s="343"/>
      <c r="O436" s="343"/>
      <c r="P436" s="70" t="s">
        <v>288</v>
      </c>
      <c r="Q436" s="346"/>
      <c r="R436" s="346" t="s">
        <v>1140</v>
      </c>
      <c r="S436" s="346"/>
      <c r="T436" s="505" t="s">
        <v>272</v>
      </c>
      <c r="U436" s="150"/>
      <c r="V436" s="403"/>
      <c r="W436" s="406">
        <v>45000</v>
      </c>
      <c r="X436" s="406">
        <v>30000</v>
      </c>
      <c r="Y436" s="425"/>
      <c r="Z436" s="71"/>
      <c r="AA436" s="426"/>
      <c r="AB436" s="427"/>
      <c r="AC436" s="427"/>
      <c r="AD436" s="428" t="s">
        <v>1142</v>
      </c>
      <c r="AE436" s="429">
        <v>0</v>
      </c>
      <c r="AF436" s="429">
        <v>0</v>
      </c>
      <c r="AG436" s="360">
        <v>5000</v>
      </c>
      <c r="AH436" s="360">
        <v>5000</v>
      </c>
      <c r="AI436" s="360">
        <v>5000</v>
      </c>
      <c r="AJ436" s="360">
        <v>5000</v>
      </c>
      <c r="AK436" s="360">
        <v>5000</v>
      </c>
      <c r="AL436" s="360">
        <v>5000</v>
      </c>
      <c r="AM436" s="360">
        <f t="shared" si="21"/>
        <v>30000</v>
      </c>
      <c r="AN436" s="362">
        <f>ERP_2[[#This Row],[2026 Working Total]]-ERP_2[[#This Row],[LE2 Final Submission]]</f>
        <v>0</v>
      </c>
      <c r="AO436" s="79">
        <v>15000</v>
      </c>
      <c r="AP436" s="79">
        <f t="shared" si="25"/>
        <v>-15000</v>
      </c>
      <c r="AQ436" s="374">
        <f>SUM(ERP_2[[#This Row],[AP01]:[AP06]])-SUM(ERP_2[[#This Row],[AP01 LE2]:[AP06 LE2]])</f>
        <v>-30000</v>
      </c>
      <c r="AR436" s="80"/>
      <c r="AS436" s="79">
        <f>ERP_2[[#This Row],[2026 Working Total to Budget/LE]]-ERP_2[[#This Row],[Giveback]]</f>
        <v>0</v>
      </c>
      <c r="AT436" s="81"/>
      <c r="AU436" s="375"/>
      <c r="AV436" s="375"/>
      <c r="AW436" s="375"/>
      <c r="AX436" s="375">
        <v>15000</v>
      </c>
      <c r="AY436" s="375">
        <v>15000</v>
      </c>
      <c r="AZ436" s="375">
        <v>0</v>
      </c>
      <c r="BA436" s="375">
        <v>0</v>
      </c>
      <c r="BB436" s="375">
        <v>0</v>
      </c>
      <c r="BC436" s="375">
        <v>0</v>
      </c>
      <c r="BD436" s="375">
        <v>0</v>
      </c>
      <c r="BE436" s="375">
        <v>0</v>
      </c>
      <c r="BF436" s="375">
        <v>0</v>
      </c>
      <c r="BG436" s="375">
        <v>30000</v>
      </c>
      <c r="BH436" s="79"/>
      <c r="BI436" s="79"/>
      <c r="BJ436" s="79"/>
      <c r="BK436" s="79">
        <v>15000</v>
      </c>
      <c r="BL436" s="79">
        <v>15000</v>
      </c>
      <c r="BM436" s="79">
        <v>0</v>
      </c>
      <c r="BN436" s="79">
        <v>0</v>
      </c>
      <c r="BO436" s="79">
        <v>0</v>
      </c>
      <c r="BP436" s="79">
        <v>0</v>
      </c>
      <c r="BQ436" s="79">
        <v>0</v>
      </c>
      <c r="BR436" s="79">
        <v>0</v>
      </c>
      <c r="BS436" s="79">
        <v>0</v>
      </c>
      <c r="BT436" s="79">
        <v>30000</v>
      </c>
    </row>
    <row r="437" spans="1:72" ht="15" hidden="1" customHeight="1">
      <c r="A437" s="66" t="s">
        <v>1602</v>
      </c>
      <c r="B437" s="66"/>
      <c r="C437" s="66" t="s">
        <v>289</v>
      </c>
      <c r="D437" s="66" t="s">
        <v>1603</v>
      </c>
      <c r="E437" s="150" t="s">
        <v>1136</v>
      </c>
      <c r="F437" s="482" t="s">
        <v>1566</v>
      </c>
      <c r="G437" s="150" t="s">
        <v>1566</v>
      </c>
      <c r="H437" s="150" t="s">
        <v>1566</v>
      </c>
      <c r="I437" s="150" t="s">
        <v>1567</v>
      </c>
      <c r="J437" s="150" t="s">
        <v>1567</v>
      </c>
      <c r="K437" s="150" t="s">
        <v>1567</v>
      </c>
      <c r="L437" s="511" t="s">
        <v>49</v>
      </c>
      <c r="M437" s="392" t="s">
        <v>1604</v>
      </c>
      <c r="N437" s="343"/>
      <c r="O437" s="343"/>
      <c r="P437" s="70" t="s">
        <v>290</v>
      </c>
      <c r="Q437" s="346"/>
      <c r="R437" s="346" t="s">
        <v>1140</v>
      </c>
      <c r="S437" s="346"/>
      <c r="T437" s="150" t="s">
        <v>291</v>
      </c>
      <c r="U437" s="150" t="s">
        <v>1605</v>
      </c>
      <c r="V437" s="403"/>
      <c r="W437" s="406">
        <v>-351124.00000199996</v>
      </c>
      <c r="X437" s="406">
        <v>0</v>
      </c>
      <c r="Y437" s="425"/>
      <c r="Z437" s="71"/>
      <c r="AA437" s="426"/>
      <c r="AB437" s="427"/>
      <c r="AC437" s="427"/>
      <c r="AD437" s="428" t="s">
        <v>1142</v>
      </c>
      <c r="AE437" s="429">
        <v>0</v>
      </c>
      <c r="AF437" s="429">
        <v>0</v>
      </c>
      <c r="AG437" s="363">
        <f t="shared" ref="AG437:AL437" si="26">-58520.666667+58520.666667</f>
        <v>0</v>
      </c>
      <c r="AH437" s="363">
        <f t="shared" si="26"/>
        <v>0</v>
      </c>
      <c r="AI437" s="363">
        <f t="shared" si="26"/>
        <v>0</v>
      </c>
      <c r="AJ437" s="363">
        <f t="shared" si="26"/>
        <v>0</v>
      </c>
      <c r="AK437" s="363">
        <f t="shared" si="26"/>
        <v>0</v>
      </c>
      <c r="AL437" s="363">
        <f t="shared" si="26"/>
        <v>0</v>
      </c>
      <c r="AM437" s="360">
        <f t="shared" si="21"/>
        <v>0</v>
      </c>
      <c r="AN437" s="362">
        <f>ERP_2[[#This Row],[2026 Working Total]]-ERP_2[[#This Row],[LE2 Final Submission]]</f>
        <v>0</v>
      </c>
      <c r="AO437" s="79"/>
      <c r="AP437" s="79">
        <f t="shared" si="25"/>
        <v>0</v>
      </c>
      <c r="AQ437" s="374">
        <f>SUM(ERP_2[[#This Row],[AP01]:[AP06]])-SUM(ERP_2[[#This Row],[AP01 LE2]:[AP06 LE2]])</f>
        <v>0</v>
      </c>
      <c r="AR437" s="80"/>
      <c r="AS437" s="79">
        <f>ERP_2[[#This Row],[2026 Working Total to Budget/LE]]-ERP_2[[#This Row],[Giveback]]</f>
        <v>0</v>
      </c>
      <c r="AT437" s="81"/>
      <c r="AU437" s="375"/>
      <c r="AV437" s="375"/>
      <c r="AW437" s="375"/>
      <c r="AX437" s="375"/>
      <c r="AY437" s="375"/>
      <c r="AZ437" s="375"/>
      <c r="BA437" s="375">
        <v>0</v>
      </c>
      <c r="BB437" s="375">
        <v>0</v>
      </c>
      <c r="BC437" s="375">
        <v>0</v>
      </c>
      <c r="BD437" s="375">
        <v>0</v>
      </c>
      <c r="BE437" s="375">
        <v>0</v>
      </c>
      <c r="BF437" s="375">
        <v>0</v>
      </c>
      <c r="BG437" s="375">
        <v>0</v>
      </c>
      <c r="BH437" s="79"/>
      <c r="BI437" s="79"/>
      <c r="BJ437" s="79"/>
      <c r="BK437" s="79"/>
      <c r="BL437" s="79"/>
      <c r="BM437" s="79"/>
      <c r="BN437" s="79">
        <v>-58520.666666999998</v>
      </c>
      <c r="BO437" s="79">
        <v>-58520.666666999998</v>
      </c>
      <c r="BP437" s="79">
        <v>-58520.666666999998</v>
      </c>
      <c r="BQ437" s="79">
        <v>-58520.666666999998</v>
      </c>
      <c r="BR437" s="79">
        <v>-58520.666666999998</v>
      </c>
      <c r="BS437" s="79">
        <v>-58520.666666999998</v>
      </c>
      <c r="BT437" s="79">
        <v>-351124.00000199996</v>
      </c>
    </row>
    <row r="438" spans="1:72" ht="15" hidden="1" customHeight="1">
      <c r="A438" s="79" t="s">
        <v>1606</v>
      </c>
      <c r="B438" s="79"/>
      <c r="C438" s="79" t="s">
        <v>293</v>
      </c>
      <c r="D438" s="296" t="s">
        <v>1607</v>
      </c>
      <c r="E438" s="150" t="s">
        <v>1136</v>
      </c>
      <c r="F438" s="482" t="s">
        <v>1566</v>
      </c>
      <c r="G438" s="482" t="s">
        <v>1566</v>
      </c>
      <c r="H438" s="482" t="s">
        <v>1566</v>
      </c>
      <c r="I438" s="150" t="s">
        <v>1345</v>
      </c>
      <c r="J438" s="332" t="s">
        <v>1346</v>
      </c>
      <c r="K438" s="333" t="s">
        <v>1346</v>
      </c>
      <c r="L438" s="514" t="s">
        <v>49</v>
      </c>
      <c r="M438" s="394"/>
      <c r="N438" s="333"/>
      <c r="O438" s="333"/>
      <c r="P438" s="90" t="s">
        <v>258</v>
      </c>
      <c r="Q438" s="347"/>
      <c r="R438" s="347"/>
      <c r="S438" s="348"/>
      <c r="T438" s="348"/>
      <c r="U438" s="348"/>
      <c r="V438" s="402"/>
      <c r="W438" s="358"/>
      <c r="X438" s="379"/>
      <c r="Y438" s="425"/>
      <c r="Z438" s="71"/>
      <c r="AA438" s="435"/>
      <c r="AB438" s="436"/>
      <c r="AC438" s="436"/>
      <c r="AD438" s="429"/>
      <c r="AE438" s="429"/>
      <c r="AF438" s="429">
        <v>80877.63</v>
      </c>
      <c r="AG438" s="364"/>
      <c r="AH438" s="364"/>
      <c r="AI438" s="364"/>
      <c r="AJ438" s="364"/>
      <c r="AK438" s="364"/>
      <c r="AL438" s="364"/>
      <c r="AM438" s="360">
        <f t="shared" ref="AM438:AM501" si="27">SUM(AA438:AL438)</f>
        <v>80877.63</v>
      </c>
      <c r="AN438" s="362">
        <f>ERP_2[[#This Row],[2026 Working Total]]-ERP_2[[#This Row],[LE2 Final Submission]]</f>
        <v>80877.63</v>
      </c>
      <c r="AO438" s="79"/>
      <c r="AP438" s="79">
        <f t="shared" si="25"/>
        <v>80877.63</v>
      </c>
      <c r="AQ438" s="391">
        <f>SUM(ERP_2[[#This Row],[AP01]:[AP06]])-SUM(ERP_2[[#This Row],[AP01 LE2]:[AP06 LE2]])</f>
        <v>80877.63</v>
      </c>
      <c r="AR438" s="80"/>
      <c r="AS438" s="79">
        <f>ERP_2[[#This Row],[2026 Working Total to Budget/LE]]-ERP_2[[#This Row],[Giveback]]</f>
        <v>80877.63</v>
      </c>
      <c r="AT438" s="81"/>
      <c r="AU438" s="375"/>
      <c r="AV438" s="375"/>
      <c r="AW438" s="375"/>
      <c r="AX438" s="375"/>
      <c r="AY438" s="375"/>
      <c r="AZ438" s="375"/>
      <c r="BA438" s="375"/>
      <c r="BB438" s="375"/>
      <c r="BC438" s="375"/>
      <c r="BD438" s="375"/>
      <c r="BE438" s="375"/>
      <c r="BF438" s="375"/>
      <c r="BG438" s="375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</row>
    <row r="439" spans="1:72" ht="15" hidden="1" customHeight="1">
      <c r="A439" s="66" t="s">
        <v>1608</v>
      </c>
      <c r="B439" s="66"/>
      <c r="C439" s="66" t="s">
        <v>294</v>
      </c>
      <c r="D439" s="66" t="s">
        <v>1609</v>
      </c>
      <c r="E439" s="150" t="s">
        <v>1136</v>
      </c>
      <c r="F439" s="482" t="s">
        <v>1566</v>
      </c>
      <c r="G439" s="150" t="s">
        <v>1566</v>
      </c>
      <c r="H439" s="150" t="s">
        <v>1566</v>
      </c>
      <c r="I439" s="150" t="s">
        <v>1567</v>
      </c>
      <c r="J439" s="150" t="s">
        <v>1567</v>
      </c>
      <c r="K439" s="150" t="s">
        <v>1567</v>
      </c>
      <c r="L439" s="511" t="s">
        <v>49</v>
      </c>
      <c r="M439" s="392" t="s">
        <v>1610</v>
      </c>
      <c r="N439" s="343"/>
      <c r="O439" s="343"/>
      <c r="P439" s="70" t="s">
        <v>295</v>
      </c>
      <c r="Q439" s="346"/>
      <c r="R439" s="343"/>
      <c r="S439" s="346"/>
      <c r="T439" s="150" t="s">
        <v>296</v>
      </c>
      <c r="U439" s="150"/>
      <c r="V439" s="404"/>
      <c r="W439" s="407">
        <v>0</v>
      </c>
      <c r="X439" s="407">
        <v>0</v>
      </c>
      <c r="Y439" s="425"/>
      <c r="Z439" s="71"/>
      <c r="AA439" s="426">
        <v>-1104045.58</v>
      </c>
      <c r="AB439" s="427">
        <v>1104045.58</v>
      </c>
      <c r="AC439" s="427"/>
      <c r="AD439" s="428">
        <v>0</v>
      </c>
      <c r="AE439" s="429">
        <v>0</v>
      </c>
      <c r="AF439" s="429">
        <v>0</v>
      </c>
      <c r="AG439" s="363"/>
      <c r="AH439" s="363"/>
      <c r="AI439" s="363"/>
      <c r="AJ439" s="363"/>
      <c r="AK439" s="363"/>
      <c r="AL439" s="363"/>
      <c r="AM439" s="360">
        <f t="shared" si="27"/>
        <v>0</v>
      </c>
      <c r="AN439" s="362">
        <f>ERP_2[[#This Row],[2026 Working Total]]-ERP_2[[#This Row],[LE2 Final Submission]]</f>
        <v>0</v>
      </c>
      <c r="AO439" s="79"/>
      <c r="AP439" s="79">
        <f t="shared" si="25"/>
        <v>0</v>
      </c>
      <c r="AQ439" s="374">
        <f>SUM(ERP_2[[#This Row],[AP01]:[AP06]])-SUM(ERP_2[[#This Row],[AP01 LE2]:[AP06 LE2]])</f>
        <v>0</v>
      </c>
      <c r="AR439" s="80"/>
      <c r="AS439" s="79">
        <f>ERP_2[[#This Row],[2026 Working Total to Budget/LE]]-ERP_2[[#This Row],[Giveback]]</f>
        <v>0</v>
      </c>
      <c r="AT439" s="81"/>
      <c r="AU439" s="375">
        <v>-1104045.58</v>
      </c>
      <c r="AV439" s="375">
        <v>1104045.58</v>
      </c>
      <c r="AW439" s="375"/>
      <c r="AX439" s="375"/>
      <c r="AY439" s="375"/>
      <c r="AZ439" s="375"/>
      <c r="BA439" s="375"/>
      <c r="BB439" s="375"/>
      <c r="BC439" s="375"/>
      <c r="BD439" s="375"/>
      <c r="BE439" s="375"/>
      <c r="BF439" s="375"/>
      <c r="BG439" s="375">
        <v>0</v>
      </c>
      <c r="BH439" s="79">
        <v>-1104045.58</v>
      </c>
      <c r="BI439" s="79">
        <v>1104045.58</v>
      </c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>
        <v>0</v>
      </c>
    </row>
    <row r="440" spans="1:72" ht="15" hidden="1" customHeight="1">
      <c r="A440" s="66" t="s">
        <v>1611</v>
      </c>
      <c r="B440" s="66"/>
      <c r="C440" s="66" t="s">
        <v>297</v>
      </c>
      <c r="D440" s="66" t="s">
        <v>1612</v>
      </c>
      <c r="E440" s="150" t="s">
        <v>1136</v>
      </c>
      <c r="F440" s="482" t="s">
        <v>1566</v>
      </c>
      <c r="G440" s="150" t="s">
        <v>1566</v>
      </c>
      <c r="H440" s="150" t="s">
        <v>1566</v>
      </c>
      <c r="I440" s="150" t="s">
        <v>1567</v>
      </c>
      <c r="J440" s="150" t="s">
        <v>1567</v>
      </c>
      <c r="K440" s="150" t="s">
        <v>1567</v>
      </c>
      <c r="L440" s="511" t="s">
        <v>49</v>
      </c>
      <c r="M440" s="392" t="s">
        <v>1613</v>
      </c>
      <c r="N440" s="343"/>
      <c r="O440" s="346" t="s">
        <v>1593</v>
      </c>
      <c r="P440" s="70" t="s">
        <v>298</v>
      </c>
      <c r="Q440" s="346"/>
      <c r="R440" s="346" t="s">
        <v>1187</v>
      </c>
      <c r="S440" s="346"/>
      <c r="T440" s="150" t="s">
        <v>25</v>
      </c>
      <c r="U440" s="150"/>
      <c r="V440" s="403"/>
      <c r="W440" s="406">
        <v>0</v>
      </c>
      <c r="X440" s="406">
        <v>50489.729999999996</v>
      </c>
      <c r="Y440" s="425"/>
      <c r="Z440" s="71"/>
      <c r="AA440" s="426"/>
      <c r="AB440" s="427">
        <v>38877.699999999997</v>
      </c>
      <c r="AC440" s="427">
        <v>11612.03</v>
      </c>
      <c r="AD440" s="428">
        <v>17061.96</v>
      </c>
      <c r="AE440" s="429">
        <v>5873.3499999999995</v>
      </c>
      <c r="AF440" s="429">
        <v>-6492.8099999999995</v>
      </c>
      <c r="AG440" s="360">
        <v>0</v>
      </c>
      <c r="AH440" s="360">
        <v>0</v>
      </c>
      <c r="AI440" s="360">
        <v>0</v>
      </c>
      <c r="AJ440" s="360">
        <v>0</v>
      </c>
      <c r="AK440" s="360">
        <v>0</v>
      </c>
      <c r="AL440" s="360">
        <v>0</v>
      </c>
      <c r="AM440" s="360">
        <f t="shared" si="27"/>
        <v>66932.23000000001</v>
      </c>
      <c r="AN440" s="362">
        <f>ERP_2[[#This Row],[2026 Working Total]]-ERP_2[[#This Row],[LE2 Final Submission]]</f>
        <v>16442.500000000015</v>
      </c>
      <c r="AO440" s="79">
        <v>0</v>
      </c>
      <c r="AP440" s="79">
        <f t="shared" si="25"/>
        <v>-6492.8099999999995</v>
      </c>
      <c r="AQ440" s="374">
        <f>SUM(ERP_2[[#This Row],[AP01]:[AP06]])-SUM(ERP_2[[#This Row],[AP01 LE2]:[AP06 LE2]])</f>
        <v>16442.500000000015</v>
      </c>
      <c r="AR440" s="80"/>
      <c r="AS440" s="79">
        <f>ERP_2[[#This Row],[2026 Working Total to Budget/LE]]-ERP_2[[#This Row],[Giveback]]</f>
        <v>16442.500000000015</v>
      </c>
      <c r="AT440" s="81"/>
      <c r="AU440" s="375"/>
      <c r="AV440" s="375">
        <v>38877.699999999997</v>
      </c>
      <c r="AW440" s="375">
        <v>11612.03</v>
      </c>
      <c r="AX440" s="375">
        <v>0</v>
      </c>
      <c r="AY440" s="375">
        <v>0</v>
      </c>
      <c r="AZ440" s="375">
        <v>0</v>
      </c>
      <c r="BA440" s="375">
        <v>0</v>
      </c>
      <c r="BB440" s="375">
        <v>0</v>
      </c>
      <c r="BC440" s="375">
        <v>0</v>
      </c>
      <c r="BD440" s="375">
        <v>0</v>
      </c>
      <c r="BE440" s="375">
        <v>0</v>
      </c>
      <c r="BF440" s="375">
        <v>0</v>
      </c>
      <c r="BG440" s="375">
        <v>50489.729999999996</v>
      </c>
      <c r="BH440" s="79"/>
      <c r="BI440" s="79">
        <v>38877.699999999997</v>
      </c>
      <c r="BJ440" s="79">
        <v>11612.03</v>
      </c>
      <c r="BK440" s="79">
        <v>0</v>
      </c>
      <c r="BL440" s="79">
        <v>0</v>
      </c>
      <c r="BM440" s="79">
        <v>0</v>
      </c>
      <c r="BN440" s="79">
        <v>0</v>
      </c>
      <c r="BO440" s="79">
        <v>0</v>
      </c>
      <c r="BP440" s="79">
        <v>0</v>
      </c>
      <c r="BQ440" s="79">
        <v>0</v>
      </c>
      <c r="BR440" s="79">
        <v>0</v>
      </c>
      <c r="BS440" s="79">
        <v>0</v>
      </c>
      <c r="BT440" s="79">
        <v>50489.729999999996</v>
      </c>
    </row>
    <row r="441" spans="1:72" ht="15" hidden="1" customHeight="1">
      <c r="A441" s="66" t="s">
        <v>1614</v>
      </c>
      <c r="B441" s="66"/>
      <c r="C441" s="66" t="s">
        <v>299</v>
      </c>
      <c r="D441" s="66" t="s">
        <v>1615</v>
      </c>
      <c r="E441" s="150" t="s">
        <v>1136</v>
      </c>
      <c r="F441" s="482" t="s">
        <v>1566</v>
      </c>
      <c r="G441" s="150" t="s">
        <v>1566</v>
      </c>
      <c r="H441" s="150" t="s">
        <v>1566</v>
      </c>
      <c r="I441" s="150" t="s">
        <v>1567</v>
      </c>
      <c r="J441" s="150" t="s">
        <v>1567</v>
      </c>
      <c r="K441" s="150" t="s">
        <v>1567</v>
      </c>
      <c r="L441" s="511" t="s">
        <v>49</v>
      </c>
      <c r="M441" s="392" t="s">
        <v>1616</v>
      </c>
      <c r="N441" s="343"/>
      <c r="O441" s="343"/>
      <c r="P441" s="70" t="s">
        <v>300</v>
      </c>
      <c r="Q441" s="346"/>
      <c r="R441" s="343"/>
      <c r="S441" s="346"/>
      <c r="T441" s="505" t="s">
        <v>272</v>
      </c>
      <c r="U441" s="150"/>
      <c r="V441" s="403"/>
      <c r="W441" s="406">
        <v>-1080865</v>
      </c>
      <c r="X441" s="406">
        <v>-1080865</v>
      </c>
      <c r="Y441" s="425"/>
      <c r="Z441" s="71"/>
      <c r="AA441" s="426"/>
      <c r="AB441" s="427"/>
      <c r="AC441" s="427">
        <v>-180144.16</v>
      </c>
      <c r="AD441" s="429">
        <v>0</v>
      </c>
      <c r="AE441" s="429">
        <v>-270216.24</v>
      </c>
      <c r="AF441" s="429">
        <v>-90072.08</v>
      </c>
      <c r="AG441" s="360">
        <v>0</v>
      </c>
      <c r="AH441" s="363">
        <v>-180144</v>
      </c>
      <c r="AI441" s="363">
        <v>-90072</v>
      </c>
      <c r="AJ441" s="360">
        <v>0</v>
      </c>
      <c r="AK441" s="363">
        <v>-180144</v>
      </c>
      <c r="AL441" s="363">
        <v>-90072.84</v>
      </c>
      <c r="AM441" s="360">
        <f t="shared" si="27"/>
        <v>-1080865.32</v>
      </c>
      <c r="AN441" s="362">
        <f>ERP_2[[#This Row],[2026 Working Total]]-ERP_2[[#This Row],[LE2 Final Submission]]</f>
        <v>-0.32000000006519258</v>
      </c>
      <c r="AO441" s="79">
        <v>-270216</v>
      </c>
      <c r="AP441" s="79">
        <f t="shared" si="25"/>
        <v>180143.91999999998</v>
      </c>
      <c r="AQ441" s="374">
        <f>SUM(ERP_2[[#This Row],[AP01]:[AP06]])-SUM(ERP_2[[#This Row],[AP01 LE2]:[AP06 LE2]])</f>
        <v>-0.31999999994877726</v>
      </c>
      <c r="AR441" s="80"/>
      <c r="AS441" s="79">
        <f>ERP_2[[#This Row],[2026 Working Total to Budget/LE]]-ERP_2[[#This Row],[Giveback]]</f>
        <v>-0.32000000006519258</v>
      </c>
      <c r="AT441" s="81"/>
      <c r="AU441" s="375"/>
      <c r="AV441" s="375"/>
      <c r="AW441" s="375">
        <v>-180144.16</v>
      </c>
      <c r="AX441" s="375">
        <v>0</v>
      </c>
      <c r="AY441" s="375">
        <v>-270216</v>
      </c>
      <c r="AZ441" s="375">
        <v>-90072</v>
      </c>
      <c r="BA441" s="375">
        <v>0</v>
      </c>
      <c r="BB441" s="375">
        <v>-180144</v>
      </c>
      <c r="BC441" s="375">
        <v>-90072</v>
      </c>
      <c r="BD441" s="375">
        <v>0</v>
      </c>
      <c r="BE441" s="375">
        <v>-180144</v>
      </c>
      <c r="BF441" s="375">
        <v>-90072.84</v>
      </c>
      <c r="BG441" s="375">
        <v>-1080865</v>
      </c>
      <c r="BH441" s="79"/>
      <c r="BI441" s="79"/>
      <c r="BJ441" s="79">
        <v>-180144.16</v>
      </c>
      <c r="BK441" s="79">
        <v>0</v>
      </c>
      <c r="BL441" s="79">
        <v>-180144.16</v>
      </c>
      <c r="BM441" s="79">
        <v>-90072.08</v>
      </c>
      <c r="BN441" s="79">
        <v>0</v>
      </c>
      <c r="BO441" s="79">
        <v>-180144.16</v>
      </c>
      <c r="BP441" s="79">
        <v>-90072.08</v>
      </c>
      <c r="BQ441" s="79">
        <v>0</v>
      </c>
      <c r="BR441" s="79">
        <v>-180144.16</v>
      </c>
      <c r="BS441" s="79">
        <v>-90072.12</v>
      </c>
      <c r="BT441" s="79">
        <v>-990792.92</v>
      </c>
    </row>
    <row r="442" spans="1:72" ht="15" hidden="1" customHeight="1">
      <c r="A442" s="66" t="s">
        <v>1617</v>
      </c>
      <c r="B442" s="66"/>
      <c r="C442" s="66" t="s">
        <v>301</v>
      </c>
      <c r="D442" s="66" t="s">
        <v>1618</v>
      </c>
      <c r="E442" s="150" t="s">
        <v>1136</v>
      </c>
      <c r="F442" s="482" t="s">
        <v>1566</v>
      </c>
      <c r="G442" s="150" t="s">
        <v>1566</v>
      </c>
      <c r="H442" s="150" t="s">
        <v>1566</v>
      </c>
      <c r="I442" s="150" t="s">
        <v>1567</v>
      </c>
      <c r="J442" s="150" t="s">
        <v>1567</v>
      </c>
      <c r="K442" s="150" t="s">
        <v>1567</v>
      </c>
      <c r="L442" s="511" t="s">
        <v>49</v>
      </c>
      <c r="M442" s="392" t="s">
        <v>1619</v>
      </c>
      <c r="N442" s="343"/>
      <c r="O442" s="343"/>
      <c r="P442" s="70" t="s">
        <v>302</v>
      </c>
      <c r="Q442" s="346"/>
      <c r="R442" s="343"/>
      <c r="S442" s="346"/>
      <c r="T442" s="505" t="s">
        <v>303</v>
      </c>
      <c r="U442" s="150"/>
      <c r="V442" s="403"/>
      <c r="W442" s="406">
        <v>-2578</v>
      </c>
      <c r="X442" s="406">
        <v>-51385.37</v>
      </c>
      <c r="Y442" s="425"/>
      <c r="Z442" s="71"/>
      <c r="AA442" s="426"/>
      <c r="AB442" s="427"/>
      <c r="AC442" s="427">
        <v>-2578.37</v>
      </c>
      <c r="AD442" s="428">
        <v>0</v>
      </c>
      <c r="AE442" s="429">
        <v>0</v>
      </c>
      <c r="AF442" s="429">
        <v>0</v>
      </c>
      <c r="AG442" s="360">
        <v>0</v>
      </c>
      <c r="AH442" s="360">
        <v>0</v>
      </c>
      <c r="AI442" s="360">
        <v>0</v>
      </c>
      <c r="AJ442" s="360">
        <v>0</v>
      </c>
      <c r="AK442" s="360">
        <v>0</v>
      </c>
      <c r="AL442" s="360">
        <v>0</v>
      </c>
      <c r="AM442" s="360">
        <f t="shared" si="27"/>
        <v>-2578.37</v>
      </c>
      <c r="AN442" s="362">
        <f>ERP_2[[#This Row],[2026 Working Total]]-ERP_2[[#This Row],[LE2 Final Submission]]</f>
        <v>48807</v>
      </c>
      <c r="AO442" s="79">
        <v>-48807</v>
      </c>
      <c r="AP442" s="79">
        <f t="shared" si="25"/>
        <v>48807</v>
      </c>
      <c r="AQ442" s="374">
        <f>SUM(ERP_2[[#This Row],[AP01]:[AP06]])-SUM(ERP_2[[#This Row],[AP01 LE2]:[AP06 LE2]])</f>
        <v>48807</v>
      </c>
      <c r="AR442" s="80"/>
      <c r="AS442" s="79">
        <f>ERP_2[[#This Row],[2026 Working Total to Budget/LE]]-ERP_2[[#This Row],[Giveback]]</f>
        <v>48807</v>
      </c>
      <c r="AT442" s="81"/>
      <c r="AU442" s="375"/>
      <c r="AV442" s="375"/>
      <c r="AW442" s="375">
        <v>-2578.37</v>
      </c>
      <c r="AX442" s="375">
        <v>0</v>
      </c>
      <c r="AY442" s="375">
        <v>-48807</v>
      </c>
      <c r="AZ442" s="375">
        <v>0</v>
      </c>
      <c r="BA442" s="375">
        <v>0</v>
      </c>
      <c r="BB442" s="375">
        <v>0</v>
      </c>
      <c r="BC442" s="375">
        <v>0</v>
      </c>
      <c r="BD442" s="375">
        <v>0</v>
      </c>
      <c r="BE442" s="375">
        <v>0</v>
      </c>
      <c r="BF442" s="375">
        <v>0</v>
      </c>
      <c r="BG442" s="375">
        <v>-51385.37</v>
      </c>
      <c r="BH442" s="79"/>
      <c r="BI442" s="79"/>
      <c r="BJ442" s="79">
        <v>-2578.37</v>
      </c>
      <c r="BK442" s="79">
        <v>0</v>
      </c>
      <c r="BL442" s="79">
        <v>0</v>
      </c>
      <c r="BM442" s="79">
        <v>0</v>
      </c>
      <c r="BN442" s="79">
        <v>0</v>
      </c>
      <c r="BO442" s="79">
        <v>0</v>
      </c>
      <c r="BP442" s="79">
        <v>0</v>
      </c>
      <c r="BQ442" s="79">
        <v>0</v>
      </c>
      <c r="BR442" s="79">
        <v>0</v>
      </c>
      <c r="BS442" s="79">
        <v>0</v>
      </c>
      <c r="BT442" s="79">
        <v>-2578.37</v>
      </c>
    </row>
    <row r="443" spans="1:72" ht="15" hidden="1" customHeight="1">
      <c r="A443" s="79" t="s">
        <v>1621</v>
      </c>
      <c r="B443" s="79"/>
      <c r="C443" s="79" t="s">
        <v>304</v>
      </c>
      <c r="D443" s="296" t="s">
        <v>1622</v>
      </c>
      <c r="E443" s="150" t="s">
        <v>1136</v>
      </c>
      <c r="F443" s="482" t="s">
        <v>1566</v>
      </c>
      <c r="G443" s="150" t="s">
        <v>1566</v>
      </c>
      <c r="H443" s="150" t="s">
        <v>1566</v>
      </c>
      <c r="I443" s="383" t="s">
        <v>1567</v>
      </c>
      <c r="J443" s="382" t="s">
        <v>1567</v>
      </c>
      <c r="K443" s="333" t="s">
        <v>1567</v>
      </c>
      <c r="L443" s="512" t="s">
        <v>49</v>
      </c>
      <c r="M443" s="394" t="s">
        <v>1623</v>
      </c>
      <c r="N443" s="343"/>
      <c r="O443" s="333"/>
      <c r="P443" s="70" t="s">
        <v>305</v>
      </c>
      <c r="Q443" s="347"/>
      <c r="R443" s="343"/>
      <c r="S443" s="346"/>
      <c r="T443" s="384" t="s">
        <v>272</v>
      </c>
      <c r="U443" s="346" t="s">
        <v>1348</v>
      </c>
      <c r="V443" s="432"/>
      <c r="W443" s="358">
        <v>1078625</v>
      </c>
      <c r="X443" s="378">
        <v>0</v>
      </c>
      <c r="Y443" s="425"/>
      <c r="Z443" s="71"/>
      <c r="AA443" s="433"/>
      <c r="AB443" s="434"/>
      <c r="AC443" s="434"/>
      <c r="AD443" s="428" t="s">
        <v>1142</v>
      </c>
      <c r="AE443" s="429">
        <v>0</v>
      </c>
      <c r="AF443" s="429">
        <v>0</v>
      </c>
      <c r="AG443" s="388"/>
      <c r="AH443" s="388"/>
      <c r="AI443" s="388"/>
      <c r="AJ443" s="388"/>
      <c r="AK443" s="388"/>
      <c r="AL443" s="388"/>
      <c r="AM443" s="360">
        <f t="shared" si="27"/>
        <v>0</v>
      </c>
      <c r="AN443" s="362">
        <f>ERP_2[[#This Row],[2026 Working Total]]-ERP_2[[#This Row],[LE2 Final Submission]]</f>
        <v>0</v>
      </c>
      <c r="AO443" s="79"/>
      <c r="AP443" s="79">
        <f t="shared" si="25"/>
        <v>0</v>
      </c>
      <c r="AQ443" s="374">
        <f>SUM(ERP_2[[#This Row],[AP01]:[AP06]])-SUM(ERP_2[[#This Row],[AP01 LE2]:[AP06 LE2]])</f>
        <v>0</v>
      </c>
      <c r="AR443" s="80"/>
      <c r="AS443" s="79">
        <f>ERP_2[[#This Row],[2026 Working Total to Budget/LE]]-ERP_2[[#This Row],[Giveback]]</f>
        <v>0</v>
      </c>
      <c r="AT443" s="81"/>
      <c r="AU443" s="375"/>
      <c r="AV443" s="375"/>
      <c r="AW443" s="375"/>
      <c r="AX443" s="375"/>
      <c r="AY443" s="375"/>
      <c r="AZ443" s="375"/>
      <c r="BA443" s="375"/>
      <c r="BB443" s="375"/>
      <c r="BC443" s="375"/>
      <c r="BD443" s="375"/>
      <c r="BE443" s="375"/>
      <c r="BF443" s="375"/>
      <c r="BG443" s="375">
        <v>0</v>
      </c>
      <c r="BH443" s="103">
        <v>63566</v>
      </c>
      <c r="BI443" s="103">
        <v>71261</v>
      </c>
      <c r="BJ443" s="103">
        <v>89885</v>
      </c>
      <c r="BK443" s="103">
        <v>89885</v>
      </c>
      <c r="BL443" s="103">
        <v>134828</v>
      </c>
      <c r="BM443" s="103">
        <v>134828</v>
      </c>
      <c r="BN443" s="103">
        <v>134828</v>
      </c>
      <c r="BO443" s="103">
        <v>91283</v>
      </c>
      <c r="BP443" s="103">
        <v>89885</v>
      </c>
      <c r="BQ443" s="103">
        <v>89885</v>
      </c>
      <c r="BR443" s="103">
        <v>44942</v>
      </c>
      <c r="BS443" s="103">
        <v>43549</v>
      </c>
      <c r="BT443" s="79">
        <f>SUM(ERP_2[[#This Row],[2026 AP01]:[2026 AP12]])</f>
        <v>1078625</v>
      </c>
    </row>
    <row r="444" spans="1:72" ht="15" hidden="1" customHeight="1">
      <c r="A444" s="79" t="s">
        <v>1624</v>
      </c>
      <c r="B444" s="79"/>
      <c r="C444" s="79" t="s">
        <v>306</v>
      </c>
      <c r="D444" s="296" t="s">
        <v>1625</v>
      </c>
      <c r="E444" s="150" t="s">
        <v>1136</v>
      </c>
      <c r="F444" s="482" t="s">
        <v>1566</v>
      </c>
      <c r="G444" s="150" t="s">
        <v>1566</v>
      </c>
      <c r="H444" s="150" t="s">
        <v>1566</v>
      </c>
      <c r="I444" s="383" t="s">
        <v>1567</v>
      </c>
      <c r="J444" s="382" t="s">
        <v>1567</v>
      </c>
      <c r="K444" s="333" t="s">
        <v>1567</v>
      </c>
      <c r="L444" s="512" t="s">
        <v>49</v>
      </c>
      <c r="M444" s="394" t="s">
        <v>1626</v>
      </c>
      <c r="N444" s="343"/>
      <c r="O444" s="333"/>
      <c r="P444" s="70" t="s">
        <v>307</v>
      </c>
      <c r="Q444" s="347"/>
      <c r="R444" s="343"/>
      <c r="S444" s="346"/>
      <c r="T444" s="507" t="s">
        <v>272</v>
      </c>
      <c r="U444" s="346" t="s">
        <v>1348</v>
      </c>
      <c r="V444" s="432"/>
      <c r="W444" s="358">
        <v>7850</v>
      </c>
      <c r="X444" s="378">
        <v>0</v>
      </c>
      <c r="Y444" s="425"/>
      <c r="Z444" s="71"/>
      <c r="AA444" s="433"/>
      <c r="AB444" s="434"/>
      <c r="AC444" s="434"/>
      <c r="AD444" s="428" t="s">
        <v>1142</v>
      </c>
      <c r="AE444" s="429">
        <v>0</v>
      </c>
      <c r="AF444" s="429">
        <v>0</v>
      </c>
      <c r="AG444" s="388">
        <v>0</v>
      </c>
      <c r="AH444" s="388">
        <v>0</v>
      </c>
      <c r="AI444" s="388">
        <v>0</v>
      </c>
      <c r="AJ444" s="388">
        <v>0</v>
      </c>
      <c r="AK444" s="388">
        <v>0</v>
      </c>
      <c r="AL444" s="388"/>
      <c r="AM444" s="360">
        <f t="shared" si="27"/>
        <v>0</v>
      </c>
      <c r="AN444" s="362">
        <f>ERP_2[[#This Row],[2026 Working Total]]-ERP_2[[#This Row],[LE2 Final Submission]]</f>
        <v>0</v>
      </c>
      <c r="AO444" s="79">
        <v>0</v>
      </c>
      <c r="AP444" s="79">
        <f t="shared" si="25"/>
        <v>0</v>
      </c>
      <c r="AQ444" s="374">
        <f>SUM(ERP_2[[#This Row],[AP01]:[AP06]])-SUM(ERP_2[[#This Row],[AP01 LE2]:[AP06 LE2]])</f>
        <v>0</v>
      </c>
      <c r="AR444" s="80"/>
      <c r="AS444" s="79">
        <f>ERP_2[[#This Row],[2026 Working Total to Budget/LE]]-ERP_2[[#This Row],[Giveback]]</f>
        <v>0</v>
      </c>
      <c r="AT444" s="81"/>
      <c r="AU444" s="375"/>
      <c r="AV444" s="375"/>
      <c r="AW444" s="375"/>
      <c r="AX444" s="375">
        <v>0</v>
      </c>
      <c r="AY444" s="375">
        <v>0</v>
      </c>
      <c r="AZ444" s="375">
        <v>0</v>
      </c>
      <c r="BA444" s="375">
        <v>0</v>
      </c>
      <c r="BB444" s="375">
        <v>0</v>
      </c>
      <c r="BC444" s="375">
        <v>0</v>
      </c>
      <c r="BD444" s="375">
        <v>0</v>
      </c>
      <c r="BE444" s="375">
        <v>0</v>
      </c>
      <c r="BF444" s="375"/>
      <c r="BG444" s="375">
        <v>0</v>
      </c>
      <c r="BH444" s="103">
        <v>2090</v>
      </c>
      <c r="BI444" s="103">
        <v>0</v>
      </c>
      <c r="BJ444" s="103">
        <v>0</v>
      </c>
      <c r="BK444" s="103">
        <v>0</v>
      </c>
      <c r="BL444" s="103">
        <v>0</v>
      </c>
      <c r="BM444" s="103">
        <v>0</v>
      </c>
      <c r="BN444" s="103">
        <v>0</v>
      </c>
      <c r="BO444" s="103">
        <v>0</v>
      </c>
      <c r="BP444" s="103">
        <v>0</v>
      </c>
      <c r="BQ444" s="103">
        <v>0</v>
      </c>
      <c r="BR444" s="103">
        <v>0</v>
      </c>
      <c r="BS444" s="103">
        <v>5760</v>
      </c>
      <c r="BT444" s="79">
        <f>SUM(ERP_2[[#This Row],[2026 AP01]:[2026 AP12]])</f>
        <v>7850</v>
      </c>
    </row>
    <row r="445" spans="1:72" ht="15" hidden="1" customHeight="1">
      <c r="A445" s="150" t="s">
        <v>1631</v>
      </c>
      <c r="B445" s="150"/>
      <c r="C445" s="536" t="s">
        <v>308</v>
      </c>
      <c r="D445" s="296" t="s">
        <v>1632</v>
      </c>
      <c r="E445" s="150" t="s">
        <v>1136</v>
      </c>
      <c r="F445" s="482" t="s">
        <v>1566</v>
      </c>
      <c r="G445" s="150" t="s">
        <v>1566</v>
      </c>
      <c r="H445" s="150" t="s">
        <v>1566</v>
      </c>
      <c r="I445" s="332" t="s">
        <v>1567</v>
      </c>
      <c r="J445" s="332" t="s">
        <v>1567</v>
      </c>
      <c r="K445" s="333" t="s">
        <v>1567</v>
      </c>
      <c r="L445" s="514" t="s">
        <v>49</v>
      </c>
      <c r="M445" s="394" t="s">
        <v>1633</v>
      </c>
      <c r="N445" s="333"/>
      <c r="O445" s="332" t="s">
        <v>1634</v>
      </c>
      <c r="P445" s="90" t="s">
        <v>309</v>
      </c>
      <c r="Q445" s="347"/>
      <c r="R445" s="348" t="s">
        <v>1635</v>
      </c>
      <c r="S445" s="348"/>
      <c r="T445" s="506" t="s">
        <v>310</v>
      </c>
      <c r="U445" s="348"/>
      <c r="V445" s="402"/>
      <c r="W445" s="406"/>
      <c r="X445" s="406"/>
      <c r="Y445" s="425"/>
      <c r="Z445" s="71"/>
      <c r="AA445" s="435"/>
      <c r="AB445" s="436"/>
      <c r="AC445" s="436"/>
      <c r="AD445" s="429"/>
      <c r="AE445" s="429">
        <v>-48806.7</v>
      </c>
      <c r="AF445" s="429">
        <v>0</v>
      </c>
      <c r="AG445" s="364"/>
      <c r="AH445" s="364"/>
      <c r="AI445" s="364"/>
      <c r="AJ445" s="364"/>
      <c r="AK445" s="364"/>
      <c r="AL445" s="364"/>
      <c r="AM445" s="360">
        <f t="shared" si="27"/>
        <v>-48806.7</v>
      </c>
      <c r="AN445" s="362">
        <f>ERP_2[[#This Row],[2026 Working Total]]-ERP_2[[#This Row],[LE2 Final Submission]]</f>
        <v>-48806.7</v>
      </c>
      <c r="AO445" s="79"/>
      <c r="AP445" s="79">
        <f t="shared" si="25"/>
        <v>0</v>
      </c>
      <c r="AQ445" s="374">
        <f>SUM(ERP_2[[#This Row],[AP01]:[AP06]])-SUM(ERP_2[[#This Row],[AP01 LE2]:[AP06 LE2]])</f>
        <v>-48806.7</v>
      </c>
      <c r="AR445" s="80"/>
      <c r="AS445" s="79">
        <f>ERP_2[[#This Row],[2026 Working Total to Budget/LE]]-ERP_2[[#This Row],[Giveback]]</f>
        <v>-48806.7</v>
      </c>
      <c r="AT445" s="81"/>
      <c r="AU445" s="375"/>
      <c r="AV445" s="375"/>
      <c r="AW445" s="375"/>
      <c r="AX445" s="375"/>
      <c r="AY445" s="375"/>
      <c r="AZ445" s="375"/>
      <c r="BA445" s="375"/>
      <c r="BB445" s="375"/>
      <c r="BC445" s="375"/>
      <c r="BD445" s="375"/>
      <c r="BE445" s="375"/>
      <c r="BF445" s="375"/>
      <c r="BG445" s="375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</row>
    <row r="446" spans="1:72" ht="15" hidden="1" customHeight="1">
      <c r="A446" s="150" t="s">
        <v>1495</v>
      </c>
      <c r="B446" s="150"/>
      <c r="C446" s="536" t="s">
        <v>311</v>
      </c>
      <c r="D446" s="296" t="s">
        <v>1496</v>
      </c>
      <c r="E446" s="150" t="s">
        <v>1136</v>
      </c>
      <c r="F446" s="482" t="s">
        <v>1566</v>
      </c>
      <c r="G446" s="482" t="s">
        <v>1566</v>
      </c>
      <c r="H446" s="482" t="s">
        <v>1566</v>
      </c>
      <c r="I446" s="150" t="s">
        <v>1345</v>
      </c>
      <c r="J446" s="150" t="s">
        <v>1346</v>
      </c>
      <c r="K446" s="150" t="s">
        <v>1345</v>
      </c>
      <c r="L446" s="514" t="s">
        <v>49</v>
      </c>
      <c r="M446" s="394" t="s">
        <v>1497</v>
      </c>
      <c r="N446" s="333" t="s">
        <v>1498</v>
      </c>
      <c r="O446" s="332" t="s">
        <v>1499</v>
      </c>
      <c r="P446" s="90" t="s">
        <v>312</v>
      </c>
      <c r="Q446" s="347"/>
      <c r="R446" s="348" t="s">
        <v>1500</v>
      </c>
      <c r="S446" s="348"/>
      <c r="T446" s="348"/>
      <c r="U446" s="348"/>
      <c r="V446" s="402"/>
      <c r="W446" s="406"/>
      <c r="X446" s="406"/>
      <c r="Y446" s="425"/>
      <c r="Z446" s="71"/>
      <c r="AA446" s="435"/>
      <c r="AB446" s="436"/>
      <c r="AC446" s="436"/>
      <c r="AD446" s="481">
        <v>12507.9</v>
      </c>
      <c r="AE446" s="481">
        <v>13470.05</v>
      </c>
      <c r="AF446" s="429">
        <v>13318.529999999999</v>
      </c>
      <c r="AG446" s="364"/>
      <c r="AH446" s="364"/>
      <c r="AI446" s="364"/>
      <c r="AJ446" s="364"/>
      <c r="AK446" s="364"/>
      <c r="AL446" s="364"/>
      <c r="AM446" s="360">
        <f t="shared" si="27"/>
        <v>39296.479999999996</v>
      </c>
      <c r="AN446" s="362">
        <f>ERP_2[[#This Row],[2026 Working Total]]-ERP_2[[#This Row],[LE2 Final Submission]]</f>
        <v>39296.479999999996</v>
      </c>
      <c r="AO446" s="79"/>
      <c r="AP446" s="79">
        <f t="shared" si="25"/>
        <v>13318.529999999999</v>
      </c>
      <c r="AQ446" s="374">
        <f>SUM(ERP_2[[#This Row],[AP01]:[AP06]])-SUM(ERP_2[[#This Row],[AP01 LE2]:[AP06 LE2]])</f>
        <v>39296.479999999996</v>
      </c>
      <c r="AR446" s="80"/>
      <c r="AS446" s="79">
        <f>ERP_2[[#This Row],[2026 Working Total to Budget/LE]]-ERP_2[[#This Row],[Giveback]]</f>
        <v>39296.479999999996</v>
      </c>
      <c r="AT446" s="81"/>
      <c r="AU446" s="375"/>
      <c r="AV446" s="375"/>
      <c r="AW446" s="375"/>
      <c r="AX446" s="375"/>
      <c r="AY446" s="375"/>
      <c r="AZ446" s="375"/>
      <c r="BA446" s="375"/>
      <c r="BB446" s="375"/>
      <c r="BC446" s="375"/>
      <c r="BD446" s="375"/>
      <c r="BE446" s="375"/>
      <c r="BF446" s="375"/>
      <c r="BG446" s="375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</row>
    <row r="447" spans="1:72" ht="15" hidden="1" customHeight="1">
      <c r="A447" s="66" t="s">
        <v>1412</v>
      </c>
      <c r="B447" s="66"/>
      <c r="C447" s="66" t="s">
        <v>313</v>
      </c>
      <c r="D447" s="66" t="s">
        <v>1413</v>
      </c>
      <c r="E447" s="150" t="s">
        <v>1136</v>
      </c>
      <c r="F447" s="482" t="s">
        <v>1566</v>
      </c>
      <c r="G447" s="482" t="s">
        <v>1566</v>
      </c>
      <c r="H447" s="482" t="s">
        <v>1566</v>
      </c>
      <c r="I447" s="150" t="s">
        <v>1345</v>
      </c>
      <c r="J447" s="150" t="s">
        <v>1346</v>
      </c>
      <c r="K447" s="150" t="s">
        <v>1346</v>
      </c>
      <c r="L447" s="511" t="s">
        <v>49</v>
      </c>
      <c r="M447" s="392" t="s">
        <v>1414</v>
      </c>
      <c r="N447" s="343"/>
      <c r="O447" s="346" t="s">
        <v>1415</v>
      </c>
      <c r="P447" s="70" t="s">
        <v>314</v>
      </c>
      <c r="Q447" s="346"/>
      <c r="R447" s="346" t="s">
        <v>1416</v>
      </c>
      <c r="S447" s="346"/>
      <c r="T447" s="150" t="s">
        <v>25</v>
      </c>
      <c r="U447" s="150"/>
      <c r="V447" s="403"/>
      <c r="W447" s="406">
        <v>0</v>
      </c>
      <c r="X447" s="406">
        <v>0.33000000000174623</v>
      </c>
      <c r="Y447" s="425"/>
      <c r="Z447" s="71"/>
      <c r="AA447" s="426"/>
      <c r="AB447" s="427">
        <v>63054.92</v>
      </c>
      <c r="AC447" s="427">
        <v>-63054.59</v>
      </c>
      <c r="AD447" s="428">
        <v>0</v>
      </c>
      <c r="AE447" s="429">
        <v>0</v>
      </c>
      <c r="AF447" s="429">
        <v>0</v>
      </c>
      <c r="AG447" s="360">
        <v>0</v>
      </c>
      <c r="AH447" s="360">
        <v>0</v>
      </c>
      <c r="AI447" s="360">
        <v>0</v>
      </c>
      <c r="AJ447" s="360">
        <v>0</v>
      </c>
      <c r="AK447" s="360">
        <v>0</v>
      </c>
      <c r="AL447" s="360">
        <v>0</v>
      </c>
      <c r="AM447" s="360">
        <f t="shared" si="27"/>
        <v>0.33000000000174623</v>
      </c>
      <c r="AN447" s="362">
        <f>ERP_2[[#This Row],[2026 Working Total]]-ERP_2[[#This Row],[LE2 Final Submission]]</f>
        <v>0</v>
      </c>
      <c r="AO447" s="79">
        <v>0</v>
      </c>
      <c r="AP447" s="79">
        <f t="shared" si="25"/>
        <v>0</v>
      </c>
      <c r="AQ447" s="374">
        <f>SUM(ERP_2[[#This Row],[AP01]:[AP06]])-SUM(ERP_2[[#This Row],[AP01 LE2]:[AP06 LE2]])</f>
        <v>0</v>
      </c>
      <c r="AR447" s="80"/>
      <c r="AS447" s="79">
        <f>ERP_2[[#This Row],[2026 Working Total to Budget/LE]]-ERP_2[[#This Row],[Giveback]]</f>
        <v>0</v>
      </c>
      <c r="AT447" s="81"/>
      <c r="AU447" s="375"/>
      <c r="AV447" s="375">
        <v>63054.92</v>
      </c>
      <c r="AW447" s="375">
        <v>-63054.59</v>
      </c>
      <c r="AX447" s="375">
        <v>0</v>
      </c>
      <c r="AY447" s="375">
        <v>0</v>
      </c>
      <c r="AZ447" s="375">
        <v>0</v>
      </c>
      <c r="BA447" s="375">
        <v>0</v>
      </c>
      <c r="BB447" s="375">
        <v>0</v>
      </c>
      <c r="BC447" s="375">
        <v>0</v>
      </c>
      <c r="BD447" s="375">
        <v>0</v>
      </c>
      <c r="BE447" s="375">
        <v>0</v>
      </c>
      <c r="BF447" s="375">
        <v>0</v>
      </c>
      <c r="BG447" s="375">
        <v>0.33000000000174623</v>
      </c>
      <c r="BH447" s="79"/>
      <c r="BI447" s="79">
        <v>63054.92</v>
      </c>
      <c r="BJ447" s="79">
        <v>-63054.59</v>
      </c>
      <c r="BK447" s="79">
        <v>0</v>
      </c>
      <c r="BL447" s="79">
        <v>0</v>
      </c>
      <c r="BM447" s="79">
        <v>0</v>
      </c>
      <c r="BN447" s="79">
        <v>0</v>
      </c>
      <c r="BO447" s="79">
        <v>0</v>
      </c>
      <c r="BP447" s="79">
        <v>0</v>
      </c>
      <c r="BQ447" s="79">
        <v>0</v>
      </c>
      <c r="BR447" s="79">
        <v>0</v>
      </c>
      <c r="BS447" s="79">
        <v>0</v>
      </c>
      <c r="BT447" s="79">
        <v>0.33000000000174623</v>
      </c>
    </row>
    <row r="448" spans="1:72" ht="15" hidden="1" customHeight="1">
      <c r="A448" s="66" t="s">
        <v>1418</v>
      </c>
      <c r="B448" s="66"/>
      <c r="C448" s="66" t="s">
        <v>315</v>
      </c>
      <c r="D448" s="66" t="s">
        <v>1419</v>
      </c>
      <c r="E448" s="150" t="s">
        <v>1136</v>
      </c>
      <c r="F448" s="482" t="s">
        <v>1566</v>
      </c>
      <c r="G448" s="482" t="s">
        <v>1566</v>
      </c>
      <c r="H448" s="482" t="s">
        <v>1566</v>
      </c>
      <c r="I448" s="150" t="s">
        <v>1345</v>
      </c>
      <c r="J448" s="150" t="s">
        <v>1346</v>
      </c>
      <c r="K448" s="150" t="s">
        <v>1346</v>
      </c>
      <c r="L448" s="511" t="s">
        <v>49</v>
      </c>
      <c r="M448" s="392" t="s">
        <v>1420</v>
      </c>
      <c r="N448" s="343"/>
      <c r="O448" s="346" t="s">
        <v>1415</v>
      </c>
      <c r="P448" s="70" t="s">
        <v>316</v>
      </c>
      <c r="Q448" s="346"/>
      <c r="R448" s="346" t="s">
        <v>1421</v>
      </c>
      <c r="S448" s="346"/>
      <c r="T448" s="150" t="s">
        <v>25</v>
      </c>
      <c r="U448" s="150"/>
      <c r="V448" s="404"/>
      <c r="W448" s="407">
        <v>0</v>
      </c>
      <c r="X448" s="407">
        <v>0</v>
      </c>
      <c r="Y448" s="430"/>
      <c r="Z448" s="137"/>
      <c r="AA448" s="426"/>
      <c r="AB448" s="427">
        <v>89550.8</v>
      </c>
      <c r="AC448" s="427">
        <v>-89550.8</v>
      </c>
      <c r="AD448" s="428">
        <v>0</v>
      </c>
      <c r="AE448" s="429">
        <v>0</v>
      </c>
      <c r="AF448" s="429">
        <v>0</v>
      </c>
      <c r="AG448" s="363"/>
      <c r="AH448" s="363"/>
      <c r="AI448" s="363"/>
      <c r="AJ448" s="363"/>
      <c r="AK448" s="363"/>
      <c r="AL448" s="363"/>
      <c r="AM448" s="360">
        <f t="shared" si="27"/>
        <v>0</v>
      </c>
      <c r="AN448" s="362">
        <f>ERP_2[[#This Row],[2026 Working Total]]-ERP_2[[#This Row],[LE2 Final Submission]]</f>
        <v>0</v>
      </c>
      <c r="AO448" s="79"/>
      <c r="AP448" s="79">
        <f t="shared" si="25"/>
        <v>0</v>
      </c>
      <c r="AQ448" s="374">
        <f>SUM(ERP_2[[#This Row],[AP01]:[AP06]])-SUM(ERP_2[[#This Row],[AP01 LE2]:[AP06 LE2]])</f>
        <v>0</v>
      </c>
      <c r="AR448" s="80"/>
      <c r="AS448" s="79">
        <f>ERP_2[[#This Row],[2026 Working Total to Budget/LE]]-ERP_2[[#This Row],[Giveback]]</f>
        <v>0</v>
      </c>
      <c r="AT448" s="81"/>
      <c r="AU448" s="375"/>
      <c r="AV448" s="375">
        <v>89550.8</v>
      </c>
      <c r="AW448" s="375">
        <v>-89550.8</v>
      </c>
      <c r="AX448" s="375"/>
      <c r="AY448" s="375"/>
      <c r="AZ448" s="375"/>
      <c r="BA448" s="375"/>
      <c r="BB448" s="375"/>
      <c r="BC448" s="375"/>
      <c r="BD448" s="375"/>
      <c r="BE448" s="375"/>
      <c r="BF448" s="375"/>
      <c r="BG448" s="375">
        <v>0</v>
      </c>
      <c r="BH448" s="79"/>
      <c r="BI448" s="79">
        <v>89550.8</v>
      </c>
      <c r="BJ448" s="79">
        <v>-89550.8</v>
      </c>
      <c r="BK448" s="79"/>
      <c r="BL448" s="79"/>
      <c r="BM448" s="79"/>
      <c r="BN448" s="79"/>
      <c r="BO448" s="79"/>
      <c r="BP448" s="79"/>
      <c r="BQ448" s="79"/>
      <c r="BR448" s="79"/>
      <c r="BS448" s="79"/>
      <c r="BT448" s="79">
        <v>0</v>
      </c>
    </row>
    <row r="449" spans="1:72" ht="15" hidden="1" customHeight="1">
      <c r="A449" s="79" t="s">
        <v>1637</v>
      </c>
      <c r="B449" s="79"/>
      <c r="C449" s="79" t="s">
        <v>317</v>
      </c>
      <c r="D449" s="296" t="s">
        <v>1638</v>
      </c>
      <c r="E449" s="150" t="s">
        <v>1136</v>
      </c>
      <c r="F449" s="482" t="s">
        <v>1566</v>
      </c>
      <c r="G449" s="482" t="s">
        <v>1566</v>
      </c>
      <c r="H449" s="482" t="s">
        <v>1566</v>
      </c>
      <c r="I449" s="150" t="s">
        <v>1345</v>
      </c>
      <c r="J449" s="332" t="s">
        <v>1346</v>
      </c>
      <c r="K449" s="333" t="s">
        <v>1346</v>
      </c>
      <c r="L449" s="514" t="s">
        <v>49</v>
      </c>
      <c r="M449" s="394"/>
      <c r="N449" s="333"/>
      <c r="O449" s="333"/>
      <c r="P449" s="90" t="s">
        <v>318</v>
      </c>
      <c r="Q449" s="347"/>
      <c r="R449" s="347"/>
      <c r="S449" s="348"/>
      <c r="T449" s="348"/>
      <c r="U449" s="348"/>
      <c r="V449" s="402"/>
      <c r="W449" s="358"/>
      <c r="X449" s="379"/>
      <c r="Y449" s="425"/>
      <c r="Z449" s="71"/>
      <c r="AA449" s="435"/>
      <c r="AB449" s="436"/>
      <c r="AC449" s="436"/>
      <c r="AD449" s="429"/>
      <c r="AE449" s="429"/>
      <c r="AF449" s="429">
        <v>-1584</v>
      </c>
      <c r="AG449" s="364"/>
      <c r="AH449" s="364"/>
      <c r="AI449" s="364"/>
      <c r="AJ449" s="364"/>
      <c r="AK449" s="364"/>
      <c r="AL449" s="364"/>
      <c r="AM449" s="360">
        <f t="shared" si="27"/>
        <v>-1584</v>
      </c>
      <c r="AN449" s="362">
        <f>ERP_2[[#This Row],[2026 Working Total]]-ERP_2[[#This Row],[LE2 Final Submission]]</f>
        <v>-1584</v>
      </c>
      <c r="AO449" s="79"/>
      <c r="AP449" s="79">
        <f t="shared" si="25"/>
        <v>-1584</v>
      </c>
      <c r="AQ449" s="391">
        <f>SUM(ERP_2[[#This Row],[AP01]:[AP06]])-SUM(ERP_2[[#This Row],[AP01 LE2]:[AP06 LE2]])</f>
        <v>-1584</v>
      </c>
      <c r="AR449" s="80"/>
      <c r="AS449" s="79">
        <f>ERP_2[[#This Row],[2026 Working Total to Budget/LE]]-ERP_2[[#This Row],[Giveback]]</f>
        <v>-1584</v>
      </c>
      <c r="AT449" s="81"/>
      <c r="AU449" s="375"/>
      <c r="AV449" s="375"/>
      <c r="AW449" s="375"/>
      <c r="AX449" s="375"/>
      <c r="AY449" s="375"/>
      <c r="AZ449" s="375"/>
      <c r="BA449" s="375"/>
      <c r="BB449" s="375"/>
      <c r="BC449" s="375"/>
      <c r="BD449" s="375"/>
      <c r="BE449" s="375"/>
      <c r="BF449" s="375"/>
      <c r="BG449" s="375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</row>
    <row r="450" spans="1:72" ht="15" hidden="1" customHeight="1">
      <c r="A450" s="66" t="s">
        <v>2844</v>
      </c>
      <c r="B450" s="66"/>
      <c r="C450" s="66" t="s">
        <v>1035</v>
      </c>
      <c r="D450" s="66" t="s">
        <v>1035</v>
      </c>
      <c r="E450" s="150" t="s">
        <v>1136</v>
      </c>
      <c r="F450" s="482" t="s">
        <v>1566</v>
      </c>
      <c r="G450" s="150" t="s">
        <v>1650</v>
      </c>
      <c r="H450" s="150" t="s">
        <v>1650</v>
      </c>
      <c r="I450" s="150" t="s">
        <v>1650</v>
      </c>
      <c r="J450" s="150" t="s">
        <v>1650</v>
      </c>
      <c r="K450" s="150" t="s">
        <v>1650</v>
      </c>
      <c r="L450" s="511" t="s">
        <v>1027</v>
      </c>
      <c r="M450" s="392" t="s">
        <v>2830</v>
      </c>
      <c r="N450" s="343"/>
      <c r="O450" s="343"/>
      <c r="P450" s="70" t="s">
        <v>1029</v>
      </c>
      <c r="Q450" s="346"/>
      <c r="R450" s="343"/>
      <c r="S450" s="346"/>
      <c r="T450" s="150" t="s">
        <v>25</v>
      </c>
      <c r="U450" s="150"/>
      <c r="V450" s="403"/>
      <c r="W450" s="406">
        <v>18800</v>
      </c>
      <c r="X450" s="406">
        <v>15498</v>
      </c>
      <c r="Y450" s="425"/>
      <c r="Z450" s="71"/>
      <c r="AA450" s="426">
        <v>102</v>
      </c>
      <c r="AB450" s="427">
        <v>121</v>
      </c>
      <c r="AC450" s="427">
        <v>675</v>
      </c>
      <c r="AD450" s="428">
        <v>1883.5499999999997</v>
      </c>
      <c r="AE450" s="429">
        <v>861.93999999999994</v>
      </c>
      <c r="AF450" s="429">
        <v>234.03</v>
      </c>
      <c r="AG450" s="363">
        <v>1500</v>
      </c>
      <c r="AH450" s="363">
        <v>1700</v>
      </c>
      <c r="AI450" s="363">
        <v>1700</v>
      </c>
      <c r="AJ450" s="363">
        <v>1700</v>
      </c>
      <c r="AK450" s="363">
        <v>1700</v>
      </c>
      <c r="AL450" s="363">
        <v>1700</v>
      </c>
      <c r="AM450" s="360">
        <f t="shared" si="27"/>
        <v>13877.52</v>
      </c>
      <c r="AN450" s="362">
        <f>ERP_2[[#This Row],[2026 Working Total]]-ERP_2[[#This Row],[LE2 Final Submission]]</f>
        <v>-1620.4799999999996</v>
      </c>
      <c r="AO450" s="79">
        <v>1500</v>
      </c>
      <c r="AP450" s="79">
        <f t="shared" si="25"/>
        <v>-1265.97</v>
      </c>
      <c r="AQ450" s="374">
        <f>SUM(ERP_2[[#This Row],[AP01]:[AP06]])-SUM(ERP_2[[#This Row],[AP01 LE2]:[AP06 LE2]])</f>
        <v>-1620.48</v>
      </c>
      <c r="AR450" s="80"/>
      <c r="AS450" s="79">
        <f>ERP_2[[#This Row],[2026 Working Total to Budget/LE]]-ERP_2[[#This Row],[Giveback]]</f>
        <v>-1620.4799999999996</v>
      </c>
      <c r="AT450" s="81"/>
      <c r="AU450" s="375">
        <v>102</v>
      </c>
      <c r="AV450" s="375">
        <v>121</v>
      </c>
      <c r="AW450" s="375">
        <v>675</v>
      </c>
      <c r="AX450" s="375">
        <v>1600</v>
      </c>
      <c r="AY450" s="375">
        <v>1500</v>
      </c>
      <c r="AZ450" s="375">
        <v>1500</v>
      </c>
      <c r="BA450" s="375">
        <v>1500</v>
      </c>
      <c r="BB450" s="375">
        <v>1700</v>
      </c>
      <c r="BC450" s="375">
        <v>1700</v>
      </c>
      <c r="BD450" s="375">
        <v>1700</v>
      </c>
      <c r="BE450" s="375">
        <v>1700</v>
      </c>
      <c r="BF450" s="375">
        <v>1700</v>
      </c>
      <c r="BG450" s="375">
        <v>15498</v>
      </c>
      <c r="BH450" s="79">
        <v>102</v>
      </c>
      <c r="BI450" s="79">
        <v>121</v>
      </c>
      <c r="BJ450" s="79">
        <v>675</v>
      </c>
      <c r="BK450" s="79">
        <v>1600</v>
      </c>
      <c r="BL450" s="79">
        <v>1500</v>
      </c>
      <c r="BM450" s="79">
        <v>1500</v>
      </c>
      <c r="BN450" s="79">
        <v>1500</v>
      </c>
      <c r="BO450" s="79">
        <v>1700</v>
      </c>
      <c r="BP450" s="79">
        <v>1700</v>
      </c>
      <c r="BQ450" s="79">
        <v>1700</v>
      </c>
      <c r="BR450" s="79">
        <v>1700</v>
      </c>
      <c r="BS450" s="79">
        <v>1700</v>
      </c>
      <c r="BT450" s="79">
        <v>15498</v>
      </c>
    </row>
    <row r="451" spans="1:72" ht="15" hidden="1" customHeight="1">
      <c r="A451" s="66" t="s">
        <v>2866</v>
      </c>
      <c r="B451" s="66"/>
      <c r="C451" s="66" t="s">
        <v>1050</v>
      </c>
      <c r="D451" s="66" t="s">
        <v>1050</v>
      </c>
      <c r="E451" s="150" t="s">
        <v>1136</v>
      </c>
      <c r="F451" s="482" t="s">
        <v>1566</v>
      </c>
      <c r="G451" s="150" t="s">
        <v>1650</v>
      </c>
      <c r="H451" s="150" t="s">
        <v>1650</v>
      </c>
      <c r="I451" s="150" t="s">
        <v>1650</v>
      </c>
      <c r="J451" s="150" t="s">
        <v>1650</v>
      </c>
      <c r="K451" s="150" t="s">
        <v>1650</v>
      </c>
      <c r="L451" s="511" t="s">
        <v>1037</v>
      </c>
      <c r="M451" s="392" t="s">
        <v>2846</v>
      </c>
      <c r="N451" s="343"/>
      <c r="O451" s="343"/>
      <c r="P451" s="70" t="s">
        <v>1039</v>
      </c>
      <c r="Q451" s="346"/>
      <c r="R451" s="346" t="s">
        <v>1140</v>
      </c>
      <c r="S451" s="346"/>
      <c r="T451" s="150" t="s">
        <v>1040</v>
      </c>
      <c r="U451" s="150"/>
      <c r="V451" s="403"/>
      <c r="W451" s="406">
        <v>0</v>
      </c>
      <c r="X451" s="406">
        <v>17997.310000000001</v>
      </c>
      <c r="Y451" s="425"/>
      <c r="Z451" s="71"/>
      <c r="AA451" s="426">
        <v>401</v>
      </c>
      <c r="AB451" s="427">
        <v>11440.6</v>
      </c>
      <c r="AC451" s="427">
        <v>6155.71</v>
      </c>
      <c r="AD451" s="428">
        <v>1364.6499999999996</v>
      </c>
      <c r="AE451" s="429">
        <v>535.48</v>
      </c>
      <c r="AF451" s="429">
        <v>1808.77</v>
      </c>
      <c r="AG451" s="360">
        <v>0</v>
      </c>
      <c r="AH451" s="360">
        <v>0</v>
      </c>
      <c r="AI451" s="360">
        <v>0</v>
      </c>
      <c r="AJ451" s="360">
        <v>0</v>
      </c>
      <c r="AK451" s="360">
        <v>0</v>
      </c>
      <c r="AL451" s="360">
        <v>0</v>
      </c>
      <c r="AM451" s="360">
        <f t="shared" si="27"/>
        <v>21706.21</v>
      </c>
      <c r="AN451" s="362">
        <f>ERP_2[[#This Row],[2026 Working Total]]-ERP_2[[#This Row],[LE2 Final Submission]]</f>
        <v>3708.8999999999978</v>
      </c>
      <c r="AO451" s="79">
        <v>0</v>
      </c>
      <c r="AP451" s="79">
        <f t="shared" si="25"/>
        <v>1808.77</v>
      </c>
      <c r="AQ451" s="374">
        <f>SUM(ERP_2[[#This Row],[AP01]:[AP06]])-SUM(ERP_2[[#This Row],[AP01 LE2]:[AP06 LE2]])</f>
        <v>3708.8999999999978</v>
      </c>
      <c r="AR451" s="80"/>
      <c r="AS451" s="79">
        <f>ERP_2[[#This Row],[2026 Working Total to Budget/LE]]-ERP_2[[#This Row],[Giveback]]</f>
        <v>3708.8999999999978</v>
      </c>
      <c r="AT451" s="81"/>
      <c r="AU451" s="375">
        <v>401</v>
      </c>
      <c r="AV451" s="375">
        <v>11440.6</v>
      </c>
      <c r="AW451" s="375">
        <v>6155.71</v>
      </c>
      <c r="AX451" s="375">
        <v>0</v>
      </c>
      <c r="AY451" s="375">
        <v>0</v>
      </c>
      <c r="AZ451" s="375">
        <v>0</v>
      </c>
      <c r="BA451" s="375">
        <v>0</v>
      </c>
      <c r="BB451" s="375">
        <v>0</v>
      </c>
      <c r="BC451" s="375">
        <v>0</v>
      </c>
      <c r="BD451" s="375">
        <v>0</v>
      </c>
      <c r="BE451" s="375">
        <v>0</v>
      </c>
      <c r="BF451" s="375">
        <v>0</v>
      </c>
      <c r="BG451" s="375">
        <v>17997.310000000001</v>
      </c>
      <c r="BH451" s="79">
        <v>401</v>
      </c>
      <c r="BI451" s="79">
        <v>11440.6</v>
      </c>
      <c r="BJ451" s="79">
        <v>6155.71</v>
      </c>
      <c r="BK451" s="79">
        <v>0</v>
      </c>
      <c r="BL451" s="79">
        <v>0</v>
      </c>
      <c r="BM451" s="79">
        <v>0</v>
      </c>
      <c r="BN451" s="79">
        <v>0</v>
      </c>
      <c r="BO451" s="79">
        <v>0</v>
      </c>
      <c r="BP451" s="79">
        <v>0</v>
      </c>
      <c r="BQ451" s="79">
        <v>0</v>
      </c>
      <c r="BR451" s="79">
        <v>0</v>
      </c>
      <c r="BS451" s="79">
        <v>0</v>
      </c>
      <c r="BT451" s="79">
        <v>17997.310000000001</v>
      </c>
    </row>
    <row r="452" spans="1:72" ht="15" hidden="1" customHeight="1">
      <c r="A452" s="66" t="s">
        <v>1643</v>
      </c>
      <c r="B452" s="66"/>
      <c r="C452" s="66" t="s">
        <v>320</v>
      </c>
      <c r="D452" s="66" t="s">
        <v>1644</v>
      </c>
      <c r="E452" s="150" t="s">
        <v>1136</v>
      </c>
      <c r="F452" s="482" t="s">
        <v>1566</v>
      </c>
      <c r="G452" s="150" t="s">
        <v>1566</v>
      </c>
      <c r="H452" s="150" t="s">
        <v>1566</v>
      </c>
      <c r="I452" s="150" t="s">
        <v>1567</v>
      </c>
      <c r="J452" s="150" t="s">
        <v>1567</v>
      </c>
      <c r="K452" s="150" t="s">
        <v>1567</v>
      </c>
      <c r="L452" s="511" t="s">
        <v>49</v>
      </c>
      <c r="M452" s="392" t="s">
        <v>1645</v>
      </c>
      <c r="N452" s="343"/>
      <c r="O452" s="343"/>
      <c r="P452" s="70" t="s">
        <v>321</v>
      </c>
      <c r="Q452" s="346"/>
      <c r="R452" s="343"/>
      <c r="S452" s="346"/>
      <c r="T452" s="150" t="s">
        <v>25</v>
      </c>
      <c r="U452" s="150"/>
      <c r="V452" s="403"/>
      <c r="W452" s="406">
        <v>0</v>
      </c>
      <c r="X452" s="406">
        <v>7271.4</v>
      </c>
      <c r="Y452" s="425"/>
      <c r="Z452" s="71"/>
      <c r="AA452" s="426"/>
      <c r="AB452" s="427">
        <v>7271.4</v>
      </c>
      <c r="AC452" s="431">
        <v>0</v>
      </c>
      <c r="AD452" s="428">
        <v>0</v>
      </c>
      <c r="AE452" s="429">
        <v>0</v>
      </c>
      <c r="AF452" s="429">
        <v>0</v>
      </c>
      <c r="AG452" s="360">
        <v>0</v>
      </c>
      <c r="AH452" s="360">
        <v>0</v>
      </c>
      <c r="AI452" s="360">
        <v>0</v>
      </c>
      <c r="AJ452" s="360">
        <v>0</v>
      </c>
      <c r="AK452" s="360">
        <v>0</v>
      </c>
      <c r="AL452" s="360">
        <v>0</v>
      </c>
      <c r="AM452" s="360">
        <f t="shared" si="27"/>
        <v>7271.4</v>
      </c>
      <c r="AN452" s="362">
        <f>ERP_2[[#This Row],[2026 Working Total]]-ERP_2[[#This Row],[LE2 Final Submission]]</f>
        <v>0</v>
      </c>
      <c r="AO452" s="79">
        <v>0</v>
      </c>
      <c r="AP452" s="79">
        <f t="shared" si="25"/>
        <v>0</v>
      </c>
      <c r="AQ452" s="374">
        <f>SUM(ERP_2[[#This Row],[AP01]:[AP06]])-SUM(ERP_2[[#This Row],[AP01 LE2]:[AP06 LE2]])</f>
        <v>0</v>
      </c>
      <c r="AR452" s="80"/>
      <c r="AS452" s="79">
        <f>ERP_2[[#This Row],[2026 Working Total to Budget/LE]]-ERP_2[[#This Row],[Giveback]]</f>
        <v>0</v>
      </c>
      <c r="AT452" s="81"/>
      <c r="AU452" s="375"/>
      <c r="AV452" s="375">
        <v>7271.4</v>
      </c>
      <c r="AW452" s="375">
        <v>0</v>
      </c>
      <c r="AX452" s="375">
        <v>0</v>
      </c>
      <c r="AY452" s="375">
        <v>0</v>
      </c>
      <c r="AZ452" s="375">
        <v>0</v>
      </c>
      <c r="BA452" s="375">
        <v>0</v>
      </c>
      <c r="BB452" s="375">
        <v>0</v>
      </c>
      <c r="BC452" s="375">
        <v>0</v>
      </c>
      <c r="BD452" s="375">
        <v>0</v>
      </c>
      <c r="BE452" s="375">
        <v>0</v>
      </c>
      <c r="BF452" s="375">
        <v>0</v>
      </c>
      <c r="BG452" s="375">
        <v>7271.4</v>
      </c>
      <c r="BH452" s="79"/>
      <c r="BI452" s="79">
        <v>7271.4</v>
      </c>
      <c r="BJ452" s="79">
        <v>0</v>
      </c>
      <c r="BK452" s="79">
        <v>0</v>
      </c>
      <c r="BL452" s="79">
        <v>0</v>
      </c>
      <c r="BM452" s="79">
        <v>0</v>
      </c>
      <c r="BN452" s="79">
        <v>0</v>
      </c>
      <c r="BO452" s="79">
        <v>0</v>
      </c>
      <c r="BP452" s="79">
        <v>0</v>
      </c>
      <c r="BQ452" s="79">
        <v>0</v>
      </c>
      <c r="BR452" s="79">
        <v>0</v>
      </c>
      <c r="BS452" s="79">
        <v>0</v>
      </c>
      <c r="BT452" s="79">
        <v>7271.4</v>
      </c>
    </row>
    <row r="453" spans="1:72" ht="15" hidden="1" customHeight="1">
      <c r="A453" s="66" t="s">
        <v>1646</v>
      </c>
      <c r="B453" s="66"/>
      <c r="C453" s="66" t="s">
        <v>322</v>
      </c>
      <c r="D453" s="66" t="s">
        <v>1647</v>
      </c>
      <c r="E453" s="150" t="s">
        <v>1136</v>
      </c>
      <c r="F453" s="482" t="s">
        <v>1566</v>
      </c>
      <c r="G453" s="482" t="s">
        <v>1566</v>
      </c>
      <c r="H453" s="482" t="s">
        <v>1566</v>
      </c>
      <c r="I453" s="150" t="s">
        <v>1345</v>
      </c>
      <c r="J453" s="150" t="s">
        <v>1346</v>
      </c>
      <c r="K453" s="150" t="s">
        <v>1346</v>
      </c>
      <c r="L453" s="511" t="s">
        <v>49</v>
      </c>
      <c r="M453" s="392" t="s">
        <v>1648</v>
      </c>
      <c r="N453" s="343"/>
      <c r="O453" s="343"/>
      <c r="P453" s="70" t="s">
        <v>323</v>
      </c>
      <c r="Q453" s="346"/>
      <c r="R453" s="343"/>
      <c r="S453" s="346"/>
      <c r="T453" s="150" t="s">
        <v>25</v>
      </c>
      <c r="U453" s="150"/>
      <c r="V453" s="403"/>
      <c r="W453" s="406">
        <v>0</v>
      </c>
      <c r="X453" s="406">
        <v>130.62</v>
      </c>
      <c r="Y453" s="425"/>
      <c r="Z453" s="71"/>
      <c r="AA453" s="426"/>
      <c r="AB453" s="427">
        <v>130.62</v>
      </c>
      <c r="AC453" s="431">
        <v>0</v>
      </c>
      <c r="AD453" s="428" t="s">
        <v>1142</v>
      </c>
      <c r="AE453" s="429">
        <v>0</v>
      </c>
      <c r="AF453" s="429">
        <v>0</v>
      </c>
      <c r="AG453" s="360">
        <v>0</v>
      </c>
      <c r="AH453" s="360">
        <v>0</v>
      </c>
      <c r="AI453" s="360">
        <v>0</v>
      </c>
      <c r="AJ453" s="360">
        <v>0</v>
      </c>
      <c r="AK453" s="360">
        <v>0</v>
      </c>
      <c r="AL453" s="360">
        <v>0</v>
      </c>
      <c r="AM453" s="360">
        <f t="shared" si="27"/>
        <v>130.62</v>
      </c>
      <c r="AN453" s="362">
        <f>ERP_2[[#This Row],[2026 Working Total]]-ERP_2[[#This Row],[LE2 Final Submission]]</f>
        <v>0</v>
      </c>
      <c r="AO453" s="79">
        <v>0</v>
      </c>
      <c r="AP453" s="79">
        <f t="shared" si="25"/>
        <v>0</v>
      </c>
      <c r="AQ453" s="374">
        <f>SUM(ERP_2[[#This Row],[AP01]:[AP06]])-SUM(ERP_2[[#This Row],[AP01 LE2]:[AP06 LE2]])</f>
        <v>0</v>
      </c>
      <c r="AR453" s="80"/>
      <c r="AS453" s="79">
        <f>ERP_2[[#This Row],[2026 Working Total to Budget/LE]]-ERP_2[[#This Row],[Giveback]]</f>
        <v>0</v>
      </c>
      <c r="AT453" s="81"/>
      <c r="AU453" s="375"/>
      <c r="AV453" s="375">
        <v>130.62</v>
      </c>
      <c r="AW453" s="375">
        <v>0</v>
      </c>
      <c r="AX453" s="375">
        <v>0</v>
      </c>
      <c r="AY453" s="375">
        <v>0</v>
      </c>
      <c r="AZ453" s="375">
        <v>0</v>
      </c>
      <c r="BA453" s="375">
        <v>0</v>
      </c>
      <c r="BB453" s="375">
        <v>0</v>
      </c>
      <c r="BC453" s="375">
        <v>0</v>
      </c>
      <c r="BD453" s="375">
        <v>0</v>
      </c>
      <c r="BE453" s="375">
        <v>0</v>
      </c>
      <c r="BF453" s="375">
        <v>0</v>
      </c>
      <c r="BG453" s="375">
        <v>130.62</v>
      </c>
      <c r="BH453" s="79"/>
      <c r="BI453" s="79">
        <v>130.62</v>
      </c>
      <c r="BJ453" s="79">
        <v>0</v>
      </c>
      <c r="BK453" s="79">
        <v>0</v>
      </c>
      <c r="BL453" s="79">
        <v>0</v>
      </c>
      <c r="BM453" s="79">
        <v>0</v>
      </c>
      <c r="BN453" s="79">
        <v>0</v>
      </c>
      <c r="BO453" s="79">
        <v>0</v>
      </c>
      <c r="BP453" s="79">
        <v>0</v>
      </c>
      <c r="BQ453" s="79">
        <v>0</v>
      </c>
      <c r="BR453" s="79">
        <v>0</v>
      </c>
      <c r="BS453" s="79">
        <v>0</v>
      </c>
      <c r="BT453" s="79">
        <v>130.62</v>
      </c>
    </row>
    <row r="454" spans="1:72" ht="15" hidden="1" customHeight="1">
      <c r="A454" s="66" t="s">
        <v>1724</v>
      </c>
      <c r="B454" s="66"/>
      <c r="C454" s="66" t="s">
        <v>376</v>
      </c>
      <c r="D454" s="66" t="s">
        <v>1725</v>
      </c>
      <c r="E454" s="150" t="s">
        <v>1136</v>
      </c>
      <c r="F454" s="482" t="s">
        <v>1566</v>
      </c>
      <c r="G454" s="482" t="s">
        <v>1566</v>
      </c>
      <c r="H454" s="482" t="s">
        <v>1566</v>
      </c>
      <c r="I454" s="150" t="s">
        <v>1345</v>
      </c>
      <c r="J454" s="150" t="s">
        <v>1346</v>
      </c>
      <c r="K454" s="150" t="s">
        <v>1346</v>
      </c>
      <c r="L454" s="511" t="s">
        <v>342</v>
      </c>
      <c r="M454" s="392" t="s">
        <v>1685</v>
      </c>
      <c r="N454" s="343"/>
      <c r="O454" s="343"/>
      <c r="P454" s="70" t="s">
        <v>350</v>
      </c>
      <c r="Q454" s="346" t="s">
        <v>1139</v>
      </c>
      <c r="R454" s="346" t="s">
        <v>1140</v>
      </c>
      <c r="S454" s="346"/>
      <c r="T454" s="150" t="s">
        <v>25</v>
      </c>
      <c r="U454" s="150"/>
      <c r="V454" s="403"/>
      <c r="W454" s="406">
        <v>0</v>
      </c>
      <c r="X454" s="406">
        <v>904.37</v>
      </c>
      <c r="Y454" s="425"/>
      <c r="Z454" s="71"/>
      <c r="AA454" s="426">
        <v>904.37</v>
      </c>
      <c r="AB454" s="431">
        <v>0</v>
      </c>
      <c r="AC454" s="431">
        <v>0</v>
      </c>
      <c r="AD454" s="428" t="s">
        <v>1142</v>
      </c>
      <c r="AE454" s="429">
        <v>0</v>
      </c>
      <c r="AF454" s="429">
        <v>0</v>
      </c>
      <c r="AG454" s="360">
        <v>0</v>
      </c>
      <c r="AH454" s="360">
        <v>0</v>
      </c>
      <c r="AI454" s="360">
        <v>0</v>
      </c>
      <c r="AJ454" s="360">
        <v>0</v>
      </c>
      <c r="AK454" s="360">
        <v>0</v>
      </c>
      <c r="AL454" s="360">
        <v>0</v>
      </c>
      <c r="AM454" s="360">
        <f t="shared" si="27"/>
        <v>904.37</v>
      </c>
      <c r="AN454" s="362">
        <f>ERP_2[[#This Row],[2026 Working Total]]-ERP_2[[#This Row],[LE2 Final Submission]]</f>
        <v>0</v>
      </c>
      <c r="AO454" s="79">
        <v>0</v>
      </c>
      <c r="AP454" s="79">
        <f t="shared" si="25"/>
        <v>0</v>
      </c>
      <c r="AQ454" s="374">
        <f>SUM(ERP_2[[#This Row],[AP01]:[AP06]])-SUM(ERP_2[[#This Row],[AP01 LE2]:[AP06 LE2]])</f>
        <v>0</v>
      </c>
      <c r="AR454" s="80"/>
      <c r="AS454" s="79">
        <f>ERP_2[[#This Row],[2026 Working Total to Budget/LE]]-ERP_2[[#This Row],[Giveback]]</f>
        <v>0</v>
      </c>
      <c r="AT454" s="81"/>
      <c r="AU454" s="375">
        <v>904.37</v>
      </c>
      <c r="AV454" s="375">
        <v>0</v>
      </c>
      <c r="AW454" s="375">
        <v>0</v>
      </c>
      <c r="AX454" s="375">
        <v>0</v>
      </c>
      <c r="AY454" s="375">
        <v>0</v>
      </c>
      <c r="AZ454" s="375">
        <v>0</v>
      </c>
      <c r="BA454" s="375">
        <v>0</v>
      </c>
      <c r="BB454" s="375">
        <v>0</v>
      </c>
      <c r="BC454" s="375">
        <v>0</v>
      </c>
      <c r="BD454" s="375">
        <v>0</v>
      </c>
      <c r="BE454" s="375">
        <v>0</v>
      </c>
      <c r="BF454" s="375">
        <v>0</v>
      </c>
      <c r="BG454" s="375">
        <v>904.37</v>
      </c>
      <c r="BH454" s="79">
        <v>904.37</v>
      </c>
      <c r="BI454" s="79">
        <v>0</v>
      </c>
      <c r="BJ454" s="79">
        <v>0</v>
      </c>
      <c r="BK454" s="79">
        <v>0</v>
      </c>
      <c r="BL454" s="79">
        <v>0</v>
      </c>
      <c r="BM454" s="79">
        <v>0</v>
      </c>
      <c r="BN454" s="79">
        <v>0</v>
      </c>
      <c r="BO454" s="79">
        <v>0</v>
      </c>
      <c r="BP454" s="79">
        <v>0</v>
      </c>
      <c r="BQ454" s="79">
        <v>0</v>
      </c>
      <c r="BR454" s="79">
        <v>0</v>
      </c>
      <c r="BS454" s="79">
        <v>0</v>
      </c>
      <c r="BT454" s="79">
        <v>904.37</v>
      </c>
    </row>
    <row r="455" spans="1:72" ht="15" hidden="1" customHeight="1">
      <c r="A455" s="66" t="s">
        <v>1726</v>
      </c>
      <c r="B455" s="66"/>
      <c r="C455" s="66" t="s">
        <v>2930</v>
      </c>
      <c r="D455" s="66" t="s">
        <v>1727</v>
      </c>
      <c r="E455" s="150" t="s">
        <v>1136</v>
      </c>
      <c r="F455" s="482" t="s">
        <v>1566</v>
      </c>
      <c r="G455" s="150" t="s">
        <v>1566</v>
      </c>
      <c r="H455" s="150" t="s">
        <v>1566</v>
      </c>
      <c r="I455" s="150" t="s">
        <v>1567</v>
      </c>
      <c r="J455" s="150" t="s">
        <v>1567</v>
      </c>
      <c r="K455" s="150" t="s">
        <v>1567</v>
      </c>
      <c r="L455" s="511" t="s">
        <v>342</v>
      </c>
      <c r="M455" s="392" t="s">
        <v>352</v>
      </c>
      <c r="N455" s="343"/>
      <c r="O455" s="343"/>
      <c r="P455" s="70" t="s">
        <v>352</v>
      </c>
      <c r="Q455" s="346" t="s">
        <v>1139</v>
      </c>
      <c r="R455" s="346" t="s">
        <v>1140</v>
      </c>
      <c r="S455" s="346"/>
      <c r="T455" s="150" t="s">
        <v>25</v>
      </c>
      <c r="U455" s="150"/>
      <c r="V455" s="404"/>
      <c r="W455" s="407">
        <v>0</v>
      </c>
      <c r="X455" s="407">
        <v>0</v>
      </c>
      <c r="Y455" s="425"/>
      <c r="Z455" s="71"/>
      <c r="AA455" s="426"/>
      <c r="AB455" s="427"/>
      <c r="AC455" s="431">
        <v>0</v>
      </c>
      <c r="AD455" s="428">
        <v>-11818.05</v>
      </c>
      <c r="AE455" s="429">
        <v>0</v>
      </c>
      <c r="AF455" s="429">
        <v>0</v>
      </c>
      <c r="AG455" s="360">
        <v>0</v>
      </c>
      <c r="AH455" s="360">
        <v>0</v>
      </c>
      <c r="AI455" s="360">
        <v>0</v>
      </c>
      <c r="AJ455" s="360">
        <v>0</v>
      </c>
      <c r="AK455" s="360">
        <v>0</v>
      </c>
      <c r="AL455" s="360">
        <v>0</v>
      </c>
      <c r="AM455" s="360">
        <f t="shared" si="27"/>
        <v>-11818.05</v>
      </c>
      <c r="AN455" s="362">
        <f>ERP_2[[#This Row],[2026 Working Total]]-ERP_2[[#This Row],[LE2 Final Submission]]</f>
        <v>-11818.05</v>
      </c>
      <c r="AO455" s="79">
        <v>0</v>
      </c>
      <c r="AP455" s="79">
        <f t="shared" si="25"/>
        <v>0</v>
      </c>
      <c r="AQ455" s="374">
        <f>SUM(ERP_2[[#This Row],[AP01]:[AP06]])-SUM(ERP_2[[#This Row],[AP01 LE2]:[AP06 LE2]])</f>
        <v>-11818.05</v>
      </c>
      <c r="AR455" s="80"/>
      <c r="AS455" s="79">
        <f>ERP_2[[#This Row],[2026 Working Total to Budget/LE]]-ERP_2[[#This Row],[Giveback]]</f>
        <v>-11818.05</v>
      </c>
      <c r="AT455" s="81"/>
      <c r="AU455" s="375"/>
      <c r="AV455" s="375"/>
      <c r="AW455" s="375">
        <v>0</v>
      </c>
      <c r="AX455" s="375">
        <v>0</v>
      </c>
      <c r="AY455" s="375">
        <v>0</v>
      </c>
      <c r="AZ455" s="375">
        <v>0</v>
      </c>
      <c r="BA455" s="375">
        <v>0</v>
      </c>
      <c r="BB455" s="375">
        <v>0</v>
      </c>
      <c r="BC455" s="375">
        <v>0</v>
      </c>
      <c r="BD455" s="375">
        <v>0</v>
      </c>
      <c r="BE455" s="375">
        <v>0</v>
      </c>
      <c r="BF455" s="375">
        <v>0</v>
      </c>
      <c r="BG455" s="375">
        <v>0</v>
      </c>
      <c r="BH455" s="79"/>
      <c r="BI455" s="79"/>
      <c r="BJ455" s="79">
        <v>0</v>
      </c>
      <c r="BK455" s="79">
        <v>0</v>
      </c>
      <c r="BL455" s="79">
        <v>0</v>
      </c>
      <c r="BM455" s="79">
        <v>0</v>
      </c>
      <c r="BN455" s="79">
        <v>0</v>
      </c>
      <c r="BO455" s="79">
        <v>0</v>
      </c>
      <c r="BP455" s="79">
        <v>0</v>
      </c>
      <c r="BQ455" s="79">
        <v>0</v>
      </c>
      <c r="BR455" s="79">
        <v>0</v>
      </c>
      <c r="BS455" s="79">
        <v>0</v>
      </c>
      <c r="BT455" s="79">
        <v>0</v>
      </c>
    </row>
    <row r="456" spans="1:72" ht="15" hidden="1" customHeight="1">
      <c r="A456" s="66" t="s">
        <v>1728</v>
      </c>
      <c r="B456" s="66"/>
      <c r="C456" s="66" t="s">
        <v>2926</v>
      </c>
      <c r="D456" s="66" t="s">
        <v>1729</v>
      </c>
      <c r="E456" s="150" t="s">
        <v>1136</v>
      </c>
      <c r="F456" s="482" t="s">
        <v>1566</v>
      </c>
      <c r="G456" s="150" t="s">
        <v>1566</v>
      </c>
      <c r="H456" s="150" t="s">
        <v>1566</v>
      </c>
      <c r="I456" s="150" t="s">
        <v>1567</v>
      </c>
      <c r="J456" s="150" t="s">
        <v>1567</v>
      </c>
      <c r="K456" s="150" t="s">
        <v>1567</v>
      </c>
      <c r="L456" s="511" t="s">
        <v>342</v>
      </c>
      <c r="M456" s="392" t="s">
        <v>356</v>
      </c>
      <c r="N456" s="343"/>
      <c r="O456" s="343"/>
      <c r="P456" s="70" t="s">
        <v>356</v>
      </c>
      <c r="Q456" s="346" t="s">
        <v>1139</v>
      </c>
      <c r="R456" s="346" t="s">
        <v>1140</v>
      </c>
      <c r="S456" s="346"/>
      <c r="T456" s="150" t="s">
        <v>25</v>
      </c>
      <c r="U456" s="150"/>
      <c r="V456" s="404"/>
      <c r="W456" s="407">
        <v>0</v>
      </c>
      <c r="X456" s="407">
        <v>0</v>
      </c>
      <c r="Y456" s="425"/>
      <c r="Z456" s="71"/>
      <c r="AA456" s="426"/>
      <c r="AB456" s="427"/>
      <c r="AC456" s="431">
        <v>0</v>
      </c>
      <c r="AD456" s="428">
        <v>0</v>
      </c>
      <c r="AE456" s="429">
        <v>0</v>
      </c>
      <c r="AF456" s="429">
        <v>0</v>
      </c>
      <c r="AG456" s="360">
        <v>0</v>
      </c>
      <c r="AH456" s="360">
        <v>0</v>
      </c>
      <c r="AI456" s="360">
        <v>0</v>
      </c>
      <c r="AJ456" s="360">
        <v>0</v>
      </c>
      <c r="AK456" s="360">
        <v>0</v>
      </c>
      <c r="AL456" s="360">
        <v>0</v>
      </c>
      <c r="AM456" s="360">
        <f t="shared" si="27"/>
        <v>0</v>
      </c>
      <c r="AN456" s="362">
        <f>ERP_2[[#This Row],[2026 Working Total]]-ERP_2[[#This Row],[LE2 Final Submission]]</f>
        <v>0</v>
      </c>
      <c r="AO456" s="79">
        <v>0</v>
      </c>
      <c r="AP456" s="79">
        <f t="shared" ref="AP456:AP519" si="28">$AF456 - $AO456</f>
        <v>0</v>
      </c>
      <c r="AQ456" s="374">
        <f>SUM(ERP_2[[#This Row],[AP01]:[AP06]])-SUM(ERP_2[[#This Row],[AP01 LE2]:[AP06 LE2]])</f>
        <v>0</v>
      </c>
      <c r="AR456" s="80"/>
      <c r="AS456" s="79">
        <f>ERP_2[[#This Row],[2026 Working Total to Budget/LE]]-ERP_2[[#This Row],[Giveback]]</f>
        <v>0</v>
      </c>
      <c r="AT456" s="81"/>
      <c r="AU456" s="375"/>
      <c r="AV456" s="375"/>
      <c r="AW456" s="375">
        <v>0</v>
      </c>
      <c r="AX456" s="375">
        <v>0</v>
      </c>
      <c r="AY456" s="375">
        <v>0</v>
      </c>
      <c r="AZ456" s="375">
        <v>0</v>
      </c>
      <c r="BA456" s="375">
        <v>0</v>
      </c>
      <c r="BB456" s="375">
        <v>0</v>
      </c>
      <c r="BC456" s="375">
        <v>0</v>
      </c>
      <c r="BD456" s="375">
        <v>0</v>
      </c>
      <c r="BE456" s="375">
        <v>0</v>
      </c>
      <c r="BF456" s="375">
        <v>0</v>
      </c>
      <c r="BG456" s="375">
        <v>0</v>
      </c>
      <c r="BH456" s="79"/>
      <c r="BI456" s="79"/>
      <c r="BJ456" s="79">
        <v>0</v>
      </c>
      <c r="BK456" s="79">
        <v>0</v>
      </c>
      <c r="BL456" s="79">
        <v>0</v>
      </c>
      <c r="BM456" s="79">
        <v>0</v>
      </c>
      <c r="BN456" s="79">
        <v>0</v>
      </c>
      <c r="BO456" s="79">
        <v>0</v>
      </c>
      <c r="BP456" s="79">
        <v>0</v>
      </c>
      <c r="BQ456" s="79">
        <v>0</v>
      </c>
      <c r="BR456" s="79">
        <v>0</v>
      </c>
      <c r="BS456" s="79">
        <v>0</v>
      </c>
      <c r="BT456" s="79">
        <v>0</v>
      </c>
    </row>
    <row r="457" spans="1:72" ht="15" hidden="1" customHeight="1">
      <c r="A457" s="66" t="s">
        <v>1730</v>
      </c>
      <c r="B457" s="66"/>
      <c r="C457" s="66" t="s">
        <v>2935</v>
      </c>
      <c r="D457" s="66" t="s">
        <v>1731</v>
      </c>
      <c r="E457" s="150" t="s">
        <v>1136</v>
      </c>
      <c r="F457" s="482" t="s">
        <v>1566</v>
      </c>
      <c r="G457" s="150" t="s">
        <v>1566</v>
      </c>
      <c r="H457" s="150" t="s">
        <v>1566</v>
      </c>
      <c r="I457" s="150" t="s">
        <v>1567</v>
      </c>
      <c r="J457" s="150" t="s">
        <v>1567</v>
      </c>
      <c r="K457" s="150" t="s">
        <v>1567</v>
      </c>
      <c r="L457" s="511" t="s">
        <v>342</v>
      </c>
      <c r="M457" s="392" t="s">
        <v>1732</v>
      </c>
      <c r="N457" s="343"/>
      <c r="O457" s="343"/>
      <c r="P457" s="70" t="s">
        <v>1732</v>
      </c>
      <c r="Q457" s="346"/>
      <c r="R457" s="346" t="s">
        <v>1140</v>
      </c>
      <c r="S457" s="346"/>
      <c r="T457" s="150" t="s">
        <v>25</v>
      </c>
      <c r="U457" s="150"/>
      <c r="V457" s="404"/>
      <c r="W457" s="407">
        <v>0</v>
      </c>
      <c r="X457" s="407">
        <v>0</v>
      </c>
      <c r="Y457" s="425"/>
      <c r="Z457" s="71"/>
      <c r="AA457" s="426"/>
      <c r="AB457" s="427"/>
      <c r="AC457" s="431">
        <v>0</v>
      </c>
      <c r="AD457" s="428">
        <v>-1485.86</v>
      </c>
      <c r="AE457" s="429">
        <v>0</v>
      </c>
      <c r="AF457" s="429">
        <v>0</v>
      </c>
      <c r="AG457" s="360">
        <v>0</v>
      </c>
      <c r="AH457" s="360">
        <v>0</v>
      </c>
      <c r="AI457" s="360">
        <v>0</v>
      </c>
      <c r="AJ457" s="360">
        <v>0</v>
      </c>
      <c r="AK457" s="360">
        <v>0</v>
      </c>
      <c r="AL457" s="360">
        <v>0</v>
      </c>
      <c r="AM457" s="360">
        <f t="shared" si="27"/>
        <v>-1485.86</v>
      </c>
      <c r="AN457" s="362">
        <f>ERP_2[[#This Row],[2026 Working Total]]-ERP_2[[#This Row],[LE2 Final Submission]]</f>
        <v>-1485.86</v>
      </c>
      <c r="AO457" s="79">
        <v>0</v>
      </c>
      <c r="AP457" s="79">
        <f t="shared" si="28"/>
        <v>0</v>
      </c>
      <c r="AQ457" s="374">
        <f>SUM(ERP_2[[#This Row],[AP01]:[AP06]])-SUM(ERP_2[[#This Row],[AP01 LE2]:[AP06 LE2]])</f>
        <v>-1485.86</v>
      </c>
      <c r="AR457" s="80"/>
      <c r="AS457" s="79">
        <f>ERP_2[[#This Row],[2026 Working Total to Budget/LE]]-ERP_2[[#This Row],[Giveback]]</f>
        <v>-1485.86</v>
      </c>
      <c r="AT457" s="81"/>
      <c r="AU457" s="375"/>
      <c r="AV457" s="375"/>
      <c r="AW457" s="375">
        <v>0</v>
      </c>
      <c r="AX457" s="375">
        <v>0</v>
      </c>
      <c r="AY457" s="375">
        <v>0</v>
      </c>
      <c r="AZ457" s="375">
        <v>0</v>
      </c>
      <c r="BA457" s="375">
        <v>0</v>
      </c>
      <c r="BB457" s="375">
        <v>0</v>
      </c>
      <c r="BC457" s="375">
        <v>0</v>
      </c>
      <c r="BD457" s="375">
        <v>0</v>
      </c>
      <c r="BE457" s="375">
        <v>0</v>
      </c>
      <c r="BF457" s="375">
        <v>0</v>
      </c>
      <c r="BG457" s="375">
        <v>0</v>
      </c>
      <c r="BH457" s="79"/>
      <c r="BI457" s="79"/>
      <c r="BJ457" s="79">
        <v>0</v>
      </c>
      <c r="BK457" s="79">
        <v>0</v>
      </c>
      <c r="BL457" s="79">
        <v>0</v>
      </c>
      <c r="BM457" s="79">
        <v>0</v>
      </c>
      <c r="BN457" s="79">
        <v>0</v>
      </c>
      <c r="BO457" s="79">
        <v>0</v>
      </c>
      <c r="BP457" s="79">
        <v>0</v>
      </c>
      <c r="BQ457" s="79">
        <v>0</v>
      </c>
      <c r="BR457" s="79">
        <v>0</v>
      </c>
      <c r="BS457" s="79">
        <v>0</v>
      </c>
      <c r="BT457" s="79">
        <v>0</v>
      </c>
    </row>
    <row r="458" spans="1:72" ht="15" hidden="1" customHeight="1">
      <c r="A458" s="79" t="s">
        <v>1733</v>
      </c>
      <c r="B458" s="79"/>
      <c r="C458" s="79" t="s">
        <v>380</v>
      </c>
      <c r="D458" s="296" t="s">
        <v>1734</v>
      </c>
      <c r="E458" s="150" t="s">
        <v>1136</v>
      </c>
      <c r="F458" s="482" t="s">
        <v>1566</v>
      </c>
      <c r="G458" s="150" t="s">
        <v>1566</v>
      </c>
      <c r="H458" s="150" t="s">
        <v>1566</v>
      </c>
      <c r="I458" t="s">
        <v>1567</v>
      </c>
      <c r="J458" t="s">
        <v>1567</v>
      </c>
      <c r="K458" s="150" t="s">
        <v>1567</v>
      </c>
      <c r="L458" s="514" t="s">
        <v>342</v>
      </c>
      <c r="M458" s="394" t="s">
        <v>1699</v>
      </c>
      <c r="N458" s="343"/>
      <c r="O458" s="333"/>
      <c r="P458" s="70" t="s">
        <v>362</v>
      </c>
      <c r="Q458" s="347"/>
      <c r="R458" s="343"/>
      <c r="S458" s="348"/>
      <c r="T458" s="348"/>
      <c r="U458" s="348" t="s">
        <v>1700</v>
      </c>
      <c r="V458" s="402"/>
      <c r="W458" s="358"/>
      <c r="X458" s="379">
        <v>0</v>
      </c>
      <c r="Y458" s="425"/>
      <c r="Z458" s="71"/>
      <c r="AA458" s="435"/>
      <c r="AB458" s="436"/>
      <c r="AC458" s="436"/>
      <c r="AD458" s="428" t="s">
        <v>1142</v>
      </c>
      <c r="AE458" s="429">
        <v>0</v>
      </c>
      <c r="AF458" s="429">
        <v>0</v>
      </c>
      <c r="AG458" s="364"/>
      <c r="AH458" s="364"/>
      <c r="AI458" s="364"/>
      <c r="AJ458" s="364"/>
      <c r="AK458" s="364"/>
      <c r="AL458" s="364"/>
      <c r="AM458" s="360">
        <f t="shared" si="27"/>
        <v>0</v>
      </c>
      <c r="AN458" s="362">
        <f>ERP_2[[#This Row],[2026 Working Total]]-ERP_2[[#This Row],[LE2 Final Submission]]</f>
        <v>0</v>
      </c>
      <c r="AO458" s="79">
        <v>13303.91</v>
      </c>
      <c r="AP458" s="79">
        <f t="shared" si="28"/>
        <v>-13303.91</v>
      </c>
      <c r="AQ458" s="374">
        <f>SUM(ERP_2[[#This Row],[AP01]:[AP06]])-SUM(ERP_2[[#This Row],[AP01 LE2]:[AP06 LE2]])</f>
        <v>0</v>
      </c>
      <c r="AR458" s="80"/>
      <c r="AS458" s="79">
        <f>ERP_2[[#This Row],[2026 Working Total to Budget/LE]]-ERP_2[[#This Row],[Giveback]]</f>
        <v>0</v>
      </c>
      <c r="AT458" s="81"/>
      <c r="AU458" s="375"/>
      <c r="AV458" s="375"/>
      <c r="AW458" s="375"/>
      <c r="AX458" s="375">
        <v>-13303.91</v>
      </c>
      <c r="AY458" s="375">
        <v>13303.91</v>
      </c>
      <c r="AZ458" s="375"/>
      <c r="BA458" s="375"/>
      <c r="BB458" s="375"/>
      <c r="BC458" s="375"/>
      <c r="BD458" s="375"/>
      <c r="BE458" s="375"/>
      <c r="BF458" s="375"/>
      <c r="BG458" s="375">
        <v>0</v>
      </c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</row>
    <row r="459" spans="1:72" ht="15" hidden="1" customHeight="1">
      <c r="A459" s="66" t="s">
        <v>1738</v>
      </c>
      <c r="B459" s="66"/>
      <c r="C459" s="66" t="s">
        <v>381</v>
      </c>
      <c r="D459" s="66" t="s">
        <v>1739</v>
      </c>
      <c r="E459" s="150" t="s">
        <v>1136</v>
      </c>
      <c r="F459" s="482" t="s">
        <v>1566</v>
      </c>
      <c r="G459" s="482" t="s">
        <v>1566</v>
      </c>
      <c r="H459" s="482" t="s">
        <v>1566</v>
      </c>
      <c r="I459" s="150" t="s">
        <v>1345</v>
      </c>
      <c r="J459" s="150" t="s">
        <v>1346</v>
      </c>
      <c r="K459" s="150" t="s">
        <v>1346</v>
      </c>
      <c r="L459" s="511" t="s">
        <v>342</v>
      </c>
      <c r="M459" s="392" t="s">
        <v>1703</v>
      </c>
      <c r="N459" s="343"/>
      <c r="O459" s="343"/>
      <c r="P459" s="70" t="s">
        <v>365</v>
      </c>
      <c r="Q459" s="346"/>
      <c r="R459" s="346" t="s">
        <v>1140</v>
      </c>
      <c r="S459" s="346"/>
      <c r="T459" s="150" t="s">
        <v>57</v>
      </c>
      <c r="U459" s="150"/>
      <c r="V459" s="403"/>
      <c r="W459" s="406">
        <v>0</v>
      </c>
      <c r="X459" s="406">
        <v>4063.1000000000004</v>
      </c>
      <c r="Y459" s="425"/>
      <c r="Z459" s="71"/>
      <c r="AA459" s="426">
        <v>322.64</v>
      </c>
      <c r="AB459" s="427">
        <v>376.04</v>
      </c>
      <c r="AC459" s="427">
        <v>3364.42</v>
      </c>
      <c r="AD459" s="428">
        <v>389.04999999999995</v>
      </c>
      <c r="AE459" s="429">
        <v>3602.75</v>
      </c>
      <c r="AF459" s="429">
        <v>278.59000000000003</v>
      </c>
      <c r="AG459" s="360">
        <v>0</v>
      </c>
      <c r="AH459" s="360">
        <v>0</v>
      </c>
      <c r="AI459" s="360">
        <v>0</v>
      </c>
      <c r="AJ459" s="360">
        <v>0</v>
      </c>
      <c r="AK459" s="360">
        <v>0</v>
      </c>
      <c r="AL459" s="360">
        <v>0</v>
      </c>
      <c r="AM459" s="360">
        <f t="shared" si="27"/>
        <v>8333.49</v>
      </c>
      <c r="AN459" s="362">
        <f>ERP_2[[#This Row],[2026 Working Total]]-ERP_2[[#This Row],[LE2 Final Submission]]</f>
        <v>4270.3899999999994</v>
      </c>
      <c r="AO459" s="79">
        <v>0</v>
      </c>
      <c r="AP459" s="79">
        <f t="shared" si="28"/>
        <v>278.59000000000003</v>
      </c>
      <c r="AQ459" s="374">
        <f>SUM(ERP_2[[#This Row],[AP01]:[AP06]])-SUM(ERP_2[[#This Row],[AP01 LE2]:[AP06 LE2]])</f>
        <v>4270.3899999999994</v>
      </c>
      <c r="AR459" s="80"/>
      <c r="AS459" s="79">
        <f>ERP_2[[#This Row],[2026 Working Total to Budget/LE]]-ERP_2[[#This Row],[Giveback]]</f>
        <v>4270.3899999999994</v>
      </c>
      <c r="AT459" s="81"/>
      <c r="AU459" s="375">
        <v>322.64</v>
      </c>
      <c r="AV459" s="375">
        <v>376.04</v>
      </c>
      <c r="AW459" s="375">
        <v>3364.42</v>
      </c>
      <c r="AX459" s="375">
        <v>0</v>
      </c>
      <c r="AY459" s="375">
        <v>0</v>
      </c>
      <c r="AZ459" s="375">
        <v>0</v>
      </c>
      <c r="BA459" s="375">
        <v>0</v>
      </c>
      <c r="BB459" s="375">
        <v>0</v>
      </c>
      <c r="BC459" s="375">
        <v>0</v>
      </c>
      <c r="BD459" s="375">
        <v>0</v>
      </c>
      <c r="BE459" s="375">
        <v>0</v>
      </c>
      <c r="BF459" s="375">
        <v>0</v>
      </c>
      <c r="BG459" s="375">
        <v>4063.1000000000004</v>
      </c>
      <c r="BH459" s="79">
        <v>322.64</v>
      </c>
      <c r="BI459" s="79">
        <v>376.04</v>
      </c>
      <c r="BJ459" s="79">
        <v>3364.42</v>
      </c>
      <c r="BK459" s="79">
        <v>0</v>
      </c>
      <c r="BL459" s="79">
        <v>0</v>
      </c>
      <c r="BM459" s="79">
        <v>0</v>
      </c>
      <c r="BN459" s="79">
        <v>0</v>
      </c>
      <c r="BO459" s="79">
        <v>0</v>
      </c>
      <c r="BP459" s="79">
        <v>0</v>
      </c>
      <c r="BQ459" s="79">
        <v>0</v>
      </c>
      <c r="BR459" s="79">
        <v>0</v>
      </c>
      <c r="BS459" s="79">
        <v>0</v>
      </c>
      <c r="BT459" s="79">
        <v>4063.1000000000004</v>
      </c>
    </row>
    <row r="460" spans="1:72" ht="15" hidden="1" customHeight="1">
      <c r="A460" s="66" t="s">
        <v>1740</v>
      </c>
      <c r="B460" s="66"/>
      <c r="C460" s="66" t="s">
        <v>382</v>
      </c>
      <c r="D460" s="66" t="s">
        <v>1741</v>
      </c>
      <c r="E460" s="150" t="s">
        <v>1136</v>
      </c>
      <c r="F460" s="482" t="s">
        <v>1566</v>
      </c>
      <c r="G460" s="482" t="s">
        <v>1566</v>
      </c>
      <c r="H460" s="482" t="s">
        <v>1566</v>
      </c>
      <c r="I460" s="150" t="s">
        <v>1345</v>
      </c>
      <c r="J460" s="150" t="s">
        <v>1346</v>
      </c>
      <c r="K460" s="150" t="s">
        <v>1346</v>
      </c>
      <c r="L460" s="511" t="s">
        <v>342</v>
      </c>
      <c r="M460" s="392" t="s">
        <v>1742</v>
      </c>
      <c r="N460" s="343"/>
      <c r="O460" s="343"/>
      <c r="P460" s="70" t="s">
        <v>383</v>
      </c>
      <c r="Q460" s="346"/>
      <c r="R460" s="343"/>
      <c r="S460" s="346"/>
      <c r="T460" s="150" t="s">
        <v>25</v>
      </c>
      <c r="U460" s="150"/>
      <c r="V460" s="403"/>
      <c r="W460" s="406">
        <v>1659</v>
      </c>
      <c r="X460" s="406">
        <v>1209</v>
      </c>
      <c r="Y460" s="425"/>
      <c r="Z460" s="71"/>
      <c r="AA460" s="426"/>
      <c r="AB460" s="427"/>
      <c r="AC460" s="427"/>
      <c r="AD460" s="428" t="s">
        <v>1142</v>
      </c>
      <c r="AE460" s="429">
        <v>0</v>
      </c>
      <c r="AF460" s="429">
        <v>0</v>
      </c>
      <c r="AG460" s="363">
        <v>150</v>
      </c>
      <c r="AH460" s="363">
        <v>150</v>
      </c>
      <c r="AI460" s="363">
        <v>150</v>
      </c>
      <c r="AJ460" s="363">
        <v>150</v>
      </c>
      <c r="AK460" s="360">
        <v>0</v>
      </c>
      <c r="AL460" s="363">
        <v>150</v>
      </c>
      <c r="AM460" s="360">
        <f t="shared" si="27"/>
        <v>750</v>
      </c>
      <c r="AN460" s="362">
        <f>ERP_2[[#This Row],[2026 Working Total]]-ERP_2[[#This Row],[LE2 Final Submission]]</f>
        <v>-459</v>
      </c>
      <c r="AO460" s="79">
        <v>159</v>
      </c>
      <c r="AP460" s="79">
        <f t="shared" si="28"/>
        <v>-159</v>
      </c>
      <c r="AQ460" s="374">
        <f>SUM(ERP_2[[#This Row],[AP01]:[AP06]])-SUM(ERP_2[[#This Row],[AP01 LE2]:[AP06 LE2]])</f>
        <v>-459</v>
      </c>
      <c r="AR460" s="80"/>
      <c r="AS460" s="79">
        <f>ERP_2[[#This Row],[2026 Working Total to Budget/LE]]-ERP_2[[#This Row],[Giveback]]</f>
        <v>-459</v>
      </c>
      <c r="AT460" s="81"/>
      <c r="AU460" s="375"/>
      <c r="AV460" s="375"/>
      <c r="AW460" s="375"/>
      <c r="AX460" s="375">
        <v>150</v>
      </c>
      <c r="AY460" s="375">
        <v>159</v>
      </c>
      <c r="AZ460" s="375">
        <v>150</v>
      </c>
      <c r="BA460" s="375">
        <v>150</v>
      </c>
      <c r="BB460" s="375">
        <v>150</v>
      </c>
      <c r="BC460" s="375">
        <v>150</v>
      </c>
      <c r="BD460" s="375">
        <v>150</v>
      </c>
      <c r="BE460" s="375">
        <v>0</v>
      </c>
      <c r="BF460" s="375">
        <v>150</v>
      </c>
      <c r="BG460" s="375">
        <v>1209</v>
      </c>
      <c r="BH460" s="79"/>
      <c r="BI460" s="79"/>
      <c r="BJ460" s="79"/>
      <c r="BK460" s="79">
        <v>150</v>
      </c>
      <c r="BL460" s="79">
        <v>159</v>
      </c>
      <c r="BM460" s="79">
        <v>150</v>
      </c>
      <c r="BN460" s="79">
        <v>150</v>
      </c>
      <c r="BO460" s="79">
        <v>150</v>
      </c>
      <c r="BP460" s="79">
        <v>150</v>
      </c>
      <c r="BQ460" s="79">
        <v>150</v>
      </c>
      <c r="BR460" s="79">
        <v>0</v>
      </c>
      <c r="BS460" s="79">
        <v>150</v>
      </c>
      <c r="BT460" s="79">
        <v>1209</v>
      </c>
    </row>
    <row r="461" spans="1:72" ht="15" hidden="1" customHeight="1">
      <c r="A461" s="66" t="s">
        <v>2074</v>
      </c>
      <c r="B461" s="66"/>
      <c r="C461" s="66" t="s">
        <v>2939</v>
      </c>
      <c r="D461" s="66" t="s">
        <v>2075</v>
      </c>
      <c r="E461" s="150" t="s">
        <v>1136</v>
      </c>
      <c r="F461" s="482" t="s">
        <v>1566</v>
      </c>
      <c r="G461" s="150" t="s">
        <v>1566</v>
      </c>
      <c r="H461" s="150" t="s">
        <v>1566</v>
      </c>
      <c r="I461" s="150" t="s">
        <v>1567</v>
      </c>
      <c r="J461" s="150" t="s">
        <v>1567</v>
      </c>
      <c r="K461" s="150" t="s">
        <v>1567</v>
      </c>
      <c r="L461" s="511" t="s">
        <v>389</v>
      </c>
      <c r="M461" s="392" t="s">
        <v>1775</v>
      </c>
      <c r="N461" s="343"/>
      <c r="O461" s="343"/>
      <c r="P461" s="70" t="s">
        <v>404</v>
      </c>
      <c r="Q461" s="346"/>
      <c r="R461" s="346" t="s">
        <v>1140</v>
      </c>
      <c r="S461" s="346"/>
      <c r="T461" s="150" t="s">
        <v>405</v>
      </c>
      <c r="U461" s="150"/>
      <c r="V461" s="404"/>
      <c r="W461" s="407">
        <v>0</v>
      </c>
      <c r="X461" s="407">
        <v>0</v>
      </c>
      <c r="Y461" s="425"/>
      <c r="Z461" s="71"/>
      <c r="AA461" s="426"/>
      <c r="AB461" s="431">
        <v>0</v>
      </c>
      <c r="AC461" s="431">
        <v>0</v>
      </c>
      <c r="AD461" s="428">
        <v>-5.07</v>
      </c>
      <c r="AE461" s="429">
        <v>0</v>
      </c>
      <c r="AF461" s="429">
        <v>0</v>
      </c>
      <c r="AG461" s="360">
        <v>0</v>
      </c>
      <c r="AH461" s="360">
        <v>0</v>
      </c>
      <c r="AI461" s="360">
        <v>0</v>
      </c>
      <c r="AJ461" s="360">
        <v>0</v>
      </c>
      <c r="AK461" s="360">
        <v>0</v>
      </c>
      <c r="AL461" s="360">
        <v>0</v>
      </c>
      <c r="AM461" s="360">
        <f t="shared" si="27"/>
        <v>-5.07</v>
      </c>
      <c r="AN461" s="362">
        <f>ERP_2[[#This Row],[2026 Working Total]]-ERP_2[[#This Row],[LE2 Final Submission]]</f>
        <v>-5.07</v>
      </c>
      <c r="AO461" s="79">
        <v>0</v>
      </c>
      <c r="AP461" s="79">
        <f t="shared" si="28"/>
        <v>0</v>
      </c>
      <c r="AQ461" s="374">
        <f>SUM(ERP_2[[#This Row],[AP01]:[AP06]])-SUM(ERP_2[[#This Row],[AP01 LE2]:[AP06 LE2]])</f>
        <v>-5.07</v>
      </c>
      <c r="AR461" s="80"/>
      <c r="AS461" s="79">
        <f>ERP_2[[#This Row],[2026 Working Total to Budget/LE]]-ERP_2[[#This Row],[Giveback]]</f>
        <v>-5.07</v>
      </c>
      <c r="AT461" s="81"/>
      <c r="AU461" s="375"/>
      <c r="AV461" s="375">
        <v>0</v>
      </c>
      <c r="AW461" s="375">
        <v>0</v>
      </c>
      <c r="AX461" s="375">
        <v>0</v>
      </c>
      <c r="AY461" s="375">
        <v>0</v>
      </c>
      <c r="AZ461" s="375">
        <v>0</v>
      </c>
      <c r="BA461" s="375">
        <v>0</v>
      </c>
      <c r="BB461" s="375">
        <v>0</v>
      </c>
      <c r="BC461" s="375">
        <v>0</v>
      </c>
      <c r="BD461" s="375">
        <v>0</v>
      </c>
      <c r="BE461" s="375">
        <v>0</v>
      </c>
      <c r="BF461" s="375">
        <v>0</v>
      </c>
      <c r="BG461" s="375">
        <v>0</v>
      </c>
      <c r="BH461" s="79"/>
      <c r="BI461" s="79">
        <v>0</v>
      </c>
      <c r="BJ461" s="79">
        <v>0</v>
      </c>
      <c r="BK461" s="79">
        <v>0</v>
      </c>
      <c r="BL461" s="79">
        <v>0</v>
      </c>
      <c r="BM461" s="79">
        <v>0</v>
      </c>
      <c r="BN461" s="79">
        <v>0</v>
      </c>
      <c r="BO461" s="79">
        <v>0</v>
      </c>
      <c r="BP461" s="79">
        <v>0</v>
      </c>
      <c r="BQ461" s="79">
        <v>0</v>
      </c>
      <c r="BR461" s="79">
        <v>0</v>
      </c>
      <c r="BS461" s="79">
        <v>0</v>
      </c>
      <c r="BT461" s="79">
        <v>0</v>
      </c>
    </row>
    <row r="462" spans="1:72" ht="15" hidden="1" customHeight="1">
      <c r="A462" s="66" t="s">
        <v>2077</v>
      </c>
      <c r="B462" s="66"/>
      <c r="C462" s="66" t="s">
        <v>562</v>
      </c>
      <c r="D462" s="66" t="s">
        <v>2078</v>
      </c>
      <c r="E462" s="150" t="s">
        <v>1136</v>
      </c>
      <c r="F462" s="482" t="s">
        <v>1566</v>
      </c>
      <c r="G462" s="482" t="s">
        <v>1566</v>
      </c>
      <c r="H462" s="482" t="s">
        <v>1566</v>
      </c>
      <c r="I462" s="150" t="s">
        <v>1345</v>
      </c>
      <c r="J462" s="150" t="s">
        <v>1346</v>
      </c>
      <c r="K462" s="150" t="s">
        <v>1346</v>
      </c>
      <c r="L462" s="511" t="s">
        <v>389</v>
      </c>
      <c r="M462" s="392" t="s">
        <v>1685</v>
      </c>
      <c r="N462" s="343"/>
      <c r="O462" s="343"/>
      <c r="P462" s="70" t="s">
        <v>350</v>
      </c>
      <c r="Q462" s="346" t="s">
        <v>1139</v>
      </c>
      <c r="R462" s="346" t="s">
        <v>1140</v>
      </c>
      <c r="S462" s="346"/>
      <c r="T462" s="150" t="s">
        <v>25</v>
      </c>
      <c r="U462" s="150"/>
      <c r="V462" s="403"/>
      <c r="W462" s="406">
        <v>0</v>
      </c>
      <c r="X462" s="406">
        <v>108.52</v>
      </c>
      <c r="Y462" s="430"/>
      <c r="Z462" s="137"/>
      <c r="AA462" s="426">
        <v>108.52</v>
      </c>
      <c r="AB462" s="431">
        <v>0</v>
      </c>
      <c r="AC462" s="431">
        <v>0</v>
      </c>
      <c r="AD462" s="428" t="s">
        <v>1142</v>
      </c>
      <c r="AE462" s="429">
        <v>0</v>
      </c>
      <c r="AF462" s="429">
        <v>0</v>
      </c>
      <c r="AG462" s="360">
        <v>0</v>
      </c>
      <c r="AH462" s="360">
        <v>0</v>
      </c>
      <c r="AI462" s="360">
        <v>0</v>
      </c>
      <c r="AJ462" s="360">
        <v>0</v>
      </c>
      <c r="AK462" s="360">
        <v>0</v>
      </c>
      <c r="AL462" s="360">
        <v>0</v>
      </c>
      <c r="AM462" s="360">
        <f t="shared" si="27"/>
        <v>108.52</v>
      </c>
      <c r="AN462" s="362">
        <f>ERP_2[[#This Row],[2026 Working Total]]-ERP_2[[#This Row],[LE2 Final Submission]]</f>
        <v>0</v>
      </c>
      <c r="AO462" s="79"/>
      <c r="AP462" s="79">
        <f t="shared" si="28"/>
        <v>0</v>
      </c>
      <c r="AQ462" s="374">
        <f>SUM(ERP_2[[#This Row],[AP01]:[AP06]])-SUM(ERP_2[[#This Row],[AP01 LE2]:[AP06 LE2]])</f>
        <v>0</v>
      </c>
      <c r="AR462" s="80"/>
      <c r="AS462" s="79">
        <f>ERP_2[[#This Row],[2026 Working Total to Budget/LE]]-ERP_2[[#This Row],[Giveback]]</f>
        <v>0</v>
      </c>
      <c r="AT462" s="81"/>
      <c r="AU462" s="375">
        <v>108.52</v>
      </c>
      <c r="AV462" s="375">
        <v>0</v>
      </c>
      <c r="AW462" s="375">
        <v>0</v>
      </c>
      <c r="AX462" s="375">
        <v>0</v>
      </c>
      <c r="AY462" s="375">
        <v>0</v>
      </c>
      <c r="AZ462" s="375">
        <v>0</v>
      </c>
      <c r="BA462" s="375">
        <v>0</v>
      </c>
      <c r="BB462" s="375">
        <v>0</v>
      </c>
      <c r="BC462" s="375">
        <v>0</v>
      </c>
      <c r="BD462" s="375">
        <v>0</v>
      </c>
      <c r="BE462" s="375">
        <v>0</v>
      </c>
      <c r="BF462" s="375">
        <v>0</v>
      </c>
      <c r="BG462" s="375">
        <v>108.52</v>
      </c>
      <c r="BH462" s="79">
        <v>108.52</v>
      </c>
      <c r="BI462" s="79">
        <v>0</v>
      </c>
      <c r="BJ462" s="79">
        <v>0</v>
      </c>
      <c r="BK462" s="79">
        <v>0</v>
      </c>
      <c r="BL462" s="79">
        <v>0</v>
      </c>
      <c r="BM462" s="79">
        <v>0</v>
      </c>
      <c r="BN462" s="79">
        <v>0</v>
      </c>
      <c r="BO462" s="79">
        <v>0</v>
      </c>
      <c r="BP462" s="79">
        <v>0</v>
      </c>
      <c r="BQ462" s="79">
        <v>0</v>
      </c>
      <c r="BR462" s="79">
        <v>0</v>
      </c>
      <c r="BS462" s="79">
        <v>0</v>
      </c>
      <c r="BT462" s="79">
        <v>108.52</v>
      </c>
    </row>
    <row r="463" spans="1:72" ht="15" hidden="1" customHeight="1">
      <c r="A463" s="66" t="s">
        <v>2079</v>
      </c>
      <c r="B463" s="66"/>
      <c r="C463" s="66" t="s">
        <v>2927</v>
      </c>
      <c r="D463" s="66" t="s">
        <v>2080</v>
      </c>
      <c r="E463" s="150" t="s">
        <v>1136</v>
      </c>
      <c r="F463" s="482" t="s">
        <v>1566</v>
      </c>
      <c r="G463" s="150" t="s">
        <v>1566</v>
      </c>
      <c r="H463" s="150" t="s">
        <v>1566</v>
      </c>
      <c r="I463" s="150" t="s">
        <v>1567</v>
      </c>
      <c r="J463" s="150" t="s">
        <v>1567</v>
      </c>
      <c r="K463" s="150" t="s">
        <v>1567</v>
      </c>
      <c r="L463" s="511" t="s">
        <v>389</v>
      </c>
      <c r="M463" s="392" t="s">
        <v>352</v>
      </c>
      <c r="N463" s="343"/>
      <c r="O463" s="343"/>
      <c r="P463" s="70" t="s">
        <v>352</v>
      </c>
      <c r="Q463" s="346" t="s">
        <v>1139</v>
      </c>
      <c r="R463" s="346" t="s">
        <v>1140</v>
      </c>
      <c r="S463" s="346"/>
      <c r="T463" s="150" t="s">
        <v>25</v>
      </c>
      <c r="U463" s="150"/>
      <c r="V463" s="404"/>
      <c r="W463" s="407">
        <v>0</v>
      </c>
      <c r="X463" s="407">
        <v>0</v>
      </c>
      <c r="Y463" s="425"/>
      <c r="Z463" s="71"/>
      <c r="AA463" s="426"/>
      <c r="AB463" s="427"/>
      <c r="AC463" s="431">
        <v>0</v>
      </c>
      <c r="AD463" s="428">
        <v>0</v>
      </c>
      <c r="AE463" s="429">
        <v>0</v>
      </c>
      <c r="AF463" s="429">
        <v>0</v>
      </c>
      <c r="AG463" s="360">
        <v>0</v>
      </c>
      <c r="AH463" s="360">
        <v>0</v>
      </c>
      <c r="AI463" s="360">
        <v>0</v>
      </c>
      <c r="AJ463" s="360">
        <v>0</v>
      </c>
      <c r="AK463" s="360">
        <v>0</v>
      </c>
      <c r="AL463" s="360">
        <v>0</v>
      </c>
      <c r="AM463" s="360">
        <f t="shared" si="27"/>
        <v>0</v>
      </c>
      <c r="AN463" s="362">
        <f>ERP_2[[#This Row],[2026 Working Total]]-ERP_2[[#This Row],[LE2 Final Submission]]</f>
        <v>0</v>
      </c>
      <c r="AO463" s="79">
        <v>0</v>
      </c>
      <c r="AP463" s="79">
        <f t="shared" si="28"/>
        <v>0</v>
      </c>
      <c r="AQ463" s="374">
        <f>SUM(ERP_2[[#This Row],[AP01]:[AP06]])-SUM(ERP_2[[#This Row],[AP01 LE2]:[AP06 LE2]])</f>
        <v>0</v>
      </c>
      <c r="AR463" s="80"/>
      <c r="AS463" s="79">
        <f>ERP_2[[#This Row],[2026 Working Total to Budget/LE]]-ERP_2[[#This Row],[Giveback]]</f>
        <v>0</v>
      </c>
      <c r="AT463" s="81"/>
      <c r="AU463" s="375"/>
      <c r="AV463" s="375"/>
      <c r="AW463" s="375">
        <v>0</v>
      </c>
      <c r="AX463" s="375">
        <v>0</v>
      </c>
      <c r="AY463" s="375">
        <v>0</v>
      </c>
      <c r="AZ463" s="375">
        <v>0</v>
      </c>
      <c r="BA463" s="375">
        <v>0</v>
      </c>
      <c r="BB463" s="375">
        <v>0</v>
      </c>
      <c r="BC463" s="375">
        <v>0</v>
      </c>
      <c r="BD463" s="375">
        <v>0</v>
      </c>
      <c r="BE463" s="375">
        <v>0</v>
      </c>
      <c r="BF463" s="375">
        <v>0</v>
      </c>
      <c r="BG463" s="375">
        <v>0</v>
      </c>
      <c r="BH463" s="79"/>
      <c r="BI463" s="79"/>
      <c r="BJ463" s="79">
        <v>0</v>
      </c>
      <c r="BK463" s="79">
        <v>0</v>
      </c>
      <c r="BL463" s="79">
        <v>0</v>
      </c>
      <c r="BM463" s="79">
        <v>0</v>
      </c>
      <c r="BN463" s="79">
        <v>0</v>
      </c>
      <c r="BO463" s="79">
        <v>0</v>
      </c>
      <c r="BP463" s="79">
        <v>0</v>
      </c>
      <c r="BQ463" s="79">
        <v>0</v>
      </c>
      <c r="BR463" s="79">
        <v>0</v>
      </c>
      <c r="BS463" s="79">
        <v>0</v>
      </c>
      <c r="BT463" s="79">
        <v>0</v>
      </c>
    </row>
    <row r="464" spans="1:72" ht="15" hidden="1" customHeight="1">
      <c r="A464" s="66" t="s">
        <v>2081</v>
      </c>
      <c r="B464" s="66"/>
      <c r="C464" s="66" t="s">
        <v>2932</v>
      </c>
      <c r="D464" s="66" t="s">
        <v>2082</v>
      </c>
      <c r="E464" s="150" t="s">
        <v>1136</v>
      </c>
      <c r="F464" s="482" t="s">
        <v>1566</v>
      </c>
      <c r="G464" s="150" t="s">
        <v>1566</v>
      </c>
      <c r="H464" s="150" t="s">
        <v>1566</v>
      </c>
      <c r="I464" s="150" t="s">
        <v>1567</v>
      </c>
      <c r="J464" s="150" t="s">
        <v>1567</v>
      </c>
      <c r="K464" s="150" t="s">
        <v>1567</v>
      </c>
      <c r="L464" s="511" t="s">
        <v>389</v>
      </c>
      <c r="M464" s="392" t="s">
        <v>414</v>
      </c>
      <c r="N464" s="343"/>
      <c r="O464" s="343"/>
      <c r="P464" s="70" t="s">
        <v>414</v>
      </c>
      <c r="Q464" s="346" t="s">
        <v>1139</v>
      </c>
      <c r="R464" s="346" t="s">
        <v>1140</v>
      </c>
      <c r="S464" s="346"/>
      <c r="T464" s="150" t="s">
        <v>25</v>
      </c>
      <c r="U464" s="150"/>
      <c r="V464" s="404"/>
      <c r="W464" s="407">
        <v>0</v>
      </c>
      <c r="X464" s="407">
        <v>0</v>
      </c>
      <c r="Y464" s="425"/>
      <c r="Z464" s="71"/>
      <c r="AA464" s="426"/>
      <c r="AB464" s="431">
        <v>0</v>
      </c>
      <c r="AC464" s="431">
        <v>0</v>
      </c>
      <c r="AD464" s="428">
        <v>-5040.41</v>
      </c>
      <c r="AE464" s="429">
        <v>0</v>
      </c>
      <c r="AF464" s="429">
        <v>0</v>
      </c>
      <c r="AG464" s="360">
        <v>0</v>
      </c>
      <c r="AH464" s="360">
        <v>0</v>
      </c>
      <c r="AI464" s="360">
        <v>0</v>
      </c>
      <c r="AJ464" s="360">
        <v>0</v>
      </c>
      <c r="AK464" s="360">
        <v>0</v>
      </c>
      <c r="AL464" s="360">
        <v>0</v>
      </c>
      <c r="AM464" s="360">
        <f t="shared" si="27"/>
        <v>-5040.41</v>
      </c>
      <c r="AN464" s="362">
        <f>ERP_2[[#This Row],[2026 Working Total]]-ERP_2[[#This Row],[LE2 Final Submission]]</f>
        <v>-5040.41</v>
      </c>
      <c r="AO464" s="79">
        <v>0</v>
      </c>
      <c r="AP464" s="79">
        <f t="shared" si="28"/>
        <v>0</v>
      </c>
      <c r="AQ464" s="374">
        <f>SUM(ERP_2[[#This Row],[AP01]:[AP06]])-SUM(ERP_2[[#This Row],[AP01 LE2]:[AP06 LE2]])</f>
        <v>-5040.41</v>
      </c>
      <c r="AR464" s="80"/>
      <c r="AS464" s="79">
        <f>ERP_2[[#This Row],[2026 Working Total to Budget/LE]]-ERP_2[[#This Row],[Giveback]]</f>
        <v>-5040.41</v>
      </c>
      <c r="AT464" s="81"/>
      <c r="AU464" s="375"/>
      <c r="AV464" s="375">
        <v>0</v>
      </c>
      <c r="AW464" s="375">
        <v>0</v>
      </c>
      <c r="AX464" s="375">
        <v>0</v>
      </c>
      <c r="AY464" s="375">
        <v>0</v>
      </c>
      <c r="AZ464" s="375">
        <v>0</v>
      </c>
      <c r="BA464" s="375">
        <v>0</v>
      </c>
      <c r="BB464" s="375">
        <v>0</v>
      </c>
      <c r="BC464" s="375">
        <v>0</v>
      </c>
      <c r="BD464" s="375">
        <v>0</v>
      </c>
      <c r="BE464" s="375">
        <v>0</v>
      </c>
      <c r="BF464" s="375">
        <v>0</v>
      </c>
      <c r="BG464" s="375">
        <v>0</v>
      </c>
      <c r="BH464" s="79"/>
      <c r="BI464" s="79">
        <v>0</v>
      </c>
      <c r="BJ464" s="79">
        <v>0</v>
      </c>
      <c r="BK464" s="79">
        <v>0</v>
      </c>
      <c r="BL464" s="79">
        <v>0</v>
      </c>
      <c r="BM464" s="79">
        <v>0</v>
      </c>
      <c r="BN464" s="79">
        <v>0</v>
      </c>
      <c r="BO464" s="79">
        <v>0</v>
      </c>
      <c r="BP464" s="79">
        <v>0</v>
      </c>
      <c r="BQ464" s="79">
        <v>0</v>
      </c>
      <c r="BR464" s="79">
        <v>0</v>
      </c>
      <c r="BS464" s="79">
        <v>0</v>
      </c>
      <c r="BT464" s="79">
        <v>0</v>
      </c>
    </row>
    <row r="465" spans="1:72" ht="15" hidden="1" customHeight="1">
      <c r="A465" s="79" t="s">
        <v>2083</v>
      </c>
      <c r="B465" s="79"/>
      <c r="C465" s="79" t="s">
        <v>565</v>
      </c>
      <c r="D465" s="296" t="s">
        <v>2084</v>
      </c>
      <c r="E465" s="150" t="s">
        <v>1136</v>
      </c>
      <c r="F465" s="482" t="s">
        <v>1566</v>
      </c>
      <c r="G465" s="150" t="s">
        <v>1566</v>
      </c>
      <c r="H465" s="150" t="s">
        <v>1566</v>
      </c>
      <c r="I465" t="s">
        <v>1567</v>
      </c>
      <c r="J465" t="s">
        <v>1567</v>
      </c>
      <c r="K465" s="150" t="s">
        <v>1567</v>
      </c>
      <c r="L465" s="514" t="s">
        <v>389</v>
      </c>
      <c r="M465" s="394" t="s">
        <v>1699</v>
      </c>
      <c r="N465" s="343"/>
      <c r="O465" s="333"/>
      <c r="P465" s="70" t="s">
        <v>362</v>
      </c>
      <c r="Q465" s="347"/>
      <c r="R465" s="343"/>
      <c r="S465" s="348"/>
      <c r="T465" s="348"/>
      <c r="U465" s="348" t="s">
        <v>1700</v>
      </c>
      <c r="V465" s="402"/>
      <c r="W465" s="358"/>
      <c r="X465" s="379">
        <v>0</v>
      </c>
      <c r="Y465" s="425"/>
      <c r="Z465" s="71"/>
      <c r="AA465" s="435"/>
      <c r="AB465" s="436"/>
      <c r="AC465" s="436"/>
      <c r="AD465" s="428" t="s">
        <v>1142</v>
      </c>
      <c r="AE465" s="429">
        <v>0</v>
      </c>
      <c r="AF465" s="429">
        <v>0</v>
      </c>
      <c r="AG465" s="364"/>
      <c r="AH465" s="364"/>
      <c r="AI465" s="364"/>
      <c r="AJ465" s="364"/>
      <c r="AK465" s="364"/>
      <c r="AL465" s="364"/>
      <c r="AM465" s="360">
        <f t="shared" si="27"/>
        <v>0</v>
      </c>
      <c r="AN465" s="362">
        <f>ERP_2[[#This Row],[2026 Working Total]]-ERP_2[[#This Row],[LE2 Final Submission]]</f>
        <v>0</v>
      </c>
      <c r="AO465" s="79">
        <v>5045.4799999999996</v>
      </c>
      <c r="AP465" s="79">
        <f t="shared" si="28"/>
        <v>-5045.4799999999996</v>
      </c>
      <c r="AQ465" s="374">
        <f>SUM(ERP_2[[#This Row],[AP01]:[AP06]])-SUM(ERP_2[[#This Row],[AP01 LE2]:[AP06 LE2]])</f>
        <v>0</v>
      </c>
      <c r="AR465" s="80"/>
      <c r="AS465" s="79">
        <f>ERP_2[[#This Row],[2026 Working Total to Budget/LE]]-ERP_2[[#This Row],[Giveback]]</f>
        <v>0</v>
      </c>
      <c r="AT465" s="81"/>
      <c r="AU465" s="375"/>
      <c r="AV465" s="375"/>
      <c r="AW465" s="375"/>
      <c r="AX465" s="375">
        <v>-5045.4799999999996</v>
      </c>
      <c r="AY465" s="375">
        <v>5045.4799999999996</v>
      </c>
      <c r="AZ465" s="375"/>
      <c r="BA465" s="375"/>
      <c r="BB465" s="375"/>
      <c r="BC465" s="375"/>
      <c r="BD465" s="375"/>
      <c r="BE465" s="375"/>
      <c r="BF465" s="375"/>
      <c r="BG465" s="375">
        <v>0</v>
      </c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</row>
    <row r="466" spans="1:72" ht="15" hidden="1" customHeight="1">
      <c r="A466" s="150" t="s">
        <v>2085</v>
      </c>
      <c r="B466" s="150"/>
      <c r="C466" s="536" t="s">
        <v>566</v>
      </c>
      <c r="D466" s="296" t="s">
        <v>2086</v>
      </c>
      <c r="E466" s="150" t="s">
        <v>1136</v>
      </c>
      <c r="F466" s="482" t="s">
        <v>1566</v>
      </c>
      <c r="G466" s="150" t="s">
        <v>1566</v>
      </c>
      <c r="H466" s="150" t="s">
        <v>1566</v>
      </c>
      <c r="I466" s="150" t="s">
        <v>1567</v>
      </c>
      <c r="J466" s="150" t="s">
        <v>1567</v>
      </c>
      <c r="K466" s="150" t="s">
        <v>1567</v>
      </c>
      <c r="L466" s="514" t="s">
        <v>389</v>
      </c>
      <c r="M466" s="394" t="s">
        <v>2087</v>
      </c>
      <c r="N466" s="333"/>
      <c r="O466" s="332" t="s">
        <v>1634</v>
      </c>
      <c r="P466" s="90" t="s">
        <v>271</v>
      </c>
      <c r="Q466" s="347"/>
      <c r="R466" s="347"/>
      <c r="S466" s="348"/>
      <c r="T466" s="506"/>
      <c r="U466" s="348"/>
      <c r="V466" s="402"/>
      <c r="W466" s="406"/>
      <c r="X466" s="406"/>
      <c r="Y466" s="425"/>
      <c r="Z466" s="71"/>
      <c r="AA466" s="435"/>
      <c r="AB466" s="436"/>
      <c r="AC466" s="436"/>
      <c r="AD466" s="429">
        <v>142.1</v>
      </c>
      <c r="AE466" s="429">
        <v>309.31</v>
      </c>
      <c r="AF466" s="429">
        <v>316.74</v>
      </c>
      <c r="AG466" s="364"/>
      <c r="AH466" s="364"/>
      <c r="AI466" s="364"/>
      <c r="AJ466" s="364"/>
      <c r="AK466" s="364"/>
      <c r="AL466" s="364"/>
      <c r="AM466" s="360">
        <f t="shared" si="27"/>
        <v>768.15</v>
      </c>
      <c r="AN466" s="362">
        <f>ERP_2[[#This Row],[2026 Working Total]]-ERP_2[[#This Row],[LE2 Final Submission]]</f>
        <v>768.15</v>
      </c>
      <c r="AO466" s="79"/>
      <c r="AP466" s="79">
        <f t="shared" si="28"/>
        <v>316.74</v>
      </c>
      <c r="AQ466" s="374">
        <f>SUM(ERP_2[[#This Row],[AP01]:[AP06]])-SUM(ERP_2[[#This Row],[AP01 LE2]:[AP06 LE2]])</f>
        <v>768.15</v>
      </c>
      <c r="AR466" s="80"/>
      <c r="AS466" s="79">
        <f>ERP_2[[#This Row],[2026 Working Total to Budget/LE]]-ERP_2[[#This Row],[Giveback]]</f>
        <v>768.15</v>
      </c>
      <c r="AT466" s="81"/>
      <c r="AU466" s="375"/>
      <c r="AV466" s="375"/>
      <c r="AW466" s="375"/>
      <c r="AX466" s="375"/>
      <c r="AY466" s="375"/>
      <c r="AZ466" s="375"/>
      <c r="BA466" s="375"/>
      <c r="BB466" s="375"/>
      <c r="BC466" s="375"/>
      <c r="BD466" s="375"/>
      <c r="BE466" s="375"/>
      <c r="BF466" s="375"/>
      <c r="BG466" s="375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</row>
    <row r="467" spans="1:72" ht="15" hidden="1" customHeight="1">
      <c r="A467" s="66" t="s">
        <v>2088</v>
      </c>
      <c r="B467" s="66"/>
      <c r="C467" s="66" t="s">
        <v>567</v>
      </c>
      <c r="D467" s="66" t="s">
        <v>2089</v>
      </c>
      <c r="E467" s="150" t="s">
        <v>1136</v>
      </c>
      <c r="F467" s="482" t="s">
        <v>1566</v>
      </c>
      <c r="G467" s="150" t="s">
        <v>1566</v>
      </c>
      <c r="H467" s="150" t="s">
        <v>1566</v>
      </c>
      <c r="I467" s="150" t="s">
        <v>1567</v>
      </c>
      <c r="J467" s="150" t="s">
        <v>1567</v>
      </c>
      <c r="K467" s="150" t="s">
        <v>1567</v>
      </c>
      <c r="L467" s="511" t="s">
        <v>389</v>
      </c>
      <c r="M467" s="392" t="s">
        <v>1574</v>
      </c>
      <c r="N467" s="343"/>
      <c r="O467" s="343"/>
      <c r="P467" s="70" t="s">
        <v>274</v>
      </c>
      <c r="Q467" s="346" t="s">
        <v>1139</v>
      </c>
      <c r="R467" s="343"/>
      <c r="S467" s="346"/>
      <c r="T467" s="505" t="s">
        <v>275</v>
      </c>
      <c r="U467" s="150"/>
      <c r="V467" s="403"/>
      <c r="W467" s="406">
        <v>0</v>
      </c>
      <c r="X467" s="406">
        <v>23735.440000000002</v>
      </c>
      <c r="Y467" s="425"/>
      <c r="Z467" s="71"/>
      <c r="AA467" s="426"/>
      <c r="AB467" s="427"/>
      <c r="AC467" s="427">
        <v>3561.44</v>
      </c>
      <c r="AD467" s="428">
        <v>0</v>
      </c>
      <c r="AE467" s="429">
        <v>6253.55</v>
      </c>
      <c r="AF467" s="429">
        <v>3700.6400000000003</v>
      </c>
      <c r="AG467" s="360">
        <v>1990</v>
      </c>
      <c r="AH467" s="360">
        <v>1990</v>
      </c>
      <c r="AI467" s="360">
        <v>1990</v>
      </c>
      <c r="AJ467" s="360">
        <v>1990</v>
      </c>
      <c r="AK467" s="360">
        <v>1990</v>
      </c>
      <c r="AL467" s="360">
        <v>1990</v>
      </c>
      <c r="AM467" s="360">
        <f t="shared" si="27"/>
        <v>25455.63</v>
      </c>
      <c r="AN467" s="362">
        <f>ERP_2[[#This Row],[2026 Working Total]]-ERP_2[[#This Row],[LE2 Final Submission]]</f>
        <v>1720.1899999999987</v>
      </c>
      <c r="AO467" s="79">
        <v>6244</v>
      </c>
      <c r="AP467" s="79">
        <f t="shared" si="28"/>
        <v>-2543.3599999999997</v>
      </c>
      <c r="AQ467" s="374">
        <f>SUM(ERP_2[[#This Row],[AP01]:[AP06]])-SUM(ERP_2[[#This Row],[AP01 LE2]:[AP06 LE2]])</f>
        <v>1720.1900000000005</v>
      </c>
      <c r="AR467" s="80"/>
      <c r="AS467" s="79">
        <f>ERP_2[[#This Row],[2026 Working Total to Budget/LE]]-ERP_2[[#This Row],[Giveback]]</f>
        <v>1720.1899999999987</v>
      </c>
      <c r="AT467" s="81"/>
      <c r="AU467" s="375"/>
      <c r="AV467" s="375"/>
      <c r="AW467" s="375">
        <v>3561.44</v>
      </c>
      <c r="AX467" s="375">
        <v>0</v>
      </c>
      <c r="AY467" s="375">
        <v>6244</v>
      </c>
      <c r="AZ467" s="375">
        <v>1990</v>
      </c>
      <c r="BA467" s="375">
        <v>1990</v>
      </c>
      <c r="BB467" s="375">
        <v>1990</v>
      </c>
      <c r="BC467" s="375">
        <v>1990</v>
      </c>
      <c r="BD467" s="375">
        <v>1990</v>
      </c>
      <c r="BE467" s="375">
        <v>1990</v>
      </c>
      <c r="BF467" s="375">
        <v>1990</v>
      </c>
      <c r="BG467" s="375">
        <v>23735.440000000002</v>
      </c>
      <c r="BH467" s="79"/>
      <c r="BI467" s="79"/>
      <c r="BJ467" s="79">
        <v>3561.44</v>
      </c>
      <c r="BK467" s="79">
        <v>0</v>
      </c>
      <c r="BL467" s="79">
        <v>0</v>
      </c>
      <c r="BM467" s="79">
        <v>0</v>
      </c>
      <c r="BN467" s="79">
        <v>0</v>
      </c>
      <c r="BO467" s="79">
        <v>0</v>
      </c>
      <c r="BP467" s="79">
        <v>0</v>
      </c>
      <c r="BQ467" s="79">
        <v>0</v>
      </c>
      <c r="BR467" s="79">
        <v>0</v>
      </c>
      <c r="BS467" s="79">
        <v>0</v>
      </c>
      <c r="BT467" s="79">
        <v>3561.44</v>
      </c>
    </row>
    <row r="468" spans="1:72" ht="15" hidden="1" customHeight="1">
      <c r="A468" s="150" t="s">
        <v>2090</v>
      </c>
      <c r="B468" s="150"/>
      <c r="C468" s="536" t="s">
        <v>568</v>
      </c>
      <c r="D468" s="296" t="s">
        <v>2091</v>
      </c>
      <c r="E468" s="150" t="s">
        <v>1136</v>
      </c>
      <c r="F468" s="482" t="s">
        <v>1566</v>
      </c>
      <c r="G468" s="150" t="s">
        <v>1566</v>
      </c>
      <c r="H468" s="150" t="s">
        <v>1566</v>
      </c>
      <c r="I468" s="332" t="s">
        <v>1567</v>
      </c>
      <c r="J468" s="332" t="s">
        <v>1567</v>
      </c>
      <c r="K468" s="333" t="s">
        <v>1567</v>
      </c>
      <c r="L468" s="514" t="s">
        <v>389</v>
      </c>
      <c r="M468" s="394" t="s">
        <v>2092</v>
      </c>
      <c r="N468" s="333"/>
      <c r="O468" s="332" t="s">
        <v>1634</v>
      </c>
      <c r="P468" s="90" t="s">
        <v>281</v>
      </c>
      <c r="Q468" s="347"/>
      <c r="R468" s="348" t="s">
        <v>2093</v>
      </c>
      <c r="S468" s="348"/>
      <c r="T468" s="506"/>
      <c r="U468" s="348"/>
      <c r="V468" s="402"/>
      <c r="W468" s="406"/>
      <c r="X468" s="406"/>
      <c r="Y468" s="425"/>
      <c r="Z468" s="71"/>
      <c r="AA468" s="435"/>
      <c r="AB468" s="436"/>
      <c r="AC468" s="436"/>
      <c r="AD468" s="429"/>
      <c r="AE468" s="429">
        <v>-10419.43</v>
      </c>
      <c r="AF468" s="429">
        <v>0</v>
      </c>
      <c r="AG468" s="364"/>
      <c r="AH468" s="364"/>
      <c r="AI468" s="364"/>
      <c r="AJ468" s="364"/>
      <c r="AK468" s="364"/>
      <c r="AL468" s="364"/>
      <c r="AM468" s="360">
        <f t="shared" si="27"/>
        <v>-10419.43</v>
      </c>
      <c r="AN468" s="362">
        <f>ERP_2[[#This Row],[2026 Working Total]]-ERP_2[[#This Row],[LE2 Final Submission]]</f>
        <v>-10419.43</v>
      </c>
      <c r="AO468" s="79"/>
      <c r="AP468" s="79">
        <f t="shared" si="28"/>
        <v>0</v>
      </c>
      <c r="AQ468" s="374">
        <f>SUM(ERP_2[[#This Row],[AP01]:[AP06]])-SUM(ERP_2[[#This Row],[AP01 LE2]:[AP06 LE2]])</f>
        <v>-10419.43</v>
      </c>
      <c r="AR468" s="80"/>
      <c r="AS468" s="79">
        <f>ERP_2[[#This Row],[2026 Working Total to Budget/LE]]-ERP_2[[#This Row],[Giveback]]</f>
        <v>-10419.43</v>
      </c>
      <c r="AT468" s="81"/>
      <c r="AU468" s="375"/>
      <c r="AV468" s="375"/>
      <c r="AW468" s="375"/>
      <c r="AX468" s="375"/>
      <c r="AY468" s="375"/>
      <c r="AZ468" s="375"/>
      <c r="BA468" s="375"/>
      <c r="BB468" s="375"/>
      <c r="BC468" s="375"/>
      <c r="BD468" s="375"/>
      <c r="BE468" s="375"/>
      <c r="BF468" s="375"/>
      <c r="BG468" s="375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</row>
    <row r="469" spans="1:72" ht="15" hidden="1" customHeight="1">
      <c r="A469" s="79" t="s">
        <v>2099</v>
      </c>
      <c r="B469" s="79"/>
      <c r="C469" s="79" t="s">
        <v>570</v>
      </c>
      <c r="D469" s="296" t="s">
        <v>2100</v>
      </c>
      <c r="E469" s="150" t="s">
        <v>1136</v>
      </c>
      <c r="F469" s="482" t="s">
        <v>1566</v>
      </c>
      <c r="G469" s="482" t="s">
        <v>1566</v>
      </c>
      <c r="H469" s="482" t="s">
        <v>1566</v>
      </c>
      <c r="I469" s="332" t="s">
        <v>1345</v>
      </c>
      <c r="J469" s="383" t="s">
        <v>1346</v>
      </c>
      <c r="K469" s="331" t="s">
        <v>1346</v>
      </c>
      <c r="L469" s="512" t="s">
        <v>389</v>
      </c>
      <c r="M469" s="393" t="s">
        <v>2101</v>
      </c>
      <c r="N469" s="343"/>
      <c r="O469" s="331"/>
      <c r="P469" s="91" t="s">
        <v>571</v>
      </c>
      <c r="Q469" s="343"/>
      <c r="R469" s="346" t="s">
        <v>1221</v>
      </c>
      <c r="S469" s="348"/>
      <c r="T469" s="386" t="s">
        <v>432</v>
      </c>
      <c r="U469" s="387" t="s">
        <v>2102</v>
      </c>
      <c r="V469" s="432"/>
      <c r="W469" s="358">
        <v>1236</v>
      </c>
      <c r="X469" s="378">
        <v>0</v>
      </c>
      <c r="Y469" s="425"/>
      <c r="Z469" s="71"/>
      <c r="AA469" s="433"/>
      <c r="AB469" s="434"/>
      <c r="AC469" s="434"/>
      <c r="AD469" s="428" t="s">
        <v>1142</v>
      </c>
      <c r="AE469" s="429">
        <v>0</v>
      </c>
      <c r="AF469" s="429">
        <v>0</v>
      </c>
      <c r="AG469" s="388">
        <v>0</v>
      </c>
      <c r="AH469" s="388">
        <v>0</v>
      </c>
      <c r="AI469" s="388">
        <v>0</v>
      </c>
      <c r="AJ469" s="388">
        <v>0</v>
      </c>
      <c r="AK469" s="388">
        <v>0</v>
      </c>
      <c r="AL469" s="388">
        <v>0</v>
      </c>
      <c r="AM469" s="360">
        <f t="shared" si="27"/>
        <v>0</v>
      </c>
      <c r="AN469" s="362">
        <f>ERP_2[[#This Row],[2026 Working Total]]-ERP_2[[#This Row],[LE2 Final Submission]]</f>
        <v>0</v>
      </c>
      <c r="AO469" s="79">
        <v>0</v>
      </c>
      <c r="AP469" s="79">
        <f t="shared" si="28"/>
        <v>0</v>
      </c>
      <c r="AQ469" s="374">
        <f>SUM(ERP_2[[#This Row],[AP01]:[AP06]])-SUM(ERP_2[[#This Row],[AP01 LE2]:[AP06 LE2]])</f>
        <v>0</v>
      </c>
      <c r="AR469" s="80"/>
      <c r="AS469" s="79">
        <f>ERP_2[[#This Row],[2026 Working Total to Budget/LE]]-ERP_2[[#This Row],[Giveback]]</f>
        <v>0</v>
      </c>
      <c r="AT469" s="81"/>
      <c r="AU469" s="375"/>
      <c r="AV469" s="375"/>
      <c r="AW469" s="375"/>
      <c r="AX469" s="375">
        <v>0</v>
      </c>
      <c r="AY469" s="375">
        <v>0</v>
      </c>
      <c r="AZ469" s="375">
        <v>0</v>
      </c>
      <c r="BA469" s="375">
        <v>0</v>
      </c>
      <c r="BB469" s="375">
        <v>0</v>
      </c>
      <c r="BC469" s="375">
        <v>0</v>
      </c>
      <c r="BD469" s="375">
        <v>0</v>
      </c>
      <c r="BE469" s="375">
        <v>0</v>
      </c>
      <c r="BF469" s="375">
        <v>0</v>
      </c>
      <c r="BG469" s="375">
        <v>0</v>
      </c>
      <c r="BH469" s="103">
        <v>412</v>
      </c>
      <c r="BI469" s="103">
        <v>412</v>
      </c>
      <c r="BJ469" s="103">
        <v>412</v>
      </c>
      <c r="BK469" s="103">
        <v>0</v>
      </c>
      <c r="BL469" s="103">
        <v>0</v>
      </c>
      <c r="BM469" s="103">
        <v>0</v>
      </c>
      <c r="BN469" s="103">
        <v>0</v>
      </c>
      <c r="BO469" s="103">
        <v>0</v>
      </c>
      <c r="BP469" s="103">
        <v>0</v>
      </c>
      <c r="BQ469" s="103">
        <v>0</v>
      </c>
      <c r="BR469" s="103">
        <v>0</v>
      </c>
      <c r="BS469" s="103">
        <v>0</v>
      </c>
      <c r="BT469" s="79">
        <f>SUM(ERP_2[[#This Row],[2026 AP01]:[2026 AP12]])</f>
        <v>1236</v>
      </c>
    </row>
    <row r="470" spans="1:72" ht="15" hidden="1" customHeight="1">
      <c r="A470" s="66" t="s">
        <v>2052</v>
      </c>
      <c r="B470" s="66"/>
      <c r="C470" s="66" t="s">
        <v>572</v>
      </c>
      <c r="D470" s="66" t="s">
        <v>2053</v>
      </c>
      <c r="E470" s="150" t="s">
        <v>1136</v>
      </c>
      <c r="F470" s="482" t="s">
        <v>1566</v>
      </c>
      <c r="G470" s="482" t="s">
        <v>1566</v>
      </c>
      <c r="H470" s="482" t="s">
        <v>1566</v>
      </c>
      <c r="I470" s="150" t="s">
        <v>1345</v>
      </c>
      <c r="J470" s="150" t="s">
        <v>1346</v>
      </c>
      <c r="K470" s="150" t="s">
        <v>1346</v>
      </c>
      <c r="L470" s="511" t="s">
        <v>389</v>
      </c>
      <c r="M470" s="392" t="s">
        <v>2054</v>
      </c>
      <c r="N470" s="343"/>
      <c r="O470" s="343"/>
      <c r="P470" s="70" t="s">
        <v>573</v>
      </c>
      <c r="Q470" s="346"/>
      <c r="R470" s="343"/>
      <c r="S470" s="346"/>
      <c r="T470" s="150" t="s">
        <v>432</v>
      </c>
      <c r="U470" s="150"/>
      <c r="V470" s="403"/>
      <c r="W470" s="406">
        <v>42000</v>
      </c>
      <c r="X470" s="406">
        <v>37871.96</v>
      </c>
      <c r="Y470" s="430"/>
      <c r="Z470" s="137"/>
      <c r="AA470" s="426">
        <v>1370.43</v>
      </c>
      <c r="AB470" s="427">
        <v>3605.56</v>
      </c>
      <c r="AC470" s="427">
        <v>1395.97</v>
      </c>
      <c r="AD470" s="428">
        <v>1255.79</v>
      </c>
      <c r="AE470" s="429">
        <v>2734.6699999999996</v>
      </c>
      <c r="AF470" s="429">
        <v>2056.0299999999997</v>
      </c>
      <c r="AG470" s="363">
        <v>3500</v>
      </c>
      <c r="AH470" s="363">
        <v>3500</v>
      </c>
      <c r="AI470" s="363">
        <v>3500</v>
      </c>
      <c r="AJ470" s="363">
        <v>3500</v>
      </c>
      <c r="AK470" s="363">
        <v>3500</v>
      </c>
      <c r="AL470" s="363">
        <v>3500</v>
      </c>
      <c r="AM470" s="360">
        <f t="shared" si="27"/>
        <v>33418.449999999997</v>
      </c>
      <c r="AN470" s="362">
        <f>ERP_2[[#This Row],[2026 Working Total]]-ERP_2[[#This Row],[LE2 Final Submission]]</f>
        <v>-4453.510000000002</v>
      </c>
      <c r="AO470" s="79">
        <v>3500</v>
      </c>
      <c r="AP470" s="79">
        <f t="shared" si="28"/>
        <v>-1443.9700000000003</v>
      </c>
      <c r="AQ470" s="374">
        <f>SUM(ERP_2[[#This Row],[AP01]:[AP06]])-SUM(ERP_2[[#This Row],[AP01 LE2]:[AP06 LE2]])</f>
        <v>-4453.5099999999984</v>
      </c>
      <c r="AR470" s="80"/>
      <c r="AS470" s="79">
        <f>ERP_2[[#This Row],[2026 Working Total to Budget/LE]]-ERP_2[[#This Row],[Giveback]]</f>
        <v>-4453.510000000002</v>
      </c>
      <c r="AT470" s="81"/>
      <c r="AU470" s="375">
        <v>1370.43</v>
      </c>
      <c r="AV470" s="375">
        <v>3605.56</v>
      </c>
      <c r="AW470" s="375">
        <v>1395.97</v>
      </c>
      <c r="AX470" s="375">
        <v>3500</v>
      </c>
      <c r="AY470" s="375">
        <v>3500</v>
      </c>
      <c r="AZ470" s="375">
        <v>3500</v>
      </c>
      <c r="BA470" s="375">
        <v>3500</v>
      </c>
      <c r="BB470" s="375">
        <v>3500</v>
      </c>
      <c r="BC470" s="375">
        <v>3500</v>
      </c>
      <c r="BD470" s="375">
        <v>3500</v>
      </c>
      <c r="BE470" s="375">
        <v>3500</v>
      </c>
      <c r="BF470" s="375">
        <v>3500</v>
      </c>
      <c r="BG470" s="375">
        <v>37871.96</v>
      </c>
      <c r="BH470" s="79">
        <v>1370.43</v>
      </c>
      <c r="BI470" s="79">
        <v>3605.56</v>
      </c>
      <c r="BJ470" s="79">
        <v>1395.97</v>
      </c>
      <c r="BK470" s="79">
        <v>3500</v>
      </c>
      <c r="BL470" s="79">
        <v>3500</v>
      </c>
      <c r="BM470" s="79">
        <v>3500</v>
      </c>
      <c r="BN470" s="79">
        <v>3500</v>
      </c>
      <c r="BO470" s="79">
        <v>3500</v>
      </c>
      <c r="BP470" s="79">
        <v>3500</v>
      </c>
      <c r="BQ470" s="79">
        <v>3500</v>
      </c>
      <c r="BR470" s="79">
        <v>3500</v>
      </c>
      <c r="BS470" s="79">
        <v>3500</v>
      </c>
      <c r="BT470" s="79">
        <v>37871.96</v>
      </c>
    </row>
    <row r="471" spans="1:72" ht="15" hidden="1" customHeight="1">
      <c r="A471" s="66" t="s">
        <v>1980</v>
      </c>
      <c r="B471" s="66"/>
      <c r="C471" s="66" t="s">
        <v>574</v>
      </c>
      <c r="D471" s="66" t="s">
        <v>1981</v>
      </c>
      <c r="E471" s="150" t="s">
        <v>1136</v>
      </c>
      <c r="F471" s="482" t="s">
        <v>1566</v>
      </c>
      <c r="G471" s="482" t="s">
        <v>1566</v>
      </c>
      <c r="H471" s="482" t="s">
        <v>1566</v>
      </c>
      <c r="I471" s="150" t="s">
        <v>1345</v>
      </c>
      <c r="J471" s="150" t="s">
        <v>1346</v>
      </c>
      <c r="K471" s="150" t="s">
        <v>1346</v>
      </c>
      <c r="L471" s="511" t="s">
        <v>389</v>
      </c>
      <c r="M471" s="392" t="s">
        <v>1979</v>
      </c>
      <c r="N471" s="343"/>
      <c r="O471" s="343"/>
      <c r="P471" s="70" t="s">
        <v>508</v>
      </c>
      <c r="Q471" s="346"/>
      <c r="R471" s="343"/>
      <c r="S471" s="346"/>
      <c r="T471" s="150" t="s">
        <v>432</v>
      </c>
      <c r="U471" s="150"/>
      <c r="V471" s="403"/>
      <c r="W471" s="406">
        <v>0</v>
      </c>
      <c r="X471" s="406">
        <v>3866.47</v>
      </c>
      <c r="Y471" s="425"/>
      <c r="Z471" s="71"/>
      <c r="AA471" s="426">
        <v>387.61</v>
      </c>
      <c r="AB471" s="427">
        <v>1445.99</v>
      </c>
      <c r="AC471" s="427">
        <v>2032.87</v>
      </c>
      <c r="AD471" s="428">
        <v>1085.24</v>
      </c>
      <c r="AE471" s="429">
        <v>866.11</v>
      </c>
      <c r="AF471" s="429">
        <v>938.15</v>
      </c>
      <c r="AG471" s="360">
        <v>0</v>
      </c>
      <c r="AH471" s="360">
        <v>0</v>
      </c>
      <c r="AI471" s="360">
        <v>0</v>
      </c>
      <c r="AJ471" s="360">
        <v>0</v>
      </c>
      <c r="AK471" s="360">
        <v>0</v>
      </c>
      <c r="AL471" s="360">
        <v>0</v>
      </c>
      <c r="AM471" s="360">
        <f t="shared" si="27"/>
        <v>6755.9699999999993</v>
      </c>
      <c r="AN471" s="362">
        <f>ERP_2[[#This Row],[2026 Working Total]]-ERP_2[[#This Row],[LE2 Final Submission]]</f>
        <v>2889.4999999999995</v>
      </c>
      <c r="AO471" s="79">
        <v>0</v>
      </c>
      <c r="AP471" s="79">
        <f t="shared" si="28"/>
        <v>938.15</v>
      </c>
      <c r="AQ471" s="374">
        <f>SUM(ERP_2[[#This Row],[AP01]:[AP06]])-SUM(ERP_2[[#This Row],[AP01 LE2]:[AP06 LE2]])</f>
        <v>2889.4999999999995</v>
      </c>
      <c r="AR471" s="80"/>
      <c r="AS471" s="79">
        <f>ERP_2[[#This Row],[2026 Working Total to Budget/LE]]-ERP_2[[#This Row],[Giveback]]</f>
        <v>2889.4999999999995</v>
      </c>
      <c r="AT471" s="81"/>
      <c r="AU471" s="375">
        <v>387.61</v>
      </c>
      <c r="AV471" s="375">
        <v>1445.99</v>
      </c>
      <c r="AW471" s="375">
        <v>2032.87</v>
      </c>
      <c r="AX471" s="375">
        <v>0</v>
      </c>
      <c r="AY471" s="375">
        <v>0</v>
      </c>
      <c r="AZ471" s="375">
        <v>0</v>
      </c>
      <c r="BA471" s="375">
        <v>0</v>
      </c>
      <c r="BB471" s="375">
        <v>0</v>
      </c>
      <c r="BC471" s="375">
        <v>0</v>
      </c>
      <c r="BD471" s="375">
        <v>0</v>
      </c>
      <c r="BE471" s="375">
        <v>0</v>
      </c>
      <c r="BF471" s="375">
        <v>0</v>
      </c>
      <c r="BG471" s="375">
        <v>3866.47</v>
      </c>
      <c r="BH471" s="79">
        <v>387.61</v>
      </c>
      <c r="BI471" s="79">
        <v>1445.99</v>
      </c>
      <c r="BJ471" s="79">
        <v>2032.87</v>
      </c>
      <c r="BK471" s="79">
        <v>0</v>
      </c>
      <c r="BL471" s="79">
        <v>0</v>
      </c>
      <c r="BM471" s="79">
        <v>0</v>
      </c>
      <c r="BN471" s="79">
        <v>0</v>
      </c>
      <c r="BO471" s="79">
        <v>0</v>
      </c>
      <c r="BP471" s="79">
        <v>0</v>
      </c>
      <c r="BQ471" s="79">
        <v>0</v>
      </c>
      <c r="BR471" s="79">
        <v>0</v>
      </c>
      <c r="BS471" s="79">
        <v>0</v>
      </c>
      <c r="BT471" s="79">
        <v>3866.47</v>
      </c>
    </row>
    <row r="472" spans="1:72" ht="15" hidden="1" customHeight="1">
      <c r="A472" s="66" t="s">
        <v>2105</v>
      </c>
      <c r="B472" s="66"/>
      <c r="C472" s="66" t="s">
        <v>575</v>
      </c>
      <c r="D472" s="66" t="s">
        <v>2106</v>
      </c>
      <c r="E472" s="150" t="s">
        <v>1136</v>
      </c>
      <c r="F472" s="482" t="s">
        <v>1566</v>
      </c>
      <c r="G472" s="150" t="s">
        <v>1566</v>
      </c>
      <c r="H472" s="150" t="s">
        <v>1566</v>
      </c>
      <c r="I472" s="150" t="s">
        <v>1567</v>
      </c>
      <c r="J472" s="150" t="s">
        <v>1567</v>
      </c>
      <c r="K472" s="150" t="s">
        <v>1567</v>
      </c>
      <c r="L472" s="511" t="s">
        <v>389</v>
      </c>
      <c r="M472" s="392" t="s">
        <v>2107</v>
      </c>
      <c r="N472" s="343"/>
      <c r="O472" s="343"/>
      <c r="P472" s="70" t="s">
        <v>576</v>
      </c>
      <c r="Q472" s="346"/>
      <c r="R472" s="343"/>
      <c r="S472" s="346"/>
      <c r="T472" s="505" t="s">
        <v>272</v>
      </c>
      <c r="U472" s="150"/>
      <c r="V472" s="403"/>
      <c r="W472" s="406">
        <v>-30</v>
      </c>
      <c r="X472" s="406">
        <v>-30</v>
      </c>
      <c r="Y472" s="425"/>
      <c r="Z472" s="71"/>
      <c r="AA472" s="426"/>
      <c r="AB472" s="427"/>
      <c r="AC472" s="427">
        <v>-30</v>
      </c>
      <c r="AD472" s="428">
        <v>0</v>
      </c>
      <c r="AE472" s="429">
        <v>0</v>
      </c>
      <c r="AF472" s="429">
        <v>650</v>
      </c>
      <c r="AG472" s="360">
        <v>0</v>
      </c>
      <c r="AH472" s="360">
        <v>0</v>
      </c>
      <c r="AI472" s="363">
        <v>1550</v>
      </c>
      <c r="AJ472" s="360">
        <v>0</v>
      </c>
      <c r="AK472" s="360">
        <v>0</v>
      </c>
      <c r="AL472" s="363">
        <v>0</v>
      </c>
      <c r="AM472" s="360">
        <f t="shared" si="27"/>
        <v>2170</v>
      </c>
      <c r="AN472" s="362">
        <f>ERP_2[[#This Row],[2026 Working Total]]-ERP_2[[#This Row],[LE2 Final Submission]]</f>
        <v>2200</v>
      </c>
      <c r="AO472" s="79">
        <v>0</v>
      </c>
      <c r="AP472" s="79">
        <f t="shared" si="28"/>
        <v>650</v>
      </c>
      <c r="AQ472" s="374">
        <f>SUM(ERP_2[[#This Row],[AP01]:[AP06]])-SUM(ERP_2[[#This Row],[AP01 LE2]:[AP06 LE2]])</f>
        <v>650</v>
      </c>
      <c r="AR472" s="80"/>
      <c r="AS472" s="79">
        <f>ERP_2[[#This Row],[2026 Working Total to Budget/LE]]-ERP_2[[#This Row],[Giveback]]</f>
        <v>2200</v>
      </c>
      <c r="AT472" s="81"/>
      <c r="AU472" s="375"/>
      <c r="AV472" s="375"/>
      <c r="AW472" s="375">
        <v>-30</v>
      </c>
      <c r="AX472" s="375">
        <v>0</v>
      </c>
      <c r="AY472" s="375">
        <v>0</v>
      </c>
      <c r="AZ472" s="375">
        <v>0</v>
      </c>
      <c r="BA472" s="375">
        <v>0</v>
      </c>
      <c r="BB472" s="375">
        <v>0</v>
      </c>
      <c r="BC472" s="375">
        <v>0</v>
      </c>
      <c r="BD472" s="375">
        <v>0</v>
      </c>
      <c r="BE472" s="375">
        <v>0</v>
      </c>
      <c r="BF472" s="375">
        <v>0</v>
      </c>
      <c r="BG472" s="375">
        <v>-30</v>
      </c>
      <c r="BH472" s="79"/>
      <c r="BI472" s="79"/>
      <c r="BJ472" s="79">
        <v>-30</v>
      </c>
      <c r="BK472" s="79">
        <v>0</v>
      </c>
      <c r="BL472" s="79">
        <v>0</v>
      </c>
      <c r="BM472" s="79">
        <v>5000</v>
      </c>
      <c r="BN472" s="79">
        <v>0</v>
      </c>
      <c r="BO472" s="79">
        <v>0</v>
      </c>
      <c r="BP472" s="79">
        <v>5000</v>
      </c>
      <c r="BQ472" s="79">
        <v>0</v>
      </c>
      <c r="BR472" s="79">
        <v>0</v>
      </c>
      <c r="BS472" s="79">
        <v>-15000</v>
      </c>
      <c r="BT472" s="79">
        <v>-5030</v>
      </c>
    </row>
    <row r="473" spans="1:72" ht="15" hidden="1" customHeight="1">
      <c r="A473" s="66" t="s">
        <v>1887</v>
      </c>
      <c r="B473" s="66"/>
      <c r="C473" s="66" t="s">
        <v>577</v>
      </c>
      <c r="D473" s="66" t="s">
        <v>1888</v>
      </c>
      <c r="E473" s="150" t="s">
        <v>1136</v>
      </c>
      <c r="F473" s="482" t="s">
        <v>1566</v>
      </c>
      <c r="G473" s="482" t="s">
        <v>1566</v>
      </c>
      <c r="H473" s="482" t="s">
        <v>1566</v>
      </c>
      <c r="I473" s="150" t="s">
        <v>1345</v>
      </c>
      <c r="J473" s="150" t="s">
        <v>1346</v>
      </c>
      <c r="K473" s="150" t="s">
        <v>1346</v>
      </c>
      <c r="L473" s="511" t="s">
        <v>389</v>
      </c>
      <c r="M473" s="392" t="s">
        <v>1889</v>
      </c>
      <c r="N473" s="343"/>
      <c r="O473" s="343"/>
      <c r="P473" s="70" t="s">
        <v>578</v>
      </c>
      <c r="Q473" s="346"/>
      <c r="R473" s="346" t="s">
        <v>1221</v>
      </c>
      <c r="S473" s="346"/>
      <c r="T473" s="150" t="s">
        <v>272</v>
      </c>
      <c r="U473" s="150"/>
      <c r="V473" s="403"/>
      <c r="W473" s="406">
        <v>0</v>
      </c>
      <c r="X473" s="406">
        <v>275.15000000000055</v>
      </c>
      <c r="Y473" s="425"/>
      <c r="Z473" s="71"/>
      <c r="AA473" s="426">
        <v>2699.63</v>
      </c>
      <c r="AB473" s="427">
        <v>2847.71</v>
      </c>
      <c r="AC473" s="427">
        <v>-5272.19</v>
      </c>
      <c r="AD473" s="428">
        <v>3353.36</v>
      </c>
      <c r="AE473" s="429">
        <v>2931.3300000000004</v>
      </c>
      <c r="AF473" s="429">
        <v>3022.73</v>
      </c>
      <c r="AG473" s="363">
        <v>0</v>
      </c>
      <c r="AH473" s="363">
        <v>0</v>
      </c>
      <c r="AI473" s="363">
        <v>0</v>
      </c>
      <c r="AJ473" s="363">
        <v>0</v>
      </c>
      <c r="AK473" s="363">
        <v>0</v>
      </c>
      <c r="AL473" s="363">
        <v>0</v>
      </c>
      <c r="AM473" s="360">
        <f t="shared" si="27"/>
        <v>9582.5700000000015</v>
      </c>
      <c r="AN473" s="362">
        <f>ERP_2[[#This Row],[2026 Working Total]]-ERP_2[[#This Row],[LE2 Final Submission]]</f>
        <v>9307.4200000000019</v>
      </c>
      <c r="AO473" s="79">
        <v>0</v>
      </c>
      <c r="AP473" s="79">
        <f t="shared" si="28"/>
        <v>3022.73</v>
      </c>
      <c r="AQ473" s="374">
        <f>SUM(ERP_2[[#This Row],[AP01]:[AP06]])-SUM(ERP_2[[#This Row],[AP01 LE2]:[AP06 LE2]])</f>
        <v>9307.4200000000019</v>
      </c>
      <c r="AR473" s="80"/>
      <c r="AS473" s="79">
        <f>ERP_2[[#This Row],[2026 Working Total to Budget/LE]]-ERP_2[[#This Row],[Giveback]]</f>
        <v>9307.4200000000019</v>
      </c>
      <c r="AT473" s="81"/>
      <c r="AU473" s="375">
        <v>2699.63</v>
      </c>
      <c r="AV473" s="375">
        <v>2847.71</v>
      </c>
      <c r="AW473" s="375">
        <v>-5272.19</v>
      </c>
      <c r="AX473" s="375">
        <v>0</v>
      </c>
      <c r="AY473" s="375">
        <v>0</v>
      </c>
      <c r="AZ473" s="375">
        <v>0</v>
      </c>
      <c r="BA473" s="375">
        <v>0</v>
      </c>
      <c r="BB473" s="375">
        <v>0</v>
      </c>
      <c r="BC473" s="375">
        <v>0</v>
      </c>
      <c r="BD473" s="375">
        <v>0</v>
      </c>
      <c r="BE473" s="375">
        <v>0</v>
      </c>
      <c r="BF473" s="375">
        <v>0</v>
      </c>
      <c r="BG473" s="375">
        <v>275.15000000000055</v>
      </c>
      <c r="BH473" s="79">
        <v>2699.63</v>
      </c>
      <c r="BI473" s="79">
        <v>2847.71</v>
      </c>
      <c r="BJ473" s="79">
        <v>-5272.19</v>
      </c>
      <c r="BK473" s="79">
        <v>2847.71</v>
      </c>
      <c r="BL473" s="79">
        <v>2847.71</v>
      </c>
      <c r="BM473" s="79">
        <v>2847.71</v>
      </c>
      <c r="BN473" s="79">
        <v>2847.71</v>
      </c>
      <c r="BO473" s="79">
        <v>2847.71</v>
      </c>
      <c r="BP473" s="79">
        <v>2847.71</v>
      </c>
      <c r="BQ473" s="79">
        <v>2847.71</v>
      </c>
      <c r="BR473" s="79">
        <v>2847.71</v>
      </c>
      <c r="BS473" s="79">
        <v>2847.71</v>
      </c>
      <c r="BT473" s="79">
        <v>25904.539999999997</v>
      </c>
    </row>
    <row r="474" spans="1:72" ht="15" hidden="1" customHeight="1">
      <c r="A474" s="66" t="s">
        <v>2109</v>
      </c>
      <c r="B474" s="66"/>
      <c r="C474" s="66" t="s">
        <v>579</v>
      </c>
      <c r="D474" s="66" t="s">
        <v>2110</v>
      </c>
      <c r="E474" s="150" t="s">
        <v>1136</v>
      </c>
      <c r="F474" s="482" t="s">
        <v>1566</v>
      </c>
      <c r="G474" s="150" t="s">
        <v>1566</v>
      </c>
      <c r="H474" s="150" t="s">
        <v>1566</v>
      </c>
      <c r="I474" s="150" t="s">
        <v>1567</v>
      </c>
      <c r="J474" s="150" t="s">
        <v>1567</v>
      </c>
      <c r="K474" s="150" t="s">
        <v>1567</v>
      </c>
      <c r="L474" s="511" t="s">
        <v>389</v>
      </c>
      <c r="M474" s="392" t="s">
        <v>1626</v>
      </c>
      <c r="N474" s="343"/>
      <c r="O474" s="343"/>
      <c r="P474" s="70" t="s">
        <v>307</v>
      </c>
      <c r="Q474" s="346"/>
      <c r="R474" s="343"/>
      <c r="S474" s="346"/>
      <c r="T474" s="505" t="s">
        <v>272</v>
      </c>
      <c r="U474" s="150"/>
      <c r="V474" s="403"/>
      <c r="W474" s="406">
        <v>0</v>
      </c>
      <c r="X474" s="406">
        <v>2089.6999999999998</v>
      </c>
      <c r="Y474" s="425"/>
      <c r="Z474" s="71"/>
      <c r="AA474" s="426"/>
      <c r="AB474" s="427"/>
      <c r="AC474" s="427">
        <v>2089.6999999999998</v>
      </c>
      <c r="AD474" s="428">
        <v>0</v>
      </c>
      <c r="AE474" s="429">
        <v>2520.12</v>
      </c>
      <c r="AF474" s="429">
        <v>0</v>
      </c>
      <c r="AG474" s="360">
        <v>0</v>
      </c>
      <c r="AH474" s="360">
        <v>3240</v>
      </c>
      <c r="AI474" s="360">
        <v>0</v>
      </c>
      <c r="AJ474" s="360">
        <v>0</v>
      </c>
      <c r="AK474" s="360">
        <v>0</v>
      </c>
      <c r="AL474" s="360">
        <v>0</v>
      </c>
      <c r="AM474" s="360">
        <f t="shared" si="27"/>
        <v>7849.82</v>
      </c>
      <c r="AN474" s="362">
        <f>ERP_2[[#This Row],[2026 Working Total]]-ERP_2[[#This Row],[LE2 Final Submission]]</f>
        <v>5760.12</v>
      </c>
      <c r="AO474" s="79">
        <v>0</v>
      </c>
      <c r="AP474" s="79">
        <f t="shared" si="28"/>
        <v>0</v>
      </c>
      <c r="AQ474" s="374">
        <f>SUM(ERP_2[[#This Row],[AP01]:[AP06]])-SUM(ERP_2[[#This Row],[AP01 LE2]:[AP06 LE2]])</f>
        <v>2520.12</v>
      </c>
      <c r="AR474" s="80"/>
      <c r="AS474" s="79">
        <f>ERP_2[[#This Row],[2026 Working Total to Budget/LE]]-ERP_2[[#This Row],[Giveback]]</f>
        <v>5760.12</v>
      </c>
      <c r="AT474" s="81"/>
      <c r="AU474" s="375"/>
      <c r="AV474" s="375"/>
      <c r="AW474" s="375">
        <v>2089.6999999999998</v>
      </c>
      <c r="AX474" s="375">
        <v>0</v>
      </c>
      <c r="AY474" s="375">
        <v>0</v>
      </c>
      <c r="AZ474" s="375">
        <v>0</v>
      </c>
      <c r="BA474" s="375">
        <v>0</v>
      </c>
      <c r="BB474" s="375">
        <v>0</v>
      </c>
      <c r="BC474" s="375">
        <v>0</v>
      </c>
      <c r="BD474" s="375">
        <v>0</v>
      </c>
      <c r="BE474" s="375">
        <v>0</v>
      </c>
      <c r="BF474" s="375">
        <v>0</v>
      </c>
      <c r="BG474" s="375">
        <v>2089.6999999999998</v>
      </c>
      <c r="BH474" s="79"/>
      <c r="BI474" s="79"/>
      <c r="BJ474" s="79">
        <v>2089.6999999999998</v>
      </c>
      <c r="BK474" s="79">
        <v>0</v>
      </c>
      <c r="BL474" s="79">
        <v>0</v>
      </c>
      <c r="BM474" s="79">
        <v>0</v>
      </c>
      <c r="BN474" s="79">
        <v>0</v>
      </c>
      <c r="BO474" s="79">
        <v>0</v>
      </c>
      <c r="BP474" s="79">
        <v>0</v>
      </c>
      <c r="BQ474" s="79">
        <v>0</v>
      </c>
      <c r="BR474" s="79">
        <v>0</v>
      </c>
      <c r="BS474" s="79">
        <v>0</v>
      </c>
      <c r="BT474" s="79">
        <v>2089.6999999999998</v>
      </c>
    </row>
    <row r="475" spans="1:72" ht="15" hidden="1" customHeight="1">
      <c r="A475" s="66" t="s">
        <v>2122</v>
      </c>
      <c r="B475" s="66"/>
      <c r="C475" s="66" t="s">
        <v>582</v>
      </c>
      <c r="D475" s="66" t="s">
        <v>2123</v>
      </c>
      <c r="E475" s="150" t="s">
        <v>1136</v>
      </c>
      <c r="F475" s="482" t="s">
        <v>1566</v>
      </c>
      <c r="G475" s="482" t="s">
        <v>1566</v>
      </c>
      <c r="H475" s="482" t="s">
        <v>1566</v>
      </c>
      <c r="I475" s="150" t="s">
        <v>1345</v>
      </c>
      <c r="J475" s="150" t="s">
        <v>1346</v>
      </c>
      <c r="K475" s="150" t="s">
        <v>1346</v>
      </c>
      <c r="L475" s="511" t="s">
        <v>389</v>
      </c>
      <c r="M475" s="392" t="s">
        <v>2124</v>
      </c>
      <c r="N475" s="343"/>
      <c r="O475" s="343"/>
      <c r="P475" s="70" t="s">
        <v>583</v>
      </c>
      <c r="Q475" s="346"/>
      <c r="R475" s="343"/>
      <c r="S475" s="346"/>
      <c r="T475" s="150" t="s">
        <v>25</v>
      </c>
      <c r="U475" s="150"/>
      <c r="V475" s="403"/>
      <c r="W475" s="406">
        <v>4032</v>
      </c>
      <c r="X475" s="406">
        <v>3024</v>
      </c>
      <c r="Y475" s="425"/>
      <c r="Z475" s="71"/>
      <c r="AA475" s="426"/>
      <c r="AB475" s="427"/>
      <c r="AC475" s="427"/>
      <c r="AD475" s="428" t="s">
        <v>1142</v>
      </c>
      <c r="AE475" s="429">
        <v>0</v>
      </c>
      <c r="AF475" s="429">
        <v>0</v>
      </c>
      <c r="AG475" s="363">
        <v>336</v>
      </c>
      <c r="AH475" s="363">
        <v>336</v>
      </c>
      <c r="AI475" s="363">
        <v>336</v>
      </c>
      <c r="AJ475" s="363">
        <v>336</v>
      </c>
      <c r="AK475" s="363">
        <v>336</v>
      </c>
      <c r="AL475" s="363">
        <v>336</v>
      </c>
      <c r="AM475" s="360">
        <f t="shared" si="27"/>
        <v>2016</v>
      </c>
      <c r="AN475" s="362">
        <f>ERP_2[[#This Row],[2026 Working Total]]-ERP_2[[#This Row],[LE2 Final Submission]]</f>
        <v>-1008</v>
      </c>
      <c r="AO475" s="79">
        <v>336</v>
      </c>
      <c r="AP475" s="79">
        <f t="shared" si="28"/>
        <v>-336</v>
      </c>
      <c r="AQ475" s="374">
        <f>SUM(ERP_2[[#This Row],[AP01]:[AP06]])-SUM(ERP_2[[#This Row],[AP01 LE2]:[AP06 LE2]])</f>
        <v>-1008</v>
      </c>
      <c r="AR475" s="80"/>
      <c r="AS475" s="79">
        <f>ERP_2[[#This Row],[2026 Working Total to Budget/LE]]-ERP_2[[#This Row],[Giveback]]</f>
        <v>-1008</v>
      </c>
      <c r="AT475" s="81"/>
      <c r="AU475" s="375"/>
      <c r="AV475" s="375"/>
      <c r="AW475" s="375"/>
      <c r="AX475" s="375">
        <v>336</v>
      </c>
      <c r="AY475" s="375">
        <v>336</v>
      </c>
      <c r="AZ475" s="375">
        <v>336</v>
      </c>
      <c r="BA475" s="375">
        <v>336</v>
      </c>
      <c r="BB475" s="375">
        <v>336</v>
      </c>
      <c r="BC475" s="375">
        <v>336</v>
      </c>
      <c r="BD475" s="375">
        <v>336</v>
      </c>
      <c r="BE475" s="375">
        <v>336</v>
      </c>
      <c r="BF475" s="375">
        <v>336</v>
      </c>
      <c r="BG475" s="375">
        <v>3024</v>
      </c>
      <c r="BH475" s="79"/>
      <c r="BI475" s="79"/>
      <c r="BJ475" s="79"/>
      <c r="BK475" s="79">
        <v>336</v>
      </c>
      <c r="BL475" s="79">
        <v>336</v>
      </c>
      <c r="BM475" s="79">
        <v>336</v>
      </c>
      <c r="BN475" s="79">
        <v>336</v>
      </c>
      <c r="BO475" s="79">
        <v>336</v>
      </c>
      <c r="BP475" s="79">
        <v>336</v>
      </c>
      <c r="BQ475" s="79">
        <v>336</v>
      </c>
      <c r="BR475" s="79">
        <v>336</v>
      </c>
      <c r="BS475" s="79">
        <v>336</v>
      </c>
      <c r="BT475" s="79">
        <v>3024</v>
      </c>
    </row>
    <row r="476" spans="1:72" ht="15" hidden="1" customHeight="1">
      <c r="A476" s="66" t="s">
        <v>1940</v>
      </c>
      <c r="B476" s="66"/>
      <c r="C476" s="66" t="s">
        <v>584</v>
      </c>
      <c r="D476" s="66" t="s">
        <v>1941</v>
      </c>
      <c r="E476" s="150" t="s">
        <v>1136</v>
      </c>
      <c r="F476" s="482" t="s">
        <v>1566</v>
      </c>
      <c r="G476" s="482" t="s">
        <v>1566</v>
      </c>
      <c r="H476" s="482" t="s">
        <v>1566</v>
      </c>
      <c r="I476" s="150" t="s">
        <v>1345</v>
      </c>
      <c r="J476" s="150" t="s">
        <v>1346</v>
      </c>
      <c r="K476" s="150" t="s">
        <v>1346</v>
      </c>
      <c r="L476" s="511" t="s">
        <v>389</v>
      </c>
      <c r="M476" s="392" t="s">
        <v>1942</v>
      </c>
      <c r="N476" s="343"/>
      <c r="O476" s="343"/>
      <c r="P476" s="70" t="s">
        <v>585</v>
      </c>
      <c r="Q476" s="346"/>
      <c r="R476" s="346" t="s">
        <v>1140</v>
      </c>
      <c r="S476" s="346"/>
      <c r="T476" s="150" t="s">
        <v>57</v>
      </c>
      <c r="U476" s="150"/>
      <c r="V476" s="403"/>
      <c r="W476" s="406">
        <v>0</v>
      </c>
      <c r="X476" s="406">
        <v>31176.729999999992</v>
      </c>
      <c r="Y476" s="430"/>
      <c r="Z476" s="137"/>
      <c r="AA476" s="426"/>
      <c r="AB476" s="427"/>
      <c r="AC476" s="427">
        <v>5547.34</v>
      </c>
      <c r="AD476" s="428">
        <v>0</v>
      </c>
      <c r="AE476" s="429">
        <v>112.07</v>
      </c>
      <c r="AF476" s="429">
        <v>112.07</v>
      </c>
      <c r="AG476" s="360">
        <v>2847.71</v>
      </c>
      <c r="AH476" s="360">
        <v>2847.71</v>
      </c>
      <c r="AI476" s="360">
        <v>2847.71</v>
      </c>
      <c r="AJ476" s="360">
        <v>2847.71</v>
      </c>
      <c r="AK476" s="360">
        <v>2847.71</v>
      </c>
      <c r="AL476" s="360">
        <v>2847.71</v>
      </c>
      <c r="AM476" s="360">
        <f t="shared" si="27"/>
        <v>22857.739999999994</v>
      </c>
      <c r="AN476" s="362">
        <f>ERP_2[[#This Row],[2026 Working Total]]-ERP_2[[#This Row],[LE2 Final Submission]]</f>
        <v>-8318.989999999998</v>
      </c>
      <c r="AO476" s="79">
        <v>2847.71</v>
      </c>
      <c r="AP476" s="79">
        <f t="shared" si="28"/>
        <v>-2735.64</v>
      </c>
      <c r="AQ476" s="374">
        <f>SUM(ERP_2[[#This Row],[AP01]:[AP06]])-SUM(ERP_2[[#This Row],[AP01 LE2]:[AP06 LE2]])</f>
        <v>-8318.989999999998</v>
      </c>
      <c r="AR476" s="80"/>
      <c r="AS476" s="79">
        <f>ERP_2[[#This Row],[2026 Working Total to Budget/LE]]-ERP_2[[#This Row],[Giveback]]</f>
        <v>-8318.989999999998</v>
      </c>
      <c r="AT476" s="81"/>
      <c r="AU476" s="375"/>
      <c r="AV476" s="375"/>
      <c r="AW476" s="375">
        <v>5547.34</v>
      </c>
      <c r="AX476" s="375">
        <v>2847.71</v>
      </c>
      <c r="AY476" s="375">
        <v>2847.71</v>
      </c>
      <c r="AZ476" s="375">
        <v>2847.71</v>
      </c>
      <c r="BA476" s="375">
        <v>2847.71</v>
      </c>
      <c r="BB476" s="375">
        <v>2847.71</v>
      </c>
      <c r="BC476" s="375">
        <v>2847.71</v>
      </c>
      <c r="BD476" s="375">
        <v>2847.71</v>
      </c>
      <c r="BE476" s="375">
        <v>2847.71</v>
      </c>
      <c r="BF476" s="375">
        <v>2847.71</v>
      </c>
      <c r="BG476" s="375">
        <v>31176.729999999992</v>
      </c>
      <c r="BH476" s="79"/>
      <c r="BI476" s="79"/>
      <c r="BJ476" s="79">
        <v>5547.34</v>
      </c>
      <c r="BK476" s="79">
        <v>0</v>
      </c>
      <c r="BL476" s="79">
        <v>0</v>
      </c>
      <c r="BM476" s="79">
        <v>0</v>
      </c>
      <c r="BN476" s="79">
        <v>0</v>
      </c>
      <c r="BO476" s="79">
        <v>0</v>
      </c>
      <c r="BP476" s="79">
        <v>0</v>
      </c>
      <c r="BQ476" s="79">
        <v>0</v>
      </c>
      <c r="BR476" s="79">
        <v>0</v>
      </c>
      <c r="BS476" s="79">
        <v>0</v>
      </c>
      <c r="BT476" s="79">
        <v>5547.34</v>
      </c>
    </row>
    <row r="477" spans="1:72" ht="15" hidden="1" customHeight="1">
      <c r="A477" s="66" t="s">
        <v>2125</v>
      </c>
      <c r="B477" s="66"/>
      <c r="C477" s="66" t="s">
        <v>586</v>
      </c>
      <c r="D477" s="66" t="s">
        <v>2126</v>
      </c>
      <c r="E477" s="150" t="s">
        <v>1136</v>
      </c>
      <c r="F477" s="482" t="s">
        <v>1566</v>
      </c>
      <c r="G477" s="150" t="s">
        <v>1566</v>
      </c>
      <c r="H477" s="150" t="s">
        <v>1566</v>
      </c>
      <c r="I477" s="150" t="s">
        <v>1567</v>
      </c>
      <c r="J477" s="150" t="s">
        <v>1567</v>
      </c>
      <c r="K477" s="150" t="s">
        <v>1567</v>
      </c>
      <c r="L477" s="511" t="s">
        <v>389</v>
      </c>
      <c r="M477" s="392" t="s">
        <v>2127</v>
      </c>
      <c r="N477" s="343"/>
      <c r="O477" s="343"/>
      <c r="P477" s="70" t="s">
        <v>587</v>
      </c>
      <c r="Q477" s="346"/>
      <c r="R477" s="343"/>
      <c r="S477" s="346"/>
      <c r="T477" s="150" t="s">
        <v>25</v>
      </c>
      <c r="U477" s="150"/>
      <c r="V477" s="403"/>
      <c r="W477" s="406">
        <v>0</v>
      </c>
      <c r="X477" s="406">
        <v>21.89</v>
      </c>
      <c r="Y477" s="425"/>
      <c r="Z477" s="71"/>
      <c r="AA477" s="426">
        <v>11.06</v>
      </c>
      <c r="AB477" s="427">
        <v>5.54</v>
      </c>
      <c r="AC477" s="427">
        <v>5.29</v>
      </c>
      <c r="AD477" s="428">
        <v>5.5299999999999994</v>
      </c>
      <c r="AE477" s="429">
        <v>5.33</v>
      </c>
      <c r="AF477" s="429">
        <v>5.5299999999999994</v>
      </c>
      <c r="AG477" s="360">
        <v>0</v>
      </c>
      <c r="AH477" s="360">
        <v>0</v>
      </c>
      <c r="AI477" s="360">
        <v>0</v>
      </c>
      <c r="AJ477" s="360">
        <v>0</v>
      </c>
      <c r="AK477" s="360">
        <v>0</v>
      </c>
      <c r="AL477" s="360">
        <v>0</v>
      </c>
      <c r="AM477" s="360">
        <f t="shared" si="27"/>
        <v>38.28</v>
      </c>
      <c r="AN477" s="362">
        <f>ERP_2[[#This Row],[2026 Working Total]]-ERP_2[[#This Row],[LE2 Final Submission]]</f>
        <v>16.39</v>
      </c>
      <c r="AO477" s="79">
        <v>0</v>
      </c>
      <c r="AP477" s="79">
        <f t="shared" si="28"/>
        <v>5.5299999999999994</v>
      </c>
      <c r="AQ477" s="374">
        <f>SUM(ERP_2[[#This Row],[AP01]:[AP06]])-SUM(ERP_2[[#This Row],[AP01 LE2]:[AP06 LE2]])</f>
        <v>16.39</v>
      </c>
      <c r="AR477" s="80"/>
      <c r="AS477" s="79">
        <f>ERP_2[[#This Row],[2026 Working Total to Budget/LE]]-ERP_2[[#This Row],[Giveback]]</f>
        <v>16.39</v>
      </c>
      <c r="AT477" s="81"/>
      <c r="AU477" s="375">
        <v>11.06</v>
      </c>
      <c r="AV477" s="375">
        <v>5.54</v>
      </c>
      <c r="AW477" s="375">
        <v>5.29</v>
      </c>
      <c r="AX477" s="375">
        <v>0</v>
      </c>
      <c r="AY477" s="375">
        <v>0</v>
      </c>
      <c r="AZ477" s="375">
        <v>0</v>
      </c>
      <c r="BA477" s="375">
        <v>0</v>
      </c>
      <c r="BB477" s="375">
        <v>0</v>
      </c>
      <c r="BC477" s="375">
        <v>0</v>
      </c>
      <c r="BD477" s="375">
        <v>0</v>
      </c>
      <c r="BE477" s="375">
        <v>0</v>
      </c>
      <c r="BF477" s="375">
        <v>0</v>
      </c>
      <c r="BG477" s="375">
        <v>21.89</v>
      </c>
      <c r="BH477" s="79">
        <v>11.06</v>
      </c>
      <c r="BI477" s="79">
        <v>5.54</v>
      </c>
      <c r="BJ477" s="79">
        <v>5.29</v>
      </c>
      <c r="BK477" s="79">
        <v>0</v>
      </c>
      <c r="BL477" s="79">
        <v>0</v>
      </c>
      <c r="BM477" s="79">
        <v>0</v>
      </c>
      <c r="BN477" s="79">
        <v>0</v>
      </c>
      <c r="BO477" s="79">
        <v>0</v>
      </c>
      <c r="BP477" s="79">
        <v>0</v>
      </c>
      <c r="BQ477" s="79">
        <v>0</v>
      </c>
      <c r="BR477" s="79">
        <v>0</v>
      </c>
      <c r="BS477" s="79">
        <v>0</v>
      </c>
      <c r="BT477" s="79">
        <v>21.89</v>
      </c>
    </row>
    <row r="478" spans="1:72" ht="15" hidden="1" customHeight="1">
      <c r="A478" s="66" t="s">
        <v>2134</v>
      </c>
      <c r="B478" s="66"/>
      <c r="C478" s="66" t="s">
        <v>589</v>
      </c>
      <c r="D478" s="66" t="s">
        <v>2135</v>
      </c>
      <c r="E478" s="150" t="s">
        <v>1136</v>
      </c>
      <c r="F478" s="482" t="s">
        <v>1566</v>
      </c>
      <c r="G478" s="150" t="s">
        <v>1566</v>
      </c>
      <c r="H478" s="150" t="s">
        <v>1566</v>
      </c>
      <c r="I478" s="150" t="s">
        <v>1567</v>
      </c>
      <c r="J478" s="150" t="s">
        <v>1567</v>
      </c>
      <c r="K478" s="150" t="s">
        <v>1567</v>
      </c>
      <c r="L478" s="511" t="s">
        <v>389</v>
      </c>
      <c r="M478" s="392" t="s">
        <v>2136</v>
      </c>
      <c r="N478" s="343"/>
      <c r="O478" s="343"/>
      <c r="P478" s="70" t="s">
        <v>590</v>
      </c>
      <c r="Q478" s="346"/>
      <c r="R478" s="343"/>
      <c r="S478" s="346"/>
      <c r="T478" s="150" t="s">
        <v>44</v>
      </c>
      <c r="U478" s="150"/>
      <c r="V478" s="403"/>
      <c r="W478" s="406">
        <v>-338500</v>
      </c>
      <c r="X478" s="406">
        <v>-435500</v>
      </c>
      <c r="Y478" s="425"/>
      <c r="Z478" s="71"/>
      <c r="AA478" s="426"/>
      <c r="AB478" s="427"/>
      <c r="AC478" s="427"/>
      <c r="AD478" s="428" t="s">
        <v>1142</v>
      </c>
      <c r="AE478" s="429">
        <v>0</v>
      </c>
      <c r="AF478" s="429">
        <v>0</v>
      </c>
      <c r="AG478" s="360">
        <v>0</v>
      </c>
      <c r="AH478" s="360">
        <v>0</v>
      </c>
      <c r="AI478" s="363">
        <v>-203100</v>
      </c>
      <c r="AJ478" s="360">
        <v>0</v>
      </c>
      <c r="AK478" s="360">
        <v>0</v>
      </c>
      <c r="AL478" s="363">
        <v>-97000</v>
      </c>
      <c r="AM478" s="360">
        <f t="shared" si="27"/>
        <v>-300100</v>
      </c>
      <c r="AN478" s="362">
        <f>ERP_2[[#This Row],[2026 Working Total]]-ERP_2[[#This Row],[LE2 Final Submission]]</f>
        <v>135400</v>
      </c>
      <c r="AO478" s="79"/>
      <c r="AP478" s="79">
        <f t="shared" si="28"/>
        <v>0</v>
      </c>
      <c r="AQ478" s="374">
        <f>SUM(ERP_2[[#This Row],[AP01]:[AP06]])-SUM(ERP_2[[#This Row],[AP01 LE2]:[AP06 LE2]])</f>
        <v>135400</v>
      </c>
      <c r="AR478" s="80"/>
      <c r="AS478" s="79">
        <f>ERP_2[[#This Row],[2026 Working Total to Budget/LE]]-ERP_2[[#This Row],[Giveback]]</f>
        <v>135400</v>
      </c>
      <c r="AT478" s="81"/>
      <c r="AU478" s="375"/>
      <c r="AV478" s="375"/>
      <c r="AW478" s="375"/>
      <c r="AX478" s="375"/>
      <c r="AY478" s="375"/>
      <c r="AZ478" s="375">
        <v>-135400</v>
      </c>
      <c r="BA478" s="375">
        <v>0</v>
      </c>
      <c r="BB478" s="375">
        <v>0</v>
      </c>
      <c r="BC478" s="375">
        <v>-203100</v>
      </c>
      <c r="BD478" s="375">
        <v>0</v>
      </c>
      <c r="BE478" s="375">
        <v>0</v>
      </c>
      <c r="BF478" s="375">
        <v>-97000</v>
      </c>
      <c r="BG478" s="375">
        <v>-435500</v>
      </c>
      <c r="BH478" s="79"/>
      <c r="BI478" s="79"/>
      <c r="BJ478" s="79"/>
      <c r="BK478" s="79"/>
      <c r="BL478" s="79"/>
      <c r="BM478" s="79">
        <v>-135400</v>
      </c>
      <c r="BN478" s="79">
        <v>0</v>
      </c>
      <c r="BO478" s="79">
        <v>0</v>
      </c>
      <c r="BP478" s="79">
        <v>-203100</v>
      </c>
      <c r="BQ478" s="79">
        <v>0</v>
      </c>
      <c r="BR478" s="79">
        <v>0</v>
      </c>
      <c r="BS478" s="79">
        <v>-97000</v>
      </c>
      <c r="BT478" s="79">
        <v>-435500</v>
      </c>
    </row>
    <row r="479" spans="1:72" ht="15" hidden="1" customHeight="1">
      <c r="A479" s="66" t="s">
        <v>2137</v>
      </c>
      <c r="B479" s="66"/>
      <c r="C479" s="66" t="s">
        <v>591</v>
      </c>
      <c r="D479" s="66" t="s">
        <v>2138</v>
      </c>
      <c r="E479" s="150" t="s">
        <v>1136</v>
      </c>
      <c r="F479" s="482" t="s">
        <v>1566</v>
      </c>
      <c r="G479" s="482" t="s">
        <v>1566</v>
      </c>
      <c r="H479" s="482" t="s">
        <v>1566</v>
      </c>
      <c r="I479" s="150" t="s">
        <v>1345</v>
      </c>
      <c r="J479" s="150" t="s">
        <v>1346</v>
      </c>
      <c r="K479" s="150" t="s">
        <v>1346</v>
      </c>
      <c r="L479" s="511" t="s">
        <v>389</v>
      </c>
      <c r="M479" s="392" t="s">
        <v>1648</v>
      </c>
      <c r="N479" s="343"/>
      <c r="O479" s="343"/>
      <c r="P479" s="70" t="s">
        <v>323</v>
      </c>
      <c r="Q479" s="346"/>
      <c r="R479" s="343"/>
      <c r="S479" s="346"/>
      <c r="T479" s="150" t="s">
        <v>25</v>
      </c>
      <c r="U479" s="150"/>
      <c r="V479" s="403"/>
      <c r="W479" s="406">
        <v>0</v>
      </c>
      <c r="X479" s="406">
        <v>356.72</v>
      </c>
      <c r="Y479" s="425"/>
      <c r="Z479" s="71"/>
      <c r="AA479" s="426"/>
      <c r="AB479" s="427">
        <v>356.72</v>
      </c>
      <c r="AC479" s="431">
        <v>0</v>
      </c>
      <c r="AD479" s="428" t="s">
        <v>1142</v>
      </c>
      <c r="AE479" s="429">
        <v>0</v>
      </c>
      <c r="AF479" s="429">
        <v>0</v>
      </c>
      <c r="AG479" s="360">
        <v>0</v>
      </c>
      <c r="AH479" s="360">
        <v>0</v>
      </c>
      <c r="AI479" s="360">
        <v>0</v>
      </c>
      <c r="AJ479" s="360">
        <v>0</v>
      </c>
      <c r="AK479" s="360">
        <v>0</v>
      </c>
      <c r="AL479" s="360">
        <v>0</v>
      </c>
      <c r="AM479" s="360">
        <f t="shared" si="27"/>
        <v>356.72</v>
      </c>
      <c r="AN479" s="362">
        <f>ERP_2[[#This Row],[2026 Working Total]]-ERP_2[[#This Row],[LE2 Final Submission]]</f>
        <v>0</v>
      </c>
      <c r="AO479" s="79">
        <v>0</v>
      </c>
      <c r="AP479" s="79">
        <f t="shared" si="28"/>
        <v>0</v>
      </c>
      <c r="AQ479" s="374">
        <f>SUM(ERP_2[[#This Row],[AP01]:[AP06]])-SUM(ERP_2[[#This Row],[AP01 LE2]:[AP06 LE2]])</f>
        <v>0</v>
      </c>
      <c r="AR479" s="80"/>
      <c r="AS479" s="79">
        <f>ERP_2[[#This Row],[2026 Working Total to Budget/LE]]-ERP_2[[#This Row],[Giveback]]</f>
        <v>0</v>
      </c>
      <c r="AT479" s="81"/>
      <c r="AU479" s="375"/>
      <c r="AV479" s="375">
        <v>356.72</v>
      </c>
      <c r="AW479" s="375">
        <v>0</v>
      </c>
      <c r="AX479" s="375">
        <v>0</v>
      </c>
      <c r="AY479" s="375">
        <v>0</v>
      </c>
      <c r="AZ479" s="375">
        <v>0</v>
      </c>
      <c r="BA479" s="375">
        <v>0</v>
      </c>
      <c r="BB479" s="375">
        <v>0</v>
      </c>
      <c r="BC479" s="375">
        <v>0</v>
      </c>
      <c r="BD479" s="375">
        <v>0</v>
      </c>
      <c r="BE479" s="375">
        <v>0</v>
      </c>
      <c r="BF479" s="375">
        <v>0</v>
      </c>
      <c r="BG479" s="375">
        <v>356.72</v>
      </c>
      <c r="BH479" s="79"/>
      <c r="BI479" s="79">
        <v>356.72</v>
      </c>
      <c r="BJ479" s="79">
        <v>0</v>
      </c>
      <c r="BK479" s="79">
        <v>0</v>
      </c>
      <c r="BL479" s="79">
        <v>0</v>
      </c>
      <c r="BM479" s="79">
        <v>0</v>
      </c>
      <c r="BN479" s="79">
        <v>0</v>
      </c>
      <c r="BO479" s="79">
        <v>0</v>
      </c>
      <c r="BP479" s="79">
        <v>0</v>
      </c>
      <c r="BQ479" s="79">
        <v>0</v>
      </c>
      <c r="BR479" s="79">
        <v>0</v>
      </c>
      <c r="BS479" s="79">
        <v>0</v>
      </c>
      <c r="BT479" s="79">
        <v>356.72</v>
      </c>
    </row>
    <row r="480" spans="1:72" ht="15" hidden="1" customHeight="1">
      <c r="A480" s="79" t="s">
        <v>2170</v>
      </c>
      <c r="B480" s="79"/>
      <c r="C480" s="79" t="s">
        <v>618</v>
      </c>
      <c r="D480" s="296" t="s">
        <v>2171</v>
      </c>
      <c r="E480" s="150" t="s">
        <v>1136</v>
      </c>
      <c r="F480" s="482" t="s">
        <v>1566</v>
      </c>
      <c r="G480" s="150" t="s">
        <v>1566</v>
      </c>
      <c r="H480" s="150" t="s">
        <v>1566</v>
      </c>
      <c r="I480" s="332" t="s">
        <v>1567</v>
      </c>
      <c r="J480" s="332" t="s">
        <v>1567</v>
      </c>
      <c r="K480" s="150" t="s">
        <v>1567</v>
      </c>
      <c r="L480" s="514" t="s">
        <v>602</v>
      </c>
      <c r="M480" s="394" t="s">
        <v>2172</v>
      </c>
      <c r="N480" s="343"/>
      <c r="O480" s="333"/>
      <c r="P480" s="90"/>
      <c r="Q480" s="347"/>
      <c r="R480" s="343"/>
      <c r="S480" s="348"/>
      <c r="T480" s="348"/>
      <c r="U480" s="348" t="s">
        <v>2173</v>
      </c>
      <c r="V480" s="402"/>
      <c r="W480" s="358"/>
      <c r="X480" s="379">
        <v>-6407318.4800000004</v>
      </c>
      <c r="Y480" s="425"/>
      <c r="Z480" s="71"/>
      <c r="AA480" s="435"/>
      <c r="AB480" s="436"/>
      <c r="AC480" s="436"/>
      <c r="AD480" s="428" t="s">
        <v>1142</v>
      </c>
      <c r="AE480" s="429">
        <v>0</v>
      </c>
      <c r="AF480" s="429">
        <v>0</v>
      </c>
      <c r="AG480" s="364"/>
      <c r="AH480" s="364"/>
      <c r="AI480" s="364">
        <v>-1601829.62</v>
      </c>
      <c r="AJ480" s="364">
        <v>-1601829.62</v>
      </c>
      <c r="AK480" s="364">
        <v>-1601829.62</v>
      </c>
      <c r="AL480" s="364">
        <v>-1601829.62</v>
      </c>
      <c r="AM480" s="360">
        <f t="shared" si="27"/>
        <v>-6407318.4800000004</v>
      </c>
      <c r="AN480" s="362">
        <f>ERP_2[[#This Row],[2026 Working Total]]-ERP_2[[#This Row],[LE2 Final Submission]]</f>
        <v>0</v>
      </c>
      <c r="AO480" s="79"/>
      <c r="AP480" s="79">
        <f t="shared" si="28"/>
        <v>0</v>
      </c>
      <c r="AQ480" s="374">
        <f>SUM(ERP_2[[#This Row],[AP01]:[AP06]])-SUM(ERP_2[[#This Row],[AP01 LE2]:[AP06 LE2]])</f>
        <v>0</v>
      </c>
      <c r="AR480" s="80"/>
      <c r="AS480" s="79">
        <f>ERP_2[[#This Row],[2026 Working Total to Budget/LE]]-ERP_2[[#This Row],[Giveback]]</f>
        <v>0</v>
      </c>
      <c r="AT480" s="81"/>
      <c r="AU480" s="375"/>
      <c r="AV480" s="375"/>
      <c r="AW480" s="375"/>
      <c r="AX480" s="375"/>
      <c r="AY480" s="375"/>
      <c r="AZ480" s="375"/>
      <c r="BA480" s="375"/>
      <c r="BB480" s="375"/>
      <c r="BC480" s="375">
        <v>-1601829.62</v>
      </c>
      <c r="BD480" s="375">
        <v>-1601829.62</v>
      </c>
      <c r="BE480" s="375">
        <v>-1601829.62</v>
      </c>
      <c r="BF480" s="375">
        <v>-1601829.62</v>
      </c>
      <c r="BG480" s="375">
        <v>-6407318.4800000004</v>
      </c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</row>
    <row r="481" spans="1:72" ht="15" hidden="1" customHeight="1">
      <c r="A481" s="66" t="s">
        <v>2184</v>
      </c>
      <c r="B481" s="66"/>
      <c r="C481" s="66" t="s">
        <v>622</v>
      </c>
      <c r="D481" s="66" t="s">
        <v>2185</v>
      </c>
      <c r="E481" s="150" t="s">
        <v>1136</v>
      </c>
      <c r="F481" s="482" t="s">
        <v>1566</v>
      </c>
      <c r="G481" s="482" t="s">
        <v>1566</v>
      </c>
      <c r="H481" s="482" t="s">
        <v>1566</v>
      </c>
      <c r="I481" s="150" t="s">
        <v>1345</v>
      </c>
      <c r="J481" s="150" t="s">
        <v>1346</v>
      </c>
      <c r="K481" s="150" t="s">
        <v>1346</v>
      </c>
      <c r="L481" s="511" t="s">
        <v>602</v>
      </c>
      <c r="M481" s="392" t="s">
        <v>1648</v>
      </c>
      <c r="N481" s="343"/>
      <c r="O481" s="343"/>
      <c r="P481" s="70" t="s">
        <v>323</v>
      </c>
      <c r="Q481" s="346"/>
      <c r="R481" s="343"/>
      <c r="S481" s="346"/>
      <c r="T481" s="150" t="s">
        <v>25</v>
      </c>
      <c r="U481" s="150"/>
      <c r="V481" s="403"/>
      <c r="W481" s="406">
        <v>0</v>
      </c>
      <c r="X481" s="406">
        <v>220.29</v>
      </c>
      <c r="Y481" s="425"/>
      <c r="Z481" s="71"/>
      <c r="AA481" s="426"/>
      <c r="AB481" s="427">
        <v>220.29</v>
      </c>
      <c r="AC481" s="431">
        <v>0</v>
      </c>
      <c r="AD481" s="429" t="s">
        <v>1142</v>
      </c>
      <c r="AE481" s="429">
        <v>0</v>
      </c>
      <c r="AF481" s="429">
        <v>0</v>
      </c>
      <c r="AG481" s="360">
        <v>0</v>
      </c>
      <c r="AH481" s="360">
        <v>0</v>
      </c>
      <c r="AI481" s="360">
        <v>0</v>
      </c>
      <c r="AJ481" s="360">
        <v>0</v>
      </c>
      <c r="AK481" s="360">
        <v>0</v>
      </c>
      <c r="AL481" s="360">
        <v>0</v>
      </c>
      <c r="AM481" s="360">
        <f t="shared" si="27"/>
        <v>220.29</v>
      </c>
      <c r="AN481" s="362">
        <f>ERP_2[[#This Row],[2026 Working Total]]-ERP_2[[#This Row],[LE2 Final Submission]]</f>
        <v>0</v>
      </c>
      <c r="AO481" s="79">
        <v>0</v>
      </c>
      <c r="AP481" s="79">
        <f t="shared" si="28"/>
        <v>0</v>
      </c>
      <c r="AQ481" s="374">
        <f>SUM(ERP_2[[#This Row],[AP01]:[AP06]])-SUM(ERP_2[[#This Row],[AP01 LE2]:[AP06 LE2]])</f>
        <v>0</v>
      </c>
      <c r="AR481" s="80"/>
      <c r="AS481" s="79">
        <f>ERP_2[[#This Row],[2026 Working Total to Budget/LE]]-ERP_2[[#This Row],[Giveback]]</f>
        <v>0</v>
      </c>
      <c r="AT481" s="81"/>
      <c r="AU481" s="375"/>
      <c r="AV481" s="375">
        <v>220.29</v>
      </c>
      <c r="AW481" s="375">
        <v>0</v>
      </c>
      <c r="AX481" s="375">
        <v>0</v>
      </c>
      <c r="AY481" s="375">
        <v>0</v>
      </c>
      <c r="AZ481" s="375">
        <v>0</v>
      </c>
      <c r="BA481" s="375">
        <v>0</v>
      </c>
      <c r="BB481" s="375">
        <v>0</v>
      </c>
      <c r="BC481" s="375">
        <v>0</v>
      </c>
      <c r="BD481" s="375">
        <v>0</v>
      </c>
      <c r="BE481" s="375">
        <v>0</v>
      </c>
      <c r="BF481" s="375">
        <v>0</v>
      </c>
      <c r="BG481" s="375">
        <v>220.29</v>
      </c>
      <c r="BH481" s="79"/>
      <c r="BI481" s="79">
        <v>220.29</v>
      </c>
      <c r="BJ481" s="79">
        <v>0</v>
      </c>
      <c r="BK481" s="79">
        <v>0</v>
      </c>
      <c r="BL481" s="79">
        <v>0</v>
      </c>
      <c r="BM481" s="79">
        <v>0</v>
      </c>
      <c r="BN481" s="79">
        <v>0</v>
      </c>
      <c r="BO481" s="79">
        <v>0</v>
      </c>
      <c r="BP481" s="79">
        <v>0</v>
      </c>
      <c r="BQ481" s="79">
        <v>0</v>
      </c>
      <c r="BR481" s="79">
        <v>0</v>
      </c>
      <c r="BS481" s="79">
        <v>0</v>
      </c>
      <c r="BT481" s="79">
        <v>220.29</v>
      </c>
    </row>
    <row r="482" spans="1:72" ht="15" hidden="1" customHeight="1">
      <c r="A482" s="66" t="s">
        <v>2199</v>
      </c>
      <c r="B482" s="66"/>
      <c r="C482" s="66" t="s">
        <v>635</v>
      </c>
      <c r="D482" s="66" t="s">
        <v>2200</v>
      </c>
      <c r="E482" s="150" t="s">
        <v>1136</v>
      </c>
      <c r="F482" s="482" t="s">
        <v>1566</v>
      </c>
      <c r="G482" s="482" t="s">
        <v>1566</v>
      </c>
      <c r="H482" s="482" t="s">
        <v>1566</v>
      </c>
      <c r="I482" s="150" t="s">
        <v>1345</v>
      </c>
      <c r="J482" s="150" t="s">
        <v>1346</v>
      </c>
      <c r="K482" s="150" t="s">
        <v>1346</v>
      </c>
      <c r="L482" s="511" t="s">
        <v>629</v>
      </c>
      <c r="M482" s="392" t="s">
        <v>1648</v>
      </c>
      <c r="N482" s="343"/>
      <c r="O482" s="343"/>
      <c r="P482" s="70" t="s">
        <v>636</v>
      </c>
      <c r="Q482" s="346"/>
      <c r="R482" s="343"/>
      <c r="S482" s="346"/>
      <c r="T482" s="150" t="s">
        <v>25</v>
      </c>
      <c r="U482" s="150"/>
      <c r="V482" s="403"/>
      <c r="W482" s="406">
        <v>0</v>
      </c>
      <c r="X482" s="406">
        <v>961.71</v>
      </c>
      <c r="Y482" s="430"/>
      <c r="Z482" s="137"/>
      <c r="AA482" s="426"/>
      <c r="AB482" s="427">
        <v>961.71</v>
      </c>
      <c r="AC482" s="431">
        <v>0</v>
      </c>
      <c r="AD482" s="428" t="s">
        <v>1142</v>
      </c>
      <c r="AE482" s="429">
        <v>0</v>
      </c>
      <c r="AF482" s="429">
        <v>0</v>
      </c>
      <c r="AG482" s="360">
        <v>0</v>
      </c>
      <c r="AH482" s="360">
        <v>0</v>
      </c>
      <c r="AI482" s="360">
        <v>0</v>
      </c>
      <c r="AJ482" s="360">
        <v>0</v>
      </c>
      <c r="AK482" s="360">
        <v>0</v>
      </c>
      <c r="AL482" s="360">
        <v>0</v>
      </c>
      <c r="AM482" s="360">
        <f t="shared" si="27"/>
        <v>961.71</v>
      </c>
      <c r="AN482" s="362">
        <f>ERP_2[[#This Row],[2026 Working Total]]-ERP_2[[#This Row],[LE2 Final Submission]]</f>
        <v>0</v>
      </c>
      <c r="AO482" s="79">
        <v>0</v>
      </c>
      <c r="AP482" s="79">
        <f t="shared" si="28"/>
        <v>0</v>
      </c>
      <c r="AQ482" s="374">
        <f>SUM(ERP_2[[#This Row],[AP01]:[AP06]])-SUM(ERP_2[[#This Row],[AP01 LE2]:[AP06 LE2]])</f>
        <v>0</v>
      </c>
      <c r="AR482" s="80"/>
      <c r="AS482" s="79">
        <f>ERP_2[[#This Row],[2026 Working Total to Budget/LE]]-ERP_2[[#This Row],[Giveback]]</f>
        <v>0</v>
      </c>
      <c r="AT482" s="81"/>
      <c r="AU482" s="375"/>
      <c r="AV482" s="375">
        <v>961.71</v>
      </c>
      <c r="AW482" s="375">
        <v>0</v>
      </c>
      <c r="AX482" s="375">
        <v>0</v>
      </c>
      <c r="AY482" s="375">
        <v>0</v>
      </c>
      <c r="AZ482" s="375">
        <v>0</v>
      </c>
      <c r="BA482" s="375">
        <v>0</v>
      </c>
      <c r="BB482" s="375">
        <v>0</v>
      </c>
      <c r="BC482" s="375">
        <v>0</v>
      </c>
      <c r="BD482" s="375">
        <v>0</v>
      </c>
      <c r="BE482" s="375">
        <v>0</v>
      </c>
      <c r="BF482" s="375">
        <v>0</v>
      </c>
      <c r="BG482" s="375">
        <v>961.71</v>
      </c>
      <c r="BH482" s="79"/>
      <c r="BI482" s="79">
        <v>961.71</v>
      </c>
      <c r="BJ482" s="79">
        <v>0</v>
      </c>
      <c r="BK482" s="79">
        <v>0</v>
      </c>
      <c r="BL482" s="79">
        <v>0</v>
      </c>
      <c r="BM482" s="79">
        <v>0</v>
      </c>
      <c r="BN482" s="79">
        <v>0</v>
      </c>
      <c r="BO482" s="79">
        <v>0</v>
      </c>
      <c r="BP482" s="79">
        <v>0</v>
      </c>
      <c r="BQ482" s="79">
        <v>0</v>
      </c>
      <c r="BR482" s="79">
        <v>0</v>
      </c>
      <c r="BS482" s="79">
        <v>0</v>
      </c>
      <c r="BT482" s="79">
        <v>961.71</v>
      </c>
    </row>
    <row r="483" spans="1:72" ht="15" hidden="1" customHeight="1">
      <c r="A483" s="66" t="s">
        <v>2201</v>
      </c>
      <c r="B483" s="66"/>
      <c r="C483" s="66" t="s">
        <v>637</v>
      </c>
      <c r="D483" s="66" t="s">
        <v>2202</v>
      </c>
      <c r="E483" s="150" t="s">
        <v>1136</v>
      </c>
      <c r="F483" s="482" t="s">
        <v>1566</v>
      </c>
      <c r="G483" s="482" t="s">
        <v>1566</v>
      </c>
      <c r="H483" s="482" t="s">
        <v>1566</v>
      </c>
      <c r="I483" s="150" t="s">
        <v>1345</v>
      </c>
      <c r="J483" s="150" t="s">
        <v>1346</v>
      </c>
      <c r="K483" s="150" t="s">
        <v>1346</v>
      </c>
      <c r="L483" s="511" t="s">
        <v>629</v>
      </c>
      <c r="M483" s="392" t="s">
        <v>1648</v>
      </c>
      <c r="N483" s="343"/>
      <c r="O483" s="343"/>
      <c r="P483" s="70" t="s">
        <v>323</v>
      </c>
      <c r="Q483" s="346"/>
      <c r="R483" s="343"/>
      <c r="S483" s="346"/>
      <c r="T483" s="150" t="s">
        <v>25</v>
      </c>
      <c r="U483" s="150"/>
      <c r="V483" s="403"/>
      <c r="W483" s="406">
        <v>0</v>
      </c>
      <c r="X483" s="406">
        <v>1672.26</v>
      </c>
      <c r="Y483" s="425"/>
      <c r="Z483" s="71"/>
      <c r="AA483" s="426"/>
      <c r="AB483" s="427">
        <v>1672.26</v>
      </c>
      <c r="AC483" s="431">
        <v>0</v>
      </c>
      <c r="AD483" s="428" t="s">
        <v>1142</v>
      </c>
      <c r="AE483" s="429">
        <v>0</v>
      </c>
      <c r="AF483" s="429">
        <v>0</v>
      </c>
      <c r="AG483" s="360">
        <v>0</v>
      </c>
      <c r="AH483" s="360">
        <v>0</v>
      </c>
      <c r="AI483" s="360">
        <v>0</v>
      </c>
      <c r="AJ483" s="360">
        <v>0</v>
      </c>
      <c r="AK483" s="360">
        <v>0</v>
      </c>
      <c r="AL483" s="360">
        <v>0</v>
      </c>
      <c r="AM483" s="360">
        <f t="shared" si="27"/>
        <v>1672.26</v>
      </c>
      <c r="AN483" s="362">
        <f>ERP_2[[#This Row],[2026 Working Total]]-ERP_2[[#This Row],[LE2 Final Submission]]</f>
        <v>0</v>
      </c>
      <c r="AO483" s="79">
        <v>0</v>
      </c>
      <c r="AP483" s="79">
        <f t="shared" si="28"/>
        <v>0</v>
      </c>
      <c r="AQ483" s="374">
        <f>SUM(ERP_2[[#This Row],[AP01]:[AP06]])-SUM(ERP_2[[#This Row],[AP01 LE2]:[AP06 LE2]])</f>
        <v>0</v>
      </c>
      <c r="AR483" s="80"/>
      <c r="AS483" s="79">
        <f>ERP_2[[#This Row],[2026 Working Total to Budget/LE]]-ERP_2[[#This Row],[Giveback]]</f>
        <v>0</v>
      </c>
      <c r="AT483" s="81"/>
      <c r="AU483" s="375"/>
      <c r="AV483" s="375">
        <v>1672.26</v>
      </c>
      <c r="AW483" s="375">
        <v>0</v>
      </c>
      <c r="AX483" s="375">
        <v>0</v>
      </c>
      <c r="AY483" s="375">
        <v>0</v>
      </c>
      <c r="AZ483" s="375">
        <v>0</v>
      </c>
      <c r="BA483" s="375">
        <v>0</v>
      </c>
      <c r="BB483" s="375">
        <v>0</v>
      </c>
      <c r="BC483" s="375">
        <v>0</v>
      </c>
      <c r="BD483" s="375">
        <v>0</v>
      </c>
      <c r="BE483" s="375">
        <v>0</v>
      </c>
      <c r="BF483" s="375">
        <v>0</v>
      </c>
      <c r="BG483" s="375">
        <v>1672.26</v>
      </c>
      <c r="BH483" s="79"/>
      <c r="BI483" s="79">
        <v>1672.26</v>
      </c>
      <c r="BJ483" s="79">
        <v>0</v>
      </c>
      <c r="BK483" s="79">
        <v>0</v>
      </c>
      <c r="BL483" s="79">
        <v>0</v>
      </c>
      <c r="BM483" s="79">
        <v>0</v>
      </c>
      <c r="BN483" s="79">
        <v>0</v>
      </c>
      <c r="BO483" s="79">
        <v>0</v>
      </c>
      <c r="BP483" s="79">
        <v>0</v>
      </c>
      <c r="BQ483" s="79">
        <v>0</v>
      </c>
      <c r="BR483" s="79">
        <v>0</v>
      </c>
      <c r="BS483" s="79">
        <v>0</v>
      </c>
      <c r="BT483" s="79">
        <v>1672.26</v>
      </c>
    </row>
    <row r="484" spans="1:72" ht="15" hidden="1" customHeight="1">
      <c r="A484" s="150" t="s">
        <v>2753</v>
      </c>
      <c r="B484" s="150"/>
      <c r="C484" s="536" t="s">
        <v>988</v>
      </c>
      <c r="D484" s="296" t="s">
        <v>2754</v>
      </c>
      <c r="E484" s="150" t="s">
        <v>1136</v>
      </c>
      <c r="F484" s="482" t="s">
        <v>1566</v>
      </c>
      <c r="G484" s="150" t="s">
        <v>1566</v>
      </c>
      <c r="H484" s="150" t="s">
        <v>1566</v>
      </c>
      <c r="I484" s="150" t="s">
        <v>1567</v>
      </c>
      <c r="J484" s="150" t="s">
        <v>1567</v>
      </c>
      <c r="K484" s="150" t="s">
        <v>1567</v>
      </c>
      <c r="L484" s="511" t="s">
        <v>639</v>
      </c>
      <c r="M484" s="394" t="s">
        <v>2232</v>
      </c>
      <c r="N484" s="333"/>
      <c r="O484" s="332" t="s">
        <v>2755</v>
      </c>
      <c r="P484" s="90" t="s">
        <v>657</v>
      </c>
      <c r="Q484" s="347"/>
      <c r="R484" s="347"/>
      <c r="S484" s="348"/>
      <c r="T484" s="348"/>
      <c r="U484" s="348"/>
      <c r="V484" s="402"/>
      <c r="W484" s="406"/>
      <c r="X484" s="406"/>
      <c r="Y484" s="425"/>
      <c r="Z484" s="71"/>
      <c r="AA484" s="435"/>
      <c r="AB484" s="436"/>
      <c r="AC484" s="436"/>
      <c r="AD484" s="429">
        <v>-920.3</v>
      </c>
      <c r="AE484" s="429">
        <v>0</v>
      </c>
      <c r="AF484" s="429">
        <v>0</v>
      </c>
      <c r="AG484" s="364"/>
      <c r="AH484" s="364"/>
      <c r="AI484" s="364"/>
      <c r="AJ484" s="364"/>
      <c r="AK484" s="364"/>
      <c r="AL484" s="364"/>
      <c r="AM484" s="360">
        <f t="shared" si="27"/>
        <v>-920.3</v>
      </c>
      <c r="AN484" s="362">
        <f>ERP_2[[#This Row],[2026 Working Total]]-ERP_2[[#This Row],[LE2 Final Submission]]</f>
        <v>-920.3</v>
      </c>
      <c r="AO484" s="79">
        <v>3000</v>
      </c>
      <c r="AP484" s="79">
        <f t="shared" si="28"/>
        <v>-3000</v>
      </c>
      <c r="AQ484" s="374">
        <f>SUM(ERP_2[[#This Row],[AP01]:[AP06]])-SUM(ERP_2[[#This Row],[AP01 LE2]:[AP06 LE2]])</f>
        <v>-920.3</v>
      </c>
      <c r="AR484" s="80"/>
      <c r="AS484" s="79">
        <f>ERP_2[[#This Row],[2026 Working Total to Budget/LE]]-ERP_2[[#This Row],[Giveback]]</f>
        <v>-920.3</v>
      </c>
      <c r="AT484" s="81"/>
      <c r="AU484" s="375"/>
      <c r="AV484" s="375"/>
      <c r="AW484" s="375"/>
      <c r="AX484" s="375"/>
      <c r="AY484" s="375"/>
      <c r="AZ484" s="375"/>
      <c r="BA484" s="375"/>
      <c r="BB484" s="375"/>
      <c r="BC484" s="375"/>
      <c r="BD484" s="375"/>
      <c r="BE484" s="375"/>
      <c r="BF484" s="375"/>
      <c r="BG484" s="375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</row>
    <row r="485" spans="1:72" ht="15" hidden="1" customHeight="1">
      <c r="A485" s="150" t="s">
        <v>2756</v>
      </c>
      <c r="B485" s="150"/>
      <c r="C485" s="536" t="s">
        <v>989</v>
      </c>
      <c r="D485" s="296" t="s">
        <v>2757</v>
      </c>
      <c r="E485" s="150" t="s">
        <v>1136</v>
      </c>
      <c r="F485" s="482" t="s">
        <v>1566</v>
      </c>
      <c r="G485" s="150" t="s">
        <v>1566</v>
      </c>
      <c r="H485" s="150" t="s">
        <v>1566</v>
      </c>
      <c r="I485" s="150" t="s">
        <v>1567</v>
      </c>
      <c r="J485" s="150" t="s">
        <v>1567</v>
      </c>
      <c r="K485" s="150" t="s">
        <v>1567</v>
      </c>
      <c r="L485" s="511" t="s">
        <v>639</v>
      </c>
      <c r="M485" s="394" t="s">
        <v>2758</v>
      </c>
      <c r="N485" s="333"/>
      <c r="O485" s="332" t="s">
        <v>2755</v>
      </c>
      <c r="P485" s="90" t="s">
        <v>659</v>
      </c>
      <c r="Q485" s="347"/>
      <c r="R485" s="347"/>
      <c r="S485" s="348"/>
      <c r="T485" s="348"/>
      <c r="U485" s="348"/>
      <c r="V485" s="402"/>
      <c r="W485" s="406"/>
      <c r="X485" s="406"/>
      <c r="Y485" s="425"/>
      <c r="Z485" s="71"/>
      <c r="AA485" s="435"/>
      <c r="AB485" s="436"/>
      <c r="AC485" s="436"/>
      <c r="AD485" s="429">
        <v>-6115.8</v>
      </c>
      <c r="AE485" s="429">
        <v>0</v>
      </c>
      <c r="AF485" s="429">
        <v>0</v>
      </c>
      <c r="AG485" s="364"/>
      <c r="AH485" s="364"/>
      <c r="AI485" s="364"/>
      <c r="AJ485" s="364"/>
      <c r="AK485" s="364"/>
      <c r="AL485" s="364"/>
      <c r="AM485" s="360">
        <f t="shared" si="27"/>
        <v>-6115.8</v>
      </c>
      <c r="AN485" s="362">
        <f>ERP_2[[#This Row],[2026 Working Total]]-ERP_2[[#This Row],[LE2 Final Submission]]</f>
        <v>-6115.8</v>
      </c>
      <c r="AO485" s="79">
        <v>351</v>
      </c>
      <c r="AP485" s="79">
        <f t="shared" si="28"/>
        <v>-351</v>
      </c>
      <c r="AQ485" s="374">
        <f>SUM(ERP_2[[#This Row],[AP01]:[AP06]])-SUM(ERP_2[[#This Row],[AP01 LE2]:[AP06 LE2]])</f>
        <v>-6115.8</v>
      </c>
      <c r="AR485" s="80"/>
      <c r="AS485" s="79">
        <f>ERP_2[[#This Row],[2026 Working Total to Budget/LE]]-ERP_2[[#This Row],[Giveback]]</f>
        <v>-6115.8</v>
      </c>
      <c r="AT485" s="81"/>
      <c r="AU485" s="375"/>
      <c r="AV485" s="375"/>
      <c r="AW485" s="375"/>
      <c r="AX485" s="375"/>
      <c r="AY485" s="375"/>
      <c r="AZ485" s="375"/>
      <c r="BA485" s="375"/>
      <c r="BB485" s="375"/>
      <c r="BC485" s="375"/>
      <c r="BD485" s="375"/>
      <c r="BE485" s="375"/>
      <c r="BF485" s="375"/>
      <c r="BG485" s="375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</row>
    <row r="486" spans="1:72" ht="15" hidden="1" customHeight="1">
      <c r="A486" s="66" t="s">
        <v>2759</v>
      </c>
      <c r="B486" s="66"/>
      <c r="C486" s="66" t="s">
        <v>990</v>
      </c>
      <c r="D486" s="66" t="s">
        <v>2760</v>
      </c>
      <c r="E486" s="150" t="s">
        <v>1136</v>
      </c>
      <c r="F486" s="482" t="s">
        <v>1566</v>
      </c>
      <c r="G486" s="150" t="s">
        <v>1566</v>
      </c>
      <c r="H486" s="150" t="s">
        <v>1566</v>
      </c>
      <c r="I486" s="150" t="s">
        <v>1567</v>
      </c>
      <c r="J486" s="150" t="s">
        <v>1567</v>
      </c>
      <c r="K486" s="150" t="s">
        <v>1567</v>
      </c>
      <c r="L486" s="511" t="s">
        <v>639</v>
      </c>
      <c r="M486" s="392" t="s">
        <v>1685</v>
      </c>
      <c r="N486" s="343"/>
      <c r="O486" s="343"/>
      <c r="P486" s="70" t="s">
        <v>661</v>
      </c>
      <c r="Q486" s="346" t="s">
        <v>1139</v>
      </c>
      <c r="R486" s="346" t="s">
        <v>1140</v>
      </c>
      <c r="S486" s="346"/>
      <c r="T486" s="150" t="s">
        <v>25</v>
      </c>
      <c r="U486" s="150"/>
      <c r="V486" s="404"/>
      <c r="W486" s="407">
        <v>0</v>
      </c>
      <c r="X486" s="407">
        <v>0</v>
      </c>
      <c r="Y486" s="425"/>
      <c r="Z486" s="71"/>
      <c r="AA486" s="426">
        <v>-6074.45</v>
      </c>
      <c r="AB486" s="427">
        <v>6074.45</v>
      </c>
      <c r="AC486" s="431">
        <v>0</v>
      </c>
      <c r="AD486" s="428" t="s">
        <v>1142</v>
      </c>
      <c r="AE486" s="429">
        <v>0</v>
      </c>
      <c r="AF486" s="429">
        <v>0</v>
      </c>
      <c r="AG486" s="360">
        <v>0</v>
      </c>
      <c r="AH486" s="360">
        <v>0</v>
      </c>
      <c r="AI486" s="360">
        <v>0</v>
      </c>
      <c r="AJ486" s="360">
        <v>0</v>
      </c>
      <c r="AK486" s="360">
        <v>0</v>
      </c>
      <c r="AL486" s="360">
        <v>0</v>
      </c>
      <c r="AM486" s="360">
        <f t="shared" si="27"/>
        <v>0</v>
      </c>
      <c r="AN486" s="362">
        <f>ERP_2[[#This Row],[2026 Working Total]]-ERP_2[[#This Row],[LE2 Final Submission]]</f>
        <v>0</v>
      </c>
      <c r="AO486" s="79">
        <v>0</v>
      </c>
      <c r="AP486" s="79">
        <f t="shared" si="28"/>
        <v>0</v>
      </c>
      <c r="AQ486" s="374">
        <f>SUM(ERP_2[[#This Row],[AP01]:[AP06]])-SUM(ERP_2[[#This Row],[AP01 LE2]:[AP06 LE2]])</f>
        <v>0</v>
      </c>
      <c r="AR486" s="80"/>
      <c r="AS486" s="79">
        <f>ERP_2[[#This Row],[2026 Working Total to Budget/LE]]-ERP_2[[#This Row],[Giveback]]</f>
        <v>0</v>
      </c>
      <c r="AT486" s="81"/>
      <c r="AU486" s="375">
        <v>-6074.45</v>
      </c>
      <c r="AV486" s="375">
        <v>6074.45</v>
      </c>
      <c r="AW486" s="375">
        <v>0</v>
      </c>
      <c r="AX486" s="375">
        <v>0</v>
      </c>
      <c r="AY486" s="375">
        <v>0</v>
      </c>
      <c r="AZ486" s="375">
        <v>0</v>
      </c>
      <c r="BA486" s="375">
        <v>0</v>
      </c>
      <c r="BB486" s="375">
        <v>0</v>
      </c>
      <c r="BC486" s="375">
        <v>0</v>
      </c>
      <c r="BD486" s="375">
        <v>0</v>
      </c>
      <c r="BE486" s="375">
        <v>0</v>
      </c>
      <c r="BF486" s="375">
        <v>0</v>
      </c>
      <c r="BG486" s="375">
        <v>0</v>
      </c>
      <c r="BH486" s="79">
        <v>-6074.45</v>
      </c>
      <c r="BI486" s="79">
        <v>6074.45</v>
      </c>
      <c r="BJ486" s="79">
        <v>0</v>
      </c>
      <c r="BK486" s="79">
        <v>0</v>
      </c>
      <c r="BL486" s="79">
        <v>0</v>
      </c>
      <c r="BM486" s="79">
        <v>0</v>
      </c>
      <c r="BN486" s="79">
        <v>0</v>
      </c>
      <c r="BO486" s="79">
        <v>0</v>
      </c>
      <c r="BP486" s="79">
        <v>0</v>
      </c>
      <c r="BQ486" s="79">
        <v>0</v>
      </c>
      <c r="BR486" s="79">
        <v>0</v>
      </c>
      <c r="BS486" s="79">
        <v>0</v>
      </c>
      <c r="BT486" s="79">
        <v>0</v>
      </c>
    </row>
    <row r="487" spans="1:72" ht="15" hidden="1" customHeight="1">
      <c r="A487" s="66" t="s">
        <v>2761</v>
      </c>
      <c r="B487" s="66"/>
      <c r="C487" s="66" t="s">
        <v>991</v>
      </c>
      <c r="D487" s="66" t="s">
        <v>2762</v>
      </c>
      <c r="E487" s="150" t="s">
        <v>1136</v>
      </c>
      <c r="F487" s="482" t="s">
        <v>1566</v>
      </c>
      <c r="G487" s="150" t="s">
        <v>1566</v>
      </c>
      <c r="H487" s="150" t="s">
        <v>1566</v>
      </c>
      <c r="I487" s="150" t="s">
        <v>1567</v>
      </c>
      <c r="J487" s="150" t="s">
        <v>1567</v>
      </c>
      <c r="K487" s="150" t="s">
        <v>1567</v>
      </c>
      <c r="L487" s="511" t="s">
        <v>639</v>
      </c>
      <c r="M487" s="392" t="s">
        <v>1685</v>
      </c>
      <c r="N487" s="343"/>
      <c r="O487" s="343"/>
      <c r="P487" s="70" t="s">
        <v>663</v>
      </c>
      <c r="Q487" s="346" t="s">
        <v>1139</v>
      </c>
      <c r="R487" s="346" t="s">
        <v>1140</v>
      </c>
      <c r="S487" s="346"/>
      <c r="T487" s="150" t="s">
        <v>25</v>
      </c>
      <c r="U487" s="150"/>
      <c r="V487" s="404"/>
      <c r="W487" s="407">
        <v>0</v>
      </c>
      <c r="X487" s="407">
        <v>0</v>
      </c>
      <c r="Y487" s="425"/>
      <c r="Z487" s="71"/>
      <c r="AA487" s="426">
        <v>-1978.48</v>
      </c>
      <c r="AB487" s="427">
        <v>1978.48</v>
      </c>
      <c r="AC487" s="431">
        <v>0</v>
      </c>
      <c r="AD487" s="428" t="s">
        <v>1142</v>
      </c>
      <c r="AE487" s="429">
        <v>0</v>
      </c>
      <c r="AF487" s="429">
        <v>0</v>
      </c>
      <c r="AG487" s="360">
        <v>0</v>
      </c>
      <c r="AH487" s="360">
        <v>0</v>
      </c>
      <c r="AI487" s="360">
        <v>0</v>
      </c>
      <c r="AJ487" s="360">
        <v>0</v>
      </c>
      <c r="AK487" s="360">
        <v>0</v>
      </c>
      <c r="AL487" s="360">
        <v>0</v>
      </c>
      <c r="AM487" s="360">
        <f t="shared" si="27"/>
        <v>0</v>
      </c>
      <c r="AN487" s="362">
        <f>ERP_2[[#This Row],[2026 Working Total]]-ERP_2[[#This Row],[LE2 Final Submission]]</f>
        <v>0</v>
      </c>
      <c r="AO487" s="79">
        <v>333.33</v>
      </c>
      <c r="AP487" s="79">
        <f t="shared" si="28"/>
        <v>-333.33</v>
      </c>
      <c r="AQ487" s="374">
        <f>SUM(ERP_2[[#This Row],[AP01]:[AP06]])-SUM(ERP_2[[#This Row],[AP01 LE2]:[AP06 LE2]])</f>
        <v>0</v>
      </c>
      <c r="AR487" s="80"/>
      <c r="AS487" s="79">
        <f>ERP_2[[#This Row],[2026 Working Total to Budget/LE]]-ERP_2[[#This Row],[Giveback]]</f>
        <v>0</v>
      </c>
      <c r="AT487" s="81"/>
      <c r="AU487" s="375">
        <v>-1978.48</v>
      </c>
      <c r="AV487" s="375">
        <v>1978.48</v>
      </c>
      <c r="AW487" s="375">
        <v>0</v>
      </c>
      <c r="AX487" s="375">
        <v>0</v>
      </c>
      <c r="AY487" s="375">
        <v>0</v>
      </c>
      <c r="AZ487" s="375">
        <v>0</v>
      </c>
      <c r="BA487" s="375">
        <v>0</v>
      </c>
      <c r="BB487" s="375">
        <v>0</v>
      </c>
      <c r="BC487" s="375">
        <v>0</v>
      </c>
      <c r="BD487" s="375">
        <v>0</v>
      </c>
      <c r="BE487" s="375">
        <v>0</v>
      </c>
      <c r="BF487" s="375">
        <v>0</v>
      </c>
      <c r="BG487" s="375">
        <v>0</v>
      </c>
      <c r="BH487" s="79">
        <v>-1978.48</v>
      </c>
      <c r="BI487" s="79">
        <v>1978.48</v>
      </c>
      <c r="BJ487" s="79">
        <v>0</v>
      </c>
      <c r="BK487" s="79">
        <v>0</v>
      </c>
      <c r="BL487" s="79">
        <v>0</v>
      </c>
      <c r="BM487" s="79">
        <v>0</v>
      </c>
      <c r="BN487" s="79">
        <v>0</v>
      </c>
      <c r="BO487" s="79">
        <v>0</v>
      </c>
      <c r="BP487" s="79">
        <v>0</v>
      </c>
      <c r="BQ487" s="79">
        <v>0</v>
      </c>
      <c r="BR487" s="79">
        <v>0</v>
      </c>
      <c r="BS487" s="79">
        <v>0</v>
      </c>
      <c r="BT487" s="79">
        <v>0</v>
      </c>
    </row>
    <row r="488" spans="1:72" ht="15" hidden="1" customHeight="1">
      <c r="A488" s="66" t="s">
        <v>2763</v>
      </c>
      <c r="B488" s="66"/>
      <c r="C488" s="66" t="s">
        <v>2941</v>
      </c>
      <c r="D488" s="66" t="s">
        <v>2764</v>
      </c>
      <c r="E488" s="150" t="s">
        <v>1136</v>
      </c>
      <c r="F488" s="482" t="s">
        <v>1566</v>
      </c>
      <c r="G488" s="482" t="s">
        <v>1566</v>
      </c>
      <c r="H488" s="482" t="s">
        <v>1566</v>
      </c>
      <c r="I488" s="150" t="s">
        <v>1345</v>
      </c>
      <c r="J488" s="150" t="s">
        <v>1346</v>
      </c>
      <c r="K488" s="150" t="s">
        <v>1346</v>
      </c>
      <c r="L488" s="511" t="s">
        <v>639</v>
      </c>
      <c r="M488" s="392" t="s">
        <v>1685</v>
      </c>
      <c r="N488" s="343"/>
      <c r="O488" s="343"/>
      <c r="P488" s="70" t="s">
        <v>350</v>
      </c>
      <c r="Q488" s="346" t="s">
        <v>1139</v>
      </c>
      <c r="R488" s="346" t="s">
        <v>1140</v>
      </c>
      <c r="S488" s="346"/>
      <c r="T488" s="150" t="s">
        <v>25</v>
      </c>
      <c r="U488" s="150"/>
      <c r="V488" s="404"/>
      <c r="W488" s="407">
        <v>0</v>
      </c>
      <c r="X488" s="407">
        <v>0</v>
      </c>
      <c r="Y488" s="425"/>
      <c r="Z488" s="71"/>
      <c r="AA488" s="426">
        <v>-256.76</v>
      </c>
      <c r="AB488" s="427">
        <v>256.76</v>
      </c>
      <c r="AC488" s="431">
        <v>0</v>
      </c>
      <c r="AD488" s="428">
        <v>0</v>
      </c>
      <c r="AE488" s="429">
        <v>0</v>
      </c>
      <c r="AF488" s="429">
        <v>0</v>
      </c>
      <c r="AG488" s="360">
        <v>0</v>
      </c>
      <c r="AH488" s="360">
        <v>0</v>
      </c>
      <c r="AI488" s="360">
        <v>0</v>
      </c>
      <c r="AJ488" s="360">
        <v>0</v>
      </c>
      <c r="AK488" s="360">
        <v>0</v>
      </c>
      <c r="AL488" s="360">
        <v>0</v>
      </c>
      <c r="AM488" s="360">
        <f t="shared" si="27"/>
        <v>0</v>
      </c>
      <c r="AN488" s="362">
        <f>ERP_2[[#This Row],[2026 Working Total]]-ERP_2[[#This Row],[LE2 Final Submission]]</f>
        <v>0</v>
      </c>
      <c r="AO488" s="79">
        <v>0</v>
      </c>
      <c r="AP488" s="79">
        <f t="shared" si="28"/>
        <v>0</v>
      </c>
      <c r="AQ488" s="374">
        <f>SUM(ERP_2[[#This Row],[AP01]:[AP06]])-SUM(ERP_2[[#This Row],[AP01 LE2]:[AP06 LE2]])</f>
        <v>0</v>
      </c>
      <c r="AR488" s="80"/>
      <c r="AS488" s="79">
        <f>ERP_2[[#This Row],[2026 Working Total to Budget/LE]]-ERP_2[[#This Row],[Giveback]]</f>
        <v>0</v>
      </c>
      <c r="AT488" s="81"/>
      <c r="AU488" s="375">
        <v>-256.76</v>
      </c>
      <c r="AV488" s="375">
        <v>256.76</v>
      </c>
      <c r="AW488" s="375">
        <v>0</v>
      </c>
      <c r="AX488" s="375">
        <v>0</v>
      </c>
      <c r="AY488" s="375">
        <v>0</v>
      </c>
      <c r="AZ488" s="375">
        <v>0</v>
      </c>
      <c r="BA488" s="375">
        <v>0</v>
      </c>
      <c r="BB488" s="375">
        <v>0</v>
      </c>
      <c r="BC488" s="375">
        <v>0</v>
      </c>
      <c r="BD488" s="375">
        <v>0</v>
      </c>
      <c r="BE488" s="375">
        <v>0</v>
      </c>
      <c r="BF488" s="375">
        <v>0</v>
      </c>
      <c r="BG488" s="375">
        <v>0</v>
      </c>
      <c r="BH488" s="79">
        <v>-256.76</v>
      </c>
      <c r="BI488" s="79">
        <v>256.76</v>
      </c>
      <c r="BJ488" s="79">
        <v>0</v>
      </c>
      <c r="BK488" s="79">
        <v>0</v>
      </c>
      <c r="BL488" s="79">
        <v>0</v>
      </c>
      <c r="BM488" s="79">
        <v>0</v>
      </c>
      <c r="BN488" s="79">
        <v>0</v>
      </c>
      <c r="BO488" s="79">
        <v>0</v>
      </c>
      <c r="BP488" s="79">
        <v>0</v>
      </c>
      <c r="BQ488" s="79">
        <v>0</v>
      </c>
      <c r="BR488" s="79">
        <v>0</v>
      </c>
      <c r="BS488" s="79">
        <v>0</v>
      </c>
      <c r="BT488" s="79">
        <v>0</v>
      </c>
    </row>
    <row r="489" spans="1:72" ht="15" hidden="1" customHeight="1">
      <c r="A489" s="66" t="s">
        <v>2765</v>
      </c>
      <c r="B489" s="66"/>
      <c r="C489" s="66" t="s">
        <v>2937</v>
      </c>
      <c r="D489" s="66" t="s">
        <v>2766</v>
      </c>
      <c r="E489" s="150" t="s">
        <v>1136</v>
      </c>
      <c r="F489" s="482" t="s">
        <v>1566</v>
      </c>
      <c r="G489" s="150" t="s">
        <v>1566</v>
      </c>
      <c r="H489" s="150" t="s">
        <v>1566</v>
      </c>
      <c r="I489" s="150" t="s">
        <v>1567</v>
      </c>
      <c r="J489" s="150" t="s">
        <v>1567</v>
      </c>
      <c r="K489" s="150" t="s">
        <v>1567</v>
      </c>
      <c r="L489" s="511" t="s">
        <v>639</v>
      </c>
      <c r="M489" s="392" t="s">
        <v>1685</v>
      </c>
      <c r="N489" s="343"/>
      <c r="O489" s="343"/>
      <c r="P489" s="70" t="s">
        <v>2242</v>
      </c>
      <c r="Q489" s="346" t="s">
        <v>1139</v>
      </c>
      <c r="R489" s="346" t="s">
        <v>1140</v>
      </c>
      <c r="S489" s="346"/>
      <c r="T489" s="150" t="s">
        <v>25</v>
      </c>
      <c r="U489" s="150"/>
      <c r="V489" s="404"/>
      <c r="W489" s="407">
        <v>0</v>
      </c>
      <c r="X489" s="407">
        <v>0</v>
      </c>
      <c r="Y489" s="425"/>
      <c r="Z489" s="71"/>
      <c r="AA489" s="426"/>
      <c r="AB489" s="427"/>
      <c r="AC489" s="431">
        <v>0</v>
      </c>
      <c r="AD489" s="428">
        <v>-184.67</v>
      </c>
      <c r="AE489" s="429">
        <v>0</v>
      </c>
      <c r="AF489" s="429">
        <v>0</v>
      </c>
      <c r="AG489" s="360">
        <v>0</v>
      </c>
      <c r="AH489" s="360">
        <v>0</v>
      </c>
      <c r="AI489" s="360">
        <v>0</v>
      </c>
      <c r="AJ489" s="360">
        <v>0</v>
      </c>
      <c r="AK489" s="360">
        <v>0</v>
      </c>
      <c r="AL489" s="360">
        <v>0</v>
      </c>
      <c r="AM489" s="360">
        <f t="shared" si="27"/>
        <v>-184.67</v>
      </c>
      <c r="AN489" s="362">
        <f>ERP_2[[#This Row],[2026 Working Total]]-ERP_2[[#This Row],[LE2 Final Submission]]</f>
        <v>-184.67</v>
      </c>
      <c r="AO489" s="79">
        <v>0</v>
      </c>
      <c r="AP489" s="79">
        <f t="shared" si="28"/>
        <v>0</v>
      </c>
      <c r="AQ489" s="374">
        <f>SUM(ERP_2[[#This Row],[AP01]:[AP06]])-SUM(ERP_2[[#This Row],[AP01 LE2]:[AP06 LE2]])</f>
        <v>-184.67</v>
      </c>
      <c r="AR489" s="80"/>
      <c r="AS489" s="79">
        <f>ERP_2[[#This Row],[2026 Working Total to Budget/LE]]-ERP_2[[#This Row],[Giveback]]</f>
        <v>-184.67</v>
      </c>
      <c r="AT489" s="81"/>
      <c r="AU489" s="375"/>
      <c r="AV489" s="375"/>
      <c r="AW489" s="375">
        <v>0</v>
      </c>
      <c r="AX489" s="375">
        <v>0</v>
      </c>
      <c r="AY489" s="375">
        <v>0</v>
      </c>
      <c r="AZ489" s="375">
        <v>0</v>
      </c>
      <c r="BA489" s="375">
        <v>0</v>
      </c>
      <c r="BB489" s="375">
        <v>0</v>
      </c>
      <c r="BC489" s="375">
        <v>0</v>
      </c>
      <c r="BD489" s="375">
        <v>0</v>
      </c>
      <c r="BE489" s="375">
        <v>0</v>
      </c>
      <c r="BF489" s="375">
        <v>0</v>
      </c>
      <c r="BG489" s="375">
        <v>0</v>
      </c>
      <c r="BH489" s="79"/>
      <c r="BI489" s="79"/>
      <c r="BJ489" s="79">
        <v>0</v>
      </c>
      <c r="BK489" s="79">
        <v>0</v>
      </c>
      <c r="BL489" s="79">
        <v>0</v>
      </c>
      <c r="BM489" s="79">
        <v>0</v>
      </c>
      <c r="BN489" s="79">
        <v>0</v>
      </c>
      <c r="BO489" s="79">
        <v>0</v>
      </c>
      <c r="BP489" s="79">
        <v>0</v>
      </c>
      <c r="BQ489" s="79">
        <v>0</v>
      </c>
      <c r="BR489" s="79">
        <v>0</v>
      </c>
      <c r="BS489" s="79">
        <v>0</v>
      </c>
      <c r="BT489" s="79">
        <v>0</v>
      </c>
    </row>
    <row r="490" spans="1:72" ht="15" hidden="1" customHeight="1">
      <c r="A490" s="150" t="s">
        <v>2767</v>
      </c>
      <c r="B490" s="150"/>
      <c r="C490" s="536" t="s">
        <v>994</v>
      </c>
      <c r="D490" s="296" t="s">
        <v>2768</v>
      </c>
      <c r="E490" s="150" t="s">
        <v>1136</v>
      </c>
      <c r="F490" s="482" t="s">
        <v>1566</v>
      </c>
      <c r="G490" s="150" t="s">
        <v>1566</v>
      </c>
      <c r="H490" s="150" t="s">
        <v>1566</v>
      </c>
      <c r="I490" s="150" t="s">
        <v>1567</v>
      </c>
      <c r="J490" s="150" t="s">
        <v>1567</v>
      </c>
      <c r="K490" s="150" t="s">
        <v>1567</v>
      </c>
      <c r="L490" s="511" t="s">
        <v>639</v>
      </c>
      <c r="M490" s="394" t="s">
        <v>2245</v>
      </c>
      <c r="N490" s="333"/>
      <c r="O490" s="332" t="s">
        <v>2755</v>
      </c>
      <c r="P490" s="90" t="s">
        <v>2246</v>
      </c>
      <c r="Q490" s="347"/>
      <c r="R490" s="347"/>
      <c r="S490" s="348"/>
      <c r="T490" s="348"/>
      <c r="U490" s="348"/>
      <c r="V490" s="402"/>
      <c r="W490" s="406"/>
      <c r="X490" s="406"/>
      <c r="Y490" s="425"/>
      <c r="Z490" s="71"/>
      <c r="AA490" s="435"/>
      <c r="AB490" s="436"/>
      <c r="AC490" s="436"/>
      <c r="AD490" s="429">
        <v>-451.1</v>
      </c>
      <c r="AE490" s="429">
        <v>0</v>
      </c>
      <c r="AF490" s="429">
        <v>0</v>
      </c>
      <c r="AG490" s="364"/>
      <c r="AH490" s="364"/>
      <c r="AI490" s="364"/>
      <c r="AJ490" s="364"/>
      <c r="AK490" s="364"/>
      <c r="AL490" s="364"/>
      <c r="AM490" s="360">
        <f t="shared" si="27"/>
        <v>-451.1</v>
      </c>
      <c r="AN490" s="362">
        <f>ERP_2[[#This Row],[2026 Working Total]]-ERP_2[[#This Row],[LE2 Final Submission]]</f>
        <v>-451.1</v>
      </c>
      <c r="AO490" s="79"/>
      <c r="AP490" s="79">
        <f t="shared" si="28"/>
        <v>0</v>
      </c>
      <c r="AQ490" s="374">
        <f>SUM(ERP_2[[#This Row],[AP01]:[AP06]])-SUM(ERP_2[[#This Row],[AP01 LE2]:[AP06 LE2]])</f>
        <v>-451.1</v>
      </c>
      <c r="AR490" s="80"/>
      <c r="AS490" s="79">
        <f>ERP_2[[#This Row],[2026 Working Total to Budget/LE]]-ERP_2[[#This Row],[Giveback]]</f>
        <v>-451.1</v>
      </c>
      <c r="AT490" s="81"/>
      <c r="AU490" s="375"/>
      <c r="AV490" s="375"/>
      <c r="AW490" s="375"/>
      <c r="AX490" s="375"/>
      <c r="AY490" s="375"/>
      <c r="AZ490" s="375"/>
      <c r="BA490" s="375"/>
      <c r="BB490" s="375"/>
      <c r="BC490" s="375"/>
      <c r="BD490" s="375"/>
      <c r="BE490" s="375"/>
      <c r="BF490" s="375"/>
      <c r="BG490" s="375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</row>
    <row r="491" spans="1:72" ht="15" hidden="1" customHeight="1">
      <c r="A491" s="79" t="s">
        <v>2769</v>
      </c>
      <c r="B491" s="79"/>
      <c r="C491" s="79" t="s">
        <v>995</v>
      </c>
      <c r="D491" s="296" t="s">
        <v>2770</v>
      </c>
      <c r="E491" s="150" t="s">
        <v>1136</v>
      </c>
      <c r="F491" s="482" t="s">
        <v>1566</v>
      </c>
      <c r="G491" s="150" t="s">
        <v>1566</v>
      </c>
      <c r="H491" s="150" t="s">
        <v>1566</v>
      </c>
      <c r="I491" t="s">
        <v>1567</v>
      </c>
      <c r="J491" t="s">
        <v>1567</v>
      </c>
      <c r="K491" s="150" t="s">
        <v>1567</v>
      </c>
      <c r="L491" s="514" t="s">
        <v>639</v>
      </c>
      <c r="M491" s="394" t="s">
        <v>1699</v>
      </c>
      <c r="N491" s="343"/>
      <c r="O491" s="333"/>
      <c r="P491" s="70" t="s">
        <v>362</v>
      </c>
      <c r="Q491" s="347"/>
      <c r="R491" s="343"/>
      <c r="S491" s="348"/>
      <c r="T491" s="348"/>
      <c r="U491" s="348" t="s">
        <v>1700</v>
      </c>
      <c r="V491" s="402"/>
      <c r="W491" s="358"/>
      <c r="X491" s="379">
        <v>0</v>
      </c>
      <c r="Y491" s="425"/>
      <c r="Z491" s="71"/>
      <c r="AA491" s="435"/>
      <c r="AB491" s="436"/>
      <c r="AC491" s="436"/>
      <c r="AD491" s="428" t="s">
        <v>1142</v>
      </c>
      <c r="AE491" s="429">
        <v>0</v>
      </c>
      <c r="AF491" s="429">
        <v>0</v>
      </c>
      <c r="AG491" s="364"/>
      <c r="AH491" s="364"/>
      <c r="AI491" s="364"/>
      <c r="AJ491" s="364"/>
      <c r="AK491" s="364"/>
      <c r="AL491" s="364"/>
      <c r="AM491" s="360">
        <f t="shared" si="27"/>
        <v>0</v>
      </c>
      <c r="AN491" s="362">
        <f>ERP_2[[#This Row],[2026 Working Total]]-ERP_2[[#This Row],[LE2 Final Submission]]</f>
        <v>0</v>
      </c>
      <c r="AO491" s="79">
        <v>7671.84</v>
      </c>
      <c r="AP491" s="79">
        <f t="shared" si="28"/>
        <v>-7671.84</v>
      </c>
      <c r="AQ491" s="374">
        <f>SUM(ERP_2[[#This Row],[AP01]:[AP06]])-SUM(ERP_2[[#This Row],[AP01 LE2]:[AP06 LE2]])</f>
        <v>0</v>
      </c>
      <c r="AR491" s="80"/>
      <c r="AS491" s="79">
        <f>ERP_2[[#This Row],[2026 Working Total to Budget/LE]]-ERP_2[[#This Row],[Giveback]]</f>
        <v>0</v>
      </c>
      <c r="AT491" s="81"/>
      <c r="AU491" s="375"/>
      <c r="AV491" s="375"/>
      <c r="AW491" s="375"/>
      <c r="AX491" s="375">
        <v>-7671.84</v>
      </c>
      <c r="AY491" s="375">
        <v>7671.84</v>
      </c>
      <c r="AZ491" s="375"/>
      <c r="BA491" s="375"/>
      <c r="BB491" s="375"/>
      <c r="BC491" s="375"/>
      <c r="BD491" s="375"/>
      <c r="BE491" s="375"/>
      <c r="BF491" s="375"/>
      <c r="BG491" s="375">
        <v>0</v>
      </c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</row>
    <row r="492" spans="1:72" ht="15" hidden="1" customHeight="1">
      <c r="A492" s="150" t="s">
        <v>2771</v>
      </c>
      <c r="B492" s="150"/>
      <c r="C492" s="536" t="s">
        <v>996</v>
      </c>
      <c r="D492" s="296" t="s">
        <v>2772</v>
      </c>
      <c r="E492" s="150" t="s">
        <v>1136</v>
      </c>
      <c r="F492" s="482" t="s">
        <v>1566</v>
      </c>
      <c r="G492" s="150" t="s">
        <v>1566</v>
      </c>
      <c r="H492" s="150" t="s">
        <v>1566</v>
      </c>
      <c r="I492" s="332" t="s">
        <v>1567</v>
      </c>
      <c r="J492" s="332" t="s">
        <v>1567</v>
      </c>
      <c r="K492" s="333" t="s">
        <v>1567</v>
      </c>
      <c r="L492" s="514" t="s">
        <v>639</v>
      </c>
      <c r="M492" s="394" t="s">
        <v>2773</v>
      </c>
      <c r="N492" s="333"/>
      <c r="O492" s="332" t="s">
        <v>1634</v>
      </c>
      <c r="P492" s="90" t="s">
        <v>274</v>
      </c>
      <c r="Q492" s="347"/>
      <c r="R492" s="347"/>
      <c r="S492" s="348"/>
      <c r="T492" s="506" t="s">
        <v>310</v>
      </c>
      <c r="U492" s="348"/>
      <c r="V492" s="402"/>
      <c r="W492" s="406"/>
      <c r="X492" s="406"/>
      <c r="Y492" s="425"/>
      <c r="Z492" s="71"/>
      <c r="AA492" s="435"/>
      <c r="AB492" s="436"/>
      <c r="AC492" s="436"/>
      <c r="AD492" s="436"/>
      <c r="AE492" s="429">
        <v>227</v>
      </c>
      <c r="AF492" s="429">
        <v>0</v>
      </c>
      <c r="AG492" s="364"/>
      <c r="AH492" s="364"/>
      <c r="AI492" s="364"/>
      <c r="AJ492" s="364"/>
      <c r="AK492" s="364"/>
      <c r="AL492" s="364"/>
      <c r="AM492" s="360">
        <f t="shared" si="27"/>
        <v>227</v>
      </c>
      <c r="AN492" s="362">
        <f>ERP_2[[#This Row],[2026 Working Total]]-ERP_2[[#This Row],[LE2 Final Submission]]</f>
        <v>227</v>
      </c>
      <c r="AO492" s="79"/>
      <c r="AP492" s="79">
        <f t="shared" si="28"/>
        <v>0</v>
      </c>
      <c r="AQ492" s="374">
        <f>SUM(ERP_2[[#This Row],[AP01]:[AP06]])-SUM(ERP_2[[#This Row],[AP01 LE2]:[AP06 LE2]])</f>
        <v>227</v>
      </c>
      <c r="AR492" s="80"/>
      <c r="AS492" s="79">
        <f>ERP_2[[#This Row],[2026 Working Total to Budget/LE]]-ERP_2[[#This Row],[Giveback]]</f>
        <v>227</v>
      </c>
      <c r="AT492" s="81"/>
      <c r="AU492" s="375"/>
      <c r="AV492" s="375"/>
      <c r="AW492" s="375"/>
      <c r="AX492" s="375"/>
      <c r="AY492" s="375"/>
      <c r="AZ492" s="375"/>
      <c r="BA492" s="375"/>
      <c r="BB492" s="375"/>
      <c r="BC492" s="375"/>
      <c r="BD492" s="375"/>
      <c r="BE492" s="375"/>
      <c r="BF492" s="375"/>
      <c r="BG492" s="375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</row>
    <row r="493" spans="1:72" ht="15" hidden="1" customHeight="1">
      <c r="A493" s="66" t="s">
        <v>2778</v>
      </c>
      <c r="B493" s="66"/>
      <c r="C493" s="66" t="s">
        <v>998</v>
      </c>
      <c r="D493" s="66" t="s">
        <v>2779</v>
      </c>
      <c r="E493" s="150" t="s">
        <v>1136</v>
      </c>
      <c r="F493" s="482" t="s">
        <v>1566</v>
      </c>
      <c r="G493" s="150" t="s">
        <v>1566</v>
      </c>
      <c r="H493" s="150" t="s">
        <v>1566</v>
      </c>
      <c r="I493" s="150" t="s">
        <v>1567</v>
      </c>
      <c r="J493" s="150" t="s">
        <v>1567</v>
      </c>
      <c r="K493" s="150" t="s">
        <v>1567</v>
      </c>
      <c r="L493" s="511" t="s">
        <v>639</v>
      </c>
      <c r="M493" s="392" t="s">
        <v>2780</v>
      </c>
      <c r="N493" s="343"/>
      <c r="O493" s="343"/>
      <c r="P493" s="70" t="s">
        <v>999</v>
      </c>
      <c r="Q493" s="346"/>
      <c r="R493" s="346" t="s">
        <v>1140</v>
      </c>
      <c r="S493" s="346"/>
      <c r="T493" s="150" t="s">
        <v>1000</v>
      </c>
      <c r="U493" s="150"/>
      <c r="V493" s="404"/>
      <c r="W493" s="407">
        <v>0</v>
      </c>
      <c r="X493" s="407">
        <v>0</v>
      </c>
      <c r="Y493" s="425"/>
      <c r="Z493" s="71"/>
      <c r="AA493" s="426">
        <v>16675.14</v>
      </c>
      <c r="AB493" s="431">
        <v>0</v>
      </c>
      <c r="AC493" s="427">
        <v>-16675.14</v>
      </c>
      <c r="AD493" s="428" t="s">
        <v>1142</v>
      </c>
      <c r="AE493" s="429">
        <v>0</v>
      </c>
      <c r="AF493" s="429">
        <v>0</v>
      </c>
      <c r="AG493" s="363"/>
      <c r="AH493" s="363"/>
      <c r="AI493" s="363"/>
      <c r="AJ493" s="363"/>
      <c r="AK493" s="363"/>
      <c r="AL493" s="363"/>
      <c r="AM493" s="360">
        <f t="shared" si="27"/>
        <v>0</v>
      </c>
      <c r="AN493" s="362">
        <f>ERP_2[[#This Row],[2026 Working Total]]-ERP_2[[#This Row],[LE2 Final Submission]]</f>
        <v>0</v>
      </c>
      <c r="AO493" s="79"/>
      <c r="AP493" s="79">
        <f t="shared" si="28"/>
        <v>0</v>
      </c>
      <c r="AQ493" s="374">
        <f>SUM(ERP_2[[#This Row],[AP01]:[AP06]])-SUM(ERP_2[[#This Row],[AP01 LE2]:[AP06 LE2]])</f>
        <v>0</v>
      </c>
      <c r="AR493" s="80"/>
      <c r="AS493" s="79">
        <f>ERP_2[[#This Row],[2026 Working Total to Budget/LE]]-ERP_2[[#This Row],[Giveback]]</f>
        <v>0</v>
      </c>
      <c r="AT493" s="81"/>
      <c r="AU493" s="375">
        <v>16675.14</v>
      </c>
      <c r="AV493" s="375">
        <v>0</v>
      </c>
      <c r="AW493" s="375">
        <v>-16675.14</v>
      </c>
      <c r="AX493" s="375"/>
      <c r="AY493" s="375"/>
      <c r="AZ493" s="375"/>
      <c r="BA493" s="375"/>
      <c r="BB493" s="375"/>
      <c r="BC493" s="375"/>
      <c r="BD493" s="375"/>
      <c r="BE493" s="375"/>
      <c r="BF493" s="375"/>
      <c r="BG493" s="375">
        <v>0</v>
      </c>
      <c r="BH493" s="79">
        <v>16675.14</v>
      </c>
      <c r="BI493" s="79">
        <v>0</v>
      </c>
      <c r="BJ493" s="79">
        <v>-16675.14</v>
      </c>
      <c r="BK493" s="79"/>
      <c r="BL493" s="79"/>
      <c r="BM493" s="79"/>
      <c r="BN493" s="79"/>
      <c r="BO493" s="79"/>
      <c r="BP493" s="79"/>
      <c r="BQ493" s="79"/>
      <c r="BR493" s="79"/>
      <c r="BS493" s="79"/>
      <c r="BT493" s="79">
        <v>0</v>
      </c>
    </row>
    <row r="494" spans="1:72" ht="15" hidden="1" customHeight="1">
      <c r="A494" s="66" t="s">
        <v>2269</v>
      </c>
      <c r="B494" s="66"/>
      <c r="C494" s="66" t="s">
        <v>1001</v>
      </c>
      <c r="D494" s="66" t="s">
        <v>2270</v>
      </c>
      <c r="E494" s="150" t="s">
        <v>1136</v>
      </c>
      <c r="F494" s="482" t="s">
        <v>1566</v>
      </c>
      <c r="G494" s="482" t="s">
        <v>1566</v>
      </c>
      <c r="H494" s="482" t="s">
        <v>1566</v>
      </c>
      <c r="I494" s="150" t="s">
        <v>1345</v>
      </c>
      <c r="J494" s="150" t="s">
        <v>1346</v>
      </c>
      <c r="K494" s="150" t="s">
        <v>1346</v>
      </c>
      <c r="L494" s="511" t="s">
        <v>639</v>
      </c>
      <c r="M494" s="392" t="s">
        <v>1889</v>
      </c>
      <c r="N494" s="343"/>
      <c r="O494" s="343"/>
      <c r="P494" s="70" t="s">
        <v>578</v>
      </c>
      <c r="Q494" s="346"/>
      <c r="R494" s="346" t="s">
        <v>1221</v>
      </c>
      <c r="S494" s="346"/>
      <c r="T494" s="150" t="s">
        <v>272</v>
      </c>
      <c r="U494" s="150"/>
      <c r="V494" s="403"/>
      <c r="W494" s="406">
        <v>0</v>
      </c>
      <c r="X494" s="406">
        <v>139.72999999999999</v>
      </c>
      <c r="Y494" s="425"/>
      <c r="Z494" s="71"/>
      <c r="AA494" s="426">
        <v>139.72999999999999</v>
      </c>
      <c r="AB494" s="427">
        <v>139.72999999999999</v>
      </c>
      <c r="AC494" s="427">
        <v>-139.72999999999999</v>
      </c>
      <c r="AD494" s="428">
        <v>0</v>
      </c>
      <c r="AE494" s="429">
        <v>0</v>
      </c>
      <c r="AF494" s="429">
        <v>0</v>
      </c>
      <c r="AG494" s="363">
        <v>0</v>
      </c>
      <c r="AH494" s="363">
        <v>0</v>
      </c>
      <c r="AI494" s="363">
        <v>0</v>
      </c>
      <c r="AJ494" s="363">
        <v>0</v>
      </c>
      <c r="AK494" s="363">
        <v>0</v>
      </c>
      <c r="AL494" s="363">
        <v>0</v>
      </c>
      <c r="AM494" s="360">
        <f t="shared" si="27"/>
        <v>139.72999999999999</v>
      </c>
      <c r="AN494" s="362">
        <f>ERP_2[[#This Row],[2026 Working Total]]-ERP_2[[#This Row],[LE2 Final Submission]]</f>
        <v>0</v>
      </c>
      <c r="AO494" s="79">
        <v>0</v>
      </c>
      <c r="AP494" s="79">
        <f t="shared" si="28"/>
        <v>0</v>
      </c>
      <c r="AQ494" s="374">
        <f>SUM(ERP_2[[#This Row],[AP01]:[AP06]])-SUM(ERP_2[[#This Row],[AP01 LE2]:[AP06 LE2]])</f>
        <v>0</v>
      </c>
      <c r="AR494" s="80"/>
      <c r="AS494" s="79">
        <f>ERP_2[[#This Row],[2026 Working Total to Budget/LE]]-ERP_2[[#This Row],[Giveback]]</f>
        <v>0</v>
      </c>
      <c r="AT494" s="81"/>
      <c r="AU494" s="375">
        <v>139.72999999999999</v>
      </c>
      <c r="AV494" s="375">
        <v>139.72999999999999</v>
      </c>
      <c r="AW494" s="375">
        <v>-139.72999999999999</v>
      </c>
      <c r="AX494" s="375">
        <v>0</v>
      </c>
      <c r="AY494" s="375">
        <v>0</v>
      </c>
      <c r="AZ494" s="375">
        <v>0</v>
      </c>
      <c r="BA494" s="375">
        <v>0</v>
      </c>
      <c r="BB494" s="375">
        <v>0</v>
      </c>
      <c r="BC494" s="375">
        <v>0</v>
      </c>
      <c r="BD494" s="375">
        <v>0</v>
      </c>
      <c r="BE494" s="375">
        <v>0</v>
      </c>
      <c r="BF494" s="375">
        <v>0</v>
      </c>
      <c r="BG494" s="375">
        <v>139.72999999999999</v>
      </c>
      <c r="BH494" s="79">
        <v>139.72999999999999</v>
      </c>
      <c r="BI494" s="79">
        <v>139.72999999999999</v>
      </c>
      <c r="BJ494" s="79">
        <v>-139.72999999999999</v>
      </c>
      <c r="BK494" s="79">
        <v>139.72999999999999</v>
      </c>
      <c r="BL494" s="79">
        <v>139.72999999999999</v>
      </c>
      <c r="BM494" s="79">
        <v>139.72999999999999</v>
      </c>
      <c r="BN494" s="79">
        <v>139.72999999999999</v>
      </c>
      <c r="BO494" s="79">
        <v>139.72999999999999</v>
      </c>
      <c r="BP494" s="79">
        <v>139.72999999999999</v>
      </c>
      <c r="BQ494" s="79">
        <v>139.72999999999999</v>
      </c>
      <c r="BR494" s="79">
        <v>139.72999999999999</v>
      </c>
      <c r="BS494" s="79">
        <v>139.72999999999999</v>
      </c>
      <c r="BT494" s="79">
        <v>1397.3</v>
      </c>
    </row>
    <row r="495" spans="1:72" ht="15" hidden="1" customHeight="1">
      <c r="A495" s="150" t="s">
        <v>2781</v>
      </c>
      <c r="B495" s="150"/>
      <c r="C495" s="536" t="s">
        <v>1002</v>
      </c>
      <c r="D495" s="296" t="s">
        <v>2782</v>
      </c>
      <c r="E495" s="150" t="s">
        <v>1136</v>
      </c>
      <c r="F495" s="482" t="s">
        <v>1566</v>
      </c>
      <c r="G495" s="482" t="s">
        <v>1566</v>
      </c>
      <c r="H495" s="482" t="s">
        <v>1566</v>
      </c>
      <c r="I495" s="150" t="s">
        <v>1345</v>
      </c>
      <c r="J495" s="150" t="s">
        <v>1346</v>
      </c>
      <c r="K495" s="331" t="s">
        <v>1346</v>
      </c>
      <c r="L495" s="514" t="s">
        <v>639</v>
      </c>
      <c r="M495" s="394" t="s">
        <v>2783</v>
      </c>
      <c r="N495" s="333"/>
      <c r="O495" s="332" t="s">
        <v>1499</v>
      </c>
      <c r="P495" s="90" t="s">
        <v>365</v>
      </c>
      <c r="Q495" s="347"/>
      <c r="R495" s="347"/>
      <c r="S495" s="348"/>
      <c r="T495" s="348"/>
      <c r="U495" s="348"/>
      <c r="V495" s="402"/>
      <c r="W495" s="406"/>
      <c r="X495" s="406"/>
      <c r="Y495" s="425"/>
      <c r="Z495" s="71"/>
      <c r="AA495" s="435"/>
      <c r="AB495" s="436"/>
      <c r="AC495" s="436"/>
      <c r="AD495" s="429"/>
      <c r="AE495" s="429">
        <v>200</v>
      </c>
      <c r="AF495" s="429">
        <v>223.09</v>
      </c>
      <c r="AG495" s="364"/>
      <c r="AH495" s="364"/>
      <c r="AI495" s="364"/>
      <c r="AJ495" s="364"/>
      <c r="AK495" s="364"/>
      <c r="AL495" s="364"/>
      <c r="AM495" s="360">
        <f t="shared" si="27"/>
        <v>423.09000000000003</v>
      </c>
      <c r="AN495" s="362">
        <f>ERP_2[[#This Row],[2026 Working Total]]-ERP_2[[#This Row],[LE2 Final Submission]]</f>
        <v>423.09000000000003</v>
      </c>
      <c r="AO495" s="79"/>
      <c r="AP495" s="79">
        <f t="shared" si="28"/>
        <v>223.09</v>
      </c>
      <c r="AQ495" s="374">
        <f>SUM(ERP_2[[#This Row],[AP01]:[AP06]])-SUM(ERP_2[[#This Row],[AP01 LE2]:[AP06 LE2]])</f>
        <v>423.09000000000003</v>
      </c>
      <c r="AR495" s="80"/>
      <c r="AS495" s="79">
        <f>ERP_2[[#This Row],[2026 Working Total to Budget/LE]]-ERP_2[[#This Row],[Giveback]]</f>
        <v>423.09000000000003</v>
      </c>
      <c r="AT495" s="81"/>
      <c r="AU495" s="375"/>
      <c r="AV495" s="375"/>
      <c r="AW495" s="375"/>
      <c r="AX495" s="375"/>
      <c r="AY495" s="375"/>
      <c r="AZ495" s="375"/>
      <c r="BA495" s="375"/>
      <c r="BB495" s="375"/>
      <c r="BC495" s="375"/>
      <c r="BD495" s="375"/>
      <c r="BE495" s="375"/>
      <c r="BF495" s="375"/>
      <c r="BG495" s="375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</row>
    <row r="496" spans="1:72" ht="15" hidden="1" customHeight="1">
      <c r="A496" s="66" t="s">
        <v>2300</v>
      </c>
      <c r="B496" s="66"/>
      <c r="C496" s="66" t="s">
        <v>1005</v>
      </c>
      <c r="D496" s="66" t="s">
        <v>2301</v>
      </c>
      <c r="E496" s="150" t="s">
        <v>1136</v>
      </c>
      <c r="F496" s="482" t="s">
        <v>1566</v>
      </c>
      <c r="G496" s="482" t="s">
        <v>1566</v>
      </c>
      <c r="H496" s="482" t="s">
        <v>1566</v>
      </c>
      <c r="I496" s="150" t="s">
        <v>1345</v>
      </c>
      <c r="J496" s="150" t="s">
        <v>1346</v>
      </c>
      <c r="K496" s="150" t="s">
        <v>1346</v>
      </c>
      <c r="L496" s="511" t="s">
        <v>639</v>
      </c>
      <c r="M496" s="392" t="s">
        <v>1942</v>
      </c>
      <c r="N496" s="343"/>
      <c r="O496" s="343"/>
      <c r="P496" s="70" t="s">
        <v>585</v>
      </c>
      <c r="Q496" s="346"/>
      <c r="R496" s="346" t="s">
        <v>1140</v>
      </c>
      <c r="S496" s="346"/>
      <c r="T496" s="150" t="s">
        <v>57</v>
      </c>
      <c r="U496" s="150"/>
      <c r="V496" s="403"/>
      <c r="W496" s="406">
        <v>0</v>
      </c>
      <c r="X496" s="406">
        <v>1537.03</v>
      </c>
      <c r="Y496" s="425"/>
      <c r="Z496" s="71"/>
      <c r="AA496" s="426"/>
      <c r="AB496" s="427"/>
      <c r="AC496" s="427">
        <v>279.45999999999998</v>
      </c>
      <c r="AD496" s="428">
        <v>139.72999999999999</v>
      </c>
      <c r="AE496" s="429">
        <v>139.72999999999999</v>
      </c>
      <c r="AF496" s="429">
        <v>139.72999999999999</v>
      </c>
      <c r="AG496" s="360">
        <v>139.72999999999999</v>
      </c>
      <c r="AH496" s="360">
        <v>139.72999999999999</v>
      </c>
      <c r="AI496" s="360">
        <v>139.72999999999999</v>
      </c>
      <c r="AJ496" s="360">
        <v>139.72999999999999</v>
      </c>
      <c r="AK496" s="360">
        <v>139.72999999999999</v>
      </c>
      <c r="AL496" s="360">
        <v>139.72999999999999</v>
      </c>
      <c r="AM496" s="360">
        <f t="shared" si="27"/>
        <v>1537.03</v>
      </c>
      <c r="AN496" s="362">
        <f>ERP_2[[#This Row],[2026 Working Total]]-ERP_2[[#This Row],[LE2 Final Submission]]</f>
        <v>0</v>
      </c>
      <c r="AO496" s="79">
        <v>139.72999999999999</v>
      </c>
      <c r="AP496" s="79">
        <f t="shared" si="28"/>
        <v>0</v>
      </c>
      <c r="AQ496" s="374">
        <f>SUM(ERP_2[[#This Row],[AP01]:[AP06]])-SUM(ERP_2[[#This Row],[AP01 LE2]:[AP06 LE2]])</f>
        <v>0</v>
      </c>
      <c r="AR496" s="80"/>
      <c r="AS496" s="79">
        <f>ERP_2[[#This Row],[2026 Working Total to Budget/LE]]-ERP_2[[#This Row],[Giveback]]</f>
        <v>0</v>
      </c>
      <c r="AT496" s="81"/>
      <c r="AU496" s="375"/>
      <c r="AV496" s="375"/>
      <c r="AW496" s="375">
        <v>279.45999999999998</v>
      </c>
      <c r="AX496" s="375">
        <v>139.72999999999999</v>
      </c>
      <c r="AY496" s="375">
        <v>139.72999999999999</v>
      </c>
      <c r="AZ496" s="375">
        <v>139.72999999999999</v>
      </c>
      <c r="BA496" s="375">
        <v>139.72999999999999</v>
      </c>
      <c r="BB496" s="375">
        <v>139.72999999999999</v>
      </c>
      <c r="BC496" s="375">
        <v>139.72999999999999</v>
      </c>
      <c r="BD496" s="375">
        <v>139.72999999999999</v>
      </c>
      <c r="BE496" s="375">
        <v>139.72999999999999</v>
      </c>
      <c r="BF496" s="375">
        <v>139.72999999999999</v>
      </c>
      <c r="BG496" s="375">
        <v>1537.03</v>
      </c>
      <c r="BH496" s="79"/>
      <c r="BI496" s="79"/>
      <c r="BJ496" s="79">
        <v>279.45999999999998</v>
      </c>
      <c r="BK496" s="79">
        <v>0</v>
      </c>
      <c r="BL496" s="79">
        <v>0</v>
      </c>
      <c r="BM496" s="79">
        <v>0</v>
      </c>
      <c r="BN496" s="79">
        <v>0</v>
      </c>
      <c r="BO496" s="79">
        <v>0</v>
      </c>
      <c r="BP496" s="79">
        <v>0</v>
      </c>
      <c r="BQ496" s="79">
        <v>0</v>
      </c>
      <c r="BR496" s="79">
        <v>0</v>
      </c>
      <c r="BS496" s="79">
        <v>0</v>
      </c>
      <c r="BT496" s="79">
        <v>279.45999999999998</v>
      </c>
    </row>
    <row r="497" spans="1:72" ht="15" hidden="1" customHeight="1">
      <c r="A497" s="66" t="s">
        <v>2796</v>
      </c>
      <c r="B497" s="66"/>
      <c r="C497" s="66" t="s">
        <v>1007</v>
      </c>
      <c r="D497" s="66" t="s">
        <v>2797</v>
      </c>
      <c r="E497" s="150" t="s">
        <v>1136</v>
      </c>
      <c r="F497" s="482" t="s">
        <v>1566</v>
      </c>
      <c r="G497" s="482" t="s">
        <v>1566</v>
      </c>
      <c r="H497" s="482" t="s">
        <v>1566</v>
      </c>
      <c r="I497" s="150" t="s">
        <v>1345</v>
      </c>
      <c r="J497" s="150" t="s">
        <v>1346</v>
      </c>
      <c r="K497" s="150" t="s">
        <v>1346</v>
      </c>
      <c r="L497" s="511" t="s">
        <v>639</v>
      </c>
      <c r="M497" s="392" t="s">
        <v>2798</v>
      </c>
      <c r="N497" s="343"/>
      <c r="O497" s="343"/>
      <c r="P497" s="70" t="s">
        <v>1008</v>
      </c>
      <c r="Q497" s="346"/>
      <c r="R497" s="343"/>
      <c r="S497" s="346"/>
      <c r="T497" s="150" t="s">
        <v>57</v>
      </c>
      <c r="U497" s="150"/>
      <c r="V497" s="403"/>
      <c r="W497" s="406">
        <v>3348</v>
      </c>
      <c r="X497" s="406">
        <v>2511</v>
      </c>
      <c r="Y497" s="430"/>
      <c r="Z497" s="137"/>
      <c r="AA497" s="426"/>
      <c r="AB497" s="427"/>
      <c r="AC497" s="427"/>
      <c r="AD497" s="428" t="s">
        <v>1142</v>
      </c>
      <c r="AE497" s="429">
        <v>0</v>
      </c>
      <c r="AF497" s="429">
        <v>0</v>
      </c>
      <c r="AG497" s="363">
        <v>279</v>
      </c>
      <c r="AH497" s="363">
        <v>279</v>
      </c>
      <c r="AI497" s="363">
        <v>279</v>
      </c>
      <c r="AJ497" s="363">
        <v>279</v>
      </c>
      <c r="AK497" s="363">
        <v>279</v>
      </c>
      <c r="AL497" s="363">
        <v>279</v>
      </c>
      <c r="AM497" s="360">
        <f t="shared" si="27"/>
        <v>1674</v>
      </c>
      <c r="AN497" s="362">
        <f>ERP_2[[#This Row],[2026 Working Total]]-ERP_2[[#This Row],[LE2 Final Submission]]</f>
        <v>-837</v>
      </c>
      <c r="AO497" s="79">
        <v>279</v>
      </c>
      <c r="AP497" s="79">
        <f t="shared" si="28"/>
        <v>-279</v>
      </c>
      <c r="AQ497" s="374">
        <f>SUM(ERP_2[[#This Row],[AP01]:[AP06]])-SUM(ERP_2[[#This Row],[AP01 LE2]:[AP06 LE2]])</f>
        <v>-837</v>
      </c>
      <c r="AR497" s="80"/>
      <c r="AS497" s="79">
        <f>ERP_2[[#This Row],[2026 Working Total to Budget/LE]]-ERP_2[[#This Row],[Giveback]]</f>
        <v>-837</v>
      </c>
      <c r="AT497" s="81"/>
      <c r="AU497" s="375"/>
      <c r="AV497" s="375"/>
      <c r="AW497" s="375"/>
      <c r="AX497" s="375">
        <v>279</v>
      </c>
      <c r="AY497" s="375">
        <v>279</v>
      </c>
      <c r="AZ497" s="375">
        <v>279</v>
      </c>
      <c r="BA497" s="375">
        <v>279</v>
      </c>
      <c r="BB497" s="375">
        <v>279</v>
      </c>
      <c r="BC497" s="375">
        <v>279</v>
      </c>
      <c r="BD497" s="375">
        <v>279</v>
      </c>
      <c r="BE497" s="375">
        <v>279</v>
      </c>
      <c r="BF497" s="375">
        <v>279</v>
      </c>
      <c r="BG497" s="375">
        <v>2511</v>
      </c>
      <c r="BH497" s="79"/>
      <c r="BI497" s="79"/>
      <c r="BJ497" s="79"/>
      <c r="BK497" s="79">
        <v>279</v>
      </c>
      <c r="BL497" s="79">
        <v>279</v>
      </c>
      <c r="BM497" s="79">
        <v>279</v>
      </c>
      <c r="BN497" s="79">
        <v>279</v>
      </c>
      <c r="BO497" s="79">
        <v>279</v>
      </c>
      <c r="BP497" s="79">
        <v>279</v>
      </c>
      <c r="BQ497" s="79">
        <v>279</v>
      </c>
      <c r="BR497" s="79">
        <v>279</v>
      </c>
      <c r="BS497" s="79">
        <v>279</v>
      </c>
      <c r="BT497" s="79">
        <v>2511</v>
      </c>
    </row>
    <row r="498" spans="1:72" ht="15" hidden="1" customHeight="1">
      <c r="A498" s="66" t="s">
        <v>2799</v>
      </c>
      <c r="B498" s="66"/>
      <c r="C498" s="66" t="s">
        <v>1009</v>
      </c>
      <c r="D498" s="66" t="s">
        <v>2800</v>
      </c>
      <c r="E498" s="150" t="s">
        <v>1136</v>
      </c>
      <c r="F498" s="482" t="s">
        <v>1566</v>
      </c>
      <c r="G498" s="482" t="s">
        <v>1566</v>
      </c>
      <c r="H498" s="482" t="s">
        <v>1566</v>
      </c>
      <c r="I498" s="150" t="s">
        <v>1345</v>
      </c>
      <c r="J498" s="150" t="s">
        <v>1346</v>
      </c>
      <c r="K498" s="150" t="s">
        <v>1346</v>
      </c>
      <c r="L498" s="511" t="s">
        <v>639</v>
      </c>
      <c r="M498" s="392" t="s">
        <v>2801</v>
      </c>
      <c r="N498" s="343"/>
      <c r="O498" s="343"/>
      <c r="P498" s="70" t="s">
        <v>1010</v>
      </c>
      <c r="Q498" s="346"/>
      <c r="R498" s="343"/>
      <c r="S498" s="346"/>
      <c r="T498" s="150" t="s">
        <v>25</v>
      </c>
      <c r="U498" s="150"/>
      <c r="V498" s="403"/>
      <c r="W498" s="406">
        <v>500</v>
      </c>
      <c r="X498" s="406">
        <v>500</v>
      </c>
      <c r="Y498" s="425"/>
      <c r="Z498" s="71"/>
      <c r="AA498" s="426"/>
      <c r="AB498" s="427"/>
      <c r="AC498" s="427"/>
      <c r="AD498" s="428" t="s">
        <v>1142</v>
      </c>
      <c r="AE498" s="429">
        <v>0</v>
      </c>
      <c r="AF498" s="429">
        <v>0</v>
      </c>
      <c r="AG498" s="363"/>
      <c r="AH498" s="363"/>
      <c r="AI498" s="363"/>
      <c r="AJ498" s="363"/>
      <c r="AK498" s="363">
        <v>500</v>
      </c>
      <c r="AL498" s="360">
        <v>0</v>
      </c>
      <c r="AM498" s="360">
        <f t="shared" si="27"/>
        <v>500</v>
      </c>
      <c r="AN498" s="362">
        <f>ERP_2[[#This Row],[2026 Working Total]]-ERP_2[[#This Row],[LE2 Final Submission]]</f>
        <v>0</v>
      </c>
      <c r="AO498" s="79"/>
      <c r="AP498" s="79">
        <f t="shared" si="28"/>
        <v>0</v>
      </c>
      <c r="AQ498" s="374">
        <f>SUM(ERP_2[[#This Row],[AP01]:[AP06]])-SUM(ERP_2[[#This Row],[AP01 LE2]:[AP06 LE2]])</f>
        <v>0</v>
      </c>
      <c r="AR498" s="80"/>
      <c r="AS498" s="79">
        <f>ERP_2[[#This Row],[2026 Working Total to Budget/LE]]-ERP_2[[#This Row],[Giveback]]</f>
        <v>0</v>
      </c>
      <c r="AT498" s="81"/>
      <c r="AU498" s="375"/>
      <c r="AV498" s="375"/>
      <c r="AW498" s="375"/>
      <c r="AX498" s="375"/>
      <c r="AY498" s="375"/>
      <c r="AZ498" s="375"/>
      <c r="BA498" s="375"/>
      <c r="BB498" s="375"/>
      <c r="BC498" s="375"/>
      <c r="BD498" s="375"/>
      <c r="BE498" s="375">
        <v>500</v>
      </c>
      <c r="BF498" s="375">
        <v>0</v>
      </c>
      <c r="BG498" s="375">
        <v>500</v>
      </c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>
        <v>500</v>
      </c>
      <c r="BS498" s="79">
        <v>0</v>
      </c>
      <c r="BT498" s="79">
        <v>500</v>
      </c>
    </row>
    <row r="499" spans="1:72" ht="15" hidden="1" customHeight="1">
      <c r="A499" s="66" t="s">
        <v>2802</v>
      </c>
      <c r="B499" s="66"/>
      <c r="C499" s="66" t="s">
        <v>1011</v>
      </c>
      <c r="D499" s="66" t="s">
        <v>2803</v>
      </c>
      <c r="E499" s="150" t="s">
        <v>1136</v>
      </c>
      <c r="F499" s="482" t="s">
        <v>1566</v>
      </c>
      <c r="G499" s="482" t="s">
        <v>1566</v>
      </c>
      <c r="H499" s="482" t="s">
        <v>1566</v>
      </c>
      <c r="I499" s="150" t="s">
        <v>1345</v>
      </c>
      <c r="J499" s="150" t="s">
        <v>1346</v>
      </c>
      <c r="K499" s="150" t="s">
        <v>1346</v>
      </c>
      <c r="L499" s="511" t="s">
        <v>639</v>
      </c>
      <c r="M499" s="392" t="s">
        <v>2804</v>
      </c>
      <c r="N499" s="343"/>
      <c r="O499" s="343"/>
      <c r="P499" s="70" t="s">
        <v>1012</v>
      </c>
      <c r="Q499" s="346"/>
      <c r="R499" s="343"/>
      <c r="S499" s="346"/>
      <c r="T499" s="150" t="s">
        <v>25</v>
      </c>
      <c r="U499" s="150"/>
      <c r="V499" s="403"/>
      <c r="W499" s="406">
        <v>130</v>
      </c>
      <c r="X499" s="406">
        <v>130</v>
      </c>
      <c r="Y499" s="425"/>
      <c r="Z499" s="71"/>
      <c r="AA499" s="426"/>
      <c r="AB499" s="427"/>
      <c r="AC499" s="427"/>
      <c r="AD499" s="428" t="s">
        <v>1142</v>
      </c>
      <c r="AE499" s="429">
        <v>0</v>
      </c>
      <c r="AF499" s="429">
        <v>0</v>
      </c>
      <c r="AG499" s="360">
        <v>0</v>
      </c>
      <c r="AH499" s="360">
        <v>0</v>
      </c>
      <c r="AI499" s="360">
        <v>0</v>
      </c>
      <c r="AJ499" s="360">
        <v>0</v>
      </c>
      <c r="AK499" s="360">
        <v>0</v>
      </c>
      <c r="AL499" s="360">
        <v>0</v>
      </c>
      <c r="AM499" s="360">
        <f t="shared" si="27"/>
        <v>0</v>
      </c>
      <c r="AN499" s="362">
        <f>ERP_2[[#This Row],[2026 Working Total]]-ERP_2[[#This Row],[LE2 Final Submission]]</f>
        <v>-130</v>
      </c>
      <c r="AO499" s="79"/>
      <c r="AP499" s="79">
        <f t="shared" si="28"/>
        <v>0</v>
      </c>
      <c r="AQ499" s="374">
        <f>SUM(ERP_2[[#This Row],[AP01]:[AP06]])-SUM(ERP_2[[#This Row],[AP01 LE2]:[AP06 LE2]])</f>
        <v>-130</v>
      </c>
      <c r="AR499" s="80"/>
      <c r="AS499" s="79">
        <f>ERP_2[[#This Row],[2026 Working Total to Budget/LE]]-ERP_2[[#This Row],[Giveback]]</f>
        <v>-130</v>
      </c>
      <c r="AT499" s="81"/>
      <c r="AU499" s="375"/>
      <c r="AV499" s="375"/>
      <c r="AW499" s="375"/>
      <c r="AX499" s="375"/>
      <c r="AY499" s="375"/>
      <c r="AZ499" s="375">
        <v>130</v>
      </c>
      <c r="BA499" s="375">
        <v>0</v>
      </c>
      <c r="BB499" s="375">
        <v>0</v>
      </c>
      <c r="BC499" s="375">
        <v>0</v>
      </c>
      <c r="BD499" s="375">
        <v>0</v>
      </c>
      <c r="BE499" s="375">
        <v>0</v>
      </c>
      <c r="BF499" s="375">
        <v>0</v>
      </c>
      <c r="BG499" s="375">
        <v>130</v>
      </c>
      <c r="BH499" s="79"/>
      <c r="BI499" s="79"/>
      <c r="BJ499" s="79"/>
      <c r="BK499" s="79"/>
      <c r="BL499" s="79"/>
      <c r="BM499" s="79">
        <v>130</v>
      </c>
      <c r="BN499" s="79">
        <v>0</v>
      </c>
      <c r="BO499" s="79">
        <v>0</v>
      </c>
      <c r="BP499" s="79">
        <v>0</v>
      </c>
      <c r="BQ499" s="79">
        <v>0</v>
      </c>
      <c r="BR499" s="79">
        <v>0</v>
      </c>
      <c r="BS499" s="79">
        <v>0</v>
      </c>
      <c r="BT499" s="79">
        <v>130</v>
      </c>
    </row>
    <row r="500" spans="1:72" ht="15" hidden="1" customHeight="1">
      <c r="A500" s="66" t="s">
        <v>2688</v>
      </c>
      <c r="B500" s="66"/>
      <c r="C500" s="66" t="s">
        <v>1013</v>
      </c>
      <c r="D500" s="66" t="s">
        <v>2689</v>
      </c>
      <c r="E500" s="150" t="s">
        <v>1136</v>
      </c>
      <c r="F500" s="482" t="s">
        <v>1566</v>
      </c>
      <c r="G500" s="482" t="s">
        <v>1566</v>
      </c>
      <c r="H500" s="482" t="s">
        <v>1566</v>
      </c>
      <c r="I500" s="150" t="s">
        <v>1345</v>
      </c>
      <c r="J500" s="150" t="s">
        <v>1346</v>
      </c>
      <c r="K500" s="150" t="s">
        <v>1346</v>
      </c>
      <c r="L500" s="511" t="s">
        <v>639</v>
      </c>
      <c r="M500" s="392" t="s">
        <v>2690</v>
      </c>
      <c r="N500" s="343"/>
      <c r="O500" s="343"/>
      <c r="P500" s="70" t="s">
        <v>1014</v>
      </c>
      <c r="Q500" s="346"/>
      <c r="R500" s="343"/>
      <c r="S500" s="346"/>
      <c r="T500" s="150" t="s">
        <v>25</v>
      </c>
      <c r="U500" s="150" t="s">
        <v>2913</v>
      </c>
      <c r="V500" s="403"/>
      <c r="W500" s="406">
        <v>250000</v>
      </c>
      <c r="X500" s="406">
        <v>250000</v>
      </c>
      <c r="Y500" s="430"/>
      <c r="Z500" s="137"/>
      <c r="AA500" s="426"/>
      <c r="AB500" s="427"/>
      <c r="AC500" s="427"/>
      <c r="AD500" s="428" t="s">
        <v>1142</v>
      </c>
      <c r="AE500" s="429">
        <v>0</v>
      </c>
      <c r="AF500" s="429">
        <v>0</v>
      </c>
      <c r="AG500" s="360">
        <v>0</v>
      </c>
      <c r="AH500" s="360">
        <v>0</v>
      </c>
      <c r="AI500" s="360">
        <v>0</v>
      </c>
      <c r="AJ500" s="360">
        <v>0</v>
      </c>
      <c r="AK500" s="360">
        <v>0</v>
      </c>
      <c r="AL500" s="360">
        <v>0</v>
      </c>
      <c r="AM500" s="360">
        <f t="shared" si="27"/>
        <v>0</v>
      </c>
      <c r="AN500" s="362">
        <f>ERP_2[[#This Row],[2026 Working Total]]-ERP_2[[#This Row],[LE2 Final Submission]]</f>
        <v>-250000</v>
      </c>
      <c r="AO500" s="79"/>
      <c r="AP500" s="79">
        <f t="shared" si="28"/>
        <v>0</v>
      </c>
      <c r="AQ500" s="374">
        <f>SUM(ERP_2[[#This Row],[AP01]:[AP06]])-SUM(ERP_2[[#This Row],[AP01 LE2]:[AP06 LE2]])</f>
        <v>-250000</v>
      </c>
      <c r="AR500" s="80"/>
      <c r="AS500" s="79">
        <f>ERP_2[[#This Row],[2026 Working Total to Budget/LE]]-ERP_2[[#This Row],[Giveback]]</f>
        <v>-250000</v>
      </c>
      <c r="AT500" s="81"/>
      <c r="AU500" s="375"/>
      <c r="AV500" s="375"/>
      <c r="AW500" s="375"/>
      <c r="AX500" s="375"/>
      <c r="AY500" s="375"/>
      <c r="AZ500" s="375">
        <v>250000</v>
      </c>
      <c r="BA500" s="375">
        <v>0</v>
      </c>
      <c r="BB500" s="375">
        <v>0</v>
      </c>
      <c r="BC500" s="375">
        <v>0</v>
      </c>
      <c r="BD500" s="375">
        <v>0</v>
      </c>
      <c r="BE500" s="375">
        <v>0</v>
      </c>
      <c r="BF500" s="375">
        <v>0</v>
      </c>
      <c r="BG500" s="375">
        <v>250000</v>
      </c>
      <c r="BH500" s="79"/>
      <c r="BI500" s="79"/>
      <c r="BJ500" s="79"/>
      <c r="BK500" s="79"/>
      <c r="BL500" s="79"/>
      <c r="BM500" s="79">
        <v>250000</v>
      </c>
      <c r="BN500" s="79">
        <v>0</v>
      </c>
      <c r="BO500" s="79">
        <v>0</v>
      </c>
      <c r="BP500" s="79">
        <v>0</v>
      </c>
      <c r="BQ500" s="79">
        <v>0</v>
      </c>
      <c r="BR500" s="79">
        <v>0</v>
      </c>
      <c r="BS500" s="79">
        <v>0</v>
      </c>
      <c r="BT500" s="79">
        <v>250000</v>
      </c>
    </row>
    <row r="501" spans="1:72" ht="15" hidden="1" customHeight="1">
      <c r="A501" s="66" t="s">
        <v>2002</v>
      </c>
      <c r="B501" s="66"/>
      <c r="C501" s="66" t="s">
        <v>592</v>
      </c>
      <c r="D501" s="66" t="s">
        <v>2003</v>
      </c>
      <c r="E501" s="150" t="s">
        <v>1136</v>
      </c>
      <c r="F501" s="482" t="s">
        <v>1566</v>
      </c>
      <c r="G501" s="150" t="s">
        <v>2942</v>
      </c>
      <c r="H501" s="150" t="s">
        <v>2942</v>
      </c>
      <c r="I501" s="150" t="s">
        <v>1345</v>
      </c>
      <c r="J501" s="150" t="s">
        <v>2004</v>
      </c>
      <c r="K501" s="150" t="s">
        <v>1346</v>
      </c>
      <c r="L501" s="511" t="s">
        <v>389</v>
      </c>
      <c r="M501" s="392" t="s">
        <v>2005</v>
      </c>
      <c r="N501" s="343"/>
      <c r="O501" s="343"/>
      <c r="P501" s="70" t="s">
        <v>593</v>
      </c>
      <c r="Q501" s="346"/>
      <c r="R501" s="343"/>
      <c r="S501" s="346"/>
      <c r="T501" s="150" t="s">
        <v>152</v>
      </c>
      <c r="U501" s="150"/>
      <c r="V501" s="403"/>
      <c r="W501" s="406">
        <v>31560</v>
      </c>
      <c r="X501" s="406">
        <v>23670</v>
      </c>
      <c r="Y501" s="425"/>
      <c r="Z501" s="71"/>
      <c r="AA501" s="426"/>
      <c r="AB501" s="427"/>
      <c r="AC501" s="427"/>
      <c r="AD501" s="428" t="s">
        <v>1142</v>
      </c>
      <c r="AE501" s="429">
        <v>0</v>
      </c>
      <c r="AF501" s="429">
        <v>0</v>
      </c>
      <c r="AG501" s="363">
        <v>2630</v>
      </c>
      <c r="AH501" s="363">
        <v>2630</v>
      </c>
      <c r="AI501" s="363">
        <v>2630</v>
      </c>
      <c r="AJ501" s="363">
        <v>2630</v>
      </c>
      <c r="AK501" s="363">
        <v>2630</v>
      </c>
      <c r="AL501" s="363">
        <v>2630</v>
      </c>
      <c r="AM501" s="360">
        <f t="shared" si="27"/>
        <v>15780</v>
      </c>
      <c r="AN501" s="362">
        <f>ERP_2[[#This Row],[2026 Working Total]]-ERP_2[[#This Row],[LE2 Final Submission]]</f>
        <v>-7890</v>
      </c>
      <c r="AO501" s="79">
        <v>27992</v>
      </c>
      <c r="AP501" s="79">
        <f t="shared" si="28"/>
        <v>-27992</v>
      </c>
      <c r="AQ501" s="374">
        <f>SUM(ERP_2[[#This Row],[AP01]:[AP06]])-SUM(ERP_2[[#This Row],[AP01 LE2]:[AP06 LE2]])</f>
        <v>-7890</v>
      </c>
      <c r="AR501" s="80"/>
      <c r="AS501" s="79">
        <f>ERP_2[[#This Row],[2026 Working Total to Budget/LE]]-ERP_2[[#This Row],[Giveback]]</f>
        <v>-7890</v>
      </c>
      <c r="AT501" s="81"/>
      <c r="AU501" s="375"/>
      <c r="AV501" s="375"/>
      <c r="AW501" s="375"/>
      <c r="AX501" s="375">
        <v>2630</v>
      </c>
      <c r="AY501" s="375">
        <v>2630</v>
      </c>
      <c r="AZ501" s="375">
        <v>2630</v>
      </c>
      <c r="BA501" s="375">
        <v>2630</v>
      </c>
      <c r="BB501" s="375">
        <v>2630</v>
      </c>
      <c r="BC501" s="375">
        <v>2630</v>
      </c>
      <c r="BD501" s="375">
        <v>2630</v>
      </c>
      <c r="BE501" s="375">
        <v>2630</v>
      </c>
      <c r="BF501" s="375">
        <v>2630</v>
      </c>
      <c r="BG501" s="375">
        <v>23670</v>
      </c>
      <c r="BH501" s="79"/>
      <c r="BI501" s="79"/>
      <c r="BJ501" s="79"/>
      <c r="BK501" s="79">
        <v>2630</v>
      </c>
      <c r="BL501" s="79">
        <v>2630</v>
      </c>
      <c r="BM501" s="79">
        <v>2630</v>
      </c>
      <c r="BN501" s="79">
        <v>2630</v>
      </c>
      <c r="BO501" s="79">
        <v>2630</v>
      </c>
      <c r="BP501" s="79">
        <v>2630</v>
      </c>
      <c r="BQ501" s="79">
        <v>2630</v>
      </c>
      <c r="BR501" s="79">
        <v>2630</v>
      </c>
      <c r="BS501" s="79">
        <v>2630</v>
      </c>
      <c r="BT501" s="79">
        <v>23670</v>
      </c>
    </row>
    <row r="502" spans="1:72" ht="15" hidden="1" customHeight="1">
      <c r="A502" s="66" t="s">
        <v>1649</v>
      </c>
      <c r="B502" s="66"/>
      <c r="C502" s="66" t="s">
        <v>324</v>
      </c>
      <c r="D502" s="66" t="s">
        <v>324</v>
      </c>
      <c r="E502" s="150" t="s">
        <v>1136</v>
      </c>
      <c r="F502" s="482" t="s">
        <v>1566</v>
      </c>
      <c r="G502" s="150" t="s">
        <v>1650</v>
      </c>
      <c r="H502" s="150" t="s">
        <v>1650</v>
      </c>
      <c r="I502" s="150" t="s">
        <v>1650</v>
      </c>
      <c r="J502" s="150" t="s">
        <v>1650</v>
      </c>
      <c r="K502" s="150" t="s">
        <v>1650</v>
      </c>
      <c r="L502" s="511" t="s">
        <v>49</v>
      </c>
      <c r="M502" s="392" t="s">
        <v>1147</v>
      </c>
      <c r="N502" s="343"/>
      <c r="O502" s="343"/>
      <c r="P502" s="70" t="s">
        <v>53</v>
      </c>
      <c r="Q502" s="346" t="s">
        <v>1153</v>
      </c>
      <c r="R502" s="343"/>
      <c r="S502" s="346"/>
      <c r="T502" s="150" t="s">
        <v>25</v>
      </c>
      <c r="U502" s="150" t="s">
        <v>1652</v>
      </c>
      <c r="V502" s="403"/>
      <c r="W502" s="406">
        <v>-99996</v>
      </c>
      <c r="X502" s="406">
        <v>-82720</v>
      </c>
      <c r="Y502" s="425"/>
      <c r="Z502" s="71"/>
      <c r="AA502" s="426"/>
      <c r="AB502" s="427">
        <v>-54900</v>
      </c>
      <c r="AC502" s="427">
        <f>27080-54900</f>
        <v>-27820</v>
      </c>
      <c r="AD502" s="428">
        <v>28331</v>
      </c>
      <c r="AE502" s="429">
        <v>34717</v>
      </c>
      <c r="AF502" s="429">
        <v>17146.999999999996</v>
      </c>
      <c r="AG502" s="363">
        <v>0</v>
      </c>
      <c r="AH502" s="363">
        <v>0</v>
      </c>
      <c r="AI502" s="363">
        <v>0</v>
      </c>
      <c r="AJ502" s="363">
        <v>0</v>
      </c>
      <c r="AK502" s="363">
        <v>0</v>
      </c>
      <c r="AL502" s="363">
        <v>0</v>
      </c>
      <c r="AM502" s="360">
        <f t="shared" ref="AM502:AM565" si="29">SUM(AA502:AL502)</f>
        <v>-2525.0000000000036</v>
      </c>
      <c r="AN502" s="362">
        <f>ERP_2[[#This Row],[2026 Working Total]]-ERP_2[[#This Row],[LE2 Final Submission]]</f>
        <v>80195</v>
      </c>
      <c r="AO502" s="79">
        <v>0</v>
      </c>
      <c r="AP502" s="79">
        <f t="shared" si="28"/>
        <v>17146.999999999996</v>
      </c>
      <c r="AQ502" s="374">
        <f>SUM(ERP_2[[#This Row],[AP01]:[AP06]])-SUM(ERP_2[[#This Row],[AP01 LE2]:[AP06 LE2]])</f>
        <v>80195</v>
      </c>
      <c r="AR502" s="80"/>
      <c r="AS502" s="79">
        <f>ERP_2[[#This Row],[2026 Working Total to Budget/LE]]-ERP_2[[#This Row],[Giveback]]</f>
        <v>80195</v>
      </c>
      <c r="AT502" s="81"/>
      <c r="AU502" s="375"/>
      <c r="AV502" s="375">
        <v>-54900</v>
      </c>
      <c r="AW502" s="375">
        <v>-27820</v>
      </c>
      <c r="AX502" s="375">
        <v>0</v>
      </c>
      <c r="AY502" s="375">
        <v>0</v>
      </c>
      <c r="AZ502" s="375">
        <v>0</v>
      </c>
      <c r="BA502" s="375">
        <v>0</v>
      </c>
      <c r="BB502" s="375">
        <v>0</v>
      </c>
      <c r="BC502" s="375">
        <v>0</v>
      </c>
      <c r="BD502" s="375">
        <v>0</v>
      </c>
      <c r="BE502" s="375">
        <v>0</v>
      </c>
      <c r="BF502" s="375">
        <v>0</v>
      </c>
      <c r="BG502" s="375">
        <v>-82720</v>
      </c>
      <c r="BH502" s="79"/>
      <c r="BI502" s="79">
        <v>-54900</v>
      </c>
      <c r="BJ502" s="79">
        <v>27080</v>
      </c>
      <c r="BK502" s="79">
        <v>-8333</v>
      </c>
      <c r="BL502" s="79">
        <v>-8333</v>
      </c>
      <c r="BM502" s="79">
        <v>-8333</v>
      </c>
      <c r="BN502" s="79">
        <v>-8333</v>
      </c>
      <c r="BO502" s="79">
        <v>-8333</v>
      </c>
      <c r="BP502" s="79">
        <v>-8333</v>
      </c>
      <c r="BQ502" s="79">
        <v>-8333</v>
      </c>
      <c r="BR502" s="79">
        <v>-8333</v>
      </c>
      <c r="BS502" s="79">
        <v>-8333</v>
      </c>
      <c r="BT502" s="79">
        <v>-102817</v>
      </c>
    </row>
    <row r="503" spans="1:72" ht="15" hidden="1" customHeight="1">
      <c r="A503" s="66" t="s">
        <v>1653</v>
      </c>
      <c r="B503" s="66"/>
      <c r="C503" s="66" t="s">
        <v>325</v>
      </c>
      <c r="D503" s="66" t="s">
        <v>325</v>
      </c>
      <c r="E503" s="150" t="s">
        <v>1136</v>
      </c>
      <c r="F503" s="482" t="s">
        <v>1566</v>
      </c>
      <c r="G503" s="150" t="s">
        <v>1650</v>
      </c>
      <c r="H503" s="150" t="s">
        <v>1650</v>
      </c>
      <c r="I503" s="150" t="s">
        <v>1650</v>
      </c>
      <c r="J503" s="150" t="s">
        <v>1650</v>
      </c>
      <c r="K503" s="150" t="s">
        <v>1650</v>
      </c>
      <c r="L503" s="511" t="s">
        <v>49</v>
      </c>
      <c r="M503" s="392" t="s">
        <v>1174</v>
      </c>
      <c r="N503" s="343"/>
      <c r="O503" s="343"/>
      <c r="P503" s="70" t="s">
        <v>56</v>
      </c>
      <c r="Q503" s="346"/>
      <c r="R503" s="346" t="s">
        <v>1140</v>
      </c>
      <c r="S503" s="346"/>
      <c r="T503" s="150" t="s">
        <v>57</v>
      </c>
      <c r="U503" s="150"/>
      <c r="V503" s="403"/>
      <c r="W503" s="406">
        <v>0</v>
      </c>
      <c r="X503" s="406">
        <v>400</v>
      </c>
      <c r="Y503" s="425"/>
      <c r="Z503" s="71"/>
      <c r="AA503" s="426"/>
      <c r="AB503" s="427">
        <v>400</v>
      </c>
      <c r="AC503" s="431">
        <v>0</v>
      </c>
      <c r="AD503" s="428">
        <v>0</v>
      </c>
      <c r="AE503" s="429">
        <v>0</v>
      </c>
      <c r="AF503" s="429">
        <v>0</v>
      </c>
      <c r="AG503" s="360">
        <v>0</v>
      </c>
      <c r="AH503" s="360">
        <v>0</v>
      </c>
      <c r="AI503" s="360">
        <v>0</v>
      </c>
      <c r="AJ503" s="360">
        <v>0</v>
      </c>
      <c r="AK503" s="360">
        <v>0</v>
      </c>
      <c r="AL503" s="360">
        <v>0</v>
      </c>
      <c r="AM503" s="360">
        <f t="shared" si="29"/>
        <v>400</v>
      </c>
      <c r="AN503" s="362">
        <f>ERP_2[[#This Row],[2026 Working Total]]-ERP_2[[#This Row],[LE2 Final Submission]]</f>
        <v>0</v>
      </c>
      <c r="AO503" s="79">
        <v>0</v>
      </c>
      <c r="AP503" s="79">
        <f t="shared" si="28"/>
        <v>0</v>
      </c>
      <c r="AQ503" s="374">
        <f>SUM(ERP_2[[#This Row],[AP01]:[AP06]])-SUM(ERP_2[[#This Row],[AP01 LE2]:[AP06 LE2]])</f>
        <v>0</v>
      </c>
      <c r="AR503" s="80"/>
      <c r="AS503" s="79">
        <f>ERP_2[[#This Row],[2026 Working Total to Budget/LE]]-ERP_2[[#This Row],[Giveback]]</f>
        <v>0</v>
      </c>
      <c r="AT503" s="81"/>
      <c r="AU503" s="375"/>
      <c r="AV503" s="375">
        <v>400</v>
      </c>
      <c r="AW503" s="375">
        <v>0</v>
      </c>
      <c r="AX503" s="375">
        <v>0</v>
      </c>
      <c r="AY503" s="375">
        <v>0</v>
      </c>
      <c r="AZ503" s="375">
        <v>0</v>
      </c>
      <c r="BA503" s="375">
        <v>0</v>
      </c>
      <c r="BB503" s="375">
        <v>0</v>
      </c>
      <c r="BC503" s="375">
        <v>0</v>
      </c>
      <c r="BD503" s="375">
        <v>0</v>
      </c>
      <c r="BE503" s="375">
        <v>0</v>
      </c>
      <c r="BF503" s="375">
        <v>0</v>
      </c>
      <c r="BG503" s="375">
        <v>400</v>
      </c>
      <c r="BH503" s="79"/>
      <c r="BI503" s="79">
        <v>400</v>
      </c>
      <c r="BJ503" s="79">
        <v>0</v>
      </c>
      <c r="BK503" s="79">
        <v>0</v>
      </c>
      <c r="BL503" s="79">
        <v>0</v>
      </c>
      <c r="BM503" s="79">
        <v>0</v>
      </c>
      <c r="BN503" s="79">
        <v>0</v>
      </c>
      <c r="BO503" s="79">
        <v>0</v>
      </c>
      <c r="BP503" s="79">
        <v>0</v>
      </c>
      <c r="BQ503" s="79">
        <v>0</v>
      </c>
      <c r="BR503" s="79">
        <v>0</v>
      </c>
      <c r="BS503" s="79">
        <v>0</v>
      </c>
      <c r="BT503" s="79">
        <v>400</v>
      </c>
    </row>
    <row r="504" spans="1:72" ht="15" hidden="1" customHeight="1">
      <c r="A504" s="66" t="s">
        <v>1654</v>
      </c>
      <c r="B504" s="66"/>
      <c r="C504" s="66" t="s">
        <v>326</v>
      </c>
      <c r="D504" s="66" t="s">
        <v>326</v>
      </c>
      <c r="E504" s="150" t="s">
        <v>1136</v>
      </c>
      <c r="F504" s="482" t="s">
        <v>1566</v>
      </c>
      <c r="G504" s="150" t="s">
        <v>1650</v>
      </c>
      <c r="H504" s="150" t="s">
        <v>1650</v>
      </c>
      <c r="I504" s="150" t="s">
        <v>1650</v>
      </c>
      <c r="J504" s="150" t="s">
        <v>1650</v>
      </c>
      <c r="K504" s="150" t="s">
        <v>1650</v>
      </c>
      <c r="L504" s="511" t="s">
        <v>49</v>
      </c>
      <c r="M504" s="392" t="s">
        <v>1655</v>
      </c>
      <c r="N504" s="343"/>
      <c r="O504" s="343"/>
      <c r="P504" s="70" t="s">
        <v>327</v>
      </c>
      <c r="Q504" s="346"/>
      <c r="R504" s="343"/>
      <c r="S504" s="346"/>
      <c r="T504" s="150" t="s">
        <v>328</v>
      </c>
      <c r="U504" s="150" t="s">
        <v>1656</v>
      </c>
      <c r="V504" s="403"/>
      <c r="W504" s="406">
        <v>224004</v>
      </c>
      <c r="X504" s="406">
        <v>53297.440000000002</v>
      </c>
      <c r="Y504" s="425"/>
      <c r="Z504" s="71"/>
      <c r="AA504" s="426">
        <v>15089.11</v>
      </c>
      <c r="AB504" s="427">
        <v>16899.45</v>
      </c>
      <c r="AC504" s="427">
        <v>21308.880000000001</v>
      </c>
      <c r="AD504" s="428">
        <v>16899.62</v>
      </c>
      <c r="AE504" s="429">
        <v>-34566.71</v>
      </c>
      <c r="AF504" s="429">
        <v>0</v>
      </c>
      <c r="AG504" s="363">
        <v>0</v>
      </c>
      <c r="AH504" s="363">
        <v>0</v>
      </c>
      <c r="AI504" s="363">
        <v>0</v>
      </c>
      <c r="AJ504" s="363">
        <v>0</v>
      </c>
      <c r="AK504" s="363">
        <v>0</v>
      </c>
      <c r="AL504" s="363">
        <v>0</v>
      </c>
      <c r="AM504" s="360">
        <f t="shared" si="29"/>
        <v>35630.35</v>
      </c>
      <c r="AN504" s="362">
        <f>ERP_2[[#This Row],[2026 Working Total]]-ERP_2[[#This Row],[LE2 Final Submission]]</f>
        <v>-17667.090000000004</v>
      </c>
      <c r="AO504" s="79">
        <v>0</v>
      </c>
      <c r="AP504" s="79">
        <f t="shared" si="28"/>
        <v>0</v>
      </c>
      <c r="AQ504" s="374">
        <f>SUM(ERP_2[[#This Row],[AP01]:[AP06]])-SUM(ERP_2[[#This Row],[AP01 LE2]:[AP06 LE2]])</f>
        <v>-17667.090000000004</v>
      </c>
      <c r="AR504" s="80"/>
      <c r="AS504" s="79">
        <f>ERP_2[[#This Row],[2026 Working Total to Budget/LE]]-ERP_2[[#This Row],[Giveback]]</f>
        <v>-17667.090000000004</v>
      </c>
      <c r="AT504" s="81"/>
      <c r="AU504" s="375">
        <v>15089.11</v>
      </c>
      <c r="AV504" s="375">
        <v>16899.45</v>
      </c>
      <c r="AW504" s="375">
        <v>21308.880000000001</v>
      </c>
      <c r="AX504" s="375">
        <v>0</v>
      </c>
      <c r="AY504" s="375">
        <v>0</v>
      </c>
      <c r="AZ504" s="375">
        <v>0</v>
      </c>
      <c r="BA504" s="375">
        <v>0</v>
      </c>
      <c r="BB504" s="375">
        <v>0</v>
      </c>
      <c r="BC504" s="375">
        <v>0</v>
      </c>
      <c r="BD504" s="375">
        <v>0</v>
      </c>
      <c r="BE504" s="375">
        <v>0</v>
      </c>
      <c r="BF504" s="375">
        <v>0</v>
      </c>
      <c r="BG504" s="375">
        <v>53297.440000000002</v>
      </c>
      <c r="BH504" s="79">
        <v>15089.11</v>
      </c>
      <c r="BI504" s="79">
        <v>16899.45</v>
      </c>
      <c r="BJ504" s="79">
        <v>21308.880000000001</v>
      </c>
      <c r="BK504" s="79">
        <v>18667</v>
      </c>
      <c r="BL504" s="79">
        <v>18667</v>
      </c>
      <c r="BM504" s="79">
        <v>18667</v>
      </c>
      <c r="BN504" s="79">
        <v>18667</v>
      </c>
      <c r="BO504" s="79">
        <v>18667</v>
      </c>
      <c r="BP504" s="79">
        <v>18667</v>
      </c>
      <c r="BQ504" s="79">
        <v>18667</v>
      </c>
      <c r="BR504" s="79">
        <v>18667</v>
      </c>
      <c r="BS504" s="79">
        <v>18667</v>
      </c>
      <c r="BT504" s="79">
        <v>221300.44</v>
      </c>
    </row>
    <row r="505" spans="1:72" ht="15" hidden="1" customHeight="1">
      <c r="A505" s="66" t="s">
        <v>1657</v>
      </c>
      <c r="B505" s="66"/>
      <c r="C505" s="66" t="s">
        <v>329</v>
      </c>
      <c r="D505" s="66" t="s">
        <v>329</v>
      </c>
      <c r="E505" s="150" t="s">
        <v>1136</v>
      </c>
      <c r="F505" s="482" t="s">
        <v>1566</v>
      </c>
      <c r="G505" s="150" t="s">
        <v>1650</v>
      </c>
      <c r="H505" s="150" t="s">
        <v>1650</v>
      </c>
      <c r="I505" s="150" t="s">
        <v>1650</v>
      </c>
      <c r="J505" s="150" t="s">
        <v>1650</v>
      </c>
      <c r="K505" s="150" t="s">
        <v>1650</v>
      </c>
      <c r="L505" s="511" t="s">
        <v>49</v>
      </c>
      <c r="M505" s="392" t="s">
        <v>1658</v>
      </c>
      <c r="N505" s="343"/>
      <c r="O505" s="343"/>
      <c r="P505" s="70" t="s">
        <v>330</v>
      </c>
      <c r="Q505" s="346"/>
      <c r="R505" s="343"/>
      <c r="S505" s="346"/>
      <c r="T505" s="150" t="s">
        <v>67</v>
      </c>
      <c r="U505" s="150"/>
      <c r="V505" s="403"/>
      <c r="W505" s="406">
        <v>0</v>
      </c>
      <c r="X505" s="406">
        <v>112717.21</v>
      </c>
      <c r="Y505" s="425"/>
      <c r="Z505" s="71"/>
      <c r="AA505" s="426">
        <v>94047.88</v>
      </c>
      <c r="AB505" s="427">
        <v>124852.13</v>
      </c>
      <c r="AC505" s="427">
        <v>-106182.8</v>
      </c>
      <c r="AD505" s="428">
        <v>0</v>
      </c>
      <c r="AE505" s="429">
        <v>0</v>
      </c>
      <c r="AF505" s="429">
        <v>0</v>
      </c>
      <c r="AG505" s="360">
        <v>0</v>
      </c>
      <c r="AH505" s="360">
        <v>0</v>
      </c>
      <c r="AI505" s="360">
        <v>0</v>
      </c>
      <c r="AJ505" s="360">
        <v>0</v>
      </c>
      <c r="AK505" s="360">
        <v>0</v>
      </c>
      <c r="AL505" s="360">
        <v>0</v>
      </c>
      <c r="AM505" s="360">
        <f t="shared" si="29"/>
        <v>112717.21</v>
      </c>
      <c r="AN505" s="362">
        <f>ERP_2[[#This Row],[2026 Working Total]]-ERP_2[[#This Row],[LE2 Final Submission]]</f>
        <v>0</v>
      </c>
      <c r="AO505" s="79">
        <v>0</v>
      </c>
      <c r="AP505" s="79">
        <f t="shared" si="28"/>
        <v>0</v>
      </c>
      <c r="AQ505" s="374">
        <f>SUM(ERP_2[[#This Row],[AP01]:[AP06]])-SUM(ERP_2[[#This Row],[AP01 LE2]:[AP06 LE2]])</f>
        <v>0</v>
      </c>
      <c r="AR505" s="80"/>
      <c r="AS505" s="79">
        <f>ERP_2[[#This Row],[2026 Working Total to Budget/LE]]-ERP_2[[#This Row],[Giveback]]</f>
        <v>0</v>
      </c>
      <c r="AT505" s="81"/>
      <c r="AU505" s="375">
        <v>94047.88</v>
      </c>
      <c r="AV505" s="375">
        <v>124852.13</v>
      </c>
      <c r="AW505" s="375">
        <v>-106182.8</v>
      </c>
      <c r="AX505" s="375">
        <v>0</v>
      </c>
      <c r="AY505" s="375">
        <v>0</v>
      </c>
      <c r="AZ505" s="375">
        <v>0</v>
      </c>
      <c r="BA505" s="375">
        <v>0</v>
      </c>
      <c r="BB505" s="375">
        <v>0</v>
      </c>
      <c r="BC505" s="375">
        <v>0</v>
      </c>
      <c r="BD505" s="375">
        <v>0</v>
      </c>
      <c r="BE505" s="375">
        <v>0</v>
      </c>
      <c r="BF505" s="375">
        <v>0</v>
      </c>
      <c r="BG505" s="375">
        <v>112717.21</v>
      </c>
      <c r="BH505" s="79">
        <v>94047.88</v>
      </c>
      <c r="BI505" s="79">
        <v>124852.13</v>
      </c>
      <c r="BJ505" s="79">
        <v>-106182.8</v>
      </c>
      <c r="BK505" s="79">
        <v>0</v>
      </c>
      <c r="BL505" s="79">
        <v>0</v>
      </c>
      <c r="BM505" s="79">
        <v>0</v>
      </c>
      <c r="BN505" s="79">
        <v>0</v>
      </c>
      <c r="BO505" s="79">
        <v>0</v>
      </c>
      <c r="BP505" s="79">
        <v>0</v>
      </c>
      <c r="BQ505" s="79">
        <v>0</v>
      </c>
      <c r="BR505" s="79">
        <v>0</v>
      </c>
      <c r="BS505" s="79">
        <v>0</v>
      </c>
      <c r="BT505" s="79">
        <v>112717.21</v>
      </c>
    </row>
    <row r="506" spans="1:72" ht="15" hidden="1" customHeight="1">
      <c r="A506" s="66" t="s">
        <v>1659</v>
      </c>
      <c r="B506" s="66"/>
      <c r="C506" s="66" t="s">
        <v>331</v>
      </c>
      <c r="D506" s="66" t="s">
        <v>331</v>
      </c>
      <c r="E506" s="150" t="s">
        <v>1136</v>
      </c>
      <c r="F506" s="482" t="s">
        <v>1566</v>
      </c>
      <c r="G506" s="150" t="s">
        <v>1650</v>
      </c>
      <c r="H506" s="150" t="s">
        <v>1650</v>
      </c>
      <c r="I506" s="150" t="s">
        <v>1650</v>
      </c>
      <c r="J506" s="150" t="s">
        <v>1650</v>
      </c>
      <c r="K506" s="150" t="s">
        <v>1650</v>
      </c>
      <c r="L506" s="511" t="s">
        <v>49</v>
      </c>
      <c r="M506" s="392" t="s">
        <v>1327</v>
      </c>
      <c r="N506" s="343"/>
      <c r="O506" s="343"/>
      <c r="P506" s="70" t="s">
        <v>147</v>
      </c>
      <c r="Q506" s="346"/>
      <c r="R506" s="343"/>
      <c r="S506" s="346"/>
      <c r="T506" s="150" t="s">
        <v>25</v>
      </c>
      <c r="U506" s="150"/>
      <c r="V506" s="403"/>
      <c r="W506" s="406">
        <v>0</v>
      </c>
      <c r="X506" s="406">
        <v>79.110000000000298</v>
      </c>
      <c r="Y506" s="425"/>
      <c r="Z506" s="71"/>
      <c r="AA506" s="426">
        <v>0.01</v>
      </c>
      <c r="AB506" s="427">
        <v>0.42</v>
      </c>
      <c r="AC506" s="431">
        <f>-54821.32+54900</f>
        <v>78.680000000000291</v>
      </c>
      <c r="AD506" s="428">
        <v>-0.62</v>
      </c>
      <c r="AE506" s="481">
        <v>-20720.55</v>
      </c>
      <c r="AF506" s="429">
        <v>0</v>
      </c>
      <c r="AG506" s="360">
        <v>0</v>
      </c>
      <c r="AH506" s="360">
        <v>0</v>
      </c>
      <c r="AI506" s="360">
        <v>0</v>
      </c>
      <c r="AJ506" s="360">
        <v>0</v>
      </c>
      <c r="AK506" s="360">
        <v>0</v>
      </c>
      <c r="AL506" s="360">
        <v>0</v>
      </c>
      <c r="AM506" s="360">
        <f t="shared" si="29"/>
        <v>-20642.059999999998</v>
      </c>
      <c r="AN506" s="362">
        <f>ERP_2[[#This Row],[2026 Working Total]]-ERP_2[[#This Row],[LE2 Final Submission]]</f>
        <v>-20721.169999999998</v>
      </c>
      <c r="AO506" s="79">
        <v>0</v>
      </c>
      <c r="AP506" s="79">
        <f t="shared" si="28"/>
        <v>0</v>
      </c>
      <c r="AQ506" s="374">
        <f>SUM(ERP_2[[#This Row],[AP01]:[AP06]])-SUM(ERP_2[[#This Row],[AP01 LE2]:[AP06 LE2]])</f>
        <v>-20721.169999999998</v>
      </c>
      <c r="AR506" s="80"/>
      <c r="AS506" s="79">
        <f>ERP_2[[#This Row],[2026 Working Total to Budget/LE]]-ERP_2[[#This Row],[Giveback]]</f>
        <v>-20721.169999999998</v>
      </c>
      <c r="AT506" s="81"/>
      <c r="AU506" s="375">
        <v>0.01</v>
      </c>
      <c r="AV506" s="375">
        <v>0.42</v>
      </c>
      <c r="AW506" s="375">
        <v>78.680000000000291</v>
      </c>
      <c r="AX506" s="375">
        <v>0</v>
      </c>
      <c r="AY506" s="375">
        <v>0</v>
      </c>
      <c r="AZ506" s="375">
        <v>0</v>
      </c>
      <c r="BA506" s="375">
        <v>0</v>
      </c>
      <c r="BB506" s="375">
        <v>0</v>
      </c>
      <c r="BC506" s="375">
        <v>0</v>
      </c>
      <c r="BD506" s="375">
        <v>0</v>
      </c>
      <c r="BE506" s="375">
        <v>0</v>
      </c>
      <c r="BF506" s="375">
        <v>0</v>
      </c>
      <c r="BG506" s="375">
        <v>79.110000000000298</v>
      </c>
      <c r="BH506" s="79">
        <v>0.01</v>
      </c>
      <c r="BI506" s="79">
        <v>0.42</v>
      </c>
      <c r="BJ506" s="79">
        <v>-54821.32</v>
      </c>
      <c r="BK506" s="79">
        <v>0</v>
      </c>
      <c r="BL506" s="79">
        <v>0</v>
      </c>
      <c r="BM506" s="79">
        <v>0</v>
      </c>
      <c r="BN506" s="79">
        <v>0</v>
      </c>
      <c r="BO506" s="79">
        <v>0</v>
      </c>
      <c r="BP506" s="79">
        <v>0</v>
      </c>
      <c r="BQ506" s="79">
        <v>0</v>
      </c>
      <c r="BR506" s="79">
        <v>0</v>
      </c>
      <c r="BS506" s="79">
        <v>0</v>
      </c>
      <c r="BT506" s="79">
        <v>-54820.89</v>
      </c>
    </row>
    <row r="507" spans="1:72" ht="15" hidden="1" customHeight="1">
      <c r="A507" s="66" t="s">
        <v>1748</v>
      </c>
      <c r="B507" s="66"/>
      <c r="C507" s="66" t="s">
        <v>385</v>
      </c>
      <c r="D507" s="66" t="s">
        <v>385</v>
      </c>
      <c r="E507" s="150" t="s">
        <v>1136</v>
      </c>
      <c r="F507" s="482" t="s">
        <v>1566</v>
      </c>
      <c r="G507" s="150" t="s">
        <v>1650</v>
      </c>
      <c r="H507" s="150" t="s">
        <v>1650</v>
      </c>
      <c r="I507" s="150" t="s">
        <v>1650</v>
      </c>
      <c r="J507" s="150" t="s">
        <v>1650</v>
      </c>
      <c r="K507" s="150" t="s">
        <v>1650</v>
      </c>
      <c r="L507" s="511" t="s">
        <v>342</v>
      </c>
      <c r="M507" s="392" t="s">
        <v>1174</v>
      </c>
      <c r="N507" s="343"/>
      <c r="O507" s="343"/>
      <c r="P507" s="70" t="s">
        <v>56</v>
      </c>
      <c r="Q507" s="346"/>
      <c r="R507" s="346" t="s">
        <v>1140</v>
      </c>
      <c r="S507" s="346"/>
      <c r="T507" s="150" t="s">
        <v>57</v>
      </c>
      <c r="U507" s="150"/>
      <c r="V507" s="403"/>
      <c r="W507" s="406">
        <v>0</v>
      </c>
      <c r="X507" s="406">
        <v>1060</v>
      </c>
      <c r="Y507" s="425"/>
      <c r="Z507" s="71"/>
      <c r="AA507" s="426"/>
      <c r="AB507" s="427">
        <v>1060</v>
      </c>
      <c r="AC507" s="431">
        <v>0</v>
      </c>
      <c r="AD507" s="428" t="s">
        <v>1142</v>
      </c>
      <c r="AE507" s="429">
        <v>0</v>
      </c>
      <c r="AF507" s="429">
        <v>0</v>
      </c>
      <c r="AG507" s="360">
        <v>0</v>
      </c>
      <c r="AH507" s="360">
        <v>0</v>
      </c>
      <c r="AI507" s="360">
        <v>0</v>
      </c>
      <c r="AJ507" s="360">
        <v>0</v>
      </c>
      <c r="AK507" s="360">
        <v>0</v>
      </c>
      <c r="AL507" s="360">
        <v>0</v>
      </c>
      <c r="AM507" s="360">
        <f t="shared" si="29"/>
        <v>1060</v>
      </c>
      <c r="AN507" s="362">
        <f>ERP_2[[#This Row],[2026 Working Total]]-ERP_2[[#This Row],[LE2 Final Submission]]</f>
        <v>0</v>
      </c>
      <c r="AO507" s="79">
        <v>0</v>
      </c>
      <c r="AP507" s="79">
        <f t="shared" si="28"/>
        <v>0</v>
      </c>
      <c r="AQ507" s="374">
        <f>SUM(ERP_2[[#This Row],[AP01]:[AP06]])-SUM(ERP_2[[#This Row],[AP01 LE2]:[AP06 LE2]])</f>
        <v>0</v>
      </c>
      <c r="AR507" s="80"/>
      <c r="AS507" s="79">
        <f>ERP_2[[#This Row],[2026 Working Total to Budget/LE]]-ERP_2[[#This Row],[Giveback]]</f>
        <v>0</v>
      </c>
      <c r="AT507" s="81"/>
      <c r="AU507" s="375"/>
      <c r="AV507" s="375">
        <v>1060</v>
      </c>
      <c r="AW507" s="375">
        <v>0</v>
      </c>
      <c r="AX507" s="375">
        <v>0</v>
      </c>
      <c r="AY507" s="375">
        <v>0</v>
      </c>
      <c r="AZ507" s="375">
        <v>0</v>
      </c>
      <c r="BA507" s="375">
        <v>0</v>
      </c>
      <c r="BB507" s="375">
        <v>0</v>
      </c>
      <c r="BC507" s="375">
        <v>0</v>
      </c>
      <c r="BD507" s="375">
        <v>0</v>
      </c>
      <c r="BE507" s="375">
        <v>0</v>
      </c>
      <c r="BF507" s="375">
        <v>0</v>
      </c>
      <c r="BG507" s="375">
        <v>1060</v>
      </c>
      <c r="BH507" s="79"/>
      <c r="BI507" s="79">
        <v>1060</v>
      </c>
      <c r="BJ507" s="79">
        <v>0</v>
      </c>
      <c r="BK507" s="79">
        <v>0</v>
      </c>
      <c r="BL507" s="79">
        <v>0</v>
      </c>
      <c r="BM507" s="79">
        <v>0</v>
      </c>
      <c r="BN507" s="79">
        <v>0</v>
      </c>
      <c r="BO507" s="79">
        <v>0</v>
      </c>
      <c r="BP507" s="79">
        <v>0</v>
      </c>
      <c r="BQ507" s="79">
        <v>0</v>
      </c>
      <c r="BR507" s="79">
        <v>0</v>
      </c>
      <c r="BS507" s="79">
        <v>0</v>
      </c>
      <c r="BT507" s="79">
        <v>1060</v>
      </c>
    </row>
    <row r="508" spans="1:72" ht="15" hidden="1" customHeight="1">
      <c r="A508" s="66" t="s">
        <v>1749</v>
      </c>
      <c r="B508" s="66"/>
      <c r="C508" s="66" t="s">
        <v>386</v>
      </c>
      <c r="D508" s="66" t="s">
        <v>386</v>
      </c>
      <c r="E508" s="150" t="s">
        <v>1136</v>
      </c>
      <c r="F508" s="482" t="s">
        <v>1566</v>
      </c>
      <c r="G508" s="150" t="s">
        <v>1650</v>
      </c>
      <c r="H508" s="150" t="s">
        <v>1650</v>
      </c>
      <c r="I508" s="150" t="s">
        <v>1650</v>
      </c>
      <c r="J508" s="150" t="s">
        <v>1650</v>
      </c>
      <c r="K508" s="150" t="s">
        <v>1650</v>
      </c>
      <c r="L508" s="511" t="s">
        <v>342</v>
      </c>
      <c r="M508" s="392" t="s">
        <v>1703</v>
      </c>
      <c r="N508" s="343"/>
      <c r="O508" s="343"/>
      <c r="P508" s="70" t="s">
        <v>365</v>
      </c>
      <c r="Q508" s="346"/>
      <c r="R508" s="346" t="s">
        <v>1140</v>
      </c>
      <c r="S508" s="346"/>
      <c r="T508" s="150" t="s">
        <v>57</v>
      </c>
      <c r="U508" s="150"/>
      <c r="V508" s="403"/>
      <c r="W508" s="406">
        <v>0</v>
      </c>
      <c r="X508" s="406">
        <v>2902.66</v>
      </c>
      <c r="Y508" s="425"/>
      <c r="Z508" s="71"/>
      <c r="AA508" s="426"/>
      <c r="AB508" s="427"/>
      <c r="AC508" s="427">
        <v>2902.66</v>
      </c>
      <c r="AD508" s="428">
        <v>229.1</v>
      </c>
      <c r="AE508" s="429">
        <v>87.28</v>
      </c>
      <c r="AF508" s="429">
        <v>0</v>
      </c>
      <c r="AG508" s="360">
        <v>0</v>
      </c>
      <c r="AH508" s="360">
        <v>0</v>
      </c>
      <c r="AI508" s="360">
        <v>0</v>
      </c>
      <c r="AJ508" s="360">
        <v>0</v>
      </c>
      <c r="AK508" s="360">
        <v>0</v>
      </c>
      <c r="AL508" s="360">
        <v>0</v>
      </c>
      <c r="AM508" s="360">
        <f t="shared" si="29"/>
        <v>3219.04</v>
      </c>
      <c r="AN508" s="362">
        <f>ERP_2[[#This Row],[2026 Working Total]]-ERP_2[[#This Row],[LE2 Final Submission]]</f>
        <v>316.38000000000011</v>
      </c>
      <c r="AO508" s="79">
        <v>0</v>
      </c>
      <c r="AP508" s="79">
        <f t="shared" si="28"/>
        <v>0</v>
      </c>
      <c r="AQ508" s="374">
        <f>SUM(ERP_2[[#This Row],[AP01]:[AP06]])-SUM(ERP_2[[#This Row],[AP01 LE2]:[AP06 LE2]])</f>
        <v>316.38000000000011</v>
      </c>
      <c r="AR508" s="80"/>
      <c r="AS508" s="79">
        <f>ERP_2[[#This Row],[2026 Working Total to Budget/LE]]-ERP_2[[#This Row],[Giveback]]</f>
        <v>316.38000000000011</v>
      </c>
      <c r="AT508" s="81"/>
      <c r="AU508" s="375"/>
      <c r="AV508" s="375"/>
      <c r="AW508" s="375">
        <v>2902.66</v>
      </c>
      <c r="AX508" s="375">
        <v>0</v>
      </c>
      <c r="AY508" s="375">
        <v>0</v>
      </c>
      <c r="AZ508" s="375">
        <v>0</v>
      </c>
      <c r="BA508" s="375">
        <v>0</v>
      </c>
      <c r="BB508" s="375">
        <v>0</v>
      </c>
      <c r="BC508" s="375">
        <v>0</v>
      </c>
      <c r="BD508" s="375">
        <v>0</v>
      </c>
      <c r="BE508" s="375">
        <v>0</v>
      </c>
      <c r="BF508" s="375">
        <v>0</v>
      </c>
      <c r="BG508" s="375">
        <v>2902.66</v>
      </c>
      <c r="BH508" s="79"/>
      <c r="BI508" s="79"/>
      <c r="BJ508" s="79">
        <v>2902.66</v>
      </c>
      <c r="BK508" s="79">
        <v>0</v>
      </c>
      <c r="BL508" s="79">
        <v>0</v>
      </c>
      <c r="BM508" s="79">
        <v>0</v>
      </c>
      <c r="BN508" s="79">
        <v>0</v>
      </c>
      <c r="BO508" s="79">
        <v>0</v>
      </c>
      <c r="BP508" s="79">
        <v>0</v>
      </c>
      <c r="BQ508" s="79">
        <v>0</v>
      </c>
      <c r="BR508" s="79">
        <v>0</v>
      </c>
      <c r="BS508" s="79">
        <v>0</v>
      </c>
      <c r="BT508" s="79">
        <v>2902.66</v>
      </c>
    </row>
    <row r="509" spans="1:72" ht="15" hidden="1" customHeight="1">
      <c r="A509" s="66" t="s">
        <v>1750</v>
      </c>
      <c r="B509" s="66"/>
      <c r="C509" s="66" t="s">
        <v>387</v>
      </c>
      <c r="D509" s="66" t="s">
        <v>387</v>
      </c>
      <c r="E509" s="150" t="s">
        <v>1136</v>
      </c>
      <c r="F509" s="482" t="s">
        <v>1566</v>
      </c>
      <c r="G509" s="150" t="s">
        <v>1650</v>
      </c>
      <c r="H509" s="150" t="s">
        <v>1650</v>
      </c>
      <c r="I509" s="150" t="s">
        <v>1650</v>
      </c>
      <c r="J509" s="150" t="s">
        <v>1650</v>
      </c>
      <c r="K509" s="150" t="s">
        <v>1650</v>
      </c>
      <c r="L509" s="511" t="s">
        <v>342</v>
      </c>
      <c r="M509" s="392" t="s">
        <v>1327</v>
      </c>
      <c r="N509" s="343"/>
      <c r="O509" s="343"/>
      <c r="P509" s="70" t="s">
        <v>147</v>
      </c>
      <c r="Q509" s="346"/>
      <c r="R509" s="343"/>
      <c r="S509" s="346"/>
      <c r="T509" s="150" t="s">
        <v>25</v>
      </c>
      <c r="U509" s="150"/>
      <c r="V509" s="403"/>
      <c r="W509" s="406">
        <v>0</v>
      </c>
      <c r="X509" s="406">
        <v>420.97</v>
      </c>
      <c r="Y509" s="425"/>
      <c r="Z509" s="71"/>
      <c r="AA509" s="426"/>
      <c r="AB509" s="427"/>
      <c r="AC509" s="427">
        <v>420.97</v>
      </c>
      <c r="AD509" s="428">
        <v>-0.11</v>
      </c>
      <c r="AE509" s="429">
        <v>0.21</v>
      </c>
      <c r="AF509" s="429">
        <v>0</v>
      </c>
      <c r="AG509" s="360">
        <v>0</v>
      </c>
      <c r="AH509" s="360">
        <v>0</v>
      </c>
      <c r="AI509" s="360">
        <v>0</v>
      </c>
      <c r="AJ509" s="360">
        <v>0</v>
      </c>
      <c r="AK509" s="360">
        <v>0</v>
      </c>
      <c r="AL509" s="360">
        <v>0</v>
      </c>
      <c r="AM509" s="360">
        <f t="shared" si="29"/>
        <v>421.07</v>
      </c>
      <c r="AN509" s="362">
        <f>ERP_2[[#This Row],[2026 Working Total]]-ERP_2[[#This Row],[LE2 Final Submission]]</f>
        <v>9.9999999999965894E-2</v>
      </c>
      <c r="AO509" s="79">
        <v>0</v>
      </c>
      <c r="AP509" s="79">
        <f t="shared" si="28"/>
        <v>0</v>
      </c>
      <c r="AQ509" s="374">
        <f>SUM(ERP_2[[#This Row],[AP01]:[AP06]])-SUM(ERP_2[[#This Row],[AP01 LE2]:[AP06 LE2]])</f>
        <v>9.9999999999965894E-2</v>
      </c>
      <c r="AR509" s="80"/>
      <c r="AS509" s="79">
        <f>ERP_2[[#This Row],[2026 Working Total to Budget/LE]]-ERP_2[[#This Row],[Giveback]]</f>
        <v>9.9999999999965894E-2</v>
      </c>
      <c r="AT509" s="81"/>
      <c r="AU509" s="375"/>
      <c r="AV509" s="375"/>
      <c r="AW509" s="375">
        <v>420.97</v>
      </c>
      <c r="AX509" s="375">
        <v>0</v>
      </c>
      <c r="AY509" s="375">
        <v>0</v>
      </c>
      <c r="AZ509" s="375">
        <v>0</v>
      </c>
      <c r="BA509" s="375">
        <v>0</v>
      </c>
      <c r="BB509" s="375">
        <v>0</v>
      </c>
      <c r="BC509" s="375">
        <v>0</v>
      </c>
      <c r="BD509" s="375">
        <v>0</v>
      </c>
      <c r="BE509" s="375">
        <v>0</v>
      </c>
      <c r="BF509" s="375">
        <v>0</v>
      </c>
      <c r="BG509" s="375">
        <v>420.97</v>
      </c>
      <c r="BH509" s="79"/>
      <c r="BI509" s="79"/>
      <c r="BJ509" s="79">
        <v>420.97</v>
      </c>
      <c r="BK509" s="79">
        <v>0</v>
      </c>
      <c r="BL509" s="79">
        <v>0</v>
      </c>
      <c r="BM509" s="79">
        <v>0</v>
      </c>
      <c r="BN509" s="79">
        <v>0</v>
      </c>
      <c r="BO509" s="79">
        <v>0</v>
      </c>
      <c r="BP509" s="79">
        <v>0</v>
      </c>
      <c r="BQ509" s="79">
        <v>0</v>
      </c>
      <c r="BR509" s="79">
        <v>0</v>
      </c>
      <c r="BS509" s="79">
        <v>0</v>
      </c>
      <c r="BT509" s="79">
        <v>420.97</v>
      </c>
    </row>
    <row r="510" spans="1:72" ht="15" hidden="1" customHeight="1">
      <c r="A510" s="66" t="s">
        <v>2139</v>
      </c>
      <c r="B510" s="66"/>
      <c r="C510" s="66" t="s">
        <v>594</v>
      </c>
      <c r="D510" s="66" t="s">
        <v>594</v>
      </c>
      <c r="E510" s="150" t="s">
        <v>1136</v>
      </c>
      <c r="F510" s="482" t="s">
        <v>1566</v>
      </c>
      <c r="G510" s="150" t="s">
        <v>1650</v>
      </c>
      <c r="H510" s="150" t="s">
        <v>1650</v>
      </c>
      <c r="I510" s="150" t="s">
        <v>1650</v>
      </c>
      <c r="J510" s="150" t="s">
        <v>1650</v>
      </c>
      <c r="K510" s="150" t="s">
        <v>1650</v>
      </c>
      <c r="L510" s="511" t="s">
        <v>389</v>
      </c>
      <c r="M510" s="392" t="s">
        <v>1658</v>
      </c>
      <c r="N510" s="343"/>
      <c r="O510" s="343"/>
      <c r="P510" s="70" t="s">
        <v>330</v>
      </c>
      <c r="Q510" s="346"/>
      <c r="R510" s="343"/>
      <c r="S510" s="346"/>
      <c r="T510" s="150" t="s">
        <v>67</v>
      </c>
      <c r="U510" s="150"/>
      <c r="V510" s="403"/>
      <c r="W510" s="406">
        <v>1274196</v>
      </c>
      <c r="X510" s="406">
        <v>1157512.03</v>
      </c>
      <c r="Y510" s="425"/>
      <c r="Z510" s="71"/>
      <c r="AA510" s="426"/>
      <c r="AB510" s="427"/>
      <c r="AC510" s="427">
        <v>201865.03</v>
      </c>
      <c r="AD510" s="428">
        <v>98015.38</v>
      </c>
      <c r="AE510" s="429">
        <v>98015.39</v>
      </c>
      <c r="AF510" s="429">
        <v>122519.23000000001</v>
      </c>
      <c r="AG510" s="363">
        <v>106183</v>
      </c>
      <c r="AH510" s="363">
        <v>106183</v>
      </c>
      <c r="AI510" s="363">
        <v>106183</v>
      </c>
      <c r="AJ510" s="363">
        <v>106183</v>
      </c>
      <c r="AK510" s="363">
        <v>106183</v>
      </c>
      <c r="AL510" s="363">
        <v>106183</v>
      </c>
      <c r="AM510" s="360">
        <f t="shared" si="29"/>
        <v>1157513.03</v>
      </c>
      <c r="AN510" s="362">
        <f>ERP_2[[#This Row],[2026 Working Total]]-ERP_2[[#This Row],[LE2 Final Submission]]</f>
        <v>1</v>
      </c>
      <c r="AO510" s="79">
        <v>106183</v>
      </c>
      <c r="AP510" s="79">
        <f t="shared" si="28"/>
        <v>16336.23000000001</v>
      </c>
      <c r="AQ510" s="374">
        <f>SUM(ERP_2[[#This Row],[AP01]:[AP06]])-SUM(ERP_2[[#This Row],[AP01 LE2]:[AP06 LE2]])</f>
        <v>1</v>
      </c>
      <c r="AR510" s="80"/>
      <c r="AS510" s="79">
        <f>ERP_2[[#This Row],[2026 Working Total to Budget/LE]]-ERP_2[[#This Row],[Giveback]]</f>
        <v>1</v>
      </c>
      <c r="AT510" s="81"/>
      <c r="AU510" s="375"/>
      <c r="AV510" s="375"/>
      <c r="AW510" s="375">
        <v>201865.03</v>
      </c>
      <c r="AX510" s="375">
        <v>106183</v>
      </c>
      <c r="AY510" s="375">
        <v>106183</v>
      </c>
      <c r="AZ510" s="375">
        <v>106183</v>
      </c>
      <c r="BA510" s="375">
        <v>106183</v>
      </c>
      <c r="BB510" s="375">
        <v>106183</v>
      </c>
      <c r="BC510" s="375">
        <v>106183</v>
      </c>
      <c r="BD510" s="375">
        <v>106183</v>
      </c>
      <c r="BE510" s="375">
        <v>106183</v>
      </c>
      <c r="BF510" s="375">
        <v>106183</v>
      </c>
      <c r="BG510" s="375">
        <v>1157512.03</v>
      </c>
      <c r="BH510" s="79"/>
      <c r="BI510" s="79"/>
      <c r="BJ510" s="79">
        <v>201865.03</v>
      </c>
      <c r="BK510" s="79">
        <v>106183</v>
      </c>
      <c r="BL510" s="79">
        <v>106183</v>
      </c>
      <c r="BM510" s="79">
        <v>106183</v>
      </c>
      <c r="BN510" s="79">
        <v>106183</v>
      </c>
      <c r="BO510" s="79">
        <v>106183</v>
      </c>
      <c r="BP510" s="79">
        <v>106183</v>
      </c>
      <c r="BQ510" s="79">
        <v>106183</v>
      </c>
      <c r="BR510" s="79">
        <v>106183</v>
      </c>
      <c r="BS510" s="79">
        <v>106183</v>
      </c>
      <c r="BT510" s="79">
        <v>1157512.03</v>
      </c>
    </row>
    <row r="511" spans="1:72" ht="15" hidden="1" customHeight="1">
      <c r="A511" s="66" t="s">
        <v>2140</v>
      </c>
      <c r="B511" s="66"/>
      <c r="C511" s="66" t="s">
        <v>595</v>
      </c>
      <c r="D511" s="66" t="s">
        <v>595</v>
      </c>
      <c r="E511" s="150" t="s">
        <v>1136</v>
      </c>
      <c r="F511" s="482" t="s">
        <v>1566</v>
      </c>
      <c r="G511" s="150" t="s">
        <v>1650</v>
      </c>
      <c r="H511" s="150" t="s">
        <v>1650</v>
      </c>
      <c r="I511" s="150" t="s">
        <v>1650</v>
      </c>
      <c r="J511" s="150" t="s">
        <v>1650</v>
      </c>
      <c r="K511" s="150" t="s">
        <v>1650</v>
      </c>
      <c r="L511" s="511" t="s">
        <v>389</v>
      </c>
      <c r="M511" s="392" t="s">
        <v>1658</v>
      </c>
      <c r="N511" s="343"/>
      <c r="O511" s="343"/>
      <c r="P511" s="70" t="s">
        <v>596</v>
      </c>
      <c r="Q511" s="346"/>
      <c r="R511" s="343"/>
      <c r="S511" s="346"/>
      <c r="T511" s="150" t="s">
        <v>67</v>
      </c>
      <c r="U511" s="150" t="s">
        <v>1652</v>
      </c>
      <c r="V511" s="403"/>
      <c r="W511" s="406">
        <v>-12000</v>
      </c>
      <c r="X511" s="406">
        <v>0</v>
      </c>
      <c r="Y511" s="425"/>
      <c r="Z511" s="71"/>
      <c r="AA511" s="426"/>
      <c r="AB511" s="427"/>
      <c r="AC511" s="427"/>
      <c r="AD511" s="428" t="s">
        <v>1142</v>
      </c>
      <c r="AE511" s="429">
        <v>0</v>
      </c>
      <c r="AF511" s="429">
        <v>0</v>
      </c>
      <c r="AG511" s="360">
        <v>0</v>
      </c>
      <c r="AH511" s="360">
        <v>0</v>
      </c>
      <c r="AI511" s="360">
        <v>0</v>
      </c>
      <c r="AJ511" s="360">
        <v>0</v>
      </c>
      <c r="AK511" s="360">
        <v>0</v>
      </c>
      <c r="AL511" s="360">
        <v>0</v>
      </c>
      <c r="AM511" s="360">
        <f t="shared" si="29"/>
        <v>0</v>
      </c>
      <c r="AN511" s="362">
        <f>ERP_2[[#This Row],[2026 Working Total]]-ERP_2[[#This Row],[LE2 Final Submission]]</f>
        <v>0</v>
      </c>
      <c r="AO511" s="79"/>
      <c r="AP511" s="79">
        <f t="shared" si="28"/>
        <v>0</v>
      </c>
      <c r="AQ511" s="374">
        <f>SUM(ERP_2[[#This Row],[AP01]:[AP06]])-SUM(ERP_2[[#This Row],[AP01 LE2]:[AP06 LE2]])</f>
        <v>0</v>
      </c>
      <c r="AR511" s="80"/>
      <c r="AS511" s="79">
        <f>ERP_2[[#This Row],[2026 Working Total to Budget/LE]]-ERP_2[[#This Row],[Giveback]]</f>
        <v>0</v>
      </c>
      <c r="AT511" s="81"/>
      <c r="AU511" s="375"/>
      <c r="AV511" s="375"/>
      <c r="AW511" s="375"/>
      <c r="AX511" s="375"/>
      <c r="AY511" s="375"/>
      <c r="AZ511" s="375">
        <v>0</v>
      </c>
      <c r="BA511" s="375">
        <v>0</v>
      </c>
      <c r="BB511" s="375">
        <v>0</v>
      </c>
      <c r="BC511" s="375">
        <v>0</v>
      </c>
      <c r="BD511" s="375">
        <v>0</v>
      </c>
      <c r="BE511" s="375">
        <v>0</v>
      </c>
      <c r="BF511" s="375">
        <v>0</v>
      </c>
      <c r="BG511" s="375">
        <v>0</v>
      </c>
      <c r="BH511" s="79"/>
      <c r="BI511" s="79"/>
      <c r="BJ511" s="79"/>
      <c r="BK511" s="79"/>
      <c r="BL511" s="79"/>
      <c r="BM511" s="79">
        <v>-3000</v>
      </c>
      <c r="BN511" s="79">
        <v>0</v>
      </c>
      <c r="BO511" s="79">
        <v>0</v>
      </c>
      <c r="BP511" s="79">
        <v>-3000</v>
      </c>
      <c r="BQ511" s="79">
        <v>0</v>
      </c>
      <c r="BR511" s="79">
        <v>0</v>
      </c>
      <c r="BS511" s="79">
        <v>-3000</v>
      </c>
      <c r="BT511" s="79">
        <v>-9000</v>
      </c>
    </row>
    <row r="512" spans="1:72" ht="15" hidden="1" customHeight="1">
      <c r="A512" s="66" t="s">
        <v>2141</v>
      </c>
      <c r="B512" s="66"/>
      <c r="C512" s="66" t="s">
        <v>597</v>
      </c>
      <c r="D512" s="66" t="s">
        <v>597</v>
      </c>
      <c r="E512" s="150" t="s">
        <v>1136</v>
      </c>
      <c r="F512" s="482" t="s">
        <v>1566</v>
      </c>
      <c r="G512" s="150" t="s">
        <v>1650</v>
      </c>
      <c r="H512" s="150" t="s">
        <v>1650</v>
      </c>
      <c r="I512" s="150" t="s">
        <v>1650</v>
      </c>
      <c r="J512" s="150" t="s">
        <v>1650</v>
      </c>
      <c r="K512" s="150" t="s">
        <v>1650</v>
      </c>
      <c r="L512" s="511" t="s">
        <v>389</v>
      </c>
      <c r="M512" s="392" t="s">
        <v>1855</v>
      </c>
      <c r="N512" s="343"/>
      <c r="O512" s="343"/>
      <c r="P512" s="70" t="s">
        <v>466</v>
      </c>
      <c r="Q512" s="346"/>
      <c r="R512" s="346" t="s">
        <v>1140</v>
      </c>
      <c r="S512" s="346"/>
      <c r="T512" s="150" t="s">
        <v>57</v>
      </c>
      <c r="U512" s="150"/>
      <c r="V512" s="403"/>
      <c r="W512" s="406">
        <v>0</v>
      </c>
      <c r="X512" s="406">
        <v>11571</v>
      </c>
      <c r="Y512" s="425"/>
      <c r="Z512" s="71"/>
      <c r="AA512" s="426">
        <v>681</v>
      </c>
      <c r="AB512" s="427">
        <v>981</v>
      </c>
      <c r="AC512" s="427">
        <v>2709</v>
      </c>
      <c r="AD512" s="428">
        <v>2441</v>
      </c>
      <c r="AE512" s="429">
        <v>2448</v>
      </c>
      <c r="AF512" s="429">
        <v>1771</v>
      </c>
      <c r="AG512" s="363">
        <v>800</v>
      </c>
      <c r="AH512" s="363">
        <v>800</v>
      </c>
      <c r="AI512" s="363">
        <v>800</v>
      </c>
      <c r="AJ512" s="363">
        <v>800</v>
      </c>
      <c r="AK512" s="363">
        <v>800</v>
      </c>
      <c r="AL512" s="363">
        <v>800</v>
      </c>
      <c r="AM512" s="360">
        <f t="shared" si="29"/>
        <v>15831</v>
      </c>
      <c r="AN512" s="362">
        <f>ERP_2[[#This Row],[2026 Working Total]]-ERP_2[[#This Row],[LE2 Final Submission]]</f>
        <v>4260</v>
      </c>
      <c r="AO512" s="79">
        <v>800</v>
      </c>
      <c r="AP512" s="79">
        <f t="shared" si="28"/>
        <v>971</v>
      </c>
      <c r="AQ512" s="374">
        <f>SUM(ERP_2[[#This Row],[AP01]:[AP06]])-SUM(ERP_2[[#This Row],[AP01 LE2]:[AP06 LE2]])</f>
        <v>4260</v>
      </c>
      <c r="AR512" s="80"/>
      <c r="AS512" s="79">
        <f>ERP_2[[#This Row],[2026 Working Total to Budget/LE]]-ERP_2[[#This Row],[Giveback]]</f>
        <v>4260</v>
      </c>
      <c r="AT512" s="81"/>
      <c r="AU512" s="375">
        <v>681</v>
      </c>
      <c r="AV512" s="375">
        <v>981</v>
      </c>
      <c r="AW512" s="375">
        <v>2709</v>
      </c>
      <c r="AX512" s="375">
        <v>800</v>
      </c>
      <c r="AY512" s="375">
        <v>800</v>
      </c>
      <c r="AZ512" s="375">
        <v>800</v>
      </c>
      <c r="BA512" s="375">
        <v>800</v>
      </c>
      <c r="BB512" s="375">
        <v>800</v>
      </c>
      <c r="BC512" s="375">
        <v>800</v>
      </c>
      <c r="BD512" s="375">
        <v>800</v>
      </c>
      <c r="BE512" s="375">
        <v>800</v>
      </c>
      <c r="BF512" s="375">
        <v>800</v>
      </c>
      <c r="BG512" s="375">
        <v>11571</v>
      </c>
      <c r="BH512" s="79">
        <v>681</v>
      </c>
      <c r="BI512" s="79">
        <v>981</v>
      </c>
      <c r="BJ512" s="79">
        <v>2709</v>
      </c>
      <c r="BK512" s="79">
        <v>800</v>
      </c>
      <c r="BL512" s="79">
        <v>800</v>
      </c>
      <c r="BM512" s="79">
        <v>800</v>
      </c>
      <c r="BN512" s="79">
        <v>800</v>
      </c>
      <c r="BO512" s="79">
        <v>800</v>
      </c>
      <c r="BP512" s="79">
        <v>800</v>
      </c>
      <c r="BQ512" s="79">
        <v>800</v>
      </c>
      <c r="BR512" s="79">
        <v>800</v>
      </c>
      <c r="BS512" s="79">
        <v>800</v>
      </c>
      <c r="BT512" s="79">
        <v>11571</v>
      </c>
    </row>
    <row r="513" spans="1:72" ht="15" hidden="1" customHeight="1">
      <c r="A513" s="66" t="s">
        <v>2143</v>
      </c>
      <c r="B513" s="66"/>
      <c r="C513" s="66" t="s">
        <v>598</v>
      </c>
      <c r="D513" s="66" t="s">
        <v>598</v>
      </c>
      <c r="E513" s="150" t="s">
        <v>1136</v>
      </c>
      <c r="F513" s="482" t="s">
        <v>1566</v>
      </c>
      <c r="G513" s="150" t="s">
        <v>1650</v>
      </c>
      <c r="H513" s="150" t="s">
        <v>1650</v>
      </c>
      <c r="I513" s="150" t="s">
        <v>1650</v>
      </c>
      <c r="J513" s="150" t="s">
        <v>1650</v>
      </c>
      <c r="K513" s="150" t="s">
        <v>1650</v>
      </c>
      <c r="L513" s="511" t="s">
        <v>389</v>
      </c>
      <c r="M513" s="392" t="s">
        <v>2144</v>
      </c>
      <c r="N513" s="343"/>
      <c r="O513" s="343"/>
      <c r="P513" s="70" t="s">
        <v>599</v>
      </c>
      <c r="Q513" s="346"/>
      <c r="R513" s="343"/>
      <c r="S513" s="346"/>
      <c r="T513" s="150" t="s">
        <v>25</v>
      </c>
      <c r="U513" s="150"/>
      <c r="V513" s="403"/>
      <c r="W513" s="406">
        <v>12000</v>
      </c>
      <c r="X513" s="406">
        <v>12000</v>
      </c>
      <c r="Y513" s="425"/>
      <c r="Z513" s="71"/>
      <c r="AA513" s="426"/>
      <c r="AB513" s="427"/>
      <c r="AC513" s="427"/>
      <c r="AD513" s="428" t="s">
        <v>1142</v>
      </c>
      <c r="AE513" s="429">
        <v>0</v>
      </c>
      <c r="AF513" s="429">
        <v>0</v>
      </c>
      <c r="AG513" s="360">
        <v>0</v>
      </c>
      <c r="AH513" s="360">
        <v>0</v>
      </c>
      <c r="AI513" s="360">
        <v>0</v>
      </c>
      <c r="AJ513" s="360">
        <v>0</v>
      </c>
      <c r="AK513" s="360">
        <v>0</v>
      </c>
      <c r="AL513" s="360">
        <v>0</v>
      </c>
      <c r="AM513" s="360">
        <f t="shared" si="29"/>
        <v>0</v>
      </c>
      <c r="AN513" s="362">
        <f>ERP_2[[#This Row],[2026 Working Total]]-ERP_2[[#This Row],[LE2 Final Submission]]</f>
        <v>-12000</v>
      </c>
      <c r="AO513" s="79"/>
      <c r="AP513" s="79">
        <f t="shared" si="28"/>
        <v>0</v>
      </c>
      <c r="AQ513" s="374">
        <f>SUM(ERP_2[[#This Row],[AP01]:[AP06]])-SUM(ERP_2[[#This Row],[AP01 LE2]:[AP06 LE2]])</f>
        <v>-12000</v>
      </c>
      <c r="AR513" s="80"/>
      <c r="AS513" s="79">
        <f>ERP_2[[#This Row],[2026 Working Total to Budget/LE]]-ERP_2[[#This Row],[Giveback]]</f>
        <v>-12000</v>
      </c>
      <c r="AT513" s="81"/>
      <c r="AU513" s="375"/>
      <c r="AV513" s="375"/>
      <c r="AW513" s="375"/>
      <c r="AX513" s="375"/>
      <c r="AY513" s="375"/>
      <c r="AZ513" s="375">
        <v>12000</v>
      </c>
      <c r="BA513" s="375">
        <v>0</v>
      </c>
      <c r="BB513" s="375">
        <v>0</v>
      </c>
      <c r="BC513" s="375">
        <v>0</v>
      </c>
      <c r="BD513" s="375">
        <v>0</v>
      </c>
      <c r="BE513" s="375">
        <v>0</v>
      </c>
      <c r="BF513" s="375">
        <v>0</v>
      </c>
      <c r="BG513" s="375">
        <v>12000</v>
      </c>
      <c r="BH513" s="79"/>
      <c r="BI513" s="79"/>
      <c r="BJ513" s="79"/>
      <c r="BK513" s="79"/>
      <c r="BL513" s="79"/>
      <c r="BM513" s="79">
        <v>12000</v>
      </c>
      <c r="BN513" s="79">
        <v>0</v>
      </c>
      <c r="BO513" s="79">
        <v>0</v>
      </c>
      <c r="BP513" s="79">
        <v>0</v>
      </c>
      <c r="BQ513" s="79">
        <v>0</v>
      </c>
      <c r="BR513" s="79">
        <v>0</v>
      </c>
      <c r="BS513" s="79">
        <v>0</v>
      </c>
      <c r="BT513" s="79">
        <v>12000</v>
      </c>
    </row>
    <row r="514" spans="1:72" ht="15" hidden="1" customHeight="1">
      <c r="A514" s="66" t="s">
        <v>2145</v>
      </c>
      <c r="B514" s="66"/>
      <c r="C514" s="66" t="s">
        <v>600</v>
      </c>
      <c r="D514" s="66" t="s">
        <v>600</v>
      </c>
      <c r="E514" s="150" t="s">
        <v>1136</v>
      </c>
      <c r="F514" s="482" t="s">
        <v>1566</v>
      </c>
      <c r="G514" s="150" t="s">
        <v>1650</v>
      </c>
      <c r="H514" s="150" t="s">
        <v>1650</v>
      </c>
      <c r="I514" s="150" t="s">
        <v>1650</v>
      </c>
      <c r="J514" s="150" t="s">
        <v>1650</v>
      </c>
      <c r="K514" s="150" t="s">
        <v>1650</v>
      </c>
      <c r="L514" s="511" t="s">
        <v>389</v>
      </c>
      <c r="M514" s="392" t="s">
        <v>1327</v>
      </c>
      <c r="N514" s="343"/>
      <c r="O514" s="343"/>
      <c r="P514" s="70" t="s">
        <v>147</v>
      </c>
      <c r="Q514" s="346"/>
      <c r="R514" s="343"/>
      <c r="S514" s="346"/>
      <c r="T514" s="150" t="s">
        <v>25</v>
      </c>
      <c r="U514" s="150" t="s">
        <v>2147</v>
      </c>
      <c r="V514" s="403"/>
      <c r="W514" s="406">
        <v>0</v>
      </c>
      <c r="X514" s="406">
        <v>-0.03</v>
      </c>
      <c r="Y514" s="425"/>
      <c r="Z514" s="71"/>
      <c r="AA514" s="426"/>
      <c r="AB514" s="427"/>
      <c r="AC514" s="427">
        <v>-0.03</v>
      </c>
      <c r="AD514" s="428">
        <v>-0.38</v>
      </c>
      <c r="AE514" s="429">
        <v>0.61</v>
      </c>
      <c r="AF514" s="429">
        <v>341292.15</v>
      </c>
      <c r="AG514" s="360">
        <v>0</v>
      </c>
      <c r="AH514" s="360">
        <v>0</v>
      </c>
      <c r="AI514" s="360">
        <v>0</v>
      </c>
      <c r="AJ514" s="360">
        <v>0</v>
      </c>
      <c r="AK514" s="360">
        <v>0</v>
      </c>
      <c r="AL514" s="360">
        <v>0</v>
      </c>
      <c r="AM514" s="360">
        <f t="shared" si="29"/>
        <v>341292.35000000003</v>
      </c>
      <c r="AN514" s="362">
        <f>ERP_2[[#This Row],[2026 Working Total]]-ERP_2[[#This Row],[LE2 Final Submission]]</f>
        <v>341292.38000000006</v>
      </c>
      <c r="AO514" s="79">
        <v>0</v>
      </c>
      <c r="AP514" s="79">
        <f t="shared" si="28"/>
        <v>341292.15</v>
      </c>
      <c r="AQ514" s="374">
        <f>SUM(ERP_2[[#This Row],[AP01]:[AP06]])-SUM(ERP_2[[#This Row],[AP01 LE2]:[AP06 LE2]])</f>
        <v>341292.38000000006</v>
      </c>
      <c r="AR514" s="80"/>
      <c r="AS514" s="79">
        <f>ERP_2[[#This Row],[2026 Working Total to Budget/LE]]-ERP_2[[#This Row],[Giveback]]</f>
        <v>341292.38000000006</v>
      </c>
      <c r="AT514" s="81"/>
      <c r="AU514" s="375"/>
      <c r="AV514" s="375"/>
      <c r="AW514" s="375">
        <v>-0.03</v>
      </c>
      <c r="AX514" s="375">
        <v>0</v>
      </c>
      <c r="AY514" s="375">
        <v>0</v>
      </c>
      <c r="AZ514" s="375">
        <v>0</v>
      </c>
      <c r="BA514" s="375">
        <v>0</v>
      </c>
      <c r="BB514" s="375">
        <v>0</v>
      </c>
      <c r="BC514" s="375">
        <v>0</v>
      </c>
      <c r="BD514" s="375">
        <v>0</v>
      </c>
      <c r="BE514" s="375">
        <v>0</v>
      </c>
      <c r="BF514" s="375">
        <v>0</v>
      </c>
      <c r="BG514" s="375">
        <v>-0.03</v>
      </c>
      <c r="BH514" s="79"/>
      <c r="BI514" s="79"/>
      <c r="BJ514" s="79">
        <v>-0.03</v>
      </c>
      <c r="BK514" s="79">
        <v>0</v>
      </c>
      <c r="BL514" s="79">
        <v>0</v>
      </c>
      <c r="BM514" s="79">
        <v>0</v>
      </c>
      <c r="BN514" s="79">
        <v>0</v>
      </c>
      <c r="BO514" s="79">
        <v>0</v>
      </c>
      <c r="BP514" s="79">
        <v>0</v>
      </c>
      <c r="BQ514" s="79">
        <v>0</v>
      </c>
      <c r="BR514" s="79">
        <v>0</v>
      </c>
      <c r="BS514" s="79">
        <v>0</v>
      </c>
      <c r="BT514" s="79">
        <v>-0.03</v>
      </c>
    </row>
    <row r="515" spans="1:72" ht="15" hidden="1" customHeight="1">
      <c r="A515" s="66" t="s">
        <v>2186</v>
      </c>
      <c r="B515" s="66"/>
      <c r="C515" s="66" t="s">
        <v>623</v>
      </c>
      <c r="D515" s="66" t="s">
        <v>623</v>
      </c>
      <c r="E515" s="150" t="s">
        <v>1136</v>
      </c>
      <c r="F515" s="482" t="s">
        <v>1566</v>
      </c>
      <c r="G515" s="150" t="s">
        <v>1650</v>
      </c>
      <c r="H515" s="150" t="s">
        <v>1650</v>
      </c>
      <c r="I515" s="150" t="s">
        <v>1650</v>
      </c>
      <c r="J515" s="150" t="s">
        <v>1650</v>
      </c>
      <c r="K515" s="150" t="s">
        <v>1650</v>
      </c>
      <c r="L515" s="511" t="s">
        <v>602</v>
      </c>
      <c r="M515" s="392" t="s">
        <v>611</v>
      </c>
      <c r="N515" s="343"/>
      <c r="O515" s="343"/>
      <c r="P515" s="70" t="s">
        <v>610</v>
      </c>
      <c r="Q515" s="346"/>
      <c r="R515" s="343"/>
      <c r="S515" s="346"/>
      <c r="T515" s="150" t="s">
        <v>611</v>
      </c>
      <c r="U515" s="150"/>
      <c r="V515" s="403"/>
      <c r="W515" s="406">
        <v>0</v>
      </c>
      <c r="X515" s="406">
        <v>28.1</v>
      </c>
      <c r="Y515" s="425"/>
      <c r="Z515" s="71"/>
      <c r="AA515" s="426"/>
      <c r="AB515" s="427">
        <v>27.55</v>
      </c>
      <c r="AC515" s="427">
        <v>0.55000000000000004</v>
      </c>
      <c r="AD515" s="428">
        <v>2.16</v>
      </c>
      <c r="AE515" s="429">
        <v>4.129999999999999</v>
      </c>
      <c r="AF515" s="429">
        <v>57.92</v>
      </c>
      <c r="AG515" s="360">
        <v>0</v>
      </c>
      <c r="AH515" s="360">
        <v>0</v>
      </c>
      <c r="AI515" s="360">
        <v>0</v>
      </c>
      <c r="AJ515" s="360">
        <v>0</v>
      </c>
      <c r="AK515" s="360">
        <v>0</v>
      </c>
      <c r="AL515" s="360">
        <v>0</v>
      </c>
      <c r="AM515" s="360">
        <f t="shared" si="29"/>
        <v>92.31</v>
      </c>
      <c r="AN515" s="362">
        <f>ERP_2[[#This Row],[2026 Working Total]]-ERP_2[[#This Row],[LE2 Final Submission]]</f>
        <v>64.210000000000008</v>
      </c>
      <c r="AO515" s="79">
        <v>0</v>
      </c>
      <c r="AP515" s="79">
        <f t="shared" si="28"/>
        <v>57.92</v>
      </c>
      <c r="AQ515" s="374">
        <f>SUM(ERP_2[[#This Row],[AP01]:[AP06]])-SUM(ERP_2[[#This Row],[AP01 LE2]:[AP06 LE2]])</f>
        <v>64.210000000000008</v>
      </c>
      <c r="AR515" s="80"/>
      <c r="AS515" s="79">
        <f>ERP_2[[#This Row],[2026 Working Total to Budget/LE]]-ERP_2[[#This Row],[Giveback]]</f>
        <v>64.210000000000008</v>
      </c>
      <c r="AT515" s="81"/>
      <c r="AU515" s="375"/>
      <c r="AV515" s="375">
        <v>27.55</v>
      </c>
      <c r="AW515" s="375">
        <v>0.55000000000000004</v>
      </c>
      <c r="AX515" s="375">
        <v>0</v>
      </c>
      <c r="AY515" s="375">
        <v>0</v>
      </c>
      <c r="AZ515" s="375">
        <v>0</v>
      </c>
      <c r="BA515" s="375">
        <v>0</v>
      </c>
      <c r="BB515" s="375">
        <v>0</v>
      </c>
      <c r="BC515" s="375">
        <v>0</v>
      </c>
      <c r="BD515" s="375">
        <v>0</v>
      </c>
      <c r="BE515" s="375">
        <v>0</v>
      </c>
      <c r="BF515" s="375">
        <v>0</v>
      </c>
      <c r="BG515" s="375">
        <v>28.1</v>
      </c>
      <c r="BH515" s="79"/>
      <c r="BI515" s="79">
        <v>27.55</v>
      </c>
      <c r="BJ515" s="79">
        <v>0.55000000000000004</v>
      </c>
      <c r="BK515" s="79">
        <v>0</v>
      </c>
      <c r="BL515" s="79">
        <v>0</v>
      </c>
      <c r="BM515" s="79">
        <v>0</v>
      </c>
      <c r="BN515" s="79">
        <v>0</v>
      </c>
      <c r="BO515" s="79">
        <v>0</v>
      </c>
      <c r="BP515" s="79">
        <v>0</v>
      </c>
      <c r="BQ515" s="79">
        <v>0</v>
      </c>
      <c r="BR515" s="79">
        <v>0</v>
      </c>
      <c r="BS515" s="79">
        <v>0</v>
      </c>
      <c r="BT515" s="79">
        <v>28.1</v>
      </c>
    </row>
    <row r="516" spans="1:72" ht="15" hidden="1" customHeight="1">
      <c r="A516" s="66" t="s">
        <v>2809</v>
      </c>
      <c r="B516" s="66"/>
      <c r="C516" s="66" t="s">
        <v>1016</v>
      </c>
      <c r="D516" s="66" t="s">
        <v>1016</v>
      </c>
      <c r="E516" s="150" t="s">
        <v>1136</v>
      </c>
      <c r="F516" s="482" t="s">
        <v>1566</v>
      </c>
      <c r="G516" s="150" t="s">
        <v>1650</v>
      </c>
      <c r="H516" s="150" t="s">
        <v>1650</v>
      </c>
      <c r="I516" s="150" t="s">
        <v>1650</v>
      </c>
      <c r="J516" s="150" t="s">
        <v>1650</v>
      </c>
      <c r="K516" s="150" t="s">
        <v>1650</v>
      </c>
      <c r="L516" s="511" t="s">
        <v>639</v>
      </c>
      <c r="M516" s="392" t="s">
        <v>1138</v>
      </c>
      <c r="N516" s="343"/>
      <c r="O516" s="343"/>
      <c r="P516" s="70" t="s">
        <v>51</v>
      </c>
      <c r="Q516" s="346" t="s">
        <v>1139</v>
      </c>
      <c r="R516" s="346" t="s">
        <v>1140</v>
      </c>
      <c r="S516" s="346"/>
      <c r="T516" s="150" t="s">
        <v>25</v>
      </c>
      <c r="U516" s="150"/>
      <c r="V516" s="403"/>
      <c r="W516" s="406">
        <v>0</v>
      </c>
      <c r="X516" s="406">
        <v>200.42</v>
      </c>
      <c r="Y516" s="425"/>
      <c r="Z516" s="71"/>
      <c r="AA516" s="426"/>
      <c r="AB516" s="427"/>
      <c r="AC516" s="427">
        <v>200.42</v>
      </c>
      <c r="AD516" s="428">
        <v>0</v>
      </c>
      <c r="AE516" s="429">
        <v>0</v>
      </c>
      <c r="AF516" s="429">
        <v>0</v>
      </c>
      <c r="AG516" s="360">
        <v>0</v>
      </c>
      <c r="AH516" s="360">
        <v>0</v>
      </c>
      <c r="AI516" s="360">
        <v>0</v>
      </c>
      <c r="AJ516" s="360">
        <v>0</v>
      </c>
      <c r="AK516" s="360">
        <v>0</v>
      </c>
      <c r="AL516" s="360">
        <v>0</v>
      </c>
      <c r="AM516" s="360">
        <f t="shared" si="29"/>
        <v>200.42</v>
      </c>
      <c r="AN516" s="362">
        <f>ERP_2[[#This Row],[2026 Working Total]]-ERP_2[[#This Row],[LE2 Final Submission]]</f>
        <v>0</v>
      </c>
      <c r="AO516" s="79">
        <v>0</v>
      </c>
      <c r="AP516" s="79">
        <f t="shared" si="28"/>
        <v>0</v>
      </c>
      <c r="AQ516" s="374">
        <f>SUM(ERP_2[[#This Row],[AP01]:[AP06]])-SUM(ERP_2[[#This Row],[AP01 LE2]:[AP06 LE2]])</f>
        <v>0</v>
      </c>
      <c r="AR516" s="80"/>
      <c r="AS516" s="79">
        <f>ERP_2[[#This Row],[2026 Working Total to Budget/LE]]-ERP_2[[#This Row],[Giveback]]</f>
        <v>0</v>
      </c>
      <c r="AT516" s="81"/>
      <c r="AU516" s="375"/>
      <c r="AV516" s="375"/>
      <c r="AW516" s="375">
        <v>200.42</v>
      </c>
      <c r="AX516" s="375">
        <v>0</v>
      </c>
      <c r="AY516" s="375">
        <v>0</v>
      </c>
      <c r="AZ516" s="375">
        <v>0</v>
      </c>
      <c r="BA516" s="375">
        <v>0</v>
      </c>
      <c r="BB516" s="375">
        <v>0</v>
      </c>
      <c r="BC516" s="375">
        <v>0</v>
      </c>
      <c r="BD516" s="375">
        <v>0</v>
      </c>
      <c r="BE516" s="375">
        <v>0</v>
      </c>
      <c r="BF516" s="375">
        <v>0</v>
      </c>
      <c r="BG516" s="375">
        <v>200.42</v>
      </c>
      <c r="BH516" s="79"/>
      <c r="BI516" s="79"/>
      <c r="BJ516" s="79">
        <v>200.42</v>
      </c>
      <c r="BK516" s="79">
        <v>0</v>
      </c>
      <c r="BL516" s="79">
        <v>0</v>
      </c>
      <c r="BM516" s="79">
        <v>0</v>
      </c>
      <c r="BN516" s="79">
        <v>0</v>
      </c>
      <c r="BO516" s="79">
        <v>0</v>
      </c>
      <c r="BP516" s="79">
        <v>0</v>
      </c>
      <c r="BQ516" s="79">
        <v>0</v>
      </c>
      <c r="BR516" s="79">
        <v>0</v>
      </c>
      <c r="BS516" s="79">
        <v>0</v>
      </c>
      <c r="BT516" s="79">
        <v>200.42</v>
      </c>
    </row>
    <row r="517" spans="1:72" ht="15" hidden="1" customHeight="1">
      <c r="A517" s="66" t="s">
        <v>2810</v>
      </c>
      <c r="B517" s="66"/>
      <c r="C517" s="66" t="s">
        <v>1017</v>
      </c>
      <c r="D517" s="66" t="s">
        <v>1017</v>
      </c>
      <c r="E517" s="150" t="s">
        <v>1136</v>
      </c>
      <c r="F517" s="482" t="s">
        <v>1566</v>
      </c>
      <c r="G517" s="150" t="s">
        <v>1650</v>
      </c>
      <c r="H517" s="150" t="s">
        <v>1650</v>
      </c>
      <c r="I517" s="150" t="s">
        <v>1650</v>
      </c>
      <c r="J517" s="150" t="s">
        <v>1650</v>
      </c>
      <c r="K517" s="150" t="s">
        <v>1650</v>
      </c>
      <c r="L517" s="511" t="s">
        <v>639</v>
      </c>
      <c r="M517" s="392" t="s">
        <v>2285</v>
      </c>
      <c r="N517" s="343"/>
      <c r="O517" s="343"/>
      <c r="P517" s="70" t="s">
        <v>676</v>
      </c>
      <c r="Q517" s="346"/>
      <c r="R517" s="346" t="s">
        <v>1140</v>
      </c>
      <c r="S517" s="346"/>
      <c r="T517" s="150" t="s">
        <v>677</v>
      </c>
      <c r="U517" s="150"/>
      <c r="V517" s="403"/>
      <c r="W517" s="406">
        <v>838.44</v>
      </c>
      <c r="X517" s="406">
        <v>1759.95</v>
      </c>
      <c r="Y517" s="425"/>
      <c r="Z517" s="71"/>
      <c r="AA517" s="426"/>
      <c r="AB517" s="427">
        <v>921.51</v>
      </c>
      <c r="AC517" s="431">
        <v>0</v>
      </c>
      <c r="AD517" s="428">
        <v>717.38</v>
      </c>
      <c r="AE517" s="429">
        <v>227</v>
      </c>
      <c r="AF517" s="429">
        <v>0</v>
      </c>
      <c r="AG517" s="360">
        <v>0</v>
      </c>
      <c r="AH517" s="363">
        <v>550</v>
      </c>
      <c r="AI517" s="363">
        <v>288.44</v>
      </c>
      <c r="AJ517" s="360">
        <v>0</v>
      </c>
      <c r="AK517" s="360">
        <v>0</v>
      </c>
      <c r="AL517" s="360">
        <v>0</v>
      </c>
      <c r="AM517" s="360">
        <f t="shared" si="29"/>
        <v>2704.33</v>
      </c>
      <c r="AN517" s="362">
        <f>ERP_2[[#This Row],[2026 Working Total]]-ERP_2[[#This Row],[LE2 Final Submission]]</f>
        <v>944.37999999999988</v>
      </c>
      <c r="AO517" s="79">
        <v>0</v>
      </c>
      <c r="AP517" s="79">
        <f t="shared" si="28"/>
        <v>0</v>
      </c>
      <c r="AQ517" s="374">
        <f>SUM(ERP_2[[#This Row],[AP01]:[AP06]])-SUM(ERP_2[[#This Row],[AP01 LE2]:[AP06 LE2]])</f>
        <v>944.37999999999988</v>
      </c>
      <c r="AR517" s="80"/>
      <c r="AS517" s="79">
        <f>ERP_2[[#This Row],[2026 Working Total to Budget/LE]]-ERP_2[[#This Row],[Giveback]]</f>
        <v>944.37999999999988</v>
      </c>
      <c r="AT517" s="81"/>
      <c r="AU517" s="375"/>
      <c r="AV517" s="375">
        <v>921.51</v>
      </c>
      <c r="AW517" s="375">
        <v>0</v>
      </c>
      <c r="AX517" s="375">
        <v>0</v>
      </c>
      <c r="AY517" s="375">
        <v>0</v>
      </c>
      <c r="AZ517" s="375">
        <v>0</v>
      </c>
      <c r="BA517" s="375">
        <v>0</v>
      </c>
      <c r="BB517" s="375">
        <v>550</v>
      </c>
      <c r="BC517" s="375">
        <v>288.44</v>
      </c>
      <c r="BD517" s="375">
        <v>0</v>
      </c>
      <c r="BE517" s="375">
        <v>0</v>
      </c>
      <c r="BF517" s="375">
        <v>0</v>
      </c>
      <c r="BG517" s="375">
        <v>1759.95</v>
      </c>
      <c r="BH517" s="79"/>
      <c r="BI517" s="79">
        <v>921.51</v>
      </c>
      <c r="BJ517" s="79">
        <v>0</v>
      </c>
      <c r="BK517" s="79">
        <v>0</v>
      </c>
      <c r="BL517" s="79">
        <v>0</v>
      </c>
      <c r="BM517" s="79">
        <v>0</v>
      </c>
      <c r="BN517" s="79">
        <v>0</v>
      </c>
      <c r="BO517" s="79">
        <v>550</v>
      </c>
      <c r="BP517" s="79">
        <v>288.44</v>
      </c>
      <c r="BQ517" s="79">
        <v>0</v>
      </c>
      <c r="BR517" s="79">
        <v>0</v>
      </c>
      <c r="BS517" s="79">
        <v>0</v>
      </c>
      <c r="BT517" s="79">
        <v>1759.95</v>
      </c>
    </row>
    <row r="518" spans="1:72" ht="15" hidden="1" customHeight="1">
      <c r="A518" s="66" t="s">
        <v>2811</v>
      </c>
      <c r="B518" s="66"/>
      <c r="C518" s="66" t="s">
        <v>1018</v>
      </c>
      <c r="D518" s="66" t="s">
        <v>1018</v>
      </c>
      <c r="E518" s="150" t="s">
        <v>1136</v>
      </c>
      <c r="F518" s="482" t="s">
        <v>1566</v>
      </c>
      <c r="G518" s="150" t="s">
        <v>1650</v>
      </c>
      <c r="H518" s="150" t="s">
        <v>1650</v>
      </c>
      <c r="I518" s="150" t="s">
        <v>1650</v>
      </c>
      <c r="J518" s="150" t="s">
        <v>1650</v>
      </c>
      <c r="K518" s="150" t="s">
        <v>1650</v>
      </c>
      <c r="L518" s="511" t="s">
        <v>639</v>
      </c>
      <c r="M518" s="392" t="s">
        <v>2291</v>
      </c>
      <c r="N518" s="343"/>
      <c r="O518" s="343"/>
      <c r="P518" s="70" t="s">
        <v>679</v>
      </c>
      <c r="Q518" s="346"/>
      <c r="R518" s="346" t="s">
        <v>1140</v>
      </c>
      <c r="S518" s="346"/>
      <c r="T518" s="150" t="s">
        <v>680</v>
      </c>
      <c r="U518" s="150"/>
      <c r="V518" s="403"/>
      <c r="W518" s="406">
        <v>4500</v>
      </c>
      <c r="X518" s="406">
        <v>8574.7199999999993</v>
      </c>
      <c r="Y518" s="425"/>
      <c r="Z518" s="71"/>
      <c r="AA518" s="426">
        <v>431</v>
      </c>
      <c r="AB518" s="427">
        <v>2586</v>
      </c>
      <c r="AC518" s="427">
        <v>2182.7199999999998</v>
      </c>
      <c r="AD518" s="428">
        <v>431</v>
      </c>
      <c r="AE518" s="429">
        <v>0</v>
      </c>
      <c r="AF518" s="429">
        <v>1724</v>
      </c>
      <c r="AG518" s="363">
        <v>375</v>
      </c>
      <c r="AH518" s="363">
        <v>375</v>
      </c>
      <c r="AI518" s="363">
        <v>375</v>
      </c>
      <c r="AJ518" s="363">
        <v>375</v>
      </c>
      <c r="AK518" s="363">
        <v>375</v>
      </c>
      <c r="AL518" s="363">
        <v>375</v>
      </c>
      <c r="AM518" s="360">
        <f t="shared" si="29"/>
        <v>9604.7199999999993</v>
      </c>
      <c r="AN518" s="362">
        <f>ERP_2[[#This Row],[2026 Working Total]]-ERP_2[[#This Row],[LE2 Final Submission]]</f>
        <v>1030</v>
      </c>
      <c r="AO518" s="79">
        <v>375</v>
      </c>
      <c r="AP518" s="79">
        <f t="shared" si="28"/>
        <v>1349</v>
      </c>
      <c r="AQ518" s="374">
        <f>SUM(ERP_2[[#This Row],[AP01]:[AP06]])-SUM(ERP_2[[#This Row],[AP01 LE2]:[AP06 LE2]])</f>
        <v>1030</v>
      </c>
      <c r="AR518" s="80"/>
      <c r="AS518" s="79">
        <f>ERP_2[[#This Row],[2026 Working Total to Budget/LE]]-ERP_2[[#This Row],[Giveback]]</f>
        <v>1030</v>
      </c>
      <c r="AT518" s="81"/>
      <c r="AU518" s="375">
        <v>431</v>
      </c>
      <c r="AV518" s="375">
        <v>2586</v>
      </c>
      <c r="AW518" s="375">
        <v>2182.7199999999998</v>
      </c>
      <c r="AX518" s="375">
        <v>375</v>
      </c>
      <c r="AY518" s="375">
        <v>375</v>
      </c>
      <c r="AZ518" s="375">
        <v>375</v>
      </c>
      <c r="BA518" s="375">
        <v>375</v>
      </c>
      <c r="BB518" s="375">
        <v>375</v>
      </c>
      <c r="BC518" s="375">
        <v>375</v>
      </c>
      <c r="BD518" s="375">
        <v>375</v>
      </c>
      <c r="BE518" s="375">
        <v>375</v>
      </c>
      <c r="BF518" s="375">
        <v>375</v>
      </c>
      <c r="BG518" s="375">
        <v>8574.7199999999993</v>
      </c>
      <c r="BH518" s="79">
        <v>431</v>
      </c>
      <c r="BI518" s="79">
        <v>2586</v>
      </c>
      <c r="BJ518" s="79">
        <v>2182.7199999999998</v>
      </c>
      <c r="BK518" s="79">
        <v>375</v>
      </c>
      <c r="BL518" s="79">
        <v>375</v>
      </c>
      <c r="BM518" s="79">
        <v>375</v>
      </c>
      <c r="BN518" s="79">
        <v>375</v>
      </c>
      <c r="BO518" s="79">
        <v>375</v>
      </c>
      <c r="BP518" s="79">
        <v>375</v>
      </c>
      <c r="BQ518" s="79">
        <v>375</v>
      </c>
      <c r="BR518" s="79">
        <v>375</v>
      </c>
      <c r="BS518" s="79">
        <v>375</v>
      </c>
      <c r="BT518" s="79">
        <v>8574.7199999999993</v>
      </c>
    </row>
    <row r="519" spans="1:72" ht="15" hidden="1" customHeight="1">
      <c r="A519" s="79" t="s">
        <v>2812</v>
      </c>
      <c r="B519" s="79"/>
      <c r="C519" s="79" t="s">
        <v>1019</v>
      </c>
      <c r="D519" s="296" t="s">
        <v>1019</v>
      </c>
      <c r="E519" s="150" t="s">
        <v>1136</v>
      </c>
      <c r="F519" s="482" t="s">
        <v>1566</v>
      </c>
      <c r="G519" s="150" t="s">
        <v>1650</v>
      </c>
      <c r="H519" s="382" t="s">
        <v>1650</v>
      </c>
      <c r="I519" s="383" t="s">
        <v>1650</v>
      </c>
      <c r="J519" s="382" t="s">
        <v>1650</v>
      </c>
      <c r="K519" s="333" t="s">
        <v>1650</v>
      </c>
      <c r="L519" s="512" t="s">
        <v>639</v>
      </c>
      <c r="M519" s="394" t="s">
        <v>2813</v>
      </c>
      <c r="N519" s="343"/>
      <c r="O519" s="333"/>
      <c r="P519" s="122" t="s">
        <v>1020</v>
      </c>
      <c r="Q519" s="347"/>
      <c r="R519" s="346" t="s">
        <v>1140</v>
      </c>
      <c r="S519" s="348"/>
      <c r="T519" s="384" t="s">
        <v>1021</v>
      </c>
      <c r="U519" s="387" t="s">
        <v>2814</v>
      </c>
      <c r="V519" s="432"/>
      <c r="W519" s="358">
        <v>340000</v>
      </c>
      <c r="X519" s="378">
        <v>340000</v>
      </c>
      <c r="Y519" s="425"/>
      <c r="Z519" s="71"/>
      <c r="AA519" s="433"/>
      <c r="AB519" s="434"/>
      <c r="AC519" s="434"/>
      <c r="AD519" s="428" t="s">
        <v>1142</v>
      </c>
      <c r="AE519" s="429">
        <v>0</v>
      </c>
      <c r="AF519" s="429">
        <v>0</v>
      </c>
      <c r="AG519" s="388">
        <v>0</v>
      </c>
      <c r="AH519" s="508">
        <v>0</v>
      </c>
      <c r="AI519" s="388">
        <v>0</v>
      </c>
      <c r="AJ519" s="388">
        <v>0</v>
      </c>
      <c r="AK519" s="388">
        <v>0</v>
      </c>
      <c r="AL519" s="388">
        <v>0</v>
      </c>
      <c r="AM519" s="360">
        <f t="shared" si="29"/>
        <v>0</v>
      </c>
      <c r="AN519" s="362">
        <f>ERP_2[[#This Row],[2026 Working Total]]-ERP_2[[#This Row],[LE2 Final Submission]]</f>
        <v>-340000</v>
      </c>
      <c r="AO519" s="79">
        <v>0</v>
      </c>
      <c r="AP519" s="79">
        <f t="shared" si="28"/>
        <v>0</v>
      </c>
      <c r="AQ519" s="374">
        <f>SUM(ERP_2[[#This Row],[AP01]:[AP06]])-SUM(ERP_2[[#This Row],[AP01 LE2]:[AP06 LE2]])</f>
        <v>0</v>
      </c>
      <c r="AR519" s="80"/>
      <c r="AS519" s="79">
        <f>ERP_2[[#This Row],[2026 Working Total to Budget/LE]]-ERP_2[[#This Row],[Giveback]]</f>
        <v>-340000</v>
      </c>
      <c r="AT519" s="81"/>
      <c r="AU519" s="375"/>
      <c r="AV519" s="375"/>
      <c r="AW519" s="375"/>
      <c r="AX519" s="375">
        <v>0</v>
      </c>
      <c r="AY519" s="375">
        <v>0</v>
      </c>
      <c r="AZ519" s="375">
        <v>0</v>
      </c>
      <c r="BA519" s="375">
        <v>0</v>
      </c>
      <c r="BB519" s="375">
        <v>340000</v>
      </c>
      <c r="BC519" s="375">
        <v>0</v>
      </c>
      <c r="BD519" s="375">
        <v>0</v>
      </c>
      <c r="BE519" s="375">
        <v>0</v>
      </c>
      <c r="BF519" s="375">
        <v>0</v>
      </c>
      <c r="BG519" s="375">
        <v>340000</v>
      </c>
      <c r="BH519" s="103">
        <v>0</v>
      </c>
      <c r="BI519" s="103">
        <v>0</v>
      </c>
      <c r="BJ519" s="103">
        <v>340000</v>
      </c>
      <c r="BK519" s="103">
        <v>0</v>
      </c>
      <c r="BL519" s="103">
        <v>0</v>
      </c>
      <c r="BM519" s="103">
        <v>0</v>
      </c>
      <c r="BN519" s="103">
        <v>0</v>
      </c>
      <c r="BO519" s="103">
        <v>0</v>
      </c>
      <c r="BP519" s="103">
        <v>0</v>
      </c>
      <c r="BQ519" s="103">
        <v>0</v>
      </c>
      <c r="BR519" s="103">
        <v>0</v>
      </c>
      <c r="BS519" s="103">
        <v>0</v>
      </c>
      <c r="BT519" s="79">
        <f>SUM(ERP_2[[#This Row],[2026 AP01]:[2026 AP12]])</f>
        <v>340000</v>
      </c>
    </row>
    <row r="520" spans="1:72" ht="15" hidden="1" customHeight="1">
      <c r="A520" s="66" t="s">
        <v>2815</v>
      </c>
      <c r="B520" s="66"/>
      <c r="C520" s="66" t="s">
        <v>1022</v>
      </c>
      <c r="D520" s="66" t="s">
        <v>1022</v>
      </c>
      <c r="E520" s="150" t="s">
        <v>1136</v>
      </c>
      <c r="F520" s="482" t="s">
        <v>1566</v>
      </c>
      <c r="G520" s="150" t="s">
        <v>1650</v>
      </c>
      <c r="H520" s="150" t="s">
        <v>1650</v>
      </c>
      <c r="I520" s="150" t="s">
        <v>1650</v>
      </c>
      <c r="J520" s="150" t="s">
        <v>1650</v>
      </c>
      <c r="K520" s="150" t="s">
        <v>1650</v>
      </c>
      <c r="L520" s="511" t="s">
        <v>639</v>
      </c>
      <c r="M520" s="392" t="s">
        <v>818</v>
      </c>
      <c r="N520" s="343"/>
      <c r="O520" s="343"/>
      <c r="P520" s="70" t="s">
        <v>817</v>
      </c>
      <c r="Q520" s="346"/>
      <c r="R520" s="346" t="s">
        <v>1140</v>
      </c>
      <c r="S520" s="346"/>
      <c r="T520" s="150" t="s">
        <v>818</v>
      </c>
      <c r="U520" s="150" t="s">
        <v>2816</v>
      </c>
      <c r="V520" s="403"/>
      <c r="W520" s="406">
        <v>17784.52</v>
      </c>
      <c r="X520" s="406">
        <v>32897.279999999999</v>
      </c>
      <c r="Y520" s="425"/>
      <c r="Z520" s="71"/>
      <c r="AA520" s="426"/>
      <c r="AB520" s="427"/>
      <c r="AC520" s="427">
        <v>8224.32</v>
      </c>
      <c r="AD520" s="428">
        <v>0</v>
      </c>
      <c r="AE520" s="429">
        <v>0</v>
      </c>
      <c r="AF520" s="429">
        <v>10506.24</v>
      </c>
      <c r="AG520" s="360">
        <v>0</v>
      </c>
      <c r="AH520" s="360">
        <v>0</v>
      </c>
      <c r="AI520" s="363">
        <v>8224.32</v>
      </c>
      <c r="AJ520" s="360">
        <v>0</v>
      </c>
      <c r="AK520" s="363">
        <v>8224.32</v>
      </c>
      <c r="AL520" s="360">
        <v>0</v>
      </c>
      <c r="AM520" s="360">
        <f t="shared" si="29"/>
        <v>35179.199999999997</v>
      </c>
      <c r="AN520" s="362">
        <f>ERP_2[[#This Row],[2026 Working Total]]-ERP_2[[#This Row],[LE2 Final Submission]]</f>
        <v>2281.9199999999983</v>
      </c>
      <c r="AO520" s="79">
        <v>0</v>
      </c>
      <c r="AP520" s="79">
        <f t="shared" ref="AP520:AP583" si="30">$AF520 - $AO520</f>
        <v>10506.24</v>
      </c>
      <c r="AQ520" s="374">
        <f>SUM(ERP_2[[#This Row],[AP01]:[AP06]])-SUM(ERP_2[[#This Row],[AP01 LE2]:[AP06 LE2]])</f>
        <v>2281.9199999999983</v>
      </c>
      <c r="AR520" s="80"/>
      <c r="AS520" s="79">
        <f>ERP_2[[#This Row],[2026 Working Total to Budget/LE]]-ERP_2[[#This Row],[Giveback]]</f>
        <v>2281.9199999999983</v>
      </c>
      <c r="AT520" s="81"/>
      <c r="AU520" s="375"/>
      <c r="AV520" s="375"/>
      <c r="AW520" s="375">
        <v>8224.32</v>
      </c>
      <c r="AX520" s="375">
        <v>0</v>
      </c>
      <c r="AY520" s="375">
        <v>0</v>
      </c>
      <c r="AZ520" s="375">
        <v>8224.32</v>
      </c>
      <c r="BA520" s="375">
        <v>0</v>
      </c>
      <c r="BB520" s="375">
        <v>0</v>
      </c>
      <c r="BC520" s="375">
        <v>8224.32</v>
      </c>
      <c r="BD520" s="375">
        <v>0</v>
      </c>
      <c r="BE520" s="375">
        <v>8224.32</v>
      </c>
      <c r="BF520" s="375">
        <v>0</v>
      </c>
      <c r="BG520" s="375">
        <v>32897.279999999999</v>
      </c>
      <c r="BH520" s="79"/>
      <c r="BI520" s="79"/>
      <c r="BJ520" s="79">
        <v>8224.32</v>
      </c>
      <c r="BK520" s="79">
        <v>0</v>
      </c>
      <c r="BL520" s="79">
        <v>0</v>
      </c>
      <c r="BM520" s="79">
        <v>4446.13</v>
      </c>
      <c r="BN520" s="79">
        <v>0</v>
      </c>
      <c r="BO520" s="79">
        <v>0</v>
      </c>
      <c r="BP520" s="79">
        <v>4446.13</v>
      </c>
      <c r="BQ520" s="79">
        <v>0</v>
      </c>
      <c r="BR520" s="79">
        <v>4446.13</v>
      </c>
      <c r="BS520" s="79">
        <v>0</v>
      </c>
      <c r="BT520" s="79">
        <v>21562.710000000003</v>
      </c>
    </row>
    <row r="521" spans="1:72" ht="15" hidden="1" customHeight="1">
      <c r="A521" s="66" t="s">
        <v>2817</v>
      </c>
      <c r="B521" s="66"/>
      <c r="C521" s="66" t="s">
        <v>1023</v>
      </c>
      <c r="D521" s="66" t="s">
        <v>1023</v>
      </c>
      <c r="E521" s="150" t="s">
        <v>1136</v>
      </c>
      <c r="F521" s="482" t="s">
        <v>1566</v>
      </c>
      <c r="G521" s="150" t="s">
        <v>1650</v>
      </c>
      <c r="H521" s="150" t="s">
        <v>1650</v>
      </c>
      <c r="I521" s="150" t="s">
        <v>1650</v>
      </c>
      <c r="J521" s="150" t="s">
        <v>1650</v>
      </c>
      <c r="K521" s="150" t="s">
        <v>1650</v>
      </c>
      <c r="L521" s="511" t="s">
        <v>639</v>
      </c>
      <c r="M521" s="392" t="s">
        <v>2818</v>
      </c>
      <c r="N521" s="343"/>
      <c r="O521" s="343"/>
      <c r="P521" s="70" t="s">
        <v>1024</v>
      </c>
      <c r="Q521" s="346"/>
      <c r="R521" s="343"/>
      <c r="S521" s="346"/>
      <c r="T521" s="150" t="s">
        <v>25</v>
      </c>
      <c r="U521" s="150"/>
      <c r="V521" s="403"/>
      <c r="W521" s="406">
        <v>156778.01999999999</v>
      </c>
      <c r="X521" s="406">
        <v>156778.01999999999</v>
      </c>
      <c r="Y521" s="425"/>
      <c r="Z521" s="71"/>
      <c r="AA521" s="426">
        <v>10768</v>
      </c>
      <c r="AB521" s="427">
        <v>146010.01999999999</v>
      </c>
      <c r="AC521" s="431">
        <v>0</v>
      </c>
      <c r="AD521" s="428">
        <v>0</v>
      </c>
      <c r="AE521" s="429">
        <v>0</v>
      </c>
      <c r="AF521" s="429">
        <v>0</v>
      </c>
      <c r="AG521" s="360">
        <v>0</v>
      </c>
      <c r="AH521" s="360">
        <v>0</v>
      </c>
      <c r="AI521" s="360">
        <v>0</v>
      </c>
      <c r="AJ521" s="360">
        <v>0</v>
      </c>
      <c r="AK521" s="360">
        <v>0</v>
      </c>
      <c r="AL521" s="360">
        <v>0</v>
      </c>
      <c r="AM521" s="360">
        <f t="shared" si="29"/>
        <v>156778.01999999999</v>
      </c>
      <c r="AN521" s="362">
        <f>ERP_2[[#This Row],[2026 Working Total]]-ERP_2[[#This Row],[LE2 Final Submission]]</f>
        <v>0</v>
      </c>
      <c r="AO521" s="79">
        <v>0</v>
      </c>
      <c r="AP521" s="79">
        <f t="shared" si="30"/>
        <v>0</v>
      </c>
      <c r="AQ521" s="374">
        <f>SUM(ERP_2[[#This Row],[AP01]:[AP06]])-SUM(ERP_2[[#This Row],[AP01 LE2]:[AP06 LE2]])</f>
        <v>0</v>
      </c>
      <c r="AR521" s="80"/>
      <c r="AS521" s="79">
        <f>ERP_2[[#This Row],[2026 Working Total to Budget/LE]]-ERP_2[[#This Row],[Giveback]]</f>
        <v>0</v>
      </c>
      <c r="AT521" s="81"/>
      <c r="AU521" s="375">
        <v>10768</v>
      </c>
      <c r="AV521" s="375">
        <v>146010.01999999999</v>
      </c>
      <c r="AW521" s="375">
        <v>0</v>
      </c>
      <c r="AX521" s="375">
        <v>0</v>
      </c>
      <c r="AY521" s="375">
        <v>0</v>
      </c>
      <c r="AZ521" s="375">
        <v>0</v>
      </c>
      <c r="BA521" s="375">
        <v>0</v>
      </c>
      <c r="BB521" s="375">
        <v>0</v>
      </c>
      <c r="BC521" s="375">
        <v>0</v>
      </c>
      <c r="BD521" s="375">
        <v>0</v>
      </c>
      <c r="BE521" s="375">
        <v>0</v>
      </c>
      <c r="BF521" s="375">
        <v>0</v>
      </c>
      <c r="BG521" s="375">
        <v>156778.01999999999</v>
      </c>
      <c r="BH521" s="79">
        <v>10768</v>
      </c>
      <c r="BI521" s="79">
        <v>146010.01999999999</v>
      </c>
      <c r="BJ521" s="79">
        <v>0</v>
      </c>
      <c r="BK521" s="79">
        <v>0</v>
      </c>
      <c r="BL521" s="79">
        <v>0</v>
      </c>
      <c r="BM521" s="79">
        <v>0</v>
      </c>
      <c r="BN521" s="79">
        <v>0</v>
      </c>
      <c r="BO521" s="79">
        <v>0</v>
      </c>
      <c r="BP521" s="79">
        <v>0</v>
      </c>
      <c r="BQ521" s="79">
        <v>0</v>
      </c>
      <c r="BR521" s="79">
        <v>0</v>
      </c>
      <c r="BS521" s="79">
        <v>0</v>
      </c>
      <c r="BT521" s="79">
        <v>156778.01999999999</v>
      </c>
    </row>
    <row r="522" spans="1:72" ht="15" hidden="1" customHeight="1">
      <c r="A522" s="215" t="s">
        <v>2819</v>
      </c>
      <c r="B522" s="215"/>
      <c r="C522" s="215" t="s">
        <v>1025</v>
      </c>
      <c r="D522" s="215" t="s">
        <v>1025</v>
      </c>
      <c r="E522" s="150" t="s">
        <v>1136</v>
      </c>
      <c r="F522" s="482" t="s">
        <v>1566</v>
      </c>
      <c r="G522" s="150" t="s">
        <v>1650</v>
      </c>
      <c r="H522" s="150" t="s">
        <v>1650</v>
      </c>
      <c r="I522" s="334" t="s">
        <v>1650</v>
      </c>
      <c r="J522" s="334" t="s">
        <v>1650</v>
      </c>
      <c r="K522" s="334" t="s">
        <v>1650</v>
      </c>
      <c r="L522" s="516" t="s">
        <v>639</v>
      </c>
      <c r="M522" s="398" t="s">
        <v>1327</v>
      </c>
      <c r="N522" s="343"/>
      <c r="O522" s="344"/>
      <c r="P522" s="219" t="s">
        <v>147</v>
      </c>
      <c r="Q522" s="349"/>
      <c r="R522" s="343"/>
      <c r="S522" s="349"/>
      <c r="T522" s="334" t="s">
        <v>25</v>
      </c>
      <c r="U522" s="354"/>
      <c r="V522" s="403"/>
      <c r="W522" s="406">
        <v>0</v>
      </c>
      <c r="X522" s="406">
        <v>227.23999999999998</v>
      </c>
      <c r="Y522" s="425"/>
      <c r="Z522" s="71"/>
      <c r="AA522" s="408"/>
      <c r="AB522" s="410">
        <v>-0.02</v>
      </c>
      <c r="AC522" s="410">
        <v>227.26</v>
      </c>
      <c r="AD522" s="428">
        <v>0</v>
      </c>
      <c r="AE522" s="429">
        <v>0</v>
      </c>
      <c r="AF522" s="429">
        <v>-0.24</v>
      </c>
      <c r="AG522" s="368">
        <v>0</v>
      </c>
      <c r="AH522" s="368">
        <v>0</v>
      </c>
      <c r="AI522" s="368">
        <v>0</v>
      </c>
      <c r="AJ522" s="368">
        <v>0</v>
      </c>
      <c r="AK522" s="368">
        <v>0</v>
      </c>
      <c r="AL522" s="368">
        <v>0</v>
      </c>
      <c r="AM522" s="367">
        <f t="shared" si="29"/>
        <v>226.99999999999997</v>
      </c>
      <c r="AN522" s="362">
        <f>ERP_2[[#This Row],[2026 Working Total]]-ERP_2[[#This Row],[LE2 Final Submission]]</f>
        <v>-0.24000000000000909</v>
      </c>
      <c r="AO522" s="227">
        <v>0</v>
      </c>
      <c r="AP522" s="227">
        <f t="shared" si="30"/>
        <v>-0.24</v>
      </c>
      <c r="AQ522" s="374">
        <f>SUM(ERP_2[[#This Row],[AP01]:[AP06]])-SUM(ERP_2[[#This Row],[AP01 LE2]:[AP06 LE2]])</f>
        <v>-0.24000000000000909</v>
      </c>
      <c r="AR522" s="80"/>
      <c r="AS522" s="79">
        <f>ERP_2[[#This Row],[2026 Working Total to Budget/LE]]-ERP_2[[#This Row],[Giveback]]</f>
        <v>-0.24000000000000909</v>
      </c>
      <c r="AT522" s="81"/>
      <c r="AU522" s="375"/>
      <c r="AV522" s="375">
        <v>-0.02</v>
      </c>
      <c r="AW522" s="375">
        <v>227.26</v>
      </c>
      <c r="AX522" s="375">
        <v>0</v>
      </c>
      <c r="AY522" s="375">
        <v>0</v>
      </c>
      <c r="AZ522" s="375">
        <v>0</v>
      </c>
      <c r="BA522" s="375">
        <v>0</v>
      </c>
      <c r="BB522" s="375">
        <v>0</v>
      </c>
      <c r="BC522" s="375">
        <v>0</v>
      </c>
      <c r="BD522" s="375">
        <v>0</v>
      </c>
      <c r="BE522" s="375">
        <v>0</v>
      </c>
      <c r="BF522" s="375">
        <v>0</v>
      </c>
      <c r="BG522" s="375">
        <v>227.23999999999998</v>
      </c>
      <c r="BH522" s="227"/>
      <c r="BI522" s="227">
        <v>-0.02</v>
      </c>
      <c r="BJ522" s="227">
        <v>227.26</v>
      </c>
      <c r="BK522" s="227">
        <v>0</v>
      </c>
      <c r="BL522" s="227">
        <v>0</v>
      </c>
      <c r="BM522" s="227">
        <v>0</v>
      </c>
      <c r="BN522" s="227">
        <v>0</v>
      </c>
      <c r="BO522" s="227">
        <v>0</v>
      </c>
      <c r="BP522" s="227">
        <v>0</v>
      </c>
      <c r="BQ522" s="227">
        <v>0</v>
      </c>
      <c r="BR522" s="227">
        <v>0</v>
      </c>
      <c r="BS522" s="227">
        <v>0</v>
      </c>
      <c r="BT522" s="227">
        <v>227.23999999999998</v>
      </c>
    </row>
    <row r="523" spans="1:72" ht="15" customHeight="1">
      <c r="A523" s="215" t="s">
        <v>1133</v>
      </c>
      <c r="B523" s="215" t="s">
        <v>2944</v>
      </c>
      <c r="C523" s="215" t="s">
        <v>50</v>
      </c>
      <c r="D523" s="215" t="s">
        <v>1134</v>
      </c>
      <c r="E523" s="150" t="s">
        <v>1136</v>
      </c>
      <c r="F523" s="482" t="s">
        <v>1566</v>
      </c>
      <c r="G523" s="150" t="s">
        <v>1135</v>
      </c>
      <c r="H523" s="150" t="s">
        <v>1135</v>
      </c>
      <c r="I523" s="334" t="s">
        <v>1135</v>
      </c>
      <c r="J523" s="334" t="s">
        <v>1137</v>
      </c>
      <c r="K523" s="334" t="s">
        <v>1137</v>
      </c>
      <c r="L523" s="516" t="s">
        <v>49</v>
      </c>
      <c r="M523" s="398" t="s">
        <v>1138</v>
      </c>
      <c r="N523" s="343"/>
      <c r="O523" s="344"/>
      <c r="P523" s="219" t="s">
        <v>51</v>
      </c>
      <c r="Q523" s="349" t="s">
        <v>1139</v>
      </c>
      <c r="R523" s="346" t="s">
        <v>1140</v>
      </c>
      <c r="S523" s="349"/>
      <c r="T523" s="334" t="s">
        <v>25</v>
      </c>
      <c r="U523" s="525" t="s">
        <v>1141</v>
      </c>
      <c r="V523" s="403"/>
      <c r="W523" s="406">
        <v>1214.4000000000003</v>
      </c>
      <c r="X523" s="406">
        <v>910.80000000000018</v>
      </c>
      <c r="Y523" s="425"/>
      <c r="Z523" s="71"/>
      <c r="AA523" s="408"/>
      <c r="AB523" s="410"/>
      <c r="AC523" s="410"/>
      <c r="AD523" s="428" t="s">
        <v>1142</v>
      </c>
      <c r="AE523" s="429">
        <v>0</v>
      </c>
      <c r="AF523" s="429">
        <v>0</v>
      </c>
      <c r="AG523" s="369">
        <v>101.2</v>
      </c>
      <c r="AH523" s="369">
        <v>101.2</v>
      </c>
      <c r="AI523" s="369">
        <v>101.2</v>
      </c>
      <c r="AJ523" s="369">
        <v>101.2</v>
      </c>
      <c r="AK523" s="369">
        <v>101.2</v>
      </c>
      <c r="AL523" s="369">
        <v>101.2</v>
      </c>
      <c r="AM523" s="367">
        <f t="shared" si="29"/>
        <v>607.20000000000005</v>
      </c>
      <c r="AN523" s="362">
        <f>ERP_2[[#This Row],[2026 Working Total]]-ERP_2[[#This Row],[LE2 Final Submission]]</f>
        <v>-303.60000000000014</v>
      </c>
      <c r="AO523" s="227">
        <v>101.2</v>
      </c>
      <c r="AP523" s="227">
        <f t="shared" si="30"/>
        <v>-101.2</v>
      </c>
      <c r="AQ523" s="374">
        <f>SUM(ERP_2[[#This Row],[AP01]:[AP06]])-SUM(ERP_2[[#This Row],[AP01 LE2]:[AP06 LE2]])</f>
        <v>-303.60000000000002</v>
      </c>
      <c r="AR523" s="80"/>
      <c r="AS523" s="79">
        <f>ERP_2[[#This Row],[2026 Working Total to Budget/LE]]-ERP_2[[#This Row],[Giveback]]</f>
        <v>-303.60000000000014</v>
      </c>
      <c r="AT523" s="81"/>
      <c r="AU523" s="375"/>
      <c r="AV523" s="375"/>
      <c r="AW523" s="375"/>
      <c r="AX523" s="375">
        <v>101.2</v>
      </c>
      <c r="AY523" s="375">
        <v>101.2</v>
      </c>
      <c r="AZ523" s="375">
        <v>101.2</v>
      </c>
      <c r="BA523" s="375">
        <v>101.2</v>
      </c>
      <c r="BB523" s="375">
        <v>101.2</v>
      </c>
      <c r="BC523" s="375">
        <v>101.2</v>
      </c>
      <c r="BD523" s="375">
        <v>101.2</v>
      </c>
      <c r="BE523" s="375">
        <v>101.2</v>
      </c>
      <c r="BF523" s="375">
        <v>101.2</v>
      </c>
      <c r="BG523" s="375">
        <v>910.80000000000018</v>
      </c>
      <c r="BH523" s="227"/>
      <c r="BI523" s="227"/>
      <c r="BJ523" s="227"/>
      <c r="BK523" s="227">
        <v>101.2</v>
      </c>
      <c r="BL523" s="227">
        <v>101.2</v>
      </c>
      <c r="BM523" s="227">
        <v>101.2</v>
      </c>
      <c r="BN523" s="227">
        <v>101.2</v>
      </c>
      <c r="BO523" s="227">
        <v>101.2</v>
      </c>
      <c r="BP523" s="227">
        <v>101.2</v>
      </c>
      <c r="BQ523" s="227">
        <v>101.2</v>
      </c>
      <c r="BR523" s="227">
        <v>101.2</v>
      </c>
      <c r="BS523" s="227">
        <v>101.2</v>
      </c>
      <c r="BT523" s="227">
        <v>910.80000000000018</v>
      </c>
    </row>
    <row r="524" spans="1:72" ht="15" customHeight="1">
      <c r="A524" s="215" t="s">
        <v>1150</v>
      </c>
      <c r="B524" s="215" t="s">
        <v>2943</v>
      </c>
      <c r="C524" s="215" t="s">
        <v>52</v>
      </c>
      <c r="D524" s="215" t="s">
        <v>1151</v>
      </c>
      <c r="E524" s="150" t="s">
        <v>1136</v>
      </c>
      <c r="F524" s="482" t="s">
        <v>1566</v>
      </c>
      <c r="G524" s="150" t="s">
        <v>1135</v>
      </c>
      <c r="H524" s="150" t="s">
        <v>1145</v>
      </c>
      <c r="I524" s="334" t="s">
        <v>1135</v>
      </c>
      <c r="J524" s="334" t="s">
        <v>1145</v>
      </c>
      <c r="K524" s="334" t="s">
        <v>1137</v>
      </c>
      <c r="L524" s="516" t="s">
        <v>49</v>
      </c>
      <c r="M524" s="398" t="s">
        <v>1147</v>
      </c>
      <c r="N524" s="343"/>
      <c r="O524" s="344"/>
      <c r="P524" s="219" t="s">
        <v>53</v>
      </c>
      <c r="Q524" s="346" t="s">
        <v>1153</v>
      </c>
      <c r="R524" s="343"/>
      <c r="S524" s="349"/>
      <c r="T524" s="334" t="s">
        <v>25</v>
      </c>
      <c r="U524" s="354"/>
      <c r="V524" s="403"/>
      <c r="W524" s="406">
        <v>-694940</v>
      </c>
      <c r="X524" s="406">
        <v>-587120.73</v>
      </c>
      <c r="Y524" s="425"/>
      <c r="Z524" s="71"/>
      <c r="AA524" s="408"/>
      <c r="AB524" s="410">
        <v>-20640.86</v>
      </c>
      <c r="AC524" s="410">
        <v>-10639.87</v>
      </c>
      <c r="AD524" s="428">
        <v>148175</v>
      </c>
      <c r="AE524" s="429">
        <v>-155623.00000000006</v>
      </c>
      <c r="AF524" s="429">
        <v>-142264</v>
      </c>
      <c r="AG524" s="369">
        <v>-11640</v>
      </c>
      <c r="AH524" s="369">
        <v>-116400</v>
      </c>
      <c r="AI524" s="369">
        <v>-75000</v>
      </c>
      <c r="AJ524" s="369">
        <v>-75000</v>
      </c>
      <c r="AK524" s="369">
        <v>-75000</v>
      </c>
      <c r="AL524" s="369">
        <v>-75000</v>
      </c>
      <c r="AM524" s="367">
        <f t="shared" si="29"/>
        <v>-609032.7300000001</v>
      </c>
      <c r="AN524" s="362">
        <f>ERP_2[[#This Row],[2026 Working Total]]-ERP_2[[#This Row],[LE2 Final Submission]]</f>
        <v>-21912.000000000116</v>
      </c>
      <c r="AO524" s="227">
        <v>-6440</v>
      </c>
      <c r="AP524" s="227">
        <f t="shared" si="30"/>
        <v>-135824</v>
      </c>
      <c r="AQ524" s="374">
        <f>SUM(ERP_2[[#This Row],[AP01]:[AP06]])-SUM(ERP_2[[#This Row],[AP01 LE2]:[AP06 LE2]])</f>
        <v>-43872.000000000058</v>
      </c>
      <c r="AR524" s="80"/>
      <c r="AS524" s="79">
        <f>ERP_2[[#This Row],[2026 Working Total to Budget/LE]]-ERP_2[[#This Row],[Giveback]]</f>
        <v>-21912.000000000116</v>
      </c>
      <c r="AT524" s="81"/>
      <c r="AU524" s="375"/>
      <c r="AV524" s="375">
        <v>-20640.86</v>
      </c>
      <c r="AW524" s="375">
        <v>-10639.87</v>
      </c>
      <c r="AX524" s="375">
        <v>-55600</v>
      </c>
      <c r="AY524" s="375">
        <v>-6440</v>
      </c>
      <c r="AZ524" s="375">
        <v>-43800</v>
      </c>
      <c r="BA524" s="375">
        <v>-75000</v>
      </c>
      <c r="BB524" s="375">
        <v>-75000</v>
      </c>
      <c r="BC524" s="375">
        <v>-75000</v>
      </c>
      <c r="BD524" s="375">
        <v>-75000</v>
      </c>
      <c r="BE524" s="375">
        <v>-75000</v>
      </c>
      <c r="BF524" s="375">
        <v>-75000</v>
      </c>
      <c r="BG524" s="375">
        <v>-587120.73</v>
      </c>
      <c r="BH524" s="227"/>
      <c r="BI524" s="227">
        <v>-20640.86</v>
      </c>
      <c r="BJ524" s="227">
        <v>-10639.87</v>
      </c>
      <c r="BK524" s="227">
        <v>-54600</v>
      </c>
      <c r="BL524" s="227">
        <v>-50000</v>
      </c>
      <c r="BM524" s="227">
        <v>-33840</v>
      </c>
      <c r="BN524" s="227">
        <v>-75000</v>
      </c>
      <c r="BO524" s="227">
        <v>-75000</v>
      </c>
      <c r="BP524" s="227">
        <v>-75000</v>
      </c>
      <c r="BQ524" s="227">
        <v>-75000</v>
      </c>
      <c r="BR524" s="227">
        <v>-75000</v>
      </c>
      <c r="BS524" s="227">
        <v>-75000</v>
      </c>
      <c r="BT524" s="227">
        <v>-619720.73</v>
      </c>
    </row>
    <row r="525" spans="1:72" ht="15" customHeight="1">
      <c r="A525" s="334" t="s">
        <v>1169</v>
      </c>
      <c r="B525" s="334" t="s">
        <v>2944</v>
      </c>
      <c r="C525" s="537" t="s">
        <v>55</v>
      </c>
      <c r="D525" s="534" t="s">
        <v>55</v>
      </c>
      <c r="E525" s="150" t="s">
        <v>1136</v>
      </c>
      <c r="F525" s="482" t="s">
        <v>1566</v>
      </c>
      <c r="G525" s="150" t="s">
        <v>1135</v>
      </c>
      <c r="H525" s="150" t="s">
        <v>1135</v>
      </c>
      <c r="I525" s="334" t="s">
        <v>1135</v>
      </c>
      <c r="J525" s="334" t="s">
        <v>1135</v>
      </c>
      <c r="K525" s="334" t="s">
        <v>1135</v>
      </c>
      <c r="L525" s="518" t="s">
        <v>49</v>
      </c>
      <c r="M525" s="397" t="s">
        <v>1170</v>
      </c>
      <c r="N525" s="333"/>
      <c r="O525" s="336" t="s">
        <v>1171</v>
      </c>
      <c r="P525" s="237" t="s">
        <v>56</v>
      </c>
      <c r="Q525" s="347"/>
      <c r="R525" s="347"/>
      <c r="S525" s="353"/>
      <c r="T525" s="353"/>
      <c r="U525" s="452"/>
      <c r="V525" s="402"/>
      <c r="W525" s="406"/>
      <c r="X525" s="406"/>
      <c r="Y525" s="425"/>
      <c r="Z525" s="71"/>
      <c r="AA525" s="413"/>
      <c r="AB525" s="414"/>
      <c r="AC525" s="414"/>
      <c r="AD525" s="429"/>
      <c r="AE525" s="429">
        <v>550</v>
      </c>
      <c r="AF525" s="429">
        <v>0</v>
      </c>
      <c r="AG525" s="371"/>
      <c r="AH525" s="371"/>
      <c r="AI525" s="371"/>
      <c r="AJ525" s="371"/>
      <c r="AK525" s="371"/>
      <c r="AL525" s="371"/>
      <c r="AM525" s="367">
        <f t="shared" si="29"/>
        <v>550</v>
      </c>
      <c r="AN525" s="362">
        <f>ERP_2[[#This Row],[2026 Working Total]]-ERP_2[[#This Row],[LE2 Final Submission]]</f>
        <v>550</v>
      </c>
      <c r="AO525" s="227"/>
      <c r="AP525" s="227">
        <f t="shared" si="30"/>
        <v>0</v>
      </c>
      <c r="AQ525" s="374">
        <f>SUM(ERP_2[[#This Row],[AP01]:[AP06]])-SUM(ERP_2[[#This Row],[AP01 LE2]:[AP06 LE2]])</f>
        <v>550</v>
      </c>
      <c r="AR525" s="80"/>
      <c r="AS525" s="79">
        <f>ERP_2[[#This Row],[2026 Working Total to Budget/LE]]-ERP_2[[#This Row],[Giveback]]</f>
        <v>550</v>
      </c>
      <c r="AT525" s="81"/>
      <c r="AU525" s="375"/>
      <c r="AV525" s="375"/>
      <c r="AW525" s="375"/>
      <c r="AX525" s="375"/>
      <c r="AY525" s="375"/>
      <c r="AZ525" s="375"/>
      <c r="BA525" s="375"/>
      <c r="BB525" s="375"/>
      <c r="BC525" s="375"/>
      <c r="BD525" s="375"/>
      <c r="BE525" s="375"/>
      <c r="BF525" s="375"/>
      <c r="BG525" s="375"/>
      <c r="BH525" s="227"/>
      <c r="BI525" s="227"/>
      <c r="BJ525" s="227"/>
      <c r="BK525" s="227"/>
      <c r="BL525" s="227"/>
      <c r="BM525" s="227"/>
      <c r="BN525" s="227"/>
      <c r="BO525" s="227"/>
      <c r="BP525" s="227"/>
      <c r="BQ525" s="227"/>
      <c r="BR525" s="227"/>
      <c r="BS525" s="227"/>
      <c r="BT525" s="227"/>
    </row>
    <row r="526" spans="1:72" ht="15" customHeight="1">
      <c r="A526" s="215" t="s">
        <v>1282</v>
      </c>
      <c r="B526" s="215" t="s">
        <v>2944</v>
      </c>
      <c r="C526" s="215" t="s">
        <v>120</v>
      </c>
      <c r="D526" s="215" t="s">
        <v>1283</v>
      </c>
      <c r="E526" s="150" t="s">
        <v>1136</v>
      </c>
      <c r="F526" s="482" t="s">
        <v>1566</v>
      </c>
      <c r="G526" s="150" t="s">
        <v>1135</v>
      </c>
      <c r="H526" s="150" t="s">
        <v>1165</v>
      </c>
      <c r="I526" s="334" t="s">
        <v>1135</v>
      </c>
      <c r="J526" s="334" t="s">
        <v>1165</v>
      </c>
      <c r="K526" s="334" t="s">
        <v>1137</v>
      </c>
      <c r="L526" s="516" t="s">
        <v>49</v>
      </c>
      <c r="M526" s="398" t="s">
        <v>1281</v>
      </c>
      <c r="N526" s="343"/>
      <c r="O526" s="344"/>
      <c r="P526" s="219" t="s">
        <v>121</v>
      </c>
      <c r="Q526" s="349"/>
      <c r="R526" s="343"/>
      <c r="S526" s="349"/>
      <c r="T526" s="334" t="s">
        <v>122</v>
      </c>
      <c r="U526" s="354"/>
      <c r="V526" s="403"/>
      <c r="W526" s="406">
        <v>150000</v>
      </c>
      <c r="X526" s="406">
        <v>149999.65</v>
      </c>
      <c r="Y526" s="425"/>
      <c r="Z526" s="71"/>
      <c r="AA526" s="408"/>
      <c r="AB526" s="410"/>
      <c r="AC526" s="410">
        <v>36597.65</v>
      </c>
      <c r="AD526" s="428">
        <v>17284.68</v>
      </c>
      <c r="AE526" s="429">
        <v>12179.44</v>
      </c>
      <c r="AF526" s="429">
        <v>11999.990000000002</v>
      </c>
      <c r="AG526" s="369">
        <v>12000</v>
      </c>
      <c r="AH526" s="369">
        <v>12000</v>
      </c>
      <c r="AI526" s="369">
        <v>12000</v>
      </c>
      <c r="AJ526" s="369">
        <v>12000</v>
      </c>
      <c r="AK526" s="369">
        <v>12000</v>
      </c>
      <c r="AL526" s="369">
        <v>12000</v>
      </c>
      <c r="AM526" s="367">
        <f t="shared" si="29"/>
        <v>150061.76000000001</v>
      </c>
      <c r="AN526" s="362">
        <f>ERP_2[[#This Row],[2026 Working Total]]-ERP_2[[#This Row],[LE2 Final Submission]]</f>
        <v>62.110000000015134</v>
      </c>
      <c r="AO526" s="227">
        <v>12900</v>
      </c>
      <c r="AP526" s="227">
        <f t="shared" si="30"/>
        <v>-900.0099999999984</v>
      </c>
      <c r="AQ526" s="374">
        <f>SUM(ERP_2[[#This Row],[AP01]:[AP06]])-SUM(ERP_2[[#This Row],[AP01 LE2]:[AP06 LE2]])</f>
        <v>3062.1100000000151</v>
      </c>
      <c r="AR526" s="80"/>
      <c r="AS526" s="79">
        <f>ERP_2[[#This Row],[2026 Working Total to Budget/LE]]-ERP_2[[#This Row],[Giveback]]</f>
        <v>62.110000000015134</v>
      </c>
      <c r="AT526" s="81"/>
      <c r="AU526" s="375"/>
      <c r="AV526" s="375"/>
      <c r="AW526" s="375">
        <v>36597.65</v>
      </c>
      <c r="AX526" s="375">
        <v>12900</v>
      </c>
      <c r="AY526" s="375">
        <v>12900</v>
      </c>
      <c r="AZ526" s="375">
        <v>12602</v>
      </c>
      <c r="BA526" s="375">
        <v>12500</v>
      </c>
      <c r="BB526" s="375">
        <v>12500</v>
      </c>
      <c r="BC526" s="375">
        <v>12500</v>
      </c>
      <c r="BD526" s="375">
        <v>12500</v>
      </c>
      <c r="BE526" s="375">
        <v>12500</v>
      </c>
      <c r="BF526" s="375">
        <v>12500</v>
      </c>
      <c r="BG526" s="375">
        <v>149999.65</v>
      </c>
      <c r="BH526" s="227"/>
      <c r="BI526" s="227"/>
      <c r="BJ526" s="227">
        <v>36597.65</v>
      </c>
      <c r="BK526" s="227">
        <v>12500</v>
      </c>
      <c r="BL526" s="227">
        <v>12500</v>
      </c>
      <c r="BM526" s="227">
        <v>12500</v>
      </c>
      <c r="BN526" s="227">
        <v>12500</v>
      </c>
      <c r="BO526" s="227">
        <v>12500</v>
      </c>
      <c r="BP526" s="227">
        <v>12500</v>
      </c>
      <c r="BQ526" s="227">
        <v>12500</v>
      </c>
      <c r="BR526" s="227">
        <v>12500</v>
      </c>
      <c r="BS526" s="227">
        <v>12500</v>
      </c>
      <c r="BT526" s="227">
        <v>149097.65</v>
      </c>
    </row>
    <row r="527" spans="1:72" ht="15" customHeight="1">
      <c r="A527" s="215" t="s">
        <v>1326</v>
      </c>
      <c r="B527" s="215" t="s">
        <v>2944</v>
      </c>
      <c r="C527" s="215" t="s">
        <v>146</v>
      </c>
      <c r="D527" s="215" t="s">
        <v>146</v>
      </c>
      <c r="E527" s="150" t="s">
        <v>1136</v>
      </c>
      <c r="F527" s="482" t="s">
        <v>1566</v>
      </c>
      <c r="G527" s="150" t="s">
        <v>1135</v>
      </c>
      <c r="H527" s="150" t="s">
        <v>1135</v>
      </c>
      <c r="I527" s="334" t="s">
        <v>1135</v>
      </c>
      <c r="J527" s="334" t="s">
        <v>1135</v>
      </c>
      <c r="K527" s="334" t="s">
        <v>1137</v>
      </c>
      <c r="L527" s="516" t="s">
        <v>49</v>
      </c>
      <c r="M527" s="398" t="s">
        <v>1327</v>
      </c>
      <c r="N527" s="343"/>
      <c r="O527" s="344"/>
      <c r="P527" s="219" t="s">
        <v>147</v>
      </c>
      <c r="Q527" s="349"/>
      <c r="R527" s="343"/>
      <c r="S527" s="349"/>
      <c r="T527" s="334" t="s">
        <v>25</v>
      </c>
      <c r="U527" s="354"/>
      <c r="V527" s="403"/>
      <c r="W527" s="406">
        <v>0</v>
      </c>
      <c r="X527" s="406">
        <v>-0.11000000000058208</v>
      </c>
      <c r="Y527" s="425"/>
      <c r="Z527" s="71"/>
      <c r="AA527" s="408">
        <v>20093.099999999999</v>
      </c>
      <c r="AB527" s="410">
        <v>22504.89</v>
      </c>
      <c r="AC527" s="410">
        <v>-42598.1</v>
      </c>
      <c r="AD527" s="428">
        <v>-0.33</v>
      </c>
      <c r="AE527" s="429">
        <v>0.71</v>
      </c>
      <c r="AF527" s="429">
        <v>-0.03</v>
      </c>
      <c r="AG527" s="360">
        <v>0</v>
      </c>
      <c r="AH527" s="368">
        <v>0</v>
      </c>
      <c r="AI527" s="360">
        <v>0</v>
      </c>
      <c r="AJ527" s="360">
        <v>0</v>
      </c>
      <c r="AK527" s="368">
        <v>0</v>
      </c>
      <c r="AL527" s="360">
        <v>0</v>
      </c>
      <c r="AM527" s="367">
        <f t="shared" si="29"/>
        <v>0.23999999999941787</v>
      </c>
      <c r="AN527" s="362">
        <f>ERP_2[[#This Row],[2026 Working Total]]-ERP_2[[#This Row],[LE2 Final Submission]]</f>
        <v>0.35</v>
      </c>
      <c r="AO527" s="227">
        <v>0</v>
      </c>
      <c r="AP527" s="227">
        <f t="shared" si="30"/>
        <v>-0.03</v>
      </c>
      <c r="AQ527" s="374">
        <f>SUM(ERP_2[[#This Row],[AP01]:[AP06]])-SUM(ERP_2[[#This Row],[AP01 LE2]:[AP06 LE2]])</f>
        <v>0.35</v>
      </c>
      <c r="AR527" s="80"/>
      <c r="AS527" s="79">
        <f>ERP_2[[#This Row],[2026 Working Total to Budget/LE]]-ERP_2[[#This Row],[Giveback]]</f>
        <v>0.35</v>
      </c>
      <c r="AT527" s="81"/>
      <c r="AU527" s="375">
        <v>20093.099999999999</v>
      </c>
      <c r="AV527" s="375">
        <v>22504.89</v>
      </c>
      <c r="AW527" s="375">
        <v>-42598.1</v>
      </c>
      <c r="AX527" s="375">
        <v>0</v>
      </c>
      <c r="AY527" s="375">
        <v>0</v>
      </c>
      <c r="AZ527" s="375">
        <v>0</v>
      </c>
      <c r="BA527" s="375">
        <v>0</v>
      </c>
      <c r="BB527" s="375">
        <v>0</v>
      </c>
      <c r="BC527" s="375">
        <v>0</v>
      </c>
      <c r="BD527" s="375">
        <v>0</v>
      </c>
      <c r="BE527" s="375">
        <v>0</v>
      </c>
      <c r="BF527" s="375">
        <v>0</v>
      </c>
      <c r="BG527" s="375">
        <v>-0.11000000000058208</v>
      </c>
      <c r="BH527" s="227">
        <v>20093.099999999999</v>
      </c>
      <c r="BI527" s="227">
        <v>22504.89</v>
      </c>
      <c r="BJ527" s="227">
        <v>-42598.1</v>
      </c>
      <c r="BK527" s="227">
        <v>0</v>
      </c>
      <c r="BL527" s="227">
        <v>0</v>
      </c>
      <c r="BM527" s="227">
        <v>0</v>
      </c>
      <c r="BN527" s="227">
        <v>0</v>
      </c>
      <c r="BO527" s="227">
        <v>0</v>
      </c>
      <c r="BP527" s="227">
        <v>0</v>
      </c>
      <c r="BQ527" s="227">
        <v>0</v>
      </c>
      <c r="BR527" s="227">
        <v>0</v>
      </c>
      <c r="BS527" s="227">
        <v>0</v>
      </c>
      <c r="BT527" s="227">
        <v>-0.11000000000058208</v>
      </c>
    </row>
    <row r="528" spans="1:72" ht="15" customHeight="1">
      <c r="A528" s="215" t="s">
        <v>1339</v>
      </c>
      <c r="B528" s="215" t="s">
        <v>2944</v>
      </c>
      <c r="C528" s="215" t="s">
        <v>148</v>
      </c>
      <c r="D528" s="215" t="s">
        <v>148</v>
      </c>
      <c r="E528" s="150" t="s">
        <v>1136</v>
      </c>
      <c r="F528" s="482" t="s">
        <v>1566</v>
      </c>
      <c r="G528" s="150" t="s">
        <v>1135</v>
      </c>
      <c r="H528" s="150" t="s">
        <v>1135</v>
      </c>
      <c r="I528" s="334" t="s">
        <v>1135</v>
      </c>
      <c r="J528" s="334" t="s">
        <v>1135</v>
      </c>
      <c r="K528" s="334" t="s">
        <v>1137</v>
      </c>
      <c r="L528" s="516" t="s">
        <v>49</v>
      </c>
      <c r="M528" s="398" t="s">
        <v>1340</v>
      </c>
      <c r="N528" s="343"/>
      <c r="O528" s="344"/>
      <c r="P528" s="70" t="s">
        <v>149</v>
      </c>
      <c r="Q528" s="349" t="s">
        <v>1139</v>
      </c>
      <c r="R528" s="343"/>
      <c r="S528" s="349"/>
      <c r="T528" s="334" t="s">
        <v>25</v>
      </c>
      <c r="U528" s="354"/>
      <c r="V528" s="403"/>
      <c r="W528" s="406">
        <v>0</v>
      </c>
      <c r="X528" s="406">
        <v>-16166.66</v>
      </c>
      <c r="Y528" s="425"/>
      <c r="Z528" s="71"/>
      <c r="AA528" s="408">
        <v>0.34</v>
      </c>
      <c r="AB528" s="410">
        <v>-10499.16</v>
      </c>
      <c r="AC528" s="410">
        <v>-5667.84</v>
      </c>
      <c r="AD528" s="428">
        <v>0</v>
      </c>
      <c r="AE528" s="429">
        <v>0</v>
      </c>
      <c r="AF528" s="429">
        <v>0</v>
      </c>
      <c r="AG528" s="368">
        <v>0</v>
      </c>
      <c r="AH528" s="368">
        <v>0</v>
      </c>
      <c r="AI528" s="368">
        <v>0</v>
      </c>
      <c r="AJ528" s="368">
        <v>0</v>
      </c>
      <c r="AK528" s="368">
        <v>0</v>
      </c>
      <c r="AL528" s="368">
        <v>0</v>
      </c>
      <c r="AM528" s="367">
        <f t="shared" si="29"/>
        <v>-16166.66</v>
      </c>
      <c r="AN528" s="362">
        <f>ERP_2[[#This Row],[2026 Working Total]]-ERP_2[[#This Row],[LE2 Final Submission]]</f>
        <v>0</v>
      </c>
      <c r="AO528" s="227">
        <v>0</v>
      </c>
      <c r="AP528" s="227">
        <f t="shared" si="30"/>
        <v>0</v>
      </c>
      <c r="AQ528" s="374">
        <f>SUM(ERP_2[[#This Row],[AP01]:[AP06]])-SUM(ERP_2[[#This Row],[AP01 LE2]:[AP06 LE2]])</f>
        <v>0</v>
      </c>
      <c r="AR528" s="80"/>
      <c r="AS528" s="79">
        <f>ERP_2[[#This Row],[2026 Working Total to Budget/LE]]-ERP_2[[#This Row],[Giveback]]</f>
        <v>0</v>
      </c>
      <c r="AT528" s="81"/>
      <c r="AU528" s="375">
        <v>0.34</v>
      </c>
      <c r="AV528" s="375">
        <v>-10499.16</v>
      </c>
      <c r="AW528" s="375">
        <v>-5667.84</v>
      </c>
      <c r="AX528" s="375">
        <v>0</v>
      </c>
      <c r="AY528" s="375">
        <v>0</v>
      </c>
      <c r="AZ528" s="375">
        <v>0</v>
      </c>
      <c r="BA528" s="375">
        <v>0</v>
      </c>
      <c r="BB528" s="375">
        <v>0</v>
      </c>
      <c r="BC528" s="375">
        <v>0</v>
      </c>
      <c r="BD528" s="375">
        <v>0</v>
      </c>
      <c r="BE528" s="375">
        <v>0</v>
      </c>
      <c r="BF528" s="375">
        <v>0</v>
      </c>
      <c r="BG528" s="375">
        <v>-16166.66</v>
      </c>
      <c r="BH528" s="227">
        <v>0.34</v>
      </c>
      <c r="BI528" s="227">
        <v>-10499.16</v>
      </c>
      <c r="BJ528" s="227">
        <v>-5667.84</v>
      </c>
      <c r="BK528" s="227">
        <v>0</v>
      </c>
      <c r="BL528" s="227">
        <v>0</v>
      </c>
      <c r="BM528" s="227">
        <v>0</v>
      </c>
      <c r="BN528" s="227">
        <v>0</v>
      </c>
      <c r="BO528" s="227">
        <v>0</v>
      </c>
      <c r="BP528" s="227">
        <v>0</v>
      </c>
      <c r="BQ528" s="227">
        <v>0</v>
      </c>
      <c r="BR528" s="227">
        <v>0</v>
      </c>
      <c r="BS528" s="227">
        <v>0</v>
      </c>
      <c r="BT528" s="227">
        <v>-16166.66</v>
      </c>
    </row>
    <row r="529" spans="1:72" ht="15" customHeight="1">
      <c r="A529" s="215" t="s">
        <v>1704</v>
      </c>
      <c r="B529" s="215" t="s">
        <v>2944</v>
      </c>
      <c r="C529" s="215" t="s">
        <v>364</v>
      </c>
      <c r="D529" s="215" t="s">
        <v>1705</v>
      </c>
      <c r="E529" s="150" t="s">
        <v>1136</v>
      </c>
      <c r="F529" s="482" t="s">
        <v>1566</v>
      </c>
      <c r="G529" s="150" t="s">
        <v>1135</v>
      </c>
      <c r="H529" s="150" t="s">
        <v>1135</v>
      </c>
      <c r="I529" s="334" t="s">
        <v>1135</v>
      </c>
      <c r="J529" s="334" t="s">
        <v>1137</v>
      </c>
      <c r="K529" s="334" t="s">
        <v>1137</v>
      </c>
      <c r="L529" s="516" t="s">
        <v>342</v>
      </c>
      <c r="M529" s="398" t="s">
        <v>1703</v>
      </c>
      <c r="N529" s="343"/>
      <c r="O529" s="344"/>
      <c r="P529" s="219" t="s">
        <v>365</v>
      </c>
      <c r="Q529" s="349"/>
      <c r="R529" s="346" t="s">
        <v>1140</v>
      </c>
      <c r="S529" s="349"/>
      <c r="T529" s="334" t="s">
        <v>57</v>
      </c>
      <c r="U529" s="525" t="s">
        <v>1141</v>
      </c>
      <c r="V529" s="403"/>
      <c r="W529" s="406">
        <v>0</v>
      </c>
      <c r="X529" s="406">
        <v>2955.3</v>
      </c>
      <c r="Y529" s="425"/>
      <c r="Z529" s="71"/>
      <c r="AA529" s="408">
        <v>1146.01</v>
      </c>
      <c r="AB529" s="412">
        <v>0</v>
      </c>
      <c r="AC529" s="410">
        <v>1809.29</v>
      </c>
      <c r="AD529" s="428">
        <v>5504.11</v>
      </c>
      <c r="AE529" s="429">
        <v>299.02999999999997</v>
      </c>
      <c r="AF529" s="429">
        <v>0</v>
      </c>
      <c r="AG529" s="368">
        <v>0</v>
      </c>
      <c r="AH529" s="368">
        <v>0</v>
      </c>
      <c r="AI529" s="368">
        <v>0</v>
      </c>
      <c r="AJ529" s="368">
        <v>0</v>
      </c>
      <c r="AK529" s="368">
        <v>0</v>
      </c>
      <c r="AL529" s="368">
        <v>0</v>
      </c>
      <c r="AM529" s="367">
        <f t="shared" si="29"/>
        <v>8758.44</v>
      </c>
      <c r="AN529" s="362">
        <f>ERP_2[[#This Row],[2026 Working Total]]-ERP_2[[#This Row],[LE2 Final Submission]]</f>
        <v>5803.14</v>
      </c>
      <c r="AO529" s="227">
        <v>0</v>
      </c>
      <c r="AP529" s="227">
        <f t="shared" si="30"/>
        <v>0</v>
      </c>
      <c r="AQ529" s="374">
        <f>SUM(ERP_2[[#This Row],[AP01]:[AP06]])-SUM(ERP_2[[#This Row],[AP01 LE2]:[AP06 LE2]])</f>
        <v>5803.14</v>
      </c>
      <c r="AR529" s="80"/>
      <c r="AS529" s="79">
        <f>ERP_2[[#This Row],[2026 Working Total to Budget/LE]]-ERP_2[[#This Row],[Giveback]]</f>
        <v>5803.14</v>
      </c>
      <c r="AT529" s="81"/>
      <c r="AU529" s="375">
        <v>1146.01</v>
      </c>
      <c r="AV529" s="375">
        <v>0</v>
      </c>
      <c r="AW529" s="375">
        <v>1809.29</v>
      </c>
      <c r="AX529" s="375">
        <v>0</v>
      </c>
      <c r="AY529" s="375">
        <v>0</v>
      </c>
      <c r="AZ529" s="375">
        <v>0</v>
      </c>
      <c r="BA529" s="375">
        <v>0</v>
      </c>
      <c r="BB529" s="375">
        <v>0</v>
      </c>
      <c r="BC529" s="375">
        <v>0</v>
      </c>
      <c r="BD529" s="375">
        <v>0</v>
      </c>
      <c r="BE529" s="375">
        <v>0</v>
      </c>
      <c r="BF529" s="375">
        <v>0</v>
      </c>
      <c r="BG529" s="375">
        <v>2955.3</v>
      </c>
      <c r="BH529" s="227">
        <v>1146.01</v>
      </c>
      <c r="BI529" s="227">
        <v>0</v>
      </c>
      <c r="BJ529" s="227">
        <v>1809.29</v>
      </c>
      <c r="BK529" s="227">
        <v>0</v>
      </c>
      <c r="BL529" s="227">
        <v>0</v>
      </c>
      <c r="BM529" s="227">
        <v>0</v>
      </c>
      <c r="BN529" s="227">
        <v>0</v>
      </c>
      <c r="BO529" s="227">
        <v>0</v>
      </c>
      <c r="BP529" s="227">
        <v>0</v>
      </c>
      <c r="BQ529" s="227">
        <v>0</v>
      </c>
      <c r="BR529" s="227">
        <v>0</v>
      </c>
      <c r="BS529" s="227">
        <v>0</v>
      </c>
      <c r="BT529" s="227">
        <v>2955.3</v>
      </c>
    </row>
    <row r="530" spans="1:72" ht="15" customHeight="1">
      <c r="A530" s="334" t="s">
        <v>1721</v>
      </c>
      <c r="B530" s="334" t="s">
        <v>2944</v>
      </c>
      <c r="C530" s="537" t="s">
        <v>375</v>
      </c>
      <c r="D530" s="330" t="s">
        <v>375</v>
      </c>
      <c r="E530" s="150" t="s">
        <v>1136</v>
      </c>
      <c r="F530" s="482" t="s">
        <v>1566</v>
      </c>
      <c r="G530" s="150" t="s">
        <v>1135</v>
      </c>
      <c r="H530" s="150" t="s">
        <v>1135</v>
      </c>
      <c r="I530" s="336" t="s">
        <v>1135</v>
      </c>
      <c r="J530" s="336" t="s">
        <v>1135</v>
      </c>
      <c r="K530" s="339" t="s">
        <v>1135</v>
      </c>
      <c r="L530" s="518" t="s">
        <v>342</v>
      </c>
      <c r="M530" s="397" t="s">
        <v>1327</v>
      </c>
      <c r="N530" s="333"/>
      <c r="O530" s="336" t="s">
        <v>1171</v>
      </c>
      <c r="P530" s="237" t="s">
        <v>147</v>
      </c>
      <c r="Q530" s="351"/>
      <c r="R530" s="347"/>
      <c r="S530" s="353"/>
      <c r="T530" s="353"/>
      <c r="U530" s="452"/>
      <c r="V530" s="402"/>
      <c r="W530" s="402"/>
      <c r="X530" s="402"/>
      <c r="Y530" s="425"/>
      <c r="Z530" s="71"/>
      <c r="AA530" s="413"/>
      <c r="AB530" s="414"/>
      <c r="AC530" s="414"/>
      <c r="AD530" s="436"/>
      <c r="AE530" s="429">
        <v>0</v>
      </c>
      <c r="AF530" s="429">
        <v>0</v>
      </c>
      <c r="AG530" s="371"/>
      <c r="AH530" s="371"/>
      <c r="AI530" s="371"/>
      <c r="AJ530" s="371"/>
      <c r="AK530" s="371"/>
      <c r="AL530" s="371"/>
      <c r="AM530" s="367">
        <f t="shared" si="29"/>
        <v>0</v>
      </c>
      <c r="AN530" s="362">
        <f>ERP_2[[#This Row],[2026 Working Total]]-ERP_2[[#This Row],[LE2 Final Submission]]</f>
        <v>0</v>
      </c>
      <c r="AO530" s="227"/>
      <c r="AP530" s="227">
        <f t="shared" si="30"/>
        <v>0</v>
      </c>
      <c r="AQ530" s="374">
        <f>SUM(ERP_2[[#This Row],[AP01]:[AP06]])-SUM(ERP_2[[#This Row],[AP01 LE2]:[AP06 LE2]])</f>
        <v>0</v>
      </c>
      <c r="AR530" s="80"/>
      <c r="AS530" s="79">
        <f>ERP_2[[#This Row],[2026 Working Total to Budget/LE]]-ERP_2[[#This Row],[Giveback]]</f>
        <v>0</v>
      </c>
      <c r="AT530" s="81"/>
      <c r="AU530" s="375"/>
      <c r="AV530" s="375"/>
      <c r="AW530" s="375"/>
      <c r="AX530" s="375"/>
      <c r="AY530" s="375"/>
      <c r="AZ530" s="375"/>
      <c r="BA530" s="375"/>
      <c r="BB530" s="375"/>
      <c r="BC530" s="375"/>
      <c r="BD530" s="375"/>
      <c r="BE530" s="375"/>
      <c r="BF530" s="375"/>
      <c r="BG530" s="375"/>
      <c r="BH530" s="227"/>
      <c r="BI530" s="227"/>
      <c r="BJ530" s="227"/>
      <c r="BK530" s="227"/>
      <c r="BL530" s="227"/>
      <c r="BM530" s="227"/>
      <c r="BN530" s="227"/>
      <c r="BO530" s="227"/>
      <c r="BP530" s="227"/>
      <c r="BQ530" s="227"/>
      <c r="BR530" s="227"/>
      <c r="BS530" s="227"/>
      <c r="BT530" s="227"/>
    </row>
    <row r="531" spans="1:72" ht="15" customHeight="1">
      <c r="A531" s="215" t="s">
        <v>1796</v>
      </c>
      <c r="B531" s="215" t="s">
        <v>2944</v>
      </c>
      <c r="C531" s="215" t="s">
        <v>417</v>
      </c>
      <c r="D531" s="215" t="s">
        <v>1797</v>
      </c>
      <c r="E531" s="150" t="s">
        <v>1136</v>
      </c>
      <c r="F531" s="482" t="s">
        <v>1566</v>
      </c>
      <c r="G531" s="150" t="s">
        <v>1135</v>
      </c>
      <c r="H531" s="150" t="s">
        <v>1165</v>
      </c>
      <c r="I531" s="334" t="s">
        <v>1135</v>
      </c>
      <c r="J531" s="334" t="s">
        <v>1165</v>
      </c>
      <c r="K531" s="334" t="s">
        <v>1137</v>
      </c>
      <c r="L531" s="516" t="s">
        <v>389</v>
      </c>
      <c r="M531" s="398" t="s">
        <v>1174</v>
      </c>
      <c r="N531" s="343"/>
      <c r="O531" s="344"/>
      <c r="P531" s="219" t="s">
        <v>56</v>
      </c>
      <c r="Q531" s="349"/>
      <c r="R531" s="346" t="s">
        <v>1140</v>
      </c>
      <c r="S531" s="349"/>
      <c r="T531" s="334" t="s">
        <v>57</v>
      </c>
      <c r="U531" s="354"/>
      <c r="V531" s="403"/>
      <c r="W531" s="406">
        <v>480000</v>
      </c>
      <c r="X531" s="406">
        <v>717425.61</v>
      </c>
      <c r="Y531" s="425"/>
      <c r="Z531" s="71"/>
      <c r="AA531" s="408">
        <v>61804.2</v>
      </c>
      <c r="AB531" s="410">
        <v>58988.63</v>
      </c>
      <c r="AC531" s="410">
        <v>56632.78</v>
      </c>
      <c r="AD531" s="428">
        <v>54081.419999999991</v>
      </c>
      <c r="AE531" s="429">
        <v>51184.079999999994</v>
      </c>
      <c r="AF531" s="429">
        <v>49707.65</v>
      </c>
      <c r="AG531" s="369">
        <v>62000</v>
      </c>
      <c r="AH531" s="369">
        <v>62000</v>
      </c>
      <c r="AI531" s="369">
        <v>62000</v>
      </c>
      <c r="AJ531" s="369">
        <v>62000</v>
      </c>
      <c r="AK531" s="369">
        <v>62000</v>
      </c>
      <c r="AL531" s="369">
        <v>62734</v>
      </c>
      <c r="AM531" s="367">
        <f t="shared" si="29"/>
        <v>705132.76</v>
      </c>
      <c r="AN531" s="362">
        <f>ERP_2[[#This Row],[2026 Working Total]]-ERP_2[[#This Row],[LE2 Final Submission]]</f>
        <v>-12292.849999999977</v>
      </c>
      <c r="AO531" s="227">
        <v>60000</v>
      </c>
      <c r="AP531" s="227">
        <f t="shared" si="30"/>
        <v>-10292.349999999999</v>
      </c>
      <c r="AQ531" s="374">
        <f>SUM(ERP_2[[#This Row],[AP01]:[AP06]])-SUM(ERP_2[[#This Row],[AP01 LE2]:[AP06 LE2]])</f>
        <v>-25026.849999999977</v>
      </c>
      <c r="AR531" s="80"/>
      <c r="AS531" s="79">
        <f>ERP_2[[#This Row],[2026 Working Total to Budget/LE]]-ERP_2[[#This Row],[Giveback]]</f>
        <v>-12292.849999999977</v>
      </c>
      <c r="AT531" s="81"/>
      <c r="AU531" s="375">
        <v>61804.2</v>
      </c>
      <c r="AV531" s="375">
        <v>58988.63</v>
      </c>
      <c r="AW531" s="375">
        <v>56632.78</v>
      </c>
      <c r="AX531" s="375">
        <v>60000</v>
      </c>
      <c r="AY531" s="375">
        <v>60000</v>
      </c>
      <c r="AZ531" s="375">
        <v>60000</v>
      </c>
      <c r="BA531" s="375">
        <v>60000</v>
      </c>
      <c r="BB531" s="375">
        <v>60000</v>
      </c>
      <c r="BC531" s="375">
        <v>60000</v>
      </c>
      <c r="BD531" s="375">
        <v>60000</v>
      </c>
      <c r="BE531" s="375">
        <v>60000</v>
      </c>
      <c r="BF531" s="375">
        <v>60000</v>
      </c>
      <c r="BG531" s="375">
        <v>717425.61</v>
      </c>
      <c r="BH531" s="227">
        <v>61804.2</v>
      </c>
      <c r="BI531" s="227">
        <v>58988.63</v>
      </c>
      <c r="BJ531" s="227">
        <v>56632.78</v>
      </c>
      <c r="BK531" s="227">
        <v>40000</v>
      </c>
      <c r="BL531" s="227">
        <v>40000</v>
      </c>
      <c r="BM531" s="227">
        <v>40000</v>
      </c>
      <c r="BN531" s="227">
        <v>40000</v>
      </c>
      <c r="BO531" s="227">
        <v>40000</v>
      </c>
      <c r="BP531" s="227">
        <v>40000</v>
      </c>
      <c r="BQ531" s="227">
        <v>40000</v>
      </c>
      <c r="BR531" s="227">
        <v>40000</v>
      </c>
      <c r="BS531" s="227">
        <v>40000</v>
      </c>
      <c r="BT531" s="227">
        <v>537425.61</v>
      </c>
    </row>
    <row r="532" spans="1:72" ht="15" customHeight="1">
      <c r="A532" s="334" t="s">
        <v>1801</v>
      </c>
      <c r="B532" s="334" t="s">
        <v>2944</v>
      </c>
      <c r="C532" s="537" t="s">
        <v>420</v>
      </c>
      <c r="D532" s="330" t="s">
        <v>1802</v>
      </c>
      <c r="E532" s="150" t="s">
        <v>1136</v>
      </c>
      <c r="F532" s="482" t="s">
        <v>1566</v>
      </c>
      <c r="G532" s="150" t="s">
        <v>1135</v>
      </c>
      <c r="H532" s="332" t="s">
        <v>1156</v>
      </c>
      <c r="I532" s="334" t="s">
        <v>1135</v>
      </c>
      <c r="J532" s="336" t="s">
        <v>1156</v>
      </c>
      <c r="K532" s="339" t="s">
        <v>1156</v>
      </c>
      <c r="L532" s="518" t="s">
        <v>389</v>
      </c>
      <c r="M532" s="397" t="s">
        <v>1803</v>
      </c>
      <c r="N532" s="333"/>
      <c r="O532" s="336" t="s">
        <v>1804</v>
      </c>
      <c r="P532" s="237" t="s">
        <v>59</v>
      </c>
      <c r="Q532" s="351"/>
      <c r="R532" s="348" t="s">
        <v>1805</v>
      </c>
      <c r="S532" s="353"/>
      <c r="T532" s="353"/>
      <c r="U532" s="584" t="s">
        <v>1806</v>
      </c>
      <c r="V532" s="402"/>
      <c r="W532" s="406"/>
      <c r="X532" s="406"/>
      <c r="Y532" s="425"/>
      <c r="Z532" s="71"/>
      <c r="AA532" s="413"/>
      <c r="AB532" s="414"/>
      <c r="AC532" s="414"/>
      <c r="AD532" s="436"/>
      <c r="AE532" s="429">
        <v>45743</v>
      </c>
      <c r="AF532" s="429">
        <v>9404.5</v>
      </c>
      <c r="AG532" s="371"/>
      <c r="AH532" s="371"/>
      <c r="AI532" s="371"/>
      <c r="AJ532" s="371"/>
      <c r="AK532" s="371"/>
      <c r="AL532" s="371"/>
      <c r="AM532" s="367">
        <f t="shared" si="29"/>
        <v>55147.5</v>
      </c>
      <c r="AN532" s="362">
        <f>ERP_2[[#This Row],[2026 Working Total]]-ERP_2[[#This Row],[LE2 Final Submission]]</f>
        <v>55147.5</v>
      </c>
      <c r="AO532" s="227"/>
      <c r="AP532" s="227">
        <f t="shared" si="30"/>
        <v>9404.5</v>
      </c>
      <c r="AQ532" s="374">
        <f>SUM(ERP_2[[#This Row],[AP01]:[AP06]])-SUM(ERP_2[[#This Row],[AP01 LE2]:[AP06 LE2]])</f>
        <v>55147.5</v>
      </c>
      <c r="AR532" s="80"/>
      <c r="AS532" s="79">
        <f>ERP_2[[#This Row],[2026 Working Total to Budget/LE]]-ERP_2[[#This Row],[Giveback]]</f>
        <v>55147.5</v>
      </c>
      <c r="AT532" s="81"/>
      <c r="AU532" s="375"/>
      <c r="AV532" s="375"/>
      <c r="AW532" s="375"/>
      <c r="AX532" s="375"/>
      <c r="AY532" s="375"/>
      <c r="AZ532" s="375"/>
      <c r="BA532" s="375"/>
      <c r="BB532" s="375"/>
      <c r="BC532" s="375"/>
      <c r="BD532" s="375"/>
      <c r="BE532" s="375"/>
      <c r="BF532" s="375"/>
      <c r="BG532" s="375"/>
      <c r="BH532" s="227"/>
      <c r="BI532" s="227"/>
      <c r="BJ532" s="227"/>
      <c r="BK532" s="227"/>
      <c r="BL532" s="227"/>
      <c r="BM532" s="227"/>
      <c r="BN532" s="227"/>
      <c r="BO532" s="227"/>
      <c r="BP532" s="227"/>
      <c r="BQ532" s="227"/>
      <c r="BR532" s="227"/>
      <c r="BS532" s="227"/>
      <c r="BT532" s="227"/>
    </row>
    <row r="533" spans="1:72" ht="15" customHeight="1">
      <c r="A533" s="215" t="s">
        <v>1833</v>
      </c>
      <c r="B533" s="215" t="s">
        <v>2944</v>
      </c>
      <c r="C533" s="215" t="s">
        <v>435</v>
      </c>
      <c r="D533" s="215" t="s">
        <v>1834</v>
      </c>
      <c r="E533" s="150" t="s">
        <v>1136</v>
      </c>
      <c r="F533" s="482" t="s">
        <v>1566</v>
      </c>
      <c r="G533" s="150" t="s">
        <v>1135</v>
      </c>
      <c r="H533" s="150" t="s">
        <v>1156</v>
      </c>
      <c r="I533" s="334" t="s">
        <v>1135</v>
      </c>
      <c r="J533" s="334" t="s">
        <v>1156</v>
      </c>
      <c r="K533" s="334" t="s">
        <v>1137</v>
      </c>
      <c r="L533" s="516" t="s">
        <v>389</v>
      </c>
      <c r="M533" s="398" t="s">
        <v>1835</v>
      </c>
      <c r="N533" s="343"/>
      <c r="O533" s="344"/>
      <c r="P533" s="219" t="s">
        <v>436</v>
      </c>
      <c r="Q533" s="349"/>
      <c r="R533" s="343"/>
      <c r="S533" s="349"/>
      <c r="T533" s="334" t="s">
        <v>57</v>
      </c>
      <c r="U533" s="354" t="s">
        <v>2912</v>
      </c>
      <c r="V533" s="403"/>
      <c r="W533" s="406">
        <v>4558</v>
      </c>
      <c r="X533" s="406">
        <v>3418.5099999999998</v>
      </c>
      <c r="Y533" s="425"/>
      <c r="Z533" s="71"/>
      <c r="AA533" s="408"/>
      <c r="AB533" s="410"/>
      <c r="AC533" s="410"/>
      <c r="AD533" s="428" t="s">
        <v>1142</v>
      </c>
      <c r="AE533" s="429">
        <v>0</v>
      </c>
      <c r="AF533" s="429">
        <v>0</v>
      </c>
      <c r="AG533" s="369">
        <v>379.83</v>
      </c>
      <c r="AH533" s="369">
        <v>379.83</v>
      </c>
      <c r="AI533" s="369">
        <v>379.83</v>
      </c>
      <c r="AJ533" s="369">
        <v>379.83</v>
      </c>
      <c r="AK533" s="369">
        <v>379.83</v>
      </c>
      <c r="AL533" s="369">
        <v>379.87</v>
      </c>
      <c r="AM533" s="367">
        <f t="shared" si="29"/>
        <v>2279.02</v>
      </c>
      <c r="AN533" s="362">
        <f>ERP_2[[#This Row],[2026 Working Total]]-ERP_2[[#This Row],[LE2 Final Submission]]</f>
        <v>-1139.4899999999998</v>
      </c>
      <c r="AO533" s="227">
        <v>379.83</v>
      </c>
      <c r="AP533" s="227">
        <f t="shared" si="30"/>
        <v>-379.83</v>
      </c>
      <c r="AQ533" s="374">
        <f>SUM(ERP_2[[#This Row],[AP01]:[AP06]])-SUM(ERP_2[[#This Row],[AP01 LE2]:[AP06 LE2]])</f>
        <v>-1139.49</v>
      </c>
      <c r="AR533" s="80"/>
      <c r="AS533" s="79">
        <f>ERP_2[[#This Row],[2026 Working Total to Budget/LE]]-ERP_2[[#This Row],[Giveback]]</f>
        <v>-1139.4899999999998</v>
      </c>
      <c r="AT533" s="81"/>
      <c r="AU533" s="375"/>
      <c r="AV533" s="375"/>
      <c r="AW533" s="375"/>
      <c r="AX533" s="375">
        <v>379.83</v>
      </c>
      <c r="AY533" s="375">
        <v>379.83</v>
      </c>
      <c r="AZ533" s="375">
        <v>379.83</v>
      </c>
      <c r="BA533" s="375">
        <v>379.83</v>
      </c>
      <c r="BB533" s="375">
        <v>379.83</v>
      </c>
      <c r="BC533" s="375">
        <v>379.83</v>
      </c>
      <c r="BD533" s="375">
        <v>379.83</v>
      </c>
      <c r="BE533" s="375">
        <v>379.83</v>
      </c>
      <c r="BF533" s="375">
        <v>379.87</v>
      </c>
      <c r="BG533" s="375">
        <v>3418.5099999999998</v>
      </c>
      <c r="BH533" s="227"/>
      <c r="BI533" s="227"/>
      <c r="BJ533" s="227"/>
      <c r="BK533" s="227">
        <v>379.83</v>
      </c>
      <c r="BL533" s="227">
        <v>379.83</v>
      </c>
      <c r="BM533" s="227">
        <v>379.83</v>
      </c>
      <c r="BN533" s="227">
        <v>379.83</v>
      </c>
      <c r="BO533" s="227">
        <v>379.83</v>
      </c>
      <c r="BP533" s="227">
        <v>379.83</v>
      </c>
      <c r="BQ533" s="227">
        <v>379.83</v>
      </c>
      <c r="BR533" s="227">
        <v>379.83</v>
      </c>
      <c r="BS533" s="227">
        <v>379.87</v>
      </c>
      <c r="BT533" s="227">
        <v>3418.5099999999998</v>
      </c>
    </row>
    <row r="534" spans="1:72" ht="15" customHeight="1">
      <c r="A534" s="215" t="s">
        <v>1843</v>
      </c>
      <c r="B534" s="215" t="s">
        <v>2944</v>
      </c>
      <c r="C534" s="215" t="s">
        <v>440</v>
      </c>
      <c r="D534" s="215" t="s">
        <v>440</v>
      </c>
      <c r="E534" s="150" t="s">
        <v>1136</v>
      </c>
      <c r="F534" s="482" t="s">
        <v>1566</v>
      </c>
      <c r="G534" s="150" t="s">
        <v>1135</v>
      </c>
      <c r="H534" s="150" t="s">
        <v>1135</v>
      </c>
      <c r="I534" s="334" t="s">
        <v>1135</v>
      </c>
      <c r="J534" s="334" t="s">
        <v>1135</v>
      </c>
      <c r="K534" s="334" t="s">
        <v>1137</v>
      </c>
      <c r="L534" s="516" t="s">
        <v>389</v>
      </c>
      <c r="M534" s="398" t="s">
        <v>1844</v>
      </c>
      <c r="N534" s="343"/>
      <c r="O534" s="344"/>
      <c r="P534" s="70" t="s">
        <v>441</v>
      </c>
      <c r="Q534" s="349"/>
      <c r="R534" s="343"/>
      <c r="S534" s="349"/>
      <c r="T534" s="334" t="s">
        <v>57</v>
      </c>
      <c r="U534" s="354"/>
      <c r="V534" s="403"/>
      <c r="W534" s="406">
        <v>0</v>
      </c>
      <c r="X534" s="406">
        <v>10582.559999999998</v>
      </c>
      <c r="Y534" s="425"/>
      <c r="Z534" s="71"/>
      <c r="AA534" s="408">
        <v>881.88</v>
      </c>
      <c r="AB534" s="410">
        <v>881.88</v>
      </c>
      <c r="AC534" s="410">
        <v>881.88</v>
      </c>
      <c r="AD534" s="428">
        <v>881.88</v>
      </c>
      <c r="AE534" s="429">
        <v>881.88</v>
      </c>
      <c r="AF534" s="429">
        <v>881.88</v>
      </c>
      <c r="AG534" s="369">
        <v>881.88</v>
      </c>
      <c r="AH534" s="369">
        <v>881.88</v>
      </c>
      <c r="AI534" s="369">
        <v>881.88</v>
      </c>
      <c r="AJ534" s="369">
        <v>881.88</v>
      </c>
      <c r="AK534" s="369">
        <v>881.88</v>
      </c>
      <c r="AL534" s="369">
        <v>881.88</v>
      </c>
      <c r="AM534" s="367">
        <f t="shared" si="29"/>
        <v>10582.559999999998</v>
      </c>
      <c r="AN534" s="362">
        <f>ERP_2[[#This Row],[2026 Working Total]]-ERP_2[[#This Row],[LE2 Final Submission]]</f>
        <v>0</v>
      </c>
      <c r="AO534" s="227">
        <v>881.88</v>
      </c>
      <c r="AP534" s="227">
        <f t="shared" si="30"/>
        <v>0</v>
      </c>
      <c r="AQ534" s="374">
        <f>SUM(ERP_2[[#This Row],[AP01]:[AP06]])-SUM(ERP_2[[#This Row],[AP01 LE2]:[AP06 LE2]])</f>
        <v>0</v>
      </c>
      <c r="AR534" s="80"/>
      <c r="AS534" s="79">
        <f>ERP_2[[#This Row],[2026 Working Total to Budget/LE]]-ERP_2[[#This Row],[Giveback]]</f>
        <v>0</v>
      </c>
      <c r="AT534" s="81"/>
      <c r="AU534" s="375">
        <v>881.88</v>
      </c>
      <c r="AV534" s="375">
        <v>881.88</v>
      </c>
      <c r="AW534" s="375">
        <v>881.88</v>
      </c>
      <c r="AX534" s="375">
        <v>881.88</v>
      </c>
      <c r="AY534" s="375">
        <v>881.88</v>
      </c>
      <c r="AZ534" s="375">
        <v>881.88</v>
      </c>
      <c r="BA534" s="375">
        <v>881.88</v>
      </c>
      <c r="BB534" s="375">
        <v>881.88</v>
      </c>
      <c r="BC534" s="375">
        <v>881.88</v>
      </c>
      <c r="BD534" s="375">
        <v>881.88</v>
      </c>
      <c r="BE534" s="375">
        <v>881.88</v>
      </c>
      <c r="BF534" s="375">
        <v>881.88</v>
      </c>
      <c r="BG534" s="375">
        <v>10582.559999999998</v>
      </c>
      <c r="BH534" s="227">
        <v>881.88</v>
      </c>
      <c r="BI534" s="227">
        <v>881.88</v>
      </c>
      <c r="BJ534" s="227">
        <v>881.88</v>
      </c>
      <c r="BK534" s="227">
        <v>0</v>
      </c>
      <c r="BL534" s="227">
        <v>0</v>
      </c>
      <c r="BM534" s="227">
        <v>0</v>
      </c>
      <c r="BN534" s="227">
        <v>0</v>
      </c>
      <c r="BO534" s="227">
        <v>0</v>
      </c>
      <c r="BP534" s="227">
        <v>0</v>
      </c>
      <c r="BQ534" s="227">
        <v>0</v>
      </c>
      <c r="BR534" s="227">
        <v>0</v>
      </c>
      <c r="BS534" s="227">
        <v>0</v>
      </c>
      <c r="BT534" s="227">
        <v>2645.64</v>
      </c>
    </row>
    <row r="535" spans="1:72" ht="15" customHeight="1">
      <c r="A535" s="215" t="s">
        <v>1857</v>
      </c>
      <c r="B535" s="215" t="s">
        <v>2944</v>
      </c>
      <c r="C535" s="215" t="s">
        <v>448</v>
      </c>
      <c r="D535" s="215" t="s">
        <v>448</v>
      </c>
      <c r="E535" s="150" t="s">
        <v>1136</v>
      </c>
      <c r="F535" s="482" t="s">
        <v>1566</v>
      </c>
      <c r="G535" s="150" t="s">
        <v>1135</v>
      </c>
      <c r="H535" s="150" t="s">
        <v>1135</v>
      </c>
      <c r="I535" s="334" t="s">
        <v>1135</v>
      </c>
      <c r="J535" s="334" t="s">
        <v>1135</v>
      </c>
      <c r="K535" s="334" t="s">
        <v>1137</v>
      </c>
      <c r="L535" s="516" t="s">
        <v>389</v>
      </c>
      <c r="M535" s="398" t="s">
        <v>1858</v>
      </c>
      <c r="N535" s="343"/>
      <c r="O535" s="344"/>
      <c r="P535" s="219" t="s">
        <v>449</v>
      </c>
      <c r="Q535" s="349"/>
      <c r="R535" s="346" t="s">
        <v>1140</v>
      </c>
      <c r="S535" s="349"/>
      <c r="T535" s="334" t="s">
        <v>57</v>
      </c>
      <c r="U535" s="354"/>
      <c r="V535" s="403"/>
      <c r="W535" s="406">
        <v>0</v>
      </c>
      <c r="X535" s="406">
        <v>9126</v>
      </c>
      <c r="Y535" s="425"/>
      <c r="Z535" s="71"/>
      <c r="AA535" s="408"/>
      <c r="AB535" s="410"/>
      <c r="AC535" s="410"/>
      <c r="AD535" s="428" t="s">
        <v>1142</v>
      </c>
      <c r="AE535" s="429">
        <v>0</v>
      </c>
      <c r="AF535" s="429">
        <v>0</v>
      </c>
      <c r="AG535" s="369">
        <v>1300</v>
      </c>
      <c r="AH535" s="369">
        <v>1300</v>
      </c>
      <c r="AI535" s="369">
        <v>1300</v>
      </c>
      <c r="AJ535" s="369">
        <v>1300</v>
      </c>
      <c r="AK535" s="369">
        <v>1300</v>
      </c>
      <c r="AL535" s="369">
        <v>1326</v>
      </c>
      <c r="AM535" s="367">
        <f t="shared" si="29"/>
        <v>7826</v>
      </c>
      <c r="AN535" s="362">
        <f>ERP_2[[#This Row],[2026 Working Total]]-ERP_2[[#This Row],[LE2 Final Submission]]</f>
        <v>-1300</v>
      </c>
      <c r="AO535" s="227">
        <v>1014</v>
      </c>
      <c r="AP535" s="227">
        <f t="shared" si="30"/>
        <v>-1014</v>
      </c>
      <c r="AQ535" s="374">
        <f>SUM(ERP_2[[#This Row],[AP01]:[AP06]])-SUM(ERP_2[[#This Row],[AP01 LE2]:[AP06 LE2]])</f>
        <v>-3042</v>
      </c>
      <c r="AR535" s="80"/>
      <c r="AS535" s="79">
        <f>ERP_2[[#This Row],[2026 Working Total to Budget/LE]]-ERP_2[[#This Row],[Giveback]]</f>
        <v>-1300</v>
      </c>
      <c r="AT535" s="81"/>
      <c r="AU535" s="375"/>
      <c r="AV535" s="375"/>
      <c r="AW535" s="375"/>
      <c r="AX535" s="375">
        <v>1014</v>
      </c>
      <c r="AY535" s="375">
        <v>1014</v>
      </c>
      <c r="AZ535" s="375">
        <v>1014</v>
      </c>
      <c r="BA535" s="375">
        <v>1014</v>
      </c>
      <c r="BB535" s="375">
        <v>1014</v>
      </c>
      <c r="BC535" s="375">
        <v>1014</v>
      </c>
      <c r="BD535" s="375">
        <v>1014</v>
      </c>
      <c r="BE535" s="375">
        <v>1014</v>
      </c>
      <c r="BF535" s="375">
        <v>1014</v>
      </c>
      <c r="BG535" s="375">
        <v>9126</v>
      </c>
      <c r="BH535" s="227"/>
      <c r="BI535" s="227"/>
      <c r="BJ535" s="227"/>
      <c r="BK535" s="227">
        <v>1014</v>
      </c>
      <c r="BL535" s="227">
        <v>1014</v>
      </c>
      <c r="BM535" s="227">
        <v>1014</v>
      </c>
      <c r="BN535" s="227">
        <v>1014</v>
      </c>
      <c r="BO535" s="227">
        <v>1014</v>
      </c>
      <c r="BP535" s="227">
        <v>1014</v>
      </c>
      <c r="BQ535" s="227">
        <v>1014</v>
      </c>
      <c r="BR535" s="227">
        <v>1014</v>
      </c>
      <c r="BS535" s="227">
        <v>1014</v>
      </c>
      <c r="BT535" s="227">
        <v>9126</v>
      </c>
    </row>
    <row r="536" spans="1:72" ht="15" customHeight="1">
      <c r="A536" s="215" t="s">
        <v>1864</v>
      </c>
      <c r="B536" s="215" t="s">
        <v>2944</v>
      </c>
      <c r="C536" s="215" t="s">
        <v>452</v>
      </c>
      <c r="D536" s="215" t="s">
        <v>452</v>
      </c>
      <c r="E536" s="150" t="s">
        <v>1136</v>
      </c>
      <c r="F536" s="482" t="s">
        <v>1566</v>
      </c>
      <c r="G536" s="150" t="s">
        <v>1135</v>
      </c>
      <c r="H536" s="334" t="s">
        <v>1135</v>
      </c>
      <c r="I536" s="334" t="s">
        <v>1135</v>
      </c>
      <c r="J536" s="334" t="s">
        <v>1135</v>
      </c>
      <c r="K536" s="334" t="s">
        <v>1137</v>
      </c>
      <c r="L536" s="516" t="s">
        <v>389</v>
      </c>
      <c r="M536" s="398" t="s">
        <v>1863</v>
      </c>
      <c r="N536" s="343"/>
      <c r="O536" s="344"/>
      <c r="P536" s="219" t="s">
        <v>453</v>
      </c>
      <c r="Q536" s="349"/>
      <c r="R536" s="343"/>
      <c r="S536" s="349"/>
      <c r="T536" s="334" t="s">
        <v>57</v>
      </c>
      <c r="U536" s="354"/>
      <c r="V536" s="403"/>
      <c r="W536" s="406">
        <v>60000</v>
      </c>
      <c r="X536" s="406">
        <v>58916.17</v>
      </c>
      <c r="Y536" s="430"/>
      <c r="Z536" s="137"/>
      <c r="AA536" s="408">
        <v>5046.78</v>
      </c>
      <c r="AB536" s="410">
        <v>4733.08</v>
      </c>
      <c r="AC536" s="410">
        <v>4136.3100000000004</v>
      </c>
      <c r="AD536" s="428">
        <v>1611.3500000000001</v>
      </c>
      <c r="AE536" s="429">
        <v>1548.42</v>
      </c>
      <c r="AF536" s="429">
        <v>448.77000000000004</v>
      </c>
      <c r="AG536" s="369">
        <v>5000</v>
      </c>
      <c r="AH536" s="369">
        <v>5000</v>
      </c>
      <c r="AI536" s="369">
        <v>5000</v>
      </c>
      <c r="AJ536" s="369">
        <v>5000</v>
      </c>
      <c r="AK536" s="369">
        <v>5000</v>
      </c>
      <c r="AL536" s="369">
        <v>5000</v>
      </c>
      <c r="AM536" s="367">
        <f t="shared" si="29"/>
        <v>47524.710000000006</v>
      </c>
      <c r="AN536" s="362">
        <f>ERP_2[[#This Row],[2026 Working Total]]-ERP_2[[#This Row],[LE2 Final Submission]]</f>
        <v>-11391.459999999992</v>
      </c>
      <c r="AO536" s="227">
        <v>5000</v>
      </c>
      <c r="AP536" s="227">
        <f t="shared" si="30"/>
        <v>-4551.2299999999996</v>
      </c>
      <c r="AQ536" s="374">
        <f>SUM(ERP_2[[#This Row],[AP01]:[AP06]])-SUM(ERP_2[[#This Row],[AP01 LE2]:[AP06 LE2]])</f>
        <v>-11391.46</v>
      </c>
      <c r="AR536" s="80"/>
      <c r="AS536" s="79">
        <f>ERP_2[[#This Row],[2026 Working Total to Budget/LE]]-ERP_2[[#This Row],[Giveback]]</f>
        <v>-11391.459999999992</v>
      </c>
      <c r="AT536" s="81"/>
      <c r="AU536" s="375">
        <v>5046.78</v>
      </c>
      <c r="AV536" s="375">
        <v>4733.08</v>
      </c>
      <c r="AW536" s="375">
        <v>4136.3100000000004</v>
      </c>
      <c r="AX536" s="375">
        <v>5000</v>
      </c>
      <c r="AY536" s="375">
        <v>5000</v>
      </c>
      <c r="AZ536" s="375">
        <v>5000</v>
      </c>
      <c r="BA536" s="375">
        <v>5000</v>
      </c>
      <c r="BB536" s="375">
        <v>5000</v>
      </c>
      <c r="BC536" s="375">
        <v>5000</v>
      </c>
      <c r="BD536" s="375">
        <v>5000</v>
      </c>
      <c r="BE536" s="375">
        <v>5000</v>
      </c>
      <c r="BF536" s="375">
        <v>5000</v>
      </c>
      <c r="BG536" s="375">
        <v>58916.17</v>
      </c>
      <c r="BH536" s="227">
        <v>5046.78</v>
      </c>
      <c r="BI536" s="227">
        <v>4733.08</v>
      </c>
      <c r="BJ536" s="227">
        <v>4136.3100000000004</v>
      </c>
      <c r="BK536" s="227">
        <v>5000</v>
      </c>
      <c r="BL536" s="227">
        <v>5000</v>
      </c>
      <c r="BM536" s="227">
        <v>5000</v>
      </c>
      <c r="BN536" s="227">
        <v>5000</v>
      </c>
      <c r="BO536" s="227">
        <v>5000</v>
      </c>
      <c r="BP536" s="227">
        <v>5000</v>
      </c>
      <c r="BQ536" s="227">
        <v>5000</v>
      </c>
      <c r="BR536" s="227">
        <v>5000</v>
      </c>
      <c r="BS536" s="227">
        <v>5000</v>
      </c>
      <c r="BT536" s="227">
        <v>58916.17</v>
      </c>
    </row>
    <row r="537" spans="1:72" ht="15" customHeight="1">
      <c r="A537" s="215" t="s">
        <v>1897</v>
      </c>
      <c r="B537" s="215" t="s">
        <v>2944</v>
      </c>
      <c r="C537" s="215" t="s">
        <v>464</v>
      </c>
      <c r="D537" s="215" t="s">
        <v>1898</v>
      </c>
      <c r="E537" s="150" t="s">
        <v>1136</v>
      </c>
      <c r="F537" s="482" t="s">
        <v>1566</v>
      </c>
      <c r="G537" s="150" t="s">
        <v>1135</v>
      </c>
      <c r="H537" s="334" t="s">
        <v>1145</v>
      </c>
      <c r="I537" s="334" t="s">
        <v>1135</v>
      </c>
      <c r="J537" s="334" t="s">
        <v>1145</v>
      </c>
      <c r="K537" s="334" t="s">
        <v>1137</v>
      </c>
      <c r="L537" s="516" t="s">
        <v>389</v>
      </c>
      <c r="M537" s="398" t="s">
        <v>1703</v>
      </c>
      <c r="N537" s="343"/>
      <c r="O537" s="344"/>
      <c r="P537" s="219" t="s">
        <v>365</v>
      </c>
      <c r="Q537" s="349"/>
      <c r="R537" s="346" t="s">
        <v>1140</v>
      </c>
      <c r="S537" s="349"/>
      <c r="T537" s="334" t="s">
        <v>57</v>
      </c>
      <c r="U537" s="354"/>
      <c r="V537" s="403"/>
      <c r="W537" s="406">
        <v>240000</v>
      </c>
      <c r="X537" s="406">
        <v>230345.91999999998</v>
      </c>
      <c r="Y537" s="425"/>
      <c r="Z537" s="71"/>
      <c r="AA537" s="408">
        <v>18590.2</v>
      </c>
      <c r="AB537" s="410">
        <v>19113.38</v>
      </c>
      <c r="AC537" s="410">
        <v>12642.34</v>
      </c>
      <c r="AD537" s="428">
        <v>21280.7</v>
      </c>
      <c r="AE537" s="429">
        <v>14563.560000000001</v>
      </c>
      <c r="AF537" s="429">
        <v>26235.370000000003</v>
      </c>
      <c r="AG537" s="369">
        <v>19000</v>
      </c>
      <c r="AH537" s="369">
        <v>19000</v>
      </c>
      <c r="AI537" s="369">
        <v>19000</v>
      </c>
      <c r="AJ537" s="369">
        <v>19000</v>
      </c>
      <c r="AK537" s="369">
        <v>19000</v>
      </c>
      <c r="AL537" s="369">
        <v>19000</v>
      </c>
      <c r="AM537" s="367">
        <f t="shared" si="29"/>
        <v>226425.55</v>
      </c>
      <c r="AN537" s="362">
        <f>ERP_2[[#This Row],[2026 Working Total]]-ERP_2[[#This Row],[LE2 Final Submission]]</f>
        <v>-3920.3699999999953</v>
      </c>
      <c r="AO537" s="227">
        <v>20000</v>
      </c>
      <c r="AP537" s="227">
        <f t="shared" si="30"/>
        <v>6235.3700000000026</v>
      </c>
      <c r="AQ537" s="374">
        <f>SUM(ERP_2[[#This Row],[AP01]:[AP06]])-SUM(ERP_2[[#This Row],[AP01 LE2]:[AP06 LE2]])</f>
        <v>2079.6299999999901</v>
      </c>
      <c r="AR537" s="80"/>
      <c r="AS537" s="79">
        <f>ERP_2[[#This Row],[2026 Working Total to Budget/LE]]-ERP_2[[#This Row],[Giveback]]</f>
        <v>-3920.3699999999953</v>
      </c>
      <c r="AT537" s="81"/>
      <c r="AU537" s="375">
        <v>18590.2</v>
      </c>
      <c r="AV537" s="375">
        <v>19113.38</v>
      </c>
      <c r="AW537" s="375">
        <v>12642.34</v>
      </c>
      <c r="AX537" s="375">
        <v>20000</v>
      </c>
      <c r="AY537" s="375">
        <v>20000</v>
      </c>
      <c r="AZ537" s="375">
        <v>20000</v>
      </c>
      <c r="BA537" s="375">
        <v>20000</v>
      </c>
      <c r="BB537" s="375">
        <v>20000</v>
      </c>
      <c r="BC537" s="375">
        <v>20000</v>
      </c>
      <c r="BD537" s="375">
        <v>20000</v>
      </c>
      <c r="BE537" s="375">
        <v>20000</v>
      </c>
      <c r="BF537" s="375">
        <v>20000</v>
      </c>
      <c r="BG537" s="375">
        <v>230345.91999999998</v>
      </c>
      <c r="BH537" s="227">
        <v>18590.2</v>
      </c>
      <c r="BI537" s="227">
        <v>19113.38</v>
      </c>
      <c r="BJ537" s="227">
        <v>12642.34</v>
      </c>
      <c r="BK537" s="227">
        <v>20000</v>
      </c>
      <c r="BL537" s="227">
        <v>20000</v>
      </c>
      <c r="BM537" s="227">
        <v>20000</v>
      </c>
      <c r="BN537" s="227">
        <v>20000</v>
      </c>
      <c r="BO537" s="227">
        <v>20000</v>
      </c>
      <c r="BP537" s="227">
        <v>20000</v>
      </c>
      <c r="BQ537" s="227">
        <v>20000</v>
      </c>
      <c r="BR537" s="227">
        <v>20000</v>
      </c>
      <c r="BS537" s="227">
        <v>20000</v>
      </c>
      <c r="BT537" s="227">
        <v>230345.91999999998</v>
      </c>
    </row>
    <row r="538" spans="1:72" ht="15" customHeight="1">
      <c r="A538" s="215" t="s">
        <v>1901</v>
      </c>
      <c r="B538" s="215" t="s">
        <v>2944</v>
      </c>
      <c r="C538" s="215" t="s">
        <v>465</v>
      </c>
      <c r="D538" s="215" t="s">
        <v>465</v>
      </c>
      <c r="E538" s="150" t="s">
        <v>1136</v>
      </c>
      <c r="F538" s="482" t="s">
        <v>1566</v>
      </c>
      <c r="G538" s="150" t="s">
        <v>1135</v>
      </c>
      <c r="H538" s="334" t="s">
        <v>1135</v>
      </c>
      <c r="I538" s="334" t="s">
        <v>1135</v>
      </c>
      <c r="J538" s="334" t="s">
        <v>1135</v>
      </c>
      <c r="K538" s="334" t="s">
        <v>1137</v>
      </c>
      <c r="L538" s="516" t="s">
        <v>389</v>
      </c>
      <c r="M538" s="398" t="s">
        <v>1855</v>
      </c>
      <c r="N538" s="343"/>
      <c r="O538" s="344"/>
      <c r="P538" s="219" t="s">
        <v>466</v>
      </c>
      <c r="Q538" s="349"/>
      <c r="R538" s="346" t="s">
        <v>1140</v>
      </c>
      <c r="S538" s="349"/>
      <c r="T538" s="334" t="s">
        <v>57</v>
      </c>
      <c r="U538" s="354"/>
      <c r="V538" s="403"/>
      <c r="W538" s="406">
        <v>120000</v>
      </c>
      <c r="X538" s="406">
        <v>141134</v>
      </c>
      <c r="Y538" s="425"/>
      <c r="Z538" s="71"/>
      <c r="AA538" s="408">
        <v>17770</v>
      </c>
      <c r="AB538" s="410">
        <v>18328</v>
      </c>
      <c r="AC538" s="410">
        <v>15036</v>
      </c>
      <c r="AD538" s="428">
        <v>16438</v>
      </c>
      <c r="AE538" s="429">
        <v>18792</v>
      </c>
      <c r="AF538" s="429">
        <v>20125</v>
      </c>
      <c r="AG538" s="369">
        <v>10000</v>
      </c>
      <c r="AH538" s="369">
        <v>10000</v>
      </c>
      <c r="AI538" s="369">
        <v>10000</v>
      </c>
      <c r="AJ538" s="369">
        <v>10000</v>
      </c>
      <c r="AK538" s="369">
        <v>10000</v>
      </c>
      <c r="AL538" s="369">
        <v>10000</v>
      </c>
      <c r="AM538" s="367">
        <f t="shared" si="29"/>
        <v>166489</v>
      </c>
      <c r="AN538" s="362">
        <f>ERP_2[[#This Row],[2026 Working Total]]-ERP_2[[#This Row],[LE2 Final Submission]]</f>
        <v>25355</v>
      </c>
      <c r="AO538" s="227">
        <v>10000</v>
      </c>
      <c r="AP538" s="227">
        <f t="shared" si="30"/>
        <v>10125</v>
      </c>
      <c r="AQ538" s="374">
        <f>SUM(ERP_2[[#This Row],[AP01]:[AP06]])-SUM(ERP_2[[#This Row],[AP01 LE2]:[AP06 LE2]])</f>
        <v>25355</v>
      </c>
      <c r="AR538" s="80"/>
      <c r="AS538" s="79">
        <f>ERP_2[[#This Row],[2026 Working Total to Budget/LE]]-ERP_2[[#This Row],[Giveback]]</f>
        <v>25355</v>
      </c>
      <c r="AT538" s="81"/>
      <c r="AU538" s="375">
        <v>17770</v>
      </c>
      <c r="AV538" s="375">
        <v>18328</v>
      </c>
      <c r="AW538" s="375">
        <v>15036</v>
      </c>
      <c r="AX538" s="375">
        <v>10000</v>
      </c>
      <c r="AY538" s="375">
        <v>10000</v>
      </c>
      <c r="AZ538" s="375">
        <v>10000</v>
      </c>
      <c r="BA538" s="375">
        <v>10000</v>
      </c>
      <c r="BB538" s="375">
        <v>10000</v>
      </c>
      <c r="BC538" s="375">
        <v>10000</v>
      </c>
      <c r="BD538" s="375">
        <v>10000</v>
      </c>
      <c r="BE538" s="375">
        <v>10000</v>
      </c>
      <c r="BF538" s="375">
        <v>10000</v>
      </c>
      <c r="BG538" s="375">
        <v>141134</v>
      </c>
      <c r="BH538" s="227">
        <v>17770</v>
      </c>
      <c r="BI538" s="227">
        <v>18328</v>
      </c>
      <c r="BJ538" s="227">
        <v>15036</v>
      </c>
      <c r="BK538" s="227">
        <v>10000</v>
      </c>
      <c r="BL538" s="227">
        <v>10000</v>
      </c>
      <c r="BM538" s="227">
        <v>10000</v>
      </c>
      <c r="BN538" s="227">
        <v>10000</v>
      </c>
      <c r="BO538" s="227">
        <v>10000</v>
      </c>
      <c r="BP538" s="227">
        <v>10000</v>
      </c>
      <c r="BQ538" s="227">
        <v>10000</v>
      </c>
      <c r="BR538" s="227">
        <v>10000</v>
      </c>
      <c r="BS538" s="227">
        <v>10000</v>
      </c>
      <c r="BT538" s="227">
        <v>141134</v>
      </c>
    </row>
    <row r="539" spans="1:72" ht="15" customHeight="1">
      <c r="A539" s="215" t="s">
        <v>1946</v>
      </c>
      <c r="B539" s="215" t="s">
        <v>2944</v>
      </c>
      <c r="C539" s="215" t="s">
        <v>485</v>
      </c>
      <c r="D539" s="215" t="s">
        <v>485</v>
      </c>
      <c r="E539" s="150" t="s">
        <v>1136</v>
      </c>
      <c r="F539" s="482" t="s">
        <v>1566</v>
      </c>
      <c r="G539" s="150" t="s">
        <v>1135</v>
      </c>
      <c r="H539" s="334" t="s">
        <v>1135</v>
      </c>
      <c r="I539" s="334" t="s">
        <v>1135</v>
      </c>
      <c r="J539" s="334" t="s">
        <v>1135</v>
      </c>
      <c r="K539" s="334" t="s">
        <v>1137</v>
      </c>
      <c r="L539" s="516" t="s">
        <v>389</v>
      </c>
      <c r="M539" s="398" t="s">
        <v>1947</v>
      </c>
      <c r="N539" s="343"/>
      <c r="O539" s="344"/>
      <c r="P539" s="219" t="s">
        <v>486</v>
      </c>
      <c r="Q539" s="349" t="s">
        <v>1153</v>
      </c>
      <c r="R539" s="343"/>
      <c r="S539" s="349"/>
      <c r="T539" s="334" t="s">
        <v>487</v>
      </c>
      <c r="U539" s="354"/>
      <c r="V539" s="403"/>
      <c r="W539" s="406">
        <v>-608600</v>
      </c>
      <c r="X539" s="406">
        <v>-597160</v>
      </c>
      <c r="Y539" s="425"/>
      <c r="Z539" s="71"/>
      <c r="AA539" s="408"/>
      <c r="AB539" s="410"/>
      <c r="AC539" s="410">
        <v>-123760</v>
      </c>
      <c r="AD539" s="428">
        <v>0</v>
      </c>
      <c r="AE539" s="429">
        <v>-113731.04000000001</v>
      </c>
      <c r="AF539" s="429">
        <v>-60567.46</v>
      </c>
      <c r="AG539" s="369">
        <v>-52600</v>
      </c>
      <c r="AH539" s="369">
        <v>-52600</v>
      </c>
      <c r="AI539" s="369">
        <v>-52600</v>
      </c>
      <c r="AJ539" s="369">
        <v>-52600</v>
      </c>
      <c r="AK539" s="369">
        <v>-52600</v>
      </c>
      <c r="AL539" s="369">
        <v>-52600</v>
      </c>
      <c r="AM539" s="367">
        <f t="shared" si="29"/>
        <v>-613658.5</v>
      </c>
      <c r="AN539" s="362">
        <f>ERP_2[[#This Row],[2026 Working Total]]-ERP_2[[#This Row],[LE2 Final Submission]]</f>
        <v>-16498.5</v>
      </c>
      <c r="AO539" s="227">
        <v>-52600</v>
      </c>
      <c r="AP539" s="227">
        <f t="shared" si="30"/>
        <v>-7967.4599999999991</v>
      </c>
      <c r="AQ539" s="374">
        <f>SUM(ERP_2[[#This Row],[AP01]:[AP06]])-SUM(ERP_2[[#This Row],[AP01 LE2]:[AP06 LE2]])</f>
        <v>-16498.5</v>
      </c>
      <c r="AR539" s="80"/>
      <c r="AS539" s="79">
        <f>ERP_2[[#This Row],[2026 Working Total to Budget/LE]]-ERP_2[[#This Row],[Giveback]]</f>
        <v>-16498.5</v>
      </c>
      <c r="AT539" s="81"/>
      <c r="AU539" s="375"/>
      <c r="AV539" s="375"/>
      <c r="AW539" s="375">
        <v>-123760</v>
      </c>
      <c r="AX539" s="375">
        <v>-52600</v>
      </c>
      <c r="AY539" s="375">
        <v>-52600</v>
      </c>
      <c r="AZ539" s="375">
        <v>-52600</v>
      </c>
      <c r="BA539" s="375">
        <v>-52600</v>
      </c>
      <c r="BB539" s="375">
        <v>-52600</v>
      </c>
      <c r="BC539" s="375">
        <v>-52600</v>
      </c>
      <c r="BD539" s="375">
        <v>-52600</v>
      </c>
      <c r="BE539" s="375">
        <v>-52600</v>
      </c>
      <c r="BF539" s="375">
        <v>-52600</v>
      </c>
      <c r="BG539" s="375">
        <v>-597160</v>
      </c>
      <c r="BH539" s="227"/>
      <c r="BI539" s="227"/>
      <c r="BJ539" s="227">
        <v>-123760</v>
      </c>
      <c r="BK539" s="227">
        <v>-52600</v>
      </c>
      <c r="BL539" s="227">
        <v>-52600</v>
      </c>
      <c r="BM539" s="227">
        <v>-52600</v>
      </c>
      <c r="BN539" s="227">
        <v>-52600</v>
      </c>
      <c r="BO539" s="227">
        <v>-52600</v>
      </c>
      <c r="BP539" s="227">
        <v>-52600</v>
      </c>
      <c r="BQ539" s="227">
        <v>-52600</v>
      </c>
      <c r="BR539" s="227">
        <v>-52600</v>
      </c>
      <c r="BS539" s="227">
        <v>-52600</v>
      </c>
      <c r="BT539" s="227">
        <v>-597160</v>
      </c>
    </row>
    <row r="540" spans="1:72" ht="15" customHeight="1">
      <c r="A540" s="215" t="s">
        <v>1961</v>
      </c>
      <c r="B540" s="215" t="s">
        <v>2944</v>
      </c>
      <c r="C540" s="215" t="s">
        <v>491</v>
      </c>
      <c r="D540" s="215" t="s">
        <v>1962</v>
      </c>
      <c r="E540" s="150" t="s">
        <v>1136</v>
      </c>
      <c r="F540" s="482" t="s">
        <v>1566</v>
      </c>
      <c r="G540" s="150" t="s">
        <v>1135</v>
      </c>
      <c r="H540" s="334" t="s">
        <v>1165</v>
      </c>
      <c r="I540" s="334" t="s">
        <v>1135</v>
      </c>
      <c r="J540" s="334" t="s">
        <v>1165</v>
      </c>
      <c r="K540" s="334" t="s">
        <v>1137</v>
      </c>
      <c r="L540" s="516" t="s">
        <v>389</v>
      </c>
      <c r="M540" s="398" t="s">
        <v>1327</v>
      </c>
      <c r="N540" s="343"/>
      <c r="O540" s="344"/>
      <c r="P540" s="219" t="s">
        <v>147</v>
      </c>
      <c r="Q540" s="349"/>
      <c r="R540" s="343"/>
      <c r="S540" s="349"/>
      <c r="T540" s="334" t="s">
        <v>25</v>
      </c>
      <c r="U540" s="582" t="s">
        <v>1338</v>
      </c>
      <c r="V540" s="403"/>
      <c r="W540" s="406">
        <v>0</v>
      </c>
      <c r="X540" s="406">
        <v>39996</v>
      </c>
      <c r="Y540" s="425"/>
      <c r="Z540" s="71"/>
      <c r="AA540" s="408">
        <v>0.22</v>
      </c>
      <c r="AB540" s="410">
        <v>45000.28</v>
      </c>
      <c r="AC540" s="410">
        <v>-5004.5</v>
      </c>
      <c r="AD540" s="428">
        <v>-0.6</v>
      </c>
      <c r="AE540" s="429">
        <v>-84995.74</v>
      </c>
      <c r="AF540" s="429">
        <v>44999.83</v>
      </c>
      <c r="AG540" s="368">
        <v>0</v>
      </c>
      <c r="AH540" s="368">
        <v>0</v>
      </c>
      <c r="AI540" s="368">
        <v>0</v>
      </c>
      <c r="AJ540" s="368">
        <v>0</v>
      </c>
      <c r="AK540" s="368">
        <v>0</v>
      </c>
      <c r="AL540" s="368">
        <v>0</v>
      </c>
      <c r="AM540" s="367">
        <f t="shared" si="29"/>
        <v>-0.51000000000203727</v>
      </c>
      <c r="AN540" s="362">
        <f>ERP_2[[#This Row],[2026 Working Total]]-ERP_2[[#This Row],[LE2 Final Submission]]</f>
        <v>-39996.51</v>
      </c>
      <c r="AO540" s="227">
        <v>0</v>
      </c>
      <c r="AP540" s="227">
        <f t="shared" si="30"/>
        <v>44999.83</v>
      </c>
      <c r="AQ540" s="374">
        <f>SUM(ERP_2[[#This Row],[AP01]:[AP06]])-SUM(ERP_2[[#This Row],[AP01 LE2]:[AP06 LE2]])</f>
        <v>-39996.51</v>
      </c>
      <c r="AR540" s="80"/>
      <c r="AS540" s="79">
        <f>ERP_2[[#This Row],[2026 Working Total to Budget/LE]]-ERP_2[[#This Row],[Giveback]]</f>
        <v>-39996.51</v>
      </c>
      <c r="AT540" s="81"/>
      <c r="AU540" s="375">
        <v>0.22</v>
      </c>
      <c r="AV540" s="375">
        <v>45000.28</v>
      </c>
      <c r="AW540" s="375">
        <v>-5004.5</v>
      </c>
      <c r="AX540" s="375">
        <v>0</v>
      </c>
      <c r="AY540" s="375">
        <v>0</v>
      </c>
      <c r="AZ540" s="375">
        <v>0</v>
      </c>
      <c r="BA540" s="375">
        <v>0</v>
      </c>
      <c r="BB540" s="375">
        <v>0</v>
      </c>
      <c r="BC540" s="375">
        <v>0</v>
      </c>
      <c r="BD540" s="375">
        <v>0</v>
      </c>
      <c r="BE540" s="375">
        <v>0</v>
      </c>
      <c r="BF540" s="375">
        <v>0</v>
      </c>
      <c r="BG540" s="375">
        <v>39996</v>
      </c>
      <c r="BH540" s="227">
        <v>0.22</v>
      </c>
      <c r="BI540" s="227">
        <v>45000.28</v>
      </c>
      <c r="BJ540" s="227">
        <v>-5004.5</v>
      </c>
      <c r="BK540" s="227">
        <v>0</v>
      </c>
      <c r="BL540" s="227">
        <v>0</v>
      </c>
      <c r="BM540" s="227">
        <v>0</v>
      </c>
      <c r="BN540" s="227">
        <v>0</v>
      </c>
      <c r="BO540" s="227">
        <v>0</v>
      </c>
      <c r="BP540" s="227">
        <v>0</v>
      </c>
      <c r="BQ540" s="227">
        <v>0</v>
      </c>
      <c r="BR540" s="227">
        <v>0</v>
      </c>
      <c r="BS540" s="227">
        <v>0</v>
      </c>
      <c r="BT540" s="227">
        <v>39996</v>
      </c>
    </row>
    <row r="541" spans="1:72" ht="15" customHeight="1">
      <c r="A541" s="215" t="s">
        <v>2155</v>
      </c>
      <c r="B541" s="215" t="s">
        <v>2944</v>
      </c>
      <c r="C541" s="215" t="s">
        <v>609</v>
      </c>
      <c r="D541" s="215" t="s">
        <v>609</v>
      </c>
      <c r="E541" s="150" t="s">
        <v>1136</v>
      </c>
      <c r="F541" s="482" t="s">
        <v>1566</v>
      </c>
      <c r="G541" s="150" t="s">
        <v>1135</v>
      </c>
      <c r="H541" s="334" t="s">
        <v>1135</v>
      </c>
      <c r="I541" s="334" t="s">
        <v>1135</v>
      </c>
      <c r="J541" s="334" t="s">
        <v>1135</v>
      </c>
      <c r="K541" s="334" t="s">
        <v>1137</v>
      </c>
      <c r="L541" s="516" t="s">
        <v>602</v>
      </c>
      <c r="M541" s="398" t="s">
        <v>611</v>
      </c>
      <c r="N541" s="343"/>
      <c r="O541" s="344"/>
      <c r="P541" s="219" t="s">
        <v>610</v>
      </c>
      <c r="Q541" s="349"/>
      <c r="R541" s="343"/>
      <c r="S541" s="349"/>
      <c r="T541" s="334" t="s">
        <v>611</v>
      </c>
      <c r="U541" s="354"/>
      <c r="V541" s="403"/>
      <c r="W541" s="406">
        <v>0</v>
      </c>
      <c r="X541" s="406">
        <v>69</v>
      </c>
      <c r="Y541" s="425"/>
      <c r="Z541" s="71"/>
      <c r="AA541" s="408">
        <v>-0.08</v>
      </c>
      <c r="AB541" s="410">
        <v>69.08</v>
      </c>
      <c r="AC541" s="412">
        <v>0</v>
      </c>
      <c r="AD541" s="428">
        <v>61</v>
      </c>
      <c r="AE541" s="429">
        <v>104</v>
      </c>
      <c r="AF541" s="429">
        <v>88</v>
      </c>
      <c r="AG541" s="368">
        <v>0</v>
      </c>
      <c r="AH541" s="368">
        <v>0</v>
      </c>
      <c r="AI541" s="368">
        <v>0</v>
      </c>
      <c r="AJ541" s="368">
        <v>0</v>
      </c>
      <c r="AK541" s="368">
        <v>0</v>
      </c>
      <c r="AL541" s="368">
        <v>0</v>
      </c>
      <c r="AM541" s="367">
        <f t="shared" si="29"/>
        <v>322</v>
      </c>
      <c r="AN541" s="362">
        <f>ERP_2[[#This Row],[2026 Working Total]]-ERP_2[[#This Row],[LE2 Final Submission]]</f>
        <v>253</v>
      </c>
      <c r="AO541" s="227">
        <v>0</v>
      </c>
      <c r="AP541" s="227">
        <f t="shared" si="30"/>
        <v>88</v>
      </c>
      <c r="AQ541" s="374">
        <f>SUM(ERP_2[[#This Row],[AP01]:[AP06]])-SUM(ERP_2[[#This Row],[AP01 LE2]:[AP06 LE2]])</f>
        <v>253</v>
      </c>
      <c r="AR541" s="80"/>
      <c r="AS541" s="79">
        <f>ERP_2[[#This Row],[2026 Working Total to Budget/LE]]-ERP_2[[#This Row],[Giveback]]</f>
        <v>253</v>
      </c>
      <c r="AT541" s="81"/>
      <c r="AU541" s="375">
        <v>-0.08</v>
      </c>
      <c r="AV541" s="375">
        <v>69.08</v>
      </c>
      <c r="AW541" s="375">
        <v>0</v>
      </c>
      <c r="AX541" s="375">
        <v>0</v>
      </c>
      <c r="AY541" s="375">
        <v>0</v>
      </c>
      <c r="AZ541" s="375">
        <v>0</v>
      </c>
      <c r="BA541" s="375">
        <v>0</v>
      </c>
      <c r="BB541" s="375">
        <v>0</v>
      </c>
      <c r="BC541" s="375">
        <v>0</v>
      </c>
      <c r="BD541" s="375">
        <v>0</v>
      </c>
      <c r="BE541" s="375">
        <v>0</v>
      </c>
      <c r="BF541" s="375">
        <v>0</v>
      </c>
      <c r="BG541" s="375">
        <v>69</v>
      </c>
      <c r="BH541" s="227">
        <v>-0.08</v>
      </c>
      <c r="BI541" s="227">
        <v>69.08</v>
      </c>
      <c r="BJ541" s="227">
        <v>0</v>
      </c>
      <c r="BK541" s="227">
        <v>0</v>
      </c>
      <c r="BL541" s="227">
        <v>0</v>
      </c>
      <c r="BM541" s="227">
        <v>0</v>
      </c>
      <c r="BN541" s="227">
        <v>0</v>
      </c>
      <c r="BO541" s="227">
        <v>0</v>
      </c>
      <c r="BP541" s="227">
        <v>0</v>
      </c>
      <c r="BQ541" s="227">
        <v>0</v>
      </c>
      <c r="BR541" s="227">
        <v>0</v>
      </c>
      <c r="BS541" s="227">
        <v>0</v>
      </c>
      <c r="BT541" s="227">
        <v>69</v>
      </c>
    </row>
    <row r="542" spans="1:72" ht="15" customHeight="1">
      <c r="A542" s="215" t="s">
        <v>2829</v>
      </c>
      <c r="B542" s="215" t="s">
        <v>2944</v>
      </c>
      <c r="C542" s="215" t="s">
        <v>1028</v>
      </c>
      <c r="D542" s="215" t="s">
        <v>1028</v>
      </c>
      <c r="E542" s="150" t="s">
        <v>1136</v>
      </c>
      <c r="F542" s="482" t="s">
        <v>1566</v>
      </c>
      <c r="G542" s="150" t="s">
        <v>1135</v>
      </c>
      <c r="H542" s="334" t="s">
        <v>1135</v>
      </c>
      <c r="I542" s="334" t="s">
        <v>1135</v>
      </c>
      <c r="J542" s="334" t="s">
        <v>1135</v>
      </c>
      <c r="K542" s="334" t="s">
        <v>1137</v>
      </c>
      <c r="L542" s="516" t="s">
        <v>1027</v>
      </c>
      <c r="M542" s="398" t="s">
        <v>2830</v>
      </c>
      <c r="N542" s="343"/>
      <c r="O542" s="344"/>
      <c r="P542" s="219" t="s">
        <v>1029</v>
      </c>
      <c r="Q542" s="349"/>
      <c r="R542" s="343"/>
      <c r="S542" s="349"/>
      <c r="T542" s="334" t="s">
        <v>25</v>
      </c>
      <c r="U542" s="354"/>
      <c r="V542" s="403"/>
      <c r="W542" s="406">
        <v>0</v>
      </c>
      <c r="X542" s="406">
        <v>4741</v>
      </c>
      <c r="Y542" s="425"/>
      <c r="Z542" s="71"/>
      <c r="AA542" s="408">
        <v>876</v>
      </c>
      <c r="AB542" s="410">
        <v>1712</v>
      </c>
      <c r="AC542" s="410">
        <v>2153</v>
      </c>
      <c r="AD542" s="428">
        <v>1577</v>
      </c>
      <c r="AE542" s="429">
        <v>1546.0000000000002</v>
      </c>
      <c r="AF542" s="429">
        <v>2107.0000000000005</v>
      </c>
      <c r="AG542" s="368">
        <v>0</v>
      </c>
      <c r="AH542" s="368">
        <v>0</v>
      </c>
      <c r="AI542" s="368">
        <v>0</v>
      </c>
      <c r="AJ542" s="368">
        <v>0</v>
      </c>
      <c r="AK542" s="368">
        <v>0</v>
      </c>
      <c r="AL542" s="368">
        <v>0</v>
      </c>
      <c r="AM542" s="367">
        <f t="shared" si="29"/>
        <v>9971</v>
      </c>
      <c r="AN542" s="362">
        <f>ERP_2[[#This Row],[2026 Working Total]]-ERP_2[[#This Row],[LE2 Final Submission]]</f>
        <v>5230</v>
      </c>
      <c r="AO542" s="227">
        <v>0</v>
      </c>
      <c r="AP542" s="227">
        <f t="shared" si="30"/>
        <v>2107.0000000000005</v>
      </c>
      <c r="AQ542" s="374">
        <f>SUM(ERP_2[[#This Row],[AP01]:[AP06]])-SUM(ERP_2[[#This Row],[AP01 LE2]:[AP06 LE2]])</f>
        <v>5230</v>
      </c>
      <c r="AR542" s="80"/>
      <c r="AS542" s="79">
        <f>ERP_2[[#This Row],[2026 Working Total to Budget/LE]]-ERP_2[[#This Row],[Giveback]]</f>
        <v>5230</v>
      </c>
      <c r="AT542" s="81"/>
      <c r="AU542" s="375">
        <v>876</v>
      </c>
      <c r="AV542" s="375">
        <v>1712</v>
      </c>
      <c r="AW542" s="375">
        <v>2153</v>
      </c>
      <c r="AX542" s="375">
        <v>0</v>
      </c>
      <c r="AY542" s="375">
        <v>0</v>
      </c>
      <c r="AZ542" s="375">
        <v>0</v>
      </c>
      <c r="BA542" s="375">
        <v>0</v>
      </c>
      <c r="BB542" s="375">
        <v>0</v>
      </c>
      <c r="BC542" s="375">
        <v>0</v>
      </c>
      <c r="BD542" s="375">
        <v>0</v>
      </c>
      <c r="BE542" s="375">
        <v>0</v>
      </c>
      <c r="BF542" s="375">
        <v>0</v>
      </c>
      <c r="BG542" s="375">
        <v>4741</v>
      </c>
      <c r="BH542" s="227">
        <v>876</v>
      </c>
      <c r="BI542" s="227">
        <v>1712</v>
      </c>
      <c r="BJ542" s="227">
        <v>2153</v>
      </c>
      <c r="BK542" s="227">
        <v>0</v>
      </c>
      <c r="BL542" s="227">
        <v>0</v>
      </c>
      <c r="BM542" s="227">
        <v>0</v>
      </c>
      <c r="BN542" s="227">
        <v>0</v>
      </c>
      <c r="BO542" s="227">
        <v>0</v>
      </c>
      <c r="BP542" s="227">
        <v>0</v>
      </c>
      <c r="BQ542" s="227">
        <v>0</v>
      </c>
      <c r="BR542" s="227">
        <v>0</v>
      </c>
      <c r="BS542" s="227">
        <v>0</v>
      </c>
      <c r="BT542" s="227">
        <v>4741</v>
      </c>
    </row>
    <row r="543" spans="1:72" ht="15" customHeight="1">
      <c r="A543" s="215" t="s">
        <v>2845</v>
      </c>
      <c r="B543" s="215" t="s">
        <v>2944</v>
      </c>
      <c r="C543" s="215" t="s">
        <v>1038</v>
      </c>
      <c r="D543" s="215" t="s">
        <v>1038</v>
      </c>
      <c r="E543" s="150" t="s">
        <v>1136</v>
      </c>
      <c r="F543" s="482" t="s">
        <v>1566</v>
      </c>
      <c r="G543" s="150" t="s">
        <v>1135</v>
      </c>
      <c r="H543" s="334" t="s">
        <v>1135</v>
      </c>
      <c r="I543" s="334" t="s">
        <v>1135</v>
      </c>
      <c r="J543" s="334" t="s">
        <v>1135</v>
      </c>
      <c r="K543" s="334" t="s">
        <v>1137</v>
      </c>
      <c r="L543" s="516" t="s">
        <v>1037</v>
      </c>
      <c r="M543" s="398" t="s">
        <v>2846</v>
      </c>
      <c r="N543" s="343"/>
      <c r="O543" s="344"/>
      <c r="P543" s="219" t="s">
        <v>1039</v>
      </c>
      <c r="Q543" s="349"/>
      <c r="R543" s="346" t="s">
        <v>1140</v>
      </c>
      <c r="S543" s="349"/>
      <c r="T543" s="334" t="s">
        <v>1040</v>
      </c>
      <c r="U543" s="354"/>
      <c r="V543" s="403"/>
      <c r="W543" s="406">
        <v>0</v>
      </c>
      <c r="X543" s="406">
        <v>4</v>
      </c>
      <c r="Y543" s="430"/>
      <c r="Z543" s="137"/>
      <c r="AA543" s="408"/>
      <c r="AB543" s="410">
        <v>-101</v>
      </c>
      <c r="AC543" s="410">
        <v>105</v>
      </c>
      <c r="AD543" s="428">
        <v>479</v>
      </c>
      <c r="AE543" s="429">
        <v>66</v>
      </c>
      <c r="AF543" s="429">
        <v>2208.0000000000005</v>
      </c>
      <c r="AG543" s="368">
        <v>0</v>
      </c>
      <c r="AH543" s="368">
        <v>0</v>
      </c>
      <c r="AI543" s="368">
        <v>0</v>
      </c>
      <c r="AJ543" s="368">
        <v>0</v>
      </c>
      <c r="AK543" s="368">
        <v>0</v>
      </c>
      <c r="AL543" s="368">
        <v>0</v>
      </c>
      <c r="AM543" s="367">
        <f t="shared" si="29"/>
        <v>2757.0000000000005</v>
      </c>
      <c r="AN543" s="362">
        <f>ERP_2[[#This Row],[2026 Working Total]]-ERP_2[[#This Row],[LE2 Final Submission]]</f>
        <v>2753.0000000000005</v>
      </c>
      <c r="AO543" s="227">
        <v>0</v>
      </c>
      <c r="AP543" s="227">
        <f t="shared" si="30"/>
        <v>2208.0000000000005</v>
      </c>
      <c r="AQ543" s="374">
        <f>SUM(ERP_2[[#This Row],[AP01]:[AP06]])-SUM(ERP_2[[#This Row],[AP01 LE2]:[AP06 LE2]])</f>
        <v>2753.0000000000005</v>
      </c>
      <c r="AR543" s="80"/>
      <c r="AS543" s="79">
        <f>ERP_2[[#This Row],[2026 Working Total to Budget/LE]]-ERP_2[[#This Row],[Giveback]]</f>
        <v>2753.0000000000005</v>
      </c>
      <c r="AT543" s="81"/>
      <c r="AU543" s="375"/>
      <c r="AV543" s="375">
        <v>-101</v>
      </c>
      <c r="AW543" s="375">
        <v>105</v>
      </c>
      <c r="AX543" s="375">
        <v>0</v>
      </c>
      <c r="AY543" s="375">
        <v>0</v>
      </c>
      <c r="AZ543" s="375">
        <v>0</v>
      </c>
      <c r="BA543" s="375">
        <v>0</v>
      </c>
      <c r="BB543" s="375">
        <v>0</v>
      </c>
      <c r="BC543" s="375">
        <v>0</v>
      </c>
      <c r="BD543" s="375">
        <v>0</v>
      </c>
      <c r="BE543" s="375">
        <v>0</v>
      </c>
      <c r="BF543" s="375">
        <v>0</v>
      </c>
      <c r="BG543" s="375">
        <v>4</v>
      </c>
      <c r="BH543" s="227"/>
      <c r="BI543" s="227">
        <v>-101</v>
      </c>
      <c r="BJ543" s="227">
        <v>105</v>
      </c>
      <c r="BK543" s="227">
        <v>0</v>
      </c>
      <c r="BL543" s="227">
        <v>0</v>
      </c>
      <c r="BM543" s="227">
        <v>0</v>
      </c>
      <c r="BN543" s="227">
        <v>0</v>
      </c>
      <c r="BO543" s="227">
        <v>0</v>
      </c>
      <c r="BP543" s="227">
        <v>0</v>
      </c>
      <c r="BQ543" s="227">
        <v>0</v>
      </c>
      <c r="BR543" s="227">
        <v>0</v>
      </c>
      <c r="BS543" s="227">
        <v>0</v>
      </c>
      <c r="BT543" s="227">
        <v>4</v>
      </c>
    </row>
    <row r="544" spans="1:72" ht="15" customHeight="1">
      <c r="A544" s="215" t="s">
        <v>2248</v>
      </c>
      <c r="B544" s="215" t="s">
        <v>2944</v>
      </c>
      <c r="C544" s="215" t="s">
        <v>667</v>
      </c>
      <c r="D544" s="215" t="s">
        <v>667</v>
      </c>
      <c r="E544" s="150" t="s">
        <v>1136</v>
      </c>
      <c r="F544" s="482" t="s">
        <v>1566</v>
      </c>
      <c r="G544" s="150" t="s">
        <v>1135</v>
      </c>
      <c r="H544" s="334" t="s">
        <v>1135</v>
      </c>
      <c r="I544" s="334" t="s">
        <v>1135</v>
      </c>
      <c r="J544" s="334" t="s">
        <v>1135</v>
      </c>
      <c r="K544" s="334" t="s">
        <v>1137</v>
      </c>
      <c r="L544" s="516" t="s">
        <v>639</v>
      </c>
      <c r="M544" s="398" t="s">
        <v>1138</v>
      </c>
      <c r="N544" s="343"/>
      <c r="O544" s="344"/>
      <c r="P544" s="219" t="s">
        <v>51</v>
      </c>
      <c r="Q544" s="349" t="s">
        <v>1139</v>
      </c>
      <c r="R544" s="346" t="s">
        <v>1140</v>
      </c>
      <c r="S544" s="349"/>
      <c r="T544" s="334" t="s">
        <v>25</v>
      </c>
      <c r="U544" s="354"/>
      <c r="V544" s="403"/>
      <c r="W544" s="406">
        <v>0</v>
      </c>
      <c r="X544" s="406">
        <v>3777.33</v>
      </c>
      <c r="Y544" s="425"/>
      <c r="Z544" s="71"/>
      <c r="AA544" s="408"/>
      <c r="AB544" s="410">
        <v>3777.33</v>
      </c>
      <c r="AC544" s="412">
        <v>0</v>
      </c>
      <c r="AD544" s="428">
        <v>83.61</v>
      </c>
      <c r="AE544" s="429">
        <v>0</v>
      </c>
      <c r="AF544" s="429">
        <v>0</v>
      </c>
      <c r="AG544" s="368">
        <v>0</v>
      </c>
      <c r="AH544" s="368">
        <v>0</v>
      </c>
      <c r="AI544" s="368">
        <v>0</v>
      </c>
      <c r="AJ544" s="368">
        <v>0</v>
      </c>
      <c r="AK544" s="368">
        <v>0</v>
      </c>
      <c r="AL544" s="368">
        <v>0</v>
      </c>
      <c r="AM544" s="367">
        <f t="shared" si="29"/>
        <v>3860.94</v>
      </c>
      <c r="AN544" s="362">
        <f>ERP_2[[#This Row],[2026 Working Total]]-ERP_2[[#This Row],[LE2 Final Submission]]</f>
        <v>83.610000000000127</v>
      </c>
      <c r="AO544" s="227">
        <v>0</v>
      </c>
      <c r="AP544" s="227">
        <f t="shared" si="30"/>
        <v>0</v>
      </c>
      <c r="AQ544" s="374">
        <f>SUM(ERP_2[[#This Row],[AP01]:[AP06]])-SUM(ERP_2[[#This Row],[AP01 LE2]:[AP06 LE2]])</f>
        <v>83.610000000000127</v>
      </c>
      <c r="AR544" s="80"/>
      <c r="AS544" s="79">
        <f>ERP_2[[#This Row],[2026 Working Total to Budget/LE]]-ERP_2[[#This Row],[Giveback]]</f>
        <v>83.610000000000127</v>
      </c>
      <c r="AT544" s="81"/>
      <c r="AU544" s="375"/>
      <c r="AV544" s="375">
        <v>3777.33</v>
      </c>
      <c r="AW544" s="375">
        <v>0</v>
      </c>
      <c r="AX544" s="375">
        <v>0</v>
      </c>
      <c r="AY544" s="375">
        <v>0</v>
      </c>
      <c r="AZ544" s="375">
        <v>0</v>
      </c>
      <c r="BA544" s="375">
        <v>0</v>
      </c>
      <c r="BB544" s="375">
        <v>0</v>
      </c>
      <c r="BC544" s="375">
        <v>0</v>
      </c>
      <c r="BD544" s="375">
        <v>0</v>
      </c>
      <c r="BE544" s="375">
        <v>0</v>
      </c>
      <c r="BF544" s="375">
        <v>0</v>
      </c>
      <c r="BG544" s="375">
        <v>3777.33</v>
      </c>
      <c r="BH544" s="227"/>
      <c r="BI544" s="227">
        <v>3777.33</v>
      </c>
      <c r="BJ544" s="227">
        <v>0</v>
      </c>
      <c r="BK544" s="227">
        <v>0</v>
      </c>
      <c r="BL544" s="227">
        <v>0</v>
      </c>
      <c r="BM544" s="227">
        <v>0</v>
      </c>
      <c r="BN544" s="227">
        <v>0</v>
      </c>
      <c r="BO544" s="227">
        <v>0</v>
      </c>
      <c r="BP544" s="227">
        <v>0</v>
      </c>
      <c r="BQ544" s="227">
        <v>0</v>
      </c>
      <c r="BR544" s="227">
        <v>0</v>
      </c>
      <c r="BS544" s="227">
        <v>0</v>
      </c>
      <c r="BT544" s="227">
        <v>3777.33</v>
      </c>
    </row>
    <row r="545" spans="1:72" ht="15" customHeight="1">
      <c r="A545" s="215" t="s">
        <v>2261</v>
      </c>
      <c r="B545" s="215" t="s">
        <v>2944</v>
      </c>
      <c r="C545" s="215" t="s">
        <v>669</v>
      </c>
      <c r="D545" s="215" t="s">
        <v>2262</v>
      </c>
      <c r="E545" s="150" t="s">
        <v>1136</v>
      </c>
      <c r="F545" s="482" t="s">
        <v>1566</v>
      </c>
      <c r="G545" s="150" t="s">
        <v>1135</v>
      </c>
      <c r="H545" s="334" t="s">
        <v>1145</v>
      </c>
      <c r="I545" s="334" t="s">
        <v>1135</v>
      </c>
      <c r="J545" s="334" t="s">
        <v>1145</v>
      </c>
      <c r="K545" s="334" t="s">
        <v>1137</v>
      </c>
      <c r="L545" s="516" t="s">
        <v>639</v>
      </c>
      <c r="M545" s="398" t="s">
        <v>1174</v>
      </c>
      <c r="N545" s="343"/>
      <c r="O545" s="344"/>
      <c r="P545" s="219" t="s">
        <v>56</v>
      </c>
      <c r="Q545" s="349"/>
      <c r="R545" s="346" t="s">
        <v>1140</v>
      </c>
      <c r="S545" s="349"/>
      <c r="T545" s="334" t="s">
        <v>57</v>
      </c>
      <c r="U545" s="354"/>
      <c r="V545" s="403"/>
      <c r="W545" s="406">
        <v>48000</v>
      </c>
      <c r="X545" s="406">
        <v>47938.130000000005</v>
      </c>
      <c r="Y545" s="425"/>
      <c r="Z545" s="71"/>
      <c r="AA545" s="408">
        <v>4052.17</v>
      </c>
      <c r="AB545" s="410">
        <v>3772.71</v>
      </c>
      <c r="AC545" s="410">
        <v>4113.25</v>
      </c>
      <c r="AD545" s="428">
        <v>3493.25</v>
      </c>
      <c r="AE545" s="429">
        <v>3493.25</v>
      </c>
      <c r="AF545" s="429">
        <v>3493.25</v>
      </c>
      <c r="AG545" s="369">
        <v>4000</v>
      </c>
      <c r="AH545" s="369">
        <v>4000</v>
      </c>
      <c r="AI545" s="369">
        <v>4000</v>
      </c>
      <c r="AJ545" s="369">
        <v>4000</v>
      </c>
      <c r="AK545" s="369">
        <v>4000</v>
      </c>
      <c r="AL545" s="369">
        <v>4000</v>
      </c>
      <c r="AM545" s="367">
        <f t="shared" si="29"/>
        <v>46417.880000000005</v>
      </c>
      <c r="AN545" s="362">
        <f>ERP_2[[#This Row],[2026 Working Total]]-ERP_2[[#This Row],[LE2 Final Submission]]</f>
        <v>-1520.25</v>
      </c>
      <c r="AO545" s="227">
        <v>4000</v>
      </c>
      <c r="AP545" s="227">
        <f t="shared" si="30"/>
        <v>-506.75</v>
      </c>
      <c r="AQ545" s="374">
        <f>SUM(ERP_2[[#This Row],[AP01]:[AP06]])-SUM(ERP_2[[#This Row],[AP01 LE2]:[AP06 LE2]])</f>
        <v>-1520.25</v>
      </c>
      <c r="AR545" s="80"/>
      <c r="AS545" s="79">
        <f>ERP_2[[#This Row],[2026 Working Total to Budget/LE]]-ERP_2[[#This Row],[Giveback]]</f>
        <v>-1520.25</v>
      </c>
      <c r="AT545" s="81"/>
      <c r="AU545" s="375">
        <v>4052.17</v>
      </c>
      <c r="AV545" s="375">
        <v>3772.71</v>
      </c>
      <c r="AW545" s="375">
        <v>4113.25</v>
      </c>
      <c r="AX545" s="375">
        <v>4000</v>
      </c>
      <c r="AY545" s="375">
        <v>4000</v>
      </c>
      <c r="AZ545" s="375">
        <v>4000</v>
      </c>
      <c r="BA545" s="375">
        <v>4000</v>
      </c>
      <c r="BB545" s="375">
        <v>4000</v>
      </c>
      <c r="BC545" s="375">
        <v>4000</v>
      </c>
      <c r="BD545" s="375">
        <v>4000</v>
      </c>
      <c r="BE545" s="375">
        <v>4000</v>
      </c>
      <c r="BF545" s="375">
        <v>4000</v>
      </c>
      <c r="BG545" s="375">
        <v>47938.130000000005</v>
      </c>
      <c r="BH545" s="227">
        <v>4052.17</v>
      </c>
      <c r="BI545" s="227">
        <v>3772.71</v>
      </c>
      <c r="BJ545" s="227">
        <v>4113.25</v>
      </c>
      <c r="BK545" s="227">
        <v>4000</v>
      </c>
      <c r="BL545" s="227">
        <v>4000</v>
      </c>
      <c r="BM545" s="227">
        <v>4000</v>
      </c>
      <c r="BN545" s="227">
        <v>4000</v>
      </c>
      <c r="BO545" s="227">
        <v>4000</v>
      </c>
      <c r="BP545" s="227">
        <v>4000</v>
      </c>
      <c r="BQ545" s="227">
        <v>4000</v>
      </c>
      <c r="BR545" s="227">
        <v>4000</v>
      </c>
      <c r="BS545" s="227">
        <v>4000</v>
      </c>
      <c r="BT545" s="227">
        <v>47938.130000000005</v>
      </c>
    </row>
    <row r="546" spans="1:72" ht="15" customHeight="1">
      <c r="A546" s="215" t="s">
        <v>2275</v>
      </c>
      <c r="B546" s="215" t="s">
        <v>2944</v>
      </c>
      <c r="C546" s="215" t="s">
        <v>672</v>
      </c>
      <c r="D546" s="215" t="s">
        <v>2276</v>
      </c>
      <c r="E546" s="150" t="s">
        <v>1136</v>
      </c>
      <c r="F546" s="482" t="s">
        <v>1566</v>
      </c>
      <c r="G546" s="150" t="s">
        <v>1135</v>
      </c>
      <c r="H546" s="334" t="s">
        <v>1165</v>
      </c>
      <c r="I546" s="334" t="s">
        <v>1135</v>
      </c>
      <c r="J546" s="334" t="s">
        <v>1165</v>
      </c>
      <c r="K546" s="334" t="s">
        <v>1137</v>
      </c>
      <c r="L546" s="516" t="s">
        <v>639</v>
      </c>
      <c r="M546" s="398" t="s">
        <v>2274</v>
      </c>
      <c r="N546" s="343"/>
      <c r="O546" s="344"/>
      <c r="P546" s="219" t="s">
        <v>673</v>
      </c>
      <c r="Q546" s="349"/>
      <c r="R546" s="346" t="s">
        <v>1140</v>
      </c>
      <c r="S546" s="349"/>
      <c r="T546" s="334" t="s">
        <v>57</v>
      </c>
      <c r="U546" s="354"/>
      <c r="V546" s="403"/>
      <c r="W546" s="406">
        <v>11109.88</v>
      </c>
      <c r="X546" s="406">
        <v>9249.9</v>
      </c>
      <c r="Y546" s="425"/>
      <c r="Z546" s="71"/>
      <c r="AA546" s="408">
        <v>616.66</v>
      </c>
      <c r="AB546" s="412">
        <v>0</v>
      </c>
      <c r="AC546" s="410">
        <v>308.33</v>
      </c>
      <c r="AD546" s="428">
        <v>308.33</v>
      </c>
      <c r="AE546" s="429">
        <v>308.33</v>
      </c>
      <c r="AF546" s="429">
        <v>308.33</v>
      </c>
      <c r="AG546" s="369">
        <v>924.99</v>
      </c>
      <c r="AH546" s="369">
        <v>924.99</v>
      </c>
      <c r="AI546" s="369">
        <v>924.99</v>
      </c>
      <c r="AJ546" s="369">
        <v>924.99</v>
      </c>
      <c r="AK546" s="369">
        <v>924.99</v>
      </c>
      <c r="AL546" s="369">
        <v>924.99</v>
      </c>
      <c r="AM546" s="367">
        <f t="shared" si="29"/>
        <v>7399.9199999999992</v>
      </c>
      <c r="AN546" s="362">
        <f>ERP_2[[#This Row],[2026 Working Total]]-ERP_2[[#This Row],[LE2 Final Submission]]</f>
        <v>-1849.9800000000005</v>
      </c>
      <c r="AO546" s="227">
        <v>924.99</v>
      </c>
      <c r="AP546" s="227">
        <f t="shared" si="30"/>
        <v>-616.66000000000008</v>
      </c>
      <c r="AQ546" s="374">
        <f>SUM(ERP_2[[#This Row],[AP01]:[AP06]])-SUM(ERP_2[[#This Row],[AP01 LE2]:[AP06 LE2]])</f>
        <v>-1849.9800000000002</v>
      </c>
      <c r="AR546" s="80"/>
      <c r="AS546" s="79">
        <f>ERP_2[[#This Row],[2026 Working Total to Budget/LE]]-ERP_2[[#This Row],[Giveback]]</f>
        <v>-1849.9800000000005</v>
      </c>
      <c r="AT546" s="81"/>
      <c r="AU546" s="375">
        <v>616.66</v>
      </c>
      <c r="AV546" s="375">
        <v>0</v>
      </c>
      <c r="AW546" s="375">
        <v>308.33</v>
      </c>
      <c r="AX546" s="375">
        <v>924.99</v>
      </c>
      <c r="AY546" s="375">
        <v>924.99</v>
      </c>
      <c r="AZ546" s="375">
        <v>924.99</v>
      </c>
      <c r="BA546" s="375">
        <v>924.99</v>
      </c>
      <c r="BB546" s="375">
        <v>924.99</v>
      </c>
      <c r="BC546" s="375">
        <v>924.99</v>
      </c>
      <c r="BD546" s="375">
        <v>924.99</v>
      </c>
      <c r="BE546" s="375">
        <v>924.99</v>
      </c>
      <c r="BF546" s="375">
        <v>924.99</v>
      </c>
      <c r="BG546" s="375">
        <v>9249.9</v>
      </c>
      <c r="BH546" s="227">
        <v>616.66</v>
      </c>
      <c r="BI546" s="227">
        <v>0</v>
      </c>
      <c r="BJ546" s="227">
        <v>308.33</v>
      </c>
      <c r="BK546" s="227">
        <v>924.99</v>
      </c>
      <c r="BL546" s="227">
        <v>924.99</v>
      </c>
      <c r="BM546" s="227">
        <v>924.99</v>
      </c>
      <c r="BN546" s="227">
        <v>924.99</v>
      </c>
      <c r="BO546" s="227">
        <v>924.99</v>
      </c>
      <c r="BP546" s="227">
        <v>924.99</v>
      </c>
      <c r="BQ546" s="227">
        <v>924.99</v>
      </c>
      <c r="BR546" s="227">
        <v>924.99</v>
      </c>
      <c r="BS546" s="227">
        <v>924.99</v>
      </c>
      <c r="BT546" s="227">
        <v>9249.9</v>
      </c>
    </row>
    <row r="547" spans="1:72" ht="15" customHeight="1">
      <c r="A547" s="227" t="s">
        <v>2278</v>
      </c>
      <c r="B547" s="227" t="s">
        <v>2944</v>
      </c>
      <c r="C547" s="227" t="s">
        <v>674</v>
      </c>
      <c r="D547" s="330" t="s">
        <v>2279</v>
      </c>
      <c r="E547" s="150" t="s">
        <v>1136</v>
      </c>
      <c r="F547" s="482" t="s">
        <v>1566</v>
      </c>
      <c r="G547" s="150" t="s">
        <v>1135</v>
      </c>
      <c r="H547" s="334" t="s">
        <v>1135</v>
      </c>
      <c r="I547" s="336" t="s">
        <v>1135</v>
      </c>
      <c r="J547" s="336" t="s">
        <v>1137</v>
      </c>
      <c r="K547" s="339" t="s">
        <v>1135</v>
      </c>
      <c r="L547" s="518" t="s">
        <v>639</v>
      </c>
      <c r="M547" s="397"/>
      <c r="N547" s="333"/>
      <c r="O547" s="339"/>
      <c r="P547" s="237" t="s">
        <v>365</v>
      </c>
      <c r="Q547" s="351"/>
      <c r="R547" s="347"/>
      <c r="S547" s="353"/>
      <c r="T547" s="353"/>
      <c r="U547" s="525" t="s">
        <v>1141</v>
      </c>
      <c r="V547" s="402"/>
      <c r="W547" s="358"/>
      <c r="X547" s="379"/>
      <c r="Y547" s="425"/>
      <c r="Z547" s="71"/>
      <c r="AA547" s="413"/>
      <c r="AB547" s="414"/>
      <c r="AC547" s="414"/>
      <c r="AD547" s="429"/>
      <c r="AE547" s="429"/>
      <c r="AF547" s="429">
        <v>446.19</v>
      </c>
      <c r="AG547" s="371"/>
      <c r="AH547" s="371"/>
      <c r="AI547" s="371"/>
      <c r="AJ547" s="371"/>
      <c r="AK547" s="371"/>
      <c r="AL547" s="371"/>
      <c r="AM547" s="367">
        <f t="shared" si="29"/>
        <v>446.19</v>
      </c>
      <c r="AN547" s="362">
        <f>ERP_2[[#This Row],[2026 Working Total]]-ERP_2[[#This Row],[LE2 Final Submission]]</f>
        <v>446.19</v>
      </c>
      <c r="AO547" s="227"/>
      <c r="AP547" s="227">
        <f t="shared" si="30"/>
        <v>446.19</v>
      </c>
      <c r="AQ547" s="391">
        <f>SUM(ERP_2[[#This Row],[AP01]:[AP06]])-SUM(ERP_2[[#This Row],[AP01 LE2]:[AP06 LE2]])</f>
        <v>446.19</v>
      </c>
      <c r="AR547" s="80"/>
      <c r="AS547" s="79">
        <f>ERP_2[[#This Row],[2026 Working Total to Budget/LE]]-ERP_2[[#This Row],[Giveback]]</f>
        <v>446.19</v>
      </c>
      <c r="AT547" s="81"/>
      <c r="AU547" s="375"/>
      <c r="AV547" s="375"/>
      <c r="AW547" s="375"/>
      <c r="AX547" s="375"/>
      <c r="AY547" s="375"/>
      <c r="AZ547" s="375"/>
      <c r="BA547" s="375"/>
      <c r="BB547" s="375"/>
      <c r="BC547" s="375"/>
      <c r="BD547" s="375"/>
      <c r="BE547" s="375"/>
      <c r="BF547" s="375"/>
      <c r="BG547" s="375"/>
      <c r="BH547" s="227"/>
      <c r="BI547" s="227"/>
      <c r="BJ547" s="227"/>
      <c r="BK547" s="227"/>
      <c r="BL547" s="227"/>
      <c r="BM547" s="227"/>
      <c r="BN547" s="227"/>
      <c r="BO547" s="227"/>
      <c r="BP547" s="227"/>
      <c r="BQ547" s="227"/>
      <c r="BR547" s="227"/>
      <c r="BS547" s="227"/>
      <c r="BT547" s="227"/>
    </row>
    <row r="548" spans="1:72" ht="15" customHeight="1">
      <c r="A548" s="215" t="s">
        <v>2284</v>
      </c>
      <c r="B548" s="215" t="s">
        <v>2944</v>
      </c>
      <c r="C548" s="215" t="s">
        <v>675</v>
      </c>
      <c r="D548" s="215" t="s">
        <v>675</v>
      </c>
      <c r="E548" s="150" t="s">
        <v>1136</v>
      </c>
      <c r="F548" s="482" t="s">
        <v>1566</v>
      </c>
      <c r="G548" s="150" t="s">
        <v>1135</v>
      </c>
      <c r="H548" s="334" t="s">
        <v>1135</v>
      </c>
      <c r="I548" s="334" t="s">
        <v>1135</v>
      </c>
      <c r="J548" s="334" t="s">
        <v>1135</v>
      </c>
      <c r="K548" s="334" t="s">
        <v>1137</v>
      </c>
      <c r="L548" s="516" t="s">
        <v>639</v>
      </c>
      <c r="M548" s="398" t="s">
        <v>2285</v>
      </c>
      <c r="N548" s="343"/>
      <c r="O548" s="344"/>
      <c r="P548" s="219" t="s">
        <v>676</v>
      </c>
      <c r="Q548" s="349"/>
      <c r="R548" s="346" t="s">
        <v>1140</v>
      </c>
      <c r="S548" s="349"/>
      <c r="T548" s="334" t="s">
        <v>677</v>
      </c>
      <c r="U548" s="354"/>
      <c r="V548" s="403"/>
      <c r="W548" s="406">
        <v>6000</v>
      </c>
      <c r="X548" s="406">
        <v>10540</v>
      </c>
      <c r="Y548" s="425"/>
      <c r="Z548" s="71"/>
      <c r="AA548" s="408"/>
      <c r="AB548" s="410">
        <v>4313</v>
      </c>
      <c r="AC548" s="410">
        <v>227</v>
      </c>
      <c r="AD548" s="428">
        <v>0</v>
      </c>
      <c r="AE548" s="429">
        <v>1362</v>
      </c>
      <c r="AF548" s="429">
        <v>0</v>
      </c>
      <c r="AG548" s="368">
        <v>0</v>
      </c>
      <c r="AH548" s="369">
        <v>6000</v>
      </c>
      <c r="AI548" s="368">
        <v>0</v>
      </c>
      <c r="AJ548" s="368">
        <v>0</v>
      </c>
      <c r="AK548" s="368">
        <v>0</v>
      </c>
      <c r="AL548" s="368">
        <v>0</v>
      </c>
      <c r="AM548" s="367">
        <f t="shared" si="29"/>
        <v>11902</v>
      </c>
      <c r="AN548" s="362">
        <f>ERP_2[[#This Row],[2026 Working Total]]-ERP_2[[#This Row],[LE2 Final Submission]]</f>
        <v>1362</v>
      </c>
      <c r="AO548" s="227">
        <v>0</v>
      </c>
      <c r="AP548" s="227">
        <f t="shared" si="30"/>
        <v>0</v>
      </c>
      <c r="AQ548" s="374">
        <f>SUM(ERP_2[[#This Row],[AP01]:[AP06]])-SUM(ERP_2[[#This Row],[AP01 LE2]:[AP06 LE2]])</f>
        <v>1362</v>
      </c>
      <c r="AR548" s="80"/>
      <c r="AS548" s="79">
        <f>ERP_2[[#This Row],[2026 Working Total to Budget/LE]]-ERP_2[[#This Row],[Giveback]]</f>
        <v>1362</v>
      </c>
      <c r="AT548" s="81"/>
      <c r="AU548" s="375"/>
      <c r="AV548" s="375">
        <v>4313</v>
      </c>
      <c r="AW548" s="375">
        <v>227</v>
      </c>
      <c r="AX548" s="375">
        <v>0</v>
      </c>
      <c r="AY548" s="375">
        <v>0</v>
      </c>
      <c r="AZ548" s="375">
        <v>0</v>
      </c>
      <c r="BA548" s="375">
        <v>0</v>
      </c>
      <c r="BB548" s="375">
        <v>6000</v>
      </c>
      <c r="BC548" s="375">
        <v>0</v>
      </c>
      <c r="BD548" s="375">
        <v>0</v>
      </c>
      <c r="BE548" s="375">
        <v>0</v>
      </c>
      <c r="BF548" s="375">
        <v>0</v>
      </c>
      <c r="BG548" s="375">
        <v>10540</v>
      </c>
      <c r="BH548" s="227"/>
      <c r="BI548" s="227">
        <v>4313</v>
      </c>
      <c r="BJ548" s="227">
        <v>227</v>
      </c>
      <c r="BK548" s="227">
        <v>0</v>
      </c>
      <c r="BL548" s="227">
        <v>0</v>
      </c>
      <c r="BM548" s="227">
        <v>0</v>
      </c>
      <c r="BN548" s="227">
        <v>0</v>
      </c>
      <c r="BO548" s="227">
        <v>6000</v>
      </c>
      <c r="BP548" s="227">
        <v>0</v>
      </c>
      <c r="BQ548" s="227">
        <v>0</v>
      </c>
      <c r="BR548" s="227">
        <v>0</v>
      </c>
      <c r="BS548" s="227">
        <v>0</v>
      </c>
      <c r="BT548" s="227">
        <v>10540</v>
      </c>
    </row>
    <row r="549" spans="1:72" ht="15" customHeight="1">
      <c r="A549" s="215" t="s">
        <v>2290</v>
      </c>
      <c r="B549" s="215" t="s">
        <v>2944</v>
      </c>
      <c r="C549" s="215" t="s">
        <v>678</v>
      </c>
      <c r="D549" s="215" t="s">
        <v>678</v>
      </c>
      <c r="E549" s="150" t="s">
        <v>1136</v>
      </c>
      <c r="F549" s="482" t="s">
        <v>1566</v>
      </c>
      <c r="G549" s="150" t="s">
        <v>1135</v>
      </c>
      <c r="H549" s="334" t="s">
        <v>1135</v>
      </c>
      <c r="I549" s="334" t="s">
        <v>1135</v>
      </c>
      <c r="J549" s="334" t="s">
        <v>1135</v>
      </c>
      <c r="K549" s="334" t="s">
        <v>1137</v>
      </c>
      <c r="L549" s="516" t="s">
        <v>639</v>
      </c>
      <c r="M549" s="398" t="s">
        <v>2291</v>
      </c>
      <c r="N549" s="343"/>
      <c r="O549" s="344"/>
      <c r="P549" s="219" t="s">
        <v>679</v>
      </c>
      <c r="Q549" s="349" t="s">
        <v>1153</v>
      </c>
      <c r="R549" s="346" t="s">
        <v>1140</v>
      </c>
      <c r="S549" s="349"/>
      <c r="T549" s="334" t="s">
        <v>680</v>
      </c>
      <c r="U549" s="354"/>
      <c r="V549" s="403"/>
      <c r="W549" s="406">
        <v>180000</v>
      </c>
      <c r="X549" s="406">
        <v>164308</v>
      </c>
      <c r="Y549" s="425"/>
      <c r="Z549" s="71"/>
      <c r="AA549" s="408">
        <v>8189</v>
      </c>
      <c r="AB549" s="410">
        <v>13361</v>
      </c>
      <c r="AC549" s="410">
        <v>7758</v>
      </c>
      <c r="AD549" s="428">
        <v>16378</v>
      </c>
      <c r="AE549" s="429">
        <v>11637</v>
      </c>
      <c r="AF549" s="429">
        <v>10775</v>
      </c>
      <c r="AG549" s="369">
        <v>15500</v>
      </c>
      <c r="AH549" s="369">
        <v>15500</v>
      </c>
      <c r="AI549" s="369">
        <v>15500</v>
      </c>
      <c r="AJ549" s="369">
        <v>15485</v>
      </c>
      <c r="AK549" s="369">
        <v>15000</v>
      </c>
      <c r="AL549" s="369">
        <v>15000</v>
      </c>
      <c r="AM549" s="367">
        <f t="shared" si="29"/>
        <v>160083</v>
      </c>
      <c r="AN549" s="362">
        <f>ERP_2[[#This Row],[2026 Working Total]]-ERP_2[[#This Row],[LE2 Final Submission]]</f>
        <v>-4225</v>
      </c>
      <c r="AO549" s="227">
        <v>15000</v>
      </c>
      <c r="AP549" s="227">
        <f t="shared" si="30"/>
        <v>-4225</v>
      </c>
      <c r="AQ549" s="374">
        <f>SUM(ERP_2[[#This Row],[AP01]:[AP06]])-SUM(ERP_2[[#This Row],[AP01 LE2]:[AP06 LE2]])</f>
        <v>-6210</v>
      </c>
      <c r="AR549" s="80"/>
      <c r="AS549" s="79">
        <f>ERP_2[[#This Row],[2026 Working Total to Budget/LE]]-ERP_2[[#This Row],[Giveback]]</f>
        <v>-4225</v>
      </c>
      <c r="AT549" s="81"/>
      <c r="AU549" s="375">
        <v>8189</v>
      </c>
      <c r="AV549" s="375">
        <v>13361</v>
      </c>
      <c r="AW549" s="375">
        <v>7758</v>
      </c>
      <c r="AX549" s="375">
        <v>15000</v>
      </c>
      <c r="AY549" s="375">
        <v>15000</v>
      </c>
      <c r="AZ549" s="375">
        <v>15000</v>
      </c>
      <c r="BA549" s="375">
        <v>15000</v>
      </c>
      <c r="BB549" s="375">
        <v>15000</v>
      </c>
      <c r="BC549" s="375">
        <v>15000</v>
      </c>
      <c r="BD549" s="375">
        <v>15000</v>
      </c>
      <c r="BE549" s="375">
        <v>15000</v>
      </c>
      <c r="BF549" s="375">
        <v>15000</v>
      </c>
      <c r="BG549" s="375">
        <v>164308</v>
      </c>
      <c r="BH549" s="227">
        <v>8189</v>
      </c>
      <c r="BI549" s="227">
        <v>13361</v>
      </c>
      <c r="BJ549" s="227">
        <v>7758</v>
      </c>
      <c r="BK549" s="227">
        <v>15000</v>
      </c>
      <c r="BL549" s="227">
        <v>15000</v>
      </c>
      <c r="BM549" s="227">
        <v>15000</v>
      </c>
      <c r="BN549" s="227">
        <v>15000</v>
      </c>
      <c r="BO549" s="227">
        <v>15000</v>
      </c>
      <c r="BP549" s="227">
        <v>15000</v>
      </c>
      <c r="BQ549" s="227">
        <v>15000</v>
      </c>
      <c r="BR549" s="227">
        <v>15000</v>
      </c>
      <c r="BS549" s="227">
        <v>15000</v>
      </c>
      <c r="BT549" s="227">
        <v>164308</v>
      </c>
    </row>
    <row r="550" spans="1:72" ht="15" customHeight="1">
      <c r="A550" s="215" t="s">
        <v>2470</v>
      </c>
      <c r="B550" s="215" t="s">
        <v>2944</v>
      </c>
      <c r="C550" s="215" t="s">
        <v>816</v>
      </c>
      <c r="D550" s="215" t="s">
        <v>816</v>
      </c>
      <c r="E550" s="150" t="s">
        <v>1136</v>
      </c>
      <c r="F550" s="482" t="s">
        <v>1566</v>
      </c>
      <c r="G550" s="150" t="s">
        <v>1135</v>
      </c>
      <c r="H550" s="334" t="s">
        <v>1135</v>
      </c>
      <c r="I550" s="334" t="s">
        <v>1135</v>
      </c>
      <c r="J550" s="334" t="s">
        <v>1135</v>
      </c>
      <c r="K550" s="334" t="s">
        <v>1137</v>
      </c>
      <c r="L550" s="516" t="s">
        <v>639</v>
      </c>
      <c r="M550" s="398" t="s">
        <v>818</v>
      </c>
      <c r="N550" s="343"/>
      <c r="O550" s="344"/>
      <c r="P550" s="219" t="s">
        <v>817</v>
      </c>
      <c r="Q550" s="349"/>
      <c r="R550" s="346" t="s">
        <v>1140</v>
      </c>
      <c r="S550" s="349"/>
      <c r="T550" s="334" t="s">
        <v>818</v>
      </c>
      <c r="U550" s="354"/>
      <c r="V550" s="403"/>
      <c r="W550" s="406">
        <v>124504</v>
      </c>
      <c r="X550" s="406">
        <v>146423.48000000001</v>
      </c>
      <c r="Y550" s="425"/>
      <c r="Z550" s="71"/>
      <c r="AA550" s="408"/>
      <c r="AB550" s="410"/>
      <c r="AC550" s="410">
        <v>61919.48</v>
      </c>
      <c r="AD550" s="428">
        <v>0</v>
      </c>
      <c r="AE550" s="429">
        <v>0</v>
      </c>
      <c r="AF550" s="429">
        <v>45968.679999999993</v>
      </c>
      <c r="AG550" s="368">
        <v>0</v>
      </c>
      <c r="AH550" s="368">
        <v>0</v>
      </c>
      <c r="AI550" s="369">
        <v>40000</v>
      </c>
      <c r="AJ550" s="368">
        <v>0</v>
      </c>
      <c r="AK550" s="369">
        <v>4504</v>
      </c>
      <c r="AL550" s="368">
        <v>0</v>
      </c>
      <c r="AM550" s="367">
        <f t="shared" si="29"/>
        <v>152392.16</v>
      </c>
      <c r="AN550" s="362">
        <f>ERP_2[[#This Row],[2026 Working Total]]-ERP_2[[#This Row],[LE2 Final Submission]]</f>
        <v>5968.679999999993</v>
      </c>
      <c r="AO550" s="227">
        <v>0</v>
      </c>
      <c r="AP550" s="227">
        <f t="shared" si="30"/>
        <v>45968.679999999993</v>
      </c>
      <c r="AQ550" s="374">
        <f>SUM(ERP_2[[#This Row],[AP01]:[AP06]])-SUM(ERP_2[[#This Row],[AP01 LE2]:[AP06 LE2]])</f>
        <v>5968.679999999993</v>
      </c>
      <c r="AR550" s="80"/>
      <c r="AS550" s="79">
        <f>ERP_2[[#This Row],[2026 Working Total to Budget/LE]]-ERP_2[[#This Row],[Giveback]]</f>
        <v>5968.679999999993</v>
      </c>
      <c r="AT550" s="81"/>
      <c r="AU550" s="375"/>
      <c r="AV550" s="375"/>
      <c r="AW550" s="375">
        <v>61919.48</v>
      </c>
      <c r="AX550" s="375">
        <v>0</v>
      </c>
      <c r="AY550" s="375">
        <v>0</v>
      </c>
      <c r="AZ550" s="375">
        <v>40000</v>
      </c>
      <c r="BA550" s="375">
        <v>0</v>
      </c>
      <c r="BB550" s="375">
        <v>0</v>
      </c>
      <c r="BC550" s="375">
        <v>40000</v>
      </c>
      <c r="BD550" s="375">
        <v>0</v>
      </c>
      <c r="BE550" s="375">
        <v>4504</v>
      </c>
      <c r="BF550" s="375">
        <v>0</v>
      </c>
      <c r="BG550" s="375">
        <v>146423.48000000001</v>
      </c>
      <c r="BH550" s="227"/>
      <c r="BI550" s="227"/>
      <c r="BJ550" s="227">
        <v>61919.48</v>
      </c>
      <c r="BK550" s="227">
        <v>0</v>
      </c>
      <c r="BL550" s="227">
        <v>0</v>
      </c>
      <c r="BM550" s="227">
        <v>40000</v>
      </c>
      <c r="BN550" s="227">
        <v>0</v>
      </c>
      <c r="BO550" s="227">
        <v>0</v>
      </c>
      <c r="BP550" s="227">
        <v>40000</v>
      </c>
      <c r="BQ550" s="227">
        <v>0</v>
      </c>
      <c r="BR550" s="227">
        <v>4504</v>
      </c>
      <c r="BS550" s="227">
        <v>0</v>
      </c>
      <c r="BT550" s="227">
        <v>146423.48000000001</v>
      </c>
    </row>
    <row r="551" spans="1:72" ht="15" customHeight="1">
      <c r="A551" s="215" t="s">
        <v>2522</v>
      </c>
      <c r="B551" s="215" t="s">
        <v>2944</v>
      </c>
      <c r="C551" s="215" t="s">
        <v>850</v>
      </c>
      <c r="D551" s="215" t="s">
        <v>850</v>
      </c>
      <c r="E551" s="150" t="s">
        <v>1136</v>
      </c>
      <c r="F551" s="482" t="s">
        <v>1566</v>
      </c>
      <c r="G551" s="150" t="s">
        <v>1135</v>
      </c>
      <c r="H551" s="334" t="s">
        <v>1135</v>
      </c>
      <c r="I551" s="334" t="s">
        <v>1135</v>
      </c>
      <c r="J551" s="334" t="s">
        <v>1135</v>
      </c>
      <c r="K551" s="334" t="s">
        <v>1137</v>
      </c>
      <c r="L551" s="516" t="s">
        <v>639</v>
      </c>
      <c r="M551" s="398" t="s">
        <v>2523</v>
      </c>
      <c r="N551" s="343"/>
      <c r="O551" s="344"/>
      <c r="P551" s="219" t="s">
        <v>851</v>
      </c>
      <c r="Q551" s="349" t="s">
        <v>1153</v>
      </c>
      <c r="R551" s="343"/>
      <c r="S551" s="349"/>
      <c r="T551" s="334" t="s">
        <v>64</v>
      </c>
      <c r="U551" s="354"/>
      <c r="V551" s="403"/>
      <c r="W551" s="406">
        <v>1527544</v>
      </c>
      <c r="X551" s="406">
        <v>1513628.4099999997</v>
      </c>
      <c r="Y551" s="425"/>
      <c r="Z551" s="71"/>
      <c r="AA551" s="408"/>
      <c r="AB551" s="410"/>
      <c r="AC551" s="410">
        <v>367969.99</v>
      </c>
      <c r="AD551" s="428">
        <v>0</v>
      </c>
      <c r="AE551" s="429">
        <v>254590.76</v>
      </c>
      <c r="AF551" s="429">
        <v>127295.38</v>
      </c>
      <c r="AG551" s="369">
        <v>127295.38</v>
      </c>
      <c r="AH551" s="369">
        <v>127295.38</v>
      </c>
      <c r="AI551" s="369">
        <v>127295.38</v>
      </c>
      <c r="AJ551" s="369">
        <v>127295.38</v>
      </c>
      <c r="AK551" s="369">
        <v>127295.38</v>
      </c>
      <c r="AL551" s="369">
        <v>127295.38</v>
      </c>
      <c r="AM551" s="367">
        <f t="shared" si="29"/>
        <v>1513628.4099999997</v>
      </c>
      <c r="AN551" s="362">
        <f>ERP_2[[#This Row],[2026 Working Total]]-ERP_2[[#This Row],[LE2 Final Submission]]</f>
        <v>0</v>
      </c>
      <c r="AO551" s="227">
        <v>127295.38</v>
      </c>
      <c r="AP551" s="227">
        <f t="shared" si="30"/>
        <v>0</v>
      </c>
      <c r="AQ551" s="374">
        <f>SUM(ERP_2[[#This Row],[AP01]:[AP06]])-SUM(ERP_2[[#This Row],[AP01 LE2]:[AP06 LE2]])</f>
        <v>0</v>
      </c>
      <c r="AR551" s="80"/>
      <c r="AS551" s="79">
        <f>ERP_2[[#This Row],[2026 Working Total to Budget/LE]]-ERP_2[[#This Row],[Giveback]]</f>
        <v>0</v>
      </c>
      <c r="AT551" s="81"/>
      <c r="AU551" s="375"/>
      <c r="AV551" s="375"/>
      <c r="AW551" s="375">
        <v>367969.99</v>
      </c>
      <c r="AX551" s="375">
        <v>127295.38</v>
      </c>
      <c r="AY551" s="375">
        <v>127295.38</v>
      </c>
      <c r="AZ551" s="375">
        <v>127295.38</v>
      </c>
      <c r="BA551" s="375">
        <v>127295.38</v>
      </c>
      <c r="BB551" s="375">
        <v>127295.38</v>
      </c>
      <c r="BC551" s="375">
        <v>127295.38</v>
      </c>
      <c r="BD551" s="375">
        <v>127295.38</v>
      </c>
      <c r="BE551" s="375">
        <v>127295.38</v>
      </c>
      <c r="BF551" s="375">
        <v>127295.38</v>
      </c>
      <c r="BG551" s="375">
        <v>1513628.4099999997</v>
      </c>
      <c r="BH551" s="227"/>
      <c r="BI551" s="227"/>
      <c r="BJ551" s="227">
        <v>367969.99</v>
      </c>
      <c r="BK551" s="227">
        <v>127295.38</v>
      </c>
      <c r="BL551" s="227">
        <v>127295.38</v>
      </c>
      <c r="BM551" s="227">
        <v>127295.38</v>
      </c>
      <c r="BN551" s="227">
        <v>127295.38</v>
      </c>
      <c r="BO551" s="227">
        <v>127295.38</v>
      </c>
      <c r="BP551" s="227">
        <v>127295.38</v>
      </c>
      <c r="BQ551" s="227">
        <v>127295.38</v>
      </c>
      <c r="BR551" s="227">
        <v>127295.38</v>
      </c>
      <c r="BS551" s="227">
        <v>127295.38</v>
      </c>
      <c r="BT551" s="227">
        <v>1513628.4099999997</v>
      </c>
    </row>
    <row r="552" spans="1:72" ht="15" customHeight="1">
      <c r="A552" s="215" t="s">
        <v>2526</v>
      </c>
      <c r="B552" s="215" t="s">
        <v>2944</v>
      </c>
      <c r="C552" s="215" t="s">
        <v>852</v>
      </c>
      <c r="D552" s="215" t="s">
        <v>852</v>
      </c>
      <c r="E552" s="150" t="s">
        <v>1136</v>
      </c>
      <c r="F552" s="482" t="s">
        <v>1566</v>
      </c>
      <c r="G552" s="150" t="s">
        <v>1135</v>
      </c>
      <c r="H552" s="334" t="s">
        <v>1135</v>
      </c>
      <c r="I552" s="334" t="s">
        <v>1135</v>
      </c>
      <c r="J552" s="334" t="s">
        <v>1135</v>
      </c>
      <c r="K552" s="334" t="s">
        <v>1137</v>
      </c>
      <c r="L552" s="516" t="s">
        <v>639</v>
      </c>
      <c r="M552" s="398" t="s">
        <v>1947</v>
      </c>
      <c r="N552" s="343"/>
      <c r="O552" s="344"/>
      <c r="P552" s="219" t="s">
        <v>486</v>
      </c>
      <c r="Q552" s="349" t="s">
        <v>1153</v>
      </c>
      <c r="R552" s="343"/>
      <c r="S552" s="349"/>
      <c r="T552" s="334" t="s">
        <v>487</v>
      </c>
      <c r="U552" s="354"/>
      <c r="V552" s="403"/>
      <c r="W552" s="406">
        <v>-937488</v>
      </c>
      <c r="X552" s="406">
        <v>-925916</v>
      </c>
      <c r="Y552" s="425"/>
      <c r="Z552" s="71"/>
      <c r="AA552" s="408"/>
      <c r="AB552" s="410"/>
      <c r="AC552" s="410">
        <v>-222800</v>
      </c>
      <c r="AD552" s="428">
        <v>0</v>
      </c>
      <c r="AE552" s="429">
        <v>-128741.87</v>
      </c>
      <c r="AF552" s="429">
        <v>-52011.25</v>
      </c>
      <c r="AG552" s="369">
        <v>-78124</v>
      </c>
      <c r="AH552" s="369">
        <v>-78124</v>
      </c>
      <c r="AI552" s="369">
        <v>-78124</v>
      </c>
      <c r="AJ552" s="369">
        <v>-78124</v>
      </c>
      <c r="AK552" s="369">
        <v>-78124</v>
      </c>
      <c r="AL552" s="369">
        <v>-78124</v>
      </c>
      <c r="AM552" s="367">
        <f t="shared" si="29"/>
        <v>-872297.12</v>
      </c>
      <c r="AN552" s="362">
        <f>ERP_2[[#This Row],[2026 Working Total]]-ERP_2[[#This Row],[LE2 Final Submission]]</f>
        <v>53618.880000000005</v>
      </c>
      <c r="AO552" s="227">
        <v>-78124</v>
      </c>
      <c r="AP552" s="227">
        <f t="shared" si="30"/>
        <v>26112.75</v>
      </c>
      <c r="AQ552" s="374">
        <f>SUM(ERP_2[[#This Row],[AP01]:[AP06]])-SUM(ERP_2[[#This Row],[AP01 LE2]:[AP06 LE2]])</f>
        <v>53618.880000000005</v>
      </c>
      <c r="AR552" s="80"/>
      <c r="AS552" s="79">
        <f>ERP_2[[#This Row],[2026 Working Total to Budget/LE]]-ERP_2[[#This Row],[Giveback]]</f>
        <v>53618.880000000005</v>
      </c>
      <c r="AT552" s="81"/>
      <c r="AU552" s="375"/>
      <c r="AV552" s="375"/>
      <c r="AW552" s="375">
        <v>-222800</v>
      </c>
      <c r="AX552" s="375">
        <v>-78124</v>
      </c>
      <c r="AY552" s="375">
        <v>-78124</v>
      </c>
      <c r="AZ552" s="375">
        <v>-78124</v>
      </c>
      <c r="BA552" s="375">
        <v>-78124</v>
      </c>
      <c r="BB552" s="375">
        <v>-78124</v>
      </c>
      <c r="BC552" s="375">
        <v>-78124</v>
      </c>
      <c r="BD552" s="375">
        <v>-78124</v>
      </c>
      <c r="BE552" s="375">
        <v>-78124</v>
      </c>
      <c r="BF552" s="375">
        <v>-78124</v>
      </c>
      <c r="BG552" s="375">
        <v>-925916</v>
      </c>
      <c r="BH552" s="227"/>
      <c r="BI552" s="227"/>
      <c r="BJ552" s="227">
        <v>-222800</v>
      </c>
      <c r="BK552" s="227">
        <v>-78124</v>
      </c>
      <c r="BL552" s="227">
        <v>-78124</v>
      </c>
      <c r="BM552" s="227">
        <v>-78124</v>
      </c>
      <c r="BN552" s="227">
        <v>-78124</v>
      </c>
      <c r="BO552" s="227">
        <v>-78124</v>
      </c>
      <c r="BP552" s="227">
        <v>-78124</v>
      </c>
      <c r="BQ552" s="227">
        <v>-78124</v>
      </c>
      <c r="BR552" s="227">
        <v>-78124</v>
      </c>
      <c r="BS552" s="227">
        <v>-78124</v>
      </c>
      <c r="BT552" s="227">
        <v>-925916</v>
      </c>
    </row>
    <row r="553" spans="1:72" ht="15" customHeight="1">
      <c r="A553" s="215" t="s">
        <v>2594</v>
      </c>
      <c r="B553" s="215" t="s">
        <v>2944</v>
      </c>
      <c r="C553" s="215" t="s">
        <v>899</v>
      </c>
      <c r="D553" s="215" t="s">
        <v>899</v>
      </c>
      <c r="E553" s="150" t="s">
        <v>1136</v>
      </c>
      <c r="F553" s="482" t="s">
        <v>1566</v>
      </c>
      <c r="G553" s="150" t="s">
        <v>1135</v>
      </c>
      <c r="H553" s="334" t="s">
        <v>1135</v>
      </c>
      <c r="I553" s="334" t="s">
        <v>1135</v>
      </c>
      <c r="J553" s="334" t="s">
        <v>1135</v>
      </c>
      <c r="K553" s="334" t="s">
        <v>1137</v>
      </c>
      <c r="L553" s="516" t="s">
        <v>639</v>
      </c>
      <c r="M553" s="398" t="s">
        <v>1327</v>
      </c>
      <c r="N553" s="343"/>
      <c r="O553" s="344"/>
      <c r="P553" s="219" t="s">
        <v>147</v>
      </c>
      <c r="Q553" s="349"/>
      <c r="R553" s="343"/>
      <c r="S553" s="349"/>
      <c r="T553" s="334" t="s">
        <v>25</v>
      </c>
      <c r="U553" s="354"/>
      <c r="V553" s="403"/>
      <c r="W553" s="406">
        <v>0</v>
      </c>
      <c r="X553" s="406">
        <v>0.3</v>
      </c>
      <c r="Y553" s="425"/>
      <c r="Z553" s="71"/>
      <c r="AA553" s="408">
        <v>0.32</v>
      </c>
      <c r="AB553" s="410">
        <v>-0.45</v>
      </c>
      <c r="AC553" s="410">
        <v>0.43</v>
      </c>
      <c r="AD553" s="428">
        <v>-0.34</v>
      </c>
      <c r="AE553" s="429">
        <v>30694.750000000004</v>
      </c>
      <c r="AF553" s="429">
        <v>0.96</v>
      </c>
      <c r="AG553" s="368">
        <v>0</v>
      </c>
      <c r="AH553" s="368">
        <v>0</v>
      </c>
      <c r="AI553" s="368">
        <v>0</v>
      </c>
      <c r="AJ553" s="368">
        <v>0</v>
      </c>
      <c r="AK553" s="368">
        <v>0</v>
      </c>
      <c r="AL553" s="368">
        <v>0</v>
      </c>
      <c r="AM553" s="367">
        <f t="shared" si="29"/>
        <v>30695.670000000002</v>
      </c>
      <c r="AN553" s="362">
        <f>ERP_2[[#This Row],[2026 Working Total]]-ERP_2[[#This Row],[LE2 Final Submission]]</f>
        <v>30695.370000000003</v>
      </c>
      <c r="AO553" s="227">
        <v>0</v>
      </c>
      <c r="AP553" s="227">
        <f t="shared" si="30"/>
        <v>0.96</v>
      </c>
      <c r="AQ553" s="374">
        <f>SUM(ERP_2[[#This Row],[AP01]:[AP06]])-SUM(ERP_2[[#This Row],[AP01 LE2]:[AP06 LE2]])</f>
        <v>30695.370000000003</v>
      </c>
      <c r="AR553" s="80"/>
      <c r="AS553" s="79">
        <f>ERP_2[[#This Row],[2026 Working Total to Budget/LE]]-ERP_2[[#This Row],[Giveback]]</f>
        <v>30695.370000000003</v>
      </c>
      <c r="AT553" s="81"/>
      <c r="AU553" s="375">
        <v>0.32</v>
      </c>
      <c r="AV553" s="375">
        <v>-0.45</v>
      </c>
      <c r="AW553" s="375">
        <v>0.43</v>
      </c>
      <c r="AX553" s="375">
        <v>0</v>
      </c>
      <c r="AY553" s="375">
        <v>0</v>
      </c>
      <c r="AZ553" s="375">
        <v>0</v>
      </c>
      <c r="BA553" s="375">
        <v>0</v>
      </c>
      <c r="BB553" s="375">
        <v>0</v>
      </c>
      <c r="BC553" s="375">
        <v>0</v>
      </c>
      <c r="BD553" s="375">
        <v>0</v>
      </c>
      <c r="BE553" s="375">
        <v>0</v>
      </c>
      <c r="BF553" s="375">
        <v>0</v>
      </c>
      <c r="BG553" s="375">
        <v>0.3</v>
      </c>
      <c r="BH553" s="227">
        <v>0.32</v>
      </c>
      <c r="BI553" s="227">
        <v>-0.45</v>
      </c>
      <c r="BJ553" s="227">
        <v>0.43</v>
      </c>
      <c r="BK553" s="227">
        <v>0</v>
      </c>
      <c r="BL553" s="227">
        <v>0</v>
      </c>
      <c r="BM553" s="227">
        <v>0</v>
      </c>
      <c r="BN553" s="227">
        <v>0</v>
      </c>
      <c r="BO553" s="227">
        <v>0</v>
      </c>
      <c r="BP553" s="227">
        <v>0</v>
      </c>
      <c r="BQ553" s="227">
        <v>0</v>
      </c>
      <c r="BR553" s="227">
        <v>0</v>
      </c>
      <c r="BS553" s="227">
        <v>0</v>
      </c>
      <c r="BT553" s="227">
        <v>0.3</v>
      </c>
    </row>
    <row r="554" spans="1:72" ht="15" customHeight="1">
      <c r="A554" s="215" t="s">
        <v>2906</v>
      </c>
      <c r="B554" s="215" t="s">
        <v>2944</v>
      </c>
      <c r="C554" s="215" t="s">
        <v>28</v>
      </c>
      <c r="D554" s="215" t="s">
        <v>2907</v>
      </c>
      <c r="E554" s="150" t="s">
        <v>1136</v>
      </c>
      <c r="F554" s="482" t="s">
        <v>1566</v>
      </c>
      <c r="G554" s="150" t="s">
        <v>1135</v>
      </c>
      <c r="H554" s="334" t="s">
        <v>1135</v>
      </c>
      <c r="I554" s="334" t="s">
        <v>1135</v>
      </c>
      <c r="J554" s="334" t="s">
        <v>1137</v>
      </c>
      <c r="K554" s="334" t="s">
        <v>1137</v>
      </c>
      <c r="L554" s="516" t="s">
        <v>22</v>
      </c>
      <c r="M554" s="398" t="s">
        <v>2872</v>
      </c>
      <c r="N554" s="343"/>
      <c r="O554" s="344"/>
      <c r="P554" s="219" t="s">
        <v>29</v>
      </c>
      <c r="Q554" s="349" t="s">
        <v>1139</v>
      </c>
      <c r="R554" s="346" t="s">
        <v>1140</v>
      </c>
      <c r="S554" s="349"/>
      <c r="T554" s="334" t="s">
        <v>25</v>
      </c>
      <c r="U554" s="525" t="s">
        <v>1141</v>
      </c>
      <c r="V554" s="403"/>
      <c r="W554" s="406">
        <v>9831851.3300000001</v>
      </c>
      <c r="X554" s="406">
        <v>15406112.624272117</v>
      </c>
      <c r="Y554" s="425"/>
      <c r="Z554" s="71"/>
      <c r="AA554" s="408">
        <v>1402914.3999999987</v>
      </c>
      <c r="AB554" s="410">
        <v>1397677.6399999992</v>
      </c>
      <c r="AC554" s="410">
        <v>1375284.8299999998</v>
      </c>
      <c r="AD554" s="428">
        <v>1433399.4699999997</v>
      </c>
      <c r="AE554" s="429">
        <v>1510809.23</v>
      </c>
      <c r="AF554" s="429">
        <v>372672.31999999989</v>
      </c>
      <c r="AG554" s="369">
        <v>1208851.7277970032</v>
      </c>
      <c r="AH554" s="369">
        <v>1221091.4455470033</v>
      </c>
      <c r="AI554" s="369">
        <v>1194419.2817703367</v>
      </c>
      <c r="AJ554" s="369">
        <v>1239489.2742341459</v>
      </c>
      <c r="AK554" s="369">
        <v>1239489.2742341459</v>
      </c>
      <c r="AL554" s="369">
        <v>1254635.0692481461</v>
      </c>
      <c r="AM554" s="367">
        <f t="shared" si="29"/>
        <v>14850733.96283078</v>
      </c>
      <c r="AN554" s="362">
        <f>ERP_2[[#This Row],[2026 Working Total]]-ERP_2[[#This Row],[LE2 Final Submission]]</f>
        <v>-555378.66144133732</v>
      </c>
      <c r="AO554" s="227">
        <v>1250571.8632276698</v>
      </c>
      <c r="AP554" s="227">
        <f t="shared" si="30"/>
        <v>-877899.54322767002</v>
      </c>
      <c r="AQ554" s="374">
        <f>SUM(ERP_2[[#This Row],[AP01]:[AP06]])-SUM(ERP_2[[#This Row],[AP01 LE2]:[AP06 LE2]])</f>
        <v>-555378.66144133732</v>
      </c>
      <c r="AR554" s="80"/>
      <c r="AS554" s="79">
        <f>ERP_2[[#This Row],[2026 Working Total to Budget/LE]]-ERP_2[[#This Row],[Giveback]]</f>
        <v>-555378.66144133732</v>
      </c>
      <c r="AT554" s="81"/>
      <c r="AU554" s="375">
        <v>1402914.3999999987</v>
      </c>
      <c r="AV554" s="375">
        <v>1397677.6399999992</v>
      </c>
      <c r="AW554" s="375">
        <v>1375284.8299999998</v>
      </c>
      <c r="AX554" s="375">
        <v>1386261.7499999984</v>
      </c>
      <c r="AY554" s="375">
        <v>1250571.8632276698</v>
      </c>
      <c r="AZ554" s="375">
        <v>1235426.0682136698</v>
      </c>
      <c r="BA554" s="375">
        <v>1208851.7277970032</v>
      </c>
      <c r="BB554" s="375">
        <v>1221091.4455470033</v>
      </c>
      <c r="BC554" s="375">
        <v>1194419.2817703367</v>
      </c>
      <c r="BD554" s="375">
        <v>1239489.2742341459</v>
      </c>
      <c r="BE554" s="375">
        <v>1239489.2742341459</v>
      </c>
      <c r="BF554" s="375">
        <v>1254635.0692481461</v>
      </c>
      <c r="BG554" s="375">
        <v>15406112.624272117</v>
      </c>
      <c r="BH554" s="227">
        <v>270417.52</v>
      </c>
      <c r="BI554" s="227">
        <v>276999.43</v>
      </c>
      <c r="BJ554" s="227">
        <v>232520.6</v>
      </c>
      <c r="BK554" s="227">
        <v>809656.43</v>
      </c>
      <c r="BL554" s="227">
        <v>809656.43</v>
      </c>
      <c r="BM554" s="227">
        <v>809656.43</v>
      </c>
      <c r="BN554" s="227">
        <v>829249.26</v>
      </c>
      <c r="BO554" s="227">
        <v>829249.26</v>
      </c>
      <c r="BP554" s="227">
        <v>854062.66</v>
      </c>
      <c r="BQ554" s="227">
        <v>854062.66</v>
      </c>
      <c r="BR554" s="227">
        <v>854062.66</v>
      </c>
      <c r="BS554" s="227">
        <v>854062.66</v>
      </c>
      <c r="BT554" s="227">
        <v>8283656.0000000009</v>
      </c>
    </row>
    <row r="555" spans="1:72" ht="15" customHeight="1">
      <c r="A555" s="334" t="s">
        <v>1444</v>
      </c>
      <c r="B555" s="334" t="s">
        <v>2944</v>
      </c>
      <c r="C555" s="537" t="s">
        <v>202</v>
      </c>
      <c r="D555" s="330" t="s">
        <v>202</v>
      </c>
      <c r="E555" s="150" t="s">
        <v>1136</v>
      </c>
      <c r="F555" s="482" t="s">
        <v>1566</v>
      </c>
      <c r="G555" s="150" t="s">
        <v>1345</v>
      </c>
      <c r="H555" s="334" t="s">
        <v>1345</v>
      </c>
      <c r="I555" s="336" t="s">
        <v>1345</v>
      </c>
      <c r="J555" s="336" t="s">
        <v>1345</v>
      </c>
      <c r="K555" s="339" t="s">
        <v>1345</v>
      </c>
      <c r="L555" s="518" t="s">
        <v>49</v>
      </c>
      <c r="M555" s="397" t="s">
        <v>1327</v>
      </c>
      <c r="N555" s="333"/>
      <c r="O555" s="336" t="s">
        <v>1441</v>
      </c>
      <c r="P555" s="237" t="s">
        <v>147</v>
      </c>
      <c r="Q555" s="351"/>
      <c r="R555" s="347"/>
      <c r="S555" s="353"/>
      <c r="T555" s="353"/>
      <c r="U555" s="452"/>
      <c r="V555" s="402"/>
      <c r="W555" s="406"/>
      <c r="X555" s="406"/>
      <c r="Y555" s="425"/>
      <c r="Z555" s="71"/>
      <c r="AA555" s="413"/>
      <c r="AB555" s="414"/>
      <c r="AC555" s="414"/>
      <c r="AD555" s="429"/>
      <c r="AE555" s="429">
        <v>0</v>
      </c>
      <c r="AF555" s="429">
        <v>0</v>
      </c>
      <c r="AG555" s="371"/>
      <c r="AH555" s="371"/>
      <c r="AI555" s="371"/>
      <c r="AJ555" s="371"/>
      <c r="AK555" s="371"/>
      <c r="AL555" s="371"/>
      <c r="AM555" s="367">
        <f t="shared" si="29"/>
        <v>0</v>
      </c>
      <c r="AN555" s="362">
        <f>ERP_2[[#This Row],[2026 Working Total]]-ERP_2[[#This Row],[LE2 Final Submission]]</f>
        <v>0</v>
      </c>
      <c r="AO555" s="227"/>
      <c r="AP555" s="227">
        <f t="shared" si="30"/>
        <v>0</v>
      </c>
      <c r="AQ555" s="374">
        <f>SUM(ERP_2[[#This Row],[AP01]:[AP06]])-SUM(ERP_2[[#This Row],[AP01 LE2]:[AP06 LE2]])</f>
        <v>0</v>
      </c>
      <c r="AR555" s="80"/>
      <c r="AS555" s="79">
        <f>ERP_2[[#This Row],[2026 Working Total to Budget/LE]]-ERP_2[[#This Row],[Giveback]]</f>
        <v>0</v>
      </c>
      <c r="AT555" s="81"/>
      <c r="AU555" s="375"/>
      <c r="AV555" s="375"/>
      <c r="AW555" s="375"/>
      <c r="AX555" s="375"/>
      <c r="AY555" s="375"/>
      <c r="AZ555" s="375"/>
      <c r="BA555" s="375"/>
      <c r="BB555" s="375"/>
      <c r="BC555" s="375"/>
      <c r="BD555" s="375"/>
      <c r="BE555" s="375"/>
      <c r="BF555" s="375"/>
      <c r="BG555" s="375"/>
      <c r="BH555" s="227"/>
      <c r="BI555" s="227"/>
      <c r="BJ555" s="227"/>
      <c r="BK555" s="227"/>
      <c r="BL555" s="227"/>
      <c r="BM555" s="227"/>
      <c r="BN555" s="227"/>
      <c r="BO555" s="227"/>
      <c r="BP555" s="227"/>
      <c r="BQ555" s="227"/>
      <c r="BR555" s="227"/>
      <c r="BS555" s="227"/>
      <c r="BT555" s="227"/>
    </row>
    <row r="556" spans="1:72" ht="15" customHeight="1">
      <c r="A556" s="215" t="s">
        <v>2012</v>
      </c>
      <c r="B556" s="215" t="s">
        <v>2944</v>
      </c>
      <c r="C556" s="215" t="s">
        <v>524</v>
      </c>
      <c r="D556" s="215" t="s">
        <v>2013</v>
      </c>
      <c r="E556" s="150" t="s">
        <v>1136</v>
      </c>
      <c r="F556" s="482" t="s">
        <v>1566</v>
      </c>
      <c r="G556" s="150" t="s">
        <v>1345</v>
      </c>
      <c r="H556" s="334" t="s">
        <v>1437</v>
      </c>
      <c r="I556" s="334" t="s">
        <v>1345</v>
      </c>
      <c r="J556" s="334" t="s">
        <v>1437</v>
      </c>
      <c r="K556" s="334" t="s">
        <v>1346</v>
      </c>
      <c r="L556" s="516" t="s">
        <v>389</v>
      </c>
      <c r="M556" s="398" t="s">
        <v>1174</v>
      </c>
      <c r="N556" s="343"/>
      <c r="O556" s="344"/>
      <c r="P556" s="219" t="s">
        <v>56</v>
      </c>
      <c r="Q556" s="349"/>
      <c r="R556" s="346" t="s">
        <v>1140</v>
      </c>
      <c r="S556" s="349"/>
      <c r="T556" s="334" t="s">
        <v>57</v>
      </c>
      <c r="U556" s="354"/>
      <c r="V556" s="403"/>
      <c r="W556" s="406">
        <v>68292</v>
      </c>
      <c r="X556" s="406">
        <v>61982.03</v>
      </c>
      <c r="Y556" s="425"/>
      <c r="Z556" s="71"/>
      <c r="AA556" s="408">
        <v>3349.03</v>
      </c>
      <c r="AB556" s="410">
        <v>3352.38</v>
      </c>
      <c r="AC556" s="410">
        <v>4061.62</v>
      </c>
      <c r="AD556" s="428">
        <v>3971.33</v>
      </c>
      <c r="AE556" s="429">
        <v>5537.35</v>
      </c>
      <c r="AF556" s="429">
        <v>4773.54</v>
      </c>
      <c r="AG556" s="369">
        <v>5691</v>
      </c>
      <c r="AH556" s="369">
        <v>5691</v>
      </c>
      <c r="AI556" s="369">
        <v>5691</v>
      </c>
      <c r="AJ556" s="369">
        <v>5691</v>
      </c>
      <c r="AK556" s="369">
        <v>5691</v>
      </c>
      <c r="AL556" s="369">
        <v>5691</v>
      </c>
      <c r="AM556" s="367">
        <f t="shared" si="29"/>
        <v>59191.25</v>
      </c>
      <c r="AN556" s="362">
        <f>ERP_2[[#This Row],[2026 Working Total]]-ERP_2[[#This Row],[LE2 Final Submission]]</f>
        <v>-2790.7799999999988</v>
      </c>
      <c r="AO556" s="227">
        <v>5691</v>
      </c>
      <c r="AP556" s="227">
        <f t="shared" si="30"/>
        <v>-917.46</v>
      </c>
      <c r="AQ556" s="374">
        <f>SUM(ERP_2[[#This Row],[AP01]:[AP06]])-SUM(ERP_2[[#This Row],[AP01 LE2]:[AP06 LE2]])</f>
        <v>-2790.7799999999988</v>
      </c>
      <c r="AR556" s="80"/>
      <c r="AS556" s="79">
        <f>ERP_2[[#This Row],[2026 Working Total to Budget/LE]]-ERP_2[[#This Row],[Giveback]]</f>
        <v>-2790.7799999999988</v>
      </c>
      <c r="AT556" s="81"/>
      <c r="AU556" s="375">
        <v>3349.03</v>
      </c>
      <c r="AV556" s="375">
        <v>3352.38</v>
      </c>
      <c r="AW556" s="375">
        <v>4061.62</v>
      </c>
      <c r="AX556" s="375">
        <v>5691</v>
      </c>
      <c r="AY556" s="375">
        <v>5691</v>
      </c>
      <c r="AZ556" s="375">
        <v>5691</v>
      </c>
      <c r="BA556" s="375">
        <v>5691</v>
      </c>
      <c r="BB556" s="375">
        <v>5691</v>
      </c>
      <c r="BC556" s="375">
        <v>5691</v>
      </c>
      <c r="BD556" s="375">
        <v>5691</v>
      </c>
      <c r="BE556" s="375">
        <v>5691</v>
      </c>
      <c r="BF556" s="375">
        <v>5691</v>
      </c>
      <c r="BG556" s="375">
        <v>61982.03</v>
      </c>
      <c r="BH556" s="227">
        <v>3349.03</v>
      </c>
      <c r="BI556" s="227">
        <v>3352.38</v>
      </c>
      <c r="BJ556" s="227">
        <v>4061.62</v>
      </c>
      <c r="BK556" s="227">
        <v>5691</v>
      </c>
      <c r="BL556" s="227">
        <v>5691</v>
      </c>
      <c r="BM556" s="227">
        <v>5691</v>
      </c>
      <c r="BN556" s="227">
        <v>5691</v>
      </c>
      <c r="BO556" s="227">
        <v>5691</v>
      </c>
      <c r="BP556" s="227">
        <v>5691</v>
      </c>
      <c r="BQ556" s="227">
        <v>5691</v>
      </c>
      <c r="BR556" s="227">
        <v>5691</v>
      </c>
      <c r="BS556" s="227">
        <v>5691</v>
      </c>
      <c r="BT556" s="227">
        <v>61982.03</v>
      </c>
    </row>
    <row r="557" spans="1:72" ht="15" customHeight="1">
      <c r="A557" s="215" t="s">
        <v>2024</v>
      </c>
      <c r="B557" s="215" t="s">
        <v>2944</v>
      </c>
      <c r="C557" s="215" t="s">
        <v>533</v>
      </c>
      <c r="D557" s="215" t="s">
        <v>533</v>
      </c>
      <c r="E557" s="150" t="s">
        <v>1136</v>
      </c>
      <c r="F557" s="482" t="s">
        <v>1566</v>
      </c>
      <c r="G557" s="150" t="s">
        <v>1345</v>
      </c>
      <c r="H557" s="334" t="s">
        <v>1345</v>
      </c>
      <c r="I557" s="334" t="s">
        <v>1345</v>
      </c>
      <c r="J557" s="334" t="s">
        <v>1345</v>
      </c>
      <c r="K557" s="334" t="s">
        <v>1346</v>
      </c>
      <c r="L557" s="516" t="s">
        <v>389</v>
      </c>
      <c r="M557" s="398" t="s">
        <v>1855</v>
      </c>
      <c r="N557" s="343"/>
      <c r="O557" s="344"/>
      <c r="P557" s="219" t="s">
        <v>466</v>
      </c>
      <c r="Q557" s="349"/>
      <c r="R557" s="346" t="s">
        <v>1140</v>
      </c>
      <c r="S557" s="349"/>
      <c r="T557" s="334" t="s">
        <v>57</v>
      </c>
      <c r="U557" s="354"/>
      <c r="V557" s="403"/>
      <c r="W557" s="406">
        <v>19176</v>
      </c>
      <c r="X557" s="406">
        <v>21479</v>
      </c>
      <c r="Y557" s="425"/>
      <c r="Z557" s="71"/>
      <c r="AA557" s="408">
        <v>1566</v>
      </c>
      <c r="AB557" s="410">
        <v>1439</v>
      </c>
      <c r="AC557" s="410">
        <v>4092</v>
      </c>
      <c r="AD557" s="428">
        <v>1259</v>
      </c>
      <c r="AE557" s="429">
        <v>1259</v>
      </c>
      <c r="AF557" s="429">
        <v>1192</v>
      </c>
      <c r="AG557" s="369">
        <v>1598</v>
      </c>
      <c r="AH557" s="369">
        <v>1598</v>
      </c>
      <c r="AI557" s="369">
        <v>1598</v>
      </c>
      <c r="AJ557" s="369">
        <v>1598</v>
      </c>
      <c r="AK557" s="369">
        <v>1598</v>
      </c>
      <c r="AL557" s="369">
        <v>1598</v>
      </c>
      <c r="AM557" s="367">
        <f t="shared" si="29"/>
        <v>20395</v>
      </c>
      <c r="AN557" s="362">
        <f>ERP_2[[#This Row],[2026 Working Total]]-ERP_2[[#This Row],[LE2 Final Submission]]</f>
        <v>-1084</v>
      </c>
      <c r="AO557" s="227">
        <v>1598</v>
      </c>
      <c r="AP557" s="227">
        <f t="shared" si="30"/>
        <v>-406</v>
      </c>
      <c r="AQ557" s="374">
        <f>SUM(ERP_2[[#This Row],[AP01]:[AP06]])-SUM(ERP_2[[#This Row],[AP01 LE2]:[AP06 LE2]])</f>
        <v>-1084</v>
      </c>
      <c r="AR557" s="80"/>
      <c r="AS557" s="79">
        <f>ERP_2[[#This Row],[2026 Working Total to Budget/LE]]-ERP_2[[#This Row],[Giveback]]</f>
        <v>-1084</v>
      </c>
      <c r="AT557" s="81"/>
      <c r="AU557" s="375">
        <v>1566</v>
      </c>
      <c r="AV557" s="375">
        <v>1439</v>
      </c>
      <c r="AW557" s="375">
        <v>4092</v>
      </c>
      <c r="AX557" s="375">
        <v>1598</v>
      </c>
      <c r="AY557" s="375">
        <v>1598</v>
      </c>
      <c r="AZ557" s="375">
        <v>1598</v>
      </c>
      <c r="BA557" s="375">
        <v>1598</v>
      </c>
      <c r="BB557" s="375">
        <v>1598</v>
      </c>
      <c r="BC557" s="375">
        <v>1598</v>
      </c>
      <c r="BD557" s="375">
        <v>1598</v>
      </c>
      <c r="BE557" s="375">
        <v>1598</v>
      </c>
      <c r="BF557" s="375">
        <v>1598</v>
      </c>
      <c r="BG557" s="375">
        <v>21479</v>
      </c>
      <c r="BH557" s="227">
        <v>1566</v>
      </c>
      <c r="BI557" s="227">
        <v>1439</v>
      </c>
      <c r="BJ557" s="227">
        <v>4092</v>
      </c>
      <c r="BK557" s="227">
        <v>1598</v>
      </c>
      <c r="BL557" s="227">
        <v>1598</v>
      </c>
      <c r="BM557" s="227">
        <v>1598</v>
      </c>
      <c r="BN557" s="227">
        <v>1598</v>
      </c>
      <c r="BO557" s="227">
        <v>1598</v>
      </c>
      <c r="BP557" s="227">
        <v>1598</v>
      </c>
      <c r="BQ557" s="227">
        <v>1598</v>
      </c>
      <c r="BR557" s="227">
        <v>1598</v>
      </c>
      <c r="BS557" s="227">
        <v>1598</v>
      </c>
      <c r="BT557" s="227">
        <v>21479</v>
      </c>
    </row>
    <row r="558" spans="1:72" ht="15" customHeight="1">
      <c r="A558" s="215" t="s">
        <v>2032</v>
      </c>
      <c r="B558" s="215" t="s">
        <v>2944</v>
      </c>
      <c r="C558" s="215" t="s">
        <v>538</v>
      </c>
      <c r="D558" s="215" t="s">
        <v>538</v>
      </c>
      <c r="E558" s="150" t="s">
        <v>1136</v>
      </c>
      <c r="F558" s="482" t="s">
        <v>1566</v>
      </c>
      <c r="G558" s="150" t="s">
        <v>1345</v>
      </c>
      <c r="H558" s="334" t="s">
        <v>1345</v>
      </c>
      <c r="I558" s="334" t="s">
        <v>1345</v>
      </c>
      <c r="J558" s="334" t="s">
        <v>1345</v>
      </c>
      <c r="K558" s="334" t="s">
        <v>1346</v>
      </c>
      <c r="L558" s="516" t="s">
        <v>389</v>
      </c>
      <c r="M558" s="398" t="s">
        <v>1327</v>
      </c>
      <c r="N558" s="343"/>
      <c r="O558" s="344"/>
      <c r="P558" s="219" t="s">
        <v>147</v>
      </c>
      <c r="Q558" s="349"/>
      <c r="R558" s="343"/>
      <c r="S558" s="349"/>
      <c r="T558" s="334" t="s">
        <v>25</v>
      </c>
      <c r="U558" s="354"/>
      <c r="V558" s="403"/>
      <c r="W558" s="406">
        <v>0</v>
      </c>
      <c r="X558" s="406">
        <v>0.11999999999999997</v>
      </c>
      <c r="Y558" s="425"/>
      <c r="Z558" s="71"/>
      <c r="AA558" s="408">
        <v>-0.3</v>
      </c>
      <c r="AB558" s="410">
        <v>0.57999999999999996</v>
      </c>
      <c r="AC558" s="410">
        <v>-0.16</v>
      </c>
      <c r="AD558" s="428">
        <v>0.12</v>
      </c>
      <c r="AE558" s="429">
        <v>-0.5</v>
      </c>
      <c r="AF558" s="429">
        <v>0.41</v>
      </c>
      <c r="AG558" s="368">
        <v>0</v>
      </c>
      <c r="AH558" s="368">
        <v>0</v>
      </c>
      <c r="AI558" s="368">
        <v>0</v>
      </c>
      <c r="AJ558" s="368">
        <v>0</v>
      </c>
      <c r="AK558" s="368">
        <v>0</v>
      </c>
      <c r="AL558" s="368">
        <v>0</v>
      </c>
      <c r="AM558" s="367">
        <f t="shared" si="29"/>
        <v>0.14999999999999997</v>
      </c>
      <c r="AN558" s="362">
        <f>ERP_2[[#This Row],[2026 Working Total]]-ERP_2[[#This Row],[LE2 Final Submission]]</f>
        <v>0.03</v>
      </c>
      <c r="AO558" s="227">
        <v>0</v>
      </c>
      <c r="AP558" s="227">
        <f t="shared" si="30"/>
        <v>0.41</v>
      </c>
      <c r="AQ558" s="374">
        <f>SUM(ERP_2[[#This Row],[AP01]:[AP06]])-SUM(ERP_2[[#This Row],[AP01 LE2]:[AP06 LE2]])</f>
        <v>0.03</v>
      </c>
      <c r="AR558" s="80"/>
      <c r="AS558" s="79">
        <f>ERP_2[[#This Row],[2026 Working Total to Budget/LE]]-ERP_2[[#This Row],[Giveback]]</f>
        <v>0.03</v>
      </c>
      <c r="AT558" s="81"/>
      <c r="AU558" s="375">
        <v>-0.3</v>
      </c>
      <c r="AV558" s="375">
        <v>0.57999999999999996</v>
      </c>
      <c r="AW558" s="375">
        <v>-0.16</v>
      </c>
      <c r="AX558" s="375">
        <v>0</v>
      </c>
      <c r="AY558" s="375">
        <v>0</v>
      </c>
      <c r="AZ558" s="375">
        <v>0</v>
      </c>
      <c r="BA558" s="375">
        <v>0</v>
      </c>
      <c r="BB558" s="375">
        <v>0</v>
      </c>
      <c r="BC558" s="375">
        <v>0</v>
      </c>
      <c r="BD558" s="375">
        <v>0</v>
      </c>
      <c r="BE558" s="375">
        <v>0</v>
      </c>
      <c r="BF558" s="375">
        <v>0</v>
      </c>
      <c r="BG558" s="375">
        <v>0.11999999999999997</v>
      </c>
      <c r="BH558" s="227">
        <v>-0.3</v>
      </c>
      <c r="BI558" s="227">
        <v>0.57999999999999996</v>
      </c>
      <c r="BJ558" s="227">
        <v>-0.16</v>
      </c>
      <c r="BK558" s="227">
        <v>0</v>
      </c>
      <c r="BL558" s="227">
        <v>0</v>
      </c>
      <c r="BM558" s="227">
        <v>0</v>
      </c>
      <c r="BN558" s="227">
        <v>0</v>
      </c>
      <c r="BO558" s="227">
        <v>0</v>
      </c>
      <c r="BP558" s="227">
        <v>0</v>
      </c>
      <c r="BQ558" s="227">
        <v>0</v>
      </c>
      <c r="BR558" s="227">
        <v>0</v>
      </c>
      <c r="BS558" s="227">
        <v>0</v>
      </c>
      <c r="BT558" s="227">
        <v>0.11999999999999997</v>
      </c>
    </row>
    <row r="559" spans="1:72" ht="15" customHeight="1">
      <c r="A559" s="215" t="s">
        <v>2664</v>
      </c>
      <c r="B559" s="215" t="s">
        <v>2944</v>
      </c>
      <c r="C559" s="215" t="s">
        <v>940</v>
      </c>
      <c r="D559" s="215" t="s">
        <v>940</v>
      </c>
      <c r="E559" s="150" t="s">
        <v>1136</v>
      </c>
      <c r="F559" s="482" t="s">
        <v>1566</v>
      </c>
      <c r="G559" s="150" t="s">
        <v>1345</v>
      </c>
      <c r="H559" s="334" t="s">
        <v>1345</v>
      </c>
      <c r="I559" s="334" t="s">
        <v>1345</v>
      </c>
      <c r="J559" s="334" t="s">
        <v>1345</v>
      </c>
      <c r="K559" s="334" t="s">
        <v>1346</v>
      </c>
      <c r="L559" s="516" t="s">
        <v>639</v>
      </c>
      <c r="M559" s="398" t="s">
        <v>1138</v>
      </c>
      <c r="N559" s="343"/>
      <c r="O559" s="344"/>
      <c r="P559" s="219" t="s">
        <v>51</v>
      </c>
      <c r="Q559" s="349" t="s">
        <v>1139</v>
      </c>
      <c r="R559" s="346" t="s">
        <v>1140</v>
      </c>
      <c r="S559" s="349"/>
      <c r="T559" s="334" t="s">
        <v>25</v>
      </c>
      <c r="U559" s="354"/>
      <c r="V559" s="403"/>
      <c r="W559" s="406">
        <v>0</v>
      </c>
      <c r="X559" s="406">
        <v>218.76</v>
      </c>
      <c r="Y559" s="430"/>
      <c r="Z559" s="137"/>
      <c r="AA559" s="408"/>
      <c r="AB559" s="410">
        <v>218.76</v>
      </c>
      <c r="AC559" s="412">
        <v>0</v>
      </c>
      <c r="AD559" s="428">
        <v>0</v>
      </c>
      <c r="AE559" s="429">
        <v>0</v>
      </c>
      <c r="AF559" s="429">
        <v>0</v>
      </c>
      <c r="AG559" s="368">
        <v>0</v>
      </c>
      <c r="AH559" s="368">
        <v>0</v>
      </c>
      <c r="AI559" s="368">
        <v>0</v>
      </c>
      <c r="AJ559" s="368">
        <v>0</v>
      </c>
      <c r="AK559" s="368">
        <v>0</v>
      </c>
      <c r="AL559" s="368">
        <v>0</v>
      </c>
      <c r="AM559" s="367">
        <f t="shared" si="29"/>
        <v>218.76</v>
      </c>
      <c r="AN559" s="362">
        <f>ERP_2[[#This Row],[2026 Working Total]]-ERP_2[[#This Row],[LE2 Final Submission]]</f>
        <v>0</v>
      </c>
      <c r="AO559" s="227">
        <v>0</v>
      </c>
      <c r="AP559" s="227">
        <f t="shared" si="30"/>
        <v>0</v>
      </c>
      <c r="AQ559" s="374">
        <f>SUM(ERP_2[[#This Row],[AP01]:[AP06]])-SUM(ERP_2[[#This Row],[AP01 LE2]:[AP06 LE2]])</f>
        <v>0</v>
      </c>
      <c r="AR559" s="80"/>
      <c r="AS559" s="79">
        <f>ERP_2[[#This Row],[2026 Working Total to Budget/LE]]-ERP_2[[#This Row],[Giveback]]</f>
        <v>0</v>
      </c>
      <c r="AT559" s="81"/>
      <c r="AU559" s="375"/>
      <c r="AV559" s="375">
        <v>218.76</v>
      </c>
      <c r="AW559" s="375">
        <v>0</v>
      </c>
      <c r="AX559" s="375">
        <v>0</v>
      </c>
      <c r="AY559" s="375">
        <v>0</v>
      </c>
      <c r="AZ559" s="375">
        <v>0</v>
      </c>
      <c r="BA559" s="375">
        <v>0</v>
      </c>
      <c r="BB559" s="375">
        <v>0</v>
      </c>
      <c r="BC559" s="375">
        <v>0</v>
      </c>
      <c r="BD559" s="375">
        <v>0</v>
      </c>
      <c r="BE559" s="375">
        <v>0</v>
      </c>
      <c r="BF559" s="375">
        <v>0</v>
      </c>
      <c r="BG559" s="375">
        <v>218.76</v>
      </c>
      <c r="BH559" s="227"/>
      <c r="BI559" s="227">
        <v>218.76</v>
      </c>
      <c r="BJ559" s="227">
        <v>0</v>
      </c>
      <c r="BK559" s="227">
        <v>0</v>
      </c>
      <c r="BL559" s="227">
        <v>0</v>
      </c>
      <c r="BM559" s="227">
        <v>0</v>
      </c>
      <c r="BN559" s="227">
        <v>0</v>
      </c>
      <c r="BO559" s="227">
        <v>0</v>
      </c>
      <c r="BP559" s="227">
        <v>0</v>
      </c>
      <c r="BQ559" s="227">
        <v>0</v>
      </c>
      <c r="BR559" s="227">
        <v>0</v>
      </c>
      <c r="BS559" s="227">
        <v>0</v>
      </c>
      <c r="BT559" s="227">
        <v>218.76</v>
      </c>
    </row>
    <row r="560" spans="1:72" ht="15" customHeight="1">
      <c r="A560" s="215" t="s">
        <v>2685</v>
      </c>
      <c r="B560" s="215" t="s">
        <v>2944</v>
      </c>
      <c r="C560" s="215" t="s">
        <v>950</v>
      </c>
      <c r="D560" s="215" t="s">
        <v>950</v>
      </c>
      <c r="E560" s="150" t="s">
        <v>1136</v>
      </c>
      <c r="F560" s="482" t="s">
        <v>1566</v>
      </c>
      <c r="G560" s="150" t="s">
        <v>1345</v>
      </c>
      <c r="H560" s="334" t="s">
        <v>1345</v>
      </c>
      <c r="I560" s="334" t="s">
        <v>1345</v>
      </c>
      <c r="J560" s="334" t="s">
        <v>1345</v>
      </c>
      <c r="K560" s="334" t="s">
        <v>1346</v>
      </c>
      <c r="L560" s="516" t="s">
        <v>639</v>
      </c>
      <c r="M560" s="398" t="s">
        <v>818</v>
      </c>
      <c r="N560" s="343"/>
      <c r="O560" s="344"/>
      <c r="P560" s="219" t="s">
        <v>817</v>
      </c>
      <c r="Q560" s="349"/>
      <c r="R560" s="346" t="s">
        <v>1140</v>
      </c>
      <c r="S560" s="349"/>
      <c r="T560" s="334" t="s">
        <v>818</v>
      </c>
      <c r="U560" s="354"/>
      <c r="V560" s="403"/>
      <c r="W560" s="406">
        <v>13200</v>
      </c>
      <c r="X560" s="406">
        <v>19370.91</v>
      </c>
      <c r="Y560" s="430"/>
      <c r="Z560" s="137"/>
      <c r="AA560" s="408"/>
      <c r="AB560" s="410"/>
      <c r="AC560" s="410">
        <v>9470.91</v>
      </c>
      <c r="AD560" s="428">
        <v>0</v>
      </c>
      <c r="AE560" s="429">
        <v>0</v>
      </c>
      <c r="AF560" s="429">
        <v>6148.3</v>
      </c>
      <c r="AG560" s="368">
        <v>0</v>
      </c>
      <c r="AH560" s="368">
        <v>0</v>
      </c>
      <c r="AI560" s="369">
        <v>3300</v>
      </c>
      <c r="AJ560" s="368">
        <v>0</v>
      </c>
      <c r="AK560" s="368">
        <v>0</v>
      </c>
      <c r="AL560" s="369">
        <v>3300</v>
      </c>
      <c r="AM560" s="367">
        <f t="shared" si="29"/>
        <v>22219.21</v>
      </c>
      <c r="AN560" s="362">
        <f>ERP_2[[#This Row],[2026 Working Total]]-ERP_2[[#This Row],[LE2 Final Submission]]</f>
        <v>2848.2999999999993</v>
      </c>
      <c r="AO560" s="227">
        <v>0</v>
      </c>
      <c r="AP560" s="227">
        <f t="shared" si="30"/>
        <v>6148.3</v>
      </c>
      <c r="AQ560" s="374">
        <f>SUM(ERP_2[[#This Row],[AP01]:[AP06]])-SUM(ERP_2[[#This Row],[AP01 LE2]:[AP06 LE2]])</f>
        <v>2848.2999999999993</v>
      </c>
      <c r="AR560" s="80"/>
      <c r="AS560" s="79">
        <f>ERP_2[[#This Row],[2026 Working Total to Budget/LE]]-ERP_2[[#This Row],[Giveback]]</f>
        <v>2848.2999999999993</v>
      </c>
      <c r="AT560" s="81"/>
      <c r="AU560" s="375"/>
      <c r="AV560" s="375"/>
      <c r="AW560" s="375">
        <v>9470.91</v>
      </c>
      <c r="AX560" s="375">
        <v>0</v>
      </c>
      <c r="AY560" s="375">
        <v>0</v>
      </c>
      <c r="AZ560" s="375">
        <v>3300</v>
      </c>
      <c r="BA560" s="375">
        <v>0</v>
      </c>
      <c r="BB560" s="375">
        <v>0</v>
      </c>
      <c r="BC560" s="375">
        <v>3300</v>
      </c>
      <c r="BD560" s="375">
        <v>0</v>
      </c>
      <c r="BE560" s="375">
        <v>0</v>
      </c>
      <c r="BF560" s="375">
        <v>3300</v>
      </c>
      <c r="BG560" s="375">
        <v>19370.91</v>
      </c>
      <c r="BH560" s="227"/>
      <c r="BI560" s="227"/>
      <c r="BJ560" s="227">
        <v>9470.91</v>
      </c>
      <c r="BK560" s="227">
        <v>0</v>
      </c>
      <c r="BL560" s="227">
        <v>0</v>
      </c>
      <c r="BM560" s="227">
        <v>3300</v>
      </c>
      <c r="BN560" s="227">
        <v>0</v>
      </c>
      <c r="BO560" s="227">
        <v>0</v>
      </c>
      <c r="BP560" s="227">
        <v>3300</v>
      </c>
      <c r="BQ560" s="227">
        <v>0</v>
      </c>
      <c r="BR560" s="227">
        <v>0</v>
      </c>
      <c r="BS560" s="227">
        <v>3300</v>
      </c>
      <c r="BT560" s="227">
        <v>19370.91</v>
      </c>
    </row>
    <row r="561" spans="1:72" ht="15" customHeight="1">
      <c r="A561" s="215" t="s">
        <v>2699</v>
      </c>
      <c r="B561" s="215" t="s">
        <v>2944</v>
      </c>
      <c r="C561" s="215" t="s">
        <v>955</v>
      </c>
      <c r="D561" s="215" t="s">
        <v>955</v>
      </c>
      <c r="E561" s="150" t="s">
        <v>1136</v>
      </c>
      <c r="F561" s="482" t="s">
        <v>1566</v>
      </c>
      <c r="G561" s="150" t="s">
        <v>1345</v>
      </c>
      <c r="H561" s="334" t="s">
        <v>1345</v>
      </c>
      <c r="I561" s="334" t="s">
        <v>1345</v>
      </c>
      <c r="J561" s="334" t="s">
        <v>1345</v>
      </c>
      <c r="K561" s="334" t="s">
        <v>1346</v>
      </c>
      <c r="L561" s="516" t="s">
        <v>639</v>
      </c>
      <c r="M561" s="398" t="s">
        <v>1327</v>
      </c>
      <c r="N561" s="343"/>
      <c r="O561" s="344"/>
      <c r="P561" s="219" t="s">
        <v>147</v>
      </c>
      <c r="Q561" s="349"/>
      <c r="R561" s="343"/>
      <c r="S561" s="349"/>
      <c r="T561" s="334" t="s">
        <v>25</v>
      </c>
      <c r="U561" s="354"/>
      <c r="V561" s="403"/>
      <c r="W561" s="406">
        <v>0</v>
      </c>
      <c r="X561" s="406">
        <v>0.32999999999999996</v>
      </c>
      <c r="Y561" s="425"/>
      <c r="Z561" s="71"/>
      <c r="AA561" s="408"/>
      <c r="AB561" s="410">
        <v>0.24</v>
      </c>
      <c r="AC561" s="410">
        <v>0.09</v>
      </c>
      <c r="AD561" s="428">
        <v>0</v>
      </c>
      <c r="AE561" s="429">
        <v>0</v>
      </c>
      <c r="AF561" s="429">
        <v>-0.3</v>
      </c>
      <c r="AG561" s="368">
        <v>0</v>
      </c>
      <c r="AH561" s="368">
        <v>0</v>
      </c>
      <c r="AI561" s="368">
        <v>0</v>
      </c>
      <c r="AJ561" s="368">
        <v>0</v>
      </c>
      <c r="AK561" s="368">
        <v>0</v>
      </c>
      <c r="AL561" s="368">
        <v>0</v>
      </c>
      <c r="AM561" s="367">
        <f t="shared" si="29"/>
        <v>2.9999999999999971E-2</v>
      </c>
      <c r="AN561" s="362">
        <f>ERP_2[[#This Row],[2026 Working Total]]-ERP_2[[#This Row],[LE2 Final Submission]]</f>
        <v>-0.3</v>
      </c>
      <c r="AO561" s="227">
        <v>0</v>
      </c>
      <c r="AP561" s="227">
        <f t="shared" si="30"/>
        <v>-0.3</v>
      </c>
      <c r="AQ561" s="374">
        <f>SUM(ERP_2[[#This Row],[AP01]:[AP06]])-SUM(ERP_2[[#This Row],[AP01 LE2]:[AP06 LE2]])</f>
        <v>-0.3</v>
      </c>
      <c r="AR561" s="80"/>
      <c r="AS561" s="79">
        <f>ERP_2[[#This Row],[2026 Working Total to Budget/LE]]-ERP_2[[#This Row],[Giveback]]</f>
        <v>-0.3</v>
      </c>
      <c r="AT561" s="81"/>
      <c r="AU561" s="375"/>
      <c r="AV561" s="375">
        <v>0.24</v>
      </c>
      <c r="AW561" s="375">
        <v>0.09</v>
      </c>
      <c r="AX561" s="375">
        <v>0</v>
      </c>
      <c r="AY561" s="375">
        <v>0</v>
      </c>
      <c r="AZ561" s="375">
        <v>0</v>
      </c>
      <c r="BA561" s="375">
        <v>0</v>
      </c>
      <c r="BB561" s="375">
        <v>0</v>
      </c>
      <c r="BC561" s="375">
        <v>0</v>
      </c>
      <c r="BD561" s="375">
        <v>0</v>
      </c>
      <c r="BE561" s="375">
        <v>0</v>
      </c>
      <c r="BF561" s="375">
        <v>0</v>
      </c>
      <c r="BG561" s="375">
        <v>0.32999999999999996</v>
      </c>
      <c r="BH561" s="227"/>
      <c r="BI561" s="227">
        <v>0.24</v>
      </c>
      <c r="BJ561" s="227">
        <v>0.09</v>
      </c>
      <c r="BK561" s="227">
        <v>0</v>
      </c>
      <c r="BL561" s="227">
        <v>0</v>
      </c>
      <c r="BM561" s="227">
        <v>0</v>
      </c>
      <c r="BN561" s="227">
        <v>0</v>
      </c>
      <c r="BO561" s="227">
        <v>0</v>
      </c>
      <c r="BP561" s="227">
        <v>0</v>
      </c>
      <c r="BQ561" s="227">
        <v>0</v>
      </c>
      <c r="BR561" s="227">
        <v>0</v>
      </c>
      <c r="BS561" s="227">
        <v>0</v>
      </c>
      <c r="BT561" s="227">
        <v>0.32999999999999996</v>
      </c>
    </row>
    <row r="562" spans="1:72" ht="15" customHeight="1">
      <c r="A562" s="334" t="s">
        <v>1510</v>
      </c>
      <c r="B562" s="334" t="s">
        <v>2944</v>
      </c>
      <c r="C562" s="537" t="s">
        <v>237</v>
      </c>
      <c r="D562" s="330" t="s">
        <v>237</v>
      </c>
      <c r="E562" s="150" t="s">
        <v>1136</v>
      </c>
      <c r="F562" s="482" t="s">
        <v>1566</v>
      </c>
      <c r="G562" s="383" t="s">
        <v>1480</v>
      </c>
      <c r="H562" s="338" t="s">
        <v>1480</v>
      </c>
      <c r="I562" s="336" t="s">
        <v>1345</v>
      </c>
      <c r="J562" s="336" t="s">
        <v>1480</v>
      </c>
      <c r="K562" s="339" t="s">
        <v>1480</v>
      </c>
      <c r="L562" s="518" t="s">
        <v>49</v>
      </c>
      <c r="M562" s="397" t="s">
        <v>1327</v>
      </c>
      <c r="N562" s="333"/>
      <c r="O562" s="336" t="s">
        <v>1493</v>
      </c>
      <c r="P562" s="237" t="s">
        <v>147</v>
      </c>
      <c r="Q562" s="351"/>
      <c r="R562" s="347"/>
      <c r="S562" s="353"/>
      <c r="T562" s="353"/>
      <c r="U562" s="452"/>
      <c r="V562" s="402"/>
      <c r="W562" s="406"/>
      <c r="X562" s="406"/>
      <c r="Y562" s="425"/>
      <c r="Z562" s="71"/>
      <c r="AA562" s="413"/>
      <c r="AB562" s="414"/>
      <c r="AC562" s="414"/>
      <c r="AD562" s="429"/>
      <c r="AE562" s="429">
        <v>0</v>
      </c>
      <c r="AF562" s="429">
        <v>0</v>
      </c>
      <c r="AG562" s="371"/>
      <c r="AH562" s="371"/>
      <c r="AI562" s="371"/>
      <c r="AJ562" s="371"/>
      <c r="AK562" s="371"/>
      <c r="AL562" s="371"/>
      <c r="AM562" s="367">
        <f t="shared" si="29"/>
        <v>0</v>
      </c>
      <c r="AN562" s="362">
        <f>ERP_2[[#This Row],[2026 Working Total]]-ERP_2[[#This Row],[LE2 Final Submission]]</f>
        <v>0</v>
      </c>
      <c r="AO562" s="227"/>
      <c r="AP562" s="227">
        <f t="shared" si="30"/>
        <v>0</v>
      </c>
      <c r="AQ562" s="374">
        <f>SUM(ERP_2[[#This Row],[AP01]:[AP06]])-SUM(ERP_2[[#This Row],[AP01 LE2]:[AP06 LE2]])</f>
        <v>0</v>
      </c>
      <c r="AR562" s="80"/>
      <c r="AS562" s="79">
        <f>ERP_2[[#This Row],[2026 Working Total to Budget/LE]]-ERP_2[[#This Row],[Giveback]]</f>
        <v>0</v>
      </c>
      <c r="AT562" s="81"/>
      <c r="AU562" s="375"/>
      <c r="AV562" s="375"/>
      <c r="AW562" s="375"/>
      <c r="AX562" s="375"/>
      <c r="AY562" s="375"/>
      <c r="AZ562" s="375"/>
      <c r="BA562" s="375"/>
      <c r="BB562" s="375"/>
      <c r="BC562" s="375"/>
      <c r="BD562" s="375"/>
      <c r="BE562" s="375"/>
      <c r="BF562" s="375"/>
      <c r="BG562" s="375"/>
      <c r="BH562" s="227"/>
      <c r="BI562" s="227"/>
      <c r="BJ562" s="227"/>
      <c r="BK562" s="227"/>
      <c r="BL562" s="227"/>
      <c r="BM562" s="227"/>
      <c r="BN562" s="227"/>
      <c r="BO562" s="227"/>
      <c r="BP562" s="227"/>
      <c r="BQ562" s="227"/>
      <c r="BR562" s="227"/>
      <c r="BS562" s="227"/>
      <c r="BT562" s="227"/>
    </row>
    <row r="563" spans="1:72" ht="15" customHeight="1">
      <c r="A563" s="215" t="s">
        <v>2059</v>
      </c>
      <c r="B563" s="215" t="s">
        <v>2944</v>
      </c>
      <c r="C563" s="215" t="s">
        <v>553</v>
      </c>
      <c r="D563" s="215" t="s">
        <v>553</v>
      </c>
      <c r="E563" s="150" t="s">
        <v>1136</v>
      </c>
      <c r="F563" s="482" t="s">
        <v>1566</v>
      </c>
      <c r="G563" s="383" t="s">
        <v>1480</v>
      </c>
      <c r="H563" s="338" t="s">
        <v>1480</v>
      </c>
      <c r="I563" s="334" t="s">
        <v>1345</v>
      </c>
      <c r="J563" s="334" t="s">
        <v>1480</v>
      </c>
      <c r="K563" s="334" t="s">
        <v>1346</v>
      </c>
      <c r="L563" s="516" t="s">
        <v>389</v>
      </c>
      <c r="M563" s="398" t="s">
        <v>1855</v>
      </c>
      <c r="N563" s="343"/>
      <c r="O563" s="344"/>
      <c r="P563" s="219" t="s">
        <v>466</v>
      </c>
      <c r="Q563" s="349"/>
      <c r="R563" s="346" t="s">
        <v>1140</v>
      </c>
      <c r="S563" s="349"/>
      <c r="T563" s="334" t="s">
        <v>57</v>
      </c>
      <c r="U563" s="354"/>
      <c r="V563" s="403"/>
      <c r="W563" s="406">
        <v>27000</v>
      </c>
      <c r="X563" s="406">
        <v>26481</v>
      </c>
      <c r="Y563" s="425"/>
      <c r="Z563" s="71"/>
      <c r="AA563" s="408">
        <v>1883</v>
      </c>
      <c r="AB563" s="410">
        <v>1481</v>
      </c>
      <c r="AC563" s="410">
        <v>2867</v>
      </c>
      <c r="AD563" s="428">
        <v>1442</v>
      </c>
      <c r="AE563" s="429">
        <v>1442</v>
      </c>
      <c r="AF563" s="429">
        <v>1375</v>
      </c>
      <c r="AG563" s="369">
        <v>2250</v>
      </c>
      <c r="AH563" s="369">
        <v>2250</v>
      </c>
      <c r="AI563" s="369">
        <v>2250</v>
      </c>
      <c r="AJ563" s="369">
        <v>2250</v>
      </c>
      <c r="AK563" s="369">
        <v>2250</v>
      </c>
      <c r="AL563" s="369">
        <v>2250</v>
      </c>
      <c r="AM563" s="367">
        <f t="shared" si="29"/>
        <v>23990</v>
      </c>
      <c r="AN563" s="362">
        <f>ERP_2[[#This Row],[2026 Working Total]]-ERP_2[[#This Row],[LE2 Final Submission]]</f>
        <v>-2491</v>
      </c>
      <c r="AO563" s="227">
        <v>2250</v>
      </c>
      <c r="AP563" s="227">
        <f t="shared" si="30"/>
        <v>-875</v>
      </c>
      <c r="AQ563" s="374">
        <f>SUM(ERP_2[[#This Row],[AP01]:[AP06]])-SUM(ERP_2[[#This Row],[AP01 LE2]:[AP06 LE2]])</f>
        <v>-2491</v>
      </c>
      <c r="AR563" s="80"/>
      <c r="AS563" s="79">
        <f>ERP_2[[#This Row],[2026 Working Total to Budget/LE]]-ERP_2[[#This Row],[Giveback]]</f>
        <v>-2491</v>
      </c>
      <c r="AT563" s="81"/>
      <c r="AU563" s="375">
        <v>1883</v>
      </c>
      <c r="AV563" s="375">
        <v>1481</v>
      </c>
      <c r="AW563" s="375">
        <v>2867</v>
      </c>
      <c r="AX563" s="375">
        <v>2250</v>
      </c>
      <c r="AY563" s="375">
        <v>2250</v>
      </c>
      <c r="AZ563" s="375">
        <v>2250</v>
      </c>
      <c r="BA563" s="375">
        <v>2250</v>
      </c>
      <c r="BB563" s="375">
        <v>2250</v>
      </c>
      <c r="BC563" s="375">
        <v>2250</v>
      </c>
      <c r="BD563" s="375">
        <v>2250</v>
      </c>
      <c r="BE563" s="375">
        <v>2250</v>
      </c>
      <c r="BF563" s="375">
        <v>2250</v>
      </c>
      <c r="BG563" s="375">
        <v>26481</v>
      </c>
      <c r="BH563" s="227">
        <v>1883</v>
      </c>
      <c r="BI563" s="227">
        <v>1481</v>
      </c>
      <c r="BJ563" s="227">
        <v>2867</v>
      </c>
      <c r="BK563" s="227">
        <v>2250</v>
      </c>
      <c r="BL563" s="227">
        <v>2250</v>
      </c>
      <c r="BM563" s="227">
        <v>2250</v>
      </c>
      <c r="BN563" s="227">
        <v>2250</v>
      </c>
      <c r="BO563" s="227">
        <v>2250</v>
      </c>
      <c r="BP563" s="227">
        <v>2250</v>
      </c>
      <c r="BQ563" s="227">
        <v>2250</v>
      </c>
      <c r="BR563" s="227">
        <v>2250</v>
      </c>
      <c r="BS563" s="227">
        <v>2250</v>
      </c>
      <c r="BT563" s="227">
        <v>26481</v>
      </c>
    </row>
    <row r="564" spans="1:72" ht="15" customHeight="1">
      <c r="A564" s="215" t="s">
        <v>2063</v>
      </c>
      <c r="B564" s="215" t="s">
        <v>2944</v>
      </c>
      <c r="C564" s="215" t="s">
        <v>554</v>
      </c>
      <c r="D564" s="215" t="s">
        <v>554</v>
      </c>
      <c r="E564" s="150" t="s">
        <v>1136</v>
      </c>
      <c r="F564" s="482" t="s">
        <v>1566</v>
      </c>
      <c r="G564" s="383" t="s">
        <v>1480</v>
      </c>
      <c r="H564" s="338" t="s">
        <v>1480</v>
      </c>
      <c r="I564" s="334" t="s">
        <v>1345</v>
      </c>
      <c r="J564" s="334" t="s">
        <v>1480</v>
      </c>
      <c r="K564" s="334" t="s">
        <v>1346</v>
      </c>
      <c r="L564" s="516" t="s">
        <v>389</v>
      </c>
      <c r="M564" s="398" t="s">
        <v>1327</v>
      </c>
      <c r="N564" s="343"/>
      <c r="O564" s="344"/>
      <c r="P564" s="219" t="s">
        <v>147</v>
      </c>
      <c r="Q564" s="349"/>
      <c r="R564" s="343"/>
      <c r="S564" s="349"/>
      <c r="T564" s="334" t="s">
        <v>25</v>
      </c>
      <c r="U564" s="354"/>
      <c r="V564" s="403"/>
      <c r="W564" s="406">
        <v>0</v>
      </c>
      <c r="X564" s="406">
        <v>-0.2</v>
      </c>
      <c r="Y564" s="430"/>
      <c r="Z564" s="137"/>
      <c r="AA564" s="408">
        <v>-0.48</v>
      </c>
      <c r="AB564" s="410">
        <v>0.28999999999999998</v>
      </c>
      <c r="AC564" s="410">
        <v>-0.01</v>
      </c>
      <c r="AD564" s="428">
        <v>0.06</v>
      </c>
      <c r="AE564" s="429">
        <v>0.16</v>
      </c>
      <c r="AF564" s="429">
        <v>0.08</v>
      </c>
      <c r="AG564" s="368">
        <v>0</v>
      </c>
      <c r="AH564" s="368">
        <v>0</v>
      </c>
      <c r="AI564" s="368">
        <v>0</v>
      </c>
      <c r="AJ564" s="368">
        <v>0</v>
      </c>
      <c r="AK564" s="368">
        <v>0</v>
      </c>
      <c r="AL564" s="368">
        <v>0</v>
      </c>
      <c r="AM564" s="367">
        <f t="shared" si="29"/>
        <v>9.9999999999999992E-2</v>
      </c>
      <c r="AN564" s="362">
        <f>ERP_2[[#This Row],[2026 Working Total]]-ERP_2[[#This Row],[LE2 Final Submission]]</f>
        <v>0.3</v>
      </c>
      <c r="AO564" s="227">
        <v>0</v>
      </c>
      <c r="AP564" s="227">
        <f t="shared" si="30"/>
        <v>0.08</v>
      </c>
      <c r="AQ564" s="374">
        <f>SUM(ERP_2[[#This Row],[AP01]:[AP06]])-SUM(ERP_2[[#This Row],[AP01 LE2]:[AP06 LE2]])</f>
        <v>0.3</v>
      </c>
      <c r="AR564" s="80"/>
      <c r="AS564" s="79">
        <f>ERP_2[[#This Row],[2026 Working Total to Budget/LE]]-ERP_2[[#This Row],[Giveback]]</f>
        <v>0.3</v>
      </c>
      <c r="AT564" s="81"/>
      <c r="AU564" s="375">
        <v>-0.48</v>
      </c>
      <c r="AV564" s="375">
        <v>0.28999999999999998</v>
      </c>
      <c r="AW564" s="375">
        <v>-0.01</v>
      </c>
      <c r="AX564" s="375">
        <v>0</v>
      </c>
      <c r="AY564" s="375">
        <v>0</v>
      </c>
      <c r="AZ564" s="375">
        <v>0</v>
      </c>
      <c r="BA564" s="375">
        <v>0</v>
      </c>
      <c r="BB564" s="375">
        <v>0</v>
      </c>
      <c r="BC564" s="375">
        <v>0</v>
      </c>
      <c r="BD564" s="375">
        <v>0</v>
      </c>
      <c r="BE564" s="375">
        <v>0</v>
      </c>
      <c r="BF564" s="375">
        <v>0</v>
      </c>
      <c r="BG564" s="375">
        <v>-0.2</v>
      </c>
      <c r="BH564" s="227">
        <v>-0.48</v>
      </c>
      <c r="BI564" s="227">
        <v>0.28999999999999998</v>
      </c>
      <c r="BJ564" s="227">
        <v>-0.01</v>
      </c>
      <c r="BK564" s="227">
        <v>0</v>
      </c>
      <c r="BL564" s="227">
        <v>0</v>
      </c>
      <c r="BM564" s="227">
        <v>0</v>
      </c>
      <c r="BN564" s="227">
        <v>0</v>
      </c>
      <c r="BO564" s="227">
        <v>0</v>
      </c>
      <c r="BP564" s="227">
        <v>0</v>
      </c>
      <c r="BQ564" s="227">
        <v>0</v>
      </c>
      <c r="BR564" s="227">
        <v>0</v>
      </c>
      <c r="BS564" s="227">
        <v>0</v>
      </c>
      <c r="BT564" s="227">
        <v>-0.2</v>
      </c>
    </row>
    <row r="565" spans="1:72" ht="15" customHeight="1">
      <c r="A565" s="215" t="s">
        <v>1669</v>
      </c>
      <c r="B565" s="215" t="s">
        <v>2944</v>
      </c>
      <c r="C565" s="215" t="s">
        <v>337</v>
      </c>
      <c r="D565" s="215" t="s">
        <v>1670</v>
      </c>
      <c r="E565" s="150" t="s">
        <v>1136</v>
      </c>
      <c r="F565" s="482" t="s">
        <v>1566</v>
      </c>
      <c r="G565" s="150" t="s">
        <v>1566</v>
      </c>
      <c r="H565" s="334" t="s">
        <v>1566</v>
      </c>
      <c r="I565" s="334" t="s">
        <v>1567</v>
      </c>
      <c r="J565" s="334" t="s">
        <v>1567</v>
      </c>
      <c r="K565" s="334" t="s">
        <v>1567</v>
      </c>
      <c r="L565" s="516" t="s">
        <v>333</v>
      </c>
      <c r="M565" s="398" t="s">
        <v>1663</v>
      </c>
      <c r="N565" s="343"/>
      <c r="O565" s="344"/>
      <c r="P565" s="219" t="s">
        <v>336</v>
      </c>
      <c r="Q565" s="349"/>
      <c r="R565" s="346" t="s">
        <v>1140</v>
      </c>
      <c r="S565" s="349"/>
      <c r="T565" s="334" t="s">
        <v>25</v>
      </c>
      <c r="U565" s="354" t="s">
        <v>1666</v>
      </c>
      <c r="V565" s="403"/>
      <c r="W565" s="406">
        <v>32110933.16</v>
      </c>
      <c r="X565" s="406">
        <v>34757461.509999998</v>
      </c>
      <c r="Y565" s="425"/>
      <c r="Z565" s="71"/>
      <c r="AA565" s="408">
        <v>2815065.65</v>
      </c>
      <c r="AB565" s="410">
        <v>3048410.85</v>
      </c>
      <c r="AC565" s="410">
        <v>3021391.85</v>
      </c>
      <c r="AD565" s="428">
        <v>2973057.3200000008</v>
      </c>
      <c r="AE565" s="429">
        <v>3070156.0000000009</v>
      </c>
      <c r="AF565" s="429">
        <v>2999435.120000001</v>
      </c>
      <c r="AG565" s="369">
        <v>2977460.79</v>
      </c>
      <c r="AH565" s="369">
        <v>2957767.97</v>
      </c>
      <c r="AI565" s="369">
        <v>2824180.51</v>
      </c>
      <c r="AJ565" s="369">
        <v>2683373.61</v>
      </c>
      <c r="AK565" s="369">
        <v>2683374.5</v>
      </c>
      <c r="AL565" s="369">
        <v>2683373.5699999998</v>
      </c>
      <c r="AM565" s="367">
        <f t="shared" si="29"/>
        <v>34737047.740000002</v>
      </c>
      <c r="AN565" s="362">
        <f>ERP_2[[#This Row],[2026 Working Total]]-ERP_2[[#This Row],[LE2 Final Submission]]</f>
        <v>-20413.769999995828</v>
      </c>
      <c r="AO565" s="227">
        <v>3021022.03</v>
      </c>
      <c r="AP565" s="227">
        <f t="shared" si="30"/>
        <v>-21586.909999998752</v>
      </c>
      <c r="AQ565" s="374">
        <f>SUM(ERP_2[[#This Row],[AP01]:[AP06]])-SUM(ERP_2[[#This Row],[AP01 LE2]:[AP06 LE2]])</f>
        <v>-20413.769999995828</v>
      </c>
      <c r="AR565" s="80"/>
      <c r="AS565" s="79">
        <f>ERP_2[[#This Row],[2026 Working Total to Budget/LE]]-ERP_2[[#This Row],[Giveback]]</f>
        <v>-20413.769999995828</v>
      </c>
      <c r="AT565" s="81"/>
      <c r="AU565" s="375">
        <v>2815065.65</v>
      </c>
      <c r="AV565" s="375">
        <v>3048410.85</v>
      </c>
      <c r="AW565" s="375">
        <v>3021391.85</v>
      </c>
      <c r="AX565" s="375">
        <v>3021020.11</v>
      </c>
      <c r="AY565" s="375">
        <v>3021022.03</v>
      </c>
      <c r="AZ565" s="375">
        <v>3021020.07</v>
      </c>
      <c r="BA565" s="375">
        <v>2977460.79</v>
      </c>
      <c r="BB565" s="375">
        <v>2957767.97</v>
      </c>
      <c r="BC565" s="375">
        <v>2824180.51</v>
      </c>
      <c r="BD565" s="375">
        <v>2683373.61</v>
      </c>
      <c r="BE565" s="375">
        <v>2683374.5</v>
      </c>
      <c r="BF565" s="375">
        <v>2683373.5699999998</v>
      </c>
      <c r="BG565" s="375">
        <v>34757461.509999998</v>
      </c>
      <c r="BH565" s="227">
        <v>2815065.65</v>
      </c>
      <c r="BI565" s="227">
        <v>3048410.85</v>
      </c>
      <c r="BJ565" s="227">
        <v>3021391.85</v>
      </c>
      <c r="BK565" s="227">
        <v>3021020.11</v>
      </c>
      <c r="BL565" s="227">
        <v>3021022.03</v>
      </c>
      <c r="BM565" s="227">
        <v>3021020.07</v>
      </c>
      <c r="BN565" s="227">
        <v>2977460.79</v>
      </c>
      <c r="BO565" s="227">
        <v>2957767.97</v>
      </c>
      <c r="BP565" s="227">
        <v>2824180.51</v>
      </c>
      <c r="BQ565" s="227">
        <v>2683373.61</v>
      </c>
      <c r="BR565" s="227">
        <v>2683374.5</v>
      </c>
      <c r="BS565" s="227">
        <v>2683373.5699999998</v>
      </c>
      <c r="BT565" s="227">
        <v>34757461.509999998</v>
      </c>
    </row>
    <row r="566" spans="1:72" ht="15" customHeight="1">
      <c r="A566" s="215" t="s">
        <v>2725</v>
      </c>
      <c r="B566" s="215" t="s">
        <v>2944</v>
      </c>
      <c r="C566" s="215" t="s">
        <v>973</v>
      </c>
      <c r="D566" s="215" t="s">
        <v>973</v>
      </c>
      <c r="E566" s="150" t="s">
        <v>1136</v>
      </c>
      <c r="F566" s="482" t="s">
        <v>1566</v>
      </c>
      <c r="G566" s="383" t="s">
        <v>1480</v>
      </c>
      <c r="H566" s="338" t="s">
        <v>1480</v>
      </c>
      <c r="I566" s="334" t="s">
        <v>1345</v>
      </c>
      <c r="J566" s="334" t="s">
        <v>1480</v>
      </c>
      <c r="K566" s="334" t="s">
        <v>1346</v>
      </c>
      <c r="L566" s="516" t="s">
        <v>639</v>
      </c>
      <c r="M566" s="398" t="s">
        <v>818</v>
      </c>
      <c r="N566" s="343"/>
      <c r="O566" s="344"/>
      <c r="P566" s="219" t="s">
        <v>817</v>
      </c>
      <c r="Q566" s="349"/>
      <c r="R566" s="346" t="s">
        <v>1140</v>
      </c>
      <c r="S566" s="349"/>
      <c r="T566" s="334" t="s">
        <v>818</v>
      </c>
      <c r="U566" s="354"/>
      <c r="V566" s="403"/>
      <c r="W566" s="406">
        <v>30000</v>
      </c>
      <c r="X566" s="406">
        <v>33718.54</v>
      </c>
      <c r="Y566" s="425"/>
      <c r="Z566" s="71"/>
      <c r="AA566" s="408"/>
      <c r="AB566" s="410"/>
      <c r="AC566" s="410">
        <v>11218.54</v>
      </c>
      <c r="AD566" s="428">
        <v>0</v>
      </c>
      <c r="AE566" s="429">
        <v>0</v>
      </c>
      <c r="AF566" s="429">
        <v>15527.55</v>
      </c>
      <c r="AG566" s="368">
        <v>0</v>
      </c>
      <c r="AH566" s="368">
        <v>0</v>
      </c>
      <c r="AI566" s="369">
        <v>7500</v>
      </c>
      <c r="AJ566" s="368">
        <v>0</v>
      </c>
      <c r="AK566" s="369">
        <v>7500</v>
      </c>
      <c r="AL566" s="368">
        <v>0</v>
      </c>
      <c r="AM566" s="367">
        <f t="shared" ref="AM566:AM629" si="31">SUM(AA566:AL566)</f>
        <v>41746.089999999997</v>
      </c>
      <c r="AN566" s="362">
        <f>ERP_2[[#This Row],[2026 Working Total]]-ERP_2[[#This Row],[LE2 Final Submission]]</f>
        <v>8027.5499999999956</v>
      </c>
      <c r="AO566" s="227">
        <v>0</v>
      </c>
      <c r="AP566" s="227">
        <f t="shared" si="30"/>
        <v>15527.55</v>
      </c>
      <c r="AQ566" s="374">
        <f>SUM(ERP_2[[#This Row],[AP01]:[AP06]])-SUM(ERP_2[[#This Row],[AP01 LE2]:[AP06 LE2]])</f>
        <v>8027.5499999999993</v>
      </c>
      <c r="AR566" s="80"/>
      <c r="AS566" s="79">
        <f>ERP_2[[#This Row],[2026 Working Total to Budget/LE]]-ERP_2[[#This Row],[Giveback]]</f>
        <v>8027.5499999999956</v>
      </c>
      <c r="AT566" s="81"/>
      <c r="AU566" s="375"/>
      <c r="AV566" s="375"/>
      <c r="AW566" s="375">
        <v>11218.54</v>
      </c>
      <c r="AX566" s="375">
        <v>0</v>
      </c>
      <c r="AY566" s="375">
        <v>0</v>
      </c>
      <c r="AZ566" s="375">
        <v>7500</v>
      </c>
      <c r="BA566" s="375">
        <v>0</v>
      </c>
      <c r="BB566" s="375">
        <v>0</v>
      </c>
      <c r="BC566" s="375">
        <v>7500</v>
      </c>
      <c r="BD566" s="375">
        <v>0</v>
      </c>
      <c r="BE566" s="375">
        <v>7500</v>
      </c>
      <c r="BF566" s="375">
        <v>0</v>
      </c>
      <c r="BG566" s="375">
        <v>33718.54</v>
      </c>
      <c r="BH566" s="227"/>
      <c r="BI566" s="227"/>
      <c r="BJ566" s="227">
        <v>11218.54</v>
      </c>
      <c r="BK566" s="227">
        <v>0</v>
      </c>
      <c r="BL566" s="227">
        <v>0</v>
      </c>
      <c r="BM566" s="227">
        <v>7500</v>
      </c>
      <c r="BN566" s="227">
        <v>0</v>
      </c>
      <c r="BO566" s="227">
        <v>0</v>
      </c>
      <c r="BP566" s="227">
        <v>7500</v>
      </c>
      <c r="BQ566" s="227">
        <v>0</v>
      </c>
      <c r="BR566" s="227">
        <v>7500</v>
      </c>
      <c r="BS566" s="227">
        <v>0</v>
      </c>
      <c r="BT566" s="227">
        <v>33718.54</v>
      </c>
    </row>
    <row r="567" spans="1:72" ht="15" customHeight="1">
      <c r="A567" s="215" t="s">
        <v>2740</v>
      </c>
      <c r="B567" s="215" t="s">
        <v>2944</v>
      </c>
      <c r="C567" s="215" t="s">
        <v>980</v>
      </c>
      <c r="D567" s="215" t="s">
        <v>980</v>
      </c>
      <c r="E567" s="150" t="s">
        <v>1136</v>
      </c>
      <c r="F567" s="482" t="s">
        <v>1566</v>
      </c>
      <c r="G567" s="383" t="s">
        <v>1480</v>
      </c>
      <c r="H567" s="338" t="s">
        <v>1480</v>
      </c>
      <c r="I567" s="334" t="s">
        <v>1345</v>
      </c>
      <c r="J567" s="334" t="s">
        <v>1480</v>
      </c>
      <c r="K567" s="334" t="s">
        <v>1346</v>
      </c>
      <c r="L567" s="516" t="s">
        <v>639</v>
      </c>
      <c r="M567" s="398" t="s">
        <v>1327</v>
      </c>
      <c r="N567" s="343"/>
      <c r="O567" s="344"/>
      <c r="P567" s="219" t="s">
        <v>147</v>
      </c>
      <c r="Q567" s="349"/>
      <c r="R567" s="343"/>
      <c r="S567" s="349"/>
      <c r="T567" s="334" t="s">
        <v>25</v>
      </c>
      <c r="U567" s="354"/>
      <c r="V567" s="403"/>
      <c r="W567" s="406">
        <v>0</v>
      </c>
      <c r="X567" s="406">
        <v>16.46</v>
      </c>
      <c r="Y567" s="430"/>
      <c r="Z567" s="137"/>
      <c r="AA567" s="408"/>
      <c r="AB567" s="410">
        <v>18</v>
      </c>
      <c r="AC567" s="410">
        <v>-1.54</v>
      </c>
      <c r="AD567" s="428">
        <v>-7.0000000000000007E-2</v>
      </c>
      <c r="AE567" s="429">
        <v>0.83</v>
      </c>
      <c r="AF567" s="429">
        <v>-0.54</v>
      </c>
      <c r="AG567" s="368">
        <v>0</v>
      </c>
      <c r="AH567" s="368">
        <v>0</v>
      </c>
      <c r="AI567" s="368">
        <v>0</v>
      </c>
      <c r="AJ567" s="368">
        <v>0</v>
      </c>
      <c r="AK567" s="368">
        <v>0</v>
      </c>
      <c r="AL567" s="368">
        <v>0</v>
      </c>
      <c r="AM567" s="367">
        <f t="shared" si="31"/>
        <v>16.68</v>
      </c>
      <c r="AN567" s="362">
        <f>ERP_2[[#This Row],[2026 Working Total]]-ERP_2[[#This Row],[LE2 Final Submission]]</f>
        <v>0.21999999999999886</v>
      </c>
      <c r="AO567" s="227">
        <v>0</v>
      </c>
      <c r="AP567" s="227">
        <f t="shared" si="30"/>
        <v>-0.54</v>
      </c>
      <c r="AQ567" s="374">
        <f>SUM(ERP_2[[#This Row],[AP01]:[AP06]])-SUM(ERP_2[[#This Row],[AP01 LE2]:[AP06 LE2]])</f>
        <v>0.21999999999999886</v>
      </c>
      <c r="AR567" s="80"/>
      <c r="AS567" s="79">
        <f>ERP_2[[#This Row],[2026 Working Total to Budget/LE]]-ERP_2[[#This Row],[Giveback]]</f>
        <v>0.21999999999999886</v>
      </c>
      <c r="AT567" s="81"/>
      <c r="AU567" s="375"/>
      <c r="AV567" s="375">
        <v>18</v>
      </c>
      <c r="AW567" s="375">
        <v>-1.54</v>
      </c>
      <c r="AX567" s="375">
        <v>0</v>
      </c>
      <c r="AY567" s="375">
        <v>0</v>
      </c>
      <c r="AZ567" s="375">
        <v>0</v>
      </c>
      <c r="BA567" s="375">
        <v>0</v>
      </c>
      <c r="BB567" s="375">
        <v>0</v>
      </c>
      <c r="BC567" s="375">
        <v>0</v>
      </c>
      <c r="BD567" s="375">
        <v>0</v>
      </c>
      <c r="BE567" s="375">
        <v>0</v>
      </c>
      <c r="BF567" s="375">
        <v>0</v>
      </c>
      <c r="BG567" s="375">
        <v>16.46</v>
      </c>
      <c r="BH567" s="227"/>
      <c r="BI567" s="227">
        <v>18</v>
      </c>
      <c r="BJ567" s="227">
        <v>-1.54</v>
      </c>
      <c r="BK567" s="227">
        <v>0</v>
      </c>
      <c r="BL567" s="227">
        <v>0</v>
      </c>
      <c r="BM567" s="227">
        <v>0</v>
      </c>
      <c r="BN567" s="227">
        <v>0</v>
      </c>
      <c r="BO567" s="227">
        <v>0</v>
      </c>
      <c r="BP567" s="227">
        <v>0</v>
      </c>
      <c r="BQ567" s="227">
        <v>0</v>
      </c>
      <c r="BR567" s="227">
        <v>0</v>
      </c>
      <c r="BS567" s="227">
        <v>0</v>
      </c>
      <c r="BT567" s="227">
        <v>16.46</v>
      </c>
    </row>
    <row r="568" spans="1:72" ht="15" customHeight="1">
      <c r="A568" s="215" t="s">
        <v>2842</v>
      </c>
      <c r="B568" s="215" t="s">
        <v>2944</v>
      </c>
      <c r="C568" s="215" t="s">
        <v>1034</v>
      </c>
      <c r="D568" s="215" t="s">
        <v>2843</v>
      </c>
      <c r="E568" s="150" t="s">
        <v>1136</v>
      </c>
      <c r="F568" s="482" t="s">
        <v>1566</v>
      </c>
      <c r="G568" s="150" t="s">
        <v>1566</v>
      </c>
      <c r="H568" s="334" t="s">
        <v>1566</v>
      </c>
      <c r="I568" s="334" t="s">
        <v>1567</v>
      </c>
      <c r="J568" s="334" t="s">
        <v>1567</v>
      </c>
      <c r="K568" s="334" t="s">
        <v>1567</v>
      </c>
      <c r="L568" s="516" t="s">
        <v>1027</v>
      </c>
      <c r="M568" s="398" t="s">
        <v>2830</v>
      </c>
      <c r="N568" s="343"/>
      <c r="O568" s="344"/>
      <c r="P568" s="219" t="s">
        <v>1029</v>
      </c>
      <c r="Q568" s="349"/>
      <c r="R568" s="343"/>
      <c r="S568" s="349"/>
      <c r="T568" s="334" t="s">
        <v>25</v>
      </c>
      <c r="U568" s="354"/>
      <c r="V568" s="403"/>
      <c r="W568" s="406">
        <v>3200</v>
      </c>
      <c r="X568" s="406">
        <v>4217.2800000000007</v>
      </c>
      <c r="Y568" s="425"/>
      <c r="Z568" s="71"/>
      <c r="AA568" s="408">
        <v>470.66</v>
      </c>
      <c r="AB568" s="410">
        <v>1081.01</v>
      </c>
      <c r="AC568" s="410">
        <v>665.61</v>
      </c>
      <c r="AD568" s="428">
        <v>309.95</v>
      </c>
      <c r="AE568" s="429">
        <v>41.64</v>
      </c>
      <c r="AF568" s="429">
        <v>76.3</v>
      </c>
      <c r="AG568" s="369">
        <v>200</v>
      </c>
      <c r="AH568" s="369">
        <v>200</v>
      </c>
      <c r="AI568" s="369">
        <v>200</v>
      </c>
      <c r="AJ568" s="369">
        <v>200</v>
      </c>
      <c r="AK568" s="369">
        <v>200</v>
      </c>
      <c r="AL568" s="369">
        <v>200</v>
      </c>
      <c r="AM568" s="367">
        <f t="shared" si="31"/>
        <v>3845.17</v>
      </c>
      <c r="AN568" s="362">
        <f>ERP_2[[#This Row],[2026 Working Total]]-ERP_2[[#This Row],[LE2 Final Submission]]</f>
        <v>-372.11000000000058</v>
      </c>
      <c r="AO568" s="227">
        <v>300</v>
      </c>
      <c r="AP568" s="227">
        <f t="shared" si="30"/>
        <v>-223.7</v>
      </c>
      <c r="AQ568" s="374">
        <f>SUM(ERP_2[[#This Row],[AP01]:[AP06]])-SUM(ERP_2[[#This Row],[AP01 LE2]:[AP06 LE2]])</f>
        <v>-372.11000000000013</v>
      </c>
      <c r="AR568" s="80"/>
      <c r="AS568" s="79">
        <f>ERP_2[[#This Row],[2026 Working Total to Budget/LE]]-ERP_2[[#This Row],[Giveback]]</f>
        <v>-372.11000000000058</v>
      </c>
      <c r="AT568" s="81"/>
      <c r="AU568" s="375">
        <v>470.66</v>
      </c>
      <c r="AV568" s="375">
        <v>1081.01</v>
      </c>
      <c r="AW568" s="375">
        <v>665.61</v>
      </c>
      <c r="AX568" s="375">
        <v>200</v>
      </c>
      <c r="AY568" s="375">
        <v>300</v>
      </c>
      <c r="AZ568" s="375">
        <v>300</v>
      </c>
      <c r="BA568" s="375">
        <v>200</v>
      </c>
      <c r="BB568" s="375">
        <v>200</v>
      </c>
      <c r="BC568" s="375">
        <v>200</v>
      </c>
      <c r="BD568" s="375">
        <v>200</v>
      </c>
      <c r="BE568" s="375">
        <v>200</v>
      </c>
      <c r="BF568" s="375">
        <v>200</v>
      </c>
      <c r="BG568" s="375">
        <v>4217.2800000000007</v>
      </c>
      <c r="BH568" s="227">
        <v>470.66</v>
      </c>
      <c r="BI568" s="227">
        <v>1081.01</v>
      </c>
      <c r="BJ568" s="227">
        <v>665.61</v>
      </c>
      <c r="BK568" s="227">
        <v>200</v>
      </c>
      <c r="BL568" s="227">
        <v>300</v>
      </c>
      <c r="BM568" s="227">
        <v>300</v>
      </c>
      <c r="BN568" s="227">
        <v>200</v>
      </c>
      <c r="BO568" s="227">
        <v>200</v>
      </c>
      <c r="BP568" s="227">
        <v>200</v>
      </c>
      <c r="BQ568" s="227">
        <v>200</v>
      </c>
      <c r="BR568" s="227">
        <v>200</v>
      </c>
      <c r="BS568" s="227">
        <v>200</v>
      </c>
      <c r="BT568" s="227">
        <v>4217.2800000000007</v>
      </c>
    </row>
    <row r="569" spans="1:72" ht="15" customHeight="1">
      <c r="A569" s="215" t="s">
        <v>2862</v>
      </c>
      <c r="B569" s="215" t="s">
        <v>2944</v>
      </c>
      <c r="C569" s="215" t="s">
        <v>1047</v>
      </c>
      <c r="D569" s="215" t="s">
        <v>2863</v>
      </c>
      <c r="E569" s="150" t="s">
        <v>1136</v>
      </c>
      <c r="F569" s="482" t="s">
        <v>1566</v>
      </c>
      <c r="G569" s="150" t="s">
        <v>1566</v>
      </c>
      <c r="H569" s="334" t="s">
        <v>1566</v>
      </c>
      <c r="I569" s="334" t="s">
        <v>1567</v>
      </c>
      <c r="J569" s="334" t="s">
        <v>1567</v>
      </c>
      <c r="K569" s="334" t="s">
        <v>1567</v>
      </c>
      <c r="L569" s="516" t="s">
        <v>1037</v>
      </c>
      <c r="M569" s="398" t="s">
        <v>2846</v>
      </c>
      <c r="N569" s="343"/>
      <c r="O569" s="344"/>
      <c r="P569" s="219" t="s">
        <v>1039</v>
      </c>
      <c r="Q569" s="349"/>
      <c r="R569" s="346" t="s">
        <v>1140</v>
      </c>
      <c r="S569" s="349"/>
      <c r="T569" s="334" t="s">
        <v>1040</v>
      </c>
      <c r="U569" s="354"/>
      <c r="V569" s="403"/>
      <c r="W569" s="406">
        <v>0</v>
      </c>
      <c r="X569" s="406">
        <v>-468023.23</v>
      </c>
      <c r="Y569" s="425"/>
      <c r="Z569" s="71"/>
      <c r="AA569" s="408">
        <v>-478537.04</v>
      </c>
      <c r="AB569" s="410">
        <v>11513.92</v>
      </c>
      <c r="AC569" s="410">
        <v>-1000.11</v>
      </c>
      <c r="AD569" s="428">
        <v>5133</v>
      </c>
      <c r="AE569" s="429">
        <v>288</v>
      </c>
      <c r="AF569" s="429">
        <v>864</v>
      </c>
      <c r="AG569" s="368">
        <v>0</v>
      </c>
      <c r="AH569" s="368">
        <v>0</v>
      </c>
      <c r="AI569" s="368">
        <v>0</v>
      </c>
      <c r="AJ569" s="368">
        <v>0</v>
      </c>
      <c r="AK569" s="368">
        <v>0</v>
      </c>
      <c r="AL569" s="368">
        <v>0</v>
      </c>
      <c r="AM569" s="367">
        <f t="shared" si="31"/>
        <v>-461738.23</v>
      </c>
      <c r="AN569" s="362">
        <f>ERP_2[[#This Row],[2026 Working Total]]-ERP_2[[#This Row],[LE2 Final Submission]]</f>
        <v>6285</v>
      </c>
      <c r="AO569" s="227">
        <v>0</v>
      </c>
      <c r="AP569" s="227">
        <f t="shared" si="30"/>
        <v>864</v>
      </c>
      <c r="AQ569" s="374">
        <f>SUM(ERP_2[[#This Row],[AP01]:[AP06]])-SUM(ERP_2[[#This Row],[AP01 LE2]:[AP06 LE2]])</f>
        <v>6285</v>
      </c>
      <c r="AR569" s="80"/>
      <c r="AS569" s="79">
        <f>ERP_2[[#This Row],[2026 Working Total to Budget/LE]]-ERP_2[[#This Row],[Giveback]]</f>
        <v>6285</v>
      </c>
      <c r="AT569" s="81"/>
      <c r="AU569" s="375">
        <v>-478537.04</v>
      </c>
      <c r="AV569" s="375">
        <v>11513.92</v>
      </c>
      <c r="AW569" s="375">
        <v>-1000.11</v>
      </c>
      <c r="AX569" s="375">
        <v>0</v>
      </c>
      <c r="AY569" s="375">
        <v>0</v>
      </c>
      <c r="AZ569" s="375">
        <v>0</v>
      </c>
      <c r="BA569" s="375">
        <v>0</v>
      </c>
      <c r="BB569" s="375">
        <v>0</v>
      </c>
      <c r="BC569" s="375">
        <v>0</v>
      </c>
      <c r="BD569" s="375">
        <v>0</v>
      </c>
      <c r="BE569" s="375">
        <v>0</v>
      </c>
      <c r="BF569" s="375">
        <v>0</v>
      </c>
      <c r="BG569" s="375">
        <v>-468023.23</v>
      </c>
      <c r="BH569" s="227">
        <v>-478537.04</v>
      </c>
      <c r="BI569" s="227">
        <v>11513.92</v>
      </c>
      <c r="BJ569" s="227">
        <v>-1000.11</v>
      </c>
      <c r="BK569" s="227">
        <v>0</v>
      </c>
      <c r="BL569" s="227">
        <v>0</v>
      </c>
      <c r="BM569" s="227">
        <v>0</v>
      </c>
      <c r="BN569" s="227">
        <v>0</v>
      </c>
      <c r="BO569" s="227">
        <v>0</v>
      </c>
      <c r="BP569" s="227">
        <v>0</v>
      </c>
      <c r="BQ569" s="227">
        <v>0</v>
      </c>
      <c r="BR569" s="227">
        <v>0</v>
      </c>
      <c r="BS569" s="227">
        <v>0</v>
      </c>
      <c r="BT569" s="227">
        <v>-468023.23</v>
      </c>
    </row>
    <row r="570" spans="1:72" ht="15" customHeight="1">
      <c r="A570" s="215" t="s">
        <v>1641</v>
      </c>
      <c r="B570" s="215" t="s">
        <v>2944</v>
      </c>
      <c r="C570" s="215" t="s">
        <v>319</v>
      </c>
      <c r="D570" s="215" t="s">
        <v>1642</v>
      </c>
      <c r="E570" s="150" t="s">
        <v>1136</v>
      </c>
      <c r="F570" s="482" t="s">
        <v>1566</v>
      </c>
      <c r="G570" s="150" t="s">
        <v>1566</v>
      </c>
      <c r="H570" s="334" t="s">
        <v>1566</v>
      </c>
      <c r="I570" s="334" t="s">
        <v>1567</v>
      </c>
      <c r="J570" s="334" t="s">
        <v>1567</v>
      </c>
      <c r="K570" s="334" t="s">
        <v>1567</v>
      </c>
      <c r="L570" s="516" t="s">
        <v>49</v>
      </c>
      <c r="M570" s="398" t="s">
        <v>1327</v>
      </c>
      <c r="N570" s="343"/>
      <c r="O570" s="344"/>
      <c r="P570" s="219" t="s">
        <v>147</v>
      </c>
      <c r="Q570" s="349"/>
      <c r="R570" s="343"/>
      <c r="S570" s="349"/>
      <c r="T570" s="334" t="s">
        <v>25</v>
      </c>
      <c r="U570" s="354"/>
      <c r="V570" s="403"/>
      <c r="W570" s="406">
        <v>0</v>
      </c>
      <c r="X570" s="406">
        <v>-2284.04</v>
      </c>
      <c r="Y570" s="425"/>
      <c r="Z570" s="71"/>
      <c r="AA570" s="408">
        <v>0.08</v>
      </c>
      <c r="AB570" s="410">
        <v>-0.17</v>
      </c>
      <c r="AC570" s="410">
        <v>-2283.9499999999998</v>
      </c>
      <c r="AD570" s="428">
        <v>5124.1100000000006</v>
      </c>
      <c r="AE570" s="429">
        <v>-6526.2599999999993</v>
      </c>
      <c r="AF570" s="429">
        <v>97626.25</v>
      </c>
      <c r="AG570" s="368">
        <v>0</v>
      </c>
      <c r="AH570" s="368">
        <v>0</v>
      </c>
      <c r="AI570" s="368">
        <v>0</v>
      </c>
      <c r="AJ570" s="368">
        <v>0</v>
      </c>
      <c r="AK570" s="368">
        <v>0</v>
      </c>
      <c r="AL570" s="368">
        <v>0</v>
      </c>
      <c r="AM570" s="367">
        <f t="shared" si="31"/>
        <v>93940.06</v>
      </c>
      <c r="AN570" s="362">
        <f>ERP_2[[#This Row],[2026 Working Total]]-ERP_2[[#This Row],[LE2 Final Submission]]</f>
        <v>96224.099999999991</v>
      </c>
      <c r="AO570" s="227">
        <v>0</v>
      </c>
      <c r="AP570" s="227">
        <f t="shared" si="30"/>
        <v>97626.25</v>
      </c>
      <c r="AQ570" s="374">
        <f>SUM(ERP_2[[#This Row],[AP01]:[AP06]])-SUM(ERP_2[[#This Row],[AP01 LE2]:[AP06 LE2]])</f>
        <v>96224.099999999991</v>
      </c>
      <c r="AR570" s="80"/>
      <c r="AS570" s="79">
        <f>ERP_2[[#This Row],[2026 Working Total to Budget/LE]]-ERP_2[[#This Row],[Giveback]]</f>
        <v>96224.099999999991</v>
      </c>
      <c r="AT570" s="81"/>
      <c r="AU570" s="375">
        <v>0.08</v>
      </c>
      <c r="AV570" s="375">
        <v>-0.17</v>
      </c>
      <c r="AW570" s="375">
        <v>-2283.9499999999998</v>
      </c>
      <c r="AX570" s="375">
        <v>0</v>
      </c>
      <c r="AY570" s="375">
        <v>0</v>
      </c>
      <c r="AZ570" s="375">
        <v>0</v>
      </c>
      <c r="BA570" s="375">
        <v>0</v>
      </c>
      <c r="BB570" s="375">
        <v>0</v>
      </c>
      <c r="BC570" s="375">
        <v>0</v>
      </c>
      <c r="BD570" s="375">
        <v>0</v>
      </c>
      <c r="BE570" s="375">
        <v>0</v>
      </c>
      <c r="BF570" s="375">
        <v>0</v>
      </c>
      <c r="BG570" s="375">
        <v>-2284.04</v>
      </c>
      <c r="BH570" s="227">
        <v>0.08</v>
      </c>
      <c r="BI570" s="227">
        <v>-0.17</v>
      </c>
      <c r="BJ570" s="227">
        <v>-2283.9499999999998</v>
      </c>
      <c r="BK570" s="227">
        <v>0</v>
      </c>
      <c r="BL570" s="227">
        <v>0</v>
      </c>
      <c r="BM570" s="227">
        <v>0</v>
      </c>
      <c r="BN570" s="227">
        <v>0</v>
      </c>
      <c r="BO570" s="227">
        <v>0</v>
      </c>
      <c r="BP570" s="227">
        <v>0</v>
      </c>
      <c r="BQ570" s="227">
        <v>0</v>
      </c>
      <c r="BR570" s="227">
        <v>0</v>
      </c>
      <c r="BS570" s="227">
        <v>0</v>
      </c>
      <c r="BT570" s="227">
        <v>-2284.04</v>
      </c>
    </row>
    <row r="571" spans="1:72" ht="15" customHeight="1">
      <c r="A571" s="215" t="s">
        <v>1744</v>
      </c>
      <c r="B571" s="215" t="s">
        <v>2944</v>
      </c>
      <c r="C571" s="215" t="s">
        <v>384</v>
      </c>
      <c r="D571" s="215" t="s">
        <v>1745</v>
      </c>
      <c r="E571" s="150" t="s">
        <v>1136</v>
      </c>
      <c r="F571" s="482" t="s">
        <v>1566</v>
      </c>
      <c r="G571" s="482" t="s">
        <v>1566</v>
      </c>
      <c r="H571" s="553" t="s">
        <v>1566</v>
      </c>
      <c r="I571" s="334" t="s">
        <v>1345</v>
      </c>
      <c r="J571" s="334" t="s">
        <v>1346</v>
      </c>
      <c r="K571" s="334" t="s">
        <v>1346</v>
      </c>
      <c r="L571" s="516" t="s">
        <v>342</v>
      </c>
      <c r="M571" s="398" t="s">
        <v>1327</v>
      </c>
      <c r="N571" s="343"/>
      <c r="O571" s="344"/>
      <c r="P571" s="219" t="s">
        <v>147</v>
      </c>
      <c r="Q571" s="349"/>
      <c r="R571" s="343"/>
      <c r="S571" s="349"/>
      <c r="T571" s="334" t="s">
        <v>25</v>
      </c>
      <c r="U571" s="354"/>
      <c r="V571" s="403"/>
      <c r="W571" s="406">
        <v>0</v>
      </c>
      <c r="X571" s="406">
        <v>835.42000000000007</v>
      </c>
      <c r="Y571" s="425"/>
      <c r="Z571" s="71"/>
      <c r="AA571" s="408">
        <v>-0.14000000000000001</v>
      </c>
      <c r="AB571" s="410">
        <v>464.29</v>
      </c>
      <c r="AC571" s="410">
        <v>371.27</v>
      </c>
      <c r="AD571" s="428">
        <v>-0.06</v>
      </c>
      <c r="AE571" s="429">
        <v>2499.4899999999998</v>
      </c>
      <c r="AF571" s="429">
        <v>-0.11</v>
      </c>
      <c r="AG571" s="368">
        <v>0</v>
      </c>
      <c r="AH571" s="368">
        <v>0</v>
      </c>
      <c r="AI571" s="368">
        <v>0</v>
      </c>
      <c r="AJ571" s="368">
        <v>0</v>
      </c>
      <c r="AK571" s="368">
        <v>0</v>
      </c>
      <c r="AL571" s="368">
        <v>0</v>
      </c>
      <c r="AM571" s="367">
        <f t="shared" si="31"/>
        <v>3334.74</v>
      </c>
      <c r="AN571" s="362">
        <f>ERP_2[[#This Row],[2026 Working Total]]-ERP_2[[#This Row],[LE2 Final Submission]]</f>
        <v>2499.3199999999997</v>
      </c>
      <c r="AO571" s="227">
        <v>0</v>
      </c>
      <c r="AP571" s="227">
        <f t="shared" si="30"/>
        <v>-0.11</v>
      </c>
      <c r="AQ571" s="374">
        <f>SUM(ERP_2[[#This Row],[AP01]:[AP06]])-SUM(ERP_2[[#This Row],[AP01 LE2]:[AP06 LE2]])</f>
        <v>2499.3199999999997</v>
      </c>
      <c r="AR571" s="80"/>
      <c r="AS571" s="79">
        <f>ERP_2[[#This Row],[2026 Working Total to Budget/LE]]-ERP_2[[#This Row],[Giveback]]</f>
        <v>2499.3199999999997</v>
      </c>
      <c r="AT571" s="81"/>
      <c r="AU571" s="375">
        <v>-0.14000000000000001</v>
      </c>
      <c r="AV571" s="375">
        <v>464.29</v>
      </c>
      <c r="AW571" s="375">
        <v>371.27</v>
      </c>
      <c r="AX571" s="375">
        <v>0</v>
      </c>
      <c r="AY571" s="375">
        <v>0</v>
      </c>
      <c r="AZ571" s="375">
        <v>0</v>
      </c>
      <c r="BA571" s="375">
        <v>0</v>
      </c>
      <c r="BB571" s="375">
        <v>0</v>
      </c>
      <c r="BC571" s="375">
        <v>0</v>
      </c>
      <c r="BD571" s="375">
        <v>0</v>
      </c>
      <c r="BE571" s="375">
        <v>0</v>
      </c>
      <c r="BF571" s="375">
        <v>0</v>
      </c>
      <c r="BG571" s="375">
        <v>835.42000000000007</v>
      </c>
      <c r="BH571" s="227">
        <v>-0.14000000000000001</v>
      </c>
      <c r="BI571" s="227">
        <v>464.29</v>
      </c>
      <c r="BJ571" s="227">
        <v>371.27</v>
      </c>
      <c r="BK571" s="227">
        <v>0</v>
      </c>
      <c r="BL571" s="227">
        <v>0</v>
      </c>
      <c r="BM571" s="227">
        <v>0</v>
      </c>
      <c r="BN571" s="227">
        <v>0</v>
      </c>
      <c r="BO571" s="227">
        <v>0</v>
      </c>
      <c r="BP571" s="227">
        <v>0</v>
      </c>
      <c r="BQ571" s="227">
        <v>0</v>
      </c>
      <c r="BR571" s="227">
        <v>0</v>
      </c>
      <c r="BS571" s="227">
        <v>0</v>
      </c>
      <c r="BT571" s="227">
        <v>835.42000000000007</v>
      </c>
    </row>
    <row r="572" spans="1:72" ht="15" customHeight="1">
      <c r="A572" s="215" t="s">
        <v>2096</v>
      </c>
      <c r="B572" s="215" t="s">
        <v>2944</v>
      </c>
      <c r="C572" s="215" t="s">
        <v>569</v>
      </c>
      <c r="D572" s="215" t="s">
        <v>2097</v>
      </c>
      <c r="E572" s="150" t="s">
        <v>1136</v>
      </c>
      <c r="F572" s="482" t="s">
        <v>1566</v>
      </c>
      <c r="G572" s="150" t="s">
        <v>1566</v>
      </c>
      <c r="H572" s="334" t="s">
        <v>1566</v>
      </c>
      <c r="I572" s="334" t="s">
        <v>1567</v>
      </c>
      <c r="J572" s="334" t="s">
        <v>1567</v>
      </c>
      <c r="K572" s="334" t="s">
        <v>1567</v>
      </c>
      <c r="L572" s="516" t="s">
        <v>389</v>
      </c>
      <c r="M572" s="398" t="s">
        <v>1174</v>
      </c>
      <c r="N572" s="343"/>
      <c r="O572" s="344"/>
      <c r="P572" s="219" t="s">
        <v>56</v>
      </c>
      <c r="Q572" s="349"/>
      <c r="R572" s="346" t="s">
        <v>1140</v>
      </c>
      <c r="S572" s="349"/>
      <c r="T572" s="334" t="s">
        <v>57</v>
      </c>
      <c r="U572" s="354"/>
      <c r="V572" s="403"/>
      <c r="W572" s="406">
        <v>42000</v>
      </c>
      <c r="X572" s="406">
        <v>36969.919999999998</v>
      </c>
      <c r="Y572" s="425"/>
      <c r="Z572" s="71"/>
      <c r="AA572" s="408">
        <v>1654.46</v>
      </c>
      <c r="AB572" s="410">
        <v>2175.66</v>
      </c>
      <c r="AC572" s="410">
        <v>1639.8</v>
      </c>
      <c r="AD572" s="428">
        <v>3229.0899999999997</v>
      </c>
      <c r="AE572" s="429">
        <v>4136.0599999999995</v>
      </c>
      <c r="AF572" s="429">
        <v>4975.22</v>
      </c>
      <c r="AG572" s="369">
        <v>3500</v>
      </c>
      <c r="AH572" s="369">
        <v>3500</v>
      </c>
      <c r="AI572" s="369">
        <v>3500</v>
      </c>
      <c r="AJ572" s="369">
        <v>3500</v>
      </c>
      <c r="AK572" s="369">
        <v>3500</v>
      </c>
      <c r="AL572" s="369">
        <v>3500</v>
      </c>
      <c r="AM572" s="367">
        <f t="shared" si="31"/>
        <v>38810.29</v>
      </c>
      <c r="AN572" s="362">
        <f>ERP_2[[#This Row],[2026 Working Total]]-ERP_2[[#This Row],[LE2 Final Submission]]</f>
        <v>1840.3700000000026</v>
      </c>
      <c r="AO572" s="227">
        <v>3500</v>
      </c>
      <c r="AP572" s="227">
        <f t="shared" si="30"/>
        <v>1475.2200000000003</v>
      </c>
      <c r="AQ572" s="374">
        <f>SUM(ERP_2[[#This Row],[AP01]:[AP06]])-SUM(ERP_2[[#This Row],[AP01 LE2]:[AP06 LE2]])</f>
        <v>1840.3700000000008</v>
      </c>
      <c r="AR572" s="80"/>
      <c r="AS572" s="79">
        <f>ERP_2[[#This Row],[2026 Working Total to Budget/LE]]-ERP_2[[#This Row],[Giveback]]</f>
        <v>1840.3700000000026</v>
      </c>
      <c r="AT572" s="81"/>
      <c r="AU572" s="375">
        <v>1654.46</v>
      </c>
      <c r="AV572" s="375">
        <v>2175.66</v>
      </c>
      <c r="AW572" s="375">
        <v>1639.8</v>
      </c>
      <c r="AX572" s="375">
        <v>3500</v>
      </c>
      <c r="AY572" s="375">
        <v>3500</v>
      </c>
      <c r="AZ572" s="375">
        <v>3500</v>
      </c>
      <c r="BA572" s="375">
        <v>3500</v>
      </c>
      <c r="BB572" s="375">
        <v>3500</v>
      </c>
      <c r="BC572" s="375">
        <v>3500</v>
      </c>
      <c r="BD572" s="375">
        <v>3500</v>
      </c>
      <c r="BE572" s="375">
        <v>3500</v>
      </c>
      <c r="BF572" s="375">
        <v>3500</v>
      </c>
      <c r="BG572" s="375">
        <v>36969.919999999998</v>
      </c>
      <c r="BH572" s="227">
        <v>1654.46</v>
      </c>
      <c r="BI572" s="227">
        <v>2175.66</v>
      </c>
      <c r="BJ572" s="227">
        <v>1639.8</v>
      </c>
      <c r="BK572" s="227">
        <v>3500</v>
      </c>
      <c r="BL572" s="227">
        <v>3500</v>
      </c>
      <c r="BM572" s="227">
        <v>3500</v>
      </c>
      <c r="BN572" s="227">
        <v>3500</v>
      </c>
      <c r="BO572" s="227">
        <v>3500</v>
      </c>
      <c r="BP572" s="227">
        <v>3500</v>
      </c>
      <c r="BQ572" s="227">
        <v>3500</v>
      </c>
      <c r="BR572" s="227">
        <v>3500</v>
      </c>
      <c r="BS572" s="227">
        <v>3500</v>
      </c>
      <c r="BT572" s="227">
        <v>36969.919999999998</v>
      </c>
    </row>
    <row r="573" spans="1:72" ht="15" customHeight="1">
      <c r="A573" s="215" t="s">
        <v>2115</v>
      </c>
      <c r="B573" s="215" t="s">
        <v>2944</v>
      </c>
      <c r="C573" s="215" t="s">
        <v>580</v>
      </c>
      <c r="D573" s="215" t="s">
        <v>2116</v>
      </c>
      <c r="E573" s="150" t="s">
        <v>1136</v>
      </c>
      <c r="F573" s="482" t="s">
        <v>1566</v>
      </c>
      <c r="G573" s="150" t="s">
        <v>1566</v>
      </c>
      <c r="H573" s="334" t="s">
        <v>1566</v>
      </c>
      <c r="I573" s="334" t="s">
        <v>1567</v>
      </c>
      <c r="J573" s="334" t="s">
        <v>1567</v>
      </c>
      <c r="K573" s="334" t="s">
        <v>1567</v>
      </c>
      <c r="L573" s="516" t="s">
        <v>389</v>
      </c>
      <c r="M573" s="398" t="s">
        <v>1703</v>
      </c>
      <c r="N573" s="343"/>
      <c r="O573" s="344"/>
      <c r="P573" s="219" t="s">
        <v>365</v>
      </c>
      <c r="Q573" s="349"/>
      <c r="R573" s="346" t="s">
        <v>1140</v>
      </c>
      <c r="S573" s="349"/>
      <c r="T573" s="334" t="s">
        <v>57</v>
      </c>
      <c r="U573" s="354"/>
      <c r="V573" s="403"/>
      <c r="W573" s="406">
        <v>18000</v>
      </c>
      <c r="X573" s="406">
        <v>15727.5</v>
      </c>
      <c r="Y573" s="425"/>
      <c r="Z573" s="71"/>
      <c r="AA573" s="408">
        <v>2227.5</v>
      </c>
      <c r="AB573" s="412">
        <v>0</v>
      </c>
      <c r="AC573" s="412">
        <v>0</v>
      </c>
      <c r="AD573" s="428">
        <v>0</v>
      </c>
      <c r="AE573" s="429">
        <v>1.86</v>
      </c>
      <c r="AF573" s="429">
        <v>388.92</v>
      </c>
      <c r="AG573" s="369">
        <v>1500</v>
      </c>
      <c r="AH573" s="369">
        <v>1500</v>
      </c>
      <c r="AI573" s="369">
        <v>1500</v>
      </c>
      <c r="AJ573" s="369">
        <v>1500</v>
      </c>
      <c r="AK573" s="369">
        <v>1500</v>
      </c>
      <c r="AL573" s="369">
        <v>1500</v>
      </c>
      <c r="AM573" s="367">
        <f t="shared" si="31"/>
        <v>11618.28</v>
      </c>
      <c r="AN573" s="362">
        <f>ERP_2[[#This Row],[2026 Working Total]]-ERP_2[[#This Row],[LE2 Final Submission]]</f>
        <v>-4109.2199999999993</v>
      </c>
      <c r="AO573" s="227">
        <v>1500</v>
      </c>
      <c r="AP573" s="227">
        <f t="shared" si="30"/>
        <v>-1111.08</v>
      </c>
      <c r="AQ573" s="374">
        <f>SUM(ERP_2[[#This Row],[AP01]:[AP06]])-SUM(ERP_2[[#This Row],[AP01 LE2]:[AP06 LE2]])</f>
        <v>-4109.2199999999993</v>
      </c>
      <c r="AR573" s="80"/>
      <c r="AS573" s="79">
        <f>ERP_2[[#This Row],[2026 Working Total to Budget/LE]]-ERP_2[[#This Row],[Giveback]]</f>
        <v>-4109.2199999999993</v>
      </c>
      <c r="AT573" s="81"/>
      <c r="AU573" s="375">
        <v>2227.5</v>
      </c>
      <c r="AV573" s="375">
        <v>0</v>
      </c>
      <c r="AW573" s="375">
        <v>0</v>
      </c>
      <c r="AX573" s="375">
        <v>1500</v>
      </c>
      <c r="AY573" s="375">
        <v>1500</v>
      </c>
      <c r="AZ573" s="375">
        <v>1500</v>
      </c>
      <c r="BA573" s="375">
        <v>1500</v>
      </c>
      <c r="BB573" s="375">
        <v>1500</v>
      </c>
      <c r="BC573" s="375">
        <v>1500</v>
      </c>
      <c r="BD573" s="375">
        <v>1500</v>
      </c>
      <c r="BE573" s="375">
        <v>1500</v>
      </c>
      <c r="BF573" s="375">
        <v>1500</v>
      </c>
      <c r="BG573" s="375">
        <v>15727.5</v>
      </c>
      <c r="BH573" s="227">
        <v>2227.5</v>
      </c>
      <c r="BI573" s="227">
        <v>0</v>
      </c>
      <c r="BJ573" s="227">
        <v>0</v>
      </c>
      <c r="BK573" s="227">
        <v>1500</v>
      </c>
      <c r="BL573" s="227">
        <v>1500</v>
      </c>
      <c r="BM573" s="227">
        <v>1500</v>
      </c>
      <c r="BN573" s="227">
        <v>1500</v>
      </c>
      <c r="BO573" s="227">
        <v>1500</v>
      </c>
      <c r="BP573" s="227">
        <v>1500</v>
      </c>
      <c r="BQ573" s="227">
        <v>1500</v>
      </c>
      <c r="BR573" s="227">
        <v>1500</v>
      </c>
      <c r="BS573" s="227">
        <v>1500</v>
      </c>
      <c r="BT573" s="227">
        <v>15727.5</v>
      </c>
    </row>
    <row r="574" spans="1:72" ht="15" customHeight="1">
      <c r="A574" s="215" t="s">
        <v>2120</v>
      </c>
      <c r="B574" s="215" t="s">
        <v>2944</v>
      </c>
      <c r="C574" s="215" t="s">
        <v>581</v>
      </c>
      <c r="D574" s="215" t="s">
        <v>2121</v>
      </c>
      <c r="E574" s="150" t="s">
        <v>1136</v>
      </c>
      <c r="F574" s="482" t="s">
        <v>1566</v>
      </c>
      <c r="G574" s="150" t="s">
        <v>1566</v>
      </c>
      <c r="H574" s="334" t="s">
        <v>1566</v>
      </c>
      <c r="I574" s="334" t="s">
        <v>1567</v>
      </c>
      <c r="J574" s="334" t="s">
        <v>1567</v>
      </c>
      <c r="K574" s="334" t="s">
        <v>1567</v>
      </c>
      <c r="L574" s="516" t="s">
        <v>389</v>
      </c>
      <c r="M574" s="398" t="s">
        <v>1855</v>
      </c>
      <c r="N574" s="343"/>
      <c r="O574" s="344"/>
      <c r="P574" s="219" t="s">
        <v>466</v>
      </c>
      <c r="Q574" s="349"/>
      <c r="R574" s="346" t="s">
        <v>1140</v>
      </c>
      <c r="S574" s="349"/>
      <c r="T574" s="334" t="s">
        <v>57</v>
      </c>
      <c r="U574" s="354"/>
      <c r="V574" s="403"/>
      <c r="W574" s="406">
        <v>0</v>
      </c>
      <c r="X574" s="406">
        <v>882</v>
      </c>
      <c r="Y574" s="425"/>
      <c r="Z574" s="71"/>
      <c r="AA574" s="408">
        <v>194</v>
      </c>
      <c r="AB574" s="410">
        <v>194</v>
      </c>
      <c r="AC574" s="410">
        <v>494</v>
      </c>
      <c r="AD574" s="428">
        <v>688</v>
      </c>
      <c r="AE574" s="429">
        <v>501</v>
      </c>
      <c r="AF574" s="429">
        <v>441</v>
      </c>
      <c r="AG574" s="368">
        <v>0</v>
      </c>
      <c r="AH574" s="368">
        <v>0</v>
      </c>
      <c r="AI574" s="368">
        <v>0</v>
      </c>
      <c r="AJ574" s="368">
        <v>0</v>
      </c>
      <c r="AK574" s="368">
        <v>0</v>
      </c>
      <c r="AL574" s="368">
        <v>0</v>
      </c>
      <c r="AM574" s="367">
        <f t="shared" si="31"/>
        <v>2512</v>
      </c>
      <c r="AN574" s="362">
        <f>ERP_2[[#This Row],[2026 Working Total]]-ERP_2[[#This Row],[LE2 Final Submission]]</f>
        <v>1630</v>
      </c>
      <c r="AO574" s="227">
        <v>0</v>
      </c>
      <c r="AP574" s="227">
        <f t="shared" si="30"/>
        <v>441</v>
      </c>
      <c r="AQ574" s="374">
        <f>SUM(ERP_2[[#This Row],[AP01]:[AP06]])-SUM(ERP_2[[#This Row],[AP01 LE2]:[AP06 LE2]])</f>
        <v>1630</v>
      </c>
      <c r="AR574" s="80"/>
      <c r="AS574" s="79">
        <f>ERP_2[[#This Row],[2026 Working Total to Budget/LE]]-ERP_2[[#This Row],[Giveback]]</f>
        <v>1630</v>
      </c>
      <c r="AT574" s="81"/>
      <c r="AU574" s="375">
        <v>194</v>
      </c>
      <c r="AV574" s="375">
        <v>194</v>
      </c>
      <c r="AW574" s="375">
        <v>494</v>
      </c>
      <c r="AX574" s="375">
        <v>0</v>
      </c>
      <c r="AY574" s="375">
        <v>0</v>
      </c>
      <c r="AZ574" s="375">
        <v>0</v>
      </c>
      <c r="BA574" s="375">
        <v>0</v>
      </c>
      <c r="BB574" s="375">
        <v>0</v>
      </c>
      <c r="BC574" s="375">
        <v>0</v>
      </c>
      <c r="BD574" s="375">
        <v>0</v>
      </c>
      <c r="BE574" s="375">
        <v>0</v>
      </c>
      <c r="BF574" s="375">
        <v>0</v>
      </c>
      <c r="BG574" s="375">
        <v>882</v>
      </c>
      <c r="BH574" s="227">
        <v>194</v>
      </c>
      <c r="BI574" s="227">
        <v>194</v>
      </c>
      <c r="BJ574" s="227">
        <v>494</v>
      </c>
      <c r="BK574" s="227">
        <v>0</v>
      </c>
      <c r="BL574" s="227">
        <v>0</v>
      </c>
      <c r="BM574" s="227">
        <v>0</v>
      </c>
      <c r="BN574" s="227">
        <v>0</v>
      </c>
      <c r="BO574" s="227">
        <v>0</v>
      </c>
      <c r="BP574" s="227">
        <v>0</v>
      </c>
      <c r="BQ574" s="227">
        <v>0</v>
      </c>
      <c r="BR574" s="227">
        <v>0</v>
      </c>
      <c r="BS574" s="227">
        <v>0</v>
      </c>
      <c r="BT574" s="227">
        <v>882</v>
      </c>
    </row>
    <row r="575" spans="1:72" ht="15" customHeight="1">
      <c r="A575" s="215" t="s">
        <v>2131</v>
      </c>
      <c r="B575" s="215" t="s">
        <v>2944</v>
      </c>
      <c r="C575" s="215" t="s">
        <v>588</v>
      </c>
      <c r="D575" s="215" t="s">
        <v>2132</v>
      </c>
      <c r="E575" s="150" t="s">
        <v>1136</v>
      </c>
      <c r="F575" s="482" t="s">
        <v>1566</v>
      </c>
      <c r="G575" s="150" t="s">
        <v>1566</v>
      </c>
      <c r="H575" s="334" t="s">
        <v>1566</v>
      </c>
      <c r="I575" s="334" t="s">
        <v>1567</v>
      </c>
      <c r="J575" s="334" t="s">
        <v>1567</v>
      </c>
      <c r="K575" s="334" t="s">
        <v>1567</v>
      </c>
      <c r="L575" s="516" t="s">
        <v>389</v>
      </c>
      <c r="M575" s="398" t="s">
        <v>1327</v>
      </c>
      <c r="N575" s="343"/>
      <c r="O575" s="344"/>
      <c r="P575" s="219" t="s">
        <v>147</v>
      </c>
      <c r="Q575" s="349"/>
      <c r="R575" s="343"/>
      <c r="S575" s="349"/>
      <c r="T575" s="334" t="s">
        <v>25</v>
      </c>
      <c r="U575" s="354"/>
      <c r="V575" s="403"/>
      <c r="W575" s="406">
        <v>0</v>
      </c>
      <c r="X575" s="406">
        <v>1501.59</v>
      </c>
      <c r="Y575" s="425"/>
      <c r="Z575" s="71"/>
      <c r="AA575" s="408">
        <v>-0.46</v>
      </c>
      <c r="AB575" s="410">
        <v>0.71</v>
      </c>
      <c r="AC575" s="410">
        <v>1501.34</v>
      </c>
      <c r="AD575" s="428">
        <v>0.24</v>
      </c>
      <c r="AE575" s="429">
        <v>0.2</v>
      </c>
      <c r="AF575" s="429">
        <v>1249.95</v>
      </c>
      <c r="AG575" s="368">
        <v>0</v>
      </c>
      <c r="AH575" s="368">
        <v>0</v>
      </c>
      <c r="AI575" s="368">
        <v>0</v>
      </c>
      <c r="AJ575" s="368">
        <v>0</v>
      </c>
      <c r="AK575" s="368">
        <v>0</v>
      </c>
      <c r="AL575" s="368">
        <v>0</v>
      </c>
      <c r="AM575" s="367">
        <f t="shared" si="31"/>
        <v>2751.98</v>
      </c>
      <c r="AN575" s="362">
        <f>ERP_2[[#This Row],[2026 Working Total]]-ERP_2[[#This Row],[LE2 Final Submission]]</f>
        <v>1250.3900000000001</v>
      </c>
      <c r="AO575" s="227">
        <v>0</v>
      </c>
      <c r="AP575" s="227">
        <f t="shared" si="30"/>
        <v>1249.95</v>
      </c>
      <c r="AQ575" s="374">
        <f>SUM(ERP_2[[#This Row],[AP01]:[AP06]])-SUM(ERP_2[[#This Row],[AP01 LE2]:[AP06 LE2]])</f>
        <v>1250.3900000000001</v>
      </c>
      <c r="AR575" s="80"/>
      <c r="AS575" s="79">
        <f>ERP_2[[#This Row],[2026 Working Total to Budget/LE]]-ERP_2[[#This Row],[Giveback]]</f>
        <v>1250.3900000000001</v>
      </c>
      <c r="AT575" s="81"/>
      <c r="AU575" s="375">
        <v>-0.46</v>
      </c>
      <c r="AV575" s="375">
        <v>0.71</v>
      </c>
      <c r="AW575" s="375">
        <v>1501.34</v>
      </c>
      <c r="AX575" s="375">
        <v>0</v>
      </c>
      <c r="AY575" s="375">
        <v>0</v>
      </c>
      <c r="AZ575" s="375">
        <v>0</v>
      </c>
      <c r="BA575" s="375">
        <v>0</v>
      </c>
      <c r="BB575" s="375">
        <v>0</v>
      </c>
      <c r="BC575" s="375">
        <v>0</v>
      </c>
      <c r="BD575" s="375">
        <v>0</v>
      </c>
      <c r="BE575" s="375">
        <v>0</v>
      </c>
      <c r="BF575" s="375">
        <v>0</v>
      </c>
      <c r="BG575" s="375">
        <v>1501.59</v>
      </c>
      <c r="BH575" s="227">
        <v>-0.46</v>
      </c>
      <c r="BI575" s="227">
        <v>0.71</v>
      </c>
      <c r="BJ575" s="227">
        <v>1501.34</v>
      </c>
      <c r="BK575" s="227">
        <v>0</v>
      </c>
      <c r="BL575" s="227">
        <v>0</v>
      </c>
      <c r="BM575" s="227">
        <v>0</v>
      </c>
      <c r="BN575" s="227">
        <v>0</v>
      </c>
      <c r="BO575" s="227">
        <v>0</v>
      </c>
      <c r="BP575" s="227">
        <v>0</v>
      </c>
      <c r="BQ575" s="227">
        <v>0</v>
      </c>
      <c r="BR575" s="227">
        <v>0</v>
      </c>
      <c r="BS575" s="227">
        <v>0</v>
      </c>
      <c r="BT575" s="227">
        <v>1501.59</v>
      </c>
    </row>
    <row r="576" spans="1:72" ht="15" customHeight="1">
      <c r="A576" s="215" t="s">
        <v>2177</v>
      </c>
      <c r="B576" s="215" t="s">
        <v>2944</v>
      </c>
      <c r="C576" s="215" t="s">
        <v>619</v>
      </c>
      <c r="D576" s="215" t="s">
        <v>2178</v>
      </c>
      <c r="E576" s="150" t="s">
        <v>1136</v>
      </c>
      <c r="F576" s="482" t="s">
        <v>1566</v>
      </c>
      <c r="G576" s="150" t="s">
        <v>1566</v>
      </c>
      <c r="H576" s="334" t="s">
        <v>1566</v>
      </c>
      <c r="I576" s="334" t="s">
        <v>1567</v>
      </c>
      <c r="J576" s="334" t="s">
        <v>1567</v>
      </c>
      <c r="K576" s="334" t="s">
        <v>1567</v>
      </c>
      <c r="L576" s="516" t="s">
        <v>602</v>
      </c>
      <c r="M576" s="398" t="s">
        <v>2176</v>
      </c>
      <c r="N576" s="343"/>
      <c r="O576" s="344"/>
      <c r="P576" s="219" t="s">
        <v>620</v>
      </c>
      <c r="Q576" s="349"/>
      <c r="R576" s="343"/>
      <c r="S576" s="349"/>
      <c r="T576" s="334" t="s">
        <v>25</v>
      </c>
      <c r="U576" s="354"/>
      <c r="V576" s="403"/>
      <c r="W576" s="406">
        <v>0</v>
      </c>
      <c r="X576" s="406">
        <v>11815.17</v>
      </c>
      <c r="Y576" s="425"/>
      <c r="Z576" s="71"/>
      <c r="AA576" s="408"/>
      <c r="AB576" s="410">
        <v>11815.17</v>
      </c>
      <c r="AC576" s="412">
        <v>0</v>
      </c>
      <c r="AD576" s="428" t="s">
        <v>1142</v>
      </c>
      <c r="AE576" s="429">
        <v>0</v>
      </c>
      <c r="AF576" s="429">
        <v>0</v>
      </c>
      <c r="AG576" s="368">
        <v>0</v>
      </c>
      <c r="AH576" s="368">
        <v>0</v>
      </c>
      <c r="AI576" s="368">
        <v>0</v>
      </c>
      <c r="AJ576" s="368">
        <v>0</v>
      </c>
      <c r="AK576" s="368">
        <v>0</v>
      </c>
      <c r="AL576" s="368">
        <v>0</v>
      </c>
      <c r="AM576" s="367">
        <f t="shared" si="31"/>
        <v>11815.17</v>
      </c>
      <c r="AN576" s="362">
        <f>ERP_2[[#This Row],[2026 Working Total]]-ERP_2[[#This Row],[LE2 Final Submission]]</f>
        <v>0</v>
      </c>
      <c r="AO576" s="227">
        <v>0</v>
      </c>
      <c r="AP576" s="227">
        <f t="shared" si="30"/>
        <v>0</v>
      </c>
      <c r="AQ576" s="374">
        <f>SUM(ERP_2[[#This Row],[AP01]:[AP06]])-SUM(ERP_2[[#This Row],[AP01 LE2]:[AP06 LE2]])</f>
        <v>0</v>
      </c>
      <c r="AR576" s="80"/>
      <c r="AS576" s="79">
        <f>ERP_2[[#This Row],[2026 Working Total to Budget/LE]]-ERP_2[[#This Row],[Giveback]]</f>
        <v>0</v>
      </c>
      <c r="AT576" s="81"/>
      <c r="AU576" s="375"/>
      <c r="AV576" s="375">
        <v>11815.17</v>
      </c>
      <c r="AW576" s="375">
        <v>0</v>
      </c>
      <c r="AX576" s="375">
        <v>0</v>
      </c>
      <c r="AY576" s="375">
        <v>0</v>
      </c>
      <c r="AZ576" s="375">
        <v>0</v>
      </c>
      <c r="BA576" s="375">
        <v>0</v>
      </c>
      <c r="BB576" s="375">
        <v>0</v>
      </c>
      <c r="BC576" s="375">
        <v>0</v>
      </c>
      <c r="BD576" s="375">
        <v>0</v>
      </c>
      <c r="BE576" s="375">
        <v>0</v>
      </c>
      <c r="BF576" s="375">
        <v>0</v>
      </c>
      <c r="BG576" s="375">
        <v>11815.17</v>
      </c>
      <c r="BH576" s="227"/>
      <c r="BI576" s="227">
        <v>11815.17</v>
      </c>
      <c r="BJ576" s="227">
        <v>0</v>
      </c>
      <c r="BK576" s="227">
        <v>0</v>
      </c>
      <c r="BL576" s="227">
        <v>0</v>
      </c>
      <c r="BM576" s="227">
        <v>0</v>
      </c>
      <c r="BN576" s="227">
        <v>0</v>
      </c>
      <c r="BO576" s="227">
        <v>0</v>
      </c>
      <c r="BP576" s="227">
        <v>0</v>
      </c>
      <c r="BQ576" s="227">
        <v>0</v>
      </c>
      <c r="BR576" s="227">
        <v>0</v>
      </c>
      <c r="BS576" s="227">
        <v>0</v>
      </c>
      <c r="BT576" s="227">
        <v>11815.17</v>
      </c>
    </row>
    <row r="577" spans="1:72" ht="15" customHeight="1">
      <c r="A577" s="215" t="s">
        <v>2180</v>
      </c>
      <c r="B577" s="215" t="s">
        <v>2944</v>
      </c>
      <c r="C577" s="215" t="s">
        <v>621</v>
      </c>
      <c r="D577" s="215" t="s">
        <v>2181</v>
      </c>
      <c r="E577" s="150" t="s">
        <v>1136</v>
      </c>
      <c r="F577" s="482" t="s">
        <v>1566</v>
      </c>
      <c r="G577" s="482" t="s">
        <v>1566</v>
      </c>
      <c r="H577" s="553" t="s">
        <v>1566</v>
      </c>
      <c r="I577" s="334" t="s">
        <v>1345</v>
      </c>
      <c r="J577" s="334" t="s">
        <v>1346</v>
      </c>
      <c r="K577" s="334" t="s">
        <v>1346</v>
      </c>
      <c r="L577" s="516" t="s">
        <v>602</v>
      </c>
      <c r="M577" s="398" t="s">
        <v>611</v>
      </c>
      <c r="N577" s="343"/>
      <c r="O577" s="344"/>
      <c r="P577" s="219" t="s">
        <v>610</v>
      </c>
      <c r="Q577" s="349"/>
      <c r="R577" s="343"/>
      <c r="S577" s="349"/>
      <c r="T577" s="334" t="s">
        <v>611</v>
      </c>
      <c r="U577" s="354"/>
      <c r="V577" s="403"/>
      <c r="W577" s="406">
        <v>0</v>
      </c>
      <c r="X577" s="406">
        <v>9893.24</v>
      </c>
      <c r="Y577" s="425"/>
      <c r="Z577" s="71"/>
      <c r="AA577" s="408">
        <v>478.59</v>
      </c>
      <c r="AB577" s="410">
        <v>9120.75</v>
      </c>
      <c r="AC577" s="410">
        <v>293.89999999999998</v>
      </c>
      <c r="AD577" s="428">
        <v>94.080000000000013</v>
      </c>
      <c r="AE577" s="429">
        <v>275.29999999999984</v>
      </c>
      <c r="AF577" s="429">
        <v>-458.89999999999986</v>
      </c>
      <c r="AG577" s="368">
        <v>0</v>
      </c>
      <c r="AH577" s="368">
        <v>0</v>
      </c>
      <c r="AI577" s="368">
        <v>0</v>
      </c>
      <c r="AJ577" s="368">
        <v>0</v>
      </c>
      <c r="AK577" s="368">
        <v>0</v>
      </c>
      <c r="AL577" s="368">
        <v>0</v>
      </c>
      <c r="AM577" s="367">
        <f t="shared" si="31"/>
        <v>9803.7199999999993</v>
      </c>
      <c r="AN577" s="362">
        <f>ERP_2[[#This Row],[2026 Working Total]]-ERP_2[[#This Row],[LE2 Final Submission]]</f>
        <v>-89.520000000000437</v>
      </c>
      <c r="AO577" s="227">
        <v>0</v>
      </c>
      <c r="AP577" s="227">
        <f t="shared" si="30"/>
        <v>-458.89999999999986</v>
      </c>
      <c r="AQ577" s="374">
        <f>SUM(ERP_2[[#This Row],[AP01]:[AP06]])-SUM(ERP_2[[#This Row],[AP01 LE2]:[AP06 LE2]])</f>
        <v>-89.520000000000437</v>
      </c>
      <c r="AR577" s="80"/>
      <c r="AS577" s="79">
        <f>ERP_2[[#This Row],[2026 Working Total to Budget/LE]]-ERP_2[[#This Row],[Giveback]]</f>
        <v>-89.520000000000437</v>
      </c>
      <c r="AT577" s="81"/>
      <c r="AU577" s="375">
        <v>478.59</v>
      </c>
      <c r="AV577" s="375">
        <v>9120.75</v>
      </c>
      <c r="AW577" s="375">
        <v>293.89999999999998</v>
      </c>
      <c r="AX577" s="375">
        <v>0</v>
      </c>
      <c r="AY577" s="375">
        <v>0</v>
      </c>
      <c r="AZ577" s="375">
        <v>0</v>
      </c>
      <c r="BA577" s="375">
        <v>0</v>
      </c>
      <c r="BB577" s="375">
        <v>0</v>
      </c>
      <c r="BC577" s="375">
        <v>0</v>
      </c>
      <c r="BD577" s="375">
        <v>0</v>
      </c>
      <c r="BE577" s="375">
        <v>0</v>
      </c>
      <c r="BF577" s="375">
        <v>0</v>
      </c>
      <c r="BG577" s="375">
        <v>9893.24</v>
      </c>
      <c r="BH577" s="227">
        <v>478.59</v>
      </c>
      <c r="BI577" s="227">
        <v>9120.75</v>
      </c>
      <c r="BJ577" s="227">
        <v>293.89999999999998</v>
      </c>
      <c r="BK577" s="227">
        <v>0</v>
      </c>
      <c r="BL577" s="227">
        <v>0</v>
      </c>
      <c r="BM577" s="227">
        <v>0</v>
      </c>
      <c r="BN577" s="227">
        <v>0</v>
      </c>
      <c r="BO577" s="227">
        <v>0</v>
      </c>
      <c r="BP577" s="227">
        <v>0</v>
      </c>
      <c r="BQ577" s="227">
        <v>0</v>
      </c>
      <c r="BR577" s="227">
        <v>0</v>
      </c>
      <c r="BS577" s="227">
        <v>0</v>
      </c>
      <c r="BT577" s="227">
        <v>9893.24</v>
      </c>
    </row>
    <row r="578" spans="1:72" ht="15" customHeight="1">
      <c r="A578" s="334" t="s">
        <v>2197</v>
      </c>
      <c r="B578" s="334" t="s">
        <v>2944</v>
      </c>
      <c r="C578" s="537" t="s">
        <v>634</v>
      </c>
      <c r="D578" s="330" t="s">
        <v>2198</v>
      </c>
      <c r="E578" s="150" t="s">
        <v>1136</v>
      </c>
      <c r="F578" s="482" t="s">
        <v>1566</v>
      </c>
      <c r="G578" s="150" t="s">
        <v>1566</v>
      </c>
      <c r="H578" s="334" t="s">
        <v>1566</v>
      </c>
      <c r="I578" s="336" t="s">
        <v>1567</v>
      </c>
      <c r="J578" s="336" t="s">
        <v>1567</v>
      </c>
      <c r="K578" s="339" t="s">
        <v>1567</v>
      </c>
      <c r="L578" s="518" t="s">
        <v>629</v>
      </c>
      <c r="M578" s="397" t="s">
        <v>1327</v>
      </c>
      <c r="N578" s="333"/>
      <c r="O578" s="336" t="s">
        <v>1593</v>
      </c>
      <c r="P578" s="237" t="s">
        <v>147</v>
      </c>
      <c r="Q578" s="351"/>
      <c r="R578" s="347"/>
      <c r="S578" s="353"/>
      <c r="T578" s="353"/>
      <c r="U578" s="452"/>
      <c r="V578" s="402"/>
      <c r="W578" s="406"/>
      <c r="X578" s="406"/>
      <c r="Y578" s="425"/>
      <c r="Z578" s="71"/>
      <c r="AA578" s="413"/>
      <c r="AB578" s="414"/>
      <c r="AC578" s="414"/>
      <c r="AD578" s="436"/>
      <c r="AE578" s="429">
        <v>0</v>
      </c>
      <c r="AF578" s="429">
        <v>0</v>
      </c>
      <c r="AG578" s="371"/>
      <c r="AH578" s="371"/>
      <c r="AI578" s="371"/>
      <c r="AJ578" s="371"/>
      <c r="AK578" s="371"/>
      <c r="AL578" s="371"/>
      <c r="AM578" s="367">
        <f t="shared" si="31"/>
        <v>0</v>
      </c>
      <c r="AN578" s="362">
        <f>ERP_2[[#This Row],[2026 Working Total]]-ERP_2[[#This Row],[LE2 Final Submission]]</f>
        <v>0</v>
      </c>
      <c r="AO578" s="227"/>
      <c r="AP578" s="227">
        <f t="shared" si="30"/>
        <v>0</v>
      </c>
      <c r="AQ578" s="374">
        <f>SUM(ERP_2[[#This Row],[AP01]:[AP06]])-SUM(ERP_2[[#This Row],[AP01 LE2]:[AP06 LE2]])</f>
        <v>0</v>
      </c>
      <c r="AR578" s="80"/>
      <c r="AS578" s="79">
        <f>ERP_2[[#This Row],[2026 Working Total to Budget/LE]]-ERP_2[[#This Row],[Giveback]]</f>
        <v>0</v>
      </c>
      <c r="AT578" s="81"/>
      <c r="AU578" s="375"/>
      <c r="AV578" s="375"/>
      <c r="AW578" s="375"/>
      <c r="AX578" s="375"/>
      <c r="AY578" s="375"/>
      <c r="AZ578" s="375"/>
      <c r="BA578" s="375"/>
      <c r="BB578" s="375"/>
      <c r="BC578" s="375"/>
      <c r="BD578" s="375"/>
      <c r="BE578" s="375"/>
      <c r="BF578" s="375"/>
      <c r="BG578" s="375"/>
      <c r="BH578" s="227"/>
      <c r="BI578" s="227"/>
      <c r="BJ578" s="227"/>
      <c r="BK578" s="227"/>
      <c r="BL578" s="227"/>
      <c r="BM578" s="227"/>
      <c r="BN578" s="227"/>
      <c r="BO578" s="227"/>
      <c r="BP578" s="227"/>
      <c r="BQ578" s="227"/>
      <c r="BR578" s="227"/>
      <c r="BS578" s="227"/>
      <c r="BT578" s="227"/>
    </row>
    <row r="579" spans="1:72" ht="15" customHeight="1">
      <c r="A579" s="215" t="s">
        <v>2774</v>
      </c>
      <c r="B579" s="215" t="s">
        <v>2944</v>
      </c>
      <c r="C579" s="215" t="s">
        <v>997</v>
      </c>
      <c r="D579" s="215" t="s">
        <v>2775</v>
      </c>
      <c r="E579" s="150" t="s">
        <v>1136</v>
      </c>
      <c r="F579" s="482" t="s">
        <v>1566</v>
      </c>
      <c r="G579" s="482" t="s">
        <v>1566</v>
      </c>
      <c r="H579" s="553" t="s">
        <v>1566</v>
      </c>
      <c r="I579" s="334" t="s">
        <v>1345</v>
      </c>
      <c r="J579" s="334" t="s">
        <v>1346</v>
      </c>
      <c r="K579" s="334" t="s">
        <v>1346</v>
      </c>
      <c r="L579" s="516" t="s">
        <v>639</v>
      </c>
      <c r="M579" s="398" t="s">
        <v>1138</v>
      </c>
      <c r="N579" s="343"/>
      <c r="O579" s="344"/>
      <c r="P579" s="219" t="s">
        <v>51</v>
      </c>
      <c r="Q579" s="349" t="s">
        <v>1139</v>
      </c>
      <c r="R579" s="346" t="s">
        <v>1140</v>
      </c>
      <c r="S579" s="349"/>
      <c r="T579" s="334" t="s">
        <v>25</v>
      </c>
      <c r="U579" s="354"/>
      <c r="V579" s="403"/>
      <c r="W579" s="406">
        <v>0</v>
      </c>
      <c r="X579" s="406">
        <v>3227.2200000000003</v>
      </c>
      <c r="Y579" s="430"/>
      <c r="Z579" s="137"/>
      <c r="AA579" s="408"/>
      <c r="AB579" s="410">
        <v>1859.42</v>
      </c>
      <c r="AC579" s="410">
        <v>1367.8</v>
      </c>
      <c r="AD579" s="428">
        <v>0</v>
      </c>
      <c r="AE579" s="429">
        <v>682.06</v>
      </c>
      <c r="AF579" s="429">
        <v>91.56</v>
      </c>
      <c r="AG579" s="368">
        <v>0</v>
      </c>
      <c r="AH579" s="368">
        <v>0</v>
      </c>
      <c r="AI579" s="368">
        <v>0</v>
      </c>
      <c r="AJ579" s="368">
        <v>0</v>
      </c>
      <c r="AK579" s="368">
        <v>0</v>
      </c>
      <c r="AL579" s="368">
        <v>0</v>
      </c>
      <c r="AM579" s="367">
        <f t="shared" si="31"/>
        <v>4000.84</v>
      </c>
      <c r="AN579" s="362">
        <f>ERP_2[[#This Row],[2026 Working Total]]-ERP_2[[#This Row],[LE2 Final Submission]]</f>
        <v>773.61999999999989</v>
      </c>
      <c r="AO579" s="227">
        <v>0</v>
      </c>
      <c r="AP579" s="227">
        <f t="shared" si="30"/>
        <v>91.56</v>
      </c>
      <c r="AQ579" s="374">
        <f>SUM(ERP_2[[#This Row],[AP01]:[AP06]])-SUM(ERP_2[[#This Row],[AP01 LE2]:[AP06 LE2]])</f>
        <v>773.61999999999989</v>
      </c>
      <c r="AR579" s="80"/>
      <c r="AS579" s="79">
        <f>ERP_2[[#This Row],[2026 Working Total to Budget/LE]]-ERP_2[[#This Row],[Giveback]]</f>
        <v>773.61999999999989</v>
      </c>
      <c r="AT579" s="81"/>
      <c r="AU579" s="375"/>
      <c r="AV579" s="375">
        <v>1859.42</v>
      </c>
      <c r="AW579" s="375">
        <v>1367.8</v>
      </c>
      <c r="AX579" s="375">
        <v>0</v>
      </c>
      <c r="AY579" s="375">
        <v>0</v>
      </c>
      <c r="AZ579" s="375">
        <v>0</v>
      </c>
      <c r="BA579" s="375">
        <v>0</v>
      </c>
      <c r="BB579" s="375">
        <v>0</v>
      </c>
      <c r="BC579" s="375">
        <v>0</v>
      </c>
      <c r="BD579" s="375">
        <v>0</v>
      </c>
      <c r="BE579" s="375">
        <v>0</v>
      </c>
      <c r="BF579" s="375">
        <v>0</v>
      </c>
      <c r="BG579" s="375">
        <v>3227.2200000000003</v>
      </c>
      <c r="BH579" s="227"/>
      <c r="BI579" s="227">
        <v>1859.42</v>
      </c>
      <c r="BJ579" s="227">
        <v>1367.8</v>
      </c>
      <c r="BK579" s="227">
        <v>0</v>
      </c>
      <c r="BL579" s="227">
        <v>0</v>
      </c>
      <c r="BM579" s="227">
        <v>0</v>
      </c>
      <c r="BN579" s="227">
        <v>0</v>
      </c>
      <c r="BO579" s="227">
        <v>0</v>
      </c>
      <c r="BP579" s="227">
        <v>0</v>
      </c>
      <c r="BQ579" s="227">
        <v>0</v>
      </c>
      <c r="BR579" s="227">
        <v>0</v>
      </c>
      <c r="BS579" s="227">
        <v>0</v>
      </c>
      <c r="BT579" s="227">
        <v>3227.2200000000003</v>
      </c>
    </row>
    <row r="580" spans="1:72" ht="15" customHeight="1">
      <c r="A580" s="215" t="s">
        <v>2786</v>
      </c>
      <c r="B580" s="215" t="s">
        <v>2944</v>
      </c>
      <c r="C580" s="215" t="s">
        <v>1003</v>
      </c>
      <c r="D580" s="215" t="s">
        <v>2787</v>
      </c>
      <c r="E580" s="150" t="s">
        <v>1136</v>
      </c>
      <c r="F580" s="482" t="s">
        <v>1566</v>
      </c>
      <c r="G580" s="150" t="s">
        <v>1566</v>
      </c>
      <c r="H580" s="334" t="s">
        <v>1566</v>
      </c>
      <c r="I580" s="334" t="s">
        <v>1567</v>
      </c>
      <c r="J580" s="334" t="s">
        <v>1567</v>
      </c>
      <c r="K580" s="334" t="s">
        <v>1567</v>
      </c>
      <c r="L580" s="516" t="s">
        <v>639</v>
      </c>
      <c r="M580" s="398" t="s">
        <v>2285</v>
      </c>
      <c r="N580" s="343"/>
      <c r="O580" s="344"/>
      <c r="P580" s="219" t="s">
        <v>676</v>
      </c>
      <c r="Q580" s="349"/>
      <c r="R580" s="346" t="s">
        <v>1140</v>
      </c>
      <c r="S580" s="349"/>
      <c r="T580" s="334" t="s">
        <v>677</v>
      </c>
      <c r="U580" s="354"/>
      <c r="V580" s="403"/>
      <c r="W580" s="406">
        <v>0</v>
      </c>
      <c r="X580" s="406">
        <v>934.17</v>
      </c>
      <c r="Y580" s="425"/>
      <c r="Z580" s="425"/>
      <c r="AA580" s="408">
        <v>253.17</v>
      </c>
      <c r="AB580" s="410">
        <v>681</v>
      </c>
      <c r="AC580" s="412">
        <v>0</v>
      </c>
      <c r="AD580" s="428">
        <v>0</v>
      </c>
      <c r="AE580" s="429">
        <v>681</v>
      </c>
      <c r="AF580" s="429">
        <v>0</v>
      </c>
      <c r="AG580" s="368">
        <v>0</v>
      </c>
      <c r="AH580" s="368">
        <v>0</v>
      </c>
      <c r="AI580" s="368">
        <v>0</v>
      </c>
      <c r="AJ580" s="368">
        <v>0</v>
      </c>
      <c r="AK580" s="368">
        <v>0</v>
      </c>
      <c r="AL580" s="368">
        <v>0</v>
      </c>
      <c r="AM580" s="367">
        <f t="shared" si="31"/>
        <v>1615.17</v>
      </c>
      <c r="AN580" s="362">
        <f>ERP_2[[#This Row],[2026 Working Total]]-ERP_2[[#This Row],[LE2 Final Submission]]</f>
        <v>681.00000000000011</v>
      </c>
      <c r="AO580" s="227">
        <v>0</v>
      </c>
      <c r="AP580" s="227">
        <f t="shared" si="30"/>
        <v>0</v>
      </c>
      <c r="AQ580" s="374">
        <f>SUM(ERP_2[[#This Row],[AP01]:[AP06]])-SUM(ERP_2[[#This Row],[AP01 LE2]:[AP06 LE2]])</f>
        <v>681.00000000000011</v>
      </c>
      <c r="AR580" s="80"/>
      <c r="AS580" s="79">
        <f>ERP_2[[#This Row],[2026 Working Total to Budget/LE]]-ERP_2[[#This Row],[Giveback]]</f>
        <v>681.00000000000011</v>
      </c>
      <c r="AT580" s="81"/>
      <c r="AU580" s="375">
        <v>253.17</v>
      </c>
      <c r="AV580" s="375">
        <v>681</v>
      </c>
      <c r="AW580" s="375">
        <v>0</v>
      </c>
      <c r="AX580" s="375">
        <v>0</v>
      </c>
      <c r="AY580" s="375">
        <v>0</v>
      </c>
      <c r="AZ580" s="375">
        <v>0</v>
      </c>
      <c r="BA580" s="375">
        <v>0</v>
      </c>
      <c r="BB580" s="375">
        <v>0</v>
      </c>
      <c r="BC580" s="375">
        <v>0</v>
      </c>
      <c r="BD580" s="375">
        <v>0</v>
      </c>
      <c r="BE580" s="375">
        <v>0</v>
      </c>
      <c r="BF580" s="375">
        <v>0</v>
      </c>
      <c r="BG580" s="375">
        <v>934.17</v>
      </c>
      <c r="BH580" s="227">
        <v>253.17</v>
      </c>
      <c r="BI580" s="227">
        <v>681</v>
      </c>
      <c r="BJ580" s="227">
        <v>0</v>
      </c>
      <c r="BK580" s="227">
        <v>0</v>
      </c>
      <c r="BL580" s="227">
        <v>0</v>
      </c>
      <c r="BM580" s="227">
        <v>0</v>
      </c>
      <c r="BN580" s="227">
        <v>0</v>
      </c>
      <c r="BO580" s="227">
        <v>0</v>
      </c>
      <c r="BP580" s="227">
        <v>0</v>
      </c>
      <c r="BQ580" s="227">
        <v>0</v>
      </c>
      <c r="BR580" s="227">
        <v>0</v>
      </c>
      <c r="BS580" s="227">
        <v>0</v>
      </c>
      <c r="BT580" s="227">
        <v>934.17</v>
      </c>
    </row>
    <row r="581" spans="1:72" ht="15" customHeight="1">
      <c r="A581" s="215" t="s">
        <v>2788</v>
      </c>
      <c r="B581" s="215" t="s">
        <v>2944</v>
      </c>
      <c r="C581" s="215" t="s">
        <v>1004</v>
      </c>
      <c r="D581" s="215" t="s">
        <v>2789</v>
      </c>
      <c r="E581" s="150" t="s">
        <v>1136</v>
      </c>
      <c r="F581" s="482" t="s">
        <v>1566</v>
      </c>
      <c r="G581" s="482" t="s">
        <v>1566</v>
      </c>
      <c r="H581" s="553" t="s">
        <v>1566</v>
      </c>
      <c r="I581" s="334" t="s">
        <v>1345</v>
      </c>
      <c r="J581" s="334" t="s">
        <v>1346</v>
      </c>
      <c r="K581" s="334" t="s">
        <v>1346</v>
      </c>
      <c r="L581" s="516" t="s">
        <v>639</v>
      </c>
      <c r="M581" s="398" t="s">
        <v>2291</v>
      </c>
      <c r="N581" s="343"/>
      <c r="O581" s="344"/>
      <c r="P581" s="219" t="s">
        <v>679</v>
      </c>
      <c r="Q581" s="349"/>
      <c r="R581" s="346" t="s">
        <v>1140</v>
      </c>
      <c r="S581" s="349"/>
      <c r="T581" s="334" t="s">
        <v>680</v>
      </c>
      <c r="U581" s="354"/>
      <c r="V581" s="403"/>
      <c r="W581" s="406">
        <v>36000</v>
      </c>
      <c r="X581" s="406">
        <v>46414.39</v>
      </c>
      <c r="Y581" s="430"/>
      <c r="Z581" s="430"/>
      <c r="AA581" s="408">
        <v>6465</v>
      </c>
      <c r="AB581" s="410">
        <v>5197.6400000000003</v>
      </c>
      <c r="AC581" s="410">
        <v>7751.75</v>
      </c>
      <c r="AD581" s="428">
        <v>17671</v>
      </c>
      <c r="AE581" s="429">
        <v>9482</v>
      </c>
      <c r="AF581" s="429">
        <v>14223</v>
      </c>
      <c r="AG581" s="369">
        <v>3000</v>
      </c>
      <c r="AH581" s="369">
        <v>3000</v>
      </c>
      <c r="AI581" s="369">
        <v>3000</v>
      </c>
      <c r="AJ581" s="369">
        <v>3000</v>
      </c>
      <c r="AK581" s="369">
        <v>3000</v>
      </c>
      <c r="AL581" s="369">
        <v>3000</v>
      </c>
      <c r="AM581" s="367">
        <f t="shared" si="31"/>
        <v>78790.39</v>
      </c>
      <c r="AN581" s="362">
        <f>ERP_2[[#This Row],[2026 Working Total]]-ERP_2[[#This Row],[LE2 Final Submission]]</f>
        <v>32376</v>
      </c>
      <c r="AO581" s="227">
        <v>3000</v>
      </c>
      <c r="AP581" s="227">
        <f t="shared" si="30"/>
        <v>11223</v>
      </c>
      <c r="AQ581" s="374">
        <f>SUM(ERP_2[[#This Row],[AP01]:[AP06]])-SUM(ERP_2[[#This Row],[AP01 LE2]:[AP06 LE2]])</f>
        <v>32376</v>
      </c>
      <c r="AR581" s="80"/>
      <c r="AS581" s="79">
        <f>ERP_2[[#This Row],[2026 Working Total to Budget/LE]]-ERP_2[[#This Row],[Giveback]]</f>
        <v>32376</v>
      </c>
      <c r="AT581" s="81"/>
      <c r="AU581" s="375">
        <v>6465</v>
      </c>
      <c r="AV581" s="375">
        <v>5197.6400000000003</v>
      </c>
      <c r="AW581" s="375">
        <v>7751.75</v>
      </c>
      <c r="AX581" s="375">
        <v>3000</v>
      </c>
      <c r="AY581" s="375">
        <v>3000</v>
      </c>
      <c r="AZ581" s="375">
        <v>3000</v>
      </c>
      <c r="BA581" s="375">
        <v>3000</v>
      </c>
      <c r="BB581" s="375">
        <v>3000</v>
      </c>
      <c r="BC581" s="375">
        <v>3000</v>
      </c>
      <c r="BD581" s="375">
        <v>3000</v>
      </c>
      <c r="BE581" s="375">
        <v>3000</v>
      </c>
      <c r="BF581" s="375">
        <v>3000</v>
      </c>
      <c r="BG581" s="375">
        <v>46414.39</v>
      </c>
      <c r="BH581" s="227">
        <v>6465</v>
      </c>
      <c r="BI581" s="227">
        <v>5197.6400000000003</v>
      </c>
      <c r="BJ581" s="227">
        <v>7751.75</v>
      </c>
      <c r="BK581" s="227">
        <v>3000</v>
      </c>
      <c r="BL581" s="227">
        <v>3000</v>
      </c>
      <c r="BM581" s="227">
        <v>3000</v>
      </c>
      <c r="BN581" s="227">
        <v>3000</v>
      </c>
      <c r="BO581" s="227">
        <v>3000</v>
      </c>
      <c r="BP581" s="227">
        <v>3000</v>
      </c>
      <c r="BQ581" s="227">
        <v>3000</v>
      </c>
      <c r="BR581" s="227">
        <v>3000</v>
      </c>
      <c r="BS581" s="227">
        <v>3000</v>
      </c>
      <c r="BT581" s="227">
        <v>46414.39</v>
      </c>
    </row>
    <row r="582" spans="1:72" ht="15" customHeight="1">
      <c r="A582" s="215" t="s">
        <v>2792</v>
      </c>
      <c r="B582" s="215" t="s">
        <v>2944</v>
      </c>
      <c r="C582" s="215" t="s">
        <v>1006</v>
      </c>
      <c r="D582" s="215" t="s">
        <v>2793</v>
      </c>
      <c r="E582" s="150" t="s">
        <v>1136</v>
      </c>
      <c r="F582" s="482" t="s">
        <v>1566</v>
      </c>
      <c r="G582" s="482" t="s">
        <v>1566</v>
      </c>
      <c r="H582" s="553" t="s">
        <v>1566</v>
      </c>
      <c r="I582" s="334" t="s">
        <v>1345</v>
      </c>
      <c r="J582" s="334" t="s">
        <v>1346</v>
      </c>
      <c r="K582" s="334" t="s">
        <v>1346</v>
      </c>
      <c r="L582" s="516" t="s">
        <v>639</v>
      </c>
      <c r="M582" s="398" t="s">
        <v>818</v>
      </c>
      <c r="N582" s="343"/>
      <c r="O582" s="344"/>
      <c r="P582" s="219" t="s">
        <v>817</v>
      </c>
      <c r="Q582" s="349"/>
      <c r="R582" s="346" t="s">
        <v>1140</v>
      </c>
      <c r="S582" s="349"/>
      <c r="T582" s="334" t="s">
        <v>818</v>
      </c>
      <c r="U582" s="354"/>
      <c r="V582" s="403"/>
      <c r="W582" s="406">
        <v>0</v>
      </c>
      <c r="X582" s="406">
        <v>3886.48</v>
      </c>
      <c r="Y582" s="425"/>
      <c r="Z582" s="425"/>
      <c r="AA582" s="408"/>
      <c r="AB582" s="410"/>
      <c r="AC582" s="410">
        <v>3886.48</v>
      </c>
      <c r="AD582" s="428">
        <v>174.65</v>
      </c>
      <c r="AE582" s="429">
        <v>0</v>
      </c>
      <c r="AF582" s="429">
        <v>3826.04</v>
      </c>
      <c r="AG582" s="368">
        <v>0</v>
      </c>
      <c r="AH582" s="368">
        <v>0</v>
      </c>
      <c r="AI582" s="368">
        <v>0</v>
      </c>
      <c r="AJ582" s="368">
        <v>0</v>
      </c>
      <c r="AK582" s="368">
        <v>0</v>
      </c>
      <c r="AL582" s="360">
        <v>0</v>
      </c>
      <c r="AM582" s="367">
        <f t="shared" si="31"/>
        <v>7887.17</v>
      </c>
      <c r="AN582" s="362">
        <f>ERP_2[[#This Row],[2026 Working Total]]-ERP_2[[#This Row],[LE2 Final Submission]]</f>
        <v>4000.69</v>
      </c>
      <c r="AO582" s="227">
        <v>0</v>
      </c>
      <c r="AP582" s="227">
        <f t="shared" si="30"/>
        <v>3826.04</v>
      </c>
      <c r="AQ582" s="374">
        <f>SUM(ERP_2[[#This Row],[AP01]:[AP06]])-SUM(ERP_2[[#This Row],[AP01 LE2]:[AP06 LE2]])</f>
        <v>4000.69</v>
      </c>
      <c r="AR582" s="80"/>
      <c r="AS582" s="79">
        <f>ERP_2[[#This Row],[2026 Working Total to Budget/LE]]-ERP_2[[#This Row],[Giveback]]</f>
        <v>4000.69</v>
      </c>
      <c r="AT582" s="81"/>
      <c r="AU582" s="375"/>
      <c r="AV582" s="375"/>
      <c r="AW582" s="375">
        <v>3886.48</v>
      </c>
      <c r="AX582" s="375">
        <v>0</v>
      </c>
      <c r="AY582" s="375">
        <v>0</v>
      </c>
      <c r="AZ582" s="375">
        <v>0</v>
      </c>
      <c r="BA582" s="375">
        <v>0</v>
      </c>
      <c r="BB582" s="375">
        <v>0</v>
      </c>
      <c r="BC582" s="375">
        <v>0</v>
      </c>
      <c r="BD582" s="375">
        <v>0</v>
      </c>
      <c r="BE582" s="375">
        <v>0</v>
      </c>
      <c r="BF582" s="375">
        <v>0</v>
      </c>
      <c r="BG582" s="375">
        <v>3886.48</v>
      </c>
      <c r="BH582" s="227"/>
      <c r="BI582" s="227"/>
      <c r="BJ582" s="227">
        <v>3886.48</v>
      </c>
      <c r="BK582" s="227">
        <v>0</v>
      </c>
      <c r="BL582" s="227">
        <v>0</v>
      </c>
      <c r="BM582" s="227">
        <v>0</v>
      </c>
      <c r="BN582" s="227">
        <v>0</v>
      </c>
      <c r="BO582" s="227">
        <v>0</v>
      </c>
      <c r="BP582" s="227">
        <v>0</v>
      </c>
      <c r="BQ582" s="227">
        <v>0</v>
      </c>
      <c r="BR582" s="227">
        <v>0</v>
      </c>
      <c r="BS582" s="227">
        <v>0</v>
      </c>
      <c r="BT582" s="227">
        <v>3886.48</v>
      </c>
    </row>
    <row r="583" spans="1:72" ht="15" customHeight="1">
      <c r="A583" s="215" t="s">
        <v>2805</v>
      </c>
      <c r="B583" s="215" t="s">
        <v>2944</v>
      </c>
      <c r="C583" s="215" t="s">
        <v>1015</v>
      </c>
      <c r="D583" s="215" t="s">
        <v>2806</v>
      </c>
      <c r="E583" s="150" t="s">
        <v>1136</v>
      </c>
      <c r="F583" s="482" t="s">
        <v>1566</v>
      </c>
      <c r="G583" s="482" t="s">
        <v>1566</v>
      </c>
      <c r="H583" s="553" t="s">
        <v>1566</v>
      </c>
      <c r="I583" s="334" t="s">
        <v>1345</v>
      </c>
      <c r="J583" s="334" t="s">
        <v>1346</v>
      </c>
      <c r="K583" s="334" t="s">
        <v>1346</v>
      </c>
      <c r="L583" s="516" t="s">
        <v>639</v>
      </c>
      <c r="M583" s="398" t="s">
        <v>1327</v>
      </c>
      <c r="N583" s="343"/>
      <c r="O583" s="344"/>
      <c r="P583" s="219" t="s">
        <v>147</v>
      </c>
      <c r="Q583" s="349"/>
      <c r="R583" s="343"/>
      <c r="S583" s="349"/>
      <c r="T583" s="334" t="s">
        <v>25</v>
      </c>
      <c r="U583" s="354"/>
      <c r="V583" s="403"/>
      <c r="W583" s="406">
        <v>0</v>
      </c>
      <c r="X583" s="406">
        <v>2702.75</v>
      </c>
      <c r="Y583" s="425"/>
      <c r="Z583" s="71"/>
      <c r="AA583" s="408">
        <v>45.54</v>
      </c>
      <c r="AB583" s="410">
        <v>0.09</v>
      </c>
      <c r="AC583" s="410">
        <v>2657.12</v>
      </c>
      <c r="AD583" s="428">
        <v>12.72</v>
      </c>
      <c r="AE583" s="429">
        <v>29.21</v>
      </c>
      <c r="AF583" s="429">
        <v>7.47</v>
      </c>
      <c r="AG583" s="368">
        <v>0</v>
      </c>
      <c r="AH583" s="368">
        <v>0</v>
      </c>
      <c r="AI583" s="368">
        <v>0</v>
      </c>
      <c r="AJ583" s="368">
        <v>0</v>
      </c>
      <c r="AK583" s="368">
        <v>0</v>
      </c>
      <c r="AL583" s="368">
        <v>0</v>
      </c>
      <c r="AM583" s="367">
        <f t="shared" si="31"/>
        <v>2752.1499999999996</v>
      </c>
      <c r="AN583" s="362">
        <f>ERP_2[[#This Row],[2026 Working Total]]-ERP_2[[#This Row],[LE2 Final Submission]]</f>
        <v>49.399999999999636</v>
      </c>
      <c r="AO583" s="227">
        <v>0</v>
      </c>
      <c r="AP583" s="227">
        <f t="shared" si="30"/>
        <v>7.47</v>
      </c>
      <c r="AQ583" s="374">
        <f>SUM(ERP_2[[#This Row],[AP01]:[AP06]])-SUM(ERP_2[[#This Row],[AP01 LE2]:[AP06 LE2]])</f>
        <v>49.399999999999636</v>
      </c>
      <c r="AR583" s="80"/>
      <c r="AS583" s="79">
        <f>ERP_2[[#This Row],[2026 Working Total to Budget/LE]]-ERP_2[[#This Row],[Giveback]]</f>
        <v>49.399999999999636</v>
      </c>
      <c r="AT583" s="81"/>
      <c r="AU583" s="375">
        <v>45.54</v>
      </c>
      <c r="AV583" s="375">
        <v>0.09</v>
      </c>
      <c r="AW583" s="375">
        <v>2657.12</v>
      </c>
      <c r="AX583" s="375">
        <v>0</v>
      </c>
      <c r="AY583" s="375">
        <v>0</v>
      </c>
      <c r="AZ583" s="375">
        <v>0</v>
      </c>
      <c r="BA583" s="375">
        <v>0</v>
      </c>
      <c r="BB583" s="375">
        <v>0</v>
      </c>
      <c r="BC583" s="375">
        <v>0</v>
      </c>
      <c r="BD583" s="375">
        <v>0</v>
      </c>
      <c r="BE583" s="375">
        <v>0</v>
      </c>
      <c r="BF583" s="375">
        <v>0</v>
      </c>
      <c r="BG583" s="375">
        <v>2702.75</v>
      </c>
      <c r="BH583" s="227">
        <v>45.54</v>
      </c>
      <c r="BI583" s="227">
        <v>0.09</v>
      </c>
      <c r="BJ583" s="227">
        <v>2657.12</v>
      </c>
      <c r="BK583" s="227">
        <v>0</v>
      </c>
      <c r="BL583" s="227">
        <v>0</v>
      </c>
      <c r="BM583" s="227">
        <v>0</v>
      </c>
      <c r="BN583" s="227">
        <v>0</v>
      </c>
      <c r="BO583" s="227">
        <v>0</v>
      </c>
      <c r="BP583" s="227">
        <v>0</v>
      </c>
      <c r="BQ583" s="227">
        <v>0</v>
      </c>
      <c r="BR583" s="227">
        <v>0</v>
      </c>
      <c r="BS583" s="227">
        <v>0</v>
      </c>
      <c r="BT583" s="227">
        <v>2702.75</v>
      </c>
    </row>
    <row r="584" spans="1:72" ht="15" customHeight="1">
      <c r="A584" s="215" t="s">
        <v>1143</v>
      </c>
      <c r="B584" s="215" t="s">
        <v>2953</v>
      </c>
      <c r="C584" s="215" t="s">
        <v>50</v>
      </c>
      <c r="D584" s="215" t="s">
        <v>1144</v>
      </c>
      <c r="E584" s="150" t="s">
        <v>1136</v>
      </c>
      <c r="F584" s="482" t="s">
        <v>1566</v>
      </c>
      <c r="G584" s="150" t="s">
        <v>1135</v>
      </c>
      <c r="H584" s="334" t="s">
        <v>1145</v>
      </c>
      <c r="I584" s="334" t="s">
        <v>1135</v>
      </c>
      <c r="J584" s="334" t="s">
        <v>1145</v>
      </c>
      <c r="K584" s="334" t="s">
        <v>1137</v>
      </c>
      <c r="L584" s="516" t="s">
        <v>49</v>
      </c>
      <c r="M584" s="398" t="s">
        <v>1138</v>
      </c>
      <c r="N584" s="343"/>
      <c r="O584" s="344"/>
      <c r="P584" s="219" t="s">
        <v>51</v>
      </c>
      <c r="Q584" s="349" t="s">
        <v>1139</v>
      </c>
      <c r="R584" s="346" t="s">
        <v>1140</v>
      </c>
      <c r="S584" s="349"/>
      <c r="T584" s="334" t="s">
        <v>25</v>
      </c>
      <c r="U584" s="354"/>
      <c r="V584" s="403"/>
      <c r="W584" s="406">
        <v>1800</v>
      </c>
      <c r="X584" s="406">
        <v>3600</v>
      </c>
      <c r="Y584" s="425"/>
      <c r="Z584" s="71"/>
      <c r="AA584" s="408"/>
      <c r="AB584" s="410"/>
      <c r="AC584" s="410"/>
      <c r="AD584" s="428" t="s">
        <v>1142</v>
      </c>
      <c r="AE584" s="429">
        <v>0</v>
      </c>
      <c r="AF584" s="429">
        <v>0</v>
      </c>
      <c r="AG584" s="368">
        <v>0</v>
      </c>
      <c r="AH584" s="368">
        <v>0</v>
      </c>
      <c r="AI584" s="368">
        <v>0</v>
      </c>
      <c r="AJ584" s="368">
        <v>0</v>
      </c>
      <c r="AK584" s="368">
        <v>0</v>
      </c>
      <c r="AL584" s="368">
        <v>0</v>
      </c>
      <c r="AM584" s="367">
        <f t="shared" si="31"/>
        <v>0</v>
      </c>
      <c r="AN584" s="362">
        <f>ERP_2[[#This Row],[2026 Working Total]]-ERP_2[[#This Row],[LE2 Final Submission]]</f>
        <v>-3600</v>
      </c>
      <c r="AO584" s="227">
        <v>0</v>
      </c>
      <c r="AP584" s="227">
        <f t="shared" ref="AP584:AP647" si="32">$AF584 - $AO584</f>
        <v>0</v>
      </c>
      <c r="AQ584" s="374">
        <f>SUM(ERP_2[[#This Row],[AP01]:[AP06]])-SUM(ERP_2[[#This Row],[AP01 LE2]:[AP06 LE2]])</f>
        <v>-3600</v>
      </c>
      <c r="AR584" s="80"/>
      <c r="AS584" s="79">
        <f>ERP_2[[#This Row],[2026 Working Total to Budget/LE]]-ERP_2[[#This Row],[Giveback]]</f>
        <v>-3600</v>
      </c>
      <c r="AT584" s="81"/>
      <c r="AU584" s="375"/>
      <c r="AV584" s="375"/>
      <c r="AW584" s="375"/>
      <c r="AX584" s="375">
        <v>1800</v>
      </c>
      <c r="AY584" s="375">
        <v>0</v>
      </c>
      <c r="AZ584" s="375">
        <v>1800</v>
      </c>
      <c r="BA584" s="375">
        <v>0</v>
      </c>
      <c r="BB584" s="375">
        <v>0</v>
      </c>
      <c r="BC584" s="375">
        <v>0</v>
      </c>
      <c r="BD584" s="375">
        <v>0</v>
      </c>
      <c r="BE584" s="375">
        <v>0</v>
      </c>
      <c r="BF584" s="375">
        <v>0</v>
      </c>
      <c r="BG584" s="375">
        <v>3600</v>
      </c>
      <c r="BH584" s="227"/>
      <c r="BI584" s="227"/>
      <c r="BJ584" s="227"/>
      <c r="BK584" s="227">
        <v>1800</v>
      </c>
      <c r="BL584" s="227">
        <v>0</v>
      </c>
      <c r="BM584" s="227">
        <v>1800</v>
      </c>
      <c r="BN584" s="227">
        <v>0</v>
      </c>
      <c r="BO584" s="227">
        <v>0</v>
      </c>
      <c r="BP584" s="227">
        <v>0</v>
      </c>
      <c r="BQ584" s="227">
        <v>0</v>
      </c>
      <c r="BR584" s="227">
        <v>0</v>
      </c>
      <c r="BS584" s="227">
        <v>0</v>
      </c>
      <c r="BT584" s="227">
        <v>3600</v>
      </c>
    </row>
    <row r="585" spans="1:72" ht="15" customHeight="1">
      <c r="A585" s="215" t="s">
        <v>1146</v>
      </c>
      <c r="B585" s="215" t="s">
        <v>2953</v>
      </c>
      <c r="C585" s="215" t="s">
        <v>52</v>
      </c>
      <c r="D585" s="215" t="s">
        <v>52</v>
      </c>
      <c r="E585" s="150" t="s">
        <v>1136</v>
      </c>
      <c r="F585" s="482" t="s">
        <v>1566</v>
      </c>
      <c r="G585" s="150" t="s">
        <v>1135</v>
      </c>
      <c r="H585" s="334" t="s">
        <v>1135</v>
      </c>
      <c r="I585" s="334" t="s">
        <v>1135</v>
      </c>
      <c r="J585" s="334" t="s">
        <v>1135</v>
      </c>
      <c r="K585" s="334" t="s">
        <v>1137</v>
      </c>
      <c r="L585" s="516" t="s">
        <v>49</v>
      </c>
      <c r="M585" s="398" t="s">
        <v>1147</v>
      </c>
      <c r="N585" s="343"/>
      <c r="O585" s="344"/>
      <c r="P585" s="219" t="s">
        <v>53</v>
      </c>
      <c r="Q585" s="349" t="s">
        <v>1149</v>
      </c>
      <c r="R585" s="343"/>
      <c r="S585" s="349"/>
      <c r="T585" s="334" t="s">
        <v>25</v>
      </c>
      <c r="U585" s="354"/>
      <c r="V585" s="403"/>
      <c r="W585" s="406">
        <v>0</v>
      </c>
      <c r="X585" s="406">
        <v>-51577</v>
      </c>
      <c r="Y585" s="425"/>
      <c r="Z585" s="71"/>
      <c r="AA585" s="408">
        <v>44340</v>
      </c>
      <c r="AB585" s="410">
        <v>-23011</v>
      </c>
      <c r="AC585" s="410">
        <v>-72906</v>
      </c>
      <c r="AD585" s="428">
        <v>9489</v>
      </c>
      <c r="AE585" s="429">
        <v>-2647</v>
      </c>
      <c r="AF585" s="429">
        <v>5440</v>
      </c>
      <c r="AG585" s="368">
        <v>0</v>
      </c>
      <c r="AH585" s="368">
        <v>0</v>
      </c>
      <c r="AI585" s="368">
        <v>0</v>
      </c>
      <c r="AJ585" s="368">
        <v>0</v>
      </c>
      <c r="AK585" s="368">
        <v>0</v>
      </c>
      <c r="AL585" s="368">
        <v>0</v>
      </c>
      <c r="AM585" s="367">
        <f t="shared" si="31"/>
        <v>-39295</v>
      </c>
      <c r="AN585" s="362">
        <f>ERP_2[[#This Row],[2026 Working Total]]-ERP_2[[#This Row],[LE2 Final Submission]]</f>
        <v>12282</v>
      </c>
      <c r="AO585" s="227">
        <v>0</v>
      </c>
      <c r="AP585" s="227">
        <f t="shared" si="32"/>
        <v>5440</v>
      </c>
      <c r="AQ585" s="374">
        <f>SUM(ERP_2[[#This Row],[AP01]:[AP06]])-SUM(ERP_2[[#This Row],[AP01 LE2]:[AP06 LE2]])</f>
        <v>12282</v>
      </c>
      <c r="AR585" s="80"/>
      <c r="AS585" s="79">
        <f>ERP_2[[#This Row],[2026 Working Total to Budget/LE]]-ERP_2[[#This Row],[Giveback]]</f>
        <v>12282</v>
      </c>
      <c r="AT585" s="81"/>
      <c r="AU585" s="375">
        <v>44340</v>
      </c>
      <c r="AV585" s="375">
        <v>-23011</v>
      </c>
      <c r="AW585" s="375">
        <v>-72906</v>
      </c>
      <c r="AX585" s="375">
        <v>0</v>
      </c>
      <c r="AY585" s="375">
        <v>0</v>
      </c>
      <c r="AZ585" s="375">
        <v>0</v>
      </c>
      <c r="BA585" s="375">
        <v>0</v>
      </c>
      <c r="BB585" s="375">
        <v>0</v>
      </c>
      <c r="BC585" s="375">
        <v>0</v>
      </c>
      <c r="BD585" s="375">
        <v>0</v>
      </c>
      <c r="BE585" s="375">
        <v>0</v>
      </c>
      <c r="BF585" s="375">
        <v>0</v>
      </c>
      <c r="BG585" s="375">
        <v>-51577</v>
      </c>
      <c r="BH585" s="227">
        <v>44340</v>
      </c>
      <c r="BI585" s="227">
        <v>-23011</v>
      </c>
      <c r="BJ585" s="227">
        <v>-72906</v>
      </c>
      <c r="BK585" s="227">
        <v>0</v>
      </c>
      <c r="BL585" s="227">
        <v>0</v>
      </c>
      <c r="BM585" s="227">
        <v>0</v>
      </c>
      <c r="BN585" s="227">
        <v>0</v>
      </c>
      <c r="BO585" s="227">
        <v>0</v>
      </c>
      <c r="BP585" s="227">
        <v>0</v>
      </c>
      <c r="BQ585" s="227">
        <v>0</v>
      </c>
      <c r="BR585" s="227">
        <v>0</v>
      </c>
      <c r="BS585" s="227">
        <v>0</v>
      </c>
      <c r="BT585" s="227">
        <v>-51577</v>
      </c>
    </row>
    <row r="586" spans="1:72" ht="15" customHeight="1">
      <c r="A586" s="215" t="s">
        <v>2878</v>
      </c>
      <c r="B586" s="215" t="s">
        <v>2953</v>
      </c>
      <c r="C586" s="215" t="s">
        <v>37</v>
      </c>
      <c r="D586" s="215" t="s">
        <v>2879</v>
      </c>
      <c r="E586" s="150" t="s">
        <v>1136</v>
      </c>
      <c r="F586" s="482" t="s">
        <v>1566</v>
      </c>
      <c r="G586" s="482" t="s">
        <v>1566</v>
      </c>
      <c r="H586" s="553" t="s">
        <v>1566</v>
      </c>
      <c r="I586" s="334" t="s">
        <v>1345</v>
      </c>
      <c r="J586" s="334" t="s">
        <v>1346</v>
      </c>
      <c r="K586" s="334" t="s">
        <v>1346</v>
      </c>
      <c r="L586" s="516" t="s">
        <v>22</v>
      </c>
      <c r="M586" s="398" t="s">
        <v>2868</v>
      </c>
      <c r="N586" s="343"/>
      <c r="O586" s="344"/>
      <c r="P586" s="219" t="s">
        <v>24</v>
      </c>
      <c r="Q586" s="349" t="s">
        <v>1139</v>
      </c>
      <c r="R586" s="346" t="s">
        <v>1140</v>
      </c>
      <c r="S586" s="349"/>
      <c r="T586" s="334" t="s">
        <v>25</v>
      </c>
      <c r="U586" s="354"/>
      <c r="V586" s="403"/>
      <c r="W586" s="406">
        <v>6952243.9899999993</v>
      </c>
      <c r="X586" s="406">
        <v>0</v>
      </c>
      <c r="Y586" s="425"/>
      <c r="Z586" s="71"/>
      <c r="AA586" s="408"/>
      <c r="AB586" s="410"/>
      <c r="AC586" s="410"/>
      <c r="AD586" s="428" t="s">
        <v>1142</v>
      </c>
      <c r="AE586" s="429">
        <v>0</v>
      </c>
      <c r="AF586" s="429">
        <v>0</v>
      </c>
      <c r="AG586" s="369"/>
      <c r="AH586" s="369"/>
      <c r="AI586" s="369"/>
      <c r="AJ586" s="369"/>
      <c r="AK586" s="369"/>
      <c r="AL586" s="369"/>
      <c r="AM586" s="367">
        <f t="shared" si="31"/>
        <v>0</v>
      </c>
      <c r="AN586" s="362">
        <f>ERP_2[[#This Row],[2026 Working Total]]-ERP_2[[#This Row],[LE2 Final Submission]]</f>
        <v>0</v>
      </c>
      <c r="AO586" s="227"/>
      <c r="AP586" s="227">
        <f t="shared" si="32"/>
        <v>0</v>
      </c>
      <c r="AQ586" s="374">
        <f>SUM(ERP_2[[#This Row],[AP01]:[AP06]])-SUM(ERP_2[[#This Row],[AP01 LE2]:[AP06 LE2]])</f>
        <v>0</v>
      </c>
      <c r="AR586" s="80"/>
      <c r="AS586" s="79">
        <f>ERP_2[[#This Row],[2026 Working Total to Budget/LE]]-ERP_2[[#This Row],[Giveback]]</f>
        <v>0</v>
      </c>
      <c r="AT586" s="81"/>
      <c r="AU586" s="375"/>
      <c r="AV586" s="375"/>
      <c r="AW586" s="375"/>
      <c r="AX586" s="375"/>
      <c r="AY586" s="375"/>
      <c r="AZ586" s="375"/>
      <c r="BA586" s="375"/>
      <c r="BB586" s="375"/>
      <c r="BC586" s="375"/>
      <c r="BD586" s="375"/>
      <c r="BE586" s="375"/>
      <c r="BF586" s="375"/>
      <c r="BG586" s="375">
        <v>0</v>
      </c>
      <c r="BH586" s="227">
        <v>423409.35</v>
      </c>
      <c r="BI586" s="227">
        <v>937161.13</v>
      </c>
      <c r="BJ586" s="227">
        <v>426573.21</v>
      </c>
      <c r="BK586" s="227">
        <v>561924.32999999996</v>
      </c>
      <c r="BL586" s="227">
        <v>560912.64000000001</v>
      </c>
      <c r="BM586" s="227">
        <v>576476.29</v>
      </c>
      <c r="BN586" s="227">
        <v>585831.80000000005</v>
      </c>
      <c r="BO586" s="227">
        <v>590499.77</v>
      </c>
      <c r="BP586" s="227">
        <v>590499.77</v>
      </c>
      <c r="BQ586" s="227">
        <v>590499.77</v>
      </c>
      <c r="BR586" s="227">
        <v>592897.86</v>
      </c>
      <c r="BS586" s="227">
        <v>592897.86</v>
      </c>
      <c r="BT586" s="227">
        <v>7029583.7799999993</v>
      </c>
    </row>
    <row r="587" spans="1:72" ht="15" customHeight="1">
      <c r="A587" s="215" t="s">
        <v>2885</v>
      </c>
      <c r="B587" s="215" t="s">
        <v>2953</v>
      </c>
      <c r="C587" s="215" t="s">
        <v>40</v>
      </c>
      <c r="D587" s="215" t="s">
        <v>2886</v>
      </c>
      <c r="E587" s="150" t="s">
        <v>1136</v>
      </c>
      <c r="F587" s="482" t="s">
        <v>1566</v>
      </c>
      <c r="G587" s="482" t="s">
        <v>1566</v>
      </c>
      <c r="H587" s="553" t="s">
        <v>1566</v>
      </c>
      <c r="I587" s="334" t="s">
        <v>1345</v>
      </c>
      <c r="J587" s="334" t="s">
        <v>1346</v>
      </c>
      <c r="K587" s="334" t="s">
        <v>1346</v>
      </c>
      <c r="L587" s="516" t="s">
        <v>22</v>
      </c>
      <c r="M587" s="398" t="s">
        <v>2870</v>
      </c>
      <c r="N587" s="343"/>
      <c r="O587" s="344"/>
      <c r="P587" s="219" t="s">
        <v>27</v>
      </c>
      <c r="Q587" s="349" t="s">
        <v>1139</v>
      </c>
      <c r="R587" s="346" t="s">
        <v>1140</v>
      </c>
      <c r="S587" s="349"/>
      <c r="T587" s="334" t="s">
        <v>25</v>
      </c>
      <c r="U587" s="354"/>
      <c r="V587" s="403"/>
      <c r="W587" s="406">
        <v>2865793.42</v>
      </c>
      <c r="X587" s="406">
        <v>0</v>
      </c>
      <c r="Y587" s="425"/>
      <c r="Z587" s="71"/>
      <c r="AA587" s="408"/>
      <c r="AB587" s="410"/>
      <c r="AC587" s="410"/>
      <c r="AD587" s="428" t="s">
        <v>1142</v>
      </c>
      <c r="AE587" s="429">
        <v>0</v>
      </c>
      <c r="AF587" s="429">
        <v>0</v>
      </c>
      <c r="AG587" s="369"/>
      <c r="AH587" s="369"/>
      <c r="AI587" s="369"/>
      <c r="AJ587" s="369"/>
      <c r="AK587" s="369"/>
      <c r="AL587" s="369"/>
      <c r="AM587" s="367">
        <f t="shared" si="31"/>
        <v>0</v>
      </c>
      <c r="AN587" s="362">
        <f>ERP_2[[#This Row],[2026 Working Total]]-ERP_2[[#This Row],[LE2 Final Submission]]</f>
        <v>0</v>
      </c>
      <c r="AO587" s="227"/>
      <c r="AP587" s="227">
        <f t="shared" si="32"/>
        <v>0</v>
      </c>
      <c r="AQ587" s="374">
        <f>SUM(ERP_2[[#This Row],[AP01]:[AP06]])-SUM(ERP_2[[#This Row],[AP01 LE2]:[AP06 LE2]])</f>
        <v>0</v>
      </c>
      <c r="AR587" s="80"/>
      <c r="AS587" s="79">
        <f>ERP_2[[#This Row],[2026 Working Total to Budget/LE]]-ERP_2[[#This Row],[Giveback]]</f>
        <v>0</v>
      </c>
      <c r="AT587" s="81"/>
      <c r="AU587" s="375"/>
      <c r="AV587" s="375"/>
      <c r="AW587" s="375"/>
      <c r="AX587" s="375"/>
      <c r="AY587" s="375"/>
      <c r="AZ587" s="375"/>
      <c r="BA587" s="375"/>
      <c r="BB587" s="375"/>
      <c r="BC587" s="375"/>
      <c r="BD587" s="375"/>
      <c r="BE587" s="375"/>
      <c r="BF587" s="375"/>
      <c r="BG587" s="375">
        <v>0</v>
      </c>
      <c r="BH587" s="227">
        <v>195133.21</v>
      </c>
      <c r="BI587" s="227">
        <v>214325.71</v>
      </c>
      <c r="BJ587" s="227">
        <v>291685.48</v>
      </c>
      <c r="BK587" s="227">
        <v>233173.12</v>
      </c>
      <c r="BL587" s="227">
        <v>232919.73</v>
      </c>
      <c r="BM587" s="227">
        <v>238777.23</v>
      </c>
      <c r="BN587" s="227">
        <v>240555.68</v>
      </c>
      <c r="BO587" s="227">
        <v>242084.56</v>
      </c>
      <c r="BP587" s="227">
        <v>242084.56</v>
      </c>
      <c r="BQ587" s="227">
        <v>242084.56</v>
      </c>
      <c r="BR587" s="227">
        <v>242516.91</v>
      </c>
      <c r="BS587" s="227">
        <v>242516.91</v>
      </c>
      <c r="BT587" s="227">
        <v>2857857.66</v>
      </c>
    </row>
    <row r="588" spans="1:72" ht="15" customHeight="1">
      <c r="A588" s="215" t="s">
        <v>1154</v>
      </c>
      <c r="B588" s="215" t="s">
        <v>2953</v>
      </c>
      <c r="C588" s="215" t="s">
        <v>52</v>
      </c>
      <c r="D588" s="215" t="s">
        <v>1155</v>
      </c>
      <c r="E588" s="150" t="s">
        <v>1136</v>
      </c>
      <c r="F588" s="482" t="s">
        <v>1566</v>
      </c>
      <c r="G588" s="150" t="s">
        <v>1135</v>
      </c>
      <c r="H588" s="334" t="s">
        <v>1156</v>
      </c>
      <c r="I588" s="334" t="s">
        <v>1135</v>
      </c>
      <c r="J588" s="334" t="s">
        <v>1156</v>
      </c>
      <c r="K588" s="334" t="s">
        <v>1137</v>
      </c>
      <c r="L588" s="516" t="s">
        <v>49</v>
      </c>
      <c r="M588" s="398" t="s">
        <v>1147</v>
      </c>
      <c r="N588" s="343"/>
      <c r="O588" s="344"/>
      <c r="P588" s="219" t="s">
        <v>53</v>
      </c>
      <c r="Q588" s="349" t="s">
        <v>1153</v>
      </c>
      <c r="R588" s="343"/>
      <c r="S588" s="349"/>
      <c r="T588" s="334" t="s">
        <v>25</v>
      </c>
      <c r="U588" s="583" t="s">
        <v>1158</v>
      </c>
      <c r="V588" s="403"/>
      <c r="W588" s="406">
        <v>0</v>
      </c>
      <c r="X588" s="406">
        <v>-1440</v>
      </c>
      <c r="Y588" s="425"/>
      <c r="Z588" s="71"/>
      <c r="AA588" s="408"/>
      <c r="AB588" s="410">
        <v>-1440</v>
      </c>
      <c r="AC588" s="412">
        <v>0</v>
      </c>
      <c r="AD588" s="428">
        <v>0</v>
      </c>
      <c r="AE588" s="429">
        <v>0</v>
      </c>
      <c r="AF588" s="429">
        <v>-18000</v>
      </c>
      <c r="AG588" s="368">
        <v>0</v>
      </c>
      <c r="AH588" s="368">
        <v>0</v>
      </c>
      <c r="AI588" s="368">
        <v>0</v>
      </c>
      <c r="AJ588" s="368">
        <v>0</v>
      </c>
      <c r="AK588" s="368">
        <v>0</v>
      </c>
      <c r="AL588" s="368">
        <v>0</v>
      </c>
      <c r="AM588" s="367">
        <f t="shared" si="31"/>
        <v>-19440</v>
      </c>
      <c r="AN588" s="362">
        <f>ERP_2[[#This Row],[2026 Working Total]]-ERP_2[[#This Row],[LE2 Final Submission]]</f>
        <v>-18000</v>
      </c>
      <c r="AO588" s="227">
        <v>0</v>
      </c>
      <c r="AP588" s="227">
        <f t="shared" si="32"/>
        <v>-18000</v>
      </c>
      <c r="AQ588" s="374">
        <f>SUM(ERP_2[[#This Row],[AP01]:[AP06]])-SUM(ERP_2[[#This Row],[AP01 LE2]:[AP06 LE2]])</f>
        <v>-18000</v>
      </c>
      <c r="AR588" s="80"/>
      <c r="AS588" s="79">
        <f>ERP_2[[#This Row],[2026 Working Total to Budget/LE]]-ERP_2[[#This Row],[Giveback]]</f>
        <v>-18000</v>
      </c>
      <c r="AT588" s="81"/>
      <c r="AU588" s="375"/>
      <c r="AV588" s="375">
        <v>-1440</v>
      </c>
      <c r="AW588" s="375">
        <v>0</v>
      </c>
      <c r="AX588" s="375">
        <v>0</v>
      </c>
      <c r="AY588" s="375">
        <v>0</v>
      </c>
      <c r="AZ588" s="375">
        <v>0</v>
      </c>
      <c r="BA588" s="375">
        <v>0</v>
      </c>
      <c r="BB588" s="375">
        <v>0</v>
      </c>
      <c r="BC588" s="375">
        <v>0</v>
      </c>
      <c r="BD588" s="375">
        <v>0</v>
      </c>
      <c r="BE588" s="375">
        <v>0</v>
      </c>
      <c r="BF588" s="375">
        <v>0</v>
      </c>
      <c r="BG588" s="375">
        <v>-1440</v>
      </c>
      <c r="BH588" s="227"/>
      <c r="BI588" s="227">
        <v>-1440</v>
      </c>
      <c r="BJ588" s="227">
        <v>0</v>
      </c>
      <c r="BK588" s="227">
        <v>0</v>
      </c>
      <c r="BL588" s="227">
        <v>0</v>
      </c>
      <c r="BM588" s="227">
        <v>0</v>
      </c>
      <c r="BN588" s="227">
        <v>0</v>
      </c>
      <c r="BO588" s="227">
        <v>0</v>
      </c>
      <c r="BP588" s="227">
        <v>0</v>
      </c>
      <c r="BQ588" s="227">
        <v>0</v>
      </c>
      <c r="BR588" s="227">
        <v>0</v>
      </c>
      <c r="BS588" s="227">
        <v>0</v>
      </c>
      <c r="BT588" s="227">
        <v>-1440</v>
      </c>
    </row>
    <row r="589" spans="1:72" ht="15" customHeight="1">
      <c r="A589" s="215" t="s">
        <v>1667</v>
      </c>
      <c r="B589" s="215" t="s">
        <v>2953</v>
      </c>
      <c r="C589" s="215" t="s">
        <v>337</v>
      </c>
      <c r="D589" s="215" t="s">
        <v>1668</v>
      </c>
      <c r="E589" s="150" t="s">
        <v>1136</v>
      </c>
      <c r="F589" s="482" t="s">
        <v>1566</v>
      </c>
      <c r="G589" s="482" t="s">
        <v>1566</v>
      </c>
      <c r="H589" s="553" t="s">
        <v>1566</v>
      </c>
      <c r="I589" s="334" t="s">
        <v>1345</v>
      </c>
      <c r="J589" s="334" t="s">
        <v>1346</v>
      </c>
      <c r="K589" s="334" t="s">
        <v>1346</v>
      </c>
      <c r="L589" s="516" t="s">
        <v>333</v>
      </c>
      <c r="M589" s="398" t="s">
        <v>1663</v>
      </c>
      <c r="N589" s="343"/>
      <c r="O589" s="344"/>
      <c r="P589" s="219" t="s">
        <v>336</v>
      </c>
      <c r="Q589" s="349"/>
      <c r="R589" s="346" t="s">
        <v>1140</v>
      </c>
      <c r="S589" s="349"/>
      <c r="T589" s="334" t="s">
        <v>25</v>
      </c>
      <c r="U589" s="354" t="s">
        <v>1666</v>
      </c>
      <c r="V589" s="403"/>
      <c r="W589" s="406">
        <v>0</v>
      </c>
      <c r="X589" s="406">
        <v>19503</v>
      </c>
      <c r="Y589" s="425"/>
      <c r="Z589" s="71"/>
      <c r="AA589" s="408">
        <v>336</v>
      </c>
      <c r="AB589" s="410">
        <v>337</v>
      </c>
      <c r="AC589" s="410">
        <v>1883</v>
      </c>
      <c r="AD589" s="428">
        <v>852.00000000000011</v>
      </c>
      <c r="AE589" s="429">
        <v>1823.6399999999999</v>
      </c>
      <c r="AF589" s="429">
        <v>1823.62</v>
      </c>
      <c r="AG589" s="369">
        <v>1883</v>
      </c>
      <c r="AH589" s="369">
        <v>1883</v>
      </c>
      <c r="AI589" s="369">
        <v>1883</v>
      </c>
      <c r="AJ589" s="369">
        <v>1883</v>
      </c>
      <c r="AK589" s="369">
        <v>1883</v>
      </c>
      <c r="AL589" s="369">
        <v>1883</v>
      </c>
      <c r="AM589" s="367">
        <f t="shared" si="31"/>
        <v>18353.259999999998</v>
      </c>
      <c r="AN589" s="362">
        <f>ERP_2[[#This Row],[2026 Working Total]]-ERP_2[[#This Row],[LE2 Final Submission]]</f>
        <v>-1149.7400000000016</v>
      </c>
      <c r="AO589" s="227">
        <v>1883</v>
      </c>
      <c r="AP589" s="227">
        <f t="shared" si="32"/>
        <v>-59.380000000000109</v>
      </c>
      <c r="AQ589" s="374">
        <f>SUM(ERP_2[[#This Row],[AP01]:[AP06]])-SUM(ERP_2[[#This Row],[AP01 LE2]:[AP06 LE2]])</f>
        <v>-1149.7400000000007</v>
      </c>
      <c r="AR589" s="80"/>
      <c r="AS589" s="79">
        <f>ERP_2[[#This Row],[2026 Working Total to Budget/LE]]-ERP_2[[#This Row],[Giveback]]</f>
        <v>-1149.7400000000016</v>
      </c>
      <c r="AT589" s="81"/>
      <c r="AU589" s="375">
        <v>336</v>
      </c>
      <c r="AV589" s="375">
        <v>337</v>
      </c>
      <c r="AW589" s="375">
        <v>1883</v>
      </c>
      <c r="AX589" s="375">
        <v>1883</v>
      </c>
      <c r="AY589" s="375">
        <v>1883</v>
      </c>
      <c r="AZ589" s="375">
        <v>1883</v>
      </c>
      <c r="BA589" s="375">
        <v>1883</v>
      </c>
      <c r="BB589" s="375">
        <v>1883</v>
      </c>
      <c r="BC589" s="375">
        <v>1883</v>
      </c>
      <c r="BD589" s="375">
        <v>1883</v>
      </c>
      <c r="BE589" s="375">
        <v>1883</v>
      </c>
      <c r="BF589" s="375">
        <v>1883</v>
      </c>
      <c r="BG589" s="375">
        <v>19503</v>
      </c>
      <c r="BH589" s="227">
        <v>336</v>
      </c>
      <c r="BI589" s="227">
        <v>337</v>
      </c>
      <c r="BJ589" s="227">
        <v>1883</v>
      </c>
      <c r="BK589" s="227">
        <v>0</v>
      </c>
      <c r="BL589" s="227">
        <v>0</v>
      </c>
      <c r="BM589" s="227">
        <v>0</v>
      </c>
      <c r="BN589" s="227">
        <v>0</v>
      </c>
      <c r="BO589" s="227">
        <v>0</v>
      </c>
      <c r="BP589" s="227">
        <v>0</v>
      </c>
      <c r="BQ589" s="227">
        <v>0</v>
      </c>
      <c r="BR589" s="227">
        <v>0</v>
      </c>
      <c r="BS589" s="227">
        <v>0</v>
      </c>
      <c r="BT589" s="227">
        <v>2556</v>
      </c>
    </row>
    <row r="590" spans="1:72" ht="15" customHeight="1">
      <c r="A590" s="215" t="s">
        <v>1159</v>
      </c>
      <c r="B590" s="215" t="s">
        <v>2953</v>
      </c>
      <c r="C590" s="215" t="s">
        <v>52</v>
      </c>
      <c r="D590" s="215" t="s">
        <v>1160</v>
      </c>
      <c r="E590" s="150" t="s">
        <v>1136</v>
      </c>
      <c r="F590" s="482" t="s">
        <v>1566</v>
      </c>
      <c r="G590" s="150" t="s">
        <v>1135</v>
      </c>
      <c r="H590" s="334" t="s">
        <v>1161</v>
      </c>
      <c r="I590" s="334" t="s">
        <v>1135</v>
      </c>
      <c r="J590" s="334" t="s">
        <v>1161</v>
      </c>
      <c r="K590" s="334" t="s">
        <v>1137</v>
      </c>
      <c r="L590" s="516" t="s">
        <v>49</v>
      </c>
      <c r="M590" s="398" t="s">
        <v>1147</v>
      </c>
      <c r="N590" s="343"/>
      <c r="O590" s="344"/>
      <c r="P590" s="219" t="s">
        <v>53</v>
      </c>
      <c r="Q590" s="349" t="s">
        <v>1153</v>
      </c>
      <c r="R590" s="343"/>
      <c r="S590" s="349"/>
      <c r="T590" s="334" t="s">
        <v>25</v>
      </c>
      <c r="U590" s="354" t="s">
        <v>1162</v>
      </c>
      <c r="V590" s="403"/>
      <c r="W590" s="406">
        <v>0</v>
      </c>
      <c r="X590" s="406">
        <v>-68766</v>
      </c>
      <c r="Y590" s="425"/>
      <c r="Z590" s="71"/>
      <c r="AA590" s="408"/>
      <c r="AB590" s="410">
        <v>-57216</v>
      </c>
      <c r="AC590" s="410">
        <v>-11550</v>
      </c>
      <c r="AD590" s="428" t="s">
        <v>1142</v>
      </c>
      <c r="AE590" s="429">
        <v>0</v>
      </c>
      <c r="AF590" s="429">
        <v>0</v>
      </c>
      <c r="AG590" s="368">
        <v>0</v>
      </c>
      <c r="AH590" s="368">
        <v>0</v>
      </c>
      <c r="AI590" s="368">
        <v>0</v>
      </c>
      <c r="AJ590" s="368">
        <v>0</v>
      </c>
      <c r="AK590" s="368">
        <v>0</v>
      </c>
      <c r="AL590" s="368">
        <v>0</v>
      </c>
      <c r="AM590" s="367">
        <f t="shared" si="31"/>
        <v>-68766</v>
      </c>
      <c r="AN590" s="362">
        <f>ERP_2[[#This Row],[2026 Working Total]]-ERP_2[[#This Row],[LE2 Final Submission]]</f>
        <v>0</v>
      </c>
      <c r="AO590" s="227">
        <v>0</v>
      </c>
      <c r="AP590" s="227">
        <f t="shared" si="32"/>
        <v>0</v>
      </c>
      <c r="AQ590" s="374">
        <f>SUM(ERP_2[[#This Row],[AP01]:[AP06]])-SUM(ERP_2[[#This Row],[AP01 LE2]:[AP06 LE2]])</f>
        <v>0</v>
      </c>
      <c r="AR590" s="80"/>
      <c r="AS590" s="79">
        <f>ERP_2[[#This Row],[2026 Working Total to Budget/LE]]-ERP_2[[#This Row],[Giveback]]</f>
        <v>0</v>
      </c>
      <c r="AT590" s="81"/>
      <c r="AU590" s="375"/>
      <c r="AV590" s="375">
        <v>-57216</v>
      </c>
      <c r="AW590" s="375">
        <v>-11550</v>
      </c>
      <c r="AX590" s="375">
        <v>0</v>
      </c>
      <c r="AY590" s="375">
        <v>0</v>
      </c>
      <c r="AZ590" s="375">
        <v>0</v>
      </c>
      <c r="BA590" s="375">
        <v>0</v>
      </c>
      <c r="BB590" s="375">
        <v>0</v>
      </c>
      <c r="BC590" s="375">
        <v>0</v>
      </c>
      <c r="BD590" s="375">
        <v>0</v>
      </c>
      <c r="BE590" s="375">
        <v>0</v>
      </c>
      <c r="BF590" s="375">
        <v>0</v>
      </c>
      <c r="BG590" s="375">
        <v>-68766</v>
      </c>
      <c r="BH590" s="227"/>
      <c r="BI590" s="227">
        <v>-57216</v>
      </c>
      <c r="BJ590" s="227">
        <v>-11550</v>
      </c>
      <c r="BK590" s="227">
        <v>0</v>
      </c>
      <c r="BL590" s="227">
        <v>0</v>
      </c>
      <c r="BM590" s="227">
        <v>0</v>
      </c>
      <c r="BN590" s="227">
        <v>0</v>
      </c>
      <c r="BO590" s="227">
        <v>0</v>
      </c>
      <c r="BP590" s="227">
        <v>0</v>
      </c>
      <c r="BQ590" s="227">
        <v>0</v>
      </c>
      <c r="BR590" s="227">
        <v>0</v>
      </c>
      <c r="BS590" s="227">
        <v>0</v>
      </c>
      <c r="BT590" s="227">
        <v>-68766</v>
      </c>
    </row>
    <row r="591" spans="1:72" ht="15" customHeight="1">
      <c r="A591" s="334" t="s">
        <v>1163</v>
      </c>
      <c r="B591" s="334" t="s">
        <v>2953</v>
      </c>
      <c r="C591" s="537" t="s">
        <v>52</v>
      </c>
      <c r="D591" s="330" t="s">
        <v>1164</v>
      </c>
      <c r="E591" s="150" t="s">
        <v>1136</v>
      </c>
      <c r="F591" s="482" t="s">
        <v>1566</v>
      </c>
      <c r="G591" s="150" t="s">
        <v>1135</v>
      </c>
      <c r="H591" s="334" t="s">
        <v>1165</v>
      </c>
      <c r="I591" s="334" t="s">
        <v>1135</v>
      </c>
      <c r="J591" s="334" t="s">
        <v>1165</v>
      </c>
      <c r="K591" s="334" t="s">
        <v>1165</v>
      </c>
      <c r="L591" s="518" t="s">
        <v>49</v>
      </c>
      <c r="M591" s="397" t="s">
        <v>1166</v>
      </c>
      <c r="N591" s="333" t="s">
        <v>1167</v>
      </c>
      <c r="O591" s="336" t="s">
        <v>1168</v>
      </c>
      <c r="P591" s="237" t="s">
        <v>53</v>
      </c>
      <c r="Q591" s="351"/>
      <c r="R591" s="347"/>
      <c r="S591" s="353"/>
      <c r="T591" s="353"/>
      <c r="U591" s="452"/>
      <c r="V591" s="402"/>
      <c r="W591" s="406"/>
      <c r="X591" s="406"/>
      <c r="Y591" s="425"/>
      <c r="Z591" s="71"/>
      <c r="AA591" s="413"/>
      <c r="AB591" s="414"/>
      <c r="AC591" s="414"/>
      <c r="AD591" s="429">
        <v>24147</v>
      </c>
      <c r="AE591" s="429">
        <v>-46130</v>
      </c>
      <c r="AF591" s="429">
        <v>-215360</v>
      </c>
      <c r="AG591" s="371"/>
      <c r="AH591" s="371"/>
      <c r="AI591" s="371"/>
      <c r="AJ591" s="371"/>
      <c r="AK591" s="371"/>
      <c r="AL591" s="371"/>
      <c r="AM591" s="367">
        <f t="shared" si="31"/>
        <v>-237343</v>
      </c>
      <c r="AN591" s="362">
        <f>ERP_2[[#This Row],[2026 Working Total]]-ERP_2[[#This Row],[LE2 Final Submission]]</f>
        <v>-237343</v>
      </c>
      <c r="AO591" s="227"/>
      <c r="AP591" s="227">
        <f t="shared" si="32"/>
        <v>-215360</v>
      </c>
      <c r="AQ591" s="374">
        <f>SUM(ERP_2[[#This Row],[AP01]:[AP06]])-SUM(ERP_2[[#This Row],[AP01 LE2]:[AP06 LE2]])</f>
        <v>-237343</v>
      </c>
      <c r="AR591" s="80"/>
      <c r="AS591" s="79">
        <f>ERP_2[[#This Row],[2026 Working Total to Budget/LE]]-ERP_2[[#This Row],[Giveback]]</f>
        <v>-237343</v>
      </c>
      <c r="AT591" s="81"/>
      <c r="AU591" s="375"/>
      <c r="AV591" s="375"/>
      <c r="AW591" s="375"/>
      <c r="AX591" s="375"/>
      <c r="AY591" s="375"/>
      <c r="AZ591" s="375"/>
      <c r="BA591" s="375"/>
      <c r="BB591" s="375"/>
      <c r="BC591" s="375"/>
      <c r="BD591" s="375"/>
      <c r="BE591" s="375"/>
      <c r="BF591" s="375"/>
      <c r="BG591" s="375"/>
      <c r="BH591" s="227"/>
      <c r="BI591" s="227"/>
      <c r="BJ591" s="227"/>
      <c r="BK591" s="227"/>
      <c r="BL591" s="227"/>
      <c r="BM591" s="227"/>
      <c r="BN591" s="227"/>
      <c r="BO591" s="227"/>
      <c r="BP591" s="227"/>
      <c r="BQ591" s="227"/>
      <c r="BR591" s="227"/>
      <c r="BS591" s="227"/>
      <c r="BT591" s="227"/>
    </row>
    <row r="592" spans="1:72" ht="15" customHeight="1">
      <c r="A592" s="215" t="s">
        <v>1172</v>
      </c>
      <c r="B592" s="215" t="s">
        <v>2953</v>
      </c>
      <c r="C592" s="215" t="s">
        <v>55</v>
      </c>
      <c r="D592" s="215" t="s">
        <v>1173</v>
      </c>
      <c r="E592" s="150" t="s">
        <v>1136</v>
      </c>
      <c r="F592" s="482" t="s">
        <v>1566</v>
      </c>
      <c r="G592" s="150" t="s">
        <v>1135</v>
      </c>
      <c r="H592" s="334" t="s">
        <v>1165</v>
      </c>
      <c r="I592" s="334" t="s">
        <v>1135</v>
      </c>
      <c r="J592" s="334" t="s">
        <v>1165</v>
      </c>
      <c r="K592" s="334" t="s">
        <v>1137</v>
      </c>
      <c r="L592" s="516" t="s">
        <v>49</v>
      </c>
      <c r="M592" s="398" t="s">
        <v>1174</v>
      </c>
      <c r="N592" s="343"/>
      <c r="O592" s="344"/>
      <c r="P592" s="219" t="s">
        <v>56</v>
      </c>
      <c r="Q592" s="349" t="s">
        <v>1139</v>
      </c>
      <c r="R592" s="346" t="s">
        <v>1140</v>
      </c>
      <c r="S592" s="349"/>
      <c r="T592" s="334" t="s">
        <v>57</v>
      </c>
      <c r="U592" s="354"/>
      <c r="V592" s="403"/>
      <c r="W592" s="406">
        <v>0</v>
      </c>
      <c r="X592" s="406">
        <v>1080</v>
      </c>
      <c r="Y592" s="425"/>
      <c r="Z592" s="71"/>
      <c r="AA592" s="408">
        <v>360</v>
      </c>
      <c r="AB592" s="410">
        <v>360</v>
      </c>
      <c r="AC592" s="410">
        <v>360</v>
      </c>
      <c r="AD592" s="428">
        <v>0</v>
      </c>
      <c r="AE592" s="429">
        <v>0</v>
      </c>
      <c r="AF592" s="429">
        <v>0</v>
      </c>
      <c r="AG592" s="368">
        <v>0</v>
      </c>
      <c r="AH592" s="368">
        <v>0</v>
      </c>
      <c r="AI592" s="368">
        <v>0</v>
      </c>
      <c r="AJ592" s="368">
        <v>0</v>
      </c>
      <c r="AK592" s="368">
        <v>0</v>
      </c>
      <c r="AL592" s="368">
        <v>0</v>
      </c>
      <c r="AM592" s="367">
        <f t="shared" si="31"/>
        <v>1080</v>
      </c>
      <c r="AN592" s="362">
        <f>ERP_2[[#This Row],[2026 Working Total]]-ERP_2[[#This Row],[LE2 Final Submission]]</f>
        <v>0</v>
      </c>
      <c r="AO592" s="227">
        <v>0</v>
      </c>
      <c r="AP592" s="227">
        <f t="shared" si="32"/>
        <v>0</v>
      </c>
      <c r="AQ592" s="374">
        <f>SUM(ERP_2[[#This Row],[AP01]:[AP06]])-SUM(ERP_2[[#This Row],[AP01 LE2]:[AP06 LE2]])</f>
        <v>0</v>
      </c>
      <c r="AR592" s="80"/>
      <c r="AS592" s="79">
        <f>ERP_2[[#This Row],[2026 Working Total to Budget/LE]]-ERP_2[[#This Row],[Giveback]]</f>
        <v>0</v>
      </c>
      <c r="AT592" s="81"/>
      <c r="AU592" s="375">
        <v>360</v>
      </c>
      <c r="AV592" s="375">
        <v>360</v>
      </c>
      <c r="AW592" s="375">
        <v>360</v>
      </c>
      <c r="AX592" s="375">
        <v>0</v>
      </c>
      <c r="AY592" s="375">
        <v>0</v>
      </c>
      <c r="AZ592" s="375">
        <v>0</v>
      </c>
      <c r="BA592" s="375">
        <v>0</v>
      </c>
      <c r="BB592" s="375">
        <v>0</v>
      </c>
      <c r="BC592" s="375">
        <v>0</v>
      </c>
      <c r="BD592" s="375">
        <v>0</v>
      </c>
      <c r="BE592" s="375">
        <v>0</v>
      </c>
      <c r="BF592" s="375">
        <v>0</v>
      </c>
      <c r="BG592" s="375">
        <v>1080</v>
      </c>
      <c r="BH592" s="227">
        <v>360</v>
      </c>
      <c r="BI592" s="227">
        <v>360</v>
      </c>
      <c r="BJ592" s="227">
        <v>360</v>
      </c>
      <c r="BK592" s="227">
        <v>0</v>
      </c>
      <c r="BL592" s="227">
        <v>0</v>
      </c>
      <c r="BM592" s="227">
        <v>0</v>
      </c>
      <c r="BN592" s="227">
        <v>0</v>
      </c>
      <c r="BO592" s="227">
        <v>0</v>
      </c>
      <c r="BP592" s="227">
        <v>0</v>
      </c>
      <c r="BQ592" s="227">
        <v>0</v>
      </c>
      <c r="BR592" s="227">
        <v>0</v>
      </c>
      <c r="BS592" s="227">
        <v>0</v>
      </c>
      <c r="BT592" s="227">
        <v>1080</v>
      </c>
    </row>
    <row r="593" spans="1:72" ht="15" customHeight="1">
      <c r="A593" s="215" t="s">
        <v>1279</v>
      </c>
      <c r="B593" s="215" t="s">
        <v>2953</v>
      </c>
      <c r="C593" s="215" t="s">
        <v>120</v>
      </c>
      <c r="D593" s="215" t="s">
        <v>1280</v>
      </c>
      <c r="E593" s="150" t="s">
        <v>1136</v>
      </c>
      <c r="F593" s="482" t="s">
        <v>1566</v>
      </c>
      <c r="G593" s="150" t="s">
        <v>1135</v>
      </c>
      <c r="H593" s="334" t="s">
        <v>1135</v>
      </c>
      <c r="I593" s="334" t="s">
        <v>1135</v>
      </c>
      <c r="J593" s="334" t="s">
        <v>1137</v>
      </c>
      <c r="K593" s="334" t="s">
        <v>1137</v>
      </c>
      <c r="L593" s="516" t="s">
        <v>49</v>
      </c>
      <c r="M593" s="398" t="s">
        <v>1281</v>
      </c>
      <c r="N593" s="343"/>
      <c r="O593" s="344"/>
      <c r="P593" s="219" t="s">
        <v>121</v>
      </c>
      <c r="Q593" s="349"/>
      <c r="R593" s="343"/>
      <c r="S593" s="349"/>
      <c r="T593" s="334" t="s">
        <v>122</v>
      </c>
      <c r="U593" s="354"/>
      <c r="V593" s="404"/>
      <c r="W593" s="407">
        <v>0</v>
      </c>
      <c r="X593" s="407">
        <v>0</v>
      </c>
      <c r="Y593" s="430"/>
      <c r="Z593" s="137"/>
      <c r="AA593" s="408">
        <v>10113</v>
      </c>
      <c r="AB593" s="410">
        <v>11863.11</v>
      </c>
      <c r="AC593" s="410">
        <v>-21976.11</v>
      </c>
      <c r="AD593" s="428">
        <v>0</v>
      </c>
      <c r="AE593" s="429">
        <v>0</v>
      </c>
      <c r="AF593" s="429">
        <v>0</v>
      </c>
      <c r="AG593" s="369"/>
      <c r="AH593" s="369"/>
      <c r="AI593" s="369"/>
      <c r="AJ593" s="369"/>
      <c r="AK593" s="369"/>
      <c r="AL593" s="369"/>
      <c r="AM593" s="367">
        <f t="shared" si="31"/>
        <v>0</v>
      </c>
      <c r="AN593" s="362">
        <f>ERP_2[[#This Row],[2026 Working Total]]-ERP_2[[#This Row],[LE2 Final Submission]]</f>
        <v>0</v>
      </c>
      <c r="AO593" s="227"/>
      <c r="AP593" s="227">
        <f t="shared" si="32"/>
        <v>0</v>
      </c>
      <c r="AQ593" s="374">
        <f>SUM(ERP_2[[#This Row],[AP01]:[AP06]])-SUM(ERP_2[[#This Row],[AP01 LE2]:[AP06 LE2]])</f>
        <v>0</v>
      </c>
      <c r="AR593" s="80"/>
      <c r="AS593" s="79">
        <f>ERP_2[[#This Row],[2026 Working Total to Budget/LE]]-ERP_2[[#This Row],[Giveback]]</f>
        <v>0</v>
      </c>
      <c r="AT593" s="81"/>
      <c r="AU593" s="375">
        <v>10113</v>
      </c>
      <c r="AV593" s="375">
        <v>11863.11</v>
      </c>
      <c r="AW593" s="375">
        <v>-21976.11</v>
      </c>
      <c r="AX593" s="375"/>
      <c r="AY593" s="375"/>
      <c r="AZ593" s="375"/>
      <c r="BA593" s="375"/>
      <c r="BB593" s="375"/>
      <c r="BC593" s="375"/>
      <c r="BD593" s="375"/>
      <c r="BE593" s="375"/>
      <c r="BF593" s="375"/>
      <c r="BG593" s="375">
        <v>0</v>
      </c>
      <c r="BH593" s="227">
        <v>10113</v>
      </c>
      <c r="BI593" s="227">
        <v>11863.11</v>
      </c>
      <c r="BJ593" s="227">
        <v>-21976.11</v>
      </c>
      <c r="BK593" s="227"/>
      <c r="BL593" s="227"/>
      <c r="BM593" s="227"/>
      <c r="BN593" s="227"/>
      <c r="BO593" s="227"/>
      <c r="BP593" s="227"/>
      <c r="BQ593" s="227"/>
      <c r="BR593" s="227"/>
      <c r="BS593" s="227"/>
      <c r="BT593" s="227">
        <v>0</v>
      </c>
    </row>
    <row r="594" spans="1:72" ht="15" customHeight="1">
      <c r="A594" s="215" t="s">
        <v>2840</v>
      </c>
      <c r="B594" s="215" t="s">
        <v>2953</v>
      </c>
      <c r="C594" s="215" t="s">
        <v>1034</v>
      </c>
      <c r="D594" s="215" t="s">
        <v>2841</v>
      </c>
      <c r="E594" s="150" t="s">
        <v>1136</v>
      </c>
      <c r="F594" s="482" t="s">
        <v>1566</v>
      </c>
      <c r="G594" s="482" t="s">
        <v>1566</v>
      </c>
      <c r="H594" s="553" t="s">
        <v>1566</v>
      </c>
      <c r="I594" s="334" t="s">
        <v>1345</v>
      </c>
      <c r="J594" s="334" t="s">
        <v>1346</v>
      </c>
      <c r="K594" s="334" t="s">
        <v>1346</v>
      </c>
      <c r="L594" s="516" t="s">
        <v>1027</v>
      </c>
      <c r="M594" s="398" t="s">
        <v>2830</v>
      </c>
      <c r="N594" s="343"/>
      <c r="O594" s="344"/>
      <c r="P594" s="219" t="s">
        <v>1029</v>
      </c>
      <c r="Q594" s="349"/>
      <c r="R594" s="343"/>
      <c r="S594" s="349"/>
      <c r="T594" s="334" t="s">
        <v>25</v>
      </c>
      <c r="U594" s="354"/>
      <c r="V594" s="403"/>
      <c r="W594" s="406">
        <v>157900</v>
      </c>
      <c r="X594" s="406">
        <v>130982.95</v>
      </c>
      <c r="Y594" s="430"/>
      <c r="Z594" s="137"/>
      <c r="AA594" s="408">
        <v>2896.56</v>
      </c>
      <c r="AB594" s="410">
        <v>3761.9</v>
      </c>
      <c r="AC594" s="410">
        <v>4324.49</v>
      </c>
      <c r="AD594" s="428">
        <v>5457.6899999999987</v>
      </c>
      <c r="AE594" s="429">
        <v>8526.0100000000039</v>
      </c>
      <c r="AF594" s="429">
        <v>5199.119999999999</v>
      </c>
      <c r="AG594" s="369">
        <v>13500</v>
      </c>
      <c r="AH594" s="369">
        <v>13700</v>
      </c>
      <c r="AI594" s="369">
        <v>13700</v>
      </c>
      <c r="AJ594" s="369">
        <v>13700</v>
      </c>
      <c r="AK594" s="369">
        <v>13800</v>
      </c>
      <c r="AL594" s="369">
        <v>13800</v>
      </c>
      <c r="AM594" s="367">
        <f t="shared" si="31"/>
        <v>112365.77</v>
      </c>
      <c r="AN594" s="362">
        <f>ERP_2[[#This Row],[2026 Working Total]]-ERP_2[[#This Row],[LE2 Final Submission]]</f>
        <v>-18617.179999999993</v>
      </c>
      <c r="AO594" s="227">
        <v>12300</v>
      </c>
      <c r="AP594" s="227">
        <f t="shared" si="32"/>
        <v>-7100.880000000001</v>
      </c>
      <c r="AQ594" s="374">
        <f>SUM(ERP_2[[#This Row],[AP01]:[AP06]])-SUM(ERP_2[[#This Row],[AP01 LE2]:[AP06 LE2]])</f>
        <v>-18617.179999999997</v>
      </c>
      <c r="AR594" s="80"/>
      <c r="AS594" s="79">
        <f>ERP_2[[#This Row],[2026 Working Total to Budget/LE]]-ERP_2[[#This Row],[Giveback]]</f>
        <v>-18617.179999999993</v>
      </c>
      <c r="AT594" s="81"/>
      <c r="AU594" s="375">
        <v>2896.56</v>
      </c>
      <c r="AV594" s="375">
        <v>3761.9</v>
      </c>
      <c r="AW594" s="375">
        <v>4324.49</v>
      </c>
      <c r="AX594" s="375">
        <v>12300</v>
      </c>
      <c r="AY594" s="375">
        <v>12300</v>
      </c>
      <c r="AZ594" s="375">
        <v>13200</v>
      </c>
      <c r="BA594" s="375">
        <v>13500</v>
      </c>
      <c r="BB594" s="375">
        <v>13700</v>
      </c>
      <c r="BC594" s="375">
        <v>13700</v>
      </c>
      <c r="BD594" s="375">
        <v>13700</v>
      </c>
      <c r="BE594" s="375">
        <v>13800</v>
      </c>
      <c r="BF594" s="375">
        <v>13800</v>
      </c>
      <c r="BG594" s="375">
        <v>130982.95</v>
      </c>
      <c r="BH594" s="227">
        <v>2896.56</v>
      </c>
      <c r="BI594" s="227">
        <v>3761.9</v>
      </c>
      <c r="BJ594" s="227">
        <v>4324.49</v>
      </c>
      <c r="BK594" s="227">
        <v>12300</v>
      </c>
      <c r="BL594" s="227">
        <v>12300</v>
      </c>
      <c r="BM594" s="227">
        <v>13200</v>
      </c>
      <c r="BN594" s="227">
        <v>13500</v>
      </c>
      <c r="BO594" s="227">
        <v>13700</v>
      </c>
      <c r="BP594" s="227">
        <v>13700</v>
      </c>
      <c r="BQ594" s="227">
        <v>13700</v>
      </c>
      <c r="BR594" s="227">
        <v>13800</v>
      </c>
      <c r="BS594" s="227">
        <v>13800</v>
      </c>
      <c r="BT594" s="227">
        <v>130982.95</v>
      </c>
    </row>
    <row r="595" spans="1:72" ht="15" customHeight="1">
      <c r="A595" s="215" t="s">
        <v>2860</v>
      </c>
      <c r="B595" s="215" t="s">
        <v>2953</v>
      </c>
      <c r="C595" s="215" t="s">
        <v>1047</v>
      </c>
      <c r="D595" s="215" t="s">
        <v>2861</v>
      </c>
      <c r="E595" s="150" t="s">
        <v>1136</v>
      </c>
      <c r="F595" s="482" t="s">
        <v>1566</v>
      </c>
      <c r="G595" s="482" t="s">
        <v>1566</v>
      </c>
      <c r="H595" s="553" t="s">
        <v>1566</v>
      </c>
      <c r="I595" s="334" t="s">
        <v>1345</v>
      </c>
      <c r="J595" s="334" t="s">
        <v>1346</v>
      </c>
      <c r="K595" s="334" t="s">
        <v>1346</v>
      </c>
      <c r="L595" s="516" t="s">
        <v>1037</v>
      </c>
      <c r="M595" s="398" t="s">
        <v>2846</v>
      </c>
      <c r="N595" s="343"/>
      <c r="O595" s="344"/>
      <c r="P595" s="219" t="s">
        <v>1039</v>
      </c>
      <c r="Q595" s="349"/>
      <c r="R595" s="346" t="s">
        <v>1140</v>
      </c>
      <c r="S595" s="349"/>
      <c r="T595" s="334" t="s">
        <v>1040</v>
      </c>
      <c r="U595" s="354"/>
      <c r="V595" s="403"/>
      <c r="W595" s="406">
        <v>0</v>
      </c>
      <c r="X595" s="406">
        <v>23976.370000000003</v>
      </c>
      <c r="Y595" s="425"/>
      <c r="Z595" s="71"/>
      <c r="AA595" s="408">
        <v>10095.790000000001</v>
      </c>
      <c r="AB595" s="410">
        <v>9921.4500000000007</v>
      </c>
      <c r="AC595" s="410">
        <v>3959.13</v>
      </c>
      <c r="AD595" s="428">
        <v>7339.65</v>
      </c>
      <c r="AE595" s="429">
        <v>-891.2900000000003</v>
      </c>
      <c r="AF595" s="429">
        <v>4400.72</v>
      </c>
      <c r="AG595" s="368">
        <v>0</v>
      </c>
      <c r="AH595" s="368">
        <v>0</v>
      </c>
      <c r="AI595" s="368">
        <v>0</v>
      </c>
      <c r="AJ595" s="368">
        <v>0</v>
      </c>
      <c r="AK595" s="368">
        <v>0</v>
      </c>
      <c r="AL595" s="368">
        <v>0</v>
      </c>
      <c r="AM595" s="367">
        <f t="shared" si="31"/>
        <v>34825.450000000004</v>
      </c>
      <c r="AN595" s="362">
        <f>ERP_2[[#This Row],[2026 Working Total]]-ERP_2[[#This Row],[LE2 Final Submission]]</f>
        <v>10849.080000000002</v>
      </c>
      <c r="AO595" s="227">
        <v>0</v>
      </c>
      <c r="AP595" s="227">
        <f t="shared" si="32"/>
        <v>4400.72</v>
      </c>
      <c r="AQ595" s="374">
        <f>SUM(ERP_2[[#This Row],[AP01]:[AP06]])-SUM(ERP_2[[#This Row],[AP01 LE2]:[AP06 LE2]])</f>
        <v>10849.080000000002</v>
      </c>
      <c r="AR595" s="80"/>
      <c r="AS595" s="79">
        <f>ERP_2[[#This Row],[2026 Working Total to Budget/LE]]-ERP_2[[#This Row],[Giveback]]</f>
        <v>10849.080000000002</v>
      </c>
      <c r="AT595" s="81"/>
      <c r="AU595" s="375">
        <v>10095.790000000001</v>
      </c>
      <c r="AV595" s="375">
        <v>9921.4500000000007</v>
      </c>
      <c r="AW595" s="375">
        <v>3959.13</v>
      </c>
      <c r="AX595" s="375">
        <v>0</v>
      </c>
      <c r="AY595" s="375">
        <v>0</v>
      </c>
      <c r="AZ595" s="375">
        <v>0</v>
      </c>
      <c r="BA595" s="375">
        <v>0</v>
      </c>
      <c r="BB595" s="375">
        <v>0</v>
      </c>
      <c r="BC595" s="375">
        <v>0</v>
      </c>
      <c r="BD595" s="375">
        <v>0</v>
      </c>
      <c r="BE595" s="375">
        <v>0</v>
      </c>
      <c r="BF595" s="375">
        <v>0</v>
      </c>
      <c r="BG595" s="375">
        <v>23976.370000000003</v>
      </c>
      <c r="BH595" s="227">
        <v>10095.790000000001</v>
      </c>
      <c r="BI595" s="227">
        <v>9921.4500000000007</v>
      </c>
      <c r="BJ595" s="227">
        <v>3959.13</v>
      </c>
      <c r="BK595" s="227">
        <v>0</v>
      </c>
      <c r="BL595" s="227">
        <v>0</v>
      </c>
      <c r="BM595" s="227">
        <v>0</v>
      </c>
      <c r="BN595" s="227">
        <v>0</v>
      </c>
      <c r="BO595" s="227">
        <v>0</v>
      </c>
      <c r="BP595" s="227">
        <v>0</v>
      </c>
      <c r="BQ595" s="227">
        <v>0</v>
      </c>
      <c r="BR595" s="227">
        <v>0</v>
      </c>
      <c r="BS595" s="227">
        <v>0</v>
      </c>
      <c r="BT595" s="227">
        <v>23976.370000000003</v>
      </c>
    </row>
    <row r="596" spans="1:72" ht="15" customHeight="1">
      <c r="A596" s="215" t="s">
        <v>1328</v>
      </c>
      <c r="B596" s="215" t="s">
        <v>2953</v>
      </c>
      <c r="C596" s="215" t="s">
        <v>146</v>
      </c>
      <c r="D596" s="215" t="s">
        <v>1329</v>
      </c>
      <c r="E596" s="150" t="s">
        <v>1136</v>
      </c>
      <c r="F596" s="482" t="s">
        <v>1566</v>
      </c>
      <c r="G596" s="150" t="s">
        <v>1135</v>
      </c>
      <c r="H596" s="334" t="s">
        <v>1135</v>
      </c>
      <c r="I596" s="334" t="s">
        <v>1135</v>
      </c>
      <c r="J596" s="334" t="s">
        <v>1137</v>
      </c>
      <c r="K596" s="334" t="s">
        <v>1137</v>
      </c>
      <c r="L596" s="516" t="s">
        <v>49</v>
      </c>
      <c r="M596" s="398" t="s">
        <v>1327</v>
      </c>
      <c r="N596" s="343"/>
      <c r="O596" s="344"/>
      <c r="P596" s="219" t="s">
        <v>147</v>
      </c>
      <c r="Q596" s="349"/>
      <c r="R596" s="343"/>
      <c r="S596" s="349"/>
      <c r="T596" s="334" t="s">
        <v>25</v>
      </c>
      <c r="U596" s="525" t="s">
        <v>1141</v>
      </c>
      <c r="V596" s="403"/>
      <c r="W596" s="406">
        <v>0</v>
      </c>
      <c r="X596" s="406">
        <v>1220.75</v>
      </c>
      <c r="Y596" s="425"/>
      <c r="Z596" s="71"/>
      <c r="AA596" s="408">
        <v>669.53</v>
      </c>
      <c r="AB596" s="410">
        <v>7.26</v>
      </c>
      <c r="AC596" s="410">
        <v>543.96</v>
      </c>
      <c r="AD596" s="428">
        <v>129.34999999999997</v>
      </c>
      <c r="AE596" s="429">
        <v>286.95999999999998</v>
      </c>
      <c r="AF596" s="429">
        <v>206.12999999999997</v>
      </c>
      <c r="AG596" s="368">
        <v>0</v>
      </c>
      <c r="AH596" s="368">
        <v>0</v>
      </c>
      <c r="AI596" s="368">
        <v>0</v>
      </c>
      <c r="AJ596" s="368">
        <v>0</v>
      </c>
      <c r="AK596" s="368">
        <v>0</v>
      </c>
      <c r="AL596" s="368">
        <v>0</v>
      </c>
      <c r="AM596" s="367">
        <f t="shared" si="31"/>
        <v>1843.1899999999998</v>
      </c>
      <c r="AN596" s="362">
        <f>ERP_2[[#This Row],[2026 Working Total]]-ERP_2[[#This Row],[LE2 Final Submission]]</f>
        <v>622.43999999999983</v>
      </c>
      <c r="AO596" s="227">
        <v>0</v>
      </c>
      <c r="AP596" s="227">
        <f t="shared" si="32"/>
        <v>206.12999999999997</v>
      </c>
      <c r="AQ596" s="374">
        <f>SUM(ERP_2[[#This Row],[AP01]:[AP06]])-SUM(ERP_2[[#This Row],[AP01 LE2]:[AP06 LE2]])</f>
        <v>622.43999999999983</v>
      </c>
      <c r="AR596" s="80"/>
      <c r="AS596" s="79">
        <f>ERP_2[[#This Row],[2026 Working Total to Budget/LE]]-ERP_2[[#This Row],[Giveback]]</f>
        <v>622.43999999999983</v>
      </c>
      <c r="AT596" s="81"/>
      <c r="AU596" s="375">
        <v>669.53</v>
      </c>
      <c r="AV596" s="375">
        <v>7.26</v>
      </c>
      <c r="AW596" s="375">
        <v>543.96</v>
      </c>
      <c r="AX596" s="375">
        <v>0</v>
      </c>
      <c r="AY596" s="375">
        <v>0</v>
      </c>
      <c r="AZ596" s="375">
        <v>0</v>
      </c>
      <c r="BA596" s="375">
        <v>0</v>
      </c>
      <c r="BB596" s="375">
        <v>0</v>
      </c>
      <c r="BC596" s="375">
        <v>0</v>
      </c>
      <c r="BD596" s="375">
        <v>0</v>
      </c>
      <c r="BE596" s="375">
        <v>0</v>
      </c>
      <c r="BF596" s="375">
        <v>0</v>
      </c>
      <c r="BG596" s="375">
        <v>1220.75</v>
      </c>
      <c r="BH596" s="227">
        <v>669.53</v>
      </c>
      <c r="BI596" s="227">
        <v>7.26</v>
      </c>
      <c r="BJ596" s="227">
        <v>543.96</v>
      </c>
      <c r="BK596" s="227">
        <v>0</v>
      </c>
      <c r="BL596" s="227">
        <v>0</v>
      </c>
      <c r="BM596" s="227">
        <v>0</v>
      </c>
      <c r="BN596" s="227">
        <v>0</v>
      </c>
      <c r="BO596" s="227">
        <v>0</v>
      </c>
      <c r="BP596" s="227">
        <v>0</v>
      </c>
      <c r="BQ596" s="227">
        <v>0</v>
      </c>
      <c r="BR596" s="227">
        <v>0</v>
      </c>
      <c r="BS596" s="227">
        <v>0</v>
      </c>
      <c r="BT596" s="227">
        <v>1220.75</v>
      </c>
    </row>
    <row r="597" spans="1:72" ht="15" customHeight="1">
      <c r="A597" s="215" t="s">
        <v>2899</v>
      </c>
      <c r="B597" s="215" t="s">
        <v>2953</v>
      </c>
      <c r="C597" s="215" t="s">
        <v>23</v>
      </c>
      <c r="D597" s="215" t="s">
        <v>23</v>
      </c>
      <c r="E597" s="150" t="s">
        <v>1136</v>
      </c>
      <c r="F597" s="482" t="s">
        <v>1566</v>
      </c>
      <c r="G597" s="150" t="s">
        <v>1135</v>
      </c>
      <c r="H597" s="334" t="s">
        <v>1135</v>
      </c>
      <c r="I597" s="334" t="s">
        <v>1135</v>
      </c>
      <c r="J597" s="334" t="s">
        <v>1135</v>
      </c>
      <c r="K597" s="334" t="s">
        <v>1137</v>
      </c>
      <c r="L597" s="516" t="s">
        <v>22</v>
      </c>
      <c r="M597" s="398" t="s">
        <v>2868</v>
      </c>
      <c r="N597" s="343"/>
      <c r="O597" s="344"/>
      <c r="P597" s="219" t="s">
        <v>24</v>
      </c>
      <c r="Q597" s="349" t="s">
        <v>1139</v>
      </c>
      <c r="R597" s="346" t="s">
        <v>1140</v>
      </c>
      <c r="S597" s="349"/>
      <c r="T597" s="334" t="s">
        <v>25</v>
      </c>
      <c r="U597" s="354"/>
      <c r="V597" s="403"/>
      <c r="W597" s="406">
        <v>0</v>
      </c>
      <c r="X597" s="406">
        <v>0</v>
      </c>
      <c r="Y597" s="425"/>
      <c r="Z597" s="71"/>
      <c r="AA597" s="408"/>
      <c r="AB597" s="410"/>
      <c r="AC597" s="410"/>
      <c r="AD597" s="428" t="s">
        <v>1142</v>
      </c>
      <c r="AE597" s="429">
        <v>0</v>
      </c>
      <c r="AF597" s="429">
        <v>0</v>
      </c>
      <c r="AG597" s="368">
        <v>0</v>
      </c>
      <c r="AH597" s="368">
        <v>0</v>
      </c>
      <c r="AI597" s="368">
        <v>0</v>
      </c>
      <c r="AJ597" s="368">
        <v>0</v>
      </c>
      <c r="AK597" s="368">
        <v>0</v>
      </c>
      <c r="AL597" s="368">
        <v>0</v>
      </c>
      <c r="AM597" s="367">
        <f t="shared" si="31"/>
        <v>0</v>
      </c>
      <c r="AN597" s="365">
        <f>ERP_2[[#This Row],[2026 Working Total]]-ERP_2[[#This Row],[LE2 Final Submission]]</f>
        <v>0</v>
      </c>
      <c r="AO597" s="227">
        <v>0</v>
      </c>
      <c r="AP597" s="227">
        <f t="shared" si="32"/>
        <v>0</v>
      </c>
      <c r="AQ597" s="374">
        <f>SUM(ERP_2[[#This Row],[AP01]:[AP06]])-SUM(ERP_2[[#This Row],[AP01 LE2]:[AP06 LE2]])</f>
        <v>0</v>
      </c>
      <c r="AR597" s="80"/>
      <c r="AS597" s="79">
        <f>ERP_2[[#This Row],[2026 Working Total to Budget/LE]]-ERP_2[[#This Row],[Giveback]]</f>
        <v>0</v>
      </c>
      <c r="AT597" s="81"/>
      <c r="AU597" s="375"/>
      <c r="AV597" s="375"/>
      <c r="AW597" s="375"/>
      <c r="AX597" s="375">
        <v>0</v>
      </c>
      <c r="AY597" s="375">
        <v>0</v>
      </c>
      <c r="AZ597" s="375">
        <v>0</v>
      </c>
      <c r="BA597" s="375">
        <v>0</v>
      </c>
      <c r="BB597" s="375">
        <v>0</v>
      </c>
      <c r="BC597" s="375">
        <v>0</v>
      </c>
      <c r="BD597" s="375">
        <v>0</v>
      </c>
      <c r="BE597" s="375">
        <v>0</v>
      </c>
      <c r="BF597" s="375">
        <v>0</v>
      </c>
      <c r="BG597" s="375">
        <v>0</v>
      </c>
      <c r="BH597" s="227">
        <v>267678</v>
      </c>
      <c r="BI597" s="227">
        <v>267678</v>
      </c>
      <c r="BJ597" s="227">
        <v>267678</v>
      </c>
      <c r="BK597" s="227">
        <v>0</v>
      </c>
      <c r="BL597" s="227">
        <v>0</v>
      </c>
      <c r="BM597" s="227">
        <v>0</v>
      </c>
      <c r="BN597" s="227">
        <v>0</v>
      </c>
      <c r="BO597" s="227">
        <v>0</v>
      </c>
      <c r="BP597" s="227">
        <v>0</v>
      </c>
      <c r="BQ597" s="227">
        <v>0</v>
      </c>
      <c r="BR597" s="227">
        <v>0</v>
      </c>
      <c r="BS597" s="227">
        <v>0</v>
      </c>
      <c r="BT597" s="227">
        <v>803034</v>
      </c>
    </row>
    <row r="598" spans="1:72" ht="15" customHeight="1">
      <c r="A598" s="215" t="s">
        <v>2902</v>
      </c>
      <c r="B598" s="215" t="s">
        <v>2953</v>
      </c>
      <c r="C598" s="215" t="s">
        <v>26</v>
      </c>
      <c r="D598" s="215" t="s">
        <v>26</v>
      </c>
      <c r="E598" s="150" t="s">
        <v>1136</v>
      </c>
      <c r="F598" s="482" t="s">
        <v>1566</v>
      </c>
      <c r="G598" s="150" t="s">
        <v>1135</v>
      </c>
      <c r="H598" s="334" t="s">
        <v>1135</v>
      </c>
      <c r="I598" s="334" t="s">
        <v>1135</v>
      </c>
      <c r="J598" s="334" t="s">
        <v>1135</v>
      </c>
      <c r="K598" s="334" t="s">
        <v>1137</v>
      </c>
      <c r="L598" s="516" t="s">
        <v>22</v>
      </c>
      <c r="M598" s="398" t="s">
        <v>2870</v>
      </c>
      <c r="N598" s="343"/>
      <c r="O598" s="344"/>
      <c r="P598" s="219" t="s">
        <v>27</v>
      </c>
      <c r="Q598" s="349" t="s">
        <v>1139</v>
      </c>
      <c r="R598" s="346" t="s">
        <v>1140</v>
      </c>
      <c r="S598" s="349"/>
      <c r="T598" s="334" t="s">
        <v>25</v>
      </c>
      <c r="U598" s="354"/>
      <c r="V598" s="403"/>
      <c r="W598" s="406">
        <v>0</v>
      </c>
      <c r="X598" s="406">
        <v>0</v>
      </c>
      <c r="Y598" s="430"/>
      <c r="Z598" s="137"/>
      <c r="AA598" s="408"/>
      <c r="AB598" s="410"/>
      <c r="AC598" s="410"/>
      <c r="AD598" s="428" t="s">
        <v>1142</v>
      </c>
      <c r="AE598" s="429">
        <v>0</v>
      </c>
      <c r="AF598" s="429">
        <v>0</v>
      </c>
      <c r="AG598" s="368">
        <v>0</v>
      </c>
      <c r="AH598" s="368">
        <v>0</v>
      </c>
      <c r="AI598" s="368">
        <v>0</v>
      </c>
      <c r="AJ598" s="368">
        <v>0</v>
      </c>
      <c r="AK598" s="368">
        <v>0</v>
      </c>
      <c r="AL598" s="368">
        <v>0</v>
      </c>
      <c r="AM598" s="367">
        <f t="shared" si="31"/>
        <v>0</v>
      </c>
      <c r="AN598" s="362">
        <f>ERP_2[[#This Row],[2026 Working Total]]-ERP_2[[#This Row],[LE2 Final Submission]]</f>
        <v>0</v>
      </c>
      <c r="AO598" s="227">
        <v>0</v>
      </c>
      <c r="AP598" s="227">
        <f t="shared" si="32"/>
        <v>0</v>
      </c>
      <c r="AQ598" s="374">
        <f>SUM(ERP_2[[#This Row],[AP01]:[AP06]])-SUM(ERP_2[[#This Row],[AP01 LE2]:[AP06 LE2]])</f>
        <v>0</v>
      </c>
      <c r="AR598" s="80"/>
      <c r="AS598" s="79">
        <f>ERP_2[[#This Row],[2026 Working Total to Budget/LE]]-ERP_2[[#This Row],[Giveback]]</f>
        <v>0</v>
      </c>
      <c r="AT598" s="81"/>
      <c r="AU598" s="375"/>
      <c r="AV598" s="375"/>
      <c r="AW598" s="375"/>
      <c r="AX598" s="375">
        <v>0</v>
      </c>
      <c r="AY598" s="375">
        <v>0</v>
      </c>
      <c r="AZ598" s="375">
        <v>0</v>
      </c>
      <c r="BA598" s="375">
        <v>0</v>
      </c>
      <c r="BB598" s="375">
        <v>0</v>
      </c>
      <c r="BC598" s="375">
        <v>0</v>
      </c>
      <c r="BD598" s="375">
        <v>0</v>
      </c>
      <c r="BE598" s="375">
        <v>0</v>
      </c>
      <c r="BF598" s="375">
        <v>0</v>
      </c>
      <c r="BG598" s="375">
        <v>0</v>
      </c>
      <c r="BH598" s="227">
        <v>119429</v>
      </c>
      <c r="BI598" s="227">
        <v>107869</v>
      </c>
      <c r="BJ598" s="227">
        <v>119891</v>
      </c>
      <c r="BK598" s="227">
        <v>0</v>
      </c>
      <c r="BL598" s="227">
        <v>0</v>
      </c>
      <c r="BM598" s="227">
        <v>0</v>
      </c>
      <c r="BN598" s="227">
        <v>0</v>
      </c>
      <c r="BO598" s="227">
        <v>0</v>
      </c>
      <c r="BP598" s="227">
        <v>0</v>
      </c>
      <c r="BQ598" s="227">
        <v>0</v>
      </c>
      <c r="BR598" s="227">
        <v>0</v>
      </c>
      <c r="BS598" s="227">
        <v>0</v>
      </c>
      <c r="BT598" s="227">
        <v>347189</v>
      </c>
    </row>
    <row r="599" spans="1:72" ht="15" customHeight="1">
      <c r="A599" s="215" t="s">
        <v>2905</v>
      </c>
      <c r="B599" s="215" t="s">
        <v>2953</v>
      </c>
      <c r="C599" s="215" t="s">
        <v>28</v>
      </c>
      <c r="D599" s="215" t="s">
        <v>28</v>
      </c>
      <c r="E599" s="150" t="s">
        <v>1136</v>
      </c>
      <c r="F599" s="482" t="s">
        <v>1566</v>
      </c>
      <c r="G599" s="150" t="s">
        <v>1135</v>
      </c>
      <c r="H599" s="334" t="s">
        <v>1135</v>
      </c>
      <c r="I599" s="334" t="s">
        <v>1135</v>
      </c>
      <c r="J599" s="334" t="s">
        <v>1135</v>
      </c>
      <c r="K599" s="334" t="s">
        <v>1137</v>
      </c>
      <c r="L599" s="516" t="s">
        <v>22</v>
      </c>
      <c r="M599" s="398" t="s">
        <v>2872</v>
      </c>
      <c r="N599" s="343"/>
      <c r="O599" s="344"/>
      <c r="P599" s="219" t="s">
        <v>29</v>
      </c>
      <c r="Q599" s="349" t="s">
        <v>1139</v>
      </c>
      <c r="R599" s="346" t="s">
        <v>1140</v>
      </c>
      <c r="S599" s="349"/>
      <c r="T599" s="334" t="s">
        <v>25</v>
      </c>
      <c r="U599" s="354"/>
      <c r="V599" s="403"/>
      <c r="W599" s="406">
        <v>0</v>
      </c>
      <c r="X599" s="406">
        <v>0</v>
      </c>
      <c r="Y599" s="425"/>
      <c r="Z599" s="71"/>
      <c r="AA599" s="408"/>
      <c r="AB599" s="410"/>
      <c r="AC599" s="410"/>
      <c r="AD599" s="480"/>
      <c r="AE599" s="481"/>
      <c r="AF599" s="481">
        <v>1060974</v>
      </c>
      <c r="AG599" s="368">
        <v>0</v>
      </c>
      <c r="AH599" s="368">
        <v>0</v>
      </c>
      <c r="AI599" s="368">
        <v>0</v>
      </c>
      <c r="AJ599" s="368">
        <v>0</v>
      </c>
      <c r="AK599" s="368">
        <v>0</v>
      </c>
      <c r="AL599" s="368">
        <v>0</v>
      </c>
      <c r="AM599" s="367">
        <f t="shared" si="31"/>
        <v>1060974</v>
      </c>
      <c r="AN599" s="362">
        <f>ERP_2[[#This Row],[2026 Working Total]]-ERP_2[[#This Row],[LE2 Final Submission]]</f>
        <v>1060974</v>
      </c>
      <c r="AO599" s="227">
        <v>0</v>
      </c>
      <c r="AP599" s="227">
        <f t="shared" si="32"/>
        <v>1060974</v>
      </c>
      <c r="AQ599" s="374">
        <f>SUM(ERP_2[[#This Row],[AP01]:[AP06]])-SUM(ERP_2[[#This Row],[AP01 LE2]:[AP06 LE2]])</f>
        <v>1060974</v>
      </c>
      <c r="AR599" s="80"/>
      <c r="AS599" s="79">
        <f>ERP_2[[#This Row],[2026 Working Total to Budget/LE]]-ERP_2[[#This Row],[Giveback]]</f>
        <v>1060974</v>
      </c>
      <c r="AT599" s="81"/>
      <c r="AU599" s="375"/>
      <c r="AV599" s="375"/>
      <c r="AW599" s="375"/>
      <c r="AX599" s="375">
        <v>0</v>
      </c>
      <c r="AY599" s="375">
        <v>0</v>
      </c>
      <c r="AZ599" s="375">
        <v>0</v>
      </c>
      <c r="BA599" s="375">
        <v>0</v>
      </c>
      <c r="BB599" s="375">
        <v>0</v>
      </c>
      <c r="BC599" s="375">
        <v>0</v>
      </c>
      <c r="BD599" s="375">
        <v>0</v>
      </c>
      <c r="BE599" s="375">
        <v>0</v>
      </c>
      <c r="BF599" s="375">
        <v>0</v>
      </c>
      <c r="BG599" s="375">
        <v>0</v>
      </c>
      <c r="BH599" s="227">
        <v>643457</v>
      </c>
      <c r="BI599" s="227">
        <v>643457</v>
      </c>
      <c r="BJ599" s="227">
        <v>643457</v>
      </c>
      <c r="BK599" s="227">
        <v>0</v>
      </c>
      <c r="BL599" s="227">
        <v>0</v>
      </c>
      <c r="BM599" s="227">
        <v>0</v>
      </c>
      <c r="BN599" s="227">
        <v>0</v>
      </c>
      <c r="BO599" s="227">
        <v>0</v>
      </c>
      <c r="BP599" s="227">
        <v>0</v>
      </c>
      <c r="BQ599" s="227">
        <v>0</v>
      </c>
      <c r="BR599" s="227">
        <v>0</v>
      </c>
      <c r="BS599" s="227">
        <v>0</v>
      </c>
      <c r="BT599" s="227">
        <v>1930371</v>
      </c>
    </row>
    <row r="600" spans="1:72" ht="15" customHeight="1">
      <c r="A600" s="215" t="s">
        <v>1330</v>
      </c>
      <c r="B600" s="215" t="s">
        <v>2953</v>
      </c>
      <c r="C600" s="215" t="s">
        <v>146</v>
      </c>
      <c r="D600" s="215" t="s">
        <v>1331</v>
      </c>
      <c r="E600" s="150" t="s">
        <v>1136</v>
      </c>
      <c r="F600" s="482" t="s">
        <v>1566</v>
      </c>
      <c r="G600" s="150" t="s">
        <v>1135</v>
      </c>
      <c r="H600" s="334" t="s">
        <v>1145</v>
      </c>
      <c r="I600" s="334" t="s">
        <v>1135</v>
      </c>
      <c r="J600" s="334" t="s">
        <v>1145</v>
      </c>
      <c r="K600" s="334" t="s">
        <v>1137</v>
      </c>
      <c r="L600" s="516" t="s">
        <v>49</v>
      </c>
      <c r="M600" s="398" t="s">
        <v>1327</v>
      </c>
      <c r="N600" s="343"/>
      <c r="O600" s="344"/>
      <c r="P600" s="219" t="s">
        <v>147</v>
      </c>
      <c r="Q600" s="349"/>
      <c r="R600" s="343"/>
      <c r="S600" s="349"/>
      <c r="T600" s="334" t="s">
        <v>25</v>
      </c>
      <c r="U600" s="354"/>
      <c r="V600" s="403"/>
      <c r="W600" s="406">
        <v>0</v>
      </c>
      <c r="X600" s="406">
        <v>5030.5599999999995</v>
      </c>
      <c r="Y600" s="425"/>
      <c r="Z600" s="71"/>
      <c r="AA600" s="408">
        <v>-0.36</v>
      </c>
      <c r="AB600" s="410">
        <v>0.35</v>
      </c>
      <c r="AC600" s="410">
        <v>5030.57</v>
      </c>
      <c r="AD600" s="428">
        <v>0.46</v>
      </c>
      <c r="AE600" s="429">
        <v>0.34</v>
      </c>
      <c r="AF600" s="429">
        <v>-0.41</v>
      </c>
      <c r="AG600" s="368">
        <v>0</v>
      </c>
      <c r="AH600" s="368">
        <v>0</v>
      </c>
      <c r="AI600" s="368">
        <v>0</v>
      </c>
      <c r="AJ600" s="368">
        <v>0</v>
      </c>
      <c r="AK600" s="368">
        <v>0</v>
      </c>
      <c r="AL600" s="368">
        <v>0</v>
      </c>
      <c r="AM600" s="367">
        <f t="shared" si="31"/>
        <v>5030.95</v>
      </c>
      <c r="AN600" s="362">
        <f>ERP_2[[#This Row],[2026 Working Total]]-ERP_2[[#This Row],[LE2 Final Submission]]</f>
        <v>0.39000000000032742</v>
      </c>
      <c r="AO600" s="227">
        <v>0</v>
      </c>
      <c r="AP600" s="227">
        <f t="shared" si="32"/>
        <v>-0.41</v>
      </c>
      <c r="AQ600" s="374">
        <f>SUM(ERP_2[[#This Row],[AP01]:[AP06]])-SUM(ERP_2[[#This Row],[AP01 LE2]:[AP06 LE2]])</f>
        <v>0.39000000000032742</v>
      </c>
      <c r="AR600" s="80"/>
      <c r="AS600" s="79">
        <f>ERP_2[[#This Row],[2026 Working Total to Budget/LE]]-ERP_2[[#This Row],[Giveback]]</f>
        <v>0.39000000000032742</v>
      </c>
      <c r="AT600" s="81"/>
      <c r="AU600" s="375">
        <v>-0.36</v>
      </c>
      <c r="AV600" s="375">
        <v>0.35</v>
      </c>
      <c r="AW600" s="375">
        <v>5030.57</v>
      </c>
      <c r="AX600" s="375">
        <v>0</v>
      </c>
      <c r="AY600" s="375">
        <v>0</v>
      </c>
      <c r="AZ600" s="375">
        <v>0</v>
      </c>
      <c r="BA600" s="375">
        <v>0</v>
      </c>
      <c r="BB600" s="375">
        <v>0</v>
      </c>
      <c r="BC600" s="375">
        <v>0</v>
      </c>
      <c r="BD600" s="375">
        <v>0</v>
      </c>
      <c r="BE600" s="375">
        <v>0</v>
      </c>
      <c r="BF600" s="375">
        <v>0</v>
      </c>
      <c r="BG600" s="375">
        <v>5030.5599999999995</v>
      </c>
      <c r="BH600" s="227">
        <v>-0.36</v>
      </c>
      <c r="BI600" s="227">
        <v>0.35</v>
      </c>
      <c r="BJ600" s="227">
        <v>5030.57</v>
      </c>
      <c r="BK600" s="227">
        <v>0</v>
      </c>
      <c r="BL600" s="227">
        <v>0</v>
      </c>
      <c r="BM600" s="227">
        <v>0</v>
      </c>
      <c r="BN600" s="227">
        <v>0</v>
      </c>
      <c r="BO600" s="227">
        <v>0</v>
      </c>
      <c r="BP600" s="227">
        <v>0</v>
      </c>
      <c r="BQ600" s="227">
        <v>0</v>
      </c>
      <c r="BR600" s="227">
        <v>0</v>
      </c>
      <c r="BS600" s="227">
        <v>0</v>
      </c>
      <c r="BT600" s="227">
        <v>5030.5599999999995</v>
      </c>
    </row>
    <row r="601" spans="1:72" ht="15" customHeight="1">
      <c r="A601" s="215" t="s">
        <v>1332</v>
      </c>
      <c r="B601" s="215" t="s">
        <v>2953</v>
      </c>
      <c r="C601" s="215" t="s">
        <v>146</v>
      </c>
      <c r="D601" s="215" t="s">
        <v>1333</v>
      </c>
      <c r="E601" s="150" t="s">
        <v>1136</v>
      </c>
      <c r="F601" s="482" t="s">
        <v>1566</v>
      </c>
      <c r="G601" s="150" t="s">
        <v>1135</v>
      </c>
      <c r="H601" s="334" t="s">
        <v>1156</v>
      </c>
      <c r="I601" s="334" t="s">
        <v>1135</v>
      </c>
      <c r="J601" s="334" t="s">
        <v>1156</v>
      </c>
      <c r="K601" s="334" t="s">
        <v>1137</v>
      </c>
      <c r="L601" s="516" t="s">
        <v>49</v>
      </c>
      <c r="M601" s="398" t="s">
        <v>1327</v>
      </c>
      <c r="N601" s="343"/>
      <c r="O601" s="344"/>
      <c r="P601" s="219" t="s">
        <v>147</v>
      </c>
      <c r="Q601" s="349"/>
      <c r="R601" s="343"/>
      <c r="S601" s="349"/>
      <c r="T601" s="334" t="s">
        <v>25</v>
      </c>
      <c r="U601" s="354"/>
      <c r="V601" s="403"/>
      <c r="W601" s="406">
        <v>0</v>
      </c>
      <c r="X601" s="406">
        <v>-0.26</v>
      </c>
      <c r="Y601" s="425"/>
      <c r="Z601" s="71"/>
      <c r="AA601" s="408">
        <v>-0.38</v>
      </c>
      <c r="AB601" s="410">
        <v>0.21</v>
      </c>
      <c r="AC601" s="410">
        <v>-0.09</v>
      </c>
      <c r="AD601" s="428">
        <v>0.14000000000000001</v>
      </c>
      <c r="AE601" s="429">
        <v>0.52</v>
      </c>
      <c r="AF601" s="429">
        <v>-0.63</v>
      </c>
      <c r="AG601" s="368">
        <v>0</v>
      </c>
      <c r="AH601" s="368">
        <v>0</v>
      </c>
      <c r="AI601" s="368">
        <v>0</v>
      </c>
      <c r="AJ601" s="368">
        <v>0</v>
      </c>
      <c r="AK601" s="368">
        <v>0</v>
      </c>
      <c r="AL601" s="368">
        <v>0</v>
      </c>
      <c r="AM601" s="367">
        <f t="shared" si="31"/>
        <v>-0.22999999999999998</v>
      </c>
      <c r="AN601" s="362">
        <f>ERP_2[[#This Row],[2026 Working Total]]-ERP_2[[#This Row],[LE2 Final Submission]]</f>
        <v>3.0000000000000027E-2</v>
      </c>
      <c r="AO601" s="227">
        <v>0</v>
      </c>
      <c r="AP601" s="227">
        <f t="shared" si="32"/>
        <v>-0.63</v>
      </c>
      <c r="AQ601" s="374">
        <f>SUM(ERP_2[[#This Row],[AP01]:[AP06]])-SUM(ERP_2[[#This Row],[AP01 LE2]:[AP06 LE2]])</f>
        <v>3.0000000000000027E-2</v>
      </c>
      <c r="AR601" s="80"/>
      <c r="AS601" s="79">
        <f>ERP_2[[#This Row],[2026 Working Total to Budget/LE]]-ERP_2[[#This Row],[Giveback]]</f>
        <v>3.0000000000000027E-2</v>
      </c>
      <c r="AT601" s="81"/>
      <c r="AU601" s="375">
        <v>-0.38</v>
      </c>
      <c r="AV601" s="375">
        <v>0.21</v>
      </c>
      <c r="AW601" s="375">
        <v>-0.09</v>
      </c>
      <c r="AX601" s="375">
        <v>0</v>
      </c>
      <c r="AY601" s="375">
        <v>0</v>
      </c>
      <c r="AZ601" s="375">
        <v>0</v>
      </c>
      <c r="BA601" s="375">
        <v>0</v>
      </c>
      <c r="BB601" s="375">
        <v>0</v>
      </c>
      <c r="BC601" s="375">
        <v>0</v>
      </c>
      <c r="BD601" s="375">
        <v>0</v>
      </c>
      <c r="BE601" s="375">
        <v>0</v>
      </c>
      <c r="BF601" s="375">
        <v>0</v>
      </c>
      <c r="BG601" s="375">
        <v>-0.26</v>
      </c>
      <c r="BH601" s="227">
        <v>-0.38</v>
      </c>
      <c r="BI601" s="227">
        <v>0.21</v>
      </c>
      <c r="BJ601" s="227">
        <v>-0.09</v>
      </c>
      <c r="BK601" s="227">
        <v>0</v>
      </c>
      <c r="BL601" s="227">
        <v>0</v>
      </c>
      <c r="BM601" s="227">
        <v>0</v>
      </c>
      <c r="BN601" s="227">
        <v>0</v>
      </c>
      <c r="BO601" s="227">
        <v>0</v>
      </c>
      <c r="BP601" s="227">
        <v>0</v>
      </c>
      <c r="BQ601" s="227">
        <v>0</v>
      </c>
      <c r="BR601" s="227">
        <v>0</v>
      </c>
      <c r="BS601" s="227">
        <v>0</v>
      </c>
      <c r="BT601" s="227">
        <v>-0.26</v>
      </c>
    </row>
    <row r="602" spans="1:72" ht="15" customHeight="1">
      <c r="A602" s="215" t="s">
        <v>1335</v>
      </c>
      <c r="B602" s="215" t="s">
        <v>2953</v>
      </c>
      <c r="C602" s="215" t="s">
        <v>146</v>
      </c>
      <c r="D602" s="215" t="s">
        <v>1336</v>
      </c>
      <c r="E602" s="150" t="s">
        <v>1136</v>
      </c>
      <c r="F602" s="482" t="s">
        <v>1566</v>
      </c>
      <c r="G602" s="150" t="s">
        <v>1135</v>
      </c>
      <c r="H602" s="334" t="s">
        <v>1165</v>
      </c>
      <c r="I602" s="334" t="s">
        <v>1135</v>
      </c>
      <c r="J602" s="334" t="s">
        <v>1165</v>
      </c>
      <c r="K602" s="334" t="s">
        <v>1137</v>
      </c>
      <c r="L602" s="516" t="s">
        <v>49</v>
      </c>
      <c r="M602" s="398" t="s">
        <v>1327</v>
      </c>
      <c r="N602" s="343"/>
      <c r="O602" s="344"/>
      <c r="P602" s="219" t="s">
        <v>147</v>
      </c>
      <c r="Q602" s="346"/>
      <c r="R602" s="343"/>
      <c r="S602" s="349"/>
      <c r="T602" s="334" t="s">
        <v>25</v>
      </c>
      <c r="U602" s="582" t="s">
        <v>1338</v>
      </c>
      <c r="V602" s="403"/>
      <c r="W602" s="406">
        <v>0</v>
      </c>
      <c r="X602" s="406">
        <v>0.35000000000000003</v>
      </c>
      <c r="Y602" s="425"/>
      <c r="Z602" s="71"/>
      <c r="AA602" s="408"/>
      <c r="AB602" s="410">
        <v>0.01</v>
      </c>
      <c r="AC602" s="410">
        <v>0.34</v>
      </c>
      <c r="AD602" s="429">
        <v>-0.67</v>
      </c>
      <c r="AE602" s="429">
        <v>0.2</v>
      </c>
      <c r="AF602" s="429">
        <v>8111.01</v>
      </c>
      <c r="AG602" s="368">
        <v>0</v>
      </c>
      <c r="AH602" s="368">
        <v>0</v>
      </c>
      <c r="AI602" s="368">
        <v>0</v>
      </c>
      <c r="AJ602" s="368">
        <v>0</v>
      </c>
      <c r="AK602" s="368">
        <v>0</v>
      </c>
      <c r="AL602" s="368">
        <v>0</v>
      </c>
      <c r="AM602" s="367">
        <f t="shared" si="31"/>
        <v>8110.89</v>
      </c>
      <c r="AN602" s="362">
        <f>ERP_2[[#This Row],[2026 Working Total]]-ERP_2[[#This Row],[LE2 Final Submission]]</f>
        <v>8110.54</v>
      </c>
      <c r="AO602" s="227">
        <v>0</v>
      </c>
      <c r="AP602" s="227">
        <f t="shared" si="32"/>
        <v>8111.01</v>
      </c>
      <c r="AQ602" s="374">
        <f>SUM(ERP_2[[#This Row],[AP01]:[AP06]])-SUM(ERP_2[[#This Row],[AP01 LE2]:[AP06 LE2]])</f>
        <v>8110.54</v>
      </c>
      <c r="AR602" s="80"/>
      <c r="AS602" s="79">
        <f>ERP_2[[#This Row],[2026 Working Total to Budget/LE]]-ERP_2[[#This Row],[Giveback]]</f>
        <v>8110.54</v>
      </c>
      <c r="AT602" s="81"/>
      <c r="AU602" s="375"/>
      <c r="AV602" s="375">
        <v>0.01</v>
      </c>
      <c r="AW602" s="375">
        <v>0.34</v>
      </c>
      <c r="AX602" s="375">
        <v>0</v>
      </c>
      <c r="AY602" s="375">
        <v>0</v>
      </c>
      <c r="AZ602" s="375">
        <v>0</v>
      </c>
      <c r="BA602" s="375">
        <v>0</v>
      </c>
      <c r="BB602" s="375">
        <v>0</v>
      </c>
      <c r="BC602" s="375">
        <v>0</v>
      </c>
      <c r="BD602" s="375">
        <v>0</v>
      </c>
      <c r="BE602" s="375">
        <v>0</v>
      </c>
      <c r="BF602" s="375">
        <v>0</v>
      </c>
      <c r="BG602" s="375">
        <v>0.35000000000000003</v>
      </c>
      <c r="BH602" s="227"/>
      <c r="BI602" s="227">
        <v>0.01</v>
      </c>
      <c r="BJ602" s="227">
        <v>0.34</v>
      </c>
      <c r="BK602" s="227">
        <v>0</v>
      </c>
      <c r="BL602" s="227">
        <v>0</v>
      </c>
      <c r="BM602" s="227">
        <v>0</v>
      </c>
      <c r="BN602" s="227">
        <v>0</v>
      </c>
      <c r="BO602" s="227">
        <v>0</v>
      </c>
      <c r="BP602" s="227">
        <v>0</v>
      </c>
      <c r="BQ602" s="227">
        <v>0</v>
      </c>
      <c r="BR602" s="227">
        <v>0</v>
      </c>
      <c r="BS602" s="227">
        <v>0</v>
      </c>
      <c r="BT602" s="227">
        <v>0.35000000000000003</v>
      </c>
    </row>
    <row r="603" spans="1:72" ht="15" customHeight="1">
      <c r="A603" s="215" t="s">
        <v>1341</v>
      </c>
      <c r="B603" s="215" t="s">
        <v>2953</v>
      </c>
      <c r="C603" s="215" t="s">
        <v>148</v>
      </c>
      <c r="D603" s="215" t="s">
        <v>1342</v>
      </c>
      <c r="E603" s="150" t="s">
        <v>1136</v>
      </c>
      <c r="F603" s="482" t="s">
        <v>1566</v>
      </c>
      <c r="G603" s="150" t="s">
        <v>1135</v>
      </c>
      <c r="H603" s="334" t="s">
        <v>1156</v>
      </c>
      <c r="I603" s="334" t="s">
        <v>1135</v>
      </c>
      <c r="J603" s="334" t="s">
        <v>1156</v>
      </c>
      <c r="K603" s="334" t="s">
        <v>1137</v>
      </c>
      <c r="L603" s="516" t="s">
        <v>49</v>
      </c>
      <c r="M603" s="398" t="s">
        <v>1340</v>
      </c>
      <c r="N603" s="343"/>
      <c r="O603" s="344"/>
      <c r="P603" s="219" t="s">
        <v>149</v>
      </c>
      <c r="Q603" s="346" t="s">
        <v>1139</v>
      </c>
      <c r="R603" s="343"/>
      <c r="S603" s="349"/>
      <c r="T603" s="334" t="s">
        <v>25</v>
      </c>
      <c r="U603" s="354"/>
      <c r="V603" s="403"/>
      <c r="W603" s="406">
        <v>0</v>
      </c>
      <c r="X603" s="406">
        <v>-14694</v>
      </c>
      <c r="Y603" s="425"/>
      <c r="Z603" s="71"/>
      <c r="AA603" s="408"/>
      <c r="AB603" s="410"/>
      <c r="AC603" s="410">
        <v>-14694</v>
      </c>
      <c r="AD603" s="428">
        <v>0</v>
      </c>
      <c r="AE603" s="429">
        <v>0</v>
      </c>
      <c r="AF603" s="429">
        <v>0</v>
      </c>
      <c r="AG603" s="368">
        <v>0</v>
      </c>
      <c r="AH603" s="368">
        <v>0</v>
      </c>
      <c r="AI603" s="368">
        <v>0</v>
      </c>
      <c r="AJ603" s="368">
        <v>0</v>
      </c>
      <c r="AK603" s="368">
        <v>0</v>
      </c>
      <c r="AL603" s="368">
        <v>0</v>
      </c>
      <c r="AM603" s="367">
        <f t="shared" si="31"/>
        <v>-14694</v>
      </c>
      <c r="AN603" s="362">
        <f>ERP_2[[#This Row],[2026 Working Total]]-ERP_2[[#This Row],[LE2 Final Submission]]</f>
        <v>0</v>
      </c>
      <c r="AO603" s="227">
        <v>0</v>
      </c>
      <c r="AP603" s="227">
        <f t="shared" si="32"/>
        <v>0</v>
      </c>
      <c r="AQ603" s="374">
        <f>SUM(ERP_2[[#This Row],[AP01]:[AP06]])-SUM(ERP_2[[#This Row],[AP01 LE2]:[AP06 LE2]])</f>
        <v>0</v>
      </c>
      <c r="AR603" s="80"/>
      <c r="AS603" s="79">
        <f>ERP_2[[#This Row],[2026 Working Total to Budget/LE]]-ERP_2[[#This Row],[Giveback]]</f>
        <v>0</v>
      </c>
      <c r="AT603" s="81"/>
      <c r="AU603" s="375"/>
      <c r="AV603" s="375"/>
      <c r="AW603" s="375">
        <v>-14694</v>
      </c>
      <c r="AX603" s="375">
        <v>0</v>
      </c>
      <c r="AY603" s="375">
        <v>0</v>
      </c>
      <c r="AZ603" s="375">
        <v>0</v>
      </c>
      <c r="BA603" s="375">
        <v>0</v>
      </c>
      <c r="BB603" s="375">
        <v>0</v>
      </c>
      <c r="BC603" s="375">
        <v>0</v>
      </c>
      <c r="BD603" s="375">
        <v>0</v>
      </c>
      <c r="BE603" s="375">
        <v>0</v>
      </c>
      <c r="BF603" s="375">
        <v>0</v>
      </c>
      <c r="BG603" s="375">
        <v>-14694</v>
      </c>
      <c r="BH603" s="227"/>
      <c r="BI603" s="227"/>
      <c r="BJ603" s="227">
        <v>-14694</v>
      </c>
      <c r="BK603" s="227">
        <v>0</v>
      </c>
      <c r="BL603" s="227">
        <v>0</v>
      </c>
      <c r="BM603" s="227">
        <v>0</v>
      </c>
      <c r="BN603" s="227">
        <v>0</v>
      </c>
      <c r="BO603" s="227">
        <v>0</v>
      </c>
      <c r="BP603" s="227">
        <v>0</v>
      </c>
      <c r="BQ603" s="227">
        <v>0</v>
      </c>
      <c r="BR603" s="227">
        <v>0</v>
      </c>
      <c r="BS603" s="227">
        <v>0</v>
      </c>
      <c r="BT603" s="227">
        <v>-14694</v>
      </c>
    </row>
    <row r="604" spans="1:72" ht="15" customHeight="1">
      <c r="A604" s="215" t="s">
        <v>1702</v>
      </c>
      <c r="B604" s="215" t="s">
        <v>2953</v>
      </c>
      <c r="C604" s="215" t="s">
        <v>364</v>
      </c>
      <c r="D604" s="215" t="s">
        <v>364</v>
      </c>
      <c r="E604" s="150" t="s">
        <v>1136</v>
      </c>
      <c r="F604" s="482" t="s">
        <v>1566</v>
      </c>
      <c r="G604" s="150" t="s">
        <v>1135</v>
      </c>
      <c r="H604" s="334" t="s">
        <v>1135</v>
      </c>
      <c r="I604" s="334" t="s">
        <v>1135</v>
      </c>
      <c r="J604" s="334" t="s">
        <v>1135</v>
      </c>
      <c r="K604" s="334" t="s">
        <v>1137</v>
      </c>
      <c r="L604" s="516" t="s">
        <v>342</v>
      </c>
      <c r="M604" s="398" t="s">
        <v>1703</v>
      </c>
      <c r="N604" s="343"/>
      <c r="O604" s="344"/>
      <c r="P604" s="219" t="s">
        <v>365</v>
      </c>
      <c r="Q604" s="346"/>
      <c r="R604" s="346" t="s">
        <v>1140</v>
      </c>
      <c r="S604" s="349"/>
      <c r="T604" s="334" t="s">
        <v>57</v>
      </c>
      <c r="U604" s="150"/>
      <c r="V604" s="403"/>
      <c r="W604" s="406">
        <v>0</v>
      </c>
      <c r="X604" s="406">
        <v>20</v>
      </c>
      <c r="Y604" s="425"/>
      <c r="Z604" s="71"/>
      <c r="AA604" s="408">
        <v>20</v>
      </c>
      <c r="AB604" s="412">
        <v>0</v>
      </c>
      <c r="AC604" s="412">
        <v>0</v>
      </c>
      <c r="AD604" s="428">
        <v>22</v>
      </c>
      <c r="AE604" s="429">
        <v>0</v>
      </c>
      <c r="AF604" s="429">
        <v>2147</v>
      </c>
      <c r="AG604" s="368">
        <v>0</v>
      </c>
      <c r="AH604" s="368">
        <v>0</v>
      </c>
      <c r="AI604" s="368">
        <v>0</v>
      </c>
      <c r="AJ604" s="368">
        <v>0</v>
      </c>
      <c r="AK604" s="368">
        <v>0</v>
      </c>
      <c r="AL604" s="368">
        <v>0</v>
      </c>
      <c r="AM604" s="367">
        <f t="shared" si="31"/>
        <v>2189</v>
      </c>
      <c r="AN604" s="362">
        <f>ERP_2[[#This Row],[2026 Working Total]]-ERP_2[[#This Row],[LE2 Final Submission]]</f>
        <v>2169</v>
      </c>
      <c r="AO604" s="227">
        <v>0</v>
      </c>
      <c r="AP604" s="227">
        <f t="shared" si="32"/>
        <v>2147</v>
      </c>
      <c r="AQ604" s="374">
        <f>SUM(ERP_2[[#This Row],[AP01]:[AP06]])-SUM(ERP_2[[#This Row],[AP01 LE2]:[AP06 LE2]])</f>
        <v>2169</v>
      </c>
      <c r="AR604" s="80"/>
      <c r="AS604" s="79">
        <f>ERP_2[[#This Row],[2026 Working Total to Budget/LE]]-ERP_2[[#This Row],[Giveback]]</f>
        <v>2169</v>
      </c>
      <c r="AT604" s="81"/>
      <c r="AU604" s="375">
        <v>20</v>
      </c>
      <c r="AV604" s="375">
        <v>0</v>
      </c>
      <c r="AW604" s="375">
        <v>0</v>
      </c>
      <c r="AX604" s="375">
        <v>0</v>
      </c>
      <c r="AY604" s="375">
        <v>0</v>
      </c>
      <c r="AZ604" s="375">
        <v>0</v>
      </c>
      <c r="BA604" s="375">
        <v>0</v>
      </c>
      <c r="BB604" s="375">
        <v>0</v>
      </c>
      <c r="BC604" s="375">
        <v>0</v>
      </c>
      <c r="BD604" s="375">
        <v>0</v>
      </c>
      <c r="BE604" s="375">
        <v>0</v>
      </c>
      <c r="BF604" s="375">
        <v>0</v>
      </c>
      <c r="BG604" s="375">
        <v>20</v>
      </c>
      <c r="BH604" s="227">
        <v>20</v>
      </c>
      <c r="BI604" s="227">
        <v>0</v>
      </c>
      <c r="BJ604" s="227">
        <v>0</v>
      </c>
      <c r="BK604" s="227">
        <v>0</v>
      </c>
      <c r="BL604" s="227">
        <v>0</v>
      </c>
      <c r="BM604" s="227">
        <v>0</v>
      </c>
      <c r="BN604" s="227">
        <v>0</v>
      </c>
      <c r="BO604" s="227">
        <v>0</v>
      </c>
      <c r="BP604" s="227">
        <v>0</v>
      </c>
      <c r="BQ604" s="227">
        <v>0</v>
      </c>
      <c r="BR604" s="227">
        <v>0</v>
      </c>
      <c r="BS604" s="227">
        <v>0</v>
      </c>
      <c r="BT604" s="227">
        <v>20</v>
      </c>
    </row>
    <row r="605" spans="1:72" ht="15" customHeight="1">
      <c r="A605" s="215" t="s">
        <v>1722</v>
      </c>
      <c r="B605" s="215" t="s">
        <v>2953</v>
      </c>
      <c r="C605" s="215" t="s">
        <v>375</v>
      </c>
      <c r="D605" s="215" t="s">
        <v>1723</v>
      </c>
      <c r="E605" s="150" t="s">
        <v>1136</v>
      </c>
      <c r="F605" s="482" t="s">
        <v>1566</v>
      </c>
      <c r="G605" s="150" t="s">
        <v>1135</v>
      </c>
      <c r="H605" s="334" t="s">
        <v>1135</v>
      </c>
      <c r="I605" s="334" t="s">
        <v>1135</v>
      </c>
      <c r="J605" s="334" t="s">
        <v>1137</v>
      </c>
      <c r="K605" s="334" t="s">
        <v>1137</v>
      </c>
      <c r="L605" s="516" t="s">
        <v>342</v>
      </c>
      <c r="M605" s="398" t="s">
        <v>1327</v>
      </c>
      <c r="N605" s="343"/>
      <c r="O605" s="344"/>
      <c r="P605" s="219" t="s">
        <v>147</v>
      </c>
      <c r="Q605" s="346"/>
      <c r="R605" s="343"/>
      <c r="S605" s="349"/>
      <c r="T605" s="334" t="s">
        <v>25</v>
      </c>
      <c r="U605" s="1" t="s">
        <v>1141</v>
      </c>
      <c r="V605" s="403"/>
      <c r="W605" s="406">
        <v>0</v>
      </c>
      <c r="X605" s="406">
        <v>0.62000000000000011</v>
      </c>
      <c r="Y605" s="425"/>
      <c r="Z605" s="71"/>
      <c r="AA605" s="408">
        <v>-0.1</v>
      </c>
      <c r="AB605" s="410">
        <v>-0.09</v>
      </c>
      <c r="AC605" s="410">
        <v>0.81</v>
      </c>
      <c r="AD605" s="428">
        <v>-0.53</v>
      </c>
      <c r="AE605" s="429">
        <v>0.61</v>
      </c>
      <c r="AF605" s="429">
        <v>0</v>
      </c>
      <c r="AG605" s="368">
        <v>0</v>
      </c>
      <c r="AH605" s="368">
        <v>0</v>
      </c>
      <c r="AI605" s="368">
        <v>0</v>
      </c>
      <c r="AJ605" s="368">
        <v>0</v>
      </c>
      <c r="AK605" s="368">
        <v>0</v>
      </c>
      <c r="AL605" s="368">
        <v>0</v>
      </c>
      <c r="AM605" s="367">
        <f t="shared" si="31"/>
        <v>0.70000000000000007</v>
      </c>
      <c r="AN605" s="362">
        <f>ERP_2[[#This Row],[2026 Working Total]]-ERP_2[[#This Row],[LE2 Final Submission]]</f>
        <v>7.999999999999996E-2</v>
      </c>
      <c r="AO605" s="227">
        <v>0</v>
      </c>
      <c r="AP605" s="227">
        <f t="shared" si="32"/>
        <v>0</v>
      </c>
      <c r="AQ605" s="374">
        <f>SUM(ERP_2[[#This Row],[AP01]:[AP06]])-SUM(ERP_2[[#This Row],[AP01 LE2]:[AP06 LE2]])</f>
        <v>7.999999999999996E-2</v>
      </c>
      <c r="AR605" s="80"/>
      <c r="AS605" s="79">
        <f>ERP_2[[#This Row],[2026 Working Total to Budget/LE]]-ERP_2[[#This Row],[Giveback]]</f>
        <v>7.999999999999996E-2</v>
      </c>
      <c r="AT605" s="81"/>
      <c r="AU605" s="375">
        <v>-0.1</v>
      </c>
      <c r="AV605" s="375">
        <v>-0.09</v>
      </c>
      <c r="AW605" s="375">
        <v>0.81</v>
      </c>
      <c r="AX605" s="375">
        <v>0</v>
      </c>
      <c r="AY605" s="375">
        <v>0</v>
      </c>
      <c r="AZ605" s="375">
        <v>0</v>
      </c>
      <c r="BA605" s="375">
        <v>0</v>
      </c>
      <c r="BB605" s="375">
        <v>0</v>
      </c>
      <c r="BC605" s="375">
        <v>0</v>
      </c>
      <c r="BD605" s="375">
        <v>0</v>
      </c>
      <c r="BE605" s="375">
        <v>0</v>
      </c>
      <c r="BF605" s="375">
        <v>0</v>
      </c>
      <c r="BG605" s="375">
        <v>0.62000000000000011</v>
      </c>
      <c r="BH605" s="227">
        <v>-0.1</v>
      </c>
      <c r="BI605" s="227">
        <v>-0.09</v>
      </c>
      <c r="BJ605" s="227">
        <v>0.81</v>
      </c>
      <c r="BK605" s="227">
        <v>0</v>
      </c>
      <c r="BL605" s="227">
        <v>0</v>
      </c>
      <c r="BM605" s="227">
        <v>0</v>
      </c>
      <c r="BN605" s="227">
        <v>0</v>
      </c>
      <c r="BO605" s="227">
        <v>0</v>
      </c>
      <c r="BP605" s="227">
        <v>0</v>
      </c>
      <c r="BQ605" s="227">
        <v>0</v>
      </c>
      <c r="BR605" s="227">
        <v>0</v>
      </c>
      <c r="BS605" s="227">
        <v>0</v>
      </c>
      <c r="BT605" s="227">
        <v>0.62000000000000011</v>
      </c>
    </row>
    <row r="606" spans="1:72" ht="15" customHeight="1">
      <c r="A606" s="215" t="s">
        <v>1790</v>
      </c>
      <c r="B606" s="215" t="s">
        <v>2953</v>
      </c>
      <c r="C606" s="215" t="s">
        <v>417</v>
      </c>
      <c r="D606" s="215" t="s">
        <v>417</v>
      </c>
      <c r="E606" s="150" t="s">
        <v>1136</v>
      </c>
      <c r="F606" s="482" t="s">
        <v>1566</v>
      </c>
      <c r="G606" s="150" t="s">
        <v>1135</v>
      </c>
      <c r="H606" s="334" t="s">
        <v>1135</v>
      </c>
      <c r="I606" s="334" t="s">
        <v>1135</v>
      </c>
      <c r="J606" s="334" t="s">
        <v>1135</v>
      </c>
      <c r="K606" s="334" t="s">
        <v>1137</v>
      </c>
      <c r="L606" s="516" t="s">
        <v>389</v>
      </c>
      <c r="M606" s="398" t="s">
        <v>1174</v>
      </c>
      <c r="N606" s="343"/>
      <c r="O606" s="344"/>
      <c r="P606" s="219" t="s">
        <v>56</v>
      </c>
      <c r="Q606" s="346" t="s">
        <v>1139</v>
      </c>
      <c r="R606" s="346" t="s">
        <v>1140</v>
      </c>
      <c r="S606" s="349"/>
      <c r="T606" s="334" t="s">
        <v>57</v>
      </c>
      <c r="U606" s="150"/>
      <c r="V606" s="403"/>
      <c r="W606" s="406">
        <v>48000</v>
      </c>
      <c r="X606" s="406">
        <v>49773.74</v>
      </c>
      <c r="Y606" s="430"/>
      <c r="Z606" s="137"/>
      <c r="AA606" s="408">
        <v>4838.91</v>
      </c>
      <c r="AB606" s="410">
        <v>4409.8999999999996</v>
      </c>
      <c r="AC606" s="410">
        <v>4524.93</v>
      </c>
      <c r="AD606" s="428">
        <v>3908.87</v>
      </c>
      <c r="AE606" s="429">
        <v>4454.8399999999992</v>
      </c>
      <c r="AF606" s="429">
        <v>4602.9500000000007</v>
      </c>
      <c r="AG606" s="369">
        <v>4000</v>
      </c>
      <c r="AH606" s="369">
        <v>4000</v>
      </c>
      <c r="AI606" s="369">
        <v>4000</v>
      </c>
      <c r="AJ606" s="369">
        <v>4000</v>
      </c>
      <c r="AK606" s="369">
        <v>4000</v>
      </c>
      <c r="AL606" s="369">
        <v>4000</v>
      </c>
      <c r="AM606" s="367">
        <f t="shared" si="31"/>
        <v>50740.4</v>
      </c>
      <c r="AN606" s="362">
        <f>ERP_2[[#This Row],[2026 Working Total]]-ERP_2[[#This Row],[LE2 Final Submission]]</f>
        <v>966.66000000000349</v>
      </c>
      <c r="AO606" s="227">
        <v>4000</v>
      </c>
      <c r="AP606" s="227">
        <f t="shared" si="32"/>
        <v>602.95000000000073</v>
      </c>
      <c r="AQ606" s="374">
        <f>SUM(ERP_2[[#This Row],[AP01]:[AP06]])-SUM(ERP_2[[#This Row],[AP01 LE2]:[AP06 LE2]])</f>
        <v>966.66000000000349</v>
      </c>
      <c r="AR606" s="80"/>
      <c r="AS606" s="79">
        <f>ERP_2[[#This Row],[2026 Working Total to Budget/LE]]-ERP_2[[#This Row],[Giveback]]</f>
        <v>966.66000000000349</v>
      </c>
      <c r="AT606" s="81"/>
      <c r="AU606" s="375">
        <v>4838.91</v>
      </c>
      <c r="AV606" s="375">
        <v>4409.8999999999996</v>
      </c>
      <c r="AW606" s="375">
        <v>4524.93</v>
      </c>
      <c r="AX606" s="375">
        <v>4000</v>
      </c>
      <c r="AY606" s="375">
        <v>4000</v>
      </c>
      <c r="AZ606" s="375">
        <v>4000</v>
      </c>
      <c r="BA606" s="375">
        <v>4000</v>
      </c>
      <c r="BB606" s="375">
        <v>4000</v>
      </c>
      <c r="BC606" s="375">
        <v>4000</v>
      </c>
      <c r="BD606" s="375">
        <v>4000</v>
      </c>
      <c r="BE606" s="375">
        <v>4000</v>
      </c>
      <c r="BF606" s="375">
        <v>4000</v>
      </c>
      <c r="BG606" s="375">
        <v>49773.74</v>
      </c>
      <c r="BH606" s="227">
        <v>4838.91</v>
      </c>
      <c r="BI606" s="227">
        <v>4409.8999999999996</v>
      </c>
      <c r="BJ606" s="227">
        <v>4524.93</v>
      </c>
      <c r="BK606" s="227">
        <v>4000</v>
      </c>
      <c r="BL606" s="227">
        <v>4000</v>
      </c>
      <c r="BM606" s="227">
        <v>4000</v>
      </c>
      <c r="BN606" s="227">
        <v>4000</v>
      </c>
      <c r="BO606" s="227">
        <v>4000</v>
      </c>
      <c r="BP606" s="227">
        <v>4000</v>
      </c>
      <c r="BQ606" s="227">
        <v>4000</v>
      </c>
      <c r="BR606" s="227">
        <v>4000</v>
      </c>
      <c r="BS606" s="227">
        <v>4000</v>
      </c>
      <c r="BT606" s="227">
        <v>49773.74</v>
      </c>
    </row>
    <row r="607" spans="1:72" ht="15" customHeight="1">
      <c r="A607" s="215" t="s">
        <v>1791</v>
      </c>
      <c r="B607" s="215" t="s">
        <v>2953</v>
      </c>
      <c r="C607" s="215" t="s">
        <v>417</v>
      </c>
      <c r="D607" s="215" t="s">
        <v>1792</v>
      </c>
      <c r="E607" s="150" t="s">
        <v>1136</v>
      </c>
      <c r="F607" s="482" t="s">
        <v>1566</v>
      </c>
      <c r="G607" s="150" t="s">
        <v>1135</v>
      </c>
      <c r="H607" s="334" t="s">
        <v>1135</v>
      </c>
      <c r="I607" s="334" t="s">
        <v>1135</v>
      </c>
      <c r="J607" s="334" t="s">
        <v>1137</v>
      </c>
      <c r="K607" s="334" t="s">
        <v>1137</v>
      </c>
      <c r="L607" s="516" t="s">
        <v>389</v>
      </c>
      <c r="M607" s="398" t="s">
        <v>1174</v>
      </c>
      <c r="N607" s="343"/>
      <c r="O607" s="344"/>
      <c r="P607" s="219" t="s">
        <v>56</v>
      </c>
      <c r="Q607" s="346" t="s">
        <v>1139</v>
      </c>
      <c r="R607" s="346" t="s">
        <v>1140</v>
      </c>
      <c r="S607" s="349"/>
      <c r="T607" s="334" t="s">
        <v>57</v>
      </c>
      <c r="U607" s="1" t="s">
        <v>1141</v>
      </c>
      <c r="V607" s="403"/>
      <c r="W607" s="406">
        <v>0</v>
      </c>
      <c r="X607" s="406">
        <v>1.26</v>
      </c>
      <c r="Y607" s="425"/>
      <c r="Z607" s="71"/>
      <c r="AA607" s="408">
        <v>0.42</v>
      </c>
      <c r="AB607" s="410">
        <v>0.36</v>
      </c>
      <c r="AC607" s="410">
        <v>0.48</v>
      </c>
      <c r="AD607" s="428">
        <v>1.31</v>
      </c>
      <c r="AE607" s="429">
        <v>209.68999999999997</v>
      </c>
      <c r="AF607" s="429">
        <v>192.01</v>
      </c>
      <c r="AG607" s="368">
        <v>0</v>
      </c>
      <c r="AH607" s="368">
        <v>0</v>
      </c>
      <c r="AI607" s="368">
        <v>0</v>
      </c>
      <c r="AJ607" s="368">
        <v>0</v>
      </c>
      <c r="AK607" s="368">
        <v>0</v>
      </c>
      <c r="AL607" s="368">
        <v>0</v>
      </c>
      <c r="AM607" s="367">
        <f t="shared" si="31"/>
        <v>404.27</v>
      </c>
      <c r="AN607" s="362">
        <f>ERP_2[[#This Row],[2026 Working Total]]-ERP_2[[#This Row],[LE2 Final Submission]]</f>
        <v>403.01</v>
      </c>
      <c r="AO607" s="227">
        <v>0</v>
      </c>
      <c r="AP607" s="227">
        <f t="shared" si="32"/>
        <v>192.01</v>
      </c>
      <c r="AQ607" s="374">
        <f>SUM(ERP_2[[#This Row],[AP01]:[AP06]])-SUM(ERP_2[[#This Row],[AP01 LE2]:[AP06 LE2]])</f>
        <v>403.01</v>
      </c>
      <c r="AR607" s="80"/>
      <c r="AS607" s="79">
        <f>ERP_2[[#This Row],[2026 Working Total to Budget/LE]]-ERP_2[[#This Row],[Giveback]]</f>
        <v>403.01</v>
      </c>
      <c r="AT607" s="81"/>
      <c r="AU607" s="375">
        <v>0.42</v>
      </c>
      <c r="AV607" s="375">
        <v>0.36</v>
      </c>
      <c r="AW607" s="375">
        <v>0.48</v>
      </c>
      <c r="AX607" s="375">
        <v>0</v>
      </c>
      <c r="AY607" s="375">
        <v>0</v>
      </c>
      <c r="AZ607" s="375">
        <v>0</v>
      </c>
      <c r="BA607" s="375">
        <v>0</v>
      </c>
      <c r="BB607" s="375">
        <v>0</v>
      </c>
      <c r="BC607" s="375">
        <v>0</v>
      </c>
      <c r="BD607" s="375">
        <v>0</v>
      </c>
      <c r="BE607" s="375">
        <v>0</v>
      </c>
      <c r="BF607" s="375">
        <v>0</v>
      </c>
      <c r="BG607" s="375">
        <v>1.26</v>
      </c>
      <c r="BH607" s="227">
        <v>0.42</v>
      </c>
      <c r="BI607" s="227">
        <v>0.36</v>
      </c>
      <c r="BJ607" s="227">
        <v>0.48</v>
      </c>
      <c r="BK607" s="227">
        <v>0</v>
      </c>
      <c r="BL607" s="227">
        <v>0</v>
      </c>
      <c r="BM607" s="227">
        <v>0</v>
      </c>
      <c r="BN607" s="227">
        <v>0</v>
      </c>
      <c r="BO607" s="227">
        <v>0</v>
      </c>
      <c r="BP607" s="227">
        <v>0</v>
      </c>
      <c r="BQ607" s="227">
        <v>0</v>
      </c>
      <c r="BR607" s="227">
        <v>0</v>
      </c>
      <c r="BS607" s="227">
        <v>0</v>
      </c>
      <c r="BT607" s="227">
        <v>1.26</v>
      </c>
    </row>
    <row r="608" spans="1:72" ht="15" customHeight="1">
      <c r="A608" s="215" t="s">
        <v>1794</v>
      </c>
      <c r="B608" s="215" t="s">
        <v>2953</v>
      </c>
      <c r="C608" s="215" t="s">
        <v>417</v>
      </c>
      <c r="D608" s="215" t="s">
        <v>1795</v>
      </c>
      <c r="E608" s="150" t="s">
        <v>1136</v>
      </c>
      <c r="F608" s="482" t="s">
        <v>1566</v>
      </c>
      <c r="G608" s="150" t="s">
        <v>1135</v>
      </c>
      <c r="H608" s="334" t="s">
        <v>1145</v>
      </c>
      <c r="I608" s="334" t="s">
        <v>1135</v>
      </c>
      <c r="J608" s="334" t="s">
        <v>1145</v>
      </c>
      <c r="K608" s="334" t="s">
        <v>1137</v>
      </c>
      <c r="L608" s="516" t="s">
        <v>389</v>
      </c>
      <c r="M608" s="398" t="s">
        <v>1174</v>
      </c>
      <c r="N608" s="343"/>
      <c r="O608" s="344"/>
      <c r="P608" s="219" t="s">
        <v>56</v>
      </c>
      <c r="Q608" s="349" t="s">
        <v>1153</v>
      </c>
      <c r="R608" s="346" t="s">
        <v>1140</v>
      </c>
      <c r="S608" s="349"/>
      <c r="T608" s="334" t="s">
        <v>57</v>
      </c>
      <c r="U608" s="354"/>
      <c r="V608" s="403"/>
      <c r="W608" s="406">
        <v>672000</v>
      </c>
      <c r="X608" s="406">
        <v>633103.17999999993</v>
      </c>
      <c r="Y608" s="425"/>
      <c r="Z608" s="71"/>
      <c r="AA608" s="408">
        <v>45611.11</v>
      </c>
      <c r="AB608" s="410">
        <v>43675.76</v>
      </c>
      <c r="AC608" s="410">
        <v>39816.31</v>
      </c>
      <c r="AD608" s="428">
        <v>40357.590000000004</v>
      </c>
      <c r="AE608" s="429">
        <v>42129.81</v>
      </c>
      <c r="AF608" s="429">
        <v>42451.69000000001</v>
      </c>
      <c r="AG608" s="369">
        <v>42318</v>
      </c>
      <c r="AH608" s="369">
        <v>42318</v>
      </c>
      <c r="AI608" s="369">
        <v>56000</v>
      </c>
      <c r="AJ608" s="369">
        <v>56000</v>
      </c>
      <c r="AK608" s="369">
        <v>56000</v>
      </c>
      <c r="AL608" s="369">
        <v>56000</v>
      </c>
      <c r="AM608" s="367">
        <f t="shared" si="31"/>
        <v>562678.27</v>
      </c>
      <c r="AN608" s="362">
        <f>ERP_2[[#This Row],[2026 Working Total]]-ERP_2[[#This Row],[LE2 Final Submission]]</f>
        <v>-70424.909999999916</v>
      </c>
      <c r="AO608" s="227">
        <v>56000</v>
      </c>
      <c r="AP608" s="227">
        <f t="shared" si="32"/>
        <v>-13548.30999999999</v>
      </c>
      <c r="AQ608" s="374">
        <f>SUM(ERP_2[[#This Row],[AP01]:[AP06]])-SUM(ERP_2[[#This Row],[AP01 LE2]:[AP06 LE2]])</f>
        <v>-43060.91</v>
      </c>
      <c r="AR608" s="80"/>
      <c r="AS608" s="79">
        <f>ERP_2[[#This Row],[2026 Working Total to Budget/LE]]-ERP_2[[#This Row],[Giveback]]</f>
        <v>-70424.909999999916</v>
      </c>
      <c r="AT608" s="81"/>
      <c r="AU608" s="375">
        <v>45611.11</v>
      </c>
      <c r="AV608" s="375">
        <v>43675.76</v>
      </c>
      <c r="AW608" s="375">
        <v>39816.31</v>
      </c>
      <c r="AX608" s="375">
        <v>56000</v>
      </c>
      <c r="AY608" s="375">
        <v>56000</v>
      </c>
      <c r="AZ608" s="375">
        <v>56000</v>
      </c>
      <c r="BA608" s="375">
        <v>56000</v>
      </c>
      <c r="BB608" s="375">
        <v>56000</v>
      </c>
      <c r="BC608" s="375">
        <v>56000</v>
      </c>
      <c r="BD608" s="375">
        <v>56000</v>
      </c>
      <c r="BE608" s="375">
        <v>56000</v>
      </c>
      <c r="BF608" s="375">
        <v>56000</v>
      </c>
      <c r="BG608" s="375">
        <v>633103.17999999993</v>
      </c>
      <c r="BH608" s="227">
        <v>45611.11</v>
      </c>
      <c r="BI608" s="227">
        <v>43675.76</v>
      </c>
      <c r="BJ608" s="227">
        <v>39816.31</v>
      </c>
      <c r="BK608" s="227">
        <v>56000</v>
      </c>
      <c r="BL608" s="227">
        <v>56000</v>
      </c>
      <c r="BM608" s="227">
        <v>56000</v>
      </c>
      <c r="BN608" s="227">
        <v>56000</v>
      </c>
      <c r="BO608" s="227">
        <v>56000</v>
      </c>
      <c r="BP608" s="227">
        <v>56000</v>
      </c>
      <c r="BQ608" s="227">
        <v>56000</v>
      </c>
      <c r="BR608" s="227">
        <v>56000</v>
      </c>
      <c r="BS608" s="227">
        <v>56000</v>
      </c>
      <c r="BT608" s="227">
        <v>633103.17999999993</v>
      </c>
    </row>
    <row r="609" spans="1:72" ht="15" customHeight="1">
      <c r="A609" s="334" t="s">
        <v>1807</v>
      </c>
      <c r="B609" s="334" t="s">
        <v>2953</v>
      </c>
      <c r="C609" s="537" t="s">
        <v>420</v>
      </c>
      <c r="D609" s="215" t="s">
        <v>1808</v>
      </c>
      <c r="E609" s="150" t="s">
        <v>1136</v>
      </c>
      <c r="F609" s="482" t="s">
        <v>1566</v>
      </c>
      <c r="G609" s="150" t="s">
        <v>1135</v>
      </c>
      <c r="H609" s="334" t="s">
        <v>1165</v>
      </c>
      <c r="I609" s="334" t="s">
        <v>1135</v>
      </c>
      <c r="J609" s="334" t="s">
        <v>1165</v>
      </c>
      <c r="K609" s="334" t="s">
        <v>1165</v>
      </c>
      <c r="L609" s="518" t="s">
        <v>389</v>
      </c>
      <c r="M609" s="397" t="s">
        <v>1809</v>
      </c>
      <c r="N609" s="333" t="s">
        <v>1167</v>
      </c>
      <c r="O609" s="336" t="s">
        <v>1284</v>
      </c>
      <c r="P609" s="237" t="s">
        <v>59</v>
      </c>
      <c r="Q609" s="351"/>
      <c r="R609" s="348" t="s">
        <v>1805</v>
      </c>
      <c r="S609" s="353"/>
      <c r="T609" s="353"/>
      <c r="U609" s="452"/>
      <c r="V609" s="402"/>
      <c r="W609" s="406"/>
      <c r="X609" s="406"/>
      <c r="Y609" s="425"/>
      <c r="Z609" s="71"/>
      <c r="AA609" s="413"/>
      <c r="AB609" s="414"/>
      <c r="AC609" s="414"/>
      <c r="AD609" s="429">
        <v>35539.5</v>
      </c>
      <c r="AE609" s="429">
        <v>-35539.5</v>
      </c>
      <c r="AF609" s="429">
        <v>0</v>
      </c>
      <c r="AG609" s="371"/>
      <c r="AH609" s="371"/>
      <c r="AI609" s="371"/>
      <c r="AJ609" s="371"/>
      <c r="AK609" s="371"/>
      <c r="AL609" s="371"/>
      <c r="AM609" s="367">
        <f t="shared" si="31"/>
        <v>0</v>
      </c>
      <c r="AN609" s="362">
        <f>ERP_2[[#This Row],[2026 Working Total]]-ERP_2[[#This Row],[LE2 Final Submission]]</f>
        <v>0</v>
      </c>
      <c r="AO609" s="227"/>
      <c r="AP609" s="227">
        <f t="shared" si="32"/>
        <v>0</v>
      </c>
      <c r="AQ609" s="374">
        <f>SUM(ERP_2[[#This Row],[AP01]:[AP06]])-SUM(ERP_2[[#This Row],[AP01 LE2]:[AP06 LE2]])</f>
        <v>0</v>
      </c>
      <c r="AR609" s="80"/>
      <c r="AS609" s="79">
        <f>ERP_2[[#This Row],[2026 Working Total to Budget/LE]]-ERP_2[[#This Row],[Giveback]]</f>
        <v>0</v>
      </c>
      <c r="AT609" s="81"/>
      <c r="AU609" s="375"/>
      <c r="AV609" s="375"/>
      <c r="AW609" s="375"/>
      <c r="AX609" s="375"/>
      <c r="AY609" s="375"/>
      <c r="AZ609" s="375"/>
      <c r="BA609" s="375"/>
      <c r="BB609" s="375"/>
      <c r="BC609" s="375"/>
      <c r="BD609" s="375"/>
      <c r="BE609" s="375"/>
      <c r="BF609" s="375"/>
      <c r="BG609" s="375"/>
      <c r="BH609" s="227"/>
      <c r="BI609" s="227"/>
      <c r="BJ609" s="227"/>
      <c r="BK609" s="227"/>
      <c r="BL609" s="227"/>
      <c r="BM609" s="227"/>
      <c r="BN609" s="227"/>
      <c r="BO609" s="227"/>
      <c r="BP609" s="227"/>
      <c r="BQ609" s="227"/>
      <c r="BR609" s="227"/>
      <c r="BS609" s="227"/>
      <c r="BT609" s="227"/>
    </row>
    <row r="610" spans="1:72" ht="15" customHeight="1">
      <c r="A610" s="215" t="s">
        <v>1837</v>
      </c>
      <c r="B610" s="215" t="s">
        <v>2953</v>
      </c>
      <c r="C610" s="215" t="s">
        <v>435</v>
      </c>
      <c r="D610" s="215" t="s">
        <v>1838</v>
      </c>
      <c r="E610" s="150" t="s">
        <v>1136</v>
      </c>
      <c r="F610" s="482" t="s">
        <v>1566</v>
      </c>
      <c r="G610" s="150" t="s">
        <v>1135</v>
      </c>
      <c r="H610" s="334" t="s">
        <v>1165</v>
      </c>
      <c r="I610" s="334" t="s">
        <v>1135</v>
      </c>
      <c r="J610" s="334" t="s">
        <v>1165</v>
      </c>
      <c r="K610" s="334" t="s">
        <v>1137</v>
      </c>
      <c r="L610" s="516" t="s">
        <v>389</v>
      </c>
      <c r="M610" s="398" t="s">
        <v>1835</v>
      </c>
      <c r="N610" s="343"/>
      <c r="O610" s="344"/>
      <c r="P610" s="219" t="s">
        <v>436</v>
      </c>
      <c r="Q610" s="349"/>
      <c r="R610" s="343"/>
      <c r="S610" s="349"/>
      <c r="T610" s="334" t="s">
        <v>57</v>
      </c>
      <c r="U610" s="354" t="s">
        <v>2912</v>
      </c>
      <c r="V610" s="403"/>
      <c r="W610" s="406">
        <v>0</v>
      </c>
      <c r="X610" s="406">
        <v>1351.1499999999999</v>
      </c>
      <c r="Y610" s="425"/>
      <c r="Z610" s="71"/>
      <c r="AA610" s="408">
        <v>696.35</v>
      </c>
      <c r="AB610" s="410">
        <v>599.02</v>
      </c>
      <c r="AC610" s="410">
        <v>55.78</v>
      </c>
      <c r="AD610" s="428">
        <v>27.89</v>
      </c>
      <c r="AE610" s="429">
        <v>596.58999999999992</v>
      </c>
      <c r="AF610" s="429">
        <v>549.04999999999995</v>
      </c>
      <c r="AG610" s="369">
        <v>0</v>
      </c>
      <c r="AH610" s="369">
        <v>0</v>
      </c>
      <c r="AI610" s="369">
        <v>0</v>
      </c>
      <c r="AJ610" s="369">
        <v>0</v>
      </c>
      <c r="AK610" s="369">
        <v>0</v>
      </c>
      <c r="AL610" s="369">
        <v>0</v>
      </c>
      <c r="AM610" s="367">
        <f t="shared" si="31"/>
        <v>2524.6799999999998</v>
      </c>
      <c r="AN610" s="362">
        <f>ERP_2[[#This Row],[2026 Working Total]]-ERP_2[[#This Row],[LE2 Final Submission]]</f>
        <v>1173.53</v>
      </c>
      <c r="AO610" s="227">
        <v>0</v>
      </c>
      <c r="AP610" s="227">
        <f t="shared" si="32"/>
        <v>549.04999999999995</v>
      </c>
      <c r="AQ610" s="374">
        <f>SUM(ERP_2[[#This Row],[AP01]:[AP06]])-SUM(ERP_2[[#This Row],[AP01 LE2]:[AP06 LE2]])</f>
        <v>1173.53</v>
      </c>
      <c r="AR610" s="80"/>
      <c r="AS610" s="79">
        <f>ERP_2[[#This Row],[2026 Working Total to Budget/LE]]-ERP_2[[#This Row],[Giveback]]</f>
        <v>1173.53</v>
      </c>
      <c r="AT610" s="81"/>
      <c r="AU610" s="375">
        <v>696.35</v>
      </c>
      <c r="AV610" s="375">
        <v>599.02</v>
      </c>
      <c r="AW610" s="375">
        <v>55.78</v>
      </c>
      <c r="AX610" s="375">
        <v>0</v>
      </c>
      <c r="AY610" s="375">
        <v>0</v>
      </c>
      <c r="AZ610" s="375">
        <v>0</v>
      </c>
      <c r="BA610" s="375">
        <v>0</v>
      </c>
      <c r="BB610" s="375">
        <v>0</v>
      </c>
      <c r="BC610" s="375">
        <v>0</v>
      </c>
      <c r="BD610" s="375">
        <v>0</v>
      </c>
      <c r="BE610" s="375">
        <v>0</v>
      </c>
      <c r="BF610" s="375">
        <v>0</v>
      </c>
      <c r="BG610" s="375">
        <v>1351.1499999999999</v>
      </c>
      <c r="BH610" s="227">
        <v>696.35</v>
      </c>
      <c r="BI610" s="227">
        <v>599.02</v>
      </c>
      <c r="BJ610" s="227">
        <v>55.78</v>
      </c>
      <c r="BK610" s="227">
        <v>600</v>
      </c>
      <c r="BL610" s="227">
        <v>600</v>
      </c>
      <c r="BM610" s="227">
        <v>600</v>
      </c>
      <c r="BN610" s="227">
        <v>600</v>
      </c>
      <c r="BO610" s="227">
        <v>600</v>
      </c>
      <c r="BP610" s="227">
        <v>600</v>
      </c>
      <c r="BQ610" s="227">
        <v>600</v>
      </c>
      <c r="BR610" s="227">
        <v>600</v>
      </c>
      <c r="BS610" s="227">
        <v>600</v>
      </c>
      <c r="BT610" s="227">
        <v>6751.15</v>
      </c>
    </row>
    <row r="611" spans="1:72" ht="15" customHeight="1">
      <c r="A611" s="215" t="s">
        <v>1845</v>
      </c>
      <c r="B611" s="215" t="s">
        <v>2953</v>
      </c>
      <c r="C611" s="215" t="s">
        <v>440</v>
      </c>
      <c r="D611" s="215" t="s">
        <v>1846</v>
      </c>
      <c r="E611" s="150" t="s">
        <v>1136</v>
      </c>
      <c r="F611" s="482" t="s">
        <v>1566</v>
      </c>
      <c r="G611" s="150" t="s">
        <v>1135</v>
      </c>
      <c r="H611" s="334" t="s">
        <v>1165</v>
      </c>
      <c r="I611" s="334" t="s">
        <v>1135</v>
      </c>
      <c r="J611" s="334" t="s">
        <v>1165</v>
      </c>
      <c r="K611" s="334" t="s">
        <v>1137</v>
      </c>
      <c r="L611" s="516" t="s">
        <v>389</v>
      </c>
      <c r="M611" s="398" t="s">
        <v>1844</v>
      </c>
      <c r="N611" s="343"/>
      <c r="O611" s="344"/>
      <c r="P611" s="219" t="s">
        <v>441</v>
      </c>
      <c r="Q611" s="349"/>
      <c r="R611" s="343"/>
      <c r="S611" s="349"/>
      <c r="T611" s="334" t="s">
        <v>57</v>
      </c>
      <c r="U611" s="354"/>
      <c r="V611" s="403"/>
      <c r="W611" s="406">
        <v>10599.999996000004</v>
      </c>
      <c r="X611" s="406">
        <v>0</v>
      </c>
      <c r="Y611" s="425"/>
      <c r="Z611" s="71"/>
      <c r="AA611" s="408"/>
      <c r="AB611" s="410"/>
      <c r="AC611" s="410"/>
      <c r="AD611" s="428" t="s">
        <v>1142</v>
      </c>
      <c r="AE611" s="429">
        <v>0</v>
      </c>
      <c r="AF611" s="429">
        <v>0</v>
      </c>
      <c r="AG611" s="369">
        <v>0</v>
      </c>
      <c r="AH611" s="369">
        <v>0</v>
      </c>
      <c r="AI611" s="369">
        <v>0</v>
      </c>
      <c r="AJ611" s="369">
        <v>0</v>
      </c>
      <c r="AK611" s="369">
        <v>0</v>
      </c>
      <c r="AL611" s="369">
        <v>0</v>
      </c>
      <c r="AM611" s="367">
        <f t="shared" si="31"/>
        <v>0</v>
      </c>
      <c r="AN611" s="362">
        <f>ERP_2[[#This Row],[2026 Working Total]]-ERP_2[[#This Row],[LE2 Final Submission]]</f>
        <v>0</v>
      </c>
      <c r="AO611" s="227">
        <v>0</v>
      </c>
      <c r="AP611" s="227">
        <f t="shared" si="32"/>
        <v>0</v>
      </c>
      <c r="AQ611" s="374">
        <f>SUM(ERP_2[[#This Row],[AP01]:[AP06]])-SUM(ERP_2[[#This Row],[AP01 LE2]:[AP06 LE2]])</f>
        <v>0</v>
      </c>
      <c r="AR611" s="80">
        <v>-10600</v>
      </c>
      <c r="AS611" s="79">
        <f>ERP_2[[#This Row],[2026 Working Total to Budget/LE]]-ERP_2[[#This Row],[Giveback]]</f>
        <v>10600</v>
      </c>
      <c r="AT611" s="81"/>
      <c r="AU611" s="375"/>
      <c r="AV611" s="375"/>
      <c r="AW611" s="375"/>
      <c r="AX611" s="375">
        <v>0</v>
      </c>
      <c r="AY611" s="375">
        <v>0</v>
      </c>
      <c r="AZ611" s="375">
        <v>0</v>
      </c>
      <c r="BA611" s="375">
        <v>0</v>
      </c>
      <c r="BB611" s="375">
        <v>0</v>
      </c>
      <c r="BC611" s="375">
        <v>0</v>
      </c>
      <c r="BD611" s="375">
        <v>0</v>
      </c>
      <c r="BE611" s="375">
        <v>0</v>
      </c>
      <c r="BF611" s="375">
        <v>0</v>
      </c>
      <c r="BG611" s="375">
        <v>0</v>
      </c>
      <c r="BH611" s="227"/>
      <c r="BI611" s="227"/>
      <c r="BJ611" s="227"/>
      <c r="BK611" s="227">
        <v>883.33333300000004</v>
      </c>
      <c r="BL611" s="227">
        <v>883.33333300000004</v>
      </c>
      <c r="BM611" s="227">
        <v>883.33333300000004</v>
      </c>
      <c r="BN611" s="227">
        <v>883.33333300000004</v>
      </c>
      <c r="BO611" s="227">
        <v>883.33333300000004</v>
      </c>
      <c r="BP611" s="227">
        <v>883.33333300000004</v>
      </c>
      <c r="BQ611" s="227">
        <v>883.33333300000004</v>
      </c>
      <c r="BR611" s="227">
        <v>883.33333300000004</v>
      </c>
      <c r="BS611" s="227">
        <v>883.33333300000004</v>
      </c>
      <c r="BT611" s="227">
        <v>7949.9999970000026</v>
      </c>
    </row>
    <row r="612" spans="1:72" ht="15" customHeight="1">
      <c r="A612" s="215" t="s">
        <v>1859</v>
      </c>
      <c r="B612" s="215" t="s">
        <v>2953</v>
      </c>
      <c r="C612" s="215" t="s">
        <v>448</v>
      </c>
      <c r="D612" s="215" t="s">
        <v>1860</v>
      </c>
      <c r="E612" s="150" t="s">
        <v>1136</v>
      </c>
      <c r="F612" s="482" t="s">
        <v>1566</v>
      </c>
      <c r="G612" s="150" t="s">
        <v>1135</v>
      </c>
      <c r="H612" s="334" t="s">
        <v>1165</v>
      </c>
      <c r="I612" s="334" t="s">
        <v>1135</v>
      </c>
      <c r="J612" s="334" t="s">
        <v>1165</v>
      </c>
      <c r="K612" s="334" t="s">
        <v>1137</v>
      </c>
      <c r="L612" s="516" t="s">
        <v>389</v>
      </c>
      <c r="M612" s="398" t="s">
        <v>1858</v>
      </c>
      <c r="N612" s="343"/>
      <c r="O612" s="344"/>
      <c r="P612" s="219" t="s">
        <v>449</v>
      </c>
      <c r="Q612" s="349"/>
      <c r="R612" s="346" t="s">
        <v>1140</v>
      </c>
      <c r="S612" s="349"/>
      <c r="T612" s="334" t="s">
        <v>57</v>
      </c>
      <c r="U612" s="354"/>
      <c r="V612" s="403"/>
      <c r="W612" s="406">
        <v>12168</v>
      </c>
      <c r="X612" s="406">
        <v>9604.119999999999</v>
      </c>
      <c r="Y612" s="425"/>
      <c r="Z612" s="71"/>
      <c r="AA612" s="408">
        <v>243.06</v>
      </c>
      <c r="AB612" s="410">
        <v>235.06</v>
      </c>
      <c r="AC612" s="412">
        <v>0</v>
      </c>
      <c r="AD612" s="428">
        <v>527.16999999999996</v>
      </c>
      <c r="AE612" s="429">
        <v>288.64999999999998</v>
      </c>
      <c r="AF612" s="429">
        <v>209.08999999999997</v>
      </c>
      <c r="AG612" s="369">
        <v>1014</v>
      </c>
      <c r="AH612" s="369">
        <v>1014</v>
      </c>
      <c r="AI612" s="369">
        <v>1014</v>
      </c>
      <c r="AJ612" s="369">
        <v>1014</v>
      </c>
      <c r="AK612" s="369">
        <v>1014</v>
      </c>
      <c r="AL612" s="369">
        <v>1014</v>
      </c>
      <c r="AM612" s="367">
        <f t="shared" si="31"/>
        <v>7587.03</v>
      </c>
      <c r="AN612" s="362">
        <f>ERP_2[[#This Row],[2026 Working Total]]-ERP_2[[#This Row],[LE2 Final Submission]]</f>
        <v>-2017.0899999999992</v>
      </c>
      <c r="AO612" s="227">
        <v>1014</v>
      </c>
      <c r="AP612" s="227">
        <f t="shared" si="32"/>
        <v>-804.91000000000008</v>
      </c>
      <c r="AQ612" s="374">
        <f>SUM(ERP_2[[#This Row],[AP01]:[AP06]])-SUM(ERP_2[[#This Row],[AP01 LE2]:[AP06 LE2]])</f>
        <v>-2017.09</v>
      </c>
      <c r="AR612" s="80"/>
      <c r="AS612" s="79">
        <f>ERP_2[[#This Row],[2026 Working Total to Budget/LE]]-ERP_2[[#This Row],[Giveback]]</f>
        <v>-2017.0899999999992</v>
      </c>
      <c r="AT612" s="81"/>
      <c r="AU612" s="375">
        <v>243.06</v>
      </c>
      <c r="AV612" s="375">
        <v>235.06</v>
      </c>
      <c r="AW612" s="375">
        <v>0</v>
      </c>
      <c r="AX612" s="375">
        <v>1014</v>
      </c>
      <c r="AY612" s="375">
        <v>1014</v>
      </c>
      <c r="AZ612" s="375">
        <v>1014</v>
      </c>
      <c r="BA612" s="375">
        <v>1014</v>
      </c>
      <c r="BB612" s="375">
        <v>1014</v>
      </c>
      <c r="BC612" s="375">
        <v>1014</v>
      </c>
      <c r="BD612" s="375">
        <v>1014</v>
      </c>
      <c r="BE612" s="375">
        <v>1014</v>
      </c>
      <c r="BF612" s="375">
        <v>1014</v>
      </c>
      <c r="BG612" s="375">
        <v>9604.119999999999</v>
      </c>
      <c r="BH612" s="227">
        <v>243.06</v>
      </c>
      <c r="BI612" s="227">
        <v>235.06</v>
      </c>
      <c r="BJ612" s="227">
        <v>0</v>
      </c>
      <c r="BK612" s="227">
        <v>1014</v>
      </c>
      <c r="BL612" s="227">
        <v>1014</v>
      </c>
      <c r="BM612" s="227">
        <v>1014</v>
      </c>
      <c r="BN612" s="227">
        <v>1014</v>
      </c>
      <c r="BO612" s="227">
        <v>1014</v>
      </c>
      <c r="BP612" s="227">
        <v>1014</v>
      </c>
      <c r="BQ612" s="227">
        <v>1014</v>
      </c>
      <c r="BR612" s="227">
        <v>1014</v>
      </c>
      <c r="BS612" s="227">
        <v>1014</v>
      </c>
      <c r="BT612" s="227">
        <v>9604.119999999999</v>
      </c>
    </row>
    <row r="613" spans="1:72" ht="15" customHeight="1">
      <c r="A613" s="215" t="s">
        <v>1865</v>
      </c>
      <c r="B613" s="215" t="s">
        <v>2953</v>
      </c>
      <c r="C613" s="215" t="s">
        <v>452</v>
      </c>
      <c r="D613" s="215" t="s">
        <v>1866</v>
      </c>
      <c r="E613" s="150" t="s">
        <v>1136</v>
      </c>
      <c r="F613" s="482" t="s">
        <v>1566</v>
      </c>
      <c r="G613" s="150" t="s">
        <v>1135</v>
      </c>
      <c r="H613" s="334" t="s">
        <v>1145</v>
      </c>
      <c r="I613" s="334" t="s">
        <v>1135</v>
      </c>
      <c r="J613" s="334" t="s">
        <v>1145</v>
      </c>
      <c r="K613" s="334" t="s">
        <v>1137</v>
      </c>
      <c r="L613" s="516" t="s">
        <v>389</v>
      </c>
      <c r="M613" s="398" t="s">
        <v>1863</v>
      </c>
      <c r="N613" s="343"/>
      <c r="O613" s="344"/>
      <c r="P613" s="580" t="s">
        <v>453</v>
      </c>
      <c r="Q613" s="349"/>
      <c r="R613" s="343"/>
      <c r="S613" s="349"/>
      <c r="T613" s="334" t="s">
        <v>57</v>
      </c>
      <c r="U613" s="354"/>
      <c r="V613" s="403"/>
      <c r="W613" s="406">
        <v>0</v>
      </c>
      <c r="X613" s="406">
        <v>81</v>
      </c>
      <c r="Y613" s="425"/>
      <c r="Z613" s="71"/>
      <c r="AA613" s="408">
        <v>1.65</v>
      </c>
      <c r="AB613" s="410">
        <v>76.819999999999993</v>
      </c>
      <c r="AC613" s="410">
        <v>2.5299999999999998</v>
      </c>
      <c r="AD613" s="428">
        <v>1008.71</v>
      </c>
      <c r="AE613" s="429">
        <v>1060.44</v>
      </c>
      <c r="AF613" s="429">
        <v>17.300000000000068</v>
      </c>
      <c r="AG613" s="368">
        <v>0</v>
      </c>
      <c r="AH613" s="368">
        <v>0</v>
      </c>
      <c r="AI613" s="368">
        <v>0</v>
      </c>
      <c r="AJ613" s="368">
        <v>0</v>
      </c>
      <c r="AK613" s="368">
        <v>0</v>
      </c>
      <c r="AL613" s="368">
        <v>0</v>
      </c>
      <c r="AM613" s="367">
        <f t="shared" si="31"/>
        <v>2167.4500000000003</v>
      </c>
      <c r="AN613" s="362">
        <f>ERP_2[[#This Row],[2026 Working Total]]-ERP_2[[#This Row],[LE2 Final Submission]]</f>
        <v>2086.4500000000003</v>
      </c>
      <c r="AO613" s="227">
        <v>0</v>
      </c>
      <c r="AP613" s="227">
        <f t="shared" si="32"/>
        <v>17.300000000000068</v>
      </c>
      <c r="AQ613" s="374">
        <f>SUM(ERP_2[[#This Row],[AP01]:[AP06]])-SUM(ERP_2[[#This Row],[AP01 LE2]:[AP06 LE2]])</f>
        <v>2086.4500000000003</v>
      </c>
      <c r="AR613" s="80"/>
      <c r="AS613" s="79">
        <f>ERP_2[[#This Row],[2026 Working Total to Budget/LE]]-ERP_2[[#This Row],[Giveback]]</f>
        <v>2086.4500000000003</v>
      </c>
      <c r="AT613" s="81"/>
      <c r="AU613" s="375">
        <v>1.65</v>
      </c>
      <c r="AV613" s="375">
        <v>76.819999999999993</v>
      </c>
      <c r="AW613" s="375">
        <v>2.5299999999999998</v>
      </c>
      <c r="AX613" s="375">
        <v>0</v>
      </c>
      <c r="AY613" s="375">
        <v>0</v>
      </c>
      <c r="AZ613" s="375">
        <v>0</v>
      </c>
      <c r="BA613" s="375">
        <v>0</v>
      </c>
      <c r="BB613" s="375">
        <v>0</v>
      </c>
      <c r="BC613" s="375">
        <v>0</v>
      </c>
      <c r="BD613" s="375">
        <v>0</v>
      </c>
      <c r="BE613" s="375">
        <v>0</v>
      </c>
      <c r="BF613" s="375">
        <v>0</v>
      </c>
      <c r="BG613" s="375">
        <v>81</v>
      </c>
      <c r="BH613" s="227">
        <v>1.65</v>
      </c>
      <c r="BI613" s="227">
        <v>76.819999999999993</v>
      </c>
      <c r="BJ613" s="227">
        <v>2.5299999999999998</v>
      </c>
      <c r="BK613" s="227">
        <v>0</v>
      </c>
      <c r="BL613" s="227">
        <v>0</v>
      </c>
      <c r="BM613" s="227">
        <v>0</v>
      </c>
      <c r="BN613" s="227">
        <v>0</v>
      </c>
      <c r="BO613" s="227">
        <v>0</v>
      </c>
      <c r="BP613" s="227">
        <v>0</v>
      </c>
      <c r="BQ613" s="227">
        <v>0</v>
      </c>
      <c r="BR613" s="227">
        <v>0</v>
      </c>
      <c r="BS613" s="227">
        <v>0</v>
      </c>
      <c r="BT613" s="227">
        <v>81</v>
      </c>
    </row>
    <row r="614" spans="1:72" ht="15" customHeight="1">
      <c r="A614" s="215" t="s">
        <v>1867</v>
      </c>
      <c r="B614" s="215" t="s">
        <v>2953</v>
      </c>
      <c r="C614" s="215" t="s">
        <v>452</v>
      </c>
      <c r="D614" s="215" t="s">
        <v>1868</v>
      </c>
      <c r="E614" s="150" t="s">
        <v>1136</v>
      </c>
      <c r="F614" s="482" t="s">
        <v>1566</v>
      </c>
      <c r="G614" s="150" t="s">
        <v>1135</v>
      </c>
      <c r="H614" s="334" t="s">
        <v>1165</v>
      </c>
      <c r="I614" s="334" t="s">
        <v>1135</v>
      </c>
      <c r="J614" s="334" t="s">
        <v>1165</v>
      </c>
      <c r="K614" s="334" t="s">
        <v>1137</v>
      </c>
      <c r="L614" s="516" t="s">
        <v>389</v>
      </c>
      <c r="M614" s="398" t="s">
        <v>1863</v>
      </c>
      <c r="N614" s="343"/>
      <c r="O614" s="344"/>
      <c r="P614" s="219" t="s">
        <v>453</v>
      </c>
      <c r="Q614" s="349"/>
      <c r="R614" s="343"/>
      <c r="S614" s="349"/>
      <c r="T614" s="334" t="s">
        <v>57</v>
      </c>
      <c r="U614" s="354"/>
      <c r="V614" s="403"/>
      <c r="W614" s="406">
        <v>14400</v>
      </c>
      <c r="X614" s="406">
        <v>11192.33</v>
      </c>
      <c r="Y614" s="425"/>
      <c r="Z614" s="71"/>
      <c r="AA614" s="408">
        <v>200.57</v>
      </c>
      <c r="AB614" s="410">
        <v>191.76</v>
      </c>
      <c r="AC614" s="412">
        <v>0</v>
      </c>
      <c r="AD614" s="428">
        <v>14.350000000000001</v>
      </c>
      <c r="AE614" s="429">
        <v>11.24</v>
      </c>
      <c r="AF614" s="429">
        <v>0</v>
      </c>
      <c r="AG614" s="369">
        <v>1200</v>
      </c>
      <c r="AH614" s="369">
        <v>1200</v>
      </c>
      <c r="AI614" s="369">
        <v>1200</v>
      </c>
      <c r="AJ614" s="369">
        <v>1200</v>
      </c>
      <c r="AK614" s="369">
        <v>1200</v>
      </c>
      <c r="AL614" s="369">
        <v>1200</v>
      </c>
      <c r="AM614" s="367">
        <f t="shared" si="31"/>
        <v>7617.92</v>
      </c>
      <c r="AN614" s="362">
        <f>ERP_2[[#This Row],[2026 Working Total]]-ERP_2[[#This Row],[LE2 Final Submission]]</f>
        <v>-3574.41</v>
      </c>
      <c r="AO614" s="227">
        <v>1200</v>
      </c>
      <c r="AP614" s="227">
        <f t="shared" si="32"/>
        <v>-1200</v>
      </c>
      <c r="AQ614" s="374">
        <f>SUM(ERP_2[[#This Row],[AP01]:[AP06]])-SUM(ERP_2[[#This Row],[AP01 LE2]:[AP06 LE2]])</f>
        <v>-3574.41</v>
      </c>
      <c r="AR614" s="80"/>
      <c r="AS614" s="79">
        <f>ERP_2[[#This Row],[2026 Working Total to Budget/LE]]-ERP_2[[#This Row],[Giveback]]</f>
        <v>-3574.41</v>
      </c>
      <c r="AT614" s="81"/>
      <c r="AU614" s="375">
        <v>200.57</v>
      </c>
      <c r="AV614" s="375">
        <v>191.76</v>
      </c>
      <c r="AW614" s="375">
        <v>0</v>
      </c>
      <c r="AX614" s="375">
        <v>1200</v>
      </c>
      <c r="AY614" s="375">
        <v>1200</v>
      </c>
      <c r="AZ614" s="375">
        <v>1200</v>
      </c>
      <c r="BA614" s="375">
        <v>1200</v>
      </c>
      <c r="BB614" s="375">
        <v>1200</v>
      </c>
      <c r="BC614" s="375">
        <v>1200</v>
      </c>
      <c r="BD614" s="375">
        <v>1200</v>
      </c>
      <c r="BE614" s="375">
        <v>1200</v>
      </c>
      <c r="BF614" s="375">
        <v>1200</v>
      </c>
      <c r="BG614" s="375">
        <v>11192.33</v>
      </c>
      <c r="BH614" s="227">
        <v>200.57</v>
      </c>
      <c r="BI614" s="227">
        <v>191.76</v>
      </c>
      <c r="BJ614" s="227">
        <v>0</v>
      </c>
      <c r="BK614" s="227">
        <v>1200</v>
      </c>
      <c r="BL614" s="227">
        <v>1200</v>
      </c>
      <c r="BM614" s="227">
        <v>1200</v>
      </c>
      <c r="BN614" s="227">
        <v>1200</v>
      </c>
      <c r="BO614" s="227">
        <v>1200</v>
      </c>
      <c r="BP614" s="227">
        <v>1200</v>
      </c>
      <c r="BQ614" s="227">
        <v>1200</v>
      </c>
      <c r="BR614" s="227">
        <v>1200</v>
      </c>
      <c r="BS614" s="227">
        <v>1200</v>
      </c>
      <c r="BT614" s="227">
        <v>11192.33</v>
      </c>
    </row>
    <row r="615" spans="1:72" ht="15" customHeight="1">
      <c r="A615" s="215" t="s">
        <v>1894</v>
      </c>
      <c r="B615" s="215" t="s">
        <v>2953</v>
      </c>
      <c r="C615" s="215" t="s">
        <v>464</v>
      </c>
      <c r="D615" s="215" t="s">
        <v>464</v>
      </c>
      <c r="E615" s="150" t="s">
        <v>1136</v>
      </c>
      <c r="F615" s="482" t="s">
        <v>1566</v>
      </c>
      <c r="G615" s="150" t="s">
        <v>1135</v>
      </c>
      <c r="H615" s="334" t="s">
        <v>1135</v>
      </c>
      <c r="I615" s="334" t="s">
        <v>1135</v>
      </c>
      <c r="J615" s="334" t="s">
        <v>1135</v>
      </c>
      <c r="K615" s="334" t="s">
        <v>1137</v>
      </c>
      <c r="L615" s="516" t="s">
        <v>389</v>
      </c>
      <c r="M615" s="398" t="s">
        <v>1703</v>
      </c>
      <c r="N615" s="343"/>
      <c r="O615" s="344"/>
      <c r="P615" s="219" t="s">
        <v>365</v>
      </c>
      <c r="Q615" s="349"/>
      <c r="R615" s="346" t="s">
        <v>1140</v>
      </c>
      <c r="S615" s="349"/>
      <c r="T615" s="334" t="s">
        <v>57</v>
      </c>
      <c r="U615" s="354"/>
      <c r="V615" s="403"/>
      <c r="W615" s="406">
        <v>0</v>
      </c>
      <c r="X615" s="406">
        <v>5151.76</v>
      </c>
      <c r="Y615" s="425"/>
      <c r="Z615" s="71"/>
      <c r="AA615" s="408">
        <v>1210.3599999999999</v>
      </c>
      <c r="AB615" s="410">
        <v>1569.34</v>
      </c>
      <c r="AC615" s="410">
        <v>2372.06</v>
      </c>
      <c r="AD615" s="428">
        <v>345.21</v>
      </c>
      <c r="AE615" s="429">
        <v>674.56</v>
      </c>
      <c r="AF615" s="429">
        <v>13726.56</v>
      </c>
      <c r="AG615" s="368">
        <v>0</v>
      </c>
      <c r="AH615" s="368">
        <v>0</v>
      </c>
      <c r="AI615" s="368">
        <v>0</v>
      </c>
      <c r="AJ615" s="368">
        <v>0</v>
      </c>
      <c r="AK615" s="368">
        <v>0</v>
      </c>
      <c r="AL615" s="368">
        <v>0</v>
      </c>
      <c r="AM615" s="367">
        <f t="shared" si="31"/>
        <v>19898.09</v>
      </c>
      <c r="AN615" s="362">
        <f>ERP_2[[#This Row],[2026 Working Total]]-ERP_2[[#This Row],[LE2 Final Submission]]</f>
        <v>14746.33</v>
      </c>
      <c r="AO615" s="227">
        <v>0</v>
      </c>
      <c r="AP615" s="227">
        <f t="shared" si="32"/>
        <v>13726.56</v>
      </c>
      <c r="AQ615" s="374">
        <f>SUM(ERP_2[[#This Row],[AP01]:[AP06]])-SUM(ERP_2[[#This Row],[AP01 LE2]:[AP06 LE2]])</f>
        <v>14746.33</v>
      </c>
      <c r="AR615" s="80"/>
      <c r="AS615" s="79">
        <f>ERP_2[[#This Row],[2026 Working Total to Budget/LE]]-ERP_2[[#This Row],[Giveback]]</f>
        <v>14746.33</v>
      </c>
      <c r="AT615" s="81"/>
      <c r="AU615" s="375">
        <v>1210.3599999999999</v>
      </c>
      <c r="AV615" s="375">
        <v>1569.34</v>
      </c>
      <c r="AW615" s="375">
        <v>2372.06</v>
      </c>
      <c r="AX615" s="375">
        <v>0</v>
      </c>
      <c r="AY615" s="375">
        <v>0</v>
      </c>
      <c r="AZ615" s="375">
        <v>0</v>
      </c>
      <c r="BA615" s="375">
        <v>0</v>
      </c>
      <c r="BB615" s="375">
        <v>0</v>
      </c>
      <c r="BC615" s="375">
        <v>0</v>
      </c>
      <c r="BD615" s="375">
        <v>0</v>
      </c>
      <c r="BE615" s="375">
        <v>0</v>
      </c>
      <c r="BF615" s="375">
        <v>0</v>
      </c>
      <c r="BG615" s="375">
        <v>5151.76</v>
      </c>
      <c r="BH615" s="227">
        <v>1210.3599999999999</v>
      </c>
      <c r="BI615" s="227">
        <v>1569.34</v>
      </c>
      <c r="BJ615" s="227">
        <v>2372.06</v>
      </c>
      <c r="BK615" s="227">
        <v>0</v>
      </c>
      <c r="BL615" s="227">
        <v>0</v>
      </c>
      <c r="BM615" s="227">
        <v>0</v>
      </c>
      <c r="BN615" s="227">
        <v>0</v>
      </c>
      <c r="BO615" s="227">
        <v>0</v>
      </c>
      <c r="BP615" s="227">
        <v>0</v>
      </c>
      <c r="BQ615" s="227">
        <v>0</v>
      </c>
      <c r="BR615" s="227">
        <v>0</v>
      </c>
      <c r="BS615" s="227">
        <v>0</v>
      </c>
      <c r="BT615" s="227">
        <v>5151.76</v>
      </c>
    </row>
    <row r="616" spans="1:72" ht="15" customHeight="1">
      <c r="A616" s="215" t="s">
        <v>1895</v>
      </c>
      <c r="B616" s="215" t="s">
        <v>2953</v>
      </c>
      <c r="C616" s="215" t="s">
        <v>464</v>
      </c>
      <c r="D616" s="215" t="s">
        <v>1896</v>
      </c>
      <c r="E616" s="150" t="s">
        <v>1136</v>
      </c>
      <c r="F616" s="482" t="s">
        <v>1566</v>
      </c>
      <c r="G616" s="150" t="s">
        <v>1135</v>
      </c>
      <c r="H616" s="334" t="s">
        <v>1135</v>
      </c>
      <c r="I616" s="334" t="s">
        <v>1135</v>
      </c>
      <c r="J616" s="334" t="s">
        <v>1137</v>
      </c>
      <c r="K616" s="334" t="s">
        <v>1137</v>
      </c>
      <c r="L616" s="516" t="s">
        <v>389</v>
      </c>
      <c r="M616" s="398" t="s">
        <v>1703</v>
      </c>
      <c r="N616" s="343"/>
      <c r="O616" s="344"/>
      <c r="P616" s="219" t="s">
        <v>365</v>
      </c>
      <c r="Q616" s="349"/>
      <c r="R616" s="346" t="s">
        <v>1140</v>
      </c>
      <c r="S616" s="349"/>
      <c r="T616" s="334" t="s">
        <v>57</v>
      </c>
      <c r="U616" s="525" t="s">
        <v>1141</v>
      </c>
      <c r="V616" s="403"/>
      <c r="W616" s="406">
        <v>3300</v>
      </c>
      <c r="X616" s="406">
        <v>1500</v>
      </c>
      <c r="Y616" s="425"/>
      <c r="Z616" s="71"/>
      <c r="AA616" s="408"/>
      <c r="AB616" s="410"/>
      <c r="AC616" s="410"/>
      <c r="AD616" s="428">
        <v>0</v>
      </c>
      <c r="AE616" s="429">
        <v>0</v>
      </c>
      <c r="AF616" s="429">
        <v>-1.6999999999999886</v>
      </c>
      <c r="AG616" s="369">
        <v>300</v>
      </c>
      <c r="AH616" s="369">
        <v>300</v>
      </c>
      <c r="AI616" s="368">
        <v>0</v>
      </c>
      <c r="AJ616" s="368">
        <v>0</v>
      </c>
      <c r="AK616" s="368">
        <v>0</v>
      </c>
      <c r="AL616" s="368">
        <v>0</v>
      </c>
      <c r="AM616" s="367">
        <f t="shared" si="31"/>
        <v>598.29999999999995</v>
      </c>
      <c r="AN616" s="362">
        <f>ERP_2[[#This Row],[2026 Working Total]]-ERP_2[[#This Row],[LE2 Final Submission]]</f>
        <v>-901.7</v>
      </c>
      <c r="AO616" s="227">
        <v>300</v>
      </c>
      <c r="AP616" s="227">
        <f t="shared" si="32"/>
        <v>-301.7</v>
      </c>
      <c r="AQ616" s="374">
        <f>SUM(ERP_2[[#This Row],[AP01]:[AP06]])-SUM(ERP_2[[#This Row],[AP01 LE2]:[AP06 LE2]])</f>
        <v>-901.7</v>
      </c>
      <c r="AR616" s="80"/>
      <c r="AS616" s="79">
        <f>ERP_2[[#This Row],[2026 Working Total to Budget/LE]]-ERP_2[[#This Row],[Giveback]]</f>
        <v>-901.7</v>
      </c>
      <c r="AT616" s="81"/>
      <c r="AU616" s="375"/>
      <c r="AV616" s="375"/>
      <c r="AW616" s="375"/>
      <c r="AX616" s="375">
        <v>300</v>
      </c>
      <c r="AY616" s="375">
        <v>300</v>
      </c>
      <c r="AZ616" s="375">
        <v>300</v>
      </c>
      <c r="BA616" s="375">
        <v>300</v>
      </c>
      <c r="BB616" s="375">
        <v>300</v>
      </c>
      <c r="BC616" s="375">
        <v>0</v>
      </c>
      <c r="BD616" s="375">
        <v>0</v>
      </c>
      <c r="BE616" s="375">
        <v>0</v>
      </c>
      <c r="BF616" s="375">
        <v>0</v>
      </c>
      <c r="BG616" s="375">
        <v>1500</v>
      </c>
      <c r="BH616" s="227"/>
      <c r="BI616" s="227"/>
      <c r="BJ616" s="227"/>
      <c r="BK616" s="227">
        <v>300</v>
      </c>
      <c r="BL616" s="227">
        <v>300</v>
      </c>
      <c r="BM616" s="227">
        <v>300</v>
      </c>
      <c r="BN616" s="227">
        <v>300</v>
      </c>
      <c r="BO616" s="227">
        <v>300</v>
      </c>
      <c r="BP616" s="227">
        <v>0</v>
      </c>
      <c r="BQ616" s="227">
        <v>0</v>
      </c>
      <c r="BR616" s="227">
        <v>0</v>
      </c>
      <c r="BS616" s="227">
        <v>0</v>
      </c>
      <c r="BT616" s="227">
        <v>1500</v>
      </c>
    </row>
    <row r="617" spans="1:72" ht="15" customHeight="1">
      <c r="A617" s="215" t="s">
        <v>1899</v>
      </c>
      <c r="B617" s="215" t="s">
        <v>2953</v>
      </c>
      <c r="C617" s="215" t="s">
        <v>464</v>
      </c>
      <c r="D617" s="215" t="s">
        <v>1900</v>
      </c>
      <c r="E617" s="150" t="s">
        <v>1136</v>
      </c>
      <c r="F617" s="482" t="s">
        <v>1566</v>
      </c>
      <c r="G617" s="150" t="s">
        <v>1135</v>
      </c>
      <c r="H617" s="334" t="s">
        <v>1165</v>
      </c>
      <c r="I617" s="334" t="s">
        <v>1135</v>
      </c>
      <c r="J617" s="334" t="s">
        <v>1165</v>
      </c>
      <c r="K617" s="334" t="s">
        <v>1137</v>
      </c>
      <c r="L617" s="516" t="s">
        <v>389</v>
      </c>
      <c r="M617" s="398" t="s">
        <v>1703</v>
      </c>
      <c r="N617" s="343"/>
      <c r="O617" s="344"/>
      <c r="P617" s="219" t="s">
        <v>365</v>
      </c>
      <c r="Q617" s="349"/>
      <c r="R617" s="346" t="s">
        <v>1140</v>
      </c>
      <c r="S617" s="349"/>
      <c r="T617" s="334" t="s">
        <v>57</v>
      </c>
      <c r="U617" s="354"/>
      <c r="V617" s="403"/>
      <c r="W617" s="406">
        <v>12000</v>
      </c>
      <c r="X617" s="406">
        <v>20372.89</v>
      </c>
      <c r="Y617" s="425"/>
      <c r="Z617" s="71"/>
      <c r="AA617" s="408">
        <v>3485.94</v>
      </c>
      <c r="AB617" s="410">
        <v>4743.4799999999996</v>
      </c>
      <c r="AC617" s="410">
        <v>3143.47</v>
      </c>
      <c r="AD617" s="428">
        <v>1703.44</v>
      </c>
      <c r="AE617" s="429">
        <v>1676.8800000000003</v>
      </c>
      <c r="AF617" s="429">
        <v>3062.17</v>
      </c>
      <c r="AG617" s="369">
        <v>1000</v>
      </c>
      <c r="AH617" s="369">
        <v>1000</v>
      </c>
      <c r="AI617" s="369">
        <v>1000</v>
      </c>
      <c r="AJ617" s="369">
        <v>1000</v>
      </c>
      <c r="AK617" s="369">
        <v>1000</v>
      </c>
      <c r="AL617" s="369">
        <v>1000</v>
      </c>
      <c r="AM617" s="367">
        <f t="shared" si="31"/>
        <v>23815.38</v>
      </c>
      <c r="AN617" s="362">
        <f>ERP_2[[#This Row],[2026 Working Total]]-ERP_2[[#This Row],[LE2 Final Submission]]</f>
        <v>3442.4900000000016</v>
      </c>
      <c r="AO617" s="227">
        <v>1000</v>
      </c>
      <c r="AP617" s="227">
        <f t="shared" si="32"/>
        <v>2062.17</v>
      </c>
      <c r="AQ617" s="374">
        <f>SUM(ERP_2[[#This Row],[AP01]:[AP06]])-SUM(ERP_2[[#This Row],[AP01 LE2]:[AP06 LE2]])</f>
        <v>3442.4900000000016</v>
      </c>
      <c r="AR617" s="80"/>
      <c r="AS617" s="79">
        <f>ERP_2[[#This Row],[2026 Working Total to Budget/LE]]-ERP_2[[#This Row],[Giveback]]</f>
        <v>3442.4900000000016</v>
      </c>
      <c r="AT617" s="81"/>
      <c r="AU617" s="375">
        <v>3485.94</v>
      </c>
      <c r="AV617" s="375">
        <v>4743.4799999999996</v>
      </c>
      <c r="AW617" s="375">
        <v>3143.47</v>
      </c>
      <c r="AX617" s="375">
        <v>1000</v>
      </c>
      <c r="AY617" s="375">
        <v>1000</v>
      </c>
      <c r="AZ617" s="375">
        <v>1000</v>
      </c>
      <c r="BA617" s="375">
        <v>1000</v>
      </c>
      <c r="BB617" s="375">
        <v>1000</v>
      </c>
      <c r="BC617" s="375">
        <v>1000</v>
      </c>
      <c r="BD617" s="375">
        <v>1000</v>
      </c>
      <c r="BE617" s="375">
        <v>1000</v>
      </c>
      <c r="BF617" s="375">
        <v>1000</v>
      </c>
      <c r="BG617" s="375">
        <v>20372.89</v>
      </c>
      <c r="BH617" s="227">
        <v>3485.94</v>
      </c>
      <c r="BI617" s="227">
        <v>4743.4799999999996</v>
      </c>
      <c r="BJ617" s="227">
        <v>3143.47</v>
      </c>
      <c r="BK617" s="227">
        <v>1000</v>
      </c>
      <c r="BL617" s="227">
        <v>1000</v>
      </c>
      <c r="BM617" s="227">
        <v>1000</v>
      </c>
      <c r="BN617" s="227">
        <v>1000</v>
      </c>
      <c r="BO617" s="227">
        <v>1000</v>
      </c>
      <c r="BP617" s="227">
        <v>1000</v>
      </c>
      <c r="BQ617" s="227">
        <v>1000</v>
      </c>
      <c r="BR617" s="227">
        <v>1000</v>
      </c>
      <c r="BS617" s="227">
        <v>1000</v>
      </c>
      <c r="BT617" s="227">
        <v>20372.89</v>
      </c>
    </row>
    <row r="618" spans="1:72" ht="15" customHeight="1">
      <c r="A618" s="215" t="s">
        <v>1903</v>
      </c>
      <c r="B618" s="215" t="s">
        <v>2953</v>
      </c>
      <c r="C618" s="215" t="s">
        <v>465</v>
      </c>
      <c r="D618" s="215" t="s">
        <v>1904</v>
      </c>
      <c r="E618" s="150" t="s">
        <v>1136</v>
      </c>
      <c r="F618" s="482" t="s">
        <v>1566</v>
      </c>
      <c r="G618" s="150" t="s">
        <v>1135</v>
      </c>
      <c r="H618" s="334" t="s">
        <v>1135</v>
      </c>
      <c r="I618" s="334" t="s">
        <v>1135</v>
      </c>
      <c r="J618" s="334" t="s">
        <v>1137</v>
      </c>
      <c r="K618" s="334" t="s">
        <v>1137</v>
      </c>
      <c r="L618" s="516" t="s">
        <v>389</v>
      </c>
      <c r="M618" s="398" t="s">
        <v>1855</v>
      </c>
      <c r="N618" s="343"/>
      <c r="O618" s="344"/>
      <c r="P618" s="219" t="s">
        <v>466</v>
      </c>
      <c r="Q618" s="349"/>
      <c r="R618" s="346" t="s">
        <v>1140</v>
      </c>
      <c r="S618" s="349"/>
      <c r="T618" s="334" t="s">
        <v>57</v>
      </c>
      <c r="U618" s="525" t="s">
        <v>1141</v>
      </c>
      <c r="V618" s="403"/>
      <c r="W618" s="406">
        <v>0</v>
      </c>
      <c r="X618" s="406">
        <v>12459.34</v>
      </c>
      <c r="Y618" s="425"/>
      <c r="Z618" s="71"/>
      <c r="AA618" s="408">
        <v>3067.29</v>
      </c>
      <c r="AB618" s="410">
        <v>2981.39</v>
      </c>
      <c r="AC618" s="410">
        <v>1910.66</v>
      </c>
      <c r="AD618" s="428">
        <v>1410.86</v>
      </c>
      <c r="AE618" s="429">
        <v>2830.8900000000003</v>
      </c>
      <c r="AF618" s="429">
        <v>2863</v>
      </c>
      <c r="AG618" s="369">
        <v>500</v>
      </c>
      <c r="AH618" s="369">
        <v>500</v>
      </c>
      <c r="AI618" s="369">
        <v>500</v>
      </c>
      <c r="AJ618" s="369">
        <v>500</v>
      </c>
      <c r="AK618" s="369">
        <v>500</v>
      </c>
      <c r="AL618" s="369">
        <v>500</v>
      </c>
      <c r="AM618" s="367">
        <f t="shared" si="31"/>
        <v>18064.09</v>
      </c>
      <c r="AN618" s="362">
        <f>ERP_2[[#This Row],[2026 Working Total]]-ERP_2[[#This Row],[LE2 Final Submission]]</f>
        <v>5604.75</v>
      </c>
      <c r="AO618" s="227">
        <v>500</v>
      </c>
      <c r="AP618" s="227">
        <f t="shared" si="32"/>
        <v>2363</v>
      </c>
      <c r="AQ618" s="374">
        <f>SUM(ERP_2[[#This Row],[AP01]:[AP06]])-SUM(ERP_2[[#This Row],[AP01 LE2]:[AP06 LE2]])</f>
        <v>5604.75</v>
      </c>
      <c r="AR618" s="80"/>
      <c r="AS618" s="79">
        <f>ERP_2[[#This Row],[2026 Working Total to Budget/LE]]-ERP_2[[#This Row],[Giveback]]</f>
        <v>5604.75</v>
      </c>
      <c r="AT618" s="81"/>
      <c r="AU618" s="375">
        <v>3067.29</v>
      </c>
      <c r="AV618" s="375">
        <v>2981.39</v>
      </c>
      <c r="AW618" s="375">
        <v>1910.66</v>
      </c>
      <c r="AX618" s="375">
        <v>500</v>
      </c>
      <c r="AY618" s="375">
        <v>500</v>
      </c>
      <c r="AZ618" s="375">
        <v>500</v>
      </c>
      <c r="BA618" s="375">
        <v>500</v>
      </c>
      <c r="BB618" s="375">
        <v>500</v>
      </c>
      <c r="BC618" s="375">
        <v>500</v>
      </c>
      <c r="BD618" s="375">
        <v>500</v>
      </c>
      <c r="BE618" s="375">
        <v>500</v>
      </c>
      <c r="BF618" s="375">
        <v>500</v>
      </c>
      <c r="BG618" s="375">
        <v>12459.34</v>
      </c>
      <c r="BH618" s="227">
        <v>3067.29</v>
      </c>
      <c r="BI618" s="227">
        <v>2981.39</v>
      </c>
      <c r="BJ618" s="227">
        <v>1910.66</v>
      </c>
      <c r="BK618" s="227">
        <v>500</v>
      </c>
      <c r="BL618" s="227">
        <v>500</v>
      </c>
      <c r="BM618" s="227">
        <v>500</v>
      </c>
      <c r="BN618" s="227">
        <v>500</v>
      </c>
      <c r="BO618" s="227">
        <v>500</v>
      </c>
      <c r="BP618" s="227">
        <v>500</v>
      </c>
      <c r="BQ618" s="227">
        <v>500</v>
      </c>
      <c r="BR618" s="227">
        <v>500</v>
      </c>
      <c r="BS618" s="227">
        <v>500</v>
      </c>
      <c r="BT618" s="227">
        <v>12459.34</v>
      </c>
    </row>
    <row r="619" spans="1:72" ht="15" customHeight="1">
      <c r="A619" s="215" t="s">
        <v>1906</v>
      </c>
      <c r="B619" s="215" t="s">
        <v>2953</v>
      </c>
      <c r="C619" s="215" t="s">
        <v>465</v>
      </c>
      <c r="D619" s="215" t="s">
        <v>1907</v>
      </c>
      <c r="E619" s="150" t="s">
        <v>1136</v>
      </c>
      <c r="F619" s="482" t="s">
        <v>1566</v>
      </c>
      <c r="G619" s="150" t="s">
        <v>1135</v>
      </c>
      <c r="H619" s="334" t="s">
        <v>1145</v>
      </c>
      <c r="I619" s="334" t="s">
        <v>1135</v>
      </c>
      <c r="J619" s="334" t="s">
        <v>1145</v>
      </c>
      <c r="K619" s="334" t="s">
        <v>1137</v>
      </c>
      <c r="L619" s="516" t="s">
        <v>389</v>
      </c>
      <c r="M619" s="398" t="s">
        <v>1855</v>
      </c>
      <c r="N619" s="343"/>
      <c r="O619" s="344"/>
      <c r="P619" s="219" t="s">
        <v>466</v>
      </c>
      <c r="Q619" s="349"/>
      <c r="R619" s="346" t="s">
        <v>1140</v>
      </c>
      <c r="S619" s="349"/>
      <c r="T619" s="334" t="s">
        <v>57</v>
      </c>
      <c r="U619" s="354"/>
      <c r="V619" s="403"/>
      <c r="W619" s="406">
        <v>42000</v>
      </c>
      <c r="X619" s="406">
        <v>31512</v>
      </c>
      <c r="Y619" s="425"/>
      <c r="Z619" s="71"/>
      <c r="AA619" s="408">
        <v>3202</v>
      </c>
      <c r="AB619" s="410">
        <v>2807</v>
      </c>
      <c r="AC619" s="410">
        <v>240</v>
      </c>
      <c r="AD619" s="428">
        <v>2458</v>
      </c>
      <c r="AE619" s="429">
        <v>2458</v>
      </c>
      <c r="AF619" s="429">
        <v>2786</v>
      </c>
      <c r="AG619" s="369">
        <v>2458</v>
      </c>
      <c r="AH619" s="369">
        <v>2458</v>
      </c>
      <c r="AI619" s="369">
        <v>2458</v>
      </c>
      <c r="AJ619" s="369">
        <v>2458</v>
      </c>
      <c r="AK619" s="369">
        <v>2458</v>
      </c>
      <c r="AL619" s="369">
        <v>2458</v>
      </c>
      <c r="AM619" s="367">
        <f t="shared" si="31"/>
        <v>28699</v>
      </c>
      <c r="AN619" s="362">
        <f>ERP_2[[#This Row],[2026 Working Total]]-ERP_2[[#This Row],[LE2 Final Submission]]</f>
        <v>-2813</v>
      </c>
      <c r="AO619" s="227">
        <v>2807</v>
      </c>
      <c r="AP619" s="227">
        <f t="shared" si="32"/>
        <v>-21</v>
      </c>
      <c r="AQ619" s="374">
        <f>SUM(ERP_2[[#This Row],[AP01]:[AP06]])-SUM(ERP_2[[#This Row],[AP01 LE2]:[AP06 LE2]])</f>
        <v>-719</v>
      </c>
      <c r="AR619" s="80"/>
      <c r="AS619" s="79">
        <f>ERP_2[[#This Row],[2026 Working Total to Budget/LE]]-ERP_2[[#This Row],[Giveback]]</f>
        <v>-2813</v>
      </c>
      <c r="AT619" s="81"/>
      <c r="AU619" s="375">
        <v>3202</v>
      </c>
      <c r="AV619" s="375">
        <v>2807</v>
      </c>
      <c r="AW619" s="375">
        <v>240</v>
      </c>
      <c r="AX619" s="375">
        <v>2807</v>
      </c>
      <c r="AY619" s="375">
        <v>2807</v>
      </c>
      <c r="AZ619" s="375">
        <v>2807</v>
      </c>
      <c r="BA619" s="375">
        <v>2807</v>
      </c>
      <c r="BB619" s="375">
        <v>2807</v>
      </c>
      <c r="BC619" s="375">
        <v>2807</v>
      </c>
      <c r="BD619" s="375">
        <v>2807</v>
      </c>
      <c r="BE619" s="375">
        <v>2807</v>
      </c>
      <c r="BF619" s="375">
        <v>2807</v>
      </c>
      <c r="BG619" s="375">
        <v>31512</v>
      </c>
      <c r="BH619" s="227">
        <v>3202</v>
      </c>
      <c r="BI619" s="227">
        <v>2807</v>
      </c>
      <c r="BJ619" s="227">
        <v>240</v>
      </c>
      <c r="BK619" s="227">
        <v>2807</v>
      </c>
      <c r="BL619" s="227">
        <v>2807</v>
      </c>
      <c r="BM619" s="227">
        <v>2807</v>
      </c>
      <c r="BN619" s="227">
        <v>2807</v>
      </c>
      <c r="BO619" s="227">
        <v>2807</v>
      </c>
      <c r="BP619" s="227">
        <v>2807</v>
      </c>
      <c r="BQ619" s="227">
        <v>2807</v>
      </c>
      <c r="BR619" s="227">
        <v>2807</v>
      </c>
      <c r="BS619" s="227">
        <v>2807</v>
      </c>
      <c r="BT619" s="227">
        <v>31512</v>
      </c>
    </row>
    <row r="620" spans="1:72" ht="15" customHeight="1">
      <c r="A620" s="215" t="s">
        <v>1908</v>
      </c>
      <c r="B620" s="215" t="s">
        <v>2953</v>
      </c>
      <c r="C620" s="215" t="s">
        <v>465</v>
      </c>
      <c r="D620" s="215" t="s">
        <v>1909</v>
      </c>
      <c r="E620" s="150" t="s">
        <v>1136</v>
      </c>
      <c r="F620" s="482" t="s">
        <v>1566</v>
      </c>
      <c r="G620" s="150" t="s">
        <v>1135</v>
      </c>
      <c r="H620" s="334" t="s">
        <v>1156</v>
      </c>
      <c r="I620" s="334" t="s">
        <v>1135</v>
      </c>
      <c r="J620" s="334" t="s">
        <v>1156</v>
      </c>
      <c r="K620" s="334" t="s">
        <v>1137</v>
      </c>
      <c r="L620" s="516" t="s">
        <v>389</v>
      </c>
      <c r="M620" s="398" t="s">
        <v>1855</v>
      </c>
      <c r="N620" s="343"/>
      <c r="O620" s="344"/>
      <c r="P620" s="219" t="s">
        <v>466</v>
      </c>
      <c r="Q620" s="349"/>
      <c r="R620" s="346" t="s">
        <v>1140</v>
      </c>
      <c r="S620" s="349"/>
      <c r="T620" s="334" t="s">
        <v>57</v>
      </c>
      <c r="U620" s="354"/>
      <c r="V620" s="403"/>
      <c r="W620" s="406">
        <v>0</v>
      </c>
      <c r="X620" s="406">
        <v>3535</v>
      </c>
      <c r="Y620" s="425"/>
      <c r="Z620" s="71"/>
      <c r="AA620" s="408">
        <v>60</v>
      </c>
      <c r="AB620" s="412">
        <v>0</v>
      </c>
      <c r="AC620" s="410">
        <v>3475</v>
      </c>
      <c r="AD620" s="428">
        <v>0</v>
      </c>
      <c r="AE620" s="429">
        <v>0</v>
      </c>
      <c r="AF620" s="429">
        <v>0</v>
      </c>
      <c r="AG620" s="368">
        <v>0</v>
      </c>
      <c r="AH620" s="368">
        <v>0</v>
      </c>
      <c r="AI620" s="368">
        <v>0</v>
      </c>
      <c r="AJ620" s="368">
        <v>0</v>
      </c>
      <c r="AK620" s="368">
        <v>0</v>
      </c>
      <c r="AL620" s="368">
        <v>0</v>
      </c>
      <c r="AM620" s="367">
        <f t="shared" si="31"/>
        <v>3535</v>
      </c>
      <c r="AN620" s="362">
        <f>ERP_2[[#This Row],[2026 Working Total]]-ERP_2[[#This Row],[LE2 Final Submission]]</f>
        <v>0</v>
      </c>
      <c r="AO620" s="227">
        <v>0</v>
      </c>
      <c r="AP620" s="227">
        <f t="shared" si="32"/>
        <v>0</v>
      </c>
      <c r="AQ620" s="374">
        <f>SUM(ERP_2[[#This Row],[AP01]:[AP06]])-SUM(ERP_2[[#This Row],[AP01 LE2]:[AP06 LE2]])</f>
        <v>0</v>
      </c>
      <c r="AR620" s="80"/>
      <c r="AS620" s="79">
        <f>ERP_2[[#This Row],[2026 Working Total to Budget/LE]]-ERP_2[[#This Row],[Giveback]]</f>
        <v>0</v>
      </c>
      <c r="AT620" s="81"/>
      <c r="AU620" s="375">
        <v>60</v>
      </c>
      <c r="AV620" s="375">
        <v>0</v>
      </c>
      <c r="AW620" s="375">
        <v>3475</v>
      </c>
      <c r="AX620" s="375">
        <v>0</v>
      </c>
      <c r="AY620" s="375">
        <v>0</v>
      </c>
      <c r="AZ620" s="375">
        <v>0</v>
      </c>
      <c r="BA620" s="375">
        <v>0</v>
      </c>
      <c r="BB620" s="375">
        <v>0</v>
      </c>
      <c r="BC620" s="375">
        <v>0</v>
      </c>
      <c r="BD620" s="375">
        <v>0</v>
      </c>
      <c r="BE620" s="375">
        <v>0</v>
      </c>
      <c r="BF620" s="375">
        <v>0</v>
      </c>
      <c r="BG620" s="375">
        <v>3535</v>
      </c>
      <c r="BH620" s="227">
        <v>60</v>
      </c>
      <c r="BI620" s="227">
        <v>0</v>
      </c>
      <c r="BJ620" s="227">
        <v>3475</v>
      </c>
      <c r="BK620" s="227">
        <v>0</v>
      </c>
      <c r="BL620" s="227">
        <v>0</v>
      </c>
      <c r="BM620" s="227">
        <v>0</v>
      </c>
      <c r="BN620" s="227">
        <v>0</v>
      </c>
      <c r="BO620" s="227">
        <v>0</v>
      </c>
      <c r="BP620" s="227">
        <v>0</v>
      </c>
      <c r="BQ620" s="227">
        <v>0</v>
      </c>
      <c r="BR620" s="227">
        <v>0</v>
      </c>
      <c r="BS620" s="227">
        <v>0</v>
      </c>
      <c r="BT620" s="227">
        <v>3535</v>
      </c>
    </row>
    <row r="621" spans="1:72" ht="15" customHeight="1">
      <c r="A621" s="215" t="s">
        <v>1910</v>
      </c>
      <c r="B621" s="215" t="s">
        <v>2953</v>
      </c>
      <c r="C621" s="215" t="s">
        <v>465</v>
      </c>
      <c r="D621" s="215" t="s">
        <v>1911</v>
      </c>
      <c r="E621" s="150" t="s">
        <v>1136</v>
      </c>
      <c r="F621" s="482" t="s">
        <v>1566</v>
      </c>
      <c r="G621" s="150" t="s">
        <v>1135</v>
      </c>
      <c r="H621" s="334" t="s">
        <v>1161</v>
      </c>
      <c r="I621" s="334" t="s">
        <v>1135</v>
      </c>
      <c r="J621" s="334" t="s">
        <v>1161</v>
      </c>
      <c r="K621" s="334" t="s">
        <v>1137</v>
      </c>
      <c r="L621" s="516" t="s">
        <v>389</v>
      </c>
      <c r="M621" s="398" t="s">
        <v>1855</v>
      </c>
      <c r="N621" s="343"/>
      <c r="O621" s="344"/>
      <c r="P621" s="219" t="s">
        <v>466</v>
      </c>
      <c r="Q621" s="349"/>
      <c r="R621" s="346" t="s">
        <v>1140</v>
      </c>
      <c r="S621" s="349"/>
      <c r="T621" s="334" t="s">
        <v>57</v>
      </c>
      <c r="U621" s="354"/>
      <c r="V621" s="403"/>
      <c r="W621" s="406">
        <v>0</v>
      </c>
      <c r="X621" s="406">
        <v>1245</v>
      </c>
      <c r="Y621" s="425"/>
      <c r="Z621" s="71"/>
      <c r="AA621" s="408"/>
      <c r="AB621" s="410"/>
      <c r="AC621" s="410">
        <v>1245</v>
      </c>
      <c r="AD621" s="428">
        <v>0</v>
      </c>
      <c r="AE621" s="429">
        <v>0</v>
      </c>
      <c r="AF621" s="429">
        <v>0</v>
      </c>
      <c r="AG621" s="368">
        <v>0</v>
      </c>
      <c r="AH621" s="368">
        <v>0</v>
      </c>
      <c r="AI621" s="368">
        <v>0</v>
      </c>
      <c r="AJ621" s="368">
        <v>0</v>
      </c>
      <c r="AK621" s="368">
        <v>0</v>
      </c>
      <c r="AL621" s="368">
        <v>0</v>
      </c>
      <c r="AM621" s="367">
        <f t="shared" si="31"/>
        <v>1245</v>
      </c>
      <c r="AN621" s="362">
        <f>ERP_2[[#This Row],[2026 Working Total]]-ERP_2[[#This Row],[LE2 Final Submission]]</f>
        <v>0</v>
      </c>
      <c r="AO621" s="227">
        <v>0</v>
      </c>
      <c r="AP621" s="227">
        <f t="shared" si="32"/>
        <v>0</v>
      </c>
      <c r="AQ621" s="374">
        <f>SUM(ERP_2[[#This Row],[AP01]:[AP06]])-SUM(ERP_2[[#This Row],[AP01 LE2]:[AP06 LE2]])</f>
        <v>0</v>
      </c>
      <c r="AR621" s="80"/>
      <c r="AS621" s="79">
        <f>ERP_2[[#This Row],[2026 Working Total to Budget/LE]]-ERP_2[[#This Row],[Giveback]]</f>
        <v>0</v>
      </c>
      <c r="AT621" s="81"/>
      <c r="AU621" s="375"/>
      <c r="AV621" s="375"/>
      <c r="AW621" s="375">
        <v>1245</v>
      </c>
      <c r="AX621" s="375">
        <v>0</v>
      </c>
      <c r="AY621" s="375">
        <v>0</v>
      </c>
      <c r="AZ621" s="375">
        <v>0</v>
      </c>
      <c r="BA621" s="375">
        <v>0</v>
      </c>
      <c r="BB621" s="375">
        <v>0</v>
      </c>
      <c r="BC621" s="375">
        <v>0</v>
      </c>
      <c r="BD621" s="375">
        <v>0</v>
      </c>
      <c r="BE621" s="375">
        <v>0</v>
      </c>
      <c r="BF621" s="375">
        <v>0</v>
      </c>
      <c r="BG621" s="375">
        <v>1245</v>
      </c>
      <c r="BH621" s="227"/>
      <c r="BI621" s="227"/>
      <c r="BJ621" s="227">
        <v>1245</v>
      </c>
      <c r="BK621" s="227">
        <v>0</v>
      </c>
      <c r="BL621" s="227">
        <v>0</v>
      </c>
      <c r="BM621" s="227">
        <v>0</v>
      </c>
      <c r="BN621" s="227">
        <v>0</v>
      </c>
      <c r="BO621" s="227">
        <v>0</v>
      </c>
      <c r="BP621" s="227">
        <v>0</v>
      </c>
      <c r="BQ621" s="227">
        <v>0</v>
      </c>
      <c r="BR621" s="227">
        <v>0</v>
      </c>
      <c r="BS621" s="227">
        <v>0</v>
      </c>
      <c r="BT621" s="227">
        <v>1245</v>
      </c>
    </row>
    <row r="622" spans="1:72" ht="15" customHeight="1">
      <c r="A622" s="215" t="s">
        <v>1912</v>
      </c>
      <c r="B622" s="215" t="s">
        <v>2953</v>
      </c>
      <c r="C622" s="215" t="s">
        <v>465</v>
      </c>
      <c r="D622" s="215" t="s">
        <v>1913</v>
      </c>
      <c r="E622" s="150" t="s">
        <v>1136</v>
      </c>
      <c r="F622" s="482" t="s">
        <v>1566</v>
      </c>
      <c r="G622" s="150" t="s">
        <v>1135</v>
      </c>
      <c r="H622" s="334" t="s">
        <v>1165</v>
      </c>
      <c r="I622" s="334" t="s">
        <v>1135</v>
      </c>
      <c r="J622" s="334" t="s">
        <v>1165</v>
      </c>
      <c r="K622" s="334" t="s">
        <v>1137</v>
      </c>
      <c r="L622" s="516" t="s">
        <v>389</v>
      </c>
      <c r="M622" s="398" t="s">
        <v>1855</v>
      </c>
      <c r="N622" s="343"/>
      <c r="O622" s="344"/>
      <c r="P622" s="219" t="s">
        <v>466</v>
      </c>
      <c r="Q622" s="349"/>
      <c r="R622" s="346" t="s">
        <v>1140</v>
      </c>
      <c r="S622" s="349"/>
      <c r="T622" s="334" t="s">
        <v>57</v>
      </c>
      <c r="U622" s="354"/>
      <c r="V622" s="403"/>
      <c r="W622" s="406">
        <v>120000</v>
      </c>
      <c r="X622" s="406">
        <v>114396</v>
      </c>
      <c r="Y622" s="425"/>
      <c r="Z622" s="71"/>
      <c r="AA622" s="408">
        <v>8661</v>
      </c>
      <c r="AB622" s="410">
        <v>6471</v>
      </c>
      <c r="AC622" s="410">
        <v>9264</v>
      </c>
      <c r="AD622" s="428">
        <v>5219</v>
      </c>
      <c r="AE622" s="429">
        <v>5092</v>
      </c>
      <c r="AF622" s="429">
        <v>6559</v>
      </c>
      <c r="AG622" s="369">
        <v>10000</v>
      </c>
      <c r="AH622" s="369">
        <v>10000</v>
      </c>
      <c r="AI622" s="369">
        <v>10000</v>
      </c>
      <c r="AJ622" s="369">
        <v>10000</v>
      </c>
      <c r="AK622" s="369">
        <v>10000</v>
      </c>
      <c r="AL622" s="369">
        <v>10000</v>
      </c>
      <c r="AM622" s="367">
        <f t="shared" si="31"/>
        <v>101266</v>
      </c>
      <c r="AN622" s="362">
        <f>ERP_2[[#This Row],[2026 Working Total]]-ERP_2[[#This Row],[LE2 Final Submission]]</f>
        <v>-13130</v>
      </c>
      <c r="AO622" s="227">
        <v>10000</v>
      </c>
      <c r="AP622" s="227">
        <f t="shared" si="32"/>
        <v>-3441</v>
      </c>
      <c r="AQ622" s="374">
        <f>SUM(ERP_2[[#This Row],[AP01]:[AP06]])-SUM(ERP_2[[#This Row],[AP01 LE2]:[AP06 LE2]])</f>
        <v>-13130</v>
      </c>
      <c r="AR622" s="80"/>
      <c r="AS622" s="79">
        <f>ERP_2[[#This Row],[2026 Working Total to Budget/LE]]-ERP_2[[#This Row],[Giveback]]</f>
        <v>-13130</v>
      </c>
      <c r="AT622" s="81"/>
      <c r="AU622" s="375">
        <v>8661</v>
      </c>
      <c r="AV622" s="375">
        <v>6471</v>
      </c>
      <c r="AW622" s="375">
        <v>9264</v>
      </c>
      <c r="AX622" s="375">
        <v>10000</v>
      </c>
      <c r="AY622" s="375">
        <v>10000</v>
      </c>
      <c r="AZ622" s="375">
        <v>10000</v>
      </c>
      <c r="BA622" s="375">
        <v>10000</v>
      </c>
      <c r="BB622" s="375">
        <v>10000</v>
      </c>
      <c r="BC622" s="375">
        <v>10000</v>
      </c>
      <c r="BD622" s="375">
        <v>10000</v>
      </c>
      <c r="BE622" s="375">
        <v>10000</v>
      </c>
      <c r="BF622" s="375">
        <v>10000</v>
      </c>
      <c r="BG622" s="375">
        <v>114396</v>
      </c>
      <c r="BH622" s="227">
        <v>8661</v>
      </c>
      <c r="BI622" s="227">
        <v>6471</v>
      </c>
      <c r="BJ622" s="227">
        <v>9264</v>
      </c>
      <c r="BK622" s="227">
        <v>10000</v>
      </c>
      <c r="BL622" s="227">
        <v>10000</v>
      </c>
      <c r="BM622" s="227">
        <v>10000</v>
      </c>
      <c r="BN622" s="227">
        <v>10000</v>
      </c>
      <c r="BO622" s="227">
        <v>10000</v>
      </c>
      <c r="BP622" s="227">
        <v>10000</v>
      </c>
      <c r="BQ622" s="227">
        <v>10000</v>
      </c>
      <c r="BR622" s="227">
        <v>10000</v>
      </c>
      <c r="BS622" s="227">
        <v>10000</v>
      </c>
      <c r="BT622" s="227">
        <v>114396</v>
      </c>
    </row>
    <row r="623" spans="1:72" ht="15" customHeight="1">
      <c r="A623" s="215" t="s">
        <v>1948</v>
      </c>
      <c r="B623" s="215" t="s">
        <v>2953</v>
      </c>
      <c r="C623" s="215" t="s">
        <v>485</v>
      </c>
      <c r="D623" s="215" t="s">
        <v>1949</v>
      </c>
      <c r="E623" s="150" t="s">
        <v>1136</v>
      </c>
      <c r="F623" s="482" t="s">
        <v>1566</v>
      </c>
      <c r="G623" s="150" t="s">
        <v>1135</v>
      </c>
      <c r="H623" s="334" t="s">
        <v>1145</v>
      </c>
      <c r="I623" s="334" t="s">
        <v>1135</v>
      </c>
      <c r="J623" s="334" t="s">
        <v>1145</v>
      </c>
      <c r="K623" s="334" t="s">
        <v>1137</v>
      </c>
      <c r="L623" s="516" t="s">
        <v>389</v>
      </c>
      <c r="M623" s="398" t="s">
        <v>1947</v>
      </c>
      <c r="N623" s="343"/>
      <c r="O623" s="344"/>
      <c r="P623" s="219" t="s">
        <v>486</v>
      </c>
      <c r="Q623" s="349" t="s">
        <v>1153</v>
      </c>
      <c r="R623" s="343"/>
      <c r="S623" s="349"/>
      <c r="T623" s="334" t="s">
        <v>487</v>
      </c>
      <c r="U623" s="354"/>
      <c r="V623" s="404"/>
      <c r="W623" s="407">
        <v>0</v>
      </c>
      <c r="X623" s="407">
        <v>0</v>
      </c>
      <c r="Y623" s="425"/>
      <c r="Z623" s="71"/>
      <c r="AA623" s="408"/>
      <c r="AB623" s="410">
        <v>-68030</v>
      </c>
      <c r="AC623" s="410">
        <v>68030</v>
      </c>
      <c r="AD623" s="428">
        <v>0</v>
      </c>
      <c r="AE623" s="429">
        <v>0</v>
      </c>
      <c r="AF623" s="429">
        <v>0</v>
      </c>
      <c r="AG623" s="369"/>
      <c r="AH623" s="369"/>
      <c r="AI623" s="369"/>
      <c r="AJ623" s="369"/>
      <c r="AK623" s="369"/>
      <c r="AL623" s="369"/>
      <c r="AM623" s="367">
        <f t="shared" si="31"/>
        <v>0</v>
      </c>
      <c r="AN623" s="362">
        <f>ERP_2[[#This Row],[2026 Working Total]]-ERP_2[[#This Row],[LE2 Final Submission]]</f>
        <v>0</v>
      </c>
      <c r="AO623" s="227"/>
      <c r="AP623" s="227">
        <f t="shared" si="32"/>
        <v>0</v>
      </c>
      <c r="AQ623" s="374">
        <f>SUM(ERP_2[[#This Row],[AP01]:[AP06]])-SUM(ERP_2[[#This Row],[AP01 LE2]:[AP06 LE2]])</f>
        <v>0</v>
      </c>
      <c r="AR623" s="80"/>
      <c r="AS623" s="79">
        <f>ERP_2[[#This Row],[2026 Working Total to Budget/LE]]-ERP_2[[#This Row],[Giveback]]</f>
        <v>0</v>
      </c>
      <c r="AT623" s="81"/>
      <c r="AU623" s="375"/>
      <c r="AV623" s="375">
        <v>-68030</v>
      </c>
      <c r="AW623" s="375">
        <v>68030</v>
      </c>
      <c r="AX623" s="375"/>
      <c r="AY623" s="375"/>
      <c r="AZ623" s="375"/>
      <c r="BA623" s="375"/>
      <c r="BB623" s="375"/>
      <c r="BC623" s="375"/>
      <c r="BD623" s="375"/>
      <c r="BE623" s="375"/>
      <c r="BF623" s="375"/>
      <c r="BG623" s="375">
        <v>0</v>
      </c>
      <c r="BH623" s="227"/>
      <c r="BI623" s="227">
        <v>-68030</v>
      </c>
      <c r="BJ623" s="227">
        <v>68030</v>
      </c>
      <c r="BK623" s="227"/>
      <c r="BL623" s="227"/>
      <c r="BM623" s="227"/>
      <c r="BN623" s="227"/>
      <c r="BO623" s="227"/>
      <c r="BP623" s="227"/>
      <c r="BQ623" s="227"/>
      <c r="BR623" s="227"/>
      <c r="BS623" s="227"/>
      <c r="BT623" s="227">
        <v>0</v>
      </c>
    </row>
    <row r="624" spans="1:72" ht="15" customHeight="1">
      <c r="A624" s="215" t="s">
        <v>1953</v>
      </c>
      <c r="B624" s="215" t="s">
        <v>2953</v>
      </c>
      <c r="C624" s="215" t="s">
        <v>491</v>
      </c>
      <c r="D624" s="215" t="s">
        <v>491</v>
      </c>
      <c r="E624" s="150" t="s">
        <v>1136</v>
      </c>
      <c r="F624" s="482" t="s">
        <v>1566</v>
      </c>
      <c r="G624" s="150" t="s">
        <v>1135</v>
      </c>
      <c r="H624" s="334" t="s">
        <v>1135</v>
      </c>
      <c r="I624" s="334" t="s">
        <v>1135</v>
      </c>
      <c r="J624" s="334" t="s">
        <v>1135</v>
      </c>
      <c r="K624" s="334" t="s">
        <v>1137</v>
      </c>
      <c r="L624" s="516" t="s">
        <v>389</v>
      </c>
      <c r="M624" s="398" t="s">
        <v>1327</v>
      </c>
      <c r="N624" s="343"/>
      <c r="O624" s="344"/>
      <c r="P624" s="219" t="s">
        <v>147</v>
      </c>
      <c r="Q624" s="349"/>
      <c r="R624" s="343"/>
      <c r="S624" s="349"/>
      <c r="T624" s="334" t="s">
        <v>25</v>
      </c>
      <c r="U624" s="354"/>
      <c r="V624" s="403"/>
      <c r="W624" s="406">
        <v>0</v>
      </c>
      <c r="X624" s="406">
        <v>0.03</v>
      </c>
      <c r="Y624" s="430"/>
      <c r="Z624" s="137"/>
      <c r="AA624" s="408">
        <v>7.0000000000000007E-2</v>
      </c>
      <c r="AB624" s="410">
        <v>-0.2</v>
      </c>
      <c r="AC624" s="410">
        <v>0.16</v>
      </c>
      <c r="AD624" s="428">
        <v>-0.28999999999999998</v>
      </c>
      <c r="AE624" s="429">
        <v>71439.95</v>
      </c>
      <c r="AF624" s="429">
        <v>1.9999999999999997E-2</v>
      </c>
      <c r="AG624" s="368">
        <v>0</v>
      </c>
      <c r="AH624" s="368">
        <v>0</v>
      </c>
      <c r="AI624" s="368">
        <v>0</v>
      </c>
      <c r="AJ624" s="368">
        <v>0</v>
      </c>
      <c r="AK624" s="368">
        <v>0</v>
      </c>
      <c r="AL624" s="368">
        <v>0</v>
      </c>
      <c r="AM624" s="367">
        <f t="shared" si="31"/>
        <v>71439.710000000006</v>
      </c>
      <c r="AN624" s="362">
        <f>ERP_2[[#This Row],[2026 Working Total]]-ERP_2[[#This Row],[LE2 Final Submission]]</f>
        <v>71439.680000000008</v>
      </c>
      <c r="AO624" s="227">
        <v>0</v>
      </c>
      <c r="AP624" s="227">
        <f t="shared" si="32"/>
        <v>1.9999999999999997E-2</v>
      </c>
      <c r="AQ624" s="374">
        <f>SUM(ERP_2[[#This Row],[AP01]:[AP06]])-SUM(ERP_2[[#This Row],[AP01 LE2]:[AP06 LE2]])</f>
        <v>71439.680000000008</v>
      </c>
      <c r="AR624" s="80"/>
      <c r="AS624" s="79">
        <f>ERP_2[[#This Row],[2026 Working Total to Budget/LE]]-ERP_2[[#This Row],[Giveback]]</f>
        <v>71439.680000000008</v>
      </c>
      <c r="AT624" s="81"/>
      <c r="AU624" s="375">
        <v>7.0000000000000007E-2</v>
      </c>
      <c r="AV624" s="375">
        <v>-0.2</v>
      </c>
      <c r="AW624" s="375">
        <v>0.16</v>
      </c>
      <c r="AX624" s="375">
        <v>0</v>
      </c>
      <c r="AY624" s="375">
        <v>0</v>
      </c>
      <c r="AZ624" s="375">
        <v>0</v>
      </c>
      <c r="BA624" s="375">
        <v>0</v>
      </c>
      <c r="BB624" s="375">
        <v>0</v>
      </c>
      <c r="BC624" s="375">
        <v>0</v>
      </c>
      <c r="BD624" s="375">
        <v>0</v>
      </c>
      <c r="BE624" s="375">
        <v>0</v>
      </c>
      <c r="BF624" s="375">
        <v>0</v>
      </c>
      <c r="BG624" s="375">
        <v>0.03</v>
      </c>
      <c r="BH624" s="227">
        <v>7.0000000000000007E-2</v>
      </c>
      <c r="BI624" s="227">
        <v>-0.2</v>
      </c>
      <c r="BJ624" s="227">
        <v>0.16</v>
      </c>
      <c r="BK624" s="227">
        <v>0</v>
      </c>
      <c r="BL624" s="227">
        <v>0</v>
      </c>
      <c r="BM624" s="227">
        <v>0</v>
      </c>
      <c r="BN624" s="227">
        <v>0</v>
      </c>
      <c r="BO624" s="227">
        <v>0</v>
      </c>
      <c r="BP624" s="227">
        <v>0</v>
      </c>
      <c r="BQ624" s="227">
        <v>0</v>
      </c>
      <c r="BR624" s="227">
        <v>0</v>
      </c>
      <c r="BS624" s="227">
        <v>0</v>
      </c>
      <c r="BT624" s="227">
        <v>0.03</v>
      </c>
    </row>
    <row r="625" spans="1:72" ht="15" customHeight="1">
      <c r="A625" s="215" t="s">
        <v>1954</v>
      </c>
      <c r="B625" s="215" t="s">
        <v>2953</v>
      </c>
      <c r="C625" s="215" t="s">
        <v>491</v>
      </c>
      <c r="D625" s="215" t="s">
        <v>1955</v>
      </c>
      <c r="E625" s="150" t="s">
        <v>1136</v>
      </c>
      <c r="F625" s="482" t="s">
        <v>1566</v>
      </c>
      <c r="G625" s="150" t="s">
        <v>1135</v>
      </c>
      <c r="H625" s="334" t="s">
        <v>1135</v>
      </c>
      <c r="I625" s="334" t="s">
        <v>1135</v>
      </c>
      <c r="J625" s="334" t="s">
        <v>1137</v>
      </c>
      <c r="K625" s="334" t="s">
        <v>1137</v>
      </c>
      <c r="L625" s="516" t="s">
        <v>389</v>
      </c>
      <c r="M625" s="398" t="s">
        <v>1327</v>
      </c>
      <c r="N625" s="343"/>
      <c r="O625" s="344"/>
      <c r="P625" s="219" t="s">
        <v>147</v>
      </c>
      <c r="Q625" s="349"/>
      <c r="R625" s="343"/>
      <c r="S625" s="349"/>
      <c r="T625" s="334" t="s">
        <v>25</v>
      </c>
      <c r="U625" s="525" t="s">
        <v>1141</v>
      </c>
      <c r="V625" s="403"/>
      <c r="W625" s="406">
        <v>0</v>
      </c>
      <c r="X625" s="406">
        <v>1777.1799999999998</v>
      </c>
      <c r="Y625" s="425"/>
      <c r="Z625" s="71"/>
      <c r="AA625" s="408">
        <v>843.63</v>
      </c>
      <c r="AB625" s="410">
        <v>-313.26</v>
      </c>
      <c r="AC625" s="410">
        <v>1246.81</v>
      </c>
      <c r="AD625" s="428">
        <v>1159.5900000000001</v>
      </c>
      <c r="AE625" s="429">
        <v>1531.64</v>
      </c>
      <c r="AF625" s="429">
        <v>324.64</v>
      </c>
      <c r="AG625" s="368">
        <v>0</v>
      </c>
      <c r="AH625" s="368">
        <v>0</v>
      </c>
      <c r="AI625" s="368">
        <v>0</v>
      </c>
      <c r="AJ625" s="368">
        <v>0</v>
      </c>
      <c r="AK625" s="368">
        <v>0</v>
      </c>
      <c r="AL625" s="368">
        <v>0</v>
      </c>
      <c r="AM625" s="367">
        <f t="shared" si="31"/>
        <v>4793.05</v>
      </c>
      <c r="AN625" s="362">
        <f>ERP_2[[#This Row],[2026 Working Total]]-ERP_2[[#This Row],[LE2 Final Submission]]</f>
        <v>3015.8700000000003</v>
      </c>
      <c r="AO625" s="227">
        <v>0</v>
      </c>
      <c r="AP625" s="227">
        <f t="shared" si="32"/>
        <v>324.64</v>
      </c>
      <c r="AQ625" s="374">
        <f>SUM(ERP_2[[#This Row],[AP01]:[AP06]])-SUM(ERP_2[[#This Row],[AP01 LE2]:[AP06 LE2]])</f>
        <v>3015.8700000000003</v>
      </c>
      <c r="AR625" s="80"/>
      <c r="AS625" s="79">
        <f>ERP_2[[#This Row],[2026 Working Total to Budget/LE]]-ERP_2[[#This Row],[Giveback]]</f>
        <v>3015.8700000000003</v>
      </c>
      <c r="AT625" s="81"/>
      <c r="AU625" s="375">
        <v>843.63</v>
      </c>
      <c r="AV625" s="375">
        <v>-313.26</v>
      </c>
      <c r="AW625" s="375">
        <v>1246.81</v>
      </c>
      <c r="AX625" s="375">
        <v>0</v>
      </c>
      <c r="AY625" s="375">
        <v>0</v>
      </c>
      <c r="AZ625" s="375">
        <v>0</v>
      </c>
      <c r="BA625" s="375">
        <v>0</v>
      </c>
      <c r="BB625" s="375">
        <v>0</v>
      </c>
      <c r="BC625" s="375">
        <v>0</v>
      </c>
      <c r="BD625" s="375">
        <v>0</v>
      </c>
      <c r="BE625" s="375">
        <v>0</v>
      </c>
      <c r="BF625" s="375">
        <v>0</v>
      </c>
      <c r="BG625" s="375">
        <v>1777.1799999999998</v>
      </c>
      <c r="BH625" s="227">
        <v>843.63</v>
      </c>
      <c r="BI625" s="227">
        <v>-313.26</v>
      </c>
      <c r="BJ625" s="227">
        <v>1246.81</v>
      </c>
      <c r="BK625" s="227">
        <v>0</v>
      </c>
      <c r="BL625" s="227">
        <v>0</v>
      </c>
      <c r="BM625" s="227">
        <v>0</v>
      </c>
      <c r="BN625" s="227">
        <v>0</v>
      </c>
      <c r="BO625" s="227">
        <v>0</v>
      </c>
      <c r="BP625" s="227">
        <v>0</v>
      </c>
      <c r="BQ625" s="227">
        <v>0</v>
      </c>
      <c r="BR625" s="227">
        <v>0</v>
      </c>
      <c r="BS625" s="227">
        <v>0</v>
      </c>
      <c r="BT625" s="227">
        <v>1777.1799999999998</v>
      </c>
    </row>
    <row r="626" spans="1:72" ht="15" customHeight="1">
      <c r="A626" s="215" t="s">
        <v>1957</v>
      </c>
      <c r="B626" s="264" t="s">
        <v>2953</v>
      </c>
      <c r="C626" s="264" t="s">
        <v>491</v>
      </c>
      <c r="D626" s="264" t="s">
        <v>1958</v>
      </c>
      <c r="E626" s="150" t="s">
        <v>1136</v>
      </c>
      <c r="F626" s="482" t="s">
        <v>1566</v>
      </c>
      <c r="G626" s="150" t="s">
        <v>1135</v>
      </c>
      <c r="H626" s="341" t="s">
        <v>1145</v>
      </c>
      <c r="I626" s="340" t="s">
        <v>1135</v>
      </c>
      <c r="J626" s="341" t="s">
        <v>1145</v>
      </c>
      <c r="K626" s="334" t="s">
        <v>1137</v>
      </c>
      <c r="L626" s="519" t="s">
        <v>389</v>
      </c>
      <c r="M626" s="400" t="s">
        <v>1327</v>
      </c>
      <c r="N626" s="343"/>
      <c r="O626" s="344"/>
      <c r="P626" s="269" t="s">
        <v>147</v>
      </c>
      <c r="Q626" s="349"/>
      <c r="R626" s="343"/>
      <c r="S626" s="349"/>
      <c r="T626" s="341" t="s">
        <v>25</v>
      </c>
      <c r="U626" s="354"/>
      <c r="V626" s="403"/>
      <c r="W626" s="406">
        <v>0</v>
      </c>
      <c r="X626" s="406">
        <v>-0.12</v>
      </c>
      <c r="Y626" s="425"/>
      <c r="Z626" s="71"/>
      <c r="AA626" s="417">
        <v>0.02</v>
      </c>
      <c r="AB626" s="417">
        <v>0.04</v>
      </c>
      <c r="AC626" s="417">
        <v>-0.18</v>
      </c>
      <c r="AD626" s="428">
        <v>-0.02</v>
      </c>
      <c r="AE626" s="429">
        <v>0.19</v>
      </c>
      <c r="AF626" s="429">
        <v>-0.36</v>
      </c>
      <c r="AG626" s="372">
        <v>0</v>
      </c>
      <c r="AH626" s="372">
        <v>0</v>
      </c>
      <c r="AI626" s="372">
        <v>0</v>
      </c>
      <c r="AJ626" s="372">
        <v>0</v>
      </c>
      <c r="AK626" s="372">
        <v>0</v>
      </c>
      <c r="AL626" s="372">
        <v>0</v>
      </c>
      <c r="AM626" s="367">
        <f t="shared" si="31"/>
        <v>-0.30999999999999994</v>
      </c>
      <c r="AN626" s="362">
        <f>ERP_2[[#This Row],[2026 Working Total]]-ERP_2[[#This Row],[LE2 Final Submission]]</f>
        <v>-0.18999999999999995</v>
      </c>
      <c r="AO626" s="227">
        <v>0</v>
      </c>
      <c r="AP626" s="227">
        <f t="shared" si="32"/>
        <v>-0.36</v>
      </c>
      <c r="AQ626" s="374">
        <f>SUM(ERP_2[[#This Row],[AP01]:[AP06]])-SUM(ERP_2[[#This Row],[AP01 LE2]:[AP06 LE2]])</f>
        <v>-0.18999999999999995</v>
      </c>
      <c r="AR626" s="80"/>
      <c r="AS626" s="79">
        <f>ERP_2[[#This Row],[2026 Working Total to Budget/LE]]-ERP_2[[#This Row],[Giveback]]</f>
        <v>-0.18999999999999995</v>
      </c>
      <c r="AT626" s="81"/>
      <c r="AU626" s="375">
        <v>0.02</v>
      </c>
      <c r="AV626" s="375">
        <v>0.04</v>
      </c>
      <c r="AW626" s="375">
        <v>-0.18</v>
      </c>
      <c r="AX626" s="375">
        <v>0</v>
      </c>
      <c r="AY626" s="375">
        <v>0</v>
      </c>
      <c r="AZ626" s="375">
        <v>0</v>
      </c>
      <c r="BA626" s="375">
        <v>0</v>
      </c>
      <c r="BB626" s="375">
        <v>0</v>
      </c>
      <c r="BC626" s="375">
        <v>0</v>
      </c>
      <c r="BD626" s="375">
        <v>0</v>
      </c>
      <c r="BE626" s="375">
        <v>0</v>
      </c>
      <c r="BF626" s="375">
        <v>0</v>
      </c>
      <c r="BG626" s="375">
        <v>-0.12</v>
      </c>
      <c r="BH626" s="276">
        <v>0.02</v>
      </c>
      <c r="BI626" s="276">
        <v>0.04</v>
      </c>
      <c r="BJ626" s="276">
        <v>-0.18</v>
      </c>
      <c r="BK626" s="276">
        <v>0</v>
      </c>
      <c r="BL626" s="276">
        <v>0</v>
      </c>
      <c r="BM626" s="276">
        <v>0</v>
      </c>
      <c r="BN626" s="276">
        <v>0</v>
      </c>
      <c r="BO626" s="276">
        <v>0</v>
      </c>
      <c r="BP626" s="276">
        <v>0</v>
      </c>
      <c r="BQ626" s="276">
        <v>0</v>
      </c>
      <c r="BR626" s="276">
        <v>0</v>
      </c>
      <c r="BS626" s="276">
        <v>0</v>
      </c>
      <c r="BT626" s="227">
        <v>-0.12</v>
      </c>
    </row>
    <row r="627" spans="1:72" ht="15" customHeight="1">
      <c r="A627" s="215" t="s">
        <v>1959</v>
      </c>
      <c r="B627" s="264" t="s">
        <v>2953</v>
      </c>
      <c r="C627" s="264" t="s">
        <v>491</v>
      </c>
      <c r="D627" s="264" t="s">
        <v>1960</v>
      </c>
      <c r="E627" s="150" t="s">
        <v>1136</v>
      </c>
      <c r="F627" s="482" t="s">
        <v>1566</v>
      </c>
      <c r="G627" s="150" t="s">
        <v>1135</v>
      </c>
      <c r="H627" s="341" t="s">
        <v>1156</v>
      </c>
      <c r="I627" s="340" t="s">
        <v>1135</v>
      </c>
      <c r="J627" s="341" t="s">
        <v>1156</v>
      </c>
      <c r="K627" s="334" t="s">
        <v>1137</v>
      </c>
      <c r="L627" s="519" t="s">
        <v>389</v>
      </c>
      <c r="M627" s="400" t="s">
        <v>1327</v>
      </c>
      <c r="N627" s="343"/>
      <c r="O627" s="344"/>
      <c r="P627" s="269" t="s">
        <v>147</v>
      </c>
      <c r="Q627" s="349"/>
      <c r="R627" s="343"/>
      <c r="S627" s="349"/>
      <c r="T627" s="341" t="s">
        <v>25</v>
      </c>
      <c r="U627" s="354"/>
      <c r="V627" s="403"/>
      <c r="W627" s="406">
        <v>0</v>
      </c>
      <c r="X627" s="406">
        <v>-0.16999999999999998</v>
      </c>
      <c r="Y627" s="425"/>
      <c r="Z627" s="71"/>
      <c r="AA627" s="417"/>
      <c r="AB627" s="417">
        <v>0.42</v>
      </c>
      <c r="AC627" s="417">
        <v>-0.59</v>
      </c>
      <c r="AD627" s="428">
        <v>0.34</v>
      </c>
      <c r="AE627" s="429">
        <v>0.33</v>
      </c>
      <c r="AF627" s="429">
        <v>-0.56999999999999995</v>
      </c>
      <c r="AG627" s="372">
        <v>0</v>
      </c>
      <c r="AH627" s="372">
        <v>0</v>
      </c>
      <c r="AI627" s="372">
        <v>0</v>
      </c>
      <c r="AJ627" s="372">
        <v>0</v>
      </c>
      <c r="AK627" s="372">
        <v>0</v>
      </c>
      <c r="AL627" s="372">
        <v>0</v>
      </c>
      <c r="AM627" s="367">
        <f t="shared" si="31"/>
        <v>-6.9999999999999951E-2</v>
      </c>
      <c r="AN627" s="362">
        <f>ERP_2[[#This Row],[2026 Working Total]]-ERP_2[[#This Row],[LE2 Final Submission]]</f>
        <v>0.10000000000000003</v>
      </c>
      <c r="AO627" s="227">
        <v>0</v>
      </c>
      <c r="AP627" s="227">
        <f t="shared" si="32"/>
        <v>-0.56999999999999995</v>
      </c>
      <c r="AQ627" s="374">
        <f>SUM(ERP_2[[#This Row],[AP01]:[AP06]])-SUM(ERP_2[[#This Row],[AP01 LE2]:[AP06 LE2]])</f>
        <v>0.10000000000000003</v>
      </c>
      <c r="AR627" s="80"/>
      <c r="AS627" s="79">
        <f>ERP_2[[#This Row],[2026 Working Total to Budget/LE]]-ERP_2[[#This Row],[Giveback]]</f>
        <v>0.10000000000000003</v>
      </c>
      <c r="AT627" s="81"/>
      <c r="AU627" s="375"/>
      <c r="AV627" s="375">
        <v>0.42</v>
      </c>
      <c r="AW627" s="375">
        <v>-0.59</v>
      </c>
      <c r="AX627" s="375">
        <v>0</v>
      </c>
      <c r="AY627" s="375">
        <v>0</v>
      </c>
      <c r="AZ627" s="375">
        <v>0</v>
      </c>
      <c r="BA627" s="375">
        <v>0</v>
      </c>
      <c r="BB627" s="375">
        <v>0</v>
      </c>
      <c r="BC627" s="375">
        <v>0</v>
      </c>
      <c r="BD627" s="375">
        <v>0</v>
      </c>
      <c r="BE627" s="375">
        <v>0</v>
      </c>
      <c r="BF627" s="375">
        <v>0</v>
      </c>
      <c r="BG627" s="375">
        <v>-0.16999999999999998</v>
      </c>
      <c r="BH627" s="276"/>
      <c r="BI627" s="276">
        <v>0.42</v>
      </c>
      <c r="BJ627" s="276">
        <v>-0.59</v>
      </c>
      <c r="BK627" s="276">
        <v>0</v>
      </c>
      <c r="BL627" s="276">
        <v>0</v>
      </c>
      <c r="BM627" s="276">
        <v>0</v>
      </c>
      <c r="BN627" s="276">
        <v>0</v>
      </c>
      <c r="BO627" s="276">
        <v>0</v>
      </c>
      <c r="BP627" s="276">
        <v>0</v>
      </c>
      <c r="BQ627" s="276">
        <v>0</v>
      </c>
      <c r="BR627" s="276">
        <v>0</v>
      </c>
      <c r="BS627" s="276">
        <v>0</v>
      </c>
      <c r="BT627" s="227">
        <v>-0.16999999999999998</v>
      </c>
    </row>
    <row r="628" spans="1:72" ht="15" customHeight="1">
      <c r="A628" s="215" t="s">
        <v>2156</v>
      </c>
      <c r="B628" s="264" t="s">
        <v>2953</v>
      </c>
      <c r="C628" s="264" t="s">
        <v>609</v>
      </c>
      <c r="D628" s="264" t="s">
        <v>2157</v>
      </c>
      <c r="E628" s="150" t="s">
        <v>1136</v>
      </c>
      <c r="F628" s="482" t="s">
        <v>1566</v>
      </c>
      <c r="G628" s="150" t="s">
        <v>1135</v>
      </c>
      <c r="H628" s="341" t="s">
        <v>1135</v>
      </c>
      <c r="I628" s="340" t="s">
        <v>1135</v>
      </c>
      <c r="J628" s="341" t="s">
        <v>1137</v>
      </c>
      <c r="K628" s="334" t="s">
        <v>1137</v>
      </c>
      <c r="L628" s="519" t="s">
        <v>602</v>
      </c>
      <c r="M628" s="400" t="s">
        <v>611</v>
      </c>
      <c r="N628" s="343"/>
      <c r="O628" s="344"/>
      <c r="P628" s="269" t="s">
        <v>610</v>
      </c>
      <c r="Q628" s="349"/>
      <c r="R628" s="343"/>
      <c r="S628" s="349"/>
      <c r="T628" s="341" t="s">
        <v>611</v>
      </c>
      <c r="U628" s="525" t="s">
        <v>1141</v>
      </c>
      <c r="V628" s="403"/>
      <c r="W628" s="406">
        <v>0</v>
      </c>
      <c r="X628" s="406">
        <v>9271.2199999999993</v>
      </c>
      <c r="Y628" s="425"/>
      <c r="Z628" s="71"/>
      <c r="AA628" s="417">
        <v>497.32</v>
      </c>
      <c r="AB628" s="417">
        <v>7672.35</v>
      </c>
      <c r="AC628" s="417">
        <v>1101.55</v>
      </c>
      <c r="AD628" s="428">
        <v>216.08999999999983</v>
      </c>
      <c r="AE628" s="429">
        <v>402.42000000000007</v>
      </c>
      <c r="AF628" s="429">
        <v>209.19</v>
      </c>
      <c r="AG628" s="372">
        <v>0</v>
      </c>
      <c r="AH628" s="372">
        <v>0</v>
      </c>
      <c r="AI628" s="372">
        <v>0</v>
      </c>
      <c r="AJ628" s="372">
        <v>0</v>
      </c>
      <c r="AK628" s="372">
        <v>0</v>
      </c>
      <c r="AL628" s="372">
        <v>0</v>
      </c>
      <c r="AM628" s="367">
        <f t="shared" si="31"/>
        <v>10098.92</v>
      </c>
      <c r="AN628" s="362">
        <f>ERP_2[[#This Row],[2026 Working Total]]-ERP_2[[#This Row],[LE2 Final Submission]]</f>
        <v>827.70000000000073</v>
      </c>
      <c r="AO628" s="227">
        <v>0</v>
      </c>
      <c r="AP628" s="227">
        <f t="shared" si="32"/>
        <v>209.19</v>
      </c>
      <c r="AQ628" s="374">
        <f>SUM(ERP_2[[#This Row],[AP01]:[AP06]])-SUM(ERP_2[[#This Row],[AP01 LE2]:[AP06 LE2]])</f>
        <v>827.70000000000073</v>
      </c>
      <c r="AR628" s="80"/>
      <c r="AS628" s="79">
        <f>ERP_2[[#This Row],[2026 Working Total to Budget/LE]]-ERP_2[[#This Row],[Giveback]]</f>
        <v>827.70000000000073</v>
      </c>
      <c r="AT628" s="81"/>
      <c r="AU628" s="375">
        <v>497.32</v>
      </c>
      <c r="AV628" s="375">
        <v>7672.35</v>
      </c>
      <c r="AW628" s="375">
        <v>1101.55</v>
      </c>
      <c r="AX628" s="375">
        <v>0</v>
      </c>
      <c r="AY628" s="375">
        <v>0</v>
      </c>
      <c r="AZ628" s="375">
        <v>0</v>
      </c>
      <c r="BA628" s="375">
        <v>0</v>
      </c>
      <c r="BB628" s="375">
        <v>0</v>
      </c>
      <c r="BC628" s="375">
        <v>0</v>
      </c>
      <c r="BD628" s="375">
        <v>0</v>
      </c>
      <c r="BE628" s="375">
        <v>0</v>
      </c>
      <c r="BF628" s="375">
        <v>0</v>
      </c>
      <c r="BG628" s="375">
        <v>9271.2199999999993</v>
      </c>
      <c r="BH628" s="276">
        <v>497.32</v>
      </c>
      <c r="BI628" s="276">
        <v>7672.35</v>
      </c>
      <c r="BJ628" s="276">
        <v>1101.55</v>
      </c>
      <c r="BK628" s="276">
        <v>0</v>
      </c>
      <c r="BL628" s="276">
        <v>0</v>
      </c>
      <c r="BM628" s="276">
        <v>0</v>
      </c>
      <c r="BN628" s="276">
        <v>0</v>
      </c>
      <c r="BO628" s="276">
        <v>0</v>
      </c>
      <c r="BP628" s="276">
        <v>0</v>
      </c>
      <c r="BQ628" s="276">
        <v>0</v>
      </c>
      <c r="BR628" s="276">
        <v>0</v>
      </c>
      <c r="BS628" s="276">
        <v>0</v>
      </c>
      <c r="BT628" s="227">
        <v>9271.2199999999993</v>
      </c>
    </row>
    <row r="629" spans="1:72" ht="15" customHeight="1">
      <c r="A629" s="334" t="s">
        <v>2158</v>
      </c>
      <c r="B629" s="535" t="s">
        <v>2953</v>
      </c>
      <c r="C629" s="572" t="s">
        <v>609</v>
      </c>
      <c r="D629" s="573" t="s">
        <v>2159</v>
      </c>
      <c r="E629" s="150" t="s">
        <v>1136</v>
      </c>
      <c r="F629" s="482" t="s">
        <v>1566</v>
      </c>
      <c r="G629" s="150" t="s">
        <v>1135</v>
      </c>
      <c r="H629" s="574" t="s">
        <v>1145</v>
      </c>
      <c r="I629" s="575" t="s">
        <v>1135</v>
      </c>
      <c r="J629" s="574" t="s">
        <v>1145</v>
      </c>
      <c r="K629" s="564" t="s">
        <v>1145</v>
      </c>
      <c r="L629" s="577" t="s">
        <v>602</v>
      </c>
      <c r="M629" s="578" t="s">
        <v>2160</v>
      </c>
      <c r="N629" s="333" t="s">
        <v>2160</v>
      </c>
      <c r="O629" s="563" t="s">
        <v>1186</v>
      </c>
      <c r="P629" s="579" t="s">
        <v>610</v>
      </c>
      <c r="Q629" s="565"/>
      <c r="R629" s="449"/>
      <c r="S629" s="562"/>
      <c r="T629" s="581"/>
      <c r="U629" s="584"/>
      <c r="V629" s="402"/>
      <c r="W629" s="402"/>
      <c r="X629" s="402"/>
      <c r="Y629" s="425"/>
      <c r="Z629" s="71"/>
      <c r="AA629" s="552"/>
      <c r="AB629" s="552"/>
      <c r="AC629" s="552"/>
      <c r="AD629" s="436"/>
      <c r="AE629" s="436">
        <v>16</v>
      </c>
      <c r="AF629" s="429">
        <v>0</v>
      </c>
      <c r="AG629" s="586"/>
      <c r="AH629" s="586"/>
      <c r="AI629" s="586"/>
      <c r="AJ629" s="586"/>
      <c r="AK629" s="586"/>
      <c r="AL629" s="586"/>
      <c r="AM629" s="479">
        <f t="shared" si="31"/>
        <v>16</v>
      </c>
      <c r="AN629" s="362">
        <f>ERP_2[[#This Row],[2026 Working Total]]-ERP_2[[#This Row],[LE2 Final Submission]]</f>
        <v>16</v>
      </c>
      <c r="AO629" s="587"/>
      <c r="AP629" s="587">
        <f t="shared" si="32"/>
        <v>0</v>
      </c>
      <c r="AQ629" s="374">
        <f>SUM(ERP_2[[#This Row],[AP01]:[AP06]])-SUM(ERP_2[[#This Row],[AP01 LE2]:[AP06 LE2]])</f>
        <v>16</v>
      </c>
      <c r="AR629" s="80"/>
      <c r="AS629" s="79">
        <f>ERP_2[[#This Row],[2026 Working Total to Budget/LE]]-ERP_2[[#This Row],[Giveback]]</f>
        <v>16</v>
      </c>
      <c r="AT629" s="81"/>
      <c r="AU629" s="375"/>
      <c r="AV629" s="375"/>
      <c r="AW629" s="375"/>
      <c r="AX629" s="375"/>
      <c r="AY629" s="375"/>
      <c r="AZ629" s="375"/>
      <c r="BA629" s="375"/>
      <c r="BB629" s="375"/>
      <c r="BC629" s="375"/>
      <c r="BD629" s="375"/>
      <c r="BE629" s="375"/>
      <c r="BF629" s="375"/>
      <c r="BG629" s="375"/>
      <c r="BH629" s="276"/>
      <c r="BI629" s="276"/>
      <c r="BJ629" s="276"/>
      <c r="BK629" s="276"/>
      <c r="BL629" s="276"/>
      <c r="BM629" s="276"/>
      <c r="BN629" s="276"/>
      <c r="BO629" s="276"/>
      <c r="BP629" s="276"/>
      <c r="BQ629" s="276"/>
      <c r="BR629" s="276"/>
      <c r="BS629" s="276"/>
      <c r="BT629" s="587"/>
    </row>
    <row r="630" spans="1:72" ht="15" customHeight="1">
      <c r="A630" s="215" t="s">
        <v>2249</v>
      </c>
      <c r="B630" s="264" t="s">
        <v>2953</v>
      </c>
      <c r="C630" s="264" t="s">
        <v>667</v>
      </c>
      <c r="D630" s="264" t="s">
        <v>2250</v>
      </c>
      <c r="E630" s="150" t="s">
        <v>1136</v>
      </c>
      <c r="F630" s="482" t="s">
        <v>1566</v>
      </c>
      <c r="G630" s="150" t="s">
        <v>1135</v>
      </c>
      <c r="H630" s="341" t="s">
        <v>1135</v>
      </c>
      <c r="I630" s="340" t="s">
        <v>1135</v>
      </c>
      <c r="J630" s="341" t="s">
        <v>1137</v>
      </c>
      <c r="K630" s="334" t="s">
        <v>1137</v>
      </c>
      <c r="L630" s="519" t="s">
        <v>639</v>
      </c>
      <c r="M630" s="400" t="s">
        <v>1138</v>
      </c>
      <c r="N630" s="343"/>
      <c r="O630" s="344"/>
      <c r="P630" s="269" t="s">
        <v>51</v>
      </c>
      <c r="Q630" s="349" t="s">
        <v>1139</v>
      </c>
      <c r="R630" s="346" t="s">
        <v>1140</v>
      </c>
      <c r="S630" s="349"/>
      <c r="T630" s="341" t="s">
        <v>25</v>
      </c>
      <c r="U630" s="525" t="s">
        <v>1141</v>
      </c>
      <c r="V630" s="403"/>
      <c r="W630" s="406">
        <v>0</v>
      </c>
      <c r="X630" s="406">
        <v>1742.3400000000001</v>
      </c>
      <c r="Y630" s="425"/>
      <c r="Z630" s="71"/>
      <c r="AA630" s="417"/>
      <c r="AB630" s="417">
        <v>984.48</v>
      </c>
      <c r="AC630" s="417">
        <v>757.86</v>
      </c>
      <c r="AD630" s="428">
        <v>0</v>
      </c>
      <c r="AE630" s="429">
        <v>0</v>
      </c>
      <c r="AF630" s="429">
        <v>0</v>
      </c>
      <c r="AG630" s="372">
        <v>0</v>
      </c>
      <c r="AH630" s="372">
        <v>0</v>
      </c>
      <c r="AI630" s="372">
        <v>0</v>
      </c>
      <c r="AJ630" s="372">
        <v>0</v>
      </c>
      <c r="AK630" s="372">
        <v>0</v>
      </c>
      <c r="AL630" s="372">
        <v>0</v>
      </c>
      <c r="AM630" s="367">
        <f t="shared" ref="AM630:AM688" si="33">SUM(AA630:AL630)</f>
        <v>1742.3400000000001</v>
      </c>
      <c r="AN630" s="362">
        <f>ERP_2[[#This Row],[2026 Working Total]]-ERP_2[[#This Row],[LE2 Final Submission]]</f>
        <v>0</v>
      </c>
      <c r="AO630" s="227">
        <v>0</v>
      </c>
      <c r="AP630" s="227">
        <f t="shared" si="32"/>
        <v>0</v>
      </c>
      <c r="AQ630" s="374">
        <f>SUM(ERP_2[[#This Row],[AP01]:[AP06]])-SUM(ERP_2[[#This Row],[AP01 LE2]:[AP06 LE2]])</f>
        <v>0</v>
      </c>
      <c r="AR630" s="80"/>
      <c r="AS630" s="79">
        <f>ERP_2[[#This Row],[2026 Working Total to Budget/LE]]-ERP_2[[#This Row],[Giveback]]</f>
        <v>0</v>
      </c>
      <c r="AT630" s="81"/>
      <c r="AU630" s="375"/>
      <c r="AV630" s="375">
        <v>984.48</v>
      </c>
      <c r="AW630" s="375">
        <v>757.86</v>
      </c>
      <c r="AX630" s="375">
        <v>0</v>
      </c>
      <c r="AY630" s="375">
        <v>0</v>
      </c>
      <c r="AZ630" s="375">
        <v>0</v>
      </c>
      <c r="BA630" s="375">
        <v>0</v>
      </c>
      <c r="BB630" s="375">
        <v>0</v>
      </c>
      <c r="BC630" s="375">
        <v>0</v>
      </c>
      <c r="BD630" s="375">
        <v>0</v>
      </c>
      <c r="BE630" s="375">
        <v>0</v>
      </c>
      <c r="BF630" s="375">
        <v>0</v>
      </c>
      <c r="BG630" s="375">
        <v>1742.3400000000001</v>
      </c>
      <c r="BH630" s="276"/>
      <c r="BI630" s="276">
        <v>984.48</v>
      </c>
      <c r="BJ630" s="276">
        <v>757.86</v>
      </c>
      <c r="BK630" s="276">
        <v>0</v>
      </c>
      <c r="BL630" s="276">
        <v>0</v>
      </c>
      <c r="BM630" s="276">
        <v>0</v>
      </c>
      <c r="BN630" s="276">
        <v>0</v>
      </c>
      <c r="BO630" s="276">
        <v>0</v>
      </c>
      <c r="BP630" s="276">
        <v>0</v>
      </c>
      <c r="BQ630" s="276">
        <v>0</v>
      </c>
      <c r="BR630" s="276">
        <v>0</v>
      </c>
      <c r="BS630" s="276">
        <v>0</v>
      </c>
      <c r="BT630" s="227">
        <v>1742.3400000000001</v>
      </c>
    </row>
    <row r="631" spans="1:72" ht="15" customHeight="1">
      <c r="A631" s="215" t="s">
        <v>2251</v>
      </c>
      <c r="B631" s="264" t="s">
        <v>2953</v>
      </c>
      <c r="C631" s="264" t="s">
        <v>667</v>
      </c>
      <c r="D631" s="264" t="s">
        <v>2252</v>
      </c>
      <c r="E631" s="150" t="s">
        <v>1136</v>
      </c>
      <c r="F631" s="482" t="s">
        <v>1566</v>
      </c>
      <c r="G631" s="150" t="s">
        <v>1135</v>
      </c>
      <c r="H631" s="341" t="s">
        <v>1145</v>
      </c>
      <c r="I631" s="340" t="s">
        <v>1135</v>
      </c>
      <c r="J631" s="341" t="s">
        <v>1145</v>
      </c>
      <c r="K631" s="334" t="s">
        <v>1137</v>
      </c>
      <c r="L631" s="519" t="s">
        <v>639</v>
      </c>
      <c r="M631" s="400" t="s">
        <v>1138</v>
      </c>
      <c r="N631" s="343"/>
      <c r="O631" s="344"/>
      <c r="P631" s="269" t="s">
        <v>51</v>
      </c>
      <c r="Q631" s="349" t="s">
        <v>1139</v>
      </c>
      <c r="R631" s="346" t="s">
        <v>1140</v>
      </c>
      <c r="S631" s="349"/>
      <c r="T631" s="341" t="s">
        <v>25</v>
      </c>
      <c r="U631" s="354"/>
      <c r="V631" s="403"/>
      <c r="W631" s="406">
        <v>0</v>
      </c>
      <c r="X631" s="406">
        <v>1312.56</v>
      </c>
      <c r="Y631" s="425"/>
      <c r="Z631" s="71"/>
      <c r="AA631" s="417"/>
      <c r="AB631" s="417">
        <v>1312.56</v>
      </c>
      <c r="AC631" s="418">
        <v>0</v>
      </c>
      <c r="AD631" s="428">
        <v>0</v>
      </c>
      <c r="AE631" s="429">
        <v>0</v>
      </c>
      <c r="AF631" s="429">
        <v>0</v>
      </c>
      <c r="AG631" s="372">
        <v>0</v>
      </c>
      <c r="AH631" s="372">
        <v>0</v>
      </c>
      <c r="AI631" s="372">
        <v>0</v>
      </c>
      <c r="AJ631" s="372">
        <v>0</v>
      </c>
      <c r="AK631" s="372">
        <v>0</v>
      </c>
      <c r="AL631" s="372">
        <v>0</v>
      </c>
      <c r="AM631" s="367">
        <f t="shared" si="33"/>
        <v>1312.56</v>
      </c>
      <c r="AN631" s="362">
        <f>ERP_2[[#This Row],[2026 Working Total]]-ERP_2[[#This Row],[LE2 Final Submission]]</f>
        <v>0</v>
      </c>
      <c r="AO631" s="227">
        <v>0</v>
      </c>
      <c r="AP631" s="227">
        <f t="shared" si="32"/>
        <v>0</v>
      </c>
      <c r="AQ631" s="374">
        <f>SUM(ERP_2[[#This Row],[AP01]:[AP06]])-SUM(ERP_2[[#This Row],[AP01 LE2]:[AP06 LE2]])</f>
        <v>0</v>
      </c>
      <c r="AR631" s="80"/>
      <c r="AS631" s="79">
        <f>ERP_2[[#This Row],[2026 Working Total to Budget/LE]]-ERP_2[[#This Row],[Giveback]]</f>
        <v>0</v>
      </c>
      <c r="AT631" s="81"/>
      <c r="AU631" s="375"/>
      <c r="AV631" s="375">
        <v>1312.56</v>
      </c>
      <c r="AW631" s="375">
        <v>0</v>
      </c>
      <c r="AX631" s="375">
        <v>0</v>
      </c>
      <c r="AY631" s="375">
        <v>0</v>
      </c>
      <c r="AZ631" s="375">
        <v>0</v>
      </c>
      <c r="BA631" s="375">
        <v>0</v>
      </c>
      <c r="BB631" s="375">
        <v>0</v>
      </c>
      <c r="BC631" s="375">
        <v>0</v>
      </c>
      <c r="BD631" s="375">
        <v>0</v>
      </c>
      <c r="BE631" s="375">
        <v>0</v>
      </c>
      <c r="BF631" s="375">
        <v>0</v>
      </c>
      <c r="BG631" s="375">
        <v>1312.56</v>
      </c>
      <c r="BH631" s="276"/>
      <c r="BI631" s="276">
        <v>1312.56</v>
      </c>
      <c r="BJ631" s="276">
        <v>0</v>
      </c>
      <c r="BK631" s="276">
        <v>0</v>
      </c>
      <c r="BL631" s="276">
        <v>0</v>
      </c>
      <c r="BM631" s="276">
        <v>0</v>
      </c>
      <c r="BN631" s="276">
        <v>0</v>
      </c>
      <c r="BO631" s="276">
        <v>0</v>
      </c>
      <c r="BP631" s="276">
        <v>0</v>
      </c>
      <c r="BQ631" s="276">
        <v>0</v>
      </c>
      <c r="BR631" s="276">
        <v>0</v>
      </c>
      <c r="BS631" s="276">
        <v>0</v>
      </c>
      <c r="BT631" s="227">
        <v>1312.56</v>
      </c>
    </row>
    <row r="632" spans="1:72" ht="15" customHeight="1">
      <c r="A632" s="215" t="s">
        <v>2253</v>
      </c>
      <c r="B632" s="264" t="s">
        <v>2953</v>
      </c>
      <c r="C632" s="264" t="s">
        <v>667</v>
      </c>
      <c r="D632" s="264" t="s">
        <v>2254</v>
      </c>
      <c r="E632" s="150" t="s">
        <v>1136</v>
      </c>
      <c r="F632" s="482" t="s">
        <v>1566</v>
      </c>
      <c r="G632" s="150" t="s">
        <v>1135</v>
      </c>
      <c r="H632" s="341" t="s">
        <v>1165</v>
      </c>
      <c r="I632" s="340" t="s">
        <v>1135</v>
      </c>
      <c r="J632" s="341" t="s">
        <v>1165</v>
      </c>
      <c r="K632" s="334" t="s">
        <v>1137</v>
      </c>
      <c r="L632" s="519" t="s">
        <v>639</v>
      </c>
      <c r="M632" s="400" t="s">
        <v>1138</v>
      </c>
      <c r="N632" s="343"/>
      <c r="O632" s="344"/>
      <c r="P632" s="269" t="s">
        <v>51</v>
      </c>
      <c r="Q632" s="349" t="s">
        <v>1139</v>
      </c>
      <c r="R632" s="346" t="s">
        <v>1140</v>
      </c>
      <c r="S632" s="349"/>
      <c r="T632" s="341" t="s">
        <v>25</v>
      </c>
      <c r="U632" s="354"/>
      <c r="V632" s="403"/>
      <c r="W632" s="406">
        <v>0</v>
      </c>
      <c r="X632" s="406">
        <v>3879.27</v>
      </c>
      <c r="Y632" s="425"/>
      <c r="Z632" s="71"/>
      <c r="AA632" s="417"/>
      <c r="AB632" s="417">
        <v>3879.27</v>
      </c>
      <c r="AC632" s="418">
        <v>0</v>
      </c>
      <c r="AD632" s="428">
        <v>0</v>
      </c>
      <c r="AE632" s="429">
        <v>0</v>
      </c>
      <c r="AF632" s="429">
        <v>0</v>
      </c>
      <c r="AG632" s="372">
        <v>0</v>
      </c>
      <c r="AH632" s="372">
        <v>0</v>
      </c>
      <c r="AI632" s="372">
        <v>0</v>
      </c>
      <c r="AJ632" s="372">
        <v>0</v>
      </c>
      <c r="AK632" s="372">
        <v>0</v>
      </c>
      <c r="AL632" s="372">
        <v>0</v>
      </c>
      <c r="AM632" s="367">
        <f t="shared" si="33"/>
        <v>3879.27</v>
      </c>
      <c r="AN632" s="362">
        <f>ERP_2[[#This Row],[2026 Working Total]]-ERP_2[[#This Row],[LE2 Final Submission]]</f>
        <v>0</v>
      </c>
      <c r="AO632" s="227">
        <v>0</v>
      </c>
      <c r="AP632" s="227">
        <f t="shared" si="32"/>
        <v>0</v>
      </c>
      <c r="AQ632" s="374">
        <f>SUM(ERP_2[[#This Row],[AP01]:[AP06]])-SUM(ERP_2[[#This Row],[AP01 LE2]:[AP06 LE2]])</f>
        <v>0</v>
      </c>
      <c r="AR632" s="80"/>
      <c r="AS632" s="79">
        <f>ERP_2[[#This Row],[2026 Working Total to Budget/LE]]-ERP_2[[#This Row],[Giveback]]</f>
        <v>0</v>
      </c>
      <c r="AT632" s="81"/>
      <c r="AU632" s="375"/>
      <c r="AV632" s="375">
        <v>3879.27</v>
      </c>
      <c r="AW632" s="375">
        <v>0</v>
      </c>
      <c r="AX632" s="375">
        <v>0</v>
      </c>
      <c r="AY632" s="375">
        <v>0</v>
      </c>
      <c r="AZ632" s="375">
        <v>0</v>
      </c>
      <c r="BA632" s="375">
        <v>0</v>
      </c>
      <c r="BB632" s="375">
        <v>0</v>
      </c>
      <c r="BC632" s="375">
        <v>0</v>
      </c>
      <c r="BD632" s="375">
        <v>0</v>
      </c>
      <c r="BE632" s="375">
        <v>0</v>
      </c>
      <c r="BF632" s="375">
        <v>0</v>
      </c>
      <c r="BG632" s="375">
        <v>3879.27</v>
      </c>
      <c r="BH632" s="276"/>
      <c r="BI632" s="276">
        <v>3879.27</v>
      </c>
      <c r="BJ632" s="276">
        <v>0</v>
      </c>
      <c r="BK632" s="276">
        <v>0</v>
      </c>
      <c r="BL632" s="276">
        <v>0</v>
      </c>
      <c r="BM632" s="276">
        <v>0</v>
      </c>
      <c r="BN632" s="276">
        <v>0</v>
      </c>
      <c r="BO632" s="276">
        <v>0</v>
      </c>
      <c r="BP632" s="276">
        <v>0</v>
      </c>
      <c r="BQ632" s="276">
        <v>0</v>
      </c>
      <c r="BR632" s="276">
        <v>0</v>
      </c>
      <c r="BS632" s="276">
        <v>0</v>
      </c>
      <c r="BT632" s="227">
        <v>3879.27</v>
      </c>
    </row>
    <row r="633" spans="1:72" ht="15" customHeight="1">
      <c r="A633" s="215" t="s">
        <v>2260</v>
      </c>
      <c r="B633" s="264" t="s">
        <v>2953</v>
      </c>
      <c r="C633" s="264" t="s">
        <v>669</v>
      </c>
      <c r="D633" s="264" t="s">
        <v>669</v>
      </c>
      <c r="E633" s="150" t="s">
        <v>1136</v>
      </c>
      <c r="F633" s="482" t="s">
        <v>1566</v>
      </c>
      <c r="G633" s="150" t="s">
        <v>1135</v>
      </c>
      <c r="H633" s="341" t="s">
        <v>1135</v>
      </c>
      <c r="I633" s="340" t="s">
        <v>1135</v>
      </c>
      <c r="J633" s="341" t="s">
        <v>1135</v>
      </c>
      <c r="K633" s="334" t="s">
        <v>1137</v>
      </c>
      <c r="L633" s="519" t="s">
        <v>639</v>
      </c>
      <c r="M633" s="400" t="s">
        <v>1174</v>
      </c>
      <c r="N633" s="343"/>
      <c r="O633" s="344"/>
      <c r="P633" s="70" t="s">
        <v>56</v>
      </c>
      <c r="Q633" s="349"/>
      <c r="R633" s="346" t="s">
        <v>1140</v>
      </c>
      <c r="S633" s="349"/>
      <c r="T633" s="341" t="s">
        <v>57</v>
      </c>
      <c r="U633" s="354"/>
      <c r="V633" s="403"/>
      <c r="W633" s="406">
        <v>0</v>
      </c>
      <c r="X633" s="406">
        <v>4158.38</v>
      </c>
      <c r="Y633" s="425"/>
      <c r="Z633" s="71"/>
      <c r="AA633" s="417">
        <v>279.45999999999998</v>
      </c>
      <c r="AB633" s="417">
        <v>279.45999999999998</v>
      </c>
      <c r="AC633" s="417">
        <v>899.46</v>
      </c>
      <c r="AD633" s="428">
        <v>139.72999999999999</v>
      </c>
      <c r="AE633" s="429">
        <v>139.72999999999999</v>
      </c>
      <c r="AF633" s="429">
        <v>139.72999999999999</v>
      </c>
      <c r="AG633" s="372">
        <v>300</v>
      </c>
      <c r="AH633" s="372">
        <v>300</v>
      </c>
      <c r="AI633" s="372">
        <v>300</v>
      </c>
      <c r="AJ633" s="372">
        <v>300</v>
      </c>
      <c r="AK633" s="372">
        <v>300</v>
      </c>
      <c r="AL633" s="372">
        <v>300</v>
      </c>
      <c r="AM633" s="367">
        <f t="shared" si="33"/>
        <v>3677.57</v>
      </c>
      <c r="AN633" s="362">
        <f>ERP_2[[#This Row],[2026 Working Total]]-ERP_2[[#This Row],[LE2 Final Submission]]</f>
        <v>-480.80999999999995</v>
      </c>
      <c r="AO633" s="227">
        <v>300</v>
      </c>
      <c r="AP633" s="227">
        <f t="shared" si="32"/>
        <v>-160.27000000000001</v>
      </c>
      <c r="AQ633" s="374">
        <f>SUM(ERP_2[[#This Row],[AP01]:[AP06]])-SUM(ERP_2[[#This Row],[AP01 LE2]:[AP06 LE2]])</f>
        <v>-480.80999999999995</v>
      </c>
      <c r="AR633" s="80"/>
      <c r="AS633" s="79">
        <f>ERP_2[[#This Row],[2026 Working Total to Budget/LE]]-ERP_2[[#This Row],[Giveback]]</f>
        <v>-480.80999999999995</v>
      </c>
      <c r="AT633" s="81"/>
      <c r="AU633" s="375">
        <v>279.45999999999998</v>
      </c>
      <c r="AV633" s="375">
        <v>279.45999999999998</v>
      </c>
      <c r="AW633" s="375">
        <v>899.46</v>
      </c>
      <c r="AX633" s="375">
        <v>300</v>
      </c>
      <c r="AY633" s="375">
        <v>300</v>
      </c>
      <c r="AZ633" s="375">
        <v>300</v>
      </c>
      <c r="BA633" s="375">
        <v>300</v>
      </c>
      <c r="BB633" s="375">
        <v>300</v>
      </c>
      <c r="BC633" s="375">
        <v>300</v>
      </c>
      <c r="BD633" s="375">
        <v>300</v>
      </c>
      <c r="BE633" s="375">
        <v>300</v>
      </c>
      <c r="BF633" s="375">
        <v>300</v>
      </c>
      <c r="BG633" s="375">
        <v>4158.38</v>
      </c>
      <c r="BH633" s="276">
        <v>279.45999999999998</v>
      </c>
      <c r="BI633" s="276">
        <v>279.45999999999998</v>
      </c>
      <c r="BJ633" s="276">
        <v>899.46</v>
      </c>
      <c r="BK633" s="276">
        <v>0</v>
      </c>
      <c r="BL633" s="276">
        <v>0</v>
      </c>
      <c r="BM633" s="276">
        <v>0</v>
      </c>
      <c r="BN633" s="276">
        <v>0</v>
      </c>
      <c r="BO633" s="276">
        <v>0</v>
      </c>
      <c r="BP633" s="276">
        <v>0</v>
      </c>
      <c r="BQ633" s="276">
        <v>0</v>
      </c>
      <c r="BR633" s="276">
        <v>0</v>
      </c>
      <c r="BS633" s="276">
        <v>0</v>
      </c>
      <c r="BT633" s="227">
        <v>1458.38</v>
      </c>
    </row>
    <row r="634" spans="1:72" ht="15" customHeight="1">
      <c r="A634" s="279" t="s">
        <v>2263</v>
      </c>
      <c r="B634" s="264" t="s">
        <v>2953</v>
      </c>
      <c r="C634" s="264" t="s">
        <v>669</v>
      </c>
      <c r="D634" s="264" t="s">
        <v>2264</v>
      </c>
      <c r="E634" s="150" t="s">
        <v>1136</v>
      </c>
      <c r="F634" s="482" t="s">
        <v>1566</v>
      </c>
      <c r="G634" s="150" t="s">
        <v>1135</v>
      </c>
      <c r="H634" s="541" t="s">
        <v>1165</v>
      </c>
      <c r="I634" s="540" t="s">
        <v>1135</v>
      </c>
      <c r="J634" s="541" t="s">
        <v>1165</v>
      </c>
      <c r="K634" s="342" t="s">
        <v>1137</v>
      </c>
      <c r="L634" s="542" t="s">
        <v>639</v>
      </c>
      <c r="M634" s="544" t="s">
        <v>1174</v>
      </c>
      <c r="N634" s="343"/>
      <c r="O634" s="550"/>
      <c r="P634" s="285" t="s">
        <v>56</v>
      </c>
      <c r="Q634" s="545"/>
      <c r="R634" s="346" t="s">
        <v>1140</v>
      </c>
      <c r="S634" s="545"/>
      <c r="T634" s="541" t="s">
        <v>57</v>
      </c>
      <c r="U634" s="546"/>
      <c r="V634" s="403"/>
      <c r="W634" s="406">
        <v>8383.7999999999975</v>
      </c>
      <c r="X634" s="406">
        <v>8383.76</v>
      </c>
      <c r="Y634" s="425"/>
      <c r="Z634" s="71"/>
      <c r="AA634" s="530">
        <v>698.65</v>
      </c>
      <c r="AB634" s="530">
        <v>558.91999999999996</v>
      </c>
      <c r="AC634" s="530">
        <v>419.19</v>
      </c>
      <c r="AD634" s="428">
        <v>279.45999999999998</v>
      </c>
      <c r="AE634" s="429">
        <v>279.45999999999998</v>
      </c>
      <c r="AF634" s="429">
        <v>279.45999999999998</v>
      </c>
      <c r="AG634" s="585">
        <v>750</v>
      </c>
      <c r="AH634" s="585">
        <v>750</v>
      </c>
      <c r="AI634" s="585">
        <v>750</v>
      </c>
      <c r="AJ634" s="585">
        <v>750</v>
      </c>
      <c r="AK634" s="585">
        <v>750</v>
      </c>
      <c r="AL634" s="585">
        <v>750</v>
      </c>
      <c r="AM634" s="367">
        <f t="shared" si="33"/>
        <v>7015.1399999999994</v>
      </c>
      <c r="AN634" s="362">
        <f>ERP_2[[#This Row],[2026 Working Total]]-ERP_2[[#This Row],[LE2 Final Submission]]</f>
        <v>-1368.6200000000008</v>
      </c>
      <c r="AO634" s="294">
        <v>767</v>
      </c>
      <c r="AP634" s="294">
        <f t="shared" si="32"/>
        <v>-487.54</v>
      </c>
      <c r="AQ634" s="374">
        <f>SUM(ERP_2[[#This Row],[AP01]:[AP06]])-SUM(ERP_2[[#This Row],[AP01 LE2]:[AP06 LE2]])</f>
        <v>-1368.6200000000003</v>
      </c>
      <c r="AR634" s="80"/>
      <c r="AS634" s="79">
        <f>ERP_2[[#This Row],[2026 Working Total to Budget/LE]]-ERP_2[[#This Row],[Giveback]]</f>
        <v>-1368.6200000000008</v>
      </c>
      <c r="AT634" s="81"/>
      <c r="AU634" s="375">
        <v>698.65</v>
      </c>
      <c r="AV634" s="375">
        <v>558.91999999999996</v>
      </c>
      <c r="AW634" s="375">
        <v>419.19</v>
      </c>
      <c r="AX634" s="375">
        <v>690</v>
      </c>
      <c r="AY634" s="375">
        <v>767</v>
      </c>
      <c r="AZ634" s="375">
        <v>750</v>
      </c>
      <c r="BA634" s="375">
        <v>750</v>
      </c>
      <c r="BB634" s="375">
        <v>750</v>
      </c>
      <c r="BC634" s="375">
        <v>750</v>
      </c>
      <c r="BD634" s="375">
        <v>750</v>
      </c>
      <c r="BE634" s="375">
        <v>750</v>
      </c>
      <c r="BF634" s="375">
        <v>750</v>
      </c>
      <c r="BG634" s="375">
        <v>8383.76</v>
      </c>
      <c r="BH634" s="295">
        <v>698.65</v>
      </c>
      <c r="BI634" s="295">
        <v>558.91999999999996</v>
      </c>
      <c r="BJ634" s="295">
        <v>419.19</v>
      </c>
      <c r="BK634" s="295">
        <v>698.65</v>
      </c>
      <c r="BL634" s="295">
        <v>698.65</v>
      </c>
      <c r="BM634" s="295">
        <v>698.65</v>
      </c>
      <c r="BN634" s="295">
        <v>698.65</v>
      </c>
      <c r="BO634" s="295">
        <v>698.65</v>
      </c>
      <c r="BP634" s="295">
        <v>698.65</v>
      </c>
      <c r="BQ634" s="295">
        <v>698.65</v>
      </c>
      <c r="BR634" s="295">
        <v>698.65</v>
      </c>
      <c r="BS634" s="295">
        <v>698.65</v>
      </c>
      <c r="BT634" s="227">
        <v>7964.6099999999979</v>
      </c>
    </row>
    <row r="635" spans="1:72" ht="15" customHeight="1">
      <c r="A635" s="79" t="s">
        <v>2271</v>
      </c>
      <c r="B635" s="79" t="s">
        <v>2953</v>
      </c>
      <c r="C635" s="79" t="s">
        <v>672</v>
      </c>
      <c r="D635" s="296" t="s">
        <v>672</v>
      </c>
      <c r="E635" s="150" t="s">
        <v>1136</v>
      </c>
      <c r="F635" s="482" t="s">
        <v>1566</v>
      </c>
      <c r="G635" s="150" t="s">
        <v>1135</v>
      </c>
      <c r="H635" s="342" t="s">
        <v>1135</v>
      </c>
      <c r="I635" s="336" t="s">
        <v>1135</v>
      </c>
      <c r="J635" s="462" t="s">
        <v>1135</v>
      </c>
      <c r="K635" s="466" t="s">
        <v>1135</v>
      </c>
      <c r="L635" s="576" t="s">
        <v>639</v>
      </c>
      <c r="M635" s="401"/>
      <c r="N635" s="333"/>
      <c r="O635" s="333"/>
      <c r="P635" s="90" t="s">
        <v>673</v>
      </c>
      <c r="Q635" s="347"/>
      <c r="R635" s="347"/>
      <c r="S635" s="348"/>
      <c r="T635" s="348"/>
      <c r="U635" s="348"/>
      <c r="V635" s="402"/>
      <c r="W635" s="358"/>
      <c r="X635" s="379"/>
      <c r="Y635" s="425"/>
      <c r="Z635" s="71"/>
      <c r="AA635" s="477"/>
      <c r="AB635" s="477"/>
      <c r="AC635" s="477"/>
      <c r="AD635" s="531"/>
      <c r="AE635" s="531"/>
      <c r="AF635" s="429">
        <v>308.33</v>
      </c>
      <c r="AG635" s="364"/>
      <c r="AH635" s="364"/>
      <c r="AI635" s="364"/>
      <c r="AJ635" s="364"/>
      <c r="AK635" s="364"/>
      <c r="AL635" s="364"/>
      <c r="AM635" s="367">
        <f t="shared" si="33"/>
        <v>308.33</v>
      </c>
      <c r="AN635" s="362">
        <f>ERP_2[[#This Row],[2026 Working Total]]-ERP_2[[#This Row],[LE2 Final Submission]]</f>
        <v>308.33</v>
      </c>
      <c r="AO635" s="79"/>
      <c r="AP635" s="79">
        <f t="shared" si="32"/>
        <v>308.33</v>
      </c>
      <c r="AQ635" s="391">
        <f>SUM(ERP_2[[#This Row],[AP01]:[AP06]])-SUM(ERP_2[[#This Row],[AP01 LE2]:[AP06 LE2]])</f>
        <v>308.33</v>
      </c>
      <c r="AR635" s="80"/>
      <c r="AS635" s="79">
        <f>ERP_2[[#This Row],[2026 Working Total to Budget/LE]]-ERP_2[[#This Row],[Giveback]]</f>
        <v>308.33</v>
      </c>
      <c r="AT635" s="81"/>
      <c r="AU635" s="375"/>
      <c r="AV635" s="375"/>
      <c r="AW635" s="375"/>
      <c r="AX635" s="375"/>
      <c r="AY635" s="375"/>
      <c r="AZ635" s="375"/>
      <c r="BA635" s="375"/>
      <c r="BB635" s="375"/>
      <c r="BC635" s="375"/>
      <c r="BD635" s="375"/>
      <c r="BE635" s="375"/>
      <c r="BF635" s="375"/>
      <c r="BG635" s="375"/>
      <c r="BH635" s="79"/>
      <c r="BI635" s="79"/>
      <c r="BJ635" s="79"/>
      <c r="BK635" s="79"/>
      <c r="BL635" s="79"/>
      <c r="BM635" s="79"/>
      <c r="BN635" s="79"/>
      <c r="BO635" s="79"/>
      <c r="BP635" s="79"/>
      <c r="BQ635" s="79"/>
      <c r="BR635" s="79"/>
      <c r="BS635" s="79"/>
      <c r="BT635" s="79"/>
    </row>
    <row r="636" spans="1:72" ht="15" customHeight="1">
      <c r="A636" s="66" t="s">
        <v>2272</v>
      </c>
      <c r="B636" s="66" t="s">
        <v>2953</v>
      </c>
      <c r="C636" s="66" t="s">
        <v>672</v>
      </c>
      <c r="D636" s="66" t="s">
        <v>2273</v>
      </c>
      <c r="E636" s="150" t="s">
        <v>1136</v>
      </c>
      <c r="F636" s="482" t="s">
        <v>1566</v>
      </c>
      <c r="G636" s="150" t="s">
        <v>1135</v>
      </c>
      <c r="H636" s="342" t="s">
        <v>1145</v>
      </c>
      <c r="I636" s="342" t="s">
        <v>1135</v>
      </c>
      <c r="J636" s="342" t="s">
        <v>1145</v>
      </c>
      <c r="K636" s="342" t="s">
        <v>1137</v>
      </c>
      <c r="L636" s="521" t="s">
        <v>639</v>
      </c>
      <c r="M636" s="451" t="s">
        <v>2274</v>
      </c>
      <c r="N636" s="343"/>
      <c r="O636" s="343"/>
      <c r="P636" s="70" t="s">
        <v>673</v>
      </c>
      <c r="Q636" s="346"/>
      <c r="R636" s="346" t="s">
        <v>1140</v>
      </c>
      <c r="S636" s="346"/>
      <c r="T636" s="150" t="s">
        <v>57</v>
      </c>
      <c r="U636" s="150"/>
      <c r="V636" s="403"/>
      <c r="W636" s="406">
        <v>0</v>
      </c>
      <c r="X636" s="406">
        <v>616.66</v>
      </c>
      <c r="Y636" s="425"/>
      <c r="Z636" s="71"/>
      <c r="AA636" s="427">
        <v>308.33</v>
      </c>
      <c r="AB636" s="431">
        <v>0</v>
      </c>
      <c r="AC636" s="427">
        <v>308.33</v>
      </c>
      <c r="AD636" s="428">
        <v>308.33</v>
      </c>
      <c r="AE636" s="429">
        <v>308.33</v>
      </c>
      <c r="AF636" s="429">
        <v>0</v>
      </c>
      <c r="AG636" s="360">
        <v>0</v>
      </c>
      <c r="AH636" s="360">
        <v>0</v>
      </c>
      <c r="AI636" s="360">
        <v>0</v>
      </c>
      <c r="AJ636" s="360">
        <v>0</v>
      </c>
      <c r="AK636" s="360">
        <v>0</v>
      </c>
      <c r="AL636" s="360">
        <v>0</v>
      </c>
      <c r="AM636" s="367">
        <f t="shared" si="33"/>
        <v>1233.32</v>
      </c>
      <c r="AN636" s="455">
        <f>ERP_2[[#This Row],[2026 Working Total]]-ERP_2[[#This Row],[LE2 Final Submission]]</f>
        <v>616.66</v>
      </c>
      <c r="AO636" s="79">
        <v>0</v>
      </c>
      <c r="AP636" s="79">
        <f t="shared" si="32"/>
        <v>0</v>
      </c>
      <c r="AQ636" s="374">
        <f>SUM(ERP_2[[#This Row],[AP01]:[AP06]])-SUM(ERP_2[[#This Row],[AP01 LE2]:[AP06 LE2]])</f>
        <v>616.66</v>
      </c>
      <c r="AR636" s="80"/>
      <c r="AS636" s="79">
        <f>ERP_2[[#This Row],[2026 Working Total to Budget/LE]]-ERP_2[[#This Row],[Giveback]]</f>
        <v>616.66</v>
      </c>
      <c r="AT636" s="81"/>
      <c r="AU636" s="375">
        <v>308.33</v>
      </c>
      <c r="AV636" s="375">
        <v>0</v>
      </c>
      <c r="AW636" s="375">
        <v>308.33</v>
      </c>
      <c r="AX636" s="375">
        <v>0</v>
      </c>
      <c r="AY636" s="375">
        <v>0</v>
      </c>
      <c r="AZ636" s="375">
        <v>0</v>
      </c>
      <c r="BA636" s="375">
        <v>0</v>
      </c>
      <c r="BB636" s="375">
        <v>0</v>
      </c>
      <c r="BC636" s="375">
        <v>0</v>
      </c>
      <c r="BD636" s="375">
        <v>0</v>
      </c>
      <c r="BE636" s="375">
        <v>0</v>
      </c>
      <c r="BF636" s="375">
        <v>0</v>
      </c>
      <c r="BG636" s="375">
        <v>616.66</v>
      </c>
      <c r="BH636" s="79">
        <v>308.33</v>
      </c>
      <c r="BI636" s="79">
        <v>0</v>
      </c>
      <c r="BJ636" s="79">
        <v>308.33</v>
      </c>
      <c r="BK636" s="79">
        <v>0</v>
      </c>
      <c r="BL636" s="79">
        <v>0</v>
      </c>
      <c r="BM636" s="79">
        <v>0</v>
      </c>
      <c r="BN636" s="79">
        <v>0</v>
      </c>
      <c r="BO636" s="79">
        <v>0</v>
      </c>
      <c r="BP636" s="79">
        <v>0</v>
      </c>
      <c r="BQ636" s="79">
        <v>0</v>
      </c>
      <c r="BR636" s="79">
        <v>0</v>
      </c>
      <c r="BS636" s="79">
        <v>0</v>
      </c>
      <c r="BT636" s="79">
        <v>616.66</v>
      </c>
    </row>
    <row r="637" spans="1:72" ht="15" customHeight="1">
      <c r="A637" s="66" t="s">
        <v>2277</v>
      </c>
      <c r="B637" s="66" t="s">
        <v>2953</v>
      </c>
      <c r="C637" s="66" t="s">
        <v>674</v>
      </c>
      <c r="D637" s="66" t="s">
        <v>674</v>
      </c>
      <c r="E637" s="150" t="s">
        <v>1136</v>
      </c>
      <c r="F637" s="482" t="s">
        <v>1566</v>
      </c>
      <c r="G637" s="150" t="s">
        <v>1135</v>
      </c>
      <c r="H637" s="150" t="s">
        <v>1135</v>
      </c>
      <c r="I637" s="150" t="s">
        <v>1135</v>
      </c>
      <c r="J637" s="150" t="s">
        <v>1135</v>
      </c>
      <c r="K637" s="150" t="s">
        <v>1137</v>
      </c>
      <c r="L637" s="511" t="s">
        <v>639</v>
      </c>
      <c r="M637" s="392" t="s">
        <v>1703</v>
      </c>
      <c r="N637" s="343"/>
      <c r="O637" s="343"/>
      <c r="P637" s="70" t="s">
        <v>365</v>
      </c>
      <c r="Q637" s="346"/>
      <c r="R637" s="346" t="s">
        <v>1140</v>
      </c>
      <c r="S637" s="346"/>
      <c r="T637" s="150" t="s">
        <v>57</v>
      </c>
      <c r="U637" s="150"/>
      <c r="V637" s="403"/>
      <c r="W637" s="406">
        <v>0</v>
      </c>
      <c r="X637" s="406">
        <v>288</v>
      </c>
      <c r="Y637" s="430"/>
      <c r="Z637" s="137"/>
      <c r="AA637" s="427"/>
      <c r="AB637" s="427">
        <v>288</v>
      </c>
      <c r="AC637" s="431">
        <v>0</v>
      </c>
      <c r="AD637" s="428">
        <v>0</v>
      </c>
      <c r="AE637" s="429">
        <v>800</v>
      </c>
      <c r="AF637" s="429">
        <v>0</v>
      </c>
      <c r="AG637" s="360">
        <v>0</v>
      </c>
      <c r="AH637" s="360">
        <v>0</v>
      </c>
      <c r="AI637" s="360">
        <v>0</v>
      </c>
      <c r="AJ637" s="360">
        <v>0</v>
      </c>
      <c r="AK637" s="360">
        <v>0</v>
      </c>
      <c r="AL637" s="360">
        <v>0</v>
      </c>
      <c r="AM637" s="367">
        <f t="shared" si="33"/>
        <v>1088</v>
      </c>
      <c r="AN637" s="455">
        <f>ERP_2[[#This Row],[2026 Working Total]]-ERP_2[[#This Row],[LE2 Final Submission]]</f>
        <v>800</v>
      </c>
      <c r="AO637" s="79">
        <v>0</v>
      </c>
      <c r="AP637" s="79">
        <f t="shared" si="32"/>
        <v>0</v>
      </c>
      <c r="AQ637" s="374">
        <f>SUM(ERP_2[[#This Row],[AP01]:[AP06]])-SUM(ERP_2[[#This Row],[AP01 LE2]:[AP06 LE2]])</f>
        <v>800</v>
      </c>
      <c r="AR637" s="80"/>
      <c r="AS637" s="79">
        <f>ERP_2[[#This Row],[2026 Working Total to Budget/LE]]-ERP_2[[#This Row],[Giveback]]</f>
        <v>800</v>
      </c>
      <c r="AT637" s="81"/>
      <c r="AU637" s="375"/>
      <c r="AV637" s="375">
        <v>288</v>
      </c>
      <c r="AW637" s="375">
        <v>0</v>
      </c>
      <c r="AX637" s="375">
        <v>0</v>
      </c>
      <c r="AY637" s="375">
        <v>0</v>
      </c>
      <c r="AZ637" s="375">
        <v>0</v>
      </c>
      <c r="BA637" s="375">
        <v>0</v>
      </c>
      <c r="BB637" s="375">
        <v>0</v>
      </c>
      <c r="BC637" s="375">
        <v>0</v>
      </c>
      <c r="BD637" s="375">
        <v>0</v>
      </c>
      <c r="BE637" s="375">
        <v>0</v>
      </c>
      <c r="BF637" s="375">
        <v>0</v>
      </c>
      <c r="BG637" s="375">
        <v>288</v>
      </c>
      <c r="BH637" s="79"/>
      <c r="BI637" s="79">
        <v>288</v>
      </c>
      <c r="BJ637" s="79">
        <v>0</v>
      </c>
      <c r="BK637" s="79">
        <v>0</v>
      </c>
      <c r="BL637" s="79">
        <v>0</v>
      </c>
      <c r="BM637" s="79">
        <v>0</v>
      </c>
      <c r="BN637" s="79">
        <v>0</v>
      </c>
      <c r="BO637" s="79">
        <v>0</v>
      </c>
      <c r="BP637" s="79">
        <v>0</v>
      </c>
      <c r="BQ637" s="79">
        <v>0</v>
      </c>
      <c r="BR637" s="79">
        <v>0</v>
      </c>
      <c r="BS637" s="79">
        <v>0</v>
      </c>
      <c r="BT637" s="79">
        <v>288</v>
      </c>
    </row>
    <row r="638" spans="1:72" ht="15" customHeight="1">
      <c r="A638" s="66" t="s">
        <v>2280</v>
      </c>
      <c r="B638" s="66" t="s">
        <v>2953</v>
      </c>
      <c r="C638" s="66" t="s">
        <v>674</v>
      </c>
      <c r="D638" s="66" t="s">
        <v>2281</v>
      </c>
      <c r="E638" s="150" t="s">
        <v>1136</v>
      </c>
      <c r="F638" s="482" t="s">
        <v>1566</v>
      </c>
      <c r="G638" s="150" t="s">
        <v>1135</v>
      </c>
      <c r="H638" s="150" t="s">
        <v>1165</v>
      </c>
      <c r="I638" s="150" t="s">
        <v>1135</v>
      </c>
      <c r="J638" s="150" t="s">
        <v>1165</v>
      </c>
      <c r="K638" s="150" t="s">
        <v>1137</v>
      </c>
      <c r="L638" s="511" t="s">
        <v>639</v>
      </c>
      <c r="M638" s="451" t="s">
        <v>1703</v>
      </c>
      <c r="N638" s="343"/>
      <c r="O638" s="343"/>
      <c r="P638" s="70" t="s">
        <v>365</v>
      </c>
      <c r="Q638" s="346"/>
      <c r="R638" s="346" t="s">
        <v>1140</v>
      </c>
      <c r="S638" s="346"/>
      <c r="T638" s="150" t="s">
        <v>57</v>
      </c>
      <c r="U638" s="150"/>
      <c r="V638" s="403"/>
      <c r="W638" s="406">
        <v>0</v>
      </c>
      <c r="X638" s="406">
        <v>18.920000000000002</v>
      </c>
      <c r="Y638" s="425"/>
      <c r="Z638" s="71"/>
      <c r="AA638" s="427"/>
      <c r="AB638" s="427">
        <v>18.920000000000002</v>
      </c>
      <c r="AC638" s="431">
        <v>0</v>
      </c>
      <c r="AD638" s="428">
        <v>0</v>
      </c>
      <c r="AE638" s="429">
        <v>0</v>
      </c>
      <c r="AF638" s="429">
        <v>0</v>
      </c>
      <c r="AG638" s="360">
        <v>0</v>
      </c>
      <c r="AH638" s="360">
        <v>0</v>
      </c>
      <c r="AI638" s="360">
        <v>0</v>
      </c>
      <c r="AJ638" s="360">
        <v>0</v>
      </c>
      <c r="AK638" s="360">
        <v>0</v>
      </c>
      <c r="AL638" s="360">
        <v>0</v>
      </c>
      <c r="AM638" s="367">
        <f t="shared" si="33"/>
        <v>18.920000000000002</v>
      </c>
      <c r="AN638" s="455">
        <f>ERP_2[[#This Row],[2026 Working Total]]-ERP_2[[#This Row],[LE2 Final Submission]]</f>
        <v>0</v>
      </c>
      <c r="AO638" s="79">
        <v>0</v>
      </c>
      <c r="AP638" s="79">
        <f t="shared" si="32"/>
        <v>0</v>
      </c>
      <c r="AQ638" s="374">
        <f>SUM(ERP_2[[#This Row],[AP01]:[AP06]])-SUM(ERP_2[[#This Row],[AP01 LE2]:[AP06 LE2]])</f>
        <v>0</v>
      </c>
      <c r="AR638" s="80"/>
      <c r="AS638" s="79">
        <f>ERP_2[[#This Row],[2026 Working Total to Budget/LE]]-ERP_2[[#This Row],[Giveback]]</f>
        <v>0</v>
      </c>
      <c r="AT638" s="81"/>
      <c r="AU638" s="375"/>
      <c r="AV638" s="375">
        <v>18.920000000000002</v>
      </c>
      <c r="AW638" s="375">
        <v>0</v>
      </c>
      <c r="AX638" s="375">
        <v>0</v>
      </c>
      <c r="AY638" s="375">
        <v>0</v>
      </c>
      <c r="AZ638" s="375">
        <v>0</v>
      </c>
      <c r="BA638" s="375">
        <v>0</v>
      </c>
      <c r="BB638" s="375">
        <v>0</v>
      </c>
      <c r="BC638" s="375">
        <v>0</v>
      </c>
      <c r="BD638" s="375">
        <v>0</v>
      </c>
      <c r="BE638" s="375">
        <v>0</v>
      </c>
      <c r="BF638" s="375">
        <v>0</v>
      </c>
      <c r="BG638" s="375">
        <v>18.920000000000002</v>
      </c>
      <c r="BH638" s="79"/>
      <c r="BI638" s="79">
        <v>18.920000000000002</v>
      </c>
      <c r="BJ638" s="79">
        <v>0</v>
      </c>
      <c r="BK638" s="79">
        <v>0</v>
      </c>
      <c r="BL638" s="79">
        <v>0</v>
      </c>
      <c r="BM638" s="79">
        <v>0</v>
      </c>
      <c r="BN638" s="79">
        <v>0</v>
      </c>
      <c r="BO638" s="79">
        <v>0</v>
      </c>
      <c r="BP638" s="79">
        <v>0</v>
      </c>
      <c r="BQ638" s="79">
        <v>0</v>
      </c>
      <c r="BR638" s="79">
        <v>0</v>
      </c>
      <c r="BS638" s="79">
        <v>0</v>
      </c>
      <c r="BT638" s="79">
        <v>18.920000000000002</v>
      </c>
    </row>
    <row r="639" spans="1:72" ht="15" customHeight="1">
      <c r="A639" s="66" t="s">
        <v>2286</v>
      </c>
      <c r="B639" s="66" t="s">
        <v>2953</v>
      </c>
      <c r="C639" s="66" t="s">
        <v>675</v>
      </c>
      <c r="D639" s="66" t="s">
        <v>2287</v>
      </c>
      <c r="E639" s="150" t="s">
        <v>1136</v>
      </c>
      <c r="F639" s="482" t="s">
        <v>1566</v>
      </c>
      <c r="G639" s="150" t="s">
        <v>1135</v>
      </c>
      <c r="H639" s="150" t="s">
        <v>1135</v>
      </c>
      <c r="I639" s="150" t="s">
        <v>1135</v>
      </c>
      <c r="J639" s="150" t="s">
        <v>1137</v>
      </c>
      <c r="K639" s="150" t="s">
        <v>1137</v>
      </c>
      <c r="L639" s="511" t="s">
        <v>639</v>
      </c>
      <c r="M639" s="451" t="s">
        <v>2285</v>
      </c>
      <c r="N639" s="343"/>
      <c r="O639" s="343"/>
      <c r="P639" s="70" t="s">
        <v>676</v>
      </c>
      <c r="Q639" s="346"/>
      <c r="R639" s="346" t="s">
        <v>1140</v>
      </c>
      <c r="S639" s="346"/>
      <c r="T639" s="150" t="s">
        <v>677</v>
      </c>
      <c r="U639" s="1" t="s">
        <v>1141</v>
      </c>
      <c r="V639" s="403"/>
      <c r="W639" s="406">
        <v>10000</v>
      </c>
      <c r="X639" s="406">
        <v>12811.43</v>
      </c>
      <c r="Y639" s="425"/>
      <c r="Z639" s="71"/>
      <c r="AA639" s="427">
        <v>553.5</v>
      </c>
      <c r="AB639" s="427">
        <v>681</v>
      </c>
      <c r="AC639" s="427">
        <v>1576.93</v>
      </c>
      <c r="AD639" s="428">
        <v>227</v>
      </c>
      <c r="AE639" s="429">
        <v>496.48</v>
      </c>
      <c r="AF639" s="429">
        <v>0</v>
      </c>
      <c r="AG639" s="360">
        <v>0</v>
      </c>
      <c r="AH639" s="360">
        <v>0</v>
      </c>
      <c r="AI639" s="360">
        <v>0</v>
      </c>
      <c r="AJ639" s="360">
        <v>0</v>
      </c>
      <c r="AK639" s="360">
        <v>0</v>
      </c>
      <c r="AL639" s="363">
        <v>5000</v>
      </c>
      <c r="AM639" s="367">
        <f t="shared" si="33"/>
        <v>8534.91</v>
      </c>
      <c r="AN639" s="455">
        <f>ERP_2[[#This Row],[2026 Working Total]]-ERP_2[[#This Row],[LE2 Final Submission]]</f>
        <v>-4276.5200000000004</v>
      </c>
      <c r="AO639" s="79">
        <v>0</v>
      </c>
      <c r="AP639" s="79">
        <f t="shared" si="32"/>
        <v>0</v>
      </c>
      <c r="AQ639" s="374">
        <f>SUM(ERP_2[[#This Row],[AP01]:[AP06]])-SUM(ERP_2[[#This Row],[AP01 LE2]:[AP06 LE2]])</f>
        <v>-4276.5200000000004</v>
      </c>
      <c r="AR639" s="80"/>
      <c r="AS639" s="79">
        <f>ERP_2[[#This Row],[2026 Working Total to Budget/LE]]-ERP_2[[#This Row],[Giveback]]</f>
        <v>-4276.5200000000004</v>
      </c>
      <c r="AT639" s="81"/>
      <c r="AU639" s="375">
        <v>553.5</v>
      </c>
      <c r="AV639" s="375">
        <v>681</v>
      </c>
      <c r="AW639" s="375">
        <v>1576.93</v>
      </c>
      <c r="AX639" s="375">
        <v>0</v>
      </c>
      <c r="AY639" s="375">
        <v>0</v>
      </c>
      <c r="AZ639" s="375">
        <v>5000</v>
      </c>
      <c r="BA639" s="375">
        <v>0</v>
      </c>
      <c r="BB639" s="375">
        <v>0</v>
      </c>
      <c r="BC639" s="375">
        <v>0</v>
      </c>
      <c r="BD639" s="375">
        <v>0</v>
      </c>
      <c r="BE639" s="375">
        <v>0</v>
      </c>
      <c r="BF639" s="375">
        <v>5000</v>
      </c>
      <c r="BG639" s="375">
        <v>12811.43</v>
      </c>
      <c r="BH639" s="79">
        <v>553.5</v>
      </c>
      <c r="BI639" s="79">
        <v>681</v>
      </c>
      <c r="BJ639" s="79">
        <v>1576.93</v>
      </c>
      <c r="BK639" s="79">
        <v>0</v>
      </c>
      <c r="BL639" s="79">
        <v>0</v>
      </c>
      <c r="BM639" s="79">
        <v>5000</v>
      </c>
      <c r="BN639" s="79">
        <v>0</v>
      </c>
      <c r="BO639" s="79">
        <v>0</v>
      </c>
      <c r="BP639" s="79">
        <v>0</v>
      </c>
      <c r="BQ639" s="79">
        <v>0</v>
      </c>
      <c r="BR639" s="79">
        <v>0</v>
      </c>
      <c r="BS639" s="79">
        <v>5000</v>
      </c>
      <c r="BT639" s="79">
        <v>12811.43</v>
      </c>
    </row>
    <row r="640" spans="1:72" ht="15" customHeight="1">
      <c r="A640" s="66" t="s">
        <v>2288</v>
      </c>
      <c r="B640" s="66" t="s">
        <v>2953</v>
      </c>
      <c r="C640" s="66" t="s">
        <v>675</v>
      </c>
      <c r="D640" s="66" t="s">
        <v>2289</v>
      </c>
      <c r="E640" s="150" t="s">
        <v>1136</v>
      </c>
      <c r="F640" s="482" t="s">
        <v>1566</v>
      </c>
      <c r="G640" s="150" t="s">
        <v>1135</v>
      </c>
      <c r="H640" s="150" t="s">
        <v>1145</v>
      </c>
      <c r="I640" s="150" t="s">
        <v>1135</v>
      </c>
      <c r="J640" s="150" t="s">
        <v>1145</v>
      </c>
      <c r="K640" s="150" t="s">
        <v>1137</v>
      </c>
      <c r="L640" s="511" t="s">
        <v>639</v>
      </c>
      <c r="M640" s="451" t="s">
        <v>2285</v>
      </c>
      <c r="N640" s="343"/>
      <c r="O640" s="343"/>
      <c r="P640" s="70" t="s">
        <v>676</v>
      </c>
      <c r="Q640" s="346"/>
      <c r="R640" s="346" t="s">
        <v>1140</v>
      </c>
      <c r="S640" s="346"/>
      <c r="T640" s="150" t="s">
        <v>677</v>
      </c>
      <c r="U640" s="150"/>
      <c r="V640" s="403"/>
      <c r="W640" s="406">
        <v>550</v>
      </c>
      <c r="X640" s="406">
        <v>777</v>
      </c>
      <c r="Y640" s="425"/>
      <c r="Z640" s="71"/>
      <c r="AA640" s="427"/>
      <c r="AB640" s="427">
        <v>227</v>
      </c>
      <c r="AC640" s="431">
        <v>0</v>
      </c>
      <c r="AD640" s="428">
        <v>0</v>
      </c>
      <c r="AE640" s="429">
        <v>454</v>
      </c>
      <c r="AF640" s="429">
        <v>0</v>
      </c>
      <c r="AG640" s="360">
        <v>0</v>
      </c>
      <c r="AH640" s="360">
        <v>0</v>
      </c>
      <c r="AI640" s="360">
        <v>0</v>
      </c>
      <c r="AJ640" s="360">
        <v>0</v>
      </c>
      <c r="AK640" s="360">
        <v>0</v>
      </c>
      <c r="AL640" s="360">
        <v>0</v>
      </c>
      <c r="AM640" s="367">
        <f t="shared" si="33"/>
        <v>681</v>
      </c>
      <c r="AN640" s="455">
        <f>ERP_2[[#This Row],[2026 Working Total]]-ERP_2[[#This Row],[LE2 Final Submission]]</f>
        <v>-96</v>
      </c>
      <c r="AO640" s="79">
        <v>0</v>
      </c>
      <c r="AP640" s="79">
        <f t="shared" si="32"/>
        <v>0</v>
      </c>
      <c r="AQ640" s="374">
        <f>SUM(ERP_2[[#This Row],[AP01]:[AP06]])-SUM(ERP_2[[#This Row],[AP01 LE2]:[AP06 LE2]])</f>
        <v>-96</v>
      </c>
      <c r="AR640" s="80"/>
      <c r="AS640" s="79">
        <f>ERP_2[[#This Row],[2026 Working Total to Budget/LE]]-ERP_2[[#This Row],[Giveback]]</f>
        <v>-96</v>
      </c>
      <c r="AT640" s="81"/>
      <c r="AU640" s="375"/>
      <c r="AV640" s="375">
        <v>227</v>
      </c>
      <c r="AW640" s="375">
        <v>0</v>
      </c>
      <c r="AX640" s="375">
        <v>550</v>
      </c>
      <c r="AY640" s="375">
        <v>0</v>
      </c>
      <c r="AZ640" s="375">
        <v>0</v>
      </c>
      <c r="BA640" s="375">
        <v>0</v>
      </c>
      <c r="BB640" s="375">
        <v>0</v>
      </c>
      <c r="BC640" s="375">
        <v>0</v>
      </c>
      <c r="BD640" s="375">
        <v>0</v>
      </c>
      <c r="BE640" s="375">
        <v>0</v>
      </c>
      <c r="BF640" s="375">
        <v>0</v>
      </c>
      <c r="BG640" s="375">
        <v>777</v>
      </c>
      <c r="BH640" s="79"/>
      <c r="BI640" s="79">
        <v>227</v>
      </c>
      <c r="BJ640" s="79">
        <v>0</v>
      </c>
      <c r="BK640" s="79">
        <v>550</v>
      </c>
      <c r="BL640" s="79">
        <v>0</v>
      </c>
      <c r="BM640" s="79">
        <v>0</v>
      </c>
      <c r="BN640" s="79">
        <v>0</v>
      </c>
      <c r="BO640" s="79">
        <v>0</v>
      </c>
      <c r="BP640" s="79">
        <v>0</v>
      </c>
      <c r="BQ640" s="79">
        <v>0</v>
      </c>
      <c r="BR640" s="79">
        <v>0</v>
      </c>
      <c r="BS640" s="79">
        <v>0</v>
      </c>
      <c r="BT640" s="79">
        <v>777</v>
      </c>
    </row>
    <row r="641" spans="1:72" ht="15" customHeight="1">
      <c r="A641" s="66" t="s">
        <v>2292</v>
      </c>
      <c r="B641" s="66" t="s">
        <v>2953</v>
      </c>
      <c r="C641" s="66" t="s">
        <v>678</v>
      </c>
      <c r="D641" s="66" t="s">
        <v>2293</v>
      </c>
      <c r="E641" s="150" t="s">
        <v>1136</v>
      </c>
      <c r="F641" s="482" t="s">
        <v>1566</v>
      </c>
      <c r="G641" s="150" t="s">
        <v>1135</v>
      </c>
      <c r="H641" s="150" t="s">
        <v>1135</v>
      </c>
      <c r="I641" s="150" t="s">
        <v>1135</v>
      </c>
      <c r="J641" s="150" t="s">
        <v>1137</v>
      </c>
      <c r="K641" s="150" t="s">
        <v>1137</v>
      </c>
      <c r="L641" s="511" t="s">
        <v>639</v>
      </c>
      <c r="M641" s="451" t="s">
        <v>2291</v>
      </c>
      <c r="N641" s="343"/>
      <c r="O641" s="343"/>
      <c r="P641" s="70" t="s">
        <v>679</v>
      </c>
      <c r="Q641" s="346" t="s">
        <v>1153</v>
      </c>
      <c r="R641" s="346" t="s">
        <v>1140</v>
      </c>
      <c r="S641" s="346"/>
      <c r="T641" s="150" t="s">
        <v>680</v>
      </c>
      <c r="U641" s="1" t="s">
        <v>1141</v>
      </c>
      <c r="V641" s="403"/>
      <c r="W641" s="406">
        <v>12000</v>
      </c>
      <c r="X641" s="406">
        <v>13503.74</v>
      </c>
      <c r="Y641" s="425"/>
      <c r="Z641" s="71"/>
      <c r="AA641" s="427">
        <v>3614.02</v>
      </c>
      <c r="AB641" s="431">
        <v>0</v>
      </c>
      <c r="AC641" s="427">
        <v>889.72</v>
      </c>
      <c r="AD641" s="428">
        <v>917.6</v>
      </c>
      <c r="AE641" s="429">
        <v>3154.91</v>
      </c>
      <c r="AF641" s="429">
        <v>4127.83</v>
      </c>
      <c r="AG641" s="363">
        <v>1000</v>
      </c>
      <c r="AH641" s="363">
        <v>1000</v>
      </c>
      <c r="AI641" s="363">
        <v>1000</v>
      </c>
      <c r="AJ641" s="363">
        <v>1000</v>
      </c>
      <c r="AK641" s="363">
        <v>1000</v>
      </c>
      <c r="AL641" s="363">
        <v>1000</v>
      </c>
      <c r="AM641" s="367">
        <f t="shared" si="33"/>
        <v>18704.080000000002</v>
      </c>
      <c r="AN641" s="455">
        <f>ERP_2[[#This Row],[2026 Working Total]]-ERP_2[[#This Row],[LE2 Final Submission]]</f>
        <v>5200.340000000002</v>
      </c>
      <c r="AO641" s="79">
        <v>1000</v>
      </c>
      <c r="AP641" s="79">
        <f t="shared" si="32"/>
        <v>3127.83</v>
      </c>
      <c r="AQ641" s="374">
        <f>SUM(ERP_2[[#This Row],[AP01]:[AP06]])-SUM(ERP_2[[#This Row],[AP01 LE2]:[AP06 LE2]])</f>
        <v>5200.34</v>
      </c>
      <c r="AR641" s="80"/>
      <c r="AS641" s="79">
        <f>ERP_2[[#This Row],[2026 Working Total to Budget/LE]]-ERP_2[[#This Row],[Giveback]]</f>
        <v>5200.340000000002</v>
      </c>
      <c r="AT641" s="81"/>
      <c r="AU641" s="375">
        <v>3614.02</v>
      </c>
      <c r="AV641" s="375">
        <v>0</v>
      </c>
      <c r="AW641" s="375">
        <v>889.72</v>
      </c>
      <c r="AX641" s="375">
        <v>1000</v>
      </c>
      <c r="AY641" s="375">
        <v>1000</v>
      </c>
      <c r="AZ641" s="375">
        <v>1000</v>
      </c>
      <c r="BA641" s="375">
        <v>1000</v>
      </c>
      <c r="BB641" s="375">
        <v>1000</v>
      </c>
      <c r="BC641" s="375">
        <v>1000</v>
      </c>
      <c r="BD641" s="375">
        <v>1000</v>
      </c>
      <c r="BE641" s="375">
        <v>1000</v>
      </c>
      <c r="BF641" s="375">
        <v>1000</v>
      </c>
      <c r="BG641" s="375">
        <v>13503.74</v>
      </c>
      <c r="BH641" s="79">
        <v>3614.02</v>
      </c>
      <c r="BI641" s="79">
        <v>0</v>
      </c>
      <c r="BJ641" s="79">
        <v>889.72</v>
      </c>
      <c r="BK641" s="79">
        <v>1000</v>
      </c>
      <c r="BL641" s="79">
        <v>1000</v>
      </c>
      <c r="BM641" s="79">
        <v>1000</v>
      </c>
      <c r="BN641" s="79">
        <v>1000</v>
      </c>
      <c r="BO641" s="79">
        <v>1000</v>
      </c>
      <c r="BP641" s="79">
        <v>1000</v>
      </c>
      <c r="BQ641" s="79">
        <v>1000</v>
      </c>
      <c r="BR641" s="79">
        <v>1000</v>
      </c>
      <c r="BS641" s="79">
        <v>1000</v>
      </c>
      <c r="BT641" s="79">
        <v>13503.74</v>
      </c>
    </row>
    <row r="642" spans="1:72" ht="15" customHeight="1">
      <c r="A642" s="66" t="s">
        <v>2294</v>
      </c>
      <c r="B642" s="66" t="s">
        <v>2953</v>
      </c>
      <c r="C642" s="66" t="s">
        <v>678</v>
      </c>
      <c r="D642" s="66" t="s">
        <v>2295</v>
      </c>
      <c r="E642" s="150" t="s">
        <v>1136</v>
      </c>
      <c r="F642" s="482" t="s">
        <v>1566</v>
      </c>
      <c r="G642" s="150" t="s">
        <v>1135</v>
      </c>
      <c r="H642" s="150" t="s">
        <v>1145</v>
      </c>
      <c r="I642" s="150" t="s">
        <v>1135</v>
      </c>
      <c r="J642" s="150" t="s">
        <v>1145</v>
      </c>
      <c r="K642" s="150" t="s">
        <v>1137</v>
      </c>
      <c r="L642" s="511" t="s">
        <v>639</v>
      </c>
      <c r="M642" s="451" t="s">
        <v>2291</v>
      </c>
      <c r="N642" s="343"/>
      <c r="O642" s="343"/>
      <c r="P642" s="70" t="s">
        <v>679</v>
      </c>
      <c r="Q642" s="346" t="s">
        <v>1153</v>
      </c>
      <c r="R642" s="346" t="s">
        <v>1140</v>
      </c>
      <c r="S642" s="346"/>
      <c r="T642" s="150" t="s">
        <v>680</v>
      </c>
      <c r="U642" s="150"/>
      <c r="V642" s="403"/>
      <c r="W642" s="406">
        <v>370</v>
      </c>
      <c r="X642" s="406">
        <v>370</v>
      </c>
      <c r="Y642" s="425"/>
      <c r="Z642" s="71"/>
      <c r="AA642" s="427"/>
      <c r="AB642" s="427"/>
      <c r="AC642" s="427"/>
      <c r="AD642" s="428" t="s">
        <v>1142</v>
      </c>
      <c r="AE642" s="429">
        <v>0</v>
      </c>
      <c r="AF642" s="429">
        <v>0</v>
      </c>
      <c r="AG642" s="360">
        <v>0</v>
      </c>
      <c r="AH642" s="360">
        <v>0</v>
      </c>
      <c r="AI642" s="360">
        <v>0</v>
      </c>
      <c r="AJ642" s="360">
        <v>0</v>
      </c>
      <c r="AK642" s="360">
        <v>0</v>
      </c>
      <c r="AL642" s="360">
        <v>0</v>
      </c>
      <c r="AM642" s="367">
        <f t="shared" si="33"/>
        <v>0</v>
      </c>
      <c r="AN642" s="455">
        <f>ERP_2[[#This Row],[2026 Working Total]]-ERP_2[[#This Row],[LE2 Final Submission]]</f>
        <v>-370</v>
      </c>
      <c r="AO642" s="79">
        <v>0</v>
      </c>
      <c r="AP642" s="79">
        <f t="shared" si="32"/>
        <v>0</v>
      </c>
      <c r="AQ642" s="374">
        <f>SUM(ERP_2[[#This Row],[AP01]:[AP06]])-SUM(ERP_2[[#This Row],[AP01 LE2]:[AP06 LE2]])</f>
        <v>-370</v>
      </c>
      <c r="AR642" s="80"/>
      <c r="AS642" s="79">
        <f>ERP_2[[#This Row],[2026 Working Total to Budget/LE]]-ERP_2[[#This Row],[Giveback]]</f>
        <v>-370</v>
      </c>
      <c r="AT642" s="81"/>
      <c r="AU642" s="375"/>
      <c r="AV642" s="375"/>
      <c r="AW642" s="375"/>
      <c r="AX642" s="375">
        <v>370</v>
      </c>
      <c r="AY642" s="375">
        <v>0</v>
      </c>
      <c r="AZ642" s="375">
        <v>0</v>
      </c>
      <c r="BA642" s="375">
        <v>0</v>
      </c>
      <c r="BB642" s="375">
        <v>0</v>
      </c>
      <c r="BC642" s="375">
        <v>0</v>
      </c>
      <c r="BD642" s="375">
        <v>0</v>
      </c>
      <c r="BE642" s="375">
        <v>0</v>
      </c>
      <c r="BF642" s="375">
        <v>0</v>
      </c>
      <c r="BG642" s="375">
        <v>370</v>
      </c>
      <c r="BH642" s="79"/>
      <c r="BI642" s="79"/>
      <c r="BJ642" s="79"/>
      <c r="BK642" s="79">
        <v>370</v>
      </c>
      <c r="BL642" s="79">
        <v>0</v>
      </c>
      <c r="BM642" s="79">
        <v>0</v>
      </c>
      <c r="BN642" s="79">
        <v>0</v>
      </c>
      <c r="BO642" s="79">
        <v>0</v>
      </c>
      <c r="BP642" s="79">
        <v>0</v>
      </c>
      <c r="BQ642" s="79">
        <v>0</v>
      </c>
      <c r="BR642" s="79">
        <v>0</v>
      </c>
      <c r="BS642" s="79">
        <v>0</v>
      </c>
      <c r="BT642" s="79">
        <v>370</v>
      </c>
    </row>
    <row r="643" spans="1:72" ht="15" customHeight="1">
      <c r="A643" s="66" t="s">
        <v>2296</v>
      </c>
      <c r="B643" s="66" t="s">
        <v>2953</v>
      </c>
      <c r="C643" s="66" t="s">
        <v>678</v>
      </c>
      <c r="D643" s="66" t="s">
        <v>2297</v>
      </c>
      <c r="E643" s="150" t="s">
        <v>1136</v>
      </c>
      <c r="F643" s="482" t="s">
        <v>1566</v>
      </c>
      <c r="G643" s="150" t="s">
        <v>1135</v>
      </c>
      <c r="H643" s="150" t="s">
        <v>1165</v>
      </c>
      <c r="I643" s="150" t="s">
        <v>1135</v>
      </c>
      <c r="J643" s="150" t="s">
        <v>1165</v>
      </c>
      <c r="K643" s="150" t="s">
        <v>1137</v>
      </c>
      <c r="L643" s="511" t="s">
        <v>639</v>
      </c>
      <c r="M643" s="451" t="s">
        <v>2291</v>
      </c>
      <c r="N643" s="343"/>
      <c r="O643" s="343"/>
      <c r="P643" s="70" t="s">
        <v>679</v>
      </c>
      <c r="Q643" s="346" t="s">
        <v>1153</v>
      </c>
      <c r="R643" s="346" t="s">
        <v>1140</v>
      </c>
      <c r="S643" s="346"/>
      <c r="T643" s="150" t="s">
        <v>680</v>
      </c>
      <c r="U643" s="150"/>
      <c r="V643" s="403"/>
      <c r="W643" s="406">
        <v>0</v>
      </c>
      <c r="X643" s="406">
        <v>1293</v>
      </c>
      <c r="Y643" s="425"/>
      <c r="Z643" s="71"/>
      <c r="AA643" s="427"/>
      <c r="AB643" s="427">
        <v>1293</v>
      </c>
      <c r="AC643" s="431">
        <v>0</v>
      </c>
      <c r="AD643" s="428">
        <v>0</v>
      </c>
      <c r="AE643" s="429">
        <v>0</v>
      </c>
      <c r="AF643" s="429">
        <v>431</v>
      </c>
      <c r="AG643" s="360">
        <v>0</v>
      </c>
      <c r="AH643" s="360">
        <v>0</v>
      </c>
      <c r="AI643" s="360">
        <v>0</v>
      </c>
      <c r="AJ643" s="360">
        <v>0</v>
      </c>
      <c r="AK643" s="360">
        <v>0</v>
      </c>
      <c r="AL643" s="360">
        <v>0</v>
      </c>
      <c r="AM643" s="367">
        <f t="shared" si="33"/>
        <v>1724</v>
      </c>
      <c r="AN643" s="455">
        <f>ERP_2[[#This Row],[2026 Working Total]]-ERP_2[[#This Row],[LE2 Final Submission]]</f>
        <v>431</v>
      </c>
      <c r="AO643" s="79">
        <v>0</v>
      </c>
      <c r="AP643" s="79">
        <f t="shared" si="32"/>
        <v>431</v>
      </c>
      <c r="AQ643" s="374">
        <f>SUM(ERP_2[[#This Row],[AP01]:[AP06]])-SUM(ERP_2[[#This Row],[AP01 LE2]:[AP06 LE2]])</f>
        <v>431</v>
      </c>
      <c r="AR643" s="80"/>
      <c r="AS643" s="79">
        <f>ERP_2[[#This Row],[2026 Working Total to Budget/LE]]-ERP_2[[#This Row],[Giveback]]</f>
        <v>431</v>
      </c>
      <c r="AT643" s="81"/>
      <c r="AU643" s="375"/>
      <c r="AV643" s="375">
        <v>1293</v>
      </c>
      <c r="AW643" s="375">
        <v>0</v>
      </c>
      <c r="AX643" s="375">
        <v>0</v>
      </c>
      <c r="AY643" s="375">
        <v>0</v>
      </c>
      <c r="AZ643" s="375">
        <v>0</v>
      </c>
      <c r="BA643" s="375">
        <v>0</v>
      </c>
      <c r="BB643" s="375">
        <v>0</v>
      </c>
      <c r="BC643" s="375">
        <v>0</v>
      </c>
      <c r="BD643" s="375">
        <v>0</v>
      </c>
      <c r="BE643" s="375">
        <v>0</v>
      </c>
      <c r="BF643" s="375">
        <v>0</v>
      </c>
      <c r="BG643" s="375">
        <v>1293</v>
      </c>
      <c r="BH643" s="79"/>
      <c r="BI643" s="79">
        <v>1293</v>
      </c>
      <c r="BJ643" s="79">
        <v>0</v>
      </c>
      <c r="BK643" s="79">
        <v>0</v>
      </c>
      <c r="BL643" s="79">
        <v>0</v>
      </c>
      <c r="BM643" s="79">
        <v>0</v>
      </c>
      <c r="BN643" s="79">
        <v>0</v>
      </c>
      <c r="BO643" s="79">
        <v>0</v>
      </c>
      <c r="BP643" s="79">
        <v>0</v>
      </c>
      <c r="BQ643" s="79">
        <v>0</v>
      </c>
      <c r="BR643" s="79">
        <v>0</v>
      </c>
      <c r="BS643" s="79">
        <v>0</v>
      </c>
      <c r="BT643" s="79">
        <v>1293</v>
      </c>
    </row>
    <row r="644" spans="1:72" ht="15" customHeight="1">
      <c r="A644" s="66" t="s">
        <v>2471</v>
      </c>
      <c r="B644" s="66" t="s">
        <v>2953</v>
      </c>
      <c r="C644" s="66" t="s">
        <v>816</v>
      </c>
      <c r="D644" s="66" t="s">
        <v>2472</v>
      </c>
      <c r="E644" s="150" t="s">
        <v>1136</v>
      </c>
      <c r="F644" s="482" t="s">
        <v>1566</v>
      </c>
      <c r="G644" s="150" t="s">
        <v>1135</v>
      </c>
      <c r="H644" s="150" t="s">
        <v>1135</v>
      </c>
      <c r="I644" s="150" t="s">
        <v>1135</v>
      </c>
      <c r="J644" s="150" t="s">
        <v>1137</v>
      </c>
      <c r="K644" s="150" t="s">
        <v>1137</v>
      </c>
      <c r="L644" s="511" t="s">
        <v>639</v>
      </c>
      <c r="M644" s="451" t="s">
        <v>818</v>
      </c>
      <c r="N644" s="343"/>
      <c r="O644" s="343"/>
      <c r="P644" s="70" t="s">
        <v>817</v>
      </c>
      <c r="Q644" s="346"/>
      <c r="R644" s="346" t="s">
        <v>1140</v>
      </c>
      <c r="S644" s="346"/>
      <c r="T644" s="150" t="s">
        <v>818</v>
      </c>
      <c r="U644" s="1" t="s">
        <v>1141</v>
      </c>
      <c r="V644" s="403"/>
      <c r="W644" s="406">
        <v>50000</v>
      </c>
      <c r="X644" s="406">
        <v>38665</v>
      </c>
      <c r="Y644" s="425"/>
      <c r="Z644" s="71"/>
      <c r="AA644" s="427"/>
      <c r="AB644" s="427"/>
      <c r="AC644" s="427">
        <v>1165</v>
      </c>
      <c r="AD644" s="428">
        <v>0</v>
      </c>
      <c r="AE644" s="429">
        <v>0</v>
      </c>
      <c r="AF644" s="429">
        <v>1720.74</v>
      </c>
      <c r="AG644" s="360">
        <v>0</v>
      </c>
      <c r="AH644" s="360">
        <v>0</v>
      </c>
      <c r="AI644" s="363">
        <v>12500</v>
      </c>
      <c r="AJ644" s="360">
        <v>0</v>
      </c>
      <c r="AK644" s="363">
        <v>12500</v>
      </c>
      <c r="AL644" s="360">
        <v>0</v>
      </c>
      <c r="AM644" s="367">
        <f t="shared" si="33"/>
        <v>27885.739999999998</v>
      </c>
      <c r="AN644" s="455">
        <f>ERP_2[[#This Row],[2026 Working Total]]-ERP_2[[#This Row],[LE2 Final Submission]]</f>
        <v>-10779.260000000002</v>
      </c>
      <c r="AO644" s="79">
        <v>0</v>
      </c>
      <c r="AP644" s="79">
        <f t="shared" si="32"/>
        <v>1720.74</v>
      </c>
      <c r="AQ644" s="374">
        <f>SUM(ERP_2[[#This Row],[AP01]:[AP06]])-SUM(ERP_2[[#This Row],[AP01 LE2]:[AP06 LE2]])</f>
        <v>-10779.26</v>
      </c>
      <c r="AR644" s="80"/>
      <c r="AS644" s="79">
        <f>ERP_2[[#This Row],[2026 Working Total to Budget/LE]]-ERP_2[[#This Row],[Giveback]]</f>
        <v>-10779.260000000002</v>
      </c>
      <c r="AT644" s="81"/>
      <c r="AU644" s="375"/>
      <c r="AV644" s="375"/>
      <c r="AW644" s="375">
        <v>1165</v>
      </c>
      <c r="AX644" s="375">
        <v>0</v>
      </c>
      <c r="AY644" s="375">
        <v>0</v>
      </c>
      <c r="AZ644" s="375">
        <v>12500</v>
      </c>
      <c r="BA644" s="375">
        <v>0</v>
      </c>
      <c r="BB644" s="375">
        <v>0</v>
      </c>
      <c r="BC644" s="375">
        <v>12500</v>
      </c>
      <c r="BD644" s="375">
        <v>0</v>
      </c>
      <c r="BE644" s="375">
        <v>12500</v>
      </c>
      <c r="BF644" s="375">
        <v>0</v>
      </c>
      <c r="BG644" s="375">
        <v>38665</v>
      </c>
      <c r="BH644" s="79"/>
      <c r="BI644" s="79"/>
      <c r="BJ644" s="79">
        <v>1165</v>
      </c>
      <c r="BK644" s="79">
        <v>0</v>
      </c>
      <c r="BL644" s="79">
        <v>0</v>
      </c>
      <c r="BM644" s="79">
        <v>12500</v>
      </c>
      <c r="BN644" s="79">
        <v>0</v>
      </c>
      <c r="BO644" s="79">
        <v>0</v>
      </c>
      <c r="BP644" s="79">
        <v>12500</v>
      </c>
      <c r="BQ644" s="79">
        <v>0</v>
      </c>
      <c r="BR644" s="79">
        <v>12500</v>
      </c>
      <c r="BS644" s="79">
        <v>0</v>
      </c>
      <c r="BT644" s="79">
        <v>38665</v>
      </c>
    </row>
    <row r="645" spans="1:72" ht="15" customHeight="1">
      <c r="A645" s="66" t="s">
        <v>2473</v>
      </c>
      <c r="B645" s="66" t="s">
        <v>2953</v>
      </c>
      <c r="C645" s="66" t="s">
        <v>816</v>
      </c>
      <c r="D645" s="66" t="s">
        <v>2474</v>
      </c>
      <c r="E645" s="150" t="s">
        <v>1136</v>
      </c>
      <c r="F645" s="482" t="s">
        <v>1566</v>
      </c>
      <c r="G645" s="150" t="s">
        <v>1135</v>
      </c>
      <c r="H645" s="150" t="s">
        <v>1145</v>
      </c>
      <c r="I645" s="150" t="s">
        <v>1135</v>
      </c>
      <c r="J645" s="150" t="s">
        <v>1145</v>
      </c>
      <c r="K645" s="150" t="s">
        <v>1137</v>
      </c>
      <c r="L645" s="511" t="s">
        <v>639</v>
      </c>
      <c r="M645" s="451" t="s">
        <v>818</v>
      </c>
      <c r="N645" s="343"/>
      <c r="O645" s="343"/>
      <c r="P645" s="70" t="s">
        <v>817</v>
      </c>
      <c r="Q645" s="346"/>
      <c r="R645" s="346" t="s">
        <v>1140</v>
      </c>
      <c r="S645" s="346"/>
      <c r="T645" s="150" t="s">
        <v>818</v>
      </c>
      <c r="U645" s="150"/>
      <c r="V645" s="403"/>
      <c r="W645" s="406">
        <v>3000</v>
      </c>
      <c r="X645" s="406">
        <v>3010.21</v>
      </c>
      <c r="Y645" s="425"/>
      <c r="Z645" s="71"/>
      <c r="AA645" s="427"/>
      <c r="AB645" s="427"/>
      <c r="AC645" s="427">
        <v>410.21</v>
      </c>
      <c r="AD645" s="428">
        <v>0</v>
      </c>
      <c r="AE645" s="429">
        <v>0</v>
      </c>
      <c r="AF645" s="429">
        <v>398.24</v>
      </c>
      <c r="AG645" s="360">
        <v>0</v>
      </c>
      <c r="AH645" s="360">
        <v>0</v>
      </c>
      <c r="AI645" s="360">
        <v>0</v>
      </c>
      <c r="AJ645" s="360">
        <v>0</v>
      </c>
      <c r="AK645" s="360">
        <v>0</v>
      </c>
      <c r="AL645" s="360">
        <v>0</v>
      </c>
      <c r="AM645" s="367">
        <f t="shared" si="33"/>
        <v>808.45</v>
      </c>
      <c r="AN645" s="455">
        <f>ERP_2[[#This Row],[2026 Working Total]]-ERP_2[[#This Row],[LE2 Final Submission]]</f>
        <v>-2201.7600000000002</v>
      </c>
      <c r="AO645" s="79">
        <v>0</v>
      </c>
      <c r="AP645" s="79">
        <f t="shared" si="32"/>
        <v>398.24</v>
      </c>
      <c r="AQ645" s="374">
        <f>SUM(ERP_2[[#This Row],[AP01]:[AP06]])-SUM(ERP_2[[#This Row],[AP01 LE2]:[AP06 LE2]])</f>
        <v>-2201.7600000000002</v>
      </c>
      <c r="AR645" s="80"/>
      <c r="AS645" s="79">
        <f>ERP_2[[#This Row],[2026 Working Total to Budget/LE]]-ERP_2[[#This Row],[Giveback]]</f>
        <v>-2201.7600000000002</v>
      </c>
      <c r="AT645" s="81"/>
      <c r="AU645" s="375"/>
      <c r="AV645" s="375"/>
      <c r="AW645" s="375">
        <v>410.21</v>
      </c>
      <c r="AX645" s="375">
        <v>2600</v>
      </c>
      <c r="AY645" s="375">
        <v>0</v>
      </c>
      <c r="AZ645" s="375">
        <v>0</v>
      </c>
      <c r="BA645" s="375">
        <v>0</v>
      </c>
      <c r="BB645" s="375">
        <v>0</v>
      </c>
      <c r="BC645" s="375">
        <v>0</v>
      </c>
      <c r="BD645" s="375">
        <v>0</v>
      </c>
      <c r="BE645" s="375">
        <v>0</v>
      </c>
      <c r="BF645" s="375">
        <v>0</v>
      </c>
      <c r="BG645" s="375">
        <v>3010.21</v>
      </c>
      <c r="BH645" s="79"/>
      <c r="BI645" s="79"/>
      <c r="BJ645" s="79">
        <v>410.21</v>
      </c>
      <c r="BK645" s="79">
        <v>3000</v>
      </c>
      <c r="BL645" s="79">
        <v>0</v>
      </c>
      <c r="BM645" s="79">
        <v>0</v>
      </c>
      <c r="BN645" s="79">
        <v>0</v>
      </c>
      <c r="BO645" s="79">
        <v>0</v>
      </c>
      <c r="BP645" s="79">
        <v>0</v>
      </c>
      <c r="BQ645" s="79">
        <v>0</v>
      </c>
      <c r="BR645" s="79">
        <v>0</v>
      </c>
      <c r="BS645" s="79">
        <v>0</v>
      </c>
      <c r="BT645" s="79">
        <v>3410.21</v>
      </c>
    </row>
    <row r="646" spans="1:72" ht="15" customHeight="1">
      <c r="A646" s="66" t="s">
        <v>2475</v>
      </c>
      <c r="B646" s="66" t="s">
        <v>2953</v>
      </c>
      <c r="C646" s="66" t="s">
        <v>816</v>
      </c>
      <c r="D646" s="464" t="s">
        <v>2476</v>
      </c>
      <c r="E646" s="150" t="s">
        <v>1136</v>
      </c>
      <c r="F646" s="482" t="s">
        <v>1566</v>
      </c>
      <c r="G646" s="150" t="s">
        <v>1135</v>
      </c>
      <c r="H646" s="150" t="s">
        <v>1156</v>
      </c>
      <c r="I646" s="150" t="s">
        <v>1135</v>
      </c>
      <c r="J646" s="150" t="s">
        <v>1156</v>
      </c>
      <c r="K646" s="150" t="s">
        <v>1137</v>
      </c>
      <c r="L646" s="511" t="s">
        <v>639</v>
      </c>
      <c r="M646" s="451" t="s">
        <v>818</v>
      </c>
      <c r="N646" s="343"/>
      <c r="O646" s="343"/>
      <c r="P646" s="70" t="s">
        <v>817</v>
      </c>
      <c r="Q646" s="346"/>
      <c r="R646" s="346" t="s">
        <v>1140</v>
      </c>
      <c r="S646" s="346"/>
      <c r="T646" s="150" t="s">
        <v>818</v>
      </c>
      <c r="U646" s="150" t="s">
        <v>2477</v>
      </c>
      <c r="V646" s="453"/>
      <c r="W646" s="406">
        <v>2800</v>
      </c>
      <c r="X646" s="406">
        <v>11294.74</v>
      </c>
      <c r="Y646" s="425"/>
      <c r="Z646" s="71"/>
      <c r="AA646" s="427"/>
      <c r="AB646" s="427"/>
      <c r="AC646" s="427">
        <v>3116.74</v>
      </c>
      <c r="AD646" s="428">
        <v>0</v>
      </c>
      <c r="AE646" s="429">
        <v>0</v>
      </c>
      <c r="AF646" s="429">
        <v>2380</v>
      </c>
      <c r="AG646" s="360">
        <v>0</v>
      </c>
      <c r="AH646" s="360">
        <v>0</v>
      </c>
      <c r="AI646" s="363">
        <v>2726</v>
      </c>
      <c r="AJ646" s="360">
        <v>0</v>
      </c>
      <c r="AK646" s="363">
        <v>2726</v>
      </c>
      <c r="AL646" s="360">
        <v>0</v>
      </c>
      <c r="AM646" s="360">
        <f t="shared" si="33"/>
        <v>10948.74</v>
      </c>
      <c r="AN646" s="455">
        <f>ERP_2[[#This Row],[2026 Working Total]]-ERP_2[[#This Row],[LE2 Final Submission]]</f>
        <v>-346</v>
      </c>
      <c r="AO646" s="79">
        <v>0</v>
      </c>
      <c r="AP646" s="79">
        <f t="shared" si="32"/>
        <v>2380</v>
      </c>
      <c r="AQ646" s="374">
        <f>SUM(ERP_2[[#This Row],[AP01]:[AP06]])-SUM(ERP_2[[#This Row],[AP01 LE2]:[AP06 LE2]])</f>
        <v>-346</v>
      </c>
      <c r="AR646" s="80"/>
      <c r="AS646" s="79">
        <f>ERP_2[[#This Row],[2026 Working Total to Budget/LE]]-ERP_2[[#This Row],[Giveback]]</f>
        <v>-346</v>
      </c>
      <c r="AT646" s="81"/>
      <c r="AU646" s="375"/>
      <c r="AV646" s="375"/>
      <c r="AW646" s="375">
        <v>3116.74</v>
      </c>
      <c r="AX646" s="375">
        <v>0</v>
      </c>
      <c r="AY646" s="375">
        <v>0</v>
      </c>
      <c r="AZ646" s="375">
        <v>2726</v>
      </c>
      <c r="BA646" s="375">
        <v>0</v>
      </c>
      <c r="BB646" s="375">
        <v>0</v>
      </c>
      <c r="BC646" s="375">
        <v>2726</v>
      </c>
      <c r="BD646" s="375">
        <v>0</v>
      </c>
      <c r="BE646" s="375">
        <v>2726</v>
      </c>
      <c r="BF646" s="375">
        <v>0</v>
      </c>
      <c r="BG646" s="375">
        <v>11294.74</v>
      </c>
      <c r="BH646" s="79"/>
      <c r="BI646" s="79"/>
      <c r="BJ646" s="79">
        <v>3116.74</v>
      </c>
      <c r="BK646" s="79">
        <v>0</v>
      </c>
      <c r="BL646" s="79">
        <v>0</v>
      </c>
      <c r="BM646" s="79">
        <v>700</v>
      </c>
      <c r="BN646" s="79">
        <v>0</v>
      </c>
      <c r="BO646" s="79">
        <v>0</v>
      </c>
      <c r="BP646" s="79">
        <v>700</v>
      </c>
      <c r="BQ646" s="79">
        <v>0</v>
      </c>
      <c r="BR646" s="79">
        <v>700</v>
      </c>
      <c r="BS646" s="79">
        <v>0</v>
      </c>
      <c r="BT646" s="79">
        <v>5216.74</v>
      </c>
    </row>
    <row r="647" spans="1:72" ht="15" customHeight="1">
      <c r="A647" s="66" t="s">
        <v>2478</v>
      </c>
      <c r="B647" s="66" t="s">
        <v>2953</v>
      </c>
      <c r="C647" s="66" t="s">
        <v>816</v>
      </c>
      <c r="D647" s="66" t="s">
        <v>2479</v>
      </c>
      <c r="E647" s="150" t="s">
        <v>1136</v>
      </c>
      <c r="F647" s="482" t="s">
        <v>1566</v>
      </c>
      <c r="G647" s="150" t="s">
        <v>1135</v>
      </c>
      <c r="H647" s="150" t="s">
        <v>1161</v>
      </c>
      <c r="I647" s="150" t="s">
        <v>1135</v>
      </c>
      <c r="J647" s="150" t="s">
        <v>1161</v>
      </c>
      <c r="K647" s="150" t="s">
        <v>1137</v>
      </c>
      <c r="L647" s="511" t="s">
        <v>639</v>
      </c>
      <c r="M647" s="451" t="s">
        <v>818</v>
      </c>
      <c r="N647" s="343"/>
      <c r="O647" s="343"/>
      <c r="P647" s="70" t="s">
        <v>817</v>
      </c>
      <c r="Q647" s="346"/>
      <c r="R647" s="346" t="s">
        <v>1140</v>
      </c>
      <c r="S647" s="346"/>
      <c r="T647" s="150" t="s">
        <v>818</v>
      </c>
      <c r="U647" s="150"/>
      <c r="V647" s="453"/>
      <c r="W647" s="406">
        <v>800</v>
      </c>
      <c r="X647" s="406">
        <v>4147.87</v>
      </c>
      <c r="Y647" s="425"/>
      <c r="Z647" s="71"/>
      <c r="AA647" s="427"/>
      <c r="AB647" s="427"/>
      <c r="AC647" s="427">
        <v>3547.87</v>
      </c>
      <c r="AD647" s="428">
        <v>0</v>
      </c>
      <c r="AE647" s="429">
        <v>0</v>
      </c>
      <c r="AF647" s="429">
        <v>3172.87</v>
      </c>
      <c r="AG647" s="360">
        <v>0</v>
      </c>
      <c r="AH647" s="360">
        <v>0</v>
      </c>
      <c r="AI647" s="363">
        <v>200</v>
      </c>
      <c r="AJ647" s="360">
        <v>0</v>
      </c>
      <c r="AK647" s="363">
        <v>200</v>
      </c>
      <c r="AL647" s="360">
        <v>0</v>
      </c>
      <c r="AM647" s="360">
        <f t="shared" si="33"/>
        <v>7120.74</v>
      </c>
      <c r="AN647" s="455">
        <f>ERP_2[[#This Row],[2026 Working Total]]-ERP_2[[#This Row],[LE2 Final Submission]]</f>
        <v>2972.87</v>
      </c>
      <c r="AO647" s="79">
        <v>0</v>
      </c>
      <c r="AP647" s="79">
        <f t="shared" si="32"/>
        <v>3172.87</v>
      </c>
      <c r="AQ647" s="374">
        <f>SUM(ERP_2[[#This Row],[AP01]:[AP06]])-SUM(ERP_2[[#This Row],[AP01 LE2]:[AP06 LE2]])</f>
        <v>2972.87</v>
      </c>
      <c r="AR647" s="80"/>
      <c r="AS647" s="79">
        <f>ERP_2[[#This Row],[2026 Working Total to Budget/LE]]-ERP_2[[#This Row],[Giveback]]</f>
        <v>2972.87</v>
      </c>
      <c r="AT647" s="81"/>
      <c r="AU647" s="375"/>
      <c r="AV647" s="375"/>
      <c r="AW647" s="375">
        <v>3547.87</v>
      </c>
      <c r="AX647" s="375">
        <v>0</v>
      </c>
      <c r="AY647" s="375">
        <v>0</v>
      </c>
      <c r="AZ647" s="375">
        <v>200</v>
      </c>
      <c r="BA647" s="375">
        <v>0</v>
      </c>
      <c r="BB647" s="375">
        <v>0</v>
      </c>
      <c r="BC647" s="375">
        <v>200</v>
      </c>
      <c r="BD647" s="375">
        <v>0</v>
      </c>
      <c r="BE647" s="375">
        <v>200</v>
      </c>
      <c r="BF647" s="375">
        <v>0</v>
      </c>
      <c r="BG647" s="375">
        <v>4147.87</v>
      </c>
      <c r="BH647" s="79"/>
      <c r="BI647" s="79"/>
      <c r="BJ647" s="79">
        <v>3547.87</v>
      </c>
      <c r="BK647" s="79">
        <v>0</v>
      </c>
      <c r="BL647" s="79">
        <v>0</v>
      </c>
      <c r="BM647" s="79">
        <v>200</v>
      </c>
      <c r="BN647" s="79">
        <v>0</v>
      </c>
      <c r="BO647" s="79">
        <v>0</v>
      </c>
      <c r="BP647" s="79">
        <v>200</v>
      </c>
      <c r="BQ647" s="79">
        <v>0</v>
      </c>
      <c r="BR647" s="79">
        <v>200</v>
      </c>
      <c r="BS647" s="79">
        <v>0</v>
      </c>
      <c r="BT647" s="79">
        <v>4147.87</v>
      </c>
    </row>
    <row r="648" spans="1:72" ht="15" customHeight="1">
      <c r="A648" s="66" t="s">
        <v>2480</v>
      </c>
      <c r="B648" s="66" t="s">
        <v>2953</v>
      </c>
      <c r="C648" s="66" t="s">
        <v>816</v>
      </c>
      <c r="D648" s="66" t="s">
        <v>2481</v>
      </c>
      <c r="E648" s="150" t="s">
        <v>1136</v>
      </c>
      <c r="F648" s="482" t="s">
        <v>1566</v>
      </c>
      <c r="G648" s="150" t="s">
        <v>1135</v>
      </c>
      <c r="H648" s="150" t="s">
        <v>1165</v>
      </c>
      <c r="I648" s="150" t="s">
        <v>1135</v>
      </c>
      <c r="J648" s="150" t="s">
        <v>1165</v>
      </c>
      <c r="K648" s="150" t="s">
        <v>1137</v>
      </c>
      <c r="L648" s="511" t="s">
        <v>639</v>
      </c>
      <c r="M648" s="451" t="s">
        <v>818</v>
      </c>
      <c r="N648" s="343"/>
      <c r="O648" s="343"/>
      <c r="P648" s="70" t="s">
        <v>817</v>
      </c>
      <c r="Q648" s="346"/>
      <c r="R648" s="346" t="s">
        <v>1140</v>
      </c>
      <c r="S648" s="346"/>
      <c r="T648" s="150" t="s">
        <v>818</v>
      </c>
      <c r="U648" s="150"/>
      <c r="V648" s="453"/>
      <c r="W648" s="406">
        <v>12119.24</v>
      </c>
      <c r="X648" s="406">
        <v>21230.870000000003</v>
      </c>
      <c r="Y648" s="425"/>
      <c r="Z648" s="71"/>
      <c r="AA648" s="427"/>
      <c r="AB648" s="427"/>
      <c r="AC648" s="427">
        <v>12141.44</v>
      </c>
      <c r="AD648" s="428">
        <v>0</v>
      </c>
      <c r="AE648" s="429">
        <v>0</v>
      </c>
      <c r="AF648" s="429">
        <v>10504.75</v>
      </c>
      <c r="AG648" s="360">
        <v>0</v>
      </c>
      <c r="AH648" s="360">
        <v>0</v>
      </c>
      <c r="AI648" s="363">
        <v>3029.81</v>
      </c>
      <c r="AJ648" s="360">
        <v>0</v>
      </c>
      <c r="AK648" s="363">
        <v>3029.81</v>
      </c>
      <c r="AL648" s="360">
        <v>0</v>
      </c>
      <c r="AM648" s="360">
        <f t="shared" si="33"/>
        <v>28705.810000000005</v>
      </c>
      <c r="AN648" s="455">
        <f>ERP_2[[#This Row],[2026 Working Total]]-ERP_2[[#This Row],[LE2 Final Submission]]</f>
        <v>7474.9400000000023</v>
      </c>
      <c r="AO648" s="79">
        <v>0</v>
      </c>
      <c r="AP648" s="79">
        <f t="shared" ref="AP648:AP688" si="34">$AF648 - $AO648</f>
        <v>10504.75</v>
      </c>
      <c r="AQ648" s="374">
        <f>SUM(ERP_2[[#This Row],[AP01]:[AP06]])-SUM(ERP_2[[#This Row],[AP01 LE2]:[AP06 LE2]])</f>
        <v>7474.9400000000023</v>
      </c>
      <c r="AR648" s="80"/>
      <c r="AS648" s="79">
        <f>ERP_2[[#This Row],[2026 Working Total to Budget/LE]]-ERP_2[[#This Row],[Giveback]]</f>
        <v>7474.9400000000023</v>
      </c>
      <c r="AT648" s="81"/>
      <c r="AU648" s="375"/>
      <c r="AV648" s="375"/>
      <c r="AW648" s="375">
        <v>12141.44</v>
      </c>
      <c r="AX648" s="375">
        <v>0</v>
      </c>
      <c r="AY648" s="375">
        <v>0</v>
      </c>
      <c r="AZ648" s="375">
        <v>3029.81</v>
      </c>
      <c r="BA648" s="375">
        <v>0</v>
      </c>
      <c r="BB648" s="375">
        <v>0</v>
      </c>
      <c r="BC648" s="375">
        <v>3029.81</v>
      </c>
      <c r="BD648" s="375">
        <v>0</v>
      </c>
      <c r="BE648" s="375">
        <v>3029.81</v>
      </c>
      <c r="BF648" s="375">
        <v>0</v>
      </c>
      <c r="BG648" s="375">
        <v>21230.870000000003</v>
      </c>
      <c r="BH648" s="79"/>
      <c r="BI648" s="79"/>
      <c r="BJ648" s="79">
        <v>12141.44</v>
      </c>
      <c r="BK648" s="79">
        <v>0</v>
      </c>
      <c r="BL648" s="79">
        <v>0</v>
      </c>
      <c r="BM648" s="79">
        <v>3029.81</v>
      </c>
      <c r="BN648" s="79">
        <v>0</v>
      </c>
      <c r="BO648" s="79">
        <v>0</v>
      </c>
      <c r="BP648" s="79">
        <v>3029.81</v>
      </c>
      <c r="BQ648" s="79">
        <v>0</v>
      </c>
      <c r="BR648" s="79">
        <v>3029.81</v>
      </c>
      <c r="BS648" s="79">
        <v>0</v>
      </c>
      <c r="BT648" s="79">
        <v>21230.870000000003</v>
      </c>
    </row>
    <row r="649" spans="1:72" ht="15" customHeight="1">
      <c r="A649" s="66" t="s">
        <v>2524</v>
      </c>
      <c r="B649" s="66" t="s">
        <v>2953</v>
      </c>
      <c r="C649" s="66" t="s">
        <v>850</v>
      </c>
      <c r="D649" s="66" t="s">
        <v>2525</v>
      </c>
      <c r="E649" s="150" t="s">
        <v>1136</v>
      </c>
      <c r="F649" s="482" t="s">
        <v>1566</v>
      </c>
      <c r="G649" s="150" t="s">
        <v>1135</v>
      </c>
      <c r="H649" s="150" t="s">
        <v>1145</v>
      </c>
      <c r="I649" s="150" t="s">
        <v>1135</v>
      </c>
      <c r="J649" s="150" t="s">
        <v>1145</v>
      </c>
      <c r="K649" s="150" t="s">
        <v>1137</v>
      </c>
      <c r="L649" s="511" t="s">
        <v>639</v>
      </c>
      <c r="M649" s="451" t="s">
        <v>2523</v>
      </c>
      <c r="N649" s="343"/>
      <c r="O649" s="343"/>
      <c r="P649" s="70" t="s">
        <v>851</v>
      </c>
      <c r="Q649" s="346" t="s">
        <v>1153</v>
      </c>
      <c r="R649" s="343"/>
      <c r="S649" s="346"/>
      <c r="T649" s="150" t="s">
        <v>64</v>
      </c>
      <c r="U649" s="150"/>
      <c r="V649" s="551"/>
      <c r="W649" s="407">
        <v>0</v>
      </c>
      <c r="X649" s="407">
        <v>0</v>
      </c>
      <c r="Y649" s="425"/>
      <c r="Z649" s="71"/>
      <c r="AA649" s="427">
        <v>127295.39</v>
      </c>
      <c r="AB649" s="427">
        <v>113379.22</v>
      </c>
      <c r="AC649" s="427">
        <v>-240674.61</v>
      </c>
      <c r="AD649" s="428">
        <v>0</v>
      </c>
      <c r="AE649" s="429">
        <v>0</v>
      </c>
      <c r="AF649" s="429">
        <v>0</v>
      </c>
      <c r="AG649" s="363"/>
      <c r="AH649" s="363"/>
      <c r="AI649" s="363"/>
      <c r="AJ649" s="363"/>
      <c r="AK649" s="363"/>
      <c r="AL649" s="363"/>
      <c r="AM649" s="360">
        <f t="shared" si="33"/>
        <v>0</v>
      </c>
      <c r="AN649" s="455">
        <f>ERP_2[[#This Row],[2026 Working Total]]-ERP_2[[#This Row],[LE2 Final Submission]]</f>
        <v>0</v>
      </c>
      <c r="AO649" s="79"/>
      <c r="AP649" s="79">
        <f t="shared" si="34"/>
        <v>0</v>
      </c>
      <c r="AQ649" s="374">
        <f>SUM(ERP_2[[#This Row],[AP01]:[AP06]])-SUM(ERP_2[[#This Row],[AP01 LE2]:[AP06 LE2]])</f>
        <v>0</v>
      </c>
      <c r="AR649" s="80"/>
      <c r="AS649" s="79">
        <f>ERP_2[[#This Row],[2026 Working Total to Budget/LE]]-ERP_2[[#This Row],[Giveback]]</f>
        <v>0</v>
      </c>
      <c r="AT649" s="81"/>
      <c r="AU649" s="375">
        <v>127295.39</v>
      </c>
      <c r="AV649" s="375">
        <v>113379.22</v>
      </c>
      <c r="AW649" s="375">
        <v>-240674.61</v>
      </c>
      <c r="AX649" s="375"/>
      <c r="AY649" s="375"/>
      <c r="AZ649" s="375"/>
      <c r="BA649" s="375"/>
      <c r="BB649" s="375"/>
      <c r="BC649" s="375"/>
      <c r="BD649" s="375"/>
      <c r="BE649" s="375"/>
      <c r="BF649" s="375"/>
      <c r="BG649" s="375">
        <v>0</v>
      </c>
      <c r="BH649" s="79">
        <v>127295.39</v>
      </c>
      <c r="BI649" s="79">
        <v>113379.22</v>
      </c>
      <c r="BJ649" s="79">
        <v>-240674.61</v>
      </c>
      <c r="BK649" s="79"/>
      <c r="BL649" s="79"/>
      <c r="BM649" s="79"/>
      <c r="BN649" s="79"/>
      <c r="BO649" s="79"/>
      <c r="BP649" s="79"/>
      <c r="BQ649" s="79"/>
      <c r="BR649" s="79"/>
      <c r="BS649" s="79"/>
      <c r="BT649" s="79">
        <v>0</v>
      </c>
    </row>
    <row r="650" spans="1:72" ht="15" customHeight="1">
      <c r="A650" s="66" t="s">
        <v>2527</v>
      </c>
      <c r="B650" s="66" t="s">
        <v>2953</v>
      </c>
      <c r="C650" s="66" t="s">
        <v>852</v>
      </c>
      <c r="D650" s="66" t="s">
        <v>2528</v>
      </c>
      <c r="E650" s="150" t="s">
        <v>1136</v>
      </c>
      <c r="F650" s="482" t="s">
        <v>1566</v>
      </c>
      <c r="G650" s="150" t="s">
        <v>1135</v>
      </c>
      <c r="H650" s="150" t="s">
        <v>1145</v>
      </c>
      <c r="I650" s="150" t="s">
        <v>1135</v>
      </c>
      <c r="J650" s="150" t="s">
        <v>1145</v>
      </c>
      <c r="K650" s="150" t="s">
        <v>1137</v>
      </c>
      <c r="L650" s="511" t="s">
        <v>639</v>
      </c>
      <c r="M650" s="451" t="s">
        <v>1947</v>
      </c>
      <c r="N650" s="343"/>
      <c r="O650" s="343"/>
      <c r="P650" s="70" t="s">
        <v>486</v>
      </c>
      <c r="Q650" s="346" t="s">
        <v>1153</v>
      </c>
      <c r="R650" s="343"/>
      <c r="S650" s="346"/>
      <c r="T650" s="150" t="s">
        <v>487</v>
      </c>
      <c r="U650" s="150"/>
      <c r="V650" s="551"/>
      <c r="W650" s="407">
        <v>0</v>
      </c>
      <c r="X650" s="407">
        <v>0</v>
      </c>
      <c r="Y650" s="425"/>
      <c r="Z650" s="71"/>
      <c r="AA650" s="427"/>
      <c r="AB650" s="427">
        <v>-158800</v>
      </c>
      <c r="AC650" s="427">
        <v>158800</v>
      </c>
      <c r="AD650" s="428">
        <v>0</v>
      </c>
      <c r="AE650" s="429">
        <v>0</v>
      </c>
      <c r="AF650" s="429">
        <v>0</v>
      </c>
      <c r="AG650" s="363"/>
      <c r="AH650" s="363"/>
      <c r="AI650" s="363"/>
      <c r="AJ650" s="363"/>
      <c r="AK650" s="363"/>
      <c r="AL650" s="363"/>
      <c r="AM650" s="360">
        <f t="shared" si="33"/>
        <v>0</v>
      </c>
      <c r="AN650" s="455">
        <f>ERP_2[[#This Row],[2026 Working Total]]-ERP_2[[#This Row],[LE2 Final Submission]]</f>
        <v>0</v>
      </c>
      <c r="AO650" s="79"/>
      <c r="AP650" s="79">
        <f t="shared" si="34"/>
        <v>0</v>
      </c>
      <c r="AQ650" s="374">
        <f>SUM(ERP_2[[#This Row],[AP01]:[AP06]])-SUM(ERP_2[[#This Row],[AP01 LE2]:[AP06 LE2]])</f>
        <v>0</v>
      </c>
      <c r="AR650" s="80"/>
      <c r="AS650" s="79">
        <f>ERP_2[[#This Row],[2026 Working Total to Budget/LE]]-ERP_2[[#This Row],[Giveback]]</f>
        <v>0</v>
      </c>
      <c r="AT650" s="81"/>
      <c r="AU650" s="375"/>
      <c r="AV650" s="375">
        <v>-158800</v>
      </c>
      <c r="AW650" s="375">
        <v>158800</v>
      </c>
      <c r="AX650" s="375"/>
      <c r="AY650" s="375"/>
      <c r="AZ650" s="375"/>
      <c r="BA650" s="375"/>
      <c r="BB650" s="375"/>
      <c r="BC650" s="375"/>
      <c r="BD650" s="375"/>
      <c r="BE650" s="375"/>
      <c r="BF650" s="375"/>
      <c r="BG650" s="375">
        <v>0</v>
      </c>
      <c r="BH650" s="79"/>
      <c r="BI650" s="79">
        <v>-158800</v>
      </c>
      <c r="BJ650" s="79">
        <v>158800</v>
      </c>
      <c r="BK650" s="79"/>
      <c r="BL650" s="79"/>
      <c r="BM650" s="79"/>
      <c r="BN650" s="79"/>
      <c r="BO650" s="79"/>
      <c r="BP650" s="79"/>
      <c r="BQ650" s="79"/>
      <c r="BR650" s="79"/>
      <c r="BS650" s="79"/>
      <c r="BT650" s="79">
        <v>0</v>
      </c>
    </row>
    <row r="651" spans="1:72" ht="15" customHeight="1">
      <c r="A651" s="66" t="s">
        <v>2595</v>
      </c>
      <c r="B651" s="66" t="s">
        <v>2953</v>
      </c>
      <c r="C651" s="66" t="s">
        <v>899</v>
      </c>
      <c r="D651" s="66" t="s">
        <v>2596</v>
      </c>
      <c r="E651" s="150" t="s">
        <v>1136</v>
      </c>
      <c r="F651" s="482" t="s">
        <v>1566</v>
      </c>
      <c r="G651" s="150" t="s">
        <v>1135</v>
      </c>
      <c r="H651" s="150" t="s">
        <v>1135</v>
      </c>
      <c r="I651" s="150" t="s">
        <v>1135</v>
      </c>
      <c r="J651" s="150" t="s">
        <v>1137</v>
      </c>
      <c r="K651" s="150" t="s">
        <v>1137</v>
      </c>
      <c r="L651" s="511" t="s">
        <v>639</v>
      </c>
      <c r="M651" s="451" t="s">
        <v>1327</v>
      </c>
      <c r="N651" s="343"/>
      <c r="O651" s="343"/>
      <c r="P651" s="70" t="s">
        <v>147</v>
      </c>
      <c r="Q651" s="346"/>
      <c r="R651" s="343"/>
      <c r="S651" s="346"/>
      <c r="T651" s="150" t="s">
        <v>25</v>
      </c>
      <c r="U651" s="1" t="s">
        <v>1141</v>
      </c>
      <c r="V651" s="453"/>
      <c r="W651" s="406">
        <v>0</v>
      </c>
      <c r="X651" s="406">
        <v>-1868.9199999999998</v>
      </c>
      <c r="Y651" s="425"/>
      <c r="Z651" s="71"/>
      <c r="AA651" s="427">
        <v>0.19</v>
      </c>
      <c r="AB651" s="427">
        <v>-0.3</v>
      </c>
      <c r="AC651" s="427">
        <v>-1868.81</v>
      </c>
      <c r="AD651" s="428">
        <v>0</v>
      </c>
      <c r="AE651" s="429">
        <v>0</v>
      </c>
      <c r="AF651" s="429">
        <v>11.07</v>
      </c>
      <c r="AG651" s="360">
        <v>0</v>
      </c>
      <c r="AH651" s="360">
        <v>0</v>
      </c>
      <c r="AI651" s="360">
        <v>0</v>
      </c>
      <c r="AJ651" s="360">
        <v>0</v>
      </c>
      <c r="AK651" s="360">
        <v>0</v>
      </c>
      <c r="AL651" s="360">
        <v>0</v>
      </c>
      <c r="AM651" s="360">
        <f t="shared" si="33"/>
        <v>-1857.85</v>
      </c>
      <c r="AN651" s="455">
        <f>ERP_2[[#This Row],[2026 Working Total]]-ERP_2[[#This Row],[LE2 Final Submission]]</f>
        <v>11.069999999999936</v>
      </c>
      <c r="AO651" s="79">
        <v>0</v>
      </c>
      <c r="AP651" s="79">
        <f t="shared" si="34"/>
        <v>11.07</v>
      </c>
      <c r="AQ651" s="374">
        <f>SUM(ERP_2[[#This Row],[AP01]:[AP06]])-SUM(ERP_2[[#This Row],[AP01 LE2]:[AP06 LE2]])</f>
        <v>11.069999999999936</v>
      </c>
      <c r="AR651" s="80"/>
      <c r="AS651" s="79">
        <f>ERP_2[[#This Row],[2026 Working Total to Budget/LE]]-ERP_2[[#This Row],[Giveback]]</f>
        <v>11.069999999999936</v>
      </c>
      <c r="AT651" s="81"/>
      <c r="AU651" s="375">
        <v>0.19</v>
      </c>
      <c r="AV651" s="375">
        <v>-0.3</v>
      </c>
      <c r="AW651" s="375">
        <v>-1868.81</v>
      </c>
      <c r="AX651" s="375">
        <v>0</v>
      </c>
      <c r="AY651" s="375">
        <v>0</v>
      </c>
      <c r="AZ651" s="375">
        <v>0</v>
      </c>
      <c r="BA651" s="375">
        <v>0</v>
      </c>
      <c r="BB651" s="375">
        <v>0</v>
      </c>
      <c r="BC651" s="375">
        <v>0</v>
      </c>
      <c r="BD651" s="375">
        <v>0</v>
      </c>
      <c r="BE651" s="375">
        <v>0</v>
      </c>
      <c r="BF651" s="375">
        <v>0</v>
      </c>
      <c r="BG651" s="375">
        <v>-1868.9199999999998</v>
      </c>
      <c r="BH651" s="79">
        <v>0.19</v>
      </c>
      <c r="BI651" s="79">
        <v>-0.3</v>
      </c>
      <c r="BJ651" s="79">
        <v>-1868.81</v>
      </c>
      <c r="BK651" s="79">
        <v>0</v>
      </c>
      <c r="BL651" s="79">
        <v>0</v>
      </c>
      <c r="BM651" s="79">
        <v>0</v>
      </c>
      <c r="BN651" s="79">
        <v>0</v>
      </c>
      <c r="BO651" s="79">
        <v>0</v>
      </c>
      <c r="BP651" s="79">
        <v>0</v>
      </c>
      <c r="BQ651" s="79">
        <v>0</v>
      </c>
      <c r="BR651" s="79">
        <v>0</v>
      </c>
      <c r="BS651" s="79">
        <v>0</v>
      </c>
      <c r="BT651" s="79">
        <v>-1868.9199999999998</v>
      </c>
    </row>
    <row r="652" spans="1:72" ht="15" customHeight="1">
      <c r="A652" s="66" t="s">
        <v>2597</v>
      </c>
      <c r="B652" s="66" t="s">
        <v>2953</v>
      </c>
      <c r="C652" s="66" t="s">
        <v>899</v>
      </c>
      <c r="D652" s="66" t="s">
        <v>2598</v>
      </c>
      <c r="E652" s="150" t="s">
        <v>1136</v>
      </c>
      <c r="F652" s="482" t="s">
        <v>1566</v>
      </c>
      <c r="G652" s="150" t="s">
        <v>1135</v>
      </c>
      <c r="H652" s="150" t="s">
        <v>1145</v>
      </c>
      <c r="I652" s="150" t="s">
        <v>1135</v>
      </c>
      <c r="J652" s="150" t="s">
        <v>1145</v>
      </c>
      <c r="K652" s="150" t="s">
        <v>1137</v>
      </c>
      <c r="L652" s="511" t="s">
        <v>639</v>
      </c>
      <c r="M652" s="451" t="s">
        <v>1327</v>
      </c>
      <c r="N652" s="343"/>
      <c r="O652" s="343"/>
      <c r="P652" s="70" t="s">
        <v>147</v>
      </c>
      <c r="Q652" s="346"/>
      <c r="R652" s="343"/>
      <c r="S652" s="346"/>
      <c r="T652" s="150" t="s">
        <v>25</v>
      </c>
      <c r="U652" s="150"/>
      <c r="V652" s="453"/>
      <c r="W652" s="406">
        <v>0</v>
      </c>
      <c r="X652" s="406">
        <v>-0.26</v>
      </c>
      <c r="Y652" s="425"/>
      <c r="Z652" s="71"/>
      <c r="AA652" s="427">
        <v>-0.15</v>
      </c>
      <c r="AB652" s="427">
        <v>0.31</v>
      </c>
      <c r="AC652" s="427">
        <v>-0.42</v>
      </c>
      <c r="AD652" s="428">
        <v>-8.9999999999918145E-2</v>
      </c>
      <c r="AE652" s="429">
        <v>0.44</v>
      </c>
      <c r="AF652" s="429">
        <v>-0.49</v>
      </c>
      <c r="AG652" s="360">
        <v>0</v>
      </c>
      <c r="AH652" s="360">
        <v>0</v>
      </c>
      <c r="AI652" s="360">
        <v>0</v>
      </c>
      <c r="AJ652" s="360">
        <v>0</v>
      </c>
      <c r="AK652" s="360">
        <v>0</v>
      </c>
      <c r="AL652" s="360">
        <v>0</v>
      </c>
      <c r="AM652" s="360">
        <f t="shared" si="33"/>
        <v>-0.39999999999991814</v>
      </c>
      <c r="AN652" s="455">
        <f>ERP_2[[#This Row],[2026 Working Total]]-ERP_2[[#This Row],[LE2 Final Submission]]</f>
        <v>-0.13999999999991813</v>
      </c>
      <c r="AO652" s="79">
        <v>0</v>
      </c>
      <c r="AP652" s="79">
        <f t="shared" si="34"/>
        <v>-0.49</v>
      </c>
      <c r="AQ652" s="374">
        <f>SUM(ERP_2[[#This Row],[AP01]:[AP06]])-SUM(ERP_2[[#This Row],[AP01 LE2]:[AP06 LE2]])</f>
        <v>-0.13999999999991813</v>
      </c>
      <c r="AR652" s="80"/>
      <c r="AS652" s="79">
        <f>ERP_2[[#This Row],[2026 Working Total to Budget/LE]]-ERP_2[[#This Row],[Giveback]]</f>
        <v>-0.13999999999991813</v>
      </c>
      <c r="AT652" s="81"/>
      <c r="AU652" s="375">
        <v>-0.15</v>
      </c>
      <c r="AV652" s="375">
        <v>0.31</v>
      </c>
      <c r="AW652" s="375">
        <v>-0.42</v>
      </c>
      <c r="AX652" s="375">
        <v>0</v>
      </c>
      <c r="AY652" s="375">
        <v>0</v>
      </c>
      <c r="AZ652" s="375">
        <v>0</v>
      </c>
      <c r="BA652" s="375">
        <v>0</v>
      </c>
      <c r="BB652" s="375">
        <v>0</v>
      </c>
      <c r="BC652" s="375">
        <v>0</v>
      </c>
      <c r="BD652" s="375">
        <v>0</v>
      </c>
      <c r="BE652" s="375">
        <v>0</v>
      </c>
      <c r="BF652" s="375">
        <v>0</v>
      </c>
      <c r="BG652" s="375">
        <v>-0.26</v>
      </c>
      <c r="BH652" s="79">
        <v>-0.15</v>
      </c>
      <c r="BI652" s="79">
        <v>0.31</v>
      </c>
      <c r="BJ652" s="79">
        <v>-0.42</v>
      </c>
      <c r="BK652" s="79">
        <v>0</v>
      </c>
      <c r="BL652" s="79">
        <v>0</v>
      </c>
      <c r="BM652" s="79">
        <v>0</v>
      </c>
      <c r="BN652" s="79">
        <v>0</v>
      </c>
      <c r="BO652" s="79">
        <v>0</v>
      </c>
      <c r="BP652" s="79">
        <v>0</v>
      </c>
      <c r="BQ652" s="79">
        <v>0</v>
      </c>
      <c r="BR652" s="79">
        <v>0</v>
      </c>
      <c r="BS652" s="79">
        <v>0</v>
      </c>
      <c r="BT652" s="79">
        <v>-0.26</v>
      </c>
    </row>
    <row r="653" spans="1:72" ht="15" customHeight="1">
      <c r="A653" s="66" t="s">
        <v>2599</v>
      </c>
      <c r="B653" s="66" t="s">
        <v>2953</v>
      </c>
      <c r="C653" s="66" t="s">
        <v>899</v>
      </c>
      <c r="D653" s="66" t="s">
        <v>2600</v>
      </c>
      <c r="E653" s="150" t="s">
        <v>1136</v>
      </c>
      <c r="F653" s="482" t="s">
        <v>1566</v>
      </c>
      <c r="G653" s="150" t="s">
        <v>1135</v>
      </c>
      <c r="H653" s="334" t="s">
        <v>1156</v>
      </c>
      <c r="I653" s="334" t="s">
        <v>1135</v>
      </c>
      <c r="J653" s="334" t="s">
        <v>1156</v>
      </c>
      <c r="K653" s="334" t="s">
        <v>1137</v>
      </c>
      <c r="L653" s="511" t="s">
        <v>639</v>
      </c>
      <c r="M653" s="451" t="s">
        <v>1327</v>
      </c>
      <c r="N653" s="343"/>
      <c r="O653" s="343"/>
      <c r="P653" s="70" t="s">
        <v>147</v>
      </c>
      <c r="Q653" s="346"/>
      <c r="R653" s="343"/>
      <c r="S653" s="346"/>
      <c r="T653" s="150" t="s">
        <v>25</v>
      </c>
      <c r="U653" s="150"/>
      <c r="V653" s="475"/>
      <c r="W653" s="406">
        <v>0</v>
      </c>
      <c r="X653" s="406">
        <v>0.26</v>
      </c>
      <c r="Y653" s="425"/>
      <c r="Z653" s="71"/>
      <c r="AA653" s="427"/>
      <c r="AB653" s="427"/>
      <c r="AC653" s="427">
        <v>0.26</v>
      </c>
      <c r="AD653" s="428">
        <v>0</v>
      </c>
      <c r="AE653" s="429">
        <v>0</v>
      </c>
      <c r="AF653" s="429">
        <v>0</v>
      </c>
      <c r="AG653" s="360">
        <v>0</v>
      </c>
      <c r="AH653" s="360">
        <v>0</v>
      </c>
      <c r="AI653" s="360">
        <v>0</v>
      </c>
      <c r="AJ653" s="360">
        <v>0</v>
      </c>
      <c r="AK653" s="360">
        <v>0</v>
      </c>
      <c r="AL653" s="360">
        <v>0</v>
      </c>
      <c r="AM653" s="360">
        <f t="shared" si="33"/>
        <v>0.26</v>
      </c>
      <c r="AN653" s="455">
        <f>ERP_2[[#This Row],[2026 Working Total]]-ERP_2[[#This Row],[LE2 Final Submission]]</f>
        <v>0</v>
      </c>
      <c r="AO653" s="79">
        <v>0</v>
      </c>
      <c r="AP653" s="79">
        <f t="shared" si="34"/>
        <v>0</v>
      </c>
      <c r="AQ653" s="374">
        <f>SUM(ERP_2[[#This Row],[AP01]:[AP06]])-SUM(ERP_2[[#This Row],[AP01 LE2]:[AP06 LE2]])</f>
        <v>0</v>
      </c>
      <c r="AR653" s="80"/>
      <c r="AS653" s="79">
        <f>ERP_2[[#This Row],[2026 Working Total to Budget/LE]]-ERP_2[[#This Row],[Giveback]]</f>
        <v>0</v>
      </c>
      <c r="AT653" s="81"/>
      <c r="AU653" s="375"/>
      <c r="AV653" s="375"/>
      <c r="AW653" s="375">
        <v>0.26</v>
      </c>
      <c r="AX653" s="375">
        <v>0</v>
      </c>
      <c r="AY653" s="375">
        <v>0</v>
      </c>
      <c r="AZ653" s="375">
        <v>0</v>
      </c>
      <c r="BA653" s="375">
        <v>0</v>
      </c>
      <c r="BB653" s="375">
        <v>0</v>
      </c>
      <c r="BC653" s="375">
        <v>0</v>
      </c>
      <c r="BD653" s="375">
        <v>0</v>
      </c>
      <c r="BE653" s="375">
        <v>0</v>
      </c>
      <c r="BF653" s="375">
        <v>0</v>
      </c>
      <c r="BG653" s="375">
        <v>0.26</v>
      </c>
      <c r="BH653" s="79"/>
      <c r="BI653" s="79"/>
      <c r="BJ653" s="79">
        <v>0.26</v>
      </c>
      <c r="BK653" s="79">
        <v>0</v>
      </c>
      <c r="BL653" s="79">
        <v>0</v>
      </c>
      <c r="BM653" s="79">
        <v>0</v>
      </c>
      <c r="BN653" s="79">
        <v>0</v>
      </c>
      <c r="BO653" s="79">
        <v>0</v>
      </c>
      <c r="BP653" s="79">
        <v>0</v>
      </c>
      <c r="BQ653" s="79">
        <v>0</v>
      </c>
      <c r="BR653" s="79">
        <v>0</v>
      </c>
      <c r="BS653" s="79">
        <v>0</v>
      </c>
      <c r="BT653" s="79">
        <v>0.26</v>
      </c>
    </row>
    <row r="654" spans="1:72" ht="15" customHeight="1">
      <c r="A654" s="66" t="s">
        <v>2601</v>
      </c>
      <c r="B654" s="66" t="s">
        <v>2953</v>
      </c>
      <c r="C654" s="66" t="s">
        <v>899</v>
      </c>
      <c r="D654" s="215" t="s">
        <v>2602</v>
      </c>
      <c r="E654" s="150" t="s">
        <v>1136</v>
      </c>
      <c r="F654" s="482" t="s">
        <v>1566</v>
      </c>
      <c r="G654" s="150" t="s">
        <v>1135</v>
      </c>
      <c r="H654" s="334" t="s">
        <v>1161</v>
      </c>
      <c r="I654" s="334" t="s">
        <v>1135</v>
      </c>
      <c r="J654" s="334" t="s">
        <v>1161</v>
      </c>
      <c r="K654" s="334" t="s">
        <v>1137</v>
      </c>
      <c r="L654" s="511" t="s">
        <v>639</v>
      </c>
      <c r="M654" s="392" t="s">
        <v>1327</v>
      </c>
      <c r="N654" s="343"/>
      <c r="O654" s="343"/>
      <c r="P654" s="70" t="s">
        <v>147</v>
      </c>
      <c r="Q654" s="346"/>
      <c r="R654" s="343"/>
      <c r="S654" s="346"/>
      <c r="T654" s="150" t="s">
        <v>25</v>
      </c>
      <c r="U654" s="150"/>
      <c r="V654" s="475"/>
      <c r="W654" s="406">
        <v>0</v>
      </c>
      <c r="X654" s="406">
        <v>0.13</v>
      </c>
      <c r="Y654" s="425"/>
      <c r="Z654" s="71"/>
      <c r="AA654" s="427"/>
      <c r="AB654" s="427"/>
      <c r="AC654" s="427">
        <v>0.13</v>
      </c>
      <c r="AD654" s="428">
        <v>0</v>
      </c>
      <c r="AE654" s="429">
        <v>0</v>
      </c>
      <c r="AF654" s="429">
        <v>0.13</v>
      </c>
      <c r="AG654" s="360">
        <v>0</v>
      </c>
      <c r="AH654" s="360">
        <v>0</v>
      </c>
      <c r="AI654" s="360">
        <v>0</v>
      </c>
      <c r="AJ654" s="360">
        <v>0</v>
      </c>
      <c r="AK654" s="360">
        <v>0</v>
      </c>
      <c r="AL654" s="360">
        <v>0</v>
      </c>
      <c r="AM654" s="360">
        <f t="shared" si="33"/>
        <v>0.26</v>
      </c>
      <c r="AN654" s="455">
        <f>ERP_2[[#This Row],[2026 Working Total]]-ERP_2[[#This Row],[LE2 Final Submission]]</f>
        <v>0.13</v>
      </c>
      <c r="AO654" s="79">
        <v>0</v>
      </c>
      <c r="AP654" s="79">
        <f t="shared" si="34"/>
        <v>0.13</v>
      </c>
      <c r="AQ654" s="374">
        <f>SUM(ERP_2[[#This Row],[AP01]:[AP06]])-SUM(ERP_2[[#This Row],[AP01 LE2]:[AP06 LE2]])</f>
        <v>0.13</v>
      </c>
      <c r="AR654" s="80"/>
      <c r="AS654" s="79">
        <f>ERP_2[[#This Row],[2026 Working Total to Budget/LE]]-ERP_2[[#This Row],[Giveback]]</f>
        <v>0.13</v>
      </c>
      <c r="AT654" s="81"/>
      <c r="AU654" s="375"/>
      <c r="AV654" s="375"/>
      <c r="AW654" s="375">
        <v>0.13</v>
      </c>
      <c r="AX654" s="375">
        <v>0</v>
      </c>
      <c r="AY654" s="375">
        <v>0</v>
      </c>
      <c r="AZ654" s="375">
        <v>0</v>
      </c>
      <c r="BA654" s="375">
        <v>0</v>
      </c>
      <c r="BB654" s="375">
        <v>0</v>
      </c>
      <c r="BC654" s="375">
        <v>0</v>
      </c>
      <c r="BD654" s="375">
        <v>0</v>
      </c>
      <c r="BE654" s="375">
        <v>0</v>
      </c>
      <c r="BF654" s="375">
        <v>0</v>
      </c>
      <c r="BG654" s="375">
        <v>0.13</v>
      </c>
      <c r="BH654" s="79"/>
      <c r="BI654" s="79"/>
      <c r="BJ654" s="79">
        <v>0.13</v>
      </c>
      <c r="BK654" s="79">
        <v>0</v>
      </c>
      <c r="BL654" s="79">
        <v>0</v>
      </c>
      <c r="BM654" s="79">
        <v>0</v>
      </c>
      <c r="BN654" s="79">
        <v>0</v>
      </c>
      <c r="BO654" s="79">
        <v>0</v>
      </c>
      <c r="BP654" s="79">
        <v>0</v>
      </c>
      <c r="BQ654" s="79">
        <v>0</v>
      </c>
      <c r="BR654" s="79">
        <v>0</v>
      </c>
      <c r="BS654" s="79">
        <v>0</v>
      </c>
      <c r="BT654" s="79">
        <v>0.13</v>
      </c>
    </row>
    <row r="655" spans="1:72" ht="15" customHeight="1">
      <c r="A655" s="66" t="s">
        <v>2603</v>
      </c>
      <c r="B655" s="66" t="s">
        <v>2953</v>
      </c>
      <c r="C655" s="66" t="s">
        <v>899</v>
      </c>
      <c r="D655" s="66" t="s">
        <v>2604</v>
      </c>
      <c r="E655" s="150" t="s">
        <v>1136</v>
      </c>
      <c r="F655" s="482" t="s">
        <v>1566</v>
      </c>
      <c r="G655" s="150" t="s">
        <v>1135</v>
      </c>
      <c r="H655" s="334" t="s">
        <v>1165</v>
      </c>
      <c r="I655" s="334" t="s">
        <v>1135</v>
      </c>
      <c r="J655" s="334" t="s">
        <v>1165</v>
      </c>
      <c r="K655" s="334" t="s">
        <v>1137</v>
      </c>
      <c r="L655" s="511" t="s">
        <v>639</v>
      </c>
      <c r="M655" s="451" t="s">
        <v>1327</v>
      </c>
      <c r="N655" s="343"/>
      <c r="O655" s="343"/>
      <c r="P655" s="70" t="s">
        <v>147</v>
      </c>
      <c r="Q655" s="346"/>
      <c r="R655" s="343"/>
      <c r="S655" s="346"/>
      <c r="T655" s="150" t="s">
        <v>25</v>
      </c>
      <c r="U655" s="482" t="s">
        <v>1338</v>
      </c>
      <c r="V655" s="475"/>
      <c r="W655" s="406">
        <v>0</v>
      </c>
      <c r="X655" s="406">
        <v>0.19999999999999996</v>
      </c>
      <c r="Y655" s="425"/>
      <c r="Z655" s="71"/>
      <c r="AA655" s="427">
        <v>-0.34</v>
      </c>
      <c r="AB655" s="427">
        <v>-0.09</v>
      </c>
      <c r="AC655" s="427">
        <v>0.63</v>
      </c>
      <c r="AD655" s="428">
        <v>-0.98</v>
      </c>
      <c r="AE655" s="429">
        <v>0.75</v>
      </c>
      <c r="AF655" s="429">
        <v>0</v>
      </c>
      <c r="AG655" s="360">
        <v>0</v>
      </c>
      <c r="AH655" s="360">
        <v>0</v>
      </c>
      <c r="AI655" s="360">
        <v>0</v>
      </c>
      <c r="AJ655" s="360">
        <v>0</v>
      </c>
      <c r="AK655" s="360">
        <v>0</v>
      </c>
      <c r="AL655" s="360">
        <v>0</v>
      </c>
      <c r="AM655" s="360">
        <f t="shared" si="33"/>
        <v>-3.0000000000000027E-2</v>
      </c>
      <c r="AN655" s="455">
        <f>ERP_2[[#This Row],[2026 Working Total]]-ERP_2[[#This Row],[LE2 Final Submission]]</f>
        <v>-0.22999999999999998</v>
      </c>
      <c r="AO655" s="79">
        <v>0</v>
      </c>
      <c r="AP655" s="79">
        <f t="shared" si="34"/>
        <v>0</v>
      </c>
      <c r="AQ655" s="374">
        <f>SUM(ERP_2[[#This Row],[AP01]:[AP06]])-SUM(ERP_2[[#This Row],[AP01 LE2]:[AP06 LE2]])</f>
        <v>-0.22999999999999998</v>
      </c>
      <c r="AR655" s="80"/>
      <c r="AS655" s="79">
        <f>ERP_2[[#This Row],[2026 Working Total to Budget/LE]]-ERP_2[[#This Row],[Giveback]]</f>
        <v>-0.22999999999999998</v>
      </c>
      <c r="AT655" s="81"/>
      <c r="AU655" s="375">
        <v>-0.34</v>
      </c>
      <c r="AV655" s="375">
        <v>-0.09</v>
      </c>
      <c r="AW655" s="375">
        <v>0.63</v>
      </c>
      <c r="AX655" s="375">
        <v>0</v>
      </c>
      <c r="AY655" s="375">
        <v>0</v>
      </c>
      <c r="AZ655" s="375">
        <v>0</v>
      </c>
      <c r="BA655" s="375">
        <v>0</v>
      </c>
      <c r="BB655" s="375">
        <v>0</v>
      </c>
      <c r="BC655" s="375">
        <v>0</v>
      </c>
      <c r="BD655" s="375">
        <v>0</v>
      </c>
      <c r="BE655" s="375">
        <v>0</v>
      </c>
      <c r="BF655" s="375">
        <v>0</v>
      </c>
      <c r="BG655" s="375">
        <v>0.19999999999999996</v>
      </c>
      <c r="BH655" s="79">
        <v>-0.34</v>
      </c>
      <c r="BI655" s="79">
        <v>-0.09</v>
      </c>
      <c r="BJ655" s="79">
        <v>0.63</v>
      </c>
      <c r="BK655" s="79">
        <v>0</v>
      </c>
      <c r="BL655" s="79">
        <v>0</v>
      </c>
      <c r="BM655" s="79">
        <v>0</v>
      </c>
      <c r="BN655" s="79">
        <v>0</v>
      </c>
      <c r="BO655" s="79">
        <v>0</v>
      </c>
      <c r="BP655" s="79">
        <v>0</v>
      </c>
      <c r="BQ655" s="79">
        <v>0</v>
      </c>
      <c r="BR655" s="79">
        <v>0</v>
      </c>
      <c r="BS655" s="79">
        <v>0</v>
      </c>
      <c r="BT655" s="79">
        <v>0.19999999999999996</v>
      </c>
    </row>
    <row r="656" spans="1:72" ht="15" customHeight="1">
      <c r="A656" s="66" t="s">
        <v>2900</v>
      </c>
      <c r="B656" s="66" t="s">
        <v>2953</v>
      </c>
      <c r="C656" s="66" t="s">
        <v>23</v>
      </c>
      <c r="D656" s="66" t="s">
        <v>2901</v>
      </c>
      <c r="E656" s="150" t="s">
        <v>1136</v>
      </c>
      <c r="F656" s="482" t="s">
        <v>1566</v>
      </c>
      <c r="G656" s="150" t="s">
        <v>1135</v>
      </c>
      <c r="H656" s="150" t="s">
        <v>1135</v>
      </c>
      <c r="I656" s="150" t="s">
        <v>1135</v>
      </c>
      <c r="J656" s="150" t="s">
        <v>1137</v>
      </c>
      <c r="K656" s="150" t="s">
        <v>1137</v>
      </c>
      <c r="L656" s="511" t="s">
        <v>22</v>
      </c>
      <c r="M656" s="451" t="s">
        <v>2868</v>
      </c>
      <c r="N656" s="343"/>
      <c r="O656" s="343"/>
      <c r="P656" s="70" t="s">
        <v>24</v>
      </c>
      <c r="Q656" s="346" t="s">
        <v>1139</v>
      </c>
      <c r="R656" s="346" t="s">
        <v>1140</v>
      </c>
      <c r="S656" s="346"/>
      <c r="T656" s="150" t="s">
        <v>25</v>
      </c>
      <c r="U656" s="150"/>
      <c r="V656" s="475"/>
      <c r="W656" s="406">
        <v>3920122.6999999993</v>
      </c>
      <c r="X656" s="406">
        <v>0</v>
      </c>
      <c r="Y656" s="425"/>
      <c r="Z656" s="71"/>
      <c r="AA656" s="427"/>
      <c r="AB656" s="427"/>
      <c r="AC656" s="427"/>
      <c r="AD656" s="428" t="s">
        <v>1142</v>
      </c>
      <c r="AE656" s="429">
        <v>0</v>
      </c>
      <c r="AF656" s="429">
        <v>0</v>
      </c>
      <c r="AG656" s="363"/>
      <c r="AH656" s="363"/>
      <c r="AI656" s="363"/>
      <c r="AJ656" s="363"/>
      <c r="AK656" s="363"/>
      <c r="AL656" s="363"/>
      <c r="AM656" s="360">
        <f t="shared" si="33"/>
        <v>0</v>
      </c>
      <c r="AN656" s="455">
        <f>ERP_2[[#This Row],[2026 Working Total]]-ERP_2[[#This Row],[LE2 Final Submission]]</f>
        <v>0</v>
      </c>
      <c r="AO656" s="79"/>
      <c r="AP656" s="79">
        <f t="shared" si="34"/>
        <v>0</v>
      </c>
      <c r="AQ656" s="374">
        <f>SUM(ERP_2[[#This Row],[AP01]:[AP06]])-SUM(ERP_2[[#This Row],[AP01 LE2]:[AP06 LE2]])</f>
        <v>0</v>
      </c>
      <c r="AR656" s="80"/>
      <c r="AS656" s="79">
        <f>ERP_2[[#This Row],[2026 Working Total to Budget/LE]]-ERP_2[[#This Row],[Giveback]]</f>
        <v>0</v>
      </c>
      <c r="AT656" s="81"/>
      <c r="AU656" s="375"/>
      <c r="AV656" s="375"/>
      <c r="AW656" s="375"/>
      <c r="AX656" s="375"/>
      <c r="AY656" s="375"/>
      <c r="AZ656" s="375"/>
      <c r="BA656" s="375"/>
      <c r="BB656" s="375"/>
      <c r="BC656" s="375"/>
      <c r="BD656" s="375"/>
      <c r="BE656" s="375"/>
      <c r="BF656" s="375"/>
      <c r="BG656" s="375">
        <v>0</v>
      </c>
      <c r="BH656" s="79">
        <v>95760.76</v>
      </c>
      <c r="BI656" s="79">
        <v>93858.59</v>
      </c>
      <c r="BJ656" s="79">
        <v>103661.36</v>
      </c>
      <c r="BK656" s="79">
        <v>322835.13</v>
      </c>
      <c r="BL656" s="79">
        <v>322835.13</v>
      </c>
      <c r="BM656" s="79">
        <v>322835.13</v>
      </c>
      <c r="BN656" s="79">
        <v>330985.75</v>
      </c>
      <c r="BO656" s="79">
        <v>330985.75</v>
      </c>
      <c r="BP656" s="79">
        <v>338079.72</v>
      </c>
      <c r="BQ656" s="79">
        <v>338079.72</v>
      </c>
      <c r="BR656" s="79">
        <v>338079.72</v>
      </c>
      <c r="BS656" s="79">
        <v>338079.72</v>
      </c>
      <c r="BT656" s="79">
        <v>3276076.4799999995</v>
      </c>
    </row>
    <row r="657" spans="1:72" ht="15" customHeight="1">
      <c r="A657" s="66" t="s">
        <v>2903</v>
      </c>
      <c r="B657" s="66" t="s">
        <v>2953</v>
      </c>
      <c r="C657" s="66" t="s">
        <v>26</v>
      </c>
      <c r="D657" s="66" t="s">
        <v>2904</v>
      </c>
      <c r="E657" s="150" t="s">
        <v>1136</v>
      </c>
      <c r="F657" s="482" t="s">
        <v>1566</v>
      </c>
      <c r="G657" s="150" t="s">
        <v>1135</v>
      </c>
      <c r="H657" s="150" t="s">
        <v>1135</v>
      </c>
      <c r="I657" s="150" t="s">
        <v>1135</v>
      </c>
      <c r="J657" s="150" t="s">
        <v>1137</v>
      </c>
      <c r="K657" s="150" t="s">
        <v>1137</v>
      </c>
      <c r="L657" s="511" t="s">
        <v>22</v>
      </c>
      <c r="M657" s="451" t="s">
        <v>2870</v>
      </c>
      <c r="N657" s="343"/>
      <c r="O657" s="343"/>
      <c r="P657" s="70" t="s">
        <v>27</v>
      </c>
      <c r="Q657" s="346" t="s">
        <v>1139</v>
      </c>
      <c r="R657" s="346" t="s">
        <v>1140</v>
      </c>
      <c r="S657" s="346"/>
      <c r="T657" s="150" t="s">
        <v>25</v>
      </c>
      <c r="U657" s="150"/>
      <c r="V657" s="475"/>
      <c r="W657" s="406">
        <v>1729258.84</v>
      </c>
      <c r="X657" s="406">
        <v>0</v>
      </c>
      <c r="Y657" s="425"/>
      <c r="Z657" s="71"/>
      <c r="AA657" s="427"/>
      <c r="AB657" s="427"/>
      <c r="AC657" s="427"/>
      <c r="AD657" s="428" t="s">
        <v>1142</v>
      </c>
      <c r="AE657" s="429">
        <v>0</v>
      </c>
      <c r="AF657" s="429">
        <v>0</v>
      </c>
      <c r="AG657" s="363"/>
      <c r="AH657" s="363"/>
      <c r="AI657" s="363"/>
      <c r="AJ657" s="363"/>
      <c r="AK657" s="363"/>
      <c r="AL657" s="363"/>
      <c r="AM657" s="360">
        <f t="shared" si="33"/>
        <v>0</v>
      </c>
      <c r="AN657" s="455">
        <f>ERP_2[[#This Row],[2026 Working Total]]-ERP_2[[#This Row],[LE2 Final Submission]]</f>
        <v>0</v>
      </c>
      <c r="AO657" s="79"/>
      <c r="AP657" s="79">
        <f t="shared" si="34"/>
        <v>0</v>
      </c>
      <c r="AQ657" s="374">
        <f>SUM(ERP_2[[#This Row],[AP01]:[AP06]])-SUM(ERP_2[[#This Row],[AP01 LE2]:[AP06 LE2]])</f>
        <v>0</v>
      </c>
      <c r="AR657" s="80"/>
      <c r="AS657" s="79">
        <f>ERP_2[[#This Row],[2026 Working Total to Budget/LE]]-ERP_2[[#This Row],[Giveback]]</f>
        <v>0</v>
      </c>
      <c r="AT657" s="81"/>
      <c r="AU657" s="375"/>
      <c r="AV657" s="375"/>
      <c r="AW657" s="375"/>
      <c r="AX657" s="375"/>
      <c r="AY657" s="375"/>
      <c r="AZ657" s="375"/>
      <c r="BA657" s="375"/>
      <c r="BB657" s="375"/>
      <c r="BC657" s="375"/>
      <c r="BD657" s="375"/>
      <c r="BE657" s="375"/>
      <c r="BF657" s="375"/>
      <c r="BG657" s="375">
        <v>0</v>
      </c>
      <c r="BH657" s="79">
        <v>50770.12</v>
      </c>
      <c r="BI657" s="79">
        <v>51960.62</v>
      </c>
      <c r="BJ657" s="79">
        <v>52695.87</v>
      </c>
      <c r="BK657" s="79">
        <v>142100.94</v>
      </c>
      <c r="BL657" s="79">
        <v>142100.94</v>
      </c>
      <c r="BM657" s="79">
        <v>142100.94</v>
      </c>
      <c r="BN657" s="79">
        <v>146019.5</v>
      </c>
      <c r="BO657" s="79">
        <v>146019.5</v>
      </c>
      <c r="BP657" s="79">
        <v>150075.81</v>
      </c>
      <c r="BQ657" s="79">
        <v>150075.81</v>
      </c>
      <c r="BR657" s="79">
        <v>150075.81</v>
      </c>
      <c r="BS657" s="79">
        <v>150075.81</v>
      </c>
      <c r="BT657" s="79">
        <v>1474071.6700000002</v>
      </c>
    </row>
    <row r="658" spans="1:72" ht="15" customHeight="1">
      <c r="A658" s="66" t="s">
        <v>2831</v>
      </c>
      <c r="B658" s="66" t="s">
        <v>2953</v>
      </c>
      <c r="C658" s="66" t="s">
        <v>1028</v>
      </c>
      <c r="D658" s="66" t="s">
        <v>2832</v>
      </c>
      <c r="E658" s="150" t="s">
        <v>1136</v>
      </c>
      <c r="F658" s="482" t="s">
        <v>1566</v>
      </c>
      <c r="G658" s="150" t="s">
        <v>1135</v>
      </c>
      <c r="H658" s="150" t="s">
        <v>1135</v>
      </c>
      <c r="I658" s="150" t="s">
        <v>1135</v>
      </c>
      <c r="J658" s="150" t="s">
        <v>1137</v>
      </c>
      <c r="K658" s="150" t="s">
        <v>1137</v>
      </c>
      <c r="L658" s="511" t="s">
        <v>1027</v>
      </c>
      <c r="M658" s="451" t="s">
        <v>2830</v>
      </c>
      <c r="N658" s="343"/>
      <c r="O658" s="343"/>
      <c r="P658" s="70" t="s">
        <v>1029</v>
      </c>
      <c r="Q658" s="346"/>
      <c r="R658" s="343"/>
      <c r="S658" s="346"/>
      <c r="T658" s="150" t="s">
        <v>25</v>
      </c>
      <c r="U658" s="1" t="s">
        <v>1141</v>
      </c>
      <c r="V658" s="475"/>
      <c r="W658" s="406">
        <v>78300</v>
      </c>
      <c r="X658" s="406">
        <v>62093.21</v>
      </c>
      <c r="Y658" s="425"/>
      <c r="Z658" s="71"/>
      <c r="AA658" s="427">
        <v>350.82</v>
      </c>
      <c r="AB658" s="427">
        <v>683.3</v>
      </c>
      <c r="AC658" s="427">
        <v>1259.0899999999999</v>
      </c>
      <c r="AD658" s="428">
        <v>404.51000000000005</v>
      </c>
      <c r="AE658" s="429">
        <v>2183.5099999999993</v>
      </c>
      <c r="AF658" s="429">
        <v>2294.7200000000003</v>
      </c>
      <c r="AG658" s="363">
        <v>6500</v>
      </c>
      <c r="AH658" s="363">
        <v>6500</v>
      </c>
      <c r="AI658" s="363">
        <v>6900</v>
      </c>
      <c r="AJ658" s="363">
        <v>6900</v>
      </c>
      <c r="AK658" s="363">
        <v>6900</v>
      </c>
      <c r="AL658" s="363">
        <v>6900</v>
      </c>
      <c r="AM658" s="360">
        <f t="shared" si="33"/>
        <v>47775.95</v>
      </c>
      <c r="AN658" s="455">
        <f>ERP_2[[#This Row],[2026 Working Total]]-ERP_2[[#This Row],[LE2 Final Submission]]</f>
        <v>-14317.260000000002</v>
      </c>
      <c r="AO658" s="79">
        <v>6400</v>
      </c>
      <c r="AP658" s="79">
        <f t="shared" si="34"/>
        <v>-4105.28</v>
      </c>
      <c r="AQ658" s="374">
        <f>SUM(ERP_2[[#This Row],[AP01]:[AP06]])-SUM(ERP_2[[#This Row],[AP01 LE2]:[AP06 LE2]])</f>
        <v>-14317.259999999998</v>
      </c>
      <c r="AR658" s="80"/>
      <c r="AS658" s="79">
        <f>ERP_2[[#This Row],[2026 Working Total to Budget/LE]]-ERP_2[[#This Row],[Giveback]]</f>
        <v>-14317.260000000002</v>
      </c>
      <c r="AT658" s="81"/>
      <c r="AU658" s="375">
        <v>350.82</v>
      </c>
      <c r="AV658" s="375">
        <v>683.3</v>
      </c>
      <c r="AW658" s="375">
        <v>1259.0899999999999</v>
      </c>
      <c r="AX658" s="375">
        <v>6400</v>
      </c>
      <c r="AY658" s="375">
        <v>6400</v>
      </c>
      <c r="AZ658" s="375">
        <v>6400</v>
      </c>
      <c r="BA658" s="375">
        <v>6500</v>
      </c>
      <c r="BB658" s="375">
        <v>6500</v>
      </c>
      <c r="BC658" s="375">
        <v>6900</v>
      </c>
      <c r="BD658" s="375">
        <v>6900</v>
      </c>
      <c r="BE658" s="375">
        <v>6900</v>
      </c>
      <c r="BF658" s="375">
        <v>6900</v>
      </c>
      <c r="BG658" s="375">
        <v>62093.21</v>
      </c>
      <c r="BH658" s="79">
        <v>350.82</v>
      </c>
      <c r="BI658" s="79">
        <v>683.3</v>
      </c>
      <c r="BJ658" s="79">
        <v>1259.0899999999999</v>
      </c>
      <c r="BK658" s="79">
        <v>6400</v>
      </c>
      <c r="BL658" s="79">
        <v>6400</v>
      </c>
      <c r="BM658" s="79">
        <v>6400</v>
      </c>
      <c r="BN658" s="79">
        <v>6500</v>
      </c>
      <c r="BO658" s="79">
        <v>6500</v>
      </c>
      <c r="BP658" s="79">
        <v>6900</v>
      </c>
      <c r="BQ658" s="79">
        <v>6900</v>
      </c>
      <c r="BR658" s="79">
        <v>6900</v>
      </c>
      <c r="BS658" s="79">
        <v>6900</v>
      </c>
      <c r="BT658" s="79">
        <v>62093.21</v>
      </c>
    </row>
    <row r="659" spans="1:72" ht="15" customHeight="1">
      <c r="A659" s="66" t="s">
        <v>2847</v>
      </c>
      <c r="B659" s="66" t="s">
        <v>2953</v>
      </c>
      <c r="C659" s="66" t="s">
        <v>1038</v>
      </c>
      <c r="D659" s="66" t="s">
        <v>2848</v>
      </c>
      <c r="E659" s="150" t="s">
        <v>1136</v>
      </c>
      <c r="F659" s="482" t="s">
        <v>1566</v>
      </c>
      <c r="G659" s="150" t="s">
        <v>1135</v>
      </c>
      <c r="H659" s="150" t="s">
        <v>1135</v>
      </c>
      <c r="I659" s="150" t="s">
        <v>1135</v>
      </c>
      <c r="J659" s="150" t="s">
        <v>1137</v>
      </c>
      <c r="K659" s="150" t="s">
        <v>1137</v>
      </c>
      <c r="L659" s="511" t="s">
        <v>1037</v>
      </c>
      <c r="M659" s="451" t="s">
        <v>2846</v>
      </c>
      <c r="N659" s="343"/>
      <c r="O659" s="343"/>
      <c r="P659" s="70" t="s">
        <v>1039</v>
      </c>
      <c r="Q659" s="346"/>
      <c r="R659" s="346" t="s">
        <v>1140</v>
      </c>
      <c r="S659" s="346"/>
      <c r="T659" s="150" t="s">
        <v>1040</v>
      </c>
      <c r="U659" s="1" t="s">
        <v>1141</v>
      </c>
      <c r="V659" s="475"/>
      <c r="W659" s="406">
        <v>0</v>
      </c>
      <c r="X659" s="406">
        <v>7225.12</v>
      </c>
      <c r="Y659" s="425"/>
      <c r="Z659" s="71"/>
      <c r="AA659" s="427">
        <v>302.32</v>
      </c>
      <c r="AB659" s="427">
        <v>-468.02</v>
      </c>
      <c r="AC659" s="427">
        <v>7390.82</v>
      </c>
      <c r="AD659" s="428">
        <v>10390.350000000002</v>
      </c>
      <c r="AE659" s="429">
        <v>-6560.7800000000007</v>
      </c>
      <c r="AF659" s="429">
        <v>1751.47</v>
      </c>
      <c r="AG659" s="360">
        <v>0</v>
      </c>
      <c r="AH659" s="360">
        <v>0</v>
      </c>
      <c r="AI659" s="360">
        <v>0</v>
      </c>
      <c r="AJ659" s="360">
        <v>0</v>
      </c>
      <c r="AK659" s="360">
        <v>0</v>
      </c>
      <c r="AL659" s="360">
        <v>0</v>
      </c>
      <c r="AM659" s="360">
        <f t="shared" si="33"/>
        <v>12806.16</v>
      </c>
      <c r="AN659" s="455">
        <f>ERP_2[[#This Row],[2026 Working Total]]-ERP_2[[#This Row],[LE2 Final Submission]]</f>
        <v>5581.04</v>
      </c>
      <c r="AO659" s="79">
        <v>0</v>
      </c>
      <c r="AP659" s="79">
        <f t="shared" si="34"/>
        <v>1751.47</v>
      </c>
      <c r="AQ659" s="374">
        <f>SUM(ERP_2[[#This Row],[AP01]:[AP06]])-SUM(ERP_2[[#This Row],[AP01 LE2]:[AP06 LE2]])</f>
        <v>5581.04</v>
      </c>
      <c r="AR659" s="80"/>
      <c r="AS659" s="79">
        <f>ERP_2[[#This Row],[2026 Working Total to Budget/LE]]-ERP_2[[#This Row],[Giveback]]</f>
        <v>5581.04</v>
      </c>
      <c r="AT659" s="81"/>
      <c r="AU659" s="375">
        <v>302.32</v>
      </c>
      <c r="AV659" s="375">
        <v>-468.02</v>
      </c>
      <c r="AW659" s="375">
        <v>7390.82</v>
      </c>
      <c r="AX659" s="375">
        <v>0</v>
      </c>
      <c r="AY659" s="375">
        <v>0</v>
      </c>
      <c r="AZ659" s="375">
        <v>0</v>
      </c>
      <c r="BA659" s="375">
        <v>0</v>
      </c>
      <c r="BB659" s="375">
        <v>0</v>
      </c>
      <c r="BC659" s="375">
        <v>0</v>
      </c>
      <c r="BD659" s="375">
        <v>0</v>
      </c>
      <c r="BE659" s="375">
        <v>0</v>
      </c>
      <c r="BF659" s="375">
        <v>0</v>
      </c>
      <c r="BG659" s="375">
        <v>7225.12</v>
      </c>
      <c r="BH659" s="79">
        <v>302.32</v>
      </c>
      <c r="BI659" s="79">
        <v>-468.02</v>
      </c>
      <c r="BJ659" s="79">
        <v>7390.82</v>
      </c>
      <c r="BK659" s="79">
        <v>0</v>
      </c>
      <c r="BL659" s="79">
        <v>0</v>
      </c>
      <c r="BM659" s="79">
        <v>0</v>
      </c>
      <c r="BN659" s="79">
        <v>0</v>
      </c>
      <c r="BO659" s="79">
        <v>0</v>
      </c>
      <c r="BP659" s="79">
        <v>0</v>
      </c>
      <c r="BQ659" s="79">
        <v>0</v>
      </c>
      <c r="BR659" s="79">
        <v>0</v>
      </c>
      <c r="BS659" s="79">
        <v>0</v>
      </c>
      <c r="BT659" s="79">
        <v>7225.12</v>
      </c>
    </row>
    <row r="660" spans="1:72" ht="15" customHeight="1">
      <c r="A660" s="66" t="s">
        <v>1445</v>
      </c>
      <c r="B660" s="66" t="s">
        <v>2953</v>
      </c>
      <c r="C660" s="66" t="s">
        <v>202</v>
      </c>
      <c r="D660" s="66" t="s">
        <v>1446</v>
      </c>
      <c r="E660" s="150" t="s">
        <v>1136</v>
      </c>
      <c r="F660" s="482" t="s">
        <v>1566</v>
      </c>
      <c r="G660" s="150" t="s">
        <v>1345</v>
      </c>
      <c r="H660" s="150" t="s">
        <v>1437</v>
      </c>
      <c r="I660" s="150" t="s">
        <v>1345</v>
      </c>
      <c r="J660" s="150" t="s">
        <v>1437</v>
      </c>
      <c r="K660" s="150" t="s">
        <v>1346</v>
      </c>
      <c r="L660" s="511" t="s">
        <v>49</v>
      </c>
      <c r="M660" s="451" t="s">
        <v>1327</v>
      </c>
      <c r="N660" s="343"/>
      <c r="O660" s="343"/>
      <c r="P660" s="70" t="s">
        <v>147</v>
      </c>
      <c r="Q660" s="346"/>
      <c r="R660" s="343"/>
      <c r="S660" s="346"/>
      <c r="T660" s="150" t="s">
        <v>25</v>
      </c>
      <c r="U660" s="150"/>
      <c r="V660" s="475"/>
      <c r="W660" s="406">
        <v>0</v>
      </c>
      <c r="X660" s="406">
        <v>0.33999999999999997</v>
      </c>
      <c r="Y660" s="425"/>
      <c r="Z660" s="71"/>
      <c r="AA660" s="427">
        <v>-0.1</v>
      </c>
      <c r="AB660" s="431">
        <v>0</v>
      </c>
      <c r="AC660" s="427">
        <v>0.44</v>
      </c>
      <c r="AD660" s="428">
        <v>0</v>
      </c>
      <c r="AE660" s="429">
        <v>0</v>
      </c>
      <c r="AF660" s="429">
        <v>0</v>
      </c>
      <c r="AG660" s="360">
        <v>0</v>
      </c>
      <c r="AH660" s="360">
        <v>0</v>
      </c>
      <c r="AI660" s="360">
        <v>0</v>
      </c>
      <c r="AJ660" s="360">
        <v>0</v>
      </c>
      <c r="AK660" s="360">
        <v>0</v>
      </c>
      <c r="AL660" s="360">
        <v>0</v>
      </c>
      <c r="AM660" s="360">
        <f t="shared" si="33"/>
        <v>0.33999999999999997</v>
      </c>
      <c r="AN660" s="455">
        <f>ERP_2[[#This Row],[2026 Working Total]]-ERP_2[[#This Row],[LE2 Final Submission]]</f>
        <v>0</v>
      </c>
      <c r="AO660" s="79">
        <v>0</v>
      </c>
      <c r="AP660" s="79">
        <f t="shared" si="34"/>
        <v>0</v>
      </c>
      <c r="AQ660" s="374">
        <f>SUM(ERP_2[[#This Row],[AP01]:[AP06]])-SUM(ERP_2[[#This Row],[AP01 LE2]:[AP06 LE2]])</f>
        <v>0</v>
      </c>
      <c r="AR660" s="80"/>
      <c r="AS660" s="79">
        <f>ERP_2[[#This Row],[2026 Working Total to Budget/LE]]-ERP_2[[#This Row],[Giveback]]</f>
        <v>0</v>
      </c>
      <c r="AT660" s="81"/>
      <c r="AU660" s="375">
        <v>-0.1</v>
      </c>
      <c r="AV660" s="375">
        <v>0</v>
      </c>
      <c r="AW660" s="375">
        <v>0.44</v>
      </c>
      <c r="AX660" s="375">
        <v>0</v>
      </c>
      <c r="AY660" s="375">
        <v>0</v>
      </c>
      <c r="AZ660" s="375">
        <v>0</v>
      </c>
      <c r="BA660" s="375">
        <v>0</v>
      </c>
      <c r="BB660" s="375">
        <v>0</v>
      </c>
      <c r="BC660" s="375">
        <v>0</v>
      </c>
      <c r="BD660" s="375">
        <v>0</v>
      </c>
      <c r="BE660" s="375">
        <v>0</v>
      </c>
      <c r="BF660" s="375">
        <v>0</v>
      </c>
      <c r="BG660" s="375">
        <v>0.33999999999999997</v>
      </c>
      <c r="BH660" s="79">
        <v>-0.1</v>
      </c>
      <c r="BI660" s="79">
        <v>0</v>
      </c>
      <c r="BJ660" s="79">
        <v>0.44</v>
      </c>
      <c r="BK660" s="79">
        <v>0</v>
      </c>
      <c r="BL660" s="79">
        <v>0</v>
      </c>
      <c r="BM660" s="79">
        <v>0</v>
      </c>
      <c r="BN660" s="79">
        <v>0</v>
      </c>
      <c r="BO660" s="79">
        <v>0</v>
      </c>
      <c r="BP660" s="79">
        <v>0</v>
      </c>
      <c r="BQ660" s="79">
        <v>0</v>
      </c>
      <c r="BR660" s="79">
        <v>0</v>
      </c>
      <c r="BS660" s="79">
        <v>0</v>
      </c>
      <c r="BT660" s="79">
        <v>0.33999999999999997</v>
      </c>
    </row>
    <row r="661" spans="1:72" ht="15" customHeight="1">
      <c r="A661" s="66" t="s">
        <v>2011</v>
      </c>
      <c r="B661" s="66" t="s">
        <v>2953</v>
      </c>
      <c r="C661" s="66" t="s">
        <v>524</v>
      </c>
      <c r="D661" s="66" t="s">
        <v>524</v>
      </c>
      <c r="E661" s="150" t="s">
        <v>1136</v>
      </c>
      <c r="F661" s="482" t="s">
        <v>1566</v>
      </c>
      <c r="G661" s="150" t="s">
        <v>1345</v>
      </c>
      <c r="H661" s="150" t="s">
        <v>1345</v>
      </c>
      <c r="I661" s="150" t="s">
        <v>1345</v>
      </c>
      <c r="J661" s="150" t="s">
        <v>1345</v>
      </c>
      <c r="K661" s="150" t="s">
        <v>1346</v>
      </c>
      <c r="L661" s="511" t="s">
        <v>389</v>
      </c>
      <c r="M661" s="451" t="s">
        <v>1174</v>
      </c>
      <c r="N661" s="343"/>
      <c r="O661" s="343"/>
      <c r="P661" s="70" t="s">
        <v>56</v>
      </c>
      <c r="Q661" s="346"/>
      <c r="R661" s="346" t="s">
        <v>1140</v>
      </c>
      <c r="S661" s="346"/>
      <c r="T661" s="150" t="s">
        <v>57</v>
      </c>
      <c r="U661" s="150"/>
      <c r="V661" s="453"/>
      <c r="W661" s="406">
        <v>10233</v>
      </c>
      <c r="X661" s="406">
        <v>10178.029999999999</v>
      </c>
      <c r="Y661" s="425"/>
      <c r="Z661" s="71"/>
      <c r="AA661" s="427">
        <v>961.55</v>
      </c>
      <c r="AB661" s="427">
        <v>816.59</v>
      </c>
      <c r="AC661" s="427">
        <v>725.14</v>
      </c>
      <c r="AD661" s="428">
        <v>139.44999999999999</v>
      </c>
      <c r="AE661" s="429">
        <v>1450.2800000000002</v>
      </c>
      <c r="AF661" s="429">
        <v>0</v>
      </c>
      <c r="AG661" s="363">
        <v>852.75</v>
      </c>
      <c r="AH661" s="363">
        <v>852.75</v>
      </c>
      <c r="AI661" s="363">
        <v>852.75</v>
      </c>
      <c r="AJ661" s="363">
        <v>852.75</v>
      </c>
      <c r="AK661" s="363">
        <v>852.75</v>
      </c>
      <c r="AL661" s="363">
        <v>852.75</v>
      </c>
      <c r="AM661" s="360">
        <f t="shared" si="33"/>
        <v>9209.51</v>
      </c>
      <c r="AN661" s="455">
        <f>ERP_2[[#This Row],[2026 Working Total]]-ERP_2[[#This Row],[LE2 Final Submission]]</f>
        <v>-968.51999999999862</v>
      </c>
      <c r="AO661" s="79">
        <v>852.75</v>
      </c>
      <c r="AP661" s="79">
        <f t="shared" si="34"/>
        <v>-852.75</v>
      </c>
      <c r="AQ661" s="374">
        <f>SUM(ERP_2[[#This Row],[AP01]:[AP06]])-SUM(ERP_2[[#This Row],[AP01 LE2]:[AP06 LE2]])</f>
        <v>-968.52</v>
      </c>
      <c r="AR661" s="80"/>
      <c r="AS661" s="79">
        <f>ERP_2[[#This Row],[2026 Working Total to Budget/LE]]-ERP_2[[#This Row],[Giveback]]</f>
        <v>-968.51999999999862</v>
      </c>
      <c r="AT661" s="81"/>
      <c r="AU661" s="375">
        <v>961.55</v>
      </c>
      <c r="AV661" s="375">
        <v>816.59</v>
      </c>
      <c r="AW661" s="375">
        <v>725.14</v>
      </c>
      <c r="AX661" s="375">
        <v>852.75</v>
      </c>
      <c r="AY661" s="375">
        <v>852.75</v>
      </c>
      <c r="AZ661" s="375">
        <v>852.75</v>
      </c>
      <c r="BA661" s="375">
        <v>852.75</v>
      </c>
      <c r="BB661" s="375">
        <v>852.75</v>
      </c>
      <c r="BC661" s="375">
        <v>852.75</v>
      </c>
      <c r="BD661" s="375">
        <v>852.75</v>
      </c>
      <c r="BE661" s="375">
        <v>852.75</v>
      </c>
      <c r="BF661" s="375">
        <v>852.75</v>
      </c>
      <c r="BG661" s="375">
        <v>10178.029999999999</v>
      </c>
      <c r="BH661" s="79">
        <v>961.55</v>
      </c>
      <c r="BI661" s="79">
        <v>816.59</v>
      </c>
      <c r="BJ661" s="79">
        <v>725.14</v>
      </c>
      <c r="BK661" s="79">
        <v>852.75</v>
      </c>
      <c r="BL661" s="79">
        <v>852.75</v>
      </c>
      <c r="BM661" s="79">
        <v>852.75</v>
      </c>
      <c r="BN661" s="79">
        <v>852.75</v>
      </c>
      <c r="BO661" s="79">
        <v>852.75</v>
      </c>
      <c r="BP661" s="79">
        <v>852.75</v>
      </c>
      <c r="BQ661" s="79">
        <v>852.75</v>
      </c>
      <c r="BR661" s="79">
        <v>852.75</v>
      </c>
      <c r="BS661" s="79">
        <v>852.75</v>
      </c>
      <c r="BT661" s="79">
        <v>10178.029999999999</v>
      </c>
    </row>
    <row r="662" spans="1:72" ht="15" customHeight="1">
      <c r="A662" s="66" t="s">
        <v>2025</v>
      </c>
      <c r="B662" s="66" t="s">
        <v>2953</v>
      </c>
      <c r="C662" s="66" t="s">
        <v>533</v>
      </c>
      <c r="D662" s="66" t="s">
        <v>2026</v>
      </c>
      <c r="E662" s="150" t="s">
        <v>1136</v>
      </c>
      <c r="F662" s="482" t="s">
        <v>1566</v>
      </c>
      <c r="G662" s="150" t="s">
        <v>1345</v>
      </c>
      <c r="H662" s="150" t="s">
        <v>1437</v>
      </c>
      <c r="I662" s="150" t="s">
        <v>1345</v>
      </c>
      <c r="J662" s="150" t="s">
        <v>1437</v>
      </c>
      <c r="K662" s="150" t="s">
        <v>1346</v>
      </c>
      <c r="L662" s="511" t="s">
        <v>389</v>
      </c>
      <c r="M662" s="451" t="s">
        <v>1855</v>
      </c>
      <c r="N662" s="343"/>
      <c r="O662" s="343"/>
      <c r="P662" s="70" t="s">
        <v>466</v>
      </c>
      <c r="Q662" s="346"/>
      <c r="R662" s="346" t="s">
        <v>1140</v>
      </c>
      <c r="S662" s="346"/>
      <c r="T662" s="150" t="s">
        <v>57</v>
      </c>
      <c r="U662" s="150"/>
      <c r="V662" s="453"/>
      <c r="W662" s="406">
        <v>22800</v>
      </c>
      <c r="X662" s="406">
        <v>20679</v>
      </c>
      <c r="Y662" s="425"/>
      <c r="Z662" s="71"/>
      <c r="AA662" s="427">
        <v>1636</v>
      </c>
      <c r="AB662" s="427">
        <v>1153</v>
      </c>
      <c r="AC662" s="427">
        <v>790</v>
      </c>
      <c r="AD662" s="428">
        <v>1287</v>
      </c>
      <c r="AE662" s="429">
        <v>1227</v>
      </c>
      <c r="AF662" s="429">
        <v>1227</v>
      </c>
      <c r="AG662" s="363">
        <v>1900</v>
      </c>
      <c r="AH662" s="363">
        <v>1900</v>
      </c>
      <c r="AI662" s="363">
        <v>1900</v>
      </c>
      <c r="AJ662" s="363">
        <v>1900</v>
      </c>
      <c r="AK662" s="363">
        <v>1900</v>
      </c>
      <c r="AL662" s="363">
        <v>1900</v>
      </c>
      <c r="AM662" s="360">
        <f t="shared" si="33"/>
        <v>18720</v>
      </c>
      <c r="AN662" s="455">
        <f>ERP_2[[#This Row],[2026 Working Total]]-ERP_2[[#This Row],[LE2 Final Submission]]</f>
        <v>-1959</v>
      </c>
      <c r="AO662" s="79">
        <v>1900</v>
      </c>
      <c r="AP662" s="79">
        <f t="shared" si="34"/>
        <v>-673</v>
      </c>
      <c r="AQ662" s="374">
        <f>SUM(ERP_2[[#This Row],[AP01]:[AP06]])-SUM(ERP_2[[#This Row],[AP01 LE2]:[AP06 LE2]])</f>
        <v>-1959</v>
      </c>
      <c r="AR662" s="80"/>
      <c r="AS662" s="79">
        <f>ERP_2[[#This Row],[2026 Working Total to Budget/LE]]-ERP_2[[#This Row],[Giveback]]</f>
        <v>-1959</v>
      </c>
      <c r="AT662" s="81"/>
      <c r="AU662" s="375">
        <v>1636</v>
      </c>
      <c r="AV662" s="375">
        <v>1153</v>
      </c>
      <c r="AW662" s="375">
        <v>790</v>
      </c>
      <c r="AX662" s="375">
        <v>1900</v>
      </c>
      <c r="AY662" s="375">
        <v>1900</v>
      </c>
      <c r="AZ662" s="375">
        <v>1900</v>
      </c>
      <c r="BA662" s="375">
        <v>1900</v>
      </c>
      <c r="BB662" s="375">
        <v>1900</v>
      </c>
      <c r="BC662" s="375">
        <v>1900</v>
      </c>
      <c r="BD662" s="375">
        <v>1900</v>
      </c>
      <c r="BE662" s="375">
        <v>1900</v>
      </c>
      <c r="BF662" s="375">
        <v>1900</v>
      </c>
      <c r="BG662" s="375">
        <v>20679</v>
      </c>
      <c r="BH662" s="79">
        <v>1636</v>
      </c>
      <c r="BI662" s="79">
        <v>1153</v>
      </c>
      <c r="BJ662" s="79">
        <v>790</v>
      </c>
      <c r="BK662" s="79">
        <v>1900</v>
      </c>
      <c r="BL662" s="79">
        <v>1900</v>
      </c>
      <c r="BM662" s="79">
        <v>1900</v>
      </c>
      <c r="BN662" s="79">
        <v>1900</v>
      </c>
      <c r="BO662" s="79">
        <v>1900</v>
      </c>
      <c r="BP662" s="79">
        <v>1900</v>
      </c>
      <c r="BQ662" s="79">
        <v>1900</v>
      </c>
      <c r="BR662" s="79">
        <v>1900</v>
      </c>
      <c r="BS662" s="79">
        <v>1900</v>
      </c>
      <c r="BT662" s="79">
        <v>20679</v>
      </c>
    </row>
    <row r="663" spans="1:72" ht="15" customHeight="1">
      <c r="A663" s="66" t="s">
        <v>2033</v>
      </c>
      <c r="B663" s="66" t="s">
        <v>2953</v>
      </c>
      <c r="C663" s="66" t="s">
        <v>538</v>
      </c>
      <c r="D663" s="66" t="s">
        <v>2034</v>
      </c>
      <c r="E663" s="150" t="s">
        <v>1136</v>
      </c>
      <c r="F663" s="482" t="s">
        <v>1566</v>
      </c>
      <c r="G663" s="150" t="s">
        <v>1345</v>
      </c>
      <c r="H663" s="150" t="s">
        <v>1437</v>
      </c>
      <c r="I663" s="150" t="s">
        <v>1345</v>
      </c>
      <c r="J663" s="150" t="s">
        <v>1437</v>
      </c>
      <c r="K663" s="150" t="s">
        <v>1346</v>
      </c>
      <c r="L663" s="511" t="s">
        <v>389</v>
      </c>
      <c r="M663" s="451" t="s">
        <v>1327</v>
      </c>
      <c r="N663" s="343"/>
      <c r="O663" s="343"/>
      <c r="P663" s="70" t="s">
        <v>147</v>
      </c>
      <c r="Q663" s="346"/>
      <c r="R663" s="343"/>
      <c r="S663" s="346"/>
      <c r="T663" s="150" t="s">
        <v>25</v>
      </c>
      <c r="U663" s="150"/>
      <c r="V663" s="453"/>
      <c r="W663" s="406">
        <v>0</v>
      </c>
      <c r="X663" s="406">
        <v>-0.18000000000000002</v>
      </c>
      <c r="Y663" s="425"/>
      <c r="Z663" s="71"/>
      <c r="AA663" s="427">
        <v>-0.24</v>
      </c>
      <c r="AB663" s="427">
        <v>-0.17</v>
      </c>
      <c r="AC663" s="427">
        <v>0.23</v>
      </c>
      <c r="AD663" s="428">
        <v>0.67</v>
      </c>
      <c r="AE663" s="429">
        <v>-0.61</v>
      </c>
      <c r="AF663" s="429">
        <v>-0.32</v>
      </c>
      <c r="AG663" s="360">
        <v>0</v>
      </c>
      <c r="AH663" s="360">
        <v>0</v>
      </c>
      <c r="AI663" s="360">
        <v>0</v>
      </c>
      <c r="AJ663" s="360">
        <v>0</v>
      </c>
      <c r="AK663" s="360">
        <v>0</v>
      </c>
      <c r="AL663" s="360">
        <v>0</v>
      </c>
      <c r="AM663" s="360">
        <f t="shared" si="33"/>
        <v>-0.44</v>
      </c>
      <c r="AN663" s="455">
        <f>ERP_2[[#This Row],[2026 Working Total]]-ERP_2[[#This Row],[LE2 Final Submission]]</f>
        <v>-0.26</v>
      </c>
      <c r="AO663" s="79">
        <v>0</v>
      </c>
      <c r="AP663" s="79">
        <f t="shared" si="34"/>
        <v>-0.32</v>
      </c>
      <c r="AQ663" s="374">
        <f>SUM(ERP_2[[#This Row],[AP01]:[AP06]])-SUM(ERP_2[[#This Row],[AP01 LE2]:[AP06 LE2]])</f>
        <v>-0.26</v>
      </c>
      <c r="AR663" s="80"/>
      <c r="AS663" s="79">
        <f>ERP_2[[#This Row],[2026 Working Total to Budget/LE]]-ERP_2[[#This Row],[Giveback]]</f>
        <v>-0.26</v>
      </c>
      <c r="AT663" s="81"/>
      <c r="AU663" s="375">
        <v>-0.24</v>
      </c>
      <c r="AV663" s="375">
        <v>-0.17</v>
      </c>
      <c r="AW663" s="375">
        <v>0.23</v>
      </c>
      <c r="AX663" s="375">
        <v>0</v>
      </c>
      <c r="AY663" s="375">
        <v>0</v>
      </c>
      <c r="AZ663" s="375">
        <v>0</v>
      </c>
      <c r="BA663" s="375">
        <v>0</v>
      </c>
      <c r="BB663" s="375">
        <v>0</v>
      </c>
      <c r="BC663" s="375">
        <v>0</v>
      </c>
      <c r="BD663" s="375">
        <v>0</v>
      </c>
      <c r="BE663" s="375">
        <v>0</v>
      </c>
      <c r="BF663" s="375">
        <v>0</v>
      </c>
      <c r="BG663" s="375">
        <v>-0.18000000000000002</v>
      </c>
      <c r="BH663" s="79">
        <v>-0.24</v>
      </c>
      <c r="BI663" s="79">
        <v>-0.17</v>
      </c>
      <c r="BJ663" s="79">
        <v>0.23</v>
      </c>
      <c r="BK663" s="79">
        <v>0</v>
      </c>
      <c r="BL663" s="79">
        <v>0</v>
      </c>
      <c r="BM663" s="79">
        <v>0</v>
      </c>
      <c r="BN663" s="79">
        <v>0</v>
      </c>
      <c r="BO663" s="79">
        <v>0</v>
      </c>
      <c r="BP663" s="79">
        <v>0</v>
      </c>
      <c r="BQ663" s="79">
        <v>0</v>
      </c>
      <c r="BR663" s="79">
        <v>0</v>
      </c>
      <c r="BS663" s="79">
        <v>0</v>
      </c>
      <c r="BT663" s="79">
        <v>-0.18000000000000002</v>
      </c>
    </row>
    <row r="664" spans="1:72" ht="15" customHeight="1">
      <c r="A664" s="66" t="s">
        <v>2665</v>
      </c>
      <c r="B664" s="66" t="s">
        <v>2953</v>
      </c>
      <c r="C664" s="66" t="s">
        <v>940</v>
      </c>
      <c r="D664" s="66" t="s">
        <v>2666</v>
      </c>
      <c r="E664" s="150" t="s">
        <v>1136</v>
      </c>
      <c r="F664" s="482" t="s">
        <v>1566</v>
      </c>
      <c r="G664" s="150" t="s">
        <v>1345</v>
      </c>
      <c r="H664" s="334" t="s">
        <v>1437</v>
      </c>
      <c r="I664" s="334" t="s">
        <v>1345</v>
      </c>
      <c r="J664" s="334" t="s">
        <v>1437</v>
      </c>
      <c r="K664" s="334" t="s">
        <v>1346</v>
      </c>
      <c r="L664" s="511" t="s">
        <v>639</v>
      </c>
      <c r="M664" s="451" t="s">
        <v>1138</v>
      </c>
      <c r="N664" s="343"/>
      <c r="O664" s="343"/>
      <c r="P664" s="70" t="s">
        <v>51</v>
      </c>
      <c r="Q664" s="346" t="s">
        <v>1139</v>
      </c>
      <c r="R664" s="346" t="s">
        <v>1140</v>
      </c>
      <c r="S664" s="346"/>
      <c r="T664" s="150" t="s">
        <v>25</v>
      </c>
      <c r="U664" s="150"/>
      <c r="V664" s="453"/>
      <c r="W664" s="406">
        <v>0</v>
      </c>
      <c r="X664" s="406">
        <v>431.03</v>
      </c>
      <c r="Y664" s="425"/>
      <c r="Z664" s="71"/>
      <c r="AA664" s="427"/>
      <c r="AB664" s="427">
        <v>431.03</v>
      </c>
      <c r="AC664" s="431">
        <v>0</v>
      </c>
      <c r="AD664" s="428">
        <v>0</v>
      </c>
      <c r="AE664" s="429">
        <v>0</v>
      </c>
      <c r="AF664" s="429">
        <v>0</v>
      </c>
      <c r="AG664" s="360">
        <v>0</v>
      </c>
      <c r="AH664" s="360">
        <v>0</v>
      </c>
      <c r="AI664" s="360">
        <v>0</v>
      </c>
      <c r="AJ664" s="360">
        <v>0</v>
      </c>
      <c r="AK664" s="360">
        <v>0</v>
      </c>
      <c r="AL664" s="360">
        <v>0</v>
      </c>
      <c r="AM664" s="360">
        <f t="shared" si="33"/>
        <v>431.03</v>
      </c>
      <c r="AN664" s="455">
        <f>ERP_2[[#This Row],[2026 Working Total]]-ERP_2[[#This Row],[LE2 Final Submission]]</f>
        <v>0</v>
      </c>
      <c r="AO664" s="79">
        <v>0</v>
      </c>
      <c r="AP664" s="79">
        <f t="shared" si="34"/>
        <v>0</v>
      </c>
      <c r="AQ664" s="374">
        <f>SUM(ERP_2[[#This Row],[AP01]:[AP06]])-SUM(ERP_2[[#This Row],[AP01 LE2]:[AP06 LE2]])</f>
        <v>0</v>
      </c>
      <c r="AR664" s="80"/>
      <c r="AS664" s="79">
        <f>ERP_2[[#This Row],[2026 Working Total to Budget/LE]]-ERP_2[[#This Row],[Giveback]]</f>
        <v>0</v>
      </c>
      <c r="AT664" s="81"/>
      <c r="AU664" s="375"/>
      <c r="AV664" s="375">
        <v>431.03</v>
      </c>
      <c r="AW664" s="375">
        <v>0</v>
      </c>
      <c r="AX664" s="375">
        <v>0</v>
      </c>
      <c r="AY664" s="375">
        <v>0</v>
      </c>
      <c r="AZ664" s="375">
        <v>0</v>
      </c>
      <c r="BA664" s="375">
        <v>0</v>
      </c>
      <c r="BB664" s="375">
        <v>0</v>
      </c>
      <c r="BC664" s="375">
        <v>0</v>
      </c>
      <c r="BD664" s="375">
        <v>0</v>
      </c>
      <c r="BE664" s="375">
        <v>0</v>
      </c>
      <c r="BF664" s="375">
        <v>0</v>
      </c>
      <c r="BG664" s="375">
        <v>431.03</v>
      </c>
      <c r="BH664" s="79"/>
      <c r="BI664" s="79">
        <v>431.03</v>
      </c>
      <c r="BJ664" s="79">
        <v>0</v>
      </c>
      <c r="BK664" s="79">
        <v>0</v>
      </c>
      <c r="BL664" s="79">
        <v>0</v>
      </c>
      <c r="BM664" s="79">
        <v>0</v>
      </c>
      <c r="BN664" s="79">
        <v>0</v>
      </c>
      <c r="BO664" s="79">
        <v>0</v>
      </c>
      <c r="BP664" s="79">
        <v>0</v>
      </c>
      <c r="BQ664" s="79">
        <v>0</v>
      </c>
      <c r="BR664" s="79">
        <v>0</v>
      </c>
      <c r="BS664" s="79">
        <v>0</v>
      </c>
      <c r="BT664" s="79">
        <v>431.03</v>
      </c>
    </row>
    <row r="665" spans="1:72" ht="15" customHeight="1">
      <c r="A665" s="79" t="s">
        <v>2686</v>
      </c>
      <c r="B665" s="79" t="s">
        <v>2953</v>
      </c>
      <c r="C665" s="79" t="s">
        <v>950</v>
      </c>
      <c r="D665" s="296" t="s">
        <v>2687</v>
      </c>
      <c r="E665" s="150" t="s">
        <v>1136</v>
      </c>
      <c r="F665" s="482" t="s">
        <v>1566</v>
      </c>
      <c r="G665" s="150" t="s">
        <v>1345</v>
      </c>
      <c r="H665" s="332" t="s">
        <v>1437</v>
      </c>
      <c r="I665" s="150" t="s">
        <v>1345</v>
      </c>
      <c r="J665" s="332" t="s">
        <v>1437</v>
      </c>
      <c r="K665" s="333" t="s">
        <v>1437</v>
      </c>
      <c r="L665" s="514" t="s">
        <v>639</v>
      </c>
      <c r="M665" s="401"/>
      <c r="N665" s="333"/>
      <c r="O665" s="333"/>
      <c r="P665" s="90" t="s">
        <v>817</v>
      </c>
      <c r="Q665" s="347"/>
      <c r="R665" s="347"/>
      <c r="S665" s="348"/>
      <c r="T665" s="348"/>
      <c r="U665" s="348"/>
      <c r="V665" s="440"/>
      <c r="W665" s="358"/>
      <c r="X665" s="379"/>
      <c r="Y665" s="425"/>
      <c r="Z665" s="71"/>
      <c r="AA665" s="436"/>
      <c r="AB665" s="436"/>
      <c r="AC665" s="436"/>
      <c r="AD665" s="429"/>
      <c r="AE665" s="429"/>
      <c r="AF665" s="429">
        <v>3285.0699999999997</v>
      </c>
      <c r="AG665" s="364"/>
      <c r="AH665" s="364"/>
      <c r="AI665" s="364"/>
      <c r="AJ665" s="364"/>
      <c r="AK665" s="364"/>
      <c r="AL665" s="364"/>
      <c r="AM665" s="360">
        <f t="shared" si="33"/>
        <v>3285.0699999999997</v>
      </c>
      <c r="AN665" s="455">
        <f>ERP_2[[#This Row],[2026 Working Total]]-ERP_2[[#This Row],[LE2 Final Submission]]</f>
        <v>3285.0699999999997</v>
      </c>
      <c r="AO665" s="79"/>
      <c r="AP665" s="79">
        <f t="shared" si="34"/>
        <v>3285.0699999999997</v>
      </c>
      <c r="AQ665" s="391">
        <f>SUM(ERP_2[[#This Row],[AP01]:[AP06]])-SUM(ERP_2[[#This Row],[AP01 LE2]:[AP06 LE2]])</f>
        <v>3285.0699999999997</v>
      </c>
      <c r="AR665" s="80"/>
      <c r="AS665" s="79">
        <f>ERP_2[[#This Row],[2026 Working Total to Budget/LE]]-ERP_2[[#This Row],[Giveback]]</f>
        <v>3285.0699999999997</v>
      </c>
      <c r="AT665" s="81"/>
      <c r="AU665" s="375"/>
      <c r="AV665" s="375"/>
      <c r="AW665" s="375"/>
      <c r="AX665" s="375"/>
      <c r="AY665" s="375"/>
      <c r="AZ665" s="375"/>
      <c r="BA665" s="375"/>
      <c r="BB665" s="375"/>
      <c r="BC665" s="375"/>
      <c r="BD665" s="375"/>
      <c r="BE665" s="375"/>
      <c r="BF665" s="375"/>
      <c r="BG665" s="375"/>
      <c r="BH665" s="79"/>
      <c r="BI665" s="79"/>
      <c r="BJ665" s="79"/>
      <c r="BK665" s="79"/>
      <c r="BL665" s="79"/>
      <c r="BM665" s="79"/>
      <c r="BN665" s="79"/>
      <c r="BO665" s="79"/>
      <c r="BP665" s="79"/>
      <c r="BQ665" s="79"/>
      <c r="BR665" s="79"/>
      <c r="BS665" s="79"/>
      <c r="BT665" s="79"/>
    </row>
    <row r="666" spans="1:72" ht="15" customHeight="1">
      <c r="A666" s="66" t="s">
        <v>2700</v>
      </c>
      <c r="B666" s="66" t="s">
        <v>2953</v>
      </c>
      <c r="C666" s="66" t="s">
        <v>955</v>
      </c>
      <c r="D666" s="66" t="s">
        <v>2701</v>
      </c>
      <c r="E666" s="150" t="s">
        <v>1136</v>
      </c>
      <c r="F666" s="482" t="s">
        <v>1566</v>
      </c>
      <c r="G666" s="150" t="s">
        <v>1345</v>
      </c>
      <c r="H666" s="150" t="s">
        <v>1437</v>
      </c>
      <c r="I666" s="150" t="s">
        <v>1345</v>
      </c>
      <c r="J666" s="150" t="s">
        <v>1437</v>
      </c>
      <c r="K666" s="150" t="s">
        <v>1346</v>
      </c>
      <c r="L666" s="511" t="s">
        <v>639</v>
      </c>
      <c r="M666" s="451" t="s">
        <v>1327</v>
      </c>
      <c r="N666" s="343"/>
      <c r="O666" s="343"/>
      <c r="P666" s="70" t="s">
        <v>147</v>
      </c>
      <c r="Q666" s="346"/>
      <c r="R666" s="343"/>
      <c r="S666" s="346"/>
      <c r="T666" s="150" t="s">
        <v>25</v>
      </c>
      <c r="U666" s="150"/>
      <c r="V666" s="453"/>
      <c r="W666" s="406">
        <v>0</v>
      </c>
      <c r="X666" s="406">
        <v>1.999999999999999E-2</v>
      </c>
      <c r="Y666" s="425"/>
      <c r="Z666" s="71"/>
      <c r="AA666" s="427">
        <v>0.13</v>
      </c>
      <c r="AB666" s="427">
        <v>0.09</v>
      </c>
      <c r="AC666" s="427">
        <v>-0.2</v>
      </c>
      <c r="AD666" s="428">
        <v>0.13</v>
      </c>
      <c r="AE666" s="429">
        <v>-0.53</v>
      </c>
      <c r="AF666" s="429">
        <v>0.73</v>
      </c>
      <c r="AG666" s="360">
        <v>0</v>
      </c>
      <c r="AH666" s="360">
        <v>0</v>
      </c>
      <c r="AI666" s="360">
        <v>0</v>
      </c>
      <c r="AJ666" s="360">
        <v>0</v>
      </c>
      <c r="AK666" s="360">
        <v>0</v>
      </c>
      <c r="AL666" s="360">
        <v>0</v>
      </c>
      <c r="AM666" s="360">
        <f t="shared" si="33"/>
        <v>0.35</v>
      </c>
      <c r="AN666" s="455">
        <f>ERP_2[[#This Row],[2026 Working Total]]-ERP_2[[#This Row],[LE2 Final Submission]]</f>
        <v>0.32999999999999996</v>
      </c>
      <c r="AO666" s="79">
        <v>0</v>
      </c>
      <c r="AP666" s="79">
        <f t="shared" si="34"/>
        <v>0.73</v>
      </c>
      <c r="AQ666" s="374">
        <f>SUM(ERP_2[[#This Row],[AP01]:[AP06]])-SUM(ERP_2[[#This Row],[AP01 LE2]:[AP06 LE2]])</f>
        <v>0.32999999999999996</v>
      </c>
      <c r="AR666" s="80"/>
      <c r="AS666" s="79">
        <f>ERP_2[[#This Row],[2026 Working Total to Budget/LE]]-ERP_2[[#This Row],[Giveback]]</f>
        <v>0.32999999999999996</v>
      </c>
      <c r="AT666" s="81"/>
      <c r="AU666" s="375">
        <v>0.13</v>
      </c>
      <c r="AV666" s="375">
        <v>0.09</v>
      </c>
      <c r="AW666" s="375">
        <v>-0.2</v>
      </c>
      <c r="AX666" s="375">
        <v>0</v>
      </c>
      <c r="AY666" s="375">
        <v>0</v>
      </c>
      <c r="AZ666" s="375">
        <v>0</v>
      </c>
      <c r="BA666" s="375">
        <v>0</v>
      </c>
      <c r="BB666" s="375">
        <v>0</v>
      </c>
      <c r="BC666" s="375">
        <v>0</v>
      </c>
      <c r="BD666" s="375">
        <v>0</v>
      </c>
      <c r="BE666" s="375">
        <v>0</v>
      </c>
      <c r="BF666" s="375">
        <v>0</v>
      </c>
      <c r="BG666" s="375">
        <v>1.999999999999999E-2</v>
      </c>
      <c r="BH666" s="79">
        <v>0.13</v>
      </c>
      <c r="BI666" s="79">
        <v>0.09</v>
      </c>
      <c r="BJ666" s="79">
        <v>-0.2</v>
      </c>
      <c r="BK666" s="79">
        <v>0</v>
      </c>
      <c r="BL666" s="79">
        <v>0</v>
      </c>
      <c r="BM666" s="79">
        <v>0</v>
      </c>
      <c r="BN666" s="79">
        <v>0</v>
      </c>
      <c r="BO666" s="79">
        <v>0</v>
      </c>
      <c r="BP666" s="79">
        <v>0</v>
      </c>
      <c r="BQ666" s="79">
        <v>0</v>
      </c>
      <c r="BR666" s="79">
        <v>0</v>
      </c>
      <c r="BS666" s="79">
        <v>0</v>
      </c>
      <c r="BT666" s="79">
        <v>1.999999999999999E-2</v>
      </c>
    </row>
    <row r="667" spans="1:72" ht="15" customHeight="1">
      <c r="A667" s="66" t="s">
        <v>1511</v>
      </c>
      <c r="B667" s="66" t="s">
        <v>2953</v>
      </c>
      <c r="C667" s="66" t="s">
        <v>237</v>
      </c>
      <c r="D667" s="66" t="s">
        <v>1512</v>
      </c>
      <c r="E667" s="150" t="s">
        <v>1136</v>
      </c>
      <c r="F667" s="482" t="s">
        <v>1566</v>
      </c>
      <c r="G667" s="383" t="s">
        <v>1480</v>
      </c>
      <c r="H667" s="150" t="s">
        <v>1481</v>
      </c>
      <c r="I667" s="150" t="s">
        <v>1345</v>
      </c>
      <c r="J667" s="150" t="s">
        <v>1481</v>
      </c>
      <c r="K667" s="150" t="s">
        <v>1346</v>
      </c>
      <c r="L667" s="511" t="s">
        <v>49</v>
      </c>
      <c r="M667" s="451" t="s">
        <v>1327</v>
      </c>
      <c r="N667" s="343"/>
      <c r="O667" s="343"/>
      <c r="P667" s="70" t="s">
        <v>147</v>
      </c>
      <c r="Q667" s="346"/>
      <c r="R667" s="343"/>
      <c r="S667" s="346"/>
      <c r="T667" s="150" t="s">
        <v>25</v>
      </c>
      <c r="U667" s="473" t="s">
        <v>1513</v>
      </c>
      <c r="V667" s="551"/>
      <c r="W667" s="407">
        <v>0</v>
      </c>
      <c r="X667" s="407">
        <v>0</v>
      </c>
      <c r="Y667" s="425"/>
      <c r="Z667" s="71"/>
      <c r="AA667" s="427"/>
      <c r="AB667" s="427">
        <v>-0.1</v>
      </c>
      <c r="AC667" s="427">
        <v>0.1</v>
      </c>
      <c r="AD667" s="428">
        <v>-0.32</v>
      </c>
      <c r="AE667" s="429">
        <v>0.81</v>
      </c>
      <c r="AF667" s="429">
        <v>-0.28000000000000003</v>
      </c>
      <c r="AG667" s="363"/>
      <c r="AH667" s="363"/>
      <c r="AI667" s="363"/>
      <c r="AJ667" s="363"/>
      <c r="AK667" s="363"/>
      <c r="AL667" s="363"/>
      <c r="AM667" s="360">
        <f t="shared" si="33"/>
        <v>0.21000000000000002</v>
      </c>
      <c r="AN667" s="455">
        <f>ERP_2[[#This Row],[2026 Working Total]]-ERP_2[[#This Row],[LE2 Final Submission]]</f>
        <v>0.21000000000000002</v>
      </c>
      <c r="AO667" s="79"/>
      <c r="AP667" s="79">
        <f t="shared" si="34"/>
        <v>-0.28000000000000003</v>
      </c>
      <c r="AQ667" s="374">
        <f>SUM(ERP_2[[#This Row],[AP01]:[AP06]])-SUM(ERP_2[[#This Row],[AP01 LE2]:[AP06 LE2]])</f>
        <v>0.21000000000000002</v>
      </c>
      <c r="AR667" s="80"/>
      <c r="AS667" s="79">
        <f>ERP_2[[#This Row],[2026 Working Total to Budget/LE]]-ERP_2[[#This Row],[Giveback]]</f>
        <v>0.21000000000000002</v>
      </c>
      <c r="AT667" s="81"/>
      <c r="AU667" s="375"/>
      <c r="AV667" s="375">
        <v>-0.1</v>
      </c>
      <c r="AW667" s="375">
        <v>0.1</v>
      </c>
      <c r="AX667" s="375"/>
      <c r="AY667" s="375"/>
      <c r="AZ667" s="375"/>
      <c r="BA667" s="375"/>
      <c r="BB667" s="375"/>
      <c r="BC667" s="375"/>
      <c r="BD667" s="375"/>
      <c r="BE667" s="375"/>
      <c r="BF667" s="375"/>
      <c r="BG667" s="375">
        <v>0</v>
      </c>
      <c r="BH667" s="79"/>
      <c r="BI667" s="79">
        <v>-0.1</v>
      </c>
      <c r="BJ667" s="79">
        <v>0.1</v>
      </c>
      <c r="BK667" s="79"/>
      <c r="BL667" s="79"/>
      <c r="BM667" s="79"/>
      <c r="BN667" s="79"/>
      <c r="BO667" s="79"/>
      <c r="BP667" s="79"/>
      <c r="BQ667" s="79"/>
      <c r="BR667" s="79"/>
      <c r="BS667" s="79"/>
      <c r="BT667" s="79">
        <v>0</v>
      </c>
    </row>
    <row r="668" spans="1:72" ht="15" customHeight="1">
      <c r="A668" s="66" t="s">
        <v>2880</v>
      </c>
      <c r="B668" s="66" t="s">
        <v>2953</v>
      </c>
      <c r="C668" s="66" t="s">
        <v>37</v>
      </c>
      <c r="D668" s="66" t="s">
        <v>2881</v>
      </c>
      <c r="E668" s="150" t="s">
        <v>1136</v>
      </c>
      <c r="F668" s="482" t="s">
        <v>1566</v>
      </c>
      <c r="G668" s="150" t="s">
        <v>1566</v>
      </c>
      <c r="H668" s="150" t="s">
        <v>1566</v>
      </c>
      <c r="I668" s="150" t="s">
        <v>1567</v>
      </c>
      <c r="J668" s="150" t="s">
        <v>1567</v>
      </c>
      <c r="K668" s="150" t="s">
        <v>1567</v>
      </c>
      <c r="L668" s="511" t="s">
        <v>22</v>
      </c>
      <c r="M668" s="451" t="s">
        <v>2868</v>
      </c>
      <c r="N668" s="343"/>
      <c r="O668" s="343"/>
      <c r="P668" s="70" t="s">
        <v>24</v>
      </c>
      <c r="Q668" s="346" t="s">
        <v>1139</v>
      </c>
      <c r="R668" s="346" t="s">
        <v>1140</v>
      </c>
      <c r="S668" s="346"/>
      <c r="T668" s="150" t="s">
        <v>25</v>
      </c>
      <c r="U668" s="150"/>
      <c r="V668" s="453"/>
      <c r="W668" s="406">
        <v>330694.30999999988</v>
      </c>
      <c r="X668" s="406">
        <v>0</v>
      </c>
      <c r="Y668" s="425"/>
      <c r="Z668" s="71"/>
      <c r="AA668" s="427"/>
      <c r="AB668" s="427"/>
      <c r="AC668" s="427"/>
      <c r="AD668" s="428" t="s">
        <v>1142</v>
      </c>
      <c r="AE668" s="429">
        <v>0</v>
      </c>
      <c r="AF668" s="429">
        <v>0</v>
      </c>
      <c r="AG668" s="363"/>
      <c r="AH668" s="363"/>
      <c r="AI668" s="363"/>
      <c r="AJ668" s="363"/>
      <c r="AK668" s="363"/>
      <c r="AL668" s="363"/>
      <c r="AM668" s="360">
        <f t="shared" si="33"/>
        <v>0</v>
      </c>
      <c r="AN668" s="455">
        <f>ERP_2[[#This Row],[2026 Working Total]]-ERP_2[[#This Row],[LE2 Final Submission]]</f>
        <v>0</v>
      </c>
      <c r="AO668" s="79"/>
      <c r="AP668" s="79">
        <f t="shared" si="34"/>
        <v>0</v>
      </c>
      <c r="AQ668" s="374">
        <f>SUM(ERP_2[[#This Row],[AP01]:[AP06]])-SUM(ERP_2[[#This Row],[AP01 LE2]:[AP06 LE2]])</f>
        <v>0</v>
      </c>
      <c r="AR668" s="80"/>
      <c r="AS668" s="79">
        <f>ERP_2[[#This Row],[2026 Working Total to Budget/LE]]-ERP_2[[#This Row],[Giveback]]</f>
        <v>0</v>
      </c>
      <c r="AT668" s="81"/>
      <c r="AU668" s="375"/>
      <c r="AV668" s="375"/>
      <c r="AW668" s="375"/>
      <c r="AX668" s="375"/>
      <c r="AY668" s="375"/>
      <c r="AZ668" s="375"/>
      <c r="BA668" s="375"/>
      <c r="BB668" s="375"/>
      <c r="BC668" s="375"/>
      <c r="BD668" s="375"/>
      <c r="BE668" s="375"/>
      <c r="BF668" s="375"/>
      <c r="BG668" s="375">
        <v>0</v>
      </c>
      <c r="BH668" s="79">
        <v>92230.9</v>
      </c>
      <c r="BI668" s="79">
        <v>-4919.59</v>
      </c>
      <c r="BJ668" s="79">
        <v>59978.67</v>
      </c>
      <c r="BK668" s="79">
        <v>20638.45</v>
      </c>
      <c r="BL668" s="79">
        <v>34028.449999999997</v>
      </c>
      <c r="BM668" s="79">
        <v>32963.75</v>
      </c>
      <c r="BN668" s="79">
        <v>22316.67</v>
      </c>
      <c r="BO668" s="79">
        <v>22316.67</v>
      </c>
      <c r="BP668" s="79">
        <v>22316.67</v>
      </c>
      <c r="BQ668" s="79">
        <v>22316.67</v>
      </c>
      <c r="BR668" s="79">
        <v>22316.67</v>
      </c>
      <c r="BS668" s="79">
        <v>22316.67</v>
      </c>
      <c r="BT668" s="79">
        <v>368820.64999999991</v>
      </c>
    </row>
    <row r="669" spans="1:72" ht="15" customHeight="1">
      <c r="A669" s="66" t="s">
        <v>2887</v>
      </c>
      <c r="B669" s="66" t="s">
        <v>2953</v>
      </c>
      <c r="C669" s="66" t="s">
        <v>40</v>
      </c>
      <c r="D669" s="66" t="s">
        <v>2888</v>
      </c>
      <c r="E669" s="150" t="s">
        <v>1136</v>
      </c>
      <c r="F669" s="482" t="s">
        <v>1566</v>
      </c>
      <c r="G669" s="150" t="s">
        <v>1566</v>
      </c>
      <c r="H669" s="150" t="s">
        <v>1566</v>
      </c>
      <c r="I669" s="150" t="s">
        <v>1567</v>
      </c>
      <c r="J669" s="150" t="s">
        <v>1567</v>
      </c>
      <c r="K669" s="150" t="s">
        <v>1567</v>
      </c>
      <c r="L669" s="511" t="s">
        <v>22</v>
      </c>
      <c r="M669" s="451" t="s">
        <v>2870</v>
      </c>
      <c r="N669" s="343"/>
      <c r="O669" s="343"/>
      <c r="P669" s="70" t="s">
        <v>27</v>
      </c>
      <c r="Q669" s="346" t="s">
        <v>1139</v>
      </c>
      <c r="R669" s="346" t="s">
        <v>1140</v>
      </c>
      <c r="S669" s="346"/>
      <c r="T669" s="150" t="s">
        <v>25</v>
      </c>
      <c r="U669" s="150"/>
      <c r="V669" s="475"/>
      <c r="W669" s="406">
        <v>204823.02000000002</v>
      </c>
      <c r="X669" s="406">
        <v>0</v>
      </c>
      <c r="Y669" s="425"/>
      <c r="Z669" s="71"/>
      <c r="AA669" s="427"/>
      <c r="AB669" s="427"/>
      <c r="AC669" s="427"/>
      <c r="AD669" s="428" t="s">
        <v>1142</v>
      </c>
      <c r="AE669" s="429">
        <v>0</v>
      </c>
      <c r="AF669" s="429">
        <v>0</v>
      </c>
      <c r="AG669" s="363"/>
      <c r="AH669" s="363"/>
      <c r="AI669" s="363"/>
      <c r="AJ669" s="363"/>
      <c r="AK669" s="363"/>
      <c r="AL669" s="363"/>
      <c r="AM669" s="360">
        <f t="shared" si="33"/>
        <v>0</v>
      </c>
      <c r="AN669" s="455">
        <f>ERP_2[[#This Row],[2026 Working Total]]-ERP_2[[#This Row],[LE2 Final Submission]]</f>
        <v>0</v>
      </c>
      <c r="AO669" s="79"/>
      <c r="AP669" s="79">
        <f t="shared" si="34"/>
        <v>0</v>
      </c>
      <c r="AQ669" s="374">
        <f>SUM(ERP_2[[#This Row],[AP01]:[AP06]])-SUM(ERP_2[[#This Row],[AP01 LE2]:[AP06 LE2]])</f>
        <v>0</v>
      </c>
      <c r="AR669" s="80"/>
      <c r="AS669" s="79">
        <f>ERP_2[[#This Row],[2026 Working Total to Budget/LE]]-ERP_2[[#This Row],[Giveback]]</f>
        <v>0</v>
      </c>
      <c r="AT669" s="81"/>
      <c r="AU669" s="375"/>
      <c r="AV669" s="375"/>
      <c r="AW669" s="375"/>
      <c r="AX669" s="375"/>
      <c r="AY669" s="375"/>
      <c r="AZ669" s="375"/>
      <c r="BA669" s="375"/>
      <c r="BB669" s="375"/>
      <c r="BC669" s="375"/>
      <c r="BD669" s="375"/>
      <c r="BE669" s="375"/>
      <c r="BF669" s="375"/>
      <c r="BG669" s="375">
        <v>0</v>
      </c>
      <c r="BH669" s="79">
        <v>51562.58</v>
      </c>
      <c r="BI669" s="79">
        <v>27159.83</v>
      </c>
      <c r="BJ669" s="79">
        <v>40975</v>
      </c>
      <c r="BK669" s="79">
        <v>11866.46</v>
      </c>
      <c r="BL669" s="79">
        <v>21522.71</v>
      </c>
      <c r="BM669" s="79">
        <v>20882.86</v>
      </c>
      <c r="BN669" s="79">
        <v>14484.38</v>
      </c>
      <c r="BO669" s="79">
        <v>14484.38</v>
      </c>
      <c r="BP669" s="79">
        <v>14484.38</v>
      </c>
      <c r="BQ669" s="79">
        <v>14484.38</v>
      </c>
      <c r="BR669" s="79">
        <v>14484.38</v>
      </c>
      <c r="BS669" s="79">
        <v>14484.38</v>
      </c>
      <c r="BT669" s="79">
        <v>260875.72000000003</v>
      </c>
    </row>
    <row r="670" spans="1:72" ht="15" customHeight="1">
      <c r="A670" s="66" t="s">
        <v>2061</v>
      </c>
      <c r="B670" s="66" t="s">
        <v>2953</v>
      </c>
      <c r="C670" s="66" t="s">
        <v>553</v>
      </c>
      <c r="D670" s="66" t="s">
        <v>2062</v>
      </c>
      <c r="E670" s="150" t="s">
        <v>1136</v>
      </c>
      <c r="F670" s="482" t="s">
        <v>1566</v>
      </c>
      <c r="G670" s="383" t="s">
        <v>1480</v>
      </c>
      <c r="H670" s="150" t="s">
        <v>1481</v>
      </c>
      <c r="I670" s="150" t="s">
        <v>1345</v>
      </c>
      <c r="J670" s="150" t="s">
        <v>1481</v>
      </c>
      <c r="K670" s="150" t="s">
        <v>1346</v>
      </c>
      <c r="L670" s="511" t="s">
        <v>389</v>
      </c>
      <c r="M670" s="451" t="s">
        <v>1855</v>
      </c>
      <c r="N670" s="343"/>
      <c r="O670" s="343"/>
      <c r="P670" s="70" t="s">
        <v>466</v>
      </c>
      <c r="Q670" s="346"/>
      <c r="R670" s="346" t="s">
        <v>1140</v>
      </c>
      <c r="S670" s="346"/>
      <c r="T670" s="150" t="s">
        <v>57</v>
      </c>
      <c r="U670" s="473" t="s">
        <v>1513</v>
      </c>
      <c r="V670" s="453"/>
      <c r="W670" s="406">
        <v>18852</v>
      </c>
      <c r="X670" s="406">
        <v>18092</v>
      </c>
      <c r="Y670" s="425"/>
      <c r="Z670" s="71"/>
      <c r="AA670" s="427">
        <v>1206</v>
      </c>
      <c r="AB670" s="427">
        <v>1139</v>
      </c>
      <c r="AC670" s="427">
        <v>1608</v>
      </c>
      <c r="AD670" s="428">
        <v>1206</v>
      </c>
      <c r="AE670" s="429">
        <v>1206</v>
      </c>
      <c r="AF670" s="429">
        <v>1206</v>
      </c>
      <c r="AG670" s="363">
        <v>1571</v>
      </c>
      <c r="AH670" s="363">
        <v>1571</v>
      </c>
      <c r="AI670" s="363">
        <v>1571</v>
      </c>
      <c r="AJ670" s="363">
        <v>1571</v>
      </c>
      <c r="AK670" s="363">
        <v>1571</v>
      </c>
      <c r="AL670" s="363">
        <v>1571</v>
      </c>
      <c r="AM670" s="360">
        <f t="shared" si="33"/>
        <v>16997</v>
      </c>
      <c r="AN670" s="455">
        <f>ERP_2[[#This Row],[2026 Working Total]]-ERP_2[[#This Row],[LE2 Final Submission]]</f>
        <v>-1095</v>
      </c>
      <c r="AO670" s="79">
        <v>1571</v>
      </c>
      <c r="AP670" s="79">
        <f t="shared" si="34"/>
        <v>-365</v>
      </c>
      <c r="AQ670" s="374">
        <f>SUM(ERP_2[[#This Row],[AP01]:[AP06]])-SUM(ERP_2[[#This Row],[AP01 LE2]:[AP06 LE2]])</f>
        <v>-1095</v>
      </c>
      <c r="AR670" s="80"/>
      <c r="AS670" s="79">
        <f>ERP_2[[#This Row],[2026 Working Total to Budget/LE]]-ERP_2[[#This Row],[Giveback]]</f>
        <v>-1095</v>
      </c>
      <c r="AT670" s="81"/>
      <c r="AU670" s="375">
        <v>1206</v>
      </c>
      <c r="AV670" s="375">
        <v>1139</v>
      </c>
      <c r="AW670" s="375">
        <v>1608</v>
      </c>
      <c r="AX670" s="375">
        <v>1571</v>
      </c>
      <c r="AY670" s="375">
        <v>1571</v>
      </c>
      <c r="AZ670" s="375">
        <v>1571</v>
      </c>
      <c r="BA670" s="375">
        <v>1571</v>
      </c>
      <c r="BB670" s="375">
        <v>1571</v>
      </c>
      <c r="BC670" s="375">
        <v>1571</v>
      </c>
      <c r="BD670" s="375">
        <v>1571</v>
      </c>
      <c r="BE670" s="375">
        <v>1571</v>
      </c>
      <c r="BF670" s="375">
        <v>1571</v>
      </c>
      <c r="BG670" s="375">
        <v>18092</v>
      </c>
      <c r="BH670" s="79">
        <v>1206</v>
      </c>
      <c r="BI670" s="79">
        <v>1139</v>
      </c>
      <c r="BJ670" s="79">
        <v>1608</v>
      </c>
      <c r="BK670" s="79">
        <v>1571</v>
      </c>
      <c r="BL670" s="79">
        <v>1571</v>
      </c>
      <c r="BM670" s="79">
        <v>1571</v>
      </c>
      <c r="BN670" s="79">
        <v>1571</v>
      </c>
      <c r="BO670" s="79">
        <v>1571</v>
      </c>
      <c r="BP670" s="79">
        <v>1571</v>
      </c>
      <c r="BQ670" s="79">
        <v>1571</v>
      </c>
      <c r="BR670" s="79">
        <v>1571</v>
      </c>
      <c r="BS670" s="79">
        <v>1571</v>
      </c>
      <c r="BT670" s="79">
        <v>18092</v>
      </c>
    </row>
    <row r="671" spans="1:72" s="15" customFormat="1" ht="15" customHeight="1">
      <c r="A671" s="150" t="s">
        <v>2064</v>
      </c>
      <c r="B671" s="150" t="s">
        <v>2953</v>
      </c>
      <c r="C671" s="536" t="s">
        <v>554</v>
      </c>
      <c r="D671" s="296" t="s">
        <v>2065</v>
      </c>
      <c r="E671" s="150" t="s">
        <v>1136</v>
      </c>
      <c r="F671" s="482" t="s">
        <v>1566</v>
      </c>
      <c r="G671" s="383" t="s">
        <v>1480</v>
      </c>
      <c r="H671" s="332" t="s">
        <v>1481</v>
      </c>
      <c r="I671" s="332" t="s">
        <v>1345</v>
      </c>
      <c r="J671" s="332" t="s">
        <v>1481</v>
      </c>
      <c r="K671" s="332" t="s">
        <v>1481</v>
      </c>
      <c r="L671" s="514" t="s">
        <v>389</v>
      </c>
      <c r="M671" s="401" t="s">
        <v>1327</v>
      </c>
      <c r="N671" s="333"/>
      <c r="O671" s="332" t="s">
        <v>1487</v>
      </c>
      <c r="P671" s="90" t="s">
        <v>147</v>
      </c>
      <c r="Q671" s="347"/>
      <c r="R671" s="347"/>
      <c r="S671" s="348"/>
      <c r="T671" s="348"/>
      <c r="U671" s="348"/>
      <c r="V671" s="440"/>
      <c r="W671" s="406"/>
      <c r="X671" s="406"/>
      <c r="Y671" s="425"/>
      <c r="Z671" s="71"/>
      <c r="AA671" s="436"/>
      <c r="AB671" s="436"/>
      <c r="AC671" s="436"/>
      <c r="AD671" s="436"/>
      <c r="AE671" s="429">
        <v>0</v>
      </c>
      <c r="AF671" s="429">
        <v>0</v>
      </c>
      <c r="AG671" s="364"/>
      <c r="AH671" s="364"/>
      <c r="AI671" s="364"/>
      <c r="AJ671" s="364"/>
      <c r="AK671" s="364"/>
      <c r="AL671" s="364"/>
      <c r="AM671" s="360">
        <f t="shared" si="33"/>
        <v>0</v>
      </c>
      <c r="AN671" s="455">
        <f>ERP_2[[#This Row],[2026 Working Total]]-ERP_2[[#This Row],[LE2 Final Submission]]</f>
        <v>0</v>
      </c>
      <c r="AO671" s="79"/>
      <c r="AP671" s="79">
        <f t="shared" si="34"/>
        <v>0</v>
      </c>
      <c r="AQ671" s="374">
        <f>SUM(ERP_2[[#This Row],[AP01]:[AP06]])-SUM(ERP_2[[#This Row],[AP01 LE2]:[AP06 LE2]])</f>
        <v>0</v>
      </c>
      <c r="AR671" s="80"/>
      <c r="AS671" s="79">
        <f>ERP_2[[#This Row],[2026 Working Total to Budget/LE]]-ERP_2[[#This Row],[Giveback]]</f>
        <v>0</v>
      </c>
      <c r="AT671" s="81"/>
      <c r="AU671" s="375"/>
      <c r="AV671" s="375"/>
      <c r="AW671" s="375"/>
      <c r="AX671" s="375"/>
      <c r="AY671" s="375"/>
      <c r="AZ671" s="375"/>
      <c r="BA671" s="375"/>
      <c r="BB671" s="375"/>
      <c r="BC671" s="375"/>
      <c r="BD671" s="375"/>
      <c r="BE671" s="375"/>
      <c r="BF671" s="375"/>
      <c r="BG671" s="375"/>
      <c r="BH671" s="79"/>
      <c r="BI671" s="79"/>
      <c r="BJ671" s="79"/>
      <c r="BK671" s="79"/>
      <c r="BL671" s="79"/>
      <c r="BM671" s="79"/>
      <c r="BN671" s="79"/>
      <c r="BO671" s="79"/>
      <c r="BP671" s="79"/>
      <c r="BQ671" s="79"/>
      <c r="BR671" s="79"/>
      <c r="BS671" s="79"/>
      <c r="BT671" s="79"/>
    </row>
    <row r="672" spans="1:72" ht="15" customHeight="1">
      <c r="A672" s="66" t="s">
        <v>2726</v>
      </c>
      <c r="B672" s="66" t="s">
        <v>2953</v>
      </c>
      <c r="C672" s="66" t="s">
        <v>973</v>
      </c>
      <c r="D672" s="66" t="s">
        <v>2727</v>
      </c>
      <c r="E672" s="150" t="s">
        <v>1136</v>
      </c>
      <c r="F672" s="482" t="s">
        <v>1566</v>
      </c>
      <c r="G672" s="383" t="s">
        <v>1480</v>
      </c>
      <c r="H672" s="150" t="s">
        <v>1481</v>
      </c>
      <c r="I672" s="150" t="s">
        <v>1345</v>
      </c>
      <c r="J672" s="150" t="s">
        <v>1481</v>
      </c>
      <c r="K672" s="150" t="s">
        <v>1346</v>
      </c>
      <c r="L672" s="511" t="s">
        <v>639</v>
      </c>
      <c r="M672" s="451" t="s">
        <v>818</v>
      </c>
      <c r="N672" s="343"/>
      <c r="O672" s="343"/>
      <c r="P672" s="70" t="s">
        <v>817</v>
      </c>
      <c r="Q672" s="346"/>
      <c r="R672" s="346" t="s">
        <v>1140</v>
      </c>
      <c r="S672" s="346"/>
      <c r="T672" s="150" t="s">
        <v>818</v>
      </c>
      <c r="U672" s="473" t="s">
        <v>1513</v>
      </c>
      <c r="V672" s="453"/>
      <c r="W672" s="406">
        <v>7176</v>
      </c>
      <c r="X672" s="406">
        <v>11702.54</v>
      </c>
      <c r="Y672" s="425"/>
      <c r="Z672" s="71"/>
      <c r="AA672" s="427"/>
      <c r="AB672" s="427"/>
      <c r="AC672" s="427">
        <v>6320.54</v>
      </c>
      <c r="AD672" s="428">
        <v>0</v>
      </c>
      <c r="AE672" s="429">
        <v>0</v>
      </c>
      <c r="AF672" s="429">
        <v>0</v>
      </c>
      <c r="AG672" s="360">
        <v>0</v>
      </c>
      <c r="AH672" s="360">
        <v>0</v>
      </c>
      <c r="AI672" s="363">
        <v>1794</v>
      </c>
      <c r="AJ672" s="360">
        <v>0</v>
      </c>
      <c r="AK672" s="363">
        <v>1794</v>
      </c>
      <c r="AL672" s="360">
        <v>0</v>
      </c>
      <c r="AM672" s="360">
        <f t="shared" si="33"/>
        <v>9908.5400000000009</v>
      </c>
      <c r="AN672" s="455">
        <f>ERP_2[[#This Row],[2026 Working Total]]-ERP_2[[#This Row],[LE2 Final Submission]]</f>
        <v>-1794</v>
      </c>
      <c r="AO672" s="79">
        <v>0</v>
      </c>
      <c r="AP672" s="79">
        <f t="shared" si="34"/>
        <v>0</v>
      </c>
      <c r="AQ672" s="374">
        <f>SUM(ERP_2[[#This Row],[AP01]:[AP06]])-SUM(ERP_2[[#This Row],[AP01 LE2]:[AP06 LE2]])</f>
        <v>-1794</v>
      </c>
      <c r="AR672" s="80"/>
      <c r="AS672" s="79">
        <f>ERP_2[[#This Row],[2026 Working Total to Budget/LE]]-ERP_2[[#This Row],[Giveback]]</f>
        <v>-1794</v>
      </c>
      <c r="AT672" s="81"/>
      <c r="AU672" s="375"/>
      <c r="AV672" s="375"/>
      <c r="AW672" s="375">
        <v>6320.54</v>
      </c>
      <c r="AX672" s="375">
        <v>0</v>
      </c>
      <c r="AY672" s="375">
        <v>0</v>
      </c>
      <c r="AZ672" s="375">
        <v>1794</v>
      </c>
      <c r="BA672" s="375">
        <v>0</v>
      </c>
      <c r="BB672" s="375">
        <v>0</v>
      </c>
      <c r="BC672" s="375">
        <v>1794</v>
      </c>
      <c r="BD672" s="375">
        <v>0</v>
      </c>
      <c r="BE672" s="375">
        <v>1794</v>
      </c>
      <c r="BF672" s="375">
        <v>0</v>
      </c>
      <c r="BG672" s="375">
        <v>11702.54</v>
      </c>
      <c r="BH672" s="79"/>
      <c r="BI672" s="79"/>
      <c r="BJ672" s="79">
        <v>6320.54</v>
      </c>
      <c r="BK672" s="79">
        <v>0</v>
      </c>
      <c r="BL672" s="79">
        <v>0</v>
      </c>
      <c r="BM672" s="79">
        <v>1794</v>
      </c>
      <c r="BN672" s="79">
        <v>0</v>
      </c>
      <c r="BO672" s="79">
        <v>0</v>
      </c>
      <c r="BP672" s="79">
        <v>1794</v>
      </c>
      <c r="BQ672" s="79">
        <v>0</v>
      </c>
      <c r="BR672" s="79">
        <v>1794</v>
      </c>
      <c r="BS672" s="79">
        <v>0</v>
      </c>
      <c r="BT672" s="79">
        <v>11702.54</v>
      </c>
    </row>
    <row r="673" spans="1:72" ht="15" customHeight="1">
      <c r="A673" s="66" t="s">
        <v>2741</v>
      </c>
      <c r="B673" s="66" t="s">
        <v>2953</v>
      </c>
      <c r="C673" s="66" t="s">
        <v>980</v>
      </c>
      <c r="D673" s="66" t="s">
        <v>2742</v>
      </c>
      <c r="E673" s="150" t="s">
        <v>1136</v>
      </c>
      <c r="F673" s="482" t="s">
        <v>1566</v>
      </c>
      <c r="G673" s="383" t="s">
        <v>1480</v>
      </c>
      <c r="H673" s="150" t="s">
        <v>1481</v>
      </c>
      <c r="I673" s="150" t="s">
        <v>1345</v>
      </c>
      <c r="J673" s="150" t="s">
        <v>1481</v>
      </c>
      <c r="K673" s="150" t="s">
        <v>1346</v>
      </c>
      <c r="L673" s="511" t="s">
        <v>639</v>
      </c>
      <c r="M673" s="451" t="s">
        <v>1327</v>
      </c>
      <c r="N673" s="343"/>
      <c r="O673" s="343"/>
      <c r="P673" s="70" t="s">
        <v>147</v>
      </c>
      <c r="Q673" s="346"/>
      <c r="R673" s="343"/>
      <c r="S673" s="346"/>
      <c r="T673" s="150" t="s">
        <v>25</v>
      </c>
      <c r="U673" s="473" t="s">
        <v>1513</v>
      </c>
      <c r="V673" s="453"/>
      <c r="W673" s="406">
        <v>0</v>
      </c>
      <c r="X673" s="406">
        <v>0.36</v>
      </c>
      <c r="Y673" s="425"/>
      <c r="Z673" s="71"/>
      <c r="AA673" s="427"/>
      <c r="AB673" s="427"/>
      <c r="AC673" s="427">
        <v>0.36</v>
      </c>
      <c r="AD673" s="428">
        <v>0</v>
      </c>
      <c r="AE673" s="429">
        <v>0</v>
      </c>
      <c r="AF673" s="429">
        <v>0</v>
      </c>
      <c r="AG673" s="360">
        <v>0</v>
      </c>
      <c r="AH673" s="360">
        <v>0</v>
      </c>
      <c r="AI673" s="360">
        <v>0</v>
      </c>
      <c r="AJ673" s="360">
        <v>0</v>
      </c>
      <c r="AK673" s="360">
        <v>0</v>
      </c>
      <c r="AL673" s="360">
        <v>0</v>
      </c>
      <c r="AM673" s="360">
        <f t="shared" si="33"/>
        <v>0.36</v>
      </c>
      <c r="AN673" s="455">
        <f>ERP_2[[#This Row],[2026 Working Total]]-ERP_2[[#This Row],[LE2 Final Submission]]</f>
        <v>0</v>
      </c>
      <c r="AO673" s="79">
        <v>0</v>
      </c>
      <c r="AP673" s="79">
        <f t="shared" si="34"/>
        <v>0</v>
      </c>
      <c r="AQ673" s="374">
        <f>SUM(ERP_2[[#This Row],[AP01]:[AP06]])-SUM(ERP_2[[#This Row],[AP01 LE2]:[AP06 LE2]])</f>
        <v>0</v>
      </c>
      <c r="AR673" s="80"/>
      <c r="AS673" s="79">
        <f>ERP_2[[#This Row],[2026 Working Total to Budget/LE]]-ERP_2[[#This Row],[Giveback]]</f>
        <v>0</v>
      </c>
      <c r="AT673" s="81"/>
      <c r="AU673" s="375"/>
      <c r="AV673" s="375"/>
      <c r="AW673" s="375">
        <v>0.36</v>
      </c>
      <c r="AX673" s="375">
        <v>0</v>
      </c>
      <c r="AY673" s="375">
        <v>0</v>
      </c>
      <c r="AZ673" s="375">
        <v>0</v>
      </c>
      <c r="BA673" s="375">
        <v>0</v>
      </c>
      <c r="BB673" s="375">
        <v>0</v>
      </c>
      <c r="BC673" s="375">
        <v>0</v>
      </c>
      <c r="BD673" s="375">
        <v>0</v>
      </c>
      <c r="BE673" s="375">
        <v>0</v>
      </c>
      <c r="BF673" s="375">
        <v>0</v>
      </c>
      <c r="BG673" s="375">
        <v>0.36</v>
      </c>
      <c r="BH673" s="79"/>
      <c r="BI673" s="79"/>
      <c r="BJ673" s="79">
        <v>0.36</v>
      </c>
      <c r="BK673" s="79">
        <v>0</v>
      </c>
      <c r="BL673" s="79">
        <v>0</v>
      </c>
      <c r="BM673" s="79">
        <v>0</v>
      </c>
      <c r="BN673" s="79">
        <v>0</v>
      </c>
      <c r="BO673" s="79">
        <v>0</v>
      </c>
      <c r="BP673" s="79">
        <v>0</v>
      </c>
      <c r="BQ673" s="79">
        <v>0</v>
      </c>
      <c r="BR673" s="79">
        <v>0</v>
      </c>
      <c r="BS673" s="79">
        <v>0</v>
      </c>
      <c r="BT673" s="79">
        <v>0.36</v>
      </c>
    </row>
    <row r="674" spans="1:72" ht="15" customHeight="1">
      <c r="A674" s="66" t="s">
        <v>1639</v>
      </c>
      <c r="B674" s="66" t="s">
        <v>2953</v>
      </c>
      <c r="C674" s="66" t="s">
        <v>319</v>
      </c>
      <c r="D674" s="66" t="s">
        <v>1640</v>
      </c>
      <c r="E674" s="150" t="s">
        <v>1136</v>
      </c>
      <c r="F674" s="482" t="s">
        <v>1566</v>
      </c>
      <c r="G674" s="482" t="s">
        <v>1566</v>
      </c>
      <c r="H674" s="482" t="s">
        <v>1566</v>
      </c>
      <c r="I674" s="150" t="s">
        <v>1345</v>
      </c>
      <c r="J674" s="150" t="s">
        <v>1346</v>
      </c>
      <c r="K674" s="150" t="s">
        <v>1346</v>
      </c>
      <c r="L674" s="511" t="s">
        <v>49</v>
      </c>
      <c r="M674" s="451" t="s">
        <v>1327</v>
      </c>
      <c r="N674" s="343"/>
      <c r="O674" s="343"/>
      <c r="P674" s="70" t="s">
        <v>147</v>
      </c>
      <c r="Q674" s="346"/>
      <c r="R674" s="343"/>
      <c r="S674" s="346"/>
      <c r="T674" s="150" t="s">
        <v>25</v>
      </c>
      <c r="U674" s="150"/>
      <c r="V674" s="453"/>
      <c r="W674" s="406">
        <v>0</v>
      </c>
      <c r="X674" s="406">
        <v>19969.14</v>
      </c>
      <c r="Y674" s="425"/>
      <c r="Z674" s="71"/>
      <c r="AA674" s="427">
        <v>6818.85</v>
      </c>
      <c r="AB674" s="427">
        <v>9998.51</v>
      </c>
      <c r="AC674" s="427">
        <v>3151.78</v>
      </c>
      <c r="AD674" s="428">
        <v>13245.82</v>
      </c>
      <c r="AE674" s="429">
        <v>11713.649999999994</v>
      </c>
      <c r="AF674" s="429">
        <v>24135.279999999999</v>
      </c>
      <c r="AG674" s="360">
        <v>0</v>
      </c>
      <c r="AH674" s="360">
        <v>0</v>
      </c>
      <c r="AI674" s="360">
        <v>0</v>
      </c>
      <c r="AJ674" s="360">
        <v>0</v>
      </c>
      <c r="AK674" s="360">
        <v>0</v>
      </c>
      <c r="AL674" s="360">
        <v>0</v>
      </c>
      <c r="AM674" s="360">
        <f t="shared" si="33"/>
        <v>69063.889999999985</v>
      </c>
      <c r="AN674" s="455">
        <f>ERP_2[[#This Row],[2026 Working Total]]-ERP_2[[#This Row],[LE2 Final Submission]]</f>
        <v>49094.749999999985</v>
      </c>
      <c r="AO674" s="79">
        <v>0</v>
      </c>
      <c r="AP674" s="79">
        <f t="shared" si="34"/>
        <v>24135.279999999999</v>
      </c>
      <c r="AQ674" s="374">
        <f>SUM(ERP_2[[#This Row],[AP01]:[AP06]])-SUM(ERP_2[[#This Row],[AP01 LE2]:[AP06 LE2]])</f>
        <v>49094.749999999985</v>
      </c>
      <c r="AR674" s="80"/>
      <c r="AS674" s="79">
        <f>ERP_2[[#This Row],[2026 Working Total to Budget/LE]]-ERP_2[[#This Row],[Giveback]]</f>
        <v>49094.749999999985</v>
      </c>
      <c r="AT674" s="81"/>
      <c r="AU674" s="375">
        <v>6818.85</v>
      </c>
      <c r="AV674" s="375">
        <v>9998.51</v>
      </c>
      <c r="AW674" s="375">
        <v>3151.78</v>
      </c>
      <c r="AX674" s="375">
        <v>0</v>
      </c>
      <c r="AY674" s="375">
        <v>0</v>
      </c>
      <c r="AZ674" s="375">
        <v>0</v>
      </c>
      <c r="BA674" s="375">
        <v>0</v>
      </c>
      <c r="BB674" s="375">
        <v>0</v>
      </c>
      <c r="BC674" s="375">
        <v>0</v>
      </c>
      <c r="BD674" s="375">
        <v>0</v>
      </c>
      <c r="BE674" s="375">
        <v>0</v>
      </c>
      <c r="BF674" s="375">
        <v>0</v>
      </c>
      <c r="BG674" s="375">
        <v>19969.14</v>
      </c>
      <c r="BH674" s="79">
        <v>6818.85</v>
      </c>
      <c r="BI674" s="79">
        <v>9998.51</v>
      </c>
      <c r="BJ674" s="79">
        <v>3151.78</v>
      </c>
      <c r="BK674" s="79">
        <v>0</v>
      </c>
      <c r="BL674" s="79">
        <v>0</v>
      </c>
      <c r="BM674" s="79">
        <v>0</v>
      </c>
      <c r="BN674" s="79">
        <v>0</v>
      </c>
      <c r="BO674" s="79">
        <v>0</v>
      </c>
      <c r="BP674" s="79">
        <v>0</v>
      </c>
      <c r="BQ674" s="79">
        <v>0</v>
      </c>
      <c r="BR674" s="79">
        <v>0</v>
      </c>
      <c r="BS674" s="79">
        <v>0</v>
      </c>
      <c r="BT674" s="79">
        <v>19969.14</v>
      </c>
    </row>
    <row r="675" spans="1:72" ht="15" customHeight="1">
      <c r="A675" s="66" t="s">
        <v>1746</v>
      </c>
      <c r="B675" s="66" t="s">
        <v>2953</v>
      </c>
      <c r="C675" s="66" t="s">
        <v>384</v>
      </c>
      <c r="D675" s="66" t="s">
        <v>1747</v>
      </c>
      <c r="E675" s="150" t="s">
        <v>1136</v>
      </c>
      <c r="F675" s="482" t="s">
        <v>1566</v>
      </c>
      <c r="G675" s="150" t="s">
        <v>1566</v>
      </c>
      <c r="H675" s="150" t="s">
        <v>1566</v>
      </c>
      <c r="I675" s="150" t="s">
        <v>1567</v>
      </c>
      <c r="J675" s="150" t="s">
        <v>1567</v>
      </c>
      <c r="K675" s="150" t="s">
        <v>1567</v>
      </c>
      <c r="L675" s="511" t="s">
        <v>342</v>
      </c>
      <c r="M675" s="451" t="s">
        <v>1327</v>
      </c>
      <c r="N675" s="343"/>
      <c r="O675" s="343"/>
      <c r="P675" s="70" t="s">
        <v>147</v>
      </c>
      <c r="Q675" s="346"/>
      <c r="R675" s="343"/>
      <c r="S675" s="346"/>
      <c r="T675" s="150" t="s">
        <v>25</v>
      </c>
      <c r="U675" s="150"/>
      <c r="V675" s="453"/>
      <c r="W675" s="406">
        <v>0</v>
      </c>
      <c r="X675" s="406">
        <v>-0.23</v>
      </c>
      <c r="Y675" s="425"/>
      <c r="Z675" s="71"/>
      <c r="AA675" s="427"/>
      <c r="AB675" s="427"/>
      <c r="AC675" s="427">
        <v>-0.23</v>
      </c>
      <c r="AD675" s="428">
        <v>-0.01</v>
      </c>
      <c r="AE675" s="429">
        <v>0</v>
      </c>
      <c r="AF675" s="429">
        <v>0</v>
      </c>
      <c r="AG675" s="360">
        <v>0</v>
      </c>
      <c r="AH675" s="360">
        <v>0</v>
      </c>
      <c r="AI675" s="360">
        <v>0</v>
      </c>
      <c r="AJ675" s="360">
        <v>0</v>
      </c>
      <c r="AK675" s="360">
        <v>0</v>
      </c>
      <c r="AL675" s="360">
        <v>0</v>
      </c>
      <c r="AM675" s="360">
        <f t="shared" si="33"/>
        <v>-0.24000000000000002</v>
      </c>
      <c r="AN675" s="455">
        <f>ERP_2[[#This Row],[2026 Working Total]]-ERP_2[[#This Row],[LE2 Final Submission]]</f>
        <v>-1.0000000000000009E-2</v>
      </c>
      <c r="AO675" s="79">
        <v>0</v>
      </c>
      <c r="AP675" s="79">
        <f t="shared" si="34"/>
        <v>0</v>
      </c>
      <c r="AQ675" s="374">
        <f>SUM(ERP_2[[#This Row],[AP01]:[AP06]])-SUM(ERP_2[[#This Row],[AP01 LE2]:[AP06 LE2]])</f>
        <v>-1.0000000000000009E-2</v>
      </c>
      <c r="AR675" s="80"/>
      <c r="AS675" s="79">
        <f>ERP_2[[#This Row],[2026 Working Total to Budget/LE]]-ERP_2[[#This Row],[Giveback]]</f>
        <v>-1.0000000000000009E-2</v>
      </c>
      <c r="AT675" s="81"/>
      <c r="AU675" s="375"/>
      <c r="AV675" s="375"/>
      <c r="AW675" s="375">
        <v>-0.23</v>
      </c>
      <c r="AX675" s="375">
        <v>0</v>
      </c>
      <c r="AY675" s="375">
        <v>0</v>
      </c>
      <c r="AZ675" s="375">
        <v>0</v>
      </c>
      <c r="BA675" s="375">
        <v>0</v>
      </c>
      <c r="BB675" s="375">
        <v>0</v>
      </c>
      <c r="BC675" s="375">
        <v>0</v>
      </c>
      <c r="BD675" s="375">
        <v>0</v>
      </c>
      <c r="BE675" s="375">
        <v>0</v>
      </c>
      <c r="BF675" s="375">
        <v>0</v>
      </c>
      <c r="BG675" s="375">
        <v>-0.23</v>
      </c>
      <c r="BH675" s="79"/>
      <c r="BI675" s="79"/>
      <c r="BJ675" s="79">
        <v>-0.23</v>
      </c>
      <c r="BK675" s="79">
        <v>0</v>
      </c>
      <c r="BL675" s="79">
        <v>0</v>
      </c>
      <c r="BM675" s="79">
        <v>0</v>
      </c>
      <c r="BN675" s="79">
        <v>0</v>
      </c>
      <c r="BO675" s="79">
        <v>0</v>
      </c>
      <c r="BP675" s="79">
        <v>0</v>
      </c>
      <c r="BQ675" s="79">
        <v>0</v>
      </c>
      <c r="BR675" s="79">
        <v>0</v>
      </c>
      <c r="BS675" s="79">
        <v>0</v>
      </c>
      <c r="BT675" s="79">
        <v>-0.23</v>
      </c>
    </row>
    <row r="676" spans="1:72" ht="15" customHeight="1">
      <c r="A676" s="66" t="s">
        <v>2094</v>
      </c>
      <c r="B676" s="66" t="s">
        <v>2953</v>
      </c>
      <c r="C676" s="66" t="s">
        <v>569</v>
      </c>
      <c r="D676" s="66" t="s">
        <v>2095</v>
      </c>
      <c r="E676" s="150" t="s">
        <v>1136</v>
      </c>
      <c r="F676" s="482" t="s">
        <v>1566</v>
      </c>
      <c r="G676" s="482" t="s">
        <v>1566</v>
      </c>
      <c r="H676" s="482" t="s">
        <v>1566</v>
      </c>
      <c r="I676" s="150" t="s">
        <v>1345</v>
      </c>
      <c r="J676" s="150" t="s">
        <v>1346</v>
      </c>
      <c r="K676" s="150" t="s">
        <v>1346</v>
      </c>
      <c r="L676" s="511" t="s">
        <v>389</v>
      </c>
      <c r="M676" s="451" t="s">
        <v>1174</v>
      </c>
      <c r="N676" s="343"/>
      <c r="O676" s="343"/>
      <c r="P676" s="70" t="s">
        <v>56</v>
      </c>
      <c r="Q676" s="346"/>
      <c r="R676" s="346" t="s">
        <v>1140</v>
      </c>
      <c r="S676" s="346"/>
      <c r="T676" s="150" t="s">
        <v>57</v>
      </c>
      <c r="U676" s="150"/>
      <c r="V676" s="453"/>
      <c r="W676" s="406">
        <v>19212</v>
      </c>
      <c r="X676" s="406">
        <v>19118.86</v>
      </c>
      <c r="Y676" s="425"/>
      <c r="Z676" s="71"/>
      <c r="AA676" s="427">
        <v>1556.11</v>
      </c>
      <c r="AB676" s="427">
        <v>1531.5</v>
      </c>
      <c r="AC676" s="427">
        <v>1622.25</v>
      </c>
      <c r="AD676" s="428">
        <v>1712.9899999999998</v>
      </c>
      <c r="AE676" s="429">
        <v>1903.18</v>
      </c>
      <c r="AF676" s="429">
        <v>456.33000000000004</v>
      </c>
      <c r="AG676" s="363">
        <v>1601</v>
      </c>
      <c r="AH676" s="363">
        <v>1601</v>
      </c>
      <c r="AI676" s="363">
        <v>1601</v>
      </c>
      <c r="AJ676" s="363">
        <v>1601</v>
      </c>
      <c r="AK676" s="363">
        <v>1601</v>
      </c>
      <c r="AL676" s="363">
        <v>1601</v>
      </c>
      <c r="AM676" s="360">
        <f t="shared" si="33"/>
        <v>18388.36</v>
      </c>
      <c r="AN676" s="455">
        <f>ERP_2[[#This Row],[2026 Working Total]]-ERP_2[[#This Row],[LE2 Final Submission]]</f>
        <v>-730.5</v>
      </c>
      <c r="AO676" s="79">
        <v>1601</v>
      </c>
      <c r="AP676" s="79">
        <f t="shared" si="34"/>
        <v>-1144.67</v>
      </c>
      <c r="AQ676" s="374">
        <f>SUM(ERP_2[[#This Row],[AP01]:[AP06]])-SUM(ERP_2[[#This Row],[AP01 LE2]:[AP06 LE2]])</f>
        <v>-730.50000000000182</v>
      </c>
      <c r="AR676" s="80"/>
      <c r="AS676" s="79">
        <f>ERP_2[[#This Row],[2026 Working Total to Budget/LE]]-ERP_2[[#This Row],[Giveback]]</f>
        <v>-730.5</v>
      </c>
      <c r="AT676" s="81"/>
      <c r="AU676" s="375">
        <v>1556.11</v>
      </c>
      <c r="AV676" s="375">
        <v>1531.5</v>
      </c>
      <c r="AW676" s="375">
        <v>1622.25</v>
      </c>
      <c r="AX676" s="375">
        <v>1601</v>
      </c>
      <c r="AY676" s="375">
        <v>1601</v>
      </c>
      <c r="AZ676" s="375">
        <v>1601</v>
      </c>
      <c r="BA676" s="375">
        <v>1601</v>
      </c>
      <c r="BB676" s="375">
        <v>1601</v>
      </c>
      <c r="BC676" s="375">
        <v>1601</v>
      </c>
      <c r="BD676" s="375">
        <v>1601</v>
      </c>
      <c r="BE676" s="375">
        <v>1601</v>
      </c>
      <c r="BF676" s="375">
        <v>1601</v>
      </c>
      <c r="BG676" s="375">
        <v>19118.86</v>
      </c>
      <c r="BH676" s="79">
        <v>1556.11</v>
      </c>
      <c r="BI676" s="79">
        <v>1531.5</v>
      </c>
      <c r="BJ676" s="79">
        <v>1622.25</v>
      </c>
      <c r="BK676" s="79">
        <v>1601</v>
      </c>
      <c r="BL676" s="79">
        <v>1601</v>
      </c>
      <c r="BM676" s="79">
        <v>1601</v>
      </c>
      <c r="BN676" s="79">
        <v>1601</v>
      </c>
      <c r="BO676" s="79">
        <v>1601</v>
      </c>
      <c r="BP676" s="79">
        <v>1601</v>
      </c>
      <c r="BQ676" s="79">
        <v>1601</v>
      </c>
      <c r="BR676" s="79">
        <v>1601</v>
      </c>
      <c r="BS676" s="79">
        <v>1601</v>
      </c>
      <c r="BT676" s="79">
        <v>19118.86</v>
      </c>
    </row>
    <row r="677" spans="1:72" ht="15" customHeight="1">
      <c r="A677" s="66" t="s">
        <v>2112</v>
      </c>
      <c r="B677" s="66" t="s">
        <v>2953</v>
      </c>
      <c r="C677" s="66" t="s">
        <v>580</v>
      </c>
      <c r="D677" s="66" t="s">
        <v>2113</v>
      </c>
      <c r="E677" s="150" t="s">
        <v>1136</v>
      </c>
      <c r="F677" s="482" t="s">
        <v>1566</v>
      </c>
      <c r="G677" s="482" t="s">
        <v>1566</v>
      </c>
      <c r="H677" s="482" t="s">
        <v>1566</v>
      </c>
      <c r="I677" s="150" t="s">
        <v>1345</v>
      </c>
      <c r="J677" s="150" t="s">
        <v>1346</v>
      </c>
      <c r="K677" s="150" t="s">
        <v>1346</v>
      </c>
      <c r="L677" s="511" t="s">
        <v>389</v>
      </c>
      <c r="M677" s="451" t="s">
        <v>1703</v>
      </c>
      <c r="N677" s="343"/>
      <c r="O677" s="343"/>
      <c r="P677" s="70" t="s">
        <v>365</v>
      </c>
      <c r="Q677" s="346"/>
      <c r="R677" s="346" t="s">
        <v>1140</v>
      </c>
      <c r="S677" s="346"/>
      <c r="T677" s="150" t="s">
        <v>57</v>
      </c>
      <c r="U677" s="150"/>
      <c r="V677" s="453"/>
      <c r="W677" s="406">
        <v>0</v>
      </c>
      <c r="X677" s="406">
        <v>2000</v>
      </c>
      <c r="Y677" s="430"/>
      <c r="Z677" s="137"/>
      <c r="AA677" s="427">
        <v>2000</v>
      </c>
      <c r="AB677" s="431">
        <v>0</v>
      </c>
      <c r="AC677" s="431">
        <v>0</v>
      </c>
      <c r="AD677" s="428">
        <v>0</v>
      </c>
      <c r="AE677" s="429">
        <v>90.2</v>
      </c>
      <c r="AF677" s="429">
        <v>90.2</v>
      </c>
      <c r="AG677" s="360">
        <v>0</v>
      </c>
      <c r="AH677" s="360">
        <v>0</v>
      </c>
      <c r="AI677" s="360">
        <v>0</v>
      </c>
      <c r="AJ677" s="360">
        <v>0</v>
      </c>
      <c r="AK677" s="360">
        <v>0</v>
      </c>
      <c r="AL677" s="360">
        <v>0</v>
      </c>
      <c r="AM677" s="360">
        <f t="shared" si="33"/>
        <v>2180.3999999999996</v>
      </c>
      <c r="AN677" s="455">
        <f>ERP_2[[#This Row],[2026 Working Total]]-ERP_2[[#This Row],[LE2 Final Submission]]</f>
        <v>180.39999999999964</v>
      </c>
      <c r="AO677" s="79">
        <v>0</v>
      </c>
      <c r="AP677" s="79">
        <f t="shared" si="34"/>
        <v>90.2</v>
      </c>
      <c r="AQ677" s="374">
        <f>SUM(ERP_2[[#This Row],[AP01]:[AP06]])-SUM(ERP_2[[#This Row],[AP01 LE2]:[AP06 LE2]])</f>
        <v>180.39999999999964</v>
      </c>
      <c r="AR677" s="80"/>
      <c r="AS677" s="79">
        <f>ERP_2[[#This Row],[2026 Working Total to Budget/LE]]-ERP_2[[#This Row],[Giveback]]</f>
        <v>180.39999999999964</v>
      </c>
      <c r="AT677" s="81"/>
      <c r="AU677" s="375">
        <v>2000</v>
      </c>
      <c r="AV677" s="375">
        <v>0</v>
      </c>
      <c r="AW677" s="375">
        <v>0</v>
      </c>
      <c r="AX677" s="375">
        <v>0</v>
      </c>
      <c r="AY677" s="375">
        <v>0</v>
      </c>
      <c r="AZ677" s="375">
        <v>0</v>
      </c>
      <c r="BA677" s="375">
        <v>0</v>
      </c>
      <c r="BB677" s="375">
        <v>0</v>
      </c>
      <c r="BC677" s="375">
        <v>0</v>
      </c>
      <c r="BD677" s="375">
        <v>0</v>
      </c>
      <c r="BE677" s="375">
        <v>0</v>
      </c>
      <c r="BF677" s="375">
        <v>0</v>
      </c>
      <c r="BG677" s="375">
        <v>2000</v>
      </c>
      <c r="BH677" s="79">
        <v>2000</v>
      </c>
      <c r="BI677" s="79">
        <v>0</v>
      </c>
      <c r="BJ677" s="79">
        <v>0</v>
      </c>
      <c r="BK677" s="79">
        <v>0</v>
      </c>
      <c r="BL677" s="79">
        <v>0</v>
      </c>
      <c r="BM677" s="79">
        <v>0</v>
      </c>
      <c r="BN677" s="79">
        <v>0</v>
      </c>
      <c r="BO677" s="79">
        <v>0</v>
      </c>
      <c r="BP677" s="79">
        <v>0</v>
      </c>
      <c r="BQ677" s="79">
        <v>0</v>
      </c>
      <c r="BR677" s="79">
        <v>0</v>
      </c>
      <c r="BS677" s="79">
        <v>0</v>
      </c>
      <c r="BT677" s="79">
        <v>2000</v>
      </c>
    </row>
    <row r="678" spans="1:72" ht="15" customHeight="1">
      <c r="A678" s="66" t="s">
        <v>2117</v>
      </c>
      <c r="B678" s="66" t="s">
        <v>2953</v>
      </c>
      <c r="C678" s="66" t="s">
        <v>581</v>
      </c>
      <c r="D678" s="66" t="s">
        <v>2118</v>
      </c>
      <c r="E678" s="150" t="s">
        <v>1136</v>
      </c>
      <c r="F678" s="482" t="s">
        <v>1566</v>
      </c>
      <c r="G678" s="482" t="s">
        <v>1566</v>
      </c>
      <c r="H678" s="482" t="s">
        <v>1566</v>
      </c>
      <c r="I678" s="150" t="s">
        <v>1345</v>
      </c>
      <c r="J678" s="150" t="s">
        <v>1346</v>
      </c>
      <c r="K678" s="150" t="s">
        <v>1346</v>
      </c>
      <c r="L678" s="511" t="s">
        <v>389</v>
      </c>
      <c r="M678" s="451" t="s">
        <v>1855</v>
      </c>
      <c r="N678" s="343"/>
      <c r="O678" s="343"/>
      <c r="P678" s="70" t="s">
        <v>466</v>
      </c>
      <c r="Q678" s="346"/>
      <c r="R678" s="346" t="s">
        <v>1140</v>
      </c>
      <c r="S678" s="346"/>
      <c r="T678" s="150" t="s">
        <v>57</v>
      </c>
      <c r="U678" s="150"/>
      <c r="V678" s="453"/>
      <c r="W678" s="406">
        <v>60000</v>
      </c>
      <c r="X678" s="406">
        <v>76216.11</v>
      </c>
      <c r="Y678" s="425"/>
      <c r="Z678" s="71"/>
      <c r="AA678" s="427">
        <v>14407.17</v>
      </c>
      <c r="AB678" s="427">
        <v>13803.08</v>
      </c>
      <c r="AC678" s="427">
        <v>3005.86</v>
      </c>
      <c r="AD678" s="428">
        <v>15296.21</v>
      </c>
      <c r="AE678" s="429">
        <v>17035.269999999997</v>
      </c>
      <c r="AF678" s="429">
        <v>17290.900000000001</v>
      </c>
      <c r="AG678" s="363">
        <v>5000</v>
      </c>
      <c r="AH678" s="363">
        <v>5000</v>
      </c>
      <c r="AI678" s="363">
        <v>5000</v>
      </c>
      <c r="AJ678" s="363">
        <v>5000</v>
      </c>
      <c r="AK678" s="363">
        <v>5000</v>
      </c>
      <c r="AL678" s="363">
        <v>5000</v>
      </c>
      <c r="AM678" s="360">
        <f t="shared" si="33"/>
        <v>110838.48999999999</v>
      </c>
      <c r="AN678" s="455">
        <f>ERP_2[[#This Row],[2026 Working Total]]-ERP_2[[#This Row],[LE2 Final Submission]]</f>
        <v>34622.37999999999</v>
      </c>
      <c r="AO678" s="79">
        <v>5000</v>
      </c>
      <c r="AP678" s="79">
        <f t="shared" si="34"/>
        <v>12290.900000000001</v>
      </c>
      <c r="AQ678" s="374">
        <f>SUM(ERP_2[[#This Row],[AP01]:[AP06]])-SUM(ERP_2[[#This Row],[AP01 LE2]:[AP06 LE2]])</f>
        <v>34622.37999999999</v>
      </c>
      <c r="AR678" s="80"/>
      <c r="AS678" s="79">
        <f>ERP_2[[#This Row],[2026 Working Total to Budget/LE]]-ERP_2[[#This Row],[Giveback]]</f>
        <v>34622.37999999999</v>
      </c>
      <c r="AT678" s="81"/>
      <c r="AU678" s="375">
        <v>14407.17</v>
      </c>
      <c r="AV678" s="375">
        <v>13803.08</v>
      </c>
      <c r="AW678" s="375">
        <v>3005.86</v>
      </c>
      <c r="AX678" s="375">
        <v>5000</v>
      </c>
      <c r="AY678" s="375">
        <v>5000</v>
      </c>
      <c r="AZ678" s="375">
        <v>5000</v>
      </c>
      <c r="BA678" s="375">
        <v>5000</v>
      </c>
      <c r="BB678" s="375">
        <v>5000</v>
      </c>
      <c r="BC678" s="375">
        <v>5000</v>
      </c>
      <c r="BD678" s="375">
        <v>5000</v>
      </c>
      <c r="BE678" s="375">
        <v>5000</v>
      </c>
      <c r="BF678" s="375">
        <v>5000</v>
      </c>
      <c r="BG678" s="375">
        <v>76216.11</v>
      </c>
      <c r="BH678" s="79">
        <v>14407.17</v>
      </c>
      <c r="BI678" s="79">
        <v>13803.08</v>
      </c>
      <c r="BJ678" s="79">
        <v>3005.86</v>
      </c>
      <c r="BK678" s="79">
        <v>5000</v>
      </c>
      <c r="BL678" s="79">
        <v>5000</v>
      </c>
      <c r="BM678" s="79">
        <v>5000</v>
      </c>
      <c r="BN678" s="79">
        <v>5000</v>
      </c>
      <c r="BO678" s="79">
        <v>5000</v>
      </c>
      <c r="BP678" s="79">
        <v>5000</v>
      </c>
      <c r="BQ678" s="79">
        <v>5000</v>
      </c>
      <c r="BR678" s="79">
        <v>5000</v>
      </c>
      <c r="BS678" s="79">
        <v>5000</v>
      </c>
      <c r="BT678" s="79">
        <v>76216.11</v>
      </c>
    </row>
    <row r="679" spans="1:72" ht="15" customHeight="1">
      <c r="A679" s="66" t="s">
        <v>2129</v>
      </c>
      <c r="B679" s="66" t="s">
        <v>2953</v>
      </c>
      <c r="C679" s="66" t="s">
        <v>588</v>
      </c>
      <c r="D679" s="66" t="s">
        <v>2130</v>
      </c>
      <c r="E679" s="150" t="s">
        <v>1136</v>
      </c>
      <c r="F679" s="482" t="s">
        <v>1566</v>
      </c>
      <c r="G679" s="482" t="s">
        <v>1566</v>
      </c>
      <c r="H679" s="482" t="s">
        <v>1566</v>
      </c>
      <c r="I679" s="150" t="s">
        <v>1345</v>
      </c>
      <c r="J679" s="150" t="s">
        <v>1346</v>
      </c>
      <c r="K679" s="150" t="s">
        <v>1346</v>
      </c>
      <c r="L679" s="511" t="s">
        <v>389</v>
      </c>
      <c r="M679" s="451" t="s">
        <v>1327</v>
      </c>
      <c r="N679" s="343"/>
      <c r="O679" s="343"/>
      <c r="P679" s="70" t="s">
        <v>147</v>
      </c>
      <c r="Q679" s="346"/>
      <c r="R679" s="343"/>
      <c r="S679" s="346"/>
      <c r="T679" s="150" t="s">
        <v>25</v>
      </c>
      <c r="U679" s="150"/>
      <c r="V679" s="453"/>
      <c r="W679" s="406">
        <v>0</v>
      </c>
      <c r="X679" s="406">
        <v>-991.60999999999967</v>
      </c>
      <c r="Y679" s="425"/>
      <c r="Z679" s="71"/>
      <c r="AA679" s="427">
        <v>2949.13</v>
      </c>
      <c r="AB679" s="427">
        <v>-734.7</v>
      </c>
      <c r="AC679" s="427">
        <v>-3206.04</v>
      </c>
      <c r="AD679" s="428">
        <v>1083.7399999999998</v>
      </c>
      <c r="AE679" s="429">
        <v>2193.66</v>
      </c>
      <c r="AF679" s="429">
        <v>2312.1299999999997</v>
      </c>
      <c r="AG679" s="360">
        <v>0</v>
      </c>
      <c r="AH679" s="360">
        <v>0</v>
      </c>
      <c r="AI679" s="360">
        <v>0</v>
      </c>
      <c r="AJ679" s="360">
        <v>0</v>
      </c>
      <c r="AK679" s="360">
        <v>0</v>
      </c>
      <c r="AL679" s="360">
        <v>0</v>
      </c>
      <c r="AM679" s="360">
        <f t="shared" si="33"/>
        <v>4597.92</v>
      </c>
      <c r="AN679" s="455">
        <f>ERP_2[[#This Row],[2026 Working Total]]-ERP_2[[#This Row],[LE2 Final Submission]]</f>
        <v>5589.53</v>
      </c>
      <c r="AO679" s="79">
        <v>0</v>
      </c>
      <c r="AP679" s="79">
        <f t="shared" si="34"/>
        <v>2312.1299999999997</v>
      </c>
      <c r="AQ679" s="374">
        <f>SUM(ERP_2[[#This Row],[AP01]:[AP06]])-SUM(ERP_2[[#This Row],[AP01 LE2]:[AP06 LE2]])</f>
        <v>5589.53</v>
      </c>
      <c r="AR679" s="80"/>
      <c r="AS679" s="79">
        <f>ERP_2[[#This Row],[2026 Working Total to Budget/LE]]-ERP_2[[#This Row],[Giveback]]</f>
        <v>5589.53</v>
      </c>
      <c r="AT679" s="81"/>
      <c r="AU679" s="375">
        <v>2949.13</v>
      </c>
      <c r="AV679" s="375">
        <v>-734.7</v>
      </c>
      <c r="AW679" s="375">
        <v>-3206.04</v>
      </c>
      <c r="AX679" s="375">
        <v>0</v>
      </c>
      <c r="AY679" s="375">
        <v>0</v>
      </c>
      <c r="AZ679" s="375">
        <v>0</v>
      </c>
      <c r="BA679" s="375">
        <v>0</v>
      </c>
      <c r="BB679" s="375">
        <v>0</v>
      </c>
      <c r="BC679" s="375">
        <v>0</v>
      </c>
      <c r="BD679" s="375">
        <v>0</v>
      </c>
      <c r="BE679" s="375">
        <v>0</v>
      </c>
      <c r="BF679" s="375">
        <v>0</v>
      </c>
      <c r="BG679" s="375">
        <v>-991.60999999999967</v>
      </c>
      <c r="BH679" s="79">
        <v>2949.13</v>
      </c>
      <c r="BI679" s="79">
        <v>-734.7</v>
      </c>
      <c r="BJ679" s="79">
        <v>-3206.04</v>
      </c>
      <c r="BK679" s="79">
        <v>0</v>
      </c>
      <c r="BL679" s="79">
        <v>0</v>
      </c>
      <c r="BM679" s="79">
        <v>0</v>
      </c>
      <c r="BN679" s="79">
        <v>0</v>
      </c>
      <c r="BO679" s="79">
        <v>0</v>
      </c>
      <c r="BP679" s="79">
        <v>0</v>
      </c>
      <c r="BQ679" s="79">
        <v>0</v>
      </c>
      <c r="BR679" s="79">
        <v>0</v>
      </c>
      <c r="BS679" s="79">
        <v>0</v>
      </c>
      <c r="BT679" s="79">
        <v>-991.60999999999967</v>
      </c>
    </row>
    <row r="680" spans="1:72" ht="15" customHeight="1">
      <c r="A680" s="66" t="s">
        <v>2174</v>
      </c>
      <c r="B680" s="66" t="s">
        <v>2953</v>
      </c>
      <c r="C680" s="66" t="s">
        <v>619</v>
      </c>
      <c r="D680" s="66" t="s">
        <v>2175</v>
      </c>
      <c r="E680" s="150" t="s">
        <v>1136</v>
      </c>
      <c r="F680" s="482" t="s">
        <v>1566</v>
      </c>
      <c r="G680" s="482" t="s">
        <v>1566</v>
      </c>
      <c r="H680" s="482" t="s">
        <v>1566</v>
      </c>
      <c r="I680" s="150" t="s">
        <v>1345</v>
      </c>
      <c r="J680" s="150" t="s">
        <v>1346</v>
      </c>
      <c r="K680" s="150" t="s">
        <v>1346</v>
      </c>
      <c r="L680" s="511" t="s">
        <v>602</v>
      </c>
      <c r="M680" s="451" t="s">
        <v>2176</v>
      </c>
      <c r="N680" s="343"/>
      <c r="O680" s="343"/>
      <c r="P680" s="70" t="s">
        <v>620</v>
      </c>
      <c r="Q680" s="346"/>
      <c r="R680" s="343"/>
      <c r="S680" s="346"/>
      <c r="T680" s="150" t="s">
        <v>25</v>
      </c>
      <c r="U680" s="150"/>
      <c r="V680" s="453"/>
      <c r="W680" s="528">
        <v>0</v>
      </c>
      <c r="X680" s="528">
        <v>614.69000000000005</v>
      </c>
      <c r="Y680" s="430"/>
      <c r="Z680" s="137"/>
      <c r="AA680" s="427"/>
      <c r="AB680" s="427">
        <v>260.76</v>
      </c>
      <c r="AC680" s="427">
        <v>353.93</v>
      </c>
      <c r="AD680" s="428" t="s">
        <v>1142</v>
      </c>
      <c r="AE680" s="429">
        <v>0</v>
      </c>
      <c r="AF680" s="429">
        <v>0</v>
      </c>
      <c r="AG680" s="360">
        <v>0</v>
      </c>
      <c r="AH680" s="360">
        <v>0</v>
      </c>
      <c r="AI680" s="360">
        <v>0</v>
      </c>
      <c r="AJ680" s="360">
        <v>0</v>
      </c>
      <c r="AK680" s="360">
        <v>0</v>
      </c>
      <c r="AL680" s="360">
        <v>0</v>
      </c>
      <c r="AM680" s="360">
        <f t="shared" si="33"/>
        <v>614.69000000000005</v>
      </c>
      <c r="AN680" s="455">
        <f>ERP_2[[#This Row],[2026 Working Total]]-ERP_2[[#This Row],[LE2 Final Submission]]</f>
        <v>0</v>
      </c>
      <c r="AO680" s="79">
        <v>0</v>
      </c>
      <c r="AP680" s="79">
        <f t="shared" si="34"/>
        <v>0</v>
      </c>
      <c r="AQ680" s="374">
        <f>SUM(ERP_2[[#This Row],[AP01]:[AP06]])-SUM(ERP_2[[#This Row],[AP01 LE2]:[AP06 LE2]])</f>
        <v>0</v>
      </c>
      <c r="AR680" s="80"/>
      <c r="AS680" s="79">
        <f>ERP_2[[#This Row],[2026 Working Total to Budget/LE]]-ERP_2[[#This Row],[Giveback]]</f>
        <v>0</v>
      </c>
      <c r="AT680" s="81"/>
      <c r="AU680" s="375"/>
      <c r="AV680" s="375">
        <v>260.76</v>
      </c>
      <c r="AW680" s="375">
        <v>353.93</v>
      </c>
      <c r="AX680" s="375">
        <v>0</v>
      </c>
      <c r="AY680" s="375">
        <v>0</v>
      </c>
      <c r="AZ680" s="375">
        <v>0</v>
      </c>
      <c r="BA680" s="375">
        <v>0</v>
      </c>
      <c r="BB680" s="375">
        <v>0</v>
      </c>
      <c r="BC680" s="375">
        <v>0</v>
      </c>
      <c r="BD680" s="375">
        <v>0</v>
      </c>
      <c r="BE680" s="375">
        <v>0</v>
      </c>
      <c r="BF680" s="375">
        <v>0</v>
      </c>
      <c r="BG680" s="375">
        <v>614.69000000000005</v>
      </c>
      <c r="BH680" s="79"/>
      <c r="BI680" s="79">
        <v>260.76</v>
      </c>
      <c r="BJ680" s="79">
        <v>353.93</v>
      </c>
      <c r="BK680" s="79">
        <v>0</v>
      </c>
      <c r="BL680" s="79">
        <v>0</v>
      </c>
      <c r="BM680" s="79">
        <v>0</v>
      </c>
      <c r="BN680" s="79">
        <v>0</v>
      </c>
      <c r="BO680" s="79">
        <v>0</v>
      </c>
      <c r="BP680" s="79">
        <v>0</v>
      </c>
      <c r="BQ680" s="79">
        <v>0</v>
      </c>
      <c r="BR680" s="79">
        <v>0</v>
      </c>
      <c r="BS680" s="79">
        <v>0</v>
      </c>
      <c r="BT680" s="79">
        <v>614.69000000000005</v>
      </c>
    </row>
    <row r="681" spans="1:72" ht="15" customHeight="1">
      <c r="A681" s="66" t="s">
        <v>2182</v>
      </c>
      <c r="B681" s="66" t="s">
        <v>2953</v>
      </c>
      <c r="C681" s="66" t="s">
        <v>621</v>
      </c>
      <c r="D681" s="66" t="s">
        <v>2183</v>
      </c>
      <c r="E681" s="150" t="s">
        <v>1136</v>
      </c>
      <c r="F681" s="482" t="s">
        <v>1566</v>
      </c>
      <c r="G681" s="150" t="s">
        <v>1566</v>
      </c>
      <c r="H681" s="150" t="s">
        <v>1566</v>
      </c>
      <c r="I681" s="150" t="s">
        <v>1567</v>
      </c>
      <c r="J681" s="150" t="s">
        <v>1567</v>
      </c>
      <c r="K681" s="150" t="s">
        <v>1567</v>
      </c>
      <c r="L681" s="511" t="s">
        <v>602</v>
      </c>
      <c r="M681" s="451" t="s">
        <v>611</v>
      </c>
      <c r="N681" s="343"/>
      <c r="O681" s="343"/>
      <c r="P681" s="70" t="s">
        <v>610</v>
      </c>
      <c r="Q681" s="346"/>
      <c r="R681" s="343"/>
      <c r="S681" s="346"/>
      <c r="T681" s="150" t="s">
        <v>611</v>
      </c>
      <c r="U681" s="150"/>
      <c r="V681" s="453"/>
      <c r="W681" s="528">
        <v>0</v>
      </c>
      <c r="X681" s="529">
        <v>18.829999999999998</v>
      </c>
      <c r="Y681" s="425"/>
      <c r="Z681" s="425"/>
      <c r="AA681" s="427">
        <v>19</v>
      </c>
      <c r="AB681" s="427">
        <v>-0.17</v>
      </c>
      <c r="AC681" s="431">
        <v>0</v>
      </c>
      <c r="AD681" s="428">
        <v>4245.9400000000005</v>
      </c>
      <c r="AE681" s="429">
        <v>16</v>
      </c>
      <c r="AF681" s="429">
        <v>0</v>
      </c>
      <c r="AG681" s="360">
        <v>0</v>
      </c>
      <c r="AH681" s="360">
        <v>0</v>
      </c>
      <c r="AI681" s="360">
        <v>0</v>
      </c>
      <c r="AJ681" s="360">
        <v>0</v>
      </c>
      <c r="AK681" s="360">
        <v>0</v>
      </c>
      <c r="AL681" s="360">
        <v>0</v>
      </c>
      <c r="AM681" s="360">
        <f t="shared" si="33"/>
        <v>4280.7700000000004</v>
      </c>
      <c r="AN681" s="455">
        <f>ERP_2[[#This Row],[2026 Working Total]]-ERP_2[[#This Row],[LE2 Final Submission]]</f>
        <v>4261.9400000000005</v>
      </c>
      <c r="AO681" s="79">
        <v>0</v>
      </c>
      <c r="AP681" s="79">
        <f t="shared" si="34"/>
        <v>0</v>
      </c>
      <c r="AQ681" s="374">
        <f>SUM(ERP_2[[#This Row],[AP01]:[AP06]])-SUM(ERP_2[[#This Row],[AP01 LE2]:[AP06 LE2]])</f>
        <v>4261.9400000000005</v>
      </c>
      <c r="AR681" s="80"/>
      <c r="AS681" s="79">
        <f>ERP_2[[#This Row],[2026 Working Total to Budget/LE]]-ERP_2[[#This Row],[Giveback]]</f>
        <v>4261.9400000000005</v>
      </c>
      <c r="AT681" s="81"/>
      <c r="AU681" s="375">
        <v>19</v>
      </c>
      <c r="AV681" s="375">
        <v>-0.17</v>
      </c>
      <c r="AW681" s="375">
        <v>0</v>
      </c>
      <c r="AX681" s="375">
        <v>0</v>
      </c>
      <c r="AY681" s="375">
        <v>0</v>
      </c>
      <c r="AZ681" s="375">
        <v>0</v>
      </c>
      <c r="BA681" s="375">
        <v>0</v>
      </c>
      <c r="BB681" s="375">
        <v>0</v>
      </c>
      <c r="BC681" s="375">
        <v>0</v>
      </c>
      <c r="BD681" s="375">
        <v>0</v>
      </c>
      <c r="BE681" s="375">
        <v>0</v>
      </c>
      <c r="BF681" s="375">
        <v>0</v>
      </c>
      <c r="BG681" s="375">
        <v>18.829999999999998</v>
      </c>
      <c r="BH681" s="79">
        <v>19</v>
      </c>
      <c r="BI681" s="79">
        <v>-0.17</v>
      </c>
      <c r="BJ681" s="79">
        <v>0</v>
      </c>
      <c r="BK681" s="79">
        <v>0</v>
      </c>
      <c r="BL681" s="79">
        <v>0</v>
      </c>
      <c r="BM681" s="79">
        <v>0</v>
      </c>
      <c r="BN681" s="79">
        <v>0</v>
      </c>
      <c r="BO681" s="79">
        <v>0</v>
      </c>
      <c r="BP681" s="79">
        <v>0</v>
      </c>
      <c r="BQ681" s="79">
        <v>0</v>
      </c>
      <c r="BR681" s="79">
        <v>0</v>
      </c>
      <c r="BS681" s="79">
        <v>0</v>
      </c>
      <c r="BT681" s="79">
        <v>18.829999999999998</v>
      </c>
    </row>
    <row r="682" spans="1:72" ht="15" customHeight="1">
      <c r="A682" s="66" t="s">
        <v>2195</v>
      </c>
      <c r="B682" s="66" t="s">
        <v>2953</v>
      </c>
      <c r="C682" s="66" t="s">
        <v>634</v>
      </c>
      <c r="D682" s="66" t="s">
        <v>2196</v>
      </c>
      <c r="E682" s="150" t="s">
        <v>1136</v>
      </c>
      <c r="F682" s="482" t="s">
        <v>1566</v>
      </c>
      <c r="G682" s="482" t="s">
        <v>1566</v>
      </c>
      <c r="H682" s="482" t="s">
        <v>1566</v>
      </c>
      <c r="I682" s="150" t="s">
        <v>1345</v>
      </c>
      <c r="J682" s="150" t="s">
        <v>1346</v>
      </c>
      <c r="K682" s="150" t="s">
        <v>1346</v>
      </c>
      <c r="L682" s="511" t="s">
        <v>629</v>
      </c>
      <c r="M682" s="451" t="s">
        <v>1327</v>
      </c>
      <c r="N682" s="343"/>
      <c r="O682" s="343"/>
      <c r="P682" s="70" t="s">
        <v>147</v>
      </c>
      <c r="Q682" s="346"/>
      <c r="R682" s="343"/>
      <c r="S682" s="346"/>
      <c r="T682" s="150" t="s">
        <v>25</v>
      </c>
      <c r="U682" s="150"/>
      <c r="V682" s="453"/>
      <c r="W682" s="528">
        <v>0</v>
      </c>
      <c r="X682" s="529">
        <v>7191.02</v>
      </c>
      <c r="Y682" s="425"/>
      <c r="Z682" s="425"/>
      <c r="AA682" s="427">
        <v>843.69</v>
      </c>
      <c r="AB682" s="427">
        <v>4879.99</v>
      </c>
      <c r="AC682" s="427">
        <v>1467.34</v>
      </c>
      <c r="AD682" s="428" t="s">
        <v>1142</v>
      </c>
      <c r="AE682" s="429">
        <v>0</v>
      </c>
      <c r="AF682" s="429">
        <v>237.8</v>
      </c>
      <c r="AG682" s="360">
        <v>0</v>
      </c>
      <c r="AH682" s="360">
        <v>0</v>
      </c>
      <c r="AI682" s="360">
        <v>0</v>
      </c>
      <c r="AJ682" s="360">
        <v>0</v>
      </c>
      <c r="AK682" s="360">
        <v>0</v>
      </c>
      <c r="AL682" s="360">
        <v>0</v>
      </c>
      <c r="AM682" s="360">
        <f t="shared" si="33"/>
        <v>7428.8200000000006</v>
      </c>
      <c r="AN682" s="455">
        <f>ERP_2[[#This Row],[2026 Working Total]]-ERP_2[[#This Row],[LE2 Final Submission]]</f>
        <v>237.80000000000018</v>
      </c>
      <c r="AO682" s="79">
        <v>0</v>
      </c>
      <c r="AP682" s="79">
        <f t="shared" si="34"/>
        <v>237.8</v>
      </c>
      <c r="AQ682" s="374">
        <f>SUM(ERP_2[[#This Row],[AP01]:[AP06]])-SUM(ERP_2[[#This Row],[AP01 LE2]:[AP06 LE2]])</f>
        <v>237.80000000000018</v>
      </c>
      <c r="AR682" s="80"/>
      <c r="AS682" s="79">
        <f>ERP_2[[#This Row],[2026 Working Total to Budget/LE]]-ERP_2[[#This Row],[Giveback]]</f>
        <v>237.80000000000018</v>
      </c>
      <c r="AT682" s="81"/>
      <c r="AU682" s="375">
        <v>843.69</v>
      </c>
      <c r="AV682" s="375">
        <v>4879.99</v>
      </c>
      <c r="AW682" s="375">
        <v>1467.34</v>
      </c>
      <c r="AX682" s="375">
        <v>0</v>
      </c>
      <c r="AY682" s="375">
        <v>0</v>
      </c>
      <c r="AZ682" s="375">
        <v>0</v>
      </c>
      <c r="BA682" s="375">
        <v>0</v>
      </c>
      <c r="BB682" s="375">
        <v>0</v>
      </c>
      <c r="BC682" s="375">
        <v>0</v>
      </c>
      <c r="BD682" s="375">
        <v>0</v>
      </c>
      <c r="BE682" s="375">
        <v>0</v>
      </c>
      <c r="BF682" s="375">
        <v>0</v>
      </c>
      <c r="BG682" s="375">
        <v>7191.02</v>
      </c>
      <c r="BH682" s="79">
        <v>843.69</v>
      </c>
      <c r="BI682" s="79">
        <v>4879.99</v>
      </c>
      <c r="BJ682" s="79">
        <v>1467.34</v>
      </c>
      <c r="BK682" s="79">
        <v>0</v>
      </c>
      <c r="BL682" s="79">
        <v>0</v>
      </c>
      <c r="BM682" s="79">
        <v>0</v>
      </c>
      <c r="BN682" s="79">
        <v>0</v>
      </c>
      <c r="BO682" s="79">
        <v>0</v>
      </c>
      <c r="BP682" s="79">
        <v>0</v>
      </c>
      <c r="BQ682" s="79">
        <v>0</v>
      </c>
      <c r="BR682" s="79">
        <v>0</v>
      </c>
      <c r="BS682" s="79">
        <v>0</v>
      </c>
      <c r="BT682" s="79">
        <v>7191.02</v>
      </c>
    </row>
    <row r="683" spans="1:72" ht="15" customHeight="1">
      <c r="A683" s="66" t="s">
        <v>2776</v>
      </c>
      <c r="B683" s="66" t="s">
        <v>2953</v>
      </c>
      <c r="C683" s="66" t="s">
        <v>997</v>
      </c>
      <c r="D683" s="66" t="s">
        <v>2777</v>
      </c>
      <c r="E683" s="150" t="s">
        <v>1136</v>
      </c>
      <c r="F683" s="482" t="s">
        <v>1566</v>
      </c>
      <c r="G683" s="150" t="s">
        <v>1566</v>
      </c>
      <c r="H683" s="150" t="s">
        <v>1566</v>
      </c>
      <c r="I683" s="150" t="s">
        <v>1567</v>
      </c>
      <c r="J683" s="150" t="s">
        <v>1567</v>
      </c>
      <c r="K683" s="150" t="s">
        <v>1567</v>
      </c>
      <c r="L683" s="511" t="s">
        <v>639</v>
      </c>
      <c r="M683" s="451" t="s">
        <v>1138</v>
      </c>
      <c r="N683" s="343"/>
      <c r="O683" s="343"/>
      <c r="P683" s="70" t="s">
        <v>51</v>
      </c>
      <c r="Q683" s="346" t="s">
        <v>1139</v>
      </c>
      <c r="R683" s="346" t="s">
        <v>1140</v>
      </c>
      <c r="S683" s="346"/>
      <c r="T683" s="150" t="s">
        <v>25</v>
      </c>
      <c r="U683" s="150"/>
      <c r="V683" s="453"/>
      <c r="W683" s="528">
        <v>0</v>
      </c>
      <c r="X683" s="529">
        <v>257.52</v>
      </c>
      <c r="Y683" s="425"/>
      <c r="Z683" s="425"/>
      <c r="AA683" s="427"/>
      <c r="AB683" s="427">
        <v>257.52</v>
      </c>
      <c r="AC683" s="431">
        <v>0</v>
      </c>
      <c r="AD683" s="428">
        <v>0</v>
      </c>
      <c r="AE683" s="429">
        <v>0</v>
      </c>
      <c r="AF683" s="429">
        <v>0</v>
      </c>
      <c r="AG683" s="360">
        <v>0</v>
      </c>
      <c r="AH683" s="360">
        <v>0</v>
      </c>
      <c r="AI683" s="360">
        <v>0</v>
      </c>
      <c r="AJ683" s="360">
        <v>0</v>
      </c>
      <c r="AK683" s="360">
        <v>0</v>
      </c>
      <c r="AL683" s="360">
        <v>0</v>
      </c>
      <c r="AM683" s="360">
        <f t="shared" si="33"/>
        <v>257.52</v>
      </c>
      <c r="AN683" s="455">
        <f>ERP_2[[#This Row],[2026 Working Total]]-ERP_2[[#This Row],[LE2 Final Submission]]</f>
        <v>0</v>
      </c>
      <c r="AO683" s="79">
        <v>0</v>
      </c>
      <c r="AP683" s="79">
        <f t="shared" si="34"/>
        <v>0</v>
      </c>
      <c r="AQ683" s="374">
        <f>SUM(ERP_2[[#This Row],[AP01]:[AP06]])-SUM(ERP_2[[#This Row],[AP01 LE2]:[AP06 LE2]])</f>
        <v>0</v>
      </c>
      <c r="AR683" s="80"/>
      <c r="AS683" s="79">
        <f>ERP_2[[#This Row],[2026 Working Total to Budget/LE]]-ERP_2[[#This Row],[Giveback]]</f>
        <v>0</v>
      </c>
      <c r="AT683" s="81"/>
      <c r="AU683" s="375"/>
      <c r="AV683" s="375">
        <v>257.52</v>
      </c>
      <c r="AW683" s="375">
        <v>0</v>
      </c>
      <c r="AX683" s="375">
        <v>0</v>
      </c>
      <c r="AY683" s="375">
        <v>0</v>
      </c>
      <c r="AZ683" s="375">
        <v>0</v>
      </c>
      <c r="BA683" s="375">
        <v>0</v>
      </c>
      <c r="BB683" s="375">
        <v>0</v>
      </c>
      <c r="BC683" s="375">
        <v>0</v>
      </c>
      <c r="BD683" s="375">
        <v>0</v>
      </c>
      <c r="BE683" s="375">
        <v>0</v>
      </c>
      <c r="BF683" s="375">
        <v>0</v>
      </c>
      <c r="BG683" s="375">
        <v>257.52</v>
      </c>
      <c r="BH683" s="79"/>
      <c r="BI683" s="79">
        <v>257.52</v>
      </c>
      <c r="BJ683" s="79">
        <v>0</v>
      </c>
      <c r="BK683" s="79">
        <v>0</v>
      </c>
      <c r="BL683" s="79">
        <v>0</v>
      </c>
      <c r="BM683" s="79">
        <v>0</v>
      </c>
      <c r="BN683" s="79">
        <v>0</v>
      </c>
      <c r="BO683" s="79">
        <v>0</v>
      </c>
      <c r="BP683" s="79">
        <v>0</v>
      </c>
      <c r="BQ683" s="79">
        <v>0</v>
      </c>
      <c r="BR683" s="79">
        <v>0</v>
      </c>
      <c r="BS683" s="79">
        <v>0</v>
      </c>
      <c r="BT683" s="79">
        <v>257.52</v>
      </c>
    </row>
    <row r="684" spans="1:72" ht="15" customHeight="1">
      <c r="A684" s="66" t="s">
        <v>2784</v>
      </c>
      <c r="B684" s="66" t="s">
        <v>2953</v>
      </c>
      <c r="C684" s="66" t="s">
        <v>1003</v>
      </c>
      <c r="D684" s="66" t="s">
        <v>2785</v>
      </c>
      <c r="E684" s="150" t="s">
        <v>1136</v>
      </c>
      <c r="F684" s="482" t="s">
        <v>1566</v>
      </c>
      <c r="G684" s="482" t="s">
        <v>1566</v>
      </c>
      <c r="H684" s="482" t="s">
        <v>1566</v>
      </c>
      <c r="I684" s="150" t="s">
        <v>1345</v>
      </c>
      <c r="J684" s="150" t="s">
        <v>1346</v>
      </c>
      <c r="K684" s="150" t="s">
        <v>1346</v>
      </c>
      <c r="L684" s="511" t="s">
        <v>639</v>
      </c>
      <c r="M684" s="451" t="s">
        <v>2285</v>
      </c>
      <c r="N684" s="343"/>
      <c r="O684" s="343"/>
      <c r="P684" s="70" t="s">
        <v>676</v>
      </c>
      <c r="Q684" s="346"/>
      <c r="R684" s="346" t="s">
        <v>1140</v>
      </c>
      <c r="S684" s="346"/>
      <c r="T684" s="150" t="s">
        <v>677</v>
      </c>
      <c r="U684" s="150"/>
      <c r="V684" s="453"/>
      <c r="W684" s="528">
        <v>6000</v>
      </c>
      <c r="X684" s="529">
        <v>13404.42</v>
      </c>
      <c r="Y684" s="425"/>
      <c r="Z684" s="425"/>
      <c r="AA684" s="427">
        <v>542.75</v>
      </c>
      <c r="AB684" s="427">
        <v>6823.51</v>
      </c>
      <c r="AC684" s="427">
        <v>1538.16</v>
      </c>
      <c r="AD684" s="428">
        <v>1141.3400000000001</v>
      </c>
      <c r="AE684" s="429">
        <v>2127.96</v>
      </c>
      <c r="AF684" s="429">
        <v>672.49</v>
      </c>
      <c r="AG684" s="363">
        <v>500</v>
      </c>
      <c r="AH684" s="363">
        <v>500</v>
      </c>
      <c r="AI684" s="363">
        <v>500</v>
      </c>
      <c r="AJ684" s="363">
        <v>500</v>
      </c>
      <c r="AK684" s="363">
        <v>500</v>
      </c>
      <c r="AL684" s="363">
        <v>500</v>
      </c>
      <c r="AM684" s="360">
        <f t="shared" si="33"/>
        <v>15846.210000000001</v>
      </c>
      <c r="AN684" s="455">
        <f>ERP_2[[#This Row],[2026 Working Total]]-ERP_2[[#This Row],[LE2 Final Submission]]</f>
        <v>2441.7900000000009</v>
      </c>
      <c r="AO684" s="79">
        <v>500</v>
      </c>
      <c r="AP684" s="79">
        <f t="shared" si="34"/>
        <v>172.49</v>
      </c>
      <c r="AQ684" s="374">
        <f>SUM(ERP_2[[#This Row],[AP01]:[AP06]])-SUM(ERP_2[[#This Row],[AP01 LE2]:[AP06 LE2]])</f>
        <v>2441.7900000000009</v>
      </c>
      <c r="AR684" s="80"/>
      <c r="AS684" s="79">
        <f>ERP_2[[#This Row],[2026 Working Total to Budget/LE]]-ERP_2[[#This Row],[Giveback]]</f>
        <v>2441.7900000000009</v>
      </c>
      <c r="AT684" s="81"/>
      <c r="AU684" s="375">
        <v>542.75</v>
      </c>
      <c r="AV684" s="375">
        <v>6823.51</v>
      </c>
      <c r="AW684" s="375">
        <v>1538.16</v>
      </c>
      <c r="AX684" s="375">
        <v>500</v>
      </c>
      <c r="AY684" s="375">
        <v>500</v>
      </c>
      <c r="AZ684" s="375">
        <v>500</v>
      </c>
      <c r="BA684" s="375">
        <v>500</v>
      </c>
      <c r="BB684" s="375">
        <v>500</v>
      </c>
      <c r="BC684" s="375">
        <v>500</v>
      </c>
      <c r="BD684" s="375">
        <v>500</v>
      </c>
      <c r="BE684" s="375">
        <v>500</v>
      </c>
      <c r="BF684" s="375">
        <v>500</v>
      </c>
      <c r="BG684" s="375">
        <v>13404.42</v>
      </c>
      <c r="BH684" s="79">
        <v>542.75</v>
      </c>
      <c r="BI684" s="79">
        <v>6823.51</v>
      </c>
      <c r="BJ684" s="79">
        <v>1538.16</v>
      </c>
      <c r="BK684" s="79">
        <v>500</v>
      </c>
      <c r="BL684" s="79">
        <v>500</v>
      </c>
      <c r="BM684" s="79">
        <v>500</v>
      </c>
      <c r="BN684" s="79">
        <v>500</v>
      </c>
      <c r="BO684" s="79">
        <v>500</v>
      </c>
      <c r="BP684" s="79">
        <v>500</v>
      </c>
      <c r="BQ684" s="79">
        <v>500</v>
      </c>
      <c r="BR684" s="79">
        <v>500</v>
      </c>
      <c r="BS684" s="79">
        <v>500</v>
      </c>
      <c r="BT684" s="79">
        <v>13404.42</v>
      </c>
    </row>
    <row r="685" spans="1:72" ht="15" customHeight="1">
      <c r="A685" s="66" t="s">
        <v>2790</v>
      </c>
      <c r="B685" s="66" t="s">
        <v>2953</v>
      </c>
      <c r="C685" s="66" t="s">
        <v>1004</v>
      </c>
      <c r="D685" s="66" t="s">
        <v>2791</v>
      </c>
      <c r="E685" s="150" t="s">
        <v>1136</v>
      </c>
      <c r="F685" s="482" t="s">
        <v>1566</v>
      </c>
      <c r="G685" s="150" t="s">
        <v>1566</v>
      </c>
      <c r="H685" s="150" t="s">
        <v>1566</v>
      </c>
      <c r="I685" s="150" t="s">
        <v>1567</v>
      </c>
      <c r="J685" s="150" t="s">
        <v>1567</v>
      </c>
      <c r="K685" s="150" t="s">
        <v>1567</v>
      </c>
      <c r="L685" s="511" t="s">
        <v>639</v>
      </c>
      <c r="M685" s="451" t="s">
        <v>2291</v>
      </c>
      <c r="N685" s="343"/>
      <c r="O685" s="343"/>
      <c r="P685" s="70" t="s">
        <v>679</v>
      </c>
      <c r="Q685" s="346"/>
      <c r="R685" s="346" t="s">
        <v>1140</v>
      </c>
      <c r="S685" s="346"/>
      <c r="T685" s="150" t="s">
        <v>680</v>
      </c>
      <c r="U685" s="150"/>
      <c r="V685" s="453"/>
      <c r="W685" s="528">
        <v>0</v>
      </c>
      <c r="X685" s="529">
        <v>2155</v>
      </c>
      <c r="Y685" s="425"/>
      <c r="Z685" s="425"/>
      <c r="AA685" s="427"/>
      <c r="AB685" s="427"/>
      <c r="AC685" s="427">
        <v>2155</v>
      </c>
      <c r="AD685" s="428">
        <v>0</v>
      </c>
      <c r="AE685" s="429">
        <v>0</v>
      </c>
      <c r="AF685" s="429">
        <v>0</v>
      </c>
      <c r="AG685" s="360">
        <v>0</v>
      </c>
      <c r="AH685" s="360">
        <v>0</v>
      </c>
      <c r="AI685" s="360">
        <v>0</v>
      </c>
      <c r="AJ685" s="360">
        <v>0</v>
      </c>
      <c r="AK685" s="360">
        <v>0</v>
      </c>
      <c r="AL685" s="360">
        <v>0</v>
      </c>
      <c r="AM685" s="360">
        <f t="shared" si="33"/>
        <v>2155</v>
      </c>
      <c r="AN685" s="455">
        <f>ERP_2[[#This Row],[2026 Working Total]]-ERP_2[[#This Row],[LE2 Final Submission]]</f>
        <v>0</v>
      </c>
      <c r="AO685" s="79">
        <v>0</v>
      </c>
      <c r="AP685" s="79">
        <f t="shared" si="34"/>
        <v>0</v>
      </c>
      <c r="AQ685" s="374">
        <f>SUM(ERP_2[[#This Row],[AP01]:[AP06]])-SUM(ERP_2[[#This Row],[AP01 LE2]:[AP06 LE2]])</f>
        <v>0</v>
      </c>
      <c r="AR685" s="80"/>
      <c r="AS685" s="79">
        <f>ERP_2[[#This Row],[2026 Working Total to Budget/LE]]-ERP_2[[#This Row],[Giveback]]</f>
        <v>0</v>
      </c>
      <c r="AT685" s="81"/>
      <c r="AU685" s="375"/>
      <c r="AV685" s="375"/>
      <c r="AW685" s="375">
        <v>2155</v>
      </c>
      <c r="AX685" s="375">
        <v>0</v>
      </c>
      <c r="AY685" s="375">
        <v>0</v>
      </c>
      <c r="AZ685" s="375">
        <v>0</v>
      </c>
      <c r="BA685" s="375">
        <v>0</v>
      </c>
      <c r="BB685" s="375">
        <v>0</v>
      </c>
      <c r="BC685" s="375">
        <v>0</v>
      </c>
      <c r="BD685" s="375">
        <v>0</v>
      </c>
      <c r="BE685" s="375">
        <v>0</v>
      </c>
      <c r="BF685" s="375">
        <v>0</v>
      </c>
      <c r="BG685" s="375">
        <v>2155</v>
      </c>
      <c r="BH685" s="79"/>
      <c r="BI685" s="79"/>
      <c r="BJ685" s="79">
        <v>2155</v>
      </c>
      <c r="BK685" s="79">
        <v>0</v>
      </c>
      <c r="BL685" s="79">
        <v>0</v>
      </c>
      <c r="BM685" s="79">
        <v>0</v>
      </c>
      <c r="BN685" s="79">
        <v>0</v>
      </c>
      <c r="BO685" s="79">
        <v>0</v>
      </c>
      <c r="BP685" s="79">
        <v>0</v>
      </c>
      <c r="BQ685" s="79">
        <v>0</v>
      </c>
      <c r="BR685" s="79">
        <v>0</v>
      </c>
      <c r="BS685" s="79">
        <v>0</v>
      </c>
      <c r="BT685" s="79">
        <v>2155</v>
      </c>
    </row>
    <row r="686" spans="1:72" ht="15" customHeight="1">
      <c r="A686" s="66" t="s">
        <v>2794</v>
      </c>
      <c r="B686" s="66" t="s">
        <v>2953</v>
      </c>
      <c r="C686" s="66" t="s">
        <v>1006</v>
      </c>
      <c r="D686" s="66" t="s">
        <v>2795</v>
      </c>
      <c r="E686" s="150" t="s">
        <v>1136</v>
      </c>
      <c r="F686" s="482" t="s">
        <v>1566</v>
      </c>
      <c r="G686" s="150" t="s">
        <v>1566</v>
      </c>
      <c r="H686" s="150" t="s">
        <v>1566</v>
      </c>
      <c r="I686" s="150" t="s">
        <v>1567</v>
      </c>
      <c r="J686" s="150" t="s">
        <v>1567</v>
      </c>
      <c r="K686" s="150" t="s">
        <v>1567</v>
      </c>
      <c r="L686" s="511" t="s">
        <v>639</v>
      </c>
      <c r="M686" s="451" t="s">
        <v>818</v>
      </c>
      <c r="N686" s="343"/>
      <c r="O686" s="343"/>
      <c r="P686" s="70" t="s">
        <v>817</v>
      </c>
      <c r="Q686" s="346"/>
      <c r="R686" s="346" t="s">
        <v>1140</v>
      </c>
      <c r="S686" s="346"/>
      <c r="T686" s="150" t="s">
        <v>818</v>
      </c>
      <c r="U686" s="150"/>
      <c r="V686" s="453"/>
      <c r="W686" s="528">
        <v>0</v>
      </c>
      <c r="X686" s="529">
        <v>95.05</v>
      </c>
      <c r="Y686" s="425"/>
      <c r="Z686" s="425"/>
      <c r="AA686" s="427"/>
      <c r="AB686" s="427"/>
      <c r="AC686" s="427">
        <v>95.05</v>
      </c>
      <c r="AD686" s="428">
        <v>0</v>
      </c>
      <c r="AE686" s="429">
        <v>0</v>
      </c>
      <c r="AF686" s="429">
        <v>160.29</v>
      </c>
      <c r="AG686" s="360">
        <v>0</v>
      </c>
      <c r="AH686" s="360">
        <v>0</v>
      </c>
      <c r="AI686" s="360">
        <v>0</v>
      </c>
      <c r="AJ686" s="360">
        <v>0</v>
      </c>
      <c r="AK686" s="360">
        <v>0</v>
      </c>
      <c r="AL686" s="360">
        <v>0</v>
      </c>
      <c r="AM686" s="360">
        <f t="shared" si="33"/>
        <v>255.33999999999997</v>
      </c>
      <c r="AN686" s="455">
        <f>ERP_2[[#This Row],[2026 Working Total]]-ERP_2[[#This Row],[LE2 Final Submission]]</f>
        <v>160.28999999999996</v>
      </c>
      <c r="AO686" s="79">
        <v>0</v>
      </c>
      <c r="AP686" s="79">
        <f t="shared" si="34"/>
        <v>160.29</v>
      </c>
      <c r="AQ686" s="374">
        <f>SUM(ERP_2[[#This Row],[AP01]:[AP06]])-SUM(ERP_2[[#This Row],[AP01 LE2]:[AP06 LE2]])</f>
        <v>160.28999999999996</v>
      </c>
      <c r="AR686" s="80"/>
      <c r="AS686" s="79">
        <f>ERP_2[[#This Row],[2026 Working Total to Budget/LE]]-ERP_2[[#This Row],[Giveback]]</f>
        <v>160.28999999999996</v>
      </c>
      <c r="AT686" s="81"/>
      <c r="AU686" s="375"/>
      <c r="AV686" s="375"/>
      <c r="AW686" s="375">
        <v>95.05</v>
      </c>
      <c r="AX686" s="375">
        <v>0</v>
      </c>
      <c r="AY686" s="375">
        <v>0</v>
      </c>
      <c r="AZ686" s="375">
        <v>0</v>
      </c>
      <c r="BA686" s="375">
        <v>0</v>
      </c>
      <c r="BB686" s="375">
        <v>0</v>
      </c>
      <c r="BC686" s="375">
        <v>0</v>
      </c>
      <c r="BD686" s="375">
        <v>0</v>
      </c>
      <c r="BE686" s="375">
        <v>0</v>
      </c>
      <c r="BF686" s="375">
        <v>0</v>
      </c>
      <c r="BG686" s="375">
        <v>95.05</v>
      </c>
      <c r="BH686" s="79"/>
      <c r="BI686" s="79"/>
      <c r="BJ686" s="79">
        <v>95.05</v>
      </c>
      <c r="BK686" s="79">
        <v>0</v>
      </c>
      <c r="BL686" s="79">
        <v>0</v>
      </c>
      <c r="BM686" s="79">
        <v>0</v>
      </c>
      <c r="BN686" s="79">
        <v>0</v>
      </c>
      <c r="BO686" s="79">
        <v>0</v>
      </c>
      <c r="BP686" s="79">
        <v>0</v>
      </c>
      <c r="BQ686" s="79">
        <v>0</v>
      </c>
      <c r="BR686" s="79">
        <v>0</v>
      </c>
      <c r="BS686" s="79">
        <v>0</v>
      </c>
      <c r="BT686" s="79">
        <v>95.05</v>
      </c>
    </row>
    <row r="687" spans="1:72" ht="15" customHeight="1">
      <c r="A687" s="66" t="s">
        <v>2807</v>
      </c>
      <c r="B687" s="66" t="s">
        <v>2953</v>
      </c>
      <c r="C687" s="66" t="s">
        <v>1015</v>
      </c>
      <c r="D687" s="66" t="s">
        <v>2808</v>
      </c>
      <c r="E687" s="150" t="s">
        <v>1136</v>
      </c>
      <c r="F687" s="482" t="s">
        <v>1566</v>
      </c>
      <c r="G687" s="150" t="s">
        <v>1566</v>
      </c>
      <c r="H687" s="150" t="s">
        <v>1566</v>
      </c>
      <c r="I687" s="150" t="s">
        <v>1567</v>
      </c>
      <c r="J687" s="150" t="s">
        <v>1567</v>
      </c>
      <c r="K687" s="150" t="s">
        <v>1567</v>
      </c>
      <c r="L687" s="511" t="s">
        <v>639</v>
      </c>
      <c r="M687" s="451" t="s">
        <v>1327</v>
      </c>
      <c r="N687" s="343"/>
      <c r="O687" s="343"/>
      <c r="P687" s="70" t="s">
        <v>147</v>
      </c>
      <c r="Q687" s="346"/>
      <c r="R687" s="343"/>
      <c r="S687" s="346"/>
      <c r="T687" s="150" t="s">
        <v>25</v>
      </c>
      <c r="U687" s="150"/>
      <c r="V687" s="453"/>
      <c r="W687" s="528">
        <v>0</v>
      </c>
      <c r="X687" s="529">
        <v>-711.61</v>
      </c>
      <c r="Y687" s="425"/>
      <c r="Z687" s="425"/>
      <c r="AA687" s="427">
        <v>-0.39</v>
      </c>
      <c r="AB687" s="427">
        <v>0.11</v>
      </c>
      <c r="AC687" s="427">
        <v>-711.33</v>
      </c>
      <c r="AD687" s="428">
        <v>0</v>
      </c>
      <c r="AE687" s="429">
        <v>0</v>
      </c>
      <c r="AF687" s="429">
        <v>-0.28999999999999998</v>
      </c>
      <c r="AG687" s="360">
        <v>0</v>
      </c>
      <c r="AH687" s="360">
        <v>0</v>
      </c>
      <c r="AI687" s="360">
        <v>0</v>
      </c>
      <c r="AJ687" s="360">
        <v>0</v>
      </c>
      <c r="AK687" s="360">
        <v>0</v>
      </c>
      <c r="AL687" s="360">
        <v>0</v>
      </c>
      <c r="AM687" s="360">
        <f t="shared" si="33"/>
        <v>-711.9</v>
      </c>
      <c r="AN687" s="455">
        <f>ERP_2[[#This Row],[2026 Working Total]]-ERP_2[[#This Row],[LE2 Final Submission]]</f>
        <v>-0.28999999999996362</v>
      </c>
      <c r="AO687" s="79">
        <v>0</v>
      </c>
      <c r="AP687" s="79">
        <f t="shared" si="34"/>
        <v>-0.28999999999999998</v>
      </c>
      <c r="AQ687" s="374">
        <f>SUM(ERP_2[[#This Row],[AP01]:[AP06]])-SUM(ERP_2[[#This Row],[AP01 LE2]:[AP06 LE2]])</f>
        <v>-0.28999999999996362</v>
      </c>
      <c r="AR687" s="80"/>
      <c r="AS687" s="79">
        <f>ERP_2[[#This Row],[2026 Working Total to Budget/LE]]-ERP_2[[#This Row],[Giveback]]</f>
        <v>-0.28999999999996362</v>
      </c>
      <c r="AT687" s="81"/>
      <c r="AU687" s="375">
        <v>-0.39</v>
      </c>
      <c r="AV687" s="375">
        <v>0.11</v>
      </c>
      <c r="AW687" s="375">
        <v>-711.33</v>
      </c>
      <c r="AX687" s="375">
        <v>0</v>
      </c>
      <c r="AY687" s="375">
        <v>0</v>
      </c>
      <c r="AZ687" s="375">
        <v>0</v>
      </c>
      <c r="BA687" s="375">
        <v>0</v>
      </c>
      <c r="BB687" s="375">
        <v>0</v>
      </c>
      <c r="BC687" s="375">
        <v>0</v>
      </c>
      <c r="BD687" s="375">
        <v>0</v>
      </c>
      <c r="BE687" s="375">
        <v>0</v>
      </c>
      <c r="BF687" s="375">
        <v>0</v>
      </c>
      <c r="BG687" s="375">
        <v>-711.61</v>
      </c>
      <c r="BH687" s="79">
        <v>-0.39</v>
      </c>
      <c r="BI687" s="79">
        <v>0.11</v>
      </c>
      <c r="BJ687" s="79">
        <v>-711.33</v>
      </c>
      <c r="BK687" s="79">
        <v>0</v>
      </c>
      <c r="BL687" s="79">
        <v>0</v>
      </c>
      <c r="BM687" s="79">
        <v>0</v>
      </c>
      <c r="BN687" s="79">
        <v>0</v>
      </c>
      <c r="BO687" s="79">
        <v>0</v>
      </c>
      <c r="BP687" s="79">
        <v>0</v>
      </c>
      <c r="BQ687" s="79">
        <v>0</v>
      </c>
      <c r="BR687" s="79">
        <v>0</v>
      </c>
      <c r="BS687" s="79">
        <v>0</v>
      </c>
      <c r="BT687" s="79">
        <v>-711.61</v>
      </c>
    </row>
    <row r="688" spans="1:72" ht="15" hidden="1" customHeight="1">
      <c r="A688" s="482" t="s">
        <v>1541</v>
      </c>
      <c r="B688" s="482"/>
      <c r="C688" s="561" t="s">
        <v>292</v>
      </c>
      <c r="D688" s="83" t="s">
        <v>1542</v>
      </c>
      <c r="E688" s="482" t="s">
        <v>1136</v>
      </c>
      <c r="F688" s="482" t="s">
        <v>1566</v>
      </c>
      <c r="G688" s="482" t="s">
        <v>1566</v>
      </c>
      <c r="H688" s="482" t="s">
        <v>1566</v>
      </c>
      <c r="I688" s="482" t="s">
        <v>1345</v>
      </c>
      <c r="J688" s="482" t="s">
        <v>1346</v>
      </c>
      <c r="K688" s="490" t="s">
        <v>1346</v>
      </c>
      <c r="L688" s="514" t="s">
        <v>49</v>
      </c>
      <c r="M688" s="568" t="s">
        <v>1543</v>
      </c>
      <c r="N688" s="492" t="s">
        <v>1167</v>
      </c>
      <c r="O688" s="332" t="s">
        <v>1499</v>
      </c>
      <c r="P688" s="300" t="s">
        <v>256</v>
      </c>
      <c r="Q688" s="347"/>
      <c r="R688" s="348" t="s">
        <v>2908</v>
      </c>
      <c r="S688" s="493"/>
      <c r="T688" s="493"/>
      <c r="U688" s="493"/>
      <c r="V688" s="440"/>
      <c r="W688" s="528"/>
      <c r="X688" s="570"/>
      <c r="Y688" s="425"/>
      <c r="Z688" s="425"/>
      <c r="AA688" s="496"/>
      <c r="AB688" s="496"/>
      <c r="AC688" s="496"/>
      <c r="AD688" s="481"/>
      <c r="AE688" s="502"/>
      <c r="AF688" s="429">
        <v>62153.7</v>
      </c>
      <c r="AG688" s="497"/>
      <c r="AH688" s="497"/>
      <c r="AI688" s="497"/>
      <c r="AJ688" s="497"/>
      <c r="AK688" s="497"/>
      <c r="AL688" s="497"/>
      <c r="AM688" s="498">
        <f t="shared" si="33"/>
        <v>62153.7</v>
      </c>
      <c r="AN688" s="571">
        <f>ERP_2[[#This Row],[2026 Working Total]]-ERP_2[[#This Row],[LE2 Final Submission]]</f>
        <v>62153.7</v>
      </c>
      <c r="AO688" s="82"/>
      <c r="AP688" s="82">
        <f t="shared" si="34"/>
        <v>62153.7</v>
      </c>
      <c r="AQ688" s="374">
        <f>SUM(ERP_2[[#This Row],[AP01]:[AP06]])-SUM(ERP_2[[#This Row],[AP01 LE2]:[AP06 LE2]])</f>
        <v>62153.7</v>
      </c>
      <c r="AR688" s="80"/>
      <c r="AS688" s="79">
        <f>ERP_2[[#This Row],[2026 Working Total to Budget/LE]]-ERP_2[[#This Row],[Giveback]]</f>
        <v>62153.7</v>
      </c>
      <c r="AT688" s="81"/>
      <c r="AU688" s="375"/>
      <c r="AV688" s="375"/>
      <c r="AW688" s="375"/>
      <c r="AX688" s="375"/>
      <c r="AY688" s="375"/>
      <c r="AZ688" s="375"/>
      <c r="BA688" s="375"/>
      <c r="BB688" s="375"/>
      <c r="BC688" s="375"/>
      <c r="BD688" s="375"/>
      <c r="BE688" s="375"/>
      <c r="BF688" s="375"/>
      <c r="BG688" s="500"/>
      <c r="BH688" s="79"/>
      <c r="BI688" s="79"/>
      <c r="BJ688" s="79"/>
      <c r="BK688" s="79"/>
      <c r="BL688" s="79"/>
      <c r="BM688" s="79"/>
      <c r="BN688" s="79"/>
      <c r="BO688" s="79"/>
      <c r="BP688" s="79"/>
      <c r="BQ688" s="79"/>
      <c r="BR688" s="79"/>
      <c r="BS688" s="79"/>
      <c r="BT688" s="82"/>
    </row>
  </sheetData>
  <sheetProtection formatCells="0" formatColumns="0" formatRows="0" insertRows="0" sort="0" autoFilter="0" pivotTables="0"/>
  <phoneticPr fontId="27" type="noConversion"/>
  <conditionalFormatting sqref="C1:C1048576">
    <cfRule type="duplicateValues" dxfId="98" priority="1"/>
  </conditionalFormatting>
  <conditionalFormatting sqref="D1:D1048576">
    <cfRule type="duplicateValues" dxfId="97" priority="2"/>
  </conditionalFormatting>
  <conditionalFormatting sqref="D8:D688">
    <cfRule type="duplicateValues" dxfId="96" priority="9"/>
  </conditionalFormatting>
  <conditionalFormatting sqref="P1:P659 P677:P1048576 P661:P675">
    <cfRule type="duplicateValues" dxfId="95" priority="8"/>
  </conditionalFormatting>
  <conditionalFormatting sqref="P522:P527 P529:P533 P535:P632 P634">
    <cfRule type="duplicateValues" dxfId="94" priority="6"/>
  </conditionalFormatting>
  <conditionalFormatting sqref="P626:P632 P634">
    <cfRule type="duplicateValues" dxfId="93" priority="5"/>
  </conditionalFormatting>
  <conditionalFormatting sqref="R1:R6">
    <cfRule type="duplicateValues" dxfId="92" priority="7"/>
  </conditionalFormatting>
  <conditionalFormatting sqref="AT26:BG26">
    <cfRule type="duplicateValues" dxfId="91" priority="4"/>
  </conditionalFormatting>
  <conditionalFormatting sqref="AT291:BG291">
    <cfRule type="duplicateValues" dxfId="90" priority="3"/>
  </conditionalFormatting>
  <printOptions gridLines="1"/>
  <pageMargins left="0.511811023622047" right="0.511811023622047" top="1.37795275590551" bottom="0.98425196850393704" header="0.39370078740157499" footer="0.39370078740157499"/>
  <pageSetup fitToWidth="3" pageOrder="overThenDown" orientation="landscape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9A8F-F5C5-4E8E-BF55-7BDE9E6E6CBF}">
  <sheetPr codeName="Sheet3"/>
  <dimension ref="A3:F675"/>
  <sheetViews>
    <sheetView workbookViewId="0">
      <selection activeCell="D24" sqref="D24"/>
    </sheetView>
  </sheetViews>
  <sheetFormatPr defaultRowHeight="14.45"/>
  <cols>
    <col min="1" max="1" width="28.42578125" bestFit="1" customWidth="1"/>
    <col min="2" max="2" width="20.85546875" bestFit="1" customWidth="1"/>
    <col min="3" max="3" width="16.85546875" style="321" bestFit="1" customWidth="1"/>
    <col min="4" max="4" width="27.140625" style="321" bestFit="1" customWidth="1"/>
    <col min="5" max="5" width="26.42578125" style="321" bestFit="1" customWidth="1"/>
    <col min="6" max="6" width="38.85546875" bestFit="1" customWidth="1"/>
    <col min="7" max="7" width="15.85546875" bestFit="1" customWidth="1"/>
  </cols>
  <sheetData>
    <row r="3" spans="1:6">
      <c r="A3" s="319" t="s">
        <v>2955</v>
      </c>
      <c r="B3" t="s">
        <v>2956</v>
      </c>
      <c r="C3" s="381" t="s">
        <v>4</v>
      </c>
      <c r="D3" t="s">
        <v>5</v>
      </c>
      <c r="E3" s="381" t="s">
        <v>20</v>
      </c>
      <c r="F3" s="381" t="s">
        <v>21</v>
      </c>
    </row>
    <row r="4" spans="1:6">
      <c r="A4" s="320" t="s">
        <v>1135</v>
      </c>
      <c r="B4" s="381"/>
      <c r="C4" s="381">
        <v>53843597.399987996</v>
      </c>
      <c r="D4" s="381">
        <v>53462535.114269108</v>
      </c>
      <c r="E4" s="381">
        <v>53313801.154375441</v>
      </c>
      <c r="F4" s="381">
        <v>-148733.95989366673</v>
      </c>
    </row>
    <row r="5" spans="1:6">
      <c r="A5" s="459" t="s">
        <v>22</v>
      </c>
      <c r="B5" s="381"/>
      <c r="C5" s="381">
        <v>15481232.869999999</v>
      </c>
      <c r="D5" s="381">
        <v>15406112.624272117</v>
      </c>
      <c r="E5" s="381">
        <v>15713487.711044449</v>
      </c>
      <c r="F5" s="381">
        <v>307375.08677233197</v>
      </c>
    </row>
    <row r="6" spans="1:6">
      <c r="A6" s="459" t="s">
        <v>49</v>
      </c>
      <c r="B6" s="381"/>
      <c r="C6" s="381">
        <v>7810525.8899999997</v>
      </c>
      <c r="D6" s="381">
        <v>5398823.3999999985</v>
      </c>
      <c r="E6" s="381">
        <v>5138097.9399999995</v>
      </c>
      <c r="F6" s="381">
        <v>-260725.4599999997</v>
      </c>
    </row>
    <row r="7" spans="1:6">
      <c r="A7" s="459" t="s">
        <v>333</v>
      </c>
      <c r="B7" s="381"/>
      <c r="C7" s="381">
        <v>0</v>
      </c>
      <c r="D7" s="381">
        <v>22573.91</v>
      </c>
      <c r="E7" s="381">
        <v>23147.91</v>
      </c>
      <c r="F7" s="381">
        <v>574</v>
      </c>
    </row>
    <row r="8" spans="1:6">
      <c r="A8" s="459" t="s">
        <v>342</v>
      </c>
      <c r="B8" s="381"/>
      <c r="C8" s="381">
        <v>27225</v>
      </c>
      <c r="D8" s="381">
        <v>24610.3</v>
      </c>
      <c r="E8" s="381">
        <v>9813.6400000000012</v>
      </c>
      <c r="F8" s="381">
        <v>-14796.660000000002</v>
      </c>
    </row>
    <row r="9" spans="1:6">
      <c r="A9" s="459" t="s">
        <v>389</v>
      </c>
      <c r="B9" s="381"/>
      <c r="C9" s="381">
        <v>10811155.819995999</v>
      </c>
      <c r="D9" s="381">
        <v>12386999.92</v>
      </c>
      <c r="E9" s="381">
        <v>12343123.27</v>
      </c>
      <c r="F9" s="381">
        <v>-43876.649999999645</v>
      </c>
    </row>
    <row r="10" spans="1:6">
      <c r="A10" s="459" t="s">
        <v>602</v>
      </c>
      <c r="B10" s="381"/>
      <c r="C10" s="381">
        <v>0</v>
      </c>
      <c r="D10" s="381">
        <v>9340.2199999999993</v>
      </c>
      <c r="E10" s="381">
        <v>10139.73</v>
      </c>
      <c r="F10" s="381">
        <v>799.51000000000022</v>
      </c>
    </row>
    <row r="11" spans="1:6">
      <c r="A11" s="459" t="s">
        <v>639</v>
      </c>
      <c r="B11" s="381"/>
      <c r="C11" s="381">
        <v>19635157.819991995</v>
      </c>
      <c r="D11" s="381">
        <v>20140011.409996994</v>
      </c>
      <c r="E11" s="381">
        <v>20004642.033330996</v>
      </c>
      <c r="F11" s="381">
        <v>-135369.37666599936</v>
      </c>
    </row>
    <row r="12" spans="1:6">
      <c r="A12" s="459" t="s">
        <v>1027</v>
      </c>
      <c r="B12" s="381"/>
      <c r="C12" s="381">
        <v>78300</v>
      </c>
      <c r="D12" s="381">
        <v>66834.209999999992</v>
      </c>
      <c r="E12" s="381">
        <v>59745.229999999996</v>
      </c>
      <c r="F12" s="381">
        <v>-7088.9800000000032</v>
      </c>
    </row>
    <row r="13" spans="1:6">
      <c r="A13" s="459" t="s">
        <v>1037</v>
      </c>
      <c r="B13" s="381"/>
      <c r="C13" s="381">
        <v>0</v>
      </c>
      <c r="D13" s="381">
        <v>7229.12</v>
      </c>
      <c r="E13" s="381">
        <v>11603.69</v>
      </c>
      <c r="F13" s="381">
        <v>4374.5700000000006</v>
      </c>
    </row>
    <row r="14" spans="1:6">
      <c r="A14" s="320" t="s">
        <v>1345</v>
      </c>
      <c r="B14" s="381"/>
      <c r="C14" s="381">
        <v>47454389.280000001</v>
      </c>
      <c r="D14" s="381">
        <v>38906018.986619338</v>
      </c>
      <c r="E14" s="381">
        <v>38701223.361057289</v>
      </c>
      <c r="F14" s="381">
        <v>-204795.62556204427</v>
      </c>
    </row>
    <row r="15" spans="1:6">
      <c r="A15" s="459" t="s">
        <v>22</v>
      </c>
      <c r="B15" s="381"/>
      <c r="C15" s="381">
        <v>26302318.200000003</v>
      </c>
      <c r="D15" s="381">
        <v>21816549.886619337</v>
      </c>
      <c r="E15" s="381">
        <v>21166447.654390626</v>
      </c>
      <c r="F15" s="381">
        <v>-650102.23222871125</v>
      </c>
    </row>
    <row r="16" spans="1:6">
      <c r="A16" s="459" t="s">
        <v>49</v>
      </c>
      <c r="B16" s="381"/>
      <c r="C16" s="381">
        <v>9147798.7200000007</v>
      </c>
      <c r="D16" s="381">
        <v>6852506.0700000003</v>
      </c>
      <c r="E16" s="381">
        <v>7307406.8766666669</v>
      </c>
      <c r="F16" s="381">
        <v>454900.80666666693</v>
      </c>
    </row>
    <row r="17" spans="1:6">
      <c r="A17" s="459" t="s">
        <v>333</v>
      </c>
      <c r="B17" s="381"/>
      <c r="C17" s="381">
        <v>0</v>
      </c>
      <c r="D17" s="381">
        <v>25735.200000000001</v>
      </c>
      <c r="E17" s="381">
        <v>24644.84</v>
      </c>
      <c r="F17" s="381">
        <v>-1090.3600000000006</v>
      </c>
    </row>
    <row r="18" spans="1:6">
      <c r="A18" s="459" t="s">
        <v>342</v>
      </c>
      <c r="B18" s="381"/>
      <c r="C18" s="381">
        <v>1659</v>
      </c>
      <c r="D18" s="381">
        <v>7011.89</v>
      </c>
      <c r="E18" s="381">
        <v>13194.12</v>
      </c>
      <c r="F18" s="381">
        <v>6182.23</v>
      </c>
    </row>
    <row r="19" spans="1:6">
      <c r="A19" s="459" t="s">
        <v>389</v>
      </c>
      <c r="B19" s="381"/>
      <c r="C19" s="381">
        <v>1431298.48</v>
      </c>
      <c r="D19" s="381">
        <v>1049531.79</v>
      </c>
      <c r="E19" s="381">
        <v>1017411.1899999998</v>
      </c>
      <c r="F19" s="381">
        <v>-32120.600000000006</v>
      </c>
    </row>
    <row r="20" spans="1:6">
      <c r="A20" s="459" t="s">
        <v>602</v>
      </c>
      <c r="B20" s="381"/>
      <c r="C20" s="381">
        <v>80000</v>
      </c>
      <c r="D20" s="381">
        <v>51284.62</v>
      </c>
      <c r="E20" s="381">
        <v>52454.13</v>
      </c>
      <c r="F20" s="381">
        <v>1169.5099999999993</v>
      </c>
    </row>
    <row r="21" spans="1:6">
      <c r="A21" s="459" t="s">
        <v>625</v>
      </c>
      <c r="B21" s="381"/>
      <c r="C21" s="381">
        <v>0</v>
      </c>
      <c r="D21" s="381">
        <v>23.71</v>
      </c>
      <c r="E21" s="381">
        <v>23.71</v>
      </c>
      <c r="F21" s="381">
        <v>0</v>
      </c>
    </row>
    <row r="22" spans="1:6">
      <c r="A22" s="459" t="s">
        <v>629</v>
      </c>
      <c r="B22" s="381"/>
      <c r="C22" s="381">
        <v>17000</v>
      </c>
      <c r="D22" s="381">
        <v>25401.85</v>
      </c>
      <c r="E22" s="381">
        <v>25082.14</v>
      </c>
      <c r="F22" s="381">
        <v>-319.71000000000004</v>
      </c>
    </row>
    <row r="23" spans="1:6">
      <c r="A23" s="459" t="s">
        <v>639</v>
      </c>
      <c r="B23" s="381"/>
      <c r="C23" s="381">
        <v>10316414.879999999</v>
      </c>
      <c r="D23" s="381">
        <v>8917678.4300000016</v>
      </c>
      <c r="E23" s="381">
        <v>8938221.2599999979</v>
      </c>
      <c r="F23" s="381">
        <v>20542.829999999998</v>
      </c>
    </row>
    <row r="24" spans="1:6">
      <c r="A24" s="459" t="s">
        <v>1027</v>
      </c>
      <c r="B24" s="381"/>
      <c r="C24" s="381">
        <v>157900</v>
      </c>
      <c r="D24" s="381">
        <v>131242.29</v>
      </c>
      <c r="E24" s="381">
        <v>120835.83</v>
      </c>
      <c r="F24" s="381">
        <v>-10406.460000000003</v>
      </c>
    </row>
    <row r="25" spans="1:6">
      <c r="A25" s="459" t="s">
        <v>1037</v>
      </c>
      <c r="B25" s="381"/>
      <c r="C25" s="381">
        <v>0</v>
      </c>
      <c r="D25" s="381">
        <v>29053.250000000004</v>
      </c>
      <c r="E25" s="381">
        <v>35501.61</v>
      </c>
      <c r="F25" s="381">
        <v>6448.3600000000006</v>
      </c>
    </row>
    <row r="26" spans="1:6">
      <c r="A26" s="320" t="s">
        <v>1567</v>
      </c>
      <c r="B26" s="381"/>
      <c r="C26" s="381">
        <v>37470266.750001997</v>
      </c>
      <c r="D26" s="381">
        <v>29843942.390614115</v>
      </c>
      <c r="E26" s="381">
        <v>29734467.20439123</v>
      </c>
      <c r="F26" s="381">
        <v>-109475.18622288901</v>
      </c>
    </row>
    <row r="27" spans="1:6">
      <c r="A27" s="459" t="s">
        <v>22</v>
      </c>
      <c r="B27" s="381"/>
      <c r="C27" s="381">
        <v>1002233.2999999995</v>
      </c>
      <c r="D27" s="381">
        <v>754177.41999999993</v>
      </c>
      <c r="E27" s="381">
        <v>730799.06</v>
      </c>
      <c r="F27" s="381">
        <v>-23378.35999999987</v>
      </c>
    </row>
    <row r="28" spans="1:6">
      <c r="A28" s="459" t="s">
        <v>49</v>
      </c>
      <c r="B28" s="381"/>
      <c r="C28" s="381">
        <v>1299331.999998</v>
      </c>
      <c r="D28" s="381">
        <v>1181409.42</v>
      </c>
      <c r="E28" s="381">
        <v>1179060.2799999998</v>
      </c>
      <c r="F28" s="381">
        <v>-2349.1399999999749</v>
      </c>
    </row>
    <row r="29" spans="1:6">
      <c r="A29" s="459" t="s">
        <v>333</v>
      </c>
      <c r="B29" s="381"/>
      <c r="C29" s="381">
        <v>35158317.159999996</v>
      </c>
      <c r="D29" s="381">
        <v>34905223.813111112</v>
      </c>
      <c r="E29" s="381">
        <v>34893544.955222219</v>
      </c>
      <c r="F29" s="381">
        <v>-11678.857888889179</v>
      </c>
    </row>
    <row r="30" spans="1:6">
      <c r="A30" s="459" t="s">
        <v>342</v>
      </c>
      <c r="B30" s="381"/>
      <c r="C30" s="381">
        <v>0</v>
      </c>
      <c r="D30" s="381">
        <v>-0.23</v>
      </c>
      <c r="E30" s="381">
        <v>-13304.15</v>
      </c>
      <c r="F30" s="381">
        <v>-13303.92</v>
      </c>
    </row>
    <row r="31" spans="1:6">
      <c r="A31" s="459" t="s">
        <v>389</v>
      </c>
      <c r="B31" s="381"/>
      <c r="C31" s="381">
        <v>-278530</v>
      </c>
      <c r="D31" s="381">
        <v>-354601.96</v>
      </c>
      <c r="E31" s="381">
        <v>-368518.48</v>
      </c>
      <c r="F31" s="381">
        <v>-13916.520000000002</v>
      </c>
    </row>
    <row r="32" spans="1:6">
      <c r="A32" s="459" t="s">
        <v>602</v>
      </c>
      <c r="B32" s="381"/>
      <c r="C32" s="381">
        <v>0</v>
      </c>
      <c r="D32" s="381">
        <v>-6395484.4800000004</v>
      </c>
      <c r="E32" s="381">
        <v>-6391222.54</v>
      </c>
      <c r="F32" s="381">
        <v>4261.9400000000005</v>
      </c>
    </row>
    <row r="33" spans="1:6">
      <c r="A33" s="459" t="s">
        <v>629</v>
      </c>
      <c r="B33" s="381"/>
      <c r="C33" s="381"/>
      <c r="D33" s="381"/>
      <c r="E33" s="381">
        <v>0</v>
      </c>
      <c r="F33" s="381">
        <v>0</v>
      </c>
    </row>
    <row r="34" spans="1:6">
      <c r="A34" s="459" t="s">
        <v>639</v>
      </c>
      <c r="B34" s="381"/>
      <c r="C34" s="381">
        <v>0</v>
      </c>
      <c r="D34" s="381">
        <v>2730.13</v>
      </c>
      <c r="E34" s="381">
        <v>-4033.7400000000002</v>
      </c>
      <c r="F34" s="381">
        <v>-6763.8700000000008</v>
      </c>
    </row>
    <row r="35" spans="1:6">
      <c r="A35" s="459" t="s">
        <v>1027</v>
      </c>
      <c r="B35" s="381"/>
      <c r="C35" s="381">
        <v>3200</v>
      </c>
      <c r="D35" s="381">
        <v>4225.7900000000009</v>
      </c>
      <c r="E35" s="381">
        <v>4077.38</v>
      </c>
      <c r="F35" s="381">
        <v>-148.41000000000076</v>
      </c>
    </row>
    <row r="36" spans="1:6">
      <c r="A36" s="459" t="s">
        <v>1037</v>
      </c>
      <c r="B36" s="381"/>
      <c r="C36" s="381">
        <v>285714.29000400001</v>
      </c>
      <c r="D36" s="381">
        <v>-253737.51249699999</v>
      </c>
      <c r="E36" s="381">
        <v>-295935.56083099998</v>
      </c>
      <c r="F36" s="381">
        <v>-42198.048333999992</v>
      </c>
    </row>
    <row r="37" spans="1:6">
      <c r="A37" s="320" t="s">
        <v>1650</v>
      </c>
      <c r="B37" s="381"/>
      <c r="C37" s="381">
        <v>5084585.91</v>
      </c>
      <c r="D37" s="381">
        <v>4904072.2786933621</v>
      </c>
      <c r="E37" s="381">
        <v>4991145.5296235494</v>
      </c>
      <c r="F37" s="381">
        <v>87073.250930186594</v>
      </c>
    </row>
    <row r="38" spans="1:6">
      <c r="A38" s="459" t="s">
        <v>22</v>
      </c>
      <c r="B38" s="381"/>
      <c r="C38" s="381">
        <v>3147680.93</v>
      </c>
      <c r="D38" s="381">
        <v>3060870.8486933634</v>
      </c>
      <c r="E38" s="381">
        <v>3133836.58962355</v>
      </c>
      <c r="F38" s="381">
        <v>72965.740930186585</v>
      </c>
    </row>
    <row r="39" spans="1:6">
      <c r="A39" s="459" t="s">
        <v>49</v>
      </c>
      <c r="B39" s="381"/>
      <c r="C39" s="381">
        <v>124008</v>
      </c>
      <c r="D39" s="381">
        <v>83773.760000000009</v>
      </c>
      <c r="E39" s="381">
        <v>108433.5</v>
      </c>
      <c r="F39" s="381">
        <v>24659.739999999998</v>
      </c>
    </row>
    <row r="40" spans="1:6">
      <c r="A40" s="459" t="s">
        <v>342</v>
      </c>
      <c r="B40" s="381"/>
      <c r="C40" s="381">
        <v>0</v>
      </c>
      <c r="D40" s="381">
        <v>4383.63</v>
      </c>
      <c r="E40" s="381">
        <v>4700.1099999999997</v>
      </c>
      <c r="F40" s="381">
        <v>316.48000000000008</v>
      </c>
    </row>
    <row r="41" spans="1:6">
      <c r="A41" s="459" t="s">
        <v>389</v>
      </c>
      <c r="B41" s="381"/>
      <c r="C41" s="381">
        <v>1274196</v>
      </c>
      <c r="D41" s="381">
        <v>1181083</v>
      </c>
      <c r="E41" s="381">
        <v>1168037</v>
      </c>
      <c r="F41" s="381">
        <v>-13045.999999999982</v>
      </c>
    </row>
    <row r="42" spans="1:6">
      <c r="A42" s="459" t="s">
        <v>602</v>
      </c>
      <c r="B42" s="381"/>
      <c r="C42" s="381">
        <v>0</v>
      </c>
      <c r="D42" s="381">
        <v>28.1</v>
      </c>
      <c r="E42" s="381">
        <v>34.39</v>
      </c>
      <c r="F42" s="381">
        <v>6.2899999999999991</v>
      </c>
    </row>
    <row r="43" spans="1:6">
      <c r="A43" s="459" t="s">
        <v>639</v>
      </c>
      <c r="B43" s="381"/>
      <c r="C43" s="381">
        <v>519900.98</v>
      </c>
      <c r="D43" s="381">
        <v>540437.63</v>
      </c>
      <c r="E43" s="381">
        <v>541063.01</v>
      </c>
      <c r="F43" s="381">
        <v>625.37999999999988</v>
      </c>
    </row>
    <row r="44" spans="1:6">
      <c r="A44" s="459" t="s">
        <v>1027</v>
      </c>
      <c r="B44" s="381"/>
      <c r="C44" s="381">
        <v>18800</v>
      </c>
      <c r="D44" s="381">
        <v>15498</v>
      </c>
      <c r="E44" s="381">
        <v>15143.49</v>
      </c>
      <c r="F44" s="381">
        <v>-354.51000000000022</v>
      </c>
    </row>
    <row r="45" spans="1:6">
      <c r="A45" s="459" t="s">
        <v>1037</v>
      </c>
      <c r="B45" s="381"/>
      <c r="C45" s="381">
        <v>0</v>
      </c>
      <c r="D45" s="381">
        <v>17997.310000000001</v>
      </c>
      <c r="E45" s="381">
        <v>19897.439999999999</v>
      </c>
      <c r="F45" s="381">
        <v>1900.1299999999974</v>
      </c>
    </row>
    <row r="46" spans="1:6">
      <c r="A46" s="320" t="s">
        <v>1052</v>
      </c>
      <c r="B46" s="381"/>
      <c r="C46" s="381">
        <v>143852839.33998996</v>
      </c>
      <c r="D46" s="381">
        <v>127116568.77019592</v>
      </c>
      <c r="E46" s="381">
        <v>126740637.24944748</v>
      </c>
      <c r="F46" s="381">
        <v>-375931.52074841346</v>
      </c>
    </row>
    <row r="47" spans="1:6">
      <c r="C47"/>
      <c r="D47"/>
      <c r="E47"/>
    </row>
    <row r="48" spans="1:6">
      <c r="C48"/>
      <c r="D48"/>
      <c r="E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FEDE-6B47-4621-9AC3-563D4D91E0B8}">
  <dimension ref="A1:A11"/>
  <sheetViews>
    <sheetView workbookViewId="0">
      <selection activeCell="D29" sqref="D29"/>
    </sheetView>
  </sheetViews>
  <sheetFormatPr defaultRowHeight="14.45"/>
  <sheetData>
    <row r="1" spans="1:1">
      <c r="A1" s="483" t="s">
        <v>22</v>
      </c>
    </row>
    <row r="2" spans="1:1">
      <c r="A2" s="483" t="s">
        <v>49</v>
      </c>
    </row>
    <row r="3" spans="1:1">
      <c r="A3" s="483" t="s">
        <v>333</v>
      </c>
    </row>
    <row r="4" spans="1:1">
      <c r="A4" s="483" t="s">
        <v>342</v>
      </c>
    </row>
    <row r="5" spans="1:1">
      <c r="A5" s="483" t="s">
        <v>389</v>
      </c>
    </row>
    <row r="6" spans="1:1">
      <c r="A6" s="483" t="s">
        <v>602</v>
      </c>
    </row>
    <row r="7" spans="1:1">
      <c r="A7" s="483" t="s">
        <v>625</v>
      </c>
    </row>
    <row r="8" spans="1:1">
      <c r="A8" s="483" t="s">
        <v>629</v>
      </c>
    </row>
    <row r="9" spans="1:1">
      <c r="A9" s="483" t="s">
        <v>639</v>
      </c>
    </row>
    <row r="10" spans="1:1">
      <c r="A10" s="483" t="s">
        <v>1027</v>
      </c>
    </row>
    <row r="11" spans="1:1">
      <c r="A11" s="483" t="s">
        <v>1037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0E47-BE2E-4087-A583-C8CAD9BF1009}">
  <sheetPr codeName="Sheet5"/>
  <dimension ref="A1:BO5"/>
  <sheetViews>
    <sheetView workbookViewId="0">
      <selection activeCell="H1" sqref="H1"/>
    </sheetView>
  </sheetViews>
  <sheetFormatPr defaultRowHeight="14.45"/>
  <cols>
    <col min="1" max="1" width="8" bestFit="1" customWidth="1"/>
    <col min="2" max="2" width="8.85546875" customWidth="1"/>
    <col min="8" max="8" width="32.85546875" bestFit="1" customWidth="1"/>
    <col min="24" max="24" width="12.42578125" bestFit="1" customWidth="1"/>
    <col min="26" max="26" width="10.42578125" bestFit="1" customWidth="1"/>
  </cols>
  <sheetData>
    <row r="1" spans="1:67" ht="30.95" customHeight="1" thickBot="1">
      <c r="A1" s="49" t="s">
        <v>1067</v>
      </c>
      <c r="B1" s="49" t="s">
        <v>1</v>
      </c>
      <c r="C1" s="50" t="s">
        <v>1072</v>
      </c>
      <c r="D1" s="49" t="s">
        <v>1073</v>
      </c>
      <c r="E1" s="51" t="s">
        <v>1074</v>
      </c>
      <c r="F1" s="49" t="s">
        <v>1075</v>
      </c>
      <c r="G1" s="52" t="s">
        <v>0</v>
      </c>
      <c r="H1" s="53" t="s">
        <v>1076</v>
      </c>
      <c r="I1" s="324" t="s">
        <v>1077</v>
      </c>
      <c r="J1" s="444" t="s">
        <v>1078</v>
      </c>
      <c r="K1" s="49" t="s">
        <v>2</v>
      </c>
      <c r="L1" s="49" t="s">
        <v>1079</v>
      </c>
      <c r="M1" s="323" t="s">
        <v>1080</v>
      </c>
      <c r="N1" s="54" t="s">
        <v>1081</v>
      </c>
      <c r="O1" s="54" t="s">
        <v>3</v>
      </c>
      <c r="P1" s="54" t="s">
        <v>1082</v>
      </c>
      <c r="Q1" s="422" t="s">
        <v>1083</v>
      </c>
      <c r="R1" s="423" t="s">
        <v>1084</v>
      </c>
      <c r="S1" s="423" t="s">
        <v>1085</v>
      </c>
      <c r="T1" s="55" t="s">
        <v>1086</v>
      </c>
      <c r="U1" s="55" t="s">
        <v>1087</v>
      </c>
      <c r="V1" s="57" t="s">
        <v>1088</v>
      </c>
      <c r="W1" s="49" t="s">
        <v>1089</v>
      </c>
      <c r="X1" s="49" t="s">
        <v>1090</v>
      </c>
      <c r="Y1" s="424" t="s">
        <v>1091</v>
      </c>
      <c r="Z1" s="59" t="s">
        <v>1092</v>
      </c>
      <c r="AA1" s="59" t="s">
        <v>1093</v>
      </c>
      <c r="AB1" s="58" t="s">
        <v>1061</v>
      </c>
      <c r="AC1" s="59" t="s">
        <v>1094</v>
      </c>
      <c r="AD1" s="59" t="s">
        <v>1095</v>
      </c>
      <c r="AE1" s="58" t="s">
        <v>1096</v>
      </c>
      <c r="AF1" s="59" t="s">
        <v>1097</v>
      </c>
      <c r="AG1" s="60" t="s">
        <v>1098</v>
      </c>
      <c r="AH1" s="61" t="s">
        <v>1099</v>
      </c>
      <c r="AI1" s="62" t="s">
        <v>1100</v>
      </c>
      <c r="AJ1" s="63" t="s">
        <v>1101</v>
      </c>
      <c r="AK1" s="63" t="s">
        <v>1102</v>
      </c>
      <c r="AL1" s="329" t="s">
        <v>1103</v>
      </c>
      <c r="AM1" s="64" t="s">
        <v>1104</v>
      </c>
      <c r="AN1" s="63" t="s">
        <v>1105</v>
      </c>
      <c r="AO1" s="64" t="s">
        <v>1106</v>
      </c>
      <c r="AP1" s="441" t="s">
        <v>1107</v>
      </c>
      <c r="AQ1" s="441" t="s">
        <v>1108</v>
      </c>
      <c r="AR1" s="441" t="s">
        <v>1109</v>
      </c>
      <c r="AS1" s="441" t="s">
        <v>1110</v>
      </c>
      <c r="AT1" s="441" t="s">
        <v>1111</v>
      </c>
      <c r="AU1" s="441" t="s">
        <v>1112</v>
      </c>
      <c r="AV1" s="441" t="s">
        <v>1113</v>
      </c>
      <c r="AW1" s="441" t="s">
        <v>1114</v>
      </c>
      <c r="AX1" s="441" t="s">
        <v>1115</v>
      </c>
      <c r="AY1" s="441" t="s">
        <v>1116</v>
      </c>
      <c r="AZ1" s="441" t="s">
        <v>1117</v>
      </c>
      <c r="BA1" s="441" t="s">
        <v>1118</v>
      </c>
      <c r="BB1" s="441" t="s">
        <v>1119</v>
      </c>
      <c r="BC1" s="442" t="s">
        <v>1120</v>
      </c>
      <c r="BD1" s="442" t="s">
        <v>1121</v>
      </c>
      <c r="BE1" s="442" t="s">
        <v>1122</v>
      </c>
      <c r="BF1" s="442" t="s">
        <v>1123</v>
      </c>
      <c r="BG1" s="442" t="s">
        <v>1124</v>
      </c>
      <c r="BH1" s="442" t="s">
        <v>1125</v>
      </c>
      <c r="BI1" s="442" t="s">
        <v>1126</v>
      </c>
      <c r="BJ1" s="442" t="s">
        <v>1127</v>
      </c>
      <c r="BK1" s="442" t="s">
        <v>1128</v>
      </c>
      <c r="BL1" s="442" t="s">
        <v>1129</v>
      </c>
      <c r="BM1" s="442" t="s">
        <v>1130</v>
      </c>
      <c r="BN1" s="442" t="s">
        <v>1131</v>
      </c>
      <c r="BO1" s="442" t="s">
        <v>1132</v>
      </c>
    </row>
    <row r="2" spans="1:67">
      <c r="A2" t="s">
        <v>2977</v>
      </c>
      <c r="B2" t="s">
        <v>523</v>
      </c>
      <c r="C2" t="s">
        <v>1136</v>
      </c>
      <c r="D2" t="s">
        <v>1345</v>
      </c>
      <c r="E2" t="s">
        <v>1345</v>
      </c>
      <c r="G2" t="s">
        <v>389</v>
      </c>
      <c r="H2" t="s">
        <v>2668</v>
      </c>
      <c r="K2" t="s">
        <v>53</v>
      </c>
      <c r="P2" t="s">
        <v>1700</v>
      </c>
      <c r="S2">
        <v>0</v>
      </c>
      <c r="X2" s="315"/>
      <c r="Y2" s="315"/>
      <c r="Z2" s="315">
        <v>-7780</v>
      </c>
      <c r="AH2">
        <v>-7780</v>
      </c>
      <c r="AI2">
        <v>-7780</v>
      </c>
      <c r="AL2">
        <v>-7780</v>
      </c>
      <c r="AN2">
        <v>-7780</v>
      </c>
      <c r="AS2">
        <v>7780</v>
      </c>
      <c r="AT2">
        <v>-7780</v>
      </c>
      <c r="BB2">
        <v>0</v>
      </c>
    </row>
    <row r="3" spans="1:67">
      <c r="A3" t="s">
        <v>2974</v>
      </c>
      <c r="B3" t="s">
        <v>52</v>
      </c>
      <c r="C3" t="s">
        <v>1136</v>
      </c>
      <c r="D3" t="s">
        <v>1135</v>
      </c>
      <c r="E3" t="s">
        <v>1135</v>
      </c>
      <c r="G3" t="s">
        <v>49</v>
      </c>
      <c r="H3" t="s">
        <v>2668</v>
      </c>
      <c r="K3" t="s">
        <v>53</v>
      </c>
      <c r="P3" t="s">
        <v>1700</v>
      </c>
      <c r="S3">
        <v>0</v>
      </c>
      <c r="X3" s="315">
        <v>-237411</v>
      </c>
      <c r="Y3" s="315"/>
      <c r="Z3" s="315"/>
      <c r="AF3">
        <v>-237411</v>
      </c>
      <c r="AG3">
        <v>-237411</v>
      </c>
      <c r="AJ3">
        <v>-237411</v>
      </c>
      <c r="AL3">
        <v>-237411</v>
      </c>
      <c r="AQ3">
        <v>237411</v>
      </c>
      <c r="AR3">
        <v>-237411</v>
      </c>
      <c r="AZ3">
        <v>0</v>
      </c>
    </row>
    <row r="4" spans="1:67">
      <c r="A4" t="s">
        <v>2976</v>
      </c>
      <c r="B4" t="s">
        <v>324</v>
      </c>
      <c r="C4" t="s">
        <v>1136</v>
      </c>
      <c r="D4" t="s">
        <v>1650</v>
      </c>
      <c r="E4" t="s">
        <v>1650</v>
      </c>
      <c r="G4" t="s">
        <v>49</v>
      </c>
      <c r="H4" t="s">
        <v>2668</v>
      </c>
      <c r="K4" t="s">
        <v>53</v>
      </c>
      <c r="P4" t="s">
        <v>1700</v>
      </c>
      <c r="S4">
        <v>0</v>
      </c>
      <c r="X4" s="315">
        <v>-28331</v>
      </c>
      <c r="Y4" s="315"/>
      <c r="Z4" s="315"/>
      <c r="AF4">
        <v>-28331</v>
      </c>
      <c r="AG4">
        <v>-28331</v>
      </c>
      <c r="AJ4">
        <v>-28331</v>
      </c>
      <c r="AL4">
        <v>-28331</v>
      </c>
      <c r="AQ4">
        <v>28331</v>
      </c>
      <c r="AR4">
        <v>-28331</v>
      </c>
      <c r="AZ4">
        <v>0</v>
      </c>
    </row>
    <row r="5" spans="1:67">
      <c r="A5" t="s">
        <v>2975</v>
      </c>
      <c r="B5" t="s">
        <v>198</v>
      </c>
      <c r="C5" t="s">
        <v>1136</v>
      </c>
      <c r="D5" t="s">
        <v>1345</v>
      </c>
      <c r="E5" t="s">
        <v>1345</v>
      </c>
      <c r="G5" t="s">
        <v>49</v>
      </c>
      <c r="H5" t="s">
        <v>2668</v>
      </c>
      <c r="K5" t="s">
        <v>53</v>
      </c>
      <c r="P5" t="s">
        <v>1700</v>
      </c>
      <c r="S5">
        <v>0</v>
      </c>
      <c r="X5" s="315">
        <v>-715490</v>
      </c>
      <c r="Y5" s="315"/>
      <c r="Z5" s="315"/>
      <c r="AF5">
        <v>-715490</v>
      </c>
      <c r="AG5">
        <v>-715490</v>
      </c>
      <c r="AJ5">
        <v>-715490</v>
      </c>
      <c r="AL5">
        <v>-715490</v>
      </c>
      <c r="AQ5">
        <v>715490</v>
      </c>
      <c r="AR5">
        <v>-715490</v>
      </c>
      <c r="AZ5">
        <v>0</v>
      </c>
    </row>
  </sheetData>
  <conditionalFormatting sqref="B1">
    <cfRule type="duplicateValues" dxfId="11" priority="1"/>
    <cfRule type="duplicateValues" dxfId="10" priority="2"/>
  </conditionalFormatting>
  <conditionalFormatting sqref="K1">
    <cfRule type="duplicateValues" dxfId="9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C964-5333-40C7-9469-9C3DA4BEB1C3}">
  <dimension ref="A1:L702"/>
  <sheetViews>
    <sheetView topLeftCell="E1" workbookViewId="0">
      <selection activeCell="E8" sqref="E8"/>
    </sheetView>
  </sheetViews>
  <sheetFormatPr defaultRowHeight="14.45"/>
  <cols>
    <col min="1" max="1" width="17" customWidth="1"/>
    <col min="2" max="2" width="17.5703125" bestFit="1" customWidth="1"/>
    <col min="3" max="3" width="23.42578125" bestFit="1" customWidth="1"/>
    <col min="4" max="4" width="24.5703125" bestFit="1" customWidth="1"/>
    <col min="5" max="5" width="179.85546875" bestFit="1" customWidth="1"/>
    <col min="6" max="6" width="18.42578125" customWidth="1"/>
    <col min="7" max="7" width="34.85546875" bestFit="1" customWidth="1"/>
    <col min="8" max="8" width="11.5703125" bestFit="1" customWidth="1"/>
    <col min="9" max="9" width="11.140625" bestFit="1" customWidth="1"/>
    <col min="10" max="10" width="12.85546875" bestFit="1" customWidth="1"/>
    <col min="11" max="11" width="14.85546875" bestFit="1" customWidth="1"/>
    <col min="12" max="12" width="19" bestFit="1" customWidth="1"/>
  </cols>
  <sheetData>
    <row r="1" spans="1:12" ht="18.600000000000001">
      <c r="A1" s="484" t="s">
        <v>2983</v>
      </c>
    </row>
    <row r="2" spans="1:12">
      <c r="A2" s="485" t="s">
        <v>2984</v>
      </c>
    </row>
    <row r="3" spans="1:12">
      <c r="A3" s="489" t="s">
        <v>2985</v>
      </c>
    </row>
    <row r="5" spans="1:12">
      <c r="A5" s="486" t="s">
        <v>1067</v>
      </c>
      <c r="B5" s="486" t="s">
        <v>1073</v>
      </c>
      <c r="C5" s="486" t="s">
        <v>1074</v>
      </c>
      <c r="D5" s="486" t="s">
        <v>0</v>
      </c>
      <c r="E5" s="486" t="s">
        <v>1076</v>
      </c>
      <c r="F5" s="486" t="s">
        <v>1077</v>
      </c>
      <c r="G5" s="486" t="s">
        <v>2</v>
      </c>
      <c r="H5" s="486" t="s">
        <v>2986</v>
      </c>
      <c r="I5" s="486" t="s">
        <v>2987</v>
      </c>
      <c r="J5" s="486" t="s">
        <v>1062</v>
      </c>
      <c r="K5" s="486" t="s">
        <v>2988</v>
      </c>
      <c r="L5" s="486" t="s">
        <v>2989</v>
      </c>
    </row>
    <row r="6" spans="1:12">
      <c r="A6" t="str">
        <f>'ERP_AP7 Macro Failed'!A8</f>
        <v>L-ERP-059</v>
      </c>
      <c r="B6" t="str">
        <f>'ERP_AP7 Macro Failed'!D8</f>
        <v>Dougherty, Chris</v>
      </c>
      <c r="C6" t="str">
        <f>'ERP_AP7 Macro Failed'!E8</f>
        <v>Dougherty, Chris</v>
      </c>
      <c r="D6" t="str">
        <f>'ERP_AP7 Macro Failed'!G8</f>
        <v>SOFTWARE</v>
      </c>
      <c r="E6" t="str">
        <f>'ERP_AP7 Macro Failed'!H8</f>
        <v>Serialization - SAP ATTP License - Software maintenance (on-premise)</v>
      </c>
      <c r="F6">
        <f>'ERP_AP7 Macro Failed'!I8</f>
        <v>0</v>
      </c>
      <c r="G6" t="str">
        <f>'ERP_AP7 Macro Failed'!K8</f>
        <v>2026-XFR-0007-A</v>
      </c>
      <c r="H6" s="487" t="e" cm="1">
        <f t="array" ref="H6">SUMPRODUCT((ERP[UID]=A6)*(ERP[AP01]+ERP[AP02]+ERP[AP03]+ERP[AP04]+ERP[AP05]))</f>
        <v>#VALUE!</v>
      </c>
      <c r="I6" s="487" cm="1">
        <f t="array" ref="I6">SUMPRODUCT((ERP[UID]=A6)*(ERP[AP01 LE2]+ERP[AP02 LE2]+ERP[AP03 LE2]+ERP[AP04 LE2]+ERP[AP05 LE2]))</f>
        <v>17244.16</v>
      </c>
      <c r="J6" s="487">
        <f>'ERP_AP7 Macro Failed'!AL8</f>
        <v>-25866.239999999998</v>
      </c>
      <c r="K6" t="str">
        <f t="shared" ref="K6:K69" si="0">IF(ABS(J6)&gt;=10000,"MATERIAL",IF(ABS(J6)&gt;=1000,"Minor","Immaterial"))</f>
        <v>MATERIAL</v>
      </c>
      <c r="L6" t="str">
        <f t="shared" ref="L6:L69" si="1">IF(ABS(J6)&gt;=10000,"YES","No")</f>
        <v>YES</v>
      </c>
    </row>
    <row r="7" spans="1:12">
      <c r="A7" t="str">
        <f>'ERP_AP7 Macro Failed'!A9</f>
        <v>N-ERP-613</v>
      </c>
      <c r="B7" t="str">
        <f>'ERP_AP7 Macro Failed'!D9</f>
        <v>Dougherty, Chris</v>
      </c>
      <c r="C7" t="str">
        <f>'ERP_AP7 Macro Failed'!E9</f>
        <v>Tamavada, Ram</v>
      </c>
      <c r="D7" t="str">
        <f>'ERP_AP7 Macro Failed'!G9</f>
        <v>MANAGED SERVICES</v>
      </c>
      <c r="E7" t="str">
        <f>'ERP_AP7 Macro Failed'!H9</f>
        <v>SAP Fieldglass Vendor Management System Implementation: - Application/Platform support and maintenance</v>
      </c>
      <c r="F7">
        <f>'ERP_AP7 Macro Failed'!I9</f>
        <v>0</v>
      </c>
      <c r="G7" t="str">
        <f>'ERP_AP7 Macro Failed'!K9</f>
        <v>2026-XFR-0008-B</v>
      </c>
      <c r="H7" s="487" t="e" cm="1">
        <f t="array" ref="H7">SUMPRODUCT((ERP[UID]=A7)*(ERP[AP01]+ERP[AP02]+ERP[AP03]+ERP[AP04]+ERP[AP05]))</f>
        <v>#VALUE!</v>
      </c>
      <c r="I7" s="487" cm="1">
        <f t="array" ref="I7">SUMPRODUCT((ERP[UID]=A7)*(ERP[AP01 LE2]+ERP[AP02 LE2]+ERP[AP03 LE2]+ERP[AP04 LE2]+ERP[AP05 LE2]))</f>
        <v>0</v>
      </c>
      <c r="J7" s="487">
        <f>'ERP_AP7 Macro Failed'!AL9</f>
        <v>0</v>
      </c>
      <c r="K7" t="str">
        <f t="shared" si="0"/>
        <v>Immaterial</v>
      </c>
      <c r="L7" t="str">
        <f t="shared" si="1"/>
        <v>No</v>
      </c>
    </row>
    <row r="8" spans="1:12">
      <c r="A8" t="str">
        <f>'ERP_AP7 Macro Failed'!A10</f>
        <v>L-ERP-060</v>
      </c>
      <c r="B8" t="str">
        <f>'ERP_AP7 Macro Failed'!D10</f>
        <v>Dougherty, Chris</v>
      </c>
      <c r="C8" t="str">
        <f>'ERP_AP7 Macro Failed'!E10</f>
        <v>Dougherty, Chris</v>
      </c>
      <c r="D8" t="str">
        <f>'ERP_AP7 Macro Failed'!G10</f>
        <v>SOFTWARE</v>
      </c>
      <c r="E8" t="str">
        <f>'ERP_AP7 Macro Failed'!H10</f>
        <v>Serialization - SAP ICH License - SAP ICH regulatory collaboration and Regulatory reporting services</v>
      </c>
      <c r="F8">
        <f>'ERP_AP7 Macro Failed'!I10</f>
        <v>0</v>
      </c>
      <c r="G8" t="str">
        <f>'ERP_AP7 Macro Failed'!K10</f>
        <v>2026-XFR-0013-A</v>
      </c>
      <c r="H8" s="487" t="e" cm="1">
        <f t="array" ref="H8">SUMPRODUCT((ERP[UID]=A8)*(ERP[AP01]+ERP[AP02]+ERP[AP03]+ERP[AP04]+ERP[AP05]))</f>
        <v>#VALUE!</v>
      </c>
      <c r="I8" s="487" cm="1">
        <f t="array" ref="I8">SUMPRODUCT((ERP[UID]=A8)*(ERP[AP01 LE2]+ERP[AP02 LE2]+ERP[AP03 LE2]+ERP[AP04 LE2]+ERP[AP05 LE2]))</f>
        <v>0</v>
      </c>
      <c r="J8" s="487">
        <f>'ERP_AP7 Macro Failed'!AL10</f>
        <v>0</v>
      </c>
      <c r="K8" t="str">
        <f t="shared" si="0"/>
        <v>Immaterial</v>
      </c>
      <c r="L8" t="str">
        <f t="shared" si="1"/>
        <v>No</v>
      </c>
    </row>
    <row r="9" spans="1:12">
      <c r="A9" t="str">
        <f>'ERP_AP7 Macro Failed'!A11</f>
        <v>L-ERP-565</v>
      </c>
      <c r="B9" t="str">
        <f>'ERP_AP7 Macro Failed'!D11</f>
        <v>Hase, Raj</v>
      </c>
      <c r="C9" t="str">
        <f>'ERP_AP7 Macro Failed'!E11</f>
        <v>Yeluri, Durga</v>
      </c>
      <c r="D9" t="str">
        <f>'ERP_AP7 Macro Failed'!G11</f>
        <v>MANAGED SERVICES</v>
      </c>
      <c r="E9" t="str">
        <f>'ERP_AP7 Macro Failed'!H11</f>
        <v>Cash Flow Automation Project - Cash Flow Functionality for: SAP S/4 HANA ($51,120); Celonis ($35,000)</v>
      </c>
      <c r="F9">
        <f>'ERP_AP7 Macro Failed'!I11</f>
        <v>0</v>
      </c>
      <c r="G9" t="str">
        <f>'ERP_AP7 Macro Failed'!K11</f>
        <v>2026-XFR-0014-A</v>
      </c>
      <c r="H9" s="487" t="e" cm="1">
        <f t="array" ref="H9">SUMPRODUCT((ERP[UID]=A9)*(ERP[AP01]+ERP[AP02]+ERP[AP03]+ERP[AP04]+ERP[AP05]))</f>
        <v>#VALUE!</v>
      </c>
      <c r="I9" s="487" cm="1">
        <f t="array" ref="I9">SUMPRODUCT((ERP[UID]=A9)*(ERP[AP01 LE2]+ERP[AP02 LE2]+ERP[AP03 LE2]+ERP[AP04 LE2]+ERP[AP05 LE2]))</f>
        <v>0</v>
      </c>
      <c r="J9" s="487">
        <f>'ERP_AP7 Macro Failed'!AL11</f>
        <v>0</v>
      </c>
      <c r="K9" t="str">
        <f t="shared" si="0"/>
        <v>Immaterial</v>
      </c>
      <c r="L9" t="str">
        <f t="shared" si="1"/>
        <v>No</v>
      </c>
    </row>
    <row r="10" spans="1:12">
      <c r="A10" t="str">
        <f>'ERP_AP7 Macro Failed'!A12</f>
        <v>L-ERP-568</v>
      </c>
      <c r="B10" t="str">
        <f>'ERP_AP7 Macro Failed'!D12</f>
        <v>Hase, Raj</v>
      </c>
      <c r="C10" t="str">
        <f>'ERP_AP7 Macro Failed'!E12</f>
        <v>Yeluri, Durga</v>
      </c>
      <c r="D10" t="str">
        <f>'ERP_AP7 Macro Failed'!G12</f>
        <v>SOFTWARE</v>
      </c>
      <c r="E10" t="str">
        <f>'ERP_AP7 Macro Failed'!H12</f>
        <v>Cash Flow Automation Project - Software License cost for SAP Analytics on Cloud (included as part of SAP S/4 HANA FSA)</v>
      </c>
      <c r="F10">
        <f>'ERP_AP7 Macro Failed'!I12</f>
        <v>0</v>
      </c>
      <c r="G10" t="str">
        <f>'ERP_AP7 Macro Failed'!K12</f>
        <v>2026-XFR-0014-B</v>
      </c>
      <c r="H10" s="487" t="e" cm="1">
        <f t="array" ref="H10">SUMPRODUCT((ERP[UID]=A10)*(ERP[AP01]+ERP[AP02]+ERP[AP03]+ERP[AP04]+ERP[AP05]))</f>
        <v>#VALUE!</v>
      </c>
      <c r="I10" s="487" cm="1">
        <f t="array" ref="I10">SUMPRODUCT((ERP[UID]=A10)*(ERP[AP01 LE2]+ERP[AP02 LE2]+ERP[AP03 LE2]+ERP[AP04 LE2]+ERP[AP05 LE2]))</f>
        <v>0</v>
      </c>
      <c r="J10" s="487">
        <f>'ERP_AP7 Macro Failed'!AL12</f>
        <v>0</v>
      </c>
      <c r="K10" t="str">
        <f t="shared" si="0"/>
        <v>Immaterial</v>
      </c>
      <c r="L10" t="str">
        <f t="shared" si="1"/>
        <v>No</v>
      </c>
    </row>
    <row r="11" spans="1:12">
      <c r="A11" t="str">
        <f>'ERP_AP7 Macro Failed'!A13</f>
        <v>L-ERP-177</v>
      </c>
      <c r="B11" t="str">
        <f>'ERP_AP7 Macro Failed'!D13</f>
        <v>Hase, Raj</v>
      </c>
      <c r="C11" t="str">
        <f>'ERP_AP7 Macro Failed'!E13</f>
        <v>Hase, Raj</v>
      </c>
      <c r="D11" t="str">
        <f>'ERP_AP7 Macro Failed'!G13</f>
        <v>SOFTWARE</v>
      </c>
      <c r="E11" t="str">
        <f>'ERP_AP7 Macro Failed'!H13</f>
        <v>Brazil Tax Reform and SAP GRC Replacement - SAP Document and Risk Compliance Cloud Subscription</v>
      </c>
      <c r="F11">
        <f>'ERP_AP7 Macro Failed'!I13</f>
        <v>0</v>
      </c>
      <c r="G11" t="str">
        <f>'ERP_AP7 Macro Failed'!K13</f>
        <v>2026-XFR-0015-A</v>
      </c>
      <c r="H11" s="487" t="e" cm="1">
        <f t="array" ref="H11">SUMPRODUCT((ERP[UID]=A11)*(ERP[AP01]+ERP[AP02]+ERP[AP03]+ERP[AP04]+ERP[AP05]))</f>
        <v>#VALUE!</v>
      </c>
      <c r="I11" s="487" cm="1">
        <f t="array" ref="I11">SUMPRODUCT((ERP[UID]=A11)*(ERP[AP01 LE2]+ERP[AP02 LE2]+ERP[AP03 LE2]+ERP[AP04 LE2]+ERP[AP05 LE2]))</f>
        <v>0</v>
      </c>
      <c r="J11" s="487">
        <f>'ERP_AP7 Macro Failed'!AL13</f>
        <v>0</v>
      </c>
      <c r="K11" t="str">
        <f t="shared" si="0"/>
        <v>Immaterial</v>
      </c>
      <c r="L11" t="str">
        <f t="shared" si="1"/>
        <v>No</v>
      </c>
    </row>
    <row r="12" spans="1:12">
      <c r="A12" t="str">
        <f>'ERP_AP7 Macro Failed'!A14</f>
        <v>L-ERP-061</v>
      </c>
      <c r="B12" t="str">
        <f>'ERP_AP7 Macro Failed'!D14</f>
        <v>Dougherty, Chris</v>
      </c>
      <c r="C12" t="str">
        <f>'ERP_AP7 Macro Failed'!E14</f>
        <v>Dougherty, Chris</v>
      </c>
      <c r="D12" t="str">
        <f>'ERP_AP7 Macro Failed'!G14</f>
        <v>SOFTWARE</v>
      </c>
      <c r="E12" t="str">
        <f>'ERP_AP7 Macro Failed'!H14</f>
        <v>Dedicated US PRIME Commerce Cloud - SAP Licenses</v>
      </c>
      <c r="F12">
        <f>'ERP_AP7 Macro Failed'!I14</f>
        <v>0</v>
      </c>
      <c r="G12" t="str">
        <f>'ERP_AP7 Macro Failed'!K14</f>
        <v>2026-XFR-0017-A</v>
      </c>
      <c r="H12" s="487" t="e" cm="1">
        <f t="array" ref="H12">SUMPRODUCT((ERP[UID]=A12)*(ERP[AP01]+ERP[AP02]+ERP[AP03]+ERP[AP04]+ERP[AP05]))</f>
        <v>#VALUE!</v>
      </c>
      <c r="I12" s="487" cm="1">
        <f t="array" ref="I12">SUMPRODUCT((ERP[UID]=A12)*(ERP[AP01 LE2]+ERP[AP02 LE2]+ERP[AP03 LE2]+ERP[AP04 LE2]+ERP[AP05 LE2]))</f>
        <v>0</v>
      </c>
      <c r="J12" s="487">
        <f>'ERP_AP7 Macro Failed'!AL14</f>
        <v>-650000</v>
      </c>
      <c r="K12" t="str">
        <f t="shared" si="0"/>
        <v>MATERIAL</v>
      </c>
      <c r="L12" t="str">
        <f t="shared" si="1"/>
        <v>YES</v>
      </c>
    </row>
    <row r="13" spans="1:12">
      <c r="A13" t="str">
        <f>'ERP_AP7 Macro Failed'!A15</f>
        <v>N-ERP-571</v>
      </c>
      <c r="B13" t="str">
        <f>'ERP_AP7 Macro Failed'!D15</f>
        <v>Hase, Raj</v>
      </c>
      <c r="C13" t="str">
        <f>'ERP_AP7 Macro Failed'!E15</f>
        <v>Hovanyetz, Mike</v>
      </c>
      <c r="D13" t="str">
        <f>'ERP_AP7 Macro Failed'!G15</f>
        <v>SOFTWARE</v>
      </c>
      <c r="E13" t="str">
        <f>'ERP_AP7 Macro Failed'!H15</f>
        <v>Dedicated US PRIME Commerce Cloud - SAP Licenses</v>
      </c>
      <c r="F13">
        <f>'ERP_AP7 Macro Failed'!I15</f>
        <v>0</v>
      </c>
      <c r="G13" t="str">
        <f>'ERP_AP7 Macro Failed'!K15</f>
        <v>2026-XFR-0017-A</v>
      </c>
      <c r="H13" s="487" t="e" cm="1">
        <f t="array" ref="H13">SUMPRODUCT((ERP[UID]=A13)*(ERP[AP01]+ERP[AP02]+ERP[AP03]+ERP[AP04]+ERP[AP05]))</f>
        <v>#VALUE!</v>
      </c>
      <c r="I13" s="487" cm="1">
        <f t="array" ref="I13">SUMPRODUCT((ERP[UID]=A13)*(ERP[AP01 LE2]+ERP[AP02 LE2]+ERP[AP03 LE2]+ERP[AP04 LE2]+ERP[AP05 LE2]))</f>
        <v>0</v>
      </c>
      <c r="J13" s="487">
        <f>'ERP_AP7 Macro Failed'!AL15</f>
        <v>0</v>
      </c>
      <c r="K13" t="str">
        <f t="shared" si="0"/>
        <v>Immaterial</v>
      </c>
      <c r="L13" t="str">
        <f t="shared" si="1"/>
        <v>No</v>
      </c>
    </row>
    <row r="14" spans="1:12">
      <c r="A14" t="str">
        <f>'ERP_AP7 Macro Failed'!A16</f>
        <v>L-ERP-062</v>
      </c>
      <c r="B14" t="str">
        <f>'ERP_AP7 Macro Failed'!D16</f>
        <v>Dougherty, Chris</v>
      </c>
      <c r="C14" t="str">
        <f>'ERP_AP7 Macro Failed'!E16</f>
        <v>Dougherty, Chris</v>
      </c>
      <c r="D14" t="str">
        <f>'ERP_AP7 Macro Failed'!G16</f>
        <v>SOFTWARE</v>
      </c>
      <c r="E14" t="str">
        <f>'ERP_AP7 Macro Failed'!H16</f>
        <v>Dedicated US PRIME Commerce Cloud - Middleware</v>
      </c>
      <c r="F14">
        <f>'ERP_AP7 Macro Failed'!I16</f>
        <v>0</v>
      </c>
      <c r="G14" t="str">
        <f>'ERP_AP7 Macro Failed'!K16</f>
        <v>2026-XFR-0017-B</v>
      </c>
      <c r="H14" s="487" t="e" cm="1">
        <f t="array" ref="H14">SUMPRODUCT((ERP[UID]=A14)*(ERP[AP01]+ERP[AP02]+ERP[AP03]+ERP[AP04]+ERP[AP05]))</f>
        <v>#VALUE!</v>
      </c>
      <c r="I14" s="487" cm="1">
        <f t="array" ref="I14">SUMPRODUCT((ERP[UID]=A14)*(ERP[AP01 LE2]+ERP[AP02 LE2]+ERP[AP03 LE2]+ERP[AP04 LE2]+ERP[AP05 LE2]))</f>
        <v>0</v>
      </c>
      <c r="J14" s="487">
        <f>'ERP_AP7 Macro Failed'!AL16</f>
        <v>-300000</v>
      </c>
      <c r="K14" t="str">
        <f t="shared" si="0"/>
        <v>MATERIAL</v>
      </c>
      <c r="L14" t="str">
        <f t="shared" si="1"/>
        <v>YES</v>
      </c>
    </row>
    <row r="15" spans="1:12">
      <c r="A15" t="str">
        <f>'ERP_AP7 Macro Failed'!A17</f>
        <v>N-ERP-572</v>
      </c>
      <c r="B15" t="str">
        <f>'ERP_AP7 Macro Failed'!D17</f>
        <v>Hase, Raj</v>
      </c>
      <c r="C15" t="str">
        <f>'ERP_AP7 Macro Failed'!E17</f>
        <v>Hovanyetz, Mike</v>
      </c>
      <c r="D15" t="str">
        <f>'ERP_AP7 Macro Failed'!G17</f>
        <v>SOFTWARE</v>
      </c>
      <c r="E15" t="str">
        <f>'ERP_AP7 Macro Failed'!H17</f>
        <v>Dedicated US PRIME Commerce Cloud - Middleware</v>
      </c>
      <c r="F15">
        <f>'ERP_AP7 Macro Failed'!I17</f>
        <v>0</v>
      </c>
      <c r="G15" t="str">
        <f>'ERP_AP7 Macro Failed'!K17</f>
        <v>2026-XFR-0017-B</v>
      </c>
      <c r="H15" s="487" t="e" cm="1">
        <f t="array" ref="H15">SUMPRODUCT((ERP[UID]=A15)*(ERP[AP01]+ERP[AP02]+ERP[AP03]+ERP[AP04]+ERP[AP05]))</f>
        <v>#VALUE!</v>
      </c>
      <c r="I15" s="487" cm="1">
        <f t="array" ref="I15">SUMPRODUCT((ERP[UID]=A15)*(ERP[AP01 LE2]+ERP[AP02 LE2]+ERP[AP03 LE2]+ERP[AP04 LE2]+ERP[AP05 LE2]))</f>
        <v>0</v>
      </c>
      <c r="J15" s="487">
        <f>'ERP_AP7 Macro Failed'!AL17</f>
        <v>0</v>
      </c>
      <c r="K15" t="str">
        <f t="shared" si="0"/>
        <v>Immaterial</v>
      </c>
      <c r="L15" t="str">
        <f t="shared" si="1"/>
        <v>No</v>
      </c>
    </row>
    <row r="16" spans="1:12">
      <c r="A16" t="str">
        <f>'ERP_AP7 Macro Failed'!A18</f>
        <v>L-ERP-502</v>
      </c>
      <c r="B16" t="str">
        <f>'ERP_AP7 Macro Failed'!D18</f>
        <v>Dougherty, Chris</v>
      </c>
      <c r="C16" t="str">
        <f>'ERP_AP7 Macro Failed'!E18</f>
        <v>Tamavada, Ram</v>
      </c>
      <c r="D16" t="str">
        <f>'ERP_AP7 Macro Failed'!G18</f>
        <v>MANAGED SERVICES</v>
      </c>
      <c r="E16" t="str">
        <f>'ERP_AP7 Macro Failed'!H18</f>
        <v>Dedicated US PRIME Commerce Cloud - US Prime Cloud Support</v>
      </c>
      <c r="F16">
        <f>'ERP_AP7 Macro Failed'!I18</f>
        <v>0</v>
      </c>
      <c r="G16" t="str">
        <f>'ERP_AP7 Macro Failed'!K18</f>
        <v>2026-XFR-0017-C</v>
      </c>
      <c r="H16" s="487" t="e" cm="1">
        <f t="array" ref="H16">SUMPRODUCT((ERP[UID]=A16)*(ERP[AP01]+ERP[AP02]+ERP[AP03]+ERP[AP04]+ERP[AP05]))</f>
        <v>#VALUE!</v>
      </c>
      <c r="I16" s="487" cm="1">
        <f t="array" ref="I16">SUMPRODUCT((ERP[UID]=A16)*(ERP[AP01 LE2]+ERP[AP02 LE2]+ERP[AP03 LE2]+ERP[AP04 LE2]+ERP[AP05 LE2]))</f>
        <v>25000</v>
      </c>
      <c r="J16" s="487">
        <f>'ERP_AP7 Macro Failed'!AL18</f>
        <v>-37500</v>
      </c>
      <c r="K16" t="str">
        <f t="shared" si="0"/>
        <v>MATERIAL</v>
      </c>
      <c r="L16" t="str">
        <f t="shared" si="1"/>
        <v>YES</v>
      </c>
    </row>
    <row r="17" spans="1:12">
      <c r="A17" t="str">
        <f>'ERP_AP7 Macro Failed'!A19</f>
        <v>N-ERP-568</v>
      </c>
      <c r="B17" t="str">
        <f>'ERP_AP7 Macro Failed'!D19</f>
        <v>Hase, Raj</v>
      </c>
      <c r="C17" t="str">
        <f>'ERP_AP7 Macro Failed'!E19</f>
        <v>Hovanyetz, Mike</v>
      </c>
      <c r="D17" t="str">
        <f>'ERP_AP7 Macro Failed'!G19</f>
        <v>MANAGED SERVICES</v>
      </c>
      <c r="E17" t="str">
        <f>'ERP_AP7 Macro Failed'!H19</f>
        <v>Dedicated US PRIME Commerce Cloud - US Prime Cloud Support</v>
      </c>
      <c r="F17">
        <f>'ERP_AP7 Macro Failed'!I19</f>
        <v>0</v>
      </c>
      <c r="G17" t="str">
        <f>'ERP_AP7 Macro Failed'!K19</f>
        <v>2026-XFR-0017-C</v>
      </c>
      <c r="H17" s="487" t="e" cm="1">
        <f t="array" ref="H17">SUMPRODUCT((ERP[UID]=A17)*(ERP[AP01]+ERP[AP02]+ERP[AP03]+ERP[AP04]+ERP[AP05]))</f>
        <v>#VALUE!</v>
      </c>
      <c r="I17" s="487" cm="1">
        <f t="array" ref="I17">SUMPRODUCT((ERP[UID]=A17)*(ERP[AP01 LE2]+ERP[AP02 LE2]+ERP[AP03 LE2]+ERP[AP04 LE2]+ERP[AP05 LE2]))</f>
        <v>0</v>
      </c>
      <c r="J17" s="487">
        <f>'ERP_AP7 Macro Failed'!AL19</f>
        <v>0</v>
      </c>
      <c r="K17" t="str">
        <f t="shared" si="0"/>
        <v>Immaterial</v>
      </c>
      <c r="L17" t="str">
        <f t="shared" si="1"/>
        <v>No</v>
      </c>
    </row>
    <row r="18" spans="1:12">
      <c r="A18" t="str">
        <f>'ERP_AP7 Macro Failed'!A20</f>
        <v>L-ERP-503</v>
      </c>
      <c r="B18" t="str">
        <f>'ERP_AP7 Macro Failed'!D20</f>
        <v>Dougherty, Chris</v>
      </c>
      <c r="C18" t="str">
        <f>'ERP_AP7 Macro Failed'!E20</f>
        <v>Tamavada, Ram</v>
      </c>
      <c r="D18" t="str">
        <f>'ERP_AP7 Macro Failed'!G20</f>
        <v>MANAGED SERVICES</v>
      </c>
      <c r="E18" t="str">
        <f>'ERP_AP7 Macro Failed'!H20</f>
        <v>Dedicated US PRIME Commerce Cloud - ACES/Inmar Support</v>
      </c>
      <c r="F18">
        <f>'ERP_AP7 Macro Failed'!I20</f>
        <v>0</v>
      </c>
      <c r="G18" t="str">
        <f>'ERP_AP7 Macro Failed'!K20</f>
        <v>2026-XFR-0017-D</v>
      </c>
      <c r="H18" s="487" t="e" cm="1">
        <f t="array" ref="H18">SUMPRODUCT((ERP[UID]=A18)*(ERP[AP01]+ERP[AP02]+ERP[AP03]+ERP[AP04]+ERP[AP05]))</f>
        <v>#VALUE!</v>
      </c>
      <c r="I18" s="487" cm="1">
        <f t="array" ref="I18">SUMPRODUCT((ERP[UID]=A18)*(ERP[AP01 LE2]+ERP[AP02 LE2]+ERP[AP03 LE2]+ERP[AP04 LE2]+ERP[AP05 LE2]))</f>
        <v>20000</v>
      </c>
      <c r="J18" s="487">
        <f>'ERP_AP7 Macro Failed'!AL20</f>
        <v>-30000</v>
      </c>
      <c r="K18" t="str">
        <f t="shared" si="0"/>
        <v>MATERIAL</v>
      </c>
      <c r="L18" t="str">
        <f t="shared" si="1"/>
        <v>YES</v>
      </c>
    </row>
    <row r="19" spans="1:12">
      <c r="A19" t="str">
        <f>'ERP_AP7 Macro Failed'!A21</f>
        <v>N-ERP-569</v>
      </c>
      <c r="B19" t="str">
        <f>'ERP_AP7 Macro Failed'!D21</f>
        <v>Hase, Raj</v>
      </c>
      <c r="C19" t="str">
        <f>'ERP_AP7 Macro Failed'!E21</f>
        <v>Hovanyetz, Mike</v>
      </c>
      <c r="D19" t="str">
        <f>'ERP_AP7 Macro Failed'!G21</f>
        <v>MANAGED SERVICES</v>
      </c>
      <c r="E19" t="str">
        <f>'ERP_AP7 Macro Failed'!H21</f>
        <v>Dedicated US PRIME Commerce Cloud - ACES/Inmar Support</v>
      </c>
      <c r="F19">
        <f>'ERP_AP7 Macro Failed'!I21</f>
        <v>0</v>
      </c>
      <c r="G19" t="str">
        <f>'ERP_AP7 Macro Failed'!K21</f>
        <v>2026-XFR-0017-D</v>
      </c>
      <c r="H19" s="487" t="e" cm="1">
        <f t="array" ref="H19">SUMPRODUCT((ERP[UID]=A19)*(ERP[AP01]+ERP[AP02]+ERP[AP03]+ERP[AP04]+ERP[AP05]))</f>
        <v>#VALUE!</v>
      </c>
      <c r="I19" s="487" cm="1">
        <f t="array" ref="I19">SUMPRODUCT((ERP[UID]=A19)*(ERP[AP01 LE2]+ERP[AP02 LE2]+ERP[AP03 LE2]+ERP[AP04 LE2]+ERP[AP05 LE2]))</f>
        <v>0</v>
      </c>
      <c r="J19" s="487">
        <f>'ERP_AP7 Macro Failed'!AL21</f>
        <v>0</v>
      </c>
      <c r="K19" t="str">
        <f t="shared" si="0"/>
        <v>Immaterial</v>
      </c>
      <c r="L19" t="str">
        <f t="shared" si="1"/>
        <v>No</v>
      </c>
    </row>
    <row r="20" spans="1:12">
      <c r="A20" t="str">
        <f>'ERP_AP7 Macro Failed'!A22</f>
        <v>L-ERP-505</v>
      </c>
      <c r="B20" t="str">
        <f>'ERP_AP7 Macro Failed'!D22</f>
        <v>Dougherty, Chris</v>
      </c>
      <c r="C20" t="str">
        <f>'ERP_AP7 Macro Failed'!E22</f>
        <v>Tamavada, Ram</v>
      </c>
      <c r="D20" t="str">
        <f>'ERP_AP7 Macro Failed'!G22</f>
        <v>MANAGED SERVICES</v>
      </c>
      <c r="E20" t="str">
        <f>'ERP_AP7 Macro Failed'!H22</f>
        <v>IBM: SAP Prime Global Customer Experience - IBM AMS support costs - SAP Commerce Cloud Prime GCx</v>
      </c>
      <c r="F20">
        <f>'ERP_AP7 Macro Failed'!I22</f>
        <v>0</v>
      </c>
      <c r="G20" t="str">
        <f>'ERP_AP7 Macro Failed'!K22</f>
        <v>2026-XFR-0020-A</v>
      </c>
      <c r="H20" s="487" t="e" cm="1">
        <f t="array" ref="H20">SUMPRODUCT((ERP[UID]=A20)*(ERP[AP01]+ERP[AP02]+ERP[AP03]+ERP[AP04]+ERP[AP05]))</f>
        <v>#VALUE!</v>
      </c>
      <c r="I20" s="487" cm="1">
        <f t="array" ref="I20">SUMPRODUCT((ERP[UID]=A20)*(ERP[AP01 LE2]+ERP[AP02 LE2]+ERP[AP03 LE2]+ERP[AP04 LE2]+ERP[AP05 LE2]))</f>
        <v>12500</v>
      </c>
      <c r="J20" s="487">
        <f>'ERP_AP7 Macro Failed'!AL22</f>
        <v>-18750</v>
      </c>
      <c r="K20" t="str">
        <f t="shared" si="0"/>
        <v>MATERIAL</v>
      </c>
      <c r="L20" t="str">
        <f t="shared" si="1"/>
        <v>YES</v>
      </c>
    </row>
    <row r="21" spans="1:12">
      <c r="A21" t="str">
        <f>'ERP_AP7 Macro Failed'!A23</f>
        <v>N-ERP-570</v>
      </c>
      <c r="B21" t="str">
        <f>'ERP_AP7 Macro Failed'!D23</f>
        <v>Hase, Raj</v>
      </c>
      <c r="C21" t="str">
        <f>'ERP_AP7 Macro Failed'!E23</f>
        <v>Hovanyetz, Mike</v>
      </c>
      <c r="D21" t="str">
        <f>'ERP_AP7 Macro Failed'!G23</f>
        <v>MANAGED SERVICES</v>
      </c>
      <c r="E21" t="str">
        <f>'ERP_AP7 Macro Failed'!H23</f>
        <v>SAP Prime Global Customer Experience - IBM BTAMS support costs - SAP Commerce Cloud Prime GCx</v>
      </c>
      <c r="F21">
        <f>'ERP_AP7 Macro Failed'!I23</f>
        <v>0</v>
      </c>
      <c r="G21" t="str">
        <f>'ERP_AP7 Macro Failed'!K23</f>
        <v>2026-XFR-0020-A</v>
      </c>
      <c r="H21" s="487" t="e" cm="1">
        <f t="array" ref="H21">SUMPRODUCT((ERP[UID]=A21)*(ERP[AP01]+ERP[AP02]+ERP[AP03]+ERP[AP04]+ERP[AP05]))</f>
        <v>#VALUE!</v>
      </c>
      <c r="I21" s="487" cm="1">
        <f t="array" ref="I21">SUMPRODUCT((ERP[UID]=A21)*(ERP[AP01 LE2]+ERP[AP02 LE2]+ERP[AP03 LE2]+ERP[AP04 LE2]+ERP[AP05 LE2]))</f>
        <v>0</v>
      </c>
      <c r="J21" s="487">
        <f>'ERP_AP7 Macro Failed'!AL23</f>
        <v>0</v>
      </c>
      <c r="K21" t="str">
        <f t="shared" si="0"/>
        <v>Immaterial</v>
      </c>
      <c r="L21" t="str">
        <f t="shared" si="1"/>
        <v>No</v>
      </c>
    </row>
    <row r="22" spans="1:12">
      <c r="A22" t="str">
        <f>'ERP_AP7 Macro Failed'!A24</f>
        <v>N-ERP-557</v>
      </c>
      <c r="B22" t="str">
        <f>'ERP_AP7 Macro Failed'!D24</f>
        <v>Hase, Raj</v>
      </c>
      <c r="C22" t="str">
        <f>'ERP_AP7 Macro Failed'!E24</f>
        <v>Ganesan, Srinivasan</v>
      </c>
      <c r="D22" t="str">
        <f>'ERP_AP7 Macro Failed'!G24</f>
        <v>CONTRACTORS</v>
      </c>
      <c r="E22" t="str">
        <f>'ERP_AP7 Macro Failed'!H24</f>
        <v>GSC AMER - Last Mile Strategy - Delivery Milestones &amp; Dashboards - 50% One offshore contractor; New Global Capability. Only 0.5FTE requested for support. Eventually, will be transferred to BTAMS</v>
      </c>
      <c r="F22">
        <f>'ERP_AP7 Macro Failed'!I24</f>
        <v>0</v>
      </c>
      <c r="G22" t="str">
        <f>'ERP_AP7 Macro Failed'!K24</f>
        <v>2026-XFR-0023-A</v>
      </c>
      <c r="H22" s="487" t="e" cm="1">
        <f t="array" ref="H22">SUMPRODUCT((ERP[UID]=A22)*(ERP[AP01]+ERP[AP02]+ERP[AP03]+ERP[AP04]+ERP[AP05]))</f>
        <v>#VALUE!</v>
      </c>
      <c r="I22" s="487" cm="1">
        <f t="array" ref="I22">SUMPRODUCT((ERP[UID]=A22)*(ERP[AP01 LE2]+ERP[AP02 LE2]+ERP[AP03 LE2]+ERP[AP04 LE2]+ERP[AP05 LE2]))</f>
        <v>0</v>
      </c>
      <c r="J22" s="487">
        <f>'ERP_AP7 Macro Failed'!AL24</f>
        <v>0</v>
      </c>
      <c r="K22" t="str">
        <f t="shared" si="0"/>
        <v>Immaterial</v>
      </c>
      <c r="L22" t="str">
        <f t="shared" si="1"/>
        <v>No</v>
      </c>
    </row>
    <row r="23" spans="1:12">
      <c r="A23" t="str">
        <f>'ERP_AP7 Macro Failed'!A25</f>
        <v>N-ERP-558</v>
      </c>
      <c r="B23" t="str">
        <f>'ERP_AP7 Macro Failed'!D25</f>
        <v>Hase, Raj</v>
      </c>
      <c r="C23" t="str">
        <f>'ERP_AP7 Macro Failed'!E25</f>
        <v>Ganesan, Srinivasan</v>
      </c>
      <c r="D23" t="str">
        <f>'ERP_AP7 Macro Failed'!G25</f>
        <v>CONTRACTORS</v>
      </c>
      <c r="E23" t="str">
        <f>'ERP_AP7 Macro Failed'!H25</f>
        <v>GSC AMER: MIRT Replacement - Phase II and deploy to other markets - 1 Offshore contractor. New capability for Late repackaging. This is a solution resource.</v>
      </c>
      <c r="F23">
        <f>'ERP_AP7 Macro Failed'!I25</f>
        <v>0</v>
      </c>
      <c r="G23" t="str">
        <f>'ERP_AP7 Macro Failed'!K25</f>
        <v>2026-XFR-0024-A</v>
      </c>
      <c r="H23" s="487" t="e" cm="1">
        <f t="array" ref="H23">SUMPRODUCT((ERP[UID]=A23)*(ERP[AP01]+ERP[AP02]+ERP[AP03]+ERP[AP04]+ERP[AP05]))</f>
        <v>#VALUE!</v>
      </c>
      <c r="I23" s="487" cm="1">
        <f t="array" ref="I23">SUMPRODUCT((ERP[UID]=A23)*(ERP[AP01 LE2]+ERP[AP02 LE2]+ERP[AP03 LE2]+ERP[AP04 LE2]+ERP[AP05 LE2]))</f>
        <v>0</v>
      </c>
      <c r="J23" s="487">
        <f>'ERP_AP7 Macro Failed'!AL25</f>
        <v>0</v>
      </c>
      <c r="K23" t="str">
        <f t="shared" si="0"/>
        <v>Immaterial</v>
      </c>
      <c r="L23" t="str">
        <f t="shared" si="1"/>
        <v>No</v>
      </c>
    </row>
    <row r="24" spans="1:12">
      <c r="A24" t="str">
        <f>'ERP_AP7 Macro Failed'!A26</f>
        <v>N-ERP-576</v>
      </c>
      <c r="B24" t="str">
        <f>'ERP_AP7 Macro Failed'!D26</f>
        <v>Hase, Raj</v>
      </c>
      <c r="C24" t="str">
        <f>'ERP_AP7 Macro Failed'!E26</f>
        <v>Jajodia, Amit</v>
      </c>
      <c r="D24" t="str">
        <f>'ERP_AP7 Macro Failed'!G26</f>
        <v>CONTRACTORS</v>
      </c>
      <c r="E24" t="str">
        <f>'ERP_AP7 Macro Failed'!H26</f>
        <v>External Supply 2025 SCC Supply Chain Collaboration - DP &amp; SCC Solutions / Sustaining lifecycle Resources - Consultants. Deferred from 2025 to 2026, agreed with Susan - XFR0953</v>
      </c>
      <c r="F24">
        <f>'ERP_AP7 Macro Failed'!I26</f>
        <v>0</v>
      </c>
      <c r="G24" t="str">
        <f>'ERP_AP7 Macro Failed'!K26</f>
        <v>2026-XFR-0028-A</v>
      </c>
      <c r="H24" s="487" t="e" cm="1">
        <f t="array" ref="H24">SUMPRODUCT((ERP[UID]=A24)*(ERP[AP01]+ERP[AP02]+ERP[AP03]+ERP[AP04]+ERP[AP05]))</f>
        <v>#VALUE!</v>
      </c>
      <c r="I24" s="487" cm="1">
        <f t="array" ref="I24">SUMPRODUCT((ERP[UID]=A24)*(ERP[AP01 LE2]+ERP[AP02 LE2]+ERP[AP03 LE2]+ERP[AP04 LE2]+ERP[AP05 LE2]))</f>
        <v>0</v>
      </c>
      <c r="J24" s="487">
        <f>'ERP_AP7 Macro Failed'!AL26</f>
        <v>0</v>
      </c>
      <c r="K24" t="str">
        <f t="shared" si="0"/>
        <v>Immaterial</v>
      </c>
      <c r="L24" t="str">
        <f t="shared" si="1"/>
        <v>No</v>
      </c>
    </row>
    <row r="25" spans="1:12">
      <c r="A25" t="str">
        <f>'ERP_AP7 Macro Failed'!A27</f>
        <v>L-ERP-228</v>
      </c>
      <c r="B25" t="str">
        <f>'ERP_AP7 Macro Failed'!D27</f>
        <v>Hase, Raj</v>
      </c>
      <c r="C25" t="str">
        <f>'ERP_AP7 Macro Failed'!E27</f>
        <v>Jajodia, Amit</v>
      </c>
      <c r="D25" t="str">
        <f>'ERP_AP7 Macro Failed'!G27</f>
        <v>SOFTWARE</v>
      </c>
      <c r="E25" t="str">
        <f>'ERP_AP7 Macro Failed'!H27</f>
        <v>SAP Extended Warehouse Management for Vizag - SAP EWM (advanced Licenses) Need starting 2026</v>
      </c>
      <c r="F25">
        <f>'ERP_AP7 Macro Failed'!I27</f>
        <v>0</v>
      </c>
      <c r="G25" t="str">
        <f>'ERP_AP7 Macro Failed'!K27</f>
        <v>2026-XFR-0032-A</v>
      </c>
      <c r="H25" s="487" t="e" cm="1">
        <f t="array" ref="H25">SUMPRODUCT((ERP[UID]=A25)*(ERP[AP01]+ERP[AP02]+ERP[AP03]+ERP[AP04]+ERP[AP05]))</f>
        <v>#VALUE!</v>
      </c>
      <c r="I25" s="487" cm="1">
        <f t="array" ref="I25">SUMPRODUCT((ERP[UID]=A25)*(ERP[AP01 LE2]+ERP[AP02 LE2]+ERP[AP03 LE2]+ERP[AP04 LE2]+ERP[AP05 LE2]))</f>
        <v>3000</v>
      </c>
      <c r="J25" s="487">
        <f>'ERP_AP7 Macro Failed'!AL27</f>
        <v>-4500</v>
      </c>
      <c r="K25" t="str">
        <f t="shared" si="0"/>
        <v>Minor</v>
      </c>
      <c r="L25" t="str">
        <f t="shared" si="1"/>
        <v>No</v>
      </c>
    </row>
    <row r="26" spans="1:12">
      <c r="A26" t="str">
        <f>'ERP_AP7 Macro Failed'!A28</f>
        <v>L-ERP-566</v>
      </c>
      <c r="B26" t="str">
        <f>'ERP_AP7 Macro Failed'!D28</f>
        <v>Hase, Raj</v>
      </c>
      <c r="C26" t="str">
        <f>'ERP_AP7 Macro Failed'!E28</f>
        <v>Yeluri, Durga</v>
      </c>
      <c r="D26" t="str">
        <f>'ERP_AP7 Macro Failed'!G28</f>
        <v>MANAGED SERVICES</v>
      </c>
      <c r="E26" t="str">
        <f>'ERP_AP7 Macro Failed'!H28</f>
        <v>GSC Cx: Cost to Serve - Cost to Transport - BTAMS support costs</v>
      </c>
      <c r="F26">
        <f>'ERP_AP7 Macro Failed'!I28</f>
        <v>0</v>
      </c>
      <c r="G26" t="str">
        <f>'ERP_AP7 Macro Failed'!K28</f>
        <v>2026-XFR-0033-A</v>
      </c>
      <c r="H26" s="487" t="e" cm="1">
        <f t="array" ref="H26">SUMPRODUCT((ERP[UID]=A26)*(ERP[AP01]+ERP[AP02]+ERP[AP03]+ERP[AP04]+ERP[AP05]))</f>
        <v>#VALUE!</v>
      </c>
      <c r="I26" s="487" cm="1">
        <f t="array" ref="I26">SUMPRODUCT((ERP[UID]=A26)*(ERP[AP01 LE2]+ERP[AP02 LE2]+ERP[AP03 LE2]+ERP[AP04 LE2]+ERP[AP05 LE2]))</f>
        <v>0</v>
      </c>
      <c r="J26" s="487">
        <f>'ERP_AP7 Macro Failed'!AL28</f>
        <v>0</v>
      </c>
      <c r="K26" t="str">
        <f t="shared" si="0"/>
        <v>Immaterial</v>
      </c>
      <c r="L26" t="str">
        <f t="shared" si="1"/>
        <v>No</v>
      </c>
    </row>
    <row r="27" spans="1:12">
      <c r="A27" t="str">
        <f>'ERP_AP7 Macro Failed'!A29</f>
        <v>L-ERP-063</v>
      </c>
      <c r="B27" t="str">
        <f>'ERP_AP7 Macro Failed'!D29</f>
        <v>Dougherty, Chris</v>
      </c>
      <c r="C27" t="str">
        <f>'ERP_AP7 Macro Failed'!E29</f>
        <v>Dougherty, Chris</v>
      </c>
      <c r="D27" t="str">
        <f>'ERP_AP7 Macro Failed'!G29</f>
        <v>SOFTWARE</v>
      </c>
      <c r="E27" t="str">
        <f>'ERP_AP7 Macro Failed'!H29</f>
        <v>GLNS E2E Global Import Broker Integration - OpenText server storage costs for archived documents added to OpenText every year</v>
      </c>
      <c r="F27">
        <f>'ERP_AP7 Macro Failed'!I29</f>
        <v>0</v>
      </c>
      <c r="G27" t="str">
        <f>'ERP_AP7 Macro Failed'!K29</f>
        <v>2026-XFR-0034-A</v>
      </c>
      <c r="H27" s="487" t="e" cm="1">
        <f t="array" ref="H27">SUMPRODUCT((ERP[UID]=A27)*(ERP[AP01]+ERP[AP02]+ERP[AP03]+ERP[AP04]+ERP[AP05]))</f>
        <v>#VALUE!</v>
      </c>
      <c r="I27" s="487" cm="1">
        <f t="array" ref="I27">SUMPRODUCT((ERP[UID]=A27)*(ERP[AP01 LE2]+ERP[AP02 LE2]+ERP[AP03 LE2]+ERP[AP04 LE2]+ERP[AP05 LE2]))</f>
        <v>550</v>
      </c>
      <c r="J27" s="487">
        <f>'ERP_AP7 Macro Failed'!AL29</f>
        <v>-825</v>
      </c>
      <c r="K27" t="str">
        <f t="shared" si="0"/>
        <v>Immaterial</v>
      </c>
      <c r="L27" t="str">
        <f t="shared" si="1"/>
        <v>No</v>
      </c>
    </row>
    <row r="28" spans="1:12">
      <c r="A28" t="str">
        <f>'ERP_AP7 Macro Failed'!A30</f>
        <v>N-ERP-573</v>
      </c>
      <c r="B28" t="str">
        <f>'ERP_AP7 Macro Failed'!D30</f>
        <v>Hase, Raj</v>
      </c>
      <c r="C28" t="str">
        <f>'ERP_AP7 Macro Failed'!E30</f>
        <v>Hovanyetz, Mike</v>
      </c>
      <c r="D28" t="str">
        <f>'ERP_AP7 Macro Failed'!G30</f>
        <v>SOFTWARE</v>
      </c>
      <c r="E28" t="str">
        <f>'ERP_AP7 Macro Failed'!H30</f>
        <v>GLNS E2E Global Import Broker Integration - OpenText server storage costs for archived documents added to OpenText every year</v>
      </c>
      <c r="F28">
        <f>'ERP_AP7 Macro Failed'!I30</f>
        <v>0</v>
      </c>
      <c r="G28" t="str">
        <f>'ERP_AP7 Macro Failed'!K30</f>
        <v>2026-XFR-0034-A</v>
      </c>
      <c r="H28" s="487" t="e" cm="1">
        <f t="array" ref="H28">SUMPRODUCT((ERP[UID]=A28)*(ERP[AP01]+ERP[AP02]+ERP[AP03]+ERP[AP04]+ERP[AP05]))</f>
        <v>#VALUE!</v>
      </c>
      <c r="I28" s="487" cm="1">
        <f t="array" ref="I28">SUMPRODUCT((ERP[UID]=A28)*(ERP[AP01 LE2]+ERP[AP02 LE2]+ERP[AP03 LE2]+ERP[AP04 LE2]+ERP[AP05 LE2]))</f>
        <v>0</v>
      </c>
      <c r="J28" s="487">
        <f>'ERP_AP7 Macro Failed'!AL30</f>
        <v>0</v>
      </c>
      <c r="K28" t="str">
        <f t="shared" si="0"/>
        <v>Immaterial</v>
      </c>
      <c r="L28" t="str">
        <f t="shared" si="1"/>
        <v>No</v>
      </c>
    </row>
    <row r="29" spans="1:12">
      <c r="A29" t="str">
        <f>'ERP_AP7 Macro Failed'!A31</f>
        <v>L-ERP-567</v>
      </c>
      <c r="B29" t="str">
        <f>'ERP_AP7 Macro Failed'!D31</f>
        <v>Hase, Raj</v>
      </c>
      <c r="C29" t="str">
        <f>'ERP_AP7 Macro Failed'!E31</f>
        <v>Yeluri, Durga</v>
      </c>
      <c r="D29" t="str">
        <f>'ERP_AP7 Macro Failed'!G31</f>
        <v>MANAGED SERVICES</v>
      </c>
      <c r="E29" t="str">
        <f>'ERP_AP7 Macro Failed'!H31</f>
        <v>ESG: Migration of GLNS Calculations from Tableau - BTAMS support costs</v>
      </c>
      <c r="F29">
        <f>'ERP_AP7 Macro Failed'!I31</f>
        <v>0</v>
      </c>
      <c r="G29" t="str">
        <f>'ERP_AP7 Macro Failed'!K31</f>
        <v>2026-XFR-0035-A</v>
      </c>
      <c r="H29" s="487" t="e" cm="1">
        <f t="array" ref="H29">SUMPRODUCT((ERP[UID]=A29)*(ERP[AP01]+ERP[AP02]+ERP[AP03]+ERP[AP04]+ERP[AP05]))</f>
        <v>#VALUE!</v>
      </c>
      <c r="I29" s="487" cm="1">
        <f t="array" ref="I29">SUMPRODUCT((ERP[UID]=A29)*(ERP[AP01 LE2]+ERP[AP02 LE2]+ERP[AP03 LE2]+ERP[AP04 LE2]+ERP[AP05 LE2]))</f>
        <v>0</v>
      </c>
      <c r="J29" s="487">
        <f>'ERP_AP7 Macro Failed'!AL31</f>
        <v>0</v>
      </c>
      <c r="K29" t="str">
        <f t="shared" si="0"/>
        <v>Immaterial</v>
      </c>
      <c r="L29" t="str">
        <f t="shared" si="1"/>
        <v>No</v>
      </c>
    </row>
    <row r="30" spans="1:12">
      <c r="A30" t="str">
        <f>'ERP_AP7 Macro Failed'!A32</f>
        <v>L-ERP-504</v>
      </c>
      <c r="B30" t="str">
        <f>'ERP_AP7 Macro Failed'!D32</f>
        <v>Dougherty, Chris</v>
      </c>
      <c r="C30" t="str">
        <f>'ERP_AP7 Macro Failed'!E32</f>
        <v>Tamavada, Ram</v>
      </c>
      <c r="D30" t="str">
        <f>'ERP_AP7 Macro Failed'!G32</f>
        <v>SOFTWARE</v>
      </c>
      <c r="E30" t="str">
        <f>'ERP_AP7 Macro Failed'!H32</f>
        <v>2026 L-SGN Budget Transfer for incremental ERP Costs - Budget transfer for Oracle EBS Software License Costs</v>
      </c>
      <c r="F30">
        <f>'ERP_AP7 Macro Failed'!I32</f>
        <v>0</v>
      </c>
      <c r="G30" t="str">
        <f>'ERP_AP7 Macro Failed'!K32</f>
        <v>2026-XFR-0036-A</v>
      </c>
      <c r="H30" s="487" t="e" cm="1">
        <f t="array" ref="H30">SUMPRODUCT((ERP[UID]=A30)*(ERP[AP01]+ERP[AP02]+ERP[AP03]+ERP[AP04]+ERP[AP05]))</f>
        <v>#VALUE!</v>
      </c>
      <c r="I30" s="487" cm="1">
        <f t="array" ref="I30">SUMPRODUCT((ERP[UID]=A30)*(ERP[AP01 LE2]+ERP[AP02 LE2]+ERP[AP03 LE2]+ERP[AP04 LE2]+ERP[AP05 LE2]))</f>
        <v>-118715.37</v>
      </c>
      <c r="J30" s="487">
        <f>'ERP_AP7 Macro Failed'!AL32</f>
        <v>0</v>
      </c>
      <c r="K30" t="str">
        <f t="shared" si="0"/>
        <v>Immaterial</v>
      </c>
      <c r="L30" t="str">
        <f t="shared" si="1"/>
        <v>No</v>
      </c>
    </row>
    <row r="31" spans="1:12">
      <c r="A31" t="str">
        <f>'ERP_AP7 Macro Failed'!A33</f>
        <v>N-ERP-559</v>
      </c>
      <c r="B31" t="str">
        <f>'ERP_AP7 Macro Failed'!D33</f>
        <v>Hase, Raj</v>
      </c>
      <c r="C31" t="str">
        <f>'ERP_AP7 Macro Failed'!E33</f>
        <v>Ganesan, Srinivasan</v>
      </c>
      <c r="D31" t="str">
        <f>'ERP_AP7 Macro Failed'!G33</f>
        <v>CONTRACTORS</v>
      </c>
      <c r="E31" t="str">
        <f>'ERP_AP7 Macro Failed'!H33</f>
        <v>GSC GLNS ALC Redressing - 50% One offshore contractor; New Global Capability. Only 0.5FTE requested for support. Eventually, will be transferred to BTAMS</v>
      </c>
      <c r="F31">
        <f>'ERP_AP7 Macro Failed'!I33</f>
        <v>0</v>
      </c>
      <c r="G31" t="str">
        <f>'ERP_AP7 Macro Failed'!K33</f>
        <v>2026-XFR-0043-A</v>
      </c>
      <c r="H31" s="487" t="e" cm="1">
        <f t="array" ref="H31">SUMPRODUCT((ERP[UID]=A31)*(ERP[AP01]+ERP[AP02]+ERP[AP03]+ERP[AP04]+ERP[AP05]))</f>
        <v>#VALUE!</v>
      </c>
      <c r="I31" s="487" cm="1">
        <f t="array" ref="I31">SUMPRODUCT((ERP[UID]=A31)*(ERP[AP01 LE2]+ERP[AP02 LE2]+ERP[AP03 LE2]+ERP[AP04 LE2]+ERP[AP05 LE2]))</f>
        <v>0</v>
      </c>
      <c r="J31" s="487">
        <f>'ERP_AP7 Macro Failed'!AL33</f>
        <v>0</v>
      </c>
      <c r="K31" t="str">
        <f t="shared" si="0"/>
        <v>Immaterial</v>
      </c>
      <c r="L31" t="str">
        <f t="shared" si="1"/>
        <v>No</v>
      </c>
    </row>
    <row r="32" spans="1:12">
      <c r="A32" t="str">
        <f>'ERP_AP7 Macro Failed'!A34</f>
        <v>L-ERP-227</v>
      </c>
      <c r="B32" t="str">
        <f>'ERP_AP7 Macro Failed'!D34</f>
        <v>Hase, Raj</v>
      </c>
      <c r="C32" t="str">
        <f>'ERP_AP7 Macro Failed'!E34</f>
        <v>Jajodia, Amit</v>
      </c>
      <c r="D32" t="str">
        <f>'ERP_AP7 Macro Failed'!G34</f>
        <v>CONTRACTORS</v>
      </c>
      <c r="E32" t="str">
        <f>'ERP_AP7 Macro Failed'!H34</f>
        <v>2024 BRM - Quality Q Ship Project - New project going live in Nov 2025. Support costs for new solution and fine tuning</v>
      </c>
      <c r="F32">
        <f>'ERP_AP7 Macro Failed'!I34</f>
        <v>0</v>
      </c>
      <c r="G32" t="str">
        <f>'ERP_AP7 Macro Failed'!K34</f>
        <v>2026-XFR-0050-A</v>
      </c>
      <c r="H32" s="487" t="e" cm="1">
        <f t="array" ref="H32">SUMPRODUCT((ERP[UID]=A32)*(ERP[AP01]+ERP[AP02]+ERP[AP03]+ERP[AP04]+ERP[AP05]))</f>
        <v>#VALUE!</v>
      </c>
      <c r="I32" s="487" cm="1">
        <f t="array" ref="I32">SUMPRODUCT((ERP[UID]=A32)*(ERP[AP01 LE2]+ERP[AP02 LE2]+ERP[AP03 LE2]+ERP[AP04 LE2]+ERP[AP05 LE2]))</f>
        <v>0</v>
      </c>
      <c r="J32" s="487">
        <f>'ERP_AP7 Macro Failed'!AL34</f>
        <v>0</v>
      </c>
      <c r="K32" t="str">
        <f t="shared" si="0"/>
        <v>Immaterial</v>
      </c>
      <c r="L32" t="str">
        <f t="shared" si="1"/>
        <v>No</v>
      </c>
    </row>
    <row r="33" spans="1:12">
      <c r="A33" t="str">
        <f>'ERP_AP7 Macro Failed'!A35</f>
        <v>N-ERP-560</v>
      </c>
      <c r="B33" t="str">
        <f>'ERP_AP7 Macro Failed'!D35</f>
        <v>Hase, Raj</v>
      </c>
      <c r="C33" t="str">
        <f>'ERP_AP7 Macro Failed'!E35</f>
        <v>Ganesan, Srinivasan</v>
      </c>
      <c r="D33" t="str">
        <f>'ERP_AP7 Macro Failed'!G35</f>
        <v>CONTRACTORS</v>
      </c>
      <c r="E33" t="str">
        <f>'ERP_AP7 Macro Failed'!H35</f>
        <v>GSC Comirnaty Launch 2025 - One offshore contractor to support new capabilities are built as part of this initiative, including new interfaces and Fiori Apps and dashboards</v>
      </c>
      <c r="F33">
        <f>'ERP_AP7 Macro Failed'!I35</f>
        <v>0</v>
      </c>
      <c r="G33" t="str">
        <f>'ERP_AP7 Macro Failed'!K35</f>
        <v>2026-XFR-0051-A</v>
      </c>
      <c r="H33" s="487" t="e" cm="1">
        <f t="array" ref="H33">SUMPRODUCT((ERP[UID]=A33)*(ERP[AP01]+ERP[AP02]+ERP[AP03]+ERP[AP04]+ERP[AP05]))</f>
        <v>#VALUE!</v>
      </c>
      <c r="I33" s="487" cm="1">
        <f t="array" ref="I33">SUMPRODUCT((ERP[UID]=A33)*(ERP[AP01 LE2]+ERP[AP02 LE2]+ERP[AP03 LE2]+ERP[AP04 LE2]+ERP[AP05 LE2]))</f>
        <v>0</v>
      </c>
      <c r="J33" s="487">
        <f>'ERP_AP7 Macro Failed'!AL35</f>
        <v>0</v>
      </c>
      <c r="K33" t="str">
        <f t="shared" si="0"/>
        <v>Immaterial</v>
      </c>
      <c r="L33" t="str">
        <f t="shared" si="1"/>
        <v>No</v>
      </c>
    </row>
    <row r="34" spans="1:12">
      <c r="A34" t="str">
        <f>'ERP_AP7 Macro Failed'!A36</f>
        <v>N-ERP-577</v>
      </c>
      <c r="B34" t="str">
        <f>'ERP_AP7 Macro Failed'!D36</f>
        <v>Hase, Raj</v>
      </c>
      <c r="C34" t="str">
        <f>'ERP_AP7 Macro Failed'!E36</f>
        <v>Jajodia, Amit</v>
      </c>
      <c r="D34" t="str">
        <f>'ERP_AP7 Macro Failed'!G36</f>
        <v>CONTRACTORS</v>
      </c>
      <c r="E34" t="str">
        <f>'ERP_AP7 Macro Failed'!H36</f>
        <v>2024 External Supply Portfolio Lifecycle - Sustain &amp; Grow - External Supply - Solutions functional support</v>
      </c>
      <c r="F34">
        <f>'ERP_AP7 Macro Failed'!I36</f>
        <v>0</v>
      </c>
      <c r="G34" t="str">
        <f>'ERP_AP7 Macro Failed'!K36</f>
        <v>2026-XFR-0053-A</v>
      </c>
      <c r="H34" s="487" t="e" cm="1">
        <f t="array" ref="H34">SUMPRODUCT((ERP[UID]=A34)*(ERP[AP01]+ERP[AP02]+ERP[AP03]+ERP[AP04]+ERP[AP05]))</f>
        <v>#VALUE!</v>
      </c>
      <c r="I34" s="487" cm="1">
        <f t="array" ref="I34">SUMPRODUCT((ERP[UID]=A34)*(ERP[AP01 LE2]+ERP[AP02 LE2]+ERP[AP03 LE2]+ERP[AP04 LE2]+ERP[AP05 LE2]))</f>
        <v>-33286</v>
      </c>
      <c r="J34" s="487">
        <f>'ERP_AP7 Macro Failed'!AL36</f>
        <v>49929</v>
      </c>
      <c r="K34" t="str">
        <f t="shared" si="0"/>
        <v>MATERIAL</v>
      </c>
      <c r="L34" t="str">
        <f t="shared" si="1"/>
        <v>YES</v>
      </c>
    </row>
    <row r="35" spans="1:12">
      <c r="A35" t="str">
        <f>'ERP_AP7 Macro Failed'!A37</f>
        <v>N-ERP-578</v>
      </c>
      <c r="B35" t="str">
        <f>'ERP_AP7 Macro Failed'!D37</f>
        <v>Hase, Raj</v>
      </c>
      <c r="C35" t="str">
        <f>'ERP_AP7 Macro Failed'!E37</f>
        <v>Jajodia, Amit</v>
      </c>
      <c r="D35" t="str">
        <f>'ERP_AP7 Macro Failed'!G37</f>
        <v>CONTRACTORS</v>
      </c>
      <c r="E35" t="str">
        <f>'ERP_AP7 Macro Failed'!H37</f>
        <v>External Supply Portfolio Lifecycle - Service Now - External Supply - Solutions functional support</v>
      </c>
      <c r="F35">
        <f>'ERP_AP7 Macro Failed'!I37</f>
        <v>0</v>
      </c>
      <c r="G35" t="str">
        <f>'ERP_AP7 Macro Failed'!K37</f>
        <v>2026-XFR-0054-A</v>
      </c>
      <c r="H35" s="487" t="e" cm="1">
        <f t="array" ref="H35">SUMPRODUCT((ERP[UID]=A35)*(ERP[AP01]+ERP[AP02]+ERP[AP03]+ERP[AP04]+ERP[AP05]))</f>
        <v>#VALUE!</v>
      </c>
      <c r="I35" s="487" cm="1">
        <f t="array" ref="I35">SUMPRODUCT((ERP[UID]=A35)*(ERP[AP01 LE2]+ERP[AP02 LE2]+ERP[AP03 LE2]+ERP[AP04 LE2]+ERP[AP05 LE2]))</f>
        <v>-48333.34</v>
      </c>
      <c r="J35" s="487">
        <f>'ERP_AP7 Macro Failed'!AL37</f>
        <v>72500.009999999995</v>
      </c>
      <c r="K35" t="str">
        <f t="shared" si="0"/>
        <v>MATERIAL</v>
      </c>
      <c r="L35" t="str">
        <f t="shared" si="1"/>
        <v>YES</v>
      </c>
    </row>
    <row r="36" spans="1:12">
      <c r="A36" t="str">
        <f>'ERP_AP7 Macro Failed'!A38</f>
        <v>L-ERP-215</v>
      </c>
      <c r="B36" t="str">
        <f>'ERP_AP7 Macro Failed'!D38</f>
        <v>Hase, Raj</v>
      </c>
      <c r="C36" t="str">
        <f>'ERP_AP7 Macro Failed'!E38</f>
        <v>Hovanyetz, Mike</v>
      </c>
      <c r="D36" t="str">
        <f>'ERP_AP7 Macro Failed'!G38</f>
        <v>SOFTWARE</v>
      </c>
      <c r="E36" t="str">
        <f>'ERP_AP7 Macro Failed'!H38</f>
        <v>2026 L-SGN Budget Transfer for incremental ERP Costs - Budget transfer for Oracle OCI Software Usage Costs</v>
      </c>
      <c r="F36">
        <f>'ERP_AP7 Macro Failed'!I38</f>
        <v>0</v>
      </c>
      <c r="G36" t="str">
        <f>'ERP_AP7 Macro Failed'!K38</f>
        <v>2026-XFR-0059-A</v>
      </c>
      <c r="H36" s="487" t="e" cm="1">
        <f t="array" ref="H36">SUMPRODUCT((ERP[UID]=A36)*(ERP[AP01]+ERP[AP02]+ERP[AP03]+ERP[AP04]+ERP[AP05]))</f>
        <v>#VALUE!</v>
      </c>
      <c r="I36" s="487" cm="1">
        <f t="array" ref="I36">SUMPRODUCT((ERP[UID]=A36)*(ERP[AP01 LE2]+ERP[AP02 LE2]+ERP[AP03 LE2]+ERP[AP04 LE2]+ERP[AP05 LE2]))</f>
        <v>24000</v>
      </c>
      <c r="J36" s="487">
        <f>'ERP_AP7 Macro Failed'!AL38</f>
        <v>-15481.770000000002</v>
      </c>
      <c r="K36" t="str">
        <f t="shared" si="0"/>
        <v>MATERIAL</v>
      </c>
      <c r="L36" t="str">
        <f t="shared" si="1"/>
        <v>YES</v>
      </c>
    </row>
    <row r="37" spans="1:12">
      <c r="A37" t="str">
        <f>'ERP_AP7 Macro Failed'!A39</f>
        <v>L-ERP-258</v>
      </c>
      <c r="B37" t="str">
        <f>'ERP_AP7 Macro Failed'!D39</f>
        <v>Hase, Raj</v>
      </c>
      <c r="C37" t="str">
        <f>'ERP_AP7 Macro Failed'!E39</f>
        <v>Johnson, Paul</v>
      </c>
      <c r="D37" t="str">
        <f>'ERP_AP7 Macro Failed'!G39</f>
        <v>MANAGED SERVICES</v>
      </c>
      <c r="E37" t="str">
        <f>'ERP_AP7 Macro Failed'!H39</f>
        <v>Regulatory Intelligence - 2026 Annual amount as $2,630/mo * 12 months = $31,560</v>
      </c>
      <c r="F37">
        <f>'ERP_AP7 Macro Failed'!I39</f>
        <v>0</v>
      </c>
      <c r="G37" t="str">
        <f>'ERP_AP7 Macro Failed'!K39</f>
        <v>2026-XFR-0063-A</v>
      </c>
      <c r="H37" s="487" t="e" cm="1">
        <f t="array" ref="H37">SUMPRODUCT((ERP[UID]=A37)*(ERP[AP01]+ERP[AP02]+ERP[AP03]+ERP[AP04]+ERP[AP05]))</f>
        <v>#VALUE!</v>
      </c>
      <c r="I37" s="487" cm="1">
        <f t="array" ref="I37">SUMPRODUCT((ERP[UID]=A37)*(ERP[AP01 LE2]+ERP[AP02 LE2]+ERP[AP03 LE2]+ERP[AP04 LE2]+ERP[AP05 LE2]))</f>
        <v>5260</v>
      </c>
      <c r="J37" s="487">
        <f>'ERP_AP7 Macro Failed'!AL39</f>
        <v>-7890</v>
      </c>
      <c r="K37" t="str">
        <f t="shared" si="0"/>
        <v>Minor</v>
      </c>
      <c r="L37" t="str">
        <f t="shared" si="1"/>
        <v>No</v>
      </c>
    </row>
    <row r="38" spans="1:12">
      <c r="A38" t="str">
        <f>'ERP_AP7 Macro Failed'!A40</f>
        <v>N-ERP-607</v>
      </c>
      <c r="B38" t="str">
        <f>'ERP_AP7 Macro Failed'!D40</f>
        <v>Dougherty, Chris</v>
      </c>
      <c r="C38" t="str">
        <f>'ERP_AP7 Macro Failed'!E40</f>
        <v>Meadows, Leslie</v>
      </c>
      <c r="D38" t="str">
        <f>'ERP_AP7 Macro Failed'!G40</f>
        <v>SOFTWARE</v>
      </c>
      <c r="E38" t="str">
        <f>'ERP_AP7 Macro Failed'!H40</f>
        <v>Syniti DSP Upgrade to Cloud SKP (Syniti Knowledge Platform) - TBD</v>
      </c>
      <c r="F38">
        <f>'ERP_AP7 Macro Failed'!I40</f>
        <v>0</v>
      </c>
      <c r="G38" t="str">
        <f>'ERP_AP7 Macro Failed'!K40</f>
        <v>2026-XFR-KM001</v>
      </c>
      <c r="H38" s="487" t="e" cm="1">
        <f t="array" ref="H38">SUMPRODUCT((ERP[UID]=A38)*(ERP[AP01]+ERP[AP02]+ERP[AP03]+ERP[AP04]+ERP[AP05]))</f>
        <v>#VALUE!</v>
      </c>
      <c r="I38" s="487" cm="1">
        <f t="array" ref="I38">SUMPRODUCT((ERP[UID]=A38)*(ERP[AP01 LE2]+ERP[AP02 LE2]+ERP[AP03 LE2]+ERP[AP04 LE2]+ERP[AP05 LE2]))</f>
        <v>0</v>
      </c>
      <c r="J38" s="487">
        <f>'ERP_AP7 Macro Failed'!AL40</f>
        <v>0</v>
      </c>
      <c r="K38" t="str">
        <f t="shared" si="0"/>
        <v>Immaterial</v>
      </c>
      <c r="L38" t="str">
        <f t="shared" si="1"/>
        <v>No</v>
      </c>
    </row>
    <row r="39" spans="1:12">
      <c r="A39" t="str">
        <f>'ERP_AP7 Macro Failed'!A41</f>
        <v>ERP-003</v>
      </c>
      <c r="B39" t="str">
        <f>'ERP_AP7 Macro Failed'!D41</f>
        <v>Hase, Raj</v>
      </c>
      <c r="C39" t="str">
        <f>'ERP_AP7 Macro Failed'!E41</f>
        <v>Hovanyetz, Mike</v>
      </c>
      <c r="D39" t="str">
        <f>'ERP_AP7 Macro Failed'!G41</f>
        <v>SOFTWARE</v>
      </c>
      <c r="E39" t="str">
        <f>'ERP_AP7 Macro Failed'!H41</f>
        <v>SAP Global Trade Services Upgrade: offshore support - Offshore ERP support cost</v>
      </c>
      <c r="F39">
        <f>'ERP_AP7 Macro Failed'!I41</f>
        <v>0</v>
      </c>
      <c r="G39" t="str">
        <f>'ERP_AP7 Macro Failed'!K41</f>
        <v>2026-XFR-LD001</v>
      </c>
      <c r="H39" s="487" t="e" cm="1">
        <f t="array" ref="H39">SUMPRODUCT((ERP[UID]=A39)*(ERP[AP01]+ERP[AP02]+ERP[AP03]+ERP[AP04]+ERP[AP05]))</f>
        <v>#VALUE!</v>
      </c>
      <c r="I39" s="487" cm="1">
        <f t="array" ref="I39">SUMPRODUCT((ERP[UID]=A39)*(ERP[AP01 LE2]+ERP[AP02 LE2]+ERP[AP03 LE2]+ERP[AP04 LE2]+ERP[AP05 LE2]))</f>
        <v>0</v>
      </c>
      <c r="J39" s="487">
        <f>'ERP_AP7 Macro Failed'!AL41</f>
        <v>0</v>
      </c>
      <c r="K39" t="str">
        <f t="shared" si="0"/>
        <v>Immaterial</v>
      </c>
      <c r="L39" t="str">
        <f t="shared" si="1"/>
        <v>No</v>
      </c>
    </row>
    <row r="40" spans="1:12">
      <c r="A40" t="str">
        <f>'ERP_AP7 Macro Failed'!A42</f>
        <v>L-ERP-178</v>
      </c>
      <c r="B40" t="str">
        <f>'ERP_AP7 Macro Failed'!D42</f>
        <v>Hase, Raj</v>
      </c>
      <c r="C40" t="str">
        <f>'ERP_AP7 Macro Failed'!E42</f>
        <v>Hase, Raj</v>
      </c>
      <c r="D40" t="str">
        <f>'ERP_AP7 Macro Failed'!G42</f>
        <v>SOFTWARE</v>
      </c>
      <c r="E40" t="str">
        <f>'ERP_AP7 Macro Failed'!H42</f>
        <v>SAP Global Trade Services Upgrade: offshore support - Offshore ERP support cost</v>
      </c>
      <c r="F40">
        <f>'ERP_AP7 Macro Failed'!I42</f>
        <v>0</v>
      </c>
      <c r="G40" t="str">
        <f>'ERP_AP7 Macro Failed'!K42</f>
        <v>2026-XFR-LD001</v>
      </c>
      <c r="H40" s="487" t="e" cm="1">
        <f t="array" ref="H40">SUMPRODUCT((ERP[UID]=A40)*(ERP[AP01]+ERP[AP02]+ERP[AP03]+ERP[AP04]+ERP[AP05]))</f>
        <v>#VALUE!</v>
      </c>
      <c r="I40" s="487" cm="1">
        <f t="array" ref="I40">SUMPRODUCT((ERP[UID]=A40)*(ERP[AP01 LE2]+ERP[AP02 LE2]+ERP[AP03 LE2]+ERP[AP04 LE2]+ERP[AP05 LE2]))</f>
        <v>0</v>
      </c>
      <c r="J40" s="487">
        <f>'ERP_AP7 Macro Failed'!AL42</f>
        <v>0</v>
      </c>
      <c r="K40" t="str">
        <f t="shared" si="0"/>
        <v>Immaterial</v>
      </c>
      <c r="L40" t="str">
        <f t="shared" si="1"/>
        <v>No</v>
      </c>
    </row>
    <row r="41" spans="1:12">
      <c r="A41" t="str">
        <f>'ERP_AP7 Macro Failed'!A43</f>
        <v>ERP-004</v>
      </c>
      <c r="B41" t="str">
        <f>'ERP_AP7 Macro Failed'!D43</f>
        <v>Hase, Raj</v>
      </c>
      <c r="C41" t="str">
        <f>'ERP_AP7 Macro Failed'!E43</f>
        <v>Hovanyetz, Mike</v>
      </c>
      <c r="D41" t="str">
        <f>'ERP_AP7 Macro Failed'!G43</f>
        <v>SOFTWARE</v>
      </c>
      <c r="E41" t="str">
        <f>'ERP_AP7 Macro Failed'!H43</f>
        <v>SAP Global Trade Services Upgrade: software maintenance - SAP annual software maintenance</v>
      </c>
      <c r="F41">
        <f>'ERP_AP7 Macro Failed'!I43</f>
        <v>0</v>
      </c>
      <c r="G41" t="str">
        <f>'ERP_AP7 Macro Failed'!K43</f>
        <v>2026-XFR-LD002</v>
      </c>
      <c r="H41" s="487" t="e" cm="1">
        <f t="array" ref="H41">SUMPRODUCT((ERP[UID]=A41)*(ERP[AP01]+ERP[AP02]+ERP[AP03]+ERP[AP04]+ERP[AP05]))</f>
        <v>#VALUE!</v>
      </c>
      <c r="I41" s="487" cm="1">
        <f t="array" ref="I41">SUMPRODUCT((ERP[UID]=A41)*(ERP[AP01 LE2]+ERP[AP02 LE2]+ERP[AP03 LE2]+ERP[AP04 LE2]+ERP[AP05 LE2]))</f>
        <v>0</v>
      </c>
      <c r="J41" s="487">
        <f>'ERP_AP7 Macro Failed'!AL43</f>
        <v>0</v>
      </c>
      <c r="K41" t="str">
        <f t="shared" si="0"/>
        <v>Immaterial</v>
      </c>
      <c r="L41" t="str">
        <f t="shared" si="1"/>
        <v>No</v>
      </c>
    </row>
    <row r="42" spans="1:12">
      <c r="A42" t="str">
        <f>'ERP_AP7 Macro Failed'!A44</f>
        <v>L-ERP-179</v>
      </c>
      <c r="B42" t="str">
        <f>'ERP_AP7 Macro Failed'!D44</f>
        <v>Hase, Raj</v>
      </c>
      <c r="C42" t="str">
        <f>'ERP_AP7 Macro Failed'!E44</f>
        <v>Hase, Raj</v>
      </c>
      <c r="D42" t="str">
        <f>'ERP_AP7 Macro Failed'!G44</f>
        <v>SOFTWARE</v>
      </c>
      <c r="E42" t="str">
        <f>'ERP_AP7 Macro Failed'!H44</f>
        <v>SAP Global Trade Services Upgrade: software maintenance - SAP annual software maintenance</v>
      </c>
      <c r="F42">
        <f>'ERP_AP7 Macro Failed'!I44</f>
        <v>0</v>
      </c>
      <c r="G42" t="str">
        <f>'ERP_AP7 Macro Failed'!K44</f>
        <v>2026-XFR-LD002</v>
      </c>
      <c r="H42" s="487" t="e" cm="1">
        <f t="array" ref="H42">SUMPRODUCT((ERP[UID]=A42)*(ERP[AP01]+ERP[AP02]+ERP[AP03]+ERP[AP04]+ERP[AP05]))</f>
        <v>#VALUE!</v>
      </c>
      <c r="I42" s="487" cm="1">
        <f t="array" ref="I42">SUMPRODUCT((ERP[UID]=A42)*(ERP[AP01 LE2]+ERP[AP02 LE2]+ERP[AP03 LE2]+ERP[AP04 LE2]+ERP[AP05 LE2]))</f>
        <v>0</v>
      </c>
      <c r="J42" s="487">
        <f>'ERP_AP7 Macro Failed'!AL44</f>
        <v>0</v>
      </c>
      <c r="K42" t="str">
        <f t="shared" si="0"/>
        <v>Immaterial</v>
      </c>
      <c r="L42" t="str">
        <f t="shared" si="1"/>
        <v>No</v>
      </c>
    </row>
    <row r="43" spans="1:12">
      <c r="A43" t="str">
        <f>'ERP_AP7 Macro Failed'!A45</f>
        <v>L-ERP-350</v>
      </c>
      <c r="B43" t="str">
        <f>'ERP_AP7 Macro Failed'!D45</f>
        <v>Dougherty, Chris</v>
      </c>
      <c r="C43" t="str">
        <f>'ERP_AP7 Macro Failed'!E45</f>
        <v>McCormick, Pete</v>
      </c>
      <c r="D43" t="str">
        <f>'ERP_AP7 Macro Failed'!G45</f>
        <v>HW MAINTENANCE</v>
      </c>
      <c r="E43" t="str">
        <f>'ERP_AP7 Macro Failed'!H45</f>
        <v>SAP ERP - 2025 Lifecycle Management Projects - Citrix Servers - Production AWS</v>
      </c>
      <c r="F43">
        <f>'ERP_AP7 Macro Failed'!I45</f>
        <v>0</v>
      </c>
      <c r="G43" t="str">
        <f>'ERP_AP7 Macro Failed'!K45</f>
        <v>2026-XFR-ML001</v>
      </c>
      <c r="H43" s="487" t="e" cm="1">
        <f t="array" ref="H43">SUMPRODUCT((ERP[UID]=A43)*(ERP[AP01]+ERP[AP02]+ERP[AP03]+ERP[AP04]+ERP[AP05]))</f>
        <v>#VALUE!</v>
      </c>
      <c r="I43" s="487" cm="1">
        <f t="array" ref="I43">SUMPRODUCT((ERP[UID]=A43)*(ERP[AP01 LE2]+ERP[AP02 LE2]+ERP[AP03 LE2]+ERP[AP04 LE2]+ERP[AP05 LE2]))</f>
        <v>8602.5</v>
      </c>
      <c r="J43" s="487">
        <f>'ERP_AP7 Macro Failed'!AL45</f>
        <v>-12903.75</v>
      </c>
      <c r="K43" t="str">
        <f t="shared" si="0"/>
        <v>MATERIAL</v>
      </c>
      <c r="L43" t="str">
        <f t="shared" si="1"/>
        <v>YES</v>
      </c>
    </row>
    <row r="44" spans="1:12">
      <c r="A44" t="str">
        <f>'ERP_AP7 Macro Failed'!A46</f>
        <v>L-ERP-351</v>
      </c>
      <c r="B44" t="str">
        <f>'ERP_AP7 Macro Failed'!D46</f>
        <v>Dougherty, Chris</v>
      </c>
      <c r="C44" t="str">
        <f>'ERP_AP7 Macro Failed'!E46</f>
        <v>McCormick, Pete</v>
      </c>
      <c r="D44" t="str">
        <f>'ERP_AP7 Macro Failed'!G46</f>
        <v>HW MAINTENANCE</v>
      </c>
      <c r="E44" t="str">
        <f>'ERP_AP7 Macro Failed'!H46</f>
        <v>SAP ERP - 2025 Lifecycle Management Projects - Citrix Servers - On Prem - Durham</v>
      </c>
      <c r="F44">
        <f>'ERP_AP7 Macro Failed'!I46</f>
        <v>0</v>
      </c>
      <c r="G44" t="str">
        <f>'ERP_AP7 Macro Failed'!K46</f>
        <v>2026-XFR-ML002</v>
      </c>
      <c r="H44" s="487" t="e" cm="1">
        <f t="array" ref="H44">SUMPRODUCT((ERP[UID]=A44)*(ERP[AP01]+ERP[AP02]+ERP[AP03]+ERP[AP04]+ERP[AP05]))</f>
        <v>#VALUE!</v>
      </c>
      <c r="I44" s="487" cm="1">
        <f t="array" ref="I44">SUMPRODUCT((ERP[UID]=A44)*(ERP[AP01 LE2]+ERP[AP02 LE2]+ERP[AP03 LE2]+ERP[AP04 LE2]+ERP[AP05 LE2]))</f>
        <v>-2032.5</v>
      </c>
      <c r="J44" s="487">
        <f>'ERP_AP7 Macro Failed'!AL46</f>
        <v>3048.75</v>
      </c>
      <c r="K44" t="str">
        <f t="shared" si="0"/>
        <v>Minor</v>
      </c>
      <c r="L44" t="str">
        <f t="shared" si="1"/>
        <v>No</v>
      </c>
    </row>
    <row r="45" spans="1:12">
      <c r="A45" t="str">
        <f>'ERP_AP7 Macro Failed'!A47</f>
        <v>L-ERP-352</v>
      </c>
      <c r="B45" t="str">
        <f>'ERP_AP7 Macro Failed'!D47</f>
        <v>Dougherty, Chris</v>
      </c>
      <c r="C45" t="str">
        <f>'ERP_AP7 Macro Failed'!E47</f>
        <v>McCormick, Pete</v>
      </c>
      <c r="D45" t="str">
        <f>'ERP_AP7 Macro Failed'!G47</f>
        <v>HW MAINTENANCE</v>
      </c>
      <c r="E45" t="str">
        <f>'ERP_AP7 Macro Failed'!H47</f>
        <v>SAP ERP - 2025 Lifecycle Management Projects - Citrix Servers - On Prem - Somerset</v>
      </c>
      <c r="F45">
        <f>'ERP_AP7 Macro Failed'!I47</f>
        <v>0</v>
      </c>
      <c r="G45" t="str">
        <f>'ERP_AP7 Macro Failed'!K47</f>
        <v>2026-XFR-ML003</v>
      </c>
      <c r="H45" s="487" t="e" cm="1">
        <f t="array" ref="H45">SUMPRODUCT((ERP[UID]=A45)*(ERP[AP01]+ERP[AP02]+ERP[AP03]+ERP[AP04]+ERP[AP05]))</f>
        <v>#VALUE!</v>
      </c>
      <c r="I45" s="487" cm="1">
        <f t="array" ref="I45">SUMPRODUCT((ERP[UID]=A45)*(ERP[AP01 LE2]+ERP[AP02 LE2]+ERP[AP03 LE2]+ERP[AP04 LE2]+ERP[AP05 LE2]))</f>
        <v>-2032.5</v>
      </c>
      <c r="J45" s="487">
        <f>'ERP_AP7 Macro Failed'!AL47</f>
        <v>3048.75</v>
      </c>
      <c r="K45" t="str">
        <f t="shared" si="0"/>
        <v>Minor</v>
      </c>
      <c r="L45" t="str">
        <f t="shared" si="1"/>
        <v>No</v>
      </c>
    </row>
    <row r="46" spans="1:12">
      <c r="A46" t="str">
        <f>'ERP_AP7 Macro Failed'!A48</f>
        <v>ERP-020</v>
      </c>
      <c r="B46" t="str">
        <f>'ERP_AP7 Macro Failed'!D48</f>
        <v>Dougherty, Chris</v>
      </c>
      <c r="C46" t="str">
        <f>'ERP_AP7 Macro Failed'!E48</f>
        <v>McCormick, Pete</v>
      </c>
      <c r="D46" t="str">
        <f>'ERP_AP7 Macro Failed'!G48</f>
        <v>MANAGED SERVICES</v>
      </c>
      <c r="E46" t="str">
        <f>'ERP_AP7 Macro Failed'!H48</f>
        <v>DIGITAL-DATAPROTECTION-2026-003</v>
      </c>
      <c r="F46">
        <f>'ERP_AP7 Macro Failed'!I48</f>
        <v>0</v>
      </c>
      <c r="G46" t="str">
        <f>'ERP_AP7 Macro Failed'!K48</f>
        <v>AD-RAOCBINT3-PD-15-US-00</v>
      </c>
      <c r="H46" s="487" t="e" cm="1">
        <f t="array" ref="H46">SUMPRODUCT((ERP[UID]=A46)*(ERP[AP01]+ERP[AP02]+ERP[AP03]+ERP[AP04]+ERP[AP05]))</f>
        <v>#VALUE!</v>
      </c>
      <c r="I46" s="487" cm="1">
        <f t="array" ref="I46">SUMPRODUCT((ERP[UID]=A46)*(ERP[AP01 LE2]+ERP[AP02 LE2]+ERP[AP03 LE2]+ERP[AP04 LE2]+ERP[AP05 LE2]))</f>
        <v>0</v>
      </c>
      <c r="J46" s="487">
        <f>'ERP_AP7 Macro Failed'!AL48</f>
        <v>19</v>
      </c>
      <c r="K46" t="str">
        <f t="shared" si="0"/>
        <v>Immaterial</v>
      </c>
      <c r="L46" t="str">
        <f t="shared" si="1"/>
        <v>No</v>
      </c>
    </row>
    <row r="47" spans="1:12">
      <c r="A47" t="str">
        <f>'ERP_AP7 Macro Failed'!A49</f>
        <v>ERP-021</v>
      </c>
      <c r="B47" t="str">
        <f>'ERP_AP7 Macro Failed'!D49</f>
        <v>Dougherty, Chris</v>
      </c>
      <c r="C47" t="str">
        <f>'ERP_AP7 Macro Failed'!E49</f>
        <v>McCormick, Pete</v>
      </c>
      <c r="D47" t="str">
        <f>'ERP_AP7 Macro Failed'!G49</f>
        <v>MANAGED SERVICES</v>
      </c>
      <c r="E47" t="str">
        <f>'ERP_AP7 Macro Failed'!H49</f>
        <v>MS BT SUST - DIGITAL-DATAPROTECTION</v>
      </c>
      <c r="F47">
        <f>'ERP_AP7 Macro Failed'!I49</f>
        <v>0</v>
      </c>
      <c r="G47" t="str">
        <f>'ERP_AP7 Macro Failed'!K49</f>
        <v>AR-700001184-1400</v>
      </c>
      <c r="H47" s="487" t="e" cm="1">
        <f t="array" ref="H47">SUMPRODUCT((ERP[UID]=A47)*(ERP[AP01]+ERP[AP02]+ERP[AP03]+ERP[AP04]+ERP[AP05]))</f>
        <v>#VALUE!</v>
      </c>
      <c r="I47" s="487" cm="1">
        <f t="array" ref="I47">SUMPRODUCT((ERP[UID]=A47)*(ERP[AP01 LE2]+ERP[AP02 LE2]+ERP[AP03 LE2]+ERP[AP04 LE2]+ERP[AP05 LE2]))</f>
        <v>0</v>
      </c>
      <c r="J47" s="487">
        <f>'ERP_AP7 Macro Failed'!AL49</f>
        <v>190</v>
      </c>
      <c r="K47" t="str">
        <f t="shared" si="0"/>
        <v>Immaterial</v>
      </c>
      <c r="L47" t="str">
        <f t="shared" si="1"/>
        <v>No</v>
      </c>
    </row>
    <row r="48" spans="1:12">
      <c r="A48" t="str">
        <f>'ERP_AP7 Macro Failed'!A50</f>
        <v>L-ERP-311</v>
      </c>
      <c r="B48" t="str">
        <f>'ERP_AP7 Macro Failed'!D50</f>
        <v>Dougherty, Chris</v>
      </c>
      <c r="C48" t="str">
        <f>'ERP_AP7 Macro Failed'!E50</f>
        <v>Maguire, Karla</v>
      </c>
      <c r="D48" t="str">
        <f>'ERP_AP7 Macro Failed'!G50</f>
        <v>MANAGED SERVICES</v>
      </c>
      <c r="E48" t="str">
        <f>'ERP_AP7 Macro Failed'!H50</f>
        <v>Billing Forecast - Cloud Brokerage</v>
      </c>
      <c r="F48">
        <f>'ERP_AP7 Macro Failed'!I50</f>
        <v>0</v>
      </c>
      <c r="G48" t="str">
        <f>'ERP_AP7 Macro Failed'!K50</f>
        <v>BillingRev001</v>
      </c>
      <c r="H48" s="487" t="e" cm="1">
        <f t="array" ref="H48">SUMPRODUCT((ERP[UID]=A48)*(ERP[AP01]+ERP[AP02]+ERP[AP03]+ERP[AP04]+ERP[AP05]))</f>
        <v>#VALUE!</v>
      </c>
      <c r="I48" s="487" cm="1">
        <f t="array" ref="I48">SUMPRODUCT((ERP[UID]=A48)*(ERP[AP01 LE2]+ERP[AP02 LE2]+ERP[AP03 LE2]+ERP[AP04 LE2]+ERP[AP05 LE2]))</f>
        <v>0</v>
      </c>
      <c r="J48" s="487">
        <f>'ERP_AP7 Macro Failed'!AL50</f>
        <v>-1732.97</v>
      </c>
      <c r="K48" t="str">
        <f t="shared" si="0"/>
        <v>Minor</v>
      </c>
      <c r="L48" t="str">
        <f t="shared" si="1"/>
        <v>No</v>
      </c>
    </row>
    <row r="49" spans="1:12">
      <c r="A49" t="str">
        <f>'ERP_AP7 Macro Failed'!A51</f>
        <v>L-ERP-393</v>
      </c>
      <c r="B49" t="str">
        <f>'ERP_AP7 Macro Failed'!D51</f>
        <v>McGettigan, David</v>
      </c>
      <c r="C49" t="str">
        <f>'ERP_AP7 Macro Failed'!E51</f>
        <v>McGettigan, David</v>
      </c>
      <c r="D49" t="str">
        <f>'ERP_AP7 Macro Failed'!G51</f>
        <v>MANAGED SERVICES</v>
      </c>
      <c r="E49" t="str">
        <f>'ERP_AP7 Macro Failed'!H51</f>
        <v>Billing Forecast - Cloud Brokerage</v>
      </c>
      <c r="F49">
        <f>'ERP_AP7 Macro Failed'!I51</f>
        <v>0</v>
      </c>
      <c r="G49" t="str">
        <f>'ERP_AP7 Macro Failed'!K51</f>
        <v>BillingRev001</v>
      </c>
      <c r="H49" s="487" t="e" cm="1">
        <f t="array" ref="H49">SUMPRODUCT((ERP[UID]=A49)*(ERP[AP01]+ERP[AP02]+ERP[AP03]+ERP[AP04]+ERP[AP05]))</f>
        <v>#VALUE!</v>
      </c>
      <c r="I49" s="487" cm="1">
        <f t="array" ref="I49">SUMPRODUCT((ERP[UID]=A49)*(ERP[AP01 LE2]+ERP[AP02 LE2]+ERP[AP03 LE2]+ERP[AP04 LE2]+ERP[AP05 LE2]))</f>
        <v>0</v>
      </c>
      <c r="J49" s="487">
        <f>'ERP_AP7 Macro Failed'!AL51</f>
        <v>-5.07</v>
      </c>
      <c r="K49" t="str">
        <f t="shared" si="0"/>
        <v>Immaterial</v>
      </c>
      <c r="L49" t="str">
        <f t="shared" si="1"/>
        <v>No</v>
      </c>
    </row>
    <row r="50" spans="1:12">
      <c r="A50" t="str">
        <f>'ERP_AP7 Macro Failed'!A52</f>
        <v>ERP-022</v>
      </c>
      <c r="B50" t="str">
        <f>'ERP_AP7 Macro Failed'!D52</f>
        <v>McGettigan, David</v>
      </c>
      <c r="C50" t="str">
        <f>'ERP_AP7 Macro Failed'!E52</f>
        <v>McGettigan, David</v>
      </c>
      <c r="D50" t="str">
        <f>'ERP_AP7 Macro Failed'!G52</f>
        <v>SOFTWARE</v>
      </c>
      <c r="E50" t="str">
        <f>'ERP_AP7 Macro Failed'!H52</f>
        <v>ITFM-DIGITAL-COPILOT</v>
      </c>
      <c r="F50">
        <f>'ERP_AP7 Macro Failed'!I52</f>
        <v>0</v>
      </c>
      <c r="G50" t="str">
        <f>'ERP_AP7 Macro Failed'!K52</f>
        <v>BILLINGREV001CN</v>
      </c>
      <c r="H50" s="487" t="e" cm="1">
        <f t="array" ref="H50">SUMPRODUCT((ERP[UID]=A50)*(ERP[AP01]+ERP[AP02]+ERP[AP03]+ERP[AP04]+ERP[AP05]))</f>
        <v>#VALUE!</v>
      </c>
      <c r="I50" s="487" cm="1">
        <f t="array" ref="I50">SUMPRODUCT((ERP[UID]=A50)*(ERP[AP01 LE2]+ERP[AP02 LE2]+ERP[AP03 LE2]+ERP[AP04 LE2]+ERP[AP05 LE2]))</f>
        <v>0</v>
      </c>
      <c r="J50" s="487">
        <f>'ERP_AP7 Macro Failed'!AL52</f>
        <v>-920.3</v>
      </c>
      <c r="K50" t="str">
        <f t="shared" si="0"/>
        <v>Immaterial</v>
      </c>
      <c r="L50" t="str">
        <f t="shared" si="1"/>
        <v>No</v>
      </c>
    </row>
    <row r="51" spans="1:12">
      <c r="A51" t="str">
        <f>'ERP_AP7 Macro Failed'!A53</f>
        <v>ERP-029</v>
      </c>
      <c r="B51" t="str">
        <f>'ERP_AP7 Macro Failed'!D53</f>
        <v>Dougherty, Chris</v>
      </c>
      <c r="C51" t="str">
        <f>'ERP_AP7 Macro Failed'!E53</f>
        <v>Maguire, Karla</v>
      </c>
      <c r="D51" t="str">
        <f>'ERP_AP7 Macro Failed'!G53</f>
        <v>SOFTWARE</v>
      </c>
      <c r="E51" t="str">
        <f>'ERP_AP7 Macro Failed'!H53</f>
        <v>ITFM-DIGITAL-COPILOT</v>
      </c>
      <c r="F51">
        <f>'ERP_AP7 Macro Failed'!I53</f>
        <v>0</v>
      </c>
      <c r="G51" t="str">
        <f>'ERP_AP7 Macro Failed'!K53</f>
        <v>BILLINGREV001CN</v>
      </c>
      <c r="H51" s="487" t="e" cm="1">
        <f t="array" ref="H51">SUMPRODUCT((ERP[UID]=A51)*(ERP[AP01]+ERP[AP02]+ERP[AP03]+ERP[AP04]+ERP[AP05]))</f>
        <v>#VALUE!</v>
      </c>
      <c r="I51" s="487" cm="1">
        <f t="array" ref="I51">SUMPRODUCT((ERP[UID]=A51)*(ERP[AP01 LE2]+ERP[AP02 LE2]+ERP[AP03 LE2]+ERP[AP04 LE2]+ERP[AP05 LE2]))</f>
        <v>0</v>
      </c>
      <c r="J51" s="487">
        <f>'ERP_AP7 Macro Failed'!AL53</f>
        <v>-4832.8900000000003</v>
      </c>
      <c r="K51" t="str">
        <f t="shared" si="0"/>
        <v>Minor</v>
      </c>
      <c r="L51" t="str">
        <f t="shared" si="1"/>
        <v>No</v>
      </c>
    </row>
    <row r="52" spans="1:12">
      <c r="A52" t="str">
        <f>'ERP_AP7 Macro Failed'!A54</f>
        <v>ERP-023</v>
      </c>
      <c r="B52" t="str">
        <f>'ERP_AP7 Macro Failed'!D54</f>
        <v>McGettigan, David</v>
      </c>
      <c r="C52" t="str">
        <f>'ERP_AP7 Macro Failed'!E54</f>
        <v>McGettigan, David</v>
      </c>
      <c r="D52" t="str">
        <f>'ERP_AP7 Macro Failed'!G54</f>
        <v>SOFTWARE</v>
      </c>
      <c r="E52" t="str">
        <f>'ERP_AP7 Macro Failed'!H54</f>
        <v>ITFM-DIGITAL-M365-LICENSE-2025</v>
      </c>
      <c r="F52">
        <f>'ERP_AP7 Macro Failed'!I54</f>
        <v>0</v>
      </c>
      <c r="G52" t="str">
        <f>'ERP_AP7 Macro Failed'!K54</f>
        <v>BILLINGREV009B</v>
      </c>
      <c r="H52" s="487" t="e" cm="1">
        <f t="array" ref="H52">SUMPRODUCT((ERP[UID]=A52)*(ERP[AP01]+ERP[AP02]+ERP[AP03]+ERP[AP04]+ERP[AP05]))</f>
        <v>#VALUE!</v>
      </c>
      <c r="I52" s="487" cm="1">
        <f t="array" ref="I52">SUMPRODUCT((ERP[UID]=A52)*(ERP[AP01 LE2]+ERP[AP02 LE2]+ERP[AP03 LE2]+ERP[AP04 LE2]+ERP[AP05 LE2]))</f>
        <v>0</v>
      </c>
      <c r="J52" s="487">
        <f>'ERP_AP7 Macro Failed'!AL54</f>
        <v>-6115.8</v>
      </c>
      <c r="K52" t="str">
        <f t="shared" si="0"/>
        <v>Minor</v>
      </c>
      <c r="L52" t="str">
        <f t="shared" si="1"/>
        <v>No</v>
      </c>
    </row>
    <row r="53" spans="1:12">
      <c r="A53" t="str">
        <f>'ERP_AP7 Macro Failed'!A55</f>
        <v>ERP-030</v>
      </c>
      <c r="B53" t="str">
        <f>'ERP_AP7 Macro Failed'!D55</f>
        <v>Dougherty, Chris</v>
      </c>
      <c r="C53" t="str">
        <f>'ERP_AP7 Macro Failed'!E55</f>
        <v>Maguire, Karla</v>
      </c>
      <c r="D53" t="str">
        <f>'ERP_AP7 Macro Failed'!G55</f>
        <v>SOFTWARE</v>
      </c>
      <c r="E53" t="str">
        <f>'ERP_AP7 Macro Failed'!H55</f>
        <v>ITFM-DIGITAL-M365-LICENSE</v>
      </c>
      <c r="F53">
        <f>'ERP_AP7 Macro Failed'!I55</f>
        <v>0</v>
      </c>
      <c r="G53" t="str">
        <f>'ERP_AP7 Macro Failed'!K55</f>
        <v>BILLINGREV009B</v>
      </c>
      <c r="H53" s="487" t="e" cm="1">
        <f t="array" ref="H53">SUMPRODUCT((ERP[UID]=A53)*(ERP[AP01]+ERP[AP02]+ERP[AP03]+ERP[AP04]+ERP[AP05]))</f>
        <v>#VALUE!</v>
      </c>
      <c r="I53" s="487" cm="1">
        <f t="array" ref="I53">SUMPRODUCT((ERP[UID]=A53)*(ERP[AP01 LE2]+ERP[AP02 LE2]+ERP[AP03 LE2]+ERP[AP04 LE2]+ERP[AP05 LE2]))</f>
        <v>0</v>
      </c>
      <c r="J53" s="487">
        <f>'ERP_AP7 Macro Failed'!AL55</f>
        <v>-38080.83</v>
      </c>
      <c r="K53" t="str">
        <f t="shared" si="0"/>
        <v>MATERIAL</v>
      </c>
      <c r="L53" t="str">
        <f t="shared" si="1"/>
        <v>YES</v>
      </c>
    </row>
    <row r="54" spans="1:12">
      <c r="A54" t="str">
        <f>'ERP_AP7 Macro Failed'!A56</f>
        <v>N-ERP-508</v>
      </c>
      <c r="B54" t="str">
        <f>'ERP_AP7 Macro Failed'!D56</f>
        <v>Dougherty, Chris</v>
      </c>
      <c r="C54" t="str">
        <f>'ERP_AP7 Macro Failed'!E56</f>
        <v>Dougherty, Chris</v>
      </c>
      <c r="D54" t="str">
        <f>'ERP_AP7 Macro Failed'!G56</f>
        <v>MANAGED SERVICES</v>
      </c>
      <c r="E54" t="str">
        <f>'ERP_AP7 Macro Failed'!H56</f>
        <v>Billing Forecast - UC4 Automic</v>
      </c>
      <c r="F54">
        <f>'ERP_AP7 Macro Failed'!I56</f>
        <v>0</v>
      </c>
      <c r="G54" t="str">
        <f>'ERP_AP7 Macro Failed'!K56</f>
        <v>BillingRev019</v>
      </c>
      <c r="H54" s="487" t="e" cm="1">
        <f t="array" ref="H54">SUMPRODUCT((ERP[UID]=A54)*(ERP[AP01]+ERP[AP02]+ERP[AP03]+ERP[AP04]+ERP[AP05]))</f>
        <v>#VALUE!</v>
      </c>
      <c r="I54" s="487" cm="1">
        <f t="array" ref="I54">SUMPRODUCT((ERP[UID]=A54)*(ERP[AP01 LE2]+ERP[AP02 LE2]+ERP[AP03 LE2]+ERP[AP04 LE2]+ERP[AP05 LE2]))</f>
        <v>-6666.66</v>
      </c>
      <c r="J54" s="487">
        <f>'ERP_AP7 Macro Failed'!AL56</f>
        <v>9999.99</v>
      </c>
      <c r="K54" t="str">
        <f t="shared" si="0"/>
        <v>Minor</v>
      </c>
      <c r="L54" t="str">
        <f t="shared" si="1"/>
        <v>No</v>
      </c>
    </row>
    <row r="55" spans="1:12">
      <c r="A55" t="str">
        <f>'ERP_AP7 Macro Failed'!A57</f>
        <v>L-ERP-336</v>
      </c>
      <c r="B55" t="str">
        <f>'ERP_AP7 Macro Failed'!D57</f>
        <v>Dougherty, Chris</v>
      </c>
      <c r="C55" t="str">
        <f>'ERP_AP7 Macro Failed'!E57</f>
        <v>Maguire, Karla</v>
      </c>
      <c r="D55" t="str">
        <f>'ERP_AP7 Macro Failed'!G57</f>
        <v>SOFTWARE</v>
      </c>
      <c r="E55" t="str">
        <f>'ERP_AP7 Macro Failed'!H57</f>
        <v>Billing Sweep</v>
      </c>
      <c r="F55">
        <f>'ERP_AP7 Macro Failed'!I57</f>
        <v>0</v>
      </c>
      <c r="G55" t="str">
        <f>'ERP_AP7 Macro Failed'!K57</f>
        <v>BillingSweep001</v>
      </c>
      <c r="H55" s="487" t="e" cm="1">
        <f t="array" ref="H55">SUMPRODUCT((ERP[UID]=A55)*(ERP[AP01]+ERP[AP02]+ERP[AP03]+ERP[AP04]+ERP[AP05]))</f>
        <v>#VALUE!</v>
      </c>
      <c r="I55" s="487" cm="1">
        <f t="array" ref="I55">SUMPRODUCT((ERP[UID]=A55)*(ERP[AP01 LE2]+ERP[AP02 LE2]+ERP[AP03 LE2]+ERP[AP04 LE2]+ERP[AP05 LE2]))</f>
        <v>0</v>
      </c>
      <c r="J55" s="487">
        <f>'ERP_AP7 Macro Failed'!AL57</f>
        <v>0</v>
      </c>
      <c r="K55" t="str">
        <f t="shared" si="0"/>
        <v>Immaterial</v>
      </c>
      <c r="L55" t="str">
        <f t="shared" si="1"/>
        <v>No</v>
      </c>
    </row>
    <row r="56" spans="1:12">
      <c r="A56" t="str">
        <f>'ERP_AP7 Macro Failed'!A58</f>
        <v>L-ERP-401</v>
      </c>
      <c r="B56" t="str">
        <f>'ERP_AP7 Macro Failed'!D58</f>
        <v>McGettigan, David</v>
      </c>
      <c r="C56" t="str">
        <f>'ERP_AP7 Macro Failed'!E58</f>
        <v>McGettigan, David</v>
      </c>
      <c r="D56" t="str">
        <f>'ERP_AP7 Macro Failed'!G58</f>
        <v>SOFTWARE</v>
      </c>
      <c r="E56" t="str">
        <f>'ERP_AP7 Macro Failed'!H58</f>
        <v>Billing Sweep</v>
      </c>
      <c r="F56">
        <f>'ERP_AP7 Macro Failed'!I58</f>
        <v>0</v>
      </c>
      <c r="G56" t="str">
        <f>'ERP_AP7 Macro Failed'!K58</f>
        <v>BillingSweep001</v>
      </c>
      <c r="H56" s="487" t="e" cm="1">
        <f t="array" ref="H56">SUMPRODUCT((ERP[UID]=A56)*(ERP[AP01]+ERP[AP02]+ERP[AP03]+ERP[AP04]+ERP[AP05]))</f>
        <v>#VALUE!</v>
      </c>
      <c r="I56" s="487" cm="1">
        <f t="array" ref="I56">SUMPRODUCT((ERP[UID]=A56)*(ERP[AP01 LE2]+ERP[AP02 LE2]+ERP[AP03 LE2]+ERP[AP04 LE2]+ERP[AP05 LE2]))</f>
        <v>0</v>
      </c>
      <c r="J56" s="487">
        <f>'ERP_AP7 Macro Failed'!AL58</f>
        <v>0</v>
      </c>
      <c r="K56" t="str">
        <f t="shared" si="0"/>
        <v>Immaterial</v>
      </c>
      <c r="L56" t="str">
        <f t="shared" si="1"/>
        <v>No</v>
      </c>
    </row>
    <row r="57" spans="1:12">
      <c r="A57" t="str">
        <f>'ERP_AP7 Macro Failed'!A59</f>
        <v>L-ERP-337</v>
      </c>
      <c r="B57" t="str">
        <f>'ERP_AP7 Macro Failed'!D59</f>
        <v>Dougherty, Chris</v>
      </c>
      <c r="C57" t="str">
        <f>'ERP_AP7 Macro Failed'!E59</f>
        <v>Maguire, Karla</v>
      </c>
      <c r="D57" t="str">
        <f>'ERP_AP7 Macro Failed'!G59</f>
        <v>SOFTWARE</v>
      </c>
      <c r="E57" t="str">
        <f>'ERP_AP7 Macro Failed'!H59</f>
        <v>Billing Sweep</v>
      </c>
      <c r="F57">
        <f>'ERP_AP7 Macro Failed'!I59</f>
        <v>0</v>
      </c>
      <c r="G57" t="str">
        <f>'ERP_AP7 Macro Failed'!K59</f>
        <v>BillingSweep002</v>
      </c>
      <c r="H57" s="487" t="e" cm="1">
        <f t="array" ref="H57">SUMPRODUCT((ERP[UID]=A57)*(ERP[AP01]+ERP[AP02]+ERP[AP03]+ERP[AP04]+ERP[AP05]))</f>
        <v>#VALUE!</v>
      </c>
      <c r="I57" s="487" cm="1">
        <f t="array" ref="I57">SUMPRODUCT((ERP[UID]=A57)*(ERP[AP01 LE2]+ERP[AP02 LE2]+ERP[AP03 LE2]+ERP[AP04 LE2]+ERP[AP05 LE2]))</f>
        <v>0</v>
      </c>
      <c r="J57" s="487">
        <f>'ERP_AP7 Macro Failed'!AL59</f>
        <v>0</v>
      </c>
      <c r="K57" t="str">
        <f t="shared" si="0"/>
        <v>Immaterial</v>
      </c>
      <c r="L57" t="str">
        <f t="shared" si="1"/>
        <v>No</v>
      </c>
    </row>
    <row r="58" spans="1:12">
      <c r="A58" t="str">
        <f>'ERP_AP7 Macro Failed'!A60</f>
        <v>L-ERP-402</v>
      </c>
      <c r="B58" t="str">
        <f>'ERP_AP7 Macro Failed'!D60</f>
        <v>McGettigan, David</v>
      </c>
      <c r="C58" t="str">
        <f>'ERP_AP7 Macro Failed'!E60</f>
        <v>McGettigan, David</v>
      </c>
      <c r="D58" t="str">
        <f>'ERP_AP7 Macro Failed'!G60</f>
        <v>SOFTWARE</v>
      </c>
      <c r="E58" t="str">
        <f>'ERP_AP7 Macro Failed'!H60</f>
        <v>Billing Sweep</v>
      </c>
      <c r="F58">
        <f>'ERP_AP7 Macro Failed'!I60</f>
        <v>0</v>
      </c>
      <c r="G58" t="str">
        <f>'ERP_AP7 Macro Failed'!K60</f>
        <v>BillingSweep002</v>
      </c>
      <c r="H58" s="487" t="e" cm="1">
        <f t="array" ref="H58">SUMPRODUCT((ERP[UID]=A58)*(ERP[AP01]+ERP[AP02]+ERP[AP03]+ERP[AP04]+ERP[AP05]))</f>
        <v>#VALUE!</v>
      </c>
      <c r="I58" s="487" cm="1">
        <f t="array" ref="I58">SUMPRODUCT((ERP[UID]=A58)*(ERP[AP01 LE2]+ERP[AP02 LE2]+ERP[AP03 LE2]+ERP[AP04 LE2]+ERP[AP05 LE2]))</f>
        <v>0</v>
      </c>
      <c r="J58" s="487">
        <f>'ERP_AP7 Macro Failed'!AL60</f>
        <v>0</v>
      </c>
      <c r="K58" t="str">
        <f t="shared" si="0"/>
        <v>Immaterial</v>
      </c>
      <c r="L58" t="str">
        <f t="shared" si="1"/>
        <v>No</v>
      </c>
    </row>
    <row r="59" spans="1:12">
      <c r="A59" t="str">
        <f>'ERP_AP7 Macro Failed'!A61</f>
        <v>L-ERP-021</v>
      </c>
      <c r="B59" t="str">
        <f>'ERP_AP7 Macro Failed'!D61</f>
        <v>Hase, Raj</v>
      </c>
      <c r="C59" t="str">
        <f>'ERP_AP7 Macro Failed'!E61</f>
        <v>DeHart, Lynn</v>
      </c>
      <c r="D59" t="str">
        <f>'ERP_AP7 Macro Failed'!G61</f>
        <v>HW MAINTENANCE</v>
      </c>
      <c r="E59" t="str">
        <f>'ERP_AP7 Macro Failed'!H61</f>
        <v>Billing Sweep</v>
      </c>
      <c r="F59">
        <f>'ERP_AP7 Macro Failed'!I61</f>
        <v>0</v>
      </c>
      <c r="G59" t="str">
        <f>'ERP_AP7 Macro Failed'!K61</f>
        <v>BillingSweep005</v>
      </c>
      <c r="H59" s="487" t="e" cm="1">
        <f t="array" ref="H59">SUMPRODUCT((ERP[UID]=A59)*(ERP[AP01]+ERP[AP02]+ERP[AP03]+ERP[AP04]+ERP[AP05]))</f>
        <v>#VALUE!</v>
      </c>
      <c r="I59" s="487" cm="1">
        <f t="array" ref="I59">SUMPRODUCT((ERP[UID]=A59)*(ERP[AP01 LE2]+ERP[AP02 LE2]+ERP[AP03 LE2]+ERP[AP04 LE2]+ERP[AP05 LE2]))</f>
        <v>904.37</v>
      </c>
      <c r="J59" s="487">
        <f>'ERP_AP7 Macro Failed'!AL61</f>
        <v>0</v>
      </c>
      <c r="K59" t="str">
        <f t="shared" si="0"/>
        <v>Immaterial</v>
      </c>
      <c r="L59" t="str">
        <f t="shared" si="1"/>
        <v>No</v>
      </c>
    </row>
    <row r="60" spans="1:12">
      <c r="A60" t="str">
        <f>'ERP_AP7 Macro Failed'!A62</f>
        <v>L-ERP-025</v>
      </c>
      <c r="B60" t="str">
        <f>'ERP_AP7 Macro Failed'!D62</f>
        <v>Hase, Raj</v>
      </c>
      <c r="C60" t="str">
        <f>'ERP_AP7 Macro Failed'!E62</f>
        <v>DeHart, Lynn</v>
      </c>
      <c r="D60" t="str">
        <f>'ERP_AP7 Macro Failed'!G62</f>
        <v>MANAGED SERVICES</v>
      </c>
      <c r="E60" t="str">
        <f>'ERP_AP7 Macro Failed'!H62</f>
        <v>Billing Sweep</v>
      </c>
      <c r="F60">
        <f>'ERP_AP7 Macro Failed'!I62</f>
        <v>0</v>
      </c>
      <c r="G60" t="str">
        <f>'ERP_AP7 Macro Failed'!K62</f>
        <v>BillingSweep005</v>
      </c>
      <c r="H60" s="487" t="e" cm="1">
        <f t="array" ref="H60">SUMPRODUCT((ERP[UID]=A60)*(ERP[AP01]+ERP[AP02]+ERP[AP03]+ERP[AP04]+ERP[AP05]))</f>
        <v>#VALUE!</v>
      </c>
      <c r="I60" s="487" cm="1">
        <f t="array" ref="I60">SUMPRODUCT((ERP[UID]=A60)*(ERP[AP01 LE2]+ERP[AP02 LE2]+ERP[AP03 LE2]+ERP[AP04 LE2]+ERP[AP05 LE2]))</f>
        <v>108.52</v>
      </c>
      <c r="J60" s="487">
        <f>'ERP_AP7 Macro Failed'!AL62</f>
        <v>0</v>
      </c>
      <c r="K60" t="str">
        <f t="shared" si="0"/>
        <v>Immaterial</v>
      </c>
      <c r="L60" t="str">
        <f t="shared" si="1"/>
        <v>No</v>
      </c>
    </row>
    <row r="61" spans="1:12">
      <c r="A61" t="str">
        <f>'ERP_AP7 Macro Failed'!A63</f>
        <v>L-ERP-036</v>
      </c>
      <c r="B61" t="str">
        <f>'ERP_AP7 Macro Failed'!D63</f>
        <v>Hase, Raj</v>
      </c>
      <c r="C61" t="str">
        <f>'ERP_AP7 Macro Failed'!E63</f>
        <v>DeHart, Lynn</v>
      </c>
      <c r="D61" t="str">
        <f>'ERP_AP7 Macro Failed'!G63</f>
        <v>SOFTWARE</v>
      </c>
      <c r="E61" t="str">
        <f>'ERP_AP7 Macro Failed'!H63</f>
        <v>Billing Sweep</v>
      </c>
      <c r="F61">
        <f>'ERP_AP7 Macro Failed'!I63</f>
        <v>0</v>
      </c>
      <c r="G61" t="str">
        <f>'ERP_AP7 Macro Failed'!K63</f>
        <v>BillingSweep005</v>
      </c>
      <c r="H61" s="487" t="e" cm="1">
        <f t="array" ref="H61">SUMPRODUCT((ERP[UID]=A61)*(ERP[AP01]+ERP[AP02]+ERP[AP03]+ERP[AP04]+ERP[AP05]))</f>
        <v>#VALUE!</v>
      </c>
      <c r="I61" s="487" cm="1">
        <f t="array" ref="I61">SUMPRODUCT((ERP[UID]=A61)*(ERP[AP01 LE2]+ERP[AP02 LE2]+ERP[AP03 LE2]+ERP[AP04 LE2]+ERP[AP05 LE2]))</f>
        <v>0</v>
      </c>
      <c r="J61" s="487">
        <f>'ERP_AP7 Macro Failed'!AL63</f>
        <v>0</v>
      </c>
      <c r="K61" t="str">
        <f t="shared" si="0"/>
        <v>Immaterial</v>
      </c>
      <c r="L61" t="str">
        <f t="shared" si="1"/>
        <v>No</v>
      </c>
    </row>
    <row r="62" spans="1:12">
      <c r="A62" t="str">
        <f>'ERP_AP7 Macro Failed'!A64</f>
        <v>L-ERP-326</v>
      </c>
      <c r="B62" t="str">
        <f>'ERP_AP7 Macro Failed'!D64</f>
        <v>Dougherty, Chris</v>
      </c>
      <c r="C62" t="str">
        <f>'ERP_AP7 Macro Failed'!E64</f>
        <v>Maguire, Karla</v>
      </c>
      <c r="D62" t="str">
        <f>'ERP_AP7 Macro Failed'!G64</f>
        <v>HW MAINTENANCE</v>
      </c>
      <c r="E62" t="str">
        <f>'ERP_AP7 Macro Failed'!H64</f>
        <v>Billing Sweep</v>
      </c>
      <c r="F62">
        <f>'ERP_AP7 Macro Failed'!I64</f>
        <v>0</v>
      </c>
      <c r="G62" t="str">
        <f>'ERP_AP7 Macro Failed'!K64</f>
        <v>BillingSweep005</v>
      </c>
      <c r="H62" s="487" t="e" cm="1">
        <f t="array" ref="H62">SUMPRODUCT((ERP[UID]=A62)*(ERP[AP01]+ERP[AP02]+ERP[AP03]+ERP[AP04]+ERP[AP05]))</f>
        <v>#VALUE!</v>
      </c>
      <c r="I62" s="487" cm="1">
        <f t="array" ref="I62">SUMPRODUCT((ERP[UID]=A62)*(ERP[AP01 LE2]+ERP[AP02 LE2]+ERP[AP03 LE2]+ERP[AP04 LE2]+ERP[AP05 LE2]))</f>
        <v>-904.37</v>
      </c>
      <c r="J62" s="487">
        <f>'ERP_AP7 Macro Failed'!AL64</f>
        <v>0</v>
      </c>
      <c r="K62" t="str">
        <f t="shared" si="0"/>
        <v>Immaterial</v>
      </c>
      <c r="L62" t="str">
        <f t="shared" si="1"/>
        <v>No</v>
      </c>
    </row>
    <row r="63" spans="1:12">
      <c r="A63" t="str">
        <f>'ERP_AP7 Macro Failed'!A65</f>
        <v>L-ERP-332</v>
      </c>
      <c r="B63" t="str">
        <f>'ERP_AP7 Macro Failed'!D65</f>
        <v>Dougherty, Chris</v>
      </c>
      <c r="C63" t="str">
        <f>'ERP_AP7 Macro Failed'!E65</f>
        <v>Maguire, Karla</v>
      </c>
      <c r="D63" t="str">
        <f>'ERP_AP7 Macro Failed'!G65</f>
        <v>MANAGED SERVICES</v>
      </c>
      <c r="E63" t="str">
        <f>'ERP_AP7 Macro Failed'!H65</f>
        <v>Billing Sweep</v>
      </c>
      <c r="F63">
        <f>'ERP_AP7 Macro Failed'!I65</f>
        <v>0</v>
      </c>
      <c r="G63" t="str">
        <f>'ERP_AP7 Macro Failed'!K65</f>
        <v>BillingSweep005</v>
      </c>
      <c r="H63" s="487" t="e" cm="1">
        <f t="array" ref="H63">SUMPRODUCT((ERP[UID]=A63)*(ERP[AP01]+ERP[AP02]+ERP[AP03]+ERP[AP04]+ERP[AP05]))</f>
        <v>#VALUE!</v>
      </c>
      <c r="I63" s="487" cm="1">
        <f t="array" ref="I63">SUMPRODUCT((ERP[UID]=A63)*(ERP[AP01 LE2]+ERP[AP02 LE2]+ERP[AP03 LE2]+ERP[AP04 LE2]+ERP[AP05 LE2]))</f>
        <v>-108.52</v>
      </c>
      <c r="J63" s="487">
        <f>'ERP_AP7 Macro Failed'!AL65</f>
        <v>0</v>
      </c>
      <c r="K63" t="str">
        <f t="shared" si="0"/>
        <v>Immaterial</v>
      </c>
      <c r="L63" t="str">
        <f t="shared" si="1"/>
        <v>No</v>
      </c>
    </row>
    <row r="64" spans="1:12">
      <c r="A64" t="str">
        <f>'ERP_AP7 Macro Failed'!A66</f>
        <v>L-ERP-338</v>
      </c>
      <c r="B64" t="str">
        <f>'ERP_AP7 Macro Failed'!D66</f>
        <v>Dougherty, Chris</v>
      </c>
      <c r="C64" t="str">
        <f>'ERP_AP7 Macro Failed'!E66</f>
        <v>Maguire, Karla</v>
      </c>
      <c r="D64" t="str">
        <f>'ERP_AP7 Macro Failed'!G66</f>
        <v>SOFTWARE</v>
      </c>
      <c r="E64" t="str">
        <f>'ERP_AP7 Macro Failed'!H66</f>
        <v>Billing Sweep</v>
      </c>
      <c r="F64">
        <f>'ERP_AP7 Macro Failed'!I66</f>
        <v>0</v>
      </c>
      <c r="G64" t="str">
        <f>'ERP_AP7 Macro Failed'!K66</f>
        <v>BillingSweep006</v>
      </c>
      <c r="H64" s="487" t="e" cm="1">
        <f t="array" ref="H64">SUMPRODUCT((ERP[UID]=A64)*(ERP[AP01]+ERP[AP02]+ERP[AP03]+ERP[AP04]+ERP[AP05]))</f>
        <v>#VALUE!</v>
      </c>
      <c r="I64" s="487" cm="1">
        <f t="array" ref="I64">SUMPRODUCT((ERP[UID]=A64)*(ERP[AP01 LE2]+ERP[AP02 LE2]+ERP[AP03 LE2]+ERP[AP04 LE2]+ERP[AP05 LE2]))</f>
        <v>0</v>
      </c>
      <c r="J64" s="487">
        <f>'ERP_AP7 Macro Failed'!AL66</f>
        <v>0</v>
      </c>
      <c r="K64" t="str">
        <f t="shared" si="0"/>
        <v>Immaterial</v>
      </c>
      <c r="L64" t="str">
        <f t="shared" si="1"/>
        <v>No</v>
      </c>
    </row>
    <row r="65" spans="1:12">
      <c r="A65" t="str">
        <f>'ERP_AP7 Macro Failed'!A67</f>
        <v>L-ERP-403</v>
      </c>
      <c r="B65" t="str">
        <f>'ERP_AP7 Macro Failed'!D67</f>
        <v>McGettigan, David</v>
      </c>
      <c r="C65" t="str">
        <f>'ERP_AP7 Macro Failed'!E67</f>
        <v>McGettigan, David</v>
      </c>
      <c r="D65" t="str">
        <f>'ERP_AP7 Macro Failed'!G67</f>
        <v>SOFTWARE</v>
      </c>
      <c r="E65" t="str">
        <f>'ERP_AP7 Macro Failed'!H67</f>
        <v>Billing Sweep</v>
      </c>
      <c r="F65">
        <f>'ERP_AP7 Macro Failed'!I67</f>
        <v>0</v>
      </c>
      <c r="G65" t="str">
        <f>'ERP_AP7 Macro Failed'!K67</f>
        <v>BillingSweep006</v>
      </c>
      <c r="H65" s="487" t="e" cm="1">
        <f t="array" ref="H65">SUMPRODUCT((ERP[UID]=A65)*(ERP[AP01]+ERP[AP02]+ERP[AP03]+ERP[AP04]+ERP[AP05]))</f>
        <v>#VALUE!</v>
      </c>
      <c r="I65" s="487" cm="1">
        <f t="array" ref="I65">SUMPRODUCT((ERP[UID]=A65)*(ERP[AP01 LE2]+ERP[AP02 LE2]+ERP[AP03 LE2]+ERP[AP04 LE2]+ERP[AP05 LE2]))</f>
        <v>0</v>
      </c>
      <c r="J65" s="487">
        <f>'ERP_AP7 Macro Failed'!AL67</f>
        <v>-184.67</v>
      </c>
      <c r="K65" t="str">
        <f t="shared" si="0"/>
        <v>Immaterial</v>
      </c>
      <c r="L65" t="str">
        <f t="shared" si="1"/>
        <v>No</v>
      </c>
    </row>
    <row r="66" spans="1:12">
      <c r="A66" t="str">
        <f>'ERP_AP7 Macro Failed'!A68</f>
        <v>ERP-056</v>
      </c>
      <c r="B66" t="str">
        <f>'ERP_AP7 Macro Failed'!D68</f>
        <v>Dougherty, Chris</v>
      </c>
      <c r="C66" t="str">
        <f>'ERP_AP7 Macro Failed'!E68</f>
        <v>Tamavada, Ram</v>
      </c>
      <c r="D66" t="str">
        <f>'ERP_AP7 Macro Failed'!G68</f>
        <v>MANAGED SERVICES</v>
      </c>
      <c r="E66">
        <f>'ERP_AP7 Macro Failed'!H68</f>
        <v>0</v>
      </c>
      <c r="F66">
        <f>'ERP_AP7 Macro Failed'!I68</f>
        <v>0</v>
      </c>
      <c r="G66" t="str">
        <f>'ERP_AP7 Macro Failed'!K68</f>
        <v>BILLINGSWEEP006</v>
      </c>
      <c r="H66" s="487" t="e" cm="1">
        <f t="array" ref="H66">SUMPRODUCT((ERP[UID]=A66)*(ERP[AP01]+ERP[AP02]+ERP[AP03]+ERP[AP04]+ERP[AP05]))</f>
        <v>#VALUE!</v>
      </c>
      <c r="I66" s="487" cm="1">
        <f t="array" ref="I66">SUMPRODUCT((ERP[UID]=A66)*(ERP[AP01 LE2]+ERP[AP02 LE2]+ERP[AP03 LE2]+ERP[AP04 LE2]+ERP[AP05 LE2]))</f>
        <v>0</v>
      </c>
      <c r="J66" s="487">
        <f>'ERP_AP7 Macro Failed'!AL68</f>
        <v>-269.45</v>
      </c>
      <c r="K66" t="str">
        <f t="shared" si="0"/>
        <v>Immaterial</v>
      </c>
      <c r="L66" t="str">
        <f t="shared" si="1"/>
        <v>No</v>
      </c>
    </row>
    <row r="67" spans="1:12">
      <c r="A67" t="str">
        <f>'ERP_AP7 Macro Failed'!A69</f>
        <v>L-ERP-327</v>
      </c>
      <c r="B67" t="str">
        <f>'ERP_AP7 Macro Failed'!D69</f>
        <v>Dougherty, Chris</v>
      </c>
      <c r="C67" t="str">
        <f>'ERP_AP7 Macro Failed'!E69</f>
        <v>Maguire, Karla</v>
      </c>
      <c r="D67" t="str">
        <f>'ERP_AP7 Macro Failed'!G69</f>
        <v>HW MAINTENANCE</v>
      </c>
      <c r="E67" t="str">
        <f>'ERP_AP7 Macro Failed'!H69</f>
        <v>BillingSweep011</v>
      </c>
      <c r="F67">
        <f>'ERP_AP7 Macro Failed'!I69</f>
        <v>0</v>
      </c>
      <c r="G67" t="str">
        <f>'ERP_AP7 Macro Failed'!K69</f>
        <v>BillingSweep011</v>
      </c>
      <c r="H67" s="487" t="e" cm="1">
        <f t="array" ref="H67">SUMPRODUCT((ERP[UID]=A67)*(ERP[AP01]+ERP[AP02]+ERP[AP03]+ERP[AP04]+ERP[AP05]))</f>
        <v>#VALUE!</v>
      </c>
      <c r="I67" s="487" cm="1">
        <f t="array" ref="I67">SUMPRODUCT((ERP[UID]=A67)*(ERP[AP01 LE2]+ERP[AP02 LE2]+ERP[AP03 LE2]+ERP[AP04 LE2]+ERP[AP05 LE2]))</f>
        <v>0</v>
      </c>
      <c r="J67" s="487">
        <f>'ERP_AP7 Macro Failed'!AL69</f>
        <v>-12412.23</v>
      </c>
      <c r="K67" t="str">
        <f t="shared" si="0"/>
        <v>MATERIAL</v>
      </c>
      <c r="L67" t="str">
        <f t="shared" si="1"/>
        <v>YES</v>
      </c>
    </row>
    <row r="68" spans="1:12">
      <c r="A68" t="str">
        <f>'ERP_AP7 Macro Failed'!A70</f>
        <v>L-ERP-396</v>
      </c>
      <c r="B68" t="str">
        <f>'ERP_AP7 Macro Failed'!D70</f>
        <v>McGettigan, David</v>
      </c>
      <c r="C68" t="str">
        <f>'ERP_AP7 Macro Failed'!E70</f>
        <v>McGettigan, David</v>
      </c>
      <c r="D68" t="str">
        <f>'ERP_AP7 Macro Failed'!G70</f>
        <v>HW MAINTENANCE</v>
      </c>
      <c r="E68" t="str">
        <f>'ERP_AP7 Macro Failed'!H70</f>
        <v>BillingSweep011</v>
      </c>
      <c r="F68">
        <f>'ERP_AP7 Macro Failed'!I70</f>
        <v>0</v>
      </c>
      <c r="G68" t="str">
        <f>'ERP_AP7 Macro Failed'!K70</f>
        <v>BillingSweep011</v>
      </c>
      <c r="H68" s="487" t="e" cm="1">
        <f t="array" ref="H68">SUMPRODUCT((ERP[UID]=A68)*(ERP[AP01]+ERP[AP02]+ERP[AP03]+ERP[AP04]+ERP[AP05]))</f>
        <v>#VALUE!</v>
      </c>
      <c r="I68" s="487" cm="1">
        <f t="array" ref="I68">SUMPRODUCT((ERP[UID]=A68)*(ERP[AP01 LE2]+ERP[AP02 LE2]+ERP[AP03 LE2]+ERP[AP04 LE2]+ERP[AP05 LE2]))</f>
        <v>0</v>
      </c>
      <c r="J68" s="487">
        <f>'ERP_AP7 Macro Failed'!AL70</f>
        <v>-11818.05</v>
      </c>
      <c r="K68" t="str">
        <f t="shared" si="0"/>
        <v>MATERIAL</v>
      </c>
      <c r="L68" t="str">
        <f t="shared" si="1"/>
        <v>YES</v>
      </c>
    </row>
    <row r="69" spans="1:12">
      <c r="A69" t="str">
        <f>'ERP_AP7 Macro Failed'!A71</f>
        <v>L-ERP-399</v>
      </c>
      <c r="B69" t="str">
        <f>'ERP_AP7 Macro Failed'!D71</f>
        <v>McGettigan, David</v>
      </c>
      <c r="C69" t="str">
        <f>'ERP_AP7 Macro Failed'!E71</f>
        <v>McGettigan, David</v>
      </c>
      <c r="D69" t="str">
        <f>'ERP_AP7 Macro Failed'!G71</f>
        <v>MANAGED SERVICES</v>
      </c>
      <c r="E69" t="str">
        <f>'ERP_AP7 Macro Failed'!H71</f>
        <v>BillingSweep011</v>
      </c>
      <c r="F69">
        <f>'ERP_AP7 Macro Failed'!I71</f>
        <v>0</v>
      </c>
      <c r="G69" t="str">
        <f>'ERP_AP7 Macro Failed'!K71</f>
        <v>BillingSweep011</v>
      </c>
      <c r="H69" s="487" t="e" cm="1">
        <f t="array" ref="H69">SUMPRODUCT((ERP[UID]=A69)*(ERP[AP01]+ERP[AP02]+ERP[AP03]+ERP[AP04]+ERP[AP05]))</f>
        <v>#VALUE!</v>
      </c>
      <c r="I69" s="487" cm="1">
        <f t="array" ref="I69">SUMPRODUCT((ERP[UID]=A69)*(ERP[AP01 LE2]+ERP[AP02 LE2]+ERP[AP03 LE2]+ERP[AP04 LE2]+ERP[AP05 LE2]))</f>
        <v>0</v>
      </c>
      <c r="J69" s="487">
        <f>'ERP_AP7 Macro Failed'!AL71</f>
        <v>0</v>
      </c>
      <c r="K69" t="str">
        <f t="shared" si="0"/>
        <v>Immaterial</v>
      </c>
      <c r="L69" t="str">
        <f t="shared" si="1"/>
        <v>No</v>
      </c>
    </row>
    <row r="70" spans="1:12">
      <c r="A70" t="str">
        <f>'ERP_AP7 Macro Failed'!A72</f>
        <v>L-ERP-333</v>
      </c>
      <c r="B70" t="str">
        <f>'ERP_AP7 Macro Failed'!D72</f>
        <v>Dougherty, Chris</v>
      </c>
      <c r="C70" t="str">
        <f>'ERP_AP7 Macro Failed'!E72</f>
        <v>Maguire, Karla</v>
      </c>
      <c r="D70" t="str">
        <f>'ERP_AP7 Macro Failed'!G72</f>
        <v>MANAGED SERVICES</v>
      </c>
      <c r="E70" t="str">
        <f>'ERP_AP7 Macro Failed'!H72</f>
        <v>BillingSweep011</v>
      </c>
      <c r="F70">
        <f>'ERP_AP7 Macro Failed'!I72</f>
        <v>0</v>
      </c>
      <c r="G70" t="str">
        <f>'ERP_AP7 Macro Failed'!K72</f>
        <v>BillingSweep011</v>
      </c>
      <c r="H70" s="487" t="e" cm="1">
        <f t="array" ref="H70">SUMPRODUCT((ERP[UID]=A70)*(ERP[AP01]+ERP[AP02]+ERP[AP03]+ERP[AP04]+ERP[AP05]))</f>
        <v>#VALUE!</v>
      </c>
      <c r="I70" s="487" cm="1">
        <f t="array" ref="I70">SUMPRODUCT((ERP[UID]=A70)*(ERP[AP01 LE2]+ERP[AP02 LE2]+ERP[AP03 LE2]+ERP[AP04 LE2]+ERP[AP05 LE2]))</f>
        <v>0</v>
      </c>
      <c r="J70" s="487">
        <f>'ERP_AP7 Macro Failed'!AL72</f>
        <v>0</v>
      </c>
      <c r="K70" t="str">
        <f t="shared" ref="K70:K133" si="2">IF(ABS(J70)&gt;=10000,"MATERIAL",IF(ABS(J70)&gt;=1000,"Minor","Immaterial"))</f>
        <v>Immaterial</v>
      </c>
      <c r="L70" t="str">
        <f t="shared" ref="L70:L133" si="3">IF(ABS(J70)&gt;=10000,"YES","No")</f>
        <v>No</v>
      </c>
    </row>
    <row r="71" spans="1:12">
      <c r="A71" t="str">
        <f>'ERP_AP7 Macro Failed'!A73</f>
        <v>L-ERP-328</v>
      </c>
      <c r="B71" t="str">
        <f>'ERP_AP7 Macro Failed'!D73</f>
        <v>Dougherty, Chris</v>
      </c>
      <c r="C71" t="str">
        <f>'ERP_AP7 Macro Failed'!E73</f>
        <v>Maguire, Karla</v>
      </c>
      <c r="D71" t="str">
        <f>'ERP_AP7 Macro Failed'!G73</f>
        <v>HW MAINTENANCE</v>
      </c>
      <c r="E71" t="str">
        <f>'ERP_AP7 Macro Failed'!H73</f>
        <v>BillingSweep012</v>
      </c>
      <c r="F71">
        <f>'ERP_AP7 Macro Failed'!I73</f>
        <v>0</v>
      </c>
      <c r="G71" t="str">
        <f>'ERP_AP7 Macro Failed'!K73</f>
        <v>BillingSweep012</v>
      </c>
      <c r="H71" s="487" t="e" cm="1">
        <f t="array" ref="H71">SUMPRODUCT((ERP[UID]=A71)*(ERP[AP01]+ERP[AP02]+ERP[AP03]+ERP[AP04]+ERP[AP05]))</f>
        <v>#VALUE!</v>
      </c>
      <c r="I71" s="487" cm="1">
        <f t="array" ref="I71">SUMPRODUCT((ERP[UID]=A71)*(ERP[AP01 LE2]+ERP[AP02 LE2]+ERP[AP03 LE2]+ERP[AP04 LE2]+ERP[AP05 LE2]))</f>
        <v>0</v>
      </c>
      <c r="J71" s="487">
        <f>'ERP_AP7 Macro Failed'!AL73</f>
        <v>0</v>
      </c>
      <c r="K71" t="str">
        <f t="shared" si="2"/>
        <v>Immaterial</v>
      </c>
      <c r="L71" t="str">
        <f t="shared" si="3"/>
        <v>No</v>
      </c>
    </row>
    <row r="72" spans="1:12">
      <c r="A72" t="str">
        <f>'ERP_AP7 Macro Failed'!A74</f>
        <v>L-ERP-397</v>
      </c>
      <c r="B72" t="str">
        <f>'ERP_AP7 Macro Failed'!D74</f>
        <v>McGettigan, David</v>
      </c>
      <c r="C72" t="str">
        <f>'ERP_AP7 Macro Failed'!E74</f>
        <v>McGettigan, David</v>
      </c>
      <c r="D72" t="str">
        <f>'ERP_AP7 Macro Failed'!G74</f>
        <v>HW MAINTENANCE</v>
      </c>
      <c r="E72" t="str">
        <f>'ERP_AP7 Macro Failed'!H74</f>
        <v>BillingSweep016</v>
      </c>
      <c r="F72">
        <f>'ERP_AP7 Macro Failed'!I74</f>
        <v>0</v>
      </c>
      <c r="G72" t="str">
        <f>'ERP_AP7 Macro Failed'!K74</f>
        <v>BillingSweep016</v>
      </c>
      <c r="H72" s="487" t="e" cm="1">
        <f t="array" ref="H72">SUMPRODUCT((ERP[UID]=A72)*(ERP[AP01]+ERP[AP02]+ERP[AP03]+ERP[AP04]+ERP[AP05]))</f>
        <v>#VALUE!</v>
      </c>
      <c r="I72" s="487" cm="1">
        <f t="array" ref="I72">SUMPRODUCT((ERP[UID]=A72)*(ERP[AP01 LE2]+ERP[AP02 LE2]+ERP[AP03 LE2]+ERP[AP04 LE2]+ERP[AP05 LE2]))</f>
        <v>0</v>
      </c>
      <c r="J72" s="487">
        <f>'ERP_AP7 Macro Failed'!AL74</f>
        <v>0</v>
      </c>
      <c r="K72" t="str">
        <f t="shared" si="2"/>
        <v>Immaterial</v>
      </c>
      <c r="L72" t="str">
        <f t="shared" si="3"/>
        <v>No</v>
      </c>
    </row>
    <row r="73" spans="1:12">
      <c r="A73" t="str">
        <f>'ERP_AP7 Macro Failed'!A75</f>
        <v>L-ERP-329</v>
      </c>
      <c r="B73" t="str">
        <f>'ERP_AP7 Macro Failed'!D75</f>
        <v>Dougherty, Chris</v>
      </c>
      <c r="C73" t="str">
        <f>'ERP_AP7 Macro Failed'!E75</f>
        <v>Maguire, Karla</v>
      </c>
      <c r="D73" t="str">
        <f>'ERP_AP7 Macro Failed'!G75</f>
        <v>HW MAINTENANCE</v>
      </c>
      <c r="E73" t="str">
        <f>'ERP_AP7 Macro Failed'!H75</f>
        <v>BillingSweep016</v>
      </c>
      <c r="F73">
        <f>'ERP_AP7 Macro Failed'!I75</f>
        <v>0</v>
      </c>
      <c r="G73" t="str">
        <f>'ERP_AP7 Macro Failed'!K75</f>
        <v>BillingSweep016</v>
      </c>
      <c r="H73" s="487" t="e" cm="1">
        <f t="array" ref="H73">SUMPRODUCT((ERP[UID]=A73)*(ERP[AP01]+ERP[AP02]+ERP[AP03]+ERP[AP04]+ERP[AP05]))</f>
        <v>#VALUE!</v>
      </c>
      <c r="I73" s="487" cm="1">
        <f t="array" ref="I73">SUMPRODUCT((ERP[UID]=A73)*(ERP[AP01 LE2]+ERP[AP02 LE2]+ERP[AP03 LE2]+ERP[AP04 LE2]+ERP[AP05 LE2]))</f>
        <v>0</v>
      </c>
      <c r="J73" s="487">
        <f>'ERP_AP7 Macro Failed'!AL75</f>
        <v>-3033.45</v>
      </c>
      <c r="K73" t="str">
        <f t="shared" si="2"/>
        <v>Minor</v>
      </c>
      <c r="L73" t="str">
        <f t="shared" si="3"/>
        <v>No</v>
      </c>
    </row>
    <row r="74" spans="1:12">
      <c r="A74" t="str">
        <f>'ERP_AP7 Macro Failed'!A76</f>
        <v>L-ERP-398</v>
      </c>
      <c r="B74" t="str">
        <f>'ERP_AP7 Macro Failed'!D76</f>
        <v>McGettigan, David</v>
      </c>
      <c r="C74" t="str">
        <f>'ERP_AP7 Macro Failed'!E76</f>
        <v>McGettigan, David</v>
      </c>
      <c r="D74" t="str">
        <f>'ERP_AP7 Macro Failed'!G76</f>
        <v>HW MAINTENANCE</v>
      </c>
      <c r="E74" t="str">
        <f>'ERP_AP7 Macro Failed'!H76</f>
        <v>BillingSweep017</v>
      </c>
      <c r="F74">
        <f>'ERP_AP7 Macro Failed'!I76</f>
        <v>0</v>
      </c>
      <c r="G74" t="str">
        <f>'ERP_AP7 Macro Failed'!K76</f>
        <v>BillingSweep017</v>
      </c>
      <c r="H74" s="487" t="e" cm="1">
        <f t="array" ref="H74">SUMPRODUCT((ERP[UID]=A74)*(ERP[AP01]+ERP[AP02]+ERP[AP03]+ERP[AP04]+ERP[AP05]))</f>
        <v>#VALUE!</v>
      </c>
      <c r="I74" s="487" cm="1">
        <f t="array" ref="I74">SUMPRODUCT((ERP[UID]=A74)*(ERP[AP01 LE2]+ERP[AP02 LE2]+ERP[AP03 LE2]+ERP[AP04 LE2]+ERP[AP05 LE2]))</f>
        <v>0</v>
      </c>
      <c r="J74" s="487">
        <f>'ERP_AP7 Macro Failed'!AL76</f>
        <v>-1485.86</v>
      </c>
      <c r="K74" t="str">
        <f t="shared" si="2"/>
        <v>Minor</v>
      </c>
      <c r="L74" t="str">
        <f t="shared" si="3"/>
        <v>No</v>
      </c>
    </row>
    <row r="75" spans="1:12">
      <c r="A75" t="str">
        <f>'ERP_AP7 Macro Failed'!A77</f>
        <v>ERP-032</v>
      </c>
      <c r="B75" t="str">
        <f>'ERP_AP7 Macro Failed'!D77</f>
        <v>Dougherty, Chris</v>
      </c>
      <c r="C75" t="str">
        <f>'ERP_AP7 Macro Failed'!E77</f>
        <v>Maguire, Karla</v>
      </c>
      <c r="D75" t="str">
        <f>'ERP_AP7 Macro Failed'!G77</f>
        <v>HW MAINTENANCE</v>
      </c>
      <c r="E75" t="str">
        <f>'ERP_AP7 Macro Failed'!H77</f>
        <v>ITFM-DIGITAL-CS232234-ITONBOARD</v>
      </c>
      <c r="F75">
        <f>'ERP_AP7 Macro Failed'!I77</f>
        <v>0</v>
      </c>
      <c r="G75" t="str">
        <f>'ERP_AP7 Macro Failed'!K77</f>
        <v>BILLINGSWEEP017</v>
      </c>
      <c r="H75" s="487" t="e" cm="1">
        <f t="array" ref="H75">SUMPRODUCT((ERP[UID]=A75)*(ERP[AP01]+ERP[AP02]+ERP[AP03]+ERP[AP04]+ERP[AP05]))</f>
        <v>#VALUE!</v>
      </c>
      <c r="I75" s="487" cm="1">
        <f t="array" ref="I75">SUMPRODUCT((ERP[UID]=A75)*(ERP[AP01 LE2]+ERP[AP02 LE2]+ERP[AP03 LE2]+ERP[AP04 LE2]+ERP[AP05 LE2]))</f>
        <v>0</v>
      </c>
      <c r="J75" s="487">
        <f>'ERP_AP7 Macro Failed'!AL77</f>
        <v>-638.70000000000005</v>
      </c>
      <c r="K75" t="str">
        <f t="shared" si="2"/>
        <v>Immaterial</v>
      </c>
      <c r="L75" t="str">
        <f t="shared" si="3"/>
        <v>No</v>
      </c>
    </row>
    <row r="76" spans="1:12">
      <c r="A76" t="str">
        <f>'ERP_AP7 Macro Failed'!A78</f>
        <v>ERP-024</v>
      </c>
      <c r="B76" t="str">
        <f>'ERP_AP7 Macro Failed'!D78</f>
        <v>McGettigan, David</v>
      </c>
      <c r="C76" t="str">
        <f>'ERP_AP7 Macro Failed'!E78</f>
        <v>McGettigan, David</v>
      </c>
      <c r="D76" t="str">
        <f>'ERP_AP7 Macro Failed'!G78</f>
        <v>SOFTWARE</v>
      </c>
      <c r="E76" t="str">
        <f>'ERP_AP7 Macro Failed'!H78</f>
        <v>ITFM-DIGITAL-DEVSECOPS</v>
      </c>
      <c r="F76">
        <f>'ERP_AP7 Macro Failed'!I78</f>
        <v>0</v>
      </c>
      <c r="G76" t="str">
        <f>'ERP_AP7 Macro Failed'!K78</f>
        <v>BILLINGSWEEP021</v>
      </c>
      <c r="H76" s="487" t="e" cm="1">
        <f t="array" ref="H76">SUMPRODUCT((ERP[UID]=A76)*(ERP[AP01]+ERP[AP02]+ERP[AP03]+ERP[AP04]+ERP[AP05]))</f>
        <v>#VALUE!</v>
      </c>
      <c r="I76" s="487" cm="1">
        <f t="array" ref="I76">SUMPRODUCT((ERP[UID]=A76)*(ERP[AP01 LE2]+ERP[AP02 LE2]+ERP[AP03 LE2]+ERP[AP04 LE2]+ERP[AP05 LE2]))</f>
        <v>0</v>
      </c>
      <c r="J76" s="487">
        <f>'ERP_AP7 Macro Failed'!AL78</f>
        <v>-451.1</v>
      </c>
      <c r="K76" t="str">
        <f t="shared" si="2"/>
        <v>Immaterial</v>
      </c>
      <c r="L76" t="str">
        <f t="shared" si="3"/>
        <v>No</v>
      </c>
    </row>
    <row r="77" spans="1:12">
      <c r="A77" t="str">
        <f>'ERP_AP7 Macro Failed'!A79</f>
        <v>L-ERP-330</v>
      </c>
      <c r="B77" t="str">
        <f>'ERP_AP7 Macro Failed'!D79</f>
        <v>Dougherty, Chris</v>
      </c>
      <c r="C77" t="str">
        <f>'ERP_AP7 Macro Failed'!E79</f>
        <v>Maguire, Karla</v>
      </c>
      <c r="D77" t="str">
        <f>'ERP_AP7 Macro Failed'!G79</f>
        <v>HW MAINTENANCE</v>
      </c>
      <c r="E77" t="str">
        <f>'ERP_AP7 Macro Failed'!H79</f>
        <v>BillingSweep019</v>
      </c>
      <c r="F77">
        <f>'ERP_AP7 Macro Failed'!I79</f>
        <v>0</v>
      </c>
      <c r="G77" t="str">
        <f>'ERP_AP7 Macro Failed'!K79</f>
        <v>BillingSweep019</v>
      </c>
      <c r="H77" s="487" t="e" cm="1">
        <f t="array" ref="H77">SUMPRODUCT((ERP[UID]=A77)*(ERP[AP01]+ERP[AP02]+ERP[AP03]+ERP[AP04]+ERP[AP05]))</f>
        <v>#VALUE!</v>
      </c>
      <c r="I77" s="487" cm="1">
        <f t="array" ref="I77">SUMPRODUCT((ERP[UID]=A77)*(ERP[AP01 LE2]+ERP[AP02 LE2]+ERP[AP03 LE2]+ERP[AP04 LE2]+ERP[AP05 LE2]))</f>
        <v>0</v>
      </c>
      <c r="J77" s="487">
        <f>'ERP_AP7 Macro Failed'!AL79</f>
        <v>0</v>
      </c>
      <c r="K77" t="str">
        <f t="shared" si="2"/>
        <v>Immaterial</v>
      </c>
      <c r="L77" t="str">
        <f t="shared" si="3"/>
        <v>No</v>
      </c>
    </row>
    <row r="78" spans="1:12">
      <c r="A78" t="str">
        <f>'ERP_AP7 Macro Failed'!A80</f>
        <v>ERP-031</v>
      </c>
      <c r="B78" t="str">
        <f>'ERP_AP7 Macro Failed'!D80</f>
        <v>Dougherty, Chris</v>
      </c>
      <c r="C78" t="str">
        <f>'ERP_AP7 Macro Failed'!E80</f>
        <v>Maguire, Karla</v>
      </c>
      <c r="D78" t="str">
        <f>'ERP_AP7 Macro Failed'!G80</f>
        <v>SOFTWARE</v>
      </c>
      <c r="E78" t="str">
        <f>'ERP_AP7 Macro Failed'!H80</f>
        <v>ITFM-DIGITAL-DEVSECOPS</v>
      </c>
      <c r="F78">
        <f>'ERP_AP7 Macro Failed'!I80</f>
        <v>0</v>
      </c>
      <c r="G78" t="str">
        <f>'ERP_AP7 Macro Failed'!K80</f>
        <v>BILLINGSWEEP021</v>
      </c>
      <c r="H78" s="487" t="e" cm="1">
        <f t="array" ref="H78">SUMPRODUCT((ERP[UID]=A78)*(ERP[AP01]+ERP[AP02]+ERP[AP03]+ERP[AP04]+ERP[AP05]))</f>
        <v>#VALUE!</v>
      </c>
      <c r="I78" s="487" cm="1">
        <f t="array" ref="I78">SUMPRODUCT((ERP[UID]=A78)*(ERP[AP01 LE2]+ERP[AP02 LE2]+ERP[AP03 LE2]+ERP[AP04 LE2]+ERP[AP05 LE2]))</f>
        <v>0</v>
      </c>
      <c r="J78" s="487">
        <f>'ERP_AP7 Macro Failed'!AL80</f>
        <v>-41167.729999999996</v>
      </c>
      <c r="K78" t="str">
        <f t="shared" si="2"/>
        <v>MATERIAL</v>
      </c>
      <c r="L78" t="str">
        <f t="shared" si="3"/>
        <v>YES</v>
      </c>
    </row>
    <row r="79" spans="1:12">
      <c r="A79" t="str">
        <f>'ERP_AP7 Macro Failed'!A81</f>
        <v>L-ERP-400</v>
      </c>
      <c r="B79" t="str">
        <f>'ERP_AP7 Macro Failed'!D81</f>
        <v>McGettigan, David</v>
      </c>
      <c r="C79" t="str">
        <f>'ERP_AP7 Macro Failed'!E81</f>
        <v>McGettigan, David</v>
      </c>
      <c r="D79" t="str">
        <f>'ERP_AP7 Macro Failed'!G81</f>
        <v>MANAGED SERVICES</v>
      </c>
      <c r="E79" t="str">
        <f>'ERP_AP7 Macro Failed'!H81</f>
        <v>BillingSweep021</v>
      </c>
      <c r="F79">
        <f>'ERP_AP7 Macro Failed'!I81</f>
        <v>0</v>
      </c>
      <c r="G79" t="str">
        <f>'ERP_AP7 Macro Failed'!K81</f>
        <v>BillingSweep021</v>
      </c>
      <c r="H79" s="487" t="e" cm="1">
        <f t="array" ref="H79">SUMPRODUCT((ERP[UID]=A79)*(ERP[AP01]+ERP[AP02]+ERP[AP03]+ERP[AP04]+ERP[AP05]))</f>
        <v>#VALUE!</v>
      </c>
      <c r="I79" s="487" cm="1">
        <f t="array" ref="I79">SUMPRODUCT((ERP[UID]=A79)*(ERP[AP01 LE2]+ERP[AP02 LE2]+ERP[AP03 LE2]+ERP[AP04 LE2]+ERP[AP05 LE2]))</f>
        <v>0</v>
      </c>
      <c r="J79" s="487">
        <f>'ERP_AP7 Macro Failed'!AL81</f>
        <v>-5040.41</v>
      </c>
      <c r="K79" t="str">
        <f t="shared" si="2"/>
        <v>Minor</v>
      </c>
      <c r="L79" t="str">
        <f t="shared" si="3"/>
        <v>No</v>
      </c>
    </row>
    <row r="80" spans="1:12">
      <c r="A80" t="str">
        <f>'ERP_AP7 Macro Failed'!A82</f>
        <v>L-ERP-334</v>
      </c>
      <c r="B80" t="str">
        <f>'ERP_AP7 Macro Failed'!D82</f>
        <v>Dougherty, Chris</v>
      </c>
      <c r="C80" t="str">
        <f>'ERP_AP7 Macro Failed'!E82</f>
        <v>Maguire, Karla</v>
      </c>
      <c r="D80" t="str">
        <f>'ERP_AP7 Macro Failed'!G82</f>
        <v>MANAGED SERVICES</v>
      </c>
      <c r="E80" t="str">
        <f>'ERP_AP7 Macro Failed'!H82</f>
        <v>BillingSweep021</v>
      </c>
      <c r="F80">
        <f>'ERP_AP7 Macro Failed'!I82</f>
        <v>0</v>
      </c>
      <c r="G80" t="str">
        <f>'ERP_AP7 Macro Failed'!K82</f>
        <v>BillingSweep021</v>
      </c>
      <c r="H80" s="487" t="e" cm="1">
        <f t="array" ref="H80">SUMPRODUCT((ERP[UID]=A80)*(ERP[AP01]+ERP[AP02]+ERP[AP03]+ERP[AP04]+ERP[AP05]))</f>
        <v>#VALUE!</v>
      </c>
      <c r="I80" s="487" cm="1">
        <f t="array" ref="I80">SUMPRODUCT((ERP[UID]=A80)*(ERP[AP01 LE2]+ERP[AP02 LE2]+ERP[AP03 LE2]+ERP[AP04 LE2]+ERP[AP05 LE2]))</f>
        <v>0</v>
      </c>
      <c r="J80" s="487">
        <f>'ERP_AP7 Macro Failed'!AL82</f>
        <v>-10742.01</v>
      </c>
      <c r="K80" t="str">
        <f t="shared" si="2"/>
        <v>MATERIAL</v>
      </c>
      <c r="L80" t="str">
        <f t="shared" si="3"/>
        <v>YES</v>
      </c>
    </row>
    <row r="81" spans="1:12">
      <c r="A81" t="str">
        <f>'ERP_AP7 Macro Failed'!A83</f>
        <v>ERP-013</v>
      </c>
      <c r="B81" t="str">
        <f>'ERP_AP7 Macro Failed'!D83</f>
        <v>McGettigan, David</v>
      </c>
      <c r="C81" t="str">
        <f>'ERP_AP7 Macro Failed'!E83</f>
        <v>McGettigan, David</v>
      </c>
      <c r="D81" t="str">
        <f>'ERP_AP7 Macro Failed'!G83</f>
        <v>HW MAINTENANCE</v>
      </c>
      <c r="E81" t="str">
        <f>'ERP_AP7 Macro Failed'!H83</f>
        <v>Billing Sweep AP04 Tie-Out</v>
      </c>
      <c r="F81">
        <f>'ERP_AP7 Macro Failed'!I83</f>
        <v>0</v>
      </c>
      <c r="G81" t="str">
        <f>'ERP_AP7 Macro Failed'!K83</f>
        <v>BillSweepMisc</v>
      </c>
      <c r="H81" s="487" t="e" cm="1">
        <f t="array" ref="H81">SUMPRODUCT((ERP[UID]=A81)*(ERP[AP01]+ERP[AP02]+ERP[AP03]+ERP[AP04]+ERP[AP05]))</f>
        <v>#VALUE!</v>
      </c>
      <c r="I81" s="487" cm="1">
        <f t="array" ref="I81">SUMPRODUCT((ERP[UID]=A81)*(ERP[AP01 LE2]+ERP[AP02 LE2]+ERP[AP03 LE2]+ERP[AP04 LE2]+ERP[AP05 LE2]))</f>
        <v>0</v>
      </c>
      <c r="J81" s="487">
        <f>'ERP_AP7 Macro Failed'!AL83</f>
        <v>0</v>
      </c>
      <c r="K81" t="str">
        <f t="shared" si="2"/>
        <v>Immaterial</v>
      </c>
      <c r="L81" t="str">
        <f t="shared" si="3"/>
        <v>No</v>
      </c>
    </row>
    <row r="82" spans="1:12">
      <c r="A82" t="str">
        <f>'ERP_AP7 Macro Failed'!A84</f>
        <v>ERP-012</v>
      </c>
      <c r="B82" t="str">
        <f>'ERP_AP7 Macro Failed'!D84</f>
        <v>Dougherty, Chris</v>
      </c>
      <c r="C82" t="str">
        <f>'ERP_AP7 Macro Failed'!E84</f>
        <v>Dougherty, Chris</v>
      </c>
      <c r="D82" t="str">
        <f>'ERP_AP7 Macro Failed'!G84</f>
        <v>HW MAINTENANCE</v>
      </c>
      <c r="E82" t="str">
        <f>'ERP_AP7 Macro Failed'!H84</f>
        <v>Billing Sweep AP04 Tie-Out</v>
      </c>
      <c r="F82">
        <f>'ERP_AP7 Macro Failed'!I84</f>
        <v>0</v>
      </c>
      <c r="G82" t="str">
        <f>'ERP_AP7 Macro Failed'!K84</f>
        <v>BillSweepMisc</v>
      </c>
      <c r="H82" s="487" t="e" cm="1">
        <f t="array" ref="H82">SUMPRODUCT((ERP[UID]=A82)*(ERP[AP01]+ERP[AP02]+ERP[AP03]+ERP[AP04]+ERP[AP05]))</f>
        <v>#VALUE!</v>
      </c>
      <c r="I82" s="487" cm="1">
        <f t="array" ref="I82">SUMPRODUCT((ERP[UID]=A82)*(ERP[AP01 LE2]+ERP[AP02 LE2]+ERP[AP03 LE2]+ERP[AP04 LE2]+ERP[AP05 LE2]))</f>
        <v>0</v>
      </c>
      <c r="J82" s="487">
        <f>'ERP_AP7 Macro Failed'!AL84</f>
        <v>0</v>
      </c>
      <c r="K82" t="str">
        <f t="shared" si="2"/>
        <v>Immaterial</v>
      </c>
      <c r="L82" t="str">
        <f t="shared" si="3"/>
        <v>No</v>
      </c>
    </row>
    <row r="83" spans="1:12">
      <c r="A83" t="str">
        <f>'ERP_AP7 Macro Failed'!A85</f>
        <v>ERP-015</v>
      </c>
      <c r="B83" t="str">
        <f>'ERP_AP7 Macro Failed'!D85</f>
        <v>McGettigan, David</v>
      </c>
      <c r="C83" t="str">
        <f>'ERP_AP7 Macro Failed'!E85</f>
        <v>McGettigan, David</v>
      </c>
      <c r="D83" t="str">
        <f>'ERP_AP7 Macro Failed'!G85</f>
        <v>MANAGED SERVICES</v>
      </c>
      <c r="E83" t="str">
        <f>'ERP_AP7 Macro Failed'!H85</f>
        <v>Billing Sweep AP04 Tie-Out</v>
      </c>
      <c r="F83">
        <f>'ERP_AP7 Macro Failed'!I85</f>
        <v>0</v>
      </c>
      <c r="G83" t="str">
        <f>'ERP_AP7 Macro Failed'!K85</f>
        <v>BillSweepMisc</v>
      </c>
      <c r="H83" s="487" t="e" cm="1">
        <f t="array" ref="H83">SUMPRODUCT((ERP[UID]=A83)*(ERP[AP01]+ERP[AP02]+ERP[AP03]+ERP[AP04]+ERP[AP05]))</f>
        <v>#VALUE!</v>
      </c>
      <c r="I83" s="487" cm="1">
        <f t="array" ref="I83">SUMPRODUCT((ERP[UID]=A83)*(ERP[AP01 LE2]+ERP[AP02 LE2]+ERP[AP03 LE2]+ERP[AP04 LE2]+ERP[AP05 LE2]))</f>
        <v>0</v>
      </c>
      <c r="J83" s="487">
        <f>'ERP_AP7 Macro Failed'!AL85</f>
        <v>0</v>
      </c>
      <c r="K83" t="str">
        <f t="shared" si="2"/>
        <v>Immaterial</v>
      </c>
      <c r="L83" t="str">
        <f t="shared" si="3"/>
        <v>No</v>
      </c>
    </row>
    <row r="84" spans="1:12">
      <c r="A84" t="str">
        <f>'ERP_AP7 Macro Failed'!A86</f>
        <v>ERP-014</v>
      </c>
      <c r="B84" t="str">
        <f>'ERP_AP7 Macro Failed'!D86</f>
        <v>Dougherty, Chris</v>
      </c>
      <c r="C84" t="str">
        <f>'ERP_AP7 Macro Failed'!E86</f>
        <v>Dougherty, Chris</v>
      </c>
      <c r="D84" t="str">
        <f>'ERP_AP7 Macro Failed'!G86</f>
        <v>MANAGED SERVICES</v>
      </c>
      <c r="E84" t="str">
        <f>'ERP_AP7 Macro Failed'!H86</f>
        <v>Billing Sweep AP04 Tie-Out</v>
      </c>
      <c r="F84">
        <f>'ERP_AP7 Macro Failed'!I86</f>
        <v>0</v>
      </c>
      <c r="G84" t="str">
        <f>'ERP_AP7 Macro Failed'!K86</f>
        <v>BillSweepMisc</v>
      </c>
      <c r="H84" s="487" t="e" cm="1">
        <f t="array" ref="H84">SUMPRODUCT((ERP[UID]=A84)*(ERP[AP01]+ERP[AP02]+ERP[AP03]+ERP[AP04]+ERP[AP05]))</f>
        <v>#VALUE!</v>
      </c>
      <c r="I84" s="487" cm="1">
        <f t="array" ref="I84">SUMPRODUCT((ERP[UID]=A84)*(ERP[AP01 LE2]+ERP[AP02 LE2]+ERP[AP03 LE2]+ERP[AP04 LE2]+ERP[AP05 LE2]))</f>
        <v>0</v>
      </c>
      <c r="J84" s="487">
        <f>'ERP_AP7 Macro Failed'!AL86</f>
        <v>0</v>
      </c>
      <c r="K84" t="str">
        <f t="shared" si="2"/>
        <v>Immaterial</v>
      </c>
      <c r="L84" t="str">
        <f t="shared" si="3"/>
        <v>No</v>
      </c>
    </row>
    <row r="85" spans="1:12">
      <c r="A85" t="str">
        <f>'ERP_AP7 Macro Failed'!A87</f>
        <v>ERP-017</v>
      </c>
      <c r="B85" t="str">
        <f>'ERP_AP7 Macro Failed'!D87</f>
        <v>McGettigan, David</v>
      </c>
      <c r="C85" t="str">
        <f>'ERP_AP7 Macro Failed'!E87</f>
        <v>McGettigan, David</v>
      </c>
      <c r="D85" t="str">
        <f>'ERP_AP7 Macro Failed'!G87</f>
        <v>SOFTWARE</v>
      </c>
      <c r="E85" t="str">
        <f>'ERP_AP7 Macro Failed'!H87</f>
        <v>Billing Sweep AP04 Tie-Out</v>
      </c>
      <c r="F85">
        <f>'ERP_AP7 Macro Failed'!I87</f>
        <v>0</v>
      </c>
      <c r="G85" t="str">
        <f>'ERP_AP7 Macro Failed'!K87</f>
        <v>BillSweepMisc</v>
      </c>
      <c r="H85" s="487" t="e" cm="1">
        <f t="array" ref="H85">SUMPRODUCT((ERP[UID]=A85)*(ERP[AP01]+ERP[AP02]+ERP[AP03]+ERP[AP04]+ERP[AP05]))</f>
        <v>#VALUE!</v>
      </c>
      <c r="I85" s="487" cm="1">
        <f t="array" ref="I85">SUMPRODUCT((ERP[UID]=A85)*(ERP[AP01 LE2]+ERP[AP02 LE2]+ERP[AP03 LE2]+ERP[AP04 LE2]+ERP[AP05 LE2]))</f>
        <v>0</v>
      </c>
      <c r="J85" s="487">
        <f>'ERP_AP7 Macro Failed'!AL87</f>
        <v>0</v>
      </c>
      <c r="K85" t="str">
        <f t="shared" si="2"/>
        <v>Immaterial</v>
      </c>
      <c r="L85" t="str">
        <f t="shared" si="3"/>
        <v>No</v>
      </c>
    </row>
    <row r="86" spans="1:12">
      <c r="A86" t="str">
        <f>'ERP_AP7 Macro Failed'!A88</f>
        <v>ERP-025</v>
      </c>
      <c r="B86" t="str">
        <f>'ERP_AP7 Macro Failed'!D88</f>
        <v>McGettigan, David</v>
      </c>
      <c r="C86" t="str">
        <f>'ERP_AP7 Macro Failed'!E88</f>
        <v>McGettigan, David</v>
      </c>
      <c r="D86" t="str">
        <f>'ERP_AP7 Macro Failed'!G88</f>
        <v>MANAGED SERVICES</v>
      </c>
      <c r="E86" t="str">
        <f>'ERP_AP7 Macro Failed'!H88</f>
        <v>DIGITAL-CLOUD-AWS-DATAPROTECTION</v>
      </c>
      <c r="F86">
        <f>'ERP_AP7 Macro Failed'!I88</f>
        <v>0</v>
      </c>
      <c r="G86" t="str">
        <f>'ERP_AP7 Macro Failed'!K88</f>
        <v>CC-BTF25001-02-EX</v>
      </c>
      <c r="H86" s="487" t="e" cm="1">
        <f t="array" ref="H86">SUMPRODUCT((ERP[UID]=A86)*(ERP[AP01]+ERP[AP02]+ERP[AP03]+ERP[AP04]+ERP[AP05]))</f>
        <v>#VALUE!</v>
      </c>
      <c r="I86" s="487" cm="1">
        <f t="array" ref="I86">SUMPRODUCT((ERP[UID]=A86)*(ERP[AP01 LE2]+ERP[AP02 LE2]+ERP[AP03 LE2]+ERP[AP04 LE2]+ERP[AP05 LE2]))</f>
        <v>0</v>
      </c>
      <c r="J86" s="487">
        <f>'ERP_AP7 Macro Failed'!AL88</f>
        <v>768.15</v>
      </c>
      <c r="K86" t="str">
        <f t="shared" si="2"/>
        <v>Immaterial</v>
      </c>
      <c r="L86" t="str">
        <f t="shared" si="3"/>
        <v>No</v>
      </c>
    </row>
    <row r="87" spans="1:12">
      <c r="A87" t="str">
        <f>'ERP_AP7 Macro Failed'!A89</f>
        <v>L-ERP-433</v>
      </c>
      <c r="B87" t="str">
        <f>'ERP_AP7 Macro Failed'!D89</f>
        <v>McGettigan, David</v>
      </c>
      <c r="C87" t="str">
        <f>'ERP_AP7 Macro Failed'!E89</f>
        <v>McGettigan, David</v>
      </c>
      <c r="D87" t="str">
        <f>'ERP_AP7 Macro Failed'!G89</f>
        <v>CONTRACTORS</v>
      </c>
      <c r="E87" t="str">
        <f>'ERP_AP7 Macro Failed'!H89</f>
        <v>P323-0011535 - SAP BW/4HANA Upgrade</v>
      </c>
      <c r="F87">
        <f>'ERP_AP7 Macro Failed'!I89</f>
        <v>0</v>
      </c>
      <c r="G87" t="str">
        <f>'ERP_AP7 Macro Failed'!K89</f>
        <v>CC-BTF25001-02-EX</v>
      </c>
      <c r="H87" s="487" t="e" cm="1">
        <f t="array" ref="H87">SUMPRODUCT((ERP[UID]=A87)*(ERP[AP01]+ERP[AP02]+ERP[AP03]+ERP[AP04]+ERP[AP05]))</f>
        <v>#VALUE!</v>
      </c>
      <c r="I87" s="487" cm="1">
        <f t="array" ref="I87">SUMPRODUCT((ERP[UID]=A87)*(ERP[AP01 LE2]+ERP[AP02 LE2]+ERP[AP03 LE2]+ERP[AP04 LE2]+ERP[AP05 LE2]))</f>
        <v>265953</v>
      </c>
      <c r="J87" s="487">
        <f>'ERP_AP7 Macro Failed'!AL89</f>
        <v>-30936.75</v>
      </c>
      <c r="K87" t="str">
        <f t="shared" si="2"/>
        <v>MATERIAL</v>
      </c>
      <c r="L87" t="str">
        <f t="shared" si="3"/>
        <v>YES</v>
      </c>
    </row>
    <row r="88" spans="1:12">
      <c r="A88" t="str">
        <f>'ERP_AP7 Macro Failed'!A90</f>
        <v>ERP-048</v>
      </c>
      <c r="B88" t="str">
        <f>'ERP_AP7 Macro Failed'!D90</f>
        <v>McGettigan, David</v>
      </c>
      <c r="C88" t="str">
        <f>'ERP_AP7 Macro Failed'!E90</f>
        <v>McGettigan, David</v>
      </c>
      <c r="D88" t="str">
        <f>'ERP_AP7 Macro Failed'!G90</f>
        <v>SOFTWARE</v>
      </c>
      <c r="E88" t="str">
        <f>'ERP_AP7 Macro Failed'!H90</f>
        <v>P321-0006710 SAP S4 - DIGITAL-COPILOT</v>
      </c>
      <c r="F88">
        <f>'ERP_AP7 Macro Failed'!I90</f>
        <v>0</v>
      </c>
      <c r="G88" t="str">
        <f>'ERP_AP7 Macro Failed'!K90</f>
        <v>CE-BTF22001-02-EX</v>
      </c>
      <c r="H88" s="487" t="e" cm="1">
        <f t="array" ref="H88">SUMPRODUCT((ERP[UID]=A88)*(ERP[AP01]+ERP[AP02]+ERP[AP03]+ERP[AP04]+ERP[AP05]))</f>
        <v>#VALUE!</v>
      </c>
      <c r="I88" s="487" cm="1">
        <f t="array" ref="I88">SUMPRODUCT((ERP[UID]=A88)*(ERP[AP01 LE2]+ERP[AP02 LE2]+ERP[AP03 LE2]+ERP[AP04 LE2]+ERP[AP05 LE2]))</f>
        <v>0</v>
      </c>
      <c r="J88" s="487">
        <f>'ERP_AP7 Macro Failed'!AL90</f>
        <v>227</v>
      </c>
      <c r="K88" t="str">
        <f t="shared" si="2"/>
        <v>Immaterial</v>
      </c>
      <c r="L88" t="str">
        <f t="shared" si="3"/>
        <v>No</v>
      </c>
    </row>
    <row r="89" spans="1:12">
      <c r="A89" t="str">
        <f>'ERP_AP7 Macro Failed'!A91</f>
        <v>L-ERP-183</v>
      </c>
      <c r="B89" t="str">
        <f>'ERP_AP7 Macro Failed'!D91</f>
        <v>Hase, Raj</v>
      </c>
      <c r="C89" t="str">
        <f>'ERP_AP7 Macro Failed'!E91</f>
        <v>Hase, Raj</v>
      </c>
      <c r="D89" t="str">
        <f>'ERP_AP7 Macro Failed'!G91</f>
        <v>MANAGED SERVICES</v>
      </c>
      <c r="E89" t="str">
        <f>'ERP_AP7 Macro Failed'!H91</f>
        <v>SAP / S4 HANA</v>
      </c>
      <c r="F89">
        <f>'ERP_AP7 Macro Failed'!I91</f>
        <v>0</v>
      </c>
      <c r="G89" t="str">
        <f>'ERP_AP7 Macro Failed'!K91</f>
        <v>CE-BTF22001-02-EX</v>
      </c>
      <c r="H89" s="487" t="e" cm="1">
        <f t="array" ref="H89">SUMPRODUCT((ERP[UID]=A89)*(ERP[AP01]+ERP[AP02]+ERP[AP03]+ERP[AP04]+ERP[AP05]))</f>
        <v>#VALUE!</v>
      </c>
      <c r="I89" s="487" cm="1">
        <f t="array" ref="I89">SUMPRODUCT((ERP[UID]=A89)*(ERP[AP01 LE2]+ERP[AP02 LE2]+ERP[AP03 LE2]+ERP[AP04 LE2]+ERP[AP05 LE2]))</f>
        <v>2263.3900000000003</v>
      </c>
      <c r="J89" s="487">
        <f>'ERP_AP7 Macro Failed'!AL91</f>
        <v>341</v>
      </c>
      <c r="K89" t="str">
        <f t="shared" si="2"/>
        <v>Immaterial</v>
      </c>
      <c r="L89" t="str">
        <f t="shared" si="3"/>
        <v>No</v>
      </c>
    </row>
    <row r="90" spans="1:12">
      <c r="A90" t="str">
        <f>'ERP_AP7 Macro Failed'!A92</f>
        <v>L-ERP-414</v>
      </c>
      <c r="B90" t="str">
        <f>'ERP_AP7 Macro Failed'!D92</f>
        <v>McGettigan, David</v>
      </c>
      <c r="C90" t="str">
        <f>'ERP_AP7 Macro Failed'!E92</f>
        <v>McGettigan, David</v>
      </c>
      <c r="D90" t="str">
        <f>'ERP_AP7 Macro Failed'!G92</f>
        <v>MANAGED SERVICES</v>
      </c>
      <c r="E90" t="str">
        <f>'ERP_AP7 Macro Failed'!H92</f>
        <v>SAP / S4 HANA</v>
      </c>
      <c r="F90">
        <f>'ERP_AP7 Macro Failed'!I92</f>
        <v>0</v>
      </c>
      <c r="G90" t="str">
        <f>'ERP_AP7 Macro Failed'!K92</f>
        <v>CE-BTF22001-02-EX</v>
      </c>
      <c r="H90" s="487" t="e" cm="1">
        <f t="array" ref="H90">SUMPRODUCT((ERP[UID]=A90)*(ERP[AP01]+ERP[AP02]+ERP[AP03]+ERP[AP04]+ERP[AP05]))</f>
        <v>#VALUE!</v>
      </c>
      <c r="I90" s="487" cm="1">
        <f t="array" ref="I90">SUMPRODUCT((ERP[UID]=A90)*(ERP[AP01 LE2]+ERP[AP02 LE2]+ERP[AP03 LE2]+ERP[AP04 LE2]+ERP[AP05 LE2]))</f>
        <v>9805.44</v>
      </c>
      <c r="J90" s="487">
        <f>'ERP_AP7 Macro Failed'!AL92</f>
        <v>1720.1900000000005</v>
      </c>
      <c r="K90" t="str">
        <f t="shared" si="2"/>
        <v>Minor</v>
      </c>
      <c r="L90" t="str">
        <f t="shared" si="3"/>
        <v>No</v>
      </c>
    </row>
    <row r="91" spans="1:12">
      <c r="A91" t="str">
        <f>'ERP_AP7 Macro Failed'!A93</f>
        <v>L-ERP-434</v>
      </c>
      <c r="B91" t="str">
        <f>'ERP_AP7 Macro Failed'!D93</f>
        <v>McGettigan, David</v>
      </c>
      <c r="C91" t="str">
        <f>'ERP_AP7 Macro Failed'!E93</f>
        <v>McGettigan, David</v>
      </c>
      <c r="D91" t="str">
        <f>'ERP_AP7 Macro Failed'!G93</f>
        <v>CONTRACTORS</v>
      </c>
      <c r="E91" t="str">
        <f>'ERP_AP7 Macro Failed'!H93</f>
        <v>SAP / S4 HANA</v>
      </c>
      <c r="F91">
        <f>'ERP_AP7 Macro Failed'!I93</f>
        <v>0</v>
      </c>
      <c r="G91" t="str">
        <f>'ERP_AP7 Macro Failed'!K93</f>
        <v>CE-BTF22001-02-EX</v>
      </c>
      <c r="H91" s="487" t="e" cm="1">
        <f t="array" ref="H91">SUMPRODUCT((ERP[UID]=A91)*(ERP[AP01]+ERP[AP02]+ERP[AP03]+ERP[AP04]+ERP[AP05]))</f>
        <v>#VALUE!</v>
      </c>
      <c r="I91" s="487" cm="1">
        <f t="array" ref="I91">SUMPRODUCT((ERP[UID]=A91)*(ERP[AP01 LE2]+ERP[AP02 LE2]+ERP[AP03 LE2]+ERP[AP04 LE2]+ERP[AP05 LE2]))</f>
        <v>408433.56</v>
      </c>
      <c r="J91" s="487">
        <f>'ERP_AP7 Macro Failed'!AL93</f>
        <v>89091.899999999965</v>
      </c>
      <c r="K91" t="str">
        <f t="shared" si="2"/>
        <v>MATERIAL</v>
      </c>
      <c r="L91" t="str">
        <f t="shared" si="3"/>
        <v>YES</v>
      </c>
    </row>
    <row r="92" spans="1:12">
      <c r="A92" t="str">
        <f>'ERP_AP7 Macro Failed'!A94</f>
        <v>L-ERP-429</v>
      </c>
      <c r="B92" t="str">
        <f>'ERP_AP7 Macro Failed'!D94</f>
        <v>McGettigan, David</v>
      </c>
      <c r="C92" t="str">
        <f>'ERP_AP7 Macro Failed'!E94</f>
        <v>McGettigan, David</v>
      </c>
      <c r="D92" t="str">
        <f>'ERP_AP7 Macro Failed'!G94</f>
        <v>CONTRACTORS</v>
      </c>
      <c r="E92" t="str">
        <f>'ERP_AP7 Macro Failed'!H94</f>
        <v>SAP ERP - 2024 Lifecycle Management Projects (P323-0010999)</v>
      </c>
      <c r="F92">
        <f>'ERP_AP7 Macro Failed'!I94</f>
        <v>0</v>
      </c>
      <c r="G92" t="str">
        <f>'ERP_AP7 Macro Failed'!K94</f>
        <v>CE-BTF24000-02-EX</v>
      </c>
      <c r="H92" s="487" t="e" cm="1">
        <f t="array" ref="H92">SUMPRODUCT((ERP[UID]=A92)*(ERP[AP01]+ERP[AP02]+ERP[AP03]+ERP[AP04]+ERP[AP05]))</f>
        <v>#VALUE!</v>
      </c>
      <c r="I92" s="487" cm="1">
        <f t="array" ref="I92">SUMPRODUCT((ERP[UID]=A92)*(ERP[AP01 LE2]+ERP[AP02 LE2]+ERP[AP03 LE2]+ERP[AP04 LE2]+ERP[AP05 LE2]))</f>
        <v>0</v>
      </c>
      <c r="J92" s="487">
        <f>'ERP_AP7 Macro Failed'!AL94</f>
        <v>0</v>
      </c>
      <c r="K92" t="str">
        <f t="shared" si="2"/>
        <v>Immaterial</v>
      </c>
      <c r="L92" t="str">
        <f t="shared" si="3"/>
        <v>No</v>
      </c>
    </row>
    <row r="93" spans="1:12">
      <c r="A93" t="str">
        <f>'ERP_AP7 Macro Failed'!A95</f>
        <v>N-ERP-603</v>
      </c>
      <c r="B93" t="str">
        <f>'ERP_AP7 Macro Failed'!D95</f>
        <v>McGettigan, David</v>
      </c>
      <c r="C93" t="str">
        <f>'ERP_AP7 Macro Failed'!E95</f>
        <v>McGettigan, David</v>
      </c>
      <c r="D93" t="str">
        <f>'ERP_AP7 Macro Failed'!G95</f>
        <v>CONTRACTORS</v>
      </c>
      <c r="E93" t="str">
        <f>'ERP_AP7 Macro Failed'!H95</f>
        <v>SAP GTS Upgrade</v>
      </c>
      <c r="F93">
        <f>'ERP_AP7 Macro Failed'!I95</f>
        <v>0</v>
      </c>
      <c r="G93" t="str">
        <f>'ERP_AP7 Macro Failed'!K95</f>
        <v>CE-BTF24002-02-EX</v>
      </c>
      <c r="H93" s="487" t="e" cm="1">
        <f t="array" ref="H93">SUMPRODUCT((ERP[UID]=A93)*(ERP[AP01]+ERP[AP02]+ERP[AP03]+ERP[AP04]+ERP[AP05]))</f>
        <v>#VALUE!</v>
      </c>
      <c r="I93" s="487" cm="1">
        <f t="array" ref="I93">SUMPRODUCT((ERP[UID]=A93)*(ERP[AP01 LE2]+ERP[AP02 LE2]+ERP[AP03 LE2]+ERP[AP04 LE2]+ERP[AP05 LE2]))</f>
        <v>0</v>
      </c>
      <c r="J93" s="487">
        <f>'ERP_AP7 Macro Failed'!AL95</f>
        <v>0</v>
      </c>
      <c r="K93" t="str">
        <f t="shared" si="2"/>
        <v>Immaterial</v>
      </c>
      <c r="L93" t="str">
        <f t="shared" si="3"/>
        <v>No</v>
      </c>
    </row>
    <row r="94" spans="1:12">
      <c r="A94" t="str">
        <f>'ERP_AP7 Macro Failed'!A96</f>
        <v>ERP-046</v>
      </c>
      <c r="B94" t="str">
        <f>'ERP_AP7 Macro Failed'!D96</f>
        <v>McGettigan, David</v>
      </c>
      <c r="C94" t="str">
        <f>'ERP_AP7 Macro Failed'!E96</f>
        <v>McGettigan, David</v>
      </c>
      <c r="D94" t="str">
        <f>'ERP_AP7 Macro Failed'!G96</f>
        <v>MANAGED SERVICES</v>
      </c>
      <c r="E94" t="str">
        <f>'ERP_AP7 Macro Failed'!H96</f>
        <v>DFP RECLASS-P324-0013058-SAP ERP - 2025 LIFECYCLE</v>
      </c>
      <c r="F94">
        <f>'ERP_AP7 Macro Failed'!I96</f>
        <v>0</v>
      </c>
      <c r="G94" t="str">
        <f>'ERP_AP7 Macro Failed'!K96</f>
        <v>CE-BTF24003-02-EX</v>
      </c>
      <c r="H94" s="487" t="e" cm="1">
        <f t="array" ref="H94">SUMPRODUCT((ERP[UID]=A94)*(ERP[AP01]+ERP[AP02]+ERP[AP03]+ERP[AP04]+ERP[AP05]))</f>
        <v>#VALUE!</v>
      </c>
      <c r="I94" s="487" cm="1">
        <f t="array" ref="I94">SUMPRODUCT((ERP[UID]=A94)*(ERP[AP01 LE2]+ERP[AP02 LE2]+ERP[AP03 LE2]+ERP[AP04 LE2]+ERP[AP05 LE2]))</f>
        <v>0</v>
      </c>
      <c r="J94" s="487">
        <f>'ERP_AP7 Macro Failed'!AL96</f>
        <v>-10419.43</v>
      </c>
      <c r="K94" t="str">
        <f t="shared" si="2"/>
        <v>MATERIAL</v>
      </c>
      <c r="L94" t="str">
        <f t="shared" si="3"/>
        <v>YES</v>
      </c>
    </row>
    <row r="95" spans="1:12">
      <c r="A95" t="str">
        <f>'ERP_AP7 Macro Failed'!A97</f>
        <v>L-ERP-424</v>
      </c>
      <c r="B95" t="str">
        <f>'ERP_AP7 Macro Failed'!D97</f>
        <v>McGettigan, David</v>
      </c>
      <c r="C95" t="str">
        <f>'ERP_AP7 Macro Failed'!E97</f>
        <v>McGettigan, David</v>
      </c>
      <c r="D95" t="str">
        <f>'ERP_AP7 Macro Failed'!G97</f>
        <v>CONTRACTORS</v>
      </c>
      <c r="E95" t="str">
        <f>'ERP_AP7 Macro Failed'!H97</f>
        <v>SAP ERP - 2025 Lifecycle Management Projects (P324-0013058)</v>
      </c>
      <c r="F95">
        <f>'ERP_AP7 Macro Failed'!I97</f>
        <v>0</v>
      </c>
      <c r="G95" t="str">
        <f>'ERP_AP7 Macro Failed'!K97</f>
        <v>CE-BTF24003-02-EX</v>
      </c>
      <c r="H95" s="487" t="e" cm="1">
        <f t="array" ref="H95">SUMPRODUCT((ERP[UID]=A95)*(ERP[AP01]+ERP[AP02]+ERP[AP03]+ERP[AP04]+ERP[AP05]))</f>
        <v>#VALUE!</v>
      </c>
      <c r="I95" s="487" cm="1">
        <f t="array" ref="I95">SUMPRODUCT((ERP[UID]=A95)*(ERP[AP01 LE2]+ERP[AP02 LE2]+ERP[AP03 LE2]+ERP[AP04 LE2]+ERP[AP05 LE2]))</f>
        <v>-1032</v>
      </c>
      <c r="J95" s="487">
        <f>'ERP_AP7 Macro Failed'!AL97</f>
        <v>-100</v>
      </c>
      <c r="K95" t="str">
        <f t="shared" si="2"/>
        <v>Immaterial</v>
      </c>
      <c r="L95" t="str">
        <f t="shared" si="3"/>
        <v>No</v>
      </c>
    </row>
    <row r="96" spans="1:12">
      <c r="A96" t="str">
        <f>'ERP_AP7 Macro Failed'!A98</f>
        <v>L-ERP-420</v>
      </c>
      <c r="B96" t="str">
        <f>'ERP_AP7 Macro Failed'!D98</f>
        <v>McGettigan, David</v>
      </c>
      <c r="C96" t="str">
        <f>'ERP_AP7 Macro Failed'!E98</f>
        <v>McGettigan, David</v>
      </c>
      <c r="D96" t="str">
        <f>'ERP_AP7 Macro Failed'!G98</f>
        <v>CONTRACTORS</v>
      </c>
      <c r="E96" t="str">
        <f>'ERP_AP7 Macro Failed'!H98</f>
        <v>SAP ERP - 2026 Lifecycle Management</v>
      </c>
      <c r="F96">
        <f>'ERP_AP7 Macro Failed'!I98</f>
        <v>0</v>
      </c>
      <c r="G96" t="str">
        <f>'ERP_AP7 Macro Failed'!K98</f>
        <v>CE-BTF26000-02-EX</v>
      </c>
      <c r="H96" s="487" t="e" cm="1">
        <f t="array" ref="H96">SUMPRODUCT((ERP[UID]=A96)*(ERP[AP01]+ERP[AP02]+ERP[AP03]+ERP[AP04]+ERP[AP05]))</f>
        <v>#VALUE!</v>
      </c>
      <c r="I96" s="487" cm="1">
        <f t="array" ref="I96">SUMPRODUCT((ERP[UID]=A96)*(ERP[AP01 LE2]+ERP[AP02 LE2]+ERP[AP03 LE2]+ERP[AP04 LE2]+ERP[AP05 LE2]))</f>
        <v>0</v>
      </c>
      <c r="J96" s="487">
        <f>'ERP_AP7 Macro Failed'!AL98</f>
        <v>0</v>
      </c>
      <c r="K96" t="str">
        <f t="shared" si="2"/>
        <v>Immaterial</v>
      </c>
      <c r="L96" t="str">
        <f t="shared" si="3"/>
        <v>No</v>
      </c>
    </row>
    <row r="97" spans="1:12">
      <c r="A97" t="str">
        <f>'ERP_AP7 Macro Failed'!A99</f>
        <v>L-ERP-007</v>
      </c>
      <c r="B97" t="str">
        <f>'ERP_AP7 Macro Failed'!D99</f>
        <v>Hase, Raj</v>
      </c>
      <c r="C97" t="str">
        <f>'ERP_AP7 Macro Failed'!E99</f>
        <v>DeHart, Lynn</v>
      </c>
      <c r="D97" t="str">
        <f>'ERP_AP7 Macro Failed'!G99</f>
        <v>TRAVEL &amp; ENTERTAINMENT</v>
      </c>
      <c r="E97" t="str">
        <f>'ERP_AP7 Macro Failed'!H99</f>
        <v>P322-0008813 - Next Gen Planning &amp; Sched</v>
      </c>
      <c r="F97">
        <f>'ERP_AP7 Macro Failed'!I99</f>
        <v>0</v>
      </c>
      <c r="G97" t="str">
        <f>'ERP_AP7 Macro Failed'!K99</f>
        <v>CE-BTS23000-02-EX-GR</v>
      </c>
      <c r="H97" s="487" t="e" cm="1">
        <f t="array" ref="H97">SUMPRODUCT((ERP[UID]=A97)*(ERP[AP01]+ERP[AP02]+ERP[AP03]+ERP[AP04]+ERP[AP05]))</f>
        <v>#VALUE!</v>
      </c>
      <c r="I97" s="487" cm="1">
        <f t="array" ref="I97">SUMPRODUCT((ERP[UID]=A97)*(ERP[AP01 LE2]+ERP[AP02 LE2]+ERP[AP03 LE2]+ERP[AP04 LE2]+ERP[AP05 LE2]))</f>
        <v>485.43</v>
      </c>
      <c r="J97" s="487">
        <f>'ERP_AP7 Macro Failed'!AL99</f>
        <v>0</v>
      </c>
      <c r="K97" t="str">
        <f t="shared" si="2"/>
        <v>Immaterial</v>
      </c>
      <c r="L97" t="str">
        <f t="shared" si="3"/>
        <v>No</v>
      </c>
    </row>
    <row r="98" spans="1:12">
      <c r="A98" t="str">
        <f>'ERP_AP7 Macro Failed'!A100</f>
        <v>L-ERP-037</v>
      </c>
      <c r="B98" t="str">
        <f>'ERP_AP7 Macro Failed'!D100</f>
        <v>Hase, Raj</v>
      </c>
      <c r="C98" t="str">
        <f>'ERP_AP7 Macro Failed'!E100</f>
        <v>DeHart, Lynn</v>
      </c>
      <c r="D98" t="str">
        <f>'ERP_AP7 Macro Failed'!G100</f>
        <v>SOFTWARE</v>
      </c>
      <c r="E98" t="str">
        <f>'ERP_AP7 Macro Failed'!H100</f>
        <v>Colleague Solutions Delivery Chargebacks</v>
      </c>
      <c r="F98">
        <f>'ERP_AP7 Macro Failed'!I100</f>
        <v>0</v>
      </c>
      <c r="G98" t="str">
        <f>'ERP_AP7 Macro Failed'!K100</f>
        <v>ColleagueSolutions001</v>
      </c>
      <c r="H98" s="487" t="e" cm="1">
        <f t="array" ref="H98">SUMPRODUCT((ERP[UID]=A98)*(ERP[AP01]+ERP[AP02]+ERP[AP03]+ERP[AP04]+ERP[AP05]))</f>
        <v>#VALUE!</v>
      </c>
      <c r="I98" s="487" cm="1">
        <f t="array" ref="I98">SUMPRODUCT((ERP[UID]=A98)*(ERP[AP01 LE2]+ERP[AP02 LE2]+ERP[AP03 LE2]+ERP[AP04 LE2]+ERP[AP05 LE2]))</f>
        <v>3227.2200000000003</v>
      </c>
      <c r="J98" s="487">
        <f>'ERP_AP7 Macro Failed'!AL100</f>
        <v>773.61999999999989</v>
      </c>
      <c r="K98" t="str">
        <f t="shared" si="2"/>
        <v>Immaterial</v>
      </c>
      <c r="L98" t="str">
        <f t="shared" si="3"/>
        <v>No</v>
      </c>
    </row>
    <row r="99" spans="1:12">
      <c r="A99" t="str">
        <f>'ERP_AP7 Macro Failed'!A101</f>
        <v>ERP-016</v>
      </c>
      <c r="B99" t="str">
        <f>'ERP_AP7 Macro Failed'!D101</f>
        <v>Dougherty, Chris</v>
      </c>
      <c r="C99" t="str">
        <f>'ERP_AP7 Macro Failed'!E101</f>
        <v>Dougherty, Chris</v>
      </c>
      <c r="D99" t="str">
        <f>'ERP_AP7 Macro Failed'!G101</f>
        <v>SOFTWARE</v>
      </c>
      <c r="E99" t="str">
        <f>'ERP_AP7 Macro Failed'!H101</f>
        <v>Billing Sweep AP04 Tie-Out</v>
      </c>
      <c r="F99">
        <f>'ERP_AP7 Macro Failed'!I101</f>
        <v>0</v>
      </c>
      <c r="G99" t="str">
        <f>'ERP_AP7 Macro Failed'!K101</f>
        <v>BillSweepMisc</v>
      </c>
      <c r="H99" s="487" t="e" cm="1">
        <f t="array" ref="H99">SUMPRODUCT((ERP[UID]=A99)*(ERP[AP01]+ERP[AP02]+ERP[AP03]+ERP[AP04]+ERP[AP05]))</f>
        <v>#VALUE!</v>
      </c>
      <c r="I99" s="487" cm="1">
        <f t="array" ref="I99">SUMPRODUCT((ERP[UID]=A99)*(ERP[AP01 LE2]+ERP[AP02 LE2]+ERP[AP03 LE2]+ERP[AP04 LE2]+ERP[AP05 LE2]))</f>
        <v>0</v>
      </c>
      <c r="J99" s="487">
        <f>'ERP_AP7 Macro Failed'!AL101</f>
        <v>0</v>
      </c>
      <c r="K99" t="str">
        <f t="shared" si="2"/>
        <v>Immaterial</v>
      </c>
      <c r="L99" t="str">
        <f t="shared" si="3"/>
        <v>No</v>
      </c>
    </row>
    <row r="100" spans="1:12">
      <c r="A100" t="str">
        <f>'ERP_AP7 Macro Failed'!A102</f>
        <v>L-ERP-167</v>
      </c>
      <c r="B100" t="str">
        <f>'ERP_AP7 Macro Failed'!D102</f>
        <v>Hase, Raj</v>
      </c>
      <c r="C100" t="str">
        <f>'ERP_AP7 Macro Failed'!E102</f>
        <v>Ganesan, Srinivasan</v>
      </c>
      <c r="D100" t="str">
        <f>'ERP_AP7 Macro Failed'!G102</f>
        <v>SOFTWARE</v>
      </c>
      <c r="E100" t="str">
        <f>'ERP_AP7 Macro Failed'!H102</f>
        <v>Colleague Solutions Delivery Chargebacks</v>
      </c>
      <c r="F100">
        <f>'ERP_AP7 Macro Failed'!I102</f>
        <v>0</v>
      </c>
      <c r="G100" t="str">
        <f>'ERP_AP7 Macro Failed'!K102</f>
        <v>ColleagueSolutions001</v>
      </c>
      <c r="H100" s="487" t="e" cm="1">
        <f t="array" ref="H100">SUMPRODUCT((ERP[UID]=A100)*(ERP[AP01]+ERP[AP02]+ERP[AP03]+ERP[AP04]+ERP[AP05]))</f>
        <v>#VALUE!</v>
      </c>
      <c r="I100" s="487" cm="1">
        <f t="array" ref="I100">SUMPRODUCT((ERP[UID]=A100)*(ERP[AP01 LE2]+ERP[AP02 LE2]+ERP[AP03 LE2]+ERP[AP04 LE2]+ERP[AP05 LE2]))</f>
        <v>2288.52</v>
      </c>
      <c r="J100" s="487">
        <f>'ERP_AP7 Macro Failed'!AL102</f>
        <v>0</v>
      </c>
      <c r="K100" t="str">
        <f t="shared" si="2"/>
        <v>Immaterial</v>
      </c>
      <c r="L100" t="str">
        <f t="shared" si="3"/>
        <v>No</v>
      </c>
    </row>
    <row r="101" spans="1:12">
      <c r="A101" t="str">
        <f>'ERP_AP7 Macro Failed'!A103</f>
        <v>L-ERP-190</v>
      </c>
      <c r="B101" t="str">
        <f>'ERP_AP7 Macro Failed'!D103</f>
        <v>Hase, Raj</v>
      </c>
      <c r="C101" t="str">
        <f>'ERP_AP7 Macro Failed'!E103</f>
        <v>Hase, Raj</v>
      </c>
      <c r="D101" t="str">
        <f>'ERP_AP7 Macro Failed'!G103</f>
        <v>SOFTWARE</v>
      </c>
      <c r="E101" t="str">
        <f>'ERP_AP7 Macro Failed'!H103</f>
        <v>Colleague Solutions Delivery Chargebacks</v>
      </c>
      <c r="F101">
        <f>'ERP_AP7 Macro Failed'!I103</f>
        <v>0</v>
      </c>
      <c r="G101" t="str">
        <f>'ERP_AP7 Macro Failed'!K103</f>
        <v>ColleagueSolutions001</v>
      </c>
      <c r="H101" s="487" t="e" cm="1">
        <f t="array" ref="H101">SUMPRODUCT((ERP[UID]=A101)*(ERP[AP01]+ERP[AP02]+ERP[AP03]+ERP[AP04]+ERP[AP05]))</f>
        <v>#VALUE!</v>
      </c>
      <c r="I101" s="487" cm="1">
        <f t="array" ref="I101">SUMPRODUCT((ERP[UID]=A101)*(ERP[AP01 LE2]+ERP[AP02 LE2]+ERP[AP03 LE2]+ERP[AP04 LE2]+ERP[AP05 LE2]))</f>
        <v>218.76</v>
      </c>
      <c r="J101" s="487">
        <f>'ERP_AP7 Macro Failed'!AL103</f>
        <v>0</v>
      </c>
      <c r="K101" t="str">
        <f t="shared" si="2"/>
        <v>Immaterial</v>
      </c>
      <c r="L101" t="str">
        <f t="shared" si="3"/>
        <v>No</v>
      </c>
    </row>
    <row r="102" spans="1:12">
      <c r="A102" t="str">
        <f>'ERP_AP7 Macro Failed'!A104</f>
        <v>L-ERP-212</v>
      </c>
      <c r="B102" t="str">
        <f>'ERP_AP7 Macro Failed'!D104</f>
        <v>Hase, Raj</v>
      </c>
      <c r="C102" t="str">
        <f>'ERP_AP7 Macro Failed'!E104</f>
        <v>Herman, Shaun</v>
      </c>
      <c r="D102" t="str">
        <f>'ERP_AP7 Macro Failed'!G104</f>
        <v>SOFTWARE</v>
      </c>
      <c r="E102" t="str">
        <f>'ERP_AP7 Macro Failed'!H104</f>
        <v>Colleague Solutions Delivery Chargebacks</v>
      </c>
      <c r="F102">
        <f>'ERP_AP7 Macro Failed'!I104</f>
        <v>0</v>
      </c>
      <c r="G102" t="str">
        <f>'ERP_AP7 Macro Failed'!K104</f>
        <v>ColleagueSolutions001</v>
      </c>
      <c r="H102" s="487" t="e" cm="1">
        <f t="array" ref="H102">SUMPRODUCT((ERP[UID]=A102)*(ERP[AP01]+ERP[AP02]+ERP[AP03]+ERP[AP04]+ERP[AP05]))</f>
        <v>#VALUE!</v>
      </c>
      <c r="I102" s="487" cm="1">
        <f t="array" ref="I102">SUMPRODUCT((ERP[UID]=A102)*(ERP[AP01 LE2]+ERP[AP02 LE2]+ERP[AP03 LE2]+ERP[AP04 LE2]+ERP[AP05 LE2]))</f>
        <v>431.03</v>
      </c>
      <c r="J102" s="487">
        <f>'ERP_AP7 Macro Failed'!AL104</f>
        <v>0</v>
      </c>
      <c r="K102" t="str">
        <f t="shared" si="2"/>
        <v>Immaterial</v>
      </c>
      <c r="L102" t="str">
        <f t="shared" si="3"/>
        <v>No</v>
      </c>
    </row>
    <row r="103" spans="1:12">
      <c r="A103" t="str">
        <f>'ERP_AP7 Macro Failed'!A105</f>
        <v>L-ERP-100</v>
      </c>
      <c r="B103" t="str">
        <f>'ERP_AP7 Macro Failed'!D105</f>
        <v>Dougherty, Chris</v>
      </c>
      <c r="C103" t="str">
        <f>'ERP_AP7 Macro Failed'!E105</f>
        <v>Dougherty, Chris</v>
      </c>
      <c r="D103" t="str">
        <f>'ERP_AP7 Macro Failed'!G105</f>
        <v>SOFTWARE</v>
      </c>
      <c r="E103" t="str">
        <f>'ERP_AP7 Macro Failed'!H105</f>
        <v>Colleague Solutions Delivery Chargebacks</v>
      </c>
      <c r="F103">
        <f>'ERP_AP7 Macro Failed'!I105</f>
        <v>0</v>
      </c>
      <c r="G103" t="str">
        <f>'ERP_AP7 Macro Failed'!K105</f>
        <v>ColleagueSolutions001</v>
      </c>
      <c r="H103" s="487" t="e" cm="1">
        <f t="array" ref="H103">SUMPRODUCT((ERP[UID]=A103)*(ERP[AP01]+ERP[AP02]+ERP[AP03]+ERP[AP04]+ERP[AP05]))</f>
        <v>#VALUE!</v>
      </c>
      <c r="I103" s="487" cm="1">
        <f t="array" ref="I103">SUMPRODUCT((ERP[UID]=A103)*(ERP[AP01 LE2]+ERP[AP02 LE2]+ERP[AP03 LE2]+ERP[AP04 LE2]+ERP[AP05 LE2]))</f>
        <v>3777.33</v>
      </c>
      <c r="J103" s="487">
        <f>'ERP_AP7 Macro Failed'!AL105</f>
        <v>83.610000000000127</v>
      </c>
      <c r="K103" t="str">
        <f t="shared" si="2"/>
        <v>Immaterial</v>
      </c>
      <c r="L103" t="str">
        <f t="shared" si="3"/>
        <v>No</v>
      </c>
    </row>
    <row r="104" spans="1:12">
      <c r="A104" t="str">
        <f>'ERP_AP7 Macro Failed'!A106</f>
        <v>L-ERP-324</v>
      </c>
      <c r="B104" t="str">
        <f>'ERP_AP7 Macro Failed'!D106</f>
        <v>Dougherty, Chris</v>
      </c>
      <c r="C104" t="str">
        <f>'ERP_AP7 Macro Failed'!E106</f>
        <v>Maguire, Karla</v>
      </c>
      <c r="D104" t="str">
        <f>'ERP_AP7 Macro Failed'!G106</f>
        <v>CONTRACTORS</v>
      </c>
      <c r="E104" t="str">
        <f>'ERP_AP7 Macro Failed'!H106</f>
        <v>Colleague Solutions Delivery Chargebacks</v>
      </c>
      <c r="F104">
        <f>'ERP_AP7 Macro Failed'!I106</f>
        <v>0</v>
      </c>
      <c r="G104" t="str">
        <f>'ERP_AP7 Macro Failed'!K106</f>
        <v>ColleagueSolutions001</v>
      </c>
      <c r="H104" s="487" t="e" cm="1">
        <f t="array" ref="H104">SUMPRODUCT((ERP[UID]=A104)*(ERP[AP01]+ERP[AP02]+ERP[AP03]+ERP[AP04]+ERP[AP05]))</f>
        <v>#VALUE!</v>
      </c>
      <c r="I104" s="487" cm="1">
        <f t="array" ref="I104">SUMPRODUCT((ERP[UID]=A104)*(ERP[AP01 LE2]+ERP[AP02 LE2]+ERP[AP03 LE2]+ERP[AP04 LE2]+ERP[AP05 LE2]))</f>
        <v>202.4</v>
      </c>
      <c r="J104" s="487">
        <f>'ERP_AP7 Macro Failed'!AL106</f>
        <v>-303.60000000000002</v>
      </c>
      <c r="K104" t="str">
        <f t="shared" si="2"/>
        <v>Immaterial</v>
      </c>
      <c r="L104" t="str">
        <f t="shared" si="3"/>
        <v>No</v>
      </c>
    </row>
    <row r="105" spans="1:12">
      <c r="A105" t="str">
        <f>'ERP_AP7 Macro Failed'!A107</f>
        <v>L-ERP-339</v>
      </c>
      <c r="B105" t="str">
        <f>'ERP_AP7 Macro Failed'!D107</f>
        <v>Dougherty, Chris</v>
      </c>
      <c r="C105" t="str">
        <f>'ERP_AP7 Macro Failed'!E107</f>
        <v>Maguire, Karla</v>
      </c>
      <c r="D105" t="str">
        <f>'ERP_AP7 Macro Failed'!G107</f>
        <v>SOFTWARE</v>
      </c>
      <c r="E105" t="str">
        <f>'ERP_AP7 Macro Failed'!H107</f>
        <v>Colleague Solutions Delivery Chargebacks</v>
      </c>
      <c r="F105">
        <f>'ERP_AP7 Macro Failed'!I107</f>
        <v>0</v>
      </c>
      <c r="G105" t="str">
        <f>'ERP_AP7 Macro Failed'!K107</f>
        <v>ColleagueSolutions001</v>
      </c>
      <c r="H105" s="487" t="e" cm="1">
        <f t="array" ref="H105">SUMPRODUCT((ERP[UID]=A105)*(ERP[AP01]+ERP[AP02]+ERP[AP03]+ERP[AP04]+ERP[AP05]))</f>
        <v>#VALUE!</v>
      </c>
      <c r="I105" s="487" cm="1">
        <f t="array" ref="I105">SUMPRODUCT((ERP[UID]=A105)*(ERP[AP01 LE2]+ERP[AP02 LE2]+ERP[AP03 LE2]+ERP[AP04 LE2]+ERP[AP05 LE2]))</f>
        <v>1742.3400000000001</v>
      </c>
      <c r="J105" s="487">
        <f>'ERP_AP7 Macro Failed'!AL107</f>
        <v>0</v>
      </c>
      <c r="K105" t="str">
        <f t="shared" si="2"/>
        <v>Immaterial</v>
      </c>
      <c r="L105" t="str">
        <f t="shared" si="3"/>
        <v>No</v>
      </c>
    </row>
    <row r="106" spans="1:12">
      <c r="A106" t="str">
        <f>'ERP_AP7 Macro Failed'!A108</f>
        <v>L-ERP-369</v>
      </c>
      <c r="B106" t="str">
        <f>'ERP_AP7 Macro Failed'!D108</f>
        <v>Dougherty, Chris</v>
      </c>
      <c r="C106" t="str">
        <f>'ERP_AP7 Macro Failed'!E108</f>
        <v>McCormick, Pete</v>
      </c>
      <c r="D106" t="str">
        <f>'ERP_AP7 Macro Failed'!G108</f>
        <v>CONTRACTORS</v>
      </c>
      <c r="E106" t="str">
        <f>'ERP_AP7 Macro Failed'!H108</f>
        <v>Colleague Solutions Delivery Chargebacks</v>
      </c>
      <c r="F106">
        <f>'ERP_AP7 Macro Failed'!I108</f>
        <v>0</v>
      </c>
      <c r="G106" t="str">
        <f>'ERP_AP7 Macro Failed'!K108</f>
        <v>ColleagueSolutions001</v>
      </c>
      <c r="H106" s="487" t="e" cm="1">
        <f t="array" ref="H106">SUMPRODUCT((ERP[UID]=A106)*(ERP[AP01]+ERP[AP02]+ERP[AP03]+ERP[AP04]+ERP[AP05]))</f>
        <v>#VALUE!</v>
      </c>
      <c r="I106" s="487" cm="1">
        <f t="array" ref="I106">SUMPRODUCT((ERP[UID]=A106)*(ERP[AP01 LE2]+ERP[AP02 LE2]+ERP[AP03 LE2]+ERP[AP04 LE2]+ERP[AP05 LE2]))</f>
        <v>1800</v>
      </c>
      <c r="J106" s="487">
        <f>'ERP_AP7 Macro Failed'!AL108</f>
        <v>-3600</v>
      </c>
      <c r="K106" t="str">
        <f t="shared" si="2"/>
        <v>Minor</v>
      </c>
      <c r="L106" t="str">
        <f t="shared" si="3"/>
        <v>No</v>
      </c>
    </row>
    <row r="107" spans="1:12">
      <c r="A107" t="str">
        <f>'ERP_AP7 Macro Failed'!A109</f>
        <v>L-ERP-408</v>
      </c>
      <c r="B107" t="str">
        <f>'ERP_AP7 Macro Failed'!D109</f>
        <v>McGettigan, David</v>
      </c>
      <c r="C107" t="str">
        <f>'ERP_AP7 Macro Failed'!E109</f>
        <v>McGettigan, David</v>
      </c>
      <c r="D107" t="str">
        <f>'ERP_AP7 Macro Failed'!G109</f>
        <v>SOFTWARE</v>
      </c>
      <c r="E107" t="str">
        <f>'ERP_AP7 Macro Failed'!H109</f>
        <v>Colleague Solutions Delivery Chargebacks</v>
      </c>
      <c r="F107">
        <f>'ERP_AP7 Macro Failed'!I109</f>
        <v>0</v>
      </c>
      <c r="G107" t="str">
        <f>'ERP_AP7 Macro Failed'!K109</f>
        <v>ColleagueSolutions001</v>
      </c>
      <c r="H107" s="487" t="e" cm="1">
        <f t="array" ref="H107">SUMPRODUCT((ERP[UID]=A107)*(ERP[AP01]+ERP[AP02]+ERP[AP03]+ERP[AP04]+ERP[AP05]))</f>
        <v>#VALUE!</v>
      </c>
      <c r="I107" s="487" cm="1">
        <f t="array" ref="I107">SUMPRODUCT((ERP[UID]=A107)*(ERP[AP01 LE2]+ERP[AP02 LE2]+ERP[AP03 LE2]+ERP[AP04 LE2]+ERP[AP05 LE2]))</f>
        <v>257.52</v>
      </c>
      <c r="J107" s="487">
        <f>'ERP_AP7 Macro Failed'!AL109</f>
        <v>0</v>
      </c>
      <c r="K107" t="str">
        <f t="shared" si="2"/>
        <v>Immaterial</v>
      </c>
      <c r="L107" t="str">
        <f t="shared" si="3"/>
        <v>No</v>
      </c>
    </row>
    <row r="108" spans="1:12">
      <c r="A108" t="str">
        <f>'ERP_AP7 Macro Failed'!A110</f>
        <v>L-ERP-491</v>
      </c>
      <c r="B108" t="str">
        <f>'ERP_AP7 Macro Failed'!D110</f>
        <v>Robertson, Jerome</v>
      </c>
      <c r="C108" t="str">
        <f>'ERP_AP7 Macro Failed'!E110</f>
        <v>Robertson, Jerome</v>
      </c>
      <c r="D108" t="str">
        <f>'ERP_AP7 Macro Failed'!G110</f>
        <v>SOFTWARE</v>
      </c>
      <c r="E108" t="str">
        <f>'ERP_AP7 Macro Failed'!H110</f>
        <v>Colleague Solutions Delivery Chargebacks</v>
      </c>
      <c r="F108">
        <f>'ERP_AP7 Macro Failed'!I110</f>
        <v>0</v>
      </c>
      <c r="G108" t="str">
        <f>'ERP_AP7 Macro Failed'!K110</f>
        <v>ColleagueSolutions001</v>
      </c>
      <c r="H108" s="487" t="e" cm="1">
        <f t="array" ref="H108">SUMPRODUCT((ERP[UID]=A108)*(ERP[AP01]+ERP[AP02]+ERP[AP03]+ERP[AP04]+ERP[AP05]))</f>
        <v>#VALUE!</v>
      </c>
      <c r="I108" s="487" cm="1">
        <f t="array" ref="I108">SUMPRODUCT((ERP[UID]=A108)*(ERP[AP01 LE2]+ERP[AP02 LE2]+ERP[AP03 LE2]+ERP[AP04 LE2]+ERP[AP05 LE2]))</f>
        <v>200.42</v>
      </c>
      <c r="J108" s="487">
        <f>'ERP_AP7 Macro Failed'!AL110</f>
        <v>0</v>
      </c>
      <c r="K108" t="str">
        <f t="shared" si="2"/>
        <v>Immaterial</v>
      </c>
      <c r="L108" t="str">
        <f t="shared" si="3"/>
        <v>No</v>
      </c>
    </row>
    <row r="109" spans="1:12">
      <c r="A109" t="str">
        <f>'ERP_AP7 Macro Failed'!A111</f>
        <v>L-ERP-376</v>
      </c>
      <c r="B109" t="str">
        <f>'ERP_AP7 Macro Failed'!D111</f>
        <v>Dougherty, Chris</v>
      </c>
      <c r="C109" t="str">
        <f>'ERP_AP7 Macro Failed'!E111</f>
        <v>McCormick, Pete</v>
      </c>
      <c r="D109" t="str">
        <f>'ERP_AP7 Macro Failed'!G111</f>
        <v>SOFTWARE</v>
      </c>
      <c r="E109" t="str">
        <f>'ERP_AP7 Macro Failed'!H111</f>
        <v>Colleague Solutions Delivery Chargebacks</v>
      </c>
      <c r="F109">
        <f>'ERP_AP7 Macro Failed'!I111</f>
        <v>0</v>
      </c>
      <c r="G109" t="str">
        <f>'ERP_AP7 Macro Failed'!K111</f>
        <v>ColleagueSolutions001</v>
      </c>
      <c r="H109" s="487" t="e" cm="1">
        <f t="array" ref="H109">SUMPRODUCT((ERP[UID]=A109)*(ERP[AP01]+ERP[AP02]+ERP[AP03]+ERP[AP04]+ERP[AP05]))</f>
        <v>#VALUE!</v>
      </c>
      <c r="I109" s="487" cm="1">
        <f t="array" ref="I109">SUMPRODUCT((ERP[UID]=A109)*(ERP[AP01 LE2]+ERP[AP02 LE2]+ERP[AP03 LE2]+ERP[AP04 LE2]+ERP[AP05 LE2]))</f>
        <v>1312.56</v>
      </c>
      <c r="J109" s="487">
        <f>'ERP_AP7 Macro Failed'!AL111</f>
        <v>0</v>
      </c>
      <c r="K109" t="str">
        <f t="shared" si="2"/>
        <v>Immaterial</v>
      </c>
      <c r="L109" t="str">
        <f t="shared" si="3"/>
        <v>No</v>
      </c>
    </row>
    <row r="110" spans="1:12">
      <c r="A110" t="str">
        <f>'ERP_AP7 Macro Failed'!A112</f>
        <v>L-ERP-582</v>
      </c>
      <c r="B110" t="str">
        <f>'ERP_AP7 Macro Failed'!D112</f>
        <v>Hase, Raj</v>
      </c>
      <c r="C110" t="str">
        <f>'ERP_AP7 Macro Failed'!E112</f>
        <v>Yeluri, Durga</v>
      </c>
      <c r="D110" t="str">
        <f>'ERP_AP7 Macro Failed'!G112</f>
        <v>SOFTWARE</v>
      </c>
      <c r="E110" t="str">
        <f>'ERP_AP7 Macro Failed'!H112</f>
        <v>Colleague Solutions Delivery Chargebacks</v>
      </c>
      <c r="F110">
        <f>'ERP_AP7 Macro Failed'!I112</f>
        <v>0</v>
      </c>
      <c r="G110" t="str">
        <f>'ERP_AP7 Macro Failed'!K112</f>
        <v>ColleagueSolutions001</v>
      </c>
      <c r="H110" s="487" t="e" cm="1">
        <f t="array" ref="H110">SUMPRODUCT((ERP[UID]=A110)*(ERP[AP01]+ERP[AP02]+ERP[AP03]+ERP[AP04]+ERP[AP05]))</f>
        <v>#VALUE!</v>
      </c>
      <c r="I110" s="487" cm="1">
        <f t="array" ref="I110">SUMPRODUCT((ERP[UID]=A110)*(ERP[AP01 LE2]+ERP[AP02 LE2]+ERP[AP03 LE2]+ERP[AP04 LE2]+ERP[AP05 LE2]))</f>
        <v>431.03</v>
      </c>
      <c r="J110" s="487">
        <f>'ERP_AP7 Macro Failed'!AL112</f>
        <v>0</v>
      </c>
      <c r="K110" t="str">
        <f t="shared" si="2"/>
        <v>Immaterial</v>
      </c>
      <c r="L110" t="str">
        <f t="shared" si="3"/>
        <v>No</v>
      </c>
    </row>
    <row r="111" spans="1:12">
      <c r="A111" t="str">
        <f>'ERP_AP7 Macro Failed'!A113</f>
        <v>N-ERP-567</v>
      </c>
      <c r="B111" t="str">
        <f>'ERP_AP7 Macro Failed'!D113</f>
        <v>Hase, Raj</v>
      </c>
      <c r="C111" t="str">
        <f>'ERP_AP7 Macro Failed'!E113</f>
        <v>Hase, Raj</v>
      </c>
      <c r="D111" t="str">
        <f>'ERP_AP7 Macro Failed'!G113</f>
        <v>CONTRACTORS</v>
      </c>
      <c r="E111" t="str">
        <f>'ERP_AP7 Macro Failed'!H113</f>
        <v>Colleague Solutions Delivery Chargebacks</v>
      </c>
      <c r="F111">
        <f>'ERP_AP7 Macro Failed'!I113</f>
        <v>0</v>
      </c>
      <c r="G111" t="str">
        <f>'ERP_AP7 Macro Failed'!K113</f>
        <v>ColleagueSolutions001</v>
      </c>
      <c r="H111" s="487" t="e" cm="1">
        <f t="array" ref="H111">SUMPRODUCT((ERP[UID]=A111)*(ERP[AP01]+ERP[AP02]+ERP[AP03]+ERP[AP04]+ERP[AP05]))</f>
        <v>#VALUE!</v>
      </c>
      <c r="I111" s="487" cm="1">
        <f t="array" ref="I111">SUMPRODUCT((ERP[UID]=A111)*(ERP[AP01 LE2]+ERP[AP02 LE2]+ERP[AP03 LE2]+ERP[AP04 LE2]+ERP[AP05 LE2]))</f>
        <v>0</v>
      </c>
      <c r="J111" s="487">
        <f>'ERP_AP7 Macro Failed'!AL113</f>
        <v>0</v>
      </c>
      <c r="K111" t="str">
        <f t="shared" si="2"/>
        <v>Immaterial</v>
      </c>
      <c r="L111" t="str">
        <f t="shared" si="3"/>
        <v>No</v>
      </c>
    </row>
    <row r="112" spans="1:12">
      <c r="A112" t="str">
        <f>'ERP_AP7 Macro Failed'!A114</f>
        <v>L-ERP-043</v>
      </c>
      <c r="B112" t="str">
        <f>'ERP_AP7 Macro Failed'!D114</f>
        <v>Hase, Raj</v>
      </c>
      <c r="C112" t="str">
        <f>'ERP_AP7 Macro Failed'!E114</f>
        <v>DeHart, Lynn</v>
      </c>
      <c r="D112" t="str">
        <f>'ERP_AP7 Macro Failed'!G114</f>
        <v>COMPENSATION</v>
      </c>
      <c r="E112" t="str">
        <f>'ERP_AP7 Macro Failed'!H114</f>
        <v>Benefits</v>
      </c>
      <c r="F112">
        <f>'ERP_AP7 Macro Failed'!I114</f>
        <v>0</v>
      </c>
      <c r="G112" t="str">
        <f>'ERP_AP7 Macro Failed'!K114</f>
        <v>CompBenefits001</v>
      </c>
      <c r="H112" s="487" t="e" cm="1">
        <f t="array" ref="H112">SUMPRODUCT((ERP[UID]=A112)*(ERP[AP01]+ERP[AP02]+ERP[AP03]+ERP[AP04]+ERP[AP05]))</f>
        <v>#VALUE!</v>
      </c>
      <c r="I112" s="487" cm="1">
        <f t="array" ref="I112">SUMPRODUCT((ERP[UID]=A112)*(ERP[AP01 LE2]+ERP[AP02 LE2]+ERP[AP03 LE2]+ERP[AP04 LE2]+ERP[AP05 LE2]))</f>
        <v>0</v>
      </c>
      <c r="J112" s="487">
        <f>'ERP_AP7 Macro Failed'!AL114</f>
        <v>0</v>
      </c>
      <c r="K112" t="str">
        <f t="shared" si="2"/>
        <v>Immaterial</v>
      </c>
      <c r="L112" t="str">
        <f t="shared" si="3"/>
        <v>No</v>
      </c>
    </row>
    <row r="113" spans="1:12">
      <c r="A113" t="str">
        <f>'ERP_AP7 Macro Failed'!A115</f>
        <v>L-ERP-549</v>
      </c>
      <c r="B113" t="str">
        <f>'ERP_AP7 Macro Failed'!D115</f>
        <v>Dougherty, Chris</v>
      </c>
      <c r="C113" t="str">
        <f>'ERP_AP7 Macro Failed'!E115</f>
        <v>Tamavada, Ram</v>
      </c>
      <c r="D113" t="str">
        <f>'ERP_AP7 Macro Failed'!G115</f>
        <v>SOFTWARE</v>
      </c>
      <c r="E113" t="str">
        <f>'ERP_AP7 Macro Failed'!H115</f>
        <v>Colleague Solutions Delivery Chargebacks</v>
      </c>
      <c r="F113">
        <f>'ERP_AP7 Macro Failed'!I115</f>
        <v>0</v>
      </c>
      <c r="G113" t="str">
        <f>'ERP_AP7 Macro Failed'!K115</f>
        <v>ColleagueSolutions001</v>
      </c>
      <c r="H113" s="487" t="e" cm="1">
        <f t="array" ref="H113">SUMPRODUCT((ERP[UID]=A113)*(ERP[AP01]+ERP[AP02]+ERP[AP03]+ERP[AP04]+ERP[AP05]))</f>
        <v>#VALUE!</v>
      </c>
      <c r="I113" s="487" cm="1">
        <f t="array" ref="I113">SUMPRODUCT((ERP[UID]=A113)*(ERP[AP01 LE2]+ERP[AP02 LE2]+ERP[AP03 LE2]+ERP[AP04 LE2]+ERP[AP05 LE2]))</f>
        <v>3879.27</v>
      </c>
      <c r="J113" s="487">
        <f>'ERP_AP7 Macro Failed'!AL115</f>
        <v>0</v>
      </c>
      <c r="K113" t="str">
        <f t="shared" si="2"/>
        <v>Immaterial</v>
      </c>
      <c r="L113" t="str">
        <f t="shared" si="3"/>
        <v>No</v>
      </c>
    </row>
    <row r="114" spans="1:12">
      <c r="A114" t="str">
        <f>'ERP_AP7 Macro Failed'!A116</f>
        <v>L-ERP-170</v>
      </c>
      <c r="B114" t="str">
        <f>'ERP_AP7 Macro Failed'!D116</f>
        <v>Hase, Raj</v>
      </c>
      <c r="C114" t="str">
        <f>'ERP_AP7 Macro Failed'!E116</f>
        <v>Ganesan, Srinivasan</v>
      </c>
      <c r="D114" t="str">
        <f>'ERP_AP7 Macro Failed'!G116</f>
        <v>COMPENSATION</v>
      </c>
      <c r="E114" t="str">
        <f>'ERP_AP7 Macro Failed'!H116</f>
        <v>Benefits</v>
      </c>
      <c r="F114">
        <f>'ERP_AP7 Macro Failed'!I116</f>
        <v>0</v>
      </c>
      <c r="G114" t="str">
        <f>'ERP_AP7 Macro Failed'!K116</f>
        <v>CompBenefits001</v>
      </c>
      <c r="H114" s="487" t="e" cm="1">
        <f t="array" ref="H114">SUMPRODUCT((ERP[UID]=A114)*(ERP[AP01]+ERP[AP02]+ERP[AP03]+ERP[AP04]+ERP[AP05]))</f>
        <v>#VALUE!</v>
      </c>
      <c r="I114" s="487" cm="1">
        <f t="array" ref="I114">SUMPRODUCT((ERP[UID]=A114)*(ERP[AP01 LE2]+ERP[AP02 LE2]+ERP[AP03 LE2]+ERP[AP04 LE2]+ERP[AP05 LE2]))</f>
        <v>0</v>
      </c>
      <c r="J114" s="487">
        <f>'ERP_AP7 Macro Failed'!AL116</f>
        <v>0</v>
      </c>
      <c r="K114" t="str">
        <f t="shared" si="2"/>
        <v>Immaterial</v>
      </c>
      <c r="L114" t="str">
        <f t="shared" si="3"/>
        <v>No</v>
      </c>
    </row>
    <row r="115" spans="1:12">
      <c r="A115" t="str">
        <f>'ERP_AP7 Macro Failed'!A117</f>
        <v>L-ERP-252</v>
      </c>
      <c r="B115" t="str">
        <f>'ERP_AP7 Macro Failed'!D117</f>
        <v>Hase, Raj</v>
      </c>
      <c r="C115" t="str">
        <f>'ERP_AP7 Macro Failed'!E117</f>
        <v>Jajodia, Amit</v>
      </c>
      <c r="D115" t="str">
        <f>'ERP_AP7 Macro Failed'!G117</f>
        <v>COMPENSATION</v>
      </c>
      <c r="E115" t="str">
        <f>'ERP_AP7 Macro Failed'!H117</f>
        <v>Benefits</v>
      </c>
      <c r="F115">
        <f>'ERP_AP7 Macro Failed'!I117</f>
        <v>0</v>
      </c>
      <c r="G115" t="str">
        <f>'ERP_AP7 Macro Failed'!K117</f>
        <v>CompBenefits001</v>
      </c>
      <c r="H115" s="487" t="e" cm="1">
        <f t="array" ref="H115">SUMPRODUCT((ERP[UID]=A115)*(ERP[AP01]+ERP[AP02]+ERP[AP03]+ERP[AP04]+ERP[AP05]))</f>
        <v>#VALUE!</v>
      </c>
      <c r="I115" s="487" cm="1">
        <f t="array" ref="I115">SUMPRODUCT((ERP[UID]=A115)*(ERP[AP01 LE2]+ERP[AP02 LE2]+ERP[AP03 LE2]+ERP[AP04 LE2]+ERP[AP05 LE2]))</f>
        <v>0</v>
      </c>
      <c r="J115" s="487">
        <f>'ERP_AP7 Macro Failed'!AL117</f>
        <v>0</v>
      </c>
      <c r="K115" t="str">
        <f t="shared" si="2"/>
        <v>Immaterial</v>
      </c>
      <c r="L115" t="str">
        <f t="shared" si="3"/>
        <v>No</v>
      </c>
    </row>
    <row r="116" spans="1:12">
      <c r="A116" t="str">
        <f>'ERP_AP7 Macro Failed'!A118</f>
        <v>L-ERP-103</v>
      </c>
      <c r="B116" t="str">
        <f>'ERP_AP7 Macro Failed'!D118</f>
        <v>Dougherty, Chris</v>
      </c>
      <c r="C116" t="str">
        <f>'ERP_AP7 Macro Failed'!E118</f>
        <v>Dougherty, Chris</v>
      </c>
      <c r="D116" t="str">
        <f>'ERP_AP7 Macro Failed'!G118</f>
        <v>COMPENSATION</v>
      </c>
      <c r="E116" t="str">
        <f>'ERP_AP7 Macro Failed'!H118</f>
        <v>Benefits</v>
      </c>
      <c r="F116">
        <f>'ERP_AP7 Macro Failed'!I118</f>
        <v>0</v>
      </c>
      <c r="G116" t="str">
        <f>'ERP_AP7 Macro Failed'!K118</f>
        <v>CompBenefits001</v>
      </c>
      <c r="H116" s="487" t="e" cm="1">
        <f t="array" ref="H116">SUMPRODUCT((ERP[UID]=A116)*(ERP[AP01]+ERP[AP02]+ERP[AP03]+ERP[AP04]+ERP[AP05]))</f>
        <v>#VALUE!</v>
      </c>
      <c r="I116" s="487" cm="1">
        <f t="array" ref="I116">SUMPRODUCT((ERP[UID]=A116)*(ERP[AP01 LE2]+ERP[AP02 LE2]+ERP[AP03 LE2]+ERP[AP04 LE2]+ERP[AP05 LE2]))</f>
        <v>0</v>
      </c>
      <c r="J116" s="487">
        <f>'ERP_AP7 Macro Failed'!AL118</f>
        <v>0</v>
      </c>
      <c r="K116" t="str">
        <f t="shared" si="2"/>
        <v>Immaterial</v>
      </c>
      <c r="L116" t="str">
        <f t="shared" si="3"/>
        <v>No</v>
      </c>
    </row>
    <row r="117" spans="1:12">
      <c r="A117" t="str">
        <f>'ERP_AP7 Macro Failed'!A119</f>
        <v>L-ERP-431</v>
      </c>
      <c r="B117" t="str">
        <f>'ERP_AP7 Macro Failed'!D119</f>
        <v>McGettigan, David</v>
      </c>
      <c r="C117" t="str">
        <f>'ERP_AP7 Macro Failed'!E119</f>
        <v>McGettigan, David</v>
      </c>
      <c r="D117" t="str">
        <f>'ERP_AP7 Macro Failed'!G119</f>
        <v>COMPENSATION</v>
      </c>
      <c r="E117" t="str">
        <f>'ERP_AP7 Macro Failed'!H119</f>
        <v>Benefits</v>
      </c>
      <c r="F117">
        <f>'ERP_AP7 Macro Failed'!I119</f>
        <v>0</v>
      </c>
      <c r="G117" t="str">
        <f>'ERP_AP7 Macro Failed'!K119</f>
        <v>CompBenefits001</v>
      </c>
      <c r="H117" s="487" t="e" cm="1">
        <f t="array" ref="H117">SUMPRODUCT((ERP[UID]=A117)*(ERP[AP01]+ERP[AP02]+ERP[AP03]+ERP[AP04]+ERP[AP05]))</f>
        <v>#VALUE!</v>
      </c>
      <c r="I117" s="487" cm="1">
        <f t="array" ref="I117">SUMPRODUCT((ERP[UID]=A117)*(ERP[AP01 LE2]+ERP[AP02 LE2]+ERP[AP03 LE2]+ERP[AP04 LE2]+ERP[AP05 LE2]))</f>
        <v>0</v>
      </c>
      <c r="J117" s="487">
        <f>'ERP_AP7 Macro Failed'!AL119</f>
        <v>0</v>
      </c>
      <c r="K117" t="str">
        <f t="shared" si="2"/>
        <v>Immaterial</v>
      </c>
      <c r="L117" t="str">
        <f t="shared" si="3"/>
        <v>No</v>
      </c>
    </row>
    <row r="118" spans="1:12">
      <c r="A118" t="str">
        <f>'ERP_AP7 Macro Failed'!A120</f>
        <v>L-ERP-494</v>
      </c>
      <c r="B118" t="str">
        <f>'ERP_AP7 Macro Failed'!D120</f>
        <v>Robertson, Jerome</v>
      </c>
      <c r="C118" t="str">
        <f>'ERP_AP7 Macro Failed'!E120</f>
        <v>Robertson, Jerome</v>
      </c>
      <c r="D118" t="str">
        <f>'ERP_AP7 Macro Failed'!G120</f>
        <v>COMPENSATION</v>
      </c>
      <c r="E118" t="str">
        <f>'ERP_AP7 Macro Failed'!H120</f>
        <v>Benefits</v>
      </c>
      <c r="F118">
        <f>'ERP_AP7 Macro Failed'!I120</f>
        <v>0</v>
      </c>
      <c r="G118" t="str">
        <f>'ERP_AP7 Macro Failed'!K120</f>
        <v>CompBenefits001</v>
      </c>
      <c r="H118" s="487" t="e" cm="1">
        <f t="array" ref="H118">SUMPRODUCT((ERP[UID]=A118)*(ERP[AP01]+ERP[AP02]+ERP[AP03]+ERP[AP04]+ERP[AP05]))</f>
        <v>#VALUE!</v>
      </c>
      <c r="I118" s="487" cm="1">
        <f t="array" ref="I118">SUMPRODUCT((ERP[UID]=A118)*(ERP[AP01 LE2]+ERP[AP02 LE2]+ERP[AP03 LE2]+ERP[AP04 LE2]+ERP[AP05 LE2]))</f>
        <v>0</v>
      </c>
      <c r="J118" s="487">
        <f>'ERP_AP7 Macro Failed'!AL120</f>
        <v>0</v>
      </c>
      <c r="K118" t="str">
        <f t="shared" si="2"/>
        <v>Immaterial</v>
      </c>
      <c r="L118" t="str">
        <f t="shared" si="3"/>
        <v>No</v>
      </c>
    </row>
    <row r="119" spans="1:12">
      <c r="A119" t="str">
        <f>'ERP_AP7 Macro Failed'!A121</f>
        <v>L-ERP-426</v>
      </c>
      <c r="B119" t="str">
        <f>'ERP_AP7 Macro Failed'!D121</f>
        <v>McGettigan, David</v>
      </c>
      <c r="C119" t="str">
        <f>'ERP_AP7 Macro Failed'!E121</f>
        <v>McGettigan, David</v>
      </c>
      <c r="D119" t="str">
        <f>'ERP_AP7 Macro Failed'!G121</f>
        <v>COMPENSATION</v>
      </c>
      <c r="E119" t="str">
        <f>'ERP_AP7 Macro Failed'!H121</f>
        <v>Car Allowance</v>
      </c>
      <c r="F119">
        <f>'ERP_AP7 Macro Failed'!I121</f>
        <v>0</v>
      </c>
      <c r="G119" t="str">
        <f>'ERP_AP7 Macro Failed'!K121</f>
        <v>CompBenefitsCar001</v>
      </c>
      <c r="H119" s="487" t="e" cm="1">
        <f t="array" ref="H119">SUMPRODUCT((ERP[UID]=A119)*(ERP[AP01]+ERP[AP02]+ERP[AP03]+ERP[AP04]+ERP[AP05]))</f>
        <v>#VALUE!</v>
      </c>
      <c r="I119" s="487" cm="1">
        <f t="array" ref="I119">SUMPRODUCT((ERP[UID]=A119)*(ERP[AP01 LE2]+ERP[AP02 LE2]+ERP[AP03 LE2]+ERP[AP04 LE2]+ERP[AP05 LE2]))</f>
        <v>24000</v>
      </c>
      <c r="J119" s="487">
        <f>'ERP_AP7 Macro Failed'!AL121</f>
        <v>-36000</v>
      </c>
      <c r="K119" t="str">
        <f t="shared" si="2"/>
        <v>MATERIAL</v>
      </c>
      <c r="L119" t="str">
        <f t="shared" si="3"/>
        <v>YES</v>
      </c>
    </row>
    <row r="120" spans="1:12">
      <c r="A120" t="str">
        <f>'ERP_AP7 Macro Failed'!A122</f>
        <v>L-ERP-044</v>
      </c>
      <c r="B120" t="str">
        <f>'ERP_AP7 Macro Failed'!D122</f>
        <v>Hase, Raj</v>
      </c>
      <c r="C120" t="str">
        <f>'ERP_AP7 Macro Failed'!E122</f>
        <v>DeHart, Lynn</v>
      </c>
      <c r="D120" t="str">
        <f>'ERP_AP7 Macro Failed'!G122</f>
        <v>COMPENSATION</v>
      </c>
      <c r="E120" t="str">
        <f>'ERP_AP7 Macro Failed'!H122</f>
        <v>Bonus</v>
      </c>
      <c r="F120">
        <f>'ERP_AP7 Macro Failed'!I122</f>
        <v>0</v>
      </c>
      <c r="G120" t="str">
        <f>'ERP_AP7 Macro Failed'!K122</f>
        <v>CompBonus001</v>
      </c>
      <c r="H120" s="487" t="e" cm="1">
        <f t="array" ref="H120">SUMPRODUCT((ERP[UID]=A120)*(ERP[AP01]+ERP[AP02]+ERP[AP03]+ERP[AP04]+ERP[AP05]))</f>
        <v>#VALUE!</v>
      </c>
      <c r="I120" s="487" cm="1">
        <f t="array" ref="I120">SUMPRODUCT((ERP[UID]=A120)*(ERP[AP01 LE2]+ERP[AP02 LE2]+ERP[AP03 LE2]+ERP[AP04 LE2]+ERP[AP05 LE2]))</f>
        <v>0</v>
      </c>
      <c r="J120" s="487">
        <f>'ERP_AP7 Macro Failed'!AL122</f>
        <v>0</v>
      </c>
      <c r="K120" t="str">
        <f t="shared" si="2"/>
        <v>Immaterial</v>
      </c>
      <c r="L120" t="str">
        <f t="shared" si="3"/>
        <v>No</v>
      </c>
    </row>
    <row r="121" spans="1:12">
      <c r="A121" t="str">
        <f>'ERP_AP7 Macro Failed'!A123</f>
        <v>L-ERP-342</v>
      </c>
      <c r="B121" t="str">
        <f>'ERP_AP7 Macro Failed'!D123</f>
        <v>Dougherty, Chris</v>
      </c>
      <c r="C121" t="str">
        <f>'ERP_AP7 Macro Failed'!E123</f>
        <v>Maguire, Karla</v>
      </c>
      <c r="D121" t="str">
        <f>'ERP_AP7 Macro Failed'!G123</f>
        <v>COMPENSATION</v>
      </c>
      <c r="E121" t="str">
        <f>'ERP_AP7 Macro Failed'!H123</f>
        <v>Benefits</v>
      </c>
      <c r="F121">
        <f>'ERP_AP7 Macro Failed'!I123</f>
        <v>0</v>
      </c>
      <c r="G121" t="str">
        <f>'ERP_AP7 Macro Failed'!K123</f>
        <v>CompBenefits001</v>
      </c>
      <c r="H121" s="487" t="e" cm="1">
        <f t="array" ref="H121">SUMPRODUCT((ERP[UID]=A121)*(ERP[AP01]+ERP[AP02]+ERP[AP03]+ERP[AP04]+ERP[AP05]))</f>
        <v>#VALUE!</v>
      </c>
      <c r="I121" s="487" cm="1">
        <f t="array" ref="I121">SUMPRODUCT((ERP[UID]=A121)*(ERP[AP01 LE2]+ERP[AP02 LE2]+ERP[AP03 LE2]+ERP[AP04 LE2]+ERP[AP05 LE2]))</f>
        <v>0</v>
      </c>
      <c r="J121" s="487">
        <f>'ERP_AP7 Macro Failed'!AL123</f>
        <v>0</v>
      </c>
      <c r="K121" t="str">
        <f t="shared" si="2"/>
        <v>Immaterial</v>
      </c>
      <c r="L121" t="str">
        <f t="shared" si="3"/>
        <v>No</v>
      </c>
    </row>
    <row r="122" spans="1:12">
      <c r="A122" t="str">
        <f>'ERP_AP7 Macro Failed'!A124</f>
        <v>L-ERP-171</v>
      </c>
      <c r="B122" t="str">
        <f>'ERP_AP7 Macro Failed'!D124</f>
        <v>Hase, Raj</v>
      </c>
      <c r="C122" t="str">
        <f>'ERP_AP7 Macro Failed'!E124</f>
        <v>Ganesan, Srinivasan</v>
      </c>
      <c r="D122" t="str">
        <f>'ERP_AP7 Macro Failed'!G124</f>
        <v>COMPENSATION</v>
      </c>
      <c r="E122" t="str">
        <f>'ERP_AP7 Macro Failed'!H124</f>
        <v>Bonus</v>
      </c>
      <c r="F122">
        <f>'ERP_AP7 Macro Failed'!I124</f>
        <v>0</v>
      </c>
      <c r="G122" t="str">
        <f>'ERP_AP7 Macro Failed'!K124</f>
        <v>CompBonus001</v>
      </c>
      <c r="H122" s="487" t="e" cm="1">
        <f t="array" ref="H122">SUMPRODUCT((ERP[UID]=A122)*(ERP[AP01]+ERP[AP02]+ERP[AP03]+ERP[AP04]+ERP[AP05]))</f>
        <v>#VALUE!</v>
      </c>
      <c r="I122" s="487" cm="1">
        <f t="array" ref="I122">SUMPRODUCT((ERP[UID]=A122)*(ERP[AP01 LE2]+ERP[AP02 LE2]+ERP[AP03 LE2]+ERP[AP04 LE2]+ERP[AP05 LE2]))</f>
        <v>0</v>
      </c>
      <c r="J122" s="487">
        <f>'ERP_AP7 Macro Failed'!AL124</f>
        <v>0</v>
      </c>
      <c r="K122" t="str">
        <f t="shared" si="2"/>
        <v>Immaterial</v>
      </c>
      <c r="L122" t="str">
        <f t="shared" si="3"/>
        <v>No</v>
      </c>
    </row>
    <row r="123" spans="1:12">
      <c r="A123" t="str">
        <f>'ERP_AP7 Macro Failed'!A125</f>
        <v>L-ERP-253</v>
      </c>
      <c r="B123" t="str">
        <f>'ERP_AP7 Macro Failed'!D125</f>
        <v>Hase, Raj</v>
      </c>
      <c r="C123" t="str">
        <f>'ERP_AP7 Macro Failed'!E125</f>
        <v>Jajodia, Amit</v>
      </c>
      <c r="D123" t="str">
        <f>'ERP_AP7 Macro Failed'!G125</f>
        <v>COMPENSATION</v>
      </c>
      <c r="E123" t="str">
        <f>'ERP_AP7 Macro Failed'!H125</f>
        <v>Bonus</v>
      </c>
      <c r="F123">
        <f>'ERP_AP7 Macro Failed'!I125</f>
        <v>0</v>
      </c>
      <c r="G123" t="str">
        <f>'ERP_AP7 Macro Failed'!K125</f>
        <v>CompBonus001</v>
      </c>
      <c r="H123" s="487" t="e" cm="1">
        <f t="array" ref="H123">SUMPRODUCT((ERP[UID]=A123)*(ERP[AP01]+ERP[AP02]+ERP[AP03]+ERP[AP04]+ERP[AP05]))</f>
        <v>#VALUE!</v>
      </c>
      <c r="I123" s="487" cm="1">
        <f t="array" ref="I123">SUMPRODUCT((ERP[UID]=A123)*(ERP[AP01 LE2]+ERP[AP02 LE2]+ERP[AP03 LE2]+ERP[AP04 LE2]+ERP[AP05 LE2]))</f>
        <v>0</v>
      </c>
      <c r="J123" s="487">
        <f>'ERP_AP7 Macro Failed'!AL125</f>
        <v>0</v>
      </c>
      <c r="K123" t="str">
        <f t="shared" si="2"/>
        <v>Immaterial</v>
      </c>
      <c r="L123" t="str">
        <f t="shared" si="3"/>
        <v>No</v>
      </c>
    </row>
    <row r="124" spans="1:12">
      <c r="A124" t="str">
        <f>'ERP_AP7 Macro Failed'!A126</f>
        <v>L-ERP-104</v>
      </c>
      <c r="B124" t="str">
        <f>'ERP_AP7 Macro Failed'!D126</f>
        <v>Dougherty, Chris</v>
      </c>
      <c r="C124" t="str">
        <f>'ERP_AP7 Macro Failed'!E126</f>
        <v>Dougherty, Chris</v>
      </c>
      <c r="D124" t="str">
        <f>'ERP_AP7 Macro Failed'!G126</f>
        <v>COMPENSATION</v>
      </c>
      <c r="E124" t="str">
        <f>'ERP_AP7 Macro Failed'!H126</f>
        <v>Bonus</v>
      </c>
      <c r="F124">
        <f>'ERP_AP7 Macro Failed'!I126</f>
        <v>0</v>
      </c>
      <c r="G124" t="str">
        <f>'ERP_AP7 Macro Failed'!K126</f>
        <v>CompBonus001</v>
      </c>
      <c r="H124" s="487" t="e" cm="1">
        <f t="array" ref="H124">SUMPRODUCT((ERP[UID]=A124)*(ERP[AP01]+ERP[AP02]+ERP[AP03]+ERP[AP04]+ERP[AP05]))</f>
        <v>#VALUE!</v>
      </c>
      <c r="I124" s="487" cm="1">
        <f t="array" ref="I124">SUMPRODUCT((ERP[UID]=A124)*(ERP[AP01 LE2]+ERP[AP02 LE2]+ERP[AP03 LE2]+ERP[AP04 LE2]+ERP[AP05 LE2]))</f>
        <v>0</v>
      </c>
      <c r="J124" s="487">
        <f>'ERP_AP7 Macro Failed'!AL126</f>
        <v>0</v>
      </c>
      <c r="K124" t="str">
        <f t="shared" si="2"/>
        <v>Immaterial</v>
      </c>
      <c r="L124" t="str">
        <f t="shared" si="3"/>
        <v>No</v>
      </c>
    </row>
    <row r="125" spans="1:12">
      <c r="A125" t="str">
        <f>'ERP_AP7 Macro Failed'!A127</f>
        <v>L-ERP-428</v>
      </c>
      <c r="B125" t="str">
        <f>'ERP_AP7 Macro Failed'!D127</f>
        <v>McGettigan, David</v>
      </c>
      <c r="C125" t="str">
        <f>'ERP_AP7 Macro Failed'!E127</f>
        <v>McGettigan, David</v>
      </c>
      <c r="D125" t="str">
        <f>'ERP_AP7 Macro Failed'!G127</f>
        <v>COMPENSATION</v>
      </c>
      <c r="E125" t="str">
        <f>'ERP_AP7 Macro Failed'!H127</f>
        <v>Bonus</v>
      </c>
      <c r="F125">
        <f>'ERP_AP7 Macro Failed'!I127</f>
        <v>0</v>
      </c>
      <c r="G125" t="str">
        <f>'ERP_AP7 Macro Failed'!K127</f>
        <v>CompBonus001</v>
      </c>
      <c r="H125" s="487" t="e" cm="1">
        <f t="array" ref="H125">SUMPRODUCT((ERP[UID]=A125)*(ERP[AP01]+ERP[AP02]+ERP[AP03]+ERP[AP04]+ERP[AP05]))</f>
        <v>#VALUE!</v>
      </c>
      <c r="I125" s="487" cm="1">
        <f t="array" ref="I125">SUMPRODUCT((ERP[UID]=A125)*(ERP[AP01 LE2]+ERP[AP02 LE2]+ERP[AP03 LE2]+ERP[AP04 LE2]+ERP[AP05 LE2]))</f>
        <v>0</v>
      </c>
      <c r="J125" s="487">
        <f>'ERP_AP7 Macro Failed'!AL127</f>
        <v>0</v>
      </c>
      <c r="K125" t="str">
        <f t="shared" si="2"/>
        <v>Immaterial</v>
      </c>
      <c r="L125" t="str">
        <f t="shared" si="3"/>
        <v>No</v>
      </c>
    </row>
    <row r="126" spans="1:12">
      <c r="A126" t="str">
        <f>'ERP_AP7 Macro Failed'!A128</f>
        <v>L-ERP-495</v>
      </c>
      <c r="B126" t="str">
        <f>'ERP_AP7 Macro Failed'!D128</f>
        <v>Robertson, Jerome</v>
      </c>
      <c r="C126" t="str">
        <f>'ERP_AP7 Macro Failed'!E128</f>
        <v>Robertson, Jerome</v>
      </c>
      <c r="D126" t="str">
        <f>'ERP_AP7 Macro Failed'!G128</f>
        <v>COMPENSATION</v>
      </c>
      <c r="E126" t="str">
        <f>'ERP_AP7 Macro Failed'!H128</f>
        <v>Bonus</v>
      </c>
      <c r="F126">
        <f>'ERP_AP7 Macro Failed'!I128</f>
        <v>0</v>
      </c>
      <c r="G126" t="str">
        <f>'ERP_AP7 Macro Failed'!K128</f>
        <v>CompBonus001</v>
      </c>
      <c r="H126" s="487" t="e" cm="1">
        <f t="array" ref="H126">SUMPRODUCT((ERP[UID]=A126)*(ERP[AP01]+ERP[AP02]+ERP[AP03]+ERP[AP04]+ERP[AP05]))</f>
        <v>#VALUE!</v>
      </c>
      <c r="I126" s="487" cm="1">
        <f t="array" ref="I126">SUMPRODUCT((ERP[UID]=A126)*(ERP[AP01 LE2]+ERP[AP02 LE2]+ERP[AP03 LE2]+ERP[AP04 LE2]+ERP[AP05 LE2]))</f>
        <v>0</v>
      </c>
      <c r="J126" s="487">
        <f>'ERP_AP7 Macro Failed'!AL128</f>
        <v>0</v>
      </c>
      <c r="K126" t="str">
        <f t="shared" si="2"/>
        <v>Immaterial</v>
      </c>
      <c r="L126" t="str">
        <f t="shared" si="3"/>
        <v>No</v>
      </c>
    </row>
    <row r="127" spans="1:12">
      <c r="A127" t="str">
        <f>'ERP_AP7 Macro Failed'!A129</f>
        <v>L-ERP-045</v>
      </c>
      <c r="B127" t="str">
        <f>'ERP_AP7 Macro Failed'!D129</f>
        <v>Hase, Raj</v>
      </c>
      <c r="C127" t="str">
        <f>'ERP_AP7 Macro Failed'!E129</f>
        <v>Hase, Raj</v>
      </c>
      <c r="D127" t="str">
        <f>'ERP_AP7 Macro Failed'!G129</f>
        <v>COMPENSATION</v>
      </c>
      <c r="E127" t="str">
        <f>'ERP_AP7 Macro Failed'!H129</f>
        <v>Salary</v>
      </c>
      <c r="F127">
        <f>'ERP_AP7 Macro Failed'!I129</f>
        <v>0</v>
      </c>
      <c r="G127" t="str">
        <f>'ERP_AP7 Macro Failed'!K129</f>
        <v>CompSalary001</v>
      </c>
      <c r="H127" s="487" t="e" cm="1">
        <f t="array" ref="H127">SUMPRODUCT((ERP[UID]=A127)*(ERP[AP01]+ERP[AP02]+ERP[AP03]+ERP[AP04]+ERP[AP05]))</f>
        <v>#VALUE!</v>
      </c>
      <c r="I127" s="487" cm="1">
        <f t="array" ref="I127">SUMPRODUCT((ERP[UID]=A127)*(ERP[AP01 LE2]+ERP[AP02 LE2]+ERP[AP03 LE2]+ERP[AP04 LE2]+ERP[AP05 LE2]))</f>
        <v>9046558.3722287081</v>
      </c>
      <c r="J127" s="487">
        <f>'ERP_AP7 Macro Failed'!AL129</f>
        <v>-535547.68445741944</v>
      </c>
      <c r="K127" t="str">
        <f t="shared" si="2"/>
        <v>MATERIAL</v>
      </c>
      <c r="L127" t="str">
        <f t="shared" si="3"/>
        <v>YES</v>
      </c>
    </row>
    <row r="128" spans="1:12">
      <c r="A128" t="str">
        <f>'ERP_AP7 Macro Failed'!A130</f>
        <v>L-ERP-343</v>
      </c>
      <c r="B128" t="str">
        <f>'ERP_AP7 Macro Failed'!D130</f>
        <v>Dougherty, Chris</v>
      </c>
      <c r="C128" t="str">
        <f>'ERP_AP7 Macro Failed'!E130</f>
        <v>Maguire, Karla</v>
      </c>
      <c r="D128" t="str">
        <f>'ERP_AP7 Macro Failed'!G130</f>
        <v>COMPENSATION</v>
      </c>
      <c r="E128" t="str">
        <f>'ERP_AP7 Macro Failed'!H130</f>
        <v>Bonus</v>
      </c>
      <c r="F128">
        <f>'ERP_AP7 Macro Failed'!I130</f>
        <v>0</v>
      </c>
      <c r="G128" t="str">
        <f>'ERP_AP7 Macro Failed'!K130</f>
        <v>CompBonus001</v>
      </c>
      <c r="H128" s="487" t="e" cm="1">
        <f t="array" ref="H128">SUMPRODUCT((ERP[UID]=A128)*(ERP[AP01]+ERP[AP02]+ERP[AP03]+ERP[AP04]+ERP[AP05]))</f>
        <v>#VALUE!</v>
      </c>
      <c r="I128" s="487" cm="1">
        <f t="array" ref="I128">SUMPRODUCT((ERP[UID]=A128)*(ERP[AP01 LE2]+ERP[AP02 LE2]+ERP[AP03 LE2]+ERP[AP04 LE2]+ERP[AP05 LE2]))</f>
        <v>0</v>
      </c>
      <c r="J128" s="487">
        <f>'ERP_AP7 Macro Failed'!AL130</f>
        <v>0</v>
      </c>
      <c r="K128" t="str">
        <f t="shared" si="2"/>
        <v>Immaterial</v>
      </c>
      <c r="L128" t="str">
        <f t="shared" si="3"/>
        <v>No</v>
      </c>
    </row>
    <row r="129" spans="1:12">
      <c r="A129" t="str">
        <f>'ERP_AP7 Macro Failed'!A131</f>
        <v>L-ERP-172</v>
      </c>
      <c r="B129" t="str">
        <f>'ERP_AP7 Macro Failed'!D131</f>
        <v>Hase, Raj</v>
      </c>
      <c r="C129" t="str">
        <f>'ERP_AP7 Macro Failed'!E131</f>
        <v>Ganesan, Srinivasan</v>
      </c>
      <c r="D129" t="str">
        <f>'ERP_AP7 Macro Failed'!G131</f>
        <v>COMPENSATION</v>
      </c>
      <c r="E129" t="str">
        <f>'ERP_AP7 Macro Failed'!H131</f>
        <v>Salary</v>
      </c>
      <c r="F129">
        <f>'ERP_AP7 Macro Failed'!I131</f>
        <v>0</v>
      </c>
      <c r="G129" t="str">
        <f>'ERP_AP7 Macro Failed'!K131</f>
        <v>CompSalary001</v>
      </c>
      <c r="H129" s="487" t="e" cm="1">
        <f t="array" ref="H129">SUMPRODUCT((ERP[UID]=A129)*(ERP[AP01]+ERP[AP02]+ERP[AP03]+ERP[AP04]+ERP[AP05]))</f>
        <v>#VALUE!</v>
      </c>
      <c r="I129" s="487" cm="1">
        <f t="array" ref="I129">SUMPRODUCT((ERP[UID]=A129)*(ERP[AP01 LE2]+ERP[AP02 LE2]+ERP[AP03 LE2]+ERP[AP04 LE2]+ERP[AP05 LE2]))</f>
        <v>0</v>
      </c>
      <c r="J129" s="487">
        <f>'ERP_AP7 Macro Failed'!AL131</f>
        <v>11264.339999999998</v>
      </c>
      <c r="K129" t="str">
        <f t="shared" si="2"/>
        <v>MATERIAL</v>
      </c>
      <c r="L129" t="str">
        <f t="shared" si="3"/>
        <v>YES</v>
      </c>
    </row>
    <row r="130" spans="1:12">
      <c r="A130" t="str">
        <f>'ERP_AP7 Macro Failed'!A132</f>
        <v>L-ERP-254</v>
      </c>
      <c r="B130" t="str">
        <f>'ERP_AP7 Macro Failed'!D132</f>
        <v>Hase, Raj</v>
      </c>
      <c r="C130" t="str">
        <f>'ERP_AP7 Macro Failed'!E132</f>
        <v>Jajodia, Amit</v>
      </c>
      <c r="D130" t="str">
        <f>'ERP_AP7 Macro Failed'!G132</f>
        <v>COMPENSATION</v>
      </c>
      <c r="E130" t="str">
        <f>'ERP_AP7 Macro Failed'!H132</f>
        <v>Salary</v>
      </c>
      <c r="F130">
        <f>'ERP_AP7 Macro Failed'!I132</f>
        <v>0</v>
      </c>
      <c r="G130" t="str">
        <f>'ERP_AP7 Macro Failed'!K132</f>
        <v>CompSalary001</v>
      </c>
      <c r="H130" s="487" t="e" cm="1">
        <f t="array" ref="H130">SUMPRODUCT((ERP[UID]=A130)*(ERP[AP01]+ERP[AP02]+ERP[AP03]+ERP[AP04]+ERP[AP05]))</f>
        <v>#VALUE!</v>
      </c>
      <c r="I130" s="487" cm="1">
        <f t="array" ref="I130">SUMPRODUCT((ERP[UID]=A130)*(ERP[AP01 LE2]+ERP[AP02 LE2]+ERP[AP03 LE2]+ERP[AP04 LE2]+ERP[AP05 LE2]))</f>
        <v>0</v>
      </c>
      <c r="J130" s="487">
        <f>'ERP_AP7 Macro Failed'!AL132</f>
        <v>14481.86</v>
      </c>
      <c r="K130" t="str">
        <f t="shared" si="2"/>
        <v>MATERIAL</v>
      </c>
      <c r="L130" t="str">
        <f t="shared" si="3"/>
        <v>YES</v>
      </c>
    </row>
    <row r="131" spans="1:12">
      <c r="A131" t="str">
        <f>'ERP_AP7 Macro Failed'!A133</f>
        <v>L-ERP-105</v>
      </c>
      <c r="B131" t="str">
        <f>'ERP_AP7 Macro Failed'!D133</f>
        <v>Dougherty, Chris</v>
      </c>
      <c r="C131" t="str">
        <f>'ERP_AP7 Macro Failed'!E133</f>
        <v>Dougherty, Chris</v>
      </c>
      <c r="D131" t="str">
        <f>'ERP_AP7 Macro Failed'!G133</f>
        <v>COMPENSATION</v>
      </c>
      <c r="E131" t="str">
        <f>'ERP_AP7 Macro Failed'!H133</f>
        <v>Salary</v>
      </c>
      <c r="F131">
        <f>'ERP_AP7 Macro Failed'!I133</f>
        <v>0</v>
      </c>
      <c r="G131" t="str">
        <f>'ERP_AP7 Macro Failed'!K133</f>
        <v>CompSalary001</v>
      </c>
      <c r="H131" s="487" t="e" cm="1">
        <f t="array" ref="H131">SUMPRODUCT((ERP[UID]=A131)*(ERP[AP01]+ERP[AP02]+ERP[AP03]+ERP[AP04]+ERP[AP05]))</f>
        <v>#VALUE!</v>
      </c>
      <c r="I131" s="487" cm="1">
        <f t="array" ref="I131">SUMPRODUCT((ERP[UID]=A131)*(ERP[AP01 LE2]+ERP[AP02 LE2]+ERP[AP03 LE2]+ERP[AP04 LE2]+ERP[AP05 LE2]))</f>
        <v>0</v>
      </c>
      <c r="J131" s="487">
        <f>'ERP_AP7 Macro Failed'!AL133</f>
        <v>1060974</v>
      </c>
      <c r="K131" t="str">
        <f t="shared" si="2"/>
        <v>MATERIAL</v>
      </c>
      <c r="L131" t="str">
        <f t="shared" si="3"/>
        <v>YES</v>
      </c>
    </row>
    <row r="132" spans="1:12">
      <c r="A132" t="str">
        <f>'ERP_AP7 Macro Failed'!A134</f>
        <v>L-ERP-432</v>
      </c>
      <c r="B132" t="str">
        <f>'ERP_AP7 Macro Failed'!D134</f>
        <v>McGettigan, David</v>
      </c>
      <c r="C132" t="str">
        <f>'ERP_AP7 Macro Failed'!E134</f>
        <v>McGettigan, David</v>
      </c>
      <c r="D132" t="str">
        <f>'ERP_AP7 Macro Failed'!G134</f>
        <v>COMPENSATION</v>
      </c>
      <c r="E132" t="str">
        <f>'ERP_AP7 Macro Failed'!H134</f>
        <v>Salary</v>
      </c>
      <c r="F132">
        <f>'ERP_AP7 Macro Failed'!I134</f>
        <v>0</v>
      </c>
      <c r="G132" t="str">
        <f>'ERP_AP7 Macro Failed'!K134</f>
        <v>CompSalary001</v>
      </c>
      <c r="H132" s="487" t="e" cm="1">
        <f t="array" ref="H132">SUMPRODUCT((ERP[UID]=A132)*(ERP[AP01]+ERP[AP02]+ERP[AP03]+ERP[AP04]+ERP[AP05]))</f>
        <v>#VALUE!</v>
      </c>
      <c r="I132" s="487" cm="1">
        <f t="array" ref="I132">SUMPRODUCT((ERP[UID]=A132)*(ERP[AP01 LE2]+ERP[AP02 LE2]+ERP[AP03 LE2]+ERP[AP04 LE2]+ERP[AP05 LE2]))</f>
        <v>419541.17</v>
      </c>
      <c r="J132" s="487">
        <f>'ERP_AP7 Macro Failed'!AL134</f>
        <v>-98217.340000000026</v>
      </c>
      <c r="K132" t="str">
        <f t="shared" si="2"/>
        <v>MATERIAL</v>
      </c>
      <c r="L132" t="str">
        <f t="shared" si="3"/>
        <v>YES</v>
      </c>
    </row>
    <row r="133" spans="1:12">
      <c r="A133" t="str">
        <f>'ERP_AP7 Macro Failed'!A135</f>
        <v>L-ERP-496</v>
      </c>
      <c r="B133" t="str">
        <f>'ERP_AP7 Macro Failed'!D135</f>
        <v>Robertson, Jerome</v>
      </c>
      <c r="C133" t="str">
        <f>'ERP_AP7 Macro Failed'!E135</f>
        <v>Robertson, Jerome</v>
      </c>
      <c r="D133" t="str">
        <f>'ERP_AP7 Macro Failed'!G135</f>
        <v>COMPENSATION</v>
      </c>
      <c r="E133" t="str">
        <f>'ERP_AP7 Macro Failed'!H135</f>
        <v>Salary</v>
      </c>
      <c r="F133">
        <f>'ERP_AP7 Macro Failed'!I135</f>
        <v>0</v>
      </c>
      <c r="G133" t="str">
        <f>'ERP_AP7 Macro Failed'!K135</f>
        <v>CompSalary001</v>
      </c>
      <c r="H133" s="487" t="e" cm="1">
        <f t="array" ref="H133">SUMPRODUCT((ERP[UID]=A133)*(ERP[AP01]+ERP[AP02]+ERP[AP03]+ERP[AP04]+ERP[AP05]))</f>
        <v>#VALUE!</v>
      </c>
      <c r="I133" s="487" cm="1">
        <f t="array" ref="I133">SUMPRODUCT((ERP[UID]=A133)*(ERP[AP01 LE2]+ERP[AP02 LE2]+ERP[AP03 LE2]+ERP[AP04 LE2]+ERP[AP05 LE2]))</f>
        <v>1216625.5290698137</v>
      </c>
      <c r="J133" s="487">
        <f>'ERP_AP7 Macro Failed'!AL135</f>
        <v>-984.69813962723128</v>
      </c>
      <c r="K133" t="str">
        <f t="shared" si="2"/>
        <v>Immaterial</v>
      </c>
      <c r="L133" t="str">
        <f t="shared" si="3"/>
        <v>No</v>
      </c>
    </row>
    <row r="134" spans="1:12">
      <c r="A134" t="str">
        <f>'ERP_AP7 Macro Failed'!A136</f>
        <v>L-ERP-344</v>
      </c>
      <c r="B134" t="str">
        <f>'ERP_AP7 Macro Failed'!D136</f>
        <v>Dougherty, Chris</v>
      </c>
      <c r="C134" t="str">
        <f>'ERP_AP7 Macro Failed'!E136</f>
        <v>Maguire, Karla</v>
      </c>
      <c r="D134" t="str">
        <f>'ERP_AP7 Macro Failed'!G136</f>
        <v>COMPENSATION</v>
      </c>
      <c r="E134" t="str">
        <f>'ERP_AP7 Macro Failed'!H136</f>
        <v>Salary</v>
      </c>
      <c r="F134">
        <f>'ERP_AP7 Macro Failed'!I136</f>
        <v>0</v>
      </c>
      <c r="G134" t="str">
        <f>'ERP_AP7 Macro Failed'!K136</f>
        <v>CompSalary001</v>
      </c>
      <c r="H134" s="487" t="e" cm="1">
        <f t="array" ref="H134">SUMPRODUCT((ERP[UID]=A134)*(ERP[AP01]+ERP[AP02]+ERP[AP03]+ERP[AP04]+ERP[AP05]))</f>
        <v>#VALUE!</v>
      </c>
      <c r="I134" s="487" cm="1">
        <f t="array" ref="I134">SUMPRODUCT((ERP[UID]=A134)*(ERP[AP01 LE2]+ERP[AP02 LE2]+ERP[AP03 LE2]+ERP[AP04 LE2]+ERP[AP05 LE2]))</f>
        <v>6812710.4832276665</v>
      </c>
      <c r="J134" s="487">
        <f>'ERP_AP7 Macro Failed'!AL136</f>
        <v>-555378.66144133732</v>
      </c>
      <c r="K134" t="str">
        <f t="shared" ref="K134:K197" si="4">IF(ABS(J134)&gt;=10000,"MATERIAL",IF(ABS(J134)&gt;=1000,"Minor","Immaterial"))</f>
        <v>MATERIAL</v>
      </c>
      <c r="L134" t="str">
        <f t="shared" ref="L134:L197" si="5">IF(ABS(J134)&gt;=10000,"YES","No")</f>
        <v>YES</v>
      </c>
    </row>
    <row r="135" spans="1:12">
      <c r="A135" t="str">
        <f>'ERP_AP7 Macro Failed'!A137</f>
        <v>ERP-033</v>
      </c>
      <c r="B135" t="str">
        <f>'ERP_AP7 Macro Failed'!D137</f>
        <v>Hase, Raj</v>
      </c>
      <c r="C135" t="str">
        <f>'ERP_AP7 Macro Failed'!E137</f>
        <v>Ganesan, Srinivasan</v>
      </c>
      <c r="D135" t="str">
        <f>'ERP_AP7 Macro Failed'!G137</f>
        <v>SOFTWARE</v>
      </c>
      <c r="E135" t="str">
        <f>'ERP_AP7 Macro Failed'!H137</f>
        <v>DIGITAL-MICROSOFTEA</v>
      </c>
      <c r="F135">
        <f>'ERP_AP7 Macro Failed'!I137</f>
        <v>0</v>
      </c>
      <c r="G135" t="str">
        <f>'ERP_AP7 Macro Failed'!K137</f>
        <v>EnhanceChargeout001</v>
      </c>
      <c r="H135" s="487" t="e" cm="1">
        <f t="array" ref="H135">SUMPRODUCT((ERP[UID]=A135)*(ERP[AP01]+ERP[AP02]+ERP[AP03]+ERP[AP04]+ERP[AP05]))</f>
        <v>#VALUE!</v>
      </c>
      <c r="I135" s="487" cm="1">
        <f t="array" ref="I135">SUMPRODUCT((ERP[UID]=A135)*(ERP[AP01 LE2]+ERP[AP02 LE2]+ERP[AP03 LE2]+ERP[AP04 LE2]+ERP[AP05 LE2]))</f>
        <v>0</v>
      </c>
      <c r="J135" s="487">
        <f>'ERP_AP7 Macro Failed'!AL137</f>
        <v>90</v>
      </c>
      <c r="K135" t="str">
        <f t="shared" si="4"/>
        <v>Immaterial</v>
      </c>
      <c r="L135" t="str">
        <f t="shared" si="5"/>
        <v>No</v>
      </c>
    </row>
    <row r="136" spans="1:12">
      <c r="A136" t="str">
        <f>'ERP_AP7 Macro Failed'!A138</f>
        <v>ERP-042</v>
      </c>
      <c r="B136" t="str">
        <f>'ERP_AP7 Macro Failed'!D138</f>
        <v>Hase, Raj</v>
      </c>
      <c r="C136" t="str">
        <f>'ERP_AP7 Macro Failed'!E138</f>
        <v>Jajodia, Amit</v>
      </c>
      <c r="D136" t="str">
        <f>'ERP_AP7 Macro Failed'!G138</f>
        <v>SOFTWARE</v>
      </c>
      <c r="E136" t="str">
        <f>'ERP_AP7 Macro Failed'!H138</f>
        <v>DIGITAL-COPILOT</v>
      </c>
      <c r="F136">
        <f>'ERP_AP7 Macro Failed'!I138</f>
        <v>0</v>
      </c>
      <c r="G136" t="str">
        <f>'ERP_AP7 Macro Failed'!K138</f>
        <v>EnhanceChargeout001</v>
      </c>
      <c r="H136" s="487" t="e" cm="1">
        <f t="array" ref="H136">SUMPRODUCT((ERP[UID]=A136)*(ERP[AP01]+ERP[AP02]+ERP[AP03]+ERP[AP04]+ERP[AP05]))</f>
        <v>#VALUE!</v>
      </c>
      <c r="I136" s="487" cm="1">
        <f t="array" ref="I136">SUMPRODUCT((ERP[UID]=A136)*(ERP[AP01 LE2]+ERP[AP02 LE2]+ERP[AP03 LE2]+ERP[AP04 LE2]+ERP[AP05 LE2]))</f>
        <v>0</v>
      </c>
      <c r="J136" s="487">
        <f>'ERP_AP7 Macro Failed'!AL138</f>
        <v>227</v>
      </c>
      <c r="K136" t="str">
        <f t="shared" si="4"/>
        <v>Immaterial</v>
      </c>
      <c r="L136" t="str">
        <f t="shared" si="5"/>
        <v>No</v>
      </c>
    </row>
    <row r="137" spans="1:12">
      <c r="A137" t="str">
        <f>'ERP_AP7 Macro Failed'!A139</f>
        <v>ERP-011</v>
      </c>
      <c r="B137" t="str">
        <f>'ERP_AP7 Macro Failed'!D139</f>
        <v>Hase, Raj</v>
      </c>
      <c r="C137" t="str">
        <f>'ERP_AP7 Macro Failed'!E139</f>
        <v>Hase, Raj</v>
      </c>
      <c r="D137" t="str">
        <f>'ERP_AP7 Macro Failed'!G139</f>
        <v>SOFTWARE</v>
      </c>
      <c r="E137" t="str">
        <f>'ERP_AP7 Macro Failed'!H139</f>
        <v>EnhanceChargeout001 AP04 Tie-Out</v>
      </c>
      <c r="F137">
        <f>'ERP_AP7 Macro Failed'!I139</f>
        <v>0</v>
      </c>
      <c r="G137" t="str">
        <f>'ERP_AP7 Macro Failed'!K139</f>
        <v>EnhanceChargeout001</v>
      </c>
      <c r="H137" s="487" t="e" cm="1">
        <f t="array" ref="H137">SUMPRODUCT((ERP[UID]=A137)*(ERP[AP01]+ERP[AP02]+ERP[AP03]+ERP[AP04]+ERP[AP05]))</f>
        <v>#VALUE!</v>
      </c>
      <c r="I137" s="487" cm="1">
        <f t="array" ref="I137">SUMPRODUCT((ERP[UID]=A137)*(ERP[AP01 LE2]+ERP[AP02 LE2]+ERP[AP03 LE2]+ERP[AP04 LE2]+ERP[AP05 LE2]))</f>
        <v>0</v>
      </c>
      <c r="J137" s="487">
        <f>'ERP_AP7 Macro Failed'!AL139</f>
        <v>0</v>
      </c>
      <c r="K137" t="str">
        <f t="shared" si="4"/>
        <v>Immaterial</v>
      </c>
      <c r="L137" t="str">
        <f t="shared" si="5"/>
        <v>No</v>
      </c>
    </row>
    <row r="138" spans="1:12">
      <c r="A138" t="str">
        <f>'ERP_AP7 Macro Failed'!A140</f>
        <v>ERP-026</v>
      </c>
      <c r="B138" t="str">
        <f>'ERP_AP7 Macro Failed'!D140</f>
        <v>Dougherty, Chris</v>
      </c>
      <c r="C138" t="str">
        <f>'ERP_AP7 Macro Failed'!E140</f>
        <v>Tamavada, Ram</v>
      </c>
      <c r="D138" t="str">
        <f>'ERP_AP7 Macro Failed'!G140</f>
        <v>CONTRACTORS</v>
      </c>
      <c r="E138" t="str">
        <f>'ERP_AP7 Macro Failed'!H140</f>
        <v>SAP SECURITY CLIENT PROJECTS-IBM</v>
      </c>
      <c r="F138" t="str">
        <f>'ERP_AP7 Macro Failed'!I140</f>
        <v>IBM</v>
      </c>
      <c r="G138" t="str">
        <f>'ERP_AP7 Macro Failed'!K140</f>
        <v>EnhanceChargeout001</v>
      </c>
      <c r="H138" s="487" t="e" cm="1">
        <f t="array" ref="H138">SUMPRODUCT((ERP[UID]=A138)*(ERP[AP01]+ERP[AP02]+ERP[AP03]+ERP[AP04]+ERP[AP05]))</f>
        <v>#VALUE!</v>
      </c>
      <c r="I138" s="487" cm="1">
        <f t="array" ref="I138">SUMPRODUCT((ERP[UID]=A138)*(ERP[AP01 LE2]+ERP[AP02 LE2]+ERP[AP03 LE2]+ERP[AP04 LE2]+ERP[AP05 LE2]))</f>
        <v>0</v>
      </c>
      <c r="J138" s="487">
        <f>'ERP_AP7 Macro Failed'!AL140</f>
        <v>-237343</v>
      </c>
      <c r="K138" t="str">
        <f t="shared" si="4"/>
        <v>MATERIAL</v>
      </c>
      <c r="L138" t="str">
        <f t="shared" si="5"/>
        <v>YES</v>
      </c>
    </row>
    <row r="139" spans="1:12">
      <c r="A139" t="str">
        <f>'ERP_AP7 Macro Failed'!A141</f>
        <v>L-ERP-092</v>
      </c>
      <c r="B139" t="str">
        <f>'ERP_AP7 Macro Failed'!D141</f>
        <v>Dougherty, Chris</v>
      </c>
      <c r="C139" t="str">
        <f>'ERP_AP7 Macro Failed'!E141</f>
        <v>Dougherty, Chris</v>
      </c>
      <c r="D139" t="str">
        <f>'ERP_AP7 Macro Failed'!G141</f>
        <v>CONTRACTORS</v>
      </c>
      <c r="E139" t="str">
        <f>'ERP_AP7 Macro Failed'!H141</f>
        <v>Enhance Chargeout Cost Centers</v>
      </c>
      <c r="F139">
        <f>'ERP_AP7 Macro Failed'!I141</f>
        <v>0</v>
      </c>
      <c r="G139" t="str">
        <f>'ERP_AP7 Macro Failed'!K141</f>
        <v>EnhanceChargeout001</v>
      </c>
      <c r="H139" s="487" t="e" cm="1">
        <f t="array" ref="H139">SUMPRODUCT((ERP[UID]=A139)*(ERP[AP01]+ERP[AP02]+ERP[AP03]+ERP[AP04]+ERP[AP05]))</f>
        <v>#VALUE!</v>
      </c>
      <c r="I139" s="487" cm="1">
        <f t="array" ref="I139">SUMPRODUCT((ERP[UID]=A139)*(ERP[AP01 LE2]+ERP[AP02 LE2]+ERP[AP03 LE2]+ERP[AP04 LE2]+ERP[AP05 LE2]))</f>
        <v>-51577</v>
      </c>
      <c r="J139" s="487">
        <f>'ERP_AP7 Macro Failed'!AL141</f>
        <v>12282</v>
      </c>
      <c r="K139" t="str">
        <f t="shared" si="4"/>
        <v>MATERIAL</v>
      </c>
      <c r="L139" t="str">
        <f t="shared" si="5"/>
        <v>YES</v>
      </c>
    </row>
    <row r="140" spans="1:12">
      <c r="A140" t="str">
        <f>'ERP_AP7 Macro Failed'!A142</f>
        <v>L-ERP-154</v>
      </c>
      <c r="B140" t="str">
        <f>'ERP_AP7 Macro Failed'!D142</f>
        <v>Hase, Raj</v>
      </c>
      <c r="C140" t="str">
        <f>'ERP_AP7 Macro Failed'!E142</f>
        <v>Ganesan, Srinivasan</v>
      </c>
      <c r="D140" t="str">
        <f>'ERP_AP7 Macro Failed'!G142</f>
        <v>CONTRACTORS</v>
      </c>
      <c r="E140" t="str">
        <f>'ERP_AP7 Macro Failed'!H142</f>
        <v>Enhance Chargeout Cost Centers</v>
      </c>
      <c r="F140">
        <f>'ERP_AP7 Macro Failed'!I142</f>
        <v>0</v>
      </c>
      <c r="G140" t="str">
        <f>'ERP_AP7 Macro Failed'!K142</f>
        <v>EnhanceChargeout001</v>
      </c>
      <c r="H140" s="487" t="e" cm="1">
        <f t="array" ref="H140">SUMPRODUCT((ERP[UID]=A140)*(ERP[AP01]+ERP[AP02]+ERP[AP03]+ERP[AP04]+ERP[AP05]))</f>
        <v>#VALUE!</v>
      </c>
      <c r="I140" s="487" cm="1">
        <f t="array" ref="I140">SUMPRODUCT((ERP[UID]=A140)*(ERP[AP01 LE2]+ERP[AP02 LE2]+ERP[AP03 LE2]+ERP[AP04 LE2]+ERP[AP05 LE2]))</f>
        <v>130143</v>
      </c>
      <c r="J140" s="487">
        <f>'ERP_AP7 Macro Failed'!AL142</f>
        <v>85740</v>
      </c>
      <c r="K140" t="str">
        <f t="shared" si="4"/>
        <v>MATERIAL</v>
      </c>
      <c r="L140" t="str">
        <f t="shared" si="5"/>
        <v>YES</v>
      </c>
    </row>
    <row r="141" spans="1:12">
      <c r="A141" t="str">
        <f>'ERP_AP7 Macro Failed'!A143</f>
        <v>L-ERP-160</v>
      </c>
      <c r="B141" t="str">
        <f>'ERP_AP7 Macro Failed'!D143</f>
        <v>Hase, Raj</v>
      </c>
      <c r="C141" t="str">
        <f>'ERP_AP7 Macro Failed'!E143</f>
        <v>Ganesan, Srinivasan</v>
      </c>
      <c r="D141" t="str">
        <f>'ERP_AP7 Macro Failed'!G143</f>
        <v>MANAGED SERVICES</v>
      </c>
      <c r="E141" t="str">
        <f>'ERP_AP7 Macro Failed'!H143</f>
        <v>Enhance Chargeout Cost Centers</v>
      </c>
      <c r="F141">
        <f>'ERP_AP7 Macro Failed'!I143</f>
        <v>0</v>
      </c>
      <c r="G141" t="str">
        <f>'ERP_AP7 Macro Failed'!K143</f>
        <v>EnhanceChargeout001</v>
      </c>
      <c r="H141" s="487" t="e" cm="1">
        <f t="array" ref="H141">SUMPRODUCT((ERP[UID]=A141)*(ERP[AP01]+ERP[AP02]+ERP[AP03]+ERP[AP04]+ERP[AP05]))</f>
        <v>#VALUE!</v>
      </c>
      <c r="I141" s="487" cm="1">
        <f t="array" ref="I141">SUMPRODUCT((ERP[UID]=A141)*(ERP[AP01 LE2]+ERP[AP02 LE2]+ERP[AP03 LE2]+ERP[AP04 LE2]+ERP[AP05 LE2]))</f>
        <v>387</v>
      </c>
      <c r="J141" s="487">
        <f>'ERP_AP7 Macro Failed'!AL143</f>
        <v>387</v>
      </c>
      <c r="K141" t="str">
        <f t="shared" si="4"/>
        <v>Immaterial</v>
      </c>
      <c r="L141" t="str">
        <f t="shared" si="5"/>
        <v>No</v>
      </c>
    </row>
    <row r="142" spans="1:12">
      <c r="A142" t="str">
        <f>'ERP_AP7 Macro Failed'!A144</f>
        <v>L-ERP-186</v>
      </c>
      <c r="B142" t="str">
        <f>'ERP_AP7 Macro Failed'!D144</f>
        <v>Hase, Raj</v>
      </c>
      <c r="C142" t="str">
        <f>'ERP_AP7 Macro Failed'!E144</f>
        <v>Hase, Raj</v>
      </c>
      <c r="D142" t="str">
        <f>'ERP_AP7 Macro Failed'!G144</f>
        <v>CONTRACTORS</v>
      </c>
      <c r="E142" t="str">
        <f>'ERP_AP7 Macro Failed'!H144</f>
        <v>Enhance Chargeout Cost Centers</v>
      </c>
      <c r="F142">
        <f>'ERP_AP7 Macro Failed'!I144</f>
        <v>0</v>
      </c>
      <c r="G142" t="str">
        <f>'ERP_AP7 Macro Failed'!K144</f>
        <v>EnhanceChargeout001</v>
      </c>
      <c r="H142" s="487" t="e" cm="1">
        <f t="array" ref="H142">SUMPRODUCT((ERP[UID]=A142)*(ERP[AP01]+ERP[AP02]+ERP[AP03]+ERP[AP04]+ERP[AP05]))</f>
        <v>#VALUE!</v>
      </c>
      <c r="I142" s="487" cm="1">
        <f t="array" ref="I142">SUMPRODUCT((ERP[UID]=A142)*(ERP[AP01 LE2]+ERP[AP02 LE2]+ERP[AP03 LE2]+ERP[AP04 LE2]+ERP[AP05 LE2]))</f>
        <v>-116859</v>
      </c>
      <c r="J142" s="487">
        <f>'ERP_AP7 Macro Failed'!AL144</f>
        <v>22675.000000000116</v>
      </c>
      <c r="K142" t="str">
        <f t="shared" si="4"/>
        <v>MATERIAL</v>
      </c>
      <c r="L142" t="str">
        <f t="shared" si="5"/>
        <v>YES</v>
      </c>
    </row>
    <row r="143" spans="1:12">
      <c r="A143" t="str">
        <f>'ERP_AP7 Macro Failed'!A145</f>
        <v>L-ERP-188</v>
      </c>
      <c r="B143" t="str">
        <f>'ERP_AP7 Macro Failed'!D145</f>
        <v>Hase, Raj</v>
      </c>
      <c r="C143" t="str">
        <f>'ERP_AP7 Macro Failed'!E145</f>
        <v>Hase, Raj</v>
      </c>
      <c r="D143" t="str">
        <f>'ERP_AP7 Macro Failed'!G145</f>
        <v>MANAGED SERVICES</v>
      </c>
      <c r="E143" t="str">
        <f>'ERP_AP7 Macro Failed'!H145</f>
        <v>Enhance Chargeout Cost Centers</v>
      </c>
      <c r="F143">
        <f>'ERP_AP7 Macro Failed'!I145</f>
        <v>0</v>
      </c>
      <c r="G143" t="str">
        <f>'ERP_AP7 Macro Failed'!K145</f>
        <v>EnhanceChargeout001</v>
      </c>
      <c r="H143" s="487" t="e" cm="1">
        <f t="array" ref="H143">SUMPRODUCT((ERP[UID]=A143)*(ERP[AP01]+ERP[AP02]+ERP[AP03]+ERP[AP04]+ERP[AP05]))</f>
        <v>#VALUE!</v>
      </c>
      <c r="I143" s="487" cm="1">
        <f t="array" ref="I143">SUMPRODUCT((ERP[UID]=A143)*(ERP[AP01 LE2]+ERP[AP02 LE2]+ERP[AP03 LE2]+ERP[AP04 LE2]+ERP[AP05 LE2]))</f>
        <v>2840</v>
      </c>
      <c r="J143" s="487">
        <f>'ERP_AP7 Macro Failed'!AL145</f>
        <v>23350</v>
      </c>
      <c r="K143" t="str">
        <f t="shared" si="4"/>
        <v>MATERIAL</v>
      </c>
      <c r="L143" t="str">
        <f t="shared" si="5"/>
        <v>YES</v>
      </c>
    </row>
    <row r="144" spans="1:12">
      <c r="A144" t="str">
        <f>'ERP_AP7 Macro Failed'!A146</f>
        <v>L-ERP-244</v>
      </c>
      <c r="B144" t="str">
        <f>'ERP_AP7 Macro Failed'!D146</f>
        <v>Hase, Raj</v>
      </c>
      <c r="C144" t="str">
        <f>'ERP_AP7 Macro Failed'!E146</f>
        <v>Jajodia, Amit</v>
      </c>
      <c r="D144" t="str">
        <f>'ERP_AP7 Macro Failed'!G146</f>
        <v>CONTRACTORS</v>
      </c>
      <c r="E144" t="str">
        <f>'ERP_AP7 Macro Failed'!H146</f>
        <v>Enhance Chargeout Cost Centers</v>
      </c>
      <c r="F144">
        <f>'ERP_AP7 Macro Failed'!I146</f>
        <v>0</v>
      </c>
      <c r="G144" t="str">
        <f>'ERP_AP7 Macro Failed'!K146</f>
        <v>EnhanceChargeout001</v>
      </c>
      <c r="H144" s="487" t="e" cm="1">
        <f t="array" ref="H144">SUMPRODUCT((ERP[UID]=A144)*(ERP[AP01]+ERP[AP02]+ERP[AP03]+ERP[AP04]+ERP[AP05]))</f>
        <v>#VALUE!</v>
      </c>
      <c r="I144" s="487" cm="1">
        <f t="array" ref="I144">SUMPRODUCT((ERP[UID]=A144)*(ERP[AP01 LE2]+ERP[AP02 LE2]+ERP[AP03 LE2]+ERP[AP04 LE2]+ERP[AP05 LE2]))</f>
        <v>-29144</v>
      </c>
      <c r="J144" s="487">
        <f>'ERP_AP7 Macro Failed'!AL146</f>
        <v>93672.000000000044</v>
      </c>
      <c r="K144" t="str">
        <f t="shared" si="4"/>
        <v>MATERIAL</v>
      </c>
      <c r="L144" t="str">
        <f t="shared" si="5"/>
        <v>YES</v>
      </c>
    </row>
    <row r="145" spans="1:12">
      <c r="A145" t="str">
        <f>'ERP_AP7 Macro Failed'!A147</f>
        <v>L-ERP-248</v>
      </c>
      <c r="B145" t="str">
        <f>'ERP_AP7 Macro Failed'!D147</f>
        <v>Hase, Raj</v>
      </c>
      <c r="C145" t="str">
        <f>'ERP_AP7 Macro Failed'!E147</f>
        <v>Jajodia, Amit</v>
      </c>
      <c r="D145" t="str">
        <f>'ERP_AP7 Macro Failed'!G147</f>
        <v>MANAGED SERVICES</v>
      </c>
      <c r="E145" t="str">
        <f>'ERP_AP7 Macro Failed'!H147</f>
        <v>Enhance Chargeout Cost Centers</v>
      </c>
      <c r="F145">
        <f>'ERP_AP7 Macro Failed'!I147</f>
        <v>0</v>
      </c>
      <c r="G145" t="str">
        <f>'ERP_AP7 Macro Failed'!K147</f>
        <v>EnhanceChargeout001</v>
      </c>
      <c r="H145" s="487" t="e" cm="1">
        <f t="array" ref="H145">SUMPRODUCT((ERP[UID]=A145)*(ERP[AP01]+ERP[AP02]+ERP[AP03]+ERP[AP04]+ERP[AP05]))</f>
        <v>#VALUE!</v>
      </c>
      <c r="I145" s="487" cm="1">
        <f t="array" ref="I145">SUMPRODUCT((ERP[UID]=A145)*(ERP[AP01 LE2]+ERP[AP02 LE2]+ERP[AP03 LE2]+ERP[AP04 LE2]+ERP[AP05 LE2]))</f>
        <v>1177</v>
      </c>
      <c r="J145" s="487">
        <f>'ERP_AP7 Macro Failed'!AL147</f>
        <v>-1281</v>
      </c>
      <c r="K145" t="str">
        <f t="shared" si="4"/>
        <v>Minor</v>
      </c>
      <c r="L145" t="str">
        <f t="shared" si="5"/>
        <v>No</v>
      </c>
    </row>
    <row r="146" spans="1:12">
      <c r="A146" t="str">
        <f>'ERP_AP7 Macro Failed'!A148</f>
        <v>L-ERP-096</v>
      </c>
      <c r="B146" t="str">
        <f>'ERP_AP7 Macro Failed'!D148</f>
        <v>Dougherty, Chris</v>
      </c>
      <c r="C146" t="str">
        <f>'ERP_AP7 Macro Failed'!E148</f>
        <v>Dougherty, Chris</v>
      </c>
      <c r="D146" t="str">
        <f>'ERP_AP7 Macro Failed'!G148</f>
        <v>MANAGED SERVICES</v>
      </c>
      <c r="E146" t="str">
        <f>'ERP_AP7 Macro Failed'!H148</f>
        <v>Enhance Chargeout Cost Centers</v>
      </c>
      <c r="F146">
        <f>'ERP_AP7 Macro Failed'!I148</f>
        <v>0</v>
      </c>
      <c r="G146" t="str">
        <f>'ERP_AP7 Macro Failed'!K148</f>
        <v>EnhanceChargeout001</v>
      </c>
      <c r="H146" s="487" t="e" cm="1">
        <f t="array" ref="H146">SUMPRODUCT((ERP[UID]=A146)*(ERP[AP01]+ERP[AP02]+ERP[AP03]+ERP[AP04]+ERP[AP05]))</f>
        <v>#VALUE!</v>
      </c>
      <c r="I146" s="487" cm="1">
        <f t="array" ref="I146">SUMPRODUCT((ERP[UID]=A146)*(ERP[AP01 LE2]+ERP[AP02 LE2]+ERP[AP03 LE2]+ERP[AP04 LE2]+ERP[AP05 LE2]))</f>
        <v>2101</v>
      </c>
      <c r="J146" s="487">
        <f>'ERP_AP7 Macro Failed'!AL148</f>
        <v>2168</v>
      </c>
      <c r="K146" t="str">
        <f t="shared" si="4"/>
        <v>Minor</v>
      </c>
      <c r="L146" t="str">
        <f t="shared" si="5"/>
        <v>No</v>
      </c>
    </row>
    <row r="147" spans="1:12">
      <c r="A147" t="str">
        <f>'ERP_AP7 Macro Failed'!A149</f>
        <v>L-ERP-370</v>
      </c>
      <c r="B147" t="str">
        <f>'ERP_AP7 Macro Failed'!D149</f>
        <v>Dougherty, Chris</v>
      </c>
      <c r="C147" t="str">
        <f>'ERP_AP7 Macro Failed'!E149</f>
        <v>McCormick, Pete</v>
      </c>
      <c r="D147" t="str">
        <f>'ERP_AP7 Macro Failed'!G149</f>
        <v>CONTRACTORS</v>
      </c>
      <c r="E147" t="str">
        <f>'ERP_AP7 Macro Failed'!H149</f>
        <v>Enhance Chargeout Cost Centers</v>
      </c>
      <c r="F147">
        <f>'ERP_AP7 Macro Failed'!I149</f>
        <v>0</v>
      </c>
      <c r="G147" t="str">
        <f>'ERP_AP7 Macro Failed'!K149</f>
        <v>EnhanceChargeout001</v>
      </c>
      <c r="H147" s="487" t="e" cm="1">
        <f t="array" ref="H147">SUMPRODUCT((ERP[UID]=A147)*(ERP[AP01]+ERP[AP02]+ERP[AP03]+ERP[AP04]+ERP[AP05]))</f>
        <v>#VALUE!</v>
      </c>
      <c r="I147" s="487" cm="1">
        <f t="array" ref="I147">SUMPRODUCT((ERP[UID]=A147)*(ERP[AP01 LE2]+ERP[AP02 LE2]+ERP[AP03 LE2]+ERP[AP04 LE2]+ERP[AP05 LE2]))</f>
        <v>-93320.73000000001</v>
      </c>
      <c r="J147" s="487">
        <f>'ERP_AP7 Macro Failed'!AL149</f>
        <v>-43872.000000000058</v>
      </c>
      <c r="K147" t="str">
        <f t="shared" si="4"/>
        <v>MATERIAL</v>
      </c>
      <c r="L147" t="str">
        <f t="shared" si="5"/>
        <v>YES</v>
      </c>
    </row>
    <row r="148" spans="1:12">
      <c r="A148" t="str">
        <f>'ERP_AP7 Macro Failed'!A150</f>
        <v>L-ERP-444</v>
      </c>
      <c r="B148" t="str">
        <f>'ERP_AP7 Macro Failed'!D150</f>
        <v>Dougherty, Chris</v>
      </c>
      <c r="C148" t="str">
        <f>'ERP_AP7 Macro Failed'!E150</f>
        <v>Meadows, Leslie</v>
      </c>
      <c r="D148" t="str">
        <f>'ERP_AP7 Macro Failed'!G150</f>
        <v>CONTRACTORS</v>
      </c>
      <c r="E148" t="str">
        <f>'ERP_AP7 Macro Failed'!H150</f>
        <v>Enhance Chargeout Cost Centers</v>
      </c>
      <c r="F148">
        <f>'ERP_AP7 Macro Failed'!I150</f>
        <v>0</v>
      </c>
      <c r="G148" t="str">
        <f>'ERP_AP7 Macro Failed'!K150</f>
        <v>EnhanceChargeout001</v>
      </c>
      <c r="H148" s="487" t="e" cm="1">
        <f t="array" ref="H148">SUMPRODUCT((ERP[UID]=A148)*(ERP[AP01]+ERP[AP02]+ERP[AP03]+ERP[AP04]+ERP[AP05]))</f>
        <v>#VALUE!</v>
      </c>
      <c r="I148" s="487" cm="1">
        <f t="array" ref="I148">SUMPRODUCT((ERP[UID]=A148)*(ERP[AP01 LE2]+ERP[AP02 LE2]+ERP[AP03 LE2]+ERP[AP04 LE2]+ERP[AP05 LE2]))</f>
        <v>-1440</v>
      </c>
      <c r="J148" s="487">
        <f>'ERP_AP7 Macro Failed'!AL150</f>
        <v>-18000</v>
      </c>
      <c r="K148" t="str">
        <f t="shared" si="4"/>
        <v>MATERIAL</v>
      </c>
      <c r="L148" t="str">
        <f t="shared" si="5"/>
        <v>YES</v>
      </c>
    </row>
    <row r="149" spans="1:12">
      <c r="A149" t="str">
        <f>'ERP_AP7 Macro Failed'!A151</f>
        <v>L-ERP-473</v>
      </c>
      <c r="B149" t="str">
        <f>'ERP_AP7 Macro Failed'!D151</f>
        <v>Dougherty, Chris</v>
      </c>
      <c r="C149" t="str">
        <f>'ERP_AP7 Macro Failed'!E151</f>
        <v>Patel, Nikunj Rohitkumar</v>
      </c>
      <c r="D149" t="str">
        <f>'ERP_AP7 Macro Failed'!G151</f>
        <v>CONTRACTORS</v>
      </c>
      <c r="E149" t="str">
        <f>'ERP_AP7 Macro Failed'!H151</f>
        <v>Enhance Chargeout Cost Centers</v>
      </c>
      <c r="F149">
        <f>'ERP_AP7 Macro Failed'!I151</f>
        <v>0</v>
      </c>
      <c r="G149" t="str">
        <f>'ERP_AP7 Macro Failed'!K151</f>
        <v>EnhanceChargeout001</v>
      </c>
      <c r="H149" s="487" t="e" cm="1">
        <f t="array" ref="H149">SUMPRODUCT((ERP[UID]=A149)*(ERP[AP01]+ERP[AP02]+ERP[AP03]+ERP[AP04]+ERP[AP05]))</f>
        <v>#VALUE!</v>
      </c>
      <c r="I149" s="487" cm="1">
        <f t="array" ref="I149">SUMPRODUCT((ERP[UID]=A149)*(ERP[AP01 LE2]+ERP[AP02 LE2]+ERP[AP03 LE2]+ERP[AP04 LE2]+ERP[AP05 LE2]))</f>
        <v>-68766</v>
      </c>
      <c r="J149" s="487">
        <f>'ERP_AP7 Macro Failed'!AL151</f>
        <v>0</v>
      </c>
      <c r="K149" t="str">
        <f t="shared" si="4"/>
        <v>Immaterial</v>
      </c>
      <c r="L149" t="str">
        <f t="shared" si="5"/>
        <v>No</v>
      </c>
    </row>
    <row r="150" spans="1:12">
      <c r="A150" t="str">
        <f>'ERP_AP7 Macro Failed'!A152</f>
        <v>L-ERP-485</v>
      </c>
      <c r="B150" t="str">
        <f>'ERP_AP7 Macro Failed'!D152</f>
        <v>Robertson, Jerome</v>
      </c>
      <c r="C150" t="str">
        <f>'ERP_AP7 Macro Failed'!E152</f>
        <v>Robertson, Jerome</v>
      </c>
      <c r="D150" t="str">
        <f>'ERP_AP7 Macro Failed'!G152</f>
        <v>CONTRACTORS</v>
      </c>
      <c r="E150" t="str">
        <f>'ERP_AP7 Macro Failed'!H152</f>
        <v>Enhance Chargeout Cost Centers</v>
      </c>
      <c r="F150">
        <f>'ERP_AP7 Macro Failed'!I152</f>
        <v>0</v>
      </c>
      <c r="G150" t="str">
        <f>'ERP_AP7 Macro Failed'!K152</f>
        <v>EnhanceChargeout001</v>
      </c>
      <c r="H150" s="487" t="e" cm="1">
        <f t="array" ref="H150">SUMPRODUCT((ERP[UID]=A150)*(ERP[AP01]+ERP[AP02]+ERP[AP03]+ERP[AP04]+ERP[AP05]))</f>
        <v>#VALUE!</v>
      </c>
      <c r="I150" s="487" cm="1">
        <f t="array" ref="I150">SUMPRODUCT((ERP[UID]=A150)*(ERP[AP01 LE2]+ERP[AP02 LE2]+ERP[AP03 LE2]+ERP[AP04 LE2]+ERP[AP05 LE2]))</f>
        <v>-82720</v>
      </c>
      <c r="J150" s="487">
        <f>'ERP_AP7 Macro Failed'!AL152</f>
        <v>80195</v>
      </c>
      <c r="K150" t="str">
        <f t="shared" si="4"/>
        <v>MATERIAL</v>
      </c>
      <c r="L150" t="str">
        <f t="shared" si="5"/>
        <v>YES</v>
      </c>
    </row>
    <row r="151" spans="1:12">
      <c r="A151" t="str">
        <f>'ERP_AP7 Macro Failed'!A153</f>
        <v>L-ERP-556</v>
      </c>
      <c r="B151" t="str">
        <f>'ERP_AP7 Macro Failed'!D153</f>
        <v>Hase, Raj</v>
      </c>
      <c r="C151" t="str">
        <f>'ERP_AP7 Macro Failed'!E153</f>
        <v>Vaidya, Sachin</v>
      </c>
      <c r="D151" t="str">
        <f>'ERP_AP7 Macro Failed'!G153</f>
        <v>CONTRACTORS</v>
      </c>
      <c r="E151" t="str">
        <f>'ERP_AP7 Macro Failed'!H153</f>
        <v>Enhance Chargeout Cost Centers</v>
      </c>
      <c r="F151">
        <f>'ERP_AP7 Macro Failed'!I153</f>
        <v>0</v>
      </c>
      <c r="G151" t="str">
        <f>'ERP_AP7 Macro Failed'!K153</f>
        <v>EnhanceChargeout001</v>
      </c>
      <c r="H151" s="487" t="e" cm="1">
        <f t="array" ref="H151">SUMPRODUCT((ERP[UID]=A151)*(ERP[AP01]+ERP[AP02]+ERP[AP03]+ERP[AP04]+ERP[AP05]))</f>
        <v>#VALUE!</v>
      </c>
      <c r="I151" s="487" cm="1">
        <f t="array" ref="I151">SUMPRODUCT((ERP[UID]=A151)*(ERP[AP01 LE2]+ERP[AP02 LE2]+ERP[AP03 LE2]+ERP[AP04 LE2]+ERP[AP05 LE2]))</f>
        <v>0</v>
      </c>
      <c r="J151" s="487">
        <f>'ERP_AP7 Macro Failed'!AL153</f>
        <v>180666</v>
      </c>
      <c r="K151" t="str">
        <f t="shared" si="4"/>
        <v>MATERIAL</v>
      </c>
      <c r="L151" t="str">
        <f t="shared" si="5"/>
        <v>YES</v>
      </c>
    </row>
    <row r="152" spans="1:12">
      <c r="A152" t="str">
        <f>'ERP_AP7 Macro Failed'!A154</f>
        <v>L-ERP-558</v>
      </c>
      <c r="B152" t="str">
        <f>'ERP_AP7 Macro Failed'!D154</f>
        <v>Hase, Raj</v>
      </c>
      <c r="C152" t="str">
        <f>'ERP_AP7 Macro Failed'!E154</f>
        <v>Vaidya, Sachin</v>
      </c>
      <c r="D152" t="str">
        <f>'ERP_AP7 Macro Failed'!G154</f>
        <v>MANAGED SERVICES</v>
      </c>
      <c r="E152" t="str">
        <f>'ERP_AP7 Macro Failed'!H154</f>
        <v>Enhance Chargeout Cost Centers</v>
      </c>
      <c r="F152">
        <f>'ERP_AP7 Macro Failed'!I154</f>
        <v>0</v>
      </c>
      <c r="G152" t="str">
        <f>'ERP_AP7 Macro Failed'!K154</f>
        <v>EnhanceChargeout001</v>
      </c>
      <c r="H152" s="487" t="e" cm="1">
        <f t="array" ref="H152">SUMPRODUCT((ERP[UID]=A152)*(ERP[AP01]+ERP[AP02]+ERP[AP03]+ERP[AP04]+ERP[AP05]))</f>
        <v>#VALUE!</v>
      </c>
      <c r="I152" s="487" cm="1">
        <f t="array" ref="I152">SUMPRODUCT((ERP[UID]=A152)*(ERP[AP01 LE2]+ERP[AP02 LE2]+ERP[AP03 LE2]+ERP[AP04 LE2]+ERP[AP05 LE2]))</f>
        <v>2360</v>
      </c>
      <c r="J152" s="487">
        <f>'ERP_AP7 Macro Failed'!AL154</f>
        <v>420</v>
      </c>
      <c r="K152" t="str">
        <f t="shared" si="4"/>
        <v>Immaterial</v>
      </c>
      <c r="L152" t="str">
        <f t="shared" si="5"/>
        <v>No</v>
      </c>
    </row>
    <row r="153" spans="1:12">
      <c r="A153" t="str">
        <f>'ERP_AP7 Macro Failed'!A155</f>
        <v>L-ERP-563</v>
      </c>
      <c r="B153" t="str">
        <f>'ERP_AP7 Macro Failed'!D155</f>
        <v>Hase, Raj</v>
      </c>
      <c r="C153" t="str">
        <f>'ERP_AP7 Macro Failed'!E155</f>
        <v>Vaidya, Sachin</v>
      </c>
      <c r="D153" t="str">
        <f>'ERP_AP7 Macro Failed'!G155</f>
        <v>SOFTWARE</v>
      </c>
      <c r="E153" t="str">
        <f>'ERP_AP7 Macro Failed'!H155</f>
        <v>Enhance Chargeout Cost Centers</v>
      </c>
      <c r="F153">
        <f>'ERP_AP7 Macro Failed'!I155</f>
        <v>0</v>
      </c>
      <c r="G153" t="str">
        <f>'ERP_AP7 Macro Failed'!K155</f>
        <v>EnhanceChargeout001</v>
      </c>
      <c r="H153" s="487" t="e" cm="1">
        <f t="array" ref="H153">SUMPRODUCT((ERP[UID]=A153)*(ERP[AP01]+ERP[AP02]+ERP[AP03]+ERP[AP04]+ERP[AP05]))</f>
        <v>#VALUE!</v>
      </c>
      <c r="I153" s="487" cm="1">
        <f t="array" ref="I153">SUMPRODUCT((ERP[UID]=A153)*(ERP[AP01 LE2]+ERP[AP02 LE2]+ERP[AP03 LE2]+ERP[AP04 LE2]+ERP[AP05 LE2]))</f>
        <v>1520</v>
      </c>
      <c r="J153" s="487">
        <f>'ERP_AP7 Macro Failed'!AL155</f>
        <v>0</v>
      </c>
      <c r="K153" t="str">
        <f t="shared" si="4"/>
        <v>Immaterial</v>
      </c>
      <c r="L153" t="str">
        <f t="shared" si="5"/>
        <v>No</v>
      </c>
    </row>
    <row r="154" spans="1:12">
      <c r="A154" t="str">
        <f>'ERP_AP7 Macro Failed'!A156</f>
        <v>L-ERP-475</v>
      </c>
      <c r="B154" t="str">
        <f>'ERP_AP7 Macro Failed'!D156</f>
        <v>Dougherty, Chris</v>
      </c>
      <c r="C154" t="str">
        <f>'ERP_AP7 Macro Failed'!E156</f>
        <v>Patel, Nikunj Rohitkumar</v>
      </c>
      <c r="D154" t="str">
        <f>'ERP_AP7 Macro Failed'!G156</f>
        <v>SOFTWARE</v>
      </c>
      <c r="E154" t="str">
        <f>'ERP_AP7 Macro Failed'!H156</f>
        <v>Enhance Chargeout Cost Centers</v>
      </c>
      <c r="F154">
        <f>'ERP_AP7 Macro Failed'!I156</f>
        <v>0</v>
      </c>
      <c r="G154" t="str">
        <f>'ERP_AP7 Macro Failed'!K156</f>
        <v>EnhanceChargeout001</v>
      </c>
      <c r="H154" s="487" t="e" cm="1">
        <f t="array" ref="H154">SUMPRODUCT((ERP[UID]=A154)*(ERP[AP01]+ERP[AP02]+ERP[AP03]+ERP[AP04]+ERP[AP05]))</f>
        <v>#VALUE!</v>
      </c>
      <c r="I154" s="487" cm="1">
        <f t="array" ref="I154">SUMPRODUCT((ERP[UID]=A154)*(ERP[AP01 LE2]+ERP[AP02 LE2]+ERP[AP03 LE2]+ERP[AP04 LE2]+ERP[AP05 LE2]))</f>
        <v>227</v>
      </c>
      <c r="J154" s="487">
        <f>'ERP_AP7 Macro Failed'!AL156</f>
        <v>0</v>
      </c>
      <c r="K154" t="str">
        <f t="shared" si="4"/>
        <v>Immaterial</v>
      </c>
      <c r="L154" t="str">
        <f t="shared" si="5"/>
        <v>No</v>
      </c>
    </row>
    <row r="155" spans="1:12">
      <c r="A155" t="str">
        <f>'ERP_AP7 Macro Failed'!A157</f>
        <v>L-ERP-012</v>
      </c>
      <c r="B155" t="str">
        <f>'ERP_AP7 Macro Failed'!D157</f>
        <v>Hase, Raj</v>
      </c>
      <c r="C155" t="str">
        <f>'ERP_AP7 Macro Failed'!E157</f>
        <v>DeHart, Lynn</v>
      </c>
      <c r="D155" t="str">
        <f>'ERP_AP7 Macro Failed'!G157</f>
        <v>MANAGED SERVICES</v>
      </c>
      <c r="E155" t="str">
        <f>'ERP_AP7 Macro Failed'!H157</f>
        <v>Infrastructure Billing Charges</v>
      </c>
      <c r="F155">
        <f>'ERP_AP7 Macro Failed'!I157</f>
        <v>0</v>
      </c>
      <c r="G155" t="str">
        <f>'ERP_AP7 Macro Failed'!K157</f>
        <v>EP&amp;SCharges001</v>
      </c>
      <c r="H155" s="487" t="e" cm="1">
        <f t="array" ref="H155">SUMPRODUCT((ERP[UID]=A155)*(ERP[AP01]+ERP[AP02]+ERP[AP03]+ERP[AP04]+ERP[AP05]))</f>
        <v>#VALUE!</v>
      </c>
      <c r="I155" s="487" cm="1">
        <f t="array" ref="I155">SUMPRODUCT((ERP[UID]=A155)*(ERP[AP01 LE2]+ERP[AP02 LE2]+ERP[AP03 LE2]+ERP[AP04 LE2]+ERP[AP05 LE2]))</f>
        <v>7911.86</v>
      </c>
      <c r="J155" s="487">
        <f>'ERP_AP7 Macro Failed'!AL157</f>
        <v>-730.50000000000182</v>
      </c>
      <c r="K155" t="str">
        <f t="shared" si="4"/>
        <v>Immaterial</v>
      </c>
      <c r="L155" t="str">
        <f t="shared" si="5"/>
        <v>No</v>
      </c>
    </row>
    <row r="156" spans="1:12">
      <c r="A156" t="str">
        <f>'ERP_AP7 Macro Failed'!A158</f>
        <v>ERP-037</v>
      </c>
      <c r="B156" t="str">
        <f>'ERP_AP7 Macro Failed'!D158</f>
        <v>Dougherty, Chris</v>
      </c>
      <c r="C156" t="str">
        <f>'ERP_AP7 Macro Failed'!E158</f>
        <v>Dougherty, Chris</v>
      </c>
      <c r="D156" t="str">
        <f>'ERP_AP7 Macro Failed'!G158</f>
        <v>CONTRACTORS</v>
      </c>
      <c r="E156" t="str">
        <f>'ERP_AP7 Macro Failed'!H158</f>
        <v>DIGITAL-CITRIX-APPSTREAMING</v>
      </c>
      <c r="F156">
        <f>'ERP_AP7 Macro Failed'!I158</f>
        <v>0</v>
      </c>
      <c r="G156" t="str">
        <f>'ERP_AP7 Macro Failed'!K158</f>
        <v>EP&amp;SCharges001</v>
      </c>
      <c r="H156" s="487" t="e" cm="1">
        <f t="array" ref="H156">SUMPRODUCT((ERP[UID]=A156)*(ERP[AP01]+ERP[AP02]+ERP[AP03]+ERP[AP04]+ERP[AP05]))</f>
        <v>#VALUE!</v>
      </c>
      <c r="I156" s="487" cm="1">
        <f t="array" ref="I156">SUMPRODUCT((ERP[UID]=A156)*(ERP[AP01 LE2]+ERP[AP02 LE2]+ERP[AP03 LE2]+ERP[AP04 LE2]+ERP[AP05 LE2]))</f>
        <v>0</v>
      </c>
      <c r="J156" s="487">
        <f>'ERP_AP7 Macro Failed'!AL158</f>
        <v>550</v>
      </c>
      <c r="K156" t="str">
        <f t="shared" si="4"/>
        <v>Immaterial</v>
      </c>
      <c r="L156" t="str">
        <f t="shared" si="5"/>
        <v>No</v>
      </c>
    </row>
    <row r="157" spans="1:12">
      <c r="A157" t="str">
        <f>'ERP_AP7 Macro Failed'!A159</f>
        <v>L-ERP-070</v>
      </c>
      <c r="B157" t="str">
        <f>'ERP_AP7 Macro Failed'!D159</f>
        <v>Dougherty, Chris</v>
      </c>
      <c r="C157" t="str">
        <f>'ERP_AP7 Macro Failed'!E159</f>
        <v>Dougherty, Chris</v>
      </c>
      <c r="D157" t="str">
        <f>'ERP_AP7 Macro Failed'!G159</f>
        <v>HW MAINTENANCE</v>
      </c>
      <c r="E157" t="str">
        <f>'ERP_AP7 Macro Failed'!H159</f>
        <v>Infrastructure Billing Charges</v>
      </c>
      <c r="F157">
        <f>'ERP_AP7 Macro Failed'!I159</f>
        <v>0</v>
      </c>
      <c r="G157" t="str">
        <f>'ERP_AP7 Macro Failed'!K159</f>
        <v>EP&amp;SCharges001</v>
      </c>
      <c r="H157" s="487" t="e" cm="1">
        <f t="array" ref="H157">SUMPRODUCT((ERP[UID]=A157)*(ERP[AP01]+ERP[AP02]+ERP[AP03]+ERP[AP04]+ERP[AP05]))</f>
        <v>#VALUE!</v>
      </c>
      <c r="I157" s="487" cm="1">
        <f t="array" ref="I157">SUMPRODUCT((ERP[UID]=A157)*(ERP[AP01 LE2]+ERP[AP02 LE2]+ERP[AP03 LE2]+ERP[AP04 LE2]+ERP[AP05 LE2]))</f>
        <v>2120</v>
      </c>
      <c r="J157" s="487">
        <f>'ERP_AP7 Macro Failed'!AL159</f>
        <v>0</v>
      </c>
      <c r="K157" t="str">
        <f t="shared" si="4"/>
        <v>Immaterial</v>
      </c>
      <c r="L157" t="str">
        <f t="shared" si="5"/>
        <v>No</v>
      </c>
    </row>
    <row r="158" spans="1:12">
      <c r="A158" t="str">
        <f>'ERP_AP7 Macro Failed'!A160</f>
        <v>L-ERP-076</v>
      </c>
      <c r="B158" t="str">
        <f>'ERP_AP7 Macro Failed'!D160</f>
        <v>Dougherty, Chris</v>
      </c>
      <c r="C158" t="str">
        <f>'ERP_AP7 Macro Failed'!E160</f>
        <v>Dougherty, Chris</v>
      </c>
      <c r="D158" t="str">
        <f>'ERP_AP7 Macro Failed'!G160</f>
        <v>MANAGED SERVICES</v>
      </c>
      <c r="E158" t="str">
        <f>'ERP_AP7 Macro Failed'!H160</f>
        <v>Infrastructure Billing Charges</v>
      </c>
      <c r="F158">
        <f>'ERP_AP7 Macro Failed'!I160</f>
        <v>0</v>
      </c>
      <c r="G158" t="str">
        <f>'ERP_AP7 Macro Failed'!K160</f>
        <v>EP&amp;SCharges001</v>
      </c>
      <c r="H158" s="487" t="e" cm="1">
        <f t="array" ref="H158">SUMPRODUCT((ERP[UID]=A158)*(ERP[AP01]+ERP[AP02]+ERP[AP03]+ERP[AP04]+ERP[AP05]))</f>
        <v>#VALUE!</v>
      </c>
      <c r="I158" s="487" cm="1">
        <f t="array" ref="I158">SUMPRODUCT((ERP[UID]=A158)*(ERP[AP01 LE2]+ERP[AP02 LE2]+ERP[AP03 LE2]+ERP[AP04 LE2]+ERP[AP05 LE2]))</f>
        <v>21773.739999999998</v>
      </c>
      <c r="J158" s="487">
        <f>'ERP_AP7 Macro Failed'!AL160</f>
        <v>966.66000000000349</v>
      </c>
      <c r="K158" t="str">
        <f t="shared" si="4"/>
        <v>Immaterial</v>
      </c>
      <c r="L158" t="str">
        <f t="shared" si="5"/>
        <v>No</v>
      </c>
    </row>
    <row r="159" spans="1:12">
      <c r="A159" t="str">
        <f>'ERP_AP7 Macro Failed'!A161</f>
        <v>L-ERP-131</v>
      </c>
      <c r="B159" t="str">
        <f>'ERP_AP7 Macro Failed'!D161</f>
        <v>Hase, Raj</v>
      </c>
      <c r="C159" t="str">
        <f>'ERP_AP7 Macro Failed'!E161</f>
        <v>Ganesan, Srinivasan</v>
      </c>
      <c r="D159" t="str">
        <f>'ERP_AP7 Macro Failed'!G161</f>
        <v>MANAGED SERVICES</v>
      </c>
      <c r="E159" t="str">
        <f>'ERP_AP7 Macro Failed'!H161</f>
        <v>Infrastructure Billing Charges</v>
      </c>
      <c r="F159">
        <f>'ERP_AP7 Macro Failed'!I161</f>
        <v>0</v>
      </c>
      <c r="G159" t="str">
        <f>'ERP_AP7 Macro Failed'!K161</f>
        <v>EP&amp;SCharges001</v>
      </c>
      <c r="H159" s="487" t="e" cm="1">
        <f t="array" ref="H159">SUMPRODUCT((ERP[UID]=A159)*(ERP[AP01]+ERP[AP02]+ERP[AP03]+ERP[AP04]+ERP[AP05]))</f>
        <v>#VALUE!</v>
      </c>
      <c r="I159" s="487" cm="1">
        <f t="array" ref="I159">SUMPRODUCT((ERP[UID]=A159)*(ERP[AP01 LE2]+ERP[AP02 LE2]+ERP[AP03 LE2]+ERP[AP04 LE2]+ERP[AP05 LE2]))</f>
        <v>6021.98</v>
      </c>
      <c r="J159" s="487">
        <f>'ERP_AP7 Macro Failed'!AL161</f>
        <v>-3150.2499999999991</v>
      </c>
      <c r="K159" t="str">
        <f t="shared" si="4"/>
        <v>Minor</v>
      </c>
      <c r="L159" t="str">
        <f t="shared" si="5"/>
        <v>No</v>
      </c>
    </row>
    <row r="160" spans="1:12">
      <c r="A160" t="str">
        <f>'ERP_AP7 Macro Failed'!A162</f>
        <v>L-ERP-133</v>
      </c>
      <c r="B160" t="str">
        <f>'ERP_AP7 Macro Failed'!D162</f>
        <v>Hase, Raj</v>
      </c>
      <c r="C160" t="str">
        <f>'ERP_AP7 Macro Failed'!E162</f>
        <v>Ganesan, Srinivasan</v>
      </c>
      <c r="D160" t="str">
        <f>'ERP_AP7 Macro Failed'!G162</f>
        <v>SOFTWARE</v>
      </c>
      <c r="E160" t="str">
        <f>'ERP_AP7 Macro Failed'!H162</f>
        <v>Infrastructure Billing Charges</v>
      </c>
      <c r="F160">
        <f>'ERP_AP7 Macro Failed'!I162</f>
        <v>0</v>
      </c>
      <c r="G160" t="str">
        <f>'ERP_AP7 Macro Failed'!K162</f>
        <v>EP&amp;SCharges001</v>
      </c>
      <c r="H160" s="487" t="e" cm="1">
        <f t="array" ref="H160">SUMPRODUCT((ERP[UID]=A160)*(ERP[AP01]+ERP[AP02]+ERP[AP03]+ERP[AP04]+ERP[AP05]))</f>
        <v>#VALUE!</v>
      </c>
      <c r="I160" s="487" cm="1">
        <f t="array" ref="I160">SUMPRODUCT((ERP[UID]=A160)*(ERP[AP01 LE2]+ERP[AP02 LE2]+ERP[AP03 LE2]+ERP[AP04 LE2]+ERP[AP05 LE2]))</f>
        <v>1438.09</v>
      </c>
      <c r="J160" s="487">
        <f>'ERP_AP7 Macro Failed'!AL162</f>
        <v>-813.89</v>
      </c>
      <c r="K160" t="str">
        <f t="shared" si="4"/>
        <v>Immaterial</v>
      </c>
      <c r="L160" t="str">
        <f t="shared" si="5"/>
        <v>No</v>
      </c>
    </row>
    <row r="161" spans="1:12">
      <c r="A161" t="str">
        <f>'ERP_AP7 Macro Failed'!A163</f>
        <v>L-ERP-185</v>
      </c>
      <c r="B161" t="str">
        <f>'ERP_AP7 Macro Failed'!D163</f>
        <v>Hase, Raj</v>
      </c>
      <c r="C161" t="str">
        <f>'ERP_AP7 Macro Failed'!E163</f>
        <v>Hase, Raj</v>
      </c>
      <c r="D161" t="str">
        <f>'ERP_AP7 Macro Failed'!G163</f>
        <v>MANAGED SERVICES</v>
      </c>
      <c r="E161" t="str">
        <f>'ERP_AP7 Macro Failed'!H163</f>
        <v>Infrastructure Billing Charges</v>
      </c>
      <c r="F161">
        <f>'ERP_AP7 Macro Failed'!I163</f>
        <v>0</v>
      </c>
      <c r="G161" t="str">
        <f>'ERP_AP7 Macro Failed'!K163</f>
        <v>EP&amp;SCharges001</v>
      </c>
      <c r="H161" s="487" t="e" cm="1">
        <f t="array" ref="H161">SUMPRODUCT((ERP[UID]=A161)*(ERP[AP01]+ERP[AP02]+ERP[AP03]+ERP[AP04]+ERP[AP05]))</f>
        <v>#VALUE!</v>
      </c>
      <c r="I161" s="487" cm="1">
        <f t="array" ref="I161">SUMPRODUCT((ERP[UID]=A161)*(ERP[AP01 LE2]+ERP[AP02 LE2]+ERP[AP03 LE2]+ERP[AP04 LE2]+ERP[AP05 LE2]))</f>
        <v>4208.78</v>
      </c>
      <c r="J161" s="487">
        <f>'ERP_AP7 Macro Failed'!AL163</f>
        <v>-968.52</v>
      </c>
      <c r="K161" t="str">
        <f t="shared" si="4"/>
        <v>Immaterial</v>
      </c>
      <c r="L161" t="str">
        <f t="shared" si="5"/>
        <v>No</v>
      </c>
    </row>
    <row r="162" spans="1:12">
      <c r="A162" t="str">
        <f>'ERP_AP7 Macro Failed'!A164</f>
        <v>L-ERP-197</v>
      </c>
      <c r="B162" t="str">
        <f>'ERP_AP7 Macro Failed'!D164</f>
        <v>Hase, Raj</v>
      </c>
      <c r="C162" t="str">
        <f>'ERP_AP7 Macro Failed'!E164</f>
        <v>Herman, Shaun</v>
      </c>
      <c r="D162" t="str">
        <f>'ERP_AP7 Macro Failed'!G164</f>
        <v>CONTRACTORS</v>
      </c>
      <c r="E162" t="str">
        <f>'ERP_AP7 Macro Failed'!H164</f>
        <v>Infrastructure Billing Charges</v>
      </c>
      <c r="F162">
        <f>'ERP_AP7 Macro Failed'!I164</f>
        <v>0</v>
      </c>
      <c r="G162" t="str">
        <f>'ERP_AP7 Macro Failed'!K164</f>
        <v>EP&amp;SCharges001</v>
      </c>
      <c r="H162" s="487" t="e" cm="1">
        <f t="array" ref="H162">SUMPRODUCT((ERP[UID]=A162)*(ERP[AP01]+ERP[AP02]+ERP[AP03]+ERP[AP04]+ERP[AP05]))</f>
        <v>#VALUE!</v>
      </c>
      <c r="I162" s="487" cm="1">
        <f t="array" ref="I162">SUMPRODUCT((ERP[UID]=A162)*(ERP[AP01 LE2]+ERP[AP02 LE2]+ERP[AP03 LE2]+ERP[AP04 LE2]+ERP[AP05 LE2]))</f>
        <v>2893.46</v>
      </c>
      <c r="J162" s="487">
        <f>'ERP_AP7 Macro Failed'!AL164</f>
        <v>1678.88</v>
      </c>
      <c r="K162" t="str">
        <f t="shared" si="4"/>
        <v>Minor</v>
      </c>
      <c r="L162" t="str">
        <f t="shared" si="5"/>
        <v>No</v>
      </c>
    </row>
    <row r="163" spans="1:12">
      <c r="A163" t="str">
        <f>'ERP_AP7 Macro Failed'!A165</f>
        <v>L-ERP-200</v>
      </c>
      <c r="B163" t="str">
        <f>'ERP_AP7 Macro Failed'!D165</f>
        <v>Hase, Raj</v>
      </c>
      <c r="C163" t="str">
        <f>'ERP_AP7 Macro Failed'!E165</f>
        <v>Herman, Shaun</v>
      </c>
      <c r="D163" t="str">
        <f>'ERP_AP7 Macro Failed'!G165</f>
        <v>MANAGED SERVICES</v>
      </c>
      <c r="E163" t="str">
        <f>'ERP_AP7 Macro Failed'!H165</f>
        <v>Infrastructure Billing Charges</v>
      </c>
      <c r="F163">
        <f>'ERP_AP7 Macro Failed'!I165</f>
        <v>0</v>
      </c>
      <c r="G163" t="str">
        <f>'ERP_AP7 Macro Failed'!K165</f>
        <v>EP&amp;SCharges001</v>
      </c>
      <c r="H163" s="487" t="e" cm="1">
        <f t="array" ref="H163">SUMPRODUCT((ERP[UID]=A163)*(ERP[AP01]+ERP[AP02]+ERP[AP03]+ERP[AP04]+ERP[AP05]))</f>
        <v>#VALUE!</v>
      </c>
      <c r="I163" s="487" cm="1">
        <f t="array" ref="I163">SUMPRODUCT((ERP[UID]=A163)*(ERP[AP01 LE2]+ERP[AP02 LE2]+ERP[AP03 LE2]+ERP[AP04 LE2]+ERP[AP05 LE2]))</f>
        <v>7077.66</v>
      </c>
      <c r="J163" s="487">
        <f>'ERP_AP7 Macro Failed'!AL165</f>
        <v>-2633.2200000000003</v>
      </c>
      <c r="K163" t="str">
        <f t="shared" si="4"/>
        <v>Minor</v>
      </c>
      <c r="L163" t="str">
        <f t="shared" si="5"/>
        <v>No</v>
      </c>
    </row>
    <row r="164" spans="1:12">
      <c r="A164" t="str">
        <f>'ERP_AP7 Macro Failed'!A166</f>
        <v>L-ERP-222</v>
      </c>
      <c r="B164" t="str">
        <f>'ERP_AP7 Macro Failed'!D166</f>
        <v>Hase, Raj</v>
      </c>
      <c r="C164" t="str">
        <f>'ERP_AP7 Macro Failed'!E166</f>
        <v>Hovanyetz, Mike</v>
      </c>
      <c r="D164" t="str">
        <f>'ERP_AP7 Macro Failed'!G166</f>
        <v>MANAGED SERVICES</v>
      </c>
      <c r="E164" t="str">
        <f>'ERP_AP7 Macro Failed'!H166</f>
        <v>Infrastructure Billing Charges</v>
      </c>
      <c r="F164">
        <f>'ERP_AP7 Macro Failed'!I166</f>
        <v>0</v>
      </c>
      <c r="G164" t="str">
        <f>'ERP_AP7 Macro Failed'!K166</f>
        <v>EP&amp;SCharges001</v>
      </c>
      <c r="H164" s="487" t="e" cm="1">
        <f t="array" ref="H164">SUMPRODUCT((ERP[UID]=A164)*(ERP[AP01]+ERP[AP02]+ERP[AP03]+ERP[AP04]+ERP[AP05]))</f>
        <v>#VALUE!</v>
      </c>
      <c r="I164" s="487" cm="1">
        <f t="array" ref="I164">SUMPRODUCT((ERP[UID]=A164)*(ERP[AP01 LE2]+ERP[AP02 LE2]+ERP[AP03 LE2]+ERP[AP04 LE2]+ERP[AP05 LE2]))</f>
        <v>17955.510000000002</v>
      </c>
      <c r="J164" s="487">
        <f>'ERP_AP7 Macro Failed'!AL166</f>
        <v>2062.3499999999949</v>
      </c>
      <c r="K164" t="str">
        <f t="shared" si="4"/>
        <v>Minor</v>
      </c>
      <c r="L164" t="str">
        <f t="shared" si="5"/>
        <v>No</v>
      </c>
    </row>
    <row r="165" spans="1:12">
      <c r="A165" t="str">
        <f>'ERP_AP7 Macro Failed'!A167</f>
        <v>L-ERP-078</v>
      </c>
      <c r="B165" t="str">
        <f>'ERP_AP7 Macro Failed'!D167</f>
        <v>Dougherty, Chris</v>
      </c>
      <c r="C165" t="str">
        <f>'ERP_AP7 Macro Failed'!E167</f>
        <v>Dougherty, Chris</v>
      </c>
      <c r="D165" t="str">
        <f>'ERP_AP7 Macro Failed'!G167</f>
        <v>SOFTWARE</v>
      </c>
      <c r="E165" t="str">
        <f>'ERP_AP7 Macro Failed'!H167</f>
        <v>Infrastructure Billing Charges</v>
      </c>
      <c r="F165">
        <f>'ERP_AP7 Macro Failed'!I167</f>
        <v>0</v>
      </c>
      <c r="G165" t="str">
        <f>'ERP_AP7 Macro Failed'!K167</f>
        <v>EP&amp;SCharges001</v>
      </c>
      <c r="H165" s="487" t="e" cm="1">
        <f t="array" ref="H165">SUMPRODUCT((ERP[UID]=A165)*(ERP[AP01]+ERP[AP02]+ERP[AP03]+ERP[AP04]+ERP[AP05]))</f>
        <v>#VALUE!</v>
      </c>
      <c r="I165" s="487" cm="1">
        <f t="array" ref="I165">SUMPRODUCT((ERP[UID]=A165)*(ERP[AP01 LE2]+ERP[AP02 LE2]+ERP[AP03 LE2]+ERP[AP04 LE2]+ERP[AP05 LE2]))</f>
        <v>2058.38</v>
      </c>
      <c r="J165" s="487">
        <f>'ERP_AP7 Macro Failed'!AL167</f>
        <v>-480.80999999999995</v>
      </c>
      <c r="K165" t="str">
        <f t="shared" si="4"/>
        <v>Immaterial</v>
      </c>
      <c r="L165" t="str">
        <f t="shared" si="5"/>
        <v>No</v>
      </c>
    </row>
    <row r="166" spans="1:12">
      <c r="A166" t="str">
        <f>'ERP_AP7 Macro Failed'!A168</f>
        <v>L-ERP-319</v>
      </c>
      <c r="B166" t="str">
        <f>'ERP_AP7 Macro Failed'!D168</f>
        <v>Dougherty, Chris</v>
      </c>
      <c r="C166" t="str">
        <f>'ERP_AP7 Macro Failed'!E168</f>
        <v>Maguire, Karla</v>
      </c>
      <c r="D166" t="str">
        <f>'ERP_AP7 Macro Failed'!G168</f>
        <v>MANAGED SERVICES</v>
      </c>
      <c r="E166" t="str">
        <f>'ERP_AP7 Macro Failed'!H168</f>
        <v>Infrastructure Billing Charges</v>
      </c>
      <c r="F166">
        <f>'ERP_AP7 Macro Failed'!I168</f>
        <v>0</v>
      </c>
      <c r="G166" t="str">
        <f>'ERP_AP7 Macro Failed'!K168</f>
        <v>EP&amp;SCharges001</v>
      </c>
      <c r="H166" s="487" t="e" cm="1">
        <f t="array" ref="H166">SUMPRODUCT((ERP[UID]=A166)*(ERP[AP01]+ERP[AP02]+ERP[AP03]+ERP[AP04]+ERP[AP05]))</f>
        <v>#VALUE!</v>
      </c>
      <c r="I166" s="487" cm="1">
        <f t="array" ref="I166">SUMPRODUCT((ERP[UID]=A166)*(ERP[AP01 LE2]+ERP[AP02 LE2]+ERP[AP03 LE2]+ERP[AP04 LE2]+ERP[AP05 LE2]))</f>
        <v>1.26</v>
      </c>
      <c r="J166" s="487">
        <f>'ERP_AP7 Macro Failed'!AL168</f>
        <v>403.01</v>
      </c>
      <c r="K166" t="str">
        <f t="shared" si="4"/>
        <v>Immaterial</v>
      </c>
      <c r="L166" t="str">
        <f t="shared" si="5"/>
        <v>No</v>
      </c>
    </row>
    <row r="167" spans="1:12">
      <c r="A167" t="str">
        <f>'ERP_AP7 Macro Failed'!A169</f>
        <v>L-ERP-361</v>
      </c>
      <c r="B167" t="str">
        <f>'ERP_AP7 Macro Failed'!D169</f>
        <v>Dougherty, Chris</v>
      </c>
      <c r="C167" t="str">
        <f>'ERP_AP7 Macro Failed'!E169</f>
        <v>McCormick, Pete</v>
      </c>
      <c r="D167" t="str">
        <f>'ERP_AP7 Macro Failed'!G169</f>
        <v>MANAGED SERVICES</v>
      </c>
      <c r="E167" t="str">
        <f>'ERP_AP7 Macro Failed'!H169</f>
        <v>Infrastructure Billing Charges</v>
      </c>
      <c r="F167">
        <f>'ERP_AP7 Macro Failed'!I169</f>
        <v>0</v>
      </c>
      <c r="G167" t="str">
        <f>'ERP_AP7 Macro Failed'!K169</f>
        <v>EP&amp;SCharges001</v>
      </c>
      <c r="H167" s="487" t="e" cm="1">
        <f t="array" ref="H167">SUMPRODUCT((ERP[UID]=A167)*(ERP[AP01]+ERP[AP02]+ERP[AP03]+ERP[AP04]+ERP[AP05]))</f>
        <v>#VALUE!</v>
      </c>
      <c r="I167" s="487" cm="1">
        <f t="array" ref="I167">SUMPRODUCT((ERP[UID]=A167)*(ERP[AP01 LE2]+ERP[AP02 LE2]+ERP[AP03 LE2]+ERP[AP04 LE2]+ERP[AP05 LE2]))</f>
        <v>241103.18</v>
      </c>
      <c r="J167" s="487">
        <f>'ERP_AP7 Macro Failed'!AL169</f>
        <v>-43060.91</v>
      </c>
      <c r="K167" t="str">
        <f t="shared" si="4"/>
        <v>MATERIAL</v>
      </c>
      <c r="L167" t="str">
        <f t="shared" si="5"/>
        <v>YES</v>
      </c>
    </row>
    <row r="168" spans="1:12">
      <c r="A168" t="str">
        <f>'ERP_AP7 Macro Failed'!A170</f>
        <v>L-ERP-418</v>
      </c>
      <c r="B168" t="str">
        <f>'ERP_AP7 Macro Failed'!D170</f>
        <v>McGettigan, David</v>
      </c>
      <c r="C168" t="str">
        <f>'ERP_AP7 Macro Failed'!E170</f>
        <v>McGettigan, David</v>
      </c>
      <c r="D168" t="str">
        <f>'ERP_AP7 Macro Failed'!G170</f>
        <v>CONTRACTORS</v>
      </c>
      <c r="E168" t="str">
        <f>'ERP_AP7 Macro Failed'!H170</f>
        <v>Infrastructure Billing Charges</v>
      </c>
      <c r="F168">
        <f>'ERP_AP7 Macro Failed'!I170</f>
        <v>0</v>
      </c>
      <c r="G168" t="str">
        <f>'ERP_AP7 Macro Failed'!K170</f>
        <v>EP&amp;SCharges001</v>
      </c>
      <c r="H168" s="487" t="e" cm="1">
        <f t="array" ref="H168">SUMPRODUCT((ERP[UID]=A168)*(ERP[AP01]+ERP[AP02]+ERP[AP03]+ERP[AP04]+ERP[AP05]))</f>
        <v>#VALUE!</v>
      </c>
      <c r="I168" s="487" cm="1">
        <f t="array" ref="I168">SUMPRODUCT((ERP[UID]=A168)*(ERP[AP01 LE2]+ERP[AP02 LE2]+ERP[AP03 LE2]+ERP[AP04 LE2]+ERP[AP05 LE2]))</f>
        <v>13071.14</v>
      </c>
      <c r="J168" s="487">
        <f>'ERP_AP7 Macro Failed'!AL170</f>
        <v>18257.14</v>
      </c>
      <c r="K168" t="str">
        <f t="shared" si="4"/>
        <v>MATERIAL</v>
      </c>
      <c r="L168" t="str">
        <f t="shared" si="5"/>
        <v>YES</v>
      </c>
    </row>
    <row r="169" spans="1:12">
      <c r="A169" t="str">
        <f>'ERP_AP7 Macro Failed'!A171</f>
        <v>L-ERP-422</v>
      </c>
      <c r="B169" t="str">
        <f>'ERP_AP7 Macro Failed'!D171</f>
        <v>McGettigan, David</v>
      </c>
      <c r="C169" t="str">
        <f>'ERP_AP7 Macro Failed'!E171</f>
        <v>McGettigan, David</v>
      </c>
      <c r="D169" t="str">
        <f>'ERP_AP7 Macro Failed'!G171</f>
        <v>MANAGED SERVICES</v>
      </c>
      <c r="E169" t="str">
        <f>'ERP_AP7 Macro Failed'!H171</f>
        <v>Infrastructure Billing Charges</v>
      </c>
      <c r="F169">
        <f>'ERP_AP7 Macro Failed'!I171</f>
        <v>0</v>
      </c>
      <c r="G169" t="str">
        <f>'ERP_AP7 Macro Failed'!K171</f>
        <v>EP&amp;SCharges001</v>
      </c>
      <c r="H169" s="487" t="e" cm="1">
        <f t="array" ref="H169">SUMPRODUCT((ERP[UID]=A169)*(ERP[AP01]+ERP[AP02]+ERP[AP03]+ERP[AP04]+ERP[AP05]))</f>
        <v>#VALUE!</v>
      </c>
      <c r="I169" s="487" cm="1">
        <f t="array" ref="I169">SUMPRODUCT((ERP[UID]=A169)*(ERP[AP01 LE2]+ERP[AP02 LE2]+ERP[AP03 LE2]+ERP[AP04 LE2]+ERP[AP05 LE2]))</f>
        <v>12469.92</v>
      </c>
      <c r="J169" s="487">
        <f>'ERP_AP7 Macro Failed'!AL171</f>
        <v>1840.3700000000008</v>
      </c>
      <c r="K169" t="str">
        <f t="shared" si="4"/>
        <v>Minor</v>
      </c>
      <c r="L169" t="str">
        <f t="shared" si="5"/>
        <v>No</v>
      </c>
    </row>
    <row r="170" spans="1:12">
      <c r="A170" t="str">
        <f>'ERP_AP7 Macro Failed'!A172</f>
        <v>L-ERP-480</v>
      </c>
      <c r="B170" t="str">
        <f>'ERP_AP7 Macro Failed'!D172</f>
        <v>Robertson, Jerome</v>
      </c>
      <c r="C170" t="str">
        <f>'ERP_AP7 Macro Failed'!E172</f>
        <v>Robertson, Jerome</v>
      </c>
      <c r="D170" t="str">
        <f>'ERP_AP7 Macro Failed'!G172</f>
        <v>CONTRACTORS</v>
      </c>
      <c r="E170" t="str">
        <f>'ERP_AP7 Macro Failed'!H172</f>
        <v>Infrastructure Billing Charges</v>
      </c>
      <c r="F170">
        <f>'ERP_AP7 Macro Failed'!I172</f>
        <v>0</v>
      </c>
      <c r="G170" t="str">
        <f>'ERP_AP7 Macro Failed'!K172</f>
        <v>EP&amp;SCharges001</v>
      </c>
      <c r="H170" s="487" t="e" cm="1">
        <f t="array" ref="H170">SUMPRODUCT((ERP[UID]=A170)*(ERP[AP01]+ERP[AP02]+ERP[AP03]+ERP[AP04]+ERP[AP05]))</f>
        <v>#VALUE!</v>
      </c>
      <c r="I170" s="487" cm="1">
        <f t="array" ref="I170">SUMPRODUCT((ERP[UID]=A170)*(ERP[AP01 LE2]+ERP[AP02 LE2]+ERP[AP03 LE2]+ERP[AP04 LE2]+ERP[AP05 LE2]))</f>
        <v>400</v>
      </c>
      <c r="J170" s="487">
        <f>'ERP_AP7 Macro Failed'!AL172</f>
        <v>0</v>
      </c>
      <c r="K170" t="str">
        <f t="shared" si="4"/>
        <v>Immaterial</v>
      </c>
      <c r="L170" t="str">
        <f t="shared" si="5"/>
        <v>No</v>
      </c>
    </row>
    <row r="171" spans="1:12">
      <c r="A171" t="str">
        <f>'ERP_AP7 Macro Failed'!A173</f>
        <v>L-ERP-482</v>
      </c>
      <c r="B171" t="str">
        <f>'ERP_AP7 Macro Failed'!D173</f>
        <v>Robertson, Jerome</v>
      </c>
      <c r="C171" t="str">
        <f>'ERP_AP7 Macro Failed'!E173</f>
        <v>Robertson, Jerome</v>
      </c>
      <c r="D171" t="str">
        <f>'ERP_AP7 Macro Failed'!G173</f>
        <v>HW MAINTENANCE</v>
      </c>
      <c r="E171" t="str">
        <f>'ERP_AP7 Macro Failed'!H173</f>
        <v>Infrastructure Billing Charges</v>
      </c>
      <c r="F171">
        <f>'ERP_AP7 Macro Failed'!I173</f>
        <v>0</v>
      </c>
      <c r="G171" t="str">
        <f>'ERP_AP7 Macro Failed'!K173</f>
        <v>EP&amp;SCharges001</v>
      </c>
      <c r="H171" s="487" t="e" cm="1">
        <f t="array" ref="H171">SUMPRODUCT((ERP[UID]=A171)*(ERP[AP01]+ERP[AP02]+ERP[AP03]+ERP[AP04]+ERP[AP05]))</f>
        <v>#VALUE!</v>
      </c>
      <c r="I171" s="487" cm="1">
        <f t="array" ref="I171">SUMPRODUCT((ERP[UID]=A171)*(ERP[AP01 LE2]+ERP[AP02 LE2]+ERP[AP03 LE2]+ERP[AP04 LE2]+ERP[AP05 LE2]))</f>
        <v>1060</v>
      </c>
      <c r="J171" s="487">
        <f>'ERP_AP7 Macro Failed'!AL173</f>
        <v>0</v>
      </c>
      <c r="K171" t="str">
        <f t="shared" si="4"/>
        <v>Immaterial</v>
      </c>
      <c r="L171" t="str">
        <f t="shared" si="5"/>
        <v>No</v>
      </c>
    </row>
    <row r="172" spans="1:12">
      <c r="A172" t="str">
        <f>'ERP_AP7 Macro Failed'!A174</f>
        <v>L-ERP-363</v>
      </c>
      <c r="B172" t="str">
        <f>'ERP_AP7 Macro Failed'!D174</f>
        <v>Dougherty, Chris</v>
      </c>
      <c r="C172" t="str">
        <f>'ERP_AP7 Macro Failed'!E174</f>
        <v>McCormick, Pete</v>
      </c>
      <c r="D172" t="str">
        <f>'ERP_AP7 Macro Failed'!G174</f>
        <v>SOFTWARE</v>
      </c>
      <c r="E172" t="str">
        <f>'ERP_AP7 Macro Failed'!H174</f>
        <v>Infrastructure Billing Charges</v>
      </c>
      <c r="F172">
        <f>'ERP_AP7 Macro Failed'!I174</f>
        <v>0</v>
      </c>
      <c r="G172" t="str">
        <f>'ERP_AP7 Macro Failed'!K174</f>
        <v>EP&amp;SCharges001</v>
      </c>
      <c r="H172" s="487" t="e" cm="1">
        <f t="array" ref="H172">SUMPRODUCT((ERP[UID]=A172)*(ERP[AP01]+ERP[AP02]+ERP[AP03]+ERP[AP04]+ERP[AP05]))</f>
        <v>#VALUE!</v>
      </c>
      <c r="I172" s="487" cm="1">
        <f t="array" ref="I172">SUMPRODUCT((ERP[UID]=A172)*(ERP[AP01 LE2]+ERP[AP02 LE2]+ERP[AP03 LE2]+ERP[AP04 LE2]+ERP[AP05 LE2]))</f>
        <v>19938.13</v>
      </c>
      <c r="J172" s="487">
        <f>'ERP_AP7 Macro Failed'!AL174</f>
        <v>-1520.25</v>
      </c>
      <c r="K172" t="str">
        <f t="shared" si="4"/>
        <v>Minor</v>
      </c>
      <c r="L172" t="str">
        <f t="shared" si="5"/>
        <v>No</v>
      </c>
    </row>
    <row r="173" spans="1:12">
      <c r="A173" t="str">
        <f>'ERP_AP7 Macro Failed'!A175</f>
        <v>L-ERP-518</v>
      </c>
      <c r="B173" t="str">
        <f>'ERP_AP7 Macro Failed'!D175</f>
        <v>Dougherty, Chris</v>
      </c>
      <c r="C173" t="str">
        <f>'ERP_AP7 Macro Failed'!E175</f>
        <v>Tamavada, Ram</v>
      </c>
      <c r="D173" t="str">
        <f>'ERP_AP7 Macro Failed'!G175</f>
        <v>CONTRACTORS</v>
      </c>
      <c r="E173" t="str">
        <f>'ERP_AP7 Macro Failed'!H175</f>
        <v>Infrastructure Billing Charges</v>
      </c>
      <c r="F173">
        <f>'ERP_AP7 Macro Failed'!I175</f>
        <v>0</v>
      </c>
      <c r="G173" t="str">
        <f>'ERP_AP7 Macro Failed'!K175</f>
        <v>EP&amp;SCharges001</v>
      </c>
      <c r="H173" s="487" t="e" cm="1">
        <f t="array" ref="H173">SUMPRODUCT((ERP[UID]=A173)*(ERP[AP01]+ERP[AP02]+ERP[AP03]+ERP[AP04]+ERP[AP05]))</f>
        <v>#VALUE!</v>
      </c>
      <c r="I173" s="487" cm="1">
        <f t="array" ref="I173">SUMPRODUCT((ERP[UID]=A173)*(ERP[AP01 LE2]+ERP[AP02 LE2]+ERP[AP03 LE2]+ERP[AP04 LE2]+ERP[AP05 LE2]))</f>
        <v>1080</v>
      </c>
      <c r="J173" s="487">
        <f>'ERP_AP7 Macro Failed'!AL175</f>
        <v>0</v>
      </c>
      <c r="K173" t="str">
        <f t="shared" si="4"/>
        <v>Immaterial</v>
      </c>
      <c r="L173" t="str">
        <f t="shared" si="5"/>
        <v>No</v>
      </c>
    </row>
    <row r="174" spans="1:12">
      <c r="A174" t="str">
        <f>'ERP_AP7 Macro Failed'!A176</f>
        <v>L-ERP-529</v>
      </c>
      <c r="B174" t="str">
        <f>'ERP_AP7 Macro Failed'!D176</f>
        <v>Dougherty, Chris</v>
      </c>
      <c r="C174" t="str">
        <f>'ERP_AP7 Macro Failed'!E176</f>
        <v>Tamavada, Ram</v>
      </c>
      <c r="D174" t="str">
        <f>'ERP_AP7 Macro Failed'!G176</f>
        <v>MANAGED SERVICES</v>
      </c>
      <c r="E174" t="str">
        <f>'ERP_AP7 Macro Failed'!H176</f>
        <v>Infrastructure Billing Charges</v>
      </c>
      <c r="F174">
        <f>'ERP_AP7 Macro Failed'!I176</f>
        <v>0</v>
      </c>
      <c r="G174" t="str">
        <f>'ERP_AP7 Macro Failed'!K176</f>
        <v>EP&amp;SCharges001</v>
      </c>
      <c r="H174" s="487" t="e" cm="1">
        <f t="array" ref="H174">SUMPRODUCT((ERP[UID]=A174)*(ERP[AP01]+ERP[AP02]+ERP[AP03]+ERP[AP04]+ERP[AP05]))</f>
        <v>#VALUE!</v>
      </c>
      <c r="I174" s="487" cm="1">
        <f t="array" ref="I174">SUMPRODUCT((ERP[UID]=A174)*(ERP[AP01 LE2]+ERP[AP02 LE2]+ERP[AP03 LE2]+ERP[AP04 LE2]+ERP[AP05 LE2]))</f>
        <v>297425.61</v>
      </c>
      <c r="J174" s="487">
        <f>'ERP_AP7 Macro Failed'!AL176</f>
        <v>-25026.849999999977</v>
      </c>
      <c r="K174" t="str">
        <f t="shared" si="4"/>
        <v>MATERIAL</v>
      </c>
      <c r="L174" t="str">
        <f t="shared" si="5"/>
        <v>YES</v>
      </c>
    </row>
    <row r="175" spans="1:12">
      <c r="A175" t="str">
        <f>'ERP_AP7 Macro Failed'!A177</f>
        <v>L-ERP-570</v>
      </c>
      <c r="B175" t="str">
        <f>'ERP_AP7 Macro Failed'!D177</f>
        <v>Hase, Raj</v>
      </c>
      <c r="C175" t="str">
        <f>'ERP_AP7 Macro Failed'!E177</f>
        <v>Yeluri, Durga</v>
      </c>
      <c r="D175" t="str">
        <f>'ERP_AP7 Macro Failed'!G177</f>
        <v>CONTRACTORS</v>
      </c>
      <c r="E175" t="str">
        <f>'ERP_AP7 Macro Failed'!H177</f>
        <v>Infrastructure Billing Charges</v>
      </c>
      <c r="F175">
        <f>'ERP_AP7 Macro Failed'!I177</f>
        <v>0</v>
      </c>
      <c r="G175" t="str">
        <f>'ERP_AP7 Macro Failed'!K177</f>
        <v>EP&amp;SCharges001</v>
      </c>
      <c r="H175" s="487" t="e" cm="1">
        <f t="array" ref="H175">SUMPRODUCT((ERP[UID]=A175)*(ERP[AP01]+ERP[AP02]+ERP[AP03]+ERP[AP04]+ERP[AP05]))</f>
        <v>#VALUE!</v>
      </c>
      <c r="I175" s="487" cm="1">
        <f t="array" ref="I175">SUMPRODUCT((ERP[UID]=A175)*(ERP[AP01 LE2]+ERP[AP02 LE2]+ERP[AP03 LE2]+ERP[AP04 LE2]+ERP[AP05 LE2]))</f>
        <v>4457.8</v>
      </c>
      <c r="J175" s="487">
        <f>'ERP_AP7 Macro Failed'!AL177</f>
        <v>-6000</v>
      </c>
      <c r="K175" t="str">
        <f t="shared" si="4"/>
        <v>Minor</v>
      </c>
      <c r="L175" t="str">
        <f t="shared" si="5"/>
        <v>No</v>
      </c>
    </row>
    <row r="176" spans="1:12">
      <c r="A176" t="str">
        <f>'ERP_AP7 Macro Failed'!A178</f>
        <v>L-ERP-575</v>
      </c>
      <c r="B176" t="str">
        <f>'ERP_AP7 Macro Failed'!D178</f>
        <v>Hase, Raj</v>
      </c>
      <c r="C176" t="str">
        <f>'ERP_AP7 Macro Failed'!E178</f>
        <v>Yeluri, Durga</v>
      </c>
      <c r="D176" t="str">
        <f>'ERP_AP7 Macro Failed'!G178</f>
        <v>MANAGED SERVICES</v>
      </c>
      <c r="E176" t="str">
        <f>'ERP_AP7 Macro Failed'!H178</f>
        <v>Infrastructure Billing Charges</v>
      </c>
      <c r="F176">
        <f>'ERP_AP7 Macro Failed'!I178</f>
        <v>0</v>
      </c>
      <c r="G176" t="str">
        <f>'ERP_AP7 Macro Failed'!K178</f>
        <v>EP&amp;SCharges001</v>
      </c>
      <c r="H176" s="487" t="e" cm="1">
        <f t="array" ref="H176">SUMPRODUCT((ERP[UID]=A176)*(ERP[AP01]+ERP[AP02]+ERP[AP03]+ERP[AP04]+ERP[AP05]))</f>
        <v>#VALUE!</v>
      </c>
      <c r="I176" s="487" cm="1">
        <f t="array" ref="I176">SUMPRODUCT((ERP[UID]=A176)*(ERP[AP01 LE2]+ERP[AP02 LE2]+ERP[AP03 LE2]+ERP[AP04 LE2]+ERP[AP05 LE2]))</f>
        <v>22145.03</v>
      </c>
      <c r="J176" s="487">
        <f>'ERP_AP7 Macro Failed'!AL178</f>
        <v>-2790.7799999999988</v>
      </c>
      <c r="K176" t="str">
        <f t="shared" si="4"/>
        <v>Minor</v>
      </c>
      <c r="L176" t="str">
        <f t="shared" si="5"/>
        <v>No</v>
      </c>
    </row>
    <row r="177" spans="1:12">
      <c r="A177" t="str">
        <f>'ERP_AP7 Macro Failed'!A179</f>
        <v>L-ERP-577</v>
      </c>
      <c r="B177" t="str">
        <f>'ERP_AP7 Macro Failed'!D179</f>
        <v>Hase, Raj</v>
      </c>
      <c r="C177" t="str">
        <f>'ERP_AP7 Macro Failed'!E179</f>
        <v>Yeluri, Durga</v>
      </c>
      <c r="D177" t="str">
        <f>'ERP_AP7 Macro Failed'!G179</f>
        <v>SOFTWARE</v>
      </c>
      <c r="E177" t="str">
        <f>'ERP_AP7 Macro Failed'!H179</f>
        <v>Infrastructure Billing Charges</v>
      </c>
      <c r="F177">
        <f>'ERP_AP7 Macro Failed'!I179</f>
        <v>0</v>
      </c>
      <c r="G177" t="str">
        <f>'ERP_AP7 Macro Failed'!K179</f>
        <v>EP&amp;SCharges001</v>
      </c>
      <c r="H177" s="487" t="e" cm="1">
        <f t="array" ref="H177">SUMPRODUCT((ERP[UID]=A177)*(ERP[AP01]+ERP[AP02]+ERP[AP03]+ERP[AP04]+ERP[AP05]))</f>
        <v>#VALUE!</v>
      </c>
      <c r="I177" s="487" cm="1">
        <f t="array" ref="I177">SUMPRODUCT((ERP[UID]=A177)*(ERP[AP01 LE2]+ERP[AP02 LE2]+ERP[AP03 LE2]+ERP[AP04 LE2]+ERP[AP05 LE2]))</f>
        <v>13391.909999999998</v>
      </c>
      <c r="J177" s="487">
        <f>'ERP_AP7 Macro Failed'!AL179</f>
        <v>-419.18999999999869</v>
      </c>
      <c r="K177" t="str">
        <f t="shared" si="4"/>
        <v>Immaterial</v>
      </c>
      <c r="L177" t="str">
        <f t="shared" si="5"/>
        <v>No</v>
      </c>
    </row>
    <row r="178" spans="1:12">
      <c r="A178" t="str">
        <f>'ERP_AP7 Macro Failed'!A180</f>
        <v>L-ERP-395</v>
      </c>
      <c r="B178" t="str">
        <f>'ERP_AP7 Macro Failed'!D180</f>
        <v>McGettigan, David</v>
      </c>
      <c r="C178" t="str">
        <f>'ERP_AP7 Macro Failed'!E180</f>
        <v>McGettigan, David</v>
      </c>
      <c r="D178" t="str">
        <f>'ERP_AP7 Macro Failed'!G180</f>
        <v>SOFTWARE</v>
      </c>
      <c r="E178" t="str">
        <f>'ERP_AP7 Macro Failed'!H180</f>
        <v>CCA - Process Mining Celonis-EMEA/US/PGS- Amortization</v>
      </c>
      <c r="F178">
        <f>'ERP_AP7 Macro Failed'!I180</f>
        <v>0</v>
      </c>
      <c r="G178" t="str">
        <f>'ERP_AP7 Macro Failed'!K180</f>
        <v>ERP_Amort001</v>
      </c>
      <c r="H178" s="487" t="e" cm="1">
        <f t="array" ref="H178">SUMPRODUCT((ERP[UID]=A178)*(ERP[AP01]+ERP[AP02]+ERP[AP03]+ERP[AP04]+ERP[AP05]))</f>
        <v>#VALUE!</v>
      </c>
      <c r="I178" s="487" cm="1">
        <f t="array" ref="I178">SUMPRODUCT((ERP[UID]=A178)*(ERP[AP01 LE2]+ERP[AP02 LE2]+ERP[AP03 LE2]+ERP[AP04 LE2]+ERP[AP05 LE2]))</f>
        <v>0</v>
      </c>
      <c r="J178" s="487">
        <f>'ERP_AP7 Macro Failed'!AL180</f>
        <v>0</v>
      </c>
      <c r="K178" t="str">
        <f t="shared" si="4"/>
        <v>Immaterial</v>
      </c>
      <c r="L178" t="str">
        <f t="shared" si="5"/>
        <v>No</v>
      </c>
    </row>
    <row r="179" spans="1:12">
      <c r="A179" t="str">
        <f>'ERP_AP7 Macro Failed'!A181</f>
        <v>L-ERP-046</v>
      </c>
      <c r="B179" t="str">
        <f>'ERP_AP7 Macro Failed'!D181</f>
        <v>Hase, Raj</v>
      </c>
      <c r="C179" t="str">
        <f>'ERP_AP7 Macro Failed'!E181</f>
        <v>DeHart, Lynn</v>
      </c>
      <c r="D179" t="str">
        <f>'ERP_AP7 Macro Failed'!G181</f>
        <v>DEPRECIATION</v>
      </c>
      <c r="E179" t="str">
        <f>'ERP_AP7 Macro Failed'!H181</f>
        <v>ERP Activated Assets</v>
      </c>
      <c r="F179">
        <f>'ERP_AP7 Macro Failed'!I181</f>
        <v>0</v>
      </c>
      <c r="G179" t="str">
        <f>'ERP_AP7 Macro Failed'!K181</f>
        <v>ERP_Depre001</v>
      </c>
      <c r="H179" s="487" t="e" cm="1">
        <f t="array" ref="H179">SUMPRODUCT((ERP[UID]=A179)*(ERP[AP01]+ERP[AP02]+ERP[AP03]+ERP[AP04]+ERP[AP05]))</f>
        <v>#VALUE!</v>
      </c>
      <c r="I179" s="487" cm="1">
        <f t="array" ref="I179">SUMPRODUCT((ERP[UID]=A179)*(ERP[AP01 LE2]+ERP[AP02 LE2]+ERP[AP03 LE2]+ERP[AP04 LE2]+ERP[AP05 LE2]))</f>
        <v>6322</v>
      </c>
      <c r="J179" s="487">
        <f>'ERP_AP7 Macro Failed'!AL181</f>
        <v>-1149.7400000000007</v>
      </c>
      <c r="K179" t="str">
        <f t="shared" si="4"/>
        <v>Minor</v>
      </c>
      <c r="L179" t="str">
        <f t="shared" si="5"/>
        <v>No</v>
      </c>
    </row>
    <row r="180" spans="1:12">
      <c r="A180" t="str">
        <f>'ERP_AP7 Macro Failed'!A182</f>
        <v>L-ERP-173</v>
      </c>
      <c r="B180" t="str">
        <f>'ERP_AP7 Macro Failed'!D182</f>
        <v>Hase, Raj</v>
      </c>
      <c r="C180" t="str">
        <f>'ERP_AP7 Macro Failed'!E182</f>
        <v>Ganesan, Srinivasan</v>
      </c>
      <c r="D180" t="str">
        <f>'ERP_AP7 Macro Failed'!G182</f>
        <v>DEPRECIATION</v>
      </c>
      <c r="E180" t="str">
        <f>'ERP_AP7 Macro Failed'!H182</f>
        <v>ERP Activated Assets</v>
      </c>
      <c r="F180">
        <f>'ERP_AP7 Macro Failed'!I182</f>
        <v>0</v>
      </c>
      <c r="G180" t="str">
        <f>'ERP_AP7 Macro Failed'!K182</f>
        <v>ERP_Depre001</v>
      </c>
      <c r="H180" s="487" t="e" cm="1">
        <f t="array" ref="H180">SUMPRODUCT((ERP[UID]=A180)*(ERP[AP01]+ERP[AP02]+ERP[AP03]+ERP[AP04]+ERP[AP05]))</f>
        <v>#VALUE!</v>
      </c>
      <c r="I180" s="487" cm="1">
        <f t="array" ref="I180">SUMPRODUCT((ERP[UID]=A180)*(ERP[AP01 LE2]+ERP[AP02 LE2]+ERP[AP03 LE2]+ERP[AP04 LE2]+ERP[AP05 LE2]))</f>
        <v>2596.75</v>
      </c>
      <c r="J180" s="487">
        <f>'ERP_AP7 Macro Failed'!AL182</f>
        <v>0</v>
      </c>
      <c r="K180" t="str">
        <f t="shared" si="4"/>
        <v>Immaterial</v>
      </c>
      <c r="L180" t="str">
        <f t="shared" si="5"/>
        <v>No</v>
      </c>
    </row>
    <row r="181" spans="1:12">
      <c r="A181" t="str">
        <f>'ERP_AP7 Macro Failed'!A183</f>
        <v>L-ERP-534</v>
      </c>
      <c r="B181" t="str">
        <f>'ERP_AP7 Macro Failed'!D183</f>
        <v>Dougherty, Chris</v>
      </c>
      <c r="C181" t="str">
        <f>'ERP_AP7 Macro Failed'!E183</f>
        <v>Tamavada, Ram</v>
      </c>
      <c r="D181" t="str">
        <f>'ERP_AP7 Macro Failed'!G183</f>
        <v>SOFTWARE</v>
      </c>
      <c r="E181" t="str">
        <f>'ERP_AP7 Macro Failed'!H183</f>
        <v>Infrastructure Billing Charges</v>
      </c>
      <c r="F181">
        <f>'ERP_AP7 Macro Failed'!I183</f>
        <v>0</v>
      </c>
      <c r="G181" t="str">
        <f>'ERP_AP7 Macro Failed'!K183</f>
        <v>EP&amp;SCharges001</v>
      </c>
      <c r="H181" s="487" t="e" cm="1">
        <f t="array" ref="H181">SUMPRODUCT((ERP[UID]=A181)*(ERP[AP01]+ERP[AP02]+ERP[AP03]+ERP[AP04]+ERP[AP05]))</f>
        <v>#VALUE!</v>
      </c>
      <c r="I181" s="487" cm="1">
        <f t="array" ref="I181">SUMPRODUCT((ERP[UID]=A181)*(ERP[AP01 LE2]+ERP[AP02 LE2]+ERP[AP03 LE2]+ERP[AP04 LE2]+ERP[AP05 LE2]))</f>
        <v>3133.76</v>
      </c>
      <c r="J181" s="487">
        <f>'ERP_AP7 Macro Failed'!AL183</f>
        <v>-1368.6200000000003</v>
      </c>
      <c r="K181" t="str">
        <f t="shared" si="4"/>
        <v>Minor</v>
      </c>
      <c r="L181" t="str">
        <f t="shared" si="5"/>
        <v>No</v>
      </c>
    </row>
    <row r="182" spans="1:12">
      <c r="A182" t="str">
        <f>'ERP_AP7 Macro Failed'!A184</f>
        <v>L-ERP-435</v>
      </c>
      <c r="B182" t="str">
        <f>'ERP_AP7 Macro Failed'!D184</f>
        <v>McGettigan, David</v>
      </c>
      <c r="C182" t="str">
        <f>'ERP_AP7 Macro Failed'!E184</f>
        <v>McGettigan, David</v>
      </c>
      <c r="D182" t="str">
        <f>'ERP_AP7 Macro Failed'!G184</f>
        <v>DEPRECIATION</v>
      </c>
      <c r="E182" t="str">
        <f>'ERP_AP7 Macro Failed'!H184</f>
        <v>ERP Activated Assets</v>
      </c>
      <c r="F182">
        <f>'ERP_AP7 Macro Failed'!I184</f>
        <v>0</v>
      </c>
      <c r="G182" t="str">
        <f>'ERP_AP7 Macro Failed'!K184</f>
        <v>ERP_Depre001</v>
      </c>
      <c r="H182" s="487" t="e" cm="1">
        <f t="array" ref="H182">SUMPRODUCT((ERP[UID]=A182)*(ERP[AP01]+ERP[AP02]+ERP[AP03]+ERP[AP04]+ERP[AP05]))</f>
        <v>#VALUE!</v>
      </c>
      <c r="I182" s="487" cm="1">
        <f t="array" ref="I182">SUMPRODUCT((ERP[UID]=A182)*(ERP[AP01 LE2]+ERP[AP02 LE2]+ERP[AP03 LE2]+ERP[AP04 LE2]+ERP[AP05 LE2]))</f>
        <v>14926910.489999998</v>
      </c>
      <c r="J182" s="487">
        <f>'ERP_AP7 Macro Failed'!AL184</f>
        <v>-20413.769999995828</v>
      </c>
      <c r="K182" t="str">
        <f t="shared" si="4"/>
        <v>MATERIAL</v>
      </c>
      <c r="L182" t="str">
        <f t="shared" si="5"/>
        <v>YES</v>
      </c>
    </row>
    <row r="183" spans="1:12">
      <c r="A183" t="str">
        <f>'ERP_AP7 Macro Failed'!A185</f>
        <v>L-ERP-430</v>
      </c>
      <c r="B183" t="str">
        <f>'ERP_AP7 Macro Failed'!D185</f>
        <v>McGettigan, David</v>
      </c>
      <c r="C183" t="str">
        <f>'ERP_AP7 Macro Failed'!E185</f>
        <v>McGettigan, David</v>
      </c>
      <c r="D183" t="str">
        <f>'ERP_AP7 Macro Failed'!G185</f>
        <v>DEPRECIATION</v>
      </c>
      <c r="E183" t="str">
        <f>'ERP_AP7 Macro Failed'!H185</f>
        <v>ERP AUC - New Projects</v>
      </c>
      <c r="F183">
        <f>'ERP_AP7 Macro Failed'!I185</f>
        <v>0</v>
      </c>
      <c r="G183" t="str">
        <f>'ERP_AP7 Macro Failed'!K185</f>
        <v>ERP_DepreAUC001</v>
      </c>
      <c r="H183" s="487" t="e" cm="1">
        <f t="array" ref="H183">SUMPRODUCT((ERP[UID]=A183)*(ERP[AP01]+ERP[AP02]+ERP[AP03]+ERP[AP04]+ERP[AP05]))</f>
        <v>#VALUE!</v>
      </c>
      <c r="I183" s="487" cm="1">
        <f t="array" ref="I183">SUMPRODUCT((ERP[UID]=A183)*(ERP[AP01 LE2]+ERP[AP02 LE2]+ERP[AP03 LE2]+ERP[AP04 LE2]+ERP[AP05 LE2]))</f>
        <v>12850.03788888889</v>
      </c>
      <c r="J183" s="487">
        <f>'ERP_AP7 Macro Failed'!AL185</f>
        <v>-27765.742444444448</v>
      </c>
      <c r="K183" t="str">
        <f t="shared" si="4"/>
        <v>MATERIAL</v>
      </c>
      <c r="L183" t="str">
        <f t="shared" si="5"/>
        <v>YES</v>
      </c>
    </row>
    <row r="184" spans="1:12">
      <c r="A184" t="str">
        <f>'ERP_AP7 Macro Failed'!A186</f>
        <v>L-ERP-425</v>
      </c>
      <c r="B184" t="str">
        <f>'ERP_AP7 Macro Failed'!D186</f>
        <v>McGettigan, David</v>
      </c>
      <c r="C184" t="str">
        <f>'ERP_AP7 Macro Failed'!E186</f>
        <v>McGettigan, David</v>
      </c>
      <c r="D184" t="str">
        <f>'ERP_AP7 Macro Failed'!G186</f>
        <v>CONTRACTORS</v>
      </c>
      <c r="E184" t="str">
        <f>'ERP_AP7 Macro Failed'!H186</f>
        <v>Accord Remediation - Access Certification in SailPoint</v>
      </c>
      <c r="F184">
        <f>'ERP_AP7 Macro Failed'!I186</f>
        <v>0</v>
      </c>
      <c r="G184" t="str">
        <f>'ERP_AP7 Macro Failed'!K186</f>
        <v>ERP_Digital Funded Project_002</v>
      </c>
      <c r="H184" s="487" t="e" cm="1">
        <f t="array" ref="H184">SUMPRODUCT((ERP[UID]=A184)*(ERP[AP01]+ERP[AP02]+ERP[AP03]+ERP[AP04]+ERP[AP05]))</f>
        <v>#VALUE!</v>
      </c>
      <c r="I184" s="487" cm="1">
        <f t="array" ref="I184">SUMPRODUCT((ERP[UID]=A184)*(ERP[AP01 LE2]+ERP[AP02 LE2]+ERP[AP03 LE2]+ERP[AP04 LE2]+ERP[AP05 LE2]))</f>
        <v>50000</v>
      </c>
      <c r="J184" s="487">
        <f>'ERP_AP7 Macro Failed'!AL186</f>
        <v>-75000</v>
      </c>
      <c r="K184" t="str">
        <f t="shared" si="4"/>
        <v>MATERIAL</v>
      </c>
      <c r="L184" t="str">
        <f t="shared" si="5"/>
        <v>YES</v>
      </c>
    </row>
    <row r="185" spans="1:12">
      <c r="A185" t="str">
        <f>'ERP_AP7 Macro Failed'!A187</f>
        <v>L-ERP-421</v>
      </c>
      <c r="B185" t="str">
        <f>'ERP_AP7 Macro Failed'!D187</f>
        <v>McGettigan, David</v>
      </c>
      <c r="C185" t="str">
        <f>'ERP_AP7 Macro Failed'!E187</f>
        <v>McGettigan, David</v>
      </c>
      <c r="D185" t="str">
        <f>'ERP_AP7 Macro Failed'!G187</f>
        <v>CONTRACTORS</v>
      </c>
      <c r="E185" t="str">
        <f>'ERP_AP7 Macro Failed'!H187</f>
        <v>VOX Remediation</v>
      </c>
      <c r="F185">
        <f>'ERP_AP7 Macro Failed'!I187</f>
        <v>0</v>
      </c>
      <c r="G185" t="str">
        <f>'ERP_AP7 Macro Failed'!K187</f>
        <v>ERP_DigitalFundedProject001</v>
      </c>
      <c r="H185" s="487" t="e" cm="1">
        <f t="array" ref="H185">SUMPRODUCT((ERP[UID]=A185)*(ERP[AP01]+ERP[AP02]+ERP[AP03]+ERP[AP04]+ERP[AP05]))</f>
        <v>#VALUE!</v>
      </c>
      <c r="I185" s="487" cm="1">
        <f t="array" ref="I185">SUMPRODUCT((ERP[UID]=A185)*(ERP[AP01 LE2]+ERP[AP02 LE2]+ERP[AP03 LE2]+ERP[AP04 LE2]+ERP[AP05 LE2]))</f>
        <v>30000</v>
      </c>
      <c r="J185" s="487">
        <f>'ERP_AP7 Macro Failed'!AL187</f>
        <v>-30000</v>
      </c>
      <c r="K185" t="str">
        <f t="shared" si="4"/>
        <v>MATERIAL</v>
      </c>
      <c r="L185" t="str">
        <f t="shared" si="5"/>
        <v>YES</v>
      </c>
    </row>
    <row r="186" spans="1:12">
      <c r="A186" t="str">
        <f>'ERP_AP7 Macro Failed'!A188</f>
        <v>L-ERP-387</v>
      </c>
      <c r="B186" t="str">
        <f>'ERP_AP7 Macro Failed'!D188</f>
        <v>McGettigan, David</v>
      </c>
      <c r="C186" t="str">
        <f>'ERP_AP7 Macro Failed'!E188</f>
        <v>McGettigan, David</v>
      </c>
      <c r="D186" t="str">
        <f>'ERP_AP7 Macro Failed'!G188</f>
        <v>CONTRACTORS</v>
      </c>
      <c r="E186" t="str">
        <f>'ERP_AP7 Macro Failed'!H188</f>
        <v>Project Quanta ME</v>
      </c>
      <c r="F186">
        <f>'ERP_AP7 Macro Failed'!I188</f>
        <v>0</v>
      </c>
      <c r="G186" t="str">
        <f>'ERP_AP7 Macro Failed'!K188</f>
        <v>ERP_ProjectQuantaME001</v>
      </c>
      <c r="H186" s="487" t="e" cm="1">
        <f t="array" ref="H186">SUMPRODUCT((ERP[UID]=A186)*(ERP[AP01]+ERP[AP02]+ERP[AP03]+ERP[AP04]+ERP[AP05]))</f>
        <v>#VALUE!</v>
      </c>
      <c r="I186" s="487" cm="1">
        <f t="array" ref="I186">SUMPRODUCT((ERP[UID]=A186)*(ERP[AP01 LE2]+ERP[AP02 LE2]+ERP[AP03 LE2]+ERP[AP04 LE2]+ERP[AP05 LE2]))</f>
        <v>0</v>
      </c>
      <c r="J186" s="487">
        <f>'ERP_AP7 Macro Failed'!AL188</f>
        <v>0</v>
      </c>
      <c r="K186" t="str">
        <f t="shared" si="4"/>
        <v>Immaterial</v>
      </c>
      <c r="L186" t="str">
        <f t="shared" si="5"/>
        <v>No</v>
      </c>
    </row>
    <row r="187" spans="1:12">
      <c r="A187" t="str">
        <f>'ERP_AP7 Macro Failed'!A189</f>
        <v>L-ERP-345</v>
      </c>
      <c r="B187" t="str">
        <f>'ERP_AP7 Macro Failed'!D189</f>
        <v>Dougherty, Chris</v>
      </c>
      <c r="C187" t="str">
        <f>'ERP_AP7 Macro Failed'!E189</f>
        <v>Maguire, Karla</v>
      </c>
      <c r="D187" t="str">
        <f>'ERP_AP7 Macro Failed'!G189</f>
        <v>DEPRECIATION</v>
      </c>
      <c r="E187" t="str">
        <f>'ERP_AP7 Macro Failed'!H189</f>
        <v>ERP Activated Assets</v>
      </c>
      <c r="F187">
        <f>'ERP_AP7 Macro Failed'!I189</f>
        <v>0</v>
      </c>
      <c r="G187" t="str">
        <f>'ERP_AP7 Macro Failed'!K189</f>
        <v>ERP_Depre001</v>
      </c>
      <c r="H187" s="487" t="e" cm="1">
        <f t="array" ref="H187">SUMPRODUCT((ERP[UID]=A187)*(ERP[AP01]+ERP[AP02]+ERP[AP03]+ERP[AP04]+ERP[AP05]))</f>
        <v>#VALUE!</v>
      </c>
      <c r="I187" s="487" cm="1">
        <f t="array" ref="I187">SUMPRODUCT((ERP[UID]=A187)*(ERP[AP01 LE2]+ERP[AP02 LE2]+ERP[AP03 LE2]+ERP[AP04 LE2]+ERP[AP05 LE2]))</f>
        <v>8307.91</v>
      </c>
      <c r="J187" s="487">
        <f>'ERP_AP7 Macro Failed'!AL189</f>
        <v>298</v>
      </c>
      <c r="K187" t="str">
        <f t="shared" si="4"/>
        <v>Immaterial</v>
      </c>
      <c r="L187" t="str">
        <f t="shared" si="5"/>
        <v>No</v>
      </c>
    </row>
    <row r="188" spans="1:12">
      <c r="A188" t="str">
        <f>'ERP_AP7 Macro Failed'!A190</f>
        <v>L-ERP-235</v>
      </c>
      <c r="B188" t="str">
        <f>'ERP_AP7 Macro Failed'!D190</f>
        <v>Hase, Raj</v>
      </c>
      <c r="C188" t="str">
        <f>'ERP_AP7 Macro Failed'!E190</f>
        <v>Jajodia, Amit</v>
      </c>
      <c r="D188" t="str">
        <f>'ERP_AP7 Macro Failed'!G190</f>
        <v>CONTRACTORS</v>
      </c>
      <c r="E188" t="str">
        <f>'ERP_AP7 Macro Failed'!H190</f>
        <v>Manufacturing ABAP support_XFR0942</v>
      </c>
      <c r="F188">
        <f>'ERP_AP7 Macro Failed'!I190</f>
        <v>0</v>
      </c>
      <c r="G188" t="str">
        <f>'ERP_AP7 Macro Failed'!K190</f>
        <v>IT-CTR0023-OG-US-00</v>
      </c>
      <c r="H188" s="487" t="e" cm="1">
        <f t="array" ref="H188">SUMPRODUCT((ERP[UID]=A188)*(ERP[AP01]+ERP[AP02]+ERP[AP03]+ERP[AP04]+ERP[AP05]))</f>
        <v>#VALUE!</v>
      </c>
      <c r="I188" s="487" cm="1">
        <f t="array" ref="I188">SUMPRODUCT((ERP[UID]=A188)*(ERP[AP01 LE2]+ERP[AP02 LE2]+ERP[AP03 LE2]+ERP[AP04 LE2]+ERP[AP05 LE2]))</f>
        <v>0</v>
      </c>
      <c r="J188" s="487">
        <f>'ERP_AP7 Macro Failed'!AL190</f>
        <v>-5357.64</v>
      </c>
      <c r="K188" t="str">
        <f t="shared" si="4"/>
        <v>Minor</v>
      </c>
      <c r="L188" t="str">
        <f t="shared" si="5"/>
        <v>No</v>
      </c>
    </row>
    <row r="189" spans="1:12">
      <c r="A189" t="str">
        <f>'ERP_AP7 Macro Failed'!A191</f>
        <v>L-ERP-204</v>
      </c>
      <c r="B189" t="str">
        <f>'ERP_AP7 Macro Failed'!D191</f>
        <v>Hase, Raj</v>
      </c>
      <c r="C189" t="str">
        <f>'ERP_AP7 Macro Failed'!E191</f>
        <v>Herman, Shaun</v>
      </c>
      <c r="D189" t="str">
        <f>'ERP_AP7 Macro Failed'!G191</f>
        <v>CONTRACTORS</v>
      </c>
      <c r="E189" t="str">
        <f>'ERP_AP7 Macro Failed'!H191</f>
        <v>Master Data BAU support_XFR0672 &amp; XFR0938 &amp; XFR0934 &amp; XFR0932 &amp; XFR0846 &amp; XFR0913</v>
      </c>
      <c r="F189" t="str">
        <f>'ERP_AP7 Macro Failed'!I191</f>
        <v>ACCENTURE LLP</v>
      </c>
      <c r="G189" t="str">
        <f>'ERP_AP7 Macro Failed'!K191</f>
        <v>IT-CTR0024-OG-US-00</v>
      </c>
      <c r="H189" s="487" t="e" cm="1">
        <f t="array" ref="H189">SUMPRODUCT((ERP[UID]=A189)*(ERP[AP01]+ERP[AP02]+ERP[AP03]+ERP[AP04]+ERP[AP05]))</f>
        <v>#VALUE!</v>
      </c>
      <c r="I189" s="487" cm="1">
        <f t="array" ref="I189">SUMPRODUCT((ERP[UID]=A189)*(ERP[AP01 LE2]+ERP[AP02 LE2]+ERP[AP03 LE2]+ERP[AP04 LE2]+ERP[AP05 LE2]))</f>
        <v>60897.520000000019</v>
      </c>
      <c r="J189" s="487">
        <f>'ERP_AP7 Macro Failed'!AL191</f>
        <v>-83903.31</v>
      </c>
      <c r="K189" t="str">
        <f t="shared" si="4"/>
        <v>MATERIAL</v>
      </c>
      <c r="L189" t="str">
        <f t="shared" si="5"/>
        <v>YES</v>
      </c>
    </row>
    <row r="190" spans="1:12">
      <c r="A190" t="str">
        <f>'ERP_AP7 Macro Failed'!A192</f>
        <v>L-ERP-236</v>
      </c>
      <c r="B190" t="str">
        <f>'ERP_AP7 Macro Failed'!D192</f>
        <v>Hase, Raj</v>
      </c>
      <c r="C190" t="str">
        <f>'ERP_AP7 Macro Failed'!E192</f>
        <v>Jajodia, Amit</v>
      </c>
      <c r="D190" t="str">
        <f>'ERP_AP7 Macro Failed'!G192</f>
        <v>CONTRACTORS</v>
      </c>
      <c r="E190" t="str">
        <f>'ERP_AP7 Macro Failed'!H192</f>
        <v>Manufacturing EWM ASRS &amp; ZDI Support_XFR1023</v>
      </c>
      <c r="F190" t="str">
        <f>'ERP_AP7 Macro Failed'!I192</f>
        <v>IBM CORP</v>
      </c>
      <c r="G190" t="str">
        <f>'ERP_AP7 Macro Failed'!K192</f>
        <v>IT-CTR0027-OG-US-00</v>
      </c>
      <c r="H190" s="487" t="e" cm="1">
        <f t="array" ref="H190">SUMPRODUCT((ERP[UID]=A190)*(ERP[AP01]+ERP[AP02]+ERP[AP03]+ERP[AP04]+ERP[AP05]))</f>
        <v>#VALUE!</v>
      </c>
      <c r="I190" s="487" cm="1">
        <f t="array" ref="I190">SUMPRODUCT((ERP[UID]=A190)*(ERP[AP01 LE2]+ERP[AP02 LE2]+ERP[AP03 LE2]+ERP[AP04 LE2]+ERP[AP05 LE2]))</f>
        <v>63093.333333333321</v>
      </c>
      <c r="J190" s="487">
        <f>'ERP_AP7 Macro Failed'!AL192</f>
        <v>-859.5</v>
      </c>
      <c r="K190" t="str">
        <f t="shared" si="4"/>
        <v>Immaterial</v>
      </c>
      <c r="L190" t="str">
        <f t="shared" si="5"/>
        <v>No</v>
      </c>
    </row>
    <row r="191" spans="1:12">
      <c r="A191" t="str">
        <f>'ERP_AP7 Macro Failed'!A193</f>
        <v>L-ERP-237</v>
      </c>
      <c r="B191" t="str">
        <f>'ERP_AP7 Macro Failed'!D193</f>
        <v>Hase, Raj</v>
      </c>
      <c r="C191" t="str">
        <f>'ERP_AP7 Macro Failed'!E193</f>
        <v>Jajodia, Amit</v>
      </c>
      <c r="D191" t="str">
        <f>'ERP_AP7 Macro Failed'!G193</f>
        <v>CONTRACTORS</v>
      </c>
      <c r="E191" t="str">
        <f>'ERP_AP7 Macro Failed'!H193</f>
        <v>Planning IBP Demand &amp; Forecasting Support_XFR0933 &amp; XFR0957</v>
      </c>
      <c r="F191" t="str">
        <f>'ERP_AP7 Macro Failed'!I193</f>
        <v>IBM CORP</v>
      </c>
      <c r="G191" t="str">
        <f>'ERP_AP7 Macro Failed'!K193</f>
        <v>IT-CTR0030-OG-US-00</v>
      </c>
      <c r="H191" s="487" t="e" cm="1">
        <f t="array" ref="H191">SUMPRODUCT((ERP[UID]=A191)*(ERP[AP01]+ERP[AP02]+ERP[AP03]+ERP[AP04]+ERP[AP05]))</f>
        <v>#VALUE!</v>
      </c>
      <c r="I191" s="487" cm="1">
        <f t="array" ref="I191">SUMPRODUCT((ERP[UID]=A191)*(ERP[AP01 LE2]+ERP[AP02 LE2]+ERP[AP03 LE2]+ERP[AP04 LE2]+ERP[AP05 LE2]))</f>
        <v>110517.38</v>
      </c>
      <c r="J191" s="487">
        <f>'ERP_AP7 Macro Failed'!AL193</f>
        <v>12102.119999999995</v>
      </c>
      <c r="K191" t="str">
        <f t="shared" si="4"/>
        <v>MATERIAL</v>
      </c>
      <c r="L191" t="str">
        <f t="shared" si="5"/>
        <v>YES</v>
      </c>
    </row>
    <row r="192" spans="1:12">
      <c r="A192" t="str">
        <f>'ERP_AP7 Macro Failed'!A194</f>
        <v>N-ERP-579</v>
      </c>
      <c r="B192" t="str">
        <f>'ERP_AP7 Macro Failed'!D194</f>
        <v>Hase, Raj</v>
      </c>
      <c r="C192" t="str">
        <f>'ERP_AP7 Macro Failed'!E194</f>
        <v>Jajodia, Amit</v>
      </c>
      <c r="D192" t="str">
        <f>'ERP_AP7 Macro Failed'!G194</f>
        <v>CONTRACTORS</v>
      </c>
      <c r="E192" t="str">
        <f>'ERP_AP7 Macro Failed'!H194</f>
        <v>ES Lifecycle Solutions Support_XFR0933 &amp; XFR0936</v>
      </c>
      <c r="F192">
        <f>'ERP_AP7 Macro Failed'!I194</f>
        <v>0</v>
      </c>
      <c r="G192" t="str">
        <f>'ERP_AP7 Macro Failed'!K194</f>
        <v>IT-CTR0031-OG-US-00</v>
      </c>
      <c r="H192" s="487" t="e" cm="1">
        <f t="array" ref="H192">SUMPRODUCT((ERP[UID]=A192)*(ERP[AP01]+ERP[AP02]+ERP[AP03]+ERP[AP04]+ERP[AP05]))</f>
        <v>#VALUE!</v>
      </c>
      <c r="I192" s="487" cm="1">
        <f t="array" ref="I192">SUMPRODUCT((ERP[UID]=A192)*(ERP[AP01 LE2]+ERP[AP02 LE2]+ERP[AP03 LE2]+ERP[AP04 LE2]+ERP[AP05 LE2]))</f>
        <v>81620</v>
      </c>
      <c r="J192" s="487">
        <f>'ERP_AP7 Macro Failed'!AL194</f>
        <v>-122430</v>
      </c>
      <c r="K192" t="str">
        <f t="shared" si="4"/>
        <v>MATERIAL</v>
      </c>
      <c r="L192" t="str">
        <f t="shared" si="5"/>
        <v>YES</v>
      </c>
    </row>
    <row r="193" spans="1:12">
      <c r="A193" t="str">
        <f>'ERP_AP7 Macro Failed'!A195</f>
        <v>ERP-035</v>
      </c>
      <c r="B193" t="str">
        <f>'ERP_AP7 Macro Failed'!D195</f>
        <v>Hase, Raj</v>
      </c>
      <c r="C193" t="str">
        <f>'ERP_AP7 Macro Failed'!E195</f>
        <v>DeHart, Lynn</v>
      </c>
      <c r="D193" t="str">
        <f>'ERP_AP7 Macro Failed'!G195</f>
        <v>CONTRACTORS</v>
      </c>
      <c r="E193" t="str">
        <f>'ERP_AP7 Macro Failed'!H195</f>
        <v xml:space="preserve">Quality audit - SAP QM Offshore Consultant </v>
      </c>
      <c r="F193" t="str">
        <f>'ERP_AP7 Macro Failed'!I195</f>
        <v>IBM</v>
      </c>
      <c r="G193" t="str">
        <f>'ERP_AP7 Macro Failed'!K195</f>
        <v>IT-CTR0034-OG-US-00</v>
      </c>
      <c r="H193" s="487" t="e" cm="1">
        <f t="array" ref="H193">SUMPRODUCT((ERP[UID]=A193)*(ERP[AP01]+ERP[AP02]+ERP[AP03]+ERP[AP04]+ERP[AP05]))</f>
        <v>#VALUE!</v>
      </c>
      <c r="I193" s="487" cm="1">
        <f t="array" ref="I193">SUMPRODUCT((ERP[UID]=A193)*(ERP[AP01 LE2]+ERP[AP02 LE2]+ERP[AP03 LE2]+ERP[AP04 LE2]+ERP[AP05 LE2]))</f>
        <v>0</v>
      </c>
      <c r="J193" s="487">
        <f>'ERP_AP7 Macro Failed'!AL195</f>
        <v>62153.7</v>
      </c>
      <c r="K193" t="str">
        <f t="shared" si="4"/>
        <v>MATERIAL</v>
      </c>
      <c r="L193" t="str">
        <f t="shared" si="5"/>
        <v>YES</v>
      </c>
    </row>
    <row r="194" spans="1:12">
      <c r="A194" t="str">
        <f>'ERP_AP7 Macro Failed'!A196</f>
        <v>L-ERP-238</v>
      </c>
      <c r="B194" t="str">
        <f>'ERP_AP7 Macro Failed'!D196</f>
        <v>Hase, Raj</v>
      </c>
      <c r="C194" t="str">
        <f>'ERP_AP7 Macro Failed'!E196</f>
        <v>Jajodia, Amit</v>
      </c>
      <c r="D194" t="str">
        <f>'ERP_AP7 Macro Failed'!G196</f>
        <v>CONTRACTORS</v>
      </c>
      <c r="E194" t="str">
        <f>'ERP_AP7 Macro Failed'!H196</f>
        <v>Quality Audit, Investigations, SMS &amp; Fiori_XFR0910</v>
      </c>
      <c r="F194" t="str">
        <f>'ERP_AP7 Macro Failed'!I196</f>
        <v>ACCENTURE LLP</v>
      </c>
      <c r="G194" t="str">
        <f>'ERP_AP7 Macro Failed'!K196</f>
        <v>IT-CTR0034-OG-US-00</v>
      </c>
      <c r="H194" s="487" t="e" cm="1">
        <f t="array" ref="H194">SUMPRODUCT((ERP[UID]=A194)*(ERP[AP01]+ERP[AP02]+ERP[AP03]+ERP[AP04]+ERP[AP05]))</f>
        <v>#VALUE!</v>
      </c>
      <c r="I194" s="487" cm="1">
        <f t="array" ref="I194">SUMPRODUCT((ERP[UID]=A194)*(ERP[AP01 LE2]+ERP[AP02 LE2]+ERP[AP03 LE2]+ERP[AP04 LE2]+ERP[AP05 LE2]))</f>
        <v>133958.13</v>
      </c>
      <c r="J194" s="487">
        <f>'ERP_AP7 Macro Failed'!AL196</f>
        <v>1002.4100000000035</v>
      </c>
      <c r="K194" t="str">
        <f t="shared" si="4"/>
        <v>Minor</v>
      </c>
      <c r="L194" t="str">
        <f t="shared" si="5"/>
        <v>No</v>
      </c>
    </row>
    <row r="195" spans="1:12">
      <c r="A195" t="str">
        <f>'ERP_AP7 Macro Failed'!A197</f>
        <v>L-ERP-205</v>
      </c>
      <c r="B195" t="str">
        <f>'ERP_AP7 Macro Failed'!D197</f>
        <v>Hase, Raj</v>
      </c>
      <c r="C195" t="str">
        <f>'ERP_AP7 Macro Failed'!E197</f>
        <v>Herman, Shaun</v>
      </c>
      <c r="D195" t="str">
        <f>'ERP_AP7 Macro Failed'!G197</f>
        <v>CONTRACTORS</v>
      </c>
      <c r="E195" t="str">
        <f>'ERP_AP7 Macro Failed'!H197</f>
        <v>MD Packaging Support_XFR0934</v>
      </c>
      <c r="F195" t="str">
        <f>'ERP_AP7 Macro Failed'!I197</f>
        <v>IBM CORP</v>
      </c>
      <c r="G195" t="str">
        <f>'ERP_AP7 Macro Failed'!K197</f>
        <v>IT-CTR0037-OG-US-00</v>
      </c>
      <c r="H195" s="487" t="e" cm="1">
        <f t="array" ref="H195">SUMPRODUCT((ERP[UID]=A195)*(ERP[AP01]+ERP[AP02]+ERP[AP03]+ERP[AP04]+ERP[AP05]))</f>
        <v>#VALUE!</v>
      </c>
      <c r="I195" s="487" cm="1">
        <f t="array" ref="I195">SUMPRODUCT((ERP[UID]=A195)*(ERP[AP01 LE2]+ERP[AP02 LE2]+ERP[AP03 LE2]+ERP[AP04 LE2]+ERP[AP05 LE2]))</f>
        <v>96492</v>
      </c>
      <c r="J195" s="487">
        <f>'ERP_AP7 Macro Failed'!AL197</f>
        <v>27982.070000000007</v>
      </c>
      <c r="K195" t="str">
        <f t="shared" si="4"/>
        <v>MATERIAL</v>
      </c>
      <c r="L195" t="str">
        <f t="shared" si="5"/>
        <v>YES</v>
      </c>
    </row>
    <row r="196" spans="1:12">
      <c r="A196" t="str">
        <f>'ERP_AP7 Macro Failed'!A198</f>
        <v>L-ERP-206</v>
      </c>
      <c r="B196" t="str">
        <f>'ERP_AP7 Macro Failed'!D198</f>
        <v>Hase, Raj</v>
      </c>
      <c r="C196" t="str">
        <f>'ERP_AP7 Macro Failed'!E198</f>
        <v>Herman, Shaun</v>
      </c>
      <c r="D196" t="str">
        <f>'ERP_AP7 Macro Failed'!G198</f>
        <v>CONTRACTORS</v>
      </c>
      <c r="E196" t="str">
        <f>'ERP_AP7 Macro Failed'!H198</f>
        <v>MD ABAP NPL Integration_XFR0849</v>
      </c>
      <c r="F196">
        <f>'ERP_AP7 Macro Failed'!I198</f>
        <v>0</v>
      </c>
      <c r="G196" t="str">
        <f>'ERP_AP7 Macro Failed'!K198</f>
        <v>IT-CTR0039-OG-US-00</v>
      </c>
      <c r="H196" s="487" t="e" cm="1">
        <f t="array" ref="H196">SUMPRODUCT((ERP[UID]=A196)*(ERP[AP01]+ERP[AP02]+ERP[AP03]+ERP[AP04]+ERP[AP05]))</f>
        <v>#VALUE!</v>
      </c>
      <c r="I196" s="487" cm="1">
        <f t="array" ref="I196">SUMPRODUCT((ERP[UID]=A196)*(ERP[AP01 LE2]+ERP[AP02 LE2]+ERP[AP03 LE2]+ERP[AP04 LE2]+ERP[AP05 LE2]))</f>
        <v>10000</v>
      </c>
      <c r="J196" s="487">
        <f>'ERP_AP7 Macro Failed'!AL198</f>
        <v>-18000</v>
      </c>
      <c r="K196" t="str">
        <f t="shared" si="4"/>
        <v>MATERIAL</v>
      </c>
      <c r="L196" t="str">
        <f t="shared" si="5"/>
        <v>YES</v>
      </c>
    </row>
    <row r="197" spans="1:12">
      <c r="A197" t="str">
        <f>'ERP_AP7 Macro Failed'!A199</f>
        <v>L-ERP-141</v>
      </c>
      <c r="B197" t="str">
        <f>'ERP_AP7 Macro Failed'!D199</f>
        <v>Hase, Raj</v>
      </c>
      <c r="C197" t="str">
        <f>'ERP_AP7 Macro Failed'!E199</f>
        <v>Ganesan, Srinivasan</v>
      </c>
      <c r="D197" t="str">
        <f>'ERP_AP7 Macro Failed'!G199</f>
        <v>CONTRACTORS</v>
      </c>
      <c r="E197" t="str">
        <f>'ERP_AP7 Macro Failed'!H199</f>
        <v>GLNS IERP Budget Tool ABAP_XFR0948</v>
      </c>
      <c r="F197">
        <f>'ERP_AP7 Macro Failed'!I199</f>
        <v>0</v>
      </c>
      <c r="G197" t="str">
        <f>'ERP_AP7 Macro Failed'!K199</f>
        <v>IT-CTR0040-OG-US-00</v>
      </c>
      <c r="H197" s="487" t="e" cm="1">
        <f t="array" ref="H197">SUMPRODUCT((ERP[UID]=A197)*(ERP[AP01]+ERP[AP02]+ERP[AP03]+ERP[AP04]+ERP[AP05]))</f>
        <v>#VALUE!</v>
      </c>
      <c r="I197" s="487" cm="1">
        <f t="array" ref="I197">SUMPRODUCT((ERP[UID]=A197)*(ERP[AP01 LE2]+ERP[AP02 LE2]+ERP[AP03 LE2]+ERP[AP04 LE2]+ERP[AP05 LE2]))</f>
        <v>0.1499999999996362</v>
      </c>
      <c r="J197" s="487">
        <f>'ERP_AP7 Macro Failed'!AL199</f>
        <v>16353.06</v>
      </c>
      <c r="K197" t="str">
        <f t="shared" si="4"/>
        <v>MATERIAL</v>
      </c>
      <c r="L197" t="str">
        <f t="shared" si="5"/>
        <v>YES</v>
      </c>
    </row>
    <row r="198" spans="1:12">
      <c r="A198" t="str">
        <f>'ERP_AP7 Macro Failed'!A200</f>
        <v>L-ERP-239</v>
      </c>
      <c r="B198" t="str">
        <f>'ERP_AP7 Macro Failed'!D200</f>
        <v>Hase, Raj</v>
      </c>
      <c r="C198" t="str">
        <f>'ERP_AP7 Macro Failed'!E200</f>
        <v>Jajodia, Amit</v>
      </c>
      <c r="D198" t="str">
        <f>'ERP_AP7 Macro Failed'!G200</f>
        <v>CONTRACTORS</v>
      </c>
      <c r="E198" t="str">
        <f>'ERP_AP7 Macro Failed'!H200</f>
        <v>Quality SAP QC, Quadra, BRM &amp; MR_XFR0667 &amp; XFR0964 &amp; XFR0857</v>
      </c>
      <c r="F198">
        <f>'ERP_AP7 Macro Failed'!I200</f>
        <v>0</v>
      </c>
      <c r="G198" t="str">
        <f>'ERP_AP7 Macro Failed'!K200</f>
        <v>IT-CTR0041-OG-US-00</v>
      </c>
      <c r="H198" s="487" t="e" cm="1">
        <f t="array" ref="H198">SUMPRODUCT((ERP[UID]=A198)*(ERP[AP01]+ERP[AP02]+ERP[AP03]+ERP[AP04]+ERP[AP05]))</f>
        <v>#VALUE!</v>
      </c>
      <c r="I198" s="487" cm="1">
        <f t="array" ref="I198">SUMPRODUCT((ERP[UID]=A198)*(ERP[AP01 LE2]+ERP[AP02 LE2]+ERP[AP03 LE2]+ERP[AP04 LE2]+ERP[AP05 LE2]))</f>
        <v>280495.38</v>
      </c>
      <c r="J198" s="487">
        <f>'ERP_AP7 Macro Failed'!AL200</f>
        <v>-171279.30000000005</v>
      </c>
      <c r="K198" t="str">
        <f t="shared" ref="K198:K261" si="6">IF(ABS(J198)&gt;=10000,"MATERIAL",IF(ABS(J198)&gt;=1000,"Minor","Immaterial"))</f>
        <v>MATERIAL</v>
      </c>
      <c r="L198" t="str">
        <f t="shared" ref="L198:L261" si="7">IF(ABS(J198)&gt;=10000,"YES","No")</f>
        <v>YES</v>
      </c>
    </row>
    <row r="199" spans="1:12">
      <c r="A199" t="str">
        <f>'ERP_AP7 Macro Failed'!A201</f>
        <v>L-ERP-542</v>
      </c>
      <c r="B199" t="str">
        <f>'ERP_AP7 Macro Failed'!D201</f>
        <v>Dougherty, Chris</v>
      </c>
      <c r="C199" t="str">
        <f>'ERP_AP7 Macro Failed'!E201</f>
        <v>Tamavada, Ram</v>
      </c>
      <c r="D199" t="str">
        <f>'ERP_AP7 Macro Failed'!G201</f>
        <v>MANAGED SERVICES</v>
      </c>
      <c r="E199" t="str">
        <f>'ERP_AP7 Macro Failed'!H201</f>
        <v>DIGITAL-CLOUD-AWS-CHARGES</v>
      </c>
      <c r="F199">
        <f>'ERP_AP7 Macro Failed'!I201</f>
        <v>0</v>
      </c>
      <c r="G199" t="str">
        <f>'ERP_AP7 Macro Failed'!K201</f>
        <v>IT-17BTF01-01</v>
      </c>
      <c r="H199" s="487" t="e" cm="1">
        <f t="array" ref="H199">SUMPRODUCT((ERP[UID]=A199)*(ERP[AP01]+ERP[AP02]+ERP[AP03]+ERP[AP04]+ERP[AP05]))</f>
        <v>#VALUE!</v>
      </c>
      <c r="I199" s="487" cm="1">
        <f t="array" ref="I199">SUMPRODUCT((ERP[UID]=A199)*(ERP[AP01 LE2]+ERP[AP02 LE2]+ERP[AP03 LE2]+ERP[AP04 LE2]+ERP[AP05 LE2]))</f>
        <v>2006.44</v>
      </c>
      <c r="J199" s="487">
        <f>'ERP_AP7 Macro Failed'!AL201</f>
        <v>6145.34</v>
      </c>
      <c r="K199" t="str">
        <f t="shared" si="6"/>
        <v>Minor</v>
      </c>
      <c r="L199" t="str">
        <f t="shared" si="7"/>
        <v>No</v>
      </c>
    </row>
    <row r="200" spans="1:12">
      <c r="A200" t="str">
        <f>'ERP_AP7 Macro Failed'!A202</f>
        <v>ERP-027</v>
      </c>
      <c r="B200" t="str">
        <f>'ERP_AP7 Macro Failed'!D202</f>
        <v>Dougherty, Chris</v>
      </c>
      <c r="C200" t="str">
        <f>'ERP_AP7 Macro Failed'!E202</f>
        <v>Tamavada, Ram</v>
      </c>
      <c r="D200" t="str">
        <f>'ERP_AP7 Macro Failed'!G202</f>
        <v>MANAGED SERVICES</v>
      </c>
      <c r="E200" t="str">
        <f>'ERP_AP7 Macro Failed'!H202</f>
        <v>Launch Agility - IBM ATTP additional Support</v>
      </c>
      <c r="F200" t="str">
        <f>'ERP_AP7 Macro Failed'!I202</f>
        <v>IBM</v>
      </c>
      <c r="G200" t="str">
        <f>'ERP_AP7 Macro Failed'!K202</f>
        <v>IT-CTR0044-OG-US-00</v>
      </c>
      <c r="H200" s="487" t="e" cm="1">
        <f t="array" ref="H200">SUMPRODUCT((ERP[UID]=A200)*(ERP[AP01]+ERP[AP02]+ERP[AP03]+ERP[AP04]+ERP[AP05]))</f>
        <v>#VALUE!</v>
      </c>
      <c r="I200" s="487" cm="1">
        <f t="array" ref="I200">SUMPRODUCT((ERP[UID]=A200)*(ERP[AP01 LE2]+ERP[AP02 LE2]+ERP[AP03 LE2]+ERP[AP04 LE2]+ERP[AP05 LE2]))</f>
        <v>0</v>
      </c>
      <c r="J200" s="487">
        <f>'ERP_AP7 Macro Failed'!AL202</f>
        <v>0</v>
      </c>
      <c r="K200" t="str">
        <f t="shared" si="6"/>
        <v>Immaterial</v>
      </c>
      <c r="L200" t="str">
        <f t="shared" si="7"/>
        <v>No</v>
      </c>
    </row>
    <row r="201" spans="1:12">
      <c r="A201" t="str">
        <f>'ERP_AP7 Macro Failed'!A203</f>
        <v>ERP-049</v>
      </c>
      <c r="B201" t="str">
        <f>'ERP_AP7 Macro Failed'!D203</f>
        <v>Dougherty, Chris</v>
      </c>
      <c r="C201" t="str">
        <f>'ERP_AP7 Macro Failed'!E203</f>
        <v>Meadows, Leslie</v>
      </c>
      <c r="D201" t="str">
        <f>'ERP_AP7 Macro Failed'!G203</f>
        <v>MANAGED SERVICES</v>
      </c>
      <c r="E201" t="str">
        <f>'ERP_AP7 Macro Failed'!H203</f>
        <v>Launch Agility - ATTP ADDITIONAL SUPPORT - JAN TO JUNE'20</v>
      </c>
      <c r="F201">
        <f>'ERP_AP7 Macro Failed'!I203</f>
        <v>0</v>
      </c>
      <c r="G201" t="str">
        <f>'ERP_AP7 Macro Failed'!K203</f>
        <v>IT-CTR0044-OG-US-00</v>
      </c>
      <c r="H201" s="487" t="e" cm="1">
        <f t="array" ref="H201">SUMPRODUCT((ERP[UID]=A201)*(ERP[AP01]+ERP[AP02]+ERP[AP03]+ERP[AP04]+ERP[AP05]))</f>
        <v>#VALUE!</v>
      </c>
      <c r="I201" s="487" cm="1">
        <f t="array" ref="I201">SUMPRODUCT((ERP[UID]=A201)*(ERP[AP01 LE2]+ERP[AP02 LE2]+ERP[AP03 LE2]+ERP[AP04 LE2]+ERP[AP05 LE2]))</f>
        <v>0</v>
      </c>
      <c r="J201" s="487">
        <f>'ERP_AP7 Macro Failed'!AL203</f>
        <v>55147.5</v>
      </c>
      <c r="K201" t="str">
        <f t="shared" si="6"/>
        <v>MATERIAL</v>
      </c>
      <c r="L201" t="str">
        <f t="shared" si="7"/>
        <v>YES</v>
      </c>
    </row>
    <row r="202" spans="1:12">
      <c r="A202" t="str">
        <f>'ERP_AP7 Macro Failed'!A204</f>
        <v>L-ERP-142</v>
      </c>
      <c r="B202" t="str">
        <f>'ERP_AP7 Macro Failed'!D204</f>
        <v>Hase, Raj</v>
      </c>
      <c r="C202" t="str">
        <f>'ERP_AP7 Macro Failed'!E204</f>
        <v>Ganesan, Srinivasan</v>
      </c>
      <c r="D202" t="str">
        <f>'ERP_AP7 Macro Failed'!G204</f>
        <v>CONTRACTORS</v>
      </c>
      <c r="E202" t="str">
        <f>'ERP_AP7 Macro Failed'!H204</f>
        <v>Planning Pfizer Connect Specialist Support_XFR0670 &amp; XFR0955</v>
      </c>
      <c r="F202">
        <f>'ERP_AP7 Macro Failed'!I204</f>
        <v>0</v>
      </c>
      <c r="G202" t="str">
        <f>'ERP_AP7 Macro Failed'!K204</f>
        <v>IT-CTR0045-OG-US-00</v>
      </c>
      <c r="H202" s="487" t="e" cm="1">
        <f t="array" ref="H202">SUMPRODUCT((ERP[UID]=A202)*(ERP[AP01]+ERP[AP02]+ERP[AP03]+ERP[AP04]+ERP[AP05]))</f>
        <v>#VALUE!</v>
      </c>
      <c r="I202" s="487" cm="1">
        <f t="array" ref="I202">SUMPRODUCT((ERP[UID]=A202)*(ERP[AP01 LE2]+ERP[AP02 LE2]+ERP[AP03 LE2]+ERP[AP04 LE2]+ERP[AP05 LE2]))</f>
        <v>3558.41</v>
      </c>
      <c r="J202" s="487">
        <f>'ERP_AP7 Macro Failed'!AL204</f>
        <v>0</v>
      </c>
      <c r="K202" t="str">
        <f t="shared" si="6"/>
        <v>Immaterial</v>
      </c>
      <c r="L202" t="str">
        <f t="shared" si="7"/>
        <v>No</v>
      </c>
    </row>
    <row r="203" spans="1:12">
      <c r="A203" t="str">
        <f>'ERP_AP7 Macro Failed'!A205</f>
        <v>L-ERP-240</v>
      </c>
      <c r="B203" t="str">
        <f>'ERP_AP7 Macro Failed'!D205</f>
        <v>Hase, Raj</v>
      </c>
      <c r="C203" t="str">
        <f>'ERP_AP7 Macro Failed'!E205</f>
        <v>Jajodia, Amit</v>
      </c>
      <c r="D203" t="str">
        <f>'ERP_AP7 Macro Failed'!G205</f>
        <v>CONTRACTORS</v>
      </c>
      <c r="E203" t="str">
        <f>'ERP_AP7 Macro Failed'!H205</f>
        <v>Planning Pfizer Connect Specialist Support_XFR0670 &amp; XFR0955</v>
      </c>
      <c r="F203">
        <f>'ERP_AP7 Macro Failed'!I205</f>
        <v>0</v>
      </c>
      <c r="G203" t="str">
        <f>'ERP_AP7 Macro Failed'!K205</f>
        <v>IT-CTR0045-OG-US-00</v>
      </c>
      <c r="H203" s="487" t="e" cm="1">
        <f t="array" ref="H203">SUMPRODUCT((ERP[UID]=A203)*(ERP[AP01]+ERP[AP02]+ERP[AP03]+ERP[AP04]+ERP[AP05]))</f>
        <v>#VALUE!</v>
      </c>
      <c r="I203" s="487" cm="1">
        <f t="array" ref="I203">SUMPRODUCT((ERP[UID]=A203)*(ERP[AP01 LE2]+ERP[AP02 LE2]+ERP[AP03 LE2]+ERP[AP04 LE2]+ERP[AP05 LE2]))</f>
        <v>111787.5</v>
      </c>
      <c r="J203" s="487">
        <f>'ERP_AP7 Macro Failed'!AL205</f>
        <v>-119625</v>
      </c>
      <c r="K203" t="str">
        <f t="shared" si="6"/>
        <v>MATERIAL</v>
      </c>
      <c r="L203" t="str">
        <f t="shared" si="7"/>
        <v>YES</v>
      </c>
    </row>
    <row r="204" spans="1:12">
      <c r="A204" t="str">
        <f>'ERP_AP7 Macro Failed'!A206</f>
        <v>L-ERP-207</v>
      </c>
      <c r="B204" t="str">
        <f>'ERP_AP7 Macro Failed'!D206</f>
        <v>Hase, Raj</v>
      </c>
      <c r="C204" t="str">
        <f>'ERP_AP7 Macro Failed'!E206</f>
        <v>Herman, Shaun</v>
      </c>
      <c r="D204" t="str">
        <f>'ERP_AP7 Macro Failed'!G206</f>
        <v>CONTRACTORS</v>
      </c>
      <c r="E204" t="str">
        <f>'ERP_AP7 Macro Failed'!H206</f>
        <v>MD TINS Support_XFR1020</v>
      </c>
      <c r="F204">
        <f>'ERP_AP7 Macro Failed'!I206</f>
        <v>0</v>
      </c>
      <c r="G204" t="str">
        <f>'ERP_AP7 Macro Failed'!K206</f>
        <v>IT-CTR0046-OG-US-00</v>
      </c>
      <c r="H204" s="487" t="e" cm="1">
        <f t="array" ref="H204">SUMPRODUCT((ERP[UID]=A204)*(ERP[AP01]+ERP[AP02]+ERP[AP03]+ERP[AP04]+ERP[AP05]))</f>
        <v>#VALUE!</v>
      </c>
      <c r="I204" s="487" cm="1">
        <f t="array" ref="I204">SUMPRODUCT((ERP[UID]=A204)*(ERP[AP01 LE2]+ERP[AP02 LE2]+ERP[AP03 LE2]+ERP[AP04 LE2]+ERP[AP05 LE2]))</f>
        <v>0</v>
      </c>
      <c r="J204" s="487">
        <f>'ERP_AP7 Macro Failed'!AL206</f>
        <v>-5000</v>
      </c>
      <c r="K204" t="str">
        <f t="shared" si="6"/>
        <v>Minor</v>
      </c>
      <c r="L204" t="str">
        <f t="shared" si="7"/>
        <v>No</v>
      </c>
    </row>
    <row r="205" spans="1:12">
      <c r="A205" t="str">
        <f>'ERP_AP7 Macro Failed'!A207</f>
        <v>L-ERP-123</v>
      </c>
      <c r="B205" t="str">
        <f>'ERP_AP7 Macro Failed'!D207</f>
        <v>Hase, Raj</v>
      </c>
      <c r="C205" t="str">
        <f>'ERP_AP7 Macro Failed'!E207</f>
        <v>Ganesan, Srinivasan</v>
      </c>
      <c r="D205" t="str">
        <f>'ERP_AP7 Macro Failed'!G207</f>
        <v>CONTRACTORS</v>
      </c>
      <c r="E205" t="str">
        <f>'ERP_AP7 Macro Failed'!H207</f>
        <v>GLNS Ingestion of IOT to UDH-CDM_XFR0962</v>
      </c>
      <c r="F205">
        <f>'ERP_AP7 Macro Failed'!I207</f>
        <v>0</v>
      </c>
      <c r="G205" t="str">
        <f>'ERP_AP7 Macro Failed'!K207</f>
        <v>IT-CTR0049-OG-US-00</v>
      </c>
      <c r="H205" s="487" t="e" cm="1">
        <f t="array" ref="H205">SUMPRODUCT((ERP[UID]=A205)*(ERP[AP01]+ERP[AP02]+ERP[AP03]+ERP[AP04]+ERP[AP05]))</f>
        <v>#VALUE!</v>
      </c>
      <c r="I205" s="487" cm="1">
        <f t="array" ref="I205">SUMPRODUCT((ERP[UID]=A205)*(ERP[AP01 LE2]+ERP[AP02 LE2]+ERP[AP03 LE2]+ERP[AP04 LE2]+ERP[AP05 LE2]))</f>
        <v>11100</v>
      </c>
      <c r="J205" s="487">
        <f>'ERP_AP7 Macro Failed'!AL207</f>
        <v>-22500</v>
      </c>
      <c r="K205" t="str">
        <f t="shared" si="6"/>
        <v>MATERIAL</v>
      </c>
      <c r="L205" t="str">
        <f t="shared" si="7"/>
        <v>YES</v>
      </c>
    </row>
    <row r="206" spans="1:12">
      <c r="A206" t="str">
        <f>'ERP_AP7 Macro Failed'!A208</f>
        <v>L-ERP-439</v>
      </c>
      <c r="B206" t="str">
        <f>'ERP_AP7 Macro Failed'!D208</f>
        <v>Dougherty, Chris</v>
      </c>
      <c r="C206" t="str">
        <f>'ERP_AP7 Macro Failed'!E208</f>
        <v>Meadows, Leslie</v>
      </c>
      <c r="D206" t="str">
        <f>'ERP_AP7 Macro Failed'!G208</f>
        <v>CONTRACTORS</v>
      </c>
      <c r="E206" t="str">
        <f>'ERP_AP7 Macro Failed'!H208</f>
        <v>SSCS Services (Karla)_XFR0954 &amp; XFR0934 &amp; XFR0932 &amp; XFR0913 &amp; XFR0940 &amp; XFR0941</v>
      </c>
      <c r="F206">
        <f>'ERP_AP7 Macro Failed'!I208</f>
        <v>0</v>
      </c>
      <c r="G206" t="str">
        <f>'ERP_AP7 Macro Failed'!K208</f>
        <v>IT-CTR0044-OG-US-00</v>
      </c>
      <c r="H206" s="487" t="e" cm="1">
        <f t="array" ref="H206">SUMPRODUCT((ERP[UID]=A206)*(ERP[AP01]+ERP[AP02]+ERP[AP03]+ERP[AP04]+ERP[AP05]))</f>
        <v>#VALUE!</v>
      </c>
      <c r="I206" s="487" cm="1">
        <f t="array" ref="I206">SUMPRODUCT((ERP[UID]=A206)*(ERP[AP01 LE2]+ERP[AP02 LE2]+ERP[AP03 LE2]+ERP[AP04 LE2]+ERP[AP05 LE2]))</f>
        <v>178578</v>
      </c>
      <c r="J206" s="487">
        <f>'ERP_AP7 Macro Failed'!AL208</f>
        <v>-131967.45000000001</v>
      </c>
      <c r="K206" t="str">
        <f t="shared" si="6"/>
        <v>MATERIAL</v>
      </c>
      <c r="L206" t="str">
        <f t="shared" si="7"/>
        <v>YES</v>
      </c>
    </row>
    <row r="207" spans="1:12">
      <c r="A207" t="str">
        <f>'ERP_AP7 Macro Failed'!A209</f>
        <v>L-ERP-143</v>
      </c>
      <c r="B207" t="str">
        <f>'ERP_AP7 Macro Failed'!D209</f>
        <v>Hase, Raj</v>
      </c>
      <c r="C207" t="str">
        <f>'ERP_AP7 Macro Failed'!E209</f>
        <v>Ganesan, Srinivasan</v>
      </c>
      <c r="D207" t="str">
        <f>'ERP_AP7 Macro Failed'!G209</f>
        <v>CONTRACTORS</v>
      </c>
      <c r="E207" t="str">
        <f>'ERP_AP7 Macro Failed'!H209</f>
        <v>Logistics Cyclical Counting Calendar Mexico</v>
      </c>
      <c r="F207">
        <f>'ERP_AP7 Macro Failed'!I209</f>
        <v>0</v>
      </c>
      <c r="G207" t="str">
        <f>'ERP_AP7 Macro Failed'!K209</f>
        <v>IT-CTR0075-OG-MX-00</v>
      </c>
      <c r="H207" s="487" t="e" cm="1">
        <f t="array" ref="H207">SUMPRODUCT((ERP[UID]=A207)*(ERP[AP01]+ERP[AP02]+ERP[AP03]+ERP[AP04]+ERP[AP05]))</f>
        <v>#VALUE!</v>
      </c>
      <c r="I207" s="487" cm="1">
        <f t="array" ref="I207">SUMPRODUCT((ERP[UID]=A207)*(ERP[AP01 LE2]+ERP[AP02 LE2]+ERP[AP03 LE2]+ERP[AP04 LE2]+ERP[AP05 LE2]))</f>
        <v>0</v>
      </c>
      <c r="J207" s="487">
        <f>'ERP_AP7 Macro Failed'!AL209</f>
        <v>0</v>
      </c>
      <c r="K207" t="str">
        <f t="shared" si="6"/>
        <v>Immaterial</v>
      </c>
      <c r="L207" t="str">
        <f t="shared" si="7"/>
        <v>No</v>
      </c>
    </row>
    <row r="208" spans="1:12">
      <c r="A208" t="str">
        <f>'ERP_AP7 Macro Failed'!A210</f>
        <v>L-ERP-144</v>
      </c>
      <c r="B208" t="str">
        <f>'ERP_AP7 Macro Failed'!D210</f>
        <v>Hase, Raj</v>
      </c>
      <c r="C208" t="str">
        <f>'ERP_AP7 Macro Failed'!E210</f>
        <v>Ganesan, Srinivasan</v>
      </c>
      <c r="D208" t="str">
        <f>'ERP_AP7 Macro Failed'!G210</f>
        <v>CONTRACTORS</v>
      </c>
      <c r="E208" t="str">
        <f>'ERP_AP7 Macro Failed'!H210</f>
        <v>Logistics Financial Reserve in Mexico</v>
      </c>
      <c r="F208">
        <f>'ERP_AP7 Macro Failed'!I210</f>
        <v>0</v>
      </c>
      <c r="G208" t="str">
        <f>'ERP_AP7 Macro Failed'!K210</f>
        <v>IT-CTR0076-OG-MX-00</v>
      </c>
      <c r="H208" s="487" t="e" cm="1">
        <f t="array" ref="H208">SUMPRODUCT((ERP[UID]=A208)*(ERP[AP01]+ERP[AP02]+ERP[AP03]+ERP[AP04]+ERP[AP05]))</f>
        <v>#VALUE!</v>
      </c>
      <c r="I208" s="487" cm="1">
        <f t="array" ref="I208">SUMPRODUCT((ERP[UID]=A208)*(ERP[AP01 LE2]+ERP[AP02 LE2]+ERP[AP03 LE2]+ERP[AP04 LE2]+ERP[AP05 LE2]))</f>
        <v>0</v>
      </c>
      <c r="J208" s="487">
        <f>'ERP_AP7 Macro Failed'!AL210</f>
        <v>0</v>
      </c>
      <c r="K208" t="str">
        <f t="shared" si="6"/>
        <v>Immaterial</v>
      </c>
      <c r="L208" t="str">
        <f t="shared" si="7"/>
        <v>No</v>
      </c>
    </row>
    <row r="209" spans="1:12">
      <c r="A209" t="str">
        <f>'ERP_AP7 Macro Failed'!A211</f>
        <v>L-ERP-145</v>
      </c>
      <c r="B209" t="str">
        <f>'ERP_AP7 Macro Failed'!D211</f>
        <v>Hase, Raj</v>
      </c>
      <c r="C209" t="str">
        <f>'ERP_AP7 Macro Failed'!E211</f>
        <v>Ganesan, Srinivasan</v>
      </c>
      <c r="D209" t="str">
        <f>'ERP_AP7 Macro Failed'!G211</f>
        <v>CONTRACTORS</v>
      </c>
      <c r="E209" t="str">
        <f>'ERP_AP7 Macro Failed'!H211</f>
        <v>Logistics LATAM Support</v>
      </c>
      <c r="F209">
        <f>'ERP_AP7 Macro Failed'!I211</f>
        <v>0</v>
      </c>
      <c r="G209" t="str">
        <f>'ERP_AP7 Macro Failed'!K211</f>
        <v>IT-CTR0077-OG-MX-00</v>
      </c>
      <c r="H209" s="487" t="e" cm="1">
        <f t="array" ref="H209">SUMPRODUCT((ERP[UID]=A209)*(ERP[AP01]+ERP[AP02]+ERP[AP03]+ERP[AP04]+ERP[AP05]))</f>
        <v>#VALUE!</v>
      </c>
      <c r="I209" s="487" cm="1">
        <f t="array" ref="I209">SUMPRODUCT((ERP[UID]=A209)*(ERP[AP01 LE2]+ERP[AP02 LE2]+ERP[AP03 LE2]+ERP[AP04 LE2]+ERP[AP05 LE2]))</f>
        <v>0</v>
      </c>
      <c r="J209" s="487">
        <f>'ERP_AP7 Macro Failed'!AL211</f>
        <v>0</v>
      </c>
      <c r="K209" t="str">
        <f t="shared" si="6"/>
        <v>Immaterial</v>
      </c>
      <c r="L209" t="str">
        <f t="shared" si="7"/>
        <v>No</v>
      </c>
    </row>
    <row r="210" spans="1:12">
      <c r="A210" t="str">
        <f>'ERP_AP7 Macro Failed'!A212</f>
        <v>L-ERP-394</v>
      </c>
      <c r="B210" t="str">
        <f>'ERP_AP7 Macro Failed'!D212</f>
        <v>McGettigan, David</v>
      </c>
      <c r="C210" t="str">
        <f>'ERP_AP7 Macro Failed'!E212</f>
        <v>McGettigan, David</v>
      </c>
      <c r="D210" t="str">
        <f>'ERP_AP7 Macro Failed'!G212</f>
        <v>CONTRACTORS</v>
      </c>
      <c r="E210" t="str">
        <f>'ERP_AP7 Macro Failed'!H212</f>
        <v>EPS200126_Accrual reversal as result Dell/EMC buyout 2321210 DM</v>
      </c>
      <c r="F210">
        <f>'ERP_AP7 Macro Failed'!I212</f>
        <v>0</v>
      </c>
      <c r="G210" t="str">
        <f>'ERP_AP7 Macro Failed'!K212</f>
        <v>IT-CTR0089-OG-US-00</v>
      </c>
      <c r="H210" s="487" t="e" cm="1">
        <f t="array" ref="H210">SUMPRODUCT((ERP[UID]=A210)*(ERP[AP01]+ERP[AP02]+ERP[AP03]+ERP[AP04]+ERP[AP05]))</f>
        <v>#VALUE!</v>
      </c>
      <c r="I210" s="487" cm="1">
        <f t="array" ref="I210">SUMPRODUCT((ERP[UID]=A210)*(ERP[AP01 LE2]+ERP[AP02 LE2]+ERP[AP03 LE2]+ERP[AP04 LE2]+ERP[AP05 LE2]))</f>
        <v>0</v>
      </c>
      <c r="J210" s="487">
        <f>'ERP_AP7 Macro Failed'!AL212</f>
        <v>0</v>
      </c>
      <c r="K210" t="str">
        <f t="shared" si="6"/>
        <v>Immaterial</v>
      </c>
      <c r="L210" t="str">
        <f t="shared" si="7"/>
        <v>No</v>
      </c>
    </row>
    <row r="211" spans="1:12">
      <c r="A211" t="str">
        <f>'ERP_AP7 Macro Failed'!A213</f>
        <v>L-ERP-241</v>
      </c>
      <c r="B211" t="str">
        <f>'ERP_AP7 Macro Failed'!D213</f>
        <v>Hase, Raj</v>
      </c>
      <c r="C211" t="str">
        <f>'ERP_AP7 Macro Failed'!E213</f>
        <v>Jajodia, Amit</v>
      </c>
      <c r="D211" t="str">
        <f>'ERP_AP7 Macro Failed'!G213</f>
        <v>CONTRACTORS</v>
      </c>
      <c r="E211" t="str">
        <f>'ERP_AP7 Macro Failed'!H213</f>
        <v>Enterprise Integration MTES</v>
      </c>
      <c r="F211">
        <f>'ERP_AP7 Macro Failed'!I213</f>
        <v>0</v>
      </c>
      <c r="G211" t="str">
        <f>'ERP_AP7 Macro Failed'!K213</f>
        <v>IT-CTR0090-OG-US-00</v>
      </c>
      <c r="H211" s="487" t="e" cm="1">
        <f t="array" ref="H211">SUMPRODUCT((ERP[UID]=A211)*(ERP[AP01]+ERP[AP02]+ERP[AP03]+ERP[AP04]+ERP[AP05]))</f>
        <v>#VALUE!</v>
      </c>
      <c r="I211" s="487" cm="1">
        <f t="array" ref="I211">SUMPRODUCT((ERP[UID]=A211)*(ERP[AP01 LE2]+ERP[AP02 LE2]+ERP[AP03 LE2]+ERP[AP04 LE2]+ERP[AP05 LE2]))</f>
        <v>4554</v>
      </c>
      <c r="J211" s="487">
        <f>'ERP_AP7 Macro Failed'!AL213</f>
        <v>-4554</v>
      </c>
      <c r="K211" t="str">
        <f t="shared" si="6"/>
        <v>Minor</v>
      </c>
      <c r="L211" t="str">
        <f t="shared" si="7"/>
        <v>No</v>
      </c>
    </row>
    <row r="212" spans="1:12">
      <c r="A212" t="str">
        <f>'ERP_AP7 Macro Failed'!A214</f>
        <v>L-ERP-323</v>
      </c>
      <c r="B212" t="str">
        <f>'ERP_AP7 Macro Failed'!D214</f>
        <v>Dougherty, Chris</v>
      </c>
      <c r="C212" t="str">
        <f>'ERP_AP7 Macro Failed'!E214</f>
        <v>Maguire, Karla</v>
      </c>
      <c r="D212" t="str">
        <f>'ERP_AP7 Macro Failed'!G214</f>
        <v>CONTRACTORS</v>
      </c>
      <c r="E212" t="str">
        <f>'ERP_AP7 Macro Failed'!H214</f>
        <v>*RonMendler*_EPS203076 - Edicom CR Recepcion Enero-Diciembre 2025</v>
      </c>
      <c r="F212">
        <f>'ERP_AP7 Macro Failed'!I214</f>
        <v>0</v>
      </c>
      <c r="G212" t="str">
        <f>'ERP_AP7 Macro Failed'!K214</f>
        <v>IT-CTR0067-OG-CR-00</v>
      </c>
      <c r="H212" s="487" t="e" cm="1">
        <f t="array" ref="H212">SUMPRODUCT((ERP[UID]=A212)*(ERP[AP01]+ERP[AP02]+ERP[AP03]+ERP[AP04]+ERP[AP05]))</f>
        <v>#VALUE!</v>
      </c>
      <c r="I212" s="487" cm="1">
        <f t="array" ref="I212">SUMPRODUCT((ERP[UID]=A212)*(ERP[AP01 LE2]+ERP[AP02 LE2]+ERP[AP03 LE2]+ERP[AP04 LE2]+ERP[AP05 LE2]))</f>
        <v>214.49</v>
      </c>
      <c r="J212" s="487">
        <f>'ERP_AP7 Macro Failed'!AL214</f>
        <v>0</v>
      </c>
      <c r="K212" t="str">
        <f t="shared" si="6"/>
        <v>Immaterial</v>
      </c>
      <c r="L212" t="str">
        <f t="shared" si="7"/>
        <v>No</v>
      </c>
    </row>
    <row r="213" spans="1:12">
      <c r="A213" t="str">
        <f>'ERP_AP7 Macro Failed'!A215</f>
        <v>L-ERP-348</v>
      </c>
      <c r="B213" t="str">
        <f>'ERP_AP7 Macro Failed'!D215</f>
        <v>Dougherty, Chris</v>
      </c>
      <c r="C213" t="str">
        <f>'ERP_AP7 Macro Failed'!E215</f>
        <v>McCormick, Pete</v>
      </c>
      <c r="D213" t="str">
        <f>'ERP_AP7 Macro Failed'!G215</f>
        <v>CONTRACTORS</v>
      </c>
      <c r="E213" t="str">
        <f>'ERP_AP7 Macro Failed'!H215</f>
        <v>SAP Platform Engineers (Judge)</v>
      </c>
      <c r="F213">
        <f>'ERP_AP7 Macro Failed'!I215</f>
        <v>0</v>
      </c>
      <c r="G213" t="str">
        <f>'ERP_AP7 Macro Failed'!K215</f>
        <v>IT-CTR0093-OG-US-00</v>
      </c>
      <c r="H213" s="487" t="e" cm="1">
        <f t="array" ref="H213">SUMPRODUCT((ERP[UID]=A213)*(ERP[AP01]+ERP[AP02]+ERP[AP03]+ERP[AP04]+ERP[AP05]))</f>
        <v>#VALUE!</v>
      </c>
      <c r="I213" s="487" cm="1">
        <f t="array" ref="I213">SUMPRODUCT((ERP[UID]=A213)*(ERP[AP01 LE2]+ERP[AP02 LE2]+ERP[AP03 LE2]+ERP[AP04 LE2]+ERP[AP05 LE2]))</f>
        <v>194955.24</v>
      </c>
      <c r="J213" s="487">
        <f>'ERP_AP7 Macro Failed'!AL215</f>
        <v>11561.680000000022</v>
      </c>
      <c r="K213" t="str">
        <f t="shared" si="6"/>
        <v>MATERIAL</v>
      </c>
      <c r="L213" t="str">
        <f t="shared" si="7"/>
        <v>YES</v>
      </c>
    </row>
    <row r="214" spans="1:12">
      <c r="A214" t="str">
        <f>'ERP_AP7 Macro Failed'!A216</f>
        <v>L-ERP-108</v>
      </c>
      <c r="B214" t="str">
        <f>'ERP_AP7 Macro Failed'!D216</f>
        <v>Dougherty, Chris</v>
      </c>
      <c r="C214" t="str">
        <f>'ERP_AP7 Macro Failed'!E216</f>
        <v>Dougherty, Chris</v>
      </c>
      <c r="D214" t="str">
        <f>'ERP_AP7 Macro Failed'!G216</f>
        <v>CONTRACTORS</v>
      </c>
      <c r="E214" t="str">
        <f>'ERP_AP7 Macro Failed'!H216</f>
        <v>BPAI Axway B2Bi - L4 Engineer (ML-0024)</v>
      </c>
      <c r="F214" t="str">
        <f>'ERP_AP7 Macro Failed'!I216</f>
        <v>åŒ—äº¬å¾®ç§‘ç§‘æŠ€æœ‰é™å…¬å¸</v>
      </c>
      <c r="G214" t="str">
        <f>'ERP_AP7 Macro Failed'!K216</f>
        <v>IT-CTR0094-OG-US-00</v>
      </c>
      <c r="H214" s="487" t="e" cm="1">
        <f t="array" ref="H214">SUMPRODUCT((ERP[UID]=A214)*(ERP[AP01]+ERP[AP02]+ERP[AP03]+ERP[AP04]+ERP[AP05]))</f>
        <v>#VALUE!</v>
      </c>
      <c r="I214" s="487" cm="1">
        <f t="array" ref="I214">SUMPRODUCT((ERP[UID]=A214)*(ERP[AP01 LE2]+ERP[AP02 LE2]+ERP[AP03 LE2]+ERP[AP04 LE2]+ERP[AP05 LE2]))</f>
        <v>78423.06</v>
      </c>
      <c r="J214" s="487">
        <f>'ERP_AP7 Macro Failed'!AL216</f>
        <v>6007</v>
      </c>
      <c r="K214" t="str">
        <f t="shared" si="6"/>
        <v>Minor</v>
      </c>
      <c r="L214" t="str">
        <f t="shared" si="7"/>
        <v>No</v>
      </c>
    </row>
    <row r="215" spans="1:12">
      <c r="A215" t="str">
        <f>'ERP_AP7 Macro Failed'!A217</f>
        <v>L-ERP-109</v>
      </c>
      <c r="B215" t="str">
        <f>'ERP_AP7 Macro Failed'!D217</f>
        <v>Dougherty, Chris</v>
      </c>
      <c r="C215" t="str">
        <f>'ERP_AP7 Macro Failed'!E217</f>
        <v>Dougherty, Chris</v>
      </c>
      <c r="D215" t="str">
        <f>'ERP_AP7 Macro Failed'!G217</f>
        <v>CONTRACTORS</v>
      </c>
      <c r="E215" t="str">
        <f>'ERP_AP7 Macro Failed'!H217</f>
        <v>SAP PI L4 Engineer</v>
      </c>
      <c r="F215" t="str">
        <f>'ERP_AP7 Macro Failed'!I217</f>
        <v>MPHASIS CORPORATION</v>
      </c>
      <c r="G215" t="str">
        <f>'ERP_AP7 Macro Failed'!K217</f>
        <v>IT-CTR0096-OG-US-00</v>
      </c>
      <c r="H215" s="487" t="e" cm="1">
        <f t="array" ref="H215">SUMPRODUCT((ERP[UID]=A215)*(ERP[AP01]+ERP[AP02]+ERP[AP03]+ERP[AP04]+ERP[AP05]))</f>
        <v>#VALUE!</v>
      </c>
      <c r="I215" s="487" cm="1">
        <f t="array" ref="I215">SUMPRODUCT((ERP[UID]=A215)*(ERP[AP01 LE2]+ERP[AP02 LE2]+ERP[AP03 LE2]+ERP[AP04 LE2]+ERP[AP05 LE2]))</f>
        <v>97277.4</v>
      </c>
      <c r="J215" s="487">
        <f>'ERP_AP7 Macro Failed'!AL217</f>
        <v>122.04000000000815</v>
      </c>
      <c r="K215" t="str">
        <f t="shared" si="6"/>
        <v>Immaterial</v>
      </c>
      <c r="L215" t="str">
        <f t="shared" si="7"/>
        <v>No</v>
      </c>
    </row>
    <row r="216" spans="1:12">
      <c r="A216" t="str">
        <f>'ERP_AP7 Macro Failed'!A218</f>
        <v>L-ERP-050</v>
      </c>
      <c r="B216" t="str">
        <f>'ERP_AP7 Macro Failed'!D218</f>
        <v>Dougherty, Chris</v>
      </c>
      <c r="C216" t="str">
        <f>'ERP_AP7 Macro Failed'!E218</f>
        <v>Dougherty, Chris</v>
      </c>
      <c r="D216" t="str">
        <f>'ERP_AP7 Macro Failed'!G218</f>
        <v>CONTRACTORS</v>
      </c>
      <c r="E216" t="str">
        <f>'ERP_AP7 Macro Failed'!H218</f>
        <v>BPAI IBM B2Bi - GMFT L4 Engineer (ML-0738)</v>
      </c>
      <c r="F216" t="str">
        <f>'ERP_AP7 Macro Failed'!I218</f>
        <v>JUDGE TECHNICAL STAFFING</v>
      </c>
      <c r="G216" t="str">
        <f>'ERP_AP7 Macro Failed'!K218</f>
        <v>IT-CTR0097-OG-US-00</v>
      </c>
      <c r="H216" s="487" t="e" cm="1">
        <f t="array" ref="H216">SUMPRODUCT((ERP[UID]=A216)*(ERP[AP01]+ERP[AP02]+ERP[AP03]+ERP[AP04]+ERP[AP05]))</f>
        <v>#VALUE!</v>
      </c>
      <c r="I216" s="487" cm="1">
        <f t="array" ref="I216">SUMPRODUCT((ERP[UID]=A216)*(ERP[AP01 LE2]+ERP[AP02 LE2]+ERP[AP03 LE2]+ERP[AP04 LE2]+ERP[AP05 LE2]))</f>
        <v>89310.299999999988</v>
      </c>
      <c r="J216" s="487">
        <f>'ERP_AP7 Macro Failed'!AL218</f>
        <v>-42222.299999999988</v>
      </c>
      <c r="K216" t="str">
        <f t="shared" si="6"/>
        <v>MATERIAL</v>
      </c>
      <c r="L216" t="str">
        <f t="shared" si="7"/>
        <v>YES</v>
      </c>
    </row>
    <row r="217" spans="1:12">
      <c r="A217" t="str">
        <f>'ERP_AP7 Macro Failed'!A219</f>
        <v>L-ERP-051</v>
      </c>
      <c r="B217" t="str">
        <f>'ERP_AP7 Macro Failed'!D219</f>
        <v>Dougherty, Chris</v>
      </c>
      <c r="C217" t="str">
        <f>'ERP_AP7 Macro Failed'!E219</f>
        <v>Dougherty, Chris</v>
      </c>
      <c r="D217" t="str">
        <f>'ERP_AP7 Macro Failed'!G219</f>
        <v>CONTRACTORS</v>
      </c>
      <c r="E217" t="str">
        <f>'ERP_AP7 Macro Failed'!H219</f>
        <v>BPAI IBM B2Bi - EDI L4 Engineer (ML-0728)</v>
      </c>
      <c r="F217" t="str">
        <f>'ERP_AP7 Macro Failed'!I219</f>
        <v>COMBINED COMPUTER RESOURCES INC</v>
      </c>
      <c r="G217" t="str">
        <f>'ERP_AP7 Macro Failed'!K219</f>
        <v>IT-CTR0098-OG-US-00</v>
      </c>
      <c r="H217" s="487" t="e" cm="1">
        <f t="array" ref="H217">SUMPRODUCT((ERP[UID]=A217)*(ERP[AP01]+ERP[AP02]+ERP[AP03]+ERP[AP04]+ERP[AP05]))</f>
        <v>#VALUE!</v>
      </c>
      <c r="I217" s="487" cm="1">
        <f t="array" ref="I217">SUMPRODUCT((ERP[UID]=A217)*(ERP[AP01 LE2]+ERP[AP02 LE2]+ERP[AP03 LE2]+ERP[AP04 LE2]+ERP[AP05 LE2]))</f>
        <v>76457.149999999994</v>
      </c>
      <c r="J217" s="487">
        <f>'ERP_AP7 Macro Failed'!AL219</f>
        <v>21819.739999999991</v>
      </c>
      <c r="K217" t="str">
        <f t="shared" si="6"/>
        <v>MATERIAL</v>
      </c>
      <c r="L217" t="str">
        <f t="shared" si="7"/>
        <v>YES</v>
      </c>
    </row>
    <row r="218" spans="1:12">
      <c r="A218" t="str">
        <f>'ERP_AP7 Macro Failed'!A220</f>
        <v>L-ERP-052</v>
      </c>
      <c r="B218" t="str">
        <f>'ERP_AP7 Macro Failed'!D220</f>
        <v>Dougherty, Chris</v>
      </c>
      <c r="C218" t="str">
        <f>'ERP_AP7 Macro Failed'!E220</f>
        <v>Dougherty, Chris</v>
      </c>
      <c r="D218" t="str">
        <f>'ERP_AP7 Macro Failed'!G220</f>
        <v>CONTRACTORS</v>
      </c>
      <c r="E218" t="str">
        <f>'ERP_AP7 Macro Failed'!H220</f>
        <v>BPAI MQ/MB - L4 Engineer (ML-0730)</v>
      </c>
      <c r="F218" t="str">
        <f>'ERP_AP7 Macro Failed'!I220</f>
        <v>ACCENTURE LLP</v>
      </c>
      <c r="G218" t="str">
        <f>'ERP_AP7 Macro Failed'!K220</f>
        <v>IT-CTR0099-OG-US-00</v>
      </c>
      <c r="H218" s="487" t="e" cm="1">
        <f t="array" ref="H218">SUMPRODUCT((ERP[UID]=A218)*(ERP[AP01]+ERP[AP02]+ERP[AP03]+ERP[AP04]+ERP[AP05]))</f>
        <v>#VALUE!</v>
      </c>
      <c r="I218" s="487" cm="1">
        <f t="array" ref="I218">SUMPRODUCT((ERP[UID]=A218)*(ERP[AP01 LE2]+ERP[AP02 LE2]+ERP[AP03 LE2]+ERP[AP04 LE2]+ERP[AP05 LE2]))</f>
        <v>59991.509999999995</v>
      </c>
      <c r="J218" s="487">
        <f>'ERP_AP7 Macro Failed'!AL220</f>
        <v>5554.5099999999948</v>
      </c>
      <c r="K218" t="str">
        <f t="shared" si="6"/>
        <v>Minor</v>
      </c>
      <c r="L218" t="str">
        <f t="shared" si="7"/>
        <v>No</v>
      </c>
    </row>
    <row r="219" spans="1:12">
      <c r="A219" t="str">
        <f>'ERP_AP7 Macro Failed'!A221</f>
        <v>L-ERP-081</v>
      </c>
      <c r="B219" t="str">
        <f>'ERP_AP7 Macro Failed'!D221</f>
        <v>Dougherty, Chris</v>
      </c>
      <c r="C219" t="str">
        <f>'ERP_AP7 Macro Failed'!E221</f>
        <v>Dougherty, Chris</v>
      </c>
      <c r="D219" t="str">
        <f>'ERP_AP7 Macro Failed'!G221</f>
        <v>CONTRACTORS</v>
      </c>
      <c r="E219" t="str">
        <f>'ERP_AP7 Macro Failed'!H221</f>
        <v>BPAI IBM B2Bi - GMFT L4 Engineer (ML-0732)</v>
      </c>
      <c r="F219" t="str">
        <f>'ERP_AP7 Macro Failed'!I221</f>
        <v>INFOSYS LIMITED</v>
      </c>
      <c r="G219" t="str">
        <f>'ERP_AP7 Macro Failed'!K221</f>
        <v>IT-CTR0101-OG-US-00</v>
      </c>
      <c r="H219" s="487" t="e" cm="1">
        <f t="array" ref="H219">SUMPRODUCT((ERP[UID]=A219)*(ERP[AP01]+ERP[AP02]+ERP[AP03]+ERP[AP04]+ERP[AP05]))</f>
        <v>#VALUE!</v>
      </c>
      <c r="I219" s="487" cm="1">
        <f t="array" ref="I219">SUMPRODUCT((ERP[UID]=A219)*(ERP[AP01 LE2]+ERP[AP02 LE2]+ERP[AP03 LE2]+ERP[AP04 LE2]+ERP[AP05 LE2]))</f>
        <v>44251.67</v>
      </c>
      <c r="J219" s="487">
        <f>'ERP_AP7 Macro Failed'!AL221</f>
        <v>3754.2600000000093</v>
      </c>
      <c r="K219" t="str">
        <f t="shared" si="6"/>
        <v>Minor</v>
      </c>
      <c r="L219" t="str">
        <f t="shared" si="7"/>
        <v>No</v>
      </c>
    </row>
    <row r="220" spans="1:12">
      <c r="A220" t="str">
        <f>'ERP_AP7 Macro Failed'!A222</f>
        <v>L-ERP-082</v>
      </c>
      <c r="B220" t="str">
        <f>'ERP_AP7 Macro Failed'!D222</f>
        <v>Dougherty, Chris</v>
      </c>
      <c r="C220" t="str">
        <f>'ERP_AP7 Macro Failed'!E222</f>
        <v>Dougherty, Chris</v>
      </c>
      <c r="D220" t="str">
        <f>'ERP_AP7 Macro Failed'!G222</f>
        <v>CONTRACTORS</v>
      </c>
      <c r="E220" t="str">
        <f>'ERP_AP7 Macro Failed'!H222</f>
        <v>BPAI AutoSys/UC4 - L4 Engineer (ML-0733)</v>
      </c>
      <c r="F220" t="str">
        <f>'ERP_AP7 Macro Failed'!I222</f>
        <v>INFOSYS LIMITED</v>
      </c>
      <c r="G220" t="str">
        <f>'ERP_AP7 Macro Failed'!K222</f>
        <v>IT-CTR0102-OG-US-00</v>
      </c>
      <c r="H220" s="487" t="e" cm="1">
        <f t="array" ref="H220">SUMPRODUCT((ERP[UID]=A220)*(ERP[AP01]+ERP[AP02]+ERP[AP03]+ERP[AP04]+ERP[AP05]))</f>
        <v>#VALUE!</v>
      </c>
      <c r="I220" s="487" cm="1">
        <f t="array" ref="I220">SUMPRODUCT((ERP[UID]=A220)*(ERP[AP01 LE2]+ERP[AP02 LE2]+ERP[AP03 LE2]+ERP[AP04 LE2]+ERP[AP05 LE2]))</f>
        <v>40879.130000000005</v>
      </c>
      <c r="J220" s="487">
        <f>'ERP_AP7 Macro Failed'!AL222</f>
        <v>520.85999999999331</v>
      </c>
      <c r="K220" t="str">
        <f t="shared" si="6"/>
        <v>Immaterial</v>
      </c>
      <c r="L220" t="str">
        <f t="shared" si="7"/>
        <v>No</v>
      </c>
    </row>
    <row r="221" spans="1:12">
      <c r="A221" t="str">
        <f>'ERP_AP7 Macro Failed'!A223</f>
        <v>L-ERP-083</v>
      </c>
      <c r="B221" t="str">
        <f>'ERP_AP7 Macro Failed'!D223</f>
        <v>Dougherty, Chris</v>
      </c>
      <c r="C221" t="str">
        <f>'ERP_AP7 Macro Failed'!E223</f>
        <v>Dougherty, Chris</v>
      </c>
      <c r="D221" t="str">
        <f>'ERP_AP7 Macro Failed'!G223</f>
        <v>CONTRACTORS</v>
      </c>
      <c r="E221" t="str">
        <f>'ERP_AP7 Macro Failed'!H223</f>
        <v>BPAI Cross-Functional Audit Specialist (ML-0735)</v>
      </c>
      <c r="F221" t="str">
        <f>'ERP_AP7 Macro Failed'!I223</f>
        <v>JUDGE TECHNICAL STAFFING</v>
      </c>
      <c r="G221" t="str">
        <f>'ERP_AP7 Macro Failed'!K223</f>
        <v>IT-CTR0103-OG-US-00</v>
      </c>
      <c r="H221" s="487" t="e" cm="1">
        <f t="array" ref="H221">SUMPRODUCT((ERP[UID]=A221)*(ERP[AP01]+ERP[AP02]+ERP[AP03]+ERP[AP04]+ERP[AP05]))</f>
        <v>#VALUE!</v>
      </c>
      <c r="I221" s="487" cm="1">
        <f t="array" ref="I221">SUMPRODUCT((ERP[UID]=A221)*(ERP[AP01 LE2]+ERP[AP02 LE2]+ERP[AP03 LE2]+ERP[AP04 LE2]+ERP[AP05 LE2]))</f>
        <v>34593.699999999997</v>
      </c>
      <c r="J221" s="487">
        <f>'ERP_AP7 Macro Failed'!AL223</f>
        <v>-285.99999999999272</v>
      </c>
      <c r="K221" t="str">
        <f t="shared" si="6"/>
        <v>Immaterial</v>
      </c>
      <c r="L221" t="str">
        <f t="shared" si="7"/>
        <v>No</v>
      </c>
    </row>
    <row r="222" spans="1:12">
      <c r="A222" t="str">
        <f>'ERP_AP7 Macro Failed'!A224</f>
        <v>L-ERP-423</v>
      </c>
      <c r="B222" t="str">
        <f>'ERP_AP7 Macro Failed'!D224</f>
        <v>McGettigan, David</v>
      </c>
      <c r="C222" t="str">
        <f>'ERP_AP7 Macro Failed'!E224</f>
        <v>McGettigan, David</v>
      </c>
      <c r="D222" t="str">
        <f>'ERP_AP7 Macro Failed'!G224</f>
        <v>CONTRACTORS</v>
      </c>
      <c r="E222" t="str">
        <f>'ERP_AP7 Macro Failed'!H224</f>
        <v>Executive Coaching for LT</v>
      </c>
      <c r="F222">
        <f>'ERP_AP7 Macro Failed'!I224</f>
        <v>0</v>
      </c>
      <c r="G222" t="str">
        <f>'ERP_AP7 Macro Failed'!K224</f>
        <v>IT-CTR0124-OT-US-00</v>
      </c>
      <c r="H222" s="487" t="e" cm="1">
        <f t="array" ref="H222">SUMPRODUCT((ERP[UID]=A222)*(ERP[AP01]+ERP[AP02]+ERP[AP03]+ERP[AP04]+ERP[AP05]))</f>
        <v>#VALUE!</v>
      </c>
      <c r="I222" s="487" cm="1">
        <f t="array" ref="I222">SUMPRODUCT((ERP[UID]=A222)*(ERP[AP01 LE2]+ERP[AP02 LE2]+ERP[AP03 LE2]+ERP[AP04 LE2]+ERP[AP05 LE2]))</f>
        <v>50489.729999999996</v>
      </c>
      <c r="J222" s="487">
        <f>'ERP_AP7 Macro Failed'!AL224</f>
        <v>16442.500000000015</v>
      </c>
      <c r="K222" t="str">
        <f t="shared" si="6"/>
        <v>MATERIAL</v>
      </c>
      <c r="L222" t="str">
        <f t="shared" si="7"/>
        <v>YES</v>
      </c>
    </row>
    <row r="223" spans="1:12">
      <c r="A223" t="str">
        <f>'ERP_AP7 Macro Failed'!A225</f>
        <v>L-ERP-440</v>
      </c>
      <c r="B223" t="str">
        <f>'ERP_AP7 Macro Failed'!D225</f>
        <v>Dougherty, Chris</v>
      </c>
      <c r="C223" t="str">
        <f>'ERP_AP7 Macro Failed'!E225</f>
        <v>Meadows, Leslie</v>
      </c>
      <c r="D223" t="str">
        <f>'ERP_AP7 Macro Failed'!G225</f>
        <v>CONTRACTORS</v>
      </c>
      <c r="E223" t="str">
        <f>'ERP_AP7 Macro Failed'!H225</f>
        <v>Chargeback / ERP Change Management Solution PA APP</v>
      </c>
      <c r="F223">
        <f>'ERP_AP7 Macro Failed'!I225</f>
        <v>0</v>
      </c>
      <c r="G223" t="str">
        <f>'ERP_AP7 Macro Failed'!K225</f>
        <v>IT-CTR0105-OG-US-00</v>
      </c>
      <c r="H223" s="487" t="e" cm="1">
        <f t="array" ref="H223">SUMPRODUCT((ERP[UID]=A223)*(ERP[AP01]+ERP[AP02]+ERP[AP03]+ERP[AP04]+ERP[AP05]))</f>
        <v>#VALUE!</v>
      </c>
      <c r="I223" s="487" cm="1">
        <f t="array" ref="I223">SUMPRODUCT((ERP[UID]=A223)*(ERP[AP01 LE2]+ERP[AP02 LE2]+ERP[AP03 LE2]+ERP[AP04 LE2]+ERP[AP05 LE2]))</f>
        <v>0</v>
      </c>
      <c r="J223" s="487">
        <f>'ERP_AP7 Macro Failed'!AL225</f>
        <v>0</v>
      </c>
      <c r="K223" t="str">
        <f t="shared" si="6"/>
        <v>Immaterial</v>
      </c>
      <c r="L223" t="str">
        <f t="shared" si="7"/>
        <v>No</v>
      </c>
    </row>
    <row r="224" spans="1:12">
      <c r="A224" t="str">
        <f>'ERP_AP7 Macro Failed'!A226</f>
        <v>L-ERP-366</v>
      </c>
      <c r="B224" t="str">
        <f>'ERP_AP7 Macro Failed'!D226</f>
        <v>Dougherty, Chris</v>
      </c>
      <c r="C224" t="str">
        <f>'ERP_AP7 Macro Failed'!E226</f>
        <v>McCormick, Pete</v>
      </c>
      <c r="D224" t="str">
        <f>'ERP_AP7 Macro Failed'!G226</f>
        <v>CONTRACTORS</v>
      </c>
      <c r="E224" t="str">
        <f>'ERP_AP7 Macro Failed'!H226</f>
        <v>SAP Basis Engineering Projects (IBM)</v>
      </c>
      <c r="F224">
        <f>'ERP_AP7 Macro Failed'!I226</f>
        <v>0</v>
      </c>
      <c r="G224" t="str">
        <f>'ERP_AP7 Macro Failed'!K226</f>
        <v>IT-CTR0130-OG-US-00</v>
      </c>
      <c r="H224" s="487" t="e" cm="1">
        <f t="array" ref="H224">SUMPRODUCT((ERP[UID]=A224)*(ERP[AP01]+ERP[AP02]+ERP[AP03]+ERP[AP04]+ERP[AP05]))</f>
        <v>#VALUE!</v>
      </c>
      <c r="I224" s="487" cm="1">
        <f t="array" ref="I224">SUMPRODUCT((ERP[UID]=A224)*(ERP[AP01 LE2]+ERP[AP02 LE2]+ERP[AP03 LE2]+ERP[AP04 LE2]+ERP[AP05 LE2]))</f>
        <v>148749.79999999999</v>
      </c>
      <c r="J224" s="487">
        <f>'ERP_AP7 Macro Failed'!AL226</f>
        <v>-2581.859999999986</v>
      </c>
      <c r="K224" t="str">
        <f t="shared" si="6"/>
        <v>Minor</v>
      </c>
      <c r="L224" t="str">
        <f t="shared" si="7"/>
        <v>No</v>
      </c>
    </row>
    <row r="225" spans="1:12">
      <c r="A225" t="str">
        <f>'ERP_AP7 Macro Failed'!A227</f>
        <v>L-ERP-084</v>
      </c>
      <c r="B225" t="str">
        <f>'ERP_AP7 Macro Failed'!D227</f>
        <v>Dougherty, Chris</v>
      </c>
      <c r="C225" t="str">
        <f>'ERP_AP7 Macro Failed'!E227</f>
        <v>Dougherty, Chris</v>
      </c>
      <c r="D225" t="str">
        <f>'ERP_AP7 Macro Failed'!G227</f>
        <v>CONTRACTORS</v>
      </c>
      <c r="E225" t="str">
        <f>'ERP_AP7 Macro Failed'!H227</f>
        <v>2026 SAP Max Attention Days</v>
      </c>
      <c r="F225" t="str">
        <f>'ERP_AP7 Macro Failed'!I227</f>
        <v>Prepaid - SAP AMERICA INC</v>
      </c>
      <c r="G225" t="str">
        <f>'ERP_AP7 Macro Failed'!K227</f>
        <v>IT-CTR0132-OT-US-00</v>
      </c>
      <c r="H225" s="487" t="e" cm="1">
        <f t="array" ref="H225">SUMPRODUCT((ERP[UID]=A225)*(ERP[AP01]+ERP[AP02]+ERP[AP03]+ERP[AP04]+ERP[AP05]))</f>
        <v>#VALUE!</v>
      </c>
      <c r="I225" s="487" cm="1">
        <f t="array" ref="I225">SUMPRODUCT((ERP[UID]=A225)*(ERP[AP01 LE2]+ERP[AP02 LE2]+ERP[AP03 LE2]+ERP[AP04 LE2]+ERP[AP05 LE2]))</f>
        <v>686395.36</v>
      </c>
      <c r="J225" s="487">
        <f>'ERP_AP7 Macro Failed'!AL227</f>
        <v>0.35999999998603016</v>
      </c>
      <c r="K225" t="str">
        <f t="shared" si="6"/>
        <v>Immaterial</v>
      </c>
      <c r="L225" t="str">
        <f t="shared" si="7"/>
        <v>No</v>
      </c>
    </row>
    <row r="226" spans="1:12">
      <c r="A226" t="str">
        <f>'ERP_AP7 Macro Failed'!A228</f>
        <v>N-ERP-503</v>
      </c>
      <c r="B226" t="str">
        <f>'ERP_AP7 Macro Failed'!D228</f>
        <v>Dougherty, Chris</v>
      </c>
      <c r="C226" t="str">
        <f>'ERP_AP7 Macro Failed'!E228</f>
        <v>Dougherty, Chris</v>
      </c>
      <c r="D226" t="str">
        <f>'ERP_AP7 Macro Failed'!G228</f>
        <v>CONTRACTORS</v>
      </c>
      <c r="E226" t="str">
        <f>'ERP_AP7 Macro Failed'!H228</f>
        <v>BDC Reclass - 2026 SAP Max Attention Days</v>
      </c>
      <c r="F226">
        <f>'ERP_AP7 Macro Failed'!I228</f>
        <v>0</v>
      </c>
      <c r="G226" t="str">
        <f>'ERP_AP7 Macro Failed'!K228</f>
        <v>IT-CTR0132-OT-US-00/BDC</v>
      </c>
      <c r="H226" s="487" t="e" cm="1">
        <f t="array" ref="H226">SUMPRODUCT((ERP[UID]=A226)*(ERP[AP01]+ERP[AP02]+ERP[AP03]+ERP[AP04]+ERP[AP05]))</f>
        <v>#VALUE!</v>
      </c>
      <c r="I226" s="487" cm="1">
        <f t="array" ref="I226">SUMPRODUCT((ERP[UID]=A226)*(ERP[AP01 LE2]+ERP[AP02 LE2]+ERP[AP03 LE2]+ERP[AP04 LE2]+ERP[AP05 LE2]))</f>
        <v>0</v>
      </c>
      <c r="J226" s="487">
        <f>'ERP_AP7 Macro Failed'!AL228</f>
        <v>0</v>
      </c>
      <c r="K226" t="str">
        <f t="shared" si="6"/>
        <v>Immaterial</v>
      </c>
      <c r="L226" t="str">
        <f t="shared" si="7"/>
        <v>No</v>
      </c>
    </row>
    <row r="227" spans="1:12">
      <c r="A227" t="str">
        <f>'ERP_AP7 Macro Failed'!A229</f>
        <v>N-ERP-504</v>
      </c>
      <c r="B227" t="str">
        <f>'ERP_AP7 Macro Failed'!D229</f>
        <v>Dougherty, Chris</v>
      </c>
      <c r="C227" t="str">
        <f>'ERP_AP7 Macro Failed'!E229</f>
        <v>Dougherty, Chris</v>
      </c>
      <c r="D227" t="str">
        <f>'ERP_AP7 Macro Failed'!G229</f>
        <v>CONTRACTORS</v>
      </c>
      <c r="E227" t="str">
        <f>'ERP_AP7 Macro Failed'!H229</f>
        <v>Colalborate 360 Reclass - 2026 SAP Max Attention Days</v>
      </c>
      <c r="F227">
        <f>'ERP_AP7 Macro Failed'!I229</f>
        <v>0</v>
      </c>
      <c r="G227" t="str">
        <f>'ERP_AP7 Macro Failed'!K229</f>
        <v>IT-CTR0132-OT-US-00/Colalborate 360</v>
      </c>
      <c r="H227" s="487" t="e" cm="1">
        <f t="array" ref="H227">SUMPRODUCT((ERP[UID]=A227)*(ERP[AP01]+ERP[AP02]+ERP[AP03]+ERP[AP04]+ERP[AP05]))</f>
        <v>#VALUE!</v>
      </c>
      <c r="I227" s="487" cm="1">
        <f t="array" ref="I227">SUMPRODUCT((ERP[UID]=A227)*(ERP[AP01 LE2]+ERP[AP02 LE2]+ERP[AP03 LE2]+ERP[AP04 LE2]+ERP[AP05 LE2]))</f>
        <v>0</v>
      </c>
      <c r="J227" s="487">
        <f>'ERP_AP7 Macro Failed'!AL229</f>
        <v>0</v>
      </c>
      <c r="K227" t="str">
        <f t="shared" si="6"/>
        <v>Immaterial</v>
      </c>
      <c r="L227" t="str">
        <f t="shared" si="7"/>
        <v>No</v>
      </c>
    </row>
    <row r="228" spans="1:12">
      <c r="A228" t="str">
        <f>'ERP_AP7 Macro Failed'!A230</f>
        <v>N-ERP-505</v>
      </c>
      <c r="B228" t="str">
        <f>'ERP_AP7 Macro Failed'!D230</f>
        <v>Dougherty, Chris</v>
      </c>
      <c r="C228" t="str">
        <f>'ERP_AP7 Macro Failed'!E230</f>
        <v>Dougherty, Chris</v>
      </c>
      <c r="D228" t="str">
        <f>'ERP_AP7 Macro Failed'!G230</f>
        <v>CONTRACTORS</v>
      </c>
      <c r="E228" t="str">
        <f>'ERP_AP7 Macro Failed'!H230</f>
        <v>iERP Reclass - 2026 SAP Max Attention Days</v>
      </c>
      <c r="F228">
        <f>'ERP_AP7 Macro Failed'!I230</f>
        <v>0</v>
      </c>
      <c r="G228" t="str">
        <f>'ERP_AP7 Macro Failed'!K230</f>
        <v>IT-CTR0132-OT-US-00/iERP</v>
      </c>
      <c r="H228" s="487" t="e" cm="1">
        <f t="array" ref="H228">SUMPRODUCT((ERP[UID]=A228)*(ERP[AP01]+ERP[AP02]+ERP[AP03]+ERP[AP04]+ERP[AP05]))</f>
        <v>#VALUE!</v>
      </c>
      <c r="I228" s="487" cm="1">
        <f t="array" ref="I228">SUMPRODUCT((ERP[UID]=A228)*(ERP[AP01 LE2]+ERP[AP02 LE2]+ERP[AP03 LE2]+ERP[AP04 LE2]+ERP[AP05 LE2]))</f>
        <v>0</v>
      </c>
      <c r="J228" s="487">
        <f>'ERP_AP7 Macro Failed'!AL230</f>
        <v>0</v>
      </c>
      <c r="K228" t="str">
        <f t="shared" si="6"/>
        <v>Immaterial</v>
      </c>
      <c r="L228" t="str">
        <f t="shared" si="7"/>
        <v>No</v>
      </c>
    </row>
    <row r="229" spans="1:12">
      <c r="A229" t="str">
        <f>'ERP_AP7 Macro Failed'!A231</f>
        <v>N-ERP-506</v>
      </c>
      <c r="B229" t="str">
        <f>'ERP_AP7 Macro Failed'!D231</f>
        <v>Dougherty, Chris</v>
      </c>
      <c r="C229" t="str">
        <f>'ERP_AP7 Macro Failed'!E231</f>
        <v>Dougherty, Chris</v>
      </c>
      <c r="D229" t="str">
        <f>'ERP_AP7 Macro Failed'!G231</f>
        <v>CONTRACTORS</v>
      </c>
      <c r="E229" t="str">
        <f>'ERP_AP7 Macro Failed'!H231</f>
        <v>S4 Innovation Reclass - 2026 SAP Max Attention Days</v>
      </c>
      <c r="F229">
        <f>'ERP_AP7 Macro Failed'!I231</f>
        <v>0</v>
      </c>
      <c r="G229" t="str">
        <f>'ERP_AP7 Macro Failed'!K231</f>
        <v>IT-CTR0132-OT-US-00/S4 Innovation</v>
      </c>
      <c r="H229" s="487" t="e" cm="1">
        <f t="array" ref="H229">SUMPRODUCT((ERP[UID]=A229)*(ERP[AP01]+ERP[AP02]+ERP[AP03]+ERP[AP04]+ERP[AP05]))</f>
        <v>#VALUE!</v>
      </c>
      <c r="I229" s="487" cm="1">
        <f t="array" ref="I229">SUMPRODUCT((ERP[UID]=A229)*(ERP[AP01 LE2]+ERP[AP02 LE2]+ERP[AP03 LE2]+ERP[AP04 LE2]+ERP[AP05 LE2]))</f>
        <v>0</v>
      </c>
      <c r="J229" s="487">
        <f>'ERP_AP7 Macro Failed'!AL231</f>
        <v>0</v>
      </c>
      <c r="K229" t="str">
        <f t="shared" si="6"/>
        <v>Immaterial</v>
      </c>
      <c r="L229" t="str">
        <f t="shared" si="7"/>
        <v>No</v>
      </c>
    </row>
    <row r="230" spans="1:12">
      <c r="A230" t="str">
        <f>'ERP_AP7 Macro Failed'!A232</f>
        <v>L-ERP-085</v>
      </c>
      <c r="B230" t="str">
        <f>'ERP_AP7 Macro Failed'!D232</f>
        <v>Dougherty, Chris</v>
      </c>
      <c r="C230" t="str">
        <f>'ERP_AP7 Macro Failed'!E232</f>
        <v>Dougherty, Chris</v>
      </c>
      <c r="D230" t="str">
        <f>'ERP_AP7 Macro Failed'!G232</f>
        <v>CONTRACTORS</v>
      </c>
      <c r="E230" t="str">
        <f>'ERP_AP7 Macro Failed'!H232</f>
        <v>Colalborate 360 Reclass - 2026 SAP Max Attention Days</v>
      </c>
      <c r="F230">
        <f>'ERP_AP7 Macro Failed'!I232</f>
        <v>0</v>
      </c>
      <c r="G230" t="str">
        <f>'ERP_AP7 Macro Failed'!K232</f>
        <v>IT-CTR0132-OT-US-01</v>
      </c>
      <c r="H230" s="487" t="e" cm="1">
        <f t="array" ref="H230">SUMPRODUCT((ERP[UID]=A230)*(ERP[AP01]+ERP[AP02]+ERP[AP03]+ERP[AP04]+ERP[AP05]))</f>
        <v>#VALUE!</v>
      </c>
      <c r="I230" s="487" cm="1">
        <f t="array" ref="I230">SUMPRODUCT((ERP[UID]=A230)*(ERP[AP01 LE2]+ERP[AP02 LE2]+ERP[AP03 LE2]+ERP[AP04 LE2]+ERP[AP05 LE2]))</f>
        <v>0</v>
      </c>
      <c r="J230" s="487">
        <f>'ERP_AP7 Macro Failed'!AL232</f>
        <v>0</v>
      </c>
      <c r="K230" t="str">
        <f t="shared" si="6"/>
        <v>Immaterial</v>
      </c>
      <c r="L230" t="str">
        <f t="shared" si="7"/>
        <v>No</v>
      </c>
    </row>
    <row r="231" spans="1:12">
      <c r="A231" t="str">
        <f>'ERP_AP7 Macro Failed'!A233</f>
        <v>L-ERP-086</v>
      </c>
      <c r="B231" t="str">
        <f>'ERP_AP7 Macro Failed'!D233</f>
        <v>Dougherty, Chris</v>
      </c>
      <c r="C231" t="str">
        <f>'ERP_AP7 Macro Failed'!E233</f>
        <v>Dougherty, Chris</v>
      </c>
      <c r="D231" t="str">
        <f>'ERP_AP7 Macro Failed'!G233</f>
        <v>CONTRACTORS</v>
      </c>
      <c r="E231" t="str">
        <f>'ERP_AP7 Macro Failed'!H233</f>
        <v>S4 Innovation Reclass - 2026 SAP Max Attention Days</v>
      </c>
      <c r="F231">
        <f>'ERP_AP7 Macro Failed'!I233</f>
        <v>0</v>
      </c>
      <c r="G231" t="str">
        <f>'ERP_AP7 Macro Failed'!K233</f>
        <v>IT-CTR0132-OT-US-02</v>
      </c>
      <c r="H231" s="487" t="e" cm="1">
        <f t="array" ref="H231">SUMPRODUCT((ERP[UID]=A231)*(ERP[AP01]+ERP[AP02]+ERP[AP03]+ERP[AP04]+ERP[AP05]))</f>
        <v>#VALUE!</v>
      </c>
      <c r="I231" s="487" cm="1">
        <f t="array" ref="I231">SUMPRODUCT((ERP[UID]=A231)*(ERP[AP01 LE2]+ERP[AP02 LE2]+ERP[AP03 LE2]+ERP[AP04 LE2]+ERP[AP05 LE2]))</f>
        <v>-60000</v>
      </c>
      <c r="J231" s="487">
        <f>'ERP_AP7 Macro Failed'!AL233</f>
        <v>0</v>
      </c>
      <c r="K231" t="str">
        <f t="shared" si="6"/>
        <v>Immaterial</v>
      </c>
      <c r="L231" t="str">
        <f t="shared" si="7"/>
        <v>No</v>
      </c>
    </row>
    <row r="232" spans="1:12">
      <c r="A232" t="str">
        <f>'ERP_AP7 Macro Failed'!A234</f>
        <v>L-ERP-087</v>
      </c>
      <c r="B232" t="str">
        <f>'ERP_AP7 Macro Failed'!D234</f>
        <v>Dougherty, Chris</v>
      </c>
      <c r="C232" t="str">
        <f>'ERP_AP7 Macro Failed'!E234</f>
        <v>Dougherty, Chris</v>
      </c>
      <c r="D232" t="str">
        <f>'ERP_AP7 Macro Failed'!G234</f>
        <v>CONTRACTORS</v>
      </c>
      <c r="E232" t="str">
        <f>'ERP_AP7 Macro Failed'!H234</f>
        <v>iERP Reclass - 2026 SAP Max Attention Days</v>
      </c>
      <c r="F232">
        <f>'ERP_AP7 Macro Failed'!I234</f>
        <v>0</v>
      </c>
      <c r="G232" t="str">
        <f>'ERP_AP7 Macro Failed'!K234</f>
        <v>IT-CTR0132-OT-US-03</v>
      </c>
      <c r="H232" s="487" t="e" cm="1">
        <f t="array" ref="H232">SUMPRODUCT((ERP[UID]=A232)*(ERP[AP01]+ERP[AP02]+ERP[AP03]+ERP[AP04]+ERP[AP05]))</f>
        <v>#VALUE!</v>
      </c>
      <c r="I232" s="487" cm="1">
        <f t="array" ref="I232">SUMPRODUCT((ERP[UID]=A232)*(ERP[AP01 LE2]+ERP[AP02 LE2]+ERP[AP03 LE2]+ERP[AP04 LE2]+ERP[AP05 LE2]))</f>
        <v>0</v>
      </c>
      <c r="J232" s="487">
        <f>'ERP_AP7 Macro Failed'!AL234</f>
        <v>0</v>
      </c>
      <c r="K232" t="str">
        <f t="shared" si="6"/>
        <v>Immaterial</v>
      </c>
      <c r="L232" t="str">
        <f t="shared" si="7"/>
        <v>No</v>
      </c>
    </row>
    <row r="233" spans="1:12">
      <c r="A233" t="str">
        <f>'ERP_AP7 Macro Failed'!A235</f>
        <v>L-ERP-088</v>
      </c>
      <c r="B233" t="str">
        <f>'ERP_AP7 Macro Failed'!D235</f>
        <v>Dougherty, Chris</v>
      </c>
      <c r="C233" t="str">
        <f>'ERP_AP7 Macro Failed'!E235</f>
        <v>Dougherty, Chris</v>
      </c>
      <c r="D233" t="str">
        <f>'ERP_AP7 Macro Failed'!G235</f>
        <v>CONTRACTORS</v>
      </c>
      <c r="E233" t="str">
        <f>'ERP_AP7 Macro Failed'!H235</f>
        <v>BDC Reclass - 2026 SAP Max Attention Days</v>
      </c>
      <c r="F233">
        <f>'ERP_AP7 Macro Failed'!I235</f>
        <v>0</v>
      </c>
      <c r="G233" t="str">
        <f>'ERP_AP7 Macro Failed'!K235</f>
        <v>IT-CTR0132-OT-US-04</v>
      </c>
      <c r="H233" s="487" t="e" cm="1">
        <f t="array" ref="H233">SUMPRODUCT((ERP[UID]=A233)*(ERP[AP01]+ERP[AP02]+ERP[AP03]+ERP[AP04]+ERP[AP05]))</f>
        <v>#VALUE!</v>
      </c>
      <c r="I233" s="487" cm="1">
        <f t="array" ref="I233">SUMPRODUCT((ERP[UID]=A233)*(ERP[AP01 LE2]+ERP[AP02 LE2]+ERP[AP03 LE2]+ERP[AP04 LE2]+ERP[AP05 LE2]))</f>
        <v>0</v>
      </c>
      <c r="J233" s="487">
        <f>'ERP_AP7 Macro Failed'!AL235</f>
        <v>0</v>
      </c>
      <c r="K233" t="str">
        <f t="shared" si="6"/>
        <v>Immaterial</v>
      </c>
      <c r="L233" t="str">
        <f t="shared" si="7"/>
        <v>No</v>
      </c>
    </row>
    <row r="234" spans="1:12">
      <c r="A234" t="str">
        <f>'ERP_AP7 Macro Failed'!A236</f>
        <v>N-ERP-606</v>
      </c>
      <c r="B234" t="str">
        <f>'ERP_AP7 Macro Failed'!D236</f>
        <v>Dougherty, Chris</v>
      </c>
      <c r="C234" t="str">
        <f>'ERP_AP7 Macro Failed'!E236</f>
        <v>Meadows, Leslie</v>
      </c>
      <c r="D234" t="str">
        <f>'ERP_AP7 Macro Failed'!G236</f>
        <v>CONTRACTORS</v>
      </c>
      <c r="E234" t="str">
        <f>'ERP_AP7 Macro Failed'!H236</f>
        <v>Tricentis Tosca Professional Services</v>
      </c>
      <c r="F234" t="str">
        <f>'ERP_AP7 Macro Failed'!I236</f>
        <v>TRICENTIS USA CORP</v>
      </c>
      <c r="G234" t="str">
        <f>'ERP_AP7 Macro Failed'!K236</f>
        <v>IT-CTR0140-OT-US-00</v>
      </c>
      <c r="H234" s="487" t="e" cm="1">
        <f t="array" ref="H234">SUMPRODUCT((ERP[UID]=A234)*(ERP[AP01]+ERP[AP02]+ERP[AP03]+ERP[AP04]+ERP[AP05]))</f>
        <v>#VALUE!</v>
      </c>
      <c r="I234" s="487" cm="1">
        <f t="array" ref="I234">SUMPRODUCT((ERP[UID]=A234)*(ERP[AP01 LE2]+ERP[AP02 LE2]+ERP[AP03 LE2]+ERP[AP04 LE2]+ERP[AP05 LE2]))</f>
        <v>0</v>
      </c>
      <c r="J234" s="487">
        <f>'ERP_AP7 Macro Failed'!AL236</f>
        <v>0</v>
      </c>
      <c r="K234" t="str">
        <f t="shared" si="6"/>
        <v>Immaterial</v>
      </c>
      <c r="L234" t="str">
        <f t="shared" si="7"/>
        <v>No</v>
      </c>
    </row>
    <row r="235" spans="1:12">
      <c r="A235" t="str">
        <f>'ERP_AP7 Macro Failed'!A237</f>
        <v>L-ERP-089</v>
      </c>
      <c r="B235" t="str">
        <f>'ERP_AP7 Macro Failed'!D237</f>
        <v>Dougherty, Chris</v>
      </c>
      <c r="C235" t="str">
        <f>'ERP_AP7 Macro Failed'!E237</f>
        <v>Dougherty, Chris</v>
      </c>
      <c r="D235" t="str">
        <f>'ERP_AP7 Macro Failed'!G237</f>
        <v>CONTRACTORS</v>
      </c>
      <c r="E235" t="str">
        <f>'ERP_AP7 Macro Failed'!H237</f>
        <v>Accenture: eWM Integration</v>
      </c>
      <c r="F235" t="str">
        <f>'ERP_AP7 Macro Failed'!I237</f>
        <v>ACCENTURE LLP</v>
      </c>
      <c r="G235" t="str">
        <f>'ERP_AP7 Macro Failed'!K237</f>
        <v>IT-CTR0147-OG-US-00</v>
      </c>
      <c r="H235" s="487" t="e" cm="1">
        <f t="array" ref="H235">SUMPRODUCT((ERP[UID]=A235)*(ERP[AP01]+ERP[AP02]+ERP[AP03]+ERP[AP04]+ERP[AP05]))</f>
        <v>#VALUE!</v>
      </c>
      <c r="I235" s="487" cm="1">
        <f t="array" ref="I235">SUMPRODUCT((ERP[UID]=A235)*(ERP[AP01 LE2]+ERP[AP02 LE2]+ERP[AP03 LE2]+ERP[AP04 LE2]+ERP[AP05 LE2]))</f>
        <v>136206.91999999998</v>
      </c>
      <c r="J235" s="487">
        <f>'ERP_AP7 Macro Failed'!AL237</f>
        <v>-55475.919999999984</v>
      </c>
      <c r="K235" t="str">
        <f t="shared" si="6"/>
        <v>MATERIAL</v>
      </c>
      <c r="L235" t="str">
        <f t="shared" si="7"/>
        <v>YES</v>
      </c>
    </row>
    <row r="236" spans="1:12">
      <c r="A236" t="str">
        <f>'ERP_AP7 Macro Failed'!A238</f>
        <v>L-ERP-146</v>
      </c>
      <c r="B236" t="str">
        <f>'ERP_AP7 Macro Failed'!D238</f>
        <v>Hase, Raj</v>
      </c>
      <c r="C236" t="str">
        <f>'ERP_AP7 Macro Failed'!E238</f>
        <v>Ganesan, Srinivasan</v>
      </c>
      <c r="D236" t="str">
        <f>'ERP_AP7 Macro Failed'!G238</f>
        <v>CONTRACTORS</v>
      </c>
      <c r="E236" t="str">
        <f>'ERP_AP7 Macro Failed'!H238</f>
        <v>GLNS - E2E Functional Support</v>
      </c>
      <c r="F236">
        <f>'ERP_AP7 Macro Failed'!I238</f>
        <v>0</v>
      </c>
      <c r="G236" t="str">
        <f>'ERP_AP7 Macro Failed'!K238</f>
        <v>IT-CTR0149-OG-US-00</v>
      </c>
      <c r="H236" s="487" t="e" cm="1">
        <f t="array" ref="H236">SUMPRODUCT((ERP[UID]=A236)*(ERP[AP01]+ERP[AP02]+ERP[AP03]+ERP[AP04]+ERP[AP05]))</f>
        <v>#VALUE!</v>
      </c>
      <c r="I236" s="487" cm="1">
        <f t="array" ref="I236">SUMPRODUCT((ERP[UID]=A236)*(ERP[AP01 LE2]+ERP[AP02 LE2]+ERP[AP03 LE2]+ERP[AP04 LE2]+ERP[AP05 LE2]))</f>
        <v>222781.38</v>
      </c>
      <c r="J236" s="487">
        <f>'ERP_AP7 Macro Failed'!AL238</f>
        <v>22330.809999999998</v>
      </c>
      <c r="K236" t="str">
        <f t="shared" si="6"/>
        <v>MATERIAL</v>
      </c>
      <c r="L236" t="str">
        <f t="shared" si="7"/>
        <v>YES</v>
      </c>
    </row>
    <row r="237" spans="1:12">
      <c r="A237" t="str">
        <f>'ERP_AP7 Macro Failed'!A239</f>
        <v>L-ERP-090</v>
      </c>
      <c r="B237" t="str">
        <f>'ERP_AP7 Macro Failed'!D239</f>
        <v>Dougherty, Chris</v>
      </c>
      <c r="C237" t="str">
        <f>'ERP_AP7 Macro Failed'!E239</f>
        <v>Dougherty, Chris</v>
      </c>
      <c r="D237" t="str">
        <f>'ERP_AP7 Macro Failed'!G239</f>
        <v>CONTRACTORS</v>
      </c>
      <c r="E237" t="str">
        <f>'ERP_AP7 Macro Failed'!H239</f>
        <v>Accenture: Technical Development Support</v>
      </c>
      <c r="F237" t="str">
        <f>'ERP_AP7 Macro Failed'!I239</f>
        <v>ACCENTURE LLP</v>
      </c>
      <c r="G237" t="str">
        <f>'ERP_AP7 Macro Failed'!K239</f>
        <v>IT-CTR0148-OG-US-00</v>
      </c>
      <c r="H237" s="487" t="e" cm="1">
        <f t="array" ref="H237">SUMPRODUCT((ERP[UID]=A237)*(ERP[AP01]+ERP[AP02]+ERP[AP03]+ERP[AP04]+ERP[AP05]))</f>
        <v>#VALUE!</v>
      </c>
      <c r="I237" s="487" cm="1">
        <f t="array" ref="I237">SUMPRODUCT((ERP[UID]=A237)*(ERP[AP01 LE2]+ERP[AP02 LE2]+ERP[AP03 LE2]+ERP[AP04 LE2]+ERP[AP05 LE2]))</f>
        <v>134302.39999999999</v>
      </c>
      <c r="J237" s="487">
        <f>'ERP_AP7 Macro Failed'!AL239</f>
        <v>23334.270000000019</v>
      </c>
      <c r="K237" t="str">
        <f t="shared" si="6"/>
        <v>MATERIAL</v>
      </c>
      <c r="L237" t="str">
        <f t="shared" si="7"/>
        <v>YES</v>
      </c>
    </row>
    <row r="238" spans="1:12">
      <c r="A238" t="str">
        <f>'ERP_AP7 Macro Failed'!A240</f>
        <v>L-ERP-553</v>
      </c>
      <c r="B238" t="str">
        <f>'ERP_AP7 Macro Failed'!D240</f>
        <v>Hase, Raj</v>
      </c>
      <c r="C238" t="str">
        <f>'ERP_AP7 Macro Failed'!E240</f>
        <v>Vaidya, Sachin</v>
      </c>
      <c r="D238" t="str">
        <f>'ERP_AP7 Macro Failed'!G240</f>
        <v>CONTRACTORS</v>
      </c>
      <c r="E238" t="str">
        <f>'ERP_AP7 Macro Failed'!H240</f>
        <v>SAP Intelligent Service Cloud - IBM BTAMS support costs (1 FTE)</v>
      </c>
      <c r="F238">
        <f>'ERP_AP7 Macro Failed'!I240</f>
        <v>0</v>
      </c>
      <c r="G238" t="str">
        <f>'ERP_AP7 Macro Failed'!K240</f>
        <v>IT-CTR0151-OG-US-00</v>
      </c>
      <c r="H238" s="487" t="e" cm="1">
        <f t="array" ref="H238">SUMPRODUCT((ERP[UID]=A238)*(ERP[AP01]+ERP[AP02]+ERP[AP03]+ERP[AP04]+ERP[AP05]))</f>
        <v>#VALUE!</v>
      </c>
      <c r="I238" s="487" cm="1">
        <f t="array" ref="I238">SUMPRODUCT((ERP[UID]=A238)*(ERP[AP01 LE2]+ERP[AP02 LE2]+ERP[AP03 LE2]+ERP[AP04 LE2]+ERP[AP05 LE2]))</f>
        <v>71280</v>
      </c>
      <c r="J238" s="487">
        <f>'ERP_AP7 Macro Failed'!AL240</f>
        <v>26618.739999999991</v>
      </c>
      <c r="K238" t="str">
        <f t="shared" si="6"/>
        <v>MATERIAL</v>
      </c>
      <c r="L238" t="str">
        <f t="shared" si="7"/>
        <v>YES</v>
      </c>
    </row>
    <row r="239" spans="1:12">
      <c r="A239" t="str">
        <f>'ERP_AP7 Macro Failed'!A241</f>
        <v>L-ERP-147</v>
      </c>
      <c r="B239" t="str">
        <f>'ERP_AP7 Macro Failed'!D241</f>
        <v>Hase, Raj</v>
      </c>
      <c r="C239" t="str">
        <f>'ERP_AP7 Macro Failed'!E241</f>
        <v>Ganesan, Srinivasan</v>
      </c>
      <c r="D239" t="str">
        <f>'ERP_AP7 Macro Failed'!G241</f>
        <v>CONTRACTORS</v>
      </c>
      <c r="E239" t="str">
        <f>'ERP_AP7 Macro Failed'!H241</f>
        <v>Global Supply Chain Market Logistics 2026 XFERs-0023,0043,0051</v>
      </c>
      <c r="F239">
        <f>'ERP_AP7 Macro Failed'!I241</f>
        <v>0</v>
      </c>
      <c r="G239" t="str">
        <f>'ERP_AP7 Macro Failed'!K241</f>
        <v>IT-CTR0153-OG-US-00</v>
      </c>
      <c r="H239" s="487" t="e" cm="1">
        <f t="array" ref="H239">SUMPRODUCT((ERP[UID]=A239)*(ERP[AP01]+ERP[AP02]+ERP[AP03]+ERP[AP04]+ERP[AP05]))</f>
        <v>#VALUE!</v>
      </c>
      <c r="I239" s="487" cm="1">
        <f t="array" ref="I239">SUMPRODUCT((ERP[UID]=A239)*(ERP[AP01 LE2]+ERP[AP02 LE2]+ERP[AP03 LE2]+ERP[AP04 LE2]+ERP[AP05 LE2]))</f>
        <v>0</v>
      </c>
      <c r="J239" s="487">
        <f>'ERP_AP7 Macro Failed'!AL241</f>
        <v>0</v>
      </c>
      <c r="K239" t="str">
        <f t="shared" si="6"/>
        <v>Immaterial</v>
      </c>
      <c r="L239" t="str">
        <f t="shared" si="7"/>
        <v>No</v>
      </c>
    </row>
    <row r="240" spans="1:12">
      <c r="A240" t="str">
        <f>'ERP_AP7 Macro Failed'!A242</f>
        <v>L-ERP-581</v>
      </c>
      <c r="B240" t="str">
        <f>'ERP_AP7 Macro Failed'!D242</f>
        <v>Hase, Raj</v>
      </c>
      <c r="C240" t="str">
        <f>'ERP_AP7 Macro Failed'!E242</f>
        <v>Yeluri, Durga</v>
      </c>
      <c r="D240" t="str">
        <f>'ERP_AP7 Macro Failed'!G242</f>
        <v>SOFTWARE</v>
      </c>
      <c r="E240" t="str">
        <f>'ERP_AP7 Macro Failed'!H242</f>
        <v>Dataiku</v>
      </c>
      <c r="F240" t="str">
        <f>'ERP_AP7 Macro Failed'!I242</f>
        <v>SYSDIG INC</v>
      </c>
      <c r="G240" t="str">
        <f>'ERP_AP7 Macro Failed'!K242</f>
        <v>IT-DATAIKU-01</v>
      </c>
      <c r="H240" s="487" t="e" cm="1">
        <f t="array" ref="H240">SUMPRODUCT((ERP[UID]=A240)*(ERP[AP01]+ERP[AP02]+ERP[AP03]+ERP[AP04]+ERP[AP05]))</f>
        <v>#VALUE!</v>
      </c>
      <c r="I240" s="487" cm="1">
        <f t="array" ref="I240">SUMPRODUCT((ERP[UID]=A240)*(ERP[AP01 LE2]+ERP[AP02 LE2]+ERP[AP03 LE2]+ERP[AP04 LE2]+ERP[AP05 LE2]))</f>
        <v>729.19</v>
      </c>
      <c r="J240" s="487">
        <f>'ERP_AP7 Macro Failed'!AL242</f>
        <v>419.19000000000005</v>
      </c>
      <c r="K240" t="str">
        <f t="shared" si="6"/>
        <v>Immaterial</v>
      </c>
      <c r="L240" t="str">
        <f t="shared" si="7"/>
        <v>No</v>
      </c>
    </row>
    <row r="241" spans="1:12">
      <c r="A241" t="str">
        <f>'ERP_AP7 Macro Failed'!A243</f>
        <v>L-ERP-091</v>
      </c>
      <c r="B241" t="str">
        <f>'ERP_AP7 Macro Failed'!D243</f>
        <v>Dougherty, Chris</v>
      </c>
      <c r="C241" t="str">
        <f>'ERP_AP7 Macro Failed'!E243</f>
        <v>Dougherty, Chris</v>
      </c>
      <c r="D241" t="str">
        <f>'ERP_AP7 Macro Failed'!G243</f>
        <v>CONTRACTORS</v>
      </c>
      <c r="E241" t="str">
        <f>'ERP_AP7 Macro Failed'!H243</f>
        <v>Syniti Knowledge Platform Support</v>
      </c>
      <c r="F241" t="str">
        <f>'ERP_AP7 Macro Failed'!I243</f>
        <v>BACKOFFICE ASSOCIATES LLC</v>
      </c>
      <c r="G241" t="str">
        <f>'ERP_AP7 Macro Failed'!K243</f>
        <v>IT-CTR0150-OG-US-00</v>
      </c>
      <c r="H241" s="487" t="e" cm="1">
        <f t="array" ref="H241">SUMPRODUCT((ERP[UID]=A241)*(ERP[AP01]+ERP[AP02]+ERP[AP03]+ERP[AP04]+ERP[AP05]))</f>
        <v>#VALUE!</v>
      </c>
      <c r="I241" s="487" cm="1">
        <f t="array" ref="I241">SUMPRODUCT((ERP[UID]=A241)*(ERP[AP01 LE2]+ERP[AP02 LE2]+ERP[AP03 LE2]+ERP[AP04 LE2]+ERP[AP05 LE2]))</f>
        <v>22222</v>
      </c>
      <c r="J241" s="487">
        <f>'ERP_AP7 Macro Failed'!AL243</f>
        <v>-33333</v>
      </c>
      <c r="K241" t="str">
        <f t="shared" si="6"/>
        <v>MATERIAL</v>
      </c>
      <c r="L241" t="str">
        <f t="shared" si="7"/>
        <v>YES</v>
      </c>
    </row>
    <row r="242" spans="1:12">
      <c r="A242" t="str">
        <f>'ERP_AP7 Macro Failed'!A244</f>
        <v>L-ERP-535</v>
      </c>
      <c r="B242" t="str">
        <f>'ERP_AP7 Macro Failed'!D244</f>
        <v>Dougherty, Chris</v>
      </c>
      <c r="C242" t="str">
        <f>'ERP_AP7 Macro Failed'!E244</f>
        <v>Tamavada, Ram</v>
      </c>
      <c r="D242" t="str">
        <f>'ERP_AP7 Macro Failed'!G244</f>
        <v>CONTRACTORS</v>
      </c>
      <c r="E242" t="str">
        <f>'ERP_AP7 Macro Failed'!H244</f>
        <v>India Sales Order Management Support (SAP SME Support)</v>
      </c>
      <c r="F242">
        <f>'ERP_AP7 Macro Failed'!I244</f>
        <v>0</v>
      </c>
      <c r="G242" t="str">
        <f>'ERP_AP7 Macro Failed'!K244</f>
        <v>IT-FBT0066-OG-IN-00</v>
      </c>
      <c r="H242" s="487" t="e" cm="1">
        <f t="array" ref="H242">SUMPRODUCT((ERP[UID]=A242)*(ERP[AP01]+ERP[AP02]+ERP[AP03]+ERP[AP04]+ERP[AP05]))</f>
        <v>#VALUE!</v>
      </c>
      <c r="I242" s="487" cm="1">
        <f t="array" ref="I242">SUMPRODUCT((ERP[UID]=A242)*(ERP[AP01 LE2]+ERP[AP02 LE2]+ERP[AP03 LE2]+ERP[AP04 LE2]+ERP[AP05 LE2]))</f>
        <v>15175.43</v>
      </c>
      <c r="J242" s="487">
        <f>'ERP_AP7 Macro Failed'!AL244</f>
        <v>-613.22000000000116</v>
      </c>
      <c r="K242" t="str">
        <f t="shared" si="6"/>
        <v>Immaterial</v>
      </c>
      <c r="L242" t="str">
        <f t="shared" si="7"/>
        <v>No</v>
      </c>
    </row>
    <row r="243" spans="1:12">
      <c r="A243" t="str">
        <f>'ERP_AP7 Macro Failed'!A245</f>
        <v>ERP-005</v>
      </c>
      <c r="B243" t="str">
        <f>'ERP_AP7 Macro Failed'!D245</f>
        <v>Hase, Raj</v>
      </c>
      <c r="C243" t="str">
        <f>'ERP_AP7 Macro Failed'!E245</f>
        <v>Hase, Raj</v>
      </c>
      <c r="D243" t="str">
        <f>'ERP_AP7 Macro Failed'!G245</f>
        <v>MANAGED SERVICES</v>
      </c>
      <c r="E243" t="str">
        <f>'ERP_AP7 Macro Failed'!H245</f>
        <v>Infrastructure charges</v>
      </c>
      <c r="F243">
        <f>'ERP_AP7 Macro Failed'!I245</f>
        <v>0</v>
      </c>
      <c r="G243" t="str">
        <f>'ERP_AP7 Macro Failed'!K245</f>
        <v>IT-FBT0157-OG-US-00</v>
      </c>
      <c r="H243" s="487" t="e" cm="1">
        <f t="array" ref="H243">SUMPRODUCT((ERP[UID]=A243)*(ERP[AP01]+ERP[AP02]+ERP[AP03]+ERP[AP04]+ERP[AP05]))</f>
        <v>#VALUE!</v>
      </c>
      <c r="I243" s="487" cm="1">
        <f t="array" ref="I243">SUMPRODUCT((ERP[UID]=A243)*(ERP[AP01 LE2]+ERP[AP02 LE2]+ERP[AP03 LE2]+ERP[AP04 LE2]+ERP[AP05 LE2]))</f>
        <v>14000</v>
      </c>
      <c r="J243" s="487">
        <f>'ERP_AP7 Macro Failed'!AL245</f>
        <v>-21000</v>
      </c>
      <c r="K243" t="str">
        <f t="shared" si="6"/>
        <v>MATERIAL</v>
      </c>
      <c r="L243" t="str">
        <f t="shared" si="7"/>
        <v>YES</v>
      </c>
    </row>
    <row r="244" spans="1:12">
      <c r="A244" t="str">
        <f>'ERP_AP7 Macro Failed'!A246</f>
        <v>L-ERP-220</v>
      </c>
      <c r="B244" t="str">
        <f>'ERP_AP7 Macro Failed'!D246</f>
        <v>Hase, Raj</v>
      </c>
      <c r="C244" t="str">
        <f>'ERP_AP7 Macro Failed'!E246</f>
        <v>Hovanyetz, Mike</v>
      </c>
      <c r="D244" t="str">
        <f>'ERP_AP7 Macro Failed'!G246</f>
        <v>MANAGED SERVICES</v>
      </c>
      <c r="E244" t="str">
        <f>'ERP_AP7 Macro Failed'!H246</f>
        <v>Infrastructure charges</v>
      </c>
      <c r="F244">
        <f>'ERP_AP7 Macro Failed'!I246</f>
        <v>0</v>
      </c>
      <c r="G244" t="str">
        <f>'ERP_AP7 Macro Failed'!K246</f>
        <v>IT-FBT0157-OG-US-00</v>
      </c>
      <c r="H244" s="487" t="e" cm="1">
        <f t="array" ref="H244">SUMPRODUCT((ERP[UID]=A244)*(ERP[AP01]+ERP[AP02]+ERP[AP03]+ERP[AP04]+ERP[AP05]))</f>
        <v>#VALUE!</v>
      </c>
      <c r="I244" s="487" cm="1">
        <f t="array" ref="I244">SUMPRODUCT((ERP[UID]=A244)*(ERP[AP01 LE2]+ERP[AP02 LE2]+ERP[AP03 LE2]+ERP[AP04 LE2]+ERP[AP05 LE2]))</f>
        <v>-14686.309999999998</v>
      </c>
      <c r="J244" s="487">
        <f>'ERP_AP7 Macro Failed'!AL246</f>
        <v>876.35000000000036</v>
      </c>
      <c r="K244" t="str">
        <f t="shared" si="6"/>
        <v>Immaterial</v>
      </c>
      <c r="L244" t="str">
        <f t="shared" si="7"/>
        <v>No</v>
      </c>
    </row>
    <row r="245" spans="1:12">
      <c r="A245" t="str">
        <f>'ERP_AP7 Macro Failed'!A247</f>
        <v>L-ERP-543</v>
      </c>
      <c r="B245" t="str">
        <f>'ERP_AP7 Macro Failed'!D247</f>
        <v>Dougherty, Chris</v>
      </c>
      <c r="C245" t="str">
        <f>'ERP_AP7 Macro Failed'!E247</f>
        <v>Tamavada, Ram</v>
      </c>
      <c r="D245" t="str">
        <f>'ERP_AP7 Macro Failed'!G247</f>
        <v>MANAGED SERVICES</v>
      </c>
      <c r="E245" t="str">
        <f>'ERP_AP7 Macro Failed'!H247</f>
        <v>Oracle E-Business Suite Archive Solutions</v>
      </c>
      <c r="F245">
        <f>'ERP_AP7 Macro Failed'!I247</f>
        <v>0</v>
      </c>
      <c r="G245" t="str">
        <f>'ERP_AP7 Macro Failed'!K247</f>
        <v>IT-FBT0074-OG-US-00</v>
      </c>
      <c r="H245" s="487" t="e" cm="1">
        <f t="array" ref="H245">SUMPRODUCT((ERP[UID]=A245)*(ERP[AP01]+ERP[AP02]+ERP[AP03]+ERP[AP04]+ERP[AP05]))</f>
        <v>#VALUE!</v>
      </c>
      <c r="I245" s="487" cm="1">
        <f t="array" ref="I245">SUMPRODUCT((ERP[UID]=A245)*(ERP[AP01 LE2]+ERP[AP02 LE2]+ERP[AP03 LE2]+ERP[AP04 LE2]+ERP[AP05 LE2]))</f>
        <v>0</v>
      </c>
      <c r="J245" s="487">
        <f>'ERP_AP7 Macro Failed'!AL247</f>
        <v>-9692</v>
      </c>
      <c r="K245" t="str">
        <f t="shared" si="6"/>
        <v>Minor</v>
      </c>
      <c r="L245" t="str">
        <f t="shared" si="7"/>
        <v>No</v>
      </c>
    </row>
    <row r="246" spans="1:12">
      <c r="A246" t="str">
        <f>'ERP_AP7 Macro Failed'!A248</f>
        <v>L-ERP-449</v>
      </c>
      <c r="B246" t="str">
        <f>'ERP_AP7 Macro Failed'!D248</f>
        <v>Dougherty, Chris</v>
      </c>
      <c r="C246" t="str">
        <f>'ERP_AP7 Macro Failed'!E248</f>
        <v>Meadows, Leslie</v>
      </c>
      <c r="D246" t="str">
        <f>'ERP_AP7 Macro Failed'!G248</f>
        <v>MANAGED SERVICES</v>
      </c>
      <c r="E246" t="str">
        <f>'ERP_AP7 Macro Failed'!H248</f>
        <v>Compucom: SAP and EOM Support</v>
      </c>
      <c r="F246">
        <f>'ERP_AP7 Macro Failed'!I248</f>
        <v>0</v>
      </c>
      <c r="G246" t="str">
        <f>'ERP_AP7 Macro Failed'!K248</f>
        <v>IT-FBT0210-OG-US-00</v>
      </c>
      <c r="H246" s="487" t="e" cm="1">
        <f t="array" ref="H246">SUMPRODUCT((ERP[UID]=A246)*(ERP[AP01]+ERP[AP02]+ERP[AP03]+ERP[AP04]+ERP[AP05]))</f>
        <v>#VALUE!</v>
      </c>
      <c r="I246" s="487" cm="1">
        <f t="array" ref="I246">SUMPRODUCT((ERP[UID]=A246)*(ERP[AP01 LE2]+ERP[AP02 LE2]+ERP[AP03 LE2]+ERP[AP04 LE2]+ERP[AP05 LE2]))</f>
        <v>244169.16999999998</v>
      </c>
      <c r="J246" s="487">
        <f>'ERP_AP7 Macro Failed'!AL248</f>
        <v>3681.4000000000233</v>
      </c>
      <c r="K246" t="str">
        <f t="shared" si="6"/>
        <v>Minor</v>
      </c>
      <c r="L246" t="str">
        <f t="shared" si="7"/>
        <v>No</v>
      </c>
    </row>
    <row r="247" spans="1:12">
      <c r="A247" t="str">
        <f>'ERP_AP7 Macro Failed'!A249</f>
        <v>L-ERP-381</v>
      </c>
      <c r="B247" t="str">
        <f>'ERP_AP7 Macro Failed'!D249</f>
        <v>Dougherty, Chris</v>
      </c>
      <c r="C247" t="str">
        <f>'ERP_AP7 Macro Failed'!E249</f>
        <v>McCormick, Pete</v>
      </c>
      <c r="D247" t="str">
        <f>'ERP_AP7 Macro Failed'!G249</f>
        <v>CONTRACTORS</v>
      </c>
      <c r="E247" t="str">
        <f>'ERP_AP7 Macro Failed'!H249</f>
        <v>SAP Basis Engineering Projects (Compucom)</v>
      </c>
      <c r="F247">
        <f>'ERP_AP7 Macro Failed'!I249</f>
        <v>0</v>
      </c>
      <c r="G247" t="str">
        <f>'ERP_AP7 Macro Failed'!K249</f>
        <v>IT-FBT0213-OG-US-00</v>
      </c>
      <c r="H247" s="487" t="e" cm="1">
        <f t="array" ref="H247">SUMPRODUCT((ERP[UID]=A247)*(ERP[AP01]+ERP[AP02]+ERP[AP03]+ERP[AP04]+ERP[AP05]))</f>
        <v>#VALUE!</v>
      </c>
      <c r="I247" s="487" cm="1">
        <f t="array" ref="I247">SUMPRODUCT((ERP[UID]=A247)*(ERP[AP01 LE2]+ERP[AP02 LE2]+ERP[AP03 LE2]+ERP[AP04 LE2]+ERP[AP05 LE2]))</f>
        <v>580218.73</v>
      </c>
      <c r="J247" s="487">
        <f>'ERP_AP7 Macro Failed'!AL249</f>
        <v>-108653</v>
      </c>
      <c r="K247" t="str">
        <f t="shared" si="6"/>
        <v>MATERIAL</v>
      </c>
      <c r="L247" t="str">
        <f t="shared" si="7"/>
        <v>YES</v>
      </c>
    </row>
    <row r="248" spans="1:12">
      <c r="A248" t="str">
        <f>'ERP_AP7 Macro Failed'!A250</f>
        <v>L-ERP-080</v>
      </c>
      <c r="B248" t="str">
        <f>'ERP_AP7 Macro Failed'!D250</f>
        <v>Dougherty, Chris</v>
      </c>
      <c r="C248" t="str">
        <f>'ERP_AP7 Macro Failed'!E250</f>
        <v>Dougherty, Chris</v>
      </c>
      <c r="D248" t="str">
        <f>'ERP_AP7 Macro Failed'!G250</f>
        <v>CONTRACTORS</v>
      </c>
      <c r="E248" t="str">
        <f>'ERP_AP7 Macro Failed'!H250</f>
        <v>ESC/AIS APP &amp; Platform Support: ESC/AIS Mulesoft M</v>
      </c>
      <c r="F248">
        <f>'ERP_AP7 Macro Failed'!I250</f>
        <v>0</v>
      </c>
      <c r="G248" t="str">
        <f>'ERP_AP7 Macro Failed'!K250</f>
        <v>IT-FBT0219-OG-US-00</v>
      </c>
      <c r="H248" s="487" t="e" cm="1">
        <f t="array" ref="H248">SUMPRODUCT((ERP[UID]=A248)*(ERP[AP01]+ERP[AP02]+ERP[AP03]+ERP[AP04]+ERP[AP05]))</f>
        <v>#VALUE!</v>
      </c>
      <c r="I248" s="487" cm="1">
        <f t="array" ref="I248">SUMPRODUCT((ERP[UID]=A248)*(ERP[AP01 LE2]+ERP[AP02 LE2]+ERP[AP03 LE2]+ERP[AP04 LE2]+ERP[AP05 LE2]))</f>
        <v>0</v>
      </c>
      <c r="J248" s="487">
        <f>'ERP_AP7 Macro Failed'!AL250</f>
        <v>0</v>
      </c>
      <c r="K248" t="str">
        <f t="shared" si="6"/>
        <v>Immaterial</v>
      </c>
      <c r="L248" t="str">
        <f t="shared" si="7"/>
        <v>No</v>
      </c>
    </row>
    <row r="249" spans="1:12">
      <c r="A249" t="str">
        <f>'ERP_AP7 Macro Failed'!A251</f>
        <v>L-ERP-315</v>
      </c>
      <c r="B249" t="str">
        <f>'ERP_AP7 Macro Failed'!D251</f>
        <v>Dougherty, Chris</v>
      </c>
      <c r="C249" t="str">
        <f>'ERP_AP7 Macro Failed'!E251</f>
        <v>Maguire, Karla</v>
      </c>
      <c r="D249" t="str">
        <f>'ERP_AP7 Macro Failed'!G251</f>
        <v>CONTRACTORS</v>
      </c>
      <c r="E249" t="str">
        <f>'ERP_AP7 Macro Failed'!H251</f>
        <v>Enterprise Integration Hub (EIH) - Code repository, DevOps and API</v>
      </c>
      <c r="F249">
        <f>'ERP_AP7 Macro Failed'!I251</f>
        <v>0</v>
      </c>
      <c r="G249" t="str">
        <f>'ERP_AP7 Macro Failed'!K251</f>
        <v>IT-FBT0245-OG-US-00</v>
      </c>
      <c r="H249" s="487" t="e" cm="1">
        <f t="array" ref="H249">SUMPRODUCT((ERP[UID]=A249)*(ERP[AP01]+ERP[AP02]+ERP[AP03]+ERP[AP04]+ERP[AP05]))</f>
        <v>#VALUE!</v>
      </c>
      <c r="I249" s="487" cm="1">
        <f t="array" ref="I249">SUMPRODUCT((ERP[UID]=A249)*(ERP[AP01 LE2]+ERP[AP02 LE2]+ERP[AP03 LE2]+ERP[AP04 LE2]+ERP[AP05 LE2]))</f>
        <v>0</v>
      </c>
      <c r="J249" s="487">
        <f>'ERP_AP7 Macro Failed'!AL251</f>
        <v>0</v>
      </c>
      <c r="K249" t="str">
        <f t="shared" si="6"/>
        <v>Immaterial</v>
      </c>
      <c r="L249" t="str">
        <f t="shared" si="7"/>
        <v>No</v>
      </c>
    </row>
    <row r="250" spans="1:12">
      <c r="A250" t="str">
        <f>'ERP_AP7 Macro Failed'!A252</f>
        <v>L-ERP-201</v>
      </c>
      <c r="B250" t="str">
        <f>'ERP_AP7 Macro Failed'!D252</f>
        <v>Hase, Raj</v>
      </c>
      <c r="C250" t="str">
        <f>'ERP_AP7 Macro Failed'!E252</f>
        <v>Herman, Shaun</v>
      </c>
      <c r="D250" t="str">
        <f>'ERP_AP7 Macro Failed'!G252</f>
        <v>CONTRACTORS</v>
      </c>
      <c r="E250" t="str">
        <f>'ERP_AP7 Macro Failed'!H252</f>
        <v>Metastorm Platform - PAL Application Support</v>
      </c>
      <c r="F250">
        <f>'ERP_AP7 Macro Failed'!I252</f>
        <v>0</v>
      </c>
      <c r="G250" t="str">
        <f>'ERP_AP7 Macro Failed'!K252</f>
        <v>IT-FBT0262-OG-US-00</v>
      </c>
      <c r="H250" s="487" t="e" cm="1">
        <f t="array" ref="H250">SUMPRODUCT((ERP[UID]=A250)*(ERP[AP01]+ERP[AP02]+ERP[AP03]+ERP[AP04]+ERP[AP05]))</f>
        <v>#VALUE!</v>
      </c>
      <c r="I250" s="487" cm="1">
        <f t="array" ref="I250">SUMPRODUCT((ERP[UID]=A250)*(ERP[AP01 LE2]+ERP[AP02 LE2]+ERP[AP03 LE2]+ERP[AP04 LE2]+ERP[AP05 LE2]))</f>
        <v>0</v>
      </c>
      <c r="J250" s="487">
        <f>'ERP_AP7 Macro Failed'!AL252</f>
        <v>0</v>
      </c>
      <c r="K250" t="str">
        <f t="shared" si="6"/>
        <v>Immaterial</v>
      </c>
      <c r="L250" t="str">
        <f t="shared" si="7"/>
        <v>No</v>
      </c>
    </row>
    <row r="251" spans="1:12">
      <c r="A251" t="str">
        <f>'ERP_AP7 Macro Failed'!A253</f>
        <v>L-ERP-203</v>
      </c>
      <c r="B251" t="str">
        <f>'ERP_AP7 Macro Failed'!D253</f>
        <v>Hase, Raj</v>
      </c>
      <c r="C251" t="str">
        <f>'ERP_AP7 Macro Failed'!E253</f>
        <v>Herman, Shaun</v>
      </c>
      <c r="D251" t="str">
        <f>'ERP_AP7 Macro Failed'!G253</f>
        <v>MANAGED SERVICES</v>
      </c>
      <c r="E251" t="str">
        <f>'ERP_AP7 Macro Failed'!H253</f>
        <v>Metastorm Platform - PAL Application Support</v>
      </c>
      <c r="F251">
        <f>'ERP_AP7 Macro Failed'!I253</f>
        <v>0</v>
      </c>
      <c r="G251" t="str">
        <f>'ERP_AP7 Macro Failed'!K253</f>
        <v>IT-FBT0262-OG-US-00</v>
      </c>
      <c r="H251" s="487" t="e" cm="1">
        <f t="array" ref="H251">SUMPRODUCT((ERP[UID]=A251)*(ERP[AP01]+ERP[AP02]+ERP[AP03]+ERP[AP04]+ERP[AP05]))</f>
        <v>#VALUE!</v>
      </c>
      <c r="I251" s="487" cm="1">
        <f t="array" ref="I251">SUMPRODUCT((ERP[UID]=A251)*(ERP[AP01 LE2]+ERP[AP02 LE2]+ERP[AP03 LE2]+ERP[AP04 LE2]+ERP[AP05 LE2]))</f>
        <v>14585</v>
      </c>
      <c r="J251" s="487">
        <f>'ERP_AP7 Macro Failed'!AL253</f>
        <v>-2917</v>
      </c>
      <c r="K251" t="str">
        <f t="shared" si="6"/>
        <v>Minor</v>
      </c>
      <c r="L251" t="str">
        <f t="shared" si="7"/>
        <v>No</v>
      </c>
    </row>
    <row r="252" spans="1:12">
      <c r="A252" t="str">
        <f>'ERP_AP7 Macro Failed'!A254</f>
        <v>L-ERP-517</v>
      </c>
      <c r="B252" t="str">
        <f>'ERP_AP7 Macro Failed'!D254</f>
        <v>Dougherty, Chris</v>
      </c>
      <c r="C252" t="str">
        <f>'ERP_AP7 Macro Failed'!E254</f>
        <v>Tamavada, Ram</v>
      </c>
      <c r="D252" t="str">
        <f>'ERP_AP7 Macro Failed'!G254</f>
        <v>CONTRACTORS</v>
      </c>
      <c r="E252" t="str">
        <f>'ERP_AP7 Macro Failed'!H254</f>
        <v>Enterprise Integration Hub (EIH) - Code repository, DevOps and API</v>
      </c>
      <c r="F252">
        <f>'ERP_AP7 Macro Failed'!I254</f>
        <v>0</v>
      </c>
      <c r="G252" t="str">
        <f>'ERP_AP7 Macro Failed'!K254</f>
        <v>IT-FBT0245-OG-US-00</v>
      </c>
      <c r="H252" s="487" t="e" cm="1">
        <f t="array" ref="H252">SUMPRODUCT((ERP[UID]=A252)*(ERP[AP01]+ERP[AP02]+ERP[AP03]+ERP[AP04]+ERP[AP05]))</f>
        <v>#VALUE!</v>
      </c>
      <c r="I252" s="487" cm="1">
        <f t="array" ref="I252">SUMPRODUCT((ERP[UID]=A252)*(ERP[AP01 LE2]+ERP[AP02 LE2]+ERP[AP03 LE2]+ERP[AP04 LE2]+ERP[AP05 LE2]))</f>
        <v>62397.65</v>
      </c>
      <c r="J252" s="487">
        <f>'ERP_AP7 Macro Failed'!AL254</f>
        <v>3062.1100000000151</v>
      </c>
      <c r="K252" t="str">
        <f t="shared" si="6"/>
        <v>Minor</v>
      </c>
      <c r="L252" t="str">
        <f t="shared" si="7"/>
        <v>No</v>
      </c>
    </row>
    <row r="253" spans="1:12">
      <c r="A253" t="str">
        <f>'ERP_AP7 Macro Failed'!A255</f>
        <v>L-ERP-512</v>
      </c>
      <c r="B253" t="str">
        <f>'ERP_AP7 Macro Failed'!D255</f>
        <v>Dougherty, Chris</v>
      </c>
      <c r="C253" t="str">
        <f>'ERP_AP7 Macro Failed'!E255</f>
        <v>Tamavada, Ram</v>
      </c>
      <c r="D253" t="str">
        <f>'ERP_AP7 Macro Failed'!G255</f>
        <v>MANAGED SERVICES</v>
      </c>
      <c r="E253" t="str">
        <f>'ERP_AP7 Macro Failed'!H255</f>
        <v>IBM: SAP AMS (CORE) &amp; PCR 01(Collaboration360 Support)</v>
      </c>
      <c r="F253">
        <f>'ERP_AP7 Macro Failed'!I255</f>
        <v>0</v>
      </c>
      <c r="G253" t="str">
        <f>'ERP_AP7 Macro Failed'!K255</f>
        <v>IT-FBT0281-OG-US-00</v>
      </c>
      <c r="H253" s="487" t="e" cm="1">
        <f t="array" ref="H253">SUMPRODUCT((ERP[UID]=A253)*(ERP[AP01]+ERP[AP02]+ERP[AP03]+ERP[AP04]+ERP[AP05]))</f>
        <v>#VALUE!</v>
      </c>
      <c r="I253" s="487" cm="1">
        <f t="array" ref="I253">SUMPRODUCT((ERP[UID]=A253)*(ERP[AP01 LE2]+ERP[AP02 LE2]+ERP[AP03 LE2]+ERP[AP04 LE2]+ERP[AP05 LE2]))</f>
        <v>1963165.17</v>
      </c>
      <c r="J253" s="487">
        <f>'ERP_AP7 Macro Failed'!AL255</f>
        <v>14008.89000000013</v>
      </c>
      <c r="K253" t="str">
        <f t="shared" si="6"/>
        <v>MATERIAL</v>
      </c>
      <c r="L253" t="str">
        <f t="shared" si="7"/>
        <v>YES</v>
      </c>
    </row>
    <row r="254" spans="1:12">
      <c r="A254" t="str">
        <f>'ERP_AP7 Macro Failed'!A256</f>
        <v>N-ERP-502</v>
      </c>
      <c r="B254" t="str">
        <f>'ERP_AP7 Macro Failed'!D256</f>
        <v>Hase, Raj</v>
      </c>
      <c r="C254" t="str">
        <f>'ERP_AP7 Macro Failed'!E256</f>
        <v>DeHart, Lynn</v>
      </c>
      <c r="D254" t="str">
        <f>'ERP_AP7 Macro Failed'!G256</f>
        <v>MANAGED SERVICES</v>
      </c>
      <c r="E254" t="str">
        <f>'ERP_AP7 Macro Failed'!H256</f>
        <v>Company Car - Spain - Agusti Miralves</v>
      </c>
      <c r="F254">
        <f>'ERP_AP7 Macro Failed'!I256</f>
        <v>0</v>
      </c>
      <c r="G254" t="str">
        <f>'ERP_AP7 Macro Failed'!K256</f>
        <v>IT-FBT0285-OG-ES-00</v>
      </c>
      <c r="H254" s="487" t="e" cm="1">
        <f t="array" ref="H254">SUMPRODUCT((ERP[UID]=A254)*(ERP[AP01]+ERP[AP02]+ERP[AP03]+ERP[AP04]+ERP[AP05]))</f>
        <v>#VALUE!</v>
      </c>
      <c r="I254" s="487" cm="1">
        <f t="array" ref="I254">SUMPRODUCT((ERP[UID]=A254)*(ERP[AP01 LE2]+ERP[AP02 LE2]+ERP[AP03 LE2]+ERP[AP04 LE2]+ERP[AP05 LE2]))</f>
        <v>0</v>
      </c>
      <c r="J254" s="487">
        <f>'ERP_AP7 Macro Failed'!AL256</f>
        <v>0</v>
      </c>
      <c r="K254" t="str">
        <f t="shared" si="6"/>
        <v>Immaterial</v>
      </c>
      <c r="L254" t="str">
        <f t="shared" si="7"/>
        <v>No</v>
      </c>
    </row>
    <row r="255" spans="1:12">
      <c r="A255" t="str">
        <f>'ERP_AP7 Macro Failed'!A257</f>
        <v>L-ERP-001</v>
      </c>
      <c r="B255" t="str">
        <f>'ERP_AP7 Macro Failed'!D257</f>
        <v>Hase, Raj</v>
      </c>
      <c r="C255" t="str">
        <f>'ERP_AP7 Macro Failed'!E257</f>
        <v>DeHart, Lynn</v>
      </c>
      <c r="D255" t="str">
        <f>'ERP_AP7 Macro Failed'!G257</f>
        <v>MANAGED SERVICES</v>
      </c>
      <c r="E255" t="str">
        <f>'ERP_AP7 Macro Failed'!H257</f>
        <v>Company Car -Belgium - Fabrice Mathy, Thierry Briglia and Rik Vermeir</v>
      </c>
      <c r="F255">
        <f>'ERP_AP7 Macro Failed'!I257</f>
        <v>0</v>
      </c>
      <c r="G255" t="str">
        <f>'ERP_AP7 Macro Failed'!K257</f>
        <v>IT-FBT0286-OG-BE-00</v>
      </c>
      <c r="H255" s="487" t="e" cm="1">
        <f t="array" ref="H255">SUMPRODUCT((ERP[UID]=A255)*(ERP[AP01]+ERP[AP02]+ERP[AP03]+ERP[AP04]+ERP[AP05]))</f>
        <v>#VALUE!</v>
      </c>
      <c r="I255" s="487" cm="1">
        <f t="array" ref="I255">SUMPRODUCT((ERP[UID]=A255)*(ERP[AP01 LE2]+ERP[AP02 LE2]+ERP[AP03 LE2]+ERP[AP04 LE2]+ERP[AP05 LE2]))</f>
        <v>13371.96</v>
      </c>
      <c r="J255" s="487">
        <f>'ERP_AP7 Macro Failed'!AL257</f>
        <v>-4453.5099999999984</v>
      </c>
      <c r="K255" t="str">
        <f t="shared" si="6"/>
        <v>Minor</v>
      </c>
      <c r="L255" t="str">
        <f t="shared" si="7"/>
        <v>No</v>
      </c>
    </row>
    <row r="256" spans="1:12">
      <c r="A256" t="str">
        <f>'ERP_AP7 Macro Failed'!A258</f>
        <v>L-ERP-513</v>
      </c>
      <c r="B256" t="str">
        <f>'ERP_AP7 Macro Failed'!D258</f>
        <v>Dougherty, Chris</v>
      </c>
      <c r="C256" t="str">
        <f>'ERP_AP7 Macro Failed'!E258</f>
        <v>Tamavada, Ram</v>
      </c>
      <c r="D256" t="str">
        <f>'ERP_AP7 Macro Failed'!G258</f>
        <v>MANAGED SERVICES</v>
      </c>
      <c r="E256" t="str">
        <f>'ERP_AP7 Macro Failed'!H258</f>
        <v>IBM - SAP Ariba BOD; On Prem; Concur (T&amp;E); FBO Apps (GBS BTAMS Debit)</v>
      </c>
      <c r="F256">
        <f>'ERP_AP7 Macro Failed'!I258</f>
        <v>0</v>
      </c>
      <c r="G256" t="str">
        <f>'ERP_AP7 Macro Failed'!K258</f>
        <v>IT-FBT0282-OG-US-00</v>
      </c>
      <c r="H256" s="487" t="e" cm="1">
        <f t="array" ref="H256">SUMPRODUCT((ERP[UID]=A256)*(ERP[AP01]+ERP[AP02]+ERP[AP03]+ERP[AP04]+ERP[AP05]))</f>
        <v>#VALUE!</v>
      </c>
      <c r="I256" s="487" cm="1">
        <f t="array" ref="I256">SUMPRODUCT((ERP[UID]=A256)*(ERP[AP01 LE2]+ERP[AP02 LE2]+ERP[AP03 LE2]+ERP[AP04 LE2]+ERP[AP05 LE2]))</f>
        <v>763665.10999999987</v>
      </c>
      <c r="J256" s="487">
        <f>'ERP_AP7 Macro Failed'!AL258</f>
        <v>0.530000000144355</v>
      </c>
      <c r="K256" t="str">
        <f t="shared" si="6"/>
        <v>Immaterial</v>
      </c>
      <c r="L256" t="str">
        <f t="shared" si="7"/>
        <v>No</v>
      </c>
    </row>
    <row r="257" spans="1:12">
      <c r="A257" t="str">
        <f>'ERP_AP7 Macro Failed'!A259</f>
        <v>L-ERP-312</v>
      </c>
      <c r="B257" t="str">
        <f>'ERP_AP7 Macro Failed'!D259</f>
        <v>Dougherty, Chris</v>
      </c>
      <c r="C257" t="str">
        <f>'ERP_AP7 Macro Failed'!E259</f>
        <v>Maguire, Karla</v>
      </c>
      <c r="D257" t="str">
        <f>'ERP_AP7 Macro Failed'!G259</f>
        <v>MANAGED SERVICES</v>
      </c>
      <c r="E257" t="str">
        <f>'ERP_AP7 Macro Failed'!H259</f>
        <v>Company car related expenses and other charges</v>
      </c>
      <c r="F257">
        <f>'ERP_AP7 Macro Failed'!I259</f>
        <v>0</v>
      </c>
      <c r="G257" t="str">
        <f>'ERP_AP7 Macro Failed'!K259</f>
        <v>IT-FBT0288-OG-BE-00</v>
      </c>
      <c r="H257" s="487" t="e" cm="1">
        <f t="array" ref="H257">SUMPRODUCT((ERP[UID]=A257)*(ERP[AP01]+ERP[AP02]+ERP[AP03]+ERP[AP04]+ERP[AP05]))</f>
        <v>#VALUE!</v>
      </c>
      <c r="I257" s="487" cm="1">
        <f t="array" ref="I257">SUMPRODUCT((ERP[UID]=A257)*(ERP[AP01 LE2]+ERP[AP02 LE2]+ERP[AP03 LE2]+ERP[AP04 LE2]+ERP[AP05 LE2]))</f>
        <v>9324.74</v>
      </c>
      <c r="J257" s="487">
        <f>'ERP_AP7 Macro Failed'!AL259</f>
        <v>-3348.54</v>
      </c>
      <c r="K257" t="str">
        <f t="shared" si="6"/>
        <v>Minor</v>
      </c>
      <c r="L257" t="str">
        <f t="shared" si="7"/>
        <v>No</v>
      </c>
    </row>
    <row r="258" spans="1:12">
      <c r="A258" t="str">
        <f>'ERP_AP7 Macro Failed'!A260</f>
        <v>ERP-038</v>
      </c>
      <c r="B258" t="str">
        <f>'ERP_AP7 Macro Failed'!D260</f>
        <v>Hase, Raj</v>
      </c>
      <c r="C258" t="str">
        <f>'ERP_AP7 Macro Failed'!E260</f>
        <v>Hase, Raj</v>
      </c>
      <c r="D258" t="str">
        <f>'ERP_AP7 Macro Failed'!G260</f>
        <v>CONTRACTORS</v>
      </c>
      <c r="E258" t="str">
        <f>'ERP_AP7 Macro Failed'!H260</f>
        <v>CLD Retrieval Servic - RC03-RC05--MEDICAID CLAIMS LEVEL DETAIL (CLD) QUA</v>
      </c>
      <c r="F258">
        <f>'ERP_AP7 Macro Failed'!I260</f>
        <v>0</v>
      </c>
      <c r="G258" t="str">
        <f>'ERP_AP7 Macro Failed'!K260</f>
        <v>IT-FBT0450-OG-US-00</v>
      </c>
      <c r="H258" s="487" t="e" cm="1">
        <f t="array" ref="H258">SUMPRODUCT((ERP[UID]=A258)*(ERP[AP01]+ERP[AP02]+ERP[AP03]+ERP[AP04]+ERP[AP05]))</f>
        <v>#VALUE!</v>
      </c>
      <c r="I258" s="487" cm="1">
        <f t="array" ref="I258">SUMPRODUCT((ERP[UID]=A258)*(ERP[AP01 LE2]+ERP[AP02 LE2]+ERP[AP03 LE2]+ERP[AP04 LE2]+ERP[AP05 LE2]))</f>
        <v>0</v>
      </c>
      <c r="J258" s="487">
        <f>'ERP_AP7 Macro Failed'!AL260</f>
        <v>50000</v>
      </c>
      <c r="K258" t="str">
        <f t="shared" si="6"/>
        <v>MATERIAL</v>
      </c>
      <c r="L258" t="str">
        <f t="shared" si="7"/>
        <v>YES</v>
      </c>
    </row>
    <row r="259" spans="1:12">
      <c r="A259" t="str">
        <f>'ERP_AP7 Macro Failed'!A261</f>
        <v>L-ERP-180</v>
      </c>
      <c r="B259" t="str">
        <f>'ERP_AP7 Macro Failed'!D261</f>
        <v>Hase, Raj</v>
      </c>
      <c r="C259" t="str">
        <f>'ERP_AP7 Macro Failed'!E261</f>
        <v>Hase, Raj</v>
      </c>
      <c r="D259" t="str">
        <f>'ERP_AP7 Macro Failed'!G261</f>
        <v>MANAGED SERVICES</v>
      </c>
      <c r="E259" t="str">
        <f>'ERP_AP7 Macro Failed'!H261</f>
        <v>Claim Level Detail (CLD) Retrieval Service</v>
      </c>
      <c r="F259">
        <f>'ERP_AP7 Macro Failed'!I261</f>
        <v>0</v>
      </c>
      <c r="G259" t="str">
        <f>'ERP_AP7 Macro Failed'!K261</f>
        <v>IT-FBT0450-OG-US-00</v>
      </c>
      <c r="H259" s="487" t="e" cm="1">
        <f t="array" ref="H259">SUMPRODUCT((ERP[UID]=A259)*(ERP[AP01]+ERP[AP02]+ERP[AP03]+ERP[AP04]+ERP[AP05]))</f>
        <v>#VALUE!</v>
      </c>
      <c r="I259" s="487" cm="1">
        <f t="array" ref="I259">SUMPRODUCT((ERP[UID]=A259)*(ERP[AP01 LE2]+ERP[AP02 LE2]+ERP[AP03 LE2]+ERP[AP04 LE2]+ERP[AP05 LE2]))</f>
        <v>100000</v>
      </c>
      <c r="J259" s="487">
        <f>'ERP_AP7 Macro Failed'!AL261</f>
        <v>-50000</v>
      </c>
      <c r="K259" t="str">
        <f t="shared" si="6"/>
        <v>MATERIAL</v>
      </c>
      <c r="L259" t="str">
        <f t="shared" si="7"/>
        <v>YES</v>
      </c>
    </row>
    <row r="260" spans="1:12">
      <c r="A260" t="str">
        <f>'ERP_AP7 Macro Failed'!A262</f>
        <v>L-ERP-216</v>
      </c>
      <c r="B260" t="str">
        <f>'ERP_AP7 Macro Failed'!D262</f>
        <v>Hase, Raj</v>
      </c>
      <c r="C260" t="str">
        <f>'ERP_AP7 Macro Failed'!E262</f>
        <v>Hovanyetz, Mike</v>
      </c>
      <c r="D260" t="str">
        <f>'ERP_AP7 Macro Failed'!G262</f>
        <v>CONTRACTORS</v>
      </c>
      <c r="E260" t="str">
        <f>'ERP_AP7 Macro Failed'!H262</f>
        <v>Claim Level Detail (CLD) Retrieval Service</v>
      </c>
      <c r="F260">
        <f>'ERP_AP7 Macro Failed'!I262</f>
        <v>0</v>
      </c>
      <c r="G260" t="str">
        <f>'ERP_AP7 Macro Failed'!K262</f>
        <v>IT-FBT0450-OG-US-00</v>
      </c>
      <c r="H260" s="487" t="e" cm="1">
        <f t="array" ref="H260">SUMPRODUCT((ERP[UID]=A260)*(ERP[AP01]+ERP[AP02]+ERP[AP03]+ERP[AP04]+ERP[AP05]))</f>
        <v>#VALUE!</v>
      </c>
      <c r="I260" s="487" cm="1">
        <f t="array" ref="I260">SUMPRODUCT((ERP[UID]=A260)*(ERP[AP01 LE2]+ERP[AP02 LE2]+ERP[AP03 LE2]+ERP[AP04 LE2]+ERP[AP05 LE2]))</f>
        <v>0</v>
      </c>
      <c r="J260" s="487">
        <f>'ERP_AP7 Macro Failed'!AL262</f>
        <v>0</v>
      </c>
      <c r="K260" t="str">
        <f t="shared" si="6"/>
        <v>Immaterial</v>
      </c>
      <c r="L260" t="str">
        <f t="shared" si="7"/>
        <v>No</v>
      </c>
    </row>
    <row r="261" spans="1:12">
      <c r="A261" t="str">
        <f>'ERP_AP7 Macro Failed'!A263</f>
        <v>L-ERP-217</v>
      </c>
      <c r="B261" t="str">
        <f>'ERP_AP7 Macro Failed'!D263</f>
        <v>Hase, Raj</v>
      </c>
      <c r="C261" t="str">
        <f>'ERP_AP7 Macro Failed'!E263</f>
        <v>Hovanyetz, Mike</v>
      </c>
      <c r="D261" t="str">
        <f>'ERP_AP7 Macro Failed'!G263</f>
        <v>MANAGED SERVICES</v>
      </c>
      <c r="E261" t="str">
        <f>'ERP_AP7 Macro Failed'!H263</f>
        <v>Claim Level Detail (CLD) Retrieval Service</v>
      </c>
      <c r="F261">
        <f>'ERP_AP7 Macro Failed'!I263</f>
        <v>0</v>
      </c>
      <c r="G261" t="str">
        <f>'ERP_AP7 Macro Failed'!K263</f>
        <v>IT-FBT0450-OG-US-00</v>
      </c>
      <c r="H261" s="487" t="e" cm="1">
        <f t="array" ref="H261">SUMPRODUCT((ERP[UID]=A261)*(ERP[AP01]+ERP[AP02]+ERP[AP03]+ERP[AP04]+ERP[AP05]))</f>
        <v>#VALUE!</v>
      </c>
      <c r="I261" s="487" cm="1">
        <f t="array" ref="I261">SUMPRODUCT((ERP[UID]=A261)*(ERP[AP01 LE2]+ERP[AP02 LE2]+ERP[AP03 LE2]+ERP[AP04 LE2]+ERP[AP05 LE2]))</f>
        <v>0</v>
      </c>
      <c r="J261" s="487">
        <f>'ERP_AP7 Macro Failed'!AL263</f>
        <v>0</v>
      </c>
      <c r="K261" t="str">
        <f t="shared" si="6"/>
        <v>Immaterial</v>
      </c>
      <c r="L261" t="str">
        <f t="shared" si="7"/>
        <v>No</v>
      </c>
    </row>
    <row r="262" spans="1:12">
      <c r="A262" t="str">
        <f>'ERP_AP7 Macro Failed'!A264</f>
        <v>L-ERP-538</v>
      </c>
      <c r="B262" t="str">
        <f>'ERP_AP7 Macro Failed'!D264</f>
        <v>Dougherty, Chris</v>
      </c>
      <c r="C262" t="str">
        <f>'ERP_AP7 Macro Failed'!E264</f>
        <v>Tamavada, Ram</v>
      </c>
      <c r="D262" t="str">
        <f>'ERP_AP7 Macro Failed'!G264</f>
        <v>MANAGED SERVICES</v>
      </c>
      <c r="E262" t="str">
        <f>'ERP_AP7 Macro Failed'!H264</f>
        <v>Infosys: Japan L1/L2 SAP FICO L2 Support</v>
      </c>
      <c r="F262" t="str">
        <f>'ERP_AP7 Macro Failed'!I264</f>
        <v>Infosys LTD</v>
      </c>
      <c r="G262" t="str">
        <f>'ERP_AP7 Macro Failed'!K264</f>
        <v>IT-FBT0393-OG-JP-00</v>
      </c>
      <c r="H262" s="487" t="e" cm="1">
        <f t="array" ref="H262">SUMPRODUCT((ERP[UID]=A262)*(ERP[AP01]+ERP[AP02]+ERP[AP03]+ERP[AP04]+ERP[AP05]))</f>
        <v>#VALUE!</v>
      </c>
      <c r="I262" s="487" cm="1">
        <f t="array" ref="I262">SUMPRODUCT((ERP[UID]=A262)*(ERP[AP01 LE2]+ERP[AP02 LE2]+ERP[AP03 LE2]+ERP[AP04 LE2]+ERP[AP05 LE2]))</f>
        <v>51745.31</v>
      </c>
      <c r="J262" s="487">
        <f>'ERP_AP7 Macro Failed'!AL264</f>
        <v>1109.2400000000052</v>
      </c>
      <c r="K262" t="str">
        <f t="shared" ref="K262:K325" si="8">IF(ABS(J262)&gt;=10000,"MATERIAL",IF(ABS(J262)&gt;=1000,"Minor","Immaterial"))</f>
        <v>Minor</v>
      </c>
      <c r="L262" t="str">
        <f t="shared" ref="L262:L325" si="9">IF(ABS(J262)&gt;=10000,"YES","No")</f>
        <v>No</v>
      </c>
    </row>
    <row r="263" spans="1:12">
      <c r="A263" t="str">
        <f>'ERP_AP7 Macro Failed'!A265</f>
        <v>L-ERP-355</v>
      </c>
      <c r="B263" t="str">
        <f>'ERP_AP7 Macro Failed'!D265</f>
        <v>Dougherty, Chris</v>
      </c>
      <c r="C263" t="str">
        <f>'ERP_AP7 Macro Failed'!E265</f>
        <v>McCormick, Pete</v>
      </c>
      <c r="D263" t="str">
        <f>'ERP_AP7 Macro Failed'!G265</f>
        <v>CONTRACTORS</v>
      </c>
      <c r="E263" t="str">
        <f>'ERP_AP7 Macro Failed'!H265</f>
        <v>SAP BTP Level 4 Engineer</v>
      </c>
      <c r="F263">
        <f>'ERP_AP7 Macro Failed'!I265</f>
        <v>0</v>
      </c>
      <c r="G263" t="str">
        <f>'ERP_AP7 Macro Failed'!K265</f>
        <v>IT-FBT0509-OG-US-00</v>
      </c>
      <c r="H263" s="487" t="e" cm="1">
        <f t="array" ref="H263">SUMPRODUCT((ERP[UID]=A263)*(ERP[AP01]+ERP[AP02]+ERP[AP03]+ERP[AP04]+ERP[AP05]))</f>
        <v>#VALUE!</v>
      </c>
      <c r="I263" s="487" cm="1">
        <f t="array" ref="I263">SUMPRODUCT((ERP[UID]=A263)*(ERP[AP01 LE2]+ERP[AP02 LE2]+ERP[AP03 LE2]+ERP[AP04 LE2]+ERP[AP05 LE2]))</f>
        <v>0</v>
      </c>
      <c r="J263" s="487">
        <f>'ERP_AP7 Macro Failed'!AL265</f>
        <v>-12800</v>
      </c>
      <c r="K263" t="str">
        <f t="shared" si="8"/>
        <v>MATERIAL</v>
      </c>
      <c r="L263" t="str">
        <f t="shared" si="9"/>
        <v>YES</v>
      </c>
    </row>
    <row r="264" spans="1:12">
      <c r="A264" t="str">
        <f>'ERP_AP7 Macro Failed'!A266</f>
        <v>L-ERP-437</v>
      </c>
      <c r="B264" t="str">
        <f>'ERP_AP7 Macro Failed'!D266</f>
        <v>Dougherty, Chris</v>
      </c>
      <c r="C264" t="str">
        <f>'ERP_AP7 Macro Failed'!E266</f>
        <v>Meadows, Leslie</v>
      </c>
      <c r="D264" t="str">
        <f>'ERP_AP7 Macro Failed'!G266</f>
        <v>MANAGED SERVICES</v>
      </c>
      <c r="E264" t="str">
        <f>'ERP_AP7 Macro Failed'!H266</f>
        <v>&amp;#39;Infrastructure Charges - TRICENTIS TOSCA (ERP) - Cloud AWS &amp; Data Protection</v>
      </c>
      <c r="F264">
        <f>'ERP_AP7 Macro Failed'!I266</f>
        <v>0</v>
      </c>
      <c r="G264" t="str">
        <f>'ERP_AP7 Macro Failed'!K266</f>
        <v>IT-FBT0524-OG-US-00</v>
      </c>
      <c r="H264" s="487" t="e" cm="1">
        <f t="array" ref="H264">SUMPRODUCT((ERP[UID]=A264)*(ERP[AP01]+ERP[AP02]+ERP[AP03]+ERP[AP04]+ERP[AP05]))</f>
        <v>#VALUE!</v>
      </c>
      <c r="I264" s="487" cm="1">
        <f t="array" ref="I264">SUMPRODUCT((ERP[UID]=A264)*(ERP[AP01 LE2]+ERP[AP02 LE2]+ERP[AP03 LE2]+ERP[AP04 LE2]+ERP[AP05 LE2]))</f>
        <v>759.66</v>
      </c>
      <c r="J264" s="487">
        <f>'ERP_AP7 Macro Failed'!AL266</f>
        <v>-1139.49</v>
      </c>
      <c r="K264" t="str">
        <f t="shared" si="8"/>
        <v>Minor</v>
      </c>
      <c r="L264" t="str">
        <f t="shared" si="9"/>
        <v>No</v>
      </c>
    </row>
    <row r="265" spans="1:12">
      <c r="A265" t="str">
        <f>'ERP_AP7 Macro Failed'!A267</f>
        <v>L-ERP-519</v>
      </c>
      <c r="B265" t="str">
        <f>'ERP_AP7 Macro Failed'!D267</f>
        <v>Dougherty, Chris</v>
      </c>
      <c r="C265" t="str">
        <f>'ERP_AP7 Macro Failed'!E267</f>
        <v>Tamavada, Ram</v>
      </c>
      <c r="D265" t="str">
        <f>'ERP_AP7 Macro Failed'!G267</f>
        <v>MANAGED SERVICES</v>
      </c>
      <c r="E265" t="str">
        <f>'ERP_AP7 Macro Failed'!H267</f>
        <v>&amp;#39;Infrastructure Charges - TRICENTIS TOSCA (ERP) - Cloud AWS &amp; Data Protection</v>
      </c>
      <c r="F265">
        <f>'ERP_AP7 Macro Failed'!I267</f>
        <v>0</v>
      </c>
      <c r="G265" t="str">
        <f>'ERP_AP7 Macro Failed'!K267</f>
        <v>IT-FBT0524-OG-US-00</v>
      </c>
      <c r="H265" s="487" t="e" cm="1">
        <f t="array" ref="H265">SUMPRODUCT((ERP[UID]=A265)*(ERP[AP01]+ERP[AP02]+ERP[AP03]+ERP[AP04]+ERP[AP05]))</f>
        <v>#VALUE!</v>
      </c>
      <c r="I265" s="487" cm="1">
        <f t="array" ref="I265">SUMPRODUCT((ERP[UID]=A265)*(ERP[AP01 LE2]+ERP[AP02 LE2]+ERP[AP03 LE2]+ERP[AP04 LE2]+ERP[AP05 LE2]))</f>
        <v>1351.1499999999999</v>
      </c>
      <c r="J265" s="487">
        <f>'ERP_AP7 Macro Failed'!AL267</f>
        <v>1173.53</v>
      </c>
      <c r="K265" t="str">
        <f t="shared" si="8"/>
        <v>Minor</v>
      </c>
      <c r="L265" t="str">
        <f t="shared" si="9"/>
        <v>No</v>
      </c>
    </row>
    <row r="266" spans="1:12">
      <c r="A266" t="str">
        <f>'ERP_AP7 Macro Failed'!A268</f>
        <v>L-ERP-194</v>
      </c>
      <c r="B266" t="str">
        <f>'ERP_AP7 Macro Failed'!D268</f>
        <v>Hase, Raj</v>
      </c>
      <c r="C266" t="str">
        <f>'ERP_AP7 Macro Failed'!E268</f>
        <v>Herman, Shaun</v>
      </c>
      <c r="D266" t="str">
        <f>'ERP_AP7 Macro Failed'!G268</f>
        <v>CONTRACTORS</v>
      </c>
      <c r="E266" t="str">
        <f>'ERP_AP7 Macro Failed'!H268</f>
        <v>Infrastructure Charges - Ariba Server Superclusters Support</v>
      </c>
      <c r="F266">
        <f>'ERP_AP7 Macro Failed'!I268</f>
        <v>0</v>
      </c>
      <c r="G266" t="str">
        <f>'ERP_AP7 Macro Failed'!K268</f>
        <v>IT-FBT0541-OG-US-00</v>
      </c>
      <c r="H266" s="487" t="e" cm="1">
        <f t="array" ref="H266">SUMPRODUCT((ERP[UID]=A266)*(ERP[AP01]+ERP[AP02]+ERP[AP03]+ERP[AP04]+ERP[AP05]))</f>
        <v>#VALUE!</v>
      </c>
      <c r="I266" s="487" cm="1">
        <f t="array" ref="I266">SUMPRODUCT((ERP[UID]=A266)*(ERP[AP01 LE2]+ERP[AP02 LE2]+ERP[AP03 LE2]+ERP[AP04 LE2]+ERP[AP05 LE2]))</f>
        <v>0</v>
      </c>
      <c r="J266" s="487">
        <f>'ERP_AP7 Macro Failed'!AL268</f>
        <v>79.41</v>
      </c>
      <c r="K266" t="str">
        <f t="shared" si="8"/>
        <v>Immaterial</v>
      </c>
      <c r="L266" t="str">
        <f t="shared" si="9"/>
        <v>No</v>
      </c>
    </row>
    <row r="267" spans="1:12">
      <c r="A267" t="str">
        <f>'ERP_AP7 Macro Failed'!A269</f>
        <v>L-ERP-195</v>
      </c>
      <c r="B267" t="str">
        <f>'ERP_AP7 Macro Failed'!D269</f>
        <v>Hase, Raj</v>
      </c>
      <c r="C267" t="str">
        <f>'ERP_AP7 Macro Failed'!E269</f>
        <v>Herman, Shaun</v>
      </c>
      <c r="D267" t="str">
        <f>'ERP_AP7 Macro Failed'!G269</f>
        <v>MANAGED SERVICES</v>
      </c>
      <c r="E267" t="str">
        <f>'ERP_AP7 Macro Failed'!H269</f>
        <v>Infrastructure Charges - Ariba Server Superclusters Support</v>
      </c>
      <c r="F267">
        <f>'ERP_AP7 Macro Failed'!I269</f>
        <v>0</v>
      </c>
      <c r="G267" t="str">
        <f>'ERP_AP7 Macro Failed'!K269</f>
        <v>IT-FBT0541-OG-US-00</v>
      </c>
      <c r="H267" s="487" t="e" cm="1">
        <f t="array" ref="H267">SUMPRODUCT((ERP[UID]=A267)*(ERP[AP01]+ERP[AP02]+ERP[AP03]+ERP[AP04]+ERP[AP05]))</f>
        <v>#VALUE!</v>
      </c>
      <c r="I267" s="487" cm="1">
        <f t="array" ref="I267">SUMPRODUCT((ERP[UID]=A267)*(ERP[AP01 LE2]+ERP[AP02 LE2]+ERP[AP03 LE2]+ERP[AP04 LE2]+ERP[AP05 LE2]))</f>
        <v>4941.6500000000005</v>
      </c>
      <c r="J267" s="487">
        <f>'ERP_AP7 Macro Failed'!AL269</f>
        <v>10154.129999999997</v>
      </c>
      <c r="K267" t="str">
        <f t="shared" si="8"/>
        <v>MATERIAL</v>
      </c>
      <c r="L267" t="str">
        <f t="shared" si="9"/>
        <v>YES</v>
      </c>
    </row>
    <row r="268" spans="1:12">
      <c r="A268" t="str">
        <f>'ERP_AP7 Macro Failed'!A270</f>
        <v>L-ERP-148</v>
      </c>
      <c r="B268" t="str">
        <f>'ERP_AP7 Macro Failed'!D270</f>
        <v>Hase, Raj</v>
      </c>
      <c r="C268" t="str">
        <f>'ERP_AP7 Macro Failed'!E270</f>
        <v>Ganesan, Srinivasan</v>
      </c>
      <c r="D268" t="str">
        <f>'ERP_AP7 Macro Failed'!G270</f>
        <v>CONTRACTORS</v>
      </c>
      <c r="E268" t="str">
        <f>'ERP_AP7 Macro Failed'!H270</f>
        <v>Market Logistics Functional Support</v>
      </c>
      <c r="F268" t="str">
        <f>'ERP_AP7 Macro Failed'!I270</f>
        <v>IBM CORP</v>
      </c>
      <c r="G268" t="str">
        <f>'ERP_AP7 Macro Failed'!K270</f>
        <v>IT-FBT0544-OG-US-00</v>
      </c>
      <c r="H268" s="487" t="e" cm="1">
        <f t="array" ref="H268">SUMPRODUCT((ERP[UID]=A268)*(ERP[AP01]+ERP[AP02]+ERP[AP03]+ERP[AP04]+ERP[AP05]))</f>
        <v>#VALUE!</v>
      </c>
      <c r="I268" s="487" cm="1">
        <f t="array" ref="I268">SUMPRODUCT((ERP[UID]=A268)*(ERP[AP01 LE2]+ERP[AP02 LE2]+ERP[AP03 LE2]+ERP[AP04 LE2]+ERP[AP05 LE2]))</f>
        <v>618517.79</v>
      </c>
      <c r="J268" s="487">
        <f>'ERP_AP7 Macro Failed'!AL270</f>
        <v>42438.830000000075</v>
      </c>
      <c r="K268" t="str">
        <f t="shared" si="8"/>
        <v>MATERIAL</v>
      </c>
      <c r="L268" t="str">
        <f t="shared" si="9"/>
        <v>YES</v>
      </c>
    </row>
    <row r="269" spans="1:12">
      <c r="A269" t="str">
        <f>'ERP_AP7 Macro Failed'!A271</f>
        <v>L-ERP-149</v>
      </c>
      <c r="B269" t="str">
        <f>'ERP_AP7 Macro Failed'!D271</f>
        <v>Hase, Raj</v>
      </c>
      <c r="C269" t="str">
        <f>'ERP_AP7 Macro Failed'!E271</f>
        <v>Ganesan, Srinivasan</v>
      </c>
      <c r="D269" t="str">
        <f>'ERP_AP7 Macro Failed'!G271</f>
        <v>CONTRACTORS</v>
      </c>
      <c r="E269" t="str">
        <f>'ERP_AP7 Macro Failed'!H271</f>
        <v>GLNS Functional Support</v>
      </c>
      <c r="F269" t="str">
        <f>'ERP_AP7 Macro Failed'!I271</f>
        <v>IBM CORP</v>
      </c>
      <c r="G269" t="str">
        <f>'ERP_AP7 Macro Failed'!K271</f>
        <v>IT-FBT0545-OG-US-00</v>
      </c>
      <c r="H269" s="487" t="e" cm="1">
        <f t="array" ref="H269">SUMPRODUCT((ERP[UID]=A269)*(ERP[AP01]+ERP[AP02]+ERP[AP03]+ERP[AP04]+ERP[AP05]))</f>
        <v>#VALUE!</v>
      </c>
      <c r="I269" s="487" cm="1">
        <f t="array" ref="I269">SUMPRODUCT((ERP[UID]=A269)*(ERP[AP01 LE2]+ERP[AP02 LE2]+ERP[AP03 LE2]+ERP[AP04 LE2]+ERP[AP05 LE2]))</f>
        <v>346207.62</v>
      </c>
      <c r="J269" s="487">
        <f>'ERP_AP7 Macro Failed'!AL271</f>
        <v>-12009.900000000023</v>
      </c>
      <c r="K269" t="str">
        <f t="shared" si="8"/>
        <v>MATERIAL</v>
      </c>
      <c r="L269" t="str">
        <f t="shared" si="9"/>
        <v>YES</v>
      </c>
    </row>
    <row r="270" spans="1:12">
      <c r="A270" t="str">
        <f>'ERP_AP7 Macro Failed'!A272</f>
        <v>L-ERP-138</v>
      </c>
      <c r="B270" t="str">
        <f>'ERP_AP7 Macro Failed'!D272</f>
        <v>Hase, Raj</v>
      </c>
      <c r="C270" t="str">
        <f>'ERP_AP7 Macro Failed'!E272</f>
        <v>Ganesan, Srinivasan</v>
      </c>
      <c r="D270" t="str">
        <f>'ERP_AP7 Macro Failed'!G272</f>
        <v>CONTRACTORS</v>
      </c>
      <c r="E270" t="str">
        <f>'ERP_AP7 Macro Failed'!H272</f>
        <v>MuleSoft - GLNS (Contractors)_XFR0786</v>
      </c>
      <c r="F270">
        <f>'ERP_AP7 Macro Failed'!I272</f>
        <v>0</v>
      </c>
      <c r="G270" t="str">
        <f>'ERP_AP7 Macro Failed'!K272</f>
        <v>IT-FBT0546-OG-US-00</v>
      </c>
      <c r="H270" s="487" t="e" cm="1">
        <f t="array" ref="H270">SUMPRODUCT((ERP[UID]=A270)*(ERP[AP01]+ERP[AP02]+ERP[AP03]+ERP[AP04]+ERP[AP05]))</f>
        <v>#VALUE!</v>
      </c>
      <c r="I270" s="487" cm="1">
        <f t="array" ref="I270">SUMPRODUCT((ERP[UID]=A270)*(ERP[AP01 LE2]+ERP[AP02 LE2]+ERP[AP03 LE2]+ERP[AP04 LE2]+ERP[AP05 LE2]))</f>
        <v>0</v>
      </c>
      <c r="J270" s="487">
        <f>'ERP_AP7 Macro Failed'!AL272</f>
        <v>0</v>
      </c>
      <c r="K270" t="str">
        <f t="shared" si="8"/>
        <v>Immaterial</v>
      </c>
      <c r="L270" t="str">
        <f t="shared" si="9"/>
        <v>No</v>
      </c>
    </row>
    <row r="271" spans="1:12">
      <c r="A271" t="str">
        <f>'ERP_AP7 Macro Failed'!A273</f>
        <v>L-ERP-478</v>
      </c>
      <c r="B271" t="str">
        <f>'ERP_AP7 Macro Failed'!D273</f>
        <v>Robertson, Jerome</v>
      </c>
      <c r="C271" t="str">
        <f>'ERP_AP7 Macro Failed'!E273</f>
        <v>Robertson, Jerome</v>
      </c>
      <c r="D271" t="str">
        <f>'ERP_AP7 Macro Failed'!G273</f>
        <v>CONTRACTORS</v>
      </c>
      <c r="E271" t="str">
        <f>'ERP_AP7 Macro Failed'!H273</f>
        <v>SAP BI (ERP BI Development Factory) (IBM)</v>
      </c>
      <c r="F271">
        <f>'ERP_AP7 Macro Failed'!I273</f>
        <v>0</v>
      </c>
      <c r="G271" t="str">
        <f>'ERP_AP7 Macro Failed'!K273</f>
        <v>IT-FBT0572-OG-US-00</v>
      </c>
      <c r="H271" s="487" t="e" cm="1">
        <f t="array" ref="H271">SUMPRODUCT((ERP[UID]=A271)*(ERP[AP01]+ERP[AP02]+ERP[AP03]+ERP[AP04]+ERP[AP05]))</f>
        <v>#VALUE!</v>
      </c>
      <c r="I271" s="487" cm="1">
        <f t="array" ref="I271">SUMPRODUCT((ERP[UID]=A271)*(ERP[AP01 LE2]+ERP[AP02 LE2]+ERP[AP03 LE2]+ERP[AP04 LE2]+ERP[AP05 LE2]))</f>
        <v>53297.440000000002</v>
      </c>
      <c r="J271" s="487">
        <f>'ERP_AP7 Macro Failed'!AL273</f>
        <v>-17667.090000000004</v>
      </c>
      <c r="K271" t="str">
        <f t="shared" si="8"/>
        <v>MATERIAL</v>
      </c>
      <c r="L271" t="str">
        <f t="shared" si="9"/>
        <v>YES</v>
      </c>
    </row>
    <row r="272" spans="1:12">
      <c r="A272" t="str">
        <f>'ERP_AP7 Macro Failed'!A274</f>
        <v>L-ERP-498</v>
      </c>
      <c r="B272" t="str">
        <f>'ERP_AP7 Macro Failed'!D274</f>
        <v>Robertson, Jerome</v>
      </c>
      <c r="C272" t="str">
        <f>'ERP_AP7 Macro Failed'!E274</f>
        <v>Robertson, Jerome</v>
      </c>
      <c r="D272" t="str">
        <f>'ERP_AP7 Macro Failed'!G274</f>
        <v>CONTRACTORS</v>
      </c>
      <c r="E272" t="str">
        <f>'ERP_AP7 Macro Failed'!H274</f>
        <v>SAP BI Support</v>
      </c>
      <c r="F272">
        <f>'ERP_AP7 Macro Failed'!I274</f>
        <v>0</v>
      </c>
      <c r="G272" t="str">
        <f>'ERP_AP7 Macro Failed'!K274</f>
        <v>IT-FBT0573-OG-US-00</v>
      </c>
      <c r="H272" s="487" t="e" cm="1">
        <f t="array" ref="H272">SUMPRODUCT((ERP[UID]=A272)*(ERP[AP01]+ERP[AP02]+ERP[AP03]+ERP[AP04]+ERP[AP05]))</f>
        <v>#VALUE!</v>
      </c>
      <c r="I272" s="487" cm="1">
        <f t="array" ref="I272">SUMPRODUCT((ERP[UID]=A272)*(ERP[AP01 LE2]+ERP[AP02 LE2]+ERP[AP03 LE2]+ERP[AP04 LE2]+ERP[AP05 LE2]))</f>
        <v>112717.21</v>
      </c>
      <c r="J272" s="487">
        <f>'ERP_AP7 Macro Failed'!AL274</f>
        <v>0</v>
      </c>
      <c r="K272" t="str">
        <f t="shared" si="8"/>
        <v>Immaterial</v>
      </c>
      <c r="L272" t="str">
        <f t="shared" si="9"/>
        <v>No</v>
      </c>
    </row>
    <row r="273" spans="1:12">
      <c r="A273" t="str">
        <f>'ERP_AP7 Macro Failed'!A275</f>
        <v>L-ERP-499</v>
      </c>
      <c r="B273" t="str">
        <f>'ERP_AP7 Macro Failed'!D275</f>
        <v>Robertson, Jerome</v>
      </c>
      <c r="C273" t="str">
        <f>'ERP_AP7 Macro Failed'!E275</f>
        <v>Robertson, Jerome</v>
      </c>
      <c r="D273" t="str">
        <f>'ERP_AP7 Macro Failed'!G275</f>
        <v>MANAGED SERVICES</v>
      </c>
      <c r="E273" t="str">
        <f>'ERP_AP7 Macro Failed'!H275</f>
        <v>SAP BI Support</v>
      </c>
      <c r="F273">
        <f>'ERP_AP7 Macro Failed'!I275</f>
        <v>0</v>
      </c>
      <c r="G273" t="str">
        <f>'ERP_AP7 Macro Failed'!K275</f>
        <v>IT-FBT0573-OG-US-00</v>
      </c>
      <c r="H273" s="487" t="e" cm="1">
        <f t="array" ref="H273">SUMPRODUCT((ERP[UID]=A273)*(ERP[AP01]+ERP[AP02]+ERP[AP03]+ERP[AP04]+ERP[AP05]))</f>
        <v>#VALUE!</v>
      </c>
      <c r="I273" s="487" cm="1">
        <f t="array" ref="I273">SUMPRODUCT((ERP[UID]=A273)*(ERP[AP01 LE2]+ERP[AP02 LE2]+ERP[AP03 LE2]+ERP[AP04 LE2]+ERP[AP05 LE2]))</f>
        <v>414231.03</v>
      </c>
      <c r="J273" s="487">
        <f>'ERP_AP7 Macro Failed'!AL275</f>
        <v>1</v>
      </c>
      <c r="K273" t="str">
        <f t="shared" si="8"/>
        <v>Immaterial</v>
      </c>
      <c r="L273" t="str">
        <f t="shared" si="9"/>
        <v>No</v>
      </c>
    </row>
    <row r="274" spans="1:12">
      <c r="A274" t="str">
        <f>'ERP_AP7 Macro Failed'!A276</f>
        <v>L-ERP-500</v>
      </c>
      <c r="B274" t="str">
        <f>'ERP_AP7 Macro Failed'!D276</f>
        <v>Robertson, Jerome</v>
      </c>
      <c r="C274" t="str">
        <f>'ERP_AP7 Macro Failed'!E276</f>
        <v>Robertson, Jerome</v>
      </c>
      <c r="D274" t="str">
        <f>'ERP_AP7 Macro Failed'!G276</f>
        <v>MANAGED SERVICES</v>
      </c>
      <c r="E274" t="str">
        <f>'ERP_AP7 Macro Failed'!H276</f>
        <v>SAP BI Support</v>
      </c>
      <c r="F274">
        <f>'ERP_AP7 Macro Failed'!I276</f>
        <v>0</v>
      </c>
      <c r="G274" t="str">
        <f>'ERP_AP7 Macro Failed'!K276</f>
        <v>IT-FBT0573-OG-US-00-CB</v>
      </c>
      <c r="H274" s="487" t="e" cm="1">
        <f t="array" ref="H274">SUMPRODUCT((ERP[UID]=A274)*(ERP[AP01]+ERP[AP02]+ERP[AP03]+ERP[AP04]+ERP[AP05]))</f>
        <v>#VALUE!</v>
      </c>
      <c r="I274" s="487" cm="1">
        <f t="array" ref="I274">SUMPRODUCT((ERP[UID]=A274)*(ERP[AP01 LE2]+ERP[AP02 LE2]+ERP[AP03 LE2]+ERP[AP04 LE2]+ERP[AP05 LE2]))</f>
        <v>0</v>
      </c>
      <c r="J274" s="487">
        <f>'ERP_AP7 Macro Failed'!AL276</f>
        <v>0</v>
      </c>
      <c r="K274" t="str">
        <f t="shared" si="8"/>
        <v>Immaterial</v>
      </c>
      <c r="L274" t="str">
        <f t="shared" si="9"/>
        <v>No</v>
      </c>
    </row>
    <row r="275" spans="1:12">
      <c r="A275" t="str">
        <f>'ERP_AP7 Macro Failed'!A277</f>
        <v>L-ERP-511</v>
      </c>
      <c r="B275" t="str">
        <f>'ERP_AP7 Macro Failed'!D277</f>
        <v>Dougherty, Chris</v>
      </c>
      <c r="C275" t="str">
        <f>'ERP_AP7 Macro Failed'!E277</f>
        <v>Tamavada, Ram</v>
      </c>
      <c r="D275" t="str">
        <f>'ERP_AP7 Macro Failed'!G277</f>
        <v>MANAGED SERVICES</v>
      </c>
      <c r="E275" t="str">
        <f>'ERP_AP7 Macro Failed'!H277</f>
        <v>SAP: Ariba Offshore Technical Consultant (Ariba/SAP Product Vendor)</v>
      </c>
      <c r="F275">
        <f>'ERP_AP7 Macro Failed'!I277</f>
        <v>0</v>
      </c>
      <c r="G275" t="str">
        <f>'ERP_AP7 Macro Failed'!K277</f>
        <v>IT-FBT0528-OG-US-00</v>
      </c>
      <c r="H275" s="487" t="e" cm="1">
        <f t="array" ref="H275">SUMPRODUCT((ERP[UID]=A275)*(ERP[AP01]+ERP[AP02]+ERP[AP03]+ERP[AP04]+ERP[AP05]))</f>
        <v>#VALUE!</v>
      </c>
      <c r="I275" s="487" cm="1">
        <f t="array" ref="I275">SUMPRODUCT((ERP[UID]=A275)*(ERP[AP01 LE2]+ERP[AP02 LE2]+ERP[AP03 LE2]+ERP[AP04 LE2]+ERP[AP05 LE2]))</f>
        <v>24587</v>
      </c>
      <c r="J275" s="487">
        <f>'ERP_AP7 Macro Failed'!AL277</f>
        <v>-8127.43</v>
      </c>
      <c r="K275" t="str">
        <f t="shared" si="8"/>
        <v>Minor</v>
      </c>
      <c r="L275" t="str">
        <f t="shared" si="9"/>
        <v>No</v>
      </c>
    </row>
    <row r="276" spans="1:12">
      <c r="A276" t="str">
        <f>'ERP_AP7 Macro Failed'!A278</f>
        <v>L-ERP-071</v>
      </c>
      <c r="B276" t="str">
        <f>'ERP_AP7 Macro Failed'!D278</f>
        <v>Dougherty, Chris</v>
      </c>
      <c r="C276" t="str">
        <f>'ERP_AP7 Macro Failed'!E278</f>
        <v>Dougherty, Chris</v>
      </c>
      <c r="D276" t="str">
        <f>'ERP_AP7 Macro Failed'!G278</f>
        <v>MANAGED SERVICES</v>
      </c>
      <c r="E276" t="str">
        <f>'ERP_AP7 Macro Failed'!H278</f>
        <v>Infrastructure Charges - Oracle EPM Cloud FastConnect MPLS circuit</v>
      </c>
      <c r="F276">
        <f>'ERP_AP7 Macro Failed'!I278</f>
        <v>0</v>
      </c>
      <c r="G276" t="str">
        <f>'ERP_AP7 Macro Failed'!K278</f>
        <v>IT-FBT0587-OG-US-00</v>
      </c>
      <c r="H276" s="487" t="e" cm="1">
        <f t="array" ref="H276">SUMPRODUCT((ERP[UID]=A276)*(ERP[AP01]+ERP[AP02]+ERP[AP03]+ERP[AP04]+ERP[AP05]))</f>
        <v>#VALUE!</v>
      </c>
      <c r="I276" s="487" cm="1">
        <f t="array" ref="I276">SUMPRODUCT((ERP[UID]=A276)*(ERP[AP01 LE2]+ERP[AP02 LE2]+ERP[AP03 LE2]+ERP[AP04 LE2]+ERP[AP05 LE2]))</f>
        <v>4409.3999999999996</v>
      </c>
      <c r="J276" s="487">
        <f>'ERP_AP7 Macro Failed'!AL278</f>
        <v>0</v>
      </c>
      <c r="K276" t="str">
        <f t="shared" si="8"/>
        <v>Immaterial</v>
      </c>
      <c r="L276" t="str">
        <f t="shared" si="9"/>
        <v>No</v>
      </c>
    </row>
    <row r="277" spans="1:12">
      <c r="A277" t="str">
        <f>'ERP_AP7 Macro Failed'!A279</f>
        <v>L-ERP-520</v>
      </c>
      <c r="B277" t="str">
        <f>'ERP_AP7 Macro Failed'!D279</f>
        <v>Dougherty, Chris</v>
      </c>
      <c r="C277" t="str">
        <f>'ERP_AP7 Macro Failed'!E279</f>
        <v>Tamavada, Ram</v>
      </c>
      <c r="D277" t="str">
        <f>'ERP_AP7 Macro Failed'!G279</f>
        <v>MANAGED SERVICES</v>
      </c>
      <c r="E277" t="str">
        <f>'ERP_AP7 Macro Failed'!H279</f>
        <v>Infrastructure Charges - Oracle EPM Cloud FastConnect MPLS circuit</v>
      </c>
      <c r="F277">
        <f>'ERP_AP7 Macro Failed'!I279</f>
        <v>0</v>
      </c>
      <c r="G277" t="str">
        <f>'ERP_AP7 Macro Failed'!K279</f>
        <v>IT-FBT0587-OG-US-00</v>
      </c>
      <c r="H277" s="487" t="e" cm="1">
        <f t="array" ref="H277">SUMPRODUCT((ERP[UID]=A277)*(ERP[AP01]+ERP[AP02]+ERP[AP03]+ERP[AP04]+ERP[AP05]))</f>
        <v>#VALUE!</v>
      </c>
      <c r="I277" s="487" cm="1">
        <f t="array" ref="I277">SUMPRODUCT((ERP[UID]=A277)*(ERP[AP01 LE2]+ERP[AP02 LE2]+ERP[AP03 LE2]+ERP[AP04 LE2]+ERP[AP05 LE2]))</f>
        <v>0</v>
      </c>
      <c r="J277" s="487">
        <f>'ERP_AP7 Macro Failed'!AL279</f>
        <v>0</v>
      </c>
      <c r="K277" t="str">
        <f t="shared" si="8"/>
        <v>Immaterial</v>
      </c>
      <c r="L277" t="str">
        <f t="shared" si="9"/>
        <v>No</v>
      </c>
    </row>
    <row r="278" spans="1:12">
      <c r="A278" t="str">
        <f>'ERP_AP7 Macro Failed'!A280</f>
        <v>L-ERP-521</v>
      </c>
      <c r="B278" t="str">
        <f>'ERP_AP7 Macro Failed'!D280</f>
        <v>Dougherty, Chris</v>
      </c>
      <c r="C278" t="str">
        <f>'ERP_AP7 Macro Failed'!E280</f>
        <v>Tamavada, Ram</v>
      </c>
      <c r="D278" t="str">
        <f>'ERP_AP7 Macro Failed'!G280</f>
        <v>MANAGED SERVICES</v>
      </c>
      <c r="E278" t="str">
        <f>'ERP_AP7 Macro Failed'!H280</f>
        <v>Infrastructure Charges - SAP AG iVPN site-to-site</v>
      </c>
      <c r="F278">
        <f>'ERP_AP7 Macro Failed'!I280</f>
        <v>0</v>
      </c>
      <c r="G278" t="str">
        <f>'ERP_AP7 Macro Failed'!K280</f>
        <v>IT-FBT0588-OG-US-00</v>
      </c>
      <c r="H278" s="487" t="e" cm="1">
        <f t="array" ref="H278">SUMPRODUCT((ERP[UID]=A278)*(ERP[AP01]+ERP[AP02]+ERP[AP03]+ERP[AP04]+ERP[AP05]))</f>
        <v>#VALUE!</v>
      </c>
      <c r="I278" s="487" cm="1">
        <f t="array" ref="I278">SUMPRODUCT((ERP[UID]=A278)*(ERP[AP01 LE2]+ERP[AP02 LE2]+ERP[AP03 LE2]+ERP[AP04 LE2]+ERP[AP05 LE2]))</f>
        <v>4412.3066660000004</v>
      </c>
      <c r="J278" s="487">
        <f>'ERP_AP7 Macro Failed'!AL280</f>
        <v>-4.359999000001153</v>
      </c>
      <c r="K278" t="str">
        <f t="shared" si="8"/>
        <v>Immaterial</v>
      </c>
      <c r="L278" t="str">
        <f t="shared" si="9"/>
        <v>No</v>
      </c>
    </row>
    <row r="279" spans="1:12">
      <c r="A279" t="str">
        <f>'ERP_AP7 Macro Failed'!A281</f>
        <v>L-ERP-536</v>
      </c>
      <c r="B279" t="str">
        <f>'ERP_AP7 Macro Failed'!D281</f>
        <v>Dougherty, Chris</v>
      </c>
      <c r="C279" t="str">
        <f>'ERP_AP7 Macro Failed'!E281</f>
        <v>Tamavada, Ram</v>
      </c>
      <c r="D279" t="str">
        <f>'ERP_AP7 Macro Failed'!G281</f>
        <v>CONTRACTORS</v>
      </c>
      <c r="E279" t="str">
        <f>'ERP_AP7 Macro Failed'!H281</f>
        <v>India SAP Helpdesk Support / Team Computers L1/L1.5</v>
      </c>
      <c r="F279">
        <f>'ERP_AP7 Macro Failed'!I281</f>
        <v>0</v>
      </c>
      <c r="G279" t="str">
        <f>'ERP_AP7 Macro Failed'!K281</f>
        <v>IT-FBT0636-OG-IN-00</v>
      </c>
      <c r="H279" s="487" t="e" cm="1">
        <f t="array" ref="H279">SUMPRODUCT((ERP[UID]=A279)*(ERP[AP01]+ERP[AP02]+ERP[AP03]+ERP[AP04]+ERP[AP05]))</f>
        <v>#VALUE!</v>
      </c>
      <c r="I279" s="487" cm="1">
        <f t="array" ref="I279">SUMPRODUCT((ERP[UID]=A279)*(ERP[AP01 LE2]+ERP[AP02 LE2]+ERP[AP03 LE2]+ERP[AP04 LE2]+ERP[AP05 LE2]))</f>
        <v>27193.880000000005</v>
      </c>
      <c r="J279" s="487">
        <f>'ERP_AP7 Macro Failed'!AL281</f>
        <v>-1599.5900000000074</v>
      </c>
      <c r="K279" t="str">
        <f t="shared" si="8"/>
        <v>Minor</v>
      </c>
      <c r="L279" t="str">
        <f t="shared" si="9"/>
        <v>No</v>
      </c>
    </row>
    <row r="280" spans="1:12">
      <c r="A280" t="str">
        <f>'ERP_AP7 Macro Failed'!A282</f>
        <v>L-ERP-537</v>
      </c>
      <c r="B280" t="str">
        <f>'ERP_AP7 Macro Failed'!D282</f>
        <v>Dougherty, Chris</v>
      </c>
      <c r="C280" t="str">
        <f>'ERP_AP7 Macro Failed'!E282</f>
        <v>Tamavada, Ram</v>
      </c>
      <c r="D280" t="str">
        <f>'ERP_AP7 Macro Failed'!G282</f>
        <v>CONTRACTORS</v>
      </c>
      <c r="E280" t="str">
        <f>'ERP_AP7 Macro Failed'!H282</f>
        <v>India Prime Solution Maintenance</v>
      </c>
      <c r="F280">
        <f>'ERP_AP7 Macro Failed'!I282</f>
        <v>0</v>
      </c>
      <c r="G280" t="str">
        <f>'ERP_AP7 Macro Failed'!K282</f>
        <v>IT-FBT0637-OG-IN-00</v>
      </c>
      <c r="H280" s="487" t="e" cm="1">
        <f t="array" ref="H280">SUMPRODUCT((ERP[UID]=A280)*(ERP[AP01]+ERP[AP02]+ERP[AP03]+ERP[AP04]+ERP[AP05]))</f>
        <v>#VALUE!</v>
      </c>
      <c r="I280" s="487" cm="1">
        <f t="array" ref="I280">SUMPRODUCT((ERP[UID]=A280)*(ERP[AP01 LE2]+ERP[AP02 LE2]+ERP[AP03 LE2]+ERP[AP04 LE2]+ERP[AP05 LE2]))</f>
        <v>3875.5299999999997</v>
      </c>
      <c r="J280" s="487">
        <f>'ERP_AP7 Macro Failed'!AL282</f>
        <v>-12.269999999999527</v>
      </c>
      <c r="K280" t="str">
        <f t="shared" si="8"/>
        <v>Immaterial</v>
      </c>
      <c r="L280" t="str">
        <f t="shared" si="9"/>
        <v>No</v>
      </c>
    </row>
    <row r="281" spans="1:12">
      <c r="A281" t="str">
        <f>'ERP_AP7 Macro Failed'!A283</f>
        <v>L-ERP-539</v>
      </c>
      <c r="B281" t="str">
        <f>'ERP_AP7 Macro Failed'!D283</f>
        <v>Dougherty, Chris</v>
      </c>
      <c r="C281" t="str">
        <f>'ERP_AP7 Macro Failed'!E283</f>
        <v>Tamavada, Ram</v>
      </c>
      <c r="D281" t="str">
        <f>'ERP_AP7 Macro Failed'!G283</f>
        <v>MANAGED SERVICES</v>
      </c>
      <c r="E281" t="str">
        <f>'ERP_AP7 Macro Failed'!H283</f>
        <v>Japan SAP BI &amp; SD Support</v>
      </c>
      <c r="F281">
        <f>'ERP_AP7 Macro Failed'!I283</f>
        <v>0</v>
      </c>
      <c r="G281" t="str">
        <f>'ERP_AP7 Macro Failed'!K283</f>
        <v>IT-FBT0638-OG-JP-00</v>
      </c>
      <c r="H281" s="487" t="e" cm="1">
        <f t="array" ref="H281">SUMPRODUCT((ERP[UID]=A281)*(ERP[AP01]+ERP[AP02]+ERP[AP03]+ERP[AP04]+ERP[AP05]))</f>
        <v>#VALUE!</v>
      </c>
      <c r="I281" s="487" cm="1">
        <f t="array" ref="I281">SUMPRODUCT((ERP[UID]=A281)*(ERP[AP01 LE2]+ERP[AP02 LE2]+ERP[AP03 LE2]+ERP[AP04 LE2]+ERP[AP05 LE2]))</f>
        <v>51777.259999999995</v>
      </c>
      <c r="J281" s="487">
        <f>'ERP_AP7 Macro Failed'!AL283</f>
        <v>-889.72000000000116</v>
      </c>
      <c r="K281" t="str">
        <f t="shared" si="8"/>
        <v>Immaterial</v>
      </c>
      <c r="L281" t="str">
        <f t="shared" si="9"/>
        <v>No</v>
      </c>
    </row>
    <row r="282" spans="1:12">
      <c r="A282" t="str">
        <f>'ERP_AP7 Macro Failed'!A284</f>
        <v>L-ERP-139</v>
      </c>
      <c r="B282" t="str">
        <f>'ERP_AP7 Macro Failed'!D284</f>
        <v>Hase, Raj</v>
      </c>
      <c r="C282" t="str">
        <f>'ERP_AP7 Macro Failed'!E284</f>
        <v>Ganesan, Srinivasan</v>
      </c>
      <c r="D282" t="str">
        <f>'ERP_AP7 Macro Failed'!G284</f>
        <v>CONTRACTORS</v>
      </c>
      <c r="E282" t="str">
        <f>'ERP_AP7 Macro Failed'!H284</f>
        <v>Mulesoft - Logistics (Contractors)</v>
      </c>
      <c r="F282">
        <f>'ERP_AP7 Macro Failed'!I284</f>
        <v>0</v>
      </c>
      <c r="G282" t="str">
        <f>'ERP_AP7 Macro Failed'!K284</f>
        <v>IT-FBT0657-OG-US-00</v>
      </c>
      <c r="H282" s="487" t="e" cm="1">
        <f t="array" ref="H282">SUMPRODUCT((ERP[UID]=A282)*(ERP[AP01]+ERP[AP02]+ERP[AP03]+ERP[AP04]+ERP[AP05]))</f>
        <v>#VALUE!</v>
      </c>
      <c r="I282" s="487" cm="1">
        <f t="array" ref="I282">SUMPRODUCT((ERP[UID]=A282)*(ERP[AP01 LE2]+ERP[AP02 LE2]+ERP[AP03 LE2]+ERP[AP04 LE2]+ERP[AP05 LE2]))</f>
        <v>0</v>
      </c>
      <c r="J282" s="487">
        <f>'ERP_AP7 Macro Failed'!AL284</f>
        <v>0</v>
      </c>
      <c r="K282" t="str">
        <f t="shared" si="8"/>
        <v>Immaterial</v>
      </c>
      <c r="L282" t="str">
        <f t="shared" si="9"/>
        <v>No</v>
      </c>
    </row>
    <row r="283" spans="1:12">
      <c r="A283" t="str">
        <f>'ERP_AP7 Macro Failed'!A285</f>
        <v>L-ERP-128</v>
      </c>
      <c r="B283" t="str">
        <f>'ERP_AP7 Macro Failed'!D285</f>
        <v>Hase, Raj</v>
      </c>
      <c r="C283" t="str">
        <f>'ERP_AP7 Macro Failed'!E285</f>
        <v>Ganesan, Srinivasan</v>
      </c>
      <c r="D283" t="str">
        <f>'ERP_AP7 Macro Failed'!G285</f>
        <v>MANAGED SERVICES</v>
      </c>
      <c r="E283" t="str">
        <f>'ERP_AP7 Macro Failed'!H285</f>
        <v>Logistics LMS &amp; Manhattan IoD</v>
      </c>
      <c r="F283">
        <f>'ERP_AP7 Macro Failed'!I285</f>
        <v>0</v>
      </c>
      <c r="G283" t="str">
        <f>'ERP_AP7 Macro Failed'!K285</f>
        <v>IT-FBT0658-OG-US-00</v>
      </c>
      <c r="H283" s="487" t="e" cm="1">
        <f t="array" ref="H283">SUMPRODUCT((ERP[UID]=A283)*(ERP[AP01]+ERP[AP02]+ERP[AP03]+ERP[AP04]+ERP[AP05]))</f>
        <v>#VALUE!</v>
      </c>
      <c r="I283" s="487" cm="1">
        <f t="array" ref="I283">SUMPRODUCT((ERP[UID]=A283)*(ERP[AP01 LE2]+ERP[AP02 LE2]+ERP[AP03 LE2]+ERP[AP04 LE2]+ERP[AP05 LE2]))</f>
        <v>2792.2400000000002</v>
      </c>
      <c r="J283" s="487">
        <f>'ERP_AP7 Macro Failed'!AL285</f>
        <v>-178.85000000000036</v>
      </c>
      <c r="K283" t="str">
        <f t="shared" si="8"/>
        <v>Immaterial</v>
      </c>
      <c r="L283" t="str">
        <f t="shared" si="9"/>
        <v>No</v>
      </c>
    </row>
    <row r="284" spans="1:12">
      <c r="A284" t="str">
        <f>'ERP_AP7 Macro Failed'!A286</f>
        <v>L-ERP-132</v>
      </c>
      <c r="B284" t="str">
        <f>'ERP_AP7 Macro Failed'!D286</f>
        <v>Hase, Raj</v>
      </c>
      <c r="C284" t="str">
        <f>'ERP_AP7 Macro Failed'!E286</f>
        <v>Ganesan, Srinivasan</v>
      </c>
      <c r="D284" t="str">
        <f>'ERP_AP7 Macro Failed'!G286</f>
        <v>SOFTWARE</v>
      </c>
      <c r="E284" t="str">
        <f>'ERP_AP7 Macro Failed'!H286</f>
        <v>Logistics LMS &amp; Manhattan IoD</v>
      </c>
      <c r="F284">
        <f>'ERP_AP7 Macro Failed'!I286</f>
        <v>0</v>
      </c>
      <c r="G284" t="str">
        <f>'ERP_AP7 Macro Failed'!K286</f>
        <v>IT-FBT0658-OG-US-00</v>
      </c>
      <c r="H284" s="487" t="e" cm="1">
        <f t="array" ref="H284">SUMPRODUCT((ERP[UID]=A284)*(ERP[AP01]+ERP[AP02]+ERP[AP03]+ERP[AP04]+ERP[AP05]))</f>
        <v>#VALUE!</v>
      </c>
      <c r="I284" s="487" cm="1">
        <f t="array" ref="I284">SUMPRODUCT((ERP[UID]=A284)*(ERP[AP01 LE2]+ERP[AP02 LE2]+ERP[AP03 LE2]+ERP[AP04 LE2]+ERP[AP05 LE2]))</f>
        <v>1706.38</v>
      </c>
      <c r="J284" s="487">
        <f>'ERP_AP7 Macro Failed'!AL286</f>
        <v>1.3800000000001091</v>
      </c>
      <c r="K284" t="str">
        <f t="shared" si="8"/>
        <v>Immaterial</v>
      </c>
      <c r="L284" t="str">
        <f t="shared" si="9"/>
        <v>No</v>
      </c>
    </row>
    <row r="285" spans="1:12">
      <c r="A285" t="str">
        <f>'ERP_AP7 Macro Failed'!A287</f>
        <v>L-ERP-157</v>
      </c>
      <c r="B285" t="str">
        <f>'ERP_AP7 Macro Failed'!D287</f>
        <v>Hase, Raj</v>
      </c>
      <c r="C285" t="str">
        <f>'ERP_AP7 Macro Failed'!E287</f>
        <v>Ganesan, Srinivasan</v>
      </c>
      <c r="D285" t="str">
        <f>'ERP_AP7 Macro Failed'!G287</f>
        <v>MANAGED SERVICES</v>
      </c>
      <c r="E285" t="str">
        <f>'ERP_AP7 Macro Failed'!H287</f>
        <v>Infrastructure Charges - ES Collaborative Manufacturing - IoD</v>
      </c>
      <c r="F285">
        <f>'ERP_AP7 Macro Failed'!I287</f>
        <v>0</v>
      </c>
      <c r="G285" t="str">
        <f>'ERP_AP7 Macro Failed'!K287</f>
        <v>IT-FBT0659-OG-US-00</v>
      </c>
      <c r="H285" s="487" t="e" cm="1">
        <f t="array" ref="H285">SUMPRODUCT((ERP[UID]=A285)*(ERP[AP01]+ERP[AP02]+ERP[AP03]+ERP[AP04]+ERP[AP05]))</f>
        <v>#VALUE!</v>
      </c>
      <c r="I285" s="487" cm="1">
        <f t="array" ref="I285">SUMPRODUCT((ERP[UID]=A285)*(ERP[AP01 LE2]+ERP[AP02 LE2]+ERP[AP03 LE2]+ERP[AP04 LE2]+ERP[AP05 LE2]))</f>
        <v>626.89</v>
      </c>
      <c r="J285" s="487">
        <f>'ERP_AP7 Macro Failed'!AL287</f>
        <v>-12.740000000000009</v>
      </c>
      <c r="K285" t="str">
        <f t="shared" si="8"/>
        <v>Immaterial</v>
      </c>
      <c r="L285" t="str">
        <f t="shared" si="9"/>
        <v>No</v>
      </c>
    </row>
    <row r="286" spans="1:12">
      <c r="A286" t="str">
        <f>'ERP_AP7 Macro Failed'!A288</f>
        <v>L-ERP-247</v>
      </c>
      <c r="B286" t="str">
        <f>'ERP_AP7 Macro Failed'!D288</f>
        <v>Hase, Raj</v>
      </c>
      <c r="C286" t="str">
        <f>'ERP_AP7 Macro Failed'!E288</f>
        <v>Jajodia, Amit</v>
      </c>
      <c r="D286" t="str">
        <f>'ERP_AP7 Macro Failed'!G288</f>
        <v>MANAGED SERVICES</v>
      </c>
      <c r="E286" t="str">
        <f>'ERP_AP7 Macro Failed'!H288</f>
        <v>Infrastructure Charges - ES Collaborative Manufacturing - IoD</v>
      </c>
      <c r="F286">
        <f>'ERP_AP7 Macro Failed'!I288</f>
        <v>0</v>
      </c>
      <c r="G286" t="str">
        <f>'ERP_AP7 Macro Failed'!K288</f>
        <v>IT-FBT0659-OG-US-00</v>
      </c>
      <c r="H286" s="487" t="e" cm="1">
        <f t="array" ref="H286">SUMPRODUCT((ERP[UID]=A286)*(ERP[AP01]+ERP[AP02]+ERP[AP03]+ERP[AP04]+ERP[AP05]))</f>
        <v>#VALUE!</v>
      </c>
      <c r="I286" s="487" cm="1">
        <f t="array" ref="I286">SUMPRODUCT((ERP[UID]=A286)*(ERP[AP01 LE2]+ERP[AP02 LE2]+ERP[AP03 LE2]+ERP[AP04 LE2]+ERP[AP05 LE2]))</f>
        <v>534</v>
      </c>
      <c r="J286" s="487">
        <f>'ERP_AP7 Macro Failed'!AL288</f>
        <v>-801</v>
      </c>
      <c r="K286" t="str">
        <f t="shared" si="8"/>
        <v>Immaterial</v>
      </c>
      <c r="L286" t="str">
        <f t="shared" si="9"/>
        <v>No</v>
      </c>
    </row>
    <row r="287" spans="1:12">
      <c r="A287" t="str">
        <f>'ERP_AP7 Macro Failed'!A289</f>
        <v>L-ERP-129</v>
      </c>
      <c r="B287" t="str">
        <f>'ERP_AP7 Macro Failed'!D289</f>
        <v>Hase, Raj</v>
      </c>
      <c r="C287" t="str">
        <f>'ERP_AP7 Macro Failed'!E289</f>
        <v>Ganesan, Srinivasan</v>
      </c>
      <c r="D287" t="str">
        <f>'ERP_AP7 Macro Failed'!G289</f>
        <v>MANAGED SERVICES</v>
      </c>
      <c r="E287" t="str">
        <f>'ERP_AP7 Macro Failed'!H289</f>
        <v>Planning Excel Citrix Server - IoD Infrastructure (Server)</v>
      </c>
      <c r="F287">
        <f>'ERP_AP7 Macro Failed'!I289</f>
        <v>0</v>
      </c>
      <c r="G287" t="str">
        <f>'ERP_AP7 Macro Failed'!K289</f>
        <v>IT-FBT0660-OG-US-00</v>
      </c>
      <c r="H287" s="487" t="e" cm="1">
        <f t="array" ref="H287">SUMPRODUCT((ERP[UID]=A287)*(ERP[AP01]+ERP[AP02]+ERP[AP03]+ERP[AP04]+ERP[AP05]))</f>
        <v>#VALUE!</v>
      </c>
      <c r="I287" s="487" cm="1">
        <f t="array" ref="I287">SUMPRODUCT((ERP[UID]=A287)*(ERP[AP01 LE2]+ERP[AP02 LE2]+ERP[AP03 LE2]+ERP[AP04 LE2]+ERP[AP05 LE2]))</f>
        <v>354.76</v>
      </c>
      <c r="J287" s="487">
        <f>'ERP_AP7 Macro Failed'!AL289</f>
        <v>365.07999999999993</v>
      </c>
      <c r="K287" t="str">
        <f t="shared" si="8"/>
        <v>Immaterial</v>
      </c>
      <c r="L287" t="str">
        <f t="shared" si="9"/>
        <v>No</v>
      </c>
    </row>
    <row r="288" spans="1:12">
      <c r="A288" t="str">
        <f>'ERP_AP7 Macro Failed'!A290</f>
        <v>L-ERP-231</v>
      </c>
      <c r="B288" t="str">
        <f>'ERP_AP7 Macro Failed'!D290</f>
        <v>Hase, Raj</v>
      </c>
      <c r="C288" t="str">
        <f>'ERP_AP7 Macro Failed'!E290</f>
        <v>Jajodia, Amit</v>
      </c>
      <c r="D288" t="str">
        <f>'ERP_AP7 Macro Failed'!G290</f>
        <v>MANAGED SERVICES</v>
      </c>
      <c r="E288" t="str">
        <f>'ERP_AP7 Macro Failed'!H290</f>
        <v>Planning Excel Citrix Server - IoD Infrastructure (Server)</v>
      </c>
      <c r="F288">
        <f>'ERP_AP7 Macro Failed'!I290</f>
        <v>0</v>
      </c>
      <c r="G288" t="str">
        <f>'ERP_AP7 Macro Failed'!K290</f>
        <v>IT-FBT0660-OG-US-00</v>
      </c>
      <c r="H288" s="487" t="e" cm="1">
        <f t="array" ref="H288">SUMPRODUCT((ERP[UID]=A288)*(ERP[AP01]+ERP[AP02]+ERP[AP03]+ERP[AP04]+ERP[AP05]))</f>
        <v>#VALUE!</v>
      </c>
      <c r="I288" s="487" cm="1">
        <f t="array" ref="I288">SUMPRODUCT((ERP[UID]=A288)*(ERP[AP01 LE2]+ERP[AP02 LE2]+ERP[AP03 LE2]+ERP[AP04 LE2]+ERP[AP05 LE2]))</f>
        <v>320</v>
      </c>
      <c r="J288" s="487">
        <f>'ERP_AP7 Macro Failed'!AL290</f>
        <v>-480</v>
      </c>
      <c r="K288" t="str">
        <f t="shared" si="8"/>
        <v>Immaterial</v>
      </c>
      <c r="L288" t="str">
        <f t="shared" si="9"/>
        <v>No</v>
      </c>
    </row>
    <row r="289" spans="1:12">
      <c r="A289" t="str">
        <f>'ERP_AP7 Macro Failed'!A291</f>
        <v>L-ERP-150</v>
      </c>
      <c r="B289" t="str">
        <f>'ERP_AP7 Macro Failed'!D291</f>
        <v>Hase, Raj</v>
      </c>
      <c r="C289" t="str">
        <f>'ERP_AP7 Macro Failed'!E291</f>
        <v>Ganesan, Srinivasan</v>
      </c>
      <c r="D289" t="str">
        <f>'ERP_AP7 Macro Failed'!G291</f>
        <v>CONTRACTORS</v>
      </c>
      <c r="E289" t="str">
        <f>'ERP_AP7 Macro Failed'!H291</f>
        <v>GLNS Process Optimization &amp; Compliance Contractor</v>
      </c>
      <c r="F289">
        <f>'ERP_AP7 Macro Failed'!I291</f>
        <v>0</v>
      </c>
      <c r="G289" t="str">
        <f>'ERP_AP7 Macro Failed'!K291</f>
        <v>IT-FBT0661-OG-US-00</v>
      </c>
      <c r="H289" s="487" t="e" cm="1">
        <f t="array" ref="H289">SUMPRODUCT((ERP[UID]=A289)*(ERP[AP01]+ERP[AP02]+ERP[AP03]+ERP[AP04]+ERP[AP05]))</f>
        <v>#VALUE!</v>
      </c>
      <c r="I289" s="487" cm="1">
        <f t="array" ref="I289">SUMPRODUCT((ERP[UID]=A289)*(ERP[AP01 LE2]+ERP[AP02 LE2]+ERP[AP03 LE2]+ERP[AP04 LE2]+ERP[AP05 LE2]))</f>
        <v>20850</v>
      </c>
      <c r="J289" s="487">
        <f>'ERP_AP7 Macro Failed'!AL291</f>
        <v>-15000</v>
      </c>
      <c r="K289" t="str">
        <f t="shared" si="8"/>
        <v>MATERIAL</v>
      </c>
      <c r="L289" t="str">
        <f t="shared" si="9"/>
        <v>YES</v>
      </c>
    </row>
    <row r="290" spans="1:12">
      <c r="A290" t="str">
        <f>'ERP_AP7 Macro Failed'!A292</f>
        <v>L-ERP-158</v>
      </c>
      <c r="B290" t="str">
        <f>'ERP_AP7 Macro Failed'!D292</f>
        <v>Hase, Raj</v>
      </c>
      <c r="C290" t="str">
        <f>'ERP_AP7 Macro Failed'!E292</f>
        <v>Ganesan, Srinivasan</v>
      </c>
      <c r="D290" t="str">
        <f>'ERP_AP7 Macro Failed'!G292</f>
        <v>MANAGED SERVICES</v>
      </c>
      <c r="E290" t="str">
        <f>'ERP_AP7 Macro Failed'!H292</f>
        <v>GLNS Process Optimization &amp; Compliance Contractor</v>
      </c>
      <c r="F290">
        <f>'ERP_AP7 Macro Failed'!I292</f>
        <v>0</v>
      </c>
      <c r="G290" t="str">
        <f>'ERP_AP7 Macro Failed'!K292</f>
        <v>IT-FBT0661-OG-US-00</v>
      </c>
      <c r="H290" s="487" t="e" cm="1">
        <f t="array" ref="H290">SUMPRODUCT((ERP[UID]=A290)*(ERP[AP01]+ERP[AP02]+ERP[AP03]+ERP[AP04]+ERP[AP05]))</f>
        <v>#VALUE!</v>
      </c>
      <c r="I290" s="487" cm="1">
        <f t="array" ref="I290">SUMPRODUCT((ERP[UID]=A290)*(ERP[AP01 LE2]+ERP[AP02 LE2]+ERP[AP03 LE2]+ERP[AP04 LE2]+ERP[AP05 LE2]))</f>
        <v>0</v>
      </c>
      <c r="J290" s="487">
        <f>'ERP_AP7 Macro Failed'!AL292</f>
        <v>113.39999999999978</v>
      </c>
      <c r="K290" t="str">
        <f t="shared" si="8"/>
        <v>Immaterial</v>
      </c>
      <c r="L290" t="str">
        <f t="shared" si="9"/>
        <v>No</v>
      </c>
    </row>
    <row r="291" spans="1:12">
      <c r="A291" t="str">
        <f>'ERP_AP7 Macro Failed'!A293</f>
        <v>N-ERP-585</v>
      </c>
      <c r="B291" t="str">
        <f>'ERP_AP7 Macro Failed'!D293</f>
        <v>Dougherty, Chris</v>
      </c>
      <c r="C291" t="str">
        <f>'ERP_AP7 Macro Failed'!E293</f>
        <v>Maguire, Karla</v>
      </c>
      <c r="D291" t="str">
        <f>'ERP_AP7 Macro Failed'!G293</f>
        <v>MANAGED SERVICES</v>
      </c>
      <c r="E291" t="str">
        <f>'ERP_AP7 Macro Failed'!H293</f>
        <v>Desktop on Demand (VDS)</v>
      </c>
      <c r="F291">
        <f>'ERP_AP7 Macro Failed'!I293</f>
        <v>0</v>
      </c>
      <c r="G291" t="str">
        <f>'ERP_AP7 Macro Failed'!K293</f>
        <v>IT-FBT0651-OG-US-00</v>
      </c>
      <c r="H291" s="487" t="e" cm="1">
        <f t="array" ref="H291">SUMPRODUCT((ERP[UID]=A291)*(ERP[AP01]+ERP[AP02]+ERP[AP03]+ERP[AP04]+ERP[AP05]))</f>
        <v>#VALUE!</v>
      </c>
      <c r="I291" s="487" cm="1">
        <f t="array" ref="I291">SUMPRODUCT((ERP[UID]=A291)*(ERP[AP01 LE2]+ERP[AP02 LE2]+ERP[AP03 LE2]+ERP[AP04 LE2]+ERP[AP05 LE2]))</f>
        <v>1000</v>
      </c>
      <c r="J291" s="487">
        <f>'ERP_AP7 Macro Failed'!AL293</f>
        <v>-1500</v>
      </c>
      <c r="K291" t="str">
        <f t="shared" si="8"/>
        <v>Minor</v>
      </c>
      <c r="L291" t="str">
        <f t="shared" si="9"/>
        <v>No</v>
      </c>
    </row>
    <row r="292" spans="1:12">
      <c r="A292" t="str">
        <f>'ERP_AP7 Macro Failed'!A294</f>
        <v>L-ERP-072</v>
      </c>
      <c r="B292" t="str">
        <f>'ERP_AP7 Macro Failed'!D294</f>
        <v>Dougherty, Chris</v>
      </c>
      <c r="C292" t="str">
        <f>'ERP_AP7 Macro Failed'!E294</f>
        <v>Dougherty, Chris</v>
      </c>
      <c r="D292" t="str">
        <f>'ERP_AP7 Macro Failed'!G294</f>
        <v>MANAGED SERVICES</v>
      </c>
      <c r="E292" t="str">
        <f>'ERP_AP7 Macro Failed'!H294</f>
        <v>Syniti: Infrastructure Charges - SAP Backoffice - Cloud AWS</v>
      </c>
      <c r="F292">
        <f>'ERP_AP7 Macro Failed'!I294</f>
        <v>0</v>
      </c>
      <c r="G292" t="str">
        <f>'ERP_AP7 Macro Failed'!K294</f>
        <v>IT-FBT0665-OG-US-00</v>
      </c>
      <c r="H292" s="487" t="e" cm="1">
        <f t="array" ref="H292">SUMPRODUCT((ERP[UID]=A292)*(ERP[AP01]+ERP[AP02]+ERP[AP03]+ERP[AP04]+ERP[AP05]))</f>
        <v>#VALUE!</v>
      </c>
      <c r="I292" s="487" cm="1">
        <f t="array" ref="I292">SUMPRODUCT((ERP[UID]=A292)*(ERP[AP01 LE2]+ERP[AP02 LE2]+ERP[AP03 LE2]+ERP[AP04 LE2]+ERP[AP05 LE2]))</f>
        <v>2028</v>
      </c>
      <c r="J292" s="487">
        <f>'ERP_AP7 Macro Failed'!AL294</f>
        <v>-3042</v>
      </c>
      <c r="K292" t="str">
        <f t="shared" si="8"/>
        <v>Minor</v>
      </c>
      <c r="L292" t="str">
        <f t="shared" si="9"/>
        <v>No</v>
      </c>
    </row>
    <row r="293" spans="1:12">
      <c r="A293" t="str">
        <f>'ERP_AP7 Macro Failed'!A295</f>
        <v>L-ERP-522</v>
      </c>
      <c r="B293" t="str">
        <f>'ERP_AP7 Macro Failed'!D295</f>
        <v>Dougherty, Chris</v>
      </c>
      <c r="C293" t="str">
        <f>'ERP_AP7 Macro Failed'!E295</f>
        <v>Tamavada, Ram</v>
      </c>
      <c r="D293" t="str">
        <f>'ERP_AP7 Macro Failed'!G295</f>
        <v>MANAGED SERVICES</v>
      </c>
      <c r="E293" t="str">
        <f>'ERP_AP7 Macro Failed'!H295</f>
        <v>Syniti: Infrastructure Charges - SAP Backoffice - Cloud AWS</v>
      </c>
      <c r="F293">
        <f>'ERP_AP7 Macro Failed'!I295</f>
        <v>0</v>
      </c>
      <c r="G293" t="str">
        <f>'ERP_AP7 Macro Failed'!K295</f>
        <v>IT-FBT0665-OG-US-00</v>
      </c>
      <c r="H293" s="487" t="e" cm="1">
        <f t="array" ref="H293">SUMPRODUCT((ERP[UID]=A293)*(ERP[AP01]+ERP[AP02]+ERP[AP03]+ERP[AP04]+ERP[AP05]))</f>
        <v>#VALUE!</v>
      </c>
      <c r="I293" s="487" cm="1">
        <f t="array" ref="I293">SUMPRODUCT((ERP[UID]=A293)*(ERP[AP01 LE2]+ERP[AP02 LE2]+ERP[AP03 LE2]+ERP[AP04 LE2]+ERP[AP05 LE2]))</f>
        <v>2506.12</v>
      </c>
      <c r="J293" s="487">
        <f>'ERP_AP7 Macro Failed'!AL295</f>
        <v>-2017.09</v>
      </c>
      <c r="K293" t="str">
        <f t="shared" si="8"/>
        <v>Minor</v>
      </c>
      <c r="L293" t="str">
        <f t="shared" si="9"/>
        <v>No</v>
      </c>
    </row>
    <row r="294" spans="1:12">
      <c r="A294" t="str">
        <f>'ERP_AP7 Macro Failed'!A296</f>
        <v>L-ERP-530</v>
      </c>
      <c r="B294" t="str">
        <f>'ERP_AP7 Macro Failed'!D296</f>
        <v>Dougherty, Chris</v>
      </c>
      <c r="C294" t="str">
        <f>'ERP_AP7 Macro Failed'!E296</f>
        <v>Tamavada, Ram</v>
      </c>
      <c r="D294" t="str">
        <f>'ERP_AP7 Macro Failed'!G296</f>
        <v>SOFTWARE</v>
      </c>
      <c r="E294" t="str">
        <f>'ERP_AP7 Macro Failed'!H296</f>
        <v>Syniti: Infrastructure Charges - SAP Backoffice - Cloud AWS</v>
      </c>
      <c r="F294">
        <f>'ERP_AP7 Macro Failed'!I296</f>
        <v>0</v>
      </c>
      <c r="G294" t="str">
        <f>'ERP_AP7 Macro Failed'!K296</f>
        <v>IT-FBT0665-OG-US-00</v>
      </c>
      <c r="H294" s="487" t="e" cm="1">
        <f t="array" ref="H294">SUMPRODUCT((ERP[UID]=A294)*(ERP[AP01]+ERP[AP02]+ERP[AP03]+ERP[AP04]+ERP[AP05]))</f>
        <v>#VALUE!</v>
      </c>
      <c r="I294" s="487" cm="1">
        <f t="array" ref="I294">SUMPRODUCT((ERP[UID]=A294)*(ERP[AP01 LE2]+ERP[AP02 LE2]+ERP[AP03 LE2]+ERP[AP04 LE2]+ERP[AP05 LE2]))</f>
        <v>838.37999999999988</v>
      </c>
      <c r="J294" s="487">
        <f>'ERP_AP7 Macro Failed'!AL296</f>
        <v>558.92000000000007</v>
      </c>
      <c r="K294" t="str">
        <f t="shared" si="8"/>
        <v>Immaterial</v>
      </c>
      <c r="L294" t="str">
        <f t="shared" si="9"/>
        <v>No</v>
      </c>
    </row>
    <row r="295" spans="1:12">
      <c r="A295" t="str">
        <f>'ERP_AP7 Macro Failed'!A297</f>
        <v>L-ERP-523</v>
      </c>
      <c r="B295" t="str">
        <f>'ERP_AP7 Macro Failed'!D297</f>
        <v>Dougherty, Chris</v>
      </c>
      <c r="C295" t="str">
        <f>'ERP_AP7 Macro Failed'!E297</f>
        <v>Tamavada, Ram</v>
      </c>
      <c r="D295" t="str">
        <f>'ERP_AP7 Macro Failed'!G297</f>
        <v>MANAGED SERVICES</v>
      </c>
      <c r="E295" t="str">
        <f>'ERP_AP7 Macro Failed'!H297</f>
        <v>Infrastructure charges</v>
      </c>
      <c r="F295">
        <f>'ERP_AP7 Macro Failed'!I297</f>
        <v>0</v>
      </c>
      <c r="G295" t="str">
        <f>'ERP_AP7 Macro Failed'!K297</f>
        <v>IT-FBT0675-OG-US-00</v>
      </c>
      <c r="H295" s="487" t="e" cm="1">
        <f t="array" ref="H295">SUMPRODUCT((ERP[UID]=A295)*(ERP[AP01]+ERP[AP02]+ERP[AP03]+ERP[AP04]+ERP[AP05]))</f>
        <v>#VALUE!</v>
      </c>
      <c r="I295" s="487" cm="1">
        <f t="array" ref="I295">SUMPRODUCT((ERP[UID]=A295)*(ERP[AP01 LE2]+ERP[AP02 LE2]+ERP[AP03 LE2]+ERP[AP04 LE2]+ERP[AP05 LE2]))</f>
        <v>9381.5633339999986</v>
      </c>
      <c r="J295" s="487">
        <f>'ERP_AP7 Macro Failed'!AL297</f>
        <v>-1355.1100009999973</v>
      </c>
      <c r="K295" t="str">
        <f t="shared" si="8"/>
        <v>Minor</v>
      </c>
      <c r="L295" t="str">
        <f t="shared" si="9"/>
        <v>No</v>
      </c>
    </row>
    <row r="296" spans="1:12">
      <c r="A296" t="str">
        <f>'ERP_AP7 Macro Failed'!A298</f>
        <v>L-ERP-531</v>
      </c>
      <c r="B296" t="str">
        <f>'ERP_AP7 Macro Failed'!D298</f>
        <v>Dougherty, Chris</v>
      </c>
      <c r="C296" t="str">
        <f>'ERP_AP7 Macro Failed'!E298</f>
        <v>Tamavada, Ram</v>
      </c>
      <c r="D296" t="str">
        <f>'ERP_AP7 Macro Failed'!G298</f>
        <v>SOFTWARE</v>
      </c>
      <c r="E296" t="str">
        <f>'ERP_AP7 Macro Failed'!H298</f>
        <v>Infrastructure charges</v>
      </c>
      <c r="F296">
        <f>'ERP_AP7 Macro Failed'!I298</f>
        <v>0</v>
      </c>
      <c r="G296" t="str">
        <f>'ERP_AP7 Macro Failed'!K298</f>
        <v>IT-FBT0675-OG-US-00</v>
      </c>
      <c r="H296" s="487" t="e" cm="1">
        <f t="array" ref="H296">SUMPRODUCT((ERP[UID]=A296)*(ERP[AP01]+ERP[AP02]+ERP[AP03]+ERP[AP04]+ERP[AP05]))</f>
        <v>#VALUE!</v>
      </c>
      <c r="I296" s="487" cm="1">
        <f t="array" ref="I296">SUMPRODUCT((ERP[UID]=A296)*(ERP[AP01 LE2]+ERP[AP02 LE2]+ERP[AP03 LE2]+ERP[AP04 LE2]+ERP[AP05 LE2]))</f>
        <v>1038.3566660000001</v>
      </c>
      <c r="J296" s="487">
        <f>'ERP_AP7 Macro Failed'!AL298</f>
        <v>-44.559999000000062</v>
      </c>
      <c r="K296" t="str">
        <f t="shared" si="8"/>
        <v>Immaterial</v>
      </c>
      <c r="L296" t="str">
        <f t="shared" si="9"/>
        <v>No</v>
      </c>
    </row>
    <row r="297" spans="1:12">
      <c r="A297" t="str">
        <f>'ERP_AP7 Macro Failed'!A299</f>
        <v>L-ERP-073</v>
      </c>
      <c r="B297" t="str">
        <f>'ERP_AP7 Macro Failed'!D299</f>
        <v>Dougherty, Chris</v>
      </c>
      <c r="C297" t="str">
        <f>'ERP_AP7 Macro Failed'!E299</f>
        <v>Dougherty, Chris</v>
      </c>
      <c r="D297" t="str">
        <f>'ERP_AP7 Macro Failed'!G299</f>
        <v>MANAGED SERVICES</v>
      </c>
      <c r="E297" t="str">
        <f>'ERP_AP7 Macro Failed'!H299</f>
        <v>Infrastructure charges</v>
      </c>
      <c r="F297">
        <f>'ERP_AP7 Macro Failed'!I299</f>
        <v>0</v>
      </c>
      <c r="G297" t="str">
        <f>'ERP_AP7 Macro Failed'!K299</f>
        <v>IT-FBT0693-OG-US-00</v>
      </c>
      <c r="H297" s="487" t="e" cm="1">
        <f t="array" ref="H297">SUMPRODUCT((ERP[UID]=A297)*(ERP[AP01]+ERP[AP02]+ERP[AP03]+ERP[AP04]+ERP[AP05]))</f>
        <v>#VALUE!</v>
      </c>
      <c r="I297" s="487" cm="1">
        <f t="array" ref="I297">SUMPRODUCT((ERP[UID]=A297)*(ERP[AP01 LE2]+ERP[AP02 LE2]+ERP[AP03 LE2]+ERP[AP04 LE2]+ERP[AP05 LE2]))</f>
        <v>23916.170000000002</v>
      </c>
      <c r="J297" s="487">
        <f>'ERP_AP7 Macro Failed'!AL299</f>
        <v>-11391.46</v>
      </c>
      <c r="K297" t="str">
        <f t="shared" si="8"/>
        <v>MATERIAL</v>
      </c>
      <c r="L297" t="str">
        <f t="shared" si="9"/>
        <v>YES</v>
      </c>
    </row>
    <row r="298" spans="1:12">
      <c r="A298" t="str">
        <f>'ERP_AP7 Macro Failed'!A300</f>
        <v>L-ERP-358</v>
      </c>
      <c r="B298" t="str">
        <f>'ERP_AP7 Macro Failed'!D300</f>
        <v>Dougherty, Chris</v>
      </c>
      <c r="C298" t="str">
        <f>'ERP_AP7 Macro Failed'!E300</f>
        <v>McCormick, Pete</v>
      </c>
      <c r="D298" t="str">
        <f>'ERP_AP7 Macro Failed'!G300</f>
        <v>MANAGED SERVICES</v>
      </c>
      <c r="E298" t="str">
        <f>'ERP_AP7 Macro Failed'!H300</f>
        <v>Infrastructure charges</v>
      </c>
      <c r="F298">
        <f>'ERP_AP7 Macro Failed'!I300</f>
        <v>0</v>
      </c>
      <c r="G298" t="str">
        <f>'ERP_AP7 Macro Failed'!K300</f>
        <v>IT-FBT0693-OG-US-00</v>
      </c>
      <c r="H298" s="487" t="e" cm="1">
        <f t="array" ref="H298">SUMPRODUCT((ERP[UID]=A298)*(ERP[AP01]+ERP[AP02]+ERP[AP03]+ERP[AP04]+ERP[AP05]))</f>
        <v>#VALUE!</v>
      </c>
      <c r="I298" s="487" cm="1">
        <f t="array" ref="I298">SUMPRODUCT((ERP[UID]=A298)*(ERP[AP01 LE2]+ERP[AP02 LE2]+ERP[AP03 LE2]+ERP[AP04 LE2]+ERP[AP05 LE2]))</f>
        <v>81</v>
      </c>
      <c r="J298" s="487">
        <f>'ERP_AP7 Macro Failed'!AL300</f>
        <v>2086.4500000000003</v>
      </c>
      <c r="K298" t="str">
        <f t="shared" si="8"/>
        <v>Minor</v>
      </c>
      <c r="L298" t="str">
        <f t="shared" si="9"/>
        <v>No</v>
      </c>
    </row>
    <row r="299" spans="1:12">
      <c r="A299" t="str">
        <f>'ERP_AP7 Macro Failed'!A301</f>
        <v>L-ERP-524</v>
      </c>
      <c r="B299" t="str">
        <f>'ERP_AP7 Macro Failed'!D301</f>
        <v>Dougherty, Chris</v>
      </c>
      <c r="C299" t="str">
        <f>'ERP_AP7 Macro Failed'!E301</f>
        <v>Tamavada, Ram</v>
      </c>
      <c r="D299" t="str">
        <f>'ERP_AP7 Macro Failed'!G301</f>
        <v>MANAGED SERVICES</v>
      </c>
      <c r="E299" t="str">
        <f>'ERP_AP7 Macro Failed'!H301</f>
        <v>Infrastructure charges</v>
      </c>
      <c r="F299">
        <f>'ERP_AP7 Macro Failed'!I301</f>
        <v>0</v>
      </c>
      <c r="G299" t="str">
        <f>'ERP_AP7 Macro Failed'!K301</f>
        <v>IT-FBT0693-OG-US-00</v>
      </c>
      <c r="H299" s="487" t="e" cm="1">
        <f t="array" ref="H299">SUMPRODUCT((ERP[UID]=A299)*(ERP[AP01]+ERP[AP02]+ERP[AP03]+ERP[AP04]+ERP[AP05]))</f>
        <v>#VALUE!</v>
      </c>
      <c r="I299" s="487" cm="1">
        <f t="array" ref="I299">SUMPRODUCT((ERP[UID]=A299)*(ERP[AP01 LE2]+ERP[AP02 LE2]+ERP[AP03 LE2]+ERP[AP04 LE2]+ERP[AP05 LE2]))</f>
        <v>2792.33</v>
      </c>
      <c r="J299" s="487">
        <f>'ERP_AP7 Macro Failed'!AL301</f>
        <v>-3574.41</v>
      </c>
      <c r="K299" t="str">
        <f t="shared" si="8"/>
        <v>Minor</v>
      </c>
      <c r="L299" t="str">
        <f t="shared" si="9"/>
        <v>No</v>
      </c>
    </row>
    <row r="300" spans="1:12">
      <c r="A300" t="str">
        <f>'ERP_AP7 Macro Failed'!A302</f>
        <v>L-ERP-214</v>
      </c>
      <c r="B300" t="str">
        <f>'ERP_AP7 Macro Failed'!D302</f>
        <v>Hase, Raj</v>
      </c>
      <c r="C300" t="str">
        <f>'ERP_AP7 Macro Failed'!E302</f>
        <v>Herman, Shaun</v>
      </c>
      <c r="D300" t="str">
        <f>'ERP_AP7 Macro Failed'!G302</f>
        <v>CONTRACTORS</v>
      </c>
      <c r="E300" t="str">
        <f>'ERP_AP7 Macro Failed'!H302</f>
        <v>SAP CIG Annual Upgrade Support</v>
      </c>
      <c r="F300">
        <f>'ERP_AP7 Macro Failed'!I302</f>
        <v>0</v>
      </c>
      <c r="G300" t="str">
        <f>'ERP_AP7 Macro Failed'!K302</f>
        <v>IT-FBT0702-OG-US-00</v>
      </c>
      <c r="H300" s="487" t="e" cm="1">
        <f t="array" ref="H300">SUMPRODUCT((ERP[UID]=A300)*(ERP[AP01]+ERP[AP02]+ERP[AP03]+ERP[AP04]+ERP[AP05]))</f>
        <v>#VALUE!</v>
      </c>
      <c r="I300" s="487" cm="1">
        <f t="array" ref="I300">SUMPRODUCT((ERP[UID]=A300)*(ERP[AP01 LE2]+ERP[AP02 LE2]+ERP[AP03 LE2]+ERP[AP04 LE2]+ERP[AP05 LE2]))</f>
        <v>50000</v>
      </c>
      <c r="J300" s="487">
        <f>'ERP_AP7 Macro Failed'!AL302</f>
        <v>-940</v>
      </c>
      <c r="K300" t="str">
        <f t="shared" si="8"/>
        <v>Immaterial</v>
      </c>
      <c r="L300" t="str">
        <f t="shared" si="9"/>
        <v>No</v>
      </c>
    </row>
    <row r="301" spans="1:12">
      <c r="A301" t="str">
        <f>'ERP_AP7 Macro Failed'!A303</f>
        <v>L-ERP-383</v>
      </c>
      <c r="B301" t="str">
        <f>'ERP_AP7 Macro Failed'!D303</f>
        <v>McGettigan, David</v>
      </c>
      <c r="C301" t="str">
        <f>'ERP_AP7 Macro Failed'!E303</f>
        <v>McGettigan, David</v>
      </c>
      <c r="D301" t="str">
        <f>'ERP_AP7 Macro Failed'!G303</f>
        <v>CONTRACTORS</v>
      </c>
      <c r="E301" t="str">
        <f>'ERP_AP7 Macro Failed'!H303</f>
        <v>SAP / S4 HANA - reclass to Lidia</v>
      </c>
      <c r="F301">
        <f>'ERP_AP7 Macro Failed'!I303</f>
        <v>0</v>
      </c>
      <c r="G301" t="str">
        <f>'ERP_AP7 Macro Failed'!K303</f>
        <v>IT-FBT0748-OT-US-00</v>
      </c>
      <c r="H301" s="487" t="e" cm="1">
        <f t="array" ref="H301">SUMPRODUCT((ERP[UID]=A301)*(ERP[AP01]+ERP[AP02]+ERP[AP03]+ERP[AP04]+ERP[AP05]))</f>
        <v>#VALUE!</v>
      </c>
      <c r="I301" s="487" cm="1">
        <f t="array" ref="I301">SUMPRODUCT((ERP[UID]=A301)*(ERP[AP01 LE2]+ERP[AP02 LE2]+ERP[AP03 LE2]+ERP[AP04 LE2]+ERP[AP05 LE2]))</f>
        <v>-450360.16000000003</v>
      </c>
      <c r="J301" s="487">
        <f>'ERP_AP7 Macro Failed'!AL303</f>
        <v>-0.31999999994877726</v>
      </c>
      <c r="K301" t="str">
        <f t="shared" si="8"/>
        <v>Immaterial</v>
      </c>
      <c r="L301" t="str">
        <f t="shared" si="9"/>
        <v>No</v>
      </c>
    </row>
    <row r="302" spans="1:12">
      <c r="A302" t="str">
        <f>'ERP_AP7 Macro Failed'!A304</f>
        <v>L-ERP-514</v>
      </c>
      <c r="B302" t="str">
        <f>'ERP_AP7 Macro Failed'!D304</f>
        <v>Dougherty, Chris</v>
      </c>
      <c r="C302" t="str">
        <f>'ERP_AP7 Macro Failed'!E304</f>
        <v>Tamavada, Ram</v>
      </c>
      <c r="D302" t="str">
        <f>'ERP_AP7 Macro Failed'!G304</f>
        <v>MANAGED SERVICES</v>
      </c>
      <c r="E302" t="str">
        <f>'ERP_AP7 Macro Failed'!H304</f>
        <v>IBM: SAP Application Managed Service - Celonis</v>
      </c>
      <c r="F302">
        <f>'ERP_AP7 Macro Failed'!I304</f>
        <v>0</v>
      </c>
      <c r="G302" t="str">
        <f>'ERP_AP7 Macro Failed'!K304</f>
        <v>IT-FBT0700-OG-US-00</v>
      </c>
      <c r="H302" s="487" t="e" cm="1">
        <f t="array" ref="H302">SUMPRODUCT((ERP[UID]=A302)*(ERP[AP01]+ERP[AP02]+ERP[AP03]+ERP[AP04]+ERP[AP05]))</f>
        <v>#VALUE!</v>
      </c>
      <c r="I302" s="487" cm="1">
        <f t="array" ref="I302">SUMPRODUCT((ERP[UID]=A302)*(ERP[AP01 LE2]+ERP[AP02 LE2]+ERP[AP03 LE2]+ERP[AP04 LE2]+ERP[AP05 LE2]))</f>
        <v>156750.46</v>
      </c>
      <c r="J302" s="487">
        <f>'ERP_AP7 Macro Failed'!AL304</f>
        <v>-0.45999999999185093</v>
      </c>
      <c r="K302" t="str">
        <f t="shared" si="8"/>
        <v>Immaterial</v>
      </c>
      <c r="L302" t="str">
        <f t="shared" si="9"/>
        <v>No</v>
      </c>
    </row>
    <row r="303" spans="1:12">
      <c r="A303" t="str">
        <f>'ERP_AP7 Macro Failed'!A305</f>
        <v>L-ERP-242</v>
      </c>
      <c r="B303" t="str">
        <f>'ERP_AP7 Macro Failed'!D305</f>
        <v>Hase, Raj</v>
      </c>
      <c r="C303" t="str">
        <f>'ERP_AP7 Macro Failed'!E305</f>
        <v>Jajodia, Amit</v>
      </c>
      <c r="D303" t="str">
        <f>'ERP_AP7 Macro Failed'!G305</f>
        <v>CONTRACTORS</v>
      </c>
      <c r="E303" t="str">
        <f>'ERP_AP7 Macro Failed'!H305</f>
        <v>Planning nGPS Support</v>
      </c>
      <c r="F303">
        <f>'ERP_AP7 Macro Failed'!I305</f>
        <v>0</v>
      </c>
      <c r="G303" t="str">
        <f>'ERP_AP7 Macro Failed'!K305</f>
        <v>IT-FBT0757-OG-US-00</v>
      </c>
      <c r="H303" s="487" t="e" cm="1">
        <f t="array" ref="H303">SUMPRODUCT((ERP[UID]=A303)*(ERP[AP01]+ERP[AP02]+ERP[AP03]+ERP[AP04]+ERP[AP05]))</f>
        <v>#VALUE!</v>
      </c>
      <c r="I303" s="487" cm="1">
        <f t="array" ref="I303">SUMPRODUCT((ERP[UID]=A303)*(ERP[AP01 LE2]+ERP[AP02 LE2]+ERP[AP03 LE2]+ERP[AP04 LE2]+ERP[AP05 LE2]))</f>
        <v>180565.95</v>
      </c>
      <c r="J303" s="487">
        <f>'ERP_AP7 Macro Failed'!AL305</f>
        <v>152895.60000000003</v>
      </c>
      <c r="K303" t="str">
        <f t="shared" si="8"/>
        <v>MATERIAL</v>
      </c>
      <c r="L303" t="str">
        <f t="shared" si="9"/>
        <v>YES</v>
      </c>
    </row>
    <row r="304" spans="1:12">
      <c r="A304" t="str">
        <f>'ERP_AP7 Macro Failed'!A306</f>
        <v>L-ERP-544</v>
      </c>
      <c r="B304" t="str">
        <f>'ERP_AP7 Macro Failed'!D306</f>
        <v>Dougherty, Chris</v>
      </c>
      <c r="C304" t="str">
        <f>'ERP_AP7 Macro Failed'!E306</f>
        <v>Tamavada, Ram</v>
      </c>
      <c r="D304" t="str">
        <f>'ERP_AP7 Macro Failed'!G306</f>
        <v>MANAGED SERVICES</v>
      </c>
      <c r="E304" t="str">
        <f>'ERP_AP7 Macro Failed'!H306</f>
        <v>IBM: SAP Application Managed Service - Delta Applications - FBO Scope</v>
      </c>
      <c r="F304">
        <f>'ERP_AP7 Macro Failed'!I306</f>
        <v>0</v>
      </c>
      <c r="G304" t="str">
        <f>'ERP_AP7 Macro Failed'!K306</f>
        <v>IT-FBT0753-OT-US-00</v>
      </c>
      <c r="H304" s="487" t="e" cm="1">
        <f t="array" ref="H304">SUMPRODUCT((ERP[UID]=A304)*(ERP[AP01]+ERP[AP02]+ERP[AP03]+ERP[AP04]+ERP[AP05]))</f>
        <v>#VALUE!</v>
      </c>
      <c r="I304" s="487" cm="1">
        <f t="array" ref="I304">SUMPRODUCT((ERP[UID]=A304)*(ERP[AP01 LE2]+ERP[AP02 LE2]+ERP[AP03 LE2]+ERP[AP04 LE2]+ERP[AP05 LE2]))</f>
        <v>139959.60999999999</v>
      </c>
      <c r="J304" s="487">
        <f>'ERP_AP7 Macro Failed'!AL306</f>
        <v>0.42999999999301508</v>
      </c>
      <c r="K304" t="str">
        <f t="shared" si="8"/>
        <v>Immaterial</v>
      </c>
      <c r="L304" t="str">
        <f t="shared" si="9"/>
        <v>No</v>
      </c>
    </row>
    <row r="305" spans="1:12">
      <c r="A305" t="str">
        <f>'ERP_AP7 Macro Failed'!A307</f>
        <v>L-ERP-571</v>
      </c>
      <c r="B305" t="str">
        <f>'ERP_AP7 Macro Failed'!D307</f>
        <v>Hase, Raj</v>
      </c>
      <c r="C305" t="str">
        <f>'ERP_AP7 Macro Failed'!E307</f>
        <v>Yeluri, Durga</v>
      </c>
      <c r="D305" t="str">
        <f>'ERP_AP7 Macro Failed'!G307</f>
        <v>MANAGED SERVICES</v>
      </c>
      <c r="E305" t="str">
        <f>'ERP_AP7 Macro Failed'!H307</f>
        <v>PFIZER APPS related charges (Cloud AWS, Data Protection)</v>
      </c>
      <c r="F305">
        <f>'ERP_AP7 Macro Failed'!I307</f>
        <v>0</v>
      </c>
      <c r="G305" t="str">
        <f>'ERP_AP7 Macro Failed'!K307</f>
        <v>IT-FBT0769-OT-US-00</v>
      </c>
      <c r="H305" s="487" t="e" cm="1">
        <f t="array" ref="H305">SUMPRODUCT((ERP[UID]=A305)*(ERP[AP01]+ERP[AP02]+ERP[AP03]+ERP[AP04]+ERP[AP05]))</f>
        <v>#VALUE!</v>
      </c>
      <c r="I305" s="487" cm="1">
        <f t="array" ref="I305">SUMPRODUCT((ERP[UID]=A305)*(ERP[AP01 LE2]+ERP[AP02 LE2]+ERP[AP03 LE2]+ERP[AP04 LE2]+ERP[AP05 LE2]))</f>
        <v>497.06000000000006</v>
      </c>
      <c r="J305" s="487">
        <f>'ERP_AP7 Macro Failed'!AL307</f>
        <v>545.14</v>
      </c>
      <c r="K305" t="str">
        <f t="shared" si="8"/>
        <v>Immaterial</v>
      </c>
      <c r="L305" t="str">
        <f t="shared" si="9"/>
        <v>No</v>
      </c>
    </row>
    <row r="306" spans="1:12">
      <c r="A306" t="str">
        <f>'ERP_AP7 Macro Failed'!A308</f>
        <v>L-ERP-525</v>
      </c>
      <c r="B306" t="str">
        <f>'ERP_AP7 Macro Failed'!D308</f>
        <v>Dougherty, Chris</v>
      </c>
      <c r="C306" t="str">
        <f>'ERP_AP7 Macro Failed'!E308</f>
        <v>Tamavada, Ram</v>
      </c>
      <c r="D306" t="str">
        <f>'ERP_AP7 Macro Failed'!G308</f>
        <v>MANAGED SERVICES</v>
      </c>
      <c r="E306" t="str">
        <f>'ERP_AP7 Macro Failed'!H308</f>
        <v>PFIZER APPS related charges (Cloud AWS, Data Protection)</v>
      </c>
      <c r="F306">
        <f>'ERP_AP7 Macro Failed'!I308</f>
        <v>0</v>
      </c>
      <c r="G306" t="str">
        <f>'ERP_AP7 Macro Failed'!K308</f>
        <v>IT-FBT0769-OT-US-00</v>
      </c>
      <c r="H306" s="487" t="e" cm="1">
        <f t="array" ref="H306">SUMPRODUCT((ERP[UID]=A306)*(ERP[AP01]+ERP[AP02]+ERP[AP03]+ERP[AP04]+ERP[AP05]))</f>
        <v>#VALUE!</v>
      </c>
      <c r="I306" s="487" cm="1">
        <f t="array" ref="I306">SUMPRODUCT((ERP[UID]=A306)*(ERP[AP01 LE2]+ERP[AP02 LE2]+ERP[AP03 LE2]+ERP[AP04 LE2]+ERP[AP05 LE2]))</f>
        <v>5.6843418860808015E-14</v>
      </c>
      <c r="J306" s="487">
        <f>'ERP_AP7 Macro Failed'!AL308</f>
        <v>433.09000000000003</v>
      </c>
      <c r="K306" t="str">
        <f t="shared" si="8"/>
        <v>Immaterial</v>
      </c>
      <c r="L306" t="str">
        <f t="shared" si="9"/>
        <v>No</v>
      </c>
    </row>
    <row r="307" spans="1:12">
      <c r="A307" t="str">
        <f>'ERP_AP7 Macro Failed'!A309</f>
        <v>ERP-051</v>
      </c>
      <c r="B307" t="str">
        <f>'ERP_AP7 Macro Failed'!D309</f>
        <v>Dougherty, Chris</v>
      </c>
      <c r="C307" t="str">
        <f>'ERP_AP7 Macro Failed'!E309</f>
        <v>Tamavada, Ram</v>
      </c>
      <c r="D307" t="str">
        <f>'ERP_AP7 Macro Failed'!G309</f>
        <v>CONTRACTORS</v>
      </c>
      <c r="E307" t="str">
        <f>'ERP_AP7 Macro Failed'!H309</f>
        <v>DIGITAL-APPHOSTING-DATABASE-PROJECT</v>
      </c>
      <c r="F307">
        <f>'ERP_AP7 Macro Failed'!I309</f>
        <v>0</v>
      </c>
      <c r="G307" t="str">
        <f>'ERP_AP7 Macro Failed'!K309</f>
        <v>IT-FBT0770-OT-US-00</v>
      </c>
      <c r="H307" s="487" t="e" cm="1">
        <f t="array" ref="H307">SUMPRODUCT((ERP[UID]=A307)*(ERP[AP01]+ERP[AP02]+ERP[AP03]+ERP[AP04]+ERP[AP05]))</f>
        <v>#VALUE!</v>
      </c>
      <c r="I307" s="487" cm="1">
        <f t="array" ref="I307">SUMPRODUCT((ERP[UID]=A307)*(ERP[AP01 LE2]+ERP[AP02 LE2]+ERP[AP03 LE2]+ERP[AP04 LE2]+ERP[AP05 LE2]))</f>
        <v>0</v>
      </c>
      <c r="J307" s="487">
        <f>'ERP_AP7 Macro Failed'!AL309</f>
        <v>28.36</v>
      </c>
      <c r="K307" t="str">
        <f t="shared" si="8"/>
        <v>Immaterial</v>
      </c>
      <c r="L307" t="str">
        <f t="shared" si="9"/>
        <v>No</v>
      </c>
    </row>
    <row r="308" spans="1:12">
      <c r="A308" t="str">
        <f>'ERP_AP7 Macro Failed'!A310</f>
        <v>L-ERP-234</v>
      </c>
      <c r="B308" t="str">
        <f>'ERP_AP7 Macro Failed'!D310</f>
        <v>Hase, Raj</v>
      </c>
      <c r="C308" t="str">
        <f>'ERP_AP7 Macro Failed'!E310</f>
        <v>Jajodia, Amit</v>
      </c>
      <c r="D308" t="str">
        <f>'ERP_AP7 Macro Failed'!G310</f>
        <v>CONTRACTORS</v>
      </c>
      <c r="E308" t="str">
        <f>'ERP_AP7 Macro Failed'!H310</f>
        <v>Mulesoft - Quality Mulesoft (Contractors)</v>
      </c>
      <c r="F308">
        <f>'ERP_AP7 Macro Failed'!I310</f>
        <v>0</v>
      </c>
      <c r="G308" t="str">
        <f>'ERP_AP7 Macro Failed'!K310</f>
        <v>IT-FBT0771-OG-US-00</v>
      </c>
      <c r="H308" s="487" t="e" cm="1">
        <f t="array" ref="H308">SUMPRODUCT((ERP[UID]=A308)*(ERP[AP01]+ERP[AP02]+ERP[AP03]+ERP[AP04]+ERP[AP05]))</f>
        <v>#VALUE!</v>
      </c>
      <c r="I308" s="487" cm="1">
        <f t="array" ref="I308">SUMPRODUCT((ERP[UID]=A308)*(ERP[AP01 LE2]+ERP[AP02 LE2]+ERP[AP03 LE2]+ERP[AP04 LE2]+ERP[AP05 LE2]))</f>
        <v>0</v>
      </c>
      <c r="J308" s="487">
        <f>'ERP_AP7 Macro Failed'!AL310</f>
        <v>0</v>
      </c>
      <c r="K308" t="str">
        <f t="shared" si="8"/>
        <v>Immaterial</v>
      </c>
      <c r="L308" t="str">
        <f t="shared" si="9"/>
        <v>No</v>
      </c>
    </row>
    <row r="309" spans="1:12">
      <c r="A309" t="str">
        <f>'ERP_AP7 Macro Failed'!A311</f>
        <v>L-ERP-232</v>
      </c>
      <c r="B309" t="str">
        <f>'ERP_AP7 Macro Failed'!D311</f>
        <v>Hase, Raj</v>
      </c>
      <c r="C309" t="str">
        <f>'ERP_AP7 Macro Failed'!E311</f>
        <v>Jajodia, Amit</v>
      </c>
      <c r="D309" t="str">
        <f>'ERP_AP7 Macro Failed'!G311</f>
        <v>MANAGED SERVICES</v>
      </c>
      <c r="E309" t="str">
        <f>'ERP_AP7 Macro Failed'!H311</f>
        <v>Manufacturing MarKov - IoD and Ring Fencing</v>
      </c>
      <c r="F309">
        <f>'ERP_AP7 Macro Failed'!I311</f>
        <v>0</v>
      </c>
      <c r="G309" t="str">
        <f>'ERP_AP7 Macro Failed'!K311</f>
        <v>IT-FBT0772-OG-US-00</v>
      </c>
      <c r="H309" s="487" t="e" cm="1">
        <f t="array" ref="H309">SUMPRODUCT((ERP[UID]=A309)*(ERP[AP01]+ERP[AP02]+ERP[AP03]+ERP[AP04]+ERP[AP05]))</f>
        <v>#VALUE!</v>
      </c>
      <c r="I309" s="487" cm="1">
        <f t="array" ref="I309">SUMPRODUCT((ERP[UID]=A309)*(ERP[AP01 LE2]+ERP[AP02 LE2]+ERP[AP03 LE2]+ERP[AP04 LE2]+ERP[AP05 LE2]))</f>
        <v>2200</v>
      </c>
      <c r="J309" s="487">
        <f>'ERP_AP7 Macro Failed'!AL311</f>
        <v>-3300</v>
      </c>
      <c r="K309" t="str">
        <f t="shared" si="8"/>
        <v>Minor</v>
      </c>
      <c r="L309" t="str">
        <f t="shared" si="9"/>
        <v>No</v>
      </c>
    </row>
    <row r="310" spans="1:12">
      <c r="A310" t="str">
        <f>'ERP_AP7 Macro Failed'!A312</f>
        <v>L-ERP-135</v>
      </c>
      <c r="B310" t="str">
        <f>'ERP_AP7 Macro Failed'!D312</f>
        <v>Hase, Raj</v>
      </c>
      <c r="C310" t="str">
        <f>'ERP_AP7 Macro Failed'!E312</f>
        <v>Ganesan, Srinivasan</v>
      </c>
      <c r="D310" t="str">
        <f>'ERP_AP7 Macro Failed'!G312</f>
        <v>CONTRACTORS</v>
      </c>
      <c r="E310" t="str">
        <f>'ERP_AP7 Macro Failed'!H312</f>
        <v>MetaStorm - Import Manager Contractor Support</v>
      </c>
      <c r="F310">
        <f>'ERP_AP7 Macro Failed'!I312</f>
        <v>0</v>
      </c>
      <c r="G310" t="str">
        <f>'ERP_AP7 Macro Failed'!K312</f>
        <v>IT-FBT0778-OT-US-00</v>
      </c>
      <c r="H310" s="487" t="e" cm="1">
        <f t="array" ref="H310">SUMPRODUCT((ERP[UID]=A310)*(ERP[AP01]+ERP[AP02]+ERP[AP03]+ERP[AP04]+ERP[AP05]))</f>
        <v>#VALUE!</v>
      </c>
      <c r="I310" s="487" cm="1">
        <f t="array" ref="I310">SUMPRODUCT((ERP[UID]=A310)*(ERP[AP01 LE2]+ERP[AP02 LE2]+ERP[AP03 LE2]+ERP[AP04 LE2]+ERP[AP05 LE2]))</f>
        <v>0</v>
      </c>
      <c r="J310" s="487">
        <f>'ERP_AP7 Macro Failed'!AL312</f>
        <v>0</v>
      </c>
      <c r="K310" t="str">
        <f t="shared" si="8"/>
        <v>Immaterial</v>
      </c>
      <c r="L310" t="str">
        <f t="shared" si="9"/>
        <v>No</v>
      </c>
    </row>
    <row r="311" spans="1:12">
      <c r="A311" t="str">
        <f>'ERP_AP7 Macro Failed'!A313</f>
        <v>L-ERP-136</v>
      </c>
      <c r="B311" t="str">
        <f>'ERP_AP7 Macro Failed'!D313</f>
        <v>Hase, Raj</v>
      </c>
      <c r="C311" t="str">
        <f>'ERP_AP7 Macro Failed'!E313</f>
        <v>Ganesan, Srinivasan</v>
      </c>
      <c r="D311" t="str">
        <f>'ERP_AP7 Macro Failed'!G313</f>
        <v>MANAGED SERVICES</v>
      </c>
      <c r="E311" t="str">
        <f>'ERP_AP7 Macro Failed'!H313</f>
        <v>MetaStorm - Import Manager Contractor Support</v>
      </c>
      <c r="F311">
        <f>'ERP_AP7 Macro Failed'!I313</f>
        <v>0</v>
      </c>
      <c r="G311" t="str">
        <f>'ERP_AP7 Macro Failed'!K313</f>
        <v>IT-FBT0778-OT-US-00</v>
      </c>
      <c r="H311" s="487" t="e" cm="1">
        <f t="array" ref="H311">SUMPRODUCT((ERP[UID]=A311)*(ERP[AP01]+ERP[AP02]+ERP[AP03]+ERP[AP04]+ERP[AP05]))</f>
        <v>#VALUE!</v>
      </c>
      <c r="I311" s="487" cm="1">
        <f t="array" ref="I311">SUMPRODUCT((ERP[UID]=A311)*(ERP[AP01 LE2]+ERP[AP02 LE2]+ERP[AP03 LE2]+ERP[AP04 LE2]+ERP[AP05 LE2]))</f>
        <v>10500</v>
      </c>
      <c r="J311" s="487">
        <f>'ERP_AP7 Macro Failed'!AL313</f>
        <v>-2100</v>
      </c>
      <c r="K311" t="str">
        <f t="shared" si="8"/>
        <v>Minor</v>
      </c>
      <c r="L311" t="str">
        <f t="shared" si="9"/>
        <v>No</v>
      </c>
    </row>
    <row r="312" spans="1:12">
      <c r="A312" t="str">
        <f>'ERP_AP7 Macro Failed'!A314</f>
        <v>L-ERP-137</v>
      </c>
      <c r="B312" t="str">
        <f>'ERP_AP7 Macro Failed'!D314</f>
        <v>Hase, Raj</v>
      </c>
      <c r="C312" t="str">
        <f>'ERP_AP7 Macro Failed'!E314</f>
        <v>Ganesan, Srinivasan</v>
      </c>
      <c r="D312" t="str">
        <f>'ERP_AP7 Macro Failed'!G314</f>
        <v>MANAGED SERVICES</v>
      </c>
      <c r="E312" t="str">
        <f>'ERP_AP7 Macro Failed'!H314</f>
        <v>MetaStorm - MD eSponsor Application Support &amp; Maintenance</v>
      </c>
      <c r="F312">
        <f>'ERP_AP7 Macro Failed'!I314</f>
        <v>0</v>
      </c>
      <c r="G312" t="str">
        <f>'ERP_AP7 Macro Failed'!K314</f>
        <v>IT-FBT0779-OT-US-00</v>
      </c>
      <c r="H312" s="487" t="e" cm="1">
        <f t="array" ref="H312">SUMPRODUCT((ERP[UID]=A312)*(ERP[AP01]+ERP[AP02]+ERP[AP03]+ERP[AP04]+ERP[AP05]))</f>
        <v>#VALUE!</v>
      </c>
      <c r="I312" s="487" cm="1">
        <f t="array" ref="I312">SUMPRODUCT((ERP[UID]=A312)*(ERP[AP01 LE2]+ERP[AP02 LE2]+ERP[AP03 LE2]+ERP[AP04 LE2]+ERP[AP05 LE2]))</f>
        <v>8751</v>
      </c>
      <c r="J312" s="487">
        <f>'ERP_AP7 Macro Failed'!AL314</f>
        <v>5834</v>
      </c>
      <c r="K312" t="str">
        <f t="shared" si="8"/>
        <v>Minor</v>
      </c>
      <c r="L312" t="str">
        <f t="shared" si="9"/>
        <v>No</v>
      </c>
    </row>
    <row r="313" spans="1:12">
      <c r="A313" t="str">
        <f>'ERP_AP7 Macro Failed'!A315</f>
        <v>L-ERP-202</v>
      </c>
      <c r="B313" t="str">
        <f>'ERP_AP7 Macro Failed'!D315</f>
        <v>Hase, Raj</v>
      </c>
      <c r="C313" t="str">
        <f>'ERP_AP7 Macro Failed'!E315</f>
        <v>Herman, Shaun</v>
      </c>
      <c r="D313" t="str">
        <f>'ERP_AP7 Macro Failed'!G315</f>
        <v>CONTRACTORS</v>
      </c>
      <c r="E313" t="str">
        <f>'ERP_AP7 Macro Failed'!H315</f>
        <v>MetaStorm - MD eSponsor Application Support &amp; Maintenance</v>
      </c>
      <c r="F313">
        <f>'ERP_AP7 Macro Failed'!I315</f>
        <v>0</v>
      </c>
      <c r="G313" t="str">
        <f>'ERP_AP7 Macro Failed'!K315</f>
        <v>IT-FBT0779-OT-US-00</v>
      </c>
      <c r="H313" s="487" t="e" cm="1">
        <f t="array" ref="H313">SUMPRODUCT((ERP[UID]=A313)*(ERP[AP01]+ERP[AP02]+ERP[AP03]+ERP[AP04]+ERP[AP05]))</f>
        <v>#VALUE!</v>
      </c>
      <c r="I313" s="487" cm="1">
        <f t="array" ref="I313">SUMPRODUCT((ERP[UID]=A313)*(ERP[AP01 LE2]+ERP[AP02 LE2]+ERP[AP03 LE2]+ERP[AP04 LE2]+ERP[AP05 LE2]))</f>
        <v>5834</v>
      </c>
      <c r="J313" s="487">
        <f>'ERP_AP7 Macro Failed'!AL315</f>
        <v>-8751</v>
      </c>
      <c r="K313" t="str">
        <f t="shared" si="8"/>
        <v>Minor</v>
      </c>
      <c r="L313" t="str">
        <f t="shared" si="9"/>
        <v>No</v>
      </c>
    </row>
    <row r="314" spans="1:12">
      <c r="A314" t="str">
        <f>'ERP_AP7 Macro Failed'!A316</f>
        <v>L-ERP-545</v>
      </c>
      <c r="B314" t="str">
        <f>'ERP_AP7 Macro Failed'!D316</f>
        <v>Dougherty, Chris</v>
      </c>
      <c r="C314" t="str">
        <f>'ERP_AP7 Macro Failed'!E316</f>
        <v>Tamavada, Ram</v>
      </c>
      <c r="D314" t="str">
        <f>'ERP_AP7 Macro Failed'!G316</f>
        <v>MANAGED SERVICES</v>
      </c>
      <c r="E314" t="str">
        <f>'ERP_AP7 Macro Failed'!H316</f>
        <v>Legacy PS HR &amp; GRW Related charges</v>
      </c>
      <c r="F314">
        <f>'ERP_AP7 Macro Failed'!I316</f>
        <v>0</v>
      </c>
      <c r="G314" t="str">
        <f>'ERP_AP7 Macro Failed'!K316</f>
        <v>IT-FBT0770-OT-US-00</v>
      </c>
      <c r="H314" s="487" t="e" cm="1">
        <f t="array" ref="H314">SUMPRODUCT((ERP[UID]=A314)*(ERP[AP01]+ERP[AP02]+ERP[AP03]+ERP[AP04]+ERP[AP05]))</f>
        <v>#VALUE!</v>
      </c>
      <c r="I314" s="487" cm="1">
        <f t="array" ref="I314">SUMPRODUCT((ERP[UID]=A314)*(ERP[AP01 LE2]+ERP[AP02 LE2]+ERP[AP03 LE2]+ERP[AP04 LE2]+ERP[AP05 LE2]))</f>
        <v>0</v>
      </c>
      <c r="J314" s="487">
        <f>'ERP_AP7 Macro Failed'!AL316</f>
        <v>192.22</v>
      </c>
      <c r="K314" t="str">
        <f t="shared" si="8"/>
        <v>Immaterial</v>
      </c>
      <c r="L314" t="str">
        <f t="shared" si="9"/>
        <v>No</v>
      </c>
    </row>
    <row r="315" spans="1:12">
      <c r="A315" t="str">
        <f>'ERP_AP7 Macro Failed'!A317</f>
        <v>ERP-050</v>
      </c>
      <c r="B315" t="str">
        <f>'ERP_AP7 Macro Failed'!D317</f>
        <v>Dougherty, Chris</v>
      </c>
      <c r="C315" t="str">
        <f>'ERP_AP7 Macro Failed'!E317</f>
        <v>Meadows, Leslie</v>
      </c>
      <c r="D315" t="str">
        <f>'ERP_AP7 Macro Failed'!G317</f>
        <v>MANAGED SERVICES</v>
      </c>
      <c r="E315" t="str">
        <f>'ERP_AP7 Macro Failed'!H317</f>
        <v>SSCS Operational Sup</v>
      </c>
      <c r="F315" t="str">
        <f>'ERP_AP7 Macro Failed'!I317</f>
        <v>ALLEGIS GLOBAL SOLUTIONS INC</v>
      </c>
      <c r="G315" t="str">
        <f>'ERP_AP7 Macro Failed'!K317</f>
        <v>IT-FBT0780-OT-US-00</v>
      </c>
      <c r="H315" s="487" t="e" cm="1">
        <f t="array" ref="H315">SUMPRODUCT((ERP[UID]=A315)*(ERP[AP01]+ERP[AP02]+ERP[AP03]+ERP[AP04]+ERP[AP05]))</f>
        <v>#VALUE!</v>
      </c>
      <c r="I315" s="487" cm="1">
        <f t="array" ref="I315">SUMPRODUCT((ERP[UID]=A315)*(ERP[AP01 LE2]+ERP[AP02 LE2]+ERP[AP03 LE2]+ERP[AP04 LE2]+ERP[AP05 LE2]))</f>
        <v>0</v>
      </c>
      <c r="J315" s="487">
        <f>'ERP_AP7 Macro Failed'!AL317</f>
        <v>88500</v>
      </c>
      <c r="K315" t="str">
        <f t="shared" si="8"/>
        <v>MATERIAL</v>
      </c>
      <c r="L315" t="str">
        <f t="shared" si="9"/>
        <v>YES</v>
      </c>
    </row>
    <row r="316" spans="1:12">
      <c r="A316" t="str">
        <f>'ERP_AP7 Macro Failed'!A318</f>
        <v>L-ERP-151</v>
      </c>
      <c r="B316" t="str">
        <f>'ERP_AP7 Macro Failed'!D318</f>
        <v>Hase, Raj</v>
      </c>
      <c r="C316" t="str">
        <f>'ERP_AP7 Macro Failed'!E318</f>
        <v>Ganesan, Srinivasan</v>
      </c>
      <c r="D316" t="str">
        <f>'ERP_AP7 Macro Failed'!G318</f>
        <v>CONTRACTORS</v>
      </c>
      <c r="E316" t="str">
        <f>'ERP_AP7 Macro Failed'!H318</f>
        <v>GLNS Analytics Resources</v>
      </c>
      <c r="F316" t="str">
        <f>'ERP_AP7 Macro Failed'!I318</f>
        <v>IBM CORP</v>
      </c>
      <c r="G316" t="str">
        <f>'ERP_AP7 Macro Failed'!K318</f>
        <v>IT-FBT0784-OG-US-00</v>
      </c>
      <c r="H316" s="487" t="e" cm="1">
        <f t="array" ref="H316">SUMPRODUCT((ERP[UID]=A316)*(ERP[AP01]+ERP[AP02]+ERP[AP03]+ERP[AP04]+ERP[AP05]))</f>
        <v>#VALUE!</v>
      </c>
      <c r="I316" s="487" cm="1">
        <f t="array" ref="I316">SUMPRODUCT((ERP[UID]=A316)*(ERP[AP01 LE2]+ERP[AP02 LE2]+ERP[AP03 LE2]+ERP[AP04 LE2]+ERP[AP05 LE2]))</f>
        <v>445592.08999999997</v>
      </c>
      <c r="J316" s="487">
        <f>'ERP_AP7 Macro Failed'!AL318</f>
        <v>-19218.909999999916</v>
      </c>
      <c r="K316" t="str">
        <f t="shared" si="8"/>
        <v>MATERIAL</v>
      </c>
      <c r="L316" t="str">
        <f t="shared" si="9"/>
        <v>YES</v>
      </c>
    </row>
    <row r="317" spans="1:12">
      <c r="A317" t="str">
        <f>'ERP_AP7 Macro Failed'!A319</f>
        <v>L-ERP-162</v>
      </c>
      <c r="B317" t="str">
        <f>'ERP_AP7 Macro Failed'!D319</f>
        <v>Hase, Raj</v>
      </c>
      <c r="C317" t="str">
        <f>'ERP_AP7 Macro Failed'!E319</f>
        <v>Ganesan, Srinivasan</v>
      </c>
      <c r="D317" t="str">
        <f>'ERP_AP7 Macro Failed'!G319</f>
        <v>SOFTWARE</v>
      </c>
      <c r="E317" t="str">
        <f>'ERP_AP7 Macro Failed'!H319</f>
        <v>GLNS Analytics Resources</v>
      </c>
      <c r="F317">
        <f>'ERP_AP7 Macro Failed'!I319</f>
        <v>0</v>
      </c>
      <c r="G317" t="str">
        <f>'ERP_AP7 Macro Failed'!K319</f>
        <v>IT-FBT0784-OG-US-00</v>
      </c>
      <c r="H317" s="487" t="e" cm="1">
        <f t="array" ref="H317">SUMPRODUCT((ERP[UID]=A317)*(ERP[AP01]+ERP[AP02]+ERP[AP03]+ERP[AP04]+ERP[AP05]))</f>
        <v>#VALUE!</v>
      </c>
      <c r="I317" s="487" cm="1">
        <f t="array" ref="I317">SUMPRODUCT((ERP[UID]=A317)*(ERP[AP01 LE2]+ERP[AP02 LE2]+ERP[AP03 LE2]+ERP[AP04 LE2]+ERP[AP05 LE2]))</f>
        <v>292.39999999999998</v>
      </c>
      <c r="J317" s="487">
        <f>'ERP_AP7 Macro Failed'!AL319</f>
        <v>0</v>
      </c>
      <c r="K317" t="str">
        <f t="shared" si="8"/>
        <v>Immaterial</v>
      </c>
      <c r="L317" t="str">
        <f t="shared" si="9"/>
        <v>No</v>
      </c>
    </row>
    <row r="318" spans="1:12">
      <c r="A318" t="str">
        <f>'ERP_AP7 Macro Failed'!A320</f>
        <v>L-ERP-243</v>
      </c>
      <c r="B318" t="str">
        <f>'ERP_AP7 Macro Failed'!D320</f>
        <v>Hase, Raj</v>
      </c>
      <c r="C318" t="str">
        <f>'ERP_AP7 Macro Failed'!E320</f>
        <v>Jajodia, Amit</v>
      </c>
      <c r="D318" t="str">
        <f>'ERP_AP7 Macro Failed'!G320</f>
        <v>CONTRACTORS</v>
      </c>
      <c r="E318" t="str">
        <f>'ERP_AP7 Macro Failed'!H320</f>
        <v>ES SCC &amp; CMO Support_XFR0923 &amp; XFR0862 &amp; XFR0924</v>
      </c>
      <c r="F318">
        <f>'ERP_AP7 Macro Failed'!I320</f>
        <v>0</v>
      </c>
      <c r="G318" t="str">
        <f>'ERP_AP7 Macro Failed'!K320</f>
        <v>IT-FBT0785-OG-US-00</v>
      </c>
      <c r="H318" s="487" t="e" cm="1">
        <f t="array" ref="H318">SUMPRODUCT((ERP[UID]=A318)*(ERP[AP01]+ERP[AP02]+ERP[AP03]+ERP[AP04]+ERP[AP05]))</f>
        <v>#VALUE!</v>
      </c>
      <c r="I318" s="487" cm="1">
        <f t="array" ref="I318">SUMPRODUCT((ERP[UID]=A318)*(ERP[AP01 LE2]+ERP[AP02 LE2]+ERP[AP03 LE2]+ERP[AP04 LE2]+ERP[AP05 LE2]))</f>
        <v>195801.32</v>
      </c>
      <c r="J318" s="487">
        <f>'ERP_AP7 Macro Failed'!AL320</f>
        <v>-9221.9500000000116</v>
      </c>
      <c r="K318" t="str">
        <f t="shared" si="8"/>
        <v>Minor</v>
      </c>
      <c r="L318" t="str">
        <f t="shared" si="9"/>
        <v>No</v>
      </c>
    </row>
    <row r="319" spans="1:12">
      <c r="A319" t="str">
        <f>'ERP_AP7 Macro Failed'!A321</f>
        <v>L-ERP-152</v>
      </c>
      <c r="B319" t="str">
        <f>'ERP_AP7 Macro Failed'!D321</f>
        <v>Hase, Raj</v>
      </c>
      <c r="C319" t="str">
        <f>'ERP_AP7 Macro Failed'!E321</f>
        <v>Ganesan, Srinivasan</v>
      </c>
      <c r="D319" t="str">
        <f>'ERP_AP7 Macro Failed'!G321</f>
        <v>CONTRACTORS</v>
      </c>
      <c r="E319" t="str">
        <f>'ERP_AP7 Macro Failed'!H321</f>
        <v>GLNS Functional Support_XFR0974 &amp; XFR0929 &amp; XFR0906 &amp; XFR0959</v>
      </c>
      <c r="F319">
        <f>'ERP_AP7 Macro Failed'!I321</f>
        <v>0</v>
      </c>
      <c r="G319" t="str">
        <f>'ERP_AP7 Macro Failed'!K321</f>
        <v>IT-FBT0790-OG-US-00</v>
      </c>
      <c r="H319" s="487" t="e" cm="1">
        <f t="array" ref="H319">SUMPRODUCT((ERP[UID]=A319)*(ERP[AP01]+ERP[AP02]+ERP[AP03]+ERP[AP04]+ERP[AP05]))</f>
        <v>#VALUE!</v>
      </c>
      <c r="I319" s="487" cm="1">
        <f t="array" ref="I319">SUMPRODUCT((ERP[UID]=A319)*(ERP[AP01 LE2]+ERP[AP02 LE2]+ERP[AP03 LE2]+ERP[AP04 LE2]+ERP[AP05 LE2]))</f>
        <v>-4911.25</v>
      </c>
      <c r="J319" s="487">
        <f>'ERP_AP7 Macro Failed'!AL321</f>
        <v>-18382.5</v>
      </c>
      <c r="K319" t="str">
        <f t="shared" si="8"/>
        <v>MATERIAL</v>
      </c>
      <c r="L319" t="str">
        <f t="shared" si="9"/>
        <v>YES</v>
      </c>
    </row>
    <row r="320" spans="1:12">
      <c r="A320" t="str">
        <f>'ERP_AP7 Macro Failed'!A322</f>
        <v>N-ERP-561</v>
      </c>
      <c r="B320" t="str">
        <f>'ERP_AP7 Macro Failed'!D322</f>
        <v>Hase, Raj</v>
      </c>
      <c r="C320" t="str">
        <f>'ERP_AP7 Macro Failed'!E322</f>
        <v>Ganesan, Srinivasan</v>
      </c>
      <c r="D320" t="str">
        <f>'ERP_AP7 Macro Failed'!G322</f>
        <v>MANAGED SERVICES</v>
      </c>
      <c r="E320" t="str">
        <f>'ERP_AP7 Macro Failed'!H322</f>
        <v>GLNS Trade Collaborator</v>
      </c>
      <c r="F320">
        <f>'ERP_AP7 Macro Failed'!I322</f>
        <v>0</v>
      </c>
      <c r="G320" t="str">
        <f>'ERP_AP7 Macro Failed'!K322</f>
        <v>IT-FBT0793-OG-US-00</v>
      </c>
      <c r="H320" s="487" t="e" cm="1">
        <f t="array" ref="H320">SUMPRODUCT((ERP[UID]=A320)*(ERP[AP01]+ERP[AP02]+ERP[AP03]+ERP[AP04]+ERP[AP05]))</f>
        <v>#VALUE!</v>
      </c>
      <c r="I320" s="487" cm="1">
        <f t="array" ref="I320">SUMPRODUCT((ERP[UID]=A320)*(ERP[AP01 LE2]+ERP[AP02 LE2]+ERP[AP03 LE2]+ERP[AP04 LE2]+ERP[AP05 LE2]))</f>
        <v>0</v>
      </c>
      <c r="J320" s="487">
        <f>'ERP_AP7 Macro Failed'!AL322</f>
        <v>0</v>
      </c>
      <c r="K320" t="str">
        <f t="shared" si="8"/>
        <v>Immaterial</v>
      </c>
      <c r="L320" t="str">
        <f t="shared" si="9"/>
        <v>No</v>
      </c>
    </row>
    <row r="321" spans="1:12">
      <c r="A321" t="str">
        <f>'ERP_AP7 Macro Failed'!A323</f>
        <v>N-ERP-562</v>
      </c>
      <c r="B321" t="str">
        <f>'ERP_AP7 Macro Failed'!D323</f>
        <v>Hase, Raj</v>
      </c>
      <c r="C321" t="str">
        <f>'ERP_AP7 Macro Failed'!E323</f>
        <v>Ganesan, Srinivasan</v>
      </c>
      <c r="D321" t="str">
        <f>'ERP_AP7 Macro Failed'!G323</f>
        <v>MANAGED SERVICES</v>
      </c>
      <c r="E321" t="str">
        <f>'ERP_AP7 Macro Failed'!H323</f>
        <v>GLNS Trade Collaborator</v>
      </c>
      <c r="F321">
        <f>'ERP_AP7 Macro Failed'!I323</f>
        <v>0</v>
      </c>
      <c r="G321" t="str">
        <f>'ERP_AP7 Macro Failed'!K323</f>
        <v>IT-FBT0793-OG-US-00/CB</v>
      </c>
      <c r="H321" s="487" t="e" cm="1">
        <f t="array" ref="H321">SUMPRODUCT((ERP[UID]=A321)*(ERP[AP01]+ERP[AP02]+ERP[AP03]+ERP[AP04]+ERP[AP05]))</f>
        <v>#VALUE!</v>
      </c>
      <c r="I321" s="487" cm="1">
        <f t="array" ref="I321">SUMPRODUCT((ERP[UID]=A321)*(ERP[AP01 LE2]+ERP[AP02 LE2]+ERP[AP03 LE2]+ERP[AP04 LE2]+ERP[AP05 LE2]))</f>
        <v>0</v>
      </c>
      <c r="J321" s="487">
        <f>'ERP_AP7 Macro Failed'!AL323</f>
        <v>0</v>
      </c>
      <c r="K321" t="str">
        <f t="shared" si="8"/>
        <v>Immaterial</v>
      </c>
      <c r="L321" t="str">
        <f t="shared" si="9"/>
        <v>No</v>
      </c>
    </row>
    <row r="322" spans="1:12">
      <c r="A322" t="str">
        <f>'ERP_AP7 Macro Failed'!A324</f>
        <v>L-ERP-002</v>
      </c>
      <c r="B322" t="str">
        <f>'ERP_AP7 Macro Failed'!D324</f>
        <v>Hase, Raj</v>
      </c>
      <c r="C322" t="str">
        <f>'ERP_AP7 Macro Failed'!E324</f>
        <v>DeHart, Lynn</v>
      </c>
      <c r="D322" t="str">
        <f>'ERP_AP7 Macro Failed'!G324</f>
        <v>MANAGED SERVICES</v>
      </c>
      <c r="E322" t="str">
        <f>'ERP_AP7 Macro Failed'!H324</f>
        <v>Company Car - Belgium (LE5923) - Maria Gkountouva Plate 2CBY846</v>
      </c>
      <c r="F322">
        <f>'ERP_AP7 Macro Failed'!I324</f>
        <v>0</v>
      </c>
      <c r="G322" t="str">
        <f>'ERP_AP7 Macro Failed'!K324</f>
        <v>IT-FBT0798-OG-BE-00</v>
      </c>
      <c r="H322" s="487" t="e" cm="1">
        <f t="array" ref="H322">SUMPRODUCT((ERP[UID]=A322)*(ERP[AP01]+ERP[AP02]+ERP[AP03]+ERP[AP04]+ERP[AP05]))</f>
        <v>#VALUE!</v>
      </c>
      <c r="I322" s="487" cm="1">
        <f t="array" ref="I322">SUMPRODUCT((ERP[UID]=A322)*(ERP[AP01 LE2]+ERP[AP02 LE2]+ERP[AP03 LE2]+ERP[AP04 LE2]+ERP[AP05 LE2]))</f>
        <v>3866.47</v>
      </c>
      <c r="J322" s="487">
        <f>'ERP_AP7 Macro Failed'!AL324</f>
        <v>2889.4999999999995</v>
      </c>
      <c r="K322" t="str">
        <f t="shared" si="8"/>
        <v>Minor</v>
      </c>
      <c r="L322" t="str">
        <f t="shared" si="9"/>
        <v>No</v>
      </c>
    </row>
    <row r="323" spans="1:12">
      <c r="A323" t="str">
        <f>'ERP_AP7 Macro Failed'!A325</f>
        <v>L-ERP-124</v>
      </c>
      <c r="B323" t="str">
        <f>'ERP_AP7 Macro Failed'!D325</f>
        <v>Hase, Raj</v>
      </c>
      <c r="C323" t="str">
        <f>'ERP_AP7 Macro Failed'!E325</f>
        <v>Ganesan, Srinivasan</v>
      </c>
      <c r="D323" t="str">
        <f>'ERP_AP7 Macro Failed'!G325</f>
        <v>MANAGED SERVICES</v>
      </c>
      <c r="E323" t="str">
        <f>'ERP_AP7 Macro Failed'!H325</f>
        <v>Company Car - Belgium (LE5923) - Maria Gkountouva Plate 2CBY846</v>
      </c>
      <c r="F323">
        <f>'ERP_AP7 Macro Failed'!I325</f>
        <v>0</v>
      </c>
      <c r="G323" t="str">
        <f>'ERP_AP7 Macro Failed'!K325</f>
        <v>IT-FBT0798-OG-BE-00</v>
      </c>
      <c r="H323" s="487" t="e" cm="1">
        <f t="array" ref="H323">SUMPRODUCT((ERP[UID]=A323)*(ERP[AP01]+ERP[AP02]+ERP[AP03]+ERP[AP04]+ERP[AP05]))</f>
        <v>#VALUE!</v>
      </c>
      <c r="I323" s="487" cm="1">
        <f t="array" ref="I323">SUMPRODUCT((ERP[UID]=A323)*(ERP[AP01 LE2]+ERP[AP02 LE2]+ERP[AP03 LE2]+ERP[AP04 LE2]+ERP[AP05 LE2]))</f>
        <v>2400</v>
      </c>
      <c r="J323" s="487">
        <f>'ERP_AP7 Macro Failed'!AL325</f>
        <v>-3600</v>
      </c>
      <c r="K323" t="str">
        <f t="shared" si="8"/>
        <v>Minor</v>
      </c>
      <c r="L323" t="str">
        <f t="shared" si="9"/>
        <v>No</v>
      </c>
    </row>
    <row r="324" spans="1:12">
      <c r="A324" t="str">
        <f>'ERP_AP7 Macro Failed'!A326</f>
        <v>L-ERP-125</v>
      </c>
      <c r="B324" t="str">
        <f>'ERP_AP7 Macro Failed'!D326</f>
        <v>Hase, Raj</v>
      </c>
      <c r="C324" t="str">
        <f>'ERP_AP7 Macro Failed'!E326</f>
        <v>Ganesan, Srinivasan</v>
      </c>
      <c r="D324" t="str">
        <f>'ERP_AP7 Macro Failed'!G326</f>
        <v>MANAGED SERVICES</v>
      </c>
      <c r="E324" t="str">
        <f>'ERP_AP7 Macro Failed'!H326</f>
        <v>Company Car - Mexico LE 2520 - David Ortiz</v>
      </c>
      <c r="F324">
        <f>'ERP_AP7 Macro Failed'!I326</f>
        <v>0</v>
      </c>
      <c r="G324" t="str">
        <f>'ERP_AP7 Macro Failed'!K326</f>
        <v>IT-FBT0799-OG-MX-00</v>
      </c>
      <c r="H324" s="487" t="e" cm="1">
        <f t="array" ref="H324">SUMPRODUCT((ERP[UID]=A324)*(ERP[AP01]+ERP[AP02]+ERP[AP03]+ERP[AP04]+ERP[AP05]))</f>
        <v>#VALUE!</v>
      </c>
      <c r="I324" s="487" cm="1">
        <f t="array" ref="I324">SUMPRODUCT((ERP[UID]=A324)*(ERP[AP01 LE2]+ERP[AP02 LE2]+ERP[AP03 LE2]+ERP[AP04 LE2]+ERP[AP05 LE2]))</f>
        <v>500</v>
      </c>
      <c r="J324" s="487">
        <f>'ERP_AP7 Macro Failed'!AL326</f>
        <v>-750</v>
      </c>
      <c r="K324" t="str">
        <f t="shared" si="8"/>
        <v>Immaterial</v>
      </c>
      <c r="L324" t="str">
        <f t="shared" si="9"/>
        <v>No</v>
      </c>
    </row>
    <row r="325" spans="1:12">
      <c r="A325" t="str">
        <f>'ERP_AP7 Macro Failed'!A327</f>
        <v>L-ERP-441</v>
      </c>
      <c r="B325" t="str">
        <f>'ERP_AP7 Macro Failed'!D327</f>
        <v>Dougherty, Chris</v>
      </c>
      <c r="C325" t="str">
        <f>'ERP_AP7 Macro Failed'!E327</f>
        <v>Meadows, Leslie</v>
      </c>
      <c r="D325" t="str">
        <f>'ERP_AP7 Macro Failed'!G327</f>
        <v>CONTRACTORS</v>
      </c>
      <c r="E325" t="str">
        <f>'ERP_AP7 Macro Failed'!H327</f>
        <v>SSCS Operational Support</v>
      </c>
      <c r="F325">
        <f>'ERP_AP7 Macro Failed'!I327</f>
        <v>0</v>
      </c>
      <c r="G325" t="str">
        <f>'ERP_AP7 Macro Failed'!K327</f>
        <v>IT-FBT0780-OT-US-00</v>
      </c>
      <c r="H325" s="487" t="e" cm="1">
        <f t="array" ref="H325">SUMPRODUCT((ERP[UID]=A325)*(ERP[AP01]+ERP[AP02]+ERP[AP03]+ERP[AP04]+ERP[AP05]))</f>
        <v>#VALUE!</v>
      </c>
      <c r="I325" s="487" cm="1">
        <f t="array" ref="I325">SUMPRODUCT((ERP[UID]=A325)*(ERP[AP01 LE2]+ERP[AP02 LE2]+ERP[AP03 LE2]+ERP[AP04 LE2]+ERP[AP05 LE2]))</f>
        <v>224036.16999999998</v>
      </c>
      <c r="J325" s="487">
        <f>'ERP_AP7 Macro Failed'!AL327</f>
        <v>-134993.43</v>
      </c>
      <c r="K325" t="str">
        <f t="shared" si="8"/>
        <v>MATERIAL</v>
      </c>
      <c r="L325" t="str">
        <f t="shared" si="9"/>
        <v>YES</v>
      </c>
    </row>
    <row r="326" spans="1:12">
      <c r="A326" t="str">
        <f>'ERP_AP7 Macro Failed'!A328</f>
        <v>L-ERP-226</v>
      </c>
      <c r="B326" t="str">
        <f>'ERP_AP7 Macro Failed'!D328</f>
        <v>Hase, Raj</v>
      </c>
      <c r="C326" t="str">
        <f>'ERP_AP7 Macro Failed'!E328</f>
        <v>Hovanyetz, Mike</v>
      </c>
      <c r="D326" t="str">
        <f>'ERP_AP7 Macro Failed'!G328</f>
        <v>MANAGED SERVICES</v>
      </c>
      <c r="E326" t="str">
        <f>'ERP_AP7 Macro Failed'!H328</f>
        <v>FUDH Snowflake for Nexus &amp; Infrastructure Costs</v>
      </c>
      <c r="F326">
        <f>'ERP_AP7 Macro Failed'!I328</f>
        <v>0</v>
      </c>
      <c r="G326" t="str">
        <f>'ERP_AP7 Macro Failed'!K328</f>
        <v>IT-FBT0824-OT-US-00</v>
      </c>
      <c r="H326" s="487" t="e" cm="1">
        <f t="array" ref="H326">SUMPRODUCT((ERP[UID]=A326)*(ERP[AP01]+ERP[AP02]+ERP[AP03]+ERP[AP04]+ERP[AP05]))</f>
        <v>#VALUE!</v>
      </c>
      <c r="I326" s="487" cm="1">
        <f t="array" ref="I326">SUMPRODUCT((ERP[UID]=A326)*(ERP[AP01 LE2]+ERP[AP02 LE2]+ERP[AP03 LE2]+ERP[AP04 LE2]+ERP[AP05 LE2]))</f>
        <v>0</v>
      </c>
      <c r="J326" s="487">
        <f>'ERP_AP7 Macro Failed'!AL328</f>
        <v>0</v>
      </c>
      <c r="K326" t="str">
        <f t="shared" ref="K326:K389" si="10">IF(ABS(J326)&gt;=10000,"MATERIAL",IF(ABS(J326)&gt;=1000,"Minor","Immaterial"))</f>
        <v>Immaterial</v>
      </c>
      <c r="L326" t="str">
        <f t="shared" ref="L326:L389" si="11">IF(ABS(J326)&gt;=10000,"YES","No")</f>
        <v>No</v>
      </c>
    </row>
    <row r="327" spans="1:12">
      <c r="A327" t="str">
        <f>'ERP_AP7 Macro Failed'!A329</f>
        <v>L-ERP-584</v>
      </c>
      <c r="B327" t="str">
        <f>'ERP_AP7 Macro Failed'!D329</f>
        <v>Hase, Raj</v>
      </c>
      <c r="C327" t="str">
        <f>'ERP_AP7 Macro Failed'!E329</f>
        <v>Hase, Raj</v>
      </c>
      <c r="D327" t="str">
        <f>'ERP_AP7 Macro Failed'!G329</f>
        <v>MANAGED SERVICES</v>
      </c>
      <c r="E327" t="str">
        <f>'ERP_AP7 Macro Failed'!H329</f>
        <v>FUDH Snowflake for Nexus &amp; Infrastructure Costs</v>
      </c>
      <c r="F327">
        <f>'ERP_AP7 Macro Failed'!I329</f>
        <v>0</v>
      </c>
      <c r="G327" t="str">
        <f>'ERP_AP7 Macro Failed'!K329</f>
        <v>IT-FBT0824-OT-US-00</v>
      </c>
      <c r="H327" s="487" t="e" cm="1">
        <f t="array" ref="H327">SUMPRODUCT((ERP[UID]=A327)*(ERP[AP01]+ERP[AP02]+ERP[AP03]+ERP[AP04]+ERP[AP05]))</f>
        <v>#VALUE!</v>
      </c>
      <c r="I327" s="487" cm="1">
        <f t="array" ref="I327">SUMPRODUCT((ERP[UID]=A327)*(ERP[AP01 LE2]+ERP[AP02 LE2]+ERP[AP03 LE2]+ERP[AP04 LE2]+ERP[AP05 LE2]))</f>
        <v>13000</v>
      </c>
      <c r="J327" s="487">
        <f>'ERP_AP7 Macro Failed'!AL329</f>
        <v>-13000</v>
      </c>
      <c r="K327" t="str">
        <f t="shared" si="10"/>
        <v>MATERIAL</v>
      </c>
      <c r="L327" t="str">
        <f t="shared" si="11"/>
        <v>YES</v>
      </c>
    </row>
    <row r="328" spans="1:12">
      <c r="A328" t="str">
        <f>'ERP_AP7 Macro Failed'!A330</f>
        <v>L-ERP-442</v>
      </c>
      <c r="B328" t="str">
        <f>'ERP_AP7 Macro Failed'!D330</f>
        <v>Dougherty, Chris</v>
      </c>
      <c r="C328" t="str">
        <f>'ERP_AP7 Macro Failed'!E330</f>
        <v>Meadows, Leslie</v>
      </c>
      <c r="D328" t="str">
        <f>'ERP_AP7 Macro Failed'!G330</f>
        <v>CONTRACTORS</v>
      </c>
      <c r="E328" t="str">
        <f>'ERP_AP7 Macro Failed'!H330</f>
        <v>SSCS - Functional Support (ACN Testing, IBM testing)</v>
      </c>
      <c r="F328">
        <f>'ERP_AP7 Macro Failed'!I330</f>
        <v>0</v>
      </c>
      <c r="G328" t="str">
        <f>'ERP_AP7 Macro Failed'!K330</f>
        <v>IT-FBT0801-OG-US-00</v>
      </c>
      <c r="H328" s="487" t="e" cm="1">
        <f t="array" ref="H328">SUMPRODUCT((ERP[UID]=A328)*(ERP[AP01]+ERP[AP02]+ERP[AP03]+ERP[AP04]+ERP[AP05]))</f>
        <v>#VALUE!</v>
      </c>
      <c r="I328" s="487" cm="1">
        <f t="array" ref="I328">SUMPRODUCT((ERP[UID]=A328)*(ERP[AP01 LE2]+ERP[AP02 LE2]+ERP[AP03 LE2]+ERP[AP04 LE2]+ERP[AP05 LE2]))</f>
        <v>136669.01999999999</v>
      </c>
      <c r="J328" s="487">
        <f>'ERP_AP7 Macro Failed'!AL330</f>
        <v>-2489.4799999999814</v>
      </c>
      <c r="K328" t="str">
        <f t="shared" si="10"/>
        <v>Minor</v>
      </c>
      <c r="L328" t="str">
        <f t="shared" si="11"/>
        <v>No</v>
      </c>
    </row>
    <row r="329" spans="1:12">
      <c r="A329" t="str">
        <f>'ERP_AP7 Macro Failed'!A331</f>
        <v>L-ERP-388</v>
      </c>
      <c r="B329" t="str">
        <f>'ERP_AP7 Macro Failed'!D331</f>
        <v>McGettigan, David</v>
      </c>
      <c r="C329" t="str">
        <f>'ERP_AP7 Macro Failed'!E331</f>
        <v>McGettigan, David</v>
      </c>
      <c r="D329" t="str">
        <f>'ERP_AP7 Macro Failed'!G331</f>
        <v>MANAGED SERVICES</v>
      </c>
      <c r="E329" t="str">
        <f>'ERP_AP7 Macro Failed'!H331</f>
        <v>P324-0013837 Enhance SharePoint site upgrade</v>
      </c>
      <c r="F329">
        <f>'ERP_AP7 Macro Failed'!I331</f>
        <v>0</v>
      </c>
      <c r="G329" t="str">
        <f>'ERP_AP7 Macro Failed'!K331</f>
        <v>IT-FBT0830-OT-US-00</v>
      </c>
      <c r="H329" s="487" t="e" cm="1">
        <f t="array" ref="H329">SUMPRODUCT((ERP[UID]=A329)*(ERP[AP01]+ERP[AP02]+ERP[AP03]+ERP[AP04]+ERP[AP05]))</f>
        <v>#VALUE!</v>
      </c>
      <c r="I329" s="487" cm="1">
        <f t="array" ref="I329">SUMPRODUCT((ERP[UID]=A329)*(ERP[AP01 LE2]+ERP[AP02 LE2]+ERP[AP03 LE2]+ERP[AP04 LE2]+ERP[AP05 LE2]))</f>
        <v>-30</v>
      </c>
      <c r="J329" s="487">
        <f>'ERP_AP7 Macro Failed'!AL331</f>
        <v>650</v>
      </c>
      <c r="K329" t="str">
        <f t="shared" si="10"/>
        <v>Immaterial</v>
      </c>
      <c r="L329" t="str">
        <f t="shared" si="11"/>
        <v>No</v>
      </c>
    </row>
    <row r="330" spans="1:12">
      <c r="A330" t="str">
        <f>'ERP_AP7 Macro Failed'!A332</f>
        <v>L-ERP-443</v>
      </c>
      <c r="B330" t="str">
        <f>'ERP_AP7 Macro Failed'!D332</f>
        <v>Dougherty, Chris</v>
      </c>
      <c r="C330" t="str">
        <f>'ERP_AP7 Macro Failed'!E332</f>
        <v>Meadows, Leslie</v>
      </c>
      <c r="D330" t="str">
        <f>'ERP_AP7 Macro Failed'!G332</f>
        <v>CONTRACTORS</v>
      </c>
      <c r="E330" t="str">
        <f>'ERP_AP7 Macro Failed'!H332</f>
        <v>Insight GlobaL: SAP Support Services</v>
      </c>
      <c r="F330">
        <f>'ERP_AP7 Macro Failed'!I332</f>
        <v>0</v>
      </c>
      <c r="G330" t="str">
        <f>'ERP_AP7 Macro Failed'!K332</f>
        <v>IT-FBT0826-OG-US-00</v>
      </c>
      <c r="H330" s="487" t="e" cm="1">
        <f t="array" ref="H330">SUMPRODUCT((ERP[UID]=A330)*(ERP[AP01]+ERP[AP02]+ERP[AP03]+ERP[AP04]+ERP[AP05]))</f>
        <v>#VALUE!</v>
      </c>
      <c r="I330" s="487" cm="1">
        <f t="array" ref="I330">SUMPRODUCT((ERP[UID]=A330)*(ERP[AP01 LE2]+ERP[AP02 LE2]+ERP[AP03 LE2]+ERP[AP04 LE2]+ERP[AP05 LE2]))</f>
        <v>39432.44</v>
      </c>
      <c r="J330" s="487">
        <f>'ERP_AP7 Macro Failed'!AL332</f>
        <v>-2453.0400000000009</v>
      </c>
      <c r="K330" t="str">
        <f t="shared" si="10"/>
        <v>Minor</v>
      </c>
      <c r="L330" t="str">
        <f t="shared" si="11"/>
        <v>No</v>
      </c>
    </row>
    <row r="331" spans="1:12">
      <c r="A331" t="str">
        <f>'ERP_AP7 Macro Failed'!A333</f>
        <v>L-ERP-367</v>
      </c>
      <c r="B331" t="str">
        <f>'ERP_AP7 Macro Failed'!D333</f>
        <v>Dougherty, Chris</v>
      </c>
      <c r="C331" t="str">
        <f>'ERP_AP7 Macro Failed'!E333</f>
        <v>McCormick, Pete</v>
      </c>
      <c r="D331" t="str">
        <f>'ERP_AP7 Macro Failed'!G333</f>
        <v>CONTRACTORS</v>
      </c>
      <c r="E331" t="str">
        <f>'ERP_AP7 Macro Failed'!H333</f>
        <v>SAP Platform- IBM Power Lab Consulting</v>
      </c>
      <c r="F331">
        <f>'ERP_AP7 Macro Failed'!I333</f>
        <v>0</v>
      </c>
      <c r="G331" t="str">
        <f>'ERP_AP7 Macro Failed'!K333</f>
        <v>IT-FBT0831-OT-US-00</v>
      </c>
      <c r="H331" s="487" t="e" cm="1">
        <f t="array" ref="H331">SUMPRODUCT((ERP[UID]=A331)*(ERP[AP01]+ERP[AP02]+ERP[AP03]+ERP[AP04]+ERP[AP05]))</f>
        <v>#VALUE!</v>
      </c>
      <c r="I331" s="487" cm="1">
        <f t="array" ref="I331">SUMPRODUCT((ERP[UID]=A331)*(ERP[AP01 LE2]+ERP[AP02 LE2]+ERP[AP03 LE2]+ERP[AP04 LE2]+ERP[AP05 LE2]))</f>
        <v>11813.71</v>
      </c>
      <c r="J331" s="487">
        <f>'ERP_AP7 Macro Failed'!AL333</f>
        <v>-8267.93</v>
      </c>
      <c r="K331" t="str">
        <f t="shared" si="10"/>
        <v>Minor</v>
      </c>
      <c r="L331" t="str">
        <f t="shared" si="11"/>
        <v>No</v>
      </c>
    </row>
    <row r="332" spans="1:12">
      <c r="A332" t="str">
        <f>'ERP_AP7 Macro Failed'!A334</f>
        <v>L-ERP-389</v>
      </c>
      <c r="B332" t="str">
        <f>'ERP_AP7 Macro Failed'!D334</f>
        <v>McGettigan, David</v>
      </c>
      <c r="C332" t="str">
        <f>'ERP_AP7 Macro Failed'!E334</f>
        <v>McGettigan, David</v>
      </c>
      <c r="D332" t="str">
        <f>'ERP_AP7 Macro Failed'!G334</f>
        <v>CONTRACTORS</v>
      </c>
      <c r="E332" t="str">
        <f>'ERP_AP7 Macro Failed'!H334</f>
        <v>Digital C-TIES Marketing (2025)</v>
      </c>
      <c r="F332">
        <f>'ERP_AP7 Macro Failed'!I334</f>
        <v>0</v>
      </c>
      <c r="G332" t="str">
        <f>'ERP_AP7 Macro Failed'!K334</f>
        <v>IT-FBT0934-OT-US-00</v>
      </c>
      <c r="H332" s="487" t="e" cm="1">
        <f t="array" ref="H332">SUMPRODUCT((ERP[UID]=A332)*(ERP[AP01]+ERP[AP02]+ERP[AP03]+ERP[AP04]+ERP[AP05]))</f>
        <v>#VALUE!</v>
      </c>
      <c r="I332" s="487" cm="1">
        <f t="array" ref="I332">SUMPRODUCT((ERP[UID]=A332)*(ERP[AP01 LE2]+ERP[AP02 LE2]+ERP[AP03 LE2]+ERP[AP04 LE2]+ERP[AP05 LE2]))</f>
        <v>-51385.37</v>
      </c>
      <c r="J332" s="487">
        <f>'ERP_AP7 Macro Failed'!AL334</f>
        <v>48807</v>
      </c>
      <c r="K332" t="str">
        <f t="shared" si="10"/>
        <v>MATERIAL</v>
      </c>
      <c r="L332" t="str">
        <f t="shared" si="11"/>
        <v>YES</v>
      </c>
    </row>
    <row r="333" spans="1:12">
      <c r="A333" t="str">
        <f>'ERP_AP7 Macro Failed'!A335</f>
        <v>L-ERP-005</v>
      </c>
      <c r="B333" t="str">
        <f>'ERP_AP7 Macro Failed'!D335</f>
        <v>Hase, Raj</v>
      </c>
      <c r="C333" t="str">
        <f>'ERP_AP7 Macro Failed'!E335</f>
        <v>DeHart, Lynn</v>
      </c>
      <c r="D333" t="str">
        <f>'ERP_AP7 Macro Failed'!G335</f>
        <v>MANAGED SERVICES</v>
      </c>
      <c r="E333" t="str">
        <f>'ERP_AP7 Macro Failed'!H335</f>
        <v>P324-0014646-Pfizer Apps - App &amp; DB Upgrade</v>
      </c>
      <c r="F333">
        <f>'ERP_AP7 Macro Failed'!I335</f>
        <v>0</v>
      </c>
      <c r="G333" t="str">
        <f>'ERP_AP7 Macro Failed'!K335</f>
        <v>IT-FBT0980-OT-US-00</v>
      </c>
      <c r="H333" s="487" t="e" cm="1">
        <f t="array" ref="H333">SUMPRODUCT((ERP[UID]=A333)*(ERP[AP01]+ERP[AP02]+ERP[AP03]+ERP[AP04]+ERP[AP05]))</f>
        <v>#VALUE!</v>
      </c>
      <c r="I333" s="487" cm="1">
        <f t="array" ref="I333">SUMPRODUCT((ERP[UID]=A333)*(ERP[AP01 LE2]+ERP[AP02 LE2]+ERP[AP03 LE2]+ERP[AP04 LE2]+ERP[AP05 LE2]))</f>
        <v>275.15000000000055</v>
      </c>
      <c r="J333" s="487">
        <f>'ERP_AP7 Macro Failed'!AL335</f>
        <v>9307.4200000000019</v>
      </c>
      <c r="K333" t="str">
        <f t="shared" si="10"/>
        <v>Minor</v>
      </c>
      <c r="L333" t="str">
        <f t="shared" si="11"/>
        <v>No</v>
      </c>
    </row>
    <row r="334" spans="1:12">
      <c r="A334" t="str">
        <f>'ERP_AP7 Macro Failed'!A336</f>
        <v>L-ERP-006</v>
      </c>
      <c r="B334" t="str">
        <f>'ERP_AP7 Macro Failed'!D336</f>
        <v>Hase, Raj</v>
      </c>
      <c r="C334" t="str">
        <f>'ERP_AP7 Macro Failed'!E336</f>
        <v>DeHart, Lynn</v>
      </c>
      <c r="D334" t="str">
        <f>'ERP_AP7 Macro Failed'!G336</f>
        <v>SOFTWARE</v>
      </c>
      <c r="E334" t="str">
        <f>'ERP_AP7 Macro Failed'!H336</f>
        <v>P324-0014646-Pfizer Apps - App &amp; DB Upgrade</v>
      </c>
      <c r="F334">
        <f>'ERP_AP7 Macro Failed'!I336</f>
        <v>0</v>
      </c>
      <c r="G334" t="str">
        <f>'ERP_AP7 Macro Failed'!K336</f>
        <v>IT-FBT0980-OT-US-00</v>
      </c>
      <c r="H334" s="487" t="e" cm="1">
        <f t="array" ref="H334">SUMPRODUCT((ERP[UID]=A334)*(ERP[AP01]+ERP[AP02]+ERP[AP03]+ERP[AP04]+ERP[AP05]))</f>
        <v>#VALUE!</v>
      </c>
      <c r="I334" s="487" cm="1">
        <f t="array" ref="I334">SUMPRODUCT((ERP[UID]=A334)*(ERP[AP01 LE2]+ERP[AP02 LE2]+ERP[AP03 LE2]+ERP[AP04 LE2]+ERP[AP05 LE2]))</f>
        <v>139.72999999999999</v>
      </c>
      <c r="J334" s="487">
        <f>'ERP_AP7 Macro Failed'!AL336</f>
        <v>0</v>
      </c>
      <c r="K334" t="str">
        <f t="shared" si="10"/>
        <v>Immaterial</v>
      </c>
      <c r="L334" t="str">
        <f t="shared" si="11"/>
        <v>No</v>
      </c>
    </row>
    <row r="335" spans="1:12">
      <c r="A335" t="str">
        <f>'ERP_AP7 Macro Failed'!A337</f>
        <v>N-ERP-604</v>
      </c>
      <c r="B335" t="str">
        <f>'ERP_AP7 Macro Failed'!D337</f>
        <v>McGettigan, David</v>
      </c>
      <c r="C335" t="str">
        <f>'ERP_AP7 Macro Failed'!E337</f>
        <v>McGettigan, David</v>
      </c>
      <c r="D335" t="str">
        <f>'ERP_AP7 Macro Failed'!G337</f>
        <v>CONTRACTORS</v>
      </c>
      <c r="E335" t="str">
        <f>'ERP_AP7 Macro Failed'!H337</f>
        <v>P323-0011535-SAP BW4HANA Program</v>
      </c>
      <c r="F335">
        <f>'ERP_AP7 Macro Failed'!I337</f>
        <v>0</v>
      </c>
      <c r="G335" t="str">
        <f>'ERP_AP7 Macro Failed'!K337</f>
        <v>IT-FBT0992-OT-US-00</v>
      </c>
      <c r="H335" s="487" t="e" cm="1">
        <f t="array" ref="H335">SUMPRODUCT((ERP[UID]=A335)*(ERP[AP01]+ERP[AP02]+ERP[AP03]+ERP[AP04]+ERP[AP05]))</f>
        <v>#VALUE!</v>
      </c>
      <c r="I335" s="487" cm="1">
        <f t="array" ref="I335">SUMPRODUCT((ERP[UID]=A335)*(ERP[AP01 LE2]+ERP[AP02 LE2]+ERP[AP03 LE2]+ERP[AP04 LE2]+ERP[AP05 LE2]))</f>
        <v>0</v>
      </c>
      <c r="J335" s="487">
        <f>'ERP_AP7 Macro Failed'!AL337</f>
        <v>0</v>
      </c>
      <c r="K335" t="str">
        <f t="shared" si="10"/>
        <v>Immaterial</v>
      </c>
      <c r="L335" t="str">
        <f t="shared" si="11"/>
        <v>No</v>
      </c>
    </row>
    <row r="336" spans="1:12">
      <c r="A336" t="str">
        <f>'ERP_AP7 Macro Failed'!A338</f>
        <v>L-ERP-412</v>
      </c>
      <c r="B336" t="str">
        <f>'ERP_AP7 Macro Failed'!D338</f>
        <v>McGettigan, David</v>
      </c>
      <c r="C336" t="str">
        <f>'ERP_AP7 Macro Failed'!E338</f>
        <v>McGettigan, David</v>
      </c>
      <c r="D336" t="str">
        <f>'ERP_AP7 Macro Failed'!G338</f>
        <v>MANAGED SERVICES</v>
      </c>
      <c r="E336" t="str">
        <f>'ERP_AP7 Macro Failed'!H338</f>
        <v>xECM Functional Review &amp; Upgrade Assessment</v>
      </c>
      <c r="F336">
        <f>'ERP_AP7 Macro Failed'!I338</f>
        <v>0</v>
      </c>
      <c r="G336" t="str">
        <f>'ERP_AP7 Macro Failed'!K338</f>
        <v>IT-FBT1017-OT-US-00</v>
      </c>
      <c r="H336" s="487" t="e" cm="1">
        <f t="array" ref="H336">SUMPRODUCT((ERP[UID]=A336)*(ERP[AP01]+ERP[AP02]+ERP[AP03]+ERP[AP04]+ERP[AP05]))</f>
        <v>#VALUE!</v>
      </c>
      <c r="I336" s="487" cm="1">
        <f t="array" ref="I336">SUMPRODUCT((ERP[UID]=A336)*(ERP[AP01 LE2]+ERP[AP02 LE2]+ERP[AP03 LE2]+ERP[AP04 LE2]+ERP[AP05 LE2]))</f>
        <v>2089.6999999999998</v>
      </c>
      <c r="J336" s="487">
        <f>'ERP_AP7 Macro Failed'!AL338</f>
        <v>2520.12</v>
      </c>
      <c r="K336" t="str">
        <f t="shared" si="10"/>
        <v>Minor</v>
      </c>
      <c r="L336" t="str">
        <f t="shared" si="11"/>
        <v>No</v>
      </c>
    </row>
    <row r="337" spans="1:12">
      <c r="A337" t="str">
        <f>'ERP_AP7 Macro Failed'!A339</f>
        <v>N-ERP-605</v>
      </c>
      <c r="B337" t="str">
        <f>'ERP_AP7 Macro Failed'!D339</f>
        <v>McGettigan, David</v>
      </c>
      <c r="C337" t="str">
        <f>'ERP_AP7 Macro Failed'!E339</f>
        <v>McGettigan, David</v>
      </c>
      <c r="D337" t="str">
        <f>'ERP_AP7 Macro Failed'!G339</f>
        <v>CONTRACTORS</v>
      </c>
      <c r="E337" t="str">
        <f>'ERP_AP7 Macro Failed'!H339</f>
        <v>xECM Functional Review &amp; Upgrade Assessment</v>
      </c>
      <c r="F337">
        <f>'ERP_AP7 Macro Failed'!I339</f>
        <v>0</v>
      </c>
      <c r="G337" t="str">
        <f>'ERP_AP7 Macro Failed'!K339</f>
        <v>IT-FBT1017-OT-US-00</v>
      </c>
      <c r="H337" s="487" t="e" cm="1">
        <f t="array" ref="H337">SUMPRODUCT((ERP[UID]=A337)*(ERP[AP01]+ERP[AP02]+ERP[AP03]+ERP[AP04]+ERP[AP05]))</f>
        <v>#VALUE!</v>
      </c>
      <c r="I337" s="487" cm="1">
        <f t="array" ref="I337">SUMPRODUCT((ERP[UID]=A337)*(ERP[AP01 LE2]+ERP[AP02 LE2]+ERP[AP03 LE2]+ERP[AP04 LE2]+ERP[AP05 LE2]))</f>
        <v>0</v>
      </c>
      <c r="J337" s="487">
        <f>'ERP_AP7 Macro Failed'!AL339</f>
        <v>0</v>
      </c>
      <c r="K337" t="str">
        <f t="shared" si="10"/>
        <v>Immaterial</v>
      </c>
      <c r="L337" t="str">
        <f t="shared" si="11"/>
        <v>No</v>
      </c>
    </row>
    <row r="338" spans="1:12">
      <c r="A338" t="str">
        <f>'ERP_AP7 Macro Failed'!A340</f>
        <v>ERP-045</v>
      </c>
      <c r="B338" t="str">
        <f>'ERP_AP7 Macro Failed'!D340</f>
        <v>McGettigan, David</v>
      </c>
      <c r="C338" t="str">
        <f>'ERP_AP7 Macro Failed'!E340</f>
        <v>McGettigan, David</v>
      </c>
      <c r="D338" t="str">
        <f>'ERP_AP7 Macro Failed'!G340</f>
        <v>CONTRACTORS</v>
      </c>
      <c r="E338" t="str">
        <f>'ERP_AP7 Macro Failed'!H340</f>
        <v>DFP RECLASS-P324-0013734-PFIZER DIGITAL POWER SKIL</v>
      </c>
      <c r="F338">
        <f>'ERP_AP7 Macro Failed'!I340</f>
        <v>0</v>
      </c>
      <c r="G338" t="str">
        <f>'ERP_AP7 Macro Failed'!K340</f>
        <v>IT-FBU0828-OT-US-00</v>
      </c>
      <c r="H338" s="487" t="e" cm="1">
        <f t="array" ref="H338">SUMPRODUCT((ERP[UID]=A338)*(ERP[AP01]+ERP[AP02]+ERP[AP03]+ERP[AP04]+ERP[AP05]))</f>
        <v>#VALUE!</v>
      </c>
      <c r="I338" s="487" cm="1">
        <f t="array" ref="I338">SUMPRODUCT((ERP[UID]=A338)*(ERP[AP01 LE2]+ERP[AP02 LE2]+ERP[AP03 LE2]+ERP[AP04 LE2]+ERP[AP05 LE2]))</f>
        <v>0</v>
      </c>
      <c r="J338" s="487">
        <f>'ERP_AP7 Macro Failed'!AL340</f>
        <v>-48806.7</v>
      </c>
      <c r="K338" t="str">
        <f t="shared" si="10"/>
        <v>MATERIAL</v>
      </c>
      <c r="L338" t="str">
        <f t="shared" si="11"/>
        <v>YES</v>
      </c>
    </row>
    <row r="339" spans="1:12">
      <c r="A339" t="str">
        <f>'ERP_AP7 Macro Failed'!A341</f>
        <v>ERP-019</v>
      </c>
      <c r="B339" t="str">
        <f>'ERP_AP7 Macro Failed'!D341</f>
        <v>Hase, Raj</v>
      </c>
      <c r="C339" t="str">
        <f>'ERP_AP7 Macro Failed'!E341</f>
        <v>DeHart, Lynn</v>
      </c>
      <c r="D339" t="str">
        <f>'ERP_AP7 Macro Failed'!G341</f>
        <v>CONTRACTORS</v>
      </c>
      <c r="E339" t="str">
        <f>'ERP_AP7 Macro Failed'!H341</f>
        <v>PRIME AUTOMATION TEST LEAD - COMPETE _ R</v>
      </c>
      <c r="F339" t="str">
        <f>'ERP_AP7 Macro Failed'!I341</f>
        <v>TATA CONSULTANCY SERVICES</v>
      </c>
      <c r="G339" t="str">
        <f>'ERP_AP7 Macro Failed'!K341</f>
        <v>IT-FBU0966-OT-US-00</v>
      </c>
      <c r="H339" s="487" t="e" cm="1">
        <f t="array" ref="H339">SUMPRODUCT((ERP[UID]=A339)*(ERP[AP01]+ERP[AP02]+ERP[AP03]+ERP[AP04]+ERP[AP05]))</f>
        <v>#VALUE!</v>
      </c>
      <c r="I339" s="487" cm="1">
        <f t="array" ref="I339">SUMPRODUCT((ERP[UID]=A339)*(ERP[AP01 LE2]+ERP[AP02 LE2]+ERP[AP03 LE2]+ERP[AP04 LE2]+ERP[AP05 LE2]))</f>
        <v>0</v>
      </c>
      <c r="J339" s="487">
        <f>'ERP_AP7 Macro Failed'!AL341</f>
        <v>39296.479999999996</v>
      </c>
      <c r="K339" t="str">
        <f t="shared" si="10"/>
        <v>MATERIAL</v>
      </c>
      <c r="L339" t="str">
        <f t="shared" si="11"/>
        <v>YES</v>
      </c>
    </row>
    <row r="340" spans="1:12">
      <c r="A340" t="str">
        <f>'ERP_AP7 Macro Failed'!A342</f>
        <v>L-ERP-368</v>
      </c>
      <c r="B340" t="str">
        <f>'ERP_AP7 Macro Failed'!D342</f>
        <v>Dougherty, Chris</v>
      </c>
      <c r="C340" t="str">
        <f>'ERP_AP7 Macro Failed'!E342</f>
        <v>McCormick, Pete</v>
      </c>
      <c r="D340" t="str">
        <f>'ERP_AP7 Macro Failed'!G342</f>
        <v>CONTRACTORS</v>
      </c>
      <c r="E340" t="str">
        <f>'ERP_AP7 Macro Failed'!H342</f>
        <v>SAP Platform- IBM Power Breakfix Consulting</v>
      </c>
      <c r="F340">
        <f>'ERP_AP7 Macro Failed'!I342</f>
        <v>0</v>
      </c>
      <c r="G340" t="str">
        <f>'ERP_AP7 Macro Failed'!K342</f>
        <v>IT-FBT0832-OT-US-00</v>
      </c>
      <c r="H340" s="487" t="e" cm="1">
        <f t="array" ref="H340">SUMPRODUCT((ERP[UID]=A340)*(ERP[AP01]+ERP[AP02]+ERP[AP03]+ERP[AP04]+ERP[AP05]))</f>
        <v>#VALUE!</v>
      </c>
      <c r="I340" s="487" cm="1">
        <f t="array" ref="I340">SUMPRODUCT((ERP[UID]=A340)*(ERP[AP01 LE2]+ERP[AP02 LE2]+ERP[AP03 LE2]+ERP[AP04 LE2]+ERP[AP05 LE2]))</f>
        <v>4768.6900000000005</v>
      </c>
      <c r="J340" s="487">
        <f>'ERP_AP7 Macro Failed'!AL342</f>
        <v>-7048.2000000000007</v>
      </c>
      <c r="K340" t="str">
        <f t="shared" si="10"/>
        <v>Minor</v>
      </c>
      <c r="L340" t="str">
        <f t="shared" si="11"/>
        <v>No</v>
      </c>
    </row>
    <row r="341" spans="1:12">
      <c r="A341" t="str">
        <f>'ERP_AP7 Macro Failed'!A343</f>
        <v>ERP-028</v>
      </c>
      <c r="B341" t="str">
        <f>'ERP_AP7 Macro Failed'!D343</f>
        <v>Dougherty, Chris</v>
      </c>
      <c r="C341" t="str">
        <f>'ERP_AP7 Macro Failed'!E343</f>
        <v>Tamavada, Ram</v>
      </c>
      <c r="D341" t="str">
        <f>'ERP_AP7 Macro Failed'!G343</f>
        <v>MANAGED SERVICES</v>
      </c>
      <c r="E341" t="str">
        <f>'ERP_AP7 Macro Failed'!H343</f>
        <v>Opex WBS code for EP - DIGITAL-DATAPROTECTION</v>
      </c>
      <c r="F341">
        <f>'ERP_AP7 Macro Failed'!I343</f>
        <v>0</v>
      </c>
      <c r="G341" t="str">
        <f>'ERP_AP7 Macro Failed'!K343</f>
        <v>IT-FGS0296-OG-US-00</v>
      </c>
      <c r="H341" s="487" t="e" cm="1">
        <f t="array" ref="H341">SUMPRODUCT((ERP[UID]=A341)*(ERP[AP01]+ERP[AP02]+ERP[AP03]+ERP[AP04]+ERP[AP05]))</f>
        <v>#VALUE!</v>
      </c>
      <c r="I341" s="487" cm="1">
        <f t="array" ref="I341">SUMPRODUCT((ERP[UID]=A341)*(ERP[AP01 LE2]+ERP[AP02 LE2]+ERP[AP03 LE2]+ERP[AP04 LE2]+ERP[AP05 LE2]))</f>
        <v>0</v>
      </c>
      <c r="J341" s="487">
        <f>'ERP_AP7 Macro Failed'!AL343</f>
        <v>18.2</v>
      </c>
      <c r="K341" t="str">
        <f t="shared" si="10"/>
        <v>Immaterial</v>
      </c>
      <c r="L341" t="str">
        <f t="shared" si="11"/>
        <v>No</v>
      </c>
    </row>
    <row r="342" spans="1:12">
      <c r="A342" t="str">
        <f>'ERP_AP7 Macro Failed'!A344</f>
        <v>L-ERP-362</v>
      </c>
      <c r="B342" t="str">
        <f>'ERP_AP7 Macro Failed'!D344</f>
        <v>Dougherty, Chris</v>
      </c>
      <c r="C342" t="str">
        <f>'ERP_AP7 Macro Failed'!E344</f>
        <v>McCormick, Pete</v>
      </c>
      <c r="D342" t="str">
        <f>'ERP_AP7 Macro Failed'!G344</f>
        <v>SOFTWARE</v>
      </c>
      <c r="E342" t="str">
        <f>'ERP_AP7 Macro Failed'!H344</f>
        <v>JFrog Artifactory Repository Monthly Charge</v>
      </c>
      <c r="F342">
        <f>'ERP_AP7 Macro Failed'!I344</f>
        <v>0</v>
      </c>
      <c r="G342" t="str">
        <f>'ERP_AP7 Macro Failed'!K344</f>
        <v>IT-FGS0298-SW-US-00</v>
      </c>
      <c r="H342" s="487" t="e" cm="1">
        <f t="array" ref="H342">SUMPRODUCT((ERP[UID]=A342)*(ERP[AP01]+ERP[AP02]+ERP[AP03]+ERP[AP04]+ERP[AP05]))</f>
        <v>#VALUE!</v>
      </c>
      <c r="I342" s="487" cm="1">
        <f t="array" ref="I342">SUMPRODUCT((ERP[UID]=A342)*(ERP[AP01 LE2]+ERP[AP02 LE2]+ERP[AP03 LE2]+ERP[AP04 LE2]+ERP[AP05 LE2]))</f>
        <v>616.66</v>
      </c>
      <c r="J342" s="487">
        <f>'ERP_AP7 Macro Failed'!AL344</f>
        <v>616.66</v>
      </c>
      <c r="K342" t="str">
        <f t="shared" si="10"/>
        <v>Immaterial</v>
      </c>
      <c r="L342" t="str">
        <f t="shared" si="11"/>
        <v>No</v>
      </c>
    </row>
    <row r="343" spans="1:12">
      <c r="A343" t="str">
        <f>'ERP_AP7 Macro Failed'!A345</f>
        <v>L-ERP-576</v>
      </c>
      <c r="B343" t="str">
        <f>'ERP_AP7 Macro Failed'!D345</f>
        <v>Hase, Raj</v>
      </c>
      <c r="C343" t="str">
        <f>'ERP_AP7 Macro Failed'!E345</f>
        <v>Yeluri, Durga</v>
      </c>
      <c r="D343" t="str">
        <f>'ERP_AP7 Macro Failed'!G345</f>
        <v>SOFTWARE</v>
      </c>
      <c r="E343" t="str">
        <f>'ERP_AP7 Macro Failed'!H345</f>
        <v>JFrog Artifactory Repository Monthly Charge</v>
      </c>
      <c r="F343">
        <f>'ERP_AP7 Macro Failed'!I345</f>
        <v>0</v>
      </c>
      <c r="G343" t="str">
        <f>'ERP_AP7 Macro Failed'!K345</f>
        <v>IT-FGS0298-SW-US-00</v>
      </c>
      <c r="H343" s="487" t="e" cm="1">
        <f t="array" ref="H343">SUMPRODUCT((ERP[UID]=A343)*(ERP[AP01]+ERP[AP02]+ERP[AP03]+ERP[AP04]+ERP[AP05]))</f>
        <v>#VALUE!</v>
      </c>
      <c r="I343" s="487" cm="1">
        <f t="array" ref="I343">SUMPRODUCT((ERP[UID]=A343)*(ERP[AP01 LE2]+ERP[AP02 LE2]+ERP[AP03 LE2]+ERP[AP04 LE2]+ERP[AP05 LE2]))</f>
        <v>6166.6</v>
      </c>
      <c r="J343" s="487">
        <f>'ERP_AP7 Macro Failed'!AL345</f>
        <v>0</v>
      </c>
      <c r="K343" t="str">
        <f t="shared" si="10"/>
        <v>Immaterial</v>
      </c>
      <c r="L343" t="str">
        <f t="shared" si="11"/>
        <v>No</v>
      </c>
    </row>
    <row r="344" spans="1:12">
      <c r="A344" t="str">
        <f>'ERP_AP7 Macro Failed'!A346</f>
        <v>ERP-036</v>
      </c>
      <c r="B344" t="str">
        <f>'ERP_AP7 Macro Failed'!D346</f>
        <v>Hase, Raj</v>
      </c>
      <c r="C344" t="str">
        <f>'ERP_AP7 Macro Failed'!E346</f>
        <v>DeHart, Lynn</v>
      </c>
      <c r="D344" t="str">
        <f>'ERP_AP7 Macro Failed'!G346</f>
        <v>SOFTWARE</v>
      </c>
      <c r="E344" t="str">
        <f>'ERP_AP7 Macro Failed'!H346</f>
        <v>DIGITAL-MAC</v>
      </c>
      <c r="F344">
        <f>'ERP_AP7 Macro Failed'!I346</f>
        <v>0</v>
      </c>
      <c r="G344" t="str">
        <f>'ERP_AP7 Macro Failed'!K346</f>
        <v>IT-FGS0299-OG-US-00</v>
      </c>
      <c r="H344" s="487" t="e" cm="1">
        <f t="array" ref="H344">SUMPRODUCT((ERP[UID]=A344)*(ERP[AP01]+ERP[AP02]+ERP[AP03]+ERP[AP04]+ERP[AP05]))</f>
        <v>#VALUE!</v>
      </c>
      <c r="I344" s="487" cm="1">
        <f t="array" ref="I344">SUMPRODUCT((ERP[UID]=A344)*(ERP[AP01 LE2]+ERP[AP02 LE2]+ERP[AP03 LE2]+ERP[AP04 LE2]+ERP[AP05 LE2]))</f>
        <v>0</v>
      </c>
      <c r="J344" s="487">
        <f>'ERP_AP7 Macro Failed'!AL346</f>
        <v>423.09000000000003</v>
      </c>
      <c r="K344" t="str">
        <f t="shared" si="10"/>
        <v>Immaterial</v>
      </c>
      <c r="L344" t="str">
        <f t="shared" si="11"/>
        <v>No</v>
      </c>
    </row>
    <row r="345" spans="1:12">
      <c r="A345" t="str">
        <f>'ERP_AP7 Macro Failed'!A347</f>
        <v>L-ERP-008</v>
      </c>
      <c r="B345" t="str">
        <f>'ERP_AP7 Macro Failed'!D347</f>
        <v>Hase, Raj</v>
      </c>
      <c r="C345" t="str">
        <f>'ERP_AP7 Macro Failed'!E347</f>
        <v>DeHart, Lynn</v>
      </c>
      <c r="D345" t="str">
        <f>'ERP_AP7 Macro Failed'!G347</f>
        <v>HW MAINTENANCE</v>
      </c>
      <c r="E345" t="str">
        <f>'ERP_AP7 Macro Failed'!H347</f>
        <v>Others (Vending, Meeting event, Devices Unreturned, Applecare, Mac-mgmt, IT Onboard, etc.)</v>
      </c>
      <c r="F345">
        <f>'ERP_AP7 Macro Failed'!I347</f>
        <v>0</v>
      </c>
      <c r="G345" t="str">
        <f>'ERP_AP7 Macro Failed'!K347</f>
        <v>IT-FGS0299-OG-US-00</v>
      </c>
      <c r="H345" s="487" t="e" cm="1">
        <f t="array" ref="H345">SUMPRODUCT((ERP[UID]=A345)*(ERP[AP01]+ERP[AP02]+ERP[AP03]+ERP[AP04]+ERP[AP05]))</f>
        <v>#VALUE!</v>
      </c>
      <c r="I345" s="487" cm="1">
        <f t="array" ref="I345">SUMPRODUCT((ERP[UID]=A345)*(ERP[AP01 LE2]+ERP[AP02 LE2]+ERP[AP03 LE2]+ERP[AP04 LE2]+ERP[AP05 LE2]))</f>
        <v>4063.1000000000004</v>
      </c>
      <c r="J345" s="487">
        <f>'ERP_AP7 Macro Failed'!AL347</f>
        <v>4270.3899999999994</v>
      </c>
      <c r="K345" t="str">
        <f t="shared" si="10"/>
        <v>Minor</v>
      </c>
      <c r="L345" t="str">
        <f t="shared" si="11"/>
        <v>No</v>
      </c>
    </row>
    <row r="346" spans="1:12">
      <c r="A346" t="str">
        <f>'ERP_AP7 Macro Failed'!A348</f>
        <v>L-ERP-009</v>
      </c>
      <c r="B346" t="str">
        <f>'ERP_AP7 Macro Failed'!D348</f>
        <v>Hase, Raj</v>
      </c>
      <c r="C346" t="str">
        <f>'ERP_AP7 Macro Failed'!E348</f>
        <v>DeHart, Lynn</v>
      </c>
      <c r="D346" t="str">
        <f>'ERP_AP7 Macro Failed'!G348</f>
        <v>MANAGED SERVICES</v>
      </c>
      <c r="E346" t="str">
        <f>'ERP_AP7 Macro Failed'!H348</f>
        <v>Others (Vending, Meeting event, Devices Unreturned, Applecare, Mac-mgmt, IT Onboard, etc.)</v>
      </c>
      <c r="F346">
        <f>'ERP_AP7 Macro Failed'!I348</f>
        <v>0</v>
      </c>
      <c r="G346" t="str">
        <f>'ERP_AP7 Macro Failed'!K348</f>
        <v>IT-FGS0299-OG-US-00</v>
      </c>
      <c r="H346" s="487" t="e" cm="1">
        <f t="array" ref="H346">SUMPRODUCT((ERP[UID]=A346)*(ERP[AP01]+ERP[AP02]+ERP[AP03]+ERP[AP04]+ERP[AP05]))</f>
        <v>#VALUE!</v>
      </c>
      <c r="I346" s="487" cm="1">
        <f t="array" ref="I346">SUMPRODUCT((ERP[UID]=A346)*(ERP[AP01 LE2]+ERP[AP02 LE2]+ERP[AP03 LE2]+ERP[AP04 LE2]+ERP[AP05 LE2]))</f>
        <v>2000</v>
      </c>
      <c r="J346" s="487">
        <f>'ERP_AP7 Macro Failed'!AL348</f>
        <v>180.39999999999964</v>
      </c>
      <c r="K346" t="str">
        <f t="shared" si="10"/>
        <v>Immaterial</v>
      </c>
      <c r="L346" t="str">
        <f t="shared" si="11"/>
        <v>No</v>
      </c>
    </row>
    <row r="347" spans="1:12">
      <c r="A347" t="str">
        <f>'ERP_AP7 Macro Failed'!A349</f>
        <v>L-ERP-532</v>
      </c>
      <c r="B347" t="str">
        <f>'ERP_AP7 Macro Failed'!D349</f>
        <v>Dougherty, Chris</v>
      </c>
      <c r="C347" t="str">
        <f>'ERP_AP7 Macro Failed'!E349</f>
        <v>Tamavada, Ram</v>
      </c>
      <c r="D347" t="str">
        <f>'ERP_AP7 Macro Failed'!G349</f>
        <v>SOFTWARE</v>
      </c>
      <c r="E347" t="str">
        <f>'ERP_AP7 Macro Failed'!H349</f>
        <v>JFrog Artifactory Repository Monthly Charge</v>
      </c>
      <c r="F347">
        <f>'ERP_AP7 Macro Failed'!I349</f>
        <v>0</v>
      </c>
      <c r="G347" t="str">
        <f>'ERP_AP7 Macro Failed'!K349</f>
        <v>IT-FGS0298-SW-US-00</v>
      </c>
      <c r="H347" s="487" t="e" cm="1">
        <f t="array" ref="H347">SUMPRODUCT((ERP[UID]=A347)*(ERP[AP01]+ERP[AP02]+ERP[AP03]+ERP[AP04]+ERP[AP05]))</f>
        <v>#VALUE!</v>
      </c>
      <c r="I347" s="487" cm="1">
        <f t="array" ref="I347">SUMPRODUCT((ERP[UID]=A347)*(ERP[AP01 LE2]+ERP[AP02 LE2]+ERP[AP03 LE2]+ERP[AP04 LE2]+ERP[AP05 LE2]))</f>
        <v>2774.9700000000003</v>
      </c>
      <c r="J347" s="487">
        <f>'ERP_AP7 Macro Failed'!AL349</f>
        <v>-1849.9800000000002</v>
      </c>
      <c r="K347" t="str">
        <f t="shared" si="10"/>
        <v>Minor</v>
      </c>
      <c r="L347" t="str">
        <f t="shared" si="11"/>
        <v>No</v>
      </c>
    </row>
    <row r="348" spans="1:12">
      <c r="A348" t="str">
        <f>'ERP_AP7 Macro Failed'!A350</f>
        <v>ERP-058</v>
      </c>
      <c r="B348" t="str">
        <f>'ERP_AP7 Macro Failed'!D350</f>
        <v>Dougherty, Chris</v>
      </c>
      <c r="C348" t="str">
        <f>'ERP_AP7 Macro Failed'!E350</f>
        <v>Dougherty, Chris</v>
      </c>
      <c r="D348" t="str">
        <f>'ERP_AP7 Macro Failed'!G350</f>
        <v>SOFTWARE</v>
      </c>
      <c r="E348">
        <f>'ERP_AP7 Macro Failed'!H350</f>
        <v>0</v>
      </c>
      <c r="F348">
        <f>'ERP_AP7 Macro Failed'!I350</f>
        <v>0</v>
      </c>
      <c r="G348" t="str">
        <f>'ERP_AP7 Macro Failed'!K350</f>
        <v>IT-FGS0298-SW-US-00</v>
      </c>
      <c r="H348" s="487" t="e" cm="1">
        <f t="array" ref="H348">SUMPRODUCT((ERP[UID]=A348)*(ERP[AP01]+ERP[AP02]+ERP[AP03]+ERP[AP04]+ERP[AP05]))</f>
        <v>#VALUE!</v>
      </c>
      <c r="I348" s="487" cm="1">
        <f t="array" ref="I348">SUMPRODUCT((ERP[UID]=A348)*(ERP[AP01 LE2]+ERP[AP02 LE2]+ERP[AP03 LE2]+ERP[AP04 LE2]+ERP[AP05 LE2]))</f>
        <v>0</v>
      </c>
      <c r="J348" s="487">
        <f>'ERP_AP7 Macro Failed'!AL350</f>
        <v>308.33</v>
      </c>
      <c r="K348" t="str">
        <f t="shared" si="10"/>
        <v>Immaterial</v>
      </c>
      <c r="L348" t="str">
        <f t="shared" si="11"/>
        <v>No</v>
      </c>
    </row>
    <row r="349" spans="1:12">
      <c r="A349" t="str">
        <f>'ERP_AP7 Macro Failed'!A351</f>
        <v>L-ERP-069</v>
      </c>
      <c r="B349" t="str">
        <f>'ERP_AP7 Macro Failed'!D351</f>
        <v>Dougherty, Chris</v>
      </c>
      <c r="C349" t="str">
        <f>'ERP_AP7 Macro Failed'!E351</f>
        <v>Dougherty, Chris</v>
      </c>
      <c r="D349" t="str">
        <f>'ERP_AP7 Macro Failed'!G351</f>
        <v>HW MAINTENANCE</v>
      </c>
      <c r="E349" t="str">
        <f>'ERP_AP7 Macro Failed'!H351</f>
        <v>Others (Vending, Meeting event, Devices Unreturned, Applecare, Mac-mgmt, IT Onboard, etc.)</v>
      </c>
      <c r="F349">
        <f>'ERP_AP7 Macro Failed'!I351</f>
        <v>0</v>
      </c>
      <c r="G349" t="str">
        <f>'ERP_AP7 Macro Failed'!K351</f>
        <v>IT-FGS0299-OG-US-00</v>
      </c>
      <c r="H349" s="487" t="e" cm="1">
        <f t="array" ref="H349">SUMPRODUCT((ERP[UID]=A349)*(ERP[AP01]+ERP[AP02]+ERP[AP03]+ERP[AP04]+ERP[AP05]))</f>
        <v>#VALUE!</v>
      </c>
      <c r="I349" s="487" cm="1">
        <f t="array" ref="I349">SUMPRODUCT((ERP[UID]=A349)*(ERP[AP01 LE2]+ERP[AP02 LE2]+ERP[AP03 LE2]+ERP[AP04 LE2]+ERP[AP05 LE2]))</f>
        <v>20</v>
      </c>
      <c r="J349" s="487">
        <f>'ERP_AP7 Macro Failed'!AL351</f>
        <v>2169</v>
      </c>
      <c r="K349" t="str">
        <f t="shared" si="10"/>
        <v>Minor</v>
      </c>
      <c r="L349" t="str">
        <f t="shared" si="11"/>
        <v>No</v>
      </c>
    </row>
    <row r="350" spans="1:12">
      <c r="A350" t="str">
        <f>'ERP_AP7 Macro Failed'!A352</f>
        <v>L-ERP-198</v>
      </c>
      <c r="B350" t="str">
        <f>'ERP_AP7 Macro Failed'!D352</f>
        <v>Hase, Raj</v>
      </c>
      <c r="C350" t="str">
        <f>'ERP_AP7 Macro Failed'!E352</f>
        <v>Herman, Shaun</v>
      </c>
      <c r="D350" t="str">
        <f>'ERP_AP7 Macro Failed'!G352</f>
        <v>MANAGED SERVICES</v>
      </c>
      <c r="E350" t="str">
        <f>'ERP_AP7 Macro Failed'!H352</f>
        <v>Others (Vending, Meeting event, Devices Unreturned, Applecare, Mac-mgmt, IT Onboard, etc.)</v>
      </c>
      <c r="F350">
        <f>'ERP_AP7 Macro Failed'!I352</f>
        <v>0</v>
      </c>
      <c r="G350" t="str">
        <f>'ERP_AP7 Macro Failed'!K352</f>
        <v>IT-FGS0299-OG-US-00</v>
      </c>
      <c r="H350" s="487" t="e" cm="1">
        <f t="array" ref="H350">SUMPRODUCT((ERP[UID]=A350)*(ERP[AP01]+ERP[AP02]+ERP[AP03]+ERP[AP04]+ERP[AP05]))</f>
        <v>#VALUE!</v>
      </c>
      <c r="I350" s="487" cm="1">
        <f t="array" ref="I350">SUMPRODUCT((ERP[UID]=A350)*(ERP[AP01 LE2]+ERP[AP02 LE2]+ERP[AP03 LE2]+ERP[AP04 LE2]+ERP[AP05 LE2]))</f>
        <v>2741.92</v>
      </c>
      <c r="J350" s="487">
        <f>'ERP_AP7 Macro Failed'!AL352</f>
        <v>-172.17000000000007</v>
      </c>
      <c r="K350" t="str">
        <f t="shared" si="10"/>
        <v>Immaterial</v>
      </c>
      <c r="L350" t="str">
        <f t="shared" si="11"/>
        <v>No</v>
      </c>
    </row>
    <row r="351" spans="1:12">
      <c r="A351" t="str">
        <f>'ERP_AP7 Macro Failed'!A353</f>
        <v>L-ERP-074</v>
      </c>
      <c r="B351" t="str">
        <f>'ERP_AP7 Macro Failed'!D353</f>
        <v>Dougherty, Chris</v>
      </c>
      <c r="C351" t="str">
        <f>'ERP_AP7 Macro Failed'!E353</f>
        <v>Dougherty, Chris</v>
      </c>
      <c r="D351" t="str">
        <f>'ERP_AP7 Macro Failed'!G353</f>
        <v>MANAGED SERVICES</v>
      </c>
      <c r="E351" t="str">
        <f>'ERP_AP7 Macro Failed'!H353</f>
        <v>Others (Vending, Meeting event, Devices Unreturned, Applecare, Mac-mgmt, IT Onboard, etc.)</v>
      </c>
      <c r="F351">
        <f>'ERP_AP7 Macro Failed'!I353</f>
        <v>0</v>
      </c>
      <c r="G351" t="str">
        <f>'ERP_AP7 Macro Failed'!K353</f>
        <v>IT-FGS0299-OG-US-00</v>
      </c>
      <c r="H351" s="487" t="e" cm="1">
        <f t="array" ref="H351">SUMPRODUCT((ERP[UID]=A351)*(ERP[AP01]+ERP[AP02]+ERP[AP03]+ERP[AP04]+ERP[AP05]))</f>
        <v>#VALUE!</v>
      </c>
      <c r="I351" s="487" cm="1">
        <f t="array" ref="I351">SUMPRODUCT((ERP[UID]=A351)*(ERP[AP01 LE2]+ERP[AP02 LE2]+ERP[AP03 LE2]+ERP[AP04 LE2]+ERP[AP05 LE2]))</f>
        <v>5151.76</v>
      </c>
      <c r="J351" s="487">
        <f>'ERP_AP7 Macro Failed'!AL353</f>
        <v>14746.33</v>
      </c>
      <c r="K351" t="str">
        <f t="shared" si="10"/>
        <v>MATERIAL</v>
      </c>
      <c r="L351" t="str">
        <f t="shared" si="11"/>
        <v>YES</v>
      </c>
    </row>
    <row r="352" spans="1:12">
      <c r="A352" t="str">
        <f>'ERP_AP7 Macro Failed'!A354</f>
        <v>L-ERP-077</v>
      </c>
      <c r="B352" t="str">
        <f>'ERP_AP7 Macro Failed'!D354</f>
        <v>Dougherty, Chris</v>
      </c>
      <c r="C352" t="str">
        <f>'ERP_AP7 Macro Failed'!E354</f>
        <v>Dougherty, Chris</v>
      </c>
      <c r="D352" t="str">
        <f>'ERP_AP7 Macro Failed'!G354</f>
        <v>SOFTWARE</v>
      </c>
      <c r="E352" t="str">
        <f>'ERP_AP7 Macro Failed'!H354</f>
        <v>Others (Vending, Meeting event, Devices Unreturned, Applecare, Mac-mgmt, IT Onboard, etc.)</v>
      </c>
      <c r="F352">
        <f>'ERP_AP7 Macro Failed'!I354</f>
        <v>0</v>
      </c>
      <c r="G352" t="str">
        <f>'ERP_AP7 Macro Failed'!K354</f>
        <v>IT-FGS0299-OG-US-00</v>
      </c>
      <c r="H352" s="487" t="e" cm="1">
        <f t="array" ref="H352">SUMPRODUCT((ERP[UID]=A352)*(ERP[AP01]+ERP[AP02]+ERP[AP03]+ERP[AP04]+ERP[AP05]))</f>
        <v>#VALUE!</v>
      </c>
      <c r="I352" s="487" cm="1">
        <f t="array" ref="I352">SUMPRODUCT((ERP[UID]=A352)*(ERP[AP01 LE2]+ERP[AP02 LE2]+ERP[AP03 LE2]+ERP[AP04 LE2]+ERP[AP05 LE2]))</f>
        <v>288</v>
      </c>
      <c r="J352" s="487">
        <f>'ERP_AP7 Macro Failed'!AL354</f>
        <v>800</v>
      </c>
      <c r="K352" t="str">
        <f t="shared" si="10"/>
        <v>Immaterial</v>
      </c>
      <c r="L352" t="str">
        <f t="shared" si="11"/>
        <v>No</v>
      </c>
    </row>
    <row r="353" spans="1:12">
      <c r="A353" t="str">
        <f>'ERP_AP7 Macro Failed'!A355</f>
        <v>L-ERP-316</v>
      </c>
      <c r="B353" t="str">
        <f>'ERP_AP7 Macro Failed'!D355</f>
        <v>Dougherty, Chris</v>
      </c>
      <c r="C353" t="str">
        <f>'ERP_AP7 Macro Failed'!E355</f>
        <v>Maguire, Karla</v>
      </c>
      <c r="D353" t="str">
        <f>'ERP_AP7 Macro Failed'!G355</f>
        <v>HW MAINTENANCE</v>
      </c>
      <c r="E353" t="str">
        <f>'ERP_AP7 Macro Failed'!H355</f>
        <v>Others (Vending, Meeting event, Devices Unreturned, Applecare, Mac-mgmt, IT Onboard, etc.)</v>
      </c>
      <c r="F353">
        <f>'ERP_AP7 Macro Failed'!I355</f>
        <v>0</v>
      </c>
      <c r="G353" t="str">
        <f>'ERP_AP7 Macro Failed'!K355</f>
        <v>IT-FGS0299-OG-US-00</v>
      </c>
      <c r="H353" s="487" t="e" cm="1">
        <f t="array" ref="H353">SUMPRODUCT((ERP[UID]=A353)*(ERP[AP01]+ERP[AP02]+ERP[AP03]+ERP[AP04]+ERP[AP05]))</f>
        <v>#VALUE!</v>
      </c>
      <c r="I353" s="487" cm="1">
        <f t="array" ref="I353">SUMPRODUCT((ERP[UID]=A353)*(ERP[AP01 LE2]+ERP[AP02 LE2]+ERP[AP03 LE2]+ERP[AP04 LE2]+ERP[AP05 LE2]))</f>
        <v>2955.3</v>
      </c>
      <c r="J353" s="487">
        <f>'ERP_AP7 Macro Failed'!AL355</f>
        <v>5803.14</v>
      </c>
      <c r="K353" t="str">
        <f t="shared" si="10"/>
        <v>Minor</v>
      </c>
      <c r="L353" t="str">
        <f t="shared" si="11"/>
        <v>No</v>
      </c>
    </row>
    <row r="354" spans="1:12">
      <c r="A354" t="str">
        <f>'ERP_AP7 Macro Failed'!A356</f>
        <v>L-ERP-419</v>
      </c>
      <c r="B354" t="str">
        <f>'ERP_AP7 Macro Failed'!D356</f>
        <v>McGettigan, David</v>
      </c>
      <c r="C354" t="str">
        <f>'ERP_AP7 Macro Failed'!E356</f>
        <v>McGettigan, David</v>
      </c>
      <c r="D354" t="str">
        <f>'ERP_AP7 Macro Failed'!G356</f>
        <v>MANAGED SERVICES</v>
      </c>
      <c r="E354" t="str">
        <f>'ERP_AP7 Macro Failed'!H356</f>
        <v>Others (Vending, Meeting event, Devices Unreturned, Applecare, Mac-mgmt, IT Onboard, etc.)</v>
      </c>
      <c r="F354">
        <f>'ERP_AP7 Macro Failed'!I356</f>
        <v>0</v>
      </c>
      <c r="G354" t="str">
        <f>'ERP_AP7 Macro Failed'!K356</f>
        <v>IT-FGS0299-OG-US-00</v>
      </c>
      <c r="H354" s="487" t="e" cm="1">
        <f t="array" ref="H354">SUMPRODUCT((ERP[UID]=A354)*(ERP[AP01]+ERP[AP02]+ERP[AP03]+ERP[AP04]+ERP[AP05]))</f>
        <v>#VALUE!</v>
      </c>
      <c r="I354" s="487" cm="1">
        <f t="array" ref="I354">SUMPRODUCT((ERP[UID]=A354)*(ERP[AP01 LE2]+ERP[AP02 LE2]+ERP[AP03 LE2]+ERP[AP04 LE2]+ERP[AP05 LE2]))</f>
        <v>5227.5</v>
      </c>
      <c r="J354" s="487">
        <f>'ERP_AP7 Macro Failed'!AL356</f>
        <v>-4109.2199999999993</v>
      </c>
      <c r="K354" t="str">
        <f t="shared" si="10"/>
        <v>Minor</v>
      </c>
      <c r="L354" t="str">
        <f t="shared" si="11"/>
        <v>No</v>
      </c>
    </row>
    <row r="355" spans="1:12">
      <c r="A355" t="str">
        <f>'ERP_AP7 Macro Failed'!A357</f>
        <v>L-ERP-481</v>
      </c>
      <c r="B355" t="str">
        <f>'ERP_AP7 Macro Failed'!D357</f>
        <v>Robertson, Jerome</v>
      </c>
      <c r="C355" t="str">
        <f>'ERP_AP7 Macro Failed'!E357</f>
        <v>Robertson, Jerome</v>
      </c>
      <c r="D355" t="str">
        <f>'ERP_AP7 Macro Failed'!G357</f>
        <v>HW MAINTENANCE</v>
      </c>
      <c r="E355" t="str">
        <f>'ERP_AP7 Macro Failed'!H357</f>
        <v>Others (Vending, Meeting event, Devices Unreturned, Applecare, Mac-mgmt, IT Onboard, etc.)</v>
      </c>
      <c r="F355">
        <f>'ERP_AP7 Macro Failed'!I357</f>
        <v>0</v>
      </c>
      <c r="G355" t="str">
        <f>'ERP_AP7 Macro Failed'!K357</f>
        <v>IT-FGS0299-OG-US-00</v>
      </c>
      <c r="H355" s="487" t="e" cm="1">
        <f t="array" ref="H355">SUMPRODUCT((ERP[UID]=A355)*(ERP[AP01]+ERP[AP02]+ERP[AP03]+ERP[AP04]+ERP[AP05]))</f>
        <v>#VALUE!</v>
      </c>
      <c r="I355" s="487" cm="1">
        <f t="array" ref="I355">SUMPRODUCT((ERP[UID]=A355)*(ERP[AP01 LE2]+ERP[AP02 LE2]+ERP[AP03 LE2]+ERP[AP04 LE2]+ERP[AP05 LE2]))</f>
        <v>2902.66</v>
      </c>
      <c r="J355" s="487">
        <f>'ERP_AP7 Macro Failed'!AL357</f>
        <v>316.38000000000011</v>
      </c>
      <c r="K355" t="str">
        <f t="shared" si="10"/>
        <v>Immaterial</v>
      </c>
      <c r="L355" t="str">
        <f t="shared" si="11"/>
        <v>No</v>
      </c>
    </row>
    <row r="356" spans="1:12">
      <c r="A356" t="str">
        <f>'ERP_AP7 Macro Failed'!A358</f>
        <v>L-ERP-317</v>
      </c>
      <c r="B356" t="str">
        <f>'ERP_AP7 Macro Failed'!D358</f>
        <v>Dougherty, Chris</v>
      </c>
      <c r="C356" t="str">
        <f>'ERP_AP7 Macro Failed'!E358</f>
        <v>Maguire, Karla</v>
      </c>
      <c r="D356" t="str">
        <f>'ERP_AP7 Macro Failed'!G358</f>
        <v>MANAGED SERVICES</v>
      </c>
      <c r="E356" t="str">
        <f>'ERP_AP7 Macro Failed'!H358</f>
        <v>Others (Vending, Meeting event, Devices Unreturned, Applecare, Mac-mgmt, IT Onboard, etc.)</v>
      </c>
      <c r="F356">
        <f>'ERP_AP7 Macro Failed'!I358</f>
        <v>0</v>
      </c>
      <c r="G356" t="str">
        <f>'ERP_AP7 Macro Failed'!K358</f>
        <v>IT-FGS0299-OG-US-00</v>
      </c>
      <c r="H356" s="487" t="e" cm="1">
        <f t="array" ref="H356">SUMPRODUCT((ERP[UID]=A356)*(ERP[AP01]+ERP[AP02]+ERP[AP03]+ERP[AP04]+ERP[AP05]))</f>
        <v>#VALUE!</v>
      </c>
      <c r="I356" s="487" cm="1">
        <f t="array" ref="I356">SUMPRODUCT((ERP[UID]=A356)*(ERP[AP01 LE2]+ERP[AP02 LE2]+ERP[AP03 LE2]+ERP[AP04 LE2]+ERP[AP05 LE2]))</f>
        <v>600</v>
      </c>
      <c r="J356" s="487">
        <f>'ERP_AP7 Macro Failed'!AL358</f>
        <v>-901.7</v>
      </c>
      <c r="K356" t="str">
        <f t="shared" si="10"/>
        <v>Immaterial</v>
      </c>
      <c r="L356" t="str">
        <f t="shared" si="11"/>
        <v>No</v>
      </c>
    </row>
    <row r="357" spans="1:12">
      <c r="A357" t="str">
        <f>'ERP_AP7 Macro Failed'!A359</f>
        <v>L-ERP-359</v>
      </c>
      <c r="B357" t="str">
        <f>'ERP_AP7 Macro Failed'!D359</f>
        <v>Dougherty, Chris</v>
      </c>
      <c r="C357" t="str">
        <f>'ERP_AP7 Macro Failed'!E359</f>
        <v>McCormick, Pete</v>
      </c>
      <c r="D357" t="str">
        <f>'ERP_AP7 Macro Failed'!G359</f>
        <v>MANAGED SERVICES</v>
      </c>
      <c r="E357" t="str">
        <f>'ERP_AP7 Macro Failed'!H359</f>
        <v>Others (Vending, Meeting event, Devices Unreturned, Applecare, Mac-mgmt, IT Onboard, etc.)</v>
      </c>
      <c r="F357">
        <f>'ERP_AP7 Macro Failed'!I359</f>
        <v>0</v>
      </c>
      <c r="G357" t="str">
        <f>'ERP_AP7 Macro Failed'!K359</f>
        <v>IT-FGS0299-OG-US-00</v>
      </c>
      <c r="H357" s="487" t="e" cm="1">
        <f t="array" ref="H357">SUMPRODUCT((ERP[UID]=A357)*(ERP[AP01]+ERP[AP02]+ERP[AP03]+ERP[AP04]+ERP[AP05]))</f>
        <v>#VALUE!</v>
      </c>
      <c r="I357" s="487" cm="1">
        <f t="array" ref="I357">SUMPRODUCT((ERP[UID]=A357)*(ERP[AP01 LE2]+ERP[AP02 LE2]+ERP[AP03 LE2]+ERP[AP04 LE2]+ERP[AP05 LE2]))</f>
        <v>90345.919999999998</v>
      </c>
      <c r="J357" s="487">
        <f>'ERP_AP7 Macro Failed'!AL359</f>
        <v>2079.6299999999901</v>
      </c>
      <c r="K357" t="str">
        <f t="shared" si="10"/>
        <v>Minor</v>
      </c>
      <c r="L357" t="str">
        <f t="shared" si="11"/>
        <v>No</v>
      </c>
    </row>
    <row r="358" spans="1:12">
      <c r="A358" t="str">
        <f>'ERP_AP7 Macro Failed'!A360</f>
        <v>L-ERP-572</v>
      </c>
      <c r="B358" t="str">
        <f>'ERP_AP7 Macro Failed'!D360</f>
        <v>Hase, Raj</v>
      </c>
      <c r="C358" t="str">
        <f>'ERP_AP7 Macro Failed'!E360</f>
        <v>Yeluri, Durga</v>
      </c>
      <c r="D358" t="str">
        <f>'ERP_AP7 Macro Failed'!G360</f>
        <v>MANAGED SERVICES</v>
      </c>
      <c r="E358" t="str">
        <f>'ERP_AP7 Macro Failed'!H360</f>
        <v>Others (Vending, Meeting event, Devices Unreturned, Applecare, Mac-mgmt, IT Onboard, etc.)</v>
      </c>
      <c r="F358">
        <f>'ERP_AP7 Macro Failed'!I360</f>
        <v>0</v>
      </c>
      <c r="G358" t="str">
        <f>'ERP_AP7 Macro Failed'!K360</f>
        <v>IT-FGS0299-OG-US-00</v>
      </c>
      <c r="H358" s="487" t="e" cm="1">
        <f t="array" ref="H358">SUMPRODUCT((ERP[UID]=A358)*(ERP[AP01]+ERP[AP02]+ERP[AP03]+ERP[AP04]+ERP[AP05]))</f>
        <v>#VALUE!</v>
      </c>
      <c r="I358" s="487" cm="1">
        <f t="array" ref="I358">SUMPRODUCT((ERP[UID]=A358)*(ERP[AP01 LE2]+ERP[AP02 LE2]+ERP[AP03 LE2]+ERP[AP04 LE2]+ERP[AP05 LE2]))</f>
        <v>11401.019999999999</v>
      </c>
      <c r="J358" s="487">
        <f>'ERP_AP7 Macro Failed'!AL360</f>
        <v>5627.5700000000033</v>
      </c>
      <c r="K358" t="str">
        <f t="shared" si="10"/>
        <v>Minor</v>
      </c>
      <c r="L358" t="str">
        <f t="shared" si="11"/>
        <v>No</v>
      </c>
    </row>
    <row r="359" spans="1:12">
      <c r="A359" t="str">
        <f>'ERP_AP7 Macro Failed'!A361</f>
        <v>ERP-034</v>
      </c>
      <c r="B359" t="str">
        <f>'ERP_AP7 Macro Failed'!D361</f>
        <v>Hase, Raj</v>
      </c>
      <c r="C359" t="str">
        <f>'ERP_AP7 Macro Failed'!E361</f>
        <v>Ganesan, Srinivasan</v>
      </c>
      <c r="D359" t="str">
        <f>'ERP_AP7 Macro Failed'!G361</f>
        <v>SOFTWARE</v>
      </c>
      <c r="E359" t="str">
        <f>'ERP_AP7 Macro Failed'!H361</f>
        <v>DIGITAL-COPILOT</v>
      </c>
      <c r="F359">
        <f>'ERP_AP7 Macro Failed'!I361</f>
        <v>0</v>
      </c>
      <c r="G359" t="str">
        <f>'ERP_AP7 Macro Failed'!K361</f>
        <v>IT-FGS0300-SW-US-00</v>
      </c>
      <c r="H359" s="487" t="e" cm="1">
        <f t="array" ref="H359">SUMPRODUCT((ERP[UID]=A359)*(ERP[AP01]+ERP[AP02]+ERP[AP03]+ERP[AP04]+ERP[AP05]))</f>
        <v>#VALUE!</v>
      </c>
      <c r="I359" s="487" cm="1">
        <f t="array" ref="I359">SUMPRODUCT((ERP[UID]=A359)*(ERP[AP01 LE2]+ERP[AP02 LE2]+ERP[AP03 LE2]+ERP[AP04 LE2]+ERP[AP05 LE2]))</f>
        <v>0</v>
      </c>
      <c r="J359" s="487">
        <f>'ERP_AP7 Macro Failed'!AL361</f>
        <v>908</v>
      </c>
      <c r="K359" t="str">
        <f t="shared" si="10"/>
        <v>Immaterial</v>
      </c>
      <c r="L359" t="str">
        <f t="shared" si="11"/>
        <v>No</v>
      </c>
    </row>
    <row r="360" spans="1:12">
      <c r="A360" t="str">
        <f>'ERP_AP7 Macro Failed'!A362</f>
        <v>L-ERP-003</v>
      </c>
      <c r="B360" t="str">
        <f>'ERP_AP7 Macro Failed'!D362</f>
        <v>Hase, Raj</v>
      </c>
      <c r="C360" t="str">
        <f>'ERP_AP7 Macro Failed'!E362</f>
        <v>DeHart, Lynn</v>
      </c>
      <c r="D360" t="str">
        <f>'ERP_AP7 Macro Failed'!G362</f>
        <v>SOFTWARE</v>
      </c>
      <c r="E360" t="str">
        <f>'ERP_AP7 Macro Failed'!H362</f>
        <v>Microsoft Copilot Licenses</v>
      </c>
      <c r="F360">
        <f>'ERP_AP7 Macro Failed'!I362</f>
        <v>0</v>
      </c>
      <c r="G360" t="str">
        <f>'ERP_AP7 Macro Failed'!K362</f>
        <v>IT-FGS0300-SW-US-00</v>
      </c>
      <c r="H360" s="487" t="e" cm="1">
        <f t="array" ref="H360">SUMPRODUCT((ERP[UID]=A360)*(ERP[AP01]+ERP[AP02]+ERP[AP03]+ERP[AP04]+ERP[AP05]))</f>
        <v>#VALUE!</v>
      </c>
      <c r="I360" s="487" cm="1">
        <f t="array" ref="I360">SUMPRODUCT((ERP[UID]=A360)*(ERP[AP01 LE2]+ERP[AP02 LE2]+ERP[AP03 LE2]+ERP[AP04 LE2]+ERP[AP05 LE2]))</f>
        <v>9904.42</v>
      </c>
      <c r="J360" s="487">
        <f>'ERP_AP7 Macro Failed'!AL362</f>
        <v>2441.7900000000009</v>
      </c>
      <c r="K360" t="str">
        <f t="shared" si="10"/>
        <v>Minor</v>
      </c>
      <c r="L360" t="str">
        <f t="shared" si="11"/>
        <v>No</v>
      </c>
    </row>
    <row r="361" spans="1:12">
      <c r="A361" t="str">
        <f>'ERP_AP7 Macro Failed'!A363</f>
        <v>L-ERP-526</v>
      </c>
      <c r="B361" t="str">
        <f>'ERP_AP7 Macro Failed'!D363</f>
        <v>Dougherty, Chris</v>
      </c>
      <c r="C361" t="str">
        <f>'ERP_AP7 Macro Failed'!E363</f>
        <v>Tamavada, Ram</v>
      </c>
      <c r="D361" t="str">
        <f>'ERP_AP7 Macro Failed'!G363</f>
        <v>MANAGED SERVICES</v>
      </c>
      <c r="E361" t="str">
        <f>'ERP_AP7 Macro Failed'!H363</f>
        <v>Others (Vending, Meeting event, Devices Unreturned, Applecare, Mac-mgmt, IT Onboard, etc.)</v>
      </c>
      <c r="F361">
        <f>'ERP_AP7 Macro Failed'!I363</f>
        <v>0</v>
      </c>
      <c r="G361" t="str">
        <f>'ERP_AP7 Macro Failed'!K363</f>
        <v>IT-FGS0299-OG-US-00</v>
      </c>
      <c r="H361" s="487" t="e" cm="1">
        <f t="array" ref="H361">SUMPRODUCT((ERP[UID]=A361)*(ERP[AP01]+ERP[AP02]+ERP[AP03]+ERP[AP04]+ERP[AP05]))</f>
        <v>#VALUE!</v>
      </c>
      <c r="I361" s="487" cm="1">
        <f t="array" ref="I361">SUMPRODUCT((ERP[UID]=A361)*(ERP[AP01 LE2]+ERP[AP02 LE2]+ERP[AP03 LE2]+ERP[AP04 LE2]+ERP[AP05 LE2]))</f>
        <v>13372.89</v>
      </c>
      <c r="J361" s="487">
        <f>'ERP_AP7 Macro Failed'!AL363</f>
        <v>3442.4900000000016</v>
      </c>
      <c r="K361" t="str">
        <f t="shared" si="10"/>
        <v>Minor</v>
      </c>
      <c r="L361" t="str">
        <f t="shared" si="11"/>
        <v>No</v>
      </c>
    </row>
    <row r="362" spans="1:12">
      <c r="A362" t="str">
        <f>'ERP_AP7 Macro Failed'!A364</f>
        <v>L-ERP-181</v>
      </c>
      <c r="B362" t="str">
        <f>'ERP_AP7 Macro Failed'!D364</f>
        <v>Hase, Raj</v>
      </c>
      <c r="C362" t="str">
        <f>'ERP_AP7 Macro Failed'!E364</f>
        <v>Hase, Raj</v>
      </c>
      <c r="D362" t="str">
        <f>'ERP_AP7 Macro Failed'!G364</f>
        <v>SOFTWARE</v>
      </c>
      <c r="E362" t="str">
        <f>'ERP_AP7 Macro Failed'!H364</f>
        <v>Microsoft Copilot Licenses</v>
      </c>
      <c r="F362">
        <f>'ERP_AP7 Macro Failed'!I364</f>
        <v>0</v>
      </c>
      <c r="G362" t="str">
        <f>'ERP_AP7 Macro Failed'!K364</f>
        <v>IT-FGS0300-SW-US-00</v>
      </c>
      <c r="H362" s="487" t="e" cm="1">
        <f t="array" ref="H362">SUMPRODUCT((ERP[UID]=A362)*(ERP[AP01]+ERP[AP02]+ERP[AP03]+ERP[AP04]+ERP[AP05]))</f>
        <v>#VALUE!</v>
      </c>
      <c r="I362" s="487" cm="1">
        <f t="array" ref="I362">SUMPRODUCT((ERP[UID]=A362)*(ERP[AP01 LE2]+ERP[AP02 LE2]+ERP[AP03 LE2]+ERP[AP04 LE2]+ERP[AP05 LE2]))</f>
        <v>227</v>
      </c>
      <c r="J362" s="487">
        <f>'ERP_AP7 Macro Failed'!AL364</f>
        <v>0</v>
      </c>
      <c r="K362" t="str">
        <f t="shared" si="10"/>
        <v>Immaterial</v>
      </c>
      <c r="L362" t="str">
        <f t="shared" si="11"/>
        <v>No</v>
      </c>
    </row>
    <row r="363" spans="1:12">
      <c r="A363" t="str">
        <f>'ERP_AP7 Macro Failed'!A365</f>
        <v>L-ERP-218</v>
      </c>
      <c r="B363" t="str">
        <f>'ERP_AP7 Macro Failed'!D365</f>
        <v>Hase, Raj</v>
      </c>
      <c r="C363" t="str">
        <f>'ERP_AP7 Macro Failed'!E365</f>
        <v>Hovanyetz, Mike</v>
      </c>
      <c r="D363" t="str">
        <f>'ERP_AP7 Macro Failed'!G365</f>
        <v>SOFTWARE</v>
      </c>
      <c r="E363" t="str">
        <f>'ERP_AP7 Macro Failed'!H365</f>
        <v>Microsoft Copilot Licenses</v>
      </c>
      <c r="F363">
        <f>'ERP_AP7 Macro Failed'!I365</f>
        <v>0</v>
      </c>
      <c r="G363" t="str">
        <f>'ERP_AP7 Macro Failed'!K365</f>
        <v>IT-FGS0300-SW-US-00</v>
      </c>
      <c r="H363" s="487" t="e" cm="1">
        <f t="array" ref="H363">SUMPRODUCT((ERP[UID]=A363)*(ERP[AP01]+ERP[AP02]+ERP[AP03]+ERP[AP04]+ERP[AP05]))</f>
        <v>#VALUE!</v>
      </c>
      <c r="I363" s="487" cm="1">
        <f t="array" ref="I363">SUMPRODUCT((ERP[UID]=A363)*(ERP[AP01 LE2]+ERP[AP02 LE2]+ERP[AP03 LE2]+ERP[AP04 LE2]+ERP[AP05 LE2]))</f>
        <v>0</v>
      </c>
      <c r="J363" s="487">
        <f>'ERP_AP7 Macro Failed'!AL365</f>
        <v>-275</v>
      </c>
      <c r="K363" t="str">
        <f t="shared" si="10"/>
        <v>Immaterial</v>
      </c>
      <c r="L363" t="str">
        <f t="shared" si="11"/>
        <v>No</v>
      </c>
    </row>
    <row r="364" spans="1:12">
      <c r="A364" t="str">
        <f>'ERP_AP7 Macro Failed'!A366</f>
        <v>L-ERP-229</v>
      </c>
      <c r="B364" t="str">
        <f>'ERP_AP7 Macro Failed'!D366</f>
        <v>Hase, Raj</v>
      </c>
      <c r="C364" t="str">
        <f>'ERP_AP7 Macro Failed'!E366</f>
        <v>Jajodia, Amit</v>
      </c>
      <c r="D364" t="str">
        <f>'ERP_AP7 Macro Failed'!G366</f>
        <v>SOFTWARE</v>
      </c>
      <c r="E364" t="str">
        <f>'ERP_AP7 Macro Failed'!H366</f>
        <v>Microsoft Copilot Licenses</v>
      </c>
      <c r="F364">
        <f>'ERP_AP7 Macro Failed'!I366</f>
        <v>0</v>
      </c>
      <c r="G364" t="str">
        <f>'ERP_AP7 Macro Failed'!K366</f>
        <v>IT-FGS0300-SW-US-00</v>
      </c>
      <c r="H364" s="487" t="e" cm="1">
        <f t="array" ref="H364">SUMPRODUCT((ERP[UID]=A364)*(ERP[AP01]+ERP[AP02]+ERP[AP03]+ERP[AP04]+ERP[AP05]))</f>
        <v>#VALUE!</v>
      </c>
      <c r="I364" s="487" cm="1">
        <f t="array" ref="I364">SUMPRODUCT((ERP[UID]=A364)*(ERP[AP01 LE2]+ERP[AP02 LE2]+ERP[AP03 LE2]+ERP[AP04 LE2]+ERP[AP05 LE2]))</f>
        <v>218.38</v>
      </c>
      <c r="J364" s="487">
        <f>'ERP_AP7 Macro Failed'!AL366</f>
        <v>0</v>
      </c>
      <c r="K364" t="str">
        <f t="shared" si="10"/>
        <v>Immaterial</v>
      </c>
      <c r="L364" t="str">
        <f t="shared" si="11"/>
        <v>No</v>
      </c>
    </row>
    <row r="365" spans="1:12">
      <c r="A365" t="str">
        <f>'ERP_AP7 Macro Failed'!A367</f>
        <v>L-ERP-533</v>
      </c>
      <c r="B365" t="str">
        <f>'ERP_AP7 Macro Failed'!D367</f>
        <v>Dougherty, Chris</v>
      </c>
      <c r="C365" t="str">
        <f>'ERP_AP7 Macro Failed'!E367</f>
        <v>Tamavada, Ram</v>
      </c>
      <c r="D365" t="str">
        <f>'ERP_AP7 Macro Failed'!G367</f>
        <v>SOFTWARE</v>
      </c>
      <c r="E365" t="str">
        <f>'ERP_AP7 Macro Failed'!H367</f>
        <v>Others (Vending, Meeting event, Devices Unreturned, Applecare, Mac-mgmt, IT Onboard, etc.)</v>
      </c>
      <c r="F365">
        <f>'ERP_AP7 Macro Failed'!I367</f>
        <v>0</v>
      </c>
      <c r="G365" t="str">
        <f>'ERP_AP7 Macro Failed'!K367</f>
        <v>IT-FGS0299-OG-US-00</v>
      </c>
      <c r="H365" s="487" t="e" cm="1">
        <f t="array" ref="H365">SUMPRODUCT((ERP[UID]=A365)*(ERP[AP01]+ERP[AP02]+ERP[AP03]+ERP[AP04]+ERP[AP05]))</f>
        <v>#VALUE!</v>
      </c>
      <c r="I365" s="487" cm="1">
        <f t="array" ref="I365">SUMPRODUCT((ERP[UID]=A365)*(ERP[AP01 LE2]+ERP[AP02 LE2]+ERP[AP03 LE2]+ERP[AP04 LE2]+ERP[AP05 LE2]))</f>
        <v>18.920000000000002</v>
      </c>
      <c r="J365" s="487">
        <f>'ERP_AP7 Macro Failed'!AL367</f>
        <v>0</v>
      </c>
      <c r="K365" t="str">
        <f t="shared" si="10"/>
        <v>Immaterial</v>
      </c>
      <c r="L365" t="str">
        <f t="shared" si="11"/>
        <v>No</v>
      </c>
    </row>
    <row r="366" spans="1:12">
      <c r="A366" t="str">
        <f>'ERP_AP7 Macro Failed'!A368</f>
        <v>ERP-059</v>
      </c>
      <c r="B366" t="str">
        <f>'ERP_AP7 Macro Failed'!D368</f>
        <v>Dougherty, Chris</v>
      </c>
      <c r="C366" t="str">
        <f>'ERP_AP7 Macro Failed'!E368</f>
        <v>Maguire, Karla</v>
      </c>
      <c r="D366" t="str">
        <f>'ERP_AP7 Macro Failed'!G368</f>
        <v>SOFTWARE</v>
      </c>
      <c r="E366">
        <f>'ERP_AP7 Macro Failed'!H368</f>
        <v>0</v>
      </c>
      <c r="F366">
        <f>'ERP_AP7 Macro Failed'!I368</f>
        <v>0</v>
      </c>
      <c r="G366" t="str">
        <f>'ERP_AP7 Macro Failed'!K368</f>
        <v>IT-FGS0299-OG-US-00</v>
      </c>
      <c r="H366" s="487" t="e" cm="1">
        <f t="array" ref="H366">SUMPRODUCT((ERP[UID]=A366)*(ERP[AP01]+ERP[AP02]+ERP[AP03]+ERP[AP04]+ERP[AP05]))</f>
        <v>#VALUE!</v>
      </c>
      <c r="I366" s="487" cm="1">
        <f t="array" ref="I366">SUMPRODUCT((ERP[UID]=A366)*(ERP[AP01 LE2]+ERP[AP02 LE2]+ERP[AP03 LE2]+ERP[AP04 LE2]+ERP[AP05 LE2]))</f>
        <v>0</v>
      </c>
      <c r="J366" s="487">
        <f>'ERP_AP7 Macro Failed'!AL368</f>
        <v>446.19</v>
      </c>
      <c r="K366" t="str">
        <f t="shared" si="10"/>
        <v>Immaterial</v>
      </c>
      <c r="L366" t="str">
        <f t="shared" si="11"/>
        <v>No</v>
      </c>
    </row>
    <row r="367" spans="1:12">
      <c r="A367" t="str">
        <f>'ERP_AP7 Macro Failed'!A369</f>
        <v>L-ERP-410</v>
      </c>
      <c r="B367" t="str">
        <f>'ERP_AP7 Macro Failed'!D369</f>
        <v>McGettigan, David</v>
      </c>
      <c r="C367" t="str">
        <f>'ERP_AP7 Macro Failed'!E369</f>
        <v>McGettigan, David</v>
      </c>
      <c r="D367" t="str">
        <f>'ERP_AP7 Macro Failed'!G369</f>
        <v>SOFTWARE</v>
      </c>
      <c r="E367" t="str">
        <f>'ERP_AP7 Macro Failed'!H369</f>
        <v>Microsoft Copilot Licenses</v>
      </c>
      <c r="F367">
        <f>'ERP_AP7 Macro Failed'!I369</f>
        <v>0</v>
      </c>
      <c r="G367" t="str">
        <f>'ERP_AP7 Macro Failed'!K369</f>
        <v>IT-FGS0300-SW-US-00</v>
      </c>
      <c r="H367" s="487" t="e" cm="1">
        <f t="array" ref="H367">SUMPRODUCT((ERP[UID]=A367)*(ERP[AP01]+ERP[AP02]+ERP[AP03]+ERP[AP04]+ERP[AP05]))</f>
        <v>#VALUE!</v>
      </c>
      <c r="I367" s="487" cm="1">
        <f t="array" ref="I367">SUMPRODUCT((ERP[UID]=A367)*(ERP[AP01 LE2]+ERP[AP02 LE2]+ERP[AP03 LE2]+ERP[AP04 LE2]+ERP[AP05 LE2]))</f>
        <v>934.17</v>
      </c>
      <c r="J367" s="487">
        <f>'ERP_AP7 Macro Failed'!AL369</f>
        <v>681.00000000000011</v>
      </c>
      <c r="K367" t="str">
        <f t="shared" si="10"/>
        <v>Immaterial</v>
      </c>
      <c r="L367" t="str">
        <f t="shared" si="11"/>
        <v>No</v>
      </c>
    </row>
    <row r="368" spans="1:12">
      <c r="A368" t="str">
        <f>'ERP_AP7 Macro Failed'!A370</f>
        <v>L-ERP-477</v>
      </c>
      <c r="B368" t="str">
        <f>'ERP_AP7 Macro Failed'!D370</f>
        <v>Robertson, Jerome</v>
      </c>
      <c r="C368" t="str">
        <f>'ERP_AP7 Macro Failed'!E370</f>
        <v>Robertson, Jerome</v>
      </c>
      <c r="D368" t="str">
        <f>'ERP_AP7 Macro Failed'!G370</f>
        <v>SOFTWARE</v>
      </c>
      <c r="E368" t="str">
        <f>'ERP_AP7 Macro Failed'!H370</f>
        <v>Microsoft Copilot Licenses</v>
      </c>
      <c r="F368">
        <f>'ERP_AP7 Macro Failed'!I370</f>
        <v>0</v>
      </c>
      <c r="G368" t="str">
        <f>'ERP_AP7 Macro Failed'!K370</f>
        <v>IT-FGS0300-SW-US-00</v>
      </c>
      <c r="H368" s="487" t="e" cm="1">
        <f t="array" ref="H368">SUMPRODUCT((ERP[UID]=A368)*(ERP[AP01]+ERP[AP02]+ERP[AP03]+ERP[AP04]+ERP[AP05]))</f>
        <v>#VALUE!</v>
      </c>
      <c r="I368" s="487" cm="1">
        <f t="array" ref="I368">SUMPRODUCT((ERP[UID]=A368)*(ERP[AP01 LE2]+ERP[AP02 LE2]+ERP[AP03 LE2]+ERP[AP04 LE2]+ERP[AP05 LE2]))</f>
        <v>921.51</v>
      </c>
      <c r="J368" s="487">
        <f>'ERP_AP7 Macro Failed'!AL370</f>
        <v>944.37999999999988</v>
      </c>
      <c r="K368" t="str">
        <f t="shared" si="10"/>
        <v>Immaterial</v>
      </c>
      <c r="L368" t="str">
        <f t="shared" si="11"/>
        <v>No</v>
      </c>
    </row>
    <row r="369" spans="1:12">
      <c r="A369" t="str">
        <f>'ERP_AP7 Macro Failed'!A371</f>
        <v>L-ERP-010</v>
      </c>
      <c r="B369" t="str">
        <f>'ERP_AP7 Macro Failed'!D371</f>
        <v>Hase, Raj</v>
      </c>
      <c r="C369" t="str">
        <f>'ERP_AP7 Macro Failed'!E371</f>
        <v>DeHart, Lynn</v>
      </c>
      <c r="D369" t="str">
        <f>'ERP_AP7 Macro Failed'!G371</f>
        <v>MANAGED SERVICES</v>
      </c>
      <c r="E369" t="str">
        <f>'ERP_AP7 Macro Failed'!H371</f>
        <v>Desktop on Demand (VDS)</v>
      </c>
      <c r="F369">
        <f>'ERP_AP7 Macro Failed'!I371</f>
        <v>0</v>
      </c>
      <c r="G369" t="str">
        <f>'ERP_AP7 Macro Failed'!K371</f>
        <v>IT-FGS0301-OG-US-00</v>
      </c>
      <c r="H369" s="487" t="e" cm="1">
        <f t="array" ref="H369">SUMPRODUCT((ERP[UID]=A369)*(ERP[AP01]+ERP[AP02]+ERP[AP03]+ERP[AP04]+ERP[AP05]))</f>
        <v>#VALUE!</v>
      </c>
      <c r="I369" s="487" cm="1">
        <f t="array" ref="I369">SUMPRODUCT((ERP[UID]=A369)*(ERP[AP01 LE2]+ERP[AP02 LE2]+ERP[AP03 LE2]+ERP[AP04 LE2]+ERP[AP05 LE2]))</f>
        <v>41216.11</v>
      </c>
      <c r="J369" s="487">
        <f>'ERP_AP7 Macro Failed'!AL371</f>
        <v>34622.37999999999</v>
      </c>
      <c r="K369" t="str">
        <f t="shared" si="10"/>
        <v>MATERIAL</v>
      </c>
      <c r="L369" t="str">
        <f t="shared" si="11"/>
        <v>YES</v>
      </c>
    </row>
    <row r="370" spans="1:12">
      <c r="A370" t="str">
        <f>'ERP_AP7 Macro Failed'!A372</f>
        <v>L-ERP-067</v>
      </c>
      <c r="B370" t="str">
        <f>'ERP_AP7 Macro Failed'!D372</f>
        <v>Dougherty, Chris</v>
      </c>
      <c r="C370" t="str">
        <f>'ERP_AP7 Macro Failed'!E372</f>
        <v>Dougherty, Chris</v>
      </c>
      <c r="D370" t="str">
        <f>'ERP_AP7 Macro Failed'!G372</f>
        <v>SOFTWARE</v>
      </c>
      <c r="E370" t="str">
        <f>'ERP_AP7 Macro Failed'!H372</f>
        <v>Microsoft Copilot Licenses</v>
      </c>
      <c r="F370">
        <f>'ERP_AP7 Macro Failed'!I372</f>
        <v>0</v>
      </c>
      <c r="G370" t="str">
        <f>'ERP_AP7 Macro Failed'!K372</f>
        <v>IT-FGS0300-SW-US-00</v>
      </c>
      <c r="H370" s="487" t="e" cm="1">
        <f t="array" ref="H370">SUMPRODUCT((ERP[UID]=A370)*(ERP[AP01]+ERP[AP02]+ERP[AP03]+ERP[AP04]+ERP[AP05]))</f>
        <v>#VALUE!</v>
      </c>
      <c r="I370" s="487" cm="1">
        <f t="array" ref="I370">SUMPRODUCT((ERP[UID]=A370)*(ERP[AP01 LE2]+ERP[AP02 LE2]+ERP[AP03 LE2]+ERP[AP04 LE2]+ERP[AP05 LE2]))</f>
        <v>4540</v>
      </c>
      <c r="J370" s="487">
        <f>'ERP_AP7 Macro Failed'!AL372</f>
        <v>1362</v>
      </c>
      <c r="K370" t="str">
        <f t="shared" si="10"/>
        <v>Minor</v>
      </c>
      <c r="L370" t="str">
        <f t="shared" si="11"/>
        <v>No</v>
      </c>
    </row>
    <row r="371" spans="1:12">
      <c r="A371" t="str">
        <f>'ERP_AP7 Macro Failed'!A373</f>
        <v>L-ERP-130</v>
      </c>
      <c r="B371" t="str">
        <f>'ERP_AP7 Macro Failed'!D373</f>
        <v>Hase, Raj</v>
      </c>
      <c r="C371" t="str">
        <f>'ERP_AP7 Macro Failed'!E373</f>
        <v>Ganesan, Srinivasan</v>
      </c>
      <c r="D371" t="str">
        <f>'ERP_AP7 Macro Failed'!G373</f>
        <v>MANAGED SERVICES</v>
      </c>
      <c r="E371" t="str">
        <f>'ERP_AP7 Macro Failed'!H373</f>
        <v>Desktop on Demand (VDS)</v>
      </c>
      <c r="F371">
        <f>'ERP_AP7 Macro Failed'!I373</f>
        <v>0</v>
      </c>
      <c r="G371" t="str">
        <f>'ERP_AP7 Macro Failed'!K373</f>
        <v>IT-FGS0301-OG-US-00</v>
      </c>
      <c r="H371" s="487" t="e" cm="1">
        <f t="array" ref="H371">SUMPRODUCT((ERP[UID]=A371)*(ERP[AP01]+ERP[AP02]+ERP[AP03]+ERP[AP04]+ERP[AP05]))</f>
        <v>#VALUE!</v>
      </c>
      <c r="I371" s="487" cm="1">
        <f t="array" ref="I371">SUMPRODUCT((ERP[UID]=A371)*(ERP[AP01 LE2]+ERP[AP02 LE2]+ERP[AP03 LE2]+ERP[AP04 LE2]+ERP[AP05 LE2]))</f>
        <v>11562</v>
      </c>
      <c r="J371" s="487">
        <f>'ERP_AP7 Macro Failed'!AL373</f>
        <v>-461</v>
      </c>
      <c r="K371" t="str">
        <f t="shared" si="10"/>
        <v>Immaterial</v>
      </c>
      <c r="L371" t="str">
        <f t="shared" si="11"/>
        <v>No</v>
      </c>
    </row>
    <row r="372" spans="1:12">
      <c r="A372" t="str">
        <f>'ERP_AP7 Macro Failed'!A374</f>
        <v>L-ERP-184</v>
      </c>
      <c r="B372" t="str">
        <f>'ERP_AP7 Macro Failed'!D374</f>
        <v>Hase, Raj</v>
      </c>
      <c r="C372" t="str">
        <f>'ERP_AP7 Macro Failed'!E374</f>
        <v>Hase, Raj</v>
      </c>
      <c r="D372" t="str">
        <f>'ERP_AP7 Macro Failed'!G374</f>
        <v>MANAGED SERVICES</v>
      </c>
      <c r="E372" t="str">
        <f>'ERP_AP7 Macro Failed'!H374</f>
        <v>Desktop on Demand (VDS)</v>
      </c>
      <c r="F372">
        <f>'ERP_AP7 Macro Failed'!I374</f>
        <v>0</v>
      </c>
      <c r="G372" t="str">
        <f>'ERP_AP7 Macro Failed'!K374</f>
        <v>IT-FGS0301-OG-US-00</v>
      </c>
      <c r="H372" s="487" t="e" cm="1">
        <f t="array" ref="H372">SUMPRODUCT((ERP[UID]=A372)*(ERP[AP01]+ERP[AP02]+ERP[AP03]+ERP[AP04]+ERP[AP05]))</f>
        <v>#VALUE!</v>
      </c>
      <c r="I372" s="487" cm="1">
        <f t="array" ref="I372">SUMPRODUCT((ERP[UID]=A372)*(ERP[AP01 LE2]+ERP[AP02 LE2]+ERP[AP03 LE2]+ERP[AP04 LE2]+ERP[AP05 LE2]))</f>
        <v>10293</v>
      </c>
      <c r="J372" s="487">
        <f>'ERP_AP7 Macro Failed'!AL374</f>
        <v>-1084</v>
      </c>
      <c r="K372" t="str">
        <f t="shared" si="10"/>
        <v>Minor</v>
      </c>
      <c r="L372" t="str">
        <f t="shared" si="11"/>
        <v>No</v>
      </c>
    </row>
    <row r="373" spans="1:12">
      <c r="A373" t="str">
        <f>'ERP_AP7 Macro Failed'!A375</f>
        <v>L-ERP-199</v>
      </c>
      <c r="B373" t="str">
        <f>'ERP_AP7 Macro Failed'!D375</f>
        <v>Hase, Raj</v>
      </c>
      <c r="C373" t="str">
        <f>'ERP_AP7 Macro Failed'!E375</f>
        <v>Herman, Shaun</v>
      </c>
      <c r="D373" t="str">
        <f>'ERP_AP7 Macro Failed'!G375</f>
        <v>MANAGED SERVICES</v>
      </c>
      <c r="E373" t="str">
        <f>'ERP_AP7 Macro Failed'!H375</f>
        <v>Desktop on Demand (VDS)</v>
      </c>
      <c r="F373">
        <f>'ERP_AP7 Macro Failed'!I375</f>
        <v>0</v>
      </c>
      <c r="G373" t="str">
        <f>'ERP_AP7 Macro Failed'!K375</f>
        <v>IT-FGS0301-OG-US-00</v>
      </c>
      <c r="H373" s="487" t="e" cm="1">
        <f t="array" ref="H373">SUMPRODUCT((ERP[UID]=A373)*(ERP[AP01]+ERP[AP02]+ERP[AP03]+ERP[AP04]+ERP[AP05]))</f>
        <v>#VALUE!</v>
      </c>
      <c r="I373" s="487" cm="1">
        <f t="array" ref="I373">SUMPRODUCT((ERP[UID]=A373)*(ERP[AP01 LE2]+ERP[AP02 LE2]+ERP[AP03 LE2]+ERP[AP04 LE2]+ERP[AP05 LE2]))</f>
        <v>13822</v>
      </c>
      <c r="J373" s="487">
        <f>'ERP_AP7 Macro Failed'!AL375</f>
        <v>-4430</v>
      </c>
      <c r="K373" t="str">
        <f t="shared" si="10"/>
        <v>Minor</v>
      </c>
      <c r="L373" t="str">
        <f t="shared" si="11"/>
        <v>No</v>
      </c>
    </row>
    <row r="374" spans="1:12">
      <c r="A374" t="str">
        <f>'ERP_AP7 Macro Failed'!A376</f>
        <v>L-ERP-221</v>
      </c>
      <c r="B374" t="str">
        <f>'ERP_AP7 Macro Failed'!D376</f>
        <v>Hase, Raj</v>
      </c>
      <c r="C374" t="str">
        <f>'ERP_AP7 Macro Failed'!E376</f>
        <v>Hovanyetz, Mike</v>
      </c>
      <c r="D374" t="str">
        <f>'ERP_AP7 Macro Failed'!G376</f>
        <v>MANAGED SERVICES</v>
      </c>
      <c r="E374" t="str">
        <f>'ERP_AP7 Macro Failed'!H376</f>
        <v>Desktop on Demand (VDS)</v>
      </c>
      <c r="F374">
        <f>'ERP_AP7 Macro Failed'!I376</f>
        <v>0</v>
      </c>
      <c r="G374" t="str">
        <f>'ERP_AP7 Macro Failed'!K376</f>
        <v>IT-FGS0301-OG-US-00</v>
      </c>
      <c r="H374" s="487" t="e" cm="1">
        <f t="array" ref="H374">SUMPRODUCT((ERP[UID]=A374)*(ERP[AP01]+ERP[AP02]+ERP[AP03]+ERP[AP04]+ERP[AP05]))</f>
        <v>#VALUE!</v>
      </c>
      <c r="I374" s="487" cm="1">
        <f t="array" ref="I374">SUMPRODUCT((ERP[UID]=A374)*(ERP[AP01 LE2]+ERP[AP02 LE2]+ERP[AP03 LE2]+ERP[AP04 LE2]+ERP[AP05 LE2]))</f>
        <v>10731</v>
      </c>
      <c r="J374" s="487">
        <f>'ERP_AP7 Macro Failed'!AL376</f>
        <v>-2491</v>
      </c>
      <c r="K374" t="str">
        <f t="shared" si="10"/>
        <v>Minor</v>
      </c>
      <c r="L374" t="str">
        <f t="shared" si="11"/>
        <v>No</v>
      </c>
    </row>
    <row r="375" spans="1:12">
      <c r="A375" t="str">
        <f>'ERP_AP7 Macro Failed'!A377</f>
        <v>L-ERP-233</v>
      </c>
      <c r="B375" t="str">
        <f>'ERP_AP7 Macro Failed'!D377</f>
        <v>Hase, Raj</v>
      </c>
      <c r="C375" t="str">
        <f>'ERP_AP7 Macro Failed'!E377</f>
        <v>Jajodia, Amit</v>
      </c>
      <c r="D375" t="str">
        <f>'ERP_AP7 Macro Failed'!G377</f>
        <v>MANAGED SERVICES</v>
      </c>
      <c r="E375" t="str">
        <f>'ERP_AP7 Macro Failed'!H377</f>
        <v>Desktop on Demand (VDS)</v>
      </c>
      <c r="F375">
        <f>'ERP_AP7 Macro Failed'!I377</f>
        <v>0</v>
      </c>
      <c r="G375" t="str">
        <f>'ERP_AP7 Macro Failed'!K377</f>
        <v>IT-FGS0301-OG-US-00</v>
      </c>
      <c r="H375" s="487" t="e" cm="1">
        <f t="array" ref="H375">SUMPRODUCT((ERP[UID]=A375)*(ERP[AP01]+ERP[AP02]+ERP[AP03]+ERP[AP04]+ERP[AP05]))</f>
        <v>#VALUE!</v>
      </c>
      <c r="I375" s="487" cm="1">
        <f t="array" ref="I375">SUMPRODUCT((ERP[UID]=A375)*(ERP[AP01 LE2]+ERP[AP02 LE2]+ERP[AP03 LE2]+ERP[AP04 LE2]+ERP[AP05 LE2]))</f>
        <v>3562</v>
      </c>
      <c r="J375" s="487">
        <f>'ERP_AP7 Macro Failed'!AL377</f>
        <v>60</v>
      </c>
      <c r="K375" t="str">
        <f t="shared" si="10"/>
        <v>Immaterial</v>
      </c>
      <c r="L375" t="str">
        <f t="shared" si="11"/>
        <v>No</v>
      </c>
    </row>
    <row r="376" spans="1:12">
      <c r="A376" t="str">
        <f>'ERP_AP7 Macro Failed'!A378</f>
        <v>L-ERP-313</v>
      </c>
      <c r="B376" t="str">
        <f>'ERP_AP7 Macro Failed'!D378</f>
        <v>Dougherty, Chris</v>
      </c>
      <c r="C376" t="str">
        <f>'ERP_AP7 Macro Failed'!E378</f>
        <v>Maguire, Karla</v>
      </c>
      <c r="D376" t="str">
        <f>'ERP_AP7 Macro Failed'!G378</f>
        <v>SOFTWARE</v>
      </c>
      <c r="E376" t="str">
        <f>'ERP_AP7 Macro Failed'!H378</f>
        <v>Microsoft Copilot Licenses</v>
      </c>
      <c r="F376">
        <f>'ERP_AP7 Macro Failed'!I378</f>
        <v>0</v>
      </c>
      <c r="G376" t="str">
        <f>'ERP_AP7 Macro Failed'!K378</f>
        <v>IT-FGS0300-SW-US-00</v>
      </c>
      <c r="H376" s="487" t="e" cm="1">
        <f t="array" ref="H376">SUMPRODUCT((ERP[UID]=A376)*(ERP[AP01]+ERP[AP02]+ERP[AP03]+ERP[AP04]+ERP[AP05]))</f>
        <v>#VALUE!</v>
      </c>
      <c r="I376" s="487" cm="1">
        <f t="array" ref="I376">SUMPRODUCT((ERP[UID]=A376)*(ERP[AP01 LE2]+ERP[AP02 LE2]+ERP[AP03 LE2]+ERP[AP04 LE2]+ERP[AP05 LE2]))</f>
        <v>2811.4300000000003</v>
      </c>
      <c r="J376" s="487">
        <f>'ERP_AP7 Macro Failed'!AL378</f>
        <v>-4276.5200000000004</v>
      </c>
      <c r="K376" t="str">
        <f t="shared" si="10"/>
        <v>Minor</v>
      </c>
      <c r="L376" t="str">
        <f t="shared" si="11"/>
        <v>No</v>
      </c>
    </row>
    <row r="377" spans="1:12">
      <c r="A377" t="str">
        <f>'ERP_AP7 Macro Failed'!A379</f>
        <v>L-ERP-356</v>
      </c>
      <c r="B377" t="str">
        <f>'ERP_AP7 Macro Failed'!D379</f>
        <v>Dougherty, Chris</v>
      </c>
      <c r="C377" t="str">
        <f>'ERP_AP7 Macro Failed'!E379</f>
        <v>McCormick, Pete</v>
      </c>
      <c r="D377" t="str">
        <f>'ERP_AP7 Macro Failed'!G379</f>
        <v>SOFTWARE</v>
      </c>
      <c r="E377" t="str">
        <f>'ERP_AP7 Macro Failed'!H379</f>
        <v>Microsoft Copilot Licenses</v>
      </c>
      <c r="F377">
        <f>'ERP_AP7 Macro Failed'!I379</f>
        <v>0</v>
      </c>
      <c r="G377" t="str">
        <f>'ERP_AP7 Macro Failed'!K379</f>
        <v>IT-FGS0300-SW-US-00</v>
      </c>
      <c r="H377" s="487" t="e" cm="1">
        <f t="array" ref="H377">SUMPRODUCT((ERP[UID]=A377)*(ERP[AP01]+ERP[AP02]+ERP[AP03]+ERP[AP04]+ERP[AP05]))</f>
        <v>#VALUE!</v>
      </c>
      <c r="I377" s="487" cm="1">
        <f t="array" ref="I377">SUMPRODUCT((ERP[UID]=A377)*(ERP[AP01 LE2]+ERP[AP02 LE2]+ERP[AP03 LE2]+ERP[AP04 LE2]+ERP[AP05 LE2]))</f>
        <v>777</v>
      </c>
      <c r="J377" s="487">
        <f>'ERP_AP7 Macro Failed'!AL379</f>
        <v>-96</v>
      </c>
      <c r="K377" t="str">
        <f t="shared" si="10"/>
        <v>Immaterial</v>
      </c>
      <c r="L377" t="str">
        <f t="shared" si="11"/>
        <v>No</v>
      </c>
    </row>
    <row r="378" spans="1:12">
      <c r="A378" t="str">
        <f>'ERP_AP7 Macro Failed'!A380</f>
        <v>L-ERP-409</v>
      </c>
      <c r="B378" t="str">
        <f>'ERP_AP7 Macro Failed'!D380</f>
        <v>McGettigan, David</v>
      </c>
      <c r="C378" t="str">
        <f>'ERP_AP7 Macro Failed'!E380</f>
        <v>McGettigan, David</v>
      </c>
      <c r="D378" t="str">
        <f>'ERP_AP7 Macro Failed'!G380</f>
        <v>MANAGED SERVICES</v>
      </c>
      <c r="E378" t="str">
        <f>'ERP_AP7 Macro Failed'!H380</f>
        <v>Desktop on Demand (VDS)</v>
      </c>
      <c r="F378">
        <f>'ERP_AP7 Macro Failed'!I380</f>
        <v>0</v>
      </c>
      <c r="G378" t="str">
        <f>'ERP_AP7 Macro Failed'!K380</f>
        <v>IT-FGS0301-OG-US-00</v>
      </c>
      <c r="H378" s="487" t="e" cm="1">
        <f t="array" ref="H378">SUMPRODUCT((ERP[UID]=A378)*(ERP[AP01]+ERP[AP02]+ERP[AP03]+ERP[AP04]+ERP[AP05]))</f>
        <v>#VALUE!</v>
      </c>
      <c r="I378" s="487" cm="1">
        <f t="array" ref="I378">SUMPRODUCT((ERP[UID]=A378)*(ERP[AP01 LE2]+ERP[AP02 LE2]+ERP[AP03 LE2]+ERP[AP04 LE2]+ERP[AP05 LE2]))</f>
        <v>882</v>
      </c>
      <c r="J378" s="487">
        <f>'ERP_AP7 Macro Failed'!AL380</f>
        <v>1630</v>
      </c>
      <c r="K378" t="str">
        <f t="shared" si="10"/>
        <v>Minor</v>
      </c>
      <c r="L378" t="str">
        <f t="shared" si="11"/>
        <v>No</v>
      </c>
    </row>
    <row r="379" spans="1:12">
      <c r="A379" t="str">
        <f>'ERP_AP7 Macro Failed'!A381</f>
        <v>L-ERP-075</v>
      </c>
      <c r="B379" t="str">
        <f>'ERP_AP7 Macro Failed'!D381</f>
        <v>Dougherty, Chris</v>
      </c>
      <c r="C379" t="str">
        <f>'ERP_AP7 Macro Failed'!E381</f>
        <v>Dougherty, Chris</v>
      </c>
      <c r="D379" t="str">
        <f>'ERP_AP7 Macro Failed'!G381</f>
        <v>MANAGED SERVICES</v>
      </c>
      <c r="E379" t="str">
        <f>'ERP_AP7 Macro Failed'!H381</f>
        <v>Desktop on Demand (VDS)</v>
      </c>
      <c r="F379">
        <f>'ERP_AP7 Macro Failed'!I381</f>
        <v>0</v>
      </c>
      <c r="G379" t="str">
        <f>'ERP_AP7 Macro Failed'!K381</f>
        <v>IT-FGS0301-OG-US-00</v>
      </c>
      <c r="H379" s="487" t="e" cm="1">
        <f t="array" ref="H379">SUMPRODUCT((ERP[UID]=A379)*(ERP[AP01]+ERP[AP02]+ERP[AP03]+ERP[AP04]+ERP[AP05]))</f>
        <v>#VALUE!</v>
      </c>
      <c r="I379" s="487" cm="1">
        <f t="array" ref="I379">SUMPRODUCT((ERP[UID]=A379)*(ERP[AP01 LE2]+ERP[AP02 LE2]+ERP[AP03 LE2]+ERP[AP04 LE2]+ERP[AP05 LE2]))</f>
        <v>71134</v>
      </c>
      <c r="J379" s="487">
        <f>'ERP_AP7 Macro Failed'!AL381</f>
        <v>25355</v>
      </c>
      <c r="K379" t="str">
        <f t="shared" si="10"/>
        <v>MATERIAL</v>
      </c>
      <c r="L379" t="str">
        <f t="shared" si="11"/>
        <v>YES</v>
      </c>
    </row>
    <row r="380" spans="1:12">
      <c r="A380" t="str">
        <f>'ERP_AP7 Macro Failed'!A382</f>
        <v>L-ERP-318</v>
      </c>
      <c r="B380" t="str">
        <f>'ERP_AP7 Macro Failed'!D382</f>
        <v>Dougherty, Chris</v>
      </c>
      <c r="C380" t="str">
        <f>'ERP_AP7 Macro Failed'!E382</f>
        <v>Maguire, Karla</v>
      </c>
      <c r="D380" t="str">
        <f>'ERP_AP7 Macro Failed'!G382</f>
        <v>MANAGED SERVICES</v>
      </c>
      <c r="E380" t="str">
        <f>'ERP_AP7 Macro Failed'!H382</f>
        <v>Desktop on Demand (VDS)</v>
      </c>
      <c r="F380">
        <f>'ERP_AP7 Macro Failed'!I382</f>
        <v>0</v>
      </c>
      <c r="G380" t="str">
        <f>'ERP_AP7 Macro Failed'!K382</f>
        <v>IT-FGS0301-OG-US-00</v>
      </c>
      <c r="H380" s="487" t="e" cm="1">
        <f t="array" ref="H380">SUMPRODUCT((ERP[UID]=A380)*(ERP[AP01]+ERP[AP02]+ERP[AP03]+ERP[AP04]+ERP[AP05]))</f>
        <v>#VALUE!</v>
      </c>
      <c r="I380" s="487" cm="1">
        <f t="array" ref="I380">SUMPRODUCT((ERP[UID]=A380)*(ERP[AP01 LE2]+ERP[AP02 LE2]+ERP[AP03 LE2]+ERP[AP04 LE2]+ERP[AP05 LE2]))</f>
        <v>8959.34</v>
      </c>
      <c r="J380" s="487">
        <f>'ERP_AP7 Macro Failed'!AL382</f>
        <v>5604.75</v>
      </c>
      <c r="K380" t="str">
        <f t="shared" si="10"/>
        <v>Minor</v>
      </c>
      <c r="L380" t="str">
        <f t="shared" si="11"/>
        <v>No</v>
      </c>
    </row>
    <row r="381" spans="1:12">
      <c r="A381" t="str">
        <f>'ERP_AP7 Macro Failed'!A383</f>
        <v>L-ERP-483</v>
      </c>
      <c r="B381" t="str">
        <f>'ERP_AP7 Macro Failed'!D383</f>
        <v>Robertson, Jerome</v>
      </c>
      <c r="C381" t="str">
        <f>'ERP_AP7 Macro Failed'!E383</f>
        <v>Robertson, Jerome</v>
      </c>
      <c r="D381" t="str">
        <f>'ERP_AP7 Macro Failed'!G383</f>
        <v>MANAGED SERVICES</v>
      </c>
      <c r="E381" t="str">
        <f>'ERP_AP7 Macro Failed'!H383</f>
        <v>Desktop on Demand (VDS)</v>
      </c>
      <c r="F381">
        <f>'ERP_AP7 Macro Failed'!I383</f>
        <v>0</v>
      </c>
      <c r="G381" t="str">
        <f>'ERP_AP7 Macro Failed'!K383</f>
        <v>IT-FGS0301-OG-US-00</v>
      </c>
      <c r="H381" s="487" t="e" cm="1">
        <f t="array" ref="H381">SUMPRODUCT((ERP[UID]=A381)*(ERP[AP01]+ERP[AP02]+ERP[AP03]+ERP[AP04]+ERP[AP05]))</f>
        <v>#VALUE!</v>
      </c>
      <c r="I381" s="487" cm="1">
        <f t="array" ref="I381">SUMPRODUCT((ERP[UID]=A381)*(ERP[AP01 LE2]+ERP[AP02 LE2]+ERP[AP03 LE2]+ERP[AP04 LE2]+ERP[AP05 LE2]))</f>
        <v>5971</v>
      </c>
      <c r="J381" s="487">
        <f>'ERP_AP7 Macro Failed'!AL383</f>
        <v>4260</v>
      </c>
      <c r="K381" t="str">
        <f t="shared" si="10"/>
        <v>Minor</v>
      </c>
      <c r="L381" t="str">
        <f t="shared" si="11"/>
        <v>No</v>
      </c>
    </row>
    <row r="382" spans="1:12">
      <c r="A382" t="str">
        <f>'ERP_AP7 Macro Failed'!A384</f>
        <v>L-ERP-360</v>
      </c>
      <c r="B382" t="str">
        <f>'ERP_AP7 Macro Failed'!D384</f>
        <v>Dougherty, Chris</v>
      </c>
      <c r="C382" t="str">
        <f>'ERP_AP7 Macro Failed'!E384</f>
        <v>McCormick, Pete</v>
      </c>
      <c r="D382" t="str">
        <f>'ERP_AP7 Macro Failed'!G384</f>
        <v>MANAGED SERVICES</v>
      </c>
      <c r="E382" t="str">
        <f>'ERP_AP7 Macro Failed'!H384</f>
        <v>Desktop on Demand (VDS)</v>
      </c>
      <c r="F382">
        <f>'ERP_AP7 Macro Failed'!I384</f>
        <v>0</v>
      </c>
      <c r="G382" t="str">
        <f>'ERP_AP7 Macro Failed'!K384</f>
        <v>IT-FGS0301-OG-US-00</v>
      </c>
      <c r="H382" s="487" t="e" cm="1">
        <f t="array" ref="H382">SUMPRODUCT((ERP[UID]=A382)*(ERP[AP01]+ERP[AP02]+ERP[AP03]+ERP[AP04]+ERP[AP05]))</f>
        <v>#VALUE!</v>
      </c>
      <c r="I382" s="487" cm="1">
        <f t="array" ref="I382">SUMPRODUCT((ERP[UID]=A382)*(ERP[AP01 LE2]+ERP[AP02 LE2]+ERP[AP03 LE2]+ERP[AP04 LE2]+ERP[AP05 LE2]))</f>
        <v>11863</v>
      </c>
      <c r="J382" s="487">
        <f>'ERP_AP7 Macro Failed'!AL384</f>
        <v>-719</v>
      </c>
      <c r="K382" t="str">
        <f t="shared" si="10"/>
        <v>Immaterial</v>
      </c>
      <c r="L382" t="str">
        <f t="shared" si="11"/>
        <v>No</v>
      </c>
    </row>
    <row r="383" spans="1:12">
      <c r="A383" t="str">
        <f>'ERP_AP7 Macro Failed'!A385</f>
        <v>L-ERP-552</v>
      </c>
      <c r="B383" t="str">
        <f>'ERP_AP7 Macro Failed'!D385</f>
        <v>Hase, Raj</v>
      </c>
      <c r="C383" t="str">
        <f>'ERP_AP7 Macro Failed'!E385</f>
        <v>Vaidya, Sachin</v>
      </c>
      <c r="D383" t="str">
        <f>'ERP_AP7 Macro Failed'!G385</f>
        <v>MANAGED SERVICES</v>
      </c>
      <c r="E383" t="str">
        <f>'ERP_AP7 Macro Failed'!H385</f>
        <v>Desktop on Demand (VDS)</v>
      </c>
      <c r="F383">
        <f>'ERP_AP7 Macro Failed'!I385</f>
        <v>0</v>
      </c>
      <c r="G383" t="str">
        <f>'ERP_AP7 Macro Failed'!K385</f>
        <v>IT-FGS0301-OG-US-00</v>
      </c>
      <c r="H383" s="487" t="e" cm="1">
        <f t="array" ref="H383">SUMPRODUCT((ERP[UID]=A383)*(ERP[AP01]+ERP[AP02]+ERP[AP03]+ERP[AP04]+ERP[AP05]))</f>
        <v>#VALUE!</v>
      </c>
      <c r="I383" s="487" cm="1">
        <f t="array" ref="I383">SUMPRODUCT((ERP[UID]=A383)*(ERP[AP01 LE2]+ERP[AP02 LE2]+ERP[AP03 LE2]+ERP[AP04 LE2]+ERP[AP05 LE2]))</f>
        <v>7095</v>
      </c>
      <c r="J383" s="487">
        <f>'ERP_AP7 Macro Failed'!AL385</f>
        <v>-1095</v>
      </c>
      <c r="K383" t="str">
        <f t="shared" si="10"/>
        <v>Minor</v>
      </c>
      <c r="L383" t="str">
        <f t="shared" si="11"/>
        <v>No</v>
      </c>
    </row>
    <row r="384" spans="1:12">
      <c r="A384" t="str">
        <f>'ERP_AP7 Macro Failed'!A386</f>
        <v>L-ERP-573</v>
      </c>
      <c r="B384" t="str">
        <f>'ERP_AP7 Macro Failed'!D386</f>
        <v>Hase, Raj</v>
      </c>
      <c r="C384" t="str">
        <f>'ERP_AP7 Macro Failed'!E386</f>
        <v>Yeluri, Durga</v>
      </c>
      <c r="D384" t="str">
        <f>'ERP_AP7 Macro Failed'!G386</f>
        <v>MANAGED SERVICES</v>
      </c>
      <c r="E384" t="str">
        <f>'ERP_AP7 Macro Failed'!H386</f>
        <v>Desktop on Demand (VDS)</v>
      </c>
      <c r="F384">
        <f>'ERP_AP7 Macro Failed'!I386</f>
        <v>0</v>
      </c>
      <c r="G384" t="str">
        <f>'ERP_AP7 Macro Failed'!K386</f>
        <v>IT-FGS0301-OG-US-00</v>
      </c>
      <c r="H384" s="487" t="e" cm="1">
        <f t="array" ref="H384">SUMPRODUCT((ERP[UID]=A384)*(ERP[AP01]+ERP[AP02]+ERP[AP03]+ERP[AP04]+ERP[AP05]))</f>
        <v>#VALUE!</v>
      </c>
      <c r="I384" s="487" cm="1">
        <f t="array" ref="I384">SUMPRODUCT((ERP[UID]=A384)*(ERP[AP01 LE2]+ERP[AP02 LE2]+ERP[AP03 LE2]+ERP[AP04 LE2]+ERP[AP05 LE2]))</f>
        <v>7379</v>
      </c>
      <c r="J384" s="487">
        <f>'ERP_AP7 Macro Failed'!AL386</f>
        <v>-1959</v>
      </c>
      <c r="K384" t="str">
        <f t="shared" si="10"/>
        <v>Minor</v>
      </c>
      <c r="L384" t="str">
        <f t="shared" si="11"/>
        <v>No</v>
      </c>
    </row>
    <row r="385" spans="1:12">
      <c r="A385" t="str">
        <f>'ERP_AP7 Macro Failed'!A387</f>
        <v>ERP-043</v>
      </c>
      <c r="B385" t="str">
        <f>'ERP_AP7 Macro Failed'!D387</f>
        <v>Hase, Raj</v>
      </c>
      <c r="C385" t="str">
        <f>'ERP_AP7 Macro Failed'!E387</f>
        <v>Jajodia, Amit</v>
      </c>
      <c r="D385" t="str">
        <f>'ERP_AP7 Macro Failed'!G387</f>
        <v>SOFTWARE</v>
      </c>
      <c r="E385" t="str">
        <f>'ERP_AP7 Macro Failed'!H387</f>
        <v>DIGITAL-M365</v>
      </c>
      <c r="F385">
        <f>'ERP_AP7 Macro Failed'!I387</f>
        <v>0</v>
      </c>
      <c r="G385" t="str">
        <f>'ERP_AP7 Macro Failed'!K387</f>
        <v>IT-FGS0302-SW-US-00</v>
      </c>
      <c r="H385" s="487" t="e" cm="1">
        <f t="array" ref="H385">SUMPRODUCT((ERP[UID]=A385)*(ERP[AP01]+ERP[AP02]+ERP[AP03]+ERP[AP04]+ERP[AP05]))</f>
        <v>#VALUE!</v>
      </c>
      <c r="I385" s="487" cm="1">
        <f t="array" ref="I385">SUMPRODUCT((ERP[UID]=A385)*(ERP[AP01 LE2]+ERP[AP02 LE2]+ERP[AP03 LE2]+ERP[AP04 LE2]+ERP[AP05 LE2]))</f>
        <v>0</v>
      </c>
      <c r="J385" s="487">
        <f>'ERP_AP7 Macro Failed'!AL387</f>
        <v>417.44</v>
      </c>
      <c r="K385" t="str">
        <f t="shared" si="10"/>
        <v>Immaterial</v>
      </c>
      <c r="L385" t="str">
        <f t="shared" si="11"/>
        <v>No</v>
      </c>
    </row>
    <row r="386" spans="1:12">
      <c r="A386" t="str">
        <f>'ERP_AP7 Macro Failed'!A388</f>
        <v>L-ERP-015</v>
      </c>
      <c r="B386" t="str">
        <f>'ERP_AP7 Macro Failed'!D388</f>
        <v>Hase, Raj</v>
      </c>
      <c r="C386" t="str">
        <f>'ERP_AP7 Macro Failed'!E388</f>
        <v>DeHart, Lynn</v>
      </c>
      <c r="D386" t="str">
        <f>'ERP_AP7 Macro Failed'!G388</f>
        <v>SOFTWARE</v>
      </c>
      <c r="E386" t="str">
        <f>'ERP_AP7 Macro Failed'!H388</f>
        <v>Microsoft O365/M365 Licenses</v>
      </c>
      <c r="F386">
        <f>'ERP_AP7 Macro Failed'!I388</f>
        <v>0</v>
      </c>
      <c r="G386" t="str">
        <f>'ERP_AP7 Macro Failed'!K388</f>
        <v>IT-FGS0302-SW-US-00</v>
      </c>
      <c r="H386" s="487" t="e" cm="1">
        <f t="array" ref="H386">SUMPRODUCT((ERP[UID]=A386)*(ERP[AP01]+ERP[AP02]+ERP[AP03]+ERP[AP04]+ERP[AP05]))</f>
        <v>#VALUE!</v>
      </c>
      <c r="I386" s="487" cm="1">
        <f t="array" ref="I386">SUMPRODUCT((ERP[UID]=A386)*(ERP[AP01 LE2]+ERP[AP02 LE2]+ERP[AP03 LE2]+ERP[AP04 LE2]+ERP[AP05 LE2]))</f>
        <v>25414.39</v>
      </c>
      <c r="J386" s="487">
        <f>'ERP_AP7 Macro Failed'!AL388</f>
        <v>32376</v>
      </c>
      <c r="K386" t="str">
        <f t="shared" si="10"/>
        <v>MATERIAL</v>
      </c>
      <c r="L386" t="str">
        <f t="shared" si="11"/>
        <v>YES</v>
      </c>
    </row>
    <row r="387" spans="1:12">
      <c r="A387" t="str">
        <f>'ERP_AP7 Macro Failed'!A389</f>
        <v>L-ERP-438</v>
      </c>
      <c r="B387" t="str">
        <f>'ERP_AP7 Macro Failed'!D389</f>
        <v>Dougherty, Chris</v>
      </c>
      <c r="C387" t="str">
        <f>'ERP_AP7 Macro Failed'!E389</f>
        <v>Meadows, Leslie</v>
      </c>
      <c r="D387" t="str">
        <f>'ERP_AP7 Macro Failed'!G389</f>
        <v>MANAGED SERVICES</v>
      </c>
      <c r="E387" t="str">
        <f>'ERP_AP7 Macro Failed'!H389</f>
        <v>Desktop on Demand (VDS)</v>
      </c>
      <c r="F387">
        <f>'ERP_AP7 Macro Failed'!I389</f>
        <v>0</v>
      </c>
      <c r="G387" t="str">
        <f>'ERP_AP7 Macro Failed'!K389</f>
        <v>IT-FGS0301-OG-US-00</v>
      </c>
      <c r="H387" s="487" t="e" cm="1">
        <f t="array" ref="H387">SUMPRODUCT((ERP[UID]=A387)*(ERP[AP01]+ERP[AP02]+ERP[AP03]+ERP[AP04]+ERP[AP05]))</f>
        <v>#VALUE!</v>
      </c>
      <c r="I387" s="487" cm="1">
        <f t="array" ref="I387">SUMPRODUCT((ERP[UID]=A387)*(ERP[AP01 LE2]+ERP[AP02 LE2]+ERP[AP03 LE2]+ERP[AP04 LE2]+ERP[AP05 LE2]))</f>
        <v>3535</v>
      </c>
      <c r="J387" s="487">
        <f>'ERP_AP7 Macro Failed'!AL389</f>
        <v>0</v>
      </c>
      <c r="K387" t="str">
        <f t="shared" si="10"/>
        <v>Immaterial</v>
      </c>
      <c r="L387" t="str">
        <f t="shared" si="11"/>
        <v>No</v>
      </c>
    </row>
    <row r="388" spans="1:12">
      <c r="A388" t="str">
        <f>'ERP_AP7 Macro Failed'!A390</f>
        <v>L-ERP-134</v>
      </c>
      <c r="B388" t="str">
        <f>'ERP_AP7 Macro Failed'!D390</f>
        <v>Hase, Raj</v>
      </c>
      <c r="C388" t="str">
        <f>'ERP_AP7 Macro Failed'!E390</f>
        <v>Ganesan, Srinivasan</v>
      </c>
      <c r="D388" t="str">
        <f>'ERP_AP7 Macro Failed'!G390</f>
        <v>SOFTWARE</v>
      </c>
      <c r="E388" t="str">
        <f>'ERP_AP7 Macro Failed'!H390</f>
        <v>Microsoft O365/M365 Licenses</v>
      </c>
      <c r="F388">
        <f>'ERP_AP7 Macro Failed'!I390</f>
        <v>0</v>
      </c>
      <c r="G388" t="str">
        <f>'ERP_AP7 Macro Failed'!K390</f>
        <v>IT-FGS0302-SW-US-00</v>
      </c>
      <c r="H388" s="487" t="e" cm="1">
        <f t="array" ref="H388">SUMPRODUCT((ERP[UID]=A388)*(ERP[AP01]+ERP[AP02]+ERP[AP03]+ERP[AP04]+ERP[AP05]))</f>
        <v>#VALUE!</v>
      </c>
      <c r="I388" s="487" cm="1">
        <f t="array" ref="I388">SUMPRODUCT((ERP[UID]=A388)*(ERP[AP01 LE2]+ERP[AP02 LE2]+ERP[AP03 LE2]+ERP[AP04 LE2]+ERP[AP05 LE2]))</f>
        <v>1431</v>
      </c>
      <c r="J388" s="487">
        <f>'ERP_AP7 Macro Failed'!AL390</f>
        <v>-1069</v>
      </c>
      <c r="K388" t="str">
        <f t="shared" si="10"/>
        <v>Minor</v>
      </c>
      <c r="L388" t="str">
        <f t="shared" si="11"/>
        <v>No</v>
      </c>
    </row>
    <row r="389" spans="1:12">
      <c r="A389" t="str">
        <f>'ERP_AP7 Macro Failed'!A391</f>
        <v>L-ERP-223</v>
      </c>
      <c r="B389" t="str">
        <f>'ERP_AP7 Macro Failed'!D391</f>
        <v>Hase, Raj</v>
      </c>
      <c r="C389" t="str">
        <f>'ERP_AP7 Macro Failed'!E391</f>
        <v>Hovanyetz, Mike</v>
      </c>
      <c r="D389" t="str">
        <f>'ERP_AP7 Macro Failed'!G391</f>
        <v>SOFTWARE</v>
      </c>
      <c r="E389" t="str">
        <f>'ERP_AP7 Macro Failed'!H391</f>
        <v>Microsoft O365/M365 Licenses</v>
      </c>
      <c r="F389">
        <f>'ERP_AP7 Macro Failed'!I391</f>
        <v>0</v>
      </c>
      <c r="G389" t="str">
        <f>'ERP_AP7 Macro Failed'!K391</f>
        <v>IT-FGS0302-SW-US-00</v>
      </c>
      <c r="H389" s="487" t="e" cm="1">
        <f t="array" ref="H389">SUMPRODUCT((ERP[UID]=A389)*(ERP[AP01]+ERP[AP02]+ERP[AP03]+ERP[AP04]+ERP[AP05]))</f>
        <v>#VALUE!</v>
      </c>
      <c r="I389" s="487" cm="1">
        <f t="array" ref="I389">SUMPRODUCT((ERP[UID]=A389)*(ERP[AP01 LE2]+ERP[AP02 LE2]+ERP[AP03 LE2]+ERP[AP04 LE2]+ERP[AP05 LE2]))</f>
        <v>370</v>
      </c>
      <c r="J389" s="487">
        <f>'ERP_AP7 Macro Failed'!AL391</f>
        <v>-370</v>
      </c>
      <c r="K389" t="str">
        <f t="shared" si="10"/>
        <v>Immaterial</v>
      </c>
      <c r="L389" t="str">
        <f t="shared" si="11"/>
        <v>No</v>
      </c>
    </row>
    <row r="390" spans="1:12">
      <c r="A390" t="str">
        <f>'ERP_AP7 Macro Failed'!A392</f>
        <v>L-ERP-472</v>
      </c>
      <c r="B390" t="str">
        <f>'ERP_AP7 Macro Failed'!D392</f>
        <v>Dougherty, Chris</v>
      </c>
      <c r="C390" t="str">
        <f>'ERP_AP7 Macro Failed'!E392</f>
        <v>Patel, Nikunj Rohitkumar</v>
      </c>
      <c r="D390" t="str">
        <f>'ERP_AP7 Macro Failed'!G392</f>
        <v>MANAGED SERVICES</v>
      </c>
      <c r="E390" t="str">
        <f>'ERP_AP7 Macro Failed'!H392</f>
        <v>Desktop on Demand (VDS)</v>
      </c>
      <c r="F390">
        <f>'ERP_AP7 Macro Failed'!I392</f>
        <v>0</v>
      </c>
      <c r="G390" t="str">
        <f>'ERP_AP7 Macro Failed'!K392</f>
        <v>IT-FGS0301-OG-US-00</v>
      </c>
      <c r="H390" s="487" t="e" cm="1">
        <f t="array" ref="H390">SUMPRODUCT((ERP[UID]=A390)*(ERP[AP01]+ERP[AP02]+ERP[AP03]+ERP[AP04]+ERP[AP05]))</f>
        <v>#VALUE!</v>
      </c>
      <c r="I390" s="487" cm="1">
        <f t="array" ref="I390">SUMPRODUCT((ERP[UID]=A390)*(ERP[AP01 LE2]+ERP[AP02 LE2]+ERP[AP03 LE2]+ERP[AP04 LE2]+ERP[AP05 LE2]))</f>
        <v>1245</v>
      </c>
      <c r="J390" s="487">
        <f>'ERP_AP7 Macro Failed'!AL392</f>
        <v>0</v>
      </c>
      <c r="K390" t="str">
        <f t="shared" ref="K390:K453" si="12">IF(ABS(J390)&gt;=10000,"MATERIAL",IF(ABS(J390)&gt;=1000,"Minor","Immaterial"))</f>
        <v>Immaterial</v>
      </c>
      <c r="L390" t="str">
        <f t="shared" ref="L390:L453" si="13">IF(ABS(J390)&gt;=10000,"YES","No")</f>
        <v>No</v>
      </c>
    </row>
    <row r="391" spans="1:12">
      <c r="A391" t="str">
        <f>'ERP_AP7 Macro Failed'!A393</f>
        <v>L-ERP-527</v>
      </c>
      <c r="B391" t="str">
        <f>'ERP_AP7 Macro Failed'!D393</f>
        <v>Dougherty, Chris</v>
      </c>
      <c r="C391" t="str">
        <f>'ERP_AP7 Macro Failed'!E393</f>
        <v>Tamavada, Ram</v>
      </c>
      <c r="D391" t="str">
        <f>'ERP_AP7 Macro Failed'!G393</f>
        <v>MANAGED SERVICES</v>
      </c>
      <c r="E391" t="str">
        <f>'ERP_AP7 Macro Failed'!H393</f>
        <v>Desktop on Demand (VDS)</v>
      </c>
      <c r="F391">
        <f>'ERP_AP7 Macro Failed'!I393</f>
        <v>0</v>
      </c>
      <c r="G391" t="str">
        <f>'ERP_AP7 Macro Failed'!K393</f>
        <v>IT-FGS0301-OG-US-00</v>
      </c>
      <c r="H391" s="487" t="e" cm="1">
        <f t="array" ref="H391">SUMPRODUCT((ERP[UID]=A391)*(ERP[AP01]+ERP[AP02]+ERP[AP03]+ERP[AP04]+ERP[AP05]))</f>
        <v>#VALUE!</v>
      </c>
      <c r="I391" s="487" cm="1">
        <f t="array" ref="I391">SUMPRODUCT((ERP[UID]=A391)*(ERP[AP01 LE2]+ERP[AP02 LE2]+ERP[AP03 LE2]+ERP[AP04 LE2]+ERP[AP05 LE2]))</f>
        <v>44396</v>
      </c>
      <c r="J391" s="487">
        <f>'ERP_AP7 Macro Failed'!AL393</f>
        <v>-13130</v>
      </c>
      <c r="K391" t="str">
        <f t="shared" si="12"/>
        <v>MATERIAL</v>
      </c>
      <c r="L391" t="str">
        <f t="shared" si="13"/>
        <v>YES</v>
      </c>
    </row>
    <row r="392" spans="1:12">
      <c r="A392" t="str">
        <f>'ERP_AP7 Macro Failed'!A394</f>
        <v>L-ERP-413</v>
      </c>
      <c r="B392" t="str">
        <f>'ERP_AP7 Macro Failed'!D394</f>
        <v>McGettigan, David</v>
      </c>
      <c r="C392" t="str">
        <f>'ERP_AP7 Macro Failed'!E394</f>
        <v>McGettigan, David</v>
      </c>
      <c r="D392" t="str">
        <f>'ERP_AP7 Macro Failed'!G394</f>
        <v>SOFTWARE</v>
      </c>
      <c r="E392" t="str">
        <f>'ERP_AP7 Macro Failed'!H394</f>
        <v>Microsoft O365/M365 Licenses</v>
      </c>
      <c r="F392">
        <f>'ERP_AP7 Macro Failed'!I394</f>
        <v>0</v>
      </c>
      <c r="G392" t="str">
        <f>'ERP_AP7 Macro Failed'!K394</f>
        <v>IT-FGS0302-SW-US-00</v>
      </c>
      <c r="H392" s="487" t="e" cm="1">
        <f t="array" ref="H392">SUMPRODUCT((ERP[UID]=A392)*(ERP[AP01]+ERP[AP02]+ERP[AP03]+ERP[AP04]+ERP[AP05]))</f>
        <v>#VALUE!</v>
      </c>
      <c r="I392" s="487" cm="1">
        <f t="array" ref="I392">SUMPRODUCT((ERP[UID]=A392)*(ERP[AP01 LE2]+ERP[AP02 LE2]+ERP[AP03 LE2]+ERP[AP04 LE2]+ERP[AP05 LE2]))</f>
        <v>2155</v>
      </c>
      <c r="J392" s="487">
        <f>'ERP_AP7 Macro Failed'!AL394</f>
        <v>0</v>
      </c>
      <c r="K392" t="str">
        <f t="shared" si="12"/>
        <v>Immaterial</v>
      </c>
      <c r="L392" t="str">
        <f t="shared" si="13"/>
        <v>No</v>
      </c>
    </row>
    <row r="393" spans="1:12">
      <c r="A393" t="str">
        <f>'ERP_AP7 Macro Failed'!A395</f>
        <v>L-ERP-484</v>
      </c>
      <c r="B393" t="str">
        <f>'ERP_AP7 Macro Failed'!D395</f>
        <v>Robertson, Jerome</v>
      </c>
      <c r="C393" t="str">
        <f>'ERP_AP7 Macro Failed'!E395</f>
        <v>Robertson, Jerome</v>
      </c>
      <c r="D393" t="str">
        <f>'ERP_AP7 Macro Failed'!G395</f>
        <v>SOFTWARE</v>
      </c>
      <c r="E393" t="str">
        <f>'ERP_AP7 Macro Failed'!H395</f>
        <v>Microsoft O365/M365 Licenses</v>
      </c>
      <c r="F393">
        <f>'ERP_AP7 Macro Failed'!I395</f>
        <v>0</v>
      </c>
      <c r="G393" t="str">
        <f>'ERP_AP7 Macro Failed'!K395</f>
        <v>IT-FGS0302-SW-US-00</v>
      </c>
      <c r="H393" s="487" t="e" cm="1">
        <f t="array" ref="H393">SUMPRODUCT((ERP[UID]=A393)*(ERP[AP01]+ERP[AP02]+ERP[AP03]+ERP[AP04]+ERP[AP05]))</f>
        <v>#VALUE!</v>
      </c>
      <c r="I393" s="487" cm="1">
        <f t="array" ref="I393">SUMPRODUCT((ERP[UID]=A393)*(ERP[AP01 LE2]+ERP[AP02 LE2]+ERP[AP03 LE2]+ERP[AP04 LE2]+ERP[AP05 LE2]))</f>
        <v>5949.7199999999993</v>
      </c>
      <c r="J393" s="487">
        <f>'ERP_AP7 Macro Failed'!AL395</f>
        <v>1030</v>
      </c>
      <c r="K393" t="str">
        <f t="shared" si="12"/>
        <v>Minor</v>
      </c>
      <c r="L393" t="str">
        <f t="shared" si="13"/>
        <v>No</v>
      </c>
    </row>
    <row r="394" spans="1:12">
      <c r="A394" t="str">
        <f>'ERP_AP7 Macro Failed'!A396</f>
        <v>L-ERP-079</v>
      </c>
      <c r="B394" t="str">
        <f>'ERP_AP7 Macro Failed'!D396</f>
        <v>Dougherty, Chris</v>
      </c>
      <c r="C394" t="str">
        <f>'ERP_AP7 Macro Failed'!E396</f>
        <v>Dougherty, Chris</v>
      </c>
      <c r="D394" t="str">
        <f>'ERP_AP7 Macro Failed'!G396</f>
        <v>SOFTWARE</v>
      </c>
      <c r="E394" t="str">
        <f>'ERP_AP7 Macro Failed'!H396</f>
        <v>Microsoft O365/M365 Licenses</v>
      </c>
      <c r="F394">
        <f>'ERP_AP7 Macro Failed'!I396</f>
        <v>0</v>
      </c>
      <c r="G394" t="str">
        <f>'ERP_AP7 Macro Failed'!K396</f>
        <v>IT-FGS0302-SW-US-00</v>
      </c>
      <c r="H394" s="487" t="e" cm="1">
        <f t="array" ref="H394">SUMPRODUCT((ERP[UID]=A394)*(ERP[AP01]+ERP[AP02]+ERP[AP03]+ERP[AP04]+ERP[AP05]))</f>
        <v>#VALUE!</v>
      </c>
      <c r="I394" s="487" cm="1">
        <f t="array" ref="I394">SUMPRODUCT((ERP[UID]=A394)*(ERP[AP01 LE2]+ERP[AP02 LE2]+ERP[AP03 LE2]+ERP[AP04 LE2]+ERP[AP05 LE2]))</f>
        <v>59308</v>
      </c>
      <c r="J394" s="487">
        <f>'ERP_AP7 Macro Failed'!AL396</f>
        <v>-6210</v>
      </c>
      <c r="K394" t="str">
        <f t="shared" si="12"/>
        <v>Minor</v>
      </c>
      <c r="L394" t="str">
        <f t="shared" si="13"/>
        <v>No</v>
      </c>
    </row>
    <row r="395" spans="1:12">
      <c r="A395" t="str">
        <f>'ERP_AP7 Macro Failed'!A397</f>
        <v>L-ERP-320</v>
      </c>
      <c r="B395" t="str">
        <f>'ERP_AP7 Macro Failed'!D397</f>
        <v>Dougherty, Chris</v>
      </c>
      <c r="C395" t="str">
        <f>'ERP_AP7 Macro Failed'!E397</f>
        <v>Maguire, Karla</v>
      </c>
      <c r="D395" t="str">
        <f>'ERP_AP7 Macro Failed'!G397</f>
        <v>SOFTWARE</v>
      </c>
      <c r="E395" t="str">
        <f>'ERP_AP7 Macro Failed'!H397</f>
        <v>Microsoft O365/M365 Licenses</v>
      </c>
      <c r="F395">
        <f>'ERP_AP7 Macro Failed'!I397</f>
        <v>0</v>
      </c>
      <c r="G395" t="str">
        <f>'ERP_AP7 Macro Failed'!K397</f>
        <v>IT-FGS0302-SW-US-00</v>
      </c>
      <c r="H395" s="487" t="e" cm="1">
        <f t="array" ref="H395">SUMPRODUCT((ERP[UID]=A395)*(ERP[AP01]+ERP[AP02]+ERP[AP03]+ERP[AP04]+ERP[AP05]))</f>
        <v>#VALUE!</v>
      </c>
      <c r="I395" s="487" cm="1">
        <f t="array" ref="I395">SUMPRODUCT((ERP[UID]=A395)*(ERP[AP01 LE2]+ERP[AP02 LE2]+ERP[AP03 LE2]+ERP[AP04 LE2]+ERP[AP05 LE2]))</f>
        <v>6503.74</v>
      </c>
      <c r="J395" s="487">
        <f>'ERP_AP7 Macro Failed'!AL397</f>
        <v>5200.34</v>
      </c>
      <c r="K395" t="str">
        <f t="shared" si="12"/>
        <v>Minor</v>
      </c>
      <c r="L395" t="str">
        <f t="shared" si="13"/>
        <v>No</v>
      </c>
    </row>
    <row r="396" spans="1:12">
      <c r="A396" t="str">
        <f>'ERP_AP7 Macro Failed'!A398</f>
        <v>L-ERP-364</v>
      </c>
      <c r="B396" t="str">
        <f>'ERP_AP7 Macro Failed'!D398</f>
        <v>Dougherty, Chris</v>
      </c>
      <c r="C396" t="str">
        <f>'ERP_AP7 Macro Failed'!E398</f>
        <v>McCormick, Pete</v>
      </c>
      <c r="D396" t="str">
        <f>'ERP_AP7 Macro Failed'!G398</f>
        <v>SOFTWARE</v>
      </c>
      <c r="E396" t="str">
        <f>'ERP_AP7 Macro Failed'!H398</f>
        <v>Microsoft O365/M365 Licenses</v>
      </c>
      <c r="F396">
        <f>'ERP_AP7 Macro Failed'!I398</f>
        <v>0</v>
      </c>
      <c r="G396" t="str">
        <f>'ERP_AP7 Macro Failed'!K398</f>
        <v>IT-FGS0302-SW-US-00</v>
      </c>
      <c r="H396" s="487" t="e" cm="1">
        <f t="array" ref="H396">SUMPRODUCT((ERP[UID]=A396)*(ERP[AP01]+ERP[AP02]+ERP[AP03]+ERP[AP04]+ERP[AP05]))</f>
        <v>#VALUE!</v>
      </c>
      <c r="I396" s="487" cm="1">
        <f t="array" ref="I396">SUMPRODUCT((ERP[UID]=A396)*(ERP[AP01 LE2]+ERP[AP02 LE2]+ERP[AP03 LE2]+ERP[AP04 LE2]+ERP[AP05 LE2]))</f>
        <v>370</v>
      </c>
      <c r="J396" s="487">
        <f>'ERP_AP7 Macro Failed'!AL398</f>
        <v>-370</v>
      </c>
      <c r="K396" t="str">
        <f t="shared" si="12"/>
        <v>Immaterial</v>
      </c>
      <c r="L396" t="str">
        <f t="shared" si="13"/>
        <v>No</v>
      </c>
    </row>
    <row r="397" spans="1:12">
      <c r="A397" t="str">
        <f>'ERP_AP7 Macro Failed'!A399</f>
        <v>L-ERP-540</v>
      </c>
      <c r="B397" t="str">
        <f>'ERP_AP7 Macro Failed'!D399</f>
        <v>Dougherty, Chris</v>
      </c>
      <c r="C397" t="str">
        <f>'ERP_AP7 Macro Failed'!E399</f>
        <v>Tamavada, Ram</v>
      </c>
      <c r="D397" t="str">
        <f>'ERP_AP7 Macro Failed'!G399</f>
        <v>SOFTWARE</v>
      </c>
      <c r="E397" t="str">
        <f>'ERP_AP7 Macro Failed'!H399</f>
        <v>Microsoft O365/M365 Licenses</v>
      </c>
      <c r="F397">
        <f>'ERP_AP7 Macro Failed'!I399</f>
        <v>0</v>
      </c>
      <c r="G397" t="str">
        <f>'ERP_AP7 Macro Failed'!K399</f>
        <v>IT-FGS0302-SW-US-00</v>
      </c>
      <c r="H397" s="487" t="e" cm="1">
        <f t="array" ref="H397">SUMPRODUCT((ERP[UID]=A397)*(ERP[AP01]+ERP[AP02]+ERP[AP03]+ERP[AP04]+ERP[AP05]))</f>
        <v>#VALUE!</v>
      </c>
      <c r="I397" s="487" cm="1">
        <f t="array" ref="I397">SUMPRODUCT((ERP[UID]=A397)*(ERP[AP01 LE2]+ERP[AP02 LE2]+ERP[AP03 LE2]+ERP[AP04 LE2]+ERP[AP05 LE2]))</f>
        <v>1293</v>
      </c>
      <c r="J397" s="487">
        <f>'ERP_AP7 Macro Failed'!AL399</f>
        <v>431</v>
      </c>
      <c r="K397" t="str">
        <f t="shared" si="12"/>
        <v>Immaterial</v>
      </c>
      <c r="L397" t="str">
        <f t="shared" si="13"/>
        <v>No</v>
      </c>
    </row>
    <row r="398" spans="1:12">
      <c r="A398" t="str">
        <f>'ERP_AP7 Macro Failed'!A400</f>
        <v>N-ERP-586</v>
      </c>
      <c r="B398" t="str">
        <f>'ERP_AP7 Macro Failed'!D400</f>
        <v>Dougherty, Chris</v>
      </c>
      <c r="C398" t="str">
        <f>'ERP_AP7 Macro Failed'!E400</f>
        <v>McCormick, Pete</v>
      </c>
      <c r="D398" t="str">
        <f>'ERP_AP7 Macro Failed'!G400</f>
        <v>HW MAINTENANCE</v>
      </c>
      <c r="E398" t="str">
        <f>'ERP_AP7 Macro Failed'!H400</f>
        <v>DELL PowerMax &amp; CISCO San Switches HW Maintenance - Durham (Pullforward Debit)</v>
      </c>
      <c r="F398">
        <f>'ERP_AP7 Macro Failed'!I400</f>
        <v>0</v>
      </c>
      <c r="G398" t="str">
        <f>'ERP_AP7 Macro Failed'!K400</f>
        <v>IT-HRD0003-OG-US-DH</v>
      </c>
      <c r="H398" s="487" t="e" cm="1">
        <f t="array" ref="H398">SUMPRODUCT((ERP[UID]=A398)*(ERP[AP01]+ERP[AP02]+ERP[AP03]+ERP[AP04]+ERP[AP05]))</f>
        <v>#VALUE!</v>
      </c>
      <c r="I398" s="487" cm="1">
        <f t="array" ref="I398">SUMPRODUCT((ERP[UID]=A398)*(ERP[AP01 LE2]+ERP[AP02 LE2]+ERP[AP03 LE2]+ERP[AP04 LE2]+ERP[AP05 LE2]))</f>
        <v>0</v>
      </c>
      <c r="J398" s="487">
        <f>'ERP_AP7 Macro Failed'!AL400</f>
        <v>0</v>
      </c>
      <c r="K398" t="str">
        <f t="shared" si="12"/>
        <v>Immaterial</v>
      </c>
      <c r="L398" t="str">
        <f t="shared" si="13"/>
        <v>No</v>
      </c>
    </row>
    <row r="399" spans="1:12">
      <c r="A399" t="str">
        <f>'ERP_AP7 Macro Failed'!A401</f>
        <v>N-ERP-587</v>
      </c>
      <c r="B399" t="str">
        <f>'ERP_AP7 Macro Failed'!D401</f>
        <v>Dougherty, Chris</v>
      </c>
      <c r="C399" t="str">
        <f>'ERP_AP7 Macro Failed'!E401</f>
        <v>McCormick, Pete</v>
      </c>
      <c r="D399" t="str">
        <f>'ERP_AP7 Macro Failed'!G401</f>
        <v>HW MAINTENANCE</v>
      </c>
      <c r="E399" t="str">
        <f>'ERP_AP7 Macro Failed'!H401</f>
        <v>DELL PowerMax &amp; CISCO San Switches HW Maintenance - Durham (Pullforward Credit)</v>
      </c>
      <c r="F399">
        <f>'ERP_AP7 Macro Failed'!I401</f>
        <v>0</v>
      </c>
      <c r="G399" t="str">
        <f>'ERP_AP7 Macro Failed'!K401</f>
        <v>IT-HRD0003-OG-US-DH/PF</v>
      </c>
      <c r="H399" s="487" t="e" cm="1">
        <f t="array" ref="H399">SUMPRODUCT((ERP[UID]=A399)*(ERP[AP01]+ERP[AP02]+ERP[AP03]+ERP[AP04]+ERP[AP05]))</f>
        <v>#VALUE!</v>
      </c>
      <c r="I399" s="487" cm="1">
        <f t="array" ref="I399">SUMPRODUCT((ERP[UID]=A399)*(ERP[AP01 LE2]+ERP[AP02 LE2]+ERP[AP03 LE2]+ERP[AP04 LE2]+ERP[AP05 LE2]))</f>
        <v>0</v>
      </c>
      <c r="J399" s="487">
        <f>'ERP_AP7 Macro Failed'!AL401</f>
        <v>0</v>
      </c>
      <c r="K399" t="str">
        <f t="shared" si="12"/>
        <v>Immaterial</v>
      </c>
      <c r="L399" t="str">
        <f t="shared" si="13"/>
        <v>No</v>
      </c>
    </row>
    <row r="400" spans="1:12">
      <c r="A400" t="str">
        <f>'ERP_AP7 Macro Failed'!A402</f>
        <v>N-ERP-588</v>
      </c>
      <c r="B400" t="str">
        <f>'ERP_AP7 Macro Failed'!D402</f>
        <v>Dougherty, Chris</v>
      </c>
      <c r="C400" t="str">
        <f>'ERP_AP7 Macro Failed'!E402</f>
        <v>McCormick, Pete</v>
      </c>
      <c r="D400" t="str">
        <f>'ERP_AP7 Macro Failed'!G402</f>
        <v>HW MAINTENANCE</v>
      </c>
      <c r="E400" t="str">
        <f>'ERP_AP7 Macro Failed'!H402</f>
        <v>DELL PowerMax &amp; CISCO San Switches HW Maintenance - Somerset (Pullforward Debit)</v>
      </c>
      <c r="F400">
        <f>'ERP_AP7 Macro Failed'!I402</f>
        <v>0</v>
      </c>
      <c r="G400" t="str">
        <f>'ERP_AP7 Macro Failed'!K402</f>
        <v>IT-HRD0004-OG-US-SS</v>
      </c>
      <c r="H400" s="487" t="e" cm="1">
        <f t="array" ref="H400">SUMPRODUCT((ERP[UID]=A400)*(ERP[AP01]+ERP[AP02]+ERP[AP03]+ERP[AP04]+ERP[AP05]))</f>
        <v>#VALUE!</v>
      </c>
      <c r="I400" s="487" cm="1">
        <f t="array" ref="I400">SUMPRODUCT((ERP[UID]=A400)*(ERP[AP01 LE2]+ERP[AP02 LE2]+ERP[AP03 LE2]+ERP[AP04 LE2]+ERP[AP05 LE2]))</f>
        <v>0</v>
      </c>
      <c r="J400" s="487">
        <f>'ERP_AP7 Macro Failed'!AL402</f>
        <v>0</v>
      </c>
      <c r="K400" t="str">
        <f t="shared" si="12"/>
        <v>Immaterial</v>
      </c>
      <c r="L400" t="str">
        <f t="shared" si="13"/>
        <v>No</v>
      </c>
    </row>
    <row r="401" spans="1:12">
      <c r="A401" t="str">
        <f>'ERP_AP7 Macro Failed'!A403</f>
        <v>L-ERP-020</v>
      </c>
      <c r="B401" t="str">
        <f>'ERP_AP7 Macro Failed'!D403</f>
        <v>Hase, Raj</v>
      </c>
      <c r="C401" t="str">
        <f>'ERP_AP7 Macro Failed'!E403</f>
        <v>DeHart, Lynn</v>
      </c>
      <c r="D401" t="str">
        <f>'ERP_AP7 Macro Failed'!G403</f>
        <v>HW MAINTENANCE</v>
      </c>
      <c r="E401" t="str">
        <f>'ERP_AP7 Macro Failed'!H403</f>
        <v>Hardware Maintenance</v>
      </c>
      <c r="F401">
        <f>'ERP_AP7 Macro Failed'!I403</f>
        <v>0</v>
      </c>
      <c r="G401" t="str">
        <f>'ERP_AP7 Macro Failed'!K403</f>
        <v>IT-HRD0058-OG-US-00</v>
      </c>
      <c r="H401" s="487" t="e" cm="1">
        <f t="array" ref="H401">SUMPRODUCT((ERP[UID]=A401)*(ERP[AP01]+ERP[AP02]+ERP[AP03]+ERP[AP04]+ERP[AP05]))</f>
        <v>#VALUE!</v>
      </c>
      <c r="I401" s="487" cm="1">
        <f t="array" ref="I401">SUMPRODUCT((ERP[UID]=A401)*(ERP[AP01 LE2]+ERP[AP02 LE2]+ERP[AP03 LE2]+ERP[AP04 LE2]+ERP[AP05 LE2]))</f>
        <v>309</v>
      </c>
      <c r="J401" s="487">
        <f>'ERP_AP7 Macro Failed'!AL403</f>
        <v>-459</v>
      </c>
      <c r="K401" t="str">
        <f t="shared" si="12"/>
        <v>Immaterial</v>
      </c>
      <c r="L401" t="str">
        <f t="shared" si="13"/>
        <v>No</v>
      </c>
    </row>
    <row r="402" spans="1:12">
      <c r="A402" t="str">
        <f>'ERP_AP7 Macro Failed'!A404</f>
        <v>L-ERP-023</v>
      </c>
      <c r="B402" t="str">
        <f>'ERP_AP7 Macro Failed'!D404</f>
        <v>Hase, Raj</v>
      </c>
      <c r="C402" t="str">
        <f>'ERP_AP7 Macro Failed'!E404</f>
        <v>DeHart, Lynn</v>
      </c>
      <c r="D402" t="str">
        <f>'ERP_AP7 Macro Failed'!G404</f>
        <v>MANAGED SERVICES</v>
      </c>
      <c r="E402" t="str">
        <f>'ERP_AP7 Macro Failed'!H404</f>
        <v>Database</v>
      </c>
      <c r="F402">
        <f>'ERP_AP7 Macro Failed'!I404</f>
        <v>0</v>
      </c>
      <c r="G402" t="str">
        <f>'ERP_AP7 Macro Failed'!K404</f>
        <v>IT-MGS0158-OG-US-00</v>
      </c>
      <c r="H402" s="487" t="e" cm="1">
        <f t="array" ref="H402">SUMPRODUCT((ERP[UID]=A402)*(ERP[AP01]+ERP[AP02]+ERP[AP03]+ERP[AP04]+ERP[AP05]))</f>
        <v>#VALUE!</v>
      </c>
      <c r="I402" s="487" cm="1">
        <f t="array" ref="I402">SUMPRODUCT((ERP[UID]=A402)*(ERP[AP01 LE2]+ERP[AP02 LE2]+ERP[AP03 LE2]+ERP[AP04 LE2]+ERP[AP05 LE2]))</f>
        <v>672</v>
      </c>
      <c r="J402" s="487">
        <f>'ERP_AP7 Macro Failed'!AL404</f>
        <v>-1008</v>
      </c>
      <c r="K402" t="str">
        <f t="shared" si="12"/>
        <v>Minor</v>
      </c>
      <c r="L402" t="str">
        <f t="shared" si="13"/>
        <v>No</v>
      </c>
    </row>
    <row r="403" spans="1:12">
      <c r="A403" t="str">
        <f>'ERP_AP7 Macro Failed'!A405</f>
        <v>L-ERP-488</v>
      </c>
      <c r="B403" t="str">
        <f>'ERP_AP7 Macro Failed'!D405</f>
        <v>Robertson, Jerome</v>
      </c>
      <c r="C403" t="str">
        <f>'ERP_AP7 Macro Failed'!E405</f>
        <v>Robertson, Jerome</v>
      </c>
      <c r="D403" t="str">
        <f>'ERP_AP7 Macro Failed'!G405</f>
        <v>MANAGED SERVICES</v>
      </c>
      <c r="E403" t="str">
        <f>'ERP_AP7 Macro Failed'!H405</f>
        <v>SAP BW Oracle Landing Zone</v>
      </c>
      <c r="F403">
        <f>'ERP_AP7 Macro Failed'!I405</f>
        <v>0</v>
      </c>
      <c r="G403" t="str">
        <f>'ERP_AP7 Macro Failed'!K405</f>
        <v>IT-MGS0165-OG-US-00</v>
      </c>
      <c r="H403" s="487" t="e" cm="1">
        <f t="array" ref="H403">SUMPRODUCT((ERP[UID]=A403)*(ERP[AP01]+ERP[AP02]+ERP[AP03]+ERP[AP04]+ERP[AP05]))</f>
        <v>#VALUE!</v>
      </c>
      <c r="I403" s="487" cm="1">
        <f t="array" ref="I403">SUMPRODUCT((ERP[UID]=A403)*(ERP[AP01 LE2]+ERP[AP02 LE2]+ERP[AP03 LE2]+ERP[AP04 LE2]+ERP[AP05 LE2]))</f>
        <v>0</v>
      </c>
      <c r="J403" s="487">
        <f>'ERP_AP7 Macro Failed'!AL405</f>
        <v>-12000</v>
      </c>
      <c r="K403" t="str">
        <f t="shared" si="12"/>
        <v>MATERIAL</v>
      </c>
      <c r="L403" t="str">
        <f t="shared" si="13"/>
        <v>YES</v>
      </c>
    </row>
    <row r="404" spans="1:12">
      <c r="A404" t="str">
        <f>'ERP_AP7 Macro Failed'!A406</f>
        <v>N-ERP-612</v>
      </c>
      <c r="B404" t="str">
        <f>'ERP_AP7 Macro Failed'!D406</f>
        <v>Robertson, Jerome</v>
      </c>
      <c r="C404" t="str">
        <f>'ERP_AP7 Macro Failed'!E406</f>
        <v>Robertson, Jerome</v>
      </c>
      <c r="D404" t="str">
        <f>'ERP_AP7 Macro Failed'!G406</f>
        <v>SOFTWARE</v>
      </c>
      <c r="E404" t="str">
        <f>'ERP_AP7 Macro Failed'!H406</f>
        <v>2329547_Virtual Analytics Workbench (VAW) DSS - Data Science Studio Tools</v>
      </c>
      <c r="F404">
        <f>'ERP_AP7 Macro Failed'!I406</f>
        <v>0</v>
      </c>
      <c r="G404" t="str">
        <f>'ERP_AP7 Macro Failed'!K406</f>
        <v>IT-MGS0167-OG-US-00</v>
      </c>
      <c r="H404" s="487" t="e" cm="1">
        <f t="array" ref="H404">SUMPRODUCT((ERP[UID]=A404)*(ERP[AP01]+ERP[AP02]+ERP[AP03]+ERP[AP04]+ERP[AP05]))</f>
        <v>#VALUE!</v>
      </c>
      <c r="I404" s="487" cm="1">
        <f t="array" ref="I404">SUMPRODUCT((ERP[UID]=A404)*(ERP[AP01 LE2]+ERP[AP02 LE2]+ERP[AP03 LE2]+ERP[AP04 LE2]+ERP[AP05 LE2]))</f>
        <v>0</v>
      </c>
      <c r="J404" s="487">
        <f>'ERP_AP7 Macro Failed'!AL406</f>
        <v>0</v>
      </c>
      <c r="K404" t="str">
        <f t="shared" si="12"/>
        <v>Immaterial</v>
      </c>
      <c r="L404" t="str">
        <f t="shared" si="13"/>
        <v>No</v>
      </c>
    </row>
    <row r="405" spans="1:12">
      <c r="A405" t="str">
        <f>'ERP_AP7 Macro Failed'!A407</f>
        <v>N-ERP-589</v>
      </c>
      <c r="B405" t="str">
        <f>'ERP_AP7 Macro Failed'!D407</f>
        <v>Dougherty, Chris</v>
      </c>
      <c r="C405" t="str">
        <f>'ERP_AP7 Macro Failed'!E407</f>
        <v>McCormick, Pete</v>
      </c>
      <c r="D405" t="str">
        <f>'ERP_AP7 Macro Failed'!G407</f>
        <v>HW MAINTENANCE</v>
      </c>
      <c r="E405" t="str">
        <f>'ERP_AP7 Macro Failed'!H407</f>
        <v>DELL PowerMax &amp; CISCO San Switches HW Maintenance - Somerset (Pullforward Credit)</v>
      </c>
      <c r="F405">
        <f>'ERP_AP7 Macro Failed'!I407</f>
        <v>0</v>
      </c>
      <c r="G405" t="str">
        <f>'ERP_AP7 Macro Failed'!K407</f>
        <v>IT-HRD0004-OG-US-SS/PF</v>
      </c>
      <c r="H405" s="487" t="e" cm="1">
        <f t="array" ref="H405">SUMPRODUCT((ERP[UID]=A405)*(ERP[AP01]+ERP[AP02]+ERP[AP03]+ERP[AP04]+ERP[AP05]))</f>
        <v>#VALUE!</v>
      </c>
      <c r="I405" s="487" cm="1">
        <f t="array" ref="I405">SUMPRODUCT((ERP[UID]=A405)*(ERP[AP01 LE2]+ERP[AP02 LE2]+ERP[AP03 LE2]+ERP[AP04 LE2]+ERP[AP05 LE2]))</f>
        <v>0</v>
      </c>
      <c r="J405" s="487">
        <f>'ERP_AP7 Macro Failed'!AL407</f>
        <v>0</v>
      </c>
      <c r="K405" t="str">
        <f t="shared" si="12"/>
        <v>Immaterial</v>
      </c>
      <c r="L405" t="str">
        <f t="shared" si="13"/>
        <v>No</v>
      </c>
    </row>
    <row r="406" spans="1:12">
      <c r="A406" t="str">
        <f>'ERP_AP7 Macro Failed'!A408</f>
        <v>L-ERP-372</v>
      </c>
      <c r="B406" t="str">
        <f>'ERP_AP7 Macro Failed'!D408</f>
        <v>Dougherty, Chris</v>
      </c>
      <c r="C406" t="str">
        <f>'ERP_AP7 Macro Failed'!E408</f>
        <v>McCormick, Pete</v>
      </c>
      <c r="D406" t="str">
        <f>'ERP_AP7 Macro Failed'!G408</f>
        <v>MANAGED SERVICES</v>
      </c>
      <c r="E406" t="str">
        <f>'ERP_AP7 Macro Failed'!H408</f>
        <v>SAP Platform - IBM Power10 HWMA and HMC - SOMERSET</v>
      </c>
      <c r="F406">
        <f>'ERP_AP7 Macro Failed'!I408</f>
        <v>0</v>
      </c>
      <c r="G406" t="str">
        <f>'ERP_AP7 Macro Failed'!K408</f>
        <v>IT-HRD0005-OG-US-SS</v>
      </c>
      <c r="H406" s="487" t="e" cm="1">
        <f t="array" ref="H406">SUMPRODUCT((ERP[UID]=A406)*(ERP[AP01]+ERP[AP02]+ERP[AP03]+ERP[AP04]+ERP[AP05]))</f>
        <v>#VALUE!</v>
      </c>
      <c r="I406" s="487" cm="1">
        <f t="array" ref="I406">SUMPRODUCT((ERP[UID]=A406)*(ERP[AP01 LE2]+ERP[AP02 LE2]+ERP[AP03 LE2]+ERP[AP04 LE2]+ERP[AP05 LE2]))</f>
        <v>155473.58000000002</v>
      </c>
      <c r="J406" s="487">
        <f>'ERP_AP7 Macro Failed'!AL408</f>
        <v>4973.5799999999872</v>
      </c>
      <c r="K406" t="str">
        <f t="shared" si="12"/>
        <v>Minor</v>
      </c>
      <c r="L406" t="str">
        <f t="shared" si="13"/>
        <v>No</v>
      </c>
    </row>
    <row r="407" spans="1:12">
      <c r="A407" t="str">
        <f>'ERP_AP7 Macro Failed'!A409</f>
        <v>L-ERP-373</v>
      </c>
      <c r="B407" t="str">
        <f>'ERP_AP7 Macro Failed'!D409</f>
        <v>Dougherty, Chris</v>
      </c>
      <c r="C407" t="str">
        <f>'ERP_AP7 Macro Failed'!E409</f>
        <v>McCormick, Pete</v>
      </c>
      <c r="D407" t="str">
        <f>'ERP_AP7 Macro Failed'!G409</f>
        <v>MANAGED SERVICES</v>
      </c>
      <c r="E407" t="str">
        <f>'ERP_AP7 Macro Failed'!H409</f>
        <v>SAP Platform - IBM Power10 HWMA and HMC - DURHAM</v>
      </c>
      <c r="F407">
        <f>'ERP_AP7 Macro Failed'!I409</f>
        <v>0</v>
      </c>
      <c r="G407" t="str">
        <f>'ERP_AP7 Macro Failed'!K409</f>
        <v>IT-HRD0006-OG-US-DH</v>
      </c>
      <c r="H407" s="487" t="e" cm="1">
        <f t="array" ref="H407">SUMPRODUCT((ERP[UID]=A407)*(ERP[AP01]+ERP[AP02]+ERP[AP03]+ERP[AP04]+ERP[AP05]))</f>
        <v>#VALUE!</v>
      </c>
      <c r="I407" s="487" cm="1">
        <f t="array" ref="I407">SUMPRODUCT((ERP[UID]=A407)*(ERP[AP01 LE2]+ERP[AP02 LE2]+ERP[AP03 LE2]+ERP[AP04 LE2]+ERP[AP05 LE2]))</f>
        <v>141395.93</v>
      </c>
      <c r="J407" s="487">
        <f>'ERP_AP7 Macro Failed'!AL409</f>
        <v>-61213.56</v>
      </c>
      <c r="K407" t="str">
        <f t="shared" si="12"/>
        <v>MATERIAL</v>
      </c>
      <c r="L407" t="str">
        <f t="shared" si="13"/>
        <v>YES</v>
      </c>
    </row>
    <row r="408" spans="1:12">
      <c r="A408" t="str">
        <f>'ERP_AP7 Macro Failed'!A410</f>
        <v>L-ERP-095</v>
      </c>
      <c r="B408" t="str">
        <f>'ERP_AP7 Macro Failed'!D410</f>
        <v>Dougherty, Chris</v>
      </c>
      <c r="C408" t="str">
        <f>'ERP_AP7 Macro Failed'!E410</f>
        <v>Dougherty, Chris</v>
      </c>
      <c r="D408" t="str">
        <f>'ERP_AP7 Macro Failed'!G410</f>
        <v>MANAGED SERVICES</v>
      </c>
      <c r="E408" t="str">
        <f>'ERP_AP7 Macro Failed'!H410</f>
        <v>IBM BPAI AMS (ML-0726)</v>
      </c>
      <c r="F408">
        <f>'ERP_AP7 Macro Failed'!I410</f>
        <v>0</v>
      </c>
      <c r="G408" t="str">
        <f>'ERP_AP7 Macro Failed'!K410</f>
        <v>IT-MGS0168-OG-US-00</v>
      </c>
      <c r="H408" s="487" t="e" cm="1">
        <f t="array" ref="H408">SUMPRODUCT((ERP[UID]=A408)*(ERP[AP01]+ERP[AP02]+ERP[AP03]+ERP[AP04]+ERP[AP05]))</f>
        <v>#VALUE!</v>
      </c>
      <c r="I408" s="487" cm="1">
        <f t="array" ref="I408">SUMPRODUCT((ERP[UID]=A408)*(ERP[AP01 LE2]+ERP[AP02 LE2]+ERP[AP03 LE2]+ERP[AP04 LE2]+ERP[AP05 LE2]))</f>
        <v>613415.66</v>
      </c>
      <c r="J408" s="487">
        <f>'ERP_AP7 Macro Failed'!AL410</f>
        <v>0.98999999999068677</v>
      </c>
      <c r="K408" t="str">
        <f t="shared" si="12"/>
        <v>Immaterial</v>
      </c>
      <c r="L408" t="str">
        <f t="shared" si="13"/>
        <v>No</v>
      </c>
    </row>
    <row r="409" spans="1:12">
      <c r="A409" t="str">
        <f>'ERP_AP7 Macro Failed'!A411</f>
        <v>N-ERP-507</v>
      </c>
      <c r="B409" t="str">
        <f>'ERP_AP7 Macro Failed'!D411</f>
        <v>Dougherty, Chris</v>
      </c>
      <c r="C409" t="str">
        <f>'ERP_AP7 Macro Failed'!E411</f>
        <v>Dougherty, Chris</v>
      </c>
      <c r="D409" t="str">
        <f>'ERP_AP7 Macro Failed'!G411</f>
        <v>CONTRACTORS</v>
      </c>
      <c r="E409" t="str">
        <f>'ERP_AP7 Macro Failed'!H411</f>
        <v>IBM BPAI AMS (ML-0726)</v>
      </c>
      <c r="F409">
        <f>'ERP_AP7 Macro Failed'!I411</f>
        <v>0</v>
      </c>
      <c r="G409" t="str">
        <f>'ERP_AP7 Macro Failed'!K411</f>
        <v>IT-MGS0168-OG-US-00</v>
      </c>
      <c r="H409" s="487" t="e" cm="1">
        <f t="array" ref="H409">SUMPRODUCT((ERP[UID]=A409)*(ERP[AP01]+ERP[AP02]+ERP[AP03]+ERP[AP04]+ERP[AP05]))</f>
        <v>#VALUE!</v>
      </c>
      <c r="I409" s="487" cm="1">
        <f t="array" ref="I409">SUMPRODUCT((ERP[UID]=A409)*(ERP[AP01 LE2]+ERP[AP02 LE2]+ERP[AP03 LE2]+ERP[AP04 LE2]+ERP[AP05 LE2]))</f>
        <v>0</v>
      </c>
      <c r="J409" s="487">
        <f>'ERP_AP7 Macro Failed'!AL411</f>
        <v>0</v>
      </c>
      <c r="K409" t="str">
        <f t="shared" si="12"/>
        <v>Immaterial</v>
      </c>
      <c r="L409" t="str">
        <f t="shared" si="13"/>
        <v>No</v>
      </c>
    </row>
    <row r="410" spans="1:12">
      <c r="A410" t="str">
        <f>'ERP_AP7 Macro Failed'!A412</f>
        <v>ERP-006</v>
      </c>
      <c r="B410" t="str">
        <f>'ERP_AP7 Macro Failed'!D412</f>
        <v>Dougherty, Chris</v>
      </c>
      <c r="C410" t="str">
        <f>'ERP_AP7 Macro Failed'!E412</f>
        <v>Tamavada, Ram</v>
      </c>
      <c r="D410" t="str">
        <f>'ERP_AP7 Macro Failed'!G412</f>
        <v>SOFTWARE</v>
      </c>
      <c r="E410" t="str">
        <f>'ERP_AP7 Macro Failed'!H412</f>
        <v>Oracle EBS Software Licenses</v>
      </c>
      <c r="F410">
        <f>'ERP_AP7 Macro Failed'!I412</f>
        <v>0</v>
      </c>
      <c r="G410" t="str">
        <f>'ERP_AP7 Macro Failed'!K412</f>
        <v>IT-MGS0202-OG-US-00</v>
      </c>
      <c r="H410" s="487" t="e" cm="1">
        <f t="array" ref="H410">SUMPRODUCT((ERP[UID]=A410)*(ERP[AP01]+ERP[AP02]+ERP[AP03]+ERP[AP04]+ERP[AP05]))</f>
        <v>#VALUE!</v>
      </c>
      <c r="I410" s="487" cm="1">
        <f t="array" ref="I410">SUMPRODUCT((ERP[UID]=A410)*(ERP[AP01 LE2]+ERP[AP02 LE2]+ERP[AP03 LE2]+ERP[AP04 LE2]+ERP[AP05 LE2]))</f>
        <v>0</v>
      </c>
      <c r="J410" s="487">
        <f>'ERP_AP7 Macro Failed'!AL412</f>
        <v>0</v>
      </c>
      <c r="K410" t="str">
        <f t="shared" si="12"/>
        <v>Immaterial</v>
      </c>
      <c r="L410" t="str">
        <f t="shared" si="13"/>
        <v>No</v>
      </c>
    </row>
    <row r="411" spans="1:12">
      <c r="A411" t="str">
        <f>'ERP_AP7 Macro Failed'!A413</f>
        <v>L-ERP-546</v>
      </c>
      <c r="B411" t="str">
        <f>'ERP_AP7 Macro Failed'!D413</f>
        <v>Dougherty, Chris</v>
      </c>
      <c r="C411" t="str">
        <f>'ERP_AP7 Macro Failed'!E413</f>
        <v>Tamavada, Ram</v>
      </c>
      <c r="D411" t="str">
        <f>'ERP_AP7 Macro Failed'!G413</f>
        <v>MANAGED SERVICES</v>
      </c>
      <c r="E411" t="str">
        <f>'ERP_AP7 Macro Failed'!H413</f>
        <v>Oracle EBS Software Licenses</v>
      </c>
      <c r="F411">
        <f>'ERP_AP7 Macro Failed'!I413</f>
        <v>0</v>
      </c>
      <c r="G411" t="str">
        <f>'ERP_AP7 Macro Failed'!K413</f>
        <v>IT-MGS0202-OG-US-00</v>
      </c>
      <c r="H411" s="487" t="e" cm="1">
        <f t="array" ref="H411">SUMPRODUCT((ERP[UID]=A411)*(ERP[AP01]+ERP[AP02]+ERP[AP03]+ERP[AP04]+ERP[AP05]))</f>
        <v>#VALUE!</v>
      </c>
      <c r="I411" s="487" cm="1">
        <f t="array" ref="I411">SUMPRODUCT((ERP[UID]=A411)*(ERP[AP01 LE2]+ERP[AP02 LE2]+ERP[AP03 LE2]+ERP[AP04 LE2]+ERP[AP05 LE2]))</f>
        <v>0</v>
      </c>
      <c r="J411" s="487">
        <f>'ERP_AP7 Macro Failed'!AL413</f>
        <v>0</v>
      </c>
      <c r="K411" t="str">
        <f t="shared" si="12"/>
        <v>Immaterial</v>
      </c>
      <c r="L411" t="str">
        <f t="shared" si="13"/>
        <v>No</v>
      </c>
    </row>
    <row r="412" spans="1:12">
      <c r="A412" t="str">
        <f>'ERP_AP7 Macro Failed'!A414</f>
        <v>L-ERP-547</v>
      </c>
      <c r="B412" t="str">
        <f>'ERP_AP7 Macro Failed'!D414</f>
        <v>Dougherty, Chris</v>
      </c>
      <c r="C412" t="str">
        <f>'ERP_AP7 Macro Failed'!E414</f>
        <v>Tamavada, Ram</v>
      </c>
      <c r="D412" t="str">
        <f>'ERP_AP7 Macro Failed'!G414</f>
        <v>MANAGED SERVICES</v>
      </c>
      <c r="E412" t="str">
        <f>'ERP_AP7 Macro Failed'!H414</f>
        <v>Oracle OCI Software Usage</v>
      </c>
      <c r="F412">
        <f>'ERP_AP7 Macro Failed'!I414</f>
        <v>0</v>
      </c>
      <c r="G412" t="str">
        <f>'ERP_AP7 Macro Failed'!K414</f>
        <v>IT-MGS0203-OG-US-00</v>
      </c>
      <c r="H412" s="487" t="e" cm="1">
        <f t="array" ref="H412">SUMPRODUCT((ERP[UID]=A412)*(ERP[AP01]+ERP[AP02]+ERP[AP03]+ERP[AP04]+ERP[AP05]))</f>
        <v>#VALUE!</v>
      </c>
      <c r="I412" s="487" cm="1">
        <f t="array" ref="I412">SUMPRODUCT((ERP[UID]=A412)*(ERP[AP01 LE2]+ERP[AP02 LE2]+ERP[AP03 LE2]+ERP[AP04 LE2]+ERP[AP05 LE2]))</f>
        <v>0</v>
      </c>
      <c r="J412" s="487">
        <f>'ERP_AP7 Macro Failed'!AL414</f>
        <v>0</v>
      </c>
      <c r="K412" t="str">
        <f t="shared" si="12"/>
        <v>Immaterial</v>
      </c>
      <c r="L412" t="str">
        <f t="shared" si="13"/>
        <v>No</v>
      </c>
    </row>
    <row r="413" spans="1:12">
      <c r="A413" t="str">
        <f>'ERP_AP7 Macro Failed'!A415</f>
        <v>L-ERP-011</v>
      </c>
      <c r="B413" t="str">
        <f>'ERP_AP7 Macro Failed'!D415</f>
        <v>Hase, Raj</v>
      </c>
      <c r="C413" t="str">
        <f>'ERP_AP7 Macro Failed'!E415</f>
        <v>DeHart, Lynn</v>
      </c>
      <c r="D413" t="str">
        <f>'ERP_AP7 Macro Failed'!G415</f>
        <v>MANAGED SERVICES</v>
      </c>
      <c r="E413" t="str">
        <f>'ERP_AP7 Macro Failed'!H415</f>
        <v>Pfizer Apps - Digital Billing</v>
      </c>
      <c r="F413">
        <f>'ERP_AP7 Macro Failed'!I415</f>
        <v>0</v>
      </c>
      <c r="G413" t="str">
        <f>'ERP_AP7 Macro Failed'!K415</f>
        <v>IT-MGS0208-OG-US-00</v>
      </c>
      <c r="H413" s="487" t="e" cm="1">
        <f t="array" ref="H413">SUMPRODUCT((ERP[UID]=A413)*(ERP[AP01]+ERP[AP02]+ERP[AP03]+ERP[AP04]+ERP[AP05]))</f>
        <v>#VALUE!</v>
      </c>
      <c r="I413" s="487" cm="1">
        <f t="array" ref="I413">SUMPRODUCT((ERP[UID]=A413)*(ERP[AP01 LE2]+ERP[AP02 LE2]+ERP[AP03 LE2]+ERP[AP04 LE2]+ERP[AP05 LE2]))</f>
        <v>11242.759999999998</v>
      </c>
      <c r="J413" s="487">
        <f>'ERP_AP7 Macro Failed'!AL415</f>
        <v>-8318.989999999998</v>
      </c>
      <c r="K413" t="str">
        <f t="shared" si="12"/>
        <v>Minor</v>
      </c>
      <c r="L413" t="str">
        <f t="shared" si="13"/>
        <v>No</v>
      </c>
    </row>
    <row r="414" spans="1:12">
      <c r="A414" t="str">
        <f>'ERP_AP7 Macro Failed'!A416</f>
        <v>L-ERP-013</v>
      </c>
      <c r="B414" t="str">
        <f>'ERP_AP7 Macro Failed'!D416</f>
        <v>Hase, Raj</v>
      </c>
      <c r="C414" t="str">
        <f>'ERP_AP7 Macro Failed'!E416</f>
        <v>DeHart, Lynn</v>
      </c>
      <c r="D414" t="str">
        <f>'ERP_AP7 Macro Failed'!G416</f>
        <v>SOFTWARE</v>
      </c>
      <c r="E414" t="str">
        <f>'ERP_AP7 Macro Failed'!H416</f>
        <v>Pfizer Apps - Digital Billing</v>
      </c>
      <c r="F414">
        <f>'ERP_AP7 Macro Failed'!I416</f>
        <v>0</v>
      </c>
      <c r="G414" t="str">
        <f>'ERP_AP7 Macro Failed'!K416</f>
        <v>IT-MGS0208-OG-US-00</v>
      </c>
      <c r="H414" s="487" t="e" cm="1">
        <f t="array" ref="H414">SUMPRODUCT((ERP[UID]=A414)*(ERP[AP01]+ERP[AP02]+ERP[AP03]+ERP[AP04]+ERP[AP05]))</f>
        <v>#VALUE!</v>
      </c>
      <c r="I414" s="487" cm="1">
        <f t="array" ref="I414">SUMPRODUCT((ERP[UID]=A414)*(ERP[AP01 LE2]+ERP[AP02 LE2]+ERP[AP03 LE2]+ERP[AP04 LE2]+ERP[AP05 LE2]))</f>
        <v>558.91999999999996</v>
      </c>
      <c r="J414" s="487">
        <f>'ERP_AP7 Macro Failed'!AL416</f>
        <v>0</v>
      </c>
      <c r="K414" t="str">
        <f t="shared" si="12"/>
        <v>Immaterial</v>
      </c>
      <c r="L414" t="str">
        <f t="shared" si="13"/>
        <v>No</v>
      </c>
    </row>
    <row r="415" spans="1:12">
      <c r="A415" t="str">
        <f>'ERP_AP7 Macro Failed'!A417</f>
        <v>L-ERP-509</v>
      </c>
      <c r="B415" t="str">
        <f>'ERP_AP7 Macro Failed'!D417</f>
        <v>Dougherty, Chris</v>
      </c>
      <c r="C415" t="str">
        <f>'ERP_AP7 Macro Failed'!E417</f>
        <v>Tamavada, Ram</v>
      </c>
      <c r="D415" t="str">
        <f>'ERP_AP7 Macro Failed'!G417</f>
        <v>MANAGED SERVICES</v>
      </c>
      <c r="E415" t="str">
        <f>'ERP_AP7 Macro Failed'!H417</f>
        <v>IBM: SAP Application Managed Service - Seagen_Oracle (long term support)</v>
      </c>
      <c r="F415">
        <f>'ERP_AP7 Macro Failed'!I417</f>
        <v>0</v>
      </c>
      <c r="G415" t="str">
        <f>'ERP_AP7 Macro Failed'!K417</f>
        <v>IT-MGS0204-OG-US-00</v>
      </c>
      <c r="H415" s="487" t="e" cm="1">
        <f t="array" ref="H415">SUMPRODUCT((ERP[UID]=A415)*(ERP[AP01]+ERP[AP02]+ERP[AP03]+ERP[AP04]+ERP[AP05]))</f>
        <v>#VALUE!</v>
      </c>
      <c r="I415" s="487" cm="1">
        <f t="array" ref="I415">SUMPRODUCT((ERP[UID]=A415)*(ERP[AP01 LE2]+ERP[AP02 LE2]+ERP[AP03 LE2]+ERP[AP04 LE2]+ERP[AP05 LE2]))</f>
        <v>15000.3</v>
      </c>
      <c r="J415" s="487">
        <f>'ERP_AP7 Macro Failed'!AL417</f>
        <v>-297</v>
      </c>
      <c r="K415" t="str">
        <f t="shared" si="12"/>
        <v>Immaterial</v>
      </c>
      <c r="L415" t="str">
        <f t="shared" si="13"/>
        <v>No</v>
      </c>
    </row>
    <row r="416" spans="1:12">
      <c r="A416" t="str">
        <f>'ERP_AP7 Macro Failed'!A418</f>
        <v>L-ERP-574</v>
      </c>
      <c r="B416" t="str">
        <f>'ERP_AP7 Macro Failed'!D418</f>
        <v>Hase, Raj</v>
      </c>
      <c r="C416" t="str">
        <f>'ERP_AP7 Macro Failed'!E418</f>
        <v>Yeluri, Durga</v>
      </c>
      <c r="D416" t="str">
        <f>'ERP_AP7 Macro Failed'!G418</f>
        <v>MANAGED SERVICES</v>
      </c>
      <c r="E416" t="str">
        <f>'ERP_AP7 Macro Failed'!H418</f>
        <v>RingFence Modfac (AWS, DATABASE)</v>
      </c>
      <c r="F416">
        <f>'ERP_AP7 Macro Failed'!I418</f>
        <v>0</v>
      </c>
      <c r="G416" t="str">
        <f>'ERP_AP7 Macro Failed'!K418</f>
        <v>IT-MGS0210-OG-US-00</v>
      </c>
      <c r="H416" s="487" t="e" cm="1">
        <f t="array" ref="H416">SUMPRODUCT((ERP[UID]=A416)*(ERP[AP01]+ERP[AP02]+ERP[AP03]+ERP[AP04]+ERP[AP05]))</f>
        <v>#VALUE!</v>
      </c>
      <c r="I416" s="487" cm="1">
        <f t="array" ref="I416">SUMPRODUCT((ERP[UID]=A416)*(ERP[AP01 LE2]+ERP[AP02 LE2]+ERP[AP03 LE2]+ERP[AP04 LE2]+ERP[AP05 LE2]))</f>
        <v>2148.69</v>
      </c>
      <c r="J416" s="487">
        <f>'ERP_AP7 Macro Failed'!AL418</f>
        <v>-1650</v>
      </c>
      <c r="K416" t="str">
        <f t="shared" si="12"/>
        <v>Minor</v>
      </c>
      <c r="L416" t="str">
        <f t="shared" si="13"/>
        <v>No</v>
      </c>
    </row>
    <row r="417" spans="1:12">
      <c r="A417" t="str">
        <f>'ERP_AP7 Macro Failed'!A419</f>
        <v>L-ERP-559</v>
      </c>
      <c r="B417" t="str">
        <f>'ERP_AP7 Macro Failed'!D419</f>
        <v>Hase, Raj</v>
      </c>
      <c r="C417" t="str">
        <f>'ERP_AP7 Macro Failed'!E419</f>
        <v>Vaidya, Sachin</v>
      </c>
      <c r="D417" t="str">
        <f>'ERP_AP7 Macro Failed'!G419</f>
        <v>OTHER</v>
      </c>
      <c r="E417" t="str">
        <f>'ERP_AP7 Macro Failed'!H419</f>
        <v>Intelligent Service Cloud (ISC) Maintenance and BTP cost</v>
      </c>
      <c r="F417">
        <f>'ERP_AP7 Macro Failed'!I419</f>
        <v>0</v>
      </c>
      <c r="G417" t="str">
        <f>'ERP_AP7 Macro Failed'!K419</f>
        <v>IT-OTH0062-OG-US-00</v>
      </c>
      <c r="H417" s="487" t="e" cm="1">
        <f t="array" ref="H417">SUMPRODUCT((ERP[UID]=A417)*(ERP[AP01]+ERP[AP02]+ERP[AP03]+ERP[AP04]+ERP[AP05]))</f>
        <v>#VALUE!</v>
      </c>
      <c r="I417" s="487" cm="1">
        <f t="array" ref="I417">SUMPRODUCT((ERP[UID]=A417)*(ERP[AP01 LE2]+ERP[AP02 LE2]+ERP[AP03 LE2]+ERP[AP04 LE2]+ERP[AP05 LE2]))</f>
        <v>0</v>
      </c>
      <c r="J417" s="487">
        <f>'ERP_AP7 Macro Failed'!AL419</f>
        <v>0</v>
      </c>
      <c r="K417" t="str">
        <f t="shared" si="12"/>
        <v>Immaterial</v>
      </c>
      <c r="L417" t="str">
        <f t="shared" si="13"/>
        <v>No</v>
      </c>
    </row>
    <row r="418" spans="1:12">
      <c r="A418" t="str">
        <f>'ERP_AP7 Macro Failed'!A420</f>
        <v>L-ERP-193</v>
      </c>
      <c r="B418" t="str">
        <f>'ERP_AP7 Macro Failed'!D420</f>
        <v>Hase, Raj</v>
      </c>
      <c r="C418" t="str">
        <f>'ERP_AP7 Macro Failed'!E420</f>
        <v>Herman, Shaun</v>
      </c>
      <c r="D418" t="str">
        <f>'ERP_AP7 Macro Failed'!G420</f>
        <v>CONTRACTORS</v>
      </c>
      <c r="E418" t="str">
        <f>'ERP_AP7 Macro Failed'!H420</f>
        <v>Strategic Sourcing Solution Phase 1 - 60% 1 offshore contractor - New Product Application to Support Global Strategic Sourcing; Assumes MetaStorm $40,000 offshore contractor to cover the entire year</v>
      </c>
      <c r="F418">
        <f>'ERP_AP7 Macro Failed'!I420</f>
        <v>0</v>
      </c>
      <c r="G418" t="str">
        <f>'ERP_AP7 Macro Failed'!K420</f>
        <v>IT-OTH0063-OG-US-00</v>
      </c>
      <c r="H418" s="487" t="e" cm="1">
        <f t="array" ref="H418">SUMPRODUCT((ERP[UID]=A418)*(ERP[AP01]+ERP[AP02]+ERP[AP03]+ERP[AP04]+ERP[AP05]))</f>
        <v>#VALUE!</v>
      </c>
      <c r="I418" s="487" cm="1">
        <f t="array" ref="I418">SUMPRODUCT((ERP[UID]=A418)*(ERP[AP01 LE2]+ERP[AP02 LE2]+ERP[AP03 LE2]+ERP[AP04 LE2]+ERP[AP05 LE2]))</f>
        <v>82000</v>
      </c>
      <c r="J418" s="487">
        <f>'ERP_AP7 Macro Failed'!AL420</f>
        <v>121</v>
      </c>
      <c r="K418" t="str">
        <f t="shared" si="12"/>
        <v>Immaterial</v>
      </c>
      <c r="L418" t="str">
        <f t="shared" si="13"/>
        <v>No</v>
      </c>
    </row>
    <row r="419" spans="1:12">
      <c r="A419" t="str">
        <f>'ERP_AP7 Macro Failed'!A421</f>
        <v>L-ERP-208</v>
      </c>
      <c r="B419" t="str">
        <f>'ERP_AP7 Macro Failed'!D421</f>
        <v>Hase, Raj</v>
      </c>
      <c r="C419" t="str">
        <f>'ERP_AP7 Macro Failed'!E421</f>
        <v>Herman, Shaun</v>
      </c>
      <c r="D419" t="str">
        <f>'ERP_AP7 Macro Failed'!G421</f>
        <v>CONTRACTORS</v>
      </c>
      <c r="E419" t="str">
        <f>'ERP_AP7 Macro Failed'!H421</f>
        <v>P324-0014105-Strategic Sourcing Solution</v>
      </c>
      <c r="F419">
        <f>'ERP_AP7 Macro Failed'!I421</f>
        <v>0</v>
      </c>
      <c r="G419" t="str">
        <f>'ERP_AP7 Macro Failed'!K421</f>
        <v>IT-PBS0936-OT-US-00</v>
      </c>
      <c r="H419" s="487" t="e" cm="1">
        <f t="array" ref="H419">SUMPRODUCT((ERP[UID]=A419)*(ERP[AP01]+ERP[AP02]+ERP[AP03]+ERP[AP04]+ERP[AP05]))</f>
        <v>#VALUE!</v>
      </c>
      <c r="I419" s="487" cm="1">
        <f t="array" ref="I419">SUMPRODUCT((ERP[UID]=A419)*(ERP[AP01 LE2]+ERP[AP02 LE2]+ERP[AP03 LE2]+ERP[AP04 LE2]+ERP[AP05 LE2]))</f>
        <v>70950</v>
      </c>
      <c r="J419" s="487">
        <f>'ERP_AP7 Macro Failed'!AL421</f>
        <v>0</v>
      </c>
      <c r="K419" t="str">
        <f t="shared" si="12"/>
        <v>Immaterial</v>
      </c>
      <c r="L419" t="str">
        <f t="shared" si="13"/>
        <v>No</v>
      </c>
    </row>
    <row r="420" spans="1:12">
      <c r="A420" t="str">
        <f>'ERP_AP7 Macro Failed'!A422</f>
        <v>L-ERP-016</v>
      </c>
      <c r="B420" t="str">
        <f>'ERP_AP7 Macro Failed'!D422</f>
        <v>Hase, Raj</v>
      </c>
      <c r="C420" t="str">
        <f>'ERP_AP7 Macro Failed'!E422</f>
        <v>DeHart, Lynn</v>
      </c>
      <c r="D420" t="str">
        <f>'ERP_AP7 Macro Failed'!G422</f>
        <v>CONTRACTORS</v>
      </c>
      <c r="E420" t="str">
        <f>'ERP_AP7 Macro Failed'!H422</f>
        <v>P324-0013439-GSC EMEA: Dx Sub-cluster –</v>
      </c>
      <c r="F420">
        <f>'ERP_AP7 Macro Failed'!I422</f>
        <v>0</v>
      </c>
      <c r="G420" t="str">
        <f>'ERP_AP7 Macro Failed'!K422</f>
        <v>IT-PBU0901-OT-US-00</v>
      </c>
      <c r="H420" s="487" t="e" cm="1">
        <f t="array" ref="H420">SUMPRODUCT((ERP[UID]=A420)*(ERP[AP01]+ERP[AP02]+ERP[AP03]+ERP[AP04]+ERP[AP05]))</f>
        <v>#VALUE!</v>
      </c>
      <c r="I420" s="487" cm="1">
        <f t="array" ref="I420">SUMPRODUCT((ERP[UID]=A420)*(ERP[AP01 LE2]+ERP[AP02 LE2]+ERP[AP03 LE2]+ERP[AP04 LE2]+ERP[AP05 LE2]))</f>
        <v>0.33000000000174623</v>
      </c>
      <c r="J420" s="487">
        <f>'ERP_AP7 Macro Failed'!AL422</f>
        <v>0</v>
      </c>
      <c r="K420" t="str">
        <f t="shared" si="12"/>
        <v>Immaterial</v>
      </c>
      <c r="L420" t="str">
        <f t="shared" si="13"/>
        <v>No</v>
      </c>
    </row>
    <row r="421" spans="1:12">
      <c r="A421" t="str">
        <f>'ERP_AP7 Macro Failed'!A423</f>
        <v>L-ERP-017</v>
      </c>
      <c r="B421" t="str">
        <f>'ERP_AP7 Macro Failed'!D423</f>
        <v>Hase, Raj</v>
      </c>
      <c r="C421" t="str">
        <f>'ERP_AP7 Macro Failed'!E423</f>
        <v>DeHart, Lynn</v>
      </c>
      <c r="D421" t="str">
        <f>'ERP_AP7 Macro Failed'!G423</f>
        <v>CONTRACTORS</v>
      </c>
      <c r="E421" t="str">
        <f>'ERP_AP7 Macro Failed'!H423</f>
        <v>P325-0016309-2026 GSC Regions: Logistics</v>
      </c>
      <c r="F421">
        <f>'ERP_AP7 Macro Failed'!I423</f>
        <v>0</v>
      </c>
      <c r="G421" t="str">
        <f>'ERP_AP7 Macro Failed'!K423</f>
        <v>IT-PBU1059-OT-US-00</v>
      </c>
      <c r="H421" s="487" t="e" cm="1">
        <f t="array" ref="H421">SUMPRODUCT((ERP[UID]=A421)*(ERP[AP01]+ERP[AP02]+ERP[AP03]+ERP[AP04]+ERP[AP05]))</f>
        <v>#VALUE!</v>
      </c>
      <c r="I421" s="487" cm="1">
        <f t="array" ref="I421">SUMPRODUCT((ERP[UID]=A421)*(ERP[AP01 LE2]+ERP[AP02 LE2]+ERP[AP03 LE2]+ERP[AP04 LE2]+ERP[AP05 LE2]))</f>
        <v>0</v>
      </c>
      <c r="J421" s="487">
        <f>'ERP_AP7 Macro Failed'!AL423</f>
        <v>0</v>
      </c>
      <c r="K421" t="str">
        <f t="shared" si="12"/>
        <v>Immaterial</v>
      </c>
      <c r="L421" t="str">
        <f t="shared" si="13"/>
        <v>No</v>
      </c>
    </row>
    <row r="422" spans="1:12">
      <c r="A422" t="str">
        <f>'ERP_AP7 Macro Failed'!A424</f>
        <v>L-ERP-041</v>
      </c>
      <c r="B422" t="str">
        <f>'ERP_AP7 Macro Failed'!D424</f>
        <v>Hase, Raj</v>
      </c>
      <c r="C422" t="str">
        <f>'ERP_AP7 Macro Failed'!E424</f>
        <v>DeHart, Lynn</v>
      </c>
      <c r="D422" t="str">
        <f>'ERP_AP7 Macro Failed'!G424</f>
        <v>TRAVEL &amp; ENTERTAINMENT</v>
      </c>
      <c r="E422" t="str">
        <f>'ERP_AP7 Macro Failed'!H424</f>
        <v>P325-0016287-Customer Screening Expansio</v>
      </c>
      <c r="F422">
        <f>'ERP_AP7 Macro Failed'!I424</f>
        <v>0</v>
      </c>
      <c r="G422" t="str">
        <f>'ERP_AP7 Macro Failed'!K424</f>
        <v>IT-PBU1070-OT-IE-00</v>
      </c>
      <c r="H422" s="487" t="e" cm="1">
        <f t="array" ref="H422">SUMPRODUCT((ERP[UID]=A422)*(ERP[AP01]+ERP[AP02]+ERP[AP03]+ERP[AP04]+ERP[AP05]))</f>
        <v>#VALUE!</v>
      </c>
      <c r="I422" s="487" cm="1">
        <f t="array" ref="I422">SUMPRODUCT((ERP[UID]=A422)*(ERP[AP01 LE2]+ERP[AP02 LE2]+ERP[AP03 LE2]+ERP[AP04 LE2]+ERP[AP05 LE2]))</f>
        <v>1583.99</v>
      </c>
      <c r="J422" s="487">
        <f>'ERP_AP7 Macro Failed'!AL424</f>
        <v>0</v>
      </c>
      <c r="K422" t="str">
        <f t="shared" si="12"/>
        <v>Immaterial</v>
      </c>
      <c r="L422" t="str">
        <f t="shared" si="13"/>
        <v>No</v>
      </c>
    </row>
    <row r="423" spans="1:12">
      <c r="A423" t="str">
        <f>'ERP_AP7 Macro Failed'!A425</f>
        <v>L-ERP-510</v>
      </c>
      <c r="B423" t="str">
        <f>'ERP_AP7 Macro Failed'!D425</f>
        <v>Dougherty, Chris</v>
      </c>
      <c r="C423" t="str">
        <f>'ERP_AP7 Macro Failed'!E425</f>
        <v>Tamavada, Ram</v>
      </c>
      <c r="D423" t="str">
        <f>'ERP_AP7 Macro Failed'!G425</f>
        <v>MANAGED SERVICES</v>
      </c>
      <c r="E423" t="str">
        <f>'ERP_AP7 Macro Failed'!H425</f>
        <v>IBM: GLNS AMS Support</v>
      </c>
      <c r="F423">
        <f>'ERP_AP7 Macro Failed'!I425</f>
        <v>0</v>
      </c>
      <c r="G423" t="str">
        <f>'ERP_AP7 Macro Failed'!K425</f>
        <v>IT-MGS0205-OG-US-00</v>
      </c>
      <c r="H423" s="487" t="e" cm="1">
        <f t="array" ref="H423">SUMPRODUCT((ERP[UID]=A423)*(ERP[AP01]+ERP[AP02]+ERP[AP03]+ERP[AP04]+ERP[AP05]))</f>
        <v>#VALUE!</v>
      </c>
      <c r="I423" s="487" cm="1">
        <f t="array" ref="I423">SUMPRODUCT((ERP[UID]=A423)*(ERP[AP01 LE2]+ERP[AP02 LE2]+ERP[AP03 LE2]+ERP[AP04 LE2]+ERP[AP05 LE2]))</f>
        <v>136072.35</v>
      </c>
      <c r="J423" s="487">
        <f>'ERP_AP7 Macro Failed'!AL425</f>
        <v>6285.1399999999849</v>
      </c>
      <c r="K423" t="str">
        <f t="shared" si="12"/>
        <v>Minor</v>
      </c>
      <c r="L423" t="str">
        <f t="shared" si="13"/>
        <v>No</v>
      </c>
    </row>
    <row r="424" spans="1:12">
      <c r="A424" t="str">
        <f>'ERP_AP7 Macro Failed'!A426</f>
        <v>L-ERP-066</v>
      </c>
      <c r="B424" t="str">
        <f>'ERP_AP7 Macro Failed'!D426</f>
        <v>Dougherty, Chris</v>
      </c>
      <c r="C424" t="str">
        <f>'ERP_AP7 Macro Failed'!E426</f>
        <v>Dougherty, Chris</v>
      </c>
      <c r="D424" t="str">
        <f>'ERP_AP7 Macro Failed'!G426</f>
        <v>MANAGED SERVICES</v>
      </c>
      <c r="E424" t="str">
        <f>'ERP_AP7 Macro Failed'!H426</f>
        <v>Billing Forecast - UC4 Automic</v>
      </c>
      <c r="F424">
        <f>'ERP_AP7 Macro Failed'!I426</f>
        <v>0</v>
      </c>
      <c r="G424" t="str">
        <f>'ERP_AP7 Macro Failed'!K426</f>
        <v>IT-MGS0207-OG-US-00</v>
      </c>
      <c r="H424" s="487" t="e" cm="1">
        <f t="array" ref="H424">SUMPRODUCT((ERP[UID]=A424)*(ERP[AP01]+ERP[AP02]+ERP[AP03]+ERP[AP04]+ERP[AP05]))</f>
        <v>#VALUE!</v>
      </c>
      <c r="I424" s="487" cm="1">
        <f t="array" ref="I424">SUMPRODUCT((ERP[UID]=A424)*(ERP[AP01 LE2]+ERP[AP02 LE2]+ERP[AP03 LE2]+ERP[AP04 LE2]+ERP[AP05 LE2]))</f>
        <v>-10116.66</v>
      </c>
      <c r="J424" s="487">
        <f>'ERP_AP7 Macro Failed'!AL426</f>
        <v>-775.35000000000036</v>
      </c>
      <c r="K424" t="str">
        <f t="shared" si="12"/>
        <v>Immaterial</v>
      </c>
      <c r="L424" t="str">
        <f t="shared" si="13"/>
        <v>No</v>
      </c>
    </row>
    <row r="425" spans="1:12">
      <c r="A425" t="str">
        <f>'ERP_AP7 Macro Failed'!A427</f>
        <v>L-ERP-528</v>
      </c>
      <c r="B425" t="str">
        <f>'ERP_AP7 Macro Failed'!D427</f>
        <v>Dougherty, Chris</v>
      </c>
      <c r="C425" t="str">
        <f>'ERP_AP7 Macro Failed'!E427</f>
        <v>Tamavada, Ram</v>
      </c>
      <c r="D425" t="str">
        <f>'ERP_AP7 Macro Failed'!G427</f>
        <v>MANAGED SERVICES</v>
      </c>
      <c r="E425" t="str">
        <f>'ERP_AP7 Macro Failed'!H427</f>
        <v>RingFence Modfac (AWS, DP)</v>
      </c>
      <c r="F425">
        <f>'ERP_AP7 Macro Failed'!I427</f>
        <v>0</v>
      </c>
      <c r="G425" t="str">
        <f>'ERP_AP7 Macro Failed'!K427</f>
        <v>IT-MGS0209-OG-US-00</v>
      </c>
      <c r="H425" s="487" t="e" cm="1">
        <f t="array" ref="H425">SUMPRODUCT((ERP[UID]=A425)*(ERP[AP01]+ERP[AP02]+ERP[AP03]+ERP[AP04]+ERP[AP05]))</f>
        <v>#VALUE!</v>
      </c>
      <c r="I425" s="487" cm="1">
        <f t="array" ref="I425">SUMPRODUCT((ERP[UID]=A425)*(ERP[AP01 LE2]+ERP[AP02 LE2]+ERP[AP03 LE2]+ERP[AP04 LE2]+ERP[AP05 LE2]))</f>
        <v>1254.49</v>
      </c>
      <c r="J425" s="487">
        <f>'ERP_AP7 Macro Failed'!AL427</f>
        <v>-1053</v>
      </c>
      <c r="K425" t="str">
        <f t="shared" si="12"/>
        <v>Minor</v>
      </c>
      <c r="L425" t="str">
        <f t="shared" si="13"/>
        <v>No</v>
      </c>
    </row>
    <row r="426" spans="1:12">
      <c r="A426" t="str">
        <f>'ERP_AP7 Macro Failed'!A428</f>
        <v>L-ERP-516</v>
      </c>
      <c r="B426" t="str">
        <f>'ERP_AP7 Macro Failed'!D428</f>
        <v>Dougherty, Chris</v>
      </c>
      <c r="C426" t="str">
        <f>'ERP_AP7 Macro Failed'!E428</f>
        <v>Tamavada, Ram</v>
      </c>
      <c r="D426" t="str">
        <f>'ERP_AP7 Macro Failed'!G428</f>
        <v>SOFTWARE</v>
      </c>
      <c r="E426" t="str">
        <f>'ERP_AP7 Macro Failed'!H428</f>
        <v>E1 Oracle Hosting and Maintenance - OCI</v>
      </c>
      <c r="F426" t="str">
        <f>'ERP_AP7 Macro Failed'!I428</f>
        <v>ORACLE CORP</v>
      </c>
      <c r="G426" t="str">
        <f>'ERP_AP7 Macro Failed'!K428</f>
        <v>IT-SFT0159-86-OG-US</v>
      </c>
      <c r="H426" s="487" t="e" cm="1">
        <f t="array" ref="H426">SUMPRODUCT((ERP[UID]=A426)*(ERP[AP01]+ERP[AP02]+ERP[AP03]+ERP[AP04]+ERP[AP05]))</f>
        <v>#VALUE!</v>
      </c>
      <c r="I426" s="487" cm="1">
        <f t="array" ref="I426">SUMPRODUCT((ERP[UID]=A426)*(ERP[AP01 LE2]+ERP[AP02 LE2]+ERP[AP03 LE2]+ERP[AP04 LE2]+ERP[AP05 LE2]))</f>
        <v>-115764.16</v>
      </c>
      <c r="J426" s="487">
        <f>'ERP_AP7 Macro Failed'!AL428</f>
        <v>0</v>
      </c>
      <c r="K426" t="str">
        <f t="shared" si="12"/>
        <v>Immaterial</v>
      </c>
      <c r="L426" t="str">
        <f t="shared" si="13"/>
        <v>No</v>
      </c>
    </row>
    <row r="427" spans="1:12">
      <c r="A427" t="str">
        <f>'ERP_AP7 Macro Failed'!A429</f>
        <v>L-ERP-175</v>
      </c>
      <c r="B427" t="str">
        <f>'ERP_AP7 Macro Failed'!D429</f>
        <v>Hase, Raj</v>
      </c>
      <c r="C427" t="str">
        <f>'ERP_AP7 Macro Failed'!E429</f>
        <v>Ganesan, Srinivasan</v>
      </c>
      <c r="D427" t="str">
        <f>'ERP_AP7 Macro Failed'!G429</f>
        <v>SOFTWARE</v>
      </c>
      <c r="E427" t="str">
        <f>'ERP_AP7 Macro Failed'!H429</f>
        <v>Logistics Lakos WMS Software (Stocklin)_XFR1019</v>
      </c>
      <c r="F427">
        <f>'ERP_AP7 Macro Failed'!I429</f>
        <v>0</v>
      </c>
      <c r="G427" t="str">
        <f>'ERP_AP7 Macro Failed'!K429</f>
        <v>IT-SFT0486-86-OG-MX</v>
      </c>
      <c r="H427" s="487" t="e" cm="1">
        <f t="array" ref="H427">SUMPRODUCT((ERP[UID]=A427)*(ERP[AP01]+ERP[AP02]+ERP[AP03]+ERP[AP04]+ERP[AP05]))</f>
        <v>#VALUE!</v>
      </c>
      <c r="I427" s="487" cm="1">
        <f t="array" ref="I427">SUMPRODUCT((ERP[UID]=A427)*(ERP[AP01 LE2]+ERP[AP02 LE2]+ERP[AP03 LE2]+ERP[AP04 LE2]+ERP[AP05 LE2]))</f>
        <v>0</v>
      </c>
      <c r="J427" s="487">
        <f>'ERP_AP7 Macro Failed'!AL429</f>
        <v>0</v>
      </c>
      <c r="K427" t="str">
        <f t="shared" si="12"/>
        <v>Immaterial</v>
      </c>
      <c r="L427" t="str">
        <f t="shared" si="13"/>
        <v>No</v>
      </c>
    </row>
    <row r="428" spans="1:12">
      <c r="A428" t="str">
        <f>'ERP_AP7 Macro Failed'!A430</f>
        <v>N-ERP-614</v>
      </c>
      <c r="B428" t="str">
        <f>'ERP_AP7 Macro Failed'!D430</f>
        <v>Dougherty, Chris</v>
      </c>
      <c r="C428" t="str">
        <f>'ERP_AP7 Macro Failed'!E430</f>
        <v>Tamavada, Ram</v>
      </c>
      <c r="D428" t="str">
        <f>'ERP_AP7 Macro Failed'!G430</f>
        <v>SOFTWARE</v>
      </c>
      <c r="E428" t="str">
        <f>'ERP_AP7 Macro Failed'!H430</f>
        <v>E1 Oracle Hosting and Maintenance - OCI (Pullforward Credit)</v>
      </c>
      <c r="F428">
        <f>'ERP_AP7 Macro Failed'!I430</f>
        <v>0</v>
      </c>
      <c r="G428" t="str">
        <f>'ERP_AP7 Macro Failed'!K430</f>
        <v>IT-SFT0159-86-OG-US/PF</v>
      </c>
      <c r="H428" s="487" t="e" cm="1">
        <f t="array" ref="H428">SUMPRODUCT((ERP[UID]=A428)*(ERP[AP01]+ERP[AP02]+ERP[AP03]+ERP[AP04]+ERP[AP05]))</f>
        <v>#VALUE!</v>
      </c>
      <c r="I428" s="487" cm="1">
        <f t="array" ref="I428">SUMPRODUCT((ERP[UID]=A428)*(ERP[AP01 LE2]+ERP[AP02 LE2]+ERP[AP03 LE2]+ERP[AP04 LE2]+ERP[AP05 LE2]))</f>
        <v>115764.16</v>
      </c>
      <c r="J428" s="487">
        <f>'ERP_AP7 Macro Failed'!AL430</f>
        <v>0</v>
      </c>
      <c r="K428" t="str">
        <f t="shared" si="12"/>
        <v>Immaterial</v>
      </c>
      <c r="L428" t="str">
        <f t="shared" si="13"/>
        <v>No</v>
      </c>
    </row>
    <row r="429" spans="1:12">
      <c r="A429" t="str">
        <f>'ERP_AP7 Macro Failed'!A431</f>
        <v>N-ERP-615</v>
      </c>
      <c r="B429" t="str">
        <f>'ERP_AP7 Macro Failed'!D431</f>
        <v>Dougherty, Chris</v>
      </c>
      <c r="C429" t="str">
        <f>'ERP_AP7 Macro Failed'!E431</f>
        <v>Tamavada, Ram</v>
      </c>
      <c r="D429" t="str">
        <f>'ERP_AP7 Macro Failed'!G431</f>
        <v>SOFTWARE</v>
      </c>
      <c r="E429" t="str">
        <f>'ERP_AP7 Macro Failed'!H431</f>
        <v>Broadcom (Job Scheduler)</v>
      </c>
      <c r="F429" t="str">
        <f>'ERP_AP7 Macro Failed'!I431</f>
        <v>WORLD WIDE TECHNOLOGY LLC</v>
      </c>
      <c r="G429" t="str">
        <f>'ERP_AP7 Macro Failed'!K431</f>
        <v>IT-SFT0170-86-OG-US</v>
      </c>
      <c r="H429" s="487" t="e" cm="1">
        <f t="array" ref="H429">SUMPRODUCT((ERP[UID]=A429)*(ERP[AP01]+ERP[AP02]+ERP[AP03]+ERP[AP04]+ERP[AP05]))</f>
        <v>#VALUE!</v>
      </c>
      <c r="I429" s="487" cm="1">
        <f t="array" ref="I429">SUMPRODUCT((ERP[UID]=A429)*(ERP[AP01 LE2]+ERP[AP02 LE2]+ERP[AP03 LE2]+ERP[AP04 LE2]+ERP[AP05 LE2]))</f>
        <v>0</v>
      </c>
      <c r="J429" s="487">
        <f>'ERP_AP7 Macro Failed'!AL431</f>
        <v>0</v>
      </c>
      <c r="K429" t="str">
        <f t="shared" si="12"/>
        <v>Immaterial</v>
      </c>
      <c r="L429" t="str">
        <f t="shared" si="13"/>
        <v>No</v>
      </c>
    </row>
    <row r="430" spans="1:12">
      <c r="A430" t="str">
        <f>'ERP_AP7 Macro Failed'!A432</f>
        <v>N-ERP-616</v>
      </c>
      <c r="B430" t="str">
        <f>'ERP_AP7 Macro Failed'!D432</f>
        <v>Dougherty, Chris</v>
      </c>
      <c r="C430" t="str">
        <f>'ERP_AP7 Macro Failed'!E432</f>
        <v>Tamavada, Ram</v>
      </c>
      <c r="D430" t="str">
        <f>'ERP_AP7 Macro Failed'!G432</f>
        <v>SOFTWARE</v>
      </c>
      <c r="E430" t="str">
        <f>'ERP_AP7 Macro Failed'!H432</f>
        <v>Broadcom (Job Scheduler) (Pullforward Credit)</v>
      </c>
      <c r="F430">
        <f>'ERP_AP7 Macro Failed'!I432</f>
        <v>0</v>
      </c>
      <c r="G430" t="str">
        <f>'ERP_AP7 Macro Failed'!K432</f>
        <v>IT-SFT0170-86-OG-US/PF</v>
      </c>
      <c r="H430" s="487" t="e" cm="1">
        <f t="array" ref="H430">SUMPRODUCT((ERP[UID]=A430)*(ERP[AP01]+ERP[AP02]+ERP[AP03]+ERP[AP04]+ERP[AP05]))</f>
        <v>#VALUE!</v>
      </c>
      <c r="I430" s="487" cm="1">
        <f t="array" ref="I430">SUMPRODUCT((ERP[UID]=A430)*(ERP[AP01 LE2]+ERP[AP02 LE2]+ERP[AP03 LE2]+ERP[AP04 LE2]+ERP[AP05 LE2]))</f>
        <v>0</v>
      </c>
      <c r="J430" s="487">
        <f>'ERP_AP7 Macro Failed'!AL432</f>
        <v>0</v>
      </c>
      <c r="K430" t="str">
        <f t="shared" si="12"/>
        <v>Immaterial</v>
      </c>
      <c r="L430" t="str">
        <f t="shared" si="13"/>
        <v>No</v>
      </c>
    </row>
    <row r="431" spans="1:12">
      <c r="A431" t="str">
        <f>'ERP_AP7 Macro Failed'!A433</f>
        <v>L-ERP-474</v>
      </c>
      <c r="B431" t="str">
        <f>'ERP_AP7 Macro Failed'!D433</f>
        <v>Dougherty, Chris</v>
      </c>
      <c r="C431" t="str">
        <f>'ERP_AP7 Macro Failed'!E433</f>
        <v>Patel, Nikunj Rohitkumar</v>
      </c>
      <c r="D431" t="str">
        <f>'ERP_AP7 Macro Failed'!G433</f>
        <v>SOFTWARE</v>
      </c>
      <c r="E431" t="str">
        <f>'ERP_AP7 Macro Failed'!H433</f>
        <v>Gate Software ALLOut Security</v>
      </c>
      <c r="F431" t="str">
        <f>'ERP_AP7 Macro Failed'!I433</f>
        <v>GATE SOFTWARE LLC</v>
      </c>
      <c r="G431" t="str">
        <f>'ERP_AP7 Macro Failed'!K433</f>
        <v>IT-SFT0673-86-OG-US</v>
      </c>
      <c r="H431" s="487" t="e" cm="1">
        <f t="array" ref="H431">SUMPRODUCT((ERP[UID]=A431)*(ERP[AP01]+ERP[AP02]+ERP[AP03]+ERP[AP04]+ERP[AP05]))</f>
        <v>#VALUE!</v>
      </c>
      <c r="I431" s="487" cm="1">
        <f t="array" ref="I431">SUMPRODUCT((ERP[UID]=A431)*(ERP[AP01 LE2]+ERP[AP02 LE2]+ERP[AP03 LE2]+ERP[AP04 LE2]+ERP[AP05 LE2]))</f>
        <v>0</v>
      </c>
      <c r="J431" s="487">
        <f>'ERP_AP7 Macro Failed'!AL433</f>
        <v>0</v>
      </c>
      <c r="K431" t="str">
        <f t="shared" si="12"/>
        <v>Immaterial</v>
      </c>
      <c r="L431" t="str">
        <f t="shared" si="13"/>
        <v>No</v>
      </c>
    </row>
    <row r="432" spans="1:12">
      <c r="A432" t="str">
        <f>'ERP_AP7 Macro Failed'!A434</f>
        <v>N-ERP-590</v>
      </c>
      <c r="B432" t="str">
        <f>'ERP_AP7 Macro Failed'!D434</f>
        <v>Dougherty, Chris</v>
      </c>
      <c r="C432" t="str">
        <f>'ERP_AP7 Macro Failed'!E434</f>
        <v>McCormick, Pete</v>
      </c>
      <c r="D432" t="str">
        <f>'ERP_AP7 Macro Failed'!G434</f>
        <v>SOFTWARE</v>
      </c>
      <c r="E432" t="str">
        <f>'ERP_AP7 Macro Failed'!H434</f>
        <v>Security Bridge (Pullforward Debit)</v>
      </c>
      <c r="F432" t="str">
        <f>'ERP_AP7 Macro Failed'!I434</f>
        <v>AXWAY INC</v>
      </c>
      <c r="G432" t="str">
        <f>'ERP_AP7 Macro Failed'!K434</f>
        <v>IT-SFT1003-86-OG-US</v>
      </c>
      <c r="H432" s="487" t="e" cm="1">
        <f t="array" ref="H432">SUMPRODUCT((ERP[UID]=A432)*(ERP[AP01]+ERP[AP02]+ERP[AP03]+ERP[AP04]+ERP[AP05]))</f>
        <v>#VALUE!</v>
      </c>
      <c r="I432" s="487" cm="1">
        <f t="array" ref="I432">SUMPRODUCT((ERP[UID]=A432)*(ERP[AP01 LE2]+ERP[AP02 LE2]+ERP[AP03 LE2]+ERP[AP04 LE2]+ERP[AP05 LE2]))</f>
        <v>0</v>
      </c>
      <c r="J432" s="487">
        <f>'ERP_AP7 Macro Failed'!AL434</f>
        <v>0</v>
      </c>
      <c r="K432" t="str">
        <f t="shared" si="12"/>
        <v>Immaterial</v>
      </c>
      <c r="L432" t="str">
        <f t="shared" si="13"/>
        <v>No</v>
      </c>
    </row>
    <row r="433" spans="1:12">
      <c r="A433" t="str">
        <f>'ERP_AP7 Macro Failed'!A435</f>
        <v>N-ERP-591</v>
      </c>
      <c r="B433" t="str">
        <f>'ERP_AP7 Macro Failed'!D435</f>
        <v>Dougherty, Chris</v>
      </c>
      <c r="C433" t="str">
        <f>'ERP_AP7 Macro Failed'!E435</f>
        <v>McCormick, Pete</v>
      </c>
      <c r="D433" t="str">
        <f>'ERP_AP7 Macro Failed'!G435</f>
        <v>SOFTWARE</v>
      </c>
      <c r="E433" t="str">
        <f>'ERP_AP7 Macro Failed'!H435</f>
        <v>Security Bridge (Pullforward Credit)</v>
      </c>
      <c r="F433">
        <f>'ERP_AP7 Macro Failed'!I435</f>
        <v>0</v>
      </c>
      <c r="G433" t="str">
        <f>'ERP_AP7 Macro Failed'!K435</f>
        <v>IT-SFT1003-86-OG-US/PF</v>
      </c>
      <c r="H433" s="487" t="e" cm="1">
        <f t="array" ref="H433">SUMPRODUCT((ERP[UID]=A433)*(ERP[AP01]+ERP[AP02]+ERP[AP03]+ERP[AP04]+ERP[AP05]))</f>
        <v>#VALUE!</v>
      </c>
      <c r="I433" s="487" cm="1">
        <f t="array" ref="I433">SUMPRODUCT((ERP[UID]=A433)*(ERP[AP01 LE2]+ERP[AP02 LE2]+ERP[AP03 LE2]+ERP[AP04 LE2]+ERP[AP05 LE2]))</f>
        <v>0</v>
      </c>
      <c r="J433" s="487">
        <f>'ERP_AP7 Macro Failed'!AL435</f>
        <v>0</v>
      </c>
      <c r="K433" t="str">
        <f t="shared" si="12"/>
        <v>Immaterial</v>
      </c>
      <c r="L433" t="str">
        <f t="shared" si="13"/>
        <v>No</v>
      </c>
    </row>
    <row r="434" spans="1:12">
      <c r="A434" t="str">
        <f>'ERP_AP7 Macro Failed'!A436</f>
        <v>L-ERP-378</v>
      </c>
      <c r="B434" t="str">
        <f>'ERP_AP7 Macro Failed'!D436</f>
        <v>Dougherty, Chris</v>
      </c>
      <c r="C434" t="str">
        <f>'ERP_AP7 Macro Failed'!E436</f>
        <v>McCormick, Pete</v>
      </c>
      <c r="D434" t="str">
        <f>'ERP_AP7 Macro Failed'!G436</f>
        <v>SOFTWARE</v>
      </c>
      <c r="E434" t="str">
        <f>'ERP_AP7 Macro Failed'!H436</f>
        <v>Oracle Diagnostics Pack</v>
      </c>
      <c r="F434" t="str">
        <f>'ERP_AP7 Macro Failed'!I436</f>
        <v>ORACLE CORP</v>
      </c>
      <c r="G434" t="str">
        <f>'ERP_AP7 Macro Failed'!K436</f>
        <v>IT-SFT1006-86-OG-US</v>
      </c>
      <c r="H434" s="487" t="e" cm="1">
        <f t="array" ref="H434">SUMPRODUCT((ERP[UID]=A434)*(ERP[AP01]+ERP[AP02]+ERP[AP03]+ERP[AP04]+ERP[AP05]))</f>
        <v>#VALUE!</v>
      </c>
      <c r="I434" s="487" cm="1">
        <f t="array" ref="I434">SUMPRODUCT((ERP[UID]=A434)*(ERP[AP01 LE2]+ERP[AP02 LE2]+ERP[AP03 LE2]+ERP[AP04 LE2]+ERP[AP05 LE2]))</f>
        <v>55716.44</v>
      </c>
      <c r="J434" s="487">
        <f>'ERP_AP7 Macro Failed'!AL436</f>
        <v>0</v>
      </c>
      <c r="K434" t="str">
        <f t="shared" si="12"/>
        <v>Immaterial</v>
      </c>
      <c r="L434" t="str">
        <f t="shared" si="13"/>
        <v>No</v>
      </c>
    </row>
    <row r="435" spans="1:12">
      <c r="A435" t="str">
        <f>'ERP_AP7 Macro Failed'!A437</f>
        <v>L-ERP-112</v>
      </c>
      <c r="B435" t="str">
        <f>'ERP_AP7 Macro Failed'!D437</f>
        <v>Dougherty, Chris</v>
      </c>
      <c r="C435" t="str">
        <f>'ERP_AP7 Macro Failed'!E437</f>
        <v>Dougherty, Chris</v>
      </c>
      <c r="D435" t="str">
        <f>'ERP_AP7 Macro Failed'!G437</f>
        <v>SOFTWARE</v>
      </c>
      <c r="E435" t="str">
        <f>'ERP_AP7 Macro Failed'!H437</f>
        <v>SAP on Premise Software Maintenance (Appendix 1)</v>
      </c>
      <c r="F435" t="str">
        <f>'ERP_AP7 Macro Failed'!I437</f>
        <v>Prepaid - SAP AMERICA INC</v>
      </c>
      <c r="G435" t="str">
        <f>'ERP_AP7 Macro Failed'!K437</f>
        <v>IT-SFT1009-86-OG-US</v>
      </c>
      <c r="H435" s="487" t="e" cm="1">
        <f t="array" ref="H435">SUMPRODUCT((ERP[UID]=A435)*(ERP[AP01]+ERP[AP02]+ERP[AP03]+ERP[AP04]+ERP[AP05]))</f>
        <v>#VALUE!</v>
      </c>
      <c r="I435" s="487" cm="1">
        <f t="array" ref="I435">SUMPRODUCT((ERP[UID]=A435)*(ERP[AP01 LE2]+ERP[AP02 LE2]+ERP[AP03 LE2]+ERP[AP04 LE2]+ERP[AP05 LE2]))</f>
        <v>1261170.8700000001</v>
      </c>
      <c r="J435" s="487">
        <f>'ERP_AP7 Macro Failed'!AL437</f>
        <v>1449320.04</v>
      </c>
      <c r="K435" t="str">
        <f t="shared" si="12"/>
        <v>MATERIAL</v>
      </c>
      <c r="L435" t="str">
        <f t="shared" si="13"/>
        <v>YES</v>
      </c>
    </row>
    <row r="436" spans="1:12">
      <c r="A436" t="str">
        <f>'ERP_AP7 Macro Failed'!A438</f>
        <v>N-ERP-509</v>
      </c>
      <c r="B436" t="str">
        <f>'ERP_AP7 Macro Failed'!D438</f>
        <v>Dougherty, Chris</v>
      </c>
      <c r="C436" t="str">
        <f>'ERP_AP7 Macro Failed'!E438</f>
        <v>Dougherty, Chris</v>
      </c>
      <c r="D436" t="str">
        <f>'ERP_AP7 Macro Failed'!G438</f>
        <v>SOFTWARE</v>
      </c>
      <c r="E436" t="str">
        <f>'ERP_AP7 Macro Failed'!H438</f>
        <v>SAP on Premise Software Maintenance (Appendix 2) (Pullforward Debit)</v>
      </c>
      <c r="F436" t="str">
        <f>'ERP_AP7 Macro Failed'!I438</f>
        <v xml:space="preserve"> SAP AMERICA INC</v>
      </c>
      <c r="G436" t="str">
        <f>'ERP_AP7 Macro Failed'!K438</f>
        <v>IT-SFT1009-86-OG-US/02</v>
      </c>
      <c r="H436" s="487" t="e" cm="1">
        <f t="array" ref="H436">SUMPRODUCT((ERP[UID]=A436)*(ERP[AP01]+ERP[AP02]+ERP[AP03]+ERP[AP04]+ERP[AP05]))</f>
        <v>#VALUE!</v>
      </c>
      <c r="I436" s="487" cm="1">
        <f t="array" ref="I436">SUMPRODUCT((ERP[UID]=A436)*(ERP[AP01 LE2]+ERP[AP02 LE2]+ERP[AP03 LE2]+ERP[AP04 LE2]+ERP[AP05 LE2]))</f>
        <v>0</v>
      </c>
      <c r="J436" s="487">
        <f>'ERP_AP7 Macro Failed'!AL438</f>
        <v>0</v>
      </c>
      <c r="K436" t="str">
        <f t="shared" si="12"/>
        <v>Immaterial</v>
      </c>
      <c r="L436" t="str">
        <f t="shared" si="13"/>
        <v>No</v>
      </c>
    </row>
    <row r="437" spans="1:12">
      <c r="A437" t="str">
        <f>'ERP_AP7 Macro Failed'!A439</f>
        <v>N-ERP-510</v>
      </c>
      <c r="B437" t="str">
        <f>'ERP_AP7 Macro Failed'!D439</f>
        <v>Dougherty, Chris</v>
      </c>
      <c r="C437" t="str">
        <f>'ERP_AP7 Macro Failed'!E439</f>
        <v>Dougherty, Chris</v>
      </c>
      <c r="D437" t="str">
        <f>'ERP_AP7 Macro Failed'!G439</f>
        <v>SOFTWARE</v>
      </c>
      <c r="E437" t="str">
        <f>'ERP_AP7 Macro Failed'!H439</f>
        <v>SAP on Premise Software Maintenance (Appendix 2) (Pullforward Credit)</v>
      </c>
      <c r="F437" t="str">
        <f>'ERP_AP7 Macro Failed'!I439</f>
        <v xml:space="preserve"> SAP AMERICA INC</v>
      </c>
      <c r="G437" t="str">
        <f>'ERP_AP7 Macro Failed'!K439</f>
        <v>IT-SFT1009-86-OG-US/02/PF</v>
      </c>
      <c r="H437" s="487" t="e" cm="1">
        <f t="array" ref="H437">SUMPRODUCT((ERP[UID]=A437)*(ERP[AP01]+ERP[AP02]+ERP[AP03]+ERP[AP04]+ERP[AP05]))</f>
        <v>#VALUE!</v>
      </c>
      <c r="I437" s="487" cm="1">
        <f t="array" ref="I437">SUMPRODUCT((ERP[UID]=A437)*(ERP[AP01 LE2]+ERP[AP02 LE2]+ERP[AP03 LE2]+ERP[AP04 LE2]+ERP[AP05 LE2]))</f>
        <v>0</v>
      </c>
      <c r="J437" s="487">
        <f>'ERP_AP7 Macro Failed'!AL439</f>
        <v>0</v>
      </c>
      <c r="K437" t="str">
        <f t="shared" si="12"/>
        <v>Immaterial</v>
      </c>
      <c r="L437" t="str">
        <f t="shared" si="13"/>
        <v>No</v>
      </c>
    </row>
    <row r="438" spans="1:12">
      <c r="A438" t="str">
        <f>'ERP_AP7 Macro Failed'!A440</f>
        <v>N-ERP-511</v>
      </c>
      <c r="B438" t="str">
        <f>'ERP_AP7 Macro Failed'!D440</f>
        <v>Dougherty, Chris</v>
      </c>
      <c r="C438" t="str">
        <f>'ERP_AP7 Macro Failed'!E440</f>
        <v>Dougherty, Chris</v>
      </c>
      <c r="D438" t="str">
        <f>'ERP_AP7 Macro Failed'!G440</f>
        <v>SOFTWARE</v>
      </c>
      <c r="E438" t="str">
        <f>'ERP_AP7 Macro Failed'!H440</f>
        <v>SAP on Premise Software Maintenance (Appendix 4) (Pullforward Debit)</v>
      </c>
      <c r="F438" t="str">
        <f>'ERP_AP7 Macro Failed'!I440</f>
        <v xml:space="preserve"> SAP AMERICA INC</v>
      </c>
      <c r="G438" t="str">
        <f>'ERP_AP7 Macro Failed'!K440</f>
        <v>IT-SFT1009-86-OG-US/04</v>
      </c>
      <c r="H438" s="487" t="e" cm="1">
        <f t="array" ref="H438">SUMPRODUCT((ERP[UID]=A438)*(ERP[AP01]+ERP[AP02]+ERP[AP03]+ERP[AP04]+ERP[AP05]))</f>
        <v>#VALUE!</v>
      </c>
      <c r="I438" s="487" cm="1">
        <f t="array" ref="I438">SUMPRODUCT((ERP[UID]=A438)*(ERP[AP01 LE2]+ERP[AP02 LE2]+ERP[AP03 LE2]+ERP[AP04 LE2]+ERP[AP05 LE2]))</f>
        <v>0</v>
      </c>
      <c r="J438" s="487">
        <f>'ERP_AP7 Macro Failed'!AL440</f>
        <v>0</v>
      </c>
      <c r="K438" t="str">
        <f t="shared" si="12"/>
        <v>Immaterial</v>
      </c>
      <c r="L438" t="str">
        <f t="shared" si="13"/>
        <v>No</v>
      </c>
    </row>
    <row r="439" spans="1:12">
      <c r="A439" t="str">
        <f>'ERP_AP7 Macro Failed'!A441</f>
        <v>N-ERP-512</v>
      </c>
      <c r="B439" t="str">
        <f>'ERP_AP7 Macro Failed'!D441</f>
        <v>Dougherty, Chris</v>
      </c>
      <c r="C439" t="str">
        <f>'ERP_AP7 Macro Failed'!E441</f>
        <v>Dougherty, Chris</v>
      </c>
      <c r="D439" t="str">
        <f>'ERP_AP7 Macro Failed'!G441</f>
        <v>SOFTWARE</v>
      </c>
      <c r="E439" t="str">
        <f>'ERP_AP7 Macro Failed'!H441</f>
        <v>SAP on Premise Software Maintenance (Appendix 4) (Pullforward Credit)</v>
      </c>
      <c r="F439" t="str">
        <f>'ERP_AP7 Macro Failed'!I441</f>
        <v xml:space="preserve"> SAP AMERICA INC</v>
      </c>
      <c r="G439" t="str">
        <f>'ERP_AP7 Macro Failed'!K441</f>
        <v>IT-SFT1009-86-OG-US/04/PF</v>
      </c>
      <c r="H439" s="487" t="e" cm="1">
        <f t="array" ref="H439">SUMPRODUCT((ERP[UID]=A439)*(ERP[AP01]+ERP[AP02]+ERP[AP03]+ERP[AP04]+ERP[AP05]))</f>
        <v>#VALUE!</v>
      </c>
      <c r="I439" s="487" cm="1">
        <f t="array" ref="I439">SUMPRODUCT((ERP[UID]=A439)*(ERP[AP01 LE2]+ERP[AP02 LE2]+ERP[AP03 LE2]+ERP[AP04 LE2]+ERP[AP05 LE2]))</f>
        <v>0</v>
      </c>
      <c r="J439" s="487">
        <f>'ERP_AP7 Macro Failed'!AL441</f>
        <v>0</v>
      </c>
      <c r="K439" t="str">
        <f t="shared" si="12"/>
        <v>Immaterial</v>
      </c>
      <c r="L439" t="str">
        <f t="shared" si="13"/>
        <v>No</v>
      </c>
    </row>
    <row r="440" spans="1:12">
      <c r="A440" t="str">
        <f>'ERP_AP7 Macro Failed'!A442</f>
        <v>N-ERP-513</v>
      </c>
      <c r="B440" t="str">
        <f>'ERP_AP7 Macro Failed'!D442</f>
        <v>Dougherty, Chris</v>
      </c>
      <c r="C440" t="str">
        <f>'ERP_AP7 Macro Failed'!E442</f>
        <v>Dougherty, Chris</v>
      </c>
      <c r="D440" t="str">
        <f>'ERP_AP7 Macro Failed'!G442</f>
        <v>SOFTWARE</v>
      </c>
      <c r="E440" t="str">
        <f>'ERP_AP7 Macro Failed'!H442</f>
        <v>SAP on Premise Software Maintenance (Appendix 5) (Pullforward Debit)</v>
      </c>
      <c r="F440" t="str">
        <f>'ERP_AP7 Macro Failed'!I442</f>
        <v xml:space="preserve"> SAP AMERICA INC</v>
      </c>
      <c r="G440" t="str">
        <f>'ERP_AP7 Macro Failed'!K442</f>
        <v>IT-SFT1009-86-OG-US/05</v>
      </c>
      <c r="H440" s="487" t="e" cm="1">
        <f t="array" ref="H440">SUMPRODUCT((ERP[UID]=A440)*(ERP[AP01]+ERP[AP02]+ERP[AP03]+ERP[AP04]+ERP[AP05]))</f>
        <v>#VALUE!</v>
      </c>
      <c r="I440" s="487" cm="1">
        <f t="array" ref="I440">SUMPRODUCT((ERP[UID]=A440)*(ERP[AP01 LE2]+ERP[AP02 LE2]+ERP[AP03 LE2]+ERP[AP04 LE2]+ERP[AP05 LE2]))</f>
        <v>0</v>
      </c>
      <c r="J440" s="487">
        <f>'ERP_AP7 Macro Failed'!AL442</f>
        <v>0</v>
      </c>
      <c r="K440" t="str">
        <f t="shared" si="12"/>
        <v>Immaterial</v>
      </c>
      <c r="L440" t="str">
        <f t="shared" si="13"/>
        <v>No</v>
      </c>
    </row>
    <row r="441" spans="1:12">
      <c r="A441" t="str">
        <f>'ERP_AP7 Macro Failed'!A443</f>
        <v>N-ERP-514</v>
      </c>
      <c r="B441" t="str">
        <f>'ERP_AP7 Macro Failed'!D443</f>
        <v>Dougherty, Chris</v>
      </c>
      <c r="C441" t="str">
        <f>'ERP_AP7 Macro Failed'!E443</f>
        <v>Dougherty, Chris</v>
      </c>
      <c r="D441" t="str">
        <f>'ERP_AP7 Macro Failed'!G443</f>
        <v>SOFTWARE</v>
      </c>
      <c r="E441" t="str">
        <f>'ERP_AP7 Macro Failed'!H443</f>
        <v>SAP on Premise Software Maintenance (Appendix 5) (Pullforward Credit)</v>
      </c>
      <c r="F441" t="str">
        <f>'ERP_AP7 Macro Failed'!I443</f>
        <v xml:space="preserve"> SAP AMERICA INC</v>
      </c>
      <c r="G441" t="str">
        <f>'ERP_AP7 Macro Failed'!K443</f>
        <v>IT-SFT1009-86-OG-US/05/PF</v>
      </c>
      <c r="H441" s="487" t="e" cm="1">
        <f t="array" ref="H441">SUMPRODUCT((ERP[UID]=A441)*(ERP[AP01]+ERP[AP02]+ERP[AP03]+ERP[AP04]+ERP[AP05]))</f>
        <v>#VALUE!</v>
      </c>
      <c r="I441" s="487" cm="1">
        <f t="array" ref="I441">SUMPRODUCT((ERP[UID]=A441)*(ERP[AP01 LE2]+ERP[AP02 LE2]+ERP[AP03 LE2]+ERP[AP04 LE2]+ERP[AP05 LE2]))</f>
        <v>0</v>
      </c>
      <c r="J441" s="487">
        <f>'ERP_AP7 Macro Failed'!AL443</f>
        <v>0</v>
      </c>
      <c r="K441" t="str">
        <f t="shared" si="12"/>
        <v>Immaterial</v>
      </c>
      <c r="L441" t="str">
        <f t="shared" si="13"/>
        <v>No</v>
      </c>
    </row>
    <row r="442" spans="1:12">
      <c r="A442" t="str">
        <f>'ERP_AP7 Macro Failed'!A444</f>
        <v>N-ERP-515</v>
      </c>
      <c r="B442" t="str">
        <f>'ERP_AP7 Macro Failed'!D444</f>
        <v>Dougherty, Chris</v>
      </c>
      <c r="C442" t="str">
        <f>'ERP_AP7 Macro Failed'!E444</f>
        <v>Dougherty, Chris</v>
      </c>
      <c r="D442" t="str">
        <f>'ERP_AP7 Macro Failed'!G444</f>
        <v>SOFTWARE</v>
      </c>
      <c r="E442" t="str">
        <f>'ERP_AP7 Macro Failed'!H444</f>
        <v>SAP on Premise Software Maintenance (Appendix 7) (Pullforward Debit)</v>
      </c>
      <c r="F442" t="str">
        <f>'ERP_AP7 Macro Failed'!I444</f>
        <v xml:space="preserve"> SAP AMERICA INC</v>
      </c>
      <c r="G442" t="str">
        <f>'ERP_AP7 Macro Failed'!K444</f>
        <v>IT-SFT1009-86-OG-US/07</v>
      </c>
      <c r="H442" s="487" t="e" cm="1">
        <f t="array" ref="H442">SUMPRODUCT((ERP[UID]=A442)*(ERP[AP01]+ERP[AP02]+ERP[AP03]+ERP[AP04]+ERP[AP05]))</f>
        <v>#VALUE!</v>
      </c>
      <c r="I442" s="487" cm="1">
        <f t="array" ref="I442">SUMPRODUCT((ERP[UID]=A442)*(ERP[AP01 LE2]+ERP[AP02 LE2]+ERP[AP03 LE2]+ERP[AP04 LE2]+ERP[AP05 LE2]))</f>
        <v>0</v>
      </c>
      <c r="J442" s="487">
        <f>'ERP_AP7 Macro Failed'!AL444</f>
        <v>0</v>
      </c>
      <c r="K442" t="str">
        <f t="shared" si="12"/>
        <v>Immaterial</v>
      </c>
      <c r="L442" t="str">
        <f t="shared" si="13"/>
        <v>No</v>
      </c>
    </row>
    <row r="443" spans="1:12">
      <c r="A443" t="str">
        <f>'ERP_AP7 Macro Failed'!A445</f>
        <v>N-ERP-516</v>
      </c>
      <c r="B443" t="str">
        <f>'ERP_AP7 Macro Failed'!D445</f>
        <v>Dougherty, Chris</v>
      </c>
      <c r="C443" t="str">
        <f>'ERP_AP7 Macro Failed'!E445</f>
        <v>Dougherty, Chris</v>
      </c>
      <c r="D443" t="str">
        <f>'ERP_AP7 Macro Failed'!G445</f>
        <v>SOFTWARE</v>
      </c>
      <c r="E443" t="str">
        <f>'ERP_AP7 Macro Failed'!H445</f>
        <v>SAP on Premise Software Maintenance (Appendix 7) (Pullforward Credit)</v>
      </c>
      <c r="F443" t="str">
        <f>'ERP_AP7 Macro Failed'!I445</f>
        <v xml:space="preserve"> SAP AMERICA INC</v>
      </c>
      <c r="G443" t="str">
        <f>'ERP_AP7 Macro Failed'!K445</f>
        <v>IT-SFT1009-86-OG-US/07/PF</v>
      </c>
      <c r="H443" s="487" t="e" cm="1">
        <f t="array" ref="H443">SUMPRODUCT((ERP[UID]=A443)*(ERP[AP01]+ERP[AP02]+ERP[AP03]+ERP[AP04]+ERP[AP05]))</f>
        <v>#VALUE!</v>
      </c>
      <c r="I443" s="487" cm="1">
        <f t="array" ref="I443">SUMPRODUCT((ERP[UID]=A443)*(ERP[AP01 LE2]+ERP[AP02 LE2]+ERP[AP03 LE2]+ERP[AP04 LE2]+ERP[AP05 LE2]))</f>
        <v>0</v>
      </c>
      <c r="J443" s="487">
        <f>'ERP_AP7 Macro Failed'!AL445</f>
        <v>0</v>
      </c>
      <c r="K443" t="str">
        <f t="shared" si="12"/>
        <v>Immaterial</v>
      </c>
      <c r="L443" t="str">
        <f t="shared" si="13"/>
        <v>No</v>
      </c>
    </row>
    <row r="444" spans="1:12">
      <c r="A444" t="str">
        <f>'ERP_AP7 Macro Failed'!A446</f>
        <v>N-ERP-517</v>
      </c>
      <c r="B444" t="str">
        <f>'ERP_AP7 Macro Failed'!D446</f>
        <v>Dougherty, Chris</v>
      </c>
      <c r="C444" t="str">
        <f>'ERP_AP7 Macro Failed'!E446</f>
        <v>Dougherty, Chris</v>
      </c>
      <c r="D444" t="str">
        <f>'ERP_AP7 Macro Failed'!G446</f>
        <v>SOFTWARE</v>
      </c>
      <c r="E444" t="str">
        <f>'ERP_AP7 Macro Failed'!H446</f>
        <v>SAP on Premise Software Maintenance (Appendix 8) (Pullforward Debit)</v>
      </c>
      <c r="F444" t="str">
        <f>'ERP_AP7 Macro Failed'!I446</f>
        <v xml:space="preserve"> SAP AMERICA INC</v>
      </c>
      <c r="G444" t="str">
        <f>'ERP_AP7 Macro Failed'!K446</f>
        <v>IT-SFT1009-86-OG-US/08</v>
      </c>
      <c r="H444" s="487" t="e" cm="1">
        <f t="array" ref="H444">SUMPRODUCT((ERP[UID]=A444)*(ERP[AP01]+ERP[AP02]+ERP[AP03]+ERP[AP04]+ERP[AP05]))</f>
        <v>#VALUE!</v>
      </c>
      <c r="I444" s="487" cm="1">
        <f t="array" ref="I444">SUMPRODUCT((ERP[UID]=A444)*(ERP[AP01 LE2]+ERP[AP02 LE2]+ERP[AP03 LE2]+ERP[AP04 LE2]+ERP[AP05 LE2]))</f>
        <v>0</v>
      </c>
      <c r="J444" s="487">
        <f>'ERP_AP7 Macro Failed'!AL446</f>
        <v>0</v>
      </c>
      <c r="K444" t="str">
        <f t="shared" si="12"/>
        <v>Immaterial</v>
      </c>
      <c r="L444" t="str">
        <f t="shared" si="13"/>
        <v>No</v>
      </c>
    </row>
    <row r="445" spans="1:12">
      <c r="A445" t="str">
        <f>'ERP_AP7 Macro Failed'!A447</f>
        <v>N-ERP-518</v>
      </c>
      <c r="B445" t="str">
        <f>'ERP_AP7 Macro Failed'!D447</f>
        <v>Dougherty, Chris</v>
      </c>
      <c r="C445" t="str">
        <f>'ERP_AP7 Macro Failed'!E447</f>
        <v>Dougherty, Chris</v>
      </c>
      <c r="D445" t="str">
        <f>'ERP_AP7 Macro Failed'!G447</f>
        <v>SOFTWARE</v>
      </c>
      <c r="E445" t="str">
        <f>'ERP_AP7 Macro Failed'!H447</f>
        <v>SAP on Premise Software Maintenance (Appendix 8) (Pullforward Credit)</v>
      </c>
      <c r="F445" t="str">
        <f>'ERP_AP7 Macro Failed'!I447</f>
        <v xml:space="preserve"> SAP AMERICA INC</v>
      </c>
      <c r="G445" t="str">
        <f>'ERP_AP7 Macro Failed'!K447</f>
        <v>IT-SFT1009-86-OG-US/08/PF</v>
      </c>
      <c r="H445" s="487" t="e" cm="1">
        <f t="array" ref="H445">SUMPRODUCT((ERP[UID]=A445)*(ERP[AP01]+ERP[AP02]+ERP[AP03]+ERP[AP04]+ERP[AP05]))</f>
        <v>#VALUE!</v>
      </c>
      <c r="I445" s="487" cm="1">
        <f t="array" ref="I445">SUMPRODUCT((ERP[UID]=A445)*(ERP[AP01 LE2]+ERP[AP02 LE2]+ERP[AP03 LE2]+ERP[AP04 LE2]+ERP[AP05 LE2]))</f>
        <v>0</v>
      </c>
      <c r="J445" s="487">
        <f>'ERP_AP7 Macro Failed'!AL447</f>
        <v>0</v>
      </c>
      <c r="K445" t="str">
        <f t="shared" si="12"/>
        <v>Immaterial</v>
      </c>
      <c r="L445" t="str">
        <f t="shared" si="13"/>
        <v>No</v>
      </c>
    </row>
    <row r="446" spans="1:12">
      <c r="A446" t="str">
        <f>'ERP_AP7 Macro Failed'!A448</f>
        <v>N-ERP-519</v>
      </c>
      <c r="B446" t="str">
        <f>'ERP_AP7 Macro Failed'!D448</f>
        <v>Dougherty, Chris</v>
      </c>
      <c r="C446" t="str">
        <f>'ERP_AP7 Macro Failed'!E448</f>
        <v>Dougherty, Chris</v>
      </c>
      <c r="D446" t="str">
        <f>'ERP_AP7 Macro Failed'!G448</f>
        <v>SOFTWARE</v>
      </c>
      <c r="E446" t="str">
        <f>'ERP_AP7 Macro Failed'!H448</f>
        <v>SAP on Premise Software Maintenance (Appendix 13) (Pullforward Debit)</v>
      </c>
      <c r="F446" t="str">
        <f>'ERP_AP7 Macro Failed'!I448</f>
        <v xml:space="preserve"> SAP AMERICA INC</v>
      </c>
      <c r="G446" t="str">
        <f>'ERP_AP7 Macro Failed'!K448</f>
        <v>IT-SFT1009-86-OG-US/13</v>
      </c>
      <c r="H446" s="487" t="e" cm="1">
        <f t="array" ref="H446">SUMPRODUCT((ERP[UID]=A446)*(ERP[AP01]+ERP[AP02]+ERP[AP03]+ERP[AP04]+ERP[AP05]))</f>
        <v>#VALUE!</v>
      </c>
      <c r="I446" s="487" cm="1">
        <f t="array" ref="I446">SUMPRODUCT((ERP[UID]=A446)*(ERP[AP01 LE2]+ERP[AP02 LE2]+ERP[AP03 LE2]+ERP[AP04 LE2]+ERP[AP05 LE2]))</f>
        <v>0</v>
      </c>
      <c r="J446" s="487">
        <f>'ERP_AP7 Macro Failed'!AL448</f>
        <v>0</v>
      </c>
      <c r="K446" t="str">
        <f t="shared" si="12"/>
        <v>Immaterial</v>
      </c>
      <c r="L446" t="str">
        <f t="shared" si="13"/>
        <v>No</v>
      </c>
    </row>
    <row r="447" spans="1:12">
      <c r="A447" t="str">
        <f>'ERP_AP7 Macro Failed'!A449</f>
        <v>N-ERP-520</v>
      </c>
      <c r="B447" t="str">
        <f>'ERP_AP7 Macro Failed'!D449</f>
        <v>Dougherty, Chris</v>
      </c>
      <c r="C447" t="str">
        <f>'ERP_AP7 Macro Failed'!E449</f>
        <v>Dougherty, Chris</v>
      </c>
      <c r="D447" t="str">
        <f>'ERP_AP7 Macro Failed'!G449</f>
        <v>SOFTWARE</v>
      </c>
      <c r="E447" t="str">
        <f>'ERP_AP7 Macro Failed'!H449</f>
        <v>SAP on Premise Software Maintenance (Appendix 13) (Pullforward Credit)</v>
      </c>
      <c r="F447" t="str">
        <f>'ERP_AP7 Macro Failed'!I449</f>
        <v xml:space="preserve"> SAP AMERICA INC</v>
      </c>
      <c r="G447" t="str">
        <f>'ERP_AP7 Macro Failed'!K449</f>
        <v>IT-SFT1009-86-OG-US/13/PF</v>
      </c>
      <c r="H447" s="487" t="e" cm="1">
        <f t="array" ref="H447">SUMPRODUCT((ERP[UID]=A447)*(ERP[AP01]+ERP[AP02]+ERP[AP03]+ERP[AP04]+ERP[AP05]))</f>
        <v>#VALUE!</v>
      </c>
      <c r="I447" s="487" cm="1">
        <f t="array" ref="I447">SUMPRODUCT((ERP[UID]=A447)*(ERP[AP01 LE2]+ERP[AP02 LE2]+ERP[AP03 LE2]+ERP[AP04 LE2]+ERP[AP05 LE2]))</f>
        <v>0</v>
      </c>
      <c r="J447" s="487">
        <f>'ERP_AP7 Macro Failed'!AL449</f>
        <v>0</v>
      </c>
      <c r="K447" t="str">
        <f t="shared" si="12"/>
        <v>Immaterial</v>
      </c>
      <c r="L447" t="str">
        <f t="shared" si="13"/>
        <v>No</v>
      </c>
    </row>
    <row r="448" spans="1:12">
      <c r="A448" t="str">
        <f>'ERP_AP7 Macro Failed'!A450</f>
        <v>N-ERP-521</v>
      </c>
      <c r="B448" t="str">
        <f>'ERP_AP7 Macro Failed'!D450</f>
        <v>Dougherty, Chris</v>
      </c>
      <c r="C448" t="str">
        <f>'ERP_AP7 Macro Failed'!E450</f>
        <v>Dougherty, Chris</v>
      </c>
      <c r="D448" t="str">
        <f>'ERP_AP7 Macro Failed'!G450</f>
        <v>SOFTWARE</v>
      </c>
      <c r="E448" t="str">
        <f>'ERP_AP7 Macro Failed'!H450</f>
        <v>SAP on Premise Software Maintenance (Appendix 17) (Pullforward Debit)</v>
      </c>
      <c r="F448" t="str">
        <f>'ERP_AP7 Macro Failed'!I450</f>
        <v xml:space="preserve"> SAP AMERICA INC</v>
      </c>
      <c r="G448" t="str">
        <f>'ERP_AP7 Macro Failed'!K450</f>
        <v>IT-SFT1009-86-OG-US/17</v>
      </c>
      <c r="H448" s="487" t="e" cm="1">
        <f t="array" ref="H448">SUMPRODUCT((ERP[UID]=A448)*(ERP[AP01]+ERP[AP02]+ERP[AP03]+ERP[AP04]+ERP[AP05]))</f>
        <v>#VALUE!</v>
      </c>
      <c r="I448" s="487" cm="1">
        <f t="array" ref="I448">SUMPRODUCT((ERP[UID]=A448)*(ERP[AP01 LE2]+ERP[AP02 LE2]+ERP[AP03 LE2]+ERP[AP04 LE2]+ERP[AP05 LE2]))</f>
        <v>0</v>
      </c>
      <c r="J448" s="487">
        <f>'ERP_AP7 Macro Failed'!AL450</f>
        <v>0</v>
      </c>
      <c r="K448" t="str">
        <f t="shared" si="12"/>
        <v>Immaterial</v>
      </c>
      <c r="L448" t="str">
        <f t="shared" si="13"/>
        <v>No</v>
      </c>
    </row>
    <row r="449" spans="1:12">
      <c r="A449" t="str">
        <f>'ERP_AP7 Macro Failed'!A451</f>
        <v>N-ERP-522</v>
      </c>
      <c r="B449" t="str">
        <f>'ERP_AP7 Macro Failed'!D451</f>
        <v>Dougherty, Chris</v>
      </c>
      <c r="C449" t="str">
        <f>'ERP_AP7 Macro Failed'!E451</f>
        <v>Dougherty, Chris</v>
      </c>
      <c r="D449" t="str">
        <f>'ERP_AP7 Macro Failed'!G451</f>
        <v>SOFTWARE</v>
      </c>
      <c r="E449" t="str">
        <f>'ERP_AP7 Macro Failed'!H451</f>
        <v>SAP on Premise Software Maintenance (Appendix 17) (Pullforward Credit)</v>
      </c>
      <c r="F449" t="str">
        <f>'ERP_AP7 Macro Failed'!I451</f>
        <v xml:space="preserve"> SAP AMERICA INC</v>
      </c>
      <c r="G449" t="str">
        <f>'ERP_AP7 Macro Failed'!K451</f>
        <v>IT-SFT1009-86-OG-US/17/PF</v>
      </c>
      <c r="H449" s="487" t="e" cm="1">
        <f t="array" ref="H449">SUMPRODUCT((ERP[UID]=A449)*(ERP[AP01]+ERP[AP02]+ERP[AP03]+ERP[AP04]+ERP[AP05]))</f>
        <v>#VALUE!</v>
      </c>
      <c r="I449" s="487" cm="1">
        <f t="array" ref="I449">SUMPRODUCT((ERP[UID]=A449)*(ERP[AP01 LE2]+ERP[AP02 LE2]+ERP[AP03 LE2]+ERP[AP04 LE2]+ERP[AP05 LE2]))</f>
        <v>0</v>
      </c>
      <c r="J449" s="487">
        <f>'ERP_AP7 Macro Failed'!AL451</f>
        <v>0</v>
      </c>
      <c r="K449" t="str">
        <f t="shared" si="12"/>
        <v>Immaterial</v>
      </c>
      <c r="L449" t="str">
        <f t="shared" si="13"/>
        <v>No</v>
      </c>
    </row>
    <row r="450" spans="1:12">
      <c r="A450" t="str">
        <f>'ERP_AP7 Macro Failed'!A452</f>
        <v>N-ERP-523</v>
      </c>
      <c r="B450" t="str">
        <f>'ERP_AP7 Macro Failed'!D452</f>
        <v>Dougherty, Chris</v>
      </c>
      <c r="C450" t="str">
        <f>'ERP_AP7 Macro Failed'!E452</f>
        <v>Dougherty, Chris</v>
      </c>
      <c r="D450" t="str">
        <f>'ERP_AP7 Macro Failed'!G452</f>
        <v>SOFTWARE</v>
      </c>
      <c r="E450" t="str">
        <f>'ERP_AP7 Macro Failed'!H452</f>
        <v>SAP on Premise Software Maintenance (Appendix 19) (Pullforward Debit)</v>
      </c>
      <c r="F450" t="str">
        <f>'ERP_AP7 Macro Failed'!I452</f>
        <v xml:space="preserve"> SAP AMERICA INC</v>
      </c>
      <c r="G450" t="str">
        <f>'ERP_AP7 Macro Failed'!K452</f>
        <v>IT-SFT1009-86-OG-US/19</v>
      </c>
      <c r="H450" s="487" t="e" cm="1">
        <f t="array" ref="H450">SUMPRODUCT((ERP[UID]=A450)*(ERP[AP01]+ERP[AP02]+ERP[AP03]+ERP[AP04]+ERP[AP05]))</f>
        <v>#VALUE!</v>
      </c>
      <c r="I450" s="487" cm="1">
        <f t="array" ref="I450">SUMPRODUCT((ERP[UID]=A450)*(ERP[AP01 LE2]+ERP[AP02 LE2]+ERP[AP03 LE2]+ERP[AP04 LE2]+ERP[AP05 LE2]))</f>
        <v>0</v>
      </c>
      <c r="J450" s="487">
        <f>'ERP_AP7 Macro Failed'!AL452</f>
        <v>0</v>
      </c>
      <c r="K450" t="str">
        <f t="shared" si="12"/>
        <v>Immaterial</v>
      </c>
      <c r="L450" t="str">
        <f t="shared" si="13"/>
        <v>No</v>
      </c>
    </row>
    <row r="451" spans="1:12">
      <c r="A451" t="str">
        <f>'ERP_AP7 Macro Failed'!A453</f>
        <v>N-ERP-524</v>
      </c>
      <c r="B451" t="str">
        <f>'ERP_AP7 Macro Failed'!D453</f>
        <v>Dougherty, Chris</v>
      </c>
      <c r="C451" t="str">
        <f>'ERP_AP7 Macro Failed'!E453</f>
        <v>Dougherty, Chris</v>
      </c>
      <c r="D451" t="str">
        <f>'ERP_AP7 Macro Failed'!G453</f>
        <v>SOFTWARE</v>
      </c>
      <c r="E451" t="str">
        <f>'ERP_AP7 Macro Failed'!H453</f>
        <v>SAP on Premise Software Maintenance (Appendix 19) (Pullforward Credit)</v>
      </c>
      <c r="F451" t="str">
        <f>'ERP_AP7 Macro Failed'!I453</f>
        <v xml:space="preserve"> SAP AMERICA INC</v>
      </c>
      <c r="G451" t="str">
        <f>'ERP_AP7 Macro Failed'!K453</f>
        <v>IT-SFT1009-86-OG-US/19/PF</v>
      </c>
      <c r="H451" s="487" t="e" cm="1">
        <f t="array" ref="H451">SUMPRODUCT((ERP[UID]=A451)*(ERP[AP01]+ERP[AP02]+ERP[AP03]+ERP[AP04]+ERP[AP05]))</f>
        <v>#VALUE!</v>
      </c>
      <c r="I451" s="487" cm="1">
        <f t="array" ref="I451">SUMPRODUCT((ERP[UID]=A451)*(ERP[AP01 LE2]+ERP[AP02 LE2]+ERP[AP03 LE2]+ERP[AP04 LE2]+ERP[AP05 LE2]))</f>
        <v>0</v>
      </c>
      <c r="J451" s="487">
        <f>'ERP_AP7 Macro Failed'!AL453</f>
        <v>0</v>
      </c>
      <c r="K451" t="str">
        <f t="shared" si="12"/>
        <v>Immaterial</v>
      </c>
      <c r="L451" t="str">
        <f t="shared" si="13"/>
        <v>No</v>
      </c>
    </row>
    <row r="452" spans="1:12">
      <c r="A452" t="str">
        <f>'ERP_AP7 Macro Failed'!A454</f>
        <v>N-ERP-525</v>
      </c>
      <c r="B452" t="str">
        <f>'ERP_AP7 Macro Failed'!D454</f>
        <v>Dougherty, Chris</v>
      </c>
      <c r="C452" t="str">
        <f>'ERP_AP7 Macro Failed'!E454</f>
        <v>Dougherty, Chris</v>
      </c>
      <c r="D452" t="str">
        <f>'ERP_AP7 Macro Failed'!G454</f>
        <v>SOFTWARE</v>
      </c>
      <c r="E452" t="str">
        <f>'ERP_AP7 Macro Failed'!H454</f>
        <v>SAP on Premise Software Maintenance (Order Form No. 23) (Pullforward Debit)</v>
      </c>
      <c r="F452" t="str">
        <f>'ERP_AP7 Macro Failed'!I454</f>
        <v xml:space="preserve"> SAP AMERICA INC</v>
      </c>
      <c r="G452" t="str">
        <f>'ERP_AP7 Macro Failed'!K454</f>
        <v>IT-SFT1009-86-OG-US/23</v>
      </c>
      <c r="H452" s="487" t="e" cm="1">
        <f t="array" ref="H452">SUMPRODUCT((ERP[UID]=A452)*(ERP[AP01]+ERP[AP02]+ERP[AP03]+ERP[AP04]+ERP[AP05]))</f>
        <v>#VALUE!</v>
      </c>
      <c r="I452" s="487" cm="1">
        <f t="array" ref="I452">SUMPRODUCT((ERP[UID]=A452)*(ERP[AP01 LE2]+ERP[AP02 LE2]+ERP[AP03 LE2]+ERP[AP04 LE2]+ERP[AP05 LE2]))</f>
        <v>0</v>
      </c>
      <c r="J452" s="487">
        <f>'ERP_AP7 Macro Failed'!AL454</f>
        <v>0</v>
      </c>
      <c r="K452" t="str">
        <f t="shared" si="12"/>
        <v>Immaterial</v>
      </c>
      <c r="L452" t="str">
        <f t="shared" si="13"/>
        <v>No</v>
      </c>
    </row>
    <row r="453" spans="1:12">
      <c r="A453" t="str">
        <f>'ERP_AP7 Macro Failed'!A455</f>
        <v>N-ERP-526</v>
      </c>
      <c r="B453" t="str">
        <f>'ERP_AP7 Macro Failed'!D455</f>
        <v>Dougherty, Chris</v>
      </c>
      <c r="C453" t="str">
        <f>'ERP_AP7 Macro Failed'!E455</f>
        <v>Dougherty, Chris</v>
      </c>
      <c r="D453" t="str">
        <f>'ERP_AP7 Macro Failed'!G455</f>
        <v>SOFTWARE</v>
      </c>
      <c r="E453" t="str">
        <f>'ERP_AP7 Macro Failed'!H455</f>
        <v>SAP on Premise Software Maintenance (Order Form No. 23) (Pullforward Credit)</v>
      </c>
      <c r="F453" t="str">
        <f>'ERP_AP7 Macro Failed'!I455</f>
        <v xml:space="preserve"> SAP AMERICA INC</v>
      </c>
      <c r="G453" t="str">
        <f>'ERP_AP7 Macro Failed'!K455</f>
        <v>IT-SFT1009-86-OG-US/23/PF</v>
      </c>
      <c r="H453" s="487" t="e" cm="1">
        <f t="array" ref="H453">SUMPRODUCT((ERP[UID]=A453)*(ERP[AP01]+ERP[AP02]+ERP[AP03]+ERP[AP04]+ERP[AP05]))</f>
        <v>#VALUE!</v>
      </c>
      <c r="I453" s="487" cm="1">
        <f t="array" ref="I453">SUMPRODUCT((ERP[UID]=A453)*(ERP[AP01 LE2]+ERP[AP02 LE2]+ERP[AP03 LE2]+ERP[AP04 LE2]+ERP[AP05 LE2]))</f>
        <v>0</v>
      </c>
      <c r="J453" s="487">
        <f>'ERP_AP7 Macro Failed'!AL455</f>
        <v>0</v>
      </c>
      <c r="K453" t="str">
        <f t="shared" si="12"/>
        <v>Immaterial</v>
      </c>
      <c r="L453" t="str">
        <f t="shared" si="13"/>
        <v>No</v>
      </c>
    </row>
    <row r="454" spans="1:12">
      <c r="A454" t="str">
        <f>'ERP_AP7 Macro Failed'!A456</f>
        <v>N-ERP-527</v>
      </c>
      <c r="B454" t="str">
        <f>'ERP_AP7 Macro Failed'!D456</f>
        <v>Dougherty, Chris</v>
      </c>
      <c r="C454" t="str">
        <f>'ERP_AP7 Macro Failed'!E456</f>
        <v>Dougherty, Chris</v>
      </c>
      <c r="D454" t="str">
        <f>'ERP_AP7 Macro Failed'!G456</f>
        <v>SOFTWARE</v>
      </c>
      <c r="E454" t="str">
        <f>'ERP_AP7 Macro Failed'!H456</f>
        <v>SAP on Premise Software Maintenance (Order Form No. 25) (Pullforward Debit)</v>
      </c>
      <c r="F454" t="str">
        <f>'ERP_AP7 Macro Failed'!I456</f>
        <v xml:space="preserve"> SAP AMERICA INC</v>
      </c>
      <c r="G454" t="str">
        <f>'ERP_AP7 Macro Failed'!K456</f>
        <v>IT-SFT1009-86-OG-US/25</v>
      </c>
      <c r="H454" s="487" t="e" cm="1">
        <f t="array" ref="H454">SUMPRODUCT((ERP[UID]=A454)*(ERP[AP01]+ERP[AP02]+ERP[AP03]+ERP[AP04]+ERP[AP05]))</f>
        <v>#VALUE!</v>
      </c>
      <c r="I454" s="487" cm="1">
        <f t="array" ref="I454">SUMPRODUCT((ERP[UID]=A454)*(ERP[AP01 LE2]+ERP[AP02 LE2]+ERP[AP03 LE2]+ERP[AP04 LE2]+ERP[AP05 LE2]))</f>
        <v>0</v>
      </c>
      <c r="J454" s="487">
        <f>'ERP_AP7 Macro Failed'!AL456</f>
        <v>0</v>
      </c>
      <c r="K454" t="str">
        <f t="shared" ref="K454:K517" si="14">IF(ABS(J454)&gt;=10000,"MATERIAL",IF(ABS(J454)&gt;=1000,"Minor","Immaterial"))</f>
        <v>Immaterial</v>
      </c>
      <c r="L454" t="str">
        <f t="shared" ref="L454:L517" si="15">IF(ABS(J454)&gt;=10000,"YES","No")</f>
        <v>No</v>
      </c>
    </row>
    <row r="455" spans="1:12">
      <c r="A455" t="str">
        <f>'ERP_AP7 Macro Failed'!A457</f>
        <v>N-ERP-528</v>
      </c>
      <c r="B455" t="str">
        <f>'ERP_AP7 Macro Failed'!D457</f>
        <v>Dougherty, Chris</v>
      </c>
      <c r="C455" t="str">
        <f>'ERP_AP7 Macro Failed'!E457</f>
        <v>Dougherty, Chris</v>
      </c>
      <c r="D455" t="str">
        <f>'ERP_AP7 Macro Failed'!G457</f>
        <v>SOFTWARE</v>
      </c>
      <c r="E455" t="str">
        <f>'ERP_AP7 Macro Failed'!H457</f>
        <v>SAP on Premise Software Maintenance (Order Form No. 25) (Pullforward Credit)</v>
      </c>
      <c r="F455" t="str">
        <f>'ERP_AP7 Macro Failed'!I457</f>
        <v xml:space="preserve"> SAP AMERICA INC</v>
      </c>
      <c r="G455" t="str">
        <f>'ERP_AP7 Macro Failed'!K457</f>
        <v>IT-SFT1009-86-OG-US/25/PF</v>
      </c>
      <c r="H455" s="487" t="e" cm="1">
        <f t="array" ref="H455">SUMPRODUCT((ERP[UID]=A455)*(ERP[AP01]+ERP[AP02]+ERP[AP03]+ERP[AP04]+ERP[AP05]))</f>
        <v>#VALUE!</v>
      </c>
      <c r="I455" s="487" cm="1">
        <f t="array" ref="I455">SUMPRODUCT((ERP[UID]=A455)*(ERP[AP01 LE2]+ERP[AP02 LE2]+ERP[AP03 LE2]+ERP[AP04 LE2]+ERP[AP05 LE2]))</f>
        <v>0</v>
      </c>
      <c r="J455" s="487">
        <f>'ERP_AP7 Macro Failed'!AL457</f>
        <v>0</v>
      </c>
      <c r="K455" t="str">
        <f t="shared" si="14"/>
        <v>Immaterial</v>
      </c>
      <c r="L455" t="str">
        <f t="shared" si="15"/>
        <v>No</v>
      </c>
    </row>
    <row r="456" spans="1:12">
      <c r="A456" t="str">
        <f>'ERP_AP7 Macro Failed'!A458</f>
        <v>N-ERP-529</v>
      </c>
      <c r="B456" t="str">
        <f>'ERP_AP7 Macro Failed'!D458</f>
        <v>Dougherty, Chris</v>
      </c>
      <c r="C456" t="str">
        <f>'ERP_AP7 Macro Failed'!E458</f>
        <v>Dougherty, Chris</v>
      </c>
      <c r="D456" t="str">
        <f>'ERP_AP7 Macro Failed'!G458</f>
        <v>SOFTWARE</v>
      </c>
      <c r="E456" t="str">
        <f>'ERP_AP7 Macro Failed'!H458</f>
        <v>SAP on Premise Software Maintenance (Order Form No. 29) (Pullforward Debit)</v>
      </c>
      <c r="F456" t="str">
        <f>'ERP_AP7 Macro Failed'!I458</f>
        <v xml:space="preserve"> SAP AMERICA INC</v>
      </c>
      <c r="G456" t="str">
        <f>'ERP_AP7 Macro Failed'!K458</f>
        <v>IT-SFT1009-86-OG-US/29</v>
      </c>
      <c r="H456" s="487" t="e" cm="1">
        <f t="array" ref="H456">SUMPRODUCT((ERP[UID]=A456)*(ERP[AP01]+ERP[AP02]+ERP[AP03]+ERP[AP04]+ERP[AP05]))</f>
        <v>#VALUE!</v>
      </c>
      <c r="I456" s="487" cm="1">
        <f t="array" ref="I456">SUMPRODUCT((ERP[UID]=A456)*(ERP[AP01 LE2]+ERP[AP02 LE2]+ERP[AP03 LE2]+ERP[AP04 LE2]+ERP[AP05 LE2]))</f>
        <v>0</v>
      </c>
      <c r="J456" s="487">
        <f>'ERP_AP7 Macro Failed'!AL458</f>
        <v>0</v>
      </c>
      <c r="K456" t="str">
        <f t="shared" si="14"/>
        <v>Immaterial</v>
      </c>
      <c r="L456" t="str">
        <f t="shared" si="15"/>
        <v>No</v>
      </c>
    </row>
    <row r="457" spans="1:12">
      <c r="A457" t="str">
        <f>'ERP_AP7 Macro Failed'!A459</f>
        <v>N-ERP-530</v>
      </c>
      <c r="B457" t="str">
        <f>'ERP_AP7 Macro Failed'!D459</f>
        <v>Dougherty, Chris</v>
      </c>
      <c r="C457" t="str">
        <f>'ERP_AP7 Macro Failed'!E459</f>
        <v>Dougherty, Chris</v>
      </c>
      <c r="D457" t="str">
        <f>'ERP_AP7 Macro Failed'!G459</f>
        <v>SOFTWARE</v>
      </c>
      <c r="E457" t="str">
        <f>'ERP_AP7 Macro Failed'!H459</f>
        <v>SAP on Premise Software Maintenance (Order Form No. 29) (Pullforward Credit)</v>
      </c>
      <c r="F457" t="str">
        <f>'ERP_AP7 Macro Failed'!I459</f>
        <v xml:space="preserve"> SAP AMERICA INC</v>
      </c>
      <c r="G457" t="str">
        <f>'ERP_AP7 Macro Failed'!K459</f>
        <v>IT-SFT1009-86-OG-US/29/PF</v>
      </c>
      <c r="H457" s="487" t="e" cm="1">
        <f t="array" ref="H457">SUMPRODUCT((ERP[UID]=A457)*(ERP[AP01]+ERP[AP02]+ERP[AP03]+ERP[AP04]+ERP[AP05]))</f>
        <v>#VALUE!</v>
      </c>
      <c r="I457" s="487" cm="1">
        <f t="array" ref="I457">SUMPRODUCT((ERP[UID]=A457)*(ERP[AP01 LE2]+ERP[AP02 LE2]+ERP[AP03 LE2]+ERP[AP04 LE2]+ERP[AP05 LE2]))</f>
        <v>0</v>
      </c>
      <c r="J457" s="487">
        <f>'ERP_AP7 Macro Failed'!AL459</f>
        <v>0</v>
      </c>
      <c r="K457" t="str">
        <f t="shared" si="14"/>
        <v>Immaterial</v>
      </c>
      <c r="L457" t="str">
        <f t="shared" si="15"/>
        <v>No</v>
      </c>
    </row>
    <row r="458" spans="1:12">
      <c r="A458" t="str">
        <f>'ERP_AP7 Macro Failed'!A460</f>
        <v>N-ERP-531</v>
      </c>
      <c r="B458" t="str">
        <f>'ERP_AP7 Macro Failed'!D460</f>
        <v>Dougherty, Chris</v>
      </c>
      <c r="C458" t="str">
        <f>'ERP_AP7 Macro Failed'!E460</f>
        <v>Dougherty, Chris</v>
      </c>
      <c r="D458" t="str">
        <f>'ERP_AP7 Macro Failed'!G460</f>
        <v>SOFTWARE</v>
      </c>
      <c r="E458" t="str">
        <f>'ERP_AP7 Macro Failed'!H460</f>
        <v>SAP on Premise Software Maintenance (Order Form No. 30) (Pullforward Debit)</v>
      </c>
      <c r="F458" t="str">
        <f>'ERP_AP7 Macro Failed'!I460</f>
        <v xml:space="preserve"> SAP AMERICA INC</v>
      </c>
      <c r="G458" t="str">
        <f>'ERP_AP7 Macro Failed'!K460</f>
        <v>IT-SFT1009-86-OG-US/30</v>
      </c>
      <c r="H458" s="487" t="e" cm="1">
        <f t="array" ref="H458">SUMPRODUCT((ERP[UID]=A458)*(ERP[AP01]+ERP[AP02]+ERP[AP03]+ERP[AP04]+ERP[AP05]))</f>
        <v>#VALUE!</v>
      </c>
      <c r="I458" s="487" cm="1">
        <f t="array" ref="I458">SUMPRODUCT((ERP[UID]=A458)*(ERP[AP01 LE2]+ERP[AP02 LE2]+ERP[AP03 LE2]+ERP[AP04 LE2]+ERP[AP05 LE2]))</f>
        <v>0</v>
      </c>
      <c r="J458" s="487">
        <f>'ERP_AP7 Macro Failed'!AL460</f>
        <v>0</v>
      </c>
      <c r="K458" t="str">
        <f t="shared" si="14"/>
        <v>Immaterial</v>
      </c>
      <c r="L458" t="str">
        <f t="shared" si="15"/>
        <v>No</v>
      </c>
    </row>
    <row r="459" spans="1:12">
      <c r="A459" t="str">
        <f>'ERP_AP7 Macro Failed'!A461</f>
        <v>N-ERP-532</v>
      </c>
      <c r="B459" t="str">
        <f>'ERP_AP7 Macro Failed'!D461</f>
        <v>Dougherty, Chris</v>
      </c>
      <c r="C459" t="str">
        <f>'ERP_AP7 Macro Failed'!E461</f>
        <v>Dougherty, Chris</v>
      </c>
      <c r="D459" t="str">
        <f>'ERP_AP7 Macro Failed'!G461</f>
        <v>SOFTWARE</v>
      </c>
      <c r="E459" t="str">
        <f>'ERP_AP7 Macro Failed'!H461</f>
        <v>SAP on Premise Software Maintenance (Order Form No. 30) (Pullforward Credit)</v>
      </c>
      <c r="F459" t="str">
        <f>'ERP_AP7 Macro Failed'!I461</f>
        <v xml:space="preserve"> SAP AMERICA INC</v>
      </c>
      <c r="G459" t="str">
        <f>'ERP_AP7 Macro Failed'!K461</f>
        <v>IT-SFT1009-86-OG-US/30/PF</v>
      </c>
      <c r="H459" s="487" t="e" cm="1">
        <f t="array" ref="H459">SUMPRODUCT((ERP[UID]=A459)*(ERP[AP01]+ERP[AP02]+ERP[AP03]+ERP[AP04]+ERP[AP05]))</f>
        <v>#VALUE!</v>
      </c>
      <c r="I459" s="487" cm="1">
        <f t="array" ref="I459">SUMPRODUCT((ERP[UID]=A459)*(ERP[AP01 LE2]+ERP[AP02 LE2]+ERP[AP03 LE2]+ERP[AP04 LE2]+ERP[AP05 LE2]))</f>
        <v>0</v>
      </c>
      <c r="J459" s="487">
        <f>'ERP_AP7 Macro Failed'!AL461</f>
        <v>0</v>
      </c>
      <c r="K459" t="str">
        <f t="shared" si="14"/>
        <v>Immaterial</v>
      </c>
      <c r="L459" t="str">
        <f t="shared" si="15"/>
        <v>No</v>
      </c>
    </row>
    <row r="460" spans="1:12">
      <c r="A460" t="str">
        <f>'ERP_AP7 Macro Failed'!A462</f>
        <v>N-ERP-533</v>
      </c>
      <c r="B460" t="str">
        <f>'ERP_AP7 Macro Failed'!D462</f>
        <v>Dougherty, Chris</v>
      </c>
      <c r="C460" t="str">
        <f>'ERP_AP7 Macro Failed'!E462</f>
        <v>Dougherty, Chris</v>
      </c>
      <c r="D460" t="str">
        <f>'ERP_AP7 Macro Failed'!G462</f>
        <v>SOFTWARE</v>
      </c>
      <c r="E460" t="str">
        <f>'ERP_AP7 Macro Failed'!H462</f>
        <v>SAP on Premise Software Maintenance (Order Form No. 32) (Pullforward Debit)</v>
      </c>
      <c r="F460" t="str">
        <f>'ERP_AP7 Macro Failed'!I462</f>
        <v xml:space="preserve"> SAP AMERICA INC</v>
      </c>
      <c r="G460" t="str">
        <f>'ERP_AP7 Macro Failed'!K462</f>
        <v>IT-SFT1009-86-OG-US/32</v>
      </c>
      <c r="H460" s="487" t="e" cm="1">
        <f t="array" ref="H460">SUMPRODUCT((ERP[UID]=A460)*(ERP[AP01]+ERP[AP02]+ERP[AP03]+ERP[AP04]+ERP[AP05]))</f>
        <v>#VALUE!</v>
      </c>
      <c r="I460" s="487" cm="1">
        <f t="array" ref="I460">SUMPRODUCT((ERP[UID]=A460)*(ERP[AP01 LE2]+ERP[AP02 LE2]+ERP[AP03 LE2]+ERP[AP04 LE2]+ERP[AP05 LE2]))</f>
        <v>0</v>
      </c>
      <c r="J460" s="487">
        <f>'ERP_AP7 Macro Failed'!AL462</f>
        <v>0</v>
      </c>
      <c r="K460" t="str">
        <f t="shared" si="14"/>
        <v>Immaterial</v>
      </c>
      <c r="L460" t="str">
        <f t="shared" si="15"/>
        <v>No</v>
      </c>
    </row>
    <row r="461" spans="1:12">
      <c r="A461" t="str">
        <f>'ERP_AP7 Macro Failed'!A463</f>
        <v>N-ERP-534</v>
      </c>
      <c r="B461" t="str">
        <f>'ERP_AP7 Macro Failed'!D463</f>
        <v>Dougherty, Chris</v>
      </c>
      <c r="C461" t="str">
        <f>'ERP_AP7 Macro Failed'!E463</f>
        <v>Dougherty, Chris</v>
      </c>
      <c r="D461" t="str">
        <f>'ERP_AP7 Macro Failed'!G463</f>
        <v>SOFTWARE</v>
      </c>
      <c r="E461" t="str">
        <f>'ERP_AP7 Macro Failed'!H463</f>
        <v>SAP on Premise Software Maintenance (Order Form No. 32) (Pullforward Credit)</v>
      </c>
      <c r="F461" t="str">
        <f>'ERP_AP7 Macro Failed'!I463</f>
        <v xml:space="preserve"> SAP AMERICA INC</v>
      </c>
      <c r="G461" t="str">
        <f>'ERP_AP7 Macro Failed'!K463</f>
        <v>IT-SFT1009-86-OG-US/32/PF</v>
      </c>
      <c r="H461" s="487" t="e" cm="1">
        <f t="array" ref="H461">SUMPRODUCT((ERP[UID]=A461)*(ERP[AP01]+ERP[AP02]+ERP[AP03]+ERP[AP04]+ERP[AP05]))</f>
        <v>#VALUE!</v>
      </c>
      <c r="I461" s="487" cm="1">
        <f t="array" ref="I461">SUMPRODUCT((ERP[UID]=A461)*(ERP[AP01 LE2]+ERP[AP02 LE2]+ERP[AP03 LE2]+ERP[AP04 LE2]+ERP[AP05 LE2]))</f>
        <v>0</v>
      </c>
      <c r="J461" s="487">
        <f>'ERP_AP7 Macro Failed'!AL463</f>
        <v>0</v>
      </c>
      <c r="K461" t="str">
        <f t="shared" si="14"/>
        <v>Immaterial</v>
      </c>
      <c r="L461" t="str">
        <f t="shared" si="15"/>
        <v>No</v>
      </c>
    </row>
    <row r="462" spans="1:12">
      <c r="A462" t="str">
        <f>'ERP_AP7 Macro Failed'!A464</f>
        <v>L-ERP-113</v>
      </c>
      <c r="B462" t="str">
        <f>'ERP_AP7 Macro Failed'!D464</f>
        <v>Dougherty, Chris</v>
      </c>
      <c r="C462" t="str">
        <f>'ERP_AP7 Macro Failed'!E464</f>
        <v>Dougherty, Chris</v>
      </c>
      <c r="D462" t="str">
        <f>'ERP_AP7 Macro Failed'!G464</f>
        <v>SOFTWARE</v>
      </c>
      <c r="E462" t="str">
        <f>'ERP_AP7 Macro Failed'!H464</f>
        <v>SAP on Premise Software Maintenance (Order Form No. 35)</v>
      </c>
      <c r="F462" t="str">
        <f>'ERP_AP7 Macro Failed'!I464</f>
        <v>Prepaid - SAP AMERICA INC</v>
      </c>
      <c r="G462" t="str">
        <f>'ERP_AP7 Macro Failed'!K464</f>
        <v>IT-SFT1009-86-OG-US/35</v>
      </c>
      <c r="H462" s="487" t="e" cm="1">
        <f t="array" ref="H462">SUMPRODUCT((ERP[UID]=A462)*(ERP[AP01]+ERP[AP02]+ERP[AP03]+ERP[AP04]+ERP[AP05]))</f>
        <v>#VALUE!</v>
      </c>
      <c r="I462" s="487" cm="1">
        <f t="array" ref="I462">SUMPRODUCT((ERP[UID]=A462)*(ERP[AP01 LE2]+ERP[AP02 LE2]+ERP[AP03 LE2]+ERP[AP04 LE2]+ERP[AP05 LE2]))</f>
        <v>1059303.9000000001</v>
      </c>
      <c r="J462" s="487">
        <f>'ERP_AP7 Macro Failed'!AL464</f>
        <v>-635582.34000000008</v>
      </c>
      <c r="K462" t="str">
        <f t="shared" si="14"/>
        <v>MATERIAL</v>
      </c>
      <c r="L462" t="str">
        <f t="shared" si="15"/>
        <v>YES</v>
      </c>
    </row>
    <row r="463" spans="1:12">
      <c r="A463" t="str">
        <f>'ERP_AP7 Macro Failed'!A465</f>
        <v>N-ERP-535</v>
      </c>
      <c r="B463" t="str">
        <f>'ERP_AP7 Macro Failed'!D465</f>
        <v>Dougherty, Chris</v>
      </c>
      <c r="C463" t="str">
        <f>'ERP_AP7 Macro Failed'!E465</f>
        <v>Dougherty, Chris</v>
      </c>
      <c r="D463" t="str">
        <f>'ERP_AP7 Macro Failed'!G465</f>
        <v>SOFTWARE</v>
      </c>
      <c r="E463" t="str">
        <f>'ERP_AP7 Macro Failed'!H465</f>
        <v>SAP on Premise Software Maintenance (Order Form No. 37 A&amp;B) (Pullforward Debit)</v>
      </c>
      <c r="F463" t="str">
        <f>'ERP_AP7 Macro Failed'!I465</f>
        <v xml:space="preserve"> SAP AMERICA INC</v>
      </c>
      <c r="G463" t="str">
        <f>'ERP_AP7 Macro Failed'!K465</f>
        <v>IT-SFT1009-86-OG-US/37</v>
      </c>
      <c r="H463" s="487" t="e" cm="1">
        <f t="array" ref="H463">SUMPRODUCT((ERP[UID]=A463)*(ERP[AP01]+ERP[AP02]+ERP[AP03]+ERP[AP04]+ERP[AP05]))</f>
        <v>#VALUE!</v>
      </c>
      <c r="I463" s="487" cm="1">
        <f t="array" ref="I463">SUMPRODUCT((ERP[UID]=A463)*(ERP[AP01 LE2]+ERP[AP02 LE2]+ERP[AP03 LE2]+ERP[AP04 LE2]+ERP[AP05 LE2]))</f>
        <v>0</v>
      </c>
      <c r="J463" s="487">
        <f>'ERP_AP7 Macro Failed'!AL465</f>
        <v>0</v>
      </c>
      <c r="K463" t="str">
        <f t="shared" si="14"/>
        <v>Immaterial</v>
      </c>
      <c r="L463" t="str">
        <f t="shared" si="15"/>
        <v>No</v>
      </c>
    </row>
    <row r="464" spans="1:12">
      <c r="A464" t="str">
        <f>'ERP_AP7 Macro Failed'!A466</f>
        <v>N-ERP-536</v>
      </c>
      <c r="B464" t="str">
        <f>'ERP_AP7 Macro Failed'!D466</f>
        <v>Dougherty, Chris</v>
      </c>
      <c r="C464" t="str">
        <f>'ERP_AP7 Macro Failed'!E466</f>
        <v>Dougherty, Chris</v>
      </c>
      <c r="D464" t="str">
        <f>'ERP_AP7 Macro Failed'!G466</f>
        <v>SOFTWARE</v>
      </c>
      <c r="E464" t="str">
        <f>'ERP_AP7 Macro Failed'!H466</f>
        <v>SAP on Premise Software Maintenance (Order Form No. 37 A&amp;B) (Pullforward Credit)</v>
      </c>
      <c r="F464" t="str">
        <f>'ERP_AP7 Macro Failed'!I466</f>
        <v xml:space="preserve"> SAP AMERICA INC</v>
      </c>
      <c r="G464" t="str">
        <f>'ERP_AP7 Macro Failed'!K466</f>
        <v>IT-SFT1009-86-OG-US/37/PF</v>
      </c>
      <c r="H464" s="487" t="e" cm="1">
        <f t="array" ref="H464">SUMPRODUCT((ERP[UID]=A464)*(ERP[AP01]+ERP[AP02]+ERP[AP03]+ERP[AP04]+ERP[AP05]))</f>
        <v>#VALUE!</v>
      </c>
      <c r="I464" s="487" cm="1">
        <f t="array" ref="I464">SUMPRODUCT((ERP[UID]=A464)*(ERP[AP01 LE2]+ERP[AP02 LE2]+ERP[AP03 LE2]+ERP[AP04 LE2]+ERP[AP05 LE2]))</f>
        <v>0</v>
      </c>
      <c r="J464" s="487">
        <f>'ERP_AP7 Macro Failed'!AL466</f>
        <v>0</v>
      </c>
      <c r="K464" t="str">
        <f t="shared" si="14"/>
        <v>Immaterial</v>
      </c>
      <c r="L464" t="str">
        <f t="shared" si="15"/>
        <v>No</v>
      </c>
    </row>
    <row r="465" spans="1:12">
      <c r="A465" t="str">
        <f>'ERP_AP7 Macro Failed'!A467</f>
        <v>N-ERP-537</v>
      </c>
      <c r="B465" t="str">
        <f>'ERP_AP7 Macro Failed'!D467</f>
        <v>Dougherty, Chris</v>
      </c>
      <c r="C465" t="str">
        <f>'ERP_AP7 Macro Failed'!E467</f>
        <v>Dougherty, Chris</v>
      </c>
      <c r="D465" t="str">
        <f>'ERP_AP7 Macro Failed'!G467</f>
        <v>SOFTWARE</v>
      </c>
      <c r="E465" t="str">
        <f>'ERP_AP7 Macro Failed'!H467</f>
        <v>SAP on Premise Software Maintenance (Order Form No. 38) (Pullforward Debit)</v>
      </c>
      <c r="F465" t="str">
        <f>'ERP_AP7 Macro Failed'!I467</f>
        <v xml:space="preserve"> SAP AMERICA INC</v>
      </c>
      <c r="G465" t="str">
        <f>'ERP_AP7 Macro Failed'!K467</f>
        <v>IT-SFT1009-86-OG-US/38</v>
      </c>
      <c r="H465" s="487" t="e" cm="1">
        <f t="array" ref="H465">SUMPRODUCT((ERP[UID]=A465)*(ERP[AP01]+ERP[AP02]+ERP[AP03]+ERP[AP04]+ERP[AP05]))</f>
        <v>#VALUE!</v>
      </c>
      <c r="I465" s="487" cm="1">
        <f t="array" ref="I465">SUMPRODUCT((ERP[UID]=A465)*(ERP[AP01 LE2]+ERP[AP02 LE2]+ERP[AP03 LE2]+ERP[AP04 LE2]+ERP[AP05 LE2]))</f>
        <v>0</v>
      </c>
      <c r="J465" s="487">
        <f>'ERP_AP7 Macro Failed'!AL467</f>
        <v>0</v>
      </c>
      <c r="K465" t="str">
        <f t="shared" si="14"/>
        <v>Immaterial</v>
      </c>
      <c r="L465" t="str">
        <f t="shared" si="15"/>
        <v>No</v>
      </c>
    </row>
    <row r="466" spans="1:12">
      <c r="A466" t="str">
        <f>'ERP_AP7 Macro Failed'!A468</f>
        <v>N-ERP-538</v>
      </c>
      <c r="B466" t="str">
        <f>'ERP_AP7 Macro Failed'!D468</f>
        <v>Dougherty, Chris</v>
      </c>
      <c r="C466" t="str">
        <f>'ERP_AP7 Macro Failed'!E468</f>
        <v>Dougherty, Chris</v>
      </c>
      <c r="D466" t="str">
        <f>'ERP_AP7 Macro Failed'!G468</f>
        <v>SOFTWARE</v>
      </c>
      <c r="E466" t="str">
        <f>'ERP_AP7 Macro Failed'!H468</f>
        <v>SAP on Premise Software Maintenance (Order Form No. 38) (Pullforward Credit)</v>
      </c>
      <c r="F466" t="str">
        <f>'ERP_AP7 Macro Failed'!I468</f>
        <v xml:space="preserve"> SAP AMERICA INC</v>
      </c>
      <c r="G466" t="str">
        <f>'ERP_AP7 Macro Failed'!K468</f>
        <v>IT-SFT1009-86-OG-US/38/PF</v>
      </c>
      <c r="H466" s="487" t="e" cm="1">
        <f t="array" ref="H466">SUMPRODUCT((ERP[UID]=A466)*(ERP[AP01]+ERP[AP02]+ERP[AP03]+ERP[AP04]+ERP[AP05]))</f>
        <v>#VALUE!</v>
      </c>
      <c r="I466" s="487" cm="1">
        <f t="array" ref="I466">SUMPRODUCT((ERP[UID]=A466)*(ERP[AP01 LE2]+ERP[AP02 LE2]+ERP[AP03 LE2]+ERP[AP04 LE2]+ERP[AP05 LE2]))</f>
        <v>0</v>
      </c>
      <c r="J466" s="487">
        <f>'ERP_AP7 Macro Failed'!AL468</f>
        <v>0</v>
      </c>
      <c r="K466" t="str">
        <f t="shared" si="14"/>
        <v>Immaterial</v>
      </c>
      <c r="L466" t="str">
        <f t="shared" si="15"/>
        <v>No</v>
      </c>
    </row>
    <row r="467" spans="1:12">
      <c r="A467" t="str">
        <f>'ERP_AP7 Macro Failed'!A469</f>
        <v>N-ERP-539</v>
      </c>
      <c r="B467" t="str">
        <f>'ERP_AP7 Macro Failed'!D469</f>
        <v>Dougherty, Chris</v>
      </c>
      <c r="C467" t="str">
        <f>'ERP_AP7 Macro Failed'!E469</f>
        <v>Dougherty, Chris</v>
      </c>
      <c r="D467" t="str">
        <f>'ERP_AP7 Macro Failed'!G469</f>
        <v>SOFTWARE</v>
      </c>
      <c r="E467" t="str">
        <f>'ERP_AP7 Macro Failed'!H469</f>
        <v>SAP on Premise Software Maintenance (Order Form No. 41) (Pullforward Debit)</v>
      </c>
      <c r="F467" t="str">
        <f>'ERP_AP7 Macro Failed'!I469</f>
        <v xml:space="preserve"> SAP AMERICA INC</v>
      </c>
      <c r="G467" t="str">
        <f>'ERP_AP7 Macro Failed'!K469</f>
        <v>IT-SFT1009-86-OG-US/41</v>
      </c>
      <c r="H467" s="487" t="e" cm="1">
        <f t="array" ref="H467">SUMPRODUCT((ERP[UID]=A467)*(ERP[AP01]+ERP[AP02]+ERP[AP03]+ERP[AP04]+ERP[AP05]))</f>
        <v>#VALUE!</v>
      </c>
      <c r="I467" s="487" cm="1">
        <f t="array" ref="I467">SUMPRODUCT((ERP[UID]=A467)*(ERP[AP01 LE2]+ERP[AP02 LE2]+ERP[AP03 LE2]+ERP[AP04 LE2]+ERP[AP05 LE2]))</f>
        <v>0</v>
      </c>
      <c r="J467" s="487">
        <f>'ERP_AP7 Macro Failed'!AL469</f>
        <v>0</v>
      </c>
      <c r="K467" t="str">
        <f t="shared" si="14"/>
        <v>Immaterial</v>
      </c>
      <c r="L467" t="str">
        <f t="shared" si="15"/>
        <v>No</v>
      </c>
    </row>
    <row r="468" spans="1:12">
      <c r="A468" t="str">
        <f>'ERP_AP7 Macro Failed'!A470</f>
        <v>N-ERP-540</v>
      </c>
      <c r="B468" t="str">
        <f>'ERP_AP7 Macro Failed'!D470</f>
        <v>Dougherty, Chris</v>
      </c>
      <c r="C468" t="str">
        <f>'ERP_AP7 Macro Failed'!E470</f>
        <v>Dougherty, Chris</v>
      </c>
      <c r="D468" t="str">
        <f>'ERP_AP7 Macro Failed'!G470</f>
        <v>SOFTWARE</v>
      </c>
      <c r="E468" t="str">
        <f>'ERP_AP7 Macro Failed'!H470</f>
        <v>SAP on Premise Software Maintenance (Order Form No. 41) (Pullforward Credit)</v>
      </c>
      <c r="F468" t="str">
        <f>'ERP_AP7 Macro Failed'!I470</f>
        <v xml:space="preserve"> SAP AMERICA INC</v>
      </c>
      <c r="G468" t="str">
        <f>'ERP_AP7 Macro Failed'!K470</f>
        <v>IT-SFT1009-86-OG-US/41/PF</v>
      </c>
      <c r="H468" s="487" t="e" cm="1">
        <f t="array" ref="H468">SUMPRODUCT((ERP[UID]=A468)*(ERP[AP01]+ERP[AP02]+ERP[AP03]+ERP[AP04]+ERP[AP05]))</f>
        <v>#VALUE!</v>
      </c>
      <c r="I468" s="487" cm="1">
        <f t="array" ref="I468">SUMPRODUCT((ERP[UID]=A468)*(ERP[AP01 LE2]+ERP[AP02 LE2]+ERP[AP03 LE2]+ERP[AP04 LE2]+ERP[AP05 LE2]))</f>
        <v>0</v>
      </c>
      <c r="J468" s="487">
        <f>'ERP_AP7 Macro Failed'!AL470</f>
        <v>0</v>
      </c>
      <c r="K468" t="str">
        <f t="shared" si="14"/>
        <v>Immaterial</v>
      </c>
      <c r="L468" t="str">
        <f t="shared" si="15"/>
        <v>No</v>
      </c>
    </row>
    <row r="469" spans="1:12">
      <c r="A469" t="str">
        <f>'ERP_AP7 Macro Failed'!A471</f>
        <v>N-ERP-541</v>
      </c>
      <c r="B469" t="str">
        <f>'ERP_AP7 Macro Failed'!D471</f>
        <v>Dougherty, Chris</v>
      </c>
      <c r="C469" t="str">
        <f>'ERP_AP7 Macro Failed'!E471</f>
        <v>Dougherty, Chris</v>
      </c>
      <c r="D469" t="str">
        <f>'ERP_AP7 Macro Failed'!G471</f>
        <v>SOFTWARE</v>
      </c>
      <c r="E469" t="str">
        <f>'ERP_AP7 Macro Failed'!H471</f>
        <v>SAP on Premise Software Maintenance (Order Form No. 45) (Pullforward Debit)</v>
      </c>
      <c r="F469" t="str">
        <f>'ERP_AP7 Macro Failed'!I471</f>
        <v xml:space="preserve"> SAP AMERICA INC</v>
      </c>
      <c r="G469" t="str">
        <f>'ERP_AP7 Macro Failed'!K471</f>
        <v>IT-SFT1009-86-OG-US/45</v>
      </c>
      <c r="H469" s="487" t="e" cm="1">
        <f t="array" ref="H469">SUMPRODUCT((ERP[UID]=A469)*(ERP[AP01]+ERP[AP02]+ERP[AP03]+ERP[AP04]+ERP[AP05]))</f>
        <v>#VALUE!</v>
      </c>
      <c r="I469" s="487" cm="1">
        <f t="array" ref="I469">SUMPRODUCT((ERP[UID]=A469)*(ERP[AP01 LE2]+ERP[AP02 LE2]+ERP[AP03 LE2]+ERP[AP04 LE2]+ERP[AP05 LE2]))</f>
        <v>0</v>
      </c>
      <c r="J469" s="487">
        <f>'ERP_AP7 Macro Failed'!AL471</f>
        <v>0</v>
      </c>
      <c r="K469" t="str">
        <f t="shared" si="14"/>
        <v>Immaterial</v>
      </c>
      <c r="L469" t="str">
        <f t="shared" si="15"/>
        <v>No</v>
      </c>
    </row>
    <row r="470" spans="1:12">
      <c r="A470" t="str">
        <f>'ERP_AP7 Macro Failed'!A472</f>
        <v>N-ERP-542</v>
      </c>
      <c r="B470" t="str">
        <f>'ERP_AP7 Macro Failed'!D472</f>
        <v>Dougherty, Chris</v>
      </c>
      <c r="C470" t="str">
        <f>'ERP_AP7 Macro Failed'!E472</f>
        <v>Dougherty, Chris</v>
      </c>
      <c r="D470" t="str">
        <f>'ERP_AP7 Macro Failed'!G472</f>
        <v>SOFTWARE</v>
      </c>
      <c r="E470" t="str">
        <f>'ERP_AP7 Macro Failed'!H472</f>
        <v>SAP on Premise Software Maintenance (Order Form No. 45) (Pullforward Credit)</v>
      </c>
      <c r="F470" t="str">
        <f>'ERP_AP7 Macro Failed'!I472</f>
        <v xml:space="preserve"> SAP AMERICA INC</v>
      </c>
      <c r="G470" t="str">
        <f>'ERP_AP7 Macro Failed'!K472</f>
        <v>IT-SFT1009-86-OG-US/45/PF</v>
      </c>
      <c r="H470" s="487" t="e" cm="1">
        <f t="array" ref="H470">SUMPRODUCT((ERP[UID]=A470)*(ERP[AP01]+ERP[AP02]+ERP[AP03]+ERP[AP04]+ERP[AP05]))</f>
        <v>#VALUE!</v>
      </c>
      <c r="I470" s="487" cm="1">
        <f t="array" ref="I470">SUMPRODUCT((ERP[UID]=A470)*(ERP[AP01 LE2]+ERP[AP02 LE2]+ERP[AP03 LE2]+ERP[AP04 LE2]+ERP[AP05 LE2]))</f>
        <v>0</v>
      </c>
      <c r="J470" s="487">
        <f>'ERP_AP7 Macro Failed'!AL472</f>
        <v>0</v>
      </c>
      <c r="K470" t="str">
        <f t="shared" si="14"/>
        <v>Immaterial</v>
      </c>
      <c r="L470" t="str">
        <f t="shared" si="15"/>
        <v>No</v>
      </c>
    </row>
    <row r="471" spans="1:12">
      <c r="A471" t="str">
        <f>'ERP_AP7 Macro Failed'!A473</f>
        <v>N-ERP-543</v>
      </c>
      <c r="B471" t="str">
        <f>'ERP_AP7 Macro Failed'!D473</f>
        <v>Dougherty, Chris</v>
      </c>
      <c r="C471" t="str">
        <f>'ERP_AP7 Macro Failed'!E473</f>
        <v>Dougherty, Chris</v>
      </c>
      <c r="D471" t="str">
        <f>'ERP_AP7 Macro Failed'!G473</f>
        <v>SOFTWARE</v>
      </c>
      <c r="E471" t="str">
        <f>'ERP_AP7 Macro Failed'!H473</f>
        <v>SAP GTS Licenses for HANA (Order 46) (Pullforward Debit)</v>
      </c>
      <c r="F471" t="str">
        <f>'ERP_AP7 Macro Failed'!I473</f>
        <v xml:space="preserve"> SAP AMERICA INC</v>
      </c>
      <c r="G471" t="str">
        <f>'ERP_AP7 Macro Failed'!K473</f>
        <v>IT-SFT1009-86-OG-US/46</v>
      </c>
      <c r="H471" s="487" t="e" cm="1">
        <f t="array" ref="H471">SUMPRODUCT((ERP[UID]=A471)*(ERP[AP01]+ERP[AP02]+ERP[AP03]+ERP[AP04]+ERP[AP05]))</f>
        <v>#VALUE!</v>
      </c>
      <c r="I471" s="487" cm="1">
        <f t="array" ref="I471">SUMPRODUCT((ERP[UID]=A471)*(ERP[AP01 LE2]+ERP[AP02 LE2]+ERP[AP03 LE2]+ERP[AP04 LE2]+ERP[AP05 LE2]))</f>
        <v>0</v>
      </c>
      <c r="J471" s="487">
        <f>'ERP_AP7 Macro Failed'!AL473</f>
        <v>0</v>
      </c>
      <c r="K471" t="str">
        <f t="shared" si="14"/>
        <v>Immaterial</v>
      </c>
      <c r="L471" t="str">
        <f t="shared" si="15"/>
        <v>No</v>
      </c>
    </row>
    <row r="472" spans="1:12">
      <c r="A472" t="str">
        <f>'ERP_AP7 Macro Failed'!A474</f>
        <v>N-ERP-544</v>
      </c>
      <c r="B472" t="str">
        <f>'ERP_AP7 Macro Failed'!D474</f>
        <v>Dougherty, Chris</v>
      </c>
      <c r="C472" t="str">
        <f>'ERP_AP7 Macro Failed'!E474</f>
        <v>Dougherty, Chris</v>
      </c>
      <c r="D472" t="str">
        <f>'ERP_AP7 Macro Failed'!G474</f>
        <v>SOFTWARE</v>
      </c>
      <c r="E472" t="str">
        <f>'ERP_AP7 Macro Failed'!H474</f>
        <v>SAP GTS Licenses for HANA (Order 46) (Pullforward Credit)</v>
      </c>
      <c r="F472" t="str">
        <f>'ERP_AP7 Macro Failed'!I474</f>
        <v xml:space="preserve"> SAP AMERICA INC</v>
      </c>
      <c r="G472" t="str">
        <f>'ERP_AP7 Macro Failed'!K474</f>
        <v>IT-SFT1009-86-OG-US/46/PF</v>
      </c>
      <c r="H472" s="487" t="e" cm="1">
        <f t="array" ref="H472">SUMPRODUCT((ERP[UID]=A472)*(ERP[AP01]+ERP[AP02]+ERP[AP03]+ERP[AP04]+ERP[AP05]))</f>
        <v>#VALUE!</v>
      </c>
      <c r="I472" s="487" cm="1">
        <f t="array" ref="I472">SUMPRODUCT((ERP[UID]=A472)*(ERP[AP01 LE2]+ERP[AP02 LE2]+ERP[AP03 LE2]+ERP[AP04 LE2]+ERP[AP05 LE2]))</f>
        <v>0</v>
      </c>
      <c r="J472" s="487">
        <f>'ERP_AP7 Macro Failed'!AL474</f>
        <v>0</v>
      </c>
      <c r="K472" t="str">
        <f t="shared" si="14"/>
        <v>Immaterial</v>
      </c>
      <c r="L472" t="str">
        <f t="shared" si="15"/>
        <v>No</v>
      </c>
    </row>
    <row r="473" spans="1:12">
      <c r="A473" t="str">
        <f>'ERP_AP7 Macro Failed'!A475</f>
        <v>N-ERP-545</v>
      </c>
      <c r="B473" t="str">
        <f>'ERP_AP7 Macro Failed'!D475</f>
        <v>Dougherty, Chris</v>
      </c>
      <c r="C473" t="str">
        <f>'ERP_AP7 Macro Failed'!E475</f>
        <v>Dougherty, Chris</v>
      </c>
      <c r="D473" t="str">
        <f>'ERP_AP7 Macro Failed'!G475</f>
        <v>SOFTWARE</v>
      </c>
      <c r="E473" t="str">
        <f>'ERP_AP7 Macro Failed'!H475</f>
        <v>SAP on Premise Software Maintenance (Firefighter / Virsa) (Pullforward Debit)</v>
      </c>
      <c r="F473" t="str">
        <f>'ERP_AP7 Macro Failed'!I475</f>
        <v xml:space="preserve"> SAP AMERICA INC</v>
      </c>
      <c r="G473" t="str">
        <f>'ERP_AP7 Macro Failed'!K475</f>
        <v>IT-SFT1009-86-OG-US/FV</v>
      </c>
      <c r="H473" s="487" t="e" cm="1">
        <f t="array" ref="H473">SUMPRODUCT((ERP[UID]=A473)*(ERP[AP01]+ERP[AP02]+ERP[AP03]+ERP[AP04]+ERP[AP05]))</f>
        <v>#VALUE!</v>
      </c>
      <c r="I473" s="487" cm="1">
        <f t="array" ref="I473">SUMPRODUCT((ERP[UID]=A473)*(ERP[AP01 LE2]+ERP[AP02 LE2]+ERP[AP03 LE2]+ERP[AP04 LE2]+ERP[AP05 LE2]))</f>
        <v>0</v>
      </c>
      <c r="J473" s="487">
        <f>'ERP_AP7 Macro Failed'!AL475</f>
        <v>0</v>
      </c>
      <c r="K473" t="str">
        <f t="shared" si="14"/>
        <v>Immaterial</v>
      </c>
      <c r="L473" t="str">
        <f t="shared" si="15"/>
        <v>No</v>
      </c>
    </row>
    <row r="474" spans="1:12">
      <c r="A474" t="str">
        <f>'ERP_AP7 Macro Failed'!A476</f>
        <v>N-ERP-546</v>
      </c>
      <c r="B474" t="str">
        <f>'ERP_AP7 Macro Failed'!D476</f>
        <v>Dougherty, Chris</v>
      </c>
      <c r="C474" t="str">
        <f>'ERP_AP7 Macro Failed'!E476</f>
        <v>Dougherty, Chris</v>
      </c>
      <c r="D474" t="str">
        <f>'ERP_AP7 Macro Failed'!G476</f>
        <v>SOFTWARE</v>
      </c>
      <c r="E474" t="str">
        <f>'ERP_AP7 Macro Failed'!H476</f>
        <v>SAP on Premise Software Maintenance (Firefighter / Virsa) (Pullforward Credit)</v>
      </c>
      <c r="F474" t="str">
        <f>'ERP_AP7 Macro Failed'!I476</f>
        <v xml:space="preserve"> SAP AMERICA INC</v>
      </c>
      <c r="G474" t="str">
        <f>'ERP_AP7 Macro Failed'!K476</f>
        <v>IT-SFT1009-86-OG-US/FV/PF</v>
      </c>
      <c r="H474" s="487" t="e" cm="1">
        <f t="array" ref="H474">SUMPRODUCT((ERP[UID]=A474)*(ERP[AP01]+ERP[AP02]+ERP[AP03]+ERP[AP04]+ERP[AP05]))</f>
        <v>#VALUE!</v>
      </c>
      <c r="I474" s="487" cm="1">
        <f t="array" ref="I474">SUMPRODUCT((ERP[UID]=A474)*(ERP[AP01 LE2]+ERP[AP02 LE2]+ERP[AP03 LE2]+ERP[AP04 LE2]+ERP[AP05 LE2]))</f>
        <v>0</v>
      </c>
      <c r="J474" s="487">
        <f>'ERP_AP7 Macro Failed'!AL476</f>
        <v>0</v>
      </c>
      <c r="K474" t="str">
        <f t="shared" si="14"/>
        <v>Immaterial</v>
      </c>
      <c r="L474" t="str">
        <f t="shared" si="15"/>
        <v>No</v>
      </c>
    </row>
    <row r="475" spans="1:12">
      <c r="A475" t="str">
        <f>'ERP_AP7 Macro Failed'!A477</f>
        <v>L-ERP-111</v>
      </c>
      <c r="B475" t="str">
        <f>'ERP_AP7 Macro Failed'!D477</f>
        <v>Dougherty, Chris</v>
      </c>
      <c r="C475" t="str">
        <f>'ERP_AP7 Macro Failed'!E477</f>
        <v>Dougherty, Chris</v>
      </c>
      <c r="D475" t="str">
        <f>'ERP_AP7 Macro Failed'!G477</f>
        <v>SOFTWARE</v>
      </c>
      <c r="E475" t="str">
        <f>'ERP_AP7 Macro Failed'!H477</f>
        <v>SAP on Premise Chargeback</v>
      </c>
      <c r="F475">
        <f>'ERP_AP7 Macro Failed'!I477</f>
        <v>0</v>
      </c>
      <c r="G475" t="str">
        <f>'ERP_AP7 Macro Failed'!K477</f>
        <v>IT-SFT1009-86-OG-US-CB</v>
      </c>
      <c r="H475" s="487" t="e" cm="1">
        <f t="array" ref="H475">SUMPRODUCT((ERP[UID]=A475)*(ERP[AP01]+ERP[AP02]+ERP[AP03]+ERP[AP04]+ERP[AP05]))</f>
        <v>#VALUE!</v>
      </c>
      <c r="I475" s="487" cm="1">
        <f t="array" ref="I475">SUMPRODUCT((ERP[UID]=A475)*(ERP[AP01 LE2]+ERP[AP02 LE2]+ERP[AP03 LE2]+ERP[AP04 LE2]+ERP[AP05 LE2]))</f>
        <v>-551382.25</v>
      </c>
      <c r="J475" s="487">
        <f>'ERP_AP7 Macro Failed'!AL477</f>
        <v>0</v>
      </c>
      <c r="K475" t="str">
        <f t="shared" si="14"/>
        <v>Immaterial</v>
      </c>
      <c r="L475" t="str">
        <f t="shared" si="15"/>
        <v>No</v>
      </c>
    </row>
    <row r="476" spans="1:12">
      <c r="A476" t="str">
        <f>'ERP_AP7 Macro Failed'!A478</f>
        <v>L-ERP-115</v>
      </c>
      <c r="B476" t="str">
        <f>'ERP_AP7 Macro Failed'!D478</f>
        <v>Dougherty, Chris</v>
      </c>
      <c r="C476" t="str">
        <f>'ERP_AP7 Macro Failed'!E478</f>
        <v>Dougherty, Chris</v>
      </c>
      <c r="D476" t="str">
        <f>'ERP_AP7 Macro Failed'!G478</f>
        <v>OTHER</v>
      </c>
      <c r="E476" t="str">
        <f>'ERP_AP7 Macro Failed'!H478</f>
        <v>SAP SaaS Software Maintenance (IBP #3061986150)</v>
      </c>
      <c r="F476">
        <f>'ERP_AP7 Macro Failed'!I478</f>
        <v>0</v>
      </c>
      <c r="G476" t="str">
        <f>'ERP_AP7 Macro Failed'!K478</f>
        <v>IT-SFT1010-86-OG-US</v>
      </c>
      <c r="H476" s="487" t="e" cm="1">
        <f t="array" ref="H476">SUMPRODUCT((ERP[UID]=A476)*(ERP[AP01]+ERP[AP02]+ERP[AP03]+ERP[AP04]+ERP[AP05]))</f>
        <v>#VALUE!</v>
      </c>
      <c r="I476" s="487" cm="1">
        <f t="array" ref="I476">SUMPRODUCT((ERP[UID]=A476)*(ERP[AP01 LE2]+ERP[AP02 LE2]+ERP[AP03 LE2]+ERP[AP04 LE2]+ERP[AP05 LE2]))</f>
        <v>0</v>
      </c>
      <c r="J476" s="487">
        <f>'ERP_AP7 Macro Failed'!AL478</f>
        <v>0</v>
      </c>
      <c r="K476" t="str">
        <f t="shared" si="14"/>
        <v>Immaterial</v>
      </c>
      <c r="L476" t="str">
        <f t="shared" si="15"/>
        <v>No</v>
      </c>
    </row>
    <row r="477" spans="1:12">
      <c r="A477" t="str">
        <f>'ERP_AP7 Macro Failed'!A479</f>
        <v>L-ERP-116</v>
      </c>
      <c r="B477" t="str">
        <f>'ERP_AP7 Macro Failed'!D479</f>
        <v>Dougherty, Chris</v>
      </c>
      <c r="C477" t="str">
        <f>'ERP_AP7 Macro Failed'!E479</f>
        <v>Dougherty, Chris</v>
      </c>
      <c r="D477" t="str">
        <f>'ERP_AP7 Macro Failed'!G479</f>
        <v>SOFTWARE</v>
      </c>
      <c r="E477" t="str">
        <f>'ERP_AP7 Macro Failed'!H479</f>
        <v>SAP SaaS Software Maintenance (IBP #3061986150)</v>
      </c>
      <c r="F477" t="str">
        <f>'ERP_AP7 Macro Failed'!I479</f>
        <v>Prepaid - SAP AMERICA INC</v>
      </c>
      <c r="G477" t="str">
        <f>'ERP_AP7 Macro Failed'!K479</f>
        <v>IT-SFT1010-86-OG-US</v>
      </c>
      <c r="H477" s="487" t="e" cm="1">
        <f t="array" ref="H477">SUMPRODUCT((ERP[UID]=A477)*(ERP[AP01]+ERP[AP02]+ERP[AP03]+ERP[AP04]+ERP[AP05]))</f>
        <v>#VALUE!</v>
      </c>
      <c r="I477" s="487" cm="1">
        <f t="array" ref="I477">SUMPRODUCT((ERP[UID]=A477)*(ERP[AP01 LE2]+ERP[AP02 LE2]+ERP[AP03 LE2]+ERP[AP04 LE2]+ERP[AP05 LE2]))</f>
        <v>1815412.02</v>
      </c>
      <c r="J477" s="487">
        <f>'ERP_AP7 Macro Failed'!AL479</f>
        <v>2.0099999997764826</v>
      </c>
      <c r="K477" t="str">
        <f t="shared" si="14"/>
        <v>Immaterial</v>
      </c>
      <c r="L477" t="str">
        <f t="shared" si="15"/>
        <v>No</v>
      </c>
    </row>
    <row r="478" spans="1:12">
      <c r="A478" t="str">
        <f>'ERP_AP7 Macro Failed'!A480</f>
        <v>N-ERP-574</v>
      </c>
      <c r="B478" t="str">
        <f>'ERP_AP7 Macro Failed'!D480</f>
        <v>Hase, Raj</v>
      </c>
      <c r="C478" t="str">
        <f>'ERP_AP7 Macro Failed'!E480</f>
        <v>Hovanyetz, Mike</v>
      </c>
      <c r="D478" t="str">
        <f>'ERP_AP7 Macro Failed'!G480</f>
        <v>SOFTWARE</v>
      </c>
      <c r="E478" t="str">
        <f>'ERP_AP7 Macro Failed'!H480</f>
        <v>ERP Ancillary Software Maintenance - GTS Denied Party Screening</v>
      </c>
      <c r="F478" t="str">
        <f>'ERP_AP7 Macro Failed'!I480</f>
        <v>Descartes</v>
      </c>
      <c r="G478" t="str">
        <f>'ERP_AP7 Macro Failed'!K480</f>
        <v>IT-SFT1040-02-OG-US</v>
      </c>
      <c r="H478" s="487" t="e" cm="1">
        <f t="array" ref="H478">SUMPRODUCT((ERP[UID]=A478)*(ERP[AP01]+ERP[AP02]+ERP[AP03]+ERP[AP04]+ERP[AP05]))</f>
        <v>#VALUE!</v>
      </c>
      <c r="I478" s="487" cm="1">
        <f t="array" ref="I478">SUMPRODUCT((ERP[UID]=A478)*(ERP[AP01 LE2]+ERP[AP02 LE2]+ERP[AP03 LE2]+ERP[AP04 LE2]+ERP[AP05 LE2]))</f>
        <v>0</v>
      </c>
      <c r="J478" s="487">
        <f>'ERP_AP7 Macro Failed'!AL480</f>
        <v>0</v>
      </c>
      <c r="K478" t="str">
        <f t="shared" si="14"/>
        <v>Immaterial</v>
      </c>
      <c r="L478" t="str">
        <f t="shared" si="15"/>
        <v>No</v>
      </c>
    </row>
    <row r="479" spans="1:12">
      <c r="A479" t="str">
        <f>'ERP_AP7 Macro Failed'!A481</f>
        <v>N-ERP-575</v>
      </c>
      <c r="B479" t="str">
        <f>'ERP_AP7 Macro Failed'!D481</f>
        <v>Hase, Raj</v>
      </c>
      <c r="C479" t="str">
        <f>'ERP_AP7 Macro Failed'!E481</f>
        <v>Hovanyetz, Mike</v>
      </c>
      <c r="D479" t="str">
        <f>'ERP_AP7 Macro Failed'!G481</f>
        <v>SOFTWARE</v>
      </c>
      <c r="E479" t="str">
        <f>'ERP_AP7 Macro Failed'!H481</f>
        <v>ERP Ancillary Software Maintenance - GTS Denied Party Screening (Pullforward Credit)</v>
      </c>
      <c r="F479" t="str">
        <f>'ERP_AP7 Macro Failed'!I481</f>
        <v>Descartes</v>
      </c>
      <c r="G479" t="str">
        <f>'ERP_AP7 Macro Failed'!K481</f>
        <v>IT-SFT1040-02-OG-US/PF</v>
      </c>
      <c r="H479" s="487" t="e" cm="1">
        <f t="array" ref="H479">SUMPRODUCT((ERP[UID]=A479)*(ERP[AP01]+ERP[AP02]+ERP[AP03]+ERP[AP04]+ERP[AP05]))</f>
        <v>#VALUE!</v>
      </c>
      <c r="I479" s="487" cm="1">
        <f t="array" ref="I479">SUMPRODUCT((ERP[UID]=A479)*(ERP[AP01 LE2]+ERP[AP02 LE2]+ERP[AP03 LE2]+ERP[AP04 LE2]+ERP[AP05 LE2]))</f>
        <v>0</v>
      </c>
      <c r="J479" s="487">
        <f>'ERP_AP7 Macro Failed'!AL481</f>
        <v>0</v>
      </c>
      <c r="K479" t="str">
        <f t="shared" si="14"/>
        <v>Immaterial</v>
      </c>
      <c r="L479" t="str">
        <f t="shared" si="15"/>
        <v>No</v>
      </c>
    </row>
    <row r="480" spans="1:12">
      <c r="A480" t="str">
        <f>'ERP_AP7 Macro Failed'!A482</f>
        <v>L-ERP-163</v>
      </c>
      <c r="B480" t="str">
        <f>'ERP_AP7 Macro Failed'!D482</f>
        <v>Hase, Raj</v>
      </c>
      <c r="C480" t="str">
        <f>'ERP_AP7 Macro Failed'!E482</f>
        <v>Ganesan, Srinivasan</v>
      </c>
      <c r="D480" t="str">
        <f>'ERP_AP7 Macro Failed'!G482</f>
        <v>SOFTWARE</v>
      </c>
      <c r="E480" t="str">
        <f>'ERP_AP7 Macro Failed'!H482</f>
        <v>GLNS Visual Compliance</v>
      </c>
      <c r="F480">
        <f>'ERP_AP7 Macro Failed'!I482</f>
        <v>0</v>
      </c>
      <c r="G480" t="str">
        <f>'ERP_AP7 Macro Failed'!K482</f>
        <v>IT-SFT1042-02-OG-US</v>
      </c>
      <c r="H480" s="487" t="e" cm="1">
        <f t="array" ref="H480">SUMPRODUCT((ERP[UID]=A480)*(ERP[AP01]+ERP[AP02]+ERP[AP03]+ERP[AP04]+ERP[AP05]))</f>
        <v>#VALUE!</v>
      </c>
      <c r="I480" s="487" cm="1">
        <f t="array" ref="I480">SUMPRODUCT((ERP[UID]=A480)*(ERP[AP01 LE2]+ERP[AP02 LE2]+ERP[AP03 LE2]+ERP[AP04 LE2]+ERP[AP05 LE2]))</f>
        <v>0</v>
      </c>
      <c r="J480" s="487">
        <f>'ERP_AP7 Macro Failed'!AL482</f>
        <v>0</v>
      </c>
      <c r="K480" t="str">
        <f t="shared" si="14"/>
        <v>Immaterial</v>
      </c>
      <c r="L480" t="str">
        <f t="shared" si="15"/>
        <v>No</v>
      </c>
    </row>
    <row r="481" spans="1:12">
      <c r="A481" t="str">
        <f>'ERP_AP7 Macro Failed'!A483</f>
        <v>L-ERP-121</v>
      </c>
      <c r="B481" t="str">
        <f>'ERP_AP7 Macro Failed'!D483</f>
        <v>Dougherty, Chris</v>
      </c>
      <c r="C481" t="str">
        <f>'ERP_AP7 Macro Failed'!E483</f>
        <v>Dougherty, Chris</v>
      </c>
      <c r="D481" t="str">
        <f>'ERP_AP7 Macro Failed'!G483</f>
        <v>SOFTWARE</v>
      </c>
      <c r="E481" t="str">
        <f>'ERP_AP7 Macro Failed'!H483</f>
        <v>Seal Systems</v>
      </c>
      <c r="F481" t="str">
        <f>'ERP_AP7 Macro Failed'!I483</f>
        <v>SEAL SYSTEMS INC</v>
      </c>
      <c r="G481" t="str">
        <f>'ERP_AP7 Macro Failed'!K483</f>
        <v>IT-SFT1012-86-OG-US</v>
      </c>
      <c r="H481" s="487" t="e" cm="1">
        <f t="array" ref="H481">SUMPRODUCT((ERP[UID]=A481)*(ERP[AP01]+ERP[AP02]+ERP[AP03]+ERP[AP04]+ERP[AP05]))</f>
        <v>#VALUE!</v>
      </c>
      <c r="I481" s="487" cm="1">
        <f t="array" ref="I481">SUMPRODUCT((ERP[UID]=A481)*(ERP[AP01 LE2]+ERP[AP02 LE2]+ERP[AP03 LE2]+ERP[AP04 LE2]+ERP[AP05 LE2]))</f>
        <v>0</v>
      </c>
      <c r="J481" s="487">
        <f>'ERP_AP7 Macro Failed'!AL483</f>
        <v>0</v>
      </c>
      <c r="K481" t="str">
        <f t="shared" si="14"/>
        <v>Immaterial</v>
      </c>
      <c r="L481" t="str">
        <f t="shared" si="15"/>
        <v>No</v>
      </c>
    </row>
    <row r="482" spans="1:12">
      <c r="A482" t="str">
        <f>'ERP_AP7 Macro Failed'!A484</f>
        <v>N-ERP-610</v>
      </c>
      <c r="B482" t="str">
        <f>'ERP_AP7 Macro Failed'!D484</f>
        <v>Dougherty, Chris</v>
      </c>
      <c r="C482" t="str">
        <f>'ERP_AP7 Macro Failed'!E484</f>
        <v>Patel, Nikunj Rohitkumar</v>
      </c>
      <c r="D482" t="str">
        <f>'ERP_AP7 Macro Failed'!G484</f>
        <v>SOFTWARE</v>
      </c>
      <c r="E482" t="str">
        <f>'ERP_AP7 Macro Failed'!H484</f>
        <v>Markov (Mainteannce Renewal) (Pullforward Debit)</v>
      </c>
      <c r="F482" t="str">
        <f>'ERP_AP7 Macro Failed'!I484</f>
        <v>MarKov</v>
      </c>
      <c r="G482" t="str">
        <f>'ERP_AP7 Macro Failed'!K484</f>
        <v>IT-SFT1023-86-OG-US</v>
      </c>
      <c r="H482" s="487" t="e" cm="1">
        <f t="array" ref="H482">SUMPRODUCT((ERP[UID]=A482)*(ERP[AP01]+ERP[AP02]+ERP[AP03]+ERP[AP04]+ERP[AP05]))</f>
        <v>#VALUE!</v>
      </c>
      <c r="I482" s="487" cm="1">
        <f t="array" ref="I482">SUMPRODUCT((ERP[UID]=A482)*(ERP[AP01 LE2]+ERP[AP02 LE2]+ERP[AP03 LE2]+ERP[AP04 LE2]+ERP[AP05 LE2]))</f>
        <v>0</v>
      </c>
      <c r="J482" s="487">
        <f>'ERP_AP7 Macro Failed'!AL484</f>
        <v>0</v>
      </c>
      <c r="K482" t="str">
        <f t="shared" si="14"/>
        <v>Immaterial</v>
      </c>
      <c r="L482" t="str">
        <f t="shared" si="15"/>
        <v>No</v>
      </c>
    </row>
    <row r="483" spans="1:12">
      <c r="A483" t="str">
        <f>'ERP_AP7 Macro Failed'!A485</f>
        <v>L-ERP-140</v>
      </c>
      <c r="B483" t="str">
        <f>'ERP_AP7 Macro Failed'!D485</f>
        <v>Hase, Raj</v>
      </c>
      <c r="C483" t="str">
        <f>'ERP_AP7 Macro Failed'!E485</f>
        <v>Ganesan, Srinivasan</v>
      </c>
      <c r="D483" t="str">
        <f>'ERP_AP7 Macro Failed'!G485</f>
        <v>SOFTWARE</v>
      </c>
      <c r="E483" t="str">
        <f>'ERP_AP7 Macro Failed'!H485</f>
        <v>Mulesoft - License Maintenance_XFR0926</v>
      </c>
      <c r="F483">
        <f>'ERP_AP7 Macro Failed'!I485</f>
        <v>0</v>
      </c>
      <c r="G483" t="str">
        <f>'ERP_AP7 Macro Failed'!K485</f>
        <v>IT-SFT1126-86-OG-US</v>
      </c>
      <c r="H483" s="487" t="e" cm="1">
        <f t="array" ref="H483">SUMPRODUCT((ERP[UID]=A483)*(ERP[AP01]+ERP[AP02]+ERP[AP03]+ERP[AP04]+ERP[AP05]))</f>
        <v>#VALUE!</v>
      </c>
      <c r="I483" s="487" cm="1">
        <f t="array" ref="I483">SUMPRODUCT((ERP[UID]=A483)*(ERP[AP01 LE2]+ERP[AP02 LE2]+ERP[AP03 LE2]+ERP[AP04 LE2]+ERP[AP05 LE2]))</f>
        <v>0</v>
      </c>
      <c r="J483" s="487">
        <f>'ERP_AP7 Macro Failed'!AL485</f>
        <v>0</v>
      </c>
      <c r="K483" t="str">
        <f t="shared" si="14"/>
        <v>Immaterial</v>
      </c>
      <c r="L483" t="str">
        <f t="shared" si="15"/>
        <v>No</v>
      </c>
    </row>
    <row r="484" spans="1:12">
      <c r="A484" t="str">
        <f>'ERP_AP7 Macro Failed'!A486</f>
        <v>L-ERP-569</v>
      </c>
      <c r="B484" t="str">
        <f>'ERP_AP7 Macro Failed'!D486</f>
        <v>Hase, Raj</v>
      </c>
      <c r="C484" t="str">
        <f>'ERP_AP7 Macro Failed'!E486</f>
        <v>Yeluri, Durga</v>
      </c>
      <c r="D484" t="str">
        <f>'ERP_AP7 Macro Failed'!G486</f>
        <v>SOFTWARE</v>
      </c>
      <c r="E484" t="str">
        <f>'ERP_AP7 Macro Failed'!H486</f>
        <v>Celonis Monthly Fee for IBC access + Action Engine Licenses</v>
      </c>
      <c r="F484">
        <f>'ERP_AP7 Macro Failed'!I486</f>
        <v>0</v>
      </c>
      <c r="G484" t="str">
        <f>'ERP_AP7 Macro Failed'!K486</f>
        <v>IT-SFT1139-86-OG-US</v>
      </c>
      <c r="H484" s="487" t="e" cm="1">
        <f t="array" ref="H484">SUMPRODUCT((ERP[UID]=A484)*(ERP[AP01]+ERP[AP02]+ERP[AP03]+ERP[AP04]+ERP[AP05]))</f>
        <v>#VALUE!</v>
      </c>
      <c r="I484" s="487" cm="1">
        <f t="array" ref="I484">SUMPRODUCT((ERP[UID]=A484)*(ERP[AP01 LE2]+ERP[AP02 LE2]+ERP[AP03 LE2]+ERP[AP04 LE2]+ERP[AP05 LE2]))</f>
        <v>3041666.6499999994</v>
      </c>
      <c r="J484" s="487">
        <f>'ERP_AP7 Macro Failed'!AL486</f>
        <v>0</v>
      </c>
      <c r="K484" t="str">
        <f t="shared" si="14"/>
        <v>Immaterial</v>
      </c>
      <c r="L484" t="str">
        <f t="shared" si="15"/>
        <v>No</v>
      </c>
    </row>
    <row r="485" spans="1:12">
      <c r="A485" t="str">
        <f>'ERP_AP7 Macro Failed'!A487</f>
        <v>N-ERP-611</v>
      </c>
      <c r="B485" t="str">
        <f>'ERP_AP7 Macro Failed'!D487</f>
        <v>Dougherty, Chris</v>
      </c>
      <c r="C485" t="str">
        <f>'ERP_AP7 Macro Failed'!E487</f>
        <v>Patel, Nikunj Rohitkumar</v>
      </c>
      <c r="D485" t="str">
        <f>'ERP_AP7 Macro Failed'!G487</f>
        <v>SOFTWARE</v>
      </c>
      <c r="E485" t="str">
        <f>'ERP_AP7 Macro Failed'!H487</f>
        <v>Markov (Mainteannce Renewal) (Pullforward Credit)</v>
      </c>
      <c r="F485" t="str">
        <f>'ERP_AP7 Macro Failed'!I487</f>
        <v>MarKov</v>
      </c>
      <c r="G485" t="str">
        <f>'ERP_AP7 Macro Failed'!K487</f>
        <v>IT-SFT1023-86-OG-US/PF</v>
      </c>
      <c r="H485" s="487" t="e" cm="1">
        <f t="array" ref="H485">SUMPRODUCT((ERP[UID]=A485)*(ERP[AP01]+ERP[AP02]+ERP[AP03]+ERP[AP04]+ERP[AP05]))</f>
        <v>#VALUE!</v>
      </c>
      <c r="I485" s="487" cm="1">
        <f t="array" ref="I485">SUMPRODUCT((ERP[UID]=A485)*(ERP[AP01 LE2]+ERP[AP02 LE2]+ERP[AP03 LE2]+ERP[AP04 LE2]+ERP[AP05 LE2]))</f>
        <v>0</v>
      </c>
      <c r="J485" s="487">
        <f>'ERP_AP7 Macro Failed'!AL487</f>
        <v>0</v>
      </c>
      <c r="K485" t="str">
        <f t="shared" si="14"/>
        <v>Immaterial</v>
      </c>
      <c r="L485" t="str">
        <f t="shared" si="15"/>
        <v>No</v>
      </c>
    </row>
    <row r="486" spans="1:12">
      <c r="A486" t="str">
        <f>'ERP_AP7 Macro Failed'!A488</f>
        <v>L-ERP-321</v>
      </c>
      <c r="B486" t="str">
        <f>'ERP_AP7 Macro Failed'!D488</f>
        <v>Dougherty, Chris</v>
      </c>
      <c r="C486" t="str">
        <f>'ERP_AP7 Macro Failed'!E488</f>
        <v>Maguire, Karla</v>
      </c>
      <c r="D486" t="str">
        <f>'ERP_AP7 Macro Failed'!G488</f>
        <v>SOFTWARE</v>
      </c>
      <c r="E486" t="str">
        <f>'ERP_AP7 Macro Failed'!H488</f>
        <v>Visio O365 Licenses</v>
      </c>
      <c r="F486">
        <f>'ERP_AP7 Macro Failed'!I488</f>
        <v>0</v>
      </c>
      <c r="G486" t="str">
        <f>'ERP_AP7 Macro Failed'!K488</f>
        <v>IT-SFT1119-86-OG-US</v>
      </c>
      <c r="H486" s="487" t="e" cm="1">
        <f t="array" ref="H486">SUMPRODUCT((ERP[UID]=A486)*(ERP[AP01]+ERP[AP02]+ERP[AP03]+ERP[AP04]+ERP[AP05]))</f>
        <v>#VALUE!</v>
      </c>
      <c r="I486" s="487" cm="1">
        <f t="array" ref="I486">SUMPRODUCT((ERP[UID]=A486)*(ERP[AP01 LE2]+ERP[AP02 LE2]+ERP[AP03 LE2]+ERP[AP04 LE2]+ERP[AP05 LE2]))</f>
        <v>0</v>
      </c>
      <c r="J486" s="487">
        <f>'ERP_AP7 Macro Failed'!AL488</f>
        <v>0</v>
      </c>
      <c r="K486" t="str">
        <f t="shared" si="14"/>
        <v>Immaterial</v>
      </c>
      <c r="L486" t="str">
        <f t="shared" si="15"/>
        <v>No</v>
      </c>
    </row>
    <row r="487" spans="1:12">
      <c r="A487" t="str">
        <f>'ERP_AP7 Macro Failed'!A489</f>
        <v>L-ERP-322</v>
      </c>
      <c r="B487" t="str">
        <f>'ERP_AP7 Macro Failed'!D489</f>
        <v>Dougherty, Chris</v>
      </c>
      <c r="C487" t="str">
        <f>'ERP_AP7 Macro Failed'!E489</f>
        <v>Maguire, Karla</v>
      </c>
      <c r="D487" t="str">
        <f>'ERP_AP7 Macro Failed'!G489</f>
        <v>SOFTWARE</v>
      </c>
      <c r="E487" t="str">
        <f>'ERP_AP7 Macro Failed'!H489</f>
        <v>Project O365 Licenses</v>
      </c>
      <c r="F487">
        <f>'ERP_AP7 Macro Failed'!I489</f>
        <v>0</v>
      </c>
      <c r="G487" t="str">
        <f>'ERP_AP7 Macro Failed'!K489</f>
        <v>IT-SFT1121-86-OG-US</v>
      </c>
      <c r="H487" s="487" t="e" cm="1">
        <f t="array" ref="H487">SUMPRODUCT((ERP[UID]=A487)*(ERP[AP01]+ERP[AP02]+ERP[AP03]+ERP[AP04]+ERP[AP05]))</f>
        <v>#VALUE!</v>
      </c>
      <c r="I487" s="487" cm="1">
        <f t="array" ref="I487">SUMPRODUCT((ERP[UID]=A487)*(ERP[AP01 LE2]+ERP[AP02 LE2]+ERP[AP03 LE2]+ERP[AP04 LE2]+ERP[AP05 LE2]))</f>
        <v>0</v>
      </c>
      <c r="J487" s="487">
        <f>'ERP_AP7 Macro Failed'!AL489</f>
        <v>0</v>
      </c>
      <c r="K487" t="str">
        <f t="shared" si="14"/>
        <v>Immaterial</v>
      </c>
      <c r="L487" t="str">
        <f t="shared" si="15"/>
        <v>No</v>
      </c>
    </row>
    <row r="488" spans="1:12">
      <c r="A488" t="str">
        <f>'ERP_AP7 Macro Failed'!A490</f>
        <v>N-ERP-608</v>
      </c>
      <c r="B488" t="str">
        <f>'ERP_AP7 Macro Failed'!D490</f>
        <v>Dougherty, Chris</v>
      </c>
      <c r="C488" t="str">
        <f>'ERP_AP7 Macro Failed'!E490</f>
        <v>Meadows, Leslie</v>
      </c>
      <c r="D488" t="str">
        <f>'ERP_AP7 Macro Failed'!G490</f>
        <v>SOFTWARE</v>
      </c>
      <c r="E488" t="str">
        <f>'ERP_AP7 Macro Failed'!H490</f>
        <v>Tricentis Tosca, Connect &amp; Execution Licenses (Pullforward Debit)</v>
      </c>
      <c r="F488" t="str">
        <f>'ERP_AP7 Macro Failed'!I490</f>
        <v>TRICENTIS USA CORP</v>
      </c>
      <c r="G488" t="str">
        <f>'ERP_AP7 Macro Failed'!K490</f>
        <v>IT-SFT1147-86-OG-US</v>
      </c>
      <c r="H488" s="487" t="e" cm="1">
        <f t="array" ref="H488">SUMPRODUCT((ERP[UID]=A488)*(ERP[AP01]+ERP[AP02]+ERP[AP03]+ERP[AP04]+ERP[AP05]))</f>
        <v>#VALUE!</v>
      </c>
      <c r="I488" s="487" cm="1">
        <f t="array" ref="I488">SUMPRODUCT((ERP[UID]=A488)*(ERP[AP01 LE2]+ERP[AP02 LE2]+ERP[AP03 LE2]+ERP[AP04 LE2]+ERP[AP05 LE2]))</f>
        <v>0</v>
      </c>
      <c r="J488" s="487">
        <f>'ERP_AP7 Macro Failed'!AL490</f>
        <v>0</v>
      </c>
      <c r="K488" t="str">
        <f t="shared" si="14"/>
        <v>Immaterial</v>
      </c>
      <c r="L488" t="str">
        <f t="shared" si="15"/>
        <v>No</v>
      </c>
    </row>
    <row r="489" spans="1:12">
      <c r="A489" t="str">
        <f>'ERP_AP7 Macro Failed'!A491</f>
        <v>N-ERP-609</v>
      </c>
      <c r="B489" t="str">
        <f>'ERP_AP7 Macro Failed'!D491</f>
        <v>Dougherty, Chris</v>
      </c>
      <c r="C489" t="str">
        <f>'ERP_AP7 Macro Failed'!E491</f>
        <v>Meadows, Leslie</v>
      </c>
      <c r="D489" t="str">
        <f>'ERP_AP7 Macro Failed'!G491</f>
        <v>SOFTWARE</v>
      </c>
      <c r="E489" t="str">
        <f>'ERP_AP7 Macro Failed'!H491</f>
        <v>Tricentis Tosca, Connect &amp; Execution Licenses (Pullforward Credit)</v>
      </c>
      <c r="F489" t="str">
        <f>'ERP_AP7 Macro Failed'!I491</f>
        <v>TRICENTIS USA CORP</v>
      </c>
      <c r="G489" t="str">
        <f>'ERP_AP7 Macro Failed'!K491</f>
        <v>IT-SFT1147-86-OG-US/PF</v>
      </c>
      <c r="H489" s="487" t="e" cm="1">
        <f t="array" ref="H489">SUMPRODUCT((ERP[UID]=A489)*(ERP[AP01]+ERP[AP02]+ERP[AP03]+ERP[AP04]+ERP[AP05]))</f>
        <v>#VALUE!</v>
      </c>
      <c r="I489" s="487" cm="1">
        <f t="array" ref="I489">SUMPRODUCT((ERP[UID]=A489)*(ERP[AP01 LE2]+ERP[AP02 LE2]+ERP[AP03 LE2]+ERP[AP04 LE2]+ERP[AP05 LE2]))</f>
        <v>0</v>
      </c>
      <c r="J489" s="487">
        <f>'ERP_AP7 Macro Failed'!AL491</f>
        <v>0</v>
      </c>
      <c r="K489" t="str">
        <f t="shared" si="14"/>
        <v>Immaterial</v>
      </c>
      <c r="L489" t="str">
        <f t="shared" si="15"/>
        <v>No</v>
      </c>
    </row>
    <row r="490" spans="1:12">
      <c r="A490" t="str">
        <f>'ERP_AP7 Macro Failed'!A492</f>
        <v>N-ERP-592</v>
      </c>
      <c r="B490" t="str">
        <f>'ERP_AP7 Macro Failed'!D492</f>
        <v>Dougherty, Chris</v>
      </c>
      <c r="C490" t="str">
        <f>'ERP_AP7 Macro Failed'!E492</f>
        <v>McCormick, Pete</v>
      </c>
      <c r="D490" t="str">
        <f>'ERP_AP7 Macro Failed'!G492</f>
        <v>SOFTWARE</v>
      </c>
      <c r="E490" t="str">
        <f>'ERP_AP7 Macro Failed'!H492</f>
        <v>Radio Frequency device licenses at plants - 42Gears - SureMDM Suite license (Pullforward Debit)</v>
      </c>
      <c r="F490" t="str">
        <f>'ERP_AP7 Macro Failed'!I492</f>
        <v>Avalon</v>
      </c>
      <c r="G490" t="str">
        <f>'ERP_AP7 Macro Failed'!K492</f>
        <v>IT-SFT1172-86-OG-US</v>
      </c>
      <c r="H490" s="487" t="e" cm="1">
        <f t="array" ref="H490">SUMPRODUCT((ERP[UID]=A490)*(ERP[AP01]+ERP[AP02]+ERP[AP03]+ERP[AP04]+ERP[AP05]))</f>
        <v>#VALUE!</v>
      </c>
      <c r="I490" s="487" cm="1">
        <f t="array" ref="I490">SUMPRODUCT((ERP[UID]=A490)*(ERP[AP01 LE2]+ERP[AP02 LE2]+ERP[AP03 LE2]+ERP[AP04 LE2]+ERP[AP05 LE2]))</f>
        <v>0</v>
      </c>
      <c r="J490" s="487">
        <f>'ERP_AP7 Macro Failed'!AL492</f>
        <v>0</v>
      </c>
      <c r="K490" t="str">
        <f t="shared" si="14"/>
        <v>Immaterial</v>
      </c>
      <c r="L490" t="str">
        <f t="shared" si="15"/>
        <v>No</v>
      </c>
    </row>
    <row r="491" spans="1:12">
      <c r="A491" t="str">
        <f>'ERP_AP7 Macro Failed'!A493</f>
        <v>N-ERP-593</v>
      </c>
      <c r="B491" t="str">
        <f>'ERP_AP7 Macro Failed'!D493</f>
        <v>Dougherty, Chris</v>
      </c>
      <c r="C491" t="str">
        <f>'ERP_AP7 Macro Failed'!E493</f>
        <v>McCormick, Pete</v>
      </c>
      <c r="D491" t="str">
        <f>'ERP_AP7 Macro Failed'!G493</f>
        <v>SOFTWARE</v>
      </c>
      <c r="E491" t="str">
        <f>'ERP_AP7 Macro Failed'!H493</f>
        <v>Radio Frequency device licenses at plants - 42Gears - SureMDM Suite license (Pullforward Credit)</v>
      </c>
      <c r="F491" t="str">
        <f>'ERP_AP7 Macro Failed'!I493</f>
        <v>Avalon</v>
      </c>
      <c r="G491" t="str">
        <f>'ERP_AP7 Macro Failed'!K493</f>
        <v>IT-SFT1172-86-OG-US/PF</v>
      </c>
      <c r="H491" s="487" t="e" cm="1">
        <f t="array" ref="H491">SUMPRODUCT((ERP[UID]=A491)*(ERP[AP01]+ERP[AP02]+ERP[AP03]+ERP[AP04]+ERP[AP05]))</f>
        <v>#VALUE!</v>
      </c>
      <c r="I491" s="487" cm="1">
        <f t="array" ref="I491">SUMPRODUCT((ERP[UID]=A491)*(ERP[AP01 LE2]+ERP[AP02 LE2]+ERP[AP03 LE2]+ERP[AP04 LE2]+ERP[AP05 LE2]))</f>
        <v>0</v>
      </c>
      <c r="J491" s="487">
        <f>'ERP_AP7 Macro Failed'!AL493</f>
        <v>0</v>
      </c>
      <c r="K491" t="str">
        <f t="shared" si="14"/>
        <v>Immaterial</v>
      </c>
      <c r="L491" t="str">
        <f t="shared" si="15"/>
        <v>No</v>
      </c>
    </row>
    <row r="492" spans="1:12">
      <c r="A492" t="str">
        <f>'ERP_AP7 Macro Failed'!A494</f>
        <v>L-ERP-004</v>
      </c>
      <c r="B492" t="str">
        <f>'ERP_AP7 Macro Failed'!D494</f>
        <v>Hase, Raj</v>
      </c>
      <c r="C492" t="str">
        <f>'ERP_AP7 Macro Failed'!E494</f>
        <v>DeHart, Lynn</v>
      </c>
      <c r="D492" t="str">
        <f>'ERP_AP7 Macro Failed'!G494</f>
        <v>SOFTWARE</v>
      </c>
      <c r="E492" t="str">
        <f>'ERP_AP7 Macro Failed'!H494</f>
        <v>DevSecOps</v>
      </c>
      <c r="F492">
        <f>'ERP_AP7 Macro Failed'!I494</f>
        <v>0</v>
      </c>
      <c r="G492" t="str">
        <f>'ERP_AP7 Macro Failed'!K494</f>
        <v>IT-SFT1194-86-OG-US</v>
      </c>
      <c r="H492" s="487" t="e" cm="1">
        <f t="array" ref="H492">SUMPRODUCT((ERP[UID]=A492)*(ERP[AP01]+ERP[AP02]+ERP[AP03]+ERP[AP04]+ERP[AP05]))</f>
        <v>#VALUE!</v>
      </c>
      <c r="I492" s="487" cm="1">
        <f t="array" ref="I492">SUMPRODUCT((ERP[UID]=A492)*(ERP[AP01 LE2]+ERP[AP02 LE2]+ERP[AP03 LE2]+ERP[AP04 LE2]+ERP[AP05 LE2]))</f>
        <v>3886.48</v>
      </c>
      <c r="J492" s="487">
        <f>'ERP_AP7 Macro Failed'!AL494</f>
        <v>4000.69</v>
      </c>
      <c r="K492" t="str">
        <f t="shared" si="14"/>
        <v>Minor</v>
      </c>
      <c r="L492" t="str">
        <f t="shared" si="15"/>
        <v>No</v>
      </c>
    </row>
    <row r="493" spans="1:12">
      <c r="A493" t="str">
        <f>'ERP_AP7 Macro Failed'!A495</f>
        <v>L-ERP-120</v>
      </c>
      <c r="B493" t="str">
        <f>'ERP_AP7 Macro Failed'!D495</f>
        <v>Dougherty, Chris</v>
      </c>
      <c r="C493" t="str">
        <f>'ERP_AP7 Macro Failed'!E495</f>
        <v>Dougherty, Chris</v>
      </c>
      <c r="D493" t="str">
        <f>'ERP_AP7 Macro Failed'!G495</f>
        <v>SOFTWARE</v>
      </c>
      <c r="E493" t="str">
        <f>'ERP_AP7 Macro Failed'!H495</f>
        <v>Serialization - SAP ICH License- Software subscription (SaaS) - (Contract #3061804516)</v>
      </c>
      <c r="F493" t="str">
        <f>'ERP_AP7 Macro Failed'!I495</f>
        <v>Prepaid - SAP AMERICA INC</v>
      </c>
      <c r="G493" t="str">
        <f>'ERP_AP7 Macro Failed'!K495</f>
        <v>IT-SFT1185-86-OG-US</v>
      </c>
      <c r="H493" s="487" t="e" cm="1">
        <f t="array" ref="H493">SUMPRODUCT((ERP[UID]=A493)*(ERP[AP01]+ERP[AP02]+ERP[AP03]+ERP[AP04]+ERP[AP05]))</f>
        <v>#VALUE!</v>
      </c>
      <c r="I493" s="487" cm="1">
        <f t="array" ref="I493">SUMPRODUCT((ERP[UID]=A493)*(ERP[AP01 LE2]+ERP[AP02 LE2]+ERP[AP03 LE2]+ERP[AP04 LE2]+ERP[AP05 LE2]))</f>
        <v>454599.33999999997</v>
      </c>
      <c r="J493" s="487">
        <f>'ERP_AP7 Macro Failed'!AL495</f>
        <v>0</v>
      </c>
      <c r="K493" t="str">
        <f t="shared" si="14"/>
        <v>Immaterial</v>
      </c>
      <c r="L493" t="str">
        <f t="shared" si="15"/>
        <v>No</v>
      </c>
    </row>
    <row r="494" spans="1:12">
      <c r="A494" t="str">
        <f>'ERP_AP7 Macro Failed'!A496</f>
        <v>L-ERP-127</v>
      </c>
      <c r="B494" t="str">
        <f>'ERP_AP7 Macro Failed'!D496</f>
        <v>Hase, Raj</v>
      </c>
      <c r="C494" t="str">
        <f>'ERP_AP7 Macro Failed'!E496</f>
        <v>Ganesan, Srinivasan</v>
      </c>
      <c r="D494" t="str">
        <f>'ERP_AP7 Macro Failed'!G496</f>
        <v>SOFTWARE</v>
      </c>
      <c r="E494" t="str">
        <f>'ERP_AP7 Macro Failed'!H496</f>
        <v>DevSecOps</v>
      </c>
      <c r="F494">
        <f>'ERP_AP7 Macro Failed'!I496</f>
        <v>0</v>
      </c>
      <c r="G494" t="str">
        <f>'ERP_AP7 Macro Failed'!K496</f>
        <v>IT-SFT1194-86-OG-US</v>
      </c>
      <c r="H494" s="487" t="e" cm="1">
        <f t="array" ref="H494">SUMPRODUCT((ERP[UID]=A494)*(ERP[AP01]+ERP[AP02]+ERP[AP03]+ERP[AP04]+ERP[AP05]))</f>
        <v>#VALUE!</v>
      </c>
      <c r="I494" s="487" cm="1">
        <f t="array" ref="I494">SUMPRODUCT((ERP[UID]=A494)*(ERP[AP01 LE2]+ERP[AP02 LE2]+ERP[AP03 LE2]+ERP[AP04 LE2]+ERP[AP05 LE2]))</f>
        <v>10362.700000000001</v>
      </c>
      <c r="J494" s="487">
        <f>'ERP_AP7 Macro Failed'!AL496</f>
        <v>6211.1000000000022</v>
      </c>
      <c r="K494" t="str">
        <f t="shared" si="14"/>
        <v>Minor</v>
      </c>
      <c r="L494" t="str">
        <f t="shared" si="15"/>
        <v>No</v>
      </c>
    </row>
    <row r="495" spans="1:12">
      <c r="A495" t="str">
        <f>'ERP_AP7 Macro Failed'!A497</f>
        <v>L-ERP-182</v>
      </c>
      <c r="B495" t="str">
        <f>'ERP_AP7 Macro Failed'!D497</f>
        <v>Hase, Raj</v>
      </c>
      <c r="C495" t="str">
        <f>'ERP_AP7 Macro Failed'!E497</f>
        <v>Hase, Raj</v>
      </c>
      <c r="D495" t="str">
        <f>'ERP_AP7 Macro Failed'!G497</f>
        <v>SOFTWARE</v>
      </c>
      <c r="E495" t="str">
        <f>'ERP_AP7 Macro Failed'!H497</f>
        <v>DevSecOps</v>
      </c>
      <c r="F495">
        <f>'ERP_AP7 Macro Failed'!I497</f>
        <v>0</v>
      </c>
      <c r="G495" t="str">
        <f>'ERP_AP7 Macro Failed'!K497</f>
        <v>IT-SFT1194-86-OG-US</v>
      </c>
      <c r="H495" s="487" t="e" cm="1">
        <f t="array" ref="H495">SUMPRODUCT((ERP[UID]=A495)*(ERP[AP01]+ERP[AP02]+ERP[AP03]+ERP[AP04]+ERP[AP05]))</f>
        <v>#VALUE!</v>
      </c>
      <c r="I495" s="487" cm="1">
        <f t="array" ref="I495">SUMPRODUCT((ERP[UID]=A495)*(ERP[AP01 LE2]+ERP[AP02 LE2]+ERP[AP03 LE2]+ERP[AP04 LE2]+ERP[AP05 LE2]))</f>
        <v>9470.91</v>
      </c>
      <c r="J495" s="487">
        <f>'ERP_AP7 Macro Failed'!AL497</f>
        <v>2848.2999999999993</v>
      </c>
      <c r="K495" t="str">
        <f t="shared" si="14"/>
        <v>Minor</v>
      </c>
      <c r="L495" t="str">
        <f t="shared" si="15"/>
        <v>No</v>
      </c>
    </row>
    <row r="496" spans="1:12">
      <c r="A496" t="str">
        <f>'ERP_AP7 Macro Failed'!A498</f>
        <v>L-ERP-196</v>
      </c>
      <c r="B496" t="str">
        <f>'ERP_AP7 Macro Failed'!D498</f>
        <v>Hase, Raj</v>
      </c>
      <c r="C496" t="str">
        <f>'ERP_AP7 Macro Failed'!E498</f>
        <v>Herman, Shaun</v>
      </c>
      <c r="D496" t="str">
        <f>'ERP_AP7 Macro Failed'!G498</f>
        <v>SOFTWARE</v>
      </c>
      <c r="E496" t="str">
        <f>'ERP_AP7 Macro Failed'!H498</f>
        <v>DevSecOps</v>
      </c>
      <c r="F496">
        <f>'ERP_AP7 Macro Failed'!I498</f>
        <v>0</v>
      </c>
      <c r="G496" t="str">
        <f>'ERP_AP7 Macro Failed'!K498</f>
        <v>IT-SFT1194-86-OG-US</v>
      </c>
      <c r="H496" s="487" t="e" cm="1">
        <f t="array" ref="H496">SUMPRODUCT((ERP[UID]=A496)*(ERP[AP01]+ERP[AP02]+ERP[AP03]+ERP[AP04]+ERP[AP05]))</f>
        <v>#VALUE!</v>
      </c>
      <c r="I496" s="487" cm="1">
        <f t="array" ref="I496">SUMPRODUCT((ERP[UID]=A496)*(ERP[AP01 LE2]+ERP[AP02 LE2]+ERP[AP03 LE2]+ERP[AP04 LE2]+ERP[AP05 LE2]))</f>
        <v>10022.1</v>
      </c>
      <c r="J496" s="487">
        <f>'ERP_AP7 Macro Failed'!AL498</f>
        <v>4983.4299999999985</v>
      </c>
      <c r="K496" t="str">
        <f t="shared" si="14"/>
        <v>Minor</v>
      </c>
      <c r="L496" t="str">
        <f t="shared" si="15"/>
        <v>No</v>
      </c>
    </row>
    <row r="497" spans="1:12">
      <c r="A497" t="str">
        <f>'ERP_AP7 Macro Failed'!A499</f>
        <v>L-ERP-219</v>
      </c>
      <c r="B497" t="str">
        <f>'ERP_AP7 Macro Failed'!D499</f>
        <v>Hase, Raj</v>
      </c>
      <c r="C497" t="str">
        <f>'ERP_AP7 Macro Failed'!E499</f>
        <v>Hovanyetz, Mike</v>
      </c>
      <c r="D497" t="str">
        <f>'ERP_AP7 Macro Failed'!G499</f>
        <v>SOFTWARE</v>
      </c>
      <c r="E497" t="str">
        <f>'ERP_AP7 Macro Failed'!H499</f>
        <v>DevSecOps</v>
      </c>
      <c r="F497">
        <f>'ERP_AP7 Macro Failed'!I499</f>
        <v>0</v>
      </c>
      <c r="G497" t="str">
        <f>'ERP_AP7 Macro Failed'!K499</f>
        <v>IT-SFT1194-86-OG-US</v>
      </c>
      <c r="H497" s="487" t="e" cm="1">
        <f t="array" ref="H497">SUMPRODUCT((ERP[UID]=A497)*(ERP[AP01]+ERP[AP02]+ERP[AP03]+ERP[AP04]+ERP[AP05]))</f>
        <v>#VALUE!</v>
      </c>
      <c r="I497" s="487" cm="1">
        <f t="array" ref="I497">SUMPRODUCT((ERP[UID]=A497)*(ERP[AP01 LE2]+ERP[AP02 LE2]+ERP[AP03 LE2]+ERP[AP04 LE2]+ERP[AP05 LE2]))</f>
        <v>11218.54</v>
      </c>
      <c r="J497" s="487">
        <f>'ERP_AP7 Macro Failed'!AL499</f>
        <v>8027.5499999999993</v>
      </c>
      <c r="K497" t="str">
        <f t="shared" si="14"/>
        <v>Minor</v>
      </c>
      <c r="L497" t="str">
        <f t="shared" si="15"/>
        <v>No</v>
      </c>
    </row>
    <row r="498" spans="1:12">
      <c r="A498" t="str">
        <f>'ERP_AP7 Macro Failed'!A500</f>
        <v>L-ERP-230</v>
      </c>
      <c r="B498" t="str">
        <f>'ERP_AP7 Macro Failed'!D500</f>
        <v>Hase, Raj</v>
      </c>
      <c r="C498" t="str">
        <f>'ERP_AP7 Macro Failed'!E500</f>
        <v>Jajodia, Amit</v>
      </c>
      <c r="D498" t="str">
        <f>'ERP_AP7 Macro Failed'!G500</f>
        <v>SOFTWARE</v>
      </c>
      <c r="E498" t="str">
        <f>'ERP_AP7 Macro Failed'!H500</f>
        <v>DevSecOps</v>
      </c>
      <c r="F498">
        <f>'ERP_AP7 Macro Failed'!I500</f>
        <v>0</v>
      </c>
      <c r="G498" t="str">
        <f>'ERP_AP7 Macro Failed'!K500</f>
        <v>IT-SFT1194-86-OG-US</v>
      </c>
      <c r="H498" s="487" t="e" cm="1">
        <f t="array" ref="H498">SUMPRODUCT((ERP[UID]=A498)*(ERP[AP01]+ERP[AP02]+ERP[AP03]+ERP[AP04]+ERP[AP05]))</f>
        <v>#VALUE!</v>
      </c>
      <c r="I498" s="487" cm="1">
        <f t="array" ref="I498">SUMPRODUCT((ERP[UID]=A498)*(ERP[AP01 LE2]+ERP[AP02 LE2]+ERP[AP03 LE2]+ERP[AP04 LE2]+ERP[AP05 LE2]))</f>
        <v>11389.7</v>
      </c>
      <c r="J498" s="487">
        <f>'ERP_AP7 Macro Failed'!AL500</f>
        <v>6531.8999999999978</v>
      </c>
      <c r="K498" t="str">
        <f t="shared" si="14"/>
        <v>Minor</v>
      </c>
      <c r="L498" t="str">
        <f t="shared" si="15"/>
        <v>No</v>
      </c>
    </row>
    <row r="499" spans="1:12">
      <c r="A499" t="str">
        <f>'ERP_AP7 Macro Failed'!A501</f>
        <v>L-ERP-053</v>
      </c>
      <c r="B499" t="str">
        <f>'ERP_AP7 Macro Failed'!D501</f>
        <v>Dougherty, Chris</v>
      </c>
      <c r="C499" t="str">
        <f>'ERP_AP7 Macro Failed'!E501</f>
        <v>Dougherty, Chris</v>
      </c>
      <c r="D499" t="str">
        <f>'ERP_AP7 Macro Failed'!G501</f>
        <v>SOFTWARE</v>
      </c>
      <c r="E499" t="str">
        <f>'ERP_AP7 Macro Failed'!H501</f>
        <v>SAP ICH incremental cost for GLN/Non-GLN portal- Additional Licenses (Contract#3062358011)</v>
      </c>
      <c r="F499">
        <f>'ERP_AP7 Macro Failed'!I501</f>
        <v>0</v>
      </c>
      <c r="G499" t="str">
        <f>'ERP_AP7 Macro Failed'!K501</f>
        <v>IT-SFT1185-86-OG-US/01</v>
      </c>
      <c r="H499" s="487" t="e" cm="1">
        <f t="array" ref="H499">SUMPRODUCT((ERP[UID]=A499)*(ERP[AP01]+ERP[AP02]+ERP[AP03]+ERP[AP04]+ERP[AP05]))</f>
        <v>#VALUE!</v>
      </c>
      <c r="I499" s="487" cm="1">
        <f t="array" ref="I499">SUMPRODUCT((ERP[UID]=A499)*(ERP[AP01 LE2]+ERP[AP02 LE2]+ERP[AP03 LE2]+ERP[AP04 LE2]+ERP[AP05 LE2]))</f>
        <v>0</v>
      </c>
      <c r="J499" s="487">
        <f>'ERP_AP7 Macro Failed'!AL501</f>
        <v>0</v>
      </c>
      <c r="K499" t="str">
        <f t="shared" si="14"/>
        <v>Immaterial</v>
      </c>
      <c r="L499" t="str">
        <f t="shared" si="15"/>
        <v>No</v>
      </c>
    </row>
    <row r="500" spans="1:12">
      <c r="A500" t="str">
        <f>'ERP_AP7 Macro Failed'!A502</f>
        <v>L-ERP-110</v>
      </c>
      <c r="B500" t="str">
        <f>'ERP_AP7 Macro Failed'!D502</f>
        <v>Dougherty, Chris</v>
      </c>
      <c r="C500" t="str">
        <f>'ERP_AP7 Macro Failed'!E502</f>
        <v>Dougherty, Chris</v>
      </c>
      <c r="D500" t="str">
        <f>'ERP_AP7 Macro Failed'!G502</f>
        <v>SOFTWARE</v>
      </c>
      <c r="E500" t="str">
        <f>'ERP_AP7 Macro Failed'!H502</f>
        <v>SAP on Premise Software Maintenance - JDNet Connector</v>
      </c>
      <c r="F500">
        <f>'ERP_AP7 Macro Failed'!I502</f>
        <v>0</v>
      </c>
      <c r="G500" t="str">
        <f>'ERP_AP7 Macro Failed'!K502</f>
        <v>IT-SFT1186-86-OG-US</v>
      </c>
      <c r="H500" s="487" t="e" cm="1">
        <f t="array" ref="H500">SUMPRODUCT((ERP[UID]=A500)*(ERP[AP01]+ERP[AP02]+ERP[AP03]+ERP[AP04]+ERP[AP05]))</f>
        <v>#VALUE!</v>
      </c>
      <c r="I500" s="487" cm="1">
        <f t="array" ref="I500">SUMPRODUCT((ERP[UID]=A500)*(ERP[AP01 LE2]+ERP[AP02 LE2]+ERP[AP03 LE2]+ERP[AP04 LE2]+ERP[AP05 LE2]))</f>
        <v>0</v>
      </c>
      <c r="J500" s="487">
        <f>'ERP_AP7 Macro Failed'!AL502</f>
        <v>0</v>
      </c>
      <c r="K500" t="str">
        <f t="shared" si="14"/>
        <v>Immaterial</v>
      </c>
      <c r="L500" t="str">
        <f t="shared" si="15"/>
        <v>No</v>
      </c>
    </row>
    <row r="501" spans="1:12">
      <c r="A501" t="str">
        <f>'ERP_AP7 Macro Failed'!A503</f>
        <v>L-ERP-407</v>
      </c>
      <c r="B501" t="str">
        <f>'ERP_AP7 Macro Failed'!D503</f>
        <v>McGettigan, David</v>
      </c>
      <c r="C501" t="str">
        <f>'ERP_AP7 Macro Failed'!E503</f>
        <v>McGettigan, David</v>
      </c>
      <c r="D501" t="str">
        <f>'ERP_AP7 Macro Failed'!G503</f>
        <v>SOFTWARE</v>
      </c>
      <c r="E501" t="str">
        <f>'ERP_AP7 Macro Failed'!H503</f>
        <v>DevSecOps</v>
      </c>
      <c r="F501">
        <f>'ERP_AP7 Macro Failed'!I503</f>
        <v>0</v>
      </c>
      <c r="G501" t="str">
        <f>'ERP_AP7 Macro Failed'!K503</f>
        <v>IT-SFT1194-86-OG-US</v>
      </c>
      <c r="H501" s="487" t="e" cm="1">
        <f t="array" ref="H501">SUMPRODUCT((ERP[UID]=A501)*(ERP[AP01]+ERP[AP02]+ERP[AP03]+ERP[AP04]+ERP[AP05]))</f>
        <v>#VALUE!</v>
      </c>
      <c r="I501" s="487" cm="1">
        <f t="array" ref="I501">SUMPRODUCT((ERP[UID]=A501)*(ERP[AP01 LE2]+ERP[AP02 LE2]+ERP[AP03 LE2]+ERP[AP04 LE2]+ERP[AP05 LE2]))</f>
        <v>95.05</v>
      </c>
      <c r="J501" s="487">
        <f>'ERP_AP7 Macro Failed'!AL503</f>
        <v>160.28999999999996</v>
      </c>
      <c r="K501" t="str">
        <f t="shared" si="14"/>
        <v>Immaterial</v>
      </c>
      <c r="L501" t="str">
        <f t="shared" si="15"/>
        <v>No</v>
      </c>
    </row>
    <row r="502" spans="1:12">
      <c r="A502" t="str">
        <f>'ERP_AP7 Macro Failed'!A504</f>
        <v>L-ERP-068</v>
      </c>
      <c r="B502" t="str">
        <f>'ERP_AP7 Macro Failed'!D504</f>
        <v>Dougherty, Chris</v>
      </c>
      <c r="C502" t="str">
        <f>'ERP_AP7 Macro Failed'!E504</f>
        <v>Dougherty, Chris</v>
      </c>
      <c r="D502" t="str">
        <f>'ERP_AP7 Macro Failed'!G504</f>
        <v>SOFTWARE</v>
      </c>
      <c r="E502" t="str">
        <f>'ERP_AP7 Macro Failed'!H504</f>
        <v>DevSecOps</v>
      </c>
      <c r="F502">
        <f>'ERP_AP7 Macro Failed'!I504</f>
        <v>0</v>
      </c>
      <c r="G502" t="str">
        <f>'ERP_AP7 Macro Failed'!K504</f>
        <v>IT-SFT1194-86-OG-US</v>
      </c>
      <c r="H502" s="487" t="e" cm="1">
        <f t="array" ref="H502">SUMPRODUCT((ERP[UID]=A502)*(ERP[AP01]+ERP[AP02]+ERP[AP03]+ERP[AP04]+ERP[AP05]))</f>
        <v>#VALUE!</v>
      </c>
      <c r="I502" s="487" cm="1">
        <f t="array" ref="I502">SUMPRODUCT((ERP[UID]=A502)*(ERP[AP01 LE2]+ERP[AP02 LE2]+ERP[AP03 LE2]+ERP[AP04 LE2]+ERP[AP05 LE2]))</f>
        <v>61919.48</v>
      </c>
      <c r="J502" s="487">
        <f>'ERP_AP7 Macro Failed'!AL504</f>
        <v>5968.679999999993</v>
      </c>
      <c r="K502" t="str">
        <f t="shared" si="14"/>
        <v>Minor</v>
      </c>
      <c r="L502" t="str">
        <f t="shared" si="15"/>
        <v>No</v>
      </c>
    </row>
    <row r="503" spans="1:12">
      <c r="A503" t="str">
        <f>'ERP_AP7 Macro Failed'!A505</f>
        <v>L-ERP-314</v>
      </c>
      <c r="B503" t="str">
        <f>'ERP_AP7 Macro Failed'!D505</f>
        <v>Dougherty, Chris</v>
      </c>
      <c r="C503" t="str">
        <f>'ERP_AP7 Macro Failed'!E505</f>
        <v>Maguire, Karla</v>
      </c>
      <c r="D503" t="str">
        <f>'ERP_AP7 Macro Failed'!G505</f>
        <v>SOFTWARE</v>
      </c>
      <c r="E503" t="str">
        <f>'ERP_AP7 Macro Failed'!H505</f>
        <v>DevSecOps</v>
      </c>
      <c r="F503">
        <f>'ERP_AP7 Macro Failed'!I505</f>
        <v>0</v>
      </c>
      <c r="G503" t="str">
        <f>'ERP_AP7 Macro Failed'!K505</f>
        <v>IT-SFT1194-86-OG-US</v>
      </c>
      <c r="H503" s="487" t="e" cm="1">
        <f t="array" ref="H503">SUMPRODUCT((ERP[UID]=A503)*(ERP[AP01]+ERP[AP02]+ERP[AP03]+ERP[AP04]+ERP[AP05]))</f>
        <v>#VALUE!</v>
      </c>
      <c r="I503" s="487" cm="1">
        <f t="array" ref="I503">SUMPRODUCT((ERP[UID]=A503)*(ERP[AP01 LE2]+ERP[AP02 LE2]+ERP[AP03 LE2]+ERP[AP04 LE2]+ERP[AP05 LE2]))</f>
        <v>1165</v>
      </c>
      <c r="J503" s="487">
        <f>'ERP_AP7 Macro Failed'!AL505</f>
        <v>-10779.26</v>
      </c>
      <c r="K503" t="str">
        <f t="shared" si="14"/>
        <v>MATERIAL</v>
      </c>
      <c r="L503" t="str">
        <f t="shared" si="15"/>
        <v>YES</v>
      </c>
    </row>
    <row r="504" spans="1:12">
      <c r="A504" t="str">
        <f>'ERP_AP7 Macro Failed'!A506</f>
        <v>L-ERP-479</v>
      </c>
      <c r="B504" t="str">
        <f>'ERP_AP7 Macro Failed'!D506</f>
        <v>Robertson, Jerome</v>
      </c>
      <c r="C504" t="str">
        <f>'ERP_AP7 Macro Failed'!E506</f>
        <v>Robertson, Jerome</v>
      </c>
      <c r="D504" t="str">
        <f>'ERP_AP7 Macro Failed'!G506</f>
        <v>SOFTWARE</v>
      </c>
      <c r="E504" t="str">
        <f>'ERP_AP7 Macro Failed'!H506</f>
        <v>DevSecOps</v>
      </c>
      <c r="F504">
        <f>'ERP_AP7 Macro Failed'!I506</f>
        <v>0</v>
      </c>
      <c r="G504" t="str">
        <f>'ERP_AP7 Macro Failed'!K506</f>
        <v>IT-SFT1194-86-OG-US</v>
      </c>
      <c r="H504" s="487" t="e" cm="1">
        <f t="array" ref="H504">SUMPRODUCT((ERP[UID]=A504)*(ERP[AP01]+ERP[AP02]+ERP[AP03]+ERP[AP04]+ERP[AP05]))</f>
        <v>#VALUE!</v>
      </c>
      <c r="I504" s="487" cm="1">
        <f t="array" ref="I504">SUMPRODUCT((ERP[UID]=A504)*(ERP[AP01 LE2]+ERP[AP02 LE2]+ERP[AP03 LE2]+ERP[AP04 LE2]+ERP[AP05 LE2]))</f>
        <v>8224.32</v>
      </c>
      <c r="J504" s="487">
        <f>'ERP_AP7 Macro Failed'!AL506</f>
        <v>2281.9199999999983</v>
      </c>
      <c r="K504" t="str">
        <f t="shared" si="14"/>
        <v>Minor</v>
      </c>
      <c r="L504" t="str">
        <f t="shared" si="15"/>
        <v>No</v>
      </c>
    </row>
    <row r="505" spans="1:12">
      <c r="A505" t="str">
        <f>'ERP_AP7 Macro Failed'!A507</f>
        <v>L-ERP-357</v>
      </c>
      <c r="B505" t="str">
        <f>'ERP_AP7 Macro Failed'!D507</f>
        <v>Dougherty, Chris</v>
      </c>
      <c r="C505" t="str">
        <f>'ERP_AP7 Macro Failed'!E507</f>
        <v>McCormick, Pete</v>
      </c>
      <c r="D505" t="str">
        <f>'ERP_AP7 Macro Failed'!G507</f>
        <v>SOFTWARE</v>
      </c>
      <c r="E505" t="str">
        <f>'ERP_AP7 Macro Failed'!H507</f>
        <v>DevSecOps</v>
      </c>
      <c r="F505">
        <f>'ERP_AP7 Macro Failed'!I507</f>
        <v>0</v>
      </c>
      <c r="G505" t="str">
        <f>'ERP_AP7 Macro Failed'!K507</f>
        <v>IT-SFT1194-86-OG-US</v>
      </c>
      <c r="H505" s="487" t="e" cm="1">
        <f t="array" ref="H505">SUMPRODUCT((ERP[UID]=A505)*(ERP[AP01]+ERP[AP02]+ERP[AP03]+ERP[AP04]+ERP[AP05]))</f>
        <v>#VALUE!</v>
      </c>
      <c r="I505" s="487" cm="1">
        <f t="array" ref="I505">SUMPRODUCT((ERP[UID]=A505)*(ERP[AP01 LE2]+ERP[AP02 LE2]+ERP[AP03 LE2]+ERP[AP04 LE2]+ERP[AP05 LE2]))</f>
        <v>3010.21</v>
      </c>
      <c r="J505" s="487">
        <f>'ERP_AP7 Macro Failed'!AL507</f>
        <v>-2201.7600000000002</v>
      </c>
      <c r="K505" t="str">
        <f t="shared" si="14"/>
        <v>Minor</v>
      </c>
      <c r="L505" t="str">
        <f t="shared" si="15"/>
        <v>No</v>
      </c>
    </row>
    <row r="506" spans="1:12">
      <c r="A506" t="str">
        <f>'ERP_AP7 Macro Failed'!A508</f>
        <v>L-ERP-551</v>
      </c>
      <c r="B506" t="str">
        <f>'ERP_AP7 Macro Failed'!D508</f>
        <v>Hase, Raj</v>
      </c>
      <c r="C506" t="str">
        <f>'ERP_AP7 Macro Failed'!E508</f>
        <v>Vaidya, Sachin</v>
      </c>
      <c r="D506" t="str">
        <f>'ERP_AP7 Macro Failed'!G508</f>
        <v>SOFTWARE</v>
      </c>
      <c r="E506" t="str">
        <f>'ERP_AP7 Macro Failed'!H508</f>
        <v>DevSecOps</v>
      </c>
      <c r="F506">
        <f>'ERP_AP7 Macro Failed'!I508</f>
        <v>0</v>
      </c>
      <c r="G506" t="str">
        <f>'ERP_AP7 Macro Failed'!K508</f>
        <v>IT-SFT1194-86-OG-US</v>
      </c>
      <c r="H506" s="487" t="e" cm="1">
        <f t="array" ref="H506">SUMPRODUCT((ERP[UID]=A506)*(ERP[AP01]+ERP[AP02]+ERP[AP03]+ERP[AP04]+ERP[AP05]))</f>
        <v>#VALUE!</v>
      </c>
      <c r="I506" s="487" cm="1">
        <f t="array" ref="I506">SUMPRODUCT((ERP[UID]=A506)*(ERP[AP01 LE2]+ERP[AP02 LE2]+ERP[AP03 LE2]+ERP[AP04 LE2]+ERP[AP05 LE2]))</f>
        <v>6320.54</v>
      </c>
      <c r="J506" s="487">
        <f>'ERP_AP7 Macro Failed'!AL508</f>
        <v>-1794</v>
      </c>
      <c r="K506" t="str">
        <f t="shared" si="14"/>
        <v>Minor</v>
      </c>
      <c r="L506" t="str">
        <f t="shared" si="15"/>
        <v>No</v>
      </c>
    </row>
    <row r="507" spans="1:12">
      <c r="A507" t="str">
        <f>'ERP_AP7 Macro Failed'!A509</f>
        <v>L-ERP-153</v>
      </c>
      <c r="B507" t="str">
        <f>'ERP_AP7 Macro Failed'!D509</f>
        <v>Hase, Raj</v>
      </c>
      <c r="C507" t="str">
        <f>'ERP_AP7 Macro Failed'!E509</f>
        <v>Ganesan, Srinivasan</v>
      </c>
      <c r="D507" t="str">
        <f>'ERP_AP7 Macro Failed'!G509</f>
        <v>CONTRACTORS</v>
      </c>
      <c r="E507" t="str">
        <f>'ERP_AP7 Macro Failed'!H509</f>
        <v>Logistics E2Open Software Support</v>
      </c>
      <c r="F507">
        <f>'ERP_AP7 Macro Failed'!I509</f>
        <v>0</v>
      </c>
      <c r="G507" t="str">
        <f>'ERP_AP7 Macro Failed'!K509</f>
        <v>IT-SFT1205-86-OG-US</v>
      </c>
      <c r="H507" s="487" t="e" cm="1">
        <f t="array" ref="H507">SUMPRODUCT((ERP[UID]=A507)*(ERP[AP01]+ERP[AP02]+ERP[AP03]+ERP[AP04]+ERP[AP05]))</f>
        <v>#VALUE!</v>
      </c>
      <c r="I507" s="487" cm="1">
        <f t="array" ref="I507">SUMPRODUCT((ERP[UID]=A507)*(ERP[AP01 LE2]+ERP[AP02 LE2]+ERP[AP03 LE2]+ERP[AP04 LE2]+ERP[AP05 LE2]))</f>
        <v>3710</v>
      </c>
      <c r="J507" s="487">
        <f>'ERP_AP7 Macro Failed'!AL509</f>
        <v>0</v>
      </c>
      <c r="K507" t="str">
        <f t="shared" si="14"/>
        <v>Immaterial</v>
      </c>
      <c r="L507" t="str">
        <f t="shared" si="15"/>
        <v>No</v>
      </c>
    </row>
    <row r="508" spans="1:12">
      <c r="A508" t="str">
        <f>'ERP_AP7 Macro Failed'!A510</f>
        <v>L-ERP-164</v>
      </c>
      <c r="B508" t="str">
        <f>'ERP_AP7 Macro Failed'!D510</f>
        <v>Hase, Raj</v>
      </c>
      <c r="C508" t="str">
        <f>'ERP_AP7 Macro Failed'!E510</f>
        <v>Ganesan, Srinivasan</v>
      </c>
      <c r="D508" t="str">
        <f>'ERP_AP7 Macro Failed'!G510</f>
        <v>SOFTWARE</v>
      </c>
      <c r="E508" t="str">
        <f>'ERP_AP7 Macro Failed'!H510</f>
        <v>Logistics E2Open Software Support</v>
      </c>
      <c r="F508">
        <f>'ERP_AP7 Macro Failed'!I510</f>
        <v>0</v>
      </c>
      <c r="G508" t="str">
        <f>'ERP_AP7 Macro Failed'!K510</f>
        <v>IT-SFT1205-86-OG-US</v>
      </c>
      <c r="H508" s="487" t="e" cm="1">
        <f t="array" ref="H508">SUMPRODUCT((ERP[UID]=A508)*(ERP[AP01]+ERP[AP02]+ERP[AP03]+ERP[AP04]+ERP[AP05]))</f>
        <v>#VALUE!</v>
      </c>
      <c r="I508" s="487" cm="1">
        <f t="array" ref="I508">SUMPRODUCT((ERP[UID]=A508)*(ERP[AP01 LE2]+ERP[AP02 LE2]+ERP[AP03 LE2]+ERP[AP04 LE2]+ERP[AP05 LE2]))</f>
        <v>0</v>
      </c>
      <c r="J508" s="487">
        <f>'ERP_AP7 Macro Failed'!AL510</f>
        <v>0</v>
      </c>
      <c r="K508" t="str">
        <f t="shared" si="14"/>
        <v>Immaterial</v>
      </c>
      <c r="L508" t="str">
        <f t="shared" si="15"/>
        <v>No</v>
      </c>
    </row>
    <row r="509" spans="1:12">
      <c r="A509" t="str">
        <f>'ERP_AP7 Macro Failed'!A511</f>
        <v>L-ERP-436</v>
      </c>
      <c r="B509" t="str">
        <f>'ERP_AP7 Macro Failed'!D511</f>
        <v>Dougherty, Chris</v>
      </c>
      <c r="C509" t="str">
        <f>'ERP_AP7 Macro Failed'!E511</f>
        <v>Meadows, Leslie</v>
      </c>
      <c r="D509" t="str">
        <f>'ERP_AP7 Macro Failed'!G511</f>
        <v>SOFTWARE</v>
      </c>
      <c r="E509" t="str">
        <f>'ERP_AP7 Macro Failed'!H511</f>
        <v>DevSecOps</v>
      </c>
      <c r="F509">
        <f>'ERP_AP7 Macro Failed'!I511</f>
        <v>0</v>
      </c>
      <c r="G509" t="str">
        <f>'ERP_AP7 Macro Failed'!K511</f>
        <v>IT-SFT1194-86-OG-US</v>
      </c>
      <c r="H509" s="487" t="e" cm="1">
        <f t="array" ref="H509">SUMPRODUCT((ERP[UID]=A509)*(ERP[AP01]+ERP[AP02]+ERP[AP03]+ERP[AP04]+ERP[AP05]))</f>
        <v>#VALUE!</v>
      </c>
      <c r="I509" s="487" cm="1">
        <f t="array" ref="I509">SUMPRODUCT((ERP[UID]=A509)*(ERP[AP01 LE2]+ERP[AP02 LE2]+ERP[AP03 LE2]+ERP[AP04 LE2]+ERP[AP05 LE2]))</f>
        <v>3116.74</v>
      </c>
      <c r="J509" s="487">
        <f>'ERP_AP7 Macro Failed'!AL511</f>
        <v>-346</v>
      </c>
      <c r="K509" t="str">
        <f t="shared" si="14"/>
        <v>Immaterial</v>
      </c>
      <c r="L509" t="str">
        <f t="shared" si="15"/>
        <v>No</v>
      </c>
    </row>
    <row r="510" spans="1:12">
      <c r="A510" t="str">
        <f>'ERP_AP7 Macro Failed'!A512</f>
        <v>L-ERP-014</v>
      </c>
      <c r="B510" t="str">
        <f>'ERP_AP7 Macro Failed'!D512</f>
        <v>Hase, Raj</v>
      </c>
      <c r="C510" t="str">
        <f>'ERP_AP7 Macro Failed'!E512</f>
        <v>DeHart, Lynn</v>
      </c>
      <c r="D510" t="str">
        <f>'ERP_AP7 Macro Failed'!G512</f>
        <v>SOFTWARE</v>
      </c>
      <c r="E510" t="str">
        <f>'ERP_AP7 Macro Failed'!H512</f>
        <v>Infrastructure Charges - Cloud AWS - RHEL</v>
      </c>
      <c r="F510">
        <f>'ERP_AP7 Macro Failed'!I512</f>
        <v>0</v>
      </c>
      <c r="G510" t="str">
        <f>'ERP_AP7 Macro Failed'!K512</f>
        <v>IT-SFT1220-86-OG-US</v>
      </c>
      <c r="H510" s="487" t="e" cm="1">
        <f t="array" ref="H510">SUMPRODUCT((ERP[UID]=A510)*(ERP[AP01]+ERP[AP02]+ERP[AP03]+ERP[AP04]+ERP[AP05]))</f>
        <v>#VALUE!</v>
      </c>
      <c r="I510" s="487" cm="1">
        <f t="array" ref="I510">SUMPRODUCT((ERP[UID]=A510)*(ERP[AP01 LE2]+ERP[AP02 LE2]+ERP[AP03 LE2]+ERP[AP04 LE2]+ERP[AP05 LE2]))</f>
        <v>558</v>
      </c>
      <c r="J510" s="487">
        <f>'ERP_AP7 Macro Failed'!AL512</f>
        <v>-837</v>
      </c>
      <c r="K510" t="str">
        <f t="shared" si="14"/>
        <v>Immaterial</v>
      </c>
      <c r="L510" t="str">
        <f t="shared" si="15"/>
        <v>No</v>
      </c>
    </row>
    <row r="511" spans="1:12">
      <c r="A511" t="str">
        <f>'ERP_AP7 Macro Failed'!A513</f>
        <v>N-ERP-563</v>
      </c>
      <c r="B511" t="str">
        <f>'ERP_AP7 Macro Failed'!D513</f>
        <v>Hase, Raj</v>
      </c>
      <c r="C511" t="str">
        <f>'ERP_AP7 Macro Failed'!E513</f>
        <v>Ganesan, Srinivasan</v>
      </c>
      <c r="D511" t="str">
        <f>'ERP_AP7 Macro Failed'!G513</f>
        <v>SOFTWARE</v>
      </c>
      <c r="E511" t="str">
        <f>'ERP_AP7 Macro Failed'!H513</f>
        <v>GLNS Analytics - Snowflake Compute Software</v>
      </c>
      <c r="F511">
        <f>'ERP_AP7 Macro Failed'!I513</f>
        <v>0</v>
      </c>
      <c r="G511" t="str">
        <f>'ERP_AP7 Macro Failed'!K513</f>
        <v>IT-SFT1224-86-OG-US</v>
      </c>
      <c r="H511" s="487" t="e" cm="1">
        <f t="array" ref="H511">SUMPRODUCT((ERP[UID]=A511)*(ERP[AP01]+ERP[AP02]+ERP[AP03]+ERP[AP04]+ERP[AP05]))</f>
        <v>#VALUE!</v>
      </c>
      <c r="I511" s="487" cm="1">
        <f t="array" ref="I511">SUMPRODUCT((ERP[UID]=A511)*(ERP[AP01 LE2]+ERP[AP02 LE2]+ERP[AP03 LE2]+ERP[AP04 LE2]+ERP[AP05 LE2]))</f>
        <v>0</v>
      </c>
      <c r="J511" s="487">
        <f>'ERP_AP7 Macro Failed'!AL513</f>
        <v>0</v>
      </c>
      <c r="K511" t="str">
        <f t="shared" si="14"/>
        <v>Immaterial</v>
      </c>
      <c r="L511" t="str">
        <f t="shared" si="15"/>
        <v>No</v>
      </c>
    </row>
    <row r="512" spans="1:12">
      <c r="A512" t="str">
        <f>'ERP_AP7 Macro Failed'!A514</f>
        <v>L-ERP-471</v>
      </c>
      <c r="B512" t="str">
        <f>'ERP_AP7 Macro Failed'!D514</f>
        <v>Dougherty, Chris</v>
      </c>
      <c r="C512" t="str">
        <f>'ERP_AP7 Macro Failed'!E514</f>
        <v>Patel, Nikunj Rohitkumar</v>
      </c>
      <c r="D512" t="str">
        <f>'ERP_AP7 Macro Failed'!G514</f>
        <v>SOFTWARE</v>
      </c>
      <c r="E512" t="str">
        <f>'ERP_AP7 Macro Failed'!H514</f>
        <v>DevSecOps</v>
      </c>
      <c r="F512">
        <f>'ERP_AP7 Macro Failed'!I514</f>
        <v>0</v>
      </c>
      <c r="G512" t="str">
        <f>'ERP_AP7 Macro Failed'!K514</f>
        <v>IT-SFT1194-86-OG-US</v>
      </c>
      <c r="H512" s="487" t="e" cm="1">
        <f t="array" ref="H512">SUMPRODUCT((ERP[UID]=A512)*(ERP[AP01]+ERP[AP02]+ERP[AP03]+ERP[AP04]+ERP[AP05]))</f>
        <v>#VALUE!</v>
      </c>
      <c r="I512" s="487" cm="1">
        <f t="array" ref="I512">SUMPRODUCT((ERP[UID]=A512)*(ERP[AP01 LE2]+ERP[AP02 LE2]+ERP[AP03 LE2]+ERP[AP04 LE2]+ERP[AP05 LE2]))</f>
        <v>3547.87</v>
      </c>
      <c r="J512" s="487">
        <f>'ERP_AP7 Macro Failed'!AL514</f>
        <v>2972.87</v>
      </c>
      <c r="K512" t="str">
        <f t="shared" si="14"/>
        <v>Minor</v>
      </c>
      <c r="L512" t="str">
        <f t="shared" si="15"/>
        <v>No</v>
      </c>
    </row>
    <row r="513" spans="1:12">
      <c r="A513" t="str">
        <f>'ERP_AP7 Macro Failed'!A515</f>
        <v>L-ERP-515</v>
      </c>
      <c r="B513" t="str">
        <f>'ERP_AP7 Macro Failed'!D515</f>
        <v>Dougherty, Chris</v>
      </c>
      <c r="C513" t="str">
        <f>'ERP_AP7 Macro Failed'!E515</f>
        <v>Tamavada, Ram</v>
      </c>
      <c r="D513" t="str">
        <f>'ERP_AP7 Macro Failed'!G515</f>
        <v>SOFTWARE</v>
      </c>
      <c r="E513" t="str">
        <f>'ERP_AP7 Macro Failed'!H515</f>
        <v>DevSecOps</v>
      </c>
      <c r="F513">
        <f>'ERP_AP7 Macro Failed'!I515</f>
        <v>0</v>
      </c>
      <c r="G513" t="str">
        <f>'ERP_AP7 Macro Failed'!K515</f>
        <v>IT-SFT1194-86-OG-US</v>
      </c>
      <c r="H513" s="487" t="e" cm="1">
        <f t="array" ref="H513">SUMPRODUCT((ERP[UID]=A513)*(ERP[AP01]+ERP[AP02]+ERP[AP03]+ERP[AP04]+ERP[AP05]))</f>
        <v>#VALUE!</v>
      </c>
      <c r="I513" s="487" cm="1">
        <f t="array" ref="I513">SUMPRODUCT((ERP[UID]=A513)*(ERP[AP01 LE2]+ERP[AP02 LE2]+ERP[AP03 LE2]+ERP[AP04 LE2]+ERP[AP05 LE2]))</f>
        <v>12141.44</v>
      </c>
      <c r="J513" s="487">
        <f>'ERP_AP7 Macro Failed'!AL515</f>
        <v>7474.9400000000023</v>
      </c>
      <c r="K513" t="str">
        <f t="shared" si="14"/>
        <v>Minor</v>
      </c>
      <c r="L513" t="str">
        <f t="shared" si="15"/>
        <v>No</v>
      </c>
    </row>
    <row r="514" spans="1:12">
      <c r="A514" t="str">
        <f>'ERP_AP7 Macro Failed'!A516</f>
        <v>L-ERP-107</v>
      </c>
      <c r="B514" t="str">
        <f>'ERP_AP7 Macro Failed'!D516</f>
        <v>Dougherty, Chris</v>
      </c>
      <c r="C514" t="str">
        <f>'ERP_AP7 Macro Failed'!E516</f>
        <v>Dougherty, Chris</v>
      </c>
      <c r="D514" t="str">
        <f>'ERP_AP7 Macro Failed'!G516</f>
        <v>SOFTWARE</v>
      </c>
      <c r="E514" t="str">
        <f>'ERP_AP7 Macro Failed'!H516</f>
        <v>Enable Now &amp; WalkMe Cloud Subscription Fee for S/4 HANA Order #3061964355</v>
      </c>
      <c r="F514" t="str">
        <f>'ERP_AP7 Macro Failed'!I516</f>
        <v>SAP AMERICA INC</v>
      </c>
      <c r="G514" t="str">
        <f>'ERP_AP7 Macro Failed'!K516</f>
        <v>IT-SFT1208-86-OG-US</v>
      </c>
      <c r="H514" s="487" t="e" cm="1">
        <f t="array" ref="H514">SUMPRODUCT((ERP[UID]=A514)*(ERP[AP01]+ERP[AP02]+ERP[AP03]+ERP[AP04]+ERP[AP05]))</f>
        <v>#VALUE!</v>
      </c>
      <c r="I514" s="487" cm="1">
        <f t="array" ref="I514">SUMPRODUCT((ERP[UID]=A514)*(ERP[AP01 LE2]+ERP[AP02 LE2]+ERP[AP03 LE2]+ERP[AP04 LE2]+ERP[AP05 LE2]))</f>
        <v>290275.11</v>
      </c>
      <c r="J514" s="487">
        <f>'ERP_AP7 Macro Failed'!AL516</f>
        <v>11575.220000000088</v>
      </c>
      <c r="K514" t="str">
        <f t="shared" si="14"/>
        <v>MATERIAL</v>
      </c>
      <c r="L514" t="str">
        <f t="shared" si="15"/>
        <v>YES</v>
      </c>
    </row>
    <row r="515" spans="1:12">
      <c r="A515" t="str">
        <f>'ERP_AP7 Macro Failed'!A517</f>
        <v>L-ERP-117</v>
      </c>
      <c r="B515" t="str">
        <f>'ERP_AP7 Macro Failed'!D517</f>
        <v>Dougherty, Chris</v>
      </c>
      <c r="C515" t="str">
        <f>'ERP_AP7 Macro Failed'!E517</f>
        <v>Dougherty, Chris</v>
      </c>
      <c r="D515" t="str">
        <f>'ERP_AP7 Macro Failed'!G517</f>
        <v>SOFTWARE</v>
      </c>
      <c r="E515" t="str">
        <f>'ERP_AP7 Macro Failed'!H517</f>
        <v>SAP SaaS Software License (CCv2 Contract) Order #3061700877</v>
      </c>
      <c r="F515">
        <f>'ERP_AP7 Macro Failed'!I517</f>
        <v>0</v>
      </c>
      <c r="G515" t="str">
        <f>'ERP_AP7 Macro Failed'!K517</f>
        <v>IT-SFT1235-86-OG-US</v>
      </c>
      <c r="H515" s="487" t="e" cm="1">
        <f t="array" ref="H515">SUMPRODUCT((ERP[UID]=A515)*(ERP[AP01]+ERP[AP02]+ERP[AP03]+ERP[AP04]+ERP[AP05]))</f>
        <v>#VALUE!</v>
      </c>
      <c r="I515" s="487" cm="1">
        <f t="array" ref="I515">SUMPRODUCT((ERP[UID]=A515)*(ERP[AP01 LE2]+ERP[AP02 LE2]+ERP[AP03 LE2]+ERP[AP04 LE2]+ERP[AP05 LE2]))</f>
        <v>-212451</v>
      </c>
      <c r="J515" s="487">
        <f>'ERP_AP7 Macro Failed'!AL517</f>
        <v>0</v>
      </c>
      <c r="K515" t="str">
        <f t="shared" si="14"/>
        <v>Immaterial</v>
      </c>
      <c r="L515" t="str">
        <f t="shared" si="15"/>
        <v>No</v>
      </c>
    </row>
    <row r="516" spans="1:12">
      <c r="A516" t="str">
        <f>'ERP_AP7 Macro Failed'!A518</f>
        <v>N-ERP-547</v>
      </c>
      <c r="B516" t="str">
        <f>'ERP_AP7 Macro Failed'!D518</f>
        <v>Dougherty, Chris</v>
      </c>
      <c r="C516" t="str">
        <f>'ERP_AP7 Macro Failed'!E518</f>
        <v>Dougherty, Chris</v>
      </c>
      <c r="D516" t="str">
        <f>'ERP_AP7 Macro Failed'!G518</f>
        <v>SOFTWARE</v>
      </c>
      <c r="E516" t="str">
        <f>'ERP_AP7 Macro Failed'!H518</f>
        <v>SAP SaaS Software Maintenance (CCv1 - C4C Contract &amp; Add&amp;#39;l licenses ) - Order #3061810212</v>
      </c>
      <c r="F516" t="str">
        <f>'ERP_AP7 Macro Failed'!I518</f>
        <v>SAP AMERICA INC</v>
      </c>
      <c r="G516" t="str">
        <f>'ERP_AP7 Macro Failed'!K518</f>
        <v>IT-SFT1236-86-OG-US</v>
      </c>
      <c r="H516" s="487" t="e" cm="1">
        <f t="array" ref="H516">SUMPRODUCT((ERP[UID]=A516)*(ERP[AP01]+ERP[AP02]+ERP[AP03]+ERP[AP04]+ERP[AP05]))</f>
        <v>#VALUE!</v>
      </c>
      <c r="I516" s="487" cm="1">
        <f t="array" ref="I516">SUMPRODUCT((ERP[UID]=A516)*(ERP[AP01 LE2]+ERP[AP02 LE2]+ERP[AP03 LE2]+ERP[AP04 LE2]+ERP[AP05 LE2]))</f>
        <v>0</v>
      </c>
      <c r="J516" s="487">
        <f>'ERP_AP7 Macro Failed'!AL518</f>
        <v>0</v>
      </c>
      <c r="K516" t="str">
        <f t="shared" si="14"/>
        <v>Immaterial</v>
      </c>
      <c r="L516" t="str">
        <f t="shared" si="15"/>
        <v>No</v>
      </c>
    </row>
    <row r="517" spans="1:12">
      <c r="A517" t="str">
        <f>'ERP_AP7 Macro Failed'!A519</f>
        <v>N-ERP-548</v>
      </c>
      <c r="B517" t="str">
        <f>'ERP_AP7 Macro Failed'!D519</f>
        <v>Dougherty, Chris</v>
      </c>
      <c r="C517" t="str">
        <f>'ERP_AP7 Macro Failed'!E519</f>
        <v>Dougherty, Chris</v>
      </c>
      <c r="D517" t="str">
        <f>'ERP_AP7 Macro Failed'!G519</f>
        <v>SOFTWARE</v>
      </c>
      <c r="E517" t="str">
        <f>'ERP_AP7 Macro Failed'!H519</f>
        <v>SAP SaaS Software Maintenance (CCv1 - C4C Contract &amp; Add&amp;#39;l licenses ) - Order #3061810212 (Pullforward Credit)</v>
      </c>
      <c r="F517" t="str">
        <f>'ERP_AP7 Macro Failed'!I519</f>
        <v>SAP AMERICA INC</v>
      </c>
      <c r="G517" t="str">
        <f>'ERP_AP7 Macro Failed'!K519</f>
        <v>IT-SFT1236-86-OG-US/PF</v>
      </c>
      <c r="H517" s="487" t="e" cm="1">
        <f t="array" ref="H517">SUMPRODUCT((ERP[UID]=A517)*(ERP[AP01]+ERP[AP02]+ERP[AP03]+ERP[AP04]+ERP[AP05]))</f>
        <v>#VALUE!</v>
      </c>
      <c r="I517" s="487" cm="1">
        <f t="array" ref="I517">SUMPRODUCT((ERP[UID]=A517)*(ERP[AP01 LE2]+ERP[AP02 LE2]+ERP[AP03 LE2]+ERP[AP04 LE2]+ERP[AP05 LE2]))</f>
        <v>0</v>
      </c>
      <c r="J517" s="487">
        <f>'ERP_AP7 Macro Failed'!AL519</f>
        <v>0</v>
      </c>
      <c r="K517" t="str">
        <f t="shared" si="14"/>
        <v>Immaterial</v>
      </c>
      <c r="L517" t="str">
        <f t="shared" si="15"/>
        <v>No</v>
      </c>
    </row>
    <row r="518" spans="1:12">
      <c r="A518" t="str">
        <f>'ERP_AP7 Macro Failed'!A520</f>
        <v>N-ERP-549</v>
      </c>
      <c r="B518" t="str">
        <f>'ERP_AP7 Macro Failed'!D520</f>
        <v>Dougherty, Chris</v>
      </c>
      <c r="C518" t="str">
        <f>'ERP_AP7 Macro Failed'!E520</f>
        <v>Dougherty, Chris</v>
      </c>
      <c r="D518" t="str">
        <f>'ERP_AP7 Macro Failed'!G520</f>
        <v>SOFTWARE</v>
      </c>
      <c r="E518" t="str">
        <f>'ERP_AP7 Macro Failed'!H520</f>
        <v>SAP SaaS Software Maintenance (SCP Analytics #3062255314) (Pullforward Debit)</v>
      </c>
      <c r="F518" t="str">
        <f>'ERP_AP7 Macro Failed'!I520</f>
        <v>SAP AMERICA INC</v>
      </c>
      <c r="G518" t="str">
        <f>'ERP_AP7 Macro Failed'!K520</f>
        <v>IT-SFT1237-86-US-00</v>
      </c>
      <c r="H518" s="487" t="e" cm="1">
        <f t="array" ref="H518">SUMPRODUCT((ERP[UID]=A518)*(ERP[AP01]+ERP[AP02]+ERP[AP03]+ERP[AP04]+ERP[AP05]))</f>
        <v>#VALUE!</v>
      </c>
      <c r="I518" s="487" cm="1">
        <f t="array" ref="I518">SUMPRODUCT((ERP[UID]=A518)*(ERP[AP01 LE2]+ERP[AP02 LE2]+ERP[AP03 LE2]+ERP[AP04 LE2]+ERP[AP05 LE2]))</f>
        <v>0</v>
      </c>
      <c r="J518" s="487">
        <f>'ERP_AP7 Macro Failed'!AL520</f>
        <v>0</v>
      </c>
      <c r="K518" t="str">
        <f t="shared" ref="K518:K581" si="16">IF(ABS(J518)&gt;=10000,"MATERIAL",IF(ABS(J518)&gt;=1000,"Minor","Immaterial"))</f>
        <v>Immaterial</v>
      </c>
      <c r="L518" t="str">
        <f t="shared" ref="L518:L581" si="17">IF(ABS(J518)&gt;=10000,"YES","No")</f>
        <v>No</v>
      </c>
    </row>
    <row r="519" spans="1:12">
      <c r="A519" t="str">
        <f>'ERP_AP7 Macro Failed'!A521</f>
        <v>N-ERP-550</v>
      </c>
      <c r="B519" t="str">
        <f>'ERP_AP7 Macro Failed'!D521</f>
        <v>Dougherty, Chris</v>
      </c>
      <c r="C519" t="str">
        <f>'ERP_AP7 Macro Failed'!E521</f>
        <v>Dougherty, Chris</v>
      </c>
      <c r="D519" t="str">
        <f>'ERP_AP7 Macro Failed'!G521</f>
        <v>SOFTWARE</v>
      </c>
      <c r="E519" t="str">
        <f>'ERP_AP7 Macro Failed'!H521</f>
        <v>SAP SaaS Software Maintenance (SCP Analytics #3062255314) (Pullforward Credit)</v>
      </c>
      <c r="F519" t="str">
        <f>'ERP_AP7 Macro Failed'!I521</f>
        <v>SAP AMERICA INC</v>
      </c>
      <c r="G519" t="str">
        <f>'ERP_AP7 Macro Failed'!K521</f>
        <v>IT-SFT1237-86-US-00/PF</v>
      </c>
      <c r="H519" s="487" t="e" cm="1">
        <f t="array" ref="H519">SUMPRODUCT((ERP[UID]=A519)*(ERP[AP01]+ERP[AP02]+ERP[AP03]+ERP[AP04]+ERP[AP05]))</f>
        <v>#VALUE!</v>
      </c>
      <c r="I519" s="487" cm="1">
        <f t="array" ref="I519">SUMPRODUCT((ERP[UID]=A519)*(ERP[AP01 LE2]+ERP[AP02 LE2]+ERP[AP03 LE2]+ERP[AP04 LE2]+ERP[AP05 LE2]))</f>
        <v>0</v>
      </c>
      <c r="J519" s="487">
        <f>'ERP_AP7 Macro Failed'!AL521</f>
        <v>0</v>
      </c>
      <c r="K519" t="str">
        <f t="shared" si="16"/>
        <v>Immaterial</v>
      </c>
      <c r="L519" t="str">
        <f t="shared" si="17"/>
        <v>No</v>
      </c>
    </row>
    <row r="520" spans="1:12">
      <c r="A520" t="str">
        <f>'ERP_AP7 Macro Failed'!A522</f>
        <v>N-ERP-551</v>
      </c>
      <c r="B520" t="str">
        <f>'ERP_AP7 Macro Failed'!D522</f>
        <v>Dougherty, Chris</v>
      </c>
      <c r="C520" t="str">
        <f>'ERP_AP7 Macro Failed'!E522</f>
        <v>Dougherty, Chris</v>
      </c>
      <c r="D520" t="str">
        <f>'ERP_AP7 Macro Failed'!G522</f>
        <v>SOFTWARE</v>
      </c>
      <c r="E520" t="str">
        <f>'ERP_AP7 Macro Failed'!H522</f>
        <v>SAP SaaS Software Maintenance (CPEA #3062117959/old# 2212499928 ) (Pullforward Debit)</v>
      </c>
      <c r="F520" t="str">
        <f>'ERP_AP7 Macro Failed'!I522</f>
        <v>SAP AMERICA INC</v>
      </c>
      <c r="G520" t="str">
        <f>'ERP_AP7 Macro Failed'!K522</f>
        <v>IT-SFT1238-86-OG-US</v>
      </c>
      <c r="H520" s="487" t="e" cm="1">
        <f t="array" ref="H520">SUMPRODUCT((ERP[UID]=A520)*(ERP[AP01]+ERP[AP02]+ERP[AP03]+ERP[AP04]+ERP[AP05]))</f>
        <v>#VALUE!</v>
      </c>
      <c r="I520" s="487" cm="1">
        <f t="array" ref="I520">SUMPRODUCT((ERP[UID]=A520)*(ERP[AP01 LE2]+ERP[AP02 LE2]+ERP[AP03 LE2]+ERP[AP04 LE2]+ERP[AP05 LE2]))</f>
        <v>0</v>
      </c>
      <c r="J520" s="487">
        <f>'ERP_AP7 Macro Failed'!AL522</f>
        <v>0</v>
      </c>
      <c r="K520" t="str">
        <f t="shared" si="16"/>
        <v>Immaterial</v>
      </c>
      <c r="L520" t="str">
        <f t="shared" si="17"/>
        <v>No</v>
      </c>
    </row>
    <row r="521" spans="1:12">
      <c r="A521" t="str">
        <f>'ERP_AP7 Macro Failed'!A523</f>
        <v>N-ERP-552</v>
      </c>
      <c r="B521" t="str">
        <f>'ERP_AP7 Macro Failed'!D523</f>
        <v>Dougherty, Chris</v>
      </c>
      <c r="C521" t="str">
        <f>'ERP_AP7 Macro Failed'!E523</f>
        <v>Dougherty, Chris</v>
      </c>
      <c r="D521" t="str">
        <f>'ERP_AP7 Macro Failed'!G523</f>
        <v>SOFTWARE</v>
      </c>
      <c r="E521" t="str">
        <f>'ERP_AP7 Macro Failed'!H523</f>
        <v>SAP SaaS Software Maintenance (CPEA #3062117959/old# 2212499928 ) (Pullforward Credit)</v>
      </c>
      <c r="F521" t="str">
        <f>'ERP_AP7 Macro Failed'!I523</f>
        <v>SAP AMERICA INC</v>
      </c>
      <c r="G521" t="str">
        <f>'ERP_AP7 Macro Failed'!K523</f>
        <v>IT-SFT1238-86-OG-US/PF</v>
      </c>
      <c r="H521" s="487" t="e" cm="1">
        <f t="array" ref="H521">SUMPRODUCT((ERP[UID]=A521)*(ERP[AP01]+ERP[AP02]+ERP[AP03]+ERP[AP04]+ERP[AP05]))</f>
        <v>#VALUE!</v>
      </c>
      <c r="I521" s="487" cm="1">
        <f t="array" ref="I521">SUMPRODUCT((ERP[UID]=A521)*(ERP[AP01 LE2]+ERP[AP02 LE2]+ERP[AP03 LE2]+ERP[AP04 LE2]+ERP[AP05 LE2]))</f>
        <v>0</v>
      </c>
      <c r="J521" s="487">
        <f>'ERP_AP7 Macro Failed'!AL523</f>
        <v>0</v>
      </c>
      <c r="K521" t="str">
        <f t="shared" si="16"/>
        <v>Immaterial</v>
      </c>
      <c r="L521" t="str">
        <f t="shared" si="17"/>
        <v>No</v>
      </c>
    </row>
    <row r="522" spans="1:12">
      <c r="A522" t="str">
        <f>'ERP_AP7 Macro Failed'!A524</f>
        <v>L-ERP-118</v>
      </c>
      <c r="B522" t="str">
        <f>'ERP_AP7 Macro Failed'!D524</f>
        <v>Dougherty, Chris</v>
      </c>
      <c r="C522" t="str">
        <f>'ERP_AP7 Macro Failed'!E524</f>
        <v>Dougherty, Chris</v>
      </c>
      <c r="D522" t="str">
        <f>'ERP_AP7 Macro Failed'!G524</f>
        <v>SOFTWARE</v>
      </c>
      <c r="E522" t="str">
        <f>'ERP_AP7 Macro Failed'!H524</f>
        <v>SAP SaaS Software Maint (SCP Integration/Enterprise Edition #3061467781)</v>
      </c>
      <c r="F522">
        <f>'ERP_AP7 Macro Failed'!I524</f>
        <v>0</v>
      </c>
      <c r="G522" t="str">
        <f>'ERP_AP7 Macro Failed'!K524</f>
        <v>IT-SFT1239-86-OG-US</v>
      </c>
      <c r="H522" s="487" t="e" cm="1">
        <f t="array" ref="H522">SUMPRODUCT((ERP[UID]=A522)*(ERP[AP01]+ERP[AP02]+ERP[AP03]+ERP[AP04]+ERP[AP05]))</f>
        <v>#VALUE!</v>
      </c>
      <c r="I522" s="487" cm="1">
        <f t="array" ref="I522">SUMPRODUCT((ERP[UID]=A522)*(ERP[AP01 LE2]+ERP[AP02 LE2]+ERP[AP03 LE2]+ERP[AP04 LE2]+ERP[AP05 LE2]))</f>
        <v>107212</v>
      </c>
      <c r="J522" s="487">
        <f>'ERP_AP7 Macro Failed'!AL524</f>
        <v>-107212</v>
      </c>
      <c r="K522" t="str">
        <f t="shared" si="16"/>
        <v>MATERIAL</v>
      </c>
      <c r="L522" t="str">
        <f t="shared" si="17"/>
        <v>YES</v>
      </c>
    </row>
    <row r="523" spans="1:12">
      <c r="A523" t="str">
        <f>'ERP_AP7 Macro Failed'!A525</f>
        <v>L-ERP-119</v>
      </c>
      <c r="B523" t="str">
        <f>'ERP_AP7 Macro Failed'!D525</f>
        <v>Dougherty, Chris</v>
      </c>
      <c r="C523" t="str">
        <f>'ERP_AP7 Macro Failed'!E525</f>
        <v>Dougherty, Chris</v>
      </c>
      <c r="D523" t="str">
        <f>'ERP_AP7 Macro Failed'!G525</f>
        <v>SOFTWARE</v>
      </c>
      <c r="E523" t="str">
        <f>'ERP_AP7 Macro Failed'!H525</f>
        <v>SAP Supply Chain Collaboration (SCC) &amp; Quality Add On Contract #3072512098_XFR0956</v>
      </c>
      <c r="F523" t="str">
        <f>'ERP_AP7 Macro Failed'!I525</f>
        <v>Prepaid - SAP AMERICA INC</v>
      </c>
      <c r="G523" t="str">
        <f>'ERP_AP7 Macro Failed'!K525</f>
        <v>IT-SFT1240-86-OG-US</v>
      </c>
      <c r="H523" s="487" t="e" cm="1">
        <f t="array" ref="H523">SUMPRODUCT((ERP[UID]=A523)*(ERP[AP01]+ERP[AP02]+ERP[AP03]+ERP[AP04]+ERP[AP05]))</f>
        <v>#VALUE!</v>
      </c>
      <c r="I523" s="487" cm="1">
        <f t="array" ref="I523">SUMPRODUCT((ERP[UID]=A523)*(ERP[AP01 LE2]+ERP[AP02 LE2]+ERP[AP03 LE2]+ERP[AP04 LE2]+ERP[AP05 LE2]))</f>
        <v>481260.6100000001</v>
      </c>
      <c r="J523" s="487">
        <f>'ERP_AP7 Macro Failed'!AL525</f>
        <v>-12.75</v>
      </c>
      <c r="K523" t="str">
        <f t="shared" si="16"/>
        <v>Immaterial</v>
      </c>
      <c r="L523" t="str">
        <f t="shared" si="17"/>
        <v>No</v>
      </c>
    </row>
    <row r="524" spans="1:12">
      <c r="A524" t="str">
        <f>'ERP_AP7 Macro Failed'!A526</f>
        <v>L-ERP-114</v>
      </c>
      <c r="B524" t="str">
        <f>'ERP_AP7 Macro Failed'!D526</f>
        <v>Dougherty, Chris</v>
      </c>
      <c r="C524" t="str">
        <f>'ERP_AP7 Macro Failed'!E526</f>
        <v>Dougherty, Chris</v>
      </c>
      <c r="D524" t="str">
        <f>'ERP_AP7 Macro Failed'!G526</f>
        <v>SOFTWARE</v>
      </c>
      <c r="E524" t="str">
        <f>'ERP_AP7 Macro Failed'!H526</f>
        <v>SAP S/4 HANA Software Yearly Maint. (Order 43)</v>
      </c>
      <c r="F524" t="str">
        <f>'ERP_AP7 Macro Failed'!I526</f>
        <v>Prepaid - SAP AMERICA INC</v>
      </c>
      <c r="G524" t="str">
        <f>'ERP_AP7 Macro Failed'!K526</f>
        <v>IT-SFT1247-86-OG-US</v>
      </c>
      <c r="H524" s="487" t="e" cm="1">
        <f t="array" ref="H524">SUMPRODUCT((ERP[UID]=A524)*(ERP[AP01]+ERP[AP02]+ERP[AP03]+ERP[AP04]+ERP[AP05]))</f>
        <v>#VALUE!</v>
      </c>
      <c r="I524" s="487" cm="1">
        <f t="array" ref="I524">SUMPRODUCT((ERP[UID]=A524)*(ERP[AP01 LE2]+ERP[AP02 LE2]+ERP[AP03 LE2]+ERP[AP04 LE2]+ERP[AP05 LE2]))</f>
        <v>1356228.8199999998</v>
      </c>
      <c r="J524" s="487">
        <f>'ERP_AP7 Macro Failed'!AL526</f>
        <v>-813737.99999999988</v>
      </c>
      <c r="K524" t="str">
        <f t="shared" si="16"/>
        <v>MATERIAL</v>
      </c>
      <c r="L524" t="str">
        <f t="shared" si="17"/>
        <v>YES</v>
      </c>
    </row>
    <row r="525" spans="1:12">
      <c r="A525" t="str">
        <f>'ERP_AP7 Macro Failed'!A527</f>
        <v>L-ERP-382</v>
      </c>
      <c r="B525" t="str">
        <f>'ERP_AP7 Macro Failed'!D527</f>
        <v>Dougherty, Chris</v>
      </c>
      <c r="C525" t="str">
        <f>'ERP_AP7 Macro Failed'!E527</f>
        <v>McCormick, Pete</v>
      </c>
      <c r="D525" t="str">
        <f>'ERP_AP7 Macro Failed'!G527</f>
        <v>OTHER</v>
      </c>
      <c r="E525" t="str">
        <f>'ERP_AP7 Macro Failed'!H527</f>
        <v>SAP User Group Yearly Membership (ASUG) (Pullforward Debit)</v>
      </c>
      <c r="F525">
        <f>'ERP_AP7 Macro Failed'!I527</f>
        <v>0</v>
      </c>
      <c r="G525" t="str">
        <f>'ERP_AP7 Macro Failed'!K527</f>
        <v>IT-SFT1249-86-OG-US</v>
      </c>
      <c r="H525" s="487" t="e" cm="1">
        <f t="array" ref="H525">SUMPRODUCT((ERP[UID]=A525)*(ERP[AP01]+ERP[AP02]+ERP[AP03]+ERP[AP04]+ERP[AP05]))</f>
        <v>#VALUE!</v>
      </c>
      <c r="I525" s="487" cm="1">
        <f t="array" ref="I525">SUMPRODUCT((ERP[UID]=A525)*(ERP[AP01 LE2]+ERP[AP02 LE2]+ERP[AP03 LE2]+ERP[AP04 LE2]+ERP[AP05 LE2]))</f>
        <v>0</v>
      </c>
      <c r="J525" s="487">
        <f>'ERP_AP7 Macro Failed'!AL527</f>
        <v>0</v>
      </c>
      <c r="K525" t="str">
        <f t="shared" si="16"/>
        <v>Immaterial</v>
      </c>
      <c r="L525" t="str">
        <f t="shared" si="17"/>
        <v>No</v>
      </c>
    </row>
    <row r="526" spans="1:12">
      <c r="A526" t="str">
        <f>'ERP_AP7 Macro Failed'!A528</f>
        <v>N-ERP-564</v>
      </c>
      <c r="B526" t="str">
        <f>'ERP_AP7 Macro Failed'!D528</f>
        <v>Hase, Raj</v>
      </c>
      <c r="C526" t="str">
        <f>'ERP_AP7 Macro Failed'!E528</f>
        <v>Ganesan, Srinivasan</v>
      </c>
      <c r="D526" t="str">
        <f>'ERP_AP7 Macro Failed'!G528</f>
        <v>SOFTWARE</v>
      </c>
      <c r="E526" t="str">
        <f>'ERP_AP7 Macro Failed'!H528</f>
        <v>Logistics Ship It Control Tower</v>
      </c>
      <c r="F526">
        <f>'ERP_AP7 Macro Failed'!I528</f>
        <v>0</v>
      </c>
      <c r="G526" t="str">
        <f>'ERP_AP7 Macro Failed'!K528</f>
        <v>IT-SFT1262-86-OG-US</v>
      </c>
      <c r="H526" s="487" t="e" cm="1">
        <f t="array" ref="H526">SUMPRODUCT((ERP[UID]=A526)*(ERP[AP01]+ERP[AP02]+ERP[AP03]+ERP[AP04]+ERP[AP05]))</f>
        <v>#VALUE!</v>
      </c>
      <c r="I526" s="487" cm="1">
        <f t="array" ref="I526">SUMPRODUCT((ERP[UID]=A526)*(ERP[AP01 LE2]+ERP[AP02 LE2]+ERP[AP03 LE2]+ERP[AP04 LE2]+ERP[AP05 LE2]))</f>
        <v>0</v>
      </c>
      <c r="J526" s="487">
        <f>'ERP_AP7 Macro Failed'!AL528</f>
        <v>0</v>
      </c>
      <c r="K526" t="str">
        <f t="shared" si="16"/>
        <v>Immaterial</v>
      </c>
      <c r="L526" t="str">
        <f t="shared" si="17"/>
        <v>No</v>
      </c>
    </row>
    <row r="527" spans="1:12">
      <c r="A527" t="str">
        <f>'ERP_AP7 Macro Failed'!A529</f>
        <v>L-ERP-165</v>
      </c>
      <c r="B527" t="str">
        <f>'ERP_AP7 Macro Failed'!D529</f>
        <v>Hase, Raj</v>
      </c>
      <c r="C527" t="str">
        <f>'ERP_AP7 Macro Failed'!E529</f>
        <v>Ganesan, Srinivasan</v>
      </c>
      <c r="D527" t="str">
        <f>'ERP_AP7 Macro Failed'!G529</f>
        <v>SOFTWARE</v>
      </c>
      <c r="E527" t="str">
        <f>'ERP_AP7 Macro Failed'!H529</f>
        <v>GLNS Cloud Orchestration Airflow license for BI</v>
      </c>
      <c r="F527">
        <f>'ERP_AP7 Macro Failed'!I529</f>
        <v>0</v>
      </c>
      <c r="G527" t="str">
        <f>'ERP_AP7 Macro Failed'!K529</f>
        <v>IT-SFT1266-86-OG-US</v>
      </c>
      <c r="H527" s="487" t="e" cm="1">
        <f t="array" ref="H527">SUMPRODUCT((ERP[UID]=A527)*(ERP[AP01]+ERP[AP02]+ERP[AP03]+ERP[AP04]+ERP[AP05]))</f>
        <v>#VALUE!</v>
      </c>
      <c r="I527" s="487" cm="1">
        <f t="array" ref="I527">SUMPRODUCT((ERP[UID]=A527)*(ERP[AP01 LE2]+ERP[AP02 LE2]+ERP[AP03 LE2]+ERP[AP04 LE2]+ERP[AP05 LE2]))</f>
        <v>0</v>
      </c>
      <c r="J527" s="487">
        <f>'ERP_AP7 Macro Failed'!AL529</f>
        <v>0</v>
      </c>
      <c r="K527" t="str">
        <f t="shared" si="16"/>
        <v>Immaterial</v>
      </c>
      <c r="L527" t="str">
        <f t="shared" si="17"/>
        <v>No</v>
      </c>
    </row>
    <row r="528" spans="1:12">
      <c r="A528" t="str">
        <f>'ERP_AP7 Macro Failed'!A530</f>
        <v>L-ERP-166</v>
      </c>
      <c r="B528" t="str">
        <f>'ERP_AP7 Macro Failed'!D530</f>
        <v>Hase, Raj</v>
      </c>
      <c r="C528" t="str">
        <f>'ERP_AP7 Macro Failed'!E530</f>
        <v>Ganesan, Srinivasan</v>
      </c>
      <c r="D528" t="str">
        <f>'ERP_AP7 Macro Failed'!G530</f>
        <v>SOFTWARE</v>
      </c>
      <c r="E528" t="str">
        <f>'ERP_AP7 Macro Failed'!H530</f>
        <v>GLNS Annual Jira licenses</v>
      </c>
      <c r="F528">
        <f>'ERP_AP7 Macro Failed'!I530</f>
        <v>0</v>
      </c>
      <c r="G528" t="str">
        <f>'ERP_AP7 Macro Failed'!K530</f>
        <v>IT-SFT1267-86-OG-US</v>
      </c>
      <c r="H528" s="487" t="e" cm="1">
        <f t="array" ref="H528">SUMPRODUCT((ERP[UID]=A528)*(ERP[AP01]+ERP[AP02]+ERP[AP03]+ERP[AP04]+ERP[AP05]))</f>
        <v>#VALUE!</v>
      </c>
      <c r="I528" s="487" cm="1">
        <f t="array" ref="I528">SUMPRODUCT((ERP[UID]=A528)*(ERP[AP01 LE2]+ERP[AP02 LE2]+ERP[AP03 LE2]+ERP[AP04 LE2]+ERP[AP05 LE2]))</f>
        <v>0</v>
      </c>
      <c r="J528" s="487">
        <f>'ERP_AP7 Macro Failed'!AL530</f>
        <v>823.36000000000013</v>
      </c>
      <c r="K528" t="str">
        <f t="shared" si="16"/>
        <v>Immaterial</v>
      </c>
      <c r="L528" t="str">
        <f t="shared" si="17"/>
        <v>No</v>
      </c>
    </row>
    <row r="529" spans="1:12">
      <c r="A529" t="str">
        <f>'ERP_AP7 Macro Failed'!A531</f>
        <v>N-ERP-565</v>
      </c>
      <c r="B529" t="str">
        <f>'ERP_AP7 Macro Failed'!D531</f>
        <v>Hase, Raj</v>
      </c>
      <c r="C529" t="str">
        <f>'ERP_AP7 Macro Failed'!E531</f>
        <v>Ganesan, Srinivasan</v>
      </c>
      <c r="D529" t="str">
        <f>'ERP_AP7 Macro Failed'!G531</f>
        <v>SOFTWARE</v>
      </c>
      <c r="E529" t="str">
        <f>'ERP_AP7 Macro Failed'!H531</f>
        <v>Logistics LMS Manhattan Maintenance Support</v>
      </c>
      <c r="F529" t="str">
        <f>'ERP_AP7 Macro Failed'!I531</f>
        <v>MANHATTAN ASSOCIATES</v>
      </c>
      <c r="G529" t="str">
        <f>'ERP_AP7 Macro Failed'!K531</f>
        <v>IT-SFT1269-86-OG-US</v>
      </c>
      <c r="H529" s="487" t="e" cm="1">
        <f t="array" ref="H529">SUMPRODUCT((ERP[UID]=A529)*(ERP[AP01]+ERP[AP02]+ERP[AP03]+ERP[AP04]+ERP[AP05]))</f>
        <v>#VALUE!</v>
      </c>
      <c r="I529" s="487" cm="1">
        <f t="array" ref="I529">SUMPRODUCT((ERP[UID]=A529)*(ERP[AP01 LE2]+ERP[AP02 LE2]+ERP[AP03 LE2]+ERP[AP04 LE2]+ERP[AP05 LE2]))</f>
        <v>0</v>
      </c>
      <c r="J529" s="487">
        <f>'ERP_AP7 Macro Failed'!AL531</f>
        <v>0</v>
      </c>
      <c r="K529" t="str">
        <f t="shared" si="16"/>
        <v>Immaterial</v>
      </c>
      <c r="L529" t="str">
        <f t="shared" si="17"/>
        <v>No</v>
      </c>
    </row>
    <row r="530" spans="1:12">
      <c r="A530" t="str">
        <f>'ERP_AP7 Macro Failed'!A532</f>
        <v>N-ERP-566</v>
      </c>
      <c r="B530" t="str">
        <f>'ERP_AP7 Macro Failed'!D532</f>
        <v>Hase, Raj</v>
      </c>
      <c r="C530" t="str">
        <f>'ERP_AP7 Macro Failed'!E532</f>
        <v>Ganesan, Srinivasan</v>
      </c>
      <c r="D530" t="str">
        <f>'ERP_AP7 Macro Failed'!G532</f>
        <v>SOFTWARE</v>
      </c>
      <c r="E530" t="str">
        <f>'ERP_AP7 Macro Failed'!H532</f>
        <v>Logistics LMS Manhattan Maintenance Support (Pullforward Credit)</v>
      </c>
      <c r="F530" t="str">
        <f>'ERP_AP7 Macro Failed'!I532</f>
        <v>MANHATTAN ASSOCIATES</v>
      </c>
      <c r="G530" t="str">
        <f>'ERP_AP7 Macro Failed'!K532</f>
        <v>IT-SFT1269-86-OG-US/PF</v>
      </c>
      <c r="H530" s="487" t="e" cm="1">
        <f t="array" ref="H530">SUMPRODUCT((ERP[UID]=A530)*(ERP[AP01]+ERP[AP02]+ERP[AP03]+ERP[AP04]+ERP[AP05]))</f>
        <v>#VALUE!</v>
      </c>
      <c r="I530" s="487" cm="1">
        <f t="array" ref="I530">SUMPRODUCT((ERP[UID]=A530)*(ERP[AP01 LE2]+ERP[AP02 LE2]+ERP[AP03 LE2]+ERP[AP04 LE2]+ERP[AP05 LE2]))</f>
        <v>0</v>
      </c>
      <c r="J530" s="487">
        <f>'ERP_AP7 Macro Failed'!AL532</f>
        <v>0</v>
      </c>
      <c r="K530" t="str">
        <f t="shared" si="16"/>
        <v>Immaterial</v>
      </c>
      <c r="L530" t="str">
        <f t="shared" si="17"/>
        <v>No</v>
      </c>
    </row>
    <row r="531" spans="1:12">
      <c r="A531" t="str">
        <f>'ERP_AP7 Macro Failed'!A533</f>
        <v>N-ERP-594</v>
      </c>
      <c r="B531" t="str">
        <f>'ERP_AP7 Macro Failed'!D533</f>
        <v>Dougherty, Chris</v>
      </c>
      <c r="C531" t="str">
        <f>'ERP_AP7 Macro Failed'!E533</f>
        <v>McCormick, Pete</v>
      </c>
      <c r="D531" t="str">
        <f>'ERP_AP7 Macro Failed'!G533</f>
        <v>SOFTWARE</v>
      </c>
      <c r="E531" t="str">
        <f>'ERP_AP7 Macro Failed'!H533</f>
        <v>SAP User Group Yearly Membership (ASUG)</v>
      </c>
      <c r="F531">
        <f>'ERP_AP7 Macro Failed'!I533</f>
        <v>0</v>
      </c>
      <c r="G531" t="str">
        <f>'ERP_AP7 Macro Failed'!K533</f>
        <v>IT-SFT1249-86-OG-US</v>
      </c>
      <c r="H531" s="487" t="e" cm="1">
        <f t="array" ref="H531">SUMPRODUCT((ERP[UID]=A531)*(ERP[AP01]+ERP[AP02]+ERP[AP03]+ERP[AP04]+ERP[AP05]))</f>
        <v>#VALUE!</v>
      </c>
      <c r="I531" s="487" cm="1">
        <f t="array" ref="I531">SUMPRODUCT((ERP[UID]=A531)*(ERP[AP01 LE2]+ERP[AP02 LE2]+ERP[AP03 LE2]+ERP[AP04 LE2]+ERP[AP05 LE2]))</f>
        <v>0</v>
      </c>
      <c r="J531" s="487">
        <f>'ERP_AP7 Macro Failed'!AL533</f>
        <v>0</v>
      </c>
      <c r="K531" t="str">
        <f t="shared" si="16"/>
        <v>Immaterial</v>
      </c>
      <c r="L531" t="str">
        <f t="shared" si="17"/>
        <v>No</v>
      </c>
    </row>
    <row r="532" spans="1:12">
      <c r="A532" t="str">
        <f>'ERP_AP7 Macro Failed'!A534</f>
        <v>N-ERP-595</v>
      </c>
      <c r="B532" t="str">
        <f>'ERP_AP7 Macro Failed'!D534</f>
        <v>Dougherty, Chris</v>
      </c>
      <c r="C532" t="str">
        <f>'ERP_AP7 Macro Failed'!E534</f>
        <v>McCormick, Pete</v>
      </c>
      <c r="D532" t="str">
        <f>'ERP_AP7 Macro Failed'!G534</f>
        <v>SOFTWARE</v>
      </c>
      <c r="E532" t="str">
        <f>'ERP_AP7 Macro Failed'!H534</f>
        <v>SAP User Group Yearly Membership (ASUG) (Pullforward Credit)</v>
      </c>
      <c r="F532" t="str">
        <f>'ERP_AP7 Macro Failed'!I534</f>
        <v>SAP AMERICA INC</v>
      </c>
      <c r="G532" t="str">
        <f>'ERP_AP7 Macro Failed'!K534</f>
        <v>IT-SFT1249-86-OG-US/PF</v>
      </c>
      <c r="H532" s="487" t="e" cm="1">
        <f t="array" ref="H532">SUMPRODUCT((ERP[UID]=A532)*(ERP[AP01]+ERP[AP02]+ERP[AP03]+ERP[AP04]+ERP[AP05]))</f>
        <v>#VALUE!</v>
      </c>
      <c r="I532" s="487" cm="1">
        <f t="array" ref="I532">SUMPRODUCT((ERP[UID]=A532)*(ERP[AP01 LE2]+ERP[AP02 LE2]+ERP[AP03 LE2]+ERP[AP04 LE2]+ERP[AP05 LE2]))</f>
        <v>0</v>
      </c>
      <c r="J532" s="487">
        <f>'ERP_AP7 Macro Failed'!AL534</f>
        <v>0</v>
      </c>
      <c r="K532" t="str">
        <f t="shared" si="16"/>
        <v>Immaterial</v>
      </c>
      <c r="L532" t="str">
        <f t="shared" si="17"/>
        <v>No</v>
      </c>
    </row>
    <row r="533" spans="1:12">
      <c r="A533" t="str">
        <f>'ERP_AP7 Macro Failed'!A535</f>
        <v>L-ERP-126</v>
      </c>
      <c r="B533" t="str">
        <f>'ERP_AP7 Macro Failed'!D535</f>
        <v>Hase, Raj</v>
      </c>
      <c r="C533" t="str">
        <f>'ERP_AP7 Macro Failed'!E535</f>
        <v>Ganesan, Srinivasan</v>
      </c>
      <c r="D533" t="str">
        <f>'ERP_AP7 Macro Failed'!G535</f>
        <v>SOFTWARE</v>
      </c>
      <c r="E533" t="str">
        <f>'ERP_AP7 Macro Failed'!H535</f>
        <v>CoPilot Licenses</v>
      </c>
      <c r="F533">
        <f>'ERP_AP7 Macro Failed'!I535</f>
        <v>0</v>
      </c>
      <c r="G533" t="str">
        <f>'ERP_AP7 Macro Failed'!K535</f>
        <v>IT-SFT1281-86-OG-US</v>
      </c>
      <c r="H533" s="487" t="e" cm="1">
        <f t="array" ref="H533">SUMPRODUCT((ERP[UID]=A533)*(ERP[AP01]+ERP[AP02]+ERP[AP03]+ERP[AP04]+ERP[AP05]))</f>
        <v>#VALUE!</v>
      </c>
      <c r="I533" s="487" cm="1">
        <f t="array" ref="I533">SUMPRODUCT((ERP[UID]=A533)*(ERP[AP01 LE2]+ERP[AP02 LE2]+ERP[AP03 LE2]+ERP[AP04 LE2]+ERP[AP05 LE2]))</f>
        <v>227</v>
      </c>
      <c r="J533" s="487">
        <f>'ERP_AP7 Macro Failed'!AL535</f>
        <v>0</v>
      </c>
      <c r="K533" t="str">
        <f t="shared" si="16"/>
        <v>Immaterial</v>
      </c>
      <c r="L533" t="str">
        <f t="shared" si="17"/>
        <v>No</v>
      </c>
    </row>
    <row r="534" spans="1:12">
      <c r="A534" t="str">
        <f>'ERP_AP7 Macro Failed'!A536</f>
        <v>L-ERP-379</v>
      </c>
      <c r="B534" t="str">
        <f>'ERP_AP7 Macro Failed'!D536</f>
        <v>Dougherty, Chris</v>
      </c>
      <c r="C534" t="str">
        <f>'ERP_AP7 Macro Failed'!E536</f>
        <v>McCormick, Pete</v>
      </c>
      <c r="D534" t="str">
        <f>'ERP_AP7 Macro Failed'!G536</f>
        <v>SOFTWARE</v>
      </c>
      <c r="E534" t="str">
        <f>'ERP_AP7 Macro Failed'!H536</f>
        <v>SAP Platform - Power10 and PowerHA S/W Maint - Somerset &amp; Durham</v>
      </c>
      <c r="F534">
        <f>'ERP_AP7 Macro Failed'!I536</f>
        <v>0</v>
      </c>
      <c r="G534" t="str">
        <f>'ERP_AP7 Macro Failed'!K536</f>
        <v>IT-SFT1257-86-OG-US</v>
      </c>
      <c r="H534" s="487" t="e" cm="1">
        <f t="array" ref="H534">SUMPRODUCT((ERP[UID]=A534)*(ERP[AP01]+ERP[AP02]+ERP[AP03]+ERP[AP04]+ERP[AP05]))</f>
        <v>#VALUE!</v>
      </c>
      <c r="I534" s="487" cm="1">
        <f t="array" ref="I534">SUMPRODUCT((ERP[UID]=A534)*(ERP[AP01 LE2]+ERP[AP02 LE2]+ERP[AP03 LE2]+ERP[AP04 LE2]+ERP[AP05 LE2]))</f>
        <v>97713.260000000009</v>
      </c>
      <c r="J534" s="487">
        <f>'ERP_AP7 Macro Failed'!AL536</f>
        <v>-4059.7900000000081</v>
      </c>
      <c r="K534" t="str">
        <f t="shared" si="16"/>
        <v>Minor</v>
      </c>
      <c r="L534" t="str">
        <f t="shared" si="17"/>
        <v>No</v>
      </c>
    </row>
    <row r="535" spans="1:12">
      <c r="A535" t="str">
        <f>'ERP_AP7 Macro Failed'!A537</f>
        <v>L-ERP-054</v>
      </c>
      <c r="B535" t="str">
        <f>'ERP_AP7 Macro Failed'!D537</f>
        <v>Dougherty, Chris</v>
      </c>
      <c r="C535" t="str">
        <f>'ERP_AP7 Macro Failed'!E537</f>
        <v>Dougherty, Chris</v>
      </c>
      <c r="D535" t="str">
        <f>'ERP_AP7 Macro Failed'!G537</f>
        <v>SOFTWARE</v>
      </c>
      <c r="E535" t="str">
        <f>'ERP_AP7 Macro Failed'!H537</f>
        <v>BPAI S/W - Broadcom Autosys/Automic (ML-0714)</v>
      </c>
      <c r="F535">
        <f>'ERP_AP7 Macro Failed'!I537</f>
        <v>0</v>
      </c>
      <c r="G535" t="str">
        <f>'ERP_AP7 Macro Failed'!K537</f>
        <v>IT-SFT1270-86-OG-US</v>
      </c>
      <c r="H535" s="487" t="e" cm="1">
        <f t="array" ref="H535">SUMPRODUCT((ERP[UID]=A535)*(ERP[AP01]+ERP[AP02]+ERP[AP03]+ERP[AP04]+ERP[AP05]))</f>
        <v>#VALUE!</v>
      </c>
      <c r="I535" s="487" cm="1">
        <f t="array" ref="I535">SUMPRODUCT((ERP[UID]=A535)*(ERP[AP01 LE2]+ERP[AP02 LE2]+ERP[AP03 LE2]+ERP[AP04 LE2]+ERP[AP05 LE2]))</f>
        <v>622560.75</v>
      </c>
      <c r="J535" s="487">
        <f>'ERP_AP7 Macro Failed'!AL537</f>
        <v>0</v>
      </c>
      <c r="K535" t="str">
        <f t="shared" si="16"/>
        <v>Immaterial</v>
      </c>
      <c r="L535" t="str">
        <f t="shared" si="17"/>
        <v>No</v>
      </c>
    </row>
    <row r="536" spans="1:12">
      <c r="A536" t="str">
        <f>'ERP_AP7 Macro Failed'!A538</f>
        <v>L-ERP-349</v>
      </c>
      <c r="B536" t="str">
        <f>'ERP_AP7 Macro Failed'!D538</f>
        <v>Dougherty, Chris</v>
      </c>
      <c r="C536" t="str">
        <f>'ERP_AP7 Macro Failed'!E538</f>
        <v>McCormick, Pete</v>
      </c>
      <c r="D536" t="str">
        <f>'ERP_AP7 Macro Failed'!G538</f>
        <v>SOFTWARE</v>
      </c>
      <c r="E536" t="str">
        <f>'ERP_AP7 Macro Failed'!H538</f>
        <v>BPAI S/W - Broadcom Autosys/Automic (ML-0714)</v>
      </c>
      <c r="F536">
        <f>'ERP_AP7 Macro Failed'!I538</f>
        <v>0</v>
      </c>
      <c r="G536" t="str">
        <f>'ERP_AP7 Macro Failed'!K538</f>
        <v>IT-SFT1270-86-OG-US</v>
      </c>
      <c r="H536" s="487" t="e" cm="1">
        <f t="array" ref="H536">SUMPRODUCT((ERP[UID]=A536)*(ERP[AP01]+ERP[AP02]+ERP[AP03]+ERP[AP04]+ERP[AP05]))</f>
        <v>#VALUE!</v>
      </c>
      <c r="I536" s="487" cm="1">
        <f t="array" ref="I536">SUMPRODUCT((ERP[UID]=A536)*(ERP[AP01 LE2]+ERP[AP02 LE2]+ERP[AP03 LE2]+ERP[AP04 LE2]+ERP[AP05 LE2]))</f>
        <v>0</v>
      </c>
      <c r="J536" s="487">
        <f>'ERP_AP7 Macro Failed'!AL538</f>
        <v>0</v>
      </c>
      <c r="K536" t="str">
        <f t="shared" si="16"/>
        <v>Immaterial</v>
      </c>
      <c r="L536" t="str">
        <f t="shared" si="17"/>
        <v>No</v>
      </c>
    </row>
    <row r="537" spans="1:12">
      <c r="A537" t="str">
        <f>'ERP_AP7 Macro Failed'!A539</f>
        <v>L-ERP-064</v>
      </c>
      <c r="B537" t="str">
        <f>'ERP_AP7 Macro Failed'!D539</f>
        <v>Dougherty, Chris</v>
      </c>
      <c r="C537" t="str">
        <f>'ERP_AP7 Macro Failed'!E539</f>
        <v>Dougherty, Chris</v>
      </c>
      <c r="D537" t="str">
        <f>'ERP_AP7 Macro Failed'!G539</f>
        <v>MANAGED SERVICES</v>
      </c>
      <c r="E537" t="str">
        <f>'ERP_AP7 Macro Failed'!H539</f>
        <v>BPAI File Transfer &amp; Workload Automation Services - Monthly Libra reclasses (ML-0726)</v>
      </c>
      <c r="F537">
        <f>'ERP_AP7 Macro Failed'!I539</f>
        <v>0</v>
      </c>
      <c r="G537" t="str">
        <f>'ERP_AP7 Macro Failed'!K539</f>
        <v>IT-SFT1282-86-OG-US</v>
      </c>
      <c r="H537" s="487" t="e" cm="1">
        <f t="array" ref="H537">SUMPRODUCT((ERP[UID]=A537)*(ERP[AP01]+ERP[AP02]+ERP[AP03]+ERP[AP04]+ERP[AP05]))</f>
        <v>#VALUE!</v>
      </c>
      <c r="I537" s="487" cm="1">
        <f t="array" ref="I537">SUMPRODUCT((ERP[UID]=A537)*(ERP[AP01 LE2]+ERP[AP02 LE2]+ERP[AP03 LE2]+ERP[AP04 LE2]+ERP[AP05 LE2]))</f>
        <v>-228960</v>
      </c>
      <c r="J537" s="487">
        <f>'ERP_AP7 Macro Failed'!AL539</f>
        <v>-16498.5</v>
      </c>
      <c r="K537" t="str">
        <f t="shared" si="16"/>
        <v>MATERIAL</v>
      </c>
      <c r="L537" t="str">
        <f t="shared" si="17"/>
        <v>YES</v>
      </c>
    </row>
    <row r="538" spans="1:12">
      <c r="A538" t="str">
        <f>'ERP_AP7 Macro Failed'!A540</f>
        <v>L-ERP-065</v>
      </c>
      <c r="B538" t="str">
        <f>'ERP_AP7 Macro Failed'!D540</f>
        <v>Dougherty, Chris</v>
      </c>
      <c r="C538" t="str">
        <f>'ERP_AP7 Macro Failed'!E540</f>
        <v>Dougherty, Chris</v>
      </c>
      <c r="D538" t="str">
        <f>'ERP_AP7 Macro Failed'!G540</f>
        <v>SOFTWARE</v>
      </c>
      <c r="E538" t="str">
        <f>'ERP_AP7 Macro Failed'!H540</f>
        <v>BPAI File Transfer &amp; Workload Automation Services - Monthly Libra reclasses (ML-0726)</v>
      </c>
      <c r="F538">
        <f>'ERP_AP7 Macro Failed'!I540</f>
        <v>0</v>
      </c>
      <c r="G538" t="str">
        <f>'ERP_AP7 Macro Failed'!K540</f>
        <v>IT-SFT1282-86-OG-US</v>
      </c>
      <c r="H538" s="487" t="e" cm="1">
        <f t="array" ref="H538">SUMPRODUCT((ERP[UID]=A538)*(ERP[AP01]+ERP[AP02]+ERP[AP03]+ERP[AP04]+ERP[AP05]))</f>
        <v>#VALUE!</v>
      </c>
      <c r="I538" s="487" cm="1">
        <f t="array" ref="I538">SUMPRODUCT((ERP[UID]=A538)*(ERP[AP01 LE2]+ERP[AP02 LE2]+ERP[AP03 LE2]+ERP[AP04 LE2]+ERP[AP05 LE2]))</f>
        <v>-379048</v>
      </c>
      <c r="J538" s="487">
        <f>'ERP_AP7 Macro Failed'!AL540</f>
        <v>53618.880000000005</v>
      </c>
      <c r="K538" t="str">
        <f t="shared" si="16"/>
        <v>MATERIAL</v>
      </c>
      <c r="L538" t="str">
        <f t="shared" si="17"/>
        <v>YES</v>
      </c>
    </row>
    <row r="539" spans="1:12">
      <c r="A539" t="str">
        <f>'ERP_AP7 Macro Failed'!A541</f>
        <v>L-ERP-353</v>
      </c>
      <c r="B539" t="str">
        <f>'ERP_AP7 Macro Failed'!D541</f>
        <v>Dougherty, Chris</v>
      </c>
      <c r="C539" t="str">
        <f>'ERP_AP7 Macro Failed'!E541</f>
        <v>McCormick, Pete</v>
      </c>
      <c r="D539" t="str">
        <f>'ERP_AP7 Macro Failed'!G541</f>
        <v>MANAGED SERVICES</v>
      </c>
      <c r="E539" t="str">
        <f>'ERP_AP7 Macro Failed'!H541</f>
        <v>BPAI File Transfer &amp; Workload Automation Services - Monthly Libra reclasses (ML-0726)</v>
      </c>
      <c r="F539">
        <f>'ERP_AP7 Macro Failed'!I541</f>
        <v>0</v>
      </c>
      <c r="G539" t="str">
        <f>'ERP_AP7 Macro Failed'!K541</f>
        <v>IT-SFT1282-86-OG-US</v>
      </c>
      <c r="H539" s="487" t="e" cm="1">
        <f t="array" ref="H539">SUMPRODUCT((ERP[UID]=A539)*(ERP[AP01]+ERP[AP02]+ERP[AP03]+ERP[AP04]+ERP[AP05]))</f>
        <v>#VALUE!</v>
      </c>
      <c r="I539" s="487" cm="1">
        <f t="array" ref="I539">SUMPRODUCT((ERP[UID]=A539)*(ERP[AP01 LE2]+ERP[AP02 LE2]+ERP[AP03 LE2]+ERP[AP04 LE2]+ERP[AP05 LE2]))</f>
        <v>0</v>
      </c>
      <c r="J539" s="487">
        <f>'ERP_AP7 Macro Failed'!AL541</f>
        <v>0</v>
      </c>
      <c r="K539" t="str">
        <f t="shared" si="16"/>
        <v>Immaterial</v>
      </c>
      <c r="L539" t="str">
        <f t="shared" si="17"/>
        <v>No</v>
      </c>
    </row>
    <row r="540" spans="1:12">
      <c r="A540" t="str">
        <f>'ERP_AP7 Macro Failed'!A542</f>
        <v>L-ERP-354</v>
      </c>
      <c r="B540" t="str">
        <f>'ERP_AP7 Macro Failed'!D542</f>
        <v>Dougherty, Chris</v>
      </c>
      <c r="C540" t="str">
        <f>'ERP_AP7 Macro Failed'!E542</f>
        <v>McCormick, Pete</v>
      </c>
      <c r="D540" t="str">
        <f>'ERP_AP7 Macro Failed'!G542</f>
        <v>SOFTWARE</v>
      </c>
      <c r="E540" t="str">
        <f>'ERP_AP7 Macro Failed'!H542</f>
        <v>BPAI File Transfer &amp; Workload Automation Services - Monthly Libra reclasses (ML-0726)</v>
      </c>
      <c r="F540">
        <f>'ERP_AP7 Macro Failed'!I542</f>
        <v>0</v>
      </c>
      <c r="G540" t="str">
        <f>'ERP_AP7 Macro Failed'!K542</f>
        <v>IT-SFT1282-86-OG-US</v>
      </c>
      <c r="H540" s="487" t="e" cm="1">
        <f t="array" ref="H540">SUMPRODUCT((ERP[UID]=A540)*(ERP[AP01]+ERP[AP02]+ERP[AP03]+ERP[AP04]+ERP[AP05]))</f>
        <v>#VALUE!</v>
      </c>
      <c r="I540" s="487" cm="1">
        <f t="array" ref="I540">SUMPRODUCT((ERP[UID]=A540)*(ERP[AP01 LE2]+ERP[AP02 LE2]+ERP[AP03 LE2]+ERP[AP04 LE2]+ERP[AP05 LE2]))</f>
        <v>0</v>
      </c>
      <c r="J540" s="487">
        <f>'ERP_AP7 Macro Failed'!AL542</f>
        <v>0</v>
      </c>
      <c r="K540" t="str">
        <f t="shared" si="16"/>
        <v>Immaterial</v>
      </c>
      <c r="L540" t="str">
        <f t="shared" si="17"/>
        <v>No</v>
      </c>
    </row>
    <row r="541" spans="1:12">
      <c r="A541" t="str">
        <f>'ERP_AP7 Macro Failed'!A543</f>
        <v>N-ERP-596</v>
      </c>
      <c r="B541" t="str">
        <f>'ERP_AP7 Macro Failed'!D543</f>
        <v>Dougherty, Chris</v>
      </c>
      <c r="C541" t="str">
        <f>'ERP_AP7 Macro Failed'!E543</f>
        <v>McCormick, Pete</v>
      </c>
      <c r="D541" t="str">
        <f>'ERP_AP7 Macro Failed'!G543</f>
        <v>SOFTWARE</v>
      </c>
      <c r="E541" t="str">
        <f>'ERP_AP7 Macro Failed'!H543</f>
        <v>DELL PowerMax &amp; CISCO San Switches SW Maintenance - Somerset (Pullforward Debit)</v>
      </c>
      <c r="F541" t="str">
        <f>'ERP_AP7 Macro Failed'!I543</f>
        <v>WORLD WIDE TECHNOLOGY</v>
      </c>
      <c r="G541" t="str">
        <f>'ERP_AP7 Macro Failed'!K543</f>
        <v>IT-SFT1283-86-OG-US</v>
      </c>
      <c r="H541" s="487" t="e" cm="1">
        <f t="array" ref="H541">SUMPRODUCT((ERP[UID]=A541)*(ERP[AP01]+ERP[AP02]+ERP[AP03]+ERP[AP04]+ERP[AP05]))</f>
        <v>#VALUE!</v>
      </c>
      <c r="I541" s="487" cm="1">
        <f t="array" ref="I541">SUMPRODUCT((ERP[UID]=A541)*(ERP[AP01 LE2]+ERP[AP02 LE2]+ERP[AP03 LE2]+ERP[AP04 LE2]+ERP[AP05 LE2]))</f>
        <v>0</v>
      </c>
      <c r="J541" s="487">
        <f>'ERP_AP7 Macro Failed'!AL543</f>
        <v>0</v>
      </c>
      <c r="K541" t="str">
        <f t="shared" si="16"/>
        <v>Immaterial</v>
      </c>
      <c r="L541" t="str">
        <f t="shared" si="17"/>
        <v>No</v>
      </c>
    </row>
    <row r="542" spans="1:12">
      <c r="A542" t="str">
        <f>'ERP_AP7 Macro Failed'!A544</f>
        <v>L-ERP-033</v>
      </c>
      <c r="B542" t="str">
        <f>'ERP_AP7 Macro Failed'!D544</f>
        <v>Hase, Raj</v>
      </c>
      <c r="C542" t="str">
        <f>'ERP_AP7 Macro Failed'!E544</f>
        <v>DeHart, Lynn</v>
      </c>
      <c r="D542" t="str">
        <f>'ERP_AP7 Macro Failed'!G544</f>
        <v>SOFTWARE</v>
      </c>
      <c r="E542" t="str">
        <f>'ERP_AP7 Macro Failed'!H544</f>
        <v>Office Timeline Pro Plus</v>
      </c>
      <c r="F542">
        <f>'ERP_AP7 Macro Failed'!I544</f>
        <v>0</v>
      </c>
      <c r="G542" t="str">
        <f>'ERP_AP7 Macro Failed'!K544</f>
        <v>IT-SFT1346-OG-US-00</v>
      </c>
      <c r="H542" s="487" t="e" cm="1">
        <f t="array" ref="H542">SUMPRODUCT((ERP[UID]=A542)*(ERP[AP01]+ERP[AP02]+ERP[AP03]+ERP[AP04]+ERP[AP05]))</f>
        <v>#VALUE!</v>
      </c>
      <c r="I542" s="487" cm="1">
        <f t="array" ref="I542">SUMPRODUCT((ERP[UID]=A542)*(ERP[AP01 LE2]+ERP[AP02 LE2]+ERP[AP03 LE2]+ERP[AP04 LE2]+ERP[AP05 LE2]))</f>
        <v>0</v>
      </c>
      <c r="J542" s="487">
        <f>'ERP_AP7 Macro Failed'!AL544</f>
        <v>0</v>
      </c>
      <c r="K542" t="str">
        <f t="shared" si="16"/>
        <v>Immaterial</v>
      </c>
      <c r="L542" t="str">
        <f t="shared" si="17"/>
        <v>No</v>
      </c>
    </row>
    <row r="543" spans="1:12">
      <c r="A543" t="str">
        <f>'ERP_AP7 Macro Failed'!A545</f>
        <v>L-ERP-034</v>
      </c>
      <c r="B543" t="str">
        <f>'ERP_AP7 Macro Failed'!D545</f>
        <v>Hase, Raj</v>
      </c>
      <c r="C543" t="str">
        <f>'ERP_AP7 Macro Failed'!E545</f>
        <v>DeHart, Lynn</v>
      </c>
      <c r="D543" t="str">
        <f>'ERP_AP7 Macro Failed'!G545</f>
        <v>SOFTWARE</v>
      </c>
      <c r="E543" t="str">
        <f>'ERP_AP7 Macro Failed'!H545</f>
        <v>Power Automate Licenses</v>
      </c>
      <c r="F543">
        <f>'ERP_AP7 Macro Failed'!I545</f>
        <v>0</v>
      </c>
      <c r="G543" t="str">
        <f>'ERP_AP7 Macro Failed'!K545</f>
        <v>IT-SFT1347-OG-US-00</v>
      </c>
      <c r="H543" s="487" t="e" cm="1">
        <f t="array" ref="H543">SUMPRODUCT((ERP[UID]=A543)*(ERP[AP01]+ERP[AP02]+ERP[AP03]+ERP[AP04]+ERP[AP05]))</f>
        <v>#VALUE!</v>
      </c>
      <c r="I543" s="487" cm="1">
        <f t="array" ref="I543">SUMPRODUCT((ERP[UID]=A543)*(ERP[AP01 LE2]+ERP[AP02 LE2]+ERP[AP03 LE2]+ERP[AP04 LE2]+ERP[AP05 LE2]))</f>
        <v>0</v>
      </c>
      <c r="J543" s="487">
        <f>'ERP_AP7 Macro Failed'!AL545</f>
        <v>-130</v>
      </c>
      <c r="K543" t="str">
        <f t="shared" si="16"/>
        <v>Immaterial</v>
      </c>
      <c r="L543" t="str">
        <f t="shared" si="17"/>
        <v>No</v>
      </c>
    </row>
    <row r="544" spans="1:12">
      <c r="A544" t="str">
        <f>'ERP_AP7 Macro Failed'!A546</f>
        <v>L-ERP-035</v>
      </c>
      <c r="B544" t="str">
        <f>'ERP_AP7 Macro Failed'!D546</f>
        <v>Hase, Raj</v>
      </c>
      <c r="C544" t="str">
        <f>'ERP_AP7 Macro Failed'!E546</f>
        <v>DeHart, Lynn</v>
      </c>
      <c r="D544" t="str">
        <f>'ERP_AP7 Macro Failed'!G546</f>
        <v>SOFTWARE</v>
      </c>
      <c r="E544" t="str">
        <f>'ERP_AP7 Macro Failed'!H546</f>
        <v>Celonis Climatiq License for 10M shipments annually_XFR0921</v>
      </c>
      <c r="F544">
        <f>'ERP_AP7 Macro Failed'!I546</f>
        <v>0</v>
      </c>
      <c r="G544" t="str">
        <f>'ERP_AP7 Macro Failed'!K546</f>
        <v>IT-SFT1398-OG-US-00</v>
      </c>
      <c r="H544" s="487" t="e" cm="1">
        <f t="array" ref="H544">SUMPRODUCT((ERP[UID]=A544)*(ERP[AP01]+ERP[AP02]+ERP[AP03]+ERP[AP04]+ERP[AP05]))</f>
        <v>#VALUE!</v>
      </c>
      <c r="I544" s="487" cm="1">
        <f t="array" ref="I544">SUMPRODUCT((ERP[UID]=A544)*(ERP[AP01 LE2]+ERP[AP02 LE2]+ERP[AP03 LE2]+ERP[AP04 LE2]+ERP[AP05 LE2]))</f>
        <v>0</v>
      </c>
      <c r="J544" s="487">
        <f>'ERP_AP7 Macro Failed'!AL546</f>
        <v>-250000</v>
      </c>
      <c r="K544" t="str">
        <f t="shared" si="16"/>
        <v>MATERIAL</v>
      </c>
      <c r="L544" t="str">
        <f t="shared" si="17"/>
        <v>YES</v>
      </c>
    </row>
    <row r="545" spans="1:12">
      <c r="A545" t="str">
        <f>'ERP_AP7 Macro Failed'!A547</f>
        <v>N-ERP-597</v>
      </c>
      <c r="B545" t="str">
        <f>'ERP_AP7 Macro Failed'!D547</f>
        <v>Dougherty, Chris</v>
      </c>
      <c r="C545" t="str">
        <f>'ERP_AP7 Macro Failed'!E547</f>
        <v>McCormick, Pete</v>
      </c>
      <c r="D545" t="str">
        <f>'ERP_AP7 Macro Failed'!G547</f>
        <v>SOFTWARE</v>
      </c>
      <c r="E545" t="str">
        <f>'ERP_AP7 Macro Failed'!H547</f>
        <v>DELL PowerMax &amp; CISCO San Switches SW Maintenance - Somerset (Pullforward Credit)</v>
      </c>
      <c r="F545" t="str">
        <f>'ERP_AP7 Macro Failed'!I547</f>
        <v>WORLD WIDE TECHNOLOGY</v>
      </c>
      <c r="G545" t="str">
        <f>'ERP_AP7 Macro Failed'!K547</f>
        <v>IT-SFT1283-86-OG-US/PF</v>
      </c>
      <c r="H545" s="487" t="e" cm="1">
        <f t="array" ref="H545">SUMPRODUCT((ERP[UID]=A545)*(ERP[AP01]+ERP[AP02]+ERP[AP03]+ERP[AP04]+ERP[AP05]))</f>
        <v>#VALUE!</v>
      </c>
      <c r="I545" s="487" cm="1">
        <f t="array" ref="I545">SUMPRODUCT((ERP[UID]=A545)*(ERP[AP01 LE2]+ERP[AP02 LE2]+ERP[AP03 LE2]+ERP[AP04 LE2]+ERP[AP05 LE2]))</f>
        <v>0</v>
      </c>
      <c r="J545" s="487">
        <f>'ERP_AP7 Macro Failed'!AL547</f>
        <v>0</v>
      </c>
      <c r="K545" t="str">
        <f t="shared" si="16"/>
        <v>Immaterial</v>
      </c>
      <c r="L545" t="str">
        <f t="shared" si="17"/>
        <v>No</v>
      </c>
    </row>
    <row r="546" spans="1:12">
      <c r="A546" t="str">
        <f>'ERP_AP7 Macro Failed'!A548</f>
        <v>N-ERP-598</v>
      </c>
      <c r="B546" t="str">
        <f>'ERP_AP7 Macro Failed'!D548</f>
        <v>Dougherty, Chris</v>
      </c>
      <c r="C546" t="str">
        <f>'ERP_AP7 Macro Failed'!E548</f>
        <v>McCormick, Pete</v>
      </c>
      <c r="D546" t="str">
        <f>'ERP_AP7 Macro Failed'!G548</f>
        <v>SOFTWARE</v>
      </c>
      <c r="E546" t="str">
        <f>'ERP_AP7 Macro Failed'!H548</f>
        <v>DELL PowerMax &amp; CISCO San Switches SW Maintenance - Durham (Pullforward Debit)</v>
      </c>
      <c r="F546" t="str">
        <f>'ERP_AP7 Macro Failed'!I548</f>
        <v>WORLD WIDE TECHNOLOGY</v>
      </c>
      <c r="G546" t="str">
        <f>'ERP_AP7 Macro Failed'!K548</f>
        <v>IT-SFT1284-86-OG-US</v>
      </c>
      <c r="H546" s="487" t="e" cm="1">
        <f t="array" ref="H546">SUMPRODUCT((ERP[UID]=A546)*(ERP[AP01]+ERP[AP02]+ERP[AP03]+ERP[AP04]+ERP[AP05]))</f>
        <v>#VALUE!</v>
      </c>
      <c r="I546" s="487" cm="1">
        <f t="array" ref="I546">SUMPRODUCT((ERP[UID]=A546)*(ERP[AP01 LE2]+ERP[AP02 LE2]+ERP[AP03 LE2]+ERP[AP04 LE2]+ERP[AP05 LE2]))</f>
        <v>0</v>
      </c>
      <c r="J546" s="487">
        <f>'ERP_AP7 Macro Failed'!AL548</f>
        <v>0</v>
      </c>
      <c r="K546" t="str">
        <f t="shared" si="16"/>
        <v>Immaterial</v>
      </c>
      <c r="L546" t="str">
        <f t="shared" si="17"/>
        <v>No</v>
      </c>
    </row>
    <row r="547" spans="1:12">
      <c r="A547" t="str">
        <f>'ERP_AP7 Macro Failed'!A549</f>
        <v>N-ERP-599</v>
      </c>
      <c r="B547" t="str">
        <f>'ERP_AP7 Macro Failed'!D549</f>
        <v>Dougherty, Chris</v>
      </c>
      <c r="C547" t="str">
        <f>'ERP_AP7 Macro Failed'!E549</f>
        <v>McCormick, Pete</v>
      </c>
      <c r="D547" t="str">
        <f>'ERP_AP7 Macro Failed'!G549</f>
        <v>SOFTWARE</v>
      </c>
      <c r="E547" t="str">
        <f>'ERP_AP7 Macro Failed'!H549</f>
        <v>DELL PowerMax &amp; CISCO San Switches SW Maintenance - Durham (Pullforward Credit)</v>
      </c>
      <c r="F547" t="str">
        <f>'ERP_AP7 Macro Failed'!I549</f>
        <v>WORLD WIDE TECHNOLOGY</v>
      </c>
      <c r="G547" t="str">
        <f>'ERP_AP7 Macro Failed'!K549</f>
        <v>IT-SFT1284-86-OG-US/PF</v>
      </c>
      <c r="H547" s="487" t="e" cm="1">
        <f t="array" ref="H547">SUMPRODUCT((ERP[UID]=A547)*(ERP[AP01]+ERP[AP02]+ERP[AP03]+ERP[AP04]+ERP[AP05]))</f>
        <v>#VALUE!</v>
      </c>
      <c r="I547" s="487" cm="1">
        <f t="array" ref="I547">SUMPRODUCT((ERP[UID]=A547)*(ERP[AP01 LE2]+ERP[AP02 LE2]+ERP[AP03 LE2]+ERP[AP04 LE2]+ERP[AP05 LE2]))</f>
        <v>0</v>
      </c>
      <c r="J547" s="487">
        <f>'ERP_AP7 Macro Failed'!AL549</f>
        <v>0</v>
      </c>
      <c r="K547" t="str">
        <f t="shared" si="16"/>
        <v>Immaterial</v>
      </c>
      <c r="L547" t="str">
        <f t="shared" si="17"/>
        <v>No</v>
      </c>
    </row>
    <row r="548" spans="1:12">
      <c r="A548" t="str">
        <f>'ERP_AP7 Macro Failed'!A550</f>
        <v>N-ERP-600</v>
      </c>
      <c r="B548" t="str">
        <f>'ERP_AP7 Macro Failed'!D550</f>
        <v>Dougherty, Chris</v>
      </c>
      <c r="C548" t="str">
        <f>'ERP_AP7 Macro Failed'!E550</f>
        <v>McCormick, Pete</v>
      </c>
      <c r="D548" t="str">
        <f>'ERP_AP7 Macro Failed'!G550</f>
        <v>SOFTWARE</v>
      </c>
      <c r="E548" t="str">
        <f>'ERP_AP7 Macro Failed'!H550</f>
        <v>Storix Linux Storage Licenses</v>
      </c>
      <c r="F548" t="str">
        <f>'ERP_AP7 Macro Failed'!I550</f>
        <v>SIRIUS COMPUTER SOLUTIONS</v>
      </c>
      <c r="G548" t="str">
        <f>'ERP_AP7 Macro Failed'!K550</f>
        <v>IT-SFT1401-OG-US-00</v>
      </c>
      <c r="H548" s="487" t="e" cm="1">
        <f t="array" ref="H548">SUMPRODUCT((ERP[UID]=A548)*(ERP[AP01]+ERP[AP02]+ERP[AP03]+ERP[AP04]+ERP[AP05]))</f>
        <v>#VALUE!</v>
      </c>
      <c r="I548" s="487" cm="1">
        <f t="array" ref="I548">SUMPRODUCT((ERP[UID]=A548)*(ERP[AP01 LE2]+ERP[AP02 LE2]+ERP[AP03 LE2]+ERP[AP04 LE2]+ERP[AP05 LE2]))</f>
        <v>0</v>
      </c>
      <c r="J548" s="487">
        <f>'ERP_AP7 Macro Failed'!AL550</f>
        <v>0</v>
      </c>
      <c r="K548" t="str">
        <f t="shared" si="16"/>
        <v>Immaterial</v>
      </c>
      <c r="L548" t="str">
        <f t="shared" si="17"/>
        <v>No</v>
      </c>
    </row>
    <row r="549" spans="1:12">
      <c r="A549" t="str">
        <f>'ERP_AP7 Macro Failed'!A551</f>
        <v>N-ERP-601</v>
      </c>
      <c r="B549" t="str">
        <f>'ERP_AP7 Macro Failed'!D551</f>
        <v>Dougherty, Chris</v>
      </c>
      <c r="C549" t="str">
        <f>'ERP_AP7 Macro Failed'!E551</f>
        <v>McCormick, Pete</v>
      </c>
      <c r="D549" t="str">
        <f>'ERP_AP7 Macro Failed'!G551</f>
        <v>SOFTWARE</v>
      </c>
      <c r="E549" t="str">
        <f>'ERP_AP7 Macro Failed'!H551</f>
        <v>Storix Linux Storage Licenses (Pullforward Credit)</v>
      </c>
      <c r="F549" t="str">
        <f>'ERP_AP7 Macro Failed'!I551</f>
        <v>SIRIUS COMPUTER SOLUTIONS</v>
      </c>
      <c r="G549" t="str">
        <f>'ERP_AP7 Macro Failed'!K551</f>
        <v>IT-SFT1401-OG-US-00/PF</v>
      </c>
      <c r="H549" s="487" t="e" cm="1">
        <f t="array" ref="H549">SUMPRODUCT((ERP[UID]=A549)*(ERP[AP01]+ERP[AP02]+ERP[AP03]+ERP[AP04]+ERP[AP05]))</f>
        <v>#VALUE!</v>
      </c>
      <c r="I549" s="487" cm="1">
        <f t="array" ref="I549">SUMPRODUCT((ERP[UID]=A549)*(ERP[AP01 LE2]+ERP[AP02 LE2]+ERP[AP03 LE2]+ERP[AP04 LE2]+ERP[AP05 LE2]))</f>
        <v>0</v>
      </c>
      <c r="J549" s="487">
        <f>'ERP_AP7 Macro Failed'!AL551</f>
        <v>0</v>
      </c>
      <c r="K549" t="str">
        <f t="shared" si="16"/>
        <v>Immaterial</v>
      </c>
      <c r="L549" t="str">
        <f t="shared" si="17"/>
        <v>No</v>
      </c>
    </row>
    <row r="550" spans="1:12">
      <c r="A550" t="str">
        <f>'ERP_AP7 Macro Failed'!A552</f>
        <v>L-ERP-055</v>
      </c>
      <c r="B550" t="str">
        <f>'ERP_AP7 Macro Failed'!D552</f>
        <v>Dougherty, Chris</v>
      </c>
      <c r="C550" t="str">
        <f>'ERP_AP7 Macro Failed'!E552</f>
        <v>Dougherty, Chris</v>
      </c>
      <c r="D550" t="str">
        <f>'ERP_AP7 Macro Failed'!G552</f>
        <v>SOFTWARE</v>
      </c>
      <c r="E550" t="str">
        <f>'ERP_AP7 Macro Failed'!H552</f>
        <v>BPAI S/W - IBM Value Added Network (VAN) (ML-0729)</v>
      </c>
      <c r="F550" t="str">
        <f>'ERP_AP7 Macro Failed'!I552</f>
        <v>IBM</v>
      </c>
      <c r="G550" t="str">
        <f>'ERP_AP7 Macro Failed'!K552</f>
        <v>IT-SFT1402-OG-US-00</v>
      </c>
      <c r="H550" s="487" t="e" cm="1">
        <f t="array" ref="H550">SUMPRODUCT((ERP[UID]=A550)*(ERP[AP01]+ERP[AP02]+ERP[AP03]+ERP[AP04]+ERP[AP05]))</f>
        <v>#VALUE!</v>
      </c>
      <c r="I550" s="487" cm="1">
        <f t="array" ref="I550">SUMPRODUCT((ERP[UID]=A550)*(ERP[AP01 LE2]+ERP[AP02 LE2]+ERP[AP03 LE2]+ERP[AP04 LE2]+ERP[AP05 LE2]))</f>
        <v>78750</v>
      </c>
      <c r="J550" s="487">
        <f>'ERP_AP7 Macro Failed'!AL552</f>
        <v>0</v>
      </c>
      <c r="K550" t="str">
        <f t="shared" si="16"/>
        <v>Immaterial</v>
      </c>
      <c r="L550" t="str">
        <f t="shared" si="17"/>
        <v>No</v>
      </c>
    </row>
    <row r="551" spans="1:12">
      <c r="A551" t="str">
        <f>'ERP_AP7 Macro Failed'!A553</f>
        <v>L-ERP-058</v>
      </c>
      <c r="B551" t="str">
        <f>'ERP_AP7 Macro Failed'!D553</f>
        <v>Dougherty, Chris</v>
      </c>
      <c r="C551" t="str">
        <f>'ERP_AP7 Macro Failed'!E553</f>
        <v>Dougherty, Chris</v>
      </c>
      <c r="D551" t="str">
        <f>'ERP_AP7 Macro Failed'!G553</f>
        <v>SOFTWARE</v>
      </c>
      <c r="E551" t="str">
        <f>'ERP_AP7 Macro Failed'!H553</f>
        <v>SAP ICH Quality Add-on Contract #3062678905_XFR0707</v>
      </c>
      <c r="F551">
        <f>'ERP_AP7 Macro Failed'!I553</f>
        <v>0</v>
      </c>
      <c r="G551" t="str">
        <f>'ERP_AP7 Macro Failed'!K553</f>
        <v>IT-SFT1406-OG-US-00</v>
      </c>
      <c r="H551" s="487" t="e" cm="1">
        <f t="array" ref="H551">SUMPRODUCT((ERP[UID]=A551)*(ERP[AP01]+ERP[AP02]+ERP[AP03]+ERP[AP04]+ERP[AP05]))</f>
        <v>#VALUE!</v>
      </c>
      <c r="I551" s="487" cm="1">
        <f t="array" ref="I551">SUMPRODUCT((ERP[UID]=A551)*(ERP[AP01 LE2]+ERP[AP02 LE2]+ERP[AP03 LE2]+ERP[AP04 LE2]+ERP[AP05 LE2]))</f>
        <v>0</v>
      </c>
      <c r="J551" s="487">
        <f>'ERP_AP7 Macro Failed'!AL553</f>
        <v>0</v>
      </c>
      <c r="K551" t="str">
        <f t="shared" si="16"/>
        <v>Immaterial</v>
      </c>
      <c r="L551" t="str">
        <f t="shared" si="17"/>
        <v>No</v>
      </c>
    </row>
    <row r="552" spans="1:12">
      <c r="A552" t="str">
        <f>'ERP_AP7 Macro Failed'!A554</f>
        <v>L-ERP-098</v>
      </c>
      <c r="B552" t="str">
        <f>'ERP_AP7 Macro Failed'!D554</f>
        <v>Dougherty, Chris</v>
      </c>
      <c r="C552" t="str">
        <f>'ERP_AP7 Macro Failed'!E554</f>
        <v>Dougherty, Chris</v>
      </c>
      <c r="D552" t="str">
        <f>'ERP_AP7 Macro Failed'!G554</f>
        <v>SOFTWARE</v>
      </c>
      <c r="E552" t="str">
        <f>'ERP_AP7 Macro Failed'!H554</f>
        <v>SAP license &amp; support costs for SAP at Sanford North(P323-0010203)_2025-XFR-0036-A</v>
      </c>
      <c r="F552">
        <f>'ERP_AP7 Macro Failed'!I554</f>
        <v>0</v>
      </c>
      <c r="G552" t="str">
        <f>'ERP_AP7 Macro Failed'!K554</f>
        <v>IT-SFT1408-OG-US-00</v>
      </c>
      <c r="H552" s="487" t="e" cm="1">
        <f t="array" ref="H552">SUMPRODUCT((ERP[UID]=A552)*(ERP[AP01]+ERP[AP02]+ERP[AP03]+ERP[AP04]+ERP[AP05]))</f>
        <v>#VALUE!</v>
      </c>
      <c r="I552" s="487" cm="1">
        <f t="array" ref="I552">SUMPRODUCT((ERP[UID]=A552)*(ERP[AP01 LE2]+ERP[AP02 LE2]+ERP[AP03 LE2]+ERP[AP04 LE2]+ERP[AP05 LE2]))</f>
        <v>0</v>
      </c>
      <c r="J552" s="487">
        <f>'ERP_AP7 Macro Failed'!AL554</f>
        <v>0</v>
      </c>
      <c r="K552" t="str">
        <f t="shared" si="16"/>
        <v>Immaterial</v>
      </c>
      <c r="L552" t="str">
        <f t="shared" si="17"/>
        <v>No</v>
      </c>
    </row>
    <row r="553" spans="1:12">
      <c r="A553" t="str">
        <f>'ERP_AP7 Macro Failed'!A555</f>
        <v>L-ERP-365</v>
      </c>
      <c r="B553" t="str">
        <f>'ERP_AP7 Macro Failed'!D555</f>
        <v>Dougherty, Chris</v>
      </c>
      <c r="C553" t="str">
        <f>'ERP_AP7 Macro Failed'!E555</f>
        <v>McCormick, Pete</v>
      </c>
      <c r="D553" t="str">
        <f>'ERP_AP7 Macro Failed'!G555</f>
        <v>SOFTWARE</v>
      </c>
      <c r="E553" t="str">
        <f>'ERP_AP7 Macro Failed'!H555</f>
        <v>Power 10 AIX 7.1 Extended Support (for APO, GIS, PPM, SAP PI 7.1, MQ, BOBJ, VPSX)</v>
      </c>
      <c r="F553" t="str">
        <f>'ERP_AP7 Macro Failed'!I555</f>
        <v>IBM</v>
      </c>
      <c r="G553" t="str">
        <f>'ERP_AP7 Macro Failed'!K555</f>
        <v>IT-SFT1410-OG-US-00</v>
      </c>
      <c r="H553" s="487" t="e" cm="1">
        <f t="array" ref="H553">SUMPRODUCT((ERP[UID]=A553)*(ERP[AP01]+ERP[AP02]+ERP[AP03]+ERP[AP04]+ERP[AP05]))</f>
        <v>#VALUE!</v>
      </c>
      <c r="I553" s="487" cm="1">
        <f t="array" ref="I553">SUMPRODUCT((ERP[UID]=A553)*(ERP[AP01 LE2]+ERP[AP02 LE2]+ERP[AP03 LE2]+ERP[AP04 LE2]+ERP[AP05 LE2]))</f>
        <v>0</v>
      </c>
      <c r="J553" s="487">
        <f>'ERP_AP7 Macro Failed'!AL555</f>
        <v>-11391.72</v>
      </c>
      <c r="K553" t="str">
        <f t="shared" si="16"/>
        <v>MATERIAL</v>
      </c>
      <c r="L553" t="str">
        <f t="shared" si="17"/>
        <v>YES</v>
      </c>
    </row>
    <row r="554" spans="1:12">
      <c r="A554" t="str">
        <f>'ERP_AP7 Macro Failed'!A556</f>
        <v>N-ERP-602</v>
      </c>
      <c r="B554" t="str">
        <f>'ERP_AP7 Macro Failed'!D556</f>
        <v>Dougherty, Chris</v>
      </c>
      <c r="C554" t="str">
        <f>'ERP_AP7 Macro Failed'!E556</f>
        <v>McCormick, Pete</v>
      </c>
      <c r="D554" t="str">
        <f>'ERP_AP7 Macro Failed'!G556</f>
        <v>SOFTWARE</v>
      </c>
      <c r="E554" t="str">
        <f>'ERP_AP7 Macro Failed'!H556</f>
        <v>Power 10 AIX 7.1 Extended Support (for APO, GIS, PPM, SAP PI 7.1, MQ, BOBJ, VPSX) (Pullforward Credit)</v>
      </c>
      <c r="F554" t="str">
        <f>'ERP_AP7 Macro Failed'!I556</f>
        <v>IBM</v>
      </c>
      <c r="G554" t="str">
        <f>'ERP_AP7 Macro Failed'!K556</f>
        <v>IT-SFT1410-OG-US-00/PF</v>
      </c>
      <c r="H554" s="487" t="e" cm="1">
        <f t="array" ref="H554">SUMPRODUCT((ERP[UID]=A554)*(ERP[AP01]+ERP[AP02]+ERP[AP03]+ERP[AP04]+ERP[AP05]))</f>
        <v>#VALUE!</v>
      </c>
      <c r="I554" s="487" cm="1">
        <f t="array" ref="I554">SUMPRODUCT((ERP[UID]=A554)*(ERP[AP01 LE2]+ERP[AP02 LE2]+ERP[AP03 LE2]+ERP[AP04 LE2]+ERP[AP05 LE2]))</f>
        <v>0</v>
      </c>
      <c r="J554" s="487">
        <f>'ERP_AP7 Macro Failed'!AL556</f>
        <v>0</v>
      </c>
      <c r="K554" t="str">
        <f t="shared" si="16"/>
        <v>Immaterial</v>
      </c>
      <c r="L554" t="str">
        <f t="shared" si="17"/>
        <v>No</v>
      </c>
    </row>
    <row r="555" spans="1:12">
      <c r="A555" t="str">
        <f>'ERP_AP7 Macro Failed'!A557</f>
        <v>L-ERP-380</v>
      </c>
      <c r="B555" t="str">
        <f>'ERP_AP7 Macro Failed'!D557</f>
        <v>Dougherty, Chris</v>
      </c>
      <c r="C555" t="str">
        <f>'ERP_AP7 Macro Failed'!E557</f>
        <v>McCormick, Pete</v>
      </c>
      <c r="D555" t="str">
        <f>'ERP_AP7 Macro Failed'!G557</f>
        <v>SOFTWARE</v>
      </c>
      <c r="E555" t="str">
        <f>'ERP_AP7 Macro Failed'!H557</f>
        <v>PEP 2.0 Credits</v>
      </c>
      <c r="F555">
        <f>'ERP_AP7 Macro Failed'!I557</f>
        <v>0</v>
      </c>
      <c r="G555" t="str">
        <f>'ERP_AP7 Macro Failed'!K557</f>
        <v>IT-SFT1412-OG-US-00</v>
      </c>
      <c r="H555" s="487" t="e" cm="1">
        <f t="array" ref="H555">SUMPRODUCT((ERP[UID]=A555)*(ERP[AP01]+ERP[AP02]+ERP[AP03]+ERP[AP04]+ERP[AP05]))</f>
        <v>#VALUE!</v>
      </c>
      <c r="I555" s="487" cm="1">
        <f t="array" ref="I555">SUMPRODUCT((ERP[UID]=A555)*(ERP[AP01 LE2]+ERP[AP02 LE2]+ERP[AP03 LE2]+ERP[AP04 LE2]+ERP[AP05 LE2]))</f>
        <v>0</v>
      </c>
      <c r="J555" s="487">
        <f>'ERP_AP7 Macro Failed'!AL557</f>
        <v>-2000</v>
      </c>
      <c r="K555" t="str">
        <f t="shared" si="16"/>
        <v>Minor</v>
      </c>
      <c r="L555" t="str">
        <f t="shared" si="17"/>
        <v>No</v>
      </c>
    </row>
    <row r="556" spans="1:12">
      <c r="A556" t="str">
        <f>'ERP_AP7 Macro Failed'!A558</f>
        <v>L-ERP-056</v>
      </c>
      <c r="B556" t="str">
        <f>'ERP_AP7 Macro Failed'!D558</f>
        <v>Dougherty, Chris</v>
      </c>
      <c r="C556" t="str">
        <f>'ERP_AP7 Macro Failed'!E558</f>
        <v>Dougherty, Chris</v>
      </c>
      <c r="D556" t="str">
        <f>'ERP_AP7 Macro Failed'!G558</f>
        <v>SOFTWARE</v>
      </c>
      <c r="E556" t="str">
        <f>'ERP_AP7 Macro Failed'!H558</f>
        <v>BPAI S/W - IBM B2B Integrator (ML-0731)</v>
      </c>
      <c r="F556">
        <f>'ERP_AP7 Macro Failed'!I558</f>
        <v>0</v>
      </c>
      <c r="G556" t="str">
        <f>'ERP_AP7 Macro Failed'!K558</f>
        <v>IT-SFT1413-OG-US-00</v>
      </c>
      <c r="H556" s="487" t="e" cm="1">
        <f t="array" ref="H556">SUMPRODUCT((ERP[UID]=A556)*(ERP[AP01]+ERP[AP02]+ERP[AP03]+ERP[AP04]+ERP[AP05]))</f>
        <v>#VALUE!</v>
      </c>
      <c r="I556" s="487" cm="1">
        <f t="array" ref="I556">SUMPRODUCT((ERP[UID]=A556)*(ERP[AP01 LE2]+ERP[AP02 LE2]+ERP[AP03 LE2]+ERP[AP04 LE2]+ERP[AP05 LE2]))</f>
        <v>144819</v>
      </c>
      <c r="J556" s="487">
        <f>'ERP_AP7 Macro Failed'!AL558</f>
        <v>14483.399999999994</v>
      </c>
      <c r="K556" t="str">
        <f t="shared" si="16"/>
        <v>MATERIAL</v>
      </c>
      <c r="L556" t="str">
        <f t="shared" si="17"/>
        <v>YES</v>
      </c>
    </row>
    <row r="557" spans="1:12">
      <c r="A557" t="str">
        <f>'ERP_AP7 Macro Failed'!A559</f>
        <v>N-ERP-553</v>
      </c>
      <c r="B557" t="str">
        <f>'ERP_AP7 Macro Failed'!D559</f>
        <v>Dougherty, Chris</v>
      </c>
      <c r="C557" t="str">
        <f>'ERP_AP7 Macro Failed'!E559</f>
        <v>Dougherty, Chris</v>
      </c>
      <c r="D557" t="str">
        <f>'ERP_AP7 Macro Failed'!G559</f>
        <v>SOFTWARE</v>
      </c>
      <c r="E557" t="str">
        <f>'ERP_AP7 Macro Failed'!H559</f>
        <v>BPAI S/W - Axway B2Bi (ML-0736)</v>
      </c>
      <c r="F557" t="str">
        <f>'ERP_AP7 Macro Failed'!I559</f>
        <v>AXWAY Inc.</v>
      </c>
      <c r="G557" t="str">
        <f>'ERP_AP7 Macro Failed'!K559</f>
        <v>IT-SFT1414-OG-US-00</v>
      </c>
      <c r="H557" s="487" t="e" cm="1">
        <f t="array" ref="H557">SUMPRODUCT((ERP[UID]=A557)*(ERP[AP01]+ERP[AP02]+ERP[AP03]+ERP[AP04]+ERP[AP05]))</f>
        <v>#VALUE!</v>
      </c>
      <c r="I557" s="487" cm="1">
        <f t="array" ref="I557">SUMPRODUCT((ERP[UID]=A557)*(ERP[AP01 LE2]+ERP[AP02 LE2]+ERP[AP03 LE2]+ERP[AP04 LE2]+ERP[AP05 LE2]))</f>
        <v>0</v>
      </c>
      <c r="J557" s="487">
        <f>'ERP_AP7 Macro Failed'!AL559</f>
        <v>0</v>
      </c>
      <c r="K557" t="str">
        <f t="shared" si="16"/>
        <v>Immaterial</v>
      </c>
      <c r="L557" t="str">
        <f t="shared" si="17"/>
        <v>No</v>
      </c>
    </row>
    <row r="558" spans="1:12">
      <c r="A558" t="str">
        <f>'ERP_AP7 Macro Failed'!A560</f>
        <v>N-ERP-554</v>
      </c>
      <c r="B558" t="str">
        <f>'ERP_AP7 Macro Failed'!D560</f>
        <v>Dougherty, Chris</v>
      </c>
      <c r="C558" t="str">
        <f>'ERP_AP7 Macro Failed'!E560</f>
        <v>Dougherty, Chris</v>
      </c>
      <c r="D558" t="str">
        <f>'ERP_AP7 Macro Failed'!G560</f>
        <v>SOFTWARE</v>
      </c>
      <c r="E558" t="str">
        <f>'ERP_AP7 Macro Failed'!H560</f>
        <v>BPAI S/W - Axway B2Bi (ML-0736) (Pullforward Credit)</v>
      </c>
      <c r="F558" t="str">
        <f>'ERP_AP7 Macro Failed'!I560</f>
        <v>AXWAY Inc.</v>
      </c>
      <c r="G558" t="str">
        <f>'ERP_AP7 Macro Failed'!K560</f>
        <v>IT-SFT1414-OG-US-00/PF</v>
      </c>
      <c r="H558" s="487" t="e" cm="1">
        <f t="array" ref="H558">SUMPRODUCT((ERP[UID]=A558)*(ERP[AP01]+ERP[AP02]+ERP[AP03]+ERP[AP04]+ERP[AP05]))</f>
        <v>#VALUE!</v>
      </c>
      <c r="I558" s="487" cm="1">
        <f t="array" ref="I558">SUMPRODUCT((ERP[UID]=A558)*(ERP[AP01 LE2]+ERP[AP02 LE2]+ERP[AP03 LE2]+ERP[AP04 LE2]+ERP[AP05 LE2]))</f>
        <v>0</v>
      </c>
      <c r="J558" s="487">
        <f>'ERP_AP7 Macro Failed'!AL560</f>
        <v>0</v>
      </c>
      <c r="K558" t="str">
        <f t="shared" si="16"/>
        <v>Immaterial</v>
      </c>
      <c r="L558" t="str">
        <f t="shared" si="17"/>
        <v>No</v>
      </c>
    </row>
    <row r="559" spans="1:12">
      <c r="A559" t="str">
        <f>'ERP_AP7 Macro Failed'!A561</f>
        <v>L-ERP-057</v>
      </c>
      <c r="B559" t="str">
        <f>'ERP_AP7 Macro Failed'!D561</f>
        <v>Dougherty, Chris</v>
      </c>
      <c r="C559" t="str">
        <f>'ERP_AP7 Macro Failed'!E561</f>
        <v>Dougherty, Chris</v>
      </c>
      <c r="D559" t="str">
        <f>'ERP_AP7 Macro Failed'!G561</f>
        <v>SOFTWARE</v>
      </c>
      <c r="E559" t="str">
        <f>'ERP_AP7 Macro Failed'!H561</f>
        <v>BPAI S/W - EDIFECS SpecBuilder (ML-0737)</v>
      </c>
      <c r="F559" t="str">
        <f>'ERP_AP7 Macro Failed'!I561</f>
        <v>EDIFECS INC</v>
      </c>
      <c r="G559" t="str">
        <f>'ERP_AP7 Macro Failed'!K561</f>
        <v>IT-SFT1415-OG-US-00</v>
      </c>
      <c r="H559" s="487" t="e" cm="1">
        <f t="array" ref="H559">SUMPRODUCT((ERP[UID]=A559)*(ERP[AP01]+ERP[AP02]+ERP[AP03]+ERP[AP04]+ERP[AP05]))</f>
        <v>#VALUE!</v>
      </c>
      <c r="I559" s="487" cm="1">
        <f t="array" ref="I559">SUMPRODUCT((ERP[UID]=A559)*(ERP[AP01 LE2]+ERP[AP02 LE2]+ERP[AP03 LE2]+ERP[AP04 LE2]+ERP[AP05 LE2]))</f>
        <v>5298.95</v>
      </c>
      <c r="J559" s="487">
        <f>'ERP_AP7 Macro Failed'!AL561</f>
        <v>0</v>
      </c>
      <c r="K559" t="str">
        <f t="shared" si="16"/>
        <v>Immaterial</v>
      </c>
      <c r="L559" t="str">
        <f t="shared" si="17"/>
        <v>No</v>
      </c>
    </row>
    <row r="560" spans="1:12">
      <c r="A560" t="str">
        <f>'ERP_AP7 Macro Failed'!A562</f>
        <v>L-ERP-187</v>
      </c>
      <c r="B560" t="str">
        <f>'ERP_AP7 Macro Failed'!D562</f>
        <v>Hase, Raj</v>
      </c>
      <c r="C560" t="str">
        <f>'ERP_AP7 Macro Failed'!E562</f>
        <v>Hase, Raj</v>
      </c>
      <c r="D560" t="str">
        <f>'ERP_AP7 Macro Failed'!G562</f>
        <v>MANAGED SERVICES</v>
      </c>
      <c r="E560" t="str">
        <f>'ERP_AP7 Macro Failed'!H562</f>
        <v>DIGITAL-CLOUD-AZURE-ARENA DYNAMICS 365</v>
      </c>
      <c r="F560">
        <f>'ERP_AP7 Macro Failed'!I562</f>
        <v>0</v>
      </c>
      <c r="G560" t="str">
        <f>'ERP_AP7 Macro Failed'!K562</f>
        <v>IT-SFT1436-OG-US-00</v>
      </c>
      <c r="H560" s="487" t="e" cm="1">
        <f t="array" ref="H560">SUMPRODUCT((ERP[UID]=A560)*(ERP[AP01]+ERP[AP02]+ERP[AP03]+ERP[AP04]+ERP[AP05]))</f>
        <v>#VALUE!</v>
      </c>
      <c r="I560" s="487" cm="1">
        <f t="array" ref="I560">SUMPRODUCT((ERP[UID]=A560)*(ERP[AP01 LE2]+ERP[AP02 LE2]+ERP[AP03 LE2]+ERP[AP04 LE2]+ERP[AP05 LE2]))</f>
        <v>3725.3500000000004</v>
      </c>
      <c r="J560" s="487">
        <f>'ERP_AP7 Macro Failed'!AL562</f>
        <v>-93.970000000000255</v>
      </c>
      <c r="K560" t="str">
        <f t="shared" si="16"/>
        <v>Immaterial</v>
      </c>
      <c r="L560" t="str">
        <f t="shared" si="17"/>
        <v>No</v>
      </c>
    </row>
    <row r="561" spans="1:12">
      <c r="A561" t="str">
        <f>'ERP_AP7 Macro Failed'!A563</f>
        <v>L-ERP-375</v>
      </c>
      <c r="B561" t="str">
        <f>'ERP_AP7 Macro Failed'!D563</f>
        <v>Dougherty, Chris</v>
      </c>
      <c r="C561" t="str">
        <f>'ERP_AP7 Macro Failed'!E563</f>
        <v>McCormick, Pete</v>
      </c>
      <c r="D561" t="str">
        <f>'ERP_AP7 Macro Failed'!G563</f>
        <v>SOFTWARE</v>
      </c>
      <c r="E561" t="str">
        <f>'ERP_AP7 Macro Failed'!H563</f>
        <v>M&amp;S Pro Renewal</v>
      </c>
      <c r="F561">
        <f>'ERP_AP7 Macro Failed'!I563</f>
        <v>0</v>
      </c>
      <c r="G561" t="str">
        <f>'ERP_AP7 Macro Failed'!K563</f>
        <v>IT-SFT1416-OG-US-00</v>
      </c>
      <c r="H561" s="487" t="e" cm="1">
        <f t="array" ref="H561">SUMPRODUCT((ERP[UID]=A561)*(ERP[AP01]+ERP[AP02]+ERP[AP03]+ERP[AP04]+ERP[AP05]))</f>
        <v>#VALUE!</v>
      </c>
      <c r="I561" s="487" cm="1">
        <f t="array" ref="I561">SUMPRODUCT((ERP[UID]=A561)*(ERP[AP01 LE2]+ERP[AP02 LE2]+ERP[AP03 LE2]+ERP[AP04 LE2]+ERP[AP05 LE2]))</f>
        <v>0</v>
      </c>
      <c r="J561" s="487">
        <f>'ERP_AP7 Macro Failed'!AL563</f>
        <v>-1190.6600000000001</v>
      </c>
      <c r="K561" t="str">
        <f t="shared" si="16"/>
        <v>Minor</v>
      </c>
      <c r="L561" t="str">
        <f t="shared" si="17"/>
        <v>No</v>
      </c>
    </row>
    <row r="562" spans="1:12">
      <c r="A562" t="str">
        <f>'ERP_AP7 Macro Failed'!A564</f>
        <v>L-ERP-406</v>
      </c>
      <c r="B562" t="str">
        <f>'ERP_AP7 Macro Failed'!D564</f>
        <v>McGettigan, David</v>
      </c>
      <c r="C562" t="str">
        <f>'ERP_AP7 Macro Failed'!E564</f>
        <v>McGettigan, David</v>
      </c>
      <c r="D562" t="str">
        <f>'ERP_AP7 Macro Failed'!G564</f>
        <v>MANAGED SERVICES</v>
      </c>
      <c r="E562" t="str">
        <f>'ERP_AP7 Macro Failed'!H564</f>
        <v>C-TIES Copilot Studio</v>
      </c>
      <c r="F562">
        <f>'ERP_AP7 Macro Failed'!I564</f>
        <v>0</v>
      </c>
      <c r="G562" t="str">
        <f>'ERP_AP7 Macro Failed'!K564</f>
        <v>IT-SFT1442-OG-US-00</v>
      </c>
      <c r="H562" s="487" t="e" cm="1">
        <f t="array" ref="H562">SUMPRODUCT((ERP[UID]=A562)*(ERP[AP01]+ERP[AP02]+ERP[AP03]+ERP[AP04]+ERP[AP05]))</f>
        <v>#VALUE!</v>
      </c>
      <c r="I562" s="487" cm="1">
        <f t="array" ref="I562">SUMPRODUCT((ERP[UID]=A562)*(ERP[AP01 LE2]+ERP[AP02 LE2]+ERP[AP03 LE2]+ERP[AP04 LE2]+ERP[AP05 LE2]))</f>
        <v>21.89</v>
      </c>
      <c r="J562" s="487">
        <f>'ERP_AP7 Macro Failed'!AL564</f>
        <v>16.39</v>
      </c>
      <c r="K562" t="str">
        <f t="shared" si="16"/>
        <v>Immaterial</v>
      </c>
      <c r="L562" t="str">
        <f t="shared" si="17"/>
        <v>No</v>
      </c>
    </row>
    <row r="563" spans="1:12">
      <c r="A563" t="str">
        <f>'ERP_AP7 Macro Failed'!A565</f>
        <v>L-ERP-506</v>
      </c>
      <c r="B563" t="str">
        <f>'ERP_AP7 Macro Failed'!D565</f>
        <v>Dougherty, Chris</v>
      </c>
      <c r="C563" t="str">
        <f>'ERP_AP7 Macro Failed'!E565</f>
        <v>Tamavada, Ram</v>
      </c>
      <c r="D563" t="str">
        <f>'ERP_AP7 Macro Failed'!G565</f>
        <v>MANAGED SERVICES</v>
      </c>
      <c r="E563" t="str">
        <f>'ERP_AP7 Macro Failed'!H565</f>
        <v>Infrastructure: Pfizer Pfynix AIOPS solution</v>
      </c>
      <c r="F563">
        <f>'ERP_AP7 Macro Failed'!I565</f>
        <v>0</v>
      </c>
      <c r="G563" t="str">
        <f>'ERP_AP7 Macro Failed'!K565</f>
        <v>IT-SFT1434-OG-US-00</v>
      </c>
      <c r="H563" s="487" t="e" cm="1">
        <f t="array" ref="H563">SUMPRODUCT((ERP[UID]=A563)*(ERP[AP01]+ERP[AP02]+ERP[AP03]+ERP[AP04]+ERP[AP05]))</f>
        <v>#VALUE!</v>
      </c>
      <c r="I563" s="487" cm="1">
        <f t="array" ref="I563">SUMPRODUCT((ERP[UID]=A563)*(ERP[AP01 LE2]+ERP[AP02 LE2]+ERP[AP03 LE2]+ERP[AP04 LE2]+ERP[AP05 LE2]))</f>
        <v>2299.37</v>
      </c>
      <c r="J563" s="487">
        <f>'ERP_AP7 Macro Failed'!AL565</f>
        <v>896.96000000000049</v>
      </c>
      <c r="K563" t="str">
        <f t="shared" si="16"/>
        <v>Immaterial</v>
      </c>
      <c r="L563" t="str">
        <f t="shared" si="17"/>
        <v>No</v>
      </c>
    </row>
    <row r="564" spans="1:12">
      <c r="A564" t="str">
        <f>'ERP_AP7 Macro Failed'!A566</f>
        <v>N-ERP-618</v>
      </c>
      <c r="B564" t="str">
        <f>'ERP_AP7 Macro Failed'!D566</f>
        <v>Hase, Raj</v>
      </c>
      <c r="C564" t="str">
        <f>'ERP_AP7 Macro Failed'!E566</f>
        <v>Yeluri, Durga</v>
      </c>
      <c r="D564" t="str">
        <f>'ERP_AP7 Macro Failed'!G566</f>
        <v>SOFTWARE</v>
      </c>
      <c r="E564" t="str">
        <f>'ERP_AP7 Macro Failed'!H566</f>
        <v>Celonis AI/ML Workbench License</v>
      </c>
      <c r="F564" t="str">
        <f>'ERP_AP7 Macro Failed'!I566</f>
        <v>Celonis</v>
      </c>
      <c r="G564" t="str">
        <f>'ERP_AP7 Macro Failed'!K566</f>
        <v>IT-SFT1449-OG-US-00</v>
      </c>
      <c r="H564" s="487" t="e" cm="1">
        <f t="array" ref="H564">SUMPRODUCT((ERP[UID]=A564)*(ERP[AP01]+ERP[AP02]+ERP[AP03]+ERP[AP04]+ERP[AP05]))</f>
        <v>#VALUE!</v>
      </c>
      <c r="I564" s="487" cm="1">
        <f t="array" ref="I564">SUMPRODUCT((ERP[UID]=A564)*(ERP[AP01 LE2]+ERP[AP02 LE2]+ERP[AP03 LE2]+ERP[AP04 LE2]+ERP[AP05 LE2]))</f>
        <v>0</v>
      </c>
      <c r="J564" s="487">
        <f>'ERP_AP7 Macro Failed'!AL566</f>
        <v>0</v>
      </c>
      <c r="K564" t="str">
        <f t="shared" si="16"/>
        <v>Immaterial</v>
      </c>
      <c r="L564" t="str">
        <f t="shared" si="17"/>
        <v>No</v>
      </c>
    </row>
    <row r="565" spans="1:12">
      <c r="A565" t="str">
        <f>'ERP_AP7 Macro Failed'!A567</f>
        <v>N-ERP-619</v>
      </c>
      <c r="B565" t="str">
        <f>'ERP_AP7 Macro Failed'!D567</f>
        <v>Hase, Raj</v>
      </c>
      <c r="C565" t="str">
        <f>'ERP_AP7 Macro Failed'!E567</f>
        <v>Yeluri, Durga</v>
      </c>
      <c r="D565" t="str">
        <f>'ERP_AP7 Macro Failed'!G567</f>
        <v>SOFTWARE</v>
      </c>
      <c r="E565" t="str">
        <f>'ERP_AP7 Macro Failed'!H567</f>
        <v>Celonis AI/ML Workbench License (Pullforward Credit)</v>
      </c>
      <c r="F565" t="str">
        <f>'ERP_AP7 Macro Failed'!I567</f>
        <v>Celonis</v>
      </c>
      <c r="G565" t="str">
        <f>'ERP_AP7 Macro Failed'!K567</f>
        <v>IT-SFT1449-OG-US-00/PF</v>
      </c>
      <c r="H565" s="487" t="e" cm="1">
        <f t="array" ref="H565">SUMPRODUCT((ERP[UID]=A565)*(ERP[AP01]+ERP[AP02]+ERP[AP03]+ERP[AP04]+ERP[AP05]))</f>
        <v>#VALUE!</v>
      </c>
      <c r="I565" s="487" cm="1">
        <f t="array" ref="I565">SUMPRODUCT((ERP[UID]=A565)*(ERP[AP01 LE2]+ERP[AP02 LE2]+ERP[AP03 LE2]+ERP[AP04 LE2]+ERP[AP05 LE2]))</f>
        <v>0</v>
      </c>
      <c r="J565" s="487">
        <f>'ERP_AP7 Macro Failed'!AL567</f>
        <v>0</v>
      </c>
      <c r="K565" t="str">
        <f t="shared" si="16"/>
        <v>Immaterial</v>
      </c>
      <c r="L565" t="str">
        <f t="shared" si="17"/>
        <v>No</v>
      </c>
    </row>
    <row r="566" spans="1:12">
      <c r="A566" t="str">
        <f>'ERP_AP7 Macro Failed'!A568</f>
        <v>L-ERP-490</v>
      </c>
      <c r="B566" t="str">
        <f>'ERP_AP7 Macro Failed'!D568</f>
        <v>Robertson, Jerome</v>
      </c>
      <c r="C566" t="str">
        <f>'ERP_AP7 Macro Failed'!E568</f>
        <v>Robertson, Jerome</v>
      </c>
      <c r="D566" t="str">
        <f>'ERP_AP7 Macro Failed'!G568</f>
        <v>SOFTWARE</v>
      </c>
      <c r="E566" t="str">
        <f>'ERP_AP7 Macro Failed'!H568</f>
        <v>SAP BDC License</v>
      </c>
      <c r="F566">
        <f>'ERP_AP7 Macro Failed'!I568</f>
        <v>0</v>
      </c>
      <c r="G566" t="str">
        <f>'ERP_AP7 Macro Failed'!K568</f>
        <v>IT-SFT1453-OG-US-00</v>
      </c>
      <c r="H566" s="487" t="e" cm="1">
        <f t="array" ref="H566">SUMPRODUCT((ERP[UID]=A566)*(ERP[AP01]+ERP[AP02]+ERP[AP03]+ERP[AP04]+ERP[AP05]))</f>
        <v>#VALUE!</v>
      </c>
      <c r="I566" s="487" cm="1">
        <f t="array" ref="I566">SUMPRODUCT((ERP[UID]=A566)*(ERP[AP01 LE2]+ERP[AP02 LE2]+ERP[AP03 LE2]+ERP[AP04 LE2]+ERP[AP05 LE2]))</f>
        <v>156778.01999999999</v>
      </c>
      <c r="J566" s="487">
        <f>'ERP_AP7 Macro Failed'!AL568</f>
        <v>0</v>
      </c>
      <c r="K566" t="str">
        <f t="shared" si="16"/>
        <v>Immaterial</v>
      </c>
      <c r="L566" t="str">
        <f t="shared" si="17"/>
        <v>No</v>
      </c>
    </row>
    <row r="567" spans="1:12">
      <c r="A567" t="str">
        <f>'ERP_AP7 Macro Failed'!A569</f>
        <v>L-ERP-507</v>
      </c>
      <c r="B567" t="str">
        <f>'ERP_AP7 Macro Failed'!D569</f>
        <v>Dougherty, Chris</v>
      </c>
      <c r="C567" t="str">
        <f>'ERP_AP7 Macro Failed'!E569</f>
        <v>Tamavada, Ram</v>
      </c>
      <c r="D567" t="str">
        <f>'ERP_AP7 Macro Failed'!G569</f>
        <v>SOFTWARE</v>
      </c>
      <c r="E567" t="str">
        <f>'ERP_AP7 Macro Failed'!H569</f>
        <v>Infrastructure: Pfizer Pfynix AIOPS solution</v>
      </c>
      <c r="F567">
        <f>'ERP_AP7 Macro Failed'!I569</f>
        <v>0</v>
      </c>
      <c r="G567" t="str">
        <f>'ERP_AP7 Macro Failed'!K569</f>
        <v>IT-SFT1434-OG-US-00</v>
      </c>
      <c r="H567" s="487" t="e" cm="1">
        <f t="array" ref="H567">SUMPRODUCT((ERP[UID]=A567)*(ERP[AP01]+ERP[AP02]+ERP[AP03]+ERP[AP04]+ERP[AP05]))</f>
        <v>#VALUE!</v>
      </c>
      <c r="I567" s="487" cm="1">
        <f t="array" ref="I567">SUMPRODUCT((ERP[UID]=A567)*(ERP[AP01 LE2]+ERP[AP02 LE2]+ERP[AP03 LE2]+ERP[AP04 LE2]+ERP[AP05 LE2]))</f>
        <v>21098.22</v>
      </c>
      <c r="J567" s="487">
        <f>'ERP_AP7 Macro Failed'!AL569</f>
        <v>0</v>
      </c>
      <c r="K567" t="str">
        <f t="shared" si="16"/>
        <v>Immaterial</v>
      </c>
      <c r="L567" t="str">
        <f t="shared" si="17"/>
        <v>No</v>
      </c>
    </row>
    <row r="568" spans="1:12">
      <c r="A568" t="str">
        <f>'ERP_AP7 Macro Failed'!A570</f>
        <v>L-ERP-508</v>
      </c>
      <c r="B568" t="str">
        <f>'ERP_AP7 Macro Failed'!D570</f>
        <v>Dougherty, Chris</v>
      </c>
      <c r="C568" t="str">
        <f>'ERP_AP7 Macro Failed'!E570</f>
        <v>Tamavada, Ram</v>
      </c>
      <c r="D568" t="str">
        <f>'ERP_AP7 Macro Failed'!G570</f>
        <v>SOFTWARE</v>
      </c>
      <c r="E568" t="str">
        <f>'ERP_AP7 Macro Failed'!H570</f>
        <v>IBM: Pfynix AIOps - IBM Process Automation Manager</v>
      </c>
      <c r="F568">
        <f>'ERP_AP7 Macro Failed'!I570</f>
        <v>0</v>
      </c>
      <c r="G568" t="str">
        <f>'ERP_AP7 Macro Failed'!K570</f>
        <v>IT-SFT1441-OG-US-00</v>
      </c>
      <c r="H568" s="487" t="e" cm="1">
        <f t="array" ref="H568">SUMPRODUCT((ERP[UID]=A568)*(ERP[AP01]+ERP[AP02]+ERP[AP03]+ERP[AP04]+ERP[AP05]))</f>
        <v>#VALUE!</v>
      </c>
      <c r="I568" s="487" cm="1">
        <f t="array" ref="I568">SUMPRODUCT((ERP[UID]=A568)*(ERP[AP01 LE2]+ERP[AP02 LE2]+ERP[AP03 LE2]+ERP[AP04 LE2]+ERP[AP05 LE2]))</f>
        <v>0</v>
      </c>
      <c r="J568" s="487">
        <f>'ERP_AP7 Macro Failed'!AL570</f>
        <v>-35569</v>
      </c>
      <c r="K568" t="str">
        <f t="shared" si="16"/>
        <v>MATERIAL</v>
      </c>
      <c r="L568" t="str">
        <f t="shared" si="17"/>
        <v>YES</v>
      </c>
    </row>
    <row r="569" spans="1:12">
      <c r="A569" t="str">
        <f>'ERP_AP7 Macro Failed'!A571</f>
        <v>L-ERP-554</v>
      </c>
      <c r="B569" t="str">
        <f>'ERP_AP7 Macro Failed'!D571</f>
        <v>Hase, Raj</v>
      </c>
      <c r="C569" t="str">
        <f>'ERP_AP7 Macro Failed'!E571</f>
        <v>Vaidya, Sachin</v>
      </c>
      <c r="D569" t="str">
        <f>'ERP_AP7 Macro Failed'!G571</f>
        <v>CONTRACTORS</v>
      </c>
      <c r="E569" t="str">
        <f>'ERP_AP7 Macro Failed'!H571</f>
        <v>SAP Intelligent Service Cloud (ISC) Software and AI cost</v>
      </c>
      <c r="F569">
        <f>'ERP_AP7 Macro Failed'!I571</f>
        <v>0</v>
      </c>
      <c r="G569" t="str">
        <f>'ERP_AP7 Macro Failed'!K571</f>
        <v>IT-SFT1458-OG-US-00</v>
      </c>
      <c r="H569" s="487" t="e" cm="1">
        <f t="array" ref="H569">SUMPRODUCT((ERP[UID]=A569)*(ERP[AP01]+ERP[AP02]+ERP[AP03]+ERP[AP04]+ERP[AP05]))</f>
        <v>#VALUE!</v>
      </c>
      <c r="I569" s="487" cm="1">
        <f t="array" ref="I569">SUMPRODUCT((ERP[UID]=A569)*(ERP[AP01 LE2]+ERP[AP02 LE2]+ERP[AP03 LE2]+ERP[AP04 LE2]+ERP[AP05 LE2]))</f>
        <v>0</v>
      </c>
      <c r="J569" s="487">
        <f>'ERP_AP7 Macro Failed'!AL571</f>
        <v>0</v>
      </c>
      <c r="K569" t="str">
        <f t="shared" si="16"/>
        <v>Immaterial</v>
      </c>
      <c r="L569" t="str">
        <f t="shared" si="17"/>
        <v>No</v>
      </c>
    </row>
    <row r="570" spans="1:12">
      <c r="A570" t="str">
        <f>'ERP_AP7 Macro Failed'!A572</f>
        <v>L-ERP-560</v>
      </c>
      <c r="B570" t="str">
        <f>'ERP_AP7 Macro Failed'!D572</f>
        <v>Hase, Raj</v>
      </c>
      <c r="C570" t="str">
        <f>'ERP_AP7 Macro Failed'!E572</f>
        <v>Vaidya, Sachin</v>
      </c>
      <c r="D570" t="str">
        <f>'ERP_AP7 Macro Failed'!G572</f>
        <v>SOFTWARE</v>
      </c>
      <c r="E570" t="str">
        <f>'ERP_AP7 Macro Failed'!H572</f>
        <v>SAP Intelligent Service Cloud (ISC) Software and AI cost</v>
      </c>
      <c r="F570">
        <f>'ERP_AP7 Macro Failed'!I572</f>
        <v>0</v>
      </c>
      <c r="G570" t="str">
        <f>'ERP_AP7 Macro Failed'!K572</f>
        <v>IT-SFT1458-OG-US-00</v>
      </c>
      <c r="H570" s="487" t="e" cm="1">
        <f t="array" ref="H570">SUMPRODUCT((ERP[UID]=A570)*(ERP[AP01]+ERP[AP02]+ERP[AP03]+ERP[AP04]+ERP[AP05]))</f>
        <v>#VALUE!</v>
      </c>
      <c r="I570" s="487" cm="1">
        <f t="array" ref="I570">SUMPRODUCT((ERP[UID]=A570)*(ERP[AP01 LE2]+ERP[AP02 LE2]+ERP[AP03 LE2]+ERP[AP04 LE2]+ERP[AP05 LE2]))</f>
        <v>304987.09999999998</v>
      </c>
      <c r="J570" s="487">
        <f>'ERP_AP7 Macro Failed'!AL572</f>
        <v>0</v>
      </c>
      <c r="K570" t="str">
        <f t="shared" si="16"/>
        <v>Immaterial</v>
      </c>
      <c r="L570" t="str">
        <f t="shared" si="17"/>
        <v>No</v>
      </c>
    </row>
    <row r="571" spans="1:12">
      <c r="A571" t="str">
        <f>'ERP_AP7 Macro Failed'!A573</f>
        <v>L-ERP-555</v>
      </c>
      <c r="B571" t="str">
        <f>'ERP_AP7 Macro Failed'!D573</f>
        <v>Hase, Raj</v>
      </c>
      <c r="C571" t="str">
        <f>'ERP_AP7 Macro Failed'!E573</f>
        <v>Vaidya, Sachin</v>
      </c>
      <c r="D571" t="str">
        <f>'ERP_AP7 Macro Failed'!G573</f>
        <v>CONTRACTORS</v>
      </c>
      <c r="E571" t="str">
        <f>'ERP_AP7 Macro Failed'!H573</f>
        <v>Conexiom Software and Support cost</v>
      </c>
      <c r="F571">
        <f>'ERP_AP7 Macro Failed'!I573</f>
        <v>0</v>
      </c>
      <c r="G571" t="str">
        <f>'ERP_AP7 Macro Failed'!K573</f>
        <v>IT-SFT1459-OG-US-00</v>
      </c>
      <c r="H571" s="487" t="e" cm="1">
        <f t="array" ref="H571">SUMPRODUCT((ERP[UID]=A571)*(ERP[AP01]+ERP[AP02]+ERP[AP03]+ERP[AP04]+ERP[AP05]))</f>
        <v>#VALUE!</v>
      </c>
      <c r="I571" s="487" cm="1">
        <f t="array" ref="I571">SUMPRODUCT((ERP[UID]=A571)*(ERP[AP01 LE2]+ERP[AP02 LE2]+ERP[AP03 LE2]+ERP[AP04 LE2]+ERP[AP05 LE2]))</f>
        <v>0</v>
      </c>
      <c r="J571" s="487">
        <f>'ERP_AP7 Macro Failed'!AL573</f>
        <v>9981.0499999999993</v>
      </c>
      <c r="K571" t="str">
        <f t="shared" si="16"/>
        <v>Minor</v>
      </c>
      <c r="L571" t="str">
        <f t="shared" si="17"/>
        <v>No</v>
      </c>
    </row>
    <row r="572" spans="1:12">
      <c r="A572" t="str">
        <f>'ERP_AP7 Macro Failed'!A574</f>
        <v>L-ERP-561</v>
      </c>
      <c r="B572" t="str">
        <f>'ERP_AP7 Macro Failed'!D574</f>
        <v>Hase, Raj</v>
      </c>
      <c r="C572" t="str">
        <f>'ERP_AP7 Macro Failed'!E574</f>
        <v>Vaidya, Sachin</v>
      </c>
      <c r="D572" t="str">
        <f>'ERP_AP7 Macro Failed'!G574</f>
        <v>SOFTWARE</v>
      </c>
      <c r="E572" t="str">
        <f>'ERP_AP7 Macro Failed'!H574</f>
        <v>Conexiom Software and Support cost</v>
      </c>
      <c r="F572">
        <f>'ERP_AP7 Macro Failed'!I574</f>
        <v>0</v>
      </c>
      <c r="G572" t="str">
        <f>'ERP_AP7 Macro Failed'!K574</f>
        <v>IT-SFT1459-OG-US-00</v>
      </c>
      <c r="H572" s="487" t="e" cm="1">
        <f t="array" ref="H572">SUMPRODUCT((ERP[UID]=A572)*(ERP[AP01]+ERP[AP02]+ERP[AP03]+ERP[AP04]+ERP[AP05]))</f>
        <v>#VALUE!</v>
      </c>
      <c r="I572" s="487" cm="1">
        <f t="array" ref="I572">SUMPRODUCT((ERP[UID]=A572)*(ERP[AP01 LE2]+ERP[AP02 LE2]+ERP[AP03 LE2]+ERP[AP04 LE2]+ERP[AP05 LE2]))</f>
        <v>331000</v>
      </c>
      <c r="J572" s="487">
        <f>'ERP_AP7 Macro Failed'!AL574</f>
        <v>-81000</v>
      </c>
      <c r="K572" t="str">
        <f t="shared" si="16"/>
        <v>MATERIAL</v>
      </c>
      <c r="L572" t="str">
        <f t="shared" si="17"/>
        <v>YES</v>
      </c>
    </row>
    <row r="573" spans="1:12">
      <c r="A573" t="str">
        <f>'ERP_AP7 Macro Failed'!A575</f>
        <v>L-ERP-562</v>
      </c>
      <c r="B573" t="str">
        <f>'ERP_AP7 Macro Failed'!D575</f>
        <v>Hase, Raj</v>
      </c>
      <c r="C573" t="str">
        <f>'ERP_AP7 Macro Failed'!E575</f>
        <v>Vaidya, Sachin</v>
      </c>
      <c r="D573" t="str">
        <f>'ERP_AP7 Macro Failed'!G575</f>
        <v>SOFTWARE</v>
      </c>
      <c r="E573" t="str">
        <f>'ERP_AP7 Macro Failed'!H575</f>
        <v>Kazakhstan Legal Entity in SAP - Edicom Connection Fees</v>
      </c>
      <c r="F573">
        <f>'ERP_AP7 Macro Failed'!I575</f>
        <v>0</v>
      </c>
      <c r="G573" t="str">
        <f>'ERP_AP7 Macro Failed'!K575</f>
        <v>IT-SFT1461-OG-US-00</v>
      </c>
      <c r="H573" s="487" t="e" cm="1">
        <f t="array" ref="H573">SUMPRODUCT((ERP[UID]=A573)*(ERP[AP01]+ERP[AP02]+ERP[AP03]+ERP[AP04]+ERP[AP05]))</f>
        <v>#VALUE!</v>
      </c>
      <c r="I573" s="487" cm="1">
        <f t="array" ref="I573">SUMPRODUCT((ERP[UID]=A573)*(ERP[AP01 LE2]+ERP[AP02 LE2]+ERP[AP03 LE2]+ERP[AP04 LE2]+ERP[AP05 LE2]))</f>
        <v>0</v>
      </c>
      <c r="J573" s="487">
        <f>'ERP_AP7 Macro Failed'!AL575</f>
        <v>0</v>
      </c>
      <c r="K573" t="str">
        <f t="shared" si="16"/>
        <v>Immaterial</v>
      </c>
      <c r="L573" t="str">
        <f t="shared" si="17"/>
        <v>No</v>
      </c>
    </row>
    <row r="574" spans="1:12">
      <c r="A574" t="str">
        <f>'ERP_AP7 Macro Failed'!A576</f>
        <v>N-ERP-617</v>
      </c>
      <c r="B574" t="str">
        <f>'ERP_AP7 Macro Failed'!D576</f>
        <v>Hase, Raj</v>
      </c>
      <c r="C574" t="str">
        <f>'ERP_AP7 Macro Failed'!E576</f>
        <v>Vaidya, Sachin</v>
      </c>
      <c r="D574" t="str">
        <f>'ERP_AP7 Macro Failed'!G576</f>
        <v>SOFTWARE</v>
      </c>
      <c r="E574" t="str">
        <f>'ERP_AP7 Macro Failed'!H576</f>
        <v>SAP Intelligent Service Cloud - IBM BTAMS support costs (1 FTE)</v>
      </c>
      <c r="F574">
        <f>'ERP_AP7 Macro Failed'!I576</f>
        <v>0</v>
      </c>
      <c r="G574" t="str">
        <f>'ERP_AP7 Macro Failed'!K576</f>
        <v>IT-SFT1462-OG-US-00</v>
      </c>
      <c r="H574" s="487" t="e" cm="1">
        <f t="array" ref="H574">SUMPRODUCT((ERP[UID]=A574)*(ERP[AP01]+ERP[AP02]+ERP[AP03]+ERP[AP04]+ERP[AP05]))</f>
        <v>#VALUE!</v>
      </c>
      <c r="I574" s="487" cm="1">
        <f t="array" ref="I574">SUMPRODUCT((ERP[UID]=A574)*(ERP[AP01 LE2]+ERP[AP02 LE2]+ERP[AP03 LE2]+ERP[AP04 LE2]+ERP[AP05 LE2]))</f>
        <v>0</v>
      </c>
      <c r="J574" s="487">
        <f>'ERP_AP7 Macro Failed'!AL576</f>
        <v>0</v>
      </c>
      <c r="K574" t="str">
        <f t="shared" si="16"/>
        <v>Immaterial</v>
      </c>
      <c r="L574" t="str">
        <f t="shared" si="17"/>
        <v>No</v>
      </c>
    </row>
    <row r="575" spans="1:12">
      <c r="A575" t="str">
        <f>'ERP_AP7 Macro Failed'!A577</f>
        <v>L-ERP-256</v>
      </c>
      <c r="B575" t="str">
        <f>'ERP_AP7 Macro Failed'!D577</f>
        <v>Hase, Raj</v>
      </c>
      <c r="C575" t="str">
        <f>'ERP_AP7 Macro Failed'!E577</f>
        <v>Jajodia, Amit</v>
      </c>
      <c r="D575" t="str">
        <f>'ERP_AP7 Macro Failed'!G577</f>
        <v>RENT AND UTILITIES</v>
      </c>
      <c r="E575" t="str">
        <f>'ERP_AP7 Macro Failed'!H577</f>
        <v>Company Car - Canada - Jean Francois Bouthillier (vehicle number on Fleet Billing) 23227</v>
      </c>
      <c r="F575">
        <f>'ERP_AP7 Macro Failed'!I577</f>
        <v>0</v>
      </c>
      <c r="G575" t="str">
        <f>'ERP_AP7 Macro Failed'!K577</f>
        <v>KM_CompanyCar001</v>
      </c>
      <c r="H575" s="487" t="e" cm="1">
        <f t="array" ref="H575">SUMPRODUCT((ERP[UID]=A575)*(ERP[AP01]+ERP[AP02]+ERP[AP03]+ERP[AP04]+ERP[AP05]))</f>
        <v>#VALUE!</v>
      </c>
      <c r="I575" s="487" cm="1">
        <f t="array" ref="I575">SUMPRODUCT((ERP[UID]=A575)*(ERP[AP01 LE2]+ERP[AP02 LE2]+ERP[AP03 LE2]+ERP[AP04 LE2]+ERP[AP05 LE2]))</f>
        <v>5076.84</v>
      </c>
      <c r="J575" s="487">
        <f>'ERP_AP7 Macro Failed'!AL577</f>
        <v>-4250</v>
      </c>
      <c r="K575" t="str">
        <f t="shared" si="16"/>
        <v>Minor</v>
      </c>
      <c r="L575" t="str">
        <f t="shared" si="17"/>
        <v>No</v>
      </c>
    </row>
    <row r="576" spans="1:12">
      <c r="A576" t="str">
        <f>'ERP_AP7 Macro Failed'!A578</f>
        <v>ERP-039</v>
      </c>
      <c r="B576" t="str">
        <f>'ERP_AP7 Macro Failed'!D578</f>
        <v>Hase, Raj</v>
      </c>
      <c r="C576" t="str">
        <f>'ERP_AP7 Macro Failed'!E578</f>
        <v>Hase, Raj</v>
      </c>
      <c r="D576" t="str">
        <f>'ERP_AP7 Macro Failed'!G578</f>
        <v>CONTRACTORS</v>
      </c>
      <c r="E576" t="str">
        <f>'ERP_AP7 Macro Failed'!H578</f>
        <v>Miscellaneous Charges</v>
      </c>
      <c r="F576">
        <f>'ERP_AP7 Macro Failed'!I578</f>
        <v>0</v>
      </c>
      <c r="G576" t="str">
        <f>'ERP_AP7 Macro Failed'!K578</f>
        <v>MISC001</v>
      </c>
      <c r="H576" s="487" t="e" cm="1">
        <f t="array" ref="H576">SUMPRODUCT((ERP[UID]=A576)*(ERP[AP01]+ERP[AP02]+ERP[AP03]+ERP[AP04]+ERP[AP05]))</f>
        <v>#VALUE!</v>
      </c>
      <c r="I576" s="487" cm="1">
        <f t="array" ref="I576">SUMPRODUCT((ERP[UID]=A576)*(ERP[AP01 LE2]+ERP[AP02 LE2]+ERP[AP03 LE2]+ERP[AP04 LE2]+ERP[AP05 LE2]))</f>
        <v>0</v>
      </c>
      <c r="J576" s="487">
        <f>'ERP_AP7 Macro Failed'!AL578</f>
        <v>0</v>
      </c>
      <c r="K576" t="str">
        <f t="shared" si="16"/>
        <v>Immaterial</v>
      </c>
      <c r="L576" t="str">
        <f t="shared" si="17"/>
        <v>No</v>
      </c>
    </row>
    <row r="577" spans="1:12">
      <c r="A577" t="str">
        <f>'ERP_AP7 Macro Failed'!A579</f>
        <v>ERP-040</v>
      </c>
      <c r="B577" t="str">
        <f>'ERP_AP7 Macro Failed'!D579</f>
        <v>Hase, Raj</v>
      </c>
      <c r="C577" t="str">
        <f>'ERP_AP7 Macro Failed'!E579</f>
        <v>Hovanyetz, Mike</v>
      </c>
      <c r="D577" t="str">
        <f>'ERP_AP7 Macro Failed'!G579</f>
        <v>CONTRACTORS</v>
      </c>
      <c r="E577" t="str">
        <f>'ERP_AP7 Macro Failed'!H579</f>
        <v>Miscellaneous Charges</v>
      </c>
      <c r="F577">
        <f>'ERP_AP7 Macro Failed'!I579</f>
        <v>0</v>
      </c>
      <c r="G577" t="str">
        <f>'ERP_AP7 Macro Failed'!K579</f>
        <v>MISC001</v>
      </c>
      <c r="H577" s="487" t="e" cm="1">
        <f t="array" ref="H577">SUMPRODUCT((ERP[UID]=A577)*(ERP[AP01]+ERP[AP02]+ERP[AP03]+ERP[AP04]+ERP[AP05]))</f>
        <v>#VALUE!</v>
      </c>
      <c r="I577" s="487" cm="1">
        <f t="array" ref="I577">SUMPRODUCT((ERP[UID]=A577)*(ERP[AP01 LE2]+ERP[AP02 LE2]+ERP[AP03 LE2]+ERP[AP04 LE2]+ERP[AP05 LE2]))</f>
        <v>0</v>
      </c>
      <c r="J577" s="487">
        <f>'ERP_AP7 Macro Failed'!AL579</f>
        <v>0</v>
      </c>
      <c r="K577" t="str">
        <f t="shared" si="16"/>
        <v>Immaterial</v>
      </c>
      <c r="L577" t="str">
        <f t="shared" si="17"/>
        <v>No</v>
      </c>
    </row>
    <row r="578" spans="1:12">
      <c r="A578" t="str">
        <f>'ERP_AP7 Macro Failed'!A580</f>
        <v>ERP-047</v>
      </c>
      <c r="B578" t="str">
        <f>'ERP_AP7 Macro Failed'!D580</f>
        <v>McGettigan, David</v>
      </c>
      <c r="C578" t="str">
        <f>'ERP_AP7 Macro Failed'!E580</f>
        <v>McGettigan, David</v>
      </c>
      <c r="D578" t="str">
        <f>'ERP_AP7 Macro Failed'!G580</f>
        <v>RENT AND UTILITIES</v>
      </c>
      <c r="E578" t="str">
        <f>'ERP_AP7 Macro Failed'!H580</f>
        <v>Miscellaneous Charges</v>
      </c>
      <c r="F578">
        <f>'ERP_AP7 Macro Failed'!I580</f>
        <v>0</v>
      </c>
      <c r="G578" t="str">
        <f>'ERP_AP7 Macro Failed'!K580</f>
        <v>MISC001</v>
      </c>
      <c r="H578" s="487" t="e" cm="1">
        <f t="array" ref="H578">SUMPRODUCT((ERP[UID]=A578)*(ERP[AP01]+ERP[AP02]+ERP[AP03]+ERP[AP04]+ERP[AP05]))</f>
        <v>#VALUE!</v>
      </c>
      <c r="I578" s="487" cm="1">
        <f t="array" ref="I578">SUMPRODUCT((ERP[UID]=A578)*(ERP[AP01 LE2]+ERP[AP02 LE2]+ERP[AP03 LE2]+ERP[AP04 LE2]+ERP[AP05 LE2]))</f>
        <v>0</v>
      </c>
      <c r="J578" s="487">
        <f>'ERP_AP7 Macro Failed'!AL580</f>
        <v>0</v>
      </c>
      <c r="K578" t="str">
        <f t="shared" si="16"/>
        <v>Immaterial</v>
      </c>
      <c r="L578" t="str">
        <f t="shared" si="17"/>
        <v>No</v>
      </c>
    </row>
    <row r="579" spans="1:12">
      <c r="A579" t="str">
        <f>'ERP_AP7 Macro Failed'!A581</f>
        <v>ERP-052</v>
      </c>
      <c r="B579" t="str">
        <f>'ERP_AP7 Macro Failed'!D581</f>
        <v>Hase, Raj</v>
      </c>
      <c r="C579" t="str">
        <f>'ERP_AP7 Macro Failed'!E581</f>
        <v>Vaidya, Sachin</v>
      </c>
      <c r="D579" t="str">
        <f>'ERP_AP7 Macro Failed'!G581</f>
        <v>MANAGED SERVICES</v>
      </c>
      <c r="E579" t="str">
        <f>'ERP_AP7 Macro Failed'!H581</f>
        <v>Miscellaneous Charges</v>
      </c>
      <c r="F579">
        <f>'ERP_AP7 Macro Failed'!I581</f>
        <v>0</v>
      </c>
      <c r="G579" t="str">
        <f>'ERP_AP7 Macro Failed'!K581</f>
        <v>MISC001</v>
      </c>
      <c r="H579" s="487" t="e" cm="1">
        <f t="array" ref="H579">SUMPRODUCT((ERP[UID]=A579)*(ERP[AP01]+ERP[AP02]+ERP[AP03]+ERP[AP04]+ERP[AP05]))</f>
        <v>#VALUE!</v>
      </c>
      <c r="I579" s="487" cm="1">
        <f t="array" ref="I579">SUMPRODUCT((ERP[UID]=A579)*(ERP[AP01 LE2]+ERP[AP02 LE2]+ERP[AP03 LE2]+ERP[AP04 LE2]+ERP[AP05 LE2]))</f>
        <v>0</v>
      </c>
      <c r="J579" s="487">
        <f>'ERP_AP7 Macro Failed'!AL581</f>
        <v>0</v>
      </c>
      <c r="K579" t="str">
        <f t="shared" si="16"/>
        <v>Immaterial</v>
      </c>
      <c r="L579" t="str">
        <f t="shared" si="17"/>
        <v>No</v>
      </c>
    </row>
    <row r="580" spans="1:12">
      <c r="A580" t="str">
        <f>'ERP_AP7 Macro Failed'!A582</f>
        <v>L-ERP-099</v>
      </c>
      <c r="B580" t="str">
        <f>'ERP_AP7 Macro Failed'!D582</f>
        <v>Dougherty, Chris</v>
      </c>
      <c r="C580" t="str">
        <f>'ERP_AP7 Macro Failed'!E582</f>
        <v>Dougherty, Chris</v>
      </c>
      <c r="D580" t="str">
        <f>'ERP_AP7 Macro Failed'!G582</f>
        <v>SOFTWARE</v>
      </c>
      <c r="E580" t="str">
        <f>'ERP_AP7 Macro Failed'!H582</f>
        <v>ESC/AIS APP &amp; Platform Support: Software</v>
      </c>
      <c r="F580">
        <f>'ERP_AP7 Macro Failed'!I582</f>
        <v>0</v>
      </c>
      <c r="G580" t="str">
        <f>'ERP_AP7 Macro Failed'!K582</f>
        <v>IT-SFT1445-OG-US-00</v>
      </c>
      <c r="H580" s="487" t="e" cm="1">
        <f t="array" ref="H580">SUMPRODUCT((ERP[UID]=A580)*(ERP[AP01]+ERP[AP02]+ERP[AP03]+ERP[AP04]+ERP[AP05]))</f>
        <v>#VALUE!</v>
      </c>
      <c r="I580" s="487" cm="1">
        <f t="array" ref="I580">SUMPRODUCT((ERP[UID]=A580)*(ERP[AP01 LE2]+ERP[AP02 LE2]+ERP[AP03 LE2]+ERP[AP04 LE2]+ERP[AP05 LE2]))</f>
        <v>0</v>
      </c>
      <c r="J580" s="487">
        <f>'ERP_AP7 Macro Failed'!AL582</f>
        <v>0</v>
      </c>
      <c r="K580" t="str">
        <f t="shared" si="16"/>
        <v>Immaterial</v>
      </c>
      <c r="L580" t="str">
        <f t="shared" si="17"/>
        <v>No</v>
      </c>
    </row>
    <row r="581" spans="1:12">
      <c r="A581" t="str">
        <f>'ERP_AP7 Macro Failed'!A583</f>
        <v>L-ERP-019</v>
      </c>
      <c r="B581" t="str">
        <f>'ERP_AP7 Macro Failed'!D583</f>
        <v>Hase, Raj</v>
      </c>
      <c r="C581" t="str">
        <f>'ERP_AP7 Macro Failed'!E583</f>
        <v>DeHart, Lynn</v>
      </c>
      <c r="D581" t="str">
        <f>'ERP_AP7 Macro Failed'!G583</f>
        <v>CONTRACTORS</v>
      </c>
      <c r="E581" t="str">
        <f>'ERP_AP7 Macro Failed'!H583</f>
        <v>Miscellaneous Charges</v>
      </c>
      <c r="F581">
        <f>'ERP_AP7 Macro Failed'!I583</f>
        <v>0</v>
      </c>
      <c r="G581" t="str">
        <f>'ERP_AP7 Macro Failed'!K583</f>
        <v>MISC001</v>
      </c>
      <c r="H581" s="487" t="e" cm="1">
        <f t="array" ref="H581">SUMPRODUCT((ERP[UID]=A581)*(ERP[AP01]+ERP[AP02]+ERP[AP03]+ERP[AP04]+ERP[AP05]))</f>
        <v>#VALUE!</v>
      </c>
      <c r="I581" s="487" cm="1">
        <f t="array" ref="I581">SUMPRODUCT((ERP[UID]=A581)*(ERP[AP01 LE2]+ERP[AP02 LE2]+ERP[AP03 LE2]+ERP[AP04 LE2]+ERP[AP05 LE2]))</f>
        <v>19969.14</v>
      </c>
      <c r="J581" s="487">
        <f>'ERP_AP7 Macro Failed'!AL583</f>
        <v>49094.749999999985</v>
      </c>
      <c r="K581" t="str">
        <f t="shared" si="16"/>
        <v>MATERIAL</v>
      </c>
      <c r="L581" t="str">
        <f t="shared" si="17"/>
        <v>YES</v>
      </c>
    </row>
    <row r="582" spans="1:12">
      <c r="A582" t="str">
        <f>'ERP_AP7 Macro Failed'!A584</f>
        <v>L-ERP-022</v>
      </c>
      <c r="B582" t="str">
        <f>'ERP_AP7 Macro Failed'!D584</f>
        <v>Hase, Raj</v>
      </c>
      <c r="C582" t="str">
        <f>'ERP_AP7 Macro Failed'!E584</f>
        <v>DeHart, Lynn</v>
      </c>
      <c r="D582" t="str">
        <f>'ERP_AP7 Macro Failed'!G584</f>
        <v>HW MAINTENANCE</v>
      </c>
      <c r="E582" t="str">
        <f>'ERP_AP7 Macro Failed'!H584</f>
        <v>Miscellaneous Charges</v>
      </c>
      <c r="F582">
        <f>'ERP_AP7 Macro Failed'!I584</f>
        <v>0</v>
      </c>
      <c r="G582" t="str">
        <f>'ERP_AP7 Macro Failed'!K584</f>
        <v>MISC001</v>
      </c>
      <c r="H582" s="487" t="e" cm="1">
        <f t="array" ref="H582">SUMPRODUCT((ERP[UID]=A582)*(ERP[AP01]+ERP[AP02]+ERP[AP03]+ERP[AP04]+ERP[AP05]))</f>
        <v>#VALUE!</v>
      </c>
      <c r="I582" s="487" cm="1">
        <f t="array" ref="I582">SUMPRODUCT((ERP[UID]=A582)*(ERP[AP01 LE2]+ERP[AP02 LE2]+ERP[AP03 LE2]+ERP[AP04 LE2]+ERP[AP05 LE2]))</f>
        <v>835.42000000000007</v>
      </c>
      <c r="J582" s="487">
        <f>'ERP_AP7 Macro Failed'!AL584</f>
        <v>2499.3199999999997</v>
      </c>
      <c r="K582" t="str">
        <f t="shared" ref="K582:K645" si="18">IF(ABS(J582)&gt;=10000,"MATERIAL",IF(ABS(J582)&gt;=1000,"Minor","Immaterial"))</f>
        <v>Minor</v>
      </c>
      <c r="L582" t="str">
        <f t="shared" ref="L582:L645" si="19">IF(ABS(J582)&gt;=10000,"YES","No")</f>
        <v>No</v>
      </c>
    </row>
    <row r="583" spans="1:12">
      <c r="A583" t="str">
        <f>'ERP_AP7 Macro Failed'!A585</f>
        <v>L-ERP-026</v>
      </c>
      <c r="B583" t="str">
        <f>'ERP_AP7 Macro Failed'!D585</f>
        <v>Hase, Raj</v>
      </c>
      <c r="C583" t="str">
        <f>'ERP_AP7 Macro Failed'!E585</f>
        <v>DeHart, Lynn</v>
      </c>
      <c r="D583" t="str">
        <f>'ERP_AP7 Macro Failed'!G585</f>
        <v>MANAGED SERVICES</v>
      </c>
      <c r="E583" t="str">
        <f>'ERP_AP7 Macro Failed'!H585</f>
        <v>Miscellaneous Charges</v>
      </c>
      <c r="F583">
        <f>'ERP_AP7 Macro Failed'!I585</f>
        <v>0</v>
      </c>
      <c r="G583" t="str">
        <f>'ERP_AP7 Macro Failed'!K585</f>
        <v>MISC001</v>
      </c>
      <c r="H583" s="487" t="e" cm="1">
        <f t="array" ref="H583">SUMPRODUCT((ERP[UID]=A583)*(ERP[AP01]+ERP[AP02]+ERP[AP03]+ERP[AP04]+ERP[AP05]))</f>
        <v>#VALUE!</v>
      </c>
      <c r="I583" s="487" cm="1">
        <f t="array" ref="I583">SUMPRODUCT((ERP[UID]=A583)*(ERP[AP01 LE2]+ERP[AP02 LE2]+ERP[AP03 LE2]+ERP[AP04 LE2]+ERP[AP05 LE2]))</f>
        <v>-991.60999999999967</v>
      </c>
      <c r="J583" s="487">
        <f>'ERP_AP7 Macro Failed'!AL585</f>
        <v>5589.53</v>
      </c>
      <c r="K583" t="str">
        <f t="shared" si="18"/>
        <v>Minor</v>
      </c>
      <c r="L583" t="str">
        <f t="shared" si="19"/>
        <v>No</v>
      </c>
    </row>
    <row r="584" spans="1:12">
      <c r="A584" t="str">
        <f>'ERP_AP7 Macro Failed'!A586</f>
        <v>L-ERP-032</v>
      </c>
      <c r="B584" t="str">
        <f>'ERP_AP7 Macro Failed'!D586</f>
        <v>Hase, Raj</v>
      </c>
      <c r="C584" t="str">
        <f>'ERP_AP7 Macro Failed'!E586</f>
        <v>DeHart, Lynn</v>
      </c>
      <c r="D584" t="str">
        <f>'ERP_AP7 Macro Failed'!G586</f>
        <v>RENT AND UTILITIES</v>
      </c>
      <c r="E584" t="str">
        <f>'ERP_AP7 Macro Failed'!H586</f>
        <v>Miscellaneous Charges</v>
      </c>
      <c r="F584">
        <f>'ERP_AP7 Macro Failed'!I586</f>
        <v>0</v>
      </c>
      <c r="G584" t="str">
        <f>'ERP_AP7 Macro Failed'!K586</f>
        <v>MISC001</v>
      </c>
      <c r="H584" s="487" t="e" cm="1">
        <f t="array" ref="H584">SUMPRODUCT((ERP[UID]=A584)*(ERP[AP01]+ERP[AP02]+ERP[AP03]+ERP[AP04]+ERP[AP05]))</f>
        <v>#VALUE!</v>
      </c>
      <c r="I584" s="487" cm="1">
        <f t="array" ref="I584">SUMPRODUCT((ERP[UID]=A584)*(ERP[AP01 LE2]+ERP[AP02 LE2]+ERP[AP03 LE2]+ERP[AP04 LE2]+ERP[AP05 LE2]))</f>
        <v>7191.02</v>
      </c>
      <c r="J584" s="487">
        <f>'ERP_AP7 Macro Failed'!AL586</f>
        <v>237.80000000000018</v>
      </c>
      <c r="K584" t="str">
        <f t="shared" si="18"/>
        <v>Immaterial</v>
      </c>
      <c r="L584" t="str">
        <f t="shared" si="19"/>
        <v>No</v>
      </c>
    </row>
    <row r="585" spans="1:12">
      <c r="A585" t="str">
        <f>'ERP_AP7 Macro Failed'!A587</f>
        <v>L-ERP-038</v>
      </c>
      <c r="B585" t="str">
        <f>'ERP_AP7 Macro Failed'!D587</f>
        <v>Hase, Raj</v>
      </c>
      <c r="C585" t="str">
        <f>'ERP_AP7 Macro Failed'!E587</f>
        <v>DeHart, Lynn</v>
      </c>
      <c r="D585" t="str">
        <f>'ERP_AP7 Macro Failed'!G587</f>
        <v>SOFTWARE</v>
      </c>
      <c r="E585" t="str">
        <f>'ERP_AP7 Macro Failed'!H587</f>
        <v>Miscellaneous Charges</v>
      </c>
      <c r="F585">
        <f>'ERP_AP7 Macro Failed'!I587</f>
        <v>0</v>
      </c>
      <c r="G585" t="str">
        <f>'ERP_AP7 Macro Failed'!K587</f>
        <v>MISC001</v>
      </c>
      <c r="H585" s="487" t="e" cm="1">
        <f t="array" ref="H585">SUMPRODUCT((ERP[UID]=A585)*(ERP[AP01]+ERP[AP02]+ERP[AP03]+ERP[AP04]+ERP[AP05]))</f>
        <v>#VALUE!</v>
      </c>
      <c r="I585" s="487" cm="1">
        <f t="array" ref="I585">SUMPRODUCT((ERP[UID]=A585)*(ERP[AP01 LE2]+ERP[AP02 LE2]+ERP[AP03 LE2]+ERP[AP04 LE2]+ERP[AP05 LE2]))</f>
        <v>2702.75</v>
      </c>
      <c r="J585" s="487">
        <f>'ERP_AP7 Macro Failed'!AL587</f>
        <v>49.399999999999636</v>
      </c>
      <c r="K585" t="str">
        <f t="shared" si="18"/>
        <v>Immaterial</v>
      </c>
      <c r="L585" t="str">
        <f t="shared" si="19"/>
        <v>No</v>
      </c>
    </row>
    <row r="586" spans="1:12">
      <c r="A586" t="str">
        <f>'ERP_AP7 Macro Failed'!A588</f>
        <v>N-ERP-555</v>
      </c>
      <c r="B586" t="str">
        <f>'ERP_AP7 Macro Failed'!D588</f>
        <v>Dougherty, Chris</v>
      </c>
      <c r="C586" t="str">
        <f>'ERP_AP7 Macro Failed'!E588</f>
        <v>Dougherty, Chris</v>
      </c>
      <c r="D586" t="str">
        <f>'ERP_AP7 Macro Failed'!G588</f>
        <v>SOFTWARE</v>
      </c>
      <c r="E586" t="str">
        <f>'ERP_AP7 Macro Failed'!H588</f>
        <v>SAP DI New Contract</v>
      </c>
      <c r="F586" t="str">
        <f>'ERP_AP7 Macro Failed'!I588</f>
        <v>SAP AMERICA INC</v>
      </c>
      <c r="G586" t="str">
        <f>'ERP_AP7 Macro Failed'!K588</f>
        <v>IT-SFT1457-OG-US-00</v>
      </c>
      <c r="H586" s="487" t="e" cm="1">
        <f t="array" ref="H586">SUMPRODUCT((ERP[UID]=A586)*(ERP[AP01]+ERP[AP02]+ERP[AP03]+ERP[AP04]+ERP[AP05]))</f>
        <v>#VALUE!</v>
      </c>
      <c r="I586" s="487" cm="1">
        <f t="array" ref="I586">SUMPRODUCT((ERP[UID]=A586)*(ERP[AP01 LE2]+ERP[AP02 LE2]+ERP[AP03 LE2]+ERP[AP04 LE2]+ERP[AP05 LE2]))</f>
        <v>0</v>
      </c>
      <c r="J586" s="487">
        <f>'ERP_AP7 Macro Failed'!AL588</f>
        <v>0</v>
      </c>
      <c r="K586" t="str">
        <f t="shared" si="18"/>
        <v>Immaterial</v>
      </c>
      <c r="L586" t="str">
        <f t="shared" si="19"/>
        <v>No</v>
      </c>
    </row>
    <row r="587" spans="1:12">
      <c r="A587" t="str">
        <f>'ERP_AP7 Macro Failed'!A589</f>
        <v>N-ERP-556</v>
      </c>
      <c r="B587" t="str">
        <f>'ERP_AP7 Macro Failed'!D589</f>
        <v>Dougherty, Chris</v>
      </c>
      <c r="C587" t="str">
        <f>'ERP_AP7 Macro Failed'!E589</f>
        <v>Dougherty, Chris</v>
      </c>
      <c r="D587" t="str">
        <f>'ERP_AP7 Macro Failed'!G589</f>
        <v>SOFTWARE</v>
      </c>
      <c r="E587" t="str">
        <f>'ERP_AP7 Macro Failed'!H589</f>
        <v>SAP DI New Contract (Pullforward Credit)</v>
      </c>
      <c r="F587" t="str">
        <f>'ERP_AP7 Macro Failed'!I589</f>
        <v>SAP AMERICA INC</v>
      </c>
      <c r="G587" t="str">
        <f>'ERP_AP7 Macro Failed'!K589</f>
        <v>IT-SFT1457-OG-US-00/PF</v>
      </c>
      <c r="H587" s="487" t="e" cm="1">
        <f t="array" ref="H587">SUMPRODUCT((ERP[UID]=A587)*(ERP[AP01]+ERP[AP02]+ERP[AP03]+ERP[AP04]+ERP[AP05]))</f>
        <v>#VALUE!</v>
      </c>
      <c r="I587" s="487" cm="1">
        <f t="array" ref="I587">SUMPRODUCT((ERP[UID]=A587)*(ERP[AP01 LE2]+ERP[AP02 LE2]+ERP[AP03 LE2]+ERP[AP04 LE2]+ERP[AP05 LE2]))</f>
        <v>0</v>
      </c>
      <c r="J587" s="487">
        <f>'ERP_AP7 Macro Failed'!AL589</f>
        <v>0</v>
      </c>
      <c r="K587" t="str">
        <f t="shared" si="18"/>
        <v>Immaterial</v>
      </c>
      <c r="L587" t="str">
        <f t="shared" si="19"/>
        <v>No</v>
      </c>
    </row>
    <row r="588" spans="1:12">
      <c r="A588" t="str">
        <f>'ERP_AP7 Macro Failed'!A590</f>
        <v>ERP-053</v>
      </c>
      <c r="B588" t="str">
        <f>'ERP_AP7 Macro Failed'!D590</f>
        <v>Dougherty, Chris</v>
      </c>
      <c r="C588" t="str">
        <f>'ERP_AP7 Macro Failed'!E590</f>
        <v>Dougherty, Chris</v>
      </c>
      <c r="D588" t="str">
        <f>'ERP_AP7 Macro Failed'!G590</f>
        <v>HW MAINTENANCE</v>
      </c>
      <c r="E588" t="str">
        <f>'ERP_AP7 Macro Failed'!H590</f>
        <v>Miscellaneous Charges</v>
      </c>
      <c r="F588">
        <f>'ERP_AP7 Macro Failed'!I590</f>
        <v>0</v>
      </c>
      <c r="G588" t="str">
        <f>'ERP_AP7 Macro Failed'!K590</f>
        <v>MISC001</v>
      </c>
      <c r="H588" s="487" t="e" cm="1">
        <f t="array" ref="H588">SUMPRODUCT((ERP[UID]=A588)*(ERP[AP01]+ERP[AP02]+ERP[AP03]+ERP[AP04]+ERP[AP05]))</f>
        <v>#VALUE!</v>
      </c>
      <c r="I588" s="487" cm="1">
        <f t="array" ref="I588">SUMPRODUCT((ERP[UID]=A588)*(ERP[AP01 LE2]+ERP[AP02 LE2]+ERP[AP03 LE2]+ERP[AP04 LE2]+ERP[AP05 LE2]))</f>
        <v>0</v>
      </c>
      <c r="J588" s="487">
        <f>'ERP_AP7 Macro Failed'!AL590</f>
        <v>0</v>
      </c>
      <c r="K588" t="str">
        <f t="shared" si="18"/>
        <v>Immaterial</v>
      </c>
      <c r="L588" t="str">
        <f t="shared" si="19"/>
        <v>No</v>
      </c>
    </row>
    <row r="589" spans="1:12">
      <c r="A589" t="str">
        <f>'ERP_AP7 Macro Failed'!A591</f>
        <v>L-ERP-155</v>
      </c>
      <c r="B589" t="str">
        <f>'ERP_AP7 Macro Failed'!D591</f>
        <v>Hase, Raj</v>
      </c>
      <c r="C589" t="str">
        <f>'ERP_AP7 Macro Failed'!E591</f>
        <v>Ganesan, Srinivasan</v>
      </c>
      <c r="D589" t="str">
        <f>'ERP_AP7 Macro Failed'!G591</f>
        <v>CONTRACTORS</v>
      </c>
      <c r="E589" t="str">
        <f>'ERP_AP7 Macro Failed'!H591</f>
        <v>Miscellaneous Charges</v>
      </c>
      <c r="F589">
        <f>'ERP_AP7 Macro Failed'!I591</f>
        <v>0</v>
      </c>
      <c r="G589" t="str">
        <f>'ERP_AP7 Macro Failed'!K591</f>
        <v>MISC001</v>
      </c>
      <c r="H589" s="487" t="e" cm="1">
        <f t="array" ref="H589">SUMPRODUCT((ERP[UID]=A589)*(ERP[AP01]+ERP[AP02]+ERP[AP03]+ERP[AP04]+ERP[AP05]))</f>
        <v>#VALUE!</v>
      </c>
      <c r="I589" s="487" cm="1">
        <f t="array" ref="I589">SUMPRODUCT((ERP[UID]=A589)*(ERP[AP01 LE2]+ERP[AP02 LE2]+ERP[AP03 LE2]+ERP[AP04 LE2]+ERP[AP05 LE2]))</f>
        <v>-0.47</v>
      </c>
      <c r="J589" s="487">
        <f>'ERP_AP7 Macro Failed'!AL591</f>
        <v>0.6100000000000001</v>
      </c>
      <c r="K589" t="str">
        <f t="shared" si="18"/>
        <v>Immaterial</v>
      </c>
      <c r="L589" t="str">
        <f t="shared" si="19"/>
        <v>No</v>
      </c>
    </row>
    <row r="590" spans="1:12">
      <c r="A590" t="str">
        <f>'ERP_AP7 Macro Failed'!A592</f>
        <v>L-ERP-161</v>
      </c>
      <c r="B590" t="str">
        <f>'ERP_AP7 Macro Failed'!D592</f>
        <v>Hase, Raj</v>
      </c>
      <c r="C590" t="str">
        <f>'ERP_AP7 Macro Failed'!E592</f>
        <v>Ganesan, Srinivasan</v>
      </c>
      <c r="D590" t="str">
        <f>'ERP_AP7 Macro Failed'!G592</f>
        <v>MANAGED SERVICES</v>
      </c>
      <c r="E590" t="str">
        <f>'ERP_AP7 Macro Failed'!H592</f>
        <v>Miscellaneous Charges</v>
      </c>
      <c r="F590">
        <f>'ERP_AP7 Macro Failed'!I592</f>
        <v>0</v>
      </c>
      <c r="G590" t="str">
        <f>'ERP_AP7 Macro Failed'!K592</f>
        <v>MISC001</v>
      </c>
      <c r="H590" s="487" t="e" cm="1">
        <f t="array" ref="H590">SUMPRODUCT((ERP[UID]=A590)*(ERP[AP01]+ERP[AP02]+ERP[AP03]+ERP[AP04]+ERP[AP05]))</f>
        <v>#VALUE!</v>
      </c>
      <c r="I590" s="487" cm="1">
        <f t="array" ref="I590">SUMPRODUCT((ERP[UID]=A590)*(ERP[AP01 LE2]+ERP[AP02 LE2]+ERP[AP03 LE2]+ERP[AP04 LE2]+ERP[AP05 LE2]))</f>
        <v>799.29000000000008</v>
      </c>
      <c r="J590" s="487">
        <f>'ERP_AP7 Macro Failed'!AL592</f>
        <v>965.30000000000007</v>
      </c>
      <c r="K590" t="str">
        <f t="shared" si="18"/>
        <v>Immaterial</v>
      </c>
      <c r="L590" t="str">
        <f t="shared" si="19"/>
        <v>No</v>
      </c>
    </row>
    <row r="591" spans="1:12">
      <c r="A591" t="str">
        <f>'ERP_AP7 Macro Failed'!A593</f>
        <v>L-ERP-168</v>
      </c>
      <c r="B591" t="str">
        <f>'ERP_AP7 Macro Failed'!D593</f>
        <v>Hase, Raj</v>
      </c>
      <c r="C591" t="str">
        <f>'ERP_AP7 Macro Failed'!E593</f>
        <v>Ganesan, Srinivasan</v>
      </c>
      <c r="D591" t="str">
        <f>'ERP_AP7 Macro Failed'!G593</f>
        <v>SOFTWARE</v>
      </c>
      <c r="E591" t="str">
        <f>'ERP_AP7 Macro Failed'!H593</f>
        <v>Miscellaneous Charges</v>
      </c>
      <c r="F591">
        <f>'ERP_AP7 Macro Failed'!I593</f>
        <v>0</v>
      </c>
      <c r="G591" t="str">
        <f>'ERP_AP7 Macro Failed'!K593</f>
        <v>MISC001</v>
      </c>
      <c r="H591" s="487" t="e" cm="1">
        <f t="array" ref="H591">SUMPRODUCT((ERP[UID]=A591)*(ERP[AP01]+ERP[AP02]+ERP[AP03]+ERP[AP04]+ERP[AP05]))</f>
        <v>#VALUE!</v>
      </c>
      <c r="I591" s="487" cm="1">
        <f t="array" ref="I591">SUMPRODUCT((ERP[UID]=A591)*(ERP[AP01 LE2]+ERP[AP02 LE2]+ERP[AP03 LE2]+ERP[AP04 LE2]+ERP[AP05 LE2]))</f>
        <v>44.39</v>
      </c>
      <c r="J591" s="487">
        <f>'ERP_AP7 Macro Failed'!AL593</f>
        <v>0.17999999999999972</v>
      </c>
      <c r="K591" t="str">
        <f t="shared" si="18"/>
        <v>Immaterial</v>
      </c>
      <c r="L591" t="str">
        <f t="shared" si="19"/>
        <v>No</v>
      </c>
    </row>
    <row r="592" spans="1:12">
      <c r="A592" t="str">
        <f>'ERP_AP7 Macro Failed'!A594</f>
        <v>L-ERP-189</v>
      </c>
      <c r="B592" t="str">
        <f>'ERP_AP7 Macro Failed'!D594</f>
        <v>Hase, Raj</v>
      </c>
      <c r="C592" t="str">
        <f>'ERP_AP7 Macro Failed'!E594</f>
        <v>Hase, Raj</v>
      </c>
      <c r="D592" t="str">
        <f>'ERP_AP7 Macro Failed'!G594</f>
        <v>MANAGED SERVICES</v>
      </c>
      <c r="E592" t="str">
        <f>'ERP_AP7 Macro Failed'!H594</f>
        <v>Miscellaneous Charges</v>
      </c>
      <c r="F592">
        <f>'ERP_AP7 Macro Failed'!I594</f>
        <v>0</v>
      </c>
      <c r="G592" t="str">
        <f>'ERP_AP7 Macro Failed'!K594</f>
        <v>MISC001</v>
      </c>
      <c r="H592" s="487" t="e" cm="1">
        <f t="array" ref="H592">SUMPRODUCT((ERP[UID]=A592)*(ERP[AP01]+ERP[AP02]+ERP[AP03]+ERP[AP04]+ERP[AP05]))</f>
        <v>#VALUE!</v>
      </c>
      <c r="I592" s="487" cm="1">
        <f t="array" ref="I592">SUMPRODUCT((ERP[UID]=A592)*(ERP[AP01 LE2]+ERP[AP02 LE2]+ERP[AP03 LE2]+ERP[AP04 LE2]+ERP[AP05 LE2]))</f>
        <v>0.11999999999999997</v>
      </c>
      <c r="J592" s="487">
        <f>'ERP_AP7 Macro Failed'!AL594</f>
        <v>0.03</v>
      </c>
      <c r="K592" t="str">
        <f t="shared" si="18"/>
        <v>Immaterial</v>
      </c>
      <c r="L592" t="str">
        <f t="shared" si="19"/>
        <v>No</v>
      </c>
    </row>
    <row r="593" spans="1:12">
      <c r="A593" t="str">
        <f>'ERP_AP7 Macro Failed'!A595</f>
        <v>L-ERP-191</v>
      </c>
      <c r="B593" t="str">
        <f>'ERP_AP7 Macro Failed'!D595</f>
        <v>Hase, Raj</v>
      </c>
      <c r="C593" t="str">
        <f>'ERP_AP7 Macro Failed'!E595</f>
        <v>Hase, Raj</v>
      </c>
      <c r="D593" t="str">
        <f>'ERP_AP7 Macro Failed'!G595</f>
        <v>SOFTWARE</v>
      </c>
      <c r="E593" t="str">
        <f>'ERP_AP7 Macro Failed'!H595</f>
        <v>Miscellaneous Charges</v>
      </c>
      <c r="F593">
        <f>'ERP_AP7 Macro Failed'!I595</f>
        <v>0</v>
      </c>
      <c r="G593" t="str">
        <f>'ERP_AP7 Macro Failed'!K595</f>
        <v>MISC001</v>
      </c>
      <c r="H593" s="487" t="e" cm="1">
        <f t="array" ref="H593">SUMPRODUCT((ERP[UID]=A593)*(ERP[AP01]+ERP[AP02]+ERP[AP03]+ERP[AP04]+ERP[AP05]))</f>
        <v>#VALUE!</v>
      </c>
      <c r="I593" s="487" cm="1">
        <f t="array" ref="I593">SUMPRODUCT((ERP[UID]=A593)*(ERP[AP01 LE2]+ERP[AP02 LE2]+ERP[AP03 LE2]+ERP[AP04 LE2]+ERP[AP05 LE2]))</f>
        <v>0.32999999999999996</v>
      </c>
      <c r="J593" s="487">
        <f>'ERP_AP7 Macro Failed'!AL595</f>
        <v>-0.3</v>
      </c>
      <c r="K593" t="str">
        <f t="shared" si="18"/>
        <v>Immaterial</v>
      </c>
      <c r="L593" t="str">
        <f t="shared" si="19"/>
        <v>No</v>
      </c>
    </row>
    <row r="594" spans="1:12">
      <c r="A594" t="str">
        <f>'ERP_AP7 Macro Failed'!A596</f>
        <v>L-ERP-209</v>
      </c>
      <c r="B594" t="str">
        <f>'ERP_AP7 Macro Failed'!D596</f>
        <v>Hase, Raj</v>
      </c>
      <c r="C594" t="str">
        <f>'ERP_AP7 Macro Failed'!E596</f>
        <v>Herman, Shaun</v>
      </c>
      <c r="D594" t="str">
        <f>'ERP_AP7 Macro Failed'!G596</f>
        <v>CONTRACTORS</v>
      </c>
      <c r="E594" t="str">
        <f>'ERP_AP7 Macro Failed'!H596</f>
        <v>Miscellaneous Charges</v>
      </c>
      <c r="F594">
        <f>'ERP_AP7 Macro Failed'!I596</f>
        <v>0</v>
      </c>
      <c r="G594" t="str">
        <f>'ERP_AP7 Macro Failed'!K596</f>
        <v>MISC001</v>
      </c>
      <c r="H594" s="487" t="e" cm="1">
        <f t="array" ref="H594">SUMPRODUCT((ERP[UID]=A594)*(ERP[AP01]+ERP[AP02]+ERP[AP03]+ERP[AP04]+ERP[AP05]))</f>
        <v>#VALUE!</v>
      </c>
      <c r="I594" s="487" cm="1">
        <f t="array" ref="I594">SUMPRODUCT((ERP[UID]=A594)*(ERP[AP01 LE2]+ERP[AP02 LE2]+ERP[AP03 LE2]+ERP[AP04 LE2]+ERP[AP05 LE2]))</f>
        <v>-0.32999999999999996</v>
      </c>
      <c r="J594" s="487">
        <f>'ERP_AP7 Macro Failed'!AL596</f>
        <v>-5.0000000000000044E-2</v>
      </c>
      <c r="K594" t="str">
        <f t="shared" si="18"/>
        <v>Immaterial</v>
      </c>
      <c r="L594" t="str">
        <f t="shared" si="19"/>
        <v>No</v>
      </c>
    </row>
    <row r="595" spans="1:12">
      <c r="A595" t="str">
        <f>'ERP_AP7 Macro Failed'!A597</f>
        <v>L-ERP-211</v>
      </c>
      <c r="B595" t="str">
        <f>'ERP_AP7 Macro Failed'!D597</f>
        <v>Hase, Raj</v>
      </c>
      <c r="C595" t="str">
        <f>'ERP_AP7 Macro Failed'!E597</f>
        <v>Herman, Shaun</v>
      </c>
      <c r="D595" t="str">
        <f>'ERP_AP7 Macro Failed'!G597</f>
        <v>MANAGED SERVICES</v>
      </c>
      <c r="E595" t="str">
        <f>'ERP_AP7 Macro Failed'!H597</f>
        <v>Miscellaneous Charges</v>
      </c>
      <c r="F595">
        <f>'ERP_AP7 Macro Failed'!I597</f>
        <v>0</v>
      </c>
      <c r="G595" t="str">
        <f>'ERP_AP7 Macro Failed'!K597</f>
        <v>MISC001</v>
      </c>
      <c r="H595" s="487" t="e" cm="1">
        <f t="array" ref="H595">SUMPRODUCT((ERP[UID]=A595)*(ERP[AP01]+ERP[AP02]+ERP[AP03]+ERP[AP04]+ERP[AP05]))</f>
        <v>#VALUE!</v>
      </c>
      <c r="I595" s="487" cm="1">
        <f t="array" ref="I595">SUMPRODUCT((ERP[UID]=A595)*(ERP[AP01 LE2]+ERP[AP02 LE2]+ERP[AP03 LE2]+ERP[AP04 LE2]+ERP[AP05 LE2]))</f>
        <v>0.43</v>
      </c>
      <c r="J595" s="487">
        <f>'ERP_AP7 Macro Failed'!AL597</f>
        <v>-0.73</v>
      </c>
      <c r="K595" t="str">
        <f t="shared" si="18"/>
        <v>Immaterial</v>
      </c>
      <c r="L595" t="str">
        <f t="shared" si="19"/>
        <v>No</v>
      </c>
    </row>
    <row r="596" spans="1:12">
      <c r="A596" t="str">
        <f>'ERP_AP7 Macro Failed'!A598</f>
        <v>L-ERP-213</v>
      </c>
      <c r="B596" t="str">
        <f>'ERP_AP7 Macro Failed'!D598</f>
        <v>Hase, Raj</v>
      </c>
      <c r="C596" t="str">
        <f>'ERP_AP7 Macro Failed'!E598</f>
        <v>Herman, Shaun</v>
      </c>
      <c r="D596" t="str">
        <f>'ERP_AP7 Macro Failed'!G598</f>
        <v>SOFTWARE</v>
      </c>
      <c r="E596" t="str">
        <f>'ERP_AP7 Macro Failed'!H598</f>
        <v>Miscellaneous Charges</v>
      </c>
      <c r="F596">
        <f>'ERP_AP7 Macro Failed'!I598</f>
        <v>0</v>
      </c>
      <c r="G596" t="str">
        <f>'ERP_AP7 Macro Failed'!K598</f>
        <v>MISC001</v>
      </c>
      <c r="H596" s="487" t="e" cm="1">
        <f t="array" ref="H596">SUMPRODUCT((ERP[UID]=A596)*(ERP[AP01]+ERP[AP02]+ERP[AP03]+ERP[AP04]+ERP[AP05]))</f>
        <v>#VALUE!</v>
      </c>
      <c r="I596" s="487" cm="1">
        <f t="array" ref="I596">SUMPRODUCT((ERP[UID]=A596)*(ERP[AP01 LE2]+ERP[AP02 LE2]+ERP[AP03 LE2]+ERP[AP04 LE2]+ERP[AP05 LE2]))</f>
        <v>-0.13</v>
      </c>
      <c r="J596" s="487">
        <f>'ERP_AP7 Macro Failed'!AL598</f>
        <v>0.56999999999999995</v>
      </c>
      <c r="K596" t="str">
        <f t="shared" si="18"/>
        <v>Immaterial</v>
      </c>
      <c r="L596" t="str">
        <f t="shared" si="19"/>
        <v>No</v>
      </c>
    </row>
    <row r="597" spans="1:12">
      <c r="A597" t="str">
        <f>'ERP_AP7 Macro Failed'!A599</f>
        <v>L-ERP-224</v>
      </c>
      <c r="B597" t="str">
        <f>'ERP_AP7 Macro Failed'!D599</f>
        <v>Hase, Raj</v>
      </c>
      <c r="C597" t="str">
        <f>'ERP_AP7 Macro Failed'!E599</f>
        <v>Hovanyetz, Mike</v>
      </c>
      <c r="D597" t="str">
        <f>'ERP_AP7 Macro Failed'!G599</f>
        <v>MANAGED SERVICES</v>
      </c>
      <c r="E597" t="str">
        <f>'ERP_AP7 Macro Failed'!H599</f>
        <v>Miscellaneous Charges</v>
      </c>
      <c r="F597">
        <f>'ERP_AP7 Macro Failed'!I599</f>
        <v>0</v>
      </c>
      <c r="G597" t="str">
        <f>'ERP_AP7 Macro Failed'!K599</f>
        <v>MISC001</v>
      </c>
      <c r="H597" s="487" t="e" cm="1">
        <f t="array" ref="H597">SUMPRODUCT((ERP[UID]=A597)*(ERP[AP01]+ERP[AP02]+ERP[AP03]+ERP[AP04]+ERP[AP05]))</f>
        <v>#VALUE!</v>
      </c>
      <c r="I597" s="487" cm="1">
        <f t="array" ref="I597">SUMPRODUCT((ERP[UID]=A597)*(ERP[AP01 LE2]+ERP[AP02 LE2]+ERP[AP03 LE2]+ERP[AP04 LE2]+ERP[AP05 LE2]))</f>
        <v>-0.2</v>
      </c>
      <c r="J597" s="487">
        <f>'ERP_AP7 Macro Failed'!AL599</f>
        <v>0.3</v>
      </c>
      <c r="K597" t="str">
        <f t="shared" si="18"/>
        <v>Immaterial</v>
      </c>
      <c r="L597" t="str">
        <f t="shared" si="19"/>
        <v>No</v>
      </c>
    </row>
    <row r="598" spans="1:12">
      <c r="A598" t="str">
        <f>'ERP_AP7 Macro Failed'!A600</f>
        <v>L-ERP-225</v>
      </c>
      <c r="B598" t="str">
        <f>'ERP_AP7 Macro Failed'!D600</f>
        <v>Hase, Raj</v>
      </c>
      <c r="C598" t="str">
        <f>'ERP_AP7 Macro Failed'!E600</f>
        <v>Hovanyetz, Mike</v>
      </c>
      <c r="D598" t="str">
        <f>'ERP_AP7 Macro Failed'!G600</f>
        <v>SOFTWARE</v>
      </c>
      <c r="E598" t="str">
        <f>'ERP_AP7 Macro Failed'!H600</f>
        <v>Miscellaneous Charges</v>
      </c>
      <c r="F598">
        <f>'ERP_AP7 Macro Failed'!I600</f>
        <v>0</v>
      </c>
      <c r="G598" t="str">
        <f>'ERP_AP7 Macro Failed'!K600</f>
        <v>MISC001</v>
      </c>
      <c r="H598" s="487" t="e" cm="1">
        <f t="array" ref="H598">SUMPRODUCT((ERP[UID]=A598)*(ERP[AP01]+ERP[AP02]+ERP[AP03]+ERP[AP04]+ERP[AP05]))</f>
        <v>#VALUE!</v>
      </c>
      <c r="I598" s="487" cm="1">
        <f t="array" ref="I598">SUMPRODUCT((ERP[UID]=A598)*(ERP[AP01 LE2]+ERP[AP02 LE2]+ERP[AP03 LE2]+ERP[AP04 LE2]+ERP[AP05 LE2]))</f>
        <v>16.46</v>
      </c>
      <c r="J598" s="487">
        <f>'ERP_AP7 Macro Failed'!AL600</f>
        <v>0.21999999999999886</v>
      </c>
      <c r="K598" t="str">
        <f t="shared" si="18"/>
        <v>Immaterial</v>
      </c>
      <c r="L598" t="str">
        <f t="shared" si="19"/>
        <v>No</v>
      </c>
    </row>
    <row r="599" spans="1:12">
      <c r="A599" t="str">
        <f>'ERP_AP7 Macro Failed'!A601</f>
        <v>L-ERP-245</v>
      </c>
      <c r="B599" t="str">
        <f>'ERP_AP7 Macro Failed'!D601</f>
        <v>Hase, Raj</v>
      </c>
      <c r="C599" t="str">
        <f>'ERP_AP7 Macro Failed'!E601</f>
        <v>Jajodia, Amit</v>
      </c>
      <c r="D599" t="str">
        <f>'ERP_AP7 Macro Failed'!G601</f>
        <v>CONTRACTORS</v>
      </c>
      <c r="E599" t="str">
        <f>'ERP_AP7 Macro Failed'!H601</f>
        <v>Miscellaneous Charges</v>
      </c>
      <c r="F599">
        <f>'ERP_AP7 Macro Failed'!I601</f>
        <v>0</v>
      </c>
      <c r="G599" t="str">
        <f>'ERP_AP7 Macro Failed'!K601</f>
        <v>MISC001</v>
      </c>
      <c r="H599" s="487" t="e" cm="1">
        <f t="array" ref="H599">SUMPRODUCT((ERP[UID]=A599)*(ERP[AP01]+ERP[AP02]+ERP[AP03]+ERP[AP04]+ERP[AP05]))</f>
        <v>#VALUE!</v>
      </c>
      <c r="I599" s="487" cm="1">
        <f t="array" ref="I599">SUMPRODUCT((ERP[UID]=A599)*(ERP[AP01 LE2]+ERP[AP02 LE2]+ERP[AP03 LE2]+ERP[AP04 LE2]+ERP[AP05 LE2]))</f>
        <v>19639.919999999998</v>
      </c>
      <c r="J599" s="487">
        <f>'ERP_AP7 Macro Failed'!AL601</f>
        <v>-19640.330000000002</v>
      </c>
      <c r="K599" t="str">
        <f t="shared" si="18"/>
        <v>MATERIAL</v>
      </c>
      <c r="L599" t="str">
        <f t="shared" si="19"/>
        <v>YES</v>
      </c>
    </row>
    <row r="600" spans="1:12">
      <c r="A600" t="str">
        <f>'ERP_AP7 Macro Failed'!A602</f>
        <v>L-ERP-249</v>
      </c>
      <c r="B600" t="str">
        <f>'ERP_AP7 Macro Failed'!D602</f>
        <v>Hase, Raj</v>
      </c>
      <c r="C600" t="str">
        <f>'ERP_AP7 Macro Failed'!E602</f>
        <v>Jajodia, Amit</v>
      </c>
      <c r="D600" t="str">
        <f>'ERP_AP7 Macro Failed'!G602</f>
        <v>RENT AND UTILITIES</v>
      </c>
      <c r="E600" t="str">
        <f>'ERP_AP7 Macro Failed'!H602</f>
        <v>Miscellaneous Charges</v>
      </c>
      <c r="F600">
        <f>'ERP_AP7 Macro Failed'!I602</f>
        <v>0</v>
      </c>
      <c r="G600" t="str">
        <f>'ERP_AP7 Macro Failed'!K602</f>
        <v>MISC001</v>
      </c>
      <c r="H600" s="487" t="e" cm="1">
        <f t="array" ref="H600">SUMPRODUCT((ERP[UID]=A600)*(ERP[AP01]+ERP[AP02]+ERP[AP03]+ERP[AP04]+ERP[AP05]))</f>
        <v>#VALUE!</v>
      </c>
      <c r="I600" s="487" cm="1">
        <f t="array" ref="I600">SUMPRODUCT((ERP[UID]=A600)*(ERP[AP01 LE2]+ERP[AP02 LE2]+ERP[AP03 LE2]+ERP[AP04 LE2]+ERP[AP05 LE2]))</f>
        <v>1.999999999999999E-2</v>
      </c>
      <c r="J600" s="487">
        <f>'ERP_AP7 Macro Failed'!AL602</f>
        <v>3681.08</v>
      </c>
      <c r="K600" t="str">
        <f t="shared" si="18"/>
        <v>Minor</v>
      </c>
      <c r="L600" t="str">
        <f t="shared" si="19"/>
        <v>No</v>
      </c>
    </row>
    <row r="601" spans="1:12">
      <c r="A601" t="str">
        <f>'ERP_AP7 Macro Failed'!A603</f>
        <v>L-ERP-250</v>
      </c>
      <c r="B601" t="str">
        <f>'ERP_AP7 Macro Failed'!D603</f>
        <v>Hase, Raj</v>
      </c>
      <c r="C601" t="str">
        <f>'ERP_AP7 Macro Failed'!E603</f>
        <v>Jajodia, Amit</v>
      </c>
      <c r="D601" t="str">
        <f>'ERP_AP7 Macro Failed'!G603</f>
        <v>SOFTWARE</v>
      </c>
      <c r="E601" t="str">
        <f>'ERP_AP7 Macro Failed'!H603</f>
        <v>Miscellaneous Charges</v>
      </c>
      <c r="F601">
        <f>'ERP_AP7 Macro Failed'!I603</f>
        <v>0</v>
      </c>
      <c r="G601" t="str">
        <f>'ERP_AP7 Macro Failed'!K603</f>
        <v>MISC001</v>
      </c>
      <c r="H601" s="487" t="e" cm="1">
        <f t="array" ref="H601">SUMPRODUCT((ERP[UID]=A601)*(ERP[AP01]+ERP[AP02]+ERP[AP03]+ERP[AP04]+ERP[AP05]))</f>
        <v>#VALUE!</v>
      </c>
      <c r="I601" s="487" cm="1">
        <f t="array" ref="I601">SUMPRODUCT((ERP[UID]=A601)*(ERP[AP01 LE2]+ERP[AP02 LE2]+ERP[AP03 LE2]+ERP[AP04 LE2]+ERP[AP05 LE2]))</f>
        <v>0.63</v>
      </c>
      <c r="J601" s="487">
        <f>'ERP_AP7 Macro Failed'!AL603</f>
        <v>-0.18000000000000005</v>
      </c>
      <c r="K601" t="str">
        <f t="shared" si="18"/>
        <v>Immaterial</v>
      </c>
      <c r="L601" t="str">
        <f t="shared" si="19"/>
        <v>No</v>
      </c>
    </row>
    <row r="602" spans="1:12">
      <c r="A602" t="str">
        <f>'ERP_AP7 Macro Failed'!A604</f>
        <v>L-ERP-093</v>
      </c>
      <c r="B602" t="str">
        <f>'ERP_AP7 Macro Failed'!D604</f>
        <v>Dougherty, Chris</v>
      </c>
      <c r="C602" t="str">
        <f>'ERP_AP7 Macro Failed'!E604</f>
        <v>Dougherty, Chris</v>
      </c>
      <c r="D602" t="str">
        <f>'ERP_AP7 Macro Failed'!G604</f>
        <v>CONTRACTORS</v>
      </c>
      <c r="E602" t="str">
        <f>'ERP_AP7 Macro Failed'!H604</f>
        <v>Miscellaneous Charges</v>
      </c>
      <c r="F602">
        <f>'ERP_AP7 Macro Failed'!I604</f>
        <v>0</v>
      </c>
      <c r="G602" t="str">
        <f>'ERP_AP7 Macro Failed'!K604</f>
        <v>MISC001</v>
      </c>
      <c r="H602" s="487" t="e" cm="1">
        <f t="array" ref="H602">SUMPRODUCT((ERP[UID]=A602)*(ERP[AP01]+ERP[AP02]+ERP[AP03]+ERP[AP04]+ERP[AP05]))</f>
        <v>#VALUE!</v>
      </c>
      <c r="I602" s="487" cm="1">
        <f t="array" ref="I602">SUMPRODUCT((ERP[UID]=A602)*(ERP[AP01 LE2]+ERP[AP02 LE2]+ERP[AP03 LE2]+ERP[AP04 LE2]+ERP[AP05 LE2]))</f>
        <v>-0.11000000000058208</v>
      </c>
      <c r="J602" s="487">
        <f>'ERP_AP7 Macro Failed'!AL604</f>
        <v>0.35</v>
      </c>
      <c r="K602" t="str">
        <f t="shared" si="18"/>
        <v>Immaterial</v>
      </c>
      <c r="L602" t="str">
        <f t="shared" si="19"/>
        <v>No</v>
      </c>
    </row>
    <row r="603" spans="1:12">
      <c r="A603" t="str">
        <f>'ERP_AP7 Macro Failed'!A605</f>
        <v>L-ERP-097</v>
      </c>
      <c r="B603" t="str">
        <f>'ERP_AP7 Macro Failed'!D605</f>
        <v>Dougherty, Chris</v>
      </c>
      <c r="C603" t="str">
        <f>'ERP_AP7 Macro Failed'!E605</f>
        <v>Dougherty, Chris</v>
      </c>
      <c r="D603" t="str">
        <f>'ERP_AP7 Macro Failed'!G605</f>
        <v>MANAGED SERVICES</v>
      </c>
      <c r="E603" t="str">
        <f>'ERP_AP7 Macro Failed'!H605</f>
        <v>Miscellaneous Charges</v>
      </c>
      <c r="F603">
        <f>'ERP_AP7 Macro Failed'!I605</f>
        <v>0</v>
      </c>
      <c r="G603" t="str">
        <f>'ERP_AP7 Macro Failed'!K605</f>
        <v>MISC001</v>
      </c>
      <c r="H603" s="487" t="e" cm="1">
        <f t="array" ref="H603">SUMPRODUCT((ERP[UID]=A603)*(ERP[AP01]+ERP[AP02]+ERP[AP03]+ERP[AP04]+ERP[AP05]))</f>
        <v>#VALUE!</v>
      </c>
      <c r="I603" s="487" cm="1">
        <f t="array" ref="I603">SUMPRODUCT((ERP[UID]=A603)*(ERP[AP01 LE2]+ERP[AP02 LE2]+ERP[AP03 LE2]+ERP[AP04 LE2]+ERP[AP05 LE2]))</f>
        <v>0.03</v>
      </c>
      <c r="J603" s="487">
        <f>'ERP_AP7 Macro Failed'!AL605</f>
        <v>71439.680000000008</v>
      </c>
      <c r="K603" t="str">
        <f t="shared" si="18"/>
        <v>MATERIAL</v>
      </c>
      <c r="L603" t="str">
        <f t="shared" si="19"/>
        <v>YES</v>
      </c>
    </row>
    <row r="604" spans="1:12">
      <c r="A604" t="str">
        <f>'ERP_AP7 Macro Failed'!A606</f>
        <v>L-ERP-101</v>
      </c>
      <c r="B604" t="str">
        <f>'ERP_AP7 Macro Failed'!D606</f>
        <v>Dougherty, Chris</v>
      </c>
      <c r="C604" t="str">
        <f>'ERP_AP7 Macro Failed'!E606</f>
        <v>Dougherty, Chris</v>
      </c>
      <c r="D604" t="str">
        <f>'ERP_AP7 Macro Failed'!G606</f>
        <v>SOFTWARE</v>
      </c>
      <c r="E604" t="str">
        <f>'ERP_AP7 Macro Failed'!H606</f>
        <v>Miscellaneous Charges</v>
      </c>
      <c r="F604">
        <f>'ERP_AP7 Macro Failed'!I606</f>
        <v>0</v>
      </c>
      <c r="G604" t="str">
        <f>'ERP_AP7 Macro Failed'!K606</f>
        <v>MISC001</v>
      </c>
      <c r="H604" s="487" t="e" cm="1">
        <f t="array" ref="H604">SUMPRODUCT((ERP[UID]=A604)*(ERP[AP01]+ERP[AP02]+ERP[AP03]+ERP[AP04]+ERP[AP05]))</f>
        <v>#VALUE!</v>
      </c>
      <c r="I604" s="487" cm="1">
        <f t="array" ref="I604">SUMPRODUCT((ERP[UID]=A604)*(ERP[AP01 LE2]+ERP[AP02 LE2]+ERP[AP03 LE2]+ERP[AP04 LE2]+ERP[AP05 LE2]))</f>
        <v>0.3</v>
      </c>
      <c r="J604" s="487">
        <f>'ERP_AP7 Macro Failed'!AL606</f>
        <v>30695.370000000003</v>
      </c>
      <c r="K604" t="str">
        <f t="shared" si="18"/>
        <v>MATERIAL</v>
      </c>
      <c r="L604" t="str">
        <f t="shared" si="19"/>
        <v>YES</v>
      </c>
    </row>
    <row r="605" spans="1:12">
      <c r="A605" t="str">
        <f>'ERP_AP7 Macro Failed'!A607</f>
        <v>L-ERP-325</v>
      </c>
      <c r="B605" t="str">
        <f>'ERP_AP7 Macro Failed'!D607</f>
        <v>Dougherty, Chris</v>
      </c>
      <c r="C605" t="str">
        <f>'ERP_AP7 Macro Failed'!E607</f>
        <v>Maguire, Karla</v>
      </c>
      <c r="D605" t="str">
        <f>'ERP_AP7 Macro Failed'!G607</f>
        <v>CONTRACTORS</v>
      </c>
      <c r="E605" t="str">
        <f>'ERP_AP7 Macro Failed'!H607</f>
        <v>Miscellaneous Charges</v>
      </c>
      <c r="F605">
        <f>'ERP_AP7 Macro Failed'!I607</f>
        <v>0</v>
      </c>
      <c r="G605" t="str">
        <f>'ERP_AP7 Macro Failed'!K607</f>
        <v>MISC001</v>
      </c>
      <c r="H605" s="487" t="e" cm="1">
        <f t="array" ref="H605">SUMPRODUCT((ERP[UID]=A605)*(ERP[AP01]+ERP[AP02]+ERP[AP03]+ERP[AP04]+ERP[AP05]))</f>
        <v>#VALUE!</v>
      </c>
      <c r="I605" s="487" cm="1">
        <f t="array" ref="I605">SUMPRODUCT((ERP[UID]=A605)*(ERP[AP01 LE2]+ERP[AP02 LE2]+ERP[AP03 LE2]+ERP[AP04 LE2]+ERP[AP05 LE2]))</f>
        <v>1220.75</v>
      </c>
      <c r="J605" s="487">
        <f>'ERP_AP7 Macro Failed'!AL607</f>
        <v>622.43999999999983</v>
      </c>
      <c r="K605" t="str">
        <f t="shared" si="18"/>
        <v>Immaterial</v>
      </c>
      <c r="L605" t="str">
        <f t="shared" si="19"/>
        <v>No</v>
      </c>
    </row>
    <row r="606" spans="1:12">
      <c r="A606" t="str">
        <f>'ERP_AP7 Macro Failed'!A608</f>
        <v>L-ERP-331</v>
      </c>
      <c r="B606" t="str">
        <f>'ERP_AP7 Macro Failed'!D608</f>
        <v>Dougherty, Chris</v>
      </c>
      <c r="C606" t="str">
        <f>'ERP_AP7 Macro Failed'!E608</f>
        <v>Maguire, Karla</v>
      </c>
      <c r="D606" t="str">
        <f>'ERP_AP7 Macro Failed'!G608</f>
        <v>HW MAINTENANCE</v>
      </c>
      <c r="E606" t="str">
        <f>'ERP_AP7 Macro Failed'!H608</f>
        <v>Miscellaneous Charges</v>
      </c>
      <c r="F606">
        <f>'ERP_AP7 Macro Failed'!I608</f>
        <v>0</v>
      </c>
      <c r="G606" t="str">
        <f>'ERP_AP7 Macro Failed'!K608</f>
        <v>MISC001</v>
      </c>
      <c r="H606" s="487" t="e" cm="1">
        <f t="array" ref="H606">SUMPRODUCT((ERP[UID]=A606)*(ERP[AP01]+ERP[AP02]+ERP[AP03]+ERP[AP04]+ERP[AP05]))</f>
        <v>#VALUE!</v>
      </c>
      <c r="I606" s="487" cm="1">
        <f t="array" ref="I606">SUMPRODUCT((ERP[UID]=A606)*(ERP[AP01 LE2]+ERP[AP02 LE2]+ERP[AP03 LE2]+ERP[AP04 LE2]+ERP[AP05 LE2]))</f>
        <v>0.62000000000000011</v>
      </c>
      <c r="J606" s="487">
        <f>'ERP_AP7 Macro Failed'!AL608</f>
        <v>7.999999999999996E-2</v>
      </c>
      <c r="K606" t="str">
        <f t="shared" si="18"/>
        <v>Immaterial</v>
      </c>
      <c r="L606" t="str">
        <f t="shared" si="19"/>
        <v>No</v>
      </c>
    </row>
    <row r="607" spans="1:12">
      <c r="A607" t="str">
        <f>'ERP_AP7 Macro Failed'!A609</f>
        <v>L-ERP-335</v>
      </c>
      <c r="B607" t="str">
        <f>'ERP_AP7 Macro Failed'!D609</f>
        <v>Dougherty, Chris</v>
      </c>
      <c r="C607" t="str">
        <f>'ERP_AP7 Macro Failed'!E609</f>
        <v>Maguire, Karla</v>
      </c>
      <c r="D607" t="str">
        <f>'ERP_AP7 Macro Failed'!G609</f>
        <v>MANAGED SERVICES</v>
      </c>
      <c r="E607" t="str">
        <f>'ERP_AP7 Macro Failed'!H609</f>
        <v>Miscellaneous Charges</v>
      </c>
      <c r="F607">
        <f>'ERP_AP7 Macro Failed'!I609</f>
        <v>0</v>
      </c>
      <c r="G607" t="str">
        <f>'ERP_AP7 Macro Failed'!K609</f>
        <v>MISC001</v>
      </c>
      <c r="H607" s="487" t="e" cm="1">
        <f t="array" ref="H607">SUMPRODUCT((ERP[UID]=A607)*(ERP[AP01]+ERP[AP02]+ERP[AP03]+ERP[AP04]+ERP[AP05]))</f>
        <v>#VALUE!</v>
      </c>
      <c r="I607" s="487" cm="1">
        <f t="array" ref="I607">SUMPRODUCT((ERP[UID]=A607)*(ERP[AP01 LE2]+ERP[AP02 LE2]+ERP[AP03 LE2]+ERP[AP04 LE2]+ERP[AP05 LE2]))</f>
        <v>1777.1799999999998</v>
      </c>
      <c r="J607" s="487">
        <f>'ERP_AP7 Macro Failed'!AL609</f>
        <v>3015.8700000000003</v>
      </c>
      <c r="K607" t="str">
        <f t="shared" si="18"/>
        <v>Minor</v>
      </c>
      <c r="L607" t="str">
        <f t="shared" si="19"/>
        <v>No</v>
      </c>
    </row>
    <row r="608" spans="1:12">
      <c r="A608" t="str">
        <f>'ERP_AP7 Macro Failed'!A610</f>
        <v>L-ERP-340</v>
      </c>
      <c r="B608" t="str">
        <f>'ERP_AP7 Macro Failed'!D610</f>
        <v>Dougherty, Chris</v>
      </c>
      <c r="C608" t="str">
        <f>'ERP_AP7 Macro Failed'!E610</f>
        <v>Maguire, Karla</v>
      </c>
      <c r="D608" t="str">
        <f>'ERP_AP7 Macro Failed'!G610</f>
        <v>SOFTWARE</v>
      </c>
      <c r="E608" t="str">
        <f>'ERP_AP7 Macro Failed'!H610</f>
        <v>Miscellaneous Charges</v>
      </c>
      <c r="F608">
        <f>'ERP_AP7 Macro Failed'!I610</f>
        <v>0</v>
      </c>
      <c r="G608" t="str">
        <f>'ERP_AP7 Macro Failed'!K610</f>
        <v>MISC001</v>
      </c>
      <c r="H608" s="487" t="e" cm="1">
        <f t="array" ref="H608">SUMPRODUCT((ERP[UID]=A608)*(ERP[AP01]+ERP[AP02]+ERP[AP03]+ERP[AP04]+ERP[AP05]))</f>
        <v>#VALUE!</v>
      </c>
      <c r="I608" s="487" cm="1">
        <f t="array" ref="I608">SUMPRODUCT((ERP[UID]=A608)*(ERP[AP01 LE2]+ERP[AP02 LE2]+ERP[AP03 LE2]+ERP[AP04 LE2]+ERP[AP05 LE2]))</f>
        <v>-1868.9199999999998</v>
      </c>
      <c r="J608" s="487">
        <f>'ERP_AP7 Macro Failed'!AL610</f>
        <v>11.069999999999936</v>
      </c>
      <c r="K608" t="str">
        <f t="shared" si="18"/>
        <v>Immaterial</v>
      </c>
      <c r="L608" t="str">
        <f t="shared" si="19"/>
        <v>No</v>
      </c>
    </row>
    <row r="609" spans="1:12">
      <c r="A609" t="str">
        <f>'ERP_AP7 Macro Failed'!A611</f>
        <v>L-ERP-390</v>
      </c>
      <c r="B609" t="str">
        <f>'ERP_AP7 Macro Failed'!D611</f>
        <v>McGettigan, David</v>
      </c>
      <c r="C609" t="str">
        <f>'ERP_AP7 Macro Failed'!E611</f>
        <v>McGettigan, David</v>
      </c>
      <c r="D609" t="str">
        <f>'ERP_AP7 Macro Failed'!G611</f>
        <v>CONTRACTORS</v>
      </c>
      <c r="E609" t="str">
        <f>'ERP_AP7 Macro Failed'!H611</f>
        <v>Miscellaneous Charges</v>
      </c>
      <c r="F609">
        <f>'ERP_AP7 Macro Failed'!I611</f>
        <v>0</v>
      </c>
      <c r="G609" t="str">
        <f>'ERP_AP7 Macro Failed'!K611</f>
        <v>MISC001</v>
      </c>
      <c r="H609" s="487" t="e" cm="1">
        <f t="array" ref="H609">SUMPRODUCT((ERP[UID]=A609)*(ERP[AP01]+ERP[AP02]+ERP[AP03]+ERP[AP04]+ERP[AP05]))</f>
        <v>#VALUE!</v>
      </c>
      <c r="I609" s="487" cm="1">
        <f t="array" ref="I609">SUMPRODUCT((ERP[UID]=A609)*(ERP[AP01 LE2]+ERP[AP02 LE2]+ERP[AP03 LE2]+ERP[AP04 LE2]+ERP[AP05 LE2]))</f>
        <v>-2284.04</v>
      </c>
      <c r="J609" s="487">
        <f>'ERP_AP7 Macro Failed'!AL611</f>
        <v>96224.099999999991</v>
      </c>
      <c r="K609" t="str">
        <f t="shared" si="18"/>
        <v>MATERIAL</v>
      </c>
      <c r="L609" t="str">
        <f t="shared" si="19"/>
        <v>YES</v>
      </c>
    </row>
    <row r="610" spans="1:12">
      <c r="A610" t="str">
        <f>'ERP_AP7 Macro Failed'!A612</f>
        <v>L-ERP-391</v>
      </c>
      <c r="B610" t="str">
        <f>'ERP_AP7 Macro Failed'!D612</f>
        <v>McGettigan, David</v>
      </c>
      <c r="C610" t="str">
        <f>'ERP_AP7 Macro Failed'!E612</f>
        <v>McGettigan, David</v>
      </c>
      <c r="D610" t="str">
        <f>'ERP_AP7 Macro Failed'!G612</f>
        <v>SOFTWARE</v>
      </c>
      <c r="E610" t="str">
        <f>'ERP_AP7 Macro Failed'!H612</f>
        <v>Miscellaneous Charges</v>
      </c>
      <c r="F610">
        <f>'ERP_AP7 Macro Failed'!I612</f>
        <v>0</v>
      </c>
      <c r="G610" t="str">
        <f>'ERP_AP7 Macro Failed'!K612</f>
        <v>MISC001</v>
      </c>
      <c r="H610" s="487" t="e" cm="1">
        <f t="array" ref="H610">SUMPRODUCT((ERP[UID]=A610)*(ERP[AP01]+ERP[AP02]+ERP[AP03]+ERP[AP04]+ERP[AP05]))</f>
        <v>#VALUE!</v>
      </c>
      <c r="I610" s="487" cm="1">
        <f t="array" ref="I610">SUMPRODUCT((ERP[UID]=A610)*(ERP[AP01 LE2]+ERP[AP02 LE2]+ERP[AP03 LE2]+ERP[AP04 LE2]+ERP[AP05 LE2]))</f>
        <v>-711.61</v>
      </c>
      <c r="J610" s="487">
        <f>'ERP_AP7 Macro Failed'!AL612</f>
        <v>-0.28999999999996362</v>
      </c>
      <c r="K610" t="str">
        <f t="shared" si="18"/>
        <v>Immaterial</v>
      </c>
      <c r="L610" t="str">
        <f t="shared" si="19"/>
        <v>No</v>
      </c>
    </row>
    <row r="611" spans="1:12">
      <c r="A611" t="str">
        <f>'ERP_AP7 Macro Failed'!A613</f>
        <v>L-ERP-392</v>
      </c>
      <c r="B611" t="str">
        <f>'ERP_AP7 Macro Failed'!D613</f>
        <v>McGettigan, David</v>
      </c>
      <c r="C611" t="str">
        <f>'ERP_AP7 Macro Failed'!E613</f>
        <v>McGettigan, David</v>
      </c>
      <c r="D611" t="str">
        <f>'ERP_AP7 Macro Failed'!G613</f>
        <v>HW MAINTENANCE</v>
      </c>
      <c r="E611" t="str">
        <f>'ERP_AP7 Macro Failed'!H613</f>
        <v>Miscellaneous Charges</v>
      </c>
      <c r="F611">
        <f>'ERP_AP7 Macro Failed'!I613</f>
        <v>0</v>
      </c>
      <c r="G611" t="str">
        <f>'ERP_AP7 Macro Failed'!K613</f>
        <v>MISC001</v>
      </c>
      <c r="H611" s="487" t="e" cm="1">
        <f t="array" ref="H611">SUMPRODUCT((ERP[UID]=A611)*(ERP[AP01]+ERP[AP02]+ERP[AP03]+ERP[AP04]+ERP[AP05]))</f>
        <v>#VALUE!</v>
      </c>
      <c r="I611" s="487" cm="1">
        <f t="array" ref="I611">SUMPRODUCT((ERP[UID]=A611)*(ERP[AP01 LE2]+ERP[AP02 LE2]+ERP[AP03 LE2]+ERP[AP04 LE2]+ERP[AP05 LE2]))</f>
        <v>-0.23</v>
      </c>
      <c r="J611" s="487">
        <f>'ERP_AP7 Macro Failed'!AL613</f>
        <v>-1.0000000000000009E-2</v>
      </c>
      <c r="K611" t="str">
        <f t="shared" si="18"/>
        <v>Immaterial</v>
      </c>
      <c r="L611" t="str">
        <f t="shared" si="19"/>
        <v>No</v>
      </c>
    </row>
    <row r="612" spans="1:12">
      <c r="A612" t="str">
        <f>'ERP_AP7 Macro Failed'!A614</f>
        <v>L-ERP-411</v>
      </c>
      <c r="B612" t="str">
        <f>'ERP_AP7 Macro Failed'!D614</f>
        <v>McGettigan, David</v>
      </c>
      <c r="C612" t="str">
        <f>'ERP_AP7 Macro Failed'!E614</f>
        <v>McGettigan, David</v>
      </c>
      <c r="D612" t="str">
        <f>'ERP_AP7 Macro Failed'!G614</f>
        <v>MANAGED SERVICES</v>
      </c>
      <c r="E612" t="str">
        <f>'ERP_AP7 Macro Failed'!H614</f>
        <v>Miscellaneous Charges</v>
      </c>
      <c r="F612">
        <f>'ERP_AP7 Macro Failed'!I614</f>
        <v>0</v>
      </c>
      <c r="G612" t="str">
        <f>'ERP_AP7 Macro Failed'!K614</f>
        <v>MISC001</v>
      </c>
      <c r="H612" s="487" t="e" cm="1">
        <f t="array" ref="H612">SUMPRODUCT((ERP[UID]=A612)*(ERP[AP01]+ERP[AP02]+ERP[AP03]+ERP[AP04]+ERP[AP05]))</f>
        <v>#VALUE!</v>
      </c>
      <c r="I612" s="487" cm="1">
        <f t="array" ref="I612">SUMPRODUCT((ERP[UID]=A612)*(ERP[AP01 LE2]+ERP[AP02 LE2]+ERP[AP03 LE2]+ERP[AP04 LE2]+ERP[AP05 LE2]))</f>
        <v>1501.59</v>
      </c>
      <c r="J612" s="487">
        <f>'ERP_AP7 Macro Failed'!AL614</f>
        <v>1250.3900000000001</v>
      </c>
      <c r="K612" t="str">
        <f t="shared" si="18"/>
        <v>Minor</v>
      </c>
      <c r="L612" t="str">
        <f t="shared" si="19"/>
        <v>No</v>
      </c>
    </row>
    <row r="613" spans="1:12">
      <c r="A613" t="str">
        <f>'ERP_AP7 Macro Failed'!A615</f>
        <v>L-ERP-371</v>
      </c>
      <c r="B613" t="str">
        <f>'ERP_AP7 Macro Failed'!D615</f>
        <v>Dougherty, Chris</v>
      </c>
      <c r="C613" t="str">
        <f>'ERP_AP7 Macro Failed'!E615</f>
        <v>McCormick, Pete</v>
      </c>
      <c r="D613" t="str">
        <f>'ERP_AP7 Macro Failed'!G615</f>
        <v>CONTRACTORS</v>
      </c>
      <c r="E613" t="str">
        <f>'ERP_AP7 Macro Failed'!H615</f>
        <v>Miscellaneous Charges</v>
      </c>
      <c r="F613">
        <f>'ERP_AP7 Macro Failed'!I615</f>
        <v>0</v>
      </c>
      <c r="G613" t="str">
        <f>'ERP_AP7 Macro Failed'!K615</f>
        <v>MISC001</v>
      </c>
      <c r="H613" s="487" t="e" cm="1">
        <f t="array" ref="H613">SUMPRODUCT((ERP[UID]=A613)*(ERP[AP01]+ERP[AP02]+ERP[AP03]+ERP[AP04]+ERP[AP05]))</f>
        <v>#VALUE!</v>
      </c>
      <c r="I613" s="487" cm="1">
        <f t="array" ref="I613">SUMPRODUCT((ERP[UID]=A613)*(ERP[AP01 LE2]+ERP[AP02 LE2]+ERP[AP03 LE2]+ERP[AP04 LE2]+ERP[AP05 LE2]))</f>
        <v>5030.5599999999995</v>
      </c>
      <c r="J613" s="487">
        <f>'ERP_AP7 Macro Failed'!AL615</f>
        <v>0.39000000000032742</v>
      </c>
      <c r="K613" t="str">
        <f t="shared" si="18"/>
        <v>Immaterial</v>
      </c>
      <c r="L613" t="str">
        <f t="shared" si="19"/>
        <v>No</v>
      </c>
    </row>
    <row r="614" spans="1:12">
      <c r="A614" t="str">
        <f>'ERP_AP7 Macro Failed'!A616</f>
        <v>L-ERP-374</v>
      </c>
      <c r="B614" t="str">
        <f>'ERP_AP7 Macro Failed'!D616</f>
        <v>Dougherty, Chris</v>
      </c>
      <c r="C614" t="str">
        <f>'ERP_AP7 Macro Failed'!E616</f>
        <v>McCormick, Pete</v>
      </c>
      <c r="D614" t="str">
        <f>'ERP_AP7 Macro Failed'!G616</f>
        <v>MANAGED SERVICES</v>
      </c>
      <c r="E614" t="str">
        <f>'ERP_AP7 Macro Failed'!H616</f>
        <v>Miscellaneous Charges</v>
      </c>
      <c r="F614">
        <f>'ERP_AP7 Macro Failed'!I616</f>
        <v>0</v>
      </c>
      <c r="G614" t="str">
        <f>'ERP_AP7 Macro Failed'!K616</f>
        <v>MISC001</v>
      </c>
      <c r="H614" s="487" t="e" cm="1">
        <f t="array" ref="H614">SUMPRODUCT((ERP[UID]=A614)*(ERP[AP01]+ERP[AP02]+ERP[AP03]+ERP[AP04]+ERP[AP05]))</f>
        <v>#VALUE!</v>
      </c>
      <c r="I614" s="487" cm="1">
        <f t="array" ref="I614">SUMPRODUCT((ERP[UID]=A614)*(ERP[AP01 LE2]+ERP[AP02 LE2]+ERP[AP03 LE2]+ERP[AP04 LE2]+ERP[AP05 LE2]))</f>
        <v>-0.12</v>
      </c>
      <c r="J614" s="487">
        <f>'ERP_AP7 Macro Failed'!AL616</f>
        <v>-0.18999999999999995</v>
      </c>
      <c r="K614" t="str">
        <f t="shared" si="18"/>
        <v>Immaterial</v>
      </c>
      <c r="L614" t="str">
        <f t="shared" si="19"/>
        <v>No</v>
      </c>
    </row>
    <row r="615" spans="1:12">
      <c r="A615" t="str">
        <f>'ERP_AP7 Macro Failed'!A617</f>
        <v>L-ERP-377</v>
      </c>
      <c r="B615" t="str">
        <f>'ERP_AP7 Macro Failed'!D617</f>
        <v>Dougherty, Chris</v>
      </c>
      <c r="C615" t="str">
        <f>'ERP_AP7 Macro Failed'!E617</f>
        <v>McCormick, Pete</v>
      </c>
      <c r="D615" t="str">
        <f>'ERP_AP7 Macro Failed'!G617</f>
        <v>SOFTWARE</v>
      </c>
      <c r="E615" t="str">
        <f>'ERP_AP7 Macro Failed'!H617</f>
        <v>Miscellaneous Charges</v>
      </c>
      <c r="F615">
        <f>'ERP_AP7 Macro Failed'!I617</f>
        <v>0</v>
      </c>
      <c r="G615" t="str">
        <f>'ERP_AP7 Macro Failed'!K617</f>
        <v>MISC001</v>
      </c>
      <c r="H615" s="487" t="e" cm="1">
        <f t="array" ref="H615">SUMPRODUCT((ERP[UID]=A615)*(ERP[AP01]+ERP[AP02]+ERP[AP03]+ERP[AP04]+ERP[AP05]))</f>
        <v>#VALUE!</v>
      </c>
      <c r="I615" s="487" cm="1">
        <f t="array" ref="I615">SUMPRODUCT((ERP[UID]=A615)*(ERP[AP01 LE2]+ERP[AP02 LE2]+ERP[AP03 LE2]+ERP[AP04 LE2]+ERP[AP05 LE2]))</f>
        <v>-0.26</v>
      </c>
      <c r="J615" s="487">
        <f>'ERP_AP7 Macro Failed'!AL617</f>
        <v>-0.13999999999991813</v>
      </c>
      <c r="K615" t="str">
        <f t="shared" si="18"/>
        <v>Immaterial</v>
      </c>
      <c r="L615" t="str">
        <f t="shared" si="19"/>
        <v>No</v>
      </c>
    </row>
    <row r="616" spans="1:12">
      <c r="A616" t="str">
        <f>'ERP_AP7 Macro Failed'!A618</f>
        <v>L-ERP-445</v>
      </c>
      <c r="B616" t="str">
        <f>'ERP_AP7 Macro Failed'!D618</f>
        <v>Dougherty, Chris</v>
      </c>
      <c r="C616" t="str">
        <f>'ERP_AP7 Macro Failed'!E618</f>
        <v>Meadows, Leslie</v>
      </c>
      <c r="D616" t="str">
        <f>'ERP_AP7 Macro Failed'!G618</f>
        <v>CONTRACTORS</v>
      </c>
      <c r="E616" t="str">
        <f>'ERP_AP7 Macro Failed'!H618</f>
        <v>Miscellaneous Charges</v>
      </c>
      <c r="F616">
        <f>'ERP_AP7 Macro Failed'!I618</f>
        <v>0</v>
      </c>
      <c r="G616" t="str">
        <f>'ERP_AP7 Macro Failed'!K618</f>
        <v>MISC001</v>
      </c>
      <c r="H616" s="487" t="e" cm="1">
        <f t="array" ref="H616">SUMPRODUCT((ERP[UID]=A616)*(ERP[AP01]+ERP[AP02]+ERP[AP03]+ERP[AP04]+ERP[AP05]))</f>
        <v>#VALUE!</v>
      </c>
      <c r="I616" s="487" cm="1">
        <f t="array" ref="I616">SUMPRODUCT((ERP[UID]=A616)*(ERP[AP01 LE2]+ERP[AP02 LE2]+ERP[AP03 LE2]+ERP[AP04 LE2]+ERP[AP05 LE2]))</f>
        <v>-0.26</v>
      </c>
      <c r="J616" s="487">
        <f>'ERP_AP7 Macro Failed'!AL618</f>
        <v>3.0000000000000027E-2</v>
      </c>
      <c r="K616" t="str">
        <f t="shared" si="18"/>
        <v>Immaterial</v>
      </c>
      <c r="L616" t="str">
        <f t="shared" si="19"/>
        <v>No</v>
      </c>
    </row>
    <row r="617" spans="1:12">
      <c r="A617" t="str">
        <f>'ERP_AP7 Macro Failed'!A619</f>
        <v>L-ERP-486</v>
      </c>
      <c r="B617" t="str">
        <f>'ERP_AP7 Macro Failed'!D619</f>
        <v>Robertson, Jerome</v>
      </c>
      <c r="C617" t="str">
        <f>'ERP_AP7 Macro Failed'!E619</f>
        <v>Robertson, Jerome</v>
      </c>
      <c r="D617" t="str">
        <f>'ERP_AP7 Macro Failed'!G619</f>
        <v>CONTRACTORS</v>
      </c>
      <c r="E617" t="str">
        <f>'ERP_AP7 Macro Failed'!H619</f>
        <v>Miscellaneous Charges</v>
      </c>
      <c r="F617">
        <f>'ERP_AP7 Macro Failed'!I619</f>
        <v>0</v>
      </c>
      <c r="G617" t="str">
        <f>'ERP_AP7 Macro Failed'!K619</f>
        <v>MISC001</v>
      </c>
      <c r="H617" s="487" t="e" cm="1">
        <f t="array" ref="H617">SUMPRODUCT((ERP[UID]=A617)*(ERP[AP01]+ERP[AP02]+ERP[AP03]+ERP[AP04]+ERP[AP05]))</f>
        <v>#VALUE!</v>
      </c>
      <c r="I617" s="487" cm="1">
        <f t="array" ref="I617">SUMPRODUCT((ERP[UID]=A617)*(ERP[AP01 LE2]+ERP[AP02 LE2]+ERP[AP03 LE2]+ERP[AP04 LE2]+ERP[AP05 LE2]))</f>
        <v>79.110000000000298</v>
      </c>
      <c r="J617" s="487">
        <f>'ERP_AP7 Macro Failed'!AL619</f>
        <v>-20721.169999999998</v>
      </c>
      <c r="K617" t="str">
        <f t="shared" si="18"/>
        <v>MATERIAL</v>
      </c>
      <c r="L617" t="str">
        <f t="shared" si="19"/>
        <v>YES</v>
      </c>
    </row>
    <row r="618" spans="1:12">
      <c r="A618" t="str">
        <f>'ERP_AP7 Macro Failed'!A620</f>
        <v>L-ERP-487</v>
      </c>
      <c r="B618" t="str">
        <f>'ERP_AP7 Macro Failed'!D620</f>
        <v>Robertson, Jerome</v>
      </c>
      <c r="C618" t="str">
        <f>'ERP_AP7 Macro Failed'!E620</f>
        <v>Robertson, Jerome</v>
      </c>
      <c r="D618" t="str">
        <f>'ERP_AP7 Macro Failed'!G620</f>
        <v>HW MAINTENANCE</v>
      </c>
      <c r="E618" t="str">
        <f>'ERP_AP7 Macro Failed'!H620</f>
        <v>Miscellaneous Charges</v>
      </c>
      <c r="F618">
        <f>'ERP_AP7 Macro Failed'!I620</f>
        <v>0</v>
      </c>
      <c r="G618" t="str">
        <f>'ERP_AP7 Macro Failed'!K620</f>
        <v>MISC001</v>
      </c>
      <c r="H618" s="487" t="e" cm="1">
        <f t="array" ref="H618">SUMPRODUCT((ERP[UID]=A618)*(ERP[AP01]+ERP[AP02]+ERP[AP03]+ERP[AP04]+ERP[AP05]))</f>
        <v>#VALUE!</v>
      </c>
      <c r="I618" s="487" cm="1">
        <f t="array" ref="I618">SUMPRODUCT((ERP[UID]=A618)*(ERP[AP01 LE2]+ERP[AP02 LE2]+ERP[AP03 LE2]+ERP[AP04 LE2]+ERP[AP05 LE2]))</f>
        <v>420.97</v>
      </c>
      <c r="J618" s="487">
        <f>'ERP_AP7 Macro Failed'!AL620</f>
        <v>9.9999999999965894E-2</v>
      </c>
      <c r="K618" t="str">
        <f t="shared" si="18"/>
        <v>Immaterial</v>
      </c>
      <c r="L618" t="str">
        <f t="shared" si="19"/>
        <v>No</v>
      </c>
    </row>
    <row r="619" spans="1:12">
      <c r="A619" t="str">
        <f>'ERP_AP7 Macro Failed'!A621</f>
        <v>L-ERP-489</v>
      </c>
      <c r="B619" t="str">
        <f>'ERP_AP7 Macro Failed'!D621</f>
        <v>Robertson, Jerome</v>
      </c>
      <c r="C619" t="str">
        <f>'ERP_AP7 Macro Failed'!E621</f>
        <v>Robertson, Jerome</v>
      </c>
      <c r="D619" t="str">
        <f>'ERP_AP7 Macro Failed'!G621</f>
        <v>MANAGED SERVICES</v>
      </c>
      <c r="E619" t="str">
        <f>'ERP_AP7 Macro Failed'!H621</f>
        <v>Miscellaneous Charges</v>
      </c>
      <c r="F619">
        <f>'ERP_AP7 Macro Failed'!I621</f>
        <v>0</v>
      </c>
      <c r="G619" t="str">
        <f>'ERP_AP7 Macro Failed'!K621</f>
        <v>MISC001</v>
      </c>
      <c r="H619" s="487" t="e" cm="1">
        <f t="array" ref="H619">SUMPRODUCT((ERP[UID]=A619)*(ERP[AP01]+ERP[AP02]+ERP[AP03]+ERP[AP04]+ERP[AP05]))</f>
        <v>#VALUE!</v>
      </c>
      <c r="I619" s="487" cm="1">
        <f t="array" ref="I619">SUMPRODUCT((ERP[UID]=A619)*(ERP[AP01 LE2]+ERP[AP02 LE2]+ERP[AP03 LE2]+ERP[AP04 LE2]+ERP[AP05 LE2]))</f>
        <v>-0.03</v>
      </c>
      <c r="J619" s="487">
        <f>'ERP_AP7 Macro Failed'!AL621</f>
        <v>341292.38000000006</v>
      </c>
      <c r="K619" t="str">
        <f t="shared" si="18"/>
        <v>MATERIAL</v>
      </c>
      <c r="L619" t="str">
        <f t="shared" si="19"/>
        <v>YES</v>
      </c>
    </row>
    <row r="620" spans="1:12">
      <c r="A620" t="str">
        <f>'ERP_AP7 Macro Failed'!A622</f>
        <v>L-ERP-492</v>
      </c>
      <c r="B620" t="str">
        <f>'ERP_AP7 Macro Failed'!D622</f>
        <v>Robertson, Jerome</v>
      </c>
      <c r="C620" t="str">
        <f>'ERP_AP7 Macro Failed'!E622</f>
        <v>Robertson, Jerome</v>
      </c>
      <c r="D620" t="str">
        <f>'ERP_AP7 Macro Failed'!G622</f>
        <v>SOFTWARE</v>
      </c>
      <c r="E620" t="str">
        <f>'ERP_AP7 Macro Failed'!H622</f>
        <v>Miscellaneous Charges</v>
      </c>
      <c r="F620">
        <f>'ERP_AP7 Macro Failed'!I622</f>
        <v>0</v>
      </c>
      <c r="G620" t="str">
        <f>'ERP_AP7 Macro Failed'!K622</f>
        <v>MISC001</v>
      </c>
      <c r="H620" s="487" t="e" cm="1">
        <f t="array" ref="H620">SUMPRODUCT((ERP[UID]=A620)*(ERP[AP01]+ERP[AP02]+ERP[AP03]+ERP[AP04]+ERP[AP05]))</f>
        <v>#VALUE!</v>
      </c>
      <c r="I620" s="487" cm="1">
        <f t="array" ref="I620">SUMPRODUCT((ERP[UID]=A620)*(ERP[AP01 LE2]+ERP[AP02 LE2]+ERP[AP03 LE2]+ERP[AP04 LE2]+ERP[AP05 LE2]))</f>
        <v>227.23999999999998</v>
      </c>
      <c r="J620" s="487">
        <f>'ERP_AP7 Macro Failed'!AL622</f>
        <v>-0.24000000000000909</v>
      </c>
      <c r="K620" t="str">
        <f t="shared" si="18"/>
        <v>Immaterial</v>
      </c>
      <c r="L620" t="str">
        <f t="shared" si="19"/>
        <v>No</v>
      </c>
    </row>
    <row r="621" spans="1:12">
      <c r="A621" t="str">
        <f>'ERP_AP7 Macro Failed'!A623</f>
        <v>L-ERP-447</v>
      </c>
      <c r="B621" t="str">
        <f>'ERP_AP7 Macro Failed'!D623</f>
        <v>Dougherty, Chris</v>
      </c>
      <c r="C621" t="str">
        <f>'ERP_AP7 Macro Failed'!E623</f>
        <v>Meadows, Leslie</v>
      </c>
      <c r="D621" t="str">
        <f>'ERP_AP7 Macro Failed'!G623</f>
        <v>MANAGED SERVICES</v>
      </c>
      <c r="E621" t="str">
        <f>'ERP_AP7 Macro Failed'!H623</f>
        <v>Miscellaneous Charges</v>
      </c>
      <c r="F621">
        <f>'ERP_AP7 Macro Failed'!I623</f>
        <v>0</v>
      </c>
      <c r="G621" t="str">
        <f>'ERP_AP7 Macro Failed'!K623</f>
        <v>MISC001</v>
      </c>
      <c r="H621" s="487" t="e" cm="1">
        <f t="array" ref="H621">SUMPRODUCT((ERP[UID]=A621)*(ERP[AP01]+ERP[AP02]+ERP[AP03]+ERP[AP04]+ERP[AP05]))</f>
        <v>#VALUE!</v>
      </c>
      <c r="I621" s="487" cm="1">
        <f t="array" ref="I621">SUMPRODUCT((ERP[UID]=A621)*(ERP[AP01 LE2]+ERP[AP02 LE2]+ERP[AP03 LE2]+ERP[AP04 LE2]+ERP[AP05 LE2]))</f>
        <v>-0.16999999999999998</v>
      </c>
      <c r="J621" s="487">
        <f>'ERP_AP7 Macro Failed'!AL623</f>
        <v>0.10000000000000003</v>
      </c>
      <c r="K621" t="str">
        <f t="shared" si="18"/>
        <v>Immaterial</v>
      </c>
      <c r="L621" t="str">
        <f t="shared" si="19"/>
        <v>No</v>
      </c>
    </row>
    <row r="622" spans="1:12">
      <c r="A622" t="str">
        <f>'ERP_AP7 Macro Failed'!A624</f>
        <v>L-ERP-448</v>
      </c>
      <c r="B622" t="str">
        <f>'ERP_AP7 Macro Failed'!D624</f>
        <v>Dougherty, Chris</v>
      </c>
      <c r="C622" t="str">
        <f>'ERP_AP7 Macro Failed'!E624</f>
        <v>Meadows, Leslie</v>
      </c>
      <c r="D622" t="str">
        <f>'ERP_AP7 Macro Failed'!G624</f>
        <v>SOFTWARE</v>
      </c>
      <c r="E622" t="str">
        <f>'ERP_AP7 Macro Failed'!H624</f>
        <v>Miscellaneous Charges</v>
      </c>
      <c r="F622">
        <f>'ERP_AP7 Macro Failed'!I624</f>
        <v>0</v>
      </c>
      <c r="G622" t="str">
        <f>'ERP_AP7 Macro Failed'!K624</f>
        <v>MISC001</v>
      </c>
      <c r="H622" s="487" t="e" cm="1">
        <f t="array" ref="H622">SUMPRODUCT((ERP[UID]=A622)*(ERP[AP01]+ERP[AP02]+ERP[AP03]+ERP[AP04]+ERP[AP05]))</f>
        <v>#VALUE!</v>
      </c>
      <c r="I622" s="487" cm="1">
        <f t="array" ref="I622">SUMPRODUCT((ERP[UID]=A622)*(ERP[AP01 LE2]+ERP[AP02 LE2]+ERP[AP03 LE2]+ERP[AP04 LE2]+ERP[AP05 LE2]))</f>
        <v>0.26</v>
      </c>
      <c r="J622" s="487">
        <f>'ERP_AP7 Macro Failed'!AL624</f>
        <v>0</v>
      </c>
      <c r="K622" t="str">
        <f t="shared" si="18"/>
        <v>Immaterial</v>
      </c>
      <c r="L622" t="str">
        <f t="shared" si="19"/>
        <v>No</v>
      </c>
    </row>
    <row r="623" spans="1:12">
      <c r="A623" t="str">
        <f>'ERP_AP7 Macro Failed'!A625</f>
        <v>L-ERP-476</v>
      </c>
      <c r="B623" t="str">
        <f>'ERP_AP7 Macro Failed'!D625</f>
        <v>Dougherty, Chris</v>
      </c>
      <c r="C623" t="str">
        <f>'ERP_AP7 Macro Failed'!E625</f>
        <v>Patel, Nikunj Rohitkumar</v>
      </c>
      <c r="D623" t="str">
        <f>'ERP_AP7 Macro Failed'!G625</f>
        <v>SOFTWARE</v>
      </c>
      <c r="E623" t="str">
        <f>'ERP_AP7 Macro Failed'!H625</f>
        <v>Miscellaneous Charges</v>
      </c>
      <c r="F623">
        <f>'ERP_AP7 Macro Failed'!I625</f>
        <v>0</v>
      </c>
      <c r="G623" t="str">
        <f>'ERP_AP7 Macro Failed'!K625</f>
        <v>MISC001</v>
      </c>
      <c r="H623" s="487" t="e" cm="1">
        <f t="array" ref="H623">SUMPRODUCT((ERP[UID]=A623)*(ERP[AP01]+ERP[AP02]+ERP[AP03]+ERP[AP04]+ERP[AP05]))</f>
        <v>#VALUE!</v>
      </c>
      <c r="I623" s="487" cm="1">
        <f t="array" ref="I623">SUMPRODUCT((ERP[UID]=A623)*(ERP[AP01 LE2]+ERP[AP02 LE2]+ERP[AP03 LE2]+ERP[AP04 LE2]+ERP[AP05 LE2]))</f>
        <v>0.13</v>
      </c>
      <c r="J623" s="487">
        <f>'ERP_AP7 Macro Failed'!AL625</f>
        <v>0.13</v>
      </c>
      <c r="K623" t="str">
        <f t="shared" si="18"/>
        <v>Immaterial</v>
      </c>
      <c r="L623" t="str">
        <f t="shared" si="19"/>
        <v>No</v>
      </c>
    </row>
    <row r="624" spans="1:12">
      <c r="A624" t="str">
        <f>'ERP_AP7 Macro Failed'!A626</f>
        <v>L-ERP-557</v>
      </c>
      <c r="B624" t="str">
        <f>'ERP_AP7 Macro Failed'!D626</f>
        <v>Hase, Raj</v>
      </c>
      <c r="C624" t="str">
        <f>'ERP_AP7 Macro Failed'!E626</f>
        <v>Vaidya, Sachin</v>
      </c>
      <c r="D624" t="str">
        <f>'ERP_AP7 Macro Failed'!G626</f>
        <v>CONTRACTORS</v>
      </c>
      <c r="E624" t="str">
        <f>'ERP_AP7 Macro Failed'!H626</f>
        <v>Miscellaneous Charges</v>
      </c>
      <c r="F624">
        <f>'ERP_AP7 Macro Failed'!I626</f>
        <v>0</v>
      </c>
      <c r="G624" t="str">
        <f>'ERP_AP7 Macro Failed'!K626</f>
        <v>MISC001</v>
      </c>
      <c r="H624" s="487" t="e" cm="1">
        <f t="array" ref="H624">SUMPRODUCT((ERP[UID]=A624)*(ERP[AP01]+ERP[AP02]+ERP[AP03]+ERP[AP04]+ERP[AP05]))</f>
        <v>#VALUE!</v>
      </c>
      <c r="I624" s="487" cm="1">
        <f t="array" ref="I624">SUMPRODUCT((ERP[UID]=A624)*(ERP[AP01 LE2]+ERP[AP02 LE2]+ERP[AP03 LE2]+ERP[AP04 LE2]+ERP[AP05 LE2]))</f>
        <v>0</v>
      </c>
      <c r="J624" s="487">
        <f>'ERP_AP7 Macro Failed'!AL626</f>
        <v>0.21000000000000002</v>
      </c>
      <c r="K624" t="str">
        <f t="shared" si="18"/>
        <v>Immaterial</v>
      </c>
      <c r="L624" t="str">
        <f t="shared" si="19"/>
        <v>No</v>
      </c>
    </row>
    <row r="625" spans="1:12">
      <c r="A625" t="str">
        <f>'ERP_AP7 Macro Failed'!A627</f>
        <v>L-ERP-564</v>
      </c>
      <c r="B625" t="str">
        <f>'ERP_AP7 Macro Failed'!D627</f>
        <v>Hase, Raj</v>
      </c>
      <c r="C625" t="str">
        <f>'ERP_AP7 Macro Failed'!E627</f>
        <v>Vaidya, Sachin</v>
      </c>
      <c r="D625" t="str">
        <f>'ERP_AP7 Macro Failed'!G627</f>
        <v>SOFTWARE</v>
      </c>
      <c r="E625" t="str">
        <f>'ERP_AP7 Macro Failed'!H627</f>
        <v>Miscellaneous Charges</v>
      </c>
      <c r="F625">
        <f>'ERP_AP7 Macro Failed'!I627</f>
        <v>0</v>
      </c>
      <c r="G625" t="str">
        <f>'ERP_AP7 Macro Failed'!K627</f>
        <v>MISC001</v>
      </c>
      <c r="H625" s="487" t="e" cm="1">
        <f t="array" ref="H625">SUMPRODUCT((ERP[UID]=A625)*(ERP[AP01]+ERP[AP02]+ERP[AP03]+ERP[AP04]+ERP[AP05]))</f>
        <v>#VALUE!</v>
      </c>
      <c r="I625" s="487" cm="1">
        <f t="array" ref="I625">SUMPRODUCT((ERP[UID]=A625)*(ERP[AP01 LE2]+ERP[AP02 LE2]+ERP[AP03 LE2]+ERP[AP04 LE2]+ERP[AP05 LE2]))</f>
        <v>0.36</v>
      </c>
      <c r="J625" s="487">
        <f>'ERP_AP7 Macro Failed'!AL627</f>
        <v>0</v>
      </c>
      <c r="K625" t="str">
        <f t="shared" si="18"/>
        <v>Immaterial</v>
      </c>
      <c r="L625" t="str">
        <f t="shared" si="19"/>
        <v>No</v>
      </c>
    </row>
    <row r="626" spans="1:12">
      <c r="A626" t="str">
        <f>'ERP_AP7 Macro Failed'!A628</f>
        <v>L-ERP-578</v>
      </c>
      <c r="B626" t="str">
        <f>'ERP_AP7 Macro Failed'!D628</f>
        <v>Hase, Raj</v>
      </c>
      <c r="C626" t="str">
        <f>'ERP_AP7 Macro Failed'!E628</f>
        <v>Yeluri, Durga</v>
      </c>
      <c r="D626" t="str">
        <f>'ERP_AP7 Macro Failed'!G628</f>
        <v>CONTRACTORS</v>
      </c>
      <c r="E626" t="str">
        <f>'ERP_AP7 Macro Failed'!H628</f>
        <v>Miscellaneous Charges</v>
      </c>
      <c r="F626">
        <f>'ERP_AP7 Macro Failed'!I628</f>
        <v>0</v>
      </c>
      <c r="G626" t="str">
        <f>'ERP_AP7 Macro Failed'!K628</f>
        <v>MISC001</v>
      </c>
      <c r="H626" s="487" t="e" cm="1">
        <f t="array" ref="H626">SUMPRODUCT((ERP[UID]=A626)*(ERP[AP01]+ERP[AP02]+ERP[AP03]+ERP[AP04]+ERP[AP05]))</f>
        <v>#VALUE!</v>
      </c>
      <c r="I626" s="487" cm="1">
        <f t="array" ref="I626">SUMPRODUCT((ERP[UID]=A626)*(ERP[AP01 LE2]+ERP[AP02 LE2]+ERP[AP03 LE2]+ERP[AP04 LE2]+ERP[AP05 LE2]))</f>
        <v>0.33999999999999997</v>
      </c>
      <c r="J626" s="487">
        <f>'ERP_AP7 Macro Failed'!AL628</f>
        <v>0</v>
      </c>
      <c r="K626" t="str">
        <f t="shared" si="18"/>
        <v>Immaterial</v>
      </c>
      <c r="L626" t="str">
        <f t="shared" si="19"/>
        <v>No</v>
      </c>
    </row>
    <row r="627" spans="1:12">
      <c r="A627" t="str">
        <f>'ERP_AP7 Macro Failed'!A629</f>
        <v>L-ERP-580</v>
      </c>
      <c r="B627" t="str">
        <f>'ERP_AP7 Macro Failed'!D629</f>
        <v>Hase, Raj</v>
      </c>
      <c r="C627" t="str">
        <f>'ERP_AP7 Macro Failed'!E629</f>
        <v>Yeluri, Durga</v>
      </c>
      <c r="D627" t="str">
        <f>'ERP_AP7 Macro Failed'!G629</f>
        <v>MANAGED SERVICES</v>
      </c>
      <c r="E627" t="str">
        <f>'ERP_AP7 Macro Failed'!H629</f>
        <v>Miscellaneous Charges</v>
      </c>
      <c r="F627">
        <f>'ERP_AP7 Macro Failed'!I629</f>
        <v>0</v>
      </c>
      <c r="G627" t="str">
        <f>'ERP_AP7 Macro Failed'!K629</f>
        <v>MISC001</v>
      </c>
      <c r="H627" s="487" t="e" cm="1">
        <f t="array" ref="H627">SUMPRODUCT((ERP[UID]=A627)*(ERP[AP01]+ERP[AP02]+ERP[AP03]+ERP[AP04]+ERP[AP05]))</f>
        <v>#VALUE!</v>
      </c>
      <c r="I627" s="487" cm="1">
        <f t="array" ref="I627">SUMPRODUCT((ERP[UID]=A627)*(ERP[AP01 LE2]+ERP[AP02 LE2]+ERP[AP03 LE2]+ERP[AP04 LE2]+ERP[AP05 LE2]))</f>
        <v>-0.18000000000000002</v>
      </c>
      <c r="J627" s="487">
        <f>'ERP_AP7 Macro Failed'!AL629</f>
        <v>-0.26</v>
      </c>
      <c r="K627" t="str">
        <f t="shared" si="18"/>
        <v>Immaterial</v>
      </c>
      <c r="L627" t="str">
        <f t="shared" si="19"/>
        <v>No</v>
      </c>
    </row>
    <row r="628" spans="1:12">
      <c r="A628" t="str">
        <f>'ERP_AP7 Macro Failed'!A630</f>
        <v>L-ERP-583</v>
      </c>
      <c r="B628" t="str">
        <f>'ERP_AP7 Macro Failed'!D630</f>
        <v>Hase, Raj</v>
      </c>
      <c r="C628" t="str">
        <f>'ERP_AP7 Macro Failed'!E630</f>
        <v>Yeluri, Durga</v>
      </c>
      <c r="D628" t="str">
        <f>'ERP_AP7 Macro Failed'!G630</f>
        <v>SOFTWARE</v>
      </c>
      <c r="E628" t="str">
        <f>'ERP_AP7 Macro Failed'!H630</f>
        <v>Miscellaneous Charges</v>
      </c>
      <c r="F628">
        <f>'ERP_AP7 Macro Failed'!I630</f>
        <v>0</v>
      </c>
      <c r="G628" t="str">
        <f>'ERP_AP7 Macro Failed'!K630</f>
        <v>MISC001</v>
      </c>
      <c r="H628" s="487" t="e" cm="1">
        <f t="array" ref="H628">SUMPRODUCT((ERP[UID]=A628)*(ERP[AP01]+ERP[AP02]+ERP[AP03]+ERP[AP04]+ERP[AP05]))</f>
        <v>#VALUE!</v>
      </c>
      <c r="I628" s="487" cm="1">
        <f t="array" ref="I628">SUMPRODUCT((ERP[UID]=A628)*(ERP[AP01 LE2]+ERP[AP02 LE2]+ERP[AP03 LE2]+ERP[AP04 LE2]+ERP[AP05 LE2]))</f>
        <v>1.999999999999999E-2</v>
      </c>
      <c r="J628" s="487">
        <f>'ERP_AP7 Macro Failed'!AL630</f>
        <v>0.32999999999999996</v>
      </c>
      <c r="K628" t="str">
        <f t="shared" si="18"/>
        <v>Immaterial</v>
      </c>
      <c r="L628" t="str">
        <f t="shared" si="19"/>
        <v>No</v>
      </c>
    </row>
    <row r="629" spans="1:12">
      <c r="A629" t="str">
        <f>'ERP_AP7 Macro Failed'!A631</f>
        <v>L-ERP-028</v>
      </c>
      <c r="B629" t="str">
        <f>'ERP_AP7 Macro Failed'!D631</f>
        <v>Hase, Raj</v>
      </c>
      <c r="C629" t="str">
        <f>'ERP_AP7 Macro Failed'!E631</f>
        <v>DeHart, Lynn</v>
      </c>
      <c r="D629" t="str">
        <f>'ERP_AP7 Macro Failed'!G631</f>
        <v>OTHER</v>
      </c>
      <c r="E629" t="str">
        <f>'ERP_AP7 Macro Failed'!H631</f>
        <v>Non-digital catering charges</v>
      </c>
      <c r="F629">
        <f>'ERP_AP7 Macro Failed'!I631</f>
        <v>0</v>
      </c>
      <c r="G629" t="str">
        <f>'ERP_AP7 Macro Failed'!K631</f>
        <v>NondigitalCatering001</v>
      </c>
      <c r="H629" s="487" t="e" cm="1">
        <f t="array" ref="H629">SUMPRODUCT((ERP[UID]=A629)*(ERP[AP01]+ERP[AP02]+ERP[AP03]+ERP[AP04]+ERP[AP05]))</f>
        <v>#VALUE!</v>
      </c>
      <c r="I629" s="487" cm="1">
        <f t="array" ref="I629">SUMPRODUCT((ERP[UID]=A629)*(ERP[AP01 LE2]+ERP[AP02 LE2]+ERP[AP03 LE2]+ERP[AP04 LE2]+ERP[AP05 LE2]))</f>
        <v>614.69000000000005</v>
      </c>
      <c r="J629" s="487">
        <f>'ERP_AP7 Macro Failed'!AL631</f>
        <v>0</v>
      </c>
      <c r="K629" t="str">
        <f t="shared" si="18"/>
        <v>Immaterial</v>
      </c>
      <c r="L629" t="str">
        <f t="shared" si="19"/>
        <v>No</v>
      </c>
    </row>
    <row r="630" spans="1:12">
      <c r="A630" t="str">
        <f>'ERP_AP7 Macro Failed'!A632</f>
        <v>L-ERP-417</v>
      </c>
      <c r="B630" t="str">
        <f>'ERP_AP7 Macro Failed'!D632</f>
        <v>McGettigan, David</v>
      </c>
      <c r="C630" t="str">
        <f>'ERP_AP7 Macro Failed'!E632</f>
        <v>McGettigan, David</v>
      </c>
      <c r="D630" t="str">
        <f>'ERP_AP7 Macro Failed'!G632</f>
        <v>OTHER</v>
      </c>
      <c r="E630" t="str">
        <f>'ERP_AP7 Macro Failed'!H632</f>
        <v>Non-digital catering charges</v>
      </c>
      <c r="F630">
        <f>'ERP_AP7 Macro Failed'!I632</f>
        <v>0</v>
      </c>
      <c r="G630" t="str">
        <f>'ERP_AP7 Macro Failed'!K632</f>
        <v>NondigitalCatering001</v>
      </c>
      <c r="H630" s="487" t="e" cm="1">
        <f t="array" ref="H630">SUMPRODUCT((ERP[UID]=A630)*(ERP[AP01]+ERP[AP02]+ERP[AP03]+ERP[AP04]+ERP[AP05]))</f>
        <v>#VALUE!</v>
      </c>
      <c r="I630" s="487" cm="1">
        <f t="array" ref="I630">SUMPRODUCT((ERP[UID]=A630)*(ERP[AP01 LE2]+ERP[AP02 LE2]+ERP[AP03 LE2]+ERP[AP04 LE2]+ERP[AP05 LE2]))</f>
        <v>11815.17</v>
      </c>
      <c r="J630" s="487">
        <f>'ERP_AP7 Macro Failed'!AL632</f>
        <v>0</v>
      </c>
      <c r="K630" t="str">
        <f t="shared" si="18"/>
        <v>Immaterial</v>
      </c>
      <c r="L630" t="str">
        <f t="shared" si="19"/>
        <v>No</v>
      </c>
    </row>
    <row r="631" spans="1:12">
      <c r="A631" t="str">
        <f>'ERP_AP7 Macro Failed'!A633</f>
        <v>L-ERP-385</v>
      </c>
      <c r="B631" t="str">
        <f>'ERP_AP7 Macro Failed'!D633</f>
        <v>McGettigan, David</v>
      </c>
      <c r="C631" t="str">
        <f>'ERP_AP7 Macro Failed'!E633</f>
        <v>McGettigan, David</v>
      </c>
      <c r="D631" t="str">
        <f>'ERP_AP7 Macro Failed'!G633</f>
        <v>MANAGED SERVICES</v>
      </c>
      <c r="E631" t="str">
        <f>'ERP_AP7 Macro Failed'!H633</f>
        <v>Credit for SAP BW through AWS</v>
      </c>
      <c r="F631">
        <f>'ERP_AP7 Macro Failed'!I633</f>
        <v>0</v>
      </c>
      <c r="G631" t="str">
        <f>'ERP_AP7 Macro Failed'!K633</f>
        <v>OnetimeCredit002</v>
      </c>
      <c r="H631" s="487" t="e" cm="1">
        <f t="array" ref="H631">SUMPRODUCT((ERP[UID]=A631)*(ERP[AP01]+ERP[AP02]+ERP[AP03]+ERP[AP04]+ERP[AP05]))</f>
        <v>#VALUE!</v>
      </c>
      <c r="I631" s="487" cm="1">
        <f t="array" ref="I631">SUMPRODUCT((ERP[UID]=A631)*(ERP[AP01 LE2]+ERP[AP02 LE2]+ERP[AP03 LE2]+ERP[AP04 LE2]+ERP[AP05 LE2]))</f>
        <v>0</v>
      </c>
      <c r="J631" s="487">
        <f>'ERP_AP7 Macro Failed'!AL633</f>
        <v>135400</v>
      </c>
      <c r="K631" t="str">
        <f t="shared" si="18"/>
        <v>MATERIAL</v>
      </c>
      <c r="L631" t="str">
        <f t="shared" si="19"/>
        <v>YES</v>
      </c>
    </row>
    <row r="632" spans="1:12">
      <c r="A632" t="str">
        <f>'ERP_AP7 Macro Failed'!A634</f>
        <v>ERP-041</v>
      </c>
      <c r="B632" t="str">
        <f>'ERP_AP7 Macro Failed'!D634</f>
        <v>Hase, Raj</v>
      </c>
      <c r="C632" t="str">
        <f>'ERP_AP7 Macro Failed'!E634</f>
        <v>Hovanyetz, Mike</v>
      </c>
      <c r="D632" t="str">
        <f>'ERP_AP7 Macro Failed'!G634</f>
        <v>OTHER</v>
      </c>
      <c r="E632" t="str">
        <f>'ERP_AP7 Macro Failed'!H634</f>
        <v>NON-DIGITAL-CATERING-VAIDYS05</v>
      </c>
      <c r="F632">
        <f>'ERP_AP7 Macro Failed'!I634</f>
        <v>0</v>
      </c>
      <c r="G632" t="str">
        <f>'ERP_AP7 Macro Failed'!K634</f>
        <v>Others001</v>
      </c>
      <c r="H632" s="487" t="e" cm="1">
        <f t="array" ref="H632">SUMPRODUCT((ERP[UID]=A632)*(ERP[AP01]+ERP[AP02]+ERP[AP03]+ERP[AP04]+ERP[AP05]))</f>
        <v>#VALUE!</v>
      </c>
      <c r="I632" s="487" cm="1">
        <f t="array" ref="I632">SUMPRODUCT((ERP[UID]=A632)*(ERP[AP01 LE2]+ERP[AP02 LE2]+ERP[AP03 LE2]+ERP[AP04 LE2]+ERP[AP05 LE2]))</f>
        <v>0</v>
      </c>
      <c r="J632" s="487">
        <f>'ERP_AP7 Macro Failed'!AL634</f>
        <v>693</v>
      </c>
      <c r="K632" t="str">
        <f t="shared" si="18"/>
        <v>Immaterial</v>
      </c>
      <c r="L632" t="str">
        <f t="shared" si="19"/>
        <v>No</v>
      </c>
    </row>
    <row r="633" spans="1:12">
      <c r="A633" t="str">
        <f>'ERP_AP7 Macro Failed'!A635</f>
        <v>L-ERP-541</v>
      </c>
      <c r="B633" t="str">
        <f>'ERP_AP7 Macro Failed'!D635</f>
        <v>Dougherty, Chris</v>
      </c>
      <c r="C633" t="str">
        <f>'ERP_AP7 Macro Failed'!E635</f>
        <v>Tamavada, Ram</v>
      </c>
      <c r="D633" t="str">
        <f>'ERP_AP7 Macro Failed'!G635</f>
        <v>CONTRACTORS</v>
      </c>
      <c r="E633" t="str">
        <f>'ERP_AP7 Macro Failed'!H635</f>
        <v>Miscellaneous Charges</v>
      </c>
      <c r="F633">
        <f>'ERP_AP7 Macro Failed'!I635</f>
        <v>0</v>
      </c>
      <c r="G633" t="str">
        <f>'ERP_AP7 Macro Failed'!K635</f>
        <v>MISC001</v>
      </c>
      <c r="H633" s="487" t="e" cm="1">
        <f t="array" ref="H633">SUMPRODUCT((ERP[UID]=A633)*(ERP[AP01]+ERP[AP02]+ERP[AP03]+ERP[AP04]+ERP[AP05]))</f>
        <v>#VALUE!</v>
      </c>
      <c r="I633" s="487" cm="1">
        <f t="array" ref="I633">SUMPRODUCT((ERP[UID]=A633)*(ERP[AP01 LE2]+ERP[AP02 LE2]+ERP[AP03 LE2]+ERP[AP04 LE2]+ERP[AP05 LE2]))</f>
        <v>0.35000000000000003</v>
      </c>
      <c r="J633" s="487">
        <f>'ERP_AP7 Macro Failed'!AL635</f>
        <v>8110.54</v>
      </c>
      <c r="K633" t="str">
        <f t="shared" si="18"/>
        <v>Minor</v>
      </c>
      <c r="L633" t="str">
        <f t="shared" si="19"/>
        <v>No</v>
      </c>
    </row>
    <row r="634" spans="1:12">
      <c r="A634" t="str">
        <f>'ERP_AP7 Macro Failed'!A636</f>
        <v>L-ERP-047</v>
      </c>
      <c r="B634" t="str">
        <f>'ERP_AP7 Macro Failed'!D636</f>
        <v>Hase, Raj</v>
      </c>
      <c r="C634" t="str">
        <f>'ERP_AP7 Macro Failed'!E636</f>
        <v>DeHart, Lynn</v>
      </c>
      <c r="D634" t="str">
        <f>'ERP_AP7 Macro Failed'!G636</f>
        <v>OTHER</v>
      </c>
      <c r="E634" t="str">
        <f>'ERP_AP7 Macro Failed'!H636</f>
        <v>Other</v>
      </c>
      <c r="F634">
        <f>'ERP_AP7 Macro Failed'!I636</f>
        <v>0</v>
      </c>
      <c r="G634" t="str">
        <f>'ERP_AP7 Macro Failed'!K636</f>
        <v>Others001</v>
      </c>
      <c r="H634" s="487" t="e" cm="1">
        <f t="array" ref="H634">SUMPRODUCT((ERP[UID]=A634)*(ERP[AP01]+ERP[AP02]+ERP[AP03]+ERP[AP04]+ERP[AP05]))</f>
        <v>#VALUE!</v>
      </c>
      <c r="I634" s="487" cm="1">
        <f t="array" ref="I634">SUMPRODUCT((ERP[UID]=A634)*(ERP[AP01 LE2]+ERP[AP02 LE2]+ERP[AP03 LE2]+ERP[AP04 LE2]+ERP[AP05 LE2]))</f>
        <v>9893.24</v>
      </c>
      <c r="J634" s="487">
        <f>'ERP_AP7 Macro Failed'!AL636</f>
        <v>-89.520000000000437</v>
      </c>
      <c r="K634" t="str">
        <f t="shared" si="18"/>
        <v>Immaterial</v>
      </c>
      <c r="L634" t="str">
        <f t="shared" si="19"/>
        <v>No</v>
      </c>
    </row>
    <row r="635" spans="1:12">
      <c r="A635" t="str">
        <f>'ERP_AP7 Macro Failed'!A637</f>
        <v>L-ERP-048</v>
      </c>
      <c r="B635" t="str">
        <f>'ERP_AP7 Macro Failed'!D637</f>
        <v>Hase, Raj</v>
      </c>
      <c r="C635" t="str">
        <f>'ERP_AP7 Macro Failed'!E637</f>
        <v>DeHart, Lynn</v>
      </c>
      <c r="D635" t="str">
        <f>'ERP_AP7 Macro Failed'!G637</f>
        <v>OUTSIDE COUNSEL</v>
      </c>
      <c r="E635" t="str">
        <f>'ERP_AP7 Macro Failed'!H637</f>
        <v>Other</v>
      </c>
      <c r="F635">
        <f>'ERP_AP7 Macro Failed'!I637</f>
        <v>0</v>
      </c>
      <c r="G635" t="str">
        <f>'ERP_AP7 Macro Failed'!K637</f>
        <v>Others001</v>
      </c>
      <c r="H635" s="487" t="e" cm="1">
        <f t="array" ref="H635">SUMPRODUCT((ERP[UID]=A635)*(ERP[AP01]+ERP[AP02]+ERP[AP03]+ERP[AP04]+ERP[AP05]))</f>
        <v>#VALUE!</v>
      </c>
      <c r="I635" s="487" cm="1">
        <f t="array" ref="I635">SUMPRODUCT((ERP[UID]=A635)*(ERP[AP01 LE2]+ERP[AP02 LE2]+ERP[AP03 LE2]+ERP[AP04 LE2]+ERP[AP05 LE2]))</f>
        <v>20.21</v>
      </c>
      <c r="J635" s="487">
        <f>'ERP_AP7 Macro Failed'!AL637</f>
        <v>0</v>
      </c>
      <c r="K635" t="str">
        <f t="shared" si="18"/>
        <v>Immaterial</v>
      </c>
      <c r="L635" t="str">
        <f t="shared" si="19"/>
        <v>No</v>
      </c>
    </row>
    <row r="636" spans="1:12">
      <c r="A636" t="str">
        <f>'ERP_AP7 Macro Failed'!A638</f>
        <v>L-ERP-548</v>
      </c>
      <c r="B636" t="str">
        <f>'ERP_AP7 Macro Failed'!D638</f>
        <v>Dougherty, Chris</v>
      </c>
      <c r="C636" t="str">
        <f>'ERP_AP7 Macro Failed'!E638</f>
        <v>Tamavada, Ram</v>
      </c>
      <c r="D636" t="str">
        <f>'ERP_AP7 Macro Failed'!G638</f>
        <v>MANAGED SERVICES</v>
      </c>
      <c r="E636" t="str">
        <f>'ERP_AP7 Macro Failed'!H638</f>
        <v>Miscellaneous Charges</v>
      </c>
      <c r="F636">
        <f>'ERP_AP7 Macro Failed'!I638</f>
        <v>0</v>
      </c>
      <c r="G636" t="str">
        <f>'ERP_AP7 Macro Failed'!K638</f>
        <v>MISC001</v>
      </c>
      <c r="H636" s="487" t="e" cm="1">
        <f t="array" ref="H636">SUMPRODUCT((ERP[UID]=A636)*(ERP[AP01]+ERP[AP02]+ERP[AP03]+ERP[AP04]+ERP[AP05]))</f>
        <v>#VALUE!</v>
      </c>
      <c r="I636" s="487" cm="1">
        <f t="array" ref="I636">SUMPRODUCT((ERP[UID]=A636)*(ERP[AP01 LE2]+ERP[AP02 LE2]+ERP[AP03 LE2]+ERP[AP04 LE2]+ERP[AP05 LE2]))</f>
        <v>39996</v>
      </c>
      <c r="J636" s="487">
        <f>'ERP_AP7 Macro Failed'!AL638</f>
        <v>-39996.51</v>
      </c>
      <c r="K636" t="str">
        <f t="shared" si="18"/>
        <v>MATERIAL</v>
      </c>
      <c r="L636" t="str">
        <f t="shared" si="19"/>
        <v>YES</v>
      </c>
    </row>
    <row r="637" spans="1:12">
      <c r="A637" t="str">
        <f>'ERP_AP7 Macro Failed'!A639</f>
        <v>L-ERP-174</v>
      </c>
      <c r="B637" t="str">
        <f>'ERP_AP7 Macro Failed'!D639</f>
        <v>Hase, Raj</v>
      </c>
      <c r="C637" t="str">
        <f>'ERP_AP7 Macro Failed'!E639</f>
        <v>Ganesan, Srinivasan</v>
      </c>
      <c r="D637" t="str">
        <f>'ERP_AP7 Macro Failed'!G639</f>
        <v>OTHER</v>
      </c>
      <c r="E637" t="str">
        <f>'ERP_AP7 Macro Failed'!H639</f>
        <v>Other</v>
      </c>
      <c r="F637">
        <f>'ERP_AP7 Macro Failed'!I639</f>
        <v>0</v>
      </c>
      <c r="G637" t="str">
        <f>'ERP_AP7 Macro Failed'!K639</f>
        <v>Others001</v>
      </c>
      <c r="H637" s="487" t="e" cm="1">
        <f t="array" ref="H637">SUMPRODUCT((ERP[UID]=A637)*(ERP[AP01]+ERP[AP02]+ERP[AP03]+ERP[AP04]+ERP[AP05]))</f>
        <v>#VALUE!</v>
      </c>
      <c r="I637" s="487" cm="1">
        <f t="array" ref="I637">SUMPRODUCT((ERP[UID]=A637)*(ERP[AP01 LE2]+ERP[AP02 LE2]+ERP[AP03 LE2]+ERP[AP04 LE2]+ERP[AP05 LE2]))</f>
        <v>85.04</v>
      </c>
      <c r="J637" s="487">
        <f>'ERP_AP7 Macro Failed'!AL639</f>
        <v>128.69999999999999</v>
      </c>
      <c r="K637" t="str">
        <f t="shared" si="18"/>
        <v>Immaterial</v>
      </c>
      <c r="L637" t="str">
        <f t="shared" si="19"/>
        <v>No</v>
      </c>
    </row>
    <row r="638" spans="1:12">
      <c r="A638" t="str">
        <f>'ERP_AP7 Macro Failed'!A640</f>
        <v>L-ERP-192</v>
      </c>
      <c r="B638" t="str">
        <f>'ERP_AP7 Macro Failed'!D640</f>
        <v>Hase, Raj</v>
      </c>
      <c r="C638" t="str">
        <f>'ERP_AP7 Macro Failed'!E640</f>
        <v>Hase, Raj</v>
      </c>
      <c r="D638" t="str">
        <f>'ERP_AP7 Macro Failed'!G640</f>
        <v>OTHER</v>
      </c>
      <c r="E638" t="str">
        <f>'ERP_AP7 Macro Failed'!H640</f>
        <v>Other</v>
      </c>
      <c r="F638">
        <f>'ERP_AP7 Macro Failed'!I640</f>
        <v>0</v>
      </c>
      <c r="G638" t="str">
        <f>'ERP_AP7 Macro Failed'!K640</f>
        <v>Others001</v>
      </c>
      <c r="H638" s="487" t="e" cm="1">
        <f t="array" ref="H638">SUMPRODUCT((ERP[UID]=A638)*(ERP[AP01]+ERP[AP02]+ERP[AP03]+ERP[AP04]+ERP[AP05]))</f>
        <v>#VALUE!</v>
      </c>
      <c r="I638" s="487" cm="1">
        <f t="array" ref="I638">SUMPRODUCT((ERP[UID]=A638)*(ERP[AP01 LE2]+ERP[AP02 LE2]+ERP[AP03 LE2]+ERP[AP04 LE2]+ERP[AP05 LE2]))</f>
        <v>57</v>
      </c>
      <c r="J638" s="487">
        <f>'ERP_AP7 Macro Failed'!AL640</f>
        <v>16</v>
      </c>
      <c r="K638" t="str">
        <f t="shared" si="18"/>
        <v>Immaterial</v>
      </c>
      <c r="L638" t="str">
        <f t="shared" si="19"/>
        <v>No</v>
      </c>
    </row>
    <row r="639" spans="1:12">
      <c r="A639" t="str">
        <f>'ERP_AP7 Macro Failed'!A641</f>
        <v>L-ERP-255</v>
      </c>
      <c r="B639" t="str">
        <f>'ERP_AP7 Macro Failed'!D641</f>
        <v>Hase, Raj</v>
      </c>
      <c r="C639" t="str">
        <f>'ERP_AP7 Macro Failed'!E641</f>
        <v>Jajodia, Amit</v>
      </c>
      <c r="D639" t="str">
        <f>'ERP_AP7 Macro Failed'!G641</f>
        <v>OTHER</v>
      </c>
      <c r="E639" t="str">
        <f>'ERP_AP7 Macro Failed'!H641</f>
        <v>Other</v>
      </c>
      <c r="F639">
        <f>'ERP_AP7 Macro Failed'!I641</f>
        <v>0</v>
      </c>
      <c r="G639" t="str">
        <f>'ERP_AP7 Macro Failed'!K641</f>
        <v>Others001</v>
      </c>
      <c r="H639" s="487" t="e" cm="1">
        <f t="array" ref="H639">SUMPRODUCT((ERP[UID]=A639)*(ERP[AP01]+ERP[AP02]+ERP[AP03]+ERP[AP04]+ERP[AP05]))</f>
        <v>#VALUE!</v>
      </c>
      <c r="I639" s="487" cm="1">
        <f t="array" ref="I639">SUMPRODUCT((ERP[UID]=A639)*(ERP[AP01 LE2]+ERP[AP02 LE2]+ERP[AP03 LE2]+ERP[AP04 LE2]+ERP[AP05 LE2]))</f>
        <v>414.36</v>
      </c>
      <c r="J639" s="487">
        <f>'ERP_AP7 Macro Failed'!AL641</f>
        <v>0</v>
      </c>
      <c r="K639" t="str">
        <f t="shared" si="18"/>
        <v>Immaterial</v>
      </c>
      <c r="L639" t="str">
        <f t="shared" si="19"/>
        <v>No</v>
      </c>
    </row>
    <row r="640" spans="1:12">
      <c r="A640" t="str">
        <f>'ERP_AP7 Macro Failed'!A642</f>
        <v>L-ERP-550</v>
      </c>
      <c r="B640" t="str">
        <f>'ERP_AP7 Macro Failed'!D642</f>
        <v>Dougherty, Chris</v>
      </c>
      <c r="C640" t="str">
        <f>'ERP_AP7 Macro Failed'!E642</f>
        <v>Tamavada, Ram</v>
      </c>
      <c r="D640" t="str">
        <f>'ERP_AP7 Macro Failed'!G642</f>
        <v>SOFTWARE</v>
      </c>
      <c r="E640" t="str">
        <f>'ERP_AP7 Macro Failed'!H642</f>
        <v>Miscellaneous Charges</v>
      </c>
      <c r="F640">
        <f>'ERP_AP7 Macro Failed'!I642</f>
        <v>0</v>
      </c>
      <c r="G640" t="str">
        <f>'ERP_AP7 Macro Failed'!K642</f>
        <v>MISC001</v>
      </c>
      <c r="H640" s="487" t="e" cm="1">
        <f t="array" ref="H640">SUMPRODUCT((ERP[UID]=A640)*(ERP[AP01]+ERP[AP02]+ERP[AP03]+ERP[AP04]+ERP[AP05]))</f>
        <v>#VALUE!</v>
      </c>
      <c r="I640" s="487" cm="1">
        <f t="array" ref="I640">SUMPRODUCT((ERP[UID]=A640)*(ERP[AP01 LE2]+ERP[AP02 LE2]+ERP[AP03 LE2]+ERP[AP04 LE2]+ERP[AP05 LE2]))</f>
        <v>0.19999999999999996</v>
      </c>
      <c r="J640" s="487">
        <f>'ERP_AP7 Macro Failed'!AL642</f>
        <v>-0.22999999999999998</v>
      </c>
      <c r="K640" t="str">
        <f t="shared" si="18"/>
        <v>Immaterial</v>
      </c>
      <c r="L640" t="str">
        <f t="shared" si="19"/>
        <v>No</v>
      </c>
    </row>
    <row r="641" spans="1:12">
      <c r="A641" t="str">
        <f>'ERP_AP7 Macro Failed'!A643</f>
        <v>L-ERP-405</v>
      </c>
      <c r="B641" t="str">
        <f>'ERP_AP7 Macro Failed'!D643</f>
        <v>McGettigan, David</v>
      </c>
      <c r="C641" t="str">
        <f>'ERP_AP7 Macro Failed'!E643</f>
        <v>McGettigan, David</v>
      </c>
      <c r="D641" t="str">
        <f>'ERP_AP7 Macro Failed'!G643</f>
        <v>OTHER</v>
      </c>
      <c r="E641" t="str">
        <f>'ERP_AP7 Macro Failed'!H643</f>
        <v>Other</v>
      </c>
      <c r="F641">
        <f>'ERP_AP7 Macro Failed'!I643</f>
        <v>0</v>
      </c>
      <c r="G641" t="str">
        <f>'ERP_AP7 Macro Failed'!K643</f>
        <v>Others001</v>
      </c>
      <c r="H641" s="487" t="e" cm="1">
        <f t="array" ref="H641">SUMPRODUCT((ERP[UID]=A641)*(ERP[AP01]+ERP[AP02]+ERP[AP03]+ERP[AP04]+ERP[AP05]))</f>
        <v>#VALUE!</v>
      </c>
      <c r="I641" s="487" cm="1">
        <f t="array" ref="I641">SUMPRODUCT((ERP[UID]=A641)*(ERP[AP01 LE2]+ERP[AP02 LE2]+ERP[AP03 LE2]+ERP[AP04 LE2]+ERP[AP05 LE2]))</f>
        <v>18.829999999999998</v>
      </c>
      <c r="J641" s="487">
        <f>'ERP_AP7 Macro Failed'!AL643</f>
        <v>4261.9400000000005</v>
      </c>
      <c r="K641" t="str">
        <f t="shared" si="18"/>
        <v>Minor</v>
      </c>
      <c r="L641" t="str">
        <f t="shared" si="19"/>
        <v>No</v>
      </c>
    </row>
    <row r="642" spans="1:12">
      <c r="A642" t="str">
        <f>'ERP_AP7 Macro Failed'!A644</f>
        <v>L-ERP-497</v>
      </c>
      <c r="B642" t="str">
        <f>'ERP_AP7 Macro Failed'!D644</f>
        <v>Robertson, Jerome</v>
      </c>
      <c r="C642" t="str">
        <f>'ERP_AP7 Macro Failed'!E644</f>
        <v>Robertson, Jerome</v>
      </c>
      <c r="D642" t="str">
        <f>'ERP_AP7 Macro Failed'!G644</f>
        <v>OTHER</v>
      </c>
      <c r="E642" t="str">
        <f>'ERP_AP7 Macro Failed'!H644</f>
        <v>Other</v>
      </c>
      <c r="F642">
        <f>'ERP_AP7 Macro Failed'!I644</f>
        <v>0</v>
      </c>
      <c r="G642" t="str">
        <f>'ERP_AP7 Macro Failed'!K644</f>
        <v>Others001</v>
      </c>
      <c r="H642" s="487" t="e" cm="1">
        <f t="array" ref="H642">SUMPRODUCT((ERP[UID]=A642)*(ERP[AP01]+ERP[AP02]+ERP[AP03]+ERP[AP04]+ERP[AP05]))</f>
        <v>#VALUE!</v>
      </c>
      <c r="I642" s="487" cm="1">
        <f t="array" ref="I642">SUMPRODUCT((ERP[UID]=A642)*(ERP[AP01 LE2]+ERP[AP02 LE2]+ERP[AP03 LE2]+ERP[AP04 LE2]+ERP[AP05 LE2]))</f>
        <v>28.1</v>
      </c>
      <c r="J642" s="487">
        <f>'ERP_AP7 Macro Failed'!AL644</f>
        <v>64.210000000000008</v>
      </c>
      <c r="K642" t="str">
        <f t="shared" si="18"/>
        <v>Immaterial</v>
      </c>
      <c r="L642" t="str">
        <f t="shared" si="19"/>
        <v>No</v>
      </c>
    </row>
    <row r="643" spans="1:12">
      <c r="A643" t="str">
        <f>'ERP_AP7 Macro Failed'!A645</f>
        <v>ERP-044</v>
      </c>
      <c r="B643" t="str">
        <f>'ERP_AP7 Macro Failed'!D645</f>
        <v>Dougherty, Chris</v>
      </c>
      <c r="C643" t="str">
        <f>'ERP_AP7 Macro Failed'!E645</f>
        <v>McCormick, Pete</v>
      </c>
      <c r="D643" t="str">
        <f>'ERP_AP7 Macro Failed'!G645</f>
        <v>OTHER</v>
      </c>
      <c r="E643" t="str">
        <f>'ERP_AP7 Macro Failed'!H645</f>
        <v>FEDERAL EXPRESS CORP</v>
      </c>
      <c r="F643" t="str">
        <f>'ERP_AP7 Macro Failed'!I645</f>
        <v>FEDERAL EXPRESS CORP</v>
      </c>
      <c r="G643" t="str">
        <f>'ERP_AP7 Macro Failed'!K645</f>
        <v>Others001</v>
      </c>
      <c r="H643" s="487" t="e" cm="1">
        <f t="array" ref="H643">SUMPRODUCT((ERP[UID]=A643)*(ERP[AP01]+ERP[AP02]+ERP[AP03]+ERP[AP04]+ERP[AP05]))</f>
        <v>#VALUE!</v>
      </c>
      <c r="I643" s="487" cm="1">
        <f t="array" ref="I643">SUMPRODUCT((ERP[UID]=A643)*(ERP[AP01 LE2]+ERP[AP02 LE2]+ERP[AP03 LE2]+ERP[AP04 LE2]+ERP[AP05 LE2]))</f>
        <v>0</v>
      </c>
      <c r="J643" s="487">
        <f>'ERP_AP7 Macro Failed'!AL645</f>
        <v>16</v>
      </c>
      <c r="K643" t="str">
        <f t="shared" si="18"/>
        <v>Immaterial</v>
      </c>
      <c r="L643" t="str">
        <f t="shared" si="19"/>
        <v>No</v>
      </c>
    </row>
    <row r="644" spans="1:12">
      <c r="A644" t="str">
        <f>'ERP_AP7 Macro Failed'!A646</f>
        <v>L-ERP-156</v>
      </c>
      <c r="B644" t="str">
        <f>'ERP_AP7 Macro Failed'!D646</f>
        <v>Hase, Raj</v>
      </c>
      <c r="C644" t="str">
        <f>'ERP_AP7 Macro Failed'!E646</f>
        <v>Ganesan, Srinivasan</v>
      </c>
      <c r="D644" t="str">
        <f>'ERP_AP7 Macro Failed'!G646</f>
        <v>CONTRACTORS</v>
      </c>
      <c r="E644" t="str">
        <f>'ERP_AP7 Macro Failed'!H646</f>
        <v>PO Closure Credit</v>
      </c>
      <c r="F644">
        <f>'ERP_AP7 Macro Failed'!I646</f>
        <v>0</v>
      </c>
      <c r="G644" t="str">
        <f>'ERP_AP7 Macro Failed'!K646</f>
        <v>POClosure001</v>
      </c>
      <c r="H644" s="487" t="e" cm="1">
        <f t="array" ref="H644">SUMPRODUCT((ERP[UID]=A644)*(ERP[AP01]+ERP[AP02]+ERP[AP03]+ERP[AP04]+ERP[AP05]))</f>
        <v>#VALUE!</v>
      </c>
      <c r="I644" s="487" cm="1">
        <f t="array" ref="I644">SUMPRODUCT((ERP[UID]=A644)*(ERP[AP01 LE2]+ERP[AP02 LE2]+ERP[AP03 LE2]+ERP[AP04 LE2]+ERP[AP05 LE2]))</f>
        <v>-8178.7199999999993</v>
      </c>
      <c r="J644" s="487">
        <f>'ERP_AP7 Macro Failed'!AL646</f>
        <v>0</v>
      </c>
      <c r="K644" t="str">
        <f t="shared" si="18"/>
        <v>Immaterial</v>
      </c>
      <c r="L644" t="str">
        <f t="shared" si="19"/>
        <v>No</v>
      </c>
    </row>
    <row r="645" spans="1:12">
      <c r="A645" t="str">
        <f>'ERP_AP7 Macro Failed'!A647</f>
        <v>L-ERP-210</v>
      </c>
      <c r="B645" t="str">
        <f>'ERP_AP7 Macro Failed'!D647</f>
        <v>Hase, Raj</v>
      </c>
      <c r="C645" t="str">
        <f>'ERP_AP7 Macro Failed'!E647</f>
        <v>Herman, Shaun</v>
      </c>
      <c r="D645" t="str">
        <f>'ERP_AP7 Macro Failed'!G647</f>
        <v>CONTRACTORS</v>
      </c>
      <c r="E645" t="str">
        <f>'ERP_AP7 Macro Failed'!H647</f>
        <v>PO Closure Credit</v>
      </c>
      <c r="F645">
        <f>'ERP_AP7 Macro Failed'!I647</f>
        <v>0</v>
      </c>
      <c r="G645" t="str">
        <f>'ERP_AP7 Macro Failed'!K647</f>
        <v>POClosure001</v>
      </c>
      <c r="H645" s="487" t="e" cm="1">
        <f t="array" ref="H645">SUMPRODUCT((ERP[UID]=A645)*(ERP[AP01]+ERP[AP02]+ERP[AP03]+ERP[AP04]+ERP[AP05]))</f>
        <v>#VALUE!</v>
      </c>
      <c r="I645" s="487" cm="1">
        <f t="array" ref="I645">SUMPRODUCT((ERP[UID]=A645)*(ERP[AP01 LE2]+ERP[AP02 LE2]+ERP[AP03 LE2]+ERP[AP04 LE2]+ERP[AP05 LE2]))</f>
        <v>-4283.6499999999996</v>
      </c>
      <c r="J645" s="487">
        <f>'ERP_AP7 Macro Failed'!AL647</f>
        <v>0</v>
      </c>
      <c r="K645" t="str">
        <f t="shared" si="18"/>
        <v>Immaterial</v>
      </c>
      <c r="L645" t="str">
        <f t="shared" si="19"/>
        <v>No</v>
      </c>
    </row>
    <row r="646" spans="1:12">
      <c r="A646" t="str">
        <f>'ERP_AP7 Macro Failed'!A648</f>
        <v>L-ERP-246</v>
      </c>
      <c r="B646" t="str">
        <f>'ERP_AP7 Macro Failed'!D648</f>
        <v>Hase, Raj</v>
      </c>
      <c r="C646" t="str">
        <f>'ERP_AP7 Macro Failed'!E648</f>
        <v>Jajodia, Amit</v>
      </c>
      <c r="D646" t="str">
        <f>'ERP_AP7 Macro Failed'!G648</f>
        <v>CONTRACTORS</v>
      </c>
      <c r="E646" t="str">
        <f>'ERP_AP7 Macro Failed'!H648</f>
        <v>PO Closure Credit</v>
      </c>
      <c r="F646">
        <f>'ERP_AP7 Macro Failed'!I648</f>
        <v>0</v>
      </c>
      <c r="G646" t="str">
        <f>'ERP_AP7 Macro Failed'!K648</f>
        <v>POClosure001</v>
      </c>
      <c r="H646" s="487" t="e" cm="1">
        <f t="array" ref="H646">SUMPRODUCT((ERP[UID]=A646)*(ERP[AP01]+ERP[AP02]+ERP[AP03]+ERP[AP04]+ERP[AP05]))</f>
        <v>#VALUE!</v>
      </c>
      <c r="I646" s="487" cm="1">
        <f t="array" ref="I646">SUMPRODUCT((ERP[UID]=A646)*(ERP[AP01 LE2]+ERP[AP02 LE2]+ERP[AP03 LE2]+ERP[AP04 LE2]+ERP[AP05 LE2]))</f>
        <v>-54295.289999999994</v>
      </c>
      <c r="J646" s="487">
        <f>'ERP_AP7 Macro Failed'!AL648</f>
        <v>0</v>
      </c>
      <c r="K646" t="str">
        <f t="shared" ref="K646:K678" si="20">IF(ABS(J646)&gt;=10000,"MATERIAL",IF(ABS(J646)&gt;=1000,"Minor","Immaterial"))</f>
        <v>Immaterial</v>
      </c>
      <c r="L646" t="str">
        <f t="shared" ref="L646:L678" si="21">IF(ABS(J646)&gt;=10000,"YES","No")</f>
        <v>No</v>
      </c>
    </row>
    <row r="647" spans="1:12">
      <c r="A647" t="str">
        <f>'ERP_AP7 Macro Failed'!A649</f>
        <v>L-ERP-106</v>
      </c>
      <c r="B647" t="str">
        <f>'ERP_AP7 Macro Failed'!D649</f>
        <v>Dougherty, Chris</v>
      </c>
      <c r="C647" t="str">
        <f>'ERP_AP7 Macro Failed'!E649</f>
        <v>Dougherty, Chris</v>
      </c>
      <c r="D647" t="str">
        <f>'ERP_AP7 Macro Failed'!G649</f>
        <v>OTHER</v>
      </c>
      <c r="E647" t="str">
        <f>'ERP_AP7 Macro Failed'!H649</f>
        <v>Other</v>
      </c>
      <c r="F647">
        <f>'ERP_AP7 Macro Failed'!I649</f>
        <v>0</v>
      </c>
      <c r="G647" t="str">
        <f>'ERP_AP7 Macro Failed'!K649</f>
        <v>Others001</v>
      </c>
      <c r="H647" s="487" t="e" cm="1">
        <f t="array" ref="H647">SUMPRODUCT((ERP[UID]=A647)*(ERP[AP01]+ERP[AP02]+ERP[AP03]+ERP[AP04]+ERP[AP05]))</f>
        <v>#VALUE!</v>
      </c>
      <c r="I647" s="487" cm="1">
        <f t="array" ref="I647">SUMPRODUCT((ERP[UID]=A647)*(ERP[AP01 LE2]+ERP[AP02 LE2]+ERP[AP03 LE2]+ERP[AP04 LE2]+ERP[AP05 LE2]))</f>
        <v>69</v>
      </c>
      <c r="J647" s="487">
        <f>'ERP_AP7 Macro Failed'!AL649</f>
        <v>253</v>
      </c>
      <c r="K647" t="str">
        <f t="shared" si="20"/>
        <v>Immaterial</v>
      </c>
      <c r="L647" t="str">
        <f t="shared" si="21"/>
        <v>No</v>
      </c>
    </row>
    <row r="648" spans="1:12">
      <c r="A648" t="str">
        <f>'ERP_AP7 Macro Failed'!A650</f>
        <v>L-ERP-579</v>
      </c>
      <c r="B648" t="str">
        <f>'ERP_AP7 Macro Failed'!D650</f>
        <v>Hase, Raj</v>
      </c>
      <c r="C648" t="str">
        <f>'ERP_AP7 Macro Failed'!E650</f>
        <v>Yeluri, Durga</v>
      </c>
      <c r="D648" t="str">
        <f>'ERP_AP7 Macro Failed'!G650</f>
        <v>CONTRACTORS</v>
      </c>
      <c r="E648" t="str">
        <f>'ERP_AP7 Macro Failed'!H650</f>
        <v>PO Closure Credit</v>
      </c>
      <c r="F648">
        <f>'ERP_AP7 Macro Failed'!I650</f>
        <v>0</v>
      </c>
      <c r="G648" t="str">
        <f>'ERP_AP7 Macro Failed'!K650</f>
        <v>POClosure001</v>
      </c>
      <c r="H648" s="487" t="e" cm="1">
        <f t="array" ref="H648">SUMPRODUCT((ERP[UID]=A648)*(ERP[AP01]+ERP[AP02]+ERP[AP03]+ERP[AP04]+ERP[AP05]))</f>
        <v>#VALUE!</v>
      </c>
      <c r="I648" s="487" cm="1">
        <f t="array" ref="I648">SUMPRODUCT((ERP[UID]=A648)*(ERP[AP01 LE2]+ERP[AP02 LE2]+ERP[AP03 LE2]+ERP[AP04 LE2]+ERP[AP05 LE2]))</f>
        <v>-4133.1400000000003</v>
      </c>
      <c r="J648" s="487">
        <f>'ERP_AP7 Macro Failed'!AL650</f>
        <v>0</v>
      </c>
      <c r="K648" t="str">
        <f t="shared" si="20"/>
        <v>Immaterial</v>
      </c>
      <c r="L648" t="str">
        <f t="shared" si="21"/>
        <v>No</v>
      </c>
    </row>
    <row r="649" spans="1:12">
      <c r="A649" t="str">
        <f>'ERP_AP7 Macro Failed'!A651</f>
        <v>L-ERP-159</v>
      </c>
      <c r="B649" t="str">
        <f>'ERP_AP7 Macro Failed'!D651</f>
        <v>Hase, Raj</v>
      </c>
      <c r="C649" t="str">
        <f>'ERP_AP7 Macro Failed'!E651</f>
        <v>Ganesan, Srinivasan</v>
      </c>
      <c r="D649" t="str">
        <f>'ERP_AP7 Macro Failed'!G651</f>
        <v>MANAGED SERVICES</v>
      </c>
      <c r="E649" t="str">
        <f>'ERP_AP7 Macro Failed'!H651</f>
        <v>Default</v>
      </c>
      <c r="F649">
        <f>'ERP_AP7 Macro Failed'!I651</f>
        <v>0</v>
      </c>
      <c r="G649" t="str">
        <f>'ERP_AP7 Macro Failed'!K651</f>
        <v>PR-252001-0000007901</v>
      </c>
      <c r="H649" s="487" t="e" cm="1">
        <f t="array" ref="H649">SUMPRODUCT((ERP[UID]=A649)*(ERP[AP01]+ERP[AP02]+ERP[AP03]+ERP[AP04]+ERP[AP05]))</f>
        <v>#VALUE!</v>
      </c>
      <c r="I649" s="487" cm="1">
        <f t="array" ref="I649">SUMPRODUCT((ERP[UID]=A649)*(ERP[AP01 LE2]+ERP[AP02 LE2]+ERP[AP03 LE2]+ERP[AP04 LE2]+ERP[AP05 LE2]))</f>
        <v>298.89999999999998</v>
      </c>
      <c r="J649" s="487">
        <f>'ERP_AP7 Macro Failed'!AL651</f>
        <v>0</v>
      </c>
      <c r="K649" t="str">
        <f t="shared" si="20"/>
        <v>Immaterial</v>
      </c>
      <c r="L649" t="str">
        <f t="shared" si="21"/>
        <v>No</v>
      </c>
    </row>
    <row r="650" spans="1:12">
      <c r="A650" t="str">
        <f>'ERP_AP7 Macro Failed'!A652</f>
        <v>L-ERP-404</v>
      </c>
      <c r="B650" t="str">
        <f>'ERP_AP7 Macro Failed'!D652</f>
        <v>McGettigan, David</v>
      </c>
      <c r="C650" t="str">
        <f>'ERP_AP7 Macro Failed'!E652</f>
        <v>McGettigan, David</v>
      </c>
      <c r="D650" t="str">
        <f>'ERP_AP7 Macro Failed'!G652</f>
        <v>TELECOMMUNICATIONS</v>
      </c>
      <c r="E650" t="str">
        <f>'ERP_AP7 Macro Failed'!H652</f>
        <v>Default</v>
      </c>
      <c r="F650">
        <f>'ERP_AP7 Macro Failed'!I652</f>
        <v>0</v>
      </c>
      <c r="G650" t="str">
        <f>'ERP_AP7 Macro Failed'!K652</f>
        <v>PR-320001-0000007901</v>
      </c>
      <c r="H650" s="487" t="e" cm="1">
        <f t="array" ref="H650">SUMPRODUCT((ERP[UID]=A650)*(ERP[AP01]+ERP[AP02]+ERP[AP03]+ERP[AP04]+ERP[AP05]))</f>
        <v>#VALUE!</v>
      </c>
      <c r="I650" s="487" cm="1">
        <f t="array" ref="I650">SUMPRODUCT((ERP[UID]=A650)*(ERP[AP01 LE2]+ERP[AP02 LE2]+ERP[AP03 LE2]+ERP[AP04 LE2]+ERP[AP05 LE2]))</f>
        <v>8.51</v>
      </c>
      <c r="J650" s="487">
        <f>'ERP_AP7 Macro Failed'!AL652</f>
        <v>0</v>
      </c>
      <c r="K650" t="str">
        <f t="shared" si="20"/>
        <v>Immaterial</v>
      </c>
      <c r="L650" t="str">
        <f t="shared" si="21"/>
        <v>No</v>
      </c>
    </row>
    <row r="651" spans="1:12">
      <c r="A651" t="str">
        <f>'ERP_AP7 Macro Failed'!A653</f>
        <v>L-ERP-416</v>
      </c>
      <c r="B651" t="str">
        <f>'ERP_AP7 Macro Failed'!D653</f>
        <v>McGettigan, David</v>
      </c>
      <c r="C651" t="str">
        <f>'ERP_AP7 Macro Failed'!E653</f>
        <v>McGettigan, David</v>
      </c>
      <c r="D651" t="str">
        <f>'ERP_AP7 Macro Failed'!G653</f>
        <v>CONTRACTORS</v>
      </c>
      <c r="E651" t="str">
        <f>'ERP_AP7 Macro Failed'!H653</f>
        <v>Default</v>
      </c>
      <c r="F651">
        <f>'ERP_AP7 Macro Failed'!I653</f>
        <v>0</v>
      </c>
      <c r="G651" t="str">
        <f>'ERP_AP7 Macro Failed'!K653</f>
        <v>PR-320001-0000007901</v>
      </c>
      <c r="H651" s="487" t="e" cm="1">
        <f t="array" ref="H651">SUMPRODUCT((ERP[UID]=A651)*(ERP[AP01]+ERP[AP02]+ERP[AP03]+ERP[AP04]+ERP[AP05]))</f>
        <v>#VALUE!</v>
      </c>
      <c r="I651" s="487" cm="1">
        <f t="array" ref="I651">SUMPRODUCT((ERP[UID]=A651)*(ERP[AP01 LE2]+ERP[AP02 LE2]+ERP[AP03 LE2]+ERP[AP04 LE2]+ERP[AP05 LE2]))</f>
        <v>7271.4</v>
      </c>
      <c r="J651" s="487">
        <f>'ERP_AP7 Macro Failed'!AL653</f>
        <v>0</v>
      </c>
      <c r="K651" t="str">
        <f t="shared" si="20"/>
        <v>Immaterial</v>
      </c>
      <c r="L651" t="str">
        <f t="shared" si="21"/>
        <v>No</v>
      </c>
    </row>
    <row r="652" spans="1:12">
      <c r="A652" t="str">
        <f>'ERP_AP7 Macro Failed'!A654</f>
        <v>L-ERP-030</v>
      </c>
      <c r="B652" t="str">
        <f>'ERP_AP7 Macro Failed'!D654</f>
        <v>Hase, Raj</v>
      </c>
      <c r="C652" t="str">
        <f>'ERP_AP7 Macro Failed'!E654</f>
        <v>DeHart, Lynn</v>
      </c>
      <c r="D652" t="str">
        <f>'ERP_AP7 Macro Failed'!G654</f>
        <v>RENT AND UTILITIES</v>
      </c>
      <c r="E652" t="str">
        <f>'ERP_AP7 Macro Failed'!H654</f>
        <v>WBS Override Project</v>
      </c>
      <c r="F652">
        <f>'ERP_AP7 Macro Failed'!I654</f>
        <v>0</v>
      </c>
      <c r="G652" t="str">
        <f>'ERP_AP7 Macro Failed'!K654</f>
        <v>PR-320001-0000007986</v>
      </c>
      <c r="H652" s="487" t="e" cm="1">
        <f t="array" ref="H652">SUMPRODUCT((ERP[UID]=A652)*(ERP[AP01]+ERP[AP02]+ERP[AP03]+ERP[AP04]+ERP[AP05]))</f>
        <v>#VALUE!</v>
      </c>
      <c r="I652" s="487" cm="1">
        <f t="array" ref="I652">SUMPRODUCT((ERP[UID]=A652)*(ERP[AP01 LE2]+ERP[AP02 LE2]+ERP[AP03 LE2]+ERP[AP04 LE2]+ERP[AP05 LE2]))</f>
        <v>961.71</v>
      </c>
      <c r="J652" s="487">
        <f>'ERP_AP7 Macro Failed'!AL654</f>
        <v>0</v>
      </c>
      <c r="K652" t="str">
        <f t="shared" si="20"/>
        <v>Immaterial</v>
      </c>
      <c r="L652" t="str">
        <f t="shared" si="21"/>
        <v>No</v>
      </c>
    </row>
    <row r="653" spans="1:12">
      <c r="A653" t="str">
        <f>'ERP_AP7 Macro Failed'!A655</f>
        <v>L-ERP-039</v>
      </c>
      <c r="B653" t="str">
        <f>'ERP_AP7 Macro Failed'!D655</f>
        <v>Hase, Raj</v>
      </c>
      <c r="C653" t="str">
        <f>'ERP_AP7 Macro Failed'!E655</f>
        <v>DeHart, Lynn</v>
      </c>
      <c r="D653" t="str">
        <f>'ERP_AP7 Macro Failed'!G655</f>
        <v>TELECOMMUNICATIONS</v>
      </c>
      <c r="E653" t="str">
        <f>'ERP_AP7 Macro Failed'!H655</f>
        <v>WBS Override Project</v>
      </c>
      <c r="F653">
        <f>'ERP_AP7 Macro Failed'!I655</f>
        <v>0</v>
      </c>
      <c r="G653" t="str">
        <f>'ERP_AP7 Macro Failed'!K655</f>
        <v>PR-320001-0000007986</v>
      </c>
      <c r="H653" s="487" t="e" cm="1">
        <f t="array" ref="H653">SUMPRODUCT((ERP[UID]=A653)*(ERP[AP01]+ERP[AP02]+ERP[AP03]+ERP[AP04]+ERP[AP05]))</f>
        <v>#VALUE!</v>
      </c>
      <c r="I653" s="487" cm="1">
        <f t="array" ref="I653">SUMPRODUCT((ERP[UID]=A653)*(ERP[AP01 LE2]+ERP[AP02 LE2]+ERP[AP03 LE2]+ERP[AP04 LE2]+ERP[AP05 LE2]))</f>
        <v>11.32</v>
      </c>
      <c r="J653" s="487">
        <f>'ERP_AP7 Macro Failed'!AL655</f>
        <v>0</v>
      </c>
      <c r="K653" t="str">
        <f t="shared" si="20"/>
        <v>Immaterial</v>
      </c>
      <c r="L653" t="str">
        <f t="shared" si="21"/>
        <v>No</v>
      </c>
    </row>
    <row r="654" spans="1:12">
      <c r="A654" t="str">
        <f>'ERP_AP7 Macro Failed'!A656</f>
        <v>L-ERP-018</v>
      </c>
      <c r="B654" t="str">
        <f>'ERP_AP7 Macro Failed'!D656</f>
        <v>Hase, Raj</v>
      </c>
      <c r="C654" t="str">
        <f>'ERP_AP7 Macro Failed'!E656</f>
        <v>DeHart, Lynn</v>
      </c>
      <c r="D654" t="str">
        <f>'ERP_AP7 Macro Failed'!G656</f>
        <v>CONTRACTORS</v>
      </c>
      <c r="E654" t="str">
        <f>'ERP_AP7 Macro Failed'!H656</f>
        <v>WBS Override Project</v>
      </c>
      <c r="F654">
        <f>'ERP_AP7 Macro Failed'!I656</f>
        <v>0</v>
      </c>
      <c r="G654" t="str">
        <f>'ERP_AP7 Macro Failed'!K656</f>
        <v>PR-587101-0000007986</v>
      </c>
      <c r="H654" s="487" t="e" cm="1">
        <f t="array" ref="H654">SUMPRODUCT((ERP[UID]=A654)*(ERP[AP01]+ERP[AP02]+ERP[AP03]+ERP[AP04]+ERP[AP05]))</f>
        <v>#VALUE!</v>
      </c>
      <c r="I654" s="487" cm="1">
        <f t="array" ref="I654">SUMPRODUCT((ERP[UID]=A654)*(ERP[AP01 LE2]+ERP[AP02 LE2]+ERP[AP03 LE2]+ERP[AP04 LE2]+ERP[AP05 LE2]))</f>
        <v>130.62</v>
      </c>
      <c r="J654" s="487">
        <f>'ERP_AP7 Macro Failed'!AL656</f>
        <v>0</v>
      </c>
      <c r="K654" t="str">
        <f t="shared" si="20"/>
        <v>Immaterial</v>
      </c>
      <c r="L654" t="str">
        <f t="shared" si="21"/>
        <v>No</v>
      </c>
    </row>
    <row r="655" spans="1:12">
      <c r="A655" t="str">
        <f>'ERP_AP7 Macro Failed'!A657</f>
        <v>L-ERP-024</v>
      </c>
      <c r="B655" t="str">
        <f>'ERP_AP7 Macro Failed'!D657</f>
        <v>Hase, Raj</v>
      </c>
      <c r="C655" t="str">
        <f>'ERP_AP7 Macro Failed'!E657</f>
        <v>DeHart, Lynn</v>
      </c>
      <c r="D655" t="str">
        <f>'ERP_AP7 Macro Failed'!G657</f>
        <v>MANAGED SERVICES</v>
      </c>
      <c r="E655" t="str">
        <f>'ERP_AP7 Macro Failed'!H657</f>
        <v>WBS Override Project</v>
      </c>
      <c r="F655">
        <f>'ERP_AP7 Macro Failed'!I657</f>
        <v>0</v>
      </c>
      <c r="G655" t="str">
        <f>'ERP_AP7 Macro Failed'!K657</f>
        <v>PR-587101-0000007986</v>
      </c>
      <c r="H655" s="487" t="e" cm="1">
        <f t="array" ref="H655">SUMPRODUCT((ERP[UID]=A655)*(ERP[AP01]+ERP[AP02]+ERP[AP03]+ERP[AP04]+ERP[AP05]))</f>
        <v>#VALUE!</v>
      </c>
      <c r="I655" s="487" cm="1">
        <f t="array" ref="I655">SUMPRODUCT((ERP[UID]=A655)*(ERP[AP01 LE2]+ERP[AP02 LE2]+ERP[AP03 LE2]+ERP[AP04 LE2]+ERP[AP05 LE2]))</f>
        <v>356.72</v>
      </c>
      <c r="J655" s="487">
        <f>'ERP_AP7 Macro Failed'!AL657</f>
        <v>0</v>
      </c>
      <c r="K655" t="str">
        <f t="shared" si="20"/>
        <v>Immaterial</v>
      </c>
      <c r="L655" t="str">
        <f t="shared" si="21"/>
        <v>No</v>
      </c>
    </row>
    <row r="656" spans="1:12">
      <c r="A656" t="str">
        <f>'ERP_AP7 Macro Failed'!A658</f>
        <v>L-ERP-027</v>
      </c>
      <c r="B656" t="str">
        <f>'ERP_AP7 Macro Failed'!D658</f>
        <v>Hase, Raj</v>
      </c>
      <c r="C656" t="str">
        <f>'ERP_AP7 Macro Failed'!E658</f>
        <v>DeHart, Lynn</v>
      </c>
      <c r="D656" t="str">
        <f>'ERP_AP7 Macro Failed'!G658</f>
        <v>OTHER</v>
      </c>
      <c r="E656" t="str">
        <f>'ERP_AP7 Macro Failed'!H658</f>
        <v>WBS Override Project</v>
      </c>
      <c r="F656">
        <f>'ERP_AP7 Macro Failed'!I658</f>
        <v>0</v>
      </c>
      <c r="G656" t="str">
        <f>'ERP_AP7 Macro Failed'!K658</f>
        <v>PR-587101-0000007986</v>
      </c>
      <c r="H656" s="487" t="e" cm="1">
        <f t="array" ref="H656">SUMPRODUCT((ERP[UID]=A656)*(ERP[AP01]+ERP[AP02]+ERP[AP03]+ERP[AP04]+ERP[AP05]))</f>
        <v>#VALUE!</v>
      </c>
      <c r="I656" s="487" cm="1">
        <f t="array" ref="I656">SUMPRODUCT((ERP[UID]=A656)*(ERP[AP01 LE2]+ERP[AP02 LE2]+ERP[AP03 LE2]+ERP[AP04 LE2]+ERP[AP05 LE2]))</f>
        <v>220.29</v>
      </c>
      <c r="J656" s="487">
        <f>'ERP_AP7 Macro Failed'!AL658</f>
        <v>0</v>
      </c>
      <c r="K656" t="str">
        <f t="shared" si="20"/>
        <v>Immaterial</v>
      </c>
      <c r="L656" t="str">
        <f t="shared" si="21"/>
        <v>No</v>
      </c>
    </row>
    <row r="657" spans="1:12">
      <c r="A657" t="str">
        <f>'ERP_AP7 Macro Failed'!A659</f>
        <v>L-ERP-029</v>
      </c>
      <c r="B657" t="str">
        <f>'ERP_AP7 Macro Failed'!D659</f>
        <v>Hase, Raj</v>
      </c>
      <c r="C657" t="str">
        <f>'ERP_AP7 Macro Failed'!E659</f>
        <v>DeHart, Lynn</v>
      </c>
      <c r="D657" t="str">
        <f>'ERP_AP7 Macro Failed'!G659</f>
        <v>OUTSIDE COUNSEL</v>
      </c>
      <c r="E657" t="str">
        <f>'ERP_AP7 Macro Failed'!H659</f>
        <v>WBS Override Project</v>
      </c>
      <c r="F657">
        <f>'ERP_AP7 Macro Failed'!I659</f>
        <v>0</v>
      </c>
      <c r="G657" t="str">
        <f>'ERP_AP7 Macro Failed'!K659</f>
        <v>PR-587101-0000007986</v>
      </c>
      <c r="H657" s="487" t="e" cm="1">
        <f t="array" ref="H657">SUMPRODUCT((ERP[UID]=A657)*(ERP[AP01]+ERP[AP02]+ERP[AP03]+ERP[AP04]+ERP[AP05]))</f>
        <v>#VALUE!</v>
      </c>
      <c r="I657" s="487" cm="1">
        <f t="array" ref="I657">SUMPRODUCT((ERP[UID]=A657)*(ERP[AP01 LE2]+ERP[AP02 LE2]+ERP[AP03 LE2]+ERP[AP04 LE2]+ERP[AP05 LE2]))</f>
        <v>3.5</v>
      </c>
      <c r="J657" s="487">
        <f>'ERP_AP7 Macro Failed'!AL659</f>
        <v>0</v>
      </c>
      <c r="K657" t="str">
        <f t="shared" si="20"/>
        <v>Immaterial</v>
      </c>
      <c r="L657" t="str">
        <f t="shared" si="21"/>
        <v>No</v>
      </c>
    </row>
    <row r="658" spans="1:12">
      <c r="A658" t="str">
        <f>'ERP_AP7 Macro Failed'!A660</f>
        <v>L-ERP-031</v>
      </c>
      <c r="B658" t="str">
        <f>'ERP_AP7 Macro Failed'!D660</f>
        <v>Hase, Raj</v>
      </c>
      <c r="C658" t="str">
        <f>'ERP_AP7 Macro Failed'!E660</f>
        <v>DeHart, Lynn</v>
      </c>
      <c r="D658" t="str">
        <f>'ERP_AP7 Macro Failed'!G660</f>
        <v>RENT AND UTILITIES</v>
      </c>
      <c r="E658" t="str">
        <f>'ERP_AP7 Macro Failed'!H660</f>
        <v>WBS Override Project</v>
      </c>
      <c r="F658">
        <f>'ERP_AP7 Macro Failed'!I660</f>
        <v>0</v>
      </c>
      <c r="G658" t="str">
        <f>'ERP_AP7 Macro Failed'!K660</f>
        <v>PR-587101-0000007986</v>
      </c>
      <c r="H658" s="487" t="e" cm="1">
        <f t="array" ref="H658">SUMPRODUCT((ERP[UID]=A658)*(ERP[AP01]+ERP[AP02]+ERP[AP03]+ERP[AP04]+ERP[AP05]))</f>
        <v>#VALUE!</v>
      </c>
      <c r="I658" s="487" cm="1">
        <f t="array" ref="I658">SUMPRODUCT((ERP[UID]=A658)*(ERP[AP01 LE2]+ERP[AP02 LE2]+ERP[AP03 LE2]+ERP[AP04 LE2]+ERP[AP05 LE2]))</f>
        <v>1672.26</v>
      </c>
      <c r="J658" s="487">
        <f>'ERP_AP7 Macro Failed'!AL660</f>
        <v>0</v>
      </c>
      <c r="K658" t="str">
        <f t="shared" si="20"/>
        <v>Immaterial</v>
      </c>
      <c r="L658" t="str">
        <f t="shared" si="21"/>
        <v>No</v>
      </c>
    </row>
    <row r="659" spans="1:12">
      <c r="A659" t="str">
        <f>'ERP_AP7 Macro Failed'!A661</f>
        <v>L-ERP-042</v>
      </c>
      <c r="B659" t="str">
        <f>'ERP_AP7 Macro Failed'!D661</f>
        <v>Hase, Raj</v>
      </c>
      <c r="C659" t="str">
        <f>'ERP_AP7 Macro Failed'!E661</f>
        <v>DeHart, Lynn</v>
      </c>
      <c r="D659" t="str">
        <f>'ERP_AP7 Macro Failed'!G661</f>
        <v>TRAVEL &amp; ENTERTAINMENT</v>
      </c>
      <c r="E659" t="str">
        <f>'ERP_AP7 Macro Failed'!H661</f>
        <v>WBS Override Project</v>
      </c>
      <c r="F659">
        <f>'ERP_AP7 Macro Failed'!I661</f>
        <v>0</v>
      </c>
      <c r="G659" t="str">
        <f>'ERP_AP7 Macro Failed'!K661</f>
        <v>PR-587101-0000007986</v>
      </c>
      <c r="H659" s="487" t="e" cm="1">
        <f t="array" ref="H659">SUMPRODUCT((ERP[UID]=A659)*(ERP[AP01]+ERP[AP02]+ERP[AP03]+ERP[AP04]+ERP[AP05]))</f>
        <v>#VALUE!</v>
      </c>
      <c r="I659" s="487" cm="1">
        <f t="array" ref="I659">SUMPRODUCT((ERP[UID]=A659)*(ERP[AP01 LE2]+ERP[AP02 LE2]+ERP[AP03 LE2]+ERP[AP04 LE2]+ERP[AP05 LE2]))</f>
        <v>64.67</v>
      </c>
      <c r="J659" s="487">
        <f>'ERP_AP7 Macro Failed'!AL661</f>
        <v>0</v>
      </c>
      <c r="K659" t="str">
        <f t="shared" si="20"/>
        <v>Immaterial</v>
      </c>
      <c r="L659" t="str">
        <f t="shared" si="21"/>
        <v>No</v>
      </c>
    </row>
    <row r="660" spans="1:12">
      <c r="A660" t="str">
        <f>'ERP_AP7 Macro Failed'!A662</f>
        <v>L-ERP-040</v>
      </c>
      <c r="B660" t="str">
        <f>'ERP_AP7 Macro Failed'!D662</f>
        <v>Hase, Raj</v>
      </c>
      <c r="C660" t="str">
        <f>'ERP_AP7 Macro Failed'!E662</f>
        <v>DeHart, Lynn</v>
      </c>
      <c r="D660" t="str">
        <f>'ERP_AP7 Macro Failed'!G662</f>
        <v>TELECOMMUNICATIONS</v>
      </c>
      <c r="E660" t="str">
        <f>'ERP_AP7 Macro Failed'!H662</f>
        <v>Telecommunications</v>
      </c>
      <c r="F660">
        <f>'ERP_AP7 Macro Failed'!I662</f>
        <v>0</v>
      </c>
      <c r="G660" t="str">
        <f>'ERP_AP7 Macro Failed'!K662</f>
        <v>Telecom001</v>
      </c>
      <c r="H660" s="487" t="e" cm="1">
        <f t="array" ref="H660">SUMPRODUCT((ERP[UID]=A660)*(ERP[AP01]+ERP[AP02]+ERP[AP03]+ERP[AP04]+ERP[AP05]))</f>
        <v>#VALUE!</v>
      </c>
      <c r="I660" s="487" cm="1">
        <f t="array" ref="I660">SUMPRODUCT((ERP[UID]=A660)*(ERP[AP01 LE2]+ERP[AP02 LE2]+ERP[AP03 LE2]+ERP[AP04 LE2]+ERP[AP05 LE2]))</f>
        <v>35582.949999999997</v>
      </c>
      <c r="J660" s="487">
        <f>'ERP_AP7 Macro Failed'!AL662</f>
        <v>-18617.179999999997</v>
      </c>
      <c r="K660" t="str">
        <f t="shared" si="20"/>
        <v>MATERIAL</v>
      </c>
      <c r="L660" t="str">
        <f t="shared" si="21"/>
        <v>YES</v>
      </c>
    </row>
    <row r="661" spans="1:12">
      <c r="A661" t="str">
        <f>'ERP_AP7 Macro Failed'!A663</f>
        <v>L-ERP-346</v>
      </c>
      <c r="B661" t="str">
        <f>'ERP_AP7 Macro Failed'!D663</f>
        <v>Dougherty, Chris</v>
      </c>
      <c r="C661" t="str">
        <f>'ERP_AP7 Macro Failed'!E663</f>
        <v>Maguire, Karla</v>
      </c>
      <c r="D661" t="str">
        <f>'ERP_AP7 Macro Failed'!G663</f>
        <v>OTHER</v>
      </c>
      <c r="E661" t="str">
        <f>'ERP_AP7 Macro Failed'!H663</f>
        <v>Other</v>
      </c>
      <c r="F661">
        <f>'ERP_AP7 Macro Failed'!I663</f>
        <v>0</v>
      </c>
      <c r="G661" t="str">
        <f>'ERP_AP7 Macro Failed'!K663</f>
        <v>Others001</v>
      </c>
      <c r="H661" s="487" t="e" cm="1">
        <f t="array" ref="H661">SUMPRODUCT((ERP[UID]=A661)*(ERP[AP01]+ERP[AP02]+ERP[AP03]+ERP[AP04]+ERP[AP05]))</f>
        <v>#VALUE!</v>
      </c>
      <c r="I661" s="487" cm="1">
        <f t="array" ref="I661">SUMPRODUCT((ERP[UID]=A661)*(ERP[AP01 LE2]+ERP[AP02 LE2]+ERP[AP03 LE2]+ERP[AP04 LE2]+ERP[AP05 LE2]))</f>
        <v>9271.2199999999993</v>
      </c>
      <c r="J661" s="487">
        <f>'ERP_AP7 Macro Failed'!AL663</f>
        <v>827.70000000000073</v>
      </c>
      <c r="K661" t="str">
        <f t="shared" si="20"/>
        <v>Immaterial</v>
      </c>
      <c r="L661" t="str">
        <f t="shared" si="21"/>
        <v>No</v>
      </c>
    </row>
    <row r="662" spans="1:12">
      <c r="A662" t="str">
        <f>'ERP_AP7 Macro Failed'!A664</f>
        <v>L-ERP-169</v>
      </c>
      <c r="B662" t="str">
        <f>'ERP_AP7 Macro Failed'!D664</f>
        <v>Hase, Raj</v>
      </c>
      <c r="C662" t="str">
        <f>'ERP_AP7 Macro Failed'!E664</f>
        <v>Ganesan, Srinivasan</v>
      </c>
      <c r="D662" t="str">
        <f>'ERP_AP7 Macro Failed'!G664</f>
        <v>TELECOMMUNICATIONS</v>
      </c>
      <c r="E662" t="str">
        <f>'ERP_AP7 Macro Failed'!H664</f>
        <v>Telecommunications</v>
      </c>
      <c r="F662">
        <f>'ERP_AP7 Macro Failed'!I664</f>
        <v>0</v>
      </c>
      <c r="G662" t="str">
        <f>'ERP_AP7 Macro Failed'!K664</f>
        <v>Telecom001</v>
      </c>
      <c r="H662" s="487" t="e" cm="1">
        <f t="array" ref="H662">SUMPRODUCT((ERP[UID]=A662)*(ERP[AP01]+ERP[AP02]+ERP[AP03]+ERP[AP04]+ERP[AP05]))</f>
        <v>#VALUE!</v>
      </c>
      <c r="I662" s="487" cm="1">
        <f t="array" ref="I662">SUMPRODUCT((ERP[UID]=A662)*(ERP[AP01 LE2]+ERP[AP02 LE2]+ERP[AP03 LE2]+ERP[AP04 LE2]+ERP[AP05 LE2]))</f>
        <v>39.089999999999996</v>
      </c>
      <c r="J662" s="487">
        <f>'ERP_AP7 Macro Failed'!AL664</f>
        <v>101.53</v>
      </c>
      <c r="K662" t="str">
        <f t="shared" si="20"/>
        <v>Immaterial</v>
      </c>
      <c r="L662" t="str">
        <f t="shared" si="21"/>
        <v>No</v>
      </c>
    </row>
    <row r="663" spans="1:12">
      <c r="A663" t="str">
        <f>'ERP_AP7 Macro Failed'!A665</f>
        <v>L-ERP-251</v>
      </c>
      <c r="B663" t="str">
        <f>'ERP_AP7 Macro Failed'!D665</f>
        <v>Hase, Raj</v>
      </c>
      <c r="C663" t="str">
        <f>'ERP_AP7 Macro Failed'!E665</f>
        <v>Jajodia, Amit</v>
      </c>
      <c r="D663" t="str">
        <f>'ERP_AP7 Macro Failed'!G665</f>
        <v>TELECOMMUNICATIONS</v>
      </c>
      <c r="E663" t="str">
        <f>'ERP_AP7 Macro Failed'!H665</f>
        <v>Telecommunications</v>
      </c>
      <c r="F663">
        <f>'ERP_AP7 Macro Failed'!I665</f>
        <v>0</v>
      </c>
      <c r="G663" t="str">
        <f>'ERP_AP7 Macro Failed'!K665</f>
        <v>Telecom001</v>
      </c>
      <c r="H663" s="487" t="e" cm="1">
        <f t="array" ref="H663">SUMPRODUCT((ERP[UID]=A663)*(ERP[AP01]+ERP[AP02]+ERP[AP03]+ERP[AP04]+ERP[AP05]))</f>
        <v>#VALUE!</v>
      </c>
      <c r="I663" s="487" cm="1">
        <f t="array" ref="I663">SUMPRODUCT((ERP[UID]=A663)*(ERP[AP01 LE2]+ERP[AP02 LE2]+ERP[AP03 LE2]+ERP[AP04 LE2]+ERP[AP05 LE2]))</f>
        <v>208.93</v>
      </c>
      <c r="J663" s="487">
        <f>'ERP_AP7 Macro Failed'!AL665</f>
        <v>168.39999999999998</v>
      </c>
      <c r="K663" t="str">
        <f t="shared" si="20"/>
        <v>Immaterial</v>
      </c>
      <c r="L663" t="str">
        <f t="shared" si="21"/>
        <v>No</v>
      </c>
    </row>
    <row r="664" spans="1:12">
      <c r="A664" t="str">
        <f>'ERP_AP7 Macro Failed'!A666</f>
        <v>L-ERP-094</v>
      </c>
      <c r="B664" t="str">
        <f>'ERP_AP7 Macro Failed'!D666</f>
        <v>Dougherty, Chris</v>
      </c>
      <c r="C664" t="str">
        <f>'ERP_AP7 Macro Failed'!E666</f>
        <v>Dougherty, Chris</v>
      </c>
      <c r="D664" t="str">
        <f>'ERP_AP7 Macro Failed'!G666</f>
        <v>CONTRACTORS</v>
      </c>
      <c r="E664" t="str">
        <f>'ERP_AP7 Macro Failed'!H666</f>
        <v>PO Closure Credit</v>
      </c>
      <c r="F664">
        <f>'ERP_AP7 Macro Failed'!I666</f>
        <v>0</v>
      </c>
      <c r="G664" t="str">
        <f>'ERP_AP7 Macro Failed'!K666</f>
        <v>POClosure001</v>
      </c>
      <c r="H664" s="487" t="e" cm="1">
        <f t="array" ref="H664">SUMPRODUCT((ERP[UID]=A664)*(ERP[AP01]+ERP[AP02]+ERP[AP03]+ERP[AP04]+ERP[AP05]))</f>
        <v>#VALUE!</v>
      </c>
      <c r="I664" s="487" cm="1">
        <f t="array" ref="I664">SUMPRODUCT((ERP[UID]=A664)*(ERP[AP01 LE2]+ERP[AP02 LE2]+ERP[AP03 LE2]+ERP[AP04 LE2]+ERP[AP05 LE2]))</f>
        <v>-16166.66</v>
      </c>
      <c r="J664" s="487">
        <f>'ERP_AP7 Macro Failed'!AL666</f>
        <v>0</v>
      </c>
      <c r="K664" t="str">
        <f t="shared" si="20"/>
        <v>Immaterial</v>
      </c>
      <c r="L664" t="str">
        <f t="shared" si="21"/>
        <v>No</v>
      </c>
    </row>
    <row r="665" spans="1:12">
      <c r="A665" t="str">
        <f>'ERP_AP7 Macro Failed'!A667</f>
        <v>L-ERP-415</v>
      </c>
      <c r="B665" t="str">
        <f>'ERP_AP7 Macro Failed'!D667</f>
        <v>McGettigan, David</v>
      </c>
      <c r="C665" t="str">
        <f>'ERP_AP7 Macro Failed'!E667</f>
        <v>McGettigan, David</v>
      </c>
      <c r="D665" t="str">
        <f>'ERP_AP7 Macro Failed'!G667</f>
        <v>TELECOMMUNICATIONS</v>
      </c>
      <c r="E665" t="str">
        <f>'ERP_AP7 Macro Failed'!H667</f>
        <v>Telecommunications</v>
      </c>
      <c r="F665">
        <f>'ERP_AP7 Macro Failed'!I667</f>
        <v>0</v>
      </c>
      <c r="G665" t="str">
        <f>'ERP_AP7 Macro Failed'!K667</f>
        <v>Telecom001</v>
      </c>
      <c r="H665" s="487" t="e" cm="1">
        <f t="array" ref="H665">SUMPRODUCT((ERP[UID]=A665)*(ERP[AP01]+ERP[AP02]+ERP[AP03]+ERP[AP04]+ERP[AP05]))</f>
        <v>#VALUE!</v>
      </c>
      <c r="I665" s="487" cm="1">
        <f t="array" ref="I665">SUMPRODUCT((ERP[UID]=A665)*(ERP[AP01 LE2]+ERP[AP02 LE2]+ERP[AP03 LE2]+ERP[AP04 LE2]+ERP[AP05 LE2]))</f>
        <v>2717.28</v>
      </c>
      <c r="J665" s="487">
        <f>'ERP_AP7 Macro Failed'!AL667</f>
        <v>-372.11000000000013</v>
      </c>
      <c r="K665" t="str">
        <f t="shared" si="20"/>
        <v>Immaterial</v>
      </c>
      <c r="L665" t="str">
        <f t="shared" si="21"/>
        <v>No</v>
      </c>
    </row>
    <row r="666" spans="1:12">
      <c r="A666" t="str">
        <f>'ERP_AP7 Macro Failed'!A668</f>
        <v>L-ERP-493</v>
      </c>
      <c r="B666" t="str">
        <f>'ERP_AP7 Macro Failed'!D668</f>
        <v>Robertson, Jerome</v>
      </c>
      <c r="C666" t="str">
        <f>'ERP_AP7 Macro Failed'!E668</f>
        <v>Robertson, Jerome</v>
      </c>
      <c r="D666" t="str">
        <f>'ERP_AP7 Macro Failed'!G668</f>
        <v>TELECOMMUNICATIONS</v>
      </c>
      <c r="E666" t="str">
        <f>'ERP_AP7 Macro Failed'!H668</f>
        <v>Telecommunications</v>
      </c>
      <c r="F666">
        <f>'ERP_AP7 Macro Failed'!I668</f>
        <v>0</v>
      </c>
      <c r="G666" t="str">
        <f>'ERP_AP7 Macro Failed'!K668</f>
        <v>Telecom001</v>
      </c>
      <c r="H666" s="487" t="e" cm="1">
        <f t="array" ref="H666">SUMPRODUCT((ERP[UID]=A666)*(ERP[AP01]+ERP[AP02]+ERP[AP03]+ERP[AP04]+ERP[AP05]))</f>
        <v>#VALUE!</v>
      </c>
      <c r="I666" s="487" cm="1">
        <f t="array" ref="I666">SUMPRODUCT((ERP[UID]=A666)*(ERP[AP01 LE2]+ERP[AP02 LE2]+ERP[AP03 LE2]+ERP[AP04 LE2]+ERP[AP05 LE2]))</f>
        <v>3998</v>
      </c>
      <c r="J666" s="487">
        <f>'ERP_AP7 Macro Failed'!AL668</f>
        <v>-1620.48</v>
      </c>
      <c r="K666" t="str">
        <f t="shared" si="20"/>
        <v>Minor</v>
      </c>
      <c r="L666" t="str">
        <f t="shared" si="21"/>
        <v>No</v>
      </c>
    </row>
    <row r="667" spans="1:12">
      <c r="A667" t="str">
        <f>'ERP_AP7 Macro Failed'!A669</f>
        <v>L-ERP-049</v>
      </c>
      <c r="B667" t="str">
        <f>'ERP_AP7 Macro Failed'!D669</f>
        <v>Hase, Raj</v>
      </c>
      <c r="C667" t="str">
        <f>'ERP_AP7 Macro Failed'!E669</f>
        <v>DeHart, Lynn</v>
      </c>
      <c r="D667" t="str">
        <f>'ERP_AP7 Macro Failed'!G669</f>
        <v>TRAVEL &amp; ENTERTAINMENT</v>
      </c>
      <c r="E667" t="str">
        <f>'ERP_AP7 Macro Failed'!H669</f>
        <v>Travel and Entertainment</v>
      </c>
      <c r="F667">
        <f>'ERP_AP7 Macro Failed'!I669</f>
        <v>0</v>
      </c>
      <c r="G667" t="str">
        <f>'ERP_AP7 Macro Failed'!K669</f>
        <v>TravelEnt001</v>
      </c>
      <c r="H667" s="487" t="e" cm="1">
        <f t="array" ref="H667">SUMPRODUCT((ERP[UID]=A667)*(ERP[AP01]+ERP[AP02]+ERP[AP03]+ERP[AP04]+ERP[AP05]))</f>
        <v>#VALUE!</v>
      </c>
      <c r="I667" s="487" cm="1">
        <f t="array" ref="I667">SUMPRODUCT((ERP[UID]=A667)*(ERP[AP01 LE2]+ERP[AP02 LE2]+ERP[AP03 LE2]+ERP[AP04 LE2]+ERP[AP05 LE2]))</f>
        <v>23976.370000000003</v>
      </c>
      <c r="J667" s="487">
        <f>'ERP_AP7 Macro Failed'!AL669</f>
        <v>10849.080000000002</v>
      </c>
      <c r="K667" t="str">
        <f t="shared" si="20"/>
        <v>MATERIAL</v>
      </c>
      <c r="L667" t="str">
        <f t="shared" si="21"/>
        <v>YES</v>
      </c>
    </row>
    <row r="668" spans="1:12">
      <c r="A668" t="str">
        <f>'ERP_AP7 Macro Failed'!A670</f>
        <v>L-ERP-446</v>
      </c>
      <c r="B668" t="str">
        <f>'ERP_AP7 Macro Failed'!D670</f>
        <v>Dougherty, Chris</v>
      </c>
      <c r="C668" t="str">
        <f>'ERP_AP7 Macro Failed'!E670</f>
        <v>Meadows, Leslie</v>
      </c>
      <c r="D668" t="str">
        <f>'ERP_AP7 Macro Failed'!G670</f>
        <v>CONTRACTORS</v>
      </c>
      <c r="E668" t="str">
        <f>'ERP_AP7 Macro Failed'!H670</f>
        <v>PO Closure Credit</v>
      </c>
      <c r="F668">
        <f>'ERP_AP7 Macro Failed'!I670</f>
        <v>0</v>
      </c>
      <c r="G668" t="str">
        <f>'ERP_AP7 Macro Failed'!K670</f>
        <v>POClosure001</v>
      </c>
      <c r="H668" s="487" t="e" cm="1">
        <f t="array" ref="H668">SUMPRODUCT((ERP[UID]=A668)*(ERP[AP01]+ERP[AP02]+ERP[AP03]+ERP[AP04]+ERP[AP05]))</f>
        <v>#VALUE!</v>
      </c>
      <c r="I668" s="487" cm="1">
        <f t="array" ref="I668">SUMPRODUCT((ERP[UID]=A668)*(ERP[AP01 LE2]+ERP[AP02 LE2]+ERP[AP03 LE2]+ERP[AP04 LE2]+ERP[AP05 LE2]))</f>
        <v>-14694</v>
      </c>
      <c r="J668" s="487">
        <f>'ERP_AP7 Macro Failed'!AL670</f>
        <v>0</v>
      </c>
      <c r="K668" t="str">
        <f t="shared" si="20"/>
        <v>Immaterial</v>
      </c>
      <c r="L668" t="str">
        <f t="shared" si="21"/>
        <v>No</v>
      </c>
    </row>
    <row r="669" spans="1:12">
      <c r="A669" t="str">
        <f>'ERP_AP7 Macro Failed'!A671</f>
        <v>L-ERP-176</v>
      </c>
      <c r="B669" t="str">
        <f>'ERP_AP7 Macro Failed'!D671</f>
        <v>Hase, Raj</v>
      </c>
      <c r="C669" t="str">
        <f>'ERP_AP7 Macro Failed'!E671</f>
        <v>Ganesan, Srinivasan</v>
      </c>
      <c r="D669" t="str">
        <f>'ERP_AP7 Macro Failed'!G671</f>
        <v>TRAVEL &amp; ENTERTAINMENT</v>
      </c>
      <c r="E669" t="str">
        <f>'ERP_AP7 Macro Failed'!H671</f>
        <v>Travel and Entertainment</v>
      </c>
      <c r="F669">
        <f>'ERP_AP7 Macro Failed'!I671</f>
        <v>0</v>
      </c>
      <c r="G669" t="str">
        <f>'ERP_AP7 Macro Failed'!K671</f>
        <v>TravelEnt001</v>
      </c>
      <c r="H669" s="487" t="e" cm="1">
        <f t="array" ref="H669">SUMPRODUCT((ERP[UID]=A669)*(ERP[AP01]+ERP[AP02]+ERP[AP03]+ERP[AP04]+ERP[AP05]))</f>
        <v>#VALUE!</v>
      </c>
      <c r="I669" s="487" cm="1">
        <f t="array" ref="I669">SUMPRODUCT((ERP[UID]=A669)*(ERP[AP01 LE2]+ERP[AP02 LE2]+ERP[AP03 LE2]+ERP[AP04 LE2]+ERP[AP05 LE2]))</f>
        <v>995.34</v>
      </c>
      <c r="J669" s="487">
        <f>'ERP_AP7 Macro Failed'!AL671</f>
        <v>0</v>
      </c>
      <c r="K669" t="str">
        <f t="shared" si="20"/>
        <v>Immaterial</v>
      </c>
      <c r="L669" t="str">
        <f t="shared" si="21"/>
        <v>No</v>
      </c>
    </row>
    <row r="670" spans="1:12">
      <c r="A670" t="str">
        <f>'ERP_AP7 Macro Failed'!A672</f>
        <v>L-ERP-257</v>
      </c>
      <c r="B670" t="str">
        <f>'ERP_AP7 Macro Failed'!D672</f>
        <v>Hase, Raj</v>
      </c>
      <c r="C670" t="str">
        <f>'ERP_AP7 Macro Failed'!E672</f>
        <v>Jajodia, Amit</v>
      </c>
      <c r="D670" t="str">
        <f>'ERP_AP7 Macro Failed'!G672</f>
        <v>TRAVEL &amp; ENTERTAINMENT</v>
      </c>
      <c r="E670" t="str">
        <f>'ERP_AP7 Macro Failed'!H672</f>
        <v>Travel and Entertainment</v>
      </c>
      <c r="F670">
        <f>'ERP_AP7 Macro Failed'!I672</f>
        <v>0</v>
      </c>
      <c r="G670" t="str">
        <f>'ERP_AP7 Macro Failed'!K672</f>
        <v>TravelEnt001</v>
      </c>
      <c r="H670" s="487" t="e" cm="1">
        <f t="array" ref="H670">SUMPRODUCT((ERP[UID]=A670)*(ERP[AP01]+ERP[AP02]+ERP[AP03]+ERP[AP04]+ERP[AP05]))</f>
        <v>#VALUE!</v>
      </c>
      <c r="I670" s="487" cm="1">
        <f t="array" ref="I670">SUMPRODUCT((ERP[UID]=A670)*(ERP[AP01 LE2]+ERP[AP02 LE2]+ERP[AP03 LE2]+ERP[AP04 LE2]+ERP[AP05 LE2]))</f>
        <v>1947.4499999999998</v>
      </c>
      <c r="J670" s="487">
        <f>'ERP_AP7 Macro Failed'!AL672</f>
        <v>0</v>
      </c>
      <c r="K670" t="str">
        <f t="shared" si="20"/>
        <v>Immaterial</v>
      </c>
      <c r="L670" t="str">
        <f t="shared" si="21"/>
        <v>No</v>
      </c>
    </row>
    <row r="671" spans="1:12">
      <c r="A671" t="str">
        <f>'ERP_AP7 Macro Failed'!A673</f>
        <v>L-ERP-102</v>
      </c>
      <c r="B671" t="str">
        <f>'ERP_AP7 Macro Failed'!D673</f>
        <v>Dougherty, Chris</v>
      </c>
      <c r="C671" t="str">
        <f>'ERP_AP7 Macro Failed'!E673</f>
        <v>Dougherty, Chris</v>
      </c>
      <c r="D671" t="str">
        <f>'ERP_AP7 Macro Failed'!G673</f>
        <v>TELECOMMUNICATIONS</v>
      </c>
      <c r="E671" t="str">
        <f>'ERP_AP7 Macro Failed'!H673</f>
        <v>Telecommunications</v>
      </c>
      <c r="F671">
        <f>'ERP_AP7 Macro Failed'!I673</f>
        <v>0</v>
      </c>
      <c r="G671" t="str">
        <f>'ERP_AP7 Macro Failed'!K673</f>
        <v>Telecom001</v>
      </c>
      <c r="H671" s="487" t="e" cm="1">
        <f t="array" ref="H671">SUMPRODUCT((ERP[UID]=A671)*(ERP[AP01]+ERP[AP02]+ERP[AP03]+ERP[AP04]+ERP[AP05]))</f>
        <v>#VALUE!</v>
      </c>
      <c r="I671" s="487" cm="1">
        <f t="array" ref="I671">SUMPRODUCT((ERP[UID]=A671)*(ERP[AP01 LE2]+ERP[AP02 LE2]+ERP[AP03 LE2]+ERP[AP04 LE2]+ERP[AP05 LE2]))</f>
        <v>4741</v>
      </c>
      <c r="J671" s="487">
        <f>'ERP_AP7 Macro Failed'!AL673</f>
        <v>5230</v>
      </c>
      <c r="K671" t="str">
        <f t="shared" si="20"/>
        <v>Minor</v>
      </c>
      <c r="L671" t="str">
        <f t="shared" si="21"/>
        <v>No</v>
      </c>
    </row>
    <row r="672" spans="1:12">
      <c r="A672" t="str">
        <f>'ERP_AP7 Macro Failed'!A674</f>
        <v>L-ERP-384</v>
      </c>
      <c r="B672" t="str">
        <f>'ERP_AP7 Macro Failed'!D674</f>
        <v>McGettigan, David</v>
      </c>
      <c r="C672" t="str">
        <f>'ERP_AP7 Macro Failed'!E674</f>
        <v>McGettigan, David</v>
      </c>
      <c r="D672" t="str">
        <f>'ERP_AP7 Macro Failed'!G674</f>
        <v>TRAVEL &amp; ENTERTAINMENT</v>
      </c>
      <c r="E672" t="str">
        <f>'ERP_AP7 Macro Failed'!H674</f>
        <v>Travel and Entertainment</v>
      </c>
      <c r="F672">
        <f>'ERP_AP7 Macro Failed'!I674</f>
        <v>0</v>
      </c>
      <c r="G672" t="str">
        <f>'ERP_AP7 Macro Failed'!K674</f>
        <v>TravelEnt001</v>
      </c>
      <c r="H672" s="487" t="e" cm="1">
        <f t="array" ref="H672">SUMPRODUCT((ERP[UID]=A672)*(ERP[AP01]+ERP[AP02]+ERP[AP03]+ERP[AP04]+ERP[AP05]))</f>
        <v>#VALUE!</v>
      </c>
      <c r="I672" s="487" cm="1">
        <f t="array" ref="I672">SUMPRODUCT((ERP[UID]=A672)*(ERP[AP01 LE2]+ERP[AP02 LE2]+ERP[AP03 LE2]+ERP[AP04 LE2]+ERP[AP05 LE2]))</f>
        <v>-468023.23</v>
      </c>
      <c r="J672" s="487">
        <f>'ERP_AP7 Macro Failed'!AL674</f>
        <v>6285</v>
      </c>
      <c r="K672" t="str">
        <f t="shared" si="20"/>
        <v>Minor</v>
      </c>
      <c r="L672" t="str">
        <f t="shared" si="21"/>
        <v>No</v>
      </c>
    </row>
    <row r="673" spans="1:12">
      <c r="A673" t="str">
        <f>'ERP_AP7 Macro Failed'!A675</f>
        <v>L-ERP-501</v>
      </c>
      <c r="B673" t="str">
        <f>'ERP_AP7 Macro Failed'!D675</f>
        <v>Robertson, Jerome</v>
      </c>
      <c r="C673" t="str">
        <f>'ERP_AP7 Macro Failed'!E675</f>
        <v>Robertson, Jerome</v>
      </c>
      <c r="D673" t="str">
        <f>'ERP_AP7 Macro Failed'!G675</f>
        <v>TRAVEL &amp; ENTERTAINMENT</v>
      </c>
      <c r="E673" t="str">
        <f>'ERP_AP7 Macro Failed'!H675</f>
        <v>Travel and Entertainment</v>
      </c>
      <c r="F673">
        <f>'ERP_AP7 Macro Failed'!I675</f>
        <v>0</v>
      </c>
      <c r="G673" t="str">
        <f>'ERP_AP7 Macro Failed'!K675</f>
        <v>TravelEnt001</v>
      </c>
      <c r="H673" s="487" t="e" cm="1">
        <f t="array" ref="H673">SUMPRODUCT((ERP[UID]=A673)*(ERP[AP01]+ERP[AP02]+ERP[AP03]+ERP[AP04]+ERP[AP05]))</f>
        <v>#VALUE!</v>
      </c>
      <c r="I673" s="487" cm="1">
        <f t="array" ref="I673">SUMPRODUCT((ERP[UID]=A673)*(ERP[AP01 LE2]+ERP[AP02 LE2]+ERP[AP03 LE2]+ERP[AP04 LE2]+ERP[AP05 LE2]))</f>
        <v>17997.310000000001</v>
      </c>
      <c r="J673" s="487">
        <f>'ERP_AP7 Macro Failed'!AL675</f>
        <v>3708.8999999999978</v>
      </c>
      <c r="K673" t="str">
        <f t="shared" si="20"/>
        <v>Minor</v>
      </c>
      <c r="L673" t="str">
        <f t="shared" si="21"/>
        <v>No</v>
      </c>
    </row>
    <row r="674" spans="1:12">
      <c r="A674" t="str">
        <f>'ERP_AP7 Macro Failed'!A676</f>
        <v>L-ERP-427</v>
      </c>
      <c r="B674" t="str">
        <f>'ERP_AP7 Macro Failed'!D676</f>
        <v>McGettigan, David</v>
      </c>
      <c r="C674" t="str">
        <f>'ERP_AP7 Macro Failed'!E676</f>
        <v>McGettigan, David</v>
      </c>
      <c r="D674" t="str">
        <f>'ERP_AP7 Macro Failed'!G676</f>
        <v>TRAVEL &amp; ENTERTAINMENT</v>
      </c>
      <c r="E674" t="str">
        <f>'ERP_AP7 Macro Failed'!H676</f>
        <v>TravelEnt001_Reserve</v>
      </c>
      <c r="F674">
        <f>'ERP_AP7 Macro Failed'!I676</f>
        <v>0</v>
      </c>
      <c r="G674" t="str">
        <f>'ERP_AP7 Macro Failed'!K676</f>
        <v>TravelEnt001_Reserve</v>
      </c>
      <c r="H674" s="487" t="e" cm="1">
        <f t="array" ref="H674">SUMPRODUCT((ERP[UID]=A674)*(ERP[AP01]+ERP[AP02]+ERP[AP03]+ERP[AP04]+ERP[AP05]))</f>
        <v>#VALUE!</v>
      </c>
      <c r="I674" s="487" cm="1">
        <f t="array" ref="I674">SUMPRODUCT((ERP[UID]=A674)*(ERP[AP01 LE2]+ERP[AP02 LE2]+ERP[AP03 LE2]+ERP[AP04 LE2]+ERP[AP05 LE2]))</f>
        <v>47619.048333999999</v>
      </c>
      <c r="J674" s="487">
        <f>'ERP_AP7 Macro Failed'!AL676</f>
        <v>-71428.572501000002</v>
      </c>
      <c r="K674" t="str">
        <f t="shared" si="20"/>
        <v>MATERIAL</v>
      </c>
      <c r="L674" t="str">
        <f t="shared" si="21"/>
        <v>YES</v>
      </c>
    </row>
    <row r="675" spans="1:12">
      <c r="A675" t="str">
        <f>'ERP_AP7 Macro Failed'!A677</f>
        <v>L-ERP-386</v>
      </c>
      <c r="B675" t="str">
        <f>'ERP_AP7 Macro Failed'!D677</f>
        <v>McGettigan, David</v>
      </c>
      <c r="C675" t="str">
        <f>'ERP_AP7 Macro Failed'!E677</f>
        <v>McGettigan, David</v>
      </c>
      <c r="D675" t="str">
        <f>'ERP_AP7 Macro Failed'!G677</f>
        <v>COMPENSATION</v>
      </c>
      <c r="E675" t="str">
        <f>'ERP_AP7 Macro Failed'!H677</f>
        <v>Vacancy Factor</v>
      </c>
      <c r="F675">
        <f>'ERP_AP7 Macro Failed'!I677</f>
        <v>0</v>
      </c>
      <c r="G675" t="str">
        <f>'ERP_AP7 Macro Failed'!K677</f>
        <v>VacancyFactor001</v>
      </c>
      <c r="H675" s="487" t="e" cm="1">
        <f t="array" ref="H675">SUMPRODUCT((ERP[UID]=A675)*(ERP[AP01]+ERP[AP02]+ERP[AP03]+ERP[AP04]+ERP[AP05]))</f>
        <v>#VALUE!</v>
      </c>
      <c r="I675" s="487" cm="1">
        <f t="array" ref="I675">SUMPRODUCT((ERP[UID]=A675)*(ERP[AP01 LE2]+ERP[AP02 LE2]+ERP[AP03 LE2]+ERP[AP04 LE2]+ERP[AP05 LE2]))</f>
        <v>-20000</v>
      </c>
      <c r="J675" s="487">
        <f>'ERP_AP7 Macro Failed'!AL677</f>
        <v>40000</v>
      </c>
      <c r="K675" t="str">
        <f t="shared" si="20"/>
        <v>MATERIAL</v>
      </c>
      <c r="L675" t="str">
        <f t="shared" si="21"/>
        <v>YES</v>
      </c>
    </row>
    <row r="676" spans="1:12">
      <c r="A676" t="str">
        <f>'ERP_AP7 Macro Failed'!A678</f>
        <v>ERP-001</v>
      </c>
      <c r="B676" t="str">
        <f>'ERP_AP7 Macro Failed'!D678</f>
        <v>Hase, Raj</v>
      </c>
      <c r="C676" t="str">
        <f>'ERP_AP7 Macro Failed'!E678</f>
        <v>Ganesan, Srinivasan</v>
      </c>
      <c r="D676" t="str">
        <f>'ERP_AP7 Macro Failed'!G678</f>
        <v>SOFTWARE</v>
      </c>
      <c r="E676" t="str">
        <f>'ERP_AP7 Macro Failed'!H678</f>
        <v>ShipERP</v>
      </c>
      <c r="F676" t="str">
        <f>'ERP_AP7 Macro Failed'!I678</f>
        <v>0</v>
      </c>
      <c r="G676">
        <f>'ERP_AP7 Macro Failed'!K678</f>
        <v>0</v>
      </c>
      <c r="H676" s="487" t="e" cm="1">
        <f t="array" ref="H676">SUMPRODUCT((ERP[UID]=A676)*(ERP[AP01]+ERP[AP02]+ERP[AP03]+ERP[AP04]+ERP[AP05]))</f>
        <v>#VALUE!</v>
      </c>
      <c r="I676" s="487" cm="1">
        <f t="array" ref="I676">SUMPRODUCT((ERP[UID]=A676)*(ERP[AP01 LE2]+ERP[AP02 LE2]+ERP[AP03 LE2]+ERP[AP04 LE2]+ERP[AP05 LE2]))</f>
        <v>0</v>
      </c>
      <c r="J676" s="487">
        <f>'ERP_AP7 Macro Failed'!AL678</f>
        <v>0</v>
      </c>
      <c r="K676" t="str">
        <f t="shared" si="20"/>
        <v>Immaterial</v>
      </c>
      <c r="L676" t="str">
        <f t="shared" si="21"/>
        <v>No</v>
      </c>
    </row>
    <row r="677" spans="1:12">
      <c r="A677" t="str">
        <f>'ERP_AP7 Macro Failed'!A679</f>
        <v>L-ERP-341</v>
      </c>
      <c r="B677" t="str">
        <f>'ERP_AP7 Macro Failed'!D679</f>
        <v>Dougherty, Chris</v>
      </c>
      <c r="C677" t="str">
        <f>'ERP_AP7 Macro Failed'!E679</f>
        <v>Maguire, Karla</v>
      </c>
      <c r="D677" t="str">
        <f>'ERP_AP7 Macro Failed'!G679</f>
        <v>TELECOMMUNICATIONS</v>
      </c>
      <c r="E677" t="str">
        <f>'ERP_AP7 Macro Failed'!H679</f>
        <v>Telecommunications</v>
      </c>
      <c r="F677">
        <f>'ERP_AP7 Macro Failed'!I679</f>
        <v>0</v>
      </c>
      <c r="G677" t="str">
        <f>'ERP_AP7 Macro Failed'!K679</f>
        <v>Telecom001</v>
      </c>
      <c r="H677" s="487" t="e" cm="1">
        <f t="array" ref="H677">SUMPRODUCT((ERP[UID]=A677)*(ERP[AP01]+ERP[AP02]+ERP[AP03]+ERP[AP04]+ERP[AP05]))</f>
        <v>#VALUE!</v>
      </c>
      <c r="I677" s="487" cm="1">
        <f t="array" ref="I677">SUMPRODUCT((ERP[UID]=A677)*(ERP[AP01 LE2]+ERP[AP02 LE2]+ERP[AP03 LE2]+ERP[AP04 LE2]+ERP[AP05 LE2]))</f>
        <v>15093.21</v>
      </c>
      <c r="J677" s="487">
        <f>'ERP_AP7 Macro Failed'!AL679</f>
        <v>-14317.259999999998</v>
      </c>
      <c r="K677" t="str">
        <f t="shared" si="20"/>
        <v>MATERIAL</v>
      </c>
      <c r="L677" t="str">
        <f t="shared" si="21"/>
        <v>YES</v>
      </c>
    </row>
    <row r="678" spans="1:12">
      <c r="A678" t="str">
        <f>'ERP_AP7 Macro Failed'!A680</f>
        <v>ERP-018</v>
      </c>
      <c r="B678" t="str">
        <f>'ERP_AP7 Macro Failed'!D680</f>
        <v>McGettigan, David</v>
      </c>
      <c r="C678" t="str">
        <f>'ERP_AP7 Macro Failed'!E680</f>
        <v>McGettigan, David</v>
      </c>
      <c r="D678" t="str">
        <f>'ERP_AP7 Macro Failed'!G680</f>
        <v>OTHER</v>
      </c>
      <c r="E678" t="str">
        <f>'ERP_AP7 Macro Failed'!H680</f>
        <v>LE2 ME</v>
      </c>
      <c r="F678">
        <f>'ERP_AP7 Macro Failed'!I680</f>
        <v>0</v>
      </c>
      <c r="G678">
        <f>'ERP_AP7 Macro Failed'!K680</f>
        <v>0</v>
      </c>
      <c r="H678" s="487" t="e" cm="1">
        <f t="array" ref="H678">SUMPRODUCT((ERP[UID]=A678)*(ERP[AP01]+ERP[AP02]+ERP[AP03]+ERP[AP04]+ERP[AP05]))</f>
        <v>#VALUE!</v>
      </c>
      <c r="I678" s="487" cm="1">
        <f t="array" ref="I678">SUMPRODUCT((ERP[UID]=A678)*(ERP[AP01 LE2]+ERP[AP02 LE2]+ERP[AP03 LE2]+ERP[AP04 LE2]+ERP[AP05 LE2]))</f>
        <v>0</v>
      </c>
      <c r="J678" s="487">
        <f>'ERP_AP7 Macro Failed'!AL680</f>
        <v>0</v>
      </c>
      <c r="K678" t="str">
        <f t="shared" si="20"/>
        <v>Immaterial</v>
      </c>
      <c r="L678" t="str">
        <f t="shared" si="21"/>
        <v>No</v>
      </c>
    </row>
    <row r="682" spans="1:12" ht="15.95">
      <c r="A682" s="488" t="s">
        <v>2990</v>
      </c>
    </row>
    <row r="683" spans="1:12">
      <c r="A683" s="486" t="s">
        <v>0</v>
      </c>
      <c r="B683" s="486" t="s">
        <v>2991</v>
      </c>
      <c r="C683" s="486" t="s">
        <v>2992</v>
      </c>
      <c r="D683" s="486" t="s">
        <v>2993</v>
      </c>
      <c r="E683" s="486" t="s">
        <v>2994</v>
      </c>
    </row>
    <row r="684" spans="1:12">
      <c r="A684" t="s">
        <v>2995</v>
      </c>
      <c r="B684" s="487">
        <f>SUMIF($D$6:$D$678,"COMPENSATION",$J$6:$J$678)</f>
        <v>-99408.184038384061</v>
      </c>
      <c r="C684">
        <f>COUNTIFS($D$6:$D$678,"COMPENSATION",$K$6:$K$678,"MATERIAL")</f>
        <v>8</v>
      </c>
      <c r="D684">
        <f>COUNTIF($D$6:$D$678,"COMPENSATION")</f>
        <v>23</v>
      </c>
      <c r="E684" t="str">
        <f t="shared" ref="E684:E694" si="22">IF(C684&gt;=3,"HIGH",IF(C684&gt;=1,"MEDIUM","LOW"))</f>
        <v>HIGH</v>
      </c>
    </row>
    <row r="685" spans="1:12">
      <c r="A685" t="s">
        <v>2996</v>
      </c>
      <c r="B685" s="487">
        <f>SUMIF($D$6:$D$678,"CONTRACTORS",$J$6:$J$678)</f>
        <v>-268160.3899999999</v>
      </c>
      <c r="C685">
        <f>COUNTIFS($D$6:$D$678,"CONTRACTORS",$K$6:$K$678,"MATERIAL")</f>
        <v>54</v>
      </c>
      <c r="D685">
        <f>COUNTIF($D$6:$D$678,"CONTRACTORS")</f>
        <v>156</v>
      </c>
      <c r="E685" t="str">
        <f t="shared" si="22"/>
        <v>HIGH</v>
      </c>
    </row>
    <row r="686" spans="1:12">
      <c r="A686" t="s">
        <v>2997</v>
      </c>
      <c r="B686" s="487">
        <f>SUMIF($D$6:$D$678,"DEPRECIATION",$J$6:$J$678)</f>
        <v>-49031.252444440281</v>
      </c>
      <c r="C686">
        <f>COUNTIFS($D$6:$D$678,"DEPRECIATION",$K$6:$K$678,"MATERIAL")</f>
        <v>2</v>
      </c>
      <c r="D686">
        <f>COUNTIF($D$6:$D$678,"DEPRECIATION")</f>
        <v>5</v>
      </c>
      <c r="E686" t="str">
        <f t="shared" si="22"/>
        <v>MEDIUM</v>
      </c>
    </row>
    <row r="687" spans="1:12">
      <c r="A687" t="s">
        <v>2998</v>
      </c>
      <c r="B687" s="487">
        <f>SUMIF($D$6:$D$678,"HW MAINTENANCE",$J$6:$J$678)</f>
        <v>-21595.139999999992</v>
      </c>
      <c r="C687">
        <f>COUNTIFS($D$6:$D$678,"HW MAINTENANCE",$K$6:$K$678,"MATERIAL")</f>
        <v>3</v>
      </c>
      <c r="D687">
        <f>COUNTIF($D$6:$D$678,"HW MAINTENANCE")</f>
        <v>31</v>
      </c>
      <c r="E687" t="str">
        <f t="shared" si="22"/>
        <v>HIGH</v>
      </c>
    </row>
    <row r="688" spans="1:12">
      <c r="A688" t="s">
        <v>2999</v>
      </c>
      <c r="B688" s="487">
        <f>SUMIF($D$6:$D$678,"MANAGED SERVICES",$J$6:$J$678)</f>
        <v>394999.18000000034</v>
      </c>
      <c r="C688">
        <f>COUNTIFS($D$6:$D$678,"MANAGED SERVICES",$K$6:$K$678,"MATERIAL")</f>
        <v>27</v>
      </c>
      <c r="D688">
        <f>COUNTIF($D$6:$D$678,"MANAGED SERVICES")</f>
        <v>163</v>
      </c>
      <c r="E688" t="str">
        <f t="shared" si="22"/>
        <v>HIGH</v>
      </c>
    </row>
    <row r="689" spans="1:5">
      <c r="A689" t="s">
        <v>3000</v>
      </c>
      <c r="B689" s="487">
        <f>SUMIF($D$6:$D$678,"OTHER",$J$6:$J$678)</f>
        <v>6171.0300000000007</v>
      </c>
      <c r="C689">
        <f>COUNTIFS($D$6:$D$678,"OTHER",$K$6:$K$678,"MATERIAL")</f>
        <v>0</v>
      </c>
      <c r="D689">
        <f>COUNTIF($D$6:$D$678,"OTHER")</f>
        <v>17</v>
      </c>
      <c r="E689" t="str">
        <f t="shared" si="22"/>
        <v>LOW</v>
      </c>
    </row>
    <row r="690" spans="1:5">
      <c r="A690" t="s">
        <v>3001</v>
      </c>
      <c r="B690" s="487">
        <f>SUMIF($D$6:$D$678,"OUTSIDE COUNSEL",$J$6:$J$678)</f>
        <v>0</v>
      </c>
      <c r="C690">
        <f>COUNTIFS($D$6:$D$678,"OUTSIDE COUNSEL",$K$6:$K$678,"MATERIAL")</f>
        <v>0</v>
      </c>
      <c r="D690">
        <f>COUNTIF($D$6:$D$678,"OUTSIDE COUNSEL")</f>
        <v>2</v>
      </c>
      <c r="E690" t="str">
        <f t="shared" si="22"/>
        <v>LOW</v>
      </c>
    </row>
    <row r="691" spans="1:5">
      <c r="A691" t="s">
        <v>3002</v>
      </c>
      <c r="B691" s="487">
        <f>SUMIF($D$6:$D$678,"RENT AND UTILITIES",$J$6:$J$678)</f>
        <v>-331.11999999999989</v>
      </c>
      <c r="C691">
        <f>COUNTIFS($D$6:$D$678,"RENT AND UTILITIES",$K$6:$K$678,"MATERIAL")</f>
        <v>0</v>
      </c>
      <c r="D691">
        <f>COUNTIF($D$6:$D$678,"RENT AND UTILITIES")</f>
        <v>6</v>
      </c>
      <c r="E691" t="str">
        <f t="shared" si="22"/>
        <v>LOW</v>
      </c>
    </row>
    <row r="692" spans="1:5">
      <c r="A692" t="s">
        <v>3003</v>
      </c>
      <c r="B692" s="487">
        <f>SUMIF($D$6:$D$678,"SOFTWARE",$J$6:$J$678)</f>
        <v>-1402627.0199990002</v>
      </c>
      <c r="C692">
        <f>COUNTIFS($D$6:$D$678,"SOFTWARE",$K$6:$K$678,"MATERIAL")</f>
        <v>20</v>
      </c>
      <c r="D692">
        <f>COUNTIF($D$6:$D$678,"SOFTWARE")</f>
        <v>252</v>
      </c>
      <c r="E692" t="str">
        <f t="shared" si="22"/>
        <v>HIGH</v>
      </c>
    </row>
    <row r="693" spans="1:5">
      <c r="A693" t="s">
        <v>3004</v>
      </c>
      <c r="B693" s="487">
        <f>SUMIF($D$6:$D$678,"TELECOMMUNICATIONS",$J$6:$J$678)</f>
        <v>-29427.099999999995</v>
      </c>
      <c r="C693">
        <f>COUNTIFS($D$6:$D$678,"TELECOMMUNICATIONS",$K$6:$K$678,"MATERIAL")</f>
        <v>2</v>
      </c>
      <c r="D693">
        <f>COUNTIF($D$6:$D$678,"TELECOMMUNICATIONS")</f>
        <v>9</v>
      </c>
      <c r="E693" t="str">
        <f t="shared" si="22"/>
        <v>MEDIUM</v>
      </c>
    </row>
    <row r="694" spans="1:5">
      <c r="A694" t="s">
        <v>3005</v>
      </c>
      <c r="B694" s="487">
        <f>SUMIF($D$6:$D$678,"TRAVEL &amp; ENTERTAINMENT",$J$6:$J$678)</f>
        <v>-50585.592501000006</v>
      </c>
      <c r="C694">
        <f>COUNTIFS($D$6:$D$678,"TRAVEL &amp; ENTERTAINMENT",$K$6:$K$678,"MATERIAL")</f>
        <v>2</v>
      </c>
      <c r="D694">
        <f>COUNTIF($D$6:$D$678,"TRAVEL &amp; ENTERTAINMENT")</f>
        <v>9</v>
      </c>
      <c r="E694" t="str">
        <f t="shared" si="22"/>
        <v>MEDIUM</v>
      </c>
    </row>
    <row r="697" spans="1:5">
      <c r="A697" s="10" t="s">
        <v>3006</v>
      </c>
    </row>
    <row r="698" spans="1:5">
      <c r="A698" t="s">
        <v>3007</v>
      </c>
    </row>
    <row r="699" spans="1:5">
      <c r="A699" t="s">
        <v>3008</v>
      </c>
    </row>
    <row r="700" spans="1:5">
      <c r="A700" t="s">
        <v>3009</v>
      </c>
    </row>
    <row r="701" spans="1:5">
      <c r="A701" t="s">
        <v>3010</v>
      </c>
    </row>
    <row r="702" spans="1:5">
      <c r="A702" t="s">
        <v>3011</v>
      </c>
    </row>
  </sheetData>
  <conditionalFormatting sqref="K6:K678">
    <cfRule type="containsText" dxfId="8" priority="1" operator="containsText" text="MATERIAL">
      <formula>NOT(ISERROR(SEARCH("MATERIAL",K6)))</formula>
    </cfRule>
  </conditionalFormatting>
  <conditionalFormatting sqref="L6:L678">
    <cfRule type="containsText" dxfId="7" priority="2" operator="containsText" text="YES">
      <formula>NOT(ISERROR(SEARCH("YES",L6)))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06A8-6B44-4811-AF19-F9E13E94B6D9}">
  <sheetPr filterMode="1">
    <tabColor rgb="FF00B050"/>
  </sheetPr>
  <dimension ref="A1:BT167"/>
  <sheetViews>
    <sheetView workbookViewId="0">
      <selection activeCell="D188" sqref="D188"/>
    </sheetView>
  </sheetViews>
  <sheetFormatPr defaultRowHeight="14.45"/>
  <cols>
    <col min="3" max="3" width="54.5703125" bestFit="1" customWidth="1"/>
    <col min="4" max="4" width="18.5703125" customWidth="1"/>
    <col min="6" max="6" width="13.5703125" bestFit="1" customWidth="1"/>
    <col min="23" max="24" width="14.42578125" bestFit="1" customWidth="1"/>
    <col min="27" max="38" width="13.42578125" bestFit="1" customWidth="1"/>
    <col min="39" max="39" width="14.42578125" bestFit="1" customWidth="1"/>
    <col min="40" max="43" width="13.42578125" bestFit="1" customWidth="1"/>
    <col min="44" max="44" width="11.42578125" bestFit="1" customWidth="1"/>
    <col min="45" max="45" width="13.42578125" bestFit="1" customWidth="1"/>
    <col min="47" max="58" width="13.42578125" bestFit="1" customWidth="1"/>
    <col min="59" max="59" width="14.42578125" bestFit="1" customWidth="1"/>
    <col min="60" max="71" width="13.42578125" bestFit="1" customWidth="1"/>
    <col min="72" max="72" width="14.42578125" bestFit="1" customWidth="1"/>
  </cols>
  <sheetData>
    <row r="1" spans="1:72" ht="30.95" customHeight="1" thickBot="1">
      <c r="A1" s="49"/>
      <c r="B1" s="49"/>
      <c r="C1" s="49"/>
      <c r="D1" s="49"/>
      <c r="E1" s="50"/>
      <c r="F1" s="539"/>
      <c r="G1" s="539"/>
      <c r="H1" s="539"/>
      <c r="I1" s="49"/>
      <c r="J1" s="51"/>
      <c r="K1" s="49"/>
      <c r="L1" s="49"/>
      <c r="M1" s="53"/>
      <c r="N1" s="324"/>
      <c r="O1" s="444"/>
      <c r="P1" s="49"/>
      <c r="Q1" s="49"/>
      <c r="R1" s="323"/>
      <c r="S1" s="54"/>
      <c r="T1" s="54"/>
      <c r="U1" s="54"/>
      <c r="V1" s="707">
        <f t="shared" ref="V1:Z1" si="0">SUM(V3:V167)</f>
        <v>0</v>
      </c>
      <c r="W1" s="707">
        <f t="shared" si="0"/>
        <v>60331255.089996018</v>
      </c>
      <c r="X1" s="707">
        <f t="shared" si="0"/>
        <v>52485305.584272131</v>
      </c>
      <c r="Y1" s="707">
        <f t="shared" si="0"/>
        <v>0</v>
      </c>
      <c r="Z1" s="707">
        <f t="shared" si="0"/>
        <v>0</v>
      </c>
      <c r="AA1" s="707">
        <f>SUM(AA3:AA167)</f>
        <v>4204887.0399999972</v>
      </c>
      <c r="AB1" s="707">
        <f t="shared" ref="AB1:BT1" si="1">SUM(AB3:AB167)</f>
        <v>4618367.0399999963</v>
      </c>
      <c r="AC1" s="707">
        <f t="shared" si="1"/>
        <v>4608010.8500000015</v>
      </c>
      <c r="AD1" s="707">
        <f t="shared" si="1"/>
        <v>4926560.6400000006</v>
      </c>
      <c r="AE1" s="707">
        <f t="shared" si="1"/>
        <v>4668272.5000000009</v>
      </c>
      <c r="AF1" s="707">
        <f t="shared" si="1"/>
        <v>4637169.0000000019</v>
      </c>
      <c r="AG1" s="707">
        <f t="shared" si="1"/>
        <v>4418218.5477970038</v>
      </c>
      <c r="AH1" s="707">
        <f t="shared" si="1"/>
        <v>4312205.4455470033</v>
      </c>
      <c r="AI1" s="707">
        <f t="shared" si="1"/>
        <v>4272177.6317703361</v>
      </c>
      <c r="AJ1" s="707">
        <f t="shared" si="1"/>
        <v>4105375.9142341455</v>
      </c>
      <c r="AK1" s="707">
        <f t="shared" si="1"/>
        <v>4137245.6142341462</v>
      </c>
      <c r="AL1" s="707">
        <f t="shared" si="1"/>
        <v>4129196.709248146</v>
      </c>
      <c r="AM1" s="707">
        <f>SUM(AM3:AM167)</f>
        <v>53037686.932830855</v>
      </c>
      <c r="AN1" s="707">
        <f t="shared" si="1"/>
        <v>552381.34855866677</v>
      </c>
      <c r="AO1" s="707">
        <f t="shared" si="1"/>
        <v>4520661.9232276697</v>
      </c>
      <c r="AP1" s="707">
        <f t="shared" si="1"/>
        <v>116507.07677233113</v>
      </c>
      <c r="AQ1" s="707">
        <f t="shared" si="1"/>
        <v>552418.34855866665</v>
      </c>
      <c r="AR1" s="707">
        <f t="shared" si="1"/>
        <v>-10600</v>
      </c>
      <c r="AS1" s="707">
        <f t="shared" si="1"/>
        <v>562981.34855866677</v>
      </c>
      <c r="AT1" s="707">
        <f t="shared" si="1"/>
        <v>0</v>
      </c>
      <c r="AU1" s="707">
        <f t="shared" si="1"/>
        <v>4204887.0399999972</v>
      </c>
      <c r="AV1" s="707">
        <f t="shared" si="1"/>
        <v>4618367.0399999963</v>
      </c>
      <c r="AW1" s="707">
        <f t="shared" si="1"/>
        <v>4608010.8500000015</v>
      </c>
      <c r="AX1" s="707">
        <f t="shared" si="1"/>
        <v>4612332.8899999987</v>
      </c>
      <c r="AY1" s="707">
        <f t="shared" si="1"/>
        <v>4520661.9232276697</v>
      </c>
      <c r="AZ1" s="707">
        <f t="shared" si="1"/>
        <v>4546588.9782136688</v>
      </c>
      <c r="BA1" s="707">
        <f t="shared" si="1"/>
        <v>4367603.5477970038</v>
      </c>
      <c r="BB1" s="707">
        <f t="shared" si="1"/>
        <v>4366350.4455470033</v>
      </c>
      <c r="BC1" s="707">
        <f t="shared" si="1"/>
        <v>4271240.6317703361</v>
      </c>
      <c r="BD1" s="707">
        <f t="shared" si="1"/>
        <v>4104453.9142341455</v>
      </c>
      <c r="BE1" s="707">
        <f t="shared" si="1"/>
        <v>4136808.6142341462</v>
      </c>
      <c r="BF1" s="707">
        <f t="shared" si="1"/>
        <v>4127999.709248146</v>
      </c>
      <c r="BG1" s="707">
        <f t="shared" si="1"/>
        <v>52485305.584272131</v>
      </c>
      <c r="BH1" s="707">
        <f t="shared" si="1"/>
        <v>5011821.0800000019</v>
      </c>
      <c r="BI1" s="707">
        <f t="shared" si="1"/>
        <v>5836239.1199999992</v>
      </c>
      <c r="BJ1" s="707">
        <f t="shared" si="1"/>
        <v>5471842.21</v>
      </c>
      <c r="BK1" s="707">
        <f t="shared" si="1"/>
        <v>5307693.1033330001</v>
      </c>
      <c r="BL1" s="707">
        <f t="shared" si="1"/>
        <v>5328456.1933330009</v>
      </c>
      <c r="BM1" s="707">
        <f t="shared" si="1"/>
        <v>5441054.6433330001</v>
      </c>
      <c r="BN1" s="707">
        <f t="shared" si="1"/>
        <v>5306561.9633329995</v>
      </c>
      <c r="BO1" s="707">
        <f t="shared" si="1"/>
        <v>5299265.9933329998</v>
      </c>
      <c r="BP1" s="707">
        <f t="shared" si="1"/>
        <v>5264766.0233329982</v>
      </c>
      <c r="BQ1" s="707">
        <f t="shared" si="1"/>
        <v>5054935.3133329991</v>
      </c>
      <c r="BR1" s="707">
        <f t="shared" si="1"/>
        <v>5088094.4533329988</v>
      </c>
      <c r="BS1" s="707">
        <f t="shared" si="1"/>
        <v>5066165.7533329995</v>
      </c>
      <c r="BT1" s="707">
        <f t="shared" si="1"/>
        <v>63476895.849997014</v>
      </c>
    </row>
    <row r="2" spans="1:72" ht="30.95" customHeight="1" thickBot="1">
      <c r="A2" s="49" t="s">
        <v>1067</v>
      </c>
      <c r="B2" s="49" t="s">
        <v>2917</v>
      </c>
      <c r="C2" s="49" t="s">
        <v>1</v>
      </c>
      <c r="D2" s="49" t="s">
        <v>2918</v>
      </c>
      <c r="E2" s="50" t="s">
        <v>1072</v>
      </c>
      <c r="F2" s="539" t="s">
        <v>2919</v>
      </c>
      <c r="G2" s="539" t="s">
        <v>2920</v>
      </c>
      <c r="H2" s="539" t="s">
        <v>2921</v>
      </c>
      <c r="I2" s="49" t="s">
        <v>1073</v>
      </c>
      <c r="J2" s="51" t="s">
        <v>1074</v>
      </c>
      <c r="K2" s="49" t="s">
        <v>1075</v>
      </c>
      <c r="L2" s="49" t="s">
        <v>0</v>
      </c>
      <c r="M2" s="53" t="s">
        <v>1076</v>
      </c>
      <c r="N2" s="324" t="s">
        <v>1077</v>
      </c>
      <c r="O2" s="444" t="s">
        <v>1078</v>
      </c>
      <c r="P2" s="49" t="s">
        <v>2</v>
      </c>
      <c r="Q2" s="49" t="s">
        <v>1079</v>
      </c>
      <c r="R2" s="323" t="s">
        <v>1080</v>
      </c>
      <c r="S2" s="54" t="s">
        <v>1081</v>
      </c>
      <c r="T2" s="54" t="s">
        <v>3</v>
      </c>
      <c r="U2" s="54" t="s">
        <v>1082</v>
      </c>
      <c r="V2" s="422" t="s">
        <v>1083</v>
      </c>
      <c r="W2" s="423" t="s">
        <v>1084</v>
      </c>
      <c r="X2" s="423" t="s">
        <v>1085</v>
      </c>
      <c r="Y2" s="55" t="s">
        <v>1086</v>
      </c>
      <c r="Z2" s="55" t="s">
        <v>1087</v>
      </c>
      <c r="AA2" s="57" t="s">
        <v>1088</v>
      </c>
      <c r="AB2" s="49" t="s">
        <v>1089</v>
      </c>
      <c r="AC2" s="49" t="s">
        <v>1090</v>
      </c>
      <c r="AD2" s="424" t="s">
        <v>1091</v>
      </c>
      <c r="AE2" s="59" t="s">
        <v>1092</v>
      </c>
      <c r="AF2" s="59" t="s">
        <v>1093</v>
      </c>
      <c r="AG2" s="58" t="s">
        <v>1061</v>
      </c>
      <c r="AH2" s="59" t="s">
        <v>1094</v>
      </c>
      <c r="AI2" s="59" t="s">
        <v>1095</v>
      </c>
      <c r="AJ2" s="58" t="s">
        <v>1096</v>
      </c>
      <c r="AK2" s="59" t="s">
        <v>1097</v>
      </c>
      <c r="AL2" s="60" t="s">
        <v>1098</v>
      </c>
      <c r="AM2" s="61" t="s">
        <v>1099</v>
      </c>
      <c r="AN2" s="62" t="s">
        <v>1100</v>
      </c>
      <c r="AO2" s="63" t="s">
        <v>1101</v>
      </c>
      <c r="AP2" s="63" t="s">
        <v>1102</v>
      </c>
      <c r="AQ2" s="708" t="s">
        <v>1103</v>
      </c>
      <c r="AR2" s="63" t="s">
        <v>1104</v>
      </c>
      <c r="AS2" s="63" t="s">
        <v>1105</v>
      </c>
      <c r="AT2" s="63" t="s">
        <v>1106</v>
      </c>
      <c r="AU2" s="441" t="s">
        <v>1107</v>
      </c>
      <c r="AV2" s="441" t="s">
        <v>1108</v>
      </c>
      <c r="AW2" s="441" t="s">
        <v>1109</v>
      </c>
      <c r="AX2" s="441" t="s">
        <v>1110</v>
      </c>
      <c r="AY2" s="441" t="s">
        <v>1111</v>
      </c>
      <c r="AZ2" s="441" t="s">
        <v>1112</v>
      </c>
      <c r="BA2" s="441" t="s">
        <v>1113</v>
      </c>
      <c r="BB2" s="441" t="s">
        <v>1114</v>
      </c>
      <c r="BC2" s="441" t="s">
        <v>1115</v>
      </c>
      <c r="BD2" s="441" t="s">
        <v>1116</v>
      </c>
      <c r="BE2" s="441" t="s">
        <v>1117</v>
      </c>
      <c r="BF2" s="441" t="s">
        <v>1118</v>
      </c>
      <c r="BG2" s="441" t="s">
        <v>1119</v>
      </c>
      <c r="BH2" s="442" t="s">
        <v>1120</v>
      </c>
      <c r="BI2" s="442" t="s">
        <v>1121</v>
      </c>
      <c r="BJ2" s="442" t="s">
        <v>1122</v>
      </c>
      <c r="BK2" s="442" t="s">
        <v>1123</v>
      </c>
      <c r="BL2" s="442" t="s">
        <v>1124</v>
      </c>
      <c r="BM2" s="442" t="s">
        <v>1125</v>
      </c>
      <c r="BN2" s="442" t="s">
        <v>1126</v>
      </c>
      <c r="BO2" s="442" t="s">
        <v>1127</v>
      </c>
      <c r="BP2" s="442" t="s">
        <v>1128</v>
      </c>
      <c r="BQ2" s="442" t="s">
        <v>1129</v>
      </c>
      <c r="BR2" s="442" t="s">
        <v>1130</v>
      </c>
      <c r="BS2" s="442" t="s">
        <v>1131</v>
      </c>
      <c r="BT2" s="442" t="s">
        <v>1132</v>
      </c>
    </row>
    <row r="3" spans="1:72" hidden="1">
      <c r="A3" t="s">
        <v>1133</v>
      </c>
      <c r="B3" t="s">
        <v>2944</v>
      </c>
      <c r="C3" t="s">
        <v>50</v>
      </c>
      <c r="D3" t="s">
        <v>1134</v>
      </c>
      <c r="E3" t="s">
        <v>1136</v>
      </c>
      <c r="F3" t="s">
        <v>1566</v>
      </c>
      <c r="G3" t="s">
        <v>1135</v>
      </c>
      <c r="H3" t="s">
        <v>1135</v>
      </c>
      <c r="I3" t="s">
        <v>1135</v>
      </c>
      <c r="J3" t="s">
        <v>1137</v>
      </c>
      <c r="K3" t="s">
        <v>1137</v>
      </c>
      <c r="L3" t="s">
        <v>49</v>
      </c>
      <c r="M3" t="s">
        <v>1138</v>
      </c>
      <c r="P3" t="s">
        <v>51</v>
      </c>
      <c r="Q3" t="s">
        <v>1139</v>
      </c>
      <c r="R3" t="s">
        <v>1140</v>
      </c>
      <c r="T3" t="s">
        <v>25</v>
      </c>
      <c r="U3" t="s">
        <v>1141</v>
      </c>
      <c r="W3" s="606">
        <v>1214.4000000000003</v>
      </c>
      <c r="X3" s="606">
        <v>910.80000000000018</v>
      </c>
      <c r="Y3" s="606"/>
      <c r="Z3" s="606"/>
      <c r="AA3" s="606"/>
      <c r="AB3" s="606"/>
      <c r="AC3" s="606"/>
      <c r="AD3" s="606" t="s">
        <v>1142</v>
      </c>
      <c r="AE3" s="606">
        <v>0</v>
      </c>
      <c r="AF3" s="606">
        <v>0</v>
      </c>
      <c r="AG3" s="606">
        <v>101.2</v>
      </c>
      <c r="AH3" s="606">
        <v>101.2</v>
      </c>
      <c r="AI3" s="606">
        <v>101.2</v>
      </c>
      <c r="AJ3" s="606">
        <v>101.2</v>
      </c>
      <c r="AK3" s="606">
        <v>101.2</v>
      </c>
      <c r="AL3" s="606">
        <v>101.2</v>
      </c>
      <c r="AM3" s="606">
        <v>607.20000000000005</v>
      </c>
      <c r="AN3" s="606">
        <v>-303.60000000000014</v>
      </c>
      <c r="AO3" s="606">
        <v>101.2</v>
      </c>
      <c r="AP3" s="606">
        <v>-101.2</v>
      </c>
      <c r="AQ3" s="606">
        <v>-303.60000000000002</v>
      </c>
      <c r="AR3" s="606"/>
      <c r="AS3" s="606">
        <v>-303.60000000000014</v>
      </c>
      <c r="AT3" s="606"/>
      <c r="AU3" s="606"/>
      <c r="AV3" s="606"/>
      <c r="AW3" s="606"/>
      <c r="AX3" s="606">
        <v>101.2</v>
      </c>
      <c r="AY3" s="606">
        <v>101.2</v>
      </c>
      <c r="AZ3" s="606">
        <v>101.2</v>
      </c>
      <c r="BA3" s="606">
        <v>101.2</v>
      </c>
      <c r="BB3" s="606">
        <v>101.2</v>
      </c>
      <c r="BC3" s="606">
        <v>101.2</v>
      </c>
      <c r="BD3" s="606">
        <v>101.2</v>
      </c>
      <c r="BE3" s="606">
        <v>101.2</v>
      </c>
      <c r="BF3" s="606">
        <v>101.2</v>
      </c>
      <c r="BG3" s="606">
        <v>910.80000000000018</v>
      </c>
      <c r="BH3" s="606"/>
      <c r="BI3" s="606"/>
      <c r="BJ3" s="606"/>
      <c r="BK3" s="606">
        <v>101.2</v>
      </c>
      <c r="BL3" s="606">
        <v>101.2</v>
      </c>
      <c r="BM3" s="606">
        <v>101.2</v>
      </c>
      <c r="BN3" s="606">
        <v>101.2</v>
      </c>
      <c r="BO3" s="606">
        <v>101.2</v>
      </c>
      <c r="BP3" s="606">
        <v>101.2</v>
      </c>
      <c r="BQ3" s="606">
        <v>101.2</v>
      </c>
      <c r="BR3" s="606">
        <v>101.2</v>
      </c>
      <c r="BS3" s="606">
        <v>101.2</v>
      </c>
      <c r="BT3" s="606">
        <v>910.80000000000018</v>
      </c>
    </row>
    <row r="4" spans="1:72" hidden="1">
      <c r="A4" t="s">
        <v>2248</v>
      </c>
      <c r="B4" t="s">
        <v>2944</v>
      </c>
      <c r="C4" t="s">
        <v>667</v>
      </c>
      <c r="D4" t="s">
        <v>667</v>
      </c>
      <c r="E4" t="s">
        <v>1136</v>
      </c>
      <c r="F4" t="s">
        <v>1566</v>
      </c>
      <c r="G4" t="s">
        <v>1135</v>
      </c>
      <c r="H4" t="s">
        <v>1135</v>
      </c>
      <c r="I4" t="s">
        <v>1135</v>
      </c>
      <c r="J4" t="s">
        <v>1135</v>
      </c>
      <c r="K4" t="s">
        <v>1137</v>
      </c>
      <c r="L4" t="s">
        <v>639</v>
      </c>
      <c r="M4" t="s">
        <v>1138</v>
      </c>
      <c r="P4" t="s">
        <v>51</v>
      </c>
      <c r="Q4" t="s">
        <v>1139</v>
      </c>
      <c r="R4" t="s">
        <v>1140</v>
      </c>
      <c r="T4" t="s">
        <v>25</v>
      </c>
      <c r="W4" s="606">
        <v>0</v>
      </c>
      <c r="X4" s="606">
        <v>3777.33</v>
      </c>
      <c r="Y4" s="606"/>
      <c r="Z4" s="606"/>
      <c r="AA4" s="606"/>
      <c r="AB4" s="606">
        <v>3777.33</v>
      </c>
      <c r="AC4" s="606">
        <v>0</v>
      </c>
      <c r="AD4" s="606">
        <v>83.61</v>
      </c>
      <c r="AE4" s="606">
        <v>0</v>
      </c>
      <c r="AF4" s="606">
        <v>0</v>
      </c>
      <c r="AG4" s="606">
        <v>0</v>
      </c>
      <c r="AH4" s="606">
        <v>0</v>
      </c>
      <c r="AI4" s="606">
        <v>0</v>
      </c>
      <c r="AJ4" s="606">
        <v>0</v>
      </c>
      <c r="AK4" s="606">
        <v>0</v>
      </c>
      <c r="AL4" s="606">
        <v>0</v>
      </c>
      <c r="AM4" s="606">
        <v>3860.94</v>
      </c>
      <c r="AN4" s="606">
        <v>83.610000000000127</v>
      </c>
      <c r="AO4" s="606">
        <v>0</v>
      </c>
      <c r="AP4" s="606">
        <v>0</v>
      </c>
      <c r="AQ4" s="606">
        <v>83.610000000000127</v>
      </c>
      <c r="AR4" s="606"/>
      <c r="AS4" s="606">
        <v>83.610000000000127</v>
      </c>
      <c r="AT4" s="606"/>
      <c r="AU4" s="606"/>
      <c r="AV4" s="606">
        <v>3777.33</v>
      </c>
      <c r="AW4" s="606">
        <v>0</v>
      </c>
      <c r="AX4" s="606">
        <v>0</v>
      </c>
      <c r="AY4" s="606">
        <v>0</v>
      </c>
      <c r="AZ4" s="606">
        <v>0</v>
      </c>
      <c r="BA4" s="606">
        <v>0</v>
      </c>
      <c r="BB4" s="606">
        <v>0</v>
      </c>
      <c r="BC4" s="606">
        <v>0</v>
      </c>
      <c r="BD4" s="606">
        <v>0</v>
      </c>
      <c r="BE4" s="606">
        <v>0</v>
      </c>
      <c r="BF4" s="606">
        <v>0</v>
      </c>
      <c r="BG4" s="606">
        <v>3777.33</v>
      </c>
      <c r="BH4" s="606"/>
      <c r="BI4" s="606">
        <v>3777.33</v>
      </c>
      <c r="BJ4" s="606">
        <v>0</v>
      </c>
      <c r="BK4" s="606">
        <v>0</v>
      </c>
      <c r="BL4" s="606">
        <v>0</v>
      </c>
      <c r="BM4" s="606">
        <v>0</v>
      </c>
      <c r="BN4" s="606">
        <v>0</v>
      </c>
      <c r="BO4" s="606">
        <v>0</v>
      </c>
      <c r="BP4" s="606">
        <v>0</v>
      </c>
      <c r="BQ4" s="606">
        <v>0</v>
      </c>
      <c r="BR4" s="606">
        <v>0</v>
      </c>
      <c r="BS4" s="606">
        <v>0</v>
      </c>
      <c r="BT4" s="606">
        <v>3777.33</v>
      </c>
    </row>
    <row r="5" spans="1:72">
      <c r="A5" t="s">
        <v>2664</v>
      </c>
      <c r="B5" t="s">
        <v>2944</v>
      </c>
      <c r="C5" t="s">
        <v>940</v>
      </c>
      <c r="D5" t="s">
        <v>940</v>
      </c>
      <c r="E5" t="s">
        <v>1136</v>
      </c>
      <c r="F5" t="s">
        <v>1566</v>
      </c>
      <c r="G5" t="s">
        <v>1345</v>
      </c>
      <c r="H5" t="s">
        <v>1345</v>
      </c>
      <c r="I5" t="s">
        <v>1345</v>
      </c>
      <c r="J5" t="s">
        <v>1345</v>
      </c>
      <c r="K5" t="s">
        <v>1346</v>
      </c>
      <c r="L5" t="s">
        <v>639</v>
      </c>
      <c r="M5" t="s">
        <v>1138</v>
      </c>
      <c r="P5" t="s">
        <v>51</v>
      </c>
      <c r="Q5" t="s">
        <v>1139</v>
      </c>
      <c r="R5" t="s">
        <v>1140</v>
      </c>
      <c r="T5" t="s">
        <v>25</v>
      </c>
      <c r="W5" s="606">
        <v>0</v>
      </c>
      <c r="X5" s="606">
        <v>218.76</v>
      </c>
      <c r="Y5" s="606"/>
      <c r="Z5" s="606"/>
      <c r="AA5" s="606"/>
      <c r="AB5" s="606">
        <v>218.76</v>
      </c>
      <c r="AC5" s="606">
        <v>0</v>
      </c>
      <c r="AD5" s="606">
        <v>0</v>
      </c>
      <c r="AE5" s="606">
        <v>0</v>
      </c>
      <c r="AF5" s="606">
        <v>0</v>
      </c>
      <c r="AG5" s="606">
        <v>0</v>
      </c>
      <c r="AH5" s="606">
        <v>0</v>
      </c>
      <c r="AI5" s="606">
        <v>0</v>
      </c>
      <c r="AJ5" s="606">
        <v>0</v>
      </c>
      <c r="AK5" s="606">
        <v>0</v>
      </c>
      <c r="AL5" s="606">
        <v>0</v>
      </c>
      <c r="AM5" s="606">
        <v>218.76</v>
      </c>
      <c r="AN5" s="606">
        <v>0</v>
      </c>
      <c r="AO5" s="606">
        <v>0</v>
      </c>
      <c r="AP5" s="606">
        <v>0</v>
      </c>
      <c r="AQ5" s="606">
        <v>0</v>
      </c>
      <c r="AR5" s="606"/>
      <c r="AS5" s="606">
        <v>0</v>
      </c>
      <c r="AT5" s="606"/>
      <c r="AU5" s="606"/>
      <c r="AV5" s="606">
        <v>218.76</v>
      </c>
      <c r="AW5" s="606">
        <v>0</v>
      </c>
      <c r="AX5" s="606">
        <v>0</v>
      </c>
      <c r="AY5" s="606">
        <v>0</v>
      </c>
      <c r="AZ5" s="606">
        <v>0</v>
      </c>
      <c r="BA5" s="606">
        <v>0</v>
      </c>
      <c r="BB5" s="606">
        <v>0</v>
      </c>
      <c r="BC5" s="606">
        <v>0</v>
      </c>
      <c r="BD5" s="606">
        <v>0</v>
      </c>
      <c r="BE5" s="606">
        <v>0</v>
      </c>
      <c r="BF5" s="606">
        <v>0</v>
      </c>
      <c r="BG5" s="606">
        <v>218.76</v>
      </c>
      <c r="BH5" s="606"/>
      <c r="BI5" s="606">
        <v>218.76</v>
      </c>
      <c r="BJ5" s="606">
        <v>0</v>
      </c>
      <c r="BK5" s="606">
        <v>0</v>
      </c>
      <c r="BL5" s="606">
        <v>0</v>
      </c>
      <c r="BM5" s="606">
        <v>0</v>
      </c>
      <c r="BN5" s="606">
        <v>0</v>
      </c>
      <c r="BO5" s="606">
        <v>0</v>
      </c>
      <c r="BP5" s="606">
        <v>0</v>
      </c>
      <c r="BQ5" s="606">
        <v>0</v>
      </c>
      <c r="BR5" s="606">
        <v>0</v>
      </c>
      <c r="BS5" s="606">
        <v>0</v>
      </c>
      <c r="BT5" s="606">
        <v>218.76</v>
      </c>
    </row>
    <row r="6" spans="1:72" hidden="1">
      <c r="A6" t="s">
        <v>2774</v>
      </c>
      <c r="B6" t="s">
        <v>2944</v>
      </c>
      <c r="C6" t="s">
        <v>997</v>
      </c>
      <c r="D6" t="s">
        <v>2775</v>
      </c>
      <c r="E6" t="s">
        <v>1136</v>
      </c>
      <c r="F6" t="s">
        <v>1566</v>
      </c>
      <c r="G6" t="s">
        <v>1566</v>
      </c>
      <c r="H6" t="s">
        <v>1566</v>
      </c>
      <c r="I6" t="s">
        <v>1345</v>
      </c>
      <c r="J6" t="s">
        <v>1346</v>
      </c>
      <c r="K6" t="s">
        <v>1346</v>
      </c>
      <c r="L6" t="s">
        <v>639</v>
      </c>
      <c r="M6" t="s">
        <v>1138</v>
      </c>
      <c r="P6" t="s">
        <v>51</v>
      </c>
      <c r="Q6" t="s">
        <v>1139</v>
      </c>
      <c r="R6" t="s">
        <v>1140</v>
      </c>
      <c r="T6" t="s">
        <v>25</v>
      </c>
      <c r="W6" s="606">
        <v>0</v>
      </c>
      <c r="X6" s="606">
        <v>3227.2200000000003</v>
      </c>
      <c r="Y6" s="606"/>
      <c r="Z6" s="606"/>
      <c r="AA6" s="606"/>
      <c r="AB6" s="606">
        <v>1859.42</v>
      </c>
      <c r="AC6" s="606">
        <v>1367.8</v>
      </c>
      <c r="AD6" s="606">
        <v>0</v>
      </c>
      <c r="AE6" s="606">
        <v>682.06</v>
      </c>
      <c r="AF6" s="606">
        <v>91.56</v>
      </c>
      <c r="AG6" s="606">
        <v>0</v>
      </c>
      <c r="AH6" s="606">
        <v>0</v>
      </c>
      <c r="AI6" s="606">
        <v>0</v>
      </c>
      <c r="AJ6" s="606">
        <v>0</v>
      </c>
      <c r="AK6" s="606">
        <v>0</v>
      </c>
      <c r="AL6" s="606">
        <v>0</v>
      </c>
      <c r="AM6" s="606">
        <v>4000.84</v>
      </c>
      <c r="AN6" s="606">
        <v>773.61999999999989</v>
      </c>
      <c r="AO6" s="606">
        <v>0</v>
      </c>
      <c r="AP6" s="606">
        <v>91.56</v>
      </c>
      <c r="AQ6" s="606">
        <v>773.61999999999989</v>
      </c>
      <c r="AR6" s="606"/>
      <c r="AS6" s="606">
        <v>773.61999999999989</v>
      </c>
      <c r="AT6" s="606"/>
      <c r="AU6" s="606"/>
      <c r="AV6" s="606">
        <v>1859.42</v>
      </c>
      <c r="AW6" s="606">
        <v>1367.8</v>
      </c>
      <c r="AX6" s="606">
        <v>0</v>
      </c>
      <c r="AY6" s="606">
        <v>0</v>
      </c>
      <c r="AZ6" s="606">
        <v>0</v>
      </c>
      <c r="BA6" s="606">
        <v>0</v>
      </c>
      <c r="BB6" s="606">
        <v>0</v>
      </c>
      <c r="BC6" s="606">
        <v>0</v>
      </c>
      <c r="BD6" s="606">
        <v>0</v>
      </c>
      <c r="BE6" s="606">
        <v>0</v>
      </c>
      <c r="BF6" s="606">
        <v>0</v>
      </c>
      <c r="BG6" s="606">
        <v>3227.2200000000003</v>
      </c>
      <c r="BH6" s="606"/>
      <c r="BI6" s="606">
        <v>1859.42</v>
      </c>
      <c r="BJ6" s="606">
        <v>1367.8</v>
      </c>
      <c r="BK6" s="606">
        <v>0</v>
      </c>
      <c r="BL6" s="606">
        <v>0</v>
      </c>
      <c r="BM6" s="606">
        <v>0</v>
      </c>
      <c r="BN6" s="606">
        <v>0</v>
      </c>
      <c r="BO6" s="606">
        <v>0</v>
      </c>
      <c r="BP6" s="606">
        <v>0</v>
      </c>
      <c r="BQ6" s="606">
        <v>0</v>
      </c>
      <c r="BR6" s="606">
        <v>0</v>
      </c>
      <c r="BS6" s="606">
        <v>0</v>
      </c>
      <c r="BT6" s="606">
        <v>3227.2200000000003</v>
      </c>
    </row>
    <row r="7" spans="1:72" hidden="1">
      <c r="A7" t="s">
        <v>2906</v>
      </c>
      <c r="B7" t="s">
        <v>2944</v>
      </c>
      <c r="C7" t="s">
        <v>28</v>
      </c>
      <c r="D7" t="s">
        <v>2907</v>
      </c>
      <c r="E7" t="s">
        <v>1136</v>
      </c>
      <c r="F7" t="s">
        <v>1566</v>
      </c>
      <c r="G7" t="s">
        <v>1135</v>
      </c>
      <c r="H7" t="s">
        <v>1135</v>
      </c>
      <c r="I7" t="s">
        <v>1135</v>
      </c>
      <c r="J7" t="s">
        <v>1137</v>
      </c>
      <c r="K7" t="s">
        <v>1137</v>
      </c>
      <c r="L7" t="s">
        <v>22</v>
      </c>
      <c r="M7" t="s">
        <v>2872</v>
      </c>
      <c r="P7" t="s">
        <v>29</v>
      </c>
      <c r="Q7" t="s">
        <v>1139</v>
      </c>
      <c r="R7" t="s">
        <v>1140</v>
      </c>
      <c r="T7" t="s">
        <v>25</v>
      </c>
      <c r="U7" t="s">
        <v>1141</v>
      </c>
      <c r="W7" s="606">
        <v>9831851.3300000001</v>
      </c>
      <c r="X7" s="606">
        <v>15406112.624272117</v>
      </c>
      <c r="Y7" s="606"/>
      <c r="Z7" s="606"/>
      <c r="AA7" s="606">
        <v>1402914.3999999987</v>
      </c>
      <c r="AB7" s="606">
        <v>1397677.6399999992</v>
      </c>
      <c r="AC7" s="606">
        <v>1375284.8299999998</v>
      </c>
      <c r="AD7" s="606">
        <v>1433399.4699999997</v>
      </c>
      <c r="AE7" s="606">
        <v>1510809.23</v>
      </c>
      <c r="AF7" s="606">
        <v>372672.31999999989</v>
      </c>
      <c r="AG7" s="606">
        <v>1208851.7277970032</v>
      </c>
      <c r="AH7" s="606">
        <v>1221091.4455470033</v>
      </c>
      <c r="AI7" s="606">
        <v>1194419.2817703367</v>
      </c>
      <c r="AJ7" s="606">
        <v>1239489.2742341459</v>
      </c>
      <c r="AK7" s="606">
        <v>1239489.2742341459</v>
      </c>
      <c r="AL7" s="606">
        <v>1254635.0692481461</v>
      </c>
      <c r="AM7" s="606">
        <v>14850733.96283078</v>
      </c>
      <c r="AN7" s="606">
        <v>-555378.66144133732</v>
      </c>
      <c r="AO7" s="606">
        <v>1250571.8632276698</v>
      </c>
      <c r="AP7" s="606">
        <v>-877899.54322767002</v>
      </c>
      <c r="AQ7" s="606">
        <v>-555378.66144133732</v>
      </c>
      <c r="AR7" s="606"/>
      <c r="AS7" s="606">
        <v>-555378.66144133732</v>
      </c>
      <c r="AT7" s="606"/>
      <c r="AU7" s="606">
        <v>1402914.3999999987</v>
      </c>
      <c r="AV7" s="606">
        <v>1397677.6399999992</v>
      </c>
      <c r="AW7" s="606">
        <v>1375284.8299999998</v>
      </c>
      <c r="AX7" s="606">
        <v>1386261.7499999984</v>
      </c>
      <c r="AY7" s="606">
        <v>1250571.8632276698</v>
      </c>
      <c r="AZ7" s="606">
        <v>1235426.0682136698</v>
      </c>
      <c r="BA7" s="606">
        <v>1208851.7277970032</v>
      </c>
      <c r="BB7" s="606">
        <v>1221091.4455470033</v>
      </c>
      <c r="BC7" s="606">
        <v>1194419.2817703367</v>
      </c>
      <c r="BD7" s="606">
        <v>1239489.2742341459</v>
      </c>
      <c r="BE7" s="606">
        <v>1239489.2742341459</v>
      </c>
      <c r="BF7" s="606">
        <v>1254635.0692481461</v>
      </c>
      <c r="BG7" s="606">
        <v>15406112.624272117</v>
      </c>
      <c r="BH7" s="606">
        <v>270417.52</v>
      </c>
      <c r="BI7" s="606">
        <v>276999.43</v>
      </c>
      <c r="BJ7" s="606">
        <v>232520.6</v>
      </c>
      <c r="BK7" s="606">
        <v>809656.43</v>
      </c>
      <c r="BL7" s="606">
        <v>809656.43</v>
      </c>
      <c r="BM7" s="606">
        <v>809656.43</v>
      </c>
      <c r="BN7" s="606">
        <v>829249.26</v>
      </c>
      <c r="BO7" s="606">
        <v>829249.26</v>
      </c>
      <c r="BP7" s="606">
        <v>854062.66</v>
      </c>
      <c r="BQ7" s="606">
        <v>854062.66</v>
      </c>
      <c r="BR7" s="606">
        <v>854062.66</v>
      </c>
      <c r="BS7" s="606">
        <v>854062.66</v>
      </c>
      <c r="BT7" s="606">
        <v>8283656.0000000009</v>
      </c>
    </row>
    <row r="8" spans="1:72" hidden="1">
      <c r="A8" t="s">
        <v>1150</v>
      </c>
      <c r="B8" t="s">
        <v>2943</v>
      </c>
      <c r="C8" t="s">
        <v>52</v>
      </c>
      <c r="D8" t="s">
        <v>1151</v>
      </c>
      <c r="E8" t="s">
        <v>1136</v>
      </c>
      <c r="F8" t="s">
        <v>1566</v>
      </c>
      <c r="G8" t="s">
        <v>1135</v>
      </c>
      <c r="H8" t="s">
        <v>1145</v>
      </c>
      <c r="I8" t="s">
        <v>1135</v>
      </c>
      <c r="J8" t="s">
        <v>1145</v>
      </c>
      <c r="K8" t="s">
        <v>1137</v>
      </c>
      <c r="L8" t="s">
        <v>49</v>
      </c>
      <c r="M8" t="s">
        <v>1147</v>
      </c>
      <c r="P8" t="s">
        <v>53</v>
      </c>
      <c r="Q8" t="s">
        <v>1153</v>
      </c>
      <c r="T8" t="s">
        <v>25</v>
      </c>
      <c r="W8" s="606">
        <v>-694940</v>
      </c>
      <c r="X8" s="606">
        <v>-587120.73</v>
      </c>
      <c r="Y8" s="606"/>
      <c r="Z8" s="606"/>
      <c r="AA8" s="606"/>
      <c r="AB8" s="606">
        <v>-20640.86</v>
      </c>
      <c r="AC8" s="606">
        <v>-10639.87</v>
      </c>
      <c r="AD8" s="606">
        <v>148175</v>
      </c>
      <c r="AE8" s="606">
        <v>-155623.00000000006</v>
      </c>
      <c r="AF8" s="606">
        <v>-142264</v>
      </c>
      <c r="AG8" s="606">
        <v>-11640</v>
      </c>
      <c r="AH8" s="606">
        <v>-116400</v>
      </c>
      <c r="AI8" s="606">
        <v>-75000</v>
      </c>
      <c r="AJ8" s="606">
        <v>-75000</v>
      </c>
      <c r="AK8" s="606">
        <v>-75000</v>
      </c>
      <c r="AL8" s="606">
        <v>-75000</v>
      </c>
      <c r="AM8" s="606">
        <v>-609032.7300000001</v>
      </c>
      <c r="AN8" s="606">
        <v>-21912.000000000116</v>
      </c>
      <c r="AO8" s="606">
        <v>-6440</v>
      </c>
      <c r="AP8" s="606">
        <v>-135824</v>
      </c>
      <c r="AQ8" s="606">
        <v>-43872.000000000058</v>
      </c>
      <c r="AR8" s="606"/>
      <c r="AS8" s="606">
        <v>-21912.000000000116</v>
      </c>
      <c r="AT8" s="606"/>
      <c r="AU8" s="606"/>
      <c r="AV8" s="606">
        <v>-20640.86</v>
      </c>
      <c r="AW8" s="606">
        <v>-10639.87</v>
      </c>
      <c r="AX8" s="606">
        <v>-55600</v>
      </c>
      <c r="AY8" s="606">
        <v>-6440</v>
      </c>
      <c r="AZ8" s="606">
        <v>-43800</v>
      </c>
      <c r="BA8" s="606">
        <v>-75000</v>
      </c>
      <c r="BB8" s="606">
        <v>-75000</v>
      </c>
      <c r="BC8" s="606">
        <v>-75000</v>
      </c>
      <c r="BD8" s="606">
        <v>-75000</v>
      </c>
      <c r="BE8" s="606">
        <v>-75000</v>
      </c>
      <c r="BF8" s="606">
        <v>-75000</v>
      </c>
      <c r="BG8" s="606">
        <v>-587120.73</v>
      </c>
      <c r="BH8" s="606"/>
      <c r="BI8" s="606">
        <v>-20640.86</v>
      </c>
      <c r="BJ8" s="606">
        <v>-10639.87</v>
      </c>
      <c r="BK8" s="606">
        <v>-54600</v>
      </c>
      <c r="BL8" s="606">
        <v>-50000</v>
      </c>
      <c r="BM8" s="606">
        <v>-33840</v>
      </c>
      <c r="BN8" s="606">
        <v>-75000</v>
      </c>
      <c r="BO8" s="606">
        <v>-75000</v>
      </c>
      <c r="BP8" s="606">
        <v>-75000</v>
      </c>
      <c r="BQ8" s="606">
        <v>-75000</v>
      </c>
      <c r="BR8" s="606">
        <v>-75000</v>
      </c>
      <c r="BS8" s="606">
        <v>-75000</v>
      </c>
      <c r="BT8" s="606">
        <v>-619720.73</v>
      </c>
    </row>
    <row r="9" spans="1:72" hidden="1">
      <c r="A9" t="s">
        <v>1169</v>
      </c>
      <c r="B9" t="s">
        <v>2944</v>
      </c>
      <c r="C9" t="s">
        <v>55</v>
      </c>
      <c r="D9" t="s">
        <v>55</v>
      </c>
      <c r="E9" t="s">
        <v>1136</v>
      </c>
      <c r="F9" t="s">
        <v>1566</v>
      </c>
      <c r="G9" t="s">
        <v>1135</v>
      </c>
      <c r="H9" t="s">
        <v>1135</v>
      </c>
      <c r="I9" t="s">
        <v>1135</v>
      </c>
      <c r="J9" t="s">
        <v>1135</v>
      </c>
      <c r="K9" t="s">
        <v>1135</v>
      </c>
      <c r="L9" t="s">
        <v>49</v>
      </c>
      <c r="M9" t="s">
        <v>1170</v>
      </c>
      <c r="O9" t="s">
        <v>1171</v>
      </c>
      <c r="P9" t="s">
        <v>56</v>
      </c>
      <c r="W9" s="606"/>
      <c r="X9" s="606"/>
      <c r="Y9" s="606"/>
      <c r="Z9" s="606"/>
      <c r="AA9" s="606"/>
      <c r="AB9" s="606"/>
      <c r="AC9" s="606"/>
      <c r="AD9" s="606"/>
      <c r="AE9" s="606">
        <v>550</v>
      </c>
      <c r="AF9" s="606">
        <v>0</v>
      </c>
      <c r="AG9" s="606"/>
      <c r="AH9" s="606"/>
      <c r="AI9" s="606"/>
      <c r="AJ9" s="606"/>
      <c r="AK9" s="606"/>
      <c r="AL9" s="606"/>
      <c r="AM9" s="606">
        <v>550</v>
      </c>
      <c r="AN9" s="606">
        <v>550</v>
      </c>
      <c r="AO9" s="606"/>
      <c r="AP9" s="606">
        <v>0</v>
      </c>
      <c r="AQ9" s="606">
        <v>550</v>
      </c>
      <c r="AR9" s="606"/>
      <c r="AS9" s="606">
        <v>550</v>
      </c>
      <c r="AT9" s="606"/>
      <c r="AU9" s="606"/>
      <c r="AV9" s="606"/>
      <c r="AW9" s="606"/>
      <c r="AX9" s="606"/>
      <c r="AY9" s="606"/>
      <c r="AZ9" s="606"/>
      <c r="BA9" s="606"/>
      <c r="BB9" s="606"/>
      <c r="BC9" s="606"/>
      <c r="BD9" s="606"/>
      <c r="BE9" s="606"/>
      <c r="BF9" s="606"/>
      <c r="BG9" s="606"/>
      <c r="BH9" s="606"/>
      <c r="BI9" s="606"/>
      <c r="BJ9" s="606"/>
      <c r="BK9" s="606"/>
      <c r="BL9" s="606"/>
      <c r="BM9" s="606"/>
      <c r="BN9" s="606"/>
      <c r="BO9" s="606"/>
      <c r="BP9" s="606"/>
      <c r="BQ9" s="606"/>
      <c r="BR9" s="606"/>
      <c r="BS9" s="606"/>
      <c r="BT9" s="606"/>
    </row>
    <row r="10" spans="1:72" hidden="1">
      <c r="A10" t="s">
        <v>1796</v>
      </c>
      <c r="B10" t="s">
        <v>2944</v>
      </c>
      <c r="C10" t="s">
        <v>417</v>
      </c>
      <c r="D10" t="s">
        <v>1797</v>
      </c>
      <c r="E10" t="s">
        <v>1136</v>
      </c>
      <c r="F10" t="s">
        <v>1566</v>
      </c>
      <c r="G10" t="s">
        <v>1135</v>
      </c>
      <c r="H10" t="s">
        <v>1165</v>
      </c>
      <c r="I10" t="s">
        <v>1135</v>
      </c>
      <c r="J10" t="s">
        <v>1165</v>
      </c>
      <c r="K10" t="s">
        <v>1137</v>
      </c>
      <c r="L10" t="s">
        <v>389</v>
      </c>
      <c r="M10" t="s">
        <v>1174</v>
      </c>
      <c r="P10" t="s">
        <v>56</v>
      </c>
      <c r="R10" t="s">
        <v>1140</v>
      </c>
      <c r="T10" t="s">
        <v>57</v>
      </c>
      <c r="W10" s="606">
        <v>480000</v>
      </c>
      <c r="X10" s="606">
        <v>717425.61</v>
      </c>
      <c r="Y10" s="606"/>
      <c r="Z10" s="606"/>
      <c r="AA10" s="606">
        <v>61804.2</v>
      </c>
      <c r="AB10" s="606">
        <v>58988.63</v>
      </c>
      <c r="AC10" s="606">
        <v>56632.78</v>
      </c>
      <c r="AD10" s="606">
        <v>54081.419999999991</v>
      </c>
      <c r="AE10" s="606">
        <v>51184.079999999994</v>
      </c>
      <c r="AF10" s="606">
        <v>49707.65</v>
      </c>
      <c r="AG10" s="606">
        <v>62000</v>
      </c>
      <c r="AH10" s="606">
        <v>62000</v>
      </c>
      <c r="AI10" s="606">
        <v>62000</v>
      </c>
      <c r="AJ10" s="606">
        <v>62000</v>
      </c>
      <c r="AK10" s="606">
        <v>62000</v>
      </c>
      <c r="AL10" s="606">
        <v>62734</v>
      </c>
      <c r="AM10" s="606">
        <v>705132.76</v>
      </c>
      <c r="AN10" s="606">
        <v>-12292.849999999977</v>
      </c>
      <c r="AO10" s="606">
        <v>60000</v>
      </c>
      <c r="AP10" s="606">
        <v>-10292.349999999999</v>
      </c>
      <c r="AQ10" s="606">
        <v>-25026.849999999977</v>
      </c>
      <c r="AR10" s="606"/>
      <c r="AS10" s="606">
        <v>-12292.849999999977</v>
      </c>
      <c r="AT10" s="606"/>
      <c r="AU10" s="606">
        <v>61804.2</v>
      </c>
      <c r="AV10" s="606">
        <v>58988.63</v>
      </c>
      <c r="AW10" s="606">
        <v>56632.78</v>
      </c>
      <c r="AX10" s="606">
        <v>60000</v>
      </c>
      <c r="AY10" s="606">
        <v>60000</v>
      </c>
      <c r="AZ10" s="606">
        <v>60000</v>
      </c>
      <c r="BA10" s="606">
        <v>60000</v>
      </c>
      <c r="BB10" s="606">
        <v>60000</v>
      </c>
      <c r="BC10" s="606">
        <v>60000</v>
      </c>
      <c r="BD10" s="606">
        <v>60000</v>
      </c>
      <c r="BE10" s="606">
        <v>60000</v>
      </c>
      <c r="BF10" s="606">
        <v>60000</v>
      </c>
      <c r="BG10" s="606">
        <v>717425.61</v>
      </c>
      <c r="BH10" s="606">
        <v>61804.2</v>
      </c>
      <c r="BI10" s="606">
        <v>58988.63</v>
      </c>
      <c r="BJ10" s="606">
        <v>56632.78</v>
      </c>
      <c r="BK10" s="606">
        <v>40000</v>
      </c>
      <c r="BL10" s="606">
        <v>40000</v>
      </c>
      <c r="BM10" s="606">
        <v>40000</v>
      </c>
      <c r="BN10" s="606">
        <v>40000</v>
      </c>
      <c r="BO10" s="606">
        <v>40000</v>
      </c>
      <c r="BP10" s="606">
        <v>40000</v>
      </c>
      <c r="BQ10" s="606">
        <v>40000</v>
      </c>
      <c r="BR10" s="606">
        <v>40000</v>
      </c>
      <c r="BS10" s="606">
        <v>40000</v>
      </c>
      <c r="BT10" s="606">
        <v>537425.61</v>
      </c>
    </row>
    <row r="11" spans="1:72" hidden="1">
      <c r="A11" t="s">
        <v>2261</v>
      </c>
      <c r="B11" t="s">
        <v>2944</v>
      </c>
      <c r="C11" t="s">
        <v>669</v>
      </c>
      <c r="D11" t="s">
        <v>2262</v>
      </c>
      <c r="E11" t="s">
        <v>1136</v>
      </c>
      <c r="F11" t="s">
        <v>1566</v>
      </c>
      <c r="G11" t="s">
        <v>1135</v>
      </c>
      <c r="H11" t="s">
        <v>1145</v>
      </c>
      <c r="I11" t="s">
        <v>1135</v>
      </c>
      <c r="J11" t="s">
        <v>1145</v>
      </c>
      <c r="K11" t="s">
        <v>1137</v>
      </c>
      <c r="L11" t="s">
        <v>639</v>
      </c>
      <c r="M11" t="s">
        <v>1174</v>
      </c>
      <c r="P11" t="s">
        <v>56</v>
      </c>
      <c r="R11" t="s">
        <v>1140</v>
      </c>
      <c r="T11" t="s">
        <v>57</v>
      </c>
      <c r="W11" s="606">
        <v>48000</v>
      </c>
      <c r="X11" s="606">
        <v>47938.130000000005</v>
      </c>
      <c r="Y11" s="606"/>
      <c r="Z11" s="606"/>
      <c r="AA11" s="606">
        <v>4052.17</v>
      </c>
      <c r="AB11" s="606">
        <v>3772.71</v>
      </c>
      <c r="AC11" s="606">
        <v>4113.25</v>
      </c>
      <c r="AD11" s="606">
        <v>3493.25</v>
      </c>
      <c r="AE11" s="606">
        <v>3493.25</v>
      </c>
      <c r="AF11" s="606">
        <v>3493.25</v>
      </c>
      <c r="AG11" s="606">
        <v>4000</v>
      </c>
      <c r="AH11" s="606">
        <v>4000</v>
      </c>
      <c r="AI11" s="606">
        <v>4000</v>
      </c>
      <c r="AJ11" s="606">
        <v>4000</v>
      </c>
      <c r="AK11" s="606">
        <v>4000</v>
      </c>
      <c r="AL11" s="606">
        <v>4000</v>
      </c>
      <c r="AM11" s="606">
        <v>46417.880000000005</v>
      </c>
      <c r="AN11" s="606">
        <v>-1520.25</v>
      </c>
      <c r="AO11" s="606">
        <v>4000</v>
      </c>
      <c r="AP11" s="606">
        <v>-506.75</v>
      </c>
      <c r="AQ11" s="606">
        <v>-1520.25</v>
      </c>
      <c r="AR11" s="606"/>
      <c r="AS11" s="606">
        <v>-1520.25</v>
      </c>
      <c r="AT11" s="606"/>
      <c r="AU11" s="606">
        <v>4052.17</v>
      </c>
      <c r="AV11" s="606">
        <v>3772.71</v>
      </c>
      <c r="AW11" s="606">
        <v>4113.25</v>
      </c>
      <c r="AX11" s="606">
        <v>4000</v>
      </c>
      <c r="AY11" s="606">
        <v>4000</v>
      </c>
      <c r="AZ11" s="606">
        <v>4000</v>
      </c>
      <c r="BA11" s="606">
        <v>4000</v>
      </c>
      <c r="BB11" s="606">
        <v>4000</v>
      </c>
      <c r="BC11" s="606">
        <v>4000</v>
      </c>
      <c r="BD11" s="606">
        <v>4000</v>
      </c>
      <c r="BE11" s="606">
        <v>4000</v>
      </c>
      <c r="BF11" s="606">
        <v>4000</v>
      </c>
      <c r="BG11" s="606">
        <v>47938.130000000005</v>
      </c>
      <c r="BH11" s="606">
        <v>4052.17</v>
      </c>
      <c r="BI11" s="606">
        <v>3772.71</v>
      </c>
      <c r="BJ11" s="606">
        <v>4113.25</v>
      </c>
      <c r="BK11" s="606">
        <v>4000</v>
      </c>
      <c r="BL11" s="606">
        <v>4000</v>
      </c>
      <c r="BM11" s="606">
        <v>4000</v>
      </c>
      <c r="BN11" s="606">
        <v>4000</v>
      </c>
      <c r="BO11" s="606">
        <v>4000</v>
      </c>
      <c r="BP11" s="606">
        <v>4000</v>
      </c>
      <c r="BQ11" s="606">
        <v>4000</v>
      </c>
      <c r="BR11" s="606">
        <v>4000</v>
      </c>
      <c r="BS11" s="606">
        <v>4000</v>
      </c>
      <c r="BT11" s="606">
        <v>47938.130000000005</v>
      </c>
    </row>
    <row r="12" spans="1:72" hidden="1">
      <c r="A12" t="s">
        <v>2012</v>
      </c>
      <c r="B12" t="s">
        <v>2944</v>
      </c>
      <c r="C12" t="s">
        <v>524</v>
      </c>
      <c r="D12" t="s">
        <v>2013</v>
      </c>
      <c r="E12" t="s">
        <v>1136</v>
      </c>
      <c r="F12" t="s">
        <v>1566</v>
      </c>
      <c r="G12" t="s">
        <v>1345</v>
      </c>
      <c r="H12" t="s">
        <v>1437</v>
      </c>
      <c r="I12" t="s">
        <v>1345</v>
      </c>
      <c r="J12" t="s">
        <v>1437</v>
      </c>
      <c r="K12" t="s">
        <v>1346</v>
      </c>
      <c r="L12" t="s">
        <v>389</v>
      </c>
      <c r="M12" t="s">
        <v>1174</v>
      </c>
      <c r="P12" t="s">
        <v>56</v>
      </c>
      <c r="R12" t="s">
        <v>1140</v>
      </c>
      <c r="T12" t="s">
        <v>57</v>
      </c>
      <c r="W12" s="606">
        <v>68292</v>
      </c>
      <c r="X12" s="606">
        <v>61982.03</v>
      </c>
      <c r="Y12" s="606"/>
      <c r="Z12" s="606"/>
      <c r="AA12" s="606">
        <v>3349.03</v>
      </c>
      <c r="AB12" s="606">
        <v>3352.38</v>
      </c>
      <c r="AC12" s="606">
        <v>4061.62</v>
      </c>
      <c r="AD12" s="606">
        <v>3971.33</v>
      </c>
      <c r="AE12" s="606">
        <v>5537.35</v>
      </c>
      <c r="AF12" s="606">
        <v>4773.54</v>
      </c>
      <c r="AG12" s="606">
        <v>5691</v>
      </c>
      <c r="AH12" s="606">
        <v>5691</v>
      </c>
      <c r="AI12" s="606">
        <v>5691</v>
      </c>
      <c r="AJ12" s="606">
        <v>5691</v>
      </c>
      <c r="AK12" s="606">
        <v>5691</v>
      </c>
      <c r="AL12" s="606">
        <v>5691</v>
      </c>
      <c r="AM12" s="606">
        <v>59191.25</v>
      </c>
      <c r="AN12" s="606">
        <v>-2790.7799999999988</v>
      </c>
      <c r="AO12" s="606">
        <v>5691</v>
      </c>
      <c r="AP12" s="606">
        <v>-917.46</v>
      </c>
      <c r="AQ12" s="606">
        <v>-2790.7799999999988</v>
      </c>
      <c r="AR12" s="606"/>
      <c r="AS12" s="606">
        <v>-2790.7799999999988</v>
      </c>
      <c r="AT12" s="606"/>
      <c r="AU12" s="606">
        <v>3349.03</v>
      </c>
      <c r="AV12" s="606">
        <v>3352.38</v>
      </c>
      <c r="AW12" s="606">
        <v>4061.62</v>
      </c>
      <c r="AX12" s="606">
        <v>5691</v>
      </c>
      <c r="AY12" s="606">
        <v>5691</v>
      </c>
      <c r="AZ12" s="606">
        <v>5691</v>
      </c>
      <c r="BA12" s="606">
        <v>5691</v>
      </c>
      <c r="BB12" s="606">
        <v>5691</v>
      </c>
      <c r="BC12" s="606">
        <v>5691</v>
      </c>
      <c r="BD12" s="606">
        <v>5691</v>
      </c>
      <c r="BE12" s="606">
        <v>5691</v>
      </c>
      <c r="BF12" s="606">
        <v>5691</v>
      </c>
      <c r="BG12" s="606">
        <v>61982.03</v>
      </c>
      <c r="BH12" s="606">
        <v>3349.03</v>
      </c>
      <c r="BI12" s="606">
        <v>3352.38</v>
      </c>
      <c r="BJ12" s="606">
        <v>4061.62</v>
      </c>
      <c r="BK12" s="606">
        <v>5691</v>
      </c>
      <c r="BL12" s="606">
        <v>5691</v>
      </c>
      <c r="BM12" s="606">
        <v>5691</v>
      </c>
      <c r="BN12" s="606">
        <v>5691</v>
      </c>
      <c r="BO12" s="606">
        <v>5691</v>
      </c>
      <c r="BP12" s="606">
        <v>5691</v>
      </c>
      <c r="BQ12" s="606">
        <v>5691</v>
      </c>
      <c r="BR12" s="606">
        <v>5691</v>
      </c>
      <c r="BS12" s="606">
        <v>5691</v>
      </c>
      <c r="BT12" s="606">
        <v>61982.03</v>
      </c>
    </row>
    <row r="13" spans="1:72" hidden="1">
      <c r="A13" t="s">
        <v>2096</v>
      </c>
      <c r="B13" t="s">
        <v>2944</v>
      </c>
      <c r="C13" t="s">
        <v>569</v>
      </c>
      <c r="D13" t="s">
        <v>2097</v>
      </c>
      <c r="E13" t="s">
        <v>1136</v>
      </c>
      <c r="F13" t="s">
        <v>1566</v>
      </c>
      <c r="G13" t="s">
        <v>1566</v>
      </c>
      <c r="H13" t="s">
        <v>1566</v>
      </c>
      <c r="I13" t="s">
        <v>1567</v>
      </c>
      <c r="J13" t="s">
        <v>1567</v>
      </c>
      <c r="K13" t="s">
        <v>1567</v>
      </c>
      <c r="L13" t="s">
        <v>389</v>
      </c>
      <c r="M13" t="s">
        <v>1174</v>
      </c>
      <c r="P13" t="s">
        <v>56</v>
      </c>
      <c r="R13" t="s">
        <v>1140</v>
      </c>
      <c r="T13" t="s">
        <v>57</v>
      </c>
      <c r="W13" s="606">
        <v>42000</v>
      </c>
      <c r="X13" s="606">
        <v>36969.919999999998</v>
      </c>
      <c r="Y13" s="606"/>
      <c r="Z13" s="606"/>
      <c r="AA13" s="606">
        <v>1654.46</v>
      </c>
      <c r="AB13" s="606">
        <v>2175.66</v>
      </c>
      <c r="AC13" s="606">
        <v>1639.8</v>
      </c>
      <c r="AD13" s="606">
        <v>3229.0899999999997</v>
      </c>
      <c r="AE13" s="606">
        <v>4136.0599999999995</v>
      </c>
      <c r="AF13" s="606">
        <v>4975.22</v>
      </c>
      <c r="AG13" s="606">
        <v>3500</v>
      </c>
      <c r="AH13" s="606">
        <v>3500</v>
      </c>
      <c r="AI13" s="606">
        <v>3500</v>
      </c>
      <c r="AJ13" s="606">
        <v>3500</v>
      </c>
      <c r="AK13" s="606">
        <v>3500</v>
      </c>
      <c r="AL13" s="606">
        <v>3500</v>
      </c>
      <c r="AM13" s="606">
        <v>38810.29</v>
      </c>
      <c r="AN13" s="606">
        <v>1840.3700000000026</v>
      </c>
      <c r="AO13" s="606">
        <v>3500</v>
      </c>
      <c r="AP13" s="606">
        <v>1475.2200000000003</v>
      </c>
      <c r="AQ13" s="606">
        <v>1840.3700000000008</v>
      </c>
      <c r="AR13" s="606"/>
      <c r="AS13" s="606">
        <v>1840.3700000000026</v>
      </c>
      <c r="AT13" s="606"/>
      <c r="AU13" s="606">
        <v>1654.46</v>
      </c>
      <c r="AV13" s="606">
        <v>2175.66</v>
      </c>
      <c r="AW13" s="606">
        <v>1639.8</v>
      </c>
      <c r="AX13" s="606">
        <v>3500</v>
      </c>
      <c r="AY13" s="606">
        <v>3500</v>
      </c>
      <c r="AZ13" s="606">
        <v>3500</v>
      </c>
      <c r="BA13" s="606">
        <v>3500</v>
      </c>
      <c r="BB13" s="606">
        <v>3500</v>
      </c>
      <c r="BC13" s="606">
        <v>3500</v>
      </c>
      <c r="BD13" s="606">
        <v>3500</v>
      </c>
      <c r="BE13" s="606">
        <v>3500</v>
      </c>
      <c r="BF13" s="606">
        <v>3500</v>
      </c>
      <c r="BG13" s="606">
        <v>36969.919999999998</v>
      </c>
      <c r="BH13" s="606">
        <v>1654.46</v>
      </c>
      <c r="BI13" s="606">
        <v>2175.66</v>
      </c>
      <c r="BJ13" s="606">
        <v>1639.8</v>
      </c>
      <c r="BK13" s="606">
        <v>3500</v>
      </c>
      <c r="BL13" s="606">
        <v>3500</v>
      </c>
      <c r="BM13" s="606">
        <v>3500</v>
      </c>
      <c r="BN13" s="606">
        <v>3500</v>
      </c>
      <c r="BO13" s="606">
        <v>3500</v>
      </c>
      <c r="BP13" s="606">
        <v>3500</v>
      </c>
      <c r="BQ13" s="606">
        <v>3500</v>
      </c>
      <c r="BR13" s="606">
        <v>3500</v>
      </c>
      <c r="BS13" s="606">
        <v>3500</v>
      </c>
      <c r="BT13" s="606">
        <v>36969.919999999998</v>
      </c>
    </row>
    <row r="14" spans="1:72" hidden="1">
      <c r="A14" t="s">
        <v>1669</v>
      </c>
      <c r="B14" t="s">
        <v>2944</v>
      </c>
      <c r="C14" t="s">
        <v>337</v>
      </c>
      <c r="D14" t="s">
        <v>1670</v>
      </c>
      <c r="E14" t="s">
        <v>1136</v>
      </c>
      <c r="F14" t="s">
        <v>1566</v>
      </c>
      <c r="G14" t="s">
        <v>1566</v>
      </c>
      <c r="H14" t="s">
        <v>1566</v>
      </c>
      <c r="I14" t="s">
        <v>1567</v>
      </c>
      <c r="J14" t="s">
        <v>1567</v>
      </c>
      <c r="K14" t="s">
        <v>1567</v>
      </c>
      <c r="L14" t="s">
        <v>333</v>
      </c>
      <c r="M14" t="s">
        <v>1663</v>
      </c>
      <c r="P14" t="s">
        <v>336</v>
      </c>
      <c r="R14" t="s">
        <v>1140</v>
      </c>
      <c r="T14" t="s">
        <v>25</v>
      </c>
      <c r="U14" t="s">
        <v>1666</v>
      </c>
      <c r="W14" s="606">
        <v>32110933.16</v>
      </c>
      <c r="X14" s="606">
        <v>34757461.509999998</v>
      </c>
      <c r="Y14" s="606"/>
      <c r="Z14" s="606"/>
      <c r="AA14" s="606">
        <v>2815065.65</v>
      </c>
      <c r="AB14" s="606">
        <v>3048410.85</v>
      </c>
      <c r="AC14" s="606">
        <v>3021391.85</v>
      </c>
      <c r="AD14" s="606">
        <v>2973057.3200000008</v>
      </c>
      <c r="AE14" s="606">
        <v>3070156.0000000009</v>
      </c>
      <c r="AF14" s="606">
        <v>2999435.120000001</v>
      </c>
      <c r="AG14" s="606">
        <v>2977460.79</v>
      </c>
      <c r="AH14" s="606">
        <v>2957767.97</v>
      </c>
      <c r="AI14" s="606">
        <v>2824180.51</v>
      </c>
      <c r="AJ14" s="606">
        <v>2683373.61</v>
      </c>
      <c r="AK14" s="606">
        <v>2683374.5</v>
      </c>
      <c r="AL14" s="606">
        <v>2683373.5699999998</v>
      </c>
      <c r="AM14" s="606">
        <v>34737047.740000002</v>
      </c>
      <c r="AN14" s="606">
        <v>-20413.769999995828</v>
      </c>
      <c r="AO14" s="606">
        <v>3021022.03</v>
      </c>
      <c r="AP14" s="606">
        <v>-21586.909999998752</v>
      </c>
      <c r="AQ14" s="606">
        <v>-20413.769999995828</v>
      </c>
      <c r="AR14" s="606"/>
      <c r="AS14" s="606">
        <v>-20413.769999995828</v>
      </c>
      <c r="AT14" s="606"/>
      <c r="AU14" s="606">
        <v>2815065.65</v>
      </c>
      <c r="AV14" s="606">
        <v>3048410.85</v>
      </c>
      <c r="AW14" s="606">
        <v>3021391.85</v>
      </c>
      <c r="AX14" s="606">
        <v>3021020.11</v>
      </c>
      <c r="AY14" s="606">
        <v>3021022.03</v>
      </c>
      <c r="AZ14" s="606">
        <v>3021020.07</v>
      </c>
      <c r="BA14" s="606">
        <v>2977460.79</v>
      </c>
      <c r="BB14" s="606">
        <v>2957767.97</v>
      </c>
      <c r="BC14" s="606">
        <v>2824180.51</v>
      </c>
      <c r="BD14" s="606">
        <v>2683373.61</v>
      </c>
      <c r="BE14" s="606">
        <v>2683374.5</v>
      </c>
      <c r="BF14" s="606">
        <v>2683373.5699999998</v>
      </c>
      <c r="BG14" s="606">
        <v>34757461.509999998</v>
      </c>
      <c r="BH14" s="606">
        <v>2815065.65</v>
      </c>
      <c r="BI14" s="606">
        <v>3048410.85</v>
      </c>
      <c r="BJ14" s="606">
        <v>3021391.85</v>
      </c>
      <c r="BK14" s="606">
        <v>3021020.11</v>
      </c>
      <c r="BL14" s="606">
        <v>3021022.03</v>
      </c>
      <c r="BM14" s="606">
        <v>3021020.07</v>
      </c>
      <c r="BN14" s="606">
        <v>2977460.79</v>
      </c>
      <c r="BO14" s="606">
        <v>2957767.97</v>
      </c>
      <c r="BP14" s="606">
        <v>2824180.51</v>
      </c>
      <c r="BQ14" s="606">
        <v>2683373.61</v>
      </c>
      <c r="BR14" s="606">
        <v>2683374.5</v>
      </c>
      <c r="BS14" s="606">
        <v>2683373.5699999998</v>
      </c>
      <c r="BT14" s="606">
        <v>34757461.509999998</v>
      </c>
    </row>
    <row r="15" spans="1:72" hidden="1">
      <c r="A15" t="s">
        <v>1801</v>
      </c>
      <c r="B15" t="s">
        <v>2944</v>
      </c>
      <c r="C15" t="s">
        <v>420</v>
      </c>
      <c r="D15" t="s">
        <v>1802</v>
      </c>
      <c r="E15" t="s">
        <v>1136</v>
      </c>
      <c r="F15" t="s">
        <v>1566</v>
      </c>
      <c r="G15" t="s">
        <v>1135</v>
      </c>
      <c r="H15" t="s">
        <v>1156</v>
      </c>
      <c r="I15" t="s">
        <v>1135</v>
      </c>
      <c r="J15" t="s">
        <v>1156</v>
      </c>
      <c r="K15" t="s">
        <v>1156</v>
      </c>
      <c r="L15" t="s">
        <v>389</v>
      </c>
      <c r="M15" t="s">
        <v>1803</v>
      </c>
      <c r="O15" t="s">
        <v>1804</v>
      </c>
      <c r="P15" t="s">
        <v>59</v>
      </c>
      <c r="R15" t="s">
        <v>1805</v>
      </c>
      <c r="U15" t="s">
        <v>1806</v>
      </c>
      <c r="W15" s="606"/>
      <c r="X15" s="606"/>
      <c r="Y15" s="606"/>
      <c r="Z15" s="606"/>
      <c r="AA15" s="606"/>
      <c r="AB15" s="606"/>
      <c r="AC15" s="606"/>
      <c r="AD15" s="606"/>
      <c r="AE15" s="606">
        <v>45743</v>
      </c>
      <c r="AF15" s="606">
        <v>9404.5</v>
      </c>
      <c r="AG15" s="606"/>
      <c r="AH15" s="606"/>
      <c r="AI15" s="606"/>
      <c r="AJ15" s="606"/>
      <c r="AK15" s="606"/>
      <c r="AL15" s="606"/>
      <c r="AM15" s="606">
        <v>55147.5</v>
      </c>
      <c r="AN15" s="606">
        <v>55147.5</v>
      </c>
      <c r="AO15" s="606"/>
      <c r="AP15" s="606">
        <v>9404.5</v>
      </c>
      <c r="AQ15" s="606">
        <v>55147.5</v>
      </c>
      <c r="AR15" s="606"/>
      <c r="AS15" s="606">
        <v>55147.5</v>
      </c>
      <c r="AT15" s="606"/>
      <c r="AU15" s="606"/>
      <c r="AV15" s="606"/>
      <c r="AW15" s="606"/>
      <c r="AX15" s="606"/>
      <c r="AY15" s="606"/>
      <c r="AZ15" s="606"/>
      <c r="BA15" s="606"/>
      <c r="BB15" s="606"/>
      <c r="BC15" s="606"/>
      <c r="BD15" s="606"/>
      <c r="BE15" s="606"/>
      <c r="BF15" s="606"/>
      <c r="BG15" s="606"/>
      <c r="BH15" s="606"/>
      <c r="BI15" s="606"/>
      <c r="BJ15" s="606"/>
      <c r="BK15" s="606"/>
      <c r="BL15" s="606"/>
      <c r="BM15" s="606"/>
      <c r="BN15" s="606"/>
      <c r="BO15" s="606"/>
      <c r="BP15" s="606"/>
      <c r="BQ15" s="606"/>
      <c r="BR15" s="606"/>
      <c r="BS15" s="606"/>
      <c r="BT15" s="606"/>
    </row>
    <row r="16" spans="1:72" hidden="1">
      <c r="A16" t="s">
        <v>1282</v>
      </c>
      <c r="B16" t="s">
        <v>2944</v>
      </c>
      <c r="C16" t="s">
        <v>120</v>
      </c>
      <c r="D16" t="s">
        <v>1283</v>
      </c>
      <c r="E16" t="s">
        <v>1136</v>
      </c>
      <c r="F16" t="s">
        <v>1566</v>
      </c>
      <c r="G16" t="s">
        <v>1135</v>
      </c>
      <c r="H16" t="s">
        <v>1165</v>
      </c>
      <c r="I16" t="s">
        <v>1135</v>
      </c>
      <c r="J16" t="s">
        <v>1165</v>
      </c>
      <c r="K16" t="s">
        <v>1137</v>
      </c>
      <c r="L16" t="s">
        <v>49</v>
      </c>
      <c r="M16" t="s">
        <v>1281</v>
      </c>
      <c r="P16" t="s">
        <v>121</v>
      </c>
      <c r="T16" t="s">
        <v>122</v>
      </c>
      <c r="W16" s="606">
        <v>150000</v>
      </c>
      <c r="X16" s="606">
        <v>149999.65</v>
      </c>
      <c r="Y16" s="606"/>
      <c r="Z16" s="606"/>
      <c r="AA16" s="606"/>
      <c r="AB16" s="606"/>
      <c r="AC16" s="606">
        <v>36597.65</v>
      </c>
      <c r="AD16" s="606">
        <v>17284.68</v>
      </c>
      <c r="AE16" s="606">
        <v>12179.44</v>
      </c>
      <c r="AF16" s="606">
        <v>11999.990000000002</v>
      </c>
      <c r="AG16" s="606">
        <v>12000</v>
      </c>
      <c r="AH16" s="606">
        <v>12000</v>
      </c>
      <c r="AI16" s="606">
        <v>12000</v>
      </c>
      <c r="AJ16" s="606">
        <v>12000</v>
      </c>
      <c r="AK16" s="606">
        <v>12000</v>
      </c>
      <c r="AL16" s="606">
        <v>12000</v>
      </c>
      <c r="AM16" s="606">
        <v>150061.76000000001</v>
      </c>
      <c r="AN16" s="606">
        <v>62.110000000015134</v>
      </c>
      <c r="AO16" s="606">
        <v>12900</v>
      </c>
      <c r="AP16" s="606">
        <v>-900.0099999999984</v>
      </c>
      <c r="AQ16" s="606">
        <v>3062.1100000000151</v>
      </c>
      <c r="AR16" s="606"/>
      <c r="AS16" s="606">
        <v>62.110000000015134</v>
      </c>
      <c r="AT16" s="606"/>
      <c r="AU16" s="606"/>
      <c r="AV16" s="606"/>
      <c r="AW16" s="606">
        <v>36597.65</v>
      </c>
      <c r="AX16" s="606">
        <v>12900</v>
      </c>
      <c r="AY16" s="606">
        <v>12900</v>
      </c>
      <c r="AZ16" s="606">
        <v>12602</v>
      </c>
      <c r="BA16" s="606">
        <v>12500</v>
      </c>
      <c r="BB16" s="606">
        <v>12500</v>
      </c>
      <c r="BC16" s="606">
        <v>12500</v>
      </c>
      <c r="BD16" s="606">
        <v>12500</v>
      </c>
      <c r="BE16" s="606">
        <v>12500</v>
      </c>
      <c r="BF16" s="606">
        <v>12500</v>
      </c>
      <c r="BG16" s="606">
        <v>149999.65</v>
      </c>
      <c r="BH16" s="606"/>
      <c r="BI16" s="606"/>
      <c r="BJ16" s="606">
        <v>36597.65</v>
      </c>
      <c r="BK16" s="606">
        <v>12500</v>
      </c>
      <c r="BL16" s="606">
        <v>12500</v>
      </c>
      <c r="BM16" s="606">
        <v>12500</v>
      </c>
      <c r="BN16" s="606">
        <v>12500</v>
      </c>
      <c r="BO16" s="606">
        <v>12500</v>
      </c>
      <c r="BP16" s="606">
        <v>12500</v>
      </c>
      <c r="BQ16" s="606">
        <v>12500</v>
      </c>
      <c r="BR16" s="606">
        <v>12500</v>
      </c>
      <c r="BS16" s="606">
        <v>12500</v>
      </c>
      <c r="BT16" s="606">
        <v>149097.65</v>
      </c>
    </row>
    <row r="17" spans="1:72" hidden="1">
      <c r="A17" t="s">
        <v>1833</v>
      </c>
      <c r="B17" t="s">
        <v>2944</v>
      </c>
      <c r="C17" t="s">
        <v>435</v>
      </c>
      <c r="D17" t="s">
        <v>1834</v>
      </c>
      <c r="E17" t="s">
        <v>1136</v>
      </c>
      <c r="F17" t="s">
        <v>1566</v>
      </c>
      <c r="G17" t="s">
        <v>1135</v>
      </c>
      <c r="H17" t="s">
        <v>1156</v>
      </c>
      <c r="I17" t="s">
        <v>1135</v>
      </c>
      <c r="J17" t="s">
        <v>1156</v>
      </c>
      <c r="K17" t="s">
        <v>1137</v>
      </c>
      <c r="L17" t="s">
        <v>389</v>
      </c>
      <c r="M17" t="s">
        <v>1835</v>
      </c>
      <c r="P17" t="s">
        <v>436</v>
      </c>
      <c r="T17" t="s">
        <v>57</v>
      </c>
      <c r="U17" t="s">
        <v>2912</v>
      </c>
      <c r="W17" s="606">
        <v>4558</v>
      </c>
      <c r="X17" s="606">
        <v>3418.5099999999998</v>
      </c>
      <c r="Y17" s="606"/>
      <c r="Z17" s="606"/>
      <c r="AA17" s="606"/>
      <c r="AB17" s="606"/>
      <c r="AC17" s="606"/>
      <c r="AD17" s="606" t="s">
        <v>1142</v>
      </c>
      <c r="AE17" s="606">
        <v>0</v>
      </c>
      <c r="AF17" s="606">
        <v>0</v>
      </c>
      <c r="AG17" s="606">
        <v>379.83</v>
      </c>
      <c r="AH17" s="606">
        <v>379.83</v>
      </c>
      <c r="AI17" s="606">
        <v>379.83</v>
      </c>
      <c r="AJ17" s="606">
        <v>379.83</v>
      </c>
      <c r="AK17" s="606">
        <v>379.83</v>
      </c>
      <c r="AL17" s="606">
        <v>379.87</v>
      </c>
      <c r="AM17" s="606">
        <v>2279.02</v>
      </c>
      <c r="AN17" s="606">
        <v>-1139.4899999999998</v>
      </c>
      <c r="AO17" s="606">
        <v>379.83</v>
      </c>
      <c r="AP17" s="606">
        <v>-379.83</v>
      </c>
      <c r="AQ17" s="606">
        <v>-1139.49</v>
      </c>
      <c r="AR17" s="606"/>
      <c r="AS17" s="606">
        <v>-1139.4899999999998</v>
      </c>
      <c r="AT17" s="606"/>
      <c r="AU17" s="606"/>
      <c r="AV17" s="606"/>
      <c r="AW17" s="606"/>
      <c r="AX17" s="606">
        <v>379.83</v>
      </c>
      <c r="AY17" s="606">
        <v>379.83</v>
      </c>
      <c r="AZ17" s="606">
        <v>379.83</v>
      </c>
      <c r="BA17" s="606">
        <v>379.83</v>
      </c>
      <c r="BB17" s="606">
        <v>379.83</v>
      </c>
      <c r="BC17" s="606">
        <v>379.83</v>
      </c>
      <c r="BD17" s="606">
        <v>379.83</v>
      </c>
      <c r="BE17" s="606">
        <v>379.83</v>
      </c>
      <c r="BF17" s="606">
        <v>379.87</v>
      </c>
      <c r="BG17" s="606">
        <v>3418.5099999999998</v>
      </c>
      <c r="BH17" s="606"/>
      <c r="BI17" s="606"/>
      <c r="BJ17" s="606"/>
      <c r="BK17" s="606">
        <v>379.83</v>
      </c>
      <c r="BL17" s="606">
        <v>379.83</v>
      </c>
      <c r="BM17" s="606">
        <v>379.83</v>
      </c>
      <c r="BN17" s="606">
        <v>379.83</v>
      </c>
      <c r="BO17" s="606">
        <v>379.83</v>
      </c>
      <c r="BP17" s="606">
        <v>379.83</v>
      </c>
      <c r="BQ17" s="606">
        <v>379.83</v>
      </c>
      <c r="BR17" s="606">
        <v>379.83</v>
      </c>
      <c r="BS17" s="606">
        <v>379.87</v>
      </c>
      <c r="BT17" s="606">
        <v>3418.5099999999998</v>
      </c>
    </row>
    <row r="18" spans="1:72" hidden="1">
      <c r="A18" t="s">
        <v>1843</v>
      </c>
      <c r="B18" t="s">
        <v>2944</v>
      </c>
      <c r="C18" t="s">
        <v>440</v>
      </c>
      <c r="D18" t="s">
        <v>440</v>
      </c>
      <c r="E18" t="s">
        <v>1136</v>
      </c>
      <c r="F18" t="s">
        <v>1566</v>
      </c>
      <c r="G18" t="s">
        <v>1135</v>
      </c>
      <c r="H18" t="s">
        <v>1135</v>
      </c>
      <c r="I18" t="s">
        <v>1135</v>
      </c>
      <c r="J18" t="s">
        <v>1135</v>
      </c>
      <c r="K18" t="s">
        <v>1137</v>
      </c>
      <c r="L18" t="s">
        <v>389</v>
      </c>
      <c r="M18" t="s">
        <v>1844</v>
      </c>
      <c r="P18" t="s">
        <v>441</v>
      </c>
      <c r="T18" t="s">
        <v>57</v>
      </c>
      <c r="W18" s="606">
        <v>0</v>
      </c>
      <c r="X18" s="606">
        <v>10582.559999999998</v>
      </c>
      <c r="Y18" s="606"/>
      <c r="Z18" s="606"/>
      <c r="AA18" s="606">
        <v>881.88</v>
      </c>
      <c r="AB18" s="606">
        <v>881.88</v>
      </c>
      <c r="AC18" s="606">
        <v>881.88</v>
      </c>
      <c r="AD18" s="606">
        <v>881.88</v>
      </c>
      <c r="AE18" s="606">
        <v>881.88</v>
      </c>
      <c r="AF18" s="606">
        <v>881.88</v>
      </c>
      <c r="AG18" s="606">
        <v>881.88</v>
      </c>
      <c r="AH18" s="606">
        <v>881.88</v>
      </c>
      <c r="AI18" s="606">
        <v>881.88</v>
      </c>
      <c r="AJ18" s="606">
        <v>881.88</v>
      </c>
      <c r="AK18" s="606">
        <v>881.88</v>
      </c>
      <c r="AL18" s="606">
        <v>881.88</v>
      </c>
      <c r="AM18" s="606">
        <v>10582.559999999998</v>
      </c>
      <c r="AN18" s="606">
        <v>0</v>
      </c>
      <c r="AO18" s="606">
        <v>881.88</v>
      </c>
      <c r="AP18" s="606">
        <v>0</v>
      </c>
      <c r="AQ18" s="606">
        <v>0</v>
      </c>
      <c r="AR18" s="606"/>
      <c r="AS18" s="606">
        <v>0</v>
      </c>
      <c r="AT18" s="606"/>
      <c r="AU18" s="606">
        <v>881.88</v>
      </c>
      <c r="AV18" s="606">
        <v>881.88</v>
      </c>
      <c r="AW18" s="606">
        <v>881.88</v>
      </c>
      <c r="AX18" s="606">
        <v>881.88</v>
      </c>
      <c r="AY18" s="606">
        <v>881.88</v>
      </c>
      <c r="AZ18" s="606">
        <v>881.88</v>
      </c>
      <c r="BA18" s="606">
        <v>881.88</v>
      </c>
      <c r="BB18" s="606">
        <v>881.88</v>
      </c>
      <c r="BC18" s="606">
        <v>881.88</v>
      </c>
      <c r="BD18" s="606">
        <v>881.88</v>
      </c>
      <c r="BE18" s="606">
        <v>881.88</v>
      </c>
      <c r="BF18" s="606">
        <v>881.88</v>
      </c>
      <c r="BG18" s="606">
        <v>10582.559999999998</v>
      </c>
      <c r="BH18" s="606">
        <v>881.88</v>
      </c>
      <c r="BI18" s="606">
        <v>881.88</v>
      </c>
      <c r="BJ18" s="606">
        <v>881.88</v>
      </c>
      <c r="BK18" s="606">
        <v>0</v>
      </c>
      <c r="BL18" s="606">
        <v>0</v>
      </c>
      <c r="BM18" s="606">
        <v>0</v>
      </c>
      <c r="BN18" s="606">
        <v>0</v>
      </c>
      <c r="BO18" s="606">
        <v>0</v>
      </c>
      <c r="BP18" s="606">
        <v>0</v>
      </c>
      <c r="BQ18" s="606">
        <v>0</v>
      </c>
      <c r="BR18" s="606">
        <v>0</v>
      </c>
      <c r="BS18" s="606">
        <v>0</v>
      </c>
      <c r="BT18" s="606">
        <v>2645.64</v>
      </c>
    </row>
    <row r="19" spans="1:72" hidden="1">
      <c r="A19" t="s">
        <v>1857</v>
      </c>
      <c r="B19" t="s">
        <v>2944</v>
      </c>
      <c r="C19" t="s">
        <v>448</v>
      </c>
      <c r="D19" t="s">
        <v>448</v>
      </c>
      <c r="E19" t="s">
        <v>1136</v>
      </c>
      <c r="F19" t="s">
        <v>1566</v>
      </c>
      <c r="G19" t="s">
        <v>1135</v>
      </c>
      <c r="H19" t="s">
        <v>1135</v>
      </c>
      <c r="I19" t="s">
        <v>1135</v>
      </c>
      <c r="J19" t="s">
        <v>1135</v>
      </c>
      <c r="K19" t="s">
        <v>1137</v>
      </c>
      <c r="L19" t="s">
        <v>389</v>
      </c>
      <c r="M19" t="s">
        <v>1858</v>
      </c>
      <c r="P19" t="s">
        <v>449</v>
      </c>
      <c r="R19" t="s">
        <v>1140</v>
      </c>
      <c r="T19" t="s">
        <v>57</v>
      </c>
      <c r="W19" s="606">
        <v>0</v>
      </c>
      <c r="X19" s="606">
        <v>9126</v>
      </c>
      <c r="Y19" s="606"/>
      <c r="Z19" s="606"/>
      <c r="AA19" s="606"/>
      <c r="AB19" s="606"/>
      <c r="AC19" s="606"/>
      <c r="AD19" s="606" t="s">
        <v>1142</v>
      </c>
      <c r="AE19" s="606">
        <v>0</v>
      </c>
      <c r="AF19" s="606">
        <v>0</v>
      </c>
      <c r="AG19" s="606">
        <v>1300</v>
      </c>
      <c r="AH19" s="606">
        <v>1300</v>
      </c>
      <c r="AI19" s="606">
        <v>1300</v>
      </c>
      <c r="AJ19" s="606">
        <v>1300</v>
      </c>
      <c r="AK19" s="606">
        <v>1300</v>
      </c>
      <c r="AL19" s="606">
        <v>1326</v>
      </c>
      <c r="AM19" s="606">
        <v>7826</v>
      </c>
      <c r="AN19" s="606">
        <v>-1300</v>
      </c>
      <c r="AO19" s="606">
        <v>1014</v>
      </c>
      <c r="AP19" s="606">
        <v>-1014</v>
      </c>
      <c r="AQ19" s="606">
        <v>-3042</v>
      </c>
      <c r="AR19" s="606"/>
      <c r="AS19" s="606">
        <v>-1300</v>
      </c>
      <c r="AT19" s="606"/>
      <c r="AU19" s="606"/>
      <c r="AV19" s="606"/>
      <c r="AW19" s="606"/>
      <c r="AX19" s="606">
        <v>1014</v>
      </c>
      <c r="AY19" s="606">
        <v>1014</v>
      </c>
      <c r="AZ19" s="606">
        <v>1014</v>
      </c>
      <c r="BA19" s="606">
        <v>1014</v>
      </c>
      <c r="BB19" s="606">
        <v>1014</v>
      </c>
      <c r="BC19" s="606">
        <v>1014</v>
      </c>
      <c r="BD19" s="606">
        <v>1014</v>
      </c>
      <c r="BE19" s="606">
        <v>1014</v>
      </c>
      <c r="BF19" s="606">
        <v>1014</v>
      </c>
      <c r="BG19" s="606">
        <v>9126</v>
      </c>
      <c r="BH19" s="606"/>
      <c r="BI19" s="606"/>
      <c r="BJ19" s="606"/>
      <c r="BK19" s="606">
        <v>1014</v>
      </c>
      <c r="BL19" s="606">
        <v>1014</v>
      </c>
      <c r="BM19" s="606">
        <v>1014</v>
      </c>
      <c r="BN19" s="606">
        <v>1014</v>
      </c>
      <c r="BO19" s="606">
        <v>1014</v>
      </c>
      <c r="BP19" s="606">
        <v>1014</v>
      </c>
      <c r="BQ19" s="606">
        <v>1014</v>
      </c>
      <c r="BR19" s="606">
        <v>1014</v>
      </c>
      <c r="BS19" s="606">
        <v>1014</v>
      </c>
      <c r="BT19" s="606">
        <v>9126</v>
      </c>
    </row>
    <row r="20" spans="1:72" hidden="1">
      <c r="A20" t="s">
        <v>1864</v>
      </c>
      <c r="B20" t="s">
        <v>2944</v>
      </c>
      <c r="C20" t="s">
        <v>452</v>
      </c>
      <c r="D20" t="s">
        <v>452</v>
      </c>
      <c r="E20" t="s">
        <v>1136</v>
      </c>
      <c r="F20" t="s">
        <v>1566</v>
      </c>
      <c r="G20" t="s">
        <v>1135</v>
      </c>
      <c r="H20" t="s">
        <v>1135</v>
      </c>
      <c r="I20" t="s">
        <v>1135</v>
      </c>
      <c r="J20" t="s">
        <v>1135</v>
      </c>
      <c r="K20" t="s">
        <v>1137</v>
      </c>
      <c r="L20" t="s">
        <v>389</v>
      </c>
      <c r="M20" t="s">
        <v>1863</v>
      </c>
      <c r="P20" t="s">
        <v>453</v>
      </c>
      <c r="T20" t="s">
        <v>57</v>
      </c>
      <c r="W20" s="606">
        <v>60000</v>
      </c>
      <c r="X20" s="606">
        <v>58916.17</v>
      </c>
      <c r="Y20" s="606"/>
      <c r="Z20" s="606"/>
      <c r="AA20" s="606">
        <v>5046.78</v>
      </c>
      <c r="AB20" s="606">
        <v>4733.08</v>
      </c>
      <c r="AC20" s="606">
        <v>4136.3100000000004</v>
      </c>
      <c r="AD20" s="606">
        <v>1611.3500000000001</v>
      </c>
      <c r="AE20" s="606">
        <v>1548.42</v>
      </c>
      <c r="AF20" s="606">
        <v>448.77000000000004</v>
      </c>
      <c r="AG20" s="606">
        <v>5000</v>
      </c>
      <c r="AH20" s="606">
        <v>5000</v>
      </c>
      <c r="AI20" s="606">
        <v>5000</v>
      </c>
      <c r="AJ20" s="606">
        <v>5000</v>
      </c>
      <c r="AK20" s="606">
        <v>5000</v>
      </c>
      <c r="AL20" s="606">
        <v>5000</v>
      </c>
      <c r="AM20" s="606">
        <v>47524.710000000006</v>
      </c>
      <c r="AN20" s="606">
        <v>-11391.459999999992</v>
      </c>
      <c r="AO20" s="606">
        <v>5000</v>
      </c>
      <c r="AP20" s="606">
        <v>-4551.2299999999996</v>
      </c>
      <c r="AQ20" s="606">
        <v>-11391.46</v>
      </c>
      <c r="AR20" s="606"/>
      <c r="AS20" s="606">
        <v>-11391.459999999992</v>
      </c>
      <c r="AT20" s="606"/>
      <c r="AU20" s="606">
        <v>5046.78</v>
      </c>
      <c r="AV20" s="606">
        <v>4733.08</v>
      </c>
      <c r="AW20" s="606">
        <v>4136.3100000000004</v>
      </c>
      <c r="AX20" s="606">
        <v>5000</v>
      </c>
      <c r="AY20" s="606">
        <v>5000</v>
      </c>
      <c r="AZ20" s="606">
        <v>5000</v>
      </c>
      <c r="BA20" s="606">
        <v>5000</v>
      </c>
      <c r="BB20" s="606">
        <v>5000</v>
      </c>
      <c r="BC20" s="606">
        <v>5000</v>
      </c>
      <c r="BD20" s="606">
        <v>5000</v>
      </c>
      <c r="BE20" s="606">
        <v>5000</v>
      </c>
      <c r="BF20" s="606">
        <v>5000</v>
      </c>
      <c r="BG20" s="606">
        <v>58916.17</v>
      </c>
      <c r="BH20" s="606">
        <v>5046.78</v>
      </c>
      <c r="BI20" s="606">
        <v>4733.08</v>
      </c>
      <c r="BJ20" s="606">
        <v>4136.3100000000004</v>
      </c>
      <c r="BK20" s="606">
        <v>5000</v>
      </c>
      <c r="BL20" s="606">
        <v>5000</v>
      </c>
      <c r="BM20" s="606">
        <v>5000</v>
      </c>
      <c r="BN20" s="606">
        <v>5000</v>
      </c>
      <c r="BO20" s="606">
        <v>5000</v>
      </c>
      <c r="BP20" s="606">
        <v>5000</v>
      </c>
      <c r="BQ20" s="606">
        <v>5000</v>
      </c>
      <c r="BR20" s="606">
        <v>5000</v>
      </c>
      <c r="BS20" s="606">
        <v>5000</v>
      </c>
      <c r="BT20" s="606">
        <v>58916.17</v>
      </c>
    </row>
    <row r="21" spans="1:72" hidden="1">
      <c r="A21" t="s">
        <v>2275</v>
      </c>
      <c r="B21" t="s">
        <v>2944</v>
      </c>
      <c r="C21" t="s">
        <v>672</v>
      </c>
      <c r="D21" t="s">
        <v>2276</v>
      </c>
      <c r="E21" t="s">
        <v>1136</v>
      </c>
      <c r="F21" t="s">
        <v>1566</v>
      </c>
      <c r="G21" t="s">
        <v>1135</v>
      </c>
      <c r="H21" t="s">
        <v>1165</v>
      </c>
      <c r="I21" t="s">
        <v>1135</v>
      </c>
      <c r="J21" t="s">
        <v>1165</v>
      </c>
      <c r="K21" t="s">
        <v>1137</v>
      </c>
      <c r="L21" t="s">
        <v>639</v>
      </c>
      <c r="M21" t="s">
        <v>2274</v>
      </c>
      <c r="P21" t="s">
        <v>673</v>
      </c>
      <c r="R21" t="s">
        <v>1140</v>
      </c>
      <c r="T21" t="s">
        <v>57</v>
      </c>
      <c r="W21" s="606">
        <v>11109.88</v>
      </c>
      <c r="X21" s="606">
        <v>9249.9</v>
      </c>
      <c r="Y21" s="606"/>
      <c r="Z21" s="606"/>
      <c r="AA21" s="606">
        <v>616.66</v>
      </c>
      <c r="AB21" s="606">
        <v>0</v>
      </c>
      <c r="AC21" s="606">
        <v>308.33</v>
      </c>
      <c r="AD21" s="606">
        <v>308.33</v>
      </c>
      <c r="AE21" s="606">
        <v>308.33</v>
      </c>
      <c r="AF21" s="606">
        <v>308.33</v>
      </c>
      <c r="AG21" s="606">
        <v>924.99</v>
      </c>
      <c r="AH21" s="606">
        <v>924.99</v>
      </c>
      <c r="AI21" s="606">
        <v>924.99</v>
      </c>
      <c r="AJ21" s="606">
        <v>924.99</v>
      </c>
      <c r="AK21" s="606">
        <v>924.99</v>
      </c>
      <c r="AL21" s="606">
        <v>924.99</v>
      </c>
      <c r="AM21" s="606">
        <v>7399.9199999999992</v>
      </c>
      <c r="AN21" s="606">
        <v>-1849.9800000000005</v>
      </c>
      <c r="AO21" s="606">
        <v>924.99</v>
      </c>
      <c r="AP21" s="606">
        <v>-616.66000000000008</v>
      </c>
      <c r="AQ21" s="606">
        <v>-1849.9800000000002</v>
      </c>
      <c r="AR21" s="606"/>
      <c r="AS21" s="606">
        <v>-1849.9800000000005</v>
      </c>
      <c r="AT21" s="606"/>
      <c r="AU21" s="606">
        <v>616.66</v>
      </c>
      <c r="AV21" s="606">
        <v>0</v>
      </c>
      <c r="AW21" s="606">
        <v>308.33</v>
      </c>
      <c r="AX21" s="606">
        <v>924.99</v>
      </c>
      <c r="AY21" s="606">
        <v>924.99</v>
      </c>
      <c r="AZ21" s="606">
        <v>924.99</v>
      </c>
      <c r="BA21" s="606">
        <v>924.99</v>
      </c>
      <c r="BB21" s="606">
        <v>924.99</v>
      </c>
      <c r="BC21" s="606">
        <v>924.99</v>
      </c>
      <c r="BD21" s="606">
        <v>924.99</v>
      </c>
      <c r="BE21" s="606">
        <v>924.99</v>
      </c>
      <c r="BF21" s="606">
        <v>924.99</v>
      </c>
      <c r="BG21" s="606">
        <v>9249.9</v>
      </c>
      <c r="BH21" s="606">
        <v>616.66</v>
      </c>
      <c r="BI21" s="606">
        <v>0</v>
      </c>
      <c r="BJ21" s="606">
        <v>308.33</v>
      </c>
      <c r="BK21" s="606">
        <v>924.99</v>
      </c>
      <c r="BL21" s="606">
        <v>924.99</v>
      </c>
      <c r="BM21" s="606">
        <v>924.99</v>
      </c>
      <c r="BN21" s="606">
        <v>924.99</v>
      </c>
      <c r="BO21" s="606">
        <v>924.99</v>
      </c>
      <c r="BP21" s="606">
        <v>924.99</v>
      </c>
      <c r="BQ21" s="606">
        <v>924.99</v>
      </c>
      <c r="BR21" s="606">
        <v>924.99</v>
      </c>
      <c r="BS21" s="606">
        <v>924.99</v>
      </c>
      <c r="BT21" s="606">
        <v>9249.9</v>
      </c>
    </row>
    <row r="22" spans="1:72" hidden="1">
      <c r="A22" t="s">
        <v>1704</v>
      </c>
      <c r="B22" t="s">
        <v>2944</v>
      </c>
      <c r="C22" t="s">
        <v>364</v>
      </c>
      <c r="D22" t="s">
        <v>1705</v>
      </c>
      <c r="E22" t="s">
        <v>1136</v>
      </c>
      <c r="F22" t="s">
        <v>1566</v>
      </c>
      <c r="G22" t="s">
        <v>1135</v>
      </c>
      <c r="H22" t="s">
        <v>1135</v>
      </c>
      <c r="I22" t="s">
        <v>1135</v>
      </c>
      <c r="J22" t="s">
        <v>1137</v>
      </c>
      <c r="K22" t="s">
        <v>1137</v>
      </c>
      <c r="L22" t="s">
        <v>342</v>
      </c>
      <c r="M22" t="s">
        <v>1703</v>
      </c>
      <c r="P22" t="s">
        <v>365</v>
      </c>
      <c r="R22" t="s">
        <v>1140</v>
      </c>
      <c r="T22" t="s">
        <v>57</v>
      </c>
      <c r="U22" t="s">
        <v>1141</v>
      </c>
      <c r="W22" s="606">
        <v>0</v>
      </c>
      <c r="X22" s="606">
        <v>2955.3</v>
      </c>
      <c r="Y22" s="606"/>
      <c r="Z22" s="606"/>
      <c r="AA22" s="606">
        <v>1146.01</v>
      </c>
      <c r="AB22" s="606">
        <v>0</v>
      </c>
      <c r="AC22" s="606">
        <v>1809.29</v>
      </c>
      <c r="AD22" s="606">
        <v>5504.11</v>
      </c>
      <c r="AE22" s="606">
        <v>299.02999999999997</v>
      </c>
      <c r="AF22" s="606">
        <v>0</v>
      </c>
      <c r="AG22" s="606">
        <v>0</v>
      </c>
      <c r="AH22" s="606">
        <v>0</v>
      </c>
      <c r="AI22" s="606">
        <v>0</v>
      </c>
      <c r="AJ22" s="606">
        <v>0</v>
      </c>
      <c r="AK22" s="606">
        <v>0</v>
      </c>
      <c r="AL22" s="606">
        <v>0</v>
      </c>
      <c r="AM22" s="606">
        <v>8758.44</v>
      </c>
      <c r="AN22" s="606">
        <v>5803.14</v>
      </c>
      <c r="AO22" s="606">
        <v>0</v>
      </c>
      <c r="AP22" s="606">
        <v>0</v>
      </c>
      <c r="AQ22" s="606">
        <v>5803.14</v>
      </c>
      <c r="AR22" s="606"/>
      <c r="AS22" s="606">
        <v>5803.14</v>
      </c>
      <c r="AT22" s="606"/>
      <c r="AU22" s="606">
        <v>1146.01</v>
      </c>
      <c r="AV22" s="606">
        <v>0</v>
      </c>
      <c r="AW22" s="606">
        <v>1809.29</v>
      </c>
      <c r="AX22" s="606">
        <v>0</v>
      </c>
      <c r="AY22" s="606">
        <v>0</v>
      </c>
      <c r="AZ22" s="606">
        <v>0</v>
      </c>
      <c r="BA22" s="606">
        <v>0</v>
      </c>
      <c r="BB22" s="606">
        <v>0</v>
      </c>
      <c r="BC22" s="606">
        <v>0</v>
      </c>
      <c r="BD22" s="606">
        <v>0</v>
      </c>
      <c r="BE22" s="606">
        <v>0</v>
      </c>
      <c r="BF22" s="606">
        <v>0</v>
      </c>
      <c r="BG22" s="606">
        <v>2955.3</v>
      </c>
      <c r="BH22" s="606">
        <v>1146.01</v>
      </c>
      <c r="BI22" s="606">
        <v>0</v>
      </c>
      <c r="BJ22" s="606">
        <v>1809.29</v>
      </c>
      <c r="BK22" s="606">
        <v>0</v>
      </c>
      <c r="BL22" s="606">
        <v>0</v>
      </c>
      <c r="BM22" s="606">
        <v>0</v>
      </c>
      <c r="BN22" s="606">
        <v>0</v>
      </c>
      <c r="BO22" s="606">
        <v>0</v>
      </c>
      <c r="BP22" s="606">
        <v>0</v>
      </c>
      <c r="BQ22" s="606">
        <v>0</v>
      </c>
      <c r="BR22" s="606">
        <v>0</v>
      </c>
      <c r="BS22" s="606">
        <v>0</v>
      </c>
      <c r="BT22" s="606">
        <v>2955.3</v>
      </c>
    </row>
    <row r="23" spans="1:72" hidden="1">
      <c r="A23" t="s">
        <v>1897</v>
      </c>
      <c r="B23" t="s">
        <v>2944</v>
      </c>
      <c r="C23" t="s">
        <v>464</v>
      </c>
      <c r="D23" t="s">
        <v>1898</v>
      </c>
      <c r="E23" t="s">
        <v>1136</v>
      </c>
      <c r="F23" t="s">
        <v>1566</v>
      </c>
      <c r="G23" t="s">
        <v>1135</v>
      </c>
      <c r="H23" t="s">
        <v>1145</v>
      </c>
      <c r="I23" t="s">
        <v>1135</v>
      </c>
      <c r="J23" t="s">
        <v>1145</v>
      </c>
      <c r="K23" t="s">
        <v>1137</v>
      </c>
      <c r="L23" t="s">
        <v>389</v>
      </c>
      <c r="M23" t="s">
        <v>1703</v>
      </c>
      <c r="P23" t="s">
        <v>365</v>
      </c>
      <c r="R23" t="s">
        <v>1140</v>
      </c>
      <c r="T23" t="s">
        <v>57</v>
      </c>
      <c r="W23" s="606">
        <v>240000</v>
      </c>
      <c r="X23" s="606">
        <v>230345.91999999998</v>
      </c>
      <c r="Y23" s="606"/>
      <c r="Z23" s="606"/>
      <c r="AA23" s="606">
        <v>18590.2</v>
      </c>
      <c r="AB23" s="606">
        <v>19113.38</v>
      </c>
      <c r="AC23" s="606">
        <v>12642.34</v>
      </c>
      <c r="AD23" s="606">
        <v>21280.7</v>
      </c>
      <c r="AE23" s="606">
        <v>14563.560000000001</v>
      </c>
      <c r="AF23" s="606">
        <v>26235.370000000003</v>
      </c>
      <c r="AG23" s="606">
        <v>19000</v>
      </c>
      <c r="AH23" s="606">
        <v>19000</v>
      </c>
      <c r="AI23" s="606">
        <v>19000</v>
      </c>
      <c r="AJ23" s="606">
        <v>19000</v>
      </c>
      <c r="AK23" s="606">
        <v>19000</v>
      </c>
      <c r="AL23" s="606">
        <v>19000</v>
      </c>
      <c r="AM23" s="606">
        <v>226425.55</v>
      </c>
      <c r="AN23" s="606">
        <v>-3920.3699999999953</v>
      </c>
      <c r="AO23" s="606">
        <v>20000</v>
      </c>
      <c r="AP23" s="606">
        <v>6235.3700000000026</v>
      </c>
      <c r="AQ23" s="606">
        <v>2079.6299999999901</v>
      </c>
      <c r="AR23" s="606"/>
      <c r="AS23" s="606">
        <v>-3920.3699999999953</v>
      </c>
      <c r="AT23" s="606"/>
      <c r="AU23" s="606">
        <v>18590.2</v>
      </c>
      <c r="AV23" s="606">
        <v>19113.38</v>
      </c>
      <c r="AW23" s="606">
        <v>12642.34</v>
      </c>
      <c r="AX23" s="606">
        <v>20000</v>
      </c>
      <c r="AY23" s="606">
        <v>20000</v>
      </c>
      <c r="AZ23" s="606">
        <v>20000</v>
      </c>
      <c r="BA23" s="606">
        <v>20000</v>
      </c>
      <c r="BB23" s="606">
        <v>20000</v>
      </c>
      <c r="BC23" s="606">
        <v>20000</v>
      </c>
      <c r="BD23" s="606">
        <v>20000</v>
      </c>
      <c r="BE23" s="606">
        <v>20000</v>
      </c>
      <c r="BF23" s="606">
        <v>20000</v>
      </c>
      <c r="BG23" s="606">
        <v>230345.91999999998</v>
      </c>
      <c r="BH23" s="606">
        <v>18590.2</v>
      </c>
      <c r="BI23" s="606">
        <v>19113.38</v>
      </c>
      <c r="BJ23" s="606">
        <v>12642.34</v>
      </c>
      <c r="BK23" s="606">
        <v>20000</v>
      </c>
      <c r="BL23" s="606">
        <v>20000</v>
      </c>
      <c r="BM23" s="606">
        <v>20000</v>
      </c>
      <c r="BN23" s="606">
        <v>20000</v>
      </c>
      <c r="BO23" s="606">
        <v>20000</v>
      </c>
      <c r="BP23" s="606">
        <v>20000</v>
      </c>
      <c r="BQ23" s="606">
        <v>20000</v>
      </c>
      <c r="BR23" s="606">
        <v>20000</v>
      </c>
      <c r="BS23" s="606">
        <v>20000</v>
      </c>
      <c r="BT23" s="606">
        <v>230345.91999999998</v>
      </c>
    </row>
    <row r="24" spans="1:72" hidden="1">
      <c r="A24" t="s">
        <v>2278</v>
      </c>
      <c r="B24" t="s">
        <v>2944</v>
      </c>
      <c r="C24" t="s">
        <v>674</v>
      </c>
      <c r="D24" t="s">
        <v>2279</v>
      </c>
      <c r="E24" t="s">
        <v>1136</v>
      </c>
      <c r="F24" t="s">
        <v>1566</v>
      </c>
      <c r="G24" t="s">
        <v>1135</v>
      </c>
      <c r="H24" t="s">
        <v>1135</v>
      </c>
      <c r="I24" t="s">
        <v>1135</v>
      </c>
      <c r="J24" t="s">
        <v>1137</v>
      </c>
      <c r="K24" t="s">
        <v>1135</v>
      </c>
      <c r="L24" t="s">
        <v>639</v>
      </c>
      <c r="P24" t="s">
        <v>365</v>
      </c>
      <c r="U24" t="s">
        <v>1141</v>
      </c>
      <c r="W24" s="606"/>
      <c r="X24" s="606"/>
      <c r="Y24" s="606"/>
      <c r="Z24" s="606"/>
      <c r="AA24" s="606"/>
      <c r="AB24" s="606"/>
      <c r="AC24" s="606"/>
      <c r="AD24" s="606"/>
      <c r="AE24" s="606"/>
      <c r="AF24" s="606">
        <v>446.19</v>
      </c>
      <c r="AG24" s="606"/>
      <c r="AH24" s="606"/>
      <c r="AI24" s="606"/>
      <c r="AJ24" s="606"/>
      <c r="AK24" s="606"/>
      <c r="AL24" s="606"/>
      <c r="AM24" s="606">
        <v>446.19</v>
      </c>
      <c r="AN24" s="606">
        <v>446.19</v>
      </c>
      <c r="AO24" s="606"/>
      <c r="AP24" s="606">
        <v>446.19</v>
      </c>
      <c r="AQ24" s="606">
        <v>446.19</v>
      </c>
      <c r="AR24" s="606"/>
      <c r="AS24" s="606">
        <v>446.19</v>
      </c>
      <c r="AT24" s="606"/>
      <c r="AU24" s="606"/>
      <c r="AV24" s="606"/>
      <c r="AW24" s="606"/>
      <c r="AX24" s="606"/>
      <c r="AY24" s="606"/>
      <c r="AZ24" s="606"/>
      <c r="BA24" s="606"/>
      <c r="BB24" s="606"/>
      <c r="BC24" s="606"/>
      <c r="BD24" s="606"/>
      <c r="BE24" s="606"/>
      <c r="BF24" s="606"/>
      <c r="BG24" s="606"/>
      <c r="BH24" s="606"/>
      <c r="BI24" s="606"/>
      <c r="BJ24" s="606"/>
      <c r="BK24" s="606"/>
      <c r="BL24" s="606"/>
      <c r="BM24" s="606"/>
      <c r="BN24" s="606"/>
      <c r="BO24" s="606"/>
      <c r="BP24" s="606"/>
      <c r="BQ24" s="606"/>
      <c r="BR24" s="606"/>
      <c r="BS24" s="606"/>
      <c r="BT24" s="606"/>
    </row>
    <row r="25" spans="1:72" hidden="1">
      <c r="A25" t="s">
        <v>2115</v>
      </c>
      <c r="B25" t="s">
        <v>2944</v>
      </c>
      <c r="C25" t="s">
        <v>580</v>
      </c>
      <c r="D25" t="s">
        <v>2116</v>
      </c>
      <c r="E25" t="s">
        <v>1136</v>
      </c>
      <c r="F25" t="s">
        <v>1566</v>
      </c>
      <c r="G25" t="s">
        <v>1566</v>
      </c>
      <c r="H25" t="s">
        <v>1566</v>
      </c>
      <c r="I25" t="s">
        <v>1567</v>
      </c>
      <c r="J25" t="s">
        <v>1567</v>
      </c>
      <c r="K25" t="s">
        <v>1567</v>
      </c>
      <c r="L25" t="s">
        <v>389</v>
      </c>
      <c r="M25" t="s">
        <v>1703</v>
      </c>
      <c r="P25" t="s">
        <v>365</v>
      </c>
      <c r="R25" t="s">
        <v>1140</v>
      </c>
      <c r="T25" t="s">
        <v>57</v>
      </c>
      <c r="W25" s="606">
        <v>18000</v>
      </c>
      <c r="X25" s="606">
        <v>15727.5</v>
      </c>
      <c r="Y25" s="606"/>
      <c r="Z25" s="606"/>
      <c r="AA25" s="606">
        <v>2227.5</v>
      </c>
      <c r="AB25" s="606">
        <v>0</v>
      </c>
      <c r="AC25" s="606">
        <v>0</v>
      </c>
      <c r="AD25" s="606">
        <v>0</v>
      </c>
      <c r="AE25" s="606">
        <v>1.86</v>
      </c>
      <c r="AF25" s="606">
        <v>388.92</v>
      </c>
      <c r="AG25" s="606">
        <v>1500</v>
      </c>
      <c r="AH25" s="606">
        <v>1500</v>
      </c>
      <c r="AI25" s="606">
        <v>1500</v>
      </c>
      <c r="AJ25" s="606">
        <v>1500</v>
      </c>
      <c r="AK25" s="606">
        <v>1500</v>
      </c>
      <c r="AL25" s="606">
        <v>1500</v>
      </c>
      <c r="AM25" s="606">
        <v>11618.28</v>
      </c>
      <c r="AN25" s="606">
        <v>-4109.2199999999993</v>
      </c>
      <c r="AO25" s="606">
        <v>1500</v>
      </c>
      <c r="AP25" s="606">
        <v>-1111.08</v>
      </c>
      <c r="AQ25" s="606">
        <v>-4109.2199999999993</v>
      </c>
      <c r="AR25" s="606"/>
      <c r="AS25" s="606">
        <v>-4109.2199999999993</v>
      </c>
      <c r="AT25" s="606"/>
      <c r="AU25" s="606">
        <v>2227.5</v>
      </c>
      <c r="AV25" s="606">
        <v>0</v>
      </c>
      <c r="AW25" s="606">
        <v>0</v>
      </c>
      <c r="AX25" s="606">
        <v>1500</v>
      </c>
      <c r="AY25" s="606">
        <v>1500</v>
      </c>
      <c r="AZ25" s="606">
        <v>1500</v>
      </c>
      <c r="BA25" s="606">
        <v>1500</v>
      </c>
      <c r="BB25" s="606">
        <v>1500</v>
      </c>
      <c r="BC25" s="606">
        <v>1500</v>
      </c>
      <c r="BD25" s="606">
        <v>1500</v>
      </c>
      <c r="BE25" s="606">
        <v>1500</v>
      </c>
      <c r="BF25" s="606">
        <v>1500</v>
      </c>
      <c r="BG25" s="606">
        <v>15727.5</v>
      </c>
      <c r="BH25" s="606">
        <v>2227.5</v>
      </c>
      <c r="BI25" s="606">
        <v>0</v>
      </c>
      <c r="BJ25" s="606">
        <v>0</v>
      </c>
      <c r="BK25" s="606">
        <v>1500</v>
      </c>
      <c r="BL25" s="606">
        <v>1500</v>
      </c>
      <c r="BM25" s="606">
        <v>1500</v>
      </c>
      <c r="BN25" s="606">
        <v>1500</v>
      </c>
      <c r="BO25" s="606">
        <v>1500</v>
      </c>
      <c r="BP25" s="606">
        <v>1500</v>
      </c>
      <c r="BQ25" s="606">
        <v>1500</v>
      </c>
      <c r="BR25" s="606">
        <v>1500</v>
      </c>
      <c r="BS25" s="606">
        <v>1500</v>
      </c>
      <c r="BT25" s="606">
        <v>15727.5</v>
      </c>
    </row>
    <row r="26" spans="1:72" hidden="1">
      <c r="A26" t="s">
        <v>2284</v>
      </c>
      <c r="B26" t="s">
        <v>2944</v>
      </c>
      <c r="C26" t="s">
        <v>675</v>
      </c>
      <c r="D26" t="s">
        <v>675</v>
      </c>
      <c r="E26" t="s">
        <v>1136</v>
      </c>
      <c r="F26" t="s">
        <v>1566</v>
      </c>
      <c r="G26" t="s">
        <v>1135</v>
      </c>
      <c r="H26" t="s">
        <v>1135</v>
      </c>
      <c r="I26" t="s">
        <v>1135</v>
      </c>
      <c r="J26" t="s">
        <v>1135</v>
      </c>
      <c r="K26" t="s">
        <v>1137</v>
      </c>
      <c r="L26" t="s">
        <v>639</v>
      </c>
      <c r="M26" t="s">
        <v>2285</v>
      </c>
      <c r="P26" t="s">
        <v>676</v>
      </c>
      <c r="R26" t="s">
        <v>1140</v>
      </c>
      <c r="T26" t="s">
        <v>677</v>
      </c>
      <c r="W26" s="606">
        <v>6000</v>
      </c>
      <c r="X26" s="606">
        <v>10540</v>
      </c>
      <c r="Y26" s="606"/>
      <c r="Z26" s="606"/>
      <c r="AA26" s="606"/>
      <c r="AB26" s="606">
        <v>4313</v>
      </c>
      <c r="AC26" s="606">
        <v>227</v>
      </c>
      <c r="AD26" s="606">
        <v>0</v>
      </c>
      <c r="AE26" s="606">
        <v>1362</v>
      </c>
      <c r="AF26" s="606">
        <v>0</v>
      </c>
      <c r="AG26" s="606">
        <v>0</v>
      </c>
      <c r="AH26" s="606">
        <v>6000</v>
      </c>
      <c r="AI26" s="606">
        <v>0</v>
      </c>
      <c r="AJ26" s="606">
        <v>0</v>
      </c>
      <c r="AK26" s="606">
        <v>0</v>
      </c>
      <c r="AL26" s="606">
        <v>0</v>
      </c>
      <c r="AM26" s="606">
        <v>11902</v>
      </c>
      <c r="AN26" s="606">
        <v>1362</v>
      </c>
      <c r="AO26" s="606">
        <v>0</v>
      </c>
      <c r="AP26" s="606">
        <v>0</v>
      </c>
      <c r="AQ26" s="606">
        <v>1362</v>
      </c>
      <c r="AR26" s="606"/>
      <c r="AS26" s="606">
        <v>1362</v>
      </c>
      <c r="AT26" s="606"/>
      <c r="AU26" s="606"/>
      <c r="AV26" s="606">
        <v>4313</v>
      </c>
      <c r="AW26" s="606">
        <v>227</v>
      </c>
      <c r="AX26" s="606">
        <v>0</v>
      </c>
      <c r="AY26" s="606">
        <v>0</v>
      </c>
      <c r="AZ26" s="606">
        <v>0</v>
      </c>
      <c r="BA26" s="606">
        <v>0</v>
      </c>
      <c r="BB26" s="606">
        <v>6000</v>
      </c>
      <c r="BC26" s="606">
        <v>0</v>
      </c>
      <c r="BD26" s="606">
        <v>0</v>
      </c>
      <c r="BE26" s="606">
        <v>0</v>
      </c>
      <c r="BF26" s="606">
        <v>0</v>
      </c>
      <c r="BG26" s="606">
        <v>10540</v>
      </c>
      <c r="BH26" s="606"/>
      <c r="BI26" s="606">
        <v>4313</v>
      </c>
      <c r="BJ26" s="606">
        <v>227</v>
      </c>
      <c r="BK26" s="606">
        <v>0</v>
      </c>
      <c r="BL26" s="606">
        <v>0</v>
      </c>
      <c r="BM26" s="606">
        <v>0</v>
      </c>
      <c r="BN26" s="606">
        <v>0</v>
      </c>
      <c r="BO26" s="606">
        <v>6000</v>
      </c>
      <c r="BP26" s="606">
        <v>0</v>
      </c>
      <c r="BQ26" s="606">
        <v>0</v>
      </c>
      <c r="BR26" s="606">
        <v>0</v>
      </c>
      <c r="BS26" s="606">
        <v>0</v>
      </c>
      <c r="BT26" s="606">
        <v>10540</v>
      </c>
    </row>
    <row r="27" spans="1:72" hidden="1">
      <c r="A27" t="s">
        <v>2786</v>
      </c>
      <c r="B27" t="s">
        <v>2944</v>
      </c>
      <c r="C27" t="s">
        <v>1003</v>
      </c>
      <c r="D27" t="s">
        <v>2787</v>
      </c>
      <c r="E27" t="s">
        <v>1136</v>
      </c>
      <c r="F27" t="s">
        <v>1566</v>
      </c>
      <c r="G27" t="s">
        <v>1566</v>
      </c>
      <c r="H27" t="s">
        <v>1566</v>
      </c>
      <c r="I27" t="s">
        <v>1567</v>
      </c>
      <c r="J27" t="s">
        <v>1567</v>
      </c>
      <c r="K27" t="s">
        <v>1567</v>
      </c>
      <c r="L27" t="s">
        <v>639</v>
      </c>
      <c r="M27" t="s">
        <v>2285</v>
      </c>
      <c r="P27" t="s">
        <v>676</v>
      </c>
      <c r="R27" t="s">
        <v>1140</v>
      </c>
      <c r="T27" t="s">
        <v>677</v>
      </c>
      <c r="W27" s="606">
        <v>0</v>
      </c>
      <c r="X27" s="606">
        <v>934.17</v>
      </c>
      <c r="Y27" s="606"/>
      <c r="Z27" s="606"/>
      <c r="AA27" s="606">
        <v>253.17</v>
      </c>
      <c r="AB27" s="606">
        <v>681</v>
      </c>
      <c r="AC27" s="606">
        <v>0</v>
      </c>
      <c r="AD27" s="606">
        <v>0</v>
      </c>
      <c r="AE27" s="606">
        <v>681</v>
      </c>
      <c r="AF27" s="606">
        <v>0</v>
      </c>
      <c r="AG27" s="606">
        <v>0</v>
      </c>
      <c r="AH27" s="606">
        <v>0</v>
      </c>
      <c r="AI27" s="606">
        <v>0</v>
      </c>
      <c r="AJ27" s="606">
        <v>0</v>
      </c>
      <c r="AK27" s="606">
        <v>0</v>
      </c>
      <c r="AL27" s="606">
        <v>0</v>
      </c>
      <c r="AM27" s="606">
        <v>1615.17</v>
      </c>
      <c r="AN27" s="606">
        <v>681.00000000000011</v>
      </c>
      <c r="AO27" s="606">
        <v>0</v>
      </c>
      <c r="AP27" s="606">
        <v>0</v>
      </c>
      <c r="AQ27" s="606">
        <v>681.00000000000011</v>
      </c>
      <c r="AR27" s="606"/>
      <c r="AS27" s="606">
        <v>681.00000000000011</v>
      </c>
      <c r="AT27" s="606"/>
      <c r="AU27" s="606">
        <v>253.17</v>
      </c>
      <c r="AV27" s="606">
        <v>681</v>
      </c>
      <c r="AW27" s="606">
        <v>0</v>
      </c>
      <c r="AX27" s="606">
        <v>0</v>
      </c>
      <c r="AY27" s="606">
        <v>0</v>
      </c>
      <c r="AZ27" s="606">
        <v>0</v>
      </c>
      <c r="BA27" s="606">
        <v>0</v>
      </c>
      <c r="BB27" s="606">
        <v>0</v>
      </c>
      <c r="BC27" s="606">
        <v>0</v>
      </c>
      <c r="BD27" s="606">
        <v>0</v>
      </c>
      <c r="BE27" s="606">
        <v>0</v>
      </c>
      <c r="BF27" s="606">
        <v>0</v>
      </c>
      <c r="BG27" s="606">
        <v>934.17</v>
      </c>
      <c r="BH27" s="606">
        <v>253.17</v>
      </c>
      <c r="BI27" s="606">
        <v>681</v>
      </c>
      <c r="BJ27" s="606">
        <v>0</v>
      </c>
      <c r="BK27" s="606">
        <v>0</v>
      </c>
      <c r="BL27" s="606">
        <v>0</v>
      </c>
      <c r="BM27" s="606">
        <v>0</v>
      </c>
      <c r="BN27" s="606">
        <v>0</v>
      </c>
      <c r="BO27" s="606">
        <v>0</v>
      </c>
      <c r="BP27" s="606">
        <v>0</v>
      </c>
      <c r="BQ27" s="606">
        <v>0</v>
      </c>
      <c r="BR27" s="606">
        <v>0</v>
      </c>
      <c r="BS27" s="606">
        <v>0</v>
      </c>
      <c r="BT27" s="606">
        <v>934.17</v>
      </c>
    </row>
    <row r="28" spans="1:72" hidden="1">
      <c r="A28" t="s">
        <v>1901</v>
      </c>
      <c r="B28" t="s">
        <v>2944</v>
      </c>
      <c r="C28" t="s">
        <v>465</v>
      </c>
      <c r="D28" t="s">
        <v>465</v>
      </c>
      <c r="E28" t="s">
        <v>1136</v>
      </c>
      <c r="F28" t="s">
        <v>1566</v>
      </c>
      <c r="G28" t="s">
        <v>1135</v>
      </c>
      <c r="H28" t="s">
        <v>1135</v>
      </c>
      <c r="I28" t="s">
        <v>1135</v>
      </c>
      <c r="J28" t="s">
        <v>1135</v>
      </c>
      <c r="K28" t="s">
        <v>1137</v>
      </c>
      <c r="L28" t="s">
        <v>389</v>
      </c>
      <c r="M28" t="s">
        <v>1855</v>
      </c>
      <c r="P28" t="s">
        <v>466</v>
      </c>
      <c r="R28" t="s">
        <v>1140</v>
      </c>
      <c r="T28" t="s">
        <v>57</v>
      </c>
      <c r="W28" s="606">
        <v>120000</v>
      </c>
      <c r="X28" s="606">
        <v>141134</v>
      </c>
      <c r="Y28" s="606"/>
      <c r="Z28" s="606"/>
      <c r="AA28" s="606">
        <v>17770</v>
      </c>
      <c r="AB28" s="606">
        <v>18328</v>
      </c>
      <c r="AC28" s="606">
        <v>15036</v>
      </c>
      <c r="AD28" s="606">
        <v>16438</v>
      </c>
      <c r="AE28" s="606">
        <v>18792</v>
      </c>
      <c r="AF28" s="606">
        <v>20125</v>
      </c>
      <c r="AG28" s="606">
        <v>10000</v>
      </c>
      <c r="AH28" s="606">
        <v>10000</v>
      </c>
      <c r="AI28" s="606">
        <v>10000</v>
      </c>
      <c r="AJ28" s="606">
        <v>10000</v>
      </c>
      <c r="AK28" s="606">
        <v>10000</v>
      </c>
      <c r="AL28" s="606">
        <v>10000</v>
      </c>
      <c r="AM28" s="606">
        <v>166489</v>
      </c>
      <c r="AN28" s="606">
        <v>25355</v>
      </c>
      <c r="AO28" s="606">
        <v>10000</v>
      </c>
      <c r="AP28" s="606">
        <v>10125</v>
      </c>
      <c r="AQ28" s="606">
        <v>25355</v>
      </c>
      <c r="AR28" s="606"/>
      <c r="AS28" s="606">
        <v>25355</v>
      </c>
      <c r="AT28" s="606"/>
      <c r="AU28" s="606">
        <v>17770</v>
      </c>
      <c r="AV28" s="606">
        <v>18328</v>
      </c>
      <c r="AW28" s="606">
        <v>15036</v>
      </c>
      <c r="AX28" s="606">
        <v>10000</v>
      </c>
      <c r="AY28" s="606">
        <v>10000</v>
      </c>
      <c r="AZ28" s="606">
        <v>10000</v>
      </c>
      <c r="BA28" s="606">
        <v>10000</v>
      </c>
      <c r="BB28" s="606">
        <v>10000</v>
      </c>
      <c r="BC28" s="606">
        <v>10000</v>
      </c>
      <c r="BD28" s="606">
        <v>10000</v>
      </c>
      <c r="BE28" s="606">
        <v>10000</v>
      </c>
      <c r="BF28" s="606">
        <v>10000</v>
      </c>
      <c r="BG28" s="606">
        <v>141134</v>
      </c>
      <c r="BH28" s="606">
        <v>17770</v>
      </c>
      <c r="BI28" s="606">
        <v>18328</v>
      </c>
      <c r="BJ28" s="606">
        <v>15036</v>
      </c>
      <c r="BK28" s="606">
        <v>10000</v>
      </c>
      <c r="BL28" s="606">
        <v>10000</v>
      </c>
      <c r="BM28" s="606">
        <v>10000</v>
      </c>
      <c r="BN28" s="606">
        <v>10000</v>
      </c>
      <c r="BO28" s="606">
        <v>10000</v>
      </c>
      <c r="BP28" s="606">
        <v>10000</v>
      </c>
      <c r="BQ28" s="606">
        <v>10000</v>
      </c>
      <c r="BR28" s="606">
        <v>10000</v>
      </c>
      <c r="BS28" s="606">
        <v>10000</v>
      </c>
      <c r="BT28" s="606">
        <v>141134</v>
      </c>
    </row>
    <row r="29" spans="1:72" hidden="1">
      <c r="A29" t="s">
        <v>2024</v>
      </c>
      <c r="B29" t="s">
        <v>2944</v>
      </c>
      <c r="C29" t="s">
        <v>533</v>
      </c>
      <c r="D29" t="s">
        <v>533</v>
      </c>
      <c r="E29" t="s">
        <v>1136</v>
      </c>
      <c r="F29" t="s">
        <v>1566</v>
      </c>
      <c r="G29" t="s">
        <v>1345</v>
      </c>
      <c r="H29" t="s">
        <v>1345</v>
      </c>
      <c r="I29" t="s">
        <v>1345</v>
      </c>
      <c r="J29" t="s">
        <v>1345</v>
      </c>
      <c r="K29" t="s">
        <v>1346</v>
      </c>
      <c r="L29" t="s">
        <v>389</v>
      </c>
      <c r="M29" t="s">
        <v>1855</v>
      </c>
      <c r="P29" t="s">
        <v>466</v>
      </c>
      <c r="R29" t="s">
        <v>1140</v>
      </c>
      <c r="T29" t="s">
        <v>57</v>
      </c>
      <c r="W29" s="606">
        <v>19176</v>
      </c>
      <c r="X29" s="606">
        <v>21479</v>
      </c>
      <c r="Y29" s="606"/>
      <c r="Z29" s="606"/>
      <c r="AA29" s="606">
        <v>1566</v>
      </c>
      <c r="AB29" s="606">
        <v>1439</v>
      </c>
      <c r="AC29" s="606">
        <v>4092</v>
      </c>
      <c r="AD29" s="606">
        <v>1259</v>
      </c>
      <c r="AE29" s="606">
        <v>1259</v>
      </c>
      <c r="AF29" s="606">
        <v>1192</v>
      </c>
      <c r="AG29" s="606">
        <v>1598</v>
      </c>
      <c r="AH29" s="606">
        <v>1598</v>
      </c>
      <c r="AI29" s="606">
        <v>1598</v>
      </c>
      <c r="AJ29" s="606">
        <v>1598</v>
      </c>
      <c r="AK29" s="606">
        <v>1598</v>
      </c>
      <c r="AL29" s="606">
        <v>1598</v>
      </c>
      <c r="AM29" s="606">
        <v>20395</v>
      </c>
      <c r="AN29" s="606">
        <v>-1084</v>
      </c>
      <c r="AO29" s="606">
        <v>1598</v>
      </c>
      <c r="AP29" s="606">
        <v>-406</v>
      </c>
      <c r="AQ29" s="606">
        <v>-1084</v>
      </c>
      <c r="AR29" s="606"/>
      <c r="AS29" s="606">
        <v>-1084</v>
      </c>
      <c r="AT29" s="606"/>
      <c r="AU29" s="606">
        <v>1566</v>
      </c>
      <c r="AV29" s="606">
        <v>1439</v>
      </c>
      <c r="AW29" s="606">
        <v>4092</v>
      </c>
      <c r="AX29" s="606">
        <v>1598</v>
      </c>
      <c r="AY29" s="606">
        <v>1598</v>
      </c>
      <c r="AZ29" s="606">
        <v>1598</v>
      </c>
      <c r="BA29" s="606">
        <v>1598</v>
      </c>
      <c r="BB29" s="606">
        <v>1598</v>
      </c>
      <c r="BC29" s="606">
        <v>1598</v>
      </c>
      <c r="BD29" s="606">
        <v>1598</v>
      </c>
      <c r="BE29" s="606">
        <v>1598</v>
      </c>
      <c r="BF29" s="606">
        <v>1598</v>
      </c>
      <c r="BG29" s="606">
        <v>21479</v>
      </c>
      <c r="BH29" s="606">
        <v>1566</v>
      </c>
      <c r="BI29" s="606">
        <v>1439</v>
      </c>
      <c r="BJ29" s="606">
        <v>4092</v>
      </c>
      <c r="BK29" s="606">
        <v>1598</v>
      </c>
      <c r="BL29" s="606">
        <v>1598</v>
      </c>
      <c r="BM29" s="606">
        <v>1598</v>
      </c>
      <c r="BN29" s="606">
        <v>1598</v>
      </c>
      <c r="BO29" s="606">
        <v>1598</v>
      </c>
      <c r="BP29" s="606">
        <v>1598</v>
      </c>
      <c r="BQ29" s="606">
        <v>1598</v>
      </c>
      <c r="BR29" s="606">
        <v>1598</v>
      </c>
      <c r="BS29" s="606">
        <v>1598</v>
      </c>
      <c r="BT29" s="606">
        <v>21479</v>
      </c>
    </row>
    <row r="30" spans="1:72" hidden="1">
      <c r="A30" t="s">
        <v>2059</v>
      </c>
      <c r="B30" t="s">
        <v>2944</v>
      </c>
      <c r="C30" t="s">
        <v>553</v>
      </c>
      <c r="D30" t="s">
        <v>553</v>
      </c>
      <c r="E30" t="s">
        <v>1136</v>
      </c>
      <c r="F30" t="s">
        <v>1566</v>
      </c>
      <c r="G30" t="s">
        <v>1480</v>
      </c>
      <c r="H30" t="s">
        <v>1480</v>
      </c>
      <c r="I30" t="s">
        <v>1345</v>
      </c>
      <c r="J30" t="s">
        <v>1480</v>
      </c>
      <c r="K30" t="s">
        <v>1346</v>
      </c>
      <c r="L30" t="s">
        <v>389</v>
      </c>
      <c r="M30" t="s">
        <v>1855</v>
      </c>
      <c r="P30" t="s">
        <v>466</v>
      </c>
      <c r="R30" t="s">
        <v>1140</v>
      </c>
      <c r="T30" t="s">
        <v>57</v>
      </c>
      <c r="W30" s="606">
        <v>27000</v>
      </c>
      <c r="X30" s="606">
        <v>26481</v>
      </c>
      <c r="Y30" s="606"/>
      <c r="Z30" s="606"/>
      <c r="AA30" s="606">
        <v>1883</v>
      </c>
      <c r="AB30" s="606">
        <v>1481</v>
      </c>
      <c r="AC30" s="606">
        <v>2867</v>
      </c>
      <c r="AD30" s="606">
        <v>1442</v>
      </c>
      <c r="AE30" s="606">
        <v>1442</v>
      </c>
      <c r="AF30" s="606">
        <v>1375</v>
      </c>
      <c r="AG30" s="606">
        <v>2250</v>
      </c>
      <c r="AH30" s="606">
        <v>2250</v>
      </c>
      <c r="AI30" s="606">
        <v>2250</v>
      </c>
      <c r="AJ30" s="606">
        <v>2250</v>
      </c>
      <c r="AK30" s="606">
        <v>2250</v>
      </c>
      <c r="AL30" s="606">
        <v>2250</v>
      </c>
      <c r="AM30" s="606">
        <v>23990</v>
      </c>
      <c r="AN30" s="606">
        <v>-2491</v>
      </c>
      <c r="AO30" s="606">
        <v>2250</v>
      </c>
      <c r="AP30" s="606">
        <v>-875</v>
      </c>
      <c r="AQ30" s="606">
        <v>-2491</v>
      </c>
      <c r="AR30" s="606"/>
      <c r="AS30" s="606">
        <v>-2491</v>
      </c>
      <c r="AT30" s="606"/>
      <c r="AU30" s="606">
        <v>1883</v>
      </c>
      <c r="AV30" s="606">
        <v>1481</v>
      </c>
      <c r="AW30" s="606">
        <v>2867</v>
      </c>
      <c r="AX30" s="606">
        <v>2250</v>
      </c>
      <c r="AY30" s="606">
        <v>2250</v>
      </c>
      <c r="AZ30" s="606">
        <v>2250</v>
      </c>
      <c r="BA30" s="606">
        <v>2250</v>
      </c>
      <c r="BB30" s="606">
        <v>2250</v>
      </c>
      <c r="BC30" s="606">
        <v>2250</v>
      </c>
      <c r="BD30" s="606">
        <v>2250</v>
      </c>
      <c r="BE30" s="606">
        <v>2250</v>
      </c>
      <c r="BF30" s="606">
        <v>2250</v>
      </c>
      <c r="BG30" s="606">
        <v>26481</v>
      </c>
      <c r="BH30" s="606">
        <v>1883</v>
      </c>
      <c r="BI30" s="606">
        <v>1481</v>
      </c>
      <c r="BJ30" s="606">
        <v>2867</v>
      </c>
      <c r="BK30" s="606">
        <v>2250</v>
      </c>
      <c r="BL30" s="606">
        <v>2250</v>
      </c>
      <c r="BM30" s="606">
        <v>2250</v>
      </c>
      <c r="BN30" s="606">
        <v>2250</v>
      </c>
      <c r="BO30" s="606">
        <v>2250</v>
      </c>
      <c r="BP30" s="606">
        <v>2250</v>
      </c>
      <c r="BQ30" s="606">
        <v>2250</v>
      </c>
      <c r="BR30" s="606">
        <v>2250</v>
      </c>
      <c r="BS30" s="606">
        <v>2250</v>
      </c>
      <c r="BT30" s="606">
        <v>26481</v>
      </c>
    </row>
    <row r="31" spans="1:72" hidden="1">
      <c r="A31" t="s">
        <v>2120</v>
      </c>
      <c r="B31" t="s">
        <v>2944</v>
      </c>
      <c r="C31" t="s">
        <v>581</v>
      </c>
      <c r="D31" t="s">
        <v>2121</v>
      </c>
      <c r="E31" t="s">
        <v>1136</v>
      </c>
      <c r="F31" t="s">
        <v>1566</v>
      </c>
      <c r="G31" t="s">
        <v>1566</v>
      </c>
      <c r="H31" t="s">
        <v>1566</v>
      </c>
      <c r="I31" t="s">
        <v>1567</v>
      </c>
      <c r="J31" t="s">
        <v>1567</v>
      </c>
      <c r="K31" t="s">
        <v>1567</v>
      </c>
      <c r="L31" t="s">
        <v>389</v>
      </c>
      <c r="M31" t="s">
        <v>1855</v>
      </c>
      <c r="P31" t="s">
        <v>466</v>
      </c>
      <c r="R31" t="s">
        <v>1140</v>
      </c>
      <c r="T31" t="s">
        <v>57</v>
      </c>
      <c r="W31" s="606">
        <v>0</v>
      </c>
      <c r="X31" s="606">
        <v>882</v>
      </c>
      <c r="Y31" s="606"/>
      <c r="Z31" s="606"/>
      <c r="AA31" s="606">
        <v>194</v>
      </c>
      <c r="AB31" s="606">
        <v>194</v>
      </c>
      <c r="AC31" s="606">
        <v>494</v>
      </c>
      <c r="AD31" s="606">
        <v>688</v>
      </c>
      <c r="AE31" s="606">
        <v>501</v>
      </c>
      <c r="AF31" s="606">
        <v>441</v>
      </c>
      <c r="AG31" s="606">
        <v>0</v>
      </c>
      <c r="AH31" s="606">
        <v>0</v>
      </c>
      <c r="AI31" s="606">
        <v>0</v>
      </c>
      <c r="AJ31" s="606">
        <v>0</v>
      </c>
      <c r="AK31" s="606">
        <v>0</v>
      </c>
      <c r="AL31" s="606">
        <v>0</v>
      </c>
      <c r="AM31" s="606">
        <v>2512</v>
      </c>
      <c r="AN31" s="606">
        <v>1630</v>
      </c>
      <c r="AO31" s="606">
        <v>0</v>
      </c>
      <c r="AP31" s="606">
        <v>441</v>
      </c>
      <c r="AQ31" s="606">
        <v>1630</v>
      </c>
      <c r="AR31" s="606"/>
      <c r="AS31" s="606">
        <v>1630</v>
      </c>
      <c r="AT31" s="606"/>
      <c r="AU31" s="606">
        <v>194</v>
      </c>
      <c r="AV31" s="606">
        <v>194</v>
      </c>
      <c r="AW31" s="606">
        <v>494</v>
      </c>
      <c r="AX31" s="606">
        <v>0</v>
      </c>
      <c r="AY31" s="606">
        <v>0</v>
      </c>
      <c r="AZ31" s="606">
        <v>0</v>
      </c>
      <c r="BA31" s="606">
        <v>0</v>
      </c>
      <c r="BB31" s="606">
        <v>0</v>
      </c>
      <c r="BC31" s="606">
        <v>0</v>
      </c>
      <c r="BD31" s="606">
        <v>0</v>
      </c>
      <c r="BE31" s="606">
        <v>0</v>
      </c>
      <c r="BF31" s="606">
        <v>0</v>
      </c>
      <c r="BG31" s="606">
        <v>882</v>
      </c>
      <c r="BH31" s="606">
        <v>194</v>
      </c>
      <c r="BI31" s="606">
        <v>194</v>
      </c>
      <c r="BJ31" s="606">
        <v>494</v>
      </c>
      <c r="BK31" s="606">
        <v>0</v>
      </c>
      <c r="BL31" s="606">
        <v>0</v>
      </c>
      <c r="BM31" s="606">
        <v>0</v>
      </c>
      <c r="BN31" s="606">
        <v>0</v>
      </c>
      <c r="BO31" s="606">
        <v>0</v>
      </c>
      <c r="BP31" s="606">
        <v>0</v>
      </c>
      <c r="BQ31" s="606">
        <v>0</v>
      </c>
      <c r="BR31" s="606">
        <v>0</v>
      </c>
      <c r="BS31" s="606">
        <v>0</v>
      </c>
      <c r="BT31" s="606">
        <v>882</v>
      </c>
    </row>
    <row r="32" spans="1:72" hidden="1">
      <c r="A32" t="s">
        <v>2290</v>
      </c>
      <c r="B32" t="s">
        <v>2944</v>
      </c>
      <c r="C32" t="s">
        <v>678</v>
      </c>
      <c r="D32" t="s">
        <v>678</v>
      </c>
      <c r="E32" t="s">
        <v>1136</v>
      </c>
      <c r="F32" t="s">
        <v>1566</v>
      </c>
      <c r="G32" t="s">
        <v>1135</v>
      </c>
      <c r="H32" t="s">
        <v>1135</v>
      </c>
      <c r="I32" t="s">
        <v>1135</v>
      </c>
      <c r="J32" t="s">
        <v>1135</v>
      </c>
      <c r="K32" t="s">
        <v>1137</v>
      </c>
      <c r="L32" t="s">
        <v>639</v>
      </c>
      <c r="M32" t="s">
        <v>2291</v>
      </c>
      <c r="P32" t="s">
        <v>679</v>
      </c>
      <c r="Q32" t="s">
        <v>1153</v>
      </c>
      <c r="R32" t="s">
        <v>1140</v>
      </c>
      <c r="T32" t="s">
        <v>680</v>
      </c>
      <c r="W32" s="606">
        <v>180000</v>
      </c>
      <c r="X32" s="606">
        <v>164308</v>
      </c>
      <c r="Y32" s="606"/>
      <c r="Z32" s="606"/>
      <c r="AA32" s="606">
        <v>8189</v>
      </c>
      <c r="AB32" s="606">
        <v>13361</v>
      </c>
      <c r="AC32" s="606">
        <v>7758</v>
      </c>
      <c r="AD32" s="606">
        <v>16378</v>
      </c>
      <c r="AE32" s="606">
        <v>11637</v>
      </c>
      <c r="AF32" s="606">
        <v>10775</v>
      </c>
      <c r="AG32" s="606">
        <v>15500</v>
      </c>
      <c r="AH32" s="606">
        <v>15500</v>
      </c>
      <c r="AI32" s="606">
        <v>15500</v>
      </c>
      <c r="AJ32" s="606">
        <v>15485</v>
      </c>
      <c r="AK32" s="606">
        <v>15000</v>
      </c>
      <c r="AL32" s="606">
        <v>15000</v>
      </c>
      <c r="AM32" s="606">
        <v>160083</v>
      </c>
      <c r="AN32" s="606">
        <v>-4225</v>
      </c>
      <c r="AO32" s="606">
        <v>15000</v>
      </c>
      <c r="AP32" s="606">
        <v>-4225</v>
      </c>
      <c r="AQ32" s="606">
        <v>-6210</v>
      </c>
      <c r="AR32" s="606"/>
      <c r="AS32" s="606">
        <v>-4225</v>
      </c>
      <c r="AT32" s="606"/>
      <c r="AU32" s="606">
        <v>8189</v>
      </c>
      <c r="AV32" s="606">
        <v>13361</v>
      </c>
      <c r="AW32" s="606">
        <v>7758</v>
      </c>
      <c r="AX32" s="606">
        <v>15000</v>
      </c>
      <c r="AY32" s="606">
        <v>15000</v>
      </c>
      <c r="AZ32" s="606">
        <v>15000</v>
      </c>
      <c r="BA32" s="606">
        <v>15000</v>
      </c>
      <c r="BB32" s="606">
        <v>15000</v>
      </c>
      <c r="BC32" s="606">
        <v>15000</v>
      </c>
      <c r="BD32" s="606">
        <v>15000</v>
      </c>
      <c r="BE32" s="606">
        <v>15000</v>
      </c>
      <c r="BF32" s="606">
        <v>15000</v>
      </c>
      <c r="BG32" s="606">
        <v>164308</v>
      </c>
      <c r="BH32" s="606">
        <v>8189</v>
      </c>
      <c r="BI32" s="606">
        <v>13361</v>
      </c>
      <c r="BJ32" s="606">
        <v>7758</v>
      </c>
      <c r="BK32" s="606">
        <v>15000</v>
      </c>
      <c r="BL32" s="606">
        <v>15000</v>
      </c>
      <c r="BM32" s="606">
        <v>15000</v>
      </c>
      <c r="BN32" s="606">
        <v>15000</v>
      </c>
      <c r="BO32" s="606">
        <v>15000</v>
      </c>
      <c r="BP32" s="606">
        <v>15000</v>
      </c>
      <c r="BQ32" s="606">
        <v>15000</v>
      </c>
      <c r="BR32" s="606">
        <v>15000</v>
      </c>
      <c r="BS32" s="606">
        <v>15000</v>
      </c>
      <c r="BT32" s="606">
        <v>164308</v>
      </c>
    </row>
    <row r="33" spans="1:72" hidden="1">
      <c r="A33" t="s">
        <v>2788</v>
      </c>
      <c r="B33" t="s">
        <v>2944</v>
      </c>
      <c r="C33" t="s">
        <v>1004</v>
      </c>
      <c r="D33" t="s">
        <v>2789</v>
      </c>
      <c r="E33" t="s">
        <v>1136</v>
      </c>
      <c r="F33" t="s">
        <v>1566</v>
      </c>
      <c r="G33" t="s">
        <v>1566</v>
      </c>
      <c r="H33" t="s">
        <v>1566</v>
      </c>
      <c r="I33" t="s">
        <v>1345</v>
      </c>
      <c r="J33" t="s">
        <v>1346</v>
      </c>
      <c r="K33" t="s">
        <v>1346</v>
      </c>
      <c r="L33" t="s">
        <v>639</v>
      </c>
      <c r="M33" t="s">
        <v>2291</v>
      </c>
      <c r="P33" t="s">
        <v>679</v>
      </c>
      <c r="R33" t="s">
        <v>1140</v>
      </c>
      <c r="T33" t="s">
        <v>680</v>
      </c>
      <c r="W33" s="606">
        <v>36000</v>
      </c>
      <c r="X33" s="606">
        <v>46414.39</v>
      </c>
      <c r="Y33" s="606"/>
      <c r="Z33" s="606"/>
      <c r="AA33" s="606">
        <v>6465</v>
      </c>
      <c r="AB33" s="606">
        <v>5197.6400000000003</v>
      </c>
      <c r="AC33" s="606">
        <v>7751.75</v>
      </c>
      <c r="AD33" s="606">
        <v>17671</v>
      </c>
      <c r="AE33" s="606">
        <v>9482</v>
      </c>
      <c r="AF33" s="606">
        <v>14223</v>
      </c>
      <c r="AG33" s="606">
        <v>3000</v>
      </c>
      <c r="AH33" s="606">
        <v>3000</v>
      </c>
      <c r="AI33" s="606">
        <v>3000</v>
      </c>
      <c r="AJ33" s="606">
        <v>3000</v>
      </c>
      <c r="AK33" s="606">
        <v>3000</v>
      </c>
      <c r="AL33" s="606">
        <v>3000</v>
      </c>
      <c r="AM33" s="606">
        <v>78790.39</v>
      </c>
      <c r="AN33" s="606">
        <v>32376</v>
      </c>
      <c r="AO33" s="606">
        <v>3000</v>
      </c>
      <c r="AP33" s="606">
        <v>11223</v>
      </c>
      <c r="AQ33" s="606">
        <v>32376</v>
      </c>
      <c r="AR33" s="606"/>
      <c r="AS33" s="606">
        <v>32376</v>
      </c>
      <c r="AT33" s="606"/>
      <c r="AU33" s="606">
        <v>6465</v>
      </c>
      <c r="AV33" s="606">
        <v>5197.6400000000003</v>
      </c>
      <c r="AW33" s="606">
        <v>7751.75</v>
      </c>
      <c r="AX33" s="606">
        <v>3000</v>
      </c>
      <c r="AY33" s="606">
        <v>3000</v>
      </c>
      <c r="AZ33" s="606">
        <v>3000</v>
      </c>
      <c r="BA33" s="606">
        <v>3000</v>
      </c>
      <c r="BB33" s="606">
        <v>3000</v>
      </c>
      <c r="BC33" s="606">
        <v>3000</v>
      </c>
      <c r="BD33" s="606">
        <v>3000</v>
      </c>
      <c r="BE33" s="606">
        <v>3000</v>
      </c>
      <c r="BF33" s="606">
        <v>3000</v>
      </c>
      <c r="BG33" s="606">
        <v>46414.39</v>
      </c>
      <c r="BH33" s="606">
        <v>6465</v>
      </c>
      <c r="BI33" s="606">
        <v>5197.6400000000003</v>
      </c>
      <c r="BJ33" s="606">
        <v>7751.75</v>
      </c>
      <c r="BK33" s="606">
        <v>3000</v>
      </c>
      <c r="BL33" s="606">
        <v>3000</v>
      </c>
      <c r="BM33" s="606">
        <v>3000</v>
      </c>
      <c r="BN33" s="606">
        <v>3000</v>
      </c>
      <c r="BO33" s="606">
        <v>3000</v>
      </c>
      <c r="BP33" s="606">
        <v>3000</v>
      </c>
      <c r="BQ33" s="606">
        <v>3000</v>
      </c>
      <c r="BR33" s="606">
        <v>3000</v>
      </c>
      <c r="BS33" s="606">
        <v>3000</v>
      </c>
      <c r="BT33" s="606">
        <v>46414.39</v>
      </c>
    </row>
    <row r="34" spans="1:72" hidden="1">
      <c r="A34" t="s">
        <v>2470</v>
      </c>
      <c r="B34" t="s">
        <v>2944</v>
      </c>
      <c r="C34" t="s">
        <v>816</v>
      </c>
      <c r="D34" t="s">
        <v>816</v>
      </c>
      <c r="E34" t="s">
        <v>1136</v>
      </c>
      <c r="F34" t="s">
        <v>1566</v>
      </c>
      <c r="G34" t="s">
        <v>1135</v>
      </c>
      <c r="H34" t="s">
        <v>1135</v>
      </c>
      <c r="I34" t="s">
        <v>1135</v>
      </c>
      <c r="J34" t="s">
        <v>1135</v>
      </c>
      <c r="K34" t="s">
        <v>1137</v>
      </c>
      <c r="L34" t="s">
        <v>639</v>
      </c>
      <c r="M34" t="s">
        <v>818</v>
      </c>
      <c r="P34" t="s">
        <v>817</v>
      </c>
      <c r="R34" t="s">
        <v>1140</v>
      </c>
      <c r="T34" t="s">
        <v>818</v>
      </c>
      <c r="W34" s="606">
        <v>124504</v>
      </c>
      <c r="X34" s="606">
        <v>146423.48000000001</v>
      </c>
      <c r="Y34" s="606"/>
      <c r="Z34" s="606"/>
      <c r="AA34" s="606"/>
      <c r="AB34" s="606"/>
      <c r="AC34" s="606">
        <v>61919.48</v>
      </c>
      <c r="AD34" s="606">
        <v>0</v>
      </c>
      <c r="AE34" s="606">
        <v>0</v>
      </c>
      <c r="AF34" s="606">
        <v>45968.679999999993</v>
      </c>
      <c r="AG34" s="606">
        <v>0</v>
      </c>
      <c r="AH34" s="606">
        <v>0</v>
      </c>
      <c r="AI34" s="606">
        <v>40000</v>
      </c>
      <c r="AJ34" s="606">
        <v>0</v>
      </c>
      <c r="AK34" s="606">
        <v>4504</v>
      </c>
      <c r="AL34" s="606">
        <v>0</v>
      </c>
      <c r="AM34" s="606">
        <v>152392.16</v>
      </c>
      <c r="AN34" s="606">
        <v>5968.679999999993</v>
      </c>
      <c r="AO34" s="606">
        <v>0</v>
      </c>
      <c r="AP34" s="606">
        <v>45968.679999999993</v>
      </c>
      <c r="AQ34" s="606">
        <v>5968.679999999993</v>
      </c>
      <c r="AR34" s="606"/>
      <c r="AS34" s="606">
        <v>5968.679999999993</v>
      </c>
      <c r="AT34" s="606"/>
      <c r="AU34" s="606"/>
      <c r="AV34" s="606"/>
      <c r="AW34" s="606">
        <v>61919.48</v>
      </c>
      <c r="AX34" s="606">
        <v>0</v>
      </c>
      <c r="AY34" s="606">
        <v>0</v>
      </c>
      <c r="AZ34" s="606">
        <v>40000</v>
      </c>
      <c r="BA34" s="606">
        <v>0</v>
      </c>
      <c r="BB34" s="606">
        <v>0</v>
      </c>
      <c r="BC34" s="606">
        <v>40000</v>
      </c>
      <c r="BD34" s="606">
        <v>0</v>
      </c>
      <c r="BE34" s="606">
        <v>4504</v>
      </c>
      <c r="BF34" s="606">
        <v>0</v>
      </c>
      <c r="BG34" s="606">
        <v>146423.48000000001</v>
      </c>
      <c r="BH34" s="606"/>
      <c r="BI34" s="606"/>
      <c r="BJ34" s="606">
        <v>61919.48</v>
      </c>
      <c r="BK34" s="606">
        <v>0</v>
      </c>
      <c r="BL34" s="606">
        <v>0</v>
      </c>
      <c r="BM34" s="606">
        <v>40000</v>
      </c>
      <c r="BN34" s="606">
        <v>0</v>
      </c>
      <c r="BO34" s="606">
        <v>0</v>
      </c>
      <c r="BP34" s="606">
        <v>40000</v>
      </c>
      <c r="BQ34" s="606">
        <v>0</v>
      </c>
      <c r="BR34" s="606">
        <v>4504</v>
      </c>
      <c r="BS34" s="606">
        <v>0</v>
      </c>
      <c r="BT34" s="606">
        <v>146423.48000000001</v>
      </c>
    </row>
    <row r="35" spans="1:72">
      <c r="A35" t="s">
        <v>2685</v>
      </c>
      <c r="B35" t="s">
        <v>2944</v>
      </c>
      <c r="C35" t="s">
        <v>950</v>
      </c>
      <c r="D35" t="s">
        <v>950</v>
      </c>
      <c r="E35" t="s">
        <v>1136</v>
      </c>
      <c r="F35" t="s">
        <v>1566</v>
      </c>
      <c r="G35" t="s">
        <v>1345</v>
      </c>
      <c r="H35" t="s">
        <v>1345</v>
      </c>
      <c r="I35" t="s">
        <v>1345</v>
      </c>
      <c r="J35" t="s">
        <v>1345</v>
      </c>
      <c r="K35" t="s">
        <v>1346</v>
      </c>
      <c r="L35" t="s">
        <v>639</v>
      </c>
      <c r="M35" t="s">
        <v>818</v>
      </c>
      <c r="P35" t="s">
        <v>817</v>
      </c>
      <c r="R35" t="s">
        <v>1140</v>
      </c>
      <c r="T35" t="s">
        <v>818</v>
      </c>
      <c r="W35" s="606">
        <v>13200</v>
      </c>
      <c r="X35" s="606">
        <v>19370.91</v>
      </c>
      <c r="Y35" s="606"/>
      <c r="Z35" s="606"/>
      <c r="AA35" s="606"/>
      <c r="AB35" s="606"/>
      <c r="AC35" s="606">
        <v>9470.91</v>
      </c>
      <c r="AD35" s="606">
        <v>0</v>
      </c>
      <c r="AE35" s="606">
        <v>0</v>
      </c>
      <c r="AF35" s="606">
        <v>6148.3</v>
      </c>
      <c r="AG35" s="606">
        <v>0</v>
      </c>
      <c r="AH35" s="606">
        <v>0</v>
      </c>
      <c r="AI35" s="606">
        <v>3300</v>
      </c>
      <c r="AJ35" s="606">
        <v>0</v>
      </c>
      <c r="AK35" s="606">
        <v>0</v>
      </c>
      <c r="AL35" s="606">
        <v>3300</v>
      </c>
      <c r="AM35" s="606">
        <v>22219.21</v>
      </c>
      <c r="AN35" s="606">
        <v>2848.2999999999993</v>
      </c>
      <c r="AO35" s="606">
        <v>0</v>
      </c>
      <c r="AP35" s="606">
        <v>6148.3</v>
      </c>
      <c r="AQ35" s="606">
        <v>2848.2999999999993</v>
      </c>
      <c r="AR35" s="606"/>
      <c r="AS35" s="606">
        <v>2848.2999999999993</v>
      </c>
      <c r="AT35" s="606"/>
      <c r="AU35" s="606"/>
      <c r="AV35" s="606"/>
      <c r="AW35" s="606">
        <v>9470.91</v>
      </c>
      <c r="AX35" s="606">
        <v>0</v>
      </c>
      <c r="AY35" s="606">
        <v>0</v>
      </c>
      <c r="AZ35" s="606">
        <v>3300</v>
      </c>
      <c r="BA35" s="606">
        <v>0</v>
      </c>
      <c r="BB35" s="606">
        <v>0</v>
      </c>
      <c r="BC35" s="606">
        <v>3300</v>
      </c>
      <c r="BD35" s="606">
        <v>0</v>
      </c>
      <c r="BE35" s="606">
        <v>0</v>
      </c>
      <c r="BF35" s="606">
        <v>3300</v>
      </c>
      <c r="BG35" s="606">
        <v>19370.91</v>
      </c>
      <c r="BH35" s="606"/>
      <c r="BI35" s="606"/>
      <c r="BJ35" s="606">
        <v>9470.91</v>
      </c>
      <c r="BK35" s="606">
        <v>0</v>
      </c>
      <c r="BL35" s="606">
        <v>0</v>
      </c>
      <c r="BM35" s="606">
        <v>3300</v>
      </c>
      <c r="BN35" s="606">
        <v>0</v>
      </c>
      <c r="BO35" s="606">
        <v>0</v>
      </c>
      <c r="BP35" s="606">
        <v>3300</v>
      </c>
      <c r="BQ35" s="606">
        <v>0</v>
      </c>
      <c r="BR35" s="606">
        <v>0</v>
      </c>
      <c r="BS35" s="606">
        <v>3300</v>
      </c>
      <c r="BT35" s="606">
        <v>19370.91</v>
      </c>
    </row>
    <row r="36" spans="1:72" hidden="1">
      <c r="A36" t="s">
        <v>2725</v>
      </c>
      <c r="B36" t="s">
        <v>2944</v>
      </c>
      <c r="C36" t="s">
        <v>973</v>
      </c>
      <c r="D36" t="s">
        <v>973</v>
      </c>
      <c r="E36" t="s">
        <v>1136</v>
      </c>
      <c r="F36" t="s">
        <v>1566</v>
      </c>
      <c r="G36" t="s">
        <v>1480</v>
      </c>
      <c r="H36" t="s">
        <v>1480</v>
      </c>
      <c r="I36" t="s">
        <v>1345</v>
      </c>
      <c r="J36" t="s">
        <v>1480</v>
      </c>
      <c r="K36" t="s">
        <v>1346</v>
      </c>
      <c r="L36" t="s">
        <v>639</v>
      </c>
      <c r="M36" t="s">
        <v>818</v>
      </c>
      <c r="P36" t="s">
        <v>817</v>
      </c>
      <c r="R36" t="s">
        <v>1140</v>
      </c>
      <c r="T36" t="s">
        <v>818</v>
      </c>
      <c r="W36" s="606">
        <v>30000</v>
      </c>
      <c r="X36" s="606">
        <v>33718.54</v>
      </c>
      <c r="Y36" s="606"/>
      <c r="Z36" s="606"/>
      <c r="AA36" s="606"/>
      <c r="AB36" s="606"/>
      <c r="AC36" s="606">
        <v>11218.54</v>
      </c>
      <c r="AD36" s="606">
        <v>0</v>
      </c>
      <c r="AE36" s="606">
        <v>0</v>
      </c>
      <c r="AF36" s="606">
        <v>15527.55</v>
      </c>
      <c r="AG36" s="606">
        <v>0</v>
      </c>
      <c r="AH36" s="606">
        <v>0</v>
      </c>
      <c r="AI36" s="606">
        <v>7500</v>
      </c>
      <c r="AJ36" s="606">
        <v>0</v>
      </c>
      <c r="AK36" s="606">
        <v>7500</v>
      </c>
      <c r="AL36" s="606">
        <v>0</v>
      </c>
      <c r="AM36" s="606">
        <v>41746.089999999997</v>
      </c>
      <c r="AN36" s="606">
        <v>8027.5499999999956</v>
      </c>
      <c r="AO36" s="606">
        <v>0</v>
      </c>
      <c r="AP36" s="606">
        <v>15527.55</v>
      </c>
      <c r="AQ36" s="606">
        <v>8027.5499999999993</v>
      </c>
      <c r="AR36" s="606"/>
      <c r="AS36" s="606">
        <v>8027.5499999999956</v>
      </c>
      <c r="AT36" s="606"/>
      <c r="AU36" s="606"/>
      <c r="AV36" s="606"/>
      <c r="AW36" s="606">
        <v>11218.54</v>
      </c>
      <c r="AX36" s="606">
        <v>0</v>
      </c>
      <c r="AY36" s="606">
        <v>0</v>
      </c>
      <c r="AZ36" s="606">
        <v>7500</v>
      </c>
      <c r="BA36" s="606">
        <v>0</v>
      </c>
      <c r="BB36" s="606">
        <v>0</v>
      </c>
      <c r="BC36" s="606">
        <v>7500</v>
      </c>
      <c r="BD36" s="606">
        <v>0</v>
      </c>
      <c r="BE36" s="606">
        <v>7500</v>
      </c>
      <c r="BF36" s="606">
        <v>0</v>
      </c>
      <c r="BG36" s="606">
        <v>33718.54</v>
      </c>
      <c r="BH36" s="606"/>
      <c r="BI36" s="606"/>
      <c r="BJ36" s="606">
        <v>11218.54</v>
      </c>
      <c r="BK36" s="606">
        <v>0</v>
      </c>
      <c r="BL36" s="606">
        <v>0</v>
      </c>
      <c r="BM36" s="606">
        <v>7500</v>
      </c>
      <c r="BN36" s="606">
        <v>0</v>
      </c>
      <c r="BO36" s="606">
        <v>0</v>
      </c>
      <c r="BP36" s="606">
        <v>7500</v>
      </c>
      <c r="BQ36" s="606">
        <v>0</v>
      </c>
      <c r="BR36" s="606">
        <v>7500</v>
      </c>
      <c r="BS36" s="606">
        <v>0</v>
      </c>
      <c r="BT36" s="606">
        <v>33718.54</v>
      </c>
    </row>
    <row r="37" spans="1:72" hidden="1">
      <c r="A37" t="s">
        <v>2792</v>
      </c>
      <c r="B37" t="s">
        <v>2944</v>
      </c>
      <c r="C37" t="s">
        <v>1006</v>
      </c>
      <c r="D37" t="s">
        <v>2793</v>
      </c>
      <c r="E37" t="s">
        <v>1136</v>
      </c>
      <c r="F37" t="s">
        <v>1566</v>
      </c>
      <c r="G37" t="s">
        <v>1566</v>
      </c>
      <c r="H37" t="s">
        <v>1566</v>
      </c>
      <c r="I37" t="s">
        <v>1345</v>
      </c>
      <c r="J37" t="s">
        <v>1346</v>
      </c>
      <c r="K37" t="s">
        <v>1346</v>
      </c>
      <c r="L37" t="s">
        <v>639</v>
      </c>
      <c r="M37" t="s">
        <v>818</v>
      </c>
      <c r="P37" t="s">
        <v>817</v>
      </c>
      <c r="R37" t="s">
        <v>1140</v>
      </c>
      <c r="T37" t="s">
        <v>818</v>
      </c>
      <c r="W37" s="606">
        <v>0</v>
      </c>
      <c r="X37" s="606">
        <v>3886.48</v>
      </c>
      <c r="Y37" s="606"/>
      <c r="Z37" s="606"/>
      <c r="AA37" s="606"/>
      <c r="AB37" s="606"/>
      <c r="AC37" s="606">
        <v>3886.48</v>
      </c>
      <c r="AD37" s="606">
        <v>174.65</v>
      </c>
      <c r="AE37" s="606">
        <v>0</v>
      </c>
      <c r="AF37" s="606">
        <v>3826.04</v>
      </c>
      <c r="AG37" s="606">
        <v>0</v>
      </c>
      <c r="AH37" s="606">
        <v>0</v>
      </c>
      <c r="AI37" s="606">
        <v>0</v>
      </c>
      <c r="AJ37" s="606">
        <v>0</v>
      </c>
      <c r="AK37" s="606">
        <v>0</v>
      </c>
      <c r="AL37" s="606">
        <v>0</v>
      </c>
      <c r="AM37" s="606">
        <v>7887.17</v>
      </c>
      <c r="AN37" s="606">
        <v>4000.69</v>
      </c>
      <c r="AO37" s="606">
        <v>0</v>
      </c>
      <c r="AP37" s="606">
        <v>3826.04</v>
      </c>
      <c r="AQ37" s="606">
        <v>4000.69</v>
      </c>
      <c r="AR37" s="606"/>
      <c r="AS37" s="606">
        <v>4000.69</v>
      </c>
      <c r="AT37" s="606"/>
      <c r="AU37" s="606"/>
      <c r="AV37" s="606"/>
      <c r="AW37" s="606">
        <v>3886.48</v>
      </c>
      <c r="AX37" s="606">
        <v>0</v>
      </c>
      <c r="AY37" s="606">
        <v>0</v>
      </c>
      <c r="AZ37" s="606">
        <v>0</v>
      </c>
      <c r="BA37" s="606">
        <v>0</v>
      </c>
      <c r="BB37" s="606">
        <v>0</v>
      </c>
      <c r="BC37" s="606">
        <v>0</v>
      </c>
      <c r="BD37" s="606">
        <v>0</v>
      </c>
      <c r="BE37" s="606">
        <v>0</v>
      </c>
      <c r="BF37" s="606">
        <v>0</v>
      </c>
      <c r="BG37" s="606">
        <v>3886.48</v>
      </c>
      <c r="BH37" s="606"/>
      <c r="BI37" s="606"/>
      <c r="BJ37" s="606">
        <v>3886.48</v>
      </c>
      <c r="BK37" s="606">
        <v>0</v>
      </c>
      <c r="BL37" s="606">
        <v>0</v>
      </c>
      <c r="BM37" s="606">
        <v>0</v>
      </c>
      <c r="BN37" s="606">
        <v>0</v>
      </c>
      <c r="BO37" s="606">
        <v>0</v>
      </c>
      <c r="BP37" s="606">
        <v>0</v>
      </c>
      <c r="BQ37" s="606">
        <v>0</v>
      </c>
      <c r="BR37" s="606">
        <v>0</v>
      </c>
      <c r="BS37" s="606">
        <v>0</v>
      </c>
      <c r="BT37" s="606">
        <v>3886.48</v>
      </c>
    </row>
    <row r="38" spans="1:72" hidden="1">
      <c r="A38" t="s">
        <v>2522</v>
      </c>
      <c r="B38" t="s">
        <v>2944</v>
      </c>
      <c r="C38" t="s">
        <v>850</v>
      </c>
      <c r="D38" t="s">
        <v>850</v>
      </c>
      <c r="E38" t="s">
        <v>1136</v>
      </c>
      <c r="F38" t="s">
        <v>1566</v>
      </c>
      <c r="G38" t="s">
        <v>1135</v>
      </c>
      <c r="H38" t="s">
        <v>1135</v>
      </c>
      <c r="I38" t="s">
        <v>1135</v>
      </c>
      <c r="J38" t="s">
        <v>1135</v>
      </c>
      <c r="K38" t="s">
        <v>1137</v>
      </c>
      <c r="L38" t="s">
        <v>639</v>
      </c>
      <c r="M38" t="s">
        <v>2523</v>
      </c>
      <c r="P38" t="s">
        <v>851</v>
      </c>
      <c r="Q38" t="s">
        <v>1153</v>
      </c>
      <c r="T38" t="s">
        <v>64</v>
      </c>
      <c r="W38" s="606">
        <v>1527544</v>
      </c>
      <c r="X38" s="606">
        <v>1513628.4099999997</v>
      </c>
      <c r="Y38" s="606"/>
      <c r="Z38" s="606"/>
      <c r="AA38" s="606"/>
      <c r="AB38" s="606"/>
      <c r="AC38" s="606">
        <v>367969.99</v>
      </c>
      <c r="AD38" s="606">
        <v>0</v>
      </c>
      <c r="AE38" s="606">
        <v>254590.76</v>
      </c>
      <c r="AF38" s="606">
        <v>127295.38</v>
      </c>
      <c r="AG38" s="606">
        <v>127295.38</v>
      </c>
      <c r="AH38" s="606">
        <v>127295.38</v>
      </c>
      <c r="AI38" s="606">
        <v>127295.38</v>
      </c>
      <c r="AJ38" s="606">
        <v>127295.38</v>
      </c>
      <c r="AK38" s="606">
        <v>127295.38</v>
      </c>
      <c r="AL38" s="606">
        <v>127295.38</v>
      </c>
      <c r="AM38" s="606">
        <v>1513628.4099999997</v>
      </c>
      <c r="AN38" s="606">
        <v>0</v>
      </c>
      <c r="AO38" s="606">
        <v>127295.38</v>
      </c>
      <c r="AP38" s="606">
        <v>0</v>
      </c>
      <c r="AQ38" s="606">
        <v>0</v>
      </c>
      <c r="AR38" s="606"/>
      <c r="AS38" s="606">
        <v>0</v>
      </c>
      <c r="AT38" s="606"/>
      <c r="AU38" s="606"/>
      <c r="AV38" s="606"/>
      <c r="AW38" s="606">
        <v>367969.99</v>
      </c>
      <c r="AX38" s="606">
        <v>127295.38</v>
      </c>
      <c r="AY38" s="606">
        <v>127295.38</v>
      </c>
      <c r="AZ38" s="606">
        <v>127295.38</v>
      </c>
      <c r="BA38" s="606">
        <v>127295.38</v>
      </c>
      <c r="BB38" s="606">
        <v>127295.38</v>
      </c>
      <c r="BC38" s="606">
        <v>127295.38</v>
      </c>
      <c r="BD38" s="606">
        <v>127295.38</v>
      </c>
      <c r="BE38" s="606">
        <v>127295.38</v>
      </c>
      <c r="BF38" s="606">
        <v>127295.38</v>
      </c>
      <c r="BG38" s="606">
        <v>1513628.4099999997</v>
      </c>
      <c r="BH38" s="606"/>
      <c r="BI38" s="606"/>
      <c r="BJ38" s="606">
        <v>367969.99</v>
      </c>
      <c r="BK38" s="606">
        <v>127295.38</v>
      </c>
      <c r="BL38" s="606">
        <v>127295.38</v>
      </c>
      <c r="BM38" s="606">
        <v>127295.38</v>
      </c>
      <c r="BN38" s="606">
        <v>127295.38</v>
      </c>
      <c r="BO38" s="606">
        <v>127295.38</v>
      </c>
      <c r="BP38" s="606">
        <v>127295.38</v>
      </c>
      <c r="BQ38" s="606">
        <v>127295.38</v>
      </c>
      <c r="BR38" s="606">
        <v>127295.38</v>
      </c>
      <c r="BS38" s="606">
        <v>127295.38</v>
      </c>
      <c r="BT38" s="606">
        <v>1513628.4099999997</v>
      </c>
    </row>
    <row r="39" spans="1:72" hidden="1">
      <c r="A39" t="s">
        <v>1946</v>
      </c>
      <c r="B39" t="s">
        <v>2944</v>
      </c>
      <c r="C39" t="s">
        <v>485</v>
      </c>
      <c r="D39" t="s">
        <v>485</v>
      </c>
      <c r="E39" t="s">
        <v>1136</v>
      </c>
      <c r="F39" t="s">
        <v>1566</v>
      </c>
      <c r="G39" t="s">
        <v>1135</v>
      </c>
      <c r="H39" t="s">
        <v>1135</v>
      </c>
      <c r="I39" t="s">
        <v>1135</v>
      </c>
      <c r="J39" t="s">
        <v>1135</v>
      </c>
      <c r="K39" t="s">
        <v>1137</v>
      </c>
      <c r="L39" t="s">
        <v>389</v>
      </c>
      <c r="M39" t="s">
        <v>1947</v>
      </c>
      <c r="P39" t="s">
        <v>486</v>
      </c>
      <c r="Q39" t="s">
        <v>1153</v>
      </c>
      <c r="T39" t="s">
        <v>487</v>
      </c>
      <c r="W39" s="606">
        <v>-608600</v>
      </c>
      <c r="X39" s="606">
        <v>-597160</v>
      </c>
      <c r="Y39" s="606"/>
      <c r="Z39" s="606"/>
      <c r="AA39" s="606"/>
      <c r="AB39" s="606"/>
      <c r="AC39" s="606">
        <v>-123760</v>
      </c>
      <c r="AD39" s="606">
        <v>0</v>
      </c>
      <c r="AE39" s="606">
        <v>-113731.04000000001</v>
      </c>
      <c r="AF39" s="606">
        <v>-60567.46</v>
      </c>
      <c r="AG39" s="606">
        <v>-52600</v>
      </c>
      <c r="AH39" s="606">
        <v>-52600</v>
      </c>
      <c r="AI39" s="606">
        <v>-52600</v>
      </c>
      <c r="AJ39" s="606">
        <v>-52600</v>
      </c>
      <c r="AK39" s="606">
        <v>-52600</v>
      </c>
      <c r="AL39" s="606">
        <v>-52600</v>
      </c>
      <c r="AM39" s="606">
        <v>-613658.5</v>
      </c>
      <c r="AN39" s="606">
        <v>-16498.5</v>
      </c>
      <c r="AO39" s="606">
        <v>-52600</v>
      </c>
      <c r="AP39" s="606">
        <v>-7967.4599999999991</v>
      </c>
      <c r="AQ39" s="606">
        <v>-16498.5</v>
      </c>
      <c r="AR39" s="606"/>
      <c r="AS39" s="606">
        <v>-16498.5</v>
      </c>
      <c r="AT39" s="606"/>
      <c r="AU39" s="606"/>
      <c r="AV39" s="606"/>
      <c r="AW39" s="606">
        <v>-123760</v>
      </c>
      <c r="AX39" s="606">
        <v>-52600</v>
      </c>
      <c r="AY39" s="606">
        <v>-52600</v>
      </c>
      <c r="AZ39" s="606">
        <v>-52600</v>
      </c>
      <c r="BA39" s="606">
        <v>-52600</v>
      </c>
      <c r="BB39" s="606">
        <v>-52600</v>
      </c>
      <c r="BC39" s="606">
        <v>-52600</v>
      </c>
      <c r="BD39" s="606">
        <v>-52600</v>
      </c>
      <c r="BE39" s="606">
        <v>-52600</v>
      </c>
      <c r="BF39" s="606">
        <v>-52600</v>
      </c>
      <c r="BG39" s="606">
        <v>-597160</v>
      </c>
      <c r="BH39" s="606"/>
      <c r="BI39" s="606"/>
      <c r="BJ39" s="606">
        <v>-123760</v>
      </c>
      <c r="BK39" s="606">
        <v>-52600</v>
      </c>
      <c r="BL39" s="606">
        <v>-52600</v>
      </c>
      <c r="BM39" s="606">
        <v>-52600</v>
      </c>
      <c r="BN39" s="606">
        <v>-52600</v>
      </c>
      <c r="BO39" s="606">
        <v>-52600</v>
      </c>
      <c r="BP39" s="606">
        <v>-52600</v>
      </c>
      <c r="BQ39" s="606">
        <v>-52600</v>
      </c>
      <c r="BR39" s="606">
        <v>-52600</v>
      </c>
      <c r="BS39" s="606">
        <v>-52600</v>
      </c>
      <c r="BT39" s="606">
        <v>-597160</v>
      </c>
    </row>
    <row r="40" spans="1:72" hidden="1">
      <c r="A40" t="s">
        <v>2526</v>
      </c>
      <c r="B40" t="s">
        <v>2944</v>
      </c>
      <c r="C40" t="s">
        <v>852</v>
      </c>
      <c r="D40" t="s">
        <v>852</v>
      </c>
      <c r="E40" t="s">
        <v>1136</v>
      </c>
      <c r="F40" t="s">
        <v>1566</v>
      </c>
      <c r="G40" t="s">
        <v>1135</v>
      </c>
      <c r="H40" t="s">
        <v>1135</v>
      </c>
      <c r="I40" t="s">
        <v>1135</v>
      </c>
      <c r="J40" t="s">
        <v>1135</v>
      </c>
      <c r="K40" t="s">
        <v>1137</v>
      </c>
      <c r="L40" t="s">
        <v>639</v>
      </c>
      <c r="M40" t="s">
        <v>1947</v>
      </c>
      <c r="P40" t="s">
        <v>486</v>
      </c>
      <c r="Q40" t="s">
        <v>1153</v>
      </c>
      <c r="T40" t="s">
        <v>487</v>
      </c>
      <c r="W40" s="606">
        <v>-937488</v>
      </c>
      <c r="X40" s="606">
        <v>-925916</v>
      </c>
      <c r="Y40" s="606"/>
      <c r="Z40" s="606"/>
      <c r="AA40" s="606"/>
      <c r="AB40" s="606"/>
      <c r="AC40" s="606">
        <v>-222800</v>
      </c>
      <c r="AD40" s="606">
        <v>0</v>
      </c>
      <c r="AE40" s="606">
        <v>-128741.87</v>
      </c>
      <c r="AF40" s="606">
        <v>-52011.25</v>
      </c>
      <c r="AG40" s="606">
        <v>-78124</v>
      </c>
      <c r="AH40" s="606">
        <v>-78124</v>
      </c>
      <c r="AI40" s="606">
        <v>-78124</v>
      </c>
      <c r="AJ40" s="606">
        <v>-78124</v>
      </c>
      <c r="AK40" s="606">
        <v>-78124</v>
      </c>
      <c r="AL40" s="606">
        <v>-78124</v>
      </c>
      <c r="AM40" s="606">
        <v>-872297.12</v>
      </c>
      <c r="AN40" s="606">
        <v>53618.880000000005</v>
      </c>
      <c r="AO40" s="606">
        <v>-78124</v>
      </c>
      <c r="AP40" s="606">
        <v>26112.75</v>
      </c>
      <c r="AQ40" s="606">
        <v>53618.880000000005</v>
      </c>
      <c r="AR40" s="606"/>
      <c r="AS40" s="606">
        <v>53618.880000000005</v>
      </c>
      <c r="AT40" s="606"/>
      <c r="AU40" s="606"/>
      <c r="AV40" s="606"/>
      <c r="AW40" s="606">
        <v>-222800</v>
      </c>
      <c r="AX40" s="606">
        <v>-78124</v>
      </c>
      <c r="AY40" s="606">
        <v>-78124</v>
      </c>
      <c r="AZ40" s="606">
        <v>-78124</v>
      </c>
      <c r="BA40" s="606">
        <v>-78124</v>
      </c>
      <c r="BB40" s="606">
        <v>-78124</v>
      </c>
      <c r="BC40" s="606">
        <v>-78124</v>
      </c>
      <c r="BD40" s="606">
        <v>-78124</v>
      </c>
      <c r="BE40" s="606">
        <v>-78124</v>
      </c>
      <c r="BF40" s="606">
        <v>-78124</v>
      </c>
      <c r="BG40" s="606">
        <v>-925916</v>
      </c>
      <c r="BH40" s="606"/>
      <c r="BI40" s="606"/>
      <c r="BJ40" s="606">
        <v>-222800</v>
      </c>
      <c r="BK40" s="606">
        <v>-78124</v>
      </c>
      <c r="BL40" s="606">
        <v>-78124</v>
      </c>
      <c r="BM40" s="606">
        <v>-78124</v>
      </c>
      <c r="BN40" s="606">
        <v>-78124</v>
      </c>
      <c r="BO40" s="606">
        <v>-78124</v>
      </c>
      <c r="BP40" s="606">
        <v>-78124</v>
      </c>
      <c r="BQ40" s="606">
        <v>-78124</v>
      </c>
      <c r="BR40" s="606">
        <v>-78124</v>
      </c>
      <c r="BS40" s="606">
        <v>-78124</v>
      </c>
      <c r="BT40" s="606">
        <v>-925916</v>
      </c>
    </row>
    <row r="41" spans="1:72" hidden="1">
      <c r="A41" t="s">
        <v>1326</v>
      </c>
      <c r="B41" t="s">
        <v>2944</v>
      </c>
      <c r="C41" t="s">
        <v>146</v>
      </c>
      <c r="D41" t="s">
        <v>146</v>
      </c>
      <c r="E41" t="s">
        <v>1136</v>
      </c>
      <c r="F41" t="s">
        <v>1566</v>
      </c>
      <c r="G41" t="s">
        <v>1135</v>
      </c>
      <c r="H41" t="s">
        <v>1135</v>
      </c>
      <c r="I41" t="s">
        <v>1135</v>
      </c>
      <c r="J41" t="s">
        <v>1135</v>
      </c>
      <c r="K41" t="s">
        <v>1137</v>
      </c>
      <c r="L41" t="s">
        <v>49</v>
      </c>
      <c r="M41" t="s">
        <v>1327</v>
      </c>
      <c r="P41" t="s">
        <v>147</v>
      </c>
      <c r="T41" t="s">
        <v>25</v>
      </c>
      <c r="W41" s="606">
        <v>0</v>
      </c>
      <c r="X41" s="606">
        <v>-0.11000000000058208</v>
      </c>
      <c r="Y41" s="606"/>
      <c r="Z41" s="606"/>
      <c r="AA41" s="606">
        <v>20093.099999999999</v>
      </c>
      <c r="AB41" s="606">
        <v>22504.89</v>
      </c>
      <c r="AC41" s="606">
        <v>-42598.1</v>
      </c>
      <c r="AD41" s="606">
        <v>-0.33</v>
      </c>
      <c r="AE41" s="606">
        <v>0.71</v>
      </c>
      <c r="AF41" s="606">
        <v>-0.03</v>
      </c>
      <c r="AG41" s="606">
        <v>0</v>
      </c>
      <c r="AH41" s="606">
        <v>0</v>
      </c>
      <c r="AI41" s="606">
        <v>0</v>
      </c>
      <c r="AJ41" s="606">
        <v>0</v>
      </c>
      <c r="AK41" s="606">
        <v>0</v>
      </c>
      <c r="AL41" s="606">
        <v>0</v>
      </c>
      <c r="AM41" s="606">
        <v>0.23999999999941787</v>
      </c>
      <c r="AN41" s="606">
        <v>0.35</v>
      </c>
      <c r="AO41" s="606">
        <v>0</v>
      </c>
      <c r="AP41" s="606">
        <v>-0.03</v>
      </c>
      <c r="AQ41" s="606">
        <v>0.35</v>
      </c>
      <c r="AR41" s="606"/>
      <c r="AS41" s="606">
        <v>0.35</v>
      </c>
      <c r="AT41" s="606"/>
      <c r="AU41" s="606">
        <v>20093.099999999999</v>
      </c>
      <c r="AV41" s="606">
        <v>22504.89</v>
      </c>
      <c r="AW41" s="606">
        <v>-42598.1</v>
      </c>
      <c r="AX41" s="606">
        <v>0</v>
      </c>
      <c r="AY41" s="606">
        <v>0</v>
      </c>
      <c r="AZ41" s="606">
        <v>0</v>
      </c>
      <c r="BA41" s="606">
        <v>0</v>
      </c>
      <c r="BB41" s="606">
        <v>0</v>
      </c>
      <c r="BC41" s="606">
        <v>0</v>
      </c>
      <c r="BD41" s="606">
        <v>0</v>
      </c>
      <c r="BE41" s="606">
        <v>0</v>
      </c>
      <c r="BF41" s="606">
        <v>0</v>
      </c>
      <c r="BG41" s="606">
        <v>-0.11000000000058208</v>
      </c>
      <c r="BH41" s="606">
        <v>20093.099999999999</v>
      </c>
      <c r="BI41" s="606">
        <v>22504.89</v>
      </c>
      <c r="BJ41" s="606">
        <v>-42598.1</v>
      </c>
      <c r="BK41" s="606">
        <v>0</v>
      </c>
      <c r="BL41" s="606">
        <v>0</v>
      </c>
      <c r="BM41" s="606">
        <v>0</v>
      </c>
      <c r="BN41" s="606">
        <v>0</v>
      </c>
      <c r="BO41" s="606">
        <v>0</v>
      </c>
      <c r="BP41" s="606">
        <v>0</v>
      </c>
      <c r="BQ41" s="606">
        <v>0</v>
      </c>
      <c r="BR41" s="606">
        <v>0</v>
      </c>
      <c r="BS41" s="606">
        <v>0</v>
      </c>
      <c r="BT41" s="606">
        <v>-0.11000000000058208</v>
      </c>
    </row>
    <row r="42" spans="1:72" hidden="1">
      <c r="A42" t="s">
        <v>1721</v>
      </c>
      <c r="B42" t="s">
        <v>2944</v>
      </c>
      <c r="C42" t="s">
        <v>375</v>
      </c>
      <c r="D42" t="s">
        <v>375</v>
      </c>
      <c r="E42" t="s">
        <v>1136</v>
      </c>
      <c r="F42" t="s">
        <v>1566</v>
      </c>
      <c r="G42" t="s">
        <v>1135</v>
      </c>
      <c r="H42" t="s">
        <v>1135</v>
      </c>
      <c r="I42" t="s">
        <v>1135</v>
      </c>
      <c r="J42" t="s">
        <v>1135</v>
      </c>
      <c r="K42" t="s">
        <v>1135</v>
      </c>
      <c r="L42" t="s">
        <v>342</v>
      </c>
      <c r="M42" t="s">
        <v>1327</v>
      </c>
      <c r="O42" t="s">
        <v>1171</v>
      </c>
      <c r="P42" t="s">
        <v>147</v>
      </c>
      <c r="W42" s="606"/>
      <c r="X42" s="606"/>
      <c r="Y42" s="606"/>
      <c r="Z42" s="606"/>
      <c r="AA42" s="606"/>
      <c r="AB42" s="606"/>
      <c r="AC42" s="606"/>
      <c r="AD42" s="606"/>
      <c r="AE42" s="606">
        <v>0</v>
      </c>
      <c r="AF42" s="606">
        <v>0</v>
      </c>
      <c r="AG42" s="606"/>
      <c r="AH42" s="606"/>
      <c r="AI42" s="606"/>
      <c r="AJ42" s="606"/>
      <c r="AK42" s="606"/>
      <c r="AL42" s="606"/>
      <c r="AM42" s="606">
        <v>0</v>
      </c>
      <c r="AN42" s="606">
        <v>0</v>
      </c>
      <c r="AO42" s="606"/>
      <c r="AP42" s="606">
        <v>0</v>
      </c>
      <c r="AQ42" s="606">
        <v>0</v>
      </c>
      <c r="AR42" s="606"/>
      <c r="AS42" s="606">
        <v>0</v>
      </c>
      <c r="AT42" s="606"/>
      <c r="AU42" s="606"/>
      <c r="AV42" s="606"/>
      <c r="AW42" s="606"/>
      <c r="AX42" s="606"/>
      <c r="AY42" s="606"/>
      <c r="AZ42" s="606"/>
      <c r="BA42" s="606"/>
      <c r="BB42" s="606"/>
      <c r="BC42" s="606"/>
      <c r="BD42" s="606"/>
      <c r="BE42" s="606"/>
      <c r="BF42" s="606"/>
      <c r="BG42" s="606"/>
      <c r="BH42" s="606"/>
      <c r="BI42" s="606"/>
      <c r="BJ42" s="606"/>
      <c r="BK42" s="606"/>
      <c r="BL42" s="606"/>
      <c r="BM42" s="606"/>
      <c r="BN42" s="606"/>
      <c r="BO42" s="606"/>
      <c r="BP42" s="606"/>
      <c r="BQ42" s="606"/>
      <c r="BR42" s="606"/>
      <c r="BS42" s="606"/>
      <c r="BT42" s="606"/>
    </row>
    <row r="43" spans="1:72" hidden="1">
      <c r="A43" t="s">
        <v>1961</v>
      </c>
      <c r="B43" t="s">
        <v>2944</v>
      </c>
      <c r="C43" t="s">
        <v>491</v>
      </c>
      <c r="D43" t="s">
        <v>1962</v>
      </c>
      <c r="E43" t="s">
        <v>1136</v>
      </c>
      <c r="F43" t="s">
        <v>1566</v>
      </c>
      <c r="G43" t="s">
        <v>1135</v>
      </c>
      <c r="H43" t="s">
        <v>1165</v>
      </c>
      <c r="I43" t="s">
        <v>1135</v>
      </c>
      <c r="J43" t="s">
        <v>1165</v>
      </c>
      <c r="K43" t="s">
        <v>1137</v>
      </c>
      <c r="L43" t="s">
        <v>389</v>
      </c>
      <c r="M43" t="s">
        <v>1327</v>
      </c>
      <c r="P43" t="s">
        <v>147</v>
      </c>
      <c r="T43" t="s">
        <v>25</v>
      </c>
      <c r="U43" t="s">
        <v>1338</v>
      </c>
      <c r="W43" s="606">
        <v>0</v>
      </c>
      <c r="X43" s="606">
        <v>39996</v>
      </c>
      <c r="Y43" s="606"/>
      <c r="Z43" s="606"/>
      <c r="AA43" s="606">
        <v>0.22</v>
      </c>
      <c r="AB43" s="606">
        <v>45000.28</v>
      </c>
      <c r="AC43" s="606">
        <v>-5004.5</v>
      </c>
      <c r="AD43" s="606">
        <v>-0.6</v>
      </c>
      <c r="AE43" s="606">
        <v>-84995.74</v>
      </c>
      <c r="AF43" s="606">
        <v>44999.83</v>
      </c>
      <c r="AG43" s="606">
        <v>0</v>
      </c>
      <c r="AH43" s="606">
        <v>0</v>
      </c>
      <c r="AI43" s="606">
        <v>0</v>
      </c>
      <c r="AJ43" s="606">
        <v>0</v>
      </c>
      <c r="AK43" s="606">
        <v>0</v>
      </c>
      <c r="AL43" s="606">
        <v>0</v>
      </c>
      <c r="AM43" s="606">
        <v>-0.51000000000203727</v>
      </c>
      <c r="AN43" s="606">
        <v>-39996.51</v>
      </c>
      <c r="AO43" s="606">
        <v>0</v>
      </c>
      <c r="AP43" s="606">
        <v>44999.83</v>
      </c>
      <c r="AQ43" s="606">
        <v>-39996.51</v>
      </c>
      <c r="AR43" s="606"/>
      <c r="AS43" s="606">
        <v>-39996.51</v>
      </c>
      <c r="AT43" s="606"/>
      <c r="AU43" s="606">
        <v>0.22</v>
      </c>
      <c r="AV43" s="606">
        <v>45000.28</v>
      </c>
      <c r="AW43" s="606">
        <v>-5004.5</v>
      </c>
      <c r="AX43" s="606">
        <v>0</v>
      </c>
      <c r="AY43" s="606">
        <v>0</v>
      </c>
      <c r="AZ43" s="606">
        <v>0</v>
      </c>
      <c r="BA43" s="606">
        <v>0</v>
      </c>
      <c r="BB43" s="606">
        <v>0</v>
      </c>
      <c r="BC43" s="606">
        <v>0</v>
      </c>
      <c r="BD43" s="606">
        <v>0</v>
      </c>
      <c r="BE43" s="606">
        <v>0</v>
      </c>
      <c r="BF43" s="606">
        <v>0</v>
      </c>
      <c r="BG43" s="606">
        <v>39996</v>
      </c>
      <c r="BH43" s="606">
        <v>0.22</v>
      </c>
      <c r="BI43" s="606">
        <v>45000.28</v>
      </c>
      <c r="BJ43" s="606">
        <v>-5004.5</v>
      </c>
      <c r="BK43" s="606">
        <v>0</v>
      </c>
      <c r="BL43" s="606">
        <v>0</v>
      </c>
      <c r="BM43" s="606">
        <v>0</v>
      </c>
      <c r="BN43" s="606">
        <v>0</v>
      </c>
      <c r="BO43" s="606">
        <v>0</v>
      </c>
      <c r="BP43" s="606">
        <v>0</v>
      </c>
      <c r="BQ43" s="606">
        <v>0</v>
      </c>
      <c r="BR43" s="606">
        <v>0</v>
      </c>
      <c r="BS43" s="606">
        <v>0</v>
      </c>
      <c r="BT43" s="606">
        <v>39996</v>
      </c>
    </row>
    <row r="44" spans="1:72" hidden="1">
      <c r="A44" t="s">
        <v>2594</v>
      </c>
      <c r="B44" t="s">
        <v>2944</v>
      </c>
      <c r="C44" t="s">
        <v>899</v>
      </c>
      <c r="D44" t="s">
        <v>899</v>
      </c>
      <c r="E44" t="s">
        <v>1136</v>
      </c>
      <c r="F44" t="s">
        <v>1566</v>
      </c>
      <c r="G44" t="s">
        <v>1135</v>
      </c>
      <c r="H44" t="s">
        <v>1135</v>
      </c>
      <c r="I44" t="s">
        <v>1135</v>
      </c>
      <c r="J44" t="s">
        <v>1135</v>
      </c>
      <c r="K44" t="s">
        <v>1137</v>
      </c>
      <c r="L44" t="s">
        <v>639</v>
      </c>
      <c r="M44" t="s">
        <v>1327</v>
      </c>
      <c r="P44" t="s">
        <v>147</v>
      </c>
      <c r="T44" t="s">
        <v>25</v>
      </c>
      <c r="W44" s="606">
        <v>0</v>
      </c>
      <c r="X44" s="606">
        <v>0.3</v>
      </c>
      <c r="Y44" s="606"/>
      <c r="Z44" s="606"/>
      <c r="AA44" s="606">
        <v>0.32</v>
      </c>
      <c r="AB44" s="606">
        <v>-0.45</v>
      </c>
      <c r="AC44" s="606">
        <v>0.43</v>
      </c>
      <c r="AD44" s="606">
        <v>-0.34</v>
      </c>
      <c r="AE44" s="606">
        <v>30694.750000000004</v>
      </c>
      <c r="AF44" s="606">
        <v>0.96</v>
      </c>
      <c r="AG44" s="606">
        <v>0</v>
      </c>
      <c r="AH44" s="606">
        <v>0</v>
      </c>
      <c r="AI44" s="606">
        <v>0</v>
      </c>
      <c r="AJ44" s="606">
        <v>0</v>
      </c>
      <c r="AK44" s="606">
        <v>0</v>
      </c>
      <c r="AL44" s="606">
        <v>0</v>
      </c>
      <c r="AM44" s="606">
        <v>30695.670000000002</v>
      </c>
      <c r="AN44" s="606">
        <v>30695.370000000003</v>
      </c>
      <c r="AO44" s="606">
        <v>0</v>
      </c>
      <c r="AP44" s="606">
        <v>0.96</v>
      </c>
      <c r="AQ44" s="606">
        <v>30695.370000000003</v>
      </c>
      <c r="AR44" s="606"/>
      <c r="AS44" s="606">
        <v>30695.370000000003</v>
      </c>
      <c r="AT44" s="606"/>
      <c r="AU44" s="606">
        <v>0.32</v>
      </c>
      <c r="AV44" s="606">
        <v>-0.45</v>
      </c>
      <c r="AW44" s="606">
        <v>0.43</v>
      </c>
      <c r="AX44" s="606">
        <v>0</v>
      </c>
      <c r="AY44" s="606">
        <v>0</v>
      </c>
      <c r="AZ44" s="606">
        <v>0</v>
      </c>
      <c r="BA44" s="606">
        <v>0</v>
      </c>
      <c r="BB44" s="606">
        <v>0</v>
      </c>
      <c r="BC44" s="606">
        <v>0</v>
      </c>
      <c r="BD44" s="606">
        <v>0</v>
      </c>
      <c r="BE44" s="606">
        <v>0</v>
      </c>
      <c r="BF44" s="606">
        <v>0</v>
      </c>
      <c r="BG44" s="606">
        <v>0.3</v>
      </c>
      <c r="BH44" s="606">
        <v>0.32</v>
      </c>
      <c r="BI44" s="606">
        <v>-0.45</v>
      </c>
      <c r="BJ44" s="606">
        <v>0.43</v>
      </c>
      <c r="BK44" s="606">
        <v>0</v>
      </c>
      <c r="BL44" s="606">
        <v>0</v>
      </c>
      <c r="BM44" s="606">
        <v>0</v>
      </c>
      <c r="BN44" s="606">
        <v>0</v>
      </c>
      <c r="BO44" s="606">
        <v>0</v>
      </c>
      <c r="BP44" s="606">
        <v>0</v>
      </c>
      <c r="BQ44" s="606">
        <v>0</v>
      </c>
      <c r="BR44" s="606">
        <v>0</v>
      </c>
      <c r="BS44" s="606">
        <v>0</v>
      </c>
      <c r="BT44" s="606">
        <v>0.3</v>
      </c>
    </row>
    <row r="45" spans="1:72" hidden="1">
      <c r="A45" t="s">
        <v>1444</v>
      </c>
      <c r="B45" t="s">
        <v>2944</v>
      </c>
      <c r="C45" t="s">
        <v>202</v>
      </c>
      <c r="D45" t="s">
        <v>202</v>
      </c>
      <c r="E45" t="s">
        <v>1136</v>
      </c>
      <c r="F45" t="s">
        <v>1566</v>
      </c>
      <c r="G45" t="s">
        <v>1345</v>
      </c>
      <c r="H45" t="s">
        <v>1345</v>
      </c>
      <c r="I45" t="s">
        <v>1345</v>
      </c>
      <c r="J45" t="s">
        <v>1345</v>
      </c>
      <c r="K45" t="s">
        <v>1345</v>
      </c>
      <c r="L45" t="s">
        <v>49</v>
      </c>
      <c r="M45" t="s">
        <v>1327</v>
      </c>
      <c r="O45" t="s">
        <v>1441</v>
      </c>
      <c r="P45" t="s">
        <v>147</v>
      </c>
      <c r="W45" s="606"/>
      <c r="X45" s="606"/>
      <c r="Y45" s="606"/>
      <c r="Z45" s="606"/>
      <c r="AA45" s="606"/>
      <c r="AB45" s="606"/>
      <c r="AC45" s="606"/>
      <c r="AD45" s="606"/>
      <c r="AE45" s="606">
        <v>0</v>
      </c>
      <c r="AF45" s="606">
        <v>0</v>
      </c>
      <c r="AG45" s="606"/>
      <c r="AH45" s="606"/>
      <c r="AI45" s="606"/>
      <c r="AJ45" s="606"/>
      <c r="AK45" s="606"/>
      <c r="AL45" s="606"/>
      <c r="AM45" s="606">
        <v>0</v>
      </c>
      <c r="AN45" s="606">
        <v>0</v>
      </c>
      <c r="AO45" s="606"/>
      <c r="AP45" s="606">
        <v>0</v>
      </c>
      <c r="AQ45" s="606">
        <v>0</v>
      </c>
      <c r="AR45" s="606"/>
      <c r="AS45" s="606">
        <v>0</v>
      </c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606"/>
      <c r="BL45" s="606"/>
      <c r="BM45" s="606"/>
      <c r="BN45" s="606"/>
      <c r="BO45" s="606"/>
      <c r="BP45" s="606"/>
      <c r="BQ45" s="606"/>
      <c r="BR45" s="606"/>
      <c r="BS45" s="606"/>
      <c r="BT45" s="606"/>
    </row>
    <row r="46" spans="1:72" hidden="1">
      <c r="A46" t="s">
        <v>2032</v>
      </c>
      <c r="B46" t="s">
        <v>2944</v>
      </c>
      <c r="C46" t="s">
        <v>538</v>
      </c>
      <c r="D46" t="s">
        <v>538</v>
      </c>
      <c r="E46" t="s">
        <v>1136</v>
      </c>
      <c r="F46" t="s">
        <v>1566</v>
      </c>
      <c r="G46" t="s">
        <v>1345</v>
      </c>
      <c r="H46" t="s">
        <v>1345</v>
      </c>
      <c r="I46" t="s">
        <v>1345</v>
      </c>
      <c r="J46" t="s">
        <v>1345</v>
      </c>
      <c r="K46" t="s">
        <v>1346</v>
      </c>
      <c r="L46" t="s">
        <v>389</v>
      </c>
      <c r="M46" t="s">
        <v>1327</v>
      </c>
      <c r="P46" t="s">
        <v>147</v>
      </c>
      <c r="T46" t="s">
        <v>25</v>
      </c>
      <c r="W46" s="606">
        <v>0</v>
      </c>
      <c r="X46" s="606">
        <v>0.11999999999999997</v>
      </c>
      <c r="Y46" s="606"/>
      <c r="Z46" s="606"/>
      <c r="AA46" s="606">
        <v>-0.3</v>
      </c>
      <c r="AB46" s="606">
        <v>0.57999999999999996</v>
      </c>
      <c r="AC46" s="606">
        <v>-0.16</v>
      </c>
      <c r="AD46" s="606">
        <v>0.12</v>
      </c>
      <c r="AE46" s="606">
        <v>-0.5</v>
      </c>
      <c r="AF46" s="606">
        <v>0.41</v>
      </c>
      <c r="AG46" s="606">
        <v>0</v>
      </c>
      <c r="AH46" s="606">
        <v>0</v>
      </c>
      <c r="AI46" s="606">
        <v>0</v>
      </c>
      <c r="AJ46" s="606">
        <v>0</v>
      </c>
      <c r="AK46" s="606">
        <v>0</v>
      </c>
      <c r="AL46" s="606">
        <v>0</v>
      </c>
      <c r="AM46" s="606">
        <v>0.14999999999999997</v>
      </c>
      <c r="AN46" s="606">
        <v>0.03</v>
      </c>
      <c r="AO46" s="606">
        <v>0</v>
      </c>
      <c r="AP46" s="606">
        <v>0.41</v>
      </c>
      <c r="AQ46" s="606">
        <v>0.03</v>
      </c>
      <c r="AR46" s="606"/>
      <c r="AS46" s="606">
        <v>0.03</v>
      </c>
      <c r="AT46" s="606"/>
      <c r="AU46" s="606">
        <v>-0.3</v>
      </c>
      <c r="AV46" s="606">
        <v>0.57999999999999996</v>
      </c>
      <c r="AW46" s="606">
        <v>-0.16</v>
      </c>
      <c r="AX46" s="606">
        <v>0</v>
      </c>
      <c r="AY46" s="606">
        <v>0</v>
      </c>
      <c r="AZ46" s="606">
        <v>0</v>
      </c>
      <c r="BA46" s="606">
        <v>0</v>
      </c>
      <c r="BB46" s="606">
        <v>0</v>
      </c>
      <c r="BC46" s="606">
        <v>0</v>
      </c>
      <c r="BD46" s="606">
        <v>0</v>
      </c>
      <c r="BE46" s="606">
        <v>0</v>
      </c>
      <c r="BF46" s="606">
        <v>0</v>
      </c>
      <c r="BG46" s="606">
        <v>0.11999999999999997</v>
      </c>
      <c r="BH46" s="606">
        <v>-0.3</v>
      </c>
      <c r="BI46" s="606">
        <v>0.57999999999999996</v>
      </c>
      <c r="BJ46" s="606">
        <v>-0.16</v>
      </c>
      <c r="BK46" s="606">
        <v>0</v>
      </c>
      <c r="BL46" s="606">
        <v>0</v>
      </c>
      <c r="BM46" s="606">
        <v>0</v>
      </c>
      <c r="BN46" s="606">
        <v>0</v>
      </c>
      <c r="BO46" s="606">
        <v>0</v>
      </c>
      <c r="BP46" s="606">
        <v>0</v>
      </c>
      <c r="BQ46" s="606">
        <v>0</v>
      </c>
      <c r="BR46" s="606">
        <v>0</v>
      </c>
      <c r="BS46" s="606">
        <v>0</v>
      </c>
      <c r="BT46" s="606">
        <v>0.11999999999999997</v>
      </c>
    </row>
    <row r="47" spans="1:72">
      <c r="A47" t="s">
        <v>2699</v>
      </c>
      <c r="B47" t="s">
        <v>2944</v>
      </c>
      <c r="C47" t="s">
        <v>955</v>
      </c>
      <c r="D47" t="s">
        <v>955</v>
      </c>
      <c r="E47" t="s">
        <v>1136</v>
      </c>
      <c r="F47" t="s">
        <v>1566</v>
      </c>
      <c r="G47" t="s">
        <v>1345</v>
      </c>
      <c r="H47" t="s">
        <v>1345</v>
      </c>
      <c r="I47" t="s">
        <v>1345</v>
      </c>
      <c r="J47" t="s">
        <v>1345</v>
      </c>
      <c r="K47" t="s">
        <v>1346</v>
      </c>
      <c r="L47" t="s">
        <v>639</v>
      </c>
      <c r="M47" t="s">
        <v>1327</v>
      </c>
      <c r="P47" t="s">
        <v>147</v>
      </c>
      <c r="T47" t="s">
        <v>25</v>
      </c>
      <c r="W47" s="606">
        <v>0</v>
      </c>
      <c r="X47" s="606">
        <v>0.32999999999999996</v>
      </c>
      <c r="Y47" s="606"/>
      <c r="Z47" s="606"/>
      <c r="AA47" s="606"/>
      <c r="AB47" s="606">
        <v>0.24</v>
      </c>
      <c r="AC47" s="606">
        <v>0.09</v>
      </c>
      <c r="AD47" s="606">
        <v>0</v>
      </c>
      <c r="AE47" s="606">
        <v>0</v>
      </c>
      <c r="AF47" s="606">
        <v>-0.3</v>
      </c>
      <c r="AG47" s="606">
        <v>0</v>
      </c>
      <c r="AH47" s="606">
        <v>0</v>
      </c>
      <c r="AI47" s="606">
        <v>0</v>
      </c>
      <c r="AJ47" s="606">
        <v>0</v>
      </c>
      <c r="AK47" s="606">
        <v>0</v>
      </c>
      <c r="AL47" s="606">
        <v>0</v>
      </c>
      <c r="AM47" s="606">
        <v>2.9999999999999971E-2</v>
      </c>
      <c r="AN47" s="606">
        <v>-0.3</v>
      </c>
      <c r="AO47" s="606">
        <v>0</v>
      </c>
      <c r="AP47" s="606">
        <v>-0.3</v>
      </c>
      <c r="AQ47" s="606">
        <v>-0.3</v>
      </c>
      <c r="AR47" s="606"/>
      <c r="AS47" s="606">
        <v>-0.3</v>
      </c>
      <c r="AT47" s="606"/>
      <c r="AU47" s="606"/>
      <c r="AV47" s="606">
        <v>0.24</v>
      </c>
      <c r="AW47" s="606">
        <v>0.09</v>
      </c>
      <c r="AX47" s="606">
        <v>0</v>
      </c>
      <c r="AY47" s="606">
        <v>0</v>
      </c>
      <c r="AZ47" s="606">
        <v>0</v>
      </c>
      <c r="BA47" s="606">
        <v>0</v>
      </c>
      <c r="BB47" s="606">
        <v>0</v>
      </c>
      <c r="BC47" s="606">
        <v>0</v>
      </c>
      <c r="BD47" s="606">
        <v>0</v>
      </c>
      <c r="BE47" s="606">
        <v>0</v>
      </c>
      <c r="BF47" s="606">
        <v>0</v>
      </c>
      <c r="BG47" s="606">
        <v>0.32999999999999996</v>
      </c>
      <c r="BH47" s="606"/>
      <c r="BI47" s="606">
        <v>0.24</v>
      </c>
      <c r="BJ47" s="606">
        <v>0.09</v>
      </c>
      <c r="BK47" s="606">
        <v>0</v>
      </c>
      <c r="BL47" s="606">
        <v>0</v>
      </c>
      <c r="BM47" s="606">
        <v>0</v>
      </c>
      <c r="BN47" s="606">
        <v>0</v>
      </c>
      <c r="BO47" s="606">
        <v>0</v>
      </c>
      <c r="BP47" s="606">
        <v>0</v>
      </c>
      <c r="BQ47" s="606">
        <v>0</v>
      </c>
      <c r="BR47" s="606">
        <v>0</v>
      </c>
      <c r="BS47" s="606">
        <v>0</v>
      </c>
      <c r="BT47" s="606">
        <v>0.32999999999999996</v>
      </c>
    </row>
    <row r="48" spans="1:72" hidden="1">
      <c r="A48" t="s">
        <v>1510</v>
      </c>
      <c r="B48" t="s">
        <v>2944</v>
      </c>
      <c r="C48" t="s">
        <v>237</v>
      </c>
      <c r="D48" t="s">
        <v>237</v>
      </c>
      <c r="E48" t="s">
        <v>1136</v>
      </c>
      <c r="F48" t="s">
        <v>1566</v>
      </c>
      <c r="G48" t="s">
        <v>1480</v>
      </c>
      <c r="H48" t="s">
        <v>1480</v>
      </c>
      <c r="I48" t="s">
        <v>1345</v>
      </c>
      <c r="J48" t="s">
        <v>1480</v>
      </c>
      <c r="K48" t="s">
        <v>1480</v>
      </c>
      <c r="L48" t="s">
        <v>49</v>
      </c>
      <c r="M48" t="s">
        <v>1327</v>
      </c>
      <c r="O48" t="s">
        <v>1493</v>
      </c>
      <c r="P48" t="s">
        <v>147</v>
      </c>
      <c r="W48" s="606"/>
      <c r="X48" s="606"/>
      <c r="Y48" s="606"/>
      <c r="Z48" s="606"/>
      <c r="AA48" s="606"/>
      <c r="AB48" s="606"/>
      <c r="AC48" s="606"/>
      <c r="AD48" s="606"/>
      <c r="AE48" s="606">
        <v>0</v>
      </c>
      <c r="AF48" s="606">
        <v>0</v>
      </c>
      <c r="AG48" s="606"/>
      <c r="AH48" s="606"/>
      <c r="AI48" s="606"/>
      <c r="AJ48" s="606"/>
      <c r="AK48" s="606"/>
      <c r="AL48" s="606"/>
      <c r="AM48" s="606">
        <v>0</v>
      </c>
      <c r="AN48" s="606">
        <v>0</v>
      </c>
      <c r="AO48" s="606"/>
      <c r="AP48" s="606">
        <v>0</v>
      </c>
      <c r="AQ48" s="606">
        <v>0</v>
      </c>
      <c r="AR48" s="606"/>
      <c r="AS48" s="606">
        <v>0</v>
      </c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606"/>
      <c r="BL48" s="606"/>
      <c r="BM48" s="606"/>
      <c r="BN48" s="606"/>
      <c r="BO48" s="606"/>
      <c r="BP48" s="606"/>
      <c r="BQ48" s="606"/>
      <c r="BR48" s="606"/>
      <c r="BS48" s="606"/>
      <c r="BT48" s="606"/>
    </row>
    <row r="49" spans="1:72" hidden="1">
      <c r="A49" t="s">
        <v>2063</v>
      </c>
      <c r="B49" t="s">
        <v>2944</v>
      </c>
      <c r="C49" t="s">
        <v>554</v>
      </c>
      <c r="D49" t="s">
        <v>554</v>
      </c>
      <c r="E49" t="s">
        <v>1136</v>
      </c>
      <c r="F49" t="s">
        <v>1566</v>
      </c>
      <c r="G49" t="s">
        <v>1480</v>
      </c>
      <c r="H49" t="s">
        <v>1480</v>
      </c>
      <c r="I49" t="s">
        <v>1345</v>
      </c>
      <c r="J49" t="s">
        <v>1480</v>
      </c>
      <c r="K49" t="s">
        <v>1346</v>
      </c>
      <c r="L49" t="s">
        <v>389</v>
      </c>
      <c r="M49" t="s">
        <v>1327</v>
      </c>
      <c r="P49" t="s">
        <v>147</v>
      </c>
      <c r="T49" t="s">
        <v>25</v>
      </c>
      <c r="W49" s="606">
        <v>0</v>
      </c>
      <c r="X49" s="606">
        <v>-0.2</v>
      </c>
      <c r="Y49" s="606"/>
      <c r="Z49" s="606"/>
      <c r="AA49" s="606">
        <v>-0.48</v>
      </c>
      <c r="AB49" s="606">
        <v>0.28999999999999998</v>
      </c>
      <c r="AC49" s="606">
        <v>-0.01</v>
      </c>
      <c r="AD49" s="606">
        <v>0.06</v>
      </c>
      <c r="AE49" s="606">
        <v>0.16</v>
      </c>
      <c r="AF49" s="606">
        <v>0.08</v>
      </c>
      <c r="AG49" s="606">
        <v>0</v>
      </c>
      <c r="AH49" s="606">
        <v>0</v>
      </c>
      <c r="AI49" s="606">
        <v>0</v>
      </c>
      <c r="AJ49" s="606">
        <v>0</v>
      </c>
      <c r="AK49" s="606">
        <v>0</v>
      </c>
      <c r="AL49" s="606">
        <v>0</v>
      </c>
      <c r="AM49" s="606">
        <v>9.9999999999999992E-2</v>
      </c>
      <c r="AN49" s="606">
        <v>0.3</v>
      </c>
      <c r="AO49" s="606">
        <v>0</v>
      </c>
      <c r="AP49" s="606">
        <v>0.08</v>
      </c>
      <c r="AQ49" s="606">
        <v>0.3</v>
      </c>
      <c r="AR49" s="606"/>
      <c r="AS49" s="606">
        <v>0.3</v>
      </c>
      <c r="AT49" s="606"/>
      <c r="AU49" s="606">
        <v>-0.48</v>
      </c>
      <c r="AV49" s="606">
        <v>0.28999999999999998</v>
      </c>
      <c r="AW49" s="606">
        <v>-0.01</v>
      </c>
      <c r="AX49" s="606">
        <v>0</v>
      </c>
      <c r="AY49" s="606">
        <v>0</v>
      </c>
      <c r="AZ49" s="606">
        <v>0</v>
      </c>
      <c r="BA49" s="606">
        <v>0</v>
      </c>
      <c r="BB49" s="606">
        <v>0</v>
      </c>
      <c r="BC49" s="606">
        <v>0</v>
      </c>
      <c r="BD49" s="606">
        <v>0</v>
      </c>
      <c r="BE49" s="606">
        <v>0</v>
      </c>
      <c r="BF49" s="606">
        <v>0</v>
      </c>
      <c r="BG49" s="606">
        <v>-0.2</v>
      </c>
      <c r="BH49" s="606">
        <v>-0.48</v>
      </c>
      <c r="BI49" s="606">
        <v>0.28999999999999998</v>
      </c>
      <c r="BJ49" s="606">
        <v>-0.01</v>
      </c>
      <c r="BK49" s="606">
        <v>0</v>
      </c>
      <c r="BL49" s="606">
        <v>0</v>
      </c>
      <c r="BM49" s="606">
        <v>0</v>
      </c>
      <c r="BN49" s="606">
        <v>0</v>
      </c>
      <c r="BO49" s="606">
        <v>0</v>
      </c>
      <c r="BP49" s="606">
        <v>0</v>
      </c>
      <c r="BQ49" s="606">
        <v>0</v>
      </c>
      <c r="BR49" s="606">
        <v>0</v>
      </c>
      <c r="BS49" s="606">
        <v>0</v>
      </c>
      <c r="BT49" s="606">
        <v>-0.2</v>
      </c>
    </row>
    <row r="50" spans="1:72" hidden="1">
      <c r="A50" t="s">
        <v>2740</v>
      </c>
      <c r="B50" t="s">
        <v>2944</v>
      </c>
      <c r="C50" t="s">
        <v>980</v>
      </c>
      <c r="D50" t="s">
        <v>980</v>
      </c>
      <c r="E50" t="s">
        <v>1136</v>
      </c>
      <c r="F50" t="s">
        <v>1566</v>
      </c>
      <c r="G50" t="s">
        <v>1480</v>
      </c>
      <c r="H50" t="s">
        <v>1480</v>
      </c>
      <c r="I50" t="s">
        <v>1345</v>
      </c>
      <c r="J50" t="s">
        <v>1480</v>
      </c>
      <c r="K50" t="s">
        <v>1346</v>
      </c>
      <c r="L50" t="s">
        <v>639</v>
      </c>
      <c r="M50" t="s">
        <v>1327</v>
      </c>
      <c r="P50" t="s">
        <v>147</v>
      </c>
      <c r="T50" t="s">
        <v>25</v>
      </c>
      <c r="W50" s="606">
        <v>0</v>
      </c>
      <c r="X50" s="606">
        <v>16.46</v>
      </c>
      <c r="Y50" s="606"/>
      <c r="Z50" s="606"/>
      <c r="AA50" s="606"/>
      <c r="AB50" s="606">
        <v>18</v>
      </c>
      <c r="AC50" s="606">
        <v>-1.54</v>
      </c>
      <c r="AD50" s="606">
        <v>-7.0000000000000007E-2</v>
      </c>
      <c r="AE50" s="606">
        <v>0.83</v>
      </c>
      <c r="AF50" s="606">
        <v>-0.54</v>
      </c>
      <c r="AG50" s="606">
        <v>0</v>
      </c>
      <c r="AH50" s="606">
        <v>0</v>
      </c>
      <c r="AI50" s="606">
        <v>0</v>
      </c>
      <c r="AJ50" s="606">
        <v>0</v>
      </c>
      <c r="AK50" s="606">
        <v>0</v>
      </c>
      <c r="AL50" s="606">
        <v>0</v>
      </c>
      <c r="AM50" s="606">
        <v>16.68</v>
      </c>
      <c r="AN50" s="606">
        <v>0.21999999999999886</v>
      </c>
      <c r="AO50" s="606">
        <v>0</v>
      </c>
      <c r="AP50" s="606">
        <v>-0.54</v>
      </c>
      <c r="AQ50" s="606">
        <v>0.21999999999999886</v>
      </c>
      <c r="AR50" s="606"/>
      <c r="AS50" s="606">
        <v>0.21999999999999886</v>
      </c>
      <c r="AT50" s="606"/>
      <c r="AU50" s="606"/>
      <c r="AV50" s="606">
        <v>18</v>
      </c>
      <c r="AW50" s="606">
        <v>-1.54</v>
      </c>
      <c r="AX50" s="606">
        <v>0</v>
      </c>
      <c r="AY50" s="606">
        <v>0</v>
      </c>
      <c r="AZ50" s="606">
        <v>0</v>
      </c>
      <c r="BA50" s="606">
        <v>0</v>
      </c>
      <c r="BB50" s="606">
        <v>0</v>
      </c>
      <c r="BC50" s="606">
        <v>0</v>
      </c>
      <c r="BD50" s="606">
        <v>0</v>
      </c>
      <c r="BE50" s="606">
        <v>0</v>
      </c>
      <c r="BF50" s="606">
        <v>0</v>
      </c>
      <c r="BG50" s="606">
        <v>16.46</v>
      </c>
      <c r="BH50" s="606"/>
      <c r="BI50" s="606">
        <v>18</v>
      </c>
      <c r="BJ50" s="606">
        <v>-1.54</v>
      </c>
      <c r="BK50" s="606">
        <v>0</v>
      </c>
      <c r="BL50" s="606">
        <v>0</v>
      </c>
      <c r="BM50" s="606">
        <v>0</v>
      </c>
      <c r="BN50" s="606">
        <v>0</v>
      </c>
      <c r="BO50" s="606">
        <v>0</v>
      </c>
      <c r="BP50" s="606">
        <v>0</v>
      </c>
      <c r="BQ50" s="606">
        <v>0</v>
      </c>
      <c r="BR50" s="606">
        <v>0</v>
      </c>
      <c r="BS50" s="606">
        <v>0</v>
      </c>
      <c r="BT50" s="606">
        <v>16.46</v>
      </c>
    </row>
    <row r="51" spans="1:72" hidden="1">
      <c r="A51" t="s">
        <v>1641</v>
      </c>
      <c r="B51" t="s">
        <v>2944</v>
      </c>
      <c r="C51" t="s">
        <v>319</v>
      </c>
      <c r="D51" t="s">
        <v>1642</v>
      </c>
      <c r="E51" t="s">
        <v>1136</v>
      </c>
      <c r="F51" t="s">
        <v>1566</v>
      </c>
      <c r="G51" t="s">
        <v>1566</v>
      </c>
      <c r="H51" t="s">
        <v>1566</v>
      </c>
      <c r="I51" t="s">
        <v>1567</v>
      </c>
      <c r="J51" t="s">
        <v>1567</v>
      </c>
      <c r="K51" t="s">
        <v>1567</v>
      </c>
      <c r="L51" t="s">
        <v>49</v>
      </c>
      <c r="M51" t="s">
        <v>1327</v>
      </c>
      <c r="P51" t="s">
        <v>147</v>
      </c>
      <c r="T51" t="s">
        <v>25</v>
      </c>
      <c r="W51" s="606">
        <v>0</v>
      </c>
      <c r="X51" s="606">
        <v>-2284.04</v>
      </c>
      <c r="Y51" s="606"/>
      <c r="Z51" s="606"/>
      <c r="AA51" s="606">
        <v>0.08</v>
      </c>
      <c r="AB51" s="606">
        <v>-0.17</v>
      </c>
      <c r="AC51" s="606">
        <v>-2283.9499999999998</v>
      </c>
      <c r="AD51" s="606">
        <v>5124.1100000000006</v>
      </c>
      <c r="AE51" s="606">
        <v>-6526.2599999999993</v>
      </c>
      <c r="AF51" s="606">
        <v>97626.25</v>
      </c>
      <c r="AG51" s="606">
        <v>0</v>
      </c>
      <c r="AH51" s="606">
        <v>0</v>
      </c>
      <c r="AI51" s="606">
        <v>0</v>
      </c>
      <c r="AJ51" s="606">
        <v>0</v>
      </c>
      <c r="AK51" s="606">
        <v>0</v>
      </c>
      <c r="AL51" s="606">
        <v>0</v>
      </c>
      <c r="AM51" s="606">
        <v>93940.06</v>
      </c>
      <c r="AN51" s="606">
        <v>96224.099999999991</v>
      </c>
      <c r="AO51" s="606">
        <v>0</v>
      </c>
      <c r="AP51" s="606">
        <v>97626.25</v>
      </c>
      <c r="AQ51" s="606">
        <v>96224.099999999991</v>
      </c>
      <c r="AR51" s="606"/>
      <c r="AS51" s="606">
        <v>96224.099999999991</v>
      </c>
      <c r="AT51" s="606"/>
      <c r="AU51" s="606">
        <v>0.08</v>
      </c>
      <c r="AV51" s="606">
        <v>-0.17</v>
      </c>
      <c r="AW51" s="606">
        <v>-2283.9499999999998</v>
      </c>
      <c r="AX51" s="606">
        <v>0</v>
      </c>
      <c r="AY51" s="606">
        <v>0</v>
      </c>
      <c r="AZ51" s="606">
        <v>0</v>
      </c>
      <c r="BA51" s="606">
        <v>0</v>
      </c>
      <c r="BB51" s="606">
        <v>0</v>
      </c>
      <c r="BC51" s="606">
        <v>0</v>
      </c>
      <c r="BD51" s="606">
        <v>0</v>
      </c>
      <c r="BE51" s="606">
        <v>0</v>
      </c>
      <c r="BF51" s="606">
        <v>0</v>
      </c>
      <c r="BG51" s="606">
        <v>-2284.04</v>
      </c>
      <c r="BH51" s="606">
        <v>0.08</v>
      </c>
      <c r="BI51" s="606">
        <v>-0.17</v>
      </c>
      <c r="BJ51" s="606">
        <v>-2283.9499999999998</v>
      </c>
      <c r="BK51" s="606">
        <v>0</v>
      </c>
      <c r="BL51" s="606">
        <v>0</v>
      </c>
      <c r="BM51" s="606">
        <v>0</v>
      </c>
      <c r="BN51" s="606">
        <v>0</v>
      </c>
      <c r="BO51" s="606">
        <v>0</v>
      </c>
      <c r="BP51" s="606">
        <v>0</v>
      </c>
      <c r="BQ51" s="606">
        <v>0</v>
      </c>
      <c r="BR51" s="606">
        <v>0</v>
      </c>
      <c r="BS51" s="606">
        <v>0</v>
      </c>
      <c r="BT51" s="606">
        <v>-2284.04</v>
      </c>
    </row>
    <row r="52" spans="1:72" hidden="1">
      <c r="A52" t="s">
        <v>1744</v>
      </c>
      <c r="B52" t="s">
        <v>2944</v>
      </c>
      <c r="C52" t="s">
        <v>384</v>
      </c>
      <c r="D52" t="s">
        <v>1745</v>
      </c>
      <c r="E52" t="s">
        <v>1136</v>
      </c>
      <c r="F52" t="s">
        <v>1566</v>
      </c>
      <c r="G52" t="s">
        <v>1566</v>
      </c>
      <c r="H52" t="s">
        <v>1566</v>
      </c>
      <c r="I52" t="s">
        <v>1345</v>
      </c>
      <c r="J52" t="s">
        <v>1346</v>
      </c>
      <c r="K52" t="s">
        <v>1346</v>
      </c>
      <c r="L52" t="s">
        <v>342</v>
      </c>
      <c r="M52" t="s">
        <v>1327</v>
      </c>
      <c r="P52" t="s">
        <v>147</v>
      </c>
      <c r="T52" t="s">
        <v>25</v>
      </c>
      <c r="W52" s="606">
        <v>0</v>
      </c>
      <c r="X52" s="606">
        <v>835.42000000000007</v>
      </c>
      <c r="Y52" s="606"/>
      <c r="Z52" s="606"/>
      <c r="AA52" s="606">
        <v>-0.14000000000000001</v>
      </c>
      <c r="AB52" s="606">
        <v>464.29</v>
      </c>
      <c r="AC52" s="606">
        <v>371.27</v>
      </c>
      <c r="AD52" s="606">
        <v>-0.06</v>
      </c>
      <c r="AE52" s="606">
        <v>2499.4899999999998</v>
      </c>
      <c r="AF52" s="606">
        <v>-0.11</v>
      </c>
      <c r="AG52" s="606">
        <v>0</v>
      </c>
      <c r="AH52" s="606">
        <v>0</v>
      </c>
      <c r="AI52" s="606">
        <v>0</v>
      </c>
      <c r="AJ52" s="606">
        <v>0</v>
      </c>
      <c r="AK52" s="606">
        <v>0</v>
      </c>
      <c r="AL52" s="606">
        <v>0</v>
      </c>
      <c r="AM52" s="606">
        <v>3334.74</v>
      </c>
      <c r="AN52" s="606">
        <v>2499.3199999999997</v>
      </c>
      <c r="AO52" s="606">
        <v>0</v>
      </c>
      <c r="AP52" s="606">
        <v>-0.11</v>
      </c>
      <c r="AQ52" s="606">
        <v>2499.3199999999997</v>
      </c>
      <c r="AR52" s="606"/>
      <c r="AS52" s="606">
        <v>2499.3199999999997</v>
      </c>
      <c r="AT52" s="606"/>
      <c r="AU52" s="606">
        <v>-0.14000000000000001</v>
      </c>
      <c r="AV52" s="606">
        <v>464.29</v>
      </c>
      <c r="AW52" s="606">
        <v>371.27</v>
      </c>
      <c r="AX52" s="606">
        <v>0</v>
      </c>
      <c r="AY52" s="606">
        <v>0</v>
      </c>
      <c r="AZ52" s="606">
        <v>0</v>
      </c>
      <c r="BA52" s="606">
        <v>0</v>
      </c>
      <c r="BB52" s="606">
        <v>0</v>
      </c>
      <c r="BC52" s="606">
        <v>0</v>
      </c>
      <c r="BD52" s="606">
        <v>0</v>
      </c>
      <c r="BE52" s="606">
        <v>0</v>
      </c>
      <c r="BF52" s="606">
        <v>0</v>
      </c>
      <c r="BG52" s="606">
        <v>835.42000000000007</v>
      </c>
      <c r="BH52" s="606">
        <v>-0.14000000000000001</v>
      </c>
      <c r="BI52" s="606">
        <v>464.29</v>
      </c>
      <c r="BJ52" s="606">
        <v>371.27</v>
      </c>
      <c r="BK52" s="606">
        <v>0</v>
      </c>
      <c r="BL52" s="606">
        <v>0</v>
      </c>
      <c r="BM52" s="606">
        <v>0</v>
      </c>
      <c r="BN52" s="606">
        <v>0</v>
      </c>
      <c r="BO52" s="606">
        <v>0</v>
      </c>
      <c r="BP52" s="606">
        <v>0</v>
      </c>
      <c r="BQ52" s="606">
        <v>0</v>
      </c>
      <c r="BR52" s="606">
        <v>0</v>
      </c>
      <c r="BS52" s="606">
        <v>0</v>
      </c>
      <c r="BT52" s="606">
        <v>835.42000000000007</v>
      </c>
    </row>
    <row r="53" spans="1:72" hidden="1">
      <c r="A53" t="s">
        <v>2131</v>
      </c>
      <c r="B53" t="s">
        <v>2944</v>
      </c>
      <c r="C53" t="s">
        <v>588</v>
      </c>
      <c r="D53" t="s">
        <v>2132</v>
      </c>
      <c r="E53" t="s">
        <v>1136</v>
      </c>
      <c r="F53" t="s">
        <v>1566</v>
      </c>
      <c r="G53" t="s">
        <v>1566</v>
      </c>
      <c r="H53" t="s">
        <v>1566</v>
      </c>
      <c r="I53" t="s">
        <v>1567</v>
      </c>
      <c r="J53" t="s">
        <v>1567</v>
      </c>
      <c r="K53" t="s">
        <v>1567</v>
      </c>
      <c r="L53" t="s">
        <v>389</v>
      </c>
      <c r="M53" t="s">
        <v>1327</v>
      </c>
      <c r="P53" t="s">
        <v>147</v>
      </c>
      <c r="T53" t="s">
        <v>25</v>
      </c>
      <c r="W53" s="606">
        <v>0</v>
      </c>
      <c r="X53" s="606">
        <v>1501.59</v>
      </c>
      <c r="Y53" s="606"/>
      <c r="Z53" s="606"/>
      <c r="AA53" s="606">
        <v>-0.46</v>
      </c>
      <c r="AB53" s="606">
        <v>0.71</v>
      </c>
      <c r="AC53" s="606">
        <v>1501.34</v>
      </c>
      <c r="AD53" s="606">
        <v>0.24</v>
      </c>
      <c r="AE53" s="606">
        <v>0.2</v>
      </c>
      <c r="AF53" s="606">
        <v>1249.95</v>
      </c>
      <c r="AG53" s="606">
        <v>0</v>
      </c>
      <c r="AH53" s="606">
        <v>0</v>
      </c>
      <c r="AI53" s="606">
        <v>0</v>
      </c>
      <c r="AJ53" s="606">
        <v>0</v>
      </c>
      <c r="AK53" s="606">
        <v>0</v>
      </c>
      <c r="AL53" s="606">
        <v>0</v>
      </c>
      <c r="AM53" s="606">
        <v>2751.98</v>
      </c>
      <c r="AN53" s="606">
        <v>1250.3900000000001</v>
      </c>
      <c r="AO53" s="606">
        <v>0</v>
      </c>
      <c r="AP53" s="606">
        <v>1249.95</v>
      </c>
      <c r="AQ53" s="606">
        <v>1250.3900000000001</v>
      </c>
      <c r="AR53" s="606"/>
      <c r="AS53" s="606">
        <v>1250.3900000000001</v>
      </c>
      <c r="AT53" s="606"/>
      <c r="AU53" s="606">
        <v>-0.46</v>
      </c>
      <c r="AV53" s="606">
        <v>0.71</v>
      </c>
      <c r="AW53" s="606">
        <v>1501.34</v>
      </c>
      <c r="AX53" s="606">
        <v>0</v>
      </c>
      <c r="AY53" s="606">
        <v>0</v>
      </c>
      <c r="AZ53" s="606">
        <v>0</v>
      </c>
      <c r="BA53" s="606">
        <v>0</v>
      </c>
      <c r="BB53" s="606">
        <v>0</v>
      </c>
      <c r="BC53" s="606">
        <v>0</v>
      </c>
      <c r="BD53" s="606">
        <v>0</v>
      </c>
      <c r="BE53" s="606">
        <v>0</v>
      </c>
      <c r="BF53" s="606">
        <v>0</v>
      </c>
      <c r="BG53" s="606">
        <v>1501.59</v>
      </c>
      <c r="BH53" s="606">
        <v>-0.46</v>
      </c>
      <c r="BI53" s="606">
        <v>0.71</v>
      </c>
      <c r="BJ53" s="606">
        <v>1501.34</v>
      </c>
      <c r="BK53" s="606">
        <v>0</v>
      </c>
      <c r="BL53" s="606">
        <v>0</v>
      </c>
      <c r="BM53" s="606">
        <v>0</v>
      </c>
      <c r="BN53" s="606">
        <v>0</v>
      </c>
      <c r="BO53" s="606">
        <v>0</v>
      </c>
      <c r="BP53" s="606">
        <v>0</v>
      </c>
      <c r="BQ53" s="606">
        <v>0</v>
      </c>
      <c r="BR53" s="606">
        <v>0</v>
      </c>
      <c r="BS53" s="606">
        <v>0</v>
      </c>
      <c r="BT53" s="606">
        <v>1501.59</v>
      </c>
    </row>
    <row r="54" spans="1:72" hidden="1">
      <c r="A54" t="s">
        <v>2197</v>
      </c>
      <c r="B54" t="s">
        <v>2944</v>
      </c>
      <c r="C54" t="s">
        <v>634</v>
      </c>
      <c r="D54" t="s">
        <v>2198</v>
      </c>
      <c r="E54" t="s">
        <v>1136</v>
      </c>
      <c r="F54" t="s">
        <v>1566</v>
      </c>
      <c r="G54" t="s">
        <v>1566</v>
      </c>
      <c r="H54" t="s">
        <v>1566</v>
      </c>
      <c r="I54" t="s">
        <v>1567</v>
      </c>
      <c r="J54" t="s">
        <v>1567</v>
      </c>
      <c r="K54" t="s">
        <v>1567</v>
      </c>
      <c r="L54" t="s">
        <v>629</v>
      </c>
      <c r="M54" t="s">
        <v>1327</v>
      </c>
      <c r="O54" t="s">
        <v>1593</v>
      </c>
      <c r="P54" t="s">
        <v>147</v>
      </c>
      <c r="W54" s="606"/>
      <c r="X54" s="606"/>
      <c r="Y54" s="606"/>
      <c r="Z54" s="606"/>
      <c r="AA54" s="606"/>
      <c r="AB54" s="606"/>
      <c r="AC54" s="606"/>
      <c r="AD54" s="606"/>
      <c r="AE54" s="606">
        <v>0</v>
      </c>
      <c r="AF54" s="606">
        <v>0</v>
      </c>
      <c r="AG54" s="606"/>
      <c r="AH54" s="606"/>
      <c r="AI54" s="606"/>
      <c r="AJ54" s="606"/>
      <c r="AK54" s="606"/>
      <c r="AL54" s="606"/>
      <c r="AM54" s="606">
        <v>0</v>
      </c>
      <c r="AN54" s="606">
        <v>0</v>
      </c>
      <c r="AO54" s="606"/>
      <c r="AP54" s="606">
        <v>0</v>
      </c>
      <c r="AQ54" s="606">
        <v>0</v>
      </c>
      <c r="AR54" s="606"/>
      <c r="AS54" s="606">
        <v>0</v>
      </c>
      <c r="AT54" s="606"/>
      <c r="AU54" s="606"/>
      <c r="AV54" s="606"/>
      <c r="AW54" s="606"/>
      <c r="AX54" s="606"/>
      <c r="AY54" s="606"/>
      <c r="AZ54" s="606"/>
      <c r="BA54" s="606"/>
      <c r="BB54" s="606"/>
      <c r="BC54" s="606"/>
      <c r="BD54" s="606"/>
      <c r="BE54" s="606"/>
      <c r="BF54" s="606"/>
      <c r="BG54" s="606"/>
      <c r="BH54" s="606"/>
      <c r="BI54" s="606"/>
      <c r="BJ54" s="606"/>
      <c r="BK54" s="606"/>
      <c r="BL54" s="606"/>
      <c r="BM54" s="606"/>
      <c r="BN54" s="606"/>
      <c r="BO54" s="606"/>
      <c r="BP54" s="606"/>
      <c r="BQ54" s="606"/>
      <c r="BR54" s="606"/>
      <c r="BS54" s="606"/>
      <c r="BT54" s="606"/>
    </row>
    <row r="55" spans="1:72" hidden="1">
      <c r="A55" t="s">
        <v>2805</v>
      </c>
      <c r="B55" t="s">
        <v>2944</v>
      </c>
      <c r="C55" t="s">
        <v>1015</v>
      </c>
      <c r="D55" t="s">
        <v>2806</v>
      </c>
      <c r="E55" t="s">
        <v>1136</v>
      </c>
      <c r="F55" t="s">
        <v>1566</v>
      </c>
      <c r="G55" t="s">
        <v>1566</v>
      </c>
      <c r="H55" t="s">
        <v>1566</v>
      </c>
      <c r="I55" t="s">
        <v>1345</v>
      </c>
      <c r="J55" t="s">
        <v>1346</v>
      </c>
      <c r="K55" t="s">
        <v>1346</v>
      </c>
      <c r="L55" t="s">
        <v>639</v>
      </c>
      <c r="M55" t="s">
        <v>1327</v>
      </c>
      <c r="P55" t="s">
        <v>147</v>
      </c>
      <c r="T55" t="s">
        <v>25</v>
      </c>
      <c r="W55" s="606">
        <v>0</v>
      </c>
      <c r="X55" s="606">
        <v>2702.75</v>
      </c>
      <c r="Y55" s="606"/>
      <c r="Z55" s="606"/>
      <c r="AA55" s="606">
        <v>45.54</v>
      </c>
      <c r="AB55" s="606">
        <v>0.09</v>
      </c>
      <c r="AC55" s="606">
        <v>2657.12</v>
      </c>
      <c r="AD55" s="606">
        <v>12.72</v>
      </c>
      <c r="AE55" s="606">
        <v>29.21</v>
      </c>
      <c r="AF55" s="606">
        <v>7.47</v>
      </c>
      <c r="AG55" s="606">
        <v>0</v>
      </c>
      <c r="AH55" s="606">
        <v>0</v>
      </c>
      <c r="AI55" s="606">
        <v>0</v>
      </c>
      <c r="AJ55" s="606">
        <v>0</v>
      </c>
      <c r="AK55" s="606">
        <v>0</v>
      </c>
      <c r="AL55" s="606">
        <v>0</v>
      </c>
      <c r="AM55" s="606">
        <v>2752.1499999999996</v>
      </c>
      <c r="AN55" s="606">
        <v>49.399999999999636</v>
      </c>
      <c r="AO55" s="606">
        <v>0</v>
      </c>
      <c r="AP55" s="606">
        <v>7.47</v>
      </c>
      <c r="AQ55" s="606">
        <v>49.399999999999636</v>
      </c>
      <c r="AR55" s="606"/>
      <c r="AS55" s="606">
        <v>49.399999999999636</v>
      </c>
      <c r="AT55" s="606"/>
      <c r="AU55" s="606">
        <v>45.54</v>
      </c>
      <c r="AV55" s="606">
        <v>0.09</v>
      </c>
      <c r="AW55" s="606">
        <v>2657.12</v>
      </c>
      <c r="AX55" s="606">
        <v>0</v>
      </c>
      <c r="AY55" s="606">
        <v>0</v>
      </c>
      <c r="AZ55" s="606">
        <v>0</v>
      </c>
      <c r="BA55" s="606">
        <v>0</v>
      </c>
      <c r="BB55" s="606">
        <v>0</v>
      </c>
      <c r="BC55" s="606">
        <v>0</v>
      </c>
      <c r="BD55" s="606">
        <v>0</v>
      </c>
      <c r="BE55" s="606">
        <v>0</v>
      </c>
      <c r="BF55" s="606">
        <v>0</v>
      </c>
      <c r="BG55" s="606">
        <v>2702.75</v>
      </c>
      <c r="BH55" s="606">
        <v>45.54</v>
      </c>
      <c r="BI55" s="606">
        <v>0.09</v>
      </c>
      <c r="BJ55" s="606">
        <v>2657.12</v>
      </c>
      <c r="BK55" s="606">
        <v>0</v>
      </c>
      <c r="BL55" s="606">
        <v>0</v>
      </c>
      <c r="BM55" s="606">
        <v>0</v>
      </c>
      <c r="BN55" s="606">
        <v>0</v>
      </c>
      <c r="BO55" s="606">
        <v>0</v>
      </c>
      <c r="BP55" s="606">
        <v>0</v>
      </c>
      <c r="BQ55" s="606">
        <v>0</v>
      </c>
      <c r="BR55" s="606">
        <v>0</v>
      </c>
      <c r="BS55" s="606">
        <v>0</v>
      </c>
      <c r="BT55" s="606">
        <v>2702.75</v>
      </c>
    </row>
    <row r="56" spans="1:72" hidden="1">
      <c r="A56" t="s">
        <v>2177</v>
      </c>
      <c r="B56" t="s">
        <v>2944</v>
      </c>
      <c r="C56" t="s">
        <v>619</v>
      </c>
      <c r="D56" t="s">
        <v>2178</v>
      </c>
      <c r="E56" t="s">
        <v>1136</v>
      </c>
      <c r="F56" t="s">
        <v>1566</v>
      </c>
      <c r="G56" t="s">
        <v>1566</v>
      </c>
      <c r="H56" t="s">
        <v>1566</v>
      </c>
      <c r="I56" t="s">
        <v>1567</v>
      </c>
      <c r="J56" t="s">
        <v>1567</v>
      </c>
      <c r="K56" t="s">
        <v>1567</v>
      </c>
      <c r="L56" t="s">
        <v>602</v>
      </c>
      <c r="M56" t="s">
        <v>2176</v>
      </c>
      <c r="P56" t="s">
        <v>620</v>
      </c>
      <c r="T56" t="s">
        <v>25</v>
      </c>
      <c r="W56" s="606">
        <v>0</v>
      </c>
      <c r="X56" s="606">
        <v>11815.17</v>
      </c>
      <c r="Y56" s="606"/>
      <c r="Z56" s="606"/>
      <c r="AA56" s="606"/>
      <c r="AB56" s="606">
        <v>11815.17</v>
      </c>
      <c r="AC56" s="606">
        <v>0</v>
      </c>
      <c r="AD56" s="606" t="s">
        <v>1142</v>
      </c>
      <c r="AE56" s="606">
        <v>0</v>
      </c>
      <c r="AF56" s="606">
        <v>0</v>
      </c>
      <c r="AG56" s="606">
        <v>0</v>
      </c>
      <c r="AH56" s="606">
        <v>0</v>
      </c>
      <c r="AI56" s="606">
        <v>0</v>
      </c>
      <c r="AJ56" s="606">
        <v>0</v>
      </c>
      <c r="AK56" s="606">
        <v>0</v>
      </c>
      <c r="AL56" s="606">
        <v>0</v>
      </c>
      <c r="AM56" s="606">
        <v>11815.17</v>
      </c>
      <c r="AN56" s="606">
        <v>0</v>
      </c>
      <c r="AO56" s="606">
        <v>0</v>
      </c>
      <c r="AP56" s="606">
        <v>0</v>
      </c>
      <c r="AQ56" s="606">
        <v>0</v>
      </c>
      <c r="AR56" s="606"/>
      <c r="AS56" s="606">
        <v>0</v>
      </c>
      <c r="AT56" s="606"/>
      <c r="AU56" s="606"/>
      <c r="AV56" s="606">
        <v>11815.17</v>
      </c>
      <c r="AW56" s="606">
        <v>0</v>
      </c>
      <c r="AX56" s="606">
        <v>0</v>
      </c>
      <c r="AY56" s="606">
        <v>0</v>
      </c>
      <c r="AZ56" s="606">
        <v>0</v>
      </c>
      <c r="BA56" s="606">
        <v>0</v>
      </c>
      <c r="BB56" s="606">
        <v>0</v>
      </c>
      <c r="BC56" s="606">
        <v>0</v>
      </c>
      <c r="BD56" s="606">
        <v>0</v>
      </c>
      <c r="BE56" s="606">
        <v>0</v>
      </c>
      <c r="BF56" s="606">
        <v>0</v>
      </c>
      <c r="BG56" s="606">
        <v>11815.17</v>
      </c>
      <c r="BH56" s="606"/>
      <c r="BI56" s="606">
        <v>11815.17</v>
      </c>
      <c r="BJ56" s="606">
        <v>0</v>
      </c>
      <c r="BK56" s="606">
        <v>0</v>
      </c>
      <c r="BL56" s="606">
        <v>0</v>
      </c>
      <c r="BM56" s="606">
        <v>0</v>
      </c>
      <c r="BN56" s="606">
        <v>0</v>
      </c>
      <c r="BO56" s="606">
        <v>0</v>
      </c>
      <c r="BP56" s="606">
        <v>0</v>
      </c>
      <c r="BQ56" s="606">
        <v>0</v>
      </c>
      <c r="BR56" s="606">
        <v>0</v>
      </c>
      <c r="BS56" s="606">
        <v>0</v>
      </c>
      <c r="BT56" s="606">
        <v>11815.17</v>
      </c>
    </row>
    <row r="57" spans="1:72" hidden="1">
      <c r="A57" t="s">
        <v>2155</v>
      </c>
      <c r="B57" t="s">
        <v>2944</v>
      </c>
      <c r="C57" t="s">
        <v>609</v>
      </c>
      <c r="D57" t="s">
        <v>609</v>
      </c>
      <c r="E57" t="s">
        <v>1136</v>
      </c>
      <c r="F57" t="s">
        <v>1566</v>
      </c>
      <c r="G57" t="s">
        <v>1135</v>
      </c>
      <c r="H57" t="s">
        <v>1135</v>
      </c>
      <c r="I57" t="s">
        <v>1135</v>
      </c>
      <c r="J57" t="s">
        <v>1135</v>
      </c>
      <c r="K57" t="s">
        <v>1137</v>
      </c>
      <c r="L57" t="s">
        <v>602</v>
      </c>
      <c r="M57" t="s">
        <v>611</v>
      </c>
      <c r="P57" t="s">
        <v>610</v>
      </c>
      <c r="T57" t="s">
        <v>611</v>
      </c>
      <c r="W57" s="606">
        <v>0</v>
      </c>
      <c r="X57" s="606">
        <v>69</v>
      </c>
      <c r="Y57" s="606"/>
      <c r="Z57" s="606"/>
      <c r="AA57" s="606">
        <v>-0.08</v>
      </c>
      <c r="AB57" s="606">
        <v>69.08</v>
      </c>
      <c r="AC57" s="606">
        <v>0</v>
      </c>
      <c r="AD57" s="606">
        <v>61</v>
      </c>
      <c r="AE57" s="606">
        <v>104</v>
      </c>
      <c r="AF57" s="606">
        <v>88</v>
      </c>
      <c r="AG57" s="606">
        <v>0</v>
      </c>
      <c r="AH57" s="606">
        <v>0</v>
      </c>
      <c r="AI57" s="606">
        <v>0</v>
      </c>
      <c r="AJ57" s="606">
        <v>0</v>
      </c>
      <c r="AK57" s="606">
        <v>0</v>
      </c>
      <c r="AL57" s="606">
        <v>0</v>
      </c>
      <c r="AM57" s="606">
        <v>322</v>
      </c>
      <c r="AN57" s="606">
        <v>253</v>
      </c>
      <c r="AO57" s="606">
        <v>0</v>
      </c>
      <c r="AP57" s="606">
        <v>88</v>
      </c>
      <c r="AQ57" s="606">
        <v>253</v>
      </c>
      <c r="AR57" s="606"/>
      <c r="AS57" s="606">
        <v>253</v>
      </c>
      <c r="AT57" s="606"/>
      <c r="AU57" s="606">
        <v>-0.08</v>
      </c>
      <c r="AV57" s="606">
        <v>69.08</v>
      </c>
      <c r="AW57" s="606">
        <v>0</v>
      </c>
      <c r="AX57" s="606">
        <v>0</v>
      </c>
      <c r="AY57" s="606">
        <v>0</v>
      </c>
      <c r="AZ57" s="606">
        <v>0</v>
      </c>
      <c r="BA57" s="606">
        <v>0</v>
      </c>
      <c r="BB57" s="606">
        <v>0</v>
      </c>
      <c r="BC57" s="606">
        <v>0</v>
      </c>
      <c r="BD57" s="606">
        <v>0</v>
      </c>
      <c r="BE57" s="606">
        <v>0</v>
      </c>
      <c r="BF57" s="606">
        <v>0</v>
      </c>
      <c r="BG57" s="606">
        <v>69</v>
      </c>
      <c r="BH57" s="606">
        <v>-0.08</v>
      </c>
      <c r="BI57" s="606">
        <v>69.08</v>
      </c>
      <c r="BJ57" s="606">
        <v>0</v>
      </c>
      <c r="BK57" s="606">
        <v>0</v>
      </c>
      <c r="BL57" s="606">
        <v>0</v>
      </c>
      <c r="BM57" s="606">
        <v>0</v>
      </c>
      <c r="BN57" s="606">
        <v>0</v>
      </c>
      <c r="BO57" s="606">
        <v>0</v>
      </c>
      <c r="BP57" s="606">
        <v>0</v>
      </c>
      <c r="BQ57" s="606">
        <v>0</v>
      </c>
      <c r="BR57" s="606">
        <v>0</v>
      </c>
      <c r="BS57" s="606">
        <v>0</v>
      </c>
      <c r="BT57" s="606">
        <v>69</v>
      </c>
    </row>
    <row r="58" spans="1:72" hidden="1">
      <c r="A58" t="s">
        <v>2180</v>
      </c>
      <c r="B58" t="s">
        <v>2944</v>
      </c>
      <c r="C58" t="s">
        <v>621</v>
      </c>
      <c r="D58" t="s">
        <v>2181</v>
      </c>
      <c r="E58" t="s">
        <v>1136</v>
      </c>
      <c r="F58" t="s">
        <v>1566</v>
      </c>
      <c r="G58" t="s">
        <v>1566</v>
      </c>
      <c r="H58" t="s">
        <v>1566</v>
      </c>
      <c r="I58" t="s">
        <v>1345</v>
      </c>
      <c r="J58" t="s">
        <v>1346</v>
      </c>
      <c r="K58" t="s">
        <v>1346</v>
      </c>
      <c r="L58" t="s">
        <v>602</v>
      </c>
      <c r="M58" t="s">
        <v>611</v>
      </c>
      <c r="P58" t="s">
        <v>610</v>
      </c>
      <c r="T58" t="s">
        <v>611</v>
      </c>
      <c r="W58" s="606">
        <v>0</v>
      </c>
      <c r="X58" s="606">
        <v>9893.24</v>
      </c>
      <c r="Y58" s="606"/>
      <c r="Z58" s="606"/>
      <c r="AA58" s="606">
        <v>478.59</v>
      </c>
      <c r="AB58" s="606">
        <v>9120.75</v>
      </c>
      <c r="AC58" s="606">
        <v>293.89999999999998</v>
      </c>
      <c r="AD58" s="606">
        <v>94.080000000000013</v>
      </c>
      <c r="AE58" s="606">
        <v>275.29999999999984</v>
      </c>
      <c r="AF58" s="606">
        <v>-458.89999999999986</v>
      </c>
      <c r="AG58" s="606">
        <v>0</v>
      </c>
      <c r="AH58" s="606">
        <v>0</v>
      </c>
      <c r="AI58" s="606">
        <v>0</v>
      </c>
      <c r="AJ58" s="606">
        <v>0</v>
      </c>
      <c r="AK58" s="606">
        <v>0</v>
      </c>
      <c r="AL58" s="606">
        <v>0</v>
      </c>
      <c r="AM58" s="606">
        <v>9803.7199999999993</v>
      </c>
      <c r="AN58" s="606">
        <v>-89.520000000000437</v>
      </c>
      <c r="AO58" s="606">
        <v>0</v>
      </c>
      <c r="AP58" s="606">
        <v>-458.89999999999986</v>
      </c>
      <c r="AQ58" s="606">
        <v>-89.520000000000437</v>
      </c>
      <c r="AR58" s="606"/>
      <c r="AS58" s="606">
        <v>-89.520000000000437</v>
      </c>
      <c r="AT58" s="606"/>
      <c r="AU58" s="606">
        <v>478.59</v>
      </c>
      <c r="AV58" s="606">
        <v>9120.75</v>
      </c>
      <c r="AW58" s="606">
        <v>293.89999999999998</v>
      </c>
      <c r="AX58" s="606">
        <v>0</v>
      </c>
      <c r="AY58" s="606">
        <v>0</v>
      </c>
      <c r="AZ58" s="606">
        <v>0</v>
      </c>
      <c r="BA58" s="606">
        <v>0</v>
      </c>
      <c r="BB58" s="606">
        <v>0</v>
      </c>
      <c r="BC58" s="606">
        <v>0</v>
      </c>
      <c r="BD58" s="606">
        <v>0</v>
      </c>
      <c r="BE58" s="606">
        <v>0</v>
      </c>
      <c r="BF58" s="606">
        <v>0</v>
      </c>
      <c r="BG58" s="606">
        <v>9893.24</v>
      </c>
      <c r="BH58" s="606">
        <v>478.59</v>
      </c>
      <c r="BI58" s="606">
        <v>9120.75</v>
      </c>
      <c r="BJ58" s="606">
        <v>293.89999999999998</v>
      </c>
      <c r="BK58" s="606">
        <v>0</v>
      </c>
      <c r="BL58" s="606">
        <v>0</v>
      </c>
      <c r="BM58" s="606">
        <v>0</v>
      </c>
      <c r="BN58" s="606">
        <v>0</v>
      </c>
      <c r="BO58" s="606">
        <v>0</v>
      </c>
      <c r="BP58" s="606">
        <v>0</v>
      </c>
      <c r="BQ58" s="606">
        <v>0</v>
      </c>
      <c r="BR58" s="606">
        <v>0</v>
      </c>
      <c r="BS58" s="606">
        <v>0</v>
      </c>
      <c r="BT58" s="606">
        <v>9893.24</v>
      </c>
    </row>
    <row r="59" spans="1:72" hidden="1">
      <c r="A59" t="s">
        <v>1339</v>
      </c>
      <c r="B59" t="s">
        <v>2944</v>
      </c>
      <c r="C59" t="s">
        <v>148</v>
      </c>
      <c r="D59" t="s">
        <v>148</v>
      </c>
      <c r="E59" t="s">
        <v>1136</v>
      </c>
      <c r="F59" t="s">
        <v>1566</v>
      </c>
      <c r="G59" t="s">
        <v>1135</v>
      </c>
      <c r="H59" t="s">
        <v>1135</v>
      </c>
      <c r="I59" t="s">
        <v>1135</v>
      </c>
      <c r="J59" t="s">
        <v>1135</v>
      </c>
      <c r="K59" t="s">
        <v>1137</v>
      </c>
      <c r="L59" t="s">
        <v>49</v>
      </c>
      <c r="M59" t="s">
        <v>1340</v>
      </c>
      <c r="P59" t="s">
        <v>149</v>
      </c>
      <c r="Q59" t="s">
        <v>1139</v>
      </c>
      <c r="T59" t="s">
        <v>25</v>
      </c>
      <c r="W59" s="606">
        <v>0</v>
      </c>
      <c r="X59" s="606">
        <v>-16166.66</v>
      </c>
      <c r="Y59" s="606"/>
      <c r="Z59" s="606"/>
      <c r="AA59" s="606">
        <v>0.34</v>
      </c>
      <c r="AB59" s="606">
        <v>-10499.16</v>
      </c>
      <c r="AC59" s="606">
        <v>-5667.84</v>
      </c>
      <c r="AD59" s="606">
        <v>0</v>
      </c>
      <c r="AE59" s="606">
        <v>0</v>
      </c>
      <c r="AF59" s="606">
        <v>0</v>
      </c>
      <c r="AG59" s="606">
        <v>0</v>
      </c>
      <c r="AH59" s="606">
        <v>0</v>
      </c>
      <c r="AI59" s="606">
        <v>0</v>
      </c>
      <c r="AJ59" s="606">
        <v>0</v>
      </c>
      <c r="AK59" s="606">
        <v>0</v>
      </c>
      <c r="AL59" s="606">
        <v>0</v>
      </c>
      <c r="AM59" s="606">
        <v>-16166.66</v>
      </c>
      <c r="AN59" s="606">
        <v>0</v>
      </c>
      <c r="AO59" s="606">
        <v>0</v>
      </c>
      <c r="AP59" s="606">
        <v>0</v>
      </c>
      <c r="AQ59" s="606">
        <v>0</v>
      </c>
      <c r="AR59" s="606"/>
      <c r="AS59" s="606">
        <v>0</v>
      </c>
      <c r="AT59" s="606"/>
      <c r="AU59" s="606">
        <v>0.34</v>
      </c>
      <c r="AV59" s="606">
        <v>-10499.16</v>
      </c>
      <c r="AW59" s="606">
        <v>-5667.84</v>
      </c>
      <c r="AX59" s="606">
        <v>0</v>
      </c>
      <c r="AY59" s="606">
        <v>0</v>
      </c>
      <c r="AZ59" s="606">
        <v>0</v>
      </c>
      <c r="BA59" s="606">
        <v>0</v>
      </c>
      <c r="BB59" s="606">
        <v>0</v>
      </c>
      <c r="BC59" s="606">
        <v>0</v>
      </c>
      <c r="BD59" s="606">
        <v>0</v>
      </c>
      <c r="BE59" s="606">
        <v>0</v>
      </c>
      <c r="BF59" s="606">
        <v>0</v>
      </c>
      <c r="BG59" s="606">
        <v>-16166.66</v>
      </c>
      <c r="BH59" s="606">
        <v>0.34</v>
      </c>
      <c r="BI59" s="606">
        <v>-10499.16</v>
      </c>
      <c r="BJ59" s="606">
        <v>-5667.84</v>
      </c>
      <c r="BK59" s="606">
        <v>0</v>
      </c>
      <c r="BL59" s="606">
        <v>0</v>
      </c>
      <c r="BM59" s="606">
        <v>0</v>
      </c>
      <c r="BN59" s="606">
        <v>0</v>
      </c>
      <c r="BO59" s="606">
        <v>0</v>
      </c>
      <c r="BP59" s="606">
        <v>0</v>
      </c>
      <c r="BQ59" s="606">
        <v>0</v>
      </c>
      <c r="BR59" s="606">
        <v>0</v>
      </c>
      <c r="BS59" s="606">
        <v>0</v>
      </c>
      <c r="BT59" s="606">
        <v>-16166.66</v>
      </c>
    </row>
    <row r="60" spans="1:72" hidden="1">
      <c r="A60" t="s">
        <v>2829</v>
      </c>
      <c r="B60" t="s">
        <v>2944</v>
      </c>
      <c r="C60" t="s">
        <v>1028</v>
      </c>
      <c r="D60" t="s">
        <v>1028</v>
      </c>
      <c r="E60" t="s">
        <v>1136</v>
      </c>
      <c r="F60" t="s">
        <v>1566</v>
      </c>
      <c r="G60" t="s">
        <v>1135</v>
      </c>
      <c r="H60" t="s">
        <v>1135</v>
      </c>
      <c r="I60" t="s">
        <v>1135</v>
      </c>
      <c r="J60" t="s">
        <v>1135</v>
      </c>
      <c r="K60" t="s">
        <v>1137</v>
      </c>
      <c r="L60" t="s">
        <v>1027</v>
      </c>
      <c r="M60" t="s">
        <v>2830</v>
      </c>
      <c r="P60" t="s">
        <v>1029</v>
      </c>
      <c r="T60" t="s">
        <v>25</v>
      </c>
      <c r="W60" s="606">
        <v>0</v>
      </c>
      <c r="X60" s="606">
        <v>4741</v>
      </c>
      <c r="Y60" s="606"/>
      <c r="Z60" s="606"/>
      <c r="AA60" s="606">
        <v>876</v>
      </c>
      <c r="AB60" s="606">
        <v>1712</v>
      </c>
      <c r="AC60" s="606">
        <v>2153</v>
      </c>
      <c r="AD60" s="606">
        <v>1577</v>
      </c>
      <c r="AE60" s="606">
        <v>1546.0000000000002</v>
      </c>
      <c r="AF60" s="606">
        <v>2107.0000000000005</v>
      </c>
      <c r="AG60" s="606">
        <v>0</v>
      </c>
      <c r="AH60" s="606">
        <v>0</v>
      </c>
      <c r="AI60" s="606">
        <v>0</v>
      </c>
      <c r="AJ60" s="606">
        <v>0</v>
      </c>
      <c r="AK60" s="606">
        <v>0</v>
      </c>
      <c r="AL60" s="606">
        <v>0</v>
      </c>
      <c r="AM60" s="606">
        <v>9971</v>
      </c>
      <c r="AN60" s="606">
        <v>5230</v>
      </c>
      <c r="AO60" s="606">
        <v>0</v>
      </c>
      <c r="AP60" s="606">
        <v>2107.0000000000005</v>
      </c>
      <c r="AQ60" s="606">
        <v>5230</v>
      </c>
      <c r="AR60" s="606"/>
      <c r="AS60" s="606">
        <v>5230</v>
      </c>
      <c r="AT60" s="606"/>
      <c r="AU60" s="606">
        <v>876</v>
      </c>
      <c r="AV60" s="606">
        <v>1712</v>
      </c>
      <c r="AW60" s="606">
        <v>2153</v>
      </c>
      <c r="AX60" s="606">
        <v>0</v>
      </c>
      <c r="AY60" s="606">
        <v>0</v>
      </c>
      <c r="AZ60" s="606">
        <v>0</v>
      </c>
      <c r="BA60" s="606">
        <v>0</v>
      </c>
      <c r="BB60" s="606">
        <v>0</v>
      </c>
      <c r="BC60" s="606">
        <v>0</v>
      </c>
      <c r="BD60" s="606">
        <v>0</v>
      </c>
      <c r="BE60" s="606">
        <v>0</v>
      </c>
      <c r="BF60" s="606">
        <v>0</v>
      </c>
      <c r="BG60" s="606">
        <v>4741</v>
      </c>
      <c r="BH60" s="606">
        <v>876</v>
      </c>
      <c r="BI60" s="606">
        <v>1712</v>
      </c>
      <c r="BJ60" s="606">
        <v>2153</v>
      </c>
      <c r="BK60" s="606">
        <v>0</v>
      </c>
      <c r="BL60" s="606">
        <v>0</v>
      </c>
      <c r="BM60" s="606">
        <v>0</v>
      </c>
      <c r="BN60" s="606">
        <v>0</v>
      </c>
      <c r="BO60" s="606">
        <v>0</v>
      </c>
      <c r="BP60" s="606">
        <v>0</v>
      </c>
      <c r="BQ60" s="606">
        <v>0</v>
      </c>
      <c r="BR60" s="606">
        <v>0</v>
      </c>
      <c r="BS60" s="606">
        <v>0</v>
      </c>
      <c r="BT60" s="606">
        <v>4741</v>
      </c>
    </row>
    <row r="61" spans="1:72" hidden="1">
      <c r="A61" t="s">
        <v>2842</v>
      </c>
      <c r="B61" t="s">
        <v>2944</v>
      </c>
      <c r="C61" t="s">
        <v>1034</v>
      </c>
      <c r="D61" t="s">
        <v>2843</v>
      </c>
      <c r="E61" t="s">
        <v>1136</v>
      </c>
      <c r="F61" t="s">
        <v>1566</v>
      </c>
      <c r="G61" t="s">
        <v>1566</v>
      </c>
      <c r="H61" t="s">
        <v>1566</v>
      </c>
      <c r="I61" t="s">
        <v>1567</v>
      </c>
      <c r="J61" t="s">
        <v>1567</v>
      </c>
      <c r="K61" t="s">
        <v>1567</v>
      </c>
      <c r="L61" t="s">
        <v>1027</v>
      </c>
      <c r="M61" t="s">
        <v>2830</v>
      </c>
      <c r="P61" t="s">
        <v>1029</v>
      </c>
      <c r="T61" t="s">
        <v>25</v>
      </c>
      <c r="W61" s="606">
        <v>3200</v>
      </c>
      <c r="X61" s="606">
        <v>4217.2800000000007</v>
      </c>
      <c r="Y61" s="606"/>
      <c r="Z61" s="606"/>
      <c r="AA61" s="606">
        <v>470.66</v>
      </c>
      <c r="AB61" s="606">
        <v>1081.01</v>
      </c>
      <c r="AC61" s="606">
        <v>665.61</v>
      </c>
      <c r="AD61" s="606">
        <v>309.95</v>
      </c>
      <c r="AE61" s="606">
        <v>41.64</v>
      </c>
      <c r="AF61" s="606">
        <v>76.3</v>
      </c>
      <c r="AG61" s="606">
        <v>200</v>
      </c>
      <c r="AH61" s="606">
        <v>200</v>
      </c>
      <c r="AI61" s="606">
        <v>200</v>
      </c>
      <c r="AJ61" s="606">
        <v>200</v>
      </c>
      <c r="AK61" s="606">
        <v>200</v>
      </c>
      <c r="AL61" s="606">
        <v>200</v>
      </c>
      <c r="AM61" s="606">
        <v>3845.17</v>
      </c>
      <c r="AN61" s="606">
        <v>-372.11000000000058</v>
      </c>
      <c r="AO61" s="606">
        <v>300</v>
      </c>
      <c r="AP61" s="606">
        <v>-223.7</v>
      </c>
      <c r="AQ61" s="606">
        <v>-372.11000000000013</v>
      </c>
      <c r="AR61" s="606"/>
      <c r="AS61" s="606">
        <v>-372.11000000000058</v>
      </c>
      <c r="AT61" s="606"/>
      <c r="AU61" s="606">
        <v>470.66</v>
      </c>
      <c r="AV61" s="606">
        <v>1081.01</v>
      </c>
      <c r="AW61" s="606">
        <v>665.61</v>
      </c>
      <c r="AX61" s="606">
        <v>200</v>
      </c>
      <c r="AY61" s="606">
        <v>300</v>
      </c>
      <c r="AZ61" s="606">
        <v>300</v>
      </c>
      <c r="BA61" s="606">
        <v>200</v>
      </c>
      <c r="BB61" s="606">
        <v>200</v>
      </c>
      <c r="BC61" s="606">
        <v>200</v>
      </c>
      <c r="BD61" s="606">
        <v>200</v>
      </c>
      <c r="BE61" s="606">
        <v>200</v>
      </c>
      <c r="BF61" s="606">
        <v>200</v>
      </c>
      <c r="BG61" s="606">
        <v>4217.2800000000007</v>
      </c>
      <c r="BH61" s="606">
        <v>470.66</v>
      </c>
      <c r="BI61" s="606">
        <v>1081.01</v>
      </c>
      <c r="BJ61" s="606">
        <v>665.61</v>
      </c>
      <c r="BK61" s="606">
        <v>200</v>
      </c>
      <c r="BL61" s="606">
        <v>300</v>
      </c>
      <c r="BM61" s="606">
        <v>300</v>
      </c>
      <c r="BN61" s="606">
        <v>200</v>
      </c>
      <c r="BO61" s="606">
        <v>200</v>
      </c>
      <c r="BP61" s="606">
        <v>200</v>
      </c>
      <c r="BQ61" s="606">
        <v>200</v>
      </c>
      <c r="BR61" s="606">
        <v>200</v>
      </c>
      <c r="BS61" s="606">
        <v>200</v>
      </c>
      <c r="BT61" s="606">
        <v>4217.2800000000007</v>
      </c>
    </row>
    <row r="62" spans="1:72" hidden="1">
      <c r="A62" t="s">
        <v>2845</v>
      </c>
      <c r="B62" t="s">
        <v>2944</v>
      </c>
      <c r="C62" t="s">
        <v>1038</v>
      </c>
      <c r="D62" t="s">
        <v>1038</v>
      </c>
      <c r="E62" t="s">
        <v>1136</v>
      </c>
      <c r="F62" t="s">
        <v>1566</v>
      </c>
      <c r="G62" t="s">
        <v>1135</v>
      </c>
      <c r="H62" t="s">
        <v>1135</v>
      </c>
      <c r="I62" t="s">
        <v>1135</v>
      </c>
      <c r="J62" t="s">
        <v>1135</v>
      </c>
      <c r="K62" t="s">
        <v>1137</v>
      </c>
      <c r="L62" t="s">
        <v>1037</v>
      </c>
      <c r="M62" t="s">
        <v>2846</v>
      </c>
      <c r="P62" t="s">
        <v>1039</v>
      </c>
      <c r="R62" t="s">
        <v>1140</v>
      </c>
      <c r="T62" t="s">
        <v>1040</v>
      </c>
      <c r="W62" s="606">
        <v>0</v>
      </c>
      <c r="X62" s="606">
        <v>4</v>
      </c>
      <c r="Y62" s="606"/>
      <c r="Z62" s="606"/>
      <c r="AA62" s="606"/>
      <c r="AB62" s="606">
        <v>-101</v>
      </c>
      <c r="AC62" s="606">
        <v>105</v>
      </c>
      <c r="AD62" s="606">
        <v>479</v>
      </c>
      <c r="AE62" s="606">
        <v>66</v>
      </c>
      <c r="AF62" s="606">
        <v>2208.0000000000005</v>
      </c>
      <c r="AG62" s="606">
        <v>0</v>
      </c>
      <c r="AH62" s="606">
        <v>0</v>
      </c>
      <c r="AI62" s="606">
        <v>0</v>
      </c>
      <c r="AJ62" s="606">
        <v>0</v>
      </c>
      <c r="AK62" s="606">
        <v>0</v>
      </c>
      <c r="AL62" s="606">
        <v>0</v>
      </c>
      <c r="AM62" s="606">
        <v>2757.0000000000005</v>
      </c>
      <c r="AN62" s="606">
        <v>2753.0000000000005</v>
      </c>
      <c r="AO62" s="606">
        <v>0</v>
      </c>
      <c r="AP62" s="606">
        <v>2208.0000000000005</v>
      </c>
      <c r="AQ62" s="606">
        <v>2753.0000000000005</v>
      </c>
      <c r="AR62" s="606"/>
      <c r="AS62" s="606">
        <v>2753.0000000000005</v>
      </c>
      <c r="AT62" s="606"/>
      <c r="AU62" s="606"/>
      <c r="AV62" s="606">
        <v>-101</v>
      </c>
      <c r="AW62" s="606">
        <v>105</v>
      </c>
      <c r="AX62" s="606">
        <v>0</v>
      </c>
      <c r="AY62" s="606">
        <v>0</v>
      </c>
      <c r="AZ62" s="606">
        <v>0</v>
      </c>
      <c r="BA62" s="606">
        <v>0</v>
      </c>
      <c r="BB62" s="606">
        <v>0</v>
      </c>
      <c r="BC62" s="606">
        <v>0</v>
      </c>
      <c r="BD62" s="606">
        <v>0</v>
      </c>
      <c r="BE62" s="606">
        <v>0</v>
      </c>
      <c r="BF62" s="606">
        <v>0</v>
      </c>
      <c r="BG62" s="606">
        <v>4</v>
      </c>
      <c r="BH62" s="606"/>
      <c r="BI62" s="606">
        <v>-101</v>
      </c>
      <c r="BJ62" s="606">
        <v>105</v>
      </c>
      <c r="BK62" s="606">
        <v>0</v>
      </c>
      <c r="BL62" s="606">
        <v>0</v>
      </c>
      <c r="BM62" s="606">
        <v>0</v>
      </c>
      <c r="BN62" s="606">
        <v>0</v>
      </c>
      <c r="BO62" s="606">
        <v>0</v>
      </c>
      <c r="BP62" s="606">
        <v>0</v>
      </c>
      <c r="BQ62" s="606">
        <v>0</v>
      </c>
      <c r="BR62" s="606">
        <v>0</v>
      </c>
      <c r="BS62" s="606">
        <v>0</v>
      </c>
      <c r="BT62" s="606">
        <v>4</v>
      </c>
    </row>
    <row r="63" spans="1:72" hidden="1">
      <c r="A63" t="s">
        <v>2862</v>
      </c>
      <c r="B63" t="s">
        <v>2944</v>
      </c>
      <c r="C63" t="s">
        <v>1047</v>
      </c>
      <c r="D63" t="s">
        <v>2863</v>
      </c>
      <c r="E63" t="s">
        <v>1136</v>
      </c>
      <c r="F63" t="s">
        <v>1566</v>
      </c>
      <c r="G63" t="s">
        <v>1566</v>
      </c>
      <c r="H63" t="s">
        <v>1566</v>
      </c>
      <c r="I63" t="s">
        <v>1567</v>
      </c>
      <c r="J63" t="s">
        <v>1567</v>
      </c>
      <c r="K63" t="s">
        <v>1567</v>
      </c>
      <c r="L63" t="s">
        <v>1037</v>
      </c>
      <c r="M63" t="s">
        <v>2846</v>
      </c>
      <c r="P63" t="s">
        <v>1039</v>
      </c>
      <c r="R63" t="s">
        <v>1140</v>
      </c>
      <c r="T63" t="s">
        <v>1040</v>
      </c>
      <c r="W63" s="606">
        <v>0</v>
      </c>
      <c r="X63" s="606">
        <v>-468023.23</v>
      </c>
      <c r="Y63" s="606"/>
      <c r="Z63" s="606"/>
      <c r="AA63" s="606">
        <v>-478537.04</v>
      </c>
      <c r="AB63" s="606">
        <v>11513.92</v>
      </c>
      <c r="AC63" s="606">
        <v>-1000.11</v>
      </c>
      <c r="AD63" s="606">
        <v>5133</v>
      </c>
      <c r="AE63" s="606">
        <v>288</v>
      </c>
      <c r="AF63" s="606">
        <v>864</v>
      </c>
      <c r="AG63" s="606">
        <v>0</v>
      </c>
      <c r="AH63" s="606">
        <v>0</v>
      </c>
      <c r="AI63" s="606">
        <v>0</v>
      </c>
      <c r="AJ63" s="606">
        <v>0</v>
      </c>
      <c r="AK63" s="606">
        <v>0</v>
      </c>
      <c r="AL63" s="606">
        <v>0</v>
      </c>
      <c r="AM63" s="606">
        <v>-461738.23</v>
      </c>
      <c r="AN63" s="606">
        <v>6285</v>
      </c>
      <c r="AO63" s="606">
        <v>0</v>
      </c>
      <c r="AP63" s="606">
        <v>864</v>
      </c>
      <c r="AQ63" s="606">
        <v>6285</v>
      </c>
      <c r="AR63" s="606"/>
      <c r="AS63" s="606">
        <v>6285</v>
      </c>
      <c r="AT63" s="606"/>
      <c r="AU63" s="606">
        <v>-478537.04</v>
      </c>
      <c r="AV63" s="606">
        <v>11513.92</v>
      </c>
      <c r="AW63" s="606">
        <v>-1000.11</v>
      </c>
      <c r="AX63" s="606">
        <v>0</v>
      </c>
      <c r="AY63" s="606">
        <v>0</v>
      </c>
      <c r="AZ63" s="606">
        <v>0</v>
      </c>
      <c r="BA63" s="606">
        <v>0</v>
      </c>
      <c r="BB63" s="606">
        <v>0</v>
      </c>
      <c r="BC63" s="606">
        <v>0</v>
      </c>
      <c r="BD63" s="606">
        <v>0</v>
      </c>
      <c r="BE63" s="606">
        <v>0</v>
      </c>
      <c r="BF63" s="606">
        <v>0</v>
      </c>
      <c r="BG63" s="606">
        <v>-468023.23</v>
      </c>
      <c r="BH63" s="606">
        <v>-478537.04</v>
      </c>
      <c r="BI63" s="606">
        <v>11513.92</v>
      </c>
      <c r="BJ63" s="606">
        <v>-1000.11</v>
      </c>
      <c r="BK63" s="606">
        <v>0</v>
      </c>
      <c r="BL63" s="606">
        <v>0</v>
      </c>
      <c r="BM63" s="606">
        <v>0</v>
      </c>
      <c r="BN63" s="606">
        <v>0</v>
      </c>
      <c r="BO63" s="606">
        <v>0</v>
      </c>
      <c r="BP63" s="606">
        <v>0</v>
      </c>
      <c r="BQ63" s="606">
        <v>0</v>
      </c>
      <c r="BR63" s="606">
        <v>0</v>
      </c>
      <c r="BS63" s="606">
        <v>0</v>
      </c>
      <c r="BT63" s="606">
        <v>-468023.23</v>
      </c>
    </row>
    <row r="64" spans="1:72" hidden="1">
      <c r="A64" t="s">
        <v>1143</v>
      </c>
      <c r="B64" t="s">
        <v>2953</v>
      </c>
      <c r="C64" t="s">
        <v>50</v>
      </c>
      <c r="D64" t="s">
        <v>1144</v>
      </c>
      <c r="E64" t="s">
        <v>1136</v>
      </c>
      <c r="F64" t="s">
        <v>1566</v>
      </c>
      <c r="G64" t="s">
        <v>1135</v>
      </c>
      <c r="H64" t="s">
        <v>1145</v>
      </c>
      <c r="I64" t="s">
        <v>1135</v>
      </c>
      <c r="J64" t="s">
        <v>1145</v>
      </c>
      <c r="K64" t="s">
        <v>1137</v>
      </c>
      <c r="L64" t="s">
        <v>49</v>
      </c>
      <c r="M64" t="s">
        <v>1138</v>
      </c>
      <c r="P64" t="s">
        <v>51</v>
      </c>
      <c r="Q64" t="s">
        <v>1139</v>
      </c>
      <c r="R64" t="s">
        <v>1140</v>
      </c>
      <c r="T64" t="s">
        <v>25</v>
      </c>
      <c r="W64" s="606">
        <v>1800</v>
      </c>
      <c r="X64" s="606">
        <v>3600</v>
      </c>
      <c r="Y64" s="606"/>
      <c r="Z64" s="606"/>
      <c r="AA64" s="606"/>
      <c r="AB64" s="606"/>
      <c r="AC64" s="606"/>
      <c r="AD64" s="606" t="s">
        <v>1142</v>
      </c>
      <c r="AE64" s="606">
        <v>0</v>
      </c>
      <c r="AF64" s="606">
        <v>0</v>
      </c>
      <c r="AG64" s="606">
        <v>0</v>
      </c>
      <c r="AH64" s="606">
        <v>0</v>
      </c>
      <c r="AI64" s="606">
        <v>0</v>
      </c>
      <c r="AJ64" s="606">
        <v>0</v>
      </c>
      <c r="AK64" s="606">
        <v>0</v>
      </c>
      <c r="AL64" s="606">
        <v>0</v>
      </c>
      <c r="AM64" s="606">
        <v>0</v>
      </c>
      <c r="AN64" s="606">
        <v>-3600</v>
      </c>
      <c r="AO64" s="606">
        <v>0</v>
      </c>
      <c r="AP64" s="606">
        <v>0</v>
      </c>
      <c r="AQ64" s="606">
        <v>-3600</v>
      </c>
      <c r="AR64" s="606"/>
      <c r="AS64" s="606">
        <v>-3600</v>
      </c>
      <c r="AT64" s="606"/>
      <c r="AU64" s="606"/>
      <c r="AV64" s="606"/>
      <c r="AW64" s="606"/>
      <c r="AX64" s="606">
        <v>1800</v>
      </c>
      <c r="AY64" s="606">
        <v>0</v>
      </c>
      <c r="AZ64" s="606">
        <v>1800</v>
      </c>
      <c r="BA64" s="606">
        <v>0</v>
      </c>
      <c r="BB64" s="606">
        <v>0</v>
      </c>
      <c r="BC64" s="606">
        <v>0</v>
      </c>
      <c r="BD64" s="606">
        <v>0</v>
      </c>
      <c r="BE64" s="606">
        <v>0</v>
      </c>
      <c r="BF64" s="606">
        <v>0</v>
      </c>
      <c r="BG64" s="606">
        <v>3600</v>
      </c>
      <c r="BH64" s="606"/>
      <c r="BI64" s="606"/>
      <c r="BJ64" s="606"/>
      <c r="BK64" s="606">
        <v>1800</v>
      </c>
      <c r="BL64" s="606">
        <v>0</v>
      </c>
      <c r="BM64" s="606">
        <v>1800</v>
      </c>
      <c r="BN64" s="606">
        <v>0</v>
      </c>
      <c r="BO64" s="606">
        <v>0</v>
      </c>
      <c r="BP64" s="606">
        <v>0</v>
      </c>
      <c r="BQ64" s="606">
        <v>0</v>
      </c>
      <c r="BR64" s="606">
        <v>0</v>
      </c>
      <c r="BS64" s="606">
        <v>0</v>
      </c>
      <c r="BT64" s="606">
        <v>3600</v>
      </c>
    </row>
    <row r="65" spans="1:72" hidden="1">
      <c r="A65" t="s">
        <v>2249</v>
      </c>
      <c r="B65" t="s">
        <v>2953</v>
      </c>
      <c r="C65" t="s">
        <v>667</v>
      </c>
      <c r="D65" t="s">
        <v>2250</v>
      </c>
      <c r="E65" t="s">
        <v>1136</v>
      </c>
      <c r="F65" t="s">
        <v>1566</v>
      </c>
      <c r="G65" t="s">
        <v>1135</v>
      </c>
      <c r="H65" t="s">
        <v>1135</v>
      </c>
      <c r="I65" t="s">
        <v>1135</v>
      </c>
      <c r="J65" t="s">
        <v>1137</v>
      </c>
      <c r="K65" t="s">
        <v>1137</v>
      </c>
      <c r="L65" t="s">
        <v>639</v>
      </c>
      <c r="M65" t="s">
        <v>1138</v>
      </c>
      <c r="P65" t="s">
        <v>51</v>
      </c>
      <c r="Q65" t="s">
        <v>1139</v>
      </c>
      <c r="R65" t="s">
        <v>1140</v>
      </c>
      <c r="T65" t="s">
        <v>25</v>
      </c>
      <c r="U65" t="s">
        <v>1141</v>
      </c>
      <c r="W65" s="606">
        <v>0</v>
      </c>
      <c r="X65" s="606">
        <v>1742.3400000000001</v>
      </c>
      <c r="Y65" s="606"/>
      <c r="Z65" s="606"/>
      <c r="AA65" s="606"/>
      <c r="AB65" s="606">
        <v>984.48</v>
      </c>
      <c r="AC65" s="606">
        <v>757.86</v>
      </c>
      <c r="AD65" s="606">
        <v>0</v>
      </c>
      <c r="AE65" s="606">
        <v>0</v>
      </c>
      <c r="AF65" s="606">
        <v>0</v>
      </c>
      <c r="AG65" s="606">
        <v>0</v>
      </c>
      <c r="AH65" s="606">
        <v>0</v>
      </c>
      <c r="AI65" s="606">
        <v>0</v>
      </c>
      <c r="AJ65" s="606">
        <v>0</v>
      </c>
      <c r="AK65" s="606">
        <v>0</v>
      </c>
      <c r="AL65" s="606">
        <v>0</v>
      </c>
      <c r="AM65" s="606">
        <v>1742.3400000000001</v>
      </c>
      <c r="AN65" s="606">
        <v>0</v>
      </c>
      <c r="AO65" s="606">
        <v>0</v>
      </c>
      <c r="AP65" s="606">
        <v>0</v>
      </c>
      <c r="AQ65" s="606">
        <v>0</v>
      </c>
      <c r="AR65" s="606"/>
      <c r="AS65" s="606">
        <v>0</v>
      </c>
      <c r="AT65" s="606"/>
      <c r="AU65" s="606"/>
      <c r="AV65" s="606">
        <v>984.48</v>
      </c>
      <c r="AW65" s="606">
        <v>757.86</v>
      </c>
      <c r="AX65" s="606">
        <v>0</v>
      </c>
      <c r="AY65" s="606">
        <v>0</v>
      </c>
      <c r="AZ65" s="606">
        <v>0</v>
      </c>
      <c r="BA65" s="606">
        <v>0</v>
      </c>
      <c r="BB65" s="606">
        <v>0</v>
      </c>
      <c r="BC65" s="606">
        <v>0</v>
      </c>
      <c r="BD65" s="606">
        <v>0</v>
      </c>
      <c r="BE65" s="606">
        <v>0</v>
      </c>
      <c r="BF65" s="606">
        <v>0</v>
      </c>
      <c r="BG65" s="606">
        <v>1742.3400000000001</v>
      </c>
      <c r="BH65" s="606"/>
      <c r="BI65" s="606">
        <v>984.48</v>
      </c>
      <c r="BJ65" s="606">
        <v>757.86</v>
      </c>
      <c r="BK65" s="606">
        <v>0</v>
      </c>
      <c r="BL65" s="606">
        <v>0</v>
      </c>
      <c r="BM65" s="606">
        <v>0</v>
      </c>
      <c r="BN65" s="606">
        <v>0</v>
      </c>
      <c r="BO65" s="606">
        <v>0</v>
      </c>
      <c r="BP65" s="606">
        <v>0</v>
      </c>
      <c r="BQ65" s="606">
        <v>0</v>
      </c>
      <c r="BR65" s="606">
        <v>0</v>
      </c>
      <c r="BS65" s="606">
        <v>0</v>
      </c>
      <c r="BT65" s="606">
        <v>1742.3400000000001</v>
      </c>
    </row>
    <row r="66" spans="1:72" hidden="1">
      <c r="A66" t="s">
        <v>2251</v>
      </c>
      <c r="B66" t="s">
        <v>2953</v>
      </c>
      <c r="C66" t="s">
        <v>667</v>
      </c>
      <c r="D66" t="s">
        <v>2252</v>
      </c>
      <c r="E66" t="s">
        <v>1136</v>
      </c>
      <c r="F66" t="s">
        <v>1566</v>
      </c>
      <c r="G66" t="s">
        <v>1135</v>
      </c>
      <c r="H66" t="s">
        <v>1145</v>
      </c>
      <c r="I66" t="s">
        <v>1135</v>
      </c>
      <c r="J66" t="s">
        <v>1145</v>
      </c>
      <c r="K66" t="s">
        <v>1137</v>
      </c>
      <c r="L66" t="s">
        <v>639</v>
      </c>
      <c r="M66" t="s">
        <v>1138</v>
      </c>
      <c r="P66" t="s">
        <v>51</v>
      </c>
      <c r="Q66" t="s">
        <v>1139</v>
      </c>
      <c r="R66" t="s">
        <v>1140</v>
      </c>
      <c r="T66" t="s">
        <v>25</v>
      </c>
      <c r="W66" s="606">
        <v>0</v>
      </c>
      <c r="X66" s="606">
        <v>1312.56</v>
      </c>
      <c r="Y66" s="606"/>
      <c r="Z66" s="606"/>
      <c r="AA66" s="606"/>
      <c r="AB66" s="606">
        <v>1312.56</v>
      </c>
      <c r="AC66" s="606">
        <v>0</v>
      </c>
      <c r="AD66" s="606">
        <v>0</v>
      </c>
      <c r="AE66" s="606">
        <v>0</v>
      </c>
      <c r="AF66" s="606">
        <v>0</v>
      </c>
      <c r="AG66" s="606">
        <v>0</v>
      </c>
      <c r="AH66" s="606">
        <v>0</v>
      </c>
      <c r="AI66" s="606">
        <v>0</v>
      </c>
      <c r="AJ66" s="606">
        <v>0</v>
      </c>
      <c r="AK66" s="606">
        <v>0</v>
      </c>
      <c r="AL66" s="606">
        <v>0</v>
      </c>
      <c r="AM66" s="606">
        <v>1312.56</v>
      </c>
      <c r="AN66" s="606">
        <v>0</v>
      </c>
      <c r="AO66" s="606">
        <v>0</v>
      </c>
      <c r="AP66" s="606">
        <v>0</v>
      </c>
      <c r="AQ66" s="606">
        <v>0</v>
      </c>
      <c r="AR66" s="606"/>
      <c r="AS66" s="606">
        <v>0</v>
      </c>
      <c r="AT66" s="606"/>
      <c r="AU66" s="606"/>
      <c r="AV66" s="606">
        <v>1312.56</v>
      </c>
      <c r="AW66" s="606">
        <v>0</v>
      </c>
      <c r="AX66" s="606">
        <v>0</v>
      </c>
      <c r="AY66" s="606">
        <v>0</v>
      </c>
      <c r="AZ66" s="606">
        <v>0</v>
      </c>
      <c r="BA66" s="606">
        <v>0</v>
      </c>
      <c r="BB66" s="606">
        <v>0</v>
      </c>
      <c r="BC66" s="606">
        <v>0</v>
      </c>
      <c r="BD66" s="606">
        <v>0</v>
      </c>
      <c r="BE66" s="606">
        <v>0</v>
      </c>
      <c r="BF66" s="606">
        <v>0</v>
      </c>
      <c r="BG66" s="606">
        <v>1312.56</v>
      </c>
      <c r="BH66" s="606"/>
      <c r="BI66" s="606">
        <v>1312.56</v>
      </c>
      <c r="BJ66" s="606">
        <v>0</v>
      </c>
      <c r="BK66" s="606">
        <v>0</v>
      </c>
      <c r="BL66" s="606">
        <v>0</v>
      </c>
      <c r="BM66" s="606">
        <v>0</v>
      </c>
      <c r="BN66" s="606">
        <v>0</v>
      </c>
      <c r="BO66" s="606">
        <v>0</v>
      </c>
      <c r="BP66" s="606">
        <v>0</v>
      </c>
      <c r="BQ66" s="606">
        <v>0</v>
      </c>
      <c r="BR66" s="606">
        <v>0</v>
      </c>
      <c r="BS66" s="606">
        <v>0</v>
      </c>
      <c r="BT66" s="606">
        <v>1312.56</v>
      </c>
    </row>
    <row r="67" spans="1:72" hidden="1">
      <c r="A67" t="s">
        <v>2253</v>
      </c>
      <c r="B67" t="s">
        <v>2953</v>
      </c>
      <c r="C67" t="s">
        <v>667</v>
      </c>
      <c r="D67" t="s">
        <v>2254</v>
      </c>
      <c r="E67" t="s">
        <v>1136</v>
      </c>
      <c r="F67" t="s">
        <v>1566</v>
      </c>
      <c r="G67" t="s">
        <v>1135</v>
      </c>
      <c r="H67" t="s">
        <v>1165</v>
      </c>
      <c r="I67" t="s">
        <v>1135</v>
      </c>
      <c r="J67" t="s">
        <v>1165</v>
      </c>
      <c r="K67" t="s">
        <v>1137</v>
      </c>
      <c r="L67" t="s">
        <v>639</v>
      </c>
      <c r="M67" t="s">
        <v>1138</v>
      </c>
      <c r="P67" t="s">
        <v>51</v>
      </c>
      <c r="Q67" t="s">
        <v>1139</v>
      </c>
      <c r="R67" t="s">
        <v>1140</v>
      </c>
      <c r="T67" t="s">
        <v>25</v>
      </c>
      <c r="W67" s="606">
        <v>0</v>
      </c>
      <c r="X67" s="606">
        <v>3879.27</v>
      </c>
      <c r="Y67" s="606"/>
      <c r="Z67" s="606"/>
      <c r="AA67" s="606"/>
      <c r="AB67" s="606">
        <v>3879.27</v>
      </c>
      <c r="AC67" s="606">
        <v>0</v>
      </c>
      <c r="AD67" s="606">
        <v>0</v>
      </c>
      <c r="AE67" s="606">
        <v>0</v>
      </c>
      <c r="AF67" s="606">
        <v>0</v>
      </c>
      <c r="AG67" s="606">
        <v>0</v>
      </c>
      <c r="AH67" s="606">
        <v>0</v>
      </c>
      <c r="AI67" s="606">
        <v>0</v>
      </c>
      <c r="AJ67" s="606">
        <v>0</v>
      </c>
      <c r="AK67" s="606">
        <v>0</v>
      </c>
      <c r="AL67" s="606">
        <v>0</v>
      </c>
      <c r="AM67" s="606">
        <v>3879.27</v>
      </c>
      <c r="AN67" s="606">
        <v>0</v>
      </c>
      <c r="AO67" s="606">
        <v>0</v>
      </c>
      <c r="AP67" s="606">
        <v>0</v>
      </c>
      <c r="AQ67" s="606">
        <v>0</v>
      </c>
      <c r="AR67" s="606"/>
      <c r="AS67" s="606">
        <v>0</v>
      </c>
      <c r="AT67" s="606"/>
      <c r="AU67" s="606"/>
      <c r="AV67" s="606">
        <v>3879.27</v>
      </c>
      <c r="AW67" s="606">
        <v>0</v>
      </c>
      <c r="AX67" s="606">
        <v>0</v>
      </c>
      <c r="AY67" s="606">
        <v>0</v>
      </c>
      <c r="AZ67" s="606">
        <v>0</v>
      </c>
      <c r="BA67" s="606">
        <v>0</v>
      </c>
      <c r="BB67" s="606">
        <v>0</v>
      </c>
      <c r="BC67" s="606">
        <v>0</v>
      </c>
      <c r="BD67" s="606">
        <v>0</v>
      </c>
      <c r="BE67" s="606">
        <v>0</v>
      </c>
      <c r="BF67" s="606">
        <v>0</v>
      </c>
      <c r="BG67" s="606">
        <v>3879.27</v>
      </c>
      <c r="BH67" s="606"/>
      <c r="BI67" s="606">
        <v>3879.27</v>
      </c>
      <c r="BJ67" s="606">
        <v>0</v>
      </c>
      <c r="BK67" s="606">
        <v>0</v>
      </c>
      <c r="BL67" s="606">
        <v>0</v>
      </c>
      <c r="BM67" s="606">
        <v>0</v>
      </c>
      <c r="BN67" s="606">
        <v>0</v>
      </c>
      <c r="BO67" s="606">
        <v>0</v>
      </c>
      <c r="BP67" s="606">
        <v>0</v>
      </c>
      <c r="BQ67" s="606">
        <v>0</v>
      </c>
      <c r="BR67" s="606">
        <v>0</v>
      </c>
      <c r="BS67" s="606">
        <v>0</v>
      </c>
      <c r="BT67" s="606">
        <v>3879.27</v>
      </c>
    </row>
    <row r="68" spans="1:72">
      <c r="A68" t="s">
        <v>2665</v>
      </c>
      <c r="B68" t="s">
        <v>2953</v>
      </c>
      <c r="C68" t="s">
        <v>940</v>
      </c>
      <c r="D68" t="s">
        <v>2666</v>
      </c>
      <c r="E68" t="s">
        <v>1136</v>
      </c>
      <c r="F68" t="s">
        <v>1566</v>
      </c>
      <c r="G68" t="s">
        <v>1345</v>
      </c>
      <c r="H68" t="s">
        <v>1437</v>
      </c>
      <c r="I68" t="s">
        <v>1345</v>
      </c>
      <c r="J68" t="s">
        <v>1437</v>
      </c>
      <c r="K68" t="s">
        <v>1346</v>
      </c>
      <c r="L68" t="s">
        <v>639</v>
      </c>
      <c r="M68" t="s">
        <v>1138</v>
      </c>
      <c r="P68" t="s">
        <v>51</v>
      </c>
      <c r="Q68" t="s">
        <v>1139</v>
      </c>
      <c r="R68" t="s">
        <v>1140</v>
      </c>
      <c r="T68" t="s">
        <v>25</v>
      </c>
      <c r="W68" s="606">
        <v>0</v>
      </c>
      <c r="X68" s="606">
        <v>431.03</v>
      </c>
      <c r="Y68" s="606"/>
      <c r="Z68" s="606"/>
      <c r="AA68" s="606"/>
      <c r="AB68" s="606">
        <v>431.03</v>
      </c>
      <c r="AC68" s="606">
        <v>0</v>
      </c>
      <c r="AD68" s="606">
        <v>0</v>
      </c>
      <c r="AE68" s="606">
        <v>0</v>
      </c>
      <c r="AF68" s="606">
        <v>0</v>
      </c>
      <c r="AG68" s="606">
        <v>0</v>
      </c>
      <c r="AH68" s="606">
        <v>0</v>
      </c>
      <c r="AI68" s="606">
        <v>0</v>
      </c>
      <c r="AJ68" s="606">
        <v>0</v>
      </c>
      <c r="AK68" s="606">
        <v>0</v>
      </c>
      <c r="AL68" s="606">
        <v>0</v>
      </c>
      <c r="AM68" s="606">
        <v>431.03</v>
      </c>
      <c r="AN68" s="606">
        <v>0</v>
      </c>
      <c r="AO68" s="606">
        <v>0</v>
      </c>
      <c r="AP68" s="606">
        <v>0</v>
      </c>
      <c r="AQ68" s="606">
        <v>0</v>
      </c>
      <c r="AR68" s="606"/>
      <c r="AS68" s="606">
        <v>0</v>
      </c>
      <c r="AT68" s="606"/>
      <c r="AU68" s="606"/>
      <c r="AV68" s="606">
        <v>431.03</v>
      </c>
      <c r="AW68" s="606">
        <v>0</v>
      </c>
      <c r="AX68" s="606">
        <v>0</v>
      </c>
      <c r="AY68" s="606">
        <v>0</v>
      </c>
      <c r="AZ68" s="606">
        <v>0</v>
      </c>
      <c r="BA68" s="606">
        <v>0</v>
      </c>
      <c r="BB68" s="606">
        <v>0</v>
      </c>
      <c r="BC68" s="606">
        <v>0</v>
      </c>
      <c r="BD68" s="606">
        <v>0</v>
      </c>
      <c r="BE68" s="606">
        <v>0</v>
      </c>
      <c r="BF68" s="606">
        <v>0</v>
      </c>
      <c r="BG68" s="606">
        <v>431.03</v>
      </c>
      <c r="BH68" s="606"/>
      <c r="BI68" s="606">
        <v>431.03</v>
      </c>
      <c r="BJ68" s="606">
        <v>0</v>
      </c>
      <c r="BK68" s="606">
        <v>0</v>
      </c>
      <c r="BL68" s="606">
        <v>0</v>
      </c>
      <c r="BM68" s="606">
        <v>0</v>
      </c>
      <c r="BN68" s="606">
        <v>0</v>
      </c>
      <c r="BO68" s="606">
        <v>0</v>
      </c>
      <c r="BP68" s="606">
        <v>0</v>
      </c>
      <c r="BQ68" s="606">
        <v>0</v>
      </c>
      <c r="BR68" s="606">
        <v>0</v>
      </c>
      <c r="BS68" s="606">
        <v>0</v>
      </c>
      <c r="BT68" s="606">
        <v>431.03</v>
      </c>
    </row>
    <row r="69" spans="1:72" hidden="1">
      <c r="A69" t="s">
        <v>2776</v>
      </c>
      <c r="B69" t="s">
        <v>2953</v>
      </c>
      <c r="C69" t="s">
        <v>997</v>
      </c>
      <c r="D69" t="s">
        <v>2777</v>
      </c>
      <c r="E69" t="s">
        <v>1136</v>
      </c>
      <c r="F69" t="s">
        <v>1566</v>
      </c>
      <c r="G69" t="s">
        <v>1566</v>
      </c>
      <c r="H69" t="s">
        <v>1566</v>
      </c>
      <c r="I69" t="s">
        <v>1567</v>
      </c>
      <c r="J69" t="s">
        <v>1567</v>
      </c>
      <c r="K69" t="s">
        <v>1567</v>
      </c>
      <c r="L69" t="s">
        <v>639</v>
      </c>
      <c r="M69" t="s">
        <v>1138</v>
      </c>
      <c r="P69" t="s">
        <v>51</v>
      </c>
      <c r="Q69" t="s">
        <v>1139</v>
      </c>
      <c r="R69" t="s">
        <v>1140</v>
      </c>
      <c r="T69" t="s">
        <v>25</v>
      </c>
      <c r="W69" s="606">
        <v>0</v>
      </c>
      <c r="X69" s="606">
        <v>257.52</v>
      </c>
      <c r="Y69" s="606"/>
      <c r="Z69" s="606"/>
      <c r="AA69" s="606"/>
      <c r="AB69" s="606">
        <v>257.52</v>
      </c>
      <c r="AC69" s="606">
        <v>0</v>
      </c>
      <c r="AD69" s="606">
        <v>0</v>
      </c>
      <c r="AE69" s="606">
        <v>0</v>
      </c>
      <c r="AF69" s="606">
        <v>0</v>
      </c>
      <c r="AG69" s="606">
        <v>0</v>
      </c>
      <c r="AH69" s="606">
        <v>0</v>
      </c>
      <c r="AI69" s="606">
        <v>0</v>
      </c>
      <c r="AJ69" s="606">
        <v>0</v>
      </c>
      <c r="AK69" s="606">
        <v>0</v>
      </c>
      <c r="AL69" s="606">
        <v>0</v>
      </c>
      <c r="AM69" s="606">
        <v>257.52</v>
      </c>
      <c r="AN69" s="606">
        <v>0</v>
      </c>
      <c r="AO69" s="606">
        <v>0</v>
      </c>
      <c r="AP69" s="606">
        <v>0</v>
      </c>
      <c r="AQ69" s="606">
        <v>0</v>
      </c>
      <c r="AR69" s="606"/>
      <c r="AS69" s="606">
        <v>0</v>
      </c>
      <c r="AT69" s="606"/>
      <c r="AU69" s="606"/>
      <c r="AV69" s="606">
        <v>257.52</v>
      </c>
      <c r="AW69" s="606">
        <v>0</v>
      </c>
      <c r="AX69" s="606">
        <v>0</v>
      </c>
      <c r="AY69" s="606">
        <v>0</v>
      </c>
      <c r="AZ69" s="606">
        <v>0</v>
      </c>
      <c r="BA69" s="606">
        <v>0</v>
      </c>
      <c r="BB69" s="606">
        <v>0</v>
      </c>
      <c r="BC69" s="606">
        <v>0</v>
      </c>
      <c r="BD69" s="606">
        <v>0</v>
      </c>
      <c r="BE69" s="606">
        <v>0</v>
      </c>
      <c r="BF69" s="606">
        <v>0</v>
      </c>
      <c r="BG69" s="606">
        <v>257.52</v>
      </c>
      <c r="BH69" s="606"/>
      <c r="BI69" s="606">
        <v>257.52</v>
      </c>
      <c r="BJ69" s="606">
        <v>0</v>
      </c>
      <c r="BK69" s="606">
        <v>0</v>
      </c>
      <c r="BL69" s="606">
        <v>0</v>
      </c>
      <c r="BM69" s="606">
        <v>0</v>
      </c>
      <c r="BN69" s="606">
        <v>0</v>
      </c>
      <c r="BO69" s="606">
        <v>0</v>
      </c>
      <c r="BP69" s="606">
        <v>0</v>
      </c>
      <c r="BQ69" s="606">
        <v>0</v>
      </c>
      <c r="BR69" s="606">
        <v>0</v>
      </c>
      <c r="BS69" s="606">
        <v>0</v>
      </c>
      <c r="BT69" s="606">
        <v>257.52</v>
      </c>
    </row>
    <row r="70" spans="1:72" hidden="1">
      <c r="A70" t="s">
        <v>2878</v>
      </c>
      <c r="B70" t="s">
        <v>2953</v>
      </c>
      <c r="C70" t="s">
        <v>37</v>
      </c>
      <c r="D70" t="s">
        <v>2879</v>
      </c>
      <c r="E70" t="s">
        <v>1136</v>
      </c>
      <c r="F70" t="s">
        <v>1566</v>
      </c>
      <c r="G70" t="s">
        <v>1566</v>
      </c>
      <c r="H70" t="s">
        <v>1566</v>
      </c>
      <c r="I70" t="s">
        <v>1345</v>
      </c>
      <c r="J70" t="s">
        <v>1346</v>
      </c>
      <c r="K70" t="s">
        <v>1346</v>
      </c>
      <c r="L70" t="s">
        <v>22</v>
      </c>
      <c r="M70" t="s">
        <v>2868</v>
      </c>
      <c r="P70" t="s">
        <v>24</v>
      </c>
      <c r="Q70" t="s">
        <v>1139</v>
      </c>
      <c r="R70" t="s">
        <v>1140</v>
      </c>
      <c r="T70" t="s">
        <v>25</v>
      </c>
      <c r="W70" s="606">
        <v>6952243.9899999993</v>
      </c>
      <c r="X70" s="606">
        <v>0</v>
      </c>
      <c r="Y70" s="606"/>
      <c r="Z70" s="606"/>
      <c r="AA70" s="606"/>
      <c r="AB70" s="606"/>
      <c r="AC70" s="606"/>
      <c r="AD70" s="606" t="s">
        <v>1142</v>
      </c>
      <c r="AE70" s="606">
        <v>0</v>
      </c>
      <c r="AF70" s="606">
        <v>0</v>
      </c>
      <c r="AG70" s="606"/>
      <c r="AH70" s="606"/>
      <c r="AI70" s="606"/>
      <c r="AJ70" s="606"/>
      <c r="AK70" s="606"/>
      <c r="AL70" s="606"/>
      <c r="AM70" s="606">
        <v>0</v>
      </c>
      <c r="AN70" s="606">
        <v>0</v>
      </c>
      <c r="AO70" s="606"/>
      <c r="AP70" s="606">
        <v>0</v>
      </c>
      <c r="AQ70" s="606">
        <v>0</v>
      </c>
      <c r="AR70" s="606"/>
      <c r="AS70" s="606">
        <v>0</v>
      </c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>
        <v>0</v>
      </c>
      <c r="BH70" s="606">
        <v>423409.35</v>
      </c>
      <c r="BI70" s="606">
        <v>937161.13</v>
      </c>
      <c r="BJ70" s="606">
        <v>426573.21</v>
      </c>
      <c r="BK70" s="606">
        <v>561924.32999999996</v>
      </c>
      <c r="BL70" s="606">
        <v>560912.64000000001</v>
      </c>
      <c r="BM70" s="606">
        <v>576476.29</v>
      </c>
      <c r="BN70" s="606">
        <v>585831.80000000005</v>
      </c>
      <c r="BO70" s="606">
        <v>590499.77</v>
      </c>
      <c r="BP70" s="606">
        <v>590499.77</v>
      </c>
      <c r="BQ70" s="606">
        <v>590499.77</v>
      </c>
      <c r="BR70" s="606">
        <v>592897.86</v>
      </c>
      <c r="BS70" s="606">
        <v>592897.86</v>
      </c>
      <c r="BT70" s="606">
        <v>7029583.7799999993</v>
      </c>
    </row>
    <row r="71" spans="1:72" hidden="1">
      <c r="A71" t="s">
        <v>2899</v>
      </c>
      <c r="B71" t="s">
        <v>2953</v>
      </c>
      <c r="C71" t="s">
        <v>23</v>
      </c>
      <c r="D71" t="s">
        <v>23</v>
      </c>
      <c r="E71" t="s">
        <v>1136</v>
      </c>
      <c r="F71" t="s">
        <v>1566</v>
      </c>
      <c r="G71" t="s">
        <v>1135</v>
      </c>
      <c r="H71" t="s">
        <v>1135</v>
      </c>
      <c r="I71" t="s">
        <v>1135</v>
      </c>
      <c r="J71" t="s">
        <v>1135</v>
      </c>
      <c r="K71" t="s">
        <v>1137</v>
      </c>
      <c r="L71" t="s">
        <v>22</v>
      </c>
      <c r="M71" t="s">
        <v>2868</v>
      </c>
      <c r="P71" t="s">
        <v>24</v>
      </c>
      <c r="Q71" t="s">
        <v>1139</v>
      </c>
      <c r="R71" t="s">
        <v>1140</v>
      </c>
      <c r="T71" t="s">
        <v>25</v>
      </c>
      <c r="W71" s="606">
        <v>0</v>
      </c>
      <c r="X71" s="606">
        <v>0</v>
      </c>
      <c r="Y71" s="606"/>
      <c r="Z71" s="606"/>
      <c r="AA71" s="606"/>
      <c r="AB71" s="606"/>
      <c r="AC71" s="606"/>
      <c r="AD71" s="606" t="s">
        <v>1142</v>
      </c>
      <c r="AE71" s="606">
        <v>0</v>
      </c>
      <c r="AF71" s="606">
        <v>0</v>
      </c>
      <c r="AG71" s="606">
        <v>0</v>
      </c>
      <c r="AH71" s="606">
        <v>0</v>
      </c>
      <c r="AI71" s="606">
        <v>0</v>
      </c>
      <c r="AJ71" s="606">
        <v>0</v>
      </c>
      <c r="AK71" s="606">
        <v>0</v>
      </c>
      <c r="AL71" s="606">
        <v>0</v>
      </c>
      <c r="AM71" s="606">
        <v>0</v>
      </c>
      <c r="AN71" s="606">
        <v>0</v>
      </c>
      <c r="AO71" s="606">
        <v>0</v>
      </c>
      <c r="AP71" s="606">
        <v>0</v>
      </c>
      <c r="AQ71" s="606">
        <v>0</v>
      </c>
      <c r="AR71" s="606"/>
      <c r="AS71" s="606">
        <v>0</v>
      </c>
      <c r="AT71" s="606"/>
      <c r="AU71" s="606"/>
      <c r="AV71" s="606"/>
      <c r="AW71" s="606"/>
      <c r="AX71" s="606">
        <v>0</v>
      </c>
      <c r="AY71" s="606">
        <v>0</v>
      </c>
      <c r="AZ71" s="606">
        <v>0</v>
      </c>
      <c r="BA71" s="606">
        <v>0</v>
      </c>
      <c r="BB71" s="606">
        <v>0</v>
      </c>
      <c r="BC71" s="606">
        <v>0</v>
      </c>
      <c r="BD71" s="606">
        <v>0</v>
      </c>
      <c r="BE71" s="606">
        <v>0</v>
      </c>
      <c r="BF71" s="606">
        <v>0</v>
      </c>
      <c r="BG71" s="606">
        <v>0</v>
      </c>
      <c r="BH71" s="606">
        <v>267678</v>
      </c>
      <c r="BI71" s="606">
        <v>267678</v>
      </c>
      <c r="BJ71" s="606">
        <v>267678</v>
      </c>
      <c r="BK71" s="606">
        <v>0</v>
      </c>
      <c r="BL71" s="606">
        <v>0</v>
      </c>
      <c r="BM71" s="606">
        <v>0</v>
      </c>
      <c r="BN71" s="606">
        <v>0</v>
      </c>
      <c r="BO71" s="606">
        <v>0</v>
      </c>
      <c r="BP71" s="606">
        <v>0</v>
      </c>
      <c r="BQ71" s="606">
        <v>0</v>
      </c>
      <c r="BR71" s="606">
        <v>0</v>
      </c>
      <c r="BS71" s="606">
        <v>0</v>
      </c>
      <c r="BT71" s="606">
        <v>803034</v>
      </c>
    </row>
    <row r="72" spans="1:72" hidden="1">
      <c r="A72" t="s">
        <v>2900</v>
      </c>
      <c r="B72" t="s">
        <v>2953</v>
      </c>
      <c r="C72" t="s">
        <v>23</v>
      </c>
      <c r="D72" t="s">
        <v>2901</v>
      </c>
      <c r="E72" t="s">
        <v>1136</v>
      </c>
      <c r="F72" t="s">
        <v>1566</v>
      </c>
      <c r="G72" t="s">
        <v>1135</v>
      </c>
      <c r="H72" t="s">
        <v>1135</v>
      </c>
      <c r="I72" t="s">
        <v>1135</v>
      </c>
      <c r="J72" t="s">
        <v>1137</v>
      </c>
      <c r="K72" t="s">
        <v>1137</v>
      </c>
      <c r="L72" t="s">
        <v>22</v>
      </c>
      <c r="M72" t="s">
        <v>2868</v>
      </c>
      <c r="P72" t="s">
        <v>24</v>
      </c>
      <c r="Q72" t="s">
        <v>1139</v>
      </c>
      <c r="R72" t="s">
        <v>1140</v>
      </c>
      <c r="T72" t="s">
        <v>25</v>
      </c>
      <c r="W72" s="606">
        <v>3920122.6999999993</v>
      </c>
      <c r="X72" s="606">
        <v>0</v>
      </c>
      <c r="Y72" s="606"/>
      <c r="Z72" s="606"/>
      <c r="AA72" s="606"/>
      <c r="AB72" s="606"/>
      <c r="AC72" s="606"/>
      <c r="AD72" s="606" t="s">
        <v>1142</v>
      </c>
      <c r="AE72" s="606">
        <v>0</v>
      </c>
      <c r="AF72" s="606">
        <v>0</v>
      </c>
      <c r="AG72" s="606"/>
      <c r="AH72" s="606"/>
      <c r="AI72" s="606"/>
      <c r="AJ72" s="606"/>
      <c r="AK72" s="606"/>
      <c r="AL72" s="606"/>
      <c r="AM72" s="606">
        <v>0</v>
      </c>
      <c r="AN72" s="606">
        <v>0</v>
      </c>
      <c r="AO72" s="606"/>
      <c r="AP72" s="606">
        <v>0</v>
      </c>
      <c r="AQ72" s="606">
        <v>0</v>
      </c>
      <c r="AR72" s="606"/>
      <c r="AS72" s="606">
        <v>0</v>
      </c>
      <c r="AT72" s="606"/>
      <c r="AU72" s="606"/>
      <c r="AV72" s="606"/>
      <c r="AW72" s="606"/>
      <c r="AX72" s="606"/>
      <c r="AY72" s="606"/>
      <c r="AZ72" s="606"/>
      <c r="BA72" s="606"/>
      <c r="BB72" s="606"/>
      <c r="BC72" s="606"/>
      <c r="BD72" s="606"/>
      <c r="BE72" s="606"/>
      <c r="BF72" s="606"/>
      <c r="BG72" s="606">
        <v>0</v>
      </c>
      <c r="BH72" s="606">
        <v>95760.76</v>
      </c>
      <c r="BI72" s="606">
        <v>93858.59</v>
      </c>
      <c r="BJ72" s="606">
        <v>103661.36</v>
      </c>
      <c r="BK72" s="606">
        <v>322835.13</v>
      </c>
      <c r="BL72" s="606">
        <v>322835.13</v>
      </c>
      <c r="BM72" s="606">
        <v>322835.13</v>
      </c>
      <c r="BN72" s="606">
        <v>330985.75</v>
      </c>
      <c r="BO72" s="606">
        <v>330985.75</v>
      </c>
      <c r="BP72" s="606">
        <v>338079.72</v>
      </c>
      <c r="BQ72" s="606">
        <v>338079.72</v>
      </c>
      <c r="BR72" s="606">
        <v>338079.72</v>
      </c>
      <c r="BS72" s="606">
        <v>338079.72</v>
      </c>
      <c r="BT72" s="606">
        <v>3276076.4799999995</v>
      </c>
    </row>
    <row r="73" spans="1:72" hidden="1">
      <c r="A73" t="s">
        <v>2880</v>
      </c>
      <c r="B73" t="s">
        <v>2953</v>
      </c>
      <c r="C73" t="s">
        <v>37</v>
      </c>
      <c r="D73" t="s">
        <v>2881</v>
      </c>
      <c r="E73" t="s">
        <v>1136</v>
      </c>
      <c r="F73" t="s">
        <v>1566</v>
      </c>
      <c r="G73" t="s">
        <v>1566</v>
      </c>
      <c r="H73" t="s">
        <v>1566</v>
      </c>
      <c r="I73" t="s">
        <v>1567</v>
      </c>
      <c r="J73" t="s">
        <v>1567</v>
      </c>
      <c r="K73" t="s">
        <v>1567</v>
      </c>
      <c r="L73" t="s">
        <v>22</v>
      </c>
      <c r="M73" t="s">
        <v>2868</v>
      </c>
      <c r="P73" t="s">
        <v>24</v>
      </c>
      <c r="Q73" t="s">
        <v>1139</v>
      </c>
      <c r="R73" t="s">
        <v>1140</v>
      </c>
      <c r="T73" t="s">
        <v>25</v>
      </c>
      <c r="W73" s="606">
        <v>330694.30999999988</v>
      </c>
      <c r="X73" s="606">
        <v>0</v>
      </c>
      <c r="Y73" s="606"/>
      <c r="Z73" s="606"/>
      <c r="AA73" s="606"/>
      <c r="AB73" s="606"/>
      <c r="AC73" s="606"/>
      <c r="AD73" s="606" t="s">
        <v>1142</v>
      </c>
      <c r="AE73" s="606">
        <v>0</v>
      </c>
      <c r="AF73" s="606">
        <v>0</v>
      </c>
      <c r="AG73" s="606"/>
      <c r="AH73" s="606"/>
      <c r="AI73" s="606"/>
      <c r="AJ73" s="606"/>
      <c r="AK73" s="606"/>
      <c r="AL73" s="606"/>
      <c r="AM73" s="606">
        <v>0</v>
      </c>
      <c r="AN73" s="606">
        <v>0</v>
      </c>
      <c r="AO73" s="606"/>
      <c r="AP73" s="606">
        <v>0</v>
      </c>
      <c r="AQ73" s="606">
        <v>0</v>
      </c>
      <c r="AR73" s="606"/>
      <c r="AS73" s="606">
        <v>0</v>
      </c>
      <c r="AT73" s="606"/>
      <c r="AU73" s="606"/>
      <c r="AV73" s="606"/>
      <c r="AW73" s="606"/>
      <c r="AX73" s="606"/>
      <c r="AY73" s="606"/>
      <c r="AZ73" s="606"/>
      <c r="BA73" s="606"/>
      <c r="BB73" s="606"/>
      <c r="BC73" s="606"/>
      <c r="BD73" s="606"/>
      <c r="BE73" s="606"/>
      <c r="BF73" s="606"/>
      <c r="BG73" s="606">
        <v>0</v>
      </c>
      <c r="BH73" s="606">
        <v>92230.9</v>
      </c>
      <c r="BI73" s="606">
        <v>-4919.59</v>
      </c>
      <c r="BJ73" s="606">
        <v>59978.67</v>
      </c>
      <c r="BK73" s="606">
        <v>20638.45</v>
      </c>
      <c r="BL73" s="606">
        <v>34028.449999999997</v>
      </c>
      <c r="BM73" s="606">
        <v>32963.75</v>
      </c>
      <c r="BN73" s="606">
        <v>22316.67</v>
      </c>
      <c r="BO73" s="606">
        <v>22316.67</v>
      </c>
      <c r="BP73" s="606">
        <v>22316.67</v>
      </c>
      <c r="BQ73" s="606">
        <v>22316.67</v>
      </c>
      <c r="BR73" s="606">
        <v>22316.67</v>
      </c>
      <c r="BS73" s="606">
        <v>22316.67</v>
      </c>
      <c r="BT73" s="606">
        <v>368820.64999999991</v>
      </c>
    </row>
    <row r="74" spans="1:72" hidden="1">
      <c r="A74" t="s">
        <v>2885</v>
      </c>
      <c r="B74" t="s">
        <v>2953</v>
      </c>
      <c r="C74" t="s">
        <v>40</v>
      </c>
      <c r="D74" t="s">
        <v>2886</v>
      </c>
      <c r="E74" t="s">
        <v>1136</v>
      </c>
      <c r="F74" t="s">
        <v>1566</v>
      </c>
      <c r="G74" t="s">
        <v>1566</v>
      </c>
      <c r="H74" t="s">
        <v>1566</v>
      </c>
      <c r="I74" t="s">
        <v>1345</v>
      </c>
      <c r="J74" t="s">
        <v>1346</v>
      </c>
      <c r="K74" t="s">
        <v>1346</v>
      </c>
      <c r="L74" t="s">
        <v>22</v>
      </c>
      <c r="M74" t="s">
        <v>2870</v>
      </c>
      <c r="P74" t="s">
        <v>27</v>
      </c>
      <c r="Q74" t="s">
        <v>1139</v>
      </c>
      <c r="R74" t="s">
        <v>1140</v>
      </c>
      <c r="T74" t="s">
        <v>25</v>
      </c>
      <c r="W74" s="606">
        <v>2865793.42</v>
      </c>
      <c r="X74" s="606">
        <v>0</v>
      </c>
      <c r="Y74" s="606"/>
      <c r="Z74" s="606"/>
      <c r="AA74" s="606"/>
      <c r="AB74" s="606"/>
      <c r="AC74" s="606"/>
      <c r="AD74" s="606" t="s">
        <v>1142</v>
      </c>
      <c r="AE74" s="606">
        <v>0</v>
      </c>
      <c r="AF74" s="606">
        <v>0</v>
      </c>
      <c r="AG74" s="606"/>
      <c r="AH74" s="606"/>
      <c r="AI74" s="606"/>
      <c r="AJ74" s="606"/>
      <c r="AK74" s="606"/>
      <c r="AL74" s="606"/>
      <c r="AM74" s="606">
        <v>0</v>
      </c>
      <c r="AN74" s="606">
        <v>0</v>
      </c>
      <c r="AO74" s="606"/>
      <c r="AP74" s="606">
        <v>0</v>
      </c>
      <c r="AQ74" s="606">
        <v>0</v>
      </c>
      <c r="AR74" s="606"/>
      <c r="AS74" s="606">
        <v>0</v>
      </c>
      <c r="AT74" s="606"/>
      <c r="AU74" s="606"/>
      <c r="AV74" s="606"/>
      <c r="AW74" s="606"/>
      <c r="AX74" s="606"/>
      <c r="AY74" s="606"/>
      <c r="AZ74" s="606"/>
      <c r="BA74" s="606"/>
      <c r="BB74" s="606"/>
      <c r="BC74" s="606"/>
      <c r="BD74" s="606"/>
      <c r="BE74" s="606"/>
      <c r="BF74" s="606"/>
      <c r="BG74" s="606">
        <v>0</v>
      </c>
      <c r="BH74" s="606">
        <v>195133.21</v>
      </c>
      <c r="BI74" s="606">
        <v>214325.71</v>
      </c>
      <c r="BJ74" s="606">
        <v>291685.48</v>
      </c>
      <c r="BK74" s="606">
        <v>233173.12</v>
      </c>
      <c r="BL74" s="606">
        <v>232919.73</v>
      </c>
      <c r="BM74" s="606">
        <v>238777.23</v>
      </c>
      <c r="BN74" s="606">
        <v>240555.68</v>
      </c>
      <c r="BO74" s="606">
        <v>242084.56</v>
      </c>
      <c r="BP74" s="606">
        <v>242084.56</v>
      </c>
      <c r="BQ74" s="606">
        <v>242084.56</v>
      </c>
      <c r="BR74" s="606">
        <v>242516.91</v>
      </c>
      <c r="BS74" s="606">
        <v>242516.91</v>
      </c>
      <c r="BT74" s="606">
        <v>2857857.66</v>
      </c>
    </row>
    <row r="75" spans="1:72" hidden="1">
      <c r="A75" t="s">
        <v>2902</v>
      </c>
      <c r="B75" t="s">
        <v>2953</v>
      </c>
      <c r="C75" t="s">
        <v>26</v>
      </c>
      <c r="D75" t="s">
        <v>26</v>
      </c>
      <c r="E75" t="s">
        <v>1136</v>
      </c>
      <c r="F75" t="s">
        <v>1566</v>
      </c>
      <c r="G75" t="s">
        <v>1135</v>
      </c>
      <c r="H75" t="s">
        <v>1135</v>
      </c>
      <c r="I75" t="s">
        <v>1135</v>
      </c>
      <c r="J75" t="s">
        <v>1135</v>
      </c>
      <c r="K75" t="s">
        <v>1137</v>
      </c>
      <c r="L75" t="s">
        <v>22</v>
      </c>
      <c r="M75" t="s">
        <v>2870</v>
      </c>
      <c r="P75" t="s">
        <v>27</v>
      </c>
      <c r="Q75" t="s">
        <v>1139</v>
      </c>
      <c r="R75" t="s">
        <v>1140</v>
      </c>
      <c r="T75" t="s">
        <v>25</v>
      </c>
      <c r="W75" s="606">
        <v>0</v>
      </c>
      <c r="X75" s="606">
        <v>0</v>
      </c>
      <c r="Y75" s="606"/>
      <c r="Z75" s="606"/>
      <c r="AA75" s="606"/>
      <c r="AB75" s="606"/>
      <c r="AC75" s="606"/>
      <c r="AD75" s="606" t="s">
        <v>1142</v>
      </c>
      <c r="AE75" s="606">
        <v>0</v>
      </c>
      <c r="AF75" s="606">
        <v>0</v>
      </c>
      <c r="AG75" s="606">
        <v>0</v>
      </c>
      <c r="AH75" s="606">
        <v>0</v>
      </c>
      <c r="AI75" s="606">
        <v>0</v>
      </c>
      <c r="AJ75" s="606">
        <v>0</v>
      </c>
      <c r="AK75" s="606">
        <v>0</v>
      </c>
      <c r="AL75" s="606">
        <v>0</v>
      </c>
      <c r="AM75" s="606">
        <v>0</v>
      </c>
      <c r="AN75" s="606">
        <v>0</v>
      </c>
      <c r="AO75" s="606">
        <v>0</v>
      </c>
      <c r="AP75" s="606">
        <v>0</v>
      </c>
      <c r="AQ75" s="606">
        <v>0</v>
      </c>
      <c r="AR75" s="606"/>
      <c r="AS75" s="606">
        <v>0</v>
      </c>
      <c r="AT75" s="606"/>
      <c r="AU75" s="606"/>
      <c r="AV75" s="606"/>
      <c r="AW75" s="606"/>
      <c r="AX75" s="606">
        <v>0</v>
      </c>
      <c r="AY75" s="606">
        <v>0</v>
      </c>
      <c r="AZ75" s="606">
        <v>0</v>
      </c>
      <c r="BA75" s="606">
        <v>0</v>
      </c>
      <c r="BB75" s="606">
        <v>0</v>
      </c>
      <c r="BC75" s="606">
        <v>0</v>
      </c>
      <c r="BD75" s="606">
        <v>0</v>
      </c>
      <c r="BE75" s="606">
        <v>0</v>
      </c>
      <c r="BF75" s="606">
        <v>0</v>
      </c>
      <c r="BG75" s="606">
        <v>0</v>
      </c>
      <c r="BH75" s="606">
        <v>119429</v>
      </c>
      <c r="BI75" s="606">
        <v>107869</v>
      </c>
      <c r="BJ75" s="606">
        <v>119891</v>
      </c>
      <c r="BK75" s="606">
        <v>0</v>
      </c>
      <c r="BL75" s="606">
        <v>0</v>
      </c>
      <c r="BM75" s="606">
        <v>0</v>
      </c>
      <c r="BN75" s="606">
        <v>0</v>
      </c>
      <c r="BO75" s="606">
        <v>0</v>
      </c>
      <c r="BP75" s="606">
        <v>0</v>
      </c>
      <c r="BQ75" s="606">
        <v>0</v>
      </c>
      <c r="BR75" s="606">
        <v>0</v>
      </c>
      <c r="BS75" s="606">
        <v>0</v>
      </c>
      <c r="BT75" s="606">
        <v>347189</v>
      </c>
    </row>
    <row r="76" spans="1:72" hidden="1">
      <c r="A76" t="s">
        <v>2903</v>
      </c>
      <c r="B76" t="s">
        <v>2953</v>
      </c>
      <c r="C76" t="s">
        <v>26</v>
      </c>
      <c r="D76" t="s">
        <v>2904</v>
      </c>
      <c r="E76" t="s">
        <v>1136</v>
      </c>
      <c r="F76" t="s">
        <v>1566</v>
      </c>
      <c r="G76" t="s">
        <v>1135</v>
      </c>
      <c r="H76" t="s">
        <v>1135</v>
      </c>
      <c r="I76" t="s">
        <v>1135</v>
      </c>
      <c r="J76" t="s">
        <v>1137</v>
      </c>
      <c r="K76" t="s">
        <v>1137</v>
      </c>
      <c r="L76" t="s">
        <v>22</v>
      </c>
      <c r="M76" t="s">
        <v>2870</v>
      </c>
      <c r="P76" t="s">
        <v>27</v>
      </c>
      <c r="Q76" t="s">
        <v>1139</v>
      </c>
      <c r="R76" t="s">
        <v>1140</v>
      </c>
      <c r="T76" t="s">
        <v>25</v>
      </c>
      <c r="W76" s="606">
        <v>1729258.84</v>
      </c>
      <c r="X76" s="606">
        <v>0</v>
      </c>
      <c r="Y76" s="606"/>
      <c r="Z76" s="606"/>
      <c r="AA76" s="606"/>
      <c r="AB76" s="606"/>
      <c r="AC76" s="606"/>
      <c r="AD76" s="606" t="s">
        <v>1142</v>
      </c>
      <c r="AE76" s="606">
        <v>0</v>
      </c>
      <c r="AF76" s="606">
        <v>0</v>
      </c>
      <c r="AG76" s="606"/>
      <c r="AH76" s="606"/>
      <c r="AI76" s="606"/>
      <c r="AJ76" s="606"/>
      <c r="AK76" s="606"/>
      <c r="AL76" s="606"/>
      <c r="AM76" s="606">
        <v>0</v>
      </c>
      <c r="AN76" s="606">
        <v>0</v>
      </c>
      <c r="AO76" s="606"/>
      <c r="AP76" s="606">
        <v>0</v>
      </c>
      <c r="AQ76" s="606">
        <v>0</v>
      </c>
      <c r="AR76" s="606"/>
      <c r="AS76" s="606">
        <v>0</v>
      </c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>
        <v>0</v>
      </c>
      <c r="BH76" s="606">
        <v>50770.12</v>
      </c>
      <c r="BI76" s="606">
        <v>51960.62</v>
      </c>
      <c r="BJ76" s="606">
        <v>52695.87</v>
      </c>
      <c r="BK76" s="606">
        <v>142100.94</v>
      </c>
      <c r="BL76" s="606">
        <v>142100.94</v>
      </c>
      <c r="BM76" s="606">
        <v>142100.94</v>
      </c>
      <c r="BN76" s="606">
        <v>146019.5</v>
      </c>
      <c r="BO76" s="606">
        <v>146019.5</v>
      </c>
      <c r="BP76" s="606">
        <v>150075.81</v>
      </c>
      <c r="BQ76" s="606">
        <v>150075.81</v>
      </c>
      <c r="BR76" s="606">
        <v>150075.81</v>
      </c>
      <c r="BS76" s="606">
        <v>150075.81</v>
      </c>
      <c r="BT76" s="606">
        <v>1474071.6700000002</v>
      </c>
    </row>
    <row r="77" spans="1:72" hidden="1">
      <c r="A77" t="s">
        <v>2887</v>
      </c>
      <c r="B77" t="s">
        <v>2953</v>
      </c>
      <c r="C77" t="s">
        <v>40</v>
      </c>
      <c r="D77" t="s">
        <v>2888</v>
      </c>
      <c r="E77" t="s">
        <v>1136</v>
      </c>
      <c r="F77" t="s">
        <v>1566</v>
      </c>
      <c r="G77" t="s">
        <v>1566</v>
      </c>
      <c r="H77" t="s">
        <v>1566</v>
      </c>
      <c r="I77" t="s">
        <v>1567</v>
      </c>
      <c r="J77" t="s">
        <v>1567</v>
      </c>
      <c r="K77" t="s">
        <v>1567</v>
      </c>
      <c r="L77" t="s">
        <v>22</v>
      </c>
      <c r="M77" t="s">
        <v>2870</v>
      </c>
      <c r="P77" t="s">
        <v>27</v>
      </c>
      <c r="Q77" t="s">
        <v>1139</v>
      </c>
      <c r="R77" t="s">
        <v>1140</v>
      </c>
      <c r="T77" t="s">
        <v>25</v>
      </c>
      <c r="W77" s="606">
        <v>204823.02000000002</v>
      </c>
      <c r="X77" s="606">
        <v>0</v>
      </c>
      <c r="Y77" s="606"/>
      <c r="Z77" s="606"/>
      <c r="AA77" s="606"/>
      <c r="AB77" s="606"/>
      <c r="AC77" s="606"/>
      <c r="AD77" s="606" t="s">
        <v>1142</v>
      </c>
      <c r="AE77" s="606">
        <v>0</v>
      </c>
      <c r="AF77" s="606">
        <v>0</v>
      </c>
      <c r="AG77" s="606"/>
      <c r="AH77" s="606"/>
      <c r="AI77" s="606"/>
      <c r="AJ77" s="606"/>
      <c r="AK77" s="606"/>
      <c r="AL77" s="606"/>
      <c r="AM77" s="606">
        <v>0</v>
      </c>
      <c r="AN77" s="606">
        <v>0</v>
      </c>
      <c r="AO77" s="606"/>
      <c r="AP77" s="606">
        <v>0</v>
      </c>
      <c r="AQ77" s="606">
        <v>0</v>
      </c>
      <c r="AR77" s="606"/>
      <c r="AS77" s="606">
        <v>0</v>
      </c>
      <c r="AT77" s="606"/>
      <c r="AU77" s="606"/>
      <c r="AV77" s="606"/>
      <c r="AW77" s="606"/>
      <c r="AX77" s="606"/>
      <c r="AY77" s="606"/>
      <c r="AZ77" s="606"/>
      <c r="BA77" s="606"/>
      <c r="BB77" s="606"/>
      <c r="BC77" s="606"/>
      <c r="BD77" s="606"/>
      <c r="BE77" s="606"/>
      <c r="BF77" s="606"/>
      <c r="BG77" s="606">
        <v>0</v>
      </c>
      <c r="BH77" s="606">
        <v>51562.58</v>
      </c>
      <c r="BI77" s="606">
        <v>27159.83</v>
      </c>
      <c r="BJ77" s="606">
        <v>40975</v>
      </c>
      <c r="BK77" s="606">
        <v>11866.46</v>
      </c>
      <c r="BL77" s="606">
        <v>21522.71</v>
      </c>
      <c r="BM77" s="606">
        <v>20882.86</v>
      </c>
      <c r="BN77" s="606">
        <v>14484.38</v>
      </c>
      <c r="BO77" s="606">
        <v>14484.38</v>
      </c>
      <c r="BP77" s="606">
        <v>14484.38</v>
      </c>
      <c r="BQ77" s="606">
        <v>14484.38</v>
      </c>
      <c r="BR77" s="606">
        <v>14484.38</v>
      </c>
      <c r="BS77" s="606">
        <v>14484.38</v>
      </c>
      <c r="BT77" s="606">
        <v>260875.72000000003</v>
      </c>
    </row>
    <row r="78" spans="1:72" hidden="1">
      <c r="A78" t="s">
        <v>2905</v>
      </c>
      <c r="B78" t="s">
        <v>2953</v>
      </c>
      <c r="C78" t="s">
        <v>28</v>
      </c>
      <c r="D78" t="s">
        <v>28</v>
      </c>
      <c r="E78" t="s">
        <v>1136</v>
      </c>
      <c r="F78" t="s">
        <v>1566</v>
      </c>
      <c r="G78" t="s">
        <v>1135</v>
      </c>
      <c r="H78" t="s">
        <v>1135</v>
      </c>
      <c r="I78" t="s">
        <v>1135</v>
      </c>
      <c r="J78" t="s">
        <v>1135</v>
      </c>
      <c r="K78" t="s">
        <v>1137</v>
      </c>
      <c r="L78" t="s">
        <v>22</v>
      </c>
      <c r="M78" t="s">
        <v>2872</v>
      </c>
      <c r="P78" t="s">
        <v>29</v>
      </c>
      <c r="Q78" t="s">
        <v>1139</v>
      </c>
      <c r="R78" t="s">
        <v>1140</v>
      </c>
      <c r="T78" t="s">
        <v>25</v>
      </c>
      <c r="W78" s="606">
        <v>0</v>
      </c>
      <c r="X78" s="606">
        <v>0</v>
      </c>
      <c r="Y78" s="606"/>
      <c r="Z78" s="606"/>
      <c r="AA78" s="606"/>
      <c r="AB78" s="606"/>
      <c r="AC78" s="606"/>
      <c r="AD78" s="606"/>
      <c r="AE78" s="606"/>
      <c r="AF78" s="606">
        <v>1060974</v>
      </c>
      <c r="AG78" s="606">
        <v>0</v>
      </c>
      <c r="AH78" s="606">
        <v>0</v>
      </c>
      <c r="AI78" s="606">
        <v>0</v>
      </c>
      <c r="AJ78" s="606">
        <v>0</v>
      </c>
      <c r="AK78" s="606">
        <v>0</v>
      </c>
      <c r="AL78" s="606">
        <v>0</v>
      </c>
      <c r="AM78" s="606">
        <v>1060974</v>
      </c>
      <c r="AN78" s="606">
        <v>1060974</v>
      </c>
      <c r="AO78" s="606">
        <v>0</v>
      </c>
      <c r="AP78" s="606">
        <v>1060974</v>
      </c>
      <c r="AQ78" s="606">
        <v>1060974</v>
      </c>
      <c r="AR78" s="606"/>
      <c r="AS78" s="606">
        <v>1060974</v>
      </c>
      <c r="AT78" s="606"/>
      <c r="AU78" s="606"/>
      <c r="AV78" s="606"/>
      <c r="AW78" s="606"/>
      <c r="AX78" s="606">
        <v>0</v>
      </c>
      <c r="AY78" s="606">
        <v>0</v>
      </c>
      <c r="AZ78" s="606">
        <v>0</v>
      </c>
      <c r="BA78" s="606">
        <v>0</v>
      </c>
      <c r="BB78" s="606">
        <v>0</v>
      </c>
      <c r="BC78" s="606">
        <v>0</v>
      </c>
      <c r="BD78" s="606">
        <v>0</v>
      </c>
      <c r="BE78" s="606">
        <v>0</v>
      </c>
      <c r="BF78" s="606">
        <v>0</v>
      </c>
      <c r="BG78" s="606">
        <v>0</v>
      </c>
      <c r="BH78" s="606">
        <v>643457</v>
      </c>
      <c r="BI78" s="606">
        <v>643457</v>
      </c>
      <c r="BJ78" s="606">
        <v>643457</v>
      </c>
      <c r="BK78" s="606">
        <v>0</v>
      </c>
      <c r="BL78" s="606">
        <v>0</v>
      </c>
      <c r="BM78" s="606">
        <v>0</v>
      </c>
      <c r="BN78" s="606">
        <v>0</v>
      </c>
      <c r="BO78" s="606">
        <v>0</v>
      </c>
      <c r="BP78" s="606">
        <v>0</v>
      </c>
      <c r="BQ78" s="606">
        <v>0</v>
      </c>
      <c r="BR78" s="606">
        <v>0</v>
      </c>
      <c r="BS78" s="606">
        <v>0</v>
      </c>
      <c r="BT78" s="606">
        <v>1930371</v>
      </c>
    </row>
    <row r="79" spans="1:72" hidden="1">
      <c r="A79" t="s">
        <v>1146</v>
      </c>
      <c r="B79" t="s">
        <v>2953</v>
      </c>
      <c r="C79" t="s">
        <v>52</v>
      </c>
      <c r="D79" t="s">
        <v>52</v>
      </c>
      <c r="E79" t="s">
        <v>1136</v>
      </c>
      <c r="F79" t="s">
        <v>1566</v>
      </c>
      <c r="G79" t="s">
        <v>1135</v>
      </c>
      <c r="H79" t="s">
        <v>1135</v>
      </c>
      <c r="I79" t="s">
        <v>1135</v>
      </c>
      <c r="J79" t="s">
        <v>1135</v>
      </c>
      <c r="K79" t="s">
        <v>1137</v>
      </c>
      <c r="L79" t="s">
        <v>49</v>
      </c>
      <c r="M79" t="s">
        <v>1147</v>
      </c>
      <c r="P79" t="s">
        <v>53</v>
      </c>
      <c r="Q79" t="s">
        <v>1149</v>
      </c>
      <c r="T79" t="s">
        <v>25</v>
      </c>
      <c r="W79" s="606">
        <v>0</v>
      </c>
      <c r="X79" s="606">
        <v>-51577</v>
      </c>
      <c r="Y79" s="606"/>
      <c r="Z79" s="606"/>
      <c r="AA79" s="606">
        <v>44340</v>
      </c>
      <c r="AB79" s="606">
        <v>-23011</v>
      </c>
      <c r="AC79" s="606">
        <v>-72906</v>
      </c>
      <c r="AD79" s="606">
        <v>9489</v>
      </c>
      <c r="AE79" s="606">
        <v>-2647</v>
      </c>
      <c r="AF79" s="606">
        <v>5440</v>
      </c>
      <c r="AG79" s="606">
        <v>0</v>
      </c>
      <c r="AH79" s="606">
        <v>0</v>
      </c>
      <c r="AI79" s="606">
        <v>0</v>
      </c>
      <c r="AJ79" s="606">
        <v>0</v>
      </c>
      <c r="AK79" s="606">
        <v>0</v>
      </c>
      <c r="AL79" s="606">
        <v>0</v>
      </c>
      <c r="AM79" s="606">
        <v>-39295</v>
      </c>
      <c r="AN79" s="606">
        <v>12282</v>
      </c>
      <c r="AO79" s="606">
        <v>0</v>
      </c>
      <c r="AP79" s="606">
        <v>5440</v>
      </c>
      <c r="AQ79" s="606">
        <v>12282</v>
      </c>
      <c r="AR79" s="606"/>
      <c r="AS79" s="606">
        <v>12282</v>
      </c>
      <c r="AT79" s="606"/>
      <c r="AU79" s="606">
        <v>44340</v>
      </c>
      <c r="AV79" s="606">
        <v>-23011</v>
      </c>
      <c r="AW79" s="606">
        <v>-72906</v>
      </c>
      <c r="AX79" s="606">
        <v>0</v>
      </c>
      <c r="AY79" s="606">
        <v>0</v>
      </c>
      <c r="AZ79" s="606">
        <v>0</v>
      </c>
      <c r="BA79" s="606">
        <v>0</v>
      </c>
      <c r="BB79" s="606">
        <v>0</v>
      </c>
      <c r="BC79" s="606">
        <v>0</v>
      </c>
      <c r="BD79" s="606">
        <v>0</v>
      </c>
      <c r="BE79" s="606">
        <v>0</v>
      </c>
      <c r="BF79" s="606">
        <v>0</v>
      </c>
      <c r="BG79" s="606">
        <v>-51577</v>
      </c>
      <c r="BH79" s="606">
        <v>44340</v>
      </c>
      <c r="BI79" s="606">
        <v>-23011</v>
      </c>
      <c r="BJ79" s="606">
        <v>-72906</v>
      </c>
      <c r="BK79" s="606">
        <v>0</v>
      </c>
      <c r="BL79" s="606">
        <v>0</v>
      </c>
      <c r="BM79" s="606">
        <v>0</v>
      </c>
      <c r="BN79" s="606">
        <v>0</v>
      </c>
      <c r="BO79" s="606">
        <v>0</v>
      </c>
      <c r="BP79" s="606">
        <v>0</v>
      </c>
      <c r="BQ79" s="606">
        <v>0</v>
      </c>
      <c r="BR79" s="606">
        <v>0</v>
      </c>
      <c r="BS79" s="606">
        <v>0</v>
      </c>
      <c r="BT79" s="606">
        <v>-51577</v>
      </c>
    </row>
    <row r="80" spans="1:72" hidden="1">
      <c r="A80" t="s">
        <v>1154</v>
      </c>
      <c r="B80" t="s">
        <v>2953</v>
      </c>
      <c r="C80" t="s">
        <v>52</v>
      </c>
      <c r="D80" t="s">
        <v>1155</v>
      </c>
      <c r="E80" t="s">
        <v>1136</v>
      </c>
      <c r="F80" t="s">
        <v>1566</v>
      </c>
      <c r="G80" t="s">
        <v>1135</v>
      </c>
      <c r="H80" t="s">
        <v>1156</v>
      </c>
      <c r="I80" t="s">
        <v>1135</v>
      </c>
      <c r="J80" t="s">
        <v>1156</v>
      </c>
      <c r="K80" t="s">
        <v>1137</v>
      </c>
      <c r="L80" t="s">
        <v>49</v>
      </c>
      <c r="M80" t="s">
        <v>1147</v>
      </c>
      <c r="P80" t="s">
        <v>53</v>
      </c>
      <c r="Q80" t="s">
        <v>1153</v>
      </c>
      <c r="T80" t="s">
        <v>25</v>
      </c>
      <c r="U80" t="s">
        <v>1158</v>
      </c>
      <c r="W80" s="606">
        <v>0</v>
      </c>
      <c r="X80" s="606">
        <v>-1440</v>
      </c>
      <c r="Y80" s="606"/>
      <c r="Z80" s="606"/>
      <c r="AA80" s="606"/>
      <c r="AB80" s="606">
        <v>-1440</v>
      </c>
      <c r="AC80" s="606">
        <v>0</v>
      </c>
      <c r="AD80" s="606">
        <v>0</v>
      </c>
      <c r="AE80" s="606">
        <v>0</v>
      </c>
      <c r="AF80" s="606">
        <v>-18000</v>
      </c>
      <c r="AG80" s="606">
        <v>0</v>
      </c>
      <c r="AH80" s="606">
        <v>0</v>
      </c>
      <c r="AI80" s="606">
        <v>0</v>
      </c>
      <c r="AJ80" s="606">
        <v>0</v>
      </c>
      <c r="AK80" s="606">
        <v>0</v>
      </c>
      <c r="AL80" s="606">
        <v>0</v>
      </c>
      <c r="AM80" s="606">
        <v>-19440</v>
      </c>
      <c r="AN80" s="606">
        <v>-18000</v>
      </c>
      <c r="AO80" s="606">
        <v>0</v>
      </c>
      <c r="AP80" s="606">
        <v>-18000</v>
      </c>
      <c r="AQ80" s="606">
        <v>-18000</v>
      </c>
      <c r="AR80" s="606"/>
      <c r="AS80" s="606">
        <v>-18000</v>
      </c>
      <c r="AT80" s="606"/>
      <c r="AU80" s="606"/>
      <c r="AV80" s="606">
        <v>-1440</v>
      </c>
      <c r="AW80" s="606">
        <v>0</v>
      </c>
      <c r="AX80" s="606">
        <v>0</v>
      </c>
      <c r="AY80" s="606">
        <v>0</v>
      </c>
      <c r="AZ80" s="606">
        <v>0</v>
      </c>
      <c r="BA80" s="606">
        <v>0</v>
      </c>
      <c r="BB80" s="606">
        <v>0</v>
      </c>
      <c r="BC80" s="606">
        <v>0</v>
      </c>
      <c r="BD80" s="606">
        <v>0</v>
      </c>
      <c r="BE80" s="606">
        <v>0</v>
      </c>
      <c r="BF80" s="606">
        <v>0</v>
      </c>
      <c r="BG80" s="606">
        <v>-1440</v>
      </c>
      <c r="BH80" s="606"/>
      <c r="BI80" s="606">
        <v>-1440</v>
      </c>
      <c r="BJ80" s="606">
        <v>0</v>
      </c>
      <c r="BK80" s="606">
        <v>0</v>
      </c>
      <c r="BL80" s="606">
        <v>0</v>
      </c>
      <c r="BM80" s="606">
        <v>0</v>
      </c>
      <c r="BN80" s="606">
        <v>0</v>
      </c>
      <c r="BO80" s="606">
        <v>0</v>
      </c>
      <c r="BP80" s="606">
        <v>0</v>
      </c>
      <c r="BQ80" s="606">
        <v>0</v>
      </c>
      <c r="BR80" s="606">
        <v>0</v>
      </c>
      <c r="BS80" s="606">
        <v>0</v>
      </c>
      <c r="BT80" s="606">
        <v>-1440</v>
      </c>
    </row>
    <row r="81" spans="1:72" hidden="1">
      <c r="A81" t="s">
        <v>1159</v>
      </c>
      <c r="B81" t="s">
        <v>2953</v>
      </c>
      <c r="C81" t="s">
        <v>52</v>
      </c>
      <c r="D81" t="s">
        <v>1160</v>
      </c>
      <c r="E81" t="s">
        <v>1136</v>
      </c>
      <c r="F81" t="s">
        <v>1566</v>
      </c>
      <c r="G81" t="s">
        <v>1135</v>
      </c>
      <c r="H81" t="s">
        <v>1161</v>
      </c>
      <c r="I81" t="s">
        <v>1135</v>
      </c>
      <c r="J81" t="s">
        <v>1161</v>
      </c>
      <c r="K81" t="s">
        <v>1137</v>
      </c>
      <c r="L81" t="s">
        <v>49</v>
      </c>
      <c r="M81" t="s">
        <v>1147</v>
      </c>
      <c r="P81" t="s">
        <v>53</v>
      </c>
      <c r="Q81" t="s">
        <v>1153</v>
      </c>
      <c r="T81" t="s">
        <v>25</v>
      </c>
      <c r="U81" t="s">
        <v>1162</v>
      </c>
      <c r="W81" s="606">
        <v>0</v>
      </c>
      <c r="X81" s="606">
        <v>-68766</v>
      </c>
      <c r="Y81" s="606"/>
      <c r="Z81" s="606"/>
      <c r="AA81" s="606"/>
      <c r="AB81" s="606">
        <v>-57216</v>
      </c>
      <c r="AC81" s="606">
        <v>-11550</v>
      </c>
      <c r="AD81" s="606" t="s">
        <v>1142</v>
      </c>
      <c r="AE81" s="606">
        <v>0</v>
      </c>
      <c r="AF81" s="606">
        <v>0</v>
      </c>
      <c r="AG81" s="606">
        <v>0</v>
      </c>
      <c r="AH81" s="606">
        <v>0</v>
      </c>
      <c r="AI81" s="606">
        <v>0</v>
      </c>
      <c r="AJ81" s="606">
        <v>0</v>
      </c>
      <c r="AK81" s="606">
        <v>0</v>
      </c>
      <c r="AL81" s="606">
        <v>0</v>
      </c>
      <c r="AM81" s="606">
        <v>-68766</v>
      </c>
      <c r="AN81" s="606">
        <v>0</v>
      </c>
      <c r="AO81" s="606">
        <v>0</v>
      </c>
      <c r="AP81" s="606">
        <v>0</v>
      </c>
      <c r="AQ81" s="606">
        <v>0</v>
      </c>
      <c r="AR81" s="606"/>
      <c r="AS81" s="606">
        <v>0</v>
      </c>
      <c r="AT81" s="606"/>
      <c r="AU81" s="606"/>
      <c r="AV81" s="606">
        <v>-57216</v>
      </c>
      <c r="AW81" s="606">
        <v>-11550</v>
      </c>
      <c r="AX81" s="606">
        <v>0</v>
      </c>
      <c r="AY81" s="606">
        <v>0</v>
      </c>
      <c r="AZ81" s="606">
        <v>0</v>
      </c>
      <c r="BA81" s="606">
        <v>0</v>
      </c>
      <c r="BB81" s="606">
        <v>0</v>
      </c>
      <c r="BC81" s="606">
        <v>0</v>
      </c>
      <c r="BD81" s="606">
        <v>0</v>
      </c>
      <c r="BE81" s="606">
        <v>0</v>
      </c>
      <c r="BF81" s="606">
        <v>0</v>
      </c>
      <c r="BG81" s="606">
        <v>-68766</v>
      </c>
      <c r="BH81" s="606"/>
      <c r="BI81" s="606">
        <v>-57216</v>
      </c>
      <c r="BJ81" s="606">
        <v>-11550</v>
      </c>
      <c r="BK81" s="606">
        <v>0</v>
      </c>
      <c r="BL81" s="606">
        <v>0</v>
      </c>
      <c r="BM81" s="606">
        <v>0</v>
      </c>
      <c r="BN81" s="606">
        <v>0</v>
      </c>
      <c r="BO81" s="606">
        <v>0</v>
      </c>
      <c r="BP81" s="606">
        <v>0</v>
      </c>
      <c r="BQ81" s="606">
        <v>0</v>
      </c>
      <c r="BR81" s="606">
        <v>0</v>
      </c>
      <c r="BS81" s="606">
        <v>0</v>
      </c>
      <c r="BT81" s="606">
        <v>-68766</v>
      </c>
    </row>
    <row r="82" spans="1:72" hidden="1">
      <c r="A82" t="s">
        <v>1163</v>
      </c>
      <c r="B82" t="s">
        <v>2953</v>
      </c>
      <c r="C82" t="s">
        <v>52</v>
      </c>
      <c r="D82" t="s">
        <v>1164</v>
      </c>
      <c r="E82" t="s">
        <v>1136</v>
      </c>
      <c r="F82" t="s">
        <v>1566</v>
      </c>
      <c r="G82" t="s">
        <v>1135</v>
      </c>
      <c r="H82" t="s">
        <v>1165</v>
      </c>
      <c r="I82" t="s">
        <v>1135</v>
      </c>
      <c r="J82" t="s">
        <v>1165</v>
      </c>
      <c r="K82" t="s">
        <v>1165</v>
      </c>
      <c r="L82" t="s">
        <v>49</v>
      </c>
      <c r="M82" t="s">
        <v>1166</v>
      </c>
      <c r="N82" t="s">
        <v>1167</v>
      </c>
      <c r="O82" t="s">
        <v>1168</v>
      </c>
      <c r="P82" t="s">
        <v>53</v>
      </c>
      <c r="W82" s="606"/>
      <c r="X82" s="606"/>
      <c r="Y82" s="606"/>
      <c r="Z82" s="606"/>
      <c r="AA82" s="606"/>
      <c r="AB82" s="606"/>
      <c r="AC82" s="606"/>
      <c r="AD82" s="606">
        <v>24147</v>
      </c>
      <c r="AE82" s="606">
        <v>-46130</v>
      </c>
      <c r="AF82" s="606">
        <v>-215360</v>
      </c>
      <c r="AG82" s="606"/>
      <c r="AH82" s="606"/>
      <c r="AI82" s="606"/>
      <c r="AJ82" s="606"/>
      <c r="AK82" s="606"/>
      <c r="AL82" s="606"/>
      <c r="AM82" s="606">
        <v>-237343</v>
      </c>
      <c r="AN82" s="606">
        <v>-237343</v>
      </c>
      <c r="AO82" s="606"/>
      <c r="AP82" s="606">
        <v>-215360</v>
      </c>
      <c r="AQ82" s="606">
        <v>-237343</v>
      </c>
      <c r="AR82" s="606"/>
      <c r="AS82" s="606">
        <v>-237343</v>
      </c>
      <c r="AT82" s="606"/>
      <c r="AU82" s="606"/>
      <c r="AV82" s="606"/>
      <c r="AW82" s="606"/>
      <c r="AX82" s="606"/>
      <c r="AY82" s="606"/>
      <c r="AZ82" s="606"/>
      <c r="BA82" s="606"/>
      <c r="BB82" s="606"/>
      <c r="BC82" s="606"/>
      <c r="BD82" s="606"/>
      <c r="BE82" s="606"/>
      <c r="BF82" s="606"/>
      <c r="BG82" s="606"/>
      <c r="BH82" s="606"/>
      <c r="BI82" s="606"/>
      <c r="BJ82" s="606"/>
      <c r="BK82" s="606"/>
      <c r="BL82" s="606"/>
      <c r="BM82" s="606"/>
      <c r="BN82" s="606"/>
      <c r="BO82" s="606"/>
      <c r="BP82" s="606"/>
      <c r="BQ82" s="606"/>
      <c r="BR82" s="606"/>
      <c r="BS82" s="606"/>
      <c r="BT82" s="606"/>
    </row>
    <row r="83" spans="1:72" hidden="1">
      <c r="A83" t="s">
        <v>1172</v>
      </c>
      <c r="B83" t="s">
        <v>2953</v>
      </c>
      <c r="C83" t="s">
        <v>55</v>
      </c>
      <c r="D83" t="s">
        <v>1173</v>
      </c>
      <c r="E83" t="s">
        <v>1136</v>
      </c>
      <c r="F83" t="s">
        <v>1566</v>
      </c>
      <c r="G83" t="s">
        <v>1135</v>
      </c>
      <c r="H83" t="s">
        <v>1165</v>
      </c>
      <c r="I83" t="s">
        <v>1135</v>
      </c>
      <c r="J83" t="s">
        <v>1165</v>
      </c>
      <c r="K83" t="s">
        <v>1137</v>
      </c>
      <c r="L83" t="s">
        <v>49</v>
      </c>
      <c r="M83" t="s">
        <v>1174</v>
      </c>
      <c r="P83" t="s">
        <v>56</v>
      </c>
      <c r="Q83" t="s">
        <v>1139</v>
      </c>
      <c r="R83" t="s">
        <v>1140</v>
      </c>
      <c r="T83" t="s">
        <v>57</v>
      </c>
      <c r="W83" s="606">
        <v>0</v>
      </c>
      <c r="X83" s="606">
        <v>1080</v>
      </c>
      <c r="Y83" s="606"/>
      <c r="Z83" s="606"/>
      <c r="AA83" s="606">
        <v>360</v>
      </c>
      <c r="AB83" s="606">
        <v>360</v>
      </c>
      <c r="AC83" s="606">
        <v>360</v>
      </c>
      <c r="AD83" s="606">
        <v>0</v>
      </c>
      <c r="AE83" s="606">
        <v>0</v>
      </c>
      <c r="AF83" s="606">
        <v>0</v>
      </c>
      <c r="AG83" s="606">
        <v>0</v>
      </c>
      <c r="AH83" s="606">
        <v>0</v>
      </c>
      <c r="AI83" s="606">
        <v>0</v>
      </c>
      <c r="AJ83" s="606">
        <v>0</v>
      </c>
      <c r="AK83" s="606">
        <v>0</v>
      </c>
      <c r="AL83" s="606">
        <v>0</v>
      </c>
      <c r="AM83" s="606">
        <v>1080</v>
      </c>
      <c r="AN83" s="606">
        <v>0</v>
      </c>
      <c r="AO83" s="606">
        <v>0</v>
      </c>
      <c r="AP83" s="606">
        <v>0</v>
      </c>
      <c r="AQ83" s="606">
        <v>0</v>
      </c>
      <c r="AR83" s="606"/>
      <c r="AS83" s="606">
        <v>0</v>
      </c>
      <c r="AT83" s="606"/>
      <c r="AU83" s="606">
        <v>360</v>
      </c>
      <c r="AV83" s="606">
        <v>360</v>
      </c>
      <c r="AW83" s="606">
        <v>360</v>
      </c>
      <c r="AX83" s="606">
        <v>0</v>
      </c>
      <c r="AY83" s="606">
        <v>0</v>
      </c>
      <c r="AZ83" s="606">
        <v>0</v>
      </c>
      <c r="BA83" s="606">
        <v>0</v>
      </c>
      <c r="BB83" s="606">
        <v>0</v>
      </c>
      <c r="BC83" s="606">
        <v>0</v>
      </c>
      <c r="BD83" s="606">
        <v>0</v>
      </c>
      <c r="BE83" s="606">
        <v>0</v>
      </c>
      <c r="BF83" s="606">
        <v>0</v>
      </c>
      <c r="BG83" s="606">
        <v>1080</v>
      </c>
      <c r="BH83" s="606">
        <v>360</v>
      </c>
      <c r="BI83" s="606">
        <v>360</v>
      </c>
      <c r="BJ83" s="606">
        <v>360</v>
      </c>
      <c r="BK83" s="606">
        <v>0</v>
      </c>
      <c r="BL83" s="606">
        <v>0</v>
      </c>
      <c r="BM83" s="606">
        <v>0</v>
      </c>
      <c r="BN83" s="606">
        <v>0</v>
      </c>
      <c r="BO83" s="606">
        <v>0</v>
      </c>
      <c r="BP83" s="606">
        <v>0</v>
      </c>
      <c r="BQ83" s="606">
        <v>0</v>
      </c>
      <c r="BR83" s="606">
        <v>0</v>
      </c>
      <c r="BS83" s="606">
        <v>0</v>
      </c>
      <c r="BT83" s="606">
        <v>1080</v>
      </c>
    </row>
    <row r="84" spans="1:72" hidden="1">
      <c r="A84" t="s">
        <v>1790</v>
      </c>
      <c r="B84" t="s">
        <v>2953</v>
      </c>
      <c r="C84" t="s">
        <v>417</v>
      </c>
      <c r="D84" t="s">
        <v>417</v>
      </c>
      <c r="E84" t="s">
        <v>1136</v>
      </c>
      <c r="F84" t="s">
        <v>1566</v>
      </c>
      <c r="G84" t="s">
        <v>1135</v>
      </c>
      <c r="H84" t="s">
        <v>1135</v>
      </c>
      <c r="I84" t="s">
        <v>1135</v>
      </c>
      <c r="J84" t="s">
        <v>1135</v>
      </c>
      <c r="K84" t="s">
        <v>1137</v>
      </c>
      <c r="L84" t="s">
        <v>389</v>
      </c>
      <c r="M84" t="s">
        <v>1174</v>
      </c>
      <c r="P84" t="s">
        <v>56</v>
      </c>
      <c r="Q84" t="s">
        <v>1139</v>
      </c>
      <c r="R84" t="s">
        <v>1140</v>
      </c>
      <c r="T84" t="s">
        <v>57</v>
      </c>
      <c r="W84" s="606">
        <v>48000</v>
      </c>
      <c r="X84" s="606">
        <v>49773.74</v>
      </c>
      <c r="Y84" s="606"/>
      <c r="Z84" s="606"/>
      <c r="AA84" s="606">
        <v>4838.91</v>
      </c>
      <c r="AB84" s="606">
        <v>4409.8999999999996</v>
      </c>
      <c r="AC84" s="606">
        <v>4524.93</v>
      </c>
      <c r="AD84" s="606">
        <v>3908.87</v>
      </c>
      <c r="AE84" s="606">
        <v>4454.8399999999992</v>
      </c>
      <c r="AF84" s="606">
        <v>4602.9500000000007</v>
      </c>
      <c r="AG84" s="606">
        <v>4000</v>
      </c>
      <c r="AH84" s="606">
        <v>4000</v>
      </c>
      <c r="AI84" s="606">
        <v>4000</v>
      </c>
      <c r="AJ84" s="606">
        <v>4000</v>
      </c>
      <c r="AK84" s="606">
        <v>4000</v>
      </c>
      <c r="AL84" s="606">
        <v>4000</v>
      </c>
      <c r="AM84" s="606">
        <v>50740.4</v>
      </c>
      <c r="AN84" s="606">
        <v>966.66000000000349</v>
      </c>
      <c r="AO84" s="606">
        <v>4000</v>
      </c>
      <c r="AP84" s="606">
        <v>602.95000000000073</v>
      </c>
      <c r="AQ84" s="606">
        <v>966.66000000000349</v>
      </c>
      <c r="AR84" s="606"/>
      <c r="AS84" s="606">
        <v>966.66000000000349</v>
      </c>
      <c r="AT84" s="606"/>
      <c r="AU84" s="606">
        <v>4838.91</v>
      </c>
      <c r="AV84" s="606">
        <v>4409.8999999999996</v>
      </c>
      <c r="AW84" s="606">
        <v>4524.93</v>
      </c>
      <c r="AX84" s="606">
        <v>4000</v>
      </c>
      <c r="AY84" s="606">
        <v>4000</v>
      </c>
      <c r="AZ84" s="606">
        <v>4000</v>
      </c>
      <c r="BA84" s="606">
        <v>4000</v>
      </c>
      <c r="BB84" s="606">
        <v>4000</v>
      </c>
      <c r="BC84" s="606">
        <v>4000</v>
      </c>
      <c r="BD84" s="606">
        <v>4000</v>
      </c>
      <c r="BE84" s="606">
        <v>4000</v>
      </c>
      <c r="BF84" s="606">
        <v>4000</v>
      </c>
      <c r="BG84" s="606">
        <v>49773.74</v>
      </c>
      <c r="BH84" s="606">
        <v>4838.91</v>
      </c>
      <c r="BI84" s="606">
        <v>4409.8999999999996</v>
      </c>
      <c r="BJ84" s="606">
        <v>4524.93</v>
      </c>
      <c r="BK84" s="606">
        <v>4000</v>
      </c>
      <c r="BL84" s="606">
        <v>4000</v>
      </c>
      <c r="BM84" s="606">
        <v>4000</v>
      </c>
      <c r="BN84" s="606">
        <v>4000</v>
      </c>
      <c r="BO84" s="606">
        <v>4000</v>
      </c>
      <c r="BP84" s="606">
        <v>4000</v>
      </c>
      <c r="BQ84" s="606">
        <v>4000</v>
      </c>
      <c r="BR84" s="606">
        <v>4000</v>
      </c>
      <c r="BS84" s="606">
        <v>4000</v>
      </c>
      <c r="BT84" s="606">
        <v>49773.74</v>
      </c>
    </row>
    <row r="85" spans="1:72" hidden="1">
      <c r="A85" t="s">
        <v>1791</v>
      </c>
      <c r="B85" t="s">
        <v>2953</v>
      </c>
      <c r="C85" t="s">
        <v>417</v>
      </c>
      <c r="D85" t="s">
        <v>1792</v>
      </c>
      <c r="E85" t="s">
        <v>1136</v>
      </c>
      <c r="F85" t="s">
        <v>1566</v>
      </c>
      <c r="G85" t="s">
        <v>1135</v>
      </c>
      <c r="H85" t="s">
        <v>1135</v>
      </c>
      <c r="I85" t="s">
        <v>1135</v>
      </c>
      <c r="J85" t="s">
        <v>1137</v>
      </c>
      <c r="K85" t="s">
        <v>1137</v>
      </c>
      <c r="L85" t="s">
        <v>389</v>
      </c>
      <c r="M85" t="s">
        <v>1174</v>
      </c>
      <c r="P85" t="s">
        <v>56</v>
      </c>
      <c r="Q85" t="s">
        <v>1139</v>
      </c>
      <c r="R85" t="s">
        <v>1140</v>
      </c>
      <c r="T85" t="s">
        <v>57</v>
      </c>
      <c r="U85" t="s">
        <v>1141</v>
      </c>
      <c r="W85" s="606">
        <v>0</v>
      </c>
      <c r="X85" s="606">
        <v>1.26</v>
      </c>
      <c r="Y85" s="606"/>
      <c r="Z85" s="606"/>
      <c r="AA85" s="606">
        <v>0.42</v>
      </c>
      <c r="AB85" s="606">
        <v>0.36</v>
      </c>
      <c r="AC85" s="606">
        <v>0.48</v>
      </c>
      <c r="AD85" s="606">
        <v>1.31</v>
      </c>
      <c r="AE85" s="606">
        <v>209.68999999999997</v>
      </c>
      <c r="AF85" s="606">
        <v>192.01</v>
      </c>
      <c r="AG85" s="606">
        <v>0</v>
      </c>
      <c r="AH85" s="606">
        <v>0</v>
      </c>
      <c r="AI85" s="606">
        <v>0</v>
      </c>
      <c r="AJ85" s="606">
        <v>0</v>
      </c>
      <c r="AK85" s="606">
        <v>0</v>
      </c>
      <c r="AL85" s="606">
        <v>0</v>
      </c>
      <c r="AM85" s="606">
        <v>404.27</v>
      </c>
      <c r="AN85" s="606">
        <v>403.01</v>
      </c>
      <c r="AO85" s="606">
        <v>0</v>
      </c>
      <c r="AP85" s="606">
        <v>192.01</v>
      </c>
      <c r="AQ85" s="606">
        <v>403.01</v>
      </c>
      <c r="AR85" s="606"/>
      <c r="AS85" s="606">
        <v>403.01</v>
      </c>
      <c r="AT85" s="606"/>
      <c r="AU85" s="606">
        <v>0.42</v>
      </c>
      <c r="AV85" s="606">
        <v>0.36</v>
      </c>
      <c r="AW85" s="606">
        <v>0.48</v>
      </c>
      <c r="AX85" s="606">
        <v>0</v>
      </c>
      <c r="AY85" s="606">
        <v>0</v>
      </c>
      <c r="AZ85" s="606">
        <v>0</v>
      </c>
      <c r="BA85" s="606">
        <v>0</v>
      </c>
      <c r="BB85" s="606">
        <v>0</v>
      </c>
      <c r="BC85" s="606">
        <v>0</v>
      </c>
      <c r="BD85" s="606">
        <v>0</v>
      </c>
      <c r="BE85" s="606">
        <v>0</v>
      </c>
      <c r="BF85" s="606">
        <v>0</v>
      </c>
      <c r="BG85" s="606">
        <v>1.26</v>
      </c>
      <c r="BH85" s="606">
        <v>0.42</v>
      </c>
      <c r="BI85" s="606">
        <v>0.36</v>
      </c>
      <c r="BJ85" s="606">
        <v>0.48</v>
      </c>
      <c r="BK85" s="606">
        <v>0</v>
      </c>
      <c r="BL85" s="606">
        <v>0</v>
      </c>
      <c r="BM85" s="606">
        <v>0</v>
      </c>
      <c r="BN85" s="606">
        <v>0</v>
      </c>
      <c r="BO85" s="606">
        <v>0</v>
      </c>
      <c r="BP85" s="606">
        <v>0</v>
      </c>
      <c r="BQ85" s="606">
        <v>0</v>
      </c>
      <c r="BR85" s="606">
        <v>0</v>
      </c>
      <c r="BS85" s="606">
        <v>0</v>
      </c>
      <c r="BT85" s="606">
        <v>1.26</v>
      </c>
    </row>
    <row r="86" spans="1:72" hidden="1">
      <c r="A86" t="s">
        <v>1794</v>
      </c>
      <c r="B86" t="s">
        <v>2953</v>
      </c>
      <c r="C86" t="s">
        <v>417</v>
      </c>
      <c r="D86" t="s">
        <v>1795</v>
      </c>
      <c r="E86" t="s">
        <v>1136</v>
      </c>
      <c r="F86" t="s">
        <v>1566</v>
      </c>
      <c r="G86" t="s">
        <v>1135</v>
      </c>
      <c r="H86" t="s">
        <v>1145</v>
      </c>
      <c r="I86" t="s">
        <v>1135</v>
      </c>
      <c r="J86" t="s">
        <v>1145</v>
      </c>
      <c r="K86" t="s">
        <v>1137</v>
      </c>
      <c r="L86" t="s">
        <v>389</v>
      </c>
      <c r="M86" t="s">
        <v>1174</v>
      </c>
      <c r="P86" t="s">
        <v>56</v>
      </c>
      <c r="Q86" t="s">
        <v>1153</v>
      </c>
      <c r="R86" t="s">
        <v>1140</v>
      </c>
      <c r="T86" t="s">
        <v>57</v>
      </c>
      <c r="W86" s="606">
        <v>672000</v>
      </c>
      <c r="X86" s="606">
        <v>633103.17999999993</v>
      </c>
      <c r="Y86" s="606"/>
      <c r="Z86" s="606"/>
      <c r="AA86" s="606">
        <v>45611.11</v>
      </c>
      <c r="AB86" s="606">
        <v>43675.76</v>
      </c>
      <c r="AC86" s="606">
        <v>39816.31</v>
      </c>
      <c r="AD86" s="606">
        <v>40357.590000000004</v>
      </c>
      <c r="AE86" s="606">
        <v>42129.81</v>
      </c>
      <c r="AF86" s="606">
        <v>42451.69000000001</v>
      </c>
      <c r="AG86" s="606">
        <v>42318</v>
      </c>
      <c r="AH86" s="606">
        <v>42318</v>
      </c>
      <c r="AI86" s="606">
        <v>56000</v>
      </c>
      <c r="AJ86" s="606">
        <v>56000</v>
      </c>
      <c r="AK86" s="606">
        <v>56000</v>
      </c>
      <c r="AL86" s="606">
        <v>56000</v>
      </c>
      <c r="AM86" s="606">
        <v>562678.27</v>
      </c>
      <c r="AN86" s="606">
        <v>-70424.909999999916</v>
      </c>
      <c r="AO86" s="606">
        <v>56000</v>
      </c>
      <c r="AP86" s="606">
        <v>-13548.30999999999</v>
      </c>
      <c r="AQ86" s="606">
        <v>-43060.91</v>
      </c>
      <c r="AR86" s="606"/>
      <c r="AS86" s="606">
        <v>-70424.909999999916</v>
      </c>
      <c r="AT86" s="606"/>
      <c r="AU86" s="606">
        <v>45611.11</v>
      </c>
      <c r="AV86" s="606">
        <v>43675.76</v>
      </c>
      <c r="AW86" s="606">
        <v>39816.31</v>
      </c>
      <c r="AX86" s="606">
        <v>56000</v>
      </c>
      <c r="AY86" s="606">
        <v>56000</v>
      </c>
      <c r="AZ86" s="606">
        <v>56000</v>
      </c>
      <c r="BA86" s="606">
        <v>56000</v>
      </c>
      <c r="BB86" s="606">
        <v>56000</v>
      </c>
      <c r="BC86" s="606">
        <v>56000</v>
      </c>
      <c r="BD86" s="606">
        <v>56000</v>
      </c>
      <c r="BE86" s="606">
        <v>56000</v>
      </c>
      <c r="BF86" s="606">
        <v>56000</v>
      </c>
      <c r="BG86" s="606">
        <v>633103.17999999993</v>
      </c>
      <c r="BH86" s="606">
        <v>45611.11</v>
      </c>
      <c r="BI86" s="606">
        <v>43675.76</v>
      </c>
      <c r="BJ86" s="606">
        <v>39816.31</v>
      </c>
      <c r="BK86" s="606">
        <v>56000</v>
      </c>
      <c r="BL86" s="606">
        <v>56000</v>
      </c>
      <c r="BM86" s="606">
        <v>56000</v>
      </c>
      <c r="BN86" s="606">
        <v>56000</v>
      </c>
      <c r="BO86" s="606">
        <v>56000</v>
      </c>
      <c r="BP86" s="606">
        <v>56000</v>
      </c>
      <c r="BQ86" s="606">
        <v>56000</v>
      </c>
      <c r="BR86" s="606">
        <v>56000</v>
      </c>
      <c r="BS86" s="606">
        <v>56000</v>
      </c>
      <c r="BT86" s="606">
        <v>633103.17999999993</v>
      </c>
    </row>
    <row r="87" spans="1:72" hidden="1">
      <c r="A87" t="s">
        <v>2260</v>
      </c>
      <c r="B87" t="s">
        <v>2953</v>
      </c>
      <c r="C87" t="s">
        <v>669</v>
      </c>
      <c r="D87" t="s">
        <v>669</v>
      </c>
      <c r="E87" t="s">
        <v>1136</v>
      </c>
      <c r="F87" t="s">
        <v>1566</v>
      </c>
      <c r="G87" t="s">
        <v>1135</v>
      </c>
      <c r="H87" t="s">
        <v>1135</v>
      </c>
      <c r="I87" t="s">
        <v>1135</v>
      </c>
      <c r="J87" t="s">
        <v>1135</v>
      </c>
      <c r="K87" t="s">
        <v>1137</v>
      </c>
      <c r="L87" t="s">
        <v>639</v>
      </c>
      <c r="M87" t="s">
        <v>1174</v>
      </c>
      <c r="P87" t="s">
        <v>56</v>
      </c>
      <c r="R87" t="s">
        <v>1140</v>
      </c>
      <c r="T87" t="s">
        <v>57</v>
      </c>
      <c r="W87" s="606">
        <v>0</v>
      </c>
      <c r="X87" s="606">
        <v>4158.38</v>
      </c>
      <c r="Y87" s="606"/>
      <c r="Z87" s="606"/>
      <c r="AA87" s="606">
        <v>279.45999999999998</v>
      </c>
      <c r="AB87" s="606">
        <v>279.45999999999998</v>
      </c>
      <c r="AC87" s="606">
        <v>899.46</v>
      </c>
      <c r="AD87" s="606">
        <v>139.72999999999999</v>
      </c>
      <c r="AE87" s="606">
        <v>139.72999999999999</v>
      </c>
      <c r="AF87" s="606">
        <v>139.72999999999999</v>
      </c>
      <c r="AG87" s="606">
        <v>300</v>
      </c>
      <c r="AH87" s="606">
        <v>300</v>
      </c>
      <c r="AI87" s="606">
        <v>300</v>
      </c>
      <c r="AJ87" s="606">
        <v>300</v>
      </c>
      <c r="AK87" s="606">
        <v>300</v>
      </c>
      <c r="AL87" s="606">
        <v>300</v>
      </c>
      <c r="AM87" s="606">
        <v>3677.57</v>
      </c>
      <c r="AN87" s="606">
        <v>-480.80999999999995</v>
      </c>
      <c r="AO87" s="606">
        <v>300</v>
      </c>
      <c r="AP87" s="606">
        <v>-160.27000000000001</v>
      </c>
      <c r="AQ87" s="606">
        <v>-480.80999999999995</v>
      </c>
      <c r="AR87" s="606"/>
      <c r="AS87" s="606">
        <v>-480.80999999999995</v>
      </c>
      <c r="AT87" s="606"/>
      <c r="AU87" s="606">
        <v>279.45999999999998</v>
      </c>
      <c r="AV87" s="606">
        <v>279.45999999999998</v>
      </c>
      <c r="AW87" s="606">
        <v>899.46</v>
      </c>
      <c r="AX87" s="606">
        <v>300</v>
      </c>
      <c r="AY87" s="606">
        <v>300</v>
      </c>
      <c r="AZ87" s="606">
        <v>300</v>
      </c>
      <c r="BA87" s="606">
        <v>300</v>
      </c>
      <c r="BB87" s="606">
        <v>300</v>
      </c>
      <c r="BC87" s="606">
        <v>300</v>
      </c>
      <c r="BD87" s="606">
        <v>300</v>
      </c>
      <c r="BE87" s="606">
        <v>300</v>
      </c>
      <c r="BF87" s="606">
        <v>300</v>
      </c>
      <c r="BG87" s="606">
        <v>4158.38</v>
      </c>
      <c r="BH87" s="606">
        <v>279.45999999999998</v>
      </c>
      <c r="BI87" s="606">
        <v>279.45999999999998</v>
      </c>
      <c r="BJ87" s="606">
        <v>899.46</v>
      </c>
      <c r="BK87" s="606">
        <v>0</v>
      </c>
      <c r="BL87" s="606">
        <v>0</v>
      </c>
      <c r="BM87" s="606">
        <v>0</v>
      </c>
      <c r="BN87" s="606">
        <v>0</v>
      </c>
      <c r="BO87" s="606">
        <v>0</v>
      </c>
      <c r="BP87" s="606">
        <v>0</v>
      </c>
      <c r="BQ87" s="606">
        <v>0</v>
      </c>
      <c r="BR87" s="606">
        <v>0</v>
      </c>
      <c r="BS87" s="606">
        <v>0</v>
      </c>
      <c r="BT87" s="606">
        <v>1458.38</v>
      </c>
    </row>
    <row r="88" spans="1:72" hidden="1">
      <c r="A88" t="s">
        <v>2263</v>
      </c>
      <c r="B88" t="s">
        <v>2953</v>
      </c>
      <c r="C88" t="s">
        <v>669</v>
      </c>
      <c r="D88" t="s">
        <v>2264</v>
      </c>
      <c r="E88" t="s">
        <v>1136</v>
      </c>
      <c r="F88" t="s">
        <v>1566</v>
      </c>
      <c r="G88" t="s">
        <v>1135</v>
      </c>
      <c r="H88" t="s">
        <v>1165</v>
      </c>
      <c r="I88" t="s">
        <v>1135</v>
      </c>
      <c r="J88" t="s">
        <v>1165</v>
      </c>
      <c r="K88" t="s">
        <v>1137</v>
      </c>
      <c r="L88" t="s">
        <v>639</v>
      </c>
      <c r="M88" t="s">
        <v>1174</v>
      </c>
      <c r="P88" t="s">
        <v>56</v>
      </c>
      <c r="R88" t="s">
        <v>1140</v>
      </c>
      <c r="T88" t="s">
        <v>57</v>
      </c>
      <c r="W88" s="606">
        <v>8383.7999999999975</v>
      </c>
      <c r="X88" s="606">
        <v>8383.76</v>
      </c>
      <c r="Y88" s="606"/>
      <c r="Z88" s="606"/>
      <c r="AA88" s="606">
        <v>698.65</v>
      </c>
      <c r="AB88" s="606">
        <v>558.91999999999996</v>
      </c>
      <c r="AC88" s="606">
        <v>419.19</v>
      </c>
      <c r="AD88" s="606">
        <v>279.45999999999998</v>
      </c>
      <c r="AE88" s="606">
        <v>279.45999999999998</v>
      </c>
      <c r="AF88" s="606">
        <v>279.45999999999998</v>
      </c>
      <c r="AG88" s="606">
        <v>750</v>
      </c>
      <c r="AH88" s="606">
        <v>750</v>
      </c>
      <c r="AI88" s="606">
        <v>750</v>
      </c>
      <c r="AJ88" s="606">
        <v>750</v>
      </c>
      <c r="AK88" s="606">
        <v>750</v>
      </c>
      <c r="AL88" s="606">
        <v>750</v>
      </c>
      <c r="AM88" s="606">
        <v>7015.1399999999994</v>
      </c>
      <c r="AN88" s="606">
        <v>-1368.6200000000008</v>
      </c>
      <c r="AO88" s="606">
        <v>767</v>
      </c>
      <c r="AP88" s="606">
        <v>-487.54</v>
      </c>
      <c r="AQ88" s="606">
        <v>-1368.6200000000003</v>
      </c>
      <c r="AR88" s="606"/>
      <c r="AS88" s="606">
        <v>-1368.6200000000008</v>
      </c>
      <c r="AT88" s="606"/>
      <c r="AU88" s="606">
        <v>698.65</v>
      </c>
      <c r="AV88" s="606">
        <v>558.91999999999996</v>
      </c>
      <c r="AW88" s="606">
        <v>419.19</v>
      </c>
      <c r="AX88" s="606">
        <v>690</v>
      </c>
      <c r="AY88" s="606">
        <v>767</v>
      </c>
      <c r="AZ88" s="606">
        <v>750</v>
      </c>
      <c r="BA88" s="606">
        <v>750</v>
      </c>
      <c r="BB88" s="606">
        <v>750</v>
      </c>
      <c r="BC88" s="606">
        <v>750</v>
      </c>
      <c r="BD88" s="606">
        <v>750</v>
      </c>
      <c r="BE88" s="606">
        <v>750</v>
      </c>
      <c r="BF88" s="606">
        <v>750</v>
      </c>
      <c r="BG88" s="606">
        <v>8383.76</v>
      </c>
      <c r="BH88" s="606">
        <v>698.65</v>
      </c>
      <c r="BI88" s="606">
        <v>558.91999999999996</v>
      </c>
      <c r="BJ88" s="606">
        <v>419.19</v>
      </c>
      <c r="BK88" s="606">
        <v>698.65</v>
      </c>
      <c r="BL88" s="606">
        <v>698.65</v>
      </c>
      <c r="BM88" s="606">
        <v>698.65</v>
      </c>
      <c r="BN88" s="606">
        <v>698.65</v>
      </c>
      <c r="BO88" s="606">
        <v>698.65</v>
      </c>
      <c r="BP88" s="606">
        <v>698.65</v>
      </c>
      <c r="BQ88" s="606">
        <v>698.65</v>
      </c>
      <c r="BR88" s="606">
        <v>698.65</v>
      </c>
      <c r="BS88" s="606">
        <v>698.65</v>
      </c>
      <c r="BT88" s="606">
        <v>7964.6099999999979</v>
      </c>
    </row>
    <row r="89" spans="1:72" hidden="1">
      <c r="A89" t="s">
        <v>2011</v>
      </c>
      <c r="B89" t="s">
        <v>2953</v>
      </c>
      <c r="C89" t="s">
        <v>524</v>
      </c>
      <c r="D89" t="s">
        <v>524</v>
      </c>
      <c r="E89" t="s">
        <v>1136</v>
      </c>
      <c r="F89" t="s">
        <v>1566</v>
      </c>
      <c r="G89" t="s">
        <v>1345</v>
      </c>
      <c r="H89" t="s">
        <v>1345</v>
      </c>
      <c r="I89" t="s">
        <v>1345</v>
      </c>
      <c r="J89" t="s">
        <v>1345</v>
      </c>
      <c r="K89" t="s">
        <v>1346</v>
      </c>
      <c r="L89" t="s">
        <v>389</v>
      </c>
      <c r="M89" t="s">
        <v>1174</v>
      </c>
      <c r="P89" t="s">
        <v>56</v>
      </c>
      <c r="R89" t="s">
        <v>1140</v>
      </c>
      <c r="T89" t="s">
        <v>57</v>
      </c>
      <c r="W89" s="606">
        <v>10233</v>
      </c>
      <c r="X89" s="606">
        <v>10178.029999999999</v>
      </c>
      <c r="Y89" s="606"/>
      <c r="Z89" s="606"/>
      <c r="AA89" s="606">
        <v>961.55</v>
      </c>
      <c r="AB89" s="606">
        <v>816.59</v>
      </c>
      <c r="AC89" s="606">
        <v>725.14</v>
      </c>
      <c r="AD89" s="606">
        <v>139.44999999999999</v>
      </c>
      <c r="AE89" s="606">
        <v>1450.2800000000002</v>
      </c>
      <c r="AF89" s="606">
        <v>0</v>
      </c>
      <c r="AG89" s="606">
        <v>852.75</v>
      </c>
      <c r="AH89" s="606">
        <v>852.75</v>
      </c>
      <c r="AI89" s="606">
        <v>852.75</v>
      </c>
      <c r="AJ89" s="606">
        <v>852.75</v>
      </c>
      <c r="AK89" s="606">
        <v>852.75</v>
      </c>
      <c r="AL89" s="606">
        <v>852.75</v>
      </c>
      <c r="AM89" s="606">
        <v>9209.51</v>
      </c>
      <c r="AN89" s="606">
        <v>-968.51999999999862</v>
      </c>
      <c r="AO89" s="606">
        <v>852.75</v>
      </c>
      <c r="AP89" s="606">
        <v>-852.75</v>
      </c>
      <c r="AQ89" s="606">
        <v>-968.52</v>
      </c>
      <c r="AR89" s="606"/>
      <c r="AS89" s="606">
        <v>-968.51999999999862</v>
      </c>
      <c r="AT89" s="606"/>
      <c r="AU89" s="606">
        <v>961.55</v>
      </c>
      <c r="AV89" s="606">
        <v>816.59</v>
      </c>
      <c r="AW89" s="606">
        <v>725.14</v>
      </c>
      <c r="AX89" s="606">
        <v>852.75</v>
      </c>
      <c r="AY89" s="606">
        <v>852.75</v>
      </c>
      <c r="AZ89" s="606">
        <v>852.75</v>
      </c>
      <c r="BA89" s="606">
        <v>852.75</v>
      </c>
      <c r="BB89" s="606">
        <v>852.75</v>
      </c>
      <c r="BC89" s="606">
        <v>852.75</v>
      </c>
      <c r="BD89" s="606">
        <v>852.75</v>
      </c>
      <c r="BE89" s="606">
        <v>852.75</v>
      </c>
      <c r="BF89" s="606">
        <v>852.75</v>
      </c>
      <c r="BG89" s="606">
        <v>10178.029999999999</v>
      </c>
      <c r="BH89" s="606">
        <v>961.55</v>
      </c>
      <c r="BI89" s="606">
        <v>816.59</v>
      </c>
      <c r="BJ89" s="606">
        <v>725.14</v>
      </c>
      <c r="BK89" s="606">
        <v>852.75</v>
      </c>
      <c r="BL89" s="606">
        <v>852.75</v>
      </c>
      <c r="BM89" s="606">
        <v>852.75</v>
      </c>
      <c r="BN89" s="606">
        <v>852.75</v>
      </c>
      <c r="BO89" s="606">
        <v>852.75</v>
      </c>
      <c r="BP89" s="606">
        <v>852.75</v>
      </c>
      <c r="BQ89" s="606">
        <v>852.75</v>
      </c>
      <c r="BR89" s="606">
        <v>852.75</v>
      </c>
      <c r="BS89" s="606">
        <v>852.75</v>
      </c>
      <c r="BT89" s="606">
        <v>10178.029999999999</v>
      </c>
    </row>
    <row r="90" spans="1:72" hidden="1">
      <c r="A90" t="s">
        <v>2094</v>
      </c>
      <c r="B90" t="s">
        <v>2953</v>
      </c>
      <c r="C90" t="s">
        <v>569</v>
      </c>
      <c r="D90" t="s">
        <v>2095</v>
      </c>
      <c r="E90" t="s">
        <v>1136</v>
      </c>
      <c r="F90" t="s">
        <v>1566</v>
      </c>
      <c r="G90" t="s">
        <v>1566</v>
      </c>
      <c r="H90" t="s">
        <v>1566</v>
      </c>
      <c r="I90" t="s">
        <v>1345</v>
      </c>
      <c r="J90" t="s">
        <v>1346</v>
      </c>
      <c r="K90" t="s">
        <v>1346</v>
      </c>
      <c r="L90" t="s">
        <v>389</v>
      </c>
      <c r="M90" t="s">
        <v>1174</v>
      </c>
      <c r="P90" t="s">
        <v>56</v>
      </c>
      <c r="R90" t="s">
        <v>1140</v>
      </c>
      <c r="T90" t="s">
        <v>57</v>
      </c>
      <c r="W90" s="606">
        <v>19212</v>
      </c>
      <c r="X90" s="606">
        <v>19118.86</v>
      </c>
      <c r="Y90" s="606"/>
      <c r="Z90" s="606"/>
      <c r="AA90" s="606">
        <v>1556.11</v>
      </c>
      <c r="AB90" s="606">
        <v>1531.5</v>
      </c>
      <c r="AC90" s="606">
        <v>1622.25</v>
      </c>
      <c r="AD90" s="606">
        <v>1712.9899999999998</v>
      </c>
      <c r="AE90" s="606">
        <v>1903.18</v>
      </c>
      <c r="AF90" s="606">
        <v>456.33000000000004</v>
      </c>
      <c r="AG90" s="606">
        <v>1601</v>
      </c>
      <c r="AH90" s="606">
        <v>1601</v>
      </c>
      <c r="AI90" s="606">
        <v>1601</v>
      </c>
      <c r="AJ90" s="606">
        <v>1601</v>
      </c>
      <c r="AK90" s="606">
        <v>1601</v>
      </c>
      <c r="AL90" s="606">
        <v>1601</v>
      </c>
      <c r="AM90" s="606">
        <v>18388.36</v>
      </c>
      <c r="AN90" s="606">
        <v>-730.5</v>
      </c>
      <c r="AO90" s="606">
        <v>1601</v>
      </c>
      <c r="AP90" s="606">
        <v>-1144.67</v>
      </c>
      <c r="AQ90" s="606">
        <v>-730.50000000000182</v>
      </c>
      <c r="AR90" s="606"/>
      <c r="AS90" s="606">
        <v>-730.5</v>
      </c>
      <c r="AT90" s="606"/>
      <c r="AU90" s="606">
        <v>1556.11</v>
      </c>
      <c r="AV90" s="606">
        <v>1531.5</v>
      </c>
      <c r="AW90" s="606">
        <v>1622.25</v>
      </c>
      <c r="AX90" s="606">
        <v>1601</v>
      </c>
      <c r="AY90" s="606">
        <v>1601</v>
      </c>
      <c r="AZ90" s="606">
        <v>1601</v>
      </c>
      <c r="BA90" s="606">
        <v>1601</v>
      </c>
      <c r="BB90" s="606">
        <v>1601</v>
      </c>
      <c r="BC90" s="606">
        <v>1601</v>
      </c>
      <c r="BD90" s="606">
        <v>1601</v>
      </c>
      <c r="BE90" s="606">
        <v>1601</v>
      </c>
      <c r="BF90" s="606">
        <v>1601</v>
      </c>
      <c r="BG90" s="606">
        <v>19118.86</v>
      </c>
      <c r="BH90" s="606">
        <v>1556.11</v>
      </c>
      <c r="BI90" s="606">
        <v>1531.5</v>
      </c>
      <c r="BJ90" s="606">
        <v>1622.25</v>
      </c>
      <c r="BK90" s="606">
        <v>1601</v>
      </c>
      <c r="BL90" s="606">
        <v>1601</v>
      </c>
      <c r="BM90" s="606">
        <v>1601</v>
      </c>
      <c r="BN90" s="606">
        <v>1601</v>
      </c>
      <c r="BO90" s="606">
        <v>1601</v>
      </c>
      <c r="BP90" s="606">
        <v>1601</v>
      </c>
      <c r="BQ90" s="606">
        <v>1601</v>
      </c>
      <c r="BR90" s="606">
        <v>1601</v>
      </c>
      <c r="BS90" s="606">
        <v>1601</v>
      </c>
      <c r="BT90" s="606">
        <v>19118.86</v>
      </c>
    </row>
    <row r="91" spans="1:72" hidden="1">
      <c r="A91" t="s">
        <v>1667</v>
      </c>
      <c r="B91" t="s">
        <v>2953</v>
      </c>
      <c r="C91" t="s">
        <v>337</v>
      </c>
      <c r="D91" t="s">
        <v>1668</v>
      </c>
      <c r="E91" t="s">
        <v>1136</v>
      </c>
      <c r="F91" t="s">
        <v>1566</v>
      </c>
      <c r="G91" t="s">
        <v>1566</v>
      </c>
      <c r="H91" t="s">
        <v>1566</v>
      </c>
      <c r="I91" t="s">
        <v>1345</v>
      </c>
      <c r="J91" t="s">
        <v>1346</v>
      </c>
      <c r="K91" t="s">
        <v>1346</v>
      </c>
      <c r="L91" t="s">
        <v>333</v>
      </c>
      <c r="M91" t="s">
        <v>1663</v>
      </c>
      <c r="P91" t="s">
        <v>336</v>
      </c>
      <c r="R91" t="s">
        <v>1140</v>
      </c>
      <c r="T91" t="s">
        <v>25</v>
      </c>
      <c r="U91" t="s">
        <v>1666</v>
      </c>
      <c r="W91" s="606">
        <v>0</v>
      </c>
      <c r="X91" s="606">
        <v>19503</v>
      </c>
      <c r="Y91" s="606"/>
      <c r="Z91" s="606"/>
      <c r="AA91" s="606">
        <v>336</v>
      </c>
      <c r="AB91" s="606">
        <v>337</v>
      </c>
      <c r="AC91" s="606">
        <v>1883</v>
      </c>
      <c r="AD91" s="606">
        <v>852.00000000000011</v>
      </c>
      <c r="AE91" s="606">
        <v>1823.6399999999999</v>
      </c>
      <c r="AF91" s="606">
        <v>1823.62</v>
      </c>
      <c r="AG91" s="606">
        <v>1883</v>
      </c>
      <c r="AH91" s="606">
        <v>1883</v>
      </c>
      <c r="AI91" s="606">
        <v>1883</v>
      </c>
      <c r="AJ91" s="606">
        <v>1883</v>
      </c>
      <c r="AK91" s="606">
        <v>1883</v>
      </c>
      <c r="AL91" s="606">
        <v>1883</v>
      </c>
      <c r="AM91" s="606">
        <v>18353.259999999998</v>
      </c>
      <c r="AN91" s="606">
        <v>-1149.7400000000016</v>
      </c>
      <c r="AO91" s="606">
        <v>1883</v>
      </c>
      <c r="AP91" s="606">
        <v>-59.380000000000109</v>
      </c>
      <c r="AQ91" s="606">
        <v>-1149.7400000000007</v>
      </c>
      <c r="AR91" s="606"/>
      <c r="AS91" s="606">
        <v>-1149.7400000000016</v>
      </c>
      <c r="AT91" s="606"/>
      <c r="AU91" s="606">
        <v>336</v>
      </c>
      <c r="AV91" s="606">
        <v>337</v>
      </c>
      <c r="AW91" s="606">
        <v>1883</v>
      </c>
      <c r="AX91" s="606">
        <v>1883</v>
      </c>
      <c r="AY91" s="606">
        <v>1883</v>
      </c>
      <c r="AZ91" s="606">
        <v>1883</v>
      </c>
      <c r="BA91" s="606">
        <v>1883</v>
      </c>
      <c r="BB91" s="606">
        <v>1883</v>
      </c>
      <c r="BC91" s="606">
        <v>1883</v>
      </c>
      <c r="BD91" s="606">
        <v>1883</v>
      </c>
      <c r="BE91" s="606">
        <v>1883</v>
      </c>
      <c r="BF91" s="606">
        <v>1883</v>
      </c>
      <c r="BG91" s="606">
        <v>19503</v>
      </c>
      <c r="BH91" s="606">
        <v>336</v>
      </c>
      <c r="BI91" s="606">
        <v>337</v>
      </c>
      <c r="BJ91" s="606">
        <v>1883</v>
      </c>
      <c r="BK91" s="606">
        <v>0</v>
      </c>
      <c r="BL91" s="606">
        <v>0</v>
      </c>
      <c r="BM91" s="606">
        <v>0</v>
      </c>
      <c r="BN91" s="606">
        <v>0</v>
      </c>
      <c r="BO91" s="606">
        <v>0</v>
      </c>
      <c r="BP91" s="606">
        <v>0</v>
      </c>
      <c r="BQ91" s="606">
        <v>0</v>
      </c>
      <c r="BR91" s="606">
        <v>0</v>
      </c>
      <c r="BS91" s="606">
        <v>0</v>
      </c>
      <c r="BT91" s="606">
        <v>2556</v>
      </c>
    </row>
    <row r="92" spans="1:72" hidden="1">
      <c r="A92" t="s">
        <v>1807</v>
      </c>
      <c r="B92" t="s">
        <v>2953</v>
      </c>
      <c r="C92" t="s">
        <v>420</v>
      </c>
      <c r="D92" t="s">
        <v>1808</v>
      </c>
      <c r="E92" t="s">
        <v>1136</v>
      </c>
      <c r="F92" t="s">
        <v>1566</v>
      </c>
      <c r="G92" t="s">
        <v>1135</v>
      </c>
      <c r="H92" t="s">
        <v>1165</v>
      </c>
      <c r="I92" t="s">
        <v>1135</v>
      </c>
      <c r="J92" t="s">
        <v>1165</v>
      </c>
      <c r="K92" t="s">
        <v>1165</v>
      </c>
      <c r="L92" t="s">
        <v>389</v>
      </c>
      <c r="M92" t="s">
        <v>1809</v>
      </c>
      <c r="N92" t="s">
        <v>1167</v>
      </c>
      <c r="O92" t="s">
        <v>1284</v>
      </c>
      <c r="P92" t="s">
        <v>59</v>
      </c>
      <c r="R92" t="s">
        <v>1805</v>
      </c>
      <c r="W92" s="606"/>
      <c r="X92" s="606"/>
      <c r="Y92" s="606"/>
      <c r="Z92" s="606"/>
      <c r="AA92" s="606"/>
      <c r="AB92" s="606"/>
      <c r="AC92" s="606"/>
      <c r="AD92" s="606">
        <v>35539.5</v>
      </c>
      <c r="AE92" s="606">
        <v>-35539.5</v>
      </c>
      <c r="AF92" s="606">
        <v>0</v>
      </c>
      <c r="AG92" s="606"/>
      <c r="AH92" s="606"/>
      <c r="AI92" s="606"/>
      <c r="AJ92" s="606"/>
      <c r="AK92" s="606"/>
      <c r="AL92" s="606"/>
      <c r="AM92" s="606">
        <v>0</v>
      </c>
      <c r="AN92" s="606">
        <v>0</v>
      </c>
      <c r="AO92" s="606"/>
      <c r="AP92" s="606">
        <v>0</v>
      </c>
      <c r="AQ92" s="606">
        <v>0</v>
      </c>
      <c r="AR92" s="606"/>
      <c r="AS92" s="606">
        <v>0</v>
      </c>
      <c r="AT92" s="606"/>
      <c r="AU92" s="606"/>
      <c r="AV92" s="606"/>
      <c r="AW92" s="606"/>
      <c r="AX92" s="606"/>
      <c r="AY92" s="606"/>
      <c r="AZ92" s="606"/>
      <c r="BA92" s="606"/>
      <c r="BB92" s="606"/>
      <c r="BC92" s="606"/>
      <c r="BD92" s="606"/>
      <c r="BE92" s="606"/>
      <c r="BF92" s="606"/>
      <c r="BG92" s="606"/>
      <c r="BH92" s="606"/>
      <c r="BI92" s="606"/>
      <c r="BJ92" s="606"/>
      <c r="BK92" s="606"/>
      <c r="BL92" s="606"/>
      <c r="BM92" s="606"/>
      <c r="BN92" s="606"/>
      <c r="BO92" s="606"/>
      <c r="BP92" s="606"/>
      <c r="BQ92" s="606"/>
      <c r="BR92" s="606"/>
      <c r="BS92" s="606"/>
      <c r="BT92" s="606"/>
    </row>
    <row r="93" spans="1:72" hidden="1">
      <c r="A93" t="s">
        <v>1279</v>
      </c>
      <c r="B93" t="s">
        <v>2953</v>
      </c>
      <c r="C93" t="s">
        <v>120</v>
      </c>
      <c r="D93" t="s">
        <v>1280</v>
      </c>
      <c r="E93" t="s">
        <v>1136</v>
      </c>
      <c r="F93" t="s">
        <v>1566</v>
      </c>
      <c r="G93" t="s">
        <v>1135</v>
      </c>
      <c r="H93" t="s">
        <v>1135</v>
      </c>
      <c r="I93" t="s">
        <v>1135</v>
      </c>
      <c r="J93" t="s">
        <v>1137</v>
      </c>
      <c r="K93" t="s">
        <v>1137</v>
      </c>
      <c r="L93" t="s">
        <v>49</v>
      </c>
      <c r="M93" t="s">
        <v>1281</v>
      </c>
      <c r="P93" t="s">
        <v>121</v>
      </c>
      <c r="T93" t="s">
        <v>122</v>
      </c>
      <c r="W93" s="606">
        <v>0</v>
      </c>
      <c r="X93" s="606">
        <v>0</v>
      </c>
      <c r="Y93" s="606"/>
      <c r="Z93" s="606"/>
      <c r="AA93" s="606">
        <v>10113</v>
      </c>
      <c r="AB93" s="606">
        <v>11863.11</v>
      </c>
      <c r="AC93" s="606">
        <v>-21976.11</v>
      </c>
      <c r="AD93" s="606">
        <v>0</v>
      </c>
      <c r="AE93" s="606">
        <v>0</v>
      </c>
      <c r="AF93" s="606">
        <v>0</v>
      </c>
      <c r="AG93" s="606"/>
      <c r="AH93" s="606"/>
      <c r="AI93" s="606"/>
      <c r="AJ93" s="606"/>
      <c r="AK93" s="606"/>
      <c r="AL93" s="606"/>
      <c r="AM93" s="606">
        <v>0</v>
      </c>
      <c r="AN93" s="606">
        <v>0</v>
      </c>
      <c r="AO93" s="606"/>
      <c r="AP93" s="606">
        <v>0</v>
      </c>
      <c r="AQ93" s="606">
        <v>0</v>
      </c>
      <c r="AR93" s="606"/>
      <c r="AS93" s="606">
        <v>0</v>
      </c>
      <c r="AT93" s="606"/>
      <c r="AU93" s="606">
        <v>10113</v>
      </c>
      <c r="AV93" s="606">
        <v>11863.11</v>
      </c>
      <c r="AW93" s="606">
        <v>-21976.11</v>
      </c>
      <c r="AX93" s="606"/>
      <c r="AY93" s="606"/>
      <c r="AZ93" s="606"/>
      <c r="BA93" s="606"/>
      <c r="BB93" s="606"/>
      <c r="BC93" s="606"/>
      <c r="BD93" s="606"/>
      <c r="BE93" s="606"/>
      <c r="BF93" s="606"/>
      <c r="BG93" s="606">
        <v>0</v>
      </c>
      <c r="BH93" s="606">
        <v>10113</v>
      </c>
      <c r="BI93" s="606">
        <v>11863.11</v>
      </c>
      <c r="BJ93" s="606">
        <v>-21976.11</v>
      </c>
      <c r="BK93" s="606"/>
      <c r="BL93" s="606"/>
      <c r="BM93" s="606"/>
      <c r="BN93" s="606"/>
      <c r="BO93" s="606"/>
      <c r="BP93" s="606"/>
      <c r="BQ93" s="606"/>
      <c r="BR93" s="606"/>
      <c r="BS93" s="606"/>
      <c r="BT93" s="606">
        <v>0</v>
      </c>
    </row>
    <row r="94" spans="1:72" hidden="1">
      <c r="A94" t="s">
        <v>1837</v>
      </c>
      <c r="B94" t="s">
        <v>2953</v>
      </c>
      <c r="C94" t="s">
        <v>435</v>
      </c>
      <c r="D94" t="s">
        <v>1838</v>
      </c>
      <c r="E94" t="s">
        <v>1136</v>
      </c>
      <c r="F94" t="s">
        <v>1566</v>
      </c>
      <c r="G94" t="s">
        <v>1135</v>
      </c>
      <c r="H94" t="s">
        <v>1165</v>
      </c>
      <c r="I94" t="s">
        <v>1135</v>
      </c>
      <c r="J94" t="s">
        <v>1165</v>
      </c>
      <c r="K94" t="s">
        <v>1137</v>
      </c>
      <c r="L94" t="s">
        <v>389</v>
      </c>
      <c r="M94" t="s">
        <v>1835</v>
      </c>
      <c r="P94" t="s">
        <v>436</v>
      </c>
      <c r="T94" t="s">
        <v>57</v>
      </c>
      <c r="U94" t="s">
        <v>2912</v>
      </c>
      <c r="W94" s="606">
        <v>0</v>
      </c>
      <c r="X94" s="606">
        <v>1351.1499999999999</v>
      </c>
      <c r="Y94" s="606"/>
      <c r="Z94" s="606"/>
      <c r="AA94" s="606">
        <v>696.35</v>
      </c>
      <c r="AB94" s="606">
        <v>599.02</v>
      </c>
      <c r="AC94" s="606">
        <v>55.78</v>
      </c>
      <c r="AD94" s="606">
        <v>27.89</v>
      </c>
      <c r="AE94" s="606">
        <v>596.58999999999992</v>
      </c>
      <c r="AF94" s="606">
        <v>549.04999999999995</v>
      </c>
      <c r="AG94" s="606">
        <v>0</v>
      </c>
      <c r="AH94" s="606">
        <v>0</v>
      </c>
      <c r="AI94" s="606">
        <v>0</v>
      </c>
      <c r="AJ94" s="606">
        <v>0</v>
      </c>
      <c r="AK94" s="606">
        <v>0</v>
      </c>
      <c r="AL94" s="606">
        <v>0</v>
      </c>
      <c r="AM94" s="606">
        <v>2524.6799999999998</v>
      </c>
      <c r="AN94" s="606">
        <v>1173.53</v>
      </c>
      <c r="AO94" s="606">
        <v>0</v>
      </c>
      <c r="AP94" s="606">
        <v>549.04999999999995</v>
      </c>
      <c r="AQ94" s="606">
        <v>1173.53</v>
      </c>
      <c r="AR94" s="606"/>
      <c r="AS94" s="606">
        <v>1173.53</v>
      </c>
      <c r="AT94" s="606"/>
      <c r="AU94" s="606">
        <v>696.35</v>
      </c>
      <c r="AV94" s="606">
        <v>599.02</v>
      </c>
      <c r="AW94" s="606">
        <v>55.78</v>
      </c>
      <c r="AX94" s="606">
        <v>0</v>
      </c>
      <c r="AY94" s="606">
        <v>0</v>
      </c>
      <c r="AZ94" s="606">
        <v>0</v>
      </c>
      <c r="BA94" s="606">
        <v>0</v>
      </c>
      <c r="BB94" s="606">
        <v>0</v>
      </c>
      <c r="BC94" s="606">
        <v>0</v>
      </c>
      <c r="BD94" s="606">
        <v>0</v>
      </c>
      <c r="BE94" s="606">
        <v>0</v>
      </c>
      <c r="BF94" s="606">
        <v>0</v>
      </c>
      <c r="BG94" s="606">
        <v>1351.1499999999999</v>
      </c>
      <c r="BH94" s="606">
        <v>696.35</v>
      </c>
      <c r="BI94" s="606">
        <v>599.02</v>
      </c>
      <c r="BJ94" s="606">
        <v>55.78</v>
      </c>
      <c r="BK94" s="606">
        <v>600</v>
      </c>
      <c r="BL94" s="606">
        <v>600</v>
      </c>
      <c r="BM94" s="606">
        <v>600</v>
      </c>
      <c r="BN94" s="606">
        <v>600</v>
      </c>
      <c r="BO94" s="606">
        <v>600</v>
      </c>
      <c r="BP94" s="606">
        <v>600</v>
      </c>
      <c r="BQ94" s="606">
        <v>600</v>
      </c>
      <c r="BR94" s="606">
        <v>600</v>
      </c>
      <c r="BS94" s="606">
        <v>600</v>
      </c>
      <c r="BT94" s="606">
        <v>6751.15</v>
      </c>
    </row>
    <row r="95" spans="1:72" hidden="1">
      <c r="A95" t="s">
        <v>1845</v>
      </c>
      <c r="B95" t="s">
        <v>2953</v>
      </c>
      <c r="C95" t="s">
        <v>440</v>
      </c>
      <c r="D95" t="s">
        <v>1846</v>
      </c>
      <c r="E95" t="s">
        <v>1136</v>
      </c>
      <c r="F95" t="s">
        <v>1566</v>
      </c>
      <c r="G95" t="s">
        <v>1135</v>
      </c>
      <c r="H95" t="s">
        <v>1165</v>
      </c>
      <c r="I95" t="s">
        <v>1135</v>
      </c>
      <c r="J95" t="s">
        <v>1165</v>
      </c>
      <c r="K95" t="s">
        <v>1137</v>
      </c>
      <c r="L95" t="s">
        <v>389</v>
      </c>
      <c r="M95" t="s">
        <v>1844</v>
      </c>
      <c r="P95" t="s">
        <v>441</v>
      </c>
      <c r="T95" t="s">
        <v>57</v>
      </c>
      <c r="W95" s="606">
        <v>10599.999996000004</v>
      </c>
      <c r="X95" s="606">
        <v>0</v>
      </c>
      <c r="Y95" s="606"/>
      <c r="Z95" s="606"/>
      <c r="AA95" s="606"/>
      <c r="AB95" s="606"/>
      <c r="AC95" s="606"/>
      <c r="AD95" s="606" t="s">
        <v>1142</v>
      </c>
      <c r="AE95" s="606">
        <v>0</v>
      </c>
      <c r="AF95" s="606">
        <v>0</v>
      </c>
      <c r="AG95" s="606">
        <v>0</v>
      </c>
      <c r="AH95" s="606">
        <v>0</v>
      </c>
      <c r="AI95" s="606">
        <v>0</v>
      </c>
      <c r="AJ95" s="606">
        <v>0</v>
      </c>
      <c r="AK95" s="606">
        <v>0</v>
      </c>
      <c r="AL95" s="606">
        <v>0</v>
      </c>
      <c r="AM95" s="606">
        <v>0</v>
      </c>
      <c r="AN95" s="606">
        <v>0</v>
      </c>
      <c r="AO95" s="606">
        <v>0</v>
      </c>
      <c r="AP95" s="606">
        <v>0</v>
      </c>
      <c r="AQ95" s="606">
        <v>0</v>
      </c>
      <c r="AR95" s="606">
        <v>-10600</v>
      </c>
      <c r="AS95" s="606">
        <v>10600</v>
      </c>
      <c r="AT95" s="606"/>
      <c r="AU95" s="606"/>
      <c r="AV95" s="606"/>
      <c r="AW95" s="606"/>
      <c r="AX95" s="606">
        <v>0</v>
      </c>
      <c r="AY95" s="606">
        <v>0</v>
      </c>
      <c r="AZ95" s="606">
        <v>0</v>
      </c>
      <c r="BA95" s="606">
        <v>0</v>
      </c>
      <c r="BB95" s="606">
        <v>0</v>
      </c>
      <c r="BC95" s="606">
        <v>0</v>
      </c>
      <c r="BD95" s="606">
        <v>0</v>
      </c>
      <c r="BE95" s="606">
        <v>0</v>
      </c>
      <c r="BF95" s="606">
        <v>0</v>
      </c>
      <c r="BG95" s="606">
        <v>0</v>
      </c>
      <c r="BH95" s="606"/>
      <c r="BI95" s="606"/>
      <c r="BJ95" s="606"/>
      <c r="BK95" s="606">
        <v>883.33333300000004</v>
      </c>
      <c r="BL95" s="606">
        <v>883.33333300000004</v>
      </c>
      <c r="BM95" s="606">
        <v>883.33333300000004</v>
      </c>
      <c r="BN95" s="606">
        <v>883.33333300000004</v>
      </c>
      <c r="BO95" s="606">
        <v>883.33333300000004</v>
      </c>
      <c r="BP95" s="606">
        <v>883.33333300000004</v>
      </c>
      <c r="BQ95" s="606">
        <v>883.33333300000004</v>
      </c>
      <c r="BR95" s="606">
        <v>883.33333300000004</v>
      </c>
      <c r="BS95" s="606">
        <v>883.33333300000004</v>
      </c>
      <c r="BT95" s="606">
        <v>7949.9999970000026</v>
      </c>
    </row>
    <row r="96" spans="1:72" hidden="1">
      <c r="A96" t="s">
        <v>1859</v>
      </c>
      <c r="B96" t="s">
        <v>2953</v>
      </c>
      <c r="C96" t="s">
        <v>448</v>
      </c>
      <c r="D96" t="s">
        <v>1860</v>
      </c>
      <c r="E96" t="s">
        <v>1136</v>
      </c>
      <c r="F96" t="s">
        <v>1566</v>
      </c>
      <c r="G96" t="s">
        <v>1135</v>
      </c>
      <c r="H96" t="s">
        <v>1165</v>
      </c>
      <c r="I96" t="s">
        <v>1135</v>
      </c>
      <c r="J96" t="s">
        <v>1165</v>
      </c>
      <c r="K96" t="s">
        <v>1137</v>
      </c>
      <c r="L96" t="s">
        <v>389</v>
      </c>
      <c r="M96" t="s">
        <v>1858</v>
      </c>
      <c r="P96" t="s">
        <v>449</v>
      </c>
      <c r="R96" t="s">
        <v>1140</v>
      </c>
      <c r="T96" t="s">
        <v>57</v>
      </c>
      <c r="W96" s="606">
        <v>12168</v>
      </c>
      <c r="X96" s="606">
        <v>9604.119999999999</v>
      </c>
      <c r="Y96" s="606"/>
      <c r="Z96" s="606"/>
      <c r="AA96" s="606">
        <v>243.06</v>
      </c>
      <c r="AB96" s="606">
        <v>235.06</v>
      </c>
      <c r="AC96" s="606">
        <v>0</v>
      </c>
      <c r="AD96" s="606">
        <v>527.16999999999996</v>
      </c>
      <c r="AE96" s="606">
        <v>288.64999999999998</v>
      </c>
      <c r="AF96" s="606">
        <v>209.08999999999997</v>
      </c>
      <c r="AG96" s="606">
        <v>1014</v>
      </c>
      <c r="AH96" s="606">
        <v>1014</v>
      </c>
      <c r="AI96" s="606">
        <v>1014</v>
      </c>
      <c r="AJ96" s="606">
        <v>1014</v>
      </c>
      <c r="AK96" s="606">
        <v>1014</v>
      </c>
      <c r="AL96" s="606">
        <v>1014</v>
      </c>
      <c r="AM96" s="606">
        <v>7587.03</v>
      </c>
      <c r="AN96" s="606">
        <v>-2017.0899999999992</v>
      </c>
      <c r="AO96" s="606">
        <v>1014</v>
      </c>
      <c r="AP96" s="606">
        <v>-804.91000000000008</v>
      </c>
      <c r="AQ96" s="606">
        <v>-2017.09</v>
      </c>
      <c r="AR96" s="606"/>
      <c r="AS96" s="606">
        <v>-2017.0899999999992</v>
      </c>
      <c r="AT96" s="606"/>
      <c r="AU96" s="606">
        <v>243.06</v>
      </c>
      <c r="AV96" s="606">
        <v>235.06</v>
      </c>
      <c r="AW96" s="606">
        <v>0</v>
      </c>
      <c r="AX96" s="606">
        <v>1014</v>
      </c>
      <c r="AY96" s="606">
        <v>1014</v>
      </c>
      <c r="AZ96" s="606">
        <v>1014</v>
      </c>
      <c r="BA96" s="606">
        <v>1014</v>
      </c>
      <c r="BB96" s="606">
        <v>1014</v>
      </c>
      <c r="BC96" s="606">
        <v>1014</v>
      </c>
      <c r="BD96" s="606">
        <v>1014</v>
      </c>
      <c r="BE96" s="606">
        <v>1014</v>
      </c>
      <c r="BF96" s="606">
        <v>1014</v>
      </c>
      <c r="BG96" s="606">
        <v>9604.119999999999</v>
      </c>
      <c r="BH96" s="606">
        <v>243.06</v>
      </c>
      <c r="BI96" s="606">
        <v>235.06</v>
      </c>
      <c r="BJ96" s="606">
        <v>0</v>
      </c>
      <c r="BK96" s="606">
        <v>1014</v>
      </c>
      <c r="BL96" s="606">
        <v>1014</v>
      </c>
      <c r="BM96" s="606">
        <v>1014</v>
      </c>
      <c r="BN96" s="606">
        <v>1014</v>
      </c>
      <c r="BO96" s="606">
        <v>1014</v>
      </c>
      <c r="BP96" s="606">
        <v>1014</v>
      </c>
      <c r="BQ96" s="606">
        <v>1014</v>
      </c>
      <c r="BR96" s="606">
        <v>1014</v>
      </c>
      <c r="BS96" s="606">
        <v>1014</v>
      </c>
      <c r="BT96" s="606">
        <v>9604.119999999999</v>
      </c>
    </row>
    <row r="97" spans="1:72" hidden="1">
      <c r="A97" t="s">
        <v>1865</v>
      </c>
      <c r="B97" t="s">
        <v>2953</v>
      </c>
      <c r="C97" t="s">
        <v>452</v>
      </c>
      <c r="D97" t="s">
        <v>1866</v>
      </c>
      <c r="E97" t="s">
        <v>1136</v>
      </c>
      <c r="F97" t="s">
        <v>1566</v>
      </c>
      <c r="G97" t="s">
        <v>1135</v>
      </c>
      <c r="H97" t="s">
        <v>1145</v>
      </c>
      <c r="I97" t="s">
        <v>1135</v>
      </c>
      <c r="J97" t="s">
        <v>1145</v>
      </c>
      <c r="K97" t="s">
        <v>1137</v>
      </c>
      <c r="L97" t="s">
        <v>389</v>
      </c>
      <c r="M97" t="s">
        <v>1863</v>
      </c>
      <c r="P97" t="s">
        <v>453</v>
      </c>
      <c r="T97" t="s">
        <v>57</v>
      </c>
      <c r="W97" s="606">
        <v>0</v>
      </c>
      <c r="X97" s="606">
        <v>81</v>
      </c>
      <c r="Y97" s="606"/>
      <c r="Z97" s="606"/>
      <c r="AA97" s="606">
        <v>1.65</v>
      </c>
      <c r="AB97" s="606">
        <v>76.819999999999993</v>
      </c>
      <c r="AC97" s="606">
        <v>2.5299999999999998</v>
      </c>
      <c r="AD97" s="606">
        <v>1008.71</v>
      </c>
      <c r="AE97" s="606">
        <v>1060.44</v>
      </c>
      <c r="AF97" s="606">
        <v>17.300000000000068</v>
      </c>
      <c r="AG97" s="606">
        <v>0</v>
      </c>
      <c r="AH97" s="606">
        <v>0</v>
      </c>
      <c r="AI97" s="606">
        <v>0</v>
      </c>
      <c r="AJ97" s="606">
        <v>0</v>
      </c>
      <c r="AK97" s="606">
        <v>0</v>
      </c>
      <c r="AL97" s="606">
        <v>0</v>
      </c>
      <c r="AM97" s="606">
        <v>2167.4500000000003</v>
      </c>
      <c r="AN97" s="606">
        <v>2086.4500000000003</v>
      </c>
      <c r="AO97" s="606">
        <v>0</v>
      </c>
      <c r="AP97" s="606">
        <v>17.300000000000068</v>
      </c>
      <c r="AQ97" s="606">
        <v>2086.4500000000003</v>
      </c>
      <c r="AR97" s="606"/>
      <c r="AS97" s="606">
        <v>2086.4500000000003</v>
      </c>
      <c r="AT97" s="606"/>
      <c r="AU97" s="606">
        <v>1.65</v>
      </c>
      <c r="AV97" s="606">
        <v>76.819999999999993</v>
      </c>
      <c r="AW97" s="606">
        <v>2.5299999999999998</v>
      </c>
      <c r="AX97" s="606">
        <v>0</v>
      </c>
      <c r="AY97" s="606">
        <v>0</v>
      </c>
      <c r="AZ97" s="606">
        <v>0</v>
      </c>
      <c r="BA97" s="606">
        <v>0</v>
      </c>
      <c r="BB97" s="606">
        <v>0</v>
      </c>
      <c r="BC97" s="606">
        <v>0</v>
      </c>
      <c r="BD97" s="606">
        <v>0</v>
      </c>
      <c r="BE97" s="606">
        <v>0</v>
      </c>
      <c r="BF97" s="606">
        <v>0</v>
      </c>
      <c r="BG97" s="606">
        <v>81</v>
      </c>
      <c r="BH97" s="606">
        <v>1.65</v>
      </c>
      <c r="BI97" s="606">
        <v>76.819999999999993</v>
      </c>
      <c r="BJ97" s="606">
        <v>2.5299999999999998</v>
      </c>
      <c r="BK97" s="606">
        <v>0</v>
      </c>
      <c r="BL97" s="606">
        <v>0</v>
      </c>
      <c r="BM97" s="606">
        <v>0</v>
      </c>
      <c r="BN97" s="606">
        <v>0</v>
      </c>
      <c r="BO97" s="606">
        <v>0</v>
      </c>
      <c r="BP97" s="606">
        <v>0</v>
      </c>
      <c r="BQ97" s="606">
        <v>0</v>
      </c>
      <c r="BR97" s="606">
        <v>0</v>
      </c>
      <c r="BS97" s="606">
        <v>0</v>
      </c>
      <c r="BT97" s="606">
        <v>81</v>
      </c>
    </row>
    <row r="98" spans="1:72" hidden="1">
      <c r="A98" t="s">
        <v>1867</v>
      </c>
      <c r="B98" t="s">
        <v>2953</v>
      </c>
      <c r="C98" t="s">
        <v>452</v>
      </c>
      <c r="D98" t="s">
        <v>1868</v>
      </c>
      <c r="E98" t="s">
        <v>1136</v>
      </c>
      <c r="F98" t="s">
        <v>1566</v>
      </c>
      <c r="G98" t="s">
        <v>1135</v>
      </c>
      <c r="H98" t="s">
        <v>1165</v>
      </c>
      <c r="I98" t="s">
        <v>1135</v>
      </c>
      <c r="J98" t="s">
        <v>1165</v>
      </c>
      <c r="K98" t="s">
        <v>1137</v>
      </c>
      <c r="L98" t="s">
        <v>389</v>
      </c>
      <c r="M98" t="s">
        <v>1863</v>
      </c>
      <c r="P98" t="s">
        <v>453</v>
      </c>
      <c r="T98" t="s">
        <v>57</v>
      </c>
      <c r="W98" s="606">
        <v>14400</v>
      </c>
      <c r="X98" s="606">
        <v>11192.33</v>
      </c>
      <c r="Y98" s="606"/>
      <c r="Z98" s="606"/>
      <c r="AA98" s="606">
        <v>200.57</v>
      </c>
      <c r="AB98" s="606">
        <v>191.76</v>
      </c>
      <c r="AC98" s="606">
        <v>0</v>
      </c>
      <c r="AD98" s="606">
        <v>14.350000000000001</v>
      </c>
      <c r="AE98" s="606">
        <v>11.24</v>
      </c>
      <c r="AF98" s="606">
        <v>0</v>
      </c>
      <c r="AG98" s="606">
        <v>1200</v>
      </c>
      <c r="AH98" s="606">
        <v>1200</v>
      </c>
      <c r="AI98" s="606">
        <v>1200</v>
      </c>
      <c r="AJ98" s="606">
        <v>1200</v>
      </c>
      <c r="AK98" s="606">
        <v>1200</v>
      </c>
      <c r="AL98" s="606">
        <v>1200</v>
      </c>
      <c r="AM98" s="606">
        <v>7617.92</v>
      </c>
      <c r="AN98" s="606">
        <v>-3574.41</v>
      </c>
      <c r="AO98" s="606">
        <v>1200</v>
      </c>
      <c r="AP98" s="606">
        <v>-1200</v>
      </c>
      <c r="AQ98" s="606">
        <v>-3574.41</v>
      </c>
      <c r="AR98" s="606"/>
      <c r="AS98" s="606">
        <v>-3574.41</v>
      </c>
      <c r="AT98" s="606"/>
      <c r="AU98" s="606">
        <v>200.57</v>
      </c>
      <c r="AV98" s="606">
        <v>191.76</v>
      </c>
      <c r="AW98" s="606">
        <v>0</v>
      </c>
      <c r="AX98" s="606">
        <v>1200</v>
      </c>
      <c r="AY98" s="606">
        <v>1200</v>
      </c>
      <c r="AZ98" s="606">
        <v>1200</v>
      </c>
      <c r="BA98" s="606">
        <v>1200</v>
      </c>
      <c r="BB98" s="606">
        <v>1200</v>
      </c>
      <c r="BC98" s="606">
        <v>1200</v>
      </c>
      <c r="BD98" s="606">
        <v>1200</v>
      </c>
      <c r="BE98" s="606">
        <v>1200</v>
      </c>
      <c r="BF98" s="606">
        <v>1200</v>
      </c>
      <c r="BG98" s="606">
        <v>11192.33</v>
      </c>
      <c r="BH98" s="606">
        <v>200.57</v>
      </c>
      <c r="BI98" s="606">
        <v>191.76</v>
      </c>
      <c r="BJ98" s="606">
        <v>0</v>
      </c>
      <c r="BK98" s="606">
        <v>1200</v>
      </c>
      <c r="BL98" s="606">
        <v>1200</v>
      </c>
      <c r="BM98" s="606">
        <v>1200</v>
      </c>
      <c r="BN98" s="606">
        <v>1200</v>
      </c>
      <c r="BO98" s="606">
        <v>1200</v>
      </c>
      <c r="BP98" s="606">
        <v>1200</v>
      </c>
      <c r="BQ98" s="606">
        <v>1200</v>
      </c>
      <c r="BR98" s="606">
        <v>1200</v>
      </c>
      <c r="BS98" s="606">
        <v>1200</v>
      </c>
      <c r="BT98" s="606">
        <v>11192.33</v>
      </c>
    </row>
    <row r="99" spans="1:72" hidden="1">
      <c r="A99" t="s">
        <v>2271</v>
      </c>
      <c r="B99" t="s">
        <v>2953</v>
      </c>
      <c r="C99" t="s">
        <v>672</v>
      </c>
      <c r="D99" t="s">
        <v>672</v>
      </c>
      <c r="E99" t="s">
        <v>1136</v>
      </c>
      <c r="F99" t="s">
        <v>1566</v>
      </c>
      <c r="G99" t="s">
        <v>1135</v>
      </c>
      <c r="H99" t="s">
        <v>1135</v>
      </c>
      <c r="I99" t="s">
        <v>1135</v>
      </c>
      <c r="J99" t="s">
        <v>1135</v>
      </c>
      <c r="K99" t="s">
        <v>1135</v>
      </c>
      <c r="L99" t="s">
        <v>639</v>
      </c>
      <c r="P99" t="s">
        <v>673</v>
      </c>
      <c r="W99" s="606"/>
      <c r="X99" s="606"/>
      <c r="Y99" s="606"/>
      <c r="Z99" s="606"/>
      <c r="AA99" s="606"/>
      <c r="AB99" s="606"/>
      <c r="AC99" s="606"/>
      <c r="AD99" s="606"/>
      <c r="AE99" s="606"/>
      <c r="AF99" s="606">
        <v>308.33</v>
      </c>
      <c r="AG99" s="606"/>
      <c r="AH99" s="606"/>
      <c r="AI99" s="606"/>
      <c r="AJ99" s="606"/>
      <c r="AK99" s="606"/>
      <c r="AL99" s="606"/>
      <c r="AM99" s="606">
        <v>308.33</v>
      </c>
      <c r="AN99" s="606">
        <v>308.33</v>
      </c>
      <c r="AO99" s="606"/>
      <c r="AP99" s="606">
        <v>308.33</v>
      </c>
      <c r="AQ99" s="606">
        <v>308.33</v>
      </c>
      <c r="AR99" s="606"/>
      <c r="AS99" s="606">
        <v>308.33</v>
      </c>
      <c r="AT99" s="606"/>
      <c r="AU99" s="606"/>
      <c r="AV99" s="606"/>
      <c r="AW99" s="606"/>
      <c r="AX99" s="606"/>
      <c r="AY99" s="606"/>
      <c r="AZ99" s="606"/>
      <c r="BA99" s="606"/>
      <c r="BB99" s="606"/>
      <c r="BC99" s="606"/>
      <c r="BD99" s="606"/>
      <c r="BE99" s="606"/>
      <c r="BF99" s="606"/>
      <c r="BG99" s="606"/>
      <c r="BH99" s="606"/>
      <c r="BI99" s="606"/>
      <c r="BJ99" s="606"/>
      <c r="BK99" s="606"/>
      <c r="BL99" s="606"/>
      <c r="BM99" s="606"/>
      <c r="BN99" s="606"/>
      <c r="BO99" s="606"/>
      <c r="BP99" s="606"/>
      <c r="BQ99" s="606"/>
      <c r="BR99" s="606"/>
      <c r="BS99" s="606"/>
      <c r="BT99" s="606"/>
    </row>
    <row r="100" spans="1:72" hidden="1">
      <c r="A100" t="s">
        <v>2272</v>
      </c>
      <c r="B100" t="s">
        <v>2953</v>
      </c>
      <c r="C100" t="s">
        <v>672</v>
      </c>
      <c r="D100" t="s">
        <v>2273</v>
      </c>
      <c r="E100" t="s">
        <v>1136</v>
      </c>
      <c r="F100" t="s">
        <v>1566</v>
      </c>
      <c r="G100" t="s">
        <v>1135</v>
      </c>
      <c r="H100" t="s">
        <v>1145</v>
      </c>
      <c r="I100" t="s">
        <v>1135</v>
      </c>
      <c r="J100" t="s">
        <v>1145</v>
      </c>
      <c r="K100" t="s">
        <v>1137</v>
      </c>
      <c r="L100" t="s">
        <v>639</v>
      </c>
      <c r="M100" t="s">
        <v>2274</v>
      </c>
      <c r="P100" t="s">
        <v>673</v>
      </c>
      <c r="R100" t="s">
        <v>1140</v>
      </c>
      <c r="T100" t="s">
        <v>57</v>
      </c>
      <c r="W100" s="606">
        <v>0</v>
      </c>
      <c r="X100" s="606">
        <v>616.66</v>
      </c>
      <c r="Y100" s="606"/>
      <c r="Z100" s="606"/>
      <c r="AA100" s="606">
        <v>308.33</v>
      </c>
      <c r="AB100" s="606">
        <v>0</v>
      </c>
      <c r="AC100" s="606">
        <v>308.33</v>
      </c>
      <c r="AD100" s="606">
        <v>308.33</v>
      </c>
      <c r="AE100" s="606">
        <v>308.33</v>
      </c>
      <c r="AF100" s="606">
        <v>0</v>
      </c>
      <c r="AG100" s="606">
        <v>0</v>
      </c>
      <c r="AH100" s="606">
        <v>0</v>
      </c>
      <c r="AI100" s="606">
        <v>0</v>
      </c>
      <c r="AJ100" s="606">
        <v>0</v>
      </c>
      <c r="AK100" s="606">
        <v>0</v>
      </c>
      <c r="AL100" s="606">
        <v>0</v>
      </c>
      <c r="AM100" s="606">
        <v>1233.32</v>
      </c>
      <c r="AN100" s="606">
        <v>616.66</v>
      </c>
      <c r="AO100" s="606">
        <v>0</v>
      </c>
      <c r="AP100" s="606">
        <v>0</v>
      </c>
      <c r="AQ100" s="606">
        <v>616.66</v>
      </c>
      <c r="AR100" s="606"/>
      <c r="AS100" s="606">
        <v>616.66</v>
      </c>
      <c r="AT100" s="606"/>
      <c r="AU100" s="606">
        <v>308.33</v>
      </c>
      <c r="AV100" s="606">
        <v>0</v>
      </c>
      <c r="AW100" s="606">
        <v>308.33</v>
      </c>
      <c r="AX100" s="606">
        <v>0</v>
      </c>
      <c r="AY100" s="606">
        <v>0</v>
      </c>
      <c r="AZ100" s="606">
        <v>0</v>
      </c>
      <c r="BA100" s="606">
        <v>0</v>
      </c>
      <c r="BB100" s="606">
        <v>0</v>
      </c>
      <c r="BC100" s="606">
        <v>0</v>
      </c>
      <c r="BD100" s="606">
        <v>0</v>
      </c>
      <c r="BE100" s="606">
        <v>0</v>
      </c>
      <c r="BF100" s="606">
        <v>0</v>
      </c>
      <c r="BG100" s="606">
        <v>616.66</v>
      </c>
      <c r="BH100" s="606">
        <v>308.33</v>
      </c>
      <c r="BI100" s="606">
        <v>0</v>
      </c>
      <c r="BJ100" s="606">
        <v>308.33</v>
      </c>
      <c r="BK100" s="606">
        <v>0</v>
      </c>
      <c r="BL100" s="606">
        <v>0</v>
      </c>
      <c r="BM100" s="606">
        <v>0</v>
      </c>
      <c r="BN100" s="606">
        <v>0</v>
      </c>
      <c r="BO100" s="606">
        <v>0</v>
      </c>
      <c r="BP100" s="606">
        <v>0</v>
      </c>
      <c r="BQ100" s="606">
        <v>0</v>
      </c>
      <c r="BR100" s="606">
        <v>0</v>
      </c>
      <c r="BS100" s="606">
        <v>0</v>
      </c>
      <c r="BT100" s="606">
        <v>616.66</v>
      </c>
    </row>
    <row r="101" spans="1:72" hidden="1">
      <c r="A101" t="s">
        <v>1702</v>
      </c>
      <c r="B101" t="s">
        <v>2953</v>
      </c>
      <c r="C101" t="s">
        <v>364</v>
      </c>
      <c r="D101" t="s">
        <v>364</v>
      </c>
      <c r="E101" t="s">
        <v>1136</v>
      </c>
      <c r="F101" t="s">
        <v>1566</v>
      </c>
      <c r="G101" t="s">
        <v>1135</v>
      </c>
      <c r="H101" t="s">
        <v>1135</v>
      </c>
      <c r="I101" t="s">
        <v>1135</v>
      </c>
      <c r="J101" t="s">
        <v>1135</v>
      </c>
      <c r="K101" t="s">
        <v>1137</v>
      </c>
      <c r="L101" t="s">
        <v>342</v>
      </c>
      <c r="M101" t="s">
        <v>1703</v>
      </c>
      <c r="P101" t="s">
        <v>365</v>
      </c>
      <c r="R101" t="s">
        <v>1140</v>
      </c>
      <c r="T101" t="s">
        <v>57</v>
      </c>
      <c r="W101" s="606">
        <v>0</v>
      </c>
      <c r="X101" s="606">
        <v>20</v>
      </c>
      <c r="Y101" s="606"/>
      <c r="Z101" s="606"/>
      <c r="AA101" s="606">
        <v>20</v>
      </c>
      <c r="AB101" s="606">
        <v>0</v>
      </c>
      <c r="AC101" s="606">
        <v>0</v>
      </c>
      <c r="AD101" s="606">
        <v>22</v>
      </c>
      <c r="AE101" s="606">
        <v>0</v>
      </c>
      <c r="AF101" s="606">
        <v>2147</v>
      </c>
      <c r="AG101" s="606">
        <v>0</v>
      </c>
      <c r="AH101" s="606">
        <v>0</v>
      </c>
      <c r="AI101" s="606">
        <v>0</v>
      </c>
      <c r="AJ101" s="606">
        <v>0</v>
      </c>
      <c r="AK101" s="606">
        <v>0</v>
      </c>
      <c r="AL101" s="606">
        <v>0</v>
      </c>
      <c r="AM101" s="606">
        <v>2189</v>
      </c>
      <c r="AN101" s="606">
        <v>2169</v>
      </c>
      <c r="AO101" s="606">
        <v>0</v>
      </c>
      <c r="AP101" s="606">
        <v>2147</v>
      </c>
      <c r="AQ101" s="606">
        <v>2169</v>
      </c>
      <c r="AR101" s="606"/>
      <c r="AS101" s="606">
        <v>2169</v>
      </c>
      <c r="AT101" s="606"/>
      <c r="AU101" s="606">
        <v>20</v>
      </c>
      <c r="AV101" s="606">
        <v>0</v>
      </c>
      <c r="AW101" s="606">
        <v>0</v>
      </c>
      <c r="AX101" s="606">
        <v>0</v>
      </c>
      <c r="AY101" s="606">
        <v>0</v>
      </c>
      <c r="AZ101" s="606">
        <v>0</v>
      </c>
      <c r="BA101" s="606">
        <v>0</v>
      </c>
      <c r="BB101" s="606">
        <v>0</v>
      </c>
      <c r="BC101" s="606">
        <v>0</v>
      </c>
      <c r="BD101" s="606">
        <v>0</v>
      </c>
      <c r="BE101" s="606">
        <v>0</v>
      </c>
      <c r="BF101" s="606">
        <v>0</v>
      </c>
      <c r="BG101" s="606">
        <v>20</v>
      </c>
      <c r="BH101" s="606">
        <v>20</v>
      </c>
      <c r="BI101" s="606">
        <v>0</v>
      </c>
      <c r="BJ101" s="606">
        <v>0</v>
      </c>
      <c r="BK101" s="606">
        <v>0</v>
      </c>
      <c r="BL101" s="606">
        <v>0</v>
      </c>
      <c r="BM101" s="606">
        <v>0</v>
      </c>
      <c r="BN101" s="606">
        <v>0</v>
      </c>
      <c r="BO101" s="606">
        <v>0</v>
      </c>
      <c r="BP101" s="606">
        <v>0</v>
      </c>
      <c r="BQ101" s="606">
        <v>0</v>
      </c>
      <c r="BR101" s="606">
        <v>0</v>
      </c>
      <c r="BS101" s="606">
        <v>0</v>
      </c>
      <c r="BT101" s="606">
        <v>20</v>
      </c>
    </row>
    <row r="102" spans="1:72" hidden="1">
      <c r="A102" t="s">
        <v>1894</v>
      </c>
      <c r="B102" t="s">
        <v>2953</v>
      </c>
      <c r="C102" t="s">
        <v>464</v>
      </c>
      <c r="D102" t="s">
        <v>464</v>
      </c>
      <c r="E102" t="s">
        <v>1136</v>
      </c>
      <c r="F102" t="s">
        <v>1566</v>
      </c>
      <c r="G102" t="s">
        <v>1135</v>
      </c>
      <c r="H102" t="s">
        <v>1135</v>
      </c>
      <c r="I102" t="s">
        <v>1135</v>
      </c>
      <c r="J102" t="s">
        <v>1135</v>
      </c>
      <c r="K102" t="s">
        <v>1137</v>
      </c>
      <c r="L102" t="s">
        <v>389</v>
      </c>
      <c r="M102" t="s">
        <v>1703</v>
      </c>
      <c r="P102" t="s">
        <v>365</v>
      </c>
      <c r="R102" t="s">
        <v>1140</v>
      </c>
      <c r="T102" t="s">
        <v>57</v>
      </c>
      <c r="W102" s="606">
        <v>0</v>
      </c>
      <c r="X102" s="606">
        <v>5151.76</v>
      </c>
      <c r="Y102" s="606"/>
      <c r="Z102" s="606"/>
      <c r="AA102" s="606">
        <v>1210.3599999999999</v>
      </c>
      <c r="AB102" s="606">
        <v>1569.34</v>
      </c>
      <c r="AC102" s="606">
        <v>2372.06</v>
      </c>
      <c r="AD102" s="606">
        <v>345.21</v>
      </c>
      <c r="AE102" s="606">
        <v>674.56</v>
      </c>
      <c r="AF102" s="606">
        <v>13726.56</v>
      </c>
      <c r="AG102" s="606">
        <v>0</v>
      </c>
      <c r="AH102" s="606">
        <v>0</v>
      </c>
      <c r="AI102" s="606">
        <v>0</v>
      </c>
      <c r="AJ102" s="606">
        <v>0</v>
      </c>
      <c r="AK102" s="606">
        <v>0</v>
      </c>
      <c r="AL102" s="606">
        <v>0</v>
      </c>
      <c r="AM102" s="606">
        <v>19898.09</v>
      </c>
      <c r="AN102" s="606">
        <v>14746.33</v>
      </c>
      <c r="AO102" s="606">
        <v>0</v>
      </c>
      <c r="AP102" s="606">
        <v>13726.56</v>
      </c>
      <c r="AQ102" s="606">
        <v>14746.33</v>
      </c>
      <c r="AR102" s="606"/>
      <c r="AS102" s="606">
        <v>14746.33</v>
      </c>
      <c r="AT102" s="606"/>
      <c r="AU102" s="606">
        <v>1210.3599999999999</v>
      </c>
      <c r="AV102" s="606">
        <v>1569.34</v>
      </c>
      <c r="AW102" s="606">
        <v>2372.06</v>
      </c>
      <c r="AX102" s="606">
        <v>0</v>
      </c>
      <c r="AY102" s="606">
        <v>0</v>
      </c>
      <c r="AZ102" s="606">
        <v>0</v>
      </c>
      <c r="BA102" s="606">
        <v>0</v>
      </c>
      <c r="BB102" s="606">
        <v>0</v>
      </c>
      <c r="BC102" s="606">
        <v>0</v>
      </c>
      <c r="BD102" s="606">
        <v>0</v>
      </c>
      <c r="BE102" s="606">
        <v>0</v>
      </c>
      <c r="BF102" s="606">
        <v>0</v>
      </c>
      <c r="BG102" s="606">
        <v>5151.76</v>
      </c>
      <c r="BH102" s="606">
        <v>1210.3599999999999</v>
      </c>
      <c r="BI102" s="606">
        <v>1569.34</v>
      </c>
      <c r="BJ102" s="606">
        <v>2372.06</v>
      </c>
      <c r="BK102" s="606">
        <v>0</v>
      </c>
      <c r="BL102" s="606">
        <v>0</v>
      </c>
      <c r="BM102" s="606">
        <v>0</v>
      </c>
      <c r="BN102" s="606">
        <v>0</v>
      </c>
      <c r="BO102" s="606">
        <v>0</v>
      </c>
      <c r="BP102" s="606">
        <v>0</v>
      </c>
      <c r="BQ102" s="606">
        <v>0</v>
      </c>
      <c r="BR102" s="606">
        <v>0</v>
      </c>
      <c r="BS102" s="606">
        <v>0</v>
      </c>
      <c r="BT102" s="606">
        <v>5151.76</v>
      </c>
    </row>
    <row r="103" spans="1:72" hidden="1">
      <c r="A103" t="s">
        <v>1895</v>
      </c>
      <c r="B103" t="s">
        <v>2953</v>
      </c>
      <c r="C103" t="s">
        <v>464</v>
      </c>
      <c r="D103" t="s">
        <v>1896</v>
      </c>
      <c r="E103" t="s">
        <v>1136</v>
      </c>
      <c r="F103" t="s">
        <v>1566</v>
      </c>
      <c r="G103" t="s">
        <v>1135</v>
      </c>
      <c r="H103" t="s">
        <v>1135</v>
      </c>
      <c r="I103" t="s">
        <v>1135</v>
      </c>
      <c r="J103" t="s">
        <v>1137</v>
      </c>
      <c r="K103" t="s">
        <v>1137</v>
      </c>
      <c r="L103" t="s">
        <v>389</v>
      </c>
      <c r="M103" t="s">
        <v>1703</v>
      </c>
      <c r="P103" t="s">
        <v>365</v>
      </c>
      <c r="R103" t="s">
        <v>1140</v>
      </c>
      <c r="T103" t="s">
        <v>57</v>
      </c>
      <c r="U103" t="s">
        <v>1141</v>
      </c>
      <c r="W103" s="606">
        <v>3300</v>
      </c>
      <c r="X103" s="606">
        <v>1500</v>
      </c>
      <c r="Y103" s="606"/>
      <c r="Z103" s="606"/>
      <c r="AA103" s="606"/>
      <c r="AB103" s="606"/>
      <c r="AC103" s="606"/>
      <c r="AD103" s="606">
        <v>0</v>
      </c>
      <c r="AE103" s="606">
        <v>0</v>
      </c>
      <c r="AF103" s="606">
        <v>-1.6999999999999886</v>
      </c>
      <c r="AG103" s="606">
        <v>300</v>
      </c>
      <c r="AH103" s="606">
        <v>300</v>
      </c>
      <c r="AI103" s="606">
        <v>0</v>
      </c>
      <c r="AJ103" s="606">
        <v>0</v>
      </c>
      <c r="AK103" s="606">
        <v>0</v>
      </c>
      <c r="AL103" s="606">
        <v>0</v>
      </c>
      <c r="AM103" s="606">
        <v>598.29999999999995</v>
      </c>
      <c r="AN103" s="606">
        <v>-901.7</v>
      </c>
      <c r="AO103" s="606">
        <v>300</v>
      </c>
      <c r="AP103" s="606">
        <v>-301.7</v>
      </c>
      <c r="AQ103" s="606">
        <v>-901.7</v>
      </c>
      <c r="AR103" s="606"/>
      <c r="AS103" s="606">
        <v>-901.7</v>
      </c>
      <c r="AT103" s="606"/>
      <c r="AU103" s="606"/>
      <c r="AV103" s="606"/>
      <c r="AW103" s="606"/>
      <c r="AX103" s="606">
        <v>300</v>
      </c>
      <c r="AY103" s="606">
        <v>300</v>
      </c>
      <c r="AZ103" s="606">
        <v>300</v>
      </c>
      <c r="BA103" s="606">
        <v>300</v>
      </c>
      <c r="BB103" s="606">
        <v>300</v>
      </c>
      <c r="BC103" s="606">
        <v>0</v>
      </c>
      <c r="BD103" s="606">
        <v>0</v>
      </c>
      <c r="BE103" s="606">
        <v>0</v>
      </c>
      <c r="BF103" s="606">
        <v>0</v>
      </c>
      <c r="BG103" s="606">
        <v>1500</v>
      </c>
      <c r="BH103" s="606"/>
      <c r="BI103" s="606"/>
      <c r="BJ103" s="606"/>
      <c r="BK103" s="606">
        <v>300</v>
      </c>
      <c r="BL103" s="606">
        <v>300</v>
      </c>
      <c r="BM103" s="606">
        <v>300</v>
      </c>
      <c r="BN103" s="606">
        <v>300</v>
      </c>
      <c r="BO103" s="606">
        <v>300</v>
      </c>
      <c r="BP103" s="606">
        <v>0</v>
      </c>
      <c r="BQ103" s="606">
        <v>0</v>
      </c>
      <c r="BR103" s="606">
        <v>0</v>
      </c>
      <c r="BS103" s="606">
        <v>0</v>
      </c>
      <c r="BT103" s="606">
        <v>1500</v>
      </c>
    </row>
    <row r="104" spans="1:72" hidden="1">
      <c r="A104" t="s">
        <v>1899</v>
      </c>
      <c r="B104" t="s">
        <v>2953</v>
      </c>
      <c r="C104" t="s">
        <v>464</v>
      </c>
      <c r="D104" t="s">
        <v>1900</v>
      </c>
      <c r="E104" t="s">
        <v>1136</v>
      </c>
      <c r="F104" t="s">
        <v>1566</v>
      </c>
      <c r="G104" t="s">
        <v>1135</v>
      </c>
      <c r="H104" t="s">
        <v>1165</v>
      </c>
      <c r="I104" t="s">
        <v>1135</v>
      </c>
      <c r="J104" t="s">
        <v>1165</v>
      </c>
      <c r="K104" t="s">
        <v>1137</v>
      </c>
      <c r="L104" t="s">
        <v>389</v>
      </c>
      <c r="M104" t="s">
        <v>1703</v>
      </c>
      <c r="P104" t="s">
        <v>365</v>
      </c>
      <c r="R104" t="s">
        <v>1140</v>
      </c>
      <c r="T104" t="s">
        <v>57</v>
      </c>
      <c r="W104" s="606">
        <v>12000</v>
      </c>
      <c r="X104" s="606">
        <v>20372.89</v>
      </c>
      <c r="Y104" s="606"/>
      <c r="Z104" s="606"/>
      <c r="AA104" s="606">
        <v>3485.94</v>
      </c>
      <c r="AB104" s="606">
        <v>4743.4799999999996</v>
      </c>
      <c r="AC104" s="606">
        <v>3143.47</v>
      </c>
      <c r="AD104" s="606">
        <v>1703.44</v>
      </c>
      <c r="AE104" s="606">
        <v>1676.8800000000003</v>
      </c>
      <c r="AF104" s="606">
        <v>3062.17</v>
      </c>
      <c r="AG104" s="606">
        <v>1000</v>
      </c>
      <c r="AH104" s="606">
        <v>1000</v>
      </c>
      <c r="AI104" s="606">
        <v>1000</v>
      </c>
      <c r="AJ104" s="606">
        <v>1000</v>
      </c>
      <c r="AK104" s="606">
        <v>1000</v>
      </c>
      <c r="AL104" s="606">
        <v>1000</v>
      </c>
      <c r="AM104" s="606">
        <v>23815.38</v>
      </c>
      <c r="AN104" s="606">
        <v>3442.4900000000016</v>
      </c>
      <c r="AO104" s="606">
        <v>1000</v>
      </c>
      <c r="AP104" s="606">
        <v>2062.17</v>
      </c>
      <c r="AQ104" s="606">
        <v>3442.4900000000016</v>
      </c>
      <c r="AR104" s="606"/>
      <c r="AS104" s="606">
        <v>3442.4900000000016</v>
      </c>
      <c r="AT104" s="606"/>
      <c r="AU104" s="606">
        <v>3485.94</v>
      </c>
      <c r="AV104" s="606">
        <v>4743.4799999999996</v>
      </c>
      <c r="AW104" s="606">
        <v>3143.47</v>
      </c>
      <c r="AX104" s="606">
        <v>1000</v>
      </c>
      <c r="AY104" s="606">
        <v>1000</v>
      </c>
      <c r="AZ104" s="606">
        <v>1000</v>
      </c>
      <c r="BA104" s="606">
        <v>1000</v>
      </c>
      <c r="BB104" s="606">
        <v>1000</v>
      </c>
      <c r="BC104" s="606">
        <v>1000</v>
      </c>
      <c r="BD104" s="606">
        <v>1000</v>
      </c>
      <c r="BE104" s="606">
        <v>1000</v>
      </c>
      <c r="BF104" s="606">
        <v>1000</v>
      </c>
      <c r="BG104" s="606">
        <v>20372.89</v>
      </c>
      <c r="BH104" s="606">
        <v>3485.94</v>
      </c>
      <c r="BI104" s="606">
        <v>4743.4799999999996</v>
      </c>
      <c r="BJ104" s="606">
        <v>3143.47</v>
      </c>
      <c r="BK104" s="606">
        <v>1000</v>
      </c>
      <c r="BL104" s="606">
        <v>1000</v>
      </c>
      <c r="BM104" s="606">
        <v>1000</v>
      </c>
      <c r="BN104" s="606">
        <v>1000</v>
      </c>
      <c r="BO104" s="606">
        <v>1000</v>
      </c>
      <c r="BP104" s="606">
        <v>1000</v>
      </c>
      <c r="BQ104" s="606">
        <v>1000</v>
      </c>
      <c r="BR104" s="606">
        <v>1000</v>
      </c>
      <c r="BS104" s="606">
        <v>1000</v>
      </c>
      <c r="BT104" s="606">
        <v>20372.89</v>
      </c>
    </row>
    <row r="105" spans="1:72" hidden="1">
      <c r="A105" t="s">
        <v>2277</v>
      </c>
      <c r="B105" t="s">
        <v>2953</v>
      </c>
      <c r="C105" t="s">
        <v>674</v>
      </c>
      <c r="D105" t="s">
        <v>674</v>
      </c>
      <c r="E105" t="s">
        <v>1136</v>
      </c>
      <c r="F105" t="s">
        <v>1566</v>
      </c>
      <c r="G105" t="s">
        <v>1135</v>
      </c>
      <c r="H105" t="s">
        <v>1135</v>
      </c>
      <c r="I105" t="s">
        <v>1135</v>
      </c>
      <c r="J105" t="s">
        <v>1135</v>
      </c>
      <c r="K105" t="s">
        <v>1137</v>
      </c>
      <c r="L105" t="s">
        <v>639</v>
      </c>
      <c r="M105" t="s">
        <v>1703</v>
      </c>
      <c r="P105" t="s">
        <v>365</v>
      </c>
      <c r="R105" t="s">
        <v>1140</v>
      </c>
      <c r="T105" t="s">
        <v>57</v>
      </c>
      <c r="W105" s="606">
        <v>0</v>
      </c>
      <c r="X105" s="606">
        <v>288</v>
      </c>
      <c r="Y105" s="606"/>
      <c r="Z105" s="606"/>
      <c r="AA105" s="606"/>
      <c r="AB105" s="606">
        <v>288</v>
      </c>
      <c r="AC105" s="606">
        <v>0</v>
      </c>
      <c r="AD105" s="606">
        <v>0</v>
      </c>
      <c r="AE105" s="606">
        <v>800</v>
      </c>
      <c r="AF105" s="606">
        <v>0</v>
      </c>
      <c r="AG105" s="606">
        <v>0</v>
      </c>
      <c r="AH105" s="606">
        <v>0</v>
      </c>
      <c r="AI105" s="606">
        <v>0</v>
      </c>
      <c r="AJ105" s="606">
        <v>0</v>
      </c>
      <c r="AK105" s="606">
        <v>0</v>
      </c>
      <c r="AL105" s="606">
        <v>0</v>
      </c>
      <c r="AM105" s="606">
        <v>1088</v>
      </c>
      <c r="AN105" s="606">
        <v>800</v>
      </c>
      <c r="AO105" s="606">
        <v>0</v>
      </c>
      <c r="AP105" s="606">
        <v>0</v>
      </c>
      <c r="AQ105" s="606">
        <v>800</v>
      </c>
      <c r="AR105" s="606"/>
      <c r="AS105" s="606">
        <v>800</v>
      </c>
      <c r="AT105" s="606"/>
      <c r="AU105" s="606"/>
      <c r="AV105" s="606">
        <v>288</v>
      </c>
      <c r="AW105" s="606">
        <v>0</v>
      </c>
      <c r="AX105" s="606">
        <v>0</v>
      </c>
      <c r="AY105" s="606">
        <v>0</v>
      </c>
      <c r="AZ105" s="606">
        <v>0</v>
      </c>
      <c r="BA105" s="606">
        <v>0</v>
      </c>
      <c r="BB105" s="606">
        <v>0</v>
      </c>
      <c r="BC105" s="606">
        <v>0</v>
      </c>
      <c r="BD105" s="606">
        <v>0</v>
      </c>
      <c r="BE105" s="606">
        <v>0</v>
      </c>
      <c r="BF105" s="606">
        <v>0</v>
      </c>
      <c r="BG105" s="606">
        <v>288</v>
      </c>
      <c r="BH105" s="606"/>
      <c r="BI105" s="606">
        <v>288</v>
      </c>
      <c r="BJ105" s="606">
        <v>0</v>
      </c>
      <c r="BK105" s="606">
        <v>0</v>
      </c>
      <c r="BL105" s="606">
        <v>0</v>
      </c>
      <c r="BM105" s="606">
        <v>0</v>
      </c>
      <c r="BN105" s="606">
        <v>0</v>
      </c>
      <c r="BO105" s="606">
        <v>0</v>
      </c>
      <c r="BP105" s="606">
        <v>0</v>
      </c>
      <c r="BQ105" s="606">
        <v>0</v>
      </c>
      <c r="BR105" s="606">
        <v>0</v>
      </c>
      <c r="BS105" s="606">
        <v>0</v>
      </c>
      <c r="BT105" s="606">
        <v>288</v>
      </c>
    </row>
    <row r="106" spans="1:72" hidden="1">
      <c r="A106" t="s">
        <v>2280</v>
      </c>
      <c r="B106" t="s">
        <v>2953</v>
      </c>
      <c r="C106" t="s">
        <v>674</v>
      </c>
      <c r="D106" t="s">
        <v>2281</v>
      </c>
      <c r="E106" t="s">
        <v>1136</v>
      </c>
      <c r="F106" t="s">
        <v>1566</v>
      </c>
      <c r="G106" t="s">
        <v>1135</v>
      </c>
      <c r="H106" t="s">
        <v>1165</v>
      </c>
      <c r="I106" t="s">
        <v>1135</v>
      </c>
      <c r="J106" t="s">
        <v>1165</v>
      </c>
      <c r="K106" t="s">
        <v>1137</v>
      </c>
      <c r="L106" t="s">
        <v>639</v>
      </c>
      <c r="M106" t="s">
        <v>1703</v>
      </c>
      <c r="P106" t="s">
        <v>365</v>
      </c>
      <c r="R106" t="s">
        <v>1140</v>
      </c>
      <c r="T106" t="s">
        <v>57</v>
      </c>
      <c r="W106" s="606">
        <v>0</v>
      </c>
      <c r="X106" s="606">
        <v>18.920000000000002</v>
      </c>
      <c r="Y106" s="606"/>
      <c r="Z106" s="606"/>
      <c r="AA106" s="606"/>
      <c r="AB106" s="606">
        <v>18.920000000000002</v>
      </c>
      <c r="AC106" s="606">
        <v>0</v>
      </c>
      <c r="AD106" s="606">
        <v>0</v>
      </c>
      <c r="AE106" s="606">
        <v>0</v>
      </c>
      <c r="AF106" s="606">
        <v>0</v>
      </c>
      <c r="AG106" s="606">
        <v>0</v>
      </c>
      <c r="AH106" s="606">
        <v>0</v>
      </c>
      <c r="AI106" s="606">
        <v>0</v>
      </c>
      <c r="AJ106" s="606">
        <v>0</v>
      </c>
      <c r="AK106" s="606">
        <v>0</v>
      </c>
      <c r="AL106" s="606">
        <v>0</v>
      </c>
      <c r="AM106" s="606">
        <v>18.920000000000002</v>
      </c>
      <c r="AN106" s="606">
        <v>0</v>
      </c>
      <c r="AO106" s="606">
        <v>0</v>
      </c>
      <c r="AP106" s="606">
        <v>0</v>
      </c>
      <c r="AQ106" s="606">
        <v>0</v>
      </c>
      <c r="AR106" s="606"/>
      <c r="AS106" s="606">
        <v>0</v>
      </c>
      <c r="AT106" s="606"/>
      <c r="AU106" s="606"/>
      <c r="AV106" s="606">
        <v>18.920000000000002</v>
      </c>
      <c r="AW106" s="606">
        <v>0</v>
      </c>
      <c r="AX106" s="606">
        <v>0</v>
      </c>
      <c r="AY106" s="606">
        <v>0</v>
      </c>
      <c r="AZ106" s="606">
        <v>0</v>
      </c>
      <c r="BA106" s="606">
        <v>0</v>
      </c>
      <c r="BB106" s="606">
        <v>0</v>
      </c>
      <c r="BC106" s="606">
        <v>0</v>
      </c>
      <c r="BD106" s="606">
        <v>0</v>
      </c>
      <c r="BE106" s="606">
        <v>0</v>
      </c>
      <c r="BF106" s="606">
        <v>0</v>
      </c>
      <c r="BG106" s="606">
        <v>18.920000000000002</v>
      </c>
      <c r="BH106" s="606"/>
      <c r="BI106" s="606">
        <v>18.920000000000002</v>
      </c>
      <c r="BJ106" s="606">
        <v>0</v>
      </c>
      <c r="BK106" s="606">
        <v>0</v>
      </c>
      <c r="BL106" s="606">
        <v>0</v>
      </c>
      <c r="BM106" s="606">
        <v>0</v>
      </c>
      <c r="BN106" s="606">
        <v>0</v>
      </c>
      <c r="BO106" s="606">
        <v>0</v>
      </c>
      <c r="BP106" s="606">
        <v>0</v>
      </c>
      <c r="BQ106" s="606">
        <v>0</v>
      </c>
      <c r="BR106" s="606">
        <v>0</v>
      </c>
      <c r="BS106" s="606">
        <v>0</v>
      </c>
      <c r="BT106" s="606">
        <v>18.920000000000002</v>
      </c>
    </row>
    <row r="107" spans="1:72" hidden="1">
      <c r="A107" t="s">
        <v>2112</v>
      </c>
      <c r="B107" t="s">
        <v>2953</v>
      </c>
      <c r="C107" t="s">
        <v>580</v>
      </c>
      <c r="D107" t="s">
        <v>2113</v>
      </c>
      <c r="E107" t="s">
        <v>1136</v>
      </c>
      <c r="F107" t="s">
        <v>1566</v>
      </c>
      <c r="G107" t="s">
        <v>1566</v>
      </c>
      <c r="H107" t="s">
        <v>1566</v>
      </c>
      <c r="I107" t="s">
        <v>1345</v>
      </c>
      <c r="J107" t="s">
        <v>1346</v>
      </c>
      <c r="K107" t="s">
        <v>1346</v>
      </c>
      <c r="L107" t="s">
        <v>389</v>
      </c>
      <c r="M107" t="s">
        <v>1703</v>
      </c>
      <c r="P107" t="s">
        <v>365</v>
      </c>
      <c r="R107" t="s">
        <v>1140</v>
      </c>
      <c r="T107" t="s">
        <v>57</v>
      </c>
      <c r="W107" s="606">
        <v>0</v>
      </c>
      <c r="X107" s="606">
        <v>2000</v>
      </c>
      <c r="Y107" s="606"/>
      <c r="Z107" s="606"/>
      <c r="AA107" s="606">
        <v>2000</v>
      </c>
      <c r="AB107" s="606">
        <v>0</v>
      </c>
      <c r="AC107" s="606">
        <v>0</v>
      </c>
      <c r="AD107" s="606">
        <v>0</v>
      </c>
      <c r="AE107" s="606">
        <v>90.2</v>
      </c>
      <c r="AF107" s="606">
        <v>90.2</v>
      </c>
      <c r="AG107" s="606">
        <v>0</v>
      </c>
      <c r="AH107" s="606">
        <v>0</v>
      </c>
      <c r="AI107" s="606">
        <v>0</v>
      </c>
      <c r="AJ107" s="606">
        <v>0</v>
      </c>
      <c r="AK107" s="606">
        <v>0</v>
      </c>
      <c r="AL107" s="606">
        <v>0</v>
      </c>
      <c r="AM107" s="606">
        <v>2180.3999999999996</v>
      </c>
      <c r="AN107" s="606">
        <v>180.39999999999964</v>
      </c>
      <c r="AO107" s="606">
        <v>0</v>
      </c>
      <c r="AP107" s="606">
        <v>90.2</v>
      </c>
      <c r="AQ107" s="606">
        <v>180.39999999999964</v>
      </c>
      <c r="AR107" s="606"/>
      <c r="AS107" s="606">
        <v>180.39999999999964</v>
      </c>
      <c r="AT107" s="606"/>
      <c r="AU107" s="606">
        <v>2000</v>
      </c>
      <c r="AV107" s="606">
        <v>0</v>
      </c>
      <c r="AW107" s="606">
        <v>0</v>
      </c>
      <c r="AX107" s="606">
        <v>0</v>
      </c>
      <c r="AY107" s="606">
        <v>0</v>
      </c>
      <c r="AZ107" s="606">
        <v>0</v>
      </c>
      <c r="BA107" s="606">
        <v>0</v>
      </c>
      <c r="BB107" s="606">
        <v>0</v>
      </c>
      <c r="BC107" s="606">
        <v>0</v>
      </c>
      <c r="BD107" s="606">
        <v>0</v>
      </c>
      <c r="BE107" s="606">
        <v>0</v>
      </c>
      <c r="BF107" s="606">
        <v>0</v>
      </c>
      <c r="BG107" s="606">
        <v>2000</v>
      </c>
      <c r="BH107" s="606">
        <v>2000</v>
      </c>
      <c r="BI107" s="606">
        <v>0</v>
      </c>
      <c r="BJ107" s="606">
        <v>0</v>
      </c>
      <c r="BK107" s="606">
        <v>0</v>
      </c>
      <c r="BL107" s="606">
        <v>0</v>
      </c>
      <c r="BM107" s="606">
        <v>0</v>
      </c>
      <c r="BN107" s="606">
        <v>0</v>
      </c>
      <c r="BO107" s="606">
        <v>0</v>
      </c>
      <c r="BP107" s="606">
        <v>0</v>
      </c>
      <c r="BQ107" s="606">
        <v>0</v>
      </c>
      <c r="BR107" s="606">
        <v>0</v>
      </c>
      <c r="BS107" s="606">
        <v>0</v>
      </c>
      <c r="BT107" s="606">
        <v>2000</v>
      </c>
    </row>
    <row r="108" spans="1:72" hidden="1">
      <c r="A108" t="s">
        <v>2286</v>
      </c>
      <c r="B108" t="s">
        <v>2953</v>
      </c>
      <c r="C108" t="s">
        <v>675</v>
      </c>
      <c r="D108" t="s">
        <v>2287</v>
      </c>
      <c r="E108" t="s">
        <v>1136</v>
      </c>
      <c r="F108" t="s">
        <v>1566</v>
      </c>
      <c r="G108" t="s">
        <v>1135</v>
      </c>
      <c r="H108" t="s">
        <v>1135</v>
      </c>
      <c r="I108" t="s">
        <v>1135</v>
      </c>
      <c r="J108" t="s">
        <v>1137</v>
      </c>
      <c r="K108" t="s">
        <v>1137</v>
      </c>
      <c r="L108" t="s">
        <v>639</v>
      </c>
      <c r="M108" t="s">
        <v>2285</v>
      </c>
      <c r="P108" t="s">
        <v>676</v>
      </c>
      <c r="R108" t="s">
        <v>1140</v>
      </c>
      <c r="T108" t="s">
        <v>677</v>
      </c>
      <c r="U108" t="s">
        <v>1141</v>
      </c>
      <c r="W108" s="606">
        <v>10000</v>
      </c>
      <c r="X108" s="606">
        <v>12811.43</v>
      </c>
      <c r="Y108" s="606"/>
      <c r="Z108" s="606"/>
      <c r="AA108" s="606">
        <v>553.5</v>
      </c>
      <c r="AB108" s="606">
        <v>681</v>
      </c>
      <c r="AC108" s="606">
        <v>1576.93</v>
      </c>
      <c r="AD108" s="606">
        <v>227</v>
      </c>
      <c r="AE108" s="606">
        <v>496.48</v>
      </c>
      <c r="AF108" s="606">
        <v>0</v>
      </c>
      <c r="AG108" s="606">
        <v>0</v>
      </c>
      <c r="AH108" s="606">
        <v>0</v>
      </c>
      <c r="AI108" s="606">
        <v>0</v>
      </c>
      <c r="AJ108" s="606">
        <v>0</v>
      </c>
      <c r="AK108" s="606">
        <v>0</v>
      </c>
      <c r="AL108" s="606">
        <v>5000</v>
      </c>
      <c r="AM108" s="606">
        <v>8534.91</v>
      </c>
      <c r="AN108" s="606">
        <v>-4276.5200000000004</v>
      </c>
      <c r="AO108" s="606">
        <v>0</v>
      </c>
      <c r="AP108" s="606">
        <v>0</v>
      </c>
      <c r="AQ108" s="606">
        <v>-4276.5200000000004</v>
      </c>
      <c r="AR108" s="606"/>
      <c r="AS108" s="606">
        <v>-4276.5200000000004</v>
      </c>
      <c r="AT108" s="606"/>
      <c r="AU108" s="606">
        <v>553.5</v>
      </c>
      <c r="AV108" s="606">
        <v>681</v>
      </c>
      <c r="AW108" s="606">
        <v>1576.93</v>
      </c>
      <c r="AX108" s="606">
        <v>0</v>
      </c>
      <c r="AY108" s="606">
        <v>0</v>
      </c>
      <c r="AZ108" s="606">
        <v>5000</v>
      </c>
      <c r="BA108" s="606">
        <v>0</v>
      </c>
      <c r="BB108" s="606">
        <v>0</v>
      </c>
      <c r="BC108" s="606">
        <v>0</v>
      </c>
      <c r="BD108" s="606">
        <v>0</v>
      </c>
      <c r="BE108" s="606">
        <v>0</v>
      </c>
      <c r="BF108" s="606">
        <v>5000</v>
      </c>
      <c r="BG108" s="606">
        <v>12811.43</v>
      </c>
      <c r="BH108" s="606">
        <v>553.5</v>
      </c>
      <c r="BI108" s="606">
        <v>681</v>
      </c>
      <c r="BJ108" s="606">
        <v>1576.93</v>
      </c>
      <c r="BK108" s="606">
        <v>0</v>
      </c>
      <c r="BL108" s="606">
        <v>0</v>
      </c>
      <c r="BM108" s="606">
        <v>5000</v>
      </c>
      <c r="BN108" s="606">
        <v>0</v>
      </c>
      <c r="BO108" s="606">
        <v>0</v>
      </c>
      <c r="BP108" s="606">
        <v>0</v>
      </c>
      <c r="BQ108" s="606">
        <v>0</v>
      </c>
      <c r="BR108" s="606">
        <v>0</v>
      </c>
      <c r="BS108" s="606">
        <v>5000</v>
      </c>
      <c r="BT108" s="606">
        <v>12811.43</v>
      </c>
    </row>
    <row r="109" spans="1:72" hidden="1">
      <c r="A109" t="s">
        <v>2288</v>
      </c>
      <c r="B109" t="s">
        <v>2953</v>
      </c>
      <c r="C109" t="s">
        <v>675</v>
      </c>
      <c r="D109" t="s">
        <v>2289</v>
      </c>
      <c r="E109" t="s">
        <v>1136</v>
      </c>
      <c r="F109" t="s">
        <v>1566</v>
      </c>
      <c r="G109" t="s">
        <v>1135</v>
      </c>
      <c r="H109" t="s">
        <v>1145</v>
      </c>
      <c r="I109" t="s">
        <v>1135</v>
      </c>
      <c r="J109" t="s">
        <v>1145</v>
      </c>
      <c r="K109" t="s">
        <v>1137</v>
      </c>
      <c r="L109" t="s">
        <v>639</v>
      </c>
      <c r="M109" t="s">
        <v>2285</v>
      </c>
      <c r="P109" t="s">
        <v>676</v>
      </c>
      <c r="R109" t="s">
        <v>1140</v>
      </c>
      <c r="T109" t="s">
        <v>677</v>
      </c>
      <c r="W109" s="606">
        <v>550</v>
      </c>
      <c r="X109" s="606">
        <v>777</v>
      </c>
      <c r="Y109" s="606"/>
      <c r="Z109" s="606"/>
      <c r="AA109" s="606"/>
      <c r="AB109" s="606">
        <v>227</v>
      </c>
      <c r="AC109" s="606">
        <v>0</v>
      </c>
      <c r="AD109" s="606">
        <v>0</v>
      </c>
      <c r="AE109" s="606">
        <v>454</v>
      </c>
      <c r="AF109" s="606">
        <v>0</v>
      </c>
      <c r="AG109" s="606">
        <v>0</v>
      </c>
      <c r="AH109" s="606">
        <v>0</v>
      </c>
      <c r="AI109" s="606">
        <v>0</v>
      </c>
      <c r="AJ109" s="606">
        <v>0</v>
      </c>
      <c r="AK109" s="606">
        <v>0</v>
      </c>
      <c r="AL109" s="606">
        <v>0</v>
      </c>
      <c r="AM109" s="606">
        <v>681</v>
      </c>
      <c r="AN109" s="606">
        <v>-96</v>
      </c>
      <c r="AO109" s="606">
        <v>0</v>
      </c>
      <c r="AP109" s="606">
        <v>0</v>
      </c>
      <c r="AQ109" s="606">
        <v>-96</v>
      </c>
      <c r="AR109" s="606"/>
      <c r="AS109" s="606">
        <v>-96</v>
      </c>
      <c r="AT109" s="606"/>
      <c r="AU109" s="606"/>
      <c r="AV109" s="606">
        <v>227</v>
      </c>
      <c r="AW109" s="606">
        <v>0</v>
      </c>
      <c r="AX109" s="606">
        <v>550</v>
      </c>
      <c r="AY109" s="606">
        <v>0</v>
      </c>
      <c r="AZ109" s="606">
        <v>0</v>
      </c>
      <c r="BA109" s="606">
        <v>0</v>
      </c>
      <c r="BB109" s="606">
        <v>0</v>
      </c>
      <c r="BC109" s="606">
        <v>0</v>
      </c>
      <c r="BD109" s="606">
        <v>0</v>
      </c>
      <c r="BE109" s="606">
        <v>0</v>
      </c>
      <c r="BF109" s="606">
        <v>0</v>
      </c>
      <c r="BG109" s="606">
        <v>777</v>
      </c>
      <c r="BH109" s="606"/>
      <c r="BI109" s="606">
        <v>227</v>
      </c>
      <c r="BJ109" s="606">
        <v>0</v>
      </c>
      <c r="BK109" s="606">
        <v>550</v>
      </c>
      <c r="BL109" s="606">
        <v>0</v>
      </c>
      <c r="BM109" s="606">
        <v>0</v>
      </c>
      <c r="BN109" s="606">
        <v>0</v>
      </c>
      <c r="BO109" s="606">
        <v>0</v>
      </c>
      <c r="BP109" s="606">
        <v>0</v>
      </c>
      <c r="BQ109" s="606">
        <v>0</v>
      </c>
      <c r="BR109" s="606">
        <v>0</v>
      </c>
      <c r="BS109" s="606">
        <v>0</v>
      </c>
      <c r="BT109" s="606">
        <v>777</v>
      </c>
    </row>
    <row r="110" spans="1:72" hidden="1">
      <c r="A110" t="s">
        <v>2784</v>
      </c>
      <c r="B110" t="s">
        <v>2953</v>
      </c>
      <c r="C110" t="s">
        <v>1003</v>
      </c>
      <c r="D110" t="s">
        <v>2785</v>
      </c>
      <c r="E110" t="s">
        <v>1136</v>
      </c>
      <c r="F110" t="s">
        <v>1566</v>
      </c>
      <c r="G110" t="s">
        <v>1566</v>
      </c>
      <c r="H110" t="s">
        <v>1566</v>
      </c>
      <c r="I110" t="s">
        <v>1345</v>
      </c>
      <c r="J110" t="s">
        <v>1346</v>
      </c>
      <c r="K110" t="s">
        <v>1346</v>
      </c>
      <c r="L110" t="s">
        <v>639</v>
      </c>
      <c r="M110" t="s">
        <v>2285</v>
      </c>
      <c r="P110" t="s">
        <v>676</v>
      </c>
      <c r="R110" t="s">
        <v>1140</v>
      </c>
      <c r="T110" t="s">
        <v>677</v>
      </c>
      <c r="W110" s="606">
        <v>6000</v>
      </c>
      <c r="X110" s="606">
        <v>13404.42</v>
      </c>
      <c r="Y110" s="606"/>
      <c r="Z110" s="606"/>
      <c r="AA110" s="606">
        <v>542.75</v>
      </c>
      <c r="AB110" s="606">
        <v>6823.51</v>
      </c>
      <c r="AC110" s="606">
        <v>1538.16</v>
      </c>
      <c r="AD110" s="606">
        <v>1141.3400000000001</v>
      </c>
      <c r="AE110" s="606">
        <v>2127.96</v>
      </c>
      <c r="AF110" s="606">
        <v>672.49</v>
      </c>
      <c r="AG110" s="606">
        <v>500</v>
      </c>
      <c r="AH110" s="606">
        <v>500</v>
      </c>
      <c r="AI110" s="606">
        <v>500</v>
      </c>
      <c r="AJ110" s="606">
        <v>500</v>
      </c>
      <c r="AK110" s="606">
        <v>500</v>
      </c>
      <c r="AL110" s="606">
        <v>500</v>
      </c>
      <c r="AM110" s="606">
        <v>15846.210000000001</v>
      </c>
      <c r="AN110" s="606">
        <v>2441.7900000000009</v>
      </c>
      <c r="AO110" s="606">
        <v>500</v>
      </c>
      <c r="AP110" s="606">
        <v>172.49</v>
      </c>
      <c r="AQ110" s="606">
        <v>2441.7900000000009</v>
      </c>
      <c r="AR110" s="606"/>
      <c r="AS110" s="606">
        <v>2441.7900000000009</v>
      </c>
      <c r="AT110" s="606"/>
      <c r="AU110" s="606">
        <v>542.75</v>
      </c>
      <c r="AV110" s="606">
        <v>6823.51</v>
      </c>
      <c r="AW110" s="606">
        <v>1538.16</v>
      </c>
      <c r="AX110" s="606">
        <v>500</v>
      </c>
      <c r="AY110" s="606">
        <v>500</v>
      </c>
      <c r="AZ110" s="606">
        <v>500</v>
      </c>
      <c r="BA110" s="606">
        <v>500</v>
      </c>
      <c r="BB110" s="606">
        <v>500</v>
      </c>
      <c r="BC110" s="606">
        <v>500</v>
      </c>
      <c r="BD110" s="606">
        <v>500</v>
      </c>
      <c r="BE110" s="606">
        <v>500</v>
      </c>
      <c r="BF110" s="606">
        <v>500</v>
      </c>
      <c r="BG110" s="606">
        <v>13404.42</v>
      </c>
      <c r="BH110" s="606">
        <v>542.75</v>
      </c>
      <c r="BI110" s="606">
        <v>6823.51</v>
      </c>
      <c r="BJ110" s="606">
        <v>1538.16</v>
      </c>
      <c r="BK110" s="606">
        <v>500</v>
      </c>
      <c r="BL110" s="606">
        <v>500</v>
      </c>
      <c r="BM110" s="606">
        <v>500</v>
      </c>
      <c r="BN110" s="606">
        <v>500</v>
      </c>
      <c r="BO110" s="606">
        <v>500</v>
      </c>
      <c r="BP110" s="606">
        <v>500</v>
      </c>
      <c r="BQ110" s="606">
        <v>500</v>
      </c>
      <c r="BR110" s="606">
        <v>500</v>
      </c>
      <c r="BS110" s="606">
        <v>500</v>
      </c>
      <c r="BT110" s="606">
        <v>13404.42</v>
      </c>
    </row>
    <row r="111" spans="1:72" hidden="1">
      <c r="A111" t="s">
        <v>1903</v>
      </c>
      <c r="B111" t="s">
        <v>2953</v>
      </c>
      <c r="C111" t="s">
        <v>465</v>
      </c>
      <c r="D111" t="s">
        <v>1904</v>
      </c>
      <c r="E111" t="s">
        <v>1136</v>
      </c>
      <c r="F111" t="s">
        <v>1566</v>
      </c>
      <c r="G111" t="s">
        <v>1135</v>
      </c>
      <c r="H111" t="s">
        <v>1135</v>
      </c>
      <c r="I111" t="s">
        <v>1135</v>
      </c>
      <c r="J111" t="s">
        <v>1137</v>
      </c>
      <c r="K111" t="s">
        <v>1137</v>
      </c>
      <c r="L111" t="s">
        <v>389</v>
      </c>
      <c r="M111" t="s">
        <v>1855</v>
      </c>
      <c r="P111" t="s">
        <v>466</v>
      </c>
      <c r="R111" t="s">
        <v>1140</v>
      </c>
      <c r="T111" t="s">
        <v>57</v>
      </c>
      <c r="U111" t="s">
        <v>1141</v>
      </c>
      <c r="W111" s="606">
        <v>0</v>
      </c>
      <c r="X111" s="606">
        <v>12459.34</v>
      </c>
      <c r="Y111" s="606"/>
      <c r="Z111" s="606"/>
      <c r="AA111" s="606">
        <v>3067.29</v>
      </c>
      <c r="AB111" s="606">
        <v>2981.39</v>
      </c>
      <c r="AC111" s="606">
        <v>1910.66</v>
      </c>
      <c r="AD111" s="606">
        <v>1410.86</v>
      </c>
      <c r="AE111" s="606">
        <v>2830.8900000000003</v>
      </c>
      <c r="AF111" s="606">
        <v>2863</v>
      </c>
      <c r="AG111" s="606">
        <v>500</v>
      </c>
      <c r="AH111" s="606">
        <v>500</v>
      </c>
      <c r="AI111" s="606">
        <v>500</v>
      </c>
      <c r="AJ111" s="606">
        <v>500</v>
      </c>
      <c r="AK111" s="606">
        <v>500</v>
      </c>
      <c r="AL111" s="606">
        <v>500</v>
      </c>
      <c r="AM111" s="606">
        <v>18064.09</v>
      </c>
      <c r="AN111" s="606">
        <v>5604.75</v>
      </c>
      <c r="AO111" s="606">
        <v>500</v>
      </c>
      <c r="AP111" s="606">
        <v>2363</v>
      </c>
      <c r="AQ111" s="606">
        <v>5604.75</v>
      </c>
      <c r="AR111" s="606"/>
      <c r="AS111" s="606">
        <v>5604.75</v>
      </c>
      <c r="AT111" s="606"/>
      <c r="AU111" s="606">
        <v>3067.29</v>
      </c>
      <c r="AV111" s="606">
        <v>2981.39</v>
      </c>
      <c r="AW111" s="606">
        <v>1910.66</v>
      </c>
      <c r="AX111" s="606">
        <v>500</v>
      </c>
      <c r="AY111" s="606">
        <v>500</v>
      </c>
      <c r="AZ111" s="606">
        <v>500</v>
      </c>
      <c r="BA111" s="606">
        <v>500</v>
      </c>
      <c r="BB111" s="606">
        <v>500</v>
      </c>
      <c r="BC111" s="606">
        <v>500</v>
      </c>
      <c r="BD111" s="606">
        <v>500</v>
      </c>
      <c r="BE111" s="606">
        <v>500</v>
      </c>
      <c r="BF111" s="606">
        <v>500</v>
      </c>
      <c r="BG111" s="606">
        <v>12459.34</v>
      </c>
      <c r="BH111" s="606">
        <v>3067.29</v>
      </c>
      <c r="BI111" s="606">
        <v>2981.39</v>
      </c>
      <c r="BJ111" s="606">
        <v>1910.66</v>
      </c>
      <c r="BK111" s="606">
        <v>500</v>
      </c>
      <c r="BL111" s="606">
        <v>500</v>
      </c>
      <c r="BM111" s="606">
        <v>500</v>
      </c>
      <c r="BN111" s="606">
        <v>500</v>
      </c>
      <c r="BO111" s="606">
        <v>500</v>
      </c>
      <c r="BP111" s="606">
        <v>500</v>
      </c>
      <c r="BQ111" s="606">
        <v>500</v>
      </c>
      <c r="BR111" s="606">
        <v>500</v>
      </c>
      <c r="BS111" s="606">
        <v>500</v>
      </c>
      <c r="BT111" s="606">
        <v>12459.34</v>
      </c>
    </row>
    <row r="112" spans="1:72" hidden="1">
      <c r="A112" t="s">
        <v>1906</v>
      </c>
      <c r="B112" t="s">
        <v>2953</v>
      </c>
      <c r="C112" t="s">
        <v>465</v>
      </c>
      <c r="D112" t="s">
        <v>1907</v>
      </c>
      <c r="E112" t="s">
        <v>1136</v>
      </c>
      <c r="F112" t="s">
        <v>1566</v>
      </c>
      <c r="G112" t="s">
        <v>1135</v>
      </c>
      <c r="H112" t="s">
        <v>1145</v>
      </c>
      <c r="I112" t="s">
        <v>1135</v>
      </c>
      <c r="J112" t="s">
        <v>1145</v>
      </c>
      <c r="K112" t="s">
        <v>1137</v>
      </c>
      <c r="L112" t="s">
        <v>389</v>
      </c>
      <c r="M112" t="s">
        <v>1855</v>
      </c>
      <c r="P112" t="s">
        <v>466</v>
      </c>
      <c r="R112" t="s">
        <v>1140</v>
      </c>
      <c r="T112" t="s">
        <v>57</v>
      </c>
      <c r="W112" s="606">
        <v>42000</v>
      </c>
      <c r="X112" s="606">
        <v>31512</v>
      </c>
      <c r="Y112" s="606"/>
      <c r="Z112" s="606"/>
      <c r="AA112" s="606">
        <v>3202</v>
      </c>
      <c r="AB112" s="606">
        <v>2807</v>
      </c>
      <c r="AC112" s="606">
        <v>240</v>
      </c>
      <c r="AD112" s="606">
        <v>2458</v>
      </c>
      <c r="AE112" s="606">
        <v>2458</v>
      </c>
      <c r="AF112" s="606">
        <v>2786</v>
      </c>
      <c r="AG112" s="606">
        <v>2458</v>
      </c>
      <c r="AH112" s="606">
        <v>2458</v>
      </c>
      <c r="AI112" s="606">
        <v>2458</v>
      </c>
      <c r="AJ112" s="606">
        <v>2458</v>
      </c>
      <c r="AK112" s="606">
        <v>2458</v>
      </c>
      <c r="AL112" s="606">
        <v>2458</v>
      </c>
      <c r="AM112" s="606">
        <v>28699</v>
      </c>
      <c r="AN112" s="606">
        <v>-2813</v>
      </c>
      <c r="AO112" s="606">
        <v>2807</v>
      </c>
      <c r="AP112" s="606">
        <v>-21</v>
      </c>
      <c r="AQ112" s="606">
        <v>-719</v>
      </c>
      <c r="AR112" s="606"/>
      <c r="AS112" s="606">
        <v>-2813</v>
      </c>
      <c r="AT112" s="606"/>
      <c r="AU112" s="606">
        <v>3202</v>
      </c>
      <c r="AV112" s="606">
        <v>2807</v>
      </c>
      <c r="AW112" s="606">
        <v>240</v>
      </c>
      <c r="AX112" s="606">
        <v>2807</v>
      </c>
      <c r="AY112" s="606">
        <v>2807</v>
      </c>
      <c r="AZ112" s="606">
        <v>2807</v>
      </c>
      <c r="BA112" s="606">
        <v>2807</v>
      </c>
      <c r="BB112" s="606">
        <v>2807</v>
      </c>
      <c r="BC112" s="606">
        <v>2807</v>
      </c>
      <c r="BD112" s="606">
        <v>2807</v>
      </c>
      <c r="BE112" s="606">
        <v>2807</v>
      </c>
      <c r="BF112" s="606">
        <v>2807</v>
      </c>
      <c r="BG112" s="606">
        <v>31512</v>
      </c>
      <c r="BH112" s="606">
        <v>3202</v>
      </c>
      <c r="BI112" s="606">
        <v>2807</v>
      </c>
      <c r="BJ112" s="606">
        <v>240</v>
      </c>
      <c r="BK112" s="606">
        <v>2807</v>
      </c>
      <c r="BL112" s="606">
        <v>2807</v>
      </c>
      <c r="BM112" s="606">
        <v>2807</v>
      </c>
      <c r="BN112" s="606">
        <v>2807</v>
      </c>
      <c r="BO112" s="606">
        <v>2807</v>
      </c>
      <c r="BP112" s="606">
        <v>2807</v>
      </c>
      <c r="BQ112" s="606">
        <v>2807</v>
      </c>
      <c r="BR112" s="606">
        <v>2807</v>
      </c>
      <c r="BS112" s="606">
        <v>2807</v>
      </c>
      <c r="BT112" s="606">
        <v>31512</v>
      </c>
    </row>
    <row r="113" spans="1:72" hidden="1">
      <c r="A113" t="s">
        <v>1908</v>
      </c>
      <c r="B113" t="s">
        <v>2953</v>
      </c>
      <c r="C113" t="s">
        <v>465</v>
      </c>
      <c r="D113" t="s">
        <v>1909</v>
      </c>
      <c r="E113" t="s">
        <v>1136</v>
      </c>
      <c r="F113" t="s">
        <v>1566</v>
      </c>
      <c r="G113" t="s">
        <v>1135</v>
      </c>
      <c r="H113" t="s">
        <v>1156</v>
      </c>
      <c r="I113" t="s">
        <v>1135</v>
      </c>
      <c r="J113" t="s">
        <v>1156</v>
      </c>
      <c r="K113" t="s">
        <v>1137</v>
      </c>
      <c r="L113" t="s">
        <v>389</v>
      </c>
      <c r="M113" t="s">
        <v>1855</v>
      </c>
      <c r="P113" t="s">
        <v>466</v>
      </c>
      <c r="R113" t="s">
        <v>1140</v>
      </c>
      <c r="T113" t="s">
        <v>57</v>
      </c>
      <c r="W113" s="606">
        <v>0</v>
      </c>
      <c r="X113" s="606">
        <v>3535</v>
      </c>
      <c r="Y113" s="606"/>
      <c r="Z113" s="606"/>
      <c r="AA113" s="606">
        <v>60</v>
      </c>
      <c r="AB113" s="606">
        <v>0</v>
      </c>
      <c r="AC113" s="606">
        <v>3475</v>
      </c>
      <c r="AD113" s="606">
        <v>0</v>
      </c>
      <c r="AE113" s="606">
        <v>0</v>
      </c>
      <c r="AF113" s="606">
        <v>0</v>
      </c>
      <c r="AG113" s="606">
        <v>0</v>
      </c>
      <c r="AH113" s="606">
        <v>0</v>
      </c>
      <c r="AI113" s="606">
        <v>0</v>
      </c>
      <c r="AJ113" s="606">
        <v>0</v>
      </c>
      <c r="AK113" s="606">
        <v>0</v>
      </c>
      <c r="AL113" s="606">
        <v>0</v>
      </c>
      <c r="AM113" s="606">
        <v>3535</v>
      </c>
      <c r="AN113" s="606">
        <v>0</v>
      </c>
      <c r="AO113" s="606">
        <v>0</v>
      </c>
      <c r="AP113" s="606">
        <v>0</v>
      </c>
      <c r="AQ113" s="606">
        <v>0</v>
      </c>
      <c r="AR113" s="606"/>
      <c r="AS113" s="606">
        <v>0</v>
      </c>
      <c r="AT113" s="606"/>
      <c r="AU113" s="606">
        <v>60</v>
      </c>
      <c r="AV113" s="606">
        <v>0</v>
      </c>
      <c r="AW113" s="606">
        <v>3475</v>
      </c>
      <c r="AX113" s="606">
        <v>0</v>
      </c>
      <c r="AY113" s="606">
        <v>0</v>
      </c>
      <c r="AZ113" s="606">
        <v>0</v>
      </c>
      <c r="BA113" s="606">
        <v>0</v>
      </c>
      <c r="BB113" s="606">
        <v>0</v>
      </c>
      <c r="BC113" s="606">
        <v>0</v>
      </c>
      <c r="BD113" s="606">
        <v>0</v>
      </c>
      <c r="BE113" s="606">
        <v>0</v>
      </c>
      <c r="BF113" s="606">
        <v>0</v>
      </c>
      <c r="BG113" s="606">
        <v>3535</v>
      </c>
      <c r="BH113" s="606">
        <v>60</v>
      </c>
      <c r="BI113" s="606">
        <v>0</v>
      </c>
      <c r="BJ113" s="606">
        <v>3475</v>
      </c>
      <c r="BK113" s="606">
        <v>0</v>
      </c>
      <c r="BL113" s="606">
        <v>0</v>
      </c>
      <c r="BM113" s="606">
        <v>0</v>
      </c>
      <c r="BN113" s="606">
        <v>0</v>
      </c>
      <c r="BO113" s="606">
        <v>0</v>
      </c>
      <c r="BP113" s="606">
        <v>0</v>
      </c>
      <c r="BQ113" s="606">
        <v>0</v>
      </c>
      <c r="BR113" s="606">
        <v>0</v>
      </c>
      <c r="BS113" s="606">
        <v>0</v>
      </c>
      <c r="BT113" s="606">
        <v>3535</v>
      </c>
    </row>
    <row r="114" spans="1:72" hidden="1">
      <c r="A114" t="s">
        <v>1910</v>
      </c>
      <c r="B114" t="s">
        <v>2953</v>
      </c>
      <c r="C114" t="s">
        <v>465</v>
      </c>
      <c r="D114" t="s">
        <v>1911</v>
      </c>
      <c r="E114" t="s">
        <v>1136</v>
      </c>
      <c r="F114" t="s">
        <v>1566</v>
      </c>
      <c r="G114" t="s">
        <v>1135</v>
      </c>
      <c r="H114" t="s">
        <v>1161</v>
      </c>
      <c r="I114" t="s">
        <v>1135</v>
      </c>
      <c r="J114" t="s">
        <v>1161</v>
      </c>
      <c r="K114" t="s">
        <v>1137</v>
      </c>
      <c r="L114" t="s">
        <v>389</v>
      </c>
      <c r="M114" t="s">
        <v>1855</v>
      </c>
      <c r="P114" t="s">
        <v>466</v>
      </c>
      <c r="R114" t="s">
        <v>1140</v>
      </c>
      <c r="T114" t="s">
        <v>57</v>
      </c>
      <c r="W114" s="606">
        <v>0</v>
      </c>
      <c r="X114" s="606">
        <v>1245</v>
      </c>
      <c r="Y114" s="606"/>
      <c r="Z114" s="606"/>
      <c r="AA114" s="606"/>
      <c r="AB114" s="606"/>
      <c r="AC114" s="606">
        <v>1245</v>
      </c>
      <c r="AD114" s="606">
        <v>0</v>
      </c>
      <c r="AE114" s="606">
        <v>0</v>
      </c>
      <c r="AF114" s="606">
        <v>0</v>
      </c>
      <c r="AG114" s="606">
        <v>0</v>
      </c>
      <c r="AH114" s="606">
        <v>0</v>
      </c>
      <c r="AI114" s="606">
        <v>0</v>
      </c>
      <c r="AJ114" s="606">
        <v>0</v>
      </c>
      <c r="AK114" s="606">
        <v>0</v>
      </c>
      <c r="AL114" s="606">
        <v>0</v>
      </c>
      <c r="AM114" s="606">
        <v>1245</v>
      </c>
      <c r="AN114" s="606">
        <v>0</v>
      </c>
      <c r="AO114" s="606">
        <v>0</v>
      </c>
      <c r="AP114" s="606">
        <v>0</v>
      </c>
      <c r="AQ114" s="606">
        <v>0</v>
      </c>
      <c r="AR114" s="606"/>
      <c r="AS114" s="606">
        <v>0</v>
      </c>
      <c r="AT114" s="606"/>
      <c r="AU114" s="606"/>
      <c r="AV114" s="606"/>
      <c r="AW114" s="606">
        <v>1245</v>
      </c>
      <c r="AX114" s="606">
        <v>0</v>
      </c>
      <c r="AY114" s="606">
        <v>0</v>
      </c>
      <c r="AZ114" s="606">
        <v>0</v>
      </c>
      <c r="BA114" s="606">
        <v>0</v>
      </c>
      <c r="BB114" s="606">
        <v>0</v>
      </c>
      <c r="BC114" s="606">
        <v>0</v>
      </c>
      <c r="BD114" s="606">
        <v>0</v>
      </c>
      <c r="BE114" s="606">
        <v>0</v>
      </c>
      <c r="BF114" s="606">
        <v>0</v>
      </c>
      <c r="BG114" s="606">
        <v>1245</v>
      </c>
      <c r="BH114" s="606"/>
      <c r="BI114" s="606"/>
      <c r="BJ114" s="606">
        <v>1245</v>
      </c>
      <c r="BK114" s="606">
        <v>0</v>
      </c>
      <c r="BL114" s="606">
        <v>0</v>
      </c>
      <c r="BM114" s="606">
        <v>0</v>
      </c>
      <c r="BN114" s="606">
        <v>0</v>
      </c>
      <c r="BO114" s="606">
        <v>0</v>
      </c>
      <c r="BP114" s="606">
        <v>0</v>
      </c>
      <c r="BQ114" s="606">
        <v>0</v>
      </c>
      <c r="BR114" s="606">
        <v>0</v>
      </c>
      <c r="BS114" s="606">
        <v>0</v>
      </c>
      <c r="BT114" s="606">
        <v>1245</v>
      </c>
    </row>
    <row r="115" spans="1:72" hidden="1">
      <c r="A115" t="s">
        <v>1912</v>
      </c>
      <c r="B115" t="s">
        <v>2953</v>
      </c>
      <c r="C115" t="s">
        <v>465</v>
      </c>
      <c r="D115" t="s">
        <v>1913</v>
      </c>
      <c r="E115" t="s">
        <v>1136</v>
      </c>
      <c r="F115" t="s">
        <v>1566</v>
      </c>
      <c r="G115" t="s">
        <v>1135</v>
      </c>
      <c r="H115" t="s">
        <v>1165</v>
      </c>
      <c r="I115" t="s">
        <v>1135</v>
      </c>
      <c r="J115" t="s">
        <v>1165</v>
      </c>
      <c r="K115" t="s">
        <v>1137</v>
      </c>
      <c r="L115" t="s">
        <v>389</v>
      </c>
      <c r="M115" t="s">
        <v>1855</v>
      </c>
      <c r="P115" t="s">
        <v>466</v>
      </c>
      <c r="R115" t="s">
        <v>1140</v>
      </c>
      <c r="T115" t="s">
        <v>57</v>
      </c>
      <c r="W115" s="606">
        <v>120000</v>
      </c>
      <c r="X115" s="606">
        <v>114396</v>
      </c>
      <c r="Y115" s="606"/>
      <c r="Z115" s="606"/>
      <c r="AA115" s="606">
        <v>8661</v>
      </c>
      <c r="AB115" s="606">
        <v>6471</v>
      </c>
      <c r="AC115" s="606">
        <v>9264</v>
      </c>
      <c r="AD115" s="606">
        <v>5219</v>
      </c>
      <c r="AE115" s="606">
        <v>5092</v>
      </c>
      <c r="AF115" s="606">
        <v>6559</v>
      </c>
      <c r="AG115" s="606">
        <v>10000</v>
      </c>
      <c r="AH115" s="606">
        <v>10000</v>
      </c>
      <c r="AI115" s="606">
        <v>10000</v>
      </c>
      <c r="AJ115" s="606">
        <v>10000</v>
      </c>
      <c r="AK115" s="606">
        <v>10000</v>
      </c>
      <c r="AL115" s="606">
        <v>10000</v>
      </c>
      <c r="AM115" s="606">
        <v>101266</v>
      </c>
      <c r="AN115" s="606">
        <v>-13130</v>
      </c>
      <c r="AO115" s="606">
        <v>10000</v>
      </c>
      <c r="AP115" s="606">
        <v>-3441</v>
      </c>
      <c r="AQ115" s="606">
        <v>-13130</v>
      </c>
      <c r="AR115" s="606"/>
      <c r="AS115" s="606">
        <v>-13130</v>
      </c>
      <c r="AT115" s="606"/>
      <c r="AU115" s="606">
        <v>8661</v>
      </c>
      <c r="AV115" s="606">
        <v>6471</v>
      </c>
      <c r="AW115" s="606">
        <v>9264</v>
      </c>
      <c r="AX115" s="606">
        <v>10000</v>
      </c>
      <c r="AY115" s="606">
        <v>10000</v>
      </c>
      <c r="AZ115" s="606">
        <v>10000</v>
      </c>
      <c r="BA115" s="606">
        <v>10000</v>
      </c>
      <c r="BB115" s="606">
        <v>10000</v>
      </c>
      <c r="BC115" s="606">
        <v>10000</v>
      </c>
      <c r="BD115" s="606">
        <v>10000</v>
      </c>
      <c r="BE115" s="606">
        <v>10000</v>
      </c>
      <c r="BF115" s="606">
        <v>10000</v>
      </c>
      <c r="BG115" s="606">
        <v>114396</v>
      </c>
      <c r="BH115" s="606">
        <v>8661</v>
      </c>
      <c r="BI115" s="606">
        <v>6471</v>
      </c>
      <c r="BJ115" s="606">
        <v>9264</v>
      </c>
      <c r="BK115" s="606">
        <v>10000</v>
      </c>
      <c r="BL115" s="606">
        <v>10000</v>
      </c>
      <c r="BM115" s="606">
        <v>10000</v>
      </c>
      <c r="BN115" s="606">
        <v>10000</v>
      </c>
      <c r="BO115" s="606">
        <v>10000</v>
      </c>
      <c r="BP115" s="606">
        <v>10000</v>
      </c>
      <c r="BQ115" s="606">
        <v>10000</v>
      </c>
      <c r="BR115" s="606">
        <v>10000</v>
      </c>
      <c r="BS115" s="606">
        <v>10000</v>
      </c>
      <c r="BT115" s="606">
        <v>114396</v>
      </c>
    </row>
    <row r="116" spans="1:72" hidden="1">
      <c r="A116" t="s">
        <v>2025</v>
      </c>
      <c r="B116" t="s">
        <v>2953</v>
      </c>
      <c r="C116" t="s">
        <v>533</v>
      </c>
      <c r="D116" t="s">
        <v>2026</v>
      </c>
      <c r="E116" t="s">
        <v>1136</v>
      </c>
      <c r="F116" t="s">
        <v>1566</v>
      </c>
      <c r="G116" t="s">
        <v>1345</v>
      </c>
      <c r="H116" t="s">
        <v>1437</v>
      </c>
      <c r="I116" t="s">
        <v>1345</v>
      </c>
      <c r="J116" t="s">
        <v>1437</v>
      </c>
      <c r="K116" t="s">
        <v>1346</v>
      </c>
      <c r="L116" t="s">
        <v>389</v>
      </c>
      <c r="M116" t="s">
        <v>1855</v>
      </c>
      <c r="P116" t="s">
        <v>466</v>
      </c>
      <c r="R116" t="s">
        <v>1140</v>
      </c>
      <c r="T116" t="s">
        <v>57</v>
      </c>
      <c r="W116" s="606">
        <v>22800</v>
      </c>
      <c r="X116" s="606">
        <v>20679</v>
      </c>
      <c r="Y116" s="606"/>
      <c r="Z116" s="606"/>
      <c r="AA116" s="606">
        <v>1636</v>
      </c>
      <c r="AB116" s="606">
        <v>1153</v>
      </c>
      <c r="AC116" s="606">
        <v>790</v>
      </c>
      <c r="AD116" s="606">
        <v>1287</v>
      </c>
      <c r="AE116" s="606">
        <v>1227</v>
      </c>
      <c r="AF116" s="606">
        <v>1227</v>
      </c>
      <c r="AG116" s="606">
        <v>1900</v>
      </c>
      <c r="AH116" s="606">
        <v>1900</v>
      </c>
      <c r="AI116" s="606">
        <v>1900</v>
      </c>
      <c r="AJ116" s="606">
        <v>1900</v>
      </c>
      <c r="AK116" s="606">
        <v>1900</v>
      </c>
      <c r="AL116" s="606">
        <v>1900</v>
      </c>
      <c r="AM116" s="606">
        <v>18720</v>
      </c>
      <c r="AN116" s="606">
        <v>-1959</v>
      </c>
      <c r="AO116" s="606">
        <v>1900</v>
      </c>
      <c r="AP116" s="606">
        <v>-673</v>
      </c>
      <c r="AQ116" s="606">
        <v>-1959</v>
      </c>
      <c r="AR116" s="606"/>
      <c r="AS116" s="606">
        <v>-1959</v>
      </c>
      <c r="AT116" s="606"/>
      <c r="AU116" s="606">
        <v>1636</v>
      </c>
      <c r="AV116" s="606">
        <v>1153</v>
      </c>
      <c r="AW116" s="606">
        <v>790</v>
      </c>
      <c r="AX116" s="606">
        <v>1900</v>
      </c>
      <c r="AY116" s="606">
        <v>1900</v>
      </c>
      <c r="AZ116" s="606">
        <v>1900</v>
      </c>
      <c r="BA116" s="606">
        <v>1900</v>
      </c>
      <c r="BB116" s="606">
        <v>1900</v>
      </c>
      <c r="BC116" s="606">
        <v>1900</v>
      </c>
      <c r="BD116" s="606">
        <v>1900</v>
      </c>
      <c r="BE116" s="606">
        <v>1900</v>
      </c>
      <c r="BF116" s="606">
        <v>1900</v>
      </c>
      <c r="BG116" s="606">
        <v>20679</v>
      </c>
      <c r="BH116" s="606">
        <v>1636</v>
      </c>
      <c r="BI116" s="606">
        <v>1153</v>
      </c>
      <c r="BJ116" s="606">
        <v>790</v>
      </c>
      <c r="BK116" s="606">
        <v>1900</v>
      </c>
      <c r="BL116" s="606">
        <v>1900</v>
      </c>
      <c r="BM116" s="606">
        <v>1900</v>
      </c>
      <c r="BN116" s="606">
        <v>1900</v>
      </c>
      <c r="BO116" s="606">
        <v>1900</v>
      </c>
      <c r="BP116" s="606">
        <v>1900</v>
      </c>
      <c r="BQ116" s="606">
        <v>1900</v>
      </c>
      <c r="BR116" s="606">
        <v>1900</v>
      </c>
      <c r="BS116" s="606">
        <v>1900</v>
      </c>
      <c r="BT116" s="606">
        <v>20679</v>
      </c>
    </row>
    <row r="117" spans="1:72" hidden="1">
      <c r="A117" t="s">
        <v>2061</v>
      </c>
      <c r="B117" t="s">
        <v>2953</v>
      </c>
      <c r="C117" t="s">
        <v>553</v>
      </c>
      <c r="D117" t="s">
        <v>2062</v>
      </c>
      <c r="E117" t="s">
        <v>1136</v>
      </c>
      <c r="F117" t="s">
        <v>1566</v>
      </c>
      <c r="G117" t="s">
        <v>1480</v>
      </c>
      <c r="H117" t="s">
        <v>1481</v>
      </c>
      <c r="I117" t="s">
        <v>1345</v>
      </c>
      <c r="J117" t="s">
        <v>1481</v>
      </c>
      <c r="K117" t="s">
        <v>1346</v>
      </c>
      <c r="L117" t="s">
        <v>389</v>
      </c>
      <c r="M117" t="s">
        <v>1855</v>
      </c>
      <c r="P117" t="s">
        <v>466</v>
      </c>
      <c r="R117" t="s">
        <v>1140</v>
      </c>
      <c r="T117" t="s">
        <v>57</v>
      </c>
      <c r="U117" t="s">
        <v>1513</v>
      </c>
      <c r="W117" s="606">
        <v>18852</v>
      </c>
      <c r="X117" s="606">
        <v>18092</v>
      </c>
      <c r="Y117" s="606"/>
      <c r="Z117" s="606"/>
      <c r="AA117" s="606">
        <v>1206</v>
      </c>
      <c r="AB117" s="606">
        <v>1139</v>
      </c>
      <c r="AC117" s="606">
        <v>1608</v>
      </c>
      <c r="AD117" s="606">
        <v>1206</v>
      </c>
      <c r="AE117" s="606">
        <v>1206</v>
      </c>
      <c r="AF117" s="606">
        <v>1206</v>
      </c>
      <c r="AG117" s="606">
        <v>1571</v>
      </c>
      <c r="AH117" s="606">
        <v>1571</v>
      </c>
      <c r="AI117" s="606">
        <v>1571</v>
      </c>
      <c r="AJ117" s="606">
        <v>1571</v>
      </c>
      <c r="AK117" s="606">
        <v>1571</v>
      </c>
      <c r="AL117" s="606">
        <v>1571</v>
      </c>
      <c r="AM117" s="606">
        <v>16997</v>
      </c>
      <c r="AN117" s="606">
        <v>-1095</v>
      </c>
      <c r="AO117" s="606">
        <v>1571</v>
      </c>
      <c r="AP117" s="606">
        <v>-365</v>
      </c>
      <c r="AQ117" s="606">
        <v>-1095</v>
      </c>
      <c r="AR117" s="606"/>
      <c r="AS117" s="606">
        <v>-1095</v>
      </c>
      <c r="AT117" s="606"/>
      <c r="AU117" s="606">
        <v>1206</v>
      </c>
      <c r="AV117" s="606">
        <v>1139</v>
      </c>
      <c r="AW117" s="606">
        <v>1608</v>
      </c>
      <c r="AX117" s="606">
        <v>1571</v>
      </c>
      <c r="AY117" s="606">
        <v>1571</v>
      </c>
      <c r="AZ117" s="606">
        <v>1571</v>
      </c>
      <c r="BA117" s="606">
        <v>1571</v>
      </c>
      <c r="BB117" s="606">
        <v>1571</v>
      </c>
      <c r="BC117" s="606">
        <v>1571</v>
      </c>
      <c r="BD117" s="606">
        <v>1571</v>
      </c>
      <c r="BE117" s="606">
        <v>1571</v>
      </c>
      <c r="BF117" s="606">
        <v>1571</v>
      </c>
      <c r="BG117" s="606">
        <v>18092</v>
      </c>
      <c r="BH117" s="606">
        <v>1206</v>
      </c>
      <c r="BI117" s="606">
        <v>1139</v>
      </c>
      <c r="BJ117" s="606">
        <v>1608</v>
      </c>
      <c r="BK117" s="606">
        <v>1571</v>
      </c>
      <c r="BL117" s="606">
        <v>1571</v>
      </c>
      <c r="BM117" s="606">
        <v>1571</v>
      </c>
      <c r="BN117" s="606">
        <v>1571</v>
      </c>
      <c r="BO117" s="606">
        <v>1571</v>
      </c>
      <c r="BP117" s="606">
        <v>1571</v>
      </c>
      <c r="BQ117" s="606">
        <v>1571</v>
      </c>
      <c r="BR117" s="606">
        <v>1571</v>
      </c>
      <c r="BS117" s="606">
        <v>1571</v>
      </c>
      <c r="BT117" s="606">
        <v>18092</v>
      </c>
    </row>
    <row r="118" spans="1:72" hidden="1">
      <c r="A118" t="s">
        <v>2117</v>
      </c>
      <c r="B118" t="s">
        <v>2953</v>
      </c>
      <c r="C118" t="s">
        <v>581</v>
      </c>
      <c r="D118" t="s">
        <v>2118</v>
      </c>
      <c r="E118" t="s">
        <v>1136</v>
      </c>
      <c r="F118" t="s">
        <v>1566</v>
      </c>
      <c r="G118" t="s">
        <v>1566</v>
      </c>
      <c r="H118" t="s">
        <v>1566</v>
      </c>
      <c r="I118" t="s">
        <v>1345</v>
      </c>
      <c r="J118" t="s">
        <v>1346</v>
      </c>
      <c r="K118" t="s">
        <v>1346</v>
      </c>
      <c r="L118" t="s">
        <v>389</v>
      </c>
      <c r="M118" t="s">
        <v>1855</v>
      </c>
      <c r="P118" t="s">
        <v>466</v>
      </c>
      <c r="R118" t="s">
        <v>1140</v>
      </c>
      <c r="T118" t="s">
        <v>57</v>
      </c>
      <c r="W118" s="606">
        <v>60000</v>
      </c>
      <c r="X118" s="606">
        <v>76216.11</v>
      </c>
      <c r="Y118" s="606"/>
      <c r="Z118" s="606"/>
      <c r="AA118" s="606">
        <v>14407.17</v>
      </c>
      <c r="AB118" s="606">
        <v>13803.08</v>
      </c>
      <c r="AC118" s="606">
        <v>3005.86</v>
      </c>
      <c r="AD118" s="606">
        <v>15296.21</v>
      </c>
      <c r="AE118" s="606">
        <v>17035.269999999997</v>
      </c>
      <c r="AF118" s="606">
        <v>17290.900000000001</v>
      </c>
      <c r="AG118" s="606">
        <v>5000</v>
      </c>
      <c r="AH118" s="606">
        <v>5000</v>
      </c>
      <c r="AI118" s="606">
        <v>5000</v>
      </c>
      <c r="AJ118" s="606">
        <v>5000</v>
      </c>
      <c r="AK118" s="606">
        <v>5000</v>
      </c>
      <c r="AL118" s="606">
        <v>5000</v>
      </c>
      <c r="AM118" s="606">
        <v>110838.48999999999</v>
      </c>
      <c r="AN118" s="606">
        <v>34622.37999999999</v>
      </c>
      <c r="AO118" s="606">
        <v>5000</v>
      </c>
      <c r="AP118" s="606">
        <v>12290.900000000001</v>
      </c>
      <c r="AQ118" s="606">
        <v>34622.37999999999</v>
      </c>
      <c r="AR118" s="606"/>
      <c r="AS118" s="606">
        <v>34622.37999999999</v>
      </c>
      <c r="AT118" s="606"/>
      <c r="AU118" s="606">
        <v>14407.17</v>
      </c>
      <c r="AV118" s="606">
        <v>13803.08</v>
      </c>
      <c r="AW118" s="606">
        <v>3005.86</v>
      </c>
      <c r="AX118" s="606">
        <v>5000</v>
      </c>
      <c r="AY118" s="606">
        <v>5000</v>
      </c>
      <c r="AZ118" s="606">
        <v>5000</v>
      </c>
      <c r="BA118" s="606">
        <v>5000</v>
      </c>
      <c r="BB118" s="606">
        <v>5000</v>
      </c>
      <c r="BC118" s="606">
        <v>5000</v>
      </c>
      <c r="BD118" s="606">
        <v>5000</v>
      </c>
      <c r="BE118" s="606">
        <v>5000</v>
      </c>
      <c r="BF118" s="606">
        <v>5000</v>
      </c>
      <c r="BG118" s="606">
        <v>76216.11</v>
      </c>
      <c r="BH118" s="606">
        <v>14407.17</v>
      </c>
      <c r="BI118" s="606">
        <v>13803.08</v>
      </c>
      <c r="BJ118" s="606">
        <v>3005.86</v>
      </c>
      <c r="BK118" s="606">
        <v>5000</v>
      </c>
      <c r="BL118" s="606">
        <v>5000</v>
      </c>
      <c r="BM118" s="606">
        <v>5000</v>
      </c>
      <c r="BN118" s="606">
        <v>5000</v>
      </c>
      <c r="BO118" s="606">
        <v>5000</v>
      </c>
      <c r="BP118" s="606">
        <v>5000</v>
      </c>
      <c r="BQ118" s="606">
        <v>5000</v>
      </c>
      <c r="BR118" s="606">
        <v>5000</v>
      </c>
      <c r="BS118" s="606">
        <v>5000</v>
      </c>
      <c r="BT118" s="606">
        <v>76216.11</v>
      </c>
    </row>
    <row r="119" spans="1:72" hidden="1">
      <c r="A119" t="s">
        <v>2292</v>
      </c>
      <c r="B119" t="s">
        <v>2953</v>
      </c>
      <c r="C119" t="s">
        <v>678</v>
      </c>
      <c r="D119" t="s">
        <v>2293</v>
      </c>
      <c r="E119" t="s">
        <v>1136</v>
      </c>
      <c r="F119" t="s">
        <v>1566</v>
      </c>
      <c r="G119" t="s">
        <v>1135</v>
      </c>
      <c r="H119" t="s">
        <v>1135</v>
      </c>
      <c r="I119" t="s">
        <v>1135</v>
      </c>
      <c r="J119" t="s">
        <v>1137</v>
      </c>
      <c r="K119" t="s">
        <v>1137</v>
      </c>
      <c r="L119" t="s">
        <v>639</v>
      </c>
      <c r="M119" t="s">
        <v>2291</v>
      </c>
      <c r="P119" t="s">
        <v>679</v>
      </c>
      <c r="Q119" t="s">
        <v>1153</v>
      </c>
      <c r="R119" t="s">
        <v>1140</v>
      </c>
      <c r="T119" t="s">
        <v>680</v>
      </c>
      <c r="U119" t="s">
        <v>1141</v>
      </c>
      <c r="W119" s="606">
        <v>12000</v>
      </c>
      <c r="X119" s="606">
        <v>13503.74</v>
      </c>
      <c r="Y119" s="606"/>
      <c r="Z119" s="606"/>
      <c r="AA119" s="606">
        <v>3614.02</v>
      </c>
      <c r="AB119" s="606">
        <v>0</v>
      </c>
      <c r="AC119" s="606">
        <v>889.72</v>
      </c>
      <c r="AD119" s="606">
        <v>917.6</v>
      </c>
      <c r="AE119" s="606">
        <v>3154.91</v>
      </c>
      <c r="AF119" s="606">
        <v>4127.83</v>
      </c>
      <c r="AG119" s="606">
        <v>1000</v>
      </c>
      <c r="AH119" s="606">
        <v>1000</v>
      </c>
      <c r="AI119" s="606">
        <v>1000</v>
      </c>
      <c r="AJ119" s="606">
        <v>1000</v>
      </c>
      <c r="AK119" s="606">
        <v>1000</v>
      </c>
      <c r="AL119" s="606">
        <v>1000</v>
      </c>
      <c r="AM119" s="606">
        <v>18704.080000000002</v>
      </c>
      <c r="AN119" s="606">
        <v>5200.340000000002</v>
      </c>
      <c r="AO119" s="606">
        <v>1000</v>
      </c>
      <c r="AP119" s="606">
        <v>3127.83</v>
      </c>
      <c r="AQ119" s="606">
        <v>5200.34</v>
      </c>
      <c r="AR119" s="606"/>
      <c r="AS119" s="606">
        <v>5200.340000000002</v>
      </c>
      <c r="AT119" s="606"/>
      <c r="AU119" s="606">
        <v>3614.02</v>
      </c>
      <c r="AV119" s="606">
        <v>0</v>
      </c>
      <c r="AW119" s="606">
        <v>889.72</v>
      </c>
      <c r="AX119" s="606">
        <v>1000</v>
      </c>
      <c r="AY119" s="606">
        <v>1000</v>
      </c>
      <c r="AZ119" s="606">
        <v>1000</v>
      </c>
      <c r="BA119" s="606">
        <v>1000</v>
      </c>
      <c r="BB119" s="606">
        <v>1000</v>
      </c>
      <c r="BC119" s="606">
        <v>1000</v>
      </c>
      <c r="BD119" s="606">
        <v>1000</v>
      </c>
      <c r="BE119" s="606">
        <v>1000</v>
      </c>
      <c r="BF119" s="606">
        <v>1000</v>
      </c>
      <c r="BG119" s="606">
        <v>13503.74</v>
      </c>
      <c r="BH119" s="606">
        <v>3614.02</v>
      </c>
      <c r="BI119" s="606">
        <v>0</v>
      </c>
      <c r="BJ119" s="606">
        <v>889.72</v>
      </c>
      <c r="BK119" s="606">
        <v>1000</v>
      </c>
      <c r="BL119" s="606">
        <v>1000</v>
      </c>
      <c r="BM119" s="606">
        <v>1000</v>
      </c>
      <c r="BN119" s="606">
        <v>1000</v>
      </c>
      <c r="BO119" s="606">
        <v>1000</v>
      </c>
      <c r="BP119" s="606">
        <v>1000</v>
      </c>
      <c r="BQ119" s="606">
        <v>1000</v>
      </c>
      <c r="BR119" s="606">
        <v>1000</v>
      </c>
      <c r="BS119" s="606">
        <v>1000</v>
      </c>
      <c r="BT119" s="606">
        <v>13503.74</v>
      </c>
    </row>
    <row r="120" spans="1:72" hidden="1">
      <c r="A120" t="s">
        <v>2294</v>
      </c>
      <c r="B120" t="s">
        <v>2953</v>
      </c>
      <c r="C120" t="s">
        <v>678</v>
      </c>
      <c r="D120" t="s">
        <v>2295</v>
      </c>
      <c r="E120" t="s">
        <v>1136</v>
      </c>
      <c r="F120" t="s">
        <v>1566</v>
      </c>
      <c r="G120" t="s">
        <v>1135</v>
      </c>
      <c r="H120" t="s">
        <v>1145</v>
      </c>
      <c r="I120" t="s">
        <v>1135</v>
      </c>
      <c r="J120" t="s">
        <v>1145</v>
      </c>
      <c r="K120" t="s">
        <v>1137</v>
      </c>
      <c r="L120" t="s">
        <v>639</v>
      </c>
      <c r="M120" t="s">
        <v>2291</v>
      </c>
      <c r="P120" t="s">
        <v>679</v>
      </c>
      <c r="Q120" t="s">
        <v>1153</v>
      </c>
      <c r="R120" t="s">
        <v>1140</v>
      </c>
      <c r="T120" t="s">
        <v>680</v>
      </c>
      <c r="W120" s="606">
        <v>370</v>
      </c>
      <c r="X120" s="606">
        <v>370</v>
      </c>
      <c r="Y120" s="606"/>
      <c r="Z120" s="606"/>
      <c r="AA120" s="606"/>
      <c r="AB120" s="606"/>
      <c r="AC120" s="606"/>
      <c r="AD120" s="606" t="s">
        <v>1142</v>
      </c>
      <c r="AE120" s="606">
        <v>0</v>
      </c>
      <c r="AF120" s="606">
        <v>0</v>
      </c>
      <c r="AG120" s="606">
        <v>0</v>
      </c>
      <c r="AH120" s="606">
        <v>0</v>
      </c>
      <c r="AI120" s="606">
        <v>0</v>
      </c>
      <c r="AJ120" s="606">
        <v>0</v>
      </c>
      <c r="AK120" s="606">
        <v>0</v>
      </c>
      <c r="AL120" s="606">
        <v>0</v>
      </c>
      <c r="AM120" s="606">
        <v>0</v>
      </c>
      <c r="AN120" s="606">
        <v>-370</v>
      </c>
      <c r="AO120" s="606">
        <v>0</v>
      </c>
      <c r="AP120" s="606">
        <v>0</v>
      </c>
      <c r="AQ120" s="606">
        <v>-370</v>
      </c>
      <c r="AR120" s="606"/>
      <c r="AS120" s="606">
        <v>-370</v>
      </c>
      <c r="AT120" s="606"/>
      <c r="AU120" s="606"/>
      <c r="AV120" s="606"/>
      <c r="AW120" s="606"/>
      <c r="AX120" s="606">
        <v>370</v>
      </c>
      <c r="AY120" s="606">
        <v>0</v>
      </c>
      <c r="AZ120" s="606">
        <v>0</v>
      </c>
      <c r="BA120" s="606">
        <v>0</v>
      </c>
      <c r="BB120" s="606">
        <v>0</v>
      </c>
      <c r="BC120" s="606">
        <v>0</v>
      </c>
      <c r="BD120" s="606">
        <v>0</v>
      </c>
      <c r="BE120" s="606">
        <v>0</v>
      </c>
      <c r="BF120" s="606">
        <v>0</v>
      </c>
      <c r="BG120" s="606">
        <v>370</v>
      </c>
      <c r="BH120" s="606"/>
      <c r="BI120" s="606"/>
      <c r="BJ120" s="606"/>
      <c r="BK120" s="606">
        <v>370</v>
      </c>
      <c r="BL120" s="606">
        <v>0</v>
      </c>
      <c r="BM120" s="606">
        <v>0</v>
      </c>
      <c r="BN120" s="606">
        <v>0</v>
      </c>
      <c r="BO120" s="606">
        <v>0</v>
      </c>
      <c r="BP120" s="606">
        <v>0</v>
      </c>
      <c r="BQ120" s="606">
        <v>0</v>
      </c>
      <c r="BR120" s="606">
        <v>0</v>
      </c>
      <c r="BS120" s="606">
        <v>0</v>
      </c>
      <c r="BT120" s="606">
        <v>370</v>
      </c>
    </row>
    <row r="121" spans="1:72" hidden="1">
      <c r="A121" t="s">
        <v>2296</v>
      </c>
      <c r="B121" t="s">
        <v>2953</v>
      </c>
      <c r="C121" t="s">
        <v>678</v>
      </c>
      <c r="D121" t="s">
        <v>2297</v>
      </c>
      <c r="E121" t="s">
        <v>1136</v>
      </c>
      <c r="F121" t="s">
        <v>1566</v>
      </c>
      <c r="G121" t="s">
        <v>1135</v>
      </c>
      <c r="H121" t="s">
        <v>1165</v>
      </c>
      <c r="I121" t="s">
        <v>1135</v>
      </c>
      <c r="J121" t="s">
        <v>1165</v>
      </c>
      <c r="K121" t="s">
        <v>1137</v>
      </c>
      <c r="L121" t="s">
        <v>639</v>
      </c>
      <c r="M121" t="s">
        <v>2291</v>
      </c>
      <c r="P121" t="s">
        <v>679</v>
      </c>
      <c r="Q121" t="s">
        <v>1153</v>
      </c>
      <c r="R121" t="s">
        <v>1140</v>
      </c>
      <c r="T121" t="s">
        <v>680</v>
      </c>
      <c r="W121" s="606">
        <v>0</v>
      </c>
      <c r="X121" s="606">
        <v>1293</v>
      </c>
      <c r="Y121" s="606"/>
      <c r="Z121" s="606"/>
      <c r="AA121" s="606"/>
      <c r="AB121" s="606">
        <v>1293</v>
      </c>
      <c r="AC121" s="606">
        <v>0</v>
      </c>
      <c r="AD121" s="606">
        <v>0</v>
      </c>
      <c r="AE121" s="606">
        <v>0</v>
      </c>
      <c r="AF121" s="606">
        <v>431</v>
      </c>
      <c r="AG121" s="606">
        <v>0</v>
      </c>
      <c r="AH121" s="606">
        <v>0</v>
      </c>
      <c r="AI121" s="606">
        <v>0</v>
      </c>
      <c r="AJ121" s="606">
        <v>0</v>
      </c>
      <c r="AK121" s="606">
        <v>0</v>
      </c>
      <c r="AL121" s="606">
        <v>0</v>
      </c>
      <c r="AM121" s="606">
        <v>1724</v>
      </c>
      <c r="AN121" s="606">
        <v>431</v>
      </c>
      <c r="AO121" s="606">
        <v>0</v>
      </c>
      <c r="AP121" s="606">
        <v>431</v>
      </c>
      <c r="AQ121" s="606">
        <v>431</v>
      </c>
      <c r="AR121" s="606"/>
      <c r="AS121" s="606">
        <v>431</v>
      </c>
      <c r="AT121" s="606"/>
      <c r="AU121" s="606"/>
      <c r="AV121" s="606">
        <v>1293</v>
      </c>
      <c r="AW121" s="606">
        <v>0</v>
      </c>
      <c r="AX121" s="606">
        <v>0</v>
      </c>
      <c r="AY121" s="606">
        <v>0</v>
      </c>
      <c r="AZ121" s="606">
        <v>0</v>
      </c>
      <c r="BA121" s="606">
        <v>0</v>
      </c>
      <c r="BB121" s="606">
        <v>0</v>
      </c>
      <c r="BC121" s="606">
        <v>0</v>
      </c>
      <c r="BD121" s="606">
        <v>0</v>
      </c>
      <c r="BE121" s="606">
        <v>0</v>
      </c>
      <c r="BF121" s="606">
        <v>0</v>
      </c>
      <c r="BG121" s="606">
        <v>1293</v>
      </c>
      <c r="BH121" s="606"/>
      <c r="BI121" s="606">
        <v>1293</v>
      </c>
      <c r="BJ121" s="606">
        <v>0</v>
      </c>
      <c r="BK121" s="606">
        <v>0</v>
      </c>
      <c r="BL121" s="606">
        <v>0</v>
      </c>
      <c r="BM121" s="606">
        <v>0</v>
      </c>
      <c r="BN121" s="606">
        <v>0</v>
      </c>
      <c r="BO121" s="606">
        <v>0</v>
      </c>
      <c r="BP121" s="606">
        <v>0</v>
      </c>
      <c r="BQ121" s="606">
        <v>0</v>
      </c>
      <c r="BR121" s="606">
        <v>0</v>
      </c>
      <c r="BS121" s="606">
        <v>0</v>
      </c>
      <c r="BT121" s="606">
        <v>1293</v>
      </c>
    </row>
    <row r="122" spans="1:72" hidden="1">
      <c r="A122" t="s">
        <v>2790</v>
      </c>
      <c r="B122" t="s">
        <v>2953</v>
      </c>
      <c r="C122" t="s">
        <v>1004</v>
      </c>
      <c r="D122" t="s">
        <v>2791</v>
      </c>
      <c r="E122" t="s">
        <v>1136</v>
      </c>
      <c r="F122" t="s">
        <v>1566</v>
      </c>
      <c r="G122" t="s">
        <v>1566</v>
      </c>
      <c r="H122" t="s">
        <v>1566</v>
      </c>
      <c r="I122" t="s">
        <v>1567</v>
      </c>
      <c r="J122" t="s">
        <v>1567</v>
      </c>
      <c r="K122" t="s">
        <v>1567</v>
      </c>
      <c r="L122" t="s">
        <v>639</v>
      </c>
      <c r="M122" t="s">
        <v>2291</v>
      </c>
      <c r="P122" t="s">
        <v>679</v>
      </c>
      <c r="R122" t="s">
        <v>1140</v>
      </c>
      <c r="T122" t="s">
        <v>680</v>
      </c>
      <c r="W122" s="606">
        <v>0</v>
      </c>
      <c r="X122" s="606">
        <v>2155</v>
      </c>
      <c r="Y122" s="606"/>
      <c r="Z122" s="606"/>
      <c r="AA122" s="606"/>
      <c r="AB122" s="606"/>
      <c r="AC122" s="606">
        <v>2155</v>
      </c>
      <c r="AD122" s="606">
        <v>0</v>
      </c>
      <c r="AE122" s="606">
        <v>0</v>
      </c>
      <c r="AF122" s="606">
        <v>0</v>
      </c>
      <c r="AG122" s="606">
        <v>0</v>
      </c>
      <c r="AH122" s="606">
        <v>0</v>
      </c>
      <c r="AI122" s="606">
        <v>0</v>
      </c>
      <c r="AJ122" s="606">
        <v>0</v>
      </c>
      <c r="AK122" s="606">
        <v>0</v>
      </c>
      <c r="AL122" s="606">
        <v>0</v>
      </c>
      <c r="AM122" s="606">
        <v>2155</v>
      </c>
      <c r="AN122" s="606">
        <v>0</v>
      </c>
      <c r="AO122" s="606">
        <v>0</v>
      </c>
      <c r="AP122" s="606">
        <v>0</v>
      </c>
      <c r="AQ122" s="606">
        <v>0</v>
      </c>
      <c r="AR122" s="606"/>
      <c r="AS122" s="606">
        <v>0</v>
      </c>
      <c r="AT122" s="606"/>
      <c r="AU122" s="606"/>
      <c r="AV122" s="606"/>
      <c r="AW122" s="606">
        <v>2155</v>
      </c>
      <c r="AX122" s="606">
        <v>0</v>
      </c>
      <c r="AY122" s="606">
        <v>0</v>
      </c>
      <c r="AZ122" s="606">
        <v>0</v>
      </c>
      <c r="BA122" s="606">
        <v>0</v>
      </c>
      <c r="BB122" s="606">
        <v>0</v>
      </c>
      <c r="BC122" s="606">
        <v>0</v>
      </c>
      <c r="BD122" s="606">
        <v>0</v>
      </c>
      <c r="BE122" s="606">
        <v>0</v>
      </c>
      <c r="BF122" s="606">
        <v>0</v>
      </c>
      <c r="BG122" s="606">
        <v>2155</v>
      </c>
      <c r="BH122" s="606"/>
      <c r="BI122" s="606"/>
      <c r="BJ122" s="606">
        <v>2155</v>
      </c>
      <c r="BK122" s="606">
        <v>0</v>
      </c>
      <c r="BL122" s="606">
        <v>0</v>
      </c>
      <c r="BM122" s="606">
        <v>0</v>
      </c>
      <c r="BN122" s="606">
        <v>0</v>
      </c>
      <c r="BO122" s="606">
        <v>0</v>
      </c>
      <c r="BP122" s="606">
        <v>0</v>
      </c>
      <c r="BQ122" s="606">
        <v>0</v>
      </c>
      <c r="BR122" s="606">
        <v>0</v>
      </c>
      <c r="BS122" s="606">
        <v>0</v>
      </c>
      <c r="BT122" s="606">
        <v>2155</v>
      </c>
    </row>
    <row r="123" spans="1:72" hidden="1">
      <c r="A123" t="s">
        <v>2471</v>
      </c>
      <c r="B123" t="s">
        <v>2953</v>
      </c>
      <c r="C123" t="s">
        <v>816</v>
      </c>
      <c r="D123" t="s">
        <v>2472</v>
      </c>
      <c r="E123" t="s">
        <v>1136</v>
      </c>
      <c r="F123" t="s">
        <v>1566</v>
      </c>
      <c r="G123" t="s">
        <v>1135</v>
      </c>
      <c r="H123" t="s">
        <v>1135</v>
      </c>
      <c r="I123" t="s">
        <v>1135</v>
      </c>
      <c r="J123" t="s">
        <v>1137</v>
      </c>
      <c r="K123" t="s">
        <v>1137</v>
      </c>
      <c r="L123" t="s">
        <v>639</v>
      </c>
      <c r="M123" t="s">
        <v>818</v>
      </c>
      <c r="P123" t="s">
        <v>817</v>
      </c>
      <c r="R123" t="s">
        <v>1140</v>
      </c>
      <c r="T123" t="s">
        <v>818</v>
      </c>
      <c r="U123" t="s">
        <v>1141</v>
      </c>
      <c r="W123" s="606">
        <v>50000</v>
      </c>
      <c r="X123" s="606">
        <v>38665</v>
      </c>
      <c r="Y123" s="606"/>
      <c r="Z123" s="606"/>
      <c r="AA123" s="606"/>
      <c r="AB123" s="606"/>
      <c r="AC123" s="606">
        <v>1165</v>
      </c>
      <c r="AD123" s="606">
        <v>0</v>
      </c>
      <c r="AE123" s="606">
        <v>0</v>
      </c>
      <c r="AF123" s="606">
        <v>1720.74</v>
      </c>
      <c r="AG123" s="606">
        <v>0</v>
      </c>
      <c r="AH123" s="606">
        <v>0</v>
      </c>
      <c r="AI123" s="606">
        <v>12500</v>
      </c>
      <c r="AJ123" s="606">
        <v>0</v>
      </c>
      <c r="AK123" s="606">
        <v>12500</v>
      </c>
      <c r="AL123" s="606">
        <v>0</v>
      </c>
      <c r="AM123" s="606">
        <v>27885.739999999998</v>
      </c>
      <c r="AN123" s="606">
        <v>-10779.260000000002</v>
      </c>
      <c r="AO123" s="606">
        <v>0</v>
      </c>
      <c r="AP123" s="606">
        <v>1720.74</v>
      </c>
      <c r="AQ123" s="606">
        <v>-10779.26</v>
      </c>
      <c r="AR123" s="606"/>
      <c r="AS123" s="606">
        <v>-10779.260000000002</v>
      </c>
      <c r="AT123" s="606"/>
      <c r="AU123" s="606"/>
      <c r="AV123" s="606"/>
      <c r="AW123" s="606">
        <v>1165</v>
      </c>
      <c r="AX123" s="606">
        <v>0</v>
      </c>
      <c r="AY123" s="606">
        <v>0</v>
      </c>
      <c r="AZ123" s="606">
        <v>12500</v>
      </c>
      <c r="BA123" s="606">
        <v>0</v>
      </c>
      <c r="BB123" s="606">
        <v>0</v>
      </c>
      <c r="BC123" s="606">
        <v>12500</v>
      </c>
      <c r="BD123" s="606">
        <v>0</v>
      </c>
      <c r="BE123" s="606">
        <v>12500</v>
      </c>
      <c r="BF123" s="606">
        <v>0</v>
      </c>
      <c r="BG123" s="606">
        <v>38665</v>
      </c>
      <c r="BH123" s="606"/>
      <c r="BI123" s="606"/>
      <c r="BJ123" s="606">
        <v>1165</v>
      </c>
      <c r="BK123" s="606">
        <v>0</v>
      </c>
      <c r="BL123" s="606">
        <v>0</v>
      </c>
      <c r="BM123" s="606">
        <v>12500</v>
      </c>
      <c r="BN123" s="606">
        <v>0</v>
      </c>
      <c r="BO123" s="606">
        <v>0</v>
      </c>
      <c r="BP123" s="606">
        <v>12500</v>
      </c>
      <c r="BQ123" s="606">
        <v>0</v>
      </c>
      <c r="BR123" s="606">
        <v>12500</v>
      </c>
      <c r="BS123" s="606">
        <v>0</v>
      </c>
      <c r="BT123" s="606">
        <v>38665</v>
      </c>
    </row>
    <row r="124" spans="1:72" hidden="1">
      <c r="A124" t="s">
        <v>2473</v>
      </c>
      <c r="B124" t="s">
        <v>2953</v>
      </c>
      <c r="C124" t="s">
        <v>816</v>
      </c>
      <c r="D124" t="s">
        <v>2474</v>
      </c>
      <c r="E124" t="s">
        <v>1136</v>
      </c>
      <c r="F124" t="s">
        <v>1566</v>
      </c>
      <c r="G124" t="s">
        <v>1135</v>
      </c>
      <c r="H124" t="s">
        <v>1145</v>
      </c>
      <c r="I124" t="s">
        <v>1135</v>
      </c>
      <c r="J124" t="s">
        <v>1145</v>
      </c>
      <c r="K124" t="s">
        <v>1137</v>
      </c>
      <c r="L124" t="s">
        <v>639</v>
      </c>
      <c r="M124" t="s">
        <v>818</v>
      </c>
      <c r="P124" t="s">
        <v>817</v>
      </c>
      <c r="R124" t="s">
        <v>1140</v>
      </c>
      <c r="T124" t="s">
        <v>818</v>
      </c>
      <c r="W124" s="606">
        <v>3000</v>
      </c>
      <c r="X124" s="606">
        <v>3010.21</v>
      </c>
      <c r="Y124" s="606"/>
      <c r="Z124" s="606"/>
      <c r="AA124" s="606"/>
      <c r="AB124" s="606"/>
      <c r="AC124" s="606">
        <v>410.21</v>
      </c>
      <c r="AD124" s="606">
        <v>0</v>
      </c>
      <c r="AE124" s="606">
        <v>0</v>
      </c>
      <c r="AF124" s="606">
        <v>398.24</v>
      </c>
      <c r="AG124" s="606">
        <v>0</v>
      </c>
      <c r="AH124" s="606">
        <v>0</v>
      </c>
      <c r="AI124" s="606">
        <v>0</v>
      </c>
      <c r="AJ124" s="606">
        <v>0</v>
      </c>
      <c r="AK124" s="606">
        <v>0</v>
      </c>
      <c r="AL124" s="606">
        <v>0</v>
      </c>
      <c r="AM124" s="606">
        <v>808.45</v>
      </c>
      <c r="AN124" s="606">
        <v>-2201.7600000000002</v>
      </c>
      <c r="AO124" s="606">
        <v>0</v>
      </c>
      <c r="AP124" s="606">
        <v>398.24</v>
      </c>
      <c r="AQ124" s="606">
        <v>-2201.7600000000002</v>
      </c>
      <c r="AR124" s="606"/>
      <c r="AS124" s="606">
        <v>-2201.7600000000002</v>
      </c>
      <c r="AT124" s="606"/>
      <c r="AU124" s="606"/>
      <c r="AV124" s="606"/>
      <c r="AW124" s="606">
        <v>410.21</v>
      </c>
      <c r="AX124" s="606">
        <v>2600</v>
      </c>
      <c r="AY124" s="606">
        <v>0</v>
      </c>
      <c r="AZ124" s="606">
        <v>0</v>
      </c>
      <c r="BA124" s="606">
        <v>0</v>
      </c>
      <c r="BB124" s="606">
        <v>0</v>
      </c>
      <c r="BC124" s="606">
        <v>0</v>
      </c>
      <c r="BD124" s="606">
        <v>0</v>
      </c>
      <c r="BE124" s="606">
        <v>0</v>
      </c>
      <c r="BF124" s="606">
        <v>0</v>
      </c>
      <c r="BG124" s="606">
        <v>3010.21</v>
      </c>
      <c r="BH124" s="606"/>
      <c r="BI124" s="606"/>
      <c r="BJ124" s="606">
        <v>410.21</v>
      </c>
      <c r="BK124" s="606">
        <v>3000</v>
      </c>
      <c r="BL124" s="606">
        <v>0</v>
      </c>
      <c r="BM124" s="606">
        <v>0</v>
      </c>
      <c r="BN124" s="606">
        <v>0</v>
      </c>
      <c r="BO124" s="606">
        <v>0</v>
      </c>
      <c r="BP124" s="606">
        <v>0</v>
      </c>
      <c r="BQ124" s="606">
        <v>0</v>
      </c>
      <c r="BR124" s="606">
        <v>0</v>
      </c>
      <c r="BS124" s="606">
        <v>0</v>
      </c>
      <c r="BT124" s="606">
        <v>3410.21</v>
      </c>
    </row>
    <row r="125" spans="1:72" hidden="1">
      <c r="A125" t="s">
        <v>2475</v>
      </c>
      <c r="B125" t="s">
        <v>2953</v>
      </c>
      <c r="C125" t="s">
        <v>816</v>
      </c>
      <c r="D125" t="s">
        <v>2476</v>
      </c>
      <c r="E125" t="s">
        <v>1136</v>
      </c>
      <c r="F125" t="s">
        <v>1566</v>
      </c>
      <c r="G125" t="s">
        <v>1135</v>
      </c>
      <c r="H125" t="s">
        <v>1156</v>
      </c>
      <c r="I125" t="s">
        <v>1135</v>
      </c>
      <c r="J125" t="s">
        <v>1156</v>
      </c>
      <c r="K125" t="s">
        <v>1137</v>
      </c>
      <c r="L125" t="s">
        <v>639</v>
      </c>
      <c r="M125" t="s">
        <v>818</v>
      </c>
      <c r="P125" t="s">
        <v>817</v>
      </c>
      <c r="R125" t="s">
        <v>1140</v>
      </c>
      <c r="T125" t="s">
        <v>818</v>
      </c>
      <c r="U125" t="s">
        <v>2477</v>
      </c>
      <c r="W125" s="606">
        <v>2800</v>
      </c>
      <c r="X125" s="606">
        <v>11294.74</v>
      </c>
      <c r="Y125" s="606"/>
      <c r="Z125" s="606"/>
      <c r="AA125" s="606"/>
      <c r="AB125" s="606"/>
      <c r="AC125" s="606">
        <v>3116.74</v>
      </c>
      <c r="AD125" s="606">
        <v>0</v>
      </c>
      <c r="AE125" s="606">
        <v>0</v>
      </c>
      <c r="AF125" s="606">
        <v>2380</v>
      </c>
      <c r="AG125" s="606">
        <v>0</v>
      </c>
      <c r="AH125" s="606">
        <v>0</v>
      </c>
      <c r="AI125" s="606">
        <v>2726</v>
      </c>
      <c r="AJ125" s="606">
        <v>0</v>
      </c>
      <c r="AK125" s="606">
        <v>2726</v>
      </c>
      <c r="AL125" s="606">
        <v>0</v>
      </c>
      <c r="AM125" s="606">
        <v>10948.74</v>
      </c>
      <c r="AN125" s="606">
        <v>-346</v>
      </c>
      <c r="AO125" s="606">
        <v>0</v>
      </c>
      <c r="AP125" s="606">
        <v>2380</v>
      </c>
      <c r="AQ125" s="606">
        <v>-346</v>
      </c>
      <c r="AR125" s="606"/>
      <c r="AS125" s="606">
        <v>-346</v>
      </c>
      <c r="AT125" s="606"/>
      <c r="AU125" s="606"/>
      <c r="AV125" s="606"/>
      <c r="AW125" s="606">
        <v>3116.74</v>
      </c>
      <c r="AX125" s="606">
        <v>0</v>
      </c>
      <c r="AY125" s="606">
        <v>0</v>
      </c>
      <c r="AZ125" s="606">
        <v>2726</v>
      </c>
      <c r="BA125" s="606">
        <v>0</v>
      </c>
      <c r="BB125" s="606">
        <v>0</v>
      </c>
      <c r="BC125" s="606">
        <v>2726</v>
      </c>
      <c r="BD125" s="606">
        <v>0</v>
      </c>
      <c r="BE125" s="606">
        <v>2726</v>
      </c>
      <c r="BF125" s="606">
        <v>0</v>
      </c>
      <c r="BG125" s="606">
        <v>11294.74</v>
      </c>
      <c r="BH125" s="606"/>
      <c r="BI125" s="606"/>
      <c r="BJ125" s="606">
        <v>3116.74</v>
      </c>
      <c r="BK125" s="606">
        <v>0</v>
      </c>
      <c r="BL125" s="606">
        <v>0</v>
      </c>
      <c r="BM125" s="606">
        <v>700</v>
      </c>
      <c r="BN125" s="606">
        <v>0</v>
      </c>
      <c r="BO125" s="606">
        <v>0</v>
      </c>
      <c r="BP125" s="606">
        <v>700</v>
      </c>
      <c r="BQ125" s="606">
        <v>0</v>
      </c>
      <c r="BR125" s="606">
        <v>700</v>
      </c>
      <c r="BS125" s="606">
        <v>0</v>
      </c>
      <c r="BT125" s="606">
        <v>5216.74</v>
      </c>
    </row>
    <row r="126" spans="1:72" hidden="1">
      <c r="A126" t="s">
        <v>2478</v>
      </c>
      <c r="B126" t="s">
        <v>2953</v>
      </c>
      <c r="C126" t="s">
        <v>816</v>
      </c>
      <c r="D126" t="s">
        <v>2479</v>
      </c>
      <c r="E126" t="s">
        <v>1136</v>
      </c>
      <c r="F126" t="s">
        <v>1566</v>
      </c>
      <c r="G126" t="s">
        <v>1135</v>
      </c>
      <c r="H126" t="s">
        <v>1161</v>
      </c>
      <c r="I126" t="s">
        <v>1135</v>
      </c>
      <c r="J126" t="s">
        <v>1161</v>
      </c>
      <c r="K126" t="s">
        <v>1137</v>
      </c>
      <c r="L126" t="s">
        <v>639</v>
      </c>
      <c r="M126" t="s">
        <v>818</v>
      </c>
      <c r="P126" t="s">
        <v>817</v>
      </c>
      <c r="R126" t="s">
        <v>1140</v>
      </c>
      <c r="T126" t="s">
        <v>818</v>
      </c>
      <c r="W126" s="606">
        <v>800</v>
      </c>
      <c r="X126" s="606">
        <v>4147.87</v>
      </c>
      <c r="Y126" s="606"/>
      <c r="Z126" s="606"/>
      <c r="AA126" s="606"/>
      <c r="AB126" s="606"/>
      <c r="AC126" s="606">
        <v>3547.87</v>
      </c>
      <c r="AD126" s="606">
        <v>0</v>
      </c>
      <c r="AE126" s="606">
        <v>0</v>
      </c>
      <c r="AF126" s="606">
        <v>3172.87</v>
      </c>
      <c r="AG126" s="606">
        <v>0</v>
      </c>
      <c r="AH126" s="606">
        <v>0</v>
      </c>
      <c r="AI126" s="606">
        <v>200</v>
      </c>
      <c r="AJ126" s="606">
        <v>0</v>
      </c>
      <c r="AK126" s="606">
        <v>200</v>
      </c>
      <c r="AL126" s="606">
        <v>0</v>
      </c>
      <c r="AM126" s="606">
        <v>7120.74</v>
      </c>
      <c r="AN126" s="606">
        <v>2972.87</v>
      </c>
      <c r="AO126" s="606">
        <v>0</v>
      </c>
      <c r="AP126" s="606">
        <v>3172.87</v>
      </c>
      <c r="AQ126" s="606">
        <v>2972.87</v>
      </c>
      <c r="AR126" s="606"/>
      <c r="AS126" s="606">
        <v>2972.87</v>
      </c>
      <c r="AT126" s="606"/>
      <c r="AU126" s="606"/>
      <c r="AV126" s="606"/>
      <c r="AW126" s="606">
        <v>3547.87</v>
      </c>
      <c r="AX126" s="606">
        <v>0</v>
      </c>
      <c r="AY126" s="606">
        <v>0</v>
      </c>
      <c r="AZ126" s="606">
        <v>200</v>
      </c>
      <c r="BA126" s="606">
        <v>0</v>
      </c>
      <c r="BB126" s="606">
        <v>0</v>
      </c>
      <c r="BC126" s="606">
        <v>200</v>
      </c>
      <c r="BD126" s="606">
        <v>0</v>
      </c>
      <c r="BE126" s="606">
        <v>200</v>
      </c>
      <c r="BF126" s="606">
        <v>0</v>
      </c>
      <c r="BG126" s="606">
        <v>4147.87</v>
      </c>
      <c r="BH126" s="606"/>
      <c r="BI126" s="606"/>
      <c r="BJ126" s="606">
        <v>3547.87</v>
      </c>
      <c r="BK126" s="606">
        <v>0</v>
      </c>
      <c r="BL126" s="606">
        <v>0</v>
      </c>
      <c r="BM126" s="606">
        <v>200</v>
      </c>
      <c r="BN126" s="606">
        <v>0</v>
      </c>
      <c r="BO126" s="606">
        <v>0</v>
      </c>
      <c r="BP126" s="606">
        <v>200</v>
      </c>
      <c r="BQ126" s="606">
        <v>0</v>
      </c>
      <c r="BR126" s="606">
        <v>200</v>
      </c>
      <c r="BS126" s="606">
        <v>0</v>
      </c>
      <c r="BT126" s="606">
        <v>4147.87</v>
      </c>
    </row>
    <row r="127" spans="1:72" hidden="1">
      <c r="A127" t="s">
        <v>2480</v>
      </c>
      <c r="B127" t="s">
        <v>2953</v>
      </c>
      <c r="C127" t="s">
        <v>816</v>
      </c>
      <c r="D127" t="s">
        <v>2481</v>
      </c>
      <c r="E127" t="s">
        <v>1136</v>
      </c>
      <c r="F127" t="s">
        <v>1566</v>
      </c>
      <c r="G127" t="s">
        <v>1135</v>
      </c>
      <c r="H127" t="s">
        <v>1165</v>
      </c>
      <c r="I127" t="s">
        <v>1135</v>
      </c>
      <c r="J127" t="s">
        <v>1165</v>
      </c>
      <c r="K127" t="s">
        <v>1137</v>
      </c>
      <c r="L127" t="s">
        <v>639</v>
      </c>
      <c r="M127" t="s">
        <v>818</v>
      </c>
      <c r="P127" t="s">
        <v>817</v>
      </c>
      <c r="R127" t="s">
        <v>1140</v>
      </c>
      <c r="T127" t="s">
        <v>818</v>
      </c>
      <c r="W127" s="606">
        <v>12119.24</v>
      </c>
      <c r="X127" s="606">
        <v>21230.870000000003</v>
      </c>
      <c r="Y127" s="606"/>
      <c r="Z127" s="606"/>
      <c r="AA127" s="606"/>
      <c r="AB127" s="606"/>
      <c r="AC127" s="606">
        <v>12141.44</v>
      </c>
      <c r="AD127" s="606">
        <v>0</v>
      </c>
      <c r="AE127" s="606">
        <v>0</v>
      </c>
      <c r="AF127" s="606">
        <v>10504.75</v>
      </c>
      <c r="AG127" s="606">
        <v>0</v>
      </c>
      <c r="AH127" s="606">
        <v>0</v>
      </c>
      <c r="AI127" s="606">
        <v>3029.81</v>
      </c>
      <c r="AJ127" s="606">
        <v>0</v>
      </c>
      <c r="AK127" s="606">
        <v>3029.81</v>
      </c>
      <c r="AL127" s="606">
        <v>0</v>
      </c>
      <c r="AM127" s="606">
        <v>28705.810000000005</v>
      </c>
      <c r="AN127" s="606">
        <v>7474.9400000000023</v>
      </c>
      <c r="AO127" s="606">
        <v>0</v>
      </c>
      <c r="AP127" s="606">
        <v>10504.75</v>
      </c>
      <c r="AQ127" s="606">
        <v>7474.9400000000023</v>
      </c>
      <c r="AR127" s="606"/>
      <c r="AS127" s="606">
        <v>7474.9400000000023</v>
      </c>
      <c r="AT127" s="606"/>
      <c r="AU127" s="606"/>
      <c r="AV127" s="606"/>
      <c r="AW127" s="606">
        <v>12141.44</v>
      </c>
      <c r="AX127" s="606">
        <v>0</v>
      </c>
      <c r="AY127" s="606">
        <v>0</v>
      </c>
      <c r="AZ127" s="606">
        <v>3029.81</v>
      </c>
      <c r="BA127" s="606">
        <v>0</v>
      </c>
      <c r="BB127" s="606">
        <v>0</v>
      </c>
      <c r="BC127" s="606">
        <v>3029.81</v>
      </c>
      <c r="BD127" s="606">
        <v>0</v>
      </c>
      <c r="BE127" s="606">
        <v>3029.81</v>
      </c>
      <c r="BF127" s="606">
        <v>0</v>
      </c>
      <c r="BG127" s="606">
        <v>21230.870000000003</v>
      </c>
      <c r="BH127" s="606"/>
      <c r="BI127" s="606"/>
      <c r="BJ127" s="606">
        <v>12141.44</v>
      </c>
      <c r="BK127" s="606">
        <v>0</v>
      </c>
      <c r="BL127" s="606">
        <v>0</v>
      </c>
      <c r="BM127" s="606">
        <v>3029.81</v>
      </c>
      <c r="BN127" s="606">
        <v>0</v>
      </c>
      <c r="BO127" s="606">
        <v>0</v>
      </c>
      <c r="BP127" s="606">
        <v>3029.81</v>
      </c>
      <c r="BQ127" s="606">
        <v>0</v>
      </c>
      <c r="BR127" s="606">
        <v>3029.81</v>
      </c>
      <c r="BS127" s="606">
        <v>0</v>
      </c>
      <c r="BT127" s="606">
        <v>21230.870000000003</v>
      </c>
    </row>
    <row r="128" spans="1:72">
      <c r="A128" t="s">
        <v>2686</v>
      </c>
      <c r="B128" t="s">
        <v>2953</v>
      </c>
      <c r="C128" t="s">
        <v>950</v>
      </c>
      <c r="D128" t="s">
        <v>2687</v>
      </c>
      <c r="E128" t="s">
        <v>1136</v>
      </c>
      <c r="F128" t="s">
        <v>1566</v>
      </c>
      <c r="G128" t="s">
        <v>1345</v>
      </c>
      <c r="H128" t="s">
        <v>1437</v>
      </c>
      <c r="I128" t="s">
        <v>1345</v>
      </c>
      <c r="J128" t="s">
        <v>1437</v>
      </c>
      <c r="K128" t="s">
        <v>1437</v>
      </c>
      <c r="L128" t="s">
        <v>639</v>
      </c>
      <c r="P128" t="s">
        <v>817</v>
      </c>
      <c r="W128" s="606"/>
      <c r="X128" s="606"/>
      <c r="Y128" s="606"/>
      <c r="Z128" s="606"/>
      <c r="AA128" s="606"/>
      <c r="AB128" s="606"/>
      <c r="AC128" s="606"/>
      <c r="AD128" s="606"/>
      <c r="AE128" s="606"/>
      <c r="AF128" s="606">
        <v>3285.0699999999997</v>
      </c>
      <c r="AG128" s="606"/>
      <c r="AH128" s="606"/>
      <c r="AI128" s="606"/>
      <c r="AJ128" s="606"/>
      <c r="AK128" s="606"/>
      <c r="AL128" s="606"/>
      <c r="AM128" s="606">
        <v>3285.0699999999997</v>
      </c>
      <c r="AN128" s="606">
        <v>3285.0699999999997</v>
      </c>
      <c r="AO128" s="606"/>
      <c r="AP128" s="606">
        <v>3285.0699999999997</v>
      </c>
      <c r="AQ128" s="606">
        <v>3285.0699999999997</v>
      </c>
      <c r="AR128" s="606"/>
      <c r="AS128" s="606">
        <v>3285.0699999999997</v>
      </c>
      <c r="AT128" s="606"/>
      <c r="AU128" s="606"/>
      <c r="AV128" s="606"/>
      <c r="AW128" s="606"/>
      <c r="AX128" s="606"/>
      <c r="AY128" s="606"/>
      <c r="AZ128" s="606"/>
      <c r="BA128" s="606"/>
      <c r="BB128" s="606"/>
      <c r="BC128" s="606"/>
      <c r="BD128" s="606"/>
      <c r="BE128" s="606"/>
      <c r="BF128" s="606"/>
      <c r="BG128" s="606"/>
      <c r="BH128" s="606"/>
      <c r="BI128" s="606"/>
      <c r="BJ128" s="606"/>
      <c r="BK128" s="606"/>
      <c r="BL128" s="606"/>
      <c r="BM128" s="606"/>
      <c r="BN128" s="606"/>
      <c r="BO128" s="606"/>
      <c r="BP128" s="606"/>
      <c r="BQ128" s="606"/>
      <c r="BR128" s="606"/>
      <c r="BS128" s="606"/>
      <c r="BT128" s="606"/>
    </row>
    <row r="129" spans="1:72" hidden="1">
      <c r="A129" t="s">
        <v>2726</v>
      </c>
      <c r="B129" t="s">
        <v>2953</v>
      </c>
      <c r="C129" t="s">
        <v>973</v>
      </c>
      <c r="D129" t="s">
        <v>2727</v>
      </c>
      <c r="E129" t="s">
        <v>1136</v>
      </c>
      <c r="F129" t="s">
        <v>1566</v>
      </c>
      <c r="G129" t="s">
        <v>1480</v>
      </c>
      <c r="H129" t="s">
        <v>1481</v>
      </c>
      <c r="I129" t="s">
        <v>1345</v>
      </c>
      <c r="J129" t="s">
        <v>1481</v>
      </c>
      <c r="K129" t="s">
        <v>1346</v>
      </c>
      <c r="L129" t="s">
        <v>639</v>
      </c>
      <c r="M129" t="s">
        <v>818</v>
      </c>
      <c r="P129" t="s">
        <v>817</v>
      </c>
      <c r="R129" t="s">
        <v>1140</v>
      </c>
      <c r="T129" t="s">
        <v>818</v>
      </c>
      <c r="U129" t="s">
        <v>1513</v>
      </c>
      <c r="W129" s="606">
        <v>7176</v>
      </c>
      <c r="X129" s="606">
        <v>11702.54</v>
      </c>
      <c r="Y129" s="606"/>
      <c r="Z129" s="606"/>
      <c r="AA129" s="606"/>
      <c r="AB129" s="606"/>
      <c r="AC129" s="606">
        <v>6320.54</v>
      </c>
      <c r="AD129" s="606">
        <v>0</v>
      </c>
      <c r="AE129" s="606">
        <v>0</v>
      </c>
      <c r="AF129" s="606">
        <v>0</v>
      </c>
      <c r="AG129" s="606">
        <v>0</v>
      </c>
      <c r="AH129" s="606">
        <v>0</v>
      </c>
      <c r="AI129" s="606">
        <v>1794</v>
      </c>
      <c r="AJ129" s="606">
        <v>0</v>
      </c>
      <c r="AK129" s="606">
        <v>1794</v>
      </c>
      <c r="AL129" s="606">
        <v>0</v>
      </c>
      <c r="AM129" s="606">
        <v>9908.5400000000009</v>
      </c>
      <c r="AN129" s="606">
        <v>-1794</v>
      </c>
      <c r="AO129" s="606">
        <v>0</v>
      </c>
      <c r="AP129" s="606">
        <v>0</v>
      </c>
      <c r="AQ129" s="606">
        <v>-1794</v>
      </c>
      <c r="AR129" s="606"/>
      <c r="AS129" s="606">
        <v>-1794</v>
      </c>
      <c r="AT129" s="606"/>
      <c r="AU129" s="606"/>
      <c r="AV129" s="606"/>
      <c r="AW129" s="606">
        <v>6320.54</v>
      </c>
      <c r="AX129" s="606">
        <v>0</v>
      </c>
      <c r="AY129" s="606">
        <v>0</v>
      </c>
      <c r="AZ129" s="606">
        <v>1794</v>
      </c>
      <c r="BA129" s="606">
        <v>0</v>
      </c>
      <c r="BB129" s="606">
        <v>0</v>
      </c>
      <c r="BC129" s="606">
        <v>1794</v>
      </c>
      <c r="BD129" s="606">
        <v>0</v>
      </c>
      <c r="BE129" s="606">
        <v>1794</v>
      </c>
      <c r="BF129" s="606">
        <v>0</v>
      </c>
      <c r="BG129" s="606">
        <v>11702.54</v>
      </c>
      <c r="BH129" s="606"/>
      <c r="BI129" s="606"/>
      <c r="BJ129" s="606">
        <v>6320.54</v>
      </c>
      <c r="BK129" s="606">
        <v>0</v>
      </c>
      <c r="BL129" s="606">
        <v>0</v>
      </c>
      <c r="BM129" s="606">
        <v>1794</v>
      </c>
      <c r="BN129" s="606">
        <v>0</v>
      </c>
      <c r="BO129" s="606">
        <v>0</v>
      </c>
      <c r="BP129" s="606">
        <v>1794</v>
      </c>
      <c r="BQ129" s="606">
        <v>0</v>
      </c>
      <c r="BR129" s="606">
        <v>1794</v>
      </c>
      <c r="BS129" s="606">
        <v>0</v>
      </c>
      <c r="BT129" s="606">
        <v>11702.54</v>
      </c>
    </row>
    <row r="130" spans="1:72" hidden="1">
      <c r="A130" t="s">
        <v>2794</v>
      </c>
      <c r="B130" t="s">
        <v>2953</v>
      </c>
      <c r="C130" t="s">
        <v>1006</v>
      </c>
      <c r="D130" t="s">
        <v>2795</v>
      </c>
      <c r="E130" t="s">
        <v>1136</v>
      </c>
      <c r="F130" t="s">
        <v>1566</v>
      </c>
      <c r="G130" t="s">
        <v>1566</v>
      </c>
      <c r="H130" t="s">
        <v>1566</v>
      </c>
      <c r="I130" t="s">
        <v>1567</v>
      </c>
      <c r="J130" t="s">
        <v>1567</v>
      </c>
      <c r="K130" t="s">
        <v>1567</v>
      </c>
      <c r="L130" t="s">
        <v>639</v>
      </c>
      <c r="M130" t="s">
        <v>818</v>
      </c>
      <c r="P130" t="s">
        <v>817</v>
      </c>
      <c r="R130" t="s">
        <v>1140</v>
      </c>
      <c r="T130" t="s">
        <v>818</v>
      </c>
      <c r="W130" s="606">
        <v>0</v>
      </c>
      <c r="X130" s="606">
        <v>95.05</v>
      </c>
      <c r="Y130" s="606"/>
      <c r="Z130" s="606"/>
      <c r="AA130" s="606"/>
      <c r="AB130" s="606"/>
      <c r="AC130" s="606">
        <v>95.05</v>
      </c>
      <c r="AD130" s="606">
        <v>0</v>
      </c>
      <c r="AE130" s="606">
        <v>0</v>
      </c>
      <c r="AF130" s="606">
        <v>160.29</v>
      </c>
      <c r="AG130" s="606">
        <v>0</v>
      </c>
      <c r="AH130" s="606">
        <v>0</v>
      </c>
      <c r="AI130" s="606">
        <v>0</v>
      </c>
      <c r="AJ130" s="606">
        <v>0</v>
      </c>
      <c r="AK130" s="606">
        <v>0</v>
      </c>
      <c r="AL130" s="606">
        <v>0</v>
      </c>
      <c r="AM130" s="606">
        <v>255.33999999999997</v>
      </c>
      <c r="AN130" s="606">
        <v>160.28999999999996</v>
      </c>
      <c r="AO130" s="606">
        <v>0</v>
      </c>
      <c r="AP130" s="606">
        <v>160.29</v>
      </c>
      <c r="AQ130" s="606">
        <v>160.28999999999996</v>
      </c>
      <c r="AR130" s="606"/>
      <c r="AS130" s="606">
        <v>160.28999999999996</v>
      </c>
      <c r="AT130" s="606"/>
      <c r="AU130" s="606"/>
      <c r="AV130" s="606"/>
      <c r="AW130" s="606">
        <v>95.05</v>
      </c>
      <c r="AX130" s="606">
        <v>0</v>
      </c>
      <c r="AY130" s="606">
        <v>0</v>
      </c>
      <c r="AZ130" s="606">
        <v>0</v>
      </c>
      <c r="BA130" s="606">
        <v>0</v>
      </c>
      <c r="BB130" s="606">
        <v>0</v>
      </c>
      <c r="BC130" s="606">
        <v>0</v>
      </c>
      <c r="BD130" s="606">
        <v>0</v>
      </c>
      <c r="BE130" s="606">
        <v>0</v>
      </c>
      <c r="BF130" s="606">
        <v>0</v>
      </c>
      <c r="BG130" s="606">
        <v>95.05</v>
      </c>
      <c r="BH130" s="606"/>
      <c r="BI130" s="606"/>
      <c r="BJ130" s="606">
        <v>95.05</v>
      </c>
      <c r="BK130" s="606">
        <v>0</v>
      </c>
      <c r="BL130" s="606">
        <v>0</v>
      </c>
      <c r="BM130" s="606">
        <v>0</v>
      </c>
      <c r="BN130" s="606">
        <v>0</v>
      </c>
      <c r="BO130" s="606">
        <v>0</v>
      </c>
      <c r="BP130" s="606">
        <v>0</v>
      </c>
      <c r="BQ130" s="606">
        <v>0</v>
      </c>
      <c r="BR130" s="606">
        <v>0</v>
      </c>
      <c r="BS130" s="606">
        <v>0</v>
      </c>
      <c r="BT130" s="606">
        <v>95.05</v>
      </c>
    </row>
    <row r="131" spans="1:72" hidden="1">
      <c r="A131" t="s">
        <v>2524</v>
      </c>
      <c r="B131" t="s">
        <v>2953</v>
      </c>
      <c r="C131" t="s">
        <v>850</v>
      </c>
      <c r="D131" t="s">
        <v>2525</v>
      </c>
      <c r="E131" t="s">
        <v>1136</v>
      </c>
      <c r="F131" t="s">
        <v>1566</v>
      </c>
      <c r="G131" t="s">
        <v>1135</v>
      </c>
      <c r="H131" t="s">
        <v>1145</v>
      </c>
      <c r="I131" t="s">
        <v>1135</v>
      </c>
      <c r="J131" t="s">
        <v>1145</v>
      </c>
      <c r="K131" t="s">
        <v>1137</v>
      </c>
      <c r="L131" t="s">
        <v>639</v>
      </c>
      <c r="M131" t="s">
        <v>2523</v>
      </c>
      <c r="P131" t="s">
        <v>851</v>
      </c>
      <c r="Q131" t="s">
        <v>1153</v>
      </c>
      <c r="T131" t="s">
        <v>64</v>
      </c>
      <c r="W131" s="606">
        <v>0</v>
      </c>
      <c r="X131" s="606">
        <v>0</v>
      </c>
      <c r="Y131" s="606"/>
      <c r="Z131" s="606"/>
      <c r="AA131" s="606">
        <v>127295.39</v>
      </c>
      <c r="AB131" s="606">
        <v>113379.22</v>
      </c>
      <c r="AC131" s="606">
        <v>-240674.61</v>
      </c>
      <c r="AD131" s="606">
        <v>0</v>
      </c>
      <c r="AE131" s="606">
        <v>0</v>
      </c>
      <c r="AF131" s="606">
        <v>0</v>
      </c>
      <c r="AG131" s="606"/>
      <c r="AH131" s="606"/>
      <c r="AI131" s="606"/>
      <c r="AJ131" s="606"/>
      <c r="AK131" s="606"/>
      <c r="AL131" s="606"/>
      <c r="AM131" s="606">
        <v>0</v>
      </c>
      <c r="AN131" s="606">
        <v>0</v>
      </c>
      <c r="AO131" s="606"/>
      <c r="AP131" s="606">
        <v>0</v>
      </c>
      <c r="AQ131" s="606">
        <v>0</v>
      </c>
      <c r="AR131" s="606"/>
      <c r="AS131" s="606">
        <v>0</v>
      </c>
      <c r="AT131" s="606"/>
      <c r="AU131" s="606">
        <v>127295.39</v>
      </c>
      <c r="AV131" s="606">
        <v>113379.22</v>
      </c>
      <c r="AW131" s="606">
        <v>-240674.61</v>
      </c>
      <c r="AX131" s="606"/>
      <c r="AY131" s="606"/>
      <c r="AZ131" s="606"/>
      <c r="BA131" s="606"/>
      <c r="BB131" s="606"/>
      <c r="BC131" s="606"/>
      <c r="BD131" s="606"/>
      <c r="BE131" s="606"/>
      <c r="BF131" s="606"/>
      <c r="BG131" s="606">
        <v>0</v>
      </c>
      <c r="BH131" s="606">
        <v>127295.39</v>
      </c>
      <c r="BI131" s="606">
        <v>113379.22</v>
      </c>
      <c r="BJ131" s="606">
        <v>-240674.61</v>
      </c>
      <c r="BK131" s="606"/>
      <c r="BL131" s="606"/>
      <c r="BM131" s="606"/>
      <c r="BN131" s="606"/>
      <c r="BO131" s="606"/>
      <c r="BP131" s="606"/>
      <c r="BQ131" s="606"/>
      <c r="BR131" s="606"/>
      <c r="BS131" s="606"/>
      <c r="BT131" s="606">
        <v>0</v>
      </c>
    </row>
    <row r="132" spans="1:72" hidden="1">
      <c r="A132" t="s">
        <v>1948</v>
      </c>
      <c r="B132" t="s">
        <v>2953</v>
      </c>
      <c r="C132" t="s">
        <v>485</v>
      </c>
      <c r="D132" t="s">
        <v>1949</v>
      </c>
      <c r="E132" t="s">
        <v>1136</v>
      </c>
      <c r="F132" t="s">
        <v>1566</v>
      </c>
      <c r="G132" t="s">
        <v>1135</v>
      </c>
      <c r="H132" t="s">
        <v>1145</v>
      </c>
      <c r="I132" t="s">
        <v>1135</v>
      </c>
      <c r="J132" t="s">
        <v>1145</v>
      </c>
      <c r="K132" t="s">
        <v>1137</v>
      </c>
      <c r="L132" t="s">
        <v>389</v>
      </c>
      <c r="M132" t="s">
        <v>1947</v>
      </c>
      <c r="P132" t="s">
        <v>486</v>
      </c>
      <c r="Q132" t="s">
        <v>1153</v>
      </c>
      <c r="T132" t="s">
        <v>487</v>
      </c>
      <c r="W132" s="606">
        <v>0</v>
      </c>
      <c r="X132" s="606">
        <v>0</v>
      </c>
      <c r="Y132" s="606"/>
      <c r="Z132" s="606"/>
      <c r="AA132" s="606"/>
      <c r="AB132" s="606">
        <v>-68030</v>
      </c>
      <c r="AC132" s="606">
        <v>68030</v>
      </c>
      <c r="AD132" s="606">
        <v>0</v>
      </c>
      <c r="AE132" s="606">
        <v>0</v>
      </c>
      <c r="AF132" s="606">
        <v>0</v>
      </c>
      <c r="AG132" s="606"/>
      <c r="AH132" s="606"/>
      <c r="AI132" s="606"/>
      <c r="AJ132" s="606"/>
      <c r="AK132" s="606"/>
      <c r="AL132" s="606"/>
      <c r="AM132" s="606">
        <v>0</v>
      </c>
      <c r="AN132" s="606">
        <v>0</v>
      </c>
      <c r="AO132" s="606"/>
      <c r="AP132" s="606">
        <v>0</v>
      </c>
      <c r="AQ132" s="606">
        <v>0</v>
      </c>
      <c r="AR132" s="606"/>
      <c r="AS132" s="606">
        <v>0</v>
      </c>
      <c r="AT132" s="606"/>
      <c r="AU132" s="606"/>
      <c r="AV132" s="606">
        <v>-68030</v>
      </c>
      <c r="AW132" s="606">
        <v>68030</v>
      </c>
      <c r="AX132" s="606"/>
      <c r="AY132" s="606"/>
      <c r="AZ132" s="606"/>
      <c r="BA132" s="606"/>
      <c r="BB132" s="606"/>
      <c r="BC132" s="606"/>
      <c r="BD132" s="606"/>
      <c r="BE132" s="606"/>
      <c r="BF132" s="606"/>
      <c r="BG132" s="606">
        <v>0</v>
      </c>
      <c r="BH132" s="606"/>
      <c r="BI132" s="606">
        <v>-68030</v>
      </c>
      <c r="BJ132" s="606">
        <v>68030</v>
      </c>
      <c r="BK132" s="606"/>
      <c r="BL132" s="606"/>
      <c r="BM132" s="606"/>
      <c r="BN132" s="606"/>
      <c r="BO132" s="606"/>
      <c r="BP132" s="606"/>
      <c r="BQ132" s="606"/>
      <c r="BR132" s="606"/>
      <c r="BS132" s="606"/>
      <c r="BT132" s="606">
        <v>0</v>
      </c>
    </row>
    <row r="133" spans="1:72" hidden="1">
      <c r="A133" t="s">
        <v>2527</v>
      </c>
      <c r="B133" t="s">
        <v>2953</v>
      </c>
      <c r="C133" t="s">
        <v>852</v>
      </c>
      <c r="D133" t="s">
        <v>2528</v>
      </c>
      <c r="E133" t="s">
        <v>1136</v>
      </c>
      <c r="F133" t="s">
        <v>1566</v>
      </c>
      <c r="G133" t="s">
        <v>1135</v>
      </c>
      <c r="H133" t="s">
        <v>1145</v>
      </c>
      <c r="I133" t="s">
        <v>1135</v>
      </c>
      <c r="J133" t="s">
        <v>1145</v>
      </c>
      <c r="K133" t="s">
        <v>1137</v>
      </c>
      <c r="L133" t="s">
        <v>639</v>
      </c>
      <c r="M133" t="s">
        <v>1947</v>
      </c>
      <c r="P133" t="s">
        <v>486</v>
      </c>
      <c r="Q133" t="s">
        <v>1153</v>
      </c>
      <c r="T133" t="s">
        <v>487</v>
      </c>
      <c r="W133" s="606">
        <v>0</v>
      </c>
      <c r="X133" s="606">
        <v>0</v>
      </c>
      <c r="Y133" s="606"/>
      <c r="Z133" s="606"/>
      <c r="AA133" s="606"/>
      <c r="AB133" s="606">
        <v>-158800</v>
      </c>
      <c r="AC133" s="606">
        <v>158800</v>
      </c>
      <c r="AD133" s="606">
        <v>0</v>
      </c>
      <c r="AE133" s="606">
        <v>0</v>
      </c>
      <c r="AF133" s="606">
        <v>0</v>
      </c>
      <c r="AG133" s="606"/>
      <c r="AH133" s="606"/>
      <c r="AI133" s="606"/>
      <c r="AJ133" s="606"/>
      <c r="AK133" s="606"/>
      <c r="AL133" s="606"/>
      <c r="AM133" s="606">
        <v>0</v>
      </c>
      <c r="AN133" s="606">
        <v>0</v>
      </c>
      <c r="AO133" s="606"/>
      <c r="AP133" s="606">
        <v>0</v>
      </c>
      <c r="AQ133" s="606">
        <v>0</v>
      </c>
      <c r="AR133" s="606"/>
      <c r="AS133" s="606">
        <v>0</v>
      </c>
      <c r="AT133" s="606"/>
      <c r="AU133" s="606"/>
      <c r="AV133" s="606">
        <v>-158800</v>
      </c>
      <c r="AW133" s="606">
        <v>158800</v>
      </c>
      <c r="AX133" s="606"/>
      <c r="AY133" s="606"/>
      <c r="AZ133" s="606"/>
      <c r="BA133" s="606"/>
      <c r="BB133" s="606"/>
      <c r="BC133" s="606"/>
      <c r="BD133" s="606"/>
      <c r="BE133" s="606"/>
      <c r="BF133" s="606"/>
      <c r="BG133" s="606">
        <v>0</v>
      </c>
      <c r="BH133" s="606"/>
      <c r="BI133" s="606">
        <v>-158800</v>
      </c>
      <c r="BJ133" s="606">
        <v>158800</v>
      </c>
      <c r="BK133" s="606"/>
      <c r="BL133" s="606"/>
      <c r="BM133" s="606"/>
      <c r="BN133" s="606"/>
      <c r="BO133" s="606"/>
      <c r="BP133" s="606"/>
      <c r="BQ133" s="606"/>
      <c r="BR133" s="606"/>
      <c r="BS133" s="606"/>
      <c r="BT133" s="606">
        <v>0</v>
      </c>
    </row>
    <row r="134" spans="1:72" hidden="1">
      <c r="A134" t="s">
        <v>1328</v>
      </c>
      <c r="B134" t="s">
        <v>2953</v>
      </c>
      <c r="C134" t="s">
        <v>146</v>
      </c>
      <c r="D134" t="s">
        <v>1329</v>
      </c>
      <c r="E134" t="s">
        <v>1136</v>
      </c>
      <c r="F134" t="s">
        <v>1566</v>
      </c>
      <c r="G134" t="s">
        <v>1135</v>
      </c>
      <c r="H134" t="s">
        <v>1135</v>
      </c>
      <c r="I134" t="s">
        <v>1135</v>
      </c>
      <c r="J134" t="s">
        <v>1137</v>
      </c>
      <c r="K134" t="s">
        <v>1137</v>
      </c>
      <c r="L134" t="s">
        <v>49</v>
      </c>
      <c r="M134" t="s">
        <v>1327</v>
      </c>
      <c r="P134" t="s">
        <v>147</v>
      </c>
      <c r="T134" t="s">
        <v>25</v>
      </c>
      <c r="U134" t="s">
        <v>1141</v>
      </c>
      <c r="W134" s="606">
        <v>0</v>
      </c>
      <c r="X134" s="606">
        <v>1220.75</v>
      </c>
      <c r="Y134" s="606"/>
      <c r="Z134" s="606"/>
      <c r="AA134" s="606">
        <v>669.53</v>
      </c>
      <c r="AB134" s="606">
        <v>7.26</v>
      </c>
      <c r="AC134" s="606">
        <v>543.96</v>
      </c>
      <c r="AD134" s="606">
        <v>129.34999999999997</v>
      </c>
      <c r="AE134" s="606">
        <v>286.95999999999998</v>
      </c>
      <c r="AF134" s="606">
        <v>206.12999999999997</v>
      </c>
      <c r="AG134" s="606">
        <v>0</v>
      </c>
      <c r="AH134" s="606">
        <v>0</v>
      </c>
      <c r="AI134" s="606">
        <v>0</v>
      </c>
      <c r="AJ134" s="606">
        <v>0</v>
      </c>
      <c r="AK134" s="606">
        <v>0</v>
      </c>
      <c r="AL134" s="606">
        <v>0</v>
      </c>
      <c r="AM134" s="606">
        <v>1843.1899999999998</v>
      </c>
      <c r="AN134" s="606">
        <v>622.43999999999983</v>
      </c>
      <c r="AO134" s="606">
        <v>0</v>
      </c>
      <c r="AP134" s="606">
        <v>206.12999999999997</v>
      </c>
      <c r="AQ134" s="606">
        <v>622.43999999999983</v>
      </c>
      <c r="AR134" s="606"/>
      <c r="AS134" s="606">
        <v>622.43999999999983</v>
      </c>
      <c r="AT134" s="606"/>
      <c r="AU134" s="606">
        <v>669.53</v>
      </c>
      <c r="AV134" s="606">
        <v>7.26</v>
      </c>
      <c r="AW134" s="606">
        <v>543.96</v>
      </c>
      <c r="AX134" s="606">
        <v>0</v>
      </c>
      <c r="AY134" s="606">
        <v>0</v>
      </c>
      <c r="AZ134" s="606">
        <v>0</v>
      </c>
      <c r="BA134" s="606">
        <v>0</v>
      </c>
      <c r="BB134" s="606">
        <v>0</v>
      </c>
      <c r="BC134" s="606">
        <v>0</v>
      </c>
      <c r="BD134" s="606">
        <v>0</v>
      </c>
      <c r="BE134" s="606">
        <v>0</v>
      </c>
      <c r="BF134" s="606">
        <v>0</v>
      </c>
      <c r="BG134" s="606">
        <v>1220.75</v>
      </c>
      <c r="BH134" s="606">
        <v>669.53</v>
      </c>
      <c r="BI134" s="606">
        <v>7.26</v>
      </c>
      <c r="BJ134" s="606">
        <v>543.96</v>
      </c>
      <c r="BK134" s="606">
        <v>0</v>
      </c>
      <c r="BL134" s="606">
        <v>0</v>
      </c>
      <c r="BM134" s="606">
        <v>0</v>
      </c>
      <c r="BN134" s="606">
        <v>0</v>
      </c>
      <c r="BO134" s="606">
        <v>0</v>
      </c>
      <c r="BP134" s="606">
        <v>0</v>
      </c>
      <c r="BQ134" s="606">
        <v>0</v>
      </c>
      <c r="BR134" s="606">
        <v>0</v>
      </c>
      <c r="BS134" s="606">
        <v>0</v>
      </c>
      <c r="BT134" s="606">
        <v>1220.75</v>
      </c>
    </row>
    <row r="135" spans="1:72" hidden="1">
      <c r="A135" t="s">
        <v>1330</v>
      </c>
      <c r="B135" t="s">
        <v>2953</v>
      </c>
      <c r="C135" t="s">
        <v>146</v>
      </c>
      <c r="D135" t="s">
        <v>1331</v>
      </c>
      <c r="E135" t="s">
        <v>1136</v>
      </c>
      <c r="F135" t="s">
        <v>1566</v>
      </c>
      <c r="G135" t="s">
        <v>1135</v>
      </c>
      <c r="H135" t="s">
        <v>1145</v>
      </c>
      <c r="I135" t="s">
        <v>1135</v>
      </c>
      <c r="J135" t="s">
        <v>1145</v>
      </c>
      <c r="K135" t="s">
        <v>1137</v>
      </c>
      <c r="L135" t="s">
        <v>49</v>
      </c>
      <c r="M135" t="s">
        <v>1327</v>
      </c>
      <c r="P135" t="s">
        <v>147</v>
      </c>
      <c r="T135" t="s">
        <v>25</v>
      </c>
      <c r="W135" s="606">
        <v>0</v>
      </c>
      <c r="X135" s="606">
        <v>5030.5599999999995</v>
      </c>
      <c r="Y135" s="606"/>
      <c r="Z135" s="606"/>
      <c r="AA135" s="606">
        <v>-0.36</v>
      </c>
      <c r="AB135" s="606">
        <v>0.35</v>
      </c>
      <c r="AC135" s="606">
        <v>5030.57</v>
      </c>
      <c r="AD135" s="606">
        <v>0.46</v>
      </c>
      <c r="AE135" s="606">
        <v>0.34</v>
      </c>
      <c r="AF135" s="606">
        <v>-0.41</v>
      </c>
      <c r="AG135" s="606">
        <v>0</v>
      </c>
      <c r="AH135" s="606">
        <v>0</v>
      </c>
      <c r="AI135" s="606">
        <v>0</v>
      </c>
      <c r="AJ135" s="606">
        <v>0</v>
      </c>
      <c r="AK135" s="606">
        <v>0</v>
      </c>
      <c r="AL135" s="606">
        <v>0</v>
      </c>
      <c r="AM135" s="606">
        <v>5030.95</v>
      </c>
      <c r="AN135" s="606">
        <v>0.39000000000032742</v>
      </c>
      <c r="AO135" s="606">
        <v>0</v>
      </c>
      <c r="AP135" s="606">
        <v>-0.41</v>
      </c>
      <c r="AQ135" s="606">
        <v>0.39000000000032742</v>
      </c>
      <c r="AR135" s="606"/>
      <c r="AS135" s="606">
        <v>0.39000000000032742</v>
      </c>
      <c r="AT135" s="606"/>
      <c r="AU135" s="606">
        <v>-0.36</v>
      </c>
      <c r="AV135" s="606">
        <v>0.35</v>
      </c>
      <c r="AW135" s="606">
        <v>5030.57</v>
      </c>
      <c r="AX135" s="606">
        <v>0</v>
      </c>
      <c r="AY135" s="606">
        <v>0</v>
      </c>
      <c r="AZ135" s="606">
        <v>0</v>
      </c>
      <c r="BA135" s="606">
        <v>0</v>
      </c>
      <c r="BB135" s="606">
        <v>0</v>
      </c>
      <c r="BC135" s="606">
        <v>0</v>
      </c>
      <c r="BD135" s="606">
        <v>0</v>
      </c>
      <c r="BE135" s="606">
        <v>0</v>
      </c>
      <c r="BF135" s="606">
        <v>0</v>
      </c>
      <c r="BG135" s="606">
        <v>5030.5599999999995</v>
      </c>
      <c r="BH135" s="606">
        <v>-0.36</v>
      </c>
      <c r="BI135" s="606">
        <v>0.35</v>
      </c>
      <c r="BJ135" s="606">
        <v>5030.57</v>
      </c>
      <c r="BK135" s="606">
        <v>0</v>
      </c>
      <c r="BL135" s="606">
        <v>0</v>
      </c>
      <c r="BM135" s="606">
        <v>0</v>
      </c>
      <c r="BN135" s="606">
        <v>0</v>
      </c>
      <c r="BO135" s="606">
        <v>0</v>
      </c>
      <c r="BP135" s="606">
        <v>0</v>
      </c>
      <c r="BQ135" s="606">
        <v>0</v>
      </c>
      <c r="BR135" s="606">
        <v>0</v>
      </c>
      <c r="BS135" s="606">
        <v>0</v>
      </c>
      <c r="BT135" s="606">
        <v>5030.5599999999995</v>
      </c>
    </row>
    <row r="136" spans="1:72" hidden="1">
      <c r="A136" t="s">
        <v>1332</v>
      </c>
      <c r="B136" t="s">
        <v>2953</v>
      </c>
      <c r="C136" t="s">
        <v>146</v>
      </c>
      <c r="D136" t="s">
        <v>1333</v>
      </c>
      <c r="E136" t="s">
        <v>1136</v>
      </c>
      <c r="F136" t="s">
        <v>1566</v>
      </c>
      <c r="G136" t="s">
        <v>1135</v>
      </c>
      <c r="H136" t="s">
        <v>1156</v>
      </c>
      <c r="I136" t="s">
        <v>1135</v>
      </c>
      <c r="J136" t="s">
        <v>1156</v>
      </c>
      <c r="K136" t="s">
        <v>1137</v>
      </c>
      <c r="L136" t="s">
        <v>49</v>
      </c>
      <c r="M136" t="s">
        <v>1327</v>
      </c>
      <c r="P136" t="s">
        <v>147</v>
      </c>
      <c r="T136" t="s">
        <v>25</v>
      </c>
      <c r="W136" s="606">
        <v>0</v>
      </c>
      <c r="X136" s="606">
        <v>-0.26</v>
      </c>
      <c r="Y136" s="606"/>
      <c r="Z136" s="606"/>
      <c r="AA136" s="606">
        <v>-0.38</v>
      </c>
      <c r="AB136" s="606">
        <v>0.21</v>
      </c>
      <c r="AC136" s="606">
        <v>-0.09</v>
      </c>
      <c r="AD136" s="606">
        <v>0.14000000000000001</v>
      </c>
      <c r="AE136" s="606">
        <v>0.52</v>
      </c>
      <c r="AF136" s="606">
        <v>-0.63</v>
      </c>
      <c r="AG136" s="606">
        <v>0</v>
      </c>
      <c r="AH136" s="606">
        <v>0</v>
      </c>
      <c r="AI136" s="606">
        <v>0</v>
      </c>
      <c r="AJ136" s="606">
        <v>0</v>
      </c>
      <c r="AK136" s="606">
        <v>0</v>
      </c>
      <c r="AL136" s="606">
        <v>0</v>
      </c>
      <c r="AM136" s="606">
        <v>-0.22999999999999998</v>
      </c>
      <c r="AN136" s="606">
        <v>3.0000000000000027E-2</v>
      </c>
      <c r="AO136" s="606">
        <v>0</v>
      </c>
      <c r="AP136" s="606">
        <v>-0.63</v>
      </c>
      <c r="AQ136" s="606">
        <v>3.0000000000000027E-2</v>
      </c>
      <c r="AR136" s="606"/>
      <c r="AS136" s="606">
        <v>3.0000000000000027E-2</v>
      </c>
      <c r="AT136" s="606"/>
      <c r="AU136" s="606">
        <v>-0.38</v>
      </c>
      <c r="AV136" s="606">
        <v>0.21</v>
      </c>
      <c r="AW136" s="606">
        <v>-0.09</v>
      </c>
      <c r="AX136" s="606">
        <v>0</v>
      </c>
      <c r="AY136" s="606">
        <v>0</v>
      </c>
      <c r="AZ136" s="606">
        <v>0</v>
      </c>
      <c r="BA136" s="606">
        <v>0</v>
      </c>
      <c r="BB136" s="606">
        <v>0</v>
      </c>
      <c r="BC136" s="606">
        <v>0</v>
      </c>
      <c r="BD136" s="606">
        <v>0</v>
      </c>
      <c r="BE136" s="606">
        <v>0</v>
      </c>
      <c r="BF136" s="606">
        <v>0</v>
      </c>
      <c r="BG136" s="606">
        <v>-0.26</v>
      </c>
      <c r="BH136" s="606">
        <v>-0.38</v>
      </c>
      <c r="BI136" s="606">
        <v>0.21</v>
      </c>
      <c r="BJ136" s="606">
        <v>-0.09</v>
      </c>
      <c r="BK136" s="606">
        <v>0</v>
      </c>
      <c r="BL136" s="606">
        <v>0</v>
      </c>
      <c r="BM136" s="606">
        <v>0</v>
      </c>
      <c r="BN136" s="606">
        <v>0</v>
      </c>
      <c r="BO136" s="606">
        <v>0</v>
      </c>
      <c r="BP136" s="606">
        <v>0</v>
      </c>
      <c r="BQ136" s="606">
        <v>0</v>
      </c>
      <c r="BR136" s="606">
        <v>0</v>
      </c>
      <c r="BS136" s="606">
        <v>0</v>
      </c>
      <c r="BT136" s="606">
        <v>-0.26</v>
      </c>
    </row>
    <row r="137" spans="1:72" hidden="1">
      <c r="A137" t="s">
        <v>1335</v>
      </c>
      <c r="B137" t="s">
        <v>2953</v>
      </c>
      <c r="C137" t="s">
        <v>146</v>
      </c>
      <c r="D137" t="s">
        <v>1336</v>
      </c>
      <c r="E137" t="s">
        <v>1136</v>
      </c>
      <c r="F137" t="s">
        <v>1566</v>
      </c>
      <c r="G137" t="s">
        <v>1135</v>
      </c>
      <c r="H137" t="s">
        <v>1165</v>
      </c>
      <c r="I137" t="s">
        <v>1135</v>
      </c>
      <c r="J137" t="s">
        <v>1165</v>
      </c>
      <c r="K137" t="s">
        <v>1137</v>
      </c>
      <c r="L137" t="s">
        <v>49</v>
      </c>
      <c r="M137" t="s">
        <v>1327</v>
      </c>
      <c r="P137" t="s">
        <v>147</v>
      </c>
      <c r="T137" t="s">
        <v>25</v>
      </c>
      <c r="U137" t="s">
        <v>1338</v>
      </c>
      <c r="W137" s="606">
        <v>0</v>
      </c>
      <c r="X137" s="606">
        <v>0.35000000000000003</v>
      </c>
      <c r="Y137" s="606"/>
      <c r="Z137" s="606"/>
      <c r="AA137" s="606"/>
      <c r="AB137" s="606">
        <v>0.01</v>
      </c>
      <c r="AC137" s="606">
        <v>0.34</v>
      </c>
      <c r="AD137" s="606">
        <v>-0.67</v>
      </c>
      <c r="AE137" s="606">
        <v>0.2</v>
      </c>
      <c r="AF137" s="606">
        <v>8111.01</v>
      </c>
      <c r="AG137" s="606">
        <v>0</v>
      </c>
      <c r="AH137" s="606">
        <v>0</v>
      </c>
      <c r="AI137" s="606">
        <v>0</v>
      </c>
      <c r="AJ137" s="606">
        <v>0</v>
      </c>
      <c r="AK137" s="606">
        <v>0</v>
      </c>
      <c r="AL137" s="606">
        <v>0</v>
      </c>
      <c r="AM137" s="606">
        <v>8110.89</v>
      </c>
      <c r="AN137" s="606">
        <v>8110.54</v>
      </c>
      <c r="AO137" s="606">
        <v>0</v>
      </c>
      <c r="AP137" s="606">
        <v>8111.01</v>
      </c>
      <c r="AQ137" s="606">
        <v>8110.54</v>
      </c>
      <c r="AR137" s="606"/>
      <c r="AS137" s="606">
        <v>8110.54</v>
      </c>
      <c r="AT137" s="606"/>
      <c r="AU137" s="606"/>
      <c r="AV137" s="606">
        <v>0.01</v>
      </c>
      <c r="AW137" s="606">
        <v>0.34</v>
      </c>
      <c r="AX137" s="606">
        <v>0</v>
      </c>
      <c r="AY137" s="606">
        <v>0</v>
      </c>
      <c r="AZ137" s="606">
        <v>0</v>
      </c>
      <c r="BA137" s="606">
        <v>0</v>
      </c>
      <c r="BB137" s="606">
        <v>0</v>
      </c>
      <c r="BC137" s="606">
        <v>0</v>
      </c>
      <c r="BD137" s="606">
        <v>0</v>
      </c>
      <c r="BE137" s="606">
        <v>0</v>
      </c>
      <c r="BF137" s="606">
        <v>0</v>
      </c>
      <c r="BG137" s="606">
        <v>0.35000000000000003</v>
      </c>
      <c r="BH137" s="606"/>
      <c r="BI137" s="606">
        <v>0.01</v>
      </c>
      <c r="BJ137" s="606">
        <v>0.34</v>
      </c>
      <c r="BK137" s="606">
        <v>0</v>
      </c>
      <c r="BL137" s="606">
        <v>0</v>
      </c>
      <c r="BM137" s="606">
        <v>0</v>
      </c>
      <c r="BN137" s="606">
        <v>0</v>
      </c>
      <c r="BO137" s="606">
        <v>0</v>
      </c>
      <c r="BP137" s="606">
        <v>0</v>
      </c>
      <c r="BQ137" s="606">
        <v>0</v>
      </c>
      <c r="BR137" s="606">
        <v>0</v>
      </c>
      <c r="BS137" s="606">
        <v>0</v>
      </c>
      <c r="BT137" s="606">
        <v>0.35000000000000003</v>
      </c>
    </row>
    <row r="138" spans="1:72" hidden="1">
      <c r="A138" t="s">
        <v>1722</v>
      </c>
      <c r="B138" t="s">
        <v>2953</v>
      </c>
      <c r="C138" t="s">
        <v>375</v>
      </c>
      <c r="D138" t="s">
        <v>1723</v>
      </c>
      <c r="E138" t="s">
        <v>1136</v>
      </c>
      <c r="F138" t="s">
        <v>1566</v>
      </c>
      <c r="G138" t="s">
        <v>1135</v>
      </c>
      <c r="H138" t="s">
        <v>1135</v>
      </c>
      <c r="I138" t="s">
        <v>1135</v>
      </c>
      <c r="J138" t="s">
        <v>1137</v>
      </c>
      <c r="K138" t="s">
        <v>1137</v>
      </c>
      <c r="L138" t="s">
        <v>342</v>
      </c>
      <c r="M138" t="s">
        <v>1327</v>
      </c>
      <c r="P138" t="s">
        <v>147</v>
      </c>
      <c r="T138" t="s">
        <v>25</v>
      </c>
      <c r="U138" t="s">
        <v>1141</v>
      </c>
      <c r="W138" s="606">
        <v>0</v>
      </c>
      <c r="X138" s="606">
        <v>0.62000000000000011</v>
      </c>
      <c r="Y138" s="606"/>
      <c r="Z138" s="606"/>
      <c r="AA138" s="606">
        <v>-0.1</v>
      </c>
      <c r="AB138" s="606">
        <v>-0.09</v>
      </c>
      <c r="AC138" s="606">
        <v>0.81</v>
      </c>
      <c r="AD138" s="606">
        <v>-0.53</v>
      </c>
      <c r="AE138" s="606">
        <v>0.61</v>
      </c>
      <c r="AF138" s="606">
        <v>0</v>
      </c>
      <c r="AG138" s="606">
        <v>0</v>
      </c>
      <c r="AH138" s="606">
        <v>0</v>
      </c>
      <c r="AI138" s="606">
        <v>0</v>
      </c>
      <c r="AJ138" s="606">
        <v>0</v>
      </c>
      <c r="AK138" s="606">
        <v>0</v>
      </c>
      <c r="AL138" s="606">
        <v>0</v>
      </c>
      <c r="AM138" s="606">
        <v>0.70000000000000007</v>
      </c>
      <c r="AN138" s="606">
        <v>7.999999999999996E-2</v>
      </c>
      <c r="AO138" s="606">
        <v>0</v>
      </c>
      <c r="AP138" s="606">
        <v>0</v>
      </c>
      <c r="AQ138" s="606">
        <v>7.999999999999996E-2</v>
      </c>
      <c r="AR138" s="606"/>
      <c r="AS138" s="606">
        <v>7.999999999999996E-2</v>
      </c>
      <c r="AT138" s="606"/>
      <c r="AU138" s="606">
        <v>-0.1</v>
      </c>
      <c r="AV138" s="606">
        <v>-0.09</v>
      </c>
      <c r="AW138" s="606">
        <v>0.81</v>
      </c>
      <c r="AX138" s="606">
        <v>0</v>
      </c>
      <c r="AY138" s="606">
        <v>0</v>
      </c>
      <c r="AZ138" s="606">
        <v>0</v>
      </c>
      <c r="BA138" s="606">
        <v>0</v>
      </c>
      <c r="BB138" s="606">
        <v>0</v>
      </c>
      <c r="BC138" s="606">
        <v>0</v>
      </c>
      <c r="BD138" s="606">
        <v>0</v>
      </c>
      <c r="BE138" s="606">
        <v>0</v>
      </c>
      <c r="BF138" s="606">
        <v>0</v>
      </c>
      <c r="BG138" s="606">
        <v>0.62000000000000011</v>
      </c>
      <c r="BH138" s="606">
        <v>-0.1</v>
      </c>
      <c r="BI138" s="606">
        <v>-0.09</v>
      </c>
      <c r="BJ138" s="606">
        <v>0.81</v>
      </c>
      <c r="BK138" s="606">
        <v>0</v>
      </c>
      <c r="BL138" s="606">
        <v>0</v>
      </c>
      <c r="BM138" s="606">
        <v>0</v>
      </c>
      <c r="BN138" s="606">
        <v>0</v>
      </c>
      <c r="BO138" s="606">
        <v>0</v>
      </c>
      <c r="BP138" s="606">
        <v>0</v>
      </c>
      <c r="BQ138" s="606">
        <v>0</v>
      </c>
      <c r="BR138" s="606">
        <v>0</v>
      </c>
      <c r="BS138" s="606">
        <v>0</v>
      </c>
      <c r="BT138" s="606">
        <v>0.62000000000000011</v>
      </c>
    </row>
    <row r="139" spans="1:72" hidden="1">
      <c r="A139" t="s">
        <v>1953</v>
      </c>
      <c r="B139" t="s">
        <v>2953</v>
      </c>
      <c r="C139" t="s">
        <v>491</v>
      </c>
      <c r="D139" t="s">
        <v>491</v>
      </c>
      <c r="E139" t="s">
        <v>1136</v>
      </c>
      <c r="F139" t="s">
        <v>1566</v>
      </c>
      <c r="G139" t="s">
        <v>1135</v>
      </c>
      <c r="H139" t="s">
        <v>1135</v>
      </c>
      <c r="I139" t="s">
        <v>1135</v>
      </c>
      <c r="J139" t="s">
        <v>1135</v>
      </c>
      <c r="K139" t="s">
        <v>1137</v>
      </c>
      <c r="L139" t="s">
        <v>389</v>
      </c>
      <c r="M139" t="s">
        <v>1327</v>
      </c>
      <c r="P139" t="s">
        <v>147</v>
      </c>
      <c r="T139" t="s">
        <v>25</v>
      </c>
      <c r="W139" s="606">
        <v>0</v>
      </c>
      <c r="X139" s="606">
        <v>0.03</v>
      </c>
      <c r="Y139" s="606"/>
      <c r="Z139" s="606"/>
      <c r="AA139" s="606">
        <v>7.0000000000000007E-2</v>
      </c>
      <c r="AB139" s="606">
        <v>-0.2</v>
      </c>
      <c r="AC139" s="606">
        <v>0.16</v>
      </c>
      <c r="AD139" s="606">
        <v>-0.28999999999999998</v>
      </c>
      <c r="AE139" s="606">
        <v>71439.95</v>
      </c>
      <c r="AF139" s="606">
        <v>1.9999999999999997E-2</v>
      </c>
      <c r="AG139" s="606">
        <v>0</v>
      </c>
      <c r="AH139" s="606">
        <v>0</v>
      </c>
      <c r="AI139" s="606">
        <v>0</v>
      </c>
      <c r="AJ139" s="606">
        <v>0</v>
      </c>
      <c r="AK139" s="606">
        <v>0</v>
      </c>
      <c r="AL139" s="606">
        <v>0</v>
      </c>
      <c r="AM139" s="606">
        <v>71439.710000000006</v>
      </c>
      <c r="AN139" s="606">
        <v>71439.680000000008</v>
      </c>
      <c r="AO139" s="606">
        <v>0</v>
      </c>
      <c r="AP139" s="606">
        <v>1.9999999999999997E-2</v>
      </c>
      <c r="AQ139" s="606">
        <v>71439.680000000008</v>
      </c>
      <c r="AR139" s="606"/>
      <c r="AS139" s="606">
        <v>71439.680000000008</v>
      </c>
      <c r="AT139" s="606"/>
      <c r="AU139" s="606">
        <v>7.0000000000000007E-2</v>
      </c>
      <c r="AV139" s="606">
        <v>-0.2</v>
      </c>
      <c r="AW139" s="606">
        <v>0.16</v>
      </c>
      <c r="AX139" s="606">
        <v>0</v>
      </c>
      <c r="AY139" s="606">
        <v>0</v>
      </c>
      <c r="AZ139" s="606">
        <v>0</v>
      </c>
      <c r="BA139" s="606">
        <v>0</v>
      </c>
      <c r="BB139" s="606">
        <v>0</v>
      </c>
      <c r="BC139" s="606">
        <v>0</v>
      </c>
      <c r="BD139" s="606">
        <v>0</v>
      </c>
      <c r="BE139" s="606">
        <v>0</v>
      </c>
      <c r="BF139" s="606">
        <v>0</v>
      </c>
      <c r="BG139" s="606">
        <v>0.03</v>
      </c>
      <c r="BH139" s="606">
        <v>7.0000000000000007E-2</v>
      </c>
      <c r="BI139" s="606">
        <v>-0.2</v>
      </c>
      <c r="BJ139" s="606">
        <v>0.16</v>
      </c>
      <c r="BK139" s="606">
        <v>0</v>
      </c>
      <c r="BL139" s="606">
        <v>0</v>
      </c>
      <c r="BM139" s="606">
        <v>0</v>
      </c>
      <c r="BN139" s="606">
        <v>0</v>
      </c>
      <c r="BO139" s="606">
        <v>0</v>
      </c>
      <c r="BP139" s="606">
        <v>0</v>
      </c>
      <c r="BQ139" s="606">
        <v>0</v>
      </c>
      <c r="BR139" s="606">
        <v>0</v>
      </c>
      <c r="BS139" s="606">
        <v>0</v>
      </c>
      <c r="BT139" s="606">
        <v>0.03</v>
      </c>
    </row>
    <row r="140" spans="1:72" hidden="1">
      <c r="A140" t="s">
        <v>1954</v>
      </c>
      <c r="B140" t="s">
        <v>2953</v>
      </c>
      <c r="C140" t="s">
        <v>491</v>
      </c>
      <c r="D140" t="s">
        <v>1955</v>
      </c>
      <c r="E140" t="s">
        <v>1136</v>
      </c>
      <c r="F140" t="s">
        <v>1566</v>
      </c>
      <c r="G140" t="s">
        <v>1135</v>
      </c>
      <c r="H140" t="s">
        <v>1135</v>
      </c>
      <c r="I140" t="s">
        <v>1135</v>
      </c>
      <c r="J140" t="s">
        <v>1137</v>
      </c>
      <c r="K140" t="s">
        <v>1137</v>
      </c>
      <c r="L140" t="s">
        <v>389</v>
      </c>
      <c r="M140" t="s">
        <v>1327</v>
      </c>
      <c r="P140" t="s">
        <v>147</v>
      </c>
      <c r="T140" t="s">
        <v>25</v>
      </c>
      <c r="U140" t="s">
        <v>1141</v>
      </c>
      <c r="W140" s="606">
        <v>0</v>
      </c>
      <c r="X140" s="606">
        <v>1777.1799999999998</v>
      </c>
      <c r="Y140" s="606"/>
      <c r="Z140" s="606"/>
      <c r="AA140" s="606">
        <v>843.63</v>
      </c>
      <c r="AB140" s="606">
        <v>-313.26</v>
      </c>
      <c r="AC140" s="606">
        <v>1246.81</v>
      </c>
      <c r="AD140" s="606">
        <v>1159.5900000000001</v>
      </c>
      <c r="AE140" s="606">
        <v>1531.64</v>
      </c>
      <c r="AF140" s="606">
        <v>324.64</v>
      </c>
      <c r="AG140" s="606">
        <v>0</v>
      </c>
      <c r="AH140" s="606">
        <v>0</v>
      </c>
      <c r="AI140" s="606">
        <v>0</v>
      </c>
      <c r="AJ140" s="606">
        <v>0</v>
      </c>
      <c r="AK140" s="606">
        <v>0</v>
      </c>
      <c r="AL140" s="606">
        <v>0</v>
      </c>
      <c r="AM140" s="606">
        <v>4793.05</v>
      </c>
      <c r="AN140" s="606">
        <v>3015.8700000000003</v>
      </c>
      <c r="AO140" s="606">
        <v>0</v>
      </c>
      <c r="AP140" s="606">
        <v>324.64</v>
      </c>
      <c r="AQ140" s="606">
        <v>3015.8700000000003</v>
      </c>
      <c r="AR140" s="606"/>
      <c r="AS140" s="606">
        <v>3015.8700000000003</v>
      </c>
      <c r="AT140" s="606"/>
      <c r="AU140" s="606">
        <v>843.63</v>
      </c>
      <c r="AV140" s="606">
        <v>-313.26</v>
      </c>
      <c r="AW140" s="606">
        <v>1246.81</v>
      </c>
      <c r="AX140" s="606">
        <v>0</v>
      </c>
      <c r="AY140" s="606">
        <v>0</v>
      </c>
      <c r="AZ140" s="606">
        <v>0</v>
      </c>
      <c r="BA140" s="606">
        <v>0</v>
      </c>
      <c r="BB140" s="606">
        <v>0</v>
      </c>
      <c r="BC140" s="606">
        <v>0</v>
      </c>
      <c r="BD140" s="606">
        <v>0</v>
      </c>
      <c r="BE140" s="606">
        <v>0</v>
      </c>
      <c r="BF140" s="606">
        <v>0</v>
      </c>
      <c r="BG140" s="606">
        <v>1777.1799999999998</v>
      </c>
      <c r="BH140" s="606">
        <v>843.63</v>
      </c>
      <c r="BI140" s="606">
        <v>-313.26</v>
      </c>
      <c r="BJ140" s="606">
        <v>1246.81</v>
      </c>
      <c r="BK140" s="606">
        <v>0</v>
      </c>
      <c r="BL140" s="606">
        <v>0</v>
      </c>
      <c r="BM140" s="606">
        <v>0</v>
      </c>
      <c r="BN140" s="606">
        <v>0</v>
      </c>
      <c r="BO140" s="606">
        <v>0</v>
      </c>
      <c r="BP140" s="606">
        <v>0</v>
      </c>
      <c r="BQ140" s="606">
        <v>0</v>
      </c>
      <c r="BR140" s="606">
        <v>0</v>
      </c>
      <c r="BS140" s="606">
        <v>0</v>
      </c>
      <c r="BT140" s="606">
        <v>1777.1799999999998</v>
      </c>
    </row>
    <row r="141" spans="1:72" hidden="1">
      <c r="A141" t="s">
        <v>1957</v>
      </c>
      <c r="B141" t="s">
        <v>2953</v>
      </c>
      <c r="C141" t="s">
        <v>491</v>
      </c>
      <c r="D141" t="s">
        <v>1958</v>
      </c>
      <c r="E141" t="s">
        <v>1136</v>
      </c>
      <c r="F141" t="s">
        <v>1566</v>
      </c>
      <c r="G141" t="s">
        <v>1135</v>
      </c>
      <c r="H141" t="s">
        <v>1145</v>
      </c>
      <c r="I141" t="s">
        <v>1135</v>
      </c>
      <c r="J141" t="s">
        <v>1145</v>
      </c>
      <c r="K141" t="s">
        <v>1137</v>
      </c>
      <c r="L141" t="s">
        <v>389</v>
      </c>
      <c r="M141" t="s">
        <v>1327</v>
      </c>
      <c r="P141" t="s">
        <v>147</v>
      </c>
      <c r="T141" t="s">
        <v>25</v>
      </c>
      <c r="W141" s="606">
        <v>0</v>
      </c>
      <c r="X141" s="606">
        <v>-0.12</v>
      </c>
      <c r="Y141" s="606"/>
      <c r="Z141" s="606"/>
      <c r="AA141" s="606">
        <v>0.02</v>
      </c>
      <c r="AB141" s="606">
        <v>0.04</v>
      </c>
      <c r="AC141" s="606">
        <v>-0.18</v>
      </c>
      <c r="AD141" s="606">
        <v>-0.02</v>
      </c>
      <c r="AE141" s="606">
        <v>0.19</v>
      </c>
      <c r="AF141" s="606">
        <v>-0.36</v>
      </c>
      <c r="AG141" s="606">
        <v>0</v>
      </c>
      <c r="AH141" s="606">
        <v>0</v>
      </c>
      <c r="AI141" s="606">
        <v>0</v>
      </c>
      <c r="AJ141" s="606">
        <v>0</v>
      </c>
      <c r="AK141" s="606">
        <v>0</v>
      </c>
      <c r="AL141" s="606">
        <v>0</v>
      </c>
      <c r="AM141" s="606">
        <v>-0.30999999999999994</v>
      </c>
      <c r="AN141" s="606">
        <v>-0.18999999999999995</v>
      </c>
      <c r="AO141" s="606">
        <v>0</v>
      </c>
      <c r="AP141" s="606">
        <v>-0.36</v>
      </c>
      <c r="AQ141" s="606">
        <v>-0.18999999999999995</v>
      </c>
      <c r="AR141" s="606"/>
      <c r="AS141" s="606">
        <v>-0.18999999999999995</v>
      </c>
      <c r="AT141" s="606"/>
      <c r="AU141" s="606">
        <v>0.02</v>
      </c>
      <c r="AV141" s="606">
        <v>0.04</v>
      </c>
      <c r="AW141" s="606">
        <v>-0.18</v>
      </c>
      <c r="AX141" s="606">
        <v>0</v>
      </c>
      <c r="AY141" s="606">
        <v>0</v>
      </c>
      <c r="AZ141" s="606">
        <v>0</v>
      </c>
      <c r="BA141" s="606">
        <v>0</v>
      </c>
      <c r="BB141" s="606">
        <v>0</v>
      </c>
      <c r="BC141" s="606">
        <v>0</v>
      </c>
      <c r="BD141" s="606">
        <v>0</v>
      </c>
      <c r="BE141" s="606">
        <v>0</v>
      </c>
      <c r="BF141" s="606">
        <v>0</v>
      </c>
      <c r="BG141" s="606">
        <v>-0.12</v>
      </c>
      <c r="BH141" s="606">
        <v>0.02</v>
      </c>
      <c r="BI141" s="606">
        <v>0.04</v>
      </c>
      <c r="BJ141" s="606">
        <v>-0.18</v>
      </c>
      <c r="BK141" s="606">
        <v>0</v>
      </c>
      <c r="BL141" s="606">
        <v>0</v>
      </c>
      <c r="BM141" s="606">
        <v>0</v>
      </c>
      <c r="BN141" s="606">
        <v>0</v>
      </c>
      <c r="BO141" s="606">
        <v>0</v>
      </c>
      <c r="BP141" s="606">
        <v>0</v>
      </c>
      <c r="BQ141" s="606">
        <v>0</v>
      </c>
      <c r="BR141" s="606">
        <v>0</v>
      </c>
      <c r="BS141" s="606">
        <v>0</v>
      </c>
      <c r="BT141" s="606">
        <v>-0.12</v>
      </c>
    </row>
    <row r="142" spans="1:72" hidden="1">
      <c r="A142" t="s">
        <v>1959</v>
      </c>
      <c r="B142" t="s">
        <v>2953</v>
      </c>
      <c r="C142" t="s">
        <v>491</v>
      </c>
      <c r="D142" t="s">
        <v>1960</v>
      </c>
      <c r="E142" t="s">
        <v>1136</v>
      </c>
      <c r="F142" t="s">
        <v>1566</v>
      </c>
      <c r="G142" t="s">
        <v>1135</v>
      </c>
      <c r="H142" t="s">
        <v>1156</v>
      </c>
      <c r="I142" t="s">
        <v>1135</v>
      </c>
      <c r="J142" t="s">
        <v>1156</v>
      </c>
      <c r="K142" t="s">
        <v>1137</v>
      </c>
      <c r="L142" t="s">
        <v>389</v>
      </c>
      <c r="M142" t="s">
        <v>1327</v>
      </c>
      <c r="P142" t="s">
        <v>147</v>
      </c>
      <c r="T142" t="s">
        <v>25</v>
      </c>
      <c r="W142" s="606">
        <v>0</v>
      </c>
      <c r="X142" s="606">
        <v>-0.16999999999999998</v>
      </c>
      <c r="Y142" s="606"/>
      <c r="Z142" s="606"/>
      <c r="AA142" s="606"/>
      <c r="AB142" s="606">
        <v>0.42</v>
      </c>
      <c r="AC142" s="606">
        <v>-0.59</v>
      </c>
      <c r="AD142" s="606">
        <v>0.34</v>
      </c>
      <c r="AE142" s="606">
        <v>0.33</v>
      </c>
      <c r="AF142" s="606">
        <v>-0.56999999999999995</v>
      </c>
      <c r="AG142" s="606">
        <v>0</v>
      </c>
      <c r="AH142" s="606">
        <v>0</v>
      </c>
      <c r="AI142" s="606">
        <v>0</v>
      </c>
      <c r="AJ142" s="606">
        <v>0</v>
      </c>
      <c r="AK142" s="606">
        <v>0</v>
      </c>
      <c r="AL142" s="606">
        <v>0</v>
      </c>
      <c r="AM142" s="606">
        <v>-6.9999999999999951E-2</v>
      </c>
      <c r="AN142" s="606">
        <v>0.10000000000000003</v>
      </c>
      <c r="AO142" s="606">
        <v>0</v>
      </c>
      <c r="AP142" s="606">
        <v>-0.56999999999999995</v>
      </c>
      <c r="AQ142" s="606">
        <v>0.10000000000000003</v>
      </c>
      <c r="AR142" s="606"/>
      <c r="AS142" s="606">
        <v>0.10000000000000003</v>
      </c>
      <c r="AT142" s="606"/>
      <c r="AU142" s="606"/>
      <c r="AV142" s="606">
        <v>0.42</v>
      </c>
      <c r="AW142" s="606">
        <v>-0.59</v>
      </c>
      <c r="AX142" s="606">
        <v>0</v>
      </c>
      <c r="AY142" s="606">
        <v>0</v>
      </c>
      <c r="AZ142" s="606">
        <v>0</v>
      </c>
      <c r="BA142" s="606">
        <v>0</v>
      </c>
      <c r="BB142" s="606">
        <v>0</v>
      </c>
      <c r="BC142" s="606">
        <v>0</v>
      </c>
      <c r="BD142" s="606">
        <v>0</v>
      </c>
      <c r="BE142" s="606">
        <v>0</v>
      </c>
      <c r="BF142" s="606">
        <v>0</v>
      </c>
      <c r="BG142" s="606">
        <v>-0.16999999999999998</v>
      </c>
      <c r="BH142" s="606"/>
      <c r="BI142" s="606">
        <v>0.42</v>
      </c>
      <c r="BJ142" s="606">
        <v>-0.59</v>
      </c>
      <c r="BK142" s="606">
        <v>0</v>
      </c>
      <c r="BL142" s="606">
        <v>0</v>
      </c>
      <c r="BM142" s="606">
        <v>0</v>
      </c>
      <c r="BN142" s="606">
        <v>0</v>
      </c>
      <c r="BO142" s="606">
        <v>0</v>
      </c>
      <c r="BP142" s="606">
        <v>0</v>
      </c>
      <c r="BQ142" s="606">
        <v>0</v>
      </c>
      <c r="BR142" s="606">
        <v>0</v>
      </c>
      <c r="BS142" s="606">
        <v>0</v>
      </c>
      <c r="BT142" s="606">
        <v>-0.16999999999999998</v>
      </c>
    </row>
    <row r="143" spans="1:72" hidden="1">
      <c r="A143" t="s">
        <v>2595</v>
      </c>
      <c r="B143" t="s">
        <v>2953</v>
      </c>
      <c r="C143" t="s">
        <v>899</v>
      </c>
      <c r="D143" t="s">
        <v>2596</v>
      </c>
      <c r="E143" t="s">
        <v>1136</v>
      </c>
      <c r="F143" t="s">
        <v>1566</v>
      </c>
      <c r="G143" t="s">
        <v>1135</v>
      </c>
      <c r="H143" t="s">
        <v>1135</v>
      </c>
      <c r="I143" t="s">
        <v>1135</v>
      </c>
      <c r="J143" t="s">
        <v>1137</v>
      </c>
      <c r="K143" t="s">
        <v>1137</v>
      </c>
      <c r="L143" t="s">
        <v>639</v>
      </c>
      <c r="M143" t="s">
        <v>1327</v>
      </c>
      <c r="P143" t="s">
        <v>147</v>
      </c>
      <c r="T143" t="s">
        <v>25</v>
      </c>
      <c r="U143" t="s">
        <v>1141</v>
      </c>
      <c r="W143" s="606">
        <v>0</v>
      </c>
      <c r="X143" s="606">
        <v>-1868.9199999999998</v>
      </c>
      <c r="Y143" s="606"/>
      <c r="Z143" s="606"/>
      <c r="AA143" s="606">
        <v>0.19</v>
      </c>
      <c r="AB143" s="606">
        <v>-0.3</v>
      </c>
      <c r="AC143" s="606">
        <v>-1868.81</v>
      </c>
      <c r="AD143" s="606">
        <v>0</v>
      </c>
      <c r="AE143" s="606">
        <v>0</v>
      </c>
      <c r="AF143" s="606">
        <v>11.07</v>
      </c>
      <c r="AG143" s="606">
        <v>0</v>
      </c>
      <c r="AH143" s="606">
        <v>0</v>
      </c>
      <c r="AI143" s="606">
        <v>0</v>
      </c>
      <c r="AJ143" s="606">
        <v>0</v>
      </c>
      <c r="AK143" s="606">
        <v>0</v>
      </c>
      <c r="AL143" s="606">
        <v>0</v>
      </c>
      <c r="AM143" s="606">
        <v>-1857.85</v>
      </c>
      <c r="AN143" s="606">
        <v>11.069999999999936</v>
      </c>
      <c r="AO143" s="606">
        <v>0</v>
      </c>
      <c r="AP143" s="606">
        <v>11.07</v>
      </c>
      <c r="AQ143" s="606">
        <v>11.069999999999936</v>
      </c>
      <c r="AR143" s="606"/>
      <c r="AS143" s="606">
        <v>11.069999999999936</v>
      </c>
      <c r="AT143" s="606"/>
      <c r="AU143" s="606">
        <v>0.19</v>
      </c>
      <c r="AV143" s="606">
        <v>-0.3</v>
      </c>
      <c r="AW143" s="606">
        <v>-1868.81</v>
      </c>
      <c r="AX143" s="606">
        <v>0</v>
      </c>
      <c r="AY143" s="606">
        <v>0</v>
      </c>
      <c r="AZ143" s="606">
        <v>0</v>
      </c>
      <c r="BA143" s="606">
        <v>0</v>
      </c>
      <c r="BB143" s="606">
        <v>0</v>
      </c>
      <c r="BC143" s="606">
        <v>0</v>
      </c>
      <c r="BD143" s="606">
        <v>0</v>
      </c>
      <c r="BE143" s="606">
        <v>0</v>
      </c>
      <c r="BF143" s="606">
        <v>0</v>
      </c>
      <c r="BG143" s="606">
        <v>-1868.9199999999998</v>
      </c>
      <c r="BH143" s="606">
        <v>0.19</v>
      </c>
      <c r="BI143" s="606">
        <v>-0.3</v>
      </c>
      <c r="BJ143" s="606">
        <v>-1868.81</v>
      </c>
      <c r="BK143" s="606">
        <v>0</v>
      </c>
      <c r="BL143" s="606">
        <v>0</v>
      </c>
      <c r="BM143" s="606">
        <v>0</v>
      </c>
      <c r="BN143" s="606">
        <v>0</v>
      </c>
      <c r="BO143" s="606">
        <v>0</v>
      </c>
      <c r="BP143" s="606">
        <v>0</v>
      </c>
      <c r="BQ143" s="606">
        <v>0</v>
      </c>
      <c r="BR143" s="606">
        <v>0</v>
      </c>
      <c r="BS143" s="606">
        <v>0</v>
      </c>
      <c r="BT143" s="606">
        <v>-1868.9199999999998</v>
      </c>
    </row>
    <row r="144" spans="1:72" hidden="1">
      <c r="A144" t="s">
        <v>2597</v>
      </c>
      <c r="B144" t="s">
        <v>2953</v>
      </c>
      <c r="C144" t="s">
        <v>899</v>
      </c>
      <c r="D144" t="s">
        <v>2598</v>
      </c>
      <c r="E144" t="s">
        <v>1136</v>
      </c>
      <c r="F144" t="s">
        <v>1566</v>
      </c>
      <c r="G144" t="s">
        <v>1135</v>
      </c>
      <c r="H144" t="s">
        <v>1145</v>
      </c>
      <c r="I144" t="s">
        <v>1135</v>
      </c>
      <c r="J144" t="s">
        <v>1145</v>
      </c>
      <c r="K144" t="s">
        <v>1137</v>
      </c>
      <c r="L144" t="s">
        <v>639</v>
      </c>
      <c r="M144" t="s">
        <v>1327</v>
      </c>
      <c r="P144" t="s">
        <v>147</v>
      </c>
      <c r="T144" t="s">
        <v>25</v>
      </c>
      <c r="W144" s="606">
        <v>0</v>
      </c>
      <c r="X144" s="606">
        <v>-0.26</v>
      </c>
      <c r="Y144" s="606"/>
      <c r="Z144" s="606"/>
      <c r="AA144" s="606">
        <v>-0.15</v>
      </c>
      <c r="AB144" s="606">
        <v>0.31</v>
      </c>
      <c r="AC144" s="606">
        <v>-0.42</v>
      </c>
      <c r="AD144" s="606">
        <v>-8.9999999999918145E-2</v>
      </c>
      <c r="AE144" s="606">
        <v>0.44</v>
      </c>
      <c r="AF144" s="606">
        <v>-0.49</v>
      </c>
      <c r="AG144" s="606">
        <v>0</v>
      </c>
      <c r="AH144" s="606">
        <v>0</v>
      </c>
      <c r="AI144" s="606">
        <v>0</v>
      </c>
      <c r="AJ144" s="606">
        <v>0</v>
      </c>
      <c r="AK144" s="606">
        <v>0</v>
      </c>
      <c r="AL144" s="606">
        <v>0</v>
      </c>
      <c r="AM144" s="606">
        <v>-0.39999999999991814</v>
      </c>
      <c r="AN144" s="606">
        <v>-0.13999999999991813</v>
      </c>
      <c r="AO144" s="606">
        <v>0</v>
      </c>
      <c r="AP144" s="606">
        <v>-0.49</v>
      </c>
      <c r="AQ144" s="606">
        <v>-0.13999999999991813</v>
      </c>
      <c r="AR144" s="606"/>
      <c r="AS144" s="606">
        <v>-0.13999999999991813</v>
      </c>
      <c r="AT144" s="606"/>
      <c r="AU144" s="606">
        <v>-0.15</v>
      </c>
      <c r="AV144" s="606">
        <v>0.31</v>
      </c>
      <c r="AW144" s="606">
        <v>-0.42</v>
      </c>
      <c r="AX144" s="606">
        <v>0</v>
      </c>
      <c r="AY144" s="606">
        <v>0</v>
      </c>
      <c r="AZ144" s="606">
        <v>0</v>
      </c>
      <c r="BA144" s="606">
        <v>0</v>
      </c>
      <c r="BB144" s="606">
        <v>0</v>
      </c>
      <c r="BC144" s="606">
        <v>0</v>
      </c>
      <c r="BD144" s="606">
        <v>0</v>
      </c>
      <c r="BE144" s="606">
        <v>0</v>
      </c>
      <c r="BF144" s="606">
        <v>0</v>
      </c>
      <c r="BG144" s="606">
        <v>-0.26</v>
      </c>
      <c r="BH144" s="606">
        <v>-0.15</v>
      </c>
      <c r="BI144" s="606">
        <v>0.31</v>
      </c>
      <c r="BJ144" s="606">
        <v>-0.42</v>
      </c>
      <c r="BK144" s="606">
        <v>0</v>
      </c>
      <c r="BL144" s="606">
        <v>0</v>
      </c>
      <c r="BM144" s="606">
        <v>0</v>
      </c>
      <c r="BN144" s="606">
        <v>0</v>
      </c>
      <c r="BO144" s="606">
        <v>0</v>
      </c>
      <c r="BP144" s="606">
        <v>0</v>
      </c>
      <c r="BQ144" s="606">
        <v>0</v>
      </c>
      <c r="BR144" s="606">
        <v>0</v>
      </c>
      <c r="BS144" s="606">
        <v>0</v>
      </c>
      <c r="BT144" s="606">
        <v>-0.26</v>
      </c>
    </row>
    <row r="145" spans="1:72" hidden="1">
      <c r="A145" t="s">
        <v>2599</v>
      </c>
      <c r="B145" t="s">
        <v>2953</v>
      </c>
      <c r="C145" t="s">
        <v>899</v>
      </c>
      <c r="D145" t="s">
        <v>2600</v>
      </c>
      <c r="E145" t="s">
        <v>1136</v>
      </c>
      <c r="F145" t="s">
        <v>1566</v>
      </c>
      <c r="G145" t="s">
        <v>1135</v>
      </c>
      <c r="H145" t="s">
        <v>1156</v>
      </c>
      <c r="I145" t="s">
        <v>1135</v>
      </c>
      <c r="J145" t="s">
        <v>1156</v>
      </c>
      <c r="K145" t="s">
        <v>1137</v>
      </c>
      <c r="L145" t="s">
        <v>639</v>
      </c>
      <c r="M145" t="s">
        <v>1327</v>
      </c>
      <c r="P145" t="s">
        <v>147</v>
      </c>
      <c r="T145" t="s">
        <v>25</v>
      </c>
      <c r="W145" s="606">
        <v>0</v>
      </c>
      <c r="X145" s="606">
        <v>0.26</v>
      </c>
      <c r="Y145" s="606"/>
      <c r="Z145" s="606"/>
      <c r="AA145" s="606"/>
      <c r="AB145" s="606"/>
      <c r="AC145" s="606">
        <v>0.26</v>
      </c>
      <c r="AD145" s="606">
        <v>0</v>
      </c>
      <c r="AE145" s="606">
        <v>0</v>
      </c>
      <c r="AF145" s="606">
        <v>0</v>
      </c>
      <c r="AG145" s="606">
        <v>0</v>
      </c>
      <c r="AH145" s="606">
        <v>0</v>
      </c>
      <c r="AI145" s="606">
        <v>0</v>
      </c>
      <c r="AJ145" s="606">
        <v>0</v>
      </c>
      <c r="AK145" s="606">
        <v>0</v>
      </c>
      <c r="AL145" s="606">
        <v>0</v>
      </c>
      <c r="AM145" s="606">
        <v>0.26</v>
      </c>
      <c r="AN145" s="606">
        <v>0</v>
      </c>
      <c r="AO145" s="606">
        <v>0</v>
      </c>
      <c r="AP145" s="606">
        <v>0</v>
      </c>
      <c r="AQ145" s="606">
        <v>0</v>
      </c>
      <c r="AR145" s="606"/>
      <c r="AS145" s="606">
        <v>0</v>
      </c>
      <c r="AT145" s="606"/>
      <c r="AU145" s="606"/>
      <c r="AV145" s="606"/>
      <c r="AW145" s="606">
        <v>0.26</v>
      </c>
      <c r="AX145" s="606">
        <v>0</v>
      </c>
      <c r="AY145" s="606">
        <v>0</v>
      </c>
      <c r="AZ145" s="606">
        <v>0</v>
      </c>
      <c r="BA145" s="606">
        <v>0</v>
      </c>
      <c r="BB145" s="606">
        <v>0</v>
      </c>
      <c r="BC145" s="606">
        <v>0</v>
      </c>
      <c r="BD145" s="606">
        <v>0</v>
      </c>
      <c r="BE145" s="606">
        <v>0</v>
      </c>
      <c r="BF145" s="606">
        <v>0</v>
      </c>
      <c r="BG145" s="606">
        <v>0.26</v>
      </c>
      <c r="BH145" s="606"/>
      <c r="BI145" s="606"/>
      <c r="BJ145" s="606">
        <v>0.26</v>
      </c>
      <c r="BK145" s="606">
        <v>0</v>
      </c>
      <c r="BL145" s="606">
        <v>0</v>
      </c>
      <c r="BM145" s="606">
        <v>0</v>
      </c>
      <c r="BN145" s="606">
        <v>0</v>
      </c>
      <c r="BO145" s="606">
        <v>0</v>
      </c>
      <c r="BP145" s="606">
        <v>0</v>
      </c>
      <c r="BQ145" s="606">
        <v>0</v>
      </c>
      <c r="BR145" s="606">
        <v>0</v>
      </c>
      <c r="BS145" s="606">
        <v>0</v>
      </c>
      <c r="BT145" s="606">
        <v>0.26</v>
      </c>
    </row>
    <row r="146" spans="1:72" hidden="1">
      <c r="A146" t="s">
        <v>2601</v>
      </c>
      <c r="B146" t="s">
        <v>2953</v>
      </c>
      <c r="C146" t="s">
        <v>899</v>
      </c>
      <c r="D146" t="s">
        <v>2602</v>
      </c>
      <c r="E146" t="s">
        <v>1136</v>
      </c>
      <c r="F146" t="s">
        <v>1566</v>
      </c>
      <c r="G146" t="s">
        <v>1135</v>
      </c>
      <c r="H146" t="s">
        <v>1161</v>
      </c>
      <c r="I146" t="s">
        <v>1135</v>
      </c>
      <c r="J146" t="s">
        <v>1161</v>
      </c>
      <c r="K146" t="s">
        <v>1137</v>
      </c>
      <c r="L146" t="s">
        <v>639</v>
      </c>
      <c r="M146" t="s">
        <v>1327</v>
      </c>
      <c r="P146" t="s">
        <v>147</v>
      </c>
      <c r="T146" t="s">
        <v>25</v>
      </c>
      <c r="W146" s="606">
        <v>0</v>
      </c>
      <c r="X146" s="606">
        <v>0.13</v>
      </c>
      <c r="Y146" s="606"/>
      <c r="Z146" s="606"/>
      <c r="AA146" s="606"/>
      <c r="AB146" s="606"/>
      <c r="AC146" s="606">
        <v>0.13</v>
      </c>
      <c r="AD146" s="606">
        <v>0</v>
      </c>
      <c r="AE146" s="606">
        <v>0</v>
      </c>
      <c r="AF146" s="606">
        <v>0.13</v>
      </c>
      <c r="AG146" s="606">
        <v>0</v>
      </c>
      <c r="AH146" s="606">
        <v>0</v>
      </c>
      <c r="AI146" s="606">
        <v>0</v>
      </c>
      <c r="AJ146" s="606">
        <v>0</v>
      </c>
      <c r="AK146" s="606">
        <v>0</v>
      </c>
      <c r="AL146" s="606">
        <v>0</v>
      </c>
      <c r="AM146" s="606">
        <v>0.26</v>
      </c>
      <c r="AN146" s="606">
        <v>0.13</v>
      </c>
      <c r="AO146" s="606">
        <v>0</v>
      </c>
      <c r="AP146" s="606">
        <v>0.13</v>
      </c>
      <c r="AQ146" s="606">
        <v>0.13</v>
      </c>
      <c r="AR146" s="606"/>
      <c r="AS146" s="606">
        <v>0.13</v>
      </c>
      <c r="AT146" s="606"/>
      <c r="AU146" s="606"/>
      <c r="AV146" s="606"/>
      <c r="AW146" s="606">
        <v>0.13</v>
      </c>
      <c r="AX146" s="606">
        <v>0</v>
      </c>
      <c r="AY146" s="606">
        <v>0</v>
      </c>
      <c r="AZ146" s="606">
        <v>0</v>
      </c>
      <c r="BA146" s="606">
        <v>0</v>
      </c>
      <c r="BB146" s="606">
        <v>0</v>
      </c>
      <c r="BC146" s="606">
        <v>0</v>
      </c>
      <c r="BD146" s="606">
        <v>0</v>
      </c>
      <c r="BE146" s="606">
        <v>0</v>
      </c>
      <c r="BF146" s="606">
        <v>0</v>
      </c>
      <c r="BG146" s="606">
        <v>0.13</v>
      </c>
      <c r="BH146" s="606"/>
      <c r="BI146" s="606"/>
      <c r="BJ146" s="606">
        <v>0.13</v>
      </c>
      <c r="BK146" s="606">
        <v>0</v>
      </c>
      <c r="BL146" s="606">
        <v>0</v>
      </c>
      <c r="BM146" s="606">
        <v>0</v>
      </c>
      <c r="BN146" s="606">
        <v>0</v>
      </c>
      <c r="BO146" s="606">
        <v>0</v>
      </c>
      <c r="BP146" s="606">
        <v>0</v>
      </c>
      <c r="BQ146" s="606">
        <v>0</v>
      </c>
      <c r="BR146" s="606">
        <v>0</v>
      </c>
      <c r="BS146" s="606">
        <v>0</v>
      </c>
      <c r="BT146" s="606">
        <v>0.13</v>
      </c>
    </row>
    <row r="147" spans="1:72" hidden="1">
      <c r="A147" t="s">
        <v>2603</v>
      </c>
      <c r="B147" t="s">
        <v>2953</v>
      </c>
      <c r="C147" t="s">
        <v>899</v>
      </c>
      <c r="D147" t="s">
        <v>2604</v>
      </c>
      <c r="E147" t="s">
        <v>1136</v>
      </c>
      <c r="F147" t="s">
        <v>1566</v>
      </c>
      <c r="G147" t="s">
        <v>1135</v>
      </c>
      <c r="H147" t="s">
        <v>1165</v>
      </c>
      <c r="I147" t="s">
        <v>1135</v>
      </c>
      <c r="J147" t="s">
        <v>1165</v>
      </c>
      <c r="K147" t="s">
        <v>1137</v>
      </c>
      <c r="L147" t="s">
        <v>639</v>
      </c>
      <c r="M147" t="s">
        <v>1327</v>
      </c>
      <c r="P147" t="s">
        <v>147</v>
      </c>
      <c r="T147" t="s">
        <v>25</v>
      </c>
      <c r="U147" t="s">
        <v>1338</v>
      </c>
      <c r="W147" s="606">
        <v>0</v>
      </c>
      <c r="X147" s="606">
        <v>0.19999999999999996</v>
      </c>
      <c r="Y147" s="606"/>
      <c r="Z147" s="606"/>
      <c r="AA147" s="606">
        <v>-0.34</v>
      </c>
      <c r="AB147" s="606">
        <v>-0.09</v>
      </c>
      <c r="AC147" s="606">
        <v>0.63</v>
      </c>
      <c r="AD147" s="606">
        <v>-0.98</v>
      </c>
      <c r="AE147" s="606">
        <v>0.75</v>
      </c>
      <c r="AF147" s="606">
        <v>0</v>
      </c>
      <c r="AG147" s="606">
        <v>0</v>
      </c>
      <c r="AH147" s="606">
        <v>0</v>
      </c>
      <c r="AI147" s="606">
        <v>0</v>
      </c>
      <c r="AJ147" s="606">
        <v>0</v>
      </c>
      <c r="AK147" s="606">
        <v>0</v>
      </c>
      <c r="AL147" s="606">
        <v>0</v>
      </c>
      <c r="AM147" s="606">
        <v>-3.0000000000000027E-2</v>
      </c>
      <c r="AN147" s="606">
        <v>-0.22999999999999998</v>
      </c>
      <c r="AO147" s="606">
        <v>0</v>
      </c>
      <c r="AP147" s="606">
        <v>0</v>
      </c>
      <c r="AQ147" s="606">
        <v>-0.22999999999999998</v>
      </c>
      <c r="AR147" s="606"/>
      <c r="AS147" s="606">
        <v>-0.22999999999999998</v>
      </c>
      <c r="AT147" s="606"/>
      <c r="AU147" s="606">
        <v>-0.34</v>
      </c>
      <c r="AV147" s="606">
        <v>-0.09</v>
      </c>
      <c r="AW147" s="606">
        <v>0.63</v>
      </c>
      <c r="AX147" s="606">
        <v>0</v>
      </c>
      <c r="AY147" s="606">
        <v>0</v>
      </c>
      <c r="AZ147" s="606">
        <v>0</v>
      </c>
      <c r="BA147" s="606">
        <v>0</v>
      </c>
      <c r="BB147" s="606">
        <v>0</v>
      </c>
      <c r="BC147" s="606">
        <v>0</v>
      </c>
      <c r="BD147" s="606">
        <v>0</v>
      </c>
      <c r="BE147" s="606">
        <v>0</v>
      </c>
      <c r="BF147" s="606">
        <v>0</v>
      </c>
      <c r="BG147" s="606">
        <v>0.19999999999999996</v>
      </c>
      <c r="BH147" s="606">
        <v>-0.34</v>
      </c>
      <c r="BI147" s="606">
        <v>-0.09</v>
      </c>
      <c r="BJ147" s="606">
        <v>0.63</v>
      </c>
      <c r="BK147" s="606">
        <v>0</v>
      </c>
      <c r="BL147" s="606">
        <v>0</v>
      </c>
      <c r="BM147" s="606">
        <v>0</v>
      </c>
      <c r="BN147" s="606">
        <v>0</v>
      </c>
      <c r="BO147" s="606">
        <v>0</v>
      </c>
      <c r="BP147" s="606">
        <v>0</v>
      </c>
      <c r="BQ147" s="606">
        <v>0</v>
      </c>
      <c r="BR147" s="606">
        <v>0</v>
      </c>
      <c r="BS147" s="606">
        <v>0</v>
      </c>
      <c r="BT147" s="606">
        <v>0.19999999999999996</v>
      </c>
    </row>
    <row r="148" spans="1:72" hidden="1">
      <c r="A148" t="s">
        <v>1445</v>
      </c>
      <c r="B148" t="s">
        <v>2953</v>
      </c>
      <c r="C148" t="s">
        <v>202</v>
      </c>
      <c r="D148" t="s">
        <v>1446</v>
      </c>
      <c r="E148" t="s">
        <v>1136</v>
      </c>
      <c r="F148" t="s">
        <v>1566</v>
      </c>
      <c r="G148" t="s">
        <v>1345</v>
      </c>
      <c r="H148" t="s">
        <v>1437</v>
      </c>
      <c r="I148" t="s">
        <v>1345</v>
      </c>
      <c r="J148" t="s">
        <v>1437</v>
      </c>
      <c r="K148" t="s">
        <v>1346</v>
      </c>
      <c r="L148" t="s">
        <v>49</v>
      </c>
      <c r="M148" t="s">
        <v>1327</v>
      </c>
      <c r="P148" t="s">
        <v>147</v>
      </c>
      <c r="T148" t="s">
        <v>25</v>
      </c>
      <c r="W148" s="606">
        <v>0</v>
      </c>
      <c r="X148" s="606">
        <v>0.33999999999999997</v>
      </c>
      <c r="Y148" s="606"/>
      <c r="Z148" s="606"/>
      <c r="AA148" s="606">
        <v>-0.1</v>
      </c>
      <c r="AB148" s="606">
        <v>0</v>
      </c>
      <c r="AC148" s="606">
        <v>0.44</v>
      </c>
      <c r="AD148" s="606">
        <v>0</v>
      </c>
      <c r="AE148" s="606">
        <v>0</v>
      </c>
      <c r="AF148" s="606">
        <v>0</v>
      </c>
      <c r="AG148" s="606">
        <v>0</v>
      </c>
      <c r="AH148" s="606">
        <v>0</v>
      </c>
      <c r="AI148" s="606">
        <v>0</v>
      </c>
      <c r="AJ148" s="606">
        <v>0</v>
      </c>
      <c r="AK148" s="606">
        <v>0</v>
      </c>
      <c r="AL148" s="606">
        <v>0</v>
      </c>
      <c r="AM148" s="606">
        <v>0.33999999999999997</v>
      </c>
      <c r="AN148" s="606">
        <v>0</v>
      </c>
      <c r="AO148" s="606">
        <v>0</v>
      </c>
      <c r="AP148" s="606">
        <v>0</v>
      </c>
      <c r="AQ148" s="606">
        <v>0</v>
      </c>
      <c r="AR148" s="606"/>
      <c r="AS148" s="606">
        <v>0</v>
      </c>
      <c r="AT148" s="606"/>
      <c r="AU148" s="606">
        <v>-0.1</v>
      </c>
      <c r="AV148" s="606">
        <v>0</v>
      </c>
      <c r="AW148" s="606">
        <v>0.44</v>
      </c>
      <c r="AX148" s="606">
        <v>0</v>
      </c>
      <c r="AY148" s="606">
        <v>0</v>
      </c>
      <c r="AZ148" s="606">
        <v>0</v>
      </c>
      <c r="BA148" s="606">
        <v>0</v>
      </c>
      <c r="BB148" s="606">
        <v>0</v>
      </c>
      <c r="BC148" s="606">
        <v>0</v>
      </c>
      <c r="BD148" s="606">
        <v>0</v>
      </c>
      <c r="BE148" s="606">
        <v>0</v>
      </c>
      <c r="BF148" s="606">
        <v>0</v>
      </c>
      <c r="BG148" s="606">
        <v>0.33999999999999997</v>
      </c>
      <c r="BH148" s="606">
        <v>-0.1</v>
      </c>
      <c r="BI148" s="606">
        <v>0</v>
      </c>
      <c r="BJ148" s="606">
        <v>0.44</v>
      </c>
      <c r="BK148" s="606">
        <v>0</v>
      </c>
      <c r="BL148" s="606">
        <v>0</v>
      </c>
      <c r="BM148" s="606">
        <v>0</v>
      </c>
      <c r="BN148" s="606">
        <v>0</v>
      </c>
      <c r="BO148" s="606">
        <v>0</v>
      </c>
      <c r="BP148" s="606">
        <v>0</v>
      </c>
      <c r="BQ148" s="606">
        <v>0</v>
      </c>
      <c r="BR148" s="606">
        <v>0</v>
      </c>
      <c r="BS148" s="606">
        <v>0</v>
      </c>
      <c r="BT148" s="606">
        <v>0.33999999999999997</v>
      </c>
    </row>
    <row r="149" spans="1:72" hidden="1">
      <c r="A149" t="s">
        <v>2033</v>
      </c>
      <c r="B149" t="s">
        <v>2953</v>
      </c>
      <c r="C149" t="s">
        <v>538</v>
      </c>
      <c r="D149" t="s">
        <v>2034</v>
      </c>
      <c r="E149" t="s">
        <v>1136</v>
      </c>
      <c r="F149" t="s">
        <v>1566</v>
      </c>
      <c r="G149" t="s">
        <v>1345</v>
      </c>
      <c r="H149" t="s">
        <v>1437</v>
      </c>
      <c r="I149" t="s">
        <v>1345</v>
      </c>
      <c r="J149" t="s">
        <v>1437</v>
      </c>
      <c r="K149" t="s">
        <v>1346</v>
      </c>
      <c r="L149" t="s">
        <v>389</v>
      </c>
      <c r="M149" t="s">
        <v>1327</v>
      </c>
      <c r="P149" t="s">
        <v>147</v>
      </c>
      <c r="T149" t="s">
        <v>25</v>
      </c>
      <c r="W149" s="606">
        <v>0</v>
      </c>
      <c r="X149" s="606">
        <v>-0.18000000000000002</v>
      </c>
      <c r="Y149" s="606"/>
      <c r="Z149" s="606"/>
      <c r="AA149" s="606">
        <v>-0.24</v>
      </c>
      <c r="AB149" s="606">
        <v>-0.17</v>
      </c>
      <c r="AC149" s="606">
        <v>0.23</v>
      </c>
      <c r="AD149" s="606">
        <v>0.67</v>
      </c>
      <c r="AE149" s="606">
        <v>-0.61</v>
      </c>
      <c r="AF149" s="606">
        <v>-0.32</v>
      </c>
      <c r="AG149" s="606">
        <v>0</v>
      </c>
      <c r="AH149" s="606">
        <v>0</v>
      </c>
      <c r="AI149" s="606">
        <v>0</v>
      </c>
      <c r="AJ149" s="606">
        <v>0</v>
      </c>
      <c r="AK149" s="606">
        <v>0</v>
      </c>
      <c r="AL149" s="606">
        <v>0</v>
      </c>
      <c r="AM149" s="606">
        <v>-0.44</v>
      </c>
      <c r="AN149" s="606">
        <v>-0.26</v>
      </c>
      <c r="AO149" s="606">
        <v>0</v>
      </c>
      <c r="AP149" s="606">
        <v>-0.32</v>
      </c>
      <c r="AQ149" s="606">
        <v>-0.26</v>
      </c>
      <c r="AR149" s="606"/>
      <c r="AS149" s="606">
        <v>-0.26</v>
      </c>
      <c r="AT149" s="606"/>
      <c r="AU149" s="606">
        <v>-0.24</v>
      </c>
      <c r="AV149" s="606">
        <v>-0.17</v>
      </c>
      <c r="AW149" s="606">
        <v>0.23</v>
      </c>
      <c r="AX149" s="606">
        <v>0</v>
      </c>
      <c r="AY149" s="606">
        <v>0</v>
      </c>
      <c r="AZ149" s="606">
        <v>0</v>
      </c>
      <c r="BA149" s="606">
        <v>0</v>
      </c>
      <c r="BB149" s="606">
        <v>0</v>
      </c>
      <c r="BC149" s="606">
        <v>0</v>
      </c>
      <c r="BD149" s="606">
        <v>0</v>
      </c>
      <c r="BE149" s="606">
        <v>0</v>
      </c>
      <c r="BF149" s="606">
        <v>0</v>
      </c>
      <c r="BG149" s="606">
        <v>-0.18000000000000002</v>
      </c>
      <c r="BH149" s="606">
        <v>-0.24</v>
      </c>
      <c r="BI149" s="606">
        <v>-0.17</v>
      </c>
      <c r="BJ149" s="606">
        <v>0.23</v>
      </c>
      <c r="BK149" s="606">
        <v>0</v>
      </c>
      <c r="BL149" s="606">
        <v>0</v>
      </c>
      <c r="BM149" s="606">
        <v>0</v>
      </c>
      <c r="BN149" s="606">
        <v>0</v>
      </c>
      <c r="BO149" s="606">
        <v>0</v>
      </c>
      <c r="BP149" s="606">
        <v>0</v>
      </c>
      <c r="BQ149" s="606">
        <v>0</v>
      </c>
      <c r="BR149" s="606">
        <v>0</v>
      </c>
      <c r="BS149" s="606">
        <v>0</v>
      </c>
      <c r="BT149" s="606">
        <v>-0.18000000000000002</v>
      </c>
    </row>
    <row r="150" spans="1:72">
      <c r="A150" t="s">
        <v>2700</v>
      </c>
      <c r="B150" t="s">
        <v>2953</v>
      </c>
      <c r="C150" t="s">
        <v>955</v>
      </c>
      <c r="D150" t="s">
        <v>2701</v>
      </c>
      <c r="E150" t="s">
        <v>1136</v>
      </c>
      <c r="F150" t="s">
        <v>1566</v>
      </c>
      <c r="G150" t="s">
        <v>1345</v>
      </c>
      <c r="H150" t="s">
        <v>1437</v>
      </c>
      <c r="I150" t="s">
        <v>1345</v>
      </c>
      <c r="J150" t="s">
        <v>1437</v>
      </c>
      <c r="K150" t="s">
        <v>1346</v>
      </c>
      <c r="L150" t="s">
        <v>639</v>
      </c>
      <c r="M150" t="s">
        <v>1327</v>
      </c>
      <c r="P150" t="s">
        <v>147</v>
      </c>
      <c r="T150" t="s">
        <v>25</v>
      </c>
      <c r="W150" s="606">
        <v>0</v>
      </c>
      <c r="X150" s="606">
        <v>1.999999999999999E-2</v>
      </c>
      <c r="Y150" s="606"/>
      <c r="Z150" s="606"/>
      <c r="AA150" s="606">
        <v>0.13</v>
      </c>
      <c r="AB150" s="606">
        <v>0.09</v>
      </c>
      <c r="AC150" s="606">
        <v>-0.2</v>
      </c>
      <c r="AD150" s="606">
        <v>0.13</v>
      </c>
      <c r="AE150" s="606">
        <v>-0.53</v>
      </c>
      <c r="AF150" s="606">
        <v>0.73</v>
      </c>
      <c r="AG150" s="606">
        <v>0</v>
      </c>
      <c r="AH150" s="606">
        <v>0</v>
      </c>
      <c r="AI150" s="606">
        <v>0</v>
      </c>
      <c r="AJ150" s="606">
        <v>0</v>
      </c>
      <c r="AK150" s="606">
        <v>0</v>
      </c>
      <c r="AL150" s="606">
        <v>0</v>
      </c>
      <c r="AM150" s="606">
        <v>0.35</v>
      </c>
      <c r="AN150" s="606">
        <v>0.32999999999999996</v>
      </c>
      <c r="AO150" s="606">
        <v>0</v>
      </c>
      <c r="AP150" s="606">
        <v>0.73</v>
      </c>
      <c r="AQ150" s="606">
        <v>0.32999999999999996</v>
      </c>
      <c r="AR150" s="606"/>
      <c r="AS150" s="606">
        <v>0.32999999999999996</v>
      </c>
      <c r="AT150" s="606"/>
      <c r="AU150" s="606">
        <v>0.13</v>
      </c>
      <c r="AV150" s="606">
        <v>0.09</v>
      </c>
      <c r="AW150" s="606">
        <v>-0.2</v>
      </c>
      <c r="AX150" s="606">
        <v>0</v>
      </c>
      <c r="AY150" s="606">
        <v>0</v>
      </c>
      <c r="AZ150" s="606">
        <v>0</v>
      </c>
      <c r="BA150" s="606">
        <v>0</v>
      </c>
      <c r="BB150" s="606">
        <v>0</v>
      </c>
      <c r="BC150" s="606">
        <v>0</v>
      </c>
      <c r="BD150" s="606">
        <v>0</v>
      </c>
      <c r="BE150" s="606">
        <v>0</v>
      </c>
      <c r="BF150" s="606">
        <v>0</v>
      </c>
      <c r="BG150" s="606">
        <v>1.999999999999999E-2</v>
      </c>
      <c r="BH150" s="606">
        <v>0.13</v>
      </c>
      <c r="BI150" s="606">
        <v>0.09</v>
      </c>
      <c r="BJ150" s="606">
        <v>-0.2</v>
      </c>
      <c r="BK150" s="606">
        <v>0</v>
      </c>
      <c r="BL150" s="606">
        <v>0</v>
      </c>
      <c r="BM150" s="606">
        <v>0</v>
      </c>
      <c r="BN150" s="606">
        <v>0</v>
      </c>
      <c r="BO150" s="606">
        <v>0</v>
      </c>
      <c r="BP150" s="606">
        <v>0</v>
      </c>
      <c r="BQ150" s="606">
        <v>0</v>
      </c>
      <c r="BR150" s="606">
        <v>0</v>
      </c>
      <c r="BS150" s="606">
        <v>0</v>
      </c>
      <c r="BT150" s="606">
        <v>1.999999999999999E-2</v>
      </c>
    </row>
    <row r="151" spans="1:72" hidden="1">
      <c r="A151" t="s">
        <v>1511</v>
      </c>
      <c r="B151" t="s">
        <v>2953</v>
      </c>
      <c r="C151" t="s">
        <v>237</v>
      </c>
      <c r="D151" t="s">
        <v>1512</v>
      </c>
      <c r="E151" t="s">
        <v>1136</v>
      </c>
      <c r="F151" t="s">
        <v>1566</v>
      </c>
      <c r="G151" t="s">
        <v>1480</v>
      </c>
      <c r="H151" t="s">
        <v>1481</v>
      </c>
      <c r="I151" t="s">
        <v>1345</v>
      </c>
      <c r="J151" t="s">
        <v>1481</v>
      </c>
      <c r="K151" t="s">
        <v>1346</v>
      </c>
      <c r="L151" t="s">
        <v>49</v>
      </c>
      <c r="M151" t="s">
        <v>1327</v>
      </c>
      <c r="P151" t="s">
        <v>147</v>
      </c>
      <c r="T151" t="s">
        <v>25</v>
      </c>
      <c r="U151" t="s">
        <v>1513</v>
      </c>
      <c r="W151" s="606">
        <v>0</v>
      </c>
      <c r="X151" s="606">
        <v>0</v>
      </c>
      <c r="Y151" s="606"/>
      <c r="Z151" s="606"/>
      <c r="AA151" s="606"/>
      <c r="AB151" s="606">
        <v>-0.1</v>
      </c>
      <c r="AC151" s="606">
        <v>0.1</v>
      </c>
      <c r="AD151" s="606">
        <v>-0.32</v>
      </c>
      <c r="AE151" s="606">
        <v>0.81</v>
      </c>
      <c r="AF151" s="606">
        <v>-0.28000000000000003</v>
      </c>
      <c r="AG151" s="606"/>
      <c r="AH151" s="606"/>
      <c r="AI151" s="606"/>
      <c r="AJ151" s="606"/>
      <c r="AK151" s="606"/>
      <c r="AL151" s="606"/>
      <c r="AM151" s="606">
        <v>0.21000000000000002</v>
      </c>
      <c r="AN151" s="606">
        <v>0.21000000000000002</v>
      </c>
      <c r="AO151" s="606"/>
      <c r="AP151" s="606">
        <v>-0.28000000000000003</v>
      </c>
      <c r="AQ151" s="606">
        <v>0.21000000000000002</v>
      </c>
      <c r="AR151" s="606"/>
      <c r="AS151" s="606">
        <v>0.21000000000000002</v>
      </c>
      <c r="AT151" s="606"/>
      <c r="AU151" s="606"/>
      <c r="AV151" s="606">
        <v>-0.1</v>
      </c>
      <c r="AW151" s="606">
        <v>0.1</v>
      </c>
      <c r="AX151" s="606"/>
      <c r="AY151" s="606"/>
      <c r="AZ151" s="606"/>
      <c r="BA151" s="606"/>
      <c r="BB151" s="606"/>
      <c r="BC151" s="606"/>
      <c r="BD151" s="606"/>
      <c r="BE151" s="606"/>
      <c r="BF151" s="606"/>
      <c r="BG151" s="606">
        <v>0</v>
      </c>
      <c r="BH151" s="606"/>
      <c r="BI151" s="606">
        <v>-0.1</v>
      </c>
      <c r="BJ151" s="606">
        <v>0.1</v>
      </c>
      <c r="BK151" s="606"/>
      <c r="BL151" s="606"/>
      <c r="BM151" s="606"/>
      <c r="BN151" s="606"/>
      <c r="BO151" s="606"/>
      <c r="BP151" s="606"/>
      <c r="BQ151" s="606"/>
      <c r="BR151" s="606"/>
      <c r="BS151" s="606"/>
      <c r="BT151" s="606">
        <v>0</v>
      </c>
    </row>
    <row r="152" spans="1:72" hidden="1">
      <c r="A152" t="s">
        <v>2064</v>
      </c>
      <c r="B152" t="s">
        <v>2953</v>
      </c>
      <c r="C152" t="s">
        <v>554</v>
      </c>
      <c r="D152" t="s">
        <v>2065</v>
      </c>
      <c r="E152" t="s">
        <v>1136</v>
      </c>
      <c r="F152" t="s">
        <v>1566</v>
      </c>
      <c r="G152" t="s">
        <v>1480</v>
      </c>
      <c r="H152" t="s">
        <v>1481</v>
      </c>
      <c r="I152" t="s">
        <v>1345</v>
      </c>
      <c r="J152" t="s">
        <v>1481</v>
      </c>
      <c r="K152" t="s">
        <v>1481</v>
      </c>
      <c r="L152" t="s">
        <v>389</v>
      </c>
      <c r="M152" t="s">
        <v>1327</v>
      </c>
      <c r="O152" t="s">
        <v>1487</v>
      </c>
      <c r="P152" t="s">
        <v>147</v>
      </c>
      <c r="W152" s="606"/>
      <c r="X152" s="606"/>
      <c r="Y152" s="606"/>
      <c r="Z152" s="606"/>
      <c r="AA152" s="606"/>
      <c r="AB152" s="606"/>
      <c r="AC152" s="606"/>
      <c r="AD152" s="606"/>
      <c r="AE152" s="606">
        <v>0</v>
      </c>
      <c r="AF152" s="606">
        <v>0</v>
      </c>
      <c r="AG152" s="606"/>
      <c r="AH152" s="606"/>
      <c r="AI152" s="606"/>
      <c r="AJ152" s="606"/>
      <c r="AK152" s="606"/>
      <c r="AL152" s="606"/>
      <c r="AM152" s="606">
        <v>0</v>
      </c>
      <c r="AN152" s="606">
        <v>0</v>
      </c>
      <c r="AO152" s="606"/>
      <c r="AP152" s="606">
        <v>0</v>
      </c>
      <c r="AQ152" s="606">
        <v>0</v>
      </c>
      <c r="AR152" s="606"/>
      <c r="AS152" s="606">
        <v>0</v>
      </c>
      <c r="AT152" s="606"/>
      <c r="AU152" s="606"/>
      <c r="AV152" s="606"/>
      <c r="AW152" s="606"/>
      <c r="AX152" s="606"/>
      <c r="AY152" s="606"/>
      <c r="AZ152" s="606"/>
      <c r="BA152" s="606"/>
      <c r="BB152" s="606"/>
      <c r="BC152" s="606"/>
      <c r="BD152" s="606"/>
      <c r="BE152" s="606"/>
      <c r="BF152" s="606"/>
      <c r="BG152" s="606"/>
      <c r="BH152" s="606"/>
      <c r="BI152" s="606"/>
      <c r="BJ152" s="606"/>
      <c r="BK152" s="606"/>
      <c r="BL152" s="606"/>
      <c r="BM152" s="606"/>
      <c r="BN152" s="606"/>
      <c r="BO152" s="606"/>
      <c r="BP152" s="606"/>
      <c r="BQ152" s="606"/>
      <c r="BR152" s="606"/>
      <c r="BS152" s="606"/>
      <c r="BT152" s="606"/>
    </row>
    <row r="153" spans="1:72" hidden="1">
      <c r="A153" t="s">
        <v>2741</v>
      </c>
      <c r="B153" t="s">
        <v>2953</v>
      </c>
      <c r="C153" t="s">
        <v>980</v>
      </c>
      <c r="D153" t="s">
        <v>2742</v>
      </c>
      <c r="E153" t="s">
        <v>1136</v>
      </c>
      <c r="F153" t="s">
        <v>1566</v>
      </c>
      <c r="G153" t="s">
        <v>1480</v>
      </c>
      <c r="H153" t="s">
        <v>1481</v>
      </c>
      <c r="I153" t="s">
        <v>1345</v>
      </c>
      <c r="J153" t="s">
        <v>1481</v>
      </c>
      <c r="K153" t="s">
        <v>1346</v>
      </c>
      <c r="L153" t="s">
        <v>639</v>
      </c>
      <c r="M153" t="s">
        <v>1327</v>
      </c>
      <c r="P153" t="s">
        <v>147</v>
      </c>
      <c r="T153" t="s">
        <v>25</v>
      </c>
      <c r="U153" t="s">
        <v>1513</v>
      </c>
      <c r="W153" s="606">
        <v>0</v>
      </c>
      <c r="X153" s="606">
        <v>0.36</v>
      </c>
      <c r="Y153" s="606"/>
      <c r="Z153" s="606"/>
      <c r="AA153" s="606"/>
      <c r="AB153" s="606"/>
      <c r="AC153" s="606">
        <v>0.36</v>
      </c>
      <c r="AD153" s="606">
        <v>0</v>
      </c>
      <c r="AE153" s="606">
        <v>0</v>
      </c>
      <c r="AF153" s="606">
        <v>0</v>
      </c>
      <c r="AG153" s="606">
        <v>0</v>
      </c>
      <c r="AH153" s="606">
        <v>0</v>
      </c>
      <c r="AI153" s="606">
        <v>0</v>
      </c>
      <c r="AJ153" s="606">
        <v>0</v>
      </c>
      <c r="AK153" s="606">
        <v>0</v>
      </c>
      <c r="AL153" s="606">
        <v>0</v>
      </c>
      <c r="AM153" s="606">
        <v>0.36</v>
      </c>
      <c r="AN153" s="606">
        <v>0</v>
      </c>
      <c r="AO153" s="606">
        <v>0</v>
      </c>
      <c r="AP153" s="606">
        <v>0</v>
      </c>
      <c r="AQ153" s="606">
        <v>0</v>
      </c>
      <c r="AR153" s="606"/>
      <c r="AS153" s="606">
        <v>0</v>
      </c>
      <c r="AT153" s="606"/>
      <c r="AU153" s="606"/>
      <c r="AV153" s="606"/>
      <c r="AW153" s="606">
        <v>0.36</v>
      </c>
      <c r="AX153" s="606">
        <v>0</v>
      </c>
      <c r="AY153" s="606">
        <v>0</v>
      </c>
      <c r="AZ153" s="606">
        <v>0</v>
      </c>
      <c r="BA153" s="606">
        <v>0</v>
      </c>
      <c r="BB153" s="606">
        <v>0</v>
      </c>
      <c r="BC153" s="606">
        <v>0</v>
      </c>
      <c r="BD153" s="606">
        <v>0</v>
      </c>
      <c r="BE153" s="606">
        <v>0</v>
      </c>
      <c r="BF153" s="606">
        <v>0</v>
      </c>
      <c r="BG153" s="606">
        <v>0.36</v>
      </c>
      <c r="BH153" s="606"/>
      <c r="BI153" s="606"/>
      <c r="BJ153" s="606">
        <v>0.36</v>
      </c>
      <c r="BK153" s="606">
        <v>0</v>
      </c>
      <c r="BL153" s="606">
        <v>0</v>
      </c>
      <c r="BM153" s="606">
        <v>0</v>
      </c>
      <c r="BN153" s="606">
        <v>0</v>
      </c>
      <c r="BO153" s="606">
        <v>0</v>
      </c>
      <c r="BP153" s="606">
        <v>0</v>
      </c>
      <c r="BQ153" s="606">
        <v>0</v>
      </c>
      <c r="BR153" s="606">
        <v>0</v>
      </c>
      <c r="BS153" s="606">
        <v>0</v>
      </c>
      <c r="BT153" s="606">
        <v>0.36</v>
      </c>
    </row>
    <row r="154" spans="1:72" hidden="1">
      <c r="A154" t="s">
        <v>1639</v>
      </c>
      <c r="B154" t="s">
        <v>2953</v>
      </c>
      <c r="C154" t="s">
        <v>319</v>
      </c>
      <c r="D154" t="s">
        <v>1640</v>
      </c>
      <c r="E154" t="s">
        <v>1136</v>
      </c>
      <c r="F154" t="s">
        <v>1566</v>
      </c>
      <c r="G154" t="s">
        <v>1566</v>
      </c>
      <c r="H154" t="s">
        <v>1566</v>
      </c>
      <c r="I154" t="s">
        <v>1345</v>
      </c>
      <c r="J154" t="s">
        <v>1346</v>
      </c>
      <c r="K154" t="s">
        <v>1346</v>
      </c>
      <c r="L154" t="s">
        <v>49</v>
      </c>
      <c r="M154" t="s">
        <v>1327</v>
      </c>
      <c r="P154" t="s">
        <v>147</v>
      </c>
      <c r="T154" t="s">
        <v>25</v>
      </c>
      <c r="W154" s="606">
        <v>0</v>
      </c>
      <c r="X154" s="606">
        <v>19969.14</v>
      </c>
      <c r="Y154" s="606"/>
      <c r="Z154" s="606"/>
      <c r="AA154" s="606">
        <v>6818.85</v>
      </c>
      <c r="AB154" s="606">
        <v>9998.51</v>
      </c>
      <c r="AC154" s="606">
        <v>3151.78</v>
      </c>
      <c r="AD154" s="606">
        <v>13245.82</v>
      </c>
      <c r="AE154" s="606">
        <v>11713.649999999994</v>
      </c>
      <c r="AF154" s="606">
        <v>24135.279999999999</v>
      </c>
      <c r="AG154" s="606">
        <v>0</v>
      </c>
      <c r="AH154" s="606">
        <v>0</v>
      </c>
      <c r="AI154" s="606">
        <v>0</v>
      </c>
      <c r="AJ154" s="606">
        <v>0</v>
      </c>
      <c r="AK154" s="606">
        <v>0</v>
      </c>
      <c r="AL154" s="606">
        <v>0</v>
      </c>
      <c r="AM154" s="606">
        <v>69063.889999999985</v>
      </c>
      <c r="AN154" s="606">
        <v>49094.749999999985</v>
      </c>
      <c r="AO154" s="606">
        <v>0</v>
      </c>
      <c r="AP154" s="606">
        <v>24135.279999999999</v>
      </c>
      <c r="AQ154" s="606">
        <v>49094.749999999985</v>
      </c>
      <c r="AR154" s="606"/>
      <c r="AS154" s="606">
        <v>49094.749999999985</v>
      </c>
      <c r="AT154" s="606"/>
      <c r="AU154" s="606">
        <v>6818.85</v>
      </c>
      <c r="AV154" s="606">
        <v>9998.51</v>
      </c>
      <c r="AW154" s="606">
        <v>3151.78</v>
      </c>
      <c r="AX154" s="606">
        <v>0</v>
      </c>
      <c r="AY154" s="606">
        <v>0</v>
      </c>
      <c r="AZ154" s="606">
        <v>0</v>
      </c>
      <c r="BA154" s="606">
        <v>0</v>
      </c>
      <c r="BB154" s="606">
        <v>0</v>
      </c>
      <c r="BC154" s="606">
        <v>0</v>
      </c>
      <c r="BD154" s="606">
        <v>0</v>
      </c>
      <c r="BE154" s="606">
        <v>0</v>
      </c>
      <c r="BF154" s="606">
        <v>0</v>
      </c>
      <c r="BG154" s="606">
        <v>19969.14</v>
      </c>
      <c r="BH154" s="606">
        <v>6818.85</v>
      </c>
      <c r="BI154" s="606">
        <v>9998.51</v>
      </c>
      <c r="BJ154" s="606">
        <v>3151.78</v>
      </c>
      <c r="BK154" s="606">
        <v>0</v>
      </c>
      <c r="BL154" s="606">
        <v>0</v>
      </c>
      <c r="BM154" s="606">
        <v>0</v>
      </c>
      <c r="BN154" s="606">
        <v>0</v>
      </c>
      <c r="BO154" s="606">
        <v>0</v>
      </c>
      <c r="BP154" s="606">
        <v>0</v>
      </c>
      <c r="BQ154" s="606">
        <v>0</v>
      </c>
      <c r="BR154" s="606">
        <v>0</v>
      </c>
      <c r="BS154" s="606">
        <v>0</v>
      </c>
      <c r="BT154" s="606">
        <v>19969.14</v>
      </c>
    </row>
    <row r="155" spans="1:72" hidden="1">
      <c r="A155" t="s">
        <v>1746</v>
      </c>
      <c r="B155" t="s">
        <v>2953</v>
      </c>
      <c r="C155" t="s">
        <v>384</v>
      </c>
      <c r="D155" t="s">
        <v>1747</v>
      </c>
      <c r="E155" t="s">
        <v>1136</v>
      </c>
      <c r="F155" t="s">
        <v>1566</v>
      </c>
      <c r="G155" t="s">
        <v>1566</v>
      </c>
      <c r="H155" t="s">
        <v>1566</v>
      </c>
      <c r="I155" t="s">
        <v>1567</v>
      </c>
      <c r="J155" t="s">
        <v>1567</v>
      </c>
      <c r="K155" t="s">
        <v>1567</v>
      </c>
      <c r="L155" t="s">
        <v>342</v>
      </c>
      <c r="M155" t="s">
        <v>1327</v>
      </c>
      <c r="P155" t="s">
        <v>147</v>
      </c>
      <c r="T155" t="s">
        <v>25</v>
      </c>
      <c r="W155" s="606">
        <v>0</v>
      </c>
      <c r="X155" s="606">
        <v>-0.23</v>
      </c>
      <c r="Y155" s="606"/>
      <c r="Z155" s="606"/>
      <c r="AA155" s="606"/>
      <c r="AB155" s="606"/>
      <c r="AC155" s="606">
        <v>-0.23</v>
      </c>
      <c r="AD155" s="606">
        <v>-0.01</v>
      </c>
      <c r="AE155" s="606">
        <v>0</v>
      </c>
      <c r="AF155" s="606">
        <v>0</v>
      </c>
      <c r="AG155" s="606">
        <v>0</v>
      </c>
      <c r="AH155" s="606">
        <v>0</v>
      </c>
      <c r="AI155" s="606">
        <v>0</v>
      </c>
      <c r="AJ155" s="606">
        <v>0</v>
      </c>
      <c r="AK155" s="606">
        <v>0</v>
      </c>
      <c r="AL155" s="606">
        <v>0</v>
      </c>
      <c r="AM155" s="606">
        <v>-0.24000000000000002</v>
      </c>
      <c r="AN155" s="606">
        <v>-1.0000000000000009E-2</v>
      </c>
      <c r="AO155" s="606">
        <v>0</v>
      </c>
      <c r="AP155" s="606">
        <v>0</v>
      </c>
      <c r="AQ155" s="606">
        <v>-1.0000000000000009E-2</v>
      </c>
      <c r="AR155" s="606"/>
      <c r="AS155" s="606">
        <v>-1.0000000000000009E-2</v>
      </c>
      <c r="AT155" s="606"/>
      <c r="AU155" s="606"/>
      <c r="AV155" s="606"/>
      <c r="AW155" s="606">
        <v>-0.23</v>
      </c>
      <c r="AX155" s="606">
        <v>0</v>
      </c>
      <c r="AY155" s="606">
        <v>0</v>
      </c>
      <c r="AZ155" s="606">
        <v>0</v>
      </c>
      <c r="BA155" s="606">
        <v>0</v>
      </c>
      <c r="BB155" s="606">
        <v>0</v>
      </c>
      <c r="BC155" s="606">
        <v>0</v>
      </c>
      <c r="BD155" s="606">
        <v>0</v>
      </c>
      <c r="BE155" s="606">
        <v>0</v>
      </c>
      <c r="BF155" s="606">
        <v>0</v>
      </c>
      <c r="BG155" s="606">
        <v>-0.23</v>
      </c>
      <c r="BH155" s="606"/>
      <c r="BI155" s="606"/>
      <c r="BJ155" s="606">
        <v>-0.23</v>
      </c>
      <c r="BK155" s="606">
        <v>0</v>
      </c>
      <c r="BL155" s="606">
        <v>0</v>
      </c>
      <c r="BM155" s="606">
        <v>0</v>
      </c>
      <c r="BN155" s="606">
        <v>0</v>
      </c>
      <c r="BO155" s="606">
        <v>0</v>
      </c>
      <c r="BP155" s="606">
        <v>0</v>
      </c>
      <c r="BQ155" s="606">
        <v>0</v>
      </c>
      <c r="BR155" s="606">
        <v>0</v>
      </c>
      <c r="BS155" s="606">
        <v>0</v>
      </c>
      <c r="BT155" s="606">
        <v>-0.23</v>
      </c>
    </row>
    <row r="156" spans="1:72" hidden="1">
      <c r="A156" t="s">
        <v>2129</v>
      </c>
      <c r="B156" t="s">
        <v>2953</v>
      </c>
      <c r="C156" t="s">
        <v>588</v>
      </c>
      <c r="D156" t="s">
        <v>2130</v>
      </c>
      <c r="E156" t="s">
        <v>1136</v>
      </c>
      <c r="F156" t="s">
        <v>1566</v>
      </c>
      <c r="G156" t="s">
        <v>1566</v>
      </c>
      <c r="H156" t="s">
        <v>1566</v>
      </c>
      <c r="I156" t="s">
        <v>1345</v>
      </c>
      <c r="J156" t="s">
        <v>1346</v>
      </c>
      <c r="K156" t="s">
        <v>1346</v>
      </c>
      <c r="L156" t="s">
        <v>389</v>
      </c>
      <c r="M156" t="s">
        <v>1327</v>
      </c>
      <c r="P156" t="s">
        <v>147</v>
      </c>
      <c r="T156" t="s">
        <v>25</v>
      </c>
      <c r="W156" s="606">
        <v>0</v>
      </c>
      <c r="X156" s="606">
        <v>-991.60999999999967</v>
      </c>
      <c r="Y156" s="606"/>
      <c r="Z156" s="606"/>
      <c r="AA156" s="606">
        <v>2949.13</v>
      </c>
      <c r="AB156" s="606">
        <v>-734.7</v>
      </c>
      <c r="AC156" s="606">
        <v>-3206.04</v>
      </c>
      <c r="AD156" s="606">
        <v>1083.7399999999998</v>
      </c>
      <c r="AE156" s="606">
        <v>2193.66</v>
      </c>
      <c r="AF156" s="606">
        <v>2312.1299999999997</v>
      </c>
      <c r="AG156" s="606">
        <v>0</v>
      </c>
      <c r="AH156" s="606">
        <v>0</v>
      </c>
      <c r="AI156" s="606">
        <v>0</v>
      </c>
      <c r="AJ156" s="606">
        <v>0</v>
      </c>
      <c r="AK156" s="606">
        <v>0</v>
      </c>
      <c r="AL156" s="606">
        <v>0</v>
      </c>
      <c r="AM156" s="606">
        <v>4597.92</v>
      </c>
      <c r="AN156" s="606">
        <v>5589.53</v>
      </c>
      <c r="AO156" s="606">
        <v>0</v>
      </c>
      <c r="AP156" s="606">
        <v>2312.1299999999997</v>
      </c>
      <c r="AQ156" s="606">
        <v>5589.53</v>
      </c>
      <c r="AR156" s="606"/>
      <c r="AS156" s="606">
        <v>5589.53</v>
      </c>
      <c r="AT156" s="606"/>
      <c r="AU156" s="606">
        <v>2949.13</v>
      </c>
      <c r="AV156" s="606">
        <v>-734.7</v>
      </c>
      <c r="AW156" s="606">
        <v>-3206.04</v>
      </c>
      <c r="AX156" s="606">
        <v>0</v>
      </c>
      <c r="AY156" s="606">
        <v>0</v>
      </c>
      <c r="AZ156" s="606">
        <v>0</v>
      </c>
      <c r="BA156" s="606">
        <v>0</v>
      </c>
      <c r="BB156" s="606">
        <v>0</v>
      </c>
      <c r="BC156" s="606">
        <v>0</v>
      </c>
      <c r="BD156" s="606">
        <v>0</v>
      </c>
      <c r="BE156" s="606">
        <v>0</v>
      </c>
      <c r="BF156" s="606">
        <v>0</v>
      </c>
      <c r="BG156" s="606">
        <v>-991.60999999999967</v>
      </c>
      <c r="BH156" s="606">
        <v>2949.13</v>
      </c>
      <c r="BI156" s="606">
        <v>-734.7</v>
      </c>
      <c r="BJ156" s="606">
        <v>-3206.04</v>
      </c>
      <c r="BK156" s="606">
        <v>0</v>
      </c>
      <c r="BL156" s="606">
        <v>0</v>
      </c>
      <c r="BM156" s="606">
        <v>0</v>
      </c>
      <c r="BN156" s="606">
        <v>0</v>
      </c>
      <c r="BO156" s="606">
        <v>0</v>
      </c>
      <c r="BP156" s="606">
        <v>0</v>
      </c>
      <c r="BQ156" s="606">
        <v>0</v>
      </c>
      <c r="BR156" s="606">
        <v>0</v>
      </c>
      <c r="BS156" s="606">
        <v>0</v>
      </c>
      <c r="BT156" s="606">
        <v>-991.60999999999967</v>
      </c>
    </row>
    <row r="157" spans="1:72" hidden="1">
      <c r="A157" t="s">
        <v>2195</v>
      </c>
      <c r="B157" t="s">
        <v>2953</v>
      </c>
      <c r="C157" t="s">
        <v>634</v>
      </c>
      <c r="D157" t="s">
        <v>2196</v>
      </c>
      <c r="E157" t="s">
        <v>1136</v>
      </c>
      <c r="F157" t="s">
        <v>1566</v>
      </c>
      <c r="G157" t="s">
        <v>1566</v>
      </c>
      <c r="H157" t="s">
        <v>1566</v>
      </c>
      <c r="I157" t="s">
        <v>1345</v>
      </c>
      <c r="J157" t="s">
        <v>1346</v>
      </c>
      <c r="K157" t="s">
        <v>1346</v>
      </c>
      <c r="L157" t="s">
        <v>629</v>
      </c>
      <c r="M157" t="s">
        <v>1327</v>
      </c>
      <c r="P157" t="s">
        <v>147</v>
      </c>
      <c r="T157" t="s">
        <v>25</v>
      </c>
      <c r="W157" s="606">
        <v>0</v>
      </c>
      <c r="X157" s="606">
        <v>7191.02</v>
      </c>
      <c r="Y157" s="606"/>
      <c r="Z157" s="606"/>
      <c r="AA157" s="606">
        <v>843.69</v>
      </c>
      <c r="AB157" s="606">
        <v>4879.99</v>
      </c>
      <c r="AC157" s="606">
        <v>1467.34</v>
      </c>
      <c r="AD157" s="606" t="s">
        <v>1142</v>
      </c>
      <c r="AE157" s="606">
        <v>0</v>
      </c>
      <c r="AF157" s="606">
        <v>237.8</v>
      </c>
      <c r="AG157" s="606">
        <v>0</v>
      </c>
      <c r="AH157" s="606">
        <v>0</v>
      </c>
      <c r="AI157" s="606">
        <v>0</v>
      </c>
      <c r="AJ157" s="606">
        <v>0</v>
      </c>
      <c r="AK157" s="606">
        <v>0</v>
      </c>
      <c r="AL157" s="606">
        <v>0</v>
      </c>
      <c r="AM157" s="606">
        <v>7428.8200000000006</v>
      </c>
      <c r="AN157" s="606">
        <v>237.80000000000018</v>
      </c>
      <c r="AO157" s="606">
        <v>0</v>
      </c>
      <c r="AP157" s="606">
        <v>237.8</v>
      </c>
      <c r="AQ157" s="606">
        <v>237.80000000000018</v>
      </c>
      <c r="AR157" s="606"/>
      <c r="AS157" s="606">
        <v>237.80000000000018</v>
      </c>
      <c r="AT157" s="606"/>
      <c r="AU157" s="606">
        <v>843.69</v>
      </c>
      <c r="AV157" s="606">
        <v>4879.99</v>
      </c>
      <c r="AW157" s="606">
        <v>1467.34</v>
      </c>
      <c r="AX157" s="606">
        <v>0</v>
      </c>
      <c r="AY157" s="606">
        <v>0</v>
      </c>
      <c r="AZ157" s="606">
        <v>0</v>
      </c>
      <c r="BA157" s="606">
        <v>0</v>
      </c>
      <c r="BB157" s="606">
        <v>0</v>
      </c>
      <c r="BC157" s="606">
        <v>0</v>
      </c>
      <c r="BD157" s="606">
        <v>0</v>
      </c>
      <c r="BE157" s="606">
        <v>0</v>
      </c>
      <c r="BF157" s="606">
        <v>0</v>
      </c>
      <c r="BG157" s="606">
        <v>7191.02</v>
      </c>
      <c r="BH157" s="606">
        <v>843.69</v>
      </c>
      <c r="BI157" s="606">
        <v>4879.99</v>
      </c>
      <c r="BJ157" s="606">
        <v>1467.34</v>
      </c>
      <c r="BK157" s="606">
        <v>0</v>
      </c>
      <c r="BL157" s="606">
        <v>0</v>
      </c>
      <c r="BM157" s="606">
        <v>0</v>
      </c>
      <c r="BN157" s="606">
        <v>0</v>
      </c>
      <c r="BO157" s="606">
        <v>0</v>
      </c>
      <c r="BP157" s="606">
        <v>0</v>
      </c>
      <c r="BQ157" s="606">
        <v>0</v>
      </c>
      <c r="BR157" s="606">
        <v>0</v>
      </c>
      <c r="BS157" s="606">
        <v>0</v>
      </c>
      <c r="BT157" s="606">
        <v>7191.02</v>
      </c>
    </row>
    <row r="158" spans="1:72" hidden="1">
      <c r="A158" t="s">
        <v>2807</v>
      </c>
      <c r="B158" t="s">
        <v>2953</v>
      </c>
      <c r="C158" t="s">
        <v>1015</v>
      </c>
      <c r="D158" t="s">
        <v>2808</v>
      </c>
      <c r="E158" t="s">
        <v>1136</v>
      </c>
      <c r="F158" t="s">
        <v>1566</v>
      </c>
      <c r="G158" t="s">
        <v>1566</v>
      </c>
      <c r="H158" t="s">
        <v>1566</v>
      </c>
      <c r="I158" t="s">
        <v>1567</v>
      </c>
      <c r="J158" t="s">
        <v>1567</v>
      </c>
      <c r="K158" t="s">
        <v>1567</v>
      </c>
      <c r="L158" t="s">
        <v>639</v>
      </c>
      <c r="M158" t="s">
        <v>1327</v>
      </c>
      <c r="P158" t="s">
        <v>147</v>
      </c>
      <c r="T158" t="s">
        <v>25</v>
      </c>
      <c r="W158" s="606">
        <v>0</v>
      </c>
      <c r="X158" s="606">
        <v>-711.61</v>
      </c>
      <c r="Y158" s="606"/>
      <c r="Z158" s="606"/>
      <c r="AA158" s="606">
        <v>-0.39</v>
      </c>
      <c r="AB158" s="606">
        <v>0.11</v>
      </c>
      <c r="AC158" s="606">
        <v>-711.33</v>
      </c>
      <c r="AD158" s="606">
        <v>0</v>
      </c>
      <c r="AE158" s="606">
        <v>0</v>
      </c>
      <c r="AF158" s="606">
        <v>-0.28999999999999998</v>
      </c>
      <c r="AG158" s="606">
        <v>0</v>
      </c>
      <c r="AH158" s="606">
        <v>0</v>
      </c>
      <c r="AI158" s="606">
        <v>0</v>
      </c>
      <c r="AJ158" s="606">
        <v>0</v>
      </c>
      <c r="AK158" s="606">
        <v>0</v>
      </c>
      <c r="AL158" s="606">
        <v>0</v>
      </c>
      <c r="AM158" s="606">
        <v>-711.9</v>
      </c>
      <c r="AN158" s="606">
        <v>-0.28999999999996362</v>
      </c>
      <c r="AO158" s="606">
        <v>0</v>
      </c>
      <c r="AP158" s="606">
        <v>-0.28999999999999998</v>
      </c>
      <c r="AQ158" s="606">
        <v>-0.28999999999996362</v>
      </c>
      <c r="AR158" s="606"/>
      <c r="AS158" s="606">
        <v>-0.28999999999996362</v>
      </c>
      <c r="AT158" s="606"/>
      <c r="AU158" s="606">
        <v>-0.39</v>
      </c>
      <c r="AV158" s="606">
        <v>0.11</v>
      </c>
      <c r="AW158" s="606">
        <v>-711.33</v>
      </c>
      <c r="AX158" s="606">
        <v>0</v>
      </c>
      <c r="AY158" s="606">
        <v>0</v>
      </c>
      <c r="AZ158" s="606">
        <v>0</v>
      </c>
      <c r="BA158" s="606">
        <v>0</v>
      </c>
      <c r="BB158" s="606">
        <v>0</v>
      </c>
      <c r="BC158" s="606">
        <v>0</v>
      </c>
      <c r="BD158" s="606">
        <v>0</v>
      </c>
      <c r="BE158" s="606">
        <v>0</v>
      </c>
      <c r="BF158" s="606">
        <v>0</v>
      </c>
      <c r="BG158" s="606">
        <v>-711.61</v>
      </c>
      <c r="BH158" s="606">
        <v>-0.39</v>
      </c>
      <c r="BI158" s="606">
        <v>0.11</v>
      </c>
      <c r="BJ158" s="606">
        <v>-711.33</v>
      </c>
      <c r="BK158" s="606">
        <v>0</v>
      </c>
      <c r="BL158" s="606">
        <v>0</v>
      </c>
      <c r="BM158" s="606">
        <v>0</v>
      </c>
      <c r="BN158" s="606">
        <v>0</v>
      </c>
      <c r="BO158" s="606">
        <v>0</v>
      </c>
      <c r="BP158" s="606">
        <v>0</v>
      </c>
      <c r="BQ158" s="606">
        <v>0</v>
      </c>
      <c r="BR158" s="606">
        <v>0</v>
      </c>
      <c r="BS158" s="606">
        <v>0</v>
      </c>
      <c r="BT158" s="606">
        <v>-711.61</v>
      </c>
    </row>
    <row r="159" spans="1:72" hidden="1">
      <c r="A159" t="s">
        <v>2174</v>
      </c>
      <c r="B159" t="s">
        <v>2953</v>
      </c>
      <c r="C159" t="s">
        <v>619</v>
      </c>
      <c r="D159" t="s">
        <v>2175</v>
      </c>
      <c r="E159" t="s">
        <v>1136</v>
      </c>
      <c r="F159" t="s">
        <v>1566</v>
      </c>
      <c r="G159" t="s">
        <v>1566</v>
      </c>
      <c r="H159" t="s">
        <v>1566</v>
      </c>
      <c r="I159" t="s">
        <v>1345</v>
      </c>
      <c r="J159" t="s">
        <v>1346</v>
      </c>
      <c r="K159" t="s">
        <v>1346</v>
      </c>
      <c r="L159" t="s">
        <v>602</v>
      </c>
      <c r="M159" t="s">
        <v>2176</v>
      </c>
      <c r="P159" t="s">
        <v>620</v>
      </c>
      <c r="T159" t="s">
        <v>25</v>
      </c>
      <c r="W159" s="606">
        <v>0</v>
      </c>
      <c r="X159" s="606">
        <v>614.69000000000005</v>
      </c>
      <c r="Y159" s="606"/>
      <c r="Z159" s="606"/>
      <c r="AA159" s="606"/>
      <c r="AB159" s="606">
        <v>260.76</v>
      </c>
      <c r="AC159" s="606">
        <v>353.93</v>
      </c>
      <c r="AD159" s="606" t="s">
        <v>1142</v>
      </c>
      <c r="AE159" s="606">
        <v>0</v>
      </c>
      <c r="AF159" s="606">
        <v>0</v>
      </c>
      <c r="AG159" s="606">
        <v>0</v>
      </c>
      <c r="AH159" s="606">
        <v>0</v>
      </c>
      <c r="AI159" s="606">
        <v>0</v>
      </c>
      <c r="AJ159" s="606">
        <v>0</v>
      </c>
      <c r="AK159" s="606">
        <v>0</v>
      </c>
      <c r="AL159" s="606">
        <v>0</v>
      </c>
      <c r="AM159" s="606">
        <v>614.69000000000005</v>
      </c>
      <c r="AN159" s="606">
        <v>0</v>
      </c>
      <c r="AO159" s="606">
        <v>0</v>
      </c>
      <c r="AP159" s="606">
        <v>0</v>
      </c>
      <c r="AQ159" s="606">
        <v>0</v>
      </c>
      <c r="AR159" s="606"/>
      <c r="AS159" s="606">
        <v>0</v>
      </c>
      <c r="AT159" s="606"/>
      <c r="AU159" s="606"/>
      <c r="AV159" s="606">
        <v>260.76</v>
      </c>
      <c r="AW159" s="606">
        <v>353.93</v>
      </c>
      <c r="AX159" s="606">
        <v>0</v>
      </c>
      <c r="AY159" s="606">
        <v>0</v>
      </c>
      <c r="AZ159" s="606">
        <v>0</v>
      </c>
      <c r="BA159" s="606">
        <v>0</v>
      </c>
      <c r="BB159" s="606">
        <v>0</v>
      </c>
      <c r="BC159" s="606">
        <v>0</v>
      </c>
      <c r="BD159" s="606">
        <v>0</v>
      </c>
      <c r="BE159" s="606">
        <v>0</v>
      </c>
      <c r="BF159" s="606">
        <v>0</v>
      </c>
      <c r="BG159" s="606">
        <v>614.69000000000005</v>
      </c>
      <c r="BH159" s="606"/>
      <c r="BI159" s="606">
        <v>260.76</v>
      </c>
      <c r="BJ159" s="606">
        <v>353.93</v>
      </c>
      <c r="BK159" s="606">
        <v>0</v>
      </c>
      <c r="BL159" s="606">
        <v>0</v>
      </c>
      <c r="BM159" s="606">
        <v>0</v>
      </c>
      <c r="BN159" s="606">
        <v>0</v>
      </c>
      <c r="BO159" s="606">
        <v>0</v>
      </c>
      <c r="BP159" s="606">
        <v>0</v>
      </c>
      <c r="BQ159" s="606">
        <v>0</v>
      </c>
      <c r="BR159" s="606">
        <v>0</v>
      </c>
      <c r="BS159" s="606">
        <v>0</v>
      </c>
      <c r="BT159" s="606">
        <v>614.69000000000005</v>
      </c>
    </row>
    <row r="160" spans="1:72" hidden="1">
      <c r="A160" t="s">
        <v>2156</v>
      </c>
      <c r="B160" t="s">
        <v>2953</v>
      </c>
      <c r="C160" t="s">
        <v>609</v>
      </c>
      <c r="D160" t="s">
        <v>2157</v>
      </c>
      <c r="E160" t="s">
        <v>1136</v>
      </c>
      <c r="F160" t="s">
        <v>1566</v>
      </c>
      <c r="G160" t="s">
        <v>1135</v>
      </c>
      <c r="H160" t="s">
        <v>1135</v>
      </c>
      <c r="I160" t="s">
        <v>1135</v>
      </c>
      <c r="J160" t="s">
        <v>1137</v>
      </c>
      <c r="K160" t="s">
        <v>1137</v>
      </c>
      <c r="L160" t="s">
        <v>602</v>
      </c>
      <c r="M160" t="s">
        <v>611</v>
      </c>
      <c r="P160" t="s">
        <v>610</v>
      </c>
      <c r="T160" t="s">
        <v>611</v>
      </c>
      <c r="U160" t="s">
        <v>1141</v>
      </c>
      <c r="W160" s="606">
        <v>0</v>
      </c>
      <c r="X160" s="606">
        <v>9271.2199999999993</v>
      </c>
      <c r="Y160" s="606"/>
      <c r="Z160" s="606"/>
      <c r="AA160" s="606">
        <v>497.32</v>
      </c>
      <c r="AB160" s="606">
        <v>7672.35</v>
      </c>
      <c r="AC160" s="606">
        <v>1101.55</v>
      </c>
      <c r="AD160" s="606">
        <v>216.08999999999983</v>
      </c>
      <c r="AE160" s="606">
        <v>402.42000000000007</v>
      </c>
      <c r="AF160" s="606">
        <v>209.19</v>
      </c>
      <c r="AG160" s="606">
        <v>0</v>
      </c>
      <c r="AH160" s="606">
        <v>0</v>
      </c>
      <c r="AI160" s="606">
        <v>0</v>
      </c>
      <c r="AJ160" s="606">
        <v>0</v>
      </c>
      <c r="AK160" s="606">
        <v>0</v>
      </c>
      <c r="AL160" s="606">
        <v>0</v>
      </c>
      <c r="AM160" s="606">
        <v>10098.92</v>
      </c>
      <c r="AN160" s="606">
        <v>827.70000000000073</v>
      </c>
      <c r="AO160" s="606">
        <v>0</v>
      </c>
      <c r="AP160" s="606">
        <v>209.19</v>
      </c>
      <c r="AQ160" s="606">
        <v>827.70000000000073</v>
      </c>
      <c r="AR160" s="606"/>
      <c r="AS160" s="606">
        <v>827.70000000000073</v>
      </c>
      <c r="AT160" s="606"/>
      <c r="AU160" s="606">
        <v>497.32</v>
      </c>
      <c r="AV160" s="606">
        <v>7672.35</v>
      </c>
      <c r="AW160" s="606">
        <v>1101.55</v>
      </c>
      <c r="AX160" s="606">
        <v>0</v>
      </c>
      <c r="AY160" s="606">
        <v>0</v>
      </c>
      <c r="AZ160" s="606">
        <v>0</v>
      </c>
      <c r="BA160" s="606">
        <v>0</v>
      </c>
      <c r="BB160" s="606">
        <v>0</v>
      </c>
      <c r="BC160" s="606">
        <v>0</v>
      </c>
      <c r="BD160" s="606">
        <v>0</v>
      </c>
      <c r="BE160" s="606">
        <v>0</v>
      </c>
      <c r="BF160" s="606">
        <v>0</v>
      </c>
      <c r="BG160" s="606">
        <v>9271.2199999999993</v>
      </c>
      <c r="BH160" s="606">
        <v>497.32</v>
      </c>
      <c r="BI160" s="606">
        <v>7672.35</v>
      </c>
      <c r="BJ160" s="606">
        <v>1101.55</v>
      </c>
      <c r="BK160" s="606">
        <v>0</v>
      </c>
      <c r="BL160" s="606">
        <v>0</v>
      </c>
      <c r="BM160" s="606">
        <v>0</v>
      </c>
      <c r="BN160" s="606">
        <v>0</v>
      </c>
      <c r="BO160" s="606">
        <v>0</v>
      </c>
      <c r="BP160" s="606">
        <v>0</v>
      </c>
      <c r="BQ160" s="606">
        <v>0</v>
      </c>
      <c r="BR160" s="606">
        <v>0</v>
      </c>
      <c r="BS160" s="606">
        <v>0</v>
      </c>
      <c r="BT160" s="606">
        <v>9271.2199999999993</v>
      </c>
    </row>
    <row r="161" spans="1:72" hidden="1">
      <c r="A161" t="s">
        <v>2158</v>
      </c>
      <c r="B161" t="s">
        <v>2953</v>
      </c>
      <c r="C161" t="s">
        <v>609</v>
      </c>
      <c r="D161" t="s">
        <v>2159</v>
      </c>
      <c r="E161" t="s">
        <v>1136</v>
      </c>
      <c r="F161" t="s">
        <v>1566</v>
      </c>
      <c r="G161" t="s">
        <v>1135</v>
      </c>
      <c r="H161" t="s">
        <v>1145</v>
      </c>
      <c r="I161" t="s">
        <v>1135</v>
      </c>
      <c r="J161" t="s">
        <v>1145</v>
      </c>
      <c r="K161" t="s">
        <v>1145</v>
      </c>
      <c r="L161" t="s">
        <v>602</v>
      </c>
      <c r="M161" t="s">
        <v>2160</v>
      </c>
      <c r="N161" t="s">
        <v>2160</v>
      </c>
      <c r="O161" t="s">
        <v>1186</v>
      </c>
      <c r="P161" t="s">
        <v>610</v>
      </c>
      <c r="W161" s="606"/>
      <c r="X161" s="606"/>
      <c r="Y161" s="606"/>
      <c r="Z161" s="606"/>
      <c r="AA161" s="606"/>
      <c r="AB161" s="606"/>
      <c r="AC161" s="606"/>
      <c r="AD161" s="606"/>
      <c r="AE161" s="606">
        <v>16</v>
      </c>
      <c r="AF161" s="606">
        <v>0</v>
      </c>
      <c r="AG161" s="606"/>
      <c r="AH161" s="606"/>
      <c r="AI161" s="606"/>
      <c r="AJ161" s="606"/>
      <c r="AK161" s="606"/>
      <c r="AL161" s="606"/>
      <c r="AM161" s="606">
        <v>16</v>
      </c>
      <c r="AN161" s="606">
        <v>16</v>
      </c>
      <c r="AO161" s="606"/>
      <c r="AP161" s="606">
        <v>0</v>
      </c>
      <c r="AQ161" s="606">
        <v>16</v>
      </c>
      <c r="AR161" s="606"/>
      <c r="AS161" s="606">
        <v>16</v>
      </c>
      <c r="AT161" s="606"/>
      <c r="AU161" s="606"/>
      <c r="AV161" s="606"/>
      <c r="AW161" s="606"/>
      <c r="AX161" s="606"/>
      <c r="AY161" s="606"/>
      <c r="AZ161" s="606"/>
      <c r="BA161" s="606"/>
      <c r="BB161" s="606"/>
      <c r="BC161" s="606"/>
      <c r="BD161" s="606"/>
      <c r="BE161" s="606"/>
      <c r="BF161" s="606"/>
      <c r="BG161" s="606"/>
      <c r="BH161" s="606"/>
      <c r="BI161" s="606"/>
      <c r="BJ161" s="606"/>
      <c r="BK161" s="606"/>
      <c r="BL161" s="606"/>
      <c r="BM161" s="606"/>
      <c r="BN161" s="606"/>
      <c r="BO161" s="606"/>
      <c r="BP161" s="606"/>
      <c r="BQ161" s="606"/>
      <c r="BR161" s="606"/>
      <c r="BS161" s="606"/>
      <c r="BT161" s="606"/>
    </row>
    <row r="162" spans="1:72" hidden="1">
      <c r="A162" t="s">
        <v>2182</v>
      </c>
      <c r="B162" t="s">
        <v>2953</v>
      </c>
      <c r="C162" t="s">
        <v>621</v>
      </c>
      <c r="D162" t="s">
        <v>2183</v>
      </c>
      <c r="E162" t="s">
        <v>1136</v>
      </c>
      <c r="F162" t="s">
        <v>1566</v>
      </c>
      <c r="G162" t="s">
        <v>1566</v>
      </c>
      <c r="H162" t="s">
        <v>1566</v>
      </c>
      <c r="I162" t="s">
        <v>1567</v>
      </c>
      <c r="J162" t="s">
        <v>1567</v>
      </c>
      <c r="K162" t="s">
        <v>1567</v>
      </c>
      <c r="L162" t="s">
        <v>602</v>
      </c>
      <c r="M162" t="s">
        <v>611</v>
      </c>
      <c r="P162" t="s">
        <v>610</v>
      </c>
      <c r="T162" t="s">
        <v>611</v>
      </c>
      <c r="W162" s="606">
        <v>0</v>
      </c>
      <c r="X162" s="606">
        <v>18.829999999999998</v>
      </c>
      <c r="Y162" s="606"/>
      <c r="Z162" s="606"/>
      <c r="AA162" s="606">
        <v>19</v>
      </c>
      <c r="AB162" s="606">
        <v>-0.17</v>
      </c>
      <c r="AC162" s="606">
        <v>0</v>
      </c>
      <c r="AD162" s="606">
        <v>4245.9400000000005</v>
      </c>
      <c r="AE162" s="606">
        <v>16</v>
      </c>
      <c r="AF162" s="606">
        <v>0</v>
      </c>
      <c r="AG162" s="606">
        <v>0</v>
      </c>
      <c r="AH162" s="606">
        <v>0</v>
      </c>
      <c r="AI162" s="606">
        <v>0</v>
      </c>
      <c r="AJ162" s="606">
        <v>0</v>
      </c>
      <c r="AK162" s="606">
        <v>0</v>
      </c>
      <c r="AL162" s="606">
        <v>0</v>
      </c>
      <c r="AM162" s="606">
        <v>4280.7700000000004</v>
      </c>
      <c r="AN162" s="606">
        <v>4261.9400000000005</v>
      </c>
      <c r="AO162" s="606">
        <v>0</v>
      </c>
      <c r="AP162" s="606">
        <v>0</v>
      </c>
      <c r="AQ162" s="606">
        <v>4261.9400000000005</v>
      </c>
      <c r="AR162" s="606"/>
      <c r="AS162" s="606">
        <v>4261.9400000000005</v>
      </c>
      <c r="AT162" s="606"/>
      <c r="AU162" s="606">
        <v>19</v>
      </c>
      <c r="AV162" s="606">
        <v>-0.17</v>
      </c>
      <c r="AW162" s="606">
        <v>0</v>
      </c>
      <c r="AX162" s="606">
        <v>0</v>
      </c>
      <c r="AY162" s="606">
        <v>0</v>
      </c>
      <c r="AZ162" s="606">
        <v>0</v>
      </c>
      <c r="BA162" s="606">
        <v>0</v>
      </c>
      <c r="BB162" s="606">
        <v>0</v>
      </c>
      <c r="BC162" s="606">
        <v>0</v>
      </c>
      <c r="BD162" s="606">
        <v>0</v>
      </c>
      <c r="BE162" s="606">
        <v>0</v>
      </c>
      <c r="BF162" s="606">
        <v>0</v>
      </c>
      <c r="BG162" s="606">
        <v>18.829999999999998</v>
      </c>
      <c r="BH162" s="606">
        <v>19</v>
      </c>
      <c r="BI162" s="606">
        <v>-0.17</v>
      </c>
      <c r="BJ162" s="606">
        <v>0</v>
      </c>
      <c r="BK162" s="606">
        <v>0</v>
      </c>
      <c r="BL162" s="606">
        <v>0</v>
      </c>
      <c r="BM162" s="606">
        <v>0</v>
      </c>
      <c r="BN162" s="606">
        <v>0</v>
      </c>
      <c r="BO162" s="606">
        <v>0</v>
      </c>
      <c r="BP162" s="606">
        <v>0</v>
      </c>
      <c r="BQ162" s="606">
        <v>0</v>
      </c>
      <c r="BR162" s="606">
        <v>0</v>
      </c>
      <c r="BS162" s="606">
        <v>0</v>
      </c>
      <c r="BT162" s="606">
        <v>18.829999999999998</v>
      </c>
    </row>
    <row r="163" spans="1:72" hidden="1">
      <c r="A163" t="s">
        <v>1341</v>
      </c>
      <c r="B163" t="s">
        <v>2953</v>
      </c>
      <c r="C163" t="s">
        <v>148</v>
      </c>
      <c r="D163" t="s">
        <v>1342</v>
      </c>
      <c r="E163" t="s">
        <v>1136</v>
      </c>
      <c r="F163" t="s">
        <v>1566</v>
      </c>
      <c r="G163" t="s">
        <v>1135</v>
      </c>
      <c r="H163" t="s">
        <v>1156</v>
      </c>
      <c r="I163" t="s">
        <v>1135</v>
      </c>
      <c r="J163" t="s">
        <v>1156</v>
      </c>
      <c r="K163" t="s">
        <v>1137</v>
      </c>
      <c r="L163" t="s">
        <v>49</v>
      </c>
      <c r="M163" t="s">
        <v>1340</v>
      </c>
      <c r="P163" t="s">
        <v>149</v>
      </c>
      <c r="Q163" t="s">
        <v>1139</v>
      </c>
      <c r="T163" t="s">
        <v>25</v>
      </c>
      <c r="W163" s="606">
        <v>0</v>
      </c>
      <c r="X163" s="606">
        <v>-14694</v>
      </c>
      <c r="Y163" s="606"/>
      <c r="Z163" s="606"/>
      <c r="AA163" s="606"/>
      <c r="AB163" s="606"/>
      <c r="AC163" s="606">
        <v>-14694</v>
      </c>
      <c r="AD163" s="606">
        <v>0</v>
      </c>
      <c r="AE163" s="606">
        <v>0</v>
      </c>
      <c r="AF163" s="606">
        <v>0</v>
      </c>
      <c r="AG163" s="606">
        <v>0</v>
      </c>
      <c r="AH163" s="606">
        <v>0</v>
      </c>
      <c r="AI163" s="606">
        <v>0</v>
      </c>
      <c r="AJ163" s="606">
        <v>0</v>
      </c>
      <c r="AK163" s="606">
        <v>0</v>
      </c>
      <c r="AL163" s="606">
        <v>0</v>
      </c>
      <c r="AM163" s="606">
        <v>-14694</v>
      </c>
      <c r="AN163" s="606">
        <v>0</v>
      </c>
      <c r="AO163" s="606">
        <v>0</v>
      </c>
      <c r="AP163" s="606">
        <v>0</v>
      </c>
      <c r="AQ163" s="606">
        <v>0</v>
      </c>
      <c r="AR163" s="606"/>
      <c r="AS163" s="606">
        <v>0</v>
      </c>
      <c r="AT163" s="606"/>
      <c r="AU163" s="606"/>
      <c r="AV163" s="606"/>
      <c r="AW163" s="606">
        <v>-14694</v>
      </c>
      <c r="AX163" s="606">
        <v>0</v>
      </c>
      <c r="AY163" s="606">
        <v>0</v>
      </c>
      <c r="AZ163" s="606">
        <v>0</v>
      </c>
      <c r="BA163" s="606">
        <v>0</v>
      </c>
      <c r="BB163" s="606">
        <v>0</v>
      </c>
      <c r="BC163" s="606">
        <v>0</v>
      </c>
      <c r="BD163" s="606">
        <v>0</v>
      </c>
      <c r="BE163" s="606">
        <v>0</v>
      </c>
      <c r="BF163" s="606">
        <v>0</v>
      </c>
      <c r="BG163" s="606">
        <v>-14694</v>
      </c>
      <c r="BH163" s="606"/>
      <c r="BI163" s="606"/>
      <c r="BJ163" s="606">
        <v>-14694</v>
      </c>
      <c r="BK163" s="606">
        <v>0</v>
      </c>
      <c r="BL163" s="606">
        <v>0</v>
      </c>
      <c r="BM163" s="606">
        <v>0</v>
      </c>
      <c r="BN163" s="606">
        <v>0</v>
      </c>
      <c r="BO163" s="606">
        <v>0</v>
      </c>
      <c r="BP163" s="606">
        <v>0</v>
      </c>
      <c r="BQ163" s="606">
        <v>0</v>
      </c>
      <c r="BR163" s="606">
        <v>0</v>
      </c>
      <c r="BS163" s="606">
        <v>0</v>
      </c>
      <c r="BT163" s="606">
        <v>-14694</v>
      </c>
    </row>
    <row r="164" spans="1:72" hidden="1">
      <c r="A164" t="s">
        <v>2840</v>
      </c>
      <c r="B164" t="s">
        <v>2953</v>
      </c>
      <c r="C164" t="s">
        <v>1034</v>
      </c>
      <c r="D164" t="s">
        <v>2841</v>
      </c>
      <c r="E164" t="s">
        <v>1136</v>
      </c>
      <c r="F164" t="s">
        <v>1566</v>
      </c>
      <c r="G164" t="s">
        <v>1566</v>
      </c>
      <c r="H164" t="s">
        <v>1566</v>
      </c>
      <c r="I164" t="s">
        <v>1345</v>
      </c>
      <c r="J164" t="s">
        <v>1346</v>
      </c>
      <c r="K164" t="s">
        <v>1346</v>
      </c>
      <c r="L164" t="s">
        <v>1027</v>
      </c>
      <c r="M164" t="s">
        <v>2830</v>
      </c>
      <c r="P164" t="s">
        <v>1029</v>
      </c>
      <c r="T164" t="s">
        <v>25</v>
      </c>
      <c r="W164" s="606">
        <v>157900</v>
      </c>
      <c r="X164" s="606">
        <v>130982.95</v>
      </c>
      <c r="Y164" s="606"/>
      <c r="Z164" s="606"/>
      <c r="AA164" s="606">
        <v>2896.56</v>
      </c>
      <c r="AB164" s="606">
        <v>3761.9</v>
      </c>
      <c r="AC164" s="606">
        <v>4324.49</v>
      </c>
      <c r="AD164" s="606">
        <v>5457.6899999999987</v>
      </c>
      <c r="AE164" s="606">
        <v>8526.0100000000039</v>
      </c>
      <c r="AF164" s="606">
        <v>5199.119999999999</v>
      </c>
      <c r="AG164" s="606">
        <v>13500</v>
      </c>
      <c r="AH164" s="606">
        <v>13700</v>
      </c>
      <c r="AI164" s="606">
        <v>13700</v>
      </c>
      <c r="AJ164" s="606">
        <v>13700</v>
      </c>
      <c r="AK164" s="606">
        <v>13800</v>
      </c>
      <c r="AL164" s="606">
        <v>13800</v>
      </c>
      <c r="AM164" s="606">
        <v>112365.77</v>
      </c>
      <c r="AN164" s="606">
        <v>-18617.179999999993</v>
      </c>
      <c r="AO164" s="606">
        <v>12300</v>
      </c>
      <c r="AP164" s="606">
        <v>-7100.880000000001</v>
      </c>
      <c r="AQ164" s="606">
        <v>-18617.179999999997</v>
      </c>
      <c r="AR164" s="606"/>
      <c r="AS164" s="606">
        <v>-18617.179999999993</v>
      </c>
      <c r="AT164" s="606"/>
      <c r="AU164" s="606">
        <v>2896.56</v>
      </c>
      <c r="AV164" s="606">
        <v>3761.9</v>
      </c>
      <c r="AW164" s="606">
        <v>4324.49</v>
      </c>
      <c r="AX164" s="606">
        <v>12300</v>
      </c>
      <c r="AY164" s="606">
        <v>12300</v>
      </c>
      <c r="AZ164" s="606">
        <v>13200</v>
      </c>
      <c r="BA164" s="606">
        <v>13500</v>
      </c>
      <c r="BB164" s="606">
        <v>13700</v>
      </c>
      <c r="BC164" s="606">
        <v>13700</v>
      </c>
      <c r="BD164" s="606">
        <v>13700</v>
      </c>
      <c r="BE164" s="606">
        <v>13800</v>
      </c>
      <c r="BF164" s="606">
        <v>13800</v>
      </c>
      <c r="BG164" s="606">
        <v>130982.95</v>
      </c>
      <c r="BH164" s="606">
        <v>2896.56</v>
      </c>
      <c r="BI164" s="606">
        <v>3761.9</v>
      </c>
      <c r="BJ164" s="606">
        <v>4324.49</v>
      </c>
      <c r="BK164" s="606">
        <v>12300</v>
      </c>
      <c r="BL164" s="606">
        <v>12300</v>
      </c>
      <c r="BM164" s="606">
        <v>13200</v>
      </c>
      <c r="BN164" s="606">
        <v>13500</v>
      </c>
      <c r="BO164" s="606">
        <v>13700</v>
      </c>
      <c r="BP164" s="606">
        <v>13700</v>
      </c>
      <c r="BQ164" s="606">
        <v>13700</v>
      </c>
      <c r="BR164" s="606">
        <v>13800</v>
      </c>
      <c r="BS164" s="606">
        <v>13800</v>
      </c>
      <c r="BT164" s="606">
        <v>130982.95</v>
      </c>
    </row>
    <row r="165" spans="1:72" hidden="1">
      <c r="A165" t="s">
        <v>2831</v>
      </c>
      <c r="B165" t="s">
        <v>2953</v>
      </c>
      <c r="C165" t="s">
        <v>1028</v>
      </c>
      <c r="D165" t="s">
        <v>2832</v>
      </c>
      <c r="E165" t="s">
        <v>1136</v>
      </c>
      <c r="F165" t="s">
        <v>1566</v>
      </c>
      <c r="G165" t="s">
        <v>1135</v>
      </c>
      <c r="H165" t="s">
        <v>1135</v>
      </c>
      <c r="I165" t="s">
        <v>1135</v>
      </c>
      <c r="J165" t="s">
        <v>1137</v>
      </c>
      <c r="K165" t="s">
        <v>1137</v>
      </c>
      <c r="L165" t="s">
        <v>1027</v>
      </c>
      <c r="M165" t="s">
        <v>2830</v>
      </c>
      <c r="P165" t="s">
        <v>1029</v>
      </c>
      <c r="T165" t="s">
        <v>25</v>
      </c>
      <c r="U165" t="s">
        <v>1141</v>
      </c>
      <c r="W165" s="606">
        <v>78300</v>
      </c>
      <c r="X165" s="606">
        <v>62093.21</v>
      </c>
      <c r="Y165" s="606"/>
      <c r="Z165" s="606"/>
      <c r="AA165" s="606">
        <v>350.82</v>
      </c>
      <c r="AB165" s="606">
        <v>683.3</v>
      </c>
      <c r="AC165" s="606">
        <v>1259.0899999999999</v>
      </c>
      <c r="AD165" s="606">
        <v>404.51000000000005</v>
      </c>
      <c r="AE165" s="606">
        <v>2183.5099999999993</v>
      </c>
      <c r="AF165" s="606">
        <v>2294.7200000000003</v>
      </c>
      <c r="AG165" s="606">
        <v>6500</v>
      </c>
      <c r="AH165" s="606">
        <v>6500</v>
      </c>
      <c r="AI165" s="606">
        <v>6900</v>
      </c>
      <c r="AJ165" s="606">
        <v>6900</v>
      </c>
      <c r="AK165" s="606">
        <v>6900</v>
      </c>
      <c r="AL165" s="606">
        <v>6900</v>
      </c>
      <c r="AM165" s="606">
        <v>47775.95</v>
      </c>
      <c r="AN165" s="606">
        <v>-14317.260000000002</v>
      </c>
      <c r="AO165" s="606">
        <v>6400</v>
      </c>
      <c r="AP165" s="606">
        <v>-4105.28</v>
      </c>
      <c r="AQ165" s="606">
        <v>-14317.259999999998</v>
      </c>
      <c r="AR165" s="606"/>
      <c r="AS165" s="606">
        <v>-14317.260000000002</v>
      </c>
      <c r="AT165" s="606"/>
      <c r="AU165" s="606">
        <v>350.82</v>
      </c>
      <c r="AV165" s="606">
        <v>683.3</v>
      </c>
      <c r="AW165" s="606">
        <v>1259.0899999999999</v>
      </c>
      <c r="AX165" s="606">
        <v>6400</v>
      </c>
      <c r="AY165" s="606">
        <v>6400</v>
      </c>
      <c r="AZ165" s="606">
        <v>6400</v>
      </c>
      <c r="BA165" s="606">
        <v>6500</v>
      </c>
      <c r="BB165" s="606">
        <v>6500</v>
      </c>
      <c r="BC165" s="606">
        <v>6900</v>
      </c>
      <c r="BD165" s="606">
        <v>6900</v>
      </c>
      <c r="BE165" s="606">
        <v>6900</v>
      </c>
      <c r="BF165" s="606">
        <v>6900</v>
      </c>
      <c r="BG165" s="606">
        <v>62093.21</v>
      </c>
      <c r="BH165" s="606">
        <v>350.82</v>
      </c>
      <c r="BI165" s="606">
        <v>683.3</v>
      </c>
      <c r="BJ165" s="606">
        <v>1259.0899999999999</v>
      </c>
      <c r="BK165" s="606">
        <v>6400</v>
      </c>
      <c r="BL165" s="606">
        <v>6400</v>
      </c>
      <c r="BM165" s="606">
        <v>6400</v>
      </c>
      <c r="BN165" s="606">
        <v>6500</v>
      </c>
      <c r="BO165" s="606">
        <v>6500</v>
      </c>
      <c r="BP165" s="606">
        <v>6900</v>
      </c>
      <c r="BQ165" s="606">
        <v>6900</v>
      </c>
      <c r="BR165" s="606">
        <v>6900</v>
      </c>
      <c r="BS165" s="606">
        <v>6900</v>
      </c>
      <c r="BT165" s="606">
        <v>62093.21</v>
      </c>
    </row>
    <row r="166" spans="1:72" hidden="1">
      <c r="A166" t="s">
        <v>2860</v>
      </c>
      <c r="B166" t="s">
        <v>2953</v>
      </c>
      <c r="C166" t="s">
        <v>1047</v>
      </c>
      <c r="D166" t="s">
        <v>2861</v>
      </c>
      <c r="E166" t="s">
        <v>1136</v>
      </c>
      <c r="F166" t="s">
        <v>1566</v>
      </c>
      <c r="G166" t="s">
        <v>1566</v>
      </c>
      <c r="H166" t="s">
        <v>1566</v>
      </c>
      <c r="I166" t="s">
        <v>1345</v>
      </c>
      <c r="J166" t="s">
        <v>1346</v>
      </c>
      <c r="K166" t="s">
        <v>1346</v>
      </c>
      <c r="L166" t="s">
        <v>1037</v>
      </c>
      <c r="M166" t="s">
        <v>2846</v>
      </c>
      <c r="P166" t="s">
        <v>1039</v>
      </c>
      <c r="R166" t="s">
        <v>1140</v>
      </c>
      <c r="T166" t="s">
        <v>1040</v>
      </c>
      <c r="W166" s="606">
        <v>0</v>
      </c>
      <c r="X166" s="606">
        <v>23976.370000000003</v>
      </c>
      <c r="Y166" s="606"/>
      <c r="Z166" s="606"/>
      <c r="AA166" s="606">
        <v>10095.790000000001</v>
      </c>
      <c r="AB166" s="606">
        <v>9921.4500000000007</v>
      </c>
      <c r="AC166" s="606">
        <v>3959.13</v>
      </c>
      <c r="AD166" s="606">
        <v>7339.65</v>
      </c>
      <c r="AE166" s="606">
        <v>-891.2900000000003</v>
      </c>
      <c r="AF166" s="606">
        <v>4400.72</v>
      </c>
      <c r="AG166" s="606">
        <v>0</v>
      </c>
      <c r="AH166" s="606">
        <v>0</v>
      </c>
      <c r="AI166" s="606">
        <v>0</v>
      </c>
      <c r="AJ166" s="606">
        <v>0</v>
      </c>
      <c r="AK166" s="606">
        <v>0</v>
      </c>
      <c r="AL166" s="606">
        <v>0</v>
      </c>
      <c r="AM166" s="606">
        <v>34825.450000000004</v>
      </c>
      <c r="AN166" s="606">
        <v>10849.080000000002</v>
      </c>
      <c r="AO166" s="606">
        <v>0</v>
      </c>
      <c r="AP166" s="606">
        <v>4400.72</v>
      </c>
      <c r="AQ166" s="606">
        <v>10849.080000000002</v>
      </c>
      <c r="AR166" s="606"/>
      <c r="AS166" s="606">
        <v>10849.080000000002</v>
      </c>
      <c r="AT166" s="606"/>
      <c r="AU166" s="606">
        <v>10095.790000000001</v>
      </c>
      <c r="AV166" s="606">
        <v>9921.4500000000007</v>
      </c>
      <c r="AW166" s="606">
        <v>3959.13</v>
      </c>
      <c r="AX166" s="606">
        <v>0</v>
      </c>
      <c r="AY166" s="606">
        <v>0</v>
      </c>
      <c r="AZ166" s="606">
        <v>0</v>
      </c>
      <c r="BA166" s="606">
        <v>0</v>
      </c>
      <c r="BB166" s="606">
        <v>0</v>
      </c>
      <c r="BC166" s="606">
        <v>0</v>
      </c>
      <c r="BD166" s="606">
        <v>0</v>
      </c>
      <c r="BE166" s="606">
        <v>0</v>
      </c>
      <c r="BF166" s="606">
        <v>0</v>
      </c>
      <c r="BG166" s="606">
        <v>23976.370000000003</v>
      </c>
      <c r="BH166" s="606">
        <v>10095.790000000001</v>
      </c>
      <c r="BI166" s="606">
        <v>9921.4500000000007</v>
      </c>
      <c r="BJ166" s="606">
        <v>3959.13</v>
      </c>
      <c r="BK166" s="606">
        <v>0</v>
      </c>
      <c r="BL166" s="606">
        <v>0</v>
      </c>
      <c r="BM166" s="606">
        <v>0</v>
      </c>
      <c r="BN166" s="606">
        <v>0</v>
      </c>
      <c r="BO166" s="606">
        <v>0</v>
      </c>
      <c r="BP166" s="606">
        <v>0</v>
      </c>
      <c r="BQ166" s="606">
        <v>0</v>
      </c>
      <c r="BR166" s="606">
        <v>0</v>
      </c>
      <c r="BS166" s="606">
        <v>0</v>
      </c>
      <c r="BT166" s="606">
        <v>23976.370000000003</v>
      </c>
    </row>
    <row r="167" spans="1:72" hidden="1">
      <c r="A167" t="s">
        <v>2847</v>
      </c>
      <c r="B167" t="s">
        <v>2953</v>
      </c>
      <c r="C167" t="s">
        <v>1038</v>
      </c>
      <c r="D167" t="s">
        <v>2848</v>
      </c>
      <c r="E167" t="s">
        <v>1136</v>
      </c>
      <c r="F167" t="s">
        <v>1566</v>
      </c>
      <c r="G167" t="s">
        <v>1135</v>
      </c>
      <c r="H167" t="s">
        <v>1135</v>
      </c>
      <c r="I167" t="s">
        <v>1135</v>
      </c>
      <c r="J167" t="s">
        <v>1137</v>
      </c>
      <c r="K167" t="s">
        <v>1137</v>
      </c>
      <c r="L167" t="s">
        <v>1037</v>
      </c>
      <c r="M167" t="s">
        <v>2846</v>
      </c>
      <c r="P167" t="s">
        <v>1039</v>
      </c>
      <c r="R167" t="s">
        <v>1140</v>
      </c>
      <c r="T167" t="s">
        <v>1040</v>
      </c>
      <c r="U167" t="s">
        <v>1141</v>
      </c>
      <c r="W167" s="606">
        <v>0</v>
      </c>
      <c r="X167" s="606">
        <v>7225.12</v>
      </c>
      <c r="Y167" s="606"/>
      <c r="Z167" s="606"/>
      <c r="AA167" s="606">
        <v>302.32</v>
      </c>
      <c r="AB167" s="606">
        <v>-468.02</v>
      </c>
      <c r="AC167" s="606">
        <v>7390.82</v>
      </c>
      <c r="AD167" s="606">
        <v>10390.350000000002</v>
      </c>
      <c r="AE167" s="606">
        <v>-6560.7800000000007</v>
      </c>
      <c r="AF167" s="606">
        <v>1751.47</v>
      </c>
      <c r="AG167" s="606">
        <v>0</v>
      </c>
      <c r="AH167" s="606">
        <v>0</v>
      </c>
      <c r="AI167" s="606">
        <v>0</v>
      </c>
      <c r="AJ167" s="606">
        <v>0</v>
      </c>
      <c r="AK167" s="606">
        <v>0</v>
      </c>
      <c r="AL167" s="606">
        <v>0</v>
      </c>
      <c r="AM167" s="606">
        <v>12806.16</v>
      </c>
      <c r="AN167" s="606">
        <v>5581.04</v>
      </c>
      <c r="AO167" s="606">
        <v>0</v>
      </c>
      <c r="AP167" s="606">
        <v>1751.47</v>
      </c>
      <c r="AQ167" s="606">
        <v>5581.04</v>
      </c>
      <c r="AR167" s="606"/>
      <c r="AS167" s="606">
        <v>5581.04</v>
      </c>
      <c r="AT167" s="606"/>
      <c r="AU167" s="606">
        <v>302.32</v>
      </c>
      <c r="AV167" s="606">
        <v>-468.02</v>
      </c>
      <c r="AW167" s="606">
        <v>7390.82</v>
      </c>
      <c r="AX167" s="606">
        <v>0</v>
      </c>
      <c r="AY167" s="606">
        <v>0</v>
      </c>
      <c r="AZ167" s="606">
        <v>0</v>
      </c>
      <c r="BA167" s="606">
        <v>0</v>
      </c>
      <c r="BB167" s="606">
        <v>0</v>
      </c>
      <c r="BC167" s="606">
        <v>0</v>
      </c>
      <c r="BD167" s="606">
        <v>0</v>
      </c>
      <c r="BE167" s="606">
        <v>0</v>
      </c>
      <c r="BF167" s="606">
        <v>0</v>
      </c>
      <c r="BG167" s="606">
        <v>7225.12</v>
      </c>
      <c r="BH167" s="606">
        <v>302.32</v>
      </c>
      <c r="BI167" s="606">
        <v>-468.02</v>
      </c>
      <c r="BJ167" s="606">
        <v>7390.82</v>
      </c>
      <c r="BK167" s="606">
        <v>0</v>
      </c>
      <c r="BL167" s="606">
        <v>0</v>
      </c>
      <c r="BM167" s="606">
        <v>0</v>
      </c>
      <c r="BN167" s="606">
        <v>0</v>
      </c>
      <c r="BO167" s="606">
        <v>0</v>
      </c>
      <c r="BP167" s="606">
        <v>0</v>
      </c>
      <c r="BQ167" s="606">
        <v>0</v>
      </c>
      <c r="BR167" s="606">
        <v>0</v>
      </c>
      <c r="BS167" s="606">
        <v>0</v>
      </c>
      <c r="BT167" s="606">
        <v>7225.12</v>
      </c>
    </row>
  </sheetData>
  <autoFilter ref="A2:BT167" xr:uid="{E81406A8-6B44-4811-AF19-F9E13E94B6D9}">
    <filterColumn colId="6">
      <filters>
        <filter val="Hase, Raj"/>
      </filters>
    </filterColumn>
    <filterColumn colId="11">
      <filters>
        <filter val="SOFTWARE"/>
      </filters>
    </filterColumn>
    <sortState xmlns:xlrd2="http://schemas.microsoft.com/office/spreadsheetml/2017/richdata2" ref="A3:BT167">
      <sortCondition ref="B2:B167"/>
    </sortState>
  </autoFilter>
  <conditionalFormatting sqref="C1">
    <cfRule type="duplicateValues" dxfId="6" priority="2"/>
  </conditionalFormatting>
  <conditionalFormatting sqref="C1:C1048576">
    <cfRule type="duplicateValues" dxfId="5" priority="1"/>
  </conditionalFormatting>
  <conditionalFormatting sqref="C2">
    <cfRule type="duplicateValues" dxfId="4" priority="5"/>
  </conditionalFormatting>
  <conditionalFormatting sqref="D1">
    <cfRule type="duplicateValues" dxfId="3" priority="3"/>
  </conditionalFormatting>
  <conditionalFormatting sqref="D2">
    <cfRule type="duplicateValues" dxfId="2" priority="6"/>
  </conditionalFormatting>
  <conditionalFormatting sqref="P1">
    <cfRule type="duplicateValues" dxfId="1" priority="4"/>
  </conditionalFormatting>
  <conditionalFormatting sqref="P2">
    <cfRule type="duplicateValues" dxfId="0" priority="7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CE5A564F40946AECC6EBE58791375" ma:contentTypeVersion="8" ma:contentTypeDescription="Create a new document." ma:contentTypeScope="" ma:versionID="dbe93f3ee96020b7a3f9ee174896432d">
  <xsd:schema xmlns:xsd="http://www.w3.org/2001/XMLSchema" xmlns:xs="http://www.w3.org/2001/XMLSchema" xmlns:p="http://schemas.microsoft.com/office/2006/metadata/properties" xmlns:ns2="ca7236cb-6f9c-48f7-87fd-cb400629eee9" targetNamespace="http://schemas.microsoft.com/office/2006/metadata/properties" ma:root="true" ma:fieldsID="0660dd0c02f96cc7995f500e4c7bb76b" ns2:_="">
    <xsd:import namespace="ca7236cb-6f9c-48f7-87fd-cb400629e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236cb-6f9c-48f7-87fd-cb400629e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6F4994-6254-4A3C-85A7-CB815D96F6AA}"/>
</file>

<file path=customXml/itemProps2.xml><?xml version="1.0" encoding="utf-8"?>
<ds:datastoreItem xmlns:ds="http://schemas.openxmlformats.org/officeDocument/2006/customXml" ds:itemID="{86FA3AD2-2A7D-49CE-AB44-E33AD324D076}"/>
</file>

<file path=customXml/itemProps3.xml><?xml version="1.0" encoding="utf-8"?>
<ds:datastoreItem xmlns:ds="http://schemas.openxmlformats.org/officeDocument/2006/customXml" ds:itemID="{239AA3B8-06E6-4C6D-B764-3FEC1E6C8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Wilkins, Tanya</dc:creator>
  <cp:keywords/>
  <dc:description/>
  <cp:lastModifiedBy/>
  <cp:revision/>
  <dcterms:created xsi:type="dcterms:W3CDTF">2026-05-20T15:48:49Z</dcterms:created>
  <dcterms:modified xsi:type="dcterms:W3CDTF">2026-08-26T14:08:32Z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2026-05-20T15:49:59Z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5f440871-5498-40fd-96b2-7766e0e62843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  <property fmtid="{D5CDD505-2E9C-101B-9397-08002B2CF9AE}" pid="10" name="ContentTypeId">
    <vt:lpwstr>0x010100705CE5A564F40946AECC6EBE58791375</vt:lpwstr>
  </property>
</Properties>
</file>